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E:\Travail\DOSSIER COMPTABLE ET FISCAL PAR STE\SNA NOUR\credit gestion 2025\"/>
    </mc:Choice>
  </mc:AlternateContent>
  <xr:revisionPtr revIDLastSave="0" documentId="13_ncr:1_{AC9A203B-F517-4E3F-A94B-67F14FD56E49}" xr6:coauthVersionLast="47" xr6:coauthVersionMax="47" xr10:uidLastSave="{00000000-0000-0000-0000-000000000000}"/>
  <bookViews>
    <workbookView xWindow="-120" yWindow="-120" windowWidth="20730" windowHeight="11160" tabRatio="832" firstSheet="15" activeTab="37" xr2:uid="{00000000-000D-0000-FFFF-FFFF00000000}"/>
  </bookViews>
  <sheets>
    <sheet name="OD 01-23" sheetId="2" state="hidden" r:id="rId1"/>
    <sheet name="BAL 01-23" sheetId="1" state="hidden" r:id="rId2"/>
    <sheet name="OD 01-24" sheetId="6" state="hidden" r:id="rId3"/>
    <sheet name="BAL 01-24" sheetId="7" state="hidden" r:id="rId4"/>
    <sheet name="Stock 31-01-2024" sheetId="12" state="hidden" r:id="rId5"/>
    <sheet name="OD 02-23" sheetId="15" state="hidden" r:id="rId6"/>
    <sheet name="BAL 02-23" sheetId="16" state="hidden" r:id="rId7"/>
    <sheet name="BAL 03-23" sheetId="22" state="hidden" r:id="rId8"/>
    <sheet name="BAL 04-23" sheetId="26" state="hidden" r:id="rId9"/>
    <sheet name="OD 05-24" sheetId="29" state="hidden" r:id="rId10"/>
    <sheet name="OD 07-24" sheetId="37" state="hidden" r:id="rId11"/>
    <sheet name="OD 08-24" sheetId="40" state="hidden" r:id="rId12"/>
    <sheet name="OD 09-24" sheetId="44" state="hidden" r:id="rId13"/>
    <sheet name="OD 10-24" sheetId="47" state="hidden" r:id="rId14"/>
    <sheet name="OD 11-24" sheetId="50" state="hidden" r:id="rId15"/>
    <sheet name="OD 12-24" sheetId="18" r:id="rId16"/>
    <sheet name="BAL 05-23" sheetId="30" state="hidden" r:id="rId17"/>
    <sheet name="BAL 07-23" sheetId="41" state="hidden" r:id="rId18"/>
    <sheet name="BAL 09-23" sheetId="45" state="hidden" r:id="rId19"/>
    <sheet name="BAL 11-23" sheetId="51" state="hidden" r:id="rId20"/>
    <sheet name="BAL 12-23" sheetId="19" r:id="rId21"/>
    <sheet name="OD 02-24" sheetId="14" state="hidden" r:id="rId22"/>
    <sheet name="OD 04-24" sheetId="27" state="hidden" r:id="rId23"/>
    <sheet name="BAL 02-24" sheetId="13" state="hidden" r:id="rId24"/>
    <sheet name="BAL 04-24" sheetId="25" state="hidden" r:id="rId25"/>
    <sheet name="Stock 29-02-2024" sheetId="17" state="hidden" r:id="rId26"/>
    <sheet name="BAL 05-24" sheetId="28" state="hidden" r:id="rId27"/>
    <sheet name="BAL 07-24" sheetId="38" state="hidden" r:id="rId28"/>
    <sheet name="BAL 08-24" sheetId="39" state="hidden" r:id="rId29"/>
    <sheet name="BAL 09-24" sheetId="43" state="hidden" r:id="rId30"/>
    <sheet name="BAL 10-24" sheetId="46" state="hidden" r:id="rId31"/>
    <sheet name="BAL 11-24" sheetId="49" state="hidden" r:id="rId32"/>
    <sheet name="BAL 12-24" sheetId="20" r:id="rId33"/>
    <sheet name="P&amp;L 12-24" sheetId="5" state="hidden" r:id="rId34"/>
    <sheet name="P&amp;L analyt 12-24" sheetId="9" state="hidden" r:id="rId35"/>
    <sheet name="BILAN" sheetId="8" r:id="rId36"/>
    <sheet name="Resume" sheetId="11" state="hidden" r:id="rId37"/>
    <sheet name="Notes" sheetId="23" r:id="rId38"/>
    <sheet name="STOCK SNA 04-24" sheetId="21" state="hidden" r:id="rId39"/>
    <sheet name="STK 06-24" sheetId="31" state="hidden" r:id="rId40"/>
    <sheet name="BAL 06-24" sheetId="33" state="hidden" r:id="rId41"/>
    <sheet name="BAL 06-23" sheetId="34" state="hidden" r:id="rId42"/>
    <sheet name="OD 06-24" sheetId="35" state="hidden" r:id="rId43"/>
    <sheet name="STK 08-24" sheetId="36" state="hidden" r:id="rId44"/>
    <sheet name="STK 12-24" sheetId="42" r:id="rId45"/>
    <sheet name="ETAT DE RESULTAT" sheetId="52" r:id="rId46"/>
    <sheet name="BAL 10-23 " sheetId="48" state="hidden" r:id="rId47"/>
    <sheet name="ET.FLUX" sheetId="53" state="hidden" r:id="rId48"/>
  </sheets>
  <externalReferences>
    <externalReference r:id="rId49"/>
    <externalReference r:id="rId50"/>
    <externalReference r:id="rId51"/>
  </externalReferences>
  <definedNames>
    <definedName name="_xlnm._FilterDatabase" localSheetId="1" hidden="1">'BAL 01-23'!$A$1:$J$291</definedName>
    <definedName name="_xlnm._FilterDatabase" localSheetId="3" hidden="1">'BAL 01-24'!$A$2:$K$323</definedName>
    <definedName name="_xlnm._FilterDatabase" localSheetId="6" hidden="1">'BAL 02-23'!$A$1:$J$291</definedName>
    <definedName name="_xlnm._FilterDatabase" localSheetId="23" hidden="1">'BAL 02-24'!$A$2:$K$325</definedName>
    <definedName name="_xlnm._FilterDatabase" localSheetId="7" hidden="1">'BAL 03-23'!$A$1:$J$317</definedName>
    <definedName name="_xlnm._FilterDatabase" localSheetId="8" hidden="1">'BAL 04-23'!$A$1:$J$326</definedName>
    <definedName name="_xlnm._FilterDatabase" localSheetId="24" hidden="1">'BAL 04-24'!$A$2:$K$347</definedName>
    <definedName name="_xlnm._FilterDatabase" localSheetId="16" hidden="1">'BAL 05-23'!$A$1:$J$326</definedName>
    <definedName name="_xlnm._FilterDatabase" localSheetId="26" hidden="1">'BAL 05-24'!$A$2:$K$351</definedName>
    <definedName name="_xlnm._FilterDatabase" localSheetId="41" hidden="1">'BAL 06-23'!$A$1:$J$338</definedName>
    <definedName name="_xlnm._FilterDatabase" localSheetId="40" hidden="1">'BAL 06-24'!$A$2:$K$355</definedName>
    <definedName name="_xlnm._FilterDatabase" localSheetId="17" hidden="1">'BAL 07-23'!$A$1:$J$338</definedName>
    <definedName name="_xlnm._FilterDatabase" localSheetId="27" hidden="1">'BAL 07-24'!$A$2:$K$355</definedName>
    <definedName name="_xlnm._FilterDatabase" localSheetId="28" hidden="1">'BAL 08-24'!$A$2:$K$358</definedName>
    <definedName name="_xlnm._FilterDatabase" localSheetId="18" hidden="1">'BAL 09-23'!$A$1:$J$346</definedName>
    <definedName name="_xlnm._FilterDatabase" localSheetId="29" hidden="1">'BAL 09-24'!$A$2:$K$358</definedName>
    <definedName name="_xlnm._FilterDatabase" localSheetId="46" hidden="1">'BAL 10-23 '!$A$1:$J$346</definedName>
    <definedName name="_xlnm._FilterDatabase" localSheetId="30" hidden="1">'BAL 10-24'!$A$2:$N$358</definedName>
    <definedName name="_xlnm._FilterDatabase" localSheetId="19" hidden="1">'BAL 11-23'!#REF!</definedName>
    <definedName name="_xlnm._FilterDatabase" localSheetId="31" hidden="1">'BAL 11-24'!$A$2:$N$360</definedName>
    <definedName name="_xlnm._FilterDatabase" localSheetId="20" hidden="1">'BAL 12-23'!$A$1:$J$351</definedName>
    <definedName name="_xlnm._FilterDatabase" localSheetId="32" hidden="1">'BAL 12-24'!$A$2:$N$359</definedName>
    <definedName name="_xlnm._FilterDatabase" localSheetId="2" hidden="1">'OD 01-24'!$A$1:$G$57</definedName>
    <definedName name="_xlnm._FilterDatabase" localSheetId="21" hidden="1">'OD 02-24'!$A$1:$G$57</definedName>
    <definedName name="_xlnm._FilterDatabase" localSheetId="22" hidden="1">'OD 04-24'!$A$1:$G$57</definedName>
    <definedName name="_xlnm._FilterDatabase" localSheetId="9" hidden="1">'OD 05-24'!$A$1:$G$57</definedName>
    <definedName name="_xlnm._FilterDatabase" localSheetId="42" hidden="1">'OD 06-24'!$A$1:$G$57</definedName>
    <definedName name="_xlnm._FilterDatabase" localSheetId="10" hidden="1">'OD 07-24'!$A$1:$G$57</definedName>
    <definedName name="_xlnm._FilterDatabase" localSheetId="11" hidden="1">'OD 08-24'!$A$1:$G$57</definedName>
    <definedName name="_xlnm._FilterDatabase" localSheetId="12" hidden="1">'OD 09-24'!$A$1:$G$57</definedName>
    <definedName name="_xlnm._FilterDatabase" localSheetId="13" hidden="1">'OD 10-24'!$A$1:$G$57</definedName>
    <definedName name="_xlnm._FilterDatabase" localSheetId="14" hidden="1">'OD 11-24'!$A$1:$G$57</definedName>
    <definedName name="_xlnm._FilterDatabase" localSheetId="15" hidden="1">'OD 12-24'!$A$1:$G$57</definedName>
    <definedName name="_xlnm._FilterDatabase" localSheetId="43" hidden="1">'STK 08-24'!$A$13:$L$13</definedName>
    <definedName name="_xlnm._FilterDatabase" localSheetId="44" hidden="1">'STK 12-24'!$A$66:$L$66</definedName>
    <definedName name="_xlnm._FilterDatabase" localSheetId="25" hidden="1">'Stock 29-02-2024'!$A$3:$I$3734</definedName>
    <definedName name="_xlnm._FilterDatabase" localSheetId="4" hidden="1">'Stock 31-01-2024'!$A$3:$I$3958</definedName>
    <definedName name="DateFin1" localSheetId="41">#REF!</definedName>
    <definedName name="DateFin1" localSheetId="40">#REF!</definedName>
    <definedName name="DateFin1" localSheetId="27">#REF!</definedName>
    <definedName name="DateFin1" localSheetId="42">#REF!</definedName>
    <definedName name="DateFin1" localSheetId="10">#REF!</definedName>
    <definedName name="DateFin2" localSheetId="6">#REF!</definedName>
    <definedName name="DateFin2" localSheetId="23">#REF!</definedName>
    <definedName name="DateFin2" localSheetId="7">#REF!</definedName>
    <definedName name="DateFin2" localSheetId="8">#REF!</definedName>
    <definedName name="DateFin2" localSheetId="24">#REF!</definedName>
    <definedName name="DateFin2" localSheetId="16">#REF!</definedName>
    <definedName name="DateFin2" localSheetId="26">#REF!</definedName>
    <definedName name="DateFin2" localSheetId="41">#REF!</definedName>
    <definedName name="DateFin2" localSheetId="40">#REF!</definedName>
    <definedName name="DateFin2" localSheetId="17">#REF!</definedName>
    <definedName name="DateFin2" localSheetId="27">#REF!</definedName>
    <definedName name="DateFin2" localSheetId="28">#REF!</definedName>
    <definedName name="DateFin2" localSheetId="18">#REF!</definedName>
    <definedName name="DateFin2" localSheetId="29">#REF!</definedName>
    <definedName name="DateFin2" localSheetId="46">#REF!</definedName>
    <definedName name="DateFin2" localSheetId="30">#REF!</definedName>
    <definedName name="DateFin2" localSheetId="19">#REF!</definedName>
    <definedName name="DateFin2" localSheetId="31">#REF!</definedName>
    <definedName name="DateFin2" localSheetId="20">#REF!</definedName>
    <definedName name="DateFin2" localSheetId="32">#REF!</definedName>
    <definedName name="DateFin2" localSheetId="5">#REF!</definedName>
    <definedName name="DateFin2" localSheetId="21">#REF!</definedName>
    <definedName name="DateFin2" localSheetId="22">#REF!</definedName>
    <definedName name="DateFin2" localSheetId="9">#REF!</definedName>
    <definedName name="DateFin2" localSheetId="42">#REF!</definedName>
    <definedName name="DateFin2" localSheetId="10">#REF!</definedName>
    <definedName name="DateFin2" localSheetId="11">#REF!</definedName>
    <definedName name="DateFin2" localSheetId="12">#REF!</definedName>
    <definedName name="DateFin2" localSheetId="13">#REF!</definedName>
    <definedName name="DateFin2" localSheetId="14">#REF!</definedName>
    <definedName name="DateFin2" localSheetId="15">#REF!</definedName>
    <definedName name="DateFin2" localSheetId="25">#REF!</definedName>
    <definedName name="Ecrx_CodeGroupeAnalyse" localSheetId="6">#REF!</definedName>
    <definedName name="Ecrx_CodeGroupeAnalyse" localSheetId="23">#REF!</definedName>
    <definedName name="Ecrx_CodeGroupeAnalyse" localSheetId="7">#REF!</definedName>
    <definedName name="Ecrx_CodeGroupeAnalyse" localSheetId="8">#REF!</definedName>
    <definedName name="Ecrx_CodeGroupeAnalyse" localSheetId="24">#REF!</definedName>
    <definedName name="Ecrx_CodeGroupeAnalyse" localSheetId="16">#REF!</definedName>
    <definedName name="Ecrx_CodeGroupeAnalyse" localSheetId="26">#REF!</definedName>
    <definedName name="Ecrx_CodeGroupeAnalyse" localSheetId="41">#REF!</definedName>
    <definedName name="Ecrx_CodeGroupeAnalyse" localSheetId="40">#REF!</definedName>
    <definedName name="Ecrx_CodeGroupeAnalyse" localSheetId="17">#REF!</definedName>
    <definedName name="Ecrx_CodeGroupeAnalyse" localSheetId="27">#REF!</definedName>
    <definedName name="Ecrx_CodeGroupeAnalyse" localSheetId="28">#REF!</definedName>
    <definedName name="Ecrx_CodeGroupeAnalyse" localSheetId="18">#REF!</definedName>
    <definedName name="Ecrx_CodeGroupeAnalyse" localSheetId="29">#REF!</definedName>
    <definedName name="Ecrx_CodeGroupeAnalyse" localSheetId="46">#REF!</definedName>
    <definedName name="Ecrx_CodeGroupeAnalyse" localSheetId="30">#REF!</definedName>
    <definedName name="Ecrx_CodeGroupeAnalyse" localSheetId="19">#REF!</definedName>
    <definedName name="Ecrx_CodeGroupeAnalyse" localSheetId="31">#REF!</definedName>
    <definedName name="Ecrx_CodeGroupeAnalyse" localSheetId="20">#REF!</definedName>
    <definedName name="Ecrx_CodeGroupeAnalyse" localSheetId="32">#REF!</definedName>
    <definedName name="Ecrx_CodeGroupeAnalyse" localSheetId="5">#REF!</definedName>
    <definedName name="Ecrx_CodeGroupeAnalyse" localSheetId="21">#REF!</definedName>
    <definedName name="Ecrx_CodeGroupeAnalyse" localSheetId="22">#REF!</definedName>
    <definedName name="Ecrx_CodeGroupeAnalyse" localSheetId="9">#REF!</definedName>
    <definedName name="Ecrx_CodeGroupeAnalyse" localSheetId="42">#REF!</definedName>
    <definedName name="Ecrx_CodeGroupeAnalyse" localSheetId="10">#REF!</definedName>
    <definedName name="Ecrx_CodeGroupeAnalyse" localSheetId="11">#REF!</definedName>
    <definedName name="Ecrx_CodeGroupeAnalyse" localSheetId="12">#REF!</definedName>
    <definedName name="Ecrx_CodeGroupeAnalyse" localSheetId="13">#REF!</definedName>
    <definedName name="Ecrx_CodeGroupeAnalyse" localSheetId="14">#REF!</definedName>
    <definedName name="Ecrx_CodeGroupeAnalyse" localSheetId="15">#REF!</definedName>
    <definedName name="Ecrx_CodeGroupeAnalyse" localSheetId="25">#REF!</definedName>
    <definedName name="Ecrx_CompteAux" localSheetId="6">#REF!</definedName>
    <definedName name="Ecrx_CompteAux" localSheetId="23">#REF!</definedName>
    <definedName name="Ecrx_CompteAux" localSheetId="7">#REF!</definedName>
    <definedName name="Ecrx_CompteAux" localSheetId="8">#REF!</definedName>
    <definedName name="Ecrx_CompteAux" localSheetId="24">#REF!</definedName>
    <definedName name="Ecrx_CompteAux" localSheetId="16">#REF!</definedName>
    <definedName name="Ecrx_CompteAux" localSheetId="26">#REF!</definedName>
    <definedName name="Ecrx_CompteAux" localSheetId="41">#REF!</definedName>
    <definedName name="Ecrx_CompteAux" localSheetId="40">#REF!</definedName>
    <definedName name="Ecrx_CompteAux" localSheetId="17">#REF!</definedName>
    <definedName name="Ecrx_CompteAux" localSheetId="27">#REF!</definedName>
    <definedName name="Ecrx_CompteAux" localSheetId="28">#REF!</definedName>
    <definedName name="Ecrx_CompteAux" localSheetId="18">#REF!</definedName>
    <definedName name="Ecrx_CompteAux" localSheetId="29">#REF!</definedName>
    <definedName name="Ecrx_CompteAux" localSheetId="46">#REF!</definedName>
    <definedName name="Ecrx_CompteAux" localSheetId="30">#REF!</definedName>
    <definedName name="Ecrx_CompteAux" localSheetId="19">#REF!</definedName>
    <definedName name="Ecrx_CompteAux" localSheetId="31">#REF!</definedName>
    <definedName name="Ecrx_CompteAux" localSheetId="20">#REF!</definedName>
    <definedName name="Ecrx_CompteAux" localSheetId="32">#REF!</definedName>
    <definedName name="Ecrx_CompteAux" localSheetId="5">#REF!</definedName>
    <definedName name="Ecrx_CompteAux" localSheetId="21">#REF!</definedName>
    <definedName name="Ecrx_CompteAux" localSheetId="22">#REF!</definedName>
    <definedName name="Ecrx_CompteAux" localSheetId="9">#REF!</definedName>
    <definedName name="Ecrx_CompteAux" localSheetId="42">#REF!</definedName>
    <definedName name="Ecrx_CompteAux" localSheetId="10">#REF!</definedName>
    <definedName name="Ecrx_CompteAux" localSheetId="11">#REF!</definedName>
    <definedName name="Ecrx_CompteAux" localSheetId="12">#REF!</definedName>
    <definedName name="Ecrx_CompteAux" localSheetId="13">#REF!</definedName>
    <definedName name="Ecrx_CompteAux" localSheetId="14">#REF!</definedName>
    <definedName name="Ecrx_CompteAux" localSheetId="15">#REF!</definedName>
    <definedName name="Ecrx_CompteAux" localSheetId="25">#REF!</definedName>
    <definedName name="EcrX_CompteGen" localSheetId="6">#REF!</definedName>
    <definedName name="EcrX_CompteGen" localSheetId="23">#REF!</definedName>
    <definedName name="EcrX_CompteGen" localSheetId="7">#REF!</definedName>
    <definedName name="EcrX_CompteGen" localSheetId="8">#REF!</definedName>
    <definedName name="EcrX_CompteGen" localSheetId="24">#REF!</definedName>
    <definedName name="EcrX_CompteGen" localSheetId="16">#REF!</definedName>
    <definedName name="EcrX_CompteGen" localSheetId="26">#REF!</definedName>
    <definedName name="EcrX_CompteGen" localSheetId="41">#REF!</definedName>
    <definedName name="EcrX_CompteGen" localSheetId="40">#REF!</definedName>
    <definedName name="EcrX_CompteGen" localSheetId="17">#REF!</definedName>
    <definedName name="EcrX_CompteGen" localSheetId="27">#REF!</definedName>
    <definedName name="EcrX_CompteGen" localSheetId="28">#REF!</definedName>
    <definedName name="EcrX_CompteGen" localSheetId="18">#REF!</definedName>
    <definedName name="EcrX_CompteGen" localSheetId="29">#REF!</definedName>
    <definedName name="EcrX_CompteGen" localSheetId="46">#REF!</definedName>
    <definedName name="EcrX_CompteGen" localSheetId="30">#REF!</definedName>
    <definedName name="EcrX_CompteGen" localSheetId="19">#REF!</definedName>
    <definedName name="EcrX_CompteGen" localSheetId="31">#REF!</definedName>
    <definedName name="EcrX_CompteGen" localSheetId="20">#REF!</definedName>
    <definedName name="EcrX_CompteGen" localSheetId="32">#REF!</definedName>
    <definedName name="EcrX_CompteGen" localSheetId="5">#REF!</definedName>
    <definedName name="EcrX_CompteGen" localSheetId="21">#REF!</definedName>
    <definedName name="EcrX_CompteGen" localSheetId="22">#REF!</definedName>
    <definedName name="EcrX_CompteGen" localSheetId="9">#REF!</definedName>
    <definedName name="EcrX_CompteGen" localSheetId="42">#REF!</definedName>
    <definedName name="EcrX_CompteGen" localSheetId="10">#REF!</definedName>
    <definedName name="EcrX_CompteGen" localSheetId="11">#REF!</definedName>
    <definedName name="EcrX_CompteGen" localSheetId="12">#REF!</definedName>
    <definedName name="EcrX_CompteGen" localSheetId="13">#REF!</definedName>
    <definedName name="EcrX_CompteGen" localSheetId="14">#REF!</definedName>
    <definedName name="EcrX_CompteGen" localSheetId="15">#REF!</definedName>
    <definedName name="EcrX_CompteGen" localSheetId="25">#REF!</definedName>
    <definedName name="Ecrx_DateFin" localSheetId="6">#REF!</definedName>
    <definedName name="Ecrx_DateFin" localSheetId="23">#REF!</definedName>
    <definedName name="Ecrx_DateFin" localSheetId="7">#REF!</definedName>
    <definedName name="Ecrx_DateFin" localSheetId="8">#REF!</definedName>
    <definedName name="Ecrx_DateFin" localSheetId="24">#REF!</definedName>
    <definedName name="Ecrx_DateFin" localSheetId="16">#REF!</definedName>
    <definedName name="Ecrx_DateFin" localSheetId="26">#REF!</definedName>
    <definedName name="Ecrx_DateFin" localSheetId="41">#REF!</definedName>
    <definedName name="Ecrx_DateFin" localSheetId="40">#REF!</definedName>
    <definedName name="Ecrx_DateFin" localSheetId="17">#REF!</definedName>
    <definedName name="Ecrx_DateFin" localSheetId="27">#REF!</definedName>
    <definedName name="Ecrx_DateFin" localSheetId="28">#REF!</definedName>
    <definedName name="Ecrx_DateFin" localSheetId="18">#REF!</definedName>
    <definedName name="Ecrx_DateFin" localSheetId="29">#REF!</definedName>
    <definedName name="Ecrx_DateFin" localSheetId="46">#REF!</definedName>
    <definedName name="Ecrx_DateFin" localSheetId="30">#REF!</definedName>
    <definedName name="Ecrx_DateFin" localSheetId="19">#REF!</definedName>
    <definedName name="Ecrx_DateFin" localSheetId="31">#REF!</definedName>
    <definedName name="Ecrx_DateFin" localSheetId="20">#REF!</definedName>
    <definedName name="Ecrx_DateFin" localSheetId="32">#REF!</definedName>
    <definedName name="Ecrx_DateFin" localSheetId="5">#REF!</definedName>
    <definedName name="Ecrx_DateFin" localSheetId="21">#REF!</definedName>
    <definedName name="Ecrx_DateFin" localSheetId="22">#REF!</definedName>
    <definedName name="Ecrx_DateFin" localSheetId="9">#REF!</definedName>
    <definedName name="Ecrx_DateFin" localSheetId="42">#REF!</definedName>
    <definedName name="Ecrx_DateFin" localSheetId="10">#REF!</definedName>
    <definedName name="Ecrx_DateFin" localSheetId="11">#REF!</definedName>
    <definedName name="Ecrx_DateFin" localSheetId="12">#REF!</definedName>
    <definedName name="Ecrx_DateFin" localSheetId="13">#REF!</definedName>
    <definedName name="Ecrx_DateFin" localSheetId="14">#REF!</definedName>
    <definedName name="Ecrx_DateFin" localSheetId="15">#REF!</definedName>
    <definedName name="Ecrx_DateFin" localSheetId="25">#REF!</definedName>
    <definedName name="Ecrx_TypeEcriture" localSheetId="6">#REF!</definedName>
    <definedName name="Ecrx_TypeEcriture" localSheetId="23">#REF!</definedName>
    <definedName name="Ecrx_TypeEcriture" localSheetId="7">#REF!</definedName>
    <definedName name="Ecrx_TypeEcriture" localSheetId="8">#REF!</definedName>
    <definedName name="Ecrx_TypeEcriture" localSheetId="24">#REF!</definedName>
    <definedName name="Ecrx_TypeEcriture" localSheetId="16">#REF!</definedName>
    <definedName name="Ecrx_TypeEcriture" localSheetId="26">#REF!</definedName>
    <definedName name="Ecrx_TypeEcriture" localSheetId="41">#REF!</definedName>
    <definedName name="Ecrx_TypeEcriture" localSheetId="40">#REF!</definedName>
    <definedName name="Ecrx_TypeEcriture" localSheetId="17">#REF!</definedName>
    <definedName name="Ecrx_TypeEcriture" localSheetId="27">#REF!</definedName>
    <definedName name="Ecrx_TypeEcriture" localSheetId="28">#REF!</definedName>
    <definedName name="Ecrx_TypeEcriture" localSheetId="18">#REF!</definedName>
    <definedName name="Ecrx_TypeEcriture" localSheetId="29">#REF!</definedName>
    <definedName name="Ecrx_TypeEcriture" localSheetId="46">#REF!</definedName>
    <definedName name="Ecrx_TypeEcriture" localSheetId="30">#REF!</definedName>
    <definedName name="Ecrx_TypeEcriture" localSheetId="19">#REF!</definedName>
    <definedName name="Ecrx_TypeEcriture" localSheetId="31">#REF!</definedName>
    <definedName name="Ecrx_TypeEcriture" localSheetId="20">#REF!</definedName>
    <definedName name="Ecrx_TypeEcriture" localSheetId="32">#REF!</definedName>
    <definedName name="Ecrx_TypeEcriture" localSheetId="5">#REF!</definedName>
    <definedName name="Ecrx_TypeEcriture" localSheetId="21">#REF!</definedName>
    <definedName name="Ecrx_TypeEcriture" localSheetId="22">#REF!</definedName>
    <definedName name="Ecrx_TypeEcriture" localSheetId="9">#REF!</definedName>
    <definedName name="Ecrx_TypeEcriture" localSheetId="42">#REF!</definedName>
    <definedName name="Ecrx_TypeEcriture" localSheetId="10">#REF!</definedName>
    <definedName name="Ecrx_TypeEcriture" localSheetId="11">#REF!</definedName>
    <definedName name="Ecrx_TypeEcriture" localSheetId="12">#REF!</definedName>
    <definedName name="Ecrx_TypeEcriture" localSheetId="13">#REF!</definedName>
    <definedName name="Ecrx_TypeEcriture" localSheetId="14">#REF!</definedName>
    <definedName name="Ecrx_TypeEcriture" localSheetId="15">#REF!</definedName>
    <definedName name="Ecrx_TypeEcriture" localSheetId="25">#REF!</definedName>
    <definedName name="_xlnm.Print_Area" localSheetId="1">'BAL 01-23'!$A$1:$J$1</definedName>
    <definedName name="_xlnm.Print_Area" localSheetId="6">'BAL 02-23'!$A$1:$J$1</definedName>
    <definedName name="_xlnm.Print_Area" localSheetId="7">'BAL 03-23'!$A$1:$J$1</definedName>
    <definedName name="_xlnm.Print_Area" localSheetId="8">'BAL 04-23'!$A$1:$J$1</definedName>
    <definedName name="_xlnm.Print_Area" localSheetId="16">'BAL 05-23'!$A$1:$J$1</definedName>
    <definedName name="_xlnm.Print_Area" localSheetId="41">'BAL 06-23'!$A$1:$J$1</definedName>
    <definedName name="_xlnm.Print_Area" localSheetId="17">'BAL 07-23'!$A$1:$J$1</definedName>
    <definedName name="_xlnm.Print_Area" localSheetId="18">'BAL 09-23'!$A$1:$J$1</definedName>
    <definedName name="_xlnm.Print_Area" localSheetId="46">'BAL 10-23 '!$A$1:$J$1</definedName>
    <definedName name="_xlnm.Print_Area" localSheetId="19">'BAL 11-23'!#REF!</definedName>
    <definedName name="_xlnm.Print_Area" localSheetId="20">'BAL 12-23'!#REF!</definedName>
    <definedName name="_xlnm.Print_Area" localSheetId="33">'P&amp;L 12-24'!$C$2:$I$44</definedName>
    <definedName name="_xlnm.Print_Area" localSheetId="25">'Stock 29-02-2024'!$B$151:$F$151</definedName>
    <definedName name="_xlnm.Print_Area" localSheetId="4">'Stock 31-01-2024'!$B$151:$F$151</definedName>
  </definedNames>
  <calcPr calcId="191029"/>
  <pivotCaches>
    <pivotCache cacheId="71" r:id="rId52"/>
    <pivotCache cacheId="72" r:id="rId5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7" i="53" l="1"/>
  <c r="G58" i="53" s="1"/>
  <c r="E57" i="53"/>
  <c r="G49" i="53"/>
  <c r="E35" i="53"/>
  <c r="E47" i="53" s="1"/>
  <c r="E31" i="53"/>
  <c r="E18" i="53"/>
  <c r="B1" i="53"/>
  <c r="G31" i="52" l="1"/>
  <c r="G30" i="52"/>
  <c r="G19" i="52"/>
  <c r="G9" i="52"/>
  <c r="E34" i="52"/>
  <c r="E31" i="52"/>
  <c r="E30" i="52"/>
  <c r="E9" i="52"/>
  <c r="G39" i="52"/>
  <c r="E39" i="52"/>
  <c r="D343" i="20" l="1"/>
  <c r="E346" i="20"/>
  <c r="C232" i="23" l="1"/>
  <c r="E131" i="20"/>
  <c r="D131" i="20"/>
  <c r="D141" i="20"/>
  <c r="E139" i="20"/>
  <c r="E137" i="20"/>
  <c r="E135" i="20"/>
  <c r="D133" i="20"/>
  <c r="D132" i="20"/>
  <c r="D183" i="20"/>
  <c r="D336" i="20"/>
  <c r="D142" i="20"/>
  <c r="D119" i="20"/>
  <c r="D122" i="20"/>
  <c r="D120" i="20"/>
  <c r="D123" i="20"/>
  <c r="D112" i="20"/>
  <c r="E87" i="20"/>
  <c r="C229" i="23"/>
  <c r="C225" i="23"/>
  <c r="E230" i="23"/>
  <c r="E228" i="23" l="1"/>
  <c r="C132" i="23"/>
  <c r="C474" i="23" l="1"/>
  <c r="C471" i="23"/>
  <c r="C467" i="23"/>
  <c r="D468" i="23"/>
  <c r="C417" i="23"/>
  <c r="C415" i="23"/>
  <c r="D370" i="23"/>
  <c r="D257" i="23"/>
  <c r="G24" i="9" l="1"/>
  <c r="G18" i="9"/>
  <c r="E352" i="19" l="1"/>
  <c r="D352" i="19"/>
  <c r="C352" i="19"/>
  <c r="F351" i="19"/>
  <c r="G351" i="19" s="1"/>
  <c r="F350" i="19"/>
  <c r="G350" i="19" s="1"/>
  <c r="D478" i="23" s="1"/>
  <c r="F349" i="19"/>
  <c r="G349" i="19" s="1"/>
  <c r="D477" i="23" s="1"/>
  <c r="F348" i="19"/>
  <c r="G348" i="19" s="1"/>
  <c r="F347" i="19"/>
  <c r="G347" i="19" s="1"/>
  <c r="F346" i="19"/>
  <c r="G346" i="19" s="1"/>
  <c r="F345" i="19"/>
  <c r="G345" i="19" s="1"/>
  <c r="F344" i="19"/>
  <c r="G344" i="19" s="1"/>
  <c r="F343" i="19"/>
  <c r="G343" i="19" s="1"/>
  <c r="F342" i="19"/>
  <c r="G342" i="19" s="1"/>
  <c r="F341" i="19"/>
  <c r="G341" i="19" s="1"/>
  <c r="F340" i="19"/>
  <c r="G340" i="19" s="1"/>
  <c r="F339" i="19"/>
  <c r="G339" i="19" s="1"/>
  <c r="F338" i="19"/>
  <c r="G338" i="19" s="1"/>
  <c r="F337" i="19"/>
  <c r="G337" i="19" s="1"/>
  <c r="F336" i="19"/>
  <c r="G336" i="19" s="1"/>
  <c r="G34" i="52" s="1"/>
  <c r="F335" i="19"/>
  <c r="G335" i="19" s="1"/>
  <c r="F334" i="19"/>
  <c r="G334" i="19" s="1"/>
  <c r="F333" i="19"/>
  <c r="G333" i="19" s="1"/>
  <c r="F332" i="19"/>
  <c r="G332" i="19" s="1"/>
  <c r="F331" i="19"/>
  <c r="G331" i="19" s="1"/>
  <c r="D456" i="23" s="1"/>
  <c r="F330" i="19"/>
  <c r="G330" i="19" s="1"/>
  <c r="F329" i="19"/>
  <c r="G329" i="19" s="1"/>
  <c r="D475" i="23" s="1"/>
  <c r="F328" i="19"/>
  <c r="G328" i="19" s="1"/>
  <c r="D474" i="23" s="1"/>
  <c r="E474" i="23" s="1"/>
  <c r="F327" i="19"/>
  <c r="G327" i="19" s="1"/>
  <c r="D473" i="23" s="1"/>
  <c r="F326" i="19"/>
  <c r="G326" i="19" s="1"/>
  <c r="D472" i="23" s="1"/>
  <c r="F325" i="19"/>
  <c r="G325" i="19" s="1"/>
  <c r="D471" i="23" s="1"/>
  <c r="E471" i="23" s="1"/>
  <c r="F324" i="19"/>
  <c r="G324" i="19" s="1"/>
  <c r="F323" i="19"/>
  <c r="G323" i="19" s="1"/>
  <c r="F322" i="19"/>
  <c r="G322" i="19" s="1"/>
  <c r="D467" i="23" s="1"/>
  <c r="E467" i="23" s="1"/>
  <c r="F321" i="19"/>
  <c r="G321" i="19" s="1"/>
  <c r="F320" i="19"/>
  <c r="G320" i="19" s="1"/>
  <c r="D455" i="23" s="1"/>
  <c r="F319" i="19"/>
  <c r="G319" i="19" s="1"/>
  <c r="F318" i="19"/>
  <c r="G318" i="19" s="1"/>
  <c r="F317" i="19"/>
  <c r="G317" i="19" s="1"/>
  <c r="F316" i="19"/>
  <c r="G316" i="19" s="1"/>
  <c r="G32" i="52" s="1"/>
  <c r="F315" i="19"/>
  <c r="G315" i="19" s="1"/>
  <c r="F314" i="19"/>
  <c r="G314" i="19" s="1"/>
  <c r="F313" i="19"/>
  <c r="G313" i="19" s="1"/>
  <c r="F312" i="19"/>
  <c r="G312" i="19" s="1"/>
  <c r="F311" i="19"/>
  <c r="G311" i="19" s="1"/>
  <c r="F310" i="19"/>
  <c r="G310" i="19" s="1"/>
  <c r="F309" i="19"/>
  <c r="G309" i="19" s="1"/>
  <c r="F308" i="19"/>
  <c r="G308" i="19" s="1"/>
  <c r="F307" i="19"/>
  <c r="G307" i="19" s="1"/>
  <c r="F306" i="19"/>
  <c r="G306" i="19" s="1"/>
  <c r="F305" i="19"/>
  <c r="G305" i="19" s="1"/>
  <c r="F304" i="19"/>
  <c r="G304" i="19" s="1"/>
  <c r="F303" i="19"/>
  <c r="G303" i="19" s="1"/>
  <c r="F302" i="19"/>
  <c r="G302" i="19" s="1"/>
  <c r="F301" i="19"/>
  <c r="G301" i="19" s="1"/>
  <c r="F300" i="19"/>
  <c r="G300" i="19" s="1"/>
  <c r="F299" i="19"/>
  <c r="G299" i="19" s="1"/>
  <c r="D418" i="23" s="1"/>
  <c r="F298" i="19"/>
  <c r="G298" i="19" s="1"/>
  <c r="F297" i="19"/>
  <c r="G297" i="19" s="1"/>
  <c r="F296" i="19"/>
  <c r="G296" i="19" s="1"/>
  <c r="F295" i="19"/>
  <c r="G295" i="19" s="1"/>
  <c r="F294" i="19"/>
  <c r="G294" i="19" s="1"/>
  <c r="F293" i="19"/>
  <c r="G293" i="19" s="1"/>
  <c r="D417" i="23" s="1"/>
  <c r="E417" i="23" s="1"/>
  <c r="F292" i="19"/>
  <c r="G292" i="19" s="1"/>
  <c r="F291" i="19"/>
  <c r="G291" i="19" s="1"/>
  <c r="F290" i="19"/>
  <c r="G290" i="19" s="1"/>
  <c r="F289" i="19"/>
  <c r="G289" i="19" s="1"/>
  <c r="F288" i="19"/>
  <c r="G288" i="19" s="1"/>
  <c r="F287" i="19"/>
  <c r="G287" i="19" s="1"/>
  <c r="F286" i="19"/>
  <c r="G286" i="19" s="1"/>
  <c r="F285" i="19"/>
  <c r="G285" i="19" s="1"/>
  <c r="F284" i="19"/>
  <c r="G284" i="19" s="1"/>
  <c r="D415" i="23" s="1"/>
  <c r="E415" i="23" s="1"/>
  <c r="F283" i="19"/>
  <c r="G283" i="19" s="1"/>
  <c r="F282" i="19"/>
  <c r="G282" i="19" s="1"/>
  <c r="F281" i="19"/>
  <c r="G281" i="19" s="1"/>
  <c r="F280" i="19"/>
  <c r="G280" i="19" s="1"/>
  <c r="F279" i="19"/>
  <c r="G279" i="19" s="1"/>
  <c r="F278" i="19"/>
  <c r="G278" i="19" s="1"/>
  <c r="F277" i="19"/>
  <c r="G277" i="19" s="1"/>
  <c r="F276" i="19"/>
  <c r="G276" i="19" s="1"/>
  <c r="F275" i="19"/>
  <c r="G275" i="19" s="1"/>
  <c r="F274" i="19"/>
  <c r="G274" i="19" s="1"/>
  <c r="D416" i="23" s="1"/>
  <c r="F273" i="19"/>
  <c r="G273" i="19" s="1"/>
  <c r="F272" i="19"/>
  <c r="G272" i="19" s="1"/>
  <c r="F271" i="19"/>
  <c r="G271" i="19" s="1"/>
  <c r="F270" i="19"/>
  <c r="G270" i="19" s="1"/>
  <c r="F269" i="19"/>
  <c r="G269" i="19" s="1"/>
  <c r="F268" i="19"/>
  <c r="G268" i="19" s="1"/>
  <c r="F267" i="19"/>
  <c r="G267" i="19" s="1"/>
  <c r="F266" i="19"/>
  <c r="G266" i="19" s="1"/>
  <c r="F265" i="19"/>
  <c r="G265" i="19" s="1"/>
  <c r="F264" i="19"/>
  <c r="G264" i="19" s="1"/>
  <c r="F263" i="19"/>
  <c r="G263" i="19" s="1"/>
  <c r="F262" i="19"/>
  <c r="G262" i="19" s="1"/>
  <c r="F261" i="19"/>
  <c r="G261" i="19" s="1"/>
  <c r="F260" i="19"/>
  <c r="G260" i="19" s="1"/>
  <c r="F259" i="19"/>
  <c r="G259" i="19" s="1"/>
  <c r="F258" i="19"/>
  <c r="G258" i="19" s="1"/>
  <c r="F257" i="19"/>
  <c r="G257" i="19" s="1"/>
  <c r="F256" i="19"/>
  <c r="G256" i="19" s="1"/>
  <c r="F255" i="19"/>
  <c r="G255" i="19" s="1"/>
  <c r="F254" i="19"/>
  <c r="G254" i="19" s="1"/>
  <c r="F253" i="19"/>
  <c r="G253" i="19" s="1"/>
  <c r="F252" i="19"/>
  <c r="G252" i="19" s="1"/>
  <c r="D357" i="23" s="1"/>
  <c r="F251" i="19"/>
  <c r="G251" i="19" s="1"/>
  <c r="F250" i="19"/>
  <c r="G250" i="19" s="1"/>
  <c r="F249" i="19"/>
  <c r="G249" i="19" s="1"/>
  <c r="F248" i="19"/>
  <c r="G248" i="19" s="1"/>
  <c r="D356" i="23" s="1"/>
  <c r="F247" i="19"/>
  <c r="G247" i="19" s="1"/>
  <c r="F246" i="19"/>
  <c r="G246" i="19" s="1"/>
  <c r="F245" i="19"/>
  <c r="G245" i="19" s="1"/>
  <c r="F244" i="19"/>
  <c r="G244" i="19" s="1"/>
  <c r="F243" i="19"/>
  <c r="G243" i="19" s="1"/>
  <c r="F242" i="19"/>
  <c r="G242" i="19" s="1"/>
  <c r="F241" i="19"/>
  <c r="G241" i="19" s="1"/>
  <c r="F240" i="19"/>
  <c r="G240" i="19" s="1"/>
  <c r="F239" i="19"/>
  <c r="G239" i="19" s="1"/>
  <c r="F238" i="19"/>
  <c r="G238" i="19" s="1"/>
  <c r="F237" i="19"/>
  <c r="G237" i="19" s="1"/>
  <c r="F236" i="19"/>
  <c r="G236" i="19" s="1"/>
  <c r="F235" i="19"/>
  <c r="G235" i="19" s="1"/>
  <c r="F234" i="19"/>
  <c r="G234" i="19" s="1"/>
  <c r="F233" i="19"/>
  <c r="G233" i="19" s="1"/>
  <c r="F232" i="19"/>
  <c r="G232" i="19" s="1"/>
  <c r="F231" i="19"/>
  <c r="G231" i="19" s="1"/>
  <c r="F230" i="19"/>
  <c r="G230" i="19" s="1"/>
  <c r="F229" i="19"/>
  <c r="G229" i="19" s="1"/>
  <c r="F228" i="19"/>
  <c r="G228" i="19" s="1"/>
  <c r="F227" i="19"/>
  <c r="G227" i="19" s="1"/>
  <c r="F226" i="19"/>
  <c r="G226" i="19" s="1"/>
  <c r="F225" i="19"/>
  <c r="G225" i="19" s="1"/>
  <c r="F224" i="19"/>
  <c r="G224" i="19" s="1"/>
  <c r="F223" i="19"/>
  <c r="G223" i="19" s="1"/>
  <c r="F222" i="19"/>
  <c r="G222" i="19" s="1"/>
  <c r="F221" i="19"/>
  <c r="G221" i="19" s="1"/>
  <c r="F220" i="19"/>
  <c r="G220" i="19" s="1"/>
  <c r="F219" i="19"/>
  <c r="G219" i="19" s="1"/>
  <c r="F218" i="19"/>
  <c r="G218" i="19" s="1"/>
  <c r="F217" i="19"/>
  <c r="G217" i="19" s="1"/>
  <c r="F216" i="19"/>
  <c r="G216" i="19" s="1"/>
  <c r="F215" i="19"/>
  <c r="G215" i="19" s="1"/>
  <c r="F214" i="19"/>
  <c r="G214" i="19" s="1"/>
  <c r="F213" i="19"/>
  <c r="G213" i="19" s="1"/>
  <c r="F212" i="19"/>
  <c r="G212" i="19" s="1"/>
  <c r="F211" i="19"/>
  <c r="G211" i="19" s="1"/>
  <c r="F210" i="19"/>
  <c r="G210" i="19" s="1"/>
  <c r="F209" i="19"/>
  <c r="G209" i="19" s="1"/>
  <c r="F208" i="19"/>
  <c r="G208" i="19" s="1"/>
  <c r="F207" i="19"/>
  <c r="G207" i="19" s="1"/>
  <c r="F206" i="19"/>
  <c r="G206" i="19" s="1"/>
  <c r="F205" i="19"/>
  <c r="G205" i="19" s="1"/>
  <c r="F204" i="19"/>
  <c r="G204" i="19" s="1"/>
  <c r="F203" i="19"/>
  <c r="G203" i="19" s="1"/>
  <c r="F202" i="19"/>
  <c r="G202" i="19" s="1"/>
  <c r="F201" i="19"/>
  <c r="G201" i="19" s="1"/>
  <c r="F200" i="19"/>
  <c r="G200" i="19" s="1"/>
  <c r="F199" i="19"/>
  <c r="G199" i="19" s="1"/>
  <c r="F198" i="19"/>
  <c r="G198" i="19" s="1"/>
  <c r="F197" i="19"/>
  <c r="G197" i="19" s="1"/>
  <c r="F196" i="19"/>
  <c r="G196" i="19" s="1"/>
  <c r="F195" i="19"/>
  <c r="G195" i="19" s="1"/>
  <c r="F194" i="19"/>
  <c r="G194" i="19" s="1"/>
  <c r="F193" i="19"/>
  <c r="G193" i="19" s="1"/>
  <c r="D279" i="23" s="1"/>
  <c r="F192" i="19"/>
  <c r="G192" i="19" s="1"/>
  <c r="F191" i="19"/>
  <c r="G191" i="19" s="1"/>
  <c r="F190" i="19"/>
  <c r="G190" i="19" s="1"/>
  <c r="F189" i="19"/>
  <c r="G189" i="19" s="1"/>
  <c r="F188" i="19"/>
  <c r="G188" i="19" s="1"/>
  <c r="F187" i="19"/>
  <c r="G187" i="19" s="1"/>
  <c r="F186" i="19"/>
  <c r="G186" i="19" s="1"/>
  <c r="F185" i="19"/>
  <c r="G185" i="19" s="1"/>
  <c r="F184" i="19"/>
  <c r="G184" i="19" s="1"/>
  <c r="F183" i="19"/>
  <c r="G183" i="19" s="1"/>
  <c r="F182" i="19"/>
  <c r="G182" i="19" s="1"/>
  <c r="F181" i="19"/>
  <c r="G181" i="19" s="1"/>
  <c r="F180" i="19"/>
  <c r="G180" i="19" s="1"/>
  <c r="F179" i="19"/>
  <c r="G179" i="19" s="1"/>
  <c r="F178" i="19"/>
  <c r="G178" i="19" s="1"/>
  <c r="F177" i="19"/>
  <c r="G177" i="19" s="1"/>
  <c r="F176" i="19"/>
  <c r="G176" i="19" s="1"/>
  <c r="D277" i="23" s="1"/>
  <c r="F175" i="19"/>
  <c r="G175" i="19" s="1"/>
  <c r="D276" i="23" s="1"/>
  <c r="F174" i="19"/>
  <c r="G174" i="19" s="1"/>
  <c r="F173" i="19"/>
  <c r="G173" i="19" s="1"/>
  <c r="F172" i="19"/>
  <c r="G172" i="19" s="1"/>
  <c r="F171" i="19"/>
  <c r="G171" i="19" s="1"/>
  <c r="F170" i="19"/>
  <c r="G170" i="19" s="1"/>
  <c r="F169" i="19"/>
  <c r="G169" i="19" s="1"/>
  <c r="F168" i="19"/>
  <c r="G168" i="19" s="1"/>
  <c r="F167" i="19"/>
  <c r="G167" i="19" s="1"/>
  <c r="F166" i="19"/>
  <c r="G166" i="19" s="1"/>
  <c r="F165" i="19"/>
  <c r="G165" i="19" s="1"/>
  <c r="F164" i="19"/>
  <c r="G164" i="19" s="1"/>
  <c r="F163" i="19"/>
  <c r="G163" i="19" s="1"/>
  <c r="F162" i="19"/>
  <c r="G162" i="19" s="1"/>
  <c r="D155" i="23" s="1"/>
  <c r="F161" i="19"/>
  <c r="G161" i="19" s="1"/>
  <c r="F160" i="19"/>
  <c r="G160" i="19" s="1"/>
  <c r="D154" i="23" s="1"/>
  <c r="F159" i="19"/>
  <c r="G159" i="19" s="1"/>
  <c r="D261" i="23" s="1"/>
  <c r="F158" i="19"/>
  <c r="G158" i="19" s="1"/>
  <c r="D260" i="23" s="1"/>
  <c r="F157" i="19"/>
  <c r="G157" i="19" s="1"/>
  <c r="D259" i="23" s="1"/>
  <c r="F156" i="19"/>
  <c r="G156" i="19" s="1"/>
  <c r="F155" i="19"/>
  <c r="G155" i="19" s="1"/>
  <c r="F154" i="19"/>
  <c r="G154" i="19" s="1"/>
  <c r="F153" i="19"/>
  <c r="G153" i="19" s="1"/>
  <c r="D153" i="23" s="1"/>
  <c r="F152" i="19"/>
  <c r="G152" i="19" s="1"/>
  <c r="D152" i="23" s="1"/>
  <c r="F151" i="19"/>
  <c r="G151" i="19" s="1"/>
  <c r="D151" i="23" s="1"/>
  <c r="F150" i="19"/>
  <c r="G150" i="19" s="1"/>
  <c r="D258" i="23" s="1"/>
  <c r="F149" i="19"/>
  <c r="G149" i="19" s="1"/>
  <c r="F148" i="19"/>
  <c r="G148" i="19" s="1"/>
  <c r="F147" i="19"/>
  <c r="G147" i="19" s="1"/>
  <c r="F146" i="19"/>
  <c r="G146" i="19" s="1"/>
  <c r="F145" i="19"/>
  <c r="G145" i="19" s="1"/>
  <c r="F144" i="19"/>
  <c r="G144" i="19" s="1"/>
  <c r="F143" i="19"/>
  <c r="G143" i="19" s="1"/>
  <c r="F142" i="19"/>
  <c r="G142" i="19" s="1"/>
  <c r="F141" i="19"/>
  <c r="G141" i="19" s="1"/>
  <c r="F140" i="19"/>
  <c r="G140" i="19" s="1"/>
  <c r="F139" i="19"/>
  <c r="G139" i="19" s="1"/>
  <c r="D256" i="23" s="1"/>
  <c r="F138" i="19"/>
  <c r="G138" i="19" s="1"/>
  <c r="D255" i="23" s="1"/>
  <c r="F137" i="19"/>
  <c r="G137" i="19" s="1"/>
  <c r="F136" i="19"/>
  <c r="G136" i="19" s="1"/>
  <c r="F135" i="19"/>
  <c r="G135" i="19" s="1"/>
  <c r="F134" i="19"/>
  <c r="G134" i="19" s="1"/>
  <c r="D148" i="23" s="1"/>
  <c r="F133" i="19"/>
  <c r="G133" i="19" s="1"/>
  <c r="F132" i="19"/>
  <c r="G132" i="19" s="1"/>
  <c r="D147" i="23" s="1"/>
  <c r="F131" i="19"/>
  <c r="G131" i="19" s="1"/>
  <c r="F130" i="19"/>
  <c r="G130" i="19" s="1"/>
  <c r="F129" i="19"/>
  <c r="G129" i="19" s="1"/>
  <c r="D253" i="23" s="1"/>
  <c r="F128" i="19"/>
  <c r="G128" i="19" s="1"/>
  <c r="D146" i="23" s="1"/>
  <c r="F127" i="19"/>
  <c r="G127" i="19" s="1"/>
  <c r="F126" i="19"/>
  <c r="G126" i="19" s="1"/>
  <c r="F125" i="19"/>
  <c r="G125" i="19" s="1"/>
  <c r="F124" i="19"/>
  <c r="G124" i="19" s="1"/>
  <c r="F123" i="19"/>
  <c r="G123" i="19" s="1"/>
  <c r="D145" i="23" s="1"/>
  <c r="F122" i="19"/>
  <c r="G122" i="19" s="1"/>
  <c r="D144" i="23" s="1"/>
  <c r="F121" i="19"/>
  <c r="G121" i="19" s="1"/>
  <c r="F120" i="19"/>
  <c r="G120" i="19" s="1"/>
  <c r="F119" i="19"/>
  <c r="G119" i="19" s="1"/>
  <c r="F118" i="19"/>
  <c r="G118" i="19" s="1"/>
  <c r="F117" i="19"/>
  <c r="G117" i="19" s="1"/>
  <c r="F116" i="19"/>
  <c r="G116" i="19" s="1"/>
  <c r="D247" i="23" s="1"/>
  <c r="F115" i="19"/>
  <c r="G115" i="19" s="1"/>
  <c r="F114" i="19"/>
  <c r="G114" i="19" s="1"/>
  <c r="D245" i="23" s="1"/>
  <c r="F113" i="19"/>
  <c r="G113" i="19" s="1"/>
  <c r="F112" i="19"/>
  <c r="G112" i="19" s="1"/>
  <c r="F111" i="19"/>
  <c r="G111" i="19" s="1"/>
  <c r="D246" i="23" s="1"/>
  <c r="F110" i="19"/>
  <c r="G110" i="19" s="1"/>
  <c r="F109" i="19"/>
  <c r="G109" i="19" s="1"/>
  <c r="D244" i="23" s="1"/>
  <c r="F108" i="19"/>
  <c r="G108" i="19" s="1"/>
  <c r="F107" i="19"/>
  <c r="G107" i="19" s="1"/>
  <c r="F106" i="19"/>
  <c r="G106" i="19" s="1"/>
  <c r="F105" i="19"/>
  <c r="G105" i="19" s="1"/>
  <c r="F104" i="19"/>
  <c r="G104" i="19" s="1"/>
  <c r="F103" i="19"/>
  <c r="G103" i="19" s="1"/>
  <c r="F102" i="19"/>
  <c r="G102" i="19" s="1"/>
  <c r="F101" i="19"/>
  <c r="G101" i="19" s="1"/>
  <c r="F100" i="19"/>
  <c r="G100" i="19" s="1"/>
  <c r="F99" i="19"/>
  <c r="G99" i="19" s="1"/>
  <c r="F98" i="19"/>
  <c r="G98" i="19" s="1"/>
  <c r="F97" i="19"/>
  <c r="G97" i="19" s="1"/>
  <c r="F96" i="19"/>
  <c r="G96" i="19" s="1"/>
  <c r="F95" i="19"/>
  <c r="G95" i="19" s="1"/>
  <c r="F94" i="19"/>
  <c r="G94" i="19" s="1"/>
  <c r="F93" i="19"/>
  <c r="G93" i="19" s="1"/>
  <c r="F92" i="19"/>
  <c r="G92" i="19" s="1"/>
  <c r="F91" i="19"/>
  <c r="G91" i="19" s="1"/>
  <c r="F90" i="19"/>
  <c r="G90" i="19" s="1"/>
  <c r="F89" i="19"/>
  <c r="G89" i="19" s="1"/>
  <c r="F88" i="19"/>
  <c r="G88" i="19" s="1"/>
  <c r="F87" i="19"/>
  <c r="G87" i="19" s="1"/>
  <c r="F86" i="19"/>
  <c r="G86" i="19" s="1"/>
  <c r="F85" i="19"/>
  <c r="G85" i="19" s="1"/>
  <c r="F84" i="19"/>
  <c r="G84" i="19" s="1"/>
  <c r="F83" i="19"/>
  <c r="G83" i="19" s="1"/>
  <c r="F82" i="19"/>
  <c r="G82" i="19" s="1"/>
  <c r="F81" i="19"/>
  <c r="G81" i="19" s="1"/>
  <c r="F80" i="19"/>
  <c r="G80" i="19" s="1"/>
  <c r="F79" i="19"/>
  <c r="G79" i="19" s="1"/>
  <c r="F78" i="19"/>
  <c r="G78" i="19" s="1"/>
  <c r="F77" i="19"/>
  <c r="G77" i="19" s="1"/>
  <c r="F76" i="19"/>
  <c r="G76" i="19" s="1"/>
  <c r="F75" i="19"/>
  <c r="G75" i="19" s="1"/>
  <c r="F74" i="19"/>
  <c r="G74" i="19" s="1"/>
  <c r="F73" i="19"/>
  <c r="G73" i="19" s="1"/>
  <c r="F72" i="19"/>
  <c r="G72" i="19" s="1"/>
  <c r="F71" i="19"/>
  <c r="G71" i="19" s="1"/>
  <c r="F70" i="19"/>
  <c r="G70" i="19" s="1"/>
  <c r="F69" i="19"/>
  <c r="G69" i="19" s="1"/>
  <c r="F68" i="19"/>
  <c r="G68" i="19" s="1"/>
  <c r="F67" i="19"/>
  <c r="G67" i="19" s="1"/>
  <c r="F66" i="19"/>
  <c r="G66" i="19" s="1"/>
  <c r="F65" i="19"/>
  <c r="G65" i="19" s="1"/>
  <c r="F64" i="19"/>
  <c r="G64" i="19" s="1"/>
  <c r="F63" i="19"/>
  <c r="G63" i="19" s="1"/>
  <c r="F62" i="19"/>
  <c r="G62" i="19" s="1"/>
  <c r="F61" i="19"/>
  <c r="G61" i="19" s="1"/>
  <c r="F60" i="19"/>
  <c r="G60" i="19" s="1"/>
  <c r="F59" i="19"/>
  <c r="G59" i="19" s="1"/>
  <c r="F58" i="19"/>
  <c r="G58" i="19" s="1"/>
  <c r="F57" i="19"/>
  <c r="G57" i="19" s="1"/>
  <c r="F56" i="19"/>
  <c r="G56" i="19" s="1"/>
  <c r="F55" i="19"/>
  <c r="G55" i="19" s="1"/>
  <c r="F54" i="19"/>
  <c r="G54" i="19" s="1"/>
  <c r="F53" i="19"/>
  <c r="G53" i="19" s="1"/>
  <c r="F52" i="19"/>
  <c r="G52" i="19" s="1"/>
  <c r="F51" i="19"/>
  <c r="G51" i="19" s="1"/>
  <c r="F50" i="19"/>
  <c r="G50" i="19" s="1"/>
  <c r="F49" i="19"/>
  <c r="G49" i="19" s="1"/>
  <c r="F48" i="19"/>
  <c r="G48" i="19" s="1"/>
  <c r="F47" i="19"/>
  <c r="G47" i="19" s="1"/>
  <c r="F46" i="19"/>
  <c r="G46" i="19" s="1"/>
  <c r="F45" i="19"/>
  <c r="G45" i="19" s="1"/>
  <c r="F44" i="19"/>
  <c r="G44" i="19" s="1"/>
  <c r="F43" i="19"/>
  <c r="G43" i="19" s="1"/>
  <c r="F42" i="19"/>
  <c r="G42" i="19" s="1"/>
  <c r="F41" i="19"/>
  <c r="G41" i="19" s="1"/>
  <c r="F40" i="19"/>
  <c r="G40" i="19" s="1"/>
  <c r="F39" i="19"/>
  <c r="G39" i="19" s="1"/>
  <c r="F38" i="19"/>
  <c r="G38" i="19" s="1"/>
  <c r="F37" i="19"/>
  <c r="G37" i="19" s="1"/>
  <c r="F36" i="19"/>
  <c r="G36" i="19" s="1"/>
  <c r="F35" i="19"/>
  <c r="G35" i="19" s="1"/>
  <c r="F34" i="19"/>
  <c r="G34" i="19" s="1"/>
  <c r="F33" i="19"/>
  <c r="G33" i="19" s="1"/>
  <c r="F32" i="19"/>
  <c r="G32" i="19" s="1"/>
  <c r="F31" i="19"/>
  <c r="G31" i="19" s="1"/>
  <c r="F30" i="19"/>
  <c r="G30" i="19" s="1"/>
  <c r="F29" i="19"/>
  <c r="G29" i="19" s="1"/>
  <c r="F28" i="19"/>
  <c r="G28" i="19" s="1"/>
  <c r="F27" i="19"/>
  <c r="G27" i="19" s="1"/>
  <c r="F26" i="19"/>
  <c r="G26" i="19" s="1"/>
  <c r="F25" i="19"/>
  <c r="G25" i="19" s="1"/>
  <c r="F24" i="19"/>
  <c r="G24" i="19" s="1"/>
  <c r="F23" i="19"/>
  <c r="G23" i="19" s="1"/>
  <c r="F22" i="19"/>
  <c r="G22" i="19" s="1"/>
  <c r="F21" i="19"/>
  <c r="G21" i="19" s="1"/>
  <c r="F20" i="19"/>
  <c r="G20" i="19" s="1"/>
  <c r="F19" i="19"/>
  <c r="G19" i="19" s="1"/>
  <c r="F18" i="19"/>
  <c r="G18" i="19" s="1"/>
  <c r="F17" i="19"/>
  <c r="G17" i="19" s="1"/>
  <c r="F16" i="19"/>
  <c r="G16" i="19" s="1"/>
  <c r="F15" i="19"/>
  <c r="G15" i="19" s="1"/>
  <c r="F14" i="19"/>
  <c r="G14" i="19" s="1"/>
  <c r="F13" i="19"/>
  <c r="G13" i="19" s="1"/>
  <c r="F12" i="19"/>
  <c r="G12" i="19" s="1"/>
  <c r="F11" i="19"/>
  <c r="G11" i="19" s="1"/>
  <c r="F10" i="19"/>
  <c r="G10" i="19" s="1"/>
  <c r="F9" i="19"/>
  <c r="G9" i="19" s="1"/>
  <c r="F8" i="19"/>
  <c r="G8" i="19" s="1"/>
  <c r="F7" i="19"/>
  <c r="G7" i="19" s="1"/>
  <c r="F6" i="19"/>
  <c r="G6" i="19" s="1"/>
  <c r="F5" i="19"/>
  <c r="G5" i="19" s="1"/>
  <c r="F4" i="19"/>
  <c r="G4" i="19" s="1"/>
  <c r="F3" i="19"/>
  <c r="G3" i="19" s="1"/>
  <c r="F2" i="19"/>
  <c r="G7" i="52" l="1"/>
  <c r="G16" i="52"/>
  <c r="G29" i="52"/>
  <c r="G18" i="52"/>
  <c r="G21" i="52"/>
  <c r="G10" i="52"/>
  <c r="G9" i="9"/>
  <c r="G8" i="52"/>
  <c r="G21" i="9"/>
  <c r="G20" i="52"/>
  <c r="G17" i="52"/>
  <c r="D249" i="23"/>
  <c r="D250" i="23"/>
  <c r="D143" i="23"/>
  <c r="D248" i="23"/>
  <c r="D150" i="23"/>
  <c r="H37" i="5"/>
  <c r="G27" i="9"/>
  <c r="G25" i="9"/>
  <c r="G10" i="9"/>
  <c r="G11" i="9"/>
  <c r="G16" i="9"/>
  <c r="G23" i="9"/>
  <c r="G13" i="9"/>
  <c r="G17" i="9"/>
  <c r="G14" i="9"/>
  <c r="F352" i="19"/>
  <c r="G2" i="19"/>
  <c r="G352" i="19" s="1"/>
  <c r="G12" i="52" l="1"/>
  <c r="H18" i="52" s="1"/>
  <c r="G22" i="52"/>
  <c r="G348" i="51"/>
  <c r="F348" i="51"/>
  <c r="E348" i="51"/>
  <c r="D348" i="51"/>
  <c r="C348" i="51"/>
  <c r="H347" i="51"/>
  <c r="I347" i="51" s="1"/>
  <c r="H346" i="51"/>
  <c r="I346" i="51" s="1"/>
  <c r="H345" i="51"/>
  <c r="I345" i="51" s="1"/>
  <c r="H344" i="51"/>
  <c r="I344" i="51" s="1"/>
  <c r="H343" i="51"/>
  <c r="I343" i="51" s="1"/>
  <c r="H342" i="51"/>
  <c r="I342" i="51" s="1"/>
  <c r="H341" i="51"/>
  <c r="I341" i="51" s="1"/>
  <c r="H340" i="51"/>
  <c r="I340" i="51" s="1"/>
  <c r="H339" i="51"/>
  <c r="I339" i="51" s="1"/>
  <c r="H338" i="51"/>
  <c r="I338" i="51" s="1"/>
  <c r="H337" i="51"/>
  <c r="I337" i="51" s="1"/>
  <c r="H336" i="51"/>
  <c r="I336" i="51" s="1"/>
  <c r="H335" i="51"/>
  <c r="I335" i="51" s="1"/>
  <c r="H334" i="51"/>
  <c r="I334" i="51" s="1"/>
  <c r="H333" i="51"/>
  <c r="I333" i="51" s="1"/>
  <c r="H332" i="51"/>
  <c r="I332" i="51" s="1"/>
  <c r="H331" i="51"/>
  <c r="I331" i="51" s="1"/>
  <c r="H330" i="51"/>
  <c r="I330" i="51" s="1"/>
  <c r="H329" i="51"/>
  <c r="I329" i="51" s="1"/>
  <c r="H328" i="51"/>
  <c r="I328" i="51" s="1"/>
  <c r="H327" i="51"/>
  <c r="I327" i="51" s="1"/>
  <c r="H326" i="51"/>
  <c r="I326" i="51" s="1"/>
  <c r="H325" i="51"/>
  <c r="I325" i="51" s="1"/>
  <c r="H324" i="51"/>
  <c r="I324" i="51" s="1"/>
  <c r="H323" i="51"/>
  <c r="I323" i="51" s="1"/>
  <c r="H322" i="51"/>
  <c r="I322" i="51" s="1"/>
  <c r="H321" i="51"/>
  <c r="I321" i="51" s="1"/>
  <c r="H320" i="51"/>
  <c r="I320" i="51" s="1"/>
  <c r="H319" i="51"/>
  <c r="I319" i="51" s="1"/>
  <c r="H318" i="51"/>
  <c r="I318" i="51" s="1"/>
  <c r="H317" i="51"/>
  <c r="I317" i="51" s="1"/>
  <c r="H316" i="51"/>
  <c r="I316" i="51" s="1"/>
  <c r="H315" i="51"/>
  <c r="I315" i="51" s="1"/>
  <c r="H314" i="51"/>
  <c r="I314" i="51" s="1"/>
  <c r="H313" i="51"/>
  <c r="I313" i="51" s="1"/>
  <c r="H312" i="51"/>
  <c r="I312" i="51" s="1"/>
  <c r="H311" i="51"/>
  <c r="I311" i="51" s="1"/>
  <c r="H310" i="51"/>
  <c r="I310" i="51" s="1"/>
  <c r="H309" i="51"/>
  <c r="I309" i="51" s="1"/>
  <c r="H308" i="51"/>
  <c r="I308" i="51" s="1"/>
  <c r="H307" i="51"/>
  <c r="I307" i="51" s="1"/>
  <c r="H306" i="51"/>
  <c r="I306" i="51" s="1"/>
  <c r="H305" i="51"/>
  <c r="I305" i="51" s="1"/>
  <c r="H304" i="51"/>
  <c r="I304" i="51" s="1"/>
  <c r="H303" i="51"/>
  <c r="I303" i="51" s="1"/>
  <c r="H302" i="51"/>
  <c r="I302" i="51" s="1"/>
  <c r="H301" i="51"/>
  <c r="I301" i="51" s="1"/>
  <c r="H300" i="51"/>
  <c r="I300" i="51" s="1"/>
  <c r="H299" i="51"/>
  <c r="I299" i="51" s="1"/>
  <c r="H298" i="51"/>
  <c r="I298" i="51" s="1"/>
  <c r="H297" i="51"/>
  <c r="I297" i="51" s="1"/>
  <c r="H296" i="51"/>
  <c r="I296" i="51" s="1"/>
  <c r="H295" i="51"/>
  <c r="I295" i="51" s="1"/>
  <c r="H294" i="51"/>
  <c r="I294" i="51" s="1"/>
  <c r="H293" i="51"/>
  <c r="I293" i="51" s="1"/>
  <c r="H292" i="51"/>
  <c r="I292" i="51" s="1"/>
  <c r="H291" i="51"/>
  <c r="I291" i="51" s="1"/>
  <c r="H290" i="51"/>
  <c r="I290" i="51" s="1"/>
  <c r="H289" i="51"/>
  <c r="I289" i="51" s="1"/>
  <c r="H288" i="51"/>
  <c r="I288" i="51" s="1"/>
  <c r="H287" i="51"/>
  <c r="I287" i="51" s="1"/>
  <c r="H286" i="51"/>
  <c r="I286" i="51" s="1"/>
  <c r="H285" i="51"/>
  <c r="I285" i="51" s="1"/>
  <c r="H284" i="51"/>
  <c r="I284" i="51" s="1"/>
  <c r="H283" i="51"/>
  <c r="I283" i="51" s="1"/>
  <c r="H282" i="51"/>
  <c r="I282" i="51" s="1"/>
  <c r="H281" i="51"/>
  <c r="I281" i="51" s="1"/>
  <c r="H280" i="51"/>
  <c r="I280" i="51" s="1"/>
  <c r="H279" i="51"/>
  <c r="I279" i="51" s="1"/>
  <c r="H278" i="51"/>
  <c r="I278" i="51" s="1"/>
  <c r="H277" i="51"/>
  <c r="I277" i="51" s="1"/>
  <c r="H276" i="51"/>
  <c r="I276" i="51" s="1"/>
  <c r="H275" i="51"/>
  <c r="I275" i="51" s="1"/>
  <c r="H274" i="51"/>
  <c r="I274" i="51" s="1"/>
  <c r="H273" i="51"/>
  <c r="I273" i="51" s="1"/>
  <c r="H272" i="51"/>
  <c r="I272" i="51" s="1"/>
  <c r="H271" i="51"/>
  <c r="I271" i="51" s="1"/>
  <c r="H270" i="51"/>
  <c r="I270" i="51" s="1"/>
  <c r="H269" i="51"/>
  <c r="I269" i="51" s="1"/>
  <c r="H268" i="51"/>
  <c r="I268" i="51" s="1"/>
  <c r="H267" i="51"/>
  <c r="I267" i="51" s="1"/>
  <c r="H266" i="51"/>
  <c r="I266" i="51" s="1"/>
  <c r="H265" i="51"/>
  <c r="I265" i="51" s="1"/>
  <c r="H264" i="51"/>
  <c r="I264" i="51" s="1"/>
  <c r="H263" i="51"/>
  <c r="I263" i="51" s="1"/>
  <c r="H262" i="51"/>
  <c r="I262" i="51" s="1"/>
  <c r="H261" i="51"/>
  <c r="I261" i="51" s="1"/>
  <c r="H260" i="51"/>
  <c r="I260" i="51" s="1"/>
  <c r="H259" i="51"/>
  <c r="I259" i="51" s="1"/>
  <c r="H258" i="51"/>
  <c r="I258" i="51" s="1"/>
  <c r="H257" i="51"/>
  <c r="I257" i="51" s="1"/>
  <c r="H256" i="51"/>
  <c r="I256" i="51" s="1"/>
  <c r="H255" i="51"/>
  <c r="I255" i="51" s="1"/>
  <c r="H254" i="51"/>
  <c r="I254" i="51" s="1"/>
  <c r="H253" i="51"/>
  <c r="I253" i="51" s="1"/>
  <c r="H252" i="51"/>
  <c r="I252" i="51" s="1"/>
  <c r="H251" i="51"/>
  <c r="I251" i="51" s="1"/>
  <c r="H250" i="51"/>
  <c r="I250" i="51" s="1"/>
  <c r="H249" i="51"/>
  <c r="I249" i="51" s="1"/>
  <c r="H248" i="51"/>
  <c r="I248" i="51" s="1"/>
  <c r="H247" i="51"/>
  <c r="I247" i="51" s="1"/>
  <c r="H246" i="51"/>
  <c r="I246" i="51" s="1"/>
  <c r="H245" i="51"/>
  <c r="I245" i="51" s="1"/>
  <c r="H244" i="51"/>
  <c r="I244" i="51" s="1"/>
  <c r="H243" i="51"/>
  <c r="I243" i="51" s="1"/>
  <c r="H242" i="51"/>
  <c r="I242" i="51" s="1"/>
  <c r="H241" i="51"/>
  <c r="I241" i="51" s="1"/>
  <c r="H240" i="51"/>
  <c r="I240" i="51" s="1"/>
  <c r="H239" i="51"/>
  <c r="I239" i="51" s="1"/>
  <c r="H238" i="51"/>
  <c r="I238" i="51" s="1"/>
  <c r="H237" i="51"/>
  <c r="I237" i="51" s="1"/>
  <c r="H236" i="51"/>
  <c r="I236" i="51" s="1"/>
  <c r="H235" i="51"/>
  <c r="I235" i="51" s="1"/>
  <c r="H234" i="51"/>
  <c r="I234" i="51" s="1"/>
  <c r="H233" i="51"/>
  <c r="I233" i="51" s="1"/>
  <c r="H232" i="51"/>
  <c r="I232" i="51" s="1"/>
  <c r="H231" i="51"/>
  <c r="I231" i="51" s="1"/>
  <c r="H230" i="51"/>
  <c r="I230" i="51" s="1"/>
  <c r="H229" i="51"/>
  <c r="I229" i="51" s="1"/>
  <c r="H228" i="51"/>
  <c r="I228" i="51" s="1"/>
  <c r="H227" i="51"/>
  <c r="I227" i="51" s="1"/>
  <c r="H226" i="51"/>
  <c r="I226" i="51" s="1"/>
  <c r="H225" i="51"/>
  <c r="I225" i="51" s="1"/>
  <c r="H224" i="51"/>
  <c r="I224" i="51" s="1"/>
  <c r="H223" i="51"/>
  <c r="I223" i="51" s="1"/>
  <c r="H222" i="51"/>
  <c r="I222" i="51" s="1"/>
  <c r="H221" i="51"/>
  <c r="I221" i="51" s="1"/>
  <c r="H220" i="51"/>
  <c r="I220" i="51" s="1"/>
  <c r="H219" i="51"/>
  <c r="I219" i="51" s="1"/>
  <c r="H218" i="51"/>
  <c r="I218" i="51" s="1"/>
  <c r="H217" i="51"/>
  <c r="I217" i="51" s="1"/>
  <c r="H216" i="51"/>
  <c r="I216" i="51" s="1"/>
  <c r="H215" i="51"/>
  <c r="I215" i="51" s="1"/>
  <c r="H214" i="51"/>
  <c r="I214" i="51" s="1"/>
  <c r="H213" i="51"/>
  <c r="I213" i="51" s="1"/>
  <c r="H212" i="51"/>
  <c r="I212" i="51" s="1"/>
  <c r="H211" i="51"/>
  <c r="I211" i="51" s="1"/>
  <c r="H210" i="51"/>
  <c r="I210" i="51" s="1"/>
  <c r="H209" i="51"/>
  <c r="I209" i="51" s="1"/>
  <c r="H208" i="51"/>
  <c r="I208" i="51" s="1"/>
  <c r="H207" i="51"/>
  <c r="I207" i="51" s="1"/>
  <c r="H206" i="51"/>
  <c r="I206" i="51" s="1"/>
  <c r="H205" i="51"/>
  <c r="I205" i="51" s="1"/>
  <c r="H204" i="51"/>
  <c r="I204" i="51" s="1"/>
  <c r="H203" i="51"/>
  <c r="I203" i="51" s="1"/>
  <c r="H202" i="51"/>
  <c r="I202" i="51" s="1"/>
  <c r="H201" i="51"/>
  <c r="I201" i="51" s="1"/>
  <c r="H200" i="51"/>
  <c r="I200" i="51" s="1"/>
  <c r="H199" i="51"/>
  <c r="I199" i="51" s="1"/>
  <c r="H198" i="51"/>
  <c r="I198" i="51" s="1"/>
  <c r="H197" i="51"/>
  <c r="I197" i="51" s="1"/>
  <c r="H196" i="51"/>
  <c r="I196" i="51" s="1"/>
  <c r="H195" i="51"/>
  <c r="I195" i="51" s="1"/>
  <c r="H194" i="51"/>
  <c r="I194" i="51" s="1"/>
  <c r="H193" i="51"/>
  <c r="I193" i="51" s="1"/>
  <c r="H192" i="51"/>
  <c r="I192" i="51" s="1"/>
  <c r="H191" i="51"/>
  <c r="I191" i="51" s="1"/>
  <c r="H190" i="51"/>
  <c r="I190" i="51" s="1"/>
  <c r="H189" i="51"/>
  <c r="I189" i="51" s="1"/>
  <c r="H188" i="51"/>
  <c r="I188" i="51" s="1"/>
  <c r="H187" i="51"/>
  <c r="I187" i="51" s="1"/>
  <c r="H186" i="51"/>
  <c r="I186" i="51" s="1"/>
  <c r="H185" i="51"/>
  <c r="I185" i="51" s="1"/>
  <c r="H184" i="51"/>
  <c r="I184" i="51" s="1"/>
  <c r="H183" i="51"/>
  <c r="I183" i="51" s="1"/>
  <c r="H182" i="51"/>
  <c r="I182" i="51" s="1"/>
  <c r="H181" i="51"/>
  <c r="I181" i="51" s="1"/>
  <c r="H180" i="51"/>
  <c r="I180" i="51" s="1"/>
  <c r="H179" i="51"/>
  <c r="I179" i="51" s="1"/>
  <c r="H178" i="51"/>
  <c r="I178" i="51" s="1"/>
  <c r="H177" i="51"/>
  <c r="I177" i="51" s="1"/>
  <c r="H176" i="51"/>
  <c r="I176" i="51" s="1"/>
  <c r="H175" i="51"/>
  <c r="I175" i="51" s="1"/>
  <c r="H174" i="51"/>
  <c r="I174" i="51" s="1"/>
  <c r="H173" i="51"/>
  <c r="I173" i="51" s="1"/>
  <c r="H172" i="51"/>
  <c r="I172" i="51" s="1"/>
  <c r="H171" i="51"/>
  <c r="I171" i="51" s="1"/>
  <c r="H170" i="51"/>
  <c r="I170" i="51" s="1"/>
  <c r="H169" i="51"/>
  <c r="I169" i="51" s="1"/>
  <c r="H168" i="51"/>
  <c r="I168" i="51" s="1"/>
  <c r="H167" i="51"/>
  <c r="I167" i="51" s="1"/>
  <c r="H166" i="51"/>
  <c r="I166" i="51" s="1"/>
  <c r="H165" i="51"/>
  <c r="I165" i="51" s="1"/>
  <c r="H164" i="51"/>
  <c r="I164" i="51" s="1"/>
  <c r="H163" i="51"/>
  <c r="I163" i="51" s="1"/>
  <c r="H162" i="51"/>
  <c r="I162" i="51" s="1"/>
  <c r="H161" i="51"/>
  <c r="I161" i="51" s="1"/>
  <c r="H160" i="51"/>
  <c r="I160" i="51" s="1"/>
  <c r="H159" i="51"/>
  <c r="I159" i="51" s="1"/>
  <c r="H158" i="51"/>
  <c r="I158" i="51" s="1"/>
  <c r="H157" i="51"/>
  <c r="I157" i="51" s="1"/>
  <c r="H156" i="51"/>
  <c r="I156" i="51" s="1"/>
  <c r="H155" i="51"/>
  <c r="I155" i="51" s="1"/>
  <c r="H154" i="51"/>
  <c r="I154" i="51" s="1"/>
  <c r="H153" i="51"/>
  <c r="I153" i="51" s="1"/>
  <c r="H152" i="51"/>
  <c r="I152" i="51" s="1"/>
  <c r="H151" i="51"/>
  <c r="I151" i="51" s="1"/>
  <c r="H150" i="51"/>
  <c r="I150" i="51" s="1"/>
  <c r="H149" i="51"/>
  <c r="I149" i="51" s="1"/>
  <c r="H148" i="51"/>
  <c r="I148" i="51" s="1"/>
  <c r="H147" i="51"/>
  <c r="I147" i="51" s="1"/>
  <c r="H146" i="51"/>
  <c r="I146" i="51" s="1"/>
  <c r="H145" i="51"/>
  <c r="I145" i="51" s="1"/>
  <c r="H144" i="51"/>
  <c r="I144" i="51" s="1"/>
  <c r="H143" i="51"/>
  <c r="I143" i="51" s="1"/>
  <c r="H142" i="51"/>
  <c r="I142" i="51" s="1"/>
  <c r="H141" i="51"/>
  <c r="I141" i="51" s="1"/>
  <c r="H140" i="51"/>
  <c r="I140" i="51" s="1"/>
  <c r="H139" i="51"/>
  <c r="I139" i="51" s="1"/>
  <c r="H138" i="51"/>
  <c r="I138" i="51" s="1"/>
  <c r="H137" i="51"/>
  <c r="I137" i="51" s="1"/>
  <c r="H136" i="51"/>
  <c r="I136" i="51" s="1"/>
  <c r="H135" i="51"/>
  <c r="I135" i="51" s="1"/>
  <c r="H134" i="51"/>
  <c r="I134" i="51" s="1"/>
  <c r="H133" i="51"/>
  <c r="I133" i="51" s="1"/>
  <c r="H132" i="51"/>
  <c r="I132" i="51" s="1"/>
  <c r="H131" i="51"/>
  <c r="I131" i="51" s="1"/>
  <c r="H130" i="51"/>
  <c r="I130" i="51" s="1"/>
  <c r="H129" i="51"/>
  <c r="I129" i="51" s="1"/>
  <c r="H128" i="51"/>
  <c r="I128" i="51" s="1"/>
  <c r="H127" i="51"/>
  <c r="I127" i="51" s="1"/>
  <c r="H126" i="51"/>
  <c r="I126" i="51" s="1"/>
  <c r="H125" i="51"/>
  <c r="I125" i="51" s="1"/>
  <c r="H124" i="51"/>
  <c r="I124" i="51" s="1"/>
  <c r="H123" i="51"/>
  <c r="I123" i="51" s="1"/>
  <c r="H122" i="51"/>
  <c r="I122" i="51" s="1"/>
  <c r="H121" i="51"/>
  <c r="I121" i="51" s="1"/>
  <c r="H120" i="51"/>
  <c r="I120" i="51" s="1"/>
  <c r="H119" i="51"/>
  <c r="I119" i="51" s="1"/>
  <c r="H118" i="51"/>
  <c r="I118" i="51" s="1"/>
  <c r="H117" i="51"/>
  <c r="I117" i="51" s="1"/>
  <c r="H116" i="51"/>
  <c r="I116" i="51" s="1"/>
  <c r="H115" i="51"/>
  <c r="I115" i="51" s="1"/>
  <c r="H114" i="51"/>
  <c r="I114" i="51" s="1"/>
  <c r="H113" i="51"/>
  <c r="I113" i="51" s="1"/>
  <c r="H112" i="51"/>
  <c r="I112" i="51" s="1"/>
  <c r="H111" i="51"/>
  <c r="I111" i="51" s="1"/>
  <c r="H110" i="51"/>
  <c r="I110" i="51" s="1"/>
  <c r="H109" i="51"/>
  <c r="I109" i="51" s="1"/>
  <c r="H108" i="51"/>
  <c r="I108" i="51" s="1"/>
  <c r="H107" i="51"/>
  <c r="I107" i="51" s="1"/>
  <c r="H106" i="51"/>
  <c r="I106" i="51" s="1"/>
  <c r="H105" i="51"/>
  <c r="I105" i="51" s="1"/>
  <c r="H104" i="51"/>
  <c r="I104" i="51" s="1"/>
  <c r="H103" i="51"/>
  <c r="I103" i="51" s="1"/>
  <c r="H102" i="51"/>
  <c r="I102" i="51" s="1"/>
  <c r="H101" i="51"/>
  <c r="I101" i="51" s="1"/>
  <c r="H100" i="51"/>
  <c r="I100" i="51" s="1"/>
  <c r="H99" i="51"/>
  <c r="I99" i="51" s="1"/>
  <c r="H98" i="51"/>
  <c r="I98" i="51" s="1"/>
  <c r="H97" i="51"/>
  <c r="I97" i="51" s="1"/>
  <c r="H96" i="51"/>
  <c r="I96" i="51" s="1"/>
  <c r="H95" i="51"/>
  <c r="I95" i="51" s="1"/>
  <c r="H94" i="51"/>
  <c r="I94" i="51" s="1"/>
  <c r="H93" i="51"/>
  <c r="I93" i="51" s="1"/>
  <c r="H92" i="51"/>
  <c r="I92" i="51" s="1"/>
  <c r="H91" i="51"/>
  <c r="I91" i="51" s="1"/>
  <c r="H90" i="51"/>
  <c r="I90" i="51" s="1"/>
  <c r="H89" i="51"/>
  <c r="I89" i="51" s="1"/>
  <c r="H88" i="51"/>
  <c r="I88" i="51" s="1"/>
  <c r="H87" i="51"/>
  <c r="I87" i="51" s="1"/>
  <c r="H86" i="51"/>
  <c r="I86" i="51" s="1"/>
  <c r="H85" i="51"/>
  <c r="I85" i="51" s="1"/>
  <c r="H84" i="51"/>
  <c r="I84" i="51" s="1"/>
  <c r="H83" i="51"/>
  <c r="I83" i="51" s="1"/>
  <c r="H82" i="51"/>
  <c r="I82" i="51" s="1"/>
  <c r="H81" i="51"/>
  <c r="I81" i="51" s="1"/>
  <c r="H80" i="51"/>
  <c r="I80" i="51" s="1"/>
  <c r="H79" i="51"/>
  <c r="I79" i="51" s="1"/>
  <c r="H78" i="51"/>
  <c r="I78" i="51" s="1"/>
  <c r="H77" i="51"/>
  <c r="I77" i="51" s="1"/>
  <c r="H76" i="51"/>
  <c r="I76" i="51" s="1"/>
  <c r="H75" i="51"/>
  <c r="I75" i="51" s="1"/>
  <c r="H74" i="51"/>
  <c r="I74" i="51" s="1"/>
  <c r="H73" i="51"/>
  <c r="I73" i="51" s="1"/>
  <c r="H72" i="51"/>
  <c r="I72" i="51" s="1"/>
  <c r="H71" i="51"/>
  <c r="I71" i="51" s="1"/>
  <c r="H70" i="51"/>
  <c r="I70" i="51" s="1"/>
  <c r="H69" i="51"/>
  <c r="I69" i="51" s="1"/>
  <c r="H68" i="51"/>
  <c r="I68" i="51" s="1"/>
  <c r="H67" i="51"/>
  <c r="I67" i="51" s="1"/>
  <c r="H66" i="51"/>
  <c r="I66" i="51" s="1"/>
  <c r="H65" i="51"/>
  <c r="I65" i="51" s="1"/>
  <c r="H64" i="51"/>
  <c r="I64" i="51" s="1"/>
  <c r="H63" i="51"/>
  <c r="I63" i="51" s="1"/>
  <c r="H62" i="51"/>
  <c r="I62" i="51" s="1"/>
  <c r="H61" i="51"/>
  <c r="I61" i="51" s="1"/>
  <c r="H60" i="51"/>
  <c r="I60" i="51" s="1"/>
  <c r="H59" i="51"/>
  <c r="I59" i="51" s="1"/>
  <c r="H58" i="51"/>
  <c r="I58" i="51" s="1"/>
  <c r="H57" i="51"/>
  <c r="I57" i="51" s="1"/>
  <c r="H56" i="51"/>
  <c r="I56" i="51" s="1"/>
  <c r="H55" i="51"/>
  <c r="I55" i="51" s="1"/>
  <c r="H54" i="51"/>
  <c r="I54" i="51" s="1"/>
  <c r="H53" i="51"/>
  <c r="I53" i="51" s="1"/>
  <c r="H52" i="51"/>
  <c r="I52" i="51" s="1"/>
  <c r="H51" i="51"/>
  <c r="I51" i="51" s="1"/>
  <c r="H50" i="51"/>
  <c r="I50" i="51" s="1"/>
  <c r="H49" i="51"/>
  <c r="I49" i="51" s="1"/>
  <c r="H48" i="51"/>
  <c r="I48" i="51" s="1"/>
  <c r="H47" i="51"/>
  <c r="I47" i="51" s="1"/>
  <c r="H46" i="51"/>
  <c r="I46" i="51" s="1"/>
  <c r="H45" i="51"/>
  <c r="I45" i="51" s="1"/>
  <c r="H44" i="51"/>
  <c r="I44" i="51" s="1"/>
  <c r="H43" i="51"/>
  <c r="I43" i="51" s="1"/>
  <c r="H42" i="51"/>
  <c r="I42" i="51" s="1"/>
  <c r="H41" i="51"/>
  <c r="I41" i="51" s="1"/>
  <c r="H40" i="51"/>
  <c r="I40" i="51" s="1"/>
  <c r="H39" i="51"/>
  <c r="I39" i="51" s="1"/>
  <c r="H38" i="51"/>
  <c r="I38" i="51" s="1"/>
  <c r="H37" i="51"/>
  <c r="I37" i="51" s="1"/>
  <c r="H36" i="51"/>
  <c r="I36" i="51" s="1"/>
  <c r="H35" i="51"/>
  <c r="I35" i="51" s="1"/>
  <c r="H34" i="51"/>
  <c r="I34" i="51" s="1"/>
  <c r="H33" i="51"/>
  <c r="I33" i="51" s="1"/>
  <c r="H32" i="51"/>
  <c r="I32" i="51" s="1"/>
  <c r="H31" i="51"/>
  <c r="I31" i="51" s="1"/>
  <c r="H30" i="51"/>
  <c r="I30" i="51" s="1"/>
  <c r="H29" i="51"/>
  <c r="I29" i="51" s="1"/>
  <c r="H28" i="51"/>
  <c r="I28" i="51" s="1"/>
  <c r="H27" i="51"/>
  <c r="I27" i="51" s="1"/>
  <c r="H26" i="51"/>
  <c r="I26" i="51" s="1"/>
  <c r="H25" i="51"/>
  <c r="I25" i="51" s="1"/>
  <c r="H24" i="51"/>
  <c r="I24" i="51" s="1"/>
  <c r="H23" i="51"/>
  <c r="I23" i="51" s="1"/>
  <c r="H22" i="51"/>
  <c r="I22" i="51" s="1"/>
  <c r="H21" i="51"/>
  <c r="I21" i="51" s="1"/>
  <c r="H20" i="51"/>
  <c r="I20" i="51" s="1"/>
  <c r="H19" i="51"/>
  <c r="I19" i="51" s="1"/>
  <c r="H18" i="51"/>
  <c r="I18" i="51" s="1"/>
  <c r="H17" i="51"/>
  <c r="I17" i="51" s="1"/>
  <c r="H16" i="51"/>
  <c r="I16" i="51" s="1"/>
  <c r="H15" i="51"/>
  <c r="I15" i="51" s="1"/>
  <c r="H14" i="51"/>
  <c r="I14" i="51" s="1"/>
  <c r="H13" i="51"/>
  <c r="I13" i="51" s="1"/>
  <c r="H12" i="51"/>
  <c r="I12" i="51" s="1"/>
  <c r="H11" i="51"/>
  <c r="I11" i="51" s="1"/>
  <c r="H10" i="51"/>
  <c r="I10" i="51" s="1"/>
  <c r="H9" i="51"/>
  <c r="I9" i="51" s="1"/>
  <c r="H8" i="51"/>
  <c r="I8" i="51" s="1"/>
  <c r="H7" i="51"/>
  <c r="I7" i="51" s="1"/>
  <c r="H6" i="51"/>
  <c r="I6" i="51" s="1"/>
  <c r="H5" i="51"/>
  <c r="I5" i="51" s="1"/>
  <c r="H4" i="51"/>
  <c r="I4" i="51" s="1"/>
  <c r="H3" i="51"/>
  <c r="I3" i="51" s="1"/>
  <c r="H2" i="51"/>
  <c r="D135" i="18"/>
  <c r="E135" i="18"/>
  <c r="F135" i="18"/>
  <c r="G135" i="18"/>
  <c r="C135" i="18"/>
  <c r="G357" i="49"/>
  <c r="F357" i="49"/>
  <c r="G356" i="49"/>
  <c r="F356" i="49"/>
  <c r="G355" i="49"/>
  <c r="F355" i="49"/>
  <c r="G354" i="49"/>
  <c r="F354" i="49"/>
  <c r="G353" i="49"/>
  <c r="F353" i="49"/>
  <c r="G352" i="49"/>
  <c r="F352" i="49"/>
  <c r="G351" i="49"/>
  <c r="F351" i="49"/>
  <c r="G350" i="49"/>
  <c r="F350" i="49"/>
  <c r="G349" i="49"/>
  <c r="F349" i="49"/>
  <c r="G348" i="49"/>
  <c r="F348" i="49"/>
  <c r="G347" i="49"/>
  <c r="F347" i="49"/>
  <c r="G346" i="49"/>
  <c r="F346" i="49"/>
  <c r="G345" i="49"/>
  <c r="F345" i="49"/>
  <c r="G344" i="49"/>
  <c r="F344" i="49"/>
  <c r="G343" i="49"/>
  <c r="F343" i="49"/>
  <c r="G342" i="49"/>
  <c r="F342" i="49"/>
  <c r="G341" i="49"/>
  <c r="G340" i="49"/>
  <c r="F340" i="49"/>
  <c r="G339" i="49"/>
  <c r="F339" i="49"/>
  <c r="G338" i="49"/>
  <c r="F338" i="49"/>
  <c r="G337" i="49"/>
  <c r="F337" i="49"/>
  <c r="G336" i="49"/>
  <c r="F336" i="49"/>
  <c r="G335" i="49"/>
  <c r="F335" i="49"/>
  <c r="G334" i="49"/>
  <c r="F334" i="49"/>
  <c r="G333" i="49"/>
  <c r="F333" i="49"/>
  <c r="G332" i="49"/>
  <c r="F332" i="49"/>
  <c r="G331" i="49"/>
  <c r="F331" i="49"/>
  <c r="G330" i="49"/>
  <c r="F330" i="49"/>
  <c r="G329" i="49"/>
  <c r="F329" i="49"/>
  <c r="G328" i="49"/>
  <c r="F328" i="49"/>
  <c r="G327" i="49"/>
  <c r="F327" i="49"/>
  <c r="G326" i="49"/>
  <c r="F326" i="49"/>
  <c r="G325" i="49"/>
  <c r="F325" i="49"/>
  <c r="G324" i="49"/>
  <c r="F324" i="49"/>
  <c r="G323" i="49"/>
  <c r="F323" i="49"/>
  <c r="G322" i="49"/>
  <c r="F322" i="49"/>
  <c r="G321" i="49"/>
  <c r="F321" i="49"/>
  <c r="G320" i="49"/>
  <c r="F320" i="49"/>
  <c r="G319" i="49"/>
  <c r="F319" i="49"/>
  <c r="G318" i="49"/>
  <c r="F318" i="49"/>
  <c r="G317" i="49"/>
  <c r="F317" i="49"/>
  <c r="G316" i="49"/>
  <c r="F316" i="49"/>
  <c r="G315" i="49"/>
  <c r="F315" i="49"/>
  <c r="G314" i="49"/>
  <c r="F314" i="49"/>
  <c r="G313" i="49"/>
  <c r="F313" i="49"/>
  <c r="G312" i="49"/>
  <c r="F312" i="49"/>
  <c r="G311" i="49"/>
  <c r="F311" i="49"/>
  <c r="G310" i="49"/>
  <c r="F310" i="49"/>
  <c r="G309" i="49"/>
  <c r="F309" i="49"/>
  <c r="G308" i="49"/>
  <c r="F308" i="49"/>
  <c r="G307" i="49"/>
  <c r="F307" i="49"/>
  <c r="G306" i="49"/>
  <c r="F306" i="49"/>
  <c r="G305" i="49"/>
  <c r="F305" i="49"/>
  <c r="G304" i="49"/>
  <c r="F304" i="49"/>
  <c r="G303" i="49"/>
  <c r="F303" i="49"/>
  <c r="G302" i="49"/>
  <c r="F302" i="49"/>
  <c r="G301" i="49"/>
  <c r="F301" i="49"/>
  <c r="G300" i="49"/>
  <c r="F300" i="49"/>
  <c r="G299" i="49"/>
  <c r="F299" i="49"/>
  <c r="G298" i="49"/>
  <c r="F298" i="49"/>
  <c r="G297" i="49"/>
  <c r="F297" i="49"/>
  <c r="G296" i="49"/>
  <c r="F296" i="49"/>
  <c r="G295" i="49"/>
  <c r="F295" i="49"/>
  <c r="G294" i="49"/>
  <c r="F294" i="49"/>
  <c r="G293" i="49"/>
  <c r="F293" i="49"/>
  <c r="G292" i="49"/>
  <c r="F292" i="49"/>
  <c r="G291" i="49"/>
  <c r="F291" i="49"/>
  <c r="G290" i="49"/>
  <c r="F290" i="49"/>
  <c r="G289" i="49"/>
  <c r="F289" i="49"/>
  <c r="G288" i="49"/>
  <c r="F288" i="49"/>
  <c r="G287" i="49"/>
  <c r="F287" i="49"/>
  <c r="G286" i="49"/>
  <c r="F286" i="49"/>
  <c r="G285" i="49"/>
  <c r="F285" i="49"/>
  <c r="G284" i="49"/>
  <c r="F284" i="49"/>
  <c r="G283" i="49"/>
  <c r="F283" i="49"/>
  <c r="G282" i="49"/>
  <c r="F282" i="49"/>
  <c r="G281" i="49"/>
  <c r="F281" i="49"/>
  <c r="G280" i="49"/>
  <c r="F280" i="49"/>
  <c r="G279" i="49"/>
  <c r="F279" i="49"/>
  <c r="G278" i="49"/>
  <c r="H278" i="49" s="1"/>
  <c r="I278" i="49" s="1"/>
  <c r="F278" i="49"/>
  <c r="G277" i="49"/>
  <c r="F277" i="49"/>
  <c r="G276" i="49"/>
  <c r="F276" i="49"/>
  <c r="H276" i="49" s="1"/>
  <c r="I276" i="49" s="1"/>
  <c r="G275" i="49"/>
  <c r="F275" i="49"/>
  <c r="G274" i="49"/>
  <c r="F274" i="49"/>
  <c r="G273" i="49"/>
  <c r="F273" i="49"/>
  <c r="G272" i="49"/>
  <c r="F272" i="49"/>
  <c r="H272" i="49" s="1"/>
  <c r="I272" i="49" s="1"/>
  <c r="G271" i="49"/>
  <c r="F271" i="49"/>
  <c r="H271" i="49" s="1"/>
  <c r="I271" i="49" s="1"/>
  <c r="G270" i="49"/>
  <c r="F270" i="49"/>
  <c r="G269" i="49"/>
  <c r="F269" i="49"/>
  <c r="G268" i="49"/>
  <c r="F268" i="49"/>
  <c r="H268" i="49" s="1"/>
  <c r="I268" i="49" s="1"/>
  <c r="G267" i="49"/>
  <c r="F267" i="49"/>
  <c r="G266" i="49"/>
  <c r="F266" i="49"/>
  <c r="G265" i="49"/>
  <c r="F265" i="49"/>
  <c r="G264" i="49"/>
  <c r="F264" i="49"/>
  <c r="H264" i="49" s="1"/>
  <c r="I264" i="49" s="1"/>
  <c r="G263" i="49"/>
  <c r="F263" i="49"/>
  <c r="G262" i="49"/>
  <c r="F262" i="49"/>
  <c r="G261" i="49"/>
  <c r="F261" i="49"/>
  <c r="G260" i="49"/>
  <c r="F260" i="49"/>
  <c r="H260" i="49" s="1"/>
  <c r="I260" i="49" s="1"/>
  <c r="G259" i="49"/>
  <c r="F259" i="49"/>
  <c r="G258" i="49"/>
  <c r="F258" i="49"/>
  <c r="G257" i="49"/>
  <c r="F257" i="49"/>
  <c r="G256" i="49"/>
  <c r="F256" i="49"/>
  <c r="H256" i="49" s="1"/>
  <c r="I256" i="49" s="1"/>
  <c r="G255" i="49"/>
  <c r="F255" i="49"/>
  <c r="G254" i="49"/>
  <c r="F254" i="49"/>
  <c r="G253" i="49"/>
  <c r="F253" i="49"/>
  <c r="G252" i="49"/>
  <c r="F252" i="49"/>
  <c r="H252" i="49" s="1"/>
  <c r="I252" i="49" s="1"/>
  <c r="G251" i="49"/>
  <c r="F251" i="49"/>
  <c r="G250" i="49"/>
  <c r="F250" i="49"/>
  <c r="G249" i="49"/>
  <c r="F249" i="49"/>
  <c r="G248" i="49"/>
  <c r="F248" i="49"/>
  <c r="H248" i="49" s="1"/>
  <c r="I248" i="49" s="1"/>
  <c r="G247" i="49"/>
  <c r="F247" i="49"/>
  <c r="G246" i="49"/>
  <c r="H246" i="49" s="1"/>
  <c r="I246" i="49" s="1"/>
  <c r="F246" i="49"/>
  <c r="G245" i="49"/>
  <c r="F245" i="49"/>
  <c r="G244" i="49"/>
  <c r="F244" i="49"/>
  <c r="H244" i="49" s="1"/>
  <c r="I244" i="49" s="1"/>
  <c r="G243" i="49"/>
  <c r="F243" i="49"/>
  <c r="G242" i="49"/>
  <c r="F242" i="49"/>
  <c r="G241" i="49"/>
  <c r="F241" i="49"/>
  <c r="G240" i="49"/>
  <c r="F240" i="49"/>
  <c r="H240" i="49" s="1"/>
  <c r="I240" i="49" s="1"/>
  <c r="G239" i="49"/>
  <c r="F239" i="49"/>
  <c r="G238" i="49"/>
  <c r="F238" i="49"/>
  <c r="G237" i="49"/>
  <c r="F237" i="49"/>
  <c r="G236" i="49"/>
  <c r="F236" i="49"/>
  <c r="H236" i="49" s="1"/>
  <c r="I236" i="49" s="1"/>
  <c r="G235" i="49"/>
  <c r="F235" i="49"/>
  <c r="G234" i="49"/>
  <c r="F234" i="49"/>
  <c r="G233" i="49"/>
  <c r="F233" i="49"/>
  <c r="G232" i="49"/>
  <c r="F232" i="49"/>
  <c r="H232" i="49" s="1"/>
  <c r="I232" i="49" s="1"/>
  <c r="G231" i="49"/>
  <c r="F231" i="49"/>
  <c r="G230" i="49"/>
  <c r="F230" i="49"/>
  <c r="G229" i="49"/>
  <c r="F229" i="49"/>
  <c r="G228" i="49"/>
  <c r="F228" i="49"/>
  <c r="H228" i="49" s="1"/>
  <c r="I228" i="49" s="1"/>
  <c r="G227" i="49"/>
  <c r="F227" i="49"/>
  <c r="G226" i="49"/>
  <c r="F226" i="49"/>
  <c r="G225" i="49"/>
  <c r="F225" i="49"/>
  <c r="G224" i="49"/>
  <c r="F224" i="49"/>
  <c r="H224" i="49" s="1"/>
  <c r="I224" i="49" s="1"/>
  <c r="G223" i="49"/>
  <c r="F223" i="49"/>
  <c r="G222" i="49"/>
  <c r="F222" i="49"/>
  <c r="G221" i="49"/>
  <c r="F221" i="49"/>
  <c r="G220" i="49"/>
  <c r="F220" i="49"/>
  <c r="H220" i="49" s="1"/>
  <c r="I220" i="49" s="1"/>
  <c r="G219" i="49"/>
  <c r="F219" i="49"/>
  <c r="G218" i="49"/>
  <c r="F218" i="49"/>
  <c r="G217" i="49"/>
  <c r="F217" i="49"/>
  <c r="G216" i="49"/>
  <c r="F216" i="49"/>
  <c r="H216" i="49" s="1"/>
  <c r="I216" i="49" s="1"/>
  <c r="G215" i="49"/>
  <c r="F215" i="49"/>
  <c r="G214" i="49"/>
  <c r="F214" i="49"/>
  <c r="G213" i="49"/>
  <c r="F213" i="49"/>
  <c r="G212" i="49"/>
  <c r="F212" i="49"/>
  <c r="H212" i="49" s="1"/>
  <c r="I212" i="49" s="1"/>
  <c r="G211" i="49"/>
  <c r="F211" i="49"/>
  <c r="G210" i="49"/>
  <c r="F210" i="49"/>
  <c r="G209" i="49"/>
  <c r="F209" i="49"/>
  <c r="G208" i="49"/>
  <c r="F208" i="49"/>
  <c r="H208" i="49" s="1"/>
  <c r="I208" i="49" s="1"/>
  <c r="G207" i="49"/>
  <c r="F207" i="49"/>
  <c r="G206" i="49"/>
  <c r="F206" i="49"/>
  <c r="G205" i="49"/>
  <c r="F205" i="49"/>
  <c r="G204" i="49"/>
  <c r="F204" i="49"/>
  <c r="H204" i="49" s="1"/>
  <c r="I204" i="49" s="1"/>
  <c r="G203" i="49"/>
  <c r="F203" i="49"/>
  <c r="G202" i="49"/>
  <c r="F202" i="49"/>
  <c r="G201" i="49"/>
  <c r="F201" i="49"/>
  <c r="G200" i="49"/>
  <c r="F200" i="49"/>
  <c r="H200" i="49" s="1"/>
  <c r="I200" i="49" s="1"/>
  <c r="G199" i="49"/>
  <c r="F199" i="49"/>
  <c r="G198" i="49"/>
  <c r="H198" i="49" s="1"/>
  <c r="I198" i="49" s="1"/>
  <c r="F198" i="49"/>
  <c r="G197" i="49"/>
  <c r="F197" i="49"/>
  <c r="G196" i="49"/>
  <c r="F196" i="49"/>
  <c r="H196" i="49" s="1"/>
  <c r="I196" i="49" s="1"/>
  <c r="G195" i="49"/>
  <c r="F195" i="49"/>
  <c r="G194" i="49"/>
  <c r="F194" i="49"/>
  <c r="G193" i="49"/>
  <c r="F193" i="49"/>
  <c r="G192" i="49"/>
  <c r="F192" i="49"/>
  <c r="H192" i="49" s="1"/>
  <c r="I192" i="49" s="1"/>
  <c r="G191" i="49"/>
  <c r="F191" i="49"/>
  <c r="G190" i="49"/>
  <c r="F190" i="49"/>
  <c r="G189" i="49"/>
  <c r="F189" i="49"/>
  <c r="G188" i="49"/>
  <c r="F188" i="49"/>
  <c r="G187" i="49"/>
  <c r="F187" i="49"/>
  <c r="G186" i="49"/>
  <c r="F186" i="49"/>
  <c r="G185" i="49"/>
  <c r="F185" i="49"/>
  <c r="G184" i="49"/>
  <c r="F184" i="49"/>
  <c r="H184" i="49" s="1"/>
  <c r="I184" i="49" s="1"/>
  <c r="G183" i="49"/>
  <c r="F183" i="49"/>
  <c r="G182" i="49"/>
  <c r="H182" i="49" s="1"/>
  <c r="I182" i="49" s="1"/>
  <c r="F182" i="49"/>
  <c r="G181" i="49"/>
  <c r="F181" i="49"/>
  <c r="G180" i="49"/>
  <c r="F180" i="49"/>
  <c r="H180" i="49" s="1"/>
  <c r="I180" i="49" s="1"/>
  <c r="G179" i="49"/>
  <c r="F179" i="49"/>
  <c r="G178" i="49"/>
  <c r="F178" i="49"/>
  <c r="G177" i="49"/>
  <c r="F177" i="49"/>
  <c r="G176" i="49"/>
  <c r="F176" i="49"/>
  <c r="H176" i="49" s="1"/>
  <c r="I176" i="49" s="1"/>
  <c r="G175" i="49"/>
  <c r="F175" i="49"/>
  <c r="G174" i="49"/>
  <c r="F174" i="49"/>
  <c r="G173" i="49"/>
  <c r="F173" i="49"/>
  <c r="G172" i="49"/>
  <c r="F172" i="49"/>
  <c r="H172" i="49" s="1"/>
  <c r="I172" i="49" s="1"/>
  <c r="G171" i="49"/>
  <c r="F171" i="49"/>
  <c r="G170" i="49"/>
  <c r="F170" i="49"/>
  <c r="G169" i="49"/>
  <c r="F169" i="49"/>
  <c r="G168" i="49"/>
  <c r="F168" i="49"/>
  <c r="H168" i="49" s="1"/>
  <c r="I168" i="49" s="1"/>
  <c r="G167" i="49"/>
  <c r="F167" i="49"/>
  <c r="G166" i="49"/>
  <c r="H166" i="49" s="1"/>
  <c r="I166" i="49" s="1"/>
  <c r="F166" i="49"/>
  <c r="G165" i="49"/>
  <c r="F165" i="49"/>
  <c r="G164" i="49"/>
  <c r="F164" i="49"/>
  <c r="H164" i="49" s="1"/>
  <c r="I164" i="49" s="1"/>
  <c r="G163" i="49"/>
  <c r="F163" i="49"/>
  <c r="G162" i="49"/>
  <c r="F162" i="49"/>
  <c r="G161" i="49"/>
  <c r="F161" i="49"/>
  <c r="G160" i="49"/>
  <c r="F160" i="49"/>
  <c r="H160" i="49" s="1"/>
  <c r="I160" i="49" s="1"/>
  <c r="G159" i="49"/>
  <c r="F159" i="49"/>
  <c r="G158" i="49"/>
  <c r="H158" i="49" s="1"/>
  <c r="I158" i="49" s="1"/>
  <c r="F158" i="49"/>
  <c r="G157" i="49"/>
  <c r="F157" i="49"/>
  <c r="G156" i="49"/>
  <c r="F156" i="49"/>
  <c r="H156" i="49" s="1"/>
  <c r="I156" i="49" s="1"/>
  <c r="G155" i="49"/>
  <c r="F155" i="49"/>
  <c r="G154" i="49"/>
  <c r="F154" i="49"/>
  <c r="G153" i="49"/>
  <c r="F153" i="49"/>
  <c r="G152" i="49"/>
  <c r="F152" i="49"/>
  <c r="H152" i="49" s="1"/>
  <c r="I152" i="49" s="1"/>
  <c r="G151" i="49"/>
  <c r="F151" i="49"/>
  <c r="G150" i="49"/>
  <c r="F150" i="49"/>
  <c r="G149" i="49"/>
  <c r="F149" i="49"/>
  <c r="G148" i="49"/>
  <c r="F148" i="49"/>
  <c r="H148" i="49" s="1"/>
  <c r="I148" i="49" s="1"/>
  <c r="G147" i="49"/>
  <c r="F147" i="49"/>
  <c r="G146" i="49"/>
  <c r="F146" i="49"/>
  <c r="G145" i="49"/>
  <c r="F145" i="49"/>
  <c r="G144" i="49"/>
  <c r="F144" i="49"/>
  <c r="H144" i="49" s="1"/>
  <c r="I144" i="49" s="1"/>
  <c r="G143" i="49"/>
  <c r="F143" i="49"/>
  <c r="G142" i="49"/>
  <c r="H142" i="49" s="1"/>
  <c r="I142" i="49" s="1"/>
  <c r="F142" i="49"/>
  <c r="G141" i="49"/>
  <c r="F141" i="49"/>
  <c r="G140" i="49"/>
  <c r="F140" i="49"/>
  <c r="H140" i="49" s="1"/>
  <c r="I140" i="49" s="1"/>
  <c r="G139" i="49"/>
  <c r="F139" i="49"/>
  <c r="G138" i="49"/>
  <c r="F138" i="49"/>
  <c r="G137" i="49"/>
  <c r="F137" i="49"/>
  <c r="G136" i="49"/>
  <c r="F136" i="49"/>
  <c r="H136" i="49" s="1"/>
  <c r="I136" i="49" s="1"/>
  <c r="G135" i="49"/>
  <c r="F135" i="49"/>
  <c r="G134" i="49"/>
  <c r="F134" i="49"/>
  <c r="G133" i="49"/>
  <c r="F133" i="49"/>
  <c r="G132" i="49"/>
  <c r="F132" i="49"/>
  <c r="H132" i="49" s="1"/>
  <c r="I132" i="49" s="1"/>
  <c r="G131" i="49"/>
  <c r="F131" i="49"/>
  <c r="G130" i="49"/>
  <c r="F130" i="49"/>
  <c r="G129" i="49"/>
  <c r="F129" i="49"/>
  <c r="G128" i="49"/>
  <c r="F128" i="49"/>
  <c r="H128" i="49" s="1"/>
  <c r="I128" i="49" s="1"/>
  <c r="G127" i="49"/>
  <c r="F127" i="49"/>
  <c r="G126" i="49"/>
  <c r="H126" i="49" s="1"/>
  <c r="I126" i="49" s="1"/>
  <c r="F126" i="49"/>
  <c r="G125" i="49"/>
  <c r="F125" i="49"/>
  <c r="G124" i="49"/>
  <c r="F124" i="49"/>
  <c r="H124" i="49" s="1"/>
  <c r="I124" i="49" s="1"/>
  <c r="G123" i="49"/>
  <c r="F123" i="49"/>
  <c r="G122" i="49"/>
  <c r="F122" i="49"/>
  <c r="G121" i="49"/>
  <c r="F121" i="49"/>
  <c r="G120" i="49"/>
  <c r="F120" i="49"/>
  <c r="H120" i="49" s="1"/>
  <c r="I120" i="49" s="1"/>
  <c r="G119" i="49"/>
  <c r="F119" i="49"/>
  <c r="G118" i="49"/>
  <c r="H118" i="49" s="1"/>
  <c r="I118" i="49" s="1"/>
  <c r="F118" i="49"/>
  <c r="G117" i="49"/>
  <c r="F117" i="49"/>
  <c r="G116" i="49"/>
  <c r="F116" i="49"/>
  <c r="H116" i="49" s="1"/>
  <c r="I116" i="49" s="1"/>
  <c r="G115" i="49"/>
  <c r="F115" i="49"/>
  <c r="G114" i="49"/>
  <c r="F114" i="49"/>
  <c r="G113" i="49"/>
  <c r="F113" i="49"/>
  <c r="G112" i="49"/>
  <c r="F112" i="49"/>
  <c r="H112" i="49" s="1"/>
  <c r="I112" i="49" s="1"/>
  <c r="G111" i="49"/>
  <c r="F111" i="49"/>
  <c r="G110" i="49"/>
  <c r="H110" i="49" s="1"/>
  <c r="I110" i="49" s="1"/>
  <c r="F110" i="49"/>
  <c r="G109" i="49"/>
  <c r="F109" i="49"/>
  <c r="G108" i="49"/>
  <c r="F108" i="49"/>
  <c r="H108" i="49" s="1"/>
  <c r="I108" i="49" s="1"/>
  <c r="G107" i="49"/>
  <c r="F107" i="49"/>
  <c r="G106" i="49"/>
  <c r="F106" i="49"/>
  <c r="G105" i="49"/>
  <c r="F105" i="49"/>
  <c r="G104" i="49"/>
  <c r="F104" i="49"/>
  <c r="H104" i="49" s="1"/>
  <c r="I104" i="49" s="1"/>
  <c r="G103" i="49"/>
  <c r="F103" i="49"/>
  <c r="G102" i="49"/>
  <c r="F102" i="49"/>
  <c r="G101" i="49"/>
  <c r="F101" i="49"/>
  <c r="G100" i="49"/>
  <c r="F100" i="49"/>
  <c r="H100" i="49" s="1"/>
  <c r="I100" i="49" s="1"/>
  <c r="G99" i="49"/>
  <c r="F99" i="49"/>
  <c r="G98" i="49"/>
  <c r="H98" i="49" s="1"/>
  <c r="I98" i="49" s="1"/>
  <c r="F98" i="49"/>
  <c r="G97" i="49"/>
  <c r="H97" i="49" s="1"/>
  <c r="I97" i="49" s="1"/>
  <c r="F97" i="49"/>
  <c r="G96" i="49"/>
  <c r="F96" i="49"/>
  <c r="H96" i="49" s="1"/>
  <c r="I96" i="49" s="1"/>
  <c r="G95" i="49"/>
  <c r="F95" i="49"/>
  <c r="G94" i="49"/>
  <c r="F94" i="49"/>
  <c r="G93" i="49"/>
  <c r="F93" i="49"/>
  <c r="G92" i="49"/>
  <c r="F92" i="49"/>
  <c r="G91" i="49"/>
  <c r="F91" i="49"/>
  <c r="G90" i="49"/>
  <c r="F90" i="49"/>
  <c r="G89" i="49"/>
  <c r="F89" i="49"/>
  <c r="G88" i="49"/>
  <c r="F88" i="49"/>
  <c r="G87" i="49"/>
  <c r="F87" i="49"/>
  <c r="F86" i="49"/>
  <c r="G85" i="49"/>
  <c r="F85" i="49"/>
  <c r="G84" i="49"/>
  <c r="F84" i="49"/>
  <c r="G83" i="49"/>
  <c r="F83" i="49"/>
  <c r="G82" i="49"/>
  <c r="F82" i="49"/>
  <c r="G81" i="49"/>
  <c r="F81" i="49"/>
  <c r="G80" i="49"/>
  <c r="F80" i="49"/>
  <c r="G79" i="49"/>
  <c r="F79" i="49"/>
  <c r="G78" i="49"/>
  <c r="F78" i="49"/>
  <c r="G77" i="49"/>
  <c r="F77" i="49"/>
  <c r="G76" i="49"/>
  <c r="F76" i="49"/>
  <c r="G75" i="49"/>
  <c r="F75" i="49"/>
  <c r="G74" i="49"/>
  <c r="F74" i="49"/>
  <c r="G73" i="49"/>
  <c r="F73" i="49"/>
  <c r="G72" i="49"/>
  <c r="F72" i="49"/>
  <c r="G71" i="49"/>
  <c r="F71" i="49"/>
  <c r="G70" i="49"/>
  <c r="F70" i="49"/>
  <c r="G69" i="49"/>
  <c r="F69" i="49"/>
  <c r="G68" i="49"/>
  <c r="F68" i="49"/>
  <c r="G67" i="49"/>
  <c r="F67" i="49"/>
  <c r="G66" i="49"/>
  <c r="F66" i="49"/>
  <c r="G65" i="49"/>
  <c r="F65" i="49"/>
  <c r="G64" i="49"/>
  <c r="F64" i="49"/>
  <c r="G63" i="49"/>
  <c r="F63" i="49"/>
  <c r="G62" i="49"/>
  <c r="F62" i="49"/>
  <c r="G61" i="49"/>
  <c r="F61" i="49"/>
  <c r="G60" i="49"/>
  <c r="F60" i="49"/>
  <c r="G59" i="49"/>
  <c r="F59" i="49"/>
  <c r="G58" i="49"/>
  <c r="F58" i="49"/>
  <c r="G57" i="49"/>
  <c r="F57" i="49"/>
  <c r="G56" i="49"/>
  <c r="F56" i="49"/>
  <c r="G55" i="49"/>
  <c r="F55" i="49"/>
  <c r="G54" i="49"/>
  <c r="F54" i="49"/>
  <c r="G53" i="49"/>
  <c r="F53" i="49"/>
  <c r="G52" i="49"/>
  <c r="F52" i="49"/>
  <c r="G51" i="49"/>
  <c r="F51" i="49"/>
  <c r="G50" i="49"/>
  <c r="F50" i="49"/>
  <c r="G49" i="49"/>
  <c r="F49" i="49"/>
  <c r="G48" i="49"/>
  <c r="F48" i="49"/>
  <c r="G47" i="49"/>
  <c r="F47" i="49"/>
  <c r="G46" i="49"/>
  <c r="F46" i="49"/>
  <c r="G45" i="49"/>
  <c r="F45" i="49"/>
  <c r="G44" i="49"/>
  <c r="F44" i="49"/>
  <c r="G43" i="49"/>
  <c r="F43" i="49"/>
  <c r="G42" i="49"/>
  <c r="F42" i="49"/>
  <c r="G41" i="49"/>
  <c r="F41" i="49"/>
  <c r="G40" i="49"/>
  <c r="F40" i="49"/>
  <c r="G39" i="49"/>
  <c r="F39" i="49"/>
  <c r="G38" i="49"/>
  <c r="F38" i="49"/>
  <c r="G37" i="49"/>
  <c r="F37" i="49"/>
  <c r="G36" i="49"/>
  <c r="F36" i="49"/>
  <c r="G35" i="49"/>
  <c r="F35" i="49"/>
  <c r="G34" i="49"/>
  <c r="F34" i="49"/>
  <c r="G33" i="49"/>
  <c r="F33" i="49"/>
  <c r="G32" i="49"/>
  <c r="F32" i="49"/>
  <c r="G31" i="49"/>
  <c r="F31" i="49"/>
  <c r="G30" i="49"/>
  <c r="F30" i="49"/>
  <c r="G29" i="49"/>
  <c r="F29" i="49"/>
  <c r="G28" i="49"/>
  <c r="F28" i="49"/>
  <c r="G27" i="49"/>
  <c r="F27" i="49"/>
  <c r="G26" i="49"/>
  <c r="F26" i="49"/>
  <c r="G25" i="49"/>
  <c r="F25" i="49"/>
  <c r="G24" i="49"/>
  <c r="F24" i="49"/>
  <c r="G23" i="49"/>
  <c r="F23" i="49"/>
  <c r="G22" i="49"/>
  <c r="F22" i="49"/>
  <c r="G21" i="49"/>
  <c r="F21" i="49"/>
  <c r="G20" i="49"/>
  <c r="F20" i="49"/>
  <c r="G19" i="49"/>
  <c r="F19" i="49"/>
  <c r="G18" i="49"/>
  <c r="F18" i="49"/>
  <c r="G17" i="49"/>
  <c r="F17" i="49"/>
  <c r="G16" i="49"/>
  <c r="F16" i="49"/>
  <c r="G15" i="49"/>
  <c r="F15" i="49"/>
  <c r="G14" i="49"/>
  <c r="F14" i="49"/>
  <c r="G13" i="49"/>
  <c r="F13" i="49"/>
  <c r="G12" i="49"/>
  <c r="F12" i="49"/>
  <c r="G11" i="49"/>
  <c r="F11" i="49"/>
  <c r="G10" i="49"/>
  <c r="F10" i="49"/>
  <c r="G9" i="49"/>
  <c r="F9" i="49"/>
  <c r="G8" i="49"/>
  <c r="F8" i="49"/>
  <c r="G7" i="49"/>
  <c r="F7" i="49"/>
  <c r="G6" i="49"/>
  <c r="F6" i="49"/>
  <c r="G5" i="49"/>
  <c r="F5" i="49"/>
  <c r="G4" i="49"/>
  <c r="F4" i="49"/>
  <c r="G3" i="49"/>
  <c r="F3" i="49"/>
  <c r="C130" i="50"/>
  <c r="D121" i="50"/>
  <c r="D130" i="50" s="1"/>
  <c r="F359" i="49" s="1"/>
  <c r="E29" i="50"/>
  <c r="E130" i="50" s="1"/>
  <c r="G359" i="49" s="1"/>
  <c r="F286" i="20"/>
  <c r="G286" i="20"/>
  <c r="F287" i="20"/>
  <c r="G287" i="20"/>
  <c r="H707" i="49"/>
  <c r="G707" i="49"/>
  <c r="F707" i="49"/>
  <c r="E707" i="49"/>
  <c r="D707" i="49"/>
  <c r="C707" i="49"/>
  <c r="H706" i="49"/>
  <c r="H705" i="49"/>
  <c r="H704" i="49"/>
  <c r="H703" i="49"/>
  <c r="H702" i="49"/>
  <c r="H701" i="49"/>
  <c r="H700" i="49"/>
  <c r="H699" i="49"/>
  <c r="H698" i="49"/>
  <c r="H697" i="49"/>
  <c r="H696" i="49"/>
  <c r="H695" i="49"/>
  <c r="H694" i="49"/>
  <c r="H693" i="49"/>
  <c r="H692" i="49"/>
  <c r="H691" i="49"/>
  <c r="H690" i="49"/>
  <c r="H689" i="49"/>
  <c r="H688" i="49"/>
  <c r="H687" i="49"/>
  <c r="H686" i="49"/>
  <c r="H685" i="49"/>
  <c r="H684" i="49"/>
  <c r="H683" i="49"/>
  <c r="H682" i="49"/>
  <c r="H681" i="49"/>
  <c r="H680" i="49"/>
  <c r="H679" i="49"/>
  <c r="H678" i="49"/>
  <c r="H677" i="49"/>
  <c r="H676" i="49"/>
  <c r="H675" i="49"/>
  <c r="H674" i="49"/>
  <c r="H673" i="49"/>
  <c r="H672" i="49"/>
  <c r="H671" i="49"/>
  <c r="H670" i="49"/>
  <c r="H669" i="49"/>
  <c r="H668" i="49"/>
  <c r="H667" i="49"/>
  <c r="H666" i="49"/>
  <c r="H665" i="49"/>
  <c r="H664" i="49"/>
  <c r="H663" i="49"/>
  <c r="H662" i="49"/>
  <c r="H661" i="49"/>
  <c r="H660" i="49"/>
  <c r="H659" i="49"/>
  <c r="H658" i="49"/>
  <c r="H657" i="49"/>
  <c r="H656" i="49"/>
  <c r="H655" i="49"/>
  <c r="H654" i="49"/>
  <c r="H653" i="49"/>
  <c r="H652" i="49"/>
  <c r="H651" i="49"/>
  <c r="H650" i="49"/>
  <c r="H649" i="49"/>
  <c r="H648" i="49"/>
  <c r="H647" i="49"/>
  <c r="H646" i="49"/>
  <c r="H645" i="49"/>
  <c r="H644" i="49"/>
  <c r="H643" i="49"/>
  <c r="H642" i="49"/>
  <c r="H641" i="49"/>
  <c r="H640" i="49"/>
  <c r="H639" i="49"/>
  <c r="H638" i="49"/>
  <c r="H637" i="49"/>
  <c r="H636" i="49"/>
  <c r="H635" i="49"/>
  <c r="H634" i="49"/>
  <c r="H633" i="49"/>
  <c r="H632" i="49"/>
  <c r="H631" i="49"/>
  <c r="H630" i="49"/>
  <c r="H629" i="49"/>
  <c r="H628" i="49"/>
  <c r="H627" i="49"/>
  <c r="H626" i="49"/>
  <c r="H625" i="49"/>
  <c r="H624" i="49"/>
  <c r="H623" i="49"/>
  <c r="H622" i="49"/>
  <c r="H621" i="49"/>
  <c r="H620" i="49"/>
  <c r="H619" i="49"/>
  <c r="H618" i="49"/>
  <c r="H617" i="49"/>
  <c r="H616" i="49"/>
  <c r="H615" i="49"/>
  <c r="H614" i="49"/>
  <c r="H613" i="49"/>
  <c r="H612" i="49"/>
  <c r="H611" i="49"/>
  <c r="H610" i="49"/>
  <c r="H609" i="49"/>
  <c r="H608" i="49"/>
  <c r="H607" i="49"/>
  <c r="H606" i="49"/>
  <c r="H605" i="49"/>
  <c r="H604" i="49"/>
  <c r="H603" i="49"/>
  <c r="H602" i="49"/>
  <c r="H601" i="49"/>
  <c r="H600" i="49"/>
  <c r="H599" i="49"/>
  <c r="H598" i="49"/>
  <c r="H597" i="49"/>
  <c r="H596" i="49"/>
  <c r="H595" i="49"/>
  <c r="H594" i="49"/>
  <c r="H593" i="49"/>
  <c r="H592" i="49"/>
  <c r="H591" i="49"/>
  <c r="H590" i="49"/>
  <c r="H589" i="49"/>
  <c r="H588" i="49"/>
  <c r="H587" i="49"/>
  <c r="H586" i="49"/>
  <c r="H585" i="49"/>
  <c r="H584" i="49"/>
  <c r="H583" i="49"/>
  <c r="H582" i="49"/>
  <c r="H581" i="49"/>
  <c r="H580" i="49"/>
  <c r="H579" i="49"/>
  <c r="H578" i="49"/>
  <c r="H577" i="49"/>
  <c r="H576" i="49"/>
  <c r="H575" i="49"/>
  <c r="H574" i="49"/>
  <c r="H573" i="49"/>
  <c r="H572" i="49"/>
  <c r="H571" i="49"/>
  <c r="H570" i="49"/>
  <c r="H569" i="49"/>
  <c r="H568" i="49"/>
  <c r="H567" i="49"/>
  <c r="H566" i="49"/>
  <c r="H565" i="49"/>
  <c r="H564" i="49"/>
  <c r="H563" i="49"/>
  <c r="H562" i="49"/>
  <c r="H561" i="49"/>
  <c r="H560" i="49"/>
  <c r="H559" i="49"/>
  <c r="H558" i="49"/>
  <c r="H557" i="49"/>
  <c r="H556" i="49"/>
  <c r="H555" i="49"/>
  <c r="H554" i="49"/>
  <c r="H553" i="49"/>
  <c r="H552" i="49"/>
  <c r="H551" i="49"/>
  <c r="H550" i="49"/>
  <c r="H549" i="49"/>
  <c r="H548" i="49"/>
  <c r="H547" i="49"/>
  <c r="H546" i="49"/>
  <c r="H545" i="49"/>
  <c r="H544" i="49"/>
  <c r="H543" i="49"/>
  <c r="H542" i="49"/>
  <c r="H541" i="49"/>
  <c r="H540" i="49"/>
  <c r="H539" i="49"/>
  <c r="H538" i="49"/>
  <c r="H537" i="49"/>
  <c r="H536" i="49"/>
  <c r="H535" i="49"/>
  <c r="H534" i="49"/>
  <c r="H533" i="49"/>
  <c r="H532" i="49"/>
  <c r="H531" i="49"/>
  <c r="H530" i="49"/>
  <c r="H529" i="49"/>
  <c r="H528" i="49"/>
  <c r="H527" i="49"/>
  <c r="H526" i="49"/>
  <c r="H525" i="49"/>
  <c r="H524" i="49"/>
  <c r="H523" i="49"/>
  <c r="H522" i="49"/>
  <c r="H521" i="49"/>
  <c r="H520" i="49"/>
  <c r="H519" i="49"/>
  <c r="H518" i="49"/>
  <c r="H517" i="49"/>
  <c r="H516" i="49"/>
  <c r="H515" i="49"/>
  <c r="H514" i="49"/>
  <c r="H513" i="49"/>
  <c r="H512" i="49"/>
  <c r="H511" i="49"/>
  <c r="H510" i="49"/>
  <c r="H509" i="49"/>
  <c r="H508" i="49"/>
  <c r="H507" i="49"/>
  <c r="H506" i="49"/>
  <c r="H505" i="49"/>
  <c r="H504" i="49"/>
  <c r="H503" i="49"/>
  <c r="H502" i="49"/>
  <c r="H501" i="49"/>
  <c r="H500" i="49"/>
  <c r="H499" i="49"/>
  <c r="H498" i="49"/>
  <c r="H497" i="49"/>
  <c r="H496" i="49"/>
  <c r="H495" i="49"/>
  <c r="H494" i="49"/>
  <c r="H493" i="49"/>
  <c r="H492" i="49"/>
  <c r="H491" i="49"/>
  <c r="H490" i="49"/>
  <c r="H489" i="49"/>
  <c r="H488" i="49"/>
  <c r="H487" i="49"/>
  <c r="H486" i="49"/>
  <c r="H485" i="49"/>
  <c r="H484" i="49"/>
  <c r="H483" i="49"/>
  <c r="H482" i="49"/>
  <c r="H481" i="49"/>
  <c r="H480" i="49"/>
  <c r="H479" i="49"/>
  <c r="H478" i="49"/>
  <c r="H477" i="49"/>
  <c r="H476" i="49"/>
  <c r="H475" i="49"/>
  <c r="H474" i="49"/>
  <c r="H473" i="49"/>
  <c r="H472" i="49"/>
  <c r="H471" i="49"/>
  <c r="H470" i="49"/>
  <c r="H469" i="49"/>
  <c r="H468" i="49"/>
  <c r="H467" i="49"/>
  <c r="H466" i="49"/>
  <c r="H465" i="49"/>
  <c r="H464" i="49"/>
  <c r="H463" i="49"/>
  <c r="H462" i="49"/>
  <c r="H461" i="49"/>
  <c r="H460" i="49"/>
  <c r="H459" i="49"/>
  <c r="H458" i="49"/>
  <c r="H457" i="49"/>
  <c r="H456" i="49"/>
  <c r="H455" i="49"/>
  <c r="H454" i="49"/>
  <c r="H453" i="49"/>
  <c r="H452" i="49"/>
  <c r="H451" i="49"/>
  <c r="H450" i="49"/>
  <c r="H449" i="49"/>
  <c r="H448" i="49"/>
  <c r="H447" i="49"/>
  <c r="H446" i="49"/>
  <c r="H445" i="49"/>
  <c r="H444" i="49"/>
  <c r="H443" i="49"/>
  <c r="H442" i="49"/>
  <c r="H441" i="49"/>
  <c r="H440" i="49"/>
  <c r="H439" i="49"/>
  <c r="H438" i="49"/>
  <c r="H437" i="49"/>
  <c r="H436" i="49"/>
  <c r="H435" i="49"/>
  <c r="H434" i="49"/>
  <c r="H433" i="49"/>
  <c r="H432" i="49"/>
  <c r="H431" i="49"/>
  <c r="H430" i="49"/>
  <c r="H429" i="49"/>
  <c r="H428" i="49"/>
  <c r="H427" i="49"/>
  <c r="H426" i="49"/>
  <c r="H425" i="49"/>
  <c r="H424" i="49"/>
  <c r="H423" i="49"/>
  <c r="H422" i="49"/>
  <c r="H421" i="49"/>
  <c r="H420" i="49"/>
  <c r="H419" i="49"/>
  <c r="H418" i="49"/>
  <c r="H417" i="49"/>
  <c r="H416" i="49"/>
  <c r="H415" i="49"/>
  <c r="H414" i="49"/>
  <c r="H413" i="49"/>
  <c r="H412" i="49"/>
  <c r="H411" i="49"/>
  <c r="H410" i="49"/>
  <c r="H409" i="49"/>
  <c r="H408" i="49"/>
  <c r="H407" i="49"/>
  <c r="H406" i="49"/>
  <c r="H405" i="49"/>
  <c r="H404" i="49"/>
  <c r="H403" i="49"/>
  <c r="H402" i="49"/>
  <c r="H401" i="49"/>
  <c r="H400" i="49"/>
  <c r="H399" i="49"/>
  <c r="H398" i="49"/>
  <c r="H397" i="49"/>
  <c r="H396" i="49"/>
  <c r="H395" i="49"/>
  <c r="H394" i="49"/>
  <c r="H393" i="49"/>
  <c r="H392" i="49"/>
  <c r="H391" i="49"/>
  <c r="H390" i="49"/>
  <c r="H389" i="49"/>
  <c r="H388" i="49"/>
  <c r="H387" i="49"/>
  <c r="H386" i="49"/>
  <c r="H385" i="49"/>
  <c r="H384" i="49"/>
  <c r="H383" i="49"/>
  <c r="H382" i="49"/>
  <c r="H381" i="49"/>
  <c r="H380" i="49"/>
  <c r="H379" i="49"/>
  <c r="H378" i="49"/>
  <c r="H377" i="49"/>
  <c r="H376" i="49"/>
  <c r="H375" i="49"/>
  <c r="H374" i="49"/>
  <c r="H373" i="49"/>
  <c r="H372" i="49"/>
  <c r="H371" i="49"/>
  <c r="H370" i="49"/>
  <c r="H369" i="49"/>
  <c r="H368" i="49"/>
  <c r="H367" i="49"/>
  <c r="H366" i="49"/>
  <c r="H365" i="49"/>
  <c r="E358" i="49"/>
  <c r="D358" i="49"/>
  <c r="D360" i="49" s="1"/>
  <c r="C358" i="49"/>
  <c r="H280" i="49"/>
  <c r="I280" i="49" s="1"/>
  <c r="H262" i="49"/>
  <c r="I262" i="49" s="1"/>
  <c r="H253" i="49"/>
  <c r="I253" i="49" s="1"/>
  <c r="H230" i="49"/>
  <c r="I230" i="49" s="1"/>
  <c r="H214" i="49"/>
  <c r="I214" i="49" s="1"/>
  <c r="H205" i="49"/>
  <c r="I205" i="49" s="1"/>
  <c r="H189" i="49"/>
  <c r="I189" i="49" s="1"/>
  <c r="H188" i="49"/>
  <c r="I188" i="49" s="1"/>
  <c r="H173" i="49"/>
  <c r="I173" i="49" s="1"/>
  <c r="H165" i="49"/>
  <c r="I165" i="49" s="1"/>
  <c r="H157" i="49"/>
  <c r="I157" i="49" s="1"/>
  <c r="H150" i="49"/>
  <c r="I150" i="49" s="1"/>
  <c r="H149" i="49"/>
  <c r="I149" i="49" s="1"/>
  <c r="H134" i="49"/>
  <c r="I134" i="49" s="1"/>
  <c r="H133" i="49"/>
  <c r="I133" i="49" s="1"/>
  <c r="H117" i="49"/>
  <c r="I117" i="49" s="1"/>
  <c r="H102" i="49"/>
  <c r="I102" i="49" s="1"/>
  <c r="H101" i="49"/>
  <c r="I101" i="49" s="1"/>
  <c r="H109" i="49" l="1"/>
  <c r="I109" i="49" s="1"/>
  <c r="H221" i="49"/>
  <c r="I221" i="49" s="1"/>
  <c r="H95" i="49"/>
  <c r="I95" i="49" s="1"/>
  <c r="H103" i="49"/>
  <c r="I103" i="49" s="1"/>
  <c r="H119" i="49"/>
  <c r="I119" i="49" s="1"/>
  <c r="H143" i="49"/>
  <c r="I143" i="49" s="1"/>
  <c r="H151" i="49"/>
  <c r="I151" i="49" s="1"/>
  <c r="H159" i="49"/>
  <c r="I159" i="49" s="1"/>
  <c r="H167" i="49"/>
  <c r="I167" i="49" s="1"/>
  <c r="H175" i="49"/>
  <c r="I175" i="49" s="1"/>
  <c r="H191" i="49"/>
  <c r="I191" i="49" s="1"/>
  <c r="H207" i="49"/>
  <c r="I207" i="49" s="1"/>
  <c r="H223" i="49"/>
  <c r="I223" i="49" s="1"/>
  <c r="H239" i="49"/>
  <c r="I239" i="49" s="1"/>
  <c r="H22" i="52"/>
  <c r="H20" i="52"/>
  <c r="H29" i="52"/>
  <c r="H21" i="52"/>
  <c r="H17" i="52"/>
  <c r="G24" i="52"/>
  <c r="H127" i="49"/>
  <c r="I127" i="49" s="1"/>
  <c r="H255" i="49"/>
  <c r="I255" i="49" s="1"/>
  <c r="H125" i="49"/>
  <c r="I125" i="49" s="1"/>
  <c r="H141" i="49"/>
  <c r="I141" i="49" s="1"/>
  <c r="H237" i="49"/>
  <c r="I237" i="49" s="1"/>
  <c r="H269" i="49"/>
  <c r="I269" i="49" s="1"/>
  <c r="H135" i="49"/>
  <c r="I135" i="49" s="1"/>
  <c r="H99" i="49"/>
  <c r="I99" i="49" s="1"/>
  <c r="H111" i="49"/>
  <c r="I111" i="49" s="1"/>
  <c r="E360" i="49"/>
  <c r="F341" i="49"/>
  <c r="F358" i="49" s="1"/>
  <c r="F360" i="49" s="1"/>
  <c r="F29" i="50"/>
  <c r="H348" i="51"/>
  <c r="G86" i="49"/>
  <c r="G358" i="49" s="1"/>
  <c r="G360" i="49" s="1"/>
  <c r="I2" i="51"/>
  <c r="I348" i="51" s="1"/>
  <c r="H286" i="20"/>
  <c r="I286" i="20" s="1"/>
  <c r="C370" i="23" s="1"/>
  <c r="E370" i="23" s="1"/>
  <c r="H287" i="20"/>
  <c r="I287" i="20" s="1"/>
  <c r="H4" i="49"/>
  <c r="I4" i="49" s="1"/>
  <c r="H6" i="49"/>
  <c r="I6" i="49" s="1"/>
  <c r="H8" i="49"/>
  <c r="I8" i="49" s="1"/>
  <c r="H10" i="49"/>
  <c r="I10" i="49" s="1"/>
  <c r="H12" i="49"/>
  <c r="I12" i="49" s="1"/>
  <c r="H14" i="49"/>
  <c r="I14" i="49" s="1"/>
  <c r="H16" i="49"/>
  <c r="I16" i="49" s="1"/>
  <c r="H18" i="49"/>
  <c r="I18" i="49" s="1"/>
  <c r="H20" i="49"/>
  <c r="I20" i="49" s="1"/>
  <c r="H22" i="49"/>
  <c r="I22" i="49" s="1"/>
  <c r="H24" i="49"/>
  <c r="I24" i="49" s="1"/>
  <c r="H26" i="49"/>
  <c r="I26" i="49" s="1"/>
  <c r="H28" i="49"/>
  <c r="I28" i="49" s="1"/>
  <c r="H30" i="49"/>
  <c r="I30" i="49" s="1"/>
  <c r="H32" i="49"/>
  <c r="I32" i="49" s="1"/>
  <c r="H34" i="49"/>
  <c r="I34" i="49" s="1"/>
  <c r="H36" i="49"/>
  <c r="I36" i="49" s="1"/>
  <c r="H38" i="49"/>
  <c r="I38" i="49" s="1"/>
  <c r="H40" i="49"/>
  <c r="I40" i="49" s="1"/>
  <c r="H42" i="49"/>
  <c r="I42" i="49" s="1"/>
  <c r="H44" i="49"/>
  <c r="I44" i="49" s="1"/>
  <c r="H46" i="49"/>
  <c r="I46" i="49" s="1"/>
  <c r="H48" i="49"/>
  <c r="I48" i="49" s="1"/>
  <c r="H50" i="49"/>
  <c r="I50" i="49" s="1"/>
  <c r="H52" i="49"/>
  <c r="I52" i="49" s="1"/>
  <c r="H54" i="49"/>
  <c r="I54" i="49" s="1"/>
  <c r="H56" i="49"/>
  <c r="I56" i="49" s="1"/>
  <c r="H58" i="49"/>
  <c r="I58" i="49" s="1"/>
  <c r="H60" i="49"/>
  <c r="I60" i="49" s="1"/>
  <c r="H62" i="49"/>
  <c r="I62" i="49" s="1"/>
  <c r="H64" i="49"/>
  <c r="I64" i="49" s="1"/>
  <c r="H66" i="49"/>
  <c r="I66" i="49" s="1"/>
  <c r="H68" i="49"/>
  <c r="I68" i="49" s="1"/>
  <c r="H70" i="49"/>
  <c r="I70" i="49" s="1"/>
  <c r="H72" i="49"/>
  <c r="I72" i="49" s="1"/>
  <c r="H74" i="49"/>
  <c r="I74" i="49" s="1"/>
  <c r="H76" i="49"/>
  <c r="I76" i="49" s="1"/>
  <c r="H78" i="49"/>
  <c r="I78" i="49" s="1"/>
  <c r="H80" i="49"/>
  <c r="I80" i="49" s="1"/>
  <c r="H82" i="49"/>
  <c r="I82" i="49" s="1"/>
  <c r="H84" i="49"/>
  <c r="I84" i="49" s="1"/>
  <c r="H88" i="49"/>
  <c r="I88" i="49" s="1"/>
  <c r="H90" i="49"/>
  <c r="I90" i="49" s="1"/>
  <c r="H92" i="49"/>
  <c r="I92" i="49" s="1"/>
  <c r="H94" i="49"/>
  <c r="I94" i="49" s="1"/>
  <c r="H106" i="49"/>
  <c r="I106" i="49" s="1"/>
  <c r="H113" i="49"/>
  <c r="I113" i="49" s="1"/>
  <c r="H115" i="49"/>
  <c r="I115" i="49" s="1"/>
  <c r="H122" i="49"/>
  <c r="I122" i="49" s="1"/>
  <c r="H129" i="49"/>
  <c r="I129" i="49" s="1"/>
  <c r="H131" i="49"/>
  <c r="I131" i="49" s="1"/>
  <c r="H138" i="49"/>
  <c r="I138" i="49" s="1"/>
  <c r="H145" i="49"/>
  <c r="I145" i="49" s="1"/>
  <c r="H147" i="49"/>
  <c r="I147" i="49" s="1"/>
  <c r="H154" i="49"/>
  <c r="I154" i="49" s="1"/>
  <c r="H161" i="49"/>
  <c r="I161" i="49" s="1"/>
  <c r="H163" i="49"/>
  <c r="I163" i="49" s="1"/>
  <c r="H170" i="49"/>
  <c r="I170" i="49" s="1"/>
  <c r="H177" i="49"/>
  <c r="I177" i="49" s="1"/>
  <c r="H179" i="49"/>
  <c r="I179" i="49" s="1"/>
  <c r="H186" i="49"/>
  <c r="I186" i="49" s="1"/>
  <c r="H193" i="49"/>
  <c r="I193" i="49" s="1"/>
  <c r="H195" i="49"/>
  <c r="I195" i="49" s="1"/>
  <c r="H202" i="49"/>
  <c r="I202" i="49" s="1"/>
  <c r="H209" i="49"/>
  <c r="I209" i="49" s="1"/>
  <c r="H211" i="49"/>
  <c r="I211" i="49" s="1"/>
  <c r="H218" i="49"/>
  <c r="I218" i="49" s="1"/>
  <c r="H225" i="49"/>
  <c r="I225" i="49" s="1"/>
  <c r="H227" i="49"/>
  <c r="I227" i="49" s="1"/>
  <c r="H234" i="49"/>
  <c r="I234" i="49" s="1"/>
  <c r="H241" i="49"/>
  <c r="I241" i="49" s="1"/>
  <c r="H243" i="49"/>
  <c r="I243" i="49" s="1"/>
  <c r="H250" i="49"/>
  <c r="I250" i="49" s="1"/>
  <c r="H257" i="49"/>
  <c r="I257" i="49" s="1"/>
  <c r="H259" i="49"/>
  <c r="I259" i="49" s="1"/>
  <c r="H266" i="49"/>
  <c r="I266" i="49" s="1"/>
  <c r="H273" i="49"/>
  <c r="I273" i="49" s="1"/>
  <c r="H275" i="49"/>
  <c r="I275" i="49" s="1"/>
  <c r="H5" i="49"/>
  <c r="I5" i="49" s="1"/>
  <c r="H7" i="49"/>
  <c r="I7" i="49" s="1"/>
  <c r="H9" i="49"/>
  <c r="I9" i="49" s="1"/>
  <c r="H11" i="49"/>
  <c r="I11" i="49" s="1"/>
  <c r="H13" i="49"/>
  <c r="I13" i="49" s="1"/>
  <c r="H15" i="49"/>
  <c r="I15" i="49" s="1"/>
  <c r="H17" i="49"/>
  <c r="I17" i="49" s="1"/>
  <c r="H19" i="49"/>
  <c r="I19" i="49" s="1"/>
  <c r="H21" i="49"/>
  <c r="I21" i="49" s="1"/>
  <c r="H23" i="49"/>
  <c r="I23" i="49" s="1"/>
  <c r="H25" i="49"/>
  <c r="I25" i="49" s="1"/>
  <c r="H27" i="49"/>
  <c r="I27" i="49" s="1"/>
  <c r="H29" i="49"/>
  <c r="I29" i="49" s="1"/>
  <c r="H31" i="49"/>
  <c r="I31" i="49" s="1"/>
  <c r="H33" i="49"/>
  <c r="I33" i="49" s="1"/>
  <c r="H35" i="49"/>
  <c r="I35" i="49" s="1"/>
  <c r="H37" i="49"/>
  <c r="I37" i="49" s="1"/>
  <c r="H39" i="49"/>
  <c r="I39" i="49" s="1"/>
  <c r="H41" i="49"/>
  <c r="I41" i="49" s="1"/>
  <c r="H43" i="49"/>
  <c r="I43" i="49" s="1"/>
  <c r="H45" i="49"/>
  <c r="I45" i="49" s="1"/>
  <c r="H47" i="49"/>
  <c r="I47" i="49" s="1"/>
  <c r="H49" i="49"/>
  <c r="I49" i="49" s="1"/>
  <c r="H51" i="49"/>
  <c r="I51" i="49" s="1"/>
  <c r="H53" i="49"/>
  <c r="I53" i="49" s="1"/>
  <c r="H55" i="49"/>
  <c r="I55" i="49" s="1"/>
  <c r="H57" i="49"/>
  <c r="I57" i="49" s="1"/>
  <c r="H59" i="49"/>
  <c r="I59" i="49" s="1"/>
  <c r="H61" i="49"/>
  <c r="I61" i="49" s="1"/>
  <c r="H63" i="49"/>
  <c r="I63" i="49" s="1"/>
  <c r="H65" i="49"/>
  <c r="I65" i="49" s="1"/>
  <c r="H67" i="49"/>
  <c r="I67" i="49" s="1"/>
  <c r="H69" i="49"/>
  <c r="I69" i="49" s="1"/>
  <c r="H71" i="49"/>
  <c r="I71" i="49" s="1"/>
  <c r="H73" i="49"/>
  <c r="I73" i="49" s="1"/>
  <c r="H75" i="49"/>
  <c r="I75" i="49" s="1"/>
  <c r="H77" i="49"/>
  <c r="I77" i="49" s="1"/>
  <c r="H79" i="49"/>
  <c r="I79" i="49" s="1"/>
  <c r="H81" i="49"/>
  <c r="I81" i="49" s="1"/>
  <c r="H83" i="49"/>
  <c r="I83" i="49" s="1"/>
  <c r="H85" i="49"/>
  <c r="I85" i="49" s="1"/>
  <c r="H87" i="49"/>
  <c r="I87" i="49" s="1"/>
  <c r="H89" i="49"/>
  <c r="I89" i="49" s="1"/>
  <c r="H91" i="49"/>
  <c r="I91" i="49" s="1"/>
  <c r="H93" i="49"/>
  <c r="I93" i="49" s="1"/>
  <c r="H105" i="49"/>
  <c r="I105" i="49" s="1"/>
  <c r="H107" i="49"/>
  <c r="I107" i="49" s="1"/>
  <c r="H114" i="49"/>
  <c r="I114" i="49" s="1"/>
  <c r="H121" i="49"/>
  <c r="I121" i="49" s="1"/>
  <c r="H123" i="49"/>
  <c r="I123" i="49" s="1"/>
  <c r="H130" i="49"/>
  <c r="I130" i="49" s="1"/>
  <c r="H137" i="49"/>
  <c r="I137" i="49" s="1"/>
  <c r="H139" i="49"/>
  <c r="I139" i="49" s="1"/>
  <c r="H146" i="49"/>
  <c r="I146" i="49" s="1"/>
  <c r="H153" i="49"/>
  <c r="I153" i="49" s="1"/>
  <c r="H155" i="49"/>
  <c r="I155" i="49" s="1"/>
  <c r="H162" i="49"/>
  <c r="I162" i="49" s="1"/>
  <c r="H169" i="49"/>
  <c r="I169" i="49" s="1"/>
  <c r="H171" i="49"/>
  <c r="I171" i="49" s="1"/>
  <c r="H178" i="49"/>
  <c r="I178" i="49" s="1"/>
  <c r="H185" i="49"/>
  <c r="I185" i="49" s="1"/>
  <c r="H187" i="49"/>
  <c r="I187" i="49" s="1"/>
  <c r="H194" i="49"/>
  <c r="I194" i="49" s="1"/>
  <c r="H201" i="49"/>
  <c r="I201" i="49" s="1"/>
  <c r="H203" i="49"/>
  <c r="I203" i="49" s="1"/>
  <c r="H210" i="49"/>
  <c r="I210" i="49" s="1"/>
  <c r="H217" i="49"/>
  <c r="I217" i="49" s="1"/>
  <c r="H219" i="49"/>
  <c r="I219" i="49" s="1"/>
  <c r="H226" i="49"/>
  <c r="I226" i="49" s="1"/>
  <c r="H233" i="49"/>
  <c r="I233" i="49" s="1"/>
  <c r="H235" i="49"/>
  <c r="I235" i="49" s="1"/>
  <c r="H242" i="49"/>
  <c r="I242" i="49" s="1"/>
  <c r="H249" i="49"/>
  <c r="I249" i="49" s="1"/>
  <c r="H251" i="49"/>
  <c r="I251" i="49" s="1"/>
  <c r="H258" i="49"/>
  <c r="I258" i="49" s="1"/>
  <c r="H265" i="49"/>
  <c r="I265" i="49" s="1"/>
  <c r="H267" i="49"/>
  <c r="I267" i="49" s="1"/>
  <c r="H274" i="49"/>
  <c r="I274" i="49" s="1"/>
  <c r="H174" i="49"/>
  <c r="I174" i="49" s="1"/>
  <c r="H181" i="49"/>
  <c r="I181" i="49" s="1"/>
  <c r="H183" i="49"/>
  <c r="I183" i="49" s="1"/>
  <c r="H190" i="49"/>
  <c r="I190" i="49" s="1"/>
  <c r="H197" i="49"/>
  <c r="I197" i="49" s="1"/>
  <c r="H199" i="49"/>
  <c r="I199" i="49" s="1"/>
  <c r="H206" i="49"/>
  <c r="I206" i="49" s="1"/>
  <c r="H213" i="49"/>
  <c r="I213" i="49" s="1"/>
  <c r="H215" i="49"/>
  <c r="I215" i="49" s="1"/>
  <c r="H222" i="49"/>
  <c r="I222" i="49" s="1"/>
  <c r="H229" i="49"/>
  <c r="I229" i="49" s="1"/>
  <c r="H231" i="49"/>
  <c r="I231" i="49" s="1"/>
  <c r="H238" i="49"/>
  <c r="I238" i="49" s="1"/>
  <c r="H245" i="49"/>
  <c r="I245" i="49" s="1"/>
  <c r="H247" i="49"/>
  <c r="I247" i="49" s="1"/>
  <c r="H254" i="49"/>
  <c r="I254" i="49" s="1"/>
  <c r="H261" i="49"/>
  <c r="I261" i="49" s="1"/>
  <c r="H263" i="49"/>
  <c r="I263" i="49" s="1"/>
  <c r="H270" i="49"/>
  <c r="I270" i="49" s="1"/>
  <c r="H277" i="49"/>
  <c r="I277" i="49" s="1"/>
  <c r="H279" i="49"/>
  <c r="I279" i="49" s="1"/>
  <c r="G29" i="50"/>
  <c r="F121" i="50"/>
  <c r="G121" i="50" s="1"/>
  <c r="H3" i="49"/>
  <c r="H282" i="49"/>
  <c r="I282" i="49" s="1"/>
  <c r="H284" i="49"/>
  <c r="I284" i="49" s="1"/>
  <c r="H286" i="49"/>
  <c r="I286" i="49" s="1"/>
  <c r="H288" i="49"/>
  <c r="I288" i="49" s="1"/>
  <c r="H290" i="49"/>
  <c r="I290" i="49" s="1"/>
  <c r="H292" i="49"/>
  <c r="I292" i="49" s="1"/>
  <c r="H294" i="49"/>
  <c r="I294" i="49" s="1"/>
  <c r="H296" i="49"/>
  <c r="I296" i="49" s="1"/>
  <c r="H298" i="49"/>
  <c r="I298" i="49" s="1"/>
  <c r="H300" i="49"/>
  <c r="I300" i="49" s="1"/>
  <c r="H302" i="49"/>
  <c r="I302" i="49" s="1"/>
  <c r="H304" i="49"/>
  <c r="I304" i="49" s="1"/>
  <c r="H306" i="49"/>
  <c r="I306" i="49" s="1"/>
  <c r="H308" i="49"/>
  <c r="I308" i="49" s="1"/>
  <c r="H310" i="49"/>
  <c r="I310" i="49" s="1"/>
  <c r="H312" i="49"/>
  <c r="I312" i="49" s="1"/>
  <c r="H314" i="49"/>
  <c r="I314" i="49" s="1"/>
  <c r="H316" i="49"/>
  <c r="I316" i="49" s="1"/>
  <c r="H318" i="49"/>
  <c r="I318" i="49" s="1"/>
  <c r="H320" i="49"/>
  <c r="I320" i="49" s="1"/>
  <c r="H322" i="49"/>
  <c r="I322" i="49" s="1"/>
  <c r="H324" i="49"/>
  <c r="I324" i="49" s="1"/>
  <c r="H326" i="49"/>
  <c r="I326" i="49" s="1"/>
  <c r="H328" i="49"/>
  <c r="I328" i="49" s="1"/>
  <c r="H330" i="49"/>
  <c r="I330" i="49" s="1"/>
  <c r="H332" i="49"/>
  <c r="I332" i="49" s="1"/>
  <c r="H334" i="49"/>
  <c r="I334" i="49" s="1"/>
  <c r="H336" i="49"/>
  <c r="I336" i="49" s="1"/>
  <c r="H338" i="49"/>
  <c r="I338" i="49" s="1"/>
  <c r="H340" i="49"/>
  <c r="I340" i="49" s="1"/>
  <c r="H342" i="49"/>
  <c r="I342" i="49" s="1"/>
  <c r="H344" i="49"/>
  <c r="I344" i="49" s="1"/>
  <c r="H346" i="49"/>
  <c r="I346" i="49" s="1"/>
  <c r="H348" i="49"/>
  <c r="I348" i="49" s="1"/>
  <c r="H350" i="49"/>
  <c r="I350" i="49" s="1"/>
  <c r="H352" i="49"/>
  <c r="I352" i="49" s="1"/>
  <c r="H354" i="49"/>
  <c r="I354" i="49" s="1"/>
  <c r="H356" i="49"/>
  <c r="I356" i="49" s="1"/>
  <c r="H281" i="49"/>
  <c r="I281" i="49" s="1"/>
  <c r="H283" i="49"/>
  <c r="I283" i="49" s="1"/>
  <c r="H285" i="49"/>
  <c r="I285" i="49" s="1"/>
  <c r="H287" i="49"/>
  <c r="I287" i="49" s="1"/>
  <c r="H289" i="49"/>
  <c r="I289" i="49" s="1"/>
  <c r="H291" i="49"/>
  <c r="I291" i="49" s="1"/>
  <c r="H293" i="49"/>
  <c r="I293" i="49" s="1"/>
  <c r="H295" i="49"/>
  <c r="I295" i="49" s="1"/>
  <c r="H297" i="49"/>
  <c r="I297" i="49" s="1"/>
  <c r="H299" i="49"/>
  <c r="I299" i="49" s="1"/>
  <c r="H301" i="49"/>
  <c r="I301" i="49" s="1"/>
  <c r="H303" i="49"/>
  <c r="I303" i="49" s="1"/>
  <c r="H305" i="49"/>
  <c r="I305" i="49" s="1"/>
  <c r="H307" i="49"/>
  <c r="I307" i="49" s="1"/>
  <c r="H309" i="49"/>
  <c r="I309" i="49" s="1"/>
  <c r="H311" i="49"/>
  <c r="I311" i="49" s="1"/>
  <c r="H313" i="49"/>
  <c r="I313" i="49" s="1"/>
  <c r="H315" i="49"/>
  <c r="I315" i="49" s="1"/>
  <c r="H317" i="49"/>
  <c r="I317" i="49" s="1"/>
  <c r="H319" i="49"/>
  <c r="I319" i="49" s="1"/>
  <c r="H321" i="49"/>
  <c r="I321" i="49" s="1"/>
  <c r="H323" i="49"/>
  <c r="I323" i="49" s="1"/>
  <c r="H325" i="49"/>
  <c r="I325" i="49" s="1"/>
  <c r="H327" i="49"/>
  <c r="I327" i="49" s="1"/>
  <c r="H329" i="49"/>
  <c r="I329" i="49" s="1"/>
  <c r="H331" i="49"/>
  <c r="I331" i="49" s="1"/>
  <c r="H333" i="49"/>
  <c r="I333" i="49" s="1"/>
  <c r="H335" i="49"/>
  <c r="I335" i="49" s="1"/>
  <c r="H337" i="49"/>
  <c r="I337" i="49" s="1"/>
  <c r="H339" i="49"/>
  <c r="I339" i="49" s="1"/>
  <c r="H343" i="49"/>
  <c r="I343" i="49" s="1"/>
  <c r="H345" i="49"/>
  <c r="I345" i="49" s="1"/>
  <c r="H347" i="49"/>
  <c r="I347" i="49" s="1"/>
  <c r="H349" i="49"/>
  <c r="I349" i="49" s="1"/>
  <c r="H351" i="49"/>
  <c r="I351" i="49" s="1"/>
  <c r="H353" i="49"/>
  <c r="I353" i="49" s="1"/>
  <c r="H355" i="49"/>
  <c r="I355" i="49" s="1"/>
  <c r="H357" i="49"/>
  <c r="I357" i="49" s="1"/>
  <c r="H341" i="49" l="1"/>
  <c r="I341" i="49" s="1"/>
  <c r="H24" i="52"/>
  <c r="G33" i="52"/>
  <c r="H86" i="49"/>
  <c r="I86" i="49" s="1"/>
  <c r="F130" i="50"/>
  <c r="G130" i="50"/>
  <c r="I3" i="49"/>
  <c r="I358" i="49" s="1"/>
  <c r="H358" i="49"/>
  <c r="G346" i="48"/>
  <c r="F346" i="48"/>
  <c r="I345" i="48"/>
  <c r="H345" i="48"/>
  <c r="H344" i="48"/>
  <c r="I344" i="48" s="1"/>
  <c r="H343" i="48"/>
  <c r="I343" i="48" s="1"/>
  <c r="H342" i="48"/>
  <c r="I342" i="48" s="1"/>
  <c r="H341" i="48"/>
  <c r="I341" i="48" s="1"/>
  <c r="H340" i="48"/>
  <c r="I340" i="48" s="1"/>
  <c r="H339" i="48"/>
  <c r="I339" i="48" s="1"/>
  <c r="H338" i="48"/>
  <c r="I338" i="48" s="1"/>
  <c r="H337" i="48"/>
  <c r="I337" i="48" s="1"/>
  <c r="H336" i="48"/>
  <c r="I336" i="48" s="1"/>
  <c r="H335" i="48"/>
  <c r="I335" i="48" s="1"/>
  <c r="H334" i="48"/>
  <c r="I334" i="48" s="1"/>
  <c r="H333" i="48"/>
  <c r="I333" i="48" s="1"/>
  <c r="H332" i="48"/>
  <c r="I332" i="48" s="1"/>
  <c r="E331" i="48"/>
  <c r="H331" i="48" s="1"/>
  <c r="I331" i="48" s="1"/>
  <c r="H330" i="48"/>
  <c r="I330" i="48" s="1"/>
  <c r="H329" i="48"/>
  <c r="I329" i="48" s="1"/>
  <c r="H328" i="48"/>
  <c r="I328" i="48" s="1"/>
  <c r="H327" i="48"/>
  <c r="I327" i="48" s="1"/>
  <c r="H326" i="48"/>
  <c r="I326" i="48" s="1"/>
  <c r="H325" i="48"/>
  <c r="I325" i="48" s="1"/>
  <c r="H324" i="48"/>
  <c r="I324" i="48" s="1"/>
  <c r="H323" i="48"/>
  <c r="I323" i="48" s="1"/>
  <c r="H322" i="48"/>
  <c r="I322" i="48" s="1"/>
  <c r="H321" i="48"/>
  <c r="I321" i="48" s="1"/>
  <c r="H320" i="48"/>
  <c r="I320" i="48" s="1"/>
  <c r="H319" i="48"/>
  <c r="I319" i="48" s="1"/>
  <c r="D318" i="48"/>
  <c r="H318" i="48" s="1"/>
  <c r="I318" i="48" s="1"/>
  <c r="H317" i="48"/>
  <c r="I317" i="48" s="1"/>
  <c r="H316" i="48"/>
  <c r="I316" i="48" s="1"/>
  <c r="H315" i="48"/>
  <c r="I315" i="48" s="1"/>
  <c r="H314" i="48"/>
  <c r="I314" i="48" s="1"/>
  <c r="H313" i="48"/>
  <c r="I313" i="48" s="1"/>
  <c r="H312" i="48"/>
  <c r="I312" i="48" s="1"/>
  <c r="H311" i="48"/>
  <c r="I311" i="48" s="1"/>
  <c r="H310" i="48"/>
  <c r="I310" i="48" s="1"/>
  <c r="D309" i="48"/>
  <c r="H309" i="48" s="1"/>
  <c r="I309" i="48" s="1"/>
  <c r="H308" i="48"/>
  <c r="I308" i="48" s="1"/>
  <c r="H307" i="48"/>
  <c r="I307" i="48" s="1"/>
  <c r="H306" i="48"/>
  <c r="I306" i="48" s="1"/>
  <c r="H305" i="48"/>
  <c r="I305" i="48" s="1"/>
  <c r="H304" i="48"/>
  <c r="I304" i="48" s="1"/>
  <c r="H303" i="48"/>
  <c r="I303" i="48" s="1"/>
  <c r="D302" i="48"/>
  <c r="H302" i="48" s="1"/>
  <c r="I302" i="48" s="1"/>
  <c r="H301" i="48"/>
  <c r="I301" i="48" s="1"/>
  <c r="H300" i="48"/>
  <c r="I300" i="48" s="1"/>
  <c r="H299" i="48"/>
  <c r="I299" i="48" s="1"/>
  <c r="H298" i="48"/>
  <c r="I298" i="48" s="1"/>
  <c r="H297" i="48"/>
  <c r="I297" i="48" s="1"/>
  <c r="H296" i="48"/>
  <c r="I296" i="48" s="1"/>
  <c r="H295" i="48"/>
  <c r="I295" i="48" s="1"/>
  <c r="H294" i="48"/>
  <c r="I294" i="48" s="1"/>
  <c r="H293" i="48"/>
  <c r="I293" i="48" s="1"/>
  <c r="H292" i="48"/>
  <c r="I292" i="48" s="1"/>
  <c r="H291" i="48"/>
  <c r="I291" i="48" s="1"/>
  <c r="H290" i="48"/>
  <c r="I290" i="48" s="1"/>
  <c r="H289" i="48"/>
  <c r="I289" i="48" s="1"/>
  <c r="H288" i="48"/>
  <c r="I288" i="48" s="1"/>
  <c r="H287" i="48"/>
  <c r="I287" i="48" s="1"/>
  <c r="H286" i="48"/>
  <c r="I286" i="48" s="1"/>
  <c r="H285" i="48"/>
  <c r="I285" i="48" s="1"/>
  <c r="H284" i="48"/>
  <c r="I284" i="48" s="1"/>
  <c r="H283" i="48"/>
  <c r="I283" i="48" s="1"/>
  <c r="H282" i="48"/>
  <c r="I282" i="48" s="1"/>
  <c r="H281" i="48"/>
  <c r="I281" i="48" s="1"/>
  <c r="H280" i="48"/>
  <c r="I280" i="48" s="1"/>
  <c r="H279" i="48"/>
  <c r="I279" i="48" s="1"/>
  <c r="H278" i="48"/>
  <c r="I278" i="48" s="1"/>
  <c r="H277" i="48"/>
  <c r="I277" i="48" s="1"/>
  <c r="H276" i="48"/>
  <c r="I276" i="48" s="1"/>
  <c r="H275" i="48"/>
  <c r="I275" i="48" s="1"/>
  <c r="H274" i="48"/>
  <c r="I274" i="48" s="1"/>
  <c r="H273" i="48"/>
  <c r="I273" i="48" s="1"/>
  <c r="H272" i="48"/>
  <c r="I272" i="48" s="1"/>
  <c r="H271" i="48"/>
  <c r="I271" i="48" s="1"/>
  <c r="H270" i="48"/>
  <c r="I270" i="48" s="1"/>
  <c r="H269" i="48"/>
  <c r="I269" i="48" s="1"/>
  <c r="H268" i="48"/>
  <c r="I268" i="48" s="1"/>
  <c r="H267" i="48"/>
  <c r="I267" i="48" s="1"/>
  <c r="H266" i="48"/>
  <c r="I266" i="48" s="1"/>
  <c r="H265" i="48"/>
  <c r="I265" i="48" s="1"/>
  <c r="H264" i="48"/>
  <c r="I264" i="48" s="1"/>
  <c r="H263" i="48"/>
  <c r="I263" i="48" s="1"/>
  <c r="H262" i="48"/>
  <c r="I262" i="48" s="1"/>
  <c r="H261" i="48"/>
  <c r="I261" i="48" s="1"/>
  <c r="H260" i="48"/>
  <c r="I260" i="48" s="1"/>
  <c r="H259" i="48"/>
  <c r="I259" i="48" s="1"/>
  <c r="H258" i="48"/>
  <c r="I258" i="48" s="1"/>
  <c r="H257" i="48"/>
  <c r="I257" i="48" s="1"/>
  <c r="H256" i="48"/>
  <c r="I256" i="48" s="1"/>
  <c r="H255" i="48"/>
  <c r="I255" i="48" s="1"/>
  <c r="H254" i="48"/>
  <c r="I254" i="48" s="1"/>
  <c r="H253" i="48"/>
  <c r="I253" i="48" s="1"/>
  <c r="H252" i="48"/>
  <c r="I252" i="48" s="1"/>
  <c r="H251" i="48"/>
  <c r="I251" i="48" s="1"/>
  <c r="H250" i="48"/>
  <c r="I250" i="48" s="1"/>
  <c r="H249" i="48"/>
  <c r="I249" i="48" s="1"/>
  <c r="H248" i="48"/>
  <c r="I248" i="48" s="1"/>
  <c r="H247" i="48"/>
  <c r="I247" i="48" s="1"/>
  <c r="H246" i="48"/>
  <c r="I246" i="48" s="1"/>
  <c r="H245" i="48"/>
  <c r="I245" i="48" s="1"/>
  <c r="H244" i="48"/>
  <c r="I244" i="48" s="1"/>
  <c r="H243" i="48"/>
  <c r="I243" i="48" s="1"/>
  <c r="H242" i="48"/>
  <c r="I242" i="48" s="1"/>
  <c r="H241" i="48"/>
  <c r="I241" i="48" s="1"/>
  <c r="H240" i="48"/>
  <c r="I240" i="48" s="1"/>
  <c r="H239" i="48"/>
  <c r="I239" i="48" s="1"/>
  <c r="H238" i="48"/>
  <c r="I238" i="48" s="1"/>
  <c r="H237" i="48"/>
  <c r="I237" i="48" s="1"/>
  <c r="H236" i="48"/>
  <c r="I236" i="48" s="1"/>
  <c r="H235" i="48"/>
  <c r="I235" i="48" s="1"/>
  <c r="H234" i="48"/>
  <c r="I234" i="48" s="1"/>
  <c r="H233" i="48"/>
  <c r="I233" i="48" s="1"/>
  <c r="H232" i="48"/>
  <c r="I232" i="48" s="1"/>
  <c r="H231" i="48"/>
  <c r="I231" i="48" s="1"/>
  <c r="H230" i="48"/>
  <c r="I230" i="48" s="1"/>
  <c r="H229" i="48"/>
  <c r="I229" i="48" s="1"/>
  <c r="H228" i="48"/>
  <c r="I228" i="48" s="1"/>
  <c r="H227" i="48"/>
  <c r="I227" i="48" s="1"/>
  <c r="H226" i="48"/>
  <c r="I226" i="48" s="1"/>
  <c r="H225" i="48"/>
  <c r="I225" i="48" s="1"/>
  <c r="H224" i="48"/>
  <c r="I224" i="48" s="1"/>
  <c r="H223" i="48"/>
  <c r="I223" i="48" s="1"/>
  <c r="H222" i="48"/>
  <c r="I222" i="48" s="1"/>
  <c r="H221" i="48"/>
  <c r="I221" i="48" s="1"/>
  <c r="H220" i="48"/>
  <c r="I220" i="48" s="1"/>
  <c r="H219" i="48"/>
  <c r="I219" i="48" s="1"/>
  <c r="H218" i="48"/>
  <c r="I218" i="48" s="1"/>
  <c r="H217" i="48"/>
  <c r="I217" i="48" s="1"/>
  <c r="H216" i="48"/>
  <c r="I216" i="48" s="1"/>
  <c r="H215" i="48"/>
  <c r="I215" i="48" s="1"/>
  <c r="H214" i="48"/>
  <c r="I214" i="48" s="1"/>
  <c r="H213" i="48"/>
  <c r="I213" i="48" s="1"/>
  <c r="H212" i="48"/>
  <c r="I212" i="48" s="1"/>
  <c r="H211" i="48"/>
  <c r="I211" i="48" s="1"/>
  <c r="H210" i="48"/>
  <c r="I210" i="48" s="1"/>
  <c r="H209" i="48"/>
  <c r="I209" i="48" s="1"/>
  <c r="H208" i="48"/>
  <c r="I208" i="48" s="1"/>
  <c r="H207" i="48"/>
  <c r="I207" i="48" s="1"/>
  <c r="H206" i="48"/>
  <c r="I206" i="48" s="1"/>
  <c r="H205" i="48"/>
  <c r="I205" i="48" s="1"/>
  <c r="H204" i="48"/>
  <c r="I204" i="48" s="1"/>
  <c r="H203" i="48"/>
  <c r="I203" i="48" s="1"/>
  <c r="H202" i="48"/>
  <c r="I202" i="48" s="1"/>
  <c r="H201" i="48"/>
  <c r="I201" i="48" s="1"/>
  <c r="H200" i="48"/>
  <c r="I200" i="48" s="1"/>
  <c r="D199" i="48"/>
  <c r="H199" i="48" s="1"/>
  <c r="I199" i="48" s="1"/>
  <c r="H198" i="48"/>
  <c r="I198" i="48" s="1"/>
  <c r="H197" i="48"/>
  <c r="I197" i="48" s="1"/>
  <c r="H196" i="48"/>
  <c r="I196" i="48" s="1"/>
  <c r="H195" i="48"/>
  <c r="I195" i="48" s="1"/>
  <c r="H194" i="48"/>
  <c r="I194" i="48" s="1"/>
  <c r="H193" i="48"/>
  <c r="I193" i="48" s="1"/>
  <c r="H192" i="48"/>
  <c r="I192" i="48" s="1"/>
  <c r="H191" i="48"/>
  <c r="I191" i="48" s="1"/>
  <c r="E190" i="48"/>
  <c r="H190" i="48" s="1"/>
  <c r="I190" i="48" s="1"/>
  <c r="E189" i="48"/>
  <c r="D189" i="48"/>
  <c r="H188" i="48"/>
  <c r="I188" i="48" s="1"/>
  <c r="H187" i="48"/>
  <c r="I187" i="48" s="1"/>
  <c r="H186" i="48"/>
  <c r="I186" i="48" s="1"/>
  <c r="H185" i="48"/>
  <c r="I185" i="48" s="1"/>
  <c r="H184" i="48"/>
  <c r="I184" i="48" s="1"/>
  <c r="H183" i="48"/>
  <c r="I183" i="48" s="1"/>
  <c r="H182" i="48"/>
  <c r="I182" i="48" s="1"/>
  <c r="H181" i="48"/>
  <c r="I181" i="48" s="1"/>
  <c r="H180" i="48"/>
  <c r="I180" i="48" s="1"/>
  <c r="H179" i="48"/>
  <c r="I179" i="48" s="1"/>
  <c r="E178" i="48"/>
  <c r="D178" i="48"/>
  <c r="H178" i="48" s="1"/>
  <c r="I178" i="48" s="1"/>
  <c r="H177" i="48"/>
  <c r="I177" i="48" s="1"/>
  <c r="H176" i="48"/>
  <c r="I176" i="48" s="1"/>
  <c r="H175" i="48"/>
  <c r="I175" i="48" s="1"/>
  <c r="H174" i="48"/>
  <c r="I174" i="48" s="1"/>
  <c r="H173" i="48"/>
  <c r="I173" i="48" s="1"/>
  <c r="H172" i="48"/>
  <c r="I172" i="48" s="1"/>
  <c r="H171" i="48"/>
  <c r="I171" i="48" s="1"/>
  <c r="H170" i="48"/>
  <c r="I170" i="48" s="1"/>
  <c r="H169" i="48"/>
  <c r="I169" i="48" s="1"/>
  <c r="H168" i="48"/>
  <c r="I168" i="48" s="1"/>
  <c r="H167" i="48"/>
  <c r="I167" i="48" s="1"/>
  <c r="H166" i="48"/>
  <c r="I166" i="48" s="1"/>
  <c r="H165" i="48"/>
  <c r="I165" i="48" s="1"/>
  <c r="H164" i="48"/>
  <c r="I164" i="48" s="1"/>
  <c r="H163" i="48"/>
  <c r="I163" i="48" s="1"/>
  <c r="H162" i="48"/>
  <c r="I162" i="48" s="1"/>
  <c r="H161" i="48"/>
  <c r="I161" i="48" s="1"/>
  <c r="E160" i="48"/>
  <c r="H160" i="48" s="1"/>
  <c r="C160" i="48"/>
  <c r="H159" i="48"/>
  <c r="I159" i="48" s="1"/>
  <c r="H158" i="48"/>
  <c r="I158" i="48" s="1"/>
  <c r="H157" i="48"/>
  <c r="I157" i="48" s="1"/>
  <c r="H156" i="48"/>
  <c r="I156" i="48" s="1"/>
  <c r="H155" i="48"/>
  <c r="I155" i="48" s="1"/>
  <c r="H154" i="48"/>
  <c r="I154" i="48" s="1"/>
  <c r="H153" i="48"/>
  <c r="I153" i="48" s="1"/>
  <c r="H152" i="48"/>
  <c r="I152" i="48" s="1"/>
  <c r="H151" i="48"/>
  <c r="I151" i="48" s="1"/>
  <c r="H150" i="48"/>
  <c r="I150" i="48" s="1"/>
  <c r="H149" i="48"/>
  <c r="I149" i="48" s="1"/>
  <c r="H148" i="48"/>
  <c r="I148" i="48" s="1"/>
  <c r="H147" i="48"/>
  <c r="I147" i="48" s="1"/>
  <c r="H146" i="48"/>
  <c r="I146" i="48" s="1"/>
  <c r="H145" i="48"/>
  <c r="I145" i="48" s="1"/>
  <c r="H144" i="48"/>
  <c r="I144" i="48" s="1"/>
  <c r="H143" i="48"/>
  <c r="I143" i="48" s="1"/>
  <c r="H142" i="48"/>
  <c r="I142" i="48" s="1"/>
  <c r="H141" i="48"/>
  <c r="I141" i="48" s="1"/>
  <c r="H140" i="48"/>
  <c r="I140" i="48" s="1"/>
  <c r="H139" i="48"/>
  <c r="I139" i="48" s="1"/>
  <c r="H138" i="48"/>
  <c r="I138" i="48" s="1"/>
  <c r="E137" i="48"/>
  <c r="H137" i="48" s="1"/>
  <c r="I137" i="48" s="1"/>
  <c r="D136" i="48"/>
  <c r="H136" i="48" s="1"/>
  <c r="I136" i="48" s="1"/>
  <c r="H135" i="48"/>
  <c r="I135" i="48" s="1"/>
  <c r="E134" i="48"/>
  <c r="D134" i="48"/>
  <c r="H133" i="48"/>
  <c r="I133" i="48" s="1"/>
  <c r="H132" i="48"/>
  <c r="I132" i="48" s="1"/>
  <c r="H131" i="48"/>
  <c r="I131" i="48" s="1"/>
  <c r="E130" i="48"/>
  <c r="H130" i="48" s="1"/>
  <c r="I130" i="48" s="1"/>
  <c r="H129" i="48"/>
  <c r="I129" i="48" s="1"/>
  <c r="H128" i="48"/>
  <c r="I128" i="48" s="1"/>
  <c r="H127" i="48"/>
  <c r="I127" i="48" s="1"/>
  <c r="E126" i="48"/>
  <c r="D126" i="48"/>
  <c r="H125" i="48"/>
  <c r="I125" i="48" s="1"/>
  <c r="H124" i="48"/>
  <c r="I124" i="48" s="1"/>
  <c r="H123" i="48"/>
  <c r="I123" i="48" s="1"/>
  <c r="H122" i="48"/>
  <c r="I122" i="48" s="1"/>
  <c r="H121" i="48"/>
  <c r="I121" i="48" s="1"/>
  <c r="H120" i="48"/>
  <c r="C120" i="48"/>
  <c r="H119" i="48"/>
  <c r="I119" i="48" s="1"/>
  <c r="H118" i="48"/>
  <c r="I118" i="48" s="1"/>
  <c r="H117" i="48"/>
  <c r="I117" i="48" s="1"/>
  <c r="H116" i="48"/>
  <c r="I116" i="48" s="1"/>
  <c r="H115" i="48"/>
  <c r="I115" i="48" s="1"/>
  <c r="E114" i="48"/>
  <c r="H114" i="48" s="1"/>
  <c r="I114" i="48" s="1"/>
  <c r="E113" i="48"/>
  <c r="H113" i="48" s="1"/>
  <c r="I113" i="48" s="1"/>
  <c r="H112" i="48"/>
  <c r="I112" i="48" s="1"/>
  <c r="H111" i="48"/>
  <c r="I111" i="48" s="1"/>
  <c r="H110" i="48"/>
  <c r="I110" i="48" s="1"/>
  <c r="H109" i="48"/>
  <c r="I109" i="48" s="1"/>
  <c r="H108" i="48"/>
  <c r="I108" i="48" s="1"/>
  <c r="H107" i="48"/>
  <c r="I107" i="48" s="1"/>
  <c r="H106" i="48"/>
  <c r="I106" i="48" s="1"/>
  <c r="H105" i="48"/>
  <c r="I105" i="48" s="1"/>
  <c r="H104" i="48"/>
  <c r="I104" i="48" s="1"/>
  <c r="H103" i="48"/>
  <c r="I103" i="48" s="1"/>
  <c r="E102" i="48"/>
  <c r="D102" i="48"/>
  <c r="H101" i="48"/>
  <c r="I101" i="48" s="1"/>
  <c r="H100" i="48"/>
  <c r="I100" i="48" s="1"/>
  <c r="H99" i="48"/>
  <c r="I99" i="48" s="1"/>
  <c r="H98" i="48"/>
  <c r="I98" i="48" s="1"/>
  <c r="H97" i="48"/>
  <c r="I97" i="48" s="1"/>
  <c r="H96" i="48"/>
  <c r="I96" i="48" s="1"/>
  <c r="H95" i="48"/>
  <c r="I95" i="48" s="1"/>
  <c r="H94" i="48"/>
  <c r="I94" i="48" s="1"/>
  <c r="H93" i="48"/>
  <c r="I93" i="48" s="1"/>
  <c r="E92" i="48"/>
  <c r="D92" i="48"/>
  <c r="H92" i="48" s="1"/>
  <c r="I92" i="48" s="1"/>
  <c r="H91" i="48"/>
  <c r="I91" i="48" s="1"/>
  <c r="H90" i="48"/>
  <c r="I90" i="48" s="1"/>
  <c r="H89" i="48"/>
  <c r="I89" i="48" s="1"/>
  <c r="H88" i="48"/>
  <c r="I88" i="48" s="1"/>
  <c r="H87" i="48"/>
  <c r="I87" i="48" s="1"/>
  <c r="H86" i="48"/>
  <c r="I86" i="48" s="1"/>
  <c r="H85" i="48"/>
  <c r="I85" i="48" s="1"/>
  <c r="H84" i="48"/>
  <c r="I84" i="48" s="1"/>
  <c r="E83" i="48"/>
  <c r="D83" i="48"/>
  <c r="H82" i="48"/>
  <c r="I82" i="48" s="1"/>
  <c r="H81" i="48"/>
  <c r="I81" i="48" s="1"/>
  <c r="H80" i="48"/>
  <c r="I80" i="48" s="1"/>
  <c r="H79" i="48"/>
  <c r="I79" i="48" s="1"/>
  <c r="H78" i="48"/>
  <c r="I78" i="48" s="1"/>
  <c r="H77" i="48"/>
  <c r="I77" i="48" s="1"/>
  <c r="I76" i="48"/>
  <c r="H76" i="48"/>
  <c r="H75" i="48"/>
  <c r="I75" i="48" s="1"/>
  <c r="H74" i="48"/>
  <c r="I74" i="48" s="1"/>
  <c r="H73" i="48"/>
  <c r="I73" i="48" s="1"/>
  <c r="H72" i="48"/>
  <c r="I72" i="48" s="1"/>
  <c r="H71" i="48"/>
  <c r="I71" i="48" s="1"/>
  <c r="H70" i="48"/>
  <c r="I70" i="48" s="1"/>
  <c r="H69" i="48"/>
  <c r="I69" i="48" s="1"/>
  <c r="H68" i="48"/>
  <c r="I68" i="48" s="1"/>
  <c r="H67" i="48"/>
  <c r="I67" i="48" s="1"/>
  <c r="H66" i="48"/>
  <c r="I66" i="48" s="1"/>
  <c r="H65" i="48"/>
  <c r="I65" i="48" s="1"/>
  <c r="H64" i="48"/>
  <c r="I64" i="48" s="1"/>
  <c r="H63" i="48"/>
  <c r="I63" i="48" s="1"/>
  <c r="H62" i="48"/>
  <c r="I62" i="48" s="1"/>
  <c r="H61" i="48"/>
  <c r="I61" i="48" s="1"/>
  <c r="H60" i="48"/>
  <c r="I60" i="48" s="1"/>
  <c r="H59" i="48"/>
  <c r="I59" i="48" s="1"/>
  <c r="H58" i="48"/>
  <c r="I58" i="48" s="1"/>
  <c r="H57" i="48"/>
  <c r="I57" i="48" s="1"/>
  <c r="H56" i="48"/>
  <c r="I56" i="48" s="1"/>
  <c r="H55" i="48"/>
  <c r="I55" i="48" s="1"/>
  <c r="H54" i="48"/>
  <c r="I54" i="48" s="1"/>
  <c r="H53" i="48"/>
  <c r="I53" i="48" s="1"/>
  <c r="H52" i="48"/>
  <c r="I52" i="48" s="1"/>
  <c r="H51" i="48"/>
  <c r="I51" i="48" s="1"/>
  <c r="H50" i="48"/>
  <c r="I50" i="48" s="1"/>
  <c r="H49" i="48"/>
  <c r="I49" i="48" s="1"/>
  <c r="H48" i="48"/>
  <c r="I48" i="48" s="1"/>
  <c r="H47" i="48"/>
  <c r="I47" i="48" s="1"/>
  <c r="H46" i="48"/>
  <c r="I46" i="48" s="1"/>
  <c r="H45" i="48"/>
  <c r="I45" i="48" s="1"/>
  <c r="H44" i="48"/>
  <c r="I44" i="48" s="1"/>
  <c r="H43" i="48"/>
  <c r="I43" i="48" s="1"/>
  <c r="H42" i="48"/>
  <c r="I42" i="48" s="1"/>
  <c r="H41" i="48"/>
  <c r="I41" i="48" s="1"/>
  <c r="H40" i="48"/>
  <c r="I40" i="48" s="1"/>
  <c r="H39" i="48"/>
  <c r="I39" i="48" s="1"/>
  <c r="H38" i="48"/>
  <c r="I38" i="48" s="1"/>
  <c r="H37" i="48"/>
  <c r="I37" i="48" s="1"/>
  <c r="H36" i="48"/>
  <c r="I36" i="48" s="1"/>
  <c r="H35" i="48"/>
  <c r="I35" i="48" s="1"/>
  <c r="H34" i="48"/>
  <c r="I34" i="48" s="1"/>
  <c r="H33" i="48"/>
  <c r="I33" i="48" s="1"/>
  <c r="H32" i="48"/>
  <c r="I32" i="48" s="1"/>
  <c r="H31" i="48"/>
  <c r="I31" i="48" s="1"/>
  <c r="H30" i="48"/>
  <c r="I30" i="48" s="1"/>
  <c r="H29" i="48"/>
  <c r="I29" i="48" s="1"/>
  <c r="H28" i="48"/>
  <c r="I28" i="48" s="1"/>
  <c r="H27" i="48"/>
  <c r="I27" i="48" s="1"/>
  <c r="H26" i="48"/>
  <c r="I26" i="48" s="1"/>
  <c r="H25" i="48"/>
  <c r="I25" i="48" s="1"/>
  <c r="H24" i="48"/>
  <c r="I24" i="48" s="1"/>
  <c r="H23" i="48"/>
  <c r="I23" i="48" s="1"/>
  <c r="H22" i="48"/>
  <c r="I22" i="48" s="1"/>
  <c r="H21" i="48"/>
  <c r="I21" i="48" s="1"/>
  <c r="H20" i="48"/>
  <c r="I20" i="48" s="1"/>
  <c r="H19" i="48"/>
  <c r="I19" i="48" s="1"/>
  <c r="H18" i="48"/>
  <c r="I18" i="48" s="1"/>
  <c r="H17" i="48"/>
  <c r="I17" i="48" s="1"/>
  <c r="H16" i="48"/>
  <c r="I16" i="48" s="1"/>
  <c r="H15" i="48"/>
  <c r="I15" i="48" s="1"/>
  <c r="H14" i="48"/>
  <c r="I14" i="48" s="1"/>
  <c r="H13" i="48"/>
  <c r="I13" i="48" s="1"/>
  <c r="H12" i="48"/>
  <c r="I12" i="48" s="1"/>
  <c r="H11" i="48"/>
  <c r="I11" i="48" s="1"/>
  <c r="H10" i="48"/>
  <c r="I10" i="48" s="1"/>
  <c r="H9" i="48"/>
  <c r="I9" i="48" s="1"/>
  <c r="H8" i="48"/>
  <c r="I8" i="48" s="1"/>
  <c r="H7" i="48"/>
  <c r="I7" i="48" s="1"/>
  <c r="E6" i="48"/>
  <c r="D6" i="48"/>
  <c r="H6" i="48" s="1"/>
  <c r="C6" i="48"/>
  <c r="H5" i="48"/>
  <c r="I5" i="48" s="1"/>
  <c r="H4" i="48"/>
  <c r="I4" i="48" s="1"/>
  <c r="H3" i="48"/>
  <c r="I3" i="48" s="1"/>
  <c r="H2" i="48"/>
  <c r="F285" i="20"/>
  <c r="G285" i="20"/>
  <c r="G35" i="52" l="1"/>
  <c r="G41" i="52" s="1"/>
  <c r="G44" i="52" s="1"/>
  <c r="G48" i="52" s="1"/>
  <c r="H33" i="52"/>
  <c r="I120" i="48"/>
  <c r="D346" i="48"/>
  <c r="H83" i="48"/>
  <c r="I83" i="48" s="1"/>
  <c r="H189" i="48"/>
  <c r="I189" i="48" s="1"/>
  <c r="I6" i="48"/>
  <c r="E346" i="48"/>
  <c r="H134" i="48"/>
  <c r="I134" i="48" s="1"/>
  <c r="C346" i="48"/>
  <c r="I160" i="48"/>
  <c r="H102" i="48"/>
  <c r="I102" i="48" s="1"/>
  <c r="H285" i="20"/>
  <c r="I285" i="20" s="1"/>
  <c r="H126" i="48"/>
  <c r="I126" i="48" s="1"/>
  <c r="I2" i="48"/>
  <c r="F357" i="46"/>
  <c r="F356" i="46"/>
  <c r="F355" i="46"/>
  <c r="F354" i="46"/>
  <c r="F353" i="46"/>
  <c r="F352" i="46"/>
  <c r="F351" i="46"/>
  <c r="F350" i="46"/>
  <c r="F349" i="46"/>
  <c r="F348" i="46"/>
  <c r="F347" i="46"/>
  <c r="F346" i="46"/>
  <c r="F345" i="46"/>
  <c r="F344" i="46"/>
  <c r="F343" i="46"/>
  <c r="F342" i="46"/>
  <c r="F341" i="46"/>
  <c r="F340" i="46"/>
  <c r="F339" i="46"/>
  <c r="F338" i="46"/>
  <c r="F337" i="46"/>
  <c r="F336" i="46"/>
  <c r="F335" i="46"/>
  <c r="F334" i="46"/>
  <c r="F333" i="46"/>
  <c r="F332" i="46"/>
  <c r="F331" i="46"/>
  <c r="F330" i="46"/>
  <c r="F329" i="46"/>
  <c r="F328" i="46"/>
  <c r="F327" i="46"/>
  <c r="F326" i="46"/>
  <c r="F325" i="46"/>
  <c r="F324" i="46"/>
  <c r="F323" i="46"/>
  <c r="F322" i="46"/>
  <c r="F321" i="46"/>
  <c r="F320" i="46"/>
  <c r="F319" i="46"/>
  <c r="F318" i="46"/>
  <c r="F317" i="46"/>
  <c r="F316" i="46"/>
  <c r="F315" i="46"/>
  <c r="F314" i="46"/>
  <c r="F313" i="46"/>
  <c r="F312" i="46"/>
  <c r="F311" i="46"/>
  <c r="F310" i="46"/>
  <c r="F309" i="46"/>
  <c r="F308" i="46"/>
  <c r="F307" i="46"/>
  <c r="F306" i="46"/>
  <c r="F305" i="46"/>
  <c r="F304" i="46"/>
  <c r="F303" i="46"/>
  <c r="F302" i="46"/>
  <c r="F301" i="46"/>
  <c r="F300" i="46"/>
  <c r="F299" i="46"/>
  <c r="F298" i="46"/>
  <c r="F297" i="46"/>
  <c r="F296" i="46"/>
  <c r="F295" i="46"/>
  <c r="F294" i="46"/>
  <c r="F293" i="46"/>
  <c r="F292" i="46"/>
  <c r="F291" i="46"/>
  <c r="F290" i="46"/>
  <c r="F289" i="46"/>
  <c r="F288" i="46"/>
  <c r="F287" i="46"/>
  <c r="F286" i="46"/>
  <c r="F285" i="46"/>
  <c r="F284" i="46"/>
  <c r="F283" i="46"/>
  <c r="F282" i="46"/>
  <c r="F281" i="46"/>
  <c r="F280" i="46"/>
  <c r="F279" i="46"/>
  <c r="F278" i="46"/>
  <c r="F277" i="46"/>
  <c r="F276" i="46"/>
  <c r="F275" i="46"/>
  <c r="F274" i="46"/>
  <c r="F273" i="46"/>
  <c r="F272" i="46"/>
  <c r="F271" i="46"/>
  <c r="F270" i="46"/>
  <c r="F269" i="46"/>
  <c r="F268" i="46"/>
  <c r="F267" i="46"/>
  <c r="F266" i="46"/>
  <c r="F265" i="46"/>
  <c r="F264" i="46"/>
  <c r="F263" i="46"/>
  <c r="F262" i="46"/>
  <c r="F261" i="46"/>
  <c r="F260" i="46"/>
  <c r="F259" i="46"/>
  <c r="F258" i="46"/>
  <c r="F257" i="46"/>
  <c r="F256" i="46"/>
  <c r="F255" i="46"/>
  <c r="F254" i="46"/>
  <c r="F253" i="46"/>
  <c r="F252" i="46"/>
  <c r="F251" i="46"/>
  <c r="F250" i="46"/>
  <c r="F249" i="46"/>
  <c r="F248" i="46"/>
  <c r="F247" i="46"/>
  <c r="F246" i="46"/>
  <c r="F245" i="46"/>
  <c r="F244" i="46"/>
  <c r="F243" i="46"/>
  <c r="F242" i="46"/>
  <c r="F241" i="46"/>
  <c r="F240" i="46"/>
  <c r="F239" i="46"/>
  <c r="F238" i="46"/>
  <c r="F237" i="46"/>
  <c r="F236" i="46"/>
  <c r="F235" i="46"/>
  <c r="F234" i="46"/>
  <c r="F233" i="46"/>
  <c r="F232" i="46"/>
  <c r="F231" i="46"/>
  <c r="F230" i="46"/>
  <c r="F229" i="46"/>
  <c r="F228" i="46"/>
  <c r="F227" i="46"/>
  <c r="F226" i="46"/>
  <c r="F225" i="46"/>
  <c r="F224" i="46"/>
  <c r="F223" i="46"/>
  <c r="F222" i="46"/>
  <c r="F221" i="46"/>
  <c r="F220" i="46"/>
  <c r="F219" i="46"/>
  <c r="F218" i="46"/>
  <c r="F217" i="46"/>
  <c r="F216" i="46"/>
  <c r="F215" i="46"/>
  <c r="F214" i="46"/>
  <c r="F213" i="46"/>
  <c r="F212" i="46"/>
  <c r="F211" i="46"/>
  <c r="F210" i="46"/>
  <c r="F209" i="46"/>
  <c r="F208" i="46"/>
  <c r="F207" i="46"/>
  <c r="F206" i="46"/>
  <c r="F205" i="46"/>
  <c r="F204" i="46"/>
  <c r="F203" i="46"/>
  <c r="F202" i="46"/>
  <c r="F201" i="46"/>
  <c r="F200" i="46"/>
  <c r="F199" i="46"/>
  <c r="F198" i="46"/>
  <c r="F197" i="46"/>
  <c r="F196" i="46"/>
  <c r="F195" i="46"/>
  <c r="F194" i="46"/>
  <c r="F193" i="46"/>
  <c r="F192" i="46"/>
  <c r="F191" i="46"/>
  <c r="F190" i="46"/>
  <c r="F189" i="46"/>
  <c r="F188" i="46"/>
  <c r="F187" i="46"/>
  <c r="F186" i="46"/>
  <c r="F185" i="46"/>
  <c r="F184" i="46"/>
  <c r="F183" i="46"/>
  <c r="F182" i="46"/>
  <c r="F181" i="46"/>
  <c r="F180" i="46"/>
  <c r="F179" i="46"/>
  <c r="F178" i="46"/>
  <c r="F177" i="46"/>
  <c r="F176" i="46"/>
  <c r="F175" i="46"/>
  <c r="F174" i="46"/>
  <c r="F173" i="46"/>
  <c r="F172" i="46"/>
  <c r="F171" i="46"/>
  <c r="F170" i="46"/>
  <c r="F169" i="46"/>
  <c r="F168" i="46"/>
  <c r="F167" i="46"/>
  <c r="F166" i="46"/>
  <c r="F165" i="46"/>
  <c r="F164" i="46"/>
  <c r="F163" i="46"/>
  <c r="F162" i="46"/>
  <c r="F161" i="46"/>
  <c r="F160" i="46"/>
  <c r="F159" i="46"/>
  <c r="F158" i="46"/>
  <c r="F157" i="46"/>
  <c r="F156" i="46"/>
  <c r="F155" i="46"/>
  <c r="F154" i="46"/>
  <c r="F153" i="46"/>
  <c r="F152" i="46"/>
  <c r="F151" i="46"/>
  <c r="F150" i="46"/>
  <c r="F149" i="46"/>
  <c r="F148" i="46"/>
  <c r="F147" i="46"/>
  <c r="F146" i="46"/>
  <c r="F145" i="46"/>
  <c r="F144" i="46"/>
  <c r="F143" i="46"/>
  <c r="F142" i="46"/>
  <c r="F141" i="46"/>
  <c r="F140" i="46"/>
  <c r="F139" i="46"/>
  <c r="F138" i="46"/>
  <c r="F137" i="46"/>
  <c r="F136" i="46"/>
  <c r="F135" i="46"/>
  <c r="F134" i="46"/>
  <c r="F133" i="46"/>
  <c r="F132" i="46"/>
  <c r="F131" i="46"/>
  <c r="F130" i="46"/>
  <c r="F129" i="46"/>
  <c r="F128" i="46"/>
  <c r="F127" i="46"/>
  <c r="F126" i="46"/>
  <c r="F125" i="46"/>
  <c r="F124" i="46"/>
  <c r="F123" i="46"/>
  <c r="F122" i="46"/>
  <c r="F121" i="46"/>
  <c r="F120" i="46"/>
  <c r="F119" i="46"/>
  <c r="F118" i="46"/>
  <c r="F117" i="46"/>
  <c r="F116" i="46"/>
  <c r="F115" i="46"/>
  <c r="F114" i="46"/>
  <c r="F113" i="46"/>
  <c r="F112" i="46"/>
  <c r="F111" i="46"/>
  <c r="F110" i="46"/>
  <c r="F109" i="46"/>
  <c r="F108" i="46"/>
  <c r="F107" i="46"/>
  <c r="F106" i="46"/>
  <c r="F105" i="46"/>
  <c r="F104" i="46"/>
  <c r="F103" i="46"/>
  <c r="F102" i="46"/>
  <c r="F101" i="46"/>
  <c r="F100" i="46"/>
  <c r="F99" i="46"/>
  <c r="F98" i="46"/>
  <c r="F97" i="46"/>
  <c r="F96" i="46"/>
  <c r="F95" i="46"/>
  <c r="F94" i="46"/>
  <c r="F93" i="46"/>
  <c r="F92" i="46"/>
  <c r="F91" i="46"/>
  <c r="F90" i="46"/>
  <c r="F89" i="46"/>
  <c r="F88" i="46"/>
  <c r="F87" i="46"/>
  <c r="F86" i="46"/>
  <c r="F85" i="46"/>
  <c r="F84" i="46"/>
  <c r="F83" i="46"/>
  <c r="F82" i="46"/>
  <c r="F81" i="46"/>
  <c r="F80" i="46"/>
  <c r="F79" i="46"/>
  <c r="F78" i="46"/>
  <c r="F77" i="46"/>
  <c r="F76" i="46"/>
  <c r="F75" i="46"/>
  <c r="F74" i="46"/>
  <c r="F73" i="46"/>
  <c r="F72" i="46"/>
  <c r="F71" i="46"/>
  <c r="F70" i="46"/>
  <c r="F69" i="46"/>
  <c r="F68" i="46"/>
  <c r="F67" i="46"/>
  <c r="F66" i="46"/>
  <c r="F65" i="46"/>
  <c r="F64" i="46"/>
  <c r="F63" i="46"/>
  <c r="F62" i="46"/>
  <c r="F61" i="46"/>
  <c r="F60" i="46"/>
  <c r="F59" i="46"/>
  <c r="F58" i="46"/>
  <c r="F57" i="46"/>
  <c r="F56" i="46"/>
  <c r="F55" i="46"/>
  <c r="F54" i="46"/>
  <c r="F53" i="46"/>
  <c r="F52" i="46"/>
  <c r="F51" i="46"/>
  <c r="F50" i="46"/>
  <c r="F49" i="46"/>
  <c r="F48" i="46"/>
  <c r="F47" i="46"/>
  <c r="F46" i="46"/>
  <c r="F45" i="46"/>
  <c r="F44" i="46"/>
  <c r="F43" i="46"/>
  <c r="F42" i="46"/>
  <c r="F41" i="46"/>
  <c r="F40" i="46"/>
  <c r="F39" i="46"/>
  <c r="F38" i="46"/>
  <c r="F37" i="46"/>
  <c r="F36" i="46"/>
  <c r="F35" i="46"/>
  <c r="F34" i="46"/>
  <c r="F33" i="46"/>
  <c r="F32" i="46"/>
  <c r="F31" i="46"/>
  <c r="F30" i="46"/>
  <c r="F29" i="46"/>
  <c r="F28" i="46"/>
  <c r="F27" i="46"/>
  <c r="F26" i="46"/>
  <c r="F25" i="46"/>
  <c r="F24" i="46"/>
  <c r="F23" i="46"/>
  <c r="F22" i="46"/>
  <c r="F21" i="46"/>
  <c r="F20" i="46"/>
  <c r="F19" i="46"/>
  <c r="F18" i="46"/>
  <c r="F17" i="46"/>
  <c r="F16" i="46"/>
  <c r="F15" i="46"/>
  <c r="F14" i="46"/>
  <c r="F13" i="46"/>
  <c r="F12" i="46"/>
  <c r="F11" i="46"/>
  <c r="F10" i="46"/>
  <c r="F9" i="46"/>
  <c r="F8" i="46"/>
  <c r="F7" i="46"/>
  <c r="F6" i="46"/>
  <c r="F5" i="46"/>
  <c r="F4" i="46"/>
  <c r="F3" i="46"/>
  <c r="G119" i="47"/>
  <c r="F119" i="47"/>
  <c r="E119" i="47"/>
  <c r="D119" i="47"/>
  <c r="C119" i="47"/>
  <c r="C358" i="46"/>
  <c r="G357" i="46"/>
  <c r="G356" i="46"/>
  <c r="G355" i="46"/>
  <c r="G354" i="46"/>
  <c r="G353" i="46"/>
  <c r="G352" i="46"/>
  <c r="G351" i="46"/>
  <c r="G350" i="46"/>
  <c r="G349" i="46"/>
  <c r="G348" i="46"/>
  <c r="G347" i="46"/>
  <c r="G346" i="46"/>
  <c r="G345" i="46"/>
  <c r="G344" i="46"/>
  <c r="G343" i="46"/>
  <c r="G342" i="46"/>
  <c r="G341" i="46"/>
  <c r="G340" i="46"/>
  <c r="G339" i="46"/>
  <c r="G338" i="46"/>
  <c r="G337" i="46"/>
  <c r="G336" i="46"/>
  <c r="G335" i="46"/>
  <c r="G334" i="46"/>
  <c r="G333" i="46"/>
  <c r="G332" i="46"/>
  <c r="G331" i="46"/>
  <c r="G330" i="46"/>
  <c r="G329" i="46"/>
  <c r="G328" i="46"/>
  <c r="G327" i="46"/>
  <c r="G326" i="46"/>
  <c r="G325" i="46"/>
  <c r="G324" i="46"/>
  <c r="G323" i="46"/>
  <c r="G322" i="46"/>
  <c r="G321" i="46"/>
  <c r="G320" i="46"/>
  <c r="G319" i="46"/>
  <c r="G318" i="46"/>
  <c r="G317" i="46"/>
  <c r="G316" i="46"/>
  <c r="G315" i="46"/>
  <c r="G314" i="46"/>
  <c r="G313" i="46"/>
  <c r="G312" i="46"/>
  <c r="G311" i="46"/>
  <c r="G310" i="46"/>
  <c r="G309" i="46"/>
  <c r="G308" i="46"/>
  <c r="G307" i="46"/>
  <c r="G306" i="46"/>
  <c r="G305" i="46"/>
  <c r="G304" i="46"/>
  <c r="G303" i="46"/>
  <c r="G302" i="46"/>
  <c r="G301" i="46"/>
  <c r="G300" i="46"/>
  <c r="G299" i="46"/>
  <c r="G298" i="46"/>
  <c r="G297" i="46"/>
  <c r="G296" i="46"/>
  <c r="G295" i="46"/>
  <c r="G294" i="46"/>
  <c r="G293" i="46"/>
  <c r="G292" i="46"/>
  <c r="G291" i="46"/>
  <c r="G290" i="46"/>
  <c r="G289" i="46"/>
  <c r="G288" i="46"/>
  <c r="G287" i="46"/>
  <c r="G286" i="46"/>
  <c r="G285" i="46"/>
  <c r="G284" i="46"/>
  <c r="G283" i="46"/>
  <c r="G282" i="46"/>
  <c r="G281" i="46"/>
  <c r="G280" i="46"/>
  <c r="G279" i="46"/>
  <c r="G278" i="46"/>
  <c r="G277" i="46"/>
  <c r="G276" i="46"/>
  <c r="G275" i="46"/>
  <c r="G274" i="46"/>
  <c r="G273" i="46"/>
  <c r="G272" i="46"/>
  <c r="G271" i="46"/>
  <c r="G270" i="46"/>
  <c r="G269" i="46"/>
  <c r="G268" i="46"/>
  <c r="G267" i="46"/>
  <c r="G266" i="46"/>
  <c r="G265" i="46"/>
  <c r="G264" i="46"/>
  <c r="G263" i="46"/>
  <c r="D263" i="46"/>
  <c r="D358" i="46" s="1"/>
  <c r="G262" i="46"/>
  <c r="G261" i="46"/>
  <c r="G260" i="46"/>
  <c r="G259" i="46"/>
  <c r="G258" i="46"/>
  <c r="G257" i="46"/>
  <c r="G256" i="46"/>
  <c r="G255" i="46"/>
  <c r="G254" i="46"/>
  <c r="G253" i="46"/>
  <c r="G252" i="46"/>
  <c r="G251" i="46"/>
  <c r="G250" i="46"/>
  <c r="G249" i="46"/>
  <c r="G248" i="46"/>
  <c r="G247" i="46"/>
  <c r="G246" i="46"/>
  <c r="G245" i="46"/>
  <c r="G244" i="46"/>
  <c r="G243" i="46"/>
  <c r="G242" i="46"/>
  <c r="G241" i="46"/>
  <c r="G240" i="46"/>
  <c r="G239" i="46"/>
  <c r="G238" i="46"/>
  <c r="G237" i="46"/>
  <c r="G236" i="46"/>
  <c r="G235" i="46"/>
  <c r="G234" i="46"/>
  <c r="G233" i="46"/>
  <c r="G232" i="46"/>
  <c r="G231" i="46"/>
  <c r="G230" i="46"/>
  <c r="G229" i="46"/>
  <c r="G228" i="46"/>
  <c r="G227" i="46"/>
  <c r="G226" i="46"/>
  <c r="G225" i="46"/>
  <c r="G224" i="46"/>
  <c r="G223" i="46"/>
  <c r="G222" i="46"/>
  <c r="G221" i="46"/>
  <c r="G220" i="46"/>
  <c r="G219" i="46"/>
  <c r="G218" i="46"/>
  <c r="G217" i="46"/>
  <c r="G216" i="46"/>
  <c r="G215" i="46"/>
  <c r="G214" i="46"/>
  <c r="G213" i="46"/>
  <c r="G212" i="46"/>
  <c r="G211" i="46"/>
  <c r="G210" i="46"/>
  <c r="G209" i="46"/>
  <c r="G208" i="46"/>
  <c r="G207" i="46"/>
  <c r="G206" i="46"/>
  <c r="G205" i="46"/>
  <c r="G204" i="46"/>
  <c r="G203" i="46"/>
  <c r="G202" i="46"/>
  <c r="H202" i="46" s="1"/>
  <c r="I202" i="46" s="1"/>
  <c r="G201" i="46"/>
  <c r="G200" i="46"/>
  <c r="G199" i="46"/>
  <c r="G198" i="46"/>
  <c r="G197" i="46"/>
  <c r="G196" i="46"/>
  <c r="G195" i="46"/>
  <c r="G194" i="46"/>
  <c r="H194" i="46" s="1"/>
  <c r="I194" i="46" s="1"/>
  <c r="G193" i="46"/>
  <c r="G192" i="46"/>
  <c r="G191" i="46"/>
  <c r="G190" i="46"/>
  <c r="G189" i="46"/>
  <c r="G188" i="46"/>
  <c r="G187" i="46"/>
  <c r="G186" i="46"/>
  <c r="H186" i="46" s="1"/>
  <c r="I186" i="46" s="1"/>
  <c r="G185" i="46"/>
  <c r="G184" i="46"/>
  <c r="G183" i="46"/>
  <c r="G182" i="46"/>
  <c r="G181" i="46"/>
  <c r="G180" i="46"/>
  <c r="G179" i="46"/>
  <c r="G178" i="46"/>
  <c r="H178" i="46" s="1"/>
  <c r="I178" i="46" s="1"/>
  <c r="G177" i="46"/>
  <c r="G176" i="46"/>
  <c r="G175" i="46"/>
  <c r="G174" i="46"/>
  <c r="G173" i="46"/>
  <c r="G172" i="46"/>
  <c r="G171" i="46"/>
  <c r="G170" i="46"/>
  <c r="H170" i="46" s="1"/>
  <c r="I170" i="46" s="1"/>
  <c r="G169" i="46"/>
  <c r="G168" i="46"/>
  <c r="G167" i="46"/>
  <c r="G166" i="46"/>
  <c r="G165" i="46"/>
  <c r="G164" i="46"/>
  <c r="G163" i="46"/>
  <c r="G162" i="46"/>
  <c r="H162" i="46" s="1"/>
  <c r="I162" i="46" s="1"/>
  <c r="G161" i="46"/>
  <c r="H161" i="46" s="1"/>
  <c r="I161" i="46" s="1"/>
  <c r="G160" i="46"/>
  <c r="G159" i="46"/>
  <c r="G158" i="46"/>
  <c r="G157" i="46"/>
  <c r="G156" i="46"/>
  <c r="G155" i="46"/>
  <c r="G154" i="46"/>
  <c r="G153" i="46"/>
  <c r="H153" i="46" s="1"/>
  <c r="I153" i="46" s="1"/>
  <c r="G152" i="46"/>
  <c r="G151" i="46"/>
  <c r="G150" i="46"/>
  <c r="G149" i="46"/>
  <c r="G148" i="46"/>
  <c r="G147" i="46"/>
  <c r="G146" i="46"/>
  <c r="G145" i="46"/>
  <c r="H145" i="46" s="1"/>
  <c r="I145" i="46" s="1"/>
  <c r="G144" i="46"/>
  <c r="G143" i="46"/>
  <c r="G142" i="46"/>
  <c r="G141" i="46"/>
  <c r="G140" i="46"/>
  <c r="G139" i="46"/>
  <c r="G138" i="46"/>
  <c r="G137" i="46"/>
  <c r="H137" i="46" s="1"/>
  <c r="I137" i="46" s="1"/>
  <c r="G136" i="46"/>
  <c r="G135" i="46"/>
  <c r="G134" i="46"/>
  <c r="G133" i="46"/>
  <c r="G132" i="46"/>
  <c r="G131" i="46"/>
  <c r="G130" i="46"/>
  <c r="G129" i="46"/>
  <c r="H129" i="46" s="1"/>
  <c r="I129" i="46" s="1"/>
  <c r="G128" i="46"/>
  <c r="G127" i="46"/>
  <c r="G126" i="46"/>
  <c r="G125" i="46"/>
  <c r="G124" i="46"/>
  <c r="G123" i="46"/>
  <c r="G122" i="46"/>
  <c r="G121" i="46"/>
  <c r="H121" i="46" s="1"/>
  <c r="I121" i="46" s="1"/>
  <c r="G120" i="46"/>
  <c r="G119" i="46"/>
  <c r="G118" i="46"/>
  <c r="G117" i="46"/>
  <c r="G116" i="46"/>
  <c r="G115" i="46"/>
  <c r="G114" i="46"/>
  <c r="G113" i="46"/>
  <c r="H113" i="46" s="1"/>
  <c r="I113" i="46" s="1"/>
  <c r="G112" i="46"/>
  <c r="G111" i="46"/>
  <c r="G110" i="46"/>
  <c r="G109" i="46"/>
  <c r="G108" i="46"/>
  <c r="G107" i="46"/>
  <c r="G106" i="46"/>
  <c r="G105" i="46"/>
  <c r="H105" i="46" s="1"/>
  <c r="I105" i="46" s="1"/>
  <c r="G104" i="46"/>
  <c r="G103" i="46"/>
  <c r="G102" i="46"/>
  <c r="G101" i="46"/>
  <c r="G100" i="46"/>
  <c r="G99" i="46"/>
  <c r="G98" i="46"/>
  <c r="H98" i="46" s="1"/>
  <c r="I98" i="46" s="1"/>
  <c r="G97" i="46"/>
  <c r="H97" i="46" s="1"/>
  <c r="I97" i="46" s="1"/>
  <c r="G96" i="46"/>
  <c r="G95" i="46"/>
  <c r="G94" i="46"/>
  <c r="G93" i="46"/>
  <c r="G92" i="46"/>
  <c r="E92" i="46"/>
  <c r="E358" i="46" s="1"/>
  <c r="G91" i="46"/>
  <c r="G90" i="46"/>
  <c r="H90" i="46" s="1"/>
  <c r="I90" i="46" s="1"/>
  <c r="G89" i="46"/>
  <c r="G88" i="46"/>
  <c r="G87" i="46"/>
  <c r="G86" i="46"/>
  <c r="G85" i="46"/>
  <c r="G84" i="46"/>
  <c r="G83" i="46"/>
  <c r="G82" i="46"/>
  <c r="H82" i="46" s="1"/>
  <c r="I82" i="46" s="1"/>
  <c r="G81" i="46"/>
  <c r="G80" i="46"/>
  <c r="G79" i="46"/>
  <c r="G78" i="46"/>
  <c r="G77" i="46"/>
  <c r="G76" i="46"/>
  <c r="G75" i="46"/>
  <c r="G74" i="46"/>
  <c r="H74" i="46" s="1"/>
  <c r="I74" i="46" s="1"/>
  <c r="G73" i="46"/>
  <c r="G72" i="46"/>
  <c r="G71" i="46"/>
  <c r="G70" i="46"/>
  <c r="G69" i="46"/>
  <c r="G68" i="46"/>
  <c r="G67" i="46"/>
  <c r="G66" i="46"/>
  <c r="H66" i="46" s="1"/>
  <c r="I66" i="46" s="1"/>
  <c r="G65" i="46"/>
  <c r="G64" i="46"/>
  <c r="G63" i="46"/>
  <c r="G62" i="46"/>
  <c r="G61" i="46"/>
  <c r="G60" i="46"/>
  <c r="G59" i="46"/>
  <c r="G58" i="46"/>
  <c r="G57" i="46"/>
  <c r="G56" i="46"/>
  <c r="G55" i="46"/>
  <c r="G54" i="46"/>
  <c r="G53" i="46"/>
  <c r="G52" i="46"/>
  <c r="G51" i="46"/>
  <c r="G50" i="46"/>
  <c r="G49" i="46"/>
  <c r="G48" i="46"/>
  <c r="G47" i="46"/>
  <c r="G46" i="46"/>
  <c r="G45" i="46"/>
  <c r="G44" i="46"/>
  <c r="G43" i="46"/>
  <c r="G42" i="46"/>
  <c r="G41" i="46"/>
  <c r="G40" i="46"/>
  <c r="G39" i="46"/>
  <c r="G38" i="46"/>
  <c r="G37" i="46"/>
  <c r="G36" i="46"/>
  <c r="G35" i="46"/>
  <c r="G34" i="46"/>
  <c r="G33" i="46"/>
  <c r="G32" i="46"/>
  <c r="G31" i="46"/>
  <c r="G30" i="46"/>
  <c r="G29" i="46"/>
  <c r="G28" i="46"/>
  <c r="G27" i="46"/>
  <c r="G26" i="46"/>
  <c r="G25" i="46"/>
  <c r="G24" i="46"/>
  <c r="G23" i="46"/>
  <c r="G22" i="46"/>
  <c r="G21" i="46"/>
  <c r="G20" i="46"/>
  <c r="G19" i="46"/>
  <c r="G18" i="46"/>
  <c r="G17" i="46"/>
  <c r="G16" i="46"/>
  <c r="G15" i="46"/>
  <c r="G14" i="46"/>
  <c r="G13" i="46"/>
  <c r="G12" i="46"/>
  <c r="G11" i="46"/>
  <c r="G10" i="46"/>
  <c r="G9" i="46"/>
  <c r="G8" i="46"/>
  <c r="G7" i="46"/>
  <c r="G6" i="46"/>
  <c r="G5" i="46"/>
  <c r="G4" i="46"/>
  <c r="G3" i="46"/>
  <c r="H75" i="46" l="1"/>
  <c r="I75" i="46" s="1"/>
  <c r="H11" i="46"/>
  <c r="I11" i="46" s="1"/>
  <c r="H83" i="46"/>
  <c r="I83" i="46" s="1"/>
  <c r="H68" i="46"/>
  <c r="I68" i="46" s="1"/>
  <c r="H84" i="46"/>
  <c r="I84" i="46" s="1"/>
  <c r="H99" i="46"/>
  <c r="I99" i="46" s="1"/>
  <c r="H19" i="46"/>
  <c r="I19" i="46" s="1"/>
  <c r="H67" i="46"/>
  <c r="I67" i="46" s="1"/>
  <c r="H91" i="46"/>
  <c r="I91" i="46" s="1"/>
  <c r="H76" i="46"/>
  <c r="I76" i="46" s="1"/>
  <c r="H100" i="46"/>
  <c r="I100" i="46" s="1"/>
  <c r="H212" i="46"/>
  <c r="I212" i="46" s="1"/>
  <c r="H220" i="46"/>
  <c r="I220" i="46" s="1"/>
  <c r="H228" i="46"/>
  <c r="I228" i="46" s="1"/>
  <c r="H236" i="46"/>
  <c r="I236" i="46" s="1"/>
  <c r="H244" i="46"/>
  <c r="I244" i="46" s="1"/>
  <c r="H252" i="46"/>
  <c r="I252" i="46" s="1"/>
  <c r="H260" i="46"/>
  <c r="I260" i="46" s="1"/>
  <c r="H92" i="46"/>
  <c r="I92" i="46" s="1"/>
  <c r="H7" i="46"/>
  <c r="I7" i="46" s="1"/>
  <c r="H15" i="46"/>
  <c r="I15" i="46" s="1"/>
  <c r="H23" i="46"/>
  <c r="I23" i="46" s="1"/>
  <c r="H71" i="46"/>
  <c r="I71" i="46" s="1"/>
  <c r="H79" i="46"/>
  <c r="I79" i="46" s="1"/>
  <c r="H87" i="46"/>
  <c r="I87" i="46" s="1"/>
  <c r="H72" i="46"/>
  <c r="I72" i="46" s="1"/>
  <c r="H80" i="46"/>
  <c r="I80" i="46" s="1"/>
  <c r="H88" i="46"/>
  <c r="I88" i="46" s="1"/>
  <c r="H95" i="46"/>
  <c r="I95" i="46" s="1"/>
  <c r="H103" i="46"/>
  <c r="I103" i="46" s="1"/>
  <c r="H111" i="46"/>
  <c r="I111" i="46" s="1"/>
  <c r="H119" i="46"/>
  <c r="I119" i="46" s="1"/>
  <c r="H127" i="46"/>
  <c r="I127" i="46" s="1"/>
  <c r="H135" i="46"/>
  <c r="I135" i="46" s="1"/>
  <c r="H143" i="46"/>
  <c r="I143" i="46" s="1"/>
  <c r="H151" i="46"/>
  <c r="I151" i="46" s="1"/>
  <c r="H159" i="46"/>
  <c r="I159" i="46" s="1"/>
  <c r="F358" i="46"/>
  <c r="H9" i="46"/>
  <c r="I9" i="46" s="1"/>
  <c r="H17" i="46"/>
  <c r="I17" i="46" s="1"/>
  <c r="H25" i="46"/>
  <c r="I25" i="46" s="1"/>
  <c r="H65" i="46"/>
  <c r="I65" i="46" s="1"/>
  <c r="H73" i="46"/>
  <c r="I73" i="46" s="1"/>
  <c r="H81" i="46"/>
  <c r="I81" i="46" s="1"/>
  <c r="H89" i="46"/>
  <c r="I89" i="46" s="1"/>
  <c r="H96" i="46"/>
  <c r="I96" i="46" s="1"/>
  <c r="H104" i="46"/>
  <c r="I104" i="46" s="1"/>
  <c r="H112" i="46"/>
  <c r="I112" i="46" s="1"/>
  <c r="H120" i="46"/>
  <c r="I120" i="46" s="1"/>
  <c r="H128" i="46"/>
  <c r="I128" i="46" s="1"/>
  <c r="H136" i="46"/>
  <c r="I136" i="46" s="1"/>
  <c r="H144" i="46"/>
  <c r="I144" i="46" s="1"/>
  <c r="H152" i="46"/>
  <c r="I152" i="46" s="1"/>
  <c r="H160" i="46"/>
  <c r="I160" i="46" s="1"/>
  <c r="H216" i="46"/>
  <c r="I216" i="46" s="1"/>
  <c r="H224" i="46"/>
  <c r="I224" i="46" s="1"/>
  <c r="H232" i="46"/>
  <c r="I232" i="46" s="1"/>
  <c r="H240" i="46"/>
  <c r="I240" i="46" s="1"/>
  <c r="H248" i="46"/>
  <c r="I248" i="46" s="1"/>
  <c r="H256" i="46"/>
  <c r="I256" i="46" s="1"/>
  <c r="I346" i="48"/>
  <c r="H346" i="48"/>
  <c r="H13" i="46"/>
  <c r="I13" i="46" s="1"/>
  <c r="H69" i="46"/>
  <c r="I69" i="46" s="1"/>
  <c r="H77" i="46"/>
  <c r="I77" i="46" s="1"/>
  <c r="H85" i="46"/>
  <c r="I85" i="46" s="1"/>
  <c r="H5" i="46"/>
  <c r="I5" i="46" s="1"/>
  <c r="H70" i="46"/>
  <c r="I70" i="46" s="1"/>
  <c r="H78" i="46"/>
  <c r="I78" i="46" s="1"/>
  <c r="H86" i="46"/>
  <c r="I86" i="46" s="1"/>
  <c r="H93" i="46"/>
  <c r="I93" i="46" s="1"/>
  <c r="H101" i="46"/>
  <c r="I101" i="46" s="1"/>
  <c r="H109" i="46"/>
  <c r="I109" i="46" s="1"/>
  <c r="H117" i="46"/>
  <c r="I117" i="46" s="1"/>
  <c r="H125" i="46"/>
  <c r="I125" i="46" s="1"/>
  <c r="H133" i="46"/>
  <c r="I133" i="46" s="1"/>
  <c r="H141" i="46"/>
  <c r="I141" i="46" s="1"/>
  <c r="H149" i="46"/>
  <c r="I149" i="46" s="1"/>
  <c r="H157" i="46"/>
  <c r="I157" i="46" s="1"/>
  <c r="H21" i="46"/>
  <c r="I21" i="46" s="1"/>
  <c r="H94" i="46"/>
  <c r="I94" i="46" s="1"/>
  <c r="H102" i="46"/>
  <c r="I102" i="46" s="1"/>
  <c r="H110" i="46"/>
  <c r="I110" i="46" s="1"/>
  <c r="H118" i="46"/>
  <c r="I118" i="46" s="1"/>
  <c r="H126" i="46"/>
  <c r="I126" i="46" s="1"/>
  <c r="H134" i="46"/>
  <c r="I134" i="46" s="1"/>
  <c r="H142" i="46"/>
  <c r="I142" i="46" s="1"/>
  <c r="H150" i="46"/>
  <c r="I150" i="46" s="1"/>
  <c r="H158" i="46"/>
  <c r="I158" i="46" s="1"/>
  <c r="H166" i="46"/>
  <c r="I166" i="46" s="1"/>
  <c r="H174" i="46"/>
  <c r="I174" i="46" s="1"/>
  <c r="H182" i="46"/>
  <c r="I182" i="46" s="1"/>
  <c r="H190" i="46"/>
  <c r="I190" i="46" s="1"/>
  <c r="H198" i="46"/>
  <c r="I198" i="46" s="1"/>
  <c r="H206" i="46"/>
  <c r="I206" i="46" s="1"/>
  <c r="H357" i="46"/>
  <c r="I357" i="46" s="1"/>
  <c r="H27" i="46"/>
  <c r="I27" i="46" s="1"/>
  <c r="H29" i="46"/>
  <c r="I29" i="46" s="1"/>
  <c r="H31" i="46"/>
  <c r="I31" i="46" s="1"/>
  <c r="H33" i="46"/>
  <c r="I33" i="46" s="1"/>
  <c r="H35" i="46"/>
  <c r="I35" i="46" s="1"/>
  <c r="H37" i="46"/>
  <c r="I37" i="46" s="1"/>
  <c r="H39" i="46"/>
  <c r="I39" i="46" s="1"/>
  <c r="H41" i="46"/>
  <c r="I41" i="46" s="1"/>
  <c r="H43" i="46"/>
  <c r="I43" i="46" s="1"/>
  <c r="H45" i="46"/>
  <c r="I45" i="46" s="1"/>
  <c r="H47" i="46"/>
  <c r="I47" i="46" s="1"/>
  <c r="H49" i="46"/>
  <c r="I49" i="46" s="1"/>
  <c r="H51" i="46"/>
  <c r="I51" i="46" s="1"/>
  <c r="H53" i="46"/>
  <c r="I53" i="46" s="1"/>
  <c r="H55" i="46"/>
  <c r="I55" i="46" s="1"/>
  <c r="H57" i="46"/>
  <c r="I57" i="46" s="1"/>
  <c r="H59" i="46"/>
  <c r="I59" i="46" s="1"/>
  <c r="H61" i="46"/>
  <c r="I61" i="46" s="1"/>
  <c r="H63" i="46"/>
  <c r="I63" i="46" s="1"/>
  <c r="H106" i="46"/>
  <c r="I106" i="46" s="1"/>
  <c r="H108" i="46"/>
  <c r="I108" i="46" s="1"/>
  <c r="H115" i="46"/>
  <c r="I115" i="46" s="1"/>
  <c r="H122" i="46"/>
  <c r="I122" i="46" s="1"/>
  <c r="H124" i="46"/>
  <c r="I124" i="46" s="1"/>
  <c r="H131" i="46"/>
  <c r="I131" i="46" s="1"/>
  <c r="H138" i="46"/>
  <c r="I138" i="46" s="1"/>
  <c r="H140" i="46"/>
  <c r="I140" i="46" s="1"/>
  <c r="H147" i="46"/>
  <c r="I147" i="46" s="1"/>
  <c r="H154" i="46"/>
  <c r="I154" i="46" s="1"/>
  <c r="H156" i="46"/>
  <c r="I156" i="46" s="1"/>
  <c r="H163" i="46"/>
  <c r="I163" i="46" s="1"/>
  <c r="H165" i="46"/>
  <c r="I165" i="46" s="1"/>
  <c r="H167" i="46"/>
  <c r="I167" i="46" s="1"/>
  <c r="H169" i="46"/>
  <c r="I169" i="46" s="1"/>
  <c r="H171" i="46"/>
  <c r="I171" i="46" s="1"/>
  <c r="H173" i="46"/>
  <c r="I173" i="46" s="1"/>
  <c r="H175" i="46"/>
  <c r="I175" i="46" s="1"/>
  <c r="H177" i="46"/>
  <c r="I177" i="46" s="1"/>
  <c r="H179" i="46"/>
  <c r="I179" i="46" s="1"/>
  <c r="H181" i="46"/>
  <c r="I181" i="46" s="1"/>
  <c r="H183" i="46"/>
  <c r="I183" i="46" s="1"/>
  <c r="H185" i="46"/>
  <c r="I185" i="46" s="1"/>
  <c r="H187" i="46"/>
  <c r="I187" i="46" s="1"/>
  <c r="H189" i="46"/>
  <c r="I189" i="46" s="1"/>
  <c r="H191" i="46"/>
  <c r="I191" i="46" s="1"/>
  <c r="H193" i="46"/>
  <c r="I193" i="46" s="1"/>
  <c r="H195" i="46"/>
  <c r="I195" i="46" s="1"/>
  <c r="H197" i="46"/>
  <c r="I197" i="46" s="1"/>
  <c r="H199" i="46"/>
  <c r="I199" i="46" s="1"/>
  <c r="H201" i="46"/>
  <c r="I201" i="46" s="1"/>
  <c r="H203" i="46"/>
  <c r="I203" i="46" s="1"/>
  <c r="H205" i="46"/>
  <c r="I205" i="46" s="1"/>
  <c r="H207" i="46"/>
  <c r="I207" i="46" s="1"/>
  <c r="H209" i="46"/>
  <c r="I209" i="46" s="1"/>
  <c r="H211" i="46"/>
  <c r="I211" i="46" s="1"/>
  <c r="H213" i="46"/>
  <c r="I213" i="46" s="1"/>
  <c r="H215" i="46"/>
  <c r="I215" i="46" s="1"/>
  <c r="H217" i="46"/>
  <c r="I217" i="46" s="1"/>
  <c r="H219" i="46"/>
  <c r="I219" i="46" s="1"/>
  <c r="H221" i="46"/>
  <c r="I221" i="46" s="1"/>
  <c r="H223" i="46"/>
  <c r="I223" i="46" s="1"/>
  <c r="H225" i="46"/>
  <c r="I225" i="46" s="1"/>
  <c r="H227" i="46"/>
  <c r="I227" i="46" s="1"/>
  <c r="H229" i="46"/>
  <c r="I229" i="46" s="1"/>
  <c r="H231" i="46"/>
  <c r="I231" i="46" s="1"/>
  <c r="H233" i="46"/>
  <c r="I233" i="46" s="1"/>
  <c r="H235" i="46"/>
  <c r="I235" i="46" s="1"/>
  <c r="H237" i="46"/>
  <c r="I237" i="46" s="1"/>
  <c r="H239" i="46"/>
  <c r="I239" i="46" s="1"/>
  <c r="H241" i="46"/>
  <c r="I241" i="46" s="1"/>
  <c r="H243" i="46"/>
  <c r="I243" i="46" s="1"/>
  <c r="H245" i="46"/>
  <c r="I245" i="46" s="1"/>
  <c r="H247" i="46"/>
  <c r="I247" i="46" s="1"/>
  <c r="H249" i="46"/>
  <c r="I249" i="46" s="1"/>
  <c r="H251" i="46"/>
  <c r="I251" i="46" s="1"/>
  <c r="H253" i="46"/>
  <c r="I253" i="46" s="1"/>
  <c r="H255" i="46"/>
  <c r="I255" i="46" s="1"/>
  <c r="H257" i="46"/>
  <c r="I257" i="46" s="1"/>
  <c r="H259" i="46"/>
  <c r="I259" i="46" s="1"/>
  <c r="H261" i="46"/>
  <c r="I261" i="46" s="1"/>
  <c r="H210" i="46"/>
  <c r="I210" i="46" s="1"/>
  <c r="H214" i="46"/>
  <c r="I214" i="46" s="1"/>
  <c r="H218" i="46"/>
  <c r="I218" i="46" s="1"/>
  <c r="H222" i="46"/>
  <c r="I222" i="46" s="1"/>
  <c r="H226" i="46"/>
  <c r="I226" i="46" s="1"/>
  <c r="H230" i="46"/>
  <c r="I230" i="46" s="1"/>
  <c r="H234" i="46"/>
  <c r="I234" i="46" s="1"/>
  <c r="H238" i="46"/>
  <c r="I238" i="46" s="1"/>
  <c r="H242" i="46"/>
  <c r="I242" i="46" s="1"/>
  <c r="H246" i="46"/>
  <c r="I246" i="46" s="1"/>
  <c r="H250" i="46"/>
  <c r="I250" i="46" s="1"/>
  <c r="H254" i="46"/>
  <c r="I254" i="46" s="1"/>
  <c r="H258" i="46"/>
  <c r="I258" i="46" s="1"/>
  <c r="H262" i="46"/>
  <c r="I262" i="46" s="1"/>
  <c r="H4" i="46"/>
  <c r="I4" i="46" s="1"/>
  <c r="H6" i="46"/>
  <c r="I6" i="46" s="1"/>
  <c r="H8" i="46"/>
  <c r="I8" i="46" s="1"/>
  <c r="H10" i="46"/>
  <c r="I10" i="46" s="1"/>
  <c r="H12" i="46"/>
  <c r="I12" i="46" s="1"/>
  <c r="H14" i="46"/>
  <c r="I14" i="46" s="1"/>
  <c r="H16" i="46"/>
  <c r="I16" i="46" s="1"/>
  <c r="H18" i="46"/>
  <c r="I18" i="46" s="1"/>
  <c r="H20" i="46"/>
  <c r="I20" i="46" s="1"/>
  <c r="H22" i="46"/>
  <c r="I22" i="46" s="1"/>
  <c r="H24" i="46"/>
  <c r="I24" i="46" s="1"/>
  <c r="H26" i="46"/>
  <c r="I26" i="46" s="1"/>
  <c r="H28" i="46"/>
  <c r="I28" i="46" s="1"/>
  <c r="H30" i="46"/>
  <c r="I30" i="46" s="1"/>
  <c r="H32" i="46"/>
  <c r="I32" i="46" s="1"/>
  <c r="H34" i="46"/>
  <c r="I34" i="46" s="1"/>
  <c r="H36" i="46"/>
  <c r="I36" i="46" s="1"/>
  <c r="H38" i="46"/>
  <c r="I38" i="46" s="1"/>
  <c r="H40" i="46"/>
  <c r="I40" i="46" s="1"/>
  <c r="H42" i="46"/>
  <c r="I42" i="46" s="1"/>
  <c r="H44" i="46"/>
  <c r="I44" i="46" s="1"/>
  <c r="H46" i="46"/>
  <c r="I46" i="46" s="1"/>
  <c r="H48" i="46"/>
  <c r="I48" i="46" s="1"/>
  <c r="H50" i="46"/>
  <c r="I50" i="46" s="1"/>
  <c r="H52" i="46"/>
  <c r="I52" i="46" s="1"/>
  <c r="H54" i="46"/>
  <c r="I54" i="46" s="1"/>
  <c r="H56" i="46"/>
  <c r="I56" i="46" s="1"/>
  <c r="H58" i="46"/>
  <c r="I58" i="46" s="1"/>
  <c r="H60" i="46"/>
  <c r="I60" i="46" s="1"/>
  <c r="H62" i="46"/>
  <c r="I62" i="46" s="1"/>
  <c r="H64" i="46"/>
  <c r="I64" i="46" s="1"/>
  <c r="H107" i="46"/>
  <c r="I107" i="46" s="1"/>
  <c r="H114" i="46"/>
  <c r="I114" i="46" s="1"/>
  <c r="H116" i="46"/>
  <c r="I116" i="46" s="1"/>
  <c r="H123" i="46"/>
  <c r="I123" i="46" s="1"/>
  <c r="H130" i="46"/>
  <c r="I130" i="46" s="1"/>
  <c r="H132" i="46"/>
  <c r="I132" i="46" s="1"/>
  <c r="H139" i="46"/>
  <c r="I139" i="46" s="1"/>
  <c r="H146" i="46"/>
  <c r="I146" i="46" s="1"/>
  <c r="H148" i="46"/>
  <c r="I148" i="46" s="1"/>
  <c r="H155" i="46"/>
  <c r="I155" i="46" s="1"/>
  <c r="H164" i="46"/>
  <c r="I164" i="46" s="1"/>
  <c r="H168" i="46"/>
  <c r="I168" i="46" s="1"/>
  <c r="H172" i="46"/>
  <c r="I172" i="46" s="1"/>
  <c r="H176" i="46"/>
  <c r="I176" i="46" s="1"/>
  <c r="H180" i="46"/>
  <c r="I180" i="46" s="1"/>
  <c r="H184" i="46"/>
  <c r="I184" i="46" s="1"/>
  <c r="H188" i="46"/>
  <c r="I188" i="46" s="1"/>
  <c r="H192" i="46"/>
  <c r="I192" i="46" s="1"/>
  <c r="H196" i="46"/>
  <c r="I196" i="46" s="1"/>
  <c r="H200" i="46"/>
  <c r="I200" i="46" s="1"/>
  <c r="H204" i="46"/>
  <c r="I204" i="46" s="1"/>
  <c r="H208" i="46"/>
  <c r="I208" i="46" s="1"/>
  <c r="G358" i="46"/>
  <c r="H264" i="46"/>
  <c r="I264" i="46" s="1"/>
  <c r="H266" i="46"/>
  <c r="I266" i="46" s="1"/>
  <c r="H268" i="46"/>
  <c r="I268" i="46" s="1"/>
  <c r="H270" i="46"/>
  <c r="I270" i="46" s="1"/>
  <c r="H272" i="46"/>
  <c r="I272" i="46" s="1"/>
  <c r="H274" i="46"/>
  <c r="I274" i="46" s="1"/>
  <c r="H276" i="46"/>
  <c r="I276" i="46" s="1"/>
  <c r="H278" i="46"/>
  <c r="I278" i="46" s="1"/>
  <c r="H280" i="46"/>
  <c r="I280" i="46" s="1"/>
  <c r="H282" i="46"/>
  <c r="I282" i="46" s="1"/>
  <c r="H284" i="46"/>
  <c r="I284" i="46" s="1"/>
  <c r="H286" i="46"/>
  <c r="I286" i="46" s="1"/>
  <c r="H288" i="46"/>
  <c r="I288" i="46" s="1"/>
  <c r="H290" i="46"/>
  <c r="I290" i="46" s="1"/>
  <c r="H292" i="46"/>
  <c r="I292" i="46" s="1"/>
  <c r="H294" i="46"/>
  <c r="I294" i="46" s="1"/>
  <c r="H296" i="46"/>
  <c r="I296" i="46" s="1"/>
  <c r="H298" i="46"/>
  <c r="I298" i="46" s="1"/>
  <c r="H300" i="46"/>
  <c r="I300" i="46" s="1"/>
  <c r="H302" i="46"/>
  <c r="I302" i="46" s="1"/>
  <c r="H304" i="46"/>
  <c r="I304" i="46" s="1"/>
  <c r="H306" i="46"/>
  <c r="I306" i="46" s="1"/>
  <c r="H308" i="46"/>
  <c r="I308" i="46" s="1"/>
  <c r="H310" i="46"/>
  <c r="I310" i="46" s="1"/>
  <c r="H312" i="46"/>
  <c r="I312" i="46" s="1"/>
  <c r="H314" i="46"/>
  <c r="I314" i="46" s="1"/>
  <c r="H316" i="46"/>
  <c r="I316" i="46" s="1"/>
  <c r="H318" i="46"/>
  <c r="I318" i="46" s="1"/>
  <c r="H320" i="46"/>
  <c r="I320" i="46" s="1"/>
  <c r="H322" i="46"/>
  <c r="I322" i="46" s="1"/>
  <c r="H324" i="46"/>
  <c r="I324" i="46" s="1"/>
  <c r="H326" i="46"/>
  <c r="I326" i="46" s="1"/>
  <c r="H328" i="46"/>
  <c r="I328" i="46" s="1"/>
  <c r="H330" i="46"/>
  <c r="I330" i="46" s="1"/>
  <c r="H332" i="46"/>
  <c r="I332" i="46" s="1"/>
  <c r="H334" i="46"/>
  <c r="I334" i="46" s="1"/>
  <c r="H336" i="46"/>
  <c r="I336" i="46" s="1"/>
  <c r="H338" i="46"/>
  <c r="I338" i="46" s="1"/>
  <c r="H340" i="46"/>
  <c r="I340" i="46" s="1"/>
  <c r="H342" i="46"/>
  <c r="I342" i="46" s="1"/>
  <c r="H344" i="46"/>
  <c r="I344" i="46" s="1"/>
  <c r="H346" i="46"/>
  <c r="I346" i="46" s="1"/>
  <c r="H348" i="46"/>
  <c r="I348" i="46" s="1"/>
  <c r="H350" i="46"/>
  <c r="I350" i="46" s="1"/>
  <c r="H352" i="46"/>
  <c r="I352" i="46" s="1"/>
  <c r="H354" i="46"/>
  <c r="I354" i="46" s="1"/>
  <c r="H356" i="46"/>
  <c r="I356" i="46" s="1"/>
  <c r="H263" i="46"/>
  <c r="I263" i="46" s="1"/>
  <c r="H265" i="46"/>
  <c r="I265" i="46" s="1"/>
  <c r="H267" i="46"/>
  <c r="I267" i="46" s="1"/>
  <c r="H269" i="46"/>
  <c r="I269" i="46" s="1"/>
  <c r="H271" i="46"/>
  <c r="I271" i="46" s="1"/>
  <c r="H273" i="46"/>
  <c r="I273" i="46" s="1"/>
  <c r="H275" i="46"/>
  <c r="I275" i="46" s="1"/>
  <c r="H277" i="46"/>
  <c r="I277" i="46" s="1"/>
  <c r="H279" i="46"/>
  <c r="I279" i="46" s="1"/>
  <c r="H281" i="46"/>
  <c r="I281" i="46" s="1"/>
  <c r="H283" i="46"/>
  <c r="I283" i="46" s="1"/>
  <c r="H285" i="46"/>
  <c r="I285" i="46" s="1"/>
  <c r="H287" i="46"/>
  <c r="I287" i="46" s="1"/>
  <c r="H289" i="46"/>
  <c r="I289" i="46" s="1"/>
  <c r="H291" i="46"/>
  <c r="I291" i="46" s="1"/>
  <c r="H293" i="46"/>
  <c r="I293" i="46" s="1"/>
  <c r="H295" i="46"/>
  <c r="I295" i="46" s="1"/>
  <c r="H297" i="46"/>
  <c r="I297" i="46" s="1"/>
  <c r="H299" i="46"/>
  <c r="I299" i="46" s="1"/>
  <c r="H301" i="46"/>
  <c r="I301" i="46" s="1"/>
  <c r="H303" i="46"/>
  <c r="I303" i="46" s="1"/>
  <c r="H305" i="46"/>
  <c r="I305" i="46" s="1"/>
  <c r="H307" i="46"/>
  <c r="I307" i="46" s="1"/>
  <c r="H309" i="46"/>
  <c r="I309" i="46" s="1"/>
  <c r="H311" i="46"/>
  <c r="I311" i="46" s="1"/>
  <c r="H313" i="46"/>
  <c r="I313" i="46" s="1"/>
  <c r="H315" i="46"/>
  <c r="I315" i="46" s="1"/>
  <c r="H317" i="46"/>
  <c r="I317" i="46" s="1"/>
  <c r="H319" i="46"/>
  <c r="I319" i="46" s="1"/>
  <c r="H321" i="46"/>
  <c r="I321" i="46" s="1"/>
  <c r="H323" i="46"/>
  <c r="I323" i="46" s="1"/>
  <c r="H325" i="46"/>
  <c r="I325" i="46" s="1"/>
  <c r="H327" i="46"/>
  <c r="I327" i="46" s="1"/>
  <c r="H329" i="46"/>
  <c r="I329" i="46" s="1"/>
  <c r="H331" i="46"/>
  <c r="I331" i="46" s="1"/>
  <c r="H333" i="46"/>
  <c r="I333" i="46" s="1"/>
  <c r="H335" i="46"/>
  <c r="I335" i="46" s="1"/>
  <c r="H337" i="46"/>
  <c r="I337" i="46" s="1"/>
  <c r="H339" i="46"/>
  <c r="I339" i="46" s="1"/>
  <c r="H341" i="46"/>
  <c r="I341" i="46" s="1"/>
  <c r="H343" i="46"/>
  <c r="I343" i="46" s="1"/>
  <c r="H345" i="46"/>
  <c r="I345" i="46" s="1"/>
  <c r="H347" i="46"/>
  <c r="I347" i="46" s="1"/>
  <c r="H349" i="46"/>
  <c r="I349" i="46" s="1"/>
  <c r="H351" i="46"/>
  <c r="I351" i="46" s="1"/>
  <c r="H353" i="46"/>
  <c r="I353" i="46" s="1"/>
  <c r="H355" i="46"/>
  <c r="I355" i="46" s="1"/>
  <c r="H3" i="46"/>
  <c r="N35" i="5"/>
  <c r="N30" i="5"/>
  <c r="N28" i="5"/>
  <c r="N23" i="5"/>
  <c r="N20" i="5"/>
  <c r="N19" i="5"/>
  <c r="N18" i="5"/>
  <c r="N17" i="5"/>
  <c r="N16" i="5"/>
  <c r="O10" i="5"/>
  <c r="O12" i="5"/>
  <c r="O13" i="5"/>
  <c r="O14" i="5"/>
  <c r="O22" i="5"/>
  <c r="O24" i="5"/>
  <c r="O25" i="5"/>
  <c r="O26" i="5"/>
  <c r="O27" i="5"/>
  <c r="O29" i="5"/>
  <c r="O36" i="5"/>
  <c r="O37" i="5"/>
  <c r="O39" i="5"/>
  <c r="O40" i="5"/>
  <c r="O41" i="5"/>
  <c r="O42" i="5"/>
  <c r="O43" i="5"/>
  <c r="H358" i="46" l="1"/>
  <c r="I3" i="46"/>
  <c r="I358" i="46" s="1"/>
  <c r="G346" i="45" l="1"/>
  <c r="F346" i="45"/>
  <c r="E346" i="45"/>
  <c r="D346" i="45"/>
  <c r="C346" i="45"/>
  <c r="H345" i="45"/>
  <c r="I345" i="45" s="1"/>
  <c r="H344" i="45"/>
  <c r="I344" i="45" s="1"/>
  <c r="H343" i="45"/>
  <c r="I343" i="45" s="1"/>
  <c r="H342" i="45"/>
  <c r="I342" i="45" s="1"/>
  <c r="H341" i="45"/>
  <c r="I341" i="45" s="1"/>
  <c r="H340" i="45"/>
  <c r="I340" i="45" s="1"/>
  <c r="H339" i="45"/>
  <c r="I339" i="45" s="1"/>
  <c r="H338" i="45"/>
  <c r="I338" i="45" s="1"/>
  <c r="H337" i="45"/>
  <c r="I337" i="45" s="1"/>
  <c r="H336" i="45"/>
  <c r="I336" i="45" s="1"/>
  <c r="H335" i="45"/>
  <c r="I335" i="45" s="1"/>
  <c r="H334" i="45"/>
  <c r="I334" i="45" s="1"/>
  <c r="H333" i="45"/>
  <c r="I333" i="45" s="1"/>
  <c r="H332" i="45"/>
  <c r="I332" i="45" s="1"/>
  <c r="H331" i="45"/>
  <c r="I331" i="45" s="1"/>
  <c r="H330" i="45"/>
  <c r="I330" i="45" s="1"/>
  <c r="H329" i="45"/>
  <c r="I329" i="45" s="1"/>
  <c r="H328" i="45"/>
  <c r="I328" i="45" s="1"/>
  <c r="H327" i="45"/>
  <c r="I327" i="45" s="1"/>
  <c r="H326" i="45"/>
  <c r="I326" i="45" s="1"/>
  <c r="H325" i="45"/>
  <c r="I325" i="45" s="1"/>
  <c r="H324" i="45"/>
  <c r="I324" i="45" s="1"/>
  <c r="H323" i="45"/>
  <c r="I323" i="45" s="1"/>
  <c r="H322" i="45"/>
  <c r="I322" i="45" s="1"/>
  <c r="H321" i="45"/>
  <c r="I321" i="45" s="1"/>
  <c r="H320" i="45"/>
  <c r="I320" i="45" s="1"/>
  <c r="H319" i="45"/>
  <c r="I319" i="45" s="1"/>
  <c r="H318" i="45"/>
  <c r="I318" i="45" s="1"/>
  <c r="H317" i="45"/>
  <c r="I317" i="45" s="1"/>
  <c r="H316" i="45"/>
  <c r="I316" i="45" s="1"/>
  <c r="H315" i="45"/>
  <c r="I315" i="45" s="1"/>
  <c r="H314" i="45"/>
  <c r="I314" i="45" s="1"/>
  <c r="H313" i="45"/>
  <c r="I313" i="45" s="1"/>
  <c r="H312" i="45"/>
  <c r="I312" i="45" s="1"/>
  <c r="H311" i="45"/>
  <c r="I311" i="45" s="1"/>
  <c r="H310" i="45"/>
  <c r="I310" i="45" s="1"/>
  <c r="H309" i="45"/>
  <c r="I309" i="45" s="1"/>
  <c r="H308" i="45"/>
  <c r="I308" i="45" s="1"/>
  <c r="H307" i="45"/>
  <c r="I307" i="45" s="1"/>
  <c r="H306" i="45"/>
  <c r="I306" i="45" s="1"/>
  <c r="H305" i="45"/>
  <c r="I305" i="45" s="1"/>
  <c r="H304" i="45"/>
  <c r="I304" i="45" s="1"/>
  <c r="H303" i="45"/>
  <c r="I303" i="45" s="1"/>
  <c r="H302" i="45"/>
  <c r="I302" i="45" s="1"/>
  <c r="H301" i="45"/>
  <c r="I301" i="45" s="1"/>
  <c r="H300" i="45"/>
  <c r="I300" i="45" s="1"/>
  <c r="H299" i="45"/>
  <c r="I299" i="45" s="1"/>
  <c r="H298" i="45"/>
  <c r="I298" i="45" s="1"/>
  <c r="H297" i="45"/>
  <c r="I297" i="45" s="1"/>
  <c r="H296" i="45"/>
  <c r="I296" i="45" s="1"/>
  <c r="H295" i="45"/>
  <c r="I295" i="45" s="1"/>
  <c r="H294" i="45"/>
  <c r="I294" i="45" s="1"/>
  <c r="H293" i="45"/>
  <c r="I293" i="45" s="1"/>
  <c r="H292" i="45"/>
  <c r="I292" i="45" s="1"/>
  <c r="H291" i="45"/>
  <c r="I291" i="45" s="1"/>
  <c r="H290" i="45"/>
  <c r="I290" i="45" s="1"/>
  <c r="H289" i="45"/>
  <c r="I289" i="45" s="1"/>
  <c r="H288" i="45"/>
  <c r="I288" i="45" s="1"/>
  <c r="H287" i="45"/>
  <c r="I287" i="45" s="1"/>
  <c r="H286" i="45"/>
  <c r="I286" i="45" s="1"/>
  <c r="H285" i="45"/>
  <c r="I285" i="45" s="1"/>
  <c r="H284" i="45"/>
  <c r="I284" i="45" s="1"/>
  <c r="H283" i="45"/>
  <c r="I283" i="45" s="1"/>
  <c r="H282" i="45"/>
  <c r="I282" i="45" s="1"/>
  <c r="H281" i="45"/>
  <c r="I281" i="45" s="1"/>
  <c r="H280" i="45"/>
  <c r="I280" i="45" s="1"/>
  <c r="H279" i="45"/>
  <c r="I279" i="45" s="1"/>
  <c r="H278" i="45"/>
  <c r="I278" i="45" s="1"/>
  <c r="H277" i="45"/>
  <c r="I277" i="45" s="1"/>
  <c r="H276" i="45"/>
  <c r="I276" i="45" s="1"/>
  <c r="H275" i="45"/>
  <c r="I275" i="45" s="1"/>
  <c r="H274" i="45"/>
  <c r="I274" i="45" s="1"/>
  <c r="H273" i="45"/>
  <c r="I273" i="45" s="1"/>
  <c r="H272" i="45"/>
  <c r="I272" i="45" s="1"/>
  <c r="H271" i="45"/>
  <c r="I271" i="45" s="1"/>
  <c r="H270" i="45"/>
  <c r="I270" i="45" s="1"/>
  <c r="H269" i="45"/>
  <c r="I269" i="45" s="1"/>
  <c r="H268" i="45"/>
  <c r="I268" i="45" s="1"/>
  <c r="H267" i="45"/>
  <c r="I267" i="45" s="1"/>
  <c r="H266" i="45"/>
  <c r="I266" i="45" s="1"/>
  <c r="H265" i="45"/>
  <c r="I265" i="45" s="1"/>
  <c r="H264" i="45"/>
  <c r="I264" i="45" s="1"/>
  <c r="H263" i="45"/>
  <c r="I263" i="45" s="1"/>
  <c r="H262" i="45"/>
  <c r="I262" i="45" s="1"/>
  <c r="H261" i="45"/>
  <c r="I261" i="45" s="1"/>
  <c r="H260" i="45"/>
  <c r="I260" i="45" s="1"/>
  <c r="H259" i="45"/>
  <c r="I259" i="45" s="1"/>
  <c r="H258" i="45"/>
  <c r="I258" i="45" s="1"/>
  <c r="H257" i="45"/>
  <c r="I257" i="45" s="1"/>
  <c r="H256" i="45"/>
  <c r="I256" i="45" s="1"/>
  <c r="H255" i="45"/>
  <c r="I255" i="45" s="1"/>
  <c r="H254" i="45"/>
  <c r="I254" i="45" s="1"/>
  <c r="H253" i="45"/>
  <c r="I253" i="45" s="1"/>
  <c r="H252" i="45"/>
  <c r="I252" i="45" s="1"/>
  <c r="H251" i="45"/>
  <c r="I251" i="45" s="1"/>
  <c r="H250" i="45"/>
  <c r="I250" i="45" s="1"/>
  <c r="H249" i="45"/>
  <c r="I249" i="45" s="1"/>
  <c r="H248" i="45"/>
  <c r="I248" i="45" s="1"/>
  <c r="H247" i="45"/>
  <c r="I247" i="45" s="1"/>
  <c r="H246" i="45"/>
  <c r="I246" i="45" s="1"/>
  <c r="H245" i="45"/>
  <c r="I245" i="45" s="1"/>
  <c r="H244" i="45"/>
  <c r="I244" i="45" s="1"/>
  <c r="H243" i="45"/>
  <c r="I243" i="45" s="1"/>
  <c r="H242" i="45"/>
  <c r="I242" i="45" s="1"/>
  <c r="H241" i="45"/>
  <c r="I241" i="45" s="1"/>
  <c r="H240" i="45"/>
  <c r="I240" i="45" s="1"/>
  <c r="H239" i="45"/>
  <c r="I239" i="45" s="1"/>
  <c r="H238" i="45"/>
  <c r="I238" i="45" s="1"/>
  <c r="H237" i="45"/>
  <c r="I237" i="45" s="1"/>
  <c r="H236" i="45"/>
  <c r="I236" i="45" s="1"/>
  <c r="H235" i="45"/>
  <c r="I235" i="45" s="1"/>
  <c r="H234" i="45"/>
  <c r="I234" i="45" s="1"/>
  <c r="H233" i="45"/>
  <c r="I233" i="45" s="1"/>
  <c r="H232" i="45"/>
  <c r="I232" i="45" s="1"/>
  <c r="H231" i="45"/>
  <c r="I231" i="45" s="1"/>
  <c r="H230" i="45"/>
  <c r="I230" i="45" s="1"/>
  <c r="H229" i="45"/>
  <c r="I229" i="45" s="1"/>
  <c r="H228" i="45"/>
  <c r="I228" i="45" s="1"/>
  <c r="H227" i="45"/>
  <c r="I227" i="45" s="1"/>
  <c r="H226" i="45"/>
  <c r="I226" i="45" s="1"/>
  <c r="H225" i="45"/>
  <c r="I225" i="45" s="1"/>
  <c r="H224" i="45"/>
  <c r="I224" i="45" s="1"/>
  <c r="H223" i="45"/>
  <c r="I223" i="45" s="1"/>
  <c r="H222" i="45"/>
  <c r="I222" i="45" s="1"/>
  <c r="H221" i="45"/>
  <c r="I221" i="45" s="1"/>
  <c r="H220" i="45"/>
  <c r="I220" i="45" s="1"/>
  <c r="H219" i="45"/>
  <c r="I219" i="45" s="1"/>
  <c r="H218" i="45"/>
  <c r="I218" i="45" s="1"/>
  <c r="H217" i="45"/>
  <c r="I217" i="45" s="1"/>
  <c r="H216" i="45"/>
  <c r="I216" i="45" s="1"/>
  <c r="H215" i="45"/>
  <c r="I215" i="45" s="1"/>
  <c r="H214" i="45"/>
  <c r="I214" i="45" s="1"/>
  <c r="H213" i="45"/>
  <c r="I213" i="45" s="1"/>
  <c r="H212" i="45"/>
  <c r="I212" i="45" s="1"/>
  <c r="H211" i="45"/>
  <c r="I211" i="45" s="1"/>
  <c r="H210" i="45"/>
  <c r="I210" i="45" s="1"/>
  <c r="H209" i="45"/>
  <c r="I209" i="45" s="1"/>
  <c r="H208" i="45"/>
  <c r="I208" i="45" s="1"/>
  <c r="H207" i="45"/>
  <c r="I207" i="45" s="1"/>
  <c r="H206" i="45"/>
  <c r="I206" i="45" s="1"/>
  <c r="H205" i="45"/>
  <c r="I205" i="45" s="1"/>
  <c r="H204" i="45"/>
  <c r="I204" i="45" s="1"/>
  <c r="H203" i="45"/>
  <c r="I203" i="45" s="1"/>
  <c r="H202" i="45"/>
  <c r="I202" i="45" s="1"/>
  <c r="H201" i="45"/>
  <c r="I201" i="45" s="1"/>
  <c r="H200" i="45"/>
  <c r="I200" i="45" s="1"/>
  <c r="H199" i="45"/>
  <c r="I199" i="45" s="1"/>
  <c r="H198" i="45"/>
  <c r="I198" i="45" s="1"/>
  <c r="H197" i="45"/>
  <c r="I197" i="45" s="1"/>
  <c r="H196" i="45"/>
  <c r="I196" i="45" s="1"/>
  <c r="H195" i="45"/>
  <c r="I195" i="45" s="1"/>
  <c r="H194" i="45"/>
  <c r="I194" i="45" s="1"/>
  <c r="H193" i="45"/>
  <c r="I193" i="45" s="1"/>
  <c r="H192" i="45"/>
  <c r="I192" i="45" s="1"/>
  <c r="H191" i="45"/>
  <c r="I191" i="45" s="1"/>
  <c r="H190" i="45"/>
  <c r="I190" i="45" s="1"/>
  <c r="H189" i="45"/>
  <c r="I189" i="45" s="1"/>
  <c r="H188" i="45"/>
  <c r="I188" i="45" s="1"/>
  <c r="H187" i="45"/>
  <c r="I187" i="45" s="1"/>
  <c r="H186" i="45"/>
  <c r="I186" i="45" s="1"/>
  <c r="H185" i="45"/>
  <c r="I185" i="45" s="1"/>
  <c r="H184" i="45"/>
  <c r="I184" i="45" s="1"/>
  <c r="H183" i="45"/>
  <c r="I183" i="45" s="1"/>
  <c r="H182" i="45"/>
  <c r="I182" i="45" s="1"/>
  <c r="H181" i="45"/>
  <c r="I181" i="45" s="1"/>
  <c r="H180" i="45"/>
  <c r="I180" i="45" s="1"/>
  <c r="H179" i="45"/>
  <c r="I179" i="45" s="1"/>
  <c r="H178" i="45"/>
  <c r="I178" i="45" s="1"/>
  <c r="H177" i="45"/>
  <c r="I177" i="45" s="1"/>
  <c r="H176" i="45"/>
  <c r="I176" i="45" s="1"/>
  <c r="H175" i="45"/>
  <c r="I175" i="45" s="1"/>
  <c r="H174" i="45"/>
  <c r="I174" i="45" s="1"/>
  <c r="H173" i="45"/>
  <c r="I173" i="45" s="1"/>
  <c r="H172" i="45"/>
  <c r="I172" i="45" s="1"/>
  <c r="H171" i="45"/>
  <c r="I171" i="45" s="1"/>
  <c r="H170" i="45"/>
  <c r="I170" i="45" s="1"/>
  <c r="H169" i="45"/>
  <c r="I169" i="45" s="1"/>
  <c r="H168" i="45"/>
  <c r="I168" i="45" s="1"/>
  <c r="H167" i="45"/>
  <c r="I167" i="45" s="1"/>
  <c r="H166" i="45"/>
  <c r="I166" i="45" s="1"/>
  <c r="H165" i="45"/>
  <c r="I165" i="45" s="1"/>
  <c r="H164" i="45"/>
  <c r="I164" i="45" s="1"/>
  <c r="H163" i="45"/>
  <c r="I163" i="45" s="1"/>
  <c r="H162" i="45"/>
  <c r="I162" i="45" s="1"/>
  <c r="H161" i="45"/>
  <c r="I161" i="45" s="1"/>
  <c r="H160" i="45"/>
  <c r="I160" i="45" s="1"/>
  <c r="H159" i="45"/>
  <c r="I159" i="45" s="1"/>
  <c r="H158" i="45"/>
  <c r="I158" i="45" s="1"/>
  <c r="H157" i="45"/>
  <c r="I157" i="45" s="1"/>
  <c r="H156" i="45"/>
  <c r="I156" i="45" s="1"/>
  <c r="H155" i="45"/>
  <c r="I155" i="45" s="1"/>
  <c r="H154" i="45"/>
  <c r="I154" i="45" s="1"/>
  <c r="H153" i="45"/>
  <c r="I153" i="45" s="1"/>
  <c r="H152" i="45"/>
  <c r="I152" i="45" s="1"/>
  <c r="H151" i="45"/>
  <c r="I151" i="45" s="1"/>
  <c r="H150" i="45"/>
  <c r="I150" i="45" s="1"/>
  <c r="H149" i="45"/>
  <c r="I149" i="45" s="1"/>
  <c r="H148" i="45"/>
  <c r="I148" i="45" s="1"/>
  <c r="H147" i="45"/>
  <c r="I147" i="45" s="1"/>
  <c r="H146" i="45"/>
  <c r="I146" i="45" s="1"/>
  <c r="H145" i="45"/>
  <c r="I145" i="45" s="1"/>
  <c r="H144" i="45"/>
  <c r="I144" i="45" s="1"/>
  <c r="H143" i="45"/>
  <c r="I143" i="45" s="1"/>
  <c r="H142" i="45"/>
  <c r="I142" i="45" s="1"/>
  <c r="H141" i="45"/>
  <c r="I141" i="45" s="1"/>
  <c r="H140" i="45"/>
  <c r="I140" i="45" s="1"/>
  <c r="H139" i="45"/>
  <c r="I139" i="45" s="1"/>
  <c r="H138" i="45"/>
  <c r="I138" i="45" s="1"/>
  <c r="H137" i="45"/>
  <c r="I137" i="45" s="1"/>
  <c r="H136" i="45"/>
  <c r="I136" i="45" s="1"/>
  <c r="H135" i="45"/>
  <c r="I135" i="45" s="1"/>
  <c r="H134" i="45"/>
  <c r="I134" i="45" s="1"/>
  <c r="H133" i="45"/>
  <c r="I133" i="45" s="1"/>
  <c r="H132" i="45"/>
  <c r="I132" i="45" s="1"/>
  <c r="H131" i="45"/>
  <c r="I131" i="45" s="1"/>
  <c r="H130" i="45"/>
  <c r="I130" i="45" s="1"/>
  <c r="H129" i="45"/>
  <c r="I129" i="45" s="1"/>
  <c r="H128" i="45"/>
  <c r="I128" i="45" s="1"/>
  <c r="H127" i="45"/>
  <c r="I127" i="45" s="1"/>
  <c r="H126" i="45"/>
  <c r="I126" i="45" s="1"/>
  <c r="H125" i="45"/>
  <c r="I125" i="45" s="1"/>
  <c r="H124" i="45"/>
  <c r="I124" i="45" s="1"/>
  <c r="H123" i="45"/>
  <c r="I123" i="45" s="1"/>
  <c r="H122" i="45"/>
  <c r="I122" i="45" s="1"/>
  <c r="H121" i="45"/>
  <c r="I121" i="45" s="1"/>
  <c r="H120" i="45"/>
  <c r="I120" i="45" s="1"/>
  <c r="H119" i="45"/>
  <c r="I119" i="45" s="1"/>
  <c r="H118" i="45"/>
  <c r="I118" i="45" s="1"/>
  <c r="H117" i="45"/>
  <c r="I117" i="45" s="1"/>
  <c r="H116" i="45"/>
  <c r="I116" i="45" s="1"/>
  <c r="H115" i="45"/>
  <c r="I115" i="45" s="1"/>
  <c r="H114" i="45"/>
  <c r="I114" i="45" s="1"/>
  <c r="H113" i="45"/>
  <c r="I113" i="45" s="1"/>
  <c r="H112" i="45"/>
  <c r="I112" i="45" s="1"/>
  <c r="H111" i="45"/>
  <c r="I111" i="45" s="1"/>
  <c r="H110" i="45"/>
  <c r="I110" i="45" s="1"/>
  <c r="H109" i="45"/>
  <c r="I109" i="45" s="1"/>
  <c r="H108" i="45"/>
  <c r="I108" i="45" s="1"/>
  <c r="H107" i="45"/>
  <c r="I107" i="45" s="1"/>
  <c r="H106" i="45"/>
  <c r="I106" i="45" s="1"/>
  <c r="H105" i="45"/>
  <c r="I105" i="45" s="1"/>
  <c r="H104" i="45"/>
  <c r="I104" i="45" s="1"/>
  <c r="H103" i="45"/>
  <c r="I103" i="45" s="1"/>
  <c r="H102" i="45"/>
  <c r="I102" i="45" s="1"/>
  <c r="H101" i="45"/>
  <c r="I101" i="45" s="1"/>
  <c r="H100" i="45"/>
  <c r="I100" i="45" s="1"/>
  <c r="H99" i="45"/>
  <c r="I99" i="45" s="1"/>
  <c r="H98" i="45"/>
  <c r="I98" i="45" s="1"/>
  <c r="H97" i="45"/>
  <c r="I97" i="45" s="1"/>
  <c r="H96" i="45"/>
  <c r="I96" i="45" s="1"/>
  <c r="H95" i="45"/>
  <c r="I95" i="45" s="1"/>
  <c r="H94" i="45"/>
  <c r="I94" i="45" s="1"/>
  <c r="H93" i="45"/>
  <c r="I93" i="45" s="1"/>
  <c r="H92" i="45"/>
  <c r="I92" i="45" s="1"/>
  <c r="H91" i="45"/>
  <c r="I91" i="45" s="1"/>
  <c r="H90" i="45"/>
  <c r="I90" i="45" s="1"/>
  <c r="H89" i="45"/>
  <c r="I89" i="45" s="1"/>
  <c r="H88" i="45"/>
  <c r="I88" i="45" s="1"/>
  <c r="H87" i="45"/>
  <c r="I87" i="45" s="1"/>
  <c r="H86" i="45"/>
  <c r="I86" i="45" s="1"/>
  <c r="H85" i="45"/>
  <c r="I85" i="45" s="1"/>
  <c r="H84" i="45"/>
  <c r="I84" i="45" s="1"/>
  <c r="H83" i="45"/>
  <c r="I83" i="45" s="1"/>
  <c r="H82" i="45"/>
  <c r="I82" i="45" s="1"/>
  <c r="H81" i="45"/>
  <c r="I81" i="45" s="1"/>
  <c r="H80" i="45"/>
  <c r="I80" i="45" s="1"/>
  <c r="H79" i="45"/>
  <c r="I79" i="45" s="1"/>
  <c r="H78" i="45"/>
  <c r="I78" i="45" s="1"/>
  <c r="H77" i="45"/>
  <c r="I77" i="45" s="1"/>
  <c r="H76" i="45"/>
  <c r="I76" i="45" s="1"/>
  <c r="H75" i="45"/>
  <c r="I75" i="45" s="1"/>
  <c r="H74" i="45"/>
  <c r="I74" i="45" s="1"/>
  <c r="H73" i="45"/>
  <c r="I73" i="45" s="1"/>
  <c r="H72" i="45"/>
  <c r="I72" i="45" s="1"/>
  <c r="H71" i="45"/>
  <c r="I71" i="45" s="1"/>
  <c r="H70" i="45"/>
  <c r="I70" i="45" s="1"/>
  <c r="H69" i="45"/>
  <c r="I69" i="45" s="1"/>
  <c r="H68" i="45"/>
  <c r="I68" i="45" s="1"/>
  <c r="H67" i="45"/>
  <c r="I67" i="45" s="1"/>
  <c r="H66" i="45"/>
  <c r="I66" i="45" s="1"/>
  <c r="H65" i="45"/>
  <c r="I65" i="45" s="1"/>
  <c r="H64" i="45"/>
  <c r="I64" i="45" s="1"/>
  <c r="H63" i="45"/>
  <c r="I63" i="45" s="1"/>
  <c r="H62" i="45"/>
  <c r="I62" i="45" s="1"/>
  <c r="H61" i="45"/>
  <c r="I61" i="45" s="1"/>
  <c r="H60" i="45"/>
  <c r="I60" i="45" s="1"/>
  <c r="H59" i="45"/>
  <c r="I59" i="45" s="1"/>
  <c r="H58" i="45"/>
  <c r="I58" i="45" s="1"/>
  <c r="H57" i="45"/>
  <c r="I57" i="45" s="1"/>
  <c r="H56" i="45"/>
  <c r="I56" i="45" s="1"/>
  <c r="H55" i="45"/>
  <c r="I55" i="45" s="1"/>
  <c r="H54" i="45"/>
  <c r="I54" i="45" s="1"/>
  <c r="H53" i="45"/>
  <c r="I53" i="45" s="1"/>
  <c r="H52" i="45"/>
  <c r="I52" i="45" s="1"/>
  <c r="H51" i="45"/>
  <c r="I51" i="45" s="1"/>
  <c r="H50" i="45"/>
  <c r="I50" i="45" s="1"/>
  <c r="H49" i="45"/>
  <c r="I49" i="45" s="1"/>
  <c r="H48" i="45"/>
  <c r="I48" i="45" s="1"/>
  <c r="H47" i="45"/>
  <c r="I47" i="45" s="1"/>
  <c r="H46" i="45"/>
  <c r="I46" i="45" s="1"/>
  <c r="H45" i="45"/>
  <c r="I45" i="45" s="1"/>
  <c r="H44" i="45"/>
  <c r="I44" i="45" s="1"/>
  <c r="H43" i="45"/>
  <c r="I43" i="45" s="1"/>
  <c r="H42" i="45"/>
  <c r="I42" i="45" s="1"/>
  <c r="H41" i="45"/>
  <c r="I41" i="45" s="1"/>
  <c r="H40" i="45"/>
  <c r="I40" i="45" s="1"/>
  <c r="H39" i="45"/>
  <c r="I39" i="45" s="1"/>
  <c r="H38" i="45"/>
  <c r="I38" i="45" s="1"/>
  <c r="H37" i="45"/>
  <c r="I37" i="45" s="1"/>
  <c r="H36" i="45"/>
  <c r="I36" i="45" s="1"/>
  <c r="H35" i="45"/>
  <c r="I35" i="45" s="1"/>
  <c r="H34" i="45"/>
  <c r="I34" i="45" s="1"/>
  <c r="H33" i="45"/>
  <c r="I33" i="45" s="1"/>
  <c r="H32" i="45"/>
  <c r="I32" i="45" s="1"/>
  <c r="H31" i="45"/>
  <c r="I31" i="45" s="1"/>
  <c r="H30" i="45"/>
  <c r="I30" i="45" s="1"/>
  <c r="H29" i="45"/>
  <c r="I29" i="45" s="1"/>
  <c r="H28" i="45"/>
  <c r="I28" i="45" s="1"/>
  <c r="H27" i="45"/>
  <c r="I27" i="45" s="1"/>
  <c r="H26" i="45"/>
  <c r="I26" i="45" s="1"/>
  <c r="H25" i="45"/>
  <c r="I25" i="45" s="1"/>
  <c r="H24" i="45"/>
  <c r="I24" i="45" s="1"/>
  <c r="H23" i="45"/>
  <c r="I23" i="45" s="1"/>
  <c r="H22" i="45"/>
  <c r="I22" i="45" s="1"/>
  <c r="H21" i="45"/>
  <c r="I21" i="45" s="1"/>
  <c r="H20" i="45"/>
  <c r="I20" i="45" s="1"/>
  <c r="H19" i="45"/>
  <c r="I19" i="45" s="1"/>
  <c r="H18" i="45"/>
  <c r="I18" i="45" s="1"/>
  <c r="H17" i="45"/>
  <c r="I17" i="45" s="1"/>
  <c r="H16" i="45"/>
  <c r="I16" i="45" s="1"/>
  <c r="H15" i="45"/>
  <c r="I15" i="45" s="1"/>
  <c r="H14" i="45"/>
  <c r="I14" i="45" s="1"/>
  <c r="H13" i="45"/>
  <c r="I13" i="45" s="1"/>
  <c r="H12" i="45"/>
  <c r="I12" i="45" s="1"/>
  <c r="H11" i="45"/>
  <c r="I11" i="45" s="1"/>
  <c r="H10" i="45"/>
  <c r="I10" i="45" s="1"/>
  <c r="H9" i="45"/>
  <c r="I9" i="45" s="1"/>
  <c r="H8" i="45"/>
  <c r="I8" i="45" s="1"/>
  <c r="H7" i="45"/>
  <c r="I7" i="45" s="1"/>
  <c r="H6" i="45"/>
  <c r="I6" i="45" s="1"/>
  <c r="H5" i="45"/>
  <c r="I5" i="45" s="1"/>
  <c r="H4" i="45"/>
  <c r="I4" i="45" s="1"/>
  <c r="H3" i="45"/>
  <c r="I3" i="45" s="1"/>
  <c r="H2" i="45"/>
  <c r="G357" i="43"/>
  <c r="F357" i="43"/>
  <c r="G356" i="43"/>
  <c r="H356" i="43" s="1"/>
  <c r="I356" i="43" s="1"/>
  <c r="F356" i="43"/>
  <c r="G355" i="43"/>
  <c r="F355" i="43"/>
  <c r="G354" i="43"/>
  <c r="F354" i="43"/>
  <c r="G353" i="43"/>
  <c r="F353" i="43"/>
  <c r="H353" i="43" s="1"/>
  <c r="I353" i="43" s="1"/>
  <c r="G352" i="43"/>
  <c r="H352" i="43" s="1"/>
  <c r="I352" i="43" s="1"/>
  <c r="F352" i="43"/>
  <c r="G351" i="43"/>
  <c r="F351" i="43"/>
  <c r="G350" i="43"/>
  <c r="F350" i="43"/>
  <c r="G349" i="43"/>
  <c r="F349" i="43"/>
  <c r="G348" i="43"/>
  <c r="H348" i="43" s="1"/>
  <c r="I348" i="43" s="1"/>
  <c r="F348" i="43"/>
  <c r="G347" i="43"/>
  <c r="F347" i="43"/>
  <c r="G346" i="43"/>
  <c r="F346" i="43"/>
  <c r="H346" i="43" s="1"/>
  <c r="I346" i="43" s="1"/>
  <c r="G345" i="43"/>
  <c r="F345" i="43"/>
  <c r="G344" i="43"/>
  <c r="H344" i="43" s="1"/>
  <c r="I344" i="43" s="1"/>
  <c r="F344" i="43"/>
  <c r="G343" i="43"/>
  <c r="F343" i="43"/>
  <c r="G342" i="43"/>
  <c r="F342" i="43"/>
  <c r="G341" i="43"/>
  <c r="F341" i="43"/>
  <c r="G340" i="43"/>
  <c r="H340" i="43" s="1"/>
  <c r="I340" i="43" s="1"/>
  <c r="F340" i="43"/>
  <c r="G339" i="43"/>
  <c r="F339" i="43"/>
  <c r="G338" i="43"/>
  <c r="F338" i="43"/>
  <c r="H338" i="43" s="1"/>
  <c r="I338" i="43" s="1"/>
  <c r="G337" i="43"/>
  <c r="F337" i="43"/>
  <c r="G336" i="43"/>
  <c r="H336" i="43" s="1"/>
  <c r="I336" i="43" s="1"/>
  <c r="F336" i="43"/>
  <c r="G335" i="43"/>
  <c r="F335" i="43"/>
  <c r="G334" i="43"/>
  <c r="F334" i="43"/>
  <c r="G333" i="43"/>
  <c r="F333" i="43"/>
  <c r="G332" i="43"/>
  <c r="F332" i="43"/>
  <c r="G331" i="43"/>
  <c r="F331" i="43"/>
  <c r="G330" i="43"/>
  <c r="F330" i="43"/>
  <c r="G329" i="43"/>
  <c r="F329" i="43"/>
  <c r="G328" i="43"/>
  <c r="F328" i="43"/>
  <c r="G327" i="43"/>
  <c r="F327" i="43"/>
  <c r="G326" i="43"/>
  <c r="F326" i="43"/>
  <c r="G325" i="43"/>
  <c r="F325" i="43"/>
  <c r="G324" i="43"/>
  <c r="F324" i="43"/>
  <c r="G323" i="43"/>
  <c r="F323" i="43"/>
  <c r="G322" i="43"/>
  <c r="F322" i="43"/>
  <c r="G321" i="43"/>
  <c r="F321" i="43"/>
  <c r="G320" i="43"/>
  <c r="F320" i="43"/>
  <c r="G319" i="43"/>
  <c r="F319" i="43"/>
  <c r="G318" i="43"/>
  <c r="F318" i="43"/>
  <c r="G317" i="43"/>
  <c r="F317" i="43"/>
  <c r="G316" i="43"/>
  <c r="F316" i="43"/>
  <c r="G315" i="43"/>
  <c r="F315" i="43"/>
  <c r="G314" i="43"/>
  <c r="F314" i="43"/>
  <c r="G313" i="43"/>
  <c r="F313" i="43"/>
  <c r="G312" i="43"/>
  <c r="H312" i="43" s="1"/>
  <c r="I312" i="43" s="1"/>
  <c r="F312" i="43"/>
  <c r="G311" i="43"/>
  <c r="F311" i="43"/>
  <c r="G310" i="43"/>
  <c r="F310" i="43"/>
  <c r="H310" i="43" s="1"/>
  <c r="I310" i="43" s="1"/>
  <c r="G309" i="43"/>
  <c r="F309" i="43"/>
  <c r="G308" i="43"/>
  <c r="H308" i="43" s="1"/>
  <c r="I308" i="43" s="1"/>
  <c r="F308" i="43"/>
  <c r="G307" i="43"/>
  <c r="F307" i="43"/>
  <c r="G306" i="43"/>
  <c r="F306" i="43"/>
  <c r="H306" i="43" s="1"/>
  <c r="I306" i="43" s="1"/>
  <c r="G305" i="43"/>
  <c r="F305" i="43"/>
  <c r="G304" i="43"/>
  <c r="H304" i="43" s="1"/>
  <c r="I304" i="43" s="1"/>
  <c r="F304" i="43"/>
  <c r="G303" i="43"/>
  <c r="F303" i="43"/>
  <c r="G302" i="43"/>
  <c r="F302" i="43"/>
  <c r="G301" i="43"/>
  <c r="F301" i="43"/>
  <c r="G300" i="43"/>
  <c r="H300" i="43" s="1"/>
  <c r="I300" i="43" s="1"/>
  <c r="F300" i="43"/>
  <c r="G299" i="43"/>
  <c r="F299" i="43"/>
  <c r="G298" i="43"/>
  <c r="F298" i="43"/>
  <c r="H298" i="43" s="1"/>
  <c r="I298" i="43" s="1"/>
  <c r="G297" i="43"/>
  <c r="F297" i="43"/>
  <c r="G296" i="43"/>
  <c r="H296" i="43" s="1"/>
  <c r="I296" i="43" s="1"/>
  <c r="F296" i="43"/>
  <c r="G295" i="43"/>
  <c r="F295" i="43"/>
  <c r="G294" i="43"/>
  <c r="F294" i="43"/>
  <c r="H294" i="43" s="1"/>
  <c r="I294" i="43" s="1"/>
  <c r="G293" i="43"/>
  <c r="F293" i="43"/>
  <c r="G292" i="43"/>
  <c r="H292" i="43" s="1"/>
  <c r="I292" i="43" s="1"/>
  <c r="F292" i="43"/>
  <c r="G291" i="43"/>
  <c r="F291" i="43"/>
  <c r="G290" i="43"/>
  <c r="F290" i="43"/>
  <c r="H290" i="43" s="1"/>
  <c r="I290" i="43" s="1"/>
  <c r="G289" i="43"/>
  <c r="F289" i="43"/>
  <c r="G288" i="43"/>
  <c r="H288" i="43" s="1"/>
  <c r="I288" i="43" s="1"/>
  <c r="F288" i="43"/>
  <c r="G287" i="43"/>
  <c r="F287" i="43"/>
  <c r="G286" i="43"/>
  <c r="F286" i="43"/>
  <c r="G285" i="43"/>
  <c r="F285" i="43"/>
  <c r="G284" i="43"/>
  <c r="H284" i="43" s="1"/>
  <c r="I284" i="43" s="1"/>
  <c r="F284" i="43"/>
  <c r="G283" i="43"/>
  <c r="F283" i="43"/>
  <c r="G282" i="43"/>
  <c r="F282" i="43"/>
  <c r="H282" i="43" s="1"/>
  <c r="I282" i="43" s="1"/>
  <c r="G281" i="43"/>
  <c r="F281" i="43"/>
  <c r="G280" i="43"/>
  <c r="H280" i="43" s="1"/>
  <c r="I280" i="43" s="1"/>
  <c r="F280" i="43"/>
  <c r="G279" i="43"/>
  <c r="F279" i="43"/>
  <c r="G278" i="43"/>
  <c r="F278" i="43"/>
  <c r="H278" i="43" s="1"/>
  <c r="I278" i="43" s="1"/>
  <c r="G277" i="43"/>
  <c r="F277" i="43"/>
  <c r="G276" i="43"/>
  <c r="F276" i="43"/>
  <c r="G275" i="43"/>
  <c r="F275" i="43"/>
  <c r="G274" i="43"/>
  <c r="F274" i="43"/>
  <c r="G273" i="43"/>
  <c r="F273" i="43"/>
  <c r="G272" i="43"/>
  <c r="F272" i="43"/>
  <c r="G271" i="43"/>
  <c r="F271" i="43"/>
  <c r="G270" i="43"/>
  <c r="F270" i="43"/>
  <c r="G269" i="43"/>
  <c r="F269" i="43"/>
  <c r="G268" i="43"/>
  <c r="F268" i="43"/>
  <c r="G267" i="43"/>
  <c r="F267" i="43"/>
  <c r="G266" i="43"/>
  <c r="F266" i="43"/>
  <c r="G265" i="43"/>
  <c r="F265" i="43"/>
  <c r="G264" i="43"/>
  <c r="F264" i="43"/>
  <c r="G263" i="43"/>
  <c r="F263" i="43"/>
  <c r="G262" i="43"/>
  <c r="F262" i="43"/>
  <c r="G261" i="43"/>
  <c r="F261" i="43"/>
  <c r="G260" i="43"/>
  <c r="F260" i="43"/>
  <c r="G259" i="43"/>
  <c r="F259" i="43"/>
  <c r="G258" i="43"/>
  <c r="F258" i="43"/>
  <c r="G257" i="43"/>
  <c r="F257" i="43"/>
  <c r="G256" i="43"/>
  <c r="F256" i="43"/>
  <c r="G255" i="43"/>
  <c r="F255" i="43"/>
  <c r="G254" i="43"/>
  <c r="F254" i="43"/>
  <c r="G253" i="43"/>
  <c r="F253" i="43"/>
  <c r="G252" i="43"/>
  <c r="F252" i="43"/>
  <c r="G251" i="43"/>
  <c r="F251" i="43"/>
  <c r="G250" i="43"/>
  <c r="F250" i="43"/>
  <c r="G249" i="43"/>
  <c r="F249" i="43"/>
  <c r="G248" i="43"/>
  <c r="F248" i="43"/>
  <c r="G247" i="43"/>
  <c r="F247" i="43"/>
  <c r="G246" i="43"/>
  <c r="F246" i="43"/>
  <c r="G245" i="43"/>
  <c r="F245" i="43"/>
  <c r="G244" i="43"/>
  <c r="F244" i="43"/>
  <c r="G243" i="43"/>
  <c r="F243" i="43"/>
  <c r="G242" i="43"/>
  <c r="F242" i="43"/>
  <c r="G241" i="43"/>
  <c r="F241" i="43"/>
  <c r="G240" i="43"/>
  <c r="F240" i="43"/>
  <c r="G239" i="43"/>
  <c r="F239" i="43"/>
  <c r="G238" i="43"/>
  <c r="F238" i="43"/>
  <c r="G237" i="43"/>
  <c r="F237" i="43"/>
  <c r="G236" i="43"/>
  <c r="F236" i="43"/>
  <c r="G235" i="43"/>
  <c r="F235" i="43"/>
  <c r="G234" i="43"/>
  <c r="F234" i="43"/>
  <c r="H234" i="43" s="1"/>
  <c r="I234" i="43" s="1"/>
  <c r="G233" i="43"/>
  <c r="F233" i="43"/>
  <c r="G232" i="43"/>
  <c r="H232" i="43" s="1"/>
  <c r="I232" i="43" s="1"/>
  <c r="F232" i="43"/>
  <c r="G231" i="43"/>
  <c r="F231" i="43"/>
  <c r="G230" i="43"/>
  <c r="F230" i="43"/>
  <c r="H230" i="43" s="1"/>
  <c r="I230" i="43" s="1"/>
  <c r="G229" i="43"/>
  <c r="F229" i="43"/>
  <c r="G228" i="43"/>
  <c r="H228" i="43" s="1"/>
  <c r="I228" i="43" s="1"/>
  <c r="F228" i="43"/>
  <c r="G227" i="43"/>
  <c r="F227" i="43"/>
  <c r="G226" i="43"/>
  <c r="F226" i="43"/>
  <c r="H226" i="43" s="1"/>
  <c r="I226" i="43" s="1"/>
  <c r="G225" i="43"/>
  <c r="F225" i="43"/>
  <c r="G224" i="43"/>
  <c r="H224" i="43" s="1"/>
  <c r="I224" i="43" s="1"/>
  <c r="F224" i="43"/>
  <c r="G223" i="43"/>
  <c r="F223" i="43"/>
  <c r="G222" i="43"/>
  <c r="F222" i="43"/>
  <c r="H222" i="43" s="1"/>
  <c r="I222" i="43" s="1"/>
  <c r="G221" i="43"/>
  <c r="F221" i="43"/>
  <c r="G220" i="43"/>
  <c r="H220" i="43" s="1"/>
  <c r="I220" i="43" s="1"/>
  <c r="F220" i="43"/>
  <c r="G219" i="43"/>
  <c r="F219" i="43"/>
  <c r="G218" i="43"/>
  <c r="F218" i="43"/>
  <c r="H218" i="43" s="1"/>
  <c r="I218" i="43" s="1"/>
  <c r="G217" i="43"/>
  <c r="F217" i="43"/>
  <c r="G216" i="43"/>
  <c r="H216" i="43" s="1"/>
  <c r="I216" i="43" s="1"/>
  <c r="F216" i="43"/>
  <c r="G215" i="43"/>
  <c r="F215" i="43"/>
  <c r="G214" i="43"/>
  <c r="F214" i="43"/>
  <c r="H214" i="43" s="1"/>
  <c r="I214" i="43" s="1"/>
  <c r="G213" i="43"/>
  <c r="F213" i="43"/>
  <c r="G212" i="43"/>
  <c r="H212" i="43" s="1"/>
  <c r="I212" i="43" s="1"/>
  <c r="F212" i="43"/>
  <c r="G211" i="43"/>
  <c r="F211" i="43"/>
  <c r="G210" i="43"/>
  <c r="F210" i="43"/>
  <c r="H210" i="43" s="1"/>
  <c r="I210" i="43" s="1"/>
  <c r="G209" i="43"/>
  <c r="F209" i="43"/>
  <c r="G208" i="43"/>
  <c r="H208" i="43" s="1"/>
  <c r="I208" i="43" s="1"/>
  <c r="F208" i="43"/>
  <c r="G207" i="43"/>
  <c r="F207" i="43"/>
  <c r="G206" i="43"/>
  <c r="F206" i="43"/>
  <c r="H206" i="43" s="1"/>
  <c r="I206" i="43" s="1"/>
  <c r="G205" i="43"/>
  <c r="F205" i="43"/>
  <c r="G204" i="43"/>
  <c r="H204" i="43" s="1"/>
  <c r="I204" i="43" s="1"/>
  <c r="F204" i="43"/>
  <c r="G203" i="43"/>
  <c r="F203" i="43"/>
  <c r="G202" i="43"/>
  <c r="F202" i="43"/>
  <c r="H202" i="43" s="1"/>
  <c r="I202" i="43" s="1"/>
  <c r="G201" i="43"/>
  <c r="F201" i="43"/>
  <c r="G200" i="43"/>
  <c r="H200" i="43" s="1"/>
  <c r="I200" i="43" s="1"/>
  <c r="F200" i="43"/>
  <c r="G199" i="43"/>
  <c r="F199" i="43"/>
  <c r="G198" i="43"/>
  <c r="F198" i="43"/>
  <c r="H198" i="43" s="1"/>
  <c r="I198" i="43" s="1"/>
  <c r="G197" i="43"/>
  <c r="F197" i="43"/>
  <c r="H197" i="43" s="1"/>
  <c r="I197" i="43" s="1"/>
  <c r="G196" i="43"/>
  <c r="H196" i="43" s="1"/>
  <c r="I196" i="43" s="1"/>
  <c r="F196" i="43"/>
  <c r="G195" i="43"/>
  <c r="F195" i="43"/>
  <c r="G194" i="43"/>
  <c r="F194" i="43"/>
  <c r="H194" i="43" s="1"/>
  <c r="I194" i="43" s="1"/>
  <c r="G193" i="43"/>
  <c r="F193" i="43"/>
  <c r="G192" i="43"/>
  <c r="H192" i="43" s="1"/>
  <c r="I192" i="43" s="1"/>
  <c r="F192" i="43"/>
  <c r="G191" i="43"/>
  <c r="F191" i="43"/>
  <c r="G190" i="43"/>
  <c r="F190" i="43"/>
  <c r="H190" i="43" s="1"/>
  <c r="I190" i="43" s="1"/>
  <c r="G189" i="43"/>
  <c r="F189" i="43"/>
  <c r="G188" i="43"/>
  <c r="H188" i="43" s="1"/>
  <c r="I188" i="43" s="1"/>
  <c r="F188" i="43"/>
  <c r="G187" i="43"/>
  <c r="F187" i="43"/>
  <c r="G186" i="43"/>
  <c r="F186" i="43"/>
  <c r="G185" i="43"/>
  <c r="F185" i="43"/>
  <c r="G184" i="43"/>
  <c r="H184" i="43" s="1"/>
  <c r="I184" i="43" s="1"/>
  <c r="F184" i="43"/>
  <c r="G183" i="43"/>
  <c r="F183" i="43"/>
  <c r="G182" i="43"/>
  <c r="F182" i="43"/>
  <c r="H182" i="43" s="1"/>
  <c r="I182" i="43" s="1"/>
  <c r="G181" i="43"/>
  <c r="F181" i="43"/>
  <c r="G180" i="43"/>
  <c r="H180" i="43" s="1"/>
  <c r="I180" i="43" s="1"/>
  <c r="F180" i="43"/>
  <c r="G179" i="43"/>
  <c r="F179" i="43"/>
  <c r="G178" i="43"/>
  <c r="F178" i="43"/>
  <c r="H178" i="43" s="1"/>
  <c r="I178" i="43" s="1"/>
  <c r="G177" i="43"/>
  <c r="F177" i="43"/>
  <c r="G176" i="43"/>
  <c r="H176" i="43" s="1"/>
  <c r="I176" i="43" s="1"/>
  <c r="F176" i="43"/>
  <c r="G175" i="43"/>
  <c r="F175" i="43"/>
  <c r="G174" i="43"/>
  <c r="F174" i="43"/>
  <c r="H174" i="43" s="1"/>
  <c r="I174" i="43" s="1"/>
  <c r="G173" i="43"/>
  <c r="F173" i="43"/>
  <c r="G172" i="43"/>
  <c r="H172" i="43" s="1"/>
  <c r="I172" i="43" s="1"/>
  <c r="F172" i="43"/>
  <c r="G171" i="43"/>
  <c r="F171" i="43"/>
  <c r="G170" i="43"/>
  <c r="F170" i="43"/>
  <c r="G169" i="43"/>
  <c r="F169" i="43"/>
  <c r="G168" i="43"/>
  <c r="F168" i="43"/>
  <c r="G167" i="43"/>
  <c r="F167" i="43"/>
  <c r="G166" i="43"/>
  <c r="F166" i="43"/>
  <c r="H166" i="43" s="1"/>
  <c r="I166" i="43" s="1"/>
  <c r="G165" i="43"/>
  <c r="F165" i="43"/>
  <c r="G164" i="43"/>
  <c r="H164" i="43" s="1"/>
  <c r="I164" i="43" s="1"/>
  <c r="F164" i="43"/>
  <c r="G163" i="43"/>
  <c r="F163" i="43"/>
  <c r="G162" i="43"/>
  <c r="F162" i="43"/>
  <c r="H162" i="43" s="1"/>
  <c r="I162" i="43" s="1"/>
  <c r="G161" i="43"/>
  <c r="F161" i="43"/>
  <c r="G160" i="43"/>
  <c r="H160" i="43" s="1"/>
  <c r="I160" i="43" s="1"/>
  <c r="F160" i="43"/>
  <c r="G159" i="43"/>
  <c r="F159" i="43"/>
  <c r="G158" i="43"/>
  <c r="F158" i="43"/>
  <c r="H158" i="43" s="1"/>
  <c r="I158" i="43" s="1"/>
  <c r="G157" i="43"/>
  <c r="F157" i="43"/>
  <c r="G156" i="43"/>
  <c r="H156" i="43" s="1"/>
  <c r="I156" i="43" s="1"/>
  <c r="F156" i="43"/>
  <c r="G155" i="43"/>
  <c r="F155" i="43"/>
  <c r="G154" i="43"/>
  <c r="F154" i="43"/>
  <c r="G153" i="43"/>
  <c r="F153" i="43"/>
  <c r="G152" i="43"/>
  <c r="H152" i="43" s="1"/>
  <c r="I152" i="43" s="1"/>
  <c r="F152" i="43"/>
  <c r="G151" i="43"/>
  <c r="F151" i="43"/>
  <c r="G150" i="43"/>
  <c r="F150" i="43"/>
  <c r="G149" i="43"/>
  <c r="F149" i="43"/>
  <c r="G148" i="43"/>
  <c r="H148" i="43" s="1"/>
  <c r="I148" i="43" s="1"/>
  <c r="F148" i="43"/>
  <c r="G147" i="43"/>
  <c r="F147" i="43"/>
  <c r="G146" i="43"/>
  <c r="F146" i="43"/>
  <c r="H146" i="43" s="1"/>
  <c r="I146" i="43" s="1"/>
  <c r="G145" i="43"/>
  <c r="F145" i="43"/>
  <c r="G144" i="43"/>
  <c r="H144" i="43" s="1"/>
  <c r="I144" i="43" s="1"/>
  <c r="F144" i="43"/>
  <c r="G143" i="43"/>
  <c r="F143" i="43"/>
  <c r="G142" i="43"/>
  <c r="F142" i="43"/>
  <c r="H142" i="43" s="1"/>
  <c r="I142" i="43" s="1"/>
  <c r="G141" i="43"/>
  <c r="F141" i="43"/>
  <c r="G140" i="43"/>
  <c r="H140" i="43" s="1"/>
  <c r="I140" i="43" s="1"/>
  <c r="F140" i="43"/>
  <c r="G139" i="43"/>
  <c r="F139" i="43"/>
  <c r="G138" i="43"/>
  <c r="F138" i="43"/>
  <c r="H138" i="43" s="1"/>
  <c r="I138" i="43" s="1"/>
  <c r="G137" i="43"/>
  <c r="F137" i="43"/>
  <c r="G136" i="43"/>
  <c r="H136" i="43" s="1"/>
  <c r="I136" i="43" s="1"/>
  <c r="F136" i="43"/>
  <c r="G135" i="43"/>
  <c r="F135" i="43"/>
  <c r="G134" i="43"/>
  <c r="F134" i="43"/>
  <c r="H134" i="43" s="1"/>
  <c r="I134" i="43" s="1"/>
  <c r="G133" i="43"/>
  <c r="F133" i="43"/>
  <c r="G132" i="43"/>
  <c r="H132" i="43" s="1"/>
  <c r="I132" i="43" s="1"/>
  <c r="F132" i="43"/>
  <c r="G131" i="43"/>
  <c r="F131" i="43"/>
  <c r="G130" i="43"/>
  <c r="F130" i="43"/>
  <c r="H130" i="43" s="1"/>
  <c r="I130" i="43" s="1"/>
  <c r="G129" i="43"/>
  <c r="F129" i="43"/>
  <c r="G128" i="43"/>
  <c r="H128" i="43" s="1"/>
  <c r="I128" i="43" s="1"/>
  <c r="F128" i="43"/>
  <c r="G127" i="43"/>
  <c r="F127" i="43"/>
  <c r="G126" i="43"/>
  <c r="F126" i="43"/>
  <c r="H126" i="43" s="1"/>
  <c r="I126" i="43" s="1"/>
  <c r="G125" i="43"/>
  <c r="F125" i="43"/>
  <c r="G124" i="43"/>
  <c r="H124" i="43" s="1"/>
  <c r="I124" i="43" s="1"/>
  <c r="F124" i="43"/>
  <c r="G123" i="43"/>
  <c r="F123" i="43"/>
  <c r="G122" i="43"/>
  <c r="F122" i="43"/>
  <c r="H122" i="43" s="1"/>
  <c r="I122" i="43" s="1"/>
  <c r="G121" i="43"/>
  <c r="F121" i="43"/>
  <c r="G120" i="43"/>
  <c r="H120" i="43" s="1"/>
  <c r="I120" i="43" s="1"/>
  <c r="F120" i="43"/>
  <c r="G119" i="43"/>
  <c r="F119" i="43"/>
  <c r="G118" i="43"/>
  <c r="F118" i="43"/>
  <c r="H118" i="43" s="1"/>
  <c r="I118" i="43" s="1"/>
  <c r="G117" i="43"/>
  <c r="F117" i="43"/>
  <c r="G116" i="43"/>
  <c r="H116" i="43" s="1"/>
  <c r="I116" i="43" s="1"/>
  <c r="F116" i="43"/>
  <c r="G115" i="43"/>
  <c r="F115" i="43"/>
  <c r="G114" i="43"/>
  <c r="F114" i="43"/>
  <c r="H114" i="43" s="1"/>
  <c r="I114" i="43" s="1"/>
  <c r="G113" i="43"/>
  <c r="F113" i="43"/>
  <c r="G112" i="43"/>
  <c r="H112" i="43" s="1"/>
  <c r="I112" i="43" s="1"/>
  <c r="F112" i="43"/>
  <c r="G111" i="43"/>
  <c r="F111" i="43"/>
  <c r="G110" i="43"/>
  <c r="F110" i="43"/>
  <c r="H110" i="43" s="1"/>
  <c r="I110" i="43" s="1"/>
  <c r="G109" i="43"/>
  <c r="F109" i="43"/>
  <c r="G108" i="43"/>
  <c r="H108" i="43" s="1"/>
  <c r="I108" i="43" s="1"/>
  <c r="F108" i="43"/>
  <c r="G107" i="43"/>
  <c r="F107" i="43"/>
  <c r="G106" i="43"/>
  <c r="F106" i="43"/>
  <c r="H106" i="43" s="1"/>
  <c r="I106" i="43" s="1"/>
  <c r="G105" i="43"/>
  <c r="F105" i="43"/>
  <c r="G104" i="43"/>
  <c r="H104" i="43" s="1"/>
  <c r="I104" i="43" s="1"/>
  <c r="F104" i="43"/>
  <c r="G103" i="43"/>
  <c r="F103" i="43"/>
  <c r="G102" i="43"/>
  <c r="F102" i="43"/>
  <c r="H102" i="43" s="1"/>
  <c r="I102" i="43" s="1"/>
  <c r="G101" i="43"/>
  <c r="F101" i="43"/>
  <c r="G100" i="43"/>
  <c r="H100" i="43" s="1"/>
  <c r="I100" i="43" s="1"/>
  <c r="F100" i="43"/>
  <c r="G99" i="43"/>
  <c r="F99" i="43"/>
  <c r="G98" i="43"/>
  <c r="F98" i="43"/>
  <c r="H98" i="43" s="1"/>
  <c r="I98" i="43" s="1"/>
  <c r="G97" i="43"/>
  <c r="F97" i="43"/>
  <c r="G96" i="43"/>
  <c r="H96" i="43" s="1"/>
  <c r="I96" i="43" s="1"/>
  <c r="F96" i="43"/>
  <c r="G95" i="43"/>
  <c r="F95" i="43"/>
  <c r="G94" i="43"/>
  <c r="F94" i="43"/>
  <c r="H94" i="43" s="1"/>
  <c r="I94" i="43" s="1"/>
  <c r="G93" i="43"/>
  <c r="F93" i="43"/>
  <c r="G92" i="43"/>
  <c r="H92" i="43" s="1"/>
  <c r="I92" i="43" s="1"/>
  <c r="F92" i="43"/>
  <c r="G91" i="43"/>
  <c r="F91" i="43"/>
  <c r="G90" i="43"/>
  <c r="F90" i="43"/>
  <c r="H90" i="43" s="1"/>
  <c r="I90" i="43" s="1"/>
  <c r="G89" i="43"/>
  <c r="F89" i="43"/>
  <c r="G88" i="43"/>
  <c r="H88" i="43" s="1"/>
  <c r="I88" i="43" s="1"/>
  <c r="F88" i="43"/>
  <c r="G87" i="43"/>
  <c r="F87" i="43"/>
  <c r="G86" i="43"/>
  <c r="F86" i="43"/>
  <c r="H86" i="43" s="1"/>
  <c r="I86" i="43" s="1"/>
  <c r="G85" i="43"/>
  <c r="F85" i="43"/>
  <c r="G84" i="43"/>
  <c r="F84" i="43"/>
  <c r="G83" i="43"/>
  <c r="F83" i="43"/>
  <c r="G82" i="43"/>
  <c r="F82" i="43"/>
  <c r="H82" i="43" s="1"/>
  <c r="I82" i="43" s="1"/>
  <c r="G81" i="43"/>
  <c r="F81" i="43"/>
  <c r="G80" i="43"/>
  <c r="F80" i="43"/>
  <c r="G79" i="43"/>
  <c r="F79" i="43"/>
  <c r="G78" i="43"/>
  <c r="F78" i="43"/>
  <c r="H78" i="43" s="1"/>
  <c r="I78" i="43" s="1"/>
  <c r="G77" i="43"/>
  <c r="F77" i="43"/>
  <c r="G76" i="43"/>
  <c r="F76" i="43"/>
  <c r="G75" i="43"/>
  <c r="F75" i="43"/>
  <c r="G74" i="43"/>
  <c r="F74" i="43"/>
  <c r="G73" i="43"/>
  <c r="F73" i="43"/>
  <c r="G72" i="43"/>
  <c r="F72" i="43"/>
  <c r="G71" i="43"/>
  <c r="F71" i="43"/>
  <c r="G70" i="43"/>
  <c r="F70" i="43"/>
  <c r="G69" i="43"/>
  <c r="F69" i="43"/>
  <c r="G68" i="43"/>
  <c r="F68" i="43"/>
  <c r="G67" i="43"/>
  <c r="F67" i="43"/>
  <c r="G66" i="43"/>
  <c r="F66" i="43"/>
  <c r="H66" i="43" s="1"/>
  <c r="I66" i="43" s="1"/>
  <c r="G65" i="43"/>
  <c r="F65" i="43"/>
  <c r="G64" i="43"/>
  <c r="F64" i="43"/>
  <c r="G63" i="43"/>
  <c r="F63" i="43"/>
  <c r="G62" i="43"/>
  <c r="F62" i="43"/>
  <c r="H62" i="43" s="1"/>
  <c r="I62" i="43" s="1"/>
  <c r="G61" i="43"/>
  <c r="F61" i="43"/>
  <c r="G60" i="43"/>
  <c r="F60" i="43"/>
  <c r="G59" i="43"/>
  <c r="F59" i="43"/>
  <c r="G58" i="43"/>
  <c r="F58" i="43"/>
  <c r="H58" i="43" s="1"/>
  <c r="I58" i="43" s="1"/>
  <c r="G57" i="43"/>
  <c r="F57" i="43"/>
  <c r="G56" i="43"/>
  <c r="F56" i="43"/>
  <c r="G55" i="43"/>
  <c r="F55" i="43"/>
  <c r="G54" i="43"/>
  <c r="F54" i="43"/>
  <c r="H54" i="43" s="1"/>
  <c r="I54" i="43" s="1"/>
  <c r="G53" i="43"/>
  <c r="F53" i="43"/>
  <c r="G52" i="43"/>
  <c r="F52" i="43"/>
  <c r="G51" i="43"/>
  <c r="F51" i="43"/>
  <c r="G50" i="43"/>
  <c r="F50" i="43"/>
  <c r="H50" i="43" s="1"/>
  <c r="I50" i="43" s="1"/>
  <c r="G49" i="43"/>
  <c r="F49" i="43"/>
  <c r="G48" i="43"/>
  <c r="F48" i="43"/>
  <c r="G47" i="43"/>
  <c r="F47" i="43"/>
  <c r="G46" i="43"/>
  <c r="F46" i="43"/>
  <c r="H46" i="43" s="1"/>
  <c r="I46" i="43" s="1"/>
  <c r="G45" i="43"/>
  <c r="F45" i="43"/>
  <c r="G44" i="43"/>
  <c r="F44" i="43"/>
  <c r="G43" i="43"/>
  <c r="F43" i="43"/>
  <c r="G42" i="43"/>
  <c r="F42" i="43"/>
  <c r="H42" i="43" s="1"/>
  <c r="I42" i="43" s="1"/>
  <c r="G41" i="43"/>
  <c r="F41" i="43"/>
  <c r="G40" i="43"/>
  <c r="F40" i="43"/>
  <c r="G39" i="43"/>
  <c r="F39" i="43"/>
  <c r="G38" i="43"/>
  <c r="F38" i="43"/>
  <c r="H38" i="43" s="1"/>
  <c r="I38" i="43" s="1"/>
  <c r="G37" i="43"/>
  <c r="F37" i="43"/>
  <c r="G36" i="43"/>
  <c r="F36" i="43"/>
  <c r="G35" i="43"/>
  <c r="F35" i="43"/>
  <c r="G34" i="43"/>
  <c r="F34" i="43"/>
  <c r="H34" i="43" s="1"/>
  <c r="I34" i="43" s="1"/>
  <c r="G33" i="43"/>
  <c r="F33" i="43"/>
  <c r="G32" i="43"/>
  <c r="F32" i="43"/>
  <c r="G31" i="43"/>
  <c r="F31" i="43"/>
  <c r="G30" i="43"/>
  <c r="F30" i="43"/>
  <c r="G29" i="43"/>
  <c r="F29" i="43"/>
  <c r="G28" i="43"/>
  <c r="F28" i="43"/>
  <c r="G27" i="43"/>
  <c r="F27" i="43"/>
  <c r="G26" i="43"/>
  <c r="F26" i="43"/>
  <c r="G25" i="43"/>
  <c r="F25" i="43"/>
  <c r="G24" i="43"/>
  <c r="F24" i="43"/>
  <c r="G23" i="43"/>
  <c r="H23" i="43" s="1"/>
  <c r="I23" i="43" s="1"/>
  <c r="F23" i="43"/>
  <c r="G22" i="43"/>
  <c r="F22" i="43"/>
  <c r="G21" i="43"/>
  <c r="F21" i="43"/>
  <c r="G20" i="43"/>
  <c r="F20" i="43"/>
  <c r="G19" i="43"/>
  <c r="F19" i="43"/>
  <c r="G18" i="43"/>
  <c r="F18" i="43"/>
  <c r="H18" i="43" s="1"/>
  <c r="I18" i="43" s="1"/>
  <c r="G17" i="43"/>
  <c r="F17" i="43"/>
  <c r="G16" i="43"/>
  <c r="H16" i="43" s="1"/>
  <c r="I16" i="43" s="1"/>
  <c r="F16" i="43"/>
  <c r="G15" i="43"/>
  <c r="F15" i="43"/>
  <c r="G14" i="43"/>
  <c r="F14" i="43"/>
  <c r="G13" i="43"/>
  <c r="F13" i="43"/>
  <c r="G12" i="43"/>
  <c r="H12" i="43" s="1"/>
  <c r="I12" i="43" s="1"/>
  <c r="F12" i="43"/>
  <c r="G11" i="43"/>
  <c r="F11" i="43"/>
  <c r="G10" i="43"/>
  <c r="F10" i="43"/>
  <c r="H10" i="43" s="1"/>
  <c r="I10" i="43" s="1"/>
  <c r="G9" i="43"/>
  <c r="F9" i="43"/>
  <c r="G8" i="43"/>
  <c r="H8" i="43" s="1"/>
  <c r="I8" i="43" s="1"/>
  <c r="F8" i="43"/>
  <c r="G7" i="43"/>
  <c r="F7" i="43"/>
  <c r="G6" i="43"/>
  <c r="F6" i="43"/>
  <c r="G5" i="43"/>
  <c r="F5" i="43"/>
  <c r="G4" i="43"/>
  <c r="F4" i="43"/>
  <c r="G3" i="43"/>
  <c r="F3" i="43"/>
  <c r="C358" i="43"/>
  <c r="H354" i="43"/>
  <c r="I354" i="43" s="1"/>
  <c r="H350" i="43"/>
  <c r="I350" i="43" s="1"/>
  <c r="H342" i="43"/>
  <c r="I342" i="43" s="1"/>
  <c r="D335" i="43"/>
  <c r="H331" i="43"/>
  <c r="I331" i="43" s="1"/>
  <c r="H323" i="43"/>
  <c r="I323" i="43" s="1"/>
  <c r="H315" i="43"/>
  <c r="I315" i="43" s="1"/>
  <c r="H302" i="43"/>
  <c r="I302" i="43" s="1"/>
  <c r="H286" i="43"/>
  <c r="I286" i="43" s="1"/>
  <c r="D236" i="43"/>
  <c r="H191" i="43"/>
  <c r="I191" i="43" s="1"/>
  <c r="H186" i="43"/>
  <c r="I186" i="43" s="1"/>
  <c r="H170" i="43"/>
  <c r="I170" i="43" s="1"/>
  <c r="H168" i="43"/>
  <c r="I168" i="43" s="1"/>
  <c r="H151" i="43"/>
  <c r="I151" i="43" s="1"/>
  <c r="D141" i="43"/>
  <c r="D139" i="43"/>
  <c r="E87" i="43"/>
  <c r="E358" i="43" s="1"/>
  <c r="H74" i="43"/>
  <c r="I74" i="43" s="1"/>
  <c r="H70" i="43"/>
  <c r="I70" i="43" s="1"/>
  <c r="H30" i="43"/>
  <c r="I30" i="43" s="1"/>
  <c r="H159" i="43" l="1"/>
  <c r="I159" i="43" s="1"/>
  <c r="H165" i="43"/>
  <c r="I165" i="43" s="1"/>
  <c r="H349" i="43"/>
  <c r="I349" i="43" s="1"/>
  <c r="H173" i="43"/>
  <c r="I173" i="43" s="1"/>
  <c r="H341" i="43"/>
  <c r="I341" i="43" s="1"/>
  <c r="H345" i="43"/>
  <c r="I345" i="43" s="1"/>
  <c r="H337" i="43"/>
  <c r="I337" i="43" s="1"/>
  <c r="H153" i="43"/>
  <c r="I153" i="43" s="1"/>
  <c r="D358" i="43"/>
  <c r="H21" i="43"/>
  <c r="I21" i="43" s="1"/>
  <c r="H25" i="43"/>
  <c r="I25" i="43" s="1"/>
  <c r="H137" i="43"/>
  <c r="I137" i="43" s="1"/>
  <c r="H149" i="43"/>
  <c r="I149" i="43" s="1"/>
  <c r="H157" i="43"/>
  <c r="I157" i="43" s="1"/>
  <c r="H181" i="43"/>
  <c r="I181" i="43" s="1"/>
  <c r="H189" i="43"/>
  <c r="I189" i="43" s="1"/>
  <c r="H205" i="43"/>
  <c r="I205" i="43" s="1"/>
  <c r="H213" i="43"/>
  <c r="I213" i="43" s="1"/>
  <c r="H221" i="43"/>
  <c r="I221" i="43" s="1"/>
  <c r="H229" i="43"/>
  <c r="I229" i="43" s="1"/>
  <c r="H313" i="43"/>
  <c r="I313" i="43" s="1"/>
  <c r="H317" i="43"/>
  <c r="I317" i="43" s="1"/>
  <c r="H321" i="43"/>
  <c r="I321" i="43" s="1"/>
  <c r="H325" i="43"/>
  <c r="I325" i="43" s="1"/>
  <c r="H329" i="43"/>
  <c r="I329" i="43" s="1"/>
  <c r="H333" i="43"/>
  <c r="I333" i="43" s="1"/>
  <c r="H357" i="43"/>
  <c r="I357" i="43" s="1"/>
  <c r="H6" i="43"/>
  <c r="I6" i="43" s="1"/>
  <c r="H14" i="43"/>
  <c r="I14" i="43" s="1"/>
  <c r="H19" i="43"/>
  <c r="I19" i="43" s="1"/>
  <c r="H155" i="43"/>
  <c r="I155" i="43" s="1"/>
  <c r="H167" i="43"/>
  <c r="I167" i="43" s="1"/>
  <c r="H175" i="43"/>
  <c r="I175" i="43" s="1"/>
  <c r="H183" i="43"/>
  <c r="I183" i="43" s="1"/>
  <c r="H199" i="43"/>
  <c r="I199" i="43" s="1"/>
  <c r="H207" i="43"/>
  <c r="I207" i="43" s="1"/>
  <c r="H215" i="43"/>
  <c r="I215" i="43" s="1"/>
  <c r="H223" i="43"/>
  <c r="I223" i="43" s="1"/>
  <c r="H231" i="43"/>
  <c r="I231" i="43" s="1"/>
  <c r="H319" i="43"/>
  <c r="I319" i="43" s="1"/>
  <c r="H327" i="43"/>
  <c r="I327" i="43" s="1"/>
  <c r="H339" i="43"/>
  <c r="I339" i="43" s="1"/>
  <c r="H343" i="43"/>
  <c r="I343" i="43" s="1"/>
  <c r="H347" i="43"/>
  <c r="I347" i="43" s="1"/>
  <c r="H351" i="43"/>
  <c r="I351" i="43" s="1"/>
  <c r="H355" i="43"/>
  <c r="I355" i="43" s="1"/>
  <c r="H346" i="45"/>
  <c r="H139" i="43"/>
  <c r="I139" i="43" s="1"/>
  <c r="I2" i="45"/>
  <c r="I346" i="45" s="1"/>
  <c r="G358" i="43"/>
  <c r="H87" i="43"/>
  <c r="I87" i="43" s="1"/>
  <c r="H89" i="43"/>
  <c r="I89" i="43" s="1"/>
  <c r="H91" i="43"/>
  <c r="I91" i="43" s="1"/>
  <c r="H93" i="43"/>
  <c r="I93" i="43" s="1"/>
  <c r="H95" i="43"/>
  <c r="I95" i="43" s="1"/>
  <c r="H97" i="43"/>
  <c r="I97" i="43" s="1"/>
  <c r="H99" i="43"/>
  <c r="I99" i="43" s="1"/>
  <c r="H101" i="43"/>
  <c r="I101" i="43" s="1"/>
  <c r="H103" i="43"/>
  <c r="I103" i="43" s="1"/>
  <c r="H105" i="43"/>
  <c r="I105" i="43" s="1"/>
  <c r="H107" i="43"/>
  <c r="I107" i="43" s="1"/>
  <c r="H109" i="43"/>
  <c r="I109" i="43" s="1"/>
  <c r="H111" i="43"/>
  <c r="I111" i="43" s="1"/>
  <c r="H113" i="43"/>
  <c r="I113" i="43" s="1"/>
  <c r="H115" i="43"/>
  <c r="I115" i="43" s="1"/>
  <c r="H117" i="43"/>
  <c r="I117" i="43" s="1"/>
  <c r="H119" i="43"/>
  <c r="I119" i="43" s="1"/>
  <c r="H121" i="43"/>
  <c r="I121" i="43" s="1"/>
  <c r="H123" i="43"/>
  <c r="I123" i="43" s="1"/>
  <c r="H125" i="43"/>
  <c r="I125" i="43" s="1"/>
  <c r="H127" i="43"/>
  <c r="I127" i="43" s="1"/>
  <c r="H129" i="43"/>
  <c r="I129" i="43" s="1"/>
  <c r="H131" i="43"/>
  <c r="I131" i="43" s="1"/>
  <c r="H133" i="43"/>
  <c r="I133" i="43" s="1"/>
  <c r="H135" i="43"/>
  <c r="I135" i="43" s="1"/>
  <c r="H141" i="43"/>
  <c r="I141" i="43" s="1"/>
  <c r="H143" i="43"/>
  <c r="I143" i="43" s="1"/>
  <c r="H150" i="43"/>
  <c r="I150" i="43" s="1"/>
  <c r="H163" i="43"/>
  <c r="I163" i="43" s="1"/>
  <c r="H171" i="43"/>
  <c r="I171" i="43" s="1"/>
  <c r="H179" i="43"/>
  <c r="I179" i="43" s="1"/>
  <c r="H187" i="43"/>
  <c r="I187" i="43" s="1"/>
  <c r="H195" i="43"/>
  <c r="I195" i="43" s="1"/>
  <c r="H203" i="43"/>
  <c r="I203" i="43" s="1"/>
  <c r="H211" i="43"/>
  <c r="I211" i="43" s="1"/>
  <c r="H219" i="43"/>
  <c r="I219" i="43" s="1"/>
  <c r="H227" i="43"/>
  <c r="I227" i="43" s="1"/>
  <c r="H235" i="43"/>
  <c r="I235" i="43" s="1"/>
  <c r="H277" i="43"/>
  <c r="I277" i="43" s="1"/>
  <c r="H279" i="43"/>
  <c r="I279" i="43" s="1"/>
  <c r="H281" i="43"/>
  <c r="I281" i="43" s="1"/>
  <c r="H283" i="43"/>
  <c r="I283" i="43" s="1"/>
  <c r="H285" i="43"/>
  <c r="I285" i="43" s="1"/>
  <c r="H287" i="43"/>
  <c r="I287" i="43" s="1"/>
  <c r="H289" i="43"/>
  <c r="I289" i="43" s="1"/>
  <c r="H291" i="43"/>
  <c r="I291" i="43" s="1"/>
  <c r="H293" i="43"/>
  <c r="I293" i="43" s="1"/>
  <c r="H295" i="43"/>
  <c r="I295" i="43" s="1"/>
  <c r="H297" i="43"/>
  <c r="I297" i="43" s="1"/>
  <c r="H299" i="43"/>
  <c r="I299" i="43" s="1"/>
  <c r="H301" i="43"/>
  <c r="I301" i="43" s="1"/>
  <c r="H303" i="43"/>
  <c r="I303" i="43" s="1"/>
  <c r="H305" i="43"/>
  <c r="I305" i="43" s="1"/>
  <c r="H307" i="43"/>
  <c r="I307" i="43" s="1"/>
  <c r="H309" i="43"/>
  <c r="I309" i="43" s="1"/>
  <c r="H311" i="43"/>
  <c r="I311" i="43" s="1"/>
  <c r="H335" i="43"/>
  <c r="I335" i="43" s="1"/>
  <c r="H4" i="43"/>
  <c r="I4" i="43" s="1"/>
  <c r="H5" i="43"/>
  <c r="I5" i="43" s="1"/>
  <c r="H7" i="43"/>
  <c r="I7" i="43" s="1"/>
  <c r="H9" i="43"/>
  <c r="I9" i="43" s="1"/>
  <c r="H11" i="43"/>
  <c r="I11" i="43" s="1"/>
  <c r="H13" i="43"/>
  <c r="I13" i="43" s="1"/>
  <c r="H15" i="43"/>
  <c r="I15" i="43" s="1"/>
  <c r="H17" i="43"/>
  <c r="I17" i="43" s="1"/>
  <c r="H29" i="43"/>
  <c r="I29" i="43" s="1"/>
  <c r="H33" i="43"/>
  <c r="I33" i="43" s="1"/>
  <c r="H37" i="43"/>
  <c r="I37" i="43" s="1"/>
  <c r="H41" i="43"/>
  <c r="I41" i="43" s="1"/>
  <c r="H45" i="43"/>
  <c r="I45" i="43" s="1"/>
  <c r="H49" i="43"/>
  <c r="I49" i="43" s="1"/>
  <c r="H53" i="43"/>
  <c r="I53" i="43" s="1"/>
  <c r="H57" i="43"/>
  <c r="I57" i="43" s="1"/>
  <c r="H61" i="43"/>
  <c r="I61" i="43" s="1"/>
  <c r="H65" i="43"/>
  <c r="I65" i="43" s="1"/>
  <c r="H69" i="43"/>
  <c r="I69" i="43" s="1"/>
  <c r="H73" i="43"/>
  <c r="I73" i="43" s="1"/>
  <c r="H77" i="43"/>
  <c r="I77" i="43" s="1"/>
  <c r="H81" i="43"/>
  <c r="I81" i="43" s="1"/>
  <c r="H85" i="43"/>
  <c r="I85" i="43" s="1"/>
  <c r="H161" i="43"/>
  <c r="I161" i="43" s="1"/>
  <c r="H169" i="43"/>
  <c r="I169" i="43" s="1"/>
  <c r="H177" i="43"/>
  <c r="I177" i="43" s="1"/>
  <c r="H185" i="43"/>
  <c r="I185" i="43" s="1"/>
  <c r="H193" i="43"/>
  <c r="I193" i="43" s="1"/>
  <c r="H201" i="43"/>
  <c r="I201" i="43" s="1"/>
  <c r="H209" i="43"/>
  <c r="I209" i="43" s="1"/>
  <c r="H217" i="43"/>
  <c r="I217" i="43" s="1"/>
  <c r="H225" i="43"/>
  <c r="I225" i="43" s="1"/>
  <c r="H233" i="43"/>
  <c r="I233" i="43" s="1"/>
  <c r="H314" i="43"/>
  <c r="I314" i="43" s="1"/>
  <c r="H316" i="43"/>
  <c r="I316" i="43" s="1"/>
  <c r="H318" i="43"/>
  <c r="I318" i="43" s="1"/>
  <c r="H320" i="43"/>
  <c r="I320" i="43" s="1"/>
  <c r="H322" i="43"/>
  <c r="I322" i="43" s="1"/>
  <c r="H324" i="43"/>
  <c r="I324" i="43" s="1"/>
  <c r="H326" i="43"/>
  <c r="I326" i="43" s="1"/>
  <c r="H328" i="43"/>
  <c r="I328" i="43" s="1"/>
  <c r="H330" i="43"/>
  <c r="I330" i="43" s="1"/>
  <c r="H332" i="43"/>
  <c r="I332" i="43" s="1"/>
  <c r="H334" i="43"/>
  <c r="I334" i="43" s="1"/>
  <c r="H20" i="43"/>
  <c r="I20" i="43" s="1"/>
  <c r="H22" i="43"/>
  <c r="I22" i="43" s="1"/>
  <c r="H24" i="43"/>
  <c r="I24" i="43" s="1"/>
  <c r="H26" i="43"/>
  <c r="I26" i="43" s="1"/>
  <c r="H145" i="43"/>
  <c r="I145" i="43" s="1"/>
  <c r="H147" i="43"/>
  <c r="I147" i="43" s="1"/>
  <c r="H154" i="43"/>
  <c r="I154" i="43" s="1"/>
  <c r="F358" i="43"/>
  <c r="H3" i="43"/>
  <c r="H236" i="43"/>
  <c r="I236" i="43" s="1"/>
  <c r="H238" i="43"/>
  <c r="I238" i="43" s="1"/>
  <c r="H240" i="43"/>
  <c r="I240" i="43" s="1"/>
  <c r="H242" i="43"/>
  <c r="I242" i="43" s="1"/>
  <c r="H244" i="43"/>
  <c r="I244" i="43" s="1"/>
  <c r="H246" i="43"/>
  <c r="I246" i="43" s="1"/>
  <c r="H248" i="43"/>
  <c r="I248" i="43" s="1"/>
  <c r="H250" i="43"/>
  <c r="I250" i="43" s="1"/>
  <c r="H252" i="43"/>
  <c r="I252" i="43" s="1"/>
  <c r="H254" i="43"/>
  <c r="I254" i="43" s="1"/>
  <c r="H256" i="43"/>
  <c r="I256" i="43" s="1"/>
  <c r="H258" i="43"/>
  <c r="I258" i="43" s="1"/>
  <c r="H260" i="43"/>
  <c r="I260" i="43" s="1"/>
  <c r="H262" i="43"/>
  <c r="I262" i="43" s="1"/>
  <c r="H264" i="43"/>
  <c r="I264" i="43" s="1"/>
  <c r="H266" i="43"/>
  <c r="I266" i="43" s="1"/>
  <c r="H268" i="43"/>
  <c r="I268" i="43" s="1"/>
  <c r="H270" i="43"/>
  <c r="I270" i="43" s="1"/>
  <c r="H272" i="43"/>
  <c r="I272" i="43" s="1"/>
  <c r="H274" i="43"/>
  <c r="I274" i="43" s="1"/>
  <c r="H276" i="43"/>
  <c r="I276" i="43" s="1"/>
  <c r="H27" i="43"/>
  <c r="I27" i="43" s="1"/>
  <c r="H31" i="43"/>
  <c r="I31" i="43" s="1"/>
  <c r="H35" i="43"/>
  <c r="I35" i="43" s="1"/>
  <c r="H39" i="43"/>
  <c r="I39" i="43" s="1"/>
  <c r="H43" i="43"/>
  <c r="I43" i="43" s="1"/>
  <c r="H47" i="43"/>
  <c r="I47" i="43" s="1"/>
  <c r="H51" i="43"/>
  <c r="I51" i="43" s="1"/>
  <c r="H55" i="43"/>
  <c r="I55" i="43" s="1"/>
  <c r="H59" i="43"/>
  <c r="I59" i="43" s="1"/>
  <c r="H63" i="43"/>
  <c r="I63" i="43" s="1"/>
  <c r="H67" i="43"/>
  <c r="I67" i="43" s="1"/>
  <c r="H71" i="43"/>
  <c r="I71" i="43" s="1"/>
  <c r="H75" i="43"/>
  <c r="I75" i="43" s="1"/>
  <c r="H79" i="43"/>
  <c r="I79" i="43" s="1"/>
  <c r="H83" i="43"/>
  <c r="I83" i="43" s="1"/>
  <c r="H28" i="43"/>
  <c r="I28" i="43" s="1"/>
  <c r="H32" i="43"/>
  <c r="I32" i="43" s="1"/>
  <c r="H36" i="43"/>
  <c r="I36" i="43" s="1"/>
  <c r="H40" i="43"/>
  <c r="I40" i="43" s="1"/>
  <c r="H44" i="43"/>
  <c r="I44" i="43" s="1"/>
  <c r="H48" i="43"/>
  <c r="I48" i="43" s="1"/>
  <c r="H52" i="43"/>
  <c r="I52" i="43" s="1"/>
  <c r="H56" i="43"/>
  <c r="I56" i="43" s="1"/>
  <c r="H60" i="43"/>
  <c r="I60" i="43" s="1"/>
  <c r="H64" i="43"/>
  <c r="I64" i="43" s="1"/>
  <c r="H68" i="43"/>
  <c r="I68" i="43" s="1"/>
  <c r="H72" i="43"/>
  <c r="I72" i="43" s="1"/>
  <c r="H76" i="43"/>
  <c r="I76" i="43" s="1"/>
  <c r="H80" i="43"/>
  <c r="I80" i="43" s="1"/>
  <c r="H84" i="43"/>
  <c r="I84" i="43" s="1"/>
  <c r="H237" i="43"/>
  <c r="I237" i="43" s="1"/>
  <c r="H239" i="43"/>
  <c r="I239" i="43" s="1"/>
  <c r="H241" i="43"/>
  <c r="I241" i="43" s="1"/>
  <c r="H243" i="43"/>
  <c r="I243" i="43" s="1"/>
  <c r="H245" i="43"/>
  <c r="I245" i="43" s="1"/>
  <c r="H247" i="43"/>
  <c r="I247" i="43" s="1"/>
  <c r="H249" i="43"/>
  <c r="I249" i="43" s="1"/>
  <c r="H251" i="43"/>
  <c r="I251" i="43" s="1"/>
  <c r="H253" i="43"/>
  <c r="I253" i="43" s="1"/>
  <c r="H255" i="43"/>
  <c r="I255" i="43" s="1"/>
  <c r="H257" i="43"/>
  <c r="I257" i="43" s="1"/>
  <c r="H259" i="43"/>
  <c r="I259" i="43" s="1"/>
  <c r="H261" i="43"/>
  <c r="I261" i="43" s="1"/>
  <c r="H263" i="43"/>
  <c r="I263" i="43" s="1"/>
  <c r="H265" i="43"/>
  <c r="I265" i="43" s="1"/>
  <c r="H267" i="43"/>
  <c r="I267" i="43" s="1"/>
  <c r="H269" i="43"/>
  <c r="I269" i="43" s="1"/>
  <c r="H271" i="43"/>
  <c r="I271" i="43" s="1"/>
  <c r="H273" i="43"/>
  <c r="I273" i="43" s="1"/>
  <c r="H275" i="43"/>
  <c r="I275" i="43" s="1"/>
  <c r="H358" i="43" l="1"/>
  <c r="I3" i="43"/>
  <c r="I358" i="43" s="1"/>
  <c r="D307" i="23"/>
  <c r="E131" i="23" l="1"/>
  <c r="E130" i="23"/>
  <c r="E129" i="23"/>
  <c r="E128" i="23"/>
  <c r="E229" i="23" l="1"/>
  <c r="D422" i="23" l="1"/>
  <c r="C453" i="23"/>
  <c r="C355" i="23" l="1"/>
  <c r="D173" i="23"/>
  <c r="D142" i="23" l="1"/>
  <c r="D251" i="23"/>
  <c r="D178" i="23"/>
  <c r="D312" i="23"/>
  <c r="D355" i="23"/>
  <c r="E355" i="23" s="1"/>
  <c r="D421" i="23"/>
  <c r="D401" i="23"/>
  <c r="D423" i="23"/>
  <c r="G338" i="41" l="1"/>
  <c r="F338" i="41"/>
  <c r="E338" i="41"/>
  <c r="D338" i="41"/>
  <c r="C338" i="41"/>
  <c r="H337" i="41"/>
  <c r="I337" i="41" s="1"/>
  <c r="H336" i="41"/>
  <c r="I336" i="41" s="1"/>
  <c r="H335" i="41"/>
  <c r="I335" i="41" s="1"/>
  <c r="H334" i="41"/>
  <c r="I334" i="41" s="1"/>
  <c r="H333" i="41"/>
  <c r="I333" i="41" s="1"/>
  <c r="H332" i="41"/>
  <c r="I332" i="41" s="1"/>
  <c r="H331" i="41"/>
  <c r="I331" i="41" s="1"/>
  <c r="H330" i="41"/>
  <c r="I330" i="41" s="1"/>
  <c r="H329" i="41"/>
  <c r="I329" i="41" s="1"/>
  <c r="H328" i="41"/>
  <c r="I328" i="41" s="1"/>
  <c r="H327" i="41"/>
  <c r="I327" i="41" s="1"/>
  <c r="H326" i="41"/>
  <c r="I326" i="41" s="1"/>
  <c r="H325" i="41"/>
  <c r="I325" i="41" s="1"/>
  <c r="H324" i="41"/>
  <c r="I324" i="41" s="1"/>
  <c r="H323" i="41"/>
  <c r="I323" i="41" s="1"/>
  <c r="H322" i="41"/>
  <c r="I322" i="41" s="1"/>
  <c r="H321" i="41"/>
  <c r="I321" i="41" s="1"/>
  <c r="H320" i="41"/>
  <c r="I320" i="41" s="1"/>
  <c r="H319" i="41"/>
  <c r="I319" i="41" s="1"/>
  <c r="H318" i="41"/>
  <c r="I318" i="41" s="1"/>
  <c r="H317" i="41"/>
  <c r="I317" i="41" s="1"/>
  <c r="H316" i="41"/>
  <c r="I316" i="41" s="1"/>
  <c r="H315" i="41"/>
  <c r="I315" i="41" s="1"/>
  <c r="H314" i="41"/>
  <c r="I314" i="41" s="1"/>
  <c r="H313" i="41"/>
  <c r="I313" i="41" s="1"/>
  <c r="H312" i="41"/>
  <c r="I312" i="41" s="1"/>
  <c r="H311" i="41"/>
  <c r="I311" i="41" s="1"/>
  <c r="H310" i="41"/>
  <c r="I310" i="41" s="1"/>
  <c r="H309" i="41"/>
  <c r="I309" i="41" s="1"/>
  <c r="H308" i="41"/>
  <c r="I308" i="41" s="1"/>
  <c r="H307" i="41"/>
  <c r="I307" i="41" s="1"/>
  <c r="H306" i="41"/>
  <c r="I306" i="41" s="1"/>
  <c r="H305" i="41"/>
  <c r="I305" i="41" s="1"/>
  <c r="H304" i="41"/>
  <c r="I304" i="41" s="1"/>
  <c r="H303" i="41"/>
  <c r="I303" i="41" s="1"/>
  <c r="H302" i="41"/>
  <c r="I302" i="41" s="1"/>
  <c r="H301" i="41"/>
  <c r="I301" i="41" s="1"/>
  <c r="H300" i="41"/>
  <c r="I300" i="41" s="1"/>
  <c r="H299" i="41"/>
  <c r="I299" i="41" s="1"/>
  <c r="H298" i="41"/>
  <c r="I298" i="41" s="1"/>
  <c r="H297" i="41"/>
  <c r="I297" i="41" s="1"/>
  <c r="H296" i="41"/>
  <c r="I296" i="41" s="1"/>
  <c r="H295" i="41"/>
  <c r="I295" i="41" s="1"/>
  <c r="H294" i="41"/>
  <c r="I294" i="41" s="1"/>
  <c r="H293" i="41"/>
  <c r="I293" i="41" s="1"/>
  <c r="H292" i="41"/>
  <c r="I292" i="41" s="1"/>
  <c r="H291" i="41"/>
  <c r="I291" i="41" s="1"/>
  <c r="H290" i="41"/>
  <c r="I290" i="41" s="1"/>
  <c r="H289" i="41"/>
  <c r="I289" i="41" s="1"/>
  <c r="H288" i="41"/>
  <c r="I288" i="41" s="1"/>
  <c r="H287" i="41"/>
  <c r="I287" i="41" s="1"/>
  <c r="H286" i="41"/>
  <c r="I286" i="41" s="1"/>
  <c r="H285" i="41"/>
  <c r="I285" i="41" s="1"/>
  <c r="H284" i="41"/>
  <c r="I284" i="41" s="1"/>
  <c r="H283" i="41"/>
  <c r="I283" i="41" s="1"/>
  <c r="H282" i="41"/>
  <c r="I282" i="41" s="1"/>
  <c r="H281" i="41"/>
  <c r="I281" i="41" s="1"/>
  <c r="H280" i="41"/>
  <c r="I280" i="41" s="1"/>
  <c r="H279" i="41"/>
  <c r="I279" i="41" s="1"/>
  <c r="H278" i="41"/>
  <c r="I278" i="41" s="1"/>
  <c r="H277" i="41"/>
  <c r="I277" i="41" s="1"/>
  <c r="H276" i="41"/>
  <c r="I276" i="41" s="1"/>
  <c r="H275" i="41"/>
  <c r="I275" i="41" s="1"/>
  <c r="H274" i="41"/>
  <c r="I274" i="41" s="1"/>
  <c r="H273" i="41"/>
  <c r="I273" i="41" s="1"/>
  <c r="H272" i="41"/>
  <c r="I272" i="41" s="1"/>
  <c r="H271" i="41"/>
  <c r="I271" i="41" s="1"/>
  <c r="H270" i="41"/>
  <c r="I270" i="41" s="1"/>
  <c r="H269" i="41"/>
  <c r="I269" i="41" s="1"/>
  <c r="H268" i="41"/>
  <c r="I268" i="41" s="1"/>
  <c r="H267" i="41"/>
  <c r="I267" i="41" s="1"/>
  <c r="H266" i="41"/>
  <c r="I266" i="41" s="1"/>
  <c r="H265" i="41"/>
  <c r="I265" i="41" s="1"/>
  <c r="H264" i="41"/>
  <c r="I264" i="41" s="1"/>
  <c r="H263" i="41"/>
  <c r="I263" i="41" s="1"/>
  <c r="H262" i="41"/>
  <c r="I262" i="41" s="1"/>
  <c r="H261" i="41"/>
  <c r="I261" i="41" s="1"/>
  <c r="H260" i="41"/>
  <c r="I260" i="41" s="1"/>
  <c r="H259" i="41"/>
  <c r="I259" i="41" s="1"/>
  <c r="H258" i="41"/>
  <c r="I258" i="41" s="1"/>
  <c r="H257" i="41"/>
  <c r="I257" i="41" s="1"/>
  <c r="H256" i="41"/>
  <c r="I256" i="41" s="1"/>
  <c r="H255" i="41"/>
  <c r="I255" i="41" s="1"/>
  <c r="H254" i="41"/>
  <c r="I254" i="41" s="1"/>
  <c r="H253" i="41"/>
  <c r="I253" i="41" s="1"/>
  <c r="H252" i="41"/>
  <c r="I252" i="41" s="1"/>
  <c r="H251" i="41"/>
  <c r="I251" i="41" s="1"/>
  <c r="H250" i="41"/>
  <c r="I250" i="41" s="1"/>
  <c r="H249" i="41"/>
  <c r="I249" i="41" s="1"/>
  <c r="H248" i="41"/>
  <c r="I248" i="41" s="1"/>
  <c r="H247" i="41"/>
  <c r="I247" i="41" s="1"/>
  <c r="H246" i="41"/>
  <c r="I246" i="41" s="1"/>
  <c r="H245" i="41"/>
  <c r="I245" i="41" s="1"/>
  <c r="H244" i="41"/>
  <c r="I244" i="41" s="1"/>
  <c r="H243" i="41"/>
  <c r="I243" i="41" s="1"/>
  <c r="H242" i="41"/>
  <c r="I242" i="41" s="1"/>
  <c r="H241" i="41"/>
  <c r="I241" i="41" s="1"/>
  <c r="H240" i="41"/>
  <c r="I240" i="41" s="1"/>
  <c r="H239" i="41"/>
  <c r="I239" i="41" s="1"/>
  <c r="H238" i="41"/>
  <c r="I238" i="41" s="1"/>
  <c r="H237" i="41"/>
  <c r="I237" i="41" s="1"/>
  <c r="H236" i="41"/>
  <c r="I236" i="41" s="1"/>
  <c r="H235" i="41"/>
  <c r="I235" i="41" s="1"/>
  <c r="H234" i="41"/>
  <c r="I234" i="41" s="1"/>
  <c r="H233" i="41"/>
  <c r="I233" i="41" s="1"/>
  <c r="H232" i="41"/>
  <c r="I232" i="41" s="1"/>
  <c r="H231" i="41"/>
  <c r="I231" i="41" s="1"/>
  <c r="H230" i="41"/>
  <c r="I230" i="41" s="1"/>
  <c r="H229" i="41"/>
  <c r="I229" i="41" s="1"/>
  <c r="H228" i="41"/>
  <c r="I228" i="41" s="1"/>
  <c r="H227" i="41"/>
  <c r="I227" i="41" s="1"/>
  <c r="H226" i="41"/>
  <c r="I226" i="41" s="1"/>
  <c r="H225" i="41"/>
  <c r="I225" i="41" s="1"/>
  <c r="H224" i="41"/>
  <c r="I224" i="41" s="1"/>
  <c r="H223" i="41"/>
  <c r="I223" i="41" s="1"/>
  <c r="H222" i="41"/>
  <c r="I222" i="41" s="1"/>
  <c r="H221" i="41"/>
  <c r="I221" i="41" s="1"/>
  <c r="H220" i="41"/>
  <c r="I220" i="41" s="1"/>
  <c r="H219" i="41"/>
  <c r="I219" i="41" s="1"/>
  <c r="H218" i="41"/>
  <c r="I218" i="41" s="1"/>
  <c r="H217" i="41"/>
  <c r="I217" i="41" s="1"/>
  <c r="H216" i="41"/>
  <c r="I216" i="41" s="1"/>
  <c r="H215" i="41"/>
  <c r="I215" i="41" s="1"/>
  <c r="H214" i="41"/>
  <c r="I214" i="41" s="1"/>
  <c r="H213" i="41"/>
  <c r="I213" i="41" s="1"/>
  <c r="H212" i="41"/>
  <c r="I212" i="41" s="1"/>
  <c r="H211" i="41"/>
  <c r="I211" i="41" s="1"/>
  <c r="H210" i="41"/>
  <c r="I210" i="41" s="1"/>
  <c r="H209" i="41"/>
  <c r="I209" i="41" s="1"/>
  <c r="H208" i="41"/>
  <c r="I208" i="41" s="1"/>
  <c r="H207" i="41"/>
  <c r="I207" i="41" s="1"/>
  <c r="H206" i="41"/>
  <c r="I206" i="41" s="1"/>
  <c r="H205" i="41"/>
  <c r="I205" i="41" s="1"/>
  <c r="H204" i="41"/>
  <c r="I204" i="41" s="1"/>
  <c r="H203" i="41"/>
  <c r="I203" i="41" s="1"/>
  <c r="H202" i="41"/>
  <c r="I202" i="41" s="1"/>
  <c r="H201" i="41"/>
  <c r="I201" i="41" s="1"/>
  <c r="H200" i="41"/>
  <c r="I200" i="41" s="1"/>
  <c r="H199" i="41"/>
  <c r="I199" i="41" s="1"/>
  <c r="H198" i="41"/>
  <c r="I198" i="41" s="1"/>
  <c r="H197" i="41"/>
  <c r="I197" i="41" s="1"/>
  <c r="H196" i="41"/>
  <c r="I196" i="41" s="1"/>
  <c r="H195" i="41"/>
  <c r="I195" i="41" s="1"/>
  <c r="H194" i="41"/>
  <c r="I194" i="41" s="1"/>
  <c r="H193" i="41"/>
  <c r="I193" i="41" s="1"/>
  <c r="H192" i="41"/>
  <c r="I192" i="41" s="1"/>
  <c r="H191" i="41"/>
  <c r="I191" i="41" s="1"/>
  <c r="H190" i="41"/>
  <c r="I190" i="41" s="1"/>
  <c r="H189" i="41"/>
  <c r="I189" i="41" s="1"/>
  <c r="H188" i="41"/>
  <c r="I188" i="41" s="1"/>
  <c r="H187" i="41"/>
  <c r="I187" i="41" s="1"/>
  <c r="H186" i="41"/>
  <c r="I186" i="41" s="1"/>
  <c r="H185" i="41"/>
  <c r="I185" i="41" s="1"/>
  <c r="H184" i="41"/>
  <c r="I184" i="41" s="1"/>
  <c r="H183" i="41"/>
  <c r="I183" i="41" s="1"/>
  <c r="H182" i="41"/>
  <c r="I182" i="41" s="1"/>
  <c r="H181" i="41"/>
  <c r="I181" i="41" s="1"/>
  <c r="H180" i="41"/>
  <c r="I180" i="41" s="1"/>
  <c r="H179" i="41"/>
  <c r="I179" i="41" s="1"/>
  <c r="H178" i="41"/>
  <c r="I178" i="41" s="1"/>
  <c r="H177" i="41"/>
  <c r="I177" i="41" s="1"/>
  <c r="H176" i="41"/>
  <c r="I176" i="41" s="1"/>
  <c r="H175" i="41"/>
  <c r="I175" i="41" s="1"/>
  <c r="H174" i="41"/>
  <c r="I174" i="41" s="1"/>
  <c r="H173" i="41"/>
  <c r="I173" i="41" s="1"/>
  <c r="H172" i="41"/>
  <c r="I172" i="41" s="1"/>
  <c r="H171" i="41"/>
  <c r="I171" i="41" s="1"/>
  <c r="H170" i="41"/>
  <c r="I170" i="41" s="1"/>
  <c r="H169" i="41"/>
  <c r="I169" i="41" s="1"/>
  <c r="H168" i="41"/>
  <c r="I168" i="41" s="1"/>
  <c r="H167" i="41"/>
  <c r="I167" i="41" s="1"/>
  <c r="H166" i="41"/>
  <c r="I166" i="41" s="1"/>
  <c r="H165" i="41"/>
  <c r="I165" i="41" s="1"/>
  <c r="H164" i="41"/>
  <c r="I164" i="41" s="1"/>
  <c r="H163" i="41"/>
  <c r="I163" i="41" s="1"/>
  <c r="H162" i="41"/>
  <c r="I162" i="41" s="1"/>
  <c r="H161" i="41"/>
  <c r="I161" i="41" s="1"/>
  <c r="H160" i="41"/>
  <c r="I160" i="41" s="1"/>
  <c r="H159" i="41"/>
  <c r="I159" i="41" s="1"/>
  <c r="H158" i="41"/>
  <c r="I158" i="41" s="1"/>
  <c r="H157" i="41"/>
  <c r="I157" i="41" s="1"/>
  <c r="H156" i="41"/>
  <c r="I156" i="41" s="1"/>
  <c r="H155" i="41"/>
  <c r="I155" i="41" s="1"/>
  <c r="H154" i="41"/>
  <c r="I154" i="41" s="1"/>
  <c r="H153" i="41"/>
  <c r="I153" i="41" s="1"/>
  <c r="H152" i="41"/>
  <c r="I152" i="41" s="1"/>
  <c r="H151" i="41"/>
  <c r="I151" i="41" s="1"/>
  <c r="H150" i="41"/>
  <c r="I150" i="41" s="1"/>
  <c r="H149" i="41"/>
  <c r="I149" i="41" s="1"/>
  <c r="H148" i="41"/>
  <c r="I148" i="41" s="1"/>
  <c r="H147" i="41"/>
  <c r="I147" i="41" s="1"/>
  <c r="H146" i="41"/>
  <c r="I146" i="41" s="1"/>
  <c r="H145" i="41"/>
  <c r="I145" i="41" s="1"/>
  <c r="H144" i="41"/>
  <c r="I144" i="41" s="1"/>
  <c r="H143" i="41"/>
  <c r="I143" i="41" s="1"/>
  <c r="H142" i="41"/>
  <c r="I142" i="41" s="1"/>
  <c r="H141" i="41"/>
  <c r="I141" i="41" s="1"/>
  <c r="H140" i="41"/>
  <c r="I140" i="41" s="1"/>
  <c r="H139" i="41"/>
  <c r="I139" i="41" s="1"/>
  <c r="H138" i="41"/>
  <c r="I138" i="41" s="1"/>
  <c r="H137" i="41"/>
  <c r="I137" i="41" s="1"/>
  <c r="H136" i="41"/>
  <c r="I136" i="41" s="1"/>
  <c r="H135" i="41"/>
  <c r="I135" i="41" s="1"/>
  <c r="H134" i="41"/>
  <c r="I134" i="41" s="1"/>
  <c r="H133" i="41"/>
  <c r="I133" i="41" s="1"/>
  <c r="H132" i="41"/>
  <c r="I132" i="41" s="1"/>
  <c r="H131" i="41"/>
  <c r="I131" i="41" s="1"/>
  <c r="H130" i="41"/>
  <c r="I130" i="41" s="1"/>
  <c r="H129" i="41"/>
  <c r="I129" i="41" s="1"/>
  <c r="H128" i="41"/>
  <c r="I128" i="41" s="1"/>
  <c r="H127" i="41"/>
  <c r="I127" i="41" s="1"/>
  <c r="H126" i="41"/>
  <c r="I126" i="41" s="1"/>
  <c r="H125" i="41"/>
  <c r="I125" i="41" s="1"/>
  <c r="H124" i="41"/>
  <c r="I124" i="41" s="1"/>
  <c r="H123" i="41"/>
  <c r="I123" i="41" s="1"/>
  <c r="H122" i="41"/>
  <c r="I122" i="41" s="1"/>
  <c r="H121" i="41"/>
  <c r="I121" i="41" s="1"/>
  <c r="H120" i="41"/>
  <c r="I120" i="41" s="1"/>
  <c r="H119" i="41"/>
  <c r="I119" i="41" s="1"/>
  <c r="H118" i="41"/>
  <c r="I118" i="41" s="1"/>
  <c r="H117" i="41"/>
  <c r="I117" i="41" s="1"/>
  <c r="H116" i="41"/>
  <c r="I116" i="41" s="1"/>
  <c r="H115" i="41"/>
  <c r="I115" i="41" s="1"/>
  <c r="H114" i="41"/>
  <c r="I114" i="41" s="1"/>
  <c r="H113" i="41"/>
  <c r="I113" i="41" s="1"/>
  <c r="H112" i="41"/>
  <c r="I112" i="41" s="1"/>
  <c r="H111" i="41"/>
  <c r="I111" i="41" s="1"/>
  <c r="H110" i="41"/>
  <c r="I110" i="41" s="1"/>
  <c r="H109" i="41"/>
  <c r="I109" i="41" s="1"/>
  <c r="H108" i="41"/>
  <c r="I108" i="41" s="1"/>
  <c r="H107" i="41"/>
  <c r="I107" i="41" s="1"/>
  <c r="H106" i="41"/>
  <c r="I106" i="41" s="1"/>
  <c r="H105" i="41"/>
  <c r="I105" i="41" s="1"/>
  <c r="H104" i="41"/>
  <c r="I104" i="41" s="1"/>
  <c r="H103" i="41"/>
  <c r="I103" i="41" s="1"/>
  <c r="H102" i="41"/>
  <c r="I102" i="41" s="1"/>
  <c r="H101" i="41"/>
  <c r="I101" i="41" s="1"/>
  <c r="H100" i="41"/>
  <c r="I100" i="41" s="1"/>
  <c r="H99" i="41"/>
  <c r="I99" i="41" s="1"/>
  <c r="H98" i="41"/>
  <c r="I98" i="41" s="1"/>
  <c r="H97" i="41"/>
  <c r="I97" i="41" s="1"/>
  <c r="H96" i="41"/>
  <c r="I96" i="41" s="1"/>
  <c r="H95" i="41"/>
  <c r="I95" i="41" s="1"/>
  <c r="H94" i="41"/>
  <c r="I94" i="41" s="1"/>
  <c r="H93" i="41"/>
  <c r="I93" i="41" s="1"/>
  <c r="H92" i="41"/>
  <c r="I92" i="41" s="1"/>
  <c r="H91" i="41"/>
  <c r="I91" i="41" s="1"/>
  <c r="H90" i="41"/>
  <c r="I90" i="41" s="1"/>
  <c r="H89" i="41"/>
  <c r="I89" i="41" s="1"/>
  <c r="H88" i="41"/>
  <c r="I88" i="41" s="1"/>
  <c r="H87" i="41"/>
  <c r="I87" i="41" s="1"/>
  <c r="H86" i="41"/>
  <c r="I86" i="41" s="1"/>
  <c r="H85" i="41"/>
  <c r="I85" i="41" s="1"/>
  <c r="H84" i="41"/>
  <c r="I84" i="41" s="1"/>
  <c r="H83" i="41"/>
  <c r="I83" i="41" s="1"/>
  <c r="H82" i="41"/>
  <c r="I82" i="41" s="1"/>
  <c r="H81" i="41"/>
  <c r="I81" i="41" s="1"/>
  <c r="H80" i="41"/>
  <c r="I80" i="41" s="1"/>
  <c r="H79" i="41"/>
  <c r="I79" i="41" s="1"/>
  <c r="H78" i="41"/>
  <c r="I78" i="41" s="1"/>
  <c r="H77" i="41"/>
  <c r="I77" i="41" s="1"/>
  <c r="H76" i="41"/>
  <c r="I76" i="41" s="1"/>
  <c r="H75" i="41"/>
  <c r="I75" i="41" s="1"/>
  <c r="H74" i="41"/>
  <c r="I74" i="41" s="1"/>
  <c r="H73" i="41"/>
  <c r="I73" i="41" s="1"/>
  <c r="H72" i="41"/>
  <c r="I72" i="41" s="1"/>
  <c r="H71" i="41"/>
  <c r="I71" i="41" s="1"/>
  <c r="H70" i="41"/>
  <c r="I70" i="41" s="1"/>
  <c r="H69" i="41"/>
  <c r="I69" i="41" s="1"/>
  <c r="H68" i="41"/>
  <c r="I68" i="41" s="1"/>
  <c r="H67" i="41"/>
  <c r="I67" i="41" s="1"/>
  <c r="H66" i="41"/>
  <c r="I66" i="41" s="1"/>
  <c r="H65" i="41"/>
  <c r="I65" i="41" s="1"/>
  <c r="H64" i="41"/>
  <c r="I64" i="41" s="1"/>
  <c r="H63" i="41"/>
  <c r="I63" i="41" s="1"/>
  <c r="H62" i="41"/>
  <c r="I62" i="41" s="1"/>
  <c r="H61" i="41"/>
  <c r="I61" i="41" s="1"/>
  <c r="H60" i="41"/>
  <c r="I60" i="41" s="1"/>
  <c r="H59" i="41"/>
  <c r="I59" i="41" s="1"/>
  <c r="H58" i="41"/>
  <c r="I58" i="41" s="1"/>
  <c r="H57" i="41"/>
  <c r="I57" i="41" s="1"/>
  <c r="H56" i="41"/>
  <c r="I56" i="41" s="1"/>
  <c r="H55" i="41"/>
  <c r="I55" i="41" s="1"/>
  <c r="H54" i="41"/>
  <c r="I54" i="41" s="1"/>
  <c r="H53" i="41"/>
  <c r="I53" i="41" s="1"/>
  <c r="H52" i="41"/>
  <c r="I52" i="41" s="1"/>
  <c r="H51" i="41"/>
  <c r="I51" i="41" s="1"/>
  <c r="H50" i="41"/>
  <c r="I50" i="41" s="1"/>
  <c r="H49" i="41"/>
  <c r="I49" i="41" s="1"/>
  <c r="H48" i="41"/>
  <c r="I48" i="41" s="1"/>
  <c r="H47" i="41"/>
  <c r="I47" i="41" s="1"/>
  <c r="H46" i="41"/>
  <c r="I46" i="41" s="1"/>
  <c r="H45" i="41"/>
  <c r="I45" i="41" s="1"/>
  <c r="H44" i="41"/>
  <c r="I44" i="41" s="1"/>
  <c r="H43" i="41"/>
  <c r="I43" i="41" s="1"/>
  <c r="H42" i="41"/>
  <c r="I42" i="41" s="1"/>
  <c r="H41" i="41"/>
  <c r="I41" i="41" s="1"/>
  <c r="H40" i="41"/>
  <c r="I40" i="41" s="1"/>
  <c r="H39" i="41"/>
  <c r="I39" i="41" s="1"/>
  <c r="H38" i="41"/>
  <c r="I38" i="41" s="1"/>
  <c r="H37" i="41"/>
  <c r="I37" i="41" s="1"/>
  <c r="H36" i="41"/>
  <c r="I36" i="41" s="1"/>
  <c r="H35" i="41"/>
  <c r="I35" i="41" s="1"/>
  <c r="H34" i="41"/>
  <c r="I34" i="41" s="1"/>
  <c r="H33" i="41"/>
  <c r="I33" i="41" s="1"/>
  <c r="H32" i="41"/>
  <c r="I32" i="41" s="1"/>
  <c r="H31" i="41"/>
  <c r="I31" i="41" s="1"/>
  <c r="H30" i="41"/>
  <c r="I30" i="41" s="1"/>
  <c r="H29" i="41"/>
  <c r="I29" i="41" s="1"/>
  <c r="H28" i="41"/>
  <c r="I28" i="41" s="1"/>
  <c r="H27" i="41"/>
  <c r="I27" i="41" s="1"/>
  <c r="H26" i="41"/>
  <c r="I26" i="41" s="1"/>
  <c r="H25" i="41"/>
  <c r="I25" i="41" s="1"/>
  <c r="H24" i="41"/>
  <c r="I24" i="41" s="1"/>
  <c r="H23" i="41"/>
  <c r="I23" i="41" s="1"/>
  <c r="H22" i="41"/>
  <c r="I22" i="41" s="1"/>
  <c r="H21" i="41"/>
  <c r="I21" i="41" s="1"/>
  <c r="H20" i="41"/>
  <c r="I20" i="41" s="1"/>
  <c r="H19" i="41"/>
  <c r="I19" i="41" s="1"/>
  <c r="H18" i="41"/>
  <c r="I18" i="41" s="1"/>
  <c r="H17" i="41"/>
  <c r="I17" i="41" s="1"/>
  <c r="H16" i="41"/>
  <c r="I16" i="41" s="1"/>
  <c r="H15" i="41"/>
  <c r="I15" i="41" s="1"/>
  <c r="H14" i="41"/>
  <c r="I14" i="41" s="1"/>
  <c r="H13" i="41"/>
  <c r="I13" i="41" s="1"/>
  <c r="H12" i="41"/>
  <c r="I12" i="41" s="1"/>
  <c r="H11" i="41"/>
  <c r="I11" i="41" s="1"/>
  <c r="H10" i="41"/>
  <c r="I10" i="41" s="1"/>
  <c r="H9" i="41"/>
  <c r="I9" i="41" s="1"/>
  <c r="H8" i="41"/>
  <c r="I8" i="41" s="1"/>
  <c r="H7" i="41"/>
  <c r="I7" i="41" s="1"/>
  <c r="H6" i="41"/>
  <c r="I6" i="41" s="1"/>
  <c r="H5" i="41"/>
  <c r="I5" i="41" s="1"/>
  <c r="H4" i="41"/>
  <c r="I4" i="41" s="1"/>
  <c r="H3" i="41"/>
  <c r="I3" i="41" s="1"/>
  <c r="H2" i="41"/>
  <c r="H338" i="41" l="1"/>
  <c r="I2" i="41"/>
  <c r="I338" i="41" s="1"/>
  <c r="G360" i="39"/>
  <c r="F360" i="39"/>
  <c r="G357" i="39"/>
  <c r="F357" i="39"/>
  <c r="G356" i="39"/>
  <c r="F356" i="39"/>
  <c r="H356" i="39" s="1"/>
  <c r="I356" i="39" s="1"/>
  <c r="G355" i="39"/>
  <c r="F355" i="39"/>
  <c r="G354" i="39"/>
  <c r="F354" i="39"/>
  <c r="G353" i="39"/>
  <c r="F353" i="39"/>
  <c r="G352" i="39"/>
  <c r="F352" i="39"/>
  <c r="H352" i="39" s="1"/>
  <c r="I352" i="39" s="1"/>
  <c r="G351" i="39"/>
  <c r="F351" i="39"/>
  <c r="G350" i="39"/>
  <c r="F350" i="39"/>
  <c r="H350" i="39" s="1"/>
  <c r="I350" i="39" s="1"/>
  <c r="G349" i="39"/>
  <c r="F349" i="39"/>
  <c r="G348" i="39"/>
  <c r="F348" i="39"/>
  <c r="H348" i="39" s="1"/>
  <c r="I348" i="39" s="1"/>
  <c r="G347" i="39"/>
  <c r="F347" i="39"/>
  <c r="G346" i="39"/>
  <c r="F346" i="39"/>
  <c r="G345" i="39"/>
  <c r="F345" i="39"/>
  <c r="G344" i="39"/>
  <c r="F344" i="39"/>
  <c r="G343" i="39"/>
  <c r="F343" i="39"/>
  <c r="G342" i="39"/>
  <c r="F342" i="39"/>
  <c r="G341" i="39"/>
  <c r="F341" i="39"/>
  <c r="G340" i="39"/>
  <c r="F340" i="39"/>
  <c r="G339" i="39"/>
  <c r="F339" i="39"/>
  <c r="G338" i="39"/>
  <c r="F338" i="39"/>
  <c r="G337" i="39"/>
  <c r="F337" i="39"/>
  <c r="G336" i="39"/>
  <c r="F336" i="39"/>
  <c r="G335" i="39"/>
  <c r="F335" i="39"/>
  <c r="G334" i="39"/>
  <c r="F334" i="39"/>
  <c r="G333" i="39"/>
  <c r="F333" i="39"/>
  <c r="G332" i="39"/>
  <c r="F332" i="39"/>
  <c r="G331" i="39"/>
  <c r="F331" i="39"/>
  <c r="G330" i="39"/>
  <c r="F330" i="39"/>
  <c r="G329" i="39"/>
  <c r="F329" i="39"/>
  <c r="G328" i="39"/>
  <c r="F328" i="39"/>
  <c r="H328" i="39" s="1"/>
  <c r="I328" i="39" s="1"/>
  <c r="G327" i="39"/>
  <c r="F327" i="39"/>
  <c r="G326" i="39"/>
  <c r="F326" i="39"/>
  <c r="G325" i="39"/>
  <c r="F325" i="39"/>
  <c r="G324" i="39"/>
  <c r="F324" i="39"/>
  <c r="H324" i="39" s="1"/>
  <c r="I324" i="39" s="1"/>
  <c r="G323" i="39"/>
  <c r="F323" i="39"/>
  <c r="G322" i="39"/>
  <c r="F322" i="39"/>
  <c r="G321" i="39"/>
  <c r="F321" i="39"/>
  <c r="G320" i="39"/>
  <c r="F320" i="39"/>
  <c r="H320" i="39" s="1"/>
  <c r="I320" i="39" s="1"/>
  <c r="G319" i="39"/>
  <c r="F319" i="39"/>
  <c r="G318" i="39"/>
  <c r="F318" i="39"/>
  <c r="G317" i="39"/>
  <c r="F317" i="39"/>
  <c r="G316" i="39"/>
  <c r="F316" i="39"/>
  <c r="H316" i="39" s="1"/>
  <c r="I316" i="39" s="1"/>
  <c r="G315" i="39"/>
  <c r="F315" i="39"/>
  <c r="G314" i="39"/>
  <c r="F314" i="39"/>
  <c r="G313" i="39"/>
  <c r="F313" i="39"/>
  <c r="G312" i="39"/>
  <c r="F312" i="39"/>
  <c r="H312" i="39" s="1"/>
  <c r="I312" i="39" s="1"/>
  <c r="G311" i="39"/>
  <c r="F311" i="39"/>
  <c r="G310" i="39"/>
  <c r="F310" i="39"/>
  <c r="G309" i="39"/>
  <c r="F309" i="39"/>
  <c r="G308" i="39"/>
  <c r="F308" i="39"/>
  <c r="H308" i="39" s="1"/>
  <c r="I308" i="39" s="1"/>
  <c r="G307" i="39"/>
  <c r="F307" i="39"/>
  <c r="G306" i="39"/>
  <c r="F306" i="39"/>
  <c r="G305" i="39"/>
  <c r="F305" i="39"/>
  <c r="G304" i="39"/>
  <c r="F304" i="39"/>
  <c r="H304" i="39" s="1"/>
  <c r="I304" i="39" s="1"/>
  <c r="G303" i="39"/>
  <c r="F303" i="39"/>
  <c r="G302" i="39"/>
  <c r="F302" i="39"/>
  <c r="G301" i="39"/>
  <c r="F301" i="39"/>
  <c r="G300" i="39"/>
  <c r="F300" i="39"/>
  <c r="H300" i="39" s="1"/>
  <c r="I300" i="39" s="1"/>
  <c r="G299" i="39"/>
  <c r="F299" i="39"/>
  <c r="G298" i="39"/>
  <c r="F298" i="39"/>
  <c r="G297" i="39"/>
  <c r="F297" i="39"/>
  <c r="G296" i="39"/>
  <c r="F296" i="39"/>
  <c r="H296" i="39" s="1"/>
  <c r="I296" i="39" s="1"/>
  <c r="G295" i="39"/>
  <c r="F295" i="39"/>
  <c r="G294" i="39"/>
  <c r="F294" i="39"/>
  <c r="G293" i="39"/>
  <c r="F293" i="39"/>
  <c r="G292" i="39"/>
  <c r="F292" i="39"/>
  <c r="H292" i="39" s="1"/>
  <c r="I292" i="39" s="1"/>
  <c r="G291" i="39"/>
  <c r="F291" i="39"/>
  <c r="G290" i="39"/>
  <c r="F290" i="39"/>
  <c r="G289" i="39"/>
  <c r="F289" i="39"/>
  <c r="G288" i="39"/>
  <c r="F288" i="39"/>
  <c r="H288" i="39" s="1"/>
  <c r="I288" i="39" s="1"/>
  <c r="G287" i="39"/>
  <c r="F287" i="39"/>
  <c r="G286" i="39"/>
  <c r="F286" i="39"/>
  <c r="G285" i="39"/>
  <c r="F285" i="39"/>
  <c r="G284" i="39"/>
  <c r="F284" i="39"/>
  <c r="H284" i="39" s="1"/>
  <c r="I284" i="39" s="1"/>
  <c r="G283" i="39"/>
  <c r="F283" i="39"/>
  <c r="G282" i="39"/>
  <c r="F282" i="39"/>
  <c r="G281" i="39"/>
  <c r="F281" i="39"/>
  <c r="G280" i="39"/>
  <c r="F280" i="39"/>
  <c r="H280" i="39" s="1"/>
  <c r="I280" i="39" s="1"/>
  <c r="G279" i="39"/>
  <c r="F279" i="39"/>
  <c r="G278" i="39"/>
  <c r="F278" i="39"/>
  <c r="G277" i="39"/>
  <c r="F277" i="39"/>
  <c r="G276" i="39"/>
  <c r="F276" i="39"/>
  <c r="H276" i="39" s="1"/>
  <c r="I276" i="39" s="1"/>
  <c r="G275" i="39"/>
  <c r="F275" i="39"/>
  <c r="G274" i="39"/>
  <c r="F274" i="39"/>
  <c r="G273" i="39"/>
  <c r="F273" i="39"/>
  <c r="G272" i="39"/>
  <c r="F272" i="39"/>
  <c r="H272" i="39" s="1"/>
  <c r="I272" i="39" s="1"/>
  <c r="G271" i="39"/>
  <c r="F271" i="39"/>
  <c r="G270" i="39"/>
  <c r="F270" i="39"/>
  <c r="G269" i="39"/>
  <c r="F269" i="39"/>
  <c r="G268" i="39"/>
  <c r="F268" i="39"/>
  <c r="H268" i="39" s="1"/>
  <c r="I268" i="39" s="1"/>
  <c r="G267" i="39"/>
  <c r="F267" i="39"/>
  <c r="G266" i="39"/>
  <c r="F266" i="39"/>
  <c r="H266" i="39" s="1"/>
  <c r="I266" i="39" s="1"/>
  <c r="G265" i="39"/>
  <c r="F265" i="39"/>
  <c r="G264" i="39"/>
  <c r="F264" i="39"/>
  <c r="H264" i="39" s="1"/>
  <c r="I264" i="39" s="1"/>
  <c r="G263" i="39"/>
  <c r="F263" i="39"/>
  <c r="G262" i="39"/>
  <c r="F262" i="39"/>
  <c r="G261" i="39"/>
  <c r="F261" i="39"/>
  <c r="G260" i="39"/>
  <c r="F260" i="39"/>
  <c r="H260" i="39" s="1"/>
  <c r="I260" i="39" s="1"/>
  <c r="G259" i="39"/>
  <c r="F259" i="39"/>
  <c r="G258" i="39"/>
  <c r="F258" i="39"/>
  <c r="G257" i="39"/>
  <c r="F257" i="39"/>
  <c r="G256" i="39"/>
  <c r="F256" i="39"/>
  <c r="H256" i="39" s="1"/>
  <c r="I256" i="39" s="1"/>
  <c r="G255" i="39"/>
  <c r="F255" i="39"/>
  <c r="G254" i="39"/>
  <c r="F254" i="39"/>
  <c r="G253" i="39"/>
  <c r="F253" i="39"/>
  <c r="G252" i="39"/>
  <c r="F252" i="39"/>
  <c r="G251" i="39"/>
  <c r="F251" i="39"/>
  <c r="G250" i="39"/>
  <c r="F250" i="39"/>
  <c r="G249" i="39"/>
  <c r="F249" i="39"/>
  <c r="G248" i="39"/>
  <c r="F248" i="39"/>
  <c r="G247" i="39"/>
  <c r="F247" i="39"/>
  <c r="G246" i="39"/>
  <c r="F246" i="39"/>
  <c r="G245" i="39"/>
  <c r="F245" i="39"/>
  <c r="G244" i="39"/>
  <c r="F244" i="39"/>
  <c r="G243" i="39"/>
  <c r="F243" i="39"/>
  <c r="G242" i="39"/>
  <c r="F242" i="39"/>
  <c r="G241" i="39"/>
  <c r="F241" i="39"/>
  <c r="G240" i="39"/>
  <c r="F240" i="39"/>
  <c r="G239" i="39"/>
  <c r="F239" i="39"/>
  <c r="G238" i="39"/>
  <c r="F238" i="39"/>
  <c r="G237" i="39"/>
  <c r="F237" i="39"/>
  <c r="G236" i="39"/>
  <c r="F236" i="39"/>
  <c r="G235" i="39"/>
  <c r="F235" i="39"/>
  <c r="G234" i="39"/>
  <c r="F234" i="39"/>
  <c r="G233" i="39"/>
  <c r="F233" i="39"/>
  <c r="G232" i="39"/>
  <c r="F232" i="39"/>
  <c r="H232" i="39" s="1"/>
  <c r="I232" i="39" s="1"/>
  <c r="G231" i="39"/>
  <c r="F231" i="39"/>
  <c r="G230" i="39"/>
  <c r="F230" i="39"/>
  <c r="G229" i="39"/>
  <c r="F229" i="39"/>
  <c r="G228" i="39"/>
  <c r="F228" i="39"/>
  <c r="H228" i="39" s="1"/>
  <c r="I228" i="39" s="1"/>
  <c r="G227" i="39"/>
  <c r="F227" i="39"/>
  <c r="G226" i="39"/>
  <c r="F226" i="39"/>
  <c r="G225" i="39"/>
  <c r="F225" i="39"/>
  <c r="G224" i="39"/>
  <c r="F224" i="39"/>
  <c r="H224" i="39" s="1"/>
  <c r="I224" i="39" s="1"/>
  <c r="G223" i="39"/>
  <c r="F223" i="39"/>
  <c r="G222" i="39"/>
  <c r="F222" i="39"/>
  <c r="G221" i="39"/>
  <c r="F221" i="39"/>
  <c r="G220" i="39"/>
  <c r="F220" i="39"/>
  <c r="H220" i="39" s="1"/>
  <c r="I220" i="39" s="1"/>
  <c r="G219" i="39"/>
  <c r="F219" i="39"/>
  <c r="G218" i="39"/>
  <c r="F218" i="39"/>
  <c r="G217" i="39"/>
  <c r="F217" i="39"/>
  <c r="G216" i="39"/>
  <c r="F216" i="39"/>
  <c r="H216" i="39" s="1"/>
  <c r="I216" i="39" s="1"/>
  <c r="G215" i="39"/>
  <c r="F215" i="39"/>
  <c r="G214" i="39"/>
  <c r="F214" i="39"/>
  <c r="G213" i="39"/>
  <c r="F213" i="39"/>
  <c r="G212" i="39"/>
  <c r="F212" i="39"/>
  <c r="H212" i="39" s="1"/>
  <c r="I212" i="39" s="1"/>
  <c r="G211" i="39"/>
  <c r="F211" i="39"/>
  <c r="G210" i="39"/>
  <c r="F210" i="39"/>
  <c r="G209" i="39"/>
  <c r="F209" i="39"/>
  <c r="G208" i="39"/>
  <c r="F208" i="39"/>
  <c r="H208" i="39" s="1"/>
  <c r="I208" i="39" s="1"/>
  <c r="G207" i="39"/>
  <c r="F207" i="39"/>
  <c r="G206" i="39"/>
  <c r="F206" i="39"/>
  <c r="G205" i="39"/>
  <c r="F205" i="39"/>
  <c r="G204" i="39"/>
  <c r="F204" i="39"/>
  <c r="H204" i="39" s="1"/>
  <c r="I204" i="39" s="1"/>
  <c r="G203" i="39"/>
  <c r="F203" i="39"/>
  <c r="G202" i="39"/>
  <c r="F202" i="39"/>
  <c r="G201" i="39"/>
  <c r="F201" i="39"/>
  <c r="G200" i="39"/>
  <c r="F200" i="39"/>
  <c r="H200" i="39" s="1"/>
  <c r="I200" i="39" s="1"/>
  <c r="G199" i="39"/>
  <c r="F199" i="39"/>
  <c r="G198" i="39"/>
  <c r="F198" i="39"/>
  <c r="G197" i="39"/>
  <c r="F197" i="39"/>
  <c r="G196" i="39"/>
  <c r="F196" i="39"/>
  <c r="H196" i="39" s="1"/>
  <c r="I196" i="39" s="1"/>
  <c r="G195" i="39"/>
  <c r="F195" i="39"/>
  <c r="G194" i="39"/>
  <c r="F194" i="39"/>
  <c r="G193" i="39"/>
  <c r="F193" i="39"/>
  <c r="G192" i="39"/>
  <c r="F192" i="39"/>
  <c r="H192" i="39" s="1"/>
  <c r="I192" i="39" s="1"/>
  <c r="G191" i="39"/>
  <c r="F191" i="39"/>
  <c r="G190" i="39"/>
  <c r="F190" i="39"/>
  <c r="G189" i="39"/>
  <c r="F189" i="39"/>
  <c r="G188" i="39"/>
  <c r="F188" i="39"/>
  <c r="G187" i="39"/>
  <c r="F187" i="39"/>
  <c r="G186" i="39"/>
  <c r="F186" i="39"/>
  <c r="G185" i="39"/>
  <c r="F185" i="39"/>
  <c r="G184" i="39"/>
  <c r="F184" i="39"/>
  <c r="G183" i="39"/>
  <c r="F183" i="39"/>
  <c r="G182" i="39"/>
  <c r="F182" i="39"/>
  <c r="G181" i="39"/>
  <c r="F181" i="39"/>
  <c r="G180" i="39"/>
  <c r="F180" i="39"/>
  <c r="G179" i="39"/>
  <c r="F179" i="39"/>
  <c r="G178" i="39"/>
  <c r="F178" i="39"/>
  <c r="G177" i="39"/>
  <c r="F177" i="39"/>
  <c r="G176" i="39"/>
  <c r="F176" i="39"/>
  <c r="G175" i="39"/>
  <c r="F175" i="39"/>
  <c r="G174" i="39"/>
  <c r="F174" i="39"/>
  <c r="G173" i="39"/>
  <c r="H173" i="39" s="1"/>
  <c r="I173" i="39" s="1"/>
  <c r="F173" i="39"/>
  <c r="G172" i="39"/>
  <c r="F172" i="39"/>
  <c r="G171" i="39"/>
  <c r="F171" i="39"/>
  <c r="G170" i="39"/>
  <c r="F170" i="39"/>
  <c r="G169" i="39"/>
  <c r="F169" i="39"/>
  <c r="G168" i="39"/>
  <c r="F168" i="39"/>
  <c r="G167" i="39"/>
  <c r="F167" i="39"/>
  <c r="G166" i="39"/>
  <c r="F166" i="39"/>
  <c r="G165" i="39"/>
  <c r="F165" i="39"/>
  <c r="G164" i="39"/>
  <c r="F164" i="39"/>
  <c r="G163" i="39"/>
  <c r="F163" i="39"/>
  <c r="G162" i="39"/>
  <c r="F162" i="39"/>
  <c r="G161" i="39"/>
  <c r="F161" i="39"/>
  <c r="G160" i="39"/>
  <c r="F160" i="39"/>
  <c r="G159" i="39"/>
  <c r="F159" i="39"/>
  <c r="G158" i="39"/>
  <c r="F158" i="39"/>
  <c r="G157" i="39"/>
  <c r="F157" i="39"/>
  <c r="G156" i="39"/>
  <c r="F156" i="39"/>
  <c r="G155" i="39"/>
  <c r="F155" i="39"/>
  <c r="G154" i="39"/>
  <c r="F154" i="39"/>
  <c r="G153" i="39"/>
  <c r="F153" i="39"/>
  <c r="G152" i="39"/>
  <c r="F152" i="39"/>
  <c r="G151" i="39"/>
  <c r="F151" i="39"/>
  <c r="G150" i="39"/>
  <c r="F150" i="39"/>
  <c r="G149" i="39"/>
  <c r="F149" i="39"/>
  <c r="G148" i="39"/>
  <c r="F148" i="39"/>
  <c r="G147" i="39"/>
  <c r="F147" i="39"/>
  <c r="G146" i="39"/>
  <c r="F146" i="39"/>
  <c r="G145" i="39"/>
  <c r="F145" i="39"/>
  <c r="G144" i="39"/>
  <c r="F144" i="39"/>
  <c r="G143" i="39"/>
  <c r="F143" i="39"/>
  <c r="G142" i="39"/>
  <c r="F142" i="39"/>
  <c r="G141" i="39"/>
  <c r="F141" i="39"/>
  <c r="G140" i="39"/>
  <c r="F140" i="39"/>
  <c r="H140" i="39" s="1"/>
  <c r="I140" i="39" s="1"/>
  <c r="G139" i="39"/>
  <c r="F139" i="39"/>
  <c r="G138" i="39"/>
  <c r="F138" i="39"/>
  <c r="G137" i="39"/>
  <c r="F137" i="39"/>
  <c r="G136" i="39"/>
  <c r="F136" i="39"/>
  <c r="H136" i="39" s="1"/>
  <c r="I136" i="39" s="1"/>
  <c r="G135" i="39"/>
  <c r="F135" i="39"/>
  <c r="G134" i="39"/>
  <c r="F134" i="39"/>
  <c r="G133" i="39"/>
  <c r="F133" i="39"/>
  <c r="G132" i="39"/>
  <c r="F132" i="39"/>
  <c r="H132" i="39" s="1"/>
  <c r="I132" i="39" s="1"/>
  <c r="G131" i="39"/>
  <c r="F131" i="39"/>
  <c r="G130" i="39"/>
  <c r="F130" i="39"/>
  <c r="G129" i="39"/>
  <c r="F129" i="39"/>
  <c r="G128" i="39"/>
  <c r="F128" i="39"/>
  <c r="H128" i="39" s="1"/>
  <c r="I128" i="39" s="1"/>
  <c r="G127" i="39"/>
  <c r="F127" i="39"/>
  <c r="G126" i="39"/>
  <c r="F126" i="39"/>
  <c r="G125" i="39"/>
  <c r="F125" i="39"/>
  <c r="G124" i="39"/>
  <c r="F124" i="39"/>
  <c r="H124" i="39" s="1"/>
  <c r="I124" i="39" s="1"/>
  <c r="G123" i="39"/>
  <c r="F123" i="39"/>
  <c r="G122" i="39"/>
  <c r="F122" i="39"/>
  <c r="G121" i="39"/>
  <c r="F121" i="39"/>
  <c r="G120" i="39"/>
  <c r="F120" i="39"/>
  <c r="H120" i="39" s="1"/>
  <c r="I120" i="39" s="1"/>
  <c r="G119" i="39"/>
  <c r="F119" i="39"/>
  <c r="G118" i="39"/>
  <c r="F118" i="39"/>
  <c r="G117" i="39"/>
  <c r="F117" i="39"/>
  <c r="G116" i="39"/>
  <c r="F116" i="39"/>
  <c r="H116" i="39" s="1"/>
  <c r="I116" i="39" s="1"/>
  <c r="G115" i="39"/>
  <c r="F115" i="39"/>
  <c r="G114" i="39"/>
  <c r="F114" i="39"/>
  <c r="G113" i="39"/>
  <c r="F113" i="39"/>
  <c r="G112" i="39"/>
  <c r="F112" i="39"/>
  <c r="H112" i="39" s="1"/>
  <c r="I112" i="39" s="1"/>
  <c r="G111" i="39"/>
  <c r="F111" i="39"/>
  <c r="G110" i="39"/>
  <c r="F110" i="39"/>
  <c r="G109" i="39"/>
  <c r="F109" i="39"/>
  <c r="G108" i="39"/>
  <c r="F108" i="39"/>
  <c r="H108" i="39" s="1"/>
  <c r="I108" i="39" s="1"/>
  <c r="G107" i="39"/>
  <c r="F107" i="39"/>
  <c r="G106" i="39"/>
  <c r="F106" i="39"/>
  <c r="G105" i="39"/>
  <c r="F105" i="39"/>
  <c r="G104" i="39"/>
  <c r="F104" i="39"/>
  <c r="H104" i="39" s="1"/>
  <c r="I104" i="39" s="1"/>
  <c r="G103" i="39"/>
  <c r="F103" i="39"/>
  <c r="G102" i="39"/>
  <c r="F102" i="39"/>
  <c r="G101" i="39"/>
  <c r="F101" i="39"/>
  <c r="G100" i="39"/>
  <c r="F100" i="39"/>
  <c r="H100" i="39" s="1"/>
  <c r="I100" i="39" s="1"/>
  <c r="G99" i="39"/>
  <c r="F99" i="39"/>
  <c r="G98" i="39"/>
  <c r="F98" i="39"/>
  <c r="G97" i="39"/>
  <c r="F97" i="39"/>
  <c r="G96" i="39"/>
  <c r="F96" i="39"/>
  <c r="H96" i="39" s="1"/>
  <c r="I96" i="39" s="1"/>
  <c r="G95" i="39"/>
  <c r="F95" i="39"/>
  <c r="G94" i="39"/>
  <c r="F94" i="39"/>
  <c r="G93" i="39"/>
  <c r="F93" i="39"/>
  <c r="G92" i="39"/>
  <c r="F92" i="39"/>
  <c r="H92" i="39" s="1"/>
  <c r="I92" i="39" s="1"/>
  <c r="G91" i="39"/>
  <c r="F91" i="39"/>
  <c r="G90" i="39"/>
  <c r="F90" i="39"/>
  <c r="G89" i="39"/>
  <c r="F89" i="39"/>
  <c r="G88" i="39"/>
  <c r="F88" i="39"/>
  <c r="H88" i="39" s="1"/>
  <c r="I88" i="39" s="1"/>
  <c r="G87" i="39"/>
  <c r="F87" i="39"/>
  <c r="G86" i="39"/>
  <c r="F86" i="39"/>
  <c r="G85" i="39"/>
  <c r="F85" i="39"/>
  <c r="G84" i="39"/>
  <c r="F84" i="39"/>
  <c r="H84" i="39" s="1"/>
  <c r="I84" i="39" s="1"/>
  <c r="G83" i="39"/>
  <c r="F83" i="39"/>
  <c r="G82" i="39"/>
  <c r="F82" i="39"/>
  <c r="G81" i="39"/>
  <c r="F81" i="39"/>
  <c r="G80" i="39"/>
  <c r="F80" i="39"/>
  <c r="H80" i="39" s="1"/>
  <c r="I80" i="39" s="1"/>
  <c r="G79" i="39"/>
  <c r="F79" i="39"/>
  <c r="G78" i="39"/>
  <c r="F78" i="39"/>
  <c r="G77" i="39"/>
  <c r="F77" i="39"/>
  <c r="G76" i="39"/>
  <c r="F76" i="39"/>
  <c r="G75" i="39"/>
  <c r="F75" i="39"/>
  <c r="G74" i="39"/>
  <c r="F74" i="39"/>
  <c r="G73" i="39"/>
  <c r="F73" i="39"/>
  <c r="G72" i="39"/>
  <c r="F72" i="39"/>
  <c r="G71" i="39"/>
  <c r="F71" i="39"/>
  <c r="G70" i="39"/>
  <c r="F70" i="39"/>
  <c r="G69" i="39"/>
  <c r="F69" i="39"/>
  <c r="G68" i="39"/>
  <c r="F68" i="39"/>
  <c r="G67" i="39"/>
  <c r="F67" i="39"/>
  <c r="G66" i="39"/>
  <c r="F66" i="39"/>
  <c r="G65" i="39"/>
  <c r="F65" i="39"/>
  <c r="G64" i="39"/>
  <c r="F64" i="39"/>
  <c r="G63" i="39"/>
  <c r="F63" i="39"/>
  <c r="G62" i="39"/>
  <c r="F62" i="39"/>
  <c r="G61" i="39"/>
  <c r="F61" i="39"/>
  <c r="G60" i="39"/>
  <c r="F60" i="39"/>
  <c r="G59" i="39"/>
  <c r="F59" i="39"/>
  <c r="G58" i="39"/>
  <c r="F58" i="39"/>
  <c r="G57" i="39"/>
  <c r="F57" i="39"/>
  <c r="G56" i="39"/>
  <c r="F56" i="39"/>
  <c r="G55" i="39"/>
  <c r="F55" i="39"/>
  <c r="G54" i="39"/>
  <c r="F54" i="39"/>
  <c r="G53" i="39"/>
  <c r="F53" i="39"/>
  <c r="G52" i="39"/>
  <c r="F52" i="39"/>
  <c r="H52" i="39" s="1"/>
  <c r="I52" i="39" s="1"/>
  <c r="G51" i="39"/>
  <c r="F51" i="39"/>
  <c r="G50" i="39"/>
  <c r="F50" i="39"/>
  <c r="G49" i="39"/>
  <c r="F49" i="39"/>
  <c r="G48" i="39"/>
  <c r="F48" i="39"/>
  <c r="H48" i="39" s="1"/>
  <c r="I48" i="39" s="1"/>
  <c r="G47" i="39"/>
  <c r="F47" i="39"/>
  <c r="G46" i="39"/>
  <c r="F46" i="39"/>
  <c r="G45" i="39"/>
  <c r="F45" i="39"/>
  <c r="G44" i="39"/>
  <c r="F44" i="39"/>
  <c r="H44" i="39" s="1"/>
  <c r="I44" i="39" s="1"/>
  <c r="G43" i="39"/>
  <c r="F43" i="39"/>
  <c r="G42" i="39"/>
  <c r="F42" i="39"/>
  <c r="G41" i="39"/>
  <c r="F41" i="39"/>
  <c r="G40" i="39"/>
  <c r="F40" i="39"/>
  <c r="H40" i="39" s="1"/>
  <c r="I40" i="39" s="1"/>
  <c r="G39" i="39"/>
  <c r="F39" i="39"/>
  <c r="G38" i="39"/>
  <c r="F38" i="39"/>
  <c r="G37" i="39"/>
  <c r="F37" i="39"/>
  <c r="G36" i="39"/>
  <c r="F36" i="39"/>
  <c r="H36" i="39" s="1"/>
  <c r="I36" i="39" s="1"/>
  <c r="G35" i="39"/>
  <c r="F35" i="39"/>
  <c r="G34" i="39"/>
  <c r="F34" i="39"/>
  <c r="G33" i="39"/>
  <c r="F33" i="39"/>
  <c r="G32" i="39"/>
  <c r="F32" i="39"/>
  <c r="H32" i="39" s="1"/>
  <c r="I32" i="39" s="1"/>
  <c r="G31" i="39"/>
  <c r="F31" i="39"/>
  <c r="G30" i="39"/>
  <c r="F30" i="39"/>
  <c r="G29" i="39"/>
  <c r="F29" i="39"/>
  <c r="G28" i="39"/>
  <c r="F28" i="39"/>
  <c r="H28" i="39" s="1"/>
  <c r="I28" i="39" s="1"/>
  <c r="G27" i="39"/>
  <c r="F27" i="39"/>
  <c r="G26" i="39"/>
  <c r="F26" i="39"/>
  <c r="G25" i="39"/>
  <c r="F25" i="39"/>
  <c r="G24" i="39"/>
  <c r="F24" i="39"/>
  <c r="H24" i="39" s="1"/>
  <c r="I24" i="39" s="1"/>
  <c r="G23" i="39"/>
  <c r="F23" i="39"/>
  <c r="G22" i="39"/>
  <c r="F22" i="39"/>
  <c r="G21" i="39"/>
  <c r="F21" i="39"/>
  <c r="G20" i="39"/>
  <c r="F20" i="39"/>
  <c r="H20" i="39" s="1"/>
  <c r="I20" i="39" s="1"/>
  <c r="G19" i="39"/>
  <c r="F19" i="39"/>
  <c r="G18" i="39"/>
  <c r="F18" i="39"/>
  <c r="G17" i="39"/>
  <c r="F17" i="39"/>
  <c r="G16" i="39"/>
  <c r="F16" i="39"/>
  <c r="H16" i="39" s="1"/>
  <c r="I16" i="39" s="1"/>
  <c r="G15" i="39"/>
  <c r="F15" i="39"/>
  <c r="G14" i="39"/>
  <c r="F14" i="39"/>
  <c r="G13" i="39"/>
  <c r="F13" i="39"/>
  <c r="G12" i="39"/>
  <c r="F12" i="39"/>
  <c r="H12" i="39" s="1"/>
  <c r="I12" i="39" s="1"/>
  <c r="G11" i="39"/>
  <c r="F11" i="39"/>
  <c r="G10" i="39"/>
  <c r="F10" i="39"/>
  <c r="G9" i="39"/>
  <c r="F9" i="39"/>
  <c r="G8" i="39"/>
  <c r="F8" i="39"/>
  <c r="H8" i="39" s="1"/>
  <c r="I8" i="39" s="1"/>
  <c r="G7" i="39"/>
  <c r="F7" i="39"/>
  <c r="G6" i="39"/>
  <c r="F6" i="39"/>
  <c r="G5" i="39"/>
  <c r="F5" i="39"/>
  <c r="G4" i="39"/>
  <c r="F4" i="39"/>
  <c r="H4" i="39" s="1"/>
  <c r="I4" i="39" s="1"/>
  <c r="G3" i="39"/>
  <c r="F3" i="39"/>
  <c r="C358" i="39"/>
  <c r="H351" i="39"/>
  <c r="I351" i="39" s="1"/>
  <c r="E344" i="39"/>
  <c r="H343" i="39"/>
  <c r="I343" i="39" s="1"/>
  <c r="H331" i="39"/>
  <c r="I331" i="39" s="1"/>
  <c r="E267" i="39"/>
  <c r="H259" i="39"/>
  <c r="I259" i="39" s="1"/>
  <c r="H258" i="39"/>
  <c r="I258" i="39" s="1"/>
  <c r="H247" i="39"/>
  <c r="I247" i="39" s="1"/>
  <c r="D233" i="39"/>
  <c r="H179" i="39"/>
  <c r="I179" i="39" s="1"/>
  <c r="H163" i="39"/>
  <c r="I163" i="39" s="1"/>
  <c r="H147" i="39"/>
  <c r="I147" i="39" s="1"/>
  <c r="E142" i="39"/>
  <c r="D97" i="39"/>
  <c r="H91" i="39"/>
  <c r="I91" i="39" s="1"/>
  <c r="H90" i="39"/>
  <c r="I90" i="39" s="1"/>
  <c r="H89" i="39"/>
  <c r="I89" i="39" s="1"/>
  <c r="H83" i="39"/>
  <c r="I83" i="39" s="1"/>
  <c r="H71" i="39"/>
  <c r="I71" i="39" s="1"/>
  <c r="H77" i="39" l="1"/>
  <c r="I77" i="39" s="1"/>
  <c r="H249" i="39"/>
  <c r="I249" i="39" s="1"/>
  <c r="H353" i="39"/>
  <c r="I353" i="39" s="1"/>
  <c r="H82" i="39"/>
  <c r="I82" i="39" s="1"/>
  <c r="H57" i="39"/>
  <c r="I57" i="39" s="1"/>
  <c r="H61" i="39"/>
  <c r="I61" i="39" s="1"/>
  <c r="H65" i="39"/>
  <c r="I65" i="39" s="1"/>
  <c r="H69" i="39"/>
  <c r="I69" i="39" s="1"/>
  <c r="H73" i="39"/>
  <c r="I73" i="39" s="1"/>
  <c r="H81" i="39"/>
  <c r="I81" i="39" s="1"/>
  <c r="H85" i="39"/>
  <c r="I85" i="39" s="1"/>
  <c r="H93" i="39"/>
  <c r="I93" i="39" s="1"/>
  <c r="H101" i="39"/>
  <c r="I101" i="39" s="1"/>
  <c r="H105" i="39"/>
  <c r="I105" i="39" s="1"/>
  <c r="H109" i="39"/>
  <c r="I109" i="39" s="1"/>
  <c r="H113" i="39"/>
  <c r="I113" i="39" s="1"/>
  <c r="H117" i="39"/>
  <c r="I117" i="39" s="1"/>
  <c r="H121" i="39"/>
  <c r="I121" i="39" s="1"/>
  <c r="H125" i="39"/>
  <c r="I125" i="39" s="1"/>
  <c r="H129" i="39"/>
  <c r="I129" i="39" s="1"/>
  <c r="H133" i="39"/>
  <c r="I133" i="39" s="1"/>
  <c r="H137" i="39"/>
  <c r="I137" i="39" s="1"/>
  <c r="H141" i="39"/>
  <c r="I141" i="39" s="1"/>
  <c r="H145" i="39"/>
  <c r="I145" i="39" s="1"/>
  <c r="H149" i="39"/>
  <c r="I149" i="39" s="1"/>
  <c r="H153" i="39"/>
  <c r="I153" i="39" s="1"/>
  <c r="H157" i="39"/>
  <c r="I157" i="39" s="1"/>
  <c r="H161" i="39"/>
  <c r="I161" i="39" s="1"/>
  <c r="H165" i="39"/>
  <c r="I165" i="39" s="1"/>
  <c r="H169" i="39"/>
  <c r="I169" i="39" s="1"/>
  <c r="H177" i="39"/>
  <c r="I177" i="39" s="1"/>
  <c r="H181" i="39"/>
  <c r="I181" i="39" s="1"/>
  <c r="H185" i="39"/>
  <c r="I185" i="39" s="1"/>
  <c r="H189" i="39"/>
  <c r="I189" i="39" s="1"/>
  <c r="H193" i="39"/>
  <c r="I193" i="39" s="1"/>
  <c r="H197" i="39"/>
  <c r="I197" i="39" s="1"/>
  <c r="H201" i="39"/>
  <c r="I201" i="39" s="1"/>
  <c r="H205" i="39"/>
  <c r="I205" i="39" s="1"/>
  <c r="H209" i="39"/>
  <c r="I209" i="39" s="1"/>
  <c r="H213" i="39"/>
  <c r="I213" i="39" s="1"/>
  <c r="H217" i="39"/>
  <c r="I217" i="39" s="1"/>
  <c r="H221" i="39"/>
  <c r="I221" i="39" s="1"/>
  <c r="H225" i="39"/>
  <c r="I225" i="39" s="1"/>
  <c r="H229" i="39"/>
  <c r="I229" i="39" s="1"/>
  <c r="H237" i="39"/>
  <c r="I237" i="39" s="1"/>
  <c r="H241" i="39"/>
  <c r="I241" i="39" s="1"/>
  <c r="H245" i="39"/>
  <c r="I245" i="39" s="1"/>
  <c r="H253" i="39"/>
  <c r="I253" i="39" s="1"/>
  <c r="H257" i="39"/>
  <c r="I257" i="39" s="1"/>
  <c r="H261" i="39"/>
  <c r="I261" i="39" s="1"/>
  <c r="H333" i="39"/>
  <c r="I333" i="39" s="1"/>
  <c r="H337" i="39"/>
  <c r="I337" i="39" s="1"/>
  <c r="H341" i="39"/>
  <c r="I341" i="39" s="1"/>
  <c r="H345" i="39"/>
  <c r="I345" i="39" s="1"/>
  <c r="H349" i="39"/>
  <c r="I349" i="39" s="1"/>
  <c r="H357" i="39"/>
  <c r="I357" i="39" s="1"/>
  <c r="H265" i="39"/>
  <c r="I265" i="39" s="1"/>
  <c r="H18" i="39"/>
  <c r="I18" i="39" s="1"/>
  <c r="H22" i="39"/>
  <c r="I22" i="39" s="1"/>
  <c r="H26" i="39"/>
  <c r="I26" i="39" s="1"/>
  <c r="H30" i="39"/>
  <c r="I30" i="39" s="1"/>
  <c r="H34" i="39"/>
  <c r="I34" i="39" s="1"/>
  <c r="H38" i="39"/>
  <c r="I38" i="39" s="1"/>
  <c r="H42" i="39"/>
  <c r="I42" i="39" s="1"/>
  <c r="H46" i="39"/>
  <c r="I46" i="39" s="1"/>
  <c r="H50" i="39"/>
  <c r="I50" i="39" s="1"/>
  <c r="H54" i="39"/>
  <c r="I54" i="39" s="1"/>
  <c r="H86" i="39"/>
  <c r="I86" i="39" s="1"/>
  <c r="H94" i="39"/>
  <c r="I94" i="39" s="1"/>
  <c r="H98" i="39"/>
  <c r="I98" i="39" s="1"/>
  <c r="H102" i="39"/>
  <c r="I102" i="39" s="1"/>
  <c r="H106" i="39"/>
  <c r="I106" i="39" s="1"/>
  <c r="H110" i="39"/>
  <c r="I110" i="39" s="1"/>
  <c r="H114" i="39"/>
  <c r="I114" i="39" s="1"/>
  <c r="H118" i="39"/>
  <c r="I118" i="39" s="1"/>
  <c r="H122" i="39"/>
  <c r="I122" i="39" s="1"/>
  <c r="H126" i="39"/>
  <c r="I126" i="39" s="1"/>
  <c r="H130" i="39"/>
  <c r="I130" i="39" s="1"/>
  <c r="H134" i="39"/>
  <c r="I134" i="39" s="1"/>
  <c r="H138" i="39"/>
  <c r="I138" i="39" s="1"/>
  <c r="H190" i="39"/>
  <c r="I190" i="39" s="1"/>
  <c r="H194" i="39"/>
  <c r="I194" i="39" s="1"/>
  <c r="H198" i="39"/>
  <c r="I198" i="39" s="1"/>
  <c r="H202" i="39"/>
  <c r="I202" i="39" s="1"/>
  <c r="H206" i="39"/>
  <c r="I206" i="39" s="1"/>
  <c r="H210" i="39"/>
  <c r="I210" i="39" s="1"/>
  <c r="H214" i="39"/>
  <c r="I214" i="39" s="1"/>
  <c r="H218" i="39"/>
  <c r="I218" i="39" s="1"/>
  <c r="H222" i="39"/>
  <c r="I222" i="39" s="1"/>
  <c r="H226" i="39"/>
  <c r="I226" i="39" s="1"/>
  <c r="H230" i="39"/>
  <c r="I230" i="39" s="1"/>
  <c r="H262" i="39"/>
  <c r="I262" i="39" s="1"/>
  <c r="H270" i="39"/>
  <c r="I270" i="39" s="1"/>
  <c r="H274" i="39"/>
  <c r="I274" i="39" s="1"/>
  <c r="H278" i="39"/>
  <c r="I278" i="39" s="1"/>
  <c r="H282" i="39"/>
  <c r="I282" i="39" s="1"/>
  <c r="H286" i="39"/>
  <c r="I286" i="39" s="1"/>
  <c r="H290" i="39"/>
  <c r="I290" i="39" s="1"/>
  <c r="H294" i="39"/>
  <c r="I294" i="39" s="1"/>
  <c r="H298" i="39"/>
  <c r="I298" i="39" s="1"/>
  <c r="H302" i="39"/>
  <c r="I302" i="39" s="1"/>
  <c r="H306" i="39"/>
  <c r="I306" i="39" s="1"/>
  <c r="H310" i="39"/>
  <c r="I310" i="39" s="1"/>
  <c r="H314" i="39"/>
  <c r="I314" i="39" s="1"/>
  <c r="H354" i="39"/>
  <c r="I354" i="39" s="1"/>
  <c r="H59" i="39"/>
  <c r="I59" i="39" s="1"/>
  <c r="H63" i="39"/>
  <c r="I63" i="39" s="1"/>
  <c r="H67" i="39"/>
  <c r="I67" i="39" s="1"/>
  <c r="H75" i="39"/>
  <c r="I75" i="39" s="1"/>
  <c r="H79" i="39"/>
  <c r="I79" i="39" s="1"/>
  <c r="H87" i="39"/>
  <c r="I87" i="39" s="1"/>
  <c r="H95" i="39"/>
  <c r="I95" i="39" s="1"/>
  <c r="H99" i="39"/>
  <c r="I99" i="39" s="1"/>
  <c r="H103" i="39"/>
  <c r="I103" i="39" s="1"/>
  <c r="H107" i="39"/>
  <c r="I107" i="39" s="1"/>
  <c r="H111" i="39"/>
  <c r="I111" i="39" s="1"/>
  <c r="H115" i="39"/>
  <c r="I115" i="39" s="1"/>
  <c r="H119" i="39"/>
  <c r="I119" i="39" s="1"/>
  <c r="H123" i="39"/>
  <c r="I123" i="39" s="1"/>
  <c r="H127" i="39"/>
  <c r="I127" i="39" s="1"/>
  <c r="H131" i="39"/>
  <c r="I131" i="39" s="1"/>
  <c r="H135" i="39"/>
  <c r="I135" i="39" s="1"/>
  <c r="H139" i="39"/>
  <c r="I139" i="39" s="1"/>
  <c r="H143" i="39"/>
  <c r="I143" i="39" s="1"/>
  <c r="H151" i="39"/>
  <c r="I151" i="39" s="1"/>
  <c r="H155" i="39"/>
  <c r="I155" i="39" s="1"/>
  <c r="H159" i="39"/>
  <c r="I159" i="39" s="1"/>
  <c r="H167" i="39"/>
  <c r="I167" i="39" s="1"/>
  <c r="H171" i="39"/>
  <c r="I171" i="39" s="1"/>
  <c r="H175" i="39"/>
  <c r="I175" i="39" s="1"/>
  <c r="H183" i="39"/>
  <c r="I183" i="39" s="1"/>
  <c r="H187" i="39"/>
  <c r="I187" i="39" s="1"/>
  <c r="H191" i="39"/>
  <c r="I191" i="39" s="1"/>
  <c r="H195" i="39"/>
  <c r="I195" i="39" s="1"/>
  <c r="H199" i="39"/>
  <c r="I199" i="39" s="1"/>
  <c r="H335" i="39"/>
  <c r="I335" i="39" s="1"/>
  <c r="H339" i="39"/>
  <c r="I339" i="39" s="1"/>
  <c r="H347" i="39"/>
  <c r="I347" i="39" s="1"/>
  <c r="H355" i="39"/>
  <c r="I355" i="39" s="1"/>
  <c r="H97" i="39"/>
  <c r="I97" i="39" s="1"/>
  <c r="H10" i="39"/>
  <c r="I10" i="39" s="1"/>
  <c r="H14" i="39"/>
  <c r="I14" i="39" s="1"/>
  <c r="H344" i="39"/>
  <c r="I344" i="39" s="1"/>
  <c r="H203" i="39"/>
  <c r="I203" i="39" s="1"/>
  <c r="H207" i="39"/>
  <c r="I207" i="39" s="1"/>
  <c r="H211" i="39"/>
  <c r="I211" i="39" s="1"/>
  <c r="H215" i="39"/>
  <c r="I215" i="39" s="1"/>
  <c r="H219" i="39"/>
  <c r="I219" i="39" s="1"/>
  <c r="H223" i="39"/>
  <c r="I223" i="39" s="1"/>
  <c r="H227" i="39"/>
  <c r="I227" i="39" s="1"/>
  <c r="H231" i="39"/>
  <c r="I231" i="39" s="1"/>
  <c r="H235" i="39"/>
  <c r="I235" i="39" s="1"/>
  <c r="H239" i="39"/>
  <c r="I239" i="39" s="1"/>
  <c r="H243" i="39"/>
  <c r="I243" i="39" s="1"/>
  <c r="H251" i="39"/>
  <c r="I251" i="39" s="1"/>
  <c r="H255" i="39"/>
  <c r="I255" i="39" s="1"/>
  <c r="H263" i="39"/>
  <c r="I263" i="39" s="1"/>
  <c r="H318" i="39"/>
  <c r="I318" i="39" s="1"/>
  <c r="H322" i="39"/>
  <c r="I322" i="39" s="1"/>
  <c r="H326" i="39"/>
  <c r="I326" i="39" s="1"/>
  <c r="H342" i="39"/>
  <c r="I342" i="39" s="1"/>
  <c r="H346" i="39"/>
  <c r="I346" i="39" s="1"/>
  <c r="H6" i="39"/>
  <c r="I6" i="39" s="1"/>
  <c r="F358" i="39"/>
  <c r="F361" i="39" s="1"/>
  <c r="H233" i="39"/>
  <c r="I233" i="39" s="1"/>
  <c r="G358" i="39"/>
  <c r="G361" i="39" s="1"/>
  <c r="E358" i="39"/>
  <c r="D358" i="39"/>
  <c r="H7" i="39"/>
  <c r="I7" i="39" s="1"/>
  <c r="H17" i="39"/>
  <c r="I17" i="39" s="1"/>
  <c r="H23" i="39"/>
  <c r="I23" i="39" s="1"/>
  <c r="H29" i="39"/>
  <c r="I29" i="39" s="1"/>
  <c r="H33" i="39"/>
  <c r="I33" i="39" s="1"/>
  <c r="H37" i="39"/>
  <c r="I37" i="39" s="1"/>
  <c r="H41" i="39"/>
  <c r="I41" i="39" s="1"/>
  <c r="H45" i="39"/>
  <c r="I45" i="39" s="1"/>
  <c r="H56" i="39"/>
  <c r="I56" i="39" s="1"/>
  <c r="H58" i="39"/>
  <c r="I58" i="39" s="1"/>
  <c r="H60" i="39"/>
  <c r="I60" i="39" s="1"/>
  <c r="H62" i="39"/>
  <c r="I62" i="39" s="1"/>
  <c r="H64" i="39"/>
  <c r="I64" i="39" s="1"/>
  <c r="H66" i="39"/>
  <c r="I66" i="39" s="1"/>
  <c r="H68" i="39"/>
  <c r="I68" i="39" s="1"/>
  <c r="H70" i="39"/>
  <c r="I70" i="39" s="1"/>
  <c r="H72" i="39"/>
  <c r="I72" i="39" s="1"/>
  <c r="H74" i="39"/>
  <c r="I74" i="39" s="1"/>
  <c r="H76" i="39"/>
  <c r="I76" i="39" s="1"/>
  <c r="H78" i="39"/>
  <c r="I78" i="39" s="1"/>
  <c r="H234" i="39"/>
  <c r="I234" i="39" s="1"/>
  <c r="H236" i="39"/>
  <c r="I236" i="39" s="1"/>
  <c r="H238" i="39"/>
  <c r="I238" i="39" s="1"/>
  <c r="H240" i="39"/>
  <c r="I240" i="39" s="1"/>
  <c r="H242" i="39"/>
  <c r="I242" i="39" s="1"/>
  <c r="H244" i="39"/>
  <c r="I244" i="39" s="1"/>
  <c r="H246" i="39"/>
  <c r="I246" i="39" s="1"/>
  <c r="H248" i="39"/>
  <c r="I248" i="39" s="1"/>
  <c r="H250" i="39"/>
  <c r="I250" i="39" s="1"/>
  <c r="H252" i="39"/>
  <c r="I252" i="39" s="1"/>
  <c r="H254" i="39"/>
  <c r="I254" i="39" s="1"/>
  <c r="H330" i="39"/>
  <c r="I330" i="39" s="1"/>
  <c r="H332" i="39"/>
  <c r="I332" i="39" s="1"/>
  <c r="H334" i="39"/>
  <c r="I334" i="39" s="1"/>
  <c r="H336" i="39"/>
  <c r="I336" i="39" s="1"/>
  <c r="H338" i="39"/>
  <c r="I338" i="39" s="1"/>
  <c r="H340" i="39"/>
  <c r="I340" i="39" s="1"/>
  <c r="H9" i="39"/>
  <c r="I9" i="39" s="1"/>
  <c r="H13" i="39"/>
  <c r="I13" i="39" s="1"/>
  <c r="H19" i="39"/>
  <c r="I19" i="39" s="1"/>
  <c r="H25" i="39"/>
  <c r="I25" i="39" s="1"/>
  <c r="H142" i="39"/>
  <c r="I142" i="39" s="1"/>
  <c r="H144" i="39"/>
  <c r="I144" i="39" s="1"/>
  <c r="H146" i="39"/>
  <c r="I146" i="39" s="1"/>
  <c r="H148" i="39"/>
  <c r="I148" i="39" s="1"/>
  <c r="H150" i="39"/>
  <c r="I150" i="39" s="1"/>
  <c r="H152" i="39"/>
  <c r="I152" i="39" s="1"/>
  <c r="H154" i="39"/>
  <c r="I154" i="39" s="1"/>
  <c r="H156" i="39"/>
  <c r="I156" i="39" s="1"/>
  <c r="H158" i="39"/>
  <c r="I158" i="39" s="1"/>
  <c r="H160" i="39"/>
  <c r="I160" i="39" s="1"/>
  <c r="H162" i="39"/>
  <c r="I162" i="39" s="1"/>
  <c r="H164" i="39"/>
  <c r="I164" i="39" s="1"/>
  <c r="H166" i="39"/>
  <c r="I166" i="39" s="1"/>
  <c r="H168" i="39"/>
  <c r="I168" i="39" s="1"/>
  <c r="H170" i="39"/>
  <c r="I170" i="39" s="1"/>
  <c r="H172" i="39"/>
  <c r="I172" i="39" s="1"/>
  <c r="H174" i="39"/>
  <c r="I174" i="39" s="1"/>
  <c r="H176" i="39"/>
  <c r="I176" i="39" s="1"/>
  <c r="H178" i="39"/>
  <c r="I178" i="39" s="1"/>
  <c r="H180" i="39"/>
  <c r="I180" i="39" s="1"/>
  <c r="H182" i="39"/>
  <c r="I182" i="39" s="1"/>
  <c r="H184" i="39"/>
  <c r="I184" i="39" s="1"/>
  <c r="H186" i="39"/>
  <c r="I186" i="39" s="1"/>
  <c r="H188" i="39"/>
  <c r="I188" i="39" s="1"/>
  <c r="H5" i="39"/>
  <c r="I5" i="39" s="1"/>
  <c r="H11" i="39"/>
  <c r="I11" i="39" s="1"/>
  <c r="H15" i="39"/>
  <c r="I15" i="39" s="1"/>
  <c r="H21" i="39"/>
  <c r="I21" i="39" s="1"/>
  <c r="H27" i="39"/>
  <c r="I27" i="39" s="1"/>
  <c r="H31" i="39"/>
  <c r="I31" i="39" s="1"/>
  <c r="H35" i="39"/>
  <c r="I35" i="39" s="1"/>
  <c r="H39" i="39"/>
  <c r="I39" i="39" s="1"/>
  <c r="H43" i="39"/>
  <c r="I43" i="39" s="1"/>
  <c r="H47" i="39"/>
  <c r="I47" i="39" s="1"/>
  <c r="H49" i="39"/>
  <c r="I49" i="39" s="1"/>
  <c r="H51" i="39"/>
  <c r="I51" i="39" s="1"/>
  <c r="H53" i="39"/>
  <c r="I53" i="39" s="1"/>
  <c r="H55" i="39"/>
  <c r="I55" i="39" s="1"/>
  <c r="H267" i="39"/>
  <c r="I267" i="39" s="1"/>
  <c r="H269" i="39"/>
  <c r="I269" i="39" s="1"/>
  <c r="H271" i="39"/>
  <c r="I271" i="39" s="1"/>
  <c r="H273" i="39"/>
  <c r="I273" i="39" s="1"/>
  <c r="H275" i="39"/>
  <c r="I275" i="39" s="1"/>
  <c r="H277" i="39"/>
  <c r="I277" i="39" s="1"/>
  <c r="H279" i="39"/>
  <c r="I279" i="39" s="1"/>
  <c r="H281" i="39"/>
  <c r="I281" i="39" s="1"/>
  <c r="H283" i="39"/>
  <c r="I283" i="39" s="1"/>
  <c r="H285" i="39"/>
  <c r="I285" i="39" s="1"/>
  <c r="H287" i="39"/>
  <c r="I287" i="39" s="1"/>
  <c r="H289" i="39"/>
  <c r="I289" i="39" s="1"/>
  <c r="H291" i="39"/>
  <c r="I291" i="39" s="1"/>
  <c r="H293" i="39"/>
  <c r="I293" i="39" s="1"/>
  <c r="H295" i="39"/>
  <c r="I295" i="39" s="1"/>
  <c r="H297" i="39"/>
  <c r="I297" i="39" s="1"/>
  <c r="H299" i="39"/>
  <c r="I299" i="39" s="1"/>
  <c r="H301" i="39"/>
  <c r="I301" i="39" s="1"/>
  <c r="H303" i="39"/>
  <c r="I303" i="39" s="1"/>
  <c r="H305" i="39"/>
  <c r="I305" i="39" s="1"/>
  <c r="H307" i="39"/>
  <c r="I307" i="39" s="1"/>
  <c r="H309" i="39"/>
  <c r="I309" i="39" s="1"/>
  <c r="H311" i="39"/>
  <c r="I311" i="39" s="1"/>
  <c r="H313" i="39"/>
  <c r="I313" i="39" s="1"/>
  <c r="H315" i="39"/>
  <c r="I315" i="39" s="1"/>
  <c r="H317" i="39"/>
  <c r="I317" i="39" s="1"/>
  <c r="H319" i="39"/>
  <c r="I319" i="39" s="1"/>
  <c r="H321" i="39"/>
  <c r="I321" i="39" s="1"/>
  <c r="H323" i="39"/>
  <c r="I323" i="39" s="1"/>
  <c r="H325" i="39"/>
  <c r="I325" i="39" s="1"/>
  <c r="H327" i="39"/>
  <c r="I327" i="39" s="1"/>
  <c r="H329" i="39"/>
  <c r="I329" i="39" s="1"/>
  <c r="H3" i="39"/>
  <c r="H11" i="36"/>
  <c r="H9" i="36" s="1"/>
  <c r="H358" i="39" l="1"/>
  <c r="I3" i="39"/>
  <c r="I358" i="39" s="1"/>
  <c r="G335" i="20"/>
  <c r="F335" i="20"/>
  <c r="G123" i="20"/>
  <c r="H335" i="20" l="1"/>
  <c r="I335" i="20" s="1"/>
  <c r="C456" i="23" s="1"/>
  <c r="E456" i="23" s="1"/>
  <c r="F251" i="20"/>
  <c r="G251" i="20"/>
  <c r="F191" i="20"/>
  <c r="G191" i="20"/>
  <c r="H251" i="20" l="1"/>
  <c r="I251" i="20" s="1"/>
  <c r="C356" i="23" s="1"/>
  <c r="E356" i="23" s="1"/>
  <c r="H191" i="20"/>
  <c r="I191" i="20" s="1"/>
  <c r="C173" i="23" s="1"/>
  <c r="E173" i="23" s="1"/>
  <c r="G358" i="20" l="1"/>
  <c r="F358" i="20"/>
  <c r="G357" i="20"/>
  <c r="F357" i="20"/>
  <c r="G356" i="20"/>
  <c r="F356" i="20"/>
  <c r="G355" i="20"/>
  <c r="F355" i="20"/>
  <c r="G354" i="20"/>
  <c r="F354" i="20"/>
  <c r="G353" i="20"/>
  <c r="F353" i="20"/>
  <c r="G352" i="20"/>
  <c r="F352" i="20"/>
  <c r="G351" i="20"/>
  <c r="F351" i="20"/>
  <c r="G350" i="20"/>
  <c r="F350" i="20"/>
  <c r="G349" i="20"/>
  <c r="F349" i="20"/>
  <c r="G348" i="20"/>
  <c r="F348" i="20"/>
  <c r="G347" i="20"/>
  <c r="F347" i="20"/>
  <c r="G346" i="20"/>
  <c r="F346" i="20"/>
  <c r="G345" i="20"/>
  <c r="F345" i="20"/>
  <c r="G344" i="20"/>
  <c r="F344" i="20"/>
  <c r="G343" i="20"/>
  <c r="F343" i="20"/>
  <c r="G342" i="20"/>
  <c r="F342" i="20"/>
  <c r="G341" i="20"/>
  <c r="F341" i="20"/>
  <c r="G340" i="20"/>
  <c r="F340" i="20"/>
  <c r="G339" i="20"/>
  <c r="F339" i="20"/>
  <c r="G338" i="20"/>
  <c r="F338" i="20"/>
  <c r="G337" i="20"/>
  <c r="F337" i="20"/>
  <c r="G336" i="20"/>
  <c r="F336" i="20"/>
  <c r="G334" i="20"/>
  <c r="F334" i="20"/>
  <c r="G333" i="20"/>
  <c r="F333" i="20"/>
  <c r="G332" i="20"/>
  <c r="F332" i="20"/>
  <c r="G331" i="20"/>
  <c r="F331" i="20"/>
  <c r="G330" i="20"/>
  <c r="F330" i="20"/>
  <c r="G329" i="20"/>
  <c r="F329" i="20"/>
  <c r="G328" i="20"/>
  <c r="F328" i="20"/>
  <c r="G327" i="20"/>
  <c r="F327" i="20"/>
  <c r="G326" i="20"/>
  <c r="F326" i="20"/>
  <c r="G325" i="20"/>
  <c r="F325" i="20"/>
  <c r="G324" i="20"/>
  <c r="F324" i="20"/>
  <c r="G323" i="20"/>
  <c r="F323" i="20"/>
  <c r="G322" i="20"/>
  <c r="F322" i="20"/>
  <c r="G321" i="20"/>
  <c r="F321" i="20"/>
  <c r="G320" i="20"/>
  <c r="F320" i="20"/>
  <c r="G319" i="20"/>
  <c r="F319" i="20"/>
  <c r="G318" i="20"/>
  <c r="F318" i="20"/>
  <c r="G317" i="20"/>
  <c r="F317" i="20"/>
  <c r="G316" i="20"/>
  <c r="F316" i="20"/>
  <c r="G315" i="20"/>
  <c r="F315" i="20"/>
  <c r="G314" i="20"/>
  <c r="F314" i="20"/>
  <c r="G313" i="20"/>
  <c r="F313" i="20"/>
  <c r="G312" i="20"/>
  <c r="F312" i="20"/>
  <c r="G311" i="20"/>
  <c r="F311" i="20"/>
  <c r="G310" i="20"/>
  <c r="F310" i="20"/>
  <c r="G309" i="20"/>
  <c r="F309" i="20"/>
  <c r="G308" i="20"/>
  <c r="F308" i="20"/>
  <c r="G307" i="20"/>
  <c r="F307" i="20"/>
  <c r="G306" i="20"/>
  <c r="F306" i="20"/>
  <c r="G305" i="20"/>
  <c r="F305" i="20"/>
  <c r="G304" i="20"/>
  <c r="F304" i="20"/>
  <c r="G303" i="20"/>
  <c r="F303" i="20"/>
  <c r="G302" i="20"/>
  <c r="F302" i="20"/>
  <c r="G301" i="20"/>
  <c r="F301" i="20"/>
  <c r="G300" i="20"/>
  <c r="F300" i="20"/>
  <c r="G299" i="20"/>
  <c r="F299" i="20"/>
  <c r="G298" i="20"/>
  <c r="F298" i="20"/>
  <c r="G297" i="20"/>
  <c r="F297" i="20"/>
  <c r="G296" i="20"/>
  <c r="F296" i="20"/>
  <c r="G295" i="20"/>
  <c r="F295" i="20"/>
  <c r="G294" i="20"/>
  <c r="F294" i="20"/>
  <c r="G293" i="20"/>
  <c r="F293" i="20"/>
  <c r="G292" i="20"/>
  <c r="F292" i="20"/>
  <c r="G291" i="20"/>
  <c r="F291" i="20"/>
  <c r="G290" i="20"/>
  <c r="F290" i="20"/>
  <c r="G289" i="20"/>
  <c r="F289" i="20"/>
  <c r="G288" i="20"/>
  <c r="F288" i="20"/>
  <c r="G284" i="20"/>
  <c r="F284" i="20"/>
  <c r="G283" i="20"/>
  <c r="F283" i="20"/>
  <c r="G282" i="20"/>
  <c r="F282" i="20"/>
  <c r="G281" i="20"/>
  <c r="F281" i="20"/>
  <c r="G280" i="20"/>
  <c r="F280" i="20"/>
  <c r="G279" i="20"/>
  <c r="F279" i="20"/>
  <c r="G278" i="20"/>
  <c r="F278" i="20"/>
  <c r="G277" i="20"/>
  <c r="F277" i="20"/>
  <c r="G276" i="20"/>
  <c r="F276" i="20"/>
  <c r="G275" i="20"/>
  <c r="F275" i="20"/>
  <c r="G274" i="20"/>
  <c r="F274" i="20"/>
  <c r="G273" i="20"/>
  <c r="F273" i="20"/>
  <c r="G272" i="20"/>
  <c r="F272" i="20"/>
  <c r="G271" i="20"/>
  <c r="F271" i="20"/>
  <c r="G270" i="20"/>
  <c r="F270" i="20"/>
  <c r="G269" i="20"/>
  <c r="F269" i="20"/>
  <c r="G268" i="20"/>
  <c r="F268" i="20"/>
  <c r="G267" i="20"/>
  <c r="F267" i="20"/>
  <c r="G266" i="20"/>
  <c r="F266" i="20"/>
  <c r="G265" i="20"/>
  <c r="F265" i="20"/>
  <c r="G264" i="20"/>
  <c r="F264" i="20"/>
  <c r="G263" i="20"/>
  <c r="F263" i="20"/>
  <c r="G262" i="20"/>
  <c r="F262" i="20"/>
  <c r="G261" i="20"/>
  <c r="F261" i="20"/>
  <c r="G260" i="20"/>
  <c r="F260" i="20"/>
  <c r="G259" i="20"/>
  <c r="F259" i="20"/>
  <c r="G258" i="20"/>
  <c r="F258" i="20"/>
  <c r="G257" i="20"/>
  <c r="F257" i="20"/>
  <c r="G256" i="20"/>
  <c r="F256" i="20"/>
  <c r="G255" i="20"/>
  <c r="F255" i="20"/>
  <c r="G254" i="20"/>
  <c r="F254" i="20"/>
  <c r="G253" i="20"/>
  <c r="F253" i="20"/>
  <c r="G252" i="20"/>
  <c r="F252" i="20"/>
  <c r="G250" i="20"/>
  <c r="F250" i="20"/>
  <c r="G249" i="20"/>
  <c r="F249" i="20"/>
  <c r="G248" i="20"/>
  <c r="F248" i="20"/>
  <c r="G247" i="20"/>
  <c r="F247" i="20"/>
  <c r="G246" i="20"/>
  <c r="F246" i="20"/>
  <c r="G245" i="20"/>
  <c r="F245" i="20"/>
  <c r="G244" i="20"/>
  <c r="F244" i="20"/>
  <c r="G243" i="20"/>
  <c r="F243" i="20"/>
  <c r="G242" i="20"/>
  <c r="F242" i="20"/>
  <c r="G241" i="20"/>
  <c r="F241" i="20"/>
  <c r="G240" i="20"/>
  <c r="F240" i="20"/>
  <c r="G239" i="20"/>
  <c r="F239" i="20"/>
  <c r="G238" i="20"/>
  <c r="F238" i="20"/>
  <c r="G237" i="20"/>
  <c r="F237" i="20"/>
  <c r="G236" i="20"/>
  <c r="F236" i="20"/>
  <c r="G235" i="20"/>
  <c r="F235" i="20"/>
  <c r="G234" i="20"/>
  <c r="F234" i="20"/>
  <c r="G233" i="20"/>
  <c r="F233" i="20"/>
  <c r="G232" i="20"/>
  <c r="F232" i="20"/>
  <c r="G231" i="20"/>
  <c r="F231" i="20"/>
  <c r="G230" i="20"/>
  <c r="F230" i="20"/>
  <c r="G229" i="20"/>
  <c r="F229" i="20"/>
  <c r="G228" i="20"/>
  <c r="F228" i="20"/>
  <c r="G227" i="20"/>
  <c r="F227" i="20"/>
  <c r="G226" i="20"/>
  <c r="F226" i="20"/>
  <c r="G225" i="20"/>
  <c r="F225" i="20"/>
  <c r="G224" i="20"/>
  <c r="F224" i="20"/>
  <c r="G223" i="20"/>
  <c r="F223" i="20"/>
  <c r="G222" i="20"/>
  <c r="F222" i="20"/>
  <c r="G221" i="20"/>
  <c r="F221" i="20"/>
  <c r="G220" i="20"/>
  <c r="F220" i="20"/>
  <c r="G219" i="20"/>
  <c r="F219" i="20"/>
  <c r="G218" i="20"/>
  <c r="F218" i="20"/>
  <c r="G217" i="20"/>
  <c r="F217" i="20"/>
  <c r="G216" i="20"/>
  <c r="F216" i="20"/>
  <c r="G215" i="20"/>
  <c r="F215" i="20"/>
  <c r="G214" i="20"/>
  <c r="F214" i="20"/>
  <c r="G213" i="20"/>
  <c r="F213" i="20"/>
  <c r="G212" i="20"/>
  <c r="F212" i="20"/>
  <c r="G211" i="20"/>
  <c r="F211" i="20"/>
  <c r="G210" i="20"/>
  <c r="F210" i="20"/>
  <c r="G209" i="20"/>
  <c r="F209" i="20"/>
  <c r="G208" i="20"/>
  <c r="F208" i="20"/>
  <c r="G207" i="20"/>
  <c r="F207" i="20"/>
  <c r="G206" i="20"/>
  <c r="F206" i="20"/>
  <c r="G205" i="20"/>
  <c r="F205" i="20"/>
  <c r="G204" i="20"/>
  <c r="F204" i="20"/>
  <c r="G203" i="20"/>
  <c r="F203" i="20"/>
  <c r="G202" i="20"/>
  <c r="F202" i="20"/>
  <c r="G201" i="20"/>
  <c r="F201" i="20"/>
  <c r="G200" i="20"/>
  <c r="F200" i="20"/>
  <c r="G199" i="20"/>
  <c r="F199" i="20"/>
  <c r="G198" i="20"/>
  <c r="F198" i="20"/>
  <c r="G197" i="20"/>
  <c r="F197" i="20"/>
  <c r="G196" i="20"/>
  <c r="F196" i="20"/>
  <c r="G195" i="20"/>
  <c r="F195" i="20"/>
  <c r="G194" i="20"/>
  <c r="F194" i="20"/>
  <c r="G193" i="20"/>
  <c r="F193" i="20"/>
  <c r="G192" i="20"/>
  <c r="F192" i="20"/>
  <c r="G190" i="20"/>
  <c r="F190" i="20"/>
  <c r="G189" i="20"/>
  <c r="F189" i="20"/>
  <c r="G188" i="20"/>
  <c r="F188" i="20"/>
  <c r="G187" i="20"/>
  <c r="F187" i="20"/>
  <c r="G186" i="20"/>
  <c r="F186" i="20"/>
  <c r="G185" i="20"/>
  <c r="F185" i="20"/>
  <c r="G184" i="20"/>
  <c r="F184" i="20"/>
  <c r="G183" i="20"/>
  <c r="F183" i="20"/>
  <c r="G182" i="20"/>
  <c r="F182" i="20"/>
  <c r="G181" i="20"/>
  <c r="F181" i="20"/>
  <c r="G180" i="20"/>
  <c r="F180" i="20"/>
  <c r="G179" i="20"/>
  <c r="F179" i="20"/>
  <c r="G178" i="20"/>
  <c r="F178" i="20"/>
  <c r="G177" i="20"/>
  <c r="F177" i="20"/>
  <c r="G176" i="20"/>
  <c r="F176" i="20"/>
  <c r="G175" i="20"/>
  <c r="F175" i="20"/>
  <c r="G174" i="20"/>
  <c r="F174" i="20"/>
  <c r="G173" i="20"/>
  <c r="F173" i="20"/>
  <c r="G172" i="20"/>
  <c r="F172" i="20"/>
  <c r="G171" i="20"/>
  <c r="F171" i="20"/>
  <c r="G170" i="20"/>
  <c r="F170" i="20"/>
  <c r="G169" i="20"/>
  <c r="F169" i="20"/>
  <c r="G168" i="20"/>
  <c r="F168" i="20"/>
  <c r="G167" i="20"/>
  <c r="F167" i="20"/>
  <c r="G166" i="20"/>
  <c r="F166" i="20"/>
  <c r="G165" i="20"/>
  <c r="F165" i="20"/>
  <c r="G164" i="20"/>
  <c r="F164" i="20"/>
  <c r="G163" i="20"/>
  <c r="F163" i="20"/>
  <c r="G162" i="20"/>
  <c r="F162" i="20"/>
  <c r="G161" i="20"/>
  <c r="F161" i="20"/>
  <c r="G160" i="20"/>
  <c r="F160" i="20"/>
  <c r="G159" i="20"/>
  <c r="F159" i="20"/>
  <c r="G158" i="20"/>
  <c r="F158" i="20"/>
  <c r="G157" i="20"/>
  <c r="F157" i="20"/>
  <c r="G156" i="20"/>
  <c r="F156" i="20"/>
  <c r="G155" i="20"/>
  <c r="F155" i="20"/>
  <c r="G154" i="20"/>
  <c r="F154" i="20"/>
  <c r="G153" i="20"/>
  <c r="F153" i="20"/>
  <c r="G152" i="20"/>
  <c r="F152" i="20"/>
  <c r="G151" i="20"/>
  <c r="F151" i="20"/>
  <c r="G150" i="20"/>
  <c r="F150" i="20"/>
  <c r="G149" i="20"/>
  <c r="F149" i="20"/>
  <c r="G148" i="20"/>
  <c r="F148" i="20"/>
  <c r="G147" i="20"/>
  <c r="F147" i="20"/>
  <c r="G146" i="20"/>
  <c r="F146" i="20"/>
  <c r="G145" i="20"/>
  <c r="F145" i="20"/>
  <c r="G144" i="20"/>
  <c r="F144" i="20"/>
  <c r="G143" i="20"/>
  <c r="F143" i="20"/>
  <c r="G142" i="20"/>
  <c r="F142" i="20"/>
  <c r="G141" i="20"/>
  <c r="F141" i="20"/>
  <c r="G140" i="20"/>
  <c r="F140" i="20"/>
  <c r="G139" i="20"/>
  <c r="F139" i="20"/>
  <c r="G138" i="20"/>
  <c r="F138" i="20"/>
  <c r="G137" i="20"/>
  <c r="F137" i="20"/>
  <c r="G136" i="20"/>
  <c r="F136" i="20"/>
  <c r="G135" i="20"/>
  <c r="F135" i="20"/>
  <c r="G134" i="20"/>
  <c r="F134" i="20"/>
  <c r="G133" i="20"/>
  <c r="F133" i="20"/>
  <c r="G132" i="20"/>
  <c r="F132" i="20"/>
  <c r="G131" i="20"/>
  <c r="F131" i="20"/>
  <c r="G130" i="20"/>
  <c r="F130" i="20"/>
  <c r="G129" i="20"/>
  <c r="F129" i="20"/>
  <c r="G128" i="20"/>
  <c r="F128" i="20"/>
  <c r="G127" i="20"/>
  <c r="F127" i="20"/>
  <c r="G126" i="20"/>
  <c r="F126" i="20"/>
  <c r="G125" i="20"/>
  <c r="F125" i="20"/>
  <c r="G124" i="20"/>
  <c r="F124" i="20"/>
  <c r="F123" i="20"/>
  <c r="G122" i="20"/>
  <c r="F122" i="20"/>
  <c r="G121" i="20"/>
  <c r="F121" i="20"/>
  <c r="G120" i="20"/>
  <c r="F120" i="20"/>
  <c r="G119" i="20"/>
  <c r="F119" i="20"/>
  <c r="G118" i="20"/>
  <c r="F118" i="20"/>
  <c r="G117" i="20"/>
  <c r="F117" i="20"/>
  <c r="G116" i="20"/>
  <c r="F116" i="20"/>
  <c r="G115" i="20"/>
  <c r="F115" i="20"/>
  <c r="G114" i="20"/>
  <c r="F114" i="20"/>
  <c r="G113" i="20"/>
  <c r="F113" i="20"/>
  <c r="G112" i="20"/>
  <c r="F112" i="20"/>
  <c r="G111" i="20"/>
  <c r="F111" i="20"/>
  <c r="G110" i="20"/>
  <c r="F110" i="20"/>
  <c r="G109" i="20"/>
  <c r="F109" i="20"/>
  <c r="G108" i="20"/>
  <c r="F108" i="20"/>
  <c r="G107" i="20"/>
  <c r="F107" i="20"/>
  <c r="G106" i="20"/>
  <c r="F106" i="20"/>
  <c r="G105" i="20"/>
  <c r="F105" i="20"/>
  <c r="G104" i="20"/>
  <c r="F104" i="20"/>
  <c r="G103" i="20"/>
  <c r="F103" i="20"/>
  <c r="G102" i="20"/>
  <c r="F102" i="20"/>
  <c r="G101" i="20"/>
  <c r="F101" i="20"/>
  <c r="G100" i="20"/>
  <c r="F100" i="20"/>
  <c r="G99" i="20"/>
  <c r="F99" i="20"/>
  <c r="G98" i="20"/>
  <c r="F98" i="20"/>
  <c r="G97" i="20"/>
  <c r="F97" i="20"/>
  <c r="G96" i="20"/>
  <c r="F96" i="20"/>
  <c r="G95" i="20"/>
  <c r="F95" i="20"/>
  <c r="G94" i="20"/>
  <c r="F94" i="20"/>
  <c r="G93" i="20"/>
  <c r="F93" i="20"/>
  <c r="G92" i="20"/>
  <c r="F92" i="20"/>
  <c r="G91" i="20"/>
  <c r="F91" i="20"/>
  <c r="G90" i="20"/>
  <c r="F90" i="20"/>
  <c r="G89" i="20"/>
  <c r="F89" i="20"/>
  <c r="G88" i="20"/>
  <c r="F88" i="20"/>
  <c r="G87" i="20"/>
  <c r="F87" i="20"/>
  <c r="G86" i="20"/>
  <c r="F86" i="20"/>
  <c r="G85" i="20"/>
  <c r="F85" i="20"/>
  <c r="G84" i="20"/>
  <c r="F84" i="20"/>
  <c r="G83" i="20"/>
  <c r="F83" i="20"/>
  <c r="G82" i="20"/>
  <c r="F82" i="20"/>
  <c r="G81" i="20"/>
  <c r="F81" i="20"/>
  <c r="G80" i="20"/>
  <c r="F80" i="20"/>
  <c r="G79" i="20"/>
  <c r="F79" i="20"/>
  <c r="G78" i="20"/>
  <c r="F78" i="20"/>
  <c r="G77" i="20"/>
  <c r="F77" i="20"/>
  <c r="G76" i="20"/>
  <c r="F76" i="20"/>
  <c r="G75" i="20"/>
  <c r="F75" i="20"/>
  <c r="G74" i="20"/>
  <c r="F74" i="20"/>
  <c r="G73" i="20"/>
  <c r="F73" i="20"/>
  <c r="G72" i="20"/>
  <c r="F72" i="20"/>
  <c r="G71" i="20"/>
  <c r="F71" i="20"/>
  <c r="G70" i="20"/>
  <c r="F70" i="20"/>
  <c r="G69" i="20"/>
  <c r="F69" i="20"/>
  <c r="G68" i="20"/>
  <c r="F68" i="20"/>
  <c r="G67" i="20"/>
  <c r="F67" i="20"/>
  <c r="G66" i="20"/>
  <c r="F66" i="20"/>
  <c r="G65" i="20"/>
  <c r="F65" i="20"/>
  <c r="G64" i="20"/>
  <c r="F64" i="20"/>
  <c r="G63" i="20"/>
  <c r="F63" i="20"/>
  <c r="G62" i="20"/>
  <c r="F62" i="20"/>
  <c r="G61" i="20"/>
  <c r="F61" i="20"/>
  <c r="G60" i="20"/>
  <c r="F60" i="20"/>
  <c r="G59" i="20"/>
  <c r="F59" i="20"/>
  <c r="G58" i="20"/>
  <c r="F58" i="20"/>
  <c r="G57" i="20"/>
  <c r="F57" i="20"/>
  <c r="G56" i="20"/>
  <c r="F56" i="20"/>
  <c r="G55" i="20"/>
  <c r="F55" i="20"/>
  <c r="G54" i="20"/>
  <c r="F54" i="20"/>
  <c r="G53" i="20"/>
  <c r="F53" i="20"/>
  <c r="G52" i="20"/>
  <c r="F52" i="20"/>
  <c r="G51" i="20"/>
  <c r="F51" i="20"/>
  <c r="G50" i="20"/>
  <c r="F50" i="20"/>
  <c r="G49" i="20"/>
  <c r="F49" i="20"/>
  <c r="G48" i="20"/>
  <c r="F48" i="20"/>
  <c r="G47" i="20"/>
  <c r="F47" i="20"/>
  <c r="G46" i="20"/>
  <c r="F46" i="20"/>
  <c r="G45" i="20"/>
  <c r="F45" i="20"/>
  <c r="G44" i="20"/>
  <c r="F44" i="20"/>
  <c r="G43" i="20"/>
  <c r="F43" i="20"/>
  <c r="G42" i="20"/>
  <c r="F42" i="20"/>
  <c r="G41" i="20"/>
  <c r="F41" i="20"/>
  <c r="G40" i="20"/>
  <c r="F40" i="20"/>
  <c r="G39" i="20"/>
  <c r="F39" i="20"/>
  <c r="G38" i="20"/>
  <c r="F38" i="20"/>
  <c r="G37" i="20"/>
  <c r="F37" i="20"/>
  <c r="G36" i="20"/>
  <c r="F36" i="20"/>
  <c r="G35" i="20"/>
  <c r="F35" i="20"/>
  <c r="G34" i="20"/>
  <c r="F34" i="20"/>
  <c r="G33" i="20"/>
  <c r="F33" i="20"/>
  <c r="G32" i="20"/>
  <c r="F32" i="20"/>
  <c r="G31" i="20"/>
  <c r="F31" i="20"/>
  <c r="G30" i="20"/>
  <c r="F30" i="20"/>
  <c r="G29" i="20"/>
  <c r="F29" i="20"/>
  <c r="G28" i="20"/>
  <c r="F28" i="20"/>
  <c r="G27" i="20"/>
  <c r="F27" i="20"/>
  <c r="G26" i="20"/>
  <c r="F26" i="20"/>
  <c r="G25" i="20"/>
  <c r="F25" i="20"/>
  <c r="G24" i="20"/>
  <c r="F24" i="20"/>
  <c r="G23" i="20"/>
  <c r="F23" i="20"/>
  <c r="G22" i="20"/>
  <c r="F22" i="20"/>
  <c r="G21" i="20"/>
  <c r="F21" i="20"/>
  <c r="G20" i="20"/>
  <c r="F20" i="20"/>
  <c r="G19" i="20"/>
  <c r="F19" i="20"/>
  <c r="G18" i="20"/>
  <c r="F18" i="20"/>
  <c r="G17" i="20"/>
  <c r="F17" i="20"/>
  <c r="G16" i="20"/>
  <c r="F16" i="20"/>
  <c r="G15" i="20"/>
  <c r="F15" i="20"/>
  <c r="G14" i="20"/>
  <c r="F14" i="20"/>
  <c r="G13" i="20"/>
  <c r="F13" i="20"/>
  <c r="G12" i="20"/>
  <c r="F12" i="20"/>
  <c r="G11" i="20"/>
  <c r="F11" i="20"/>
  <c r="G10" i="20"/>
  <c r="F10" i="20"/>
  <c r="G9" i="20"/>
  <c r="F9" i="20"/>
  <c r="G8" i="20"/>
  <c r="F8" i="20"/>
  <c r="G7" i="20"/>
  <c r="F7" i="20"/>
  <c r="G6" i="20"/>
  <c r="F6" i="20"/>
  <c r="G5" i="20"/>
  <c r="F5" i="20"/>
  <c r="G4" i="20"/>
  <c r="F4" i="20"/>
  <c r="G3" i="20"/>
  <c r="F3" i="20"/>
  <c r="C355" i="38"/>
  <c r="G354" i="38"/>
  <c r="F354" i="38"/>
  <c r="G353" i="38"/>
  <c r="F353" i="38"/>
  <c r="G352" i="38"/>
  <c r="F352" i="38"/>
  <c r="G351" i="38"/>
  <c r="F351" i="38"/>
  <c r="G350" i="38"/>
  <c r="F350" i="38"/>
  <c r="G349" i="38"/>
  <c r="F349" i="38"/>
  <c r="G348" i="38"/>
  <c r="F348" i="38"/>
  <c r="G347" i="38"/>
  <c r="F347" i="38"/>
  <c r="G346" i="38"/>
  <c r="F346" i="38"/>
  <c r="G345" i="38"/>
  <c r="F345" i="38"/>
  <c r="G344" i="38"/>
  <c r="F344" i="38"/>
  <c r="G343" i="38"/>
  <c r="F343" i="38"/>
  <c r="G342" i="38"/>
  <c r="F342" i="38"/>
  <c r="G341" i="38"/>
  <c r="F341" i="38"/>
  <c r="E341" i="38"/>
  <c r="G340" i="38"/>
  <c r="F340" i="38"/>
  <c r="G339" i="38"/>
  <c r="F339" i="38"/>
  <c r="G338" i="38"/>
  <c r="F338" i="38"/>
  <c r="G337" i="38"/>
  <c r="F337" i="38"/>
  <c r="G336" i="38"/>
  <c r="F336" i="38"/>
  <c r="G335" i="38"/>
  <c r="F335" i="38"/>
  <c r="G334" i="38"/>
  <c r="F334" i="38"/>
  <c r="G333" i="38"/>
  <c r="F333" i="38"/>
  <c r="G332" i="38"/>
  <c r="F332" i="38"/>
  <c r="G331" i="38"/>
  <c r="F331" i="38"/>
  <c r="G330" i="38"/>
  <c r="F330" i="38"/>
  <c r="G329" i="38"/>
  <c r="F329" i="38"/>
  <c r="G328" i="38"/>
  <c r="F328" i="38"/>
  <c r="G327" i="38"/>
  <c r="F327" i="38"/>
  <c r="G326" i="38"/>
  <c r="F326" i="38"/>
  <c r="G325" i="38"/>
  <c r="F325" i="38"/>
  <c r="G324" i="38"/>
  <c r="F324" i="38"/>
  <c r="G323" i="38"/>
  <c r="F323" i="38"/>
  <c r="G322" i="38"/>
  <c r="F322" i="38"/>
  <c r="G321" i="38"/>
  <c r="F321" i="38"/>
  <c r="G320" i="38"/>
  <c r="F320" i="38"/>
  <c r="G319" i="38"/>
  <c r="F319" i="38"/>
  <c r="G318" i="38"/>
  <c r="F318" i="38"/>
  <c r="G317" i="38"/>
  <c r="F317" i="38"/>
  <c r="G316" i="38"/>
  <c r="F316" i="38"/>
  <c r="G315" i="38"/>
  <c r="F315" i="38"/>
  <c r="G314" i="38"/>
  <c r="F314" i="38"/>
  <c r="G313" i="38"/>
  <c r="F313" i="38"/>
  <c r="G312" i="38"/>
  <c r="F312" i="38"/>
  <c r="G311" i="38"/>
  <c r="F311" i="38"/>
  <c r="G310" i="38"/>
  <c r="F310" i="38"/>
  <c r="G309" i="38"/>
  <c r="F309" i="38"/>
  <c r="G308" i="38"/>
  <c r="F308" i="38"/>
  <c r="G307" i="38"/>
  <c r="F307" i="38"/>
  <c r="G306" i="38"/>
  <c r="F306" i="38"/>
  <c r="G305" i="38"/>
  <c r="F305" i="38"/>
  <c r="G304" i="38"/>
  <c r="F304" i="38"/>
  <c r="G303" i="38"/>
  <c r="F303" i="38"/>
  <c r="G302" i="38"/>
  <c r="F302" i="38"/>
  <c r="G301" i="38"/>
  <c r="F301" i="38"/>
  <c r="G300" i="38"/>
  <c r="F300" i="38"/>
  <c r="G299" i="38"/>
  <c r="F299" i="38"/>
  <c r="G298" i="38"/>
  <c r="F298" i="38"/>
  <c r="G297" i="38"/>
  <c r="F297" i="38"/>
  <c r="G296" i="38"/>
  <c r="F296" i="38"/>
  <c r="G295" i="38"/>
  <c r="F295" i="38"/>
  <c r="G294" i="38"/>
  <c r="F294" i="38"/>
  <c r="G293" i="38"/>
  <c r="F293" i="38"/>
  <c r="G292" i="38"/>
  <c r="F292" i="38"/>
  <c r="G291" i="38"/>
  <c r="F291" i="38"/>
  <c r="G290" i="38"/>
  <c r="F290" i="38"/>
  <c r="G289" i="38"/>
  <c r="F289" i="38"/>
  <c r="G288" i="38"/>
  <c r="F288" i="38"/>
  <c r="G287" i="38"/>
  <c r="F287" i="38"/>
  <c r="G286" i="38"/>
  <c r="F286" i="38"/>
  <c r="G285" i="38"/>
  <c r="F285" i="38"/>
  <c r="G284" i="38"/>
  <c r="F284" i="38"/>
  <c r="G283" i="38"/>
  <c r="F283" i="38"/>
  <c r="G282" i="38"/>
  <c r="F282" i="38"/>
  <c r="G281" i="38"/>
  <c r="F281" i="38"/>
  <c r="G280" i="38"/>
  <c r="F280" i="38"/>
  <c r="G279" i="38"/>
  <c r="F279" i="38"/>
  <c r="G278" i="38"/>
  <c r="F278" i="38"/>
  <c r="G277" i="38"/>
  <c r="F277" i="38"/>
  <c r="G276" i="38"/>
  <c r="F276" i="38"/>
  <c r="G275" i="38"/>
  <c r="F275" i="38"/>
  <c r="G274" i="38"/>
  <c r="F274" i="38"/>
  <c r="G273" i="38"/>
  <c r="F273" i="38"/>
  <c r="G272" i="38"/>
  <c r="F272" i="38"/>
  <c r="G271" i="38"/>
  <c r="F271" i="38"/>
  <c r="G270" i="38"/>
  <c r="F270" i="38"/>
  <c r="G269" i="38"/>
  <c r="F269" i="38"/>
  <c r="G268" i="38"/>
  <c r="F268" i="38"/>
  <c r="G267" i="38"/>
  <c r="F267" i="38"/>
  <c r="G266" i="38"/>
  <c r="F266" i="38"/>
  <c r="G265" i="38"/>
  <c r="F265" i="38"/>
  <c r="G264" i="38"/>
  <c r="F264" i="38"/>
  <c r="G263" i="38"/>
  <c r="F263" i="38"/>
  <c r="G262" i="38"/>
  <c r="F262" i="38"/>
  <c r="G261" i="38"/>
  <c r="F261" i="38"/>
  <c r="G260" i="38"/>
  <c r="F260" i="38"/>
  <c r="G259" i="38"/>
  <c r="F259" i="38"/>
  <c r="G258" i="38"/>
  <c r="F258" i="38"/>
  <c r="G257" i="38"/>
  <c r="F257" i="38"/>
  <c r="G256" i="38"/>
  <c r="F256" i="38"/>
  <c r="G255" i="38"/>
  <c r="F255" i="38"/>
  <c r="G254" i="38"/>
  <c r="F254" i="38"/>
  <c r="G253" i="38"/>
  <c r="F253" i="38"/>
  <c r="G252" i="38"/>
  <c r="F252" i="38"/>
  <c r="G251" i="38"/>
  <c r="F251" i="38"/>
  <c r="G250" i="38"/>
  <c r="F250" i="38"/>
  <c r="G249" i="38"/>
  <c r="F249" i="38"/>
  <c r="G248" i="38"/>
  <c r="F248" i="38"/>
  <c r="G247" i="38"/>
  <c r="F247" i="38"/>
  <c r="G246" i="38"/>
  <c r="F246" i="38"/>
  <c r="G245" i="38"/>
  <c r="F245" i="38"/>
  <c r="G244" i="38"/>
  <c r="F244" i="38"/>
  <c r="G243" i="38"/>
  <c r="F243" i="38"/>
  <c r="G242" i="38"/>
  <c r="F242" i="38"/>
  <c r="G241" i="38"/>
  <c r="F241" i="38"/>
  <c r="G240" i="38"/>
  <c r="F240" i="38"/>
  <c r="G239" i="38"/>
  <c r="F239" i="38"/>
  <c r="G238" i="38"/>
  <c r="F238" i="38"/>
  <c r="G237" i="38"/>
  <c r="F237" i="38"/>
  <c r="G236" i="38"/>
  <c r="F236" i="38"/>
  <c r="G235" i="38"/>
  <c r="F235" i="38"/>
  <c r="G234" i="38"/>
  <c r="F234" i="38"/>
  <c r="G233" i="38"/>
  <c r="F233" i="38"/>
  <c r="G232" i="38"/>
  <c r="F232" i="38"/>
  <c r="G231" i="38"/>
  <c r="F231" i="38"/>
  <c r="G230" i="38"/>
  <c r="F230" i="38"/>
  <c r="G229" i="38"/>
  <c r="F229" i="38"/>
  <c r="G228" i="38"/>
  <c r="F228" i="38"/>
  <c r="G227" i="38"/>
  <c r="F227" i="38"/>
  <c r="G226" i="38"/>
  <c r="F226" i="38"/>
  <c r="G225" i="38"/>
  <c r="F225" i="38"/>
  <c r="G224" i="38"/>
  <c r="F224" i="38"/>
  <c r="G223" i="38"/>
  <c r="F223" i="38"/>
  <c r="G222" i="38"/>
  <c r="F222" i="38"/>
  <c r="G221" i="38"/>
  <c r="F221" i="38"/>
  <c r="G220" i="38"/>
  <c r="F220" i="38"/>
  <c r="G219" i="38"/>
  <c r="F219" i="38"/>
  <c r="G218" i="38"/>
  <c r="F218" i="38"/>
  <c r="G217" i="38"/>
  <c r="F217" i="38"/>
  <c r="G216" i="38"/>
  <c r="F216" i="38"/>
  <c r="G215" i="38"/>
  <c r="F215" i="38"/>
  <c r="G214" i="38"/>
  <c r="F214" i="38"/>
  <c r="G213" i="38"/>
  <c r="F213" i="38"/>
  <c r="G212" i="38"/>
  <c r="F212" i="38"/>
  <c r="G211" i="38"/>
  <c r="F211" i="38"/>
  <c r="G210" i="38"/>
  <c r="F210" i="38"/>
  <c r="G209" i="38"/>
  <c r="F209" i="38"/>
  <c r="G208" i="38"/>
  <c r="F208" i="38"/>
  <c r="G207" i="38"/>
  <c r="F207" i="38"/>
  <c r="G206" i="38"/>
  <c r="F206" i="38"/>
  <c r="G205" i="38"/>
  <c r="F205" i="38"/>
  <c r="G204" i="38"/>
  <c r="F204" i="38"/>
  <c r="G203" i="38"/>
  <c r="F203" i="38"/>
  <c r="G202" i="38"/>
  <c r="F202" i="38"/>
  <c r="G201" i="38"/>
  <c r="F201" i="38"/>
  <c r="G200" i="38"/>
  <c r="F200" i="38"/>
  <c r="G199" i="38"/>
  <c r="F199" i="38"/>
  <c r="G198" i="38"/>
  <c r="F198" i="38"/>
  <c r="G197" i="38"/>
  <c r="F197" i="38"/>
  <c r="G196" i="38"/>
  <c r="F196" i="38"/>
  <c r="G195" i="38"/>
  <c r="F195" i="38"/>
  <c r="G194" i="38"/>
  <c r="F194" i="38"/>
  <c r="D194" i="38"/>
  <c r="G193" i="38"/>
  <c r="F193" i="38"/>
  <c r="G192" i="38"/>
  <c r="F192" i="38"/>
  <c r="G191" i="38"/>
  <c r="F191" i="38"/>
  <c r="G190" i="38"/>
  <c r="F190" i="38"/>
  <c r="E190" i="38"/>
  <c r="E355" i="38" s="1"/>
  <c r="G189" i="38"/>
  <c r="F189" i="38"/>
  <c r="G188" i="38"/>
  <c r="F188" i="38"/>
  <c r="G187" i="38"/>
  <c r="F187" i="38"/>
  <c r="G186" i="38"/>
  <c r="F186" i="38"/>
  <c r="G185" i="38"/>
  <c r="F185" i="38"/>
  <c r="G184" i="38"/>
  <c r="F184" i="38"/>
  <c r="G183" i="38"/>
  <c r="F183" i="38"/>
  <c r="G182" i="38"/>
  <c r="F182" i="38"/>
  <c r="G181" i="38"/>
  <c r="F181" i="38"/>
  <c r="G180" i="38"/>
  <c r="F180" i="38"/>
  <c r="G179" i="38"/>
  <c r="F179" i="38"/>
  <c r="G178" i="38"/>
  <c r="F178" i="38"/>
  <c r="G177" i="38"/>
  <c r="F177" i="38"/>
  <c r="G176" i="38"/>
  <c r="F176" i="38"/>
  <c r="G175" i="38"/>
  <c r="F175" i="38"/>
  <c r="G174" i="38"/>
  <c r="F174" i="38"/>
  <c r="G173" i="38"/>
  <c r="F173" i="38"/>
  <c r="G172" i="38"/>
  <c r="F172" i="38"/>
  <c r="G171" i="38"/>
  <c r="F171" i="38"/>
  <c r="G170" i="38"/>
  <c r="F170" i="38"/>
  <c r="G169" i="38"/>
  <c r="F169" i="38"/>
  <c r="G168" i="38"/>
  <c r="F168" i="38"/>
  <c r="G167" i="38"/>
  <c r="F167" i="38"/>
  <c r="G166" i="38"/>
  <c r="F166" i="38"/>
  <c r="G165" i="38"/>
  <c r="F165" i="38"/>
  <c r="G164" i="38"/>
  <c r="F164" i="38"/>
  <c r="G163" i="38"/>
  <c r="F163" i="38"/>
  <c r="G162" i="38"/>
  <c r="F162" i="38"/>
  <c r="G161" i="38"/>
  <c r="F161" i="38"/>
  <c r="G160" i="38"/>
  <c r="F160" i="38"/>
  <c r="G159" i="38"/>
  <c r="F159" i="38"/>
  <c r="G158" i="38"/>
  <c r="F158" i="38"/>
  <c r="G157" i="38"/>
  <c r="F157" i="38"/>
  <c r="G156" i="38"/>
  <c r="F156" i="38"/>
  <c r="G155" i="38"/>
  <c r="F155" i="38"/>
  <c r="G154" i="38"/>
  <c r="F154" i="38"/>
  <c r="G153" i="38"/>
  <c r="F153" i="38"/>
  <c r="G152" i="38"/>
  <c r="F152" i="38"/>
  <c r="G151" i="38"/>
  <c r="F151" i="38"/>
  <c r="G150" i="38"/>
  <c r="F150" i="38"/>
  <c r="G149" i="38"/>
  <c r="F149" i="38"/>
  <c r="G148" i="38"/>
  <c r="F148" i="38"/>
  <c r="G147" i="38"/>
  <c r="F147" i="38"/>
  <c r="G146" i="38"/>
  <c r="F146" i="38"/>
  <c r="G145" i="38"/>
  <c r="F145" i="38"/>
  <c r="G144" i="38"/>
  <c r="F144" i="38"/>
  <c r="G143" i="38"/>
  <c r="F143" i="38"/>
  <c r="G142" i="38"/>
  <c r="F142" i="38"/>
  <c r="G141" i="38"/>
  <c r="F141" i="38"/>
  <c r="G140" i="38"/>
  <c r="F140" i="38"/>
  <c r="G139" i="38"/>
  <c r="F139" i="38"/>
  <c r="G138" i="38"/>
  <c r="F138" i="38"/>
  <c r="G137" i="38"/>
  <c r="F137" i="38"/>
  <c r="G136" i="38"/>
  <c r="F136" i="38"/>
  <c r="G135" i="38"/>
  <c r="F135" i="38"/>
  <c r="G134" i="38"/>
  <c r="F134" i="38"/>
  <c r="G133" i="38"/>
  <c r="F133" i="38"/>
  <c r="G132" i="38"/>
  <c r="F132" i="38"/>
  <c r="G131" i="38"/>
  <c r="F131" i="38"/>
  <c r="G130" i="38"/>
  <c r="F130" i="38"/>
  <c r="G129" i="38"/>
  <c r="F129" i="38"/>
  <c r="G128" i="38"/>
  <c r="F128" i="38"/>
  <c r="G127" i="38"/>
  <c r="F127" i="38"/>
  <c r="G126" i="38"/>
  <c r="F126" i="38"/>
  <c r="G125" i="38"/>
  <c r="F125" i="38"/>
  <c r="G124" i="38"/>
  <c r="F124" i="38"/>
  <c r="G123" i="38"/>
  <c r="F123" i="38"/>
  <c r="G122" i="38"/>
  <c r="F122" i="38"/>
  <c r="G121" i="38"/>
  <c r="F121" i="38"/>
  <c r="G120" i="38"/>
  <c r="F120" i="38"/>
  <c r="G119" i="38"/>
  <c r="F119" i="38"/>
  <c r="G118" i="38"/>
  <c r="F118" i="38"/>
  <c r="G117" i="38"/>
  <c r="F117" i="38"/>
  <c r="G116" i="38"/>
  <c r="F116" i="38"/>
  <c r="G115" i="38"/>
  <c r="F115" i="38"/>
  <c r="G114" i="38"/>
  <c r="F114" i="38"/>
  <c r="G113" i="38"/>
  <c r="F113" i="38"/>
  <c r="G112" i="38"/>
  <c r="F112" i="38"/>
  <c r="G111" i="38"/>
  <c r="F111" i="38"/>
  <c r="G110" i="38"/>
  <c r="F110" i="38"/>
  <c r="G109" i="38"/>
  <c r="F109" i="38"/>
  <c r="G108" i="38"/>
  <c r="F108" i="38"/>
  <c r="G107" i="38"/>
  <c r="F107" i="38"/>
  <c r="G106" i="38"/>
  <c r="F106" i="38"/>
  <c r="G105" i="38"/>
  <c r="F105" i="38"/>
  <c r="G104" i="38"/>
  <c r="F104" i="38"/>
  <c r="G103" i="38"/>
  <c r="F103" i="38"/>
  <c r="G102" i="38"/>
  <c r="F102" i="38"/>
  <c r="G101" i="38"/>
  <c r="F101" i="38"/>
  <c r="G100" i="38"/>
  <c r="F100" i="38"/>
  <c r="G99" i="38"/>
  <c r="F99" i="38"/>
  <c r="G98" i="38"/>
  <c r="F98" i="38"/>
  <c r="G97" i="38"/>
  <c r="F97" i="38"/>
  <c r="D97" i="38"/>
  <c r="G96" i="38"/>
  <c r="F96" i="38"/>
  <c r="G95" i="38"/>
  <c r="F95" i="38"/>
  <c r="G94" i="38"/>
  <c r="F94" i="38"/>
  <c r="G93" i="38"/>
  <c r="F93" i="38"/>
  <c r="G92" i="38"/>
  <c r="F92" i="38"/>
  <c r="G91" i="38"/>
  <c r="F91" i="38"/>
  <c r="G90" i="38"/>
  <c r="F90" i="38"/>
  <c r="G89" i="38"/>
  <c r="F89" i="38"/>
  <c r="G88" i="38"/>
  <c r="F88" i="38"/>
  <c r="G87" i="38"/>
  <c r="F87" i="38"/>
  <c r="G86" i="38"/>
  <c r="F86" i="38"/>
  <c r="G85" i="38"/>
  <c r="F85" i="38"/>
  <c r="G84" i="38"/>
  <c r="F84" i="38"/>
  <c r="G83" i="38"/>
  <c r="F83" i="38"/>
  <c r="G82" i="38"/>
  <c r="F82" i="38"/>
  <c r="G81" i="38"/>
  <c r="F81" i="38"/>
  <c r="G80" i="38"/>
  <c r="F80" i="38"/>
  <c r="G79" i="38"/>
  <c r="F79" i="38"/>
  <c r="G78" i="38"/>
  <c r="F78" i="38"/>
  <c r="G77" i="38"/>
  <c r="F77" i="38"/>
  <c r="G76" i="38"/>
  <c r="F76" i="38"/>
  <c r="G75" i="38"/>
  <c r="F75" i="38"/>
  <c r="G74" i="38"/>
  <c r="F74" i="38"/>
  <c r="G73" i="38"/>
  <c r="F73" i="38"/>
  <c r="G72" i="38"/>
  <c r="F72" i="38"/>
  <c r="G71" i="38"/>
  <c r="F71" i="38"/>
  <c r="G70" i="38"/>
  <c r="F70" i="38"/>
  <c r="G69" i="38"/>
  <c r="F69" i="38"/>
  <c r="G68" i="38"/>
  <c r="F68" i="38"/>
  <c r="G67" i="38"/>
  <c r="F67" i="38"/>
  <c r="G66" i="38"/>
  <c r="F66" i="38"/>
  <c r="G65" i="38"/>
  <c r="F65" i="38"/>
  <c r="G64" i="38"/>
  <c r="F64" i="38"/>
  <c r="G63" i="38"/>
  <c r="F63" i="38"/>
  <c r="G62" i="38"/>
  <c r="F62" i="38"/>
  <c r="G61" i="38"/>
  <c r="F61" i="38"/>
  <c r="G60" i="38"/>
  <c r="F60" i="38"/>
  <c r="G59" i="38"/>
  <c r="F59" i="38"/>
  <c r="G58" i="38"/>
  <c r="F58" i="38"/>
  <c r="G57" i="38"/>
  <c r="F57" i="38"/>
  <c r="G56" i="38"/>
  <c r="F56" i="38"/>
  <c r="G55" i="38"/>
  <c r="F55" i="38"/>
  <c r="G54" i="38"/>
  <c r="F54" i="38"/>
  <c r="G53" i="38"/>
  <c r="F53" i="38"/>
  <c r="G52" i="38"/>
  <c r="F52" i="38"/>
  <c r="G51" i="38"/>
  <c r="F51" i="38"/>
  <c r="G50" i="38"/>
  <c r="F50" i="38"/>
  <c r="G49" i="38"/>
  <c r="F49" i="38"/>
  <c r="G48" i="38"/>
  <c r="F48" i="38"/>
  <c r="G47" i="38"/>
  <c r="F47" i="38"/>
  <c r="G46" i="38"/>
  <c r="F46" i="38"/>
  <c r="G45" i="38"/>
  <c r="F45" i="38"/>
  <c r="G44" i="38"/>
  <c r="F44" i="38"/>
  <c r="G43" i="38"/>
  <c r="F43" i="38"/>
  <c r="G42" i="38"/>
  <c r="F42" i="38"/>
  <c r="G41" i="38"/>
  <c r="F41" i="38"/>
  <c r="G40" i="38"/>
  <c r="F40" i="38"/>
  <c r="G39" i="38"/>
  <c r="F39" i="38"/>
  <c r="G38" i="38"/>
  <c r="F38" i="38"/>
  <c r="G37" i="38"/>
  <c r="F37" i="38"/>
  <c r="G36" i="38"/>
  <c r="F36" i="38"/>
  <c r="G35" i="38"/>
  <c r="F35" i="38"/>
  <c r="G34" i="38"/>
  <c r="F34" i="38"/>
  <c r="G33" i="38"/>
  <c r="F33" i="38"/>
  <c r="G32" i="38"/>
  <c r="F32" i="38"/>
  <c r="G31" i="38"/>
  <c r="F31" i="38"/>
  <c r="H31" i="38" s="1"/>
  <c r="I31" i="38" s="1"/>
  <c r="G30" i="38"/>
  <c r="F30" i="38"/>
  <c r="G29" i="38"/>
  <c r="F29" i="38"/>
  <c r="G28" i="38"/>
  <c r="F28" i="38"/>
  <c r="G27" i="38"/>
  <c r="F27" i="38"/>
  <c r="H27" i="38" s="1"/>
  <c r="I27" i="38" s="1"/>
  <c r="G26" i="38"/>
  <c r="F26" i="38"/>
  <c r="G25" i="38"/>
  <c r="F25" i="38"/>
  <c r="G24" i="38"/>
  <c r="F24" i="38"/>
  <c r="G23" i="38"/>
  <c r="F23" i="38"/>
  <c r="H23" i="38" s="1"/>
  <c r="I23" i="38" s="1"/>
  <c r="G22" i="38"/>
  <c r="F22" i="38"/>
  <c r="G21" i="38"/>
  <c r="F21" i="38"/>
  <c r="G20" i="38"/>
  <c r="F20" i="38"/>
  <c r="G19" i="38"/>
  <c r="F19" i="38"/>
  <c r="H19" i="38" s="1"/>
  <c r="I19" i="38" s="1"/>
  <c r="G18" i="38"/>
  <c r="F18" i="38"/>
  <c r="G17" i="38"/>
  <c r="F17" i="38"/>
  <c r="G16" i="38"/>
  <c r="F16" i="38"/>
  <c r="G15" i="38"/>
  <c r="F15" i="38"/>
  <c r="H15" i="38" s="1"/>
  <c r="I15" i="38" s="1"/>
  <c r="G14" i="38"/>
  <c r="F14" i="38"/>
  <c r="G13" i="38"/>
  <c r="F13" i="38"/>
  <c r="G12" i="38"/>
  <c r="F12" i="38"/>
  <c r="G11" i="38"/>
  <c r="F11" i="38"/>
  <c r="H11" i="38" s="1"/>
  <c r="I11" i="38" s="1"/>
  <c r="G10" i="38"/>
  <c r="F10" i="38"/>
  <c r="G9" i="38"/>
  <c r="F9" i="38"/>
  <c r="G8" i="38"/>
  <c r="F8" i="38"/>
  <c r="G7" i="38"/>
  <c r="F7" i="38"/>
  <c r="H7" i="38" s="1"/>
  <c r="I7" i="38" s="1"/>
  <c r="G6" i="38"/>
  <c r="F6" i="38"/>
  <c r="G5" i="38"/>
  <c r="F5" i="38"/>
  <c r="G4" i="38"/>
  <c r="F4" i="38"/>
  <c r="G3" i="38"/>
  <c r="F3" i="38"/>
  <c r="G110" i="37"/>
  <c r="F110" i="37"/>
  <c r="E110" i="37"/>
  <c r="D110" i="37"/>
  <c r="C110" i="37"/>
  <c r="H193" i="38" l="1"/>
  <c r="I193" i="38" s="1"/>
  <c r="H344" i="38"/>
  <c r="I344" i="38" s="1"/>
  <c r="H348" i="38"/>
  <c r="I348" i="38" s="1"/>
  <c r="H352" i="38"/>
  <c r="I352" i="38" s="1"/>
  <c r="D355" i="38"/>
  <c r="H192" i="38"/>
  <c r="I192" i="38" s="1"/>
  <c r="H108" i="38"/>
  <c r="I108" i="38" s="1"/>
  <c r="H112" i="38"/>
  <c r="I112" i="38" s="1"/>
  <c r="H116" i="38"/>
  <c r="I116" i="38" s="1"/>
  <c r="H120" i="38"/>
  <c r="I120" i="38" s="1"/>
  <c r="H124" i="38"/>
  <c r="I124" i="38" s="1"/>
  <c r="H128" i="38"/>
  <c r="I128" i="38" s="1"/>
  <c r="H132" i="38"/>
  <c r="I132" i="38" s="1"/>
  <c r="H136" i="38"/>
  <c r="I136" i="38" s="1"/>
  <c r="H140" i="38"/>
  <c r="I140" i="38" s="1"/>
  <c r="H144" i="38"/>
  <c r="I144" i="38" s="1"/>
  <c r="H148" i="38"/>
  <c r="I148" i="38" s="1"/>
  <c r="H152" i="38"/>
  <c r="I152" i="38" s="1"/>
  <c r="H156" i="38"/>
  <c r="I156" i="38" s="1"/>
  <c r="H160" i="38"/>
  <c r="I160" i="38" s="1"/>
  <c r="H164" i="38"/>
  <c r="I164" i="38" s="1"/>
  <c r="H168" i="38"/>
  <c r="I168" i="38" s="1"/>
  <c r="H172" i="38"/>
  <c r="I172" i="38" s="1"/>
  <c r="H176" i="38"/>
  <c r="I176" i="38" s="1"/>
  <c r="H180" i="38"/>
  <c r="I180" i="38" s="1"/>
  <c r="H184" i="38"/>
  <c r="I184" i="38" s="1"/>
  <c r="H188" i="38"/>
  <c r="I188" i="38" s="1"/>
  <c r="H331" i="38"/>
  <c r="I331" i="38" s="1"/>
  <c r="H335" i="38"/>
  <c r="I335" i="38" s="1"/>
  <c r="H339" i="38"/>
  <c r="I339" i="38" s="1"/>
  <c r="H101" i="38"/>
  <c r="I101" i="38" s="1"/>
  <c r="H105" i="38"/>
  <c r="I105" i="38" s="1"/>
  <c r="H109" i="38"/>
  <c r="I109" i="38" s="1"/>
  <c r="H113" i="38"/>
  <c r="I113" i="38" s="1"/>
  <c r="H117" i="38"/>
  <c r="I117" i="38" s="1"/>
  <c r="H121" i="38"/>
  <c r="I121" i="38" s="1"/>
  <c r="H125" i="38"/>
  <c r="I125" i="38" s="1"/>
  <c r="H129" i="38"/>
  <c r="I129" i="38" s="1"/>
  <c r="H133" i="38"/>
  <c r="I133" i="38" s="1"/>
  <c r="H137" i="38"/>
  <c r="I137" i="38" s="1"/>
  <c r="H141" i="38"/>
  <c r="I141" i="38" s="1"/>
  <c r="H145" i="38"/>
  <c r="I145" i="38" s="1"/>
  <c r="H149" i="38"/>
  <c r="I149" i="38" s="1"/>
  <c r="H153" i="38"/>
  <c r="I153" i="38" s="1"/>
  <c r="H157" i="38"/>
  <c r="I157" i="38" s="1"/>
  <c r="H161" i="38"/>
  <c r="I161" i="38" s="1"/>
  <c r="H165" i="38"/>
  <c r="I165" i="38" s="1"/>
  <c r="H169" i="38"/>
  <c r="I169" i="38" s="1"/>
  <c r="H173" i="38"/>
  <c r="I173" i="38" s="1"/>
  <c r="H177" i="38"/>
  <c r="I177" i="38" s="1"/>
  <c r="H181" i="38"/>
  <c r="I181" i="38" s="1"/>
  <c r="H185" i="38"/>
  <c r="I185" i="38" s="1"/>
  <c r="H189" i="38"/>
  <c r="I189" i="38" s="1"/>
  <c r="H256" i="38"/>
  <c r="I256" i="38" s="1"/>
  <c r="H260" i="38"/>
  <c r="I260" i="38" s="1"/>
  <c r="H264" i="38"/>
  <c r="I264" i="38" s="1"/>
  <c r="H268" i="38"/>
  <c r="I268" i="38" s="1"/>
  <c r="H272" i="38"/>
  <c r="I272" i="38" s="1"/>
  <c r="H276" i="38"/>
  <c r="I276" i="38" s="1"/>
  <c r="H280" i="38"/>
  <c r="I280" i="38" s="1"/>
  <c r="H284" i="38"/>
  <c r="I284" i="38" s="1"/>
  <c r="H288" i="38"/>
  <c r="I288" i="38" s="1"/>
  <c r="H292" i="38"/>
  <c r="I292" i="38" s="1"/>
  <c r="H296" i="38"/>
  <c r="I296" i="38" s="1"/>
  <c r="H300" i="38"/>
  <c r="I300" i="38" s="1"/>
  <c r="H304" i="38"/>
  <c r="I304" i="38" s="1"/>
  <c r="H308" i="38"/>
  <c r="I308" i="38" s="1"/>
  <c r="H312" i="38"/>
  <c r="I312" i="38" s="1"/>
  <c r="H316" i="38"/>
  <c r="I316" i="38" s="1"/>
  <c r="H320" i="38"/>
  <c r="I320" i="38" s="1"/>
  <c r="H324" i="38"/>
  <c r="I324" i="38" s="1"/>
  <c r="H35" i="38"/>
  <c r="I35" i="38" s="1"/>
  <c r="H39" i="38"/>
  <c r="I39" i="38" s="1"/>
  <c r="H43" i="38"/>
  <c r="I43" i="38" s="1"/>
  <c r="H47" i="38"/>
  <c r="I47" i="38" s="1"/>
  <c r="H51" i="38"/>
  <c r="I51" i="38" s="1"/>
  <c r="H55" i="38"/>
  <c r="I55" i="38" s="1"/>
  <c r="H59" i="38"/>
  <c r="I59" i="38" s="1"/>
  <c r="H63" i="38"/>
  <c r="I63" i="38" s="1"/>
  <c r="H67" i="38"/>
  <c r="I67" i="38" s="1"/>
  <c r="H71" i="38"/>
  <c r="I71" i="38" s="1"/>
  <c r="H75" i="38"/>
  <c r="I75" i="38" s="1"/>
  <c r="H79" i="38"/>
  <c r="I79" i="38" s="1"/>
  <c r="H83" i="38"/>
  <c r="I83" i="38" s="1"/>
  <c r="H87" i="38"/>
  <c r="I87" i="38" s="1"/>
  <c r="H91" i="38"/>
  <c r="I91" i="38" s="1"/>
  <c r="H95" i="38"/>
  <c r="I95" i="38" s="1"/>
  <c r="H106" i="38"/>
  <c r="I106" i="38" s="1"/>
  <c r="H110" i="38"/>
  <c r="I110" i="38" s="1"/>
  <c r="H114" i="38"/>
  <c r="I114" i="38" s="1"/>
  <c r="H118" i="38"/>
  <c r="I118" i="38" s="1"/>
  <c r="H122" i="38"/>
  <c r="I122" i="38" s="1"/>
  <c r="H126" i="38"/>
  <c r="I126" i="38" s="1"/>
  <c r="H130" i="38"/>
  <c r="I130" i="38" s="1"/>
  <c r="H134" i="38"/>
  <c r="I134" i="38" s="1"/>
  <c r="H138" i="38"/>
  <c r="I138" i="38" s="1"/>
  <c r="H142" i="38"/>
  <c r="I142" i="38" s="1"/>
  <c r="H146" i="38"/>
  <c r="I146" i="38" s="1"/>
  <c r="H150" i="38"/>
  <c r="I150" i="38" s="1"/>
  <c r="H154" i="38"/>
  <c r="I154" i="38" s="1"/>
  <c r="H158" i="38"/>
  <c r="I158" i="38" s="1"/>
  <c r="H162" i="38"/>
  <c r="I162" i="38" s="1"/>
  <c r="H166" i="38"/>
  <c r="I166" i="38" s="1"/>
  <c r="H170" i="38"/>
  <c r="I170" i="38" s="1"/>
  <c r="H174" i="38"/>
  <c r="I174" i="38" s="1"/>
  <c r="H178" i="38"/>
  <c r="I178" i="38" s="1"/>
  <c r="H182" i="38"/>
  <c r="I182" i="38" s="1"/>
  <c r="H186" i="38"/>
  <c r="I186" i="38" s="1"/>
  <c r="H190" i="38"/>
  <c r="I190" i="38" s="1"/>
  <c r="H329" i="38"/>
  <c r="I329" i="38" s="1"/>
  <c r="H333" i="38"/>
  <c r="I333" i="38" s="1"/>
  <c r="H337" i="38"/>
  <c r="I337" i="38" s="1"/>
  <c r="H341" i="38"/>
  <c r="I341" i="38" s="1"/>
  <c r="H345" i="38"/>
  <c r="I345" i="38" s="1"/>
  <c r="H349" i="38"/>
  <c r="I349" i="38" s="1"/>
  <c r="H353" i="38"/>
  <c r="I353" i="38" s="1"/>
  <c r="H330" i="38"/>
  <c r="I330" i="38" s="1"/>
  <c r="H334" i="38"/>
  <c r="I334" i="38" s="1"/>
  <c r="H338" i="38"/>
  <c r="I338" i="38" s="1"/>
  <c r="H99" i="38"/>
  <c r="I99" i="38" s="1"/>
  <c r="H103" i="38"/>
  <c r="I103" i="38" s="1"/>
  <c r="H107" i="38"/>
  <c r="I107" i="38" s="1"/>
  <c r="H111" i="38"/>
  <c r="I111" i="38" s="1"/>
  <c r="H115" i="38"/>
  <c r="I115" i="38" s="1"/>
  <c r="H119" i="38"/>
  <c r="I119" i="38" s="1"/>
  <c r="H123" i="38"/>
  <c r="I123" i="38" s="1"/>
  <c r="H127" i="38"/>
  <c r="I127" i="38" s="1"/>
  <c r="H131" i="38"/>
  <c r="I131" i="38" s="1"/>
  <c r="H135" i="38"/>
  <c r="I135" i="38" s="1"/>
  <c r="H139" i="38"/>
  <c r="I139" i="38" s="1"/>
  <c r="H143" i="38"/>
  <c r="I143" i="38" s="1"/>
  <c r="H147" i="38"/>
  <c r="I147" i="38" s="1"/>
  <c r="H151" i="38"/>
  <c r="I151" i="38" s="1"/>
  <c r="H155" i="38"/>
  <c r="I155" i="38" s="1"/>
  <c r="H159" i="38"/>
  <c r="I159" i="38" s="1"/>
  <c r="H163" i="38"/>
  <c r="I163" i="38" s="1"/>
  <c r="H167" i="38"/>
  <c r="I167" i="38" s="1"/>
  <c r="H171" i="38"/>
  <c r="I171" i="38" s="1"/>
  <c r="H175" i="38"/>
  <c r="I175" i="38" s="1"/>
  <c r="H179" i="38"/>
  <c r="I179" i="38" s="1"/>
  <c r="H183" i="38"/>
  <c r="I183" i="38" s="1"/>
  <c r="H187" i="38"/>
  <c r="I187" i="38" s="1"/>
  <c r="H258" i="38"/>
  <c r="I258" i="38" s="1"/>
  <c r="H262" i="38"/>
  <c r="I262" i="38" s="1"/>
  <c r="H266" i="38"/>
  <c r="I266" i="38" s="1"/>
  <c r="H270" i="38"/>
  <c r="I270" i="38" s="1"/>
  <c r="H274" i="38"/>
  <c r="I274" i="38" s="1"/>
  <c r="H278" i="38"/>
  <c r="I278" i="38" s="1"/>
  <c r="H282" i="38"/>
  <c r="I282" i="38" s="1"/>
  <c r="H286" i="38"/>
  <c r="I286" i="38" s="1"/>
  <c r="H290" i="38"/>
  <c r="I290" i="38" s="1"/>
  <c r="H294" i="38"/>
  <c r="I294" i="38" s="1"/>
  <c r="H298" i="38"/>
  <c r="I298" i="38" s="1"/>
  <c r="H302" i="38"/>
  <c r="I302" i="38" s="1"/>
  <c r="H306" i="38"/>
  <c r="I306" i="38" s="1"/>
  <c r="H310" i="38"/>
  <c r="I310" i="38" s="1"/>
  <c r="H342" i="38"/>
  <c r="I342" i="38" s="1"/>
  <c r="H346" i="38"/>
  <c r="I346" i="38" s="1"/>
  <c r="H350" i="38"/>
  <c r="I350" i="38" s="1"/>
  <c r="H354" i="38"/>
  <c r="I354" i="38" s="1"/>
  <c r="H100" i="38"/>
  <c r="I100" i="38" s="1"/>
  <c r="H104" i="38"/>
  <c r="I104" i="38" s="1"/>
  <c r="G355" i="38"/>
  <c r="H332" i="38"/>
  <c r="I332" i="38" s="1"/>
  <c r="H257" i="38"/>
  <c r="I257" i="38" s="1"/>
  <c r="H261" i="38"/>
  <c r="I261" i="38" s="1"/>
  <c r="H265" i="38"/>
  <c r="I265" i="38" s="1"/>
  <c r="H269" i="38"/>
  <c r="I269" i="38" s="1"/>
  <c r="H273" i="38"/>
  <c r="I273" i="38" s="1"/>
  <c r="H277" i="38"/>
  <c r="I277" i="38" s="1"/>
  <c r="H281" i="38"/>
  <c r="I281" i="38" s="1"/>
  <c r="H285" i="38"/>
  <c r="I285" i="38" s="1"/>
  <c r="H289" i="38"/>
  <c r="I289" i="38" s="1"/>
  <c r="H293" i="38"/>
  <c r="I293" i="38" s="1"/>
  <c r="H297" i="38"/>
  <c r="I297" i="38" s="1"/>
  <c r="H301" i="38"/>
  <c r="I301" i="38" s="1"/>
  <c r="H305" i="38"/>
  <c r="I305" i="38" s="1"/>
  <c r="H309" i="38"/>
  <c r="I309" i="38" s="1"/>
  <c r="H313" i="38"/>
  <c r="I313" i="38" s="1"/>
  <c r="H317" i="38"/>
  <c r="I317" i="38" s="1"/>
  <c r="H321" i="38"/>
  <c r="I321" i="38" s="1"/>
  <c r="H325" i="38"/>
  <c r="I325" i="38" s="1"/>
  <c r="H328" i="38"/>
  <c r="I328" i="38" s="1"/>
  <c r="H340" i="38"/>
  <c r="I340" i="38" s="1"/>
  <c r="H191" i="38"/>
  <c r="I191" i="38" s="1"/>
  <c r="H314" i="38"/>
  <c r="I314" i="38" s="1"/>
  <c r="H318" i="38"/>
  <c r="I318" i="38" s="1"/>
  <c r="H322" i="38"/>
  <c r="I322" i="38" s="1"/>
  <c r="H326" i="38"/>
  <c r="I326" i="38" s="1"/>
  <c r="H336" i="38"/>
  <c r="I336" i="38" s="1"/>
  <c r="H255" i="38"/>
  <c r="I255" i="38" s="1"/>
  <c r="H259" i="38"/>
  <c r="I259" i="38" s="1"/>
  <c r="H263" i="38"/>
  <c r="I263" i="38" s="1"/>
  <c r="H267" i="38"/>
  <c r="I267" i="38" s="1"/>
  <c r="H271" i="38"/>
  <c r="I271" i="38" s="1"/>
  <c r="H275" i="38"/>
  <c r="I275" i="38" s="1"/>
  <c r="H279" i="38"/>
  <c r="I279" i="38" s="1"/>
  <c r="H283" i="38"/>
  <c r="I283" i="38" s="1"/>
  <c r="H287" i="38"/>
  <c r="I287" i="38" s="1"/>
  <c r="H291" i="38"/>
  <c r="I291" i="38" s="1"/>
  <c r="H295" i="38"/>
  <c r="I295" i="38" s="1"/>
  <c r="H299" i="38"/>
  <c r="I299" i="38" s="1"/>
  <c r="H303" i="38"/>
  <c r="I303" i="38" s="1"/>
  <c r="H307" i="38"/>
  <c r="I307" i="38" s="1"/>
  <c r="H311" i="38"/>
  <c r="I311" i="38" s="1"/>
  <c r="H315" i="38"/>
  <c r="I315" i="38" s="1"/>
  <c r="H319" i="38"/>
  <c r="I319" i="38" s="1"/>
  <c r="H323" i="38"/>
  <c r="I323" i="38" s="1"/>
  <c r="H327" i="38"/>
  <c r="I327" i="38" s="1"/>
  <c r="H98" i="38"/>
  <c r="I98" i="38" s="1"/>
  <c r="H102" i="38"/>
  <c r="I102" i="38" s="1"/>
  <c r="H343" i="38"/>
  <c r="I343" i="38" s="1"/>
  <c r="H347" i="38"/>
  <c r="I347" i="38" s="1"/>
  <c r="H351" i="38"/>
  <c r="I351" i="38" s="1"/>
  <c r="H12" i="38"/>
  <c r="I12" i="38" s="1"/>
  <c r="H24" i="38"/>
  <c r="I24" i="38" s="1"/>
  <c r="H36" i="38"/>
  <c r="I36" i="38" s="1"/>
  <c r="H52" i="38"/>
  <c r="I52" i="38" s="1"/>
  <c r="H60" i="38"/>
  <c r="I60" i="38" s="1"/>
  <c r="H64" i="38"/>
  <c r="I64" i="38" s="1"/>
  <c r="H68" i="38"/>
  <c r="I68" i="38" s="1"/>
  <c r="H72" i="38"/>
  <c r="I72" i="38" s="1"/>
  <c r="H76" i="38"/>
  <c r="I76" i="38" s="1"/>
  <c r="H80" i="38"/>
  <c r="I80" i="38" s="1"/>
  <c r="H84" i="38"/>
  <c r="I84" i="38" s="1"/>
  <c r="H88" i="38"/>
  <c r="I88" i="38" s="1"/>
  <c r="H92" i="38"/>
  <c r="I92" i="38" s="1"/>
  <c r="H96" i="38"/>
  <c r="I96" i="38" s="1"/>
  <c r="H195" i="38"/>
  <c r="I195" i="38" s="1"/>
  <c r="H197" i="38"/>
  <c r="I197" i="38" s="1"/>
  <c r="H199" i="38"/>
  <c r="I199" i="38" s="1"/>
  <c r="H201" i="38"/>
  <c r="I201" i="38" s="1"/>
  <c r="H203" i="38"/>
  <c r="I203" i="38" s="1"/>
  <c r="H205" i="38"/>
  <c r="I205" i="38" s="1"/>
  <c r="H207" i="38"/>
  <c r="I207" i="38" s="1"/>
  <c r="H209" i="38"/>
  <c r="I209" i="38" s="1"/>
  <c r="H211" i="38"/>
  <c r="I211" i="38" s="1"/>
  <c r="H213" i="38"/>
  <c r="I213" i="38" s="1"/>
  <c r="H215" i="38"/>
  <c r="I215" i="38" s="1"/>
  <c r="H217" i="38"/>
  <c r="I217" i="38" s="1"/>
  <c r="H219" i="38"/>
  <c r="I219" i="38" s="1"/>
  <c r="H221" i="38"/>
  <c r="I221" i="38" s="1"/>
  <c r="H223" i="38"/>
  <c r="I223" i="38" s="1"/>
  <c r="H225" i="38"/>
  <c r="I225" i="38" s="1"/>
  <c r="H227" i="38"/>
  <c r="I227" i="38" s="1"/>
  <c r="H229" i="38"/>
  <c r="I229" i="38" s="1"/>
  <c r="H231" i="38"/>
  <c r="I231" i="38" s="1"/>
  <c r="H233" i="38"/>
  <c r="I233" i="38" s="1"/>
  <c r="H235" i="38"/>
  <c r="I235" i="38" s="1"/>
  <c r="H237" i="38"/>
  <c r="I237" i="38" s="1"/>
  <c r="H239" i="38"/>
  <c r="I239" i="38" s="1"/>
  <c r="H241" i="38"/>
  <c r="I241" i="38" s="1"/>
  <c r="H243" i="38"/>
  <c r="I243" i="38" s="1"/>
  <c r="H245" i="38"/>
  <c r="I245" i="38" s="1"/>
  <c r="H247" i="38"/>
  <c r="I247" i="38" s="1"/>
  <c r="H249" i="38"/>
  <c r="I249" i="38" s="1"/>
  <c r="H251" i="38"/>
  <c r="I251" i="38" s="1"/>
  <c r="H253" i="38"/>
  <c r="I253" i="38" s="1"/>
  <c r="F355" i="38"/>
  <c r="H8" i="38"/>
  <c r="I8" i="38" s="1"/>
  <c r="H20" i="38"/>
  <c r="I20" i="38" s="1"/>
  <c r="H32" i="38"/>
  <c r="I32" i="38" s="1"/>
  <c r="H44" i="38"/>
  <c r="I44" i="38" s="1"/>
  <c r="H56" i="38"/>
  <c r="I56" i="38" s="1"/>
  <c r="H17" i="38"/>
  <c r="I17" i="38" s="1"/>
  <c r="H21" i="38"/>
  <c r="I21" i="38" s="1"/>
  <c r="H25" i="38"/>
  <c r="I25" i="38" s="1"/>
  <c r="H29" i="38"/>
  <c r="I29" i="38" s="1"/>
  <c r="H33" i="38"/>
  <c r="I33" i="38" s="1"/>
  <c r="H37" i="38"/>
  <c r="I37" i="38" s="1"/>
  <c r="H41" i="38"/>
  <c r="I41" i="38" s="1"/>
  <c r="H45" i="38"/>
  <c r="I45" i="38" s="1"/>
  <c r="H49" i="38"/>
  <c r="I49" i="38" s="1"/>
  <c r="H53" i="38"/>
  <c r="I53" i="38" s="1"/>
  <c r="H57" i="38"/>
  <c r="I57" i="38" s="1"/>
  <c r="H61" i="38"/>
  <c r="I61" i="38" s="1"/>
  <c r="H65" i="38"/>
  <c r="I65" i="38" s="1"/>
  <c r="H69" i="38"/>
  <c r="I69" i="38" s="1"/>
  <c r="H73" i="38"/>
  <c r="I73" i="38" s="1"/>
  <c r="H77" i="38"/>
  <c r="I77" i="38" s="1"/>
  <c r="H81" i="38"/>
  <c r="I81" i="38" s="1"/>
  <c r="H85" i="38"/>
  <c r="I85" i="38" s="1"/>
  <c r="H89" i="38"/>
  <c r="I89" i="38" s="1"/>
  <c r="H93" i="38"/>
  <c r="I93" i="38" s="1"/>
  <c r="H4" i="38"/>
  <c r="I4" i="38" s="1"/>
  <c r="H16" i="38"/>
  <c r="I16" i="38" s="1"/>
  <c r="H28" i="38"/>
  <c r="I28" i="38" s="1"/>
  <c r="H40" i="38"/>
  <c r="I40" i="38" s="1"/>
  <c r="H48" i="38"/>
  <c r="I48" i="38" s="1"/>
  <c r="H5" i="38"/>
  <c r="I5" i="38" s="1"/>
  <c r="H9" i="38"/>
  <c r="I9" i="38" s="1"/>
  <c r="H13" i="38"/>
  <c r="I13" i="38" s="1"/>
  <c r="H3" i="38"/>
  <c r="H6" i="38"/>
  <c r="I6" i="38" s="1"/>
  <c r="H10" i="38"/>
  <c r="I10" i="38" s="1"/>
  <c r="H14" i="38"/>
  <c r="I14" i="38" s="1"/>
  <c r="H18" i="38"/>
  <c r="I18" i="38" s="1"/>
  <c r="H22" i="38"/>
  <c r="I22" i="38" s="1"/>
  <c r="H26" i="38"/>
  <c r="I26" i="38" s="1"/>
  <c r="H30" i="38"/>
  <c r="I30" i="38" s="1"/>
  <c r="H34" i="38"/>
  <c r="I34" i="38" s="1"/>
  <c r="H38" i="38"/>
  <c r="I38" i="38" s="1"/>
  <c r="H42" i="38"/>
  <c r="I42" i="38" s="1"/>
  <c r="H46" i="38"/>
  <c r="I46" i="38" s="1"/>
  <c r="H50" i="38"/>
  <c r="I50" i="38" s="1"/>
  <c r="H54" i="38"/>
  <c r="I54" i="38" s="1"/>
  <c r="H58" i="38"/>
  <c r="I58" i="38" s="1"/>
  <c r="H62" i="38"/>
  <c r="I62" i="38" s="1"/>
  <c r="H66" i="38"/>
  <c r="I66" i="38" s="1"/>
  <c r="H70" i="38"/>
  <c r="I70" i="38" s="1"/>
  <c r="H74" i="38"/>
  <c r="I74" i="38" s="1"/>
  <c r="H78" i="38"/>
  <c r="I78" i="38" s="1"/>
  <c r="H82" i="38"/>
  <c r="I82" i="38" s="1"/>
  <c r="H86" i="38"/>
  <c r="I86" i="38" s="1"/>
  <c r="H90" i="38"/>
  <c r="I90" i="38" s="1"/>
  <c r="H94" i="38"/>
  <c r="I94" i="38" s="1"/>
  <c r="H97" i="38"/>
  <c r="I97" i="38" s="1"/>
  <c r="H194" i="38"/>
  <c r="I194" i="38" s="1"/>
  <c r="H196" i="38"/>
  <c r="I196" i="38" s="1"/>
  <c r="H198" i="38"/>
  <c r="I198" i="38" s="1"/>
  <c r="H200" i="38"/>
  <c r="I200" i="38" s="1"/>
  <c r="H202" i="38"/>
  <c r="I202" i="38" s="1"/>
  <c r="H204" i="38"/>
  <c r="I204" i="38" s="1"/>
  <c r="H206" i="38"/>
  <c r="I206" i="38" s="1"/>
  <c r="H208" i="38"/>
  <c r="I208" i="38" s="1"/>
  <c r="H210" i="38"/>
  <c r="I210" i="38" s="1"/>
  <c r="H212" i="38"/>
  <c r="I212" i="38" s="1"/>
  <c r="H214" i="38"/>
  <c r="I214" i="38" s="1"/>
  <c r="H216" i="38"/>
  <c r="I216" i="38" s="1"/>
  <c r="H218" i="38"/>
  <c r="I218" i="38" s="1"/>
  <c r="H220" i="38"/>
  <c r="I220" i="38" s="1"/>
  <c r="H222" i="38"/>
  <c r="I222" i="38" s="1"/>
  <c r="H224" i="38"/>
  <c r="I224" i="38" s="1"/>
  <c r="H226" i="38"/>
  <c r="I226" i="38" s="1"/>
  <c r="H228" i="38"/>
  <c r="I228" i="38" s="1"/>
  <c r="H230" i="38"/>
  <c r="I230" i="38" s="1"/>
  <c r="H232" i="38"/>
  <c r="I232" i="38" s="1"/>
  <c r="H234" i="38"/>
  <c r="I234" i="38" s="1"/>
  <c r="H236" i="38"/>
  <c r="I236" i="38" s="1"/>
  <c r="H238" i="38"/>
  <c r="I238" i="38" s="1"/>
  <c r="H240" i="38"/>
  <c r="I240" i="38" s="1"/>
  <c r="H242" i="38"/>
  <c r="I242" i="38" s="1"/>
  <c r="H244" i="38"/>
  <c r="I244" i="38" s="1"/>
  <c r="H246" i="38"/>
  <c r="I246" i="38" s="1"/>
  <c r="H248" i="38"/>
  <c r="I248" i="38" s="1"/>
  <c r="H250" i="38"/>
  <c r="I250" i="38" s="1"/>
  <c r="H252" i="38"/>
  <c r="I252" i="38" s="1"/>
  <c r="H254" i="38"/>
  <c r="I254" i="38" s="1"/>
  <c r="H355" i="38" l="1"/>
  <c r="I3" i="38"/>
  <c r="I355" i="38" s="1"/>
  <c r="D359" i="20" l="1"/>
  <c r="E359" i="20" l="1"/>
  <c r="C359" i="20"/>
  <c r="D296" i="23"/>
  <c r="G106" i="35" l="1"/>
  <c r="F106" i="35"/>
  <c r="E106" i="35"/>
  <c r="D106" i="35"/>
  <c r="C106" i="35"/>
  <c r="E355" i="33"/>
  <c r="D355" i="33"/>
  <c r="C355" i="33"/>
  <c r="G354" i="33"/>
  <c r="F354" i="33"/>
  <c r="G353" i="33"/>
  <c r="F353" i="33"/>
  <c r="G352" i="33"/>
  <c r="F352" i="33"/>
  <c r="G351" i="33"/>
  <c r="F351" i="33"/>
  <c r="G350" i="33"/>
  <c r="F350" i="33"/>
  <c r="G349" i="33"/>
  <c r="F349" i="33"/>
  <c r="G348" i="33"/>
  <c r="F348" i="33"/>
  <c r="G347" i="33"/>
  <c r="F347" i="33"/>
  <c r="G346" i="33"/>
  <c r="F346" i="33"/>
  <c r="G345" i="33"/>
  <c r="F345" i="33"/>
  <c r="G344" i="33"/>
  <c r="F344" i="33"/>
  <c r="G343" i="33"/>
  <c r="F343" i="33"/>
  <c r="G342" i="33"/>
  <c r="F342" i="33"/>
  <c r="G341" i="33"/>
  <c r="F341" i="33"/>
  <c r="G340" i="33"/>
  <c r="F340" i="33"/>
  <c r="G339" i="33"/>
  <c r="F339" i="33"/>
  <c r="G338" i="33"/>
  <c r="F338" i="33"/>
  <c r="G337" i="33"/>
  <c r="F337" i="33"/>
  <c r="G336" i="33"/>
  <c r="F336" i="33"/>
  <c r="G335" i="33"/>
  <c r="F335" i="33"/>
  <c r="G334" i="33"/>
  <c r="F334" i="33"/>
  <c r="G333" i="33"/>
  <c r="F333" i="33"/>
  <c r="G332" i="33"/>
  <c r="F332" i="33"/>
  <c r="G331" i="33"/>
  <c r="F331" i="33"/>
  <c r="G330" i="33"/>
  <c r="F330" i="33"/>
  <c r="G329" i="33"/>
  <c r="F329" i="33"/>
  <c r="G328" i="33"/>
  <c r="F328" i="33"/>
  <c r="G327" i="33"/>
  <c r="F327" i="33"/>
  <c r="G326" i="33"/>
  <c r="F326" i="33"/>
  <c r="G325" i="33"/>
  <c r="F325" i="33"/>
  <c r="G324" i="33"/>
  <c r="F324" i="33"/>
  <c r="G323" i="33"/>
  <c r="F323" i="33"/>
  <c r="G322" i="33"/>
  <c r="F322" i="33"/>
  <c r="G321" i="33"/>
  <c r="F321" i="33"/>
  <c r="G320" i="33"/>
  <c r="F320" i="33"/>
  <c r="G319" i="33"/>
  <c r="F319" i="33"/>
  <c r="G318" i="33"/>
  <c r="F318" i="33"/>
  <c r="G317" i="33"/>
  <c r="F317" i="33"/>
  <c r="G316" i="33"/>
  <c r="F316" i="33"/>
  <c r="G315" i="33"/>
  <c r="F315" i="33"/>
  <c r="G314" i="33"/>
  <c r="F314" i="33"/>
  <c r="G313" i="33"/>
  <c r="F313" i="33"/>
  <c r="G312" i="33"/>
  <c r="F312" i="33"/>
  <c r="G311" i="33"/>
  <c r="F311" i="33"/>
  <c r="G310" i="33"/>
  <c r="F310" i="33"/>
  <c r="G309" i="33"/>
  <c r="F309" i="33"/>
  <c r="G308" i="33"/>
  <c r="F308" i="33"/>
  <c r="G307" i="33"/>
  <c r="F307" i="33"/>
  <c r="G306" i="33"/>
  <c r="F306" i="33"/>
  <c r="G305" i="33"/>
  <c r="F305" i="33"/>
  <c r="G304" i="33"/>
  <c r="F304" i="33"/>
  <c r="G303" i="33"/>
  <c r="F303" i="33"/>
  <c r="G302" i="33"/>
  <c r="F302" i="33"/>
  <c r="G301" i="33"/>
  <c r="F301" i="33"/>
  <c r="G300" i="33"/>
  <c r="F300" i="33"/>
  <c r="G299" i="33"/>
  <c r="F299" i="33"/>
  <c r="G298" i="33"/>
  <c r="F298" i="33"/>
  <c r="G297" i="33"/>
  <c r="F297" i="33"/>
  <c r="G296" i="33"/>
  <c r="F296" i="33"/>
  <c r="G295" i="33"/>
  <c r="F295" i="33"/>
  <c r="G294" i="33"/>
  <c r="F294" i="33"/>
  <c r="G293" i="33"/>
  <c r="F293" i="33"/>
  <c r="G292" i="33"/>
  <c r="F292" i="33"/>
  <c r="G291" i="33"/>
  <c r="F291" i="33"/>
  <c r="G290" i="33"/>
  <c r="F290" i="33"/>
  <c r="G289" i="33"/>
  <c r="F289" i="33"/>
  <c r="G288" i="33"/>
  <c r="F288" i="33"/>
  <c r="G287" i="33"/>
  <c r="F287" i="33"/>
  <c r="G286" i="33"/>
  <c r="F286" i="33"/>
  <c r="G285" i="33"/>
  <c r="F285" i="33"/>
  <c r="G284" i="33"/>
  <c r="F284" i="33"/>
  <c r="G283" i="33"/>
  <c r="F283" i="33"/>
  <c r="G282" i="33"/>
  <c r="F282" i="33"/>
  <c r="G281" i="33"/>
  <c r="F281" i="33"/>
  <c r="G280" i="33"/>
  <c r="F280" i="33"/>
  <c r="G279" i="33"/>
  <c r="F279" i="33"/>
  <c r="G278" i="33"/>
  <c r="F278" i="33"/>
  <c r="G277" i="33"/>
  <c r="F277" i="33"/>
  <c r="G276" i="33"/>
  <c r="F276" i="33"/>
  <c r="G275" i="33"/>
  <c r="F275" i="33"/>
  <c r="G274" i="33"/>
  <c r="F274" i="33"/>
  <c r="G273" i="33"/>
  <c r="F273" i="33"/>
  <c r="G272" i="33"/>
  <c r="F272" i="33"/>
  <c r="G271" i="33"/>
  <c r="F271" i="33"/>
  <c r="G270" i="33"/>
  <c r="F270" i="33"/>
  <c r="G269" i="33"/>
  <c r="F269" i="33"/>
  <c r="G268" i="33"/>
  <c r="F268" i="33"/>
  <c r="G267" i="33"/>
  <c r="F267" i="33"/>
  <c r="G266" i="33"/>
  <c r="F266" i="33"/>
  <c r="G265" i="33"/>
  <c r="F265" i="33"/>
  <c r="G264" i="33"/>
  <c r="F264" i="33"/>
  <c r="G263" i="33"/>
  <c r="F263" i="33"/>
  <c r="G262" i="33"/>
  <c r="F262" i="33"/>
  <c r="G261" i="33"/>
  <c r="F261" i="33"/>
  <c r="G260" i="33"/>
  <c r="F260" i="33"/>
  <c r="G259" i="33"/>
  <c r="F259" i="33"/>
  <c r="G258" i="33"/>
  <c r="F258" i="33"/>
  <c r="G257" i="33"/>
  <c r="F257" i="33"/>
  <c r="G256" i="33"/>
  <c r="F256" i="33"/>
  <c r="G255" i="33"/>
  <c r="F255" i="33"/>
  <c r="G254" i="33"/>
  <c r="F254" i="33"/>
  <c r="G253" i="33"/>
  <c r="F253" i="33"/>
  <c r="G252" i="33"/>
  <c r="F252" i="33"/>
  <c r="G251" i="33"/>
  <c r="F251" i="33"/>
  <c r="G250" i="33"/>
  <c r="F250" i="33"/>
  <c r="G249" i="33"/>
  <c r="F249" i="33"/>
  <c r="G248" i="33"/>
  <c r="F248" i="33"/>
  <c r="G247" i="33"/>
  <c r="F247" i="33"/>
  <c r="G246" i="33"/>
  <c r="F246" i="33"/>
  <c r="G245" i="33"/>
  <c r="F245" i="33"/>
  <c r="G244" i="33"/>
  <c r="F244" i="33"/>
  <c r="G243" i="33"/>
  <c r="F243" i="33"/>
  <c r="G242" i="33"/>
  <c r="F242" i="33"/>
  <c r="G241" i="33"/>
  <c r="F241" i="33"/>
  <c r="G240" i="33"/>
  <c r="F240" i="33"/>
  <c r="G239" i="33"/>
  <c r="F239" i="33"/>
  <c r="G238" i="33"/>
  <c r="F238" i="33"/>
  <c r="G237" i="33"/>
  <c r="F237" i="33"/>
  <c r="G236" i="33"/>
  <c r="F236" i="33"/>
  <c r="G235" i="33"/>
  <c r="F235" i="33"/>
  <c r="G234" i="33"/>
  <c r="F234" i="33"/>
  <c r="G233" i="33"/>
  <c r="F233" i="33"/>
  <c r="G232" i="33"/>
  <c r="F232" i="33"/>
  <c r="G231" i="33"/>
  <c r="F231" i="33"/>
  <c r="G230" i="33"/>
  <c r="F230" i="33"/>
  <c r="G229" i="33"/>
  <c r="F229" i="33"/>
  <c r="G228" i="33"/>
  <c r="F228" i="33"/>
  <c r="G227" i="33"/>
  <c r="F227" i="33"/>
  <c r="G226" i="33"/>
  <c r="F226" i="33"/>
  <c r="G225" i="33"/>
  <c r="F225" i="33"/>
  <c r="G224" i="33"/>
  <c r="F224" i="33"/>
  <c r="G223" i="33"/>
  <c r="F223" i="33"/>
  <c r="G222" i="33"/>
  <c r="F222" i="33"/>
  <c r="G221" i="33"/>
  <c r="F221" i="33"/>
  <c r="G220" i="33"/>
  <c r="F220" i="33"/>
  <c r="G219" i="33"/>
  <c r="F219" i="33"/>
  <c r="G218" i="33"/>
  <c r="F218" i="33"/>
  <c r="G217" i="33"/>
  <c r="F217" i="33"/>
  <c r="G216" i="33"/>
  <c r="F216" i="33"/>
  <c r="G215" i="33"/>
  <c r="F215" i="33"/>
  <c r="G214" i="33"/>
  <c r="F214" i="33"/>
  <c r="G213" i="33"/>
  <c r="F213" i="33"/>
  <c r="G212" i="33"/>
  <c r="F212" i="33"/>
  <c r="G211" i="33"/>
  <c r="F211" i="33"/>
  <c r="G210" i="33"/>
  <c r="F210" i="33"/>
  <c r="G209" i="33"/>
  <c r="F209" i="33"/>
  <c r="G208" i="33"/>
  <c r="F208" i="33"/>
  <c r="G207" i="33"/>
  <c r="F207" i="33"/>
  <c r="G206" i="33"/>
  <c r="F206" i="33"/>
  <c r="G205" i="33"/>
  <c r="F205" i="33"/>
  <c r="G204" i="33"/>
  <c r="F204" i="33"/>
  <c r="G203" i="33"/>
  <c r="F203" i="33"/>
  <c r="G202" i="33"/>
  <c r="F202" i="33"/>
  <c r="G201" i="33"/>
  <c r="F201" i="33"/>
  <c r="G200" i="33"/>
  <c r="F200" i="33"/>
  <c r="G199" i="33"/>
  <c r="F199" i="33"/>
  <c r="G198" i="33"/>
  <c r="F198" i="33"/>
  <c r="G197" i="33"/>
  <c r="F197" i="33"/>
  <c r="G196" i="33"/>
  <c r="F196" i="33"/>
  <c r="G195" i="33"/>
  <c r="F195" i="33"/>
  <c r="G194" i="33"/>
  <c r="F194" i="33"/>
  <c r="G193" i="33"/>
  <c r="F193" i="33"/>
  <c r="G192" i="33"/>
  <c r="F192" i="33"/>
  <c r="G191" i="33"/>
  <c r="F191" i="33"/>
  <c r="G190" i="33"/>
  <c r="F190" i="33"/>
  <c r="G189" i="33"/>
  <c r="F189" i="33"/>
  <c r="G188" i="33"/>
  <c r="F188" i="33"/>
  <c r="G187" i="33"/>
  <c r="F187" i="33"/>
  <c r="G186" i="33"/>
  <c r="F186" i="33"/>
  <c r="G185" i="33"/>
  <c r="F185" i="33"/>
  <c r="G184" i="33"/>
  <c r="F184" i="33"/>
  <c r="G183" i="33"/>
  <c r="F183" i="33"/>
  <c r="G182" i="33"/>
  <c r="F182" i="33"/>
  <c r="G181" i="33"/>
  <c r="F181" i="33"/>
  <c r="G180" i="33"/>
  <c r="F180" i="33"/>
  <c r="G179" i="33"/>
  <c r="F179" i="33"/>
  <c r="G178" i="33"/>
  <c r="F178" i="33"/>
  <c r="G177" i="33"/>
  <c r="F177" i="33"/>
  <c r="G176" i="33"/>
  <c r="F176" i="33"/>
  <c r="G175" i="33"/>
  <c r="F175" i="33"/>
  <c r="G174" i="33"/>
  <c r="F174" i="33"/>
  <c r="G173" i="33"/>
  <c r="F173" i="33"/>
  <c r="G172" i="33"/>
  <c r="F172" i="33"/>
  <c r="G171" i="33"/>
  <c r="F171" i="33"/>
  <c r="G170" i="33"/>
  <c r="F170" i="33"/>
  <c r="G169" i="33"/>
  <c r="F169" i="33"/>
  <c r="G168" i="33"/>
  <c r="F168" i="33"/>
  <c r="G167" i="33"/>
  <c r="F167" i="33"/>
  <c r="G166" i="33"/>
  <c r="F166" i="33"/>
  <c r="G165" i="33"/>
  <c r="F165" i="33"/>
  <c r="G164" i="33"/>
  <c r="F164" i="33"/>
  <c r="G163" i="33"/>
  <c r="F163" i="33"/>
  <c r="G162" i="33"/>
  <c r="F162" i="33"/>
  <c r="G161" i="33"/>
  <c r="F161" i="33"/>
  <c r="G160" i="33"/>
  <c r="F160" i="33"/>
  <c r="G159" i="33"/>
  <c r="F159" i="33"/>
  <c r="G158" i="33"/>
  <c r="F158" i="33"/>
  <c r="G157" i="33"/>
  <c r="F157" i="33"/>
  <c r="G156" i="33"/>
  <c r="F156" i="33"/>
  <c r="G155" i="33"/>
  <c r="F155" i="33"/>
  <c r="G154" i="33"/>
  <c r="F154" i="33"/>
  <c r="G153" i="33"/>
  <c r="F153" i="33"/>
  <c r="G152" i="33"/>
  <c r="F152" i="33"/>
  <c r="G151" i="33"/>
  <c r="F151" i="33"/>
  <c r="G150" i="33"/>
  <c r="F150" i="33"/>
  <c r="G149" i="33"/>
  <c r="F149" i="33"/>
  <c r="G148" i="33"/>
  <c r="F148" i="33"/>
  <c r="G147" i="33"/>
  <c r="F147" i="33"/>
  <c r="G146" i="33"/>
  <c r="F146" i="33"/>
  <c r="G145" i="33"/>
  <c r="F145" i="33"/>
  <c r="G144" i="33"/>
  <c r="F144" i="33"/>
  <c r="G143" i="33"/>
  <c r="F143" i="33"/>
  <c r="G142" i="33"/>
  <c r="F142" i="33"/>
  <c r="G141" i="33"/>
  <c r="F141" i="33"/>
  <c r="G140" i="33"/>
  <c r="F140" i="33"/>
  <c r="G139" i="33"/>
  <c r="F139" i="33"/>
  <c r="G138" i="33"/>
  <c r="F138" i="33"/>
  <c r="G137" i="33"/>
  <c r="F137" i="33"/>
  <c r="G136" i="33"/>
  <c r="F136" i="33"/>
  <c r="G135" i="33"/>
  <c r="F135" i="33"/>
  <c r="G134" i="33"/>
  <c r="F134" i="33"/>
  <c r="G133" i="33"/>
  <c r="F133" i="33"/>
  <c r="G132" i="33"/>
  <c r="F132" i="33"/>
  <c r="G131" i="33"/>
  <c r="F131" i="33"/>
  <c r="G130" i="33"/>
  <c r="F130" i="33"/>
  <c r="G129" i="33"/>
  <c r="F129" i="33"/>
  <c r="G128" i="33"/>
  <c r="F128" i="33"/>
  <c r="G127" i="33"/>
  <c r="F127" i="33"/>
  <c r="G126" i="33"/>
  <c r="F126" i="33"/>
  <c r="G125" i="33"/>
  <c r="F125" i="33"/>
  <c r="G124" i="33"/>
  <c r="F124" i="33"/>
  <c r="G123" i="33"/>
  <c r="F123" i="33"/>
  <c r="G122" i="33"/>
  <c r="F122" i="33"/>
  <c r="G121" i="33"/>
  <c r="F121" i="33"/>
  <c r="G120" i="33"/>
  <c r="F120" i="33"/>
  <c r="G119" i="33"/>
  <c r="F119" i="33"/>
  <c r="G118" i="33"/>
  <c r="F118" i="33"/>
  <c r="G117" i="33"/>
  <c r="F117" i="33"/>
  <c r="G116" i="33"/>
  <c r="F116" i="33"/>
  <c r="G115" i="33"/>
  <c r="F115" i="33"/>
  <c r="G114" i="33"/>
  <c r="F114" i="33"/>
  <c r="G113" i="33"/>
  <c r="F113" i="33"/>
  <c r="G112" i="33"/>
  <c r="F112" i="33"/>
  <c r="G111" i="33"/>
  <c r="F111" i="33"/>
  <c r="G110" i="33"/>
  <c r="F110" i="33"/>
  <c r="G109" i="33"/>
  <c r="F109" i="33"/>
  <c r="G108" i="33"/>
  <c r="F108" i="33"/>
  <c r="G107" i="33"/>
  <c r="F107" i="33"/>
  <c r="G106" i="33"/>
  <c r="F106" i="33"/>
  <c r="G105" i="33"/>
  <c r="F105" i="33"/>
  <c r="G104" i="33"/>
  <c r="F104" i="33"/>
  <c r="G103" i="33"/>
  <c r="F103" i="33"/>
  <c r="G102" i="33"/>
  <c r="F102" i="33"/>
  <c r="G101" i="33"/>
  <c r="F101" i="33"/>
  <c r="G100" i="33"/>
  <c r="F100" i="33"/>
  <c r="G99" i="33"/>
  <c r="F99" i="33"/>
  <c r="G98" i="33"/>
  <c r="F98" i="33"/>
  <c r="G97" i="33"/>
  <c r="F97" i="33"/>
  <c r="G96" i="33"/>
  <c r="F96" i="33"/>
  <c r="G95" i="33"/>
  <c r="F95" i="33"/>
  <c r="G94" i="33"/>
  <c r="F94" i="33"/>
  <c r="G93" i="33"/>
  <c r="F93" i="33"/>
  <c r="G92" i="33"/>
  <c r="F92" i="33"/>
  <c r="G91" i="33"/>
  <c r="F91" i="33"/>
  <c r="G90" i="33"/>
  <c r="F90" i="33"/>
  <c r="G89" i="33"/>
  <c r="F89" i="33"/>
  <c r="G88" i="33"/>
  <c r="F88" i="33"/>
  <c r="G87" i="33"/>
  <c r="F87" i="33"/>
  <c r="G86" i="33"/>
  <c r="F86" i="33"/>
  <c r="G85" i="33"/>
  <c r="F85" i="33"/>
  <c r="G84" i="33"/>
  <c r="F84" i="33"/>
  <c r="G83" i="33"/>
  <c r="F83" i="33"/>
  <c r="G82" i="33"/>
  <c r="F82" i="33"/>
  <c r="G81" i="33"/>
  <c r="F81" i="33"/>
  <c r="G80" i="33"/>
  <c r="F80" i="33"/>
  <c r="G79" i="33"/>
  <c r="F79" i="33"/>
  <c r="G78" i="33"/>
  <c r="F78" i="33"/>
  <c r="G77" i="33"/>
  <c r="F77" i="33"/>
  <c r="G76" i="33"/>
  <c r="F76" i="33"/>
  <c r="G75" i="33"/>
  <c r="F75" i="33"/>
  <c r="G74" i="33"/>
  <c r="F74" i="33"/>
  <c r="G73" i="33"/>
  <c r="F73" i="33"/>
  <c r="G72" i="33"/>
  <c r="F72" i="33"/>
  <c r="G71" i="33"/>
  <c r="F71" i="33"/>
  <c r="G70" i="33"/>
  <c r="F70" i="33"/>
  <c r="G69" i="33"/>
  <c r="F69" i="33"/>
  <c r="G68" i="33"/>
  <c r="F68" i="33"/>
  <c r="G67" i="33"/>
  <c r="F67" i="33"/>
  <c r="G66" i="33"/>
  <c r="F66" i="33"/>
  <c r="G65" i="33"/>
  <c r="F65" i="33"/>
  <c r="G64" i="33"/>
  <c r="F64" i="33"/>
  <c r="G63" i="33"/>
  <c r="F63" i="33"/>
  <c r="G62" i="33"/>
  <c r="F62" i="33"/>
  <c r="G61" i="33"/>
  <c r="F61" i="33"/>
  <c r="G60" i="33"/>
  <c r="F60" i="33"/>
  <c r="G59" i="33"/>
  <c r="F59" i="33"/>
  <c r="G58" i="33"/>
  <c r="F58" i="33"/>
  <c r="G57" i="33"/>
  <c r="F57" i="33"/>
  <c r="G56" i="33"/>
  <c r="F56" i="33"/>
  <c r="G55" i="33"/>
  <c r="F55" i="33"/>
  <c r="G54" i="33"/>
  <c r="F54" i="33"/>
  <c r="G53" i="33"/>
  <c r="F53" i="33"/>
  <c r="G52" i="33"/>
  <c r="F52" i="33"/>
  <c r="G51" i="33"/>
  <c r="F51" i="33"/>
  <c r="G50" i="33"/>
  <c r="F50" i="33"/>
  <c r="G49" i="33"/>
  <c r="F49" i="33"/>
  <c r="G48" i="33"/>
  <c r="F48" i="33"/>
  <c r="G47" i="33"/>
  <c r="F47" i="33"/>
  <c r="G46" i="33"/>
  <c r="F46" i="33"/>
  <c r="G45" i="33"/>
  <c r="F45" i="33"/>
  <c r="G44" i="33"/>
  <c r="F44" i="33"/>
  <c r="G43" i="33"/>
  <c r="F43" i="33"/>
  <c r="G42" i="33"/>
  <c r="F42" i="33"/>
  <c r="G41" i="33"/>
  <c r="F41" i="33"/>
  <c r="G40" i="33"/>
  <c r="F40" i="33"/>
  <c r="G39" i="33"/>
  <c r="F39" i="33"/>
  <c r="G38" i="33"/>
  <c r="F38" i="33"/>
  <c r="G37" i="33"/>
  <c r="F37" i="33"/>
  <c r="G36" i="33"/>
  <c r="F36" i="33"/>
  <c r="G35" i="33"/>
  <c r="F35" i="33"/>
  <c r="G34" i="33"/>
  <c r="F34" i="33"/>
  <c r="G33" i="33"/>
  <c r="F33" i="33"/>
  <c r="G32" i="33"/>
  <c r="F32" i="33"/>
  <c r="G31" i="33"/>
  <c r="F31" i="33"/>
  <c r="G30" i="33"/>
  <c r="F30" i="33"/>
  <c r="G29" i="33"/>
  <c r="F29" i="33"/>
  <c r="G28" i="33"/>
  <c r="F28" i="33"/>
  <c r="G27" i="33"/>
  <c r="F27" i="33"/>
  <c r="G26" i="33"/>
  <c r="F26" i="33"/>
  <c r="G25" i="33"/>
  <c r="F25" i="33"/>
  <c r="G24" i="33"/>
  <c r="F24" i="33"/>
  <c r="G23" i="33"/>
  <c r="F23" i="33"/>
  <c r="G22" i="33"/>
  <c r="F22" i="33"/>
  <c r="G21" i="33"/>
  <c r="F21" i="33"/>
  <c r="G20" i="33"/>
  <c r="F20" i="33"/>
  <c r="G19" i="33"/>
  <c r="F19" i="33"/>
  <c r="G18" i="33"/>
  <c r="F18" i="33"/>
  <c r="G17" i="33"/>
  <c r="F17" i="33"/>
  <c r="G16" i="33"/>
  <c r="F16" i="33"/>
  <c r="G15" i="33"/>
  <c r="F15" i="33"/>
  <c r="G14" i="33"/>
  <c r="F14" i="33"/>
  <c r="G13" i="33"/>
  <c r="F13" i="33"/>
  <c r="G12" i="33"/>
  <c r="F12" i="33"/>
  <c r="G11" i="33"/>
  <c r="F11" i="33"/>
  <c r="G10" i="33"/>
  <c r="F10" i="33"/>
  <c r="G9" i="33"/>
  <c r="F9" i="33"/>
  <c r="G8" i="33"/>
  <c r="F8" i="33"/>
  <c r="G7" i="33"/>
  <c r="F7" i="33"/>
  <c r="G6" i="33"/>
  <c r="F6" i="33"/>
  <c r="G5" i="33"/>
  <c r="F5" i="33"/>
  <c r="G4" i="33"/>
  <c r="F4" i="33"/>
  <c r="G3" i="33"/>
  <c r="F3" i="33"/>
  <c r="H354" i="33" l="1"/>
  <c r="I354" i="33" s="1"/>
  <c r="H105" i="33"/>
  <c r="I105" i="33" s="1"/>
  <c r="H216" i="33"/>
  <c r="I216" i="33" s="1"/>
  <c r="H220" i="33"/>
  <c r="I220" i="33" s="1"/>
  <c r="H222" i="33"/>
  <c r="I222" i="33" s="1"/>
  <c r="H224" i="33"/>
  <c r="I224" i="33" s="1"/>
  <c r="H226" i="33"/>
  <c r="I226" i="33" s="1"/>
  <c r="H228" i="33"/>
  <c r="I228" i="33" s="1"/>
  <c r="H230" i="33"/>
  <c r="I230" i="33" s="1"/>
  <c r="H232" i="33"/>
  <c r="I232" i="33" s="1"/>
  <c r="H234" i="33"/>
  <c r="I234" i="33" s="1"/>
  <c r="H236" i="33"/>
  <c r="I236" i="33" s="1"/>
  <c r="H238" i="33"/>
  <c r="I238" i="33" s="1"/>
  <c r="H102" i="33"/>
  <c r="I102" i="33" s="1"/>
  <c r="H114" i="33"/>
  <c r="I114" i="33" s="1"/>
  <c r="H120" i="33"/>
  <c r="I120" i="33" s="1"/>
  <c r="H122" i="33"/>
  <c r="I122" i="33" s="1"/>
  <c r="H126" i="33"/>
  <c r="I126" i="33" s="1"/>
  <c r="H128" i="33"/>
  <c r="I128" i="33" s="1"/>
  <c r="H130" i="33"/>
  <c r="I130" i="33" s="1"/>
  <c r="H136" i="33"/>
  <c r="I136" i="33" s="1"/>
  <c r="H138" i="33"/>
  <c r="I138" i="33" s="1"/>
  <c r="H140" i="33"/>
  <c r="I140" i="33" s="1"/>
  <c r="H142" i="33"/>
  <c r="I142" i="33" s="1"/>
  <c r="H144" i="33"/>
  <c r="I144" i="33" s="1"/>
  <c r="H146" i="33"/>
  <c r="I146" i="33" s="1"/>
  <c r="H148" i="33"/>
  <c r="I148" i="33" s="1"/>
  <c r="H150" i="33"/>
  <c r="I150" i="33" s="1"/>
  <c r="H152" i="33"/>
  <c r="I152" i="33" s="1"/>
  <c r="H154" i="33"/>
  <c r="I154" i="33" s="1"/>
  <c r="H156" i="33"/>
  <c r="I156" i="33" s="1"/>
  <c r="H158" i="33"/>
  <c r="I158" i="33" s="1"/>
  <c r="H160" i="33"/>
  <c r="I160" i="33" s="1"/>
  <c r="H162" i="33"/>
  <c r="I162" i="33" s="1"/>
  <c r="H164" i="33"/>
  <c r="I164" i="33" s="1"/>
  <c r="H166" i="33"/>
  <c r="I166" i="33" s="1"/>
  <c r="H168" i="33"/>
  <c r="I168" i="33" s="1"/>
  <c r="H170" i="33"/>
  <c r="I170" i="33" s="1"/>
  <c r="H172" i="33"/>
  <c r="I172" i="33" s="1"/>
  <c r="H174" i="33"/>
  <c r="I174" i="33" s="1"/>
  <c r="H176" i="33"/>
  <c r="I176" i="33" s="1"/>
  <c r="H178" i="33"/>
  <c r="I178" i="33" s="1"/>
  <c r="H180" i="33"/>
  <c r="I180" i="33" s="1"/>
  <c r="H182" i="33"/>
  <c r="I182" i="33" s="1"/>
  <c r="H184" i="33"/>
  <c r="I184" i="33" s="1"/>
  <c r="H186" i="33"/>
  <c r="I186" i="33" s="1"/>
  <c r="H188" i="33"/>
  <c r="I188" i="33" s="1"/>
  <c r="H190" i="33"/>
  <c r="I190" i="33" s="1"/>
  <c r="H192" i="33"/>
  <c r="I192" i="33" s="1"/>
  <c r="H194" i="33"/>
  <c r="I194" i="33" s="1"/>
  <c r="H196" i="33"/>
  <c r="I196" i="33" s="1"/>
  <c r="H198" i="33"/>
  <c r="I198" i="33" s="1"/>
  <c r="H200" i="33"/>
  <c r="I200" i="33" s="1"/>
  <c r="H202" i="33"/>
  <c r="I202" i="33" s="1"/>
  <c r="H204" i="33"/>
  <c r="I204" i="33" s="1"/>
  <c r="H206" i="33"/>
  <c r="I206" i="33" s="1"/>
  <c r="H208" i="33"/>
  <c r="I208" i="33" s="1"/>
  <c r="H210" i="33"/>
  <c r="I210" i="33" s="1"/>
  <c r="H212" i="33"/>
  <c r="I212" i="33" s="1"/>
  <c r="H214" i="33"/>
  <c r="I214" i="33" s="1"/>
  <c r="H240" i="33"/>
  <c r="I240" i="33" s="1"/>
  <c r="H117" i="33"/>
  <c r="I117" i="33" s="1"/>
  <c r="H125" i="33"/>
  <c r="I125" i="33" s="1"/>
  <c r="H133" i="33"/>
  <c r="I133" i="33" s="1"/>
  <c r="H109" i="33"/>
  <c r="I109" i="33" s="1"/>
  <c r="H119" i="33"/>
  <c r="I119" i="33" s="1"/>
  <c r="H127" i="33"/>
  <c r="I127" i="33" s="1"/>
  <c r="H134" i="33"/>
  <c r="I134" i="33" s="1"/>
  <c r="G355" i="33"/>
  <c r="H101" i="33"/>
  <c r="I101" i="33" s="1"/>
  <c r="H111" i="33"/>
  <c r="I111" i="33" s="1"/>
  <c r="H118" i="33"/>
  <c r="I118" i="33" s="1"/>
  <c r="H218" i="33"/>
  <c r="I218" i="33" s="1"/>
  <c r="H242" i="33"/>
  <c r="I242" i="33" s="1"/>
  <c r="H244" i="33"/>
  <c r="I244" i="33" s="1"/>
  <c r="H246" i="33"/>
  <c r="I246" i="33" s="1"/>
  <c r="H248" i="33"/>
  <c r="I248" i="33" s="1"/>
  <c r="H250" i="33"/>
  <c r="I250" i="33" s="1"/>
  <c r="H252" i="33"/>
  <c r="I252" i="33" s="1"/>
  <c r="H254" i="33"/>
  <c r="I254" i="33" s="1"/>
  <c r="H256" i="33"/>
  <c r="I256" i="33" s="1"/>
  <c r="H258" i="33"/>
  <c r="I258" i="33" s="1"/>
  <c r="H260" i="33"/>
  <c r="I260" i="33" s="1"/>
  <c r="H262" i="33"/>
  <c r="I262" i="33" s="1"/>
  <c r="H264" i="33"/>
  <c r="I264" i="33" s="1"/>
  <c r="H266" i="33"/>
  <c r="I266" i="33" s="1"/>
  <c r="H268" i="33"/>
  <c r="I268" i="33" s="1"/>
  <c r="H270" i="33"/>
  <c r="I270" i="33" s="1"/>
  <c r="H272" i="33"/>
  <c r="I272" i="33" s="1"/>
  <c r="H274" i="33"/>
  <c r="I274" i="33" s="1"/>
  <c r="H276" i="33"/>
  <c r="I276" i="33" s="1"/>
  <c r="H278" i="33"/>
  <c r="I278" i="33" s="1"/>
  <c r="H280" i="33"/>
  <c r="I280" i="33" s="1"/>
  <c r="H282" i="33"/>
  <c r="I282" i="33" s="1"/>
  <c r="H284" i="33"/>
  <c r="I284" i="33" s="1"/>
  <c r="H286" i="33"/>
  <c r="I286" i="33" s="1"/>
  <c r="H288" i="33"/>
  <c r="I288" i="33" s="1"/>
  <c r="H290" i="33"/>
  <c r="I290" i="33" s="1"/>
  <c r="H292" i="33"/>
  <c r="I292" i="33" s="1"/>
  <c r="H294" i="33"/>
  <c r="I294" i="33" s="1"/>
  <c r="H296" i="33"/>
  <c r="I296" i="33" s="1"/>
  <c r="H298" i="33"/>
  <c r="I298" i="33" s="1"/>
  <c r="H300" i="33"/>
  <c r="I300" i="33" s="1"/>
  <c r="H302" i="33"/>
  <c r="I302" i="33" s="1"/>
  <c r="H304" i="33"/>
  <c r="I304" i="33" s="1"/>
  <c r="H306" i="33"/>
  <c r="I306" i="33" s="1"/>
  <c r="H308" i="33"/>
  <c r="I308" i="33" s="1"/>
  <c r="H310" i="33"/>
  <c r="I310" i="33" s="1"/>
  <c r="H312" i="33"/>
  <c r="I312" i="33" s="1"/>
  <c r="H314" i="33"/>
  <c r="I314" i="33" s="1"/>
  <c r="H316" i="33"/>
  <c r="I316" i="33" s="1"/>
  <c r="H318" i="33"/>
  <c r="I318" i="33" s="1"/>
  <c r="H320" i="33"/>
  <c r="I320" i="33" s="1"/>
  <c r="H322" i="33"/>
  <c r="I322" i="33" s="1"/>
  <c r="H324" i="33"/>
  <c r="I324" i="33" s="1"/>
  <c r="H326" i="33"/>
  <c r="I326" i="33" s="1"/>
  <c r="H328" i="33"/>
  <c r="I328" i="33" s="1"/>
  <c r="H330" i="33"/>
  <c r="I330" i="33" s="1"/>
  <c r="H332" i="33"/>
  <c r="I332" i="33" s="1"/>
  <c r="H334" i="33"/>
  <c r="I334" i="33" s="1"/>
  <c r="H336" i="33"/>
  <c r="I336" i="33" s="1"/>
  <c r="H338" i="33"/>
  <c r="I338" i="33" s="1"/>
  <c r="H340" i="33"/>
  <c r="I340" i="33" s="1"/>
  <c r="H342" i="33"/>
  <c r="I342" i="33" s="1"/>
  <c r="H344" i="33"/>
  <c r="I344" i="33" s="1"/>
  <c r="H346" i="33"/>
  <c r="I346" i="33" s="1"/>
  <c r="H348" i="33"/>
  <c r="I348" i="33" s="1"/>
  <c r="H350" i="33"/>
  <c r="I350" i="33" s="1"/>
  <c r="H352" i="33"/>
  <c r="I352" i="33" s="1"/>
  <c r="H106" i="33"/>
  <c r="I106" i="33" s="1"/>
  <c r="H110" i="33"/>
  <c r="I110" i="33" s="1"/>
  <c r="H112" i="33"/>
  <c r="I112" i="33" s="1"/>
  <c r="H135" i="33"/>
  <c r="I135" i="33" s="1"/>
  <c r="H339" i="33"/>
  <c r="I339" i="33" s="1"/>
  <c r="H341" i="33"/>
  <c r="I341" i="33" s="1"/>
  <c r="H343" i="33"/>
  <c r="I343" i="33" s="1"/>
  <c r="H345" i="33"/>
  <c r="I345" i="33" s="1"/>
  <c r="H347" i="33"/>
  <c r="I347" i="33" s="1"/>
  <c r="H353" i="33"/>
  <c r="I353" i="33" s="1"/>
  <c r="H4" i="33"/>
  <c r="I4" i="33" s="1"/>
  <c r="H6" i="33"/>
  <c r="I6" i="33" s="1"/>
  <c r="H8" i="33"/>
  <c r="I8" i="33" s="1"/>
  <c r="H10" i="33"/>
  <c r="I10" i="33" s="1"/>
  <c r="H12" i="33"/>
  <c r="I12" i="33" s="1"/>
  <c r="H14" i="33"/>
  <c r="I14" i="33" s="1"/>
  <c r="H16" i="33"/>
  <c r="I16" i="33" s="1"/>
  <c r="H18" i="33"/>
  <c r="I18" i="33" s="1"/>
  <c r="H20" i="33"/>
  <c r="I20" i="33" s="1"/>
  <c r="H22" i="33"/>
  <c r="I22" i="33" s="1"/>
  <c r="H24" i="33"/>
  <c r="I24" i="33" s="1"/>
  <c r="H26" i="33"/>
  <c r="I26" i="33" s="1"/>
  <c r="H28" i="33"/>
  <c r="I28" i="33" s="1"/>
  <c r="H30" i="33"/>
  <c r="I30" i="33" s="1"/>
  <c r="H32" i="33"/>
  <c r="I32" i="33" s="1"/>
  <c r="H34" i="33"/>
  <c r="I34" i="33" s="1"/>
  <c r="H36" i="33"/>
  <c r="I36" i="33" s="1"/>
  <c r="H38" i="33"/>
  <c r="I38" i="33" s="1"/>
  <c r="H40" i="33"/>
  <c r="I40" i="33" s="1"/>
  <c r="H42" i="33"/>
  <c r="I42" i="33" s="1"/>
  <c r="H44" i="33"/>
  <c r="I44" i="33" s="1"/>
  <c r="H46" i="33"/>
  <c r="I46" i="33" s="1"/>
  <c r="H48" i="33"/>
  <c r="I48" i="33" s="1"/>
  <c r="H50" i="33"/>
  <c r="I50" i="33" s="1"/>
  <c r="H52" i="33"/>
  <c r="I52" i="33" s="1"/>
  <c r="H54" i="33"/>
  <c r="I54" i="33" s="1"/>
  <c r="H56" i="33"/>
  <c r="I56" i="33" s="1"/>
  <c r="H58" i="33"/>
  <c r="I58" i="33" s="1"/>
  <c r="H60" i="33"/>
  <c r="I60" i="33" s="1"/>
  <c r="H62" i="33"/>
  <c r="I62" i="33" s="1"/>
  <c r="H64" i="33"/>
  <c r="I64" i="33" s="1"/>
  <c r="H66" i="33"/>
  <c r="I66" i="33" s="1"/>
  <c r="H68" i="33"/>
  <c r="I68" i="33" s="1"/>
  <c r="H70" i="33"/>
  <c r="I70" i="33" s="1"/>
  <c r="H72" i="33"/>
  <c r="I72" i="33" s="1"/>
  <c r="H74" i="33"/>
  <c r="I74" i="33" s="1"/>
  <c r="H76" i="33"/>
  <c r="I76" i="33" s="1"/>
  <c r="H78" i="33"/>
  <c r="I78" i="33" s="1"/>
  <c r="H80" i="33"/>
  <c r="I80" i="33" s="1"/>
  <c r="H82" i="33"/>
  <c r="I82" i="33" s="1"/>
  <c r="H84" i="33"/>
  <c r="I84" i="33" s="1"/>
  <c r="H86" i="33"/>
  <c r="I86" i="33" s="1"/>
  <c r="H88" i="33"/>
  <c r="I88" i="33" s="1"/>
  <c r="H90" i="33"/>
  <c r="I90" i="33" s="1"/>
  <c r="H92" i="33"/>
  <c r="I92" i="33" s="1"/>
  <c r="H94" i="33"/>
  <c r="I94" i="33" s="1"/>
  <c r="H96" i="33"/>
  <c r="I96" i="33" s="1"/>
  <c r="H98" i="33"/>
  <c r="I98" i="33" s="1"/>
  <c r="H100" i="33"/>
  <c r="I100" i="33" s="1"/>
  <c r="H103" i="33"/>
  <c r="I103" i="33" s="1"/>
  <c r="H108" i="33"/>
  <c r="I108" i="33" s="1"/>
  <c r="H113" i="33"/>
  <c r="I113" i="33" s="1"/>
  <c r="H115" i="33"/>
  <c r="I115" i="33" s="1"/>
  <c r="H124" i="33"/>
  <c r="I124" i="33" s="1"/>
  <c r="H129" i="33"/>
  <c r="I129" i="33" s="1"/>
  <c r="H131" i="33"/>
  <c r="I131" i="33" s="1"/>
  <c r="F355" i="33"/>
  <c r="H5" i="33"/>
  <c r="I5" i="33" s="1"/>
  <c r="H7" i="33"/>
  <c r="I7" i="33" s="1"/>
  <c r="H9" i="33"/>
  <c r="I9" i="33" s="1"/>
  <c r="H11" i="33"/>
  <c r="I11" i="33" s="1"/>
  <c r="H13" i="33"/>
  <c r="I13" i="33" s="1"/>
  <c r="H15" i="33"/>
  <c r="I15" i="33" s="1"/>
  <c r="H17" i="33"/>
  <c r="I17" i="33" s="1"/>
  <c r="H19" i="33"/>
  <c r="I19" i="33" s="1"/>
  <c r="H21" i="33"/>
  <c r="I21" i="33" s="1"/>
  <c r="H23" i="33"/>
  <c r="I23" i="33" s="1"/>
  <c r="H25" i="33"/>
  <c r="I25" i="33" s="1"/>
  <c r="H27" i="33"/>
  <c r="I27" i="33" s="1"/>
  <c r="H29" i="33"/>
  <c r="I29" i="33" s="1"/>
  <c r="H31" i="33"/>
  <c r="I31" i="33" s="1"/>
  <c r="H33" i="33"/>
  <c r="I33" i="33" s="1"/>
  <c r="H35" i="33"/>
  <c r="I35" i="33" s="1"/>
  <c r="H37" i="33"/>
  <c r="I37" i="33" s="1"/>
  <c r="H39" i="33"/>
  <c r="I39" i="33" s="1"/>
  <c r="H41" i="33"/>
  <c r="I41" i="33" s="1"/>
  <c r="H43" i="33"/>
  <c r="I43" i="33" s="1"/>
  <c r="H45" i="33"/>
  <c r="I45" i="33" s="1"/>
  <c r="H47" i="33"/>
  <c r="I47" i="33" s="1"/>
  <c r="H49" i="33"/>
  <c r="I49" i="33" s="1"/>
  <c r="H51" i="33"/>
  <c r="I51" i="33" s="1"/>
  <c r="H53" i="33"/>
  <c r="I53" i="33" s="1"/>
  <c r="H55" i="33"/>
  <c r="I55" i="33" s="1"/>
  <c r="H57" i="33"/>
  <c r="I57" i="33" s="1"/>
  <c r="H59" i="33"/>
  <c r="I59" i="33" s="1"/>
  <c r="H61" i="33"/>
  <c r="I61" i="33" s="1"/>
  <c r="H63" i="33"/>
  <c r="I63" i="33" s="1"/>
  <c r="H65" i="33"/>
  <c r="I65" i="33" s="1"/>
  <c r="H67" i="33"/>
  <c r="I67" i="33" s="1"/>
  <c r="H69" i="33"/>
  <c r="I69" i="33" s="1"/>
  <c r="H71" i="33"/>
  <c r="I71" i="33" s="1"/>
  <c r="H73" i="33"/>
  <c r="I73" i="33" s="1"/>
  <c r="H75" i="33"/>
  <c r="I75" i="33" s="1"/>
  <c r="H77" i="33"/>
  <c r="I77" i="33" s="1"/>
  <c r="H79" i="33"/>
  <c r="I79" i="33" s="1"/>
  <c r="H81" i="33"/>
  <c r="I81" i="33" s="1"/>
  <c r="H83" i="33"/>
  <c r="I83" i="33" s="1"/>
  <c r="H85" i="33"/>
  <c r="I85" i="33" s="1"/>
  <c r="H87" i="33"/>
  <c r="I87" i="33" s="1"/>
  <c r="H89" i="33"/>
  <c r="I89" i="33" s="1"/>
  <c r="H91" i="33"/>
  <c r="I91" i="33" s="1"/>
  <c r="H93" i="33"/>
  <c r="I93" i="33" s="1"/>
  <c r="H95" i="33"/>
  <c r="I95" i="33" s="1"/>
  <c r="H97" i="33"/>
  <c r="I97" i="33" s="1"/>
  <c r="H99" i="33"/>
  <c r="I99" i="33" s="1"/>
  <c r="H104" i="33"/>
  <c r="I104" i="33" s="1"/>
  <c r="H107" i="33"/>
  <c r="I107" i="33" s="1"/>
  <c r="H116" i="33"/>
  <c r="I116" i="33" s="1"/>
  <c r="H121" i="33"/>
  <c r="I121" i="33" s="1"/>
  <c r="H123" i="33"/>
  <c r="I123" i="33" s="1"/>
  <c r="H132" i="33"/>
  <c r="I132" i="33" s="1"/>
  <c r="H3" i="33"/>
  <c r="H137" i="33"/>
  <c r="I137" i="33" s="1"/>
  <c r="H139" i="33"/>
  <c r="I139" i="33" s="1"/>
  <c r="H141" i="33"/>
  <c r="I141" i="33" s="1"/>
  <c r="H143" i="33"/>
  <c r="I143" i="33" s="1"/>
  <c r="H145" i="33"/>
  <c r="I145" i="33" s="1"/>
  <c r="H147" i="33"/>
  <c r="I147" i="33" s="1"/>
  <c r="H149" i="33"/>
  <c r="I149" i="33" s="1"/>
  <c r="H151" i="33"/>
  <c r="I151" i="33" s="1"/>
  <c r="H153" i="33"/>
  <c r="I153" i="33" s="1"/>
  <c r="H155" i="33"/>
  <c r="I155" i="33" s="1"/>
  <c r="H157" i="33"/>
  <c r="I157" i="33" s="1"/>
  <c r="H159" i="33"/>
  <c r="I159" i="33" s="1"/>
  <c r="H161" i="33"/>
  <c r="I161" i="33" s="1"/>
  <c r="H163" i="33"/>
  <c r="I163" i="33" s="1"/>
  <c r="H165" i="33"/>
  <c r="I165" i="33" s="1"/>
  <c r="H167" i="33"/>
  <c r="I167" i="33" s="1"/>
  <c r="H169" i="33"/>
  <c r="I169" i="33" s="1"/>
  <c r="H171" i="33"/>
  <c r="I171" i="33" s="1"/>
  <c r="H173" i="33"/>
  <c r="I173" i="33" s="1"/>
  <c r="H175" i="33"/>
  <c r="I175" i="33" s="1"/>
  <c r="H177" i="33"/>
  <c r="I177" i="33" s="1"/>
  <c r="H179" i="33"/>
  <c r="I179" i="33" s="1"/>
  <c r="H181" i="33"/>
  <c r="I181" i="33" s="1"/>
  <c r="H183" i="33"/>
  <c r="I183" i="33" s="1"/>
  <c r="H185" i="33"/>
  <c r="I185" i="33" s="1"/>
  <c r="H187" i="33"/>
  <c r="I187" i="33" s="1"/>
  <c r="H189" i="33"/>
  <c r="I189" i="33" s="1"/>
  <c r="H191" i="33"/>
  <c r="I191" i="33" s="1"/>
  <c r="H193" i="33"/>
  <c r="I193" i="33" s="1"/>
  <c r="H195" i="33"/>
  <c r="I195" i="33" s="1"/>
  <c r="H197" i="33"/>
  <c r="I197" i="33" s="1"/>
  <c r="H199" i="33"/>
  <c r="I199" i="33" s="1"/>
  <c r="H201" i="33"/>
  <c r="I201" i="33" s="1"/>
  <c r="H203" i="33"/>
  <c r="I203" i="33" s="1"/>
  <c r="H205" i="33"/>
  <c r="I205" i="33" s="1"/>
  <c r="H207" i="33"/>
  <c r="I207" i="33" s="1"/>
  <c r="H209" i="33"/>
  <c r="I209" i="33" s="1"/>
  <c r="H211" i="33"/>
  <c r="I211" i="33" s="1"/>
  <c r="H213" i="33"/>
  <c r="I213" i="33" s="1"/>
  <c r="H215" i="33"/>
  <c r="I215" i="33" s="1"/>
  <c r="H217" i="33"/>
  <c r="I217" i="33" s="1"/>
  <c r="H219" i="33"/>
  <c r="I219" i="33" s="1"/>
  <c r="H221" i="33"/>
  <c r="I221" i="33" s="1"/>
  <c r="H223" i="33"/>
  <c r="I223" i="33" s="1"/>
  <c r="H225" i="33"/>
  <c r="I225" i="33" s="1"/>
  <c r="H227" i="33"/>
  <c r="I227" i="33" s="1"/>
  <c r="H229" i="33"/>
  <c r="I229" i="33" s="1"/>
  <c r="H231" i="33"/>
  <c r="I231" i="33" s="1"/>
  <c r="H233" i="33"/>
  <c r="I233" i="33" s="1"/>
  <c r="H235" i="33"/>
  <c r="I235" i="33" s="1"/>
  <c r="H237" i="33"/>
  <c r="I237" i="33" s="1"/>
  <c r="H239" i="33"/>
  <c r="I239" i="33" s="1"/>
  <c r="H241" i="33"/>
  <c r="I241" i="33" s="1"/>
  <c r="H243" i="33"/>
  <c r="I243" i="33" s="1"/>
  <c r="H245" i="33"/>
  <c r="I245" i="33" s="1"/>
  <c r="H247" i="33"/>
  <c r="I247" i="33" s="1"/>
  <c r="H249" i="33"/>
  <c r="I249" i="33" s="1"/>
  <c r="H251" i="33"/>
  <c r="I251" i="33" s="1"/>
  <c r="H253" i="33"/>
  <c r="I253" i="33" s="1"/>
  <c r="H255" i="33"/>
  <c r="I255" i="33" s="1"/>
  <c r="H257" i="33"/>
  <c r="I257" i="33" s="1"/>
  <c r="H259" i="33"/>
  <c r="I259" i="33" s="1"/>
  <c r="H261" i="33"/>
  <c r="I261" i="33" s="1"/>
  <c r="H263" i="33"/>
  <c r="I263" i="33" s="1"/>
  <c r="H265" i="33"/>
  <c r="I265" i="33" s="1"/>
  <c r="H267" i="33"/>
  <c r="I267" i="33" s="1"/>
  <c r="H269" i="33"/>
  <c r="I269" i="33" s="1"/>
  <c r="H271" i="33"/>
  <c r="I271" i="33" s="1"/>
  <c r="H273" i="33"/>
  <c r="I273" i="33" s="1"/>
  <c r="H275" i="33"/>
  <c r="I275" i="33" s="1"/>
  <c r="H277" i="33"/>
  <c r="I277" i="33" s="1"/>
  <c r="H279" i="33"/>
  <c r="I279" i="33" s="1"/>
  <c r="H281" i="33"/>
  <c r="I281" i="33" s="1"/>
  <c r="H283" i="33"/>
  <c r="I283" i="33" s="1"/>
  <c r="H285" i="33"/>
  <c r="I285" i="33" s="1"/>
  <c r="H287" i="33"/>
  <c r="I287" i="33" s="1"/>
  <c r="H289" i="33"/>
  <c r="I289" i="33" s="1"/>
  <c r="H291" i="33"/>
  <c r="I291" i="33" s="1"/>
  <c r="H293" i="33"/>
  <c r="I293" i="33" s="1"/>
  <c r="H295" i="33"/>
  <c r="I295" i="33" s="1"/>
  <c r="H297" i="33"/>
  <c r="I297" i="33" s="1"/>
  <c r="H299" i="33"/>
  <c r="I299" i="33" s="1"/>
  <c r="H301" i="33"/>
  <c r="I301" i="33" s="1"/>
  <c r="H303" i="33"/>
  <c r="I303" i="33" s="1"/>
  <c r="H305" i="33"/>
  <c r="I305" i="33" s="1"/>
  <c r="H307" i="33"/>
  <c r="I307" i="33" s="1"/>
  <c r="H309" i="33"/>
  <c r="I309" i="33" s="1"/>
  <c r="H311" i="33"/>
  <c r="I311" i="33" s="1"/>
  <c r="H313" i="33"/>
  <c r="I313" i="33" s="1"/>
  <c r="H315" i="33"/>
  <c r="I315" i="33" s="1"/>
  <c r="H317" i="33"/>
  <c r="I317" i="33" s="1"/>
  <c r="H319" i="33"/>
  <c r="I319" i="33" s="1"/>
  <c r="H321" i="33"/>
  <c r="I321" i="33" s="1"/>
  <c r="H323" i="33"/>
  <c r="I323" i="33" s="1"/>
  <c r="H325" i="33"/>
  <c r="I325" i="33" s="1"/>
  <c r="H327" i="33"/>
  <c r="I327" i="33" s="1"/>
  <c r="H329" i="33"/>
  <c r="I329" i="33" s="1"/>
  <c r="H331" i="33"/>
  <c r="I331" i="33" s="1"/>
  <c r="H333" i="33"/>
  <c r="I333" i="33" s="1"/>
  <c r="H335" i="33"/>
  <c r="I335" i="33" s="1"/>
  <c r="H337" i="33"/>
  <c r="I337" i="33" s="1"/>
  <c r="H349" i="33"/>
  <c r="I349" i="33" s="1"/>
  <c r="H351" i="33"/>
  <c r="I351" i="33" s="1"/>
  <c r="H355" i="33" l="1"/>
  <c r="I3" i="33"/>
  <c r="I355" i="33" s="1"/>
  <c r="G14" i="11" l="1"/>
  <c r="D380" i="23" l="1"/>
  <c r="H340" i="20" l="1"/>
  <c r="I340" i="20" s="1"/>
  <c r="D466" i="23"/>
  <c r="E125" i="23"/>
  <c r="E126" i="23"/>
  <c r="E127" i="23"/>
  <c r="E132" i="23"/>
  <c r="C380" i="23" l="1"/>
  <c r="E380" i="23" s="1"/>
  <c r="D457" i="23"/>
  <c r="D427" i="23"/>
  <c r="D447" i="23"/>
  <c r="D425" i="23"/>
  <c r="D430" i="23"/>
  <c r="D452" i="23"/>
  <c r="D409" i="23"/>
  <c r="D448" i="23"/>
  <c r="D424" i="23"/>
  <c r="D446" i="23"/>
  <c r="D419" i="23"/>
  <c r="D444" i="23"/>
  <c r="D442" i="23"/>
  <c r="D451" i="23"/>
  <c r="D449" i="23"/>
  <c r="D436" i="23"/>
  <c r="D379" i="23"/>
  <c r="D361" i="23"/>
  <c r="D308" i="23"/>
  <c r="D315" i="23"/>
  <c r="D345" i="23"/>
  <c r="D349" i="23"/>
  <c r="D358" i="23"/>
  <c r="D359" i="23"/>
  <c r="D322" i="23"/>
  <c r="D330" i="23"/>
  <c r="D324" i="23"/>
  <c r="D318" i="23"/>
  <c r="D338" i="23"/>
  <c r="D297" i="23"/>
  <c r="H354" i="20" l="1"/>
  <c r="I354" i="20" s="1"/>
  <c r="C297" i="23" s="1"/>
  <c r="E297" i="23" s="1"/>
  <c r="C363" i="23"/>
  <c r="C366" i="23"/>
  <c r="C367" i="23"/>
  <c r="D294" i="23"/>
  <c r="D288" i="23"/>
  <c r="D289" i="23"/>
  <c r="D290" i="23"/>
  <c r="D291" i="23"/>
  <c r="D292" i="23"/>
  <c r="D293" i="23"/>
  <c r="D295" i="23"/>
  <c r="D141" i="23"/>
  <c r="D156" i="23"/>
  <c r="D489" i="23" l="1"/>
  <c r="C489" i="23"/>
  <c r="D476" i="23"/>
  <c r="D470" i="23"/>
  <c r="D469" i="23"/>
  <c r="D435" i="23"/>
  <c r="D443" i="23"/>
  <c r="D420" i="23"/>
  <c r="D438" i="23"/>
  <c r="D450" i="23"/>
  <c r="D437" i="23"/>
  <c r="D429" i="23"/>
  <c r="D445" i="23"/>
  <c r="D426" i="23"/>
  <c r="D431" i="23"/>
  <c r="D432" i="23"/>
  <c r="D454" i="23"/>
  <c r="D434" i="23"/>
  <c r="D428" i="23"/>
  <c r="D413" i="23"/>
  <c r="D411" i="23"/>
  <c r="D453" i="23"/>
  <c r="D414" i="23"/>
  <c r="D440" i="23"/>
  <c r="D439" i="23"/>
  <c r="D433" i="23"/>
  <c r="D412" i="23"/>
  <c r="D441" i="23"/>
  <c r="D410" i="23"/>
  <c r="D402" i="23"/>
  <c r="D400" i="23"/>
  <c r="D399" i="23"/>
  <c r="D398" i="23"/>
  <c r="D397" i="23"/>
  <c r="D389" i="23"/>
  <c r="D381" i="23"/>
  <c r="D378" i="23"/>
  <c r="D348" i="23"/>
  <c r="D369" i="23"/>
  <c r="D340" i="23"/>
  <c r="D323" i="23"/>
  <c r="D332" i="23"/>
  <c r="D360" i="23"/>
  <c r="D341" i="23"/>
  <c r="D334" i="23"/>
  <c r="D328" i="23"/>
  <c r="D350" i="23"/>
  <c r="D317" i="23"/>
  <c r="D368" i="23"/>
  <c r="D311" i="23"/>
  <c r="D333" i="23"/>
  <c r="D313" i="23"/>
  <c r="D316" i="23"/>
  <c r="D347" i="23"/>
  <c r="D354" i="23"/>
  <c r="D344" i="23"/>
  <c r="D337" i="23"/>
  <c r="D346" i="23"/>
  <c r="D329" i="23"/>
  <c r="D325" i="23"/>
  <c r="D326" i="23"/>
  <c r="D367" i="23"/>
  <c r="D366" i="23"/>
  <c r="D306" i="23"/>
  <c r="D321" i="23"/>
  <c r="D314" i="23"/>
  <c r="D353" i="23"/>
  <c r="D365" i="23"/>
  <c r="D319" i="23"/>
  <c r="D362" i="23"/>
  <c r="D343" i="23"/>
  <c r="D352" i="23"/>
  <c r="D364" i="23"/>
  <c r="D363" i="23"/>
  <c r="D342" i="23"/>
  <c r="D335" i="23"/>
  <c r="D331" i="23"/>
  <c r="D339" i="23"/>
  <c r="D327" i="23"/>
  <c r="D309" i="23"/>
  <c r="D351" i="23"/>
  <c r="D320" i="23"/>
  <c r="D310" i="23"/>
  <c r="D336" i="23"/>
  <c r="D287" i="23"/>
  <c r="D298" i="23" s="1"/>
  <c r="D280" i="23"/>
  <c r="D275" i="23"/>
  <c r="D274" i="23"/>
  <c r="D273" i="23"/>
  <c r="D272" i="23"/>
  <c r="D271" i="23"/>
  <c r="D262" i="23"/>
  <c r="D252" i="23"/>
  <c r="D243" i="23"/>
  <c r="D242" i="23"/>
  <c r="D241" i="23"/>
  <c r="D214" i="23"/>
  <c r="D213" i="23"/>
  <c r="D200" i="23"/>
  <c r="D199" i="23"/>
  <c r="D198" i="23"/>
  <c r="D197" i="23"/>
  <c r="D196" i="23"/>
  <c r="D195" i="23"/>
  <c r="D177" i="23"/>
  <c r="D176" i="23"/>
  <c r="D175" i="23"/>
  <c r="D174" i="23"/>
  <c r="D172" i="23"/>
  <c r="D171" i="23"/>
  <c r="D170" i="23"/>
  <c r="D169" i="23"/>
  <c r="D115" i="23"/>
  <c r="D114" i="23"/>
  <c r="D113" i="23"/>
  <c r="D112" i="23"/>
  <c r="D111" i="23"/>
  <c r="D100" i="23"/>
  <c r="D99" i="23"/>
  <c r="D98" i="23"/>
  <c r="D97" i="23"/>
  <c r="D96" i="23"/>
  <c r="D95" i="23"/>
  <c r="D86" i="23"/>
  <c r="D85" i="23"/>
  <c r="D84" i="23"/>
  <c r="D83" i="23"/>
  <c r="D82" i="23"/>
  <c r="D81" i="23"/>
  <c r="D80" i="23"/>
  <c r="D79" i="23"/>
  <c r="D78" i="23"/>
  <c r="D77" i="23"/>
  <c r="D76" i="23"/>
  <c r="D75" i="23"/>
  <c r="D74" i="23"/>
  <c r="D73" i="23"/>
  <c r="D72" i="23"/>
  <c r="D71" i="23"/>
  <c r="D70" i="23"/>
  <c r="D371" i="23" l="1"/>
  <c r="D87" i="23"/>
  <c r="H234" i="20"/>
  <c r="I234" i="20" s="1"/>
  <c r="C361" i="23" s="1"/>
  <c r="E361" i="23" s="1"/>
  <c r="G350" i="28"/>
  <c r="F350" i="28"/>
  <c r="G349" i="28"/>
  <c r="F349" i="28"/>
  <c r="H349" i="28" s="1"/>
  <c r="I349" i="28" s="1"/>
  <c r="G348" i="28"/>
  <c r="F348" i="28"/>
  <c r="G347" i="28"/>
  <c r="F347" i="28"/>
  <c r="H347" i="28" s="1"/>
  <c r="I347" i="28" s="1"/>
  <c r="G346" i="28"/>
  <c r="F346" i="28"/>
  <c r="G345" i="28"/>
  <c r="F345" i="28"/>
  <c r="H345" i="28" s="1"/>
  <c r="I345" i="28" s="1"/>
  <c r="G344" i="28"/>
  <c r="F344" i="28"/>
  <c r="G343" i="28"/>
  <c r="F343" i="28"/>
  <c r="G342" i="28"/>
  <c r="F342" i="28"/>
  <c r="H342" i="28" s="1"/>
  <c r="I342" i="28" s="1"/>
  <c r="G341" i="28"/>
  <c r="F341" i="28"/>
  <c r="H341" i="28" s="1"/>
  <c r="I341" i="28" s="1"/>
  <c r="G340" i="28"/>
  <c r="F340" i="28"/>
  <c r="G339" i="28"/>
  <c r="F339" i="28"/>
  <c r="H339" i="28" s="1"/>
  <c r="I339" i="28" s="1"/>
  <c r="G338" i="28"/>
  <c r="F338" i="28"/>
  <c r="G337" i="28"/>
  <c r="F337" i="28"/>
  <c r="H337" i="28" s="1"/>
  <c r="I337" i="28" s="1"/>
  <c r="G336" i="28"/>
  <c r="F336" i="28"/>
  <c r="G335" i="28"/>
  <c r="F335" i="28"/>
  <c r="G334" i="28"/>
  <c r="F334" i="28"/>
  <c r="H334" i="28" s="1"/>
  <c r="I334" i="28" s="1"/>
  <c r="G333" i="28"/>
  <c r="F333" i="28"/>
  <c r="H333" i="28" s="1"/>
  <c r="I333" i="28" s="1"/>
  <c r="G332" i="28"/>
  <c r="F332" i="28"/>
  <c r="G331" i="28"/>
  <c r="F331" i="28"/>
  <c r="H331" i="28" s="1"/>
  <c r="I331" i="28" s="1"/>
  <c r="G330" i="28"/>
  <c r="F330" i="28"/>
  <c r="H330" i="28" s="1"/>
  <c r="I330" i="28" s="1"/>
  <c r="G329" i="28"/>
  <c r="F329" i="28"/>
  <c r="H329" i="28" s="1"/>
  <c r="I329" i="28" s="1"/>
  <c r="G328" i="28"/>
  <c r="F328" i="28"/>
  <c r="G327" i="28"/>
  <c r="F327" i="28"/>
  <c r="G326" i="28"/>
  <c r="F326" i="28"/>
  <c r="G325" i="28"/>
  <c r="F325" i="28"/>
  <c r="H325" i="28" s="1"/>
  <c r="I325" i="28" s="1"/>
  <c r="G324" i="28"/>
  <c r="F324" i="28"/>
  <c r="G323" i="28"/>
  <c r="F323" i="28"/>
  <c r="H323" i="28" s="1"/>
  <c r="I323" i="28" s="1"/>
  <c r="G322" i="28"/>
  <c r="F322" i="28"/>
  <c r="H322" i="28" s="1"/>
  <c r="I322" i="28" s="1"/>
  <c r="G321" i="28"/>
  <c r="F321" i="28"/>
  <c r="H321" i="28" s="1"/>
  <c r="I321" i="28" s="1"/>
  <c r="G320" i="28"/>
  <c r="F320" i="28"/>
  <c r="G319" i="28"/>
  <c r="F319" i="28"/>
  <c r="G318" i="28"/>
  <c r="F318" i="28"/>
  <c r="G317" i="28"/>
  <c r="F317" i="28"/>
  <c r="H317" i="28" s="1"/>
  <c r="I317" i="28" s="1"/>
  <c r="G316" i="28"/>
  <c r="F316" i="28"/>
  <c r="G315" i="28"/>
  <c r="F315" i="28"/>
  <c r="H315" i="28" s="1"/>
  <c r="I315" i="28" s="1"/>
  <c r="G314" i="28"/>
  <c r="F314" i="28"/>
  <c r="G313" i="28"/>
  <c r="F313" i="28"/>
  <c r="H313" i="28" s="1"/>
  <c r="I313" i="28" s="1"/>
  <c r="G312" i="28"/>
  <c r="F312" i="28"/>
  <c r="G311" i="28"/>
  <c r="F311" i="28"/>
  <c r="H311" i="28" s="1"/>
  <c r="I311" i="28" s="1"/>
  <c r="G310" i="28"/>
  <c r="F310" i="28"/>
  <c r="G309" i="28"/>
  <c r="F309" i="28"/>
  <c r="H309" i="28" s="1"/>
  <c r="I309" i="28" s="1"/>
  <c r="G308" i="28"/>
  <c r="H308" i="28" s="1"/>
  <c r="I308" i="28" s="1"/>
  <c r="F308" i="28"/>
  <c r="G307" i="28"/>
  <c r="F307" i="28"/>
  <c r="H307" i="28" s="1"/>
  <c r="I307" i="28" s="1"/>
  <c r="G306" i="28"/>
  <c r="F306" i="28"/>
  <c r="G305" i="28"/>
  <c r="F305" i="28"/>
  <c r="H305" i="28" s="1"/>
  <c r="I305" i="28" s="1"/>
  <c r="G304" i="28"/>
  <c r="F304" i="28"/>
  <c r="G303" i="28"/>
  <c r="F303" i="28"/>
  <c r="H303" i="28" s="1"/>
  <c r="I303" i="28" s="1"/>
  <c r="G302" i="28"/>
  <c r="F302" i="28"/>
  <c r="H302" i="28" s="1"/>
  <c r="I302" i="28" s="1"/>
  <c r="G301" i="28"/>
  <c r="F301" i="28"/>
  <c r="H301" i="28" s="1"/>
  <c r="I301" i="28" s="1"/>
  <c r="G300" i="28"/>
  <c r="F300" i="28"/>
  <c r="G299" i="28"/>
  <c r="F299" i="28"/>
  <c r="H299" i="28" s="1"/>
  <c r="I299" i="28" s="1"/>
  <c r="G298" i="28"/>
  <c r="F298" i="28"/>
  <c r="H298" i="28" s="1"/>
  <c r="I298" i="28" s="1"/>
  <c r="G297" i="28"/>
  <c r="F297" i="28"/>
  <c r="H297" i="28" s="1"/>
  <c r="I297" i="28" s="1"/>
  <c r="G296" i="28"/>
  <c r="F296" i="28"/>
  <c r="G295" i="28"/>
  <c r="F295" i="28"/>
  <c r="H295" i="28" s="1"/>
  <c r="I295" i="28" s="1"/>
  <c r="G294" i="28"/>
  <c r="F294" i="28"/>
  <c r="H294" i="28" s="1"/>
  <c r="I294" i="28" s="1"/>
  <c r="G293" i="28"/>
  <c r="F293" i="28"/>
  <c r="H293" i="28" s="1"/>
  <c r="I293" i="28" s="1"/>
  <c r="G292" i="28"/>
  <c r="F292" i="28"/>
  <c r="G291" i="28"/>
  <c r="F291" i="28"/>
  <c r="H291" i="28" s="1"/>
  <c r="I291" i="28" s="1"/>
  <c r="G290" i="28"/>
  <c r="F290" i="28"/>
  <c r="H290" i="28" s="1"/>
  <c r="I290" i="28" s="1"/>
  <c r="G289" i="28"/>
  <c r="F289" i="28"/>
  <c r="H289" i="28" s="1"/>
  <c r="I289" i="28" s="1"/>
  <c r="G288" i="28"/>
  <c r="F288" i="28"/>
  <c r="G287" i="28"/>
  <c r="F287" i="28"/>
  <c r="H287" i="28" s="1"/>
  <c r="I287" i="28" s="1"/>
  <c r="G286" i="28"/>
  <c r="F286" i="28"/>
  <c r="G285" i="28"/>
  <c r="F285" i="28"/>
  <c r="H285" i="28" s="1"/>
  <c r="I285" i="28" s="1"/>
  <c r="G284" i="28"/>
  <c r="F284" i="28"/>
  <c r="G283" i="28"/>
  <c r="F283" i="28"/>
  <c r="H283" i="28" s="1"/>
  <c r="I283" i="28" s="1"/>
  <c r="G282" i="28"/>
  <c r="F282" i="28"/>
  <c r="H282" i="28" s="1"/>
  <c r="I282" i="28" s="1"/>
  <c r="G281" i="28"/>
  <c r="F281" i="28"/>
  <c r="H281" i="28" s="1"/>
  <c r="I281" i="28" s="1"/>
  <c r="G280" i="28"/>
  <c r="F280" i="28"/>
  <c r="G279" i="28"/>
  <c r="F279" i="28"/>
  <c r="H279" i="28" s="1"/>
  <c r="I279" i="28" s="1"/>
  <c r="G278" i="28"/>
  <c r="F278" i="28"/>
  <c r="H278" i="28" s="1"/>
  <c r="I278" i="28" s="1"/>
  <c r="G277" i="28"/>
  <c r="F277" i="28"/>
  <c r="H277" i="28" s="1"/>
  <c r="I277" i="28" s="1"/>
  <c r="G276" i="28"/>
  <c r="F276" i="28"/>
  <c r="G275" i="28"/>
  <c r="F275" i="28"/>
  <c r="H275" i="28" s="1"/>
  <c r="I275" i="28" s="1"/>
  <c r="G274" i="28"/>
  <c r="F274" i="28"/>
  <c r="G273" i="28"/>
  <c r="F273" i="28"/>
  <c r="H273" i="28" s="1"/>
  <c r="I273" i="28" s="1"/>
  <c r="G272" i="28"/>
  <c r="F272" i="28"/>
  <c r="G271" i="28"/>
  <c r="F271" i="28"/>
  <c r="H271" i="28" s="1"/>
  <c r="I271" i="28" s="1"/>
  <c r="G270" i="28"/>
  <c r="F270" i="28"/>
  <c r="H270" i="28" s="1"/>
  <c r="I270" i="28" s="1"/>
  <c r="G269" i="28"/>
  <c r="F269" i="28"/>
  <c r="H269" i="28" s="1"/>
  <c r="I269" i="28" s="1"/>
  <c r="G268" i="28"/>
  <c r="F268" i="28"/>
  <c r="G267" i="28"/>
  <c r="F267" i="28"/>
  <c r="H267" i="28" s="1"/>
  <c r="I267" i="28" s="1"/>
  <c r="G266" i="28"/>
  <c r="F266" i="28"/>
  <c r="H266" i="28" s="1"/>
  <c r="I266" i="28" s="1"/>
  <c r="G265" i="28"/>
  <c r="F265" i="28"/>
  <c r="H265" i="28" s="1"/>
  <c r="I265" i="28" s="1"/>
  <c r="G264" i="28"/>
  <c r="F264" i="28"/>
  <c r="G263" i="28"/>
  <c r="F263" i="28"/>
  <c r="H263" i="28" s="1"/>
  <c r="I263" i="28" s="1"/>
  <c r="G262" i="28"/>
  <c r="F262" i="28"/>
  <c r="H262" i="28" s="1"/>
  <c r="I262" i="28" s="1"/>
  <c r="G261" i="28"/>
  <c r="F261" i="28"/>
  <c r="H261" i="28" s="1"/>
  <c r="I261" i="28" s="1"/>
  <c r="G260" i="28"/>
  <c r="F260" i="28"/>
  <c r="G259" i="28"/>
  <c r="F259" i="28"/>
  <c r="H259" i="28" s="1"/>
  <c r="I259" i="28" s="1"/>
  <c r="G258" i="28"/>
  <c r="F258" i="28"/>
  <c r="H258" i="28" s="1"/>
  <c r="I258" i="28" s="1"/>
  <c r="G257" i="28"/>
  <c r="F257" i="28"/>
  <c r="H257" i="28" s="1"/>
  <c r="I257" i="28" s="1"/>
  <c r="G256" i="28"/>
  <c r="F256" i="28"/>
  <c r="G255" i="28"/>
  <c r="F255" i="28"/>
  <c r="H255" i="28" s="1"/>
  <c r="I255" i="28" s="1"/>
  <c r="G254" i="28"/>
  <c r="F254" i="28"/>
  <c r="G253" i="28"/>
  <c r="F253" i="28"/>
  <c r="H253" i="28" s="1"/>
  <c r="I253" i="28" s="1"/>
  <c r="G252" i="28"/>
  <c r="F252" i="28"/>
  <c r="G251" i="28"/>
  <c r="F251" i="28"/>
  <c r="H251" i="28" s="1"/>
  <c r="I251" i="28" s="1"/>
  <c r="G250" i="28"/>
  <c r="F250" i="28"/>
  <c r="H250" i="28" s="1"/>
  <c r="I250" i="28" s="1"/>
  <c r="G249" i="28"/>
  <c r="F249" i="28"/>
  <c r="H249" i="28" s="1"/>
  <c r="I249" i="28" s="1"/>
  <c r="G248" i="28"/>
  <c r="F248" i="28"/>
  <c r="G247" i="28"/>
  <c r="F247" i="28"/>
  <c r="H247" i="28" s="1"/>
  <c r="I247" i="28" s="1"/>
  <c r="G246" i="28"/>
  <c r="F246" i="28"/>
  <c r="H246" i="28" s="1"/>
  <c r="I246" i="28" s="1"/>
  <c r="G245" i="28"/>
  <c r="F245" i="28"/>
  <c r="H245" i="28" s="1"/>
  <c r="I245" i="28" s="1"/>
  <c r="G244" i="28"/>
  <c r="F244" i="28"/>
  <c r="G243" i="28"/>
  <c r="F243" i="28"/>
  <c r="H243" i="28" s="1"/>
  <c r="I243" i="28" s="1"/>
  <c r="G242" i="28"/>
  <c r="F242" i="28"/>
  <c r="G241" i="28"/>
  <c r="F241" i="28"/>
  <c r="H241" i="28" s="1"/>
  <c r="I241" i="28" s="1"/>
  <c r="G240" i="28"/>
  <c r="F240" i="28"/>
  <c r="G239" i="28"/>
  <c r="F239" i="28"/>
  <c r="H239" i="28" s="1"/>
  <c r="I239" i="28" s="1"/>
  <c r="G238" i="28"/>
  <c r="F238" i="28"/>
  <c r="H238" i="28" s="1"/>
  <c r="I238" i="28" s="1"/>
  <c r="G237" i="28"/>
  <c r="F237" i="28"/>
  <c r="H237" i="28" s="1"/>
  <c r="I237" i="28" s="1"/>
  <c r="G236" i="28"/>
  <c r="F236" i="28"/>
  <c r="G235" i="28"/>
  <c r="F235" i="28"/>
  <c r="H235" i="28" s="1"/>
  <c r="I235" i="28" s="1"/>
  <c r="G234" i="28"/>
  <c r="F234" i="28"/>
  <c r="H234" i="28" s="1"/>
  <c r="I234" i="28" s="1"/>
  <c r="G233" i="28"/>
  <c r="F233" i="28"/>
  <c r="H233" i="28" s="1"/>
  <c r="I233" i="28" s="1"/>
  <c r="G232" i="28"/>
  <c r="F232" i="28"/>
  <c r="G231" i="28"/>
  <c r="F231" i="28"/>
  <c r="H231" i="28" s="1"/>
  <c r="I231" i="28" s="1"/>
  <c r="G230" i="28"/>
  <c r="F230" i="28"/>
  <c r="H230" i="28" s="1"/>
  <c r="I230" i="28" s="1"/>
  <c r="G229" i="28"/>
  <c r="F229" i="28"/>
  <c r="H229" i="28" s="1"/>
  <c r="I229" i="28" s="1"/>
  <c r="G228" i="28"/>
  <c r="F228" i="28"/>
  <c r="G227" i="28"/>
  <c r="F227" i="28"/>
  <c r="H227" i="28" s="1"/>
  <c r="I227" i="28" s="1"/>
  <c r="G226" i="28"/>
  <c r="F226" i="28"/>
  <c r="H226" i="28" s="1"/>
  <c r="I226" i="28" s="1"/>
  <c r="G225" i="28"/>
  <c r="F225" i="28"/>
  <c r="H225" i="28" s="1"/>
  <c r="I225" i="28" s="1"/>
  <c r="G224" i="28"/>
  <c r="F224" i="28"/>
  <c r="G223" i="28"/>
  <c r="F223" i="28"/>
  <c r="H223" i="28" s="1"/>
  <c r="I223" i="28" s="1"/>
  <c r="G222" i="28"/>
  <c r="F222" i="28"/>
  <c r="G221" i="28"/>
  <c r="F221" i="28"/>
  <c r="H221" i="28" s="1"/>
  <c r="I221" i="28" s="1"/>
  <c r="G220" i="28"/>
  <c r="F220" i="28"/>
  <c r="G219" i="28"/>
  <c r="F219" i="28"/>
  <c r="H219" i="28" s="1"/>
  <c r="I219" i="28" s="1"/>
  <c r="G218" i="28"/>
  <c r="F218" i="28"/>
  <c r="H218" i="28" s="1"/>
  <c r="I218" i="28" s="1"/>
  <c r="G217" i="28"/>
  <c r="F217" i="28"/>
  <c r="H217" i="28" s="1"/>
  <c r="I217" i="28" s="1"/>
  <c r="G216" i="28"/>
  <c r="F216" i="28"/>
  <c r="G215" i="28"/>
  <c r="F215" i="28"/>
  <c r="H215" i="28" s="1"/>
  <c r="I215" i="28" s="1"/>
  <c r="G214" i="28"/>
  <c r="F214" i="28"/>
  <c r="H214" i="28" s="1"/>
  <c r="I214" i="28" s="1"/>
  <c r="G213" i="28"/>
  <c r="F213" i="28"/>
  <c r="G212" i="28"/>
  <c r="F212" i="28"/>
  <c r="G211" i="28"/>
  <c r="F211" i="28"/>
  <c r="G210" i="28"/>
  <c r="F210" i="28"/>
  <c r="G209" i="28"/>
  <c r="F209" i="28"/>
  <c r="G208" i="28"/>
  <c r="F208" i="28"/>
  <c r="G207" i="28"/>
  <c r="F207" i="28"/>
  <c r="G206" i="28"/>
  <c r="F206" i="28"/>
  <c r="G205" i="28"/>
  <c r="F205" i="28"/>
  <c r="G204" i="28"/>
  <c r="F204" i="28"/>
  <c r="G203" i="28"/>
  <c r="F203" i="28"/>
  <c r="G202" i="28"/>
  <c r="F202" i="28"/>
  <c r="G201" i="28"/>
  <c r="F201" i="28"/>
  <c r="G200" i="28"/>
  <c r="F200" i="28"/>
  <c r="G199" i="28"/>
  <c r="F199" i="28"/>
  <c r="G198" i="28"/>
  <c r="F198" i="28"/>
  <c r="H198" i="28" s="1"/>
  <c r="I198" i="28" s="1"/>
  <c r="G197" i="28"/>
  <c r="F197" i="28"/>
  <c r="G196" i="28"/>
  <c r="F196" i="28"/>
  <c r="G195" i="28"/>
  <c r="F195" i="28"/>
  <c r="G194" i="28"/>
  <c r="F194" i="28"/>
  <c r="G193" i="28"/>
  <c r="F193" i="28"/>
  <c r="G192" i="28"/>
  <c r="F192" i="28"/>
  <c r="G191" i="28"/>
  <c r="F191" i="28"/>
  <c r="G190" i="28"/>
  <c r="F190" i="28"/>
  <c r="H190" i="28" s="1"/>
  <c r="I190" i="28" s="1"/>
  <c r="G189" i="28"/>
  <c r="F189" i="28"/>
  <c r="G188" i="28"/>
  <c r="F188" i="28"/>
  <c r="G187" i="28"/>
  <c r="F187" i="28"/>
  <c r="G186" i="28"/>
  <c r="F186" i="28"/>
  <c r="G185" i="28"/>
  <c r="F185" i="28"/>
  <c r="G184" i="28"/>
  <c r="F184" i="28"/>
  <c r="G183" i="28"/>
  <c r="F183" i="28"/>
  <c r="G182" i="28"/>
  <c r="F182" i="28"/>
  <c r="H182" i="28" s="1"/>
  <c r="I182" i="28" s="1"/>
  <c r="G181" i="28"/>
  <c r="F181" i="28"/>
  <c r="G180" i="28"/>
  <c r="F180" i="28"/>
  <c r="G179" i="28"/>
  <c r="F179" i="28"/>
  <c r="G178" i="28"/>
  <c r="F178" i="28"/>
  <c r="G177" i="28"/>
  <c r="F177" i="28"/>
  <c r="G176" i="28"/>
  <c r="F176" i="28"/>
  <c r="G175" i="28"/>
  <c r="F175" i="28"/>
  <c r="G174" i="28"/>
  <c r="F174" i="28"/>
  <c r="H174" i="28" s="1"/>
  <c r="I174" i="28" s="1"/>
  <c r="G173" i="28"/>
  <c r="F173" i="28"/>
  <c r="G172" i="28"/>
  <c r="F172" i="28"/>
  <c r="G171" i="28"/>
  <c r="F171" i="28"/>
  <c r="G170" i="28"/>
  <c r="F170" i="28"/>
  <c r="G169" i="28"/>
  <c r="F169" i="28"/>
  <c r="G168" i="28"/>
  <c r="F168" i="28"/>
  <c r="G167" i="28"/>
  <c r="F167" i="28"/>
  <c r="G166" i="28"/>
  <c r="F166" i="28"/>
  <c r="G165" i="28"/>
  <c r="F165" i="28"/>
  <c r="G164" i="28"/>
  <c r="F164" i="28"/>
  <c r="G163" i="28"/>
  <c r="F163" i="28"/>
  <c r="G162" i="28"/>
  <c r="F162" i="28"/>
  <c r="G161" i="28"/>
  <c r="F161" i="28"/>
  <c r="G160" i="28"/>
  <c r="F160" i="28"/>
  <c r="G159" i="28"/>
  <c r="F159" i="28"/>
  <c r="G158" i="28"/>
  <c r="F158" i="28"/>
  <c r="H158" i="28" s="1"/>
  <c r="I158" i="28" s="1"/>
  <c r="G157" i="28"/>
  <c r="F157" i="28"/>
  <c r="G156" i="28"/>
  <c r="F156" i="28"/>
  <c r="G155" i="28"/>
  <c r="F155" i="28"/>
  <c r="G154" i="28"/>
  <c r="F154" i="28"/>
  <c r="G153" i="28"/>
  <c r="F153" i="28"/>
  <c r="G152" i="28"/>
  <c r="F152" i="28"/>
  <c r="G151" i="28"/>
  <c r="F151" i="28"/>
  <c r="G150" i="28"/>
  <c r="F150" i="28"/>
  <c r="H150" i="28" s="1"/>
  <c r="I150" i="28" s="1"/>
  <c r="G149" i="28"/>
  <c r="F149" i="28"/>
  <c r="G148" i="28"/>
  <c r="F148" i="28"/>
  <c r="G147" i="28"/>
  <c r="F147" i="28"/>
  <c r="G146" i="28"/>
  <c r="F146" i="28"/>
  <c r="G145" i="28"/>
  <c r="F145" i="28"/>
  <c r="G144" i="28"/>
  <c r="F144" i="28"/>
  <c r="G143" i="28"/>
  <c r="F143" i="28"/>
  <c r="G142" i="28"/>
  <c r="F142" i="28"/>
  <c r="G141" i="28"/>
  <c r="F141" i="28"/>
  <c r="G140" i="28"/>
  <c r="F140" i="28"/>
  <c r="G139" i="28"/>
  <c r="F139" i="28"/>
  <c r="G138" i="28"/>
  <c r="F138" i="28"/>
  <c r="H138" i="28" s="1"/>
  <c r="I138" i="28" s="1"/>
  <c r="G137" i="28"/>
  <c r="F137" i="28"/>
  <c r="H137" i="28" s="1"/>
  <c r="I137" i="28" s="1"/>
  <c r="G136" i="28"/>
  <c r="F136" i="28"/>
  <c r="G135" i="28"/>
  <c r="F135" i="28"/>
  <c r="H135" i="28" s="1"/>
  <c r="I135" i="28" s="1"/>
  <c r="G134" i="28"/>
  <c r="F134" i="28"/>
  <c r="G133" i="28"/>
  <c r="F133" i="28"/>
  <c r="H133" i="28" s="1"/>
  <c r="I133" i="28" s="1"/>
  <c r="G132" i="28"/>
  <c r="F132" i="28"/>
  <c r="G131" i="28"/>
  <c r="F131" i="28"/>
  <c r="G130" i="28"/>
  <c r="F130" i="28"/>
  <c r="H130" i="28" s="1"/>
  <c r="I130" i="28" s="1"/>
  <c r="G129" i="28"/>
  <c r="F129" i="28"/>
  <c r="H129" i="28" s="1"/>
  <c r="I129" i="28" s="1"/>
  <c r="G128" i="28"/>
  <c r="F128" i="28"/>
  <c r="G127" i="28"/>
  <c r="F127" i="28"/>
  <c r="H127" i="28" s="1"/>
  <c r="I127" i="28" s="1"/>
  <c r="G126" i="28"/>
  <c r="F126" i="28"/>
  <c r="G125" i="28"/>
  <c r="F125" i="28"/>
  <c r="H125" i="28" s="1"/>
  <c r="I125" i="28" s="1"/>
  <c r="G124" i="28"/>
  <c r="F124" i="28"/>
  <c r="G123" i="28"/>
  <c r="F123" i="28"/>
  <c r="G122" i="28"/>
  <c r="F122" i="28"/>
  <c r="H122" i="28" s="1"/>
  <c r="I122" i="28" s="1"/>
  <c r="G121" i="28"/>
  <c r="F121" i="28"/>
  <c r="H121" i="28" s="1"/>
  <c r="I121" i="28" s="1"/>
  <c r="G120" i="28"/>
  <c r="F120" i="28"/>
  <c r="G119" i="28"/>
  <c r="F119" i="28"/>
  <c r="H119" i="28" s="1"/>
  <c r="I119" i="28" s="1"/>
  <c r="G118" i="28"/>
  <c r="F118" i="28"/>
  <c r="G117" i="28"/>
  <c r="F117" i="28"/>
  <c r="H117" i="28" s="1"/>
  <c r="I117" i="28" s="1"/>
  <c r="G116" i="28"/>
  <c r="F116" i="28"/>
  <c r="G115" i="28"/>
  <c r="F115" i="28"/>
  <c r="G114" i="28"/>
  <c r="F114" i="28"/>
  <c r="G113" i="28"/>
  <c r="F113" i="28"/>
  <c r="H113" i="28" s="1"/>
  <c r="I113" i="28" s="1"/>
  <c r="G112" i="28"/>
  <c r="F112" i="28"/>
  <c r="G111" i="28"/>
  <c r="F111" i="28"/>
  <c r="H111" i="28" s="1"/>
  <c r="I111" i="28" s="1"/>
  <c r="G110" i="28"/>
  <c r="F110" i="28"/>
  <c r="G109" i="28"/>
  <c r="F109" i="28"/>
  <c r="H109" i="28" s="1"/>
  <c r="I109" i="28" s="1"/>
  <c r="G108" i="28"/>
  <c r="F108" i="28"/>
  <c r="G107" i="28"/>
  <c r="F107" i="28"/>
  <c r="G106" i="28"/>
  <c r="F106" i="28"/>
  <c r="H106" i="28" s="1"/>
  <c r="I106" i="28" s="1"/>
  <c r="G105" i="28"/>
  <c r="F105" i="28"/>
  <c r="H105" i="28" s="1"/>
  <c r="I105" i="28" s="1"/>
  <c r="G104" i="28"/>
  <c r="F104" i="28"/>
  <c r="G103" i="28"/>
  <c r="F103" i="28"/>
  <c r="H103" i="28" s="1"/>
  <c r="I103" i="28" s="1"/>
  <c r="G102" i="28"/>
  <c r="F102" i="28"/>
  <c r="G101" i="28"/>
  <c r="F101" i="28"/>
  <c r="H101" i="28" s="1"/>
  <c r="I101" i="28" s="1"/>
  <c r="G100" i="28"/>
  <c r="F100" i="28"/>
  <c r="G99" i="28"/>
  <c r="F99" i="28"/>
  <c r="G98" i="28"/>
  <c r="F98" i="28"/>
  <c r="H98" i="28" s="1"/>
  <c r="I98" i="28" s="1"/>
  <c r="G97" i="28"/>
  <c r="F97" i="28"/>
  <c r="G96" i="28"/>
  <c r="F96" i="28"/>
  <c r="G95" i="28"/>
  <c r="F95" i="28"/>
  <c r="H95" i="28" s="1"/>
  <c r="I95" i="28" s="1"/>
  <c r="G94" i="28"/>
  <c r="F94" i="28"/>
  <c r="H94" i="28" s="1"/>
  <c r="I94" i="28" s="1"/>
  <c r="G93" i="28"/>
  <c r="F93" i="28"/>
  <c r="H93" i="28" s="1"/>
  <c r="I93" i="28" s="1"/>
  <c r="G92" i="28"/>
  <c r="F92" i="28"/>
  <c r="G91" i="28"/>
  <c r="F91" i="28"/>
  <c r="G90" i="28"/>
  <c r="F90" i="28"/>
  <c r="G89" i="28"/>
  <c r="F89" i="28"/>
  <c r="G88" i="28"/>
  <c r="F88" i="28"/>
  <c r="G87" i="28"/>
  <c r="F87" i="28"/>
  <c r="G86" i="28"/>
  <c r="F86" i="28"/>
  <c r="G85" i="28"/>
  <c r="F85" i="28"/>
  <c r="G84" i="28"/>
  <c r="F84" i="28"/>
  <c r="G83" i="28"/>
  <c r="F83" i="28"/>
  <c r="G82" i="28"/>
  <c r="F82" i="28"/>
  <c r="G81" i="28"/>
  <c r="F81" i="28"/>
  <c r="G80" i="28"/>
  <c r="F80" i="28"/>
  <c r="G79" i="28"/>
  <c r="F79" i="28"/>
  <c r="G78" i="28"/>
  <c r="F78" i="28"/>
  <c r="G77" i="28"/>
  <c r="F77" i="28"/>
  <c r="G76" i="28"/>
  <c r="F76" i="28"/>
  <c r="G75" i="28"/>
  <c r="F75" i="28"/>
  <c r="G74" i="28"/>
  <c r="F74" i="28"/>
  <c r="G73" i="28"/>
  <c r="F73" i="28"/>
  <c r="G72" i="28"/>
  <c r="F72" i="28"/>
  <c r="G71" i="28"/>
  <c r="F71" i="28"/>
  <c r="G70" i="28"/>
  <c r="F70" i="28"/>
  <c r="G69" i="28"/>
  <c r="F69" i="28"/>
  <c r="G68" i="28"/>
  <c r="F68" i="28"/>
  <c r="G67" i="28"/>
  <c r="F67" i="28"/>
  <c r="G66" i="28"/>
  <c r="F66" i="28"/>
  <c r="G65" i="28"/>
  <c r="F65" i="28"/>
  <c r="G64" i="28"/>
  <c r="F64" i="28"/>
  <c r="G63" i="28"/>
  <c r="F63" i="28"/>
  <c r="G62" i="28"/>
  <c r="F62" i="28"/>
  <c r="G61" i="28"/>
  <c r="F61" i="28"/>
  <c r="G60" i="28"/>
  <c r="F60" i="28"/>
  <c r="G59" i="28"/>
  <c r="F59" i="28"/>
  <c r="G58" i="28"/>
  <c r="F58" i="28"/>
  <c r="G57" i="28"/>
  <c r="F57" i="28"/>
  <c r="G56" i="28"/>
  <c r="F56" i="28"/>
  <c r="G55" i="28"/>
  <c r="F55" i="28"/>
  <c r="G54" i="28"/>
  <c r="F54" i="28"/>
  <c r="G53" i="28"/>
  <c r="F53" i="28"/>
  <c r="G52" i="28"/>
  <c r="F52" i="28"/>
  <c r="G51" i="28"/>
  <c r="F51" i="28"/>
  <c r="G50" i="28"/>
  <c r="F50" i="28"/>
  <c r="G49" i="28"/>
  <c r="F49" i="28"/>
  <c r="G48" i="28"/>
  <c r="F48" i="28"/>
  <c r="G47" i="28"/>
  <c r="F47" i="28"/>
  <c r="G46" i="28"/>
  <c r="F46" i="28"/>
  <c r="G45" i="28"/>
  <c r="F45" i="28"/>
  <c r="G44" i="28"/>
  <c r="F44" i="28"/>
  <c r="G43" i="28"/>
  <c r="F43" i="28"/>
  <c r="G42" i="28"/>
  <c r="F42" i="28"/>
  <c r="G41" i="28"/>
  <c r="F41" i="28"/>
  <c r="G40" i="28"/>
  <c r="F40" i="28"/>
  <c r="G39" i="28"/>
  <c r="F39" i="28"/>
  <c r="G38" i="28"/>
  <c r="F38" i="28"/>
  <c r="G37" i="28"/>
  <c r="F37" i="28"/>
  <c r="G36" i="28"/>
  <c r="F36" i="28"/>
  <c r="G35" i="28"/>
  <c r="F35" i="28"/>
  <c r="G34" i="28"/>
  <c r="F34" i="28"/>
  <c r="G33" i="28"/>
  <c r="F33" i="28"/>
  <c r="G32" i="28"/>
  <c r="F32" i="28"/>
  <c r="G31" i="28"/>
  <c r="F31" i="28"/>
  <c r="G30" i="28"/>
  <c r="F30" i="28"/>
  <c r="G29" i="28"/>
  <c r="F29" i="28"/>
  <c r="G28" i="28"/>
  <c r="F28" i="28"/>
  <c r="G27" i="28"/>
  <c r="F27" i="28"/>
  <c r="G26" i="28"/>
  <c r="F26" i="28"/>
  <c r="G25" i="28"/>
  <c r="F25" i="28"/>
  <c r="G24" i="28"/>
  <c r="F24" i="28"/>
  <c r="G23" i="28"/>
  <c r="F23" i="28"/>
  <c r="G22" i="28"/>
  <c r="F22" i="28"/>
  <c r="G21" i="28"/>
  <c r="F21" i="28"/>
  <c r="G20" i="28"/>
  <c r="F20" i="28"/>
  <c r="G19" i="28"/>
  <c r="F19" i="28"/>
  <c r="G18" i="28"/>
  <c r="F18" i="28"/>
  <c r="G17" i="28"/>
  <c r="F17" i="28"/>
  <c r="G16" i="28"/>
  <c r="F16" i="28"/>
  <c r="G15" i="28"/>
  <c r="F15" i="28"/>
  <c r="G14" i="28"/>
  <c r="F14" i="28"/>
  <c r="G13" i="28"/>
  <c r="F13" i="28"/>
  <c r="G12" i="28"/>
  <c r="F12" i="28"/>
  <c r="G11" i="28"/>
  <c r="F11" i="28"/>
  <c r="G10" i="28"/>
  <c r="F10" i="28"/>
  <c r="G9" i="28"/>
  <c r="F9" i="28"/>
  <c r="G8" i="28"/>
  <c r="F8" i="28"/>
  <c r="G7" i="28"/>
  <c r="F7" i="28"/>
  <c r="G6" i="28"/>
  <c r="F6" i="28"/>
  <c r="G5" i="28"/>
  <c r="F5" i="28"/>
  <c r="G4" i="28"/>
  <c r="F4" i="28"/>
  <c r="G3" i="28"/>
  <c r="F3" i="28"/>
  <c r="C351" i="28"/>
  <c r="H350" i="28"/>
  <c r="I350" i="28" s="1"/>
  <c r="H343" i="28"/>
  <c r="I343" i="28" s="1"/>
  <c r="H338" i="28"/>
  <c r="I338" i="28" s="1"/>
  <c r="H335" i="28"/>
  <c r="I335" i="28" s="1"/>
  <c r="H327" i="28"/>
  <c r="I327" i="28" s="1"/>
  <c r="H326" i="28"/>
  <c r="I326" i="28" s="1"/>
  <c r="H319" i="28"/>
  <c r="I319" i="28" s="1"/>
  <c r="H310" i="28"/>
  <c r="I310" i="28" s="1"/>
  <c r="H286" i="28"/>
  <c r="I286" i="28" s="1"/>
  <c r="H274" i="28"/>
  <c r="I274" i="28" s="1"/>
  <c r="H254" i="28"/>
  <c r="I254" i="28" s="1"/>
  <c r="H242" i="28"/>
  <c r="I242" i="28" s="1"/>
  <c r="H222" i="28"/>
  <c r="I222" i="28" s="1"/>
  <c r="H206" i="28"/>
  <c r="I206" i="28" s="1"/>
  <c r="H166" i="28"/>
  <c r="I166" i="28" s="1"/>
  <c r="H142" i="28"/>
  <c r="I142" i="28" s="1"/>
  <c r="D141" i="28"/>
  <c r="H114" i="28"/>
  <c r="I114" i="28" s="1"/>
  <c r="E97" i="28"/>
  <c r="E351" i="28" s="1"/>
  <c r="H96" i="28" l="1"/>
  <c r="I96" i="28" s="1"/>
  <c r="H104" i="28"/>
  <c r="I104" i="28" s="1"/>
  <c r="H112" i="28"/>
  <c r="I112" i="28" s="1"/>
  <c r="H120" i="28"/>
  <c r="I120" i="28" s="1"/>
  <c r="H128" i="28"/>
  <c r="I128" i="28" s="1"/>
  <c r="H136" i="28"/>
  <c r="I136" i="28" s="1"/>
  <c r="H148" i="28"/>
  <c r="I148" i="28" s="1"/>
  <c r="H156" i="28"/>
  <c r="I156" i="28" s="1"/>
  <c r="H164" i="28"/>
  <c r="I164" i="28" s="1"/>
  <c r="H172" i="28"/>
  <c r="I172" i="28" s="1"/>
  <c r="H180" i="28"/>
  <c r="I180" i="28" s="1"/>
  <c r="H188" i="28"/>
  <c r="I188" i="28" s="1"/>
  <c r="H196" i="28"/>
  <c r="I196" i="28" s="1"/>
  <c r="H204" i="28"/>
  <c r="I204" i="28" s="1"/>
  <c r="H212" i="28"/>
  <c r="I212" i="28" s="1"/>
  <c r="H216" i="28"/>
  <c r="I216" i="28" s="1"/>
  <c r="H220" i="28"/>
  <c r="I220" i="28" s="1"/>
  <c r="H224" i="28"/>
  <c r="I224" i="28" s="1"/>
  <c r="H228" i="28"/>
  <c r="I228" i="28" s="1"/>
  <c r="H232" i="28"/>
  <c r="I232" i="28" s="1"/>
  <c r="H236" i="28"/>
  <c r="I236" i="28" s="1"/>
  <c r="H240" i="28"/>
  <c r="I240" i="28" s="1"/>
  <c r="H244" i="28"/>
  <c r="I244" i="28" s="1"/>
  <c r="H248" i="28"/>
  <c r="I248" i="28" s="1"/>
  <c r="H252" i="28"/>
  <c r="I252" i="28" s="1"/>
  <c r="H256" i="28"/>
  <c r="I256" i="28" s="1"/>
  <c r="H260" i="28"/>
  <c r="I260" i="28" s="1"/>
  <c r="H264" i="28"/>
  <c r="I264" i="28" s="1"/>
  <c r="H268" i="28"/>
  <c r="I268" i="28" s="1"/>
  <c r="H272" i="28"/>
  <c r="I272" i="28" s="1"/>
  <c r="H276" i="28"/>
  <c r="I276" i="28" s="1"/>
  <c r="H280" i="28"/>
  <c r="I280" i="28" s="1"/>
  <c r="H284" i="28"/>
  <c r="I284" i="28" s="1"/>
  <c r="H288" i="28"/>
  <c r="I288" i="28" s="1"/>
  <c r="H328" i="28"/>
  <c r="I328" i="28" s="1"/>
  <c r="H332" i="28"/>
  <c r="I332" i="28" s="1"/>
  <c r="H336" i="28"/>
  <c r="I336" i="28" s="1"/>
  <c r="H344" i="28"/>
  <c r="I344" i="28" s="1"/>
  <c r="H348" i="28"/>
  <c r="I348" i="28" s="1"/>
  <c r="H292" i="28"/>
  <c r="I292" i="28" s="1"/>
  <c r="H296" i="28"/>
  <c r="I296" i="28" s="1"/>
  <c r="H300" i="28"/>
  <c r="I300" i="28" s="1"/>
  <c r="H312" i="28"/>
  <c r="I312" i="28" s="1"/>
  <c r="H320" i="28"/>
  <c r="I320" i="28" s="1"/>
  <c r="H324" i="28"/>
  <c r="I324" i="28" s="1"/>
  <c r="H340" i="28"/>
  <c r="I340" i="28" s="1"/>
  <c r="G351" i="28"/>
  <c r="H97" i="28"/>
  <c r="I97" i="28" s="1"/>
  <c r="H352" i="20"/>
  <c r="I352" i="20" s="1"/>
  <c r="C294" i="23" s="1"/>
  <c r="E294" i="23" s="1"/>
  <c r="H351" i="20"/>
  <c r="I351" i="20" s="1"/>
  <c r="C293" i="23" s="1"/>
  <c r="H355" i="20"/>
  <c r="I355" i="20" s="1"/>
  <c r="C477" i="23" s="1"/>
  <c r="H4" i="28"/>
  <c r="I4" i="28" s="1"/>
  <c r="H6" i="28"/>
  <c r="I6" i="28" s="1"/>
  <c r="H8" i="28"/>
  <c r="I8" i="28" s="1"/>
  <c r="H10" i="28"/>
  <c r="I10" i="28" s="1"/>
  <c r="H12" i="28"/>
  <c r="I12" i="28" s="1"/>
  <c r="H14" i="28"/>
  <c r="I14" i="28" s="1"/>
  <c r="H16" i="28"/>
  <c r="I16" i="28" s="1"/>
  <c r="H18" i="28"/>
  <c r="I18" i="28" s="1"/>
  <c r="H20" i="28"/>
  <c r="I20" i="28" s="1"/>
  <c r="H22" i="28"/>
  <c r="I22" i="28" s="1"/>
  <c r="H24" i="28"/>
  <c r="I24" i="28" s="1"/>
  <c r="H26" i="28"/>
  <c r="I26" i="28" s="1"/>
  <c r="H28" i="28"/>
  <c r="I28" i="28" s="1"/>
  <c r="H30" i="28"/>
  <c r="I30" i="28" s="1"/>
  <c r="H32" i="28"/>
  <c r="I32" i="28" s="1"/>
  <c r="H34" i="28"/>
  <c r="I34" i="28" s="1"/>
  <c r="H36" i="28"/>
  <c r="I36" i="28" s="1"/>
  <c r="H38" i="28"/>
  <c r="I38" i="28" s="1"/>
  <c r="H40" i="28"/>
  <c r="I40" i="28" s="1"/>
  <c r="H42" i="28"/>
  <c r="I42" i="28" s="1"/>
  <c r="H44" i="28"/>
  <c r="I44" i="28" s="1"/>
  <c r="H46" i="28"/>
  <c r="I46" i="28" s="1"/>
  <c r="H48" i="28"/>
  <c r="I48" i="28" s="1"/>
  <c r="H50" i="28"/>
  <c r="I50" i="28" s="1"/>
  <c r="H52" i="28"/>
  <c r="I52" i="28" s="1"/>
  <c r="H54" i="28"/>
  <c r="I54" i="28" s="1"/>
  <c r="H56" i="28"/>
  <c r="I56" i="28" s="1"/>
  <c r="H58" i="28"/>
  <c r="I58" i="28" s="1"/>
  <c r="H60" i="28"/>
  <c r="I60" i="28" s="1"/>
  <c r="H62" i="28"/>
  <c r="I62" i="28" s="1"/>
  <c r="H64" i="28"/>
  <c r="I64" i="28" s="1"/>
  <c r="H66" i="28"/>
  <c r="I66" i="28" s="1"/>
  <c r="H68" i="28"/>
  <c r="I68" i="28" s="1"/>
  <c r="H70" i="28"/>
  <c r="I70" i="28" s="1"/>
  <c r="H72" i="28"/>
  <c r="I72" i="28" s="1"/>
  <c r="H74" i="28"/>
  <c r="I74" i="28" s="1"/>
  <c r="H76" i="28"/>
  <c r="I76" i="28" s="1"/>
  <c r="H78" i="28"/>
  <c r="I78" i="28" s="1"/>
  <c r="H80" i="28"/>
  <c r="I80" i="28" s="1"/>
  <c r="H82" i="28"/>
  <c r="I82" i="28" s="1"/>
  <c r="H84" i="28"/>
  <c r="I84" i="28" s="1"/>
  <c r="H86" i="28"/>
  <c r="I86" i="28" s="1"/>
  <c r="H88" i="28"/>
  <c r="I88" i="28" s="1"/>
  <c r="H90" i="28"/>
  <c r="I90" i="28" s="1"/>
  <c r="H92" i="28"/>
  <c r="I92" i="28" s="1"/>
  <c r="H99" i="28"/>
  <c r="I99" i="28" s="1"/>
  <c r="H102" i="28"/>
  <c r="I102" i="28" s="1"/>
  <c r="H108" i="28"/>
  <c r="I108" i="28" s="1"/>
  <c r="H115" i="28"/>
  <c r="I115" i="28" s="1"/>
  <c r="H118" i="28"/>
  <c r="I118" i="28" s="1"/>
  <c r="H124" i="28"/>
  <c r="I124" i="28" s="1"/>
  <c r="H131" i="28"/>
  <c r="I131" i="28" s="1"/>
  <c r="H134" i="28"/>
  <c r="I134" i="28" s="1"/>
  <c r="H140" i="28"/>
  <c r="I140" i="28" s="1"/>
  <c r="H152" i="28"/>
  <c r="I152" i="28" s="1"/>
  <c r="H154" i="28"/>
  <c r="I154" i="28" s="1"/>
  <c r="H168" i="28"/>
  <c r="I168" i="28" s="1"/>
  <c r="H170" i="28"/>
  <c r="I170" i="28" s="1"/>
  <c r="H184" i="28"/>
  <c r="I184" i="28" s="1"/>
  <c r="H186" i="28"/>
  <c r="I186" i="28" s="1"/>
  <c r="H200" i="28"/>
  <c r="I200" i="28" s="1"/>
  <c r="H202" i="28"/>
  <c r="I202" i="28" s="1"/>
  <c r="F351" i="28"/>
  <c r="H5" i="28"/>
  <c r="I5" i="28" s="1"/>
  <c r="H7" i="28"/>
  <c r="I7" i="28" s="1"/>
  <c r="H9" i="28"/>
  <c r="I9" i="28" s="1"/>
  <c r="H11" i="28"/>
  <c r="I11" i="28" s="1"/>
  <c r="H13" i="28"/>
  <c r="I13" i="28" s="1"/>
  <c r="H15" i="28"/>
  <c r="I15" i="28" s="1"/>
  <c r="H17" i="28"/>
  <c r="I17" i="28" s="1"/>
  <c r="H19" i="28"/>
  <c r="I19" i="28" s="1"/>
  <c r="H21" i="28"/>
  <c r="I21" i="28" s="1"/>
  <c r="H23" i="28"/>
  <c r="I23" i="28" s="1"/>
  <c r="H25" i="28"/>
  <c r="I25" i="28" s="1"/>
  <c r="H27" i="28"/>
  <c r="I27" i="28" s="1"/>
  <c r="H29" i="28"/>
  <c r="I29" i="28" s="1"/>
  <c r="H31" i="28"/>
  <c r="I31" i="28" s="1"/>
  <c r="H33" i="28"/>
  <c r="I33" i="28" s="1"/>
  <c r="H35" i="28"/>
  <c r="I35" i="28" s="1"/>
  <c r="H37" i="28"/>
  <c r="I37" i="28" s="1"/>
  <c r="H39" i="28"/>
  <c r="I39" i="28" s="1"/>
  <c r="H41" i="28"/>
  <c r="I41" i="28" s="1"/>
  <c r="H43" i="28"/>
  <c r="I43" i="28" s="1"/>
  <c r="H45" i="28"/>
  <c r="I45" i="28" s="1"/>
  <c r="H47" i="28"/>
  <c r="I47" i="28" s="1"/>
  <c r="H49" i="28"/>
  <c r="I49" i="28" s="1"/>
  <c r="H51" i="28"/>
  <c r="I51" i="28" s="1"/>
  <c r="H53" i="28"/>
  <c r="I53" i="28" s="1"/>
  <c r="H55" i="28"/>
  <c r="I55" i="28" s="1"/>
  <c r="H57" i="28"/>
  <c r="I57" i="28" s="1"/>
  <c r="H59" i="28"/>
  <c r="I59" i="28" s="1"/>
  <c r="H61" i="28"/>
  <c r="I61" i="28" s="1"/>
  <c r="H63" i="28"/>
  <c r="I63" i="28" s="1"/>
  <c r="H65" i="28"/>
  <c r="I65" i="28" s="1"/>
  <c r="H67" i="28"/>
  <c r="I67" i="28" s="1"/>
  <c r="H69" i="28"/>
  <c r="I69" i="28" s="1"/>
  <c r="H71" i="28"/>
  <c r="I71" i="28" s="1"/>
  <c r="H73" i="28"/>
  <c r="I73" i="28" s="1"/>
  <c r="H75" i="28"/>
  <c r="I75" i="28" s="1"/>
  <c r="H77" i="28"/>
  <c r="I77" i="28" s="1"/>
  <c r="H79" i="28"/>
  <c r="I79" i="28" s="1"/>
  <c r="H81" i="28"/>
  <c r="I81" i="28" s="1"/>
  <c r="H83" i="28"/>
  <c r="I83" i="28" s="1"/>
  <c r="H85" i="28"/>
  <c r="I85" i="28" s="1"/>
  <c r="H87" i="28"/>
  <c r="I87" i="28" s="1"/>
  <c r="H89" i="28"/>
  <c r="I89" i="28" s="1"/>
  <c r="H91" i="28"/>
  <c r="I91" i="28" s="1"/>
  <c r="H100" i="28"/>
  <c r="I100" i="28" s="1"/>
  <c r="H107" i="28"/>
  <c r="I107" i="28" s="1"/>
  <c r="H110" i="28"/>
  <c r="I110" i="28" s="1"/>
  <c r="H116" i="28"/>
  <c r="I116" i="28" s="1"/>
  <c r="H123" i="28"/>
  <c r="I123" i="28" s="1"/>
  <c r="H126" i="28"/>
  <c r="I126" i="28" s="1"/>
  <c r="H132" i="28"/>
  <c r="I132" i="28" s="1"/>
  <c r="H139" i="28"/>
  <c r="I139" i="28" s="1"/>
  <c r="H144" i="28"/>
  <c r="I144" i="28" s="1"/>
  <c r="H146" i="28"/>
  <c r="I146" i="28" s="1"/>
  <c r="H160" i="28"/>
  <c r="I160" i="28" s="1"/>
  <c r="H162" i="28"/>
  <c r="I162" i="28" s="1"/>
  <c r="H176" i="28"/>
  <c r="I176" i="28" s="1"/>
  <c r="H178" i="28"/>
  <c r="I178" i="28" s="1"/>
  <c r="H192" i="28"/>
  <c r="I192" i="28" s="1"/>
  <c r="H194" i="28"/>
  <c r="I194" i="28" s="1"/>
  <c r="H208" i="28"/>
  <c r="I208" i="28" s="1"/>
  <c r="H210" i="28"/>
  <c r="I210" i="28" s="1"/>
  <c r="H3" i="28"/>
  <c r="H145" i="28"/>
  <c r="I145" i="28" s="1"/>
  <c r="H149" i="28"/>
  <c r="I149" i="28" s="1"/>
  <c r="H153" i="28"/>
  <c r="I153" i="28" s="1"/>
  <c r="H157" i="28"/>
  <c r="I157" i="28" s="1"/>
  <c r="H161" i="28"/>
  <c r="I161" i="28" s="1"/>
  <c r="H165" i="28"/>
  <c r="I165" i="28" s="1"/>
  <c r="H169" i="28"/>
  <c r="I169" i="28" s="1"/>
  <c r="H173" i="28"/>
  <c r="I173" i="28" s="1"/>
  <c r="H177" i="28"/>
  <c r="I177" i="28" s="1"/>
  <c r="H181" i="28"/>
  <c r="I181" i="28" s="1"/>
  <c r="H185" i="28"/>
  <c r="I185" i="28" s="1"/>
  <c r="H189" i="28"/>
  <c r="I189" i="28" s="1"/>
  <c r="H193" i="28"/>
  <c r="I193" i="28" s="1"/>
  <c r="H197" i="28"/>
  <c r="I197" i="28" s="1"/>
  <c r="H201" i="28"/>
  <c r="I201" i="28" s="1"/>
  <c r="H205" i="28"/>
  <c r="I205" i="28" s="1"/>
  <c r="H209" i="28"/>
  <c r="I209" i="28" s="1"/>
  <c r="H213" i="28"/>
  <c r="I213" i="28" s="1"/>
  <c r="D351" i="28"/>
  <c r="H141" i="28"/>
  <c r="I141" i="28" s="1"/>
  <c r="H304" i="28"/>
  <c r="I304" i="28" s="1"/>
  <c r="H306" i="28"/>
  <c r="I306" i="28" s="1"/>
  <c r="H314" i="28"/>
  <c r="I314" i="28" s="1"/>
  <c r="H316" i="28"/>
  <c r="I316" i="28" s="1"/>
  <c r="H318" i="28"/>
  <c r="I318" i="28" s="1"/>
  <c r="H346" i="28"/>
  <c r="I346" i="28" s="1"/>
  <c r="H143" i="28"/>
  <c r="I143" i="28" s="1"/>
  <c r="H147" i="28"/>
  <c r="I147" i="28" s="1"/>
  <c r="H151" i="28"/>
  <c r="I151" i="28" s="1"/>
  <c r="H155" i="28"/>
  <c r="I155" i="28" s="1"/>
  <c r="H159" i="28"/>
  <c r="I159" i="28" s="1"/>
  <c r="H163" i="28"/>
  <c r="I163" i="28" s="1"/>
  <c r="H167" i="28"/>
  <c r="I167" i="28" s="1"/>
  <c r="H171" i="28"/>
  <c r="I171" i="28" s="1"/>
  <c r="H175" i="28"/>
  <c r="I175" i="28" s="1"/>
  <c r="H179" i="28"/>
  <c r="I179" i="28" s="1"/>
  <c r="H183" i="28"/>
  <c r="I183" i="28" s="1"/>
  <c r="H187" i="28"/>
  <c r="I187" i="28" s="1"/>
  <c r="H191" i="28"/>
  <c r="I191" i="28" s="1"/>
  <c r="H195" i="28"/>
  <c r="I195" i="28" s="1"/>
  <c r="H199" i="28"/>
  <c r="I199" i="28" s="1"/>
  <c r="H203" i="28"/>
  <c r="I203" i="28" s="1"/>
  <c r="H207" i="28"/>
  <c r="I207" i="28" s="1"/>
  <c r="H211" i="28"/>
  <c r="I211" i="28" s="1"/>
  <c r="H342" i="20"/>
  <c r="I342" i="20" s="1"/>
  <c r="C379" i="23" s="1"/>
  <c r="E379" i="23" s="1"/>
  <c r="G346" i="25"/>
  <c r="F346" i="25"/>
  <c r="G345" i="25"/>
  <c r="F345" i="25"/>
  <c r="G344" i="25"/>
  <c r="F344" i="25"/>
  <c r="G343" i="25"/>
  <c r="F343" i="25"/>
  <c r="G342" i="25"/>
  <c r="F342" i="25"/>
  <c r="G341" i="25"/>
  <c r="F341" i="25"/>
  <c r="G340" i="25"/>
  <c r="F340" i="25"/>
  <c r="G339" i="25"/>
  <c r="F339" i="25"/>
  <c r="G338" i="25"/>
  <c r="F338" i="25"/>
  <c r="G337" i="25"/>
  <c r="F337" i="25"/>
  <c r="G336" i="25"/>
  <c r="F336" i="25"/>
  <c r="G335" i="25"/>
  <c r="F335" i="25"/>
  <c r="G334" i="25"/>
  <c r="F334" i="25"/>
  <c r="G333" i="25"/>
  <c r="F333" i="25"/>
  <c r="G332" i="25"/>
  <c r="F332" i="25"/>
  <c r="G331" i="25"/>
  <c r="F331" i="25"/>
  <c r="G330" i="25"/>
  <c r="F330" i="25"/>
  <c r="G329" i="25"/>
  <c r="F329" i="25"/>
  <c r="G328" i="25"/>
  <c r="F328" i="25"/>
  <c r="G327" i="25"/>
  <c r="F327" i="25"/>
  <c r="G326" i="25"/>
  <c r="F326" i="25"/>
  <c r="G325" i="25"/>
  <c r="F325" i="25"/>
  <c r="G324" i="25"/>
  <c r="F324" i="25"/>
  <c r="G323" i="25"/>
  <c r="F323" i="25"/>
  <c r="G322" i="25"/>
  <c r="F322" i="25"/>
  <c r="G321" i="25"/>
  <c r="F321" i="25"/>
  <c r="G320" i="25"/>
  <c r="F320" i="25"/>
  <c r="G319" i="25"/>
  <c r="F319" i="25"/>
  <c r="G318" i="25"/>
  <c r="F318" i="25"/>
  <c r="G317" i="25"/>
  <c r="F317" i="25"/>
  <c r="G316" i="25"/>
  <c r="F316" i="25"/>
  <c r="G315" i="25"/>
  <c r="F315" i="25"/>
  <c r="G314" i="25"/>
  <c r="F314" i="25"/>
  <c r="G313" i="25"/>
  <c r="F313" i="25"/>
  <c r="G312" i="25"/>
  <c r="F312" i="25"/>
  <c r="G311" i="25"/>
  <c r="F311" i="25"/>
  <c r="G310" i="25"/>
  <c r="F310" i="25"/>
  <c r="G309" i="25"/>
  <c r="F309" i="25"/>
  <c r="G308" i="25"/>
  <c r="F308" i="25"/>
  <c r="G307" i="25"/>
  <c r="F307" i="25"/>
  <c r="G306" i="25"/>
  <c r="F306" i="25"/>
  <c r="G305" i="25"/>
  <c r="F305" i="25"/>
  <c r="G304" i="25"/>
  <c r="F304" i="25"/>
  <c r="G303" i="25"/>
  <c r="F303" i="25"/>
  <c r="G302" i="25"/>
  <c r="F302" i="25"/>
  <c r="G301" i="25"/>
  <c r="F301" i="25"/>
  <c r="G300" i="25"/>
  <c r="F300" i="25"/>
  <c r="G299" i="25"/>
  <c r="F299" i="25"/>
  <c r="G298" i="25"/>
  <c r="F298" i="25"/>
  <c r="G297" i="25"/>
  <c r="F297" i="25"/>
  <c r="G296" i="25"/>
  <c r="F296" i="25"/>
  <c r="G295" i="25"/>
  <c r="F295" i="25"/>
  <c r="G294" i="25"/>
  <c r="F294" i="25"/>
  <c r="G293" i="25"/>
  <c r="F293" i="25"/>
  <c r="G292" i="25"/>
  <c r="F292" i="25"/>
  <c r="G291" i="25"/>
  <c r="F291" i="25"/>
  <c r="G290" i="25"/>
  <c r="F290" i="25"/>
  <c r="G289" i="25"/>
  <c r="F289" i="25"/>
  <c r="G288" i="25"/>
  <c r="F288" i="25"/>
  <c r="G287" i="25"/>
  <c r="F287" i="25"/>
  <c r="G286" i="25"/>
  <c r="F286" i="25"/>
  <c r="G285" i="25"/>
  <c r="F285" i="25"/>
  <c r="G284" i="25"/>
  <c r="F284" i="25"/>
  <c r="G283" i="25"/>
  <c r="F283" i="25"/>
  <c r="G282" i="25"/>
  <c r="F282" i="25"/>
  <c r="G281" i="25"/>
  <c r="F281" i="25"/>
  <c r="G280" i="25"/>
  <c r="F280" i="25"/>
  <c r="G279" i="25"/>
  <c r="F279" i="25"/>
  <c r="G278" i="25"/>
  <c r="F278" i="25"/>
  <c r="G277" i="25"/>
  <c r="F277" i="25"/>
  <c r="G276" i="25"/>
  <c r="F276" i="25"/>
  <c r="G275" i="25"/>
  <c r="F275" i="25"/>
  <c r="G274" i="25"/>
  <c r="F274" i="25"/>
  <c r="G273" i="25"/>
  <c r="F273" i="25"/>
  <c r="G272" i="25"/>
  <c r="F272" i="25"/>
  <c r="G271" i="25"/>
  <c r="F271" i="25"/>
  <c r="G270" i="25"/>
  <c r="F270" i="25"/>
  <c r="G269" i="25"/>
  <c r="F269" i="25"/>
  <c r="G268" i="25"/>
  <c r="F268" i="25"/>
  <c r="G267" i="25"/>
  <c r="F267" i="25"/>
  <c r="G266" i="25"/>
  <c r="F266" i="25"/>
  <c r="G265" i="25"/>
  <c r="F265" i="25"/>
  <c r="G264" i="25"/>
  <c r="F264" i="25"/>
  <c r="G263" i="25"/>
  <c r="F263" i="25"/>
  <c r="G262" i="25"/>
  <c r="F262" i="25"/>
  <c r="G261" i="25"/>
  <c r="F261" i="25"/>
  <c r="G260" i="25"/>
  <c r="F260" i="25"/>
  <c r="G259" i="25"/>
  <c r="F259" i="25"/>
  <c r="G258" i="25"/>
  <c r="F258" i="25"/>
  <c r="G257" i="25"/>
  <c r="F257" i="25"/>
  <c r="G256" i="25"/>
  <c r="F256" i="25"/>
  <c r="G255" i="25"/>
  <c r="F255" i="25"/>
  <c r="G254" i="25"/>
  <c r="F254" i="25"/>
  <c r="G253" i="25"/>
  <c r="F253" i="25"/>
  <c r="G252" i="25"/>
  <c r="F252" i="25"/>
  <c r="G251" i="25"/>
  <c r="F251" i="25"/>
  <c r="G250" i="25"/>
  <c r="F250" i="25"/>
  <c r="G249" i="25"/>
  <c r="F249" i="25"/>
  <c r="G248" i="25"/>
  <c r="F248" i="25"/>
  <c r="G247" i="25"/>
  <c r="F247" i="25"/>
  <c r="G246" i="25"/>
  <c r="F246" i="25"/>
  <c r="G245" i="25"/>
  <c r="F245" i="25"/>
  <c r="G244" i="25"/>
  <c r="F244" i="25"/>
  <c r="G243" i="25"/>
  <c r="F243" i="25"/>
  <c r="G242" i="25"/>
  <c r="F242" i="25"/>
  <c r="G241" i="25"/>
  <c r="F241" i="25"/>
  <c r="G240" i="25"/>
  <c r="F240" i="25"/>
  <c r="G239" i="25"/>
  <c r="F239" i="25"/>
  <c r="G238" i="25"/>
  <c r="F238" i="25"/>
  <c r="G237" i="25"/>
  <c r="F237" i="25"/>
  <c r="G236" i="25"/>
  <c r="F236" i="25"/>
  <c r="G235" i="25"/>
  <c r="F235" i="25"/>
  <c r="G234" i="25"/>
  <c r="F234" i="25"/>
  <c r="G233" i="25"/>
  <c r="F233" i="25"/>
  <c r="G232" i="25"/>
  <c r="F232" i="25"/>
  <c r="G231" i="25"/>
  <c r="F231" i="25"/>
  <c r="G230" i="25"/>
  <c r="F230" i="25"/>
  <c r="G229" i="25"/>
  <c r="F229" i="25"/>
  <c r="G228" i="25"/>
  <c r="F228" i="25"/>
  <c r="G227" i="25"/>
  <c r="F227" i="25"/>
  <c r="G226" i="25"/>
  <c r="F226" i="25"/>
  <c r="G225" i="25"/>
  <c r="F225" i="25"/>
  <c r="G224" i="25"/>
  <c r="F224" i="25"/>
  <c r="G223" i="25"/>
  <c r="F223" i="25"/>
  <c r="G222" i="25"/>
  <c r="F222" i="25"/>
  <c r="G221" i="25"/>
  <c r="F221" i="25"/>
  <c r="G220" i="25"/>
  <c r="F220" i="25"/>
  <c r="G219" i="25"/>
  <c r="F219" i="25"/>
  <c r="G218" i="25"/>
  <c r="F218" i="25"/>
  <c r="G217" i="25"/>
  <c r="F217" i="25"/>
  <c r="G216" i="25"/>
  <c r="F216" i="25"/>
  <c r="G215" i="25"/>
  <c r="F215" i="25"/>
  <c r="G214" i="25"/>
  <c r="F214" i="25"/>
  <c r="G213" i="25"/>
  <c r="F213" i="25"/>
  <c r="G212" i="25"/>
  <c r="F212" i="25"/>
  <c r="G211" i="25"/>
  <c r="F211" i="25"/>
  <c r="G210" i="25"/>
  <c r="F210" i="25"/>
  <c r="G209" i="25"/>
  <c r="F209" i="25"/>
  <c r="G208" i="25"/>
  <c r="F208" i="25"/>
  <c r="G207" i="25"/>
  <c r="F207" i="25"/>
  <c r="G206" i="25"/>
  <c r="F206" i="25"/>
  <c r="G205" i="25"/>
  <c r="F205" i="25"/>
  <c r="G204" i="25"/>
  <c r="F204" i="25"/>
  <c r="G203" i="25"/>
  <c r="F203" i="25"/>
  <c r="G202" i="25"/>
  <c r="F202" i="25"/>
  <c r="G201" i="25"/>
  <c r="F201" i="25"/>
  <c r="G200" i="25"/>
  <c r="F200" i="25"/>
  <c r="G199" i="25"/>
  <c r="F199" i="25"/>
  <c r="G198" i="25"/>
  <c r="F198" i="25"/>
  <c r="G197" i="25"/>
  <c r="F197" i="25"/>
  <c r="G196" i="25"/>
  <c r="F196" i="25"/>
  <c r="G195" i="25"/>
  <c r="F195" i="25"/>
  <c r="G194" i="25"/>
  <c r="F194" i="25"/>
  <c r="G193" i="25"/>
  <c r="F193" i="25"/>
  <c r="G192" i="25"/>
  <c r="F192" i="25"/>
  <c r="G191" i="25"/>
  <c r="F191" i="25"/>
  <c r="G190" i="25"/>
  <c r="F190" i="25"/>
  <c r="G189" i="25"/>
  <c r="F189" i="25"/>
  <c r="G188" i="25"/>
  <c r="F188" i="25"/>
  <c r="G187" i="25"/>
  <c r="F187" i="25"/>
  <c r="G186" i="25"/>
  <c r="F186" i="25"/>
  <c r="G185" i="25"/>
  <c r="F185" i="25"/>
  <c r="G184" i="25"/>
  <c r="F184" i="25"/>
  <c r="G183" i="25"/>
  <c r="F183" i="25"/>
  <c r="G182" i="25"/>
  <c r="F182" i="25"/>
  <c r="G181" i="25"/>
  <c r="F181" i="25"/>
  <c r="G180" i="25"/>
  <c r="F180" i="25"/>
  <c r="G179" i="25"/>
  <c r="F179" i="25"/>
  <c r="G178" i="25"/>
  <c r="F178" i="25"/>
  <c r="G177" i="25"/>
  <c r="F177" i="25"/>
  <c r="G176" i="25"/>
  <c r="F176" i="25"/>
  <c r="G175" i="25"/>
  <c r="F175" i="25"/>
  <c r="G174" i="25"/>
  <c r="F174" i="25"/>
  <c r="G173" i="25"/>
  <c r="F173" i="25"/>
  <c r="G172" i="25"/>
  <c r="F172" i="25"/>
  <c r="G171" i="25"/>
  <c r="F171" i="25"/>
  <c r="G170" i="25"/>
  <c r="F170" i="25"/>
  <c r="G169" i="25"/>
  <c r="F169" i="25"/>
  <c r="G168" i="25"/>
  <c r="F168" i="25"/>
  <c r="G167" i="25"/>
  <c r="F167" i="25"/>
  <c r="G166" i="25"/>
  <c r="F166" i="25"/>
  <c r="G165" i="25"/>
  <c r="F165" i="25"/>
  <c r="G164" i="25"/>
  <c r="F164" i="25"/>
  <c r="G163" i="25"/>
  <c r="F163" i="25"/>
  <c r="G162" i="25"/>
  <c r="F162" i="25"/>
  <c r="G161" i="25"/>
  <c r="F161" i="25"/>
  <c r="G160" i="25"/>
  <c r="F160" i="25"/>
  <c r="G159" i="25"/>
  <c r="F159" i="25"/>
  <c r="G158" i="25"/>
  <c r="F158" i="25"/>
  <c r="G157" i="25"/>
  <c r="F157" i="25"/>
  <c r="G156" i="25"/>
  <c r="F156" i="25"/>
  <c r="G155" i="25"/>
  <c r="F155" i="25"/>
  <c r="G154" i="25"/>
  <c r="F154" i="25"/>
  <c r="G153" i="25"/>
  <c r="F153" i="25"/>
  <c r="G152" i="25"/>
  <c r="F152" i="25"/>
  <c r="G151" i="25"/>
  <c r="F151" i="25"/>
  <c r="G150" i="25"/>
  <c r="F150" i="25"/>
  <c r="G149" i="25"/>
  <c r="F149" i="25"/>
  <c r="G148" i="25"/>
  <c r="F148" i="25"/>
  <c r="G147" i="25"/>
  <c r="F147" i="25"/>
  <c r="G146" i="25"/>
  <c r="F146" i="25"/>
  <c r="G145" i="25"/>
  <c r="F145" i="25"/>
  <c r="G144" i="25"/>
  <c r="H144" i="25" s="1"/>
  <c r="I144" i="25" s="1"/>
  <c r="F144" i="25"/>
  <c r="G143" i="25"/>
  <c r="F143" i="25"/>
  <c r="G142" i="25"/>
  <c r="F142" i="25"/>
  <c r="G141" i="25"/>
  <c r="F141" i="25"/>
  <c r="G140" i="25"/>
  <c r="F140" i="25"/>
  <c r="G139" i="25"/>
  <c r="F139" i="25"/>
  <c r="G138" i="25"/>
  <c r="F138" i="25"/>
  <c r="G137" i="25"/>
  <c r="F137" i="25"/>
  <c r="G136" i="25"/>
  <c r="F136" i="25"/>
  <c r="G135" i="25"/>
  <c r="F135" i="25"/>
  <c r="G134" i="25"/>
  <c r="F134" i="25"/>
  <c r="G133" i="25"/>
  <c r="F133" i="25"/>
  <c r="G132" i="25"/>
  <c r="F132" i="25"/>
  <c r="G131" i="25"/>
  <c r="F131" i="25"/>
  <c r="G130" i="25"/>
  <c r="F130" i="25"/>
  <c r="G129" i="25"/>
  <c r="F129" i="25"/>
  <c r="G128" i="25"/>
  <c r="F128" i="25"/>
  <c r="G127" i="25"/>
  <c r="F127" i="25"/>
  <c r="G126" i="25"/>
  <c r="F126" i="25"/>
  <c r="G125" i="25"/>
  <c r="F125" i="25"/>
  <c r="G124" i="25"/>
  <c r="F124" i="25"/>
  <c r="G123" i="25"/>
  <c r="F123" i="25"/>
  <c r="G122" i="25"/>
  <c r="F122" i="25"/>
  <c r="G121" i="25"/>
  <c r="F121" i="25"/>
  <c r="G120" i="25"/>
  <c r="F120" i="25"/>
  <c r="G119" i="25"/>
  <c r="F119" i="25"/>
  <c r="G118" i="25"/>
  <c r="F118" i="25"/>
  <c r="G117" i="25"/>
  <c r="F117" i="25"/>
  <c r="G116" i="25"/>
  <c r="F116" i="25"/>
  <c r="G115" i="25"/>
  <c r="F115" i="25"/>
  <c r="G114" i="25"/>
  <c r="F114" i="25"/>
  <c r="G113" i="25"/>
  <c r="F113" i="25"/>
  <c r="G112" i="25"/>
  <c r="F112" i="25"/>
  <c r="G111" i="25"/>
  <c r="F111" i="25"/>
  <c r="G110" i="25"/>
  <c r="F110" i="25"/>
  <c r="G109" i="25"/>
  <c r="F109" i="25"/>
  <c r="G108" i="25"/>
  <c r="F108" i="25"/>
  <c r="G107" i="25"/>
  <c r="F107" i="25"/>
  <c r="G106" i="25"/>
  <c r="F106" i="25"/>
  <c r="G105" i="25"/>
  <c r="F105" i="25"/>
  <c r="G104" i="25"/>
  <c r="F104" i="25"/>
  <c r="G103" i="25"/>
  <c r="F103" i="25"/>
  <c r="G102" i="25"/>
  <c r="F102" i="25"/>
  <c r="G101" i="25"/>
  <c r="F101" i="25"/>
  <c r="G100" i="25"/>
  <c r="F100" i="25"/>
  <c r="G99" i="25"/>
  <c r="F99" i="25"/>
  <c r="G98" i="25"/>
  <c r="F98" i="25"/>
  <c r="G97" i="25"/>
  <c r="F97" i="25"/>
  <c r="G96" i="25"/>
  <c r="F96" i="25"/>
  <c r="G95" i="25"/>
  <c r="F95" i="25"/>
  <c r="G94" i="25"/>
  <c r="F94" i="25"/>
  <c r="G93" i="25"/>
  <c r="F93" i="25"/>
  <c r="G92" i="25"/>
  <c r="F92" i="25"/>
  <c r="G91" i="25"/>
  <c r="F91" i="25"/>
  <c r="G90" i="25"/>
  <c r="F90" i="25"/>
  <c r="G89" i="25"/>
  <c r="F89" i="25"/>
  <c r="G88" i="25"/>
  <c r="F88" i="25"/>
  <c r="G87" i="25"/>
  <c r="F87" i="25"/>
  <c r="G86" i="25"/>
  <c r="F86" i="25"/>
  <c r="G85" i="25"/>
  <c r="F85" i="25"/>
  <c r="G84" i="25"/>
  <c r="F84" i="25"/>
  <c r="G83" i="25"/>
  <c r="F83" i="25"/>
  <c r="G82" i="25"/>
  <c r="F82" i="25"/>
  <c r="G81" i="25"/>
  <c r="F81" i="25"/>
  <c r="G80" i="25"/>
  <c r="F80" i="25"/>
  <c r="G79" i="25"/>
  <c r="F79" i="25"/>
  <c r="G78" i="25"/>
  <c r="F78" i="25"/>
  <c r="G77" i="25"/>
  <c r="F77" i="25"/>
  <c r="G76" i="25"/>
  <c r="F76" i="25"/>
  <c r="G75" i="25"/>
  <c r="F75" i="25"/>
  <c r="G74" i="25"/>
  <c r="F74" i="25"/>
  <c r="G73" i="25"/>
  <c r="F73" i="25"/>
  <c r="G72" i="25"/>
  <c r="F72" i="25"/>
  <c r="G71" i="25"/>
  <c r="F71" i="25"/>
  <c r="G70" i="25"/>
  <c r="F70" i="25"/>
  <c r="G69" i="25"/>
  <c r="F69" i="25"/>
  <c r="G68" i="25"/>
  <c r="F68" i="25"/>
  <c r="G67" i="25"/>
  <c r="F67" i="25"/>
  <c r="G66" i="25"/>
  <c r="F66" i="25"/>
  <c r="G65" i="25"/>
  <c r="F65" i="25"/>
  <c r="G64" i="25"/>
  <c r="F64" i="25"/>
  <c r="G63" i="25"/>
  <c r="F63" i="25"/>
  <c r="G62" i="25"/>
  <c r="F62" i="25"/>
  <c r="G61" i="25"/>
  <c r="F61" i="25"/>
  <c r="G60" i="25"/>
  <c r="F60" i="25"/>
  <c r="G59" i="25"/>
  <c r="F59" i="25"/>
  <c r="G58" i="25"/>
  <c r="F58" i="25"/>
  <c r="G57" i="25"/>
  <c r="F57" i="25"/>
  <c r="G56" i="25"/>
  <c r="F56" i="25"/>
  <c r="G55" i="25"/>
  <c r="F55" i="25"/>
  <c r="G54" i="25"/>
  <c r="F54" i="25"/>
  <c r="G53" i="25"/>
  <c r="F53" i="25"/>
  <c r="G52" i="25"/>
  <c r="F52" i="25"/>
  <c r="G51" i="25"/>
  <c r="F51" i="25"/>
  <c r="G50" i="25"/>
  <c r="F50" i="25"/>
  <c r="G49" i="25"/>
  <c r="F49" i="25"/>
  <c r="G48" i="25"/>
  <c r="F48" i="25"/>
  <c r="G47" i="25"/>
  <c r="F47" i="25"/>
  <c r="G46" i="25"/>
  <c r="F46" i="25"/>
  <c r="G45" i="25"/>
  <c r="F45" i="25"/>
  <c r="G44" i="25"/>
  <c r="F44" i="25"/>
  <c r="G43" i="25"/>
  <c r="F43" i="25"/>
  <c r="G42" i="25"/>
  <c r="F42" i="25"/>
  <c r="G41" i="25"/>
  <c r="F41" i="25"/>
  <c r="G40" i="25"/>
  <c r="F40" i="25"/>
  <c r="G39" i="25"/>
  <c r="F39" i="25"/>
  <c r="G38" i="25"/>
  <c r="F38" i="25"/>
  <c r="G37" i="25"/>
  <c r="F37" i="25"/>
  <c r="G36" i="25"/>
  <c r="F36" i="25"/>
  <c r="G35" i="25"/>
  <c r="F35" i="25"/>
  <c r="G34" i="25"/>
  <c r="F34" i="25"/>
  <c r="G33" i="25"/>
  <c r="F33" i="25"/>
  <c r="G32" i="25"/>
  <c r="F32" i="25"/>
  <c r="G31" i="25"/>
  <c r="F31" i="25"/>
  <c r="G30" i="25"/>
  <c r="F30" i="25"/>
  <c r="G29" i="25"/>
  <c r="F29" i="25"/>
  <c r="G28" i="25"/>
  <c r="F28" i="25"/>
  <c r="G27" i="25"/>
  <c r="F27" i="25"/>
  <c r="G26" i="25"/>
  <c r="F26" i="25"/>
  <c r="G25" i="25"/>
  <c r="F25" i="25"/>
  <c r="G24" i="25"/>
  <c r="F24" i="25"/>
  <c r="G23" i="25"/>
  <c r="F23" i="25"/>
  <c r="G22" i="25"/>
  <c r="F22" i="25"/>
  <c r="G21" i="25"/>
  <c r="F21" i="25"/>
  <c r="G20" i="25"/>
  <c r="F20" i="25"/>
  <c r="G19" i="25"/>
  <c r="F19" i="25"/>
  <c r="G18" i="25"/>
  <c r="F18" i="25"/>
  <c r="G17" i="25"/>
  <c r="F17" i="25"/>
  <c r="G16" i="25"/>
  <c r="F16" i="25"/>
  <c r="G15" i="25"/>
  <c r="F15" i="25"/>
  <c r="G14" i="25"/>
  <c r="F14" i="25"/>
  <c r="G13" i="25"/>
  <c r="F13" i="25"/>
  <c r="G12" i="25"/>
  <c r="F12" i="25"/>
  <c r="G11" i="25"/>
  <c r="F11" i="25"/>
  <c r="G10" i="25"/>
  <c r="F10" i="25"/>
  <c r="G9" i="25"/>
  <c r="F9" i="25"/>
  <c r="G8" i="25"/>
  <c r="F8" i="25"/>
  <c r="G7" i="25"/>
  <c r="F7" i="25"/>
  <c r="G6" i="25"/>
  <c r="F6" i="25"/>
  <c r="G5" i="25"/>
  <c r="F5" i="25"/>
  <c r="G4" i="25"/>
  <c r="F4" i="25"/>
  <c r="G3" i="25"/>
  <c r="F3" i="25"/>
  <c r="E347" i="25"/>
  <c r="C347" i="25"/>
  <c r="D332" i="25"/>
  <c r="H212" i="25"/>
  <c r="I212" i="25" s="1"/>
  <c r="H184" i="25"/>
  <c r="I184" i="25" s="1"/>
  <c r="D105" i="25"/>
  <c r="H101" i="25"/>
  <c r="I101" i="25" s="1"/>
  <c r="H97" i="25"/>
  <c r="I97" i="25" s="1"/>
  <c r="H93" i="25"/>
  <c r="I93" i="25" s="1"/>
  <c r="H89" i="25"/>
  <c r="I89" i="25" s="1"/>
  <c r="H85" i="25"/>
  <c r="I85" i="25" s="1"/>
  <c r="H106" i="25" l="1"/>
  <c r="I106" i="25" s="1"/>
  <c r="H122" i="25"/>
  <c r="I122" i="25" s="1"/>
  <c r="H146" i="25"/>
  <c r="I146" i="25" s="1"/>
  <c r="H170" i="25"/>
  <c r="I170" i="25" s="1"/>
  <c r="H194" i="25"/>
  <c r="I194" i="25" s="1"/>
  <c r="H210" i="25"/>
  <c r="I210" i="25" s="1"/>
  <c r="H226" i="25"/>
  <c r="I226" i="25" s="1"/>
  <c r="H322" i="25"/>
  <c r="I322" i="25" s="1"/>
  <c r="H338" i="25"/>
  <c r="I338" i="25" s="1"/>
  <c r="H82" i="25"/>
  <c r="I82" i="25" s="1"/>
  <c r="H114" i="25"/>
  <c r="I114" i="25" s="1"/>
  <c r="H138" i="25"/>
  <c r="I138" i="25" s="1"/>
  <c r="H158" i="25"/>
  <c r="I158" i="25" s="1"/>
  <c r="H178" i="25"/>
  <c r="I178" i="25" s="1"/>
  <c r="H206" i="25"/>
  <c r="I206" i="25" s="1"/>
  <c r="H222" i="25"/>
  <c r="I222" i="25" s="1"/>
  <c r="H326" i="25"/>
  <c r="I326" i="25" s="1"/>
  <c r="H346" i="25"/>
  <c r="I346" i="25" s="1"/>
  <c r="H94" i="25"/>
  <c r="I94" i="25" s="1"/>
  <c r="H118" i="25"/>
  <c r="I118" i="25" s="1"/>
  <c r="H142" i="25"/>
  <c r="I142" i="25" s="1"/>
  <c r="H166" i="25"/>
  <c r="I166" i="25" s="1"/>
  <c r="H174" i="25"/>
  <c r="I174" i="25" s="1"/>
  <c r="H198" i="25"/>
  <c r="I198" i="25" s="1"/>
  <c r="H214" i="25"/>
  <c r="I214" i="25" s="1"/>
  <c r="H334" i="25"/>
  <c r="I334" i="25" s="1"/>
  <c r="H86" i="25"/>
  <c r="I86" i="25" s="1"/>
  <c r="H110" i="25"/>
  <c r="I110" i="25" s="1"/>
  <c r="H134" i="25"/>
  <c r="I134" i="25" s="1"/>
  <c r="H162" i="25"/>
  <c r="I162" i="25" s="1"/>
  <c r="H182" i="25"/>
  <c r="I182" i="25" s="1"/>
  <c r="H202" i="25"/>
  <c r="I202" i="25" s="1"/>
  <c r="H218" i="25"/>
  <c r="I218" i="25" s="1"/>
  <c r="H330" i="25"/>
  <c r="I330" i="25" s="1"/>
  <c r="H342" i="25"/>
  <c r="I342" i="25" s="1"/>
  <c r="H102" i="25"/>
  <c r="I102" i="25" s="1"/>
  <c r="H130" i="25"/>
  <c r="I130" i="25" s="1"/>
  <c r="H150" i="25"/>
  <c r="I150" i="25" s="1"/>
  <c r="H190" i="25"/>
  <c r="I190" i="25" s="1"/>
  <c r="H78" i="25"/>
  <c r="I78" i="25" s="1"/>
  <c r="H126" i="25"/>
  <c r="I126" i="25" s="1"/>
  <c r="H154" i="25"/>
  <c r="I154" i="25" s="1"/>
  <c r="H186" i="25"/>
  <c r="I186" i="25" s="1"/>
  <c r="H31" i="25"/>
  <c r="I31" i="25" s="1"/>
  <c r="H332" i="25"/>
  <c r="I332" i="25" s="1"/>
  <c r="H80" i="25"/>
  <c r="I80" i="25" s="1"/>
  <c r="H92" i="25"/>
  <c r="I92" i="25" s="1"/>
  <c r="H96" i="25"/>
  <c r="I96" i="25" s="1"/>
  <c r="H112" i="25"/>
  <c r="I112" i="25" s="1"/>
  <c r="H128" i="25"/>
  <c r="I128" i="25" s="1"/>
  <c r="H132" i="25"/>
  <c r="I132" i="25" s="1"/>
  <c r="H136" i="25"/>
  <c r="I136" i="25" s="1"/>
  <c r="H140" i="25"/>
  <c r="I140" i="25" s="1"/>
  <c r="H156" i="25"/>
  <c r="I156" i="25" s="1"/>
  <c r="H160" i="25"/>
  <c r="I160" i="25" s="1"/>
  <c r="H164" i="25"/>
  <c r="I164" i="25" s="1"/>
  <c r="H168" i="25"/>
  <c r="I168" i="25" s="1"/>
  <c r="H172" i="25"/>
  <c r="I172" i="25" s="1"/>
  <c r="H176" i="25"/>
  <c r="I176" i="25" s="1"/>
  <c r="H180" i="25"/>
  <c r="I180" i="25" s="1"/>
  <c r="H188" i="25"/>
  <c r="I188" i="25" s="1"/>
  <c r="H192" i="25"/>
  <c r="I192" i="25" s="1"/>
  <c r="H196" i="25"/>
  <c r="I196" i="25" s="1"/>
  <c r="H200" i="25"/>
  <c r="I200" i="25" s="1"/>
  <c r="H204" i="25"/>
  <c r="I204" i="25" s="1"/>
  <c r="H208" i="25"/>
  <c r="I208" i="25" s="1"/>
  <c r="H216" i="25"/>
  <c r="I216" i="25" s="1"/>
  <c r="H220" i="25"/>
  <c r="I220" i="25" s="1"/>
  <c r="H224" i="25"/>
  <c r="I224" i="25" s="1"/>
  <c r="H320" i="25"/>
  <c r="I320" i="25" s="1"/>
  <c r="H324" i="25"/>
  <c r="I324" i="25" s="1"/>
  <c r="H328" i="25"/>
  <c r="I328" i="25" s="1"/>
  <c r="H336" i="25"/>
  <c r="I336" i="25" s="1"/>
  <c r="H340" i="25"/>
  <c r="I340" i="25" s="1"/>
  <c r="H344" i="25"/>
  <c r="I344" i="25" s="1"/>
  <c r="H99" i="25"/>
  <c r="I99" i="25" s="1"/>
  <c r="H84" i="25"/>
  <c r="I84" i="25" s="1"/>
  <c r="H88" i="25"/>
  <c r="I88" i="25" s="1"/>
  <c r="H100" i="25"/>
  <c r="I100" i="25" s="1"/>
  <c r="H104" i="25"/>
  <c r="I104" i="25" s="1"/>
  <c r="H108" i="25"/>
  <c r="I108" i="25" s="1"/>
  <c r="H116" i="25"/>
  <c r="I116" i="25" s="1"/>
  <c r="H120" i="25"/>
  <c r="I120" i="25" s="1"/>
  <c r="H124" i="25"/>
  <c r="I124" i="25" s="1"/>
  <c r="H148" i="25"/>
  <c r="I148" i="25" s="1"/>
  <c r="H152" i="25"/>
  <c r="I152" i="25" s="1"/>
  <c r="H7" i="25"/>
  <c r="I7" i="25" s="1"/>
  <c r="H15" i="25"/>
  <c r="I15" i="25" s="1"/>
  <c r="H23" i="25"/>
  <c r="I23" i="25" s="1"/>
  <c r="H87" i="25"/>
  <c r="I87" i="25" s="1"/>
  <c r="H91" i="25"/>
  <c r="I91" i="25" s="1"/>
  <c r="H25" i="25"/>
  <c r="I25" i="25" s="1"/>
  <c r="H29" i="25"/>
  <c r="I29" i="25" s="1"/>
  <c r="H33" i="25"/>
  <c r="I33" i="25" s="1"/>
  <c r="H11" i="25"/>
  <c r="I11" i="25" s="1"/>
  <c r="H35" i="25"/>
  <c r="I35" i="25" s="1"/>
  <c r="H27" i="25"/>
  <c r="I27" i="25" s="1"/>
  <c r="H19" i="25"/>
  <c r="I19" i="25" s="1"/>
  <c r="H5" i="25"/>
  <c r="I5" i="25" s="1"/>
  <c r="H13" i="25"/>
  <c r="I13" i="25" s="1"/>
  <c r="H21" i="25"/>
  <c r="I21" i="25" s="1"/>
  <c r="D347" i="25"/>
  <c r="H9" i="25"/>
  <c r="I9" i="25" s="1"/>
  <c r="H17" i="25"/>
  <c r="I17" i="25" s="1"/>
  <c r="H351" i="28"/>
  <c r="I3" i="28"/>
  <c r="I351" i="28" s="1"/>
  <c r="H241" i="20"/>
  <c r="I241" i="20" s="1"/>
  <c r="H37" i="25"/>
  <c r="I37" i="25" s="1"/>
  <c r="H39" i="25"/>
  <c r="I39" i="25" s="1"/>
  <c r="H41" i="25"/>
  <c r="I41" i="25" s="1"/>
  <c r="H43" i="25"/>
  <c r="I43" i="25" s="1"/>
  <c r="H45" i="25"/>
  <c r="I45" i="25" s="1"/>
  <c r="H47" i="25"/>
  <c r="I47" i="25" s="1"/>
  <c r="H49" i="25"/>
  <c r="I49" i="25" s="1"/>
  <c r="H51" i="25"/>
  <c r="I51" i="25" s="1"/>
  <c r="H53" i="25"/>
  <c r="I53" i="25" s="1"/>
  <c r="H55" i="25"/>
  <c r="I55" i="25" s="1"/>
  <c r="H57" i="25"/>
  <c r="I57" i="25" s="1"/>
  <c r="H59" i="25"/>
  <c r="I59" i="25" s="1"/>
  <c r="H61" i="25"/>
  <c r="I61" i="25" s="1"/>
  <c r="H63" i="25"/>
  <c r="I63" i="25" s="1"/>
  <c r="H65" i="25"/>
  <c r="I65" i="25" s="1"/>
  <c r="H67" i="25"/>
  <c r="I67" i="25" s="1"/>
  <c r="H69" i="25"/>
  <c r="I69" i="25" s="1"/>
  <c r="H71" i="25"/>
  <c r="I71" i="25" s="1"/>
  <c r="H73" i="25"/>
  <c r="I73" i="25" s="1"/>
  <c r="H75" i="25"/>
  <c r="I75" i="25" s="1"/>
  <c r="H77" i="25"/>
  <c r="I77" i="25" s="1"/>
  <c r="H79" i="25"/>
  <c r="I79" i="25" s="1"/>
  <c r="H90" i="25"/>
  <c r="I90" i="25" s="1"/>
  <c r="H95" i="25"/>
  <c r="I95" i="25" s="1"/>
  <c r="H98" i="25"/>
  <c r="I98" i="25" s="1"/>
  <c r="H103" i="25"/>
  <c r="I103" i="25" s="1"/>
  <c r="H228" i="25"/>
  <c r="I228" i="25" s="1"/>
  <c r="H230" i="25"/>
  <c r="I230" i="25" s="1"/>
  <c r="H232" i="25"/>
  <c r="I232" i="25" s="1"/>
  <c r="H234" i="25"/>
  <c r="I234" i="25" s="1"/>
  <c r="H236" i="25"/>
  <c r="I236" i="25" s="1"/>
  <c r="H238" i="25"/>
  <c r="I238" i="25" s="1"/>
  <c r="H240" i="25"/>
  <c r="I240" i="25" s="1"/>
  <c r="H242" i="25"/>
  <c r="I242" i="25" s="1"/>
  <c r="H244" i="25"/>
  <c r="I244" i="25" s="1"/>
  <c r="H246" i="25"/>
  <c r="I246" i="25" s="1"/>
  <c r="H248" i="25"/>
  <c r="I248" i="25" s="1"/>
  <c r="H250" i="25"/>
  <c r="I250" i="25" s="1"/>
  <c r="H252" i="25"/>
  <c r="I252" i="25" s="1"/>
  <c r="H254" i="25"/>
  <c r="I254" i="25" s="1"/>
  <c r="H256" i="25"/>
  <c r="I256" i="25" s="1"/>
  <c r="H258" i="25"/>
  <c r="I258" i="25" s="1"/>
  <c r="H260" i="25"/>
  <c r="I260" i="25" s="1"/>
  <c r="H262" i="25"/>
  <c r="I262" i="25" s="1"/>
  <c r="H264" i="25"/>
  <c r="I264" i="25" s="1"/>
  <c r="H266" i="25"/>
  <c r="I266" i="25" s="1"/>
  <c r="H268" i="25"/>
  <c r="I268" i="25" s="1"/>
  <c r="H270" i="25"/>
  <c r="I270" i="25" s="1"/>
  <c r="H272" i="25"/>
  <c r="I272" i="25" s="1"/>
  <c r="H274" i="25"/>
  <c r="I274" i="25" s="1"/>
  <c r="H276" i="25"/>
  <c r="I276" i="25" s="1"/>
  <c r="H278" i="25"/>
  <c r="I278" i="25" s="1"/>
  <c r="H280" i="25"/>
  <c r="I280" i="25" s="1"/>
  <c r="H282" i="25"/>
  <c r="I282" i="25" s="1"/>
  <c r="H284" i="25"/>
  <c r="I284" i="25" s="1"/>
  <c r="H286" i="25"/>
  <c r="I286" i="25" s="1"/>
  <c r="H288" i="25"/>
  <c r="I288" i="25" s="1"/>
  <c r="H290" i="25"/>
  <c r="I290" i="25" s="1"/>
  <c r="H292" i="25"/>
  <c r="I292" i="25" s="1"/>
  <c r="H294" i="25"/>
  <c r="I294" i="25" s="1"/>
  <c r="H296" i="25"/>
  <c r="I296" i="25" s="1"/>
  <c r="H298" i="25"/>
  <c r="I298" i="25" s="1"/>
  <c r="H300" i="25"/>
  <c r="I300" i="25" s="1"/>
  <c r="H302" i="25"/>
  <c r="I302" i="25" s="1"/>
  <c r="H304" i="25"/>
  <c r="I304" i="25" s="1"/>
  <c r="H306" i="25"/>
  <c r="I306" i="25" s="1"/>
  <c r="H308" i="25"/>
  <c r="I308" i="25" s="1"/>
  <c r="H310" i="25"/>
  <c r="I310" i="25" s="1"/>
  <c r="H312" i="25"/>
  <c r="I312" i="25" s="1"/>
  <c r="H314" i="25"/>
  <c r="I314" i="25" s="1"/>
  <c r="H316" i="25"/>
  <c r="I316" i="25" s="1"/>
  <c r="H318" i="25"/>
  <c r="I318" i="25" s="1"/>
  <c r="H319" i="25"/>
  <c r="I319" i="25" s="1"/>
  <c r="H321" i="25"/>
  <c r="I321" i="25" s="1"/>
  <c r="H323" i="25"/>
  <c r="I323" i="25" s="1"/>
  <c r="H325" i="25"/>
  <c r="I325" i="25" s="1"/>
  <c r="H327" i="25"/>
  <c r="I327" i="25" s="1"/>
  <c r="H329" i="25"/>
  <c r="I329" i="25" s="1"/>
  <c r="H331" i="25"/>
  <c r="I331" i="25" s="1"/>
  <c r="H333" i="25"/>
  <c r="I333" i="25" s="1"/>
  <c r="H335" i="25"/>
  <c r="I335" i="25" s="1"/>
  <c r="H337" i="25"/>
  <c r="I337" i="25" s="1"/>
  <c r="H339" i="25"/>
  <c r="I339" i="25" s="1"/>
  <c r="H341" i="25"/>
  <c r="I341" i="25" s="1"/>
  <c r="H343" i="25"/>
  <c r="I343" i="25" s="1"/>
  <c r="H345" i="25"/>
  <c r="I345" i="25" s="1"/>
  <c r="G347" i="25"/>
  <c r="H81" i="25"/>
  <c r="I81" i="25" s="1"/>
  <c r="H254" i="20"/>
  <c r="I254" i="20" s="1"/>
  <c r="C346" i="23" s="1"/>
  <c r="E346" i="23" s="1"/>
  <c r="H243" i="20"/>
  <c r="I243" i="20" s="1"/>
  <c r="C349" i="23" s="1"/>
  <c r="E349" i="23" s="1"/>
  <c r="H244" i="20"/>
  <c r="I244" i="20" s="1"/>
  <c r="C358" i="23" s="1"/>
  <c r="E358" i="23" s="1"/>
  <c r="H242" i="20"/>
  <c r="I242" i="20" s="1"/>
  <c r="C345" i="23" s="1"/>
  <c r="E345" i="23" s="1"/>
  <c r="F347" i="25"/>
  <c r="H3" i="25"/>
  <c r="H8" i="25"/>
  <c r="I8" i="25" s="1"/>
  <c r="H12" i="25"/>
  <c r="I12" i="25" s="1"/>
  <c r="H16" i="25"/>
  <c r="I16" i="25" s="1"/>
  <c r="H18" i="25"/>
  <c r="I18" i="25" s="1"/>
  <c r="H20" i="25"/>
  <c r="I20" i="25" s="1"/>
  <c r="H22" i="25"/>
  <c r="I22" i="25" s="1"/>
  <c r="H24" i="25"/>
  <c r="I24" i="25" s="1"/>
  <c r="H26" i="25"/>
  <c r="I26" i="25" s="1"/>
  <c r="H28" i="25"/>
  <c r="I28" i="25" s="1"/>
  <c r="H30" i="25"/>
  <c r="I30" i="25" s="1"/>
  <c r="H32" i="25"/>
  <c r="I32" i="25" s="1"/>
  <c r="H34" i="25"/>
  <c r="I34" i="25" s="1"/>
  <c r="H36" i="25"/>
  <c r="I36" i="25" s="1"/>
  <c r="H38" i="25"/>
  <c r="I38" i="25" s="1"/>
  <c r="H40" i="25"/>
  <c r="I40" i="25" s="1"/>
  <c r="H42" i="25"/>
  <c r="I42" i="25" s="1"/>
  <c r="H44" i="25"/>
  <c r="I44" i="25" s="1"/>
  <c r="H46" i="25"/>
  <c r="I46" i="25" s="1"/>
  <c r="H48" i="25"/>
  <c r="I48" i="25" s="1"/>
  <c r="H50" i="25"/>
  <c r="I50" i="25" s="1"/>
  <c r="H52" i="25"/>
  <c r="I52" i="25" s="1"/>
  <c r="H54" i="25"/>
  <c r="I54" i="25" s="1"/>
  <c r="H56" i="25"/>
  <c r="I56" i="25" s="1"/>
  <c r="H58" i="25"/>
  <c r="I58" i="25" s="1"/>
  <c r="H60" i="25"/>
  <c r="I60" i="25" s="1"/>
  <c r="H62" i="25"/>
  <c r="I62" i="25" s="1"/>
  <c r="H64" i="25"/>
  <c r="I64" i="25" s="1"/>
  <c r="H66" i="25"/>
  <c r="I66" i="25" s="1"/>
  <c r="H68" i="25"/>
  <c r="I68" i="25" s="1"/>
  <c r="H70" i="25"/>
  <c r="I70" i="25" s="1"/>
  <c r="H72" i="25"/>
  <c r="I72" i="25" s="1"/>
  <c r="H74" i="25"/>
  <c r="I74" i="25" s="1"/>
  <c r="H76" i="25"/>
  <c r="I76" i="25" s="1"/>
  <c r="H6" i="25"/>
  <c r="I6" i="25" s="1"/>
  <c r="H10" i="25"/>
  <c r="I10" i="25" s="1"/>
  <c r="H14" i="25"/>
  <c r="I14" i="25" s="1"/>
  <c r="H4" i="25"/>
  <c r="I4" i="25" s="1"/>
  <c r="H83" i="25"/>
  <c r="I83" i="25" s="1"/>
  <c r="H105" i="25"/>
  <c r="I105" i="25" s="1"/>
  <c r="H107" i="25"/>
  <c r="I107" i="25" s="1"/>
  <c r="H109" i="25"/>
  <c r="I109" i="25" s="1"/>
  <c r="H111" i="25"/>
  <c r="I111" i="25" s="1"/>
  <c r="H113" i="25"/>
  <c r="I113" i="25" s="1"/>
  <c r="H115" i="25"/>
  <c r="I115" i="25" s="1"/>
  <c r="H117" i="25"/>
  <c r="I117" i="25" s="1"/>
  <c r="H119" i="25"/>
  <c r="I119" i="25" s="1"/>
  <c r="H121" i="25"/>
  <c r="I121" i="25" s="1"/>
  <c r="H123" i="25"/>
  <c r="I123" i="25" s="1"/>
  <c r="H125" i="25"/>
  <c r="I125" i="25" s="1"/>
  <c r="H127" i="25"/>
  <c r="I127" i="25" s="1"/>
  <c r="H129" i="25"/>
  <c r="I129" i="25" s="1"/>
  <c r="H131" i="25"/>
  <c r="I131" i="25" s="1"/>
  <c r="H133" i="25"/>
  <c r="I133" i="25" s="1"/>
  <c r="H135" i="25"/>
  <c r="I135" i="25" s="1"/>
  <c r="H137" i="25"/>
  <c r="I137" i="25" s="1"/>
  <c r="H139" i="25"/>
  <c r="I139" i="25" s="1"/>
  <c r="H141" i="25"/>
  <c r="I141" i="25" s="1"/>
  <c r="H143" i="25"/>
  <c r="I143" i="25" s="1"/>
  <c r="H145" i="25"/>
  <c r="I145" i="25" s="1"/>
  <c r="H147" i="25"/>
  <c r="I147" i="25" s="1"/>
  <c r="H149" i="25"/>
  <c r="I149" i="25" s="1"/>
  <c r="H151" i="25"/>
  <c r="I151" i="25" s="1"/>
  <c r="H153" i="25"/>
  <c r="I153" i="25" s="1"/>
  <c r="H155" i="25"/>
  <c r="I155" i="25" s="1"/>
  <c r="H157" i="25"/>
  <c r="I157" i="25" s="1"/>
  <c r="H159" i="25"/>
  <c r="I159" i="25" s="1"/>
  <c r="H161" i="25"/>
  <c r="I161" i="25" s="1"/>
  <c r="H163" i="25"/>
  <c r="I163" i="25" s="1"/>
  <c r="H165" i="25"/>
  <c r="I165" i="25" s="1"/>
  <c r="H167" i="25"/>
  <c r="I167" i="25" s="1"/>
  <c r="H169" i="25"/>
  <c r="I169" i="25" s="1"/>
  <c r="H171" i="25"/>
  <c r="I171" i="25" s="1"/>
  <c r="H173" i="25"/>
  <c r="I173" i="25" s="1"/>
  <c r="H175" i="25"/>
  <c r="I175" i="25" s="1"/>
  <c r="H177" i="25"/>
  <c r="I177" i="25" s="1"/>
  <c r="H179" i="25"/>
  <c r="I179" i="25" s="1"/>
  <c r="H181" i="25"/>
  <c r="I181" i="25" s="1"/>
  <c r="H183" i="25"/>
  <c r="I183" i="25" s="1"/>
  <c r="H185" i="25"/>
  <c r="I185" i="25" s="1"/>
  <c r="H187" i="25"/>
  <c r="I187" i="25" s="1"/>
  <c r="H189" i="25"/>
  <c r="I189" i="25" s="1"/>
  <c r="H191" i="25"/>
  <c r="I191" i="25" s="1"/>
  <c r="H193" i="25"/>
  <c r="I193" i="25" s="1"/>
  <c r="H195" i="25"/>
  <c r="I195" i="25" s="1"/>
  <c r="H197" i="25"/>
  <c r="I197" i="25" s="1"/>
  <c r="H199" i="25"/>
  <c r="I199" i="25" s="1"/>
  <c r="H201" i="25"/>
  <c r="I201" i="25" s="1"/>
  <c r="H203" i="25"/>
  <c r="I203" i="25" s="1"/>
  <c r="H205" i="25"/>
  <c r="I205" i="25" s="1"/>
  <c r="H207" i="25"/>
  <c r="I207" i="25" s="1"/>
  <c r="H209" i="25"/>
  <c r="I209" i="25" s="1"/>
  <c r="H211" i="25"/>
  <c r="I211" i="25" s="1"/>
  <c r="H213" i="25"/>
  <c r="I213" i="25" s="1"/>
  <c r="H215" i="25"/>
  <c r="I215" i="25" s="1"/>
  <c r="H217" i="25"/>
  <c r="I217" i="25" s="1"/>
  <c r="H219" i="25"/>
  <c r="I219" i="25" s="1"/>
  <c r="H221" i="25"/>
  <c r="I221" i="25" s="1"/>
  <c r="H223" i="25"/>
  <c r="I223" i="25" s="1"/>
  <c r="H225" i="25"/>
  <c r="I225" i="25" s="1"/>
  <c r="H227" i="25"/>
  <c r="I227" i="25" s="1"/>
  <c r="H229" i="25"/>
  <c r="I229" i="25" s="1"/>
  <c r="H231" i="25"/>
  <c r="I231" i="25" s="1"/>
  <c r="H233" i="25"/>
  <c r="I233" i="25" s="1"/>
  <c r="H235" i="25"/>
  <c r="I235" i="25" s="1"/>
  <c r="H237" i="25"/>
  <c r="I237" i="25" s="1"/>
  <c r="H239" i="25"/>
  <c r="I239" i="25" s="1"/>
  <c r="H241" i="25"/>
  <c r="I241" i="25" s="1"/>
  <c r="H243" i="25"/>
  <c r="I243" i="25" s="1"/>
  <c r="H245" i="25"/>
  <c r="I245" i="25" s="1"/>
  <c r="H247" i="25"/>
  <c r="I247" i="25" s="1"/>
  <c r="H249" i="25"/>
  <c r="I249" i="25" s="1"/>
  <c r="H251" i="25"/>
  <c r="I251" i="25" s="1"/>
  <c r="H253" i="25"/>
  <c r="I253" i="25" s="1"/>
  <c r="H255" i="25"/>
  <c r="I255" i="25" s="1"/>
  <c r="H257" i="25"/>
  <c r="I257" i="25" s="1"/>
  <c r="H259" i="25"/>
  <c r="I259" i="25" s="1"/>
  <c r="H261" i="25"/>
  <c r="I261" i="25" s="1"/>
  <c r="H263" i="25"/>
  <c r="I263" i="25" s="1"/>
  <c r="H265" i="25"/>
  <c r="I265" i="25" s="1"/>
  <c r="H267" i="25"/>
  <c r="I267" i="25" s="1"/>
  <c r="H269" i="25"/>
  <c r="I269" i="25" s="1"/>
  <c r="H271" i="25"/>
  <c r="I271" i="25" s="1"/>
  <c r="H273" i="25"/>
  <c r="I273" i="25" s="1"/>
  <c r="H275" i="25"/>
  <c r="I275" i="25" s="1"/>
  <c r="H277" i="25"/>
  <c r="I277" i="25" s="1"/>
  <c r="H279" i="25"/>
  <c r="I279" i="25" s="1"/>
  <c r="H281" i="25"/>
  <c r="I281" i="25" s="1"/>
  <c r="H283" i="25"/>
  <c r="I283" i="25" s="1"/>
  <c r="H285" i="25"/>
  <c r="I285" i="25" s="1"/>
  <c r="H287" i="25"/>
  <c r="I287" i="25" s="1"/>
  <c r="H289" i="25"/>
  <c r="I289" i="25" s="1"/>
  <c r="H291" i="25"/>
  <c r="I291" i="25" s="1"/>
  <c r="H293" i="25"/>
  <c r="I293" i="25" s="1"/>
  <c r="H295" i="25"/>
  <c r="I295" i="25" s="1"/>
  <c r="H297" i="25"/>
  <c r="I297" i="25" s="1"/>
  <c r="H299" i="25"/>
  <c r="I299" i="25" s="1"/>
  <c r="H301" i="25"/>
  <c r="I301" i="25" s="1"/>
  <c r="H303" i="25"/>
  <c r="I303" i="25" s="1"/>
  <c r="H305" i="25"/>
  <c r="I305" i="25" s="1"/>
  <c r="H307" i="25"/>
  <c r="I307" i="25" s="1"/>
  <c r="H309" i="25"/>
  <c r="I309" i="25" s="1"/>
  <c r="H311" i="25"/>
  <c r="I311" i="25" s="1"/>
  <c r="H313" i="25"/>
  <c r="I313" i="25" s="1"/>
  <c r="H315" i="25"/>
  <c r="I315" i="25" s="1"/>
  <c r="H317" i="25"/>
  <c r="I317" i="25" s="1"/>
  <c r="E489" i="23"/>
  <c r="E477" i="23"/>
  <c r="D479" i="23"/>
  <c r="E453" i="23"/>
  <c r="D458" i="23"/>
  <c r="D403" i="23"/>
  <c r="D390" i="23"/>
  <c r="D382" i="23"/>
  <c r="E367" i="23"/>
  <c r="E366" i="23"/>
  <c r="E363" i="23"/>
  <c r="E293" i="23"/>
  <c r="D281" i="23"/>
  <c r="D263" i="23"/>
  <c r="D233" i="23"/>
  <c r="C233" i="23"/>
  <c r="B222" i="23" s="1"/>
  <c r="E232" i="23"/>
  <c r="E231" i="23"/>
  <c r="E227" i="23"/>
  <c r="E226" i="23"/>
  <c r="E225" i="23"/>
  <c r="D215" i="23"/>
  <c r="D157" i="23"/>
  <c r="D133" i="23"/>
  <c r="C133" i="23"/>
  <c r="E124" i="23"/>
  <c r="D116" i="23"/>
  <c r="D101" i="23"/>
  <c r="B121" i="23" l="1"/>
  <c r="E133" i="23"/>
  <c r="C326" i="23"/>
  <c r="E326" i="23" s="1"/>
  <c r="E233" i="23"/>
  <c r="H347" i="25"/>
  <c r="I3" i="25"/>
  <c r="I347" i="25" s="1"/>
  <c r="D179" i="23"/>
  <c r="E1" i="11" l="1"/>
  <c r="D1" i="11"/>
  <c r="H10" i="20" l="1"/>
  <c r="I10" i="20" s="1"/>
  <c r="C198" i="23" s="1"/>
  <c r="H8" i="20"/>
  <c r="I8" i="20" s="1"/>
  <c r="H6" i="20"/>
  <c r="I6" i="20" s="1"/>
  <c r="H4" i="20"/>
  <c r="I4" i="20" s="1"/>
  <c r="C196" i="23" s="1"/>
  <c r="H357" i="20"/>
  <c r="I357" i="20" s="1"/>
  <c r="C296" i="23" s="1"/>
  <c r="E296" i="23" s="1"/>
  <c r="H353" i="20"/>
  <c r="I353" i="20" s="1"/>
  <c r="H349" i="20"/>
  <c r="I349" i="20" s="1"/>
  <c r="H347" i="20"/>
  <c r="I347" i="20" s="1"/>
  <c r="H345" i="20"/>
  <c r="I345" i="20" s="1"/>
  <c r="H343" i="20"/>
  <c r="I343" i="20" s="1"/>
  <c r="H339" i="20"/>
  <c r="I339" i="20" s="1"/>
  <c r="H337" i="20"/>
  <c r="I337" i="20" s="1"/>
  <c r="C443" i="23" s="1"/>
  <c r="E443" i="23" s="1"/>
  <c r="H334" i="20"/>
  <c r="I334" i="20" s="1"/>
  <c r="C476" i="23" s="1"/>
  <c r="E476" i="23" s="1"/>
  <c r="H332" i="20"/>
  <c r="I332" i="20" s="1"/>
  <c r="C473" i="23" s="1"/>
  <c r="E473" i="23" s="1"/>
  <c r="H330" i="20"/>
  <c r="I330" i="20" s="1"/>
  <c r="C470" i="23" s="1"/>
  <c r="E470" i="23" s="1"/>
  <c r="H328" i="20"/>
  <c r="I328" i="20" s="1"/>
  <c r="C468" i="23" s="1"/>
  <c r="E468" i="23" s="1"/>
  <c r="H326" i="20"/>
  <c r="I326" i="20" s="1"/>
  <c r="C455" i="23" s="1"/>
  <c r="E455" i="23" s="1"/>
  <c r="H324" i="20"/>
  <c r="I324" i="20" s="1"/>
  <c r="C401" i="23" s="1"/>
  <c r="E401" i="23" s="1"/>
  <c r="H322" i="20"/>
  <c r="I322" i="20" s="1"/>
  <c r="C398" i="23" s="1"/>
  <c r="E398" i="23" s="1"/>
  <c r="H317" i="20"/>
  <c r="I317" i="20" s="1"/>
  <c r="H319" i="20"/>
  <c r="I319" i="20" s="1"/>
  <c r="C421" i="23" s="1"/>
  <c r="E421" i="23" s="1"/>
  <c r="H316" i="20"/>
  <c r="I316" i="20" s="1"/>
  <c r="H314" i="20"/>
  <c r="I314" i="20" s="1"/>
  <c r="C449" i="23" s="1"/>
  <c r="E449" i="23" s="1"/>
  <c r="H312" i="20"/>
  <c r="I312" i="20" s="1"/>
  <c r="C442" i="23" s="1"/>
  <c r="E442" i="23" s="1"/>
  <c r="H310" i="20"/>
  <c r="I310" i="20" s="1"/>
  <c r="C419" i="23" s="1"/>
  <c r="E419" i="23" s="1"/>
  <c r="H308" i="20"/>
  <c r="I308" i="20" s="1"/>
  <c r="C424" i="23" s="1"/>
  <c r="E424" i="23" s="1"/>
  <c r="H306" i="20"/>
  <c r="I306" i="20" s="1"/>
  <c r="C409" i="23" s="1"/>
  <c r="E409" i="23" s="1"/>
  <c r="H304" i="20"/>
  <c r="I304" i="20" s="1"/>
  <c r="C430" i="23" s="1"/>
  <c r="E430" i="23" s="1"/>
  <c r="H302" i="20"/>
  <c r="I302" i="20" s="1"/>
  <c r="C418" i="23" s="1"/>
  <c r="E418" i="23" s="1"/>
  <c r="H300" i="20"/>
  <c r="I300" i="20" s="1"/>
  <c r="C438" i="23" s="1"/>
  <c r="E438" i="23" s="1"/>
  <c r="H298" i="20"/>
  <c r="I298" i="20" s="1"/>
  <c r="C437" i="23" s="1"/>
  <c r="E437" i="23" s="1"/>
  <c r="H296" i="20"/>
  <c r="I296" i="20" s="1"/>
  <c r="C445" i="23" s="1"/>
  <c r="E445" i="23" s="1"/>
  <c r="H294" i="20"/>
  <c r="I294" i="20" s="1"/>
  <c r="H292" i="20"/>
  <c r="I292" i="20" s="1"/>
  <c r="C454" i="23" s="1"/>
  <c r="H290" i="20"/>
  <c r="I290" i="20" s="1"/>
  <c r="C428" i="23" s="1"/>
  <c r="E428" i="23" s="1"/>
  <c r="H288" i="20"/>
  <c r="I288" i="20" s="1"/>
  <c r="C411" i="23" s="1"/>
  <c r="E411" i="23" s="1"/>
  <c r="H284" i="20"/>
  <c r="I284" i="20" s="1"/>
  <c r="C414" i="23" s="1"/>
  <c r="E414" i="23" s="1"/>
  <c r="H282" i="20"/>
  <c r="I282" i="20" s="1"/>
  <c r="C439" i="23" s="1"/>
  <c r="E439" i="23" s="1"/>
  <c r="H280" i="20"/>
  <c r="I280" i="20" s="1"/>
  <c r="C433" i="23" s="1"/>
  <c r="E433" i="23" s="1"/>
  <c r="H278" i="20"/>
  <c r="I278" i="20" s="1"/>
  <c r="C441" i="23" s="1"/>
  <c r="E441" i="23" s="1"/>
  <c r="H276" i="20"/>
  <c r="I276" i="20" s="1"/>
  <c r="C416" i="23" s="1"/>
  <c r="E416" i="23" s="1"/>
  <c r="H274" i="20"/>
  <c r="I274" i="20" s="1"/>
  <c r="C369" i="23" s="1"/>
  <c r="E369" i="23" s="1"/>
  <c r="H272" i="20"/>
  <c r="I272" i="20" s="1"/>
  <c r="C323" i="23" s="1"/>
  <c r="E323" i="23" s="1"/>
  <c r="H270" i="20"/>
  <c r="I270" i="20" s="1"/>
  <c r="C360" i="23" s="1"/>
  <c r="E360" i="23" s="1"/>
  <c r="H268" i="20"/>
  <c r="I268" i="20" s="1"/>
  <c r="C334" i="23" s="1"/>
  <c r="E334" i="23" s="1"/>
  <c r="H266" i="20"/>
  <c r="I266" i="20" s="1"/>
  <c r="C350" i="23" s="1"/>
  <c r="E350" i="23" s="1"/>
  <c r="H264" i="20"/>
  <c r="I264" i="20" s="1"/>
  <c r="C368" i="23" s="1"/>
  <c r="E368" i="23" s="1"/>
  <c r="H262" i="20"/>
  <c r="I262" i="20" s="1"/>
  <c r="C333" i="23" s="1"/>
  <c r="E333" i="23" s="1"/>
  <c r="H260" i="20"/>
  <c r="I260" i="20" s="1"/>
  <c r="C316" i="23" s="1"/>
  <c r="E316" i="23" s="1"/>
  <c r="H258" i="20"/>
  <c r="I258" i="20" s="1"/>
  <c r="C354" i="23" s="1"/>
  <c r="E354" i="23" s="1"/>
  <c r="H256" i="20"/>
  <c r="I256" i="20" s="1"/>
  <c r="C337" i="23" s="1"/>
  <c r="E337" i="23" s="1"/>
  <c r="H253" i="20"/>
  <c r="I253" i="20" s="1"/>
  <c r="C329" i="23" s="1"/>
  <c r="E329" i="23" s="1"/>
  <c r="H250" i="20"/>
  <c r="I250" i="20" s="1"/>
  <c r="C338" i="23" s="1"/>
  <c r="E338" i="23" s="1"/>
  <c r="H248" i="20"/>
  <c r="I248" i="20" s="1"/>
  <c r="C324" i="23" s="1"/>
  <c r="E324" i="23" s="1"/>
  <c r="H246" i="20"/>
  <c r="I246" i="20" s="1"/>
  <c r="C322" i="23" s="1"/>
  <c r="E322" i="23" s="1"/>
  <c r="H240" i="20"/>
  <c r="I240" i="20" s="1"/>
  <c r="H238" i="20"/>
  <c r="I238" i="20" s="1"/>
  <c r="H236" i="20"/>
  <c r="I236" i="20" s="1"/>
  <c r="H233" i="20"/>
  <c r="I233" i="20" s="1"/>
  <c r="H231" i="20"/>
  <c r="I231" i="20" s="1"/>
  <c r="H229" i="20"/>
  <c r="I229" i="20" s="1"/>
  <c r="H227" i="20"/>
  <c r="I227" i="20" s="1"/>
  <c r="H225" i="20"/>
  <c r="I225" i="20" s="1"/>
  <c r="H223" i="20"/>
  <c r="I223" i="20" s="1"/>
  <c r="H221" i="20"/>
  <c r="I221" i="20" s="1"/>
  <c r="H219" i="20"/>
  <c r="I219" i="20" s="1"/>
  <c r="H217" i="20"/>
  <c r="I217" i="20" s="1"/>
  <c r="C310" i="23" s="1"/>
  <c r="E310" i="23" s="1"/>
  <c r="H215" i="20"/>
  <c r="I215" i="20" s="1"/>
  <c r="H213" i="20"/>
  <c r="I213" i="20" s="1"/>
  <c r="H211" i="20"/>
  <c r="I211" i="20" s="1"/>
  <c r="H209" i="20"/>
  <c r="I209" i="20" s="1"/>
  <c r="H207" i="20"/>
  <c r="I207" i="20" s="1"/>
  <c r="C177" i="23" s="1"/>
  <c r="E177" i="23" s="1"/>
  <c r="H205" i="20"/>
  <c r="I205" i="20" s="1"/>
  <c r="H203" i="20"/>
  <c r="I203" i="20" s="1"/>
  <c r="H201" i="20"/>
  <c r="I201" i="20" s="1"/>
  <c r="C176" i="23" s="1"/>
  <c r="E176" i="23" s="1"/>
  <c r="H199" i="20"/>
  <c r="I199" i="20" s="1"/>
  <c r="H197" i="20"/>
  <c r="I197" i="20" s="1"/>
  <c r="C279" i="23" s="1"/>
  <c r="E279" i="23" s="1"/>
  <c r="H195" i="20"/>
  <c r="I195" i="20" s="1"/>
  <c r="C280" i="23" s="1"/>
  <c r="E280" i="23" s="1"/>
  <c r="H193" i="20"/>
  <c r="I193" i="20" s="1"/>
  <c r="H190" i="20"/>
  <c r="I190" i="20" s="1"/>
  <c r="C174" i="23" s="1"/>
  <c r="E174" i="23" s="1"/>
  <c r="H188" i="20"/>
  <c r="I188" i="20" s="1"/>
  <c r="H186" i="20"/>
  <c r="I186" i="20" s="1"/>
  <c r="C172" i="23" s="1"/>
  <c r="E172" i="23" s="1"/>
  <c r="H184" i="20"/>
  <c r="I184" i="20" s="1"/>
  <c r="H182" i="20"/>
  <c r="I182" i="20" s="1"/>
  <c r="H180" i="20"/>
  <c r="I180" i="20" s="1"/>
  <c r="H178" i="20"/>
  <c r="I178" i="20" s="1"/>
  <c r="C276" i="23" s="1"/>
  <c r="E276" i="23" s="1"/>
  <c r="H176" i="20"/>
  <c r="I176" i="20" s="1"/>
  <c r="H174" i="20"/>
  <c r="I174" i="20" s="1"/>
  <c r="C273" i="23" s="1"/>
  <c r="E273" i="23" s="1"/>
  <c r="H172" i="20"/>
  <c r="I172" i="20" s="1"/>
  <c r="C271" i="23" s="1"/>
  <c r="H170" i="20"/>
  <c r="I170" i="20" s="1"/>
  <c r="H168" i="20"/>
  <c r="I168" i="20" s="1"/>
  <c r="C156" i="23" s="1"/>
  <c r="E156" i="23" s="1"/>
  <c r="H166" i="20"/>
  <c r="I166" i="20" s="1"/>
  <c r="H164" i="20"/>
  <c r="I164" i="20" s="1"/>
  <c r="C262" i="23" s="1"/>
  <c r="E262" i="23" s="1"/>
  <c r="H162" i="20"/>
  <c r="I162" i="20" s="1"/>
  <c r="C261" i="23" s="1"/>
  <c r="E261" i="23" s="1"/>
  <c r="H160" i="20"/>
  <c r="I160" i="20" s="1"/>
  <c r="H158" i="20"/>
  <c r="I158" i="20" s="1"/>
  <c r="H156" i="20"/>
  <c r="I156" i="20" s="1"/>
  <c r="C153" i="23" s="1"/>
  <c r="E153" i="23" s="1"/>
  <c r="H154" i="20"/>
  <c r="I154" i="20" s="1"/>
  <c r="C151" i="23" s="1"/>
  <c r="E151" i="23" s="1"/>
  <c r="H152" i="20"/>
  <c r="I152" i="20" s="1"/>
  <c r="H150" i="20"/>
  <c r="I150" i="20" s="1"/>
  <c r="H148" i="20"/>
  <c r="I148" i="20" s="1"/>
  <c r="C257" i="23" s="1"/>
  <c r="H146" i="20"/>
  <c r="I146" i="20" s="1"/>
  <c r="H144" i="20"/>
  <c r="I144" i="20" s="1"/>
  <c r="H142" i="20"/>
  <c r="I142" i="20" s="1"/>
  <c r="C256" i="23" s="1"/>
  <c r="H140" i="20"/>
  <c r="I140" i="20" s="1"/>
  <c r="H138" i="20"/>
  <c r="I138" i="20" s="1"/>
  <c r="H136" i="20"/>
  <c r="I136" i="20" s="1"/>
  <c r="H134" i="20"/>
  <c r="I134" i="20" s="1"/>
  <c r="H257" i="20"/>
  <c r="I257" i="20" s="1"/>
  <c r="C344" i="23" s="1"/>
  <c r="E344" i="23" s="1"/>
  <c r="H255" i="20"/>
  <c r="I255" i="20" s="1"/>
  <c r="C357" i="23" s="1"/>
  <c r="E357" i="23" s="1"/>
  <c r="H252" i="20"/>
  <c r="I252" i="20" s="1"/>
  <c r="C325" i="23" s="1"/>
  <c r="E325" i="23" s="1"/>
  <c r="H249" i="20"/>
  <c r="I249" i="20" s="1"/>
  <c r="C318" i="23" s="1"/>
  <c r="E318" i="23" s="1"/>
  <c r="H247" i="20"/>
  <c r="I247" i="20" s="1"/>
  <c r="C330" i="23" s="1"/>
  <c r="E330" i="23" s="1"/>
  <c r="H245" i="20"/>
  <c r="I245" i="20" s="1"/>
  <c r="C359" i="23" s="1"/>
  <c r="E359" i="23" s="1"/>
  <c r="H239" i="20"/>
  <c r="I239" i="20" s="1"/>
  <c r="H237" i="20"/>
  <c r="I237" i="20" s="1"/>
  <c r="C315" i="23" s="1"/>
  <c r="E315" i="23" s="1"/>
  <c r="H235" i="20"/>
  <c r="I235" i="20" s="1"/>
  <c r="C308" i="23" s="1"/>
  <c r="E308" i="23" s="1"/>
  <c r="H232" i="20"/>
  <c r="I232" i="20" s="1"/>
  <c r="H230" i="20"/>
  <c r="I230" i="20" s="1"/>
  <c r="H228" i="20"/>
  <c r="I228" i="20" s="1"/>
  <c r="H226" i="20"/>
  <c r="I226" i="20" s="1"/>
  <c r="H224" i="20"/>
  <c r="I224" i="20" s="1"/>
  <c r="H222" i="20"/>
  <c r="I222" i="20" s="1"/>
  <c r="H220" i="20"/>
  <c r="I220" i="20" s="1"/>
  <c r="H218" i="20"/>
  <c r="I218" i="20" s="1"/>
  <c r="C320" i="23" s="1"/>
  <c r="E320" i="23" s="1"/>
  <c r="H216" i="20"/>
  <c r="I216" i="20" s="1"/>
  <c r="C336" i="23" s="1"/>
  <c r="H214" i="20"/>
  <c r="I214" i="20" s="1"/>
  <c r="H212" i="20"/>
  <c r="I212" i="20" s="1"/>
  <c r="H210" i="20"/>
  <c r="I210" i="20" s="1"/>
  <c r="H208" i="20"/>
  <c r="I208" i="20" s="1"/>
  <c r="H206" i="20"/>
  <c r="I206" i="20" s="1"/>
  <c r="H204" i="20"/>
  <c r="I204" i="20" s="1"/>
  <c r="H202" i="20"/>
  <c r="I202" i="20" s="1"/>
  <c r="H200" i="20"/>
  <c r="I200" i="20" s="1"/>
  <c r="H198" i="20"/>
  <c r="I198" i="20" s="1"/>
  <c r="H196" i="20"/>
  <c r="I196" i="20" s="1"/>
  <c r="C175" i="23" s="1"/>
  <c r="E175" i="23" s="1"/>
  <c r="H194" i="20"/>
  <c r="I194" i="20" s="1"/>
  <c r="H192" i="20"/>
  <c r="I192" i="20" s="1"/>
  <c r="H189" i="20"/>
  <c r="I189" i="20" s="1"/>
  <c r="C171" i="23" s="1"/>
  <c r="E171" i="23" s="1"/>
  <c r="H187" i="20"/>
  <c r="I187" i="20" s="1"/>
  <c r="H185" i="20"/>
  <c r="I185" i="20" s="1"/>
  <c r="C170" i="23" s="1"/>
  <c r="E170" i="23" s="1"/>
  <c r="H183" i="20"/>
  <c r="I183" i="20" s="1"/>
  <c r="C278" i="23" s="1"/>
  <c r="E278" i="23" s="1"/>
  <c r="H181" i="20"/>
  <c r="I181" i="20" s="1"/>
  <c r="H179" i="20"/>
  <c r="I179" i="20" s="1"/>
  <c r="C277" i="23" s="1"/>
  <c r="E277" i="23" s="1"/>
  <c r="H177" i="20"/>
  <c r="I177" i="20" s="1"/>
  <c r="H175" i="20"/>
  <c r="I175" i="20" s="1"/>
  <c r="C274" i="23" s="1"/>
  <c r="E274" i="23" s="1"/>
  <c r="H173" i="20"/>
  <c r="I173" i="20" s="1"/>
  <c r="C272" i="23" s="1"/>
  <c r="E272" i="23" s="1"/>
  <c r="H171" i="20"/>
  <c r="I171" i="20" s="1"/>
  <c r="H169" i="20"/>
  <c r="I169" i="20" s="1"/>
  <c r="H167" i="20"/>
  <c r="I167" i="20" s="1"/>
  <c r="H165" i="20"/>
  <c r="I165" i="20" s="1"/>
  <c r="C155" i="23" s="1"/>
  <c r="E155" i="23" s="1"/>
  <c r="H163" i="20"/>
  <c r="I163" i="20" s="1"/>
  <c r="C154" i="23" s="1"/>
  <c r="E154" i="23" s="1"/>
  <c r="H161" i="20"/>
  <c r="I161" i="20" s="1"/>
  <c r="C260" i="23" s="1"/>
  <c r="E260" i="23" s="1"/>
  <c r="H159" i="20"/>
  <c r="I159" i="20" s="1"/>
  <c r="H157" i="20"/>
  <c r="I157" i="20" s="1"/>
  <c r="H155" i="20"/>
  <c r="I155" i="20" s="1"/>
  <c r="C152" i="23" s="1"/>
  <c r="E152" i="23" s="1"/>
  <c r="H153" i="20"/>
  <c r="I153" i="20" s="1"/>
  <c r="C258" i="23" s="1"/>
  <c r="H151" i="20"/>
  <c r="I151" i="20" s="1"/>
  <c r="H149" i="20"/>
  <c r="I149" i="20" s="1"/>
  <c r="H147" i="20"/>
  <c r="I147" i="20" s="1"/>
  <c r="H145" i="20"/>
  <c r="I145" i="20" s="1"/>
  <c r="H143" i="20"/>
  <c r="I143" i="20" s="1"/>
  <c r="H141" i="20"/>
  <c r="I141" i="20" s="1"/>
  <c r="C255" i="23" s="1"/>
  <c r="H139" i="20"/>
  <c r="I139" i="20" s="1"/>
  <c r="H137" i="20"/>
  <c r="I137" i="20" s="1"/>
  <c r="H135" i="20"/>
  <c r="I135" i="20" s="1"/>
  <c r="H133" i="20"/>
  <c r="I133" i="20" s="1"/>
  <c r="C254" i="23" s="1"/>
  <c r="H131" i="20"/>
  <c r="I131" i="20" s="1"/>
  <c r="H129" i="20"/>
  <c r="I129" i="20" s="1"/>
  <c r="H127" i="20"/>
  <c r="I127" i="20" s="1"/>
  <c r="H125" i="20"/>
  <c r="I125" i="20" s="1"/>
  <c r="H123" i="20"/>
  <c r="I123" i="20" s="1"/>
  <c r="C251" i="23" s="1"/>
  <c r="H121" i="20"/>
  <c r="I121" i="20" s="1"/>
  <c r="H119" i="20"/>
  <c r="I119" i="20" s="1"/>
  <c r="C247" i="23" s="1"/>
  <c r="H117" i="20"/>
  <c r="I117" i="20" s="1"/>
  <c r="C245" i="23" s="1"/>
  <c r="H115" i="20"/>
  <c r="I115" i="20" s="1"/>
  <c r="H113" i="20"/>
  <c r="I113" i="20" s="1"/>
  <c r="H111" i="20"/>
  <c r="I111" i="20" s="1"/>
  <c r="H109" i="20"/>
  <c r="I109" i="20" s="1"/>
  <c r="C242" i="23" s="1"/>
  <c r="E242" i="23" s="1"/>
  <c r="H107" i="20"/>
  <c r="I107" i="20" s="1"/>
  <c r="C241" i="23" s="1"/>
  <c r="H105" i="20"/>
  <c r="I105" i="20" s="1"/>
  <c r="C141" i="23" s="1"/>
  <c r="E141" i="23" s="1"/>
  <c r="H103" i="20"/>
  <c r="I103" i="20" s="1"/>
  <c r="H101" i="20"/>
  <c r="I101" i="20" s="1"/>
  <c r="H99" i="20"/>
  <c r="I99" i="20" s="1"/>
  <c r="H97" i="20"/>
  <c r="I97" i="20" s="1"/>
  <c r="H95" i="20"/>
  <c r="I95" i="20" s="1"/>
  <c r="H93" i="20"/>
  <c r="I93" i="20" s="1"/>
  <c r="H91" i="20"/>
  <c r="I91" i="20" s="1"/>
  <c r="H89" i="20"/>
  <c r="I89" i="20" s="1"/>
  <c r="H87" i="20"/>
  <c r="I87" i="20" s="1"/>
  <c r="H85" i="20"/>
  <c r="I85" i="20" s="1"/>
  <c r="C115" i="23" s="1"/>
  <c r="E115" i="23" s="1"/>
  <c r="H83" i="20"/>
  <c r="I83" i="20" s="1"/>
  <c r="H81" i="20"/>
  <c r="I81" i="20" s="1"/>
  <c r="C113" i="23" s="1"/>
  <c r="E113" i="23" s="1"/>
  <c r="H79" i="20"/>
  <c r="I79" i="20" s="1"/>
  <c r="C111" i="23" s="1"/>
  <c r="H77" i="20"/>
  <c r="I77" i="20" s="1"/>
  <c r="H75" i="20"/>
  <c r="I75" i="20" s="1"/>
  <c r="H73" i="20"/>
  <c r="I73" i="20" s="1"/>
  <c r="H71" i="20"/>
  <c r="I71" i="20" s="1"/>
  <c r="H69" i="20"/>
  <c r="I69" i="20" s="1"/>
  <c r="H67" i="20"/>
  <c r="I67" i="20" s="1"/>
  <c r="H65" i="20"/>
  <c r="I65" i="20" s="1"/>
  <c r="H63" i="20"/>
  <c r="I63" i="20" s="1"/>
  <c r="H61" i="20"/>
  <c r="I61" i="20" s="1"/>
  <c r="H59" i="20"/>
  <c r="I59" i="20" s="1"/>
  <c r="H57" i="20"/>
  <c r="I57" i="20" s="1"/>
  <c r="H55" i="20"/>
  <c r="I55" i="20" s="1"/>
  <c r="H53" i="20"/>
  <c r="I53" i="20" s="1"/>
  <c r="H51" i="20"/>
  <c r="I51" i="20" s="1"/>
  <c r="H49" i="20"/>
  <c r="I49" i="20" s="1"/>
  <c r="H47" i="20"/>
  <c r="I47" i="20" s="1"/>
  <c r="C98" i="23" s="1"/>
  <c r="E98" i="23" s="1"/>
  <c r="H45" i="20"/>
  <c r="I45" i="20" s="1"/>
  <c r="C96" i="23" s="1"/>
  <c r="E96" i="23" s="1"/>
  <c r="H43" i="20"/>
  <c r="I43" i="20" s="1"/>
  <c r="H41" i="20"/>
  <c r="I41" i="20" s="1"/>
  <c r="H39" i="20"/>
  <c r="I39" i="20" s="1"/>
  <c r="H37" i="20"/>
  <c r="I37" i="20" s="1"/>
  <c r="H35" i="20"/>
  <c r="I35" i="20" s="1"/>
  <c r="C84" i="23" s="1"/>
  <c r="E84" i="23" s="1"/>
  <c r="H33" i="20"/>
  <c r="I33" i="20" s="1"/>
  <c r="H31" i="20"/>
  <c r="I31" i="20" s="1"/>
  <c r="C81" i="23" s="1"/>
  <c r="E81" i="23" s="1"/>
  <c r="H29" i="20"/>
  <c r="I29" i="20" s="1"/>
  <c r="C80" i="23" s="1"/>
  <c r="E80" i="23" s="1"/>
  <c r="H27" i="20"/>
  <c r="I27" i="20" s="1"/>
  <c r="C78" i="23" s="1"/>
  <c r="E78" i="23" s="1"/>
  <c r="H25" i="20"/>
  <c r="I25" i="20" s="1"/>
  <c r="C76" i="23" s="1"/>
  <c r="E76" i="23" s="1"/>
  <c r="H23" i="20"/>
  <c r="I23" i="20" s="1"/>
  <c r="C74" i="23" s="1"/>
  <c r="E74" i="23" s="1"/>
  <c r="H21" i="20"/>
  <c r="I21" i="20" s="1"/>
  <c r="C72" i="23" s="1"/>
  <c r="E72" i="23" s="1"/>
  <c r="H19" i="20"/>
  <c r="I19" i="20" s="1"/>
  <c r="H17" i="20"/>
  <c r="I17" i="20" s="1"/>
  <c r="H15" i="20"/>
  <c r="I15" i="20" s="1"/>
  <c r="C214" i="23" s="1"/>
  <c r="E214" i="23" s="1"/>
  <c r="H13" i="20"/>
  <c r="I13" i="20" s="1"/>
  <c r="C213" i="23" s="1"/>
  <c r="H9" i="20"/>
  <c r="I9" i="20" s="1"/>
  <c r="C197" i="23" s="1"/>
  <c r="H7" i="20"/>
  <c r="I7" i="20" s="1"/>
  <c r="C199" i="23" s="1"/>
  <c r="H5" i="20"/>
  <c r="I5" i="20" s="1"/>
  <c r="C200" i="23" s="1"/>
  <c r="H3" i="20"/>
  <c r="H358" i="20"/>
  <c r="I358" i="20" s="1"/>
  <c r="C381" i="23" s="1"/>
  <c r="E381" i="23" s="1"/>
  <c r="H356" i="20"/>
  <c r="I356" i="20" s="1"/>
  <c r="C478" i="23" s="1"/>
  <c r="E478" i="23" s="1"/>
  <c r="H350" i="20"/>
  <c r="I350" i="20" s="1"/>
  <c r="H348" i="20"/>
  <c r="I348" i="20" s="1"/>
  <c r="H346" i="20"/>
  <c r="I346" i="20" s="1"/>
  <c r="H344" i="20"/>
  <c r="I344" i="20" s="1"/>
  <c r="E8" i="52" s="1"/>
  <c r="H341" i="20"/>
  <c r="I341" i="20" s="1"/>
  <c r="H338" i="20"/>
  <c r="I338" i="20" s="1"/>
  <c r="C435" i="23" s="1"/>
  <c r="E435" i="23" s="1"/>
  <c r="H336" i="20"/>
  <c r="I336" i="20" s="1"/>
  <c r="C423" i="23" s="1"/>
  <c r="E423" i="23" s="1"/>
  <c r="H333" i="20"/>
  <c r="I333" i="20" s="1"/>
  <c r="C475" i="23" s="1"/>
  <c r="E475" i="23" s="1"/>
  <c r="H331" i="20"/>
  <c r="I331" i="20" s="1"/>
  <c r="C472" i="23" s="1"/>
  <c r="E472" i="23" s="1"/>
  <c r="H329" i="20"/>
  <c r="I329" i="20" s="1"/>
  <c r="C469" i="23" s="1"/>
  <c r="E469" i="23" s="1"/>
  <c r="H327" i="20"/>
  <c r="I327" i="20" s="1"/>
  <c r="C402" i="23" s="1"/>
  <c r="E402" i="23" s="1"/>
  <c r="H325" i="20"/>
  <c r="I325" i="20" s="1"/>
  <c r="C400" i="23" s="1"/>
  <c r="E400" i="23" s="1"/>
  <c r="H323" i="20"/>
  <c r="I323" i="20" s="1"/>
  <c r="C399" i="23" s="1"/>
  <c r="E399" i="23" s="1"/>
  <c r="H321" i="20"/>
  <c r="I321" i="20" s="1"/>
  <c r="H320" i="20"/>
  <c r="I320" i="20" s="1"/>
  <c r="E32" i="52" s="1"/>
  <c r="H318" i="20"/>
  <c r="I318" i="20" s="1"/>
  <c r="C422" i="23" s="1"/>
  <c r="E422" i="23" s="1"/>
  <c r="H315" i="20"/>
  <c r="I315" i="20" s="1"/>
  <c r="C436" i="23" s="1"/>
  <c r="E436" i="23" s="1"/>
  <c r="H313" i="20"/>
  <c r="I313" i="20" s="1"/>
  <c r="C451" i="23" s="1"/>
  <c r="E451" i="23" s="1"/>
  <c r="H311" i="20"/>
  <c r="I311" i="20" s="1"/>
  <c r="C444" i="23" s="1"/>
  <c r="E444" i="23" s="1"/>
  <c r="H309" i="20"/>
  <c r="I309" i="20" s="1"/>
  <c r="C446" i="23" s="1"/>
  <c r="E446" i="23" s="1"/>
  <c r="H307" i="20"/>
  <c r="I307" i="20" s="1"/>
  <c r="C448" i="23" s="1"/>
  <c r="E448" i="23" s="1"/>
  <c r="H305" i="20"/>
  <c r="I305" i="20" s="1"/>
  <c r="C452" i="23" s="1"/>
  <c r="E452" i="23" s="1"/>
  <c r="H303" i="20"/>
  <c r="I303" i="20" s="1"/>
  <c r="C425" i="23" s="1"/>
  <c r="E425" i="23" s="1"/>
  <c r="H301" i="20"/>
  <c r="I301" i="20" s="1"/>
  <c r="C447" i="23" s="1"/>
  <c r="E447" i="23" s="1"/>
  <c r="H299" i="20"/>
  <c r="I299" i="20" s="1"/>
  <c r="C450" i="23" s="1"/>
  <c r="E450" i="23" s="1"/>
  <c r="H297" i="20"/>
  <c r="I297" i="20" s="1"/>
  <c r="C429" i="23" s="1"/>
  <c r="E429" i="23" s="1"/>
  <c r="H295" i="20"/>
  <c r="I295" i="20" s="1"/>
  <c r="H293" i="20"/>
  <c r="I293" i="20" s="1"/>
  <c r="H291" i="20"/>
  <c r="I291" i="20" s="1"/>
  <c r="C434" i="23" s="1"/>
  <c r="E434" i="23" s="1"/>
  <c r="H289" i="20"/>
  <c r="I289" i="20" s="1"/>
  <c r="C413" i="23" s="1"/>
  <c r="E413" i="23" s="1"/>
  <c r="C427" i="23"/>
  <c r="E427" i="23" s="1"/>
  <c r="H283" i="20"/>
  <c r="I283" i="20" s="1"/>
  <c r="C440" i="23" s="1"/>
  <c r="E440" i="23" s="1"/>
  <c r="H281" i="20"/>
  <c r="I281" i="20" s="1"/>
  <c r="C348" i="23" s="1"/>
  <c r="E348" i="23" s="1"/>
  <c r="H279" i="20"/>
  <c r="I279" i="20" s="1"/>
  <c r="C412" i="23" s="1"/>
  <c r="E412" i="23" s="1"/>
  <c r="H277" i="20"/>
  <c r="I277" i="20" s="1"/>
  <c r="C410" i="23" s="1"/>
  <c r="E410" i="23" s="1"/>
  <c r="H275" i="20"/>
  <c r="I275" i="20" s="1"/>
  <c r="H273" i="20"/>
  <c r="I273" i="20" s="1"/>
  <c r="C340" i="23" s="1"/>
  <c r="E340" i="23" s="1"/>
  <c r="H271" i="20"/>
  <c r="I271" i="20" s="1"/>
  <c r="C332" i="23" s="1"/>
  <c r="E332" i="23" s="1"/>
  <c r="H269" i="20"/>
  <c r="I269" i="20" s="1"/>
  <c r="C341" i="23" s="1"/>
  <c r="E341" i="23" s="1"/>
  <c r="H267" i="20"/>
  <c r="I267" i="20" s="1"/>
  <c r="C328" i="23" s="1"/>
  <c r="E328" i="23" s="1"/>
  <c r="H265" i="20"/>
  <c r="I265" i="20" s="1"/>
  <c r="C317" i="23" s="1"/>
  <c r="E317" i="23" s="1"/>
  <c r="H263" i="20"/>
  <c r="I263" i="20" s="1"/>
  <c r="C311" i="23" s="1"/>
  <c r="E311" i="23" s="1"/>
  <c r="H261" i="20"/>
  <c r="I261" i="20" s="1"/>
  <c r="C313" i="23" s="1"/>
  <c r="E313" i="23" s="1"/>
  <c r="H259" i="20"/>
  <c r="I259" i="20" s="1"/>
  <c r="C347" i="23" s="1"/>
  <c r="E347" i="23" s="1"/>
  <c r="H11" i="20"/>
  <c r="I11" i="20" s="1"/>
  <c r="H132" i="20"/>
  <c r="I132" i="20" s="1"/>
  <c r="C253" i="23" s="1"/>
  <c r="H130" i="20"/>
  <c r="I130" i="20" s="1"/>
  <c r="C252" i="23" s="1"/>
  <c r="H128" i="20"/>
  <c r="I128" i="20" s="1"/>
  <c r="H126" i="20"/>
  <c r="I126" i="20" s="1"/>
  <c r="H124" i="20"/>
  <c r="I124" i="20" s="1"/>
  <c r="H122" i="20"/>
  <c r="I122" i="20" s="1"/>
  <c r="C249" i="23" s="1"/>
  <c r="H120" i="20"/>
  <c r="I120" i="20" s="1"/>
  <c r="C248" i="23" s="1"/>
  <c r="E248" i="23" s="1"/>
  <c r="H118" i="20"/>
  <c r="I118" i="20" s="1"/>
  <c r="H116" i="20"/>
  <c r="I116" i="20" s="1"/>
  <c r="H114" i="20"/>
  <c r="I114" i="20" s="1"/>
  <c r="C246" i="23" s="1"/>
  <c r="H112" i="20"/>
  <c r="I112" i="20" s="1"/>
  <c r="H110" i="20"/>
  <c r="I110" i="20" s="1"/>
  <c r="H108" i="20"/>
  <c r="I108" i="20" s="1"/>
  <c r="H106" i="20"/>
  <c r="I106" i="20" s="1"/>
  <c r="H104" i="20"/>
  <c r="I104" i="20" s="1"/>
  <c r="H102" i="20"/>
  <c r="I102" i="20" s="1"/>
  <c r="H100" i="20"/>
  <c r="I100" i="20" s="1"/>
  <c r="H98" i="20"/>
  <c r="I98" i="20" s="1"/>
  <c r="H96" i="20"/>
  <c r="I96" i="20" s="1"/>
  <c r="H94" i="20"/>
  <c r="I94" i="20" s="1"/>
  <c r="H92" i="20"/>
  <c r="I92" i="20" s="1"/>
  <c r="H90" i="20"/>
  <c r="I90" i="20" s="1"/>
  <c r="H88" i="20"/>
  <c r="I88" i="20" s="1"/>
  <c r="H86" i="20"/>
  <c r="I86" i="20" s="1"/>
  <c r="H84" i="20"/>
  <c r="I84" i="20" s="1"/>
  <c r="H82" i="20"/>
  <c r="I82" i="20" s="1"/>
  <c r="C114" i="23" s="1"/>
  <c r="E114" i="23" s="1"/>
  <c r="H80" i="20"/>
  <c r="I80" i="20" s="1"/>
  <c r="C112" i="23" s="1"/>
  <c r="E112" i="23" s="1"/>
  <c r="H78" i="20"/>
  <c r="I78" i="20" s="1"/>
  <c r="H76" i="20"/>
  <c r="I76" i="20" s="1"/>
  <c r="H74" i="20"/>
  <c r="I74" i="20" s="1"/>
  <c r="H72" i="20"/>
  <c r="I72" i="20" s="1"/>
  <c r="H70" i="20"/>
  <c r="I70" i="20" s="1"/>
  <c r="H68" i="20"/>
  <c r="I68" i="20" s="1"/>
  <c r="H66" i="20"/>
  <c r="I66" i="20" s="1"/>
  <c r="H64" i="20"/>
  <c r="I64" i="20" s="1"/>
  <c r="H62" i="20"/>
  <c r="I62" i="20" s="1"/>
  <c r="H60" i="20"/>
  <c r="I60" i="20" s="1"/>
  <c r="H58" i="20"/>
  <c r="I58" i="20" s="1"/>
  <c r="H56" i="20"/>
  <c r="I56" i="20" s="1"/>
  <c r="H54" i="20"/>
  <c r="I54" i="20" s="1"/>
  <c r="H52" i="20"/>
  <c r="I52" i="20" s="1"/>
  <c r="H50" i="20"/>
  <c r="I50" i="20" s="1"/>
  <c r="H48" i="20"/>
  <c r="I48" i="20" s="1"/>
  <c r="C99" i="23" s="1"/>
  <c r="E99" i="23" s="1"/>
  <c r="H46" i="20"/>
  <c r="I46" i="20" s="1"/>
  <c r="C97" i="23" s="1"/>
  <c r="E97" i="23" s="1"/>
  <c r="H44" i="20"/>
  <c r="I44" i="20" s="1"/>
  <c r="C95" i="23" s="1"/>
  <c r="E95" i="23" s="1"/>
  <c r="H42" i="20"/>
  <c r="I42" i="20" s="1"/>
  <c r="C86" i="23" s="1"/>
  <c r="E86" i="23" s="1"/>
  <c r="H40" i="20"/>
  <c r="I40" i="20" s="1"/>
  <c r="H38" i="20"/>
  <c r="I38" i="20" s="1"/>
  <c r="H36" i="20"/>
  <c r="I36" i="20" s="1"/>
  <c r="C85" i="23" s="1"/>
  <c r="E85" i="23" s="1"/>
  <c r="H34" i="20"/>
  <c r="I34" i="20" s="1"/>
  <c r="C83" i="23" s="1"/>
  <c r="E83" i="23" s="1"/>
  <c r="H32" i="20"/>
  <c r="I32" i="20" s="1"/>
  <c r="C82" i="23" s="1"/>
  <c r="E82" i="23" s="1"/>
  <c r="H30" i="20"/>
  <c r="I30" i="20" s="1"/>
  <c r="H28" i="20"/>
  <c r="I28" i="20" s="1"/>
  <c r="C79" i="23" s="1"/>
  <c r="E79" i="23" s="1"/>
  <c r="H26" i="20"/>
  <c r="I26" i="20" s="1"/>
  <c r="C77" i="23" s="1"/>
  <c r="E77" i="23" s="1"/>
  <c r="H24" i="20"/>
  <c r="I24" i="20" s="1"/>
  <c r="C75" i="23" s="1"/>
  <c r="E75" i="23" s="1"/>
  <c r="H22" i="20"/>
  <c r="I22" i="20" s="1"/>
  <c r="C73" i="23" s="1"/>
  <c r="E73" i="23" s="1"/>
  <c r="H20" i="20"/>
  <c r="I20" i="20" s="1"/>
  <c r="C71" i="23" s="1"/>
  <c r="E71" i="23" s="1"/>
  <c r="H18" i="20"/>
  <c r="I18" i="20" s="1"/>
  <c r="H16" i="20"/>
  <c r="I16" i="20" s="1"/>
  <c r="H14" i="20"/>
  <c r="I14" i="20" s="1"/>
  <c r="H12" i="20"/>
  <c r="I12" i="20" s="1"/>
  <c r="E10" i="52" l="1"/>
  <c r="C378" i="23"/>
  <c r="E378" i="23" s="1"/>
  <c r="E19" i="52"/>
  <c r="C466" i="23"/>
  <c r="E29" i="52"/>
  <c r="C287" i="23"/>
  <c r="E7" i="52"/>
  <c r="E12" i="52" s="1"/>
  <c r="C397" i="23"/>
  <c r="E18" i="52"/>
  <c r="C389" i="23"/>
  <c r="E389" i="23" s="1"/>
  <c r="E390" i="23" s="1"/>
  <c r="E20" i="52"/>
  <c r="E16" i="52"/>
  <c r="C457" i="23"/>
  <c r="E21" i="52"/>
  <c r="C307" i="23"/>
  <c r="E307" i="23" s="1"/>
  <c r="E17" i="52"/>
  <c r="C275" i="23"/>
  <c r="E275" i="23" s="1"/>
  <c r="E249" i="23"/>
  <c r="C243" i="23"/>
  <c r="E243" i="23" s="1"/>
  <c r="C244" i="23"/>
  <c r="E244" i="23" s="1"/>
  <c r="C312" i="23"/>
  <c r="E312" i="23" s="1"/>
  <c r="E258" i="23"/>
  <c r="E257" i="23"/>
  <c r="E247" i="23"/>
  <c r="E245" i="23"/>
  <c r="E254" i="23"/>
  <c r="E255" i="23"/>
  <c r="C259" i="23"/>
  <c r="E259" i="23" s="1"/>
  <c r="E253" i="23"/>
  <c r="E246" i="23"/>
  <c r="E252" i="23"/>
  <c r="E256" i="23"/>
  <c r="E143" i="23"/>
  <c r="E250" i="23"/>
  <c r="C148" i="23"/>
  <c r="E148" i="23" s="1"/>
  <c r="C145" i="23"/>
  <c r="E145" i="23" s="1"/>
  <c r="C147" i="23"/>
  <c r="E147" i="23" s="1"/>
  <c r="C150" i="23"/>
  <c r="E150" i="23" s="1"/>
  <c r="C144" i="23"/>
  <c r="E144" i="23" s="1"/>
  <c r="E251" i="23"/>
  <c r="C146" i="23"/>
  <c r="E146" i="23" s="1"/>
  <c r="C149" i="23"/>
  <c r="E149" i="23" s="1"/>
  <c r="C100" i="23"/>
  <c r="E100" i="23" s="1"/>
  <c r="C432" i="23"/>
  <c r="E432" i="23" s="1"/>
  <c r="C431" i="23"/>
  <c r="E431" i="23" s="1"/>
  <c r="E454" i="23"/>
  <c r="C426" i="23"/>
  <c r="E426" i="23" s="1"/>
  <c r="C420" i="23"/>
  <c r="E420" i="23" s="1"/>
  <c r="C288" i="23"/>
  <c r="E288" i="23" s="1"/>
  <c r="C364" i="23"/>
  <c r="E364" i="23" s="1"/>
  <c r="C327" i="23"/>
  <c r="E327" i="23" s="1"/>
  <c r="C362" i="23"/>
  <c r="E362" i="23" s="1"/>
  <c r="C321" i="23"/>
  <c r="E321" i="23" s="1"/>
  <c r="C289" i="23"/>
  <c r="C335" i="23"/>
  <c r="E335" i="23" s="1"/>
  <c r="C353" i="23"/>
  <c r="E353" i="23" s="1"/>
  <c r="C351" i="23"/>
  <c r="E351" i="23" s="1"/>
  <c r="C352" i="23"/>
  <c r="E352" i="23" s="1"/>
  <c r="C295" i="23"/>
  <c r="E295" i="23" s="1"/>
  <c r="C292" i="23"/>
  <c r="E292" i="23" s="1"/>
  <c r="C339" i="23"/>
  <c r="E339" i="23" s="1"/>
  <c r="C319" i="23"/>
  <c r="E319" i="23" s="1"/>
  <c r="C306" i="23"/>
  <c r="C342" i="23"/>
  <c r="E342" i="23" s="1"/>
  <c r="C314" i="23"/>
  <c r="E314" i="23" s="1"/>
  <c r="C290" i="23"/>
  <c r="E290" i="23" s="1"/>
  <c r="C309" i="23"/>
  <c r="E309" i="23" s="1"/>
  <c r="C343" i="23"/>
  <c r="E343" i="23" s="1"/>
  <c r="C331" i="23"/>
  <c r="E331" i="23" s="1"/>
  <c r="C365" i="23"/>
  <c r="E365" i="23" s="1"/>
  <c r="C291" i="23"/>
  <c r="E291" i="23" s="1"/>
  <c r="C178" i="23"/>
  <c r="E178" i="23" s="1"/>
  <c r="C70" i="23"/>
  <c r="E70" i="23" s="1"/>
  <c r="E87" i="23" s="1"/>
  <c r="E382" i="23"/>
  <c r="E271" i="23"/>
  <c r="C142" i="23"/>
  <c r="E142" i="23" s="1"/>
  <c r="E111" i="23"/>
  <c r="E116" i="23" s="1"/>
  <c r="C116" i="23"/>
  <c r="B108" i="23" s="1"/>
  <c r="E169" i="23"/>
  <c r="E336" i="23"/>
  <c r="C479" i="23"/>
  <c r="B463" i="23" s="1"/>
  <c r="E466" i="23"/>
  <c r="E479" i="23" s="1"/>
  <c r="E287" i="23"/>
  <c r="E457" i="23"/>
  <c r="E397" i="23"/>
  <c r="E403" i="23" s="1"/>
  <c r="C403" i="23"/>
  <c r="B395" i="23" s="1"/>
  <c r="C215" i="23"/>
  <c r="B210" i="23" s="1"/>
  <c r="E213" i="23"/>
  <c r="E215" i="23" s="1"/>
  <c r="E241" i="23"/>
  <c r="I3" i="20"/>
  <c r="D18" i="9"/>
  <c r="H18" i="5"/>
  <c r="D383" i="23" s="1"/>
  <c r="G359" i="20"/>
  <c r="F359" i="20"/>
  <c r="F17" i="52" l="1"/>
  <c r="F21" i="52"/>
  <c r="F20" i="52"/>
  <c r="C390" i="23"/>
  <c r="B387" i="23" s="1"/>
  <c r="C382" i="23"/>
  <c r="B376" i="23" s="1"/>
  <c r="F18" i="52"/>
  <c r="E22" i="52"/>
  <c r="F22" i="52" s="1"/>
  <c r="F29" i="52"/>
  <c r="E306" i="23"/>
  <c r="E371" i="23" s="1"/>
  <c r="C371" i="23"/>
  <c r="B303" i="23" s="1"/>
  <c r="C195" i="23"/>
  <c r="E101" i="23"/>
  <c r="C101" i="23"/>
  <c r="B92" i="23" s="1"/>
  <c r="C458" i="23"/>
  <c r="B407" i="23" s="1"/>
  <c r="E458" i="23"/>
  <c r="C298" i="23"/>
  <c r="E289" i="23"/>
  <c r="E298" i="23" s="1"/>
  <c r="C281" i="23"/>
  <c r="B268" i="23" s="1"/>
  <c r="E281" i="23"/>
  <c r="C179" i="23"/>
  <c r="B166" i="23" s="1"/>
  <c r="E179" i="23"/>
  <c r="C87" i="23"/>
  <c r="B66" i="23" s="1"/>
  <c r="C157" i="23"/>
  <c r="B138" i="23" s="1"/>
  <c r="E263" i="23"/>
  <c r="E157" i="23"/>
  <c r="C263" i="23"/>
  <c r="B238" i="23" s="1"/>
  <c r="H18" i="9"/>
  <c r="E18" i="9"/>
  <c r="E24" i="52" l="1"/>
  <c r="E33" i="52" s="1"/>
  <c r="K18" i="9"/>
  <c r="J18" i="9"/>
  <c r="F24" i="52" l="1"/>
  <c r="F33" i="52"/>
  <c r="E35" i="52"/>
  <c r="E41" i="52" s="1"/>
  <c r="H359" i="20"/>
  <c r="E44" i="52" l="1"/>
  <c r="E48" i="52" s="1"/>
  <c r="E6" i="53"/>
  <c r="E22" i="53" s="1"/>
  <c r="E51" i="53" s="1"/>
  <c r="E58" i="53" s="1"/>
  <c r="I359" i="20"/>
  <c r="F18" i="5"/>
  <c r="C383" i="23" l="1"/>
  <c r="O18" i="5"/>
  <c r="E26" i="11"/>
  <c r="G23" i="11"/>
  <c r="E23" i="11"/>
  <c r="G5" i="11"/>
  <c r="G27" i="11" l="1"/>
  <c r="G26" i="11"/>
  <c r="G25" i="11" l="1"/>
  <c r="D23" i="11"/>
  <c r="E5" i="11"/>
  <c r="I6" i="11"/>
  <c r="D5" i="11"/>
  <c r="D26" i="11" l="1"/>
  <c r="H26" i="11" s="1"/>
  <c r="G24" i="11"/>
  <c r="I23" i="11"/>
  <c r="F23" i="11"/>
  <c r="H23" i="11"/>
  <c r="F8" i="11"/>
  <c r="I8" i="11"/>
  <c r="H8" i="11"/>
  <c r="F11" i="11"/>
  <c r="I11" i="11"/>
  <c r="H11" i="11"/>
  <c r="G22" i="11"/>
  <c r="G21" i="11"/>
  <c r="G20" i="11"/>
  <c r="E22" i="11"/>
  <c r="D22" i="11"/>
  <c r="E21" i="11"/>
  <c r="D21" i="11"/>
  <c r="I26" i="11" l="1"/>
  <c r="F26" i="11"/>
  <c r="F21" i="11"/>
  <c r="F22" i="11"/>
  <c r="E20" i="11" l="1"/>
  <c r="I5" i="11"/>
  <c r="I22" i="11" l="1"/>
  <c r="I21" i="11"/>
  <c r="I7" i="11"/>
  <c r="H22" i="11"/>
  <c r="H21" i="11"/>
  <c r="H7" i="11"/>
  <c r="H6" i="11"/>
  <c r="H5" i="11"/>
  <c r="F7" i="11"/>
  <c r="F6" i="11"/>
  <c r="F5" i="11"/>
  <c r="G25" i="8" l="1"/>
  <c r="D180" i="23" s="1"/>
  <c r="K24" i="8"/>
  <c r="D282" i="23" s="1"/>
  <c r="G24" i="8"/>
  <c r="K23" i="8"/>
  <c r="D264" i="23" s="1"/>
  <c r="G23" i="8"/>
  <c r="D158" i="23" s="1"/>
  <c r="K22" i="8"/>
  <c r="D234" i="23" s="1"/>
  <c r="G22" i="8"/>
  <c r="G21" i="8"/>
  <c r="G20" i="8"/>
  <c r="K19" i="8"/>
  <c r="G19" i="8"/>
  <c r="D117" i="23" s="1"/>
  <c r="K18" i="8"/>
  <c r="D216" i="23" s="1"/>
  <c r="G15" i="8"/>
  <c r="G14" i="8"/>
  <c r="G13" i="8"/>
  <c r="K9" i="8"/>
  <c r="K8" i="8"/>
  <c r="G8" i="8"/>
  <c r="K7" i="8"/>
  <c r="G7" i="8"/>
  <c r="K6" i="8"/>
  <c r="G6" i="8"/>
  <c r="D88" i="23" s="1"/>
  <c r="K5" i="8"/>
  <c r="K4" i="8"/>
  <c r="D27" i="9"/>
  <c r="D25" i="9"/>
  <c r="D134" i="23" l="1"/>
  <c r="D102" i="23"/>
  <c r="H34" i="5"/>
  <c r="H33" i="5"/>
  <c r="H32" i="5"/>
  <c r="H31" i="5"/>
  <c r="H30" i="5"/>
  <c r="D480" i="23" s="1"/>
  <c r="H20" i="5"/>
  <c r="D459" i="23" s="1"/>
  <c r="H19" i="5"/>
  <c r="D391" i="23" s="1"/>
  <c r="H17" i="5"/>
  <c r="D404" i="23" s="1"/>
  <c r="H16" i="5"/>
  <c r="D372" i="23" s="1"/>
  <c r="H15" i="5"/>
  <c r="H9" i="5"/>
  <c r="H8" i="5"/>
  <c r="H7" i="5"/>
  <c r="F34" i="5"/>
  <c r="O34" i="5" s="1"/>
  <c r="F32" i="5"/>
  <c r="O32" i="5" s="1"/>
  <c r="F31" i="5"/>
  <c r="O31" i="5" s="1"/>
  <c r="E27" i="11" l="1"/>
  <c r="F8" i="5"/>
  <c r="O8" i="5" s="1"/>
  <c r="F8" i="8"/>
  <c r="J8" i="8"/>
  <c r="J19" i="8"/>
  <c r="F24" i="8"/>
  <c r="J5" i="8"/>
  <c r="F14" i="8"/>
  <c r="J6" i="8"/>
  <c r="F13" i="8"/>
  <c r="J7" i="8"/>
  <c r="F20" i="8"/>
  <c r="F22" i="8"/>
  <c r="J9" i="8"/>
  <c r="J4" i="8" l="1"/>
  <c r="J24" i="8"/>
  <c r="C282" i="23" s="1"/>
  <c r="F7" i="8"/>
  <c r="D16" i="9"/>
  <c r="F19" i="5"/>
  <c r="D21" i="9"/>
  <c r="F7" i="5"/>
  <c r="O7" i="5" s="1"/>
  <c r="D10" i="9"/>
  <c r="F21" i="8"/>
  <c r="J23" i="8"/>
  <c r="C264" i="23" s="1"/>
  <c r="D23" i="9"/>
  <c r="D11" i="9"/>
  <c r="J22" i="8"/>
  <c r="C234" i="23" s="1"/>
  <c r="F6" i="8"/>
  <c r="C88" i="23" s="1"/>
  <c r="F23" i="8"/>
  <c r="C158" i="23" s="1"/>
  <c r="F33" i="5"/>
  <c r="O33" i="5" s="1"/>
  <c r="J18" i="8"/>
  <c r="C216" i="23" s="1"/>
  <c r="F19" i="8"/>
  <c r="C117" i="23" s="1"/>
  <c r="F15" i="8"/>
  <c r="C102" i="23" s="1"/>
  <c r="F9" i="5"/>
  <c r="D24" i="9"/>
  <c r="F15" i="5"/>
  <c r="O15" i="5" s="1"/>
  <c r="D13" i="9"/>
  <c r="D17" i="9"/>
  <c r="D14" i="9"/>
  <c r="D9" i="9"/>
  <c r="F25" i="8"/>
  <c r="C180" i="23" s="1"/>
  <c r="F17" i="5"/>
  <c r="F20" i="5"/>
  <c r="F30" i="5"/>
  <c r="F16" i="5"/>
  <c r="F34" i="8" l="1"/>
  <c r="O9" i="5"/>
  <c r="I12" i="11"/>
  <c r="C372" i="23"/>
  <c r="O16" i="5"/>
  <c r="C459" i="23"/>
  <c r="O20" i="5"/>
  <c r="C391" i="23"/>
  <c r="O19" i="5"/>
  <c r="C480" i="23"/>
  <c r="O30" i="5"/>
  <c r="C404" i="23"/>
  <c r="O17" i="5"/>
  <c r="C134" i="23"/>
  <c r="M34" i="13"/>
  <c r="N34" i="13" s="1"/>
  <c r="M214" i="13"/>
  <c r="N214" i="13" s="1"/>
  <c r="M219" i="13"/>
  <c r="N219" i="13" s="1"/>
  <c r="M239" i="13"/>
  <c r="N239" i="13" s="1"/>
  <c r="M258" i="13"/>
  <c r="N258" i="13" s="1"/>
  <c r="M285" i="13"/>
  <c r="N285" i="13" s="1"/>
  <c r="M292" i="13"/>
  <c r="N292" i="13" s="1"/>
  <c r="M306" i="13"/>
  <c r="N306" i="13" s="1"/>
  <c r="M331" i="13"/>
  <c r="N331" i="13" s="1"/>
  <c r="F219" i="13"/>
  <c r="G219" i="13"/>
  <c r="F220" i="13"/>
  <c r="G220" i="13"/>
  <c r="F214" i="13"/>
  <c r="G214" i="13"/>
  <c r="D27" i="11" l="1"/>
  <c r="F27" i="11" s="1"/>
  <c r="H12" i="11"/>
  <c r="F12" i="11"/>
  <c r="I27" i="11"/>
  <c r="H27" i="11"/>
  <c r="H220" i="13"/>
  <c r="H219" i="13"/>
  <c r="I219" i="13" s="1"/>
  <c r="H214" i="13"/>
  <c r="I214" i="13" s="1"/>
  <c r="H1" i="17"/>
  <c r="G330" i="13" l="1"/>
  <c r="F330" i="13"/>
  <c r="G329" i="13"/>
  <c r="F329" i="13"/>
  <c r="G328" i="13"/>
  <c r="F328" i="13"/>
  <c r="G327" i="13"/>
  <c r="F327" i="13"/>
  <c r="G326" i="13"/>
  <c r="F326" i="13"/>
  <c r="G325" i="13"/>
  <c r="F325" i="13"/>
  <c r="G324" i="13"/>
  <c r="F324" i="13"/>
  <c r="G323" i="13"/>
  <c r="F323" i="13"/>
  <c r="G322" i="13"/>
  <c r="F322" i="13"/>
  <c r="G321" i="13"/>
  <c r="F321" i="13"/>
  <c r="G320" i="13"/>
  <c r="F320" i="13"/>
  <c r="G319" i="13"/>
  <c r="F319" i="13"/>
  <c r="G318" i="13"/>
  <c r="F318" i="13"/>
  <c r="G317" i="13"/>
  <c r="F317" i="13"/>
  <c r="G316" i="13"/>
  <c r="F316" i="13"/>
  <c r="G315" i="13"/>
  <c r="F315" i="13"/>
  <c r="G314" i="13"/>
  <c r="F314" i="13"/>
  <c r="G313" i="13"/>
  <c r="F313" i="13"/>
  <c r="G312" i="13"/>
  <c r="F312" i="13"/>
  <c r="G311" i="13"/>
  <c r="F311" i="13"/>
  <c r="G310" i="13"/>
  <c r="F310" i="13"/>
  <c r="G309" i="13"/>
  <c r="F309" i="13"/>
  <c r="G308" i="13"/>
  <c r="F308" i="13"/>
  <c r="G307" i="13"/>
  <c r="F307" i="13"/>
  <c r="G306" i="13"/>
  <c r="F306" i="13"/>
  <c r="G305" i="13"/>
  <c r="F305" i="13"/>
  <c r="G304" i="13"/>
  <c r="F304" i="13"/>
  <c r="G303" i="13"/>
  <c r="F303" i="13"/>
  <c r="G302" i="13"/>
  <c r="F302" i="13"/>
  <c r="G301" i="13"/>
  <c r="F301" i="13"/>
  <c r="G300" i="13"/>
  <c r="F300" i="13"/>
  <c r="G299" i="13"/>
  <c r="F299" i="13"/>
  <c r="G298" i="13"/>
  <c r="F298" i="13"/>
  <c r="G297" i="13"/>
  <c r="F297" i="13"/>
  <c r="G296" i="13"/>
  <c r="F296" i="13"/>
  <c r="G295" i="13"/>
  <c r="F295" i="13"/>
  <c r="G294" i="13"/>
  <c r="F294" i="13"/>
  <c r="G293" i="13"/>
  <c r="F293" i="13"/>
  <c r="G292" i="13"/>
  <c r="F292" i="13"/>
  <c r="G291" i="13"/>
  <c r="F291" i="13"/>
  <c r="G290" i="13"/>
  <c r="F290" i="13"/>
  <c r="G289" i="13"/>
  <c r="F289" i="13"/>
  <c r="G288" i="13"/>
  <c r="F288" i="13"/>
  <c r="G287" i="13"/>
  <c r="F287" i="13"/>
  <c r="G286" i="13"/>
  <c r="F286" i="13"/>
  <c r="G285" i="13"/>
  <c r="F285" i="13"/>
  <c r="G284" i="13"/>
  <c r="F284" i="13"/>
  <c r="G283" i="13"/>
  <c r="F283" i="13"/>
  <c r="G282" i="13"/>
  <c r="F282" i="13"/>
  <c r="G281" i="13"/>
  <c r="F281" i="13"/>
  <c r="G280" i="13"/>
  <c r="F280" i="13"/>
  <c r="G279" i="13"/>
  <c r="F279" i="13"/>
  <c r="G278" i="13"/>
  <c r="F278" i="13"/>
  <c r="G277" i="13"/>
  <c r="F277" i="13"/>
  <c r="G276" i="13"/>
  <c r="F276" i="13"/>
  <c r="G275" i="13"/>
  <c r="F275" i="13"/>
  <c r="G274" i="13"/>
  <c r="F274" i="13"/>
  <c r="G273" i="13"/>
  <c r="F273" i="13"/>
  <c r="G272" i="13"/>
  <c r="F272" i="13"/>
  <c r="G271" i="13"/>
  <c r="F271" i="13"/>
  <c r="G270" i="13"/>
  <c r="F270" i="13"/>
  <c r="G269" i="13"/>
  <c r="F269" i="13"/>
  <c r="G268" i="13"/>
  <c r="F268" i="13"/>
  <c r="G267" i="13"/>
  <c r="F267" i="13"/>
  <c r="G266" i="13"/>
  <c r="F266" i="13"/>
  <c r="G265" i="13"/>
  <c r="F265" i="13"/>
  <c r="G264" i="13"/>
  <c r="F264" i="13"/>
  <c r="G263" i="13"/>
  <c r="F263" i="13"/>
  <c r="G262" i="13"/>
  <c r="F262" i="13"/>
  <c r="G261" i="13"/>
  <c r="F261" i="13"/>
  <c r="G260" i="13"/>
  <c r="F260" i="13"/>
  <c r="G259" i="13"/>
  <c r="F259" i="13"/>
  <c r="G258" i="13"/>
  <c r="F258" i="13"/>
  <c r="G257" i="13"/>
  <c r="F257" i="13"/>
  <c r="G256" i="13"/>
  <c r="F256" i="13"/>
  <c r="G255" i="13"/>
  <c r="F255" i="13"/>
  <c r="G254" i="13"/>
  <c r="F254" i="13"/>
  <c r="G253" i="13"/>
  <c r="F253" i="13"/>
  <c r="G252" i="13"/>
  <c r="F252" i="13"/>
  <c r="G251" i="13"/>
  <c r="F251" i="13"/>
  <c r="G250" i="13"/>
  <c r="F250" i="13"/>
  <c r="G249" i="13"/>
  <c r="F249" i="13"/>
  <c r="G248" i="13"/>
  <c r="F248" i="13"/>
  <c r="G247" i="13"/>
  <c r="F247" i="13"/>
  <c r="G246" i="13"/>
  <c r="F246" i="13"/>
  <c r="G245" i="13"/>
  <c r="F245" i="13"/>
  <c r="G244" i="13"/>
  <c r="F244" i="13"/>
  <c r="G243" i="13"/>
  <c r="F243" i="13"/>
  <c r="G242" i="13"/>
  <c r="F242" i="13"/>
  <c r="G241" i="13"/>
  <c r="F241" i="13"/>
  <c r="G240" i="13"/>
  <c r="F240" i="13"/>
  <c r="G239" i="13"/>
  <c r="F239" i="13"/>
  <c r="G238" i="13"/>
  <c r="F238" i="13"/>
  <c r="G237" i="13"/>
  <c r="F237" i="13"/>
  <c r="G236" i="13"/>
  <c r="F236" i="13"/>
  <c r="G235" i="13"/>
  <c r="F235" i="13"/>
  <c r="G234" i="13"/>
  <c r="F234" i="13"/>
  <c r="G233" i="13"/>
  <c r="F233" i="13"/>
  <c r="G232" i="13"/>
  <c r="F232" i="13"/>
  <c r="G231" i="13"/>
  <c r="F231" i="13"/>
  <c r="G230" i="13"/>
  <c r="F230" i="13"/>
  <c r="G229" i="13"/>
  <c r="F229" i="13"/>
  <c r="G228" i="13"/>
  <c r="F228" i="13"/>
  <c r="G227" i="13"/>
  <c r="F227" i="13"/>
  <c r="G226" i="13"/>
  <c r="F226" i="13"/>
  <c r="G225" i="13"/>
  <c r="F225" i="13"/>
  <c r="G224" i="13"/>
  <c r="F224" i="13"/>
  <c r="G223" i="13"/>
  <c r="F223" i="13"/>
  <c r="G222" i="13"/>
  <c r="F222" i="13"/>
  <c r="G221" i="13"/>
  <c r="F221" i="13"/>
  <c r="G218" i="13"/>
  <c r="F218" i="13"/>
  <c r="G217" i="13"/>
  <c r="F217" i="13"/>
  <c r="G216" i="13"/>
  <c r="F216" i="13"/>
  <c r="G215" i="13"/>
  <c r="F215" i="13"/>
  <c r="G213" i="13"/>
  <c r="F213" i="13"/>
  <c r="G212" i="13"/>
  <c r="F212" i="13"/>
  <c r="G211" i="13"/>
  <c r="F211" i="13"/>
  <c r="G210" i="13"/>
  <c r="F210" i="13"/>
  <c r="G209" i="13"/>
  <c r="F209" i="13"/>
  <c r="G208" i="13"/>
  <c r="F208" i="13"/>
  <c r="G207" i="13"/>
  <c r="F207" i="13"/>
  <c r="G206" i="13"/>
  <c r="F206" i="13"/>
  <c r="G205" i="13"/>
  <c r="F205" i="13"/>
  <c r="G204" i="13"/>
  <c r="F204" i="13"/>
  <c r="G203" i="13"/>
  <c r="F203" i="13"/>
  <c r="G202" i="13"/>
  <c r="F202" i="13"/>
  <c r="G201" i="13"/>
  <c r="F201" i="13"/>
  <c r="G200" i="13"/>
  <c r="F200" i="13"/>
  <c r="G199" i="13"/>
  <c r="F199" i="13"/>
  <c r="G198" i="13"/>
  <c r="F198" i="13"/>
  <c r="G197" i="13"/>
  <c r="F197" i="13"/>
  <c r="G196" i="13"/>
  <c r="F196" i="13"/>
  <c r="G195" i="13"/>
  <c r="F195" i="13"/>
  <c r="G194" i="13"/>
  <c r="F194" i="13"/>
  <c r="G193" i="13"/>
  <c r="F193" i="13"/>
  <c r="G192" i="13"/>
  <c r="F192" i="13"/>
  <c r="G191" i="13"/>
  <c r="F191" i="13"/>
  <c r="G190" i="13"/>
  <c r="F190" i="13"/>
  <c r="G189" i="13"/>
  <c r="F189" i="13"/>
  <c r="G188" i="13"/>
  <c r="F188" i="13"/>
  <c r="G187" i="13"/>
  <c r="F187" i="13"/>
  <c r="G186" i="13"/>
  <c r="F186" i="13"/>
  <c r="G185" i="13"/>
  <c r="F185" i="13"/>
  <c r="G184" i="13"/>
  <c r="F184" i="13"/>
  <c r="G183" i="13"/>
  <c r="F183" i="13"/>
  <c r="G182" i="13"/>
  <c r="F182" i="13"/>
  <c r="G181" i="13"/>
  <c r="F181" i="13"/>
  <c r="G180" i="13"/>
  <c r="F180" i="13"/>
  <c r="G179" i="13"/>
  <c r="F179" i="13"/>
  <c r="G178" i="13"/>
  <c r="F178" i="13"/>
  <c r="G177" i="13"/>
  <c r="F177" i="13"/>
  <c r="G176" i="13"/>
  <c r="F176" i="13"/>
  <c r="G175" i="13"/>
  <c r="F175" i="13"/>
  <c r="G174" i="13"/>
  <c r="F174" i="13"/>
  <c r="G173" i="13"/>
  <c r="F173" i="13"/>
  <c r="G172" i="13"/>
  <c r="F172" i="13"/>
  <c r="G171" i="13"/>
  <c r="F171" i="13"/>
  <c r="G170" i="13"/>
  <c r="F170" i="13"/>
  <c r="G169" i="13"/>
  <c r="F169" i="13"/>
  <c r="G168" i="13"/>
  <c r="F168" i="13"/>
  <c r="H168" i="13" s="1"/>
  <c r="G167" i="13"/>
  <c r="F167" i="13"/>
  <c r="G166" i="13"/>
  <c r="F166" i="13"/>
  <c r="G165" i="13"/>
  <c r="F165" i="13"/>
  <c r="G164" i="13"/>
  <c r="F164" i="13"/>
  <c r="G163" i="13"/>
  <c r="F163" i="13"/>
  <c r="G162" i="13"/>
  <c r="F162" i="13"/>
  <c r="G161" i="13"/>
  <c r="F161" i="13"/>
  <c r="G160" i="13"/>
  <c r="F160" i="13"/>
  <c r="G159" i="13"/>
  <c r="F159" i="13"/>
  <c r="G158" i="13"/>
  <c r="F158" i="13"/>
  <c r="G157" i="13"/>
  <c r="F157" i="13"/>
  <c r="G156" i="13"/>
  <c r="F156" i="13"/>
  <c r="G155" i="13"/>
  <c r="F155" i="13"/>
  <c r="G154" i="13"/>
  <c r="F154" i="13"/>
  <c r="G153" i="13"/>
  <c r="F153" i="13"/>
  <c r="G152" i="13"/>
  <c r="F152" i="13"/>
  <c r="G151" i="13"/>
  <c r="F151" i="13"/>
  <c r="G150" i="13"/>
  <c r="F150" i="13"/>
  <c r="G149" i="13"/>
  <c r="F149" i="13"/>
  <c r="G148" i="13"/>
  <c r="F148" i="13"/>
  <c r="G147" i="13"/>
  <c r="F147" i="13"/>
  <c r="G146" i="13"/>
  <c r="F146" i="13"/>
  <c r="G145" i="13"/>
  <c r="F145" i="13"/>
  <c r="G144" i="13"/>
  <c r="F144" i="13"/>
  <c r="G143" i="13"/>
  <c r="F143" i="13"/>
  <c r="G142" i="13"/>
  <c r="F142" i="13"/>
  <c r="G141" i="13"/>
  <c r="F141" i="13"/>
  <c r="G140" i="13"/>
  <c r="F140" i="13"/>
  <c r="G139" i="13"/>
  <c r="F139" i="13"/>
  <c r="G138" i="13"/>
  <c r="F138" i="13"/>
  <c r="G137" i="13"/>
  <c r="F137" i="13"/>
  <c r="G136" i="13"/>
  <c r="F136" i="13"/>
  <c r="G135" i="13"/>
  <c r="F135" i="13"/>
  <c r="G134" i="13"/>
  <c r="F134" i="13"/>
  <c r="G133" i="13"/>
  <c r="F133" i="13"/>
  <c r="G132" i="13"/>
  <c r="F132" i="13"/>
  <c r="G131" i="13"/>
  <c r="F131" i="13"/>
  <c r="G130" i="13"/>
  <c r="F130" i="13"/>
  <c r="G129" i="13"/>
  <c r="F129" i="13"/>
  <c r="G128" i="13"/>
  <c r="F128" i="13"/>
  <c r="G127" i="13"/>
  <c r="F127" i="13"/>
  <c r="G126" i="13"/>
  <c r="F126" i="13"/>
  <c r="G125" i="13"/>
  <c r="F125" i="13"/>
  <c r="G124" i="13"/>
  <c r="F124" i="13"/>
  <c r="G123" i="13"/>
  <c r="F123" i="13"/>
  <c r="G122" i="13"/>
  <c r="F122" i="13"/>
  <c r="G121" i="13"/>
  <c r="F121" i="13"/>
  <c r="G120" i="13"/>
  <c r="F120" i="13"/>
  <c r="G119" i="13"/>
  <c r="F119" i="13"/>
  <c r="G118" i="13"/>
  <c r="F118" i="13"/>
  <c r="G117" i="13"/>
  <c r="F117" i="13"/>
  <c r="G116" i="13"/>
  <c r="F116" i="13"/>
  <c r="G115" i="13"/>
  <c r="F115" i="13"/>
  <c r="G114" i="13"/>
  <c r="F114" i="13"/>
  <c r="G113" i="13"/>
  <c r="F113" i="13"/>
  <c r="G112" i="13"/>
  <c r="F112" i="13"/>
  <c r="G111" i="13"/>
  <c r="F111" i="13"/>
  <c r="G110" i="13"/>
  <c r="F110" i="13"/>
  <c r="G109" i="13"/>
  <c r="F109" i="13"/>
  <c r="G108" i="13"/>
  <c r="F108" i="13"/>
  <c r="G107" i="13"/>
  <c r="F107" i="13"/>
  <c r="G106" i="13"/>
  <c r="F106" i="13"/>
  <c r="G105" i="13"/>
  <c r="F105" i="13"/>
  <c r="G104" i="13"/>
  <c r="F104" i="13"/>
  <c r="G103" i="13"/>
  <c r="F103" i="13"/>
  <c r="G102" i="13"/>
  <c r="F102" i="13"/>
  <c r="G101" i="13"/>
  <c r="F101" i="13"/>
  <c r="G100" i="13"/>
  <c r="F100" i="13"/>
  <c r="G99" i="13"/>
  <c r="F99" i="13"/>
  <c r="G98" i="13"/>
  <c r="F98" i="13"/>
  <c r="G97" i="13"/>
  <c r="F97" i="13"/>
  <c r="G96" i="13"/>
  <c r="F96" i="13"/>
  <c r="G95" i="13"/>
  <c r="F95" i="13"/>
  <c r="G94" i="13"/>
  <c r="F94" i="13"/>
  <c r="G93" i="13"/>
  <c r="F93" i="13"/>
  <c r="G92" i="13"/>
  <c r="F92" i="13"/>
  <c r="G91" i="13"/>
  <c r="F91" i="13"/>
  <c r="G90" i="13"/>
  <c r="F90" i="13"/>
  <c r="G89" i="13"/>
  <c r="F89" i="13"/>
  <c r="G88" i="13"/>
  <c r="F88" i="13"/>
  <c r="G87" i="13"/>
  <c r="F87" i="13"/>
  <c r="G86" i="13"/>
  <c r="F86" i="13"/>
  <c r="G85" i="13"/>
  <c r="F85" i="13"/>
  <c r="G84" i="13"/>
  <c r="F84" i="13"/>
  <c r="G83" i="13"/>
  <c r="F83" i="13"/>
  <c r="G82" i="13"/>
  <c r="F82" i="13"/>
  <c r="G81" i="13"/>
  <c r="F81" i="13"/>
  <c r="G80" i="13"/>
  <c r="F80" i="13"/>
  <c r="G79" i="13"/>
  <c r="F79" i="13"/>
  <c r="G78" i="13"/>
  <c r="F78" i="13"/>
  <c r="G77" i="13"/>
  <c r="F77" i="13"/>
  <c r="G76" i="13"/>
  <c r="F76" i="13"/>
  <c r="G75" i="13"/>
  <c r="H75" i="13" s="1"/>
  <c r="G74" i="13"/>
  <c r="H74" i="13" s="1"/>
  <c r="G73" i="13"/>
  <c r="F73" i="13"/>
  <c r="G72" i="13"/>
  <c r="F72" i="13"/>
  <c r="G71" i="13"/>
  <c r="F71" i="13"/>
  <c r="G70" i="13"/>
  <c r="F70" i="13"/>
  <c r="G69" i="13"/>
  <c r="F69" i="13"/>
  <c r="G68" i="13"/>
  <c r="F68" i="13"/>
  <c r="G67" i="13"/>
  <c r="F67" i="13"/>
  <c r="G66" i="13"/>
  <c r="F66" i="13"/>
  <c r="G65" i="13"/>
  <c r="F65" i="13"/>
  <c r="G64" i="13"/>
  <c r="F64" i="13"/>
  <c r="G63" i="13"/>
  <c r="F63" i="13"/>
  <c r="G62" i="13"/>
  <c r="F62" i="13"/>
  <c r="G61" i="13"/>
  <c r="F61" i="13"/>
  <c r="G60" i="13"/>
  <c r="F60" i="13"/>
  <c r="G59" i="13"/>
  <c r="F59" i="13"/>
  <c r="G58" i="13"/>
  <c r="F58" i="13"/>
  <c r="G57" i="13"/>
  <c r="F57" i="13"/>
  <c r="G56" i="13"/>
  <c r="H56" i="13" s="1"/>
  <c r="I56" i="13" s="1"/>
  <c r="G55" i="13"/>
  <c r="F55" i="13"/>
  <c r="G54" i="13"/>
  <c r="F54" i="13"/>
  <c r="G53" i="13"/>
  <c r="F53" i="13"/>
  <c r="G52" i="13"/>
  <c r="F52" i="13"/>
  <c r="G51" i="13"/>
  <c r="F51" i="13"/>
  <c r="G50" i="13"/>
  <c r="F50" i="13"/>
  <c r="G49" i="13"/>
  <c r="F49" i="13"/>
  <c r="G48" i="13"/>
  <c r="F48" i="13"/>
  <c r="G47" i="13"/>
  <c r="F47" i="13"/>
  <c r="G46" i="13"/>
  <c r="F46" i="13"/>
  <c r="G45" i="13"/>
  <c r="F45" i="13"/>
  <c r="G44" i="13"/>
  <c r="F44" i="13"/>
  <c r="G43" i="13"/>
  <c r="F43" i="13"/>
  <c r="G42" i="13"/>
  <c r="F42" i="13"/>
  <c r="G41" i="13"/>
  <c r="F41" i="13"/>
  <c r="G40" i="13"/>
  <c r="F40" i="13"/>
  <c r="G39" i="13"/>
  <c r="F39" i="13"/>
  <c r="G38" i="13"/>
  <c r="F38" i="13"/>
  <c r="G37" i="13"/>
  <c r="F37" i="13"/>
  <c r="G36" i="13"/>
  <c r="F36" i="13"/>
  <c r="G35" i="13"/>
  <c r="F35" i="13"/>
  <c r="G34" i="13"/>
  <c r="F34" i="13"/>
  <c r="G33" i="13"/>
  <c r="F33" i="13"/>
  <c r="G32" i="13"/>
  <c r="F32" i="13"/>
  <c r="G31" i="13"/>
  <c r="F31" i="13"/>
  <c r="G30" i="13"/>
  <c r="F30" i="13"/>
  <c r="G29" i="13"/>
  <c r="F29" i="13"/>
  <c r="G28" i="13"/>
  <c r="F28" i="13"/>
  <c r="G27" i="13"/>
  <c r="F27" i="13"/>
  <c r="G26" i="13"/>
  <c r="F26" i="13"/>
  <c r="G25" i="13"/>
  <c r="F25" i="13"/>
  <c r="G24" i="13"/>
  <c r="F24" i="13"/>
  <c r="G23" i="13"/>
  <c r="F23" i="13"/>
  <c r="G22" i="13"/>
  <c r="F22" i="13"/>
  <c r="G21" i="13"/>
  <c r="F21" i="13"/>
  <c r="G20" i="13"/>
  <c r="F20" i="13"/>
  <c r="G19" i="13"/>
  <c r="F19" i="13"/>
  <c r="G18" i="13"/>
  <c r="F18" i="13"/>
  <c r="G17" i="13"/>
  <c r="F17" i="13"/>
  <c r="G16" i="13"/>
  <c r="F16" i="13"/>
  <c r="G15" i="13"/>
  <c r="F15" i="13"/>
  <c r="G14" i="13"/>
  <c r="F14" i="13"/>
  <c r="G13" i="13"/>
  <c r="F13" i="13"/>
  <c r="G12" i="13"/>
  <c r="F12" i="13"/>
  <c r="G11" i="13"/>
  <c r="F11" i="13"/>
  <c r="G10" i="13"/>
  <c r="F10" i="13"/>
  <c r="G9" i="13"/>
  <c r="F9" i="13"/>
  <c r="G8" i="13"/>
  <c r="F8" i="13"/>
  <c r="G7" i="13"/>
  <c r="F7" i="13"/>
  <c r="G6" i="13"/>
  <c r="F6" i="13"/>
  <c r="G5" i="13"/>
  <c r="F5" i="13"/>
  <c r="G4" i="13"/>
  <c r="F4" i="13"/>
  <c r="G3" i="13"/>
  <c r="F3" i="13"/>
  <c r="H329" i="13"/>
  <c r="H325" i="13"/>
  <c r="H321" i="13"/>
  <c r="H317" i="13"/>
  <c r="H313" i="13"/>
  <c r="H309" i="13"/>
  <c r="H305" i="13"/>
  <c r="I305" i="13" s="1"/>
  <c r="H301" i="13"/>
  <c r="I301" i="13" s="1"/>
  <c r="H297" i="13"/>
  <c r="I297" i="13" s="1"/>
  <c r="H293" i="13"/>
  <c r="I293" i="13" s="1"/>
  <c r="H289" i="13"/>
  <c r="H285" i="13"/>
  <c r="I285" i="13" s="1"/>
  <c r="H281" i="13"/>
  <c r="H277" i="13"/>
  <c r="H273" i="13"/>
  <c r="H269" i="13"/>
  <c r="H265" i="13"/>
  <c r="H261" i="13"/>
  <c r="H257" i="13"/>
  <c r="I257" i="13" s="1"/>
  <c r="H253" i="13"/>
  <c r="I253" i="13" s="1"/>
  <c r="H249" i="13"/>
  <c r="H245" i="13"/>
  <c r="H241" i="13"/>
  <c r="H237" i="13"/>
  <c r="H233" i="13"/>
  <c r="H229" i="13"/>
  <c r="H225" i="13"/>
  <c r="D331" i="13"/>
  <c r="H222" i="13"/>
  <c r="I222" i="13" s="1"/>
  <c r="H221" i="13"/>
  <c r="I220" i="13"/>
  <c r="E331" i="13"/>
  <c r="H215" i="13"/>
  <c r="H210" i="13"/>
  <c r="H206" i="13"/>
  <c r="H202" i="13"/>
  <c r="H198" i="13"/>
  <c r="H194" i="13"/>
  <c r="H190" i="13"/>
  <c r="H186" i="13"/>
  <c r="H182" i="13"/>
  <c r="H178" i="13"/>
  <c r="H174" i="13"/>
  <c r="H170" i="13"/>
  <c r="H166" i="13"/>
  <c r="H162" i="13"/>
  <c r="I162" i="13" s="1"/>
  <c r="H158" i="13"/>
  <c r="I158" i="13" s="1"/>
  <c r="H154" i="13"/>
  <c r="I154" i="13" s="1"/>
  <c r="H150" i="13"/>
  <c r="I150" i="13" s="1"/>
  <c r="H146" i="13"/>
  <c r="I146" i="13" s="1"/>
  <c r="H142" i="13"/>
  <c r="I142" i="13" s="1"/>
  <c r="H138" i="13"/>
  <c r="I138" i="13" s="1"/>
  <c r="H134" i="13"/>
  <c r="I134" i="13" s="1"/>
  <c r="H130" i="13"/>
  <c r="I130" i="13" s="1"/>
  <c r="H126" i="13"/>
  <c r="I126" i="13" s="1"/>
  <c r="H122" i="13"/>
  <c r="I122" i="13" s="1"/>
  <c r="H118" i="13"/>
  <c r="I118" i="13" s="1"/>
  <c r="H114" i="13"/>
  <c r="I114" i="13" s="1"/>
  <c r="H110" i="13"/>
  <c r="I110" i="13" s="1"/>
  <c r="H106" i="13"/>
  <c r="I106" i="13" s="1"/>
  <c r="H102" i="13"/>
  <c r="I102" i="13" s="1"/>
  <c r="H98" i="13"/>
  <c r="I98" i="13" s="1"/>
  <c r="H94" i="13"/>
  <c r="I94" i="13" s="1"/>
  <c r="H90" i="13"/>
  <c r="I90" i="13" s="1"/>
  <c r="H86" i="13"/>
  <c r="H82" i="13"/>
  <c r="H78" i="13"/>
  <c r="I78" i="13" s="1"/>
  <c r="G302" i="16"/>
  <c r="F302" i="16"/>
  <c r="G301" i="16"/>
  <c r="F301" i="16"/>
  <c r="G300" i="16"/>
  <c r="F300" i="16"/>
  <c r="G299" i="16"/>
  <c r="F299" i="16"/>
  <c r="G298" i="16"/>
  <c r="F298" i="16"/>
  <c r="G297" i="16"/>
  <c r="F297" i="16"/>
  <c r="G296" i="16"/>
  <c r="F296" i="16"/>
  <c r="G295" i="16"/>
  <c r="F295" i="16"/>
  <c r="G294" i="16"/>
  <c r="F294" i="16"/>
  <c r="G293" i="16"/>
  <c r="F293" i="16"/>
  <c r="G292" i="16"/>
  <c r="F292" i="16"/>
  <c r="G291" i="16"/>
  <c r="F291" i="16"/>
  <c r="G290" i="16"/>
  <c r="F290" i="16"/>
  <c r="G289" i="16"/>
  <c r="F289" i="16"/>
  <c r="G288" i="16"/>
  <c r="F288" i="16"/>
  <c r="G287" i="16"/>
  <c r="H287" i="16" s="1"/>
  <c r="I287" i="16" s="1"/>
  <c r="F287" i="16"/>
  <c r="G286" i="16"/>
  <c r="F286" i="16"/>
  <c r="G285" i="16"/>
  <c r="F285" i="16"/>
  <c r="G284" i="16"/>
  <c r="F284" i="16"/>
  <c r="G283" i="16"/>
  <c r="F283" i="16"/>
  <c r="G282" i="16"/>
  <c r="F282" i="16"/>
  <c r="G281" i="16"/>
  <c r="F281" i="16"/>
  <c r="G280" i="16"/>
  <c r="F280" i="16"/>
  <c r="G279" i="16"/>
  <c r="H279" i="16" s="1"/>
  <c r="I279" i="16" s="1"/>
  <c r="F279" i="16"/>
  <c r="G278" i="16"/>
  <c r="F278" i="16"/>
  <c r="G277" i="16"/>
  <c r="F277" i="16"/>
  <c r="G276" i="16"/>
  <c r="F276" i="16"/>
  <c r="G275" i="16"/>
  <c r="F275" i="16"/>
  <c r="G274" i="16"/>
  <c r="F274" i="16"/>
  <c r="G273" i="16"/>
  <c r="F273" i="16"/>
  <c r="G272" i="16"/>
  <c r="F272" i="16"/>
  <c r="G271" i="16"/>
  <c r="H271" i="16" s="1"/>
  <c r="I271" i="16" s="1"/>
  <c r="F271" i="16"/>
  <c r="G270" i="16"/>
  <c r="F270" i="16"/>
  <c r="G269" i="16"/>
  <c r="F269" i="16"/>
  <c r="G268" i="16"/>
  <c r="F268" i="16"/>
  <c r="G267" i="16"/>
  <c r="F267" i="16"/>
  <c r="G266" i="16"/>
  <c r="F266" i="16"/>
  <c r="G265" i="16"/>
  <c r="F265" i="16"/>
  <c r="G264" i="16"/>
  <c r="F264" i="16"/>
  <c r="G263" i="16"/>
  <c r="F263" i="16"/>
  <c r="G262" i="16"/>
  <c r="F262" i="16"/>
  <c r="G261" i="16"/>
  <c r="F261" i="16"/>
  <c r="G260" i="16"/>
  <c r="F260" i="16"/>
  <c r="G259" i="16"/>
  <c r="F259" i="16"/>
  <c r="G258" i="16"/>
  <c r="F258" i="16"/>
  <c r="G257" i="16"/>
  <c r="F257" i="16"/>
  <c r="G256" i="16"/>
  <c r="F256" i="16"/>
  <c r="G255" i="16"/>
  <c r="H255" i="16" s="1"/>
  <c r="I255" i="16" s="1"/>
  <c r="F255" i="16"/>
  <c r="G254" i="16"/>
  <c r="F254" i="16"/>
  <c r="G253" i="16"/>
  <c r="F253" i="16"/>
  <c r="G252" i="16"/>
  <c r="F252" i="16"/>
  <c r="G251" i="16"/>
  <c r="F251" i="16"/>
  <c r="G250" i="16"/>
  <c r="F250" i="16"/>
  <c r="G249" i="16"/>
  <c r="F249" i="16"/>
  <c r="G248" i="16"/>
  <c r="F248" i="16"/>
  <c r="G247" i="16"/>
  <c r="H247" i="16" s="1"/>
  <c r="I247" i="16" s="1"/>
  <c r="F247" i="16"/>
  <c r="G246" i="16"/>
  <c r="F246" i="16"/>
  <c r="G245" i="16"/>
  <c r="F245" i="16"/>
  <c r="G244" i="16"/>
  <c r="F244" i="16"/>
  <c r="G243" i="16"/>
  <c r="F243" i="16"/>
  <c r="G242" i="16"/>
  <c r="F242" i="16"/>
  <c r="G241" i="16"/>
  <c r="F241" i="16"/>
  <c r="G240" i="16"/>
  <c r="F240" i="16"/>
  <c r="G239" i="16"/>
  <c r="H239" i="16" s="1"/>
  <c r="I239" i="16" s="1"/>
  <c r="F239" i="16"/>
  <c r="G238" i="16"/>
  <c r="F238" i="16"/>
  <c r="G237" i="16"/>
  <c r="F237" i="16"/>
  <c r="G236" i="16"/>
  <c r="F236" i="16"/>
  <c r="G235" i="16"/>
  <c r="F235" i="16"/>
  <c r="G234" i="16"/>
  <c r="F234" i="16"/>
  <c r="G233" i="16"/>
  <c r="F233" i="16"/>
  <c r="G232" i="16"/>
  <c r="F232" i="16"/>
  <c r="G231" i="16"/>
  <c r="H231" i="16" s="1"/>
  <c r="I231" i="16" s="1"/>
  <c r="F231" i="16"/>
  <c r="G230" i="16"/>
  <c r="F230" i="16"/>
  <c r="G229" i="16"/>
  <c r="F229" i="16"/>
  <c r="G228" i="16"/>
  <c r="F228" i="16"/>
  <c r="G227" i="16"/>
  <c r="F227" i="16"/>
  <c r="G226" i="16"/>
  <c r="F226" i="16"/>
  <c r="G225" i="16"/>
  <c r="F225" i="16"/>
  <c r="G224" i="16"/>
  <c r="F224" i="16"/>
  <c r="G223" i="16"/>
  <c r="F223" i="16"/>
  <c r="G222" i="16"/>
  <c r="F222" i="16"/>
  <c r="G221" i="16"/>
  <c r="F221" i="16"/>
  <c r="G220" i="16"/>
  <c r="F220" i="16"/>
  <c r="G219" i="16"/>
  <c r="F219" i="16"/>
  <c r="G218" i="16"/>
  <c r="F218" i="16"/>
  <c r="G217" i="16"/>
  <c r="F217" i="16"/>
  <c r="G216" i="16"/>
  <c r="F216" i="16"/>
  <c r="G215" i="16"/>
  <c r="F215" i="16"/>
  <c r="G214" i="16"/>
  <c r="F214" i="16"/>
  <c r="G213" i="16"/>
  <c r="F213" i="16"/>
  <c r="G212" i="16"/>
  <c r="F212" i="16"/>
  <c r="G211" i="16"/>
  <c r="F211" i="16"/>
  <c r="G210" i="16"/>
  <c r="F210" i="16"/>
  <c r="G209" i="16"/>
  <c r="F209" i="16"/>
  <c r="G208" i="16"/>
  <c r="F208" i="16"/>
  <c r="G207" i="16"/>
  <c r="F207" i="16"/>
  <c r="G206" i="16"/>
  <c r="F206" i="16"/>
  <c r="G205" i="16"/>
  <c r="F205" i="16"/>
  <c r="G204" i="16"/>
  <c r="F204" i="16"/>
  <c r="G203" i="16"/>
  <c r="F203" i="16"/>
  <c r="G202" i="16"/>
  <c r="F202" i="16"/>
  <c r="G201" i="16"/>
  <c r="F201" i="16"/>
  <c r="G200" i="16"/>
  <c r="F200" i="16"/>
  <c r="G199" i="16"/>
  <c r="F199" i="16"/>
  <c r="G198" i="16"/>
  <c r="F198" i="16"/>
  <c r="G197" i="16"/>
  <c r="F197" i="16"/>
  <c r="G196" i="16"/>
  <c r="F196" i="16"/>
  <c r="G195" i="16"/>
  <c r="F195" i="16"/>
  <c r="G194" i="16"/>
  <c r="F194" i="16"/>
  <c r="G193" i="16"/>
  <c r="F193" i="16"/>
  <c r="G192" i="16"/>
  <c r="F192" i="16"/>
  <c r="G191" i="16"/>
  <c r="F191" i="16"/>
  <c r="G190" i="16"/>
  <c r="F190" i="16"/>
  <c r="G189" i="16"/>
  <c r="F189" i="16"/>
  <c r="G188" i="16"/>
  <c r="F188" i="16"/>
  <c r="G187" i="16"/>
  <c r="F187" i="16"/>
  <c r="G186" i="16"/>
  <c r="F186" i="16"/>
  <c r="G185" i="16"/>
  <c r="F185" i="16"/>
  <c r="G184" i="16"/>
  <c r="F184" i="16"/>
  <c r="G183" i="16"/>
  <c r="F183" i="16"/>
  <c r="G182" i="16"/>
  <c r="F182" i="16"/>
  <c r="G181" i="16"/>
  <c r="F181" i="16"/>
  <c r="G180" i="16"/>
  <c r="F180" i="16"/>
  <c r="G179" i="16"/>
  <c r="F179" i="16"/>
  <c r="G178" i="16"/>
  <c r="F178" i="16"/>
  <c r="G177" i="16"/>
  <c r="F177" i="16"/>
  <c r="G176" i="16"/>
  <c r="F176" i="16"/>
  <c r="G175" i="16"/>
  <c r="F175" i="16"/>
  <c r="G174" i="16"/>
  <c r="F174" i="16"/>
  <c r="G173" i="16"/>
  <c r="F173" i="16"/>
  <c r="G172" i="16"/>
  <c r="F172" i="16"/>
  <c r="G171" i="16"/>
  <c r="F171" i="16"/>
  <c r="G170" i="16"/>
  <c r="F170" i="16"/>
  <c r="G169" i="16"/>
  <c r="F169" i="16"/>
  <c r="G168" i="16"/>
  <c r="F168" i="16"/>
  <c r="G167" i="16"/>
  <c r="F167" i="16"/>
  <c r="G166" i="16"/>
  <c r="F166" i="16"/>
  <c r="G165" i="16"/>
  <c r="F165" i="16"/>
  <c r="G164" i="16"/>
  <c r="F164" i="16"/>
  <c r="G163" i="16"/>
  <c r="F163" i="16"/>
  <c r="G162" i="16"/>
  <c r="F162" i="16"/>
  <c r="G161" i="16"/>
  <c r="F161" i="16"/>
  <c r="G160" i="16"/>
  <c r="F160" i="16"/>
  <c r="G159" i="16"/>
  <c r="F159" i="16"/>
  <c r="G158" i="16"/>
  <c r="F158" i="16"/>
  <c r="G157" i="16"/>
  <c r="F157" i="16"/>
  <c r="G156" i="16"/>
  <c r="F156" i="16"/>
  <c r="G155" i="16"/>
  <c r="F155" i="16"/>
  <c r="G154" i="16"/>
  <c r="F154" i="16"/>
  <c r="G153" i="16"/>
  <c r="F153" i="16"/>
  <c r="G152" i="16"/>
  <c r="F152" i="16"/>
  <c r="G151" i="16"/>
  <c r="F151" i="16"/>
  <c r="G150" i="16"/>
  <c r="F150" i="16"/>
  <c r="G149" i="16"/>
  <c r="F149" i="16"/>
  <c r="G148" i="16"/>
  <c r="F148" i="16"/>
  <c r="G147" i="16"/>
  <c r="F147" i="16"/>
  <c r="G146" i="16"/>
  <c r="F146" i="16"/>
  <c r="G145" i="16"/>
  <c r="F145" i="16"/>
  <c r="G144" i="16"/>
  <c r="F144" i="16"/>
  <c r="G143" i="16"/>
  <c r="F143" i="16"/>
  <c r="G142" i="16"/>
  <c r="F142" i="16"/>
  <c r="G141" i="16"/>
  <c r="F141" i="16"/>
  <c r="G140" i="16"/>
  <c r="F140" i="16"/>
  <c r="G139" i="16"/>
  <c r="F139" i="16"/>
  <c r="G138" i="16"/>
  <c r="F138" i="16"/>
  <c r="G137" i="16"/>
  <c r="F137" i="16"/>
  <c r="G136" i="16"/>
  <c r="F136" i="16"/>
  <c r="G135" i="16"/>
  <c r="F135" i="16"/>
  <c r="G134" i="16"/>
  <c r="F134" i="16"/>
  <c r="G133" i="16"/>
  <c r="F133" i="16"/>
  <c r="G132" i="16"/>
  <c r="F132" i="16"/>
  <c r="G131" i="16"/>
  <c r="F131" i="16"/>
  <c r="G130" i="16"/>
  <c r="F130" i="16"/>
  <c r="G129" i="16"/>
  <c r="F129" i="16"/>
  <c r="G128" i="16"/>
  <c r="F128" i="16"/>
  <c r="G127" i="16"/>
  <c r="F127" i="16"/>
  <c r="G126" i="16"/>
  <c r="F126" i="16"/>
  <c r="G125" i="16"/>
  <c r="F125" i="16"/>
  <c r="G124" i="16"/>
  <c r="F124" i="16"/>
  <c r="G123" i="16"/>
  <c r="F123" i="16"/>
  <c r="G122" i="16"/>
  <c r="F122" i="16"/>
  <c r="G121" i="16"/>
  <c r="F121" i="16"/>
  <c r="G120" i="16"/>
  <c r="F120" i="16"/>
  <c r="G119" i="16"/>
  <c r="F119" i="16"/>
  <c r="G118" i="16"/>
  <c r="F118" i="16"/>
  <c r="G117" i="16"/>
  <c r="F117" i="16"/>
  <c r="G116" i="16"/>
  <c r="F116" i="16"/>
  <c r="G115" i="16"/>
  <c r="F115" i="16"/>
  <c r="G114" i="16"/>
  <c r="F114" i="16"/>
  <c r="G113" i="16"/>
  <c r="F113" i="16"/>
  <c r="G112" i="16"/>
  <c r="F112" i="16"/>
  <c r="G111" i="16"/>
  <c r="F111" i="16"/>
  <c r="G110" i="16"/>
  <c r="F110" i="16"/>
  <c r="G109" i="16"/>
  <c r="F109" i="16"/>
  <c r="G108" i="16"/>
  <c r="F108" i="16"/>
  <c r="G107" i="16"/>
  <c r="F107" i="16"/>
  <c r="G106" i="16"/>
  <c r="F106" i="16"/>
  <c r="G105" i="16"/>
  <c r="F105" i="16"/>
  <c r="G104" i="16"/>
  <c r="F104" i="16"/>
  <c r="G103" i="16"/>
  <c r="F103" i="16"/>
  <c r="G102" i="16"/>
  <c r="F102" i="16"/>
  <c r="G101" i="16"/>
  <c r="F101" i="16"/>
  <c r="G100" i="16"/>
  <c r="F100" i="16"/>
  <c r="G99" i="16"/>
  <c r="F99" i="16"/>
  <c r="G98" i="16"/>
  <c r="F98" i="16"/>
  <c r="G97" i="16"/>
  <c r="F97" i="16"/>
  <c r="G96" i="16"/>
  <c r="F96" i="16"/>
  <c r="G95" i="16"/>
  <c r="F95" i="16"/>
  <c r="G94" i="16"/>
  <c r="F94" i="16"/>
  <c r="G93" i="16"/>
  <c r="F93" i="16"/>
  <c r="G92" i="16"/>
  <c r="F92" i="16"/>
  <c r="G91" i="16"/>
  <c r="F91" i="16"/>
  <c r="G90" i="16"/>
  <c r="F90" i="16"/>
  <c r="G89" i="16"/>
  <c r="F89" i="16"/>
  <c r="G88" i="16"/>
  <c r="F88" i="16"/>
  <c r="G87" i="16"/>
  <c r="F87" i="16"/>
  <c r="G86" i="16"/>
  <c r="F86" i="16"/>
  <c r="G85" i="16"/>
  <c r="F85" i="16"/>
  <c r="G84" i="16"/>
  <c r="F84" i="16"/>
  <c r="G83" i="16"/>
  <c r="F83" i="16"/>
  <c r="G82" i="16"/>
  <c r="F82" i="16"/>
  <c r="G81" i="16"/>
  <c r="F81" i="16"/>
  <c r="G80" i="16"/>
  <c r="F80" i="16"/>
  <c r="G79" i="16"/>
  <c r="F79" i="16"/>
  <c r="G78" i="16"/>
  <c r="F78" i="16"/>
  <c r="G77" i="16"/>
  <c r="F77" i="16"/>
  <c r="G76" i="16"/>
  <c r="F76" i="16"/>
  <c r="G75" i="16"/>
  <c r="F75" i="16"/>
  <c r="G74" i="16"/>
  <c r="F74" i="16"/>
  <c r="G73" i="16"/>
  <c r="F73" i="16"/>
  <c r="G72" i="16"/>
  <c r="F72" i="16"/>
  <c r="G71" i="16"/>
  <c r="F71" i="16"/>
  <c r="G70" i="16"/>
  <c r="F70" i="16"/>
  <c r="G69" i="16"/>
  <c r="F69" i="16"/>
  <c r="G68" i="16"/>
  <c r="F68" i="16"/>
  <c r="G67" i="16"/>
  <c r="F67" i="16"/>
  <c r="G66" i="16"/>
  <c r="F66" i="16"/>
  <c r="G65" i="16"/>
  <c r="F65" i="16"/>
  <c r="G64" i="16"/>
  <c r="F64" i="16"/>
  <c r="G63" i="16"/>
  <c r="F63" i="16"/>
  <c r="G62" i="16"/>
  <c r="F62" i="16"/>
  <c r="G61" i="16"/>
  <c r="F61" i="16"/>
  <c r="G60" i="16"/>
  <c r="F60" i="16"/>
  <c r="G59" i="16"/>
  <c r="F59" i="16"/>
  <c r="G58" i="16"/>
  <c r="F58" i="16"/>
  <c r="G57" i="16"/>
  <c r="F57" i="16"/>
  <c r="G56" i="16"/>
  <c r="F56" i="16"/>
  <c r="G55" i="16"/>
  <c r="F55" i="16"/>
  <c r="G54" i="16"/>
  <c r="F54" i="16"/>
  <c r="G53" i="16"/>
  <c r="F53" i="16"/>
  <c r="G52" i="16"/>
  <c r="F52" i="16"/>
  <c r="G51" i="16"/>
  <c r="F51" i="16"/>
  <c r="G50" i="16"/>
  <c r="F50" i="16"/>
  <c r="H50" i="16" s="1"/>
  <c r="I50" i="16" s="1"/>
  <c r="G49" i="16"/>
  <c r="F49" i="16"/>
  <c r="G48" i="16"/>
  <c r="F48" i="16"/>
  <c r="G47" i="16"/>
  <c r="F47" i="16"/>
  <c r="G46" i="16"/>
  <c r="F46" i="16"/>
  <c r="G45" i="16"/>
  <c r="F45" i="16"/>
  <c r="G44" i="16"/>
  <c r="F44" i="16"/>
  <c r="G43" i="16"/>
  <c r="F43" i="16"/>
  <c r="G42" i="16"/>
  <c r="F42" i="16"/>
  <c r="G41" i="16"/>
  <c r="F41" i="16"/>
  <c r="G40" i="16"/>
  <c r="F40" i="16"/>
  <c r="G39" i="16"/>
  <c r="F39" i="16"/>
  <c r="G38" i="16"/>
  <c r="F38" i="16"/>
  <c r="G37" i="16"/>
  <c r="F37" i="16"/>
  <c r="G36" i="16"/>
  <c r="F36" i="16"/>
  <c r="G35" i="16"/>
  <c r="F35" i="16"/>
  <c r="G34" i="16"/>
  <c r="F34" i="16"/>
  <c r="G33" i="16"/>
  <c r="F33" i="16"/>
  <c r="G32" i="16"/>
  <c r="F32" i="16"/>
  <c r="G31" i="16"/>
  <c r="F31" i="16"/>
  <c r="G30" i="16"/>
  <c r="F30" i="16"/>
  <c r="G29" i="16"/>
  <c r="F29" i="16"/>
  <c r="G28" i="16"/>
  <c r="F28" i="16"/>
  <c r="G27" i="16"/>
  <c r="F27" i="16"/>
  <c r="G26" i="16"/>
  <c r="F26" i="16"/>
  <c r="G25" i="16"/>
  <c r="F25" i="16"/>
  <c r="G24" i="16"/>
  <c r="F24" i="16"/>
  <c r="G23" i="16"/>
  <c r="F23" i="16"/>
  <c r="G22" i="16"/>
  <c r="F22" i="16"/>
  <c r="G21" i="16"/>
  <c r="F21" i="16"/>
  <c r="G20" i="16"/>
  <c r="F20" i="16"/>
  <c r="G19" i="16"/>
  <c r="F19" i="16"/>
  <c r="G18" i="16"/>
  <c r="F18" i="16"/>
  <c r="G17" i="16"/>
  <c r="F17" i="16"/>
  <c r="G16" i="16"/>
  <c r="F16" i="16"/>
  <c r="G15" i="16"/>
  <c r="F15" i="16"/>
  <c r="G14" i="16"/>
  <c r="F14" i="16"/>
  <c r="G13" i="16"/>
  <c r="F13" i="16"/>
  <c r="G12" i="16"/>
  <c r="F12" i="16"/>
  <c r="G11" i="16"/>
  <c r="F11" i="16"/>
  <c r="G10" i="16"/>
  <c r="F10" i="16"/>
  <c r="G9" i="16"/>
  <c r="F9" i="16"/>
  <c r="G8" i="16"/>
  <c r="F8" i="16"/>
  <c r="G7" i="16"/>
  <c r="F7" i="16"/>
  <c r="G6" i="16"/>
  <c r="F6" i="16"/>
  <c r="G5" i="16"/>
  <c r="F5" i="16"/>
  <c r="G4" i="16"/>
  <c r="F4" i="16"/>
  <c r="G3" i="16"/>
  <c r="F3" i="16"/>
  <c r="G2" i="16"/>
  <c r="F2" i="16"/>
  <c r="C303" i="16"/>
  <c r="E293" i="16"/>
  <c r="D292" i="16"/>
  <c r="D289" i="16"/>
  <c r="H278" i="16"/>
  <c r="I278" i="16" s="1"/>
  <c r="H263" i="16"/>
  <c r="I263" i="16" s="1"/>
  <c r="H258" i="16"/>
  <c r="I258" i="16" s="1"/>
  <c r="H223" i="16"/>
  <c r="I223" i="16" s="1"/>
  <c r="D222" i="16"/>
  <c r="D221" i="16"/>
  <c r="E70" i="15"/>
  <c r="D70" i="15"/>
  <c r="C70" i="15"/>
  <c r="H5" i="16" l="1"/>
  <c r="I5" i="16" s="1"/>
  <c r="H9" i="16"/>
  <c r="I9" i="16" s="1"/>
  <c r="H13" i="16"/>
  <c r="I13" i="16" s="1"/>
  <c r="H73" i="16"/>
  <c r="I73" i="16" s="1"/>
  <c r="H137" i="16"/>
  <c r="I137" i="16" s="1"/>
  <c r="H201" i="16"/>
  <c r="I201" i="16" s="1"/>
  <c r="H256" i="16"/>
  <c r="I256" i="16" s="1"/>
  <c r="H198" i="16"/>
  <c r="I198" i="16" s="1"/>
  <c r="H202" i="16"/>
  <c r="I202" i="16" s="1"/>
  <c r="H206" i="16"/>
  <c r="I206" i="16" s="1"/>
  <c r="H210" i="16"/>
  <c r="I210" i="16" s="1"/>
  <c r="H168" i="16"/>
  <c r="I168" i="16" s="1"/>
  <c r="H136" i="16"/>
  <c r="I136" i="16" s="1"/>
  <c r="H144" i="16"/>
  <c r="I144" i="16" s="1"/>
  <c r="H160" i="16"/>
  <c r="I160" i="16" s="1"/>
  <c r="H18" i="16"/>
  <c r="I18" i="16" s="1"/>
  <c r="H176" i="16"/>
  <c r="I176" i="16" s="1"/>
  <c r="H152" i="16"/>
  <c r="I152" i="16" s="1"/>
  <c r="H224" i="16"/>
  <c r="I224" i="16" s="1"/>
  <c r="H240" i="16"/>
  <c r="I240" i="16" s="1"/>
  <c r="H272" i="16"/>
  <c r="I272" i="16" s="1"/>
  <c r="H288" i="16"/>
  <c r="I288" i="16" s="1"/>
  <c r="H300" i="16"/>
  <c r="I300" i="16" s="1"/>
  <c r="H214" i="16"/>
  <c r="I214" i="16" s="1"/>
  <c r="H218" i="16"/>
  <c r="I218" i="16" s="1"/>
  <c r="H226" i="16"/>
  <c r="I226" i="16" s="1"/>
  <c r="H230" i="16"/>
  <c r="I230" i="16" s="1"/>
  <c r="H234" i="16"/>
  <c r="I234" i="16" s="1"/>
  <c r="H238" i="16"/>
  <c r="I238" i="16" s="1"/>
  <c r="H242" i="16"/>
  <c r="I242" i="16" s="1"/>
  <c r="H246" i="16"/>
  <c r="I246" i="16" s="1"/>
  <c r="H250" i="16"/>
  <c r="I250" i="16" s="1"/>
  <c r="H254" i="16"/>
  <c r="I254" i="16" s="1"/>
  <c r="H262" i="16"/>
  <c r="I262" i="16" s="1"/>
  <c r="H266" i="16"/>
  <c r="I266" i="16" s="1"/>
  <c r="H270" i="16"/>
  <c r="I270" i="16" s="1"/>
  <c r="H274" i="16"/>
  <c r="I274" i="16" s="1"/>
  <c r="H282" i="16"/>
  <c r="I282" i="16" s="1"/>
  <c r="H286" i="16"/>
  <c r="I286" i="16" s="1"/>
  <c r="H290" i="16"/>
  <c r="I290" i="16" s="1"/>
  <c r="H294" i="16"/>
  <c r="I294" i="16" s="1"/>
  <c r="H298" i="16"/>
  <c r="I298" i="16" s="1"/>
  <c r="H302" i="16"/>
  <c r="I302" i="16" s="1"/>
  <c r="H17" i="16"/>
  <c r="I17" i="16" s="1"/>
  <c r="H21" i="16"/>
  <c r="I21" i="16" s="1"/>
  <c r="H25" i="16"/>
  <c r="I25" i="16" s="1"/>
  <c r="H33" i="16"/>
  <c r="I33" i="16" s="1"/>
  <c r="H41" i="16"/>
  <c r="I41" i="16" s="1"/>
  <c r="H49" i="16"/>
  <c r="I49" i="16" s="1"/>
  <c r="H57" i="16"/>
  <c r="I57" i="16" s="1"/>
  <c r="H65" i="16"/>
  <c r="I65" i="16" s="1"/>
  <c r="H81" i="16"/>
  <c r="I81" i="16" s="1"/>
  <c r="H89" i="16"/>
  <c r="I89" i="16" s="1"/>
  <c r="H97" i="16"/>
  <c r="I97" i="16" s="1"/>
  <c r="H105" i="16"/>
  <c r="I105" i="16" s="1"/>
  <c r="H113" i="16"/>
  <c r="I113" i="16" s="1"/>
  <c r="H121" i="16"/>
  <c r="I121" i="16" s="1"/>
  <c r="H129" i="16"/>
  <c r="I129" i="16" s="1"/>
  <c r="H301" i="16"/>
  <c r="I301" i="16" s="1"/>
  <c r="H291" i="13"/>
  <c r="H78" i="16"/>
  <c r="I78" i="16" s="1"/>
  <c r="H110" i="16"/>
  <c r="I110" i="16" s="1"/>
  <c r="H138" i="16"/>
  <c r="I138" i="16" s="1"/>
  <c r="H170" i="16"/>
  <c r="I170" i="16" s="1"/>
  <c r="H228" i="13"/>
  <c r="I228" i="13" s="1"/>
  <c r="H236" i="13"/>
  <c r="I236" i="13" s="1"/>
  <c r="H244" i="13"/>
  <c r="I244" i="13" s="1"/>
  <c r="H252" i="13"/>
  <c r="I252" i="13" s="1"/>
  <c r="H260" i="13"/>
  <c r="I260" i="13" s="1"/>
  <c r="H268" i="13"/>
  <c r="I268" i="13" s="1"/>
  <c r="H276" i="13"/>
  <c r="H284" i="13"/>
  <c r="I284" i="13" s="1"/>
  <c r="H292" i="13"/>
  <c r="I292" i="13" s="1"/>
  <c r="H300" i="13"/>
  <c r="I300" i="13" s="1"/>
  <c r="H308" i="13"/>
  <c r="I308" i="13" s="1"/>
  <c r="H316" i="13"/>
  <c r="H80" i="16"/>
  <c r="I80" i="16" s="1"/>
  <c r="H88" i="16"/>
  <c r="I88" i="16" s="1"/>
  <c r="H96" i="16"/>
  <c r="I96" i="16" s="1"/>
  <c r="H104" i="16"/>
  <c r="I104" i="16" s="1"/>
  <c r="H112" i="16"/>
  <c r="I112" i="16" s="1"/>
  <c r="H120" i="16"/>
  <c r="I120" i="16" s="1"/>
  <c r="H128" i="16"/>
  <c r="I128" i="16" s="1"/>
  <c r="H200" i="16"/>
  <c r="I200" i="16" s="1"/>
  <c r="H208" i="16"/>
  <c r="I208" i="16" s="1"/>
  <c r="H280" i="16"/>
  <c r="I280" i="16" s="1"/>
  <c r="H145" i="16"/>
  <c r="I145" i="16" s="1"/>
  <c r="H153" i="16"/>
  <c r="I153" i="16" s="1"/>
  <c r="H161" i="16"/>
  <c r="I161" i="16" s="1"/>
  <c r="H169" i="16"/>
  <c r="I169" i="16" s="1"/>
  <c r="H177" i="16"/>
  <c r="I177" i="16" s="1"/>
  <c r="H185" i="16"/>
  <c r="I185" i="16" s="1"/>
  <c r="H193" i="16"/>
  <c r="I193" i="16" s="1"/>
  <c r="H209" i="16"/>
  <c r="I209" i="16" s="1"/>
  <c r="H217" i="16"/>
  <c r="I217" i="16" s="1"/>
  <c r="H324" i="13"/>
  <c r="I324" i="13" s="1"/>
  <c r="H6" i="16"/>
  <c r="I6" i="16" s="1"/>
  <c r="H10" i="16"/>
  <c r="I10" i="16" s="1"/>
  <c r="H14" i="16"/>
  <c r="I14" i="16" s="1"/>
  <c r="H22" i="16"/>
  <c r="I22" i="16" s="1"/>
  <c r="H26" i="16"/>
  <c r="I26" i="16" s="1"/>
  <c r="H30" i="16"/>
  <c r="I30" i="16" s="1"/>
  <c r="H34" i="16"/>
  <c r="I34" i="16" s="1"/>
  <c r="H38" i="16"/>
  <c r="I38" i="16" s="1"/>
  <c r="H42" i="16"/>
  <c r="I42" i="16" s="1"/>
  <c r="H46" i="16"/>
  <c r="I46" i="16" s="1"/>
  <c r="H54" i="16"/>
  <c r="I54" i="16" s="1"/>
  <c r="H58" i="16"/>
  <c r="I58" i="16" s="1"/>
  <c r="H62" i="16"/>
  <c r="I62" i="16" s="1"/>
  <c r="H66" i="16"/>
  <c r="I66" i="16" s="1"/>
  <c r="H70" i="16"/>
  <c r="I70" i="16" s="1"/>
  <c r="H74" i="16"/>
  <c r="I74" i="16" s="1"/>
  <c r="H82" i="16"/>
  <c r="I82" i="16" s="1"/>
  <c r="H86" i="16"/>
  <c r="I86" i="16" s="1"/>
  <c r="H90" i="16"/>
  <c r="I90" i="16" s="1"/>
  <c r="H94" i="16"/>
  <c r="I94" i="16" s="1"/>
  <c r="H98" i="16"/>
  <c r="I98" i="16" s="1"/>
  <c r="H102" i="16"/>
  <c r="I102" i="16" s="1"/>
  <c r="H106" i="16"/>
  <c r="I106" i="16" s="1"/>
  <c r="H114" i="16"/>
  <c r="I114" i="16" s="1"/>
  <c r="H118" i="16"/>
  <c r="I118" i="16" s="1"/>
  <c r="H122" i="16"/>
  <c r="I122" i="16" s="1"/>
  <c r="H126" i="16"/>
  <c r="I126" i="16" s="1"/>
  <c r="H130" i="16"/>
  <c r="I130" i="16" s="1"/>
  <c r="H134" i="16"/>
  <c r="I134" i="16" s="1"/>
  <c r="H142" i="16"/>
  <c r="I142" i="16" s="1"/>
  <c r="H146" i="16"/>
  <c r="I146" i="16" s="1"/>
  <c r="H150" i="16"/>
  <c r="I150" i="16" s="1"/>
  <c r="H154" i="16"/>
  <c r="I154" i="16" s="1"/>
  <c r="H158" i="16"/>
  <c r="I158" i="16" s="1"/>
  <c r="H162" i="16"/>
  <c r="I162" i="16" s="1"/>
  <c r="H166" i="16"/>
  <c r="I166" i="16" s="1"/>
  <c r="H174" i="16"/>
  <c r="I174" i="16" s="1"/>
  <c r="H178" i="16"/>
  <c r="I178" i="16" s="1"/>
  <c r="H182" i="16"/>
  <c r="I182" i="16" s="1"/>
  <c r="H186" i="16"/>
  <c r="I186" i="16" s="1"/>
  <c r="H190" i="16"/>
  <c r="I190" i="16" s="1"/>
  <c r="H194" i="16"/>
  <c r="I194" i="16" s="1"/>
  <c r="H7" i="16"/>
  <c r="I7" i="16" s="1"/>
  <c r="H15" i="16"/>
  <c r="I15" i="16" s="1"/>
  <c r="H19" i="16"/>
  <c r="I19" i="16" s="1"/>
  <c r="H23" i="16"/>
  <c r="I23" i="16" s="1"/>
  <c r="H27" i="16"/>
  <c r="I27" i="16" s="1"/>
  <c r="H31" i="16"/>
  <c r="I31" i="16" s="1"/>
  <c r="H3" i="16"/>
  <c r="I3" i="16" s="1"/>
  <c r="H11" i="16"/>
  <c r="I11" i="16" s="1"/>
  <c r="H184" i="16"/>
  <c r="I184" i="16" s="1"/>
  <c r="H192" i="16"/>
  <c r="I192" i="16" s="1"/>
  <c r="H216" i="16"/>
  <c r="I216" i="16" s="1"/>
  <c r="H232" i="16"/>
  <c r="I232" i="16" s="1"/>
  <c r="H248" i="16"/>
  <c r="I248" i="16" s="1"/>
  <c r="H264" i="16"/>
  <c r="I264" i="16" s="1"/>
  <c r="H294" i="13"/>
  <c r="I294" i="13" s="1"/>
  <c r="H298" i="13"/>
  <c r="I298" i="13" s="1"/>
  <c r="H302" i="13"/>
  <c r="I302" i="13" s="1"/>
  <c r="H306" i="13"/>
  <c r="I306" i="13" s="1"/>
  <c r="H310" i="13"/>
  <c r="I310" i="13" s="1"/>
  <c r="H314" i="13"/>
  <c r="I314" i="13" s="1"/>
  <c r="H318" i="13"/>
  <c r="H322" i="13"/>
  <c r="I322" i="13" s="1"/>
  <c r="H326" i="13"/>
  <c r="I326" i="13" s="1"/>
  <c r="H330" i="13"/>
  <c r="I330" i="13" s="1"/>
  <c r="H222" i="16"/>
  <c r="I222" i="16" s="1"/>
  <c r="H283" i="13"/>
  <c r="I283" i="13" s="1"/>
  <c r="H287" i="13"/>
  <c r="I287" i="13" s="1"/>
  <c r="H295" i="13"/>
  <c r="I295" i="13" s="1"/>
  <c r="H299" i="13"/>
  <c r="I299" i="13" s="1"/>
  <c r="H303" i="13"/>
  <c r="I303" i="13" s="1"/>
  <c r="H307" i="13"/>
  <c r="I307" i="13" s="1"/>
  <c r="H311" i="13"/>
  <c r="I311" i="13" s="1"/>
  <c r="H315" i="13"/>
  <c r="I315" i="13" s="1"/>
  <c r="H319" i="13"/>
  <c r="I319" i="13" s="1"/>
  <c r="H323" i="13"/>
  <c r="I323" i="13" s="1"/>
  <c r="H327" i="13"/>
  <c r="I327" i="13" s="1"/>
  <c r="H8" i="16"/>
  <c r="I8" i="16" s="1"/>
  <c r="H16" i="16"/>
  <c r="I16" i="16" s="1"/>
  <c r="H24" i="16"/>
  <c r="I24" i="16" s="1"/>
  <c r="H32" i="16"/>
  <c r="I32" i="16" s="1"/>
  <c r="H40" i="16"/>
  <c r="I40" i="16" s="1"/>
  <c r="H48" i="16"/>
  <c r="I48" i="16" s="1"/>
  <c r="H56" i="16"/>
  <c r="I56" i="16" s="1"/>
  <c r="H64" i="16"/>
  <c r="I64" i="16" s="1"/>
  <c r="H72" i="16"/>
  <c r="I72" i="16" s="1"/>
  <c r="F303" i="16"/>
  <c r="H320" i="13"/>
  <c r="I320" i="13" s="1"/>
  <c r="H328" i="13"/>
  <c r="I328" i="13" s="1"/>
  <c r="H61" i="16"/>
  <c r="I61" i="16" s="1"/>
  <c r="H69" i="16"/>
  <c r="I69" i="16" s="1"/>
  <c r="H77" i="16"/>
  <c r="I77" i="16" s="1"/>
  <c r="H85" i="16"/>
  <c r="I85" i="16" s="1"/>
  <c r="H93" i="16"/>
  <c r="I93" i="16" s="1"/>
  <c r="H165" i="16"/>
  <c r="I165" i="16" s="1"/>
  <c r="H173" i="16"/>
  <c r="I173" i="16" s="1"/>
  <c r="H181" i="16"/>
  <c r="I181" i="16" s="1"/>
  <c r="H189" i="16"/>
  <c r="I189" i="16" s="1"/>
  <c r="H197" i="16"/>
  <c r="I197" i="16" s="1"/>
  <c r="H205" i="16"/>
  <c r="I205" i="16" s="1"/>
  <c r="H213" i="16"/>
  <c r="I213" i="16" s="1"/>
  <c r="H241" i="16"/>
  <c r="I241" i="16" s="1"/>
  <c r="H245" i="16"/>
  <c r="I245" i="16" s="1"/>
  <c r="H249" i="16"/>
  <c r="I249" i="16" s="1"/>
  <c r="H253" i="16"/>
  <c r="I253" i="16" s="1"/>
  <c r="H257" i="16"/>
  <c r="I257" i="16" s="1"/>
  <c r="H261" i="16"/>
  <c r="I261" i="16" s="1"/>
  <c r="H293" i="16"/>
  <c r="I293" i="16" s="1"/>
  <c r="H35" i="16"/>
  <c r="I35" i="16" s="1"/>
  <c r="H39" i="16"/>
  <c r="I39" i="16" s="1"/>
  <c r="H43" i="16"/>
  <c r="I43" i="16" s="1"/>
  <c r="H47" i="16"/>
  <c r="I47" i="16" s="1"/>
  <c r="H51" i="16"/>
  <c r="I51" i="16" s="1"/>
  <c r="H55" i="16"/>
  <c r="I55" i="16" s="1"/>
  <c r="H59" i="16"/>
  <c r="I59" i="16" s="1"/>
  <c r="H63" i="16"/>
  <c r="I63" i="16" s="1"/>
  <c r="H67" i="16"/>
  <c r="I67" i="16" s="1"/>
  <c r="H71" i="16"/>
  <c r="I71" i="16" s="1"/>
  <c r="H75" i="16"/>
  <c r="I75" i="16" s="1"/>
  <c r="H79" i="16"/>
  <c r="I79" i="16" s="1"/>
  <c r="H83" i="16"/>
  <c r="I83" i="16" s="1"/>
  <c r="H84" i="13"/>
  <c r="I84" i="13" s="1"/>
  <c r="H92" i="13"/>
  <c r="I92" i="13" s="1"/>
  <c r="H96" i="13"/>
  <c r="I96" i="13" s="1"/>
  <c r="H100" i="13"/>
  <c r="I100" i="13" s="1"/>
  <c r="H104" i="13"/>
  <c r="H108" i="13"/>
  <c r="I108" i="13" s="1"/>
  <c r="H112" i="13"/>
  <c r="I112" i="13" s="1"/>
  <c r="H116" i="13"/>
  <c r="I116" i="13" s="1"/>
  <c r="H120" i="13"/>
  <c r="I120" i="13" s="1"/>
  <c r="H124" i="13"/>
  <c r="I124" i="13" s="1"/>
  <c r="H128" i="13"/>
  <c r="I128" i="13" s="1"/>
  <c r="H132" i="13"/>
  <c r="I132" i="13" s="1"/>
  <c r="H136" i="13"/>
  <c r="H140" i="13"/>
  <c r="I140" i="13" s="1"/>
  <c r="H144" i="13"/>
  <c r="I144" i="13" s="1"/>
  <c r="H148" i="13"/>
  <c r="I148" i="13" s="1"/>
  <c r="H152" i="13"/>
  <c r="I152" i="13" s="1"/>
  <c r="H156" i="13"/>
  <c r="I156" i="13" s="1"/>
  <c r="H160" i="13"/>
  <c r="I160" i="13" s="1"/>
  <c r="H164" i="13"/>
  <c r="I164" i="13" s="1"/>
  <c r="H172" i="13"/>
  <c r="H176" i="13"/>
  <c r="I176" i="13" s="1"/>
  <c r="H180" i="13"/>
  <c r="I180" i="13" s="1"/>
  <c r="H184" i="13"/>
  <c r="I184" i="13" s="1"/>
  <c r="H188" i="13"/>
  <c r="I188" i="13" s="1"/>
  <c r="H192" i="13"/>
  <c r="I192" i="13" s="1"/>
  <c r="H196" i="13"/>
  <c r="I196" i="13" s="1"/>
  <c r="H200" i="13"/>
  <c r="I200" i="13" s="1"/>
  <c r="H204" i="13"/>
  <c r="H208" i="13"/>
  <c r="I208" i="13" s="1"/>
  <c r="H212" i="13"/>
  <c r="I212" i="13" s="1"/>
  <c r="H217" i="13"/>
  <c r="I217" i="13" s="1"/>
  <c r="H223" i="13"/>
  <c r="I223" i="13" s="1"/>
  <c r="H227" i="13"/>
  <c r="H231" i="13"/>
  <c r="I231" i="13" s="1"/>
  <c r="H235" i="13"/>
  <c r="I235" i="13" s="1"/>
  <c r="H239" i="13"/>
  <c r="I239" i="13" s="1"/>
  <c r="H243" i="13"/>
  <c r="I243" i="13" s="1"/>
  <c r="H247" i="13"/>
  <c r="I247" i="13" s="1"/>
  <c r="H251" i="13"/>
  <c r="I251" i="13" s="1"/>
  <c r="H255" i="13"/>
  <c r="I255" i="13" s="1"/>
  <c r="H259" i="13"/>
  <c r="I259" i="13" s="1"/>
  <c r="H263" i="13"/>
  <c r="I263" i="13" s="1"/>
  <c r="H267" i="13"/>
  <c r="I267" i="13" s="1"/>
  <c r="H271" i="13"/>
  <c r="H275" i="13"/>
  <c r="I275" i="13" s="1"/>
  <c r="H279" i="13"/>
  <c r="I279" i="13" s="1"/>
  <c r="H29" i="16"/>
  <c r="I29" i="16" s="1"/>
  <c r="H37" i="16"/>
  <c r="I37" i="16" s="1"/>
  <c r="H45" i="16"/>
  <c r="I45" i="16" s="1"/>
  <c r="H53" i="16"/>
  <c r="I53" i="16" s="1"/>
  <c r="H292" i="16"/>
  <c r="I292" i="16" s="1"/>
  <c r="H87" i="16"/>
  <c r="I87" i="16" s="1"/>
  <c r="H4" i="16"/>
  <c r="I4" i="16" s="1"/>
  <c r="H12" i="16"/>
  <c r="I12" i="16" s="1"/>
  <c r="H20" i="16"/>
  <c r="I20" i="16" s="1"/>
  <c r="H28" i="16"/>
  <c r="I28" i="16" s="1"/>
  <c r="H36" i="16"/>
  <c r="I36" i="16" s="1"/>
  <c r="H44" i="16"/>
  <c r="I44" i="16" s="1"/>
  <c r="H52" i="16"/>
  <c r="I52" i="16" s="1"/>
  <c r="H60" i="16"/>
  <c r="I60" i="16" s="1"/>
  <c r="H68" i="16"/>
  <c r="I68" i="16" s="1"/>
  <c r="H76" i="16"/>
  <c r="I76" i="16" s="1"/>
  <c r="H84" i="16"/>
  <c r="I84" i="16" s="1"/>
  <c r="H92" i="16"/>
  <c r="I92" i="16" s="1"/>
  <c r="H100" i="16"/>
  <c r="I100" i="16" s="1"/>
  <c r="H108" i="16"/>
  <c r="I108" i="16" s="1"/>
  <c r="H116" i="16"/>
  <c r="I116" i="16" s="1"/>
  <c r="H124" i="16"/>
  <c r="I124" i="16" s="1"/>
  <c r="H132" i="16"/>
  <c r="I132" i="16" s="1"/>
  <c r="H140" i="16"/>
  <c r="I140" i="16" s="1"/>
  <c r="H148" i="16"/>
  <c r="I148" i="16" s="1"/>
  <c r="H101" i="16"/>
  <c r="I101" i="16" s="1"/>
  <c r="H109" i="16"/>
  <c r="I109" i="16" s="1"/>
  <c r="H117" i="16"/>
  <c r="I117" i="16" s="1"/>
  <c r="H125" i="16"/>
  <c r="I125" i="16" s="1"/>
  <c r="H133" i="16"/>
  <c r="I133" i="16" s="1"/>
  <c r="H141" i="16"/>
  <c r="I141" i="16" s="1"/>
  <c r="H149" i="16"/>
  <c r="I149" i="16" s="1"/>
  <c r="H157" i="16"/>
  <c r="I157" i="16" s="1"/>
  <c r="H221" i="16"/>
  <c r="I221" i="16" s="1"/>
  <c r="H225" i="16"/>
  <c r="I225" i="16" s="1"/>
  <c r="H229" i="16"/>
  <c r="I229" i="16" s="1"/>
  <c r="H233" i="16"/>
  <c r="I233" i="16" s="1"/>
  <c r="H237" i="16"/>
  <c r="I237" i="16" s="1"/>
  <c r="H265" i="16"/>
  <c r="I265" i="16" s="1"/>
  <c r="H269" i="16"/>
  <c r="I269" i="16" s="1"/>
  <c r="H273" i="16"/>
  <c r="I273" i="16" s="1"/>
  <c r="H277" i="16"/>
  <c r="I277" i="16" s="1"/>
  <c r="H281" i="16"/>
  <c r="I281" i="16" s="1"/>
  <c r="H285" i="16"/>
  <c r="I285" i="16" s="1"/>
  <c r="H289" i="16"/>
  <c r="I289" i="16" s="1"/>
  <c r="H297" i="16"/>
  <c r="I297" i="16" s="1"/>
  <c r="H165" i="13"/>
  <c r="I165" i="13" s="1"/>
  <c r="H169" i="13"/>
  <c r="I169" i="13" s="1"/>
  <c r="H173" i="13"/>
  <c r="I173" i="13" s="1"/>
  <c r="H177" i="13"/>
  <c r="I177" i="13" s="1"/>
  <c r="H181" i="13"/>
  <c r="I181" i="13" s="1"/>
  <c r="H185" i="13"/>
  <c r="H189" i="13"/>
  <c r="I189" i="13" s="1"/>
  <c r="H193" i="13"/>
  <c r="H197" i="13"/>
  <c r="I197" i="13" s="1"/>
  <c r="H201" i="13"/>
  <c r="I201" i="13" s="1"/>
  <c r="H205" i="13"/>
  <c r="I205" i="13" s="1"/>
  <c r="H209" i="13"/>
  <c r="I209" i="13" s="1"/>
  <c r="H213" i="13"/>
  <c r="I213" i="13" s="1"/>
  <c r="H218" i="13"/>
  <c r="I218" i="13" s="1"/>
  <c r="H224" i="13"/>
  <c r="I224" i="13" s="1"/>
  <c r="H232" i="13"/>
  <c r="H240" i="13"/>
  <c r="I240" i="13" s="1"/>
  <c r="H248" i="13"/>
  <c r="I248" i="13" s="1"/>
  <c r="H256" i="13"/>
  <c r="I256" i="13" s="1"/>
  <c r="H264" i="13"/>
  <c r="I264" i="13" s="1"/>
  <c r="H272" i="13"/>
  <c r="I272" i="13" s="1"/>
  <c r="H280" i="13"/>
  <c r="I280" i="13" s="1"/>
  <c r="H288" i="13"/>
  <c r="I288" i="13" s="1"/>
  <c r="H296" i="13"/>
  <c r="H304" i="13"/>
  <c r="I304" i="13" s="1"/>
  <c r="H312" i="13"/>
  <c r="I312" i="13" s="1"/>
  <c r="H91" i="16"/>
  <c r="I91" i="16" s="1"/>
  <c r="H95" i="16"/>
  <c r="I95" i="16" s="1"/>
  <c r="H99" i="16"/>
  <c r="I99" i="16" s="1"/>
  <c r="H103" i="16"/>
  <c r="I103" i="16" s="1"/>
  <c r="H107" i="16"/>
  <c r="I107" i="16" s="1"/>
  <c r="H111" i="16"/>
  <c r="I111" i="16" s="1"/>
  <c r="H115" i="16"/>
  <c r="I115" i="16" s="1"/>
  <c r="H119" i="16"/>
  <c r="I119" i="16" s="1"/>
  <c r="H123" i="16"/>
  <c r="I123" i="16" s="1"/>
  <c r="H127" i="16"/>
  <c r="I127" i="16" s="1"/>
  <c r="H131" i="16"/>
  <c r="I131" i="16" s="1"/>
  <c r="H135" i="16"/>
  <c r="I135" i="16" s="1"/>
  <c r="H139" i="16"/>
  <c r="I139" i="16" s="1"/>
  <c r="H143" i="16"/>
  <c r="I143" i="16" s="1"/>
  <c r="H147" i="16"/>
  <c r="I147" i="16" s="1"/>
  <c r="H151" i="16"/>
  <c r="I151" i="16" s="1"/>
  <c r="H155" i="16"/>
  <c r="I155" i="16" s="1"/>
  <c r="H159" i="16"/>
  <c r="I159" i="16" s="1"/>
  <c r="H163" i="16"/>
  <c r="I163" i="16" s="1"/>
  <c r="H167" i="16"/>
  <c r="I167" i="16" s="1"/>
  <c r="H171" i="16"/>
  <c r="I171" i="16" s="1"/>
  <c r="H175" i="16"/>
  <c r="I175" i="16" s="1"/>
  <c r="H179" i="16"/>
  <c r="I179" i="16" s="1"/>
  <c r="H183" i="16"/>
  <c r="I183" i="16" s="1"/>
  <c r="H187" i="16"/>
  <c r="I187" i="16" s="1"/>
  <c r="H191" i="16"/>
  <c r="I191" i="16" s="1"/>
  <c r="H195" i="16"/>
  <c r="I195" i="16" s="1"/>
  <c r="H199" i="16"/>
  <c r="I199" i="16" s="1"/>
  <c r="H203" i="16"/>
  <c r="I203" i="16" s="1"/>
  <c r="H207" i="16"/>
  <c r="I207" i="16" s="1"/>
  <c r="H211" i="16"/>
  <c r="I211" i="16" s="1"/>
  <c r="H215" i="16"/>
  <c r="I215" i="16" s="1"/>
  <c r="H219" i="16"/>
  <c r="I219" i="16" s="1"/>
  <c r="H227" i="16"/>
  <c r="I227" i="16" s="1"/>
  <c r="H235" i="16"/>
  <c r="I235" i="16" s="1"/>
  <c r="H243" i="16"/>
  <c r="I243" i="16" s="1"/>
  <c r="H251" i="16"/>
  <c r="I251" i="16" s="1"/>
  <c r="H259" i="16"/>
  <c r="I259" i="16" s="1"/>
  <c r="H267" i="16"/>
  <c r="I267" i="16" s="1"/>
  <c r="H275" i="16"/>
  <c r="I275" i="16" s="1"/>
  <c r="H283" i="16"/>
  <c r="I283" i="16" s="1"/>
  <c r="H291" i="16"/>
  <c r="I291" i="16" s="1"/>
  <c r="H295" i="16"/>
  <c r="I295" i="16" s="1"/>
  <c r="H299" i="16"/>
  <c r="I299" i="16" s="1"/>
  <c r="H167" i="13"/>
  <c r="I167" i="13" s="1"/>
  <c r="H171" i="13"/>
  <c r="H175" i="13"/>
  <c r="I175" i="13" s="1"/>
  <c r="H179" i="13"/>
  <c r="I179" i="13" s="1"/>
  <c r="H183" i="13"/>
  <c r="I183" i="13" s="1"/>
  <c r="H187" i="13"/>
  <c r="I187" i="13" s="1"/>
  <c r="H191" i="13"/>
  <c r="I191" i="13" s="1"/>
  <c r="H195" i="13"/>
  <c r="I195" i="13" s="1"/>
  <c r="H199" i="13"/>
  <c r="I199" i="13" s="1"/>
  <c r="H203" i="13"/>
  <c r="H207" i="13"/>
  <c r="I207" i="13" s="1"/>
  <c r="H211" i="13"/>
  <c r="I211" i="13" s="1"/>
  <c r="H216" i="13"/>
  <c r="I216" i="13" s="1"/>
  <c r="H226" i="13"/>
  <c r="I226" i="13" s="1"/>
  <c r="H230" i="13"/>
  <c r="I230" i="13" s="1"/>
  <c r="H234" i="13"/>
  <c r="I234" i="13" s="1"/>
  <c r="H238" i="13"/>
  <c r="I238" i="13" s="1"/>
  <c r="H242" i="13"/>
  <c r="H246" i="13"/>
  <c r="I246" i="13" s="1"/>
  <c r="H250" i="13"/>
  <c r="I250" i="13" s="1"/>
  <c r="H254" i="13"/>
  <c r="I254" i="13" s="1"/>
  <c r="H258" i="13"/>
  <c r="I258" i="13" s="1"/>
  <c r="H262" i="13"/>
  <c r="I262" i="13" s="1"/>
  <c r="H266" i="13"/>
  <c r="I266" i="13" s="1"/>
  <c r="H270" i="13"/>
  <c r="I270" i="13" s="1"/>
  <c r="H274" i="13"/>
  <c r="H278" i="13"/>
  <c r="I278" i="13" s="1"/>
  <c r="H282" i="13"/>
  <c r="I282" i="13" s="1"/>
  <c r="H286" i="13"/>
  <c r="I286" i="13" s="1"/>
  <c r="H290" i="13"/>
  <c r="I290" i="13" s="1"/>
  <c r="H156" i="16"/>
  <c r="I156" i="16" s="1"/>
  <c r="H164" i="16"/>
  <c r="I164" i="16" s="1"/>
  <c r="H172" i="16"/>
  <c r="I172" i="16" s="1"/>
  <c r="H180" i="16"/>
  <c r="I180" i="16" s="1"/>
  <c r="H188" i="16"/>
  <c r="I188" i="16" s="1"/>
  <c r="H196" i="16"/>
  <c r="I196" i="16" s="1"/>
  <c r="H204" i="16"/>
  <c r="I204" i="16" s="1"/>
  <c r="H212" i="16"/>
  <c r="I212" i="16" s="1"/>
  <c r="H220" i="16"/>
  <c r="I220" i="16" s="1"/>
  <c r="H228" i="16"/>
  <c r="I228" i="16" s="1"/>
  <c r="H236" i="16"/>
  <c r="I236" i="16" s="1"/>
  <c r="H244" i="16"/>
  <c r="I244" i="16" s="1"/>
  <c r="H252" i="16"/>
  <c r="I252" i="16" s="1"/>
  <c r="H260" i="16"/>
  <c r="I260" i="16" s="1"/>
  <c r="H268" i="16"/>
  <c r="I268" i="16" s="1"/>
  <c r="H276" i="16"/>
  <c r="I276" i="16" s="1"/>
  <c r="H284" i="16"/>
  <c r="I284" i="16" s="1"/>
  <c r="H296" i="16"/>
  <c r="I296" i="16" s="1"/>
  <c r="G303" i="16"/>
  <c r="E303" i="16"/>
  <c r="D303" i="16"/>
  <c r="F70" i="15"/>
  <c r="G70" i="15" s="1"/>
  <c r="H73" i="13"/>
  <c r="I73" i="13" s="1"/>
  <c r="H65" i="13"/>
  <c r="I65" i="13" s="1"/>
  <c r="H30" i="13"/>
  <c r="I30" i="13" s="1"/>
  <c r="H50" i="13"/>
  <c r="I50" i="13" s="1"/>
  <c r="H52" i="13"/>
  <c r="I52" i="13" s="1"/>
  <c r="H57" i="13"/>
  <c r="I57" i="13" s="1"/>
  <c r="H69" i="13"/>
  <c r="I69" i="13" s="1"/>
  <c r="H76" i="13"/>
  <c r="I76" i="13" s="1"/>
  <c r="H14" i="13"/>
  <c r="I14" i="13" s="1"/>
  <c r="H22" i="13"/>
  <c r="I22" i="13" s="1"/>
  <c r="H26" i="13"/>
  <c r="I26" i="13" s="1"/>
  <c r="H36" i="13"/>
  <c r="I36" i="13" s="1"/>
  <c r="H40" i="13"/>
  <c r="I40" i="13" s="1"/>
  <c r="H42" i="13"/>
  <c r="I42" i="13" s="1"/>
  <c r="H44" i="13"/>
  <c r="I44" i="13" s="1"/>
  <c r="H48" i="13"/>
  <c r="I48" i="13" s="1"/>
  <c r="H6" i="13"/>
  <c r="I6" i="13" s="1"/>
  <c r="H10" i="13"/>
  <c r="I10" i="13" s="1"/>
  <c r="H18" i="13"/>
  <c r="I18" i="13" s="1"/>
  <c r="H61" i="13"/>
  <c r="I61" i="13" s="1"/>
  <c r="I242" i="13"/>
  <c r="I221" i="13"/>
  <c r="I249" i="13"/>
  <c r="I86" i="13"/>
  <c r="H4" i="13"/>
  <c r="I4" i="13" s="1"/>
  <c r="H8" i="13"/>
  <c r="I8" i="13" s="1"/>
  <c r="H12" i="13"/>
  <c r="I12" i="13" s="1"/>
  <c r="H16" i="13"/>
  <c r="I16" i="13" s="1"/>
  <c r="H20" i="13"/>
  <c r="I20" i="13" s="1"/>
  <c r="H24" i="13"/>
  <c r="I24" i="13" s="1"/>
  <c r="H28" i="13"/>
  <c r="I28" i="13" s="1"/>
  <c r="H32" i="13"/>
  <c r="I32" i="13" s="1"/>
  <c r="H34" i="13"/>
  <c r="I34" i="13" s="1"/>
  <c r="H38" i="13"/>
  <c r="I38" i="13" s="1"/>
  <c r="H46" i="13"/>
  <c r="I46" i="13" s="1"/>
  <c r="H54" i="13"/>
  <c r="I54" i="13" s="1"/>
  <c r="I241" i="13"/>
  <c r="I245" i="13"/>
  <c r="I82" i="13"/>
  <c r="I296" i="13"/>
  <c r="F331" i="13"/>
  <c r="H5" i="13"/>
  <c r="I5" i="13" s="1"/>
  <c r="H7" i="13"/>
  <c r="I7" i="13" s="1"/>
  <c r="H9" i="13"/>
  <c r="I9" i="13" s="1"/>
  <c r="H11" i="13"/>
  <c r="I11" i="13" s="1"/>
  <c r="H13" i="13"/>
  <c r="I13" i="13" s="1"/>
  <c r="H15" i="13"/>
  <c r="I15" i="13" s="1"/>
  <c r="H59" i="13"/>
  <c r="I59" i="13" s="1"/>
  <c r="H63" i="13"/>
  <c r="I63" i="13" s="1"/>
  <c r="H67" i="13"/>
  <c r="I67" i="13" s="1"/>
  <c r="H71" i="13"/>
  <c r="I71" i="13" s="1"/>
  <c r="H80" i="13"/>
  <c r="I80" i="13" s="1"/>
  <c r="H88" i="13"/>
  <c r="I88" i="13" s="1"/>
  <c r="I166" i="13"/>
  <c r="I168" i="13"/>
  <c r="I170" i="13"/>
  <c r="I172" i="13"/>
  <c r="I174" i="13"/>
  <c r="I178" i="13"/>
  <c r="I182" i="13"/>
  <c r="I186" i="13"/>
  <c r="I190" i="13"/>
  <c r="I194" i="13"/>
  <c r="I198" i="13"/>
  <c r="I202" i="13"/>
  <c r="I204" i="13"/>
  <c r="I206" i="13"/>
  <c r="I210" i="13"/>
  <c r="I215" i="13"/>
  <c r="I225" i="13"/>
  <c r="I227" i="13"/>
  <c r="I229" i="13"/>
  <c r="I233" i="13"/>
  <c r="I237" i="13"/>
  <c r="I274" i="13"/>
  <c r="I276" i="13"/>
  <c r="I309" i="13"/>
  <c r="I313" i="13"/>
  <c r="I317" i="13"/>
  <c r="I321" i="13"/>
  <c r="I325" i="13"/>
  <c r="I329" i="13"/>
  <c r="H17" i="13"/>
  <c r="I17" i="13" s="1"/>
  <c r="H19" i="13"/>
  <c r="I19" i="13" s="1"/>
  <c r="H21" i="13"/>
  <c r="I21" i="13" s="1"/>
  <c r="H23" i="13"/>
  <c r="I23" i="13" s="1"/>
  <c r="H25" i="13"/>
  <c r="I25" i="13" s="1"/>
  <c r="H27" i="13"/>
  <c r="I27" i="13" s="1"/>
  <c r="H29" i="13"/>
  <c r="I29" i="13" s="1"/>
  <c r="H31" i="13"/>
  <c r="I31" i="13" s="1"/>
  <c r="H33" i="13"/>
  <c r="I33" i="13" s="1"/>
  <c r="H35" i="13"/>
  <c r="I35" i="13" s="1"/>
  <c r="H37" i="13"/>
  <c r="I37" i="13" s="1"/>
  <c r="H39" i="13"/>
  <c r="I39" i="13" s="1"/>
  <c r="H41" i="13"/>
  <c r="I41" i="13" s="1"/>
  <c r="H43" i="13"/>
  <c r="I43" i="13" s="1"/>
  <c r="H45" i="13"/>
  <c r="I45" i="13" s="1"/>
  <c r="H47" i="13"/>
  <c r="I47" i="13" s="1"/>
  <c r="H49" i="13"/>
  <c r="I49" i="13" s="1"/>
  <c r="H51" i="13"/>
  <c r="I51" i="13" s="1"/>
  <c r="H53" i="13"/>
  <c r="I53" i="13" s="1"/>
  <c r="H55" i="13"/>
  <c r="I55" i="13" s="1"/>
  <c r="H58" i="13"/>
  <c r="I58" i="13" s="1"/>
  <c r="H60" i="13"/>
  <c r="I60" i="13" s="1"/>
  <c r="H62" i="13"/>
  <c r="I62" i="13" s="1"/>
  <c r="H64" i="13"/>
  <c r="I64" i="13" s="1"/>
  <c r="H66" i="13"/>
  <c r="I66" i="13" s="1"/>
  <c r="H68" i="13"/>
  <c r="I68" i="13" s="1"/>
  <c r="H70" i="13"/>
  <c r="I70" i="13" s="1"/>
  <c r="H72" i="13"/>
  <c r="I72" i="13" s="1"/>
  <c r="I74" i="13"/>
  <c r="H77" i="13"/>
  <c r="I77" i="13" s="1"/>
  <c r="H79" i="13"/>
  <c r="I79" i="13" s="1"/>
  <c r="H81" i="13"/>
  <c r="I81" i="13" s="1"/>
  <c r="H83" i="13"/>
  <c r="I83" i="13" s="1"/>
  <c r="H85" i="13"/>
  <c r="I85" i="13" s="1"/>
  <c r="H87" i="13"/>
  <c r="I87" i="13" s="1"/>
  <c r="H89" i="13"/>
  <c r="I89" i="13" s="1"/>
  <c r="H91" i="13"/>
  <c r="I91" i="13" s="1"/>
  <c r="H93" i="13"/>
  <c r="I93" i="13" s="1"/>
  <c r="H95" i="13"/>
  <c r="I95" i="13" s="1"/>
  <c r="H97" i="13"/>
  <c r="I97" i="13" s="1"/>
  <c r="H99" i="13"/>
  <c r="I99" i="13" s="1"/>
  <c r="H101" i="13"/>
  <c r="I101" i="13" s="1"/>
  <c r="H103" i="13"/>
  <c r="I103" i="13" s="1"/>
  <c r="H105" i="13"/>
  <c r="I105" i="13" s="1"/>
  <c r="H107" i="13"/>
  <c r="I107" i="13" s="1"/>
  <c r="H109" i="13"/>
  <c r="I109" i="13" s="1"/>
  <c r="H111" i="13"/>
  <c r="I111" i="13" s="1"/>
  <c r="H113" i="13"/>
  <c r="I113" i="13" s="1"/>
  <c r="H115" i="13"/>
  <c r="I115" i="13" s="1"/>
  <c r="H117" i="13"/>
  <c r="I117" i="13" s="1"/>
  <c r="H119" i="13"/>
  <c r="I119" i="13" s="1"/>
  <c r="H121" i="13"/>
  <c r="I121" i="13" s="1"/>
  <c r="H123" i="13"/>
  <c r="I123" i="13" s="1"/>
  <c r="H125" i="13"/>
  <c r="I125" i="13" s="1"/>
  <c r="H127" i="13"/>
  <c r="I127" i="13" s="1"/>
  <c r="H129" i="13"/>
  <c r="I129" i="13" s="1"/>
  <c r="H131" i="13"/>
  <c r="I131" i="13" s="1"/>
  <c r="H133" i="13"/>
  <c r="I133" i="13" s="1"/>
  <c r="H135" i="13"/>
  <c r="I135" i="13" s="1"/>
  <c r="H137" i="13"/>
  <c r="I137" i="13" s="1"/>
  <c r="H139" i="13"/>
  <c r="I139" i="13" s="1"/>
  <c r="H141" i="13"/>
  <c r="I141" i="13" s="1"/>
  <c r="H143" i="13"/>
  <c r="I143" i="13" s="1"/>
  <c r="H145" i="13"/>
  <c r="I145" i="13" s="1"/>
  <c r="H147" i="13"/>
  <c r="I147" i="13" s="1"/>
  <c r="H149" i="13"/>
  <c r="I149" i="13" s="1"/>
  <c r="H151" i="13"/>
  <c r="I151" i="13" s="1"/>
  <c r="H153" i="13"/>
  <c r="I153" i="13" s="1"/>
  <c r="H155" i="13"/>
  <c r="I155" i="13" s="1"/>
  <c r="H157" i="13"/>
  <c r="I157" i="13" s="1"/>
  <c r="H159" i="13"/>
  <c r="I159" i="13" s="1"/>
  <c r="H161" i="13"/>
  <c r="I161" i="13" s="1"/>
  <c r="H163" i="13"/>
  <c r="I163" i="13" s="1"/>
  <c r="I75" i="13"/>
  <c r="I104" i="13"/>
  <c r="I136" i="13"/>
  <c r="I171" i="13"/>
  <c r="I185" i="13"/>
  <c r="I193" i="13"/>
  <c r="I203" i="13"/>
  <c r="I232" i="13"/>
  <c r="I261" i="13"/>
  <c r="I265" i="13"/>
  <c r="I269" i="13"/>
  <c r="I271" i="13"/>
  <c r="I273" i="13"/>
  <c r="I277" i="13"/>
  <c r="I281" i="13"/>
  <c r="I291" i="13"/>
  <c r="I316" i="13"/>
  <c r="I318" i="13"/>
  <c r="H3" i="13"/>
  <c r="I289" i="13"/>
  <c r="G331" i="13"/>
  <c r="H2" i="16"/>
  <c r="H331" i="13" l="1"/>
  <c r="I3" i="13"/>
  <c r="I331" i="13" s="1"/>
  <c r="H303" i="16"/>
  <c r="I2" i="16"/>
  <c r="I303" i="16" s="1"/>
  <c r="H14" i="9" l="1"/>
  <c r="H10" i="9"/>
  <c r="H27" i="12" l="1"/>
  <c r="H132" i="12"/>
  <c r="H141" i="12"/>
  <c r="H143" i="12"/>
  <c r="H153" i="12"/>
  <c r="H190" i="12"/>
  <c r="H471" i="12"/>
  <c r="H702" i="12"/>
  <c r="H762" i="12"/>
  <c r="H1026" i="12"/>
  <c r="H1027" i="12"/>
  <c r="H1028" i="12"/>
  <c r="H1029" i="12"/>
  <c r="H1030" i="12"/>
  <c r="H1031" i="12"/>
  <c r="H1032" i="12"/>
  <c r="H1035" i="12"/>
  <c r="H1036" i="12"/>
  <c r="H1041" i="12"/>
  <c r="H2590" i="12"/>
  <c r="H2591" i="12"/>
  <c r="H2593" i="12"/>
  <c r="H3958" i="12"/>
  <c r="F3957" i="12"/>
  <c r="H3957" i="12" s="1"/>
  <c r="H3956" i="12"/>
  <c r="H3955" i="12"/>
  <c r="H3954" i="12"/>
  <c r="H3953" i="12"/>
  <c r="H3952" i="12"/>
  <c r="H3951" i="12"/>
  <c r="H3950" i="12"/>
  <c r="H3949" i="12"/>
  <c r="H3948" i="12"/>
  <c r="H3947" i="12"/>
  <c r="H3946" i="12"/>
  <c r="H3945" i="12"/>
  <c r="H3944" i="12"/>
  <c r="H3943" i="12"/>
  <c r="H3942" i="12"/>
  <c r="H3941" i="12"/>
  <c r="H3940" i="12"/>
  <c r="H3939" i="12"/>
  <c r="H3938" i="12"/>
  <c r="H3937" i="12"/>
  <c r="H3936" i="12"/>
  <c r="H3935" i="12"/>
  <c r="H3934" i="12"/>
  <c r="H3933" i="12"/>
  <c r="H3932" i="12"/>
  <c r="H3931" i="12"/>
  <c r="H3930" i="12"/>
  <c r="H3929" i="12"/>
  <c r="H3928" i="12"/>
  <c r="H3927" i="12"/>
  <c r="H3926" i="12"/>
  <c r="H3925" i="12"/>
  <c r="H3924" i="12"/>
  <c r="H3923" i="12"/>
  <c r="H3922" i="12"/>
  <c r="H3921" i="12"/>
  <c r="H3920" i="12"/>
  <c r="H3919" i="12"/>
  <c r="H3918" i="12"/>
  <c r="H3917" i="12"/>
  <c r="H3916" i="12"/>
  <c r="H3915" i="12"/>
  <c r="H3914" i="12"/>
  <c r="H3913" i="12"/>
  <c r="H3912" i="12"/>
  <c r="H3911" i="12"/>
  <c r="H3910" i="12"/>
  <c r="H3909" i="12"/>
  <c r="H3908" i="12"/>
  <c r="H3907" i="12"/>
  <c r="H3906" i="12"/>
  <c r="H3905" i="12"/>
  <c r="H3904" i="12"/>
  <c r="H3903" i="12"/>
  <c r="H3902" i="12"/>
  <c r="H3901" i="12"/>
  <c r="H3900" i="12"/>
  <c r="H3899" i="12"/>
  <c r="H3898" i="12"/>
  <c r="H3897" i="12"/>
  <c r="H3896" i="12"/>
  <c r="H3895" i="12"/>
  <c r="H3894" i="12"/>
  <c r="H3893" i="12"/>
  <c r="H3892" i="12"/>
  <c r="H3891" i="12"/>
  <c r="H3890" i="12"/>
  <c r="H3889" i="12"/>
  <c r="H3888" i="12"/>
  <c r="H3887" i="12"/>
  <c r="H3886" i="12"/>
  <c r="H3885" i="12"/>
  <c r="H3884" i="12"/>
  <c r="H3883" i="12"/>
  <c r="H3882" i="12"/>
  <c r="H3881" i="12"/>
  <c r="H3880" i="12"/>
  <c r="H3879" i="12"/>
  <c r="H3878" i="12"/>
  <c r="H3877" i="12"/>
  <c r="H3876" i="12"/>
  <c r="H3875" i="12"/>
  <c r="H3874" i="12"/>
  <c r="H3873" i="12"/>
  <c r="H3872" i="12"/>
  <c r="H3871" i="12"/>
  <c r="H3870" i="12"/>
  <c r="H3869" i="12"/>
  <c r="H3868" i="12"/>
  <c r="H3867" i="12"/>
  <c r="H3866" i="12"/>
  <c r="H3865" i="12"/>
  <c r="H3864" i="12"/>
  <c r="H3863" i="12"/>
  <c r="H3862" i="12"/>
  <c r="H3861" i="12"/>
  <c r="H3860" i="12"/>
  <c r="H3859" i="12"/>
  <c r="H3858" i="12"/>
  <c r="H3857" i="12"/>
  <c r="H3856" i="12"/>
  <c r="H3855" i="12"/>
  <c r="H3854" i="12"/>
  <c r="H3853" i="12"/>
  <c r="H3852" i="12"/>
  <c r="H3851" i="12"/>
  <c r="H3850" i="12"/>
  <c r="H3849" i="12"/>
  <c r="H3848" i="12"/>
  <c r="H3847" i="12"/>
  <c r="H3846" i="12"/>
  <c r="H3845" i="12"/>
  <c r="H3844" i="12"/>
  <c r="H3843" i="12"/>
  <c r="H3842" i="12"/>
  <c r="H3841" i="12"/>
  <c r="H3840" i="12"/>
  <c r="H3839" i="12"/>
  <c r="H3838" i="12"/>
  <c r="H3837" i="12"/>
  <c r="H3836" i="12"/>
  <c r="H3835" i="12"/>
  <c r="H3834" i="12"/>
  <c r="H3833" i="12"/>
  <c r="H3832" i="12"/>
  <c r="H3831" i="12"/>
  <c r="H3830" i="12"/>
  <c r="H3829" i="12"/>
  <c r="H3828" i="12"/>
  <c r="H3827" i="12"/>
  <c r="H3826" i="12"/>
  <c r="H3825" i="12"/>
  <c r="H3824" i="12"/>
  <c r="H3823" i="12"/>
  <c r="H3822" i="12"/>
  <c r="H3821" i="12"/>
  <c r="H3820" i="12"/>
  <c r="H3819" i="12"/>
  <c r="H3818" i="12"/>
  <c r="H3817" i="12"/>
  <c r="H3816" i="12"/>
  <c r="H3815" i="12"/>
  <c r="H3814" i="12"/>
  <c r="H3813" i="12"/>
  <c r="H3812" i="12"/>
  <c r="H3811" i="12"/>
  <c r="H3810" i="12"/>
  <c r="H3809" i="12"/>
  <c r="H3808" i="12"/>
  <c r="H3807" i="12"/>
  <c r="H3806" i="12"/>
  <c r="H3805" i="12"/>
  <c r="H3804" i="12"/>
  <c r="H3803" i="12"/>
  <c r="H3802" i="12"/>
  <c r="H3801" i="12"/>
  <c r="H3800" i="12"/>
  <c r="H3799" i="12"/>
  <c r="H3798" i="12"/>
  <c r="H3797" i="12"/>
  <c r="H3796" i="12"/>
  <c r="H3795" i="12"/>
  <c r="H3794" i="12"/>
  <c r="H3793" i="12"/>
  <c r="H3792" i="12"/>
  <c r="H3791" i="12"/>
  <c r="H3790" i="12"/>
  <c r="H3789" i="12"/>
  <c r="H3788" i="12"/>
  <c r="H3787" i="12"/>
  <c r="H3786" i="12"/>
  <c r="H3785" i="12"/>
  <c r="H3784" i="12"/>
  <c r="H3783" i="12"/>
  <c r="H3782" i="12"/>
  <c r="H3781" i="12"/>
  <c r="H3780" i="12"/>
  <c r="H3779" i="12"/>
  <c r="H3778" i="12"/>
  <c r="H3777" i="12"/>
  <c r="H3776" i="12"/>
  <c r="H3775" i="12"/>
  <c r="H3774" i="12"/>
  <c r="H3773" i="12"/>
  <c r="H3772" i="12"/>
  <c r="H3771" i="12"/>
  <c r="H3770" i="12"/>
  <c r="H3769" i="12"/>
  <c r="H3768" i="12"/>
  <c r="H3767" i="12"/>
  <c r="H3766" i="12"/>
  <c r="H3765" i="12"/>
  <c r="H3764" i="12"/>
  <c r="H3763" i="12"/>
  <c r="H3762" i="12"/>
  <c r="H3761" i="12"/>
  <c r="H3760" i="12"/>
  <c r="H3759" i="12"/>
  <c r="H3758" i="12"/>
  <c r="H3757" i="12"/>
  <c r="H3756" i="12"/>
  <c r="H3755" i="12"/>
  <c r="H3754" i="12"/>
  <c r="H3753" i="12"/>
  <c r="H3752" i="12"/>
  <c r="H3751" i="12"/>
  <c r="H3750" i="12"/>
  <c r="H3749" i="12"/>
  <c r="H3748" i="12"/>
  <c r="H3747" i="12"/>
  <c r="H3746" i="12"/>
  <c r="H3745" i="12"/>
  <c r="H3744" i="12"/>
  <c r="H3743" i="12"/>
  <c r="H3742" i="12"/>
  <c r="H3741" i="12"/>
  <c r="H3740" i="12"/>
  <c r="H3739" i="12"/>
  <c r="H3738" i="12"/>
  <c r="H3737" i="12"/>
  <c r="H3736" i="12"/>
  <c r="H3735" i="12"/>
  <c r="H3734" i="12"/>
  <c r="H3733" i="12"/>
  <c r="H3732" i="12"/>
  <c r="H3731" i="12"/>
  <c r="H3730" i="12"/>
  <c r="H3729" i="12"/>
  <c r="H3728" i="12"/>
  <c r="H3727" i="12"/>
  <c r="H3726" i="12"/>
  <c r="H3725" i="12"/>
  <c r="H3724" i="12"/>
  <c r="H3723" i="12"/>
  <c r="H3722" i="12"/>
  <c r="H3721" i="12"/>
  <c r="H3720" i="12"/>
  <c r="H3719" i="12"/>
  <c r="H3718" i="12"/>
  <c r="H3717" i="12"/>
  <c r="H3716" i="12"/>
  <c r="H3715" i="12"/>
  <c r="H3714" i="12"/>
  <c r="H3713" i="12"/>
  <c r="H3712" i="12"/>
  <c r="H3711" i="12"/>
  <c r="H3710" i="12"/>
  <c r="H3709" i="12"/>
  <c r="H3708" i="12"/>
  <c r="H3707" i="12"/>
  <c r="H3706" i="12"/>
  <c r="H3705" i="12"/>
  <c r="H3704" i="12"/>
  <c r="H3703" i="12"/>
  <c r="H3702" i="12"/>
  <c r="H3701" i="12"/>
  <c r="H3700" i="12"/>
  <c r="H3699" i="12"/>
  <c r="H3698" i="12"/>
  <c r="H3697" i="12"/>
  <c r="H3696" i="12"/>
  <c r="H3695" i="12"/>
  <c r="H3694" i="12"/>
  <c r="H3693" i="12"/>
  <c r="H3692" i="12"/>
  <c r="H3691" i="12"/>
  <c r="H3690" i="12"/>
  <c r="H3689" i="12"/>
  <c r="H3688" i="12"/>
  <c r="H3687" i="12"/>
  <c r="H3686" i="12"/>
  <c r="H3685" i="12"/>
  <c r="H3684" i="12"/>
  <c r="H3683" i="12"/>
  <c r="H3682" i="12"/>
  <c r="H3681" i="12"/>
  <c r="H3680" i="12"/>
  <c r="H3679" i="12"/>
  <c r="H3678" i="12"/>
  <c r="H3677" i="12"/>
  <c r="H3676" i="12"/>
  <c r="H3675" i="12"/>
  <c r="H3674" i="12"/>
  <c r="H3673" i="12"/>
  <c r="H3672" i="12"/>
  <c r="H3671" i="12"/>
  <c r="H3670" i="12"/>
  <c r="H3669" i="12"/>
  <c r="H3668" i="12"/>
  <c r="H3667" i="12"/>
  <c r="H3666" i="12"/>
  <c r="H3665" i="12"/>
  <c r="H3664" i="12"/>
  <c r="H3663" i="12"/>
  <c r="H3662" i="12"/>
  <c r="H3661" i="12"/>
  <c r="H3660" i="12"/>
  <c r="H3659" i="12"/>
  <c r="H3658" i="12"/>
  <c r="H3657" i="12"/>
  <c r="H3656" i="12"/>
  <c r="H3655" i="12"/>
  <c r="H3654" i="12"/>
  <c r="H3653" i="12"/>
  <c r="H3652" i="12"/>
  <c r="H3651" i="12"/>
  <c r="H3650" i="12"/>
  <c r="H3649" i="12"/>
  <c r="H3648" i="12"/>
  <c r="H3647" i="12"/>
  <c r="H3646" i="12"/>
  <c r="H3645" i="12"/>
  <c r="H3644" i="12"/>
  <c r="H3643" i="12"/>
  <c r="H3642" i="12"/>
  <c r="H3641" i="12"/>
  <c r="H3640" i="12"/>
  <c r="H3639" i="12"/>
  <c r="H3638" i="12"/>
  <c r="H3637" i="12"/>
  <c r="H3636" i="12"/>
  <c r="H3635" i="12"/>
  <c r="H3634" i="12"/>
  <c r="H3633" i="12"/>
  <c r="H3632" i="12"/>
  <c r="H3631" i="12"/>
  <c r="H3630" i="12"/>
  <c r="H3629" i="12"/>
  <c r="H3628" i="12"/>
  <c r="H3627" i="12"/>
  <c r="H3626" i="12"/>
  <c r="H3625" i="12"/>
  <c r="H3624" i="12"/>
  <c r="H3623" i="12"/>
  <c r="H3622" i="12"/>
  <c r="H3621" i="12"/>
  <c r="H3620" i="12"/>
  <c r="H3619" i="12"/>
  <c r="H3618" i="12"/>
  <c r="H3617" i="12"/>
  <c r="H3616" i="12"/>
  <c r="H3615" i="12"/>
  <c r="H3614" i="12"/>
  <c r="H3613" i="12"/>
  <c r="H3612" i="12"/>
  <c r="H3611" i="12"/>
  <c r="H3610" i="12"/>
  <c r="H3609" i="12"/>
  <c r="H3608" i="12"/>
  <c r="H3607" i="12"/>
  <c r="H3606" i="12"/>
  <c r="H3605" i="12"/>
  <c r="H3604" i="12"/>
  <c r="H3603" i="12"/>
  <c r="H3602" i="12"/>
  <c r="H3601" i="12"/>
  <c r="H3600" i="12"/>
  <c r="H3599" i="12"/>
  <c r="H3598" i="12"/>
  <c r="H3597" i="12"/>
  <c r="H3596" i="12"/>
  <c r="H3595" i="12"/>
  <c r="H3594" i="12"/>
  <c r="H3593" i="12"/>
  <c r="H3592" i="12"/>
  <c r="H3591" i="12"/>
  <c r="H3590" i="12"/>
  <c r="H3589" i="12"/>
  <c r="H3588" i="12"/>
  <c r="H3587" i="12"/>
  <c r="H3586" i="12"/>
  <c r="H3585" i="12"/>
  <c r="H3584" i="12"/>
  <c r="H3583" i="12"/>
  <c r="H3582" i="12"/>
  <c r="H3581" i="12"/>
  <c r="H3580" i="12"/>
  <c r="H3579" i="12"/>
  <c r="H3578" i="12"/>
  <c r="H3577" i="12"/>
  <c r="H3576" i="12"/>
  <c r="H3575" i="12"/>
  <c r="H3574" i="12"/>
  <c r="H3573" i="12"/>
  <c r="H3572" i="12"/>
  <c r="H3571" i="12"/>
  <c r="H3570" i="12"/>
  <c r="H3569" i="12"/>
  <c r="H3568" i="12"/>
  <c r="H3567" i="12"/>
  <c r="H3566" i="12"/>
  <c r="H3565" i="12"/>
  <c r="H3564" i="12"/>
  <c r="H3563" i="12"/>
  <c r="H3562" i="12"/>
  <c r="H3561" i="12"/>
  <c r="H3560" i="12"/>
  <c r="H3559" i="12"/>
  <c r="H3558" i="12"/>
  <c r="H3557" i="12"/>
  <c r="H3556" i="12"/>
  <c r="H3555" i="12"/>
  <c r="H3554" i="12"/>
  <c r="H3553" i="12"/>
  <c r="H3552" i="12"/>
  <c r="H3551" i="12"/>
  <c r="H3550" i="12"/>
  <c r="H3549" i="12"/>
  <c r="H3548" i="12"/>
  <c r="H3547" i="12"/>
  <c r="H3546" i="12"/>
  <c r="H3545" i="12"/>
  <c r="H3544" i="12"/>
  <c r="H3543" i="12"/>
  <c r="H3542" i="12"/>
  <c r="H3541" i="12"/>
  <c r="H3540" i="12"/>
  <c r="H3539" i="12"/>
  <c r="H3538" i="12"/>
  <c r="H3537" i="12"/>
  <c r="H3536" i="12"/>
  <c r="H3535" i="12"/>
  <c r="H3534" i="12"/>
  <c r="H3533" i="12"/>
  <c r="H3532" i="12"/>
  <c r="H3531" i="12"/>
  <c r="H3530" i="12"/>
  <c r="H3529" i="12"/>
  <c r="H3528" i="12"/>
  <c r="H3527" i="12"/>
  <c r="H3526" i="12"/>
  <c r="H3525" i="12"/>
  <c r="H3524" i="12"/>
  <c r="H3523" i="12"/>
  <c r="H3522" i="12"/>
  <c r="H3521" i="12"/>
  <c r="H3520" i="12"/>
  <c r="H3519" i="12"/>
  <c r="H3518" i="12"/>
  <c r="H3517" i="12"/>
  <c r="H3516" i="12"/>
  <c r="H3515" i="12"/>
  <c r="H3514" i="12"/>
  <c r="H3513" i="12"/>
  <c r="H3512" i="12"/>
  <c r="H3511" i="12"/>
  <c r="H3510" i="12"/>
  <c r="H3509" i="12"/>
  <c r="H3508" i="12"/>
  <c r="H3507" i="12"/>
  <c r="H3506" i="12"/>
  <c r="H3505" i="12"/>
  <c r="H3504" i="12"/>
  <c r="H3503" i="12"/>
  <c r="H3502" i="12"/>
  <c r="H3501" i="12"/>
  <c r="H3500" i="12"/>
  <c r="H3499" i="12"/>
  <c r="H3498" i="12"/>
  <c r="H3497" i="12"/>
  <c r="H3496" i="12"/>
  <c r="H3495" i="12"/>
  <c r="H3494" i="12"/>
  <c r="H3493" i="12"/>
  <c r="H3492" i="12"/>
  <c r="H3491" i="12"/>
  <c r="H3490" i="12"/>
  <c r="H3489" i="12"/>
  <c r="H3488" i="12"/>
  <c r="H3487" i="12"/>
  <c r="H3486" i="12"/>
  <c r="H3485" i="12"/>
  <c r="H3484" i="12"/>
  <c r="H3483" i="12"/>
  <c r="H3482" i="12"/>
  <c r="H3481" i="12"/>
  <c r="H3480" i="12"/>
  <c r="H3479" i="12"/>
  <c r="H3478" i="12"/>
  <c r="H3477" i="12"/>
  <c r="H3476" i="12"/>
  <c r="H3475" i="12"/>
  <c r="H3474" i="12"/>
  <c r="H3473" i="12"/>
  <c r="H3472" i="12"/>
  <c r="H3471" i="12"/>
  <c r="H3470" i="12"/>
  <c r="H3469" i="12"/>
  <c r="H3468" i="12"/>
  <c r="H3467" i="12"/>
  <c r="H3466" i="12"/>
  <c r="H3465" i="12"/>
  <c r="H3464" i="12"/>
  <c r="H3463" i="12"/>
  <c r="H3462" i="12"/>
  <c r="H3461" i="12"/>
  <c r="H3460" i="12"/>
  <c r="H3459" i="12"/>
  <c r="H3458" i="12"/>
  <c r="H3457" i="12"/>
  <c r="H3456" i="12"/>
  <c r="H3455" i="12"/>
  <c r="H3454" i="12"/>
  <c r="H3453" i="12"/>
  <c r="H3452" i="12"/>
  <c r="H3451" i="12"/>
  <c r="H3450" i="12"/>
  <c r="H3449" i="12"/>
  <c r="H3448" i="12"/>
  <c r="H3447" i="12"/>
  <c r="H3446" i="12"/>
  <c r="H3445" i="12"/>
  <c r="H3444" i="12"/>
  <c r="H3443" i="12"/>
  <c r="H3442" i="12"/>
  <c r="H3441" i="12"/>
  <c r="H3440" i="12"/>
  <c r="H3439" i="12"/>
  <c r="H3438" i="12"/>
  <c r="H3437" i="12"/>
  <c r="H3436" i="12"/>
  <c r="H3435" i="12"/>
  <c r="H3434" i="12"/>
  <c r="H3433" i="12"/>
  <c r="H3432" i="12"/>
  <c r="H3431" i="12"/>
  <c r="H3430" i="12"/>
  <c r="H3429" i="12"/>
  <c r="H3428" i="12"/>
  <c r="H3427" i="12"/>
  <c r="H3426" i="12"/>
  <c r="H3425" i="12"/>
  <c r="H3424" i="12"/>
  <c r="H3423" i="12"/>
  <c r="H3422" i="12"/>
  <c r="H3421" i="12"/>
  <c r="H3420" i="12"/>
  <c r="H3419" i="12"/>
  <c r="H3418" i="12"/>
  <c r="H3417" i="12"/>
  <c r="H3416" i="12"/>
  <c r="H3415" i="12"/>
  <c r="H3414" i="12"/>
  <c r="H3413" i="12"/>
  <c r="H3412" i="12"/>
  <c r="H3411" i="12"/>
  <c r="H3410" i="12"/>
  <c r="H3409" i="12"/>
  <c r="H3408" i="12"/>
  <c r="H3407" i="12"/>
  <c r="H3406" i="12"/>
  <c r="H3405" i="12"/>
  <c r="H3404" i="12"/>
  <c r="H3403" i="12"/>
  <c r="H3402" i="12"/>
  <c r="H3401" i="12"/>
  <c r="H3400" i="12"/>
  <c r="H3399" i="12"/>
  <c r="H3398" i="12"/>
  <c r="H3397" i="12"/>
  <c r="H3396" i="12"/>
  <c r="H3395" i="12"/>
  <c r="H3394" i="12"/>
  <c r="H3393" i="12"/>
  <c r="H3392" i="12"/>
  <c r="H3391" i="12"/>
  <c r="H3390" i="12"/>
  <c r="H3389" i="12"/>
  <c r="H3388" i="12"/>
  <c r="H3387" i="12"/>
  <c r="H3386" i="12"/>
  <c r="H3385" i="12"/>
  <c r="H3384" i="12"/>
  <c r="H3383" i="12"/>
  <c r="H3382" i="12"/>
  <c r="H3381" i="12"/>
  <c r="H3380" i="12"/>
  <c r="H3379" i="12"/>
  <c r="H3378" i="12"/>
  <c r="H3377" i="12"/>
  <c r="H3376" i="12"/>
  <c r="H3375" i="12"/>
  <c r="H3374" i="12"/>
  <c r="H3373" i="12"/>
  <c r="H3372" i="12"/>
  <c r="H3371" i="12"/>
  <c r="H3370" i="12"/>
  <c r="H3369" i="12"/>
  <c r="H3368" i="12"/>
  <c r="H3367" i="12"/>
  <c r="H3366" i="12"/>
  <c r="H3365" i="12"/>
  <c r="H3364" i="12"/>
  <c r="H3363" i="12"/>
  <c r="H3362" i="12"/>
  <c r="H3361" i="12"/>
  <c r="H3360" i="12"/>
  <c r="H3359" i="12"/>
  <c r="H3358" i="12"/>
  <c r="H3357" i="12"/>
  <c r="H3356" i="12"/>
  <c r="H3355" i="12"/>
  <c r="H3354" i="12"/>
  <c r="H3353" i="12"/>
  <c r="H3352" i="12"/>
  <c r="H3351" i="12"/>
  <c r="H3350" i="12"/>
  <c r="H3349" i="12"/>
  <c r="H3348" i="12"/>
  <c r="H3347" i="12"/>
  <c r="H3346" i="12"/>
  <c r="H3345" i="12"/>
  <c r="H3344" i="12"/>
  <c r="H3343" i="12"/>
  <c r="H3342" i="12"/>
  <c r="H3341" i="12"/>
  <c r="H3340" i="12"/>
  <c r="H3339" i="12"/>
  <c r="H3338" i="12"/>
  <c r="H3337" i="12"/>
  <c r="H3336" i="12"/>
  <c r="H3335" i="12"/>
  <c r="H3334" i="12"/>
  <c r="H3333" i="12"/>
  <c r="H3332" i="12"/>
  <c r="H3331" i="12"/>
  <c r="H3330" i="12"/>
  <c r="H3329" i="12"/>
  <c r="H3328" i="12"/>
  <c r="H3327" i="12"/>
  <c r="H3326" i="12"/>
  <c r="H3325" i="12"/>
  <c r="H3324" i="12"/>
  <c r="H3323" i="12"/>
  <c r="H3322" i="12"/>
  <c r="H3321" i="12"/>
  <c r="H3320" i="12"/>
  <c r="H3319" i="12"/>
  <c r="H3318" i="12"/>
  <c r="H3317" i="12"/>
  <c r="H3316" i="12"/>
  <c r="H3315" i="12"/>
  <c r="H3314" i="12"/>
  <c r="H3313" i="12"/>
  <c r="H3312" i="12"/>
  <c r="H3311" i="12"/>
  <c r="H3310" i="12"/>
  <c r="H3309" i="12"/>
  <c r="H3308" i="12"/>
  <c r="H3307" i="12"/>
  <c r="H3306" i="12"/>
  <c r="H3305" i="12"/>
  <c r="H3304" i="12"/>
  <c r="H3303" i="12"/>
  <c r="H3302" i="12"/>
  <c r="H3301" i="12"/>
  <c r="H3300" i="12"/>
  <c r="H3299" i="12"/>
  <c r="H3298" i="12"/>
  <c r="H3297" i="12"/>
  <c r="H3296" i="12"/>
  <c r="H3295" i="12"/>
  <c r="H3294" i="12"/>
  <c r="H3293" i="12"/>
  <c r="H3292" i="12"/>
  <c r="H3291" i="12"/>
  <c r="H3290" i="12"/>
  <c r="H3289" i="12"/>
  <c r="H3288" i="12"/>
  <c r="H3287" i="12"/>
  <c r="H3286" i="12"/>
  <c r="H3285" i="12"/>
  <c r="H3284" i="12"/>
  <c r="H3283" i="12"/>
  <c r="H3282" i="12"/>
  <c r="H3281" i="12"/>
  <c r="H3280" i="12"/>
  <c r="H3279" i="12"/>
  <c r="H3278" i="12"/>
  <c r="H3277" i="12"/>
  <c r="H3276" i="12"/>
  <c r="H3275" i="12"/>
  <c r="H3274" i="12"/>
  <c r="H3273" i="12"/>
  <c r="H3272" i="12"/>
  <c r="H3271" i="12"/>
  <c r="H3270" i="12"/>
  <c r="H3269" i="12"/>
  <c r="H3268" i="12"/>
  <c r="H3267" i="12"/>
  <c r="H3266" i="12"/>
  <c r="H3265" i="12"/>
  <c r="H3264" i="12"/>
  <c r="H3263" i="12"/>
  <c r="H3262" i="12"/>
  <c r="H3261" i="12"/>
  <c r="H3260" i="12"/>
  <c r="H3259" i="12"/>
  <c r="H3258" i="12"/>
  <c r="H3257" i="12"/>
  <c r="H3256" i="12"/>
  <c r="H3255" i="12"/>
  <c r="H3254" i="12"/>
  <c r="H3253" i="12"/>
  <c r="H3252" i="12"/>
  <c r="H3251" i="12"/>
  <c r="H3250" i="12"/>
  <c r="H3249" i="12"/>
  <c r="H3248" i="12"/>
  <c r="H3247" i="12"/>
  <c r="H3246" i="12"/>
  <c r="H3245" i="12"/>
  <c r="H3244" i="12"/>
  <c r="H3243" i="12"/>
  <c r="H3242" i="12"/>
  <c r="H3241" i="12"/>
  <c r="H3240" i="12"/>
  <c r="H3239" i="12"/>
  <c r="H3238" i="12"/>
  <c r="H3237" i="12"/>
  <c r="H3236" i="12"/>
  <c r="H3235" i="12"/>
  <c r="H3234" i="12"/>
  <c r="H3233" i="12"/>
  <c r="H3232" i="12"/>
  <c r="H3231" i="12"/>
  <c r="H3230" i="12"/>
  <c r="H3229" i="12"/>
  <c r="H3228" i="12"/>
  <c r="H3227" i="12"/>
  <c r="H3226" i="12"/>
  <c r="H3225" i="12"/>
  <c r="H3224" i="12"/>
  <c r="H3223" i="12"/>
  <c r="H3222" i="12"/>
  <c r="H3221" i="12"/>
  <c r="H3220" i="12"/>
  <c r="H3219" i="12"/>
  <c r="H3218" i="12"/>
  <c r="H3217" i="12"/>
  <c r="H3216" i="12"/>
  <c r="H3215" i="12"/>
  <c r="H3214" i="12"/>
  <c r="H3213" i="12"/>
  <c r="H3212" i="12"/>
  <c r="H3211" i="12"/>
  <c r="H3210" i="12"/>
  <c r="H3209" i="12"/>
  <c r="H3208" i="12"/>
  <c r="H3207" i="12"/>
  <c r="H3206" i="12"/>
  <c r="H3205" i="12"/>
  <c r="H3204" i="12"/>
  <c r="H3203" i="12"/>
  <c r="H3202" i="12"/>
  <c r="H3201" i="12"/>
  <c r="H3200" i="12"/>
  <c r="H3199" i="12"/>
  <c r="H3198" i="12"/>
  <c r="H3197" i="12"/>
  <c r="H3196" i="12"/>
  <c r="H3195" i="12"/>
  <c r="H3194" i="12"/>
  <c r="H3193" i="12"/>
  <c r="H3192" i="12"/>
  <c r="H3191" i="12"/>
  <c r="H3190" i="12"/>
  <c r="H3189" i="12"/>
  <c r="H3188" i="12"/>
  <c r="H3187" i="12"/>
  <c r="H3186" i="12"/>
  <c r="H3185" i="12"/>
  <c r="H3184" i="12"/>
  <c r="H3183" i="12"/>
  <c r="H3182" i="12"/>
  <c r="H3181" i="12"/>
  <c r="H3180" i="12"/>
  <c r="H3179" i="12"/>
  <c r="H3178" i="12"/>
  <c r="H3177" i="12"/>
  <c r="H3176" i="12"/>
  <c r="H3175" i="12"/>
  <c r="H3174" i="12"/>
  <c r="H3173" i="12"/>
  <c r="H3172" i="12"/>
  <c r="H3171" i="12"/>
  <c r="H3170" i="12"/>
  <c r="H3169" i="12"/>
  <c r="H3168" i="12"/>
  <c r="H3167" i="12"/>
  <c r="H3166" i="12"/>
  <c r="H3165" i="12"/>
  <c r="H3164" i="12"/>
  <c r="H3163" i="12"/>
  <c r="H3162" i="12"/>
  <c r="H3161" i="12"/>
  <c r="H3160" i="12"/>
  <c r="H3159" i="12"/>
  <c r="H3158" i="12"/>
  <c r="H3157" i="12"/>
  <c r="H3156" i="12"/>
  <c r="H3155" i="12"/>
  <c r="H3154" i="12"/>
  <c r="H3153" i="12"/>
  <c r="H3152" i="12"/>
  <c r="H3151" i="12"/>
  <c r="H3150" i="12"/>
  <c r="H3149" i="12"/>
  <c r="H3148" i="12"/>
  <c r="H3147" i="12"/>
  <c r="H3146" i="12"/>
  <c r="H3145" i="12"/>
  <c r="H3144" i="12"/>
  <c r="H3143" i="12"/>
  <c r="H3142" i="12"/>
  <c r="H3141" i="12"/>
  <c r="H3140" i="12"/>
  <c r="H3139" i="12"/>
  <c r="H3138" i="12"/>
  <c r="H3137" i="12"/>
  <c r="H3136" i="12"/>
  <c r="H3135" i="12"/>
  <c r="H3134" i="12"/>
  <c r="H3133" i="12"/>
  <c r="H3132" i="12"/>
  <c r="H3131" i="12"/>
  <c r="H3130" i="12"/>
  <c r="H3129" i="12"/>
  <c r="H3128" i="12"/>
  <c r="H3127" i="12"/>
  <c r="H3126" i="12"/>
  <c r="H3125" i="12"/>
  <c r="H3124" i="12"/>
  <c r="H3123" i="12"/>
  <c r="H3122" i="12"/>
  <c r="H3121" i="12"/>
  <c r="H3120" i="12"/>
  <c r="H3119" i="12"/>
  <c r="H3118" i="12"/>
  <c r="H3117" i="12"/>
  <c r="H3116" i="12"/>
  <c r="H3115" i="12"/>
  <c r="H3114" i="12"/>
  <c r="H3113" i="12"/>
  <c r="H3112" i="12"/>
  <c r="H3111" i="12"/>
  <c r="H3110" i="12"/>
  <c r="H3109" i="12"/>
  <c r="H3108" i="12"/>
  <c r="H3107" i="12"/>
  <c r="H3106" i="12"/>
  <c r="H3105" i="12"/>
  <c r="H3104" i="12"/>
  <c r="H3103" i="12"/>
  <c r="H3102" i="12"/>
  <c r="H3101" i="12"/>
  <c r="H3100" i="12"/>
  <c r="H3099" i="12"/>
  <c r="H3098" i="12"/>
  <c r="H3097" i="12"/>
  <c r="H3096" i="12"/>
  <c r="H3095" i="12"/>
  <c r="H3094" i="12"/>
  <c r="H3093" i="12"/>
  <c r="H3092" i="12"/>
  <c r="H3091" i="12"/>
  <c r="H3090" i="12"/>
  <c r="H3089" i="12"/>
  <c r="H3088" i="12"/>
  <c r="H3087" i="12"/>
  <c r="H3086" i="12"/>
  <c r="H3085" i="12"/>
  <c r="H3084" i="12"/>
  <c r="H3083" i="12"/>
  <c r="H3082" i="12"/>
  <c r="H3081" i="12"/>
  <c r="H3080" i="12"/>
  <c r="H3079" i="12"/>
  <c r="H3078" i="12"/>
  <c r="H3077" i="12"/>
  <c r="H3076" i="12"/>
  <c r="H3075" i="12"/>
  <c r="H3074" i="12"/>
  <c r="H3073" i="12"/>
  <c r="H3072" i="12"/>
  <c r="H3071" i="12"/>
  <c r="H3070" i="12"/>
  <c r="H3069" i="12"/>
  <c r="H3068" i="12"/>
  <c r="H3067" i="12"/>
  <c r="H3066" i="12"/>
  <c r="H3065" i="12"/>
  <c r="H3064" i="12"/>
  <c r="H3063" i="12"/>
  <c r="H3062" i="12"/>
  <c r="H3061" i="12"/>
  <c r="H3060" i="12"/>
  <c r="H3059" i="12"/>
  <c r="H3058" i="12"/>
  <c r="H3057" i="12"/>
  <c r="H3056" i="12"/>
  <c r="H3055" i="12"/>
  <c r="H3054" i="12"/>
  <c r="H3053" i="12"/>
  <c r="H3052" i="12"/>
  <c r="H3051" i="12"/>
  <c r="H3050" i="12"/>
  <c r="H3049" i="12"/>
  <c r="H3048" i="12"/>
  <c r="H3047" i="12"/>
  <c r="H3046" i="12"/>
  <c r="H3045" i="12"/>
  <c r="H3044" i="12"/>
  <c r="H3043" i="12"/>
  <c r="H3042" i="12"/>
  <c r="H3041" i="12"/>
  <c r="H3040" i="12"/>
  <c r="H3039" i="12"/>
  <c r="H3038" i="12"/>
  <c r="H3037" i="12"/>
  <c r="H3036" i="12"/>
  <c r="H3035" i="12"/>
  <c r="H3034" i="12"/>
  <c r="H3033" i="12"/>
  <c r="H3032" i="12"/>
  <c r="H3031" i="12"/>
  <c r="H3030" i="12"/>
  <c r="H3029" i="12"/>
  <c r="H3028" i="12"/>
  <c r="H3027" i="12"/>
  <c r="H3026" i="12"/>
  <c r="H3025" i="12"/>
  <c r="H3024" i="12"/>
  <c r="H3023" i="12"/>
  <c r="H3022" i="12"/>
  <c r="H3021" i="12"/>
  <c r="H3020" i="12"/>
  <c r="H3019" i="12"/>
  <c r="H3018" i="12"/>
  <c r="H3017" i="12"/>
  <c r="H3016" i="12"/>
  <c r="H3015" i="12"/>
  <c r="H3014" i="12"/>
  <c r="H3013" i="12"/>
  <c r="H3012" i="12"/>
  <c r="H3011" i="12"/>
  <c r="H3010" i="12"/>
  <c r="H3009" i="12"/>
  <c r="H3008" i="12"/>
  <c r="H3007" i="12"/>
  <c r="H3006" i="12"/>
  <c r="H3005" i="12"/>
  <c r="H3004" i="12"/>
  <c r="H3003" i="12"/>
  <c r="H3002" i="12"/>
  <c r="H3001" i="12"/>
  <c r="H3000" i="12"/>
  <c r="H2999" i="12"/>
  <c r="H2998" i="12"/>
  <c r="H2997" i="12"/>
  <c r="H2996" i="12"/>
  <c r="H2995" i="12"/>
  <c r="H2994" i="12"/>
  <c r="H2993" i="12"/>
  <c r="H2992" i="12"/>
  <c r="H2991" i="12"/>
  <c r="H2990" i="12"/>
  <c r="H2989" i="12"/>
  <c r="H2988" i="12"/>
  <c r="H2987" i="12"/>
  <c r="H2986" i="12"/>
  <c r="H2985" i="12"/>
  <c r="H2984" i="12"/>
  <c r="H2983" i="12"/>
  <c r="H2982" i="12"/>
  <c r="H2981" i="12"/>
  <c r="H2980" i="12"/>
  <c r="H2979" i="12"/>
  <c r="H2978" i="12"/>
  <c r="H2977" i="12"/>
  <c r="H2976" i="12"/>
  <c r="H2975" i="12"/>
  <c r="H2974" i="12"/>
  <c r="H2973" i="12"/>
  <c r="H2972" i="12"/>
  <c r="H2971" i="12"/>
  <c r="H2970" i="12"/>
  <c r="H2969" i="12"/>
  <c r="H2968" i="12"/>
  <c r="H2967" i="12"/>
  <c r="H2966" i="12"/>
  <c r="H2965" i="12"/>
  <c r="H2964" i="12"/>
  <c r="H2963" i="12"/>
  <c r="H2962" i="12"/>
  <c r="H2961" i="12"/>
  <c r="H2960" i="12"/>
  <c r="H2959" i="12"/>
  <c r="H2958" i="12"/>
  <c r="H2957" i="12"/>
  <c r="H2956" i="12"/>
  <c r="H2955" i="12"/>
  <c r="H2954" i="12"/>
  <c r="H2953" i="12"/>
  <c r="H2952" i="12"/>
  <c r="H2951" i="12"/>
  <c r="H2950" i="12"/>
  <c r="H2949" i="12"/>
  <c r="H2948" i="12"/>
  <c r="H2947" i="12"/>
  <c r="H2946" i="12"/>
  <c r="H2945" i="12"/>
  <c r="H2944" i="12"/>
  <c r="H2943" i="12"/>
  <c r="H2942" i="12"/>
  <c r="H2941" i="12"/>
  <c r="H2940" i="12"/>
  <c r="H2939" i="12"/>
  <c r="H2938" i="12"/>
  <c r="H2937" i="12"/>
  <c r="H2936" i="12"/>
  <c r="H2935" i="12"/>
  <c r="H2934" i="12"/>
  <c r="H2933" i="12"/>
  <c r="H2932" i="12"/>
  <c r="H2931" i="12"/>
  <c r="H2930" i="12"/>
  <c r="H2929" i="12"/>
  <c r="H2928" i="12"/>
  <c r="H2927" i="12"/>
  <c r="H2926" i="12"/>
  <c r="H2925" i="12"/>
  <c r="H2924" i="12"/>
  <c r="H2923" i="12"/>
  <c r="H2922" i="12"/>
  <c r="H2921" i="12"/>
  <c r="H2920" i="12"/>
  <c r="H2919" i="12"/>
  <c r="H2918" i="12"/>
  <c r="H2917" i="12"/>
  <c r="H2916" i="12"/>
  <c r="H2915" i="12"/>
  <c r="H2914" i="12"/>
  <c r="H2913" i="12"/>
  <c r="H2912" i="12"/>
  <c r="H2911" i="12"/>
  <c r="H2910" i="12"/>
  <c r="H2909" i="12"/>
  <c r="H2908" i="12"/>
  <c r="H2907" i="12"/>
  <c r="H2906" i="12"/>
  <c r="H2905" i="12"/>
  <c r="H2904" i="12"/>
  <c r="H2903" i="12"/>
  <c r="H2902" i="12"/>
  <c r="H2901" i="12"/>
  <c r="H2900" i="12"/>
  <c r="H2899" i="12"/>
  <c r="H2898" i="12"/>
  <c r="H2897" i="12"/>
  <c r="H2896" i="12"/>
  <c r="H2895" i="12"/>
  <c r="H2894" i="12"/>
  <c r="H2893" i="12"/>
  <c r="H2892" i="12"/>
  <c r="H2891" i="12"/>
  <c r="H2890" i="12"/>
  <c r="H2889" i="12"/>
  <c r="H2888" i="12"/>
  <c r="H2887" i="12"/>
  <c r="H2886" i="12"/>
  <c r="H2885" i="12"/>
  <c r="H2884" i="12"/>
  <c r="H2883" i="12"/>
  <c r="H2882" i="12"/>
  <c r="H2881" i="12"/>
  <c r="H2880" i="12"/>
  <c r="H2879" i="12"/>
  <c r="H2878" i="12"/>
  <c r="H2877" i="12"/>
  <c r="H2876" i="12"/>
  <c r="H2875" i="12"/>
  <c r="H2874" i="12"/>
  <c r="H2873" i="12"/>
  <c r="H2872" i="12"/>
  <c r="H2871" i="12"/>
  <c r="H2870" i="12"/>
  <c r="H2869" i="12"/>
  <c r="H2868" i="12"/>
  <c r="H2867" i="12"/>
  <c r="H2866" i="12"/>
  <c r="H2865" i="12"/>
  <c r="H2864" i="12"/>
  <c r="H2863" i="12"/>
  <c r="H2862" i="12"/>
  <c r="H2861" i="12"/>
  <c r="H2860" i="12"/>
  <c r="H2859" i="12"/>
  <c r="H2858" i="12"/>
  <c r="H2857" i="12"/>
  <c r="H2856" i="12"/>
  <c r="H2855" i="12"/>
  <c r="H2854" i="12"/>
  <c r="H2853" i="12"/>
  <c r="H2852" i="12"/>
  <c r="H2851" i="12"/>
  <c r="H2850" i="12"/>
  <c r="H2849" i="12"/>
  <c r="H2848" i="12"/>
  <c r="H2847" i="12"/>
  <c r="H2846" i="12"/>
  <c r="H2845" i="12"/>
  <c r="H2844" i="12"/>
  <c r="H2843" i="12"/>
  <c r="H2842" i="12"/>
  <c r="H2841" i="12"/>
  <c r="H2840" i="12"/>
  <c r="H2839" i="12"/>
  <c r="H2838" i="12"/>
  <c r="H2837" i="12"/>
  <c r="H2836" i="12"/>
  <c r="H2835" i="12"/>
  <c r="H2834" i="12"/>
  <c r="H2833" i="12"/>
  <c r="H2832" i="12"/>
  <c r="H2831" i="12"/>
  <c r="H2830" i="12"/>
  <c r="H2829" i="12"/>
  <c r="H2828" i="12"/>
  <c r="H2827" i="12"/>
  <c r="H2826" i="12"/>
  <c r="H2825" i="12"/>
  <c r="H2824" i="12"/>
  <c r="H2823" i="12"/>
  <c r="H2822" i="12"/>
  <c r="H2821" i="12"/>
  <c r="H2820" i="12"/>
  <c r="H2819" i="12"/>
  <c r="H2818" i="12"/>
  <c r="H2817" i="12"/>
  <c r="H2816" i="12"/>
  <c r="H2815" i="12"/>
  <c r="H2814" i="12"/>
  <c r="H2813" i="12"/>
  <c r="H2812" i="12"/>
  <c r="H2811" i="12"/>
  <c r="H2810" i="12"/>
  <c r="H2809" i="12"/>
  <c r="H2808" i="12"/>
  <c r="H2807" i="12"/>
  <c r="H2806" i="12"/>
  <c r="H2805" i="12"/>
  <c r="H2804" i="12"/>
  <c r="H2803" i="12"/>
  <c r="H2802" i="12"/>
  <c r="H2801" i="12"/>
  <c r="H2800" i="12"/>
  <c r="H2799" i="12"/>
  <c r="H2798" i="12"/>
  <c r="H2797" i="12"/>
  <c r="H2796" i="12"/>
  <c r="H2795" i="12"/>
  <c r="H2794" i="12"/>
  <c r="H2793" i="12"/>
  <c r="H2792" i="12"/>
  <c r="H2791" i="12"/>
  <c r="H2790" i="12"/>
  <c r="H2789" i="12"/>
  <c r="H2788" i="12"/>
  <c r="H2787" i="12"/>
  <c r="H2786" i="12"/>
  <c r="H2785" i="12"/>
  <c r="H2784" i="12"/>
  <c r="H2783" i="12"/>
  <c r="H2782" i="12"/>
  <c r="H2781" i="12"/>
  <c r="H2780" i="12"/>
  <c r="H2779" i="12"/>
  <c r="H2778" i="12"/>
  <c r="H2777" i="12"/>
  <c r="H2776" i="12"/>
  <c r="H2775" i="12"/>
  <c r="H2774" i="12"/>
  <c r="H2773" i="12"/>
  <c r="H2772" i="12"/>
  <c r="H2771" i="12"/>
  <c r="H2770" i="12"/>
  <c r="H2769" i="12"/>
  <c r="H2768" i="12"/>
  <c r="H2767" i="12"/>
  <c r="H2766" i="12"/>
  <c r="H2765" i="12"/>
  <c r="H2764" i="12"/>
  <c r="H2763" i="12"/>
  <c r="H2762" i="12"/>
  <c r="H2761" i="12"/>
  <c r="H2760" i="12"/>
  <c r="H2759" i="12"/>
  <c r="H2758" i="12"/>
  <c r="H2757" i="12"/>
  <c r="H2756" i="12"/>
  <c r="H2755" i="12"/>
  <c r="H2754" i="12"/>
  <c r="H2753" i="12"/>
  <c r="H2752" i="12"/>
  <c r="H2751" i="12"/>
  <c r="H2750" i="12"/>
  <c r="H2749" i="12"/>
  <c r="H2748" i="12"/>
  <c r="H2747" i="12"/>
  <c r="H2746" i="12"/>
  <c r="H2745" i="12"/>
  <c r="H2744" i="12"/>
  <c r="H2743" i="12"/>
  <c r="H2742" i="12"/>
  <c r="H2741" i="12"/>
  <c r="H2740" i="12"/>
  <c r="H2739" i="12"/>
  <c r="H2738" i="12"/>
  <c r="H2737" i="12"/>
  <c r="H2736" i="12"/>
  <c r="H2735" i="12"/>
  <c r="H2734" i="12"/>
  <c r="H2733" i="12"/>
  <c r="H2732" i="12"/>
  <c r="H2731" i="12"/>
  <c r="H2730" i="12"/>
  <c r="H2729" i="12"/>
  <c r="H2728" i="12"/>
  <c r="H2727" i="12"/>
  <c r="H2726" i="12"/>
  <c r="H2725" i="12"/>
  <c r="H2724" i="12"/>
  <c r="H2723" i="12"/>
  <c r="H2722" i="12"/>
  <c r="H2721" i="12"/>
  <c r="H2720" i="12"/>
  <c r="H2719" i="12"/>
  <c r="H2718" i="12"/>
  <c r="H2717" i="12"/>
  <c r="H2716" i="12"/>
  <c r="H2715" i="12"/>
  <c r="H2714" i="12"/>
  <c r="H2713" i="12"/>
  <c r="H2712" i="12"/>
  <c r="H2711" i="12"/>
  <c r="H2710" i="12"/>
  <c r="H2709" i="12"/>
  <c r="H2708" i="12"/>
  <c r="H2707" i="12"/>
  <c r="H2706" i="12"/>
  <c r="H2705" i="12"/>
  <c r="H2704" i="12"/>
  <c r="H2703" i="12"/>
  <c r="H2702" i="12"/>
  <c r="H2701" i="12"/>
  <c r="H2700" i="12"/>
  <c r="H2699" i="12"/>
  <c r="H2698" i="12"/>
  <c r="H2697" i="12"/>
  <c r="H2696" i="12"/>
  <c r="H2695" i="12"/>
  <c r="H2694" i="12"/>
  <c r="H2693" i="12"/>
  <c r="H2692" i="12"/>
  <c r="H2691" i="12"/>
  <c r="H2690" i="12"/>
  <c r="H2689" i="12"/>
  <c r="H2688" i="12"/>
  <c r="H2687" i="12"/>
  <c r="H2686" i="12"/>
  <c r="H2685" i="12"/>
  <c r="H2684" i="12"/>
  <c r="H2683" i="12"/>
  <c r="H2682" i="12"/>
  <c r="H2681" i="12"/>
  <c r="H2680" i="12"/>
  <c r="H2679" i="12"/>
  <c r="H2678" i="12"/>
  <c r="H2677" i="12"/>
  <c r="H2676" i="12"/>
  <c r="H2675" i="12"/>
  <c r="H2674" i="12"/>
  <c r="H2673" i="12"/>
  <c r="H2672" i="12"/>
  <c r="H2671" i="12"/>
  <c r="H2670" i="12"/>
  <c r="H2669" i="12"/>
  <c r="H2668" i="12"/>
  <c r="H2667" i="12"/>
  <c r="H2666" i="12"/>
  <c r="H2665" i="12"/>
  <c r="H2664" i="12"/>
  <c r="H2663" i="12"/>
  <c r="H2662" i="12"/>
  <c r="H2661" i="12"/>
  <c r="H2660" i="12"/>
  <c r="H2659" i="12"/>
  <c r="H2658" i="12"/>
  <c r="H2657" i="12"/>
  <c r="H2656" i="12"/>
  <c r="H2655" i="12"/>
  <c r="H2654" i="12"/>
  <c r="H2653" i="12"/>
  <c r="H2652" i="12"/>
  <c r="H2651" i="12"/>
  <c r="H2650" i="12"/>
  <c r="H2649" i="12"/>
  <c r="H2648" i="12"/>
  <c r="H2647" i="12"/>
  <c r="H2646" i="12"/>
  <c r="H2645" i="12"/>
  <c r="H2644" i="12"/>
  <c r="H2643" i="12"/>
  <c r="H2642" i="12"/>
  <c r="H2641" i="12"/>
  <c r="H2640" i="12"/>
  <c r="H2639" i="12"/>
  <c r="H2638" i="12"/>
  <c r="H2637" i="12"/>
  <c r="H2636" i="12"/>
  <c r="H2635" i="12"/>
  <c r="H2634" i="12"/>
  <c r="H2633" i="12"/>
  <c r="H2632" i="12"/>
  <c r="H2631" i="12"/>
  <c r="H2630" i="12"/>
  <c r="H2629" i="12"/>
  <c r="H2628" i="12"/>
  <c r="H2627" i="12"/>
  <c r="H2626" i="12"/>
  <c r="H2625" i="12"/>
  <c r="H2624" i="12"/>
  <c r="H2623" i="12"/>
  <c r="H2622" i="12"/>
  <c r="H2621" i="12"/>
  <c r="H2620" i="12"/>
  <c r="H2619" i="12"/>
  <c r="H2618" i="12"/>
  <c r="H2617" i="12"/>
  <c r="H2616" i="12"/>
  <c r="H2615" i="12"/>
  <c r="H2614" i="12"/>
  <c r="H2613" i="12"/>
  <c r="H2612" i="12"/>
  <c r="H2611" i="12"/>
  <c r="H2610" i="12"/>
  <c r="H2609" i="12"/>
  <c r="H2608" i="12"/>
  <c r="H2607" i="12"/>
  <c r="H2606" i="12"/>
  <c r="H2605" i="12"/>
  <c r="H2604" i="12"/>
  <c r="H2603" i="12"/>
  <c r="H2602" i="12"/>
  <c r="H2601" i="12"/>
  <c r="H2600" i="12"/>
  <c r="H2599" i="12"/>
  <c r="H2598" i="12"/>
  <c r="H2597" i="12"/>
  <c r="H2596" i="12"/>
  <c r="H2595" i="12"/>
  <c r="H2594" i="12"/>
  <c r="H2592" i="12"/>
  <c r="H2589" i="12"/>
  <c r="H2588" i="12"/>
  <c r="H2587" i="12"/>
  <c r="H2586" i="12"/>
  <c r="H2585" i="12"/>
  <c r="H2584" i="12"/>
  <c r="H2583" i="12"/>
  <c r="H2582" i="12"/>
  <c r="H2581" i="12"/>
  <c r="H2580" i="12"/>
  <c r="H2579" i="12"/>
  <c r="H2578" i="12"/>
  <c r="H2577" i="12"/>
  <c r="H2576" i="12"/>
  <c r="H2575" i="12"/>
  <c r="H2574" i="12"/>
  <c r="H2573" i="12"/>
  <c r="H2572" i="12"/>
  <c r="H2571" i="12"/>
  <c r="H2570" i="12"/>
  <c r="H2569" i="12"/>
  <c r="H2568" i="12"/>
  <c r="H2567" i="12"/>
  <c r="H2566" i="12"/>
  <c r="H2565" i="12"/>
  <c r="H2564" i="12"/>
  <c r="H2563" i="12"/>
  <c r="H2562" i="12"/>
  <c r="H2561" i="12"/>
  <c r="H2560" i="12"/>
  <c r="H2559" i="12"/>
  <c r="H2558" i="12"/>
  <c r="H2557" i="12"/>
  <c r="H2556" i="12"/>
  <c r="H2555" i="12"/>
  <c r="H2554" i="12"/>
  <c r="H2553" i="12"/>
  <c r="H2552" i="12"/>
  <c r="H2551" i="12"/>
  <c r="H2550" i="12"/>
  <c r="H2549" i="12"/>
  <c r="H2548" i="12"/>
  <c r="H2547" i="12"/>
  <c r="H2546" i="12"/>
  <c r="H2545" i="12"/>
  <c r="H2544" i="12"/>
  <c r="H2543" i="12"/>
  <c r="H2542" i="12"/>
  <c r="H2541" i="12"/>
  <c r="H2540" i="12"/>
  <c r="H2539" i="12"/>
  <c r="H2538" i="12"/>
  <c r="H2537" i="12"/>
  <c r="H2536" i="12"/>
  <c r="H2535" i="12"/>
  <c r="H2534" i="12"/>
  <c r="H2533" i="12"/>
  <c r="H2532" i="12"/>
  <c r="H2531" i="12"/>
  <c r="H2530" i="12"/>
  <c r="H2529" i="12"/>
  <c r="H2528" i="12"/>
  <c r="H2527" i="12"/>
  <c r="H2526" i="12"/>
  <c r="H2525" i="12"/>
  <c r="H2524" i="12"/>
  <c r="H2523" i="12"/>
  <c r="H2522" i="12"/>
  <c r="H2521" i="12"/>
  <c r="H2520" i="12"/>
  <c r="H2519" i="12"/>
  <c r="H2518" i="12"/>
  <c r="H2517" i="12"/>
  <c r="H2516" i="12"/>
  <c r="H2515" i="12"/>
  <c r="H2514" i="12"/>
  <c r="H2513" i="12"/>
  <c r="H2512" i="12"/>
  <c r="H2511" i="12"/>
  <c r="H2510" i="12"/>
  <c r="H2509" i="12"/>
  <c r="H2508" i="12"/>
  <c r="H2507" i="12"/>
  <c r="H2506" i="12"/>
  <c r="H2505" i="12"/>
  <c r="H2504" i="12"/>
  <c r="H2503" i="12"/>
  <c r="H2502" i="12"/>
  <c r="H2501" i="12"/>
  <c r="H2500" i="12"/>
  <c r="H2499" i="12"/>
  <c r="H2498" i="12"/>
  <c r="H2497" i="12"/>
  <c r="H2496" i="12"/>
  <c r="H2495" i="12"/>
  <c r="H2494" i="12"/>
  <c r="H2493" i="12"/>
  <c r="H2492" i="12"/>
  <c r="H2491" i="12"/>
  <c r="H2490" i="12"/>
  <c r="H2489" i="12"/>
  <c r="H2488" i="12"/>
  <c r="H2487" i="12"/>
  <c r="H2486" i="12"/>
  <c r="H2485" i="12"/>
  <c r="H2484" i="12"/>
  <c r="H2483" i="12"/>
  <c r="H2482" i="12"/>
  <c r="H2481" i="12"/>
  <c r="H2480" i="12"/>
  <c r="H2479" i="12"/>
  <c r="H2478" i="12"/>
  <c r="H2477" i="12"/>
  <c r="H2476" i="12"/>
  <c r="H2475" i="12"/>
  <c r="H2474" i="12"/>
  <c r="H2473" i="12"/>
  <c r="H2472" i="12"/>
  <c r="H2471" i="12"/>
  <c r="H2470" i="12"/>
  <c r="H2469" i="12"/>
  <c r="H2468" i="12"/>
  <c r="H2467" i="12"/>
  <c r="H2466" i="12"/>
  <c r="H2465" i="12"/>
  <c r="H2464" i="12"/>
  <c r="H2463" i="12"/>
  <c r="H2462" i="12"/>
  <c r="H2461" i="12"/>
  <c r="H2460" i="12"/>
  <c r="H2459" i="12"/>
  <c r="H2458" i="12"/>
  <c r="H2457" i="12"/>
  <c r="H2456" i="12"/>
  <c r="H2455" i="12"/>
  <c r="H2454" i="12"/>
  <c r="H2453" i="12"/>
  <c r="H2452" i="12"/>
  <c r="H2451" i="12"/>
  <c r="H2450" i="12"/>
  <c r="H2449" i="12"/>
  <c r="H2448" i="12"/>
  <c r="H2447" i="12"/>
  <c r="H2446" i="12"/>
  <c r="H2445" i="12"/>
  <c r="H2444" i="12"/>
  <c r="H2443" i="12"/>
  <c r="H2442" i="12"/>
  <c r="H2441" i="12"/>
  <c r="H2440" i="12"/>
  <c r="H2439" i="12"/>
  <c r="H2438" i="12"/>
  <c r="H2437" i="12"/>
  <c r="H2436" i="12"/>
  <c r="H2435" i="12"/>
  <c r="H2434" i="12"/>
  <c r="H2433" i="12"/>
  <c r="H2432" i="12"/>
  <c r="H2431" i="12"/>
  <c r="H2430" i="12"/>
  <c r="H2429" i="12"/>
  <c r="H2428" i="12"/>
  <c r="H2427" i="12"/>
  <c r="H2426" i="12"/>
  <c r="H2425" i="12"/>
  <c r="H2424" i="12"/>
  <c r="H2423" i="12"/>
  <c r="H2422" i="12"/>
  <c r="H2421" i="12"/>
  <c r="H2420" i="12"/>
  <c r="H2419" i="12"/>
  <c r="H2418" i="12"/>
  <c r="H2417" i="12"/>
  <c r="H2416" i="12"/>
  <c r="H2415" i="12"/>
  <c r="H2414" i="12"/>
  <c r="H2413" i="12"/>
  <c r="H2412" i="12"/>
  <c r="H2411" i="12"/>
  <c r="H2410" i="12"/>
  <c r="H2409" i="12"/>
  <c r="H2408" i="12"/>
  <c r="H2407" i="12"/>
  <c r="H2406" i="12"/>
  <c r="H2405" i="12"/>
  <c r="H2404" i="12"/>
  <c r="H2403" i="12"/>
  <c r="H2402" i="12"/>
  <c r="H2401" i="12"/>
  <c r="H2400" i="12"/>
  <c r="H2399" i="12"/>
  <c r="H2398" i="12"/>
  <c r="H2397" i="12"/>
  <c r="H2396" i="12"/>
  <c r="H2395" i="12"/>
  <c r="H2394" i="12"/>
  <c r="H2393" i="12"/>
  <c r="H2392" i="12"/>
  <c r="H2391" i="12"/>
  <c r="H2390" i="12"/>
  <c r="H2389" i="12"/>
  <c r="H2388" i="12"/>
  <c r="H2387" i="12"/>
  <c r="H2386" i="12"/>
  <c r="H2385" i="12"/>
  <c r="H2384" i="12"/>
  <c r="H2383" i="12"/>
  <c r="H2382" i="12"/>
  <c r="H2381" i="12"/>
  <c r="H2380" i="12"/>
  <c r="H2379" i="12"/>
  <c r="H2378" i="12"/>
  <c r="H2377" i="12"/>
  <c r="H2376" i="12"/>
  <c r="H2375" i="12"/>
  <c r="H2374" i="12"/>
  <c r="H2373" i="12"/>
  <c r="H2372" i="12"/>
  <c r="H2371" i="12"/>
  <c r="H2370" i="12"/>
  <c r="H2369" i="12"/>
  <c r="H2368" i="12"/>
  <c r="H2367" i="12"/>
  <c r="H2366" i="12"/>
  <c r="H2365" i="12"/>
  <c r="H2364" i="12"/>
  <c r="H2363" i="12"/>
  <c r="H2362" i="12"/>
  <c r="H2361" i="12"/>
  <c r="H2360" i="12"/>
  <c r="H2359" i="12"/>
  <c r="H2358" i="12"/>
  <c r="H2357" i="12"/>
  <c r="H2356" i="12"/>
  <c r="H2355" i="12"/>
  <c r="H2354" i="12"/>
  <c r="H2353" i="12"/>
  <c r="H2352" i="12"/>
  <c r="H2351" i="12"/>
  <c r="H2350" i="12"/>
  <c r="H2349" i="12"/>
  <c r="H2348" i="12"/>
  <c r="H2347" i="12"/>
  <c r="H2346" i="12"/>
  <c r="H2345" i="12"/>
  <c r="H2344" i="12"/>
  <c r="H2343" i="12"/>
  <c r="H2342" i="12"/>
  <c r="H2341" i="12"/>
  <c r="H2340" i="12"/>
  <c r="H2339" i="12"/>
  <c r="H2338" i="12"/>
  <c r="H2337" i="12"/>
  <c r="H2336" i="12"/>
  <c r="H2335" i="12"/>
  <c r="H2334" i="12"/>
  <c r="H2333" i="12"/>
  <c r="H2332" i="12"/>
  <c r="H2331" i="12"/>
  <c r="H2330" i="12"/>
  <c r="H2329" i="12"/>
  <c r="H2328" i="12"/>
  <c r="H2327" i="12"/>
  <c r="H2326" i="12"/>
  <c r="H2325" i="12"/>
  <c r="H2324" i="12"/>
  <c r="H2323" i="12"/>
  <c r="H2322" i="12"/>
  <c r="H2321" i="12"/>
  <c r="H2320" i="12"/>
  <c r="H2319" i="12"/>
  <c r="H2318" i="12"/>
  <c r="H2317" i="12"/>
  <c r="H2316" i="12"/>
  <c r="H2315" i="12"/>
  <c r="H2314" i="12"/>
  <c r="H2313" i="12"/>
  <c r="H2312" i="12"/>
  <c r="H2311" i="12"/>
  <c r="H2310" i="12"/>
  <c r="H2309" i="12"/>
  <c r="H2308" i="12"/>
  <c r="H2307" i="12"/>
  <c r="H2306" i="12"/>
  <c r="H2305" i="12"/>
  <c r="H2304" i="12"/>
  <c r="H2303" i="12"/>
  <c r="H2302" i="12"/>
  <c r="H2301" i="12"/>
  <c r="H2300" i="12"/>
  <c r="H2299" i="12"/>
  <c r="H2298" i="12"/>
  <c r="H2297" i="12"/>
  <c r="H2296" i="12"/>
  <c r="H2295" i="12"/>
  <c r="H2294" i="12"/>
  <c r="H2293" i="12"/>
  <c r="H2292" i="12"/>
  <c r="H2291" i="12"/>
  <c r="H2290" i="12"/>
  <c r="H2289" i="12"/>
  <c r="H2288" i="12"/>
  <c r="H2287" i="12"/>
  <c r="H2286" i="12"/>
  <c r="H2285" i="12"/>
  <c r="H2284" i="12"/>
  <c r="H2283" i="12"/>
  <c r="H2282" i="12"/>
  <c r="H2281" i="12"/>
  <c r="H2280" i="12"/>
  <c r="H2279" i="12"/>
  <c r="H2278" i="12"/>
  <c r="H2277" i="12"/>
  <c r="H2276" i="12"/>
  <c r="H2275" i="12"/>
  <c r="H2274" i="12"/>
  <c r="H2273" i="12"/>
  <c r="H2272" i="12"/>
  <c r="H2271" i="12"/>
  <c r="H2270" i="12"/>
  <c r="H2269" i="12"/>
  <c r="H2268" i="12"/>
  <c r="H2267" i="12"/>
  <c r="H2266" i="12"/>
  <c r="H2265" i="12"/>
  <c r="H2264" i="12"/>
  <c r="H2263" i="12"/>
  <c r="H2262" i="12"/>
  <c r="H2261" i="12"/>
  <c r="H2260" i="12"/>
  <c r="H2259" i="12"/>
  <c r="H2258" i="12"/>
  <c r="H2257" i="12"/>
  <c r="H2256" i="12"/>
  <c r="H2255" i="12"/>
  <c r="H2254" i="12"/>
  <c r="H2253" i="12"/>
  <c r="H2252" i="12"/>
  <c r="H2251" i="12"/>
  <c r="H2250" i="12"/>
  <c r="H2249" i="12"/>
  <c r="H2248" i="12"/>
  <c r="H2247" i="12"/>
  <c r="H2246" i="12"/>
  <c r="H2245" i="12"/>
  <c r="H2244" i="12"/>
  <c r="H2243" i="12"/>
  <c r="H2242" i="12"/>
  <c r="H2241" i="12"/>
  <c r="H2240" i="12"/>
  <c r="H2239" i="12"/>
  <c r="H2238" i="12"/>
  <c r="H2237" i="12"/>
  <c r="H2236" i="12"/>
  <c r="H2235" i="12"/>
  <c r="H2234" i="12"/>
  <c r="H2233" i="12"/>
  <c r="H2232" i="12"/>
  <c r="H2231" i="12"/>
  <c r="H2230" i="12"/>
  <c r="H2229" i="12"/>
  <c r="H2228" i="12"/>
  <c r="H2227" i="12"/>
  <c r="H2226" i="12"/>
  <c r="H2225" i="12"/>
  <c r="H2224" i="12"/>
  <c r="H2223" i="12"/>
  <c r="H2222" i="12"/>
  <c r="H2221" i="12"/>
  <c r="H2220" i="12"/>
  <c r="H2219" i="12"/>
  <c r="H2218" i="12"/>
  <c r="H2217" i="12"/>
  <c r="H2216" i="12"/>
  <c r="H2215" i="12"/>
  <c r="H2214" i="12"/>
  <c r="H2213" i="12"/>
  <c r="H2212" i="12"/>
  <c r="H2211" i="12"/>
  <c r="H2210" i="12"/>
  <c r="H2209" i="12"/>
  <c r="H2208" i="12"/>
  <c r="H2207" i="12"/>
  <c r="H2206" i="12"/>
  <c r="H2205" i="12"/>
  <c r="H2204" i="12"/>
  <c r="H2203" i="12"/>
  <c r="H2202" i="12"/>
  <c r="H2201" i="12"/>
  <c r="H2200" i="12"/>
  <c r="H2199" i="12"/>
  <c r="H2198" i="12"/>
  <c r="H2197" i="12"/>
  <c r="H2196" i="12"/>
  <c r="H2195" i="12"/>
  <c r="H2194" i="12"/>
  <c r="H2193" i="12"/>
  <c r="H2192" i="12"/>
  <c r="H2191" i="12"/>
  <c r="H2190" i="12"/>
  <c r="H2189" i="12"/>
  <c r="H2188" i="12"/>
  <c r="H2187" i="12"/>
  <c r="H2186" i="12"/>
  <c r="H2185" i="12"/>
  <c r="H2184" i="12"/>
  <c r="H2183" i="12"/>
  <c r="H2182" i="12"/>
  <c r="H2181" i="12"/>
  <c r="H2180" i="12"/>
  <c r="H2179" i="12"/>
  <c r="H2178" i="12"/>
  <c r="H2177" i="12"/>
  <c r="H2176" i="12"/>
  <c r="H2175" i="12"/>
  <c r="H2174" i="12"/>
  <c r="H2173" i="12"/>
  <c r="H2172" i="12"/>
  <c r="H2171" i="12"/>
  <c r="H2170" i="12"/>
  <c r="H2169" i="12"/>
  <c r="H2168" i="12"/>
  <c r="H2167" i="12"/>
  <c r="H2166" i="12"/>
  <c r="H2165" i="12"/>
  <c r="H2164" i="12"/>
  <c r="H2163" i="12"/>
  <c r="H2162" i="12"/>
  <c r="H2161" i="12"/>
  <c r="H2160" i="12"/>
  <c r="H2159" i="12"/>
  <c r="H2158" i="12"/>
  <c r="H2157" i="12"/>
  <c r="H2156" i="12"/>
  <c r="H2155" i="12"/>
  <c r="H2154" i="12"/>
  <c r="H2153" i="12"/>
  <c r="H2152" i="12"/>
  <c r="H2151" i="12"/>
  <c r="H2150" i="12"/>
  <c r="H2149" i="12"/>
  <c r="H2148" i="12"/>
  <c r="H2147" i="12"/>
  <c r="H2146" i="12"/>
  <c r="H2145" i="12"/>
  <c r="H2144" i="12"/>
  <c r="H2143" i="12"/>
  <c r="H2142" i="12"/>
  <c r="H2141" i="12"/>
  <c r="H2140" i="12"/>
  <c r="H2139" i="12"/>
  <c r="H2138" i="12"/>
  <c r="H2137" i="12"/>
  <c r="H2136" i="12"/>
  <c r="H2135" i="12"/>
  <c r="H2134" i="12"/>
  <c r="H2133" i="12"/>
  <c r="H2132" i="12"/>
  <c r="H2131" i="12"/>
  <c r="H2130" i="12"/>
  <c r="H2129" i="12"/>
  <c r="H2128" i="12"/>
  <c r="H2127" i="12"/>
  <c r="H2126" i="12"/>
  <c r="H2125" i="12"/>
  <c r="H2124" i="12"/>
  <c r="H2123" i="12"/>
  <c r="H2122" i="12"/>
  <c r="H2121" i="12"/>
  <c r="H2120" i="12"/>
  <c r="H2119" i="12"/>
  <c r="H2118" i="12"/>
  <c r="H2117" i="12"/>
  <c r="H2116" i="12"/>
  <c r="H2115" i="12"/>
  <c r="H2114" i="12"/>
  <c r="H2113" i="12"/>
  <c r="H2112" i="12"/>
  <c r="H2111" i="12"/>
  <c r="H2110" i="12"/>
  <c r="H2109" i="12"/>
  <c r="H2108" i="12"/>
  <c r="H2107" i="12"/>
  <c r="H2106" i="12"/>
  <c r="H2105" i="12"/>
  <c r="H2104" i="12"/>
  <c r="H2103" i="12"/>
  <c r="H2102" i="12"/>
  <c r="H2101" i="12"/>
  <c r="H2100" i="12"/>
  <c r="H2099" i="12"/>
  <c r="H2098" i="12"/>
  <c r="H2097" i="12"/>
  <c r="H2096" i="12"/>
  <c r="H2095" i="12"/>
  <c r="H2094" i="12"/>
  <c r="H2093" i="12"/>
  <c r="H2092" i="12"/>
  <c r="H2091" i="12"/>
  <c r="H2090" i="12"/>
  <c r="H2089" i="12"/>
  <c r="H2088" i="12"/>
  <c r="H2087" i="12"/>
  <c r="H2086" i="12"/>
  <c r="H2085" i="12"/>
  <c r="H2084" i="12"/>
  <c r="H2083" i="12"/>
  <c r="H2082" i="12"/>
  <c r="H2081" i="12"/>
  <c r="H2080" i="12"/>
  <c r="H2079" i="12"/>
  <c r="H2078" i="12"/>
  <c r="H2077" i="12"/>
  <c r="H2076" i="12"/>
  <c r="H2075" i="12"/>
  <c r="H2074" i="12"/>
  <c r="H2073" i="12"/>
  <c r="H2072" i="12"/>
  <c r="H2071" i="12"/>
  <c r="H2070" i="12"/>
  <c r="H2069" i="12"/>
  <c r="H2068" i="12"/>
  <c r="H2067" i="12"/>
  <c r="H2066" i="12"/>
  <c r="H2065" i="12"/>
  <c r="H2064" i="12"/>
  <c r="H2063" i="12"/>
  <c r="H2062" i="12"/>
  <c r="H2061" i="12"/>
  <c r="H2060" i="12"/>
  <c r="H2059" i="12"/>
  <c r="H2058" i="12"/>
  <c r="H2057" i="12"/>
  <c r="H2056" i="12"/>
  <c r="H2055" i="12"/>
  <c r="H2054" i="12"/>
  <c r="H2053" i="12"/>
  <c r="H2052" i="12"/>
  <c r="H2051" i="12"/>
  <c r="H2050" i="12"/>
  <c r="H2049" i="12"/>
  <c r="H2048" i="12"/>
  <c r="H2047" i="12"/>
  <c r="H2046" i="12"/>
  <c r="H2045" i="12"/>
  <c r="H2044" i="12"/>
  <c r="H2043" i="12"/>
  <c r="H2042" i="12"/>
  <c r="H2041" i="12"/>
  <c r="H2040" i="12"/>
  <c r="H2039" i="12"/>
  <c r="H2038" i="12"/>
  <c r="H2037" i="12"/>
  <c r="H2036" i="12"/>
  <c r="H2035" i="12"/>
  <c r="H2034" i="12"/>
  <c r="H2033" i="12"/>
  <c r="H2032" i="12"/>
  <c r="H2031" i="12"/>
  <c r="H2030" i="12"/>
  <c r="H2029" i="12"/>
  <c r="H2028" i="12"/>
  <c r="H2027" i="12"/>
  <c r="H2026" i="12"/>
  <c r="H2025" i="12"/>
  <c r="H2024" i="12"/>
  <c r="H2023" i="12"/>
  <c r="H2022" i="12"/>
  <c r="H2021" i="12"/>
  <c r="H2020" i="12"/>
  <c r="H2019" i="12"/>
  <c r="H2018" i="12"/>
  <c r="H2017" i="12"/>
  <c r="H2016" i="12"/>
  <c r="H2015" i="12"/>
  <c r="H2014" i="12"/>
  <c r="H2013" i="12"/>
  <c r="H2012" i="12"/>
  <c r="H2011" i="12"/>
  <c r="H2010" i="12"/>
  <c r="H2009" i="12"/>
  <c r="H2008" i="12"/>
  <c r="H2007" i="12"/>
  <c r="H2006" i="12"/>
  <c r="H2005" i="12"/>
  <c r="H2004" i="12"/>
  <c r="H2003" i="12"/>
  <c r="H2002" i="12"/>
  <c r="H2001" i="12"/>
  <c r="H2000" i="12"/>
  <c r="H1999" i="12"/>
  <c r="H1998" i="12"/>
  <c r="H1997" i="12"/>
  <c r="H1996" i="12"/>
  <c r="H1995" i="12"/>
  <c r="H1994" i="12"/>
  <c r="H1993" i="12"/>
  <c r="H1992" i="12"/>
  <c r="H1991" i="12"/>
  <c r="H1990" i="12"/>
  <c r="H1989" i="12"/>
  <c r="H1988" i="12"/>
  <c r="H1987" i="12"/>
  <c r="H1986" i="12"/>
  <c r="H1985" i="12"/>
  <c r="H1984" i="12"/>
  <c r="H1983" i="12"/>
  <c r="H1982" i="12"/>
  <c r="H1981" i="12"/>
  <c r="H1980" i="12"/>
  <c r="H1979" i="12"/>
  <c r="H1978" i="12"/>
  <c r="H1977" i="12"/>
  <c r="H1976" i="12"/>
  <c r="H1975" i="12"/>
  <c r="H1974" i="12"/>
  <c r="H1973" i="12"/>
  <c r="H1972" i="12"/>
  <c r="H1971" i="12"/>
  <c r="H1970" i="12"/>
  <c r="H1969" i="12"/>
  <c r="H1968" i="12"/>
  <c r="H1967" i="12"/>
  <c r="H1966" i="12"/>
  <c r="H1965" i="12"/>
  <c r="H1964" i="12"/>
  <c r="H1963" i="12"/>
  <c r="H1962" i="12"/>
  <c r="H1961" i="12"/>
  <c r="H1960" i="12"/>
  <c r="H1959" i="12"/>
  <c r="H1958" i="12"/>
  <c r="H1957" i="12"/>
  <c r="H1956" i="12"/>
  <c r="H1955" i="12"/>
  <c r="H1954" i="12"/>
  <c r="H1953" i="12"/>
  <c r="H1952" i="12"/>
  <c r="H1951" i="12"/>
  <c r="H1950" i="12"/>
  <c r="H1949" i="12"/>
  <c r="H1948" i="12"/>
  <c r="H1947" i="12"/>
  <c r="H1946" i="12"/>
  <c r="H1945" i="12"/>
  <c r="H1944" i="12"/>
  <c r="H1943" i="12"/>
  <c r="H1942" i="12"/>
  <c r="H1941" i="12"/>
  <c r="H1940" i="12"/>
  <c r="H1939" i="12"/>
  <c r="H1938" i="12"/>
  <c r="H1937" i="12"/>
  <c r="H1936" i="12"/>
  <c r="H1935" i="12"/>
  <c r="H1934" i="12"/>
  <c r="H1933" i="12"/>
  <c r="H1932" i="12"/>
  <c r="H1931" i="12"/>
  <c r="H1930" i="12"/>
  <c r="H1929" i="12"/>
  <c r="H1928" i="12"/>
  <c r="H1927" i="12"/>
  <c r="H1926" i="12"/>
  <c r="H1925" i="12"/>
  <c r="H1924" i="12"/>
  <c r="H1923" i="12"/>
  <c r="H1922" i="12"/>
  <c r="H1921" i="12"/>
  <c r="H1920" i="12"/>
  <c r="H1919" i="12"/>
  <c r="H1918" i="12"/>
  <c r="H1917" i="12"/>
  <c r="H1916" i="12"/>
  <c r="H1915" i="12"/>
  <c r="H1914" i="12"/>
  <c r="H1913" i="12"/>
  <c r="H1912" i="12"/>
  <c r="H1911" i="12"/>
  <c r="H1910" i="12"/>
  <c r="H1909" i="12"/>
  <c r="H1908" i="12"/>
  <c r="H1907" i="12"/>
  <c r="H1906" i="12"/>
  <c r="H1905" i="12"/>
  <c r="H1904" i="12"/>
  <c r="H1903" i="12"/>
  <c r="H1902" i="12"/>
  <c r="H1901" i="12"/>
  <c r="H1900" i="12"/>
  <c r="H1899" i="12"/>
  <c r="H1898" i="12"/>
  <c r="H1897" i="12"/>
  <c r="H1896" i="12"/>
  <c r="H1895" i="12"/>
  <c r="H1894" i="12"/>
  <c r="H1893" i="12"/>
  <c r="H1892" i="12"/>
  <c r="H1891" i="12"/>
  <c r="H1890" i="12"/>
  <c r="H1889" i="12"/>
  <c r="H1888" i="12"/>
  <c r="H1887" i="12"/>
  <c r="H1886" i="12"/>
  <c r="H1885" i="12"/>
  <c r="H1884" i="12"/>
  <c r="H1883" i="12"/>
  <c r="H1882" i="12"/>
  <c r="H1881" i="12"/>
  <c r="H1880" i="12"/>
  <c r="H1879" i="12"/>
  <c r="H1878" i="12"/>
  <c r="H1877" i="12"/>
  <c r="H1876" i="12"/>
  <c r="H1875" i="12"/>
  <c r="H1874" i="12"/>
  <c r="H1873" i="12"/>
  <c r="H1872" i="12"/>
  <c r="H1871" i="12"/>
  <c r="H1870" i="12"/>
  <c r="H1869" i="12"/>
  <c r="H1868" i="12"/>
  <c r="H1867" i="12"/>
  <c r="H1866" i="12"/>
  <c r="H1865" i="12"/>
  <c r="H1864" i="12"/>
  <c r="H1863" i="12"/>
  <c r="H1862" i="12"/>
  <c r="H1861" i="12"/>
  <c r="H1860" i="12"/>
  <c r="H1859" i="12"/>
  <c r="H1858" i="12"/>
  <c r="H1857" i="12"/>
  <c r="H1856" i="12"/>
  <c r="H1855" i="12"/>
  <c r="H1854" i="12"/>
  <c r="H1853" i="12"/>
  <c r="H1852" i="12"/>
  <c r="H1851" i="12"/>
  <c r="H1850" i="12"/>
  <c r="H1849" i="12"/>
  <c r="H1848" i="12"/>
  <c r="H1847" i="12"/>
  <c r="H1846" i="12"/>
  <c r="H1845" i="12"/>
  <c r="H1844" i="12"/>
  <c r="H1843" i="12"/>
  <c r="H1842" i="12"/>
  <c r="H1841" i="12"/>
  <c r="H1840" i="12"/>
  <c r="H1839" i="12"/>
  <c r="H1838" i="12"/>
  <c r="H1837" i="12"/>
  <c r="H1836" i="12"/>
  <c r="H1835" i="12"/>
  <c r="H1834" i="12"/>
  <c r="H1833" i="12"/>
  <c r="H1832" i="12"/>
  <c r="H1831" i="12"/>
  <c r="H1830" i="12"/>
  <c r="H1829" i="12"/>
  <c r="H1828" i="12"/>
  <c r="H1827" i="12"/>
  <c r="H1826" i="12"/>
  <c r="H1825" i="12"/>
  <c r="H1824" i="12"/>
  <c r="H1823" i="12"/>
  <c r="H1822" i="12"/>
  <c r="H1821" i="12"/>
  <c r="H1820" i="12"/>
  <c r="H1819" i="12"/>
  <c r="H1818" i="12"/>
  <c r="H1817" i="12"/>
  <c r="H1816" i="12"/>
  <c r="H1815" i="12"/>
  <c r="H1814" i="12"/>
  <c r="H1813" i="12"/>
  <c r="H1812" i="12"/>
  <c r="H1811" i="12"/>
  <c r="H1810" i="12"/>
  <c r="H1809" i="12"/>
  <c r="H1808" i="12"/>
  <c r="H1807" i="12"/>
  <c r="H1806" i="12"/>
  <c r="H1805" i="12"/>
  <c r="H1804" i="12"/>
  <c r="H1803" i="12"/>
  <c r="H1802" i="12"/>
  <c r="H1801" i="12"/>
  <c r="H1800" i="12"/>
  <c r="H1799" i="12"/>
  <c r="H1798" i="12"/>
  <c r="H1797" i="12"/>
  <c r="H1796" i="12"/>
  <c r="H1795" i="12"/>
  <c r="H1794" i="12"/>
  <c r="H1793" i="12"/>
  <c r="H1792" i="12"/>
  <c r="H1791" i="12"/>
  <c r="H1790" i="12"/>
  <c r="H1789" i="12"/>
  <c r="H1788" i="12"/>
  <c r="H1787" i="12"/>
  <c r="H1786" i="12"/>
  <c r="H1785" i="12"/>
  <c r="H1784" i="12"/>
  <c r="H1783" i="12"/>
  <c r="H1782" i="12"/>
  <c r="H1781" i="12"/>
  <c r="H1780" i="12"/>
  <c r="H1779" i="12"/>
  <c r="H1778" i="12"/>
  <c r="H1777" i="12"/>
  <c r="H1776" i="12"/>
  <c r="H1775" i="12"/>
  <c r="H1774" i="12"/>
  <c r="H1773" i="12"/>
  <c r="H1772" i="12"/>
  <c r="H1771" i="12"/>
  <c r="H1770" i="12"/>
  <c r="H1769" i="12"/>
  <c r="H1768" i="12"/>
  <c r="H1767" i="12"/>
  <c r="H1766" i="12"/>
  <c r="H1765" i="12"/>
  <c r="H1764" i="12"/>
  <c r="H1763" i="12"/>
  <c r="H1762" i="12"/>
  <c r="H1761" i="12"/>
  <c r="H1760" i="12"/>
  <c r="H1759" i="12"/>
  <c r="H1758" i="12"/>
  <c r="H1757" i="12"/>
  <c r="H1756" i="12"/>
  <c r="H1755" i="12"/>
  <c r="H1754" i="12"/>
  <c r="H1753" i="12"/>
  <c r="H1752" i="12"/>
  <c r="H1751" i="12"/>
  <c r="H1750" i="12"/>
  <c r="H1749" i="12"/>
  <c r="H1748" i="12"/>
  <c r="H1747" i="12"/>
  <c r="H1746" i="12"/>
  <c r="H1745" i="12"/>
  <c r="H1744" i="12"/>
  <c r="H1743" i="12"/>
  <c r="H1742" i="12"/>
  <c r="H1741" i="12"/>
  <c r="H1740" i="12"/>
  <c r="H1739" i="12"/>
  <c r="H1738" i="12"/>
  <c r="H1737" i="12"/>
  <c r="H1736" i="12"/>
  <c r="H1735" i="12"/>
  <c r="H1734" i="12"/>
  <c r="H1733" i="12"/>
  <c r="H1732" i="12"/>
  <c r="H1731" i="12"/>
  <c r="H1730" i="12"/>
  <c r="H1729" i="12"/>
  <c r="H1728" i="12"/>
  <c r="H1727" i="12"/>
  <c r="H1726" i="12"/>
  <c r="H1725" i="12"/>
  <c r="H1724" i="12"/>
  <c r="H1723" i="12"/>
  <c r="H1722" i="12"/>
  <c r="H1721" i="12"/>
  <c r="H1720" i="12"/>
  <c r="H1719" i="12"/>
  <c r="H1718" i="12"/>
  <c r="H1717" i="12"/>
  <c r="H1716" i="12"/>
  <c r="H1715" i="12"/>
  <c r="H1714" i="12"/>
  <c r="H1713" i="12"/>
  <c r="H1712" i="12"/>
  <c r="H1711" i="12"/>
  <c r="H1710" i="12"/>
  <c r="H1709" i="12"/>
  <c r="H1708" i="12"/>
  <c r="H1707" i="12"/>
  <c r="H1706" i="12"/>
  <c r="H1705" i="12"/>
  <c r="H1704" i="12"/>
  <c r="H1703" i="12"/>
  <c r="H1702" i="12"/>
  <c r="H1701" i="12"/>
  <c r="H1700" i="12"/>
  <c r="H1699" i="12"/>
  <c r="H1698" i="12"/>
  <c r="H1697" i="12"/>
  <c r="H1696" i="12"/>
  <c r="H1695" i="12"/>
  <c r="H1694" i="12"/>
  <c r="H1693" i="12"/>
  <c r="H1692" i="12"/>
  <c r="H1691" i="12"/>
  <c r="H1690" i="12"/>
  <c r="H1689" i="12"/>
  <c r="H1688" i="12"/>
  <c r="H1687" i="12"/>
  <c r="H1686" i="12"/>
  <c r="H1685" i="12"/>
  <c r="H1684" i="12"/>
  <c r="H1683" i="12"/>
  <c r="H1682" i="12"/>
  <c r="H1681" i="12"/>
  <c r="H1680" i="12"/>
  <c r="H1679" i="12"/>
  <c r="H1678" i="12"/>
  <c r="H1677" i="12"/>
  <c r="H1676" i="12"/>
  <c r="H1675" i="12"/>
  <c r="H1674" i="12"/>
  <c r="H1673" i="12"/>
  <c r="H1672" i="12"/>
  <c r="H1671" i="12"/>
  <c r="H1670" i="12"/>
  <c r="H1669" i="12"/>
  <c r="H1668" i="12"/>
  <c r="H1667" i="12"/>
  <c r="H1666" i="12"/>
  <c r="H1665" i="12"/>
  <c r="H1664" i="12"/>
  <c r="H1663" i="12"/>
  <c r="H1662" i="12"/>
  <c r="H1661" i="12"/>
  <c r="H1660" i="12"/>
  <c r="H1659" i="12"/>
  <c r="H1658" i="12"/>
  <c r="H1657" i="12"/>
  <c r="H1656" i="12"/>
  <c r="H1655" i="12"/>
  <c r="H1654" i="12"/>
  <c r="H1653" i="12"/>
  <c r="H1652" i="12"/>
  <c r="H1651" i="12"/>
  <c r="H1650" i="12"/>
  <c r="H1649" i="12"/>
  <c r="H1648" i="12"/>
  <c r="H1647" i="12"/>
  <c r="H1646" i="12"/>
  <c r="H1645" i="12"/>
  <c r="H1644" i="12"/>
  <c r="H1643" i="12"/>
  <c r="H1642" i="12"/>
  <c r="H1641" i="12"/>
  <c r="H1640" i="12"/>
  <c r="H1639" i="12"/>
  <c r="H1638" i="12"/>
  <c r="H1637" i="12"/>
  <c r="H1636" i="12"/>
  <c r="H1635" i="12"/>
  <c r="H1634" i="12"/>
  <c r="H1633" i="12"/>
  <c r="H1632" i="12"/>
  <c r="H1631" i="12"/>
  <c r="H1630" i="12"/>
  <c r="H1629" i="12"/>
  <c r="H1628" i="12"/>
  <c r="H1627" i="12"/>
  <c r="H1626" i="12"/>
  <c r="H1625" i="12"/>
  <c r="H1624" i="12"/>
  <c r="H1623" i="12"/>
  <c r="H1622" i="12"/>
  <c r="H1621" i="12"/>
  <c r="H1620" i="12"/>
  <c r="H1619" i="12"/>
  <c r="H1618" i="12"/>
  <c r="H1617" i="12"/>
  <c r="H1616" i="12"/>
  <c r="H1615" i="12"/>
  <c r="H1614" i="12"/>
  <c r="H1613" i="12"/>
  <c r="H1612" i="12"/>
  <c r="H1611" i="12"/>
  <c r="H1610" i="12"/>
  <c r="H1609" i="12"/>
  <c r="H1608" i="12"/>
  <c r="H1607" i="12"/>
  <c r="H1606" i="12"/>
  <c r="H1605" i="12"/>
  <c r="H1604" i="12"/>
  <c r="H1603" i="12"/>
  <c r="H1602" i="12"/>
  <c r="H1601" i="12"/>
  <c r="H1600" i="12"/>
  <c r="H1599" i="12"/>
  <c r="H1598" i="12"/>
  <c r="H1597" i="12"/>
  <c r="H1596" i="12"/>
  <c r="H1595" i="12"/>
  <c r="H1594" i="12"/>
  <c r="H1593" i="12"/>
  <c r="H1592" i="12"/>
  <c r="H1591" i="12"/>
  <c r="H1590" i="12"/>
  <c r="H1589" i="12"/>
  <c r="H1588" i="12"/>
  <c r="H1587" i="12"/>
  <c r="H1586" i="12"/>
  <c r="H1585" i="12"/>
  <c r="H1584" i="12"/>
  <c r="H1583" i="12"/>
  <c r="H1582" i="12"/>
  <c r="H1581" i="12"/>
  <c r="H1580" i="12"/>
  <c r="H1579" i="12"/>
  <c r="H1578" i="12"/>
  <c r="H1577" i="12"/>
  <c r="H1576" i="12"/>
  <c r="H1575" i="12"/>
  <c r="H1574" i="12"/>
  <c r="H1573" i="12"/>
  <c r="H1572" i="12"/>
  <c r="H1571" i="12"/>
  <c r="H1570" i="12"/>
  <c r="H1569" i="12"/>
  <c r="H1568" i="12"/>
  <c r="H1567" i="12"/>
  <c r="H1566" i="12"/>
  <c r="H1565" i="12"/>
  <c r="H1564" i="12"/>
  <c r="H1563" i="12"/>
  <c r="H1562" i="12"/>
  <c r="H1561" i="12"/>
  <c r="H1560" i="12"/>
  <c r="H1559" i="12"/>
  <c r="H1558" i="12"/>
  <c r="H1557" i="12"/>
  <c r="H1556" i="12"/>
  <c r="H1555" i="12"/>
  <c r="H1554" i="12"/>
  <c r="H1553" i="12"/>
  <c r="H1552" i="12"/>
  <c r="H1551" i="12"/>
  <c r="H1550" i="12"/>
  <c r="H1549" i="12"/>
  <c r="H1548" i="12"/>
  <c r="H1547" i="12"/>
  <c r="H1546" i="12"/>
  <c r="H1545" i="12"/>
  <c r="H1544" i="12"/>
  <c r="H1543" i="12"/>
  <c r="H1542" i="12"/>
  <c r="H1541" i="12"/>
  <c r="H1540" i="12"/>
  <c r="H1539" i="12"/>
  <c r="H1538" i="12"/>
  <c r="H1537" i="12"/>
  <c r="H1536" i="12"/>
  <c r="H1535" i="12"/>
  <c r="H1534" i="12"/>
  <c r="H1533" i="12"/>
  <c r="H1532" i="12"/>
  <c r="H1531" i="12"/>
  <c r="H1530" i="12"/>
  <c r="H1529" i="12"/>
  <c r="H1528" i="12"/>
  <c r="H1527" i="12"/>
  <c r="H1526" i="12"/>
  <c r="H1525" i="12"/>
  <c r="H1524" i="12"/>
  <c r="H1523" i="12"/>
  <c r="H1522" i="12"/>
  <c r="H1521" i="12"/>
  <c r="H1520" i="12"/>
  <c r="H1519" i="12"/>
  <c r="H1518" i="12"/>
  <c r="H1517" i="12"/>
  <c r="H1516" i="12"/>
  <c r="H1515" i="12"/>
  <c r="H1514" i="12"/>
  <c r="H1513" i="12"/>
  <c r="H1512" i="12"/>
  <c r="H1511" i="12"/>
  <c r="H1510" i="12"/>
  <c r="H1509" i="12"/>
  <c r="H1508" i="12"/>
  <c r="H1507" i="12"/>
  <c r="H1506" i="12"/>
  <c r="H1505" i="12"/>
  <c r="H1504" i="12"/>
  <c r="H1503" i="12"/>
  <c r="H1502" i="12"/>
  <c r="H1501" i="12"/>
  <c r="H1500" i="12"/>
  <c r="H1499" i="12"/>
  <c r="H1498" i="12"/>
  <c r="H1497" i="12"/>
  <c r="H1496" i="12"/>
  <c r="H1495" i="12"/>
  <c r="H1494" i="12"/>
  <c r="H1493" i="12"/>
  <c r="H1492" i="12"/>
  <c r="H1491" i="12"/>
  <c r="H1490" i="12"/>
  <c r="H1489" i="12"/>
  <c r="H1488" i="12"/>
  <c r="H1487" i="12"/>
  <c r="H1486" i="12"/>
  <c r="H1485" i="12"/>
  <c r="H1484" i="12"/>
  <c r="H1483" i="12"/>
  <c r="H1482" i="12"/>
  <c r="H1481" i="12"/>
  <c r="H1480" i="12"/>
  <c r="H1479" i="12"/>
  <c r="H1478" i="12"/>
  <c r="H1477" i="12"/>
  <c r="H1476" i="12"/>
  <c r="H1475" i="12"/>
  <c r="H1474" i="12"/>
  <c r="H1473" i="12"/>
  <c r="H1472" i="12"/>
  <c r="H1471" i="12"/>
  <c r="H1470" i="12"/>
  <c r="H1469" i="12"/>
  <c r="H1468" i="12"/>
  <c r="H1467" i="12"/>
  <c r="H1466" i="12"/>
  <c r="H1465" i="12"/>
  <c r="H1464" i="12"/>
  <c r="H1463" i="12"/>
  <c r="H1462" i="12"/>
  <c r="H1461" i="12"/>
  <c r="H1460" i="12"/>
  <c r="H1459" i="12"/>
  <c r="H1458" i="12"/>
  <c r="H1457" i="12"/>
  <c r="H1456" i="12"/>
  <c r="H1455" i="12"/>
  <c r="H1454" i="12"/>
  <c r="H1453" i="12"/>
  <c r="H1452" i="12"/>
  <c r="H1451" i="12"/>
  <c r="H1450" i="12"/>
  <c r="H1449" i="12"/>
  <c r="H1448" i="12"/>
  <c r="H1447" i="12"/>
  <c r="H1446" i="12"/>
  <c r="H1445" i="12"/>
  <c r="H1444" i="12"/>
  <c r="H1443" i="12"/>
  <c r="H1442" i="12"/>
  <c r="H1441" i="12"/>
  <c r="H1440" i="12"/>
  <c r="H1439" i="12"/>
  <c r="H1438" i="12"/>
  <c r="H1437" i="12"/>
  <c r="H1436" i="12"/>
  <c r="H1435" i="12"/>
  <c r="H1434" i="12"/>
  <c r="H1433" i="12"/>
  <c r="H1432" i="12"/>
  <c r="H1431" i="12"/>
  <c r="H1430" i="12"/>
  <c r="H1429" i="12"/>
  <c r="H1428" i="12"/>
  <c r="H1427" i="12"/>
  <c r="H1426" i="12"/>
  <c r="H1425" i="12"/>
  <c r="H1424" i="12"/>
  <c r="H1423" i="12"/>
  <c r="H1422" i="12"/>
  <c r="H1421" i="12"/>
  <c r="H1420" i="12"/>
  <c r="H1419" i="12"/>
  <c r="H1418" i="12"/>
  <c r="H1417" i="12"/>
  <c r="H1416" i="12"/>
  <c r="H1415" i="12"/>
  <c r="H1414" i="12"/>
  <c r="H1413" i="12"/>
  <c r="H1412" i="12"/>
  <c r="H1411" i="12"/>
  <c r="H1410" i="12"/>
  <c r="H1409" i="12"/>
  <c r="H1408" i="12"/>
  <c r="H1407" i="12"/>
  <c r="H1406" i="12"/>
  <c r="H1405" i="12"/>
  <c r="H1404" i="12"/>
  <c r="H1403" i="12"/>
  <c r="H1402" i="12"/>
  <c r="H1401" i="12"/>
  <c r="H1400" i="12"/>
  <c r="H1399" i="12"/>
  <c r="H1398" i="12"/>
  <c r="H1397" i="12"/>
  <c r="H1396" i="12"/>
  <c r="H1395" i="12"/>
  <c r="H1394" i="12"/>
  <c r="H1393" i="12"/>
  <c r="H1392" i="12"/>
  <c r="H1391" i="12"/>
  <c r="H1390" i="12"/>
  <c r="H1389" i="12"/>
  <c r="H1388" i="12"/>
  <c r="H1387" i="12"/>
  <c r="H1386" i="12"/>
  <c r="H1385" i="12"/>
  <c r="H1384" i="12"/>
  <c r="H1383" i="12"/>
  <c r="H1382" i="12"/>
  <c r="H1381" i="12"/>
  <c r="H1380" i="12"/>
  <c r="H1379" i="12"/>
  <c r="H1378" i="12"/>
  <c r="H1377" i="12"/>
  <c r="H1376" i="12"/>
  <c r="H1375" i="12"/>
  <c r="H1374" i="12"/>
  <c r="H1373" i="12"/>
  <c r="H1372" i="12"/>
  <c r="H1371" i="12"/>
  <c r="H1370" i="12"/>
  <c r="H1369" i="12"/>
  <c r="H1368" i="12"/>
  <c r="H1367" i="12"/>
  <c r="H1366" i="12"/>
  <c r="H1365" i="12"/>
  <c r="H1364" i="12"/>
  <c r="H1363" i="12"/>
  <c r="H1362" i="12"/>
  <c r="H1361" i="12"/>
  <c r="H1360" i="12"/>
  <c r="H1359" i="12"/>
  <c r="H1358" i="12"/>
  <c r="H1357" i="12"/>
  <c r="H1356" i="12"/>
  <c r="H1355" i="12"/>
  <c r="H1354" i="12"/>
  <c r="H1353" i="12"/>
  <c r="H1352" i="12"/>
  <c r="H1351" i="12"/>
  <c r="H1350" i="12"/>
  <c r="H1349" i="12"/>
  <c r="H1348" i="12"/>
  <c r="H1347" i="12"/>
  <c r="H1346" i="12"/>
  <c r="H1345" i="12"/>
  <c r="H1344" i="12"/>
  <c r="H1343" i="12"/>
  <c r="H1342" i="12"/>
  <c r="H1341" i="12"/>
  <c r="H1340" i="12"/>
  <c r="H1339" i="12"/>
  <c r="H1338" i="12"/>
  <c r="H1337" i="12"/>
  <c r="H1336" i="12"/>
  <c r="H1335" i="12"/>
  <c r="H1334" i="12"/>
  <c r="H1333" i="12"/>
  <c r="H1332" i="12"/>
  <c r="H1331" i="12"/>
  <c r="H1330" i="12"/>
  <c r="H1329" i="12"/>
  <c r="H1328" i="12"/>
  <c r="H1327" i="12"/>
  <c r="H1326" i="12"/>
  <c r="H1325" i="12"/>
  <c r="H1324" i="12"/>
  <c r="H1323" i="12"/>
  <c r="H1322" i="12"/>
  <c r="H1321" i="12"/>
  <c r="H1320" i="12"/>
  <c r="H1319" i="12"/>
  <c r="H1318" i="12"/>
  <c r="H1317" i="12"/>
  <c r="H1316" i="12"/>
  <c r="H1315" i="12"/>
  <c r="H1314" i="12"/>
  <c r="H1313" i="12"/>
  <c r="H1312" i="12"/>
  <c r="H1311" i="12"/>
  <c r="H1310" i="12"/>
  <c r="H1309" i="12"/>
  <c r="H1308" i="12"/>
  <c r="H1307" i="12"/>
  <c r="H1306" i="12"/>
  <c r="H1305" i="12"/>
  <c r="H1304" i="12"/>
  <c r="H1303" i="12"/>
  <c r="H1302" i="12"/>
  <c r="H1301" i="12"/>
  <c r="H1300" i="12"/>
  <c r="H1299" i="12"/>
  <c r="H1298" i="12"/>
  <c r="H1297" i="12"/>
  <c r="H1296" i="12"/>
  <c r="H1295" i="12"/>
  <c r="H1294" i="12"/>
  <c r="H1293" i="12"/>
  <c r="H1292" i="12"/>
  <c r="H1291" i="12"/>
  <c r="H1290" i="12"/>
  <c r="H1289" i="12"/>
  <c r="H1288" i="12"/>
  <c r="H1287" i="12"/>
  <c r="H1286" i="12"/>
  <c r="H1285" i="12"/>
  <c r="H1284" i="12"/>
  <c r="H1283" i="12"/>
  <c r="H1282" i="12"/>
  <c r="H1281" i="12"/>
  <c r="H1280" i="12"/>
  <c r="H1279" i="12"/>
  <c r="H1278" i="12"/>
  <c r="H1277" i="12"/>
  <c r="H1276" i="12"/>
  <c r="H1275" i="12"/>
  <c r="H1274" i="12"/>
  <c r="H1273" i="12"/>
  <c r="H1272" i="12"/>
  <c r="H1271" i="12"/>
  <c r="H1270" i="12"/>
  <c r="H1269" i="12"/>
  <c r="H1268" i="12"/>
  <c r="H1267" i="12"/>
  <c r="H1266" i="12"/>
  <c r="H1265" i="12"/>
  <c r="H1264" i="12"/>
  <c r="H1263" i="12"/>
  <c r="H1262" i="12"/>
  <c r="H1261" i="12"/>
  <c r="H1260" i="12"/>
  <c r="H1259" i="12"/>
  <c r="H1258" i="12"/>
  <c r="H1257" i="12"/>
  <c r="H1256" i="12"/>
  <c r="H1255" i="12"/>
  <c r="H1254" i="12"/>
  <c r="H1253" i="12"/>
  <c r="H1252" i="12"/>
  <c r="H1251" i="12"/>
  <c r="H1250" i="12"/>
  <c r="H1249" i="12"/>
  <c r="H1248" i="12"/>
  <c r="H1247" i="12"/>
  <c r="H1246" i="12"/>
  <c r="H1245" i="12"/>
  <c r="H1244" i="12"/>
  <c r="H1243" i="12"/>
  <c r="H1242" i="12"/>
  <c r="H1241" i="12"/>
  <c r="H1240" i="12"/>
  <c r="H1239" i="12"/>
  <c r="H1238" i="12"/>
  <c r="H1237" i="12"/>
  <c r="H1236" i="12"/>
  <c r="H1235" i="12"/>
  <c r="H1234" i="12"/>
  <c r="H1233" i="12"/>
  <c r="H1232" i="12"/>
  <c r="H1231" i="12"/>
  <c r="H1230" i="12"/>
  <c r="H1229" i="12"/>
  <c r="H1228" i="12"/>
  <c r="H1227" i="12"/>
  <c r="H1226" i="12"/>
  <c r="H1225" i="12"/>
  <c r="H1224" i="12"/>
  <c r="H1223" i="12"/>
  <c r="H1222" i="12"/>
  <c r="H1221" i="12"/>
  <c r="H1220" i="12"/>
  <c r="H1219" i="12"/>
  <c r="H1218" i="12"/>
  <c r="H1217" i="12"/>
  <c r="H1216" i="12"/>
  <c r="H1215" i="12"/>
  <c r="H1214" i="12"/>
  <c r="H1213" i="12"/>
  <c r="H1212" i="12"/>
  <c r="H1211" i="12"/>
  <c r="H1210" i="12"/>
  <c r="H1209" i="12"/>
  <c r="H1208" i="12"/>
  <c r="H1207" i="12"/>
  <c r="H1206" i="12"/>
  <c r="H1205" i="12"/>
  <c r="H1204" i="12"/>
  <c r="H1203" i="12"/>
  <c r="H1202" i="12"/>
  <c r="H1201" i="12"/>
  <c r="H1200" i="12"/>
  <c r="H1199" i="12"/>
  <c r="H1198" i="12"/>
  <c r="H1197" i="12"/>
  <c r="H1196" i="12"/>
  <c r="H1195" i="12"/>
  <c r="H1194" i="12"/>
  <c r="H1193" i="12"/>
  <c r="H1192" i="12"/>
  <c r="H1191" i="12"/>
  <c r="H1190" i="12"/>
  <c r="H1189" i="12"/>
  <c r="H1188" i="12"/>
  <c r="H1187" i="12"/>
  <c r="H1186" i="12"/>
  <c r="H1185" i="12"/>
  <c r="H1184" i="12"/>
  <c r="H1183" i="12"/>
  <c r="H1182" i="12"/>
  <c r="H1181" i="12"/>
  <c r="H1180" i="12"/>
  <c r="H1179" i="12"/>
  <c r="H1178" i="12"/>
  <c r="H1177" i="12"/>
  <c r="H1176" i="12"/>
  <c r="H1175" i="12"/>
  <c r="H1174" i="12"/>
  <c r="H1173" i="12"/>
  <c r="H1172" i="12"/>
  <c r="H1171" i="12"/>
  <c r="H1170" i="12"/>
  <c r="H1169" i="12"/>
  <c r="H1168" i="12"/>
  <c r="H1167" i="12"/>
  <c r="H1166" i="12"/>
  <c r="H1165" i="12"/>
  <c r="H1164" i="12"/>
  <c r="H1163" i="12"/>
  <c r="H1162" i="12"/>
  <c r="H1161" i="12"/>
  <c r="H1160" i="12"/>
  <c r="H1159" i="12"/>
  <c r="H1158" i="12"/>
  <c r="H1157" i="12"/>
  <c r="H1156" i="12"/>
  <c r="H1155" i="12"/>
  <c r="H1154" i="12"/>
  <c r="H1153" i="12"/>
  <c r="H1152" i="12"/>
  <c r="H1151" i="12"/>
  <c r="H1150" i="12"/>
  <c r="H1149" i="12"/>
  <c r="H1148" i="12"/>
  <c r="H1147" i="12"/>
  <c r="H1146" i="12"/>
  <c r="H1145" i="12"/>
  <c r="H1144" i="12"/>
  <c r="H1143" i="12"/>
  <c r="H1142" i="12"/>
  <c r="H1141" i="12"/>
  <c r="H1140" i="12"/>
  <c r="H1139" i="12"/>
  <c r="H1138" i="12"/>
  <c r="H1137" i="12"/>
  <c r="H1136" i="12"/>
  <c r="H1135" i="12"/>
  <c r="H1134" i="12"/>
  <c r="H1133" i="12"/>
  <c r="H1132" i="12"/>
  <c r="H1131" i="12"/>
  <c r="H1130" i="12"/>
  <c r="H1129" i="12"/>
  <c r="H1128" i="12"/>
  <c r="H1127" i="12"/>
  <c r="H1126" i="12"/>
  <c r="H1125" i="12"/>
  <c r="H1124" i="12"/>
  <c r="H1123" i="12"/>
  <c r="H1122" i="12"/>
  <c r="H1121" i="12"/>
  <c r="H1120" i="12"/>
  <c r="H1119" i="12"/>
  <c r="H1118" i="12"/>
  <c r="H1117" i="12"/>
  <c r="H1116" i="12"/>
  <c r="H1115" i="12"/>
  <c r="H1114" i="12"/>
  <c r="H1113" i="12"/>
  <c r="H1112" i="12"/>
  <c r="H1111" i="12"/>
  <c r="H1110" i="12"/>
  <c r="H1109" i="12"/>
  <c r="H1108" i="12"/>
  <c r="H1107" i="12"/>
  <c r="H1106" i="12"/>
  <c r="H1105" i="12"/>
  <c r="H1104" i="12"/>
  <c r="H1103" i="12"/>
  <c r="H1102" i="12"/>
  <c r="H1101" i="12"/>
  <c r="H1100" i="12"/>
  <c r="H1099" i="12"/>
  <c r="H1098" i="12"/>
  <c r="H1097" i="12"/>
  <c r="H1096" i="12"/>
  <c r="H1095" i="12"/>
  <c r="H1094" i="12"/>
  <c r="H1093" i="12"/>
  <c r="H1092" i="12"/>
  <c r="H1091" i="12"/>
  <c r="H1090" i="12"/>
  <c r="H1089" i="12"/>
  <c r="H1088" i="12"/>
  <c r="H1087" i="12"/>
  <c r="H1086" i="12"/>
  <c r="H1085" i="12"/>
  <c r="H1084" i="12"/>
  <c r="H1083" i="12"/>
  <c r="H1082" i="12"/>
  <c r="H1081" i="12"/>
  <c r="H1080" i="12"/>
  <c r="H1079" i="12"/>
  <c r="H1078" i="12"/>
  <c r="H1077" i="12"/>
  <c r="H1076" i="12"/>
  <c r="H1075" i="12"/>
  <c r="H1074" i="12"/>
  <c r="H1073" i="12"/>
  <c r="H1072" i="12"/>
  <c r="H1071" i="12"/>
  <c r="H1070" i="12"/>
  <c r="H1069" i="12"/>
  <c r="H1068" i="12"/>
  <c r="H1067" i="12"/>
  <c r="H1066" i="12"/>
  <c r="H1065" i="12"/>
  <c r="H1064" i="12"/>
  <c r="H1063" i="12"/>
  <c r="H1062" i="12"/>
  <c r="H1061" i="12"/>
  <c r="H1060" i="12"/>
  <c r="H1059" i="12"/>
  <c r="H1058" i="12"/>
  <c r="H1057" i="12"/>
  <c r="H1056" i="12"/>
  <c r="H1055" i="12"/>
  <c r="H1054" i="12"/>
  <c r="H1053" i="12"/>
  <c r="H1052" i="12"/>
  <c r="H1051" i="12"/>
  <c r="H1050" i="12"/>
  <c r="H1049" i="12"/>
  <c r="H1048" i="12"/>
  <c r="H1047" i="12"/>
  <c r="H1046" i="12"/>
  <c r="H1045" i="12"/>
  <c r="H1044" i="12"/>
  <c r="H1043" i="12"/>
  <c r="H1042" i="12"/>
  <c r="H1040" i="12"/>
  <c r="H1039" i="12"/>
  <c r="H1038" i="12"/>
  <c r="H1037" i="12"/>
  <c r="H1034" i="12"/>
  <c r="H1033" i="12"/>
  <c r="H1025" i="12"/>
  <c r="H1024" i="12"/>
  <c r="H1023" i="12"/>
  <c r="H1022" i="12"/>
  <c r="H1021" i="12"/>
  <c r="H1020" i="12"/>
  <c r="H1019" i="12"/>
  <c r="H1018" i="12"/>
  <c r="H1017" i="12"/>
  <c r="H1016" i="12"/>
  <c r="H1015" i="12"/>
  <c r="H1014" i="12"/>
  <c r="H1013" i="12"/>
  <c r="H1012" i="12"/>
  <c r="H1011" i="12"/>
  <c r="H1010" i="12"/>
  <c r="H1009" i="12"/>
  <c r="H1008" i="12"/>
  <c r="H1007" i="12"/>
  <c r="H1006" i="12"/>
  <c r="H1005" i="12"/>
  <c r="H1004" i="12"/>
  <c r="H1003" i="12"/>
  <c r="H1002" i="12"/>
  <c r="H1001" i="12"/>
  <c r="H1000" i="12"/>
  <c r="H999" i="12"/>
  <c r="H998" i="12"/>
  <c r="H997" i="12"/>
  <c r="H996" i="12"/>
  <c r="H995" i="12"/>
  <c r="H994" i="12"/>
  <c r="H993" i="12"/>
  <c r="H992" i="12"/>
  <c r="H991" i="12"/>
  <c r="H990" i="12"/>
  <c r="H989" i="12"/>
  <c r="H988" i="12"/>
  <c r="H987" i="12"/>
  <c r="H986" i="12"/>
  <c r="H985" i="12"/>
  <c r="H984" i="12"/>
  <c r="H983" i="12"/>
  <c r="H982" i="12"/>
  <c r="H981" i="12"/>
  <c r="H980" i="12"/>
  <c r="H979" i="12"/>
  <c r="H978" i="12"/>
  <c r="H977" i="12"/>
  <c r="H976" i="12"/>
  <c r="H975" i="12"/>
  <c r="H974" i="12"/>
  <c r="H973" i="12"/>
  <c r="H972" i="12"/>
  <c r="H971" i="12"/>
  <c r="H970" i="12"/>
  <c r="H969" i="12"/>
  <c r="H968" i="12"/>
  <c r="H967" i="12"/>
  <c r="H966" i="12"/>
  <c r="H965" i="12"/>
  <c r="H964" i="12"/>
  <c r="H963" i="12"/>
  <c r="H962" i="12"/>
  <c r="H961" i="12"/>
  <c r="H960" i="12"/>
  <c r="H959" i="12"/>
  <c r="H958" i="12"/>
  <c r="H957" i="12"/>
  <c r="H956" i="12"/>
  <c r="H955" i="12"/>
  <c r="H954" i="12"/>
  <c r="H953" i="12"/>
  <c r="H952" i="12"/>
  <c r="H951" i="12"/>
  <c r="H950" i="12"/>
  <c r="H949" i="12"/>
  <c r="H948" i="12"/>
  <c r="H947" i="12"/>
  <c r="H946" i="12"/>
  <c r="H945" i="12"/>
  <c r="H944" i="12"/>
  <c r="H943" i="12"/>
  <c r="H942" i="12"/>
  <c r="H941" i="12"/>
  <c r="H940" i="12"/>
  <c r="H939" i="12"/>
  <c r="H938" i="12"/>
  <c r="H937" i="12"/>
  <c r="H936" i="12"/>
  <c r="H935" i="12"/>
  <c r="H934" i="12"/>
  <c r="H933" i="12"/>
  <c r="H932" i="12"/>
  <c r="H931" i="12"/>
  <c r="H930" i="12"/>
  <c r="H929" i="12"/>
  <c r="H928" i="12"/>
  <c r="H927" i="12"/>
  <c r="H926" i="12"/>
  <c r="H925" i="12"/>
  <c r="H924" i="12"/>
  <c r="H923" i="12"/>
  <c r="H922" i="12"/>
  <c r="H921" i="12"/>
  <c r="H920" i="12"/>
  <c r="H919" i="12"/>
  <c r="H918" i="12"/>
  <c r="H917" i="12"/>
  <c r="H916" i="12"/>
  <c r="H915" i="12"/>
  <c r="H914" i="12"/>
  <c r="H913" i="12"/>
  <c r="H912" i="12"/>
  <c r="H911" i="12"/>
  <c r="H910" i="12"/>
  <c r="H909" i="12"/>
  <c r="H908" i="12"/>
  <c r="H907" i="12"/>
  <c r="H906" i="12"/>
  <c r="H905" i="12"/>
  <c r="H904" i="12"/>
  <c r="H903" i="12"/>
  <c r="H902" i="12"/>
  <c r="H901" i="12"/>
  <c r="H900" i="12"/>
  <c r="H899" i="12"/>
  <c r="H898" i="12"/>
  <c r="H897" i="12"/>
  <c r="H896" i="12"/>
  <c r="H895" i="12"/>
  <c r="H894" i="12"/>
  <c r="H893" i="12"/>
  <c r="H892" i="12"/>
  <c r="H891" i="12"/>
  <c r="H890" i="12"/>
  <c r="H889" i="12"/>
  <c r="H888" i="12"/>
  <c r="H887" i="12"/>
  <c r="H886" i="12"/>
  <c r="H885" i="12"/>
  <c r="H884" i="12"/>
  <c r="H883" i="12"/>
  <c r="H882" i="12"/>
  <c r="H881" i="12"/>
  <c r="H880" i="12"/>
  <c r="H879" i="12"/>
  <c r="H878" i="12"/>
  <c r="H877" i="12"/>
  <c r="H876" i="12"/>
  <c r="H875" i="12"/>
  <c r="H874" i="12"/>
  <c r="H873" i="12"/>
  <c r="H872" i="12"/>
  <c r="H871" i="12"/>
  <c r="H870" i="12"/>
  <c r="H869" i="12"/>
  <c r="H868" i="12"/>
  <c r="H867" i="12"/>
  <c r="H866" i="12"/>
  <c r="H865" i="12"/>
  <c r="H864" i="12"/>
  <c r="H863" i="12"/>
  <c r="H862" i="12"/>
  <c r="H861" i="12"/>
  <c r="H860" i="12"/>
  <c r="H859" i="12"/>
  <c r="H858" i="12"/>
  <c r="H857" i="12"/>
  <c r="H856" i="12"/>
  <c r="H855" i="12"/>
  <c r="H854" i="12"/>
  <c r="H853" i="12"/>
  <c r="H852" i="12"/>
  <c r="H851" i="12"/>
  <c r="H850" i="12"/>
  <c r="H849" i="12"/>
  <c r="H848" i="12"/>
  <c r="H847" i="12"/>
  <c r="H846" i="12"/>
  <c r="H845" i="12"/>
  <c r="H844" i="12"/>
  <c r="H843" i="12"/>
  <c r="H842" i="12"/>
  <c r="H841" i="12"/>
  <c r="H840" i="12"/>
  <c r="H839" i="12"/>
  <c r="H838" i="12"/>
  <c r="H837" i="12"/>
  <c r="H836" i="12"/>
  <c r="H835" i="12"/>
  <c r="H834" i="12"/>
  <c r="H833" i="12"/>
  <c r="H832" i="12"/>
  <c r="H831" i="12"/>
  <c r="H830" i="12"/>
  <c r="H829" i="12"/>
  <c r="H828" i="12"/>
  <c r="H827" i="12"/>
  <c r="H826" i="12"/>
  <c r="H825" i="12"/>
  <c r="H824" i="12"/>
  <c r="H823" i="12"/>
  <c r="H822" i="12"/>
  <c r="H821" i="12"/>
  <c r="H820" i="12"/>
  <c r="H819" i="12"/>
  <c r="H818" i="12"/>
  <c r="H817" i="12"/>
  <c r="H816" i="12"/>
  <c r="H815" i="12"/>
  <c r="H814" i="12"/>
  <c r="H813" i="12"/>
  <c r="H812" i="12"/>
  <c r="H811" i="12"/>
  <c r="H810" i="12"/>
  <c r="H809" i="12"/>
  <c r="H808" i="12"/>
  <c r="H807" i="12"/>
  <c r="H806" i="12"/>
  <c r="H805" i="12"/>
  <c r="H804" i="12"/>
  <c r="H803" i="12"/>
  <c r="H802" i="12"/>
  <c r="H801" i="12"/>
  <c r="H800" i="12"/>
  <c r="H799" i="12"/>
  <c r="H798" i="12"/>
  <c r="H797" i="12"/>
  <c r="H796" i="12"/>
  <c r="H795" i="12"/>
  <c r="H794" i="12"/>
  <c r="H793" i="12"/>
  <c r="H792" i="12"/>
  <c r="H791" i="12"/>
  <c r="H790" i="12"/>
  <c r="H789" i="12"/>
  <c r="H788" i="12"/>
  <c r="H787" i="12"/>
  <c r="H786" i="12"/>
  <c r="H785" i="12"/>
  <c r="H784" i="12"/>
  <c r="H783" i="12"/>
  <c r="H782" i="12"/>
  <c r="H781" i="12"/>
  <c r="H780" i="12"/>
  <c r="H779" i="12"/>
  <c r="H778" i="12"/>
  <c r="H777" i="12"/>
  <c r="H776" i="12"/>
  <c r="H775" i="12"/>
  <c r="H774" i="12"/>
  <c r="H773" i="12"/>
  <c r="H772" i="12"/>
  <c r="H771" i="12"/>
  <c r="H770" i="12"/>
  <c r="H769" i="12"/>
  <c r="H768" i="12"/>
  <c r="H767" i="12"/>
  <c r="H766" i="12"/>
  <c r="H765" i="12"/>
  <c r="H764" i="12"/>
  <c r="H763" i="12"/>
  <c r="H761" i="12"/>
  <c r="H760" i="12"/>
  <c r="H759" i="12"/>
  <c r="H758" i="12"/>
  <c r="H757" i="12"/>
  <c r="H756" i="12"/>
  <c r="H755" i="12"/>
  <c r="H754" i="12"/>
  <c r="H753" i="12"/>
  <c r="H752" i="12"/>
  <c r="H751" i="12"/>
  <c r="H750" i="12"/>
  <c r="H749" i="12"/>
  <c r="H748" i="12"/>
  <c r="H747" i="12"/>
  <c r="H746" i="12"/>
  <c r="H745" i="12"/>
  <c r="H744" i="12"/>
  <c r="H743" i="12"/>
  <c r="H742" i="12"/>
  <c r="H741" i="12"/>
  <c r="H740" i="12"/>
  <c r="H739" i="12"/>
  <c r="H738" i="12"/>
  <c r="H737" i="12"/>
  <c r="H736" i="12"/>
  <c r="H735" i="12"/>
  <c r="H734" i="12"/>
  <c r="H733" i="12"/>
  <c r="H732" i="12"/>
  <c r="H731" i="12"/>
  <c r="H730" i="12"/>
  <c r="H729" i="12"/>
  <c r="H728" i="12"/>
  <c r="H727" i="12"/>
  <c r="H726" i="12"/>
  <c r="H725" i="12"/>
  <c r="H724" i="12"/>
  <c r="H723" i="12"/>
  <c r="H722" i="12"/>
  <c r="H721" i="12"/>
  <c r="H720" i="12"/>
  <c r="H719" i="12"/>
  <c r="H718" i="12"/>
  <c r="H717" i="12"/>
  <c r="H716" i="12"/>
  <c r="H715" i="12"/>
  <c r="H714" i="12"/>
  <c r="H713" i="12"/>
  <c r="H712" i="12"/>
  <c r="H711" i="12"/>
  <c r="H710" i="12"/>
  <c r="H709" i="12"/>
  <c r="H708" i="12"/>
  <c r="H707" i="12"/>
  <c r="H706" i="12"/>
  <c r="H705" i="12"/>
  <c r="H704" i="12"/>
  <c r="H703" i="12"/>
  <c r="H701" i="12"/>
  <c r="H700" i="12"/>
  <c r="H699" i="12"/>
  <c r="H698" i="12"/>
  <c r="H697" i="12"/>
  <c r="H696" i="12"/>
  <c r="H695" i="12"/>
  <c r="H694" i="12"/>
  <c r="H693" i="12"/>
  <c r="H692" i="12"/>
  <c r="H691" i="12"/>
  <c r="H690" i="12"/>
  <c r="H689" i="12"/>
  <c r="H688" i="12"/>
  <c r="H687" i="12"/>
  <c r="H686" i="12"/>
  <c r="H685" i="12"/>
  <c r="H684" i="12"/>
  <c r="H683" i="12"/>
  <c r="H682" i="12"/>
  <c r="H681" i="12"/>
  <c r="H680" i="12"/>
  <c r="H679" i="12"/>
  <c r="H678" i="12"/>
  <c r="H677" i="12"/>
  <c r="H676" i="12"/>
  <c r="H675" i="12"/>
  <c r="H674" i="12"/>
  <c r="H673" i="12"/>
  <c r="H672" i="12"/>
  <c r="H671" i="12"/>
  <c r="H670" i="12"/>
  <c r="H669" i="12"/>
  <c r="H668" i="12"/>
  <c r="H667" i="12"/>
  <c r="H666" i="12"/>
  <c r="H665" i="12"/>
  <c r="H664" i="12"/>
  <c r="H663" i="12"/>
  <c r="H662" i="12"/>
  <c r="H661" i="12"/>
  <c r="H660" i="12"/>
  <c r="H659" i="12"/>
  <c r="H658" i="12"/>
  <c r="H657" i="12"/>
  <c r="H656" i="12"/>
  <c r="H655" i="12"/>
  <c r="H654" i="12"/>
  <c r="H653" i="12"/>
  <c r="H652" i="12"/>
  <c r="H651" i="12"/>
  <c r="H650" i="12"/>
  <c r="H649" i="12"/>
  <c r="H648" i="12"/>
  <c r="H647" i="12"/>
  <c r="H646" i="12"/>
  <c r="H645" i="12"/>
  <c r="H644" i="12"/>
  <c r="H643" i="12"/>
  <c r="H642" i="12"/>
  <c r="H641" i="12"/>
  <c r="H640" i="12"/>
  <c r="H639" i="12"/>
  <c r="H638" i="12"/>
  <c r="H637" i="12"/>
  <c r="H636" i="12"/>
  <c r="H635" i="12"/>
  <c r="H634" i="12"/>
  <c r="H633" i="12"/>
  <c r="H632" i="12"/>
  <c r="H631" i="12"/>
  <c r="H630" i="12"/>
  <c r="H629" i="12"/>
  <c r="H628" i="12"/>
  <c r="H627" i="12"/>
  <c r="H626" i="12"/>
  <c r="H625" i="12"/>
  <c r="H624" i="12"/>
  <c r="H623" i="12"/>
  <c r="H622" i="12"/>
  <c r="H621" i="12"/>
  <c r="H620" i="12"/>
  <c r="H619" i="12"/>
  <c r="H618" i="12"/>
  <c r="H617" i="12"/>
  <c r="H616" i="12"/>
  <c r="H615" i="12"/>
  <c r="H614" i="12"/>
  <c r="H613" i="12"/>
  <c r="H612" i="12"/>
  <c r="H611" i="12"/>
  <c r="H610" i="12"/>
  <c r="H609" i="12"/>
  <c r="H608" i="12"/>
  <c r="H607" i="12"/>
  <c r="H606" i="12"/>
  <c r="H605" i="12"/>
  <c r="H604" i="12"/>
  <c r="H603" i="12"/>
  <c r="H602" i="12"/>
  <c r="H601" i="12"/>
  <c r="H600" i="12"/>
  <c r="H599" i="12"/>
  <c r="H598" i="12"/>
  <c r="H597" i="12"/>
  <c r="H596" i="12"/>
  <c r="H595" i="12"/>
  <c r="H594" i="12"/>
  <c r="H593" i="12"/>
  <c r="H592" i="12"/>
  <c r="H591" i="12"/>
  <c r="H590" i="12"/>
  <c r="H589" i="12"/>
  <c r="H588" i="12"/>
  <c r="H587" i="12"/>
  <c r="H586" i="12"/>
  <c r="H585" i="12"/>
  <c r="H584" i="12"/>
  <c r="H583" i="12"/>
  <c r="H582" i="12"/>
  <c r="H581" i="12"/>
  <c r="H580" i="12"/>
  <c r="H579" i="12"/>
  <c r="H578" i="12"/>
  <c r="H577" i="12"/>
  <c r="H576" i="12"/>
  <c r="H575" i="12"/>
  <c r="H574" i="12"/>
  <c r="H573" i="12"/>
  <c r="H572" i="12"/>
  <c r="H571" i="12"/>
  <c r="H570" i="12"/>
  <c r="H569" i="12"/>
  <c r="H568" i="12"/>
  <c r="H567" i="12"/>
  <c r="H566" i="12"/>
  <c r="H565" i="12"/>
  <c r="H564" i="12"/>
  <c r="H563" i="12"/>
  <c r="H562" i="12"/>
  <c r="H561" i="12"/>
  <c r="H560" i="12"/>
  <c r="H559" i="12"/>
  <c r="H558" i="12"/>
  <c r="H557" i="12"/>
  <c r="H556" i="12"/>
  <c r="H555" i="12"/>
  <c r="H554" i="12"/>
  <c r="H553" i="12"/>
  <c r="H552" i="12"/>
  <c r="H551" i="12"/>
  <c r="H550" i="12"/>
  <c r="H549" i="12"/>
  <c r="H548" i="12"/>
  <c r="H547" i="12"/>
  <c r="H546" i="12"/>
  <c r="H545" i="12"/>
  <c r="H544" i="12"/>
  <c r="H543" i="12"/>
  <c r="H542" i="12"/>
  <c r="H541" i="12"/>
  <c r="H540" i="12"/>
  <c r="H539" i="12"/>
  <c r="H538" i="12"/>
  <c r="H537" i="12"/>
  <c r="H536" i="12"/>
  <c r="H535" i="12"/>
  <c r="H534" i="12"/>
  <c r="H533" i="12"/>
  <c r="H532" i="12"/>
  <c r="H531" i="12"/>
  <c r="H530" i="12"/>
  <c r="H529" i="12"/>
  <c r="H528" i="12"/>
  <c r="H527" i="12"/>
  <c r="H526" i="12"/>
  <c r="H525" i="12"/>
  <c r="H524" i="12"/>
  <c r="H523" i="12"/>
  <c r="H522" i="12"/>
  <c r="H521" i="12"/>
  <c r="H520" i="12"/>
  <c r="H519" i="12"/>
  <c r="H518" i="12"/>
  <c r="H517" i="12"/>
  <c r="H516" i="12"/>
  <c r="H515" i="12"/>
  <c r="H514" i="12"/>
  <c r="H513" i="12"/>
  <c r="H512" i="12"/>
  <c r="H511" i="12"/>
  <c r="H510" i="12"/>
  <c r="H509" i="12"/>
  <c r="H508" i="12"/>
  <c r="H507" i="12"/>
  <c r="H506" i="12"/>
  <c r="H505" i="12"/>
  <c r="H504" i="12"/>
  <c r="H503" i="12"/>
  <c r="H502" i="12"/>
  <c r="H501" i="12"/>
  <c r="H500" i="12"/>
  <c r="H499" i="12"/>
  <c r="H498" i="12"/>
  <c r="H497" i="12"/>
  <c r="H496" i="12"/>
  <c r="H495" i="12"/>
  <c r="H494" i="12"/>
  <c r="H493" i="12"/>
  <c r="H492" i="12"/>
  <c r="H491" i="12"/>
  <c r="H490" i="12"/>
  <c r="H489" i="12"/>
  <c r="H488" i="12"/>
  <c r="H487" i="12"/>
  <c r="H486" i="12"/>
  <c r="H485" i="12"/>
  <c r="H484" i="12"/>
  <c r="H483" i="12"/>
  <c r="H482" i="12"/>
  <c r="H481" i="12"/>
  <c r="H480" i="12"/>
  <c r="H479" i="12"/>
  <c r="H478" i="12"/>
  <c r="H477" i="12"/>
  <c r="H476" i="12"/>
  <c r="H475" i="12"/>
  <c r="H474" i="12"/>
  <c r="H473" i="12"/>
  <c r="H472" i="12"/>
  <c r="H470" i="12"/>
  <c r="H469" i="12"/>
  <c r="H468" i="12"/>
  <c r="H467" i="12"/>
  <c r="H466" i="12"/>
  <c r="H465" i="12"/>
  <c r="H464" i="12"/>
  <c r="H463" i="12"/>
  <c r="H462" i="12"/>
  <c r="H461" i="12"/>
  <c r="H460" i="12"/>
  <c r="H459" i="12"/>
  <c r="H458" i="12"/>
  <c r="H457" i="12"/>
  <c r="H456" i="12"/>
  <c r="H455" i="12"/>
  <c r="H454" i="12"/>
  <c r="H453" i="12"/>
  <c r="H452" i="12"/>
  <c r="H451" i="12"/>
  <c r="H450" i="12"/>
  <c r="H449" i="12"/>
  <c r="H448" i="12"/>
  <c r="H447" i="12"/>
  <c r="H446" i="12"/>
  <c r="H445" i="12"/>
  <c r="H444" i="12"/>
  <c r="H443" i="12"/>
  <c r="H442" i="12"/>
  <c r="H441" i="12"/>
  <c r="H440" i="12"/>
  <c r="H439" i="12"/>
  <c r="H438" i="12"/>
  <c r="H437" i="12"/>
  <c r="H436" i="12"/>
  <c r="H435" i="12"/>
  <c r="H434" i="12"/>
  <c r="H433" i="12"/>
  <c r="H432" i="12"/>
  <c r="H431" i="12"/>
  <c r="H430" i="12"/>
  <c r="H429" i="12"/>
  <c r="H428" i="12"/>
  <c r="H427" i="12"/>
  <c r="H426" i="12"/>
  <c r="H425" i="12"/>
  <c r="H424" i="12"/>
  <c r="H423" i="12"/>
  <c r="H422" i="12"/>
  <c r="H421" i="12"/>
  <c r="H420" i="12"/>
  <c r="H419" i="12"/>
  <c r="H418" i="12"/>
  <c r="H417" i="12"/>
  <c r="H416" i="12"/>
  <c r="H415" i="12"/>
  <c r="H414" i="12"/>
  <c r="H413" i="12"/>
  <c r="H412" i="12"/>
  <c r="H411" i="12"/>
  <c r="H410" i="12"/>
  <c r="H409" i="12"/>
  <c r="H408" i="12"/>
  <c r="H407" i="12"/>
  <c r="H406" i="12"/>
  <c r="H405" i="12"/>
  <c r="H404" i="12"/>
  <c r="H403" i="12"/>
  <c r="H402" i="12"/>
  <c r="H401" i="12"/>
  <c r="H400" i="12"/>
  <c r="H399" i="12"/>
  <c r="H398" i="12"/>
  <c r="H397" i="12"/>
  <c r="H396" i="12"/>
  <c r="H395" i="12"/>
  <c r="H394" i="12"/>
  <c r="H393" i="12"/>
  <c r="H392" i="12"/>
  <c r="H391" i="12"/>
  <c r="H390" i="12"/>
  <c r="H389" i="12"/>
  <c r="H388" i="12"/>
  <c r="H387" i="12"/>
  <c r="H386" i="12"/>
  <c r="H385" i="12"/>
  <c r="H384" i="12"/>
  <c r="H383" i="12"/>
  <c r="H382" i="12"/>
  <c r="H381" i="12"/>
  <c r="H380" i="12"/>
  <c r="H379" i="12"/>
  <c r="H378" i="12"/>
  <c r="H377" i="12"/>
  <c r="H376" i="12"/>
  <c r="H375" i="12"/>
  <c r="H374" i="12"/>
  <c r="H373" i="12"/>
  <c r="H372" i="12"/>
  <c r="H371" i="12"/>
  <c r="H370" i="12"/>
  <c r="H369" i="12"/>
  <c r="H368" i="12"/>
  <c r="H367" i="12"/>
  <c r="H366" i="12"/>
  <c r="H365" i="12"/>
  <c r="H364" i="12"/>
  <c r="H363" i="12"/>
  <c r="H362" i="12"/>
  <c r="H361" i="12"/>
  <c r="H360" i="12"/>
  <c r="H359" i="12"/>
  <c r="H358" i="12"/>
  <c r="H357" i="12"/>
  <c r="H356" i="12"/>
  <c r="H355" i="12"/>
  <c r="H354" i="12"/>
  <c r="H353" i="12"/>
  <c r="H352" i="12"/>
  <c r="H351" i="12"/>
  <c r="H350" i="12"/>
  <c r="H349" i="12"/>
  <c r="H348" i="12"/>
  <c r="H347" i="12"/>
  <c r="H346" i="12"/>
  <c r="H345" i="12"/>
  <c r="H344" i="12"/>
  <c r="H343" i="12"/>
  <c r="H342" i="12"/>
  <c r="H341" i="12"/>
  <c r="H340" i="12"/>
  <c r="H339" i="12"/>
  <c r="H338" i="12"/>
  <c r="H337" i="12"/>
  <c r="H336" i="12"/>
  <c r="H335" i="12"/>
  <c r="H334" i="12"/>
  <c r="H333" i="12"/>
  <c r="H332" i="12"/>
  <c r="H331" i="12"/>
  <c r="H330" i="12"/>
  <c r="H329" i="12"/>
  <c r="H328" i="12"/>
  <c r="H327" i="12"/>
  <c r="H326" i="12"/>
  <c r="H325" i="12"/>
  <c r="H324" i="12"/>
  <c r="H323" i="12"/>
  <c r="H322" i="12"/>
  <c r="H321" i="12"/>
  <c r="H320" i="12"/>
  <c r="H319" i="12"/>
  <c r="H318" i="12"/>
  <c r="H317" i="12"/>
  <c r="H316" i="12"/>
  <c r="H315" i="12"/>
  <c r="H314" i="12"/>
  <c r="H313" i="12"/>
  <c r="H312" i="12"/>
  <c r="H311" i="12"/>
  <c r="H310" i="12"/>
  <c r="H309" i="12"/>
  <c r="H308" i="12"/>
  <c r="H307" i="12"/>
  <c r="H306" i="12"/>
  <c r="H305" i="12"/>
  <c r="H304" i="12"/>
  <c r="H303" i="12"/>
  <c r="H302" i="12"/>
  <c r="H301" i="12"/>
  <c r="H300" i="12"/>
  <c r="H299" i="12"/>
  <c r="H298" i="12"/>
  <c r="H297" i="12"/>
  <c r="H296" i="12"/>
  <c r="H295" i="12"/>
  <c r="H294" i="12"/>
  <c r="H293" i="12"/>
  <c r="H292" i="12"/>
  <c r="H291" i="12"/>
  <c r="H290" i="12"/>
  <c r="H289" i="12"/>
  <c r="H288" i="12"/>
  <c r="H287" i="12"/>
  <c r="H286" i="12"/>
  <c r="H285" i="12"/>
  <c r="H284" i="12"/>
  <c r="H283" i="12"/>
  <c r="H282" i="12"/>
  <c r="H281" i="12"/>
  <c r="H280" i="12"/>
  <c r="H279" i="12"/>
  <c r="H278" i="12"/>
  <c r="H277" i="12"/>
  <c r="H276" i="12"/>
  <c r="H275" i="12"/>
  <c r="H274" i="12"/>
  <c r="H273" i="12"/>
  <c r="H272" i="12"/>
  <c r="H271" i="12"/>
  <c r="H270" i="12"/>
  <c r="H269" i="12"/>
  <c r="H268" i="12"/>
  <c r="H267" i="12"/>
  <c r="H266" i="12"/>
  <c r="H265" i="12"/>
  <c r="H264" i="12"/>
  <c r="H263" i="12"/>
  <c r="H262" i="12"/>
  <c r="H261" i="12"/>
  <c r="H260" i="12"/>
  <c r="H259" i="12"/>
  <c r="H258" i="12"/>
  <c r="H257" i="12"/>
  <c r="H256" i="12"/>
  <c r="H255" i="12"/>
  <c r="H254" i="12"/>
  <c r="H253" i="12"/>
  <c r="H252" i="12"/>
  <c r="H251" i="12"/>
  <c r="H250" i="12"/>
  <c r="H249" i="12"/>
  <c r="H248" i="12"/>
  <c r="H247" i="12"/>
  <c r="H246" i="12"/>
  <c r="H245" i="12"/>
  <c r="H244" i="12"/>
  <c r="H243" i="12"/>
  <c r="H242" i="12"/>
  <c r="H241" i="12"/>
  <c r="H240" i="12"/>
  <c r="H239" i="12"/>
  <c r="H238" i="12"/>
  <c r="H237" i="12"/>
  <c r="H236" i="12"/>
  <c r="H235" i="12"/>
  <c r="H234" i="12"/>
  <c r="H233" i="12"/>
  <c r="H232" i="12"/>
  <c r="H231" i="12"/>
  <c r="H230" i="12"/>
  <c r="H229" i="12"/>
  <c r="H228" i="12"/>
  <c r="H227" i="12"/>
  <c r="H226" i="12"/>
  <c r="H225" i="12"/>
  <c r="H224" i="12"/>
  <c r="H223" i="12"/>
  <c r="H222" i="12"/>
  <c r="H221" i="12"/>
  <c r="H220" i="12"/>
  <c r="H219" i="12"/>
  <c r="H218" i="12"/>
  <c r="H217" i="12"/>
  <c r="H216" i="12"/>
  <c r="H215" i="12"/>
  <c r="H214" i="12"/>
  <c r="H213" i="12"/>
  <c r="H212" i="12"/>
  <c r="H211" i="12"/>
  <c r="H210" i="12"/>
  <c r="H209" i="12"/>
  <c r="H208" i="12"/>
  <c r="H207" i="12"/>
  <c r="H206" i="12"/>
  <c r="H205" i="12"/>
  <c r="H204" i="12"/>
  <c r="H203" i="12"/>
  <c r="H202" i="12"/>
  <c r="H201" i="12"/>
  <c r="H200" i="12"/>
  <c r="H199" i="12"/>
  <c r="H198" i="12"/>
  <c r="H197" i="12"/>
  <c r="H196" i="12"/>
  <c r="H195" i="12"/>
  <c r="H194" i="12"/>
  <c r="H193" i="12"/>
  <c r="H192" i="12"/>
  <c r="H191" i="12"/>
  <c r="H189" i="12"/>
  <c r="H188" i="12"/>
  <c r="H187" i="12"/>
  <c r="H186" i="12"/>
  <c r="H185" i="12"/>
  <c r="H184" i="12"/>
  <c r="H183" i="12"/>
  <c r="H182" i="12"/>
  <c r="H181" i="12"/>
  <c r="H180" i="12"/>
  <c r="H179" i="12"/>
  <c r="H178" i="12"/>
  <c r="H177" i="12"/>
  <c r="H176" i="12"/>
  <c r="H175" i="12"/>
  <c r="H174" i="12"/>
  <c r="H173" i="12"/>
  <c r="H172" i="12"/>
  <c r="H171" i="12"/>
  <c r="H170" i="12"/>
  <c r="H169" i="12"/>
  <c r="H168" i="12"/>
  <c r="H167" i="12"/>
  <c r="H166" i="12"/>
  <c r="H165" i="12"/>
  <c r="H164" i="12"/>
  <c r="H163" i="12"/>
  <c r="H162" i="12"/>
  <c r="H161" i="12"/>
  <c r="H160" i="12"/>
  <c r="H159" i="12"/>
  <c r="H158" i="12"/>
  <c r="H157" i="12"/>
  <c r="H156" i="12"/>
  <c r="H155" i="12"/>
  <c r="H154" i="12"/>
  <c r="H152" i="12"/>
  <c r="H151" i="12"/>
  <c r="H150" i="12"/>
  <c r="H149" i="12"/>
  <c r="H148" i="12"/>
  <c r="H147" i="12"/>
  <c r="H146" i="12"/>
  <c r="H145" i="12"/>
  <c r="H144" i="12"/>
  <c r="H142" i="12"/>
  <c r="H140" i="12"/>
  <c r="H139" i="12"/>
  <c r="H138" i="12"/>
  <c r="H137" i="12"/>
  <c r="H136" i="12"/>
  <c r="H135" i="12"/>
  <c r="H134" i="12"/>
  <c r="H133" i="12"/>
  <c r="H131" i="12"/>
  <c r="H130" i="12"/>
  <c r="H129" i="12"/>
  <c r="H128" i="12"/>
  <c r="H127" i="12"/>
  <c r="H126" i="12"/>
  <c r="H125" i="12"/>
  <c r="H124" i="12"/>
  <c r="H123" i="12"/>
  <c r="H122" i="12"/>
  <c r="H121" i="12"/>
  <c r="H120" i="12"/>
  <c r="H119" i="12"/>
  <c r="H118" i="12"/>
  <c r="H117" i="12"/>
  <c r="H116" i="12"/>
  <c r="H115" i="12"/>
  <c r="H114" i="12"/>
  <c r="H113" i="12"/>
  <c r="H112" i="12"/>
  <c r="H111" i="12"/>
  <c r="H110" i="12"/>
  <c r="H109" i="12"/>
  <c r="H108" i="12"/>
  <c r="H107" i="12"/>
  <c r="H106" i="12"/>
  <c r="H105" i="12"/>
  <c r="H104" i="12"/>
  <c r="H103" i="12"/>
  <c r="H102" i="12"/>
  <c r="H101" i="12"/>
  <c r="H100" i="12"/>
  <c r="H99" i="12"/>
  <c r="H98" i="12"/>
  <c r="H97" i="12"/>
  <c r="H96" i="12"/>
  <c r="H95" i="12"/>
  <c r="H94" i="12"/>
  <c r="H93" i="12"/>
  <c r="H92" i="12"/>
  <c r="H91" i="12"/>
  <c r="H90" i="12"/>
  <c r="H89" i="12"/>
  <c r="H88" i="12"/>
  <c r="H87" i="12"/>
  <c r="H86" i="12"/>
  <c r="H85" i="12"/>
  <c r="H84" i="12"/>
  <c r="F83" i="12"/>
  <c r="H82" i="12"/>
  <c r="H81" i="12"/>
  <c r="H80" i="12"/>
  <c r="F79" i="12"/>
  <c r="H78" i="12"/>
  <c r="H77" i="12"/>
  <c r="H76" i="12"/>
  <c r="H75" i="12"/>
  <c r="H74" i="12"/>
  <c r="H73" i="12"/>
  <c r="H72" i="12"/>
  <c r="F71" i="12"/>
  <c r="H70" i="12"/>
  <c r="H69" i="12"/>
  <c r="H68" i="12"/>
  <c r="H67" i="12"/>
  <c r="H66" i="12"/>
  <c r="H65" i="12"/>
  <c r="H64" i="12"/>
  <c r="H63" i="12"/>
  <c r="H62" i="12"/>
  <c r="H61" i="12"/>
  <c r="H60" i="12"/>
  <c r="H59" i="12"/>
  <c r="H58" i="12"/>
  <c r="H57" i="12"/>
  <c r="H56" i="12"/>
  <c r="H55" i="12"/>
  <c r="H54" i="12"/>
  <c r="H53" i="12"/>
  <c r="H52" i="12"/>
  <c r="H51" i="12"/>
  <c r="F50" i="12"/>
  <c r="F49" i="12"/>
  <c r="F48" i="12"/>
  <c r="F47" i="12"/>
  <c r="F46" i="12"/>
  <c r="F45" i="12"/>
  <c r="F44" i="12"/>
  <c r="F43" i="12"/>
  <c r="F42" i="12"/>
  <c r="F41" i="12"/>
  <c r="F40" i="12"/>
  <c r="F39" i="12"/>
  <c r="F38" i="12"/>
  <c r="F37" i="12"/>
  <c r="F36" i="12"/>
  <c r="F35" i="12"/>
  <c r="F34" i="12"/>
  <c r="F33" i="12"/>
  <c r="H32" i="12"/>
  <c r="H31" i="12"/>
  <c r="H30" i="12"/>
  <c r="H29" i="12"/>
  <c r="H28" i="12"/>
  <c r="H26" i="12"/>
  <c r="H25" i="12"/>
  <c r="H24" i="12"/>
  <c r="H23" i="12"/>
  <c r="H22" i="12"/>
  <c r="H21" i="12"/>
  <c r="H20" i="12"/>
  <c r="H19" i="12"/>
  <c r="H18" i="12"/>
  <c r="H17" i="12"/>
  <c r="H16" i="12"/>
  <c r="H15" i="12"/>
  <c r="H14" i="12"/>
  <c r="H13" i="12"/>
  <c r="H12" i="12"/>
  <c r="H11" i="12"/>
  <c r="H10" i="12"/>
  <c r="H9" i="12"/>
  <c r="H8" i="12"/>
  <c r="H7" i="12"/>
  <c r="H6" i="12"/>
  <c r="H5" i="12"/>
  <c r="H4" i="12"/>
  <c r="H36" i="12" l="1"/>
  <c r="H40" i="12"/>
  <c r="H48" i="12"/>
  <c r="H33" i="12"/>
  <c r="H35" i="12"/>
  <c r="H39" i="12"/>
  <c r="H41" i="12"/>
  <c r="H45" i="12"/>
  <c r="H47" i="12"/>
  <c r="H37" i="12"/>
  <c r="H43" i="12"/>
  <c r="H49" i="12"/>
  <c r="H71" i="12"/>
  <c r="H44" i="12"/>
  <c r="H83" i="12"/>
  <c r="H34" i="12"/>
  <c r="H38" i="12"/>
  <c r="H42" i="12"/>
  <c r="H46" i="12"/>
  <c r="H50" i="12"/>
  <c r="H79" i="12"/>
  <c r="H1" i="12" l="1"/>
  <c r="G28" i="11"/>
  <c r="G29" i="11" s="1"/>
  <c r="D20" i="11"/>
  <c r="I20" i="11" l="1"/>
  <c r="H20" i="11"/>
  <c r="F20" i="11"/>
  <c r="G257" i="7"/>
  <c r="G258" i="7"/>
  <c r="G317" i="7"/>
  <c r="H27" i="9"/>
  <c r="H25" i="9"/>
  <c r="J25" i="9" l="1"/>
  <c r="J27" i="9"/>
  <c r="E27" i="9"/>
  <c r="K27" i="9" s="1"/>
  <c r="E25" i="9"/>
  <c r="K25" i="9" s="1"/>
  <c r="L25" i="9" s="1"/>
  <c r="L40" i="8" l="1"/>
  <c r="D63" i="2" l="1"/>
  <c r="E63" i="2"/>
  <c r="F63" i="2"/>
  <c r="G63" i="2"/>
  <c r="C63" i="2"/>
  <c r="F3" i="1"/>
  <c r="G3" i="1"/>
  <c r="F4" i="1"/>
  <c r="G4" i="1"/>
  <c r="F5" i="1"/>
  <c r="G5" i="1"/>
  <c r="F6" i="1"/>
  <c r="G6" i="1"/>
  <c r="F7" i="1"/>
  <c r="G7" i="1"/>
  <c r="F8" i="1"/>
  <c r="G8" i="1"/>
  <c r="F9" i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H31" i="1" s="1"/>
  <c r="I31" i="1" s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H39" i="1" s="1"/>
  <c r="I39" i="1" s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H63" i="1" s="1"/>
  <c r="I63" i="1" s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H71" i="1" s="1"/>
  <c r="I71" i="1" s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H123" i="1" s="1"/>
  <c r="I123" i="1" s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H151" i="1" s="1"/>
  <c r="I151" i="1" s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H159" i="1" s="1"/>
  <c r="I159" i="1" s="1"/>
  <c r="G159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5" i="1"/>
  <c r="G205" i="1"/>
  <c r="F206" i="1"/>
  <c r="G206" i="1"/>
  <c r="F207" i="1"/>
  <c r="G207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G256" i="1"/>
  <c r="F257" i="1"/>
  <c r="G257" i="1"/>
  <c r="F258" i="1"/>
  <c r="G258" i="1"/>
  <c r="F259" i="1"/>
  <c r="G259" i="1"/>
  <c r="F260" i="1"/>
  <c r="G260" i="1"/>
  <c r="F261" i="1"/>
  <c r="G261" i="1"/>
  <c r="F262" i="1"/>
  <c r="G262" i="1"/>
  <c r="F263" i="1"/>
  <c r="G263" i="1"/>
  <c r="F264" i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0" i="1"/>
  <c r="G280" i="1"/>
  <c r="F281" i="1"/>
  <c r="G281" i="1"/>
  <c r="F282" i="1"/>
  <c r="G282" i="1"/>
  <c r="F283" i="1"/>
  <c r="G283" i="1"/>
  <c r="F284" i="1"/>
  <c r="G284" i="1"/>
  <c r="F285" i="1"/>
  <c r="G285" i="1"/>
  <c r="F286" i="1"/>
  <c r="G286" i="1"/>
  <c r="F287" i="1"/>
  <c r="G287" i="1"/>
  <c r="F288" i="1"/>
  <c r="G288" i="1"/>
  <c r="F289" i="1"/>
  <c r="G289" i="1"/>
  <c r="F290" i="1"/>
  <c r="G290" i="1"/>
  <c r="G2" i="1"/>
  <c r="F2" i="1"/>
  <c r="H237" i="1"/>
  <c r="I237" i="1" s="1"/>
  <c r="D214" i="1"/>
  <c r="H205" i="1"/>
  <c r="I205" i="1" s="1"/>
  <c r="H201" i="1"/>
  <c r="I201" i="1" s="1"/>
  <c r="H197" i="1"/>
  <c r="I197" i="1" s="1"/>
  <c r="H193" i="1"/>
  <c r="I193" i="1" s="1"/>
  <c r="E183" i="1"/>
  <c r="H173" i="1"/>
  <c r="I173" i="1" s="1"/>
  <c r="H165" i="1"/>
  <c r="I165" i="1" s="1"/>
  <c r="H157" i="1"/>
  <c r="I157" i="1" s="1"/>
  <c r="H149" i="1"/>
  <c r="I149" i="1" s="1"/>
  <c r="E130" i="1"/>
  <c r="D130" i="1"/>
  <c r="H109" i="1"/>
  <c r="I109" i="1" s="1"/>
  <c r="H97" i="1"/>
  <c r="I97" i="1" s="1"/>
  <c r="E79" i="1"/>
  <c r="H57" i="1"/>
  <c r="I57" i="1" s="1"/>
  <c r="H53" i="1"/>
  <c r="I53" i="1" s="1"/>
  <c r="H25" i="1"/>
  <c r="I25" i="1" s="1"/>
  <c r="C4" i="1"/>
  <c r="C291" i="1" s="1"/>
  <c r="H285" i="1" l="1"/>
  <c r="I285" i="1" s="1"/>
  <c r="H13" i="9" s="1"/>
  <c r="H219" i="1"/>
  <c r="I219" i="1" s="1"/>
  <c r="H269" i="1"/>
  <c r="I269" i="1" s="1"/>
  <c r="H259" i="1"/>
  <c r="I259" i="1" s="1"/>
  <c r="H255" i="1"/>
  <c r="I255" i="1" s="1"/>
  <c r="H251" i="1"/>
  <c r="I251" i="1" s="1"/>
  <c r="H223" i="1"/>
  <c r="I223" i="1" s="1"/>
  <c r="H207" i="1"/>
  <c r="I207" i="1" s="1"/>
  <c r="H203" i="1"/>
  <c r="I203" i="1" s="1"/>
  <c r="H175" i="1"/>
  <c r="I175" i="1" s="1"/>
  <c r="H167" i="1"/>
  <c r="I167" i="1" s="1"/>
  <c r="H163" i="1"/>
  <c r="I163" i="1" s="1"/>
  <c r="H147" i="1"/>
  <c r="I147" i="1" s="1"/>
  <c r="H143" i="1"/>
  <c r="I143" i="1" s="1"/>
  <c r="H139" i="1"/>
  <c r="I139" i="1" s="1"/>
  <c r="H127" i="1"/>
  <c r="I127" i="1" s="1"/>
  <c r="H111" i="1"/>
  <c r="I111" i="1" s="1"/>
  <c r="H91" i="1"/>
  <c r="I91" i="1" s="1"/>
  <c r="H67" i="1"/>
  <c r="I67" i="1" s="1"/>
  <c r="H59" i="1"/>
  <c r="I59" i="1" s="1"/>
  <c r="H55" i="1"/>
  <c r="I55" i="1" s="1"/>
  <c r="H51" i="1"/>
  <c r="I51" i="1" s="1"/>
  <c r="H35" i="1"/>
  <c r="I35" i="1" s="1"/>
  <c r="H27" i="1"/>
  <c r="I27" i="1" s="1"/>
  <c r="H23" i="1"/>
  <c r="I23" i="1" s="1"/>
  <c r="H19" i="1"/>
  <c r="I19" i="1" s="1"/>
  <c r="H7" i="1"/>
  <c r="I7" i="1" s="1"/>
  <c r="H3" i="1"/>
  <c r="I3" i="1" s="1"/>
  <c r="H287" i="1"/>
  <c r="I287" i="1" s="1"/>
  <c r="H286" i="1"/>
  <c r="I286" i="1" s="1"/>
  <c r="H210" i="1"/>
  <c r="I210" i="1" s="1"/>
  <c r="H206" i="1"/>
  <c r="I206" i="1" s="1"/>
  <c r="H202" i="1"/>
  <c r="I202" i="1" s="1"/>
  <c r="H198" i="1"/>
  <c r="I198" i="1" s="1"/>
  <c r="H178" i="1"/>
  <c r="I178" i="1" s="1"/>
  <c r="H138" i="1"/>
  <c r="I138" i="1" s="1"/>
  <c r="H114" i="1"/>
  <c r="I114" i="1" s="1"/>
  <c r="H110" i="1"/>
  <c r="I110" i="1" s="1"/>
  <c r="H106" i="1"/>
  <c r="I106" i="1" s="1"/>
  <c r="H102" i="1"/>
  <c r="I102" i="1" s="1"/>
  <c r="H98" i="1"/>
  <c r="I98" i="1" s="1"/>
  <c r="H94" i="1"/>
  <c r="I94" i="1" s="1"/>
  <c r="H82" i="1"/>
  <c r="I82" i="1" s="1"/>
  <c r="H78" i="1"/>
  <c r="I78" i="1" s="1"/>
  <c r="H74" i="1"/>
  <c r="I74" i="1" s="1"/>
  <c r="H46" i="1"/>
  <c r="I46" i="1" s="1"/>
  <c r="H42" i="1"/>
  <c r="I42" i="1" s="1"/>
  <c r="H14" i="1"/>
  <c r="I14" i="1" s="1"/>
  <c r="H10" i="1"/>
  <c r="I10" i="1" s="1"/>
  <c r="D291" i="1"/>
  <c r="E291" i="1"/>
  <c r="H288" i="1"/>
  <c r="I288" i="1" s="1"/>
  <c r="H284" i="1"/>
  <c r="I284" i="1" s="1"/>
  <c r="H11" i="9" s="1"/>
  <c r="H280" i="1"/>
  <c r="I280" i="1" s="1"/>
  <c r="H212" i="1"/>
  <c r="I212" i="1" s="1"/>
  <c r="H208" i="1"/>
  <c r="I208" i="1" s="1"/>
  <c r="H200" i="1"/>
  <c r="I200" i="1" s="1"/>
  <c r="H192" i="1"/>
  <c r="I192" i="1" s="1"/>
  <c r="H184" i="1"/>
  <c r="I184" i="1" s="1"/>
  <c r="H172" i="1"/>
  <c r="I172" i="1" s="1"/>
  <c r="H164" i="1"/>
  <c r="I164" i="1" s="1"/>
  <c r="H160" i="1"/>
  <c r="I160" i="1" s="1"/>
  <c r="H156" i="1"/>
  <c r="I156" i="1" s="1"/>
  <c r="H148" i="1"/>
  <c r="I148" i="1" s="1"/>
  <c r="H144" i="1"/>
  <c r="I144" i="1" s="1"/>
  <c r="H100" i="1"/>
  <c r="I100" i="1" s="1"/>
  <c r="H96" i="1"/>
  <c r="I96" i="1" s="1"/>
  <c r="H60" i="1"/>
  <c r="I60" i="1" s="1"/>
  <c r="H56" i="1"/>
  <c r="I56" i="1" s="1"/>
  <c r="H28" i="1"/>
  <c r="I28" i="1" s="1"/>
  <c r="H24" i="1"/>
  <c r="I24" i="1" s="1"/>
  <c r="H20" i="1"/>
  <c r="I20" i="1" s="1"/>
  <c r="H234" i="1"/>
  <c r="I234" i="1" s="1"/>
  <c r="H240" i="1"/>
  <c r="I240" i="1" s="1"/>
  <c r="H238" i="1"/>
  <c r="I238" i="1" s="1"/>
  <c r="H232" i="1"/>
  <c r="I232" i="1" s="1"/>
  <c r="H282" i="1"/>
  <c r="I282" i="1" s="1"/>
  <c r="H264" i="1"/>
  <c r="I264" i="1" s="1"/>
  <c r="H250" i="1"/>
  <c r="I250" i="1" s="1"/>
  <c r="H248" i="1"/>
  <c r="I248" i="1" s="1"/>
  <c r="H236" i="1"/>
  <c r="I236" i="1" s="1"/>
  <c r="H230" i="1"/>
  <c r="I230" i="1" s="1"/>
  <c r="H228" i="1"/>
  <c r="I228" i="1" s="1"/>
  <c r="H216" i="1"/>
  <c r="I216" i="1" s="1"/>
  <c r="F291" i="1"/>
  <c r="G291" i="1"/>
  <c r="H21" i="1"/>
  <c r="I21" i="1" s="1"/>
  <c r="H9" i="1"/>
  <c r="I9" i="1" s="1"/>
  <c r="H15" i="1"/>
  <c r="I15" i="1" s="1"/>
  <c r="H26" i="1"/>
  <c r="I26" i="1" s="1"/>
  <c r="H30" i="1"/>
  <c r="I30" i="1" s="1"/>
  <c r="H41" i="1"/>
  <c r="I41" i="1" s="1"/>
  <c r="H43" i="1"/>
  <c r="I43" i="1" s="1"/>
  <c r="H47" i="1"/>
  <c r="I47" i="1" s="1"/>
  <c r="H58" i="1"/>
  <c r="I58" i="1" s="1"/>
  <c r="H62" i="1"/>
  <c r="I62" i="1" s="1"/>
  <c r="H73" i="1"/>
  <c r="I73" i="1" s="1"/>
  <c r="H75" i="1"/>
  <c r="I75" i="1" s="1"/>
  <c r="H84" i="1"/>
  <c r="I84" i="1" s="1"/>
  <c r="H86" i="1"/>
  <c r="I86" i="1" s="1"/>
  <c r="H90" i="1"/>
  <c r="I90" i="1" s="1"/>
  <c r="H107" i="1"/>
  <c r="I107" i="1" s="1"/>
  <c r="H116" i="1"/>
  <c r="I116" i="1" s="1"/>
  <c r="H118" i="1"/>
  <c r="I118" i="1" s="1"/>
  <c r="H122" i="1"/>
  <c r="I122" i="1" s="1"/>
  <c r="H126" i="1"/>
  <c r="I126" i="1" s="1"/>
  <c r="H128" i="1"/>
  <c r="I128" i="1" s="1"/>
  <c r="H131" i="1"/>
  <c r="I131" i="1" s="1"/>
  <c r="H133" i="1"/>
  <c r="I133" i="1" s="1"/>
  <c r="H135" i="1"/>
  <c r="I135" i="1" s="1"/>
  <c r="H141" i="1"/>
  <c r="I141" i="1" s="1"/>
  <c r="H162" i="1"/>
  <c r="I162" i="1" s="1"/>
  <c r="H170" i="1"/>
  <c r="I170" i="1" s="1"/>
  <c r="H185" i="1"/>
  <c r="I185" i="1" s="1"/>
  <c r="H187" i="1"/>
  <c r="I187" i="1" s="1"/>
  <c r="H189" i="1"/>
  <c r="I189" i="1" s="1"/>
  <c r="H195" i="1"/>
  <c r="I195" i="1" s="1"/>
  <c r="H204" i="1"/>
  <c r="I204" i="1" s="1"/>
  <c r="H213" i="1"/>
  <c r="I213" i="1" s="1"/>
  <c r="H218" i="1"/>
  <c r="I218" i="1" s="1"/>
  <c r="H220" i="1"/>
  <c r="I220" i="1" s="1"/>
  <c r="H224" i="1"/>
  <c r="I224" i="1" s="1"/>
  <c r="H235" i="1"/>
  <c r="I235" i="1" s="1"/>
  <c r="H239" i="1"/>
  <c r="I239" i="1" s="1"/>
  <c r="H243" i="1"/>
  <c r="I243" i="1" s="1"/>
  <c r="H266" i="1"/>
  <c r="I266" i="1" s="1"/>
  <c r="H268" i="1"/>
  <c r="I268" i="1" s="1"/>
  <c r="H16" i="9" s="1"/>
  <c r="H270" i="1"/>
  <c r="I270" i="1" s="1"/>
  <c r="H272" i="1"/>
  <c r="I272" i="1" s="1"/>
  <c r="H276" i="1"/>
  <c r="I276" i="1" s="1"/>
  <c r="H278" i="1"/>
  <c r="I278" i="1" s="1"/>
  <c r="H281" i="1"/>
  <c r="I281" i="1" s="1"/>
  <c r="H11" i="1"/>
  <c r="I11" i="1" s="1"/>
  <c r="H5" i="1"/>
  <c r="I5" i="1" s="1"/>
  <c r="H8" i="1"/>
  <c r="I8" i="1" s="1"/>
  <c r="H12" i="1"/>
  <c r="I12" i="1" s="1"/>
  <c r="H37" i="1"/>
  <c r="I37" i="1" s="1"/>
  <c r="H40" i="1"/>
  <c r="I40" i="1" s="1"/>
  <c r="H44" i="1"/>
  <c r="I44" i="1" s="1"/>
  <c r="H69" i="1"/>
  <c r="I69" i="1" s="1"/>
  <c r="H72" i="1"/>
  <c r="I72" i="1" s="1"/>
  <c r="H76" i="1"/>
  <c r="I76" i="1" s="1"/>
  <c r="H80" i="1"/>
  <c r="I80" i="1" s="1"/>
  <c r="H93" i="1"/>
  <c r="I93" i="1" s="1"/>
  <c r="H95" i="1"/>
  <c r="I95" i="1" s="1"/>
  <c r="H112" i="1"/>
  <c r="I112" i="1" s="1"/>
  <c r="H125" i="1"/>
  <c r="I125" i="1" s="1"/>
  <c r="H129" i="1"/>
  <c r="I129" i="1" s="1"/>
  <c r="H132" i="1"/>
  <c r="I132" i="1" s="1"/>
  <c r="H140" i="1"/>
  <c r="I140" i="1" s="1"/>
  <c r="H146" i="1"/>
  <c r="I146" i="1" s="1"/>
  <c r="H154" i="1"/>
  <c r="I154" i="1" s="1"/>
  <c r="H171" i="1"/>
  <c r="I171" i="1" s="1"/>
  <c r="H179" i="1"/>
  <c r="I179" i="1" s="1"/>
  <c r="H181" i="1"/>
  <c r="I181" i="1" s="1"/>
  <c r="H186" i="1"/>
  <c r="I186" i="1" s="1"/>
  <c r="H194" i="1"/>
  <c r="I194" i="1" s="1"/>
  <c r="H214" i="1"/>
  <c r="I214" i="1" s="1"/>
  <c r="H217" i="1"/>
  <c r="I217" i="1" s="1"/>
  <c r="H221" i="1"/>
  <c r="I221" i="1" s="1"/>
  <c r="H252" i="1"/>
  <c r="I252" i="1" s="1"/>
  <c r="H254" i="1"/>
  <c r="I254" i="1" s="1"/>
  <c r="H256" i="1"/>
  <c r="I256" i="1" s="1"/>
  <c r="H260" i="1"/>
  <c r="I260" i="1" s="1"/>
  <c r="H262" i="1"/>
  <c r="I262" i="1" s="1"/>
  <c r="H283" i="1"/>
  <c r="I283" i="1" s="1"/>
  <c r="H36" i="1"/>
  <c r="I36" i="1" s="1"/>
  <c r="H68" i="1"/>
  <c r="I68" i="1" s="1"/>
  <c r="H81" i="1"/>
  <c r="I81" i="1" s="1"/>
  <c r="H113" i="1"/>
  <c r="I113" i="1" s="1"/>
  <c r="H155" i="1"/>
  <c r="I155" i="1" s="1"/>
  <c r="H176" i="1"/>
  <c r="I176" i="1" s="1"/>
  <c r="H180" i="1"/>
  <c r="I180" i="1" s="1"/>
  <c r="H244" i="1"/>
  <c r="I244" i="1" s="1"/>
  <c r="H246" i="1"/>
  <c r="I246" i="1" s="1"/>
  <c r="H253" i="1"/>
  <c r="I253" i="1" s="1"/>
  <c r="H267" i="1"/>
  <c r="I267" i="1" s="1"/>
  <c r="H271" i="1"/>
  <c r="I271" i="1" s="1"/>
  <c r="H275" i="1"/>
  <c r="I275" i="1" s="1"/>
  <c r="H17" i="1"/>
  <c r="I17" i="1" s="1"/>
  <c r="H22" i="1"/>
  <c r="I22" i="1" s="1"/>
  <c r="H33" i="1"/>
  <c r="I33" i="1" s="1"/>
  <c r="H38" i="1"/>
  <c r="I38" i="1" s="1"/>
  <c r="H49" i="1"/>
  <c r="I49" i="1" s="1"/>
  <c r="H54" i="1"/>
  <c r="I54" i="1" s="1"/>
  <c r="H65" i="1"/>
  <c r="I65" i="1" s="1"/>
  <c r="H70" i="1"/>
  <c r="I70" i="1" s="1"/>
  <c r="H87" i="1"/>
  <c r="I87" i="1" s="1"/>
  <c r="H92" i="1"/>
  <c r="I92" i="1" s="1"/>
  <c r="H103" i="1"/>
  <c r="I103" i="1" s="1"/>
  <c r="H108" i="1"/>
  <c r="I108" i="1" s="1"/>
  <c r="H119" i="1"/>
  <c r="I119" i="1" s="1"/>
  <c r="H124" i="1"/>
  <c r="I124" i="1" s="1"/>
  <c r="H137" i="1"/>
  <c r="I137" i="1" s="1"/>
  <c r="H142" i="1"/>
  <c r="I142" i="1" s="1"/>
  <c r="H153" i="1"/>
  <c r="I153" i="1" s="1"/>
  <c r="H158" i="1"/>
  <c r="I158" i="1" s="1"/>
  <c r="H169" i="1"/>
  <c r="I169" i="1" s="1"/>
  <c r="H174" i="1"/>
  <c r="I174" i="1" s="1"/>
  <c r="H191" i="1"/>
  <c r="I191" i="1" s="1"/>
  <c r="H196" i="1"/>
  <c r="I196" i="1" s="1"/>
  <c r="H199" i="1"/>
  <c r="I199" i="1" s="1"/>
  <c r="H209" i="1"/>
  <c r="I209" i="1" s="1"/>
  <c r="H215" i="1"/>
  <c r="I215" i="1" s="1"/>
  <c r="H226" i="1"/>
  <c r="I226" i="1" s="1"/>
  <c r="H231" i="1"/>
  <c r="I231" i="1" s="1"/>
  <c r="H233" i="1"/>
  <c r="I233" i="1" s="1"/>
  <c r="H242" i="1"/>
  <c r="I242" i="1" s="1"/>
  <c r="H247" i="1"/>
  <c r="I247" i="1" s="1"/>
  <c r="H249" i="1"/>
  <c r="I249" i="1" s="1"/>
  <c r="H258" i="1"/>
  <c r="I258" i="1" s="1"/>
  <c r="H263" i="1"/>
  <c r="I263" i="1" s="1"/>
  <c r="H265" i="1"/>
  <c r="I265" i="1" s="1"/>
  <c r="H274" i="1"/>
  <c r="I274" i="1" s="1"/>
  <c r="H279" i="1"/>
  <c r="I279" i="1" s="1"/>
  <c r="H21" i="9" s="1"/>
  <c r="H290" i="1"/>
  <c r="I290" i="1" s="1"/>
  <c r="H6" i="1"/>
  <c r="I6" i="1" s="1"/>
  <c r="H2" i="1"/>
  <c r="H4" i="1"/>
  <c r="I4" i="1" s="1"/>
  <c r="H13" i="1"/>
  <c r="I13" i="1" s="1"/>
  <c r="H18" i="1"/>
  <c r="I18" i="1" s="1"/>
  <c r="H29" i="1"/>
  <c r="I29" i="1" s="1"/>
  <c r="H34" i="1"/>
  <c r="I34" i="1" s="1"/>
  <c r="H45" i="1"/>
  <c r="I45" i="1" s="1"/>
  <c r="H50" i="1"/>
  <c r="I50" i="1" s="1"/>
  <c r="H52" i="1"/>
  <c r="I52" i="1" s="1"/>
  <c r="H61" i="1"/>
  <c r="I61" i="1" s="1"/>
  <c r="H66" i="1"/>
  <c r="I66" i="1" s="1"/>
  <c r="H77" i="1"/>
  <c r="I77" i="1" s="1"/>
  <c r="H83" i="1"/>
  <c r="I83" i="1" s="1"/>
  <c r="H88" i="1"/>
  <c r="I88" i="1" s="1"/>
  <c r="H89" i="1"/>
  <c r="I89" i="1" s="1"/>
  <c r="H99" i="1"/>
  <c r="I99" i="1" s="1"/>
  <c r="H104" i="1"/>
  <c r="I104" i="1" s="1"/>
  <c r="H105" i="1"/>
  <c r="I105" i="1" s="1"/>
  <c r="H115" i="1"/>
  <c r="I115" i="1" s="1"/>
  <c r="H120" i="1"/>
  <c r="I120" i="1" s="1"/>
  <c r="H121" i="1"/>
  <c r="I121" i="1" s="1"/>
  <c r="H130" i="1"/>
  <c r="I130" i="1" s="1"/>
  <c r="H211" i="1"/>
  <c r="I211" i="1" s="1"/>
  <c r="H222" i="1"/>
  <c r="I222" i="1" s="1"/>
  <c r="H227" i="1"/>
  <c r="I227" i="1" s="1"/>
  <c r="H229" i="1"/>
  <c r="I229" i="1" s="1"/>
  <c r="H245" i="1"/>
  <c r="I245" i="1" s="1"/>
  <c r="H261" i="1"/>
  <c r="I261" i="1" s="1"/>
  <c r="H277" i="1"/>
  <c r="I277" i="1" s="1"/>
  <c r="H16" i="1"/>
  <c r="I16" i="1" s="1"/>
  <c r="H32" i="1"/>
  <c r="I32" i="1" s="1"/>
  <c r="H48" i="1"/>
  <c r="I48" i="1" s="1"/>
  <c r="H64" i="1"/>
  <c r="I64" i="1" s="1"/>
  <c r="H79" i="1"/>
  <c r="I79" i="1" s="1"/>
  <c r="H85" i="1"/>
  <c r="I85" i="1" s="1"/>
  <c r="H101" i="1"/>
  <c r="I101" i="1" s="1"/>
  <c r="H117" i="1"/>
  <c r="I117" i="1" s="1"/>
  <c r="H134" i="1"/>
  <c r="I134" i="1" s="1"/>
  <c r="H136" i="1"/>
  <c r="I136" i="1" s="1"/>
  <c r="H145" i="1"/>
  <c r="I145" i="1" s="1"/>
  <c r="H150" i="1"/>
  <c r="I150" i="1" s="1"/>
  <c r="H152" i="1"/>
  <c r="I152" i="1" s="1"/>
  <c r="H161" i="1"/>
  <c r="I161" i="1" s="1"/>
  <c r="H166" i="1"/>
  <c r="I166" i="1" s="1"/>
  <c r="H168" i="1"/>
  <c r="I168" i="1" s="1"/>
  <c r="H177" i="1"/>
  <c r="I177" i="1" s="1"/>
  <c r="H182" i="1"/>
  <c r="I182" i="1" s="1"/>
  <c r="H183" i="1"/>
  <c r="I183" i="1" s="1"/>
  <c r="H188" i="1"/>
  <c r="I188" i="1" s="1"/>
  <c r="H190" i="1"/>
  <c r="I190" i="1" s="1"/>
  <c r="H225" i="1"/>
  <c r="I225" i="1" s="1"/>
  <c r="H241" i="1"/>
  <c r="I241" i="1" s="1"/>
  <c r="H257" i="1"/>
  <c r="I257" i="1" s="1"/>
  <c r="H273" i="1"/>
  <c r="I273" i="1" s="1"/>
  <c r="H289" i="1"/>
  <c r="I289" i="1" s="1"/>
  <c r="H24" i="9" s="1"/>
  <c r="H9" i="9" l="1"/>
  <c r="H17" i="9"/>
  <c r="H23" i="9"/>
  <c r="I2" i="1"/>
  <c r="H291" i="1"/>
  <c r="G12" i="9" l="1"/>
  <c r="K26" i="8"/>
  <c r="G26" i="8"/>
  <c r="G10" i="8"/>
  <c r="G16" i="8" s="1"/>
  <c r="I291" i="1"/>
  <c r="K10" i="8"/>
  <c r="D140" i="7"/>
  <c r="F320" i="7"/>
  <c r="G320" i="7"/>
  <c r="H12" i="9" l="1"/>
  <c r="I18" i="9" s="1"/>
  <c r="G15" i="9"/>
  <c r="G19" i="9" s="1"/>
  <c r="G29" i="8"/>
  <c r="H320" i="7"/>
  <c r="I320" i="7" s="1"/>
  <c r="F295" i="7"/>
  <c r="G295" i="7"/>
  <c r="F296" i="7"/>
  <c r="G296" i="7"/>
  <c r="F297" i="7"/>
  <c r="G297" i="7"/>
  <c r="F259" i="7"/>
  <c r="G259" i="7"/>
  <c r="F236" i="7"/>
  <c r="G236" i="7"/>
  <c r="F225" i="7"/>
  <c r="G225" i="7"/>
  <c r="F64" i="7"/>
  <c r="G64" i="7"/>
  <c r="H19" i="9" l="1"/>
  <c r="M328" i="13"/>
  <c r="N328" i="13" s="1"/>
  <c r="H15" i="9"/>
  <c r="I15" i="9" s="1"/>
  <c r="I21" i="9"/>
  <c r="I25" i="9"/>
  <c r="I27" i="9"/>
  <c r="I13" i="9"/>
  <c r="I24" i="9"/>
  <c r="I14" i="9"/>
  <c r="I16" i="9"/>
  <c r="I17" i="9"/>
  <c r="I23" i="9"/>
  <c r="H296" i="7"/>
  <c r="I296" i="7" s="1"/>
  <c r="H297" i="7"/>
  <c r="I297" i="7" s="1"/>
  <c r="H295" i="7"/>
  <c r="I295" i="7" s="1"/>
  <c r="H236" i="7"/>
  <c r="I236" i="7" s="1"/>
  <c r="H259" i="7"/>
  <c r="I259" i="7" s="1"/>
  <c r="H225" i="7"/>
  <c r="I225" i="7" s="1"/>
  <c r="H64" i="7"/>
  <c r="I64" i="7" s="1"/>
  <c r="F306" i="7"/>
  <c r="G306" i="7"/>
  <c r="F307" i="7"/>
  <c r="G307" i="7"/>
  <c r="F298" i="7"/>
  <c r="G298" i="7"/>
  <c r="F286" i="7"/>
  <c r="G286" i="7"/>
  <c r="F287" i="7"/>
  <c r="G287" i="7"/>
  <c r="F288" i="7"/>
  <c r="G288" i="7"/>
  <c r="F269" i="7"/>
  <c r="G269" i="7"/>
  <c r="F270" i="7"/>
  <c r="G270" i="7"/>
  <c r="F271" i="7"/>
  <c r="G271" i="7"/>
  <c r="F272" i="7"/>
  <c r="G272" i="7"/>
  <c r="F273" i="7"/>
  <c r="G273" i="7"/>
  <c r="F274" i="7"/>
  <c r="G274" i="7"/>
  <c r="F275" i="7"/>
  <c r="G275" i="7"/>
  <c r="F276" i="7"/>
  <c r="G276" i="7"/>
  <c r="F277" i="7"/>
  <c r="G277" i="7"/>
  <c r="F278" i="7"/>
  <c r="G278" i="7"/>
  <c r="F279" i="7"/>
  <c r="G279" i="7"/>
  <c r="F280" i="7"/>
  <c r="G280" i="7"/>
  <c r="F281" i="7"/>
  <c r="G281" i="7"/>
  <c r="F282" i="7"/>
  <c r="G282" i="7"/>
  <c r="F283" i="7"/>
  <c r="G283" i="7"/>
  <c r="F284" i="7"/>
  <c r="G284" i="7"/>
  <c r="F285" i="7"/>
  <c r="G285" i="7"/>
  <c r="F260" i="7"/>
  <c r="G260" i="7"/>
  <c r="F261" i="7"/>
  <c r="G261" i="7"/>
  <c r="F262" i="7"/>
  <c r="G262" i="7"/>
  <c r="F263" i="7"/>
  <c r="G263" i="7"/>
  <c r="F243" i="7"/>
  <c r="G243" i="7"/>
  <c r="F244" i="7"/>
  <c r="G244" i="7"/>
  <c r="F231" i="7"/>
  <c r="G231" i="7"/>
  <c r="F232" i="7"/>
  <c r="G232" i="7"/>
  <c r="F233" i="7"/>
  <c r="G233" i="7"/>
  <c r="F234" i="7"/>
  <c r="G234" i="7"/>
  <c r="F235" i="7"/>
  <c r="G235" i="7"/>
  <c r="F237" i="7"/>
  <c r="G237" i="7"/>
  <c r="F227" i="7"/>
  <c r="G227" i="7"/>
  <c r="F218" i="7"/>
  <c r="G218" i="7"/>
  <c r="F154" i="7"/>
  <c r="G154" i="7"/>
  <c r="F155" i="7"/>
  <c r="G155" i="7"/>
  <c r="F93" i="7"/>
  <c r="G93" i="7"/>
  <c r="F94" i="7"/>
  <c r="G94" i="7"/>
  <c r="F78" i="7"/>
  <c r="G78" i="7"/>
  <c r="F79" i="7"/>
  <c r="G79" i="7"/>
  <c r="I19" i="9" l="1"/>
  <c r="M305" i="13"/>
  <c r="N305" i="13" s="1"/>
  <c r="M303" i="13"/>
  <c r="N303" i="13" s="1"/>
  <c r="M302" i="13"/>
  <c r="N302" i="13" s="1"/>
  <c r="M65" i="13"/>
  <c r="N65" i="13" s="1"/>
  <c r="M213" i="13"/>
  <c r="N213" i="13" s="1"/>
  <c r="M264" i="13"/>
  <c r="N264" i="13" s="1"/>
  <c r="M240" i="13"/>
  <c r="N240" i="13" s="1"/>
  <c r="G20" i="9"/>
  <c r="H288" i="7"/>
  <c r="I288" i="7" s="1"/>
  <c r="H307" i="7"/>
  <c r="I307" i="7" s="1"/>
  <c r="H298" i="7"/>
  <c r="I298" i="7" s="1"/>
  <c r="H306" i="7"/>
  <c r="I306" i="7" s="1"/>
  <c r="H286" i="7"/>
  <c r="I286" i="7" s="1"/>
  <c r="H285" i="7"/>
  <c r="I285" i="7" s="1"/>
  <c r="H283" i="7"/>
  <c r="I283" i="7" s="1"/>
  <c r="H281" i="7"/>
  <c r="I281" i="7" s="1"/>
  <c r="H279" i="7"/>
  <c r="I279" i="7" s="1"/>
  <c r="H277" i="7"/>
  <c r="I277" i="7" s="1"/>
  <c r="H275" i="7"/>
  <c r="I275" i="7" s="1"/>
  <c r="H273" i="7"/>
  <c r="I273" i="7" s="1"/>
  <c r="H271" i="7"/>
  <c r="I271" i="7" s="1"/>
  <c r="H269" i="7"/>
  <c r="I269" i="7" s="1"/>
  <c r="H287" i="7"/>
  <c r="I287" i="7" s="1"/>
  <c r="H284" i="7"/>
  <c r="I284" i="7" s="1"/>
  <c r="H282" i="7"/>
  <c r="I282" i="7" s="1"/>
  <c r="H280" i="7"/>
  <c r="I280" i="7" s="1"/>
  <c r="H278" i="7"/>
  <c r="I278" i="7" s="1"/>
  <c r="H276" i="7"/>
  <c r="I276" i="7" s="1"/>
  <c r="H274" i="7"/>
  <c r="I274" i="7" s="1"/>
  <c r="H272" i="7"/>
  <c r="I272" i="7" s="1"/>
  <c r="H270" i="7"/>
  <c r="I270" i="7" s="1"/>
  <c r="H227" i="7"/>
  <c r="I227" i="7" s="1"/>
  <c r="H235" i="7"/>
  <c r="I235" i="7" s="1"/>
  <c r="H233" i="7"/>
  <c r="I233" i="7" s="1"/>
  <c r="H231" i="7"/>
  <c r="I231" i="7" s="1"/>
  <c r="H243" i="7"/>
  <c r="I243" i="7" s="1"/>
  <c r="H262" i="7"/>
  <c r="I262" i="7" s="1"/>
  <c r="H260" i="7"/>
  <c r="I260" i="7" s="1"/>
  <c r="H263" i="7"/>
  <c r="I263" i="7" s="1"/>
  <c r="H261" i="7"/>
  <c r="I261" i="7" s="1"/>
  <c r="H244" i="7"/>
  <c r="I244" i="7" s="1"/>
  <c r="H218" i="7"/>
  <c r="I218" i="7" s="1"/>
  <c r="H237" i="7"/>
  <c r="I237" i="7" s="1"/>
  <c r="H234" i="7"/>
  <c r="I234" i="7" s="1"/>
  <c r="H232" i="7"/>
  <c r="I232" i="7" s="1"/>
  <c r="H154" i="7"/>
  <c r="I154" i="7" s="1"/>
  <c r="H155" i="7"/>
  <c r="I155" i="7" s="1"/>
  <c r="H78" i="7"/>
  <c r="I78" i="7" s="1"/>
  <c r="H93" i="7"/>
  <c r="I93" i="7" s="1"/>
  <c r="H79" i="7"/>
  <c r="I79" i="7" s="1"/>
  <c r="H94" i="7"/>
  <c r="I94" i="7" s="1"/>
  <c r="M156" i="13" l="1"/>
  <c r="N156" i="13" s="1"/>
  <c r="M268" i="13"/>
  <c r="N268" i="13" s="1"/>
  <c r="M275" i="13"/>
  <c r="N275" i="13" s="1"/>
  <c r="M294" i="13"/>
  <c r="N294" i="13" s="1"/>
  <c r="M289" i="13"/>
  <c r="N289" i="13" s="1"/>
  <c r="M230" i="13"/>
  <c r="N230" i="13" s="1"/>
  <c r="M287" i="13"/>
  <c r="N287" i="13" s="1"/>
  <c r="M265" i="13"/>
  <c r="N265" i="13" s="1"/>
  <c r="M274" i="13"/>
  <c r="N274" i="13" s="1"/>
  <c r="M235" i="13"/>
  <c r="N235" i="13" s="1"/>
  <c r="M267" i="13"/>
  <c r="N267" i="13" s="1"/>
  <c r="M279" i="13"/>
  <c r="N279" i="13" s="1"/>
  <c r="M276" i="13"/>
  <c r="N276" i="13" s="1"/>
  <c r="M293" i="13"/>
  <c r="N293" i="13" s="1"/>
  <c r="M79" i="13"/>
  <c r="N79" i="13" s="1"/>
  <c r="M277" i="13"/>
  <c r="N277" i="13" s="1"/>
  <c r="M314" i="13"/>
  <c r="N314" i="13" s="1"/>
  <c r="M247" i="13"/>
  <c r="N247" i="13" s="1"/>
  <c r="M95" i="13"/>
  <c r="N95" i="13" s="1"/>
  <c r="M283" i="13"/>
  <c r="N283" i="13" s="1"/>
  <c r="M280" i="13"/>
  <c r="N280" i="13" s="1"/>
  <c r="M304" i="13"/>
  <c r="N304" i="13" s="1"/>
  <c r="M266" i="13"/>
  <c r="N266" i="13" s="1"/>
  <c r="M290" i="13"/>
  <c r="N290" i="13" s="1"/>
  <c r="M155" i="13"/>
  <c r="N155" i="13" s="1"/>
  <c r="M291" i="13"/>
  <c r="N291" i="13" s="1"/>
  <c r="M237" i="13"/>
  <c r="N237" i="13" s="1"/>
  <c r="M278" i="13"/>
  <c r="N278" i="13" s="1"/>
  <c r="M241" i="13"/>
  <c r="N241" i="13" s="1"/>
  <c r="M80" i="13"/>
  <c r="N80" i="13" s="1"/>
  <c r="M222" i="13"/>
  <c r="N222" i="13" s="1"/>
  <c r="M236" i="13"/>
  <c r="N236" i="13" s="1"/>
  <c r="M286" i="13"/>
  <c r="N286" i="13" s="1"/>
  <c r="M282" i="13"/>
  <c r="N282" i="13" s="1"/>
  <c r="M315" i="13"/>
  <c r="N315" i="13" s="1"/>
  <c r="M281" i="13"/>
  <c r="N281" i="13" s="1"/>
  <c r="M234" i="13"/>
  <c r="N234" i="13" s="1"/>
  <c r="M94" i="13"/>
  <c r="N94" i="13" s="1"/>
  <c r="M248" i="13"/>
  <c r="N248" i="13" s="1"/>
  <c r="M238" i="13"/>
  <c r="N238" i="13" s="1"/>
  <c r="M288" i="13"/>
  <c r="N288" i="13" s="1"/>
  <c r="M284" i="13"/>
  <c r="N284" i="13" s="1"/>
  <c r="M295" i="13"/>
  <c r="N295" i="13" s="1"/>
  <c r="G22" i="9"/>
  <c r="H20" i="9"/>
  <c r="I20" i="9" s="1"/>
  <c r="G73" i="7"/>
  <c r="H73" i="7" s="1"/>
  <c r="I73" i="7" s="1"/>
  <c r="G74" i="7"/>
  <c r="H74" i="7" s="1"/>
  <c r="I74" i="7" s="1"/>
  <c r="G75" i="7"/>
  <c r="G54" i="7"/>
  <c r="G55" i="7"/>
  <c r="H55" i="7" s="1"/>
  <c r="I55" i="7" s="1"/>
  <c r="G56" i="7"/>
  <c r="G57" i="7"/>
  <c r="G58" i="7"/>
  <c r="F46" i="7"/>
  <c r="G46" i="7"/>
  <c r="F47" i="7"/>
  <c r="G47" i="7"/>
  <c r="F48" i="7"/>
  <c r="G48" i="7"/>
  <c r="F49" i="7"/>
  <c r="G49" i="7"/>
  <c r="F3" i="7"/>
  <c r="G3" i="7"/>
  <c r="F4" i="7"/>
  <c r="G4" i="7"/>
  <c r="F5" i="7"/>
  <c r="G5" i="7"/>
  <c r="F6" i="7"/>
  <c r="G6" i="7"/>
  <c r="F7" i="7"/>
  <c r="G7" i="7"/>
  <c r="F8" i="7"/>
  <c r="G8" i="7"/>
  <c r="F9" i="7"/>
  <c r="G9" i="7"/>
  <c r="F10" i="7"/>
  <c r="G10" i="7"/>
  <c r="F11" i="7"/>
  <c r="G11" i="7"/>
  <c r="F12" i="7"/>
  <c r="G12" i="7"/>
  <c r="F13" i="7"/>
  <c r="G13" i="7"/>
  <c r="F14" i="7"/>
  <c r="G14" i="7"/>
  <c r="F15" i="7"/>
  <c r="G15" i="7"/>
  <c r="F16" i="7"/>
  <c r="G16" i="7"/>
  <c r="F17" i="7"/>
  <c r="G17" i="7"/>
  <c r="F18" i="7"/>
  <c r="G18" i="7"/>
  <c r="F19" i="7"/>
  <c r="G19" i="7"/>
  <c r="F20" i="7"/>
  <c r="G20" i="7"/>
  <c r="F21" i="7"/>
  <c r="G21" i="7"/>
  <c r="F22" i="7"/>
  <c r="G22" i="7"/>
  <c r="F23" i="7"/>
  <c r="G23" i="7"/>
  <c r="F24" i="7"/>
  <c r="G24" i="7"/>
  <c r="F25" i="7"/>
  <c r="G25" i="7"/>
  <c r="F26" i="7"/>
  <c r="G26" i="7"/>
  <c r="F27" i="7"/>
  <c r="G27" i="7"/>
  <c r="F28" i="7"/>
  <c r="G28" i="7"/>
  <c r="F29" i="7"/>
  <c r="G29" i="7"/>
  <c r="F30" i="7"/>
  <c r="G30" i="7"/>
  <c r="F31" i="7"/>
  <c r="G31" i="7"/>
  <c r="F32" i="7"/>
  <c r="G32" i="7"/>
  <c r="F33" i="7"/>
  <c r="G33" i="7"/>
  <c r="F34" i="7"/>
  <c r="G34" i="7"/>
  <c r="F35" i="7"/>
  <c r="G35" i="7"/>
  <c r="F36" i="7"/>
  <c r="G36" i="7"/>
  <c r="F37" i="7"/>
  <c r="G37" i="7"/>
  <c r="F38" i="7"/>
  <c r="G38" i="7"/>
  <c r="F39" i="7"/>
  <c r="G39" i="7"/>
  <c r="F40" i="7"/>
  <c r="G40" i="7"/>
  <c r="F41" i="7"/>
  <c r="G41" i="7"/>
  <c r="F42" i="7"/>
  <c r="G42" i="7"/>
  <c r="F43" i="7"/>
  <c r="G43" i="7"/>
  <c r="F44" i="7"/>
  <c r="G44" i="7"/>
  <c r="F45" i="7"/>
  <c r="G45" i="7"/>
  <c r="F50" i="7"/>
  <c r="G50" i="7"/>
  <c r="F51" i="7"/>
  <c r="G51" i="7"/>
  <c r="F52" i="7"/>
  <c r="G52" i="7"/>
  <c r="F53" i="7"/>
  <c r="G53" i="7"/>
  <c r="F54" i="7"/>
  <c r="F56" i="7"/>
  <c r="F57" i="7"/>
  <c r="F58" i="7"/>
  <c r="F59" i="7"/>
  <c r="G59" i="7"/>
  <c r="F60" i="7"/>
  <c r="G60" i="7"/>
  <c r="F61" i="7"/>
  <c r="G61" i="7"/>
  <c r="F62" i="7"/>
  <c r="G62" i="7"/>
  <c r="F63" i="7"/>
  <c r="G63" i="7"/>
  <c r="F65" i="7"/>
  <c r="G65" i="7"/>
  <c r="F66" i="7"/>
  <c r="G66" i="7"/>
  <c r="F67" i="7"/>
  <c r="G67" i="7"/>
  <c r="F68" i="7"/>
  <c r="G68" i="7"/>
  <c r="F69" i="7"/>
  <c r="G69" i="7"/>
  <c r="F70" i="7"/>
  <c r="G70" i="7"/>
  <c r="F71" i="7"/>
  <c r="G71" i="7"/>
  <c r="F72" i="7"/>
  <c r="G72" i="7"/>
  <c r="F75" i="7"/>
  <c r="F76" i="7"/>
  <c r="G76" i="7"/>
  <c r="F77" i="7"/>
  <c r="G77" i="7"/>
  <c r="F80" i="7"/>
  <c r="G80" i="7"/>
  <c r="F81" i="7"/>
  <c r="G81" i="7"/>
  <c r="F82" i="7"/>
  <c r="G82" i="7"/>
  <c r="F83" i="7"/>
  <c r="G83" i="7"/>
  <c r="F84" i="7"/>
  <c r="G84" i="7"/>
  <c r="F85" i="7"/>
  <c r="G85" i="7"/>
  <c r="F86" i="7"/>
  <c r="G86" i="7"/>
  <c r="F87" i="7"/>
  <c r="G87" i="7"/>
  <c r="F88" i="7"/>
  <c r="G88" i="7"/>
  <c r="F89" i="7"/>
  <c r="G89" i="7"/>
  <c r="F90" i="7"/>
  <c r="G90" i="7"/>
  <c r="F91" i="7"/>
  <c r="G91" i="7"/>
  <c r="F92" i="7"/>
  <c r="G92" i="7"/>
  <c r="F95" i="7"/>
  <c r="G95" i="7"/>
  <c r="F96" i="7"/>
  <c r="G96" i="7"/>
  <c r="F97" i="7"/>
  <c r="G97" i="7"/>
  <c r="F98" i="7"/>
  <c r="G98" i="7"/>
  <c r="F99" i="7"/>
  <c r="G99" i="7"/>
  <c r="F100" i="7"/>
  <c r="G100" i="7"/>
  <c r="F101" i="7"/>
  <c r="G101" i="7"/>
  <c r="F102" i="7"/>
  <c r="G102" i="7"/>
  <c r="F103" i="7"/>
  <c r="G103" i="7"/>
  <c r="F104" i="7"/>
  <c r="G104" i="7"/>
  <c r="F105" i="7"/>
  <c r="G105" i="7"/>
  <c r="F106" i="7"/>
  <c r="G106" i="7"/>
  <c r="F107" i="7"/>
  <c r="G107" i="7"/>
  <c r="F108" i="7"/>
  <c r="G108" i="7"/>
  <c r="F109" i="7"/>
  <c r="G109" i="7"/>
  <c r="F110" i="7"/>
  <c r="G110" i="7"/>
  <c r="F111" i="7"/>
  <c r="G111" i="7"/>
  <c r="F112" i="7"/>
  <c r="G112" i="7"/>
  <c r="F113" i="7"/>
  <c r="G113" i="7"/>
  <c r="F114" i="7"/>
  <c r="G114" i="7"/>
  <c r="F115" i="7"/>
  <c r="G115" i="7"/>
  <c r="F116" i="7"/>
  <c r="G116" i="7"/>
  <c r="F117" i="7"/>
  <c r="G117" i="7"/>
  <c r="F118" i="7"/>
  <c r="G118" i="7"/>
  <c r="F119" i="7"/>
  <c r="G119" i="7"/>
  <c r="F120" i="7"/>
  <c r="G120" i="7"/>
  <c r="F121" i="7"/>
  <c r="G121" i="7"/>
  <c r="F122" i="7"/>
  <c r="G122" i="7"/>
  <c r="F123" i="7"/>
  <c r="G123" i="7"/>
  <c r="F124" i="7"/>
  <c r="G124" i="7"/>
  <c r="F125" i="7"/>
  <c r="G125" i="7"/>
  <c r="F126" i="7"/>
  <c r="G126" i="7"/>
  <c r="F127" i="7"/>
  <c r="G127" i="7"/>
  <c r="F128" i="7"/>
  <c r="G128" i="7"/>
  <c r="F129" i="7"/>
  <c r="G129" i="7"/>
  <c r="F130" i="7"/>
  <c r="G130" i="7"/>
  <c r="F131" i="7"/>
  <c r="G131" i="7"/>
  <c r="F132" i="7"/>
  <c r="G132" i="7"/>
  <c r="F133" i="7"/>
  <c r="G133" i="7"/>
  <c r="F134" i="7"/>
  <c r="G134" i="7"/>
  <c r="F135" i="7"/>
  <c r="G135" i="7"/>
  <c r="F136" i="7"/>
  <c r="G136" i="7"/>
  <c r="F137" i="7"/>
  <c r="G137" i="7"/>
  <c r="F138" i="7"/>
  <c r="G138" i="7"/>
  <c r="F139" i="7"/>
  <c r="G139" i="7"/>
  <c r="F140" i="7"/>
  <c r="G140" i="7"/>
  <c r="F141" i="7"/>
  <c r="G141" i="7"/>
  <c r="F142" i="7"/>
  <c r="G142" i="7"/>
  <c r="F143" i="7"/>
  <c r="G143" i="7"/>
  <c r="F144" i="7"/>
  <c r="G144" i="7"/>
  <c r="F145" i="7"/>
  <c r="G145" i="7"/>
  <c r="F146" i="7"/>
  <c r="G146" i="7"/>
  <c r="F147" i="7"/>
  <c r="G147" i="7"/>
  <c r="F148" i="7"/>
  <c r="G148" i="7"/>
  <c r="F149" i="7"/>
  <c r="G149" i="7"/>
  <c r="F150" i="7"/>
  <c r="G150" i="7"/>
  <c r="F151" i="7"/>
  <c r="G151" i="7"/>
  <c r="F152" i="7"/>
  <c r="G152" i="7"/>
  <c r="F153" i="7"/>
  <c r="G153" i="7"/>
  <c r="F156" i="7"/>
  <c r="G156" i="7"/>
  <c r="F157" i="7"/>
  <c r="G157" i="7"/>
  <c r="F158" i="7"/>
  <c r="G158" i="7"/>
  <c r="F159" i="7"/>
  <c r="G159" i="7"/>
  <c r="F160" i="7"/>
  <c r="G160" i="7"/>
  <c r="F161" i="7"/>
  <c r="G161" i="7"/>
  <c r="F162" i="7"/>
  <c r="G162" i="7"/>
  <c r="F163" i="7"/>
  <c r="G163" i="7"/>
  <c r="F164" i="7"/>
  <c r="G164" i="7"/>
  <c r="F165" i="7"/>
  <c r="G165" i="7"/>
  <c r="F166" i="7"/>
  <c r="G166" i="7"/>
  <c r="F167" i="7"/>
  <c r="G167" i="7"/>
  <c r="F168" i="7"/>
  <c r="G168" i="7"/>
  <c r="F169" i="7"/>
  <c r="G169" i="7"/>
  <c r="F170" i="7"/>
  <c r="G170" i="7"/>
  <c r="F171" i="7"/>
  <c r="G171" i="7"/>
  <c r="F172" i="7"/>
  <c r="G172" i="7"/>
  <c r="F173" i="7"/>
  <c r="G173" i="7"/>
  <c r="F174" i="7"/>
  <c r="G174" i="7"/>
  <c r="F175" i="7"/>
  <c r="G175" i="7"/>
  <c r="F176" i="7"/>
  <c r="G176" i="7"/>
  <c r="F177" i="7"/>
  <c r="G177" i="7"/>
  <c r="F178" i="7"/>
  <c r="G178" i="7"/>
  <c r="F179" i="7"/>
  <c r="G179" i="7"/>
  <c r="F180" i="7"/>
  <c r="G180" i="7"/>
  <c r="F181" i="7"/>
  <c r="G181" i="7"/>
  <c r="F182" i="7"/>
  <c r="G182" i="7"/>
  <c r="F183" i="7"/>
  <c r="G183" i="7"/>
  <c r="F184" i="7"/>
  <c r="G184" i="7"/>
  <c r="F185" i="7"/>
  <c r="G185" i="7"/>
  <c r="F186" i="7"/>
  <c r="G186" i="7"/>
  <c r="F187" i="7"/>
  <c r="G187" i="7"/>
  <c r="F188" i="7"/>
  <c r="G188" i="7"/>
  <c r="F189" i="7"/>
  <c r="G189" i="7"/>
  <c r="F190" i="7"/>
  <c r="G190" i="7"/>
  <c r="F191" i="7"/>
  <c r="G191" i="7"/>
  <c r="F192" i="7"/>
  <c r="G192" i="7"/>
  <c r="F193" i="7"/>
  <c r="G193" i="7"/>
  <c r="F194" i="7"/>
  <c r="G194" i="7"/>
  <c r="F195" i="7"/>
  <c r="G195" i="7"/>
  <c r="F196" i="7"/>
  <c r="G196" i="7"/>
  <c r="F197" i="7"/>
  <c r="G197" i="7"/>
  <c r="F198" i="7"/>
  <c r="G198" i="7"/>
  <c r="F199" i="7"/>
  <c r="G199" i="7"/>
  <c r="F200" i="7"/>
  <c r="G200" i="7"/>
  <c r="F201" i="7"/>
  <c r="G201" i="7"/>
  <c r="F202" i="7"/>
  <c r="G202" i="7"/>
  <c r="F203" i="7"/>
  <c r="G203" i="7"/>
  <c r="F204" i="7"/>
  <c r="G204" i="7"/>
  <c r="F205" i="7"/>
  <c r="G205" i="7"/>
  <c r="F206" i="7"/>
  <c r="G206" i="7"/>
  <c r="F207" i="7"/>
  <c r="G207" i="7"/>
  <c r="F208" i="7"/>
  <c r="G208" i="7"/>
  <c r="F209" i="7"/>
  <c r="G209" i="7"/>
  <c r="F210" i="7"/>
  <c r="G210" i="7"/>
  <c r="F211" i="7"/>
  <c r="G211" i="7"/>
  <c r="F212" i="7"/>
  <c r="G212" i="7"/>
  <c r="F213" i="7"/>
  <c r="G213" i="7"/>
  <c r="F214" i="7"/>
  <c r="G214" i="7"/>
  <c r="F215" i="7"/>
  <c r="G215" i="7"/>
  <c r="F216" i="7"/>
  <c r="G216" i="7"/>
  <c r="F217" i="7"/>
  <c r="G217" i="7"/>
  <c r="F219" i="7"/>
  <c r="G219" i="7"/>
  <c r="F220" i="7"/>
  <c r="G220" i="7"/>
  <c r="F221" i="7"/>
  <c r="G221" i="7"/>
  <c r="F222" i="7"/>
  <c r="G222" i="7"/>
  <c r="F223" i="7"/>
  <c r="G223" i="7"/>
  <c r="F224" i="7"/>
  <c r="G224" i="7"/>
  <c r="F226" i="7"/>
  <c r="G226" i="7"/>
  <c r="F228" i="7"/>
  <c r="G228" i="7"/>
  <c r="F229" i="7"/>
  <c r="G229" i="7"/>
  <c r="F230" i="7"/>
  <c r="G230" i="7"/>
  <c r="F238" i="7"/>
  <c r="G238" i="7"/>
  <c r="F239" i="7"/>
  <c r="G239" i="7"/>
  <c r="F240" i="7"/>
  <c r="G240" i="7"/>
  <c r="F241" i="7"/>
  <c r="G241" i="7"/>
  <c r="F242" i="7"/>
  <c r="G242" i="7"/>
  <c r="F245" i="7"/>
  <c r="G245" i="7"/>
  <c r="F246" i="7"/>
  <c r="G246" i="7"/>
  <c r="F247" i="7"/>
  <c r="G247" i="7"/>
  <c r="F248" i="7"/>
  <c r="G248" i="7"/>
  <c r="F249" i="7"/>
  <c r="G249" i="7"/>
  <c r="F250" i="7"/>
  <c r="G250" i="7"/>
  <c r="F251" i="7"/>
  <c r="G251" i="7"/>
  <c r="F252" i="7"/>
  <c r="G252" i="7"/>
  <c r="F253" i="7"/>
  <c r="G253" i="7"/>
  <c r="F254" i="7"/>
  <c r="G254" i="7"/>
  <c r="F255" i="7"/>
  <c r="G255" i="7"/>
  <c r="F256" i="7"/>
  <c r="G256" i="7"/>
  <c r="F257" i="7"/>
  <c r="F258" i="7"/>
  <c r="F264" i="7"/>
  <c r="G264" i="7"/>
  <c r="F265" i="7"/>
  <c r="G265" i="7"/>
  <c r="F266" i="7"/>
  <c r="G266" i="7"/>
  <c r="F267" i="7"/>
  <c r="G267" i="7"/>
  <c r="F268" i="7"/>
  <c r="G268" i="7"/>
  <c r="F289" i="7"/>
  <c r="G289" i="7"/>
  <c r="F290" i="7"/>
  <c r="G290" i="7"/>
  <c r="F291" i="7"/>
  <c r="G291" i="7"/>
  <c r="F292" i="7"/>
  <c r="G292" i="7"/>
  <c r="F293" i="7"/>
  <c r="G293" i="7"/>
  <c r="F294" i="7"/>
  <c r="G294" i="7"/>
  <c r="F299" i="7"/>
  <c r="G299" i="7"/>
  <c r="F300" i="7"/>
  <c r="G300" i="7"/>
  <c r="F301" i="7"/>
  <c r="G301" i="7"/>
  <c r="F302" i="7"/>
  <c r="G302" i="7"/>
  <c r="F303" i="7"/>
  <c r="G303" i="7"/>
  <c r="F304" i="7"/>
  <c r="G304" i="7"/>
  <c r="F305" i="7"/>
  <c r="G305" i="7"/>
  <c r="F308" i="7"/>
  <c r="G308" i="7"/>
  <c r="F309" i="7"/>
  <c r="G309" i="7"/>
  <c r="F310" i="7"/>
  <c r="G310" i="7"/>
  <c r="F311" i="7"/>
  <c r="G311" i="7"/>
  <c r="F312" i="7"/>
  <c r="G312" i="7"/>
  <c r="F313" i="7"/>
  <c r="G313" i="7"/>
  <c r="F314" i="7"/>
  <c r="G314" i="7"/>
  <c r="F315" i="7"/>
  <c r="G315" i="7"/>
  <c r="F316" i="7"/>
  <c r="G316" i="7"/>
  <c r="F317" i="7"/>
  <c r="F318" i="7"/>
  <c r="G318" i="7"/>
  <c r="F319" i="7"/>
  <c r="G319" i="7"/>
  <c r="F321" i="7"/>
  <c r="G321" i="7"/>
  <c r="F322" i="7"/>
  <c r="G322" i="7"/>
  <c r="M56" i="13" l="1"/>
  <c r="N56" i="13" s="1"/>
  <c r="M75" i="13"/>
  <c r="N75" i="13" s="1"/>
  <c r="M74" i="13"/>
  <c r="N74" i="13" s="1"/>
  <c r="G26" i="9"/>
  <c r="H22" i="9"/>
  <c r="I22" i="9" s="1"/>
  <c r="H56" i="7"/>
  <c r="I56" i="7" s="1"/>
  <c r="H48" i="7"/>
  <c r="I48" i="7" s="1"/>
  <c r="H46" i="7"/>
  <c r="I46" i="7" s="1"/>
  <c r="H49" i="7"/>
  <c r="I49" i="7" s="1"/>
  <c r="H47" i="7"/>
  <c r="I47" i="7" s="1"/>
  <c r="H75" i="7"/>
  <c r="I75" i="7" s="1"/>
  <c r="H57" i="7"/>
  <c r="I57" i="7" s="1"/>
  <c r="H54" i="7"/>
  <c r="I54" i="7" s="1"/>
  <c r="H58" i="7"/>
  <c r="I58" i="7" s="1"/>
  <c r="H300" i="7"/>
  <c r="I300" i="7" s="1"/>
  <c r="H177" i="7"/>
  <c r="I177" i="7" s="1"/>
  <c r="M58" i="13" l="1"/>
  <c r="N58" i="13" s="1"/>
  <c r="M76" i="13"/>
  <c r="N76" i="13" s="1"/>
  <c r="M50" i="13"/>
  <c r="N50" i="13" s="1"/>
  <c r="M178" i="13"/>
  <c r="N178" i="13" s="1"/>
  <c r="M49" i="13"/>
  <c r="N49" i="13" s="1"/>
  <c r="M48" i="13"/>
  <c r="N48" i="13" s="1"/>
  <c r="M47" i="13"/>
  <c r="N47" i="13" s="1"/>
  <c r="M57" i="13"/>
  <c r="N57" i="13" s="1"/>
  <c r="M308" i="13"/>
  <c r="N308" i="13" s="1"/>
  <c r="M59" i="13"/>
  <c r="N59" i="13" s="1"/>
  <c r="M55" i="13"/>
  <c r="N55" i="13" s="1"/>
  <c r="G28" i="9"/>
  <c r="H28" i="9" s="1"/>
  <c r="I28" i="9" s="1"/>
  <c r="H26" i="9"/>
  <c r="I26" i="9" s="1"/>
  <c r="H318" i="7"/>
  <c r="I318" i="7" s="1"/>
  <c r="M326" i="13" l="1"/>
  <c r="N326" i="13" s="1"/>
  <c r="D323" i="7"/>
  <c r="E323" i="7"/>
  <c r="H239" i="7" l="1"/>
  <c r="I239" i="7" s="1"/>
  <c r="H293" i="7"/>
  <c r="I293" i="7" s="1"/>
  <c r="H299" i="7"/>
  <c r="I299" i="7" s="1"/>
  <c r="H301" i="7"/>
  <c r="I301" i="7" s="1"/>
  <c r="H302" i="7"/>
  <c r="I302" i="7" s="1"/>
  <c r="H304" i="7"/>
  <c r="I304" i="7" s="1"/>
  <c r="H305" i="7"/>
  <c r="I305" i="7" s="1"/>
  <c r="H310" i="7"/>
  <c r="I310" i="7" s="1"/>
  <c r="H315" i="7"/>
  <c r="I315" i="7" s="1"/>
  <c r="H317" i="7"/>
  <c r="I317" i="7" s="1"/>
  <c r="H319" i="7"/>
  <c r="I319" i="7" s="1"/>
  <c r="M312" i="13" l="1"/>
  <c r="N312" i="13" s="1"/>
  <c r="M309" i="13"/>
  <c r="N309" i="13" s="1"/>
  <c r="M310" i="13"/>
  <c r="N310" i="13" s="1"/>
  <c r="M327" i="13"/>
  <c r="N327" i="13" s="1"/>
  <c r="M307" i="13"/>
  <c r="N307" i="13" s="1"/>
  <c r="M318" i="13"/>
  <c r="N318" i="13" s="1"/>
  <c r="M300" i="13"/>
  <c r="N300" i="13" s="1"/>
  <c r="M313" i="13"/>
  <c r="N313" i="13" s="1"/>
  <c r="M325" i="13"/>
  <c r="N325" i="13" s="1"/>
  <c r="M323" i="13"/>
  <c r="N323" i="13" s="1"/>
  <c r="M243" i="13"/>
  <c r="N243" i="13" s="1"/>
  <c r="E11" i="9"/>
  <c r="K11" i="9" s="1"/>
  <c r="L11" i="9" s="1"/>
  <c r="J11" i="9"/>
  <c r="E21" i="9"/>
  <c r="J21" i="9"/>
  <c r="C323" i="7"/>
  <c r="F323" i="7"/>
  <c r="G323" i="7"/>
  <c r="H255" i="7"/>
  <c r="I255" i="7" s="1"/>
  <c r="H253" i="7"/>
  <c r="I253" i="7" s="1"/>
  <c r="H251" i="7"/>
  <c r="I251" i="7" s="1"/>
  <c r="H249" i="7"/>
  <c r="I249" i="7" s="1"/>
  <c r="H247" i="7"/>
  <c r="I247" i="7" s="1"/>
  <c r="H245" i="7"/>
  <c r="I245" i="7" s="1"/>
  <c r="H242" i="7"/>
  <c r="I242" i="7" s="1"/>
  <c r="H240" i="7"/>
  <c r="I240" i="7" s="1"/>
  <c r="H229" i="7"/>
  <c r="I229" i="7" s="1"/>
  <c r="H226" i="7"/>
  <c r="I226" i="7" s="1"/>
  <c r="H223" i="7"/>
  <c r="I223" i="7" s="1"/>
  <c r="H221" i="7"/>
  <c r="I221" i="7" s="1"/>
  <c r="H219" i="7"/>
  <c r="I219" i="7" s="1"/>
  <c r="H216" i="7"/>
  <c r="I216" i="7" s="1"/>
  <c r="H214" i="7"/>
  <c r="I214" i="7" s="1"/>
  <c r="H212" i="7"/>
  <c r="I212" i="7" s="1"/>
  <c r="H210" i="7"/>
  <c r="I210" i="7" s="1"/>
  <c r="H208" i="7"/>
  <c r="I208" i="7" s="1"/>
  <c r="H206" i="7"/>
  <c r="I206" i="7" s="1"/>
  <c r="H204" i="7"/>
  <c r="I204" i="7" s="1"/>
  <c r="H202" i="7"/>
  <c r="I202" i="7" s="1"/>
  <c r="H200" i="7"/>
  <c r="I200" i="7" s="1"/>
  <c r="H198" i="7"/>
  <c r="I198" i="7" s="1"/>
  <c r="H196" i="7"/>
  <c r="I196" i="7" s="1"/>
  <c r="H194" i="7"/>
  <c r="I194" i="7" s="1"/>
  <c r="H192" i="7"/>
  <c r="I192" i="7" s="1"/>
  <c r="H190" i="7"/>
  <c r="I190" i="7" s="1"/>
  <c r="H188" i="7"/>
  <c r="I188" i="7" s="1"/>
  <c r="H186" i="7"/>
  <c r="I186" i="7" s="1"/>
  <c r="H184" i="7"/>
  <c r="I184" i="7" s="1"/>
  <c r="H182" i="7"/>
  <c r="I182" i="7" s="1"/>
  <c r="H180" i="7"/>
  <c r="I180" i="7" s="1"/>
  <c r="H178" i="7"/>
  <c r="I178" i="7" s="1"/>
  <c r="H176" i="7"/>
  <c r="I176" i="7" s="1"/>
  <c r="H174" i="7"/>
  <c r="I174" i="7" s="1"/>
  <c r="H172" i="7"/>
  <c r="I172" i="7" s="1"/>
  <c r="H170" i="7"/>
  <c r="I170" i="7" s="1"/>
  <c r="H168" i="7"/>
  <c r="I168" i="7" s="1"/>
  <c r="H166" i="7"/>
  <c r="I166" i="7" s="1"/>
  <c r="H164" i="7"/>
  <c r="I164" i="7" s="1"/>
  <c r="H162" i="7"/>
  <c r="I162" i="7" s="1"/>
  <c r="H160" i="7"/>
  <c r="I160" i="7" s="1"/>
  <c r="H158" i="7"/>
  <c r="I158" i="7" s="1"/>
  <c r="H156" i="7"/>
  <c r="I156" i="7" s="1"/>
  <c r="H153" i="7"/>
  <c r="I153" i="7" s="1"/>
  <c r="H151" i="7"/>
  <c r="I151" i="7" s="1"/>
  <c r="H149" i="7"/>
  <c r="I149" i="7" s="1"/>
  <c r="H147" i="7"/>
  <c r="I147" i="7" s="1"/>
  <c r="H145" i="7"/>
  <c r="I145" i="7" s="1"/>
  <c r="H143" i="7"/>
  <c r="I143" i="7" s="1"/>
  <c r="H141" i="7"/>
  <c r="I141" i="7" s="1"/>
  <c r="H139" i="7"/>
  <c r="I139" i="7" s="1"/>
  <c r="H137" i="7"/>
  <c r="I137" i="7" s="1"/>
  <c r="H135" i="7"/>
  <c r="I135" i="7" s="1"/>
  <c r="H133" i="7"/>
  <c r="I133" i="7" s="1"/>
  <c r="H131" i="7"/>
  <c r="I131" i="7" s="1"/>
  <c r="H129" i="7"/>
  <c r="I129" i="7" s="1"/>
  <c r="H127" i="7"/>
  <c r="I127" i="7" s="1"/>
  <c r="H125" i="7"/>
  <c r="I125" i="7" s="1"/>
  <c r="H123" i="7"/>
  <c r="I123" i="7" s="1"/>
  <c r="H121" i="7"/>
  <c r="I121" i="7" s="1"/>
  <c r="H119" i="7"/>
  <c r="I119" i="7" s="1"/>
  <c r="H117" i="7"/>
  <c r="I117" i="7" s="1"/>
  <c r="H115" i="7"/>
  <c r="I115" i="7" s="1"/>
  <c r="H113" i="7"/>
  <c r="I113" i="7" s="1"/>
  <c r="H111" i="7"/>
  <c r="I111" i="7" s="1"/>
  <c r="H109" i="7"/>
  <c r="I109" i="7" s="1"/>
  <c r="H107" i="7"/>
  <c r="I107" i="7" s="1"/>
  <c r="H105" i="7"/>
  <c r="I105" i="7" s="1"/>
  <c r="H103" i="7"/>
  <c r="I103" i="7" s="1"/>
  <c r="H101" i="7"/>
  <c r="I101" i="7" s="1"/>
  <c r="H99" i="7"/>
  <c r="I99" i="7" s="1"/>
  <c r="H97" i="7"/>
  <c r="I97" i="7" s="1"/>
  <c r="H95" i="7"/>
  <c r="I95" i="7" s="1"/>
  <c r="H92" i="7"/>
  <c r="I92" i="7" s="1"/>
  <c r="H90" i="7"/>
  <c r="I90" i="7" s="1"/>
  <c r="H88" i="7"/>
  <c r="I88" i="7" s="1"/>
  <c r="H86" i="7"/>
  <c r="I86" i="7" s="1"/>
  <c r="H84" i="7"/>
  <c r="I84" i="7" s="1"/>
  <c r="H82" i="7"/>
  <c r="I82" i="7" s="1"/>
  <c r="H80" i="7"/>
  <c r="I80" i="7" s="1"/>
  <c r="H77" i="7"/>
  <c r="I77" i="7" s="1"/>
  <c r="H71" i="7"/>
  <c r="I71" i="7" s="1"/>
  <c r="H69" i="7"/>
  <c r="I69" i="7" s="1"/>
  <c r="H67" i="7"/>
  <c r="I67" i="7" s="1"/>
  <c r="H65" i="7"/>
  <c r="I65" i="7" s="1"/>
  <c r="H62" i="7"/>
  <c r="I62" i="7" s="1"/>
  <c r="H60" i="7"/>
  <c r="I60" i="7" s="1"/>
  <c r="H53" i="7"/>
  <c r="I53" i="7" s="1"/>
  <c r="H51" i="7"/>
  <c r="I51" i="7" s="1"/>
  <c r="H44" i="7"/>
  <c r="I44" i="7" s="1"/>
  <c r="H42" i="7"/>
  <c r="I42" i="7" s="1"/>
  <c r="H40" i="7"/>
  <c r="I40" i="7" s="1"/>
  <c r="H38" i="7"/>
  <c r="I38" i="7" s="1"/>
  <c r="H36" i="7"/>
  <c r="I36" i="7" s="1"/>
  <c r="H34" i="7"/>
  <c r="I34" i="7" s="1"/>
  <c r="H32" i="7"/>
  <c r="I32" i="7" s="1"/>
  <c r="H30" i="7"/>
  <c r="I30" i="7" s="1"/>
  <c r="H28" i="7"/>
  <c r="I28" i="7" s="1"/>
  <c r="H26" i="7"/>
  <c r="I26" i="7" s="1"/>
  <c r="H24" i="7"/>
  <c r="I24" i="7" s="1"/>
  <c r="H22" i="7"/>
  <c r="I22" i="7" s="1"/>
  <c r="H20" i="7"/>
  <c r="I20" i="7" s="1"/>
  <c r="H18" i="7"/>
  <c r="I18" i="7" s="1"/>
  <c r="H16" i="7"/>
  <c r="I16" i="7" s="1"/>
  <c r="H14" i="7"/>
  <c r="I14" i="7" s="1"/>
  <c r="H12" i="7"/>
  <c r="I12" i="7" s="1"/>
  <c r="H10" i="7"/>
  <c r="I10" i="7" s="1"/>
  <c r="H8" i="7"/>
  <c r="I8" i="7" s="1"/>
  <c r="H6" i="7"/>
  <c r="I6" i="7" s="1"/>
  <c r="H4" i="7"/>
  <c r="H321" i="7"/>
  <c r="I321" i="7" s="1"/>
  <c r="H314" i="7"/>
  <c r="I314" i="7" s="1"/>
  <c r="H312" i="7"/>
  <c r="I312" i="7" s="1"/>
  <c r="H309" i="7"/>
  <c r="I309" i="7" s="1"/>
  <c r="H303" i="7"/>
  <c r="I303" i="7" s="1"/>
  <c r="H292" i="7"/>
  <c r="I292" i="7" s="1"/>
  <c r="H290" i="7"/>
  <c r="I290" i="7" s="1"/>
  <c r="H268" i="7"/>
  <c r="I268" i="7" s="1"/>
  <c r="H266" i="7"/>
  <c r="I266" i="7" s="1"/>
  <c r="H264" i="7"/>
  <c r="I264" i="7" s="1"/>
  <c r="H258" i="7"/>
  <c r="I258" i="7" s="1"/>
  <c r="H256" i="7"/>
  <c r="I256" i="7" s="1"/>
  <c r="H254" i="7"/>
  <c r="I254" i="7" s="1"/>
  <c r="H252" i="7"/>
  <c r="I252" i="7" s="1"/>
  <c r="H250" i="7"/>
  <c r="I250" i="7" s="1"/>
  <c r="H248" i="7"/>
  <c r="I248" i="7" s="1"/>
  <c r="H246" i="7"/>
  <c r="I246" i="7" s="1"/>
  <c r="H241" i="7"/>
  <c r="I241" i="7" s="1"/>
  <c r="H238" i="7"/>
  <c r="I238" i="7" s="1"/>
  <c r="H230" i="7"/>
  <c r="I230" i="7" s="1"/>
  <c r="H228" i="7"/>
  <c r="I228" i="7" s="1"/>
  <c r="H224" i="7"/>
  <c r="I224" i="7" s="1"/>
  <c r="H222" i="7"/>
  <c r="I222" i="7" s="1"/>
  <c r="H220" i="7"/>
  <c r="I220" i="7" s="1"/>
  <c r="H217" i="7"/>
  <c r="I217" i="7" s="1"/>
  <c r="H215" i="7"/>
  <c r="I215" i="7" s="1"/>
  <c r="H213" i="7"/>
  <c r="I213" i="7" s="1"/>
  <c r="H211" i="7"/>
  <c r="I211" i="7" s="1"/>
  <c r="H209" i="7"/>
  <c r="I209" i="7" s="1"/>
  <c r="H207" i="7"/>
  <c r="I207" i="7" s="1"/>
  <c r="H205" i="7"/>
  <c r="I205" i="7" s="1"/>
  <c r="H203" i="7"/>
  <c r="I203" i="7" s="1"/>
  <c r="H201" i="7"/>
  <c r="I201" i="7" s="1"/>
  <c r="H199" i="7"/>
  <c r="I199" i="7" s="1"/>
  <c r="H197" i="7"/>
  <c r="I197" i="7" s="1"/>
  <c r="H195" i="7"/>
  <c r="I195" i="7" s="1"/>
  <c r="H193" i="7"/>
  <c r="I193" i="7" s="1"/>
  <c r="H191" i="7"/>
  <c r="I191" i="7" s="1"/>
  <c r="H189" i="7"/>
  <c r="I189" i="7" s="1"/>
  <c r="H187" i="7"/>
  <c r="I187" i="7" s="1"/>
  <c r="H185" i="7"/>
  <c r="I185" i="7" s="1"/>
  <c r="H183" i="7"/>
  <c r="I183" i="7" s="1"/>
  <c r="H181" i="7"/>
  <c r="I181" i="7" s="1"/>
  <c r="H179" i="7"/>
  <c r="I179" i="7" s="1"/>
  <c r="H175" i="7"/>
  <c r="I175" i="7" s="1"/>
  <c r="H173" i="7"/>
  <c r="I173" i="7" s="1"/>
  <c r="H171" i="7"/>
  <c r="I171" i="7" s="1"/>
  <c r="H169" i="7"/>
  <c r="I169" i="7" s="1"/>
  <c r="H167" i="7"/>
  <c r="I167" i="7" s="1"/>
  <c r="H165" i="7"/>
  <c r="I165" i="7" s="1"/>
  <c r="H163" i="7"/>
  <c r="I163" i="7" s="1"/>
  <c r="H161" i="7"/>
  <c r="I161" i="7" s="1"/>
  <c r="H159" i="7"/>
  <c r="I159" i="7" s="1"/>
  <c r="H157" i="7"/>
  <c r="I157" i="7" s="1"/>
  <c r="H152" i="7"/>
  <c r="I152" i="7" s="1"/>
  <c r="H150" i="7"/>
  <c r="I150" i="7" s="1"/>
  <c r="H148" i="7"/>
  <c r="I148" i="7" s="1"/>
  <c r="H146" i="7"/>
  <c r="I146" i="7" s="1"/>
  <c r="H144" i="7"/>
  <c r="I144" i="7" s="1"/>
  <c r="H142" i="7"/>
  <c r="I142" i="7" s="1"/>
  <c r="H140" i="7"/>
  <c r="I140" i="7" s="1"/>
  <c r="H138" i="7"/>
  <c r="I138" i="7" s="1"/>
  <c r="H136" i="7"/>
  <c r="I136" i="7" s="1"/>
  <c r="H134" i="7"/>
  <c r="I134" i="7" s="1"/>
  <c r="H132" i="7"/>
  <c r="I132" i="7" s="1"/>
  <c r="H130" i="7"/>
  <c r="I130" i="7" s="1"/>
  <c r="H128" i="7"/>
  <c r="I128" i="7" s="1"/>
  <c r="H126" i="7"/>
  <c r="I126" i="7" s="1"/>
  <c r="H124" i="7"/>
  <c r="I124" i="7" s="1"/>
  <c r="H122" i="7"/>
  <c r="I122" i="7" s="1"/>
  <c r="H120" i="7"/>
  <c r="I120" i="7" s="1"/>
  <c r="H118" i="7"/>
  <c r="I118" i="7" s="1"/>
  <c r="H116" i="7"/>
  <c r="I116" i="7" s="1"/>
  <c r="H114" i="7"/>
  <c r="I114" i="7" s="1"/>
  <c r="H112" i="7"/>
  <c r="I112" i="7" s="1"/>
  <c r="H110" i="7"/>
  <c r="I110" i="7" s="1"/>
  <c r="H108" i="7"/>
  <c r="I108" i="7" s="1"/>
  <c r="H106" i="7"/>
  <c r="I106" i="7" s="1"/>
  <c r="H104" i="7"/>
  <c r="I104" i="7" s="1"/>
  <c r="H102" i="7"/>
  <c r="I102" i="7" s="1"/>
  <c r="H100" i="7"/>
  <c r="I100" i="7" s="1"/>
  <c r="H98" i="7"/>
  <c r="I98" i="7" s="1"/>
  <c r="H96" i="7"/>
  <c r="I96" i="7" s="1"/>
  <c r="H91" i="7"/>
  <c r="I91" i="7" s="1"/>
  <c r="H89" i="7"/>
  <c r="I89" i="7" s="1"/>
  <c r="H87" i="7"/>
  <c r="I87" i="7" s="1"/>
  <c r="H85" i="7"/>
  <c r="I85" i="7" s="1"/>
  <c r="H83" i="7"/>
  <c r="I83" i="7" s="1"/>
  <c r="H81" i="7"/>
  <c r="I81" i="7" s="1"/>
  <c r="H76" i="7"/>
  <c r="I76" i="7" s="1"/>
  <c r="H72" i="7"/>
  <c r="I72" i="7" s="1"/>
  <c r="H70" i="7"/>
  <c r="I70" i="7" s="1"/>
  <c r="H68" i="7"/>
  <c r="I68" i="7" s="1"/>
  <c r="H66" i="7"/>
  <c r="I66" i="7" s="1"/>
  <c r="H63" i="7"/>
  <c r="I63" i="7" s="1"/>
  <c r="H61" i="7"/>
  <c r="I61" i="7" s="1"/>
  <c r="H59" i="7"/>
  <c r="I59" i="7" s="1"/>
  <c r="H52" i="7"/>
  <c r="I52" i="7" s="1"/>
  <c r="H50" i="7"/>
  <c r="I50" i="7" s="1"/>
  <c r="H45" i="7"/>
  <c r="I45" i="7" s="1"/>
  <c r="H43" i="7"/>
  <c r="I43" i="7" s="1"/>
  <c r="H41" i="7"/>
  <c r="I41" i="7" s="1"/>
  <c r="H39" i="7"/>
  <c r="I39" i="7" s="1"/>
  <c r="H37" i="7"/>
  <c r="I37" i="7" s="1"/>
  <c r="H35" i="7"/>
  <c r="I35" i="7" s="1"/>
  <c r="H33" i="7"/>
  <c r="I33" i="7" s="1"/>
  <c r="H31" i="7"/>
  <c r="I31" i="7" s="1"/>
  <c r="H29" i="7"/>
  <c r="I29" i="7" s="1"/>
  <c r="H27" i="7"/>
  <c r="I27" i="7" s="1"/>
  <c r="H25" i="7"/>
  <c r="I25" i="7" s="1"/>
  <c r="H23" i="7"/>
  <c r="I23" i="7" s="1"/>
  <c r="H21" i="7"/>
  <c r="I21" i="7" s="1"/>
  <c r="H19" i="7"/>
  <c r="I19" i="7" s="1"/>
  <c r="H17" i="7"/>
  <c r="I17" i="7" s="1"/>
  <c r="H15" i="7"/>
  <c r="I15" i="7" s="1"/>
  <c r="H13" i="7"/>
  <c r="I13" i="7" s="1"/>
  <c r="H11" i="7"/>
  <c r="I11" i="7" s="1"/>
  <c r="H9" i="7"/>
  <c r="I9" i="7" s="1"/>
  <c r="H7" i="7"/>
  <c r="I7" i="7" s="1"/>
  <c r="H5" i="7"/>
  <c r="I5" i="7" s="1"/>
  <c r="H322" i="7"/>
  <c r="I322" i="7" s="1"/>
  <c r="H316" i="7"/>
  <c r="I316" i="7" s="1"/>
  <c r="H313" i="7"/>
  <c r="I313" i="7" s="1"/>
  <c r="H311" i="7"/>
  <c r="I311" i="7" s="1"/>
  <c r="H308" i="7"/>
  <c r="I308" i="7" s="1"/>
  <c r="H294" i="7"/>
  <c r="I294" i="7" s="1"/>
  <c r="H291" i="7"/>
  <c r="I291" i="7" s="1"/>
  <c r="H289" i="7"/>
  <c r="I289" i="7" s="1"/>
  <c r="H267" i="7"/>
  <c r="I267" i="7" s="1"/>
  <c r="H265" i="7"/>
  <c r="I265" i="7" s="1"/>
  <c r="H257" i="7"/>
  <c r="I257" i="7" s="1"/>
  <c r="H3" i="7"/>
  <c r="M147" i="13" l="1"/>
  <c r="N147" i="13" s="1"/>
  <c r="M296" i="13"/>
  <c r="N296" i="13" s="1"/>
  <c r="M84" i="13"/>
  <c r="N84" i="13" s="1"/>
  <c r="M319" i="13"/>
  <c r="N319" i="13" s="1"/>
  <c r="M13" i="13"/>
  <c r="N13" i="13" s="1"/>
  <c r="M29" i="13"/>
  <c r="N29" i="13" s="1"/>
  <c r="M46" i="13"/>
  <c r="N46" i="13" s="1"/>
  <c r="M71" i="13"/>
  <c r="N71" i="13" s="1"/>
  <c r="M92" i="13"/>
  <c r="N92" i="13" s="1"/>
  <c r="M111" i="13"/>
  <c r="N111" i="13" s="1"/>
  <c r="M127" i="13"/>
  <c r="N127" i="13" s="1"/>
  <c r="M143" i="13"/>
  <c r="N143" i="13" s="1"/>
  <c r="M162" i="13"/>
  <c r="N162" i="13" s="1"/>
  <c r="M180" i="13"/>
  <c r="N180" i="13" s="1"/>
  <c r="M196" i="13"/>
  <c r="N196" i="13" s="1"/>
  <c r="M212" i="13"/>
  <c r="N212" i="13" s="1"/>
  <c r="M233" i="13"/>
  <c r="N233" i="13" s="1"/>
  <c r="M261" i="13"/>
  <c r="N261" i="13" s="1"/>
  <c r="M317" i="13"/>
  <c r="N317" i="13" s="1"/>
  <c r="M12" i="13"/>
  <c r="N12" i="13" s="1"/>
  <c r="M28" i="13"/>
  <c r="N28" i="13" s="1"/>
  <c r="M45" i="13"/>
  <c r="N45" i="13" s="1"/>
  <c r="M72" i="13"/>
  <c r="N72" i="13" s="1"/>
  <c r="M93" i="13"/>
  <c r="N93" i="13" s="1"/>
  <c r="M110" i="13"/>
  <c r="N110" i="13" s="1"/>
  <c r="M126" i="13"/>
  <c r="N126" i="13" s="1"/>
  <c r="M142" i="13"/>
  <c r="N142" i="13" s="1"/>
  <c r="M159" i="13"/>
  <c r="N159" i="13" s="1"/>
  <c r="M175" i="13"/>
  <c r="N175" i="13" s="1"/>
  <c r="M191" i="13"/>
  <c r="N191" i="13" s="1"/>
  <c r="M207" i="13"/>
  <c r="N207" i="13" s="1"/>
  <c r="M227" i="13"/>
  <c r="N227" i="13" s="1"/>
  <c r="M255" i="13"/>
  <c r="N255" i="13" s="1"/>
  <c r="M270" i="13"/>
  <c r="N270" i="13" s="1"/>
  <c r="M99" i="13"/>
  <c r="N99" i="13" s="1"/>
  <c r="M218" i="13"/>
  <c r="N218" i="13" s="1"/>
  <c r="M16" i="13"/>
  <c r="N16" i="13" s="1"/>
  <c r="M98" i="13"/>
  <c r="N98" i="13" s="1"/>
  <c r="M163" i="13"/>
  <c r="N163" i="13" s="1"/>
  <c r="M195" i="13"/>
  <c r="N195" i="13" s="1"/>
  <c r="M272" i="13"/>
  <c r="N272" i="13" s="1"/>
  <c r="M262" i="13"/>
  <c r="N262" i="13" s="1"/>
  <c r="M321" i="13"/>
  <c r="N321" i="13" s="1"/>
  <c r="M15" i="13"/>
  <c r="N15" i="13" s="1"/>
  <c r="M31" i="13"/>
  <c r="N31" i="13" s="1"/>
  <c r="M51" i="13"/>
  <c r="N51" i="13" s="1"/>
  <c r="M73" i="13"/>
  <c r="N73" i="13" s="1"/>
  <c r="M97" i="13"/>
  <c r="N97" i="13" s="1"/>
  <c r="M113" i="13"/>
  <c r="N113" i="13" s="1"/>
  <c r="M129" i="13"/>
  <c r="N129" i="13" s="1"/>
  <c r="M145" i="13"/>
  <c r="N145" i="13" s="1"/>
  <c r="M164" i="13"/>
  <c r="N164" i="13" s="1"/>
  <c r="M182" i="13"/>
  <c r="N182" i="13" s="1"/>
  <c r="M198" i="13"/>
  <c r="N198" i="13" s="1"/>
  <c r="M216" i="13"/>
  <c r="N216" i="13" s="1"/>
  <c r="M242" i="13"/>
  <c r="N242" i="13" s="1"/>
  <c r="M263" i="13"/>
  <c r="N263" i="13" s="1"/>
  <c r="M320" i="13"/>
  <c r="N320" i="13" s="1"/>
  <c r="M14" i="13"/>
  <c r="N14" i="13" s="1"/>
  <c r="M30" i="13"/>
  <c r="N30" i="13" s="1"/>
  <c r="M52" i="13"/>
  <c r="N52" i="13" s="1"/>
  <c r="M78" i="13"/>
  <c r="N78" i="13" s="1"/>
  <c r="M96" i="13"/>
  <c r="N96" i="13" s="1"/>
  <c r="M112" i="13"/>
  <c r="N112" i="13" s="1"/>
  <c r="M128" i="13"/>
  <c r="N128" i="13" s="1"/>
  <c r="M144" i="13"/>
  <c r="N144" i="13" s="1"/>
  <c r="M161" i="13"/>
  <c r="N161" i="13" s="1"/>
  <c r="M177" i="13"/>
  <c r="N177" i="13" s="1"/>
  <c r="M193" i="13"/>
  <c r="N193" i="13" s="1"/>
  <c r="M209" i="13"/>
  <c r="N209" i="13" s="1"/>
  <c r="M229" i="13"/>
  <c r="N229" i="13" s="1"/>
  <c r="M257" i="13"/>
  <c r="N257" i="13" s="1"/>
  <c r="M33" i="13"/>
  <c r="N33" i="13" s="1"/>
  <c r="M115" i="13"/>
  <c r="N115" i="13" s="1"/>
  <c r="M184" i="13"/>
  <c r="N184" i="13" s="1"/>
  <c r="M269" i="13"/>
  <c r="N269" i="13" s="1"/>
  <c r="M81" i="13"/>
  <c r="N81" i="13" s="1"/>
  <c r="M146" i="13"/>
  <c r="N146" i="13" s="1"/>
  <c r="M211" i="13"/>
  <c r="N211" i="13" s="1"/>
  <c r="M330" i="13"/>
  <c r="N330" i="13" s="1"/>
  <c r="M82" i="13"/>
  <c r="N82" i="13" s="1"/>
  <c r="M101" i="13"/>
  <c r="N101" i="13" s="1"/>
  <c r="M117" i="13"/>
  <c r="N117" i="13" s="1"/>
  <c r="M133" i="13"/>
  <c r="N133" i="13" s="1"/>
  <c r="M149" i="13"/>
  <c r="N149" i="13" s="1"/>
  <c r="M168" i="13"/>
  <c r="N168" i="13" s="1"/>
  <c r="M186" i="13"/>
  <c r="N186" i="13" s="1"/>
  <c r="M202" i="13"/>
  <c r="N202" i="13" s="1"/>
  <c r="M221" i="13"/>
  <c r="N221" i="13" s="1"/>
  <c r="M250" i="13"/>
  <c r="N250" i="13" s="1"/>
  <c r="M271" i="13"/>
  <c r="N271" i="13" s="1"/>
  <c r="M329" i="13"/>
  <c r="N329" i="13" s="1"/>
  <c r="M18" i="13"/>
  <c r="N18" i="13" s="1"/>
  <c r="M35" i="13"/>
  <c r="N35" i="13" s="1"/>
  <c r="M61" i="13"/>
  <c r="N61" i="13" s="1"/>
  <c r="M83" i="13"/>
  <c r="N83" i="13" s="1"/>
  <c r="M100" i="13"/>
  <c r="N100" i="13" s="1"/>
  <c r="M116" i="13"/>
  <c r="N116" i="13" s="1"/>
  <c r="M132" i="13"/>
  <c r="N132" i="13" s="1"/>
  <c r="M148" i="13"/>
  <c r="N148" i="13" s="1"/>
  <c r="M165" i="13"/>
  <c r="N165" i="13" s="1"/>
  <c r="M181" i="13"/>
  <c r="N181" i="13" s="1"/>
  <c r="M197" i="13"/>
  <c r="N197" i="13" s="1"/>
  <c r="M215" i="13"/>
  <c r="N215" i="13" s="1"/>
  <c r="M244" i="13"/>
  <c r="N244" i="13" s="1"/>
  <c r="M324" i="13"/>
  <c r="N324" i="13" s="1"/>
  <c r="M166" i="13"/>
  <c r="N166" i="13" s="1"/>
  <c r="M245" i="13"/>
  <c r="N245" i="13" s="1"/>
  <c r="M32" i="13"/>
  <c r="N32" i="13" s="1"/>
  <c r="M114" i="13"/>
  <c r="N114" i="13" s="1"/>
  <c r="M179" i="13"/>
  <c r="N179" i="13" s="1"/>
  <c r="M232" i="13"/>
  <c r="N232" i="13" s="1"/>
  <c r="M19" i="13"/>
  <c r="N19" i="13" s="1"/>
  <c r="M38" i="13"/>
  <c r="N38" i="13" s="1"/>
  <c r="M119" i="13"/>
  <c r="N119" i="13" s="1"/>
  <c r="M135" i="13"/>
  <c r="N135" i="13" s="1"/>
  <c r="M151" i="13"/>
  <c r="N151" i="13" s="1"/>
  <c r="M170" i="13"/>
  <c r="N170" i="13" s="1"/>
  <c r="M188" i="13"/>
  <c r="N188" i="13" s="1"/>
  <c r="M204" i="13"/>
  <c r="N204" i="13" s="1"/>
  <c r="M224" i="13"/>
  <c r="N224" i="13" s="1"/>
  <c r="M252" i="13"/>
  <c r="N252" i="13" s="1"/>
  <c r="M273" i="13"/>
  <c r="N273" i="13" s="1"/>
  <c r="M20" i="13"/>
  <c r="N20" i="13" s="1"/>
  <c r="M37" i="13"/>
  <c r="N37" i="13" s="1"/>
  <c r="M63" i="13"/>
  <c r="N63" i="13" s="1"/>
  <c r="M85" i="13"/>
  <c r="N85" i="13" s="1"/>
  <c r="M102" i="13"/>
  <c r="N102" i="13" s="1"/>
  <c r="M118" i="13"/>
  <c r="N118" i="13" s="1"/>
  <c r="M134" i="13"/>
  <c r="N134" i="13" s="1"/>
  <c r="M150" i="13"/>
  <c r="N150" i="13" s="1"/>
  <c r="M167" i="13"/>
  <c r="N167" i="13" s="1"/>
  <c r="M183" i="13"/>
  <c r="N183" i="13" s="1"/>
  <c r="M199" i="13"/>
  <c r="N199" i="13" s="1"/>
  <c r="M217" i="13"/>
  <c r="N217" i="13" s="1"/>
  <c r="M246" i="13"/>
  <c r="N246" i="13" s="1"/>
  <c r="M53" i="13"/>
  <c r="N53" i="13" s="1"/>
  <c r="M5" i="13"/>
  <c r="N5" i="13" s="1"/>
  <c r="M103" i="13"/>
  <c r="N103" i="13" s="1"/>
  <c r="M23" i="13"/>
  <c r="N23" i="13" s="1"/>
  <c r="M86" i="13"/>
  <c r="N86" i="13" s="1"/>
  <c r="M105" i="13"/>
  <c r="N105" i="13" s="1"/>
  <c r="M121" i="13"/>
  <c r="N121" i="13" s="1"/>
  <c r="M137" i="13"/>
  <c r="N137" i="13" s="1"/>
  <c r="M153" i="13"/>
  <c r="N153" i="13" s="1"/>
  <c r="M172" i="13"/>
  <c r="N172" i="13" s="1"/>
  <c r="M190" i="13"/>
  <c r="N190" i="13" s="1"/>
  <c r="M206" i="13"/>
  <c r="N206" i="13" s="1"/>
  <c r="M226" i="13"/>
  <c r="N226" i="13" s="1"/>
  <c r="M254" i="13"/>
  <c r="N254" i="13" s="1"/>
  <c r="M297" i="13"/>
  <c r="N297" i="13" s="1"/>
  <c r="M6" i="13"/>
  <c r="N6" i="13" s="1"/>
  <c r="M22" i="13"/>
  <c r="N22" i="13" s="1"/>
  <c r="M39" i="13"/>
  <c r="N39" i="13" s="1"/>
  <c r="M66" i="13"/>
  <c r="N66" i="13" s="1"/>
  <c r="M87" i="13"/>
  <c r="N87" i="13" s="1"/>
  <c r="M104" i="13"/>
  <c r="N104" i="13" s="1"/>
  <c r="M120" i="13"/>
  <c r="N120" i="13" s="1"/>
  <c r="M136" i="13"/>
  <c r="N136" i="13" s="1"/>
  <c r="M152" i="13"/>
  <c r="N152" i="13" s="1"/>
  <c r="M169" i="13"/>
  <c r="N169" i="13" s="1"/>
  <c r="M185" i="13"/>
  <c r="N185" i="13" s="1"/>
  <c r="M201" i="13"/>
  <c r="N201" i="13" s="1"/>
  <c r="M220" i="13"/>
  <c r="N220" i="13" s="1"/>
  <c r="M249" i="13"/>
  <c r="N249" i="13" s="1"/>
  <c r="M17" i="13"/>
  <c r="N17" i="13" s="1"/>
  <c r="M60" i="13"/>
  <c r="N60" i="13" s="1"/>
  <c r="M21" i="13"/>
  <c r="N21" i="13" s="1"/>
  <c r="M298" i="13"/>
  <c r="N298" i="13" s="1"/>
  <c r="M64" i="13"/>
  <c r="N64" i="13" s="1"/>
  <c r="M301" i="13"/>
  <c r="N301" i="13" s="1"/>
  <c r="M9" i="13"/>
  <c r="N9" i="13" s="1"/>
  <c r="M25" i="13"/>
  <c r="N25" i="13" s="1"/>
  <c r="M42" i="13"/>
  <c r="N42" i="13" s="1"/>
  <c r="M67" i="13"/>
  <c r="N67" i="13" s="1"/>
  <c r="M88" i="13"/>
  <c r="N88" i="13" s="1"/>
  <c r="M107" i="13"/>
  <c r="N107" i="13" s="1"/>
  <c r="M123" i="13"/>
  <c r="N123" i="13" s="1"/>
  <c r="M139" i="13"/>
  <c r="N139" i="13" s="1"/>
  <c r="M158" i="13"/>
  <c r="N158" i="13" s="1"/>
  <c r="M174" i="13"/>
  <c r="N174" i="13" s="1"/>
  <c r="M192" i="13"/>
  <c r="N192" i="13" s="1"/>
  <c r="M208" i="13"/>
  <c r="N208" i="13" s="1"/>
  <c r="M228" i="13"/>
  <c r="N228" i="13" s="1"/>
  <c r="M256" i="13"/>
  <c r="N256" i="13" s="1"/>
  <c r="M299" i="13"/>
  <c r="N299" i="13" s="1"/>
  <c r="M8" i="13"/>
  <c r="N8" i="13" s="1"/>
  <c r="M24" i="13"/>
  <c r="N24" i="13" s="1"/>
  <c r="M41" i="13"/>
  <c r="N41" i="13" s="1"/>
  <c r="M68" i="13"/>
  <c r="N68" i="13" s="1"/>
  <c r="M89" i="13"/>
  <c r="N89" i="13" s="1"/>
  <c r="M106" i="13"/>
  <c r="N106" i="13" s="1"/>
  <c r="M122" i="13"/>
  <c r="N122" i="13" s="1"/>
  <c r="M138" i="13"/>
  <c r="N138" i="13" s="1"/>
  <c r="M154" i="13"/>
  <c r="N154" i="13" s="1"/>
  <c r="M171" i="13"/>
  <c r="N171" i="13" s="1"/>
  <c r="M187" i="13"/>
  <c r="N187" i="13" s="1"/>
  <c r="M203" i="13"/>
  <c r="N203" i="13" s="1"/>
  <c r="M223" i="13"/>
  <c r="N223" i="13" s="1"/>
  <c r="M251" i="13"/>
  <c r="N251" i="13" s="1"/>
  <c r="M77" i="13"/>
  <c r="N77" i="13" s="1"/>
  <c r="M131" i="13"/>
  <c r="N131" i="13" s="1"/>
  <c r="M200" i="13"/>
  <c r="N200" i="13" s="1"/>
  <c r="M322" i="13"/>
  <c r="N322" i="13" s="1"/>
  <c r="M54" i="13"/>
  <c r="N54" i="13" s="1"/>
  <c r="M130" i="13"/>
  <c r="N130" i="13" s="1"/>
  <c r="M260" i="13"/>
  <c r="N260" i="13" s="1"/>
  <c r="M36" i="13"/>
  <c r="N36" i="13" s="1"/>
  <c r="M62" i="13"/>
  <c r="N62" i="13" s="1"/>
  <c r="M7" i="13"/>
  <c r="N7" i="13" s="1"/>
  <c r="M40" i="13"/>
  <c r="N40" i="13" s="1"/>
  <c r="M316" i="13"/>
  <c r="N316" i="13" s="1"/>
  <c r="M11" i="13"/>
  <c r="N11" i="13" s="1"/>
  <c r="M27" i="13"/>
  <c r="N27" i="13" s="1"/>
  <c r="M44" i="13"/>
  <c r="N44" i="13" s="1"/>
  <c r="M69" i="13"/>
  <c r="N69" i="13" s="1"/>
  <c r="M90" i="13"/>
  <c r="N90" i="13" s="1"/>
  <c r="M109" i="13"/>
  <c r="N109" i="13" s="1"/>
  <c r="M125" i="13"/>
  <c r="N125" i="13" s="1"/>
  <c r="M141" i="13"/>
  <c r="N141" i="13" s="1"/>
  <c r="M160" i="13"/>
  <c r="N160" i="13" s="1"/>
  <c r="M176" i="13"/>
  <c r="N176" i="13" s="1"/>
  <c r="M194" i="13"/>
  <c r="N194" i="13" s="1"/>
  <c r="M210" i="13"/>
  <c r="N210" i="13" s="1"/>
  <c r="M231" i="13"/>
  <c r="N231" i="13" s="1"/>
  <c r="M259" i="13"/>
  <c r="N259" i="13" s="1"/>
  <c r="M311" i="13"/>
  <c r="N311" i="13" s="1"/>
  <c r="M10" i="13"/>
  <c r="N10" i="13" s="1"/>
  <c r="M26" i="13"/>
  <c r="N26" i="13" s="1"/>
  <c r="M43" i="13"/>
  <c r="N43" i="13" s="1"/>
  <c r="M70" i="13"/>
  <c r="N70" i="13" s="1"/>
  <c r="M91" i="13"/>
  <c r="N91" i="13" s="1"/>
  <c r="M108" i="13"/>
  <c r="N108" i="13" s="1"/>
  <c r="M124" i="13"/>
  <c r="N124" i="13" s="1"/>
  <c r="M140" i="13"/>
  <c r="N140" i="13" s="1"/>
  <c r="M157" i="13"/>
  <c r="N157" i="13" s="1"/>
  <c r="M173" i="13"/>
  <c r="N173" i="13" s="1"/>
  <c r="M189" i="13"/>
  <c r="N189" i="13" s="1"/>
  <c r="M205" i="13"/>
  <c r="N205" i="13" s="1"/>
  <c r="M225" i="13"/>
  <c r="N225" i="13" s="1"/>
  <c r="M253" i="13"/>
  <c r="N253" i="13" s="1"/>
  <c r="J10" i="9"/>
  <c r="J23" i="9"/>
  <c r="E23" i="9"/>
  <c r="E24" i="9"/>
  <c r="J24" i="9"/>
  <c r="E16" i="9"/>
  <c r="J16" i="9"/>
  <c r="E13" i="9"/>
  <c r="J13" i="9"/>
  <c r="K21" i="9"/>
  <c r="L21" i="9" s="1"/>
  <c r="J9" i="9"/>
  <c r="E9" i="9"/>
  <c r="K9" i="9" s="1"/>
  <c r="L9" i="9" s="1"/>
  <c r="H323" i="7"/>
  <c r="I4" i="7"/>
  <c r="M4" i="13" l="1"/>
  <c r="N4" i="13" s="1"/>
  <c r="F10" i="8"/>
  <c r="F16" i="8" s="1"/>
  <c r="D12" i="9"/>
  <c r="J12" i="9" s="1"/>
  <c r="E10" i="9"/>
  <c r="K10" i="9" s="1"/>
  <c r="L10" i="9" s="1"/>
  <c r="J26" i="8"/>
  <c r="E14" i="9"/>
  <c r="J14" i="9"/>
  <c r="K24" i="9"/>
  <c r="L24" i="9" s="1"/>
  <c r="K16" i="9"/>
  <c r="L16" i="9" s="1"/>
  <c r="E17" i="9"/>
  <c r="J17" i="9"/>
  <c r="K13" i="9"/>
  <c r="L13" i="9" s="1"/>
  <c r="K23" i="9"/>
  <c r="F26" i="8"/>
  <c r="I3" i="7"/>
  <c r="J10" i="8" l="1"/>
  <c r="M3" i="13"/>
  <c r="N3" i="13" s="1"/>
  <c r="F29" i="8"/>
  <c r="E12" i="9"/>
  <c r="D15" i="9"/>
  <c r="K14" i="9"/>
  <c r="L14" i="9" s="1"/>
  <c r="L23" i="9"/>
  <c r="P23" i="9"/>
  <c r="K17" i="9"/>
  <c r="L17" i="9" s="1"/>
  <c r="I323" i="7"/>
  <c r="E15" i="9" l="1"/>
  <c r="K15" i="9" s="1"/>
  <c r="D19" i="9"/>
  <c r="F25" i="9"/>
  <c r="F18" i="9"/>
  <c r="F24" i="9"/>
  <c r="F16" i="9"/>
  <c r="F23" i="9"/>
  <c r="N23" i="9" s="1"/>
  <c r="F21" i="9"/>
  <c r="F17" i="9"/>
  <c r="F14" i="9"/>
  <c r="K12" i="9"/>
  <c r="P12" i="9" s="1"/>
  <c r="J15" i="9"/>
  <c r="F13" i="9"/>
  <c r="F27" i="9"/>
  <c r="F15" i="9" l="1"/>
  <c r="N15" i="9" s="1"/>
  <c r="E19" i="9"/>
  <c r="J19" i="9"/>
  <c r="L12" i="9"/>
  <c r="N12" i="9" s="1"/>
  <c r="D20" i="9"/>
  <c r="D22" i="9" s="1"/>
  <c r="P15" i="9"/>
  <c r="L15" i="9"/>
  <c r="K19" i="9" l="1"/>
  <c r="L19" i="9" s="1"/>
  <c r="F19" i="9"/>
  <c r="J20" i="9"/>
  <c r="E20" i="9"/>
  <c r="F20" i="9" s="1"/>
  <c r="N20" i="9" s="1"/>
  <c r="J22" i="9"/>
  <c r="E22" i="9"/>
  <c r="D26" i="9"/>
  <c r="H11" i="5"/>
  <c r="E9" i="11" s="1"/>
  <c r="D299" i="23" l="1"/>
  <c r="I18" i="5"/>
  <c r="I30" i="5"/>
  <c r="I19" i="5"/>
  <c r="K20" i="9"/>
  <c r="P20" i="9" s="1"/>
  <c r="K22" i="9"/>
  <c r="F22" i="9"/>
  <c r="N22" i="9" s="1"/>
  <c r="E26" i="9"/>
  <c r="D28" i="9"/>
  <c r="J26" i="9"/>
  <c r="I17" i="5"/>
  <c r="E24" i="11" l="1"/>
  <c r="E25" i="11"/>
  <c r="L20" i="9"/>
  <c r="K26" i="9"/>
  <c r="F26" i="9"/>
  <c r="N26" i="9" s="1"/>
  <c r="L22" i="9"/>
  <c r="P22" i="9"/>
  <c r="E28" i="9"/>
  <c r="J28" i="9"/>
  <c r="I20" i="5"/>
  <c r="F28" i="9" l="1"/>
  <c r="N28" i="9" s="1"/>
  <c r="K28" i="9"/>
  <c r="L26" i="9"/>
  <c r="P26" i="9"/>
  <c r="H21" i="5"/>
  <c r="H23" i="5" s="1"/>
  <c r="I23" i="5" l="1"/>
  <c r="H28" i="5"/>
  <c r="P28" i="9"/>
  <c r="L28" i="9"/>
  <c r="F11" i="5"/>
  <c r="F21" i="5"/>
  <c r="O21" i="5" s="1"/>
  <c r="I16" i="5"/>
  <c r="D9" i="11" l="1"/>
  <c r="O11" i="5"/>
  <c r="G18" i="5"/>
  <c r="C299" i="23"/>
  <c r="G19" i="5"/>
  <c r="I28" i="5"/>
  <c r="E13" i="11"/>
  <c r="E14" i="11" s="1"/>
  <c r="H35" i="5"/>
  <c r="G17" i="5"/>
  <c r="F23" i="5"/>
  <c r="G30" i="5"/>
  <c r="G16" i="5"/>
  <c r="G20" i="5"/>
  <c r="D488" i="23" l="1"/>
  <c r="D490" i="23" s="1"/>
  <c r="D491" i="23" s="1"/>
  <c r="H38" i="5"/>
  <c r="H44" i="5" s="1"/>
  <c r="F28" i="5"/>
  <c r="O28" i="5" s="1"/>
  <c r="P28" i="5" s="1"/>
  <c r="O23" i="5"/>
  <c r="P23" i="5" s="1"/>
  <c r="H9" i="11"/>
  <c r="D24" i="11"/>
  <c r="H24" i="11" s="1"/>
  <c r="P18" i="5"/>
  <c r="P19" i="5"/>
  <c r="P30" i="5"/>
  <c r="P20" i="5"/>
  <c r="P17" i="5"/>
  <c r="P16" i="5"/>
  <c r="D25" i="11"/>
  <c r="I10" i="11"/>
  <c r="H10" i="11"/>
  <c r="F10" i="11"/>
  <c r="F9" i="11"/>
  <c r="I9" i="11"/>
  <c r="E28" i="11"/>
  <c r="E29" i="11" s="1"/>
  <c r="I35" i="5"/>
  <c r="G23" i="5"/>
  <c r="K13" i="8" l="1"/>
  <c r="D201" i="23" s="1"/>
  <c r="D202" i="23" s="1"/>
  <c r="D13" i="11"/>
  <c r="F13" i="11" s="1"/>
  <c r="G28" i="5"/>
  <c r="F35" i="5"/>
  <c r="C488" i="23" s="1"/>
  <c r="E488" i="23" s="1"/>
  <c r="F24" i="11"/>
  <c r="I24" i="11"/>
  <c r="H25" i="11"/>
  <c r="I25" i="11"/>
  <c r="F25" i="11"/>
  <c r="K15" i="8" l="1"/>
  <c r="D203" i="23" s="1"/>
  <c r="D28" i="11"/>
  <c r="D29" i="11" s="1"/>
  <c r="H29" i="11" s="1"/>
  <c r="I13" i="11"/>
  <c r="D14" i="11"/>
  <c r="H14" i="11" s="1"/>
  <c r="H13" i="11"/>
  <c r="F38" i="5"/>
  <c r="O38" i="5" s="1"/>
  <c r="O35" i="5"/>
  <c r="P35" i="5" s="1"/>
  <c r="G35" i="5"/>
  <c r="C490" i="23"/>
  <c r="C491" i="23" s="1"/>
  <c r="K29" i="8" l="1"/>
  <c r="K32" i="8" s="1"/>
  <c r="I28" i="11"/>
  <c r="F28" i="11"/>
  <c r="H28" i="11"/>
  <c r="F29" i="11"/>
  <c r="F14" i="11"/>
  <c r="F44" i="5"/>
  <c r="O44" i="5" s="1"/>
  <c r="E490" i="23"/>
  <c r="E491" i="23" s="1"/>
  <c r="J13" i="8" l="1"/>
  <c r="J15" i="8" s="1"/>
  <c r="C201" i="23" l="1"/>
  <c r="C202" i="23" s="1"/>
  <c r="C203" i="23" s="1"/>
  <c r="J29" i="8"/>
  <c r="J32" i="8" s="1"/>
</calcChain>
</file>

<file path=xl/sharedStrings.xml><?xml version="1.0" encoding="utf-8"?>
<sst xmlns="http://schemas.openxmlformats.org/spreadsheetml/2006/main" count="184062" uniqueCount="10467">
  <si>
    <t>Libelle</t>
  </si>
  <si>
    <t>Compte</t>
  </si>
  <si>
    <t>Debit</t>
  </si>
  <si>
    <t>Credit</t>
  </si>
  <si>
    <t>CompteGen</t>
  </si>
  <si>
    <t>SoldeDebut</t>
  </si>
  <si>
    <t>Variation</t>
  </si>
  <si>
    <t>CAPITAL SOCIAL</t>
  </si>
  <si>
    <t>Capital social</t>
  </si>
  <si>
    <t>RESERVES LEGALES</t>
  </si>
  <si>
    <t>Réserves légales</t>
  </si>
  <si>
    <t>RESULTAT REPORTES</t>
  </si>
  <si>
    <t>Résultats reportés</t>
  </si>
  <si>
    <t>MODI.COM.EFF.RLT.REP</t>
  </si>
  <si>
    <t>Modification comptable</t>
  </si>
  <si>
    <t>SUBVENTIONS D'INVES.</t>
  </si>
  <si>
    <t>Subvention d'investissement</t>
  </si>
  <si>
    <t>AMORT.DES SUBV.D'INV</t>
  </si>
  <si>
    <t>Amortissement subvention d'investissement</t>
  </si>
  <si>
    <t>PROVI.POUR RISQUES</t>
  </si>
  <si>
    <t>Provision pour risque et charges</t>
  </si>
  <si>
    <t>CREDITS STB</t>
  </si>
  <si>
    <t>Emprunts</t>
  </si>
  <si>
    <t>AUTRES</t>
  </si>
  <si>
    <t>LOGICIELS</t>
  </si>
  <si>
    <t>Immobilisations corporelles et incorp.</t>
  </si>
  <si>
    <t>TERRAINS</t>
  </si>
  <si>
    <t>AGEN.AMENAG.D.TERAI</t>
  </si>
  <si>
    <t>CONSTURCTIONS</t>
  </si>
  <si>
    <t>INSTAL.GL.AGE.AM.CON</t>
  </si>
  <si>
    <t>INST.TECH.MAT&amp;OUT.IN</t>
  </si>
  <si>
    <t>INSTALLATIONS TECHN</t>
  </si>
  <si>
    <t>MATERIEL INDUSTRIEL</t>
  </si>
  <si>
    <t>OUTILLAGE INDUSTRIEL</t>
  </si>
  <si>
    <t>AGEN.AME.MAT.OUT.IN</t>
  </si>
  <si>
    <t>MATERIEL DE TRANSPORT</t>
  </si>
  <si>
    <t>INSTAL.GLES.AG.AM.DI</t>
  </si>
  <si>
    <t>EQUIPEMENTS DE BURE.</t>
  </si>
  <si>
    <t>IMMO.COR.EN COURS</t>
  </si>
  <si>
    <t>CONSTRUC.EN COURS</t>
  </si>
  <si>
    <t>IMMOB.A STAT.JUR.PAR</t>
  </si>
  <si>
    <t>TITRES DE PARTICIPAT.SND</t>
  </si>
  <si>
    <t>Titres de Participation</t>
  </si>
  <si>
    <t>TITRES DE PARTICIP. TIP</t>
  </si>
  <si>
    <t>TITRES PARTICIPATION SNR</t>
  </si>
  <si>
    <t>DEPOTS ET CAUT.VERS</t>
  </si>
  <si>
    <t>Dépôts et cautionnements</t>
  </si>
  <si>
    <t>Amortissement des immobilisations corporelles et incorp.</t>
  </si>
  <si>
    <t>AMOR.AGE.&amp;AME.D.TER</t>
  </si>
  <si>
    <t>AMORTISSEMENT/CONS</t>
  </si>
  <si>
    <t>AMOR.INS.GEN.AG&amp;A.C</t>
  </si>
  <si>
    <t>AMORT./MATERIEL IND.</t>
  </si>
  <si>
    <t>AMORT./OUTIL.INDUST.</t>
  </si>
  <si>
    <t>AMOR./AGC&amp;AMEG.M.O.</t>
  </si>
  <si>
    <t>AMORT.MAT.DE TRANS</t>
  </si>
  <si>
    <t>AMOR.EQUIP.DE BURE.</t>
  </si>
  <si>
    <t>Amort.immob.carc.jur.par</t>
  </si>
  <si>
    <t>PROV.P.DEPR.AU.IM.FIN</t>
  </si>
  <si>
    <t>Provision pour dép.Imm Financières</t>
  </si>
  <si>
    <t>MATIERE PREMIERE</t>
  </si>
  <si>
    <t>Stocks</t>
  </si>
  <si>
    <t>FOURNITURES CONSO.</t>
  </si>
  <si>
    <t>PRODUITS EN COURS</t>
  </si>
  <si>
    <t>PRODUITS FINIS</t>
  </si>
  <si>
    <t>PROVISIONS P.DEPR.STO</t>
  </si>
  <si>
    <t>Provision sur dépr.stock</t>
  </si>
  <si>
    <t>FOURNISSEURS LOCAU</t>
  </si>
  <si>
    <t>Fournisseurs &amp; comptes rattachés</t>
  </si>
  <si>
    <t>FOURNIS.LOC.EFFE.A.P</t>
  </si>
  <si>
    <t>FOURNIS.D'IMMOBILISA.</t>
  </si>
  <si>
    <t>FOURNISSEURS ETRAN.</t>
  </si>
  <si>
    <t>FOUR.FACT.N.PARVENU</t>
  </si>
  <si>
    <t>FOURN.AV&amp;ACP.CERS.COM</t>
  </si>
  <si>
    <t>CLIENTS</t>
  </si>
  <si>
    <t>Clients et comptes rattachés</t>
  </si>
  <si>
    <t>CLIENTS ETRANGERS</t>
  </si>
  <si>
    <t>PERSON.AVA.ET.ACOMP</t>
  </si>
  <si>
    <t>PRETS SUR SALAIRES</t>
  </si>
  <si>
    <t>Autres actifs courants</t>
  </si>
  <si>
    <t>ASSURANCE GROUPE</t>
  </si>
  <si>
    <t>PERS.REMUNERA.DUES</t>
  </si>
  <si>
    <t>Autres passifs courants</t>
  </si>
  <si>
    <t>PRETS CNSS</t>
  </si>
  <si>
    <t>PROVISION/CONGE A PAYER</t>
  </si>
  <si>
    <t>R.S/PERSONNEL</t>
  </si>
  <si>
    <t>EIT / RS 1.5%</t>
  </si>
  <si>
    <t>R.S/TIERS</t>
  </si>
  <si>
    <t>R/S SUR TIERS 01%</t>
  </si>
  <si>
    <t>R/S SUR TIERS 03%</t>
  </si>
  <si>
    <t>R/S SUR TIERS 10%</t>
  </si>
  <si>
    <t>CONT.SOC.DE SOLIDARITE</t>
  </si>
  <si>
    <t>ETAT IMPOT SUR BENIF</t>
  </si>
  <si>
    <t>ACOMPTE PROVISIONNE</t>
  </si>
  <si>
    <t>ETAT TAXES SUR LE CA</t>
  </si>
  <si>
    <t>FODEC</t>
  </si>
  <si>
    <t>TPE</t>
  </si>
  <si>
    <t>TVA RECUP B&amp;S LOC 07%</t>
  </si>
  <si>
    <t>TVA RECUP B&amp;S LOC 19%</t>
  </si>
  <si>
    <t>TVA COLLECTEE</t>
  </si>
  <si>
    <t>AUT.IMP.TAXE&amp;VERSE.AS</t>
  </si>
  <si>
    <t>COMPTE COURANT TIP</t>
  </si>
  <si>
    <t>ASSOC.DIVIDENDES A.PA</t>
  </si>
  <si>
    <t>DEBITEURS CRED.DIV.</t>
  </si>
  <si>
    <t>CREAN.SUR CESS.D'IMM</t>
  </si>
  <si>
    <t>C.N.S.S.</t>
  </si>
  <si>
    <t>AUTRES DEBI.CREDI.DIV</t>
  </si>
  <si>
    <t>CHARGES A PAYER</t>
  </si>
  <si>
    <t>PRODUITS A RECEVOIR</t>
  </si>
  <si>
    <t>Autres comptes transit</t>
  </si>
  <si>
    <t>CHARGES CONS.D'AVAN</t>
  </si>
  <si>
    <t>PROV.P.DEP.DS.COM.CLI</t>
  </si>
  <si>
    <t>Provision sur créance douteux</t>
  </si>
  <si>
    <t>PROV.DEP.COM.DEB.DIV</t>
  </si>
  <si>
    <t>Provision sur dépr.compte déb divers</t>
  </si>
  <si>
    <t>FINANCEMENT DE STOCK</t>
  </si>
  <si>
    <t>Concours bancaires &amp; autres passifs financiers</t>
  </si>
  <si>
    <t>PREFINACEM.EXPORTAT.</t>
  </si>
  <si>
    <t>ECH.A.MOI.D'AN/EM.N.C</t>
  </si>
  <si>
    <t>ECH.A.MOI.D'AN/LEASING</t>
  </si>
  <si>
    <t>CREDIT GSM</t>
  </si>
  <si>
    <t>BANQUES</t>
  </si>
  <si>
    <t>Liquidités et équivalents de liquidités</t>
  </si>
  <si>
    <t>B.T.K</t>
  </si>
  <si>
    <t>ATTIJARI BANK MEGRINE</t>
  </si>
  <si>
    <t>S.T.B</t>
  </si>
  <si>
    <t>STB MEGRINE2</t>
  </si>
  <si>
    <t>STB ZAGHOUAN</t>
  </si>
  <si>
    <t>STB THAMER 2</t>
  </si>
  <si>
    <t>STB  MEGRINE</t>
  </si>
  <si>
    <t>STB EUR MEGRINE</t>
  </si>
  <si>
    <t>STB DOLLAR MEGRINE</t>
  </si>
  <si>
    <t>CAIISE DEPENSE</t>
  </si>
  <si>
    <t>FOND DE CAISSE ACHAT</t>
  </si>
  <si>
    <t>FOND DE CAISSE LOGISTIQU</t>
  </si>
  <si>
    <t>VIREMENT DE FONDS</t>
  </si>
  <si>
    <t>VIREMENT DE FOND BAN</t>
  </si>
  <si>
    <t>Virement interne</t>
  </si>
  <si>
    <t>ACHAT COUVERCLES</t>
  </si>
  <si>
    <t>Achats d'Approvisionnement Consommés</t>
  </si>
  <si>
    <t>ACHAT BACS</t>
  </si>
  <si>
    <t>ACHAT BOUCHONS</t>
  </si>
  <si>
    <t>ACHAT OEIL MAGIQUE</t>
  </si>
  <si>
    <t>ACHAT GAINES TUBULAIRES</t>
  </si>
  <si>
    <t>CALES EN PLASTIQUE</t>
  </si>
  <si>
    <t>ACHAT CACHE BORNES</t>
  </si>
  <si>
    <t>ACHAT POIGNETS</t>
  </si>
  <si>
    <t>ACHAT RONDELLES</t>
  </si>
  <si>
    <t>ACHAT ETIQUETTES</t>
  </si>
  <si>
    <t>ACHAT CARTES DE GARANTIE</t>
  </si>
  <si>
    <t>ACHAT SEPARATEURS</t>
  </si>
  <si>
    <t>Achat Dechets Batteries</t>
  </si>
  <si>
    <t>ACHAT ETAIN</t>
  </si>
  <si>
    <t>ACHAT PLOMB DOUX IMPORTE</t>
  </si>
  <si>
    <t>ACHAT PLOMB DOUX LOCAL</t>
  </si>
  <si>
    <t>ACIDE SULFIRIQUE</t>
  </si>
  <si>
    <t>ACHAT CARBONATE DE SOUDE</t>
  </si>
  <si>
    <t>ACHAT BATTITURE DE FER</t>
  </si>
  <si>
    <t>Autres Charges d'Exploitation</t>
  </si>
  <si>
    <t>FRAIS/ACHAT ETRANGER</t>
  </si>
  <si>
    <t>FRAIS/VENTE EXPORT</t>
  </si>
  <si>
    <t>Caissons en bois</t>
  </si>
  <si>
    <t>FILM ETIRABLE</t>
  </si>
  <si>
    <t>Film termoretractable</t>
  </si>
  <si>
    <t>ACHAT BIG BAG</t>
  </si>
  <si>
    <t>ACHAT PALETTES EN BOIS</t>
  </si>
  <si>
    <t xml:space="preserve"> PLAQUE POLYESTER</t>
  </si>
  <si>
    <t>ACHAT SOUS-TRAIT.DE PROD</t>
  </si>
  <si>
    <t>PIECE DE RECHGE USINE</t>
  </si>
  <si>
    <t>OUTILLAGE NOUVELLE USINE</t>
  </si>
  <si>
    <t>ELECTRICITE</t>
  </si>
  <si>
    <t>EAU</t>
  </si>
  <si>
    <t>FOURNI.DE CARBURANT</t>
  </si>
  <si>
    <t>FOURNITURE DE BUREAU</t>
  </si>
  <si>
    <t>ACHAT LUBRIFIANT</t>
  </si>
  <si>
    <t>ACHAT PRODUITS DE NETT.</t>
  </si>
  <si>
    <t>CHARGE LOCA.ET. E COR</t>
  </si>
  <si>
    <t>ENTRETIEN &amp; REPAR.USINE</t>
  </si>
  <si>
    <t>ENTRET.&amp; REP.MAT.TRANSP.</t>
  </si>
  <si>
    <t>ASSURANCE AUTOS</t>
  </si>
  <si>
    <t>ASSURANCE INCENDIE</t>
  </si>
  <si>
    <t>ENLEVEMENT DE DECHETS</t>
  </si>
  <si>
    <t>REMUN.D'INTERM.HONOR</t>
  </si>
  <si>
    <t>PBLICITE.BUBL.REL.BUBL</t>
  </si>
  <si>
    <t>TRANSPORT SUR ACHAT</t>
  </si>
  <si>
    <t>TRANSPORT SUR VENTE</t>
  </si>
  <si>
    <t>FRAIS DE DEPLACEMENT</t>
  </si>
  <si>
    <t>RECEPTIONS</t>
  </si>
  <si>
    <t>ABONNEMENT ET DOCU.</t>
  </si>
  <si>
    <t>FRAIS POSTAUX &amp; TELEC</t>
  </si>
  <si>
    <t>AUT.FRAI.COM.PRES.SER</t>
  </si>
  <si>
    <t>Autres pertes ordinaires</t>
  </si>
  <si>
    <t>SALAI.COMPLE.DE SALA</t>
  </si>
  <si>
    <t>Charges de Personnel</t>
  </si>
  <si>
    <t>FRAIS DE FORMATION</t>
  </si>
  <si>
    <t>C.N.S.S. SUR APPOINTE</t>
  </si>
  <si>
    <t>Charges Financières nettes</t>
  </si>
  <si>
    <t>AGIO/PREFINACE.EXPOR</t>
  </si>
  <si>
    <t>AGIONS/FINACEM.DE STO</t>
  </si>
  <si>
    <t>ECHELLE D'INTERETS</t>
  </si>
  <si>
    <t>GAINS &amp; PERTES DE CHANGE</t>
  </si>
  <si>
    <t>TAX/LE CHIF.D'AFF.N.REC</t>
  </si>
  <si>
    <t>DROITS D'EREG.DE TIM</t>
  </si>
  <si>
    <t>TAXE SUR LES VEHICULE</t>
  </si>
  <si>
    <t>Dotation aux Amortissements et aux Provisions</t>
  </si>
  <si>
    <t>Impots sur les bénéfices</t>
  </si>
  <si>
    <t>VEN.PRO.PRES.SERV.MARC</t>
  </si>
  <si>
    <t>Revenus Locaux</t>
  </si>
  <si>
    <t>VENT.PROD.FIN.ETRANGE</t>
  </si>
  <si>
    <t>LOCATIONS DIVERSES</t>
  </si>
  <si>
    <t>VARIATION DES STOC.PRO</t>
  </si>
  <si>
    <t>Variation Produits Finis et semi finis</t>
  </si>
  <si>
    <t>PROD.NET/CES D'IMMO</t>
  </si>
  <si>
    <t>Autres gains ordinaires</t>
  </si>
  <si>
    <t>Quote.parts subv.d'inves</t>
  </si>
  <si>
    <t>Autres Produits d'Exploitation</t>
  </si>
  <si>
    <t>GAINS DE CHANGES</t>
  </si>
  <si>
    <t>GAINS EXTRAORDINAIRE</t>
  </si>
  <si>
    <t>Solde Fin</t>
  </si>
  <si>
    <t>Debit OD</t>
  </si>
  <si>
    <t>Credit OD</t>
  </si>
  <si>
    <t>007</t>
  </si>
  <si>
    <t>C</t>
  </si>
  <si>
    <t>Etat de Résultat</t>
  </si>
  <si>
    <t>ETAT DE RESULTAT</t>
  </si>
  <si>
    <t>Produits D'exploitation</t>
  </si>
  <si>
    <t>R101</t>
  </si>
  <si>
    <t>E_Revenu</t>
  </si>
  <si>
    <t>Revenus Export</t>
  </si>
  <si>
    <t>E_A_PdtExp</t>
  </si>
  <si>
    <t>E_Prod_Imm</t>
  </si>
  <si>
    <t>Production Immobilisée</t>
  </si>
  <si>
    <t>Total des Produits d'exploitation</t>
  </si>
  <si>
    <t>Charges D'exploitation</t>
  </si>
  <si>
    <t>R102</t>
  </si>
  <si>
    <t>E_AchAppCons</t>
  </si>
  <si>
    <t>E_ChgPers</t>
  </si>
  <si>
    <t>E_DotAmtProv</t>
  </si>
  <si>
    <t>E_A_ChagExp</t>
  </si>
  <si>
    <t>Total des Charges d'exploitation</t>
  </si>
  <si>
    <t>Résultat d'exploitation</t>
  </si>
  <si>
    <t>R103</t>
  </si>
  <si>
    <t>E_ChgFin</t>
  </si>
  <si>
    <t>E_PdtPlace</t>
  </si>
  <si>
    <t>Produit de placement</t>
  </si>
  <si>
    <t>E_A_GainOrdi</t>
  </si>
  <si>
    <t>E_A_PertOrdi</t>
  </si>
  <si>
    <t>Résultat avant impôt</t>
  </si>
  <si>
    <t>Résultat des activités ordinaires avant impôt</t>
  </si>
  <si>
    <t>R104</t>
  </si>
  <si>
    <t>Résultat après impôt</t>
  </si>
  <si>
    <t>R105</t>
  </si>
  <si>
    <t>Eléments extraordinaires</t>
  </si>
  <si>
    <t>Résultat Net de l'exercice</t>
  </si>
  <si>
    <t>436510-01 * TVA RECUP IMMO LOC 10%AGENCE DISTRIBUTION</t>
  </si>
  <si>
    <t>Total du 01/01/17 au 31/01/17</t>
  </si>
  <si>
    <t>Total general</t>
  </si>
  <si>
    <t>436518 TVA RECUP IMMO LOC 18%</t>
  </si>
  <si>
    <t>436518-01 * TVA RECUP IMMO LOC 18%AGENCE DISTRIBUTION</t>
  </si>
  <si>
    <t>436529 TVA RECUP IMMO LOC 29%</t>
  </si>
  <si>
    <t>436529-01 * TVA RECUP IMMO LOC 29%AGENCE DISTRIBUTION</t>
  </si>
  <si>
    <t>Crédit</t>
  </si>
  <si>
    <t>ACHAT COUDE NOIR</t>
  </si>
  <si>
    <t>SoldeFin</t>
  </si>
  <si>
    <t>AMO.INS.TECH.M.OU.IN</t>
  </si>
  <si>
    <t>AMORT. MAT.INFORMATIQUES</t>
  </si>
  <si>
    <t>VAR.STO.MAT.PRE&amp;FOU</t>
  </si>
  <si>
    <t>VARIATION STOCK PDR</t>
  </si>
  <si>
    <t>REDEVANCES LOGICIELS INF</t>
  </si>
  <si>
    <t>HONORAIRES CAC</t>
  </si>
  <si>
    <t>JETONS DE PRESENCE</t>
  </si>
  <si>
    <t>INTE.COM.COU.DEP.CRE</t>
  </si>
  <si>
    <t>IMMOBILISATION CORPO</t>
  </si>
  <si>
    <t>ammortisssemnts differes</t>
  </si>
  <si>
    <t>RESULT. DE L'EXERCIC.</t>
  </si>
  <si>
    <t>CREDIT STUSID</t>
  </si>
  <si>
    <t>CREDITS B.T.K.D</t>
  </si>
  <si>
    <t>EMPT.DET.AS.COND.PA.</t>
  </si>
  <si>
    <t>INVEST.DE RECH.ET DE</t>
  </si>
  <si>
    <t>IMMOBIL.CORPORELLES</t>
  </si>
  <si>
    <t>MATERIELS INFORMATIQUES</t>
  </si>
  <si>
    <t>IMMOBILISATION EN CO</t>
  </si>
  <si>
    <t>INST.GEN.A.A.CONS.CO</t>
  </si>
  <si>
    <t>INST.TECHNIQ.EN COU</t>
  </si>
  <si>
    <t>A.A MAT&amp;OUT.IND.EN C</t>
  </si>
  <si>
    <t>Plantations en cours</t>
  </si>
  <si>
    <t>AVC&amp;ACP/COM IMM.INC</t>
  </si>
  <si>
    <t>TITRES DE PARTICIPAT.</t>
  </si>
  <si>
    <t>TITRES DE PARTICIPAT.NHB</t>
  </si>
  <si>
    <t>CREAN.RAT.A DES PAR</t>
  </si>
  <si>
    <t>AVANCE SUR PARTICIPATION</t>
  </si>
  <si>
    <t>PRETS</t>
  </si>
  <si>
    <t>PRETS AU PERSONNEL</t>
  </si>
  <si>
    <t>DEPOTS</t>
  </si>
  <si>
    <t>CAUTIONNEMENTS</t>
  </si>
  <si>
    <t>FRAIS PRELIMINAIRES</t>
  </si>
  <si>
    <t>AMORT.DES IMM.INCOR</t>
  </si>
  <si>
    <t>INVEST.DE RECH&amp;DEVE</t>
  </si>
  <si>
    <t>CONSTRUCTIONS</t>
  </si>
  <si>
    <t>EQUIPEMENT DE BURE.</t>
  </si>
  <si>
    <t>MATERIELS D'EMBALAG.</t>
  </si>
  <si>
    <t>TRAVAUX EN COURS</t>
  </si>
  <si>
    <t>ETUDES EN COURS</t>
  </si>
  <si>
    <t>FOUR.LOC.EFF.A.P.I.GRO</t>
  </si>
  <si>
    <t>FSSR RETENU DE GARANTIE</t>
  </si>
  <si>
    <t>FOUR.ETR.FACT.N.PAR</t>
  </si>
  <si>
    <t>CLIENTS EFETS A RECEV</t>
  </si>
  <si>
    <t>EFFETS IMPAYES</t>
  </si>
  <si>
    <t>CLIENTS PROD.N.ENC.F</t>
  </si>
  <si>
    <t>CLIE. AV&amp;ACPT.REC.COMM</t>
  </si>
  <si>
    <t>AVANCES AUTOM./ARO</t>
  </si>
  <si>
    <t>OPPOSITIONS</t>
  </si>
  <si>
    <t>ETAT IMPO&amp;TAX.ES R/S</t>
  </si>
  <si>
    <t>RED.DE COMPENSATION 1%</t>
  </si>
  <si>
    <t>EIT/RS15%</t>
  </si>
  <si>
    <t>EIT / RS 5%</t>
  </si>
  <si>
    <t>EIT/RS 0,5%</t>
  </si>
  <si>
    <t>R.S/TIERS 20%</t>
  </si>
  <si>
    <t>TFP A PAYER</t>
  </si>
  <si>
    <t>RETENUE A LA SOURCE</t>
  </si>
  <si>
    <t>RETENUE SUR TVA</t>
  </si>
  <si>
    <t>RETENUE SUR TVA 100%</t>
  </si>
  <si>
    <t>OBLIGATIONS CAUTION</t>
  </si>
  <si>
    <t>TVA RECUP B&amp;S LOC 06%</t>
  </si>
  <si>
    <t>TVA RECUP B&amp;S LOC 10%</t>
  </si>
  <si>
    <t>TVA RECUP B&amp;S LOC 13%</t>
  </si>
  <si>
    <t>TVA RECUP B&amp;S LOC 18%</t>
  </si>
  <si>
    <t>TVA RECUP IMMO IMP 18%</t>
  </si>
  <si>
    <t>ETAT TFP/FOPROLOS</t>
  </si>
  <si>
    <t>IMPOTS ET TAXES A PAYER</t>
  </si>
  <si>
    <t>SOCIETES DU GROUPE</t>
  </si>
  <si>
    <t>ASSO/COMPTE.COUR [NOUR]</t>
  </si>
  <si>
    <t>Associe cpte courant</t>
  </si>
  <si>
    <t>PHENICIA SECAR</t>
  </si>
  <si>
    <t>COPTE COURANT STA NOUR</t>
  </si>
  <si>
    <t>COMPTE COURANT ITN</t>
  </si>
  <si>
    <t>COMPTE COURANT EL HANAYA</t>
  </si>
  <si>
    <t>CPTE COUR.NOUR HEMPE BAT</t>
  </si>
  <si>
    <t>COMPTE COURANT SND</t>
  </si>
  <si>
    <t>PRINCIPAL</t>
  </si>
  <si>
    <t>ASSOC.OPERA.SUR.CAP</t>
  </si>
  <si>
    <t>COMPTES D'ATTENTE</t>
  </si>
  <si>
    <t>PRODUITS CONST.D'AVA</t>
  </si>
  <si>
    <t>BILLET DE TRESORERIE</t>
  </si>
  <si>
    <t>MCNE</t>
  </si>
  <si>
    <t>INTERETS COURUS</t>
  </si>
  <si>
    <t>PLACEMENT COURANT</t>
  </si>
  <si>
    <t>PLACEM.BIL.DE TRES.</t>
  </si>
  <si>
    <t>EFFETS A L'ESCOMPTE</t>
  </si>
  <si>
    <t>ATB DOLLAR</t>
  </si>
  <si>
    <t>QUATAR NATIONAL BANK</t>
  </si>
  <si>
    <t>ATB MEGRINE</t>
  </si>
  <si>
    <t>CPE INDISPONIBLE ATB</t>
  </si>
  <si>
    <t>STB DOLLAR</t>
  </si>
  <si>
    <t>UBCI</t>
  </si>
  <si>
    <t>UBCI DOLLAR</t>
  </si>
  <si>
    <t>STUSID</t>
  </si>
  <si>
    <t>STUSID MEGRINE</t>
  </si>
  <si>
    <t>STB DEVISES</t>
  </si>
  <si>
    <t>CAISSES</t>
  </si>
  <si>
    <t>CAISSE REGIE</t>
  </si>
  <si>
    <t>Virements inter caisse</t>
  </si>
  <si>
    <t>VIRMENT FRS</t>
  </si>
  <si>
    <t>VIREMENT ETRANGER</t>
  </si>
  <si>
    <t>ACHAT COUVRE COUVERCLE</t>
  </si>
  <si>
    <t>ACHAT BAGUE POUR BORNE</t>
  </si>
  <si>
    <t>ACHAT PLOMB D'OEUVRE [</t>
  </si>
  <si>
    <t>ACHAT RESINE  COLOPHANE</t>
  </si>
  <si>
    <t>ACHAT ETHANOL</t>
  </si>
  <si>
    <t>ACHAT BOUTEILLE OXYGENE</t>
  </si>
  <si>
    <t>GAZ DE VILLE</t>
  </si>
  <si>
    <t>COKE ANTHRACITE</t>
  </si>
  <si>
    <t>ACHAT COKE DE PETROLE</t>
  </si>
  <si>
    <t>EMBALLAGE CARTON BOX</t>
  </si>
  <si>
    <t>SEL ADOUCISSEUR</t>
  </si>
  <si>
    <t>MAT.SECUR.+PROD.PHARMA.</t>
  </si>
  <si>
    <t>ETUDES ET EXPERTISES</t>
  </si>
  <si>
    <t>FRAIS DE RESTAURATION</t>
  </si>
  <si>
    <t>ACHAT EAUX</t>
  </si>
  <si>
    <t>F.MISS.VISIT.ETRANGERS</t>
  </si>
  <si>
    <t>INTERET /CREDIT LEASING_x000D_</t>
  </si>
  <si>
    <t>TRAVAUX  CHARGE+FINITION</t>
  </si>
  <si>
    <t>VENTE DECHET.PLASTIQUE</t>
  </si>
  <si>
    <t>VAR.EN.COU.D.PR.D.SER</t>
  </si>
  <si>
    <t>BILAN D'OUVERTURE</t>
  </si>
  <si>
    <t>Affect° 2023</t>
  </si>
  <si>
    <t xml:space="preserve">INTERET /CREDIT MT
</t>
  </si>
  <si>
    <t>FOURN D'EXPLOIT ETRANGER (NOUR)</t>
  </si>
  <si>
    <t>TITRES PARTICIPATION AKU</t>
  </si>
  <si>
    <t>PROV/MAT.INDUTRIEL</t>
  </si>
  <si>
    <t>PROV/OUTILLAGE INDUSTR</t>
  </si>
  <si>
    <t>STOCK EN TRANSIT</t>
  </si>
  <si>
    <t>FOUR.LOC.FAC.N.PARVE</t>
  </si>
  <si>
    <t>COMPTE COURANT SNR</t>
  </si>
  <si>
    <t>ACHAT FICHE SUIVEUSE</t>
  </si>
  <si>
    <t>ACHAT CALCIUM METAL</t>
  </si>
  <si>
    <t>ACHAT ARGON</t>
  </si>
  <si>
    <t>ACHAT BOUTEILLE GAZ</t>
  </si>
  <si>
    <t>PRIMES D'ASSURANCE</t>
  </si>
  <si>
    <t>AUDITS ET CERTIFICATIONS</t>
  </si>
  <si>
    <t>HONORAIRES MEDECIN DE TY</t>
  </si>
  <si>
    <t>PRETES DE CHANGES</t>
  </si>
  <si>
    <t>Provision pour dép.Imm corporelles et incorp.</t>
  </si>
  <si>
    <t>AMORT./INST.TECHNIQ.</t>
  </si>
  <si>
    <t>ACHAT EN TRANSIT</t>
  </si>
  <si>
    <t>ACHAT SETRATE DE SOUDE</t>
  </si>
  <si>
    <t>SALAIRE</t>
  </si>
  <si>
    <t>PRIMES</t>
  </si>
  <si>
    <t>CONGES PAYES</t>
  </si>
  <si>
    <t>SALAIRE PRESIDENT CA</t>
  </si>
  <si>
    <t>ACHAT DECHET DE BATT</t>
  </si>
  <si>
    <t>ACHAT VIEUX PLOMB</t>
  </si>
  <si>
    <t>ENTRETIEN ET REPARA</t>
  </si>
  <si>
    <t>Affect° 2024</t>
  </si>
  <si>
    <t xml:space="preserve"> SNA NOUR</t>
  </si>
  <si>
    <t>%</t>
  </si>
  <si>
    <t>ACTIFS</t>
  </si>
  <si>
    <t>No Suppression</t>
  </si>
  <si>
    <t>ACTIFS NON COURANTS</t>
  </si>
  <si>
    <t>Immobilisations corporelles et incorporelles</t>
  </si>
  <si>
    <t>GetRub</t>
  </si>
  <si>
    <t>B_Terrain</t>
  </si>
  <si>
    <t>Total immobilsations corporelles et incorporelles</t>
  </si>
  <si>
    <t>B_Const</t>
  </si>
  <si>
    <t>B_AmtConst</t>
  </si>
  <si>
    <t>Immobilisations Financières</t>
  </si>
  <si>
    <t>B_Amt_ITMOI</t>
  </si>
  <si>
    <t>Résultat de l'exercice</t>
  </si>
  <si>
    <t>B_Amt_MT</t>
  </si>
  <si>
    <t>Total des actifs non courants</t>
  </si>
  <si>
    <t>B_Amt_IGAA</t>
  </si>
  <si>
    <t>B_MMB</t>
  </si>
  <si>
    <t>ACTIFS COURANTS</t>
  </si>
  <si>
    <t>B_Amt_MMB</t>
  </si>
  <si>
    <t>B_ImmEnCours</t>
  </si>
  <si>
    <t>B_ImmCorp</t>
  </si>
  <si>
    <t>Total des actifs courants</t>
  </si>
  <si>
    <t>B_ImmSJP</t>
  </si>
  <si>
    <t>B_D_Caution</t>
  </si>
  <si>
    <t>B_ImmFin</t>
  </si>
  <si>
    <t>TOTAL DES ACTIFS</t>
  </si>
  <si>
    <t>AC014</t>
  </si>
  <si>
    <t>B_AANC</t>
  </si>
  <si>
    <t>B_ANC</t>
  </si>
  <si>
    <t>436418-01 * TVA RECUP B&amp;S IMP 18%AGENCE DISTRIBUTION</t>
  </si>
  <si>
    <t>436502 TVA REC</t>
  </si>
  <si>
    <t>436510 TVA RECUP IMMO LOC 10%</t>
  </si>
  <si>
    <t>438200 ETAT CHGE FISC/CONG PAYE</t>
  </si>
  <si>
    <t>439000 EIT REDRESSE FISC</t>
  </si>
  <si>
    <t>441200 CPT GROUPE STIPCE</t>
  </si>
  <si>
    <t>441300 CPT GROUPE NOUR DIST</t>
  </si>
  <si>
    <t>441300--NOUR ** NOUR</t>
  </si>
  <si>
    <t>441500 COMPTE COURANT ASSOCIES</t>
  </si>
  <si>
    <t>441950 CPTE GROUPE SAKMO</t>
  </si>
  <si>
    <t>441960 CPTE GROUPE SAFIR</t>
  </si>
  <si>
    <t>441970 CPTE GROUP.L'IMMOBILIERE</t>
  </si>
  <si>
    <t>442000 ASSOC COMPTE COURANT</t>
  </si>
  <si>
    <t>442100 CPTE.COURANT ANC. D.GLE</t>
  </si>
  <si>
    <t>447000 ASSOC DIVID A PAYER</t>
  </si>
  <si>
    <t>450900 CREDITEURS DIVERS</t>
  </si>
  <si>
    <t>452000 creances /cession d'immo</t>
  </si>
  <si>
    <t>452000--NOUR ** NOUR</t>
  </si>
  <si>
    <t>453100 CNSS</t>
  </si>
  <si>
    <t>DB-25</t>
  </si>
  <si>
    <t>JL170224000001</t>
  </si>
  <si>
    <t>JL170427000001</t>
  </si>
  <si>
    <t>453100--NOUR ** NOUR</t>
  </si>
  <si>
    <t>453200 ASSURANCES GROUPES</t>
  </si>
  <si>
    <t>JL170210000003</t>
  </si>
  <si>
    <t>453200--NOUR ** NOUR</t>
  </si>
  <si>
    <t>453810 CHARGES SOC / CONGES PAY</t>
  </si>
  <si>
    <t>457100 PRET CNSS</t>
  </si>
  <si>
    <t>457100--NOUR ** NOUR</t>
  </si>
  <si>
    <t>458600--NOUR ** NOUR</t>
  </si>
  <si>
    <t>458700 PRODUITS A RECEVOIR</t>
  </si>
  <si>
    <t>458700--NOUR ** NOUR</t>
  </si>
  <si>
    <t>461000 COMPTE D'ATTENTE</t>
  </si>
  <si>
    <t>532700 STB GAFSA</t>
  </si>
  <si>
    <t>532700--NOUR ** NOUR</t>
  </si>
  <si>
    <t>532800 STB BOUSSALEM</t>
  </si>
  <si>
    <t>532850 BS JENDOUBA</t>
  </si>
  <si>
    <t>534000 CCP</t>
  </si>
  <si>
    <t>580000 VIR CAISSE CENTRALE</t>
  </si>
  <si>
    <t>580000--NOUR ** NOUR</t>
  </si>
  <si>
    <t>580010 VIREMENT INTERNE</t>
  </si>
  <si>
    <t>DB-01</t>
  </si>
  <si>
    <t>AP170126000532</t>
  </si>
  <si>
    <t>L20020</t>
  </si>
  <si>
    <t>AP170126002411</t>
  </si>
  <si>
    <t>AP170131000871</t>
  </si>
  <si>
    <t>HF0000</t>
  </si>
  <si>
    <t>AP170131000873</t>
  </si>
  <si>
    <t>E10071</t>
  </si>
  <si>
    <t>AP170131000875</t>
  </si>
  <si>
    <t>580010--nour ** NOUR</t>
  </si>
  <si>
    <t>580050--nour ** NOUR</t>
  </si>
  <si>
    <t>580060 VIREMENT  CAISSE</t>
  </si>
  <si>
    <t>Applicable FX rate</t>
  </si>
  <si>
    <t>Profitability dynamics (EURs)</t>
  </si>
  <si>
    <t>SNA</t>
  </si>
  <si>
    <t>% of Rev</t>
  </si>
  <si>
    <t>YoY Var</t>
  </si>
  <si>
    <t xml:space="preserve">TND </t>
  </si>
  <si>
    <t xml:space="preserve">EUR </t>
  </si>
  <si>
    <t>EUR %</t>
  </si>
  <si>
    <t>Sales export</t>
  </si>
  <si>
    <t>Sales local</t>
  </si>
  <si>
    <t>Other revenue</t>
  </si>
  <si>
    <t>Total revenues</t>
  </si>
  <si>
    <t>Change in inventory</t>
  </si>
  <si>
    <t>Expense for materials</t>
  </si>
  <si>
    <t>GROSS MARGIN</t>
  </si>
  <si>
    <t>Personnel expenses</t>
  </si>
  <si>
    <t>Other expenses</t>
  </si>
  <si>
    <t>Total Expenses</t>
  </si>
  <si>
    <t>EBITDA</t>
  </si>
  <si>
    <t>Depreciation charges</t>
  </si>
  <si>
    <t>EBIT</t>
  </si>
  <si>
    <t>Net finance charges</t>
  </si>
  <si>
    <t>Other income</t>
  </si>
  <si>
    <t>Other expense</t>
  </si>
  <si>
    <t>EBT</t>
  </si>
  <si>
    <t>Income tax</t>
  </si>
  <si>
    <t>Net profit</t>
  </si>
  <si>
    <t>SOUS TRAIT.FORM.FINITION</t>
  </si>
  <si>
    <t>SITE</t>
  </si>
  <si>
    <t>EMP</t>
  </si>
  <si>
    <t>Code</t>
  </si>
  <si>
    <t>Désignation</t>
  </si>
  <si>
    <t>Unité</t>
  </si>
  <si>
    <t>Quantité 31/01/2024</t>
  </si>
  <si>
    <t>PU</t>
  </si>
  <si>
    <t>Valeur total</t>
  </si>
  <si>
    <t>AS01</t>
  </si>
  <si>
    <t>360PMP</t>
  </si>
  <si>
    <t xml:space="preserve">PLAQUE M POSITIF </t>
  </si>
  <si>
    <t>KG</t>
  </si>
  <si>
    <t>subproduct</t>
  </si>
  <si>
    <t>360PMN</t>
  </si>
  <si>
    <t>PLAQUE M NEGATIF</t>
  </si>
  <si>
    <t>600P0004</t>
  </si>
  <si>
    <t>PB SB 3.2</t>
  </si>
  <si>
    <t>RM</t>
  </si>
  <si>
    <t>CAMION</t>
  </si>
  <si>
    <t>10D23255155</t>
  </si>
  <si>
    <t>D23-4/5 NR</t>
  </si>
  <si>
    <t>UN</t>
  </si>
  <si>
    <t>10L2B155258</t>
  </si>
  <si>
    <t>L2-5/6 PR</t>
  </si>
  <si>
    <t>10L2H133141</t>
  </si>
  <si>
    <t>L2-5/5 GR</t>
  </si>
  <si>
    <t>10L3B155258</t>
  </si>
  <si>
    <t>L3-6/6 GR</t>
  </si>
  <si>
    <t>10M14</t>
  </si>
  <si>
    <t>M14-8/9 GR</t>
  </si>
  <si>
    <t>10NS40</t>
  </si>
  <si>
    <t>NS40 N/N</t>
  </si>
  <si>
    <t>21D26</t>
  </si>
  <si>
    <t>BAT NF SF D26 OP/NR 5/6</t>
  </si>
  <si>
    <t>21D31D</t>
  </si>
  <si>
    <t>BAT NF SF D31 D OP/NR7/8</t>
  </si>
  <si>
    <t>21L1B1332</t>
  </si>
  <si>
    <t>BAT SF PL1B D GR/GR 4/4</t>
  </si>
  <si>
    <t>21L1H1332</t>
  </si>
  <si>
    <t>BAT SF PL1H D GR/GR  4/4</t>
  </si>
  <si>
    <t>21L5H1332</t>
  </si>
  <si>
    <t>BAT SF PL5H D GR/GR  8/8</t>
  </si>
  <si>
    <t>21L6B1551</t>
  </si>
  <si>
    <t>BAT SF PL6  LOCAL NR/NR10/10</t>
  </si>
  <si>
    <t>21NS60</t>
  </si>
  <si>
    <t>BAT NF SF NS60 NR/NR 5/6</t>
  </si>
  <si>
    <t>21PM10</t>
  </si>
  <si>
    <t>BAT NF SF M10 GR/GR 5/5</t>
  </si>
  <si>
    <t>21PM11</t>
  </si>
  <si>
    <t>BAT NF SF M11 GR/GR 7/7</t>
  </si>
  <si>
    <t>21PM12</t>
  </si>
  <si>
    <t>BAT NF SF M12 GR/GR 7/7</t>
  </si>
  <si>
    <t>21TR15</t>
  </si>
  <si>
    <t>BAT NF SF M15 GR/GR9/10</t>
  </si>
  <si>
    <t>21TR16</t>
  </si>
  <si>
    <t>BAT NF SF M16 GR/GR12/13</t>
  </si>
  <si>
    <t>LB77L3K5172R1Z22</t>
  </si>
  <si>
    <t>L3-SMF</t>
  </si>
  <si>
    <t>LABO</t>
  </si>
  <si>
    <t>10S2</t>
  </si>
  <si>
    <t>BATT SMART S2</t>
  </si>
  <si>
    <t>10PRL3B</t>
  </si>
  <si>
    <t>BATT L3B 6/7</t>
  </si>
  <si>
    <t>05</t>
  </si>
  <si>
    <t>MPA</t>
  </si>
  <si>
    <t>310oxyde01</t>
  </si>
  <si>
    <t xml:space="preserve">OXYDE ROUGE </t>
  </si>
  <si>
    <t>GR01</t>
  </si>
  <si>
    <t>322GI534</t>
  </si>
  <si>
    <t>GRILLE INTERNE 534</t>
  </si>
  <si>
    <t>322GI399</t>
  </si>
  <si>
    <t>GRILLE INTERNE 399</t>
  </si>
  <si>
    <t>322GT534</t>
  </si>
  <si>
    <t>grille tub 534</t>
  </si>
  <si>
    <t>320PBP</t>
  </si>
  <si>
    <t>grille LB +</t>
  </si>
  <si>
    <t>351OGIN</t>
  </si>
  <si>
    <t>PL  OGI-</t>
  </si>
  <si>
    <t>351OGIP</t>
  </si>
  <si>
    <t>PL  OGI+</t>
  </si>
  <si>
    <t>351PE274</t>
  </si>
  <si>
    <t>PL 274EX</t>
  </si>
  <si>
    <t>351PE289</t>
  </si>
  <si>
    <t>PL 289 EX</t>
  </si>
  <si>
    <t>351PE315</t>
  </si>
  <si>
    <t>PL 315 EX</t>
  </si>
  <si>
    <t>351PE399</t>
  </si>
  <si>
    <t>PL 399EX</t>
  </si>
  <si>
    <t>351PE429</t>
  </si>
  <si>
    <t>PL 429 EX</t>
  </si>
  <si>
    <t>351PE534</t>
  </si>
  <si>
    <t>PL 534 EX</t>
  </si>
  <si>
    <t>351PI204</t>
  </si>
  <si>
    <t>PL 204 IN</t>
  </si>
  <si>
    <t>351PI274</t>
  </si>
  <si>
    <t>PL 274 IN</t>
  </si>
  <si>
    <t>351PI289</t>
  </si>
  <si>
    <t>PL 289 IN</t>
  </si>
  <si>
    <t>351PI399</t>
  </si>
  <si>
    <t>PL 399 IN</t>
  </si>
  <si>
    <t>351PI429</t>
  </si>
  <si>
    <t>PL 429 IN</t>
  </si>
  <si>
    <t>351PI534</t>
  </si>
  <si>
    <t>PL 534 IN</t>
  </si>
  <si>
    <t>351PT274</t>
  </si>
  <si>
    <t>PL 274 TUB</t>
  </si>
  <si>
    <t>351PT315</t>
  </si>
  <si>
    <t>PL 315 TUB</t>
  </si>
  <si>
    <t>351PT399</t>
  </si>
  <si>
    <t>PL 399 TUB</t>
  </si>
  <si>
    <t>351PT534</t>
  </si>
  <si>
    <t>PL 534 TUB</t>
  </si>
  <si>
    <t>Plaque  M-</t>
  </si>
  <si>
    <t>430P2010</t>
  </si>
  <si>
    <t>SEP PAPIER G  laize 103 mm 12,5 g/m²</t>
  </si>
  <si>
    <t>M2</t>
  </si>
  <si>
    <t>430P2011</t>
  </si>
  <si>
    <t>SEP PAPIER G  laize 128 mm 12,5 g/m²</t>
  </si>
  <si>
    <t>430P2013</t>
  </si>
  <si>
    <t xml:space="preserve">SEP PAPIER laize 125mm </t>
  </si>
  <si>
    <t>430T210</t>
  </si>
  <si>
    <t xml:space="preserve">GAINE TUBULAIRE 204mm </t>
  </si>
  <si>
    <t>430T280</t>
  </si>
  <si>
    <t xml:space="preserve">GAINE TUBULAIRE 274mm </t>
  </si>
  <si>
    <t>430T295</t>
  </si>
  <si>
    <t xml:space="preserve">GAINE TUBULAIRE 289mm </t>
  </si>
  <si>
    <t>430T325</t>
  </si>
  <si>
    <t xml:space="preserve">GAINE TUBULAIRE 315mm </t>
  </si>
  <si>
    <t>430T405</t>
  </si>
  <si>
    <t xml:space="preserve">GAINE TUBULAIRE 399mm </t>
  </si>
  <si>
    <t>430T435</t>
  </si>
  <si>
    <t xml:space="preserve">GAINE TUBULAIRE 429mm </t>
  </si>
  <si>
    <t>430T540</t>
  </si>
  <si>
    <t xml:space="preserve">GAINE TUBULAIRE 534mm </t>
  </si>
  <si>
    <t>520X0032</t>
  </si>
  <si>
    <t>FICHE SUIVEUSE PLAQUE (VERT) grand format</t>
  </si>
  <si>
    <t>520X0035</t>
  </si>
  <si>
    <t>FICHE SUIVEUSE PLAQUE (BLEU)</t>
  </si>
  <si>
    <t>580F0002</t>
  </si>
  <si>
    <t xml:space="preserve">FILM ETIRABLE MANUEL </t>
  </si>
  <si>
    <t>580P0010</t>
  </si>
  <si>
    <t xml:space="preserve">POLYST.120/80/2CM D16 </t>
  </si>
  <si>
    <t>600A0003</t>
  </si>
  <si>
    <t xml:space="preserve">FIBRE DE VERRE 3mm </t>
  </si>
  <si>
    <t>600A0012</t>
  </si>
  <si>
    <t xml:space="preserve">FIBRE DE VERRE 5mm </t>
  </si>
  <si>
    <t>600A0018</t>
  </si>
  <si>
    <t xml:space="preserve">colophane empattage </t>
  </si>
  <si>
    <t>600p0002</t>
  </si>
  <si>
    <t>plomb doux creuset</t>
  </si>
  <si>
    <t>creuset 1,8%</t>
  </si>
  <si>
    <t>600P0016</t>
  </si>
  <si>
    <t>Creuset +</t>
  </si>
  <si>
    <t>600P0026</t>
  </si>
  <si>
    <t>Creuset -</t>
  </si>
  <si>
    <t>plomb Concentrè</t>
  </si>
  <si>
    <t>690X0012</t>
  </si>
  <si>
    <t xml:space="preserve">BOUT.SILICATE SODIUM </t>
  </si>
  <si>
    <t>520X0033</t>
  </si>
  <si>
    <t>FICHE SUIVEUSE PLAQUE (BLANC)</t>
  </si>
  <si>
    <t>520X0036</t>
  </si>
  <si>
    <t>ETIQ BOBINE AUTOCOLLANT 2 COULEURS (+)</t>
  </si>
  <si>
    <t>520X0037</t>
  </si>
  <si>
    <t>ETIQ BOBINE AUTOCOLLANT 2 COULEURS (-)</t>
  </si>
  <si>
    <t>690X0007</t>
  </si>
  <si>
    <t xml:space="preserve">KLEEN KOTE </t>
  </si>
  <si>
    <t>351PT429</t>
  </si>
  <si>
    <t>PL 429 TUB</t>
  </si>
  <si>
    <t>322GT399</t>
  </si>
  <si>
    <t>grille  TIBULAIRE 399</t>
  </si>
  <si>
    <t>322GT274</t>
  </si>
  <si>
    <t>grille TIBULAIRE 274</t>
  </si>
  <si>
    <t>322GT204</t>
  </si>
  <si>
    <t>grille TIBULAIRE 204</t>
  </si>
  <si>
    <t>320OGI</t>
  </si>
  <si>
    <t xml:space="preserve">GRILLE OGI  </t>
  </si>
  <si>
    <t>690X0025</t>
  </si>
  <si>
    <t>LIEGE PREPARE AC23#5 GLOBE SUPERKOTE MOLD</t>
  </si>
  <si>
    <t>CA01</t>
  </si>
  <si>
    <t>600A0001</t>
  </si>
  <si>
    <t>ACIDE SULFURIQUE 1.84</t>
  </si>
  <si>
    <t>610S0001</t>
  </si>
  <si>
    <t>SOUFFRE</t>
  </si>
  <si>
    <t>690X0024</t>
  </si>
  <si>
    <t>Acide 1,25</t>
  </si>
  <si>
    <t>Acide 1,295</t>
  </si>
  <si>
    <t>Acide 1,4</t>
  </si>
  <si>
    <t>Eau Deminiraliser</t>
  </si>
  <si>
    <t>Acide Chlorohydrique</t>
  </si>
  <si>
    <t>430P1008</t>
  </si>
  <si>
    <t>SEP PAPIER laize 105mm 12.5 g/m²</t>
  </si>
  <si>
    <t>430P1019</t>
  </si>
  <si>
    <t>SEPARATEUR  EMPATTAGE POLYESTER 103mm</t>
  </si>
  <si>
    <t>430P1020</t>
  </si>
  <si>
    <t>SEPARATEUR  EMPATTAGE POLYESTER 127mm</t>
  </si>
  <si>
    <t>491BB001</t>
  </si>
  <si>
    <t>REGLE DE FERMETURE 19 TUBES 43753002B70</t>
  </si>
  <si>
    <t>600A0017</t>
  </si>
  <si>
    <t>FIBRE DE VERRE 1.5mm Primafloc+ fibre</t>
  </si>
  <si>
    <t>600A0020</t>
  </si>
  <si>
    <t>MELANGE ETHANOL</t>
  </si>
  <si>
    <t>690X0018</t>
  </si>
  <si>
    <t xml:space="preserve">EXPANDER HE-631 A - 8.5KG </t>
  </si>
  <si>
    <t>690X0031</t>
  </si>
  <si>
    <t xml:space="preserve">EXPANDER PENOX- 7 KG </t>
  </si>
  <si>
    <t>712MEC021</t>
  </si>
  <si>
    <t>AGRAFE POUR SERRE CABLE PALETTE</t>
  </si>
  <si>
    <t>712MEC028</t>
  </si>
  <si>
    <t xml:space="preserve">RLX FEUILLARD 15 </t>
  </si>
  <si>
    <t>FLYX</t>
  </si>
  <si>
    <t>520X0048</t>
  </si>
  <si>
    <t>ETIQ AUTOCOLLANTE PRODUIT EXPORT</t>
  </si>
  <si>
    <t>430P2009</t>
  </si>
  <si>
    <t>SEPARATEUR  EMPATTAGE POLYESTER 111mm</t>
  </si>
  <si>
    <t>EXPANDER MAROON BAG</t>
  </si>
  <si>
    <t>430T21184</t>
  </si>
  <si>
    <t xml:space="preserve">GAINE TUBULAIRE 184mm </t>
  </si>
  <si>
    <t>430T21285</t>
  </si>
  <si>
    <t xml:space="preserve">GAINE TUBULAIRE 258mm </t>
  </si>
  <si>
    <t>491BB002</t>
  </si>
  <si>
    <t>REGLE DE FERMETURE PETITE MODEL</t>
  </si>
  <si>
    <t>491BB003</t>
  </si>
  <si>
    <t>REGLE DE FERMETURE GRANDE MODEL</t>
  </si>
  <si>
    <t>04</t>
  </si>
  <si>
    <t>MPF</t>
  </si>
  <si>
    <t>PLOMB 1,8%</t>
  </si>
  <si>
    <t>PLOMB 5%</t>
  </si>
  <si>
    <t>600P0013</t>
  </si>
  <si>
    <t>CALCIUM METAL PUR</t>
  </si>
  <si>
    <t>610L0001</t>
  </si>
  <si>
    <t>CARBONATE DE SOUDE</t>
  </si>
  <si>
    <t>610L0002</t>
  </si>
  <si>
    <t>Nitrate de soude</t>
  </si>
  <si>
    <t>610M0001</t>
  </si>
  <si>
    <t>ARSENIC METAL</t>
  </si>
  <si>
    <t>610M0002</t>
  </si>
  <si>
    <t>SELENIUM</t>
  </si>
  <si>
    <t>610M0004</t>
  </si>
  <si>
    <t>ETAIN PURE 99.99 % MIN</t>
  </si>
  <si>
    <t>610P0002</t>
  </si>
  <si>
    <t>ANTIMOINE</t>
  </si>
  <si>
    <t>610X0013</t>
  </si>
  <si>
    <t>BATTITURE DE FER</t>
  </si>
  <si>
    <t>610X0014</t>
  </si>
  <si>
    <t>COKE DE PETROLE</t>
  </si>
  <si>
    <t>620M0007</t>
  </si>
  <si>
    <t>ETAIN TRAITE DE 40 à 49%</t>
  </si>
  <si>
    <t>620M0008</t>
  </si>
  <si>
    <t>ETAIN TRAITE DE 50 à 59%</t>
  </si>
  <si>
    <t>620M0011</t>
  </si>
  <si>
    <t>ETAIN TRAITE DE 90 à 98%</t>
  </si>
  <si>
    <t>690X0011</t>
  </si>
  <si>
    <t>SOUDE CAUSTIQUE MICRO PERLES</t>
  </si>
  <si>
    <t>PLOMB CALCIUM CONCENTREE</t>
  </si>
  <si>
    <t>600P0014</t>
  </si>
  <si>
    <t>CALCIUM METAL 70% ALUMINIUM 30%</t>
  </si>
  <si>
    <t>plomb 3%</t>
  </si>
  <si>
    <t>FN01</t>
  </si>
  <si>
    <t>610C0005</t>
  </si>
  <si>
    <t>BATTERIES USAGEES</t>
  </si>
  <si>
    <t>610D0013</t>
  </si>
  <si>
    <t>Ecumage et décuivrage ,brassage</t>
  </si>
  <si>
    <t>Poudre de plomb</t>
  </si>
  <si>
    <t>crasse 30%</t>
  </si>
  <si>
    <t>610D0015</t>
  </si>
  <si>
    <t xml:space="preserve">GRILLE CASSE BATTERIES </t>
  </si>
  <si>
    <t>610D0016</t>
  </si>
  <si>
    <t xml:space="preserve">OXYDE CASSE BATTERIES </t>
  </si>
  <si>
    <t>Souffre</t>
  </si>
  <si>
    <t>Soude caustique</t>
  </si>
  <si>
    <t>610D0008</t>
  </si>
  <si>
    <t>REBUT ET DECHET DE PLAQUE</t>
  </si>
  <si>
    <t>CALCIUM METAL</t>
  </si>
  <si>
    <t>620M0009</t>
  </si>
  <si>
    <t>ETAIN TRAITE DE 60 à 69%</t>
  </si>
  <si>
    <t>600P0017</t>
  </si>
  <si>
    <t>PLOMB D'OEUVRE SNA</t>
  </si>
  <si>
    <t xml:space="preserve">DECHET CHAINE LINGOTAGE </t>
  </si>
  <si>
    <t>CM02</t>
  </si>
  <si>
    <t>360PBN</t>
  </si>
  <si>
    <t>LB-</t>
  </si>
  <si>
    <t>M-</t>
  </si>
  <si>
    <t>M+</t>
  </si>
  <si>
    <t>360PMPSP</t>
  </si>
  <si>
    <t>M+ SPECIAL</t>
  </si>
  <si>
    <t>360PMPLSP</t>
  </si>
  <si>
    <t>M+ LATERAL</t>
  </si>
  <si>
    <t>360PMNL</t>
  </si>
  <si>
    <t>M- LATERAL</t>
  </si>
  <si>
    <t>400N7002</t>
  </si>
  <si>
    <t>BAC N70 P0 C46,5 B01 NOIR</t>
  </si>
  <si>
    <t>420N7003</t>
  </si>
  <si>
    <t>COUV N70 T-AKUMSAN D+ NOIR</t>
  </si>
  <si>
    <t>400M1009</t>
  </si>
  <si>
    <t>BAC M10 P15,4 C33 NOIR 30241008B70</t>
  </si>
  <si>
    <t>420M1014</t>
  </si>
  <si>
    <t>COUV M10 G FLAT NOIR 22462007B70</t>
  </si>
  <si>
    <t>UFMSP55M10F042L1</t>
  </si>
  <si>
    <t>BAT FINIE M10 PREMIUM</t>
  </si>
  <si>
    <t>600P0020</t>
  </si>
  <si>
    <t>PLOMB D'ŒUVRE ACHETEE</t>
  </si>
  <si>
    <t>400B9001</t>
  </si>
  <si>
    <t>BAC COMPACT B90 C49 P19,5 T2 OPAQUE 34911011B70</t>
  </si>
  <si>
    <t>400D2302</t>
  </si>
  <si>
    <t>BAC D23 P0 C33 B01 NOIR 201373</t>
  </si>
  <si>
    <t>400D2304</t>
  </si>
  <si>
    <t>BAC D23 P0 C33 NOIR A LISTEAUX MONBAT</t>
  </si>
  <si>
    <t>400L0103</t>
  </si>
  <si>
    <t>BAC L1B PO NOIR C22 22521008C40</t>
  </si>
  <si>
    <t>400L0111</t>
  </si>
  <si>
    <t>BAC L1B PO NOIR C28 25331014B70</t>
  </si>
  <si>
    <t>400L0115</t>
  </si>
  <si>
    <t>BAC L1 B PO GRIS C22 22521024B70</t>
  </si>
  <si>
    <t>400L0117</t>
  </si>
  <si>
    <t>BAC L1 NOIR PO C26 NON PERCE 26901001P70 26901001</t>
  </si>
  <si>
    <t>400L0118</t>
  </si>
  <si>
    <t>BAC L1 NOIR P0 C28 25341044B70</t>
  </si>
  <si>
    <t>400L0120</t>
  </si>
  <si>
    <t>BAC L1 GRIS P0 C22 25391019B70</t>
  </si>
  <si>
    <t>400L0121</t>
  </si>
  <si>
    <t>BAC L1 NOIR P0 C22 25391020B70</t>
  </si>
  <si>
    <t>400L0202</t>
  </si>
  <si>
    <t>BAC L2 BASSE P0 NOIR C34 25181011B77</t>
  </si>
  <si>
    <t>400l0204</t>
  </si>
  <si>
    <t>BAC L2B NOIR PO C28</t>
  </si>
  <si>
    <t>400L0211</t>
  </si>
  <si>
    <t>BAC L2 BASSE GRIS P0 C28 25701004B77</t>
  </si>
  <si>
    <t>400L0213</t>
  </si>
  <si>
    <t>BAC L2 NOIR PO C28 25691010B77</t>
  </si>
  <si>
    <t>400L0306</t>
  </si>
  <si>
    <t>BAC L3B P0 NOIR C40 26651004B74</t>
  </si>
  <si>
    <t>400L0312</t>
  </si>
  <si>
    <t>BAC L3 BASSE GRIS  P0 C34 34451034C40</t>
  </si>
  <si>
    <t>400L0314</t>
  </si>
  <si>
    <t>BAC L3 NOIR P0 C33 2B341005B70</t>
  </si>
  <si>
    <t>400L0318</t>
  </si>
  <si>
    <t>BAC L3 NOIR P0 C40 2B331002B74</t>
  </si>
  <si>
    <t>400L0401</t>
  </si>
  <si>
    <t>BAC L4 NOIR P0 C46,5 21081020B70</t>
  </si>
  <si>
    <t>400L0402</t>
  </si>
  <si>
    <t>BAC L4B NOIR P0 C46,5 21071019B70</t>
  </si>
  <si>
    <t>400l0506</t>
  </si>
  <si>
    <t>BAC L5B C45 P0 NOIR</t>
  </si>
  <si>
    <t>400L0512</t>
  </si>
  <si>
    <t>BAC L5 NOIR P0 C54,4 RENFORCE  DIN - GEL</t>
  </si>
  <si>
    <t>400L0513</t>
  </si>
  <si>
    <t>BAC L5 C45 P0 NOIR 27231007B77</t>
  </si>
  <si>
    <t>400L0518</t>
  </si>
  <si>
    <t>BAC L5 NOIR P0 C52 20641062B77</t>
  </si>
  <si>
    <t>400L0519</t>
  </si>
  <si>
    <t>BAC L5B NOIR P0 C52</t>
  </si>
  <si>
    <t>BAC M10 P15,4 C33 NOIR 30241013B70</t>
  </si>
  <si>
    <t>400M1104</t>
  </si>
  <si>
    <t>BAC M11 P8.5 C46,3 NOIR 22241008B70</t>
  </si>
  <si>
    <t>400M1202</t>
  </si>
  <si>
    <t>BAC M12 P12.5 C49 NOIR 21631003B70</t>
  </si>
  <si>
    <t>400M1409</t>
  </si>
  <si>
    <t>BAC M14 GRIS PO C60 35321021B74</t>
  </si>
  <si>
    <t>400M1413</t>
  </si>
  <si>
    <t>BAC M14 NOIR PO C60 35321017B70</t>
  </si>
  <si>
    <t>400M1414</t>
  </si>
  <si>
    <t>BAC M14 NOIR PO C60 TYP A BOX 12/140 MONBAT</t>
  </si>
  <si>
    <t>400M1509</t>
  </si>
  <si>
    <t>BAC M15 GRIS PO C78 35331028B74</t>
  </si>
  <si>
    <t>400M1510</t>
  </si>
  <si>
    <t>BAC M15 NOIR PO C78 35331021B70</t>
  </si>
  <si>
    <t>400M1517</t>
  </si>
  <si>
    <t>BAC M15 NOIR C78,5 P0 NERVURES FLEXIBLES 27571001</t>
  </si>
  <si>
    <t>400M1518</t>
  </si>
  <si>
    <t>BAC M15 NOIR TYP B  BAC 12/165(monbat)</t>
  </si>
  <si>
    <t>400M1606</t>
  </si>
  <si>
    <t>BAC M16 GRIS C102 P16 20891032B74</t>
  </si>
  <si>
    <t>400M1608</t>
  </si>
  <si>
    <t>BAC M16 P0 C102 NOIR 20891024P70</t>
  </si>
  <si>
    <t>400M1609</t>
  </si>
  <si>
    <t>BAC M16 NOIR PO C102 B01 AVEC LISTEAUX 20891039B7</t>
  </si>
  <si>
    <t>400M1612</t>
  </si>
  <si>
    <t>BAC M16 NOIR BAC 12/210 TYPE C(monbaT)</t>
  </si>
  <si>
    <t>400N5003</t>
  </si>
  <si>
    <t>BAC N50 P0 C40 NOIR A LISTEAUX MONBAT</t>
  </si>
  <si>
    <t>BAC N70 P0 C46,5 B01 NOIR 200541</t>
  </si>
  <si>
    <t>400NAT002</t>
  </si>
  <si>
    <t>BAC NATO NOIR P11.6 25321006B70</t>
  </si>
  <si>
    <t>400NAT003</t>
  </si>
  <si>
    <t>BAC NATO AGM GRIS P0 27581004B70</t>
  </si>
  <si>
    <t>400NS4002</t>
  </si>
  <si>
    <t>BAC NS40 P0 NOIR SANS LISTEAUX 27181001B70</t>
  </si>
  <si>
    <t>400NS4003</t>
  </si>
  <si>
    <t>BAC NS40 P0 NOIR V250 LISTEAUX KOREAN 2B221014B70</t>
  </si>
  <si>
    <t>400NS6002</t>
  </si>
  <si>
    <t>BAC NS60 P0 C34 NOIR 27251002B74</t>
  </si>
  <si>
    <t>420B9002</t>
  </si>
  <si>
    <t>COUVB90 COMPACT DROITE NOIR 34922028B70</t>
  </si>
  <si>
    <t>420D2303</t>
  </si>
  <si>
    <t>COUV D23 T-AKUMSAN D+ NOIR 301598</t>
  </si>
  <si>
    <t>420D2304</t>
  </si>
  <si>
    <t>COUV D23 T-AKUMSAN D+ NOIR AVEC OM</t>
  </si>
  <si>
    <t>420D2305</t>
  </si>
  <si>
    <t>COUV D23 T-AKUMSAN G+ NOIR AVEC OM</t>
  </si>
  <si>
    <t>420E0201</t>
  </si>
  <si>
    <t>COUV.E2 GAUCHE OPAQUE GRANDE BUSELURE .150</t>
  </si>
  <si>
    <t>420E0202</t>
  </si>
  <si>
    <t>COUV.E2 GAUCHE OPAQUE PETITE BUSELURE .153</t>
  </si>
  <si>
    <t>420E0209</t>
  </si>
  <si>
    <t>COUV.E2 BUS 153 DROITE OPAQUE</t>
  </si>
  <si>
    <t>420E0210</t>
  </si>
  <si>
    <t>COUV E2 DROITE NOIR BUS.153 36862004B70</t>
  </si>
  <si>
    <t>420E0211</t>
  </si>
  <si>
    <t>COUV E2 GAUCHE NOIR BUS.153</t>
  </si>
  <si>
    <t>420L0106</t>
  </si>
  <si>
    <t>COUV L1 KAM  G NOIR 25032100B70</t>
  </si>
  <si>
    <t>420L0109</t>
  </si>
  <si>
    <t>COUV L1 KAM  D GRIS 25032083B70</t>
  </si>
  <si>
    <t>420L0111</t>
  </si>
  <si>
    <t>COUV L1 EK DROITE NOIR 25032084B70</t>
  </si>
  <si>
    <t>420L0113</t>
  </si>
  <si>
    <t>COUV L1 EK D+ ROUGE 25032103B70</t>
  </si>
  <si>
    <t>420L0123</t>
  </si>
  <si>
    <t>COUV COUVERCLE L1 44T10 AKUM</t>
  </si>
  <si>
    <t>420L0131</t>
  </si>
  <si>
    <t>COUV L1 EK D NOIR FAI 25032008D40</t>
  </si>
  <si>
    <t>420L0139</t>
  </si>
  <si>
    <t>COUV L1 EK G NOIR FAI 25032110B70</t>
  </si>
  <si>
    <t>420L0140</t>
  </si>
  <si>
    <t>COUV L1 EK D NOIR RS 24802027B70</t>
  </si>
  <si>
    <t>420L0142</t>
  </si>
  <si>
    <t>COUV L1 T-AKUMSAN D+ NOIR AVEC OM</t>
  </si>
  <si>
    <t>420L0145</t>
  </si>
  <si>
    <t>COUV L1 SMF G+ NOIR AVEC OM</t>
  </si>
  <si>
    <t>420L0147</t>
  </si>
  <si>
    <t>COUV L1 SMF D+ NOIR AVEC OM +37</t>
  </si>
  <si>
    <t>420L0216</t>
  </si>
  <si>
    <t>COUV L2 EK DROITE ROUGE 24582156B70</t>
  </si>
  <si>
    <t>420L0217</t>
  </si>
  <si>
    <t>COUV L2 EK G NOIR 24582123P70</t>
  </si>
  <si>
    <t>420L0228</t>
  </si>
  <si>
    <t>COUV L2 EK DROITE NOIR 24582125P70</t>
  </si>
  <si>
    <t>420L0235</t>
  </si>
  <si>
    <t>COUVERCLE  L2 GAUCHE NOIR P GRIS T-AKUMSAN 301456</t>
  </si>
  <si>
    <t>420L0236</t>
  </si>
  <si>
    <t>COUVERCLE  L2 NOIR P NOIR T-AKUMSAN 301072</t>
  </si>
  <si>
    <t>420L0241</t>
  </si>
  <si>
    <t>COUV L2 EK D GRIS28G KAPPA POIGNEE ROUGE 2C442009</t>
  </si>
  <si>
    <t>420L0243</t>
  </si>
  <si>
    <t>COUV L2 T-AKUMSAN D+ NOIR AVEC OM</t>
  </si>
  <si>
    <t>420L0245</t>
  </si>
  <si>
    <t>COUV L2 SMF NOIR D+ AVEC OM +37</t>
  </si>
  <si>
    <t>420L0307</t>
  </si>
  <si>
    <t>COUV. L3 EURO KAM DROITE NOIR 21152167B70</t>
  </si>
  <si>
    <t>420L0327</t>
  </si>
  <si>
    <t>COUVERCLE L3 NOIR P NOIR T-AKUMSAN 301073</t>
  </si>
  <si>
    <t>420L0338</t>
  </si>
  <si>
    <t>COUV L3 D NOIR MFP 25972028P70</t>
  </si>
  <si>
    <t>420L0340</t>
  </si>
  <si>
    <t>COUV L3 EK D NOIR RS 24822022B70</t>
  </si>
  <si>
    <t>420L0343</t>
  </si>
  <si>
    <t>COUV L3  T-AKUMSAN D+ NOIR AVEC OM</t>
  </si>
  <si>
    <t>420L0345</t>
  </si>
  <si>
    <t>COUV L3 SMF NOIR D+ AVEC  OM +37</t>
  </si>
  <si>
    <t>420L0404</t>
  </si>
  <si>
    <t>COUV L4 EK DROITE NOIR 21092099B70</t>
  </si>
  <si>
    <t>420L0507</t>
  </si>
  <si>
    <t>COUV. L5 EK DROITE NOIR 21162166B70</t>
  </si>
  <si>
    <t>420L0518</t>
  </si>
  <si>
    <t>COUV COUVERCLE L5 88T10 AKUM</t>
  </si>
  <si>
    <t>420L0521</t>
  </si>
  <si>
    <t>COUV L5 KAM D GRIS 21162177B70</t>
  </si>
  <si>
    <t>420L0523</t>
  </si>
  <si>
    <t>COUVERCLE L5 NOIR P NOIR T-AKUMSAN 301074</t>
  </si>
  <si>
    <t>420L0525</t>
  </si>
  <si>
    <t>COUV L5 D+ NOIR GEL</t>
  </si>
  <si>
    <t>420L0542</t>
  </si>
  <si>
    <t>COUV L5 T-AKUMSAN D+ NOIR AVEC OM</t>
  </si>
  <si>
    <t>420L0543</t>
  </si>
  <si>
    <t>COUV L5 SMF D+ NOIR AVEC OM</t>
  </si>
  <si>
    <t>420L0545</t>
  </si>
  <si>
    <t>COUV L5 SMF D+ NOIR AVEC OM +37</t>
  </si>
  <si>
    <t>420L0631</t>
  </si>
  <si>
    <t>COUV L6 EK D NOIR FAI 24132015B70</t>
  </si>
  <si>
    <t>420M1016</t>
  </si>
  <si>
    <t>COUV M10 +D NOIR POIGNEE NOIR AKU 300957</t>
  </si>
  <si>
    <t>420M1017</t>
  </si>
  <si>
    <t>COUV M10 D FLAT NOIR 22462004B70</t>
  </si>
  <si>
    <t>420M1040</t>
  </si>
  <si>
    <t>COUV M10 G NOIR RS 2D032002B70</t>
  </si>
  <si>
    <t>420M1041</t>
  </si>
  <si>
    <t>COUV M10 D NOIR RS 2D032001B70</t>
  </si>
  <si>
    <t>420M1125</t>
  </si>
  <si>
    <t>COUV M11 G FLAT NOIR M18 22482045B70</t>
  </si>
  <si>
    <t>420M1126</t>
  </si>
  <si>
    <t>COUV M11 D FLAT NOIR M18 22482044B70</t>
  </si>
  <si>
    <t>420M1127</t>
  </si>
  <si>
    <t>COUV M11/K FAI D+ NOIR 27712014B70</t>
  </si>
  <si>
    <t>420M1208</t>
  </si>
  <si>
    <t>COUV.M12 GAUCHE NOIR AVEC BOUCHON 21822014B70</t>
  </si>
  <si>
    <t>420M1304</t>
  </si>
  <si>
    <t>COUV M13 GAUCHE NOIR 20112022B70</t>
  </si>
  <si>
    <t>420M1406</t>
  </si>
  <si>
    <t>COUV.M14 DROITE NOIR 35422092P70</t>
  </si>
  <si>
    <t>420M1407</t>
  </si>
  <si>
    <t>COUV.M14 GAUCHE NOIR 35422055P70</t>
  </si>
  <si>
    <t>420M1413</t>
  </si>
  <si>
    <t>COUV M14 GAUCHE GRIS 35422083B70</t>
  </si>
  <si>
    <t>420M1415</t>
  </si>
  <si>
    <t>COUV M14 G DC NOIR 2B492010B70</t>
  </si>
  <si>
    <t>420M1416</t>
  </si>
  <si>
    <t>LID12/140 TYPE A (monbat)</t>
  </si>
  <si>
    <t>420M1502</t>
  </si>
  <si>
    <t>COUV.M15 GAUCHE NOIR 35402026B70</t>
  </si>
  <si>
    <t>420M1504</t>
  </si>
  <si>
    <t>COUV J15 DROITE OPAQUE</t>
  </si>
  <si>
    <t>420M1515</t>
  </si>
  <si>
    <t>COUV M15 GAUCHE GRIS 35402089B70</t>
  </si>
  <si>
    <t>420M1516</t>
  </si>
  <si>
    <t>COUV/K M15 GAUCHE NOIR 21932001P70</t>
  </si>
  <si>
    <t>420M1517</t>
  </si>
  <si>
    <t>COUV M15 G DC NOIR 2B522019B70</t>
  </si>
  <si>
    <t>420M1518</t>
  </si>
  <si>
    <t>COUV 12/165 TYPE B (monbat</t>
  </si>
  <si>
    <t>420M1604</t>
  </si>
  <si>
    <t>COUV. M16 GAUCHE NOIR 36352052D40</t>
  </si>
  <si>
    <t>420M1606</t>
  </si>
  <si>
    <t>COUV. M16 DROITE NOIR 36352045B70</t>
  </si>
  <si>
    <t>420M1611</t>
  </si>
  <si>
    <t>COUV M16 GAUCHE GRIS 36352070B70</t>
  </si>
  <si>
    <t>420M1612</t>
  </si>
  <si>
    <t>COUV/K M16 GAUCHE NOIR 22052001B70</t>
  </si>
  <si>
    <t>420M1613</t>
  </si>
  <si>
    <t>COUV M16 G DC NOIR 2B552022B70</t>
  </si>
  <si>
    <t>420M1616</t>
  </si>
  <si>
    <t>COUVERCLE 12/210 TYP C (monbat)</t>
  </si>
  <si>
    <t>420MAC110</t>
  </si>
  <si>
    <t>COUV 110MAC DROITE NOIR 36951018B70</t>
  </si>
  <si>
    <t>420MAC14301</t>
  </si>
  <si>
    <t>COUV 143MAC/KAMINA G+ OPAQUE BUS13,2 20012036P70</t>
  </si>
  <si>
    <t>420MAT13201</t>
  </si>
  <si>
    <t>COUV. MAT132 DROITE NOIR</t>
  </si>
  <si>
    <t>420N5001</t>
  </si>
  <si>
    <t>COUV N50 D+ TERMINAL:13 TYPE:D BUTTERFLY NOIR</t>
  </si>
  <si>
    <t>420N5002</t>
  </si>
  <si>
    <t>COUV N50 G+ TERMINAL:13 TYPE:D BUTTERFLY NOIR</t>
  </si>
  <si>
    <t>420N5003</t>
  </si>
  <si>
    <t>COUV N50 T-AKUMSAN D+ NOIR 302712</t>
  </si>
  <si>
    <t>420N5005</t>
  </si>
  <si>
    <t>COUV N50 T-AKUMSAN D+ NOIR AVEC OM</t>
  </si>
  <si>
    <t>420N5006</t>
  </si>
  <si>
    <t>COUV N50 T-AKUMSAN G+ NOIR AVEC OM</t>
  </si>
  <si>
    <t>420N7005</t>
  </si>
  <si>
    <t>COUV N70 T-AKUMSAN D+ NOIR AVEC OM</t>
  </si>
  <si>
    <t>420N7006</t>
  </si>
  <si>
    <t>COUV N70 T-AKUMSAN  G+ NOIR AVEC OM</t>
  </si>
  <si>
    <t>420NAT001</t>
  </si>
  <si>
    <t>COUV. NATO OPAQUE B032 GRANDE BUSSELURE 32052001D</t>
  </si>
  <si>
    <t>420NAT002</t>
  </si>
  <si>
    <t>COUV. NATO NOIR B032 GRANDE BUSSELURE</t>
  </si>
  <si>
    <t>420NAT003</t>
  </si>
  <si>
    <t>COUV. NATO OPAQUE B031 PETITE BUSELURE 32052010B7</t>
  </si>
  <si>
    <t>420NAT004</t>
  </si>
  <si>
    <t>COUV. NATO NOIR B031 PETITE BUSELURE 32052014B70</t>
  </si>
  <si>
    <t>420NAT005</t>
  </si>
  <si>
    <t>COUV NATO AGM GRIS PETITE BUSELURE 36832006B70</t>
  </si>
  <si>
    <t>420NS4002</t>
  </si>
  <si>
    <t>COUV NS40 D MFP NOIR PETITE BUSELURE 27342006B70</t>
  </si>
  <si>
    <t>420NS4003</t>
  </si>
  <si>
    <t>COUV NS40 G MFP NOIR PETITE BUSELURE  27342011B70</t>
  </si>
  <si>
    <t>420NS4005</t>
  </si>
  <si>
    <t>COUV NS40 D MFP NOIR GRANDE BUSELURE 27342001B70</t>
  </si>
  <si>
    <t>420NS4006</t>
  </si>
  <si>
    <t>COUV NS40 G MFP NOIR GRANDE BUSELURE 27342012B70</t>
  </si>
  <si>
    <t>420NS4007</t>
  </si>
  <si>
    <t>COUV NS40 D+ AVEC OM</t>
  </si>
  <si>
    <t>420NS4008</t>
  </si>
  <si>
    <t>COUV NS40 G+ AVEC OM</t>
  </si>
  <si>
    <t>420NS6040</t>
  </si>
  <si>
    <t>COUV NS60 D RS NOIR PETITE BUSLURE 27312007B70</t>
  </si>
  <si>
    <t>420NS6041</t>
  </si>
  <si>
    <t>COUV NS60 D RS NOIR GRAND BUSLURE 27312005B70</t>
  </si>
  <si>
    <t>420NS6042</t>
  </si>
  <si>
    <t>COUV NS60 D+  AVEC OM NOIR PETITE BORNE</t>
  </si>
  <si>
    <t>420NS6043</t>
  </si>
  <si>
    <t>COUV NS60 G+  AVEC OM NOIR PETITE BORNE</t>
  </si>
  <si>
    <t>420NS6044</t>
  </si>
  <si>
    <t>COUV NS60 R+ AVEC OM akumsan GRAND BORNE</t>
  </si>
  <si>
    <t>430P0001</t>
  </si>
  <si>
    <t>SEPARATEUR 123X1.0X0.25</t>
  </si>
  <si>
    <t>430P1001</t>
  </si>
  <si>
    <t>SEPARATEUR LV 160X1.3X0.2</t>
  </si>
  <si>
    <t>430P1002</t>
  </si>
  <si>
    <t>SEPARATEUR 162X1.0X0.175 FRQI-175A206</t>
  </si>
  <si>
    <t>430P1004</t>
  </si>
  <si>
    <t>SEPARATEUR 162X1.2X0.175 FRQJ-175A225</t>
  </si>
  <si>
    <t>430P1022</t>
  </si>
  <si>
    <t>SEPARATEUR 162X1.0X0.2 SEPARATOR CELL FORCE ULR</t>
  </si>
  <si>
    <t>430T19125</t>
  </si>
  <si>
    <t>GAINE TUBULAIRE 6.2-19-125 AKB</t>
  </si>
  <si>
    <t>GAINE TUBULAIRE6.2 21 184 AKB</t>
  </si>
  <si>
    <t>430T21258</t>
  </si>
  <si>
    <t>GAINE TUBULAIRE 6.2 19 258</t>
  </si>
  <si>
    <t>440B9002</t>
  </si>
  <si>
    <t>RAMPE B90 COMPACT NOIR 2A233002B70</t>
  </si>
  <si>
    <t>440M1001</t>
  </si>
  <si>
    <t>RAMPE E2/M10 NOIR</t>
  </si>
  <si>
    <t>440M1101</t>
  </si>
  <si>
    <t>RAMPE M11 NOIR</t>
  </si>
  <si>
    <t>450C0002</t>
  </si>
  <si>
    <t>POIGNEE CORDE/ SUPPORT NOIR</t>
  </si>
  <si>
    <t>450C0007</t>
  </si>
  <si>
    <t>INSERT FIXATION POIGNEE COMPACT B90 NOIR</t>
  </si>
  <si>
    <t>450L0101</t>
  </si>
  <si>
    <t>POIGNEE COUV L2 FAI NOIR</t>
  </si>
  <si>
    <t>460D1801</t>
  </si>
  <si>
    <t>BOUCHON D18 NOIR PRESS</t>
  </si>
  <si>
    <t>460d1810</t>
  </si>
  <si>
    <t>BOUCHON KAMINA D18 ROUGE 24593044B72</t>
  </si>
  <si>
    <t>460D1811</t>
  </si>
  <si>
    <t>BOUCHON KAM D18 JAUNE 24593042d40</t>
  </si>
  <si>
    <t>460D1812</t>
  </si>
  <si>
    <t>BOUCHON KAM D18 GRIS</t>
  </si>
  <si>
    <t>460d1815</t>
  </si>
  <si>
    <t>BOUCHON D18 NOIR FILETAGE 29963006D40</t>
  </si>
  <si>
    <t>460d1816</t>
  </si>
  <si>
    <t>BOUCHON KAMINA D18 OPAQUE AKU</t>
  </si>
  <si>
    <t>460d1817</t>
  </si>
  <si>
    <t>OIL MAGIQUE 40 MM AKUMSA</t>
  </si>
  <si>
    <t>460D1818</t>
  </si>
  <si>
    <t>BOUCHON D18 ROUGE FILETEE 29963003D40</t>
  </si>
  <si>
    <t>460D1819</t>
  </si>
  <si>
    <t>BOUCHON D18 JAUNE FILETEE 29963002D40</t>
  </si>
  <si>
    <t>460D1822</t>
  </si>
  <si>
    <t>BOUCHON D18 BLEU FILETAGE POUR GAMME M</t>
  </si>
  <si>
    <t>460D1824</t>
  </si>
  <si>
    <t>BOUCHON 7/8 NOIR NATO</t>
  </si>
  <si>
    <t>460D1825</t>
  </si>
  <si>
    <t>BOUCHON M18 NOIR NON DEV 28463007P70</t>
  </si>
  <si>
    <t>460D1828</t>
  </si>
  <si>
    <t>OEIL MAGIQUE S2-A2  D=22,9mm M=20,77mm L=68m</t>
  </si>
  <si>
    <t>460D1830</t>
  </si>
  <si>
    <t>BOUCHON D18 ROUGE PRESS</t>
  </si>
  <si>
    <t>460D1836</t>
  </si>
  <si>
    <t>BOUCHON KAMINA D18 NOIR AVEC JOINT</t>
  </si>
  <si>
    <t>460D1838</t>
  </si>
  <si>
    <t>OEIL M. S2-A2  D=22,9mm M=20,77mm L=57,7mm</t>
  </si>
  <si>
    <t>460D1839</t>
  </si>
  <si>
    <t>BOUCHON M18 RS\21 NOIR 28533013B72 NON DEVISSABLE</t>
  </si>
  <si>
    <t>460D1840</t>
  </si>
  <si>
    <t>BOUCHON M18 GRIS28G NON DEV 2B353005B72</t>
  </si>
  <si>
    <t>460D1842</t>
  </si>
  <si>
    <t>BOUCHON NATO AGM 27883006D40</t>
  </si>
  <si>
    <t>460D1843</t>
  </si>
  <si>
    <t>Magic eye 19.16 / 72.3 MM (P) L1-L5 HH</t>
  </si>
  <si>
    <t>460D1844</t>
  </si>
  <si>
    <t>Magic eye 19.16 / 65.3 MM (W) SMF L1-L5</t>
  </si>
  <si>
    <t>460D1845</t>
  </si>
  <si>
    <t>Magic eye  19.16 / 60 MM (X &amp; W) B1-B5 SMF &amp; JIS</t>
  </si>
  <si>
    <t>460D1846</t>
  </si>
  <si>
    <t>BOUCHON D18 NOIR  KAMINA SS JOINT HEAD +</t>
  </si>
  <si>
    <t>460D2101</t>
  </si>
  <si>
    <t>BOUCHON PRESSION D21 NOIR MFP</t>
  </si>
  <si>
    <t>460D2205</t>
  </si>
  <si>
    <t>BOUCHON M22 D NOIR POUR N50 ET N70</t>
  </si>
  <si>
    <t>460D2702</t>
  </si>
  <si>
    <t>BOUCHON D27 NOIR</t>
  </si>
  <si>
    <t>460D2709</t>
  </si>
  <si>
    <t>BOUCHON D27 ROUGE 39153003B70</t>
  </si>
  <si>
    <t>460D2710</t>
  </si>
  <si>
    <t>BOUCHON D27 JAUNE</t>
  </si>
  <si>
    <t>460D2711</t>
  </si>
  <si>
    <t>BOUCHON D27 BLEU</t>
  </si>
  <si>
    <t>490A0002</t>
  </si>
  <si>
    <t>ADAPTATEUR JIS/DIN + POUR NS40 0013200</t>
  </si>
  <si>
    <t>490A0003</t>
  </si>
  <si>
    <t>ADAPTATEUR JIS/DIN - POUR NS40 0013201</t>
  </si>
  <si>
    <t>490B0006</t>
  </si>
  <si>
    <t>COUVRE BORNE D+ NOIR COUV DR - 32163005D40</t>
  </si>
  <si>
    <t>490B0007</t>
  </si>
  <si>
    <t>COUVRE BORNE G- NOIR COUV DR - 2B233004D40</t>
  </si>
  <si>
    <t>490B0008</t>
  </si>
  <si>
    <t>COUVRE BORNE G+ NOIR COUVERCLE GAUCHE</t>
  </si>
  <si>
    <t>490B0009</t>
  </si>
  <si>
    <t>COUVRE BORNE D- NOIR COUVRECLE GAUCHE</t>
  </si>
  <si>
    <t>490b0011</t>
  </si>
  <si>
    <t>CACHE BORNE POS. ROUGE POULIE</t>
  </si>
  <si>
    <t>490B0012</t>
  </si>
  <si>
    <t>CACHE BORNE NEG.BLANC POULIE</t>
  </si>
  <si>
    <t>490B0013</t>
  </si>
  <si>
    <t>CACHE BORNE ROUGE " + " B. 153 POULIE</t>
  </si>
  <si>
    <t>490B0014</t>
  </si>
  <si>
    <t>CACHE BORNE BLANCHE " -" B.  153 POULIE</t>
  </si>
  <si>
    <t>490b0016</t>
  </si>
  <si>
    <t>CACHE BORNE NEG. BLEU POULIE</t>
  </si>
  <si>
    <t>490B0017</t>
  </si>
  <si>
    <t>CACHE BORNE NEG. NOIR POULIE</t>
  </si>
  <si>
    <t>490B0019</t>
  </si>
  <si>
    <t>COUVRE BORNE R+ VERT SMF LIDS</t>
  </si>
  <si>
    <t>490B0020</t>
  </si>
  <si>
    <t>COUVRE BORNE L- VERT SMF LIDS</t>
  </si>
  <si>
    <t>490B0021</t>
  </si>
  <si>
    <t>COUVRE BORNE R+ BLEU SMF LIDS</t>
  </si>
  <si>
    <t>490B0022</t>
  </si>
  <si>
    <t>COUVRE BORNE L- BLEU SMF LIDS</t>
  </si>
  <si>
    <t>490B0023</t>
  </si>
  <si>
    <t>COUVRE BORNE L+ BLEU SMF LIDS</t>
  </si>
  <si>
    <t>490B0024</t>
  </si>
  <si>
    <t>COUVRE BORNE R- BLEU SMF LIDS</t>
  </si>
  <si>
    <t>490b0025</t>
  </si>
  <si>
    <t>COUVRE BORNE R+ ROUGE SMF LIDS</t>
  </si>
  <si>
    <t>490b0026</t>
  </si>
  <si>
    <t>COUVRE BORNE L- NOIR SMF LIDS</t>
  </si>
  <si>
    <t>490B0027</t>
  </si>
  <si>
    <t>COUVRE BORNE R+ NOIR SMF LIDS</t>
  </si>
  <si>
    <t>490c0001</t>
  </si>
  <si>
    <t>CALE PLASTIC EP/4MM</t>
  </si>
  <si>
    <t>490C0002</t>
  </si>
  <si>
    <t>CALE PLASTIC EP/6MM</t>
  </si>
  <si>
    <t>490C0003</t>
  </si>
  <si>
    <t>CALE PLASTIC EP/8,5MM</t>
  </si>
  <si>
    <t>490C0010</t>
  </si>
  <si>
    <t>BAGUE caoutchouc D22X15X10mm</t>
  </si>
  <si>
    <t>490C0013</t>
  </si>
  <si>
    <t>BAGUE D 17mm 10,5x10mm</t>
  </si>
  <si>
    <t>490C0015</t>
  </si>
  <si>
    <t>CALE PAPILLON DIN NOIR POUR L1-L5 BAC</t>
  </si>
  <si>
    <t>490C0016</t>
  </si>
  <si>
    <t>CALE PAPILLON JIS NOIR GAMME  ASIATIQUE</t>
  </si>
  <si>
    <t>490C0017</t>
  </si>
  <si>
    <t>INSERT 8 MM(monbat)</t>
  </si>
  <si>
    <t>490C0018</t>
  </si>
  <si>
    <t>INSERT 16 MM(monbat)</t>
  </si>
  <si>
    <t>490C0019</t>
  </si>
  <si>
    <t>INSERT 20 MM(monbat)</t>
  </si>
  <si>
    <t>490C0020</t>
  </si>
  <si>
    <t>INSERT 24 MM(monbat)</t>
  </si>
  <si>
    <t>490C0021</t>
  </si>
  <si>
    <t>INSERT 28 MM(monbat)</t>
  </si>
  <si>
    <t>490C0022</t>
  </si>
  <si>
    <t>INSERT 12 MM(monbat)</t>
  </si>
  <si>
    <t>490C0023</t>
  </si>
  <si>
    <t>INSERT 32 MM(monbat)</t>
  </si>
  <si>
    <t>490D0001</t>
  </si>
  <si>
    <t>DISPOSITIF ANTIDEFLAG. K</t>
  </si>
  <si>
    <t>490D0002</t>
  </si>
  <si>
    <t>BOUCHON ANGULAIRE KAM</t>
  </si>
  <si>
    <t>490D0003</t>
  </si>
  <si>
    <t>GOMITO COP. KAM</t>
  </si>
  <si>
    <t>490R0001</t>
  </si>
  <si>
    <t>RONDELLE NEG. BLANCHE</t>
  </si>
  <si>
    <t>490r0002</t>
  </si>
  <si>
    <t>RONDELLE POSITIVE ROUGE</t>
  </si>
  <si>
    <t>490R0004</t>
  </si>
  <si>
    <t>RONDELLE NEG. BLEU</t>
  </si>
  <si>
    <t>490R0005</t>
  </si>
  <si>
    <t>RONDELLE BLANCHE " - " B.153</t>
  </si>
  <si>
    <t>490R0006</t>
  </si>
  <si>
    <t>RONDELLE ROUGE " + " B.153</t>
  </si>
  <si>
    <t>490T2301</t>
  </si>
  <si>
    <t>COUVRE COUVERCLE D23 T-AKUMSAN NOIR</t>
  </si>
  <si>
    <t>490T5001</t>
  </si>
  <si>
    <t>COUVRE COUVERCLE N50 T-AKUMSAN NOIR</t>
  </si>
  <si>
    <t>490T7001</t>
  </si>
  <si>
    <t>COUVRE COUVERCLE N70 T-AKUMSAN NOIR</t>
  </si>
  <si>
    <t>490TL0101</t>
  </si>
  <si>
    <t>COUVRE COUVERCLE L1SMF NOIR</t>
  </si>
  <si>
    <t>490TL0102</t>
  </si>
  <si>
    <t>COUVRE COUVERCLE L1T-AKUMSAN NOIR</t>
  </si>
  <si>
    <t>490TL0201</t>
  </si>
  <si>
    <t>COUVRE COUVERCLE L2SMF NOIR</t>
  </si>
  <si>
    <t>490TL0202</t>
  </si>
  <si>
    <t>COUVRE COUVERCLE L2T-AKUMSAN NOIR</t>
  </si>
  <si>
    <t>490TL0301</t>
  </si>
  <si>
    <t>COUVRE COUVERCLE L3 SMF NOIR</t>
  </si>
  <si>
    <t>490TL0302</t>
  </si>
  <si>
    <t>COUVRE COUVERCLE L3 T-AKUMSAN NOIR</t>
  </si>
  <si>
    <t>490TL0501</t>
  </si>
  <si>
    <t>COUVRE COUVERCLE L5 SMF NOIR</t>
  </si>
  <si>
    <t>490TL0502</t>
  </si>
  <si>
    <t>COUVRE COUVERCLE L5 T-AKUMSAN NOIR</t>
  </si>
  <si>
    <t>490TNS4001</t>
  </si>
  <si>
    <t>COUVRE COUVERCLE NS40 T-AKUMSAN NOIR</t>
  </si>
  <si>
    <t>490TNS6001</t>
  </si>
  <si>
    <t>COUVRE COUVERCLENS60 T-AKUMSAN NOIR</t>
  </si>
  <si>
    <t>REGLE DE FERMETURE 19 tubes 6.2 akb</t>
  </si>
  <si>
    <t>REGLE DE FERMETURE 21 Tubes akb</t>
  </si>
  <si>
    <t>500E0209</t>
  </si>
  <si>
    <t>ETIQ BAC SMART  S1 170/95</t>
  </si>
  <si>
    <t>500E0212</t>
  </si>
  <si>
    <t>ETIQ BAC SMART S5 315/95</t>
  </si>
  <si>
    <t>500E0214</t>
  </si>
  <si>
    <t>ETIQ BAC NOUR JUMBO M15 135AH 135/310</t>
  </si>
  <si>
    <t>500E0232</t>
  </si>
  <si>
    <t>ETIQ BAC NOUR POWER PL2B 55AH 83/205</t>
  </si>
  <si>
    <t>500E0233</t>
  </si>
  <si>
    <t>ETIQ BAC NOUR POWER PL3B 66AH 83/235</t>
  </si>
  <si>
    <t>500E0234</t>
  </si>
  <si>
    <t>ETIQ BAC SMART S6 315/95</t>
  </si>
  <si>
    <t>500E0243</t>
  </si>
  <si>
    <t>ETIQ BAC S2 EFB 62AH 560A 200/90</t>
  </si>
  <si>
    <t>500E0245</t>
  </si>
  <si>
    <t>ETIQ BAC S5 EFB 100AH 860A 280/90</t>
  </si>
  <si>
    <t>500E0246</t>
  </si>
  <si>
    <t>ETIQ BAC JUMBO NEAUVEAU DESIGN M14 125AH 310/130</t>
  </si>
  <si>
    <t>500e0247</t>
  </si>
  <si>
    <t>ETIQ BAC JUMBO M15 310/130 NOUVEAU DESIGN 140AH/9</t>
  </si>
  <si>
    <t>500E0248</t>
  </si>
  <si>
    <t>ETIQ BAC JUMBO M15S 170AH 310/130 NOUVEAU DESIGN</t>
  </si>
  <si>
    <t>500E0249</t>
  </si>
  <si>
    <t>ETIQ BAC JUMBO M16 180AH 310 /130 NOUVEAU DESIGN</t>
  </si>
  <si>
    <t>500E0251</t>
  </si>
  <si>
    <t>ETIQ BAC POWER PL1 44AH/380A 90/160  ND</t>
  </si>
  <si>
    <t>500E0252</t>
  </si>
  <si>
    <t>ETIQ BAC POWER PL2 55 AH/460A 92/205 ND 190/90</t>
  </si>
  <si>
    <t>500E0253</t>
  </si>
  <si>
    <t>ETIQ BAC POWER PL3 66AH/550A 90/230 ND</t>
  </si>
  <si>
    <t>500E0254</t>
  </si>
  <si>
    <t>ETIQ BAC POWER PL5 88AH/700A 300/90</t>
  </si>
  <si>
    <t>500E0255</t>
  </si>
  <si>
    <t>ETIQ BAC POWER PL6MF 110AH/920A 300/90</t>
  </si>
  <si>
    <t>500E0256</t>
  </si>
  <si>
    <t>ETIQ BAC POWER PM10 220/110</t>
  </si>
  <si>
    <t>500E0257</t>
  </si>
  <si>
    <t>ETIQ BAC POWER PM11 250/110</t>
  </si>
  <si>
    <t>500E0258</t>
  </si>
  <si>
    <t>ETIQ BAC POWER PM12 290/110</t>
  </si>
  <si>
    <t>500E0259</t>
  </si>
  <si>
    <t>ETIQ BAC POWER PM10S 220/110</t>
  </si>
  <si>
    <t>500E0260</t>
  </si>
  <si>
    <t>ETIQ BAC POWER PM11S 250/110</t>
  </si>
  <si>
    <t>500E0261</t>
  </si>
  <si>
    <t>ETIQ BAC POWER PM12S 290/110</t>
  </si>
  <si>
    <t>500E0262</t>
  </si>
  <si>
    <t>ETIQ BAC SMARTS1 160/90 ND</t>
  </si>
  <si>
    <t>500E0263</t>
  </si>
  <si>
    <t>ETIQ BAC SMARTS2 190/90 ND</t>
  </si>
  <si>
    <t>500E0264</t>
  </si>
  <si>
    <t>ETIQ BAC SMARTS3 230/90 ND</t>
  </si>
  <si>
    <t>500E0265</t>
  </si>
  <si>
    <t>ETIQ BAC SMARTS5 300/90 ND</t>
  </si>
  <si>
    <t>500E0267</t>
  </si>
  <si>
    <t>ETIQ BAC PRL1B SMF 160/80</t>
  </si>
  <si>
    <t>500E0268</t>
  </si>
  <si>
    <t>ETIQ BAC PRL2 SMF 190/90</t>
  </si>
  <si>
    <t>500E0269</t>
  </si>
  <si>
    <t>ETIQ BAC PRL2B SMF 190/80</t>
  </si>
  <si>
    <t>500E0270</t>
  </si>
  <si>
    <t>ETIQ BAC PRL3 SMF 230/90</t>
  </si>
  <si>
    <t>500E0271</t>
  </si>
  <si>
    <t>ETIQ BAC PRL3B SMF 230/80</t>
  </si>
  <si>
    <t>500E0272</t>
  </si>
  <si>
    <t>ETIQ BAC  NS40 SMF 160/100</t>
  </si>
  <si>
    <t>500E0273</t>
  </si>
  <si>
    <t>ETIQ BAC  D23 PREMIUM ND 190/100</t>
  </si>
  <si>
    <t>500E0274</t>
  </si>
  <si>
    <t>ETIQ BAC  D26 PREMIUM ND 220/100</t>
  </si>
  <si>
    <t>500E0275</t>
  </si>
  <si>
    <t>ETIQ BAC  D31 PREMIUM ND 250/100</t>
  </si>
  <si>
    <t>500E0276</t>
  </si>
  <si>
    <t>ETIQ BAC NS60 PREMIUM ND 190/100</t>
  </si>
  <si>
    <t>500E0277</t>
  </si>
  <si>
    <t>ETIQ BAC  PM110 200/130</t>
  </si>
  <si>
    <t>500E0278</t>
  </si>
  <si>
    <t>ETIQ BAC MAR16 310/130</t>
  </si>
  <si>
    <t>500E0285</t>
  </si>
  <si>
    <t>ETIQ B M14 SMF</t>
  </si>
  <si>
    <t>500E0287</t>
  </si>
  <si>
    <t>ETIQ BAC M16 SMF</t>
  </si>
  <si>
    <t>500X0278</t>
  </si>
  <si>
    <t>ETIQ BAC M10 POWER LYBIE NOUV DESIGN 230/95</t>
  </si>
  <si>
    <t>500X0291</t>
  </si>
  <si>
    <t>ETIQ BAC M10 STARTER LYBIE  230/95</t>
  </si>
  <si>
    <t>500X0302</t>
  </si>
  <si>
    <t>ETIQ BAC POWER DIVERS PF 180/90</t>
  </si>
  <si>
    <t>500X0303</t>
  </si>
  <si>
    <t>ETIQ BAC POWER DIVERS MF 230/95</t>
  </si>
  <si>
    <t>500X0304</t>
  </si>
  <si>
    <t>ETIQ BAC POWER DIVERS GF 310/135</t>
  </si>
  <si>
    <t>500X0311</t>
  </si>
  <si>
    <t>ETIQ BAC JUMBO MF 230/95</t>
  </si>
  <si>
    <t>500X0313</t>
  </si>
  <si>
    <t>ETIQ BAC STARTER PF  DESIGN2014 180/90</t>
  </si>
  <si>
    <t>500X0314</t>
  </si>
  <si>
    <t>ETIQ BAC STARTER MF  DESIGN2014 230/95</t>
  </si>
  <si>
    <t>500X0315</t>
  </si>
  <si>
    <t>ETIQ BAC STARTER GF  DESIGN2014 310/95</t>
  </si>
  <si>
    <t>500x0326</t>
  </si>
  <si>
    <t>ETIQ BAC POWER LYBIE D26 220/95</t>
  </si>
  <si>
    <t>500X0327</t>
  </si>
  <si>
    <t>ETIQ BAC POWER LYBIE D31 250/100</t>
  </si>
  <si>
    <t>500X0328</t>
  </si>
  <si>
    <t>ETIQ BAC STARTER LYBIE D26 220/95</t>
  </si>
  <si>
    <t>500X0329</t>
  </si>
  <si>
    <t>ETIQ BAC STARTER LYBIE D31 250/100</t>
  </si>
  <si>
    <t>500X0334</t>
  </si>
  <si>
    <t>Etiq Bac L1B/L2B BATCAR 170*83</t>
  </si>
  <si>
    <t>500X0335</t>
  </si>
  <si>
    <t>Etiq Bac L3B/L5 BATCAR 235*83</t>
  </si>
  <si>
    <t>500X0336</t>
  </si>
  <si>
    <t>Etiq déclaration BATCAR 60*40</t>
  </si>
  <si>
    <t>500X0337</t>
  </si>
  <si>
    <t>ETIQ BA L1,L2,NS40,NS60 ELECTRON 170/82</t>
  </si>
  <si>
    <t>500X0338</t>
  </si>
  <si>
    <t>ETIQ BAC L3-L5,D26,D31 ELCTRON 227/82</t>
  </si>
  <si>
    <t>500X0339</t>
  </si>
  <si>
    <t>ETIQ BA L1,L2,NS40,NS60 171X82 BIN SHIHON</t>
  </si>
  <si>
    <t>500X0340</t>
  </si>
  <si>
    <t>ETIQ BAC L3-L5,D26,D31 227X82 BIN SHIHON</t>
  </si>
  <si>
    <t>500X0342</t>
  </si>
  <si>
    <t>ETIQUETTE T12 BAC  60AH 225/80 L2B</t>
  </si>
  <si>
    <t>500X0343</t>
  </si>
  <si>
    <t>ETIQUETTE T15 BAC  62AH 190/90 L2</t>
  </si>
  <si>
    <t>500X0344</t>
  </si>
  <si>
    <t>ETIQUETTE T16 BAC  72AH L3B</t>
  </si>
  <si>
    <t>500X0345</t>
  </si>
  <si>
    <t>ETIQUETTE T17 BAC  72AH L3</t>
  </si>
  <si>
    <t>500X0346</t>
  </si>
  <si>
    <t>ETIQUETTE T22 BAC  100AH L5</t>
  </si>
  <si>
    <t>510J1404</t>
  </si>
  <si>
    <t>ETIQ COUV JUMBO M14 125 AH 850 A 40/210 NOUV DESI</t>
  </si>
  <si>
    <t>510J1405</t>
  </si>
  <si>
    <t>ETIQ COUV NOUR M14SMF 140AH-860(EN)</t>
  </si>
  <si>
    <t>510J1506</t>
  </si>
  <si>
    <t>ETIQ COUV JUMBO  M15 40/210 NOUV DESIGN 140AH/920</t>
  </si>
  <si>
    <t>510J1606</t>
  </si>
  <si>
    <t>ETIQ COUV NOUR M16SMF 230AH-1250A(EN)</t>
  </si>
  <si>
    <t>510MAR1603</t>
  </si>
  <si>
    <t>ETIQ COUV MARINE MAR16 ND 200AH 40/210</t>
  </si>
  <si>
    <t>510PL0111</t>
  </si>
  <si>
    <t>ETIQ COUV NOUR POWE PL1B 44AH 30/110 NOUV DESIGN</t>
  </si>
  <si>
    <t>510PL0112</t>
  </si>
  <si>
    <t>ETIQ COUV POWER PL1 44AH 30/110 LEFT</t>
  </si>
  <si>
    <t>510PL0213</t>
  </si>
  <si>
    <t>ETIQ COUV POWER PL2 55AH460A 30/110</t>
  </si>
  <si>
    <t>510PL0312</t>
  </si>
  <si>
    <t>ETIQ COUV NOUR POWER PL3B 66AH 30/110 NOUV DE</t>
  </si>
  <si>
    <t>510PL0314</t>
  </si>
  <si>
    <t>ETIQ COUV POWER PL3 66AH 550A 30/110 LEFT</t>
  </si>
  <si>
    <t>510PL0507</t>
  </si>
  <si>
    <t>ETIQ COUV POWER PL5 88AH 700A 30/110 LEFT</t>
  </si>
  <si>
    <t>510PL0601</t>
  </si>
  <si>
    <t>ETIQ COUV POWER PL6MF 110AH 920A 170/50 LEFT</t>
  </si>
  <si>
    <t>510PL0602</t>
  </si>
  <si>
    <t>ETIQ COUV POWER PL6MF 170/50 RIGHT</t>
  </si>
  <si>
    <t>510PM1006</t>
  </si>
  <si>
    <t>ETIQ COUV POWER PM10 62AH 40/210 NOUV DESIGN</t>
  </si>
  <si>
    <t>510PM1007</t>
  </si>
  <si>
    <t>ETIQ COUV POWER PM10S 70AH 40/210 NOUV DESIGN</t>
  </si>
  <si>
    <t>510PM11001</t>
  </si>
  <si>
    <t>ETIQ COUV NPOWER PM110  130/40 LEFT 110AH</t>
  </si>
  <si>
    <t>510PM11002</t>
  </si>
  <si>
    <t>ETIQ COUV NPOWER PM110  130/40 RIGHT</t>
  </si>
  <si>
    <t>510PM1106</t>
  </si>
  <si>
    <t>ETIQ COUV POWER PM11 90AH 40/210 NOUV DE</t>
  </si>
  <si>
    <t>510PM1107</t>
  </si>
  <si>
    <t>ETIQ COUV POWER PM11S 100AH 40/210 NOUV DE</t>
  </si>
  <si>
    <t>510PM1207</t>
  </si>
  <si>
    <t>ETIQ COUV NPOWER PM12 95AH 40/210 NOUV DE</t>
  </si>
  <si>
    <t>510PRD23</t>
  </si>
  <si>
    <t>ETIQ COUV PR D23 40Ah 330A 210*50</t>
  </si>
  <si>
    <t>510PRD2301</t>
  </si>
  <si>
    <t>ETIQ COUV PR D23 40Ah 470A 210*50 ND</t>
  </si>
  <si>
    <t>510PRD2601</t>
  </si>
  <si>
    <t>ETIQ COUV PR D26 70Ah 600A 235*50 ND</t>
  </si>
  <si>
    <t>510PRL1B1</t>
  </si>
  <si>
    <t>ETIQ COUV PRL1B 190/50</t>
  </si>
  <si>
    <t>510PRL1H1</t>
  </si>
  <si>
    <t>ETIQ COUV PRL1 SMF 190/50</t>
  </si>
  <si>
    <t>510PRL2B1</t>
  </si>
  <si>
    <t>ETIQ COUV PRL2B SMF 225/50</t>
  </si>
  <si>
    <t>510PRL2H1</t>
  </si>
  <si>
    <t>ETIQ COUV PRL2 SMF 225/50</t>
  </si>
  <si>
    <t>510PRL3B1</t>
  </si>
  <si>
    <t>ETIQ COUV PRL3B SMF 260/50</t>
  </si>
  <si>
    <t>510PRL3H1</t>
  </si>
  <si>
    <t>ETIQ COUV PRL3 SMF 260/50</t>
  </si>
  <si>
    <t>510PRNS601</t>
  </si>
  <si>
    <t>ETIQ COUV PR NS60 45AH 410A 185/50</t>
  </si>
  <si>
    <t>510SEFB03</t>
  </si>
  <si>
    <t>ETIQ COUV 1 S3EFB 74AH 720A 125/69</t>
  </si>
  <si>
    <t>510SEFB05</t>
  </si>
  <si>
    <t>ETIQ COUV 1 S5EFB 100AH 860A 160/70</t>
  </si>
  <si>
    <t>510SML012</t>
  </si>
  <si>
    <t>ETIQ COUV S1 190/50</t>
  </si>
  <si>
    <t>510SML021</t>
  </si>
  <si>
    <t>ETIQ COUV S2 138/50 FAI</t>
  </si>
  <si>
    <t>510SML022</t>
  </si>
  <si>
    <t>ETIQ COUV S2 225/50</t>
  </si>
  <si>
    <t>510SML032</t>
  </si>
  <si>
    <t>ETIQ COUV S3 260/50</t>
  </si>
  <si>
    <t>510SML052</t>
  </si>
  <si>
    <t>ETIQ COUV S5 335/50</t>
  </si>
  <si>
    <t>510SML06</t>
  </si>
  <si>
    <t>ETIQ COUV S6 170/50</t>
  </si>
  <si>
    <t>510TCE05</t>
  </si>
  <si>
    <t>ETIQ COUV 2 S5EFB 160/70</t>
  </si>
  <si>
    <t>510TCS031</t>
  </si>
  <si>
    <t>ETIQ COUV MIXTE CATEGORI S3 115/50 FAI</t>
  </si>
  <si>
    <t>510TCS06</t>
  </si>
  <si>
    <t>ETIQ COUV MIXTE CATEGORI SMART S6 170/50</t>
  </si>
  <si>
    <t>520C0001</t>
  </si>
  <si>
    <t>COUSSINS 90 X 180</t>
  </si>
  <si>
    <t>520X0002</t>
  </si>
  <si>
    <t>ETIQUETTE NORME TUNISIENNE 50/35</t>
  </si>
  <si>
    <t>520X0018</t>
  </si>
  <si>
    <t>FICHE SUIVEUSE BAT NF</t>
  </si>
  <si>
    <t>520X0025</t>
  </si>
  <si>
    <t>ETIQ AUTOCOLLANTE IDENTIFICATION PALETTE</t>
  </si>
  <si>
    <t>520X0026</t>
  </si>
  <si>
    <t>ETIQ PORTANT LA LETTRE G (gauche)</t>
  </si>
  <si>
    <t>520X0027</t>
  </si>
  <si>
    <t>ETIQ PORTANT LA LETTRE D (droite) 10/10</t>
  </si>
  <si>
    <t>FICHE SUIVEUSE PLAQUE (VERT)</t>
  </si>
  <si>
    <t>520X0038</t>
  </si>
  <si>
    <t>FICHE SUIVEUSE ENVELOPPEUSE</t>
  </si>
  <si>
    <t>520X0039</t>
  </si>
  <si>
    <t>ETIQ INSTALL DANGER PR POWER CATEGORIEA 30x55</t>
  </si>
  <si>
    <t>520X0040</t>
  </si>
  <si>
    <t>ETIQ RECYCLAGE PLOMB 105/70</t>
  </si>
  <si>
    <t>520X0042</t>
  </si>
  <si>
    <t>ETIQ DEMARRAGE BATTERIE</t>
  </si>
  <si>
    <t>520X0049</t>
  </si>
  <si>
    <t>ETIQ MIXTE COUV2 L1-L5 POWER 55X30mm</t>
  </si>
  <si>
    <t>521X0002</t>
  </si>
  <si>
    <t>ETIQ MADE IN TUNISIA 60/10</t>
  </si>
  <si>
    <t>521X0005</t>
  </si>
  <si>
    <t>ETIQUETTE TUV 50/35</t>
  </si>
  <si>
    <t>521X0011</t>
  </si>
  <si>
    <t>ETIQ.REF.45AH 12V 340A (EN)</t>
  </si>
  <si>
    <t>521X0012</t>
  </si>
  <si>
    <t>ETIQ.REF.50AH 12V 380A (EN)</t>
  </si>
  <si>
    <t>521X0013</t>
  </si>
  <si>
    <t>ETIQ.REF.55AH 12V 450A EN</t>
  </si>
  <si>
    <t>521X0167</t>
  </si>
  <si>
    <t>ETIQ INSTALL/DANGER GRIS 140X40</t>
  </si>
  <si>
    <t>521X0179</t>
  </si>
  <si>
    <t>ETIQ COUV POW EXP GRIS PL2 55AH 30/90</t>
  </si>
  <si>
    <t>521X0180</t>
  </si>
  <si>
    <t>ETIQ COUV POW EXP GRIS PL2 60AH 30/90</t>
  </si>
  <si>
    <t>521x0182</t>
  </si>
  <si>
    <t>ETIQ COUV POW EXP GRIS PL3 70AH 30/90</t>
  </si>
  <si>
    <t>521X0183</t>
  </si>
  <si>
    <t>ETIQ COUV POW EXP GRIS PL3 66AH 30/90</t>
  </si>
  <si>
    <t>521X0184</t>
  </si>
  <si>
    <t>ETIQ COUV POW EXP GRIS PL3B 60AH 30/90</t>
  </si>
  <si>
    <t>521X0185</t>
  </si>
  <si>
    <t>ETIQ COUV POW EXP GRIS PL5 88AH 30/90</t>
  </si>
  <si>
    <t>521X0186</t>
  </si>
  <si>
    <t>ETIQ COUV POW EXP GRIS PL5 100AH 30/90</t>
  </si>
  <si>
    <t>521X0187</t>
  </si>
  <si>
    <t>ETIQ COUV POW EXP GRIS PM10 60AH 30/90</t>
  </si>
  <si>
    <t>521X0188</t>
  </si>
  <si>
    <t>ETIQ COUV POW EXP GRIS PM11 90AH 30/90</t>
  </si>
  <si>
    <t>521X0196</t>
  </si>
  <si>
    <t>ETIQ COUV POW EXP NOIR PL1 50AH 30/90</t>
  </si>
  <si>
    <t>521X0197</t>
  </si>
  <si>
    <t>ETIQ COUV POW EXP NOIR PL2 60AH 30/90</t>
  </si>
  <si>
    <t>521X0205</t>
  </si>
  <si>
    <t>ETIQ BORNE (+) NOIR 17/25</t>
  </si>
  <si>
    <t>521X0207</t>
  </si>
  <si>
    <t>ETIQ BORNE (-) NOIR 17/25</t>
  </si>
  <si>
    <t>521X0209</t>
  </si>
  <si>
    <t>ETIQ COUV  EXP GRIS PL2S 62AH 30/90</t>
  </si>
  <si>
    <t>521X0210</t>
  </si>
  <si>
    <t>ETIQ COUV  EXP GRIS 220AH 30/90</t>
  </si>
  <si>
    <t>521X0211</t>
  </si>
  <si>
    <t>ETIQ COUV D23 POWER LYBIE NOUV DESIGN 60AH 110/30</t>
  </si>
  <si>
    <t>521X0212</t>
  </si>
  <si>
    <t>ETIQ COUV E2 POWER LYBIE NOUV DESIGN 40AH 110/30</t>
  </si>
  <si>
    <t>521x0213</t>
  </si>
  <si>
    <t>ETIQ COUV L1POWER LYBIE NOUV DESIGN 45AH 110/30</t>
  </si>
  <si>
    <t>521x0214</t>
  </si>
  <si>
    <t>ETIQ COUV L1 MF POWER LYBIE NOUV DESIGN 45AH 110/</t>
  </si>
  <si>
    <t>521X0215</t>
  </si>
  <si>
    <t>ETIQ COUV L2 POWER LYBIE NOUV DESIGN 55AH 110/30</t>
  </si>
  <si>
    <t>521X0216</t>
  </si>
  <si>
    <t>ETIQ COUV L3 POWER LYBIE NOUV DESIGN 70AH 110/30</t>
  </si>
  <si>
    <t>521X0218</t>
  </si>
  <si>
    <t>ETIQ COUV L5 POWER LYBIE NOUV DESIGN 100AH 110/30</t>
  </si>
  <si>
    <t>521X0219</t>
  </si>
  <si>
    <t>ETIQ COUV M10 POWER LYBIE NOUV 60AH 210/40</t>
  </si>
  <si>
    <t>521X0220</t>
  </si>
  <si>
    <t>ETIQ COUV M11 POWER LYBIE NOUV DESIGN 90Ah 210/40</t>
  </si>
  <si>
    <t>521X0221</t>
  </si>
  <si>
    <t>ETIQ COUV M14 POWER LYBIE NOUV DESIGN 120Ah 210/4</t>
  </si>
  <si>
    <t>521X0222</t>
  </si>
  <si>
    <t>ETIQ COUV M15 POWER LYBIE NOUV 150Ah 210/40</t>
  </si>
  <si>
    <t>521X0223</t>
  </si>
  <si>
    <t>ETIQ COUV M16 POWER LYBIE NOUV 200Ah 210/40</t>
  </si>
  <si>
    <t>521X0224</t>
  </si>
  <si>
    <t>ETIQ COUV D23 STARTER LYBI NOUV DESIGN 60AH 110/3</t>
  </si>
  <si>
    <t>521X0225</t>
  </si>
  <si>
    <t>ETIQ COUV E2 STARTER LYBIE NOUV DESIGN 40AH 110/3</t>
  </si>
  <si>
    <t>521X0226</t>
  </si>
  <si>
    <t>ETIQ COUV L1STARTER LYBIE  45AH 110/30</t>
  </si>
  <si>
    <t>521X0228</t>
  </si>
  <si>
    <t>ETIQ COUV L2 STARTER LYBIE NOUV DESIGN</t>
  </si>
  <si>
    <t>521X0229</t>
  </si>
  <si>
    <t>ETIQ COUV L3 STARTER LYBIE NOUV DESIGN 70AH 110/3</t>
  </si>
  <si>
    <t>521X0231</t>
  </si>
  <si>
    <t>ETIQ COUV L5 JUMBO LYBIE NOUV DESIGN 100AH 110/30</t>
  </si>
  <si>
    <t>521X0233</t>
  </si>
  <si>
    <t>ETIQ COUV M11 STARTER LYBIE NOUV DESIGN 90Ah 210/</t>
  </si>
  <si>
    <t>521X0234</t>
  </si>
  <si>
    <t>ETIQ COUV M14 STARTER LYBIE NOUV DESIGN 120Ah 210</t>
  </si>
  <si>
    <t>521X0235</t>
  </si>
  <si>
    <t>ETIQ COUV M15 STARTER LYBIE NOUV 150Ah 210/40</t>
  </si>
  <si>
    <t>521X0236</t>
  </si>
  <si>
    <t>ETIQ COUV M16 STARTER LYBIE NOUV 200Ah 210/40</t>
  </si>
  <si>
    <t>521x0237</t>
  </si>
  <si>
    <t>ETIQ COUV  L1B JUMBO LYBIE 45AH 110/30</t>
  </si>
  <si>
    <t>521x0238</t>
  </si>
  <si>
    <t>ETIQ COUV L2 JUMBO EXP 55AH 110/30</t>
  </si>
  <si>
    <t>521x0239</t>
  </si>
  <si>
    <t>ETIQ COUV L3  JUMBO  EXP 70AH 110/30</t>
  </si>
  <si>
    <t>521X0240</t>
  </si>
  <si>
    <t>ETIQ COUV  M10 JUMBO EXP 60AH 210/40</t>
  </si>
  <si>
    <t>521X0241</t>
  </si>
  <si>
    <t>ETIQ COUV  M11 JUMBO EXP 90AH 210/40</t>
  </si>
  <si>
    <t>521X0242</t>
  </si>
  <si>
    <t>ETIQ COUV  JUMBO M15 LYBIE 150AH 210/40</t>
  </si>
  <si>
    <t>521X0284</t>
  </si>
  <si>
    <t>ETIQ COUV1 L1 POWER EXP 118/50</t>
  </si>
  <si>
    <t>521X0285</t>
  </si>
  <si>
    <t>ETIQ COUV1 L2 POWER EXP 138/50</t>
  </si>
  <si>
    <t>521X0286</t>
  </si>
  <si>
    <t>ETIQ COUV1 L3 POWER EXP 115/50</t>
  </si>
  <si>
    <t>521X0287</t>
  </si>
  <si>
    <t>ETIQ COUV2 L1 POWER STANDARD LYBIE ALG 56/50</t>
  </si>
  <si>
    <t>521X0288</t>
  </si>
  <si>
    <t>ETIQ COUV2 L2 POWER EXP 66/50</t>
  </si>
  <si>
    <t>521X0289</t>
  </si>
  <si>
    <t>ETIQ COUV2 L3 POWER EXP 115/50</t>
  </si>
  <si>
    <t>521X0290</t>
  </si>
  <si>
    <t>ETIQ COUV1 L1 STARTER LYBIE MF 118/50</t>
  </si>
  <si>
    <t>521X0291</t>
  </si>
  <si>
    <t>ETIQ COUV1 L2 STARTER LYBIE MF 138/50</t>
  </si>
  <si>
    <t>521X0293</t>
  </si>
  <si>
    <t>ETIQ COUV2 L1 STARTER LYBIE MF 56/50</t>
  </si>
  <si>
    <t>521X0294</t>
  </si>
  <si>
    <t>ETIQ COUV2 L2 STARTER LYBIE MF 66/50</t>
  </si>
  <si>
    <t>521X0295</t>
  </si>
  <si>
    <t>ETIQ COUV2 L3 STARTER LYBIE MF 115/50</t>
  </si>
  <si>
    <t>521X0310</t>
  </si>
  <si>
    <t>ETIQ COUV POW EXP GRIS M11 80AH 640A 30/90</t>
  </si>
  <si>
    <t>521X0313</t>
  </si>
  <si>
    <t>ETIQ COUV M15S JUMBO 188AH-1100A 210/40</t>
  </si>
  <si>
    <t>521X0337</t>
  </si>
  <si>
    <t>ETIQ COUV POWER LYBIE D26 70AH-510A 235/50</t>
  </si>
  <si>
    <t>521X0338</t>
  </si>
  <si>
    <t>ETIQ COUV POWER LYBIE D31 90AH-620A 280/50</t>
  </si>
  <si>
    <t>521X0339</t>
  </si>
  <si>
    <t>ETIQ COUV STARTER LYBIE D26 235/50</t>
  </si>
  <si>
    <t>521X0340</t>
  </si>
  <si>
    <t>ETIQ COUV STARTER D31 90AH-620 280/50</t>
  </si>
  <si>
    <t>521X0341</t>
  </si>
  <si>
    <t>ETIQ COUV1 L3 80AH STARTER LYBIE MF 115/50</t>
  </si>
  <si>
    <t>521X0345</t>
  </si>
  <si>
    <t>ETIQ COUV L1B 110*30 44Ah 360A BATCAR</t>
  </si>
  <si>
    <t>521X0346</t>
  </si>
  <si>
    <t>ETIQ COUV L2B 110*30 55Ah 480A BATCAR</t>
  </si>
  <si>
    <t>521X0347</t>
  </si>
  <si>
    <t>ETIQ COUV L3B 110*30 72Ah 640A BATCAR</t>
  </si>
  <si>
    <t>521X0348</t>
  </si>
  <si>
    <t>ETIQ COUV L5 110*30 95Ah 760A BATCAR</t>
  </si>
  <si>
    <t>521X0349</t>
  </si>
  <si>
    <t>ETIQ SIGNES DANGERS L1B L2B L3B L5 50*30 BATCAR</t>
  </si>
  <si>
    <t>521X0350</t>
  </si>
  <si>
    <t>ETIQ COUV1 L1 66/66 ELECT</t>
  </si>
  <si>
    <t>521X0351</t>
  </si>
  <si>
    <t>ETIQ COUV2 L1 118/66 ELEC</t>
  </si>
  <si>
    <t>521X0352</t>
  </si>
  <si>
    <t>ETIQ COUV1 L2 77/66 550AH ELECTRON</t>
  </si>
  <si>
    <t>521X0353</t>
  </si>
  <si>
    <t>ETIQ COUV2 L2 149/66 ELEC 550 AH</t>
  </si>
  <si>
    <t>521X0354</t>
  </si>
  <si>
    <t>ETIQ COUV1 L2 77/66 620AH ELECTRON 620AH</t>
  </si>
  <si>
    <t>521X0355</t>
  </si>
  <si>
    <t>ETIQ COUV2 L2 149/66 ELEC 620 AH</t>
  </si>
  <si>
    <t>521X0358</t>
  </si>
  <si>
    <t>ETIQ COUV1 L3 120/71 ELEC 720 AH</t>
  </si>
  <si>
    <t>521X0359</t>
  </si>
  <si>
    <t>ETIQ COUV2 L3 120/71 ELECTRON 720 AH</t>
  </si>
  <si>
    <t>521X0362</t>
  </si>
  <si>
    <t>ETIQ COUV1 L5 160/71 ELEC 1000 AH</t>
  </si>
  <si>
    <t>521X0363</t>
  </si>
  <si>
    <t>ETIQ COUV2  L5 160/71 ELE 1000 AH</t>
  </si>
  <si>
    <t>521X0366</t>
  </si>
  <si>
    <t>ETIQ COUV1 J4/NS60 217/48 GUACHE</t>
  </si>
  <si>
    <t>521X0368</t>
  </si>
  <si>
    <t>ETIQ COUV1 J6/D23 208/52 ELECTON GAUCHE</t>
  </si>
  <si>
    <t>521X0370</t>
  </si>
  <si>
    <t>ETIQ COUV1 J7/D26 235/52 ELECTRON GAUCHE</t>
  </si>
  <si>
    <t>521X0372</t>
  </si>
  <si>
    <t>ETIQ COUV1 J0/D31 280/52 ELECTRON GAUCHE</t>
  </si>
  <si>
    <t>521X0374</t>
  </si>
  <si>
    <t>ETIQ COUV1 L1 66/66 MF54459 BINSHIHOUN</t>
  </si>
  <si>
    <t>521X0375</t>
  </si>
  <si>
    <t>ETIQ COUV2 L1 118/66 BINSHIHOUN MF 54459</t>
  </si>
  <si>
    <t>521X0376</t>
  </si>
  <si>
    <t>ETIQ COUV L2 77/66 MF5559 BINSHIHOUN</t>
  </si>
  <si>
    <t>521X0377</t>
  </si>
  <si>
    <t>ETIQ COUV L2 149/66 BINSHIHOUN MF 55559</t>
  </si>
  <si>
    <t>521X0378</t>
  </si>
  <si>
    <t>ETIQ COUV L2 120/71 MF56219 BIN SHIHOUN</t>
  </si>
  <si>
    <t>521X0379</t>
  </si>
  <si>
    <t>ETIQ COUV 149/66 L2 MF56219 BIN SHIHOUN</t>
  </si>
  <si>
    <t>521X0380</t>
  </si>
  <si>
    <t>ETIQ COUV  120/71 L3 MF56638 BINSHIHOUN</t>
  </si>
  <si>
    <t>521X0381</t>
  </si>
  <si>
    <t>ETIQ COUV 120/71 L3 MF56638 BIN SHIHOUN</t>
  </si>
  <si>
    <t>521X0382</t>
  </si>
  <si>
    <t>ETIQ COUV 120/71 L3 MF 57220 BINSHIHOUN</t>
  </si>
  <si>
    <t>521X0383</t>
  </si>
  <si>
    <t>ETIQ COUV 120/71 L3 MF 57220 BIN SHIHOUN</t>
  </si>
  <si>
    <t>521X0384</t>
  </si>
  <si>
    <t>ETIQ COUV 160/71 L5 MF58827 BIN SHIHOUN</t>
  </si>
  <si>
    <t>521X0385</t>
  </si>
  <si>
    <t>ETIQ COUV 2 160/71 L5 MF58827 BINSHIHOUN</t>
  </si>
  <si>
    <t>521X0386</t>
  </si>
  <si>
    <t>ETIQ COUV 160/71 L5 MF60038 BIN SHIHOUN</t>
  </si>
  <si>
    <t>521X0387</t>
  </si>
  <si>
    <t>ETIQ COUV 2 L5 160/71 MF60038 BIN SHIHOUN</t>
  </si>
  <si>
    <t>521X0391</t>
  </si>
  <si>
    <t>ETIQ COUV 217/48 NS60G MF50B24RS BINSHIHOUN</t>
  </si>
  <si>
    <t>521X0392</t>
  </si>
  <si>
    <t>ETIQ COUV 208/52 D23D MF55D23L BINSHIHOUN</t>
  </si>
  <si>
    <t>521X0393</t>
  </si>
  <si>
    <t>ETIQ COUV 208/52 D23G MF55D23R BINSHIHOUN</t>
  </si>
  <si>
    <t>521X0395</t>
  </si>
  <si>
    <t>ETIQ COUV 235/52 D26G MF80D26R BINSHIHOUN</t>
  </si>
  <si>
    <t>521X0399</t>
  </si>
  <si>
    <t>ETIQ COUV 235/52 D26G MF48D26R BIN SHIHOUN</t>
  </si>
  <si>
    <t>521X0400</t>
  </si>
  <si>
    <t>ETIQ COUV 280/52 D31D MF65D31L BIN SHIHOUN</t>
  </si>
  <si>
    <t>521X0401</t>
  </si>
  <si>
    <t>ETIQ COUV 280/52 D31G MF65D31R BINSHIHOUN</t>
  </si>
  <si>
    <t>521X0402</t>
  </si>
  <si>
    <t>ETIQ COUV 280/52 D31D 105D31L BIN SHIHOUN</t>
  </si>
  <si>
    <t>521X0403</t>
  </si>
  <si>
    <t>ETIQUETTE T10 COUV  50AH420A19050MM L1</t>
  </si>
  <si>
    <t>521X0404</t>
  </si>
  <si>
    <t>ETIQUETTE T12 COUV   60AH L2B</t>
  </si>
  <si>
    <t>521X0405</t>
  </si>
  <si>
    <t>ETIQUETTE T15 COUV 62AH 540 A L2</t>
  </si>
  <si>
    <t>521X0406</t>
  </si>
  <si>
    <t>ETIQUETTE T16 COUV 72AH 640 A L3B</t>
  </si>
  <si>
    <t>521X0407</t>
  </si>
  <si>
    <t>ETIQUETTE T17 COUV 72AH 640 A L3</t>
  </si>
  <si>
    <t>521X0408</t>
  </si>
  <si>
    <t>ETIQUETTE T22 COUV 100AH 800 A L5</t>
  </si>
  <si>
    <t>521X0409</t>
  </si>
  <si>
    <t>ETIQUETTE BAC WINMAXX 90/180 PF</t>
  </si>
  <si>
    <t>521X0410</t>
  </si>
  <si>
    <t>ETIQ COUVERCLE L1 WINMAXX 45AH 370A (EN) 190/50</t>
  </si>
  <si>
    <t>521X0411</t>
  </si>
  <si>
    <t>ETIQ COUVERCLE L2 WINMAXX 55AH 450A (EN) 225/50</t>
  </si>
  <si>
    <t>521X0412</t>
  </si>
  <si>
    <t>ETIQ COUVERCLE L3 WINMAXX 70AH 600A (EN) 255/50</t>
  </si>
  <si>
    <t>521X0413</t>
  </si>
  <si>
    <t>ETIQUETTE BAC WINMAXX MF</t>
  </si>
  <si>
    <t>521X0414</t>
  </si>
  <si>
    <t>ETIQUETTE BAC WINMAXX GF</t>
  </si>
  <si>
    <t>521X0415</t>
  </si>
  <si>
    <t>ETIQ COUVERCLE D23 WINMAXX 60 AH</t>
  </si>
  <si>
    <t>521X0416</t>
  </si>
  <si>
    <t>ETIQ COUV M11 WINMAX 90Ah</t>
  </si>
  <si>
    <t>521X0417</t>
  </si>
  <si>
    <t>ETIQ COUV M15 WINMAXX 150 AH</t>
  </si>
  <si>
    <t>530P0021</t>
  </si>
  <si>
    <t>CARTE GARANTIE NOUR</t>
  </si>
  <si>
    <t>530P0022</t>
  </si>
  <si>
    <t>CARTE GARANTIE SANS ENTRETIEN</t>
  </si>
  <si>
    <t>530X0015</t>
  </si>
  <si>
    <t>CARTE GARANTIE ELECTRON</t>
  </si>
  <si>
    <t>530X0016</t>
  </si>
  <si>
    <t>CARTE GARANTIE BIN SHIHOUN</t>
  </si>
  <si>
    <t>580B0002</t>
  </si>
  <si>
    <t>EMB BIG BAG SANS HOUSSE</t>
  </si>
  <si>
    <t>580C0012</t>
  </si>
  <si>
    <t>Cornière en carton kraft D40mm L1m</t>
  </si>
  <si>
    <t>580C0014</t>
  </si>
  <si>
    <t>POLYESTER COVER FOR NS60/J4 240X130X20mm</t>
  </si>
  <si>
    <t>580C0015</t>
  </si>
  <si>
    <t>POLYESTER COVER FOR D23/J6 230X180X20mm</t>
  </si>
  <si>
    <t>580C0016</t>
  </si>
  <si>
    <t>POLYESTER COVER FOR D26/J7 260X180X20mm</t>
  </si>
  <si>
    <t>580C0018</t>
  </si>
  <si>
    <t>POLYESTER COVER FOR L1 200X170X10mm</t>
  </si>
  <si>
    <t>580C0019</t>
  </si>
  <si>
    <t>POLYESTER COVER FOR L2 240X170X10mm</t>
  </si>
  <si>
    <t>580C0020</t>
  </si>
  <si>
    <t>POLYESTER COVER FOR L3 275X170X10mm</t>
  </si>
  <si>
    <t>580C0021</t>
  </si>
  <si>
    <t>POLYESTER COVER FOR L5 340X170X10mm</t>
  </si>
  <si>
    <t>580C0023</t>
  </si>
  <si>
    <t>POLYESTER COVER FOR NS60/J4 240X130X10mm</t>
  </si>
  <si>
    <t>580C0024</t>
  </si>
  <si>
    <t>POLYESTER COVER FOR D23/J6 230X180X10mm</t>
  </si>
  <si>
    <t>580C0025</t>
  </si>
  <si>
    <t>POLYESTER COVER FOR D26/J7 260X180X10mm</t>
  </si>
  <si>
    <t>580C0030</t>
  </si>
  <si>
    <t>Carton box L1 MF54459215X180X200</t>
  </si>
  <si>
    <t>580C0031</t>
  </si>
  <si>
    <t>Carton  MF55559 L2 250X180X200</t>
  </si>
  <si>
    <t>580C0032</t>
  </si>
  <si>
    <t>Carton box L3 MF56638 286X180X200 ELECTRON</t>
  </si>
  <si>
    <t>580C0034</t>
  </si>
  <si>
    <t>Carton box L5 MF58827 360X180X200 ELECTRON</t>
  </si>
  <si>
    <t>580C0036</t>
  </si>
  <si>
    <t>Carton box j4 MF 50B24LS 240X136X236 ELECTRON</t>
  </si>
  <si>
    <t>580C0037</t>
  </si>
  <si>
    <t>CARTON BOX J6 MF48D26R 232X180X232 ELECTRON</t>
  </si>
  <si>
    <t>580C0038</t>
  </si>
  <si>
    <t>CARTON BOX J7 MF48D26R 260X180X235 ELECTRON</t>
  </si>
  <si>
    <t>580C0039</t>
  </si>
  <si>
    <t>CARTON BOX J0105D31L 310X180X233 ELECTRON</t>
  </si>
  <si>
    <t>580C0041</t>
  </si>
  <si>
    <t>CARTON BOX L2 MF55559 250X180X200 BINSHIHOUN</t>
  </si>
  <si>
    <t>580C0042</t>
  </si>
  <si>
    <t>CARTON BOX L2 MF 56219 250X180X200 BINSHIHOUN</t>
  </si>
  <si>
    <t>580C0045</t>
  </si>
  <si>
    <t>CARTON BOX L5 MF58827 360X180X200 BINSHIHOUN</t>
  </si>
  <si>
    <t>580C0046</t>
  </si>
  <si>
    <t>CARTON BOX L5 MF60038 360X180X200 BINSHIHOUN</t>
  </si>
  <si>
    <t>580C0047</t>
  </si>
  <si>
    <t>CARTON BOX J4 MF50B24LS 240X136X236 BINSHIHOUN</t>
  </si>
  <si>
    <t>580C0048</t>
  </si>
  <si>
    <t>580C0049</t>
  </si>
  <si>
    <t>CARTON BOX J6 MF55D23L 232X180X232 BINSHIHOUN</t>
  </si>
  <si>
    <t>580C0050</t>
  </si>
  <si>
    <t>CARTON BOX J6 MF55D23R 232X180X232 BINSHIHOUN</t>
  </si>
  <si>
    <t>580C0051</t>
  </si>
  <si>
    <t>CARTON BOX MF48D26L 260X180X235 BINSHIHOUN</t>
  </si>
  <si>
    <t>580C0053</t>
  </si>
  <si>
    <t>CARTON BOX J7 MF48D26R 260X180X235 BINSHIHOUN</t>
  </si>
  <si>
    <t>580C0054</t>
  </si>
  <si>
    <t>CARTON BOX J7 MF80D26R 260X180X235 BINSHIHOUN</t>
  </si>
  <si>
    <t>580C0055</t>
  </si>
  <si>
    <t>CARTON BOX J0 MF65D31L 310X180X233 BINSHIHOUN</t>
  </si>
  <si>
    <t>580C0056</t>
  </si>
  <si>
    <t>CARTON BOX JO MF105D31L 310X180X233 BINSHIHOUN</t>
  </si>
  <si>
    <t>580C0057</t>
  </si>
  <si>
    <t>CARTON BOX J0 MF65D31R 310X180X233BINSHIHOUN</t>
  </si>
  <si>
    <t>580C0060</t>
  </si>
  <si>
    <t>POLYESTER COVER FOR D26/J7 260X180X37mm</t>
  </si>
  <si>
    <t>FILM ETIRABLE MANUEL</t>
  </si>
  <si>
    <t>580F0003</t>
  </si>
  <si>
    <t>FILM ETIRABLE MACHINE</t>
  </si>
  <si>
    <t>580F0012</t>
  </si>
  <si>
    <t>FILM THERMO 450/55</t>
  </si>
  <si>
    <t>580F0013</t>
  </si>
  <si>
    <t>FILM THERMORETRAC. 400/55</t>
  </si>
  <si>
    <t>580F0016</t>
  </si>
  <si>
    <t>FILM THERMORETRA. 300/55</t>
  </si>
  <si>
    <t>580F0018</t>
  </si>
  <si>
    <t>FILM THERMORETRA. 650/55</t>
  </si>
  <si>
    <t>580F0019</t>
  </si>
  <si>
    <t>FILM THERMORETRA. 350/55</t>
  </si>
  <si>
    <t>580L0000</t>
  </si>
  <si>
    <t>COUVERCLE PALETTE BOIS 120 X 80</t>
  </si>
  <si>
    <t>580L0005</t>
  </si>
  <si>
    <t>PALETTE BOIS 120/80</t>
  </si>
  <si>
    <t>580L0007</t>
  </si>
  <si>
    <t>PALETTE BOIS 112/72 SANS TRAVERSE</t>
  </si>
  <si>
    <t>580L0016</t>
  </si>
  <si>
    <t>PALETTE EN BOIS 60/80</t>
  </si>
  <si>
    <t>580L0017</t>
  </si>
  <si>
    <t>PALETTE 120/80 1er choix</t>
  </si>
  <si>
    <t>580L0018</t>
  </si>
  <si>
    <t>PALETTE 120/80 1er choix traité</t>
  </si>
  <si>
    <t>POLYST.120/80/2CM D16</t>
  </si>
  <si>
    <t>600A0019</t>
  </si>
  <si>
    <t>HEXANE( SOLVANT NETOYYAGE)</t>
  </si>
  <si>
    <t>L</t>
  </si>
  <si>
    <t>600A0022</t>
  </si>
  <si>
    <t>MELANGE 20% ISOPROPANOL + 80% ÉTHANO</t>
  </si>
  <si>
    <t>690X0003</t>
  </si>
  <si>
    <t>FLUX COS</t>
  </si>
  <si>
    <t>690X0029</t>
  </si>
  <si>
    <t>COLLE HOTMELET SWIFT THERM 9042</t>
  </si>
  <si>
    <t>690X0033</t>
  </si>
  <si>
    <t>LUBRIFIANT HADILIN K95/II  014-000-024</t>
  </si>
  <si>
    <t>RLX FEUILLARD 15</t>
  </si>
  <si>
    <t>840LUB037</t>
  </si>
  <si>
    <t>VASELINE BLANCHE 4 KG</t>
  </si>
  <si>
    <t>840PNA094</t>
  </si>
  <si>
    <t>SCOTCH 3M TYPE 8981</t>
  </si>
  <si>
    <t>PFV</t>
  </si>
  <si>
    <t>LB55L1W172R1Z55</t>
  </si>
  <si>
    <t>S1</t>
  </si>
  <si>
    <t>Finish good</t>
  </si>
  <si>
    <t>LB66L2W172R1Z55</t>
  </si>
  <si>
    <t>S2</t>
  </si>
  <si>
    <t>LB77L3W172R1Z55</t>
  </si>
  <si>
    <t>S3</t>
  </si>
  <si>
    <t>LB90L5W172R1Z55</t>
  </si>
  <si>
    <t>S5</t>
  </si>
  <si>
    <t>LB45B1W172R1Z44</t>
  </si>
  <si>
    <t>PRL1B</t>
  </si>
  <si>
    <t>LB45L1W172R1Z44</t>
  </si>
  <si>
    <t>PRL1D</t>
  </si>
  <si>
    <t>LB45L1W172L1Z44</t>
  </si>
  <si>
    <t>PRL1G</t>
  </si>
  <si>
    <t>LB56B2W172R1Z44</t>
  </si>
  <si>
    <t>PRL2B</t>
  </si>
  <si>
    <t>LB56L2W172R1Z44</t>
  </si>
  <si>
    <t>PRL2</t>
  </si>
  <si>
    <t>LB67B3W172R1Z44</t>
  </si>
  <si>
    <t>PRL3B</t>
  </si>
  <si>
    <t>LB67L3W172R1Z44</t>
  </si>
  <si>
    <t>PRL3</t>
  </si>
  <si>
    <t>MRT44J3X102R1Z44</t>
  </si>
  <si>
    <t>NS40D</t>
  </si>
  <si>
    <t>MRT44J3X102L1Z44</t>
  </si>
  <si>
    <t>NS40G</t>
  </si>
  <si>
    <t>MRT45J4X102R1Z44</t>
  </si>
  <si>
    <t>NS60</t>
  </si>
  <si>
    <t>M55J6X172R1Z44</t>
  </si>
  <si>
    <t>D23</t>
  </si>
  <si>
    <t>M56J7X102L1Z44</t>
  </si>
  <si>
    <t>D26G</t>
  </si>
  <si>
    <t>M56J7X102R1Z44</t>
  </si>
  <si>
    <t>D26D</t>
  </si>
  <si>
    <t>M78J0X172L1Z44</t>
  </si>
  <si>
    <t>D31G</t>
  </si>
  <si>
    <t>M78J0X172R1Z44</t>
  </si>
  <si>
    <t>D31D</t>
  </si>
  <si>
    <t>LB44L1K072R1S12</t>
  </si>
  <si>
    <t>PL1</t>
  </si>
  <si>
    <t>LB55L2K072R1S12</t>
  </si>
  <si>
    <t>PL2</t>
  </si>
  <si>
    <t>LB66L3K072R1S12</t>
  </si>
  <si>
    <t>PL3</t>
  </si>
  <si>
    <t>LB66B3K072R1S12</t>
  </si>
  <si>
    <t>PL3B</t>
  </si>
  <si>
    <t>LB88L5K072R1S12</t>
  </si>
  <si>
    <t>PL5</t>
  </si>
  <si>
    <t>LB00L6K5072R1S12</t>
  </si>
  <si>
    <t>PL6MF</t>
  </si>
  <si>
    <t>M55M10F043L1S13</t>
  </si>
  <si>
    <t>PM10</t>
  </si>
  <si>
    <t>MSP55M10F042L1S13</t>
  </si>
  <si>
    <t>PM10S</t>
  </si>
  <si>
    <t>M77M11F043L1S13</t>
  </si>
  <si>
    <t>PM11</t>
  </si>
  <si>
    <t>M78M11F042L1S13</t>
  </si>
  <si>
    <t>PM11SG</t>
  </si>
  <si>
    <t>M78M11F042R1S13</t>
  </si>
  <si>
    <t>PM11SD</t>
  </si>
  <si>
    <t>M77M12F043L1S13</t>
  </si>
  <si>
    <t>PM12</t>
  </si>
  <si>
    <t>M88M12F042L1S13</t>
  </si>
  <si>
    <t>PM12S</t>
  </si>
  <si>
    <t>M89C98P5042R1S13</t>
  </si>
  <si>
    <t>PM110</t>
  </si>
  <si>
    <t>ML34CF303L1X12</t>
  </si>
  <si>
    <t>MAR16</t>
  </si>
  <si>
    <t>MSP89AF003L1S13</t>
  </si>
  <si>
    <t>M14</t>
  </si>
  <si>
    <t>MSP90BF003L1S13</t>
  </si>
  <si>
    <t>M15</t>
  </si>
  <si>
    <t>MSP12BF003L1S13</t>
  </si>
  <si>
    <t>M15S</t>
  </si>
  <si>
    <t>ML23CF003L1S13</t>
  </si>
  <si>
    <t>M16</t>
  </si>
  <si>
    <t>MSP55M10F042R1S13</t>
  </si>
  <si>
    <t>PM10SD</t>
  </si>
  <si>
    <t>LB78L3E172R1Z55</t>
  </si>
  <si>
    <t>21S3EFB</t>
  </si>
  <si>
    <t>LB34L1K077R1S122</t>
  </si>
  <si>
    <t>10M11155254</t>
  </si>
  <si>
    <t>LB34L1P072R1S121</t>
  </si>
  <si>
    <t>10M11233224</t>
  </si>
  <si>
    <t>LB45L2K077R1S122</t>
  </si>
  <si>
    <t>10L1H133165</t>
  </si>
  <si>
    <t>ML22CF003L1S122</t>
  </si>
  <si>
    <t>10L2H152121</t>
  </si>
  <si>
    <t>10L2H233331</t>
  </si>
  <si>
    <t>LB56L3K073R1S122</t>
  </si>
  <si>
    <t>10L3H133165</t>
  </si>
  <si>
    <t>LB78L5K073R1S122</t>
  </si>
  <si>
    <t>10L5H133165</t>
  </si>
  <si>
    <t>MSP88AF003L1S13</t>
  </si>
  <si>
    <t>10M14133141</t>
  </si>
  <si>
    <t>MSP99BF003L1S122</t>
  </si>
  <si>
    <t>10M15133156</t>
  </si>
  <si>
    <t>10PL4B</t>
  </si>
  <si>
    <t>10PL4</t>
  </si>
  <si>
    <t>LB33L1K077R1S122</t>
  </si>
  <si>
    <t>L1 N/N 3/3</t>
  </si>
  <si>
    <t>LB34L2K073R1S122</t>
  </si>
  <si>
    <t>L2 N/N 4/4</t>
  </si>
  <si>
    <t>LB34L2K073L1S122</t>
  </si>
  <si>
    <t xml:space="preserve">L2 G 3/4 </t>
  </si>
  <si>
    <t>LB45L3K073R1S122</t>
  </si>
  <si>
    <t>L3 N/N 5/5</t>
  </si>
  <si>
    <t>LB55B1W172R1Z55</t>
  </si>
  <si>
    <t>S1B</t>
  </si>
  <si>
    <t>LB66B2W172R1Z55</t>
  </si>
  <si>
    <t>S2B</t>
  </si>
  <si>
    <t>LB77B3W172R1Z55</t>
  </si>
  <si>
    <t>S3B</t>
  </si>
  <si>
    <t>PRL1</t>
  </si>
  <si>
    <t>LB89L5W172R1Z44</t>
  </si>
  <si>
    <t>PRL5</t>
  </si>
  <si>
    <t>NS60D</t>
  </si>
  <si>
    <t>MRT45J4X102L1J44</t>
  </si>
  <si>
    <t>NS60G</t>
  </si>
  <si>
    <t>LB45B1K5172R1S13</t>
  </si>
  <si>
    <t>L1B KAMINA 4/5</t>
  </si>
  <si>
    <t>LB44B1K072R1S12</t>
  </si>
  <si>
    <t>L1B KAMINA 4/4</t>
  </si>
  <si>
    <t>LB44L1K077R1S122</t>
  </si>
  <si>
    <t>L1 KAMINA 4/4</t>
  </si>
  <si>
    <t>LB45L1K172R1Z44</t>
  </si>
  <si>
    <t>L1 KAMINA 4/5</t>
  </si>
  <si>
    <t>LB56B2K172R1Z44</t>
  </si>
  <si>
    <t>L2B KAMINA 5/6</t>
  </si>
  <si>
    <t>L2 KAMINA 5/5</t>
  </si>
  <si>
    <t>LB56L2K172R1Z44</t>
  </si>
  <si>
    <t>L2 KAMINA 5/6</t>
  </si>
  <si>
    <t>LB66L2K172R1Z55</t>
  </si>
  <si>
    <t>L2 KAMINA 6/6</t>
  </si>
  <si>
    <t>LB67B3K172R1Z44</t>
  </si>
  <si>
    <t>L3B KAMINA 6/7</t>
  </si>
  <si>
    <t>LB67L3K072R1S12</t>
  </si>
  <si>
    <t>L3 KAMINA 6/7</t>
  </si>
  <si>
    <t>L5 KAMINA 8/8</t>
  </si>
  <si>
    <t>LB89L5K072R1S12</t>
  </si>
  <si>
    <t>L5 KAMINA 8/9</t>
  </si>
  <si>
    <t>MRT45J4X102L1</t>
  </si>
  <si>
    <t>NS60 G 4/5 HH BF</t>
  </si>
  <si>
    <t>M145J7X172L1_BinS</t>
  </si>
  <si>
    <t>D26 G 4/5 HH</t>
  </si>
  <si>
    <t>M145J7X172R1_BinS</t>
  </si>
  <si>
    <t>D26 D 4/5 HH</t>
  </si>
  <si>
    <t>M166J0X172L1_BinS</t>
  </si>
  <si>
    <t>D31 G 6/6 HH</t>
  </si>
  <si>
    <t>M166J0X172R1_BinS</t>
  </si>
  <si>
    <t>D31 D 6/6 HH</t>
  </si>
  <si>
    <t>M155J6X172R1_BinS</t>
  </si>
  <si>
    <t>D23 G 5/5 HH</t>
  </si>
  <si>
    <t>DC-DCE</t>
  </si>
  <si>
    <t>UFLB55L1W172R2</t>
  </si>
  <si>
    <t>UFLB66L2W172R2</t>
  </si>
  <si>
    <t>UFLB77L3W172R2</t>
  </si>
  <si>
    <t>UFLBLB90L5W172R2</t>
  </si>
  <si>
    <t>UFLB45B1W172R2</t>
  </si>
  <si>
    <t>UFLB45L1W172R2</t>
  </si>
  <si>
    <t>UFLB45L1W172L2</t>
  </si>
  <si>
    <t>UFLB56L2W172R2</t>
  </si>
  <si>
    <t>UFLB67L3W172R2</t>
  </si>
  <si>
    <t>UFMRT44J3X102R2</t>
  </si>
  <si>
    <t>UFMRT44J3X102L2</t>
  </si>
  <si>
    <t>UFMRT45J4X102R2</t>
  </si>
  <si>
    <t>UFM55J6X172R2</t>
  </si>
  <si>
    <t>UFM56J7X102L2</t>
  </si>
  <si>
    <t>UFM56J7X102R2</t>
  </si>
  <si>
    <t>UFLB44L1K072R2</t>
  </si>
  <si>
    <t>LB44L1K072L1S12</t>
  </si>
  <si>
    <t>PL1G</t>
  </si>
  <si>
    <t>UFLB55L2K072R2</t>
  </si>
  <si>
    <t>LB55L2K072L1S12</t>
  </si>
  <si>
    <t>PL2G</t>
  </si>
  <si>
    <t>UFLB66L3K072R2</t>
  </si>
  <si>
    <t>UFLB88L5K072R2</t>
  </si>
  <si>
    <t>UFLB00L6K5172R2</t>
  </si>
  <si>
    <t>UFM55M10F043L2</t>
  </si>
  <si>
    <t>UFM77M11F043L2</t>
  </si>
  <si>
    <t>UFM78M11F042L2</t>
  </si>
  <si>
    <t>UFM78M11F042R2</t>
  </si>
  <si>
    <t>UFM77M12F043L2</t>
  </si>
  <si>
    <t>UFM88M12F042L2</t>
  </si>
  <si>
    <t>UFM89C98P5042R2</t>
  </si>
  <si>
    <t>UFML34CF303L2</t>
  </si>
  <si>
    <t>UFMSP89AF003L2</t>
  </si>
  <si>
    <t>UFMSP90BF003L2</t>
  </si>
  <si>
    <t>UFML23CF003L2</t>
  </si>
  <si>
    <t>MSP34CDL002L1S13</t>
  </si>
  <si>
    <t>M16SMF</t>
  </si>
  <si>
    <t>M55M10F043R1S13</t>
  </si>
  <si>
    <t>PM10D</t>
  </si>
  <si>
    <t>21S5EFB</t>
  </si>
  <si>
    <t>UFML12BDL002L2</t>
  </si>
  <si>
    <t>M15S MF</t>
  </si>
  <si>
    <t>21MF110</t>
  </si>
  <si>
    <t>21MF110E16</t>
  </si>
  <si>
    <t>M44M10F043L1S122</t>
  </si>
  <si>
    <t>10D31155165</t>
  </si>
  <si>
    <t>M45M10F042L1S122</t>
  </si>
  <si>
    <t>10M10155258</t>
  </si>
  <si>
    <t>UFM77M11F042L2</t>
  </si>
  <si>
    <t>10M10233165</t>
  </si>
  <si>
    <t>UFLB34L1K077R2</t>
  </si>
  <si>
    <t>UFLB34L1P072R2</t>
  </si>
  <si>
    <t>UFLB45L2K073R2</t>
  </si>
  <si>
    <t>UFLB55L2P072L2</t>
  </si>
  <si>
    <t>12L1H155255</t>
  </si>
  <si>
    <t>UFLB66L3P072R2</t>
  </si>
  <si>
    <t>10L2H133165</t>
  </si>
  <si>
    <t>UFMSP99BF003L2</t>
  </si>
  <si>
    <t>10L2H233165</t>
  </si>
  <si>
    <t>UFLB78L5K073R2</t>
  </si>
  <si>
    <t>M56J7X002L1S121</t>
  </si>
  <si>
    <t>D26 G 5/5</t>
  </si>
  <si>
    <t>UFLB45B2W072R2</t>
  </si>
  <si>
    <t>L2B D 4/5</t>
  </si>
  <si>
    <t>UFLB34L2K073R2</t>
  </si>
  <si>
    <t>UFLB45L3K073R2</t>
  </si>
  <si>
    <t>10PL5</t>
  </si>
  <si>
    <t>L5 N/N 7/7</t>
  </si>
  <si>
    <t>UFLB55B1K5172R2</t>
  </si>
  <si>
    <t>UFLB66B2W172R1Z55</t>
  </si>
  <si>
    <t>UFLB56B2W172R2</t>
  </si>
  <si>
    <t>UFLB67B3W172R2</t>
  </si>
  <si>
    <t>UFLB89L5W172R2</t>
  </si>
  <si>
    <t>UFLB45B1K5172R2</t>
  </si>
  <si>
    <t>UFLB44B1K072R2</t>
  </si>
  <si>
    <t>UFLB55B2W172R2</t>
  </si>
  <si>
    <t>L2B KAMINA 5/5</t>
  </si>
  <si>
    <t>UFLB56L2K072R2</t>
  </si>
  <si>
    <t>UFLB66B3K072R2</t>
  </si>
  <si>
    <t>L3B KAMINA 6/6</t>
  </si>
  <si>
    <t>LB77B3K5172R1Z22</t>
  </si>
  <si>
    <t>L3B KAMINA 7/7</t>
  </si>
  <si>
    <t>L3 KAMINA 6/6</t>
  </si>
  <si>
    <t>UFLB77L3K5172R2</t>
  </si>
  <si>
    <t>L3 KAMINA 7/7</t>
  </si>
  <si>
    <t>UFMRT45J4X102L2</t>
  </si>
  <si>
    <t>UFM145J7X172R2</t>
  </si>
  <si>
    <t>UFM166J0X172R2</t>
  </si>
  <si>
    <t>MPY</t>
  </si>
  <si>
    <t>400M1008</t>
  </si>
  <si>
    <t>BAC M10 P15,4 C33 GRIS 30241012B70</t>
  </si>
  <si>
    <t>400N7003</t>
  </si>
  <si>
    <t>BAC N70 P0 C46.5 NOIR A LISTEAUX MONBAT</t>
  </si>
  <si>
    <t>BAC NS40 P0 NOIR SANS LISTEAUX 27181001B70        A</t>
  </si>
  <si>
    <t>BAC NS40 P0 NOIR V250 LISTEAUX KOREAN 2B221014B70 A</t>
  </si>
  <si>
    <t>BAC NS60 P0 C34 NOIR 27251002B74                  A</t>
  </si>
  <si>
    <t>COUV L1 EK DROITE NOIR 25032084B70                A</t>
  </si>
  <si>
    <t>COUV L2 EK DROITE NOIR 24582125P70                A</t>
  </si>
  <si>
    <t>COUV. L3 EURO KAM DROITE NOIR 21152167B70         A</t>
  </si>
  <si>
    <t>COUV. L5 EK DROITE NOIR 21162166B70               A</t>
  </si>
  <si>
    <t>COUV M10 G NOIR RS 2D032002B70                    A</t>
  </si>
  <si>
    <t>COUV M10 D NOIR RS 2D032001B70                    A</t>
  </si>
  <si>
    <t>420M1140</t>
  </si>
  <si>
    <t>COUV M11 G NOIR RS 2D062003B70                    A</t>
  </si>
  <si>
    <t>420M1141</t>
  </si>
  <si>
    <t>COUV M11 D NOIR RS 2D062001B70                    A</t>
  </si>
  <si>
    <t>OIL MAGIQUE 40 MM AKUMSA                          A</t>
  </si>
  <si>
    <t>500E0195</t>
  </si>
  <si>
    <t>ETIQ BAC NOUR MARINE GF 140/300</t>
  </si>
  <si>
    <t>500E0196</t>
  </si>
  <si>
    <t>ETIQ BAC PREMIUM L1 NOUVEAU DESIGN  170/95</t>
  </si>
  <si>
    <t>500E0197</t>
  </si>
  <si>
    <t>ETIQ BAC PREMIUM L1B NOUVEAU DESIGN 170/85</t>
  </si>
  <si>
    <t>500E0198</t>
  </si>
  <si>
    <t>ETIQ BAC PREMIUM L2 NOUVEAU DESIGN 210/95</t>
  </si>
  <si>
    <t>500E0199</t>
  </si>
  <si>
    <t>ETIQ BAC PREMIUM L2B NOUVEAU DESIGN 210/85</t>
  </si>
  <si>
    <t>500E0200</t>
  </si>
  <si>
    <t>ETIQ BAC PREMIUM L3 NOUVEAU DESIGN  240/95</t>
  </si>
  <si>
    <t>500E0201</t>
  </si>
  <si>
    <t>ETIQ BAC PREMIUM L3B  NOUVEAU DESIGN 240/85</t>
  </si>
  <si>
    <t>500E0202</t>
  </si>
  <si>
    <t>ETIQ BAC PREMIUM M10 NOUVEAU DESIGN 115/230</t>
  </si>
  <si>
    <t>500E0203</t>
  </si>
  <si>
    <t>ETIQ BAC PREMIUM M11  NOUVEAU DESIGN  115/270</t>
  </si>
  <si>
    <t>500E0204</t>
  </si>
  <si>
    <t>ETIQ BAC PREMIUM M12 NOUVEAU DESIGN 115/310</t>
  </si>
  <si>
    <t>500E0205</t>
  </si>
  <si>
    <t>ETIQ BAC HEAVU DUTY HD2  210/95</t>
  </si>
  <si>
    <t>500E0206</t>
  </si>
  <si>
    <t>ETIQ BAC HEAVY DUTY HD3  240/95</t>
  </si>
  <si>
    <t>500E0207</t>
  </si>
  <si>
    <t>ETIQ BAC HEAVY DUTY HD10  230/115</t>
  </si>
  <si>
    <t>500E0208</t>
  </si>
  <si>
    <t>ETIQ BAC HD11 270/115</t>
  </si>
  <si>
    <t>500E0213</t>
  </si>
  <si>
    <t>ETIQ BAC NOUR JUMBO M14 120AH 135/310</t>
  </si>
  <si>
    <t>500E0215</t>
  </si>
  <si>
    <t>ETIQ BAC NOUR JUMBO M15S 170AH 135/310</t>
  </si>
  <si>
    <t>500E0216</t>
  </si>
  <si>
    <t>ETIQ BAC NOUR JUMBO M16 180AH 140/310</t>
  </si>
  <si>
    <t>500E0219</t>
  </si>
  <si>
    <t>ETIQ BAC NOUR POWER PL2 55 AH 92/205</t>
  </si>
  <si>
    <t>500E0221</t>
  </si>
  <si>
    <t>ETIQ BAC NOUR POWER PL3 66AH 92/235</t>
  </si>
  <si>
    <t>500E0223</t>
  </si>
  <si>
    <t>ETIQ BAC NOUR POWER PL5 88AH 95/280</t>
  </si>
  <si>
    <t>500E0226</t>
  </si>
  <si>
    <t>ETIQ BAC NOUR POWER PM12 95AH 115/300</t>
  </si>
  <si>
    <t>500E0231</t>
  </si>
  <si>
    <t>ETIQ BAC NOUR POWER PL1B 44AH-380A  83/170</t>
  </si>
  <si>
    <t>500E0235</t>
  </si>
  <si>
    <t>ETIQ BAC PREMIUM NS40 155x90</t>
  </si>
  <si>
    <t>500E0236</t>
  </si>
  <si>
    <t>ETIQ BACPREMIUM  D23 190*95</t>
  </si>
  <si>
    <t>500E0237</t>
  </si>
  <si>
    <t>ETIQ BAC PREMIUM D26 220*95</t>
  </si>
  <si>
    <t>500E0238</t>
  </si>
  <si>
    <t>ETIQ BAC PREMIUMD31 250*100</t>
  </si>
  <si>
    <t>500E0239</t>
  </si>
  <si>
    <t>ETIQ BAC PREMIUM NS60 190*100</t>
  </si>
  <si>
    <t>500E0240</t>
  </si>
  <si>
    <t>ETIQ BAC NOUR JUMBO M14 MF 140AH 310X130</t>
  </si>
  <si>
    <t>500E0242</t>
  </si>
  <si>
    <t>ETIQ BAC NOUR JUMBO M16 MF 200AH 310X130</t>
  </si>
  <si>
    <t>500X0319</t>
  </si>
  <si>
    <t>ETIQ BAC PREMIUM 110 NOUV DESIGN 204/135</t>
  </si>
  <si>
    <t>500X0320</t>
  </si>
  <si>
    <t>ETIQ BAC L3 AUTOPOWER 240x95</t>
  </si>
  <si>
    <t>500X0341</t>
  </si>
  <si>
    <t>ETIQUETTE T10 BAC  50AH 160/90 L1</t>
  </si>
  <si>
    <t>500x0346</t>
  </si>
  <si>
    <t>510HDL02</t>
  </si>
  <si>
    <t>ETIQ COUV HEAVY DUTY HD2 110/30</t>
  </si>
  <si>
    <t>510HDL03</t>
  </si>
  <si>
    <t>ETIQ COUV HEAVY DUTY HD3 110/30</t>
  </si>
  <si>
    <t>510HDM10</t>
  </si>
  <si>
    <t>ETIQ COUV HEAVY DUTY HDM10 210/40</t>
  </si>
  <si>
    <t>510HDM11</t>
  </si>
  <si>
    <t>ETIQ COUV HEAVY DUTY HDM11 210/40</t>
  </si>
  <si>
    <t>510J1402</t>
  </si>
  <si>
    <t>ETIQ COUV NOUR JUMBO M14 40/210 NOUV DESIGN</t>
  </si>
  <si>
    <t>510J1503</t>
  </si>
  <si>
    <t>ETIQ COUV NOUR JUMBO M15 40/210 NOUV DESIGN</t>
  </si>
  <si>
    <t>510J1504</t>
  </si>
  <si>
    <t>ETIQ COUV NOUR JUMBO M15S 40/210 NOUV DESIGN</t>
  </si>
  <si>
    <t>510J1602</t>
  </si>
  <si>
    <t>ETIQ COUV NOUR JUMBO M16 40/210 NOUV DESIGN</t>
  </si>
  <si>
    <t>510J1603</t>
  </si>
  <si>
    <t>ETIQ COUV NOUR JUMBO M16 MF 200AH 360X190</t>
  </si>
  <si>
    <t>510PL0109</t>
  </si>
  <si>
    <t>ETIQ COUV NOUR POWER PL1 44 AH 30/110 NOUV DESIGN</t>
  </si>
  <si>
    <t>510PL0211</t>
  </si>
  <si>
    <t>ETIQ COUV NOUR POWER PL2 55AH</t>
  </si>
  <si>
    <t>510PL0505</t>
  </si>
  <si>
    <t>ETIQ COUV NOUR POWER PL5 88AH 30/110 NOUV DESIGN</t>
  </si>
  <si>
    <t>510PM1105</t>
  </si>
  <si>
    <t>ETIQ COUV NOUR POWER PM11 90AH 40/210 NOUV DESIGN</t>
  </si>
  <si>
    <t>510PM1206</t>
  </si>
  <si>
    <t>ETIQ COUV NOUR POWER PM12 95AH 40/210 NOUV DESIGN</t>
  </si>
  <si>
    <t>510PM1208</t>
  </si>
  <si>
    <t>ETIQ COUV NPOWER PM12S 110AH 40/210 NOUV DE</t>
  </si>
  <si>
    <t>510PRD31</t>
  </si>
  <si>
    <t>ETIQ COUV PR D31 100Ah 700A 280*50</t>
  </si>
  <si>
    <t>510PRL1H</t>
  </si>
  <si>
    <t>ETIQ COUV NOUVEAU DESIGN PRL1 118/50</t>
  </si>
  <si>
    <t>510PRL2B</t>
  </si>
  <si>
    <t>ETIQ COUV NOUVEAU DESIGN PRL2B 138/50</t>
  </si>
  <si>
    <t>510PRL2H</t>
  </si>
  <si>
    <t>ETIQ COUV NOUVEAU DESIGN PRL2 138/50</t>
  </si>
  <si>
    <t>510PRL3B</t>
  </si>
  <si>
    <t>ETIQ COUV NOUVEAU DESIGN PRL3B 115/50</t>
  </si>
  <si>
    <t>510PRL3H</t>
  </si>
  <si>
    <t>ETIQ COUV NOUVEAU DESIGN PREMIUM L3 115/50</t>
  </si>
  <si>
    <t>510PRM10</t>
  </si>
  <si>
    <t>ETIQ COUV NOUVEAU DESIGN PRM10 210/40</t>
  </si>
  <si>
    <t>510PRM11</t>
  </si>
  <si>
    <t>ETIQ COUV NOUVEAU DESIGN PRM11 210/40</t>
  </si>
  <si>
    <t>510PRM12</t>
  </si>
  <si>
    <t>ETIQ COUV NOUVEAU DESIGN PRM12 210/40</t>
  </si>
  <si>
    <t>510PRNS40</t>
  </si>
  <si>
    <t>ETIQ COUV PR NS40 40AH 330A 185x45</t>
  </si>
  <si>
    <t>510PRNS60</t>
  </si>
  <si>
    <t>ETIQ COUV PR NS60 45AH 410A 220*45</t>
  </si>
  <si>
    <t>510SML011</t>
  </si>
  <si>
    <t>ETIQ COUV S1 118/50 FAI</t>
  </si>
  <si>
    <t>510SML02</t>
  </si>
  <si>
    <t>ETIQ COUV S2 148/70</t>
  </si>
  <si>
    <t>510SML05</t>
  </si>
  <si>
    <t>ETIQ COUV S5 160/70</t>
  </si>
  <si>
    <t>510TCP01</t>
  </si>
  <si>
    <t>ETIQ COUV MIXTE CATEGORIE ET INSTALL DANGER PREMI</t>
  </si>
  <si>
    <t>510TCP03</t>
  </si>
  <si>
    <t>ETIQ COUV MIXTE CATEGORIE ET INTSALL DANGER PREMI</t>
  </si>
  <si>
    <t>510TCP110</t>
  </si>
  <si>
    <t>ETIQ COUV MIXTE CATE ET INSTALL DANG PREMIUM 110</t>
  </si>
  <si>
    <t>510TCS011</t>
  </si>
  <si>
    <t>ETIQ COUV MIXTE CATEGORI SMART S1 56/50 FAI</t>
  </si>
  <si>
    <t>510TCS021</t>
  </si>
  <si>
    <t>ETIQ COUV MIXTE CATEGORI SMART S2 66/50 FAI</t>
  </si>
  <si>
    <t>510TCS05</t>
  </si>
  <si>
    <t>ETIQ COUV MIXTE CATEGORIE ET INSTALL DANGER SMART</t>
  </si>
  <si>
    <t>510TCS051</t>
  </si>
  <si>
    <t>ETIQ COUV MIXTE CATEGORI S5 148/50 FAI</t>
  </si>
  <si>
    <t>520X0046</t>
  </si>
  <si>
    <t>ETIQ MIXTE HD  CAT B POUR HD 30*55</t>
  </si>
  <si>
    <t>521X0281</t>
  </si>
  <si>
    <t>ETIQ COUV PRM110 130/40</t>
  </si>
  <si>
    <t>521X0292</t>
  </si>
  <si>
    <t>ETIQ COUV1 L3 74AH STARTER LYBIE MF 115/50</t>
  </si>
  <si>
    <t>521X0298</t>
  </si>
  <si>
    <t>ETIQ BAC  ENERGY BATTERY  PF 176/88</t>
  </si>
  <si>
    <t>521X0299</t>
  </si>
  <si>
    <t>ETIQ BAC ENERGY BATTERY MF 238/88</t>
  </si>
  <si>
    <t>521X0309</t>
  </si>
  <si>
    <t>ETIQ COUV POW EXP GRIS L3B 63AH 600A 30/90</t>
  </si>
  <si>
    <t>521X0311</t>
  </si>
  <si>
    <t>ETIQ COUV POW EXP L5 SE</t>
  </si>
  <si>
    <t>521X0312</t>
  </si>
  <si>
    <t>ETIQ COUV POW EXP L5 SE 100 AH 820 A</t>
  </si>
  <si>
    <t>521X0331</t>
  </si>
  <si>
    <t>ETIQ COUV L3 AUTOPOWER 70AH-590A 115x50</t>
  </si>
  <si>
    <t>521X0332</t>
  </si>
  <si>
    <t>ETIQ MIXTE L3 AUTOPOWER 115x50</t>
  </si>
  <si>
    <t>521x0403</t>
  </si>
  <si>
    <t>521x0404</t>
  </si>
  <si>
    <t>521x0405</t>
  </si>
  <si>
    <t>521x0406</t>
  </si>
  <si>
    <t>580C0010</t>
  </si>
  <si>
    <t>Carton box J6 MF55D23L 232X180X232</t>
  </si>
  <si>
    <t>580C0011</t>
  </si>
  <si>
    <t>Carton box MF55559 L2 250X180X200</t>
  </si>
  <si>
    <t>320MRTN</t>
  </si>
  <si>
    <t>GRILLE MRT -</t>
  </si>
  <si>
    <t>320MRTP</t>
  </si>
  <si>
    <t>GRILLE MRT +</t>
  </si>
  <si>
    <t>320PMN</t>
  </si>
  <si>
    <t>GRILLE M-</t>
  </si>
  <si>
    <t>Grille essai ET calcuim</t>
  </si>
  <si>
    <t>Grille essai PT calcuim</t>
  </si>
  <si>
    <t>Grille essai TT calcuim</t>
  </si>
  <si>
    <t>Grille essai ET  (  1,8%)</t>
  </si>
  <si>
    <t>POUDR DE BOIS</t>
  </si>
  <si>
    <t>FICHE SUIVEUSE VERT PETIT FORMAT</t>
  </si>
  <si>
    <t>REBUT PATE</t>
  </si>
  <si>
    <t>REBUT PLAQUE</t>
  </si>
  <si>
    <t>GRILLE TUB</t>
  </si>
  <si>
    <t>PR01</t>
  </si>
  <si>
    <t>820XMC274</t>
  </si>
  <si>
    <t>FER UPN 80 DE 06M</t>
  </si>
  <si>
    <t>spare parts</t>
  </si>
  <si>
    <t>COUDE A SOUDER GALVA Ø 40/49</t>
  </si>
  <si>
    <t>KIT COLLIER DE FIXATION GALV 50.</t>
  </si>
  <si>
    <t>BAGUETTE BRAZURE 4MM 9PC/KG</t>
  </si>
  <si>
    <t>BOUCHON GALVA 50/60</t>
  </si>
  <si>
    <t>COUDE GAL 40/49 FF</t>
  </si>
  <si>
    <t>RACCORD 3P GAL 40/49</t>
  </si>
  <si>
    <t>TUBE GAL 40/49</t>
  </si>
  <si>
    <t>820TUB755</t>
  </si>
  <si>
    <t>TUBE CARRE INOX 40 *4mm</t>
  </si>
  <si>
    <t>RACCORD RESERVOIR 2" MALE</t>
  </si>
  <si>
    <t>812EMB008</t>
  </si>
  <si>
    <t>EMBOUT FILETE PVC PR 63-50*2" FEMELLE</t>
  </si>
  <si>
    <t>812MON717</t>
  </si>
  <si>
    <t>MANCHON PVC PR 50</t>
  </si>
  <si>
    <t>830XOU199</t>
  </si>
  <si>
    <t>POME A GRAISSE PNEUMATIQUE</t>
  </si>
  <si>
    <t>830CLE840</t>
  </si>
  <si>
    <t>PINCE UNIVERSELLE 180mm</t>
  </si>
  <si>
    <t>830CLE839</t>
  </si>
  <si>
    <t>PINCE COUPANTE</t>
  </si>
  <si>
    <t>830CLE858</t>
  </si>
  <si>
    <t>JX TOURNEVIS ELEC</t>
  </si>
  <si>
    <t>820TUB021</t>
  </si>
  <si>
    <t>AXE CUIVRE D25</t>
  </si>
  <si>
    <t>810PAR019</t>
  </si>
  <si>
    <t>PARAHUIKE 25*42*7</t>
  </si>
  <si>
    <t>810ROU023</t>
  </si>
  <si>
    <t>ROULEMENT 6202 2Z</t>
  </si>
  <si>
    <t>810ROU003</t>
  </si>
  <si>
    <t>ROULEMENT YAR 207</t>
  </si>
  <si>
    <t>830XOU352</t>
  </si>
  <si>
    <t>TEFLON ADHESIF 0,08mm*1000*1000</t>
  </si>
  <si>
    <t>M</t>
  </si>
  <si>
    <t>VIS SIX PANS M4*10</t>
  </si>
  <si>
    <t>VIS SIX PANS M4*20</t>
  </si>
  <si>
    <t>VIS SIX PANS M4*30</t>
  </si>
  <si>
    <t>VIS SIX PANS M4*40</t>
  </si>
  <si>
    <t>PINCEAU PLAT 20</t>
  </si>
  <si>
    <t>PINCEAU PLAT 40</t>
  </si>
  <si>
    <t>PINCEAU PLAT 60</t>
  </si>
  <si>
    <t>COLLE SUPER GLUE 20G</t>
  </si>
  <si>
    <t>DISQUE A TRONÇONNER INOX 125X1X22,2</t>
  </si>
  <si>
    <t>DISQUE LAMEL 115 Z60 INOX</t>
  </si>
  <si>
    <t>HUILE DEGRIPANT 0,9L</t>
  </si>
  <si>
    <t>LAME DE SCIE METAUX VIKING</t>
  </si>
  <si>
    <t>VIS TH 10X120 GALVA</t>
  </si>
  <si>
    <t>LAME DE CUTTEUR</t>
  </si>
  <si>
    <t>Scotch chatterton Grand taille</t>
  </si>
  <si>
    <t xml:space="preserve">POMPE RETOUCHE GRIS </t>
  </si>
  <si>
    <t>812RAC592 </t>
  </si>
  <si>
    <t xml:space="preserve"> Raccord rapide avec limiteur 6*1/8</t>
  </si>
  <si>
    <t>Raccord rapide avec limiteur 6*1/4</t>
  </si>
  <si>
    <t>812RAC587</t>
  </si>
  <si>
    <t xml:space="preserve">RACCORD RAPIDE EN TEE TUBE D6 - G1/4 </t>
  </si>
  <si>
    <t>812RED602</t>
  </si>
  <si>
    <t xml:space="preserve">RACCORD UNION INEGALE D04-D06 </t>
  </si>
  <si>
    <t>812RAC041</t>
  </si>
  <si>
    <t xml:space="preserve">RACCORD RAPIDE DROIT G-1/4-8 </t>
  </si>
  <si>
    <t> 812RAC031 </t>
  </si>
  <si>
    <t>RACCORD RAPIDE EN TEE TUBE D8 - G1/4</t>
  </si>
  <si>
    <t>812RAC066   </t>
  </si>
  <si>
    <t xml:space="preserve">RACCORD COUDE 1/8 TUBE D8 </t>
  </si>
  <si>
    <t>-</t>
  </si>
  <si>
    <t xml:space="preserve">REGULATEUR DE DEBIT TUBE D12 G1/4 </t>
  </si>
  <si>
    <t>812RAC593</t>
  </si>
  <si>
    <t xml:space="preserve">REGULATEUR DE DEBIT TUBE D8 G1/8 </t>
  </si>
  <si>
    <t>812RAC229</t>
  </si>
  <si>
    <t xml:space="preserve">REGULATEUR DE DEBIT TUBE D10 G3/8 </t>
  </si>
  <si>
    <t xml:space="preserve"> 812rac594</t>
  </si>
  <si>
    <t xml:space="preserve">REGULATEUR DE DEBIT TUBE D10 G1/8 </t>
  </si>
  <si>
    <t>812RAC015  </t>
  </si>
  <si>
    <t xml:space="preserve">RACCORD UNION EGALE D10 </t>
  </si>
  <si>
    <t>812TTE618  </t>
  </si>
  <si>
    <t>RACCORD RAPIDE EN TE D10</t>
  </si>
  <si>
    <t xml:space="preserve">REGULATEUR DEBIT D8 </t>
  </si>
  <si>
    <t xml:space="preserve">REGULATEUR DEBIT D6 </t>
  </si>
  <si>
    <t>812RAC088 </t>
  </si>
  <si>
    <t xml:space="preserve">RACCORD UNION INEGALE D10-D12 </t>
  </si>
  <si>
    <t>812RAC185</t>
  </si>
  <si>
    <t xml:space="preserve">RACCORD RAPIDE DROIT G3/8 -10 </t>
  </si>
  <si>
    <t>812RAC222 </t>
  </si>
  <si>
    <t xml:space="preserve">RACCORD RAPIDE COUDE G1/4- 10 </t>
  </si>
  <si>
    <t xml:space="preserve">RACCORD RAPIDE COUDE G3/8- 10 </t>
  </si>
  <si>
    <t xml:space="preserve">RACCORD RAPIDE COUDE G3/8- 12 </t>
  </si>
  <si>
    <t xml:space="preserve">BOUCHON PLASTIC T12 </t>
  </si>
  <si>
    <t>812RAC094</t>
  </si>
  <si>
    <t>RACCORD UNION INEGALE D06-D08</t>
  </si>
  <si>
    <t>RACCORD UNION INEGALE D06-D10</t>
  </si>
  <si>
    <t>ACCOUPLEMENT ALIMINUIM ELASTIQUE 10/08</t>
  </si>
  <si>
    <t>ACCOUPLEMENT ELAQTIQUE 10/10</t>
  </si>
  <si>
    <t>701ELE002</t>
  </si>
  <si>
    <t>CARTE sortie Redresseur CS20007/03  RED2010</t>
  </si>
  <si>
    <t>701ELE006</t>
  </si>
  <si>
    <t>Thermocouple universal 120/M (sonde a gaz)</t>
  </si>
  <si>
    <t>701ELE007</t>
  </si>
  <si>
    <t>Corps Connecteur Harting Male 09300161420</t>
  </si>
  <si>
    <t>701ELE008</t>
  </si>
  <si>
    <t>Corps Connecteur Harting Femelle 09300161230</t>
  </si>
  <si>
    <t>701ELE011</t>
  </si>
  <si>
    <t>Alimentation stabilisé S8VK-C24024 OUT24VDC 10A</t>
  </si>
  <si>
    <t>701ele018</t>
  </si>
  <si>
    <t>Corps CONNECTOR 16 PINS FEMALE A3036349</t>
  </si>
  <si>
    <t>701ele019</t>
  </si>
  <si>
    <t>Bouchon Corps connecteur A3036271</t>
  </si>
  <si>
    <t>701ele020</t>
  </si>
  <si>
    <t>Corps CONNECTOR 6PINS Male double A3036328</t>
  </si>
  <si>
    <t>701ELE021</t>
  </si>
  <si>
    <t>Corps CONNECTOR 6PINS Female double A3036356</t>
  </si>
  <si>
    <t>701ELE024</t>
  </si>
  <si>
    <t>CARTE sortie Redresseur CS20007/01  RED2008/2009</t>
  </si>
  <si>
    <t>701ELE030</t>
  </si>
  <si>
    <t>CONNECTOR 16 PIN MALE 1207500000 FOR THERMOCOUPLE</t>
  </si>
  <si>
    <t>701ELE032</t>
  </si>
  <si>
    <t>CONNECTOR HARTING 6HSB STI  MALE 09310062601</t>
  </si>
  <si>
    <t>701ELE033</t>
  </si>
  <si>
    <t>Connector harting 6HSB-BU FEMELLE 09310062701</t>
  </si>
  <si>
    <t>701ELE049</t>
  </si>
  <si>
    <t>THERMOCOUPLE MOULE TYPE J D2*50 cable tressé</t>
  </si>
  <si>
    <t>un</t>
  </si>
  <si>
    <t>701ELE051</t>
  </si>
  <si>
    <t>Thermocouple 3*50mm cable tresse1625+FICHE COS4</t>
  </si>
  <si>
    <t>701ELE058</t>
  </si>
  <si>
    <t>Thermocouple Type K</t>
  </si>
  <si>
    <t>701ELE059</t>
  </si>
  <si>
    <t>Thermocouple D5*65mm (bulbe) pour plaque chauffan</t>
  </si>
  <si>
    <t>701ele066</t>
  </si>
  <si>
    <t>CONNECTOR 16 PIN FEMALE (A3036195) 1207700000</t>
  </si>
  <si>
    <t>701ELE068</t>
  </si>
  <si>
    <t>Sortie complet pour redresseur  ZU3000002</t>
  </si>
  <si>
    <t>701ELE077</t>
  </si>
  <si>
    <t>Thermocouple D4/L3000 0-400°C</t>
  </si>
  <si>
    <t>701ELE082</t>
  </si>
  <si>
    <t>Thermocouple PT100 3*165 3FILS  Fluxe COS</t>
  </si>
  <si>
    <t>701ELE086</t>
  </si>
  <si>
    <t>Sortie complet pour redresseur Kraft power</t>
  </si>
  <si>
    <t>701MEC028</t>
  </si>
  <si>
    <t>spring A0080588 ENV SOVEMA</t>
  </si>
  <si>
    <t>701MEC033</t>
  </si>
  <si>
    <t>transmission Ratio 0.5 A4007084</t>
  </si>
  <si>
    <t>701MEC039</t>
  </si>
  <si>
    <t>taillant F0080409/1 (Selecting NAIL) ENV SOVEMA</t>
  </si>
  <si>
    <t>701MEC041</t>
  </si>
  <si>
    <t>goujon gauche F0080625</t>
  </si>
  <si>
    <t>701MEC042</t>
  </si>
  <si>
    <t>goujon droit F0080143</t>
  </si>
  <si>
    <t>701MEC060</t>
  </si>
  <si>
    <t>BROSSE FLUXE COS</t>
  </si>
  <si>
    <t>701MEC061</t>
  </si>
  <si>
    <t>Navette LB ENV ELBAK</t>
  </si>
  <si>
    <t>701MEC062</t>
  </si>
  <si>
    <t>Navette M ENV ELBAK</t>
  </si>
  <si>
    <t>701MEC066</t>
  </si>
  <si>
    <t>JOINT VENTOUSE ENV HILANS</t>
  </si>
  <si>
    <t>701MEC069</t>
  </si>
  <si>
    <t>Brosse special M.Lavage HUANFA</t>
  </si>
  <si>
    <t>701MEC100</t>
  </si>
  <si>
    <t>JOINT VENTOUSE</t>
  </si>
  <si>
    <t>701MEC101</t>
  </si>
  <si>
    <t>Joint ventouse 3 etages</t>
  </si>
  <si>
    <t>702ELE004</t>
  </si>
  <si>
    <t>CONVERTISSEUR 100 MB A3028004</t>
  </si>
  <si>
    <t>702ELE020</t>
  </si>
  <si>
    <t>THERMOCOUPLE D2*100 A3025007</t>
  </si>
  <si>
    <t>702ELE060</t>
  </si>
  <si>
    <t>TRANSFORMATEUR ALLUMAGE A0.6 SA6</t>
  </si>
  <si>
    <t>702ELE062</t>
  </si>
  <si>
    <t>AMPERMETRE 0-30 A</t>
  </si>
  <si>
    <t>702ELE065</t>
  </si>
  <si>
    <t>AMPERMETRE 0-10 A</t>
  </si>
  <si>
    <t>702ELE096</t>
  </si>
  <si>
    <t>RESIST CONT D20X438 1500W 230V Creuset inf</t>
  </si>
  <si>
    <t>702ELE097</t>
  </si>
  <si>
    <t>RESIST CARTOUCHE D20X561 2000W 230V (STRIP)</t>
  </si>
  <si>
    <t>702ELE100</t>
  </si>
  <si>
    <t>SUPPORT BAIONETTE SONDE TYPE J M12</t>
  </si>
  <si>
    <t>702MEC009</t>
  </si>
  <si>
    <t>COLLE 13 KG A9031033</t>
  </si>
  <si>
    <t>702MEC013</t>
  </si>
  <si>
    <t>MEMBRANE FILMTEC BW30 4040 (POUR OSMOSEUR)</t>
  </si>
  <si>
    <t>702MEC014</t>
  </si>
  <si>
    <t>Flotteur mecanique pour cyterne d'eau</t>
  </si>
  <si>
    <t>702MEC019</t>
  </si>
  <si>
    <t>ROULEAU SOVEMA</t>
  </si>
  <si>
    <t>702MEC023</t>
  </si>
  <si>
    <t>FLOTTEUR STRIP F0076027</t>
  </si>
  <si>
    <t>702MEC029</t>
  </si>
  <si>
    <t>Flotteur electrique 5M pour cyterne d'eau</t>
  </si>
  <si>
    <t>702MEC040</t>
  </si>
  <si>
    <t>Handle valve CAM 08F A7008016  COS</t>
  </si>
  <si>
    <t>702MECO77</t>
  </si>
  <si>
    <t>VERIN A7005732 D80 C35 PN05374.35 PANIER COS</t>
  </si>
  <si>
    <t>703MEC011</t>
  </si>
  <si>
    <t>Toc en plastique oxyde</t>
  </si>
  <si>
    <t>703SAC001</t>
  </si>
  <si>
    <t>SAC MANCHE FILTRANTE D120/L1530/NOMEX OXYDE</t>
  </si>
  <si>
    <t>705ELE001</t>
  </si>
  <si>
    <t>CAPTEUR A3013220 LR 110 TB 385</t>
  </si>
  <si>
    <t>705ELE002</t>
  </si>
  <si>
    <t>CAPTEUR A3013221 LT110 TB 385 TBAS</t>
  </si>
  <si>
    <t>705MEC004</t>
  </si>
  <si>
    <t>Lame TEKMAX 937 3PT HARD CB 20072108</t>
  </si>
  <si>
    <t>705MEC005</t>
  </si>
  <si>
    <t>Contre lame TEKMAX 105 BLADE CREASE 75*915</t>
  </si>
  <si>
    <t>707ELE009</t>
  </si>
  <si>
    <t>Cable connection  L500mm</t>
  </si>
  <si>
    <t>707ELE010</t>
  </si>
  <si>
    <t>Cable connection P+N L3000mm</t>
  </si>
  <si>
    <t>707MEC005</t>
  </si>
  <si>
    <t>Plastic bearing for water bath roller charge</t>
  </si>
  <si>
    <t>707MEC012</t>
  </si>
  <si>
    <t>Regulator SNSAL4000 M.Nivelage</t>
  </si>
  <si>
    <t>707MEC013</t>
  </si>
  <si>
    <t>Regulator SNS AL2000 M.Nivelage</t>
  </si>
  <si>
    <t>708ELE029</t>
  </si>
  <si>
    <t>Capteur de fin course verin GMSG-020</t>
  </si>
  <si>
    <t>710ELE002</t>
  </si>
  <si>
    <t>Transformer 10/20 MA A3013067  S.Conexion</t>
  </si>
  <si>
    <t>710ELE003</t>
  </si>
  <si>
    <t>Transformer 200/20 MA A3021023  S.Conexion</t>
  </si>
  <si>
    <t>710ELE004</t>
  </si>
  <si>
    <t>Relay H24-1A69 A3015757 S.Conexion</t>
  </si>
  <si>
    <t>710ELE005</t>
  </si>
  <si>
    <t>Resistance A3015308 2500W LH/RH  MOULE M11</t>
  </si>
  <si>
    <t>710ELE006</t>
  </si>
  <si>
    <t>Servo motor A0269679 1FK7063-2AC71-1RG0 ENV S</t>
  </si>
  <si>
    <t>710ELE007</t>
  </si>
  <si>
    <t>Variable viltage auto transformer A3013038 S.C</t>
  </si>
  <si>
    <t>710ele008</t>
  </si>
  <si>
    <t>Impeller (turbine) F04258 Pompe plomb COS</t>
  </si>
  <si>
    <t>710ele009</t>
  </si>
  <si>
    <t>Body valve (Corps) F60542 Pompe plomb COS</t>
  </si>
  <si>
    <t>710ele010</t>
  </si>
  <si>
    <t>Pump Flange (Bride) F04251 Pompe plomb COS</t>
  </si>
  <si>
    <t>710ele011</t>
  </si>
  <si>
    <t>Pump SNAIL (Corps) F04261 Pmp plomb M.bille</t>
  </si>
  <si>
    <t>710ELE048</t>
  </si>
  <si>
    <t>Resistance A3013416 D12.5xL310 1000W</t>
  </si>
  <si>
    <t>710ELE049</t>
  </si>
  <si>
    <t>Resistance A3013646 (A3013405) D15.7xL960 5000W 2</t>
  </si>
  <si>
    <t>710mec002</t>
  </si>
  <si>
    <t>Contre Lame de coupe F0109648</t>
  </si>
  <si>
    <t>710MEC006</t>
  </si>
  <si>
    <t>PUFFER D.15 A1503311 ENV SOVEMA</t>
  </si>
  <si>
    <t>710MEC007</t>
  </si>
  <si>
    <t>PUFFER D.20 A1503312 ENV SOVEMA</t>
  </si>
  <si>
    <t>710MEC008</t>
  </si>
  <si>
    <t>Cylindre A7006324 ENV SOVEMA</t>
  </si>
  <si>
    <t>710MEC009</t>
  </si>
  <si>
    <t>Cylindre A7006325 ENV SOVEMA</t>
  </si>
  <si>
    <t>710MEC010</t>
  </si>
  <si>
    <t>Tateur F0080406 (Squencer tracer) ENV SO</t>
  </si>
  <si>
    <t>710MEC011</t>
  </si>
  <si>
    <t>Tateur F0080407 (Feeler Pin) ENV SO</t>
  </si>
  <si>
    <t>710MEC012</t>
  </si>
  <si>
    <t>Clavette F0080416 (Selecting Key) ENV SO</t>
  </si>
  <si>
    <t>710MEC013</t>
  </si>
  <si>
    <t>Bracket F0080001 ENV SOVEMA</t>
  </si>
  <si>
    <t>710MEC014</t>
  </si>
  <si>
    <t>Filtre a huile Groupe hydrolique MF100 3 A2SHB</t>
  </si>
  <si>
    <t>710MEC017</t>
  </si>
  <si>
    <t>Turbine pompe cos fonte suivant plan</t>
  </si>
  <si>
    <t>710MEC018</t>
  </si>
  <si>
    <t>Connecteur staubli RMI 09.2812/JV A7004025</t>
  </si>
  <si>
    <t>710MEC019</t>
  </si>
  <si>
    <t>Ammotisseur-A6514029</t>
  </si>
  <si>
    <t>710MEC020</t>
  </si>
  <si>
    <t>Ammotisseur-A6514027</t>
  </si>
  <si>
    <t>710MEC022</t>
  </si>
  <si>
    <t>Accouplement  A0110739 ENV SOVEMA</t>
  </si>
  <si>
    <t>710MEC023</t>
  </si>
  <si>
    <t>Distributeur F27227 COS</t>
  </si>
  <si>
    <t>710MEC024</t>
  </si>
  <si>
    <t>Roller GCC 24 With dowels  Boite RED COS</t>
  </si>
  <si>
    <t>710MEC025</t>
  </si>
  <si>
    <t>Bride de Turbine pompe cos (fonte)</t>
  </si>
  <si>
    <t>710MEC026</t>
  </si>
  <si>
    <t>Pneumatic valve (fin de course) A7009345  COS</t>
  </si>
  <si>
    <t>710MEC029</t>
  </si>
  <si>
    <t>Junction link 1/2" A2001055 Chaine plaque ENV SOV</t>
  </si>
  <si>
    <t>710MEC300</t>
  </si>
  <si>
    <t>FLOW REGULATOR A7003009  Test Etancheite</t>
  </si>
  <si>
    <t>710XPM182</t>
  </si>
  <si>
    <t>Ressort SM</t>
  </si>
  <si>
    <t>712MEC001</t>
  </si>
  <si>
    <t>LAME EN BRONZE F0081596</t>
  </si>
  <si>
    <t>712MEC003</t>
  </si>
  <si>
    <t>ATTACCO F55202139</t>
  </si>
  <si>
    <t>713ELE002</t>
  </si>
  <si>
    <t>CARTE DSP MASTER CS20002/3/A (ZS3000363/3/A)</t>
  </si>
  <si>
    <t>713ELE004</t>
  </si>
  <si>
    <t>CARTE ALIMENTATION CS20003/2 (ZS3000457/2)</t>
  </si>
  <si>
    <t>713ELE005</t>
  </si>
  <si>
    <t>CARTE YH-028 Testeur HRD CH</t>
  </si>
  <si>
    <t>713MEC001</t>
  </si>
  <si>
    <t>SEAL GASKETS KIT - RR0002522</t>
  </si>
  <si>
    <t>713MEC002</t>
  </si>
  <si>
    <t>BOX GEARING 90° A4007067</t>
  </si>
  <si>
    <t>713MEC006</t>
  </si>
  <si>
    <t>SPACER - F51158</t>
  </si>
  <si>
    <t>713MEC039</t>
  </si>
  <si>
    <t>CYLINDER D.32 - A7005729 Brosse COS 1605.32.800.0</t>
  </si>
  <si>
    <t>713MEC041</t>
  </si>
  <si>
    <t>NYLON BRUSH - A9047086</t>
  </si>
  <si>
    <t>713MEC049</t>
  </si>
  <si>
    <t>COVER - F58001134</t>
  </si>
  <si>
    <t>713MEC063</t>
  </si>
  <si>
    <t>BUSE NIVELEUSE</t>
  </si>
  <si>
    <t>713MEC065</t>
  </si>
  <si>
    <t>CYLINDER A7005728 1511.32.20.AR FLUXE COS</t>
  </si>
  <si>
    <t>718MEC001</t>
  </si>
  <si>
    <t>bloc machine soudure borne</t>
  </si>
  <si>
    <t>720mec007</t>
  </si>
  <si>
    <t>JOINT COUTEAU INFERIEUR F0070867/2</t>
  </si>
  <si>
    <t>720mec008</t>
  </si>
  <si>
    <t>JOINTCOUTEAU SUPERIEUR F0076287/2</t>
  </si>
  <si>
    <t>725ELE100</t>
  </si>
  <si>
    <t>Taquimetre GEFRAN F0045 17</t>
  </si>
  <si>
    <t>725MEC003</t>
  </si>
  <si>
    <t>ELECTRODEM 19x23 H17.6 FM5 SOUDURE CONNEXION2</t>
  </si>
  <si>
    <t>725MEC006</t>
  </si>
  <si>
    <t>Butée centreur (Cuivre) S.Connexion</t>
  </si>
  <si>
    <t>726ELE004</t>
  </si>
  <si>
    <t>SONDE PT100 A3025027</t>
  </si>
  <si>
    <t>726ELE007</t>
  </si>
  <si>
    <t>CONTROLEUR TEMPERATURE &amp;E PD319-WHD96-22</t>
  </si>
  <si>
    <t>731rou006</t>
  </si>
  <si>
    <t>Rouleau en caoutchouc D77.5  TEKMAX</t>
  </si>
  <si>
    <t>731ROU007</t>
  </si>
  <si>
    <t>Roue Support fourche 75/85 BT STAXIO</t>
  </si>
  <si>
    <t>731ROU014</t>
  </si>
  <si>
    <t>Roue MOTRICE 75/318 BT STAXIO</t>
  </si>
  <si>
    <t>731ROU015</t>
  </si>
  <si>
    <t>Roue suppor fourche 95/85 6204 BT STAXIO 2009</t>
  </si>
  <si>
    <t>731ROU017</t>
  </si>
  <si>
    <t>Roue MOTRICE 70/318 ZSM12</t>
  </si>
  <si>
    <t>731ROU019</t>
  </si>
  <si>
    <t>Roue MOTRICE 75/318 BT STAXIO 2009</t>
  </si>
  <si>
    <t>731ROU021</t>
  </si>
  <si>
    <t>Roue Support fourche 75/85</t>
  </si>
  <si>
    <t>750FIL010</t>
  </si>
  <si>
    <t>FILTRE LIGNE DE RETOUR 02250117-782 SULLAIR AS75</t>
  </si>
  <si>
    <t>750HUI002</t>
  </si>
  <si>
    <t>Huile hydrolique Sollube 250022-669L SULLAIR75</t>
  </si>
  <si>
    <t>810ACC006</t>
  </si>
  <si>
    <t>ACCOUPLEMENT Aluminium GET 28*38 SG   ENV ELBAK</t>
  </si>
  <si>
    <t>810ACC007</t>
  </si>
  <si>
    <t>ACCOUPLEMENT GF-42 NN ENV TEKMAX</t>
  </si>
  <si>
    <t>810ACC008</t>
  </si>
  <si>
    <t>ACCOUPLEMENT HELICAL WA30-9-9   S.Connexion</t>
  </si>
  <si>
    <t>810AMM001</t>
  </si>
  <si>
    <t>AMORTISSEUR  CA2540 Soudure couvercle</t>
  </si>
  <si>
    <t>810CHA003</t>
  </si>
  <si>
    <t>CHAINE DOUBLE PAS 19.5 12B-2</t>
  </si>
  <si>
    <t>810CHA004</t>
  </si>
  <si>
    <t>Chaine 05B-1</t>
  </si>
  <si>
    <t>810CHA006</t>
  </si>
  <si>
    <t>Chaine 04B-1 PAS6mm Soudure borne</t>
  </si>
  <si>
    <t>810CHA007</t>
  </si>
  <si>
    <t>chaine SEDIS 06B1 ENG Emp classique</t>
  </si>
  <si>
    <t>810CHA010</t>
  </si>
  <si>
    <t>chaine a pas long 2040 ENV TEKMAX</t>
  </si>
  <si>
    <t>810CHA100</t>
  </si>
  <si>
    <t>chaines 010B-1</t>
  </si>
  <si>
    <t>810CHA101</t>
  </si>
  <si>
    <t>chaines 012B-1</t>
  </si>
  <si>
    <t>810CHA102</t>
  </si>
  <si>
    <t>chaines 06B-1</t>
  </si>
  <si>
    <t>810CHA103</t>
  </si>
  <si>
    <t>chaines 08B-1</t>
  </si>
  <si>
    <t>810CHA104</t>
  </si>
  <si>
    <t>chaines 08B-2x5M</t>
  </si>
  <si>
    <t>810CHA135</t>
  </si>
  <si>
    <t>Chaine 16B-1</t>
  </si>
  <si>
    <t>810COU001</t>
  </si>
  <si>
    <t>COURROIE VECA100D1045A40</t>
  </si>
  <si>
    <t>810COU003</t>
  </si>
  <si>
    <t>COURROIE MEGA DYINE 720 RPP8</t>
  </si>
  <si>
    <t>810COU004</t>
  </si>
  <si>
    <t>COURROIE 0725 3064</t>
  </si>
  <si>
    <t>810COU005</t>
  </si>
  <si>
    <t>COURROIE ENVELOPPEUSE A0131957</t>
  </si>
  <si>
    <t>810COU007</t>
  </si>
  <si>
    <t>COURROIE DHTD 1280 D8M LARG 50mm (STRIP)</t>
  </si>
  <si>
    <t>810COU008</t>
  </si>
  <si>
    <t>POULIE DOUBLE GORGE D118 MX 1610</t>
  </si>
  <si>
    <t>810COU013</t>
  </si>
  <si>
    <t>Courroie trapezoidale 10*1150</t>
  </si>
  <si>
    <t>810COU015</t>
  </si>
  <si>
    <t>Courroie Dentée 975/13   TEKMAX2</t>
  </si>
  <si>
    <t>810COU024</t>
  </si>
  <si>
    <t>Courroie Trapez A96/13 2470LD 13*2438LI TEKMAX</t>
  </si>
  <si>
    <t>810COU040</t>
  </si>
  <si>
    <t>Courroie dentee HTD450-5M15  S.Connexion</t>
  </si>
  <si>
    <t>810COU045</t>
  </si>
  <si>
    <t>Courroie dentée HTD 400-5M  S.Con L1+L2</t>
  </si>
  <si>
    <t>810COU050</t>
  </si>
  <si>
    <t>COURROIE DENTEE HTD 1375-5M   M.Lavage</t>
  </si>
  <si>
    <t>810COU051</t>
  </si>
  <si>
    <t>COURROIE 30HTD 8M-2104 G-J  ENV HILANS</t>
  </si>
  <si>
    <t>810COU052</t>
  </si>
  <si>
    <t>COURROIE 32HTD 14M-2772 G-J   ENV HILANS</t>
  </si>
  <si>
    <t>810COU053</t>
  </si>
  <si>
    <t>COURROIE 32HTD 14M-2940 G-J ENV HILANS</t>
  </si>
  <si>
    <t>810COU056</t>
  </si>
  <si>
    <t>COURROIE HRZ AT10-1470-25 ENV HILA</t>
  </si>
  <si>
    <t>810COU057</t>
  </si>
  <si>
    <t>COURROIE 25T5-1550 G-K ENV HILANS</t>
  </si>
  <si>
    <t>810COU058</t>
  </si>
  <si>
    <t>Courroie dentée HTD 350-5M</t>
  </si>
  <si>
    <t>810COU059</t>
  </si>
  <si>
    <t>Courroie magadyne dentee T5-510</t>
  </si>
  <si>
    <t>810COU064</t>
  </si>
  <si>
    <t>Courroie trapezoidale 1355*13 A52 VECO100  FRIGO</t>
  </si>
  <si>
    <t>810COU071</t>
  </si>
  <si>
    <t>Courroie trapez C87 2268LD 2210LI 22 T.FILTR</t>
  </si>
  <si>
    <t>810COU072</t>
  </si>
  <si>
    <t>COURROIE 13*686Li A27 (Pompe COS1)</t>
  </si>
  <si>
    <t>810COU115</t>
  </si>
  <si>
    <t>COURROIE 1425SPA</t>
  </si>
  <si>
    <t>810COU117</t>
  </si>
  <si>
    <t>COURROIE 1100/13 oxyde</t>
  </si>
  <si>
    <t>810COU120</t>
  </si>
  <si>
    <t>COURROIE 748/13 A28 (POUR COS)</t>
  </si>
  <si>
    <t>810COU123</t>
  </si>
  <si>
    <t>COURROIE SPA 982</t>
  </si>
  <si>
    <t>810COU125</t>
  </si>
  <si>
    <t>COURROIE TAPEZ 1900X17</t>
  </si>
  <si>
    <t>810COU128</t>
  </si>
  <si>
    <t>COURROIE Dentée 900/13   TEKMAX</t>
  </si>
  <si>
    <t>810COU129</t>
  </si>
  <si>
    <t>Courroie 2632X13 TEKMAX trapaiseidal</t>
  </si>
  <si>
    <t>810COU130</t>
  </si>
  <si>
    <t>Courroie 2400*12.7 TEKMAX</t>
  </si>
  <si>
    <t>810COU131</t>
  </si>
  <si>
    <t>Courroie SPB3070*16.3mm Filtre d'aspiration charg</t>
  </si>
  <si>
    <t>810COU132</t>
  </si>
  <si>
    <t>Courroie trapezoidale 1350*13  Cos4</t>
  </si>
  <si>
    <t>810COU136</t>
  </si>
  <si>
    <t>Courroie dentee AV 13*1125 GTX  ENV TEKMAX</t>
  </si>
  <si>
    <t>810COU252</t>
  </si>
  <si>
    <t>COURROIE HTD 2800 14M40</t>
  </si>
  <si>
    <t>810COU254</t>
  </si>
  <si>
    <t>COURROIE VECA 100-1800A70</t>
  </si>
  <si>
    <t>810COU255</t>
  </si>
  <si>
    <t>COURROIE 381mm VECA100  D2897C112</t>
  </si>
  <si>
    <t>810COU258</t>
  </si>
  <si>
    <t>courroi HTD-1175-5M</t>
  </si>
  <si>
    <t>810COU259</t>
  </si>
  <si>
    <t>courroi dent interieur MEGA PYNE T5  750x10</t>
  </si>
  <si>
    <t>810cou264</t>
  </si>
  <si>
    <t>courroi trapeze ? 3070SPB</t>
  </si>
  <si>
    <t>810cou265</t>
  </si>
  <si>
    <t>COURROIE 300L 80dents COS</t>
  </si>
  <si>
    <t>810cou267</t>
  </si>
  <si>
    <t>COURROIE VECA100 2054 B79</t>
  </si>
  <si>
    <t>810DOU002</t>
  </si>
  <si>
    <t>DOUILLE a bille KB1636PP   VERIN DE BLOC</t>
  </si>
  <si>
    <t>810DOU005</t>
  </si>
  <si>
    <t>DOUILLE a bille INA KB30-99-AS  30*47*68 Fardeleu</t>
  </si>
  <si>
    <t>810DOU007</t>
  </si>
  <si>
    <t>Douille a billes KB20-PP Fardeleuse1</t>
  </si>
  <si>
    <t>810GOU007</t>
  </si>
  <si>
    <t>Goujon d'echappement M12*50  Moule COS3</t>
  </si>
  <si>
    <t>810GOU008</t>
  </si>
  <si>
    <t>Ecrou d'echappement M12     Moule COS3</t>
  </si>
  <si>
    <t>810MAN0016</t>
  </si>
  <si>
    <t>Manomètre avec glycerine G1/4 63mm 0-6bar OSMOSEU</t>
  </si>
  <si>
    <t>810MAN0017</t>
  </si>
  <si>
    <t>Manomètre avec glycerine G1/4 63mm 0-10bar OSMOSE</t>
  </si>
  <si>
    <t>810man007</t>
  </si>
  <si>
    <t>Manometre acetylene chalumeau avec reglage</t>
  </si>
  <si>
    <t>810MAN008</t>
  </si>
  <si>
    <t>MANOMETRE AIR DN100 600mBAR   1/2"</t>
  </si>
  <si>
    <t>810MAN011</t>
  </si>
  <si>
    <t>Manometre de pression Huile 0-250bar</t>
  </si>
  <si>
    <t>810MAN012</t>
  </si>
  <si>
    <t>Manometre acet/oxyg chalumeau</t>
  </si>
  <si>
    <t>810MAN013</t>
  </si>
  <si>
    <t>Manometre 0-0.016 MP G1/8  Test etanch CH</t>
  </si>
  <si>
    <t>810MAN014</t>
  </si>
  <si>
    <t>Manomètre Propane 6 bar</t>
  </si>
  <si>
    <t>810MAN191</t>
  </si>
  <si>
    <t>Manomètre A gaz 4 bar</t>
  </si>
  <si>
    <t>810MAN192</t>
  </si>
  <si>
    <t>Manomètre CO2 200bar</t>
  </si>
  <si>
    <t>810man194</t>
  </si>
  <si>
    <t>MANOMETRE 600mBAR</t>
  </si>
  <si>
    <t>810man195</t>
  </si>
  <si>
    <t>MANOMETRE 0-16 BAR</t>
  </si>
  <si>
    <t>810PAL015</t>
  </si>
  <si>
    <t>Palier Rond FONTE UCC207 ENV SOVEMA</t>
  </si>
  <si>
    <t>810PAL018</t>
  </si>
  <si>
    <t>Palier Complet UCFC207 Rouleau ENV SOVEMA</t>
  </si>
  <si>
    <t>810PAL022</t>
  </si>
  <si>
    <t>Palier Carrée complet UCF205   M.Lavage</t>
  </si>
  <si>
    <t>810PAL054</t>
  </si>
  <si>
    <t>Palier Carrée Plastique FYWK506-Y  Tapis charge</t>
  </si>
  <si>
    <t>810PAL056</t>
  </si>
  <si>
    <t>Palier Carrée complet UCF204 M.Remplissage</t>
  </si>
  <si>
    <t>810PAL078</t>
  </si>
  <si>
    <t>PALIER OVALE UCFL 204/H pompe COS</t>
  </si>
  <si>
    <t>810PAL079</t>
  </si>
  <si>
    <t>Palier  FK 205</t>
  </si>
  <si>
    <t>810pal083</t>
  </si>
  <si>
    <t>PALIER FYTBK 506</t>
  </si>
  <si>
    <t>810PAL085</t>
  </si>
  <si>
    <t>PALIER OVALE COMPL FYTBK 20TF</t>
  </si>
  <si>
    <t>810PAL086</t>
  </si>
  <si>
    <t>PALIER OVALE COMPL FYTBK 30TF</t>
  </si>
  <si>
    <t>810pal087</t>
  </si>
  <si>
    <t>PALIER FYTB 504 M</t>
  </si>
  <si>
    <t>810PAL089</t>
  </si>
  <si>
    <t>Corps palier OVAL YAR205</t>
  </si>
  <si>
    <t>810PAL091</t>
  </si>
  <si>
    <t>Palier OVAL FYTB 505M</t>
  </si>
  <si>
    <t>810PAL092</t>
  </si>
  <si>
    <t>Palier à semelle SY 506M</t>
  </si>
  <si>
    <t>810PAR023</t>
  </si>
  <si>
    <t>PARAHUILE 35*47*8</t>
  </si>
  <si>
    <t>810par045</t>
  </si>
  <si>
    <t>PARE HUILE 71*88*8 Gerbeur</t>
  </si>
  <si>
    <t>810PAR049</t>
  </si>
  <si>
    <t>PARE HUILE 95*130*15 TCM30</t>
  </si>
  <si>
    <t>810PAR050</t>
  </si>
  <si>
    <t>PARE HUILE 20*35*7 DL Pompe MB110 CH.AC</t>
  </si>
  <si>
    <t>810par052</t>
  </si>
  <si>
    <t>PARAHUILE 40*55*8 M.Lavage</t>
  </si>
  <si>
    <t>810par053</t>
  </si>
  <si>
    <t>PARAHUILE 35*47*7 M.Lavage</t>
  </si>
  <si>
    <t>810PAR054</t>
  </si>
  <si>
    <t>Parahuile 20*28*5</t>
  </si>
  <si>
    <t>810PAR055</t>
  </si>
  <si>
    <t>Parahuile 30*62*7 Boite RED Table COS</t>
  </si>
  <si>
    <t>810PAR056</t>
  </si>
  <si>
    <t>Parahuile 90*110*12 Boite RED Table COS</t>
  </si>
  <si>
    <t>810PAR057</t>
  </si>
  <si>
    <t>Parahuile 90*110*13 Boite RED Table COS</t>
  </si>
  <si>
    <t>810PAR080</t>
  </si>
  <si>
    <t>PARE HUILE 80*100*08</t>
  </si>
  <si>
    <t>810PAR083</t>
  </si>
  <si>
    <t>PARE HUILE 160*190*15</t>
  </si>
  <si>
    <t>810PAR084</t>
  </si>
  <si>
    <t>PARE HUILE 120*150*12</t>
  </si>
  <si>
    <t>810PAR085</t>
  </si>
  <si>
    <t>PARE HUILE 105*140*12</t>
  </si>
  <si>
    <t>810PAR086</t>
  </si>
  <si>
    <t>PARE HUILE 100*120*12</t>
  </si>
  <si>
    <t>810PAR088</t>
  </si>
  <si>
    <t>PARE HUILE 80*110*10</t>
  </si>
  <si>
    <t>810PAR091</t>
  </si>
  <si>
    <t>PARE HUILE 75*100*10</t>
  </si>
  <si>
    <t>810PAR092</t>
  </si>
  <si>
    <t>PARE HUILE 75*95*10</t>
  </si>
  <si>
    <t>810PAR093</t>
  </si>
  <si>
    <t>PARE HUILE 63*90*10</t>
  </si>
  <si>
    <t>810PAR094</t>
  </si>
  <si>
    <t>PARE HUILE 45*60*7</t>
  </si>
  <si>
    <t>810PAR100</t>
  </si>
  <si>
    <t>PARE HUILE 45*62*10</t>
  </si>
  <si>
    <t>810PAR103</t>
  </si>
  <si>
    <t>PARE HUILE 50*70*10</t>
  </si>
  <si>
    <t>810PAR105</t>
  </si>
  <si>
    <t>PARE HUILE 50*72*08</t>
  </si>
  <si>
    <t>810par111</t>
  </si>
  <si>
    <t>PARAHUILE 20*30*7</t>
  </si>
  <si>
    <t>810par112</t>
  </si>
  <si>
    <t>parahuile 20x42x7</t>
  </si>
  <si>
    <t>810par113</t>
  </si>
  <si>
    <t>parahuile 20X52X10</t>
  </si>
  <si>
    <t>810par114</t>
  </si>
  <si>
    <t>parahuile 30x44x7</t>
  </si>
  <si>
    <t>810par115</t>
  </si>
  <si>
    <t>parahuile 35x52x7</t>
  </si>
  <si>
    <t>810par116</t>
  </si>
  <si>
    <t>parahuile 35x55x8</t>
  </si>
  <si>
    <t>810par117</t>
  </si>
  <si>
    <t>parahuile 50x72x10</t>
  </si>
  <si>
    <t>810par119</t>
  </si>
  <si>
    <t>PARAHUILE 60*85*8</t>
  </si>
  <si>
    <t>810par120</t>
  </si>
  <si>
    <t>parahuile 65x90x10</t>
  </si>
  <si>
    <t>810par121</t>
  </si>
  <si>
    <t>parahuile 80x100x13</t>
  </si>
  <si>
    <t>810PAR123</t>
  </si>
  <si>
    <t>parahuile 40X62X7</t>
  </si>
  <si>
    <t>810par125</t>
  </si>
  <si>
    <t>parahuile 15x30x07</t>
  </si>
  <si>
    <t>810PIN004</t>
  </si>
  <si>
    <t>PIGNON 05B25T</t>
  </si>
  <si>
    <t>810PIN006</t>
  </si>
  <si>
    <t>PIGNON 08B2 24DENTS ENV SOVEMA</t>
  </si>
  <si>
    <t>810PIN007</t>
  </si>
  <si>
    <t>pignon 10Bx015</t>
  </si>
  <si>
    <t>810PIN008</t>
  </si>
  <si>
    <t>pignon 16Bx011</t>
  </si>
  <si>
    <t>810PIN009</t>
  </si>
  <si>
    <t>PIGNON 32DENT</t>
  </si>
  <si>
    <t>810PIN014</t>
  </si>
  <si>
    <t>PIGNON 06B-1B18</t>
  </si>
  <si>
    <t>810pin016</t>
  </si>
  <si>
    <t>Roue d'agravage Z66 ENV ELBAK</t>
  </si>
  <si>
    <t>810PIN017</t>
  </si>
  <si>
    <t>PIGNON 08B1 25 dents</t>
  </si>
  <si>
    <t>810PIN019</t>
  </si>
  <si>
    <t>PIGNON  Z30 P12.7</t>
  </si>
  <si>
    <t>810PIN020</t>
  </si>
  <si>
    <t>PIGNION CONIQUE</t>
  </si>
  <si>
    <t>810PIN022</t>
  </si>
  <si>
    <t>PIGNION 06B1-B10</t>
  </si>
  <si>
    <t>810PIN025</t>
  </si>
  <si>
    <t>Pignon 08B1B12</t>
  </si>
  <si>
    <t>810pin029</t>
  </si>
  <si>
    <t>Pignon 30 dents 1/2 chaine S.Connexion</t>
  </si>
  <si>
    <t>810PIN047</t>
  </si>
  <si>
    <t>Pignon 06B1 20DENTS Fardeleuse</t>
  </si>
  <si>
    <t>810PIN051</t>
  </si>
  <si>
    <t>PIGNON 08B1 17DENTS ENV SOVEMA</t>
  </si>
  <si>
    <t>810PIN052</t>
  </si>
  <si>
    <t>PIGNON ACIER 16DENTS M.Lavage</t>
  </si>
  <si>
    <t>810PIN059</t>
  </si>
  <si>
    <t>Parahuile 30*52*7 ENV SOVEMA</t>
  </si>
  <si>
    <t>810pin070</t>
  </si>
  <si>
    <t>Moyeu Acier pignon 6trs M6 CLAV 10/3.6 m10 E.ELB</t>
  </si>
  <si>
    <t>810PIN074</t>
  </si>
  <si>
    <t>Pignon plastique 50/25 32dents 22/7mm M.Lavage</t>
  </si>
  <si>
    <t>810PIN075</t>
  </si>
  <si>
    <t>Pignon plastique 7DENTS Convoyeur de charge</t>
  </si>
  <si>
    <t>810PIN076</t>
  </si>
  <si>
    <t>Pignon 08B1 24dents ENV HILANS</t>
  </si>
  <si>
    <t>810PIN209</t>
  </si>
  <si>
    <t>Pignon 08B1B16</t>
  </si>
  <si>
    <t>810RED009</t>
  </si>
  <si>
    <t>REDUCTEUR POLAT i1/10 NMRV090 B3</t>
  </si>
  <si>
    <t>810RED010</t>
  </si>
  <si>
    <t>REDUCTEUR PMRV 040 71 B5/15</t>
  </si>
  <si>
    <t>810RED014</t>
  </si>
  <si>
    <t>Reducteur WMI40 1/100 63 B5</t>
  </si>
  <si>
    <t>810RED039</t>
  </si>
  <si>
    <t>REDUCTEUR WMI40 1/10 71B14 *18   ENV SOVEMA</t>
  </si>
  <si>
    <t>810ROU001</t>
  </si>
  <si>
    <t>Roulement 1211 ETKN9/C3</t>
  </si>
  <si>
    <t>810ROU002</t>
  </si>
  <si>
    <t>Roulement 6002 2RSH</t>
  </si>
  <si>
    <t>810ROU004</t>
  </si>
  <si>
    <t>Roulement YAR 205-2F</t>
  </si>
  <si>
    <t>810ROU005</t>
  </si>
  <si>
    <t>Roulement 2203 E-2RS1 TN9 Fardeleuse</t>
  </si>
  <si>
    <t>810ROU006</t>
  </si>
  <si>
    <t>Roulement 203 KRR-AH02</t>
  </si>
  <si>
    <t>810ROU009</t>
  </si>
  <si>
    <t>Roulement 2213 ECJ</t>
  </si>
  <si>
    <t>810ROU015</t>
  </si>
  <si>
    <t>Roulement 6001-2RSH</t>
  </si>
  <si>
    <t>810ROU016</t>
  </si>
  <si>
    <t>Roulement 16004</t>
  </si>
  <si>
    <t>810ROU017</t>
  </si>
  <si>
    <t>Roulement 6004 2RSH  etanche</t>
  </si>
  <si>
    <t>810ROU020</t>
  </si>
  <si>
    <t>Roulement 6006 2RS</t>
  </si>
  <si>
    <t>810ROU022</t>
  </si>
  <si>
    <t>Roulement 6200-2RS</t>
  </si>
  <si>
    <t>810ROU024</t>
  </si>
  <si>
    <t>Roulement 6203-2RS</t>
  </si>
  <si>
    <t>810ROU025</t>
  </si>
  <si>
    <t>Roulement 6204 2RSH</t>
  </si>
  <si>
    <t>810ROU026</t>
  </si>
  <si>
    <t>Roulement  6205 2Z</t>
  </si>
  <si>
    <t>810ROU027</t>
  </si>
  <si>
    <t>Roulement 6206 2Z</t>
  </si>
  <si>
    <t>810ROU028</t>
  </si>
  <si>
    <t>Roulement 6207-2RS</t>
  </si>
  <si>
    <t>810ROU031</t>
  </si>
  <si>
    <t>Roulement 6302 2Z</t>
  </si>
  <si>
    <t>810ROU033</t>
  </si>
  <si>
    <t>Roulement 6304 2Z</t>
  </si>
  <si>
    <t>810ROU034</t>
  </si>
  <si>
    <t>Roulement 6305-2z</t>
  </si>
  <si>
    <t>810ROU035</t>
  </si>
  <si>
    <t>Roulement 6308-2RS</t>
  </si>
  <si>
    <t>810ROU048</t>
  </si>
  <si>
    <t>Roulement 61805 2RS1</t>
  </si>
  <si>
    <t>810ROU056</t>
  </si>
  <si>
    <t>Roulement H211</t>
  </si>
  <si>
    <t>810ROU057</t>
  </si>
  <si>
    <t>Roulement H309</t>
  </si>
  <si>
    <t>810ROU058</t>
  </si>
  <si>
    <t>Roulement HK1412</t>
  </si>
  <si>
    <t>810ROU063</t>
  </si>
  <si>
    <t>Roulement YAR205-100-2F</t>
  </si>
  <si>
    <t>810ROU064</t>
  </si>
  <si>
    <t>Roulement YAR 206</t>
  </si>
  <si>
    <t>810ROU065</t>
  </si>
  <si>
    <t>Roulement YAR 207</t>
  </si>
  <si>
    <t>810ROU070</t>
  </si>
  <si>
    <t>Roulement 6004-2z</t>
  </si>
  <si>
    <t>810ROU075</t>
  </si>
  <si>
    <t>Roulement 6201-2RSH</t>
  </si>
  <si>
    <t>810ROU077</t>
  </si>
  <si>
    <t>ROULEMENT 6000-2RSH</t>
  </si>
  <si>
    <t>810ROU081</t>
  </si>
  <si>
    <t>ROULEMENT 6010-2RS</t>
  </si>
  <si>
    <t>810ROU091</t>
  </si>
  <si>
    <t>Roulement</t>
  </si>
  <si>
    <t>810ROU093</t>
  </si>
  <si>
    <t>810ROU101</t>
  </si>
  <si>
    <t>ROULEMENT 32315-A</t>
  </si>
  <si>
    <t>810ROU102</t>
  </si>
  <si>
    <t>ROULEMENT VKHB 2406S</t>
  </si>
  <si>
    <t>810ROU103</t>
  </si>
  <si>
    <t>ROULEMENT 32032-X</t>
  </si>
  <si>
    <t>810ROU107</t>
  </si>
  <si>
    <t>Roulement 6313-C3</t>
  </si>
  <si>
    <t>810ROU110</t>
  </si>
  <si>
    <t>Roulement KBS3068 PP</t>
  </si>
  <si>
    <t>810ROU112</t>
  </si>
  <si>
    <t>Roulement YAR210</t>
  </si>
  <si>
    <t>810ROU117</t>
  </si>
  <si>
    <t>Roulement 6301 2RSH</t>
  </si>
  <si>
    <t>810ROU121</t>
  </si>
  <si>
    <t>Roulement 6307-2RS1</t>
  </si>
  <si>
    <t>810rou138</t>
  </si>
  <si>
    <t>Roulement 6304 2RS</t>
  </si>
  <si>
    <t>810rou139</t>
  </si>
  <si>
    <t>Roulement 6007-2RS</t>
  </si>
  <si>
    <t>810ROU162</t>
  </si>
  <si>
    <t>Roulement 6008-2RSH</t>
  </si>
  <si>
    <t>810ROU163</t>
  </si>
  <si>
    <t>Roulement 6005-2RS</t>
  </si>
  <si>
    <t>810ROU190</t>
  </si>
  <si>
    <t>Roulement 6009-2RSH</t>
  </si>
  <si>
    <t>810ROU202</t>
  </si>
  <si>
    <t>Roulement A Billes 7202 BEP    S.connexion L1+L2</t>
  </si>
  <si>
    <t>810ROU203</t>
  </si>
  <si>
    <t>Roulement A Billes 61801-2rs (6801) S.con L1+L2</t>
  </si>
  <si>
    <t>810ROU204</t>
  </si>
  <si>
    <t>Roulement 6303-2RS</t>
  </si>
  <si>
    <t>810ROU211</t>
  </si>
  <si>
    <t>ROULEMENT 6312-C3</t>
  </si>
  <si>
    <t>810ROU227</t>
  </si>
  <si>
    <t>Roulement 2303E-2RS TN9 ENV ELBAK</t>
  </si>
  <si>
    <t>810ROU244</t>
  </si>
  <si>
    <t>Roulement a billes 6316/c3 compr sullair</t>
  </si>
  <si>
    <t>810ROU245</t>
  </si>
  <si>
    <t>Roulement a billes 6314-2z compr sullair</t>
  </si>
  <si>
    <t>810ROX001</t>
  </si>
  <si>
    <t>GALET DE CAMB  AVEC AXE KR 35B</t>
  </si>
  <si>
    <t>810rox013</t>
  </si>
  <si>
    <t>Toc accouplement ACPG03-28/38 ENV ELBAK</t>
  </si>
  <si>
    <t>810ROX017</t>
  </si>
  <si>
    <t>Glissiere HWIN HGH15CA1806A4-20200</t>
  </si>
  <si>
    <t>810ROX018</t>
  </si>
  <si>
    <t>Glissiere H20VN 201205-01516  ENV HILANS</t>
  </si>
  <si>
    <t>810ROX019</t>
  </si>
  <si>
    <t>Glissiere H15VN 201203-02890 ENV HILANS</t>
  </si>
  <si>
    <t>810ROX020</t>
  </si>
  <si>
    <t>Glissiere H35VL 170905-15098 ENV HILANS</t>
  </si>
  <si>
    <t>810ROX021</t>
  </si>
  <si>
    <t>GALET DE CAME  AVEC AXE KR 19-PP  ENV ELBAK</t>
  </si>
  <si>
    <t>810ROX034</t>
  </si>
  <si>
    <t>Toc d'accouplement EL 148 HA Comp sullair</t>
  </si>
  <si>
    <t>810TAP006</t>
  </si>
  <si>
    <t>TAPIS HABASIT 1120/250 AVEC JONC MECA  COS4</t>
  </si>
  <si>
    <t>810TAP018</t>
  </si>
  <si>
    <t>Tapis ACIER M.Lavage</t>
  </si>
  <si>
    <t>810TAP019</t>
  </si>
  <si>
    <t>Tapis plastique convoyeur M.Lavage</t>
  </si>
  <si>
    <t>810TAP124</t>
  </si>
  <si>
    <t>TAPIS HABISIT 150/3000 DECHET PERFORMER</t>
  </si>
  <si>
    <t>810TAP125</t>
  </si>
  <si>
    <t>TAPIS 1450X560</t>
  </si>
  <si>
    <t>810tap136</t>
  </si>
  <si>
    <t>TAPIS TRANSPORTEUR</t>
  </si>
  <si>
    <t>810VER250</t>
  </si>
  <si>
    <t>verin pneumatique 1250.20.250.MA</t>
  </si>
  <si>
    <t>810VER253</t>
  </si>
  <si>
    <t>verin double effet 1260.16.15  PORTE COUVERCLE</t>
  </si>
  <si>
    <t>810VER254</t>
  </si>
  <si>
    <t>VERIN PNEUMATIQUE PC16B25</t>
  </si>
  <si>
    <t>810ver255</t>
  </si>
  <si>
    <t>VERIN PNEUMATIQUE 1260,10,15</t>
  </si>
  <si>
    <t>810XPM003</t>
  </si>
  <si>
    <t>NALCO TRASAR TRAC 102</t>
  </si>
  <si>
    <t>810XPM005</t>
  </si>
  <si>
    <t>GRAISSEUR COUDEE D8</t>
  </si>
  <si>
    <t>810XPM011</t>
  </si>
  <si>
    <t>ROBINET JARDIN 15/21</t>
  </si>
  <si>
    <t>810xpm018</t>
  </si>
  <si>
    <t>BANDE CAOUTCHOUC MOUSSE 40X20 MM</t>
  </si>
  <si>
    <t>810XPM025</t>
  </si>
  <si>
    <t>Attache rapide 1/2 pour chaine 06B1</t>
  </si>
  <si>
    <t>810XPM032</t>
  </si>
  <si>
    <t>Attache Rapide pour chaine 16B-1</t>
  </si>
  <si>
    <t>810XPM033</t>
  </si>
  <si>
    <t>Attache Rapide 1/2 chaine 10B1</t>
  </si>
  <si>
    <t>810XPM034</t>
  </si>
  <si>
    <t>Attache Rapide 1/2 chaine 08B1</t>
  </si>
  <si>
    <t>810XPM035</t>
  </si>
  <si>
    <t>TRESSE BANDE 50X4 FIBRE DE VERRE 1=30MT</t>
  </si>
  <si>
    <t>810XPM036</t>
  </si>
  <si>
    <t>Maillon Coudée chaine 12B1</t>
  </si>
  <si>
    <t>810XPM049</t>
  </si>
  <si>
    <t>JOINT GRAPHITE ARMEE 1.5X1.5M EP 2mm</t>
  </si>
  <si>
    <t>810XPM050</t>
  </si>
  <si>
    <t>Tube Graisse pour resistance</t>
  </si>
  <si>
    <t>810XPM060</t>
  </si>
  <si>
    <t>Plaque en Graphite Armee 3*1000*1000      COS3</t>
  </si>
  <si>
    <t>810XPM063</t>
  </si>
  <si>
    <t>Buse d'injection d'eau M.Lavage</t>
  </si>
  <si>
    <t>810XPM069</t>
  </si>
  <si>
    <t>Attache rapide 08B1 CHAINE OCM40 ANGLAIS</t>
  </si>
  <si>
    <t>810XPM076</t>
  </si>
  <si>
    <t>Attache rapide pour chaine 06-B2</t>
  </si>
  <si>
    <t>810XPM088</t>
  </si>
  <si>
    <t>Coffret joint torique Jaune</t>
  </si>
  <si>
    <t>810XPM094</t>
  </si>
  <si>
    <t>Tete de brossage complet M.Brossage CH</t>
  </si>
  <si>
    <t>810XPM095</t>
  </si>
  <si>
    <t>Side brush Testeur HRD</t>
  </si>
  <si>
    <t>810XPM096</t>
  </si>
  <si>
    <t>Top Brush Testeur HRD</t>
  </si>
  <si>
    <t>810XPM097</t>
  </si>
  <si>
    <t>Electrode de test cuivre Testeur HRD CH</t>
  </si>
  <si>
    <t>810XPM099</t>
  </si>
  <si>
    <t>Attache 08-B2 Plaque droite   ENV HILANS</t>
  </si>
  <si>
    <t>810XPM108</t>
  </si>
  <si>
    <t>Brosse fanion PT ENV HILANS</t>
  </si>
  <si>
    <t>810XPM109</t>
  </si>
  <si>
    <t>Brosse fanion GT ENV HILANS</t>
  </si>
  <si>
    <t>810XPM111</t>
  </si>
  <si>
    <t>Joint torique EN NBR 70 OR 31-2 Perç sovema</t>
  </si>
  <si>
    <t>810XPM112</t>
  </si>
  <si>
    <t>Joint torique EN NBR 70 OR 26.7-1.78 Perç sov</t>
  </si>
  <si>
    <t>810XPM115</t>
  </si>
  <si>
    <t>Joint torique EN NBR OR 7.5-3  M.perçage sovema</t>
  </si>
  <si>
    <t>810XPM141</t>
  </si>
  <si>
    <t>Joint torique EN VITON 1.78*7.65  Perçage sovem</t>
  </si>
  <si>
    <t>810XPM142</t>
  </si>
  <si>
    <t>Joint torique EN VITON 1.78*25.12  Perç SOVEMA</t>
  </si>
  <si>
    <t>810XPM143</t>
  </si>
  <si>
    <t>Joint torique 2*31   Perç SOVEMA</t>
  </si>
  <si>
    <t>810XPM144</t>
  </si>
  <si>
    <t>Joint GER 12*7,1/2,2   Perç SOVEMA</t>
  </si>
  <si>
    <t>810XPM145</t>
  </si>
  <si>
    <t>Joint GER 30*22,5/3,2   Perç SOVEMA</t>
  </si>
  <si>
    <t>810XPM205</t>
  </si>
  <si>
    <t>Attache rapide pour chaine 04B1</t>
  </si>
  <si>
    <t>810XPM206</t>
  </si>
  <si>
    <t>Attache rapide pour chaine 05B1</t>
  </si>
  <si>
    <t>810XPM207</t>
  </si>
  <si>
    <t>Attache rapide pour chaine 06B1</t>
  </si>
  <si>
    <t>810XPM210</t>
  </si>
  <si>
    <t>Attache rapide pour chaine 12B1</t>
  </si>
  <si>
    <t>810XPM211</t>
  </si>
  <si>
    <t>Attache rapide pour chaine 12B2</t>
  </si>
  <si>
    <t>810XPM212</t>
  </si>
  <si>
    <t>PATE JOINT 14B1</t>
  </si>
  <si>
    <t>810XPM225</t>
  </si>
  <si>
    <t>GRAISSEUR droit M8</t>
  </si>
  <si>
    <t>810XPM226</t>
  </si>
  <si>
    <t>GRAISSEUR droit M10</t>
  </si>
  <si>
    <t>810XPM227</t>
  </si>
  <si>
    <t>GRAISSEUR Coudee M6</t>
  </si>
  <si>
    <t>810XPM228</t>
  </si>
  <si>
    <t>GRAISSEUR Coudee M8</t>
  </si>
  <si>
    <t>810XPM229</t>
  </si>
  <si>
    <t>GRAISSEUR Coudee M10</t>
  </si>
  <si>
    <t>810xpm234</t>
  </si>
  <si>
    <t>H311</t>
  </si>
  <si>
    <t>810xpm236</t>
  </si>
  <si>
    <t>graisseur tapis</t>
  </si>
  <si>
    <t>810XPM237</t>
  </si>
  <si>
    <t>Attache rapide pour chaine 08B2</t>
  </si>
  <si>
    <t>810XPM238</t>
  </si>
  <si>
    <t>Attache rapide pour chaine 20B</t>
  </si>
  <si>
    <t>812BOU002</t>
  </si>
  <si>
    <t>BOUCHON 1" GALVA MALE</t>
  </si>
  <si>
    <t>812BOU013</t>
  </si>
  <si>
    <t>Bouchon GALVA MALE 15/21</t>
  </si>
  <si>
    <t>812BOU697</t>
  </si>
  <si>
    <t>Bouchon PVC63</t>
  </si>
  <si>
    <t>812BOU698</t>
  </si>
  <si>
    <t>Bouchon PVC75</t>
  </si>
  <si>
    <t>812CLA004</t>
  </si>
  <si>
    <t>CLAPET PVC 25</t>
  </si>
  <si>
    <t>812CLA006</t>
  </si>
  <si>
    <t>CLAPET PVC PRESSION D32</t>
  </si>
  <si>
    <t>812CLA007</t>
  </si>
  <si>
    <t>CLAPET ANTI-RETOUR 2"</t>
  </si>
  <si>
    <t>812CLA008</t>
  </si>
  <si>
    <t>CLAPET ANTI-RETOUR 1"</t>
  </si>
  <si>
    <t>812CLA009</t>
  </si>
  <si>
    <t>CLAPET ANTI-RETOUR 20/27</t>
  </si>
  <si>
    <t>812CLA013</t>
  </si>
  <si>
    <t>CLAPET ANTI-RETOUR CUIVRE 3/4"     COS3</t>
  </si>
  <si>
    <t>812COD005</t>
  </si>
  <si>
    <t>COUDE GALVA 1+1/2"</t>
  </si>
  <si>
    <t>812COD007</t>
  </si>
  <si>
    <t>COUDE GALVA  26/34</t>
  </si>
  <si>
    <t>812COD010</t>
  </si>
  <si>
    <t>COUDE PPR D20</t>
  </si>
  <si>
    <t>812COD014</t>
  </si>
  <si>
    <t>COUDE PPR D63 45°</t>
  </si>
  <si>
    <t>812COD024</t>
  </si>
  <si>
    <t>Coude NOIR 1" 1/2</t>
  </si>
  <si>
    <t>812COD034</t>
  </si>
  <si>
    <t>Coude Acier 2"</t>
  </si>
  <si>
    <t>812COD037</t>
  </si>
  <si>
    <t>Coude PVC PR D50 45°</t>
  </si>
  <si>
    <t>812COD051</t>
  </si>
  <si>
    <t>Coude bargataire D75</t>
  </si>
  <si>
    <t>812cod055</t>
  </si>
  <si>
    <t>coude  PVC   D160 45°</t>
  </si>
  <si>
    <t>812COD059</t>
  </si>
  <si>
    <t>Coude laiton F/F 1" 1/4</t>
  </si>
  <si>
    <t>812COD069</t>
  </si>
  <si>
    <t>coude  PVC   D160 90°</t>
  </si>
  <si>
    <t>812COD672</t>
  </si>
  <si>
    <t>Coude inox a souder 316L D50</t>
  </si>
  <si>
    <t>812COD674</t>
  </si>
  <si>
    <t>COUDE NOIR20/27</t>
  </si>
  <si>
    <t>812COD675</t>
  </si>
  <si>
    <t>COUDE PVC P20  90°</t>
  </si>
  <si>
    <t>812COD676</t>
  </si>
  <si>
    <t>COUDE PVC P25 90°</t>
  </si>
  <si>
    <t>812COD678</t>
  </si>
  <si>
    <t>COUDE PVC P40</t>
  </si>
  <si>
    <t>812COD679</t>
  </si>
  <si>
    <t>COUDE PVC PR D50  90°</t>
  </si>
  <si>
    <t>812COD680</t>
  </si>
  <si>
    <t>COUDE PVC P63 90°</t>
  </si>
  <si>
    <t>812COD681</t>
  </si>
  <si>
    <t>COUDE PVC P75  90°</t>
  </si>
  <si>
    <t>812COD682</t>
  </si>
  <si>
    <t>COUDE PVC P D90 90°</t>
  </si>
  <si>
    <t>812COD684</t>
  </si>
  <si>
    <t>COUDE  GALVA 20/27</t>
  </si>
  <si>
    <t>812COD686</t>
  </si>
  <si>
    <t>COUDE GALVA 1" 1/4</t>
  </si>
  <si>
    <t>812COD687</t>
  </si>
  <si>
    <t>COUDE GALVA 15/21</t>
  </si>
  <si>
    <t>812COD688</t>
  </si>
  <si>
    <t>Coude bargataire D25</t>
  </si>
  <si>
    <t>812COD690</t>
  </si>
  <si>
    <t>Coude bargataire D90</t>
  </si>
  <si>
    <t>812COD691</t>
  </si>
  <si>
    <t>Coude bargataire D50</t>
  </si>
  <si>
    <t>812COD692</t>
  </si>
  <si>
    <t>Coude bargataire D63</t>
  </si>
  <si>
    <t>812COD699</t>
  </si>
  <si>
    <t>COUDE PVC P63 45°</t>
  </si>
  <si>
    <t>812COD701</t>
  </si>
  <si>
    <t>TE GALVA 20*27</t>
  </si>
  <si>
    <t>812cod702</t>
  </si>
  <si>
    <t>COUDE PVC PR 32 45°</t>
  </si>
  <si>
    <t>812COD703</t>
  </si>
  <si>
    <t>COUDE NOIR D114  90°</t>
  </si>
  <si>
    <t>812COD707</t>
  </si>
  <si>
    <t>Coude à souder inox D63</t>
  </si>
  <si>
    <t>812COD805</t>
  </si>
  <si>
    <t>Coude PVC PR 90° D40</t>
  </si>
  <si>
    <t>812COD806</t>
  </si>
  <si>
    <t>Coude PVC 45° D40</t>
  </si>
  <si>
    <t>812COD807</t>
  </si>
  <si>
    <t>Coude PVC PR 90° D32</t>
  </si>
  <si>
    <t>812COD808</t>
  </si>
  <si>
    <t>Coude PVC 45° D32</t>
  </si>
  <si>
    <t>812COL002</t>
  </si>
  <si>
    <t>COLLIER 10 a 18 GALVA</t>
  </si>
  <si>
    <t>812COL005</t>
  </si>
  <si>
    <t>COLLIER ATLAS D20</t>
  </si>
  <si>
    <t>812COL008</t>
  </si>
  <si>
    <t>COLLIER DE SERRAGE 16-23</t>
  </si>
  <si>
    <t>812COL017</t>
  </si>
  <si>
    <t>COLLIER DE PRISE 32-15/21 FEMELLE</t>
  </si>
  <si>
    <t>812COL036</t>
  </si>
  <si>
    <t>Collier de fixation GALVA D40</t>
  </si>
  <si>
    <t>812COL045</t>
  </si>
  <si>
    <t>Collier de prise D32  20/27</t>
  </si>
  <si>
    <t>812COL052</t>
  </si>
  <si>
    <t>COLLIER DE PRISE FEMELLE 63-20/27</t>
  </si>
  <si>
    <t>812COL054</t>
  </si>
  <si>
    <t>Collier de fixation D32 Complet</t>
  </si>
  <si>
    <t>812COL056</t>
  </si>
  <si>
    <t>COLLIER ATLAS D32</t>
  </si>
  <si>
    <t>812COL057</t>
  </si>
  <si>
    <t>COLLIER DE FIXATION D50 Complet</t>
  </si>
  <si>
    <t>812COL058</t>
  </si>
  <si>
    <t>COLLIER DE FIXATION D25 Complet</t>
  </si>
  <si>
    <t>812COL064</t>
  </si>
  <si>
    <t>Circlips D18 Exterieur</t>
  </si>
  <si>
    <t>812COL066</t>
  </si>
  <si>
    <t>Collier INOX D10-16</t>
  </si>
  <si>
    <t>812COL068</t>
  </si>
  <si>
    <t>Collier de prise 50  20/27</t>
  </si>
  <si>
    <t>812COL069</t>
  </si>
  <si>
    <t>COLLIER DE FIXATION D63Complet</t>
  </si>
  <si>
    <t>812COL074</t>
  </si>
  <si>
    <t>COLLIER DE SERRAGE INOX A BOULON 65-83</t>
  </si>
  <si>
    <t>812COL078</t>
  </si>
  <si>
    <t>COLLIER DE SERRAGE INOX A BOULON 86-91</t>
  </si>
  <si>
    <t>812COL083</t>
  </si>
  <si>
    <t>COLLIER SEBEC D160 SIMPLE</t>
  </si>
  <si>
    <t>812COL084</t>
  </si>
  <si>
    <t>Circlips Interieur D25</t>
  </si>
  <si>
    <t>812COL085</t>
  </si>
  <si>
    <t>Circlips Exterieur D10</t>
  </si>
  <si>
    <t>812COL658</t>
  </si>
  <si>
    <t>Collier INOX 25-40</t>
  </si>
  <si>
    <t>812COL662</t>
  </si>
  <si>
    <t>Collier de serrage 50-70</t>
  </si>
  <si>
    <t>812cou701</t>
  </si>
  <si>
    <t>coude  PVC PR D160  90°</t>
  </si>
  <si>
    <t>812COU702</t>
  </si>
  <si>
    <t>Coude PVC Y  D160</t>
  </si>
  <si>
    <t>812DIS004</t>
  </si>
  <si>
    <t>DISTRIBUTEUR 2/5 484.52.0.1 M56</t>
  </si>
  <si>
    <t>812DIS010</t>
  </si>
  <si>
    <t>DISTRIBUTEUR CAMOZZI 951-000-P15-23</t>
  </si>
  <si>
    <t>812DIS028</t>
  </si>
  <si>
    <t>Bloc 06 distributeur 5/2 24VDC sur EMBASE  ELBAK</t>
  </si>
  <si>
    <t>812DIS625</t>
  </si>
  <si>
    <t>DISTRIBUTEUR PNEUMAX2431.53.31.35.12</t>
  </si>
  <si>
    <t>812DIS626</t>
  </si>
  <si>
    <t>DISTRIBUTEUR PNEUMAX2431.52.00.35.12</t>
  </si>
  <si>
    <t>812DIS627</t>
  </si>
  <si>
    <t>DISTRIBUTEUR CAMOZZI 951-000-P15</t>
  </si>
  <si>
    <t>812EMB003</t>
  </si>
  <si>
    <t>Embou cannelé PVC D16 Male 20/27 Vanne charge</t>
  </si>
  <si>
    <t>812EMB004</t>
  </si>
  <si>
    <t>Embou PVC PR 50 Femelle 1"1/2</t>
  </si>
  <si>
    <t>812EMB005</t>
  </si>
  <si>
    <t>Embou PVC PR MALE 50*40*1"1/2</t>
  </si>
  <si>
    <t>812EMB006</t>
  </si>
  <si>
    <t>Embou cannelé PVC D32 Charge</t>
  </si>
  <si>
    <t>812EMB013</t>
  </si>
  <si>
    <t>Embou PPR Femelle 63*2"</t>
  </si>
  <si>
    <t>812EMB017</t>
  </si>
  <si>
    <t>Embou Galva Male 4"</t>
  </si>
  <si>
    <t>812EMB741</t>
  </si>
  <si>
    <t>Embou PVC PR MALE 63*50*2"</t>
  </si>
  <si>
    <t>812EMB744</t>
  </si>
  <si>
    <t>Embou PVC PR MALE 50*63*1"1/2</t>
  </si>
  <si>
    <t>812EMB745</t>
  </si>
  <si>
    <t>Embou PVC PR 50*40*1"1/4 MALE</t>
  </si>
  <si>
    <t>812EMB746</t>
  </si>
  <si>
    <t>Embou PVC PR 40*32*1" Male</t>
  </si>
  <si>
    <t>812EMB804</t>
  </si>
  <si>
    <t>Embou PVC Pression 63*50*1"1/2 Male</t>
  </si>
  <si>
    <t>812EXT001</t>
  </si>
  <si>
    <t>Ejecteur  06mm/L200 Moule</t>
  </si>
  <si>
    <t>812EXT173</t>
  </si>
  <si>
    <t>Extracteur 05mm/L200 Moule</t>
  </si>
  <si>
    <t>812EXT174</t>
  </si>
  <si>
    <t>Extracteur 03,5mm/L167 Moule</t>
  </si>
  <si>
    <t>812FIL003</t>
  </si>
  <si>
    <t>Filtre Env TEKMAX</t>
  </si>
  <si>
    <t>812FIL007</t>
  </si>
  <si>
    <t>Filtre a huile SC113 Camion</t>
  </si>
  <si>
    <t>812FIL008</t>
  </si>
  <si>
    <t>Filtre a Gazoil RVI SC113*WK727 Camion</t>
  </si>
  <si>
    <t>812FIL009</t>
  </si>
  <si>
    <t>Filtre a AIR SC113 Camion</t>
  </si>
  <si>
    <t>812FIL033</t>
  </si>
  <si>
    <t>FILTRE A CARTOUCHE DN20   CHAUDIERE</t>
  </si>
  <si>
    <t>812FIL034</t>
  </si>
  <si>
    <t>filtre d'aspiration R292 70/156.5/211 ELBAK</t>
  </si>
  <si>
    <t>812FIL101</t>
  </si>
  <si>
    <t>filtre eau 10 micro</t>
  </si>
  <si>
    <t>812FIL102</t>
  </si>
  <si>
    <t>filtre eau 5 micron</t>
  </si>
  <si>
    <t>812FIL103</t>
  </si>
  <si>
    <t>filtre d'aspiration ENV SOVEMA</t>
  </si>
  <si>
    <t>812FIL104</t>
  </si>
  <si>
    <t>filtre gaz chariot</t>
  </si>
  <si>
    <t>812FLE002</t>
  </si>
  <si>
    <t>FLEXIBLE DN100 ASPIRATION STAKER</t>
  </si>
  <si>
    <t>812FLE005</t>
  </si>
  <si>
    <t>Flexible DN06 3920 THP Soudure connexion</t>
  </si>
  <si>
    <t>812FLE025</t>
  </si>
  <si>
    <t>Flexible PVC transparent Spiralee D8 interieur</t>
  </si>
  <si>
    <t>812FLE029</t>
  </si>
  <si>
    <t>Flexible Balflex airpressor air&amp;water 3/8</t>
  </si>
  <si>
    <t>812FLE030</t>
  </si>
  <si>
    <t>Flexible Balflex airpressor air&amp;water 1/2</t>
  </si>
  <si>
    <t>812FLE057</t>
  </si>
  <si>
    <t>Flexible téflon HDN6 L51 COS3</t>
  </si>
  <si>
    <t>812FLE059</t>
  </si>
  <si>
    <t>Flexible DN6 LG600 THP+RACCORDS</t>
  </si>
  <si>
    <t>812FLE065</t>
  </si>
  <si>
    <t>Flexible DN06 LG380 THP 400BAR   TCM30 ESSENCE</t>
  </si>
  <si>
    <t>812FLE067</t>
  </si>
  <si>
    <t>Flexible DN08 LG2560 THP TCM30 Essence</t>
  </si>
  <si>
    <t>812FLE074</t>
  </si>
  <si>
    <t>Flexible DN10 LG2200 THP D*2</t>
  </si>
  <si>
    <t>812FLE095</t>
  </si>
  <si>
    <t>Flexible Cristal transpa D12  M.remplissage</t>
  </si>
  <si>
    <t>812FLE102</t>
  </si>
  <si>
    <t>Flexible Cristal transparent D32  Charge</t>
  </si>
  <si>
    <t>812FLE609</t>
  </si>
  <si>
    <t>Flexible04</t>
  </si>
  <si>
    <t>812FLE610</t>
  </si>
  <si>
    <t>Flexible06</t>
  </si>
  <si>
    <t>812FLE611</t>
  </si>
  <si>
    <t>Flexible08</t>
  </si>
  <si>
    <t>812FLE612</t>
  </si>
  <si>
    <t>Flexible10</t>
  </si>
  <si>
    <t>812FLE614</t>
  </si>
  <si>
    <t>Flexible12</t>
  </si>
  <si>
    <t>812FLE618</t>
  </si>
  <si>
    <t>Flexible Chalumeau Bleu 6mm</t>
  </si>
  <si>
    <t>812MEM001</t>
  </si>
  <si>
    <t>MAMELON GALVA 1"1/2</t>
  </si>
  <si>
    <t>812MEM004</t>
  </si>
  <si>
    <t>MAMLON GALVA 26*34 (1")</t>
  </si>
  <si>
    <t>812MEM010</t>
  </si>
  <si>
    <t>Mamelon Galva 1" 1/4</t>
  </si>
  <si>
    <t>812MEM016</t>
  </si>
  <si>
    <t>MAMELON GALVA 2"</t>
  </si>
  <si>
    <t>812MEM023</t>
  </si>
  <si>
    <t>Mamelon Chromé 1/4 avec buse cannelé   COS3</t>
  </si>
  <si>
    <t>812MEM025</t>
  </si>
  <si>
    <t>MAMELON Galva 1/4-1/4 Male</t>
  </si>
  <si>
    <t>812MEM027</t>
  </si>
  <si>
    <t>MAMELON ACIER M/M 10PA100  TCM30 ESSENCE</t>
  </si>
  <si>
    <t>812MEM029</t>
  </si>
  <si>
    <t>MAMELON Laiton 20/27 (3/4")</t>
  </si>
  <si>
    <t>812MEM030</t>
  </si>
  <si>
    <t>MAMELON Laiton 1"1/2</t>
  </si>
  <si>
    <t>812MEM031</t>
  </si>
  <si>
    <t>MAMELON GALVA 1/8--1/4</t>
  </si>
  <si>
    <t>812MEM032</t>
  </si>
  <si>
    <t>Mamelon INOX 1" 1/4</t>
  </si>
  <si>
    <t>812MEM033</t>
  </si>
  <si>
    <t>Mamelon INOX 1"--1"1/2</t>
  </si>
  <si>
    <t>812MEM724</t>
  </si>
  <si>
    <t>MAMLON GALVA15/21</t>
  </si>
  <si>
    <t>812MEM725</t>
  </si>
  <si>
    <t>MAMELON GALVA D75 2"1/2</t>
  </si>
  <si>
    <t>812MEM727</t>
  </si>
  <si>
    <t>RACCORD 3 Péic GALVA2"</t>
  </si>
  <si>
    <t>812mon002</t>
  </si>
  <si>
    <t>MONCHON GALVA Femelle 1/4</t>
  </si>
  <si>
    <t>812MON004</t>
  </si>
  <si>
    <t>MONCHON BARGUATAIRE D50</t>
  </si>
  <si>
    <t>812MON005</t>
  </si>
  <si>
    <t>MONCHON BARGUATAIRE D25</t>
  </si>
  <si>
    <t>812MON006</t>
  </si>
  <si>
    <t>MONCHON GALVA 1+1/2"</t>
  </si>
  <si>
    <t>812MON008</t>
  </si>
  <si>
    <t>MONCHON Galva 26*34</t>
  </si>
  <si>
    <t>812MON014</t>
  </si>
  <si>
    <t>MONCHON PPR D75</t>
  </si>
  <si>
    <t>812MON026</t>
  </si>
  <si>
    <t>MONCHON BARGUATAIRE D63</t>
  </si>
  <si>
    <t>812MON034</t>
  </si>
  <si>
    <t>MONCHON PVC PR D160</t>
  </si>
  <si>
    <t>812MON035</t>
  </si>
  <si>
    <t>Monchon INOX D25</t>
  </si>
  <si>
    <t>812MON036</t>
  </si>
  <si>
    <t>MONCHON GALVA Femelle 3/8</t>
  </si>
  <si>
    <t>812MON039</t>
  </si>
  <si>
    <t>MONCHON PVC PR D110 (4")</t>
  </si>
  <si>
    <t>812MON043</t>
  </si>
  <si>
    <t>MONCHON GALVA 1/8F/1/8F</t>
  </si>
  <si>
    <t>812MON044</t>
  </si>
  <si>
    <t>Monchon Laiton cuivre Fileté 32*3/4" Male</t>
  </si>
  <si>
    <t>812MON712</t>
  </si>
  <si>
    <t>MONCHON PVC P75</t>
  </si>
  <si>
    <t>812MON713</t>
  </si>
  <si>
    <t>MONCHON PVC PR 40</t>
  </si>
  <si>
    <t>812MON714</t>
  </si>
  <si>
    <t>MONCHON PVC P20</t>
  </si>
  <si>
    <t>812MON716</t>
  </si>
  <si>
    <t>MONCHON PVC P32</t>
  </si>
  <si>
    <t>812MON718</t>
  </si>
  <si>
    <t>MONCHON PVC PR D63</t>
  </si>
  <si>
    <t>812MON720</t>
  </si>
  <si>
    <t>MONCHON Galva15/21</t>
  </si>
  <si>
    <t>812MON721</t>
  </si>
  <si>
    <t>MONCHON Galva20/27</t>
  </si>
  <si>
    <t>812mon725</t>
  </si>
  <si>
    <t>Monchon Galva 2"</t>
  </si>
  <si>
    <t>812RAC004</t>
  </si>
  <si>
    <t>RACCORD  3 P PVC  D40</t>
  </si>
  <si>
    <t>812RAC007</t>
  </si>
  <si>
    <t>Raccord 3 piéces PR  D50 PVC</t>
  </si>
  <si>
    <t>812RAC008</t>
  </si>
  <si>
    <t>raccord bargataire FEMELLE D32/20</t>
  </si>
  <si>
    <t>812RAC014</t>
  </si>
  <si>
    <t>RACCORD  MALE-FEMELLE 1/8</t>
  </si>
  <si>
    <t>812RAC015</t>
  </si>
  <si>
    <t>RACCORD Union Egale 10/10</t>
  </si>
  <si>
    <t>812RAC016</t>
  </si>
  <si>
    <t>RACCORD DROIT 10*1/8</t>
  </si>
  <si>
    <t>812RAC018</t>
  </si>
  <si>
    <t>RACCORD TE FILTE 06*1/4</t>
  </si>
  <si>
    <t>812RAC019</t>
  </si>
  <si>
    <t>RACCORD RAPIDE COUDE 8*1/2</t>
  </si>
  <si>
    <t>812RAC020</t>
  </si>
  <si>
    <t>RACCORD DROIT 8*3/8</t>
  </si>
  <si>
    <t>812RAC021</t>
  </si>
  <si>
    <t>RACCORD DROIT 6*3/8</t>
  </si>
  <si>
    <t>812RAC022</t>
  </si>
  <si>
    <t>RACCORD COUDE 6*1/4</t>
  </si>
  <si>
    <t>812RAC023</t>
  </si>
  <si>
    <t>RACCORD COUDE MALE FEMELLE 1/4-1/8</t>
  </si>
  <si>
    <t>812RAC024</t>
  </si>
  <si>
    <t>RACCORD RAPIDE COUDE 4*1/4</t>
  </si>
  <si>
    <t>812RAC025</t>
  </si>
  <si>
    <t>RACCORD DROIT4*1/4</t>
  </si>
  <si>
    <t>812RAC026</t>
  </si>
  <si>
    <t>RACCORD RAPIDE COUDE4*1/16</t>
  </si>
  <si>
    <t>812RAC029</t>
  </si>
  <si>
    <t>RACCORD DROIT 12*1/4</t>
  </si>
  <si>
    <t>812RAC030</t>
  </si>
  <si>
    <t>REDUCTION DROIT MALE 1/4 FEMELLE 1/8</t>
  </si>
  <si>
    <t>812RAC031</t>
  </si>
  <si>
    <t>TE 08*1/4</t>
  </si>
  <si>
    <t>812RAC039</t>
  </si>
  <si>
    <t>RACCORD DROIT 12*1/8</t>
  </si>
  <si>
    <t>812RAC042</t>
  </si>
  <si>
    <t>SILENCIEUX G1/4"</t>
  </si>
  <si>
    <t>812RAC043</t>
  </si>
  <si>
    <t>Connecteur Bobine Electrovanne avec voyant</t>
  </si>
  <si>
    <t>812RAC052</t>
  </si>
  <si>
    <t>RACCORD DROIT 8*1/8</t>
  </si>
  <si>
    <t>812RAC055</t>
  </si>
  <si>
    <t>RACCORD DROIT 6*1/16</t>
  </si>
  <si>
    <t>812RAC056</t>
  </si>
  <si>
    <t>RACCORD DROIT 6*1/8</t>
  </si>
  <si>
    <t>812RAC057</t>
  </si>
  <si>
    <t>RACCORD DROIT 6*1/4</t>
  </si>
  <si>
    <t>812RAC058</t>
  </si>
  <si>
    <t>RACCORD COUDEE 6*1/16</t>
  </si>
  <si>
    <t>812RAC059</t>
  </si>
  <si>
    <t>RACCORD COUDEE 6*1/8</t>
  </si>
  <si>
    <t>812RAC062</t>
  </si>
  <si>
    <t>RACCORD DROIT 4*1/16</t>
  </si>
  <si>
    <t>812RAC064</t>
  </si>
  <si>
    <t>Raccord coudée 8*1/4</t>
  </si>
  <si>
    <t>812RAC082</t>
  </si>
  <si>
    <t>Raccord Egale 12/12</t>
  </si>
  <si>
    <t>812RAC087</t>
  </si>
  <si>
    <t>Raccord inegale 08/10</t>
  </si>
  <si>
    <t>812RAC088</t>
  </si>
  <si>
    <t>Raccord droit 10/12</t>
  </si>
  <si>
    <t>812RAC089</t>
  </si>
  <si>
    <t>Raccord bargataire D90</t>
  </si>
  <si>
    <t>812RAC093</t>
  </si>
  <si>
    <t>Raccord connecteur TE D04   Filté</t>
  </si>
  <si>
    <t>812RAC112</t>
  </si>
  <si>
    <t>Raccord A olive laiton 1/4" *8   Moule</t>
  </si>
  <si>
    <t>812RAC120</t>
  </si>
  <si>
    <t>Raccord Bargataire  D63 FEMELLE</t>
  </si>
  <si>
    <t>812RAC123</t>
  </si>
  <si>
    <t>RACCORD COUDEE 12*1/8</t>
  </si>
  <si>
    <t>812RAC194</t>
  </si>
  <si>
    <t>Raccord Multiple QSQ-8-6 Lignes Montage</t>
  </si>
  <si>
    <t>812RAC195</t>
  </si>
  <si>
    <t>Bouchon Raccord Multiple M6 QSQ-8-6</t>
  </si>
  <si>
    <t>812RAC203</t>
  </si>
  <si>
    <t>Raccord rapide coudée M8*3/8</t>
  </si>
  <si>
    <t>812RAC207</t>
  </si>
  <si>
    <t>SILENCIEUX G3/8"</t>
  </si>
  <si>
    <t>812RAC209</t>
  </si>
  <si>
    <t>Adaptateur HYD MM DN 3/4</t>
  </si>
  <si>
    <t>812RAC221</t>
  </si>
  <si>
    <t>RACCORD COUDE 10*1/8</t>
  </si>
  <si>
    <t>812RAC222</t>
  </si>
  <si>
    <t>RACCORD COUDE 10*1/4</t>
  </si>
  <si>
    <t>812RAC223</t>
  </si>
  <si>
    <t>Raccord Bargataire Femelle D50/2"</t>
  </si>
  <si>
    <t>812RAC226</t>
  </si>
  <si>
    <t>Bouchon Raccord M08</t>
  </si>
  <si>
    <t>812RAC238</t>
  </si>
  <si>
    <t>Bouchon Raccord M04</t>
  </si>
  <si>
    <t>812RAC239</t>
  </si>
  <si>
    <t>Bouchon Raccord M10</t>
  </si>
  <si>
    <t>812RAC589</t>
  </si>
  <si>
    <t>Raccord rapide avec limiteur10*1/4</t>
  </si>
  <si>
    <t>812RAC592</t>
  </si>
  <si>
    <t>Raccord rapide avec limiteur6*1/8</t>
  </si>
  <si>
    <t>812RAC596</t>
  </si>
  <si>
    <t>Raccord rapide 04-04</t>
  </si>
  <si>
    <t>812RAC597</t>
  </si>
  <si>
    <t>RACCORD Egale 06/06</t>
  </si>
  <si>
    <t>812RAC598</t>
  </si>
  <si>
    <t>Raccord Egale 8/8</t>
  </si>
  <si>
    <t>812RAC600</t>
  </si>
  <si>
    <t>Raccord droit 12*3/8</t>
  </si>
  <si>
    <t>812RAC728</t>
  </si>
  <si>
    <t>raccord 3P Galva 20/27</t>
  </si>
  <si>
    <t>812RAC730</t>
  </si>
  <si>
    <t>raccord 3 péicé Galva15/21</t>
  </si>
  <si>
    <t>812rac741</t>
  </si>
  <si>
    <t>RACCORD DROIT D10 G1/2</t>
  </si>
  <si>
    <t>812rac748</t>
  </si>
  <si>
    <t>Raccord droit 04*1/8</t>
  </si>
  <si>
    <t>812rac749</t>
  </si>
  <si>
    <t>Raccord pneumt coudée 04*1/8</t>
  </si>
  <si>
    <t>812rac750</t>
  </si>
  <si>
    <t>Raccord droit 10*1/4</t>
  </si>
  <si>
    <t>812red007</t>
  </si>
  <si>
    <t>REDUCTION PVC 140/125</t>
  </si>
  <si>
    <t>812RED010</t>
  </si>
  <si>
    <t>REDUCTION GALVA 1"1/4--&gt;1"</t>
  </si>
  <si>
    <t>812RED013</t>
  </si>
  <si>
    <t>Réduction Galva 1"1/2--1"</t>
  </si>
  <si>
    <t>812RED014</t>
  </si>
  <si>
    <t>Réduction Galva 26/34 -&gt; 20/27 M/F</t>
  </si>
  <si>
    <t>812RED026</t>
  </si>
  <si>
    <t>Reduction Galva 1"---1/2"</t>
  </si>
  <si>
    <t>812RED027</t>
  </si>
  <si>
    <t>Reduction PVC PR 50/32</t>
  </si>
  <si>
    <t>812RED046</t>
  </si>
  <si>
    <t>Reduction PVC PR 40/25</t>
  </si>
  <si>
    <t>812RED049</t>
  </si>
  <si>
    <t>Reduction Galva 2"1/2--1"1/2</t>
  </si>
  <si>
    <t>812RED060</t>
  </si>
  <si>
    <t>Reduction PVC PR 110/63 (4"/2")</t>
  </si>
  <si>
    <t>812RED066</t>
  </si>
  <si>
    <t>Réduction PPR 75/63</t>
  </si>
  <si>
    <t>812RED073</t>
  </si>
  <si>
    <t>Reduction GALVA 1/4F/3/8M</t>
  </si>
  <si>
    <t>812RED606</t>
  </si>
  <si>
    <t>Raccord Inegale 10/06</t>
  </si>
  <si>
    <t>812RED608</t>
  </si>
  <si>
    <t>réduction08/12</t>
  </si>
  <si>
    <t>812RED700</t>
  </si>
  <si>
    <t>Réduction PVC63/50</t>
  </si>
  <si>
    <t>812RED701</t>
  </si>
  <si>
    <t>Réduction PVC110/75</t>
  </si>
  <si>
    <t>812RED702</t>
  </si>
  <si>
    <t>Réduction PVC PR 50/40</t>
  </si>
  <si>
    <t>812RED703</t>
  </si>
  <si>
    <t>Réduction PVC PR 40/32</t>
  </si>
  <si>
    <t>812RED704</t>
  </si>
  <si>
    <t>Réduction PVC32/25</t>
  </si>
  <si>
    <t>812RED713</t>
  </si>
  <si>
    <t>Réduction PVC PR 63/40</t>
  </si>
  <si>
    <t>812RED715</t>
  </si>
  <si>
    <t>Réduction NOIR 1'1/4---3/4</t>
  </si>
  <si>
    <t>812TTE002</t>
  </si>
  <si>
    <t>TE D25 BARGATAIRE</t>
  </si>
  <si>
    <t>812tte004</t>
  </si>
  <si>
    <t>TE PVC D100</t>
  </si>
  <si>
    <t>812TTE007</t>
  </si>
  <si>
    <t>TE 20/27 GALVA</t>
  </si>
  <si>
    <t>812TTE010</t>
  </si>
  <si>
    <t>TE 15/21 ACIER</t>
  </si>
  <si>
    <t>812TTE013</t>
  </si>
  <si>
    <t>TE PVC  P D63</t>
  </si>
  <si>
    <t>812TTE024</t>
  </si>
  <si>
    <t>TE PVC D160</t>
  </si>
  <si>
    <t>812TTE026</t>
  </si>
  <si>
    <t>TE 20/27 NOIR</t>
  </si>
  <si>
    <t>812TTE027</t>
  </si>
  <si>
    <t>TE 15/21 Noir</t>
  </si>
  <si>
    <t>812TTE035</t>
  </si>
  <si>
    <t>TE PVC D110</t>
  </si>
  <si>
    <t>812TTE036</t>
  </si>
  <si>
    <t>TE Galva D1/2" (15/21)</t>
  </si>
  <si>
    <t>812TTE043</t>
  </si>
  <si>
    <t>TE BARGATAIRE D50</t>
  </si>
  <si>
    <t>812TTE049</t>
  </si>
  <si>
    <t>TE Laiton  1"1/2</t>
  </si>
  <si>
    <t>812TTE051</t>
  </si>
  <si>
    <t>TE INOX  2" 1/2"</t>
  </si>
  <si>
    <t>812TTE052</t>
  </si>
  <si>
    <t>TE Laiton F/F 20/27</t>
  </si>
  <si>
    <t>812TTE058</t>
  </si>
  <si>
    <t>T PVC PR D50*20</t>
  </si>
  <si>
    <t>812TTE615</t>
  </si>
  <si>
    <t>Te04 pneumatique</t>
  </si>
  <si>
    <t>812TTE616</t>
  </si>
  <si>
    <t>Te06 pneumatique</t>
  </si>
  <si>
    <t>812TTE617</t>
  </si>
  <si>
    <t>Te08 pneumatique</t>
  </si>
  <si>
    <t>812TTE618</t>
  </si>
  <si>
    <t>Te10 pneumatique</t>
  </si>
  <si>
    <t>812TTE619</t>
  </si>
  <si>
    <t>Te12 pneumatique</t>
  </si>
  <si>
    <t>812TTE664</t>
  </si>
  <si>
    <t>T PVC PR D50</t>
  </si>
  <si>
    <t>812TTE667</t>
  </si>
  <si>
    <t>TE PVC Pression D40 (1"1/4)</t>
  </si>
  <si>
    <t>812TTE668</t>
  </si>
  <si>
    <t>T PVC P32</t>
  </si>
  <si>
    <t>812TTE669</t>
  </si>
  <si>
    <t>T PVC P75</t>
  </si>
  <si>
    <t>812TUB001</t>
  </si>
  <si>
    <t>TUBE BARGATAIRE D32</t>
  </si>
  <si>
    <t>812TUB020</t>
  </si>
  <si>
    <t>Tuyau spiralée D25 ENV SOVEMA</t>
  </si>
  <si>
    <t>812TUB027</t>
  </si>
  <si>
    <t>Tube Gorge D25</t>
  </si>
  <si>
    <t>812TUB034</t>
  </si>
  <si>
    <t>Tube Spiralee PVC D160</t>
  </si>
  <si>
    <t>812TUB035</t>
  </si>
  <si>
    <t>Tube Spiralee PVC D120</t>
  </si>
  <si>
    <t>812tub036</t>
  </si>
  <si>
    <t>Tube Spiralee PVC D200</t>
  </si>
  <si>
    <t>812TUB037</t>
  </si>
  <si>
    <t>Tube Spiralee PVC D100</t>
  </si>
  <si>
    <t>812TUB039</t>
  </si>
  <si>
    <t>Tube Gorge D20</t>
  </si>
  <si>
    <t>812TUB046</t>
  </si>
  <si>
    <t>Tube Gorge D32</t>
  </si>
  <si>
    <t>812TUB060</t>
  </si>
  <si>
    <t>Tube PVC D250</t>
  </si>
  <si>
    <t>812TUB642</t>
  </si>
  <si>
    <t>Tube PVC P 40</t>
  </si>
  <si>
    <t>812TUB651</t>
  </si>
  <si>
    <t>Tube inox a souder 316L D50</t>
  </si>
  <si>
    <t>812VAN003</t>
  </si>
  <si>
    <t>VANNESPHERIQUE 3/4</t>
  </si>
  <si>
    <t>812VAN007</t>
  </si>
  <si>
    <t>VANNE GALVA 50</t>
  </si>
  <si>
    <t>812VAN008</t>
  </si>
  <si>
    <t>VANNE SPHERIQUE 1+1/2"</t>
  </si>
  <si>
    <t>812VAN009</t>
  </si>
  <si>
    <t>VANNE GAZ 3" AVEC BRIDE DE FIXATION</t>
  </si>
  <si>
    <t>812VAN016</t>
  </si>
  <si>
    <t>VANNE GALVA 26-34</t>
  </si>
  <si>
    <t>812VAN017</t>
  </si>
  <si>
    <t>VANNE 1" 1/4 GALVA</t>
  </si>
  <si>
    <t>812VAN024</t>
  </si>
  <si>
    <t>VANNE 1" 1/2 GALVA</t>
  </si>
  <si>
    <t>812VAN026</t>
  </si>
  <si>
    <t>Vanne PPR D40</t>
  </si>
  <si>
    <t>812VAN733</t>
  </si>
  <si>
    <t>vanne Galva15/21</t>
  </si>
  <si>
    <t>812VAN735</t>
  </si>
  <si>
    <t>Vanne PVC20</t>
  </si>
  <si>
    <t>812VAN738</t>
  </si>
  <si>
    <t>Vanne PVC PR 40</t>
  </si>
  <si>
    <t>812VAN739</t>
  </si>
  <si>
    <t>Vanne PVC PR D50</t>
  </si>
  <si>
    <t>812VER001</t>
  </si>
  <si>
    <t>VERIN 1501.32.25  PNEUMAX</t>
  </si>
  <si>
    <t>812VER002</t>
  </si>
  <si>
    <t>VERIN D25 COURSE 40</t>
  </si>
  <si>
    <t>812ver003</t>
  </si>
  <si>
    <t>Verin 1260.10.10 Porte couvercle</t>
  </si>
  <si>
    <t>812VER005</t>
  </si>
  <si>
    <t>VERIN 1511.80.35 Pompe COS</t>
  </si>
  <si>
    <t>812VER007</t>
  </si>
  <si>
    <t>VERIN D50  C125</t>
  </si>
  <si>
    <t>812VER009</t>
  </si>
  <si>
    <t>VERIN D25 COURSE 125</t>
  </si>
  <si>
    <t>812VER011</t>
  </si>
  <si>
    <t>PISTON VERIN AIMANTE 80-16-27 NECESSAIRE VERIN D8</t>
  </si>
  <si>
    <t>812VER014</t>
  </si>
  <si>
    <t>VERIN 1260.12.15 PNEUMAX</t>
  </si>
  <si>
    <t>812VER015</t>
  </si>
  <si>
    <t>VERIN 1260.10.15 ENV.PNEUMAX</t>
  </si>
  <si>
    <t>812VER016</t>
  </si>
  <si>
    <t>STOP VERIN 3/8 CAMOZZI VBU-3/8 CLAPET.UNIDIRECT</t>
  </si>
  <si>
    <t>812VER018</t>
  </si>
  <si>
    <t>VERIN D25 C200 ELBAK</t>
  </si>
  <si>
    <t>812VER019</t>
  </si>
  <si>
    <t>ROTULE VERIN M10X1.25</t>
  </si>
  <si>
    <t>812VER022</t>
  </si>
  <si>
    <t>Verin 1319.160.150.01 Table principal COS</t>
  </si>
  <si>
    <t>812VER023</t>
  </si>
  <si>
    <t>Verin D32 C125 S.Bac couvercle</t>
  </si>
  <si>
    <t>812VER050</t>
  </si>
  <si>
    <t>Verin 1383.80.250.01 Testeur HRD</t>
  </si>
  <si>
    <t>812VER069</t>
  </si>
  <si>
    <t>Verin D50 C20  Airtag CHINOIS</t>
  </si>
  <si>
    <t>812VER082</t>
  </si>
  <si>
    <t>Verin 1511.40.05 test etancheite</t>
  </si>
  <si>
    <t>812VER095</t>
  </si>
  <si>
    <t>VERIN D40 C20 1511.40.20 Fourchette COS</t>
  </si>
  <si>
    <t>812VER102</t>
  </si>
  <si>
    <t>Racleur PW 45*53/5/7 Verin Soud Connexion</t>
  </si>
  <si>
    <t>812VER103</t>
  </si>
  <si>
    <t>GER 56*45/4.2 Verin Soud Connexion</t>
  </si>
  <si>
    <t>812VER104</t>
  </si>
  <si>
    <t>Joint torique 1.78*6.35 Verin Soud Connexion</t>
  </si>
  <si>
    <t>812VER105</t>
  </si>
  <si>
    <t>Joint torique 2.62*50.47 Verin Soud Connexion</t>
  </si>
  <si>
    <t>812VER106</t>
  </si>
  <si>
    <t>GIR 45*60.1/6.3 Verin Soud Connexion</t>
  </si>
  <si>
    <t>812VER107</t>
  </si>
  <si>
    <t>Verin 1501.32.20 panier COS</t>
  </si>
  <si>
    <t>812ver108</t>
  </si>
  <si>
    <t>Joint encastr&amp; pneum 50-13-8  Verin COS3</t>
  </si>
  <si>
    <t>812VER109</t>
  </si>
  <si>
    <t>VERIN 1511.80.15 S.connexion</t>
  </si>
  <si>
    <t>812VER110</t>
  </si>
  <si>
    <t>VERIN COMPACT SDA25*20B M.remplissage</t>
  </si>
  <si>
    <t>812VER111</t>
  </si>
  <si>
    <t>Fixation verin 1320.32.05 pneumax</t>
  </si>
  <si>
    <t>812VER112</t>
  </si>
  <si>
    <t>Racleur EN NBR 25-35-6/8 VERIN COS</t>
  </si>
  <si>
    <t>812VER113</t>
  </si>
  <si>
    <t>Joint torique EN NBR 70 OR 77.5-2.62 VERIN COS</t>
  </si>
  <si>
    <t>812VER114</t>
  </si>
  <si>
    <t>Joint torique EN NBR 70 OR 94.92-2.62 VERIN COS</t>
  </si>
  <si>
    <t>812VER115</t>
  </si>
  <si>
    <t>VERIN 1383.40.350 Rejet batterie S.Connexi</t>
  </si>
  <si>
    <t>812VER117</t>
  </si>
  <si>
    <t>Verin 1320.80.400.01 Centre element COS</t>
  </si>
  <si>
    <t>812VER118</t>
  </si>
  <si>
    <t>Verin D25 C150 PMY-7-25-150 Navette ENV ELBAK</t>
  </si>
  <si>
    <t>812VER119</t>
  </si>
  <si>
    <t>Verin D100 C350 SBC Huanfa</t>
  </si>
  <si>
    <t>812VER125</t>
  </si>
  <si>
    <t>Verin 1320.80.50.01 (SQ80-50) Table S.Couv</t>
  </si>
  <si>
    <t>812VER127</t>
  </si>
  <si>
    <t>Stoppeur verin 18/6/4mm M6  Verin panier COS</t>
  </si>
  <si>
    <t>812VER128</t>
  </si>
  <si>
    <t>PISTON Verin 100*16*25 verin ejecteur COS</t>
  </si>
  <si>
    <t>812VER188</t>
  </si>
  <si>
    <t>VERIN D63 C150 1320.63.150.01</t>
  </si>
  <si>
    <t>812VER189</t>
  </si>
  <si>
    <t>ROTULE VERIN FEMELLE M16</t>
  </si>
  <si>
    <t>812VER190</t>
  </si>
  <si>
    <t>CHAPE ARRIERE MALE D63</t>
  </si>
  <si>
    <t>812VER191</t>
  </si>
  <si>
    <t>Chape Verin D50</t>
  </si>
  <si>
    <t>812VER192</t>
  </si>
  <si>
    <t>Stop Verin VBU 1/2 Clapet unidirectionnel</t>
  </si>
  <si>
    <t>812VER193</t>
  </si>
  <si>
    <t>VERIN 1320.32.25</t>
  </si>
  <si>
    <t>812VER195</t>
  </si>
  <si>
    <t>VERIN sans tige D50 C500 SER 1600 Chariot brosse</t>
  </si>
  <si>
    <t>812VER196</t>
  </si>
  <si>
    <t>VERIN TIGE TRAVERSANTE D50 C20  Centre element</t>
  </si>
  <si>
    <t>812VER197</t>
  </si>
  <si>
    <t>VERIN COMPACT SDA32*20B M.Nivelage</t>
  </si>
  <si>
    <t>812VER198</t>
  </si>
  <si>
    <t>VERIN 1511.50.20 M.Nivelage</t>
  </si>
  <si>
    <t>812VER634</t>
  </si>
  <si>
    <t>VERIN DOUBLE EFFET 1280.32.25M</t>
  </si>
  <si>
    <t>812VER636</t>
  </si>
  <si>
    <t>VERIN 1320.80.200.01 Table S.couvercle</t>
  </si>
  <si>
    <t>812VER638</t>
  </si>
  <si>
    <t>VERIN D32 C10 1511.32.10      COS</t>
  </si>
  <si>
    <t>812VER639</t>
  </si>
  <si>
    <t>Verin  D12 C10</t>
  </si>
  <si>
    <t>812XMC002</t>
  </si>
  <si>
    <t>JOINT SILICONE D7.5X18 L14mm SERIE L</t>
  </si>
  <si>
    <t>812XMC005</t>
  </si>
  <si>
    <t>JOINT ETANCHEITE BATTERIE M SPECIAL</t>
  </si>
  <si>
    <t>812xmc007</t>
  </si>
  <si>
    <t>Joint etancheite D29-6.5*22</t>
  </si>
  <si>
    <t>812xmc008</t>
  </si>
  <si>
    <t>Joint Etancheite D42-6.5*40</t>
  </si>
  <si>
    <t>812xmc009</t>
  </si>
  <si>
    <t>Joint  SPONGIEUX 20/40 Bassinde charge</t>
  </si>
  <si>
    <t>812XMC010</t>
  </si>
  <si>
    <t>Joint etancheite D29/7*22</t>
  </si>
  <si>
    <t>812XMC016</t>
  </si>
  <si>
    <t>JOINT ETANCHEITE KAMINA 6.5*25*15*18.25*4</t>
  </si>
  <si>
    <t>812XMC017</t>
  </si>
  <si>
    <t>JOINT ETANCHEITE SMALL 6.5*21*14.75*18*20.5</t>
  </si>
  <si>
    <t>812xmc018</t>
  </si>
  <si>
    <t>Joint spongieux 12/10 porte Bassin de ch</t>
  </si>
  <si>
    <t>812XMC062</t>
  </si>
  <si>
    <t>Embou joint etancheite test etanch CH</t>
  </si>
  <si>
    <t>812XMC063</t>
  </si>
  <si>
    <t>JOINT ETANCHEITE 33/10/10  test etanch CH</t>
  </si>
  <si>
    <t>812XMC064</t>
  </si>
  <si>
    <t>JOINT ETANCHEITE 40/10/10  test etanch CH</t>
  </si>
  <si>
    <t>812XMC213</t>
  </si>
  <si>
    <t>VIS TF (INOX) M05*10  Français</t>
  </si>
  <si>
    <t>812XMC255</t>
  </si>
  <si>
    <t>CAOUTCHOUC SPONGIEUX 30/5 JOINT ISOFLEX</t>
  </si>
  <si>
    <t>812XPB002</t>
  </si>
  <si>
    <t>Colle Fort patex 1KG</t>
  </si>
  <si>
    <t>812XPB049</t>
  </si>
  <si>
    <t>BRIDE Galva  75/180 Filtage Interieur</t>
  </si>
  <si>
    <t>812XPB051</t>
  </si>
  <si>
    <t>Traverse de paroi PVC PR D50  citerne CHA.ACIDE</t>
  </si>
  <si>
    <t>812XPB089</t>
  </si>
  <si>
    <t>Traverse de paroi PVC PR D2"</t>
  </si>
  <si>
    <t>812XPB095</t>
  </si>
  <si>
    <t>Commutateur a flotteur 20/27</t>
  </si>
  <si>
    <t>812XPB103</t>
  </si>
  <si>
    <t>Traverse de paroi PVC PR 60/50</t>
  </si>
  <si>
    <t>812XPB114</t>
  </si>
  <si>
    <t>Armaflex 13-28 Pour Tube D20/27</t>
  </si>
  <si>
    <t>812XPB752</t>
  </si>
  <si>
    <t>Colle PVC Tangit 500G</t>
  </si>
  <si>
    <t>812XPB753</t>
  </si>
  <si>
    <t>COLLE SUPER GLUE</t>
  </si>
  <si>
    <t>812XPE247</t>
  </si>
  <si>
    <t>COFFRET 1 MODULE</t>
  </si>
  <si>
    <t>815ALI240</t>
  </si>
  <si>
    <t>Alimentation  0-12V DC</t>
  </si>
  <si>
    <t>815BOB006</t>
  </si>
  <si>
    <t>Bobine pour électrovanne 110V  SHAKO</t>
  </si>
  <si>
    <t>815BOB008</t>
  </si>
  <si>
    <t>Bobine distributeur 24VAC</t>
  </si>
  <si>
    <t>815BOB009</t>
  </si>
  <si>
    <t>Bobine distributeur 110V</t>
  </si>
  <si>
    <t>815BOB246</t>
  </si>
  <si>
    <t>Bobine distributeur 220V</t>
  </si>
  <si>
    <t>815BOB248</t>
  </si>
  <si>
    <t>Bobine Danfoss 220V ELECTROVANNE</t>
  </si>
  <si>
    <t>815cab004</t>
  </si>
  <si>
    <t>Capteur approximité IM08 -2NSPS -ZW1</t>
  </si>
  <si>
    <t>815CAB011</t>
  </si>
  <si>
    <t>Fil souple 0.75mm</t>
  </si>
  <si>
    <t>815CAB017</t>
  </si>
  <si>
    <t>Fil Souple 2.5mm Bleu</t>
  </si>
  <si>
    <t>815CAB019</t>
  </si>
  <si>
    <t>Cable Souple 3*0.75</t>
  </si>
  <si>
    <t>815cab025</t>
  </si>
  <si>
    <t>Fil Souple 0.75mm Bleu</t>
  </si>
  <si>
    <t>815CAB033</t>
  </si>
  <si>
    <t>Fil souple 1,5mm Bleu</t>
  </si>
  <si>
    <t>815CAB034</t>
  </si>
  <si>
    <t>Cable souple 1*10mm Bleu</t>
  </si>
  <si>
    <t>815CAB041</t>
  </si>
  <si>
    <t>Cable Souple 5*4mm</t>
  </si>
  <si>
    <t>815CAB061</t>
  </si>
  <si>
    <t>CABLE Thermique 3*2.5 cuivre NICKELEE TRESSEE</t>
  </si>
  <si>
    <t>815CAB253</t>
  </si>
  <si>
    <t>câble anti chaleur 1,5mm</t>
  </si>
  <si>
    <t>815CAB254</t>
  </si>
  <si>
    <t>câble anti chaleur 2,5mm</t>
  </si>
  <si>
    <t>815CAB255</t>
  </si>
  <si>
    <t>câble anti chaleur 4mm</t>
  </si>
  <si>
    <t>815CAB256</t>
  </si>
  <si>
    <t>câble anti chaleur 6mm</t>
  </si>
  <si>
    <t>815CAB258</t>
  </si>
  <si>
    <t>Fil souple 1,5mm Noir</t>
  </si>
  <si>
    <t>815CAB263</t>
  </si>
  <si>
    <t>câble souple 4x1,5mm</t>
  </si>
  <si>
    <t>815CAB266</t>
  </si>
  <si>
    <t>câble souple 4x2,5mm</t>
  </si>
  <si>
    <t>815CAP001</t>
  </si>
  <si>
    <t>CAPTEUR E2B-M12KN08-WP-B1 PNP NO OMRON</t>
  </si>
  <si>
    <t>815CAP002</t>
  </si>
  <si>
    <t>CAPTEUR M18 NO E2A-M18lS08-M1-B1</t>
  </si>
  <si>
    <t>815CAP004</t>
  </si>
  <si>
    <t>CAPTEUR E3RB-RP21</t>
  </si>
  <si>
    <t>815CAP005</t>
  </si>
  <si>
    <t>CAPTEUR ICB12L50F04POM1 M12 NO Long   COS</t>
  </si>
  <si>
    <t>815CAP006</t>
  </si>
  <si>
    <t>PHOTO ELECTRIC SWITHCH E3JM-DS70M4-G</t>
  </si>
  <si>
    <t>815CAP022</t>
  </si>
  <si>
    <t>support capteur PHOTOCELL</t>
  </si>
  <si>
    <t>815CAP023</t>
  </si>
  <si>
    <t>Capteur fin de course CM-1308  COS</t>
  </si>
  <si>
    <t>815CAP027</t>
  </si>
  <si>
    <t>CAPTEUR Fin de course verin HX-21R-2M</t>
  </si>
  <si>
    <t>815CAP028</t>
  </si>
  <si>
    <t>CAPTEUR LJA18M-10N1 S.BORNE+COUVERCLE CH</t>
  </si>
  <si>
    <t>815CAP029</t>
  </si>
  <si>
    <t>Capteur de niveau d'acide M.Nivelage</t>
  </si>
  <si>
    <t>815CAP036</t>
  </si>
  <si>
    <t>support capteur verin 1500U Pnuemax D50</t>
  </si>
  <si>
    <t>815CAP037</t>
  </si>
  <si>
    <t>support capteur verin 1500U Pnuemax D80</t>
  </si>
  <si>
    <t>815CAP038</t>
  </si>
  <si>
    <t>Capteur fin de course D-Z73  ENV HILANS</t>
  </si>
  <si>
    <t>815CAP041</t>
  </si>
  <si>
    <t>support capteur verin Ancien modele</t>
  </si>
  <si>
    <t>815CAP045</t>
  </si>
  <si>
    <t>Capteur fin de course XCK-J-10541</t>
  </si>
  <si>
    <t>815CAP048</t>
  </si>
  <si>
    <t>Capteur XS1-M18KP340 12/24VDC ENV HILANS</t>
  </si>
  <si>
    <t>815CAP138</t>
  </si>
  <si>
    <t>CAPTEUR M12 NC E2A-M12lS04-M1-B2</t>
  </si>
  <si>
    <t>815CAP150</t>
  </si>
  <si>
    <t>support capteur TESTO SRL00602003904507</t>
  </si>
  <si>
    <t>815CON008</t>
  </si>
  <si>
    <t>Contacteur 146A AF146-30    KAESER</t>
  </si>
  <si>
    <t>815con019</t>
  </si>
  <si>
    <t>Contacteur HDCH8S 40A 2P 2NO HIMEL</t>
  </si>
  <si>
    <t>815CON036</t>
  </si>
  <si>
    <t>Contact Auxiliaire Contacteur ABB A145-30</t>
  </si>
  <si>
    <t>815CON037</t>
  </si>
  <si>
    <t>Contacteur LC1D025 24VAC</t>
  </si>
  <si>
    <t>815CON038</t>
  </si>
  <si>
    <t>Contacteur LC1D032 24VAC</t>
  </si>
  <si>
    <t>815con041</t>
  </si>
  <si>
    <t>Contacteur LC1D09 220V</t>
  </si>
  <si>
    <t>815CON051</t>
  </si>
  <si>
    <t>Contact Auxiliaire pour disjoncteur moteur NO/NC</t>
  </si>
  <si>
    <t>815CON272</t>
  </si>
  <si>
    <t>Contacteur LC1D018 220V</t>
  </si>
  <si>
    <t>815CON273</t>
  </si>
  <si>
    <t>Contacteur  LC1D025 24VDC</t>
  </si>
  <si>
    <t>815CON274</t>
  </si>
  <si>
    <t>Contacteur LC1D025 220VAC</t>
  </si>
  <si>
    <t>815CON275</t>
  </si>
  <si>
    <t>Contacteur LC1D032 24VDC</t>
  </si>
  <si>
    <t>815CON276</t>
  </si>
  <si>
    <t>Contacteur LC1D032 220VAC</t>
  </si>
  <si>
    <t>815COS003</t>
  </si>
  <si>
    <t>Cosse a sertir SC35-10</t>
  </si>
  <si>
    <t>815COS006</t>
  </si>
  <si>
    <t>Cosse a sertir SC50-10</t>
  </si>
  <si>
    <t>815cos007</t>
  </si>
  <si>
    <t>Cosse a sertir SC70-12</t>
  </si>
  <si>
    <t>815cos008</t>
  </si>
  <si>
    <t>Cosse a sertir SC120-12</t>
  </si>
  <si>
    <t>815COS009</t>
  </si>
  <si>
    <t>Cosse a sertir SC240-12</t>
  </si>
  <si>
    <t>815COS016</t>
  </si>
  <si>
    <t>Cosse a sertir SC16-10</t>
  </si>
  <si>
    <t>815COS282</t>
  </si>
  <si>
    <t>Cosse fil 1.5mm  M4</t>
  </si>
  <si>
    <t>815COS283</t>
  </si>
  <si>
    <t>Cosse fil 1.5mm M6</t>
  </si>
  <si>
    <t>815COS286</t>
  </si>
  <si>
    <t>COSSE JAUNE 8</t>
  </si>
  <si>
    <t>815COS287</t>
  </si>
  <si>
    <t>COSSE JAUNE6</t>
  </si>
  <si>
    <t>815COS288</t>
  </si>
  <si>
    <t>Cosse a sertie SC06-06</t>
  </si>
  <si>
    <t>815COS289</t>
  </si>
  <si>
    <t>Cosse a sertie rond M04</t>
  </si>
  <si>
    <t>815COS290</t>
  </si>
  <si>
    <t>Cosse a sertie SC10-06</t>
  </si>
  <si>
    <t>815COS291</t>
  </si>
  <si>
    <t>Cosse a sertir SC16-08</t>
  </si>
  <si>
    <t>815DIS001</t>
  </si>
  <si>
    <t>DISJONCTEUR MOTEUR 4 A-6.3A</t>
  </si>
  <si>
    <t>815DIS002</t>
  </si>
  <si>
    <t>DISJONCTEUR MOTEUR 2.5A--4A</t>
  </si>
  <si>
    <t>815DIS004</t>
  </si>
  <si>
    <t>DISJONCTEUR MOTEUR 6-10A</t>
  </si>
  <si>
    <t>815DIS014</t>
  </si>
  <si>
    <t>Disjoncteur 63A 3P</t>
  </si>
  <si>
    <t>815DIS016</t>
  </si>
  <si>
    <t>Disjoncteur Differentiel 25A 2P</t>
  </si>
  <si>
    <t>815dis022</t>
  </si>
  <si>
    <t>Disjoncteur 10A  2P</t>
  </si>
  <si>
    <t>815dis023</t>
  </si>
  <si>
    <t>Disjoncteur 16A 2P</t>
  </si>
  <si>
    <t>815DIS028</t>
  </si>
  <si>
    <t>Disjoncteur 20A 4P</t>
  </si>
  <si>
    <t>815DIS031</t>
  </si>
  <si>
    <t>Disjoncteur 32A 2 PORT</t>
  </si>
  <si>
    <t>815DIS037</t>
  </si>
  <si>
    <t>Disjoncteur 10A  1P</t>
  </si>
  <si>
    <t>815DIS285</t>
  </si>
  <si>
    <t>Disjoncteur 1x16A</t>
  </si>
  <si>
    <t>815DIS291</t>
  </si>
  <si>
    <t>Disjoncteur 32A 3 PORT</t>
  </si>
  <si>
    <t>815DIS296</t>
  </si>
  <si>
    <t>DISJONCTEUR 63A 4 PORT</t>
  </si>
  <si>
    <t>815DIS298</t>
  </si>
  <si>
    <t>Disjoncteur 32A monophasé 1*32</t>
  </si>
  <si>
    <t>815dis302</t>
  </si>
  <si>
    <t>Disjoncteur moteur20-25A TESYS 034325</t>
  </si>
  <si>
    <t>815ele005</t>
  </si>
  <si>
    <t>ELECTROVANNE DN25</t>
  </si>
  <si>
    <t>815ELE010</t>
  </si>
  <si>
    <t>Minuterie Electrovanne Bobine Danfoss</t>
  </si>
  <si>
    <t>815ELE017</t>
  </si>
  <si>
    <t>Transformateur allumage 14kv S.Borne CH</t>
  </si>
  <si>
    <t>815ELE018</t>
  </si>
  <si>
    <t>Radiateur Testeur HRD CH</t>
  </si>
  <si>
    <t>815ELE025</t>
  </si>
  <si>
    <t>Module 6ES7 222-1BF32-0XB0</t>
  </si>
  <si>
    <t>815ELE026</t>
  </si>
  <si>
    <t>Module 6ES7 222-1BH32-0XB0</t>
  </si>
  <si>
    <t>815ELE046</t>
  </si>
  <si>
    <t>Module Sortie 6ES7 322-1BH01-0AA0   COS1</t>
  </si>
  <si>
    <t>815ELE048</t>
  </si>
  <si>
    <t>TRANSFORMATEUR ALLUMAGE T17/B 15423001 220V/2*400</t>
  </si>
  <si>
    <t>815ELE050</t>
  </si>
  <si>
    <t>Transformateur 600VA 380/230v M60031R  Redresseur</t>
  </si>
  <si>
    <t>815ELE053</t>
  </si>
  <si>
    <t>Transformateur BK500 2-4 380V 12-14 Testeur HRD C</t>
  </si>
  <si>
    <t>815ELE058</t>
  </si>
  <si>
    <t>Module Sortie 6ES7 331-7KB02-0AB0 S.CON L1</t>
  </si>
  <si>
    <t>815ELE084</t>
  </si>
  <si>
    <t>Transformateur 400VA PRI 0-400V SEC 0-220V</t>
  </si>
  <si>
    <t>815ELE085</t>
  </si>
  <si>
    <t>Transformateur 50VA PRI 0-220V-380 SEC 0-24VAC</t>
  </si>
  <si>
    <t>815ELE305</t>
  </si>
  <si>
    <t>électrovanne 15/21 24V DC</t>
  </si>
  <si>
    <t>815FUS003</t>
  </si>
  <si>
    <t>FUSIBLE 6A 10*38 COS4</t>
  </si>
  <si>
    <t>815FUS004</t>
  </si>
  <si>
    <t>FUSIBLE   6A 14*51 500W</t>
  </si>
  <si>
    <t>815FUS005</t>
  </si>
  <si>
    <t>FUSIBLES 40A</t>
  </si>
  <si>
    <t>815FUS007</t>
  </si>
  <si>
    <t>Fusible 4A Forme bouteille</t>
  </si>
  <si>
    <t>815FUS008</t>
  </si>
  <si>
    <t>Fusible 25A Forme bouteille</t>
  </si>
  <si>
    <t>815FUS009</t>
  </si>
  <si>
    <t>Fusible 1A 5*20MM F1A</t>
  </si>
  <si>
    <t>815FUS010</t>
  </si>
  <si>
    <t>Fusible 6A Forme bouteille</t>
  </si>
  <si>
    <t>815fus011</t>
  </si>
  <si>
    <t>Fusible 16A  500V Forme bouteille  50*22</t>
  </si>
  <si>
    <t>815FUS012</t>
  </si>
  <si>
    <t>Fusible 22*58 AM 125A</t>
  </si>
  <si>
    <t>815fus013</t>
  </si>
  <si>
    <t>Porte Fusible uni 22*58    125A</t>
  </si>
  <si>
    <t>815FUS018</t>
  </si>
  <si>
    <t>Fusible 20A 400V 10*38</t>
  </si>
  <si>
    <t>815fus025</t>
  </si>
  <si>
    <t>Fusible 20A 500V Forme bouteille</t>
  </si>
  <si>
    <t>815fus030</t>
  </si>
  <si>
    <t>Fusible 5A  6.3*32mm Carte redresseur</t>
  </si>
  <si>
    <t>815FUS033</t>
  </si>
  <si>
    <t>Fusible 35A 500V 50KA Forme bouteille   COS4</t>
  </si>
  <si>
    <t>815FUS037</t>
  </si>
  <si>
    <t>FUSIBLE BRITANNIQUE LET63A     Chargeur char</t>
  </si>
  <si>
    <t>815FUS038</t>
  </si>
  <si>
    <t>FUSIBLE TIS63  63A RED POWER KRAFT</t>
  </si>
  <si>
    <t>815FUS039</t>
  </si>
  <si>
    <t>FUSIBLE TIS50  50A RED POWER KRAFT</t>
  </si>
  <si>
    <t>815FUS040</t>
  </si>
  <si>
    <t>FUSIBLE 50A 22*58 Bassin charge</t>
  </si>
  <si>
    <t>815FUS041</t>
  </si>
  <si>
    <t>Fusible 200A 690V aR 200KA Redresseur SOVEMA</t>
  </si>
  <si>
    <t>815FUS042</t>
  </si>
  <si>
    <t>Fusible Chargeur 40A Gerbeur</t>
  </si>
  <si>
    <t>815FUS043</t>
  </si>
  <si>
    <t>FUSIBLE 80A 22*58</t>
  </si>
  <si>
    <t>815FUS044</t>
  </si>
  <si>
    <t>FUSIBLE Couteau NH00C 40A GG  Chargeur NACEL</t>
  </si>
  <si>
    <t>815FUS311</t>
  </si>
  <si>
    <t>FUSIBLE 32A</t>
  </si>
  <si>
    <t>815FUS312</t>
  </si>
  <si>
    <t>FUSIBLES 10A 10*38</t>
  </si>
  <si>
    <t>815FUS313</t>
  </si>
  <si>
    <t>FUSIBLES 20A 14*51</t>
  </si>
  <si>
    <t>815FUS314</t>
  </si>
  <si>
    <t>FUSIBLES 2A 10*38  500V</t>
  </si>
  <si>
    <t>815FUS315</t>
  </si>
  <si>
    <t>FUSIBLES 4A 10*38  500V</t>
  </si>
  <si>
    <t>815FUS316</t>
  </si>
  <si>
    <t>FUSIBLE 5A 250V</t>
  </si>
  <si>
    <t>815fus318</t>
  </si>
  <si>
    <t>FUSIBLE   16A 10*38</t>
  </si>
  <si>
    <t>815gai002</t>
  </si>
  <si>
    <t>Gaine thermoretractable D40</t>
  </si>
  <si>
    <t>815GAI004</t>
  </si>
  <si>
    <t>Gaine anti chaleur D10mm</t>
  </si>
  <si>
    <t>815GAI005</t>
  </si>
  <si>
    <t>Gaine thermoretractable 6mm</t>
  </si>
  <si>
    <t>815GAI013</t>
  </si>
  <si>
    <t>Gaine thermoretractable 08mm</t>
  </si>
  <si>
    <t>815GAI318</t>
  </si>
  <si>
    <t>gaine anti chaleur 6mm</t>
  </si>
  <si>
    <t>815GAI319</t>
  </si>
  <si>
    <t>gaine anti chaleur 12mm</t>
  </si>
  <si>
    <t>815GAI321</t>
  </si>
  <si>
    <t>gaine anti chaleur 2,5mm</t>
  </si>
  <si>
    <t>815GAI322</t>
  </si>
  <si>
    <t>gaine anti chaleur 4mm</t>
  </si>
  <si>
    <t>815GAI323</t>
  </si>
  <si>
    <t>gaine anti chaleur 8mm</t>
  </si>
  <si>
    <t>815GOU003</t>
  </si>
  <si>
    <t>GOUPILLE  D6*60</t>
  </si>
  <si>
    <t>815GOU004</t>
  </si>
  <si>
    <t>GOUPILLE  D10*90</t>
  </si>
  <si>
    <t>815GOU005</t>
  </si>
  <si>
    <t>GOUPILLE  D8*30</t>
  </si>
  <si>
    <t>815GOU006</t>
  </si>
  <si>
    <t>GOUPILLE  D6*50</t>
  </si>
  <si>
    <t>815LAM004</t>
  </si>
  <si>
    <t>Lampe iodure 400w DSRAM</t>
  </si>
  <si>
    <t>815pho144</t>
  </si>
  <si>
    <t>Photocell Allen Bradley 42EF-B1MPBE-F4 SER A/B</t>
  </si>
  <si>
    <t>815PHO145</t>
  </si>
  <si>
    <t>Photocell OMRON E3FA-DP22</t>
  </si>
  <si>
    <t>815PHO146</t>
  </si>
  <si>
    <t>Photocell OMRON E3Z-FDP16</t>
  </si>
  <si>
    <t>815PHO147</t>
  </si>
  <si>
    <t>Photocell Allen Bradley 42EF-P2MPB-F4 D/3m BROSSE</t>
  </si>
  <si>
    <t>815PHO148</t>
  </si>
  <si>
    <t>Photocell Allen Bradley 42EF-E1EZB-F4   B</t>
  </si>
  <si>
    <t>815PHO149</t>
  </si>
  <si>
    <t>Photocell Allen Bradley 42EF-R9MPB-F4 B</t>
  </si>
  <si>
    <t>815POT003</t>
  </si>
  <si>
    <t>POTENTIOMETRE 10K D22 LA42DWQ-10K</t>
  </si>
  <si>
    <t>815RAI001</t>
  </si>
  <si>
    <t>RAIL OMEGA P/DISJ 1,00M SAFE</t>
  </si>
  <si>
    <t>815REL001</t>
  </si>
  <si>
    <t>RELAIS TEMPORISE CARLO.G 24V 8 BROCHE</t>
  </si>
  <si>
    <t>815REL003</t>
  </si>
  <si>
    <t>RELAIS DE NIVEAU DHC19S-S</t>
  </si>
  <si>
    <t>815REL005</t>
  </si>
  <si>
    <t>RELAIS DE NIVEAU 2RM35LM33MW</t>
  </si>
  <si>
    <t>815REL009</t>
  </si>
  <si>
    <t>Relais thermique 7A-10A</t>
  </si>
  <si>
    <t>815REL010</t>
  </si>
  <si>
    <t>Relais alternatif 24VAC 14 broches</t>
  </si>
  <si>
    <t>815REL013</t>
  </si>
  <si>
    <t>Relais thermique 1-1.6A LRD06 Shneider</t>
  </si>
  <si>
    <t>815rel014</t>
  </si>
  <si>
    <t>Relais thermoregulateur TF4-M1  48*48</t>
  </si>
  <si>
    <t>815REL017</t>
  </si>
  <si>
    <t>Relais 14 Broches 24VDC</t>
  </si>
  <si>
    <t>815REL026</t>
  </si>
  <si>
    <t>Relais 24VAC 8Broches</t>
  </si>
  <si>
    <t>815REL036</t>
  </si>
  <si>
    <t>Relais 61F-GP-N8</t>
  </si>
  <si>
    <t>815REL037</t>
  </si>
  <si>
    <t>Radiateur RELAIS RM1A23D50</t>
  </si>
  <si>
    <t>815REL040</t>
  </si>
  <si>
    <t>RELAIS RU2S-D24 24VDC 8BROCHES</t>
  </si>
  <si>
    <t>815REL043</t>
  </si>
  <si>
    <t>Thermo-controller LTR-5CSRE+Sonde</t>
  </si>
  <si>
    <t>815REL044</t>
  </si>
  <si>
    <t>Relais 14 Broches 110V    Fardeleuse</t>
  </si>
  <si>
    <t>815REL045</t>
  </si>
  <si>
    <t>RELAIS 14 broches 230VAC 2eme Fardeleuse</t>
  </si>
  <si>
    <t>815REL326</t>
  </si>
  <si>
    <t>RELAIS 08 Broches 230VAC 2eme Fardeleuse</t>
  </si>
  <si>
    <t>815REL327</t>
  </si>
  <si>
    <t>RELAIS A 11 BROCHE CIRCULAIRE 230V AC 60.13.8.230</t>
  </si>
  <si>
    <t>815REL328</t>
  </si>
  <si>
    <t>RELAIS 24V DC  60,13,9,24</t>
  </si>
  <si>
    <t>815REL329</t>
  </si>
  <si>
    <t>RELAIS 24V DC 55,32,9,24 8 broches</t>
  </si>
  <si>
    <t>815REL331</t>
  </si>
  <si>
    <t>Rélais thermique 1,6-2,5A</t>
  </si>
  <si>
    <t>815REL333</t>
  </si>
  <si>
    <t>Rélais thermique 4-6A</t>
  </si>
  <si>
    <t>815REL338</t>
  </si>
  <si>
    <t>RELAIS RM1A23D50</t>
  </si>
  <si>
    <t>815REL341</t>
  </si>
  <si>
    <t>Relais PM48A-100h-AC 24V ATA 11 BROCHES</t>
  </si>
  <si>
    <t>815RES003</t>
  </si>
  <si>
    <t>RESISTANCE FARDELEUSE 1250W*L73*230V</t>
  </si>
  <si>
    <t>815RES004</t>
  </si>
  <si>
    <t>RESISTANCE TUBE 415W</t>
  </si>
  <si>
    <t>815RES012</t>
  </si>
  <si>
    <t>RESISTANCE COUDEE 1200W  L420 230V D12.5 PLQ.CHAU</t>
  </si>
  <si>
    <t>815RES013</t>
  </si>
  <si>
    <t>RESISTANCE  FARDELEUSE D10,L840*230V 1500W</t>
  </si>
  <si>
    <t>815RES014</t>
  </si>
  <si>
    <t>Resistance cart D12.7 L215/800W/230V Pompe COS4</t>
  </si>
  <si>
    <t>815RES015</t>
  </si>
  <si>
    <t>Resistance D16/L180/800W/380V  COS4</t>
  </si>
  <si>
    <t>815RES016</t>
  </si>
  <si>
    <t>Resistance D12.7/L305/240V/800W  COS4</t>
  </si>
  <si>
    <t>815RES017</t>
  </si>
  <si>
    <t>Resistance DALTON SBC TEGUEL D12.7/240V/2000W/L30</t>
  </si>
  <si>
    <t>815RES018</t>
  </si>
  <si>
    <t>Resistance Cart D12.6 L304/2000W/240V PLQ Chauf L</t>
  </si>
  <si>
    <t>815RES021</t>
  </si>
  <si>
    <t>Resistance D12.7/L395/230V/1500W COS4</t>
  </si>
  <si>
    <t>815RES022</t>
  </si>
  <si>
    <t>Resistance L450/230V/1700W</t>
  </si>
  <si>
    <t>815RES027</t>
  </si>
  <si>
    <t>RESISTANCE D14 L80 220V 140W</t>
  </si>
  <si>
    <t>815RES036</t>
  </si>
  <si>
    <t>Resistance Cart D12 L210/800W/230V Moule M16</t>
  </si>
  <si>
    <t>815RES052</t>
  </si>
  <si>
    <t>RESISTANCE COUDEE 1500W L320 230V D12.7 P.Ch L3</t>
  </si>
  <si>
    <t>815RES054</t>
  </si>
  <si>
    <t>Resistance cartouche D16/L250/500W M.Lavage</t>
  </si>
  <si>
    <t>815RES056</t>
  </si>
  <si>
    <t>Resistance cart M11 D15.7/L270/800W PLQ CH B</t>
  </si>
  <si>
    <t>815res060</t>
  </si>
  <si>
    <t>Resistance Cart D18.5/L300/800W SBC L3 C</t>
  </si>
  <si>
    <t>815RES061</t>
  </si>
  <si>
    <t>Resistance cart M15 D15.7/L310/1000W PL CH B</t>
  </si>
  <si>
    <t>815RES066</t>
  </si>
  <si>
    <t>RESISTANCE TUBE D08/600W/L525MM PIPE COS</t>
  </si>
  <si>
    <t>815RES156</t>
  </si>
  <si>
    <t>RESISTANCE 60mm/D16/230V/400W</t>
  </si>
  <si>
    <t>815RES160</t>
  </si>
  <si>
    <t>résistance 5000w/?16/980mm</t>
  </si>
  <si>
    <t>815RES162</t>
  </si>
  <si>
    <t>RESISTANCE CARTOUCHE D10*200 630W 230V PLQ.CHAUF</t>
  </si>
  <si>
    <t>815RES168</t>
  </si>
  <si>
    <t>résistance DALTON 380mm/1000W/230v</t>
  </si>
  <si>
    <t>815RES173</t>
  </si>
  <si>
    <t>resistance HT50035   800W 230V</t>
  </si>
  <si>
    <t>815RES177</t>
  </si>
  <si>
    <t>RESISTANCE D16/100L/230V/800W Pompe COS</t>
  </si>
  <si>
    <t>815RES213</t>
  </si>
  <si>
    <t>Resistance fardeleuse 110V D10/L840/1500W/110V</t>
  </si>
  <si>
    <t>815RES215</t>
  </si>
  <si>
    <t>Resistance a ailette D16/L650/230V/1200W</t>
  </si>
  <si>
    <t>815SEL002</t>
  </si>
  <si>
    <t>SELECTEUR 2 POSITIONS Avec CLE   CHARIOT</t>
  </si>
  <si>
    <t>815SEL335</t>
  </si>
  <si>
    <t>SELECTEUR 3 POSITIONS</t>
  </si>
  <si>
    <t>815SEL336</t>
  </si>
  <si>
    <t>SELECTEUR 2 POSITIONS</t>
  </si>
  <si>
    <t>815sta001</t>
  </si>
  <si>
    <t>starteur PHILPS 4-65W</t>
  </si>
  <si>
    <t>815THE153</t>
  </si>
  <si>
    <t>thermocouple Type J (canne) D16/L1700 Creuset COS</t>
  </si>
  <si>
    <t>815TRA154</t>
  </si>
  <si>
    <t>transmetteur de pression STS ATM  A3010039A</t>
  </si>
  <si>
    <t>815VOY001</t>
  </si>
  <si>
    <t>Voyant LED Rouge 220V</t>
  </si>
  <si>
    <t>815VOY002</t>
  </si>
  <si>
    <t>Voyant LED Rouge 24V</t>
  </si>
  <si>
    <t>815VOY003</t>
  </si>
  <si>
    <t>Voyant LED VERT 24V</t>
  </si>
  <si>
    <t>815VOY004</t>
  </si>
  <si>
    <t>Voyant LED VERT 220V</t>
  </si>
  <si>
    <t>815VOY005</t>
  </si>
  <si>
    <t>Voyant LED Orangé 24VAC</t>
  </si>
  <si>
    <t>815VOY009</t>
  </si>
  <si>
    <t>Voyant LED Orangé 220V</t>
  </si>
  <si>
    <t>815XME012</t>
  </si>
  <si>
    <t>PRISE CHARGE CHARIOT Male 80A</t>
  </si>
  <si>
    <t>815XME017</t>
  </si>
  <si>
    <t>PRISE CHARGE CHARIOT Femelle 160A</t>
  </si>
  <si>
    <t>815XOU001</t>
  </si>
  <si>
    <t>BAGUE ACCOUPLEMENT STRIP</t>
  </si>
  <si>
    <t>815XOU002</t>
  </si>
  <si>
    <t>TOC EN PLASTIQUE STRIP</t>
  </si>
  <si>
    <t>815XOU005</t>
  </si>
  <si>
    <t>COSSE A BRIDE D12 (fixation)</t>
  </si>
  <si>
    <t>815XOU012</t>
  </si>
  <si>
    <t>COSSE A BRIDE 35 MM</t>
  </si>
  <si>
    <t>815XOU013</t>
  </si>
  <si>
    <t>KIT MICRO BOXER</t>
  </si>
  <si>
    <t>815XOU017</t>
  </si>
  <si>
    <t>COSSE A SERTIE 10-8</t>
  </si>
  <si>
    <t>815XPE003</t>
  </si>
  <si>
    <t>DOMINO en plastique 35A</t>
  </si>
  <si>
    <t>815XPE004</t>
  </si>
  <si>
    <t>FICHE FEMELLE 3P+T 25A    380V</t>
  </si>
  <si>
    <t>815xpe008</t>
  </si>
  <si>
    <t>boite derivation</t>
  </si>
  <si>
    <t>815XPE018</t>
  </si>
  <si>
    <t>Photocell CARLO GAVAZZI PD30CNB15 150mm</t>
  </si>
  <si>
    <t>815XPE020</t>
  </si>
  <si>
    <t>Cable acier 2.5MM</t>
  </si>
  <si>
    <t>815XPE022</t>
  </si>
  <si>
    <t>AFFICHEUR</t>
  </si>
  <si>
    <t>815XPE023</t>
  </si>
  <si>
    <t>ELECTROVANNE D 1/4" Bobine 24VDC</t>
  </si>
  <si>
    <t>815XPE024</t>
  </si>
  <si>
    <t>ELECTROVANNE 15/21 15BG</t>
  </si>
  <si>
    <t>815XPE025</t>
  </si>
  <si>
    <t>SELECTEUR ROTATIF 1 POSITION</t>
  </si>
  <si>
    <t>815XPE033</t>
  </si>
  <si>
    <t>Domino plastique 80A</t>
  </si>
  <si>
    <t>815XPE036</t>
  </si>
  <si>
    <t>Socle pour rélais 8 BROCHES</t>
  </si>
  <si>
    <t>815XPE037</t>
  </si>
  <si>
    <t>Socle pour rélais 11 BROCHES</t>
  </si>
  <si>
    <t>815XPE051</t>
  </si>
  <si>
    <t>CONNECTEUR CAPTEUR FEMELLE M12  4 broches</t>
  </si>
  <si>
    <t>815XPE052</t>
  </si>
  <si>
    <t>Domino en plastique 25A</t>
  </si>
  <si>
    <t>815XPE053</t>
  </si>
  <si>
    <t>Domino de 25A</t>
  </si>
  <si>
    <t>815XPE064</t>
  </si>
  <si>
    <t>LUMINAIRE ETANCHE 2*36</t>
  </si>
  <si>
    <t>815XPE065</t>
  </si>
  <si>
    <t>BURETTE HUILE</t>
  </si>
  <si>
    <t>815XPE066</t>
  </si>
  <si>
    <t>LOCTITE FREIN FILETS</t>
  </si>
  <si>
    <t>815XPE082</t>
  </si>
  <si>
    <t>FIXATION LAVABO</t>
  </si>
  <si>
    <t>815XPE095</t>
  </si>
  <si>
    <t>SILENT BLOC ELBAK 15X15</t>
  </si>
  <si>
    <t>815XPE100</t>
  </si>
  <si>
    <t>Embou PVC PR 50*40*1"1/2 femelle</t>
  </si>
  <si>
    <t>815xpe103</t>
  </si>
  <si>
    <t>Tube Neon 60</t>
  </si>
  <si>
    <t>815XPE107</t>
  </si>
  <si>
    <t>Arret d'urgence</t>
  </si>
  <si>
    <t>815xpe118</t>
  </si>
  <si>
    <t>Fils thermocouple Type J 2fils  2*0.5</t>
  </si>
  <si>
    <t>815XPE121</t>
  </si>
  <si>
    <t>815xpe129</t>
  </si>
  <si>
    <t>Condensateur 8µF MKA8 Demarrage moteur</t>
  </si>
  <si>
    <t>815XPE131</t>
  </si>
  <si>
    <t>Gaine tréssé d36</t>
  </si>
  <si>
    <t>815xpe134</t>
  </si>
  <si>
    <t>Clame complet</t>
  </si>
  <si>
    <t>815xpe135</t>
  </si>
  <si>
    <t>Araignée</t>
  </si>
  <si>
    <t>815xpe136</t>
  </si>
  <si>
    <t>CONNECTEUR CAPTEUR Male M12  4 broches</t>
  </si>
  <si>
    <t>815xpe139</t>
  </si>
  <si>
    <t>Cable connecteur capteur M12 4fils</t>
  </si>
  <si>
    <t>815XPE140</t>
  </si>
  <si>
    <t>Support relais ZD50 10A   300V Carlo Gavazzi</t>
  </si>
  <si>
    <t>815XPE165</t>
  </si>
  <si>
    <t>Embou Fils 0.75mm BLEU</t>
  </si>
  <si>
    <t>815XPE166</t>
  </si>
  <si>
    <t>Presse etoupe arrmoire PG-07 Ø 3.5-6MM</t>
  </si>
  <si>
    <t>815XPE167</t>
  </si>
  <si>
    <t>Presse etoupe arrmoire PG-09 Ø 4-8MM</t>
  </si>
  <si>
    <t>815xpe168</t>
  </si>
  <si>
    <t>Presse etoupe arrmoire PG-11 Ø5-10MM</t>
  </si>
  <si>
    <t>815XPE170</t>
  </si>
  <si>
    <t>Bornier 2.5mm</t>
  </si>
  <si>
    <t>815xpe171</t>
  </si>
  <si>
    <t>Bornier 6mm</t>
  </si>
  <si>
    <t>815xpe172</t>
  </si>
  <si>
    <t>Equerre de blocage Petit</t>
  </si>
  <si>
    <t>815xpe173</t>
  </si>
  <si>
    <t>Repere Bornier Bar de 10 numero 150</t>
  </si>
  <si>
    <t>815xpe174</t>
  </si>
  <si>
    <t>Repere Fil "0" 0.5-1.5 Noir</t>
  </si>
  <si>
    <t>815xpe176</t>
  </si>
  <si>
    <t>Repere Fil "2" 0.5-1.5</t>
  </si>
  <si>
    <t>815xpe177</t>
  </si>
  <si>
    <t>Repere Fil "3" 0.5-1.5</t>
  </si>
  <si>
    <t>815xpe179</t>
  </si>
  <si>
    <t>Repere Fil "5" 0.5-1.5</t>
  </si>
  <si>
    <t>815xpe180</t>
  </si>
  <si>
    <t>Repere Fil "6" 0.5-1.5</t>
  </si>
  <si>
    <t>815xpe181</t>
  </si>
  <si>
    <t>Repere Fil "7" 0.5-1.5</t>
  </si>
  <si>
    <t>815xpe182</t>
  </si>
  <si>
    <t>Repere Fil "8" 0.5-1.5</t>
  </si>
  <si>
    <t>815xpe183</t>
  </si>
  <si>
    <t>Repere Fil "9" 0.5-1.5</t>
  </si>
  <si>
    <t>815xpe185</t>
  </si>
  <si>
    <t>Repere Fil "0" 1.5-4 Noir</t>
  </si>
  <si>
    <t>815xpe187</t>
  </si>
  <si>
    <t>Repere Fil "2"1.5-4</t>
  </si>
  <si>
    <t>815xpe188</t>
  </si>
  <si>
    <t>Repere Fil "3"1.5-4</t>
  </si>
  <si>
    <t>815xpe190</t>
  </si>
  <si>
    <t>Repere Fil "5"1.5-4</t>
  </si>
  <si>
    <t>815xpe191</t>
  </si>
  <si>
    <t>Repere Fil "6"1.5-4</t>
  </si>
  <si>
    <t>815xpe192</t>
  </si>
  <si>
    <t>Repere Fil "7" 1.5-4</t>
  </si>
  <si>
    <t>815xpe193</t>
  </si>
  <si>
    <t>Repere Fil "8" 1.5-4</t>
  </si>
  <si>
    <t>815xpe194</t>
  </si>
  <si>
    <t>Repere Fil "9" 1.5-4</t>
  </si>
  <si>
    <t>815XPE199</t>
  </si>
  <si>
    <t>Fiche femelle 3P+T 32A-6 380-415V Encastrer sur c</t>
  </si>
  <si>
    <t>815XPE248</t>
  </si>
  <si>
    <t>Bornier 4mm</t>
  </si>
  <si>
    <t>815XPE249</t>
  </si>
  <si>
    <t>Bouton poussoir NO ? 22 mm</t>
  </si>
  <si>
    <t>815XPE250</t>
  </si>
  <si>
    <t>Bouton poussoir NC ? 22 mm</t>
  </si>
  <si>
    <t>815XPE252</t>
  </si>
  <si>
    <t>Bouton poussoir étanche NC ? 22 mm</t>
  </si>
  <si>
    <t>815XPE253</t>
  </si>
  <si>
    <t>Bornier 35mm 600V 130A</t>
  </si>
  <si>
    <t>815XPE256</t>
  </si>
  <si>
    <t>SPOT LED ROND</t>
  </si>
  <si>
    <t>815XPE257</t>
  </si>
  <si>
    <t>Domino Bornier en céramique 3plots</t>
  </si>
  <si>
    <t>815XPE258</t>
  </si>
  <si>
    <t>Fiche femelle 2P+T 16A-6 380-415V Encastrer sur c</t>
  </si>
  <si>
    <t>815XPE268</t>
  </si>
  <si>
    <t>Boite de jonction cable 4*10Mmm (monchon+resine)</t>
  </si>
  <si>
    <t>815XPE269</t>
  </si>
  <si>
    <t>chemin de câble Plastique 100mm*100mm</t>
  </si>
  <si>
    <t>815XPE276</t>
  </si>
  <si>
    <t>Fiche Male 3P+T 16A  380V</t>
  </si>
  <si>
    <t>815XPE291</t>
  </si>
  <si>
    <t>Fiche Femelle 3P+T 16A 380V</t>
  </si>
  <si>
    <t>815XPE295</t>
  </si>
  <si>
    <t>domino en céramique 2x2,5mm</t>
  </si>
  <si>
    <t>815XPE296</t>
  </si>
  <si>
    <t>domino en céramique 2x4mm</t>
  </si>
  <si>
    <t>815XPE297</t>
  </si>
  <si>
    <t>domino en céramique 2x6mm</t>
  </si>
  <si>
    <t>815XPE299</t>
  </si>
  <si>
    <t>domino en céramique 3x6mm</t>
  </si>
  <si>
    <t>815XPE313</t>
  </si>
  <si>
    <t>CHAPE FEMELLE SG-M6 FESTO</t>
  </si>
  <si>
    <t>815XPE330</t>
  </si>
  <si>
    <t>COFFRET DET70 MERSA</t>
  </si>
  <si>
    <t>815XPE331</t>
  </si>
  <si>
    <t>Boite de jonction thermique p/cable 5*16mm2</t>
  </si>
  <si>
    <t>815XPE332</t>
  </si>
  <si>
    <t>Canalis 25A</t>
  </si>
  <si>
    <t>815XPE333</t>
  </si>
  <si>
    <t>Connecteur Canalis</t>
  </si>
  <si>
    <t>815XPE334</t>
  </si>
  <si>
    <t>Alimentation Canalis</t>
  </si>
  <si>
    <t>815XPE335</t>
  </si>
  <si>
    <t>Support de fixation Canalis</t>
  </si>
  <si>
    <t>815XPE336</t>
  </si>
  <si>
    <t>Tube neon LED 1.2 Canalis</t>
  </si>
  <si>
    <t>815XPE338</t>
  </si>
  <si>
    <t>Serre câble plastique 4,8*200</t>
  </si>
  <si>
    <t>815XPE339</t>
  </si>
  <si>
    <t>serre câble plastique 4,8x300mm</t>
  </si>
  <si>
    <t>815XPE340</t>
  </si>
  <si>
    <t>serre câble plastique 7,2x400mm</t>
  </si>
  <si>
    <t>815XPE341</t>
  </si>
  <si>
    <t>Serre câble plastique 8*500mm</t>
  </si>
  <si>
    <t>815XPE343</t>
  </si>
  <si>
    <t>Socle pour rélais 14 broches</t>
  </si>
  <si>
    <t>815XPE344</t>
  </si>
  <si>
    <t>Fiche mâle 220v</t>
  </si>
  <si>
    <t>815XPE345</t>
  </si>
  <si>
    <t>FICHE MALE 3P+T 32A 380-415V</t>
  </si>
  <si>
    <t>815XPE346</t>
  </si>
  <si>
    <t>Fiche femelle 220V</t>
  </si>
  <si>
    <t>815XPE347</t>
  </si>
  <si>
    <t>Fiche femelle 3P+T 32A-6/ 380-415V</t>
  </si>
  <si>
    <t>815XPE351</t>
  </si>
  <si>
    <t>Ventilateur 220v</t>
  </si>
  <si>
    <t>815XPE353</t>
  </si>
  <si>
    <t>Scotch chatterton</t>
  </si>
  <si>
    <t>815XPE354</t>
  </si>
  <si>
    <t>Fiche Male 3P+T 25A  380V</t>
  </si>
  <si>
    <t>815XPE355</t>
  </si>
  <si>
    <t>Fiche Male 2P+T 16A PCE</t>
  </si>
  <si>
    <t>815XPE357</t>
  </si>
  <si>
    <t>Reflecteur Blanc pour photocell</t>
  </si>
  <si>
    <t>815XPE374</t>
  </si>
  <si>
    <t>Pedale Electrique FS1-1</t>
  </si>
  <si>
    <t>815XPE376</t>
  </si>
  <si>
    <t>Repere fil 1.5-3.2mm (paquet 1000pcs)</t>
  </si>
  <si>
    <t>815XPE378</t>
  </si>
  <si>
    <t>Manchon de  jonction cable 150mm</t>
  </si>
  <si>
    <t>815XPE380</t>
  </si>
  <si>
    <t>HUBLOT OVAL GM BLANC</t>
  </si>
  <si>
    <t>815xpe385</t>
  </si>
  <si>
    <t>DOUILLE E27</t>
  </si>
  <si>
    <t>815XPE397</t>
  </si>
  <si>
    <t>Bouton poussoir Jaune</t>
  </si>
  <si>
    <t>815XPE398</t>
  </si>
  <si>
    <t>Manchon de  jonction cable M95</t>
  </si>
  <si>
    <t>815XPE415</t>
  </si>
  <si>
    <t>Bouton poussoir marche/arret+Voyant 220v</t>
  </si>
  <si>
    <t>815XPE419</t>
  </si>
  <si>
    <t>Lampe bouton poussoir BA9AS 230V</t>
  </si>
  <si>
    <t>815XPE426</t>
  </si>
  <si>
    <t>Chemin de cable perforee 215/60</t>
  </si>
  <si>
    <t>815XPE427</t>
  </si>
  <si>
    <t>Couvercle Chemin de cable perforee 215/60</t>
  </si>
  <si>
    <t>820ABR013</t>
  </si>
  <si>
    <t>PAPIER ABRASIF 150</t>
  </si>
  <si>
    <t>820ABR016</t>
  </si>
  <si>
    <t>Papier abrasif N400</t>
  </si>
  <si>
    <t>820ABR018</t>
  </si>
  <si>
    <t>Papier abrasif P220</t>
  </si>
  <si>
    <t>820BAG007</t>
  </si>
  <si>
    <t>BAGUETTE  ELECTRODE 3.2</t>
  </si>
  <si>
    <t>820BAG020</t>
  </si>
  <si>
    <t>Baguette de soudure Fonte</t>
  </si>
  <si>
    <t>820BAG021</t>
  </si>
  <si>
    <t>Baguette de soudure Brasure</t>
  </si>
  <si>
    <t>820BAG023</t>
  </si>
  <si>
    <t>Poudre de soudure Bleu</t>
  </si>
  <si>
    <t>820DIS001</t>
  </si>
  <si>
    <t>Disque Ebarber 180</t>
  </si>
  <si>
    <t>820dis002</t>
  </si>
  <si>
    <t>Disque Ebarber 115</t>
  </si>
  <si>
    <t>820dis003</t>
  </si>
  <si>
    <t>Disque A ebarber 230</t>
  </si>
  <si>
    <t>820dis004</t>
  </si>
  <si>
    <t>Disque a lamelle 115</t>
  </si>
  <si>
    <t>820DIS006</t>
  </si>
  <si>
    <t>DISQUE ACIER 230</t>
  </si>
  <si>
    <t>820DIS008</t>
  </si>
  <si>
    <t>DISQUE INOX 115 POUR TRONCONNEUSE</t>
  </si>
  <si>
    <t>820DIS009</t>
  </si>
  <si>
    <t>DISQUE INOX 230 COUPE</t>
  </si>
  <si>
    <t>820DIS013</t>
  </si>
  <si>
    <t>Disque 125 INOX COUPE</t>
  </si>
  <si>
    <t>820GOU005</t>
  </si>
  <si>
    <t>GOUJON D13*40</t>
  </si>
  <si>
    <t>820GOU008</t>
  </si>
  <si>
    <t>GOUPILLE  D5*80 Elastique</t>
  </si>
  <si>
    <t>820lai001</t>
  </si>
  <si>
    <t>SILENCIEUX LAITON G1/8</t>
  </si>
  <si>
    <t>820POM003</t>
  </si>
  <si>
    <t>Pompe immergee  2CV</t>
  </si>
  <si>
    <t>820POM017</t>
  </si>
  <si>
    <t>Pompe PP DEBEM BOXER 522  CH.Acide</t>
  </si>
  <si>
    <t>820POM022</t>
  </si>
  <si>
    <t>CORPS DE POMPE DEBEM MB110  CH.ACIDE</t>
  </si>
  <si>
    <t>820POM023</t>
  </si>
  <si>
    <t>Joint CORPS DE POMPE DEBEM MB110  CH.ACIDE</t>
  </si>
  <si>
    <t>820POM025</t>
  </si>
  <si>
    <t>POMP TW-30R M.Nivelage</t>
  </si>
  <si>
    <t>820POM030</t>
  </si>
  <si>
    <t>Collecteur pompe BOXER522 PP CH.Acide</t>
  </si>
  <si>
    <t>820RIV007</t>
  </si>
  <si>
    <t>RIVET 3.8*20</t>
  </si>
  <si>
    <t>820TUB005</t>
  </si>
  <si>
    <t>TUBE MULTICOUCHE D20</t>
  </si>
  <si>
    <t>820XMC005</t>
  </si>
  <si>
    <t>LAME DE SCIE</t>
  </si>
  <si>
    <t>820XMC009</t>
  </si>
  <si>
    <t>VIS TH (acier) M10*60</t>
  </si>
  <si>
    <t>820XMC010</t>
  </si>
  <si>
    <t>Vis sixpans (acier) M10*60</t>
  </si>
  <si>
    <t>820XMC012</t>
  </si>
  <si>
    <t>VIS TH (acier) M06*60</t>
  </si>
  <si>
    <t>820XMC015</t>
  </si>
  <si>
    <t>écrou (acier) M14</t>
  </si>
  <si>
    <t>820XMC019</t>
  </si>
  <si>
    <t>TIREFOND M10*50</t>
  </si>
  <si>
    <t>820XMC022</t>
  </si>
  <si>
    <t>CHEVILLE METALLIQUE M12*20</t>
  </si>
  <si>
    <t>820XMC033</t>
  </si>
  <si>
    <t>COUDE REDUCTEUR M1/4 M1/8</t>
  </si>
  <si>
    <t>820XMC035</t>
  </si>
  <si>
    <t>vis six pans (acier) M05*50</t>
  </si>
  <si>
    <t>820XMC036</t>
  </si>
  <si>
    <t>vis six pans (acier) M06*50</t>
  </si>
  <si>
    <t>820XMC037</t>
  </si>
  <si>
    <t>vis six pans (acier) M06*30</t>
  </si>
  <si>
    <t>820XMC038</t>
  </si>
  <si>
    <t>vis six pans (acier) M08*30</t>
  </si>
  <si>
    <t>820XMC039</t>
  </si>
  <si>
    <t>vis six pans (acier) M08*50</t>
  </si>
  <si>
    <t>820XMC040</t>
  </si>
  <si>
    <t>VIS TH (acier) M10*40</t>
  </si>
  <si>
    <t>820XMC041</t>
  </si>
  <si>
    <t>VIS TH (acier) M12*100</t>
  </si>
  <si>
    <t>820XMC042</t>
  </si>
  <si>
    <t>VIS TH (acier) M10*70</t>
  </si>
  <si>
    <t>820XMC043</t>
  </si>
  <si>
    <t>VIS TH (acier) M14*80</t>
  </si>
  <si>
    <t>820XMC044</t>
  </si>
  <si>
    <t>VIS TH M14*100</t>
  </si>
  <si>
    <t>820XMC045</t>
  </si>
  <si>
    <t>VIS TH (acier) M16*100</t>
  </si>
  <si>
    <t>820XMC049</t>
  </si>
  <si>
    <t>écrou (acier) M18</t>
  </si>
  <si>
    <t>820XMC050</t>
  </si>
  <si>
    <t>écrou (acier) M20</t>
  </si>
  <si>
    <t>820XMC054</t>
  </si>
  <si>
    <t>VIS TH (acier) M16*40</t>
  </si>
  <si>
    <t>820XMC060</t>
  </si>
  <si>
    <t>Tige fileté (INOX) M08</t>
  </si>
  <si>
    <t>820XMC065</t>
  </si>
  <si>
    <t>VIS TH (acier) M 12*30</t>
  </si>
  <si>
    <t>820XMC066</t>
  </si>
  <si>
    <t>VIS TH (INOX) M10*50</t>
  </si>
  <si>
    <t>820XMC074</t>
  </si>
  <si>
    <t>écrou (inox) M14</t>
  </si>
  <si>
    <t>820XMC075</t>
  </si>
  <si>
    <t>Rondelle plate (INOX) M14</t>
  </si>
  <si>
    <t>820XMC077</t>
  </si>
  <si>
    <t>VIS TH (INOX) M14*100</t>
  </si>
  <si>
    <t>820XMC079</t>
  </si>
  <si>
    <t>VIS TH (acier) M16*50</t>
  </si>
  <si>
    <t>820XMC088</t>
  </si>
  <si>
    <t>VIS TH (acier) M14X50</t>
  </si>
  <si>
    <t>820XMC105</t>
  </si>
  <si>
    <t>écrou frein M6</t>
  </si>
  <si>
    <t>820XMC109</t>
  </si>
  <si>
    <t>VIS TH (acier) M06*40</t>
  </si>
  <si>
    <t>820XMC117</t>
  </si>
  <si>
    <t>tige fileté (acier) M04</t>
  </si>
  <si>
    <t>820XMC118</t>
  </si>
  <si>
    <t>Baladeuse</t>
  </si>
  <si>
    <t>820XMC145</t>
  </si>
  <si>
    <t>Vis six pans (acier) M06*80</t>
  </si>
  <si>
    <t>820XMC151</t>
  </si>
  <si>
    <t>Tirefond M10*90</t>
  </si>
  <si>
    <t>820XMC167</t>
  </si>
  <si>
    <t>écrou (acier) M24</t>
  </si>
  <si>
    <t>820XMC168</t>
  </si>
  <si>
    <t>Vis sixpans fraisé (Acier) M10*20</t>
  </si>
  <si>
    <t>820XMC169</t>
  </si>
  <si>
    <t>VIS TH M08*60</t>
  </si>
  <si>
    <t>820XMC171</t>
  </si>
  <si>
    <t>VIS SIX PANS (acier) M12*20</t>
  </si>
  <si>
    <t>820XMC172</t>
  </si>
  <si>
    <t>VIS TETE FRAISEE M10*50</t>
  </si>
  <si>
    <t>820XMC173</t>
  </si>
  <si>
    <t>VIS TH (acier) M08*20</t>
  </si>
  <si>
    <t>820XMC174</t>
  </si>
  <si>
    <t>Rondelle plate (acier) M24</t>
  </si>
  <si>
    <t>820XMC175</t>
  </si>
  <si>
    <t>Ecrou (acier) M22</t>
  </si>
  <si>
    <t>820XMC176</t>
  </si>
  <si>
    <t>Ecrou Papillon Acier M6</t>
  </si>
  <si>
    <t>820XMC177</t>
  </si>
  <si>
    <t>RONDELLE DE 16</t>
  </si>
  <si>
    <t>820XMC178</t>
  </si>
  <si>
    <t>vis six pans (acier) M05*60</t>
  </si>
  <si>
    <t>820xmc179</t>
  </si>
  <si>
    <t>Ecrou Papillon Acier M8</t>
  </si>
  <si>
    <t>820XMC180</t>
  </si>
  <si>
    <t>Ecrou Papillon Acier M10</t>
  </si>
  <si>
    <t>820xmc183</t>
  </si>
  <si>
    <t>GOUPILLE M05*60</t>
  </si>
  <si>
    <t>820xmc188</t>
  </si>
  <si>
    <t>Barreau clavette 10 ACIER</t>
  </si>
  <si>
    <t>820xmc189</t>
  </si>
  <si>
    <t>Barreau clavette 12 acier</t>
  </si>
  <si>
    <t>820XMC196</t>
  </si>
  <si>
    <t>écrou frein M14</t>
  </si>
  <si>
    <t>820XMC198</t>
  </si>
  <si>
    <t>TENDEUR GAZ</t>
  </si>
  <si>
    <t>820XMC204</t>
  </si>
  <si>
    <t>TIREFOND 10/70</t>
  </si>
  <si>
    <t>820XMC208</t>
  </si>
  <si>
    <t>Ressort acier 19*55   20/10</t>
  </si>
  <si>
    <t>820XMC214</t>
  </si>
  <si>
    <t>Vis d'arret M16*50</t>
  </si>
  <si>
    <t>820xmc219</t>
  </si>
  <si>
    <t>écrou frein M12</t>
  </si>
  <si>
    <t>820XMC220</t>
  </si>
  <si>
    <t>vis six pans (acier) M06*15</t>
  </si>
  <si>
    <t>820xmc221</t>
  </si>
  <si>
    <t>VIS A BOIS M05*40</t>
  </si>
  <si>
    <t>820XMC236</t>
  </si>
  <si>
    <t>vis six pans (acier) M08*10</t>
  </si>
  <si>
    <t>820XMC237</t>
  </si>
  <si>
    <t>vis six pans (Acier) M12*80</t>
  </si>
  <si>
    <t>820XMC252</t>
  </si>
  <si>
    <t>Vis six pans (acier) M05*10</t>
  </si>
  <si>
    <t>820XMC253</t>
  </si>
  <si>
    <t>Vis six pans (acier) M05*16</t>
  </si>
  <si>
    <t>820XMC254</t>
  </si>
  <si>
    <t>CHEVILLE METALLIQUE M10*120</t>
  </si>
  <si>
    <t>820XMC275</t>
  </si>
  <si>
    <t>Ressort roue plaque 6*40*1 Dtroue3mm</t>
  </si>
  <si>
    <t>820xmc277</t>
  </si>
  <si>
    <t>VIS AUTOPERCEUSE M6.3*80</t>
  </si>
  <si>
    <t>820XMC289</t>
  </si>
  <si>
    <t>vis six pans (acier) M08*80</t>
  </si>
  <si>
    <t>820XMC294</t>
  </si>
  <si>
    <t>VIS TH (Acier) M10*72 Filtage 15mm Pour Moule</t>
  </si>
  <si>
    <t>820XMC295</t>
  </si>
  <si>
    <t>Ressort comp MOULE int13/ext17/L65/2.5m</t>
  </si>
  <si>
    <t>820XMC303</t>
  </si>
  <si>
    <t>Vis d'arrêt (acier) M04*25</t>
  </si>
  <si>
    <t>820XMC305</t>
  </si>
  <si>
    <t>Vis d'arrêt (acier) M05*16</t>
  </si>
  <si>
    <t>820XMC309</t>
  </si>
  <si>
    <t>Vis d'arrêt (acier) M06*15</t>
  </si>
  <si>
    <t>820XMC310</t>
  </si>
  <si>
    <t>Vis d'arrêt (acier) M06*25</t>
  </si>
  <si>
    <t>820XMC315</t>
  </si>
  <si>
    <t>VIS TH (Acier) M06*50</t>
  </si>
  <si>
    <t>820XMC316</t>
  </si>
  <si>
    <t>Ressort COMP INOX 7/10*8*28 TCC</t>
  </si>
  <si>
    <t>820XMC317</t>
  </si>
  <si>
    <t>CHEVILLE METALLIQUE M10*140</t>
  </si>
  <si>
    <t>820XMC356</t>
  </si>
  <si>
    <t>VIS TH M04*20 (acier)</t>
  </si>
  <si>
    <t>820XMC357</t>
  </si>
  <si>
    <t>VIS TH M04*30 (acier)</t>
  </si>
  <si>
    <t>820XMC358</t>
  </si>
  <si>
    <t>VIS TH M05*20 (acier)</t>
  </si>
  <si>
    <t>820XMC362</t>
  </si>
  <si>
    <t>VIS TH M05*30 (acier)</t>
  </si>
  <si>
    <t>820XMC364</t>
  </si>
  <si>
    <t>VIS TH M06*20 (acier)</t>
  </si>
  <si>
    <t>820XMC365</t>
  </si>
  <si>
    <t>vis tête hexagonale M06*30 (acier)</t>
  </si>
  <si>
    <t>820XMC367</t>
  </si>
  <si>
    <t>vis tête hexagonale M08*20 (acier)</t>
  </si>
  <si>
    <t>820XMC368</t>
  </si>
  <si>
    <t>VIS TH (acier) M08*30</t>
  </si>
  <si>
    <t>820XMC369</t>
  </si>
  <si>
    <t>Vis TH (acier) M08*40</t>
  </si>
  <si>
    <t>820XMC370</t>
  </si>
  <si>
    <t>Vis TH (acier) M08*50</t>
  </si>
  <si>
    <t>820XMC371</t>
  </si>
  <si>
    <t>VIS TH (acier) M10*20</t>
  </si>
  <si>
    <t>820XMC372</t>
  </si>
  <si>
    <t>Vis TH(acier) M10*30</t>
  </si>
  <si>
    <t>820XMC373</t>
  </si>
  <si>
    <t>vis tête hexagonale M10*50 (acier)  Demi filtage</t>
  </si>
  <si>
    <t>820XMC377</t>
  </si>
  <si>
    <t>vis tête hexagonale M12*30 (acier)</t>
  </si>
  <si>
    <t>820XMC378</t>
  </si>
  <si>
    <t>vis tête hexagonale M12*40 (acier)</t>
  </si>
  <si>
    <t>820XMC379</t>
  </si>
  <si>
    <t>VIS TH (acier) M12*50</t>
  </si>
  <si>
    <t>820XMC383</t>
  </si>
  <si>
    <t>vis tête hexagonale M16*60 (acier)</t>
  </si>
  <si>
    <t>820XMC385</t>
  </si>
  <si>
    <t>vis six pans (acier) M03*20</t>
  </si>
  <si>
    <t>820XMC387</t>
  </si>
  <si>
    <t>vis six pans (acier) M04*20</t>
  </si>
  <si>
    <t>820XMC388</t>
  </si>
  <si>
    <t>vis six pans (acier) M04*30</t>
  </si>
  <si>
    <t>820XMC390</t>
  </si>
  <si>
    <t>vis six pans (acier) M05*20</t>
  </si>
  <si>
    <t>820XMC392</t>
  </si>
  <si>
    <t>vis six pans (acier) M12*30</t>
  </si>
  <si>
    <t>820XMC393</t>
  </si>
  <si>
    <t>vis six pans (acier) M12*50</t>
  </si>
  <si>
    <t>820XMC394</t>
  </si>
  <si>
    <t>vis six pans (acier) M10*20</t>
  </si>
  <si>
    <t>820XMC395</t>
  </si>
  <si>
    <t>vis six pans (acier) M05*30</t>
  </si>
  <si>
    <t>820XMC396</t>
  </si>
  <si>
    <t>vis six pans (acier) M05*40</t>
  </si>
  <si>
    <t>820XMC397</t>
  </si>
  <si>
    <t>vis six pans (acier) M06*10</t>
  </si>
  <si>
    <t>820XMC399</t>
  </si>
  <si>
    <t>vis six pans (acier) M06*20</t>
  </si>
  <si>
    <t>820XMC400</t>
  </si>
  <si>
    <t>vis six pans (acier) M06*40</t>
  </si>
  <si>
    <t>820XMC401</t>
  </si>
  <si>
    <t>vis six pans (acier) M08*15</t>
  </si>
  <si>
    <t>820XMC402</t>
  </si>
  <si>
    <t>vis six pans (acier) M08*20</t>
  </si>
  <si>
    <t>820XMC404</t>
  </si>
  <si>
    <t>vis six pans (acier) M08*40</t>
  </si>
  <si>
    <t>820XMC405</t>
  </si>
  <si>
    <t>vis six pans (acier) M08*60</t>
  </si>
  <si>
    <t>820XMC406</t>
  </si>
  <si>
    <t>vis six pans (acier) M08*70</t>
  </si>
  <si>
    <t>820XMC407</t>
  </si>
  <si>
    <t>820XMC408</t>
  </si>
  <si>
    <t>vis six pans (acier) M10*30</t>
  </si>
  <si>
    <t>820XMC409</t>
  </si>
  <si>
    <t>vis six pans (acier) M10*40</t>
  </si>
  <si>
    <t>820XMC410</t>
  </si>
  <si>
    <t>vis six pans (acier) M10*50</t>
  </si>
  <si>
    <t>820XMC411</t>
  </si>
  <si>
    <t>vis six pans (acier) M10*80</t>
  </si>
  <si>
    <t>820XMC412</t>
  </si>
  <si>
    <t>vis six pans (acier) M10*100</t>
  </si>
  <si>
    <t>820XMC414</t>
  </si>
  <si>
    <t>vis six pans (acier) M12*40</t>
  </si>
  <si>
    <t>820XMC415</t>
  </si>
  <si>
    <t>vis six pans (acier) M12*60</t>
  </si>
  <si>
    <t>820XMC418</t>
  </si>
  <si>
    <t>vis six pans (acier) M14*50</t>
  </si>
  <si>
    <t>820XMC420</t>
  </si>
  <si>
    <t>vis tête hexagonale M03*20 (Inox)</t>
  </si>
  <si>
    <t>820XMC424</t>
  </si>
  <si>
    <t>vis tête hexagonale M05*20 (Inox)</t>
  </si>
  <si>
    <t>820XMC425</t>
  </si>
  <si>
    <t>VIS TH (INOX) M05*30</t>
  </si>
  <si>
    <t>820XMC432</t>
  </si>
  <si>
    <t>VIS TH (INOX) M08*40</t>
  </si>
  <si>
    <t>820XMC433</t>
  </si>
  <si>
    <t>VIS TH (INOX) M08*50</t>
  </si>
  <si>
    <t>820XMC435</t>
  </si>
  <si>
    <t>VIS TH (INOX) M10*30</t>
  </si>
  <si>
    <t>820XMC436</t>
  </si>
  <si>
    <t>vis tête hexagonale M10*40 (Inox)</t>
  </si>
  <si>
    <t>820XMC437</t>
  </si>
  <si>
    <t>vis tête hexagonale M10*80 (Inox)</t>
  </si>
  <si>
    <t>820XMC440</t>
  </si>
  <si>
    <t>vis tête hexagonale M12*40 (Inox)</t>
  </si>
  <si>
    <t>820XMC441</t>
  </si>
  <si>
    <t>VIS TH (INOX) M12*80</t>
  </si>
  <si>
    <t>820XMC442</t>
  </si>
  <si>
    <t>vis tête hexagonale M12*100 (Inox)</t>
  </si>
  <si>
    <t>820XMC448</t>
  </si>
  <si>
    <t>vis six pans (Inox) M05*20</t>
  </si>
  <si>
    <t>820XMC451</t>
  </si>
  <si>
    <t>vis six pans (Inox) M06*20</t>
  </si>
  <si>
    <t>820XMC452</t>
  </si>
  <si>
    <t>vis six pans (Inox) M06*30</t>
  </si>
  <si>
    <t>820XMC453</t>
  </si>
  <si>
    <t>vis six pans (Inox) M06*40</t>
  </si>
  <si>
    <t>820XMC455</t>
  </si>
  <si>
    <t>vis six pans (Inox) M08*30</t>
  </si>
  <si>
    <t>820XMC456</t>
  </si>
  <si>
    <t>vis six pans (Inox) M08*40</t>
  </si>
  <si>
    <t>820XMC457</t>
  </si>
  <si>
    <t>vis six pans (Inox) M08*50</t>
  </si>
  <si>
    <t>820XMC468</t>
  </si>
  <si>
    <t>écrou (acier) M03</t>
  </si>
  <si>
    <t>820XMC469</t>
  </si>
  <si>
    <t>écrou (acier) M04</t>
  </si>
  <si>
    <t>820XMC470</t>
  </si>
  <si>
    <t>écrou (acier) M05</t>
  </si>
  <si>
    <t>820XMC471</t>
  </si>
  <si>
    <t>écrou (acier) M06</t>
  </si>
  <si>
    <t>820XMC472</t>
  </si>
  <si>
    <t>écrou (acier) M08</t>
  </si>
  <si>
    <t>820XMC473</t>
  </si>
  <si>
    <t>écrou (acier) M10</t>
  </si>
  <si>
    <t>820XMC474</t>
  </si>
  <si>
    <t>écrou (acier) M12</t>
  </si>
  <si>
    <t>820XMC475</t>
  </si>
  <si>
    <t>écrou (acier) M16</t>
  </si>
  <si>
    <t>820XMC478</t>
  </si>
  <si>
    <t>écrou (Inox) M04</t>
  </si>
  <si>
    <t>820XMC479</t>
  </si>
  <si>
    <t>écrou (Inox) M05</t>
  </si>
  <si>
    <t>820XMC480</t>
  </si>
  <si>
    <t>écrou (Inox) M06</t>
  </si>
  <si>
    <t>820XMC481</t>
  </si>
  <si>
    <t>écrou (Inox) M08</t>
  </si>
  <si>
    <t>820XMC482</t>
  </si>
  <si>
    <t>écrou (Inox) M10</t>
  </si>
  <si>
    <t>820XMC483</t>
  </si>
  <si>
    <t>écrou (Inox) M12</t>
  </si>
  <si>
    <t>820XMC484</t>
  </si>
  <si>
    <t>écrou frein M8</t>
  </si>
  <si>
    <t>820XMC485</t>
  </si>
  <si>
    <t>Vis d'arrêt (acier) M05*10</t>
  </si>
  <si>
    <t>820XMC486</t>
  </si>
  <si>
    <t>Vis d'arrêt (acier) M06*10</t>
  </si>
  <si>
    <t>820XMC487</t>
  </si>
  <si>
    <t>Vis d'arrêt (acier) M08*10</t>
  </si>
  <si>
    <t>820XMC488</t>
  </si>
  <si>
    <t>Vis d'arrêt (acier) M10*10</t>
  </si>
  <si>
    <t>820XMC489</t>
  </si>
  <si>
    <t>Vis d'arrêt (acier) M05*20</t>
  </si>
  <si>
    <t>820XMC490</t>
  </si>
  <si>
    <t>Vis d'arrêt (acier) M06*20</t>
  </si>
  <si>
    <t>820XMC491</t>
  </si>
  <si>
    <t>Vis d'arrêt (acier) M08*20</t>
  </si>
  <si>
    <t>820XMC492</t>
  </si>
  <si>
    <t>Vis d'arrêt (acier) M10*20</t>
  </si>
  <si>
    <t>820XMC493</t>
  </si>
  <si>
    <t>tige fileté (acier) M06</t>
  </si>
  <si>
    <t>820XMC494</t>
  </si>
  <si>
    <t>tige fileté (acier) M08</t>
  </si>
  <si>
    <t>820XMC495</t>
  </si>
  <si>
    <t>tige fileté (acier) M10</t>
  </si>
  <si>
    <t>820XMC496</t>
  </si>
  <si>
    <t>tige fileté (acier) M12</t>
  </si>
  <si>
    <t>820XMC497</t>
  </si>
  <si>
    <t>tige fileté (acier) M14</t>
  </si>
  <si>
    <t>820XMC498</t>
  </si>
  <si>
    <t>tige fileté (acier) M16</t>
  </si>
  <si>
    <t>820XMC503</t>
  </si>
  <si>
    <t>Rondelle plate (acier) M05</t>
  </si>
  <si>
    <t>820XMC504</t>
  </si>
  <si>
    <t>Rondelle plate (acier) M06</t>
  </si>
  <si>
    <t>820XMC505</t>
  </si>
  <si>
    <t>Rondelle plate (acier) M08</t>
  </si>
  <si>
    <t>820XMC506</t>
  </si>
  <si>
    <t>Rondelle plate (acier) M10</t>
  </si>
  <si>
    <t>820XMC507</t>
  </si>
  <si>
    <t>Rondelle plate (acier) M12</t>
  </si>
  <si>
    <t>820XMC508</t>
  </si>
  <si>
    <t>Rondelle plate (acier) M14</t>
  </si>
  <si>
    <t>820XMC509</t>
  </si>
  <si>
    <t>Rondelle plate (acier) M16</t>
  </si>
  <si>
    <t>820XMC512</t>
  </si>
  <si>
    <t>Rondelle plate (Inox) M05</t>
  </si>
  <si>
    <t>820XMC515</t>
  </si>
  <si>
    <t>Rondelle plate (Inox) M10</t>
  </si>
  <si>
    <t>820XMC520</t>
  </si>
  <si>
    <t>Rondelle grower M06 (acier)</t>
  </si>
  <si>
    <t>820XMC521</t>
  </si>
  <si>
    <t>Rondelle grower M08 (acier)</t>
  </si>
  <si>
    <t>820XMC522</t>
  </si>
  <si>
    <t>Rondelle grower M10 (acier)</t>
  </si>
  <si>
    <t>820XMC523</t>
  </si>
  <si>
    <t>Rondelle grower M12 (acier)</t>
  </si>
  <si>
    <t>820XMC526</t>
  </si>
  <si>
    <t>Rondelle grower M05 (acier)</t>
  </si>
  <si>
    <t>820XMC528</t>
  </si>
  <si>
    <t>820XMC537</t>
  </si>
  <si>
    <t>rondelle plate (inox) M12</t>
  </si>
  <si>
    <t>820XMC542</t>
  </si>
  <si>
    <t>tirefond M6*40</t>
  </si>
  <si>
    <t>820XMC543</t>
  </si>
  <si>
    <t>Tirefond M8*50</t>
  </si>
  <si>
    <t>820XMC545</t>
  </si>
  <si>
    <t>tirefond M10*60</t>
  </si>
  <si>
    <t>820XMC546</t>
  </si>
  <si>
    <t>tirefond M10*80</t>
  </si>
  <si>
    <t>820XMC547</t>
  </si>
  <si>
    <t>cheville 6</t>
  </si>
  <si>
    <t>820XMC548</t>
  </si>
  <si>
    <t>cheville 8</t>
  </si>
  <si>
    <t>820XMC549</t>
  </si>
  <si>
    <t>cheville 10</t>
  </si>
  <si>
    <t>820XMC553</t>
  </si>
  <si>
    <t>VIS TF (acier) M04*30</t>
  </si>
  <si>
    <t>820XMC554</t>
  </si>
  <si>
    <t>vis sixpans fraisée M05*20 (acier)</t>
  </si>
  <si>
    <t>820XMC555</t>
  </si>
  <si>
    <t>vis sixpans fraisée M05*30 (acier)</t>
  </si>
  <si>
    <t>820XMC556</t>
  </si>
  <si>
    <t>vis sixpans fraisée M05*40 (acier)</t>
  </si>
  <si>
    <t>820XMC557</t>
  </si>
  <si>
    <t>vis sixpans fraisée M06*20 (acier)</t>
  </si>
  <si>
    <t>820XMC558</t>
  </si>
  <si>
    <t>vis sixpans fraisée M06*30 (acier)</t>
  </si>
  <si>
    <t>820XMC559</t>
  </si>
  <si>
    <t>vis sixpans fraisée M06*40 (acier)</t>
  </si>
  <si>
    <t>820XMC560</t>
  </si>
  <si>
    <t>vis sixpans fraisée M08*20 (acier)</t>
  </si>
  <si>
    <t>820XMC561</t>
  </si>
  <si>
    <t>vis sixpans fraisée M08*30 (acier)</t>
  </si>
  <si>
    <t>820XMC562</t>
  </si>
  <si>
    <t>vis sixpans fraisée M08*40 (acier)</t>
  </si>
  <si>
    <t>820XMC567</t>
  </si>
  <si>
    <t>vis sixpans fraisée M05*20 (Inox)</t>
  </si>
  <si>
    <t>820XMC568</t>
  </si>
  <si>
    <t>vis sixpans fraisée M05*30 (Inox)</t>
  </si>
  <si>
    <t>820XMC571</t>
  </si>
  <si>
    <t>vis sixpans fraisée M06*30 (Inox)</t>
  </si>
  <si>
    <t>820XMC572</t>
  </si>
  <si>
    <t>vis sixpans fraisée M06*40 (Inox)</t>
  </si>
  <si>
    <t>820XMC582</t>
  </si>
  <si>
    <t>Vis d'arrêt (acier) M08*25</t>
  </si>
  <si>
    <t>820XMC583</t>
  </si>
  <si>
    <t>Vis d'arrêt (acier) M12*25</t>
  </si>
  <si>
    <t>820XMC588</t>
  </si>
  <si>
    <t>tige fileté (acier) M05</t>
  </si>
  <si>
    <t>820XMC589</t>
  </si>
  <si>
    <t>Vis d'arrêt (acier) M12*10</t>
  </si>
  <si>
    <t>820XMC590</t>
  </si>
  <si>
    <t>Vis d'arrêt (acier) M04*10</t>
  </si>
  <si>
    <t>820XMC591</t>
  </si>
  <si>
    <t>écrou (Inox) M16</t>
  </si>
  <si>
    <t>820XMC598</t>
  </si>
  <si>
    <t>Anneau de levage M10 MALE  moule</t>
  </si>
  <si>
    <t>820xmc606</t>
  </si>
  <si>
    <t>Vis TH (acier) M20*60</t>
  </si>
  <si>
    <t>820XMC614</t>
  </si>
  <si>
    <t>Vis TH (INOX) M18*50</t>
  </si>
  <si>
    <t>820XMC618</t>
  </si>
  <si>
    <t>vis six pans (acier) M08*25</t>
  </si>
  <si>
    <t>820XMC621</t>
  </si>
  <si>
    <t>Vis TH(acier) M08*80</t>
  </si>
  <si>
    <t>820XMC636</t>
  </si>
  <si>
    <t>Circlips D16 Exterieur</t>
  </si>
  <si>
    <t>820XMC637</t>
  </si>
  <si>
    <t>Circlips D20 Exterieur</t>
  </si>
  <si>
    <t>820XMC638</t>
  </si>
  <si>
    <t>Circlips D22 Exterieur</t>
  </si>
  <si>
    <t>820XMC639</t>
  </si>
  <si>
    <t>Circlips D14 Interieur</t>
  </si>
  <si>
    <t>820XMC641</t>
  </si>
  <si>
    <t>Circlips D18 Interieur</t>
  </si>
  <si>
    <t>820XMC643</t>
  </si>
  <si>
    <t>Circlips D22 Interieur</t>
  </si>
  <si>
    <t>820XMC647</t>
  </si>
  <si>
    <t>Tige fileté (INOX) M10</t>
  </si>
  <si>
    <t>820XMC648</t>
  </si>
  <si>
    <t>Tige fileté (INOX) M12</t>
  </si>
  <si>
    <t>820XMC674</t>
  </si>
  <si>
    <t>Vis TF (acier) M12*30</t>
  </si>
  <si>
    <t>820XMC680</t>
  </si>
  <si>
    <t>VIS Six pans (acier) M03*10</t>
  </si>
  <si>
    <t>820XMC681</t>
  </si>
  <si>
    <t>VIS Six pans (acier) M04*10</t>
  </si>
  <si>
    <t>820XMC700</t>
  </si>
  <si>
    <t>tige fileté (acier) M30</t>
  </si>
  <si>
    <t>820XMC711</t>
  </si>
  <si>
    <t>Tige fileté (INOX) M06</t>
  </si>
  <si>
    <t>820XMC717</t>
  </si>
  <si>
    <t>vis six pans (acier) M08*100</t>
  </si>
  <si>
    <t>820XMC718</t>
  </si>
  <si>
    <t>Ressort COMP 20/10*17*39 Panier COS2</t>
  </si>
  <si>
    <t>820XMC719</t>
  </si>
  <si>
    <t>Coffret Scie a cloche</t>
  </si>
  <si>
    <t>820xmc734</t>
  </si>
  <si>
    <t>VIS TF (INOX) M6*60</t>
  </si>
  <si>
    <t>820XMC736</t>
  </si>
  <si>
    <t>vis six pans (Inox) M06*10</t>
  </si>
  <si>
    <t>820XMC738</t>
  </si>
  <si>
    <t>VIS TF (INOX) M08*50</t>
  </si>
  <si>
    <t>820XMC739</t>
  </si>
  <si>
    <t>vis six pans (Inox) M08*60</t>
  </si>
  <si>
    <t>820XMC740</t>
  </si>
  <si>
    <t>Ressort PM ENV HILANS</t>
  </si>
  <si>
    <t>820XMC741</t>
  </si>
  <si>
    <t>Vis six pans (acier) M10*70</t>
  </si>
  <si>
    <t>820XMC742</t>
  </si>
  <si>
    <t>Vis TH (acier) M18*100</t>
  </si>
  <si>
    <t>820XMC743</t>
  </si>
  <si>
    <t>VIS TF (acier) M12*50</t>
  </si>
  <si>
    <t>820XMC744</t>
  </si>
  <si>
    <t>VIS TF (acier) M06*10</t>
  </si>
  <si>
    <t>820XMC745</t>
  </si>
  <si>
    <t>Tige fileté (INOX) M14</t>
  </si>
  <si>
    <t>820XMC748</t>
  </si>
  <si>
    <t>vis six pans (Inox) M04*40</t>
  </si>
  <si>
    <t>820XMC751</t>
  </si>
  <si>
    <t>vis six pans (Inox) M05*50</t>
  </si>
  <si>
    <t>820XMC752</t>
  </si>
  <si>
    <t>vis six pans (Inox) M05*60</t>
  </si>
  <si>
    <t>820XMC753</t>
  </si>
  <si>
    <t>vis six pans (Inox) M05*70</t>
  </si>
  <si>
    <t>820XMC755</t>
  </si>
  <si>
    <t>vis six pans (Inox) M06*60</t>
  </si>
  <si>
    <t>820XMC756</t>
  </si>
  <si>
    <t>vis six pans (Inox) M06*70</t>
  </si>
  <si>
    <t>820XMC782</t>
  </si>
  <si>
    <t>vis sixpans fraisée M08*10 (acier)</t>
  </si>
  <si>
    <t>820xmc792</t>
  </si>
  <si>
    <t>DEMI ANNEAU SKF FRB3,5/85</t>
  </si>
  <si>
    <t>820XMC802</t>
  </si>
  <si>
    <t>VIS TF (acier) M12*60</t>
  </si>
  <si>
    <t>820XMC805</t>
  </si>
  <si>
    <t>GOUPILLE D4*30 Elastique</t>
  </si>
  <si>
    <t>820XMC806</t>
  </si>
  <si>
    <t>vis six pans (acier) M06*60</t>
  </si>
  <si>
    <t>820XMC807</t>
  </si>
  <si>
    <t>Rondelle plate (acier) M18</t>
  </si>
  <si>
    <t>820XMC817</t>
  </si>
  <si>
    <t>VIS TH (acier) M12*70</t>
  </si>
  <si>
    <t>820XMC823</t>
  </si>
  <si>
    <t>VIS TH(acier) M16*70</t>
  </si>
  <si>
    <t>820XMC827</t>
  </si>
  <si>
    <t>écrou frein M10</t>
  </si>
  <si>
    <t>820XMC828</t>
  </si>
  <si>
    <t>CHARNIERE GALVA M60</t>
  </si>
  <si>
    <t>820XMC829</t>
  </si>
  <si>
    <t>Rondelle Cuivre 10*16/1.5</t>
  </si>
  <si>
    <t>820XMC830</t>
  </si>
  <si>
    <t>ECROU A ENCOCHE KM5 ISB Axe brosse COS</t>
  </si>
  <si>
    <t>820XMC832</t>
  </si>
  <si>
    <t>Tige fileté (INOX) M16</t>
  </si>
  <si>
    <t>820XMC834</t>
  </si>
  <si>
    <t>Rondelle Cuivre 10*15/1.5</t>
  </si>
  <si>
    <t>830BAR001</t>
  </si>
  <si>
    <t>Barreau Clavette 5</t>
  </si>
  <si>
    <t>830bar002</t>
  </si>
  <si>
    <t>Barreau Clavette 6 ACIER</t>
  </si>
  <si>
    <t>830BAR003</t>
  </si>
  <si>
    <t>Barreau Clavette 8</t>
  </si>
  <si>
    <t>830BAR004</t>
  </si>
  <si>
    <t>Barreau Clavette 4</t>
  </si>
  <si>
    <t>830CLE012</t>
  </si>
  <si>
    <t>pince RIVET</t>
  </si>
  <si>
    <t>830lam002</t>
  </si>
  <si>
    <t>LAMPE 1*E27</t>
  </si>
  <si>
    <t>830MCH001</t>
  </si>
  <si>
    <t>MECHE BETON 6</t>
  </si>
  <si>
    <t>830MCH002</t>
  </si>
  <si>
    <t>MECHE BETON 8</t>
  </si>
  <si>
    <t>830MCH003</t>
  </si>
  <si>
    <t>MECHE BETON 10</t>
  </si>
  <si>
    <t>830MCH005</t>
  </si>
  <si>
    <t>Mèche acier 12</t>
  </si>
  <si>
    <t>830MCH006</t>
  </si>
  <si>
    <t>Mèche acier 16</t>
  </si>
  <si>
    <t>830MCH007</t>
  </si>
  <si>
    <t>Mèche acier 20</t>
  </si>
  <si>
    <t>830MCH008</t>
  </si>
  <si>
    <t>Mèche acier 14</t>
  </si>
  <si>
    <t>830MCH013</t>
  </si>
  <si>
    <t>Mèche acier 11.5</t>
  </si>
  <si>
    <t>830MCH014</t>
  </si>
  <si>
    <t>Mèche acier 11</t>
  </si>
  <si>
    <t>830MCH031</t>
  </si>
  <si>
    <t>Mèche Acier 2.5</t>
  </si>
  <si>
    <t>830MCH032</t>
  </si>
  <si>
    <t>Meche Acier 13</t>
  </si>
  <si>
    <t>830MCH909</t>
  </si>
  <si>
    <t>Mèche acier 3</t>
  </si>
  <si>
    <t>830MCH910</t>
  </si>
  <si>
    <t>Mèche 3,5</t>
  </si>
  <si>
    <t>830MCH911</t>
  </si>
  <si>
    <t>Mèche acier 4</t>
  </si>
  <si>
    <t>830MCH912</t>
  </si>
  <si>
    <t>Mèche Acier 2</t>
  </si>
  <si>
    <t>830MCH913</t>
  </si>
  <si>
    <t>Meche Acier 4,5</t>
  </si>
  <si>
    <t>830MCH914</t>
  </si>
  <si>
    <t>Mèche ACIER 5</t>
  </si>
  <si>
    <t>830MCH915</t>
  </si>
  <si>
    <t>Mèche Acier 5,5</t>
  </si>
  <si>
    <t>830MCH916</t>
  </si>
  <si>
    <t>Mèche acier 6</t>
  </si>
  <si>
    <t>830MCH918</t>
  </si>
  <si>
    <t>Mèche acier 6,5</t>
  </si>
  <si>
    <t>830MCH920</t>
  </si>
  <si>
    <t>Mèche acier 8</t>
  </si>
  <si>
    <t>830MCH921</t>
  </si>
  <si>
    <t>Mèche acier 8,5</t>
  </si>
  <si>
    <t>830MCH922</t>
  </si>
  <si>
    <t>Mèche acier 10</t>
  </si>
  <si>
    <t>830MCH923</t>
  </si>
  <si>
    <t>Mèche acier 10,5</t>
  </si>
  <si>
    <t>830TAR003</t>
  </si>
  <si>
    <t>Jeu de taraud 06</t>
  </si>
  <si>
    <t>830TAR006</t>
  </si>
  <si>
    <t>Jeu de taraud 8</t>
  </si>
  <si>
    <t>830TAR009</t>
  </si>
  <si>
    <t>Jeu de Taraud F1/4</t>
  </si>
  <si>
    <t>830TAR893</t>
  </si>
  <si>
    <t>taraud 6</t>
  </si>
  <si>
    <t>830XOU013</t>
  </si>
  <si>
    <t>FILTRE A CARTOCUHE 1µm 20"</t>
  </si>
  <si>
    <t>830XOU145</t>
  </si>
  <si>
    <t>Fil D'attache</t>
  </si>
  <si>
    <t>830xou149</t>
  </si>
  <si>
    <t>Teflon non adhesif 0.8mm lame fardeleuse</t>
  </si>
  <si>
    <t>830XOU159</t>
  </si>
  <si>
    <t>ROUE PIVOTANTE POLYAMIDE Mobile D.exter 100mm FRE</t>
  </si>
  <si>
    <t>830XOU164</t>
  </si>
  <si>
    <t>Tapis Caoutchouc EP10mm 2m/1m</t>
  </si>
  <si>
    <t>830XOU183</t>
  </si>
  <si>
    <t>Chaine galvanisée 30/15mm</t>
  </si>
  <si>
    <t>830XOU200</t>
  </si>
  <si>
    <t>Serre cable Galva D2</t>
  </si>
  <si>
    <t>830XOU266</t>
  </si>
  <si>
    <t>Galet de guidage  porte coulissante</t>
  </si>
  <si>
    <t>830XOU267</t>
  </si>
  <si>
    <t>Coupelle K59 80*70/4.25 VERIN COS</t>
  </si>
  <si>
    <t>830XOU268</t>
  </si>
  <si>
    <t>Joint torique 2.62*9.19 COS1</t>
  </si>
  <si>
    <t>830XOU269</t>
  </si>
  <si>
    <t>Joint torique  EN NBR70 OR 28-3  COS1</t>
  </si>
  <si>
    <t>830XOU274</t>
  </si>
  <si>
    <t>Coupelle en PU K59 90*100*4.25 VERIN COS</t>
  </si>
  <si>
    <t>830XOU306</t>
  </si>
  <si>
    <t>Buse ronde D5mm Soud plastique pistolet</t>
  </si>
  <si>
    <t>830XOU331</t>
  </si>
  <si>
    <t>Serre cable INOX 5mm</t>
  </si>
  <si>
    <t>830XOU332</t>
  </si>
  <si>
    <t>Cable INOX 5mm 7*19</t>
  </si>
  <si>
    <t>830XOU337</t>
  </si>
  <si>
    <t>Bec de chalumeau automatique</t>
  </si>
  <si>
    <t>830XOU339</t>
  </si>
  <si>
    <t>PLAQUE PLEXIGLAS TRANSPARENT 305/203/10mm</t>
  </si>
  <si>
    <t>830XOU344</t>
  </si>
  <si>
    <t>PLAQUE PLEXIGLAS TRANSPARENT 305/203/5mm</t>
  </si>
  <si>
    <t>830XOU347</t>
  </si>
  <si>
    <t>Metrel MD 9910 IR CAMERA Thermographique 80/80</t>
  </si>
  <si>
    <t>830XOU349</t>
  </si>
  <si>
    <t>Silent bloc 50*20 Double Tige M10</t>
  </si>
  <si>
    <t>830XOU354</t>
  </si>
  <si>
    <t>Barre en Plastique POMC NOIR</t>
  </si>
  <si>
    <t>830XOU356</t>
  </si>
  <si>
    <t>Barre en Aluminium D40 L500mm  Accouplement S.C</t>
  </si>
  <si>
    <t>830XOU908</t>
  </si>
  <si>
    <t>lame de cutter</t>
  </si>
  <si>
    <t>840FRM002</t>
  </si>
  <si>
    <t>Carnet Bon de livraison PDR 4*25</t>
  </si>
  <si>
    <t>840FRM004</t>
  </si>
  <si>
    <t>Carnet demande d'intervention 3x50</t>
  </si>
  <si>
    <t>840FRM005</t>
  </si>
  <si>
    <t>CARNET BON DE SORTIE PDR 3 x 50</t>
  </si>
  <si>
    <t>840FRM006</t>
  </si>
  <si>
    <t>Carnet Bon d'entree PDR</t>
  </si>
  <si>
    <t>840PEI004</t>
  </si>
  <si>
    <t>PEINTURE LAQUEE 4kg METAL BLEU</t>
  </si>
  <si>
    <t>840PEI007</t>
  </si>
  <si>
    <t>PEINTURE ANTI-ROUILLE GRIS 5KG</t>
  </si>
  <si>
    <t>840PEI011</t>
  </si>
  <si>
    <t>PEINTURE LAQEE JAUNE   1KG</t>
  </si>
  <si>
    <t>840PEI023</t>
  </si>
  <si>
    <t>PEINTURE LAQEE  VERT 1KG</t>
  </si>
  <si>
    <t>840PEI027</t>
  </si>
  <si>
    <t>Peinture Laque Noir 1Kg</t>
  </si>
  <si>
    <t>840PEI031</t>
  </si>
  <si>
    <t>Peinture routiere 18KG GRIS</t>
  </si>
  <si>
    <t>840PEI032</t>
  </si>
  <si>
    <t>Peinture Laquée 1KG GRIS</t>
  </si>
  <si>
    <t>840PNA016</t>
  </si>
  <si>
    <t>840PNA024</t>
  </si>
  <si>
    <t>Pinceau Plat 50</t>
  </si>
  <si>
    <t>840PNA025</t>
  </si>
  <si>
    <t>840PNA027</t>
  </si>
  <si>
    <t>840PNA032</t>
  </si>
  <si>
    <t>PINCEAU ROND 60</t>
  </si>
  <si>
    <t>840xou002</t>
  </si>
  <si>
    <t>Boite de controle bruleur LME 22.331A2</t>
  </si>
  <si>
    <t>840XOU006</t>
  </si>
  <si>
    <t>Boite de controle bruleu VE3.2 TV 30S TS 18006005</t>
  </si>
  <si>
    <t>840XOU010</t>
  </si>
  <si>
    <t>Socle boite controle BRAHMA 003/SR3</t>
  </si>
  <si>
    <t>812COD811</t>
  </si>
  <si>
    <t>Coude galva 2" (D63)</t>
  </si>
  <si>
    <t>812VER048</t>
  </si>
  <si>
    <t>Verin 63/125</t>
  </si>
  <si>
    <t>Verin 20/250</t>
  </si>
  <si>
    <t>Verin 32/40</t>
  </si>
  <si>
    <t>810ver254</t>
  </si>
  <si>
    <t xml:space="preserve"> Verin 16/25</t>
  </si>
  <si>
    <t>812VER640</t>
  </si>
  <si>
    <t xml:space="preserve">Verin 63/250 </t>
  </si>
  <si>
    <t>812VER641</t>
  </si>
  <si>
    <t>Verin 32/800</t>
  </si>
  <si>
    <t>812VER630</t>
  </si>
  <si>
    <t xml:space="preserve"> Verin 50/1000</t>
  </si>
  <si>
    <t>812MON803</t>
  </si>
  <si>
    <t>Monchon bargataire D75</t>
  </si>
  <si>
    <t>812rac755</t>
  </si>
  <si>
    <t>Raccord  bargataire D32*3/4" M</t>
  </si>
  <si>
    <t>812RAC127</t>
  </si>
  <si>
    <t>Raccord  bargataire D32*1" F</t>
  </si>
  <si>
    <t>815CAP152</t>
  </si>
  <si>
    <t>Capteur XS5GD418</t>
  </si>
  <si>
    <t>Disjoncteur moteur 2,5-04</t>
  </si>
  <si>
    <t>815DIS309</t>
  </si>
  <si>
    <t>Disjoncteur moteur 06-16</t>
  </si>
  <si>
    <t xml:space="preserve">Clappet cuivre 1" </t>
  </si>
  <si>
    <t>812COD812</t>
  </si>
  <si>
    <t>Coude PVC PR 90° D16</t>
  </si>
  <si>
    <t>812cod805</t>
  </si>
  <si>
    <t>Coude PVC 90° D40</t>
  </si>
  <si>
    <t>812cod807</t>
  </si>
  <si>
    <t>Coude PVC 90° D32</t>
  </si>
  <si>
    <t>812TTE022</t>
  </si>
  <si>
    <t>TE PVC D32</t>
  </si>
  <si>
    <t>812TTE021</t>
  </si>
  <si>
    <t>TE PVC PR D75</t>
  </si>
  <si>
    <t>812TTE666</t>
  </si>
  <si>
    <t>TE PVC PR D25</t>
  </si>
  <si>
    <t>TE PVC PR D50</t>
  </si>
  <si>
    <t>812RED723</t>
  </si>
  <si>
    <t>Réduction PVC PR 90*50 (D50)</t>
  </si>
  <si>
    <t>812TTE672</t>
  </si>
  <si>
    <t>TE PVC PR D100</t>
  </si>
  <si>
    <t>812TTE673</t>
  </si>
  <si>
    <t>TE PVC PR D80</t>
  </si>
  <si>
    <t>Mamelon Galva 2"1/2 (D75)</t>
  </si>
  <si>
    <t>TE 26/34 (1")</t>
  </si>
  <si>
    <t>812COD021</t>
  </si>
  <si>
    <t>Coude galva 90° 2" (D63)</t>
  </si>
  <si>
    <t>812COD813</t>
  </si>
  <si>
    <t>Coude galva 45° 2" (D63)</t>
  </si>
  <si>
    <t>812RED023</t>
  </si>
  <si>
    <t>Réduction galva 1"*2"</t>
  </si>
  <si>
    <t>812RED724</t>
  </si>
  <si>
    <t>Réduction galva 2"*2"1/2</t>
  </si>
  <si>
    <t>812red006</t>
  </si>
  <si>
    <t>Réduction galva 2"*3"</t>
  </si>
  <si>
    <t>701ELE091</t>
  </si>
  <si>
    <t>Alimentation stabilisé 5v/4A</t>
  </si>
  <si>
    <t>701ELE092</t>
  </si>
  <si>
    <t>Alimentation stabilisé 5v/8A</t>
  </si>
  <si>
    <t>810ROU196</t>
  </si>
  <si>
    <t>Roulement 6303-2Z</t>
  </si>
  <si>
    <t>810XPM208</t>
  </si>
  <si>
    <t>Attache rapide pour chaine 08B1</t>
  </si>
  <si>
    <t>812XPB011</t>
  </si>
  <si>
    <t>CHEVILLE DE 12</t>
  </si>
  <si>
    <t>815CAB014</t>
  </si>
  <si>
    <t>Cable souple 2*0.75</t>
  </si>
  <si>
    <t>820DIS763</t>
  </si>
  <si>
    <t>Disque acier 125</t>
  </si>
  <si>
    <t>820TUB047</t>
  </si>
  <si>
    <t>AXE INOX D12 316L</t>
  </si>
  <si>
    <t>820XMC051</t>
  </si>
  <si>
    <t>VIS TH (acier) M12*60</t>
  </si>
  <si>
    <t>820XMC673</t>
  </si>
  <si>
    <t>Vis TF (acier) M12*20</t>
  </si>
  <si>
    <t>820XMC709</t>
  </si>
  <si>
    <t>VIS TF (acier) M04*10</t>
  </si>
  <si>
    <t>820XMC710</t>
  </si>
  <si>
    <t>VIS TF (acier) M05*10</t>
  </si>
  <si>
    <t>820XMC851</t>
  </si>
  <si>
    <t>CHARNIERE INOX M50</t>
  </si>
  <si>
    <t>830MCH924</t>
  </si>
  <si>
    <t>Mèche beton 12</t>
  </si>
  <si>
    <t>830XOU929</t>
  </si>
  <si>
    <t>Brosse métallique ROUGE</t>
  </si>
  <si>
    <t>860XES075</t>
  </si>
  <si>
    <t>BOUGIE SOUDURE BORNES ELECTRODE ALLUMAGE</t>
  </si>
  <si>
    <t>810ROU029</t>
  </si>
  <si>
    <t>Roulement 6208-2RS</t>
  </si>
  <si>
    <t>810ROU097</t>
  </si>
  <si>
    <t>Roulement 6003 2RS</t>
  </si>
  <si>
    <t>812RED605</t>
  </si>
  <si>
    <t>réduction10/12</t>
  </si>
  <si>
    <t>815CON042</t>
  </si>
  <si>
    <t>Contacteur 90A 220V</t>
  </si>
  <si>
    <t>815REL340</t>
  </si>
  <si>
    <t>RELAIS TEMP 11 BROCHE H3CR  220VAC</t>
  </si>
  <si>
    <t>815RES217</t>
  </si>
  <si>
    <t>Resistance plat D655*22  230V 400W 2FILS 500mm</t>
  </si>
  <si>
    <t>815XPE058</t>
  </si>
  <si>
    <t>Boite derivation 190*140*70 IP56 ETANCHE</t>
  </si>
  <si>
    <t>850CHA004</t>
  </si>
  <si>
    <t>CHARGE BOUTEILLE ARGON ALPHAGAZ-2 10.6M3</t>
  </si>
  <si>
    <t>850CHA005</t>
  </si>
  <si>
    <t>CHARGE BOUTEILLE OXYGENE A/P 10.6M3</t>
  </si>
  <si>
    <t>850CHA006</t>
  </si>
  <si>
    <t>CHARGE BOUTEILLE ATAL 5</t>
  </si>
  <si>
    <t>860XES007</t>
  </si>
  <si>
    <t>GANT LATEX BARRIER 100</t>
  </si>
  <si>
    <t>860XES008</t>
  </si>
  <si>
    <t>LUNETTES DE PROTECTION</t>
  </si>
  <si>
    <t>860XES023</t>
  </si>
  <si>
    <t>GANT POLYTRIL G-TECH</t>
  </si>
  <si>
    <t>860XES024</t>
  </si>
  <si>
    <t>COMBINAISON JETABLE ANTI POUSSIERE</t>
  </si>
  <si>
    <t>860XES026</t>
  </si>
  <si>
    <t>MASQUE ANTI POUSSIERE FFP3</t>
  </si>
  <si>
    <t>860XES049</t>
  </si>
  <si>
    <t>BOTTES PVC "40</t>
  </si>
  <si>
    <t>PR02</t>
  </si>
  <si>
    <t>810PAL002</t>
  </si>
  <si>
    <t>PALIER OVALE UCFL207 CHINOIS</t>
  </si>
  <si>
    <t>810ROU085</t>
  </si>
  <si>
    <t>ROULEMENT 6309-2Z</t>
  </si>
  <si>
    <t>PARAHUILE VITON 48*70*10</t>
  </si>
  <si>
    <t>810PAL005</t>
  </si>
  <si>
    <t>PALIER SKF UCFL 208/H</t>
  </si>
  <si>
    <t>815COL276</t>
  </si>
  <si>
    <t>CONTACTEUR 32A 220V</t>
  </si>
  <si>
    <t>810ROU132</t>
  </si>
  <si>
    <t>ROULEMENT 606-2Z</t>
  </si>
  <si>
    <t>812VAN019</t>
  </si>
  <si>
    <t>ELECTROVANNE 26/34 BOBINE 220 VAC</t>
  </si>
  <si>
    <t>815CAB006</t>
  </si>
  <si>
    <t>CABLE SOUPLE 3*2,5</t>
  </si>
  <si>
    <t>CABLE SOUPLE 4*2,5</t>
  </si>
  <si>
    <t>810ROU092</t>
  </si>
  <si>
    <t>ROULEMENT 61813-2RS</t>
  </si>
  <si>
    <t>810PAR038</t>
  </si>
  <si>
    <t>PARAHUILE VITON 55*75*12</t>
  </si>
  <si>
    <t>VALVES TUBLESS BOCAT</t>
  </si>
  <si>
    <t>810XPM146</t>
  </si>
  <si>
    <t>JOINT RORIQUE EN NBR70 RO 63,09-3,53</t>
  </si>
  <si>
    <t>810ROU185</t>
  </si>
  <si>
    <t>COUPELLE EN PU ERS/L 64-75-8</t>
  </si>
  <si>
    <t>810XPM008</t>
  </si>
  <si>
    <t>CORDE EN NBR70 EP 3,53mm</t>
  </si>
  <si>
    <t xml:space="preserve">PARAHUILE VITON 25*40*10               </t>
  </si>
  <si>
    <t xml:space="preserve">810ROX012          </t>
  </si>
  <si>
    <t xml:space="preserve">GALET DE ROULEMENT SUR AXE KR22PP          </t>
  </si>
  <si>
    <t>SELECTEUR 3P</t>
  </si>
  <si>
    <t>DOMINO EN PLASTIQUE 35A</t>
  </si>
  <si>
    <t>840CHI001</t>
  </si>
  <si>
    <t>CHIFFON</t>
  </si>
  <si>
    <t>830XOU809</t>
  </si>
  <si>
    <t>Barres U de 3.5m en inox</t>
  </si>
  <si>
    <t>Barres  U de 2m en inox</t>
  </si>
  <si>
    <t>FLEXIBLE CHALUMEAU ROUGE</t>
  </si>
  <si>
    <t>FLEXIBLE CHALUMEAU BLEU</t>
  </si>
  <si>
    <t>DECAPANT KHOTTAF</t>
  </si>
  <si>
    <t>RIVET ALUMINUIM 4,8/20 (5/50)</t>
  </si>
  <si>
    <t>BTE LAQUE DE 4KG BLEU T</t>
  </si>
  <si>
    <t>DILLUANT CELLU 0,8L</t>
  </si>
  <si>
    <t>ATTACHE MULTI QUICK 16-20 BFR</t>
  </si>
  <si>
    <t>CABLE SOUPLE 3*1,5</t>
  </si>
  <si>
    <t>COFFRET ETANCHE 400*300*225</t>
  </si>
  <si>
    <t>FER UPN 100 DE 06M</t>
  </si>
  <si>
    <t>CORNIER ACEIR 30*30</t>
  </si>
  <si>
    <t>CORNIER ACEIR 40*40</t>
  </si>
  <si>
    <t>CORNIER ALUM 4,14M</t>
  </si>
  <si>
    <t>CNF ADAPTATEUR LONG 63*150</t>
  </si>
  <si>
    <t>CNF FLEXIBLE HYD LG15 MT M/M</t>
  </si>
  <si>
    <t>ACCOUPLEUR HYD FP</t>
  </si>
  <si>
    <t>CNF FLEXIBLE HYD LG 2500 M/F</t>
  </si>
  <si>
    <t xml:space="preserve">CAPTEUR FIN DE COURSE CM-1308 </t>
  </si>
  <si>
    <t>RUBAN ADHESIF AMARECAIN</t>
  </si>
  <si>
    <t>STUB 100C6 Ø5 [BAR] 2MT</t>
  </si>
  <si>
    <t>STUB 100C6 Ø4 [BAR] 2MT</t>
  </si>
  <si>
    <t>701ele005</t>
  </si>
  <si>
    <t>Canne Type K (thermocouple) D15/L1500+raccord</t>
  </si>
  <si>
    <t>701ele006</t>
  </si>
  <si>
    <t>701ELE010</t>
  </si>
  <si>
    <t>Power supply S8FS-C15024 IN100-120VAC OUT200-240V</t>
  </si>
  <si>
    <t>701ELE013</t>
  </si>
  <si>
    <t>Servo moteur SGM7J-08AFC6S</t>
  </si>
  <si>
    <t>701ELE014</t>
  </si>
  <si>
    <t>Servo pack SGD7S-2R8A00A002</t>
  </si>
  <si>
    <t>701ELE022</t>
  </si>
  <si>
    <t>Canne PT100 D08/335mm</t>
  </si>
  <si>
    <t>701ELE025</t>
  </si>
  <si>
    <t>Servo moteur SIEMENS SQN30.251A2700</t>
  </si>
  <si>
    <t>701ELE036</t>
  </si>
  <si>
    <t>Thermocouple PT100 D5*200/80 3FILS 3000mm Chambre</t>
  </si>
  <si>
    <t>701ELE037</t>
  </si>
  <si>
    <t>Thermocouple J coudee L800+Fiche TC  linklater</t>
  </si>
  <si>
    <t>701ELE038</t>
  </si>
  <si>
    <t>Thermocouple type J D5*300 2fils+1500mm melangeur</t>
  </si>
  <si>
    <t>701ELE041</t>
  </si>
  <si>
    <t>Thermocouples TypeJ D5*40mm Bay12 PLQ CHAUF</t>
  </si>
  <si>
    <t>701ELE052</t>
  </si>
  <si>
    <t>Thermocouples Type J D04*200  MLX Chinois</t>
  </si>
  <si>
    <t>701ELE053</t>
  </si>
  <si>
    <t>Thermocouple Type K D06*1000 2fil 2500mm C.F</t>
  </si>
  <si>
    <t>701ELE054</t>
  </si>
  <si>
    <t>Servo pack YASKAWA SGD7S-5R5A00B202 STRIP</t>
  </si>
  <si>
    <t>701ELE055</t>
  </si>
  <si>
    <t>Convertisseur de frequen 6SL3210-1PE16-1UL1</t>
  </si>
  <si>
    <t>701ELE056</t>
  </si>
  <si>
    <t>Profibus-DP OPTION CARD SI-P3    STRIP</t>
  </si>
  <si>
    <t>701ELE057</t>
  </si>
  <si>
    <t>Complementary PG OPTION CARD PG-B3   STRIP</t>
  </si>
  <si>
    <t>701ELE060</t>
  </si>
  <si>
    <t>Canne Type K WRN131 D8*117mm   strip chinois</t>
  </si>
  <si>
    <t>701ELE062</t>
  </si>
  <si>
    <t>Canne Type K Coudee D21.3 170*300+raccord</t>
  </si>
  <si>
    <t>701ELE069</t>
  </si>
  <si>
    <t>Thermocouple D8*100 1500mm+ressort bay F15</t>
  </si>
  <si>
    <t>701ELE070</t>
  </si>
  <si>
    <t>Thermocouple D5*78 1500+bay11 Moule M.G</t>
  </si>
  <si>
    <t>701ELE071</t>
  </si>
  <si>
    <t>Thermocouple D5*180+Bay Baffle Strip</t>
  </si>
  <si>
    <t>701ELE074</t>
  </si>
  <si>
    <t>Thermocouple D5*25 1500+bay11 Moule M.G</t>
  </si>
  <si>
    <t>701ele078</t>
  </si>
  <si>
    <t>Convertisseur de frequen JL930T7-5G/11P380V</t>
  </si>
  <si>
    <t>701ELE079</t>
  </si>
  <si>
    <t>SINAMICS V90 PROFINET PT 6SL3210-5FE17-0UF0</t>
  </si>
  <si>
    <t>701ELE085</t>
  </si>
  <si>
    <t>Thermocouple type J D5*123 Baffle Strip</t>
  </si>
  <si>
    <t>701ele088</t>
  </si>
  <si>
    <t>Crane cable and remote controll    Palan Fonder</t>
  </si>
  <si>
    <t>701ELE089</t>
  </si>
  <si>
    <t>Canne Type K Coudee D21. 160*680+raccord M.G.NEG</t>
  </si>
  <si>
    <t>701MEC025</t>
  </si>
  <si>
    <t>BROSSE (métallique) A9047085</t>
  </si>
  <si>
    <t>701MEC045</t>
  </si>
  <si>
    <t>BROSSE A LAMELLE SG ACIER INOX 43509003 WBU 10010</t>
  </si>
  <si>
    <t>702MEC032</t>
  </si>
  <si>
    <t>Flotteur mecanique 15/21 (1/2")</t>
  </si>
  <si>
    <t>702mec037</t>
  </si>
  <si>
    <t>TURBINE DE POMPE A PB 130/16/20/45</t>
  </si>
  <si>
    <t>702MEC042</t>
  </si>
  <si>
    <t>Ressort COMP 102/377/68 *17*13SPIRE Press punshin</t>
  </si>
  <si>
    <t>702MEC090</t>
  </si>
  <si>
    <t>TURBINE DE POMPE A PB</t>
  </si>
  <si>
    <t>703MEC001</t>
  </si>
  <si>
    <t>Godets elevateur Billes 130/120 Elevateur a godet</t>
  </si>
  <si>
    <t>703MEC004</t>
  </si>
  <si>
    <t>Godets elevateur Billes 100/90 Elevateur a godet</t>
  </si>
  <si>
    <t>703MEC012</t>
  </si>
  <si>
    <t>Filtre D MPM H14 610*610*292 24m2</t>
  </si>
  <si>
    <t>703SAC002</t>
  </si>
  <si>
    <t>SAC MANCHE FILTRANTE D152/L3000/NOMEX</t>
  </si>
  <si>
    <t>703SAC003</t>
  </si>
  <si>
    <t>SAC MANCHE FILTRANTE D150/L3700 LINKLATER</t>
  </si>
  <si>
    <t>705MEC002</t>
  </si>
  <si>
    <t>lame decoupeur F45511018</t>
  </si>
  <si>
    <t>705MEC033</t>
  </si>
  <si>
    <t>Tapis modulaire M1233 FLUSH GRID 0.5 PP 150MM*15M</t>
  </si>
  <si>
    <t>705MEC048</t>
  </si>
  <si>
    <t>Manchon Cone silicone D300/500 JONCTIONE</t>
  </si>
  <si>
    <t>705MEC049</t>
  </si>
  <si>
    <t>Manchon Cone silicone D200/500 JONCTIONE</t>
  </si>
  <si>
    <t>705mec051</t>
  </si>
  <si>
    <t>Tubular holder 1*19/23 RA8.0 9.7mm  M.G.Hadi</t>
  </si>
  <si>
    <t>705MEC052</t>
  </si>
  <si>
    <t>Slip of 19R*T9.7/RA8.2 AM0028447 M.G.Hadi</t>
  </si>
  <si>
    <t>705MEC053</t>
  </si>
  <si>
    <t>Lever  AM003568 M.G.Hadi</t>
  </si>
  <si>
    <t>705MEC054</t>
  </si>
  <si>
    <t>Lever  AM0035871 M.G.Hadi</t>
  </si>
  <si>
    <t>705MEC055</t>
  </si>
  <si>
    <t>Gauntlet-clamping AM0036035 M.G.Hadi</t>
  </si>
  <si>
    <t>705MEC056</t>
  </si>
  <si>
    <t>clamping lever AM0036465 M.G.Hadi</t>
  </si>
  <si>
    <t>705MEC057</t>
  </si>
  <si>
    <t>Gaunlet clamping below 19R*T9.7/MA 904 AM0046594</t>
  </si>
  <si>
    <t>708ELE005</t>
  </si>
  <si>
    <t>Capteur (sensor MSE-P020) Chinois</t>
  </si>
  <si>
    <t>708ELE006</t>
  </si>
  <si>
    <t>Ecran 6AV642-0BA01-1AX1 CHINOIS</t>
  </si>
  <si>
    <t>708ELE008</t>
  </si>
  <si>
    <t>CPU SIEMENS SMART ST200 6ES7 288-1ST60-0AA0</t>
  </si>
  <si>
    <t>708ELE009</t>
  </si>
  <si>
    <t>CPU SIEMENS SMART ST200 6ES7 288-2DT32-0AA0</t>
  </si>
  <si>
    <t>708ELE010</t>
  </si>
  <si>
    <t>I/O UNIT SIEMENS ST200 6ES7 288-3AM06-0AA0</t>
  </si>
  <si>
    <t>708ELE011</t>
  </si>
  <si>
    <t>I/O UNIT SIEMENS ST200 6ES7 288-3AM03-0AA0</t>
  </si>
  <si>
    <t>708ELE012</t>
  </si>
  <si>
    <t>708ELE013</t>
  </si>
  <si>
    <t>I/O UNIT SIEMENS 1200 6ES7 231-5QF32-0XB0</t>
  </si>
  <si>
    <t>708ELE014</t>
  </si>
  <si>
    <t>I/O UNIT SIEMENS 1200 6ES7 234-4HE32-0XB0</t>
  </si>
  <si>
    <t>708ELE015</t>
  </si>
  <si>
    <t>I/O UNIT SIEMENS 1200 6ES7 223-1BL32-0XB0</t>
  </si>
  <si>
    <t>708ELE016</t>
  </si>
  <si>
    <t>I/O UNIT SIEMENS 1200 6ES7 223-1PL32-0XB0</t>
  </si>
  <si>
    <t>708ELE017</t>
  </si>
  <si>
    <t>CPU SIEMENS 1215 6ES7 215-1AG40-0AA0(CPU1215)</t>
  </si>
  <si>
    <t>708ELE018</t>
  </si>
  <si>
    <t>Panel HMI TP900 SIEMENS 6AV2124-0JC01-0A</t>
  </si>
  <si>
    <t>708ELE019</t>
  </si>
  <si>
    <t>Panel TP177B SIEMENS 6AV6642-0BC01-1AX1</t>
  </si>
  <si>
    <t>708ELE020</t>
  </si>
  <si>
    <t>Cable servo motor mutsubishi HG-SR702J MR-J3ENSCB</t>
  </si>
  <si>
    <t>708ELE021</t>
  </si>
  <si>
    <t>AC servo motor YAZKAWA SGM7J-08AFC6E</t>
  </si>
  <si>
    <t>708ELE025</t>
  </si>
  <si>
    <t>Cable encodeur Mitsub MRJ3-ENSCBL15M-L</t>
  </si>
  <si>
    <t>708ele026</t>
  </si>
  <si>
    <t>AC servo motor 1FL6096-1AC61-2AA1</t>
  </si>
  <si>
    <t>708ele027</t>
  </si>
  <si>
    <t>Power cable preassembled SFX3002-5CL12-1BF0</t>
  </si>
  <si>
    <t>708ele028</t>
  </si>
  <si>
    <t>Signal cable preassembled SFX3002-2CT12-1BF0-T</t>
  </si>
  <si>
    <t>708MEC002</t>
  </si>
  <si>
    <t>LAME DE COUPE STRIP CHINOIS</t>
  </si>
  <si>
    <t>708MEC003</t>
  </si>
  <si>
    <t>Lame de coupe dechet STRIP CHINOIS</t>
  </si>
  <si>
    <t>708MEC004</t>
  </si>
  <si>
    <t>Pompe (lead pompe)</t>
  </si>
  <si>
    <t>708mec005</t>
  </si>
  <si>
    <t>Couronne de guidage bande  divider</t>
  </si>
  <si>
    <t>708MEC007</t>
  </si>
  <si>
    <t>Horizontal Knife (lame de coupe) divider</t>
  </si>
  <si>
    <t>708MEC008</t>
  </si>
  <si>
    <t>Vertical Knife (lame de coupe) divider</t>
  </si>
  <si>
    <t>708MEC013</t>
  </si>
  <si>
    <t>Kit complet de guidage Moule   Punshing</t>
  </si>
  <si>
    <t>708mec016</t>
  </si>
  <si>
    <t>Kit de guidage 32*200 (54*80) Moule Punshing</t>
  </si>
  <si>
    <t>708MEC018</t>
  </si>
  <si>
    <t>Guide sleeve for ball L29*OD25.35*ID20.8</t>
  </si>
  <si>
    <t>708MEC019</t>
  </si>
  <si>
    <t>Guide sleeve for ball L80*OD46.85*ID38.5</t>
  </si>
  <si>
    <t>708MEC020</t>
  </si>
  <si>
    <t>Guide sleeve for ball L110*OD59.1*ID51</t>
  </si>
  <si>
    <t>708MEC021</t>
  </si>
  <si>
    <t>Guide sleeve for ball L59.35*OD27.25*ID22.5</t>
  </si>
  <si>
    <t>708MEC022</t>
  </si>
  <si>
    <t>Guide sleeve for ball L80*OD39.1*ID32.5</t>
  </si>
  <si>
    <t>708MEC023</t>
  </si>
  <si>
    <t>Guide sleeve for ball L80*OD59.1*ID50.5</t>
  </si>
  <si>
    <t>710ELE011</t>
  </si>
  <si>
    <t>710ele012</t>
  </si>
  <si>
    <t>Pump support (Corps) F04257 Pmp plomb M.bille</t>
  </si>
  <si>
    <t>726ELE005</t>
  </si>
  <si>
    <t>SONDE PT100 4*100 3fil 2000mm Siliconee  Moulin a</t>
  </si>
  <si>
    <t>750fil005</t>
  </si>
  <si>
    <t>FILTRE A HUILE COMPRESSEUR</t>
  </si>
  <si>
    <t>750FIL008</t>
  </si>
  <si>
    <t>Filtre Hydrolique M.G.Wertz</t>
  </si>
  <si>
    <t>750HUI001</t>
  </si>
  <si>
    <t>HUILE MINERALE KAESER</t>
  </si>
  <si>
    <t>780mot008</t>
  </si>
  <si>
    <t>Moteur Electrique 90kw 4P B3 380/660</t>
  </si>
  <si>
    <t>780MOT013</t>
  </si>
  <si>
    <t>MOTEUR 7.5KW 4P 380/660V B5 CANTONI  FOUR FUSION</t>
  </si>
  <si>
    <t>780MOT020</t>
  </si>
  <si>
    <t>MOTEUR 0.25KW 4P B5 220/380V CANTONI  LABO</t>
  </si>
  <si>
    <t>810ACC002</t>
  </si>
  <si>
    <t>ACCOUPLEMENT C65 Melangeur Fonderie</t>
  </si>
  <si>
    <t>810ACC005</t>
  </si>
  <si>
    <t>ACCOUPLEMENT GF 55-NN Central hydrol STRIP</t>
  </si>
  <si>
    <t>810ACC204</t>
  </si>
  <si>
    <t>ACCOUPLEMENT C42 (POUR VIS OXYDE)</t>
  </si>
  <si>
    <t>810CHA001</t>
  </si>
  <si>
    <t>CHAINE DOUBLE PAS 25.40 16B-2</t>
  </si>
  <si>
    <t>810CHA002</t>
  </si>
  <si>
    <t>ATTACHE DOUBLE PAS 25.4 16B-2CL</t>
  </si>
  <si>
    <t>810CHA005</t>
  </si>
  <si>
    <t>chaines DOUBLE 10B-2</t>
  </si>
  <si>
    <t>810cha008</t>
  </si>
  <si>
    <t>chaines 06B-2</t>
  </si>
  <si>
    <t>810cha102</t>
  </si>
  <si>
    <t>810COU014</t>
  </si>
  <si>
    <t>Courroie trapezoidale 3150*10 SPZ</t>
  </si>
  <si>
    <t>810cou017</t>
  </si>
  <si>
    <t>Courroie Dentée HTD 740 5M  Larg 15mm</t>
  </si>
  <si>
    <t>810COU018</t>
  </si>
  <si>
    <t>Courroie Dentée HTD 8M-1136 L30//1120-8M</t>
  </si>
  <si>
    <t>810COU019</t>
  </si>
  <si>
    <t>Courroie Trapezoidale SPZ2800-3V1100  L10mm</t>
  </si>
  <si>
    <t>810COU020</t>
  </si>
  <si>
    <t>POULIE 5 GORGE 5*22*135*75*400mm</t>
  </si>
  <si>
    <t>810COU021</t>
  </si>
  <si>
    <t>MOYEU AMOVIBLE 3535 ALESAGE 75</t>
  </si>
  <si>
    <t>810COU022</t>
  </si>
  <si>
    <t>Courroie Trapezoidale 3450*17  Tremie Emp</t>
  </si>
  <si>
    <t>810COU023</t>
  </si>
  <si>
    <t>Courroie Trapez A1133 LD 13*1100LI A43 OXYDE</t>
  </si>
  <si>
    <t>810COU025</t>
  </si>
  <si>
    <t>Courroie dentée 1760-8M CHINOIS</t>
  </si>
  <si>
    <t>810COU026</t>
  </si>
  <si>
    <t>Courroie dentée 184XL Larg10mm chinois</t>
  </si>
  <si>
    <t>810COU027</t>
  </si>
  <si>
    <t>Courroie dentée HTD1610-14M 70mm Chinois</t>
  </si>
  <si>
    <t>810COU028</t>
  </si>
  <si>
    <t>Courroie trapez  B2819LI 2859LD  Chinois</t>
  </si>
  <si>
    <t>810COU029</t>
  </si>
  <si>
    <t>Courroie trapez  B2845LI 2889LD  Chinois</t>
  </si>
  <si>
    <t>810COU030</t>
  </si>
  <si>
    <t>Courroie trapez  B1112 2845LI 2888LW Chinois</t>
  </si>
  <si>
    <t>810COU031</t>
  </si>
  <si>
    <t>Courroie dentée HTD2000 5M B 290311</t>
  </si>
  <si>
    <t>810COU032</t>
  </si>
  <si>
    <t>Courroie dentée 6466 MC</t>
  </si>
  <si>
    <t>810COU033</t>
  </si>
  <si>
    <t>Courroie Trapez VECO100 1780 A69</t>
  </si>
  <si>
    <t>810COU034</t>
  </si>
  <si>
    <t>Courroie Trapez VECO200 1400 SPA</t>
  </si>
  <si>
    <t>810COU035</t>
  </si>
  <si>
    <t>Courroie Trapez VECO200 1360 SPA</t>
  </si>
  <si>
    <t>810COU036</t>
  </si>
  <si>
    <t>Courroie Trapez 3350 SPC 307 NB</t>
  </si>
  <si>
    <t>810COU037</t>
  </si>
  <si>
    <t>Courroie dentée 1922V 386 LARG 30mm</t>
  </si>
  <si>
    <t>810COU041</t>
  </si>
  <si>
    <t>Courroie Trapez SPB LP3000 LA3022  Tun EMP C</t>
  </si>
  <si>
    <t>810COU043</t>
  </si>
  <si>
    <t>POULIE 1SPA112TB SKF M.Grille Wirtz</t>
  </si>
  <si>
    <t>810COU044</t>
  </si>
  <si>
    <t>Moyeu poulie PHF TB1610*22MM SKF M.WIRTZ</t>
  </si>
  <si>
    <t>810COU046</t>
  </si>
  <si>
    <t>Courroie Trapez 32*3750D148  Casse batt</t>
  </si>
  <si>
    <t>810COU047</t>
  </si>
  <si>
    <t>Courroie  SPC3550-CHAL Filtre fonderie</t>
  </si>
  <si>
    <t>810cou048</t>
  </si>
  <si>
    <t>Courroie Trapez 1938 b75 Atelier Tournage</t>
  </si>
  <si>
    <t>810COU060</t>
  </si>
  <si>
    <t>COURROIE Trapezoidale PHG A70</t>
  </si>
  <si>
    <t>810COU062</t>
  </si>
  <si>
    <t>COURROIE HTD 560 8M 30 PUNSHING</t>
  </si>
  <si>
    <t>810COU063</t>
  </si>
  <si>
    <t>COURROIE SYNCHRONE TEXROPE 8M-30 M.Tubulaire</t>
  </si>
  <si>
    <t>810COU065</t>
  </si>
  <si>
    <t>MOYEU AMOVIBLE 3535 ALESAGE 70    fonderie</t>
  </si>
  <si>
    <t>810COU067</t>
  </si>
  <si>
    <t>Courroie trapez 17*2438 B96  Melangeur fonderie</t>
  </si>
  <si>
    <t>810COU068</t>
  </si>
  <si>
    <t>Courroie trapez B69 17*1750  Turbine linklat</t>
  </si>
  <si>
    <t>810COU073</t>
  </si>
  <si>
    <t>Courroie Trapezoidale SPB2900*16.3  Melangeur str</t>
  </si>
  <si>
    <t>810COU126</t>
  </si>
  <si>
    <t>COURROIE VECA100 3000 C116</t>
  </si>
  <si>
    <t>810COU127</t>
  </si>
  <si>
    <t>Courroie VECA100 2941 B114 MLX CHIN</t>
  </si>
  <si>
    <t>810COU133</t>
  </si>
  <si>
    <t>Courroie Trapezoidale 3070*12    tunel de sechage</t>
  </si>
  <si>
    <t>810COU135</t>
  </si>
  <si>
    <t>MOYEU AMOVIBLE 3535 ALESAGE 55    fonderie</t>
  </si>
  <si>
    <t>810COU137</t>
  </si>
  <si>
    <t>Courroie dentee AV 13*1525 GTX</t>
  </si>
  <si>
    <t>810COU250</t>
  </si>
  <si>
    <t>COURROIE 2800RPP14-112</t>
  </si>
  <si>
    <t>810COU251</t>
  </si>
  <si>
    <t>COURROIE HTD2450  14M</t>
  </si>
  <si>
    <t>810COU253</t>
  </si>
  <si>
    <t>COURROIE 245014M  OMEGA</t>
  </si>
  <si>
    <t>810COU260</t>
  </si>
  <si>
    <t>courroi dent strip 1600 RPP8</t>
  </si>
  <si>
    <t>810COU261</t>
  </si>
  <si>
    <t>courroi dent strip 1760X50 RPP8</t>
  </si>
  <si>
    <t>810COU262</t>
  </si>
  <si>
    <t>courroi  dentee 2400 RPP8</t>
  </si>
  <si>
    <t>810cou263</t>
  </si>
  <si>
    <t>courroi dentee HTD 16014M</t>
  </si>
  <si>
    <t>810CRE002</t>
  </si>
  <si>
    <t>Cremaillere M3/2000mm malaxeur SOVEMA</t>
  </si>
  <si>
    <t>810DOU003</t>
  </si>
  <si>
    <t>DOUILLE A BILLES B81-DBKB-12  Guid M.G.Ha</t>
  </si>
  <si>
    <t>810DOU004</t>
  </si>
  <si>
    <t>Bride d'arbre SC 12 UU AS NBS Guid M.G.Hadi</t>
  </si>
  <si>
    <t>810DOU006</t>
  </si>
  <si>
    <t>DOUILLE a bille INA KB50100PP (LMU50RR) Lame stri</t>
  </si>
  <si>
    <t>810GOU006</t>
  </si>
  <si>
    <t>GOUJON D8*50</t>
  </si>
  <si>
    <t>810MAN004</t>
  </si>
  <si>
    <t>MANOMETRE hydrolique 0 à 160BAR 1/4"</t>
  </si>
  <si>
    <t>810MAN007</t>
  </si>
  <si>
    <t>810MAN009</t>
  </si>
  <si>
    <t>MANOMETRE PRESS GAZ 0-200mbar</t>
  </si>
  <si>
    <t>810MAN195</t>
  </si>
  <si>
    <t>810PAL001</t>
  </si>
  <si>
    <t>PALIER OVALE FYTB 509 M RLT YAR209-2F</t>
  </si>
  <si>
    <t>810PAL003</t>
  </si>
  <si>
    <t>PALIER CIRCULAIRE FC217 UC217 CHINOIS</t>
  </si>
  <si>
    <t>810pal007</t>
  </si>
  <si>
    <t>PALIER P210</t>
  </si>
  <si>
    <t>810PAL008</t>
  </si>
  <si>
    <t>Palier FY 510M</t>
  </si>
  <si>
    <t>810PAL011</t>
  </si>
  <si>
    <t>Palier Rond PME30</t>
  </si>
  <si>
    <t>810PAL013</t>
  </si>
  <si>
    <t>Palier A semelle SNV100 RLT 22211 Tunel SOVEMA</t>
  </si>
  <si>
    <t>810PAL016</t>
  </si>
  <si>
    <t>Palier Complet Rond INA PME30-N  PALAN Fonderie</t>
  </si>
  <si>
    <t>810PAL017</t>
  </si>
  <si>
    <t>Palier Complet UCP208 Ch.Ling.Fond</t>
  </si>
  <si>
    <t>810PAL019</t>
  </si>
  <si>
    <t>Palier FYTB 508M  RLT YAR208  EMP Classique</t>
  </si>
  <si>
    <t>810PAL020</t>
  </si>
  <si>
    <t>PALIER FC205 (UCFC205/H) Empattage/ENV SOVEMA</t>
  </si>
  <si>
    <t>810PAL044</t>
  </si>
  <si>
    <t>Bague de palier TSN522C Joint etancheite</t>
  </si>
  <si>
    <t>810PAL046</t>
  </si>
  <si>
    <t>Palier A semelle P212 RLT UC212</t>
  </si>
  <si>
    <t>810PAL048</t>
  </si>
  <si>
    <t>Palier a semelle SY512M</t>
  </si>
  <si>
    <t>810PAL049</t>
  </si>
  <si>
    <t>Palier T212 CX RLT UC212</t>
  </si>
  <si>
    <t>810PAL050</t>
  </si>
  <si>
    <t>Palier F 210</t>
  </si>
  <si>
    <t>810pal051</t>
  </si>
  <si>
    <t>Palier FY512M</t>
  </si>
  <si>
    <t>810PAL053</t>
  </si>
  <si>
    <t>Palier Carrée FY 507 M</t>
  </si>
  <si>
    <t>810PAL057</t>
  </si>
  <si>
    <t>Palier tendeur TU 508M (UCT208) Tapis Casse batte</t>
  </si>
  <si>
    <t>810pal058</t>
  </si>
  <si>
    <t>Palier UCFC 206</t>
  </si>
  <si>
    <t>810pal078</t>
  </si>
  <si>
    <t>810PAL090</t>
  </si>
  <si>
    <t>Palier carrée FY508M RLT YAR208</t>
  </si>
  <si>
    <t>810PAL095</t>
  </si>
  <si>
    <t>Palier carrée UCF212 Filtre fonderie</t>
  </si>
  <si>
    <t>810PAL096</t>
  </si>
  <si>
    <t>Palier complete UCFA 204 machine a grille</t>
  </si>
  <si>
    <t>810PAR002</t>
  </si>
  <si>
    <t>PARAHUILE 70*95*10 HAUT TEMP  MEL FOND</t>
  </si>
  <si>
    <t>810PAR003</t>
  </si>
  <si>
    <t>PARAHUILE 70*90*10 HAUT TEMP  MEL FOND</t>
  </si>
  <si>
    <t>810PAR004</t>
  </si>
  <si>
    <t>PARE HUILE 90*120*12</t>
  </si>
  <si>
    <t>810PAR007</t>
  </si>
  <si>
    <t>PARE HUILE 8*50*35</t>
  </si>
  <si>
    <t>810PAR008</t>
  </si>
  <si>
    <t>PARAHUILE 70*95*12</t>
  </si>
  <si>
    <t>810PAR011</t>
  </si>
  <si>
    <t>PARAHUILE 55*100*10</t>
  </si>
  <si>
    <t>810PAR013</t>
  </si>
  <si>
    <t>PARAHUILE 62*35*10</t>
  </si>
  <si>
    <t>810PAR014</t>
  </si>
  <si>
    <t>PARAHUILE 32*52*7 Emp Classique</t>
  </si>
  <si>
    <t>810PAR015</t>
  </si>
  <si>
    <t>PARAHUILE 35*72*10</t>
  </si>
  <si>
    <t>810PAR016</t>
  </si>
  <si>
    <t>PARAHUILE 32*60*8</t>
  </si>
  <si>
    <t>810PAR017</t>
  </si>
  <si>
    <t>PARAHUILE 110*85*12</t>
  </si>
  <si>
    <t>810PAR018</t>
  </si>
  <si>
    <t>PARAHUILE TC 48*70*10 ACIER</t>
  </si>
  <si>
    <t>PARAHUILE 25*42*7</t>
  </si>
  <si>
    <t>810PAR020</t>
  </si>
  <si>
    <t>PARAHUILE 230*260*15</t>
  </si>
  <si>
    <t>810PAR032</t>
  </si>
  <si>
    <t>Parahuile 52*36*7 vis oxyde</t>
  </si>
  <si>
    <t>810PAR033</t>
  </si>
  <si>
    <t>Parahuile 70*100*10</t>
  </si>
  <si>
    <t>810PAR034</t>
  </si>
  <si>
    <t>parahuile 40*62*10/8 Moteur OXYDE</t>
  </si>
  <si>
    <t>810PAR037</t>
  </si>
  <si>
    <t>PARAHUILE CATO 2D540 CR 127*104*13 Boite F.R</t>
  </si>
  <si>
    <t>810PAR039</t>
  </si>
  <si>
    <t>PARE HUILE 60*45*10 VIS OXYDE</t>
  </si>
  <si>
    <t>810PAR040</t>
  </si>
  <si>
    <t>PARE HUILE 45*75*10 Chaine a goudets</t>
  </si>
  <si>
    <t>810PAR041</t>
  </si>
  <si>
    <t>PARE HUILE 46*30*08 Moteur pompe Strip</t>
  </si>
  <si>
    <t>810PAR042</t>
  </si>
  <si>
    <t>PARE HUILE 25*37*7 MOT VENTIL FOND</t>
  </si>
  <si>
    <t>810PAR051</t>
  </si>
  <si>
    <t>PARAHUILE TC 48*70*10 Haute temperature STRIP</t>
  </si>
  <si>
    <t>810PAR060</t>
  </si>
  <si>
    <t>Parahuile 70*100*12 VIS OXYDE</t>
  </si>
  <si>
    <t>810PAR061</t>
  </si>
  <si>
    <t>Parahuile 25*47*7 DL</t>
  </si>
  <si>
    <t>810PAR062</t>
  </si>
  <si>
    <t>PARE HUILE 55*72*08 Moteur melangeur fonderi</t>
  </si>
  <si>
    <t>810PAR087</t>
  </si>
  <si>
    <t>PARE HUILE 80*125*12</t>
  </si>
  <si>
    <t>810PAR089</t>
  </si>
  <si>
    <t>PARE HUILE 80*100*10 HAUT TEMP  MEL FOND</t>
  </si>
  <si>
    <t>810PAR096</t>
  </si>
  <si>
    <t>PARE HUILE 50*72*8</t>
  </si>
  <si>
    <t>810PAR098</t>
  </si>
  <si>
    <t>PARE HUILE 30*40*7</t>
  </si>
  <si>
    <t>810PAR107</t>
  </si>
  <si>
    <t>PARE HUILE 55*80*8</t>
  </si>
  <si>
    <t>810PAR109</t>
  </si>
  <si>
    <t>PARAHUILE 110*70*12 REUCTEUR FOUR ROTATIF</t>
  </si>
  <si>
    <t>810par110</t>
  </si>
  <si>
    <t>parahuile 100x125x12</t>
  </si>
  <si>
    <t>810par118</t>
  </si>
  <si>
    <t>parahuile 50x80x8</t>
  </si>
  <si>
    <t>810PAR126</t>
  </si>
  <si>
    <t>PARE HUILE 45*72*10</t>
  </si>
  <si>
    <t>810PAR128</t>
  </si>
  <si>
    <t>Parahuile 105*135*14</t>
  </si>
  <si>
    <t>810PAR129</t>
  </si>
  <si>
    <t>Parahuile 100*120*10 Chariot maximal</t>
  </si>
  <si>
    <t>810PAR130</t>
  </si>
  <si>
    <t>PARE HUILE 55*80*10 OXYDE</t>
  </si>
  <si>
    <t>810PAR133</t>
  </si>
  <si>
    <t>PAREHUILE 90*55*10 Boite red STRIP</t>
  </si>
  <si>
    <t>810PAR134</t>
  </si>
  <si>
    <t>PARAHUILE DL 65*85*10</t>
  </si>
  <si>
    <t>810PAR137</t>
  </si>
  <si>
    <t>PARE HUILE 75*100*13 Boite strip</t>
  </si>
  <si>
    <t>810PAR138</t>
  </si>
  <si>
    <t>PARE HUILE 60*74*10 Boite strip</t>
  </si>
  <si>
    <t>810PAR139</t>
  </si>
  <si>
    <t>PARE HUILE 80*35*10 Rouleau bande strip</t>
  </si>
  <si>
    <t>810PAR140</t>
  </si>
  <si>
    <t>PAREHUILE 90*55*08 Boite melangeur fonderie</t>
  </si>
  <si>
    <t>810PAR142</t>
  </si>
  <si>
    <t>PARAHUILE 52*100*10 Boite melangeur</t>
  </si>
  <si>
    <t>810PAR144</t>
  </si>
  <si>
    <t>PARE HUILE 45*65*8</t>
  </si>
  <si>
    <t>810PAR145</t>
  </si>
  <si>
    <t>PARE HUILE 85/130/12 Reducteur Empattage</t>
  </si>
  <si>
    <t>810PAR146</t>
  </si>
  <si>
    <t>PARE HUILE 85/115/12 Reducteur Empattage</t>
  </si>
  <si>
    <t>810PAR147</t>
  </si>
  <si>
    <t>PARE HUILE 50*90*10 Reducteur four fonderie</t>
  </si>
  <si>
    <t>810PAR148</t>
  </si>
  <si>
    <t>PARE HUILE 50*65*8 Reducteur vis moulin sov</t>
  </si>
  <si>
    <t>810PAR149</t>
  </si>
  <si>
    <t>PARE HUILE 155*180*15DL Boite Empattage</t>
  </si>
  <si>
    <t>810PAR150</t>
  </si>
  <si>
    <t>PARE HUILE 38*55*8 TETE EMPATTAGE</t>
  </si>
  <si>
    <t>810PIN002</t>
  </si>
  <si>
    <t>PIGNON 08B 1B18</t>
  </si>
  <si>
    <t>810PIN012</t>
  </si>
  <si>
    <t>pignon B1/2 18</t>
  </si>
  <si>
    <t>810PIN023</t>
  </si>
  <si>
    <t>Pignon 16B2 15dents Casse batterie</t>
  </si>
  <si>
    <t>810PIN026</t>
  </si>
  <si>
    <t>Pignon PS 1/2 Z20 08B1  20dents</t>
  </si>
  <si>
    <t>810PIN027</t>
  </si>
  <si>
    <t>Pignon 08B1B14</t>
  </si>
  <si>
    <t>810PIN030</t>
  </si>
  <si>
    <t>Pignon 08B2 16DENTS</t>
  </si>
  <si>
    <t>810PIN032</t>
  </si>
  <si>
    <t>Pignon 06B1 11dents pas anglais M.limage</t>
  </si>
  <si>
    <t>810PIN033</t>
  </si>
  <si>
    <t>Pignon 08B1 12dents pas anglais M.limage</t>
  </si>
  <si>
    <t>810PIN034</t>
  </si>
  <si>
    <t>Pignon 08B1 16dents pas anglais M.limage</t>
  </si>
  <si>
    <t>810PIN035</t>
  </si>
  <si>
    <t>Pignon 06B1 17dents pas anglais M.limage</t>
  </si>
  <si>
    <t>810PIN040</t>
  </si>
  <si>
    <t>Pignon 12B1-16DENTS Casse batterie</t>
  </si>
  <si>
    <t>810PIN041</t>
  </si>
  <si>
    <t>Pignon 5/8*3/8 Z23 10B1 23dents Strip CHIN</t>
  </si>
  <si>
    <t>810pin042</t>
  </si>
  <si>
    <t>Pignon 06B2 11dents pas anglais M.limage</t>
  </si>
  <si>
    <t>810PIN053</t>
  </si>
  <si>
    <t>PIGNON SIMPLE 08B1-24DENTS</t>
  </si>
  <si>
    <t>810PIN054</t>
  </si>
  <si>
    <t>PIGNON SIMPLE 08B1-13DENTS</t>
  </si>
  <si>
    <t>810PIN055</t>
  </si>
  <si>
    <t>PIGNON DOUBLE 12B2-15DENTS</t>
  </si>
  <si>
    <t>810PIN056</t>
  </si>
  <si>
    <t>PIGNON SIMPLE 12B1-15DENTS</t>
  </si>
  <si>
    <t>810PIN057</t>
  </si>
  <si>
    <t>PIGNON SIMPLE 12B1-20DENTS</t>
  </si>
  <si>
    <t>810PIN071</t>
  </si>
  <si>
    <t>Pignon 12B2-16DENT</t>
  </si>
  <si>
    <t>810PIN072</t>
  </si>
  <si>
    <t>Pignon 16B1 16dents Casse batterie</t>
  </si>
  <si>
    <t>810PIN073</t>
  </si>
  <si>
    <t>Pignon 10B1  20dents Empattage chinois</t>
  </si>
  <si>
    <t>810PIN082</t>
  </si>
  <si>
    <t>Pignon double 08B2 20DENTS  Empattage</t>
  </si>
  <si>
    <t>810PIN083</t>
  </si>
  <si>
    <t>Pignon 10B1 24dents Strip CHIN</t>
  </si>
  <si>
    <t>810PIN084</t>
  </si>
  <si>
    <t>Pignon 16B2 21dents Reducteur Four N°2</t>
  </si>
  <si>
    <t>Roulement YAR 204</t>
  </si>
  <si>
    <t>810ROU007</t>
  </si>
  <si>
    <t>Roulement 2209 ETKN9</t>
  </si>
  <si>
    <t>810ROU008</t>
  </si>
  <si>
    <t>Roulement 2211</t>
  </si>
  <si>
    <t>810ROU013</t>
  </si>
  <si>
    <t>Roulement 22211 ISP</t>
  </si>
  <si>
    <t>810ROU014</t>
  </si>
  <si>
    <t>Roulement 61902 2RS1</t>
  </si>
  <si>
    <t>810ROU018</t>
  </si>
  <si>
    <t>Roulement 6005/ 2Z</t>
  </si>
  <si>
    <t>810ROU019</t>
  </si>
  <si>
    <t>Roulement 22209 CAW33</t>
  </si>
  <si>
    <t>810ROU021</t>
  </si>
  <si>
    <t>Roulement 6008</t>
  </si>
  <si>
    <t>Roulement 6202 ZZ</t>
  </si>
  <si>
    <t>810ROU030</t>
  </si>
  <si>
    <t>Roulement 6212</t>
  </si>
  <si>
    <t>810ROU037</t>
  </si>
  <si>
    <t>Roulement 22206 EJW33</t>
  </si>
  <si>
    <t>810ROU040</t>
  </si>
  <si>
    <t>Roulement 22212 CA W33</t>
  </si>
  <si>
    <t>810ROU043</t>
  </si>
  <si>
    <t>Roulement 33112 /Q</t>
  </si>
  <si>
    <t>810ROU045</t>
  </si>
  <si>
    <t>Roulement 61804 2RS1</t>
  </si>
  <si>
    <t>810ROU050</t>
  </si>
  <si>
    <t>Roulement 62200 2RS</t>
  </si>
  <si>
    <t>810ROU051</t>
  </si>
  <si>
    <t>Roulement 305704 C-2Z</t>
  </si>
  <si>
    <t>810ROU055</t>
  </si>
  <si>
    <t>Roulement CX51108</t>
  </si>
  <si>
    <t>810ROU059</t>
  </si>
  <si>
    <t>Roulement R8 2Z</t>
  </si>
  <si>
    <t>810rou064</t>
  </si>
  <si>
    <t>810ROU066</t>
  </si>
  <si>
    <t>Roulement YAR 208</t>
  </si>
  <si>
    <t>810ROU067</t>
  </si>
  <si>
    <t>Roulement YAR 209</t>
  </si>
  <si>
    <t>810ROU068</t>
  </si>
  <si>
    <t>Roulement 6205-2RS</t>
  </si>
  <si>
    <t>810ROU071</t>
  </si>
  <si>
    <t>Roulement 6306 ZZ</t>
  </si>
  <si>
    <t>810rou074</t>
  </si>
  <si>
    <t>Roulement 6206 2RS</t>
  </si>
  <si>
    <t>810ROU079</t>
  </si>
  <si>
    <t>ROULEMENT 1209 EKTN9/C3</t>
  </si>
  <si>
    <t>810ROU080</t>
  </si>
  <si>
    <t>ROULEMENT 6209-2Z</t>
  </si>
  <si>
    <t>810ROU082</t>
  </si>
  <si>
    <t>ROULEMENT 30211 J</t>
  </si>
  <si>
    <t>810ROU086</t>
  </si>
  <si>
    <t>810ROU087</t>
  </si>
  <si>
    <t>Roulement 6216-2RS1</t>
  </si>
  <si>
    <t>810rou088</t>
  </si>
  <si>
    <t>810ROU090</t>
  </si>
  <si>
    <t>810ROU106</t>
  </si>
  <si>
    <t>ROULEMENT 61818</t>
  </si>
  <si>
    <t>810ROU108</t>
  </si>
  <si>
    <t>Roulement NU313 ECJ POLYREX EM</t>
  </si>
  <si>
    <t>810ROU111</t>
  </si>
  <si>
    <t>Roulement 30213 J2/Q</t>
  </si>
  <si>
    <t>810ROU114</t>
  </si>
  <si>
    <t>Roulement 30307 J2-Q</t>
  </si>
  <si>
    <t>810ROU115</t>
  </si>
  <si>
    <t>Roulement 32208 J2 Q</t>
  </si>
  <si>
    <t>810ROU116</t>
  </si>
  <si>
    <t>Roulement 30308 J2</t>
  </si>
  <si>
    <t>810ROU118</t>
  </si>
  <si>
    <t>Roulement YAR210 INOX</t>
  </si>
  <si>
    <t>810ROU119</t>
  </si>
  <si>
    <t>Roulement a rouleaux 32010X/Q</t>
  </si>
  <si>
    <t>810ROU120</t>
  </si>
  <si>
    <t>Roulement HK4020</t>
  </si>
  <si>
    <t>810ROU122</t>
  </si>
  <si>
    <t>Roulement 6006-2Z</t>
  </si>
  <si>
    <t>810ROU124</t>
  </si>
  <si>
    <t>Roulement 33214/Q</t>
  </si>
  <si>
    <t>810ROU125</t>
  </si>
  <si>
    <t>Roulement 22217 EK</t>
  </si>
  <si>
    <t>810ROU126</t>
  </si>
  <si>
    <t>Roulement 6211-2RS1</t>
  </si>
  <si>
    <t>810ROU127</t>
  </si>
  <si>
    <t>Roulement 6013-2Z</t>
  </si>
  <si>
    <t>810ROU128</t>
  </si>
  <si>
    <t>Monchon H209</t>
  </si>
  <si>
    <t>810ROU129</t>
  </si>
  <si>
    <t>Roulement 6213-2Z</t>
  </si>
  <si>
    <t>810ROU133</t>
  </si>
  <si>
    <t>Roulement 61902-ZZ</t>
  </si>
  <si>
    <t>810ROU134</t>
  </si>
  <si>
    <t>Roulement Butée a billes 51104</t>
  </si>
  <si>
    <t>810ROU137</t>
  </si>
  <si>
    <t>Roulement NU310 ECP SKF (3NU10 ECN)</t>
  </si>
  <si>
    <t>810rou142</t>
  </si>
  <si>
    <t>Roulement A billes 6217-2rs1</t>
  </si>
  <si>
    <t>810ROU143</t>
  </si>
  <si>
    <t>Roulement 6404-2rs EMAPTTAGE+RIA</t>
  </si>
  <si>
    <t>810rou144</t>
  </si>
  <si>
    <t>Roulement NA 6905</t>
  </si>
  <si>
    <t>810rou145</t>
  </si>
  <si>
    <t>Roulement 61800-2RS1</t>
  </si>
  <si>
    <t>810ROU146</t>
  </si>
  <si>
    <t>Roulement 30206</t>
  </si>
  <si>
    <t>810ROU147</t>
  </si>
  <si>
    <t>Roulement 30210-J2/Q</t>
  </si>
  <si>
    <t>810ROU148</t>
  </si>
  <si>
    <t>Butee a billes T126-904A1 Axe de fusee Chariot TC</t>
  </si>
  <si>
    <t>810ROU149</t>
  </si>
  <si>
    <t>Roulement NA69/32 Emp Classique</t>
  </si>
  <si>
    <t>810ROU150</t>
  </si>
  <si>
    <t>Roulement SCO228 LLU/3E EMP CLASSIQUE</t>
  </si>
  <si>
    <t>810ROU151</t>
  </si>
  <si>
    <t>Roulement  RCB-121616.L068 EMP CLASSIQUE</t>
  </si>
  <si>
    <t>810ROU152</t>
  </si>
  <si>
    <t>Roue Libre CSK17-M-C5 </t>
  </si>
  <si>
    <t>810ROU155</t>
  </si>
  <si>
    <t>Roulement RAE30-NPP-FA106</t>
  </si>
  <si>
    <t>810ROU156</t>
  </si>
  <si>
    <t>Roulement 3306 A-2ZTN9/MT33</t>
  </si>
  <si>
    <t>810rou157</t>
  </si>
  <si>
    <t>Roulement A AIGUILLES HKS 32*39*34</t>
  </si>
  <si>
    <t>810rou158</t>
  </si>
  <si>
    <t>Butée de roulement 52208 vis de reglage epaisseur</t>
  </si>
  <si>
    <t>810ROU170</t>
  </si>
  <si>
    <t>Roulement 23134 CAW33 CHINOIS</t>
  </si>
  <si>
    <t>810ROU171</t>
  </si>
  <si>
    <t>Roulement 32030 CHINOIS</t>
  </si>
  <si>
    <t>810ROU173</t>
  </si>
  <si>
    <t>Butée de roulement 51205 CHINOIS</t>
  </si>
  <si>
    <t>810ROU174</t>
  </si>
  <si>
    <t>Roulement NA 6902</t>
  </si>
  <si>
    <t>810ROU179</t>
  </si>
  <si>
    <t>Roulement 2308 ETN9 EMP CHI</t>
  </si>
  <si>
    <t>810ROU180</t>
  </si>
  <si>
    <t>Roulement a aiguilles NA4906  emp indus</t>
  </si>
  <si>
    <t>810ROU181</t>
  </si>
  <si>
    <t>Roulement a aiguilles NA4906-2RS emp inudus</t>
  </si>
  <si>
    <t>810ROU182</t>
  </si>
  <si>
    <t>Roulement a aiguilles HK1516</t>
  </si>
  <si>
    <t>810ROU183</t>
  </si>
  <si>
    <t>Roulement conique 32011-X-Q-SKF CH.Maximal</t>
  </si>
  <si>
    <t>810ROU184</t>
  </si>
  <si>
    <t>Roulement 6210-2RS1 EMP Industrielle</t>
  </si>
  <si>
    <t>810ROU188</t>
  </si>
  <si>
    <t>Roulement 3206-A Moteur Station RIA</t>
  </si>
  <si>
    <t>810ROU189</t>
  </si>
  <si>
    <t>Roulement 6309 RK-1 Fourche TCM30</t>
  </si>
  <si>
    <t>810ROU191</t>
  </si>
  <si>
    <t>Roulement 6307-2Z Boite MEL FOND</t>
  </si>
  <si>
    <t>810ROU193</t>
  </si>
  <si>
    <t>ROULEMENT A BILLES 7203 BEP der papier EMP</t>
  </si>
  <si>
    <t>810ROU195</t>
  </si>
  <si>
    <t>Roulement 6207-2Z</t>
  </si>
  <si>
    <t>810rou196</t>
  </si>
  <si>
    <t>810ROU200</t>
  </si>
  <si>
    <t>Roulement a billes 698-2z   Moule punshing</t>
  </si>
  <si>
    <t>810ROU206</t>
  </si>
  <si>
    <t>Roulement conique LM48548/510/Q  AXE ROUE HYSTER</t>
  </si>
  <si>
    <t>810ROU207</t>
  </si>
  <si>
    <t>Roulement conique HM89410/2/QCL  AXE ROUE HYSTER</t>
  </si>
  <si>
    <t>810ROU210</t>
  </si>
  <si>
    <t>Roulement 6905-2Z</t>
  </si>
  <si>
    <t>810ROU212</t>
  </si>
  <si>
    <t>ROULEMENT A ROULEAUX 30204 J2/Q</t>
  </si>
  <si>
    <t>810ROU214</t>
  </si>
  <si>
    <t>ROULEMENT A BILLES 6011-2RS</t>
  </si>
  <si>
    <t>810ROU216</t>
  </si>
  <si>
    <t>Roulement a rouleaux 30216 BOITE STRIP</t>
  </si>
  <si>
    <t>810ROU220</t>
  </si>
  <si>
    <t>Roulement a rouleaux 32209 J2/Q shangli</t>
  </si>
  <si>
    <t>810ROU221</t>
  </si>
  <si>
    <t>Roulement conique 39590/39520 Roue HYSTER7</t>
  </si>
  <si>
    <t>810ROU222</t>
  </si>
  <si>
    <t>Roulement conique M802048/011/QCL7C HYSTER</t>
  </si>
  <si>
    <t>810ROU224</t>
  </si>
  <si>
    <t>Roulement NJ 208-ECJ Melangeur fonderie</t>
  </si>
  <si>
    <t>810ROU225</t>
  </si>
  <si>
    <t>Roulement 6300-2RS Guidage moule LB/M PUNSH</t>
  </si>
  <si>
    <t>810ROU226</t>
  </si>
  <si>
    <t>Roulement 3210A-2Z TN9/MT33  Melangeur 3%</t>
  </si>
  <si>
    <t>810ROU230</t>
  </si>
  <si>
    <t>Roulement conique 32207  Roue CLARK</t>
  </si>
  <si>
    <t>810ROU231</t>
  </si>
  <si>
    <t>Roulement A billes 2208ETN9 decoup plaque</t>
  </si>
  <si>
    <t>810ROU232</t>
  </si>
  <si>
    <t>Roulement A billes 6408 Boite Four N°2</t>
  </si>
  <si>
    <t>810ROU233</t>
  </si>
  <si>
    <t>Roulement A rouleaux 32018X/Q Boite Empattage</t>
  </si>
  <si>
    <t>810ROU234</t>
  </si>
  <si>
    <t>Roulement JM720249/210 Boite Empattage</t>
  </si>
  <si>
    <t>810ROU235</t>
  </si>
  <si>
    <t>Roulement a aiguilles K30*35*27  Boite Empatta</t>
  </si>
  <si>
    <t>810rou246</t>
  </si>
  <si>
    <t>Roulement a rouleaux 22316 E/C3 filtre fonder</t>
  </si>
  <si>
    <t>810ROX002</t>
  </si>
  <si>
    <t>GALET DE CAMB  AVEC AXE KRB 35PPA</t>
  </si>
  <si>
    <t>810rox004</t>
  </si>
  <si>
    <t>Toc elastique N38-45 Pompe d'eau M.Grille</t>
  </si>
  <si>
    <t>810ROX005</t>
  </si>
  <si>
    <t>Toc elastique C65 Melangeur fonderie</t>
  </si>
  <si>
    <t>810ROX006</t>
  </si>
  <si>
    <t>GALET DE ROULEMENT NATR 5PPA</t>
  </si>
  <si>
    <t>810ROX007</t>
  </si>
  <si>
    <t>Toc Elastique N24 M.tubulaire</t>
  </si>
  <si>
    <t>810ROX008</t>
  </si>
  <si>
    <t>Glissiere HGW 30CC chinois</t>
  </si>
  <si>
    <t>810ROX012</t>
  </si>
  <si>
    <t>GALET DE ROULEMENT SUR AXE KR22PP Tremie emp</t>
  </si>
  <si>
    <t>810rox015</t>
  </si>
  <si>
    <t>Toc d'accouplement C42 Vis oxyde</t>
  </si>
  <si>
    <t>810ROXO35</t>
  </si>
  <si>
    <t>GALET KR 40 PPX</t>
  </si>
  <si>
    <t>810TAP001</t>
  </si>
  <si>
    <t>TAPIS 3400*320 5mm chinois</t>
  </si>
  <si>
    <t>810TAP002</t>
  </si>
  <si>
    <t>TAPIS 1390*355 5mm chinois</t>
  </si>
  <si>
    <t>810TAP003</t>
  </si>
  <si>
    <t>TAPIS 2720*320 5mm chinois</t>
  </si>
  <si>
    <t>810TAP005</t>
  </si>
  <si>
    <t>TAPIS PERFOREE 3640*90*5mm Sticker</t>
  </si>
  <si>
    <t>810TAP007</t>
  </si>
  <si>
    <t>Tapis 3000/495/5mm (3030) Dechet neg/pos strip ch</t>
  </si>
  <si>
    <t>810TAP009</t>
  </si>
  <si>
    <t>Tapis YRM403-100"x14" 2540/356  Empateuse Classiq</t>
  </si>
  <si>
    <t>810TAP016</t>
  </si>
  <si>
    <t>Tapis dechets 5370*320 JONC MEC AVEC TAS 400mm M.</t>
  </si>
  <si>
    <t>810TAP118</t>
  </si>
  <si>
    <t>TAPIS 3635X90 2.8mm PERFOREE  sticker chinois</t>
  </si>
  <si>
    <t>810tap120</t>
  </si>
  <si>
    <t>Tapis caoutchouc 8880*490</t>
  </si>
  <si>
    <t>810TAP127</t>
  </si>
  <si>
    <t>TAPIS HABASIT 75/4085 OXYDE</t>
  </si>
  <si>
    <t>810TAP128</t>
  </si>
  <si>
    <t>TAPIS DECOUPEUR 665/310</t>
  </si>
  <si>
    <t>810TAP129</t>
  </si>
  <si>
    <t>TAPIS 3560X80 PERFOREE (TYPE MAM)</t>
  </si>
  <si>
    <t>810TAP130</t>
  </si>
  <si>
    <t>TAPIS 2700X40 GUIDAGE STACKER</t>
  </si>
  <si>
    <t>810TAP140</t>
  </si>
  <si>
    <t>Tapis decoupeur  665/335</t>
  </si>
  <si>
    <t>810xpm027</t>
  </si>
  <si>
    <t>Graisse Rouge 5KG belleville haute tempera</t>
  </si>
  <si>
    <t>810xpm033</t>
  </si>
  <si>
    <t>810XPM052</t>
  </si>
  <si>
    <t>PRESSE ETOUPE PN30 Pompe emmergée bach a eau</t>
  </si>
  <si>
    <t>810XPM054</t>
  </si>
  <si>
    <t>Attache Rapide pour Chaine 16-B2</t>
  </si>
  <si>
    <t>810XPM055</t>
  </si>
  <si>
    <t>Maillon Coudée chaine 16B2</t>
  </si>
  <si>
    <t>810XPM057</t>
  </si>
  <si>
    <t>Maillon Coudée chaine 16B1</t>
  </si>
  <si>
    <t>810XPM058</t>
  </si>
  <si>
    <t>Attache Rapide 1/2 chaine 10B2</t>
  </si>
  <si>
    <t>810XPM059</t>
  </si>
  <si>
    <t>Joint etancheite TRESSE 10mm</t>
  </si>
  <si>
    <t>810XPM066</t>
  </si>
  <si>
    <t>Attache rapide 1/2 pour chaine 12B2</t>
  </si>
  <si>
    <t>810XPM073</t>
  </si>
  <si>
    <t>Attache rapide pour chaine 10B2</t>
  </si>
  <si>
    <t>810XPM081</t>
  </si>
  <si>
    <t>Segment HADI</t>
  </si>
  <si>
    <t>810XPM087</t>
  </si>
  <si>
    <t>Coffret joint torique Bleu</t>
  </si>
  <si>
    <t>810XPM089</t>
  </si>
  <si>
    <t>Coffret joint torique Rouge GM</t>
  </si>
  <si>
    <t>810XPM091</t>
  </si>
  <si>
    <t>Joint etancheite TRESSE caree 12mm</t>
  </si>
  <si>
    <t>810XPM092</t>
  </si>
  <si>
    <t>Joint etancheite TRESSE caree 14mm</t>
  </si>
  <si>
    <t>810XPM093</t>
  </si>
  <si>
    <t>Joint etancheite TRESSE caree 16mm</t>
  </si>
  <si>
    <t>810XPM155</t>
  </si>
  <si>
    <t>Graisse Bleu 1KG belleville haute temp</t>
  </si>
  <si>
    <t>810XPM209</t>
  </si>
  <si>
    <t>Attache rapide pour chaine 10B1</t>
  </si>
  <si>
    <t>810xpm210</t>
  </si>
  <si>
    <t>810XPM220</t>
  </si>
  <si>
    <t>Silicone</t>
  </si>
  <si>
    <t>810XPM223</t>
  </si>
  <si>
    <t>Dégrippant</t>
  </si>
  <si>
    <t>810XPM224</t>
  </si>
  <si>
    <t>GRAISSEUR droit M6</t>
  </si>
  <si>
    <t>810XPM239</t>
  </si>
  <si>
    <t>TRESSE BANDE 50 X 3FIBRE DE VERRE 2.7KG</t>
  </si>
  <si>
    <t>812bou005</t>
  </si>
  <si>
    <t>BOUCHON D20/27</t>
  </si>
  <si>
    <t>812BOU695</t>
  </si>
  <si>
    <t>Bouchon PVC40</t>
  </si>
  <si>
    <t>812COD004</t>
  </si>
  <si>
    <t>COUDE NOIR 90  26/34</t>
  </si>
  <si>
    <t>812cod006</t>
  </si>
  <si>
    <t>COUDE PPR D32 90</t>
  </si>
  <si>
    <t>812COD009</t>
  </si>
  <si>
    <t>COUDE PPR D25</t>
  </si>
  <si>
    <t>812COD013</t>
  </si>
  <si>
    <t>COUDE PPR 90° D63</t>
  </si>
  <si>
    <t>812COD015</t>
  </si>
  <si>
    <t>COUDE PPR 90° D40</t>
  </si>
  <si>
    <t>812COD016</t>
  </si>
  <si>
    <t>COUDE PPR 45° D40</t>
  </si>
  <si>
    <t>812COD017</t>
  </si>
  <si>
    <t>COUDE PPR 90° D20</t>
  </si>
  <si>
    <t>812COD019</t>
  </si>
  <si>
    <t>COUDE PPR 90° D75</t>
  </si>
  <si>
    <t>812COD020</t>
  </si>
  <si>
    <t>COUDE GALVA 3"</t>
  </si>
  <si>
    <t>812COD022</t>
  </si>
  <si>
    <t>Coude PPR 90° D50</t>
  </si>
  <si>
    <t>812COD026</t>
  </si>
  <si>
    <t>Coude PVC PR D110  90° (4")</t>
  </si>
  <si>
    <t>812COD027</t>
  </si>
  <si>
    <t>Coude a sertir  D16 Multicouche</t>
  </si>
  <si>
    <t>812COD043</t>
  </si>
  <si>
    <t>Coude HYD double S/M</t>
  </si>
  <si>
    <t>812cod052</t>
  </si>
  <si>
    <t>Coude INOX Femelle D13 (1/4") Moule M.Grille</t>
  </si>
  <si>
    <t>812COD062</t>
  </si>
  <si>
    <t>Coude Bargataire D40/2" Male</t>
  </si>
  <si>
    <t>812COD066</t>
  </si>
  <si>
    <t>COUDE PVC PR D125 90°</t>
  </si>
  <si>
    <t>812COD067</t>
  </si>
  <si>
    <t>COUDE PVC PR D125 45°</t>
  </si>
  <si>
    <t>812cod682</t>
  </si>
  <si>
    <t>812COD683</t>
  </si>
  <si>
    <t>COUDE GALVA 1"1/4</t>
  </si>
  <si>
    <t>812COD689</t>
  </si>
  <si>
    <t>Coude bargataire D32</t>
  </si>
  <si>
    <t>812cod699</t>
  </si>
  <si>
    <t>812COD700</t>
  </si>
  <si>
    <t>COUDE GALVA 20*27</t>
  </si>
  <si>
    <t>812COD702</t>
  </si>
  <si>
    <t>812COD705</t>
  </si>
  <si>
    <t>Coude Noir D2" 1/2</t>
  </si>
  <si>
    <t>812COD810</t>
  </si>
  <si>
    <t>Coude PVC D140 45°</t>
  </si>
  <si>
    <t>812COL007</t>
  </si>
  <si>
    <t>COLLIER DE SERRAGE 15</t>
  </si>
  <si>
    <t>812COL010</t>
  </si>
  <si>
    <t>COLLIER D63 GALVA</t>
  </si>
  <si>
    <t>812col019</t>
  </si>
  <si>
    <t>COLLIER D28  28-48</t>
  </si>
  <si>
    <t>812COL025</t>
  </si>
  <si>
    <t>CIRCLIPS D52 EXT</t>
  </si>
  <si>
    <t>812COL039</t>
  </si>
  <si>
    <t>Circlips exterieur 12</t>
  </si>
  <si>
    <t>812COL041</t>
  </si>
  <si>
    <t>Collier multicouche D16</t>
  </si>
  <si>
    <t>812COL050</t>
  </si>
  <si>
    <t>COLLIER A VIS GALVA 32-40</t>
  </si>
  <si>
    <t>812col059</t>
  </si>
  <si>
    <t>COLLIER D28-48 INOX</t>
  </si>
  <si>
    <t>812COL065</t>
  </si>
  <si>
    <t>COLLIER DE PRISE 90/63</t>
  </si>
  <si>
    <t>812COL073</t>
  </si>
  <si>
    <t>COLLIER de serrage D178 manche filt linklater</t>
  </si>
  <si>
    <t>812COL080</t>
  </si>
  <si>
    <t>COLLIER CLAMP D25-38 INOX    STRIP</t>
  </si>
  <si>
    <t>812COL081</t>
  </si>
  <si>
    <t>COLLIER ATLAS D25</t>
  </si>
  <si>
    <t>812DIS008</t>
  </si>
  <si>
    <t>DISTRIBUTEUR 4V 230 E08B 24VDC</t>
  </si>
  <si>
    <t>812DIS011</t>
  </si>
  <si>
    <t>DISTRIBUTEUR CAMOZZI 951-000-P11-23</t>
  </si>
  <si>
    <t>812DIS012</t>
  </si>
  <si>
    <t>DISTRIBUTEUR CAMOZZI 951-000-P16-23</t>
  </si>
  <si>
    <t>812DIS013</t>
  </si>
  <si>
    <t>DISTRIBUTEUR CAMOZZI 623-15E 45Q 5BAR</t>
  </si>
  <si>
    <t>812DIS014</t>
  </si>
  <si>
    <t>DISTRIBUTEUR CAMOZZI M004-R00 16BAR</t>
  </si>
  <si>
    <t>812DIS015</t>
  </si>
  <si>
    <t>DISTRIBUTEUR MN1H-5/2-D-1-C</t>
  </si>
  <si>
    <t>812DIS016</t>
  </si>
  <si>
    <t>DISTRIBUTEUR CAMOZZI 952-000-P15</t>
  </si>
  <si>
    <t>812DIS019</t>
  </si>
  <si>
    <t>DISTRIBUTEUR 4V210-08 0,15M*08</t>
  </si>
  <si>
    <t>812DIS021</t>
  </si>
  <si>
    <t>DISTRIBUTEUR VUVS L25-M52-MD-G14  Oxyde</t>
  </si>
  <si>
    <t>812dis024</t>
  </si>
  <si>
    <t>Clapet anti ret de distr YUKEN Mpa-01-2-40</t>
  </si>
  <si>
    <t>812EMB805</t>
  </si>
  <si>
    <t>Embou PVC PR 25*32*3/4 MALE</t>
  </si>
  <si>
    <t>812FIL002</t>
  </si>
  <si>
    <t>GROUPE FRL+manometre Metalwork</t>
  </si>
  <si>
    <t>812FLE004</t>
  </si>
  <si>
    <t>Flexible 15M  15F</t>
  </si>
  <si>
    <t>812FLE031</t>
  </si>
  <si>
    <t>Flexible Air chaud Chinois</t>
  </si>
  <si>
    <t>812FLE033</t>
  </si>
  <si>
    <t>Flexible 7W15A EN 853 2SN CHARIOT 7T</t>
  </si>
  <si>
    <t>812FLE035</t>
  </si>
  <si>
    <t>Tuyau d'air comprimé DN16 M.G.Wertz</t>
  </si>
  <si>
    <t>812FLE036</t>
  </si>
  <si>
    <t>Tuyau d'air comprimé DN06  M.G.Wertz</t>
  </si>
  <si>
    <t>812FLE037</t>
  </si>
  <si>
    <t>Flexible LG 2820 DN10 THP HYSTER 7T</t>
  </si>
  <si>
    <t>812FLE038</t>
  </si>
  <si>
    <t>Flexible R2 DN10 Catterpillar</t>
  </si>
  <si>
    <t>812FLE039</t>
  </si>
  <si>
    <t>Flexible d'huile 3/8" 330bar    punshing</t>
  </si>
  <si>
    <t>812FLE040</t>
  </si>
  <si>
    <t>Flexible Cristal transparent D19</t>
  </si>
  <si>
    <t>812FLE041</t>
  </si>
  <si>
    <t>Flexible F15/F15 300mm (1/2") M.G.Wertz</t>
  </si>
  <si>
    <t>812FLE046</t>
  </si>
  <si>
    <t>Flexible Raccordement Femelle D15</t>
  </si>
  <si>
    <t>812FLE050</t>
  </si>
  <si>
    <t>Flexible 1/4" WP400bar 5800PSI 2Q/17 HYSTER 5T</t>
  </si>
  <si>
    <t>812FLE052</t>
  </si>
  <si>
    <t>Tuyau d'air comprimé DN13</t>
  </si>
  <si>
    <t>812FLE053</t>
  </si>
  <si>
    <t>Flexible DN06 L800mm Hyster 5.5T</t>
  </si>
  <si>
    <t>812FLE054</t>
  </si>
  <si>
    <t>Flexible DN06 L430mm Hyster 5.5T</t>
  </si>
  <si>
    <t>812FLE055</t>
  </si>
  <si>
    <t>Flexible DN10 L800mm Hyster 5.5T</t>
  </si>
  <si>
    <t>812FLE056</t>
  </si>
  <si>
    <t>Flexible DN10 L1500mm Hyster 5.5T</t>
  </si>
  <si>
    <t>812FLE061</t>
  </si>
  <si>
    <t>Flexible F12/F12 L200mm D/C Moule M.grille</t>
  </si>
  <si>
    <t>812FLE062</t>
  </si>
  <si>
    <t>Flexible F12/F12 L300mm Moule M.grille</t>
  </si>
  <si>
    <t>812FLE064</t>
  </si>
  <si>
    <t>Flexible Gaz D3/4" inox L1000+mamelon Brul EMP C</t>
  </si>
  <si>
    <t>812FLE071</t>
  </si>
  <si>
    <t>FLEXIBLE INOX DN13 LG 4MT+Raccords INOX</t>
  </si>
  <si>
    <t>812FLE072</t>
  </si>
  <si>
    <t>Flexible DN10 LG530 THP+Raccords</t>
  </si>
  <si>
    <t>812FLE073</t>
  </si>
  <si>
    <t>Flexible DN10 LG500 THP+Raccords</t>
  </si>
  <si>
    <t>812FLE075</t>
  </si>
  <si>
    <t>Flexible DN10 LG2200 THP D/C</t>
  </si>
  <si>
    <t>812FLE076</t>
  </si>
  <si>
    <t>Flexible DN06 LG360 THP</t>
  </si>
  <si>
    <t>812FLE079</t>
  </si>
  <si>
    <t>Flexible DN13 LG4700 THP   +02 RACCORDS</t>
  </si>
  <si>
    <t>812FLE080</t>
  </si>
  <si>
    <t>Flexible LG500 INOX M.G.Wirtz</t>
  </si>
  <si>
    <t>812FLE081</t>
  </si>
  <si>
    <t>Flexible LG800 INOX M.G.Wirtz</t>
  </si>
  <si>
    <t>812FLE083</t>
  </si>
  <si>
    <t>Flexible INOX DN19 LG460 M.G.Wirtz</t>
  </si>
  <si>
    <t>812FLE084</t>
  </si>
  <si>
    <t>Flexible INOX DN38 LG1500+RACC Strip Chinoi</t>
  </si>
  <si>
    <t>812FLE086</t>
  </si>
  <si>
    <t>Flexible HYD LG2600 HYSTER 5.5T</t>
  </si>
  <si>
    <t>812FLE087</t>
  </si>
  <si>
    <t>Flexible 4SH LG650 HYD Hyster 5.5T</t>
  </si>
  <si>
    <t>812FLE088</t>
  </si>
  <si>
    <t>Flexible HYD LG1250 THP Hyster 5.5T</t>
  </si>
  <si>
    <t>812FLE091</t>
  </si>
  <si>
    <t>Flexible HYD 4830 THP Strip chinois</t>
  </si>
  <si>
    <t>812FLE092</t>
  </si>
  <si>
    <t>Flexible R15 HYD LG1100 THP    Tractopelle</t>
  </si>
  <si>
    <t>812FLE094</t>
  </si>
  <si>
    <t>Flexible LG31 THP+Raccords Strip Chino</t>
  </si>
  <si>
    <t>812FLE098</t>
  </si>
  <si>
    <t>Flexible Hydrolique teflon LG2500 THP</t>
  </si>
  <si>
    <t>812FLE099</t>
  </si>
  <si>
    <t>Flexible Hydrolique LG1500 tresse rame inox</t>
  </si>
  <si>
    <t>812FLE100</t>
  </si>
  <si>
    <t>Adaptateur hydraulique FP 10*100</t>
  </si>
  <si>
    <t>812MEM008</t>
  </si>
  <si>
    <t>MAMLON 3" GALVA</t>
  </si>
  <si>
    <t>812MEM024</t>
  </si>
  <si>
    <t>MAMELON NOIR 20/27 (3/4")</t>
  </si>
  <si>
    <t>812MEM723</t>
  </si>
  <si>
    <t>MAMLON GALVA20/27</t>
  </si>
  <si>
    <t>812MON007</t>
  </si>
  <si>
    <t>MONCHON PPR D32</t>
  </si>
  <si>
    <t>812MON009</t>
  </si>
  <si>
    <t>MONCHON PPR D20</t>
  </si>
  <si>
    <t>812MON010</t>
  </si>
  <si>
    <t>MONCHON PPR D25</t>
  </si>
  <si>
    <t>812MON015</t>
  </si>
  <si>
    <t>812MON016</t>
  </si>
  <si>
    <t>Monchon PPR 1" 1/2</t>
  </si>
  <si>
    <t>812MON018</t>
  </si>
  <si>
    <t>Monchon Bargataire D32</t>
  </si>
  <si>
    <t>812MON027</t>
  </si>
  <si>
    <t>MONCHON  PPR D63</t>
  </si>
  <si>
    <t>812MON028</t>
  </si>
  <si>
    <t>Monchon PPR D40</t>
  </si>
  <si>
    <t>812MON724</t>
  </si>
  <si>
    <t>Monchon Galva 1"1/4</t>
  </si>
  <si>
    <t>812rac004</t>
  </si>
  <si>
    <t>812rac020</t>
  </si>
  <si>
    <t>812rac021</t>
  </si>
  <si>
    <t>812RAC040</t>
  </si>
  <si>
    <t>RACCORD COUDEE AVEC LIMITEUR 08*3/8</t>
  </si>
  <si>
    <t>RACCORD DROIT D08 G1/4"</t>
  </si>
  <si>
    <t>812RAC045</t>
  </si>
  <si>
    <t>RACCORD 3 P GALVA 1+1/2"</t>
  </si>
  <si>
    <t>812RAC046</t>
  </si>
  <si>
    <t>RACCORD 3 P PVC d25</t>
  </si>
  <si>
    <t>812RAC049</t>
  </si>
  <si>
    <t>RACCORD PPR D32  MALE</t>
  </si>
  <si>
    <t>812RAC050</t>
  </si>
  <si>
    <t>raccord 3 péicé Galva26/34</t>
  </si>
  <si>
    <t>812RAC051</t>
  </si>
  <si>
    <t>RACCORD PPR D25 MALE</t>
  </si>
  <si>
    <t>812rac054</t>
  </si>
  <si>
    <t>RACCORD  3 P D32 PPR</t>
  </si>
  <si>
    <t>812rac057</t>
  </si>
  <si>
    <t>812RAC065</t>
  </si>
  <si>
    <t>raccord bargataire D50 Male</t>
  </si>
  <si>
    <t>812RAC066</t>
  </si>
  <si>
    <t>RACCORD COUDE 8*1/8</t>
  </si>
  <si>
    <t>812RAC067</t>
  </si>
  <si>
    <t>RACCORD PPR MALE D63</t>
  </si>
  <si>
    <t>812RAC068</t>
  </si>
  <si>
    <t>RACCORD PPR FEMELLE D63</t>
  </si>
  <si>
    <t>812rac069</t>
  </si>
  <si>
    <t>RACCORD  PPR FEMELLE D20</t>
  </si>
  <si>
    <t>812RAC070</t>
  </si>
  <si>
    <t>RACCORD  MALE PPR 110</t>
  </si>
  <si>
    <t>812RAC074</t>
  </si>
  <si>
    <t>RACCORD  3 P D50 PPR</t>
  </si>
  <si>
    <t>812RAC075</t>
  </si>
  <si>
    <t>RACCORD 3P NOIR 20/27 (3/4")</t>
  </si>
  <si>
    <t>812RAC077</t>
  </si>
  <si>
    <t>Raccord PPR Male D40 26-34</t>
  </si>
  <si>
    <t>812RAC079</t>
  </si>
  <si>
    <t>Raccord 3P D40 PPR</t>
  </si>
  <si>
    <t>812RAC080</t>
  </si>
  <si>
    <t>Raccord 3P PVC PR D32</t>
  </si>
  <si>
    <t>812rac087</t>
  </si>
  <si>
    <t>812rac088</t>
  </si>
  <si>
    <t>812RAC092</t>
  </si>
  <si>
    <t>Raccord 3P Noir 1" 1/2</t>
  </si>
  <si>
    <t>Raccord Inegale 06/08</t>
  </si>
  <si>
    <t>812RAC099</t>
  </si>
  <si>
    <t>Raccord 3P Galva 1"1/4</t>
  </si>
  <si>
    <t>812RAC106</t>
  </si>
  <si>
    <t>Raccord PPR Femelle D50</t>
  </si>
  <si>
    <t>812RAC109</t>
  </si>
  <si>
    <t>RACCORD  3 P D25 PPR</t>
  </si>
  <si>
    <t>812RAC113</t>
  </si>
  <si>
    <t>RACCORD PPR FEMELLE D40</t>
  </si>
  <si>
    <t>812RAC114</t>
  </si>
  <si>
    <t>Raccord rapide 4*3/8</t>
  </si>
  <si>
    <t>812rac118</t>
  </si>
  <si>
    <t>RACCORD RAPIDE DROIT 8*1/2</t>
  </si>
  <si>
    <t>812RAC130</t>
  </si>
  <si>
    <t>Coude Collecteur 26/26MF</t>
  </si>
  <si>
    <t>Raccord rapide droit 10*3/8</t>
  </si>
  <si>
    <t>812rac187</t>
  </si>
  <si>
    <t>Buse d'accouplement Male 1/4"</t>
  </si>
  <si>
    <t>812rac188</t>
  </si>
  <si>
    <t>Raccord filté 7/8"  S19</t>
  </si>
  <si>
    <t>812rac189</t>
  </si>
  <si>
    <t>Raccord Coudee MALE 7/8 LENTE MALE 1/4</t>
  </si>
  <si>
    <t>812rac190</t>
  </si>
  <si>
    <t>Raccord MALE 7/8 MALE 1/4</t>
  </si>
  <si>
    <t>812rac191</t>
  </si>
  <si>
    <t>Raccord filté 7/8"  S16</t>
  </si>
  <si>
    <t>812RAC192</t>
  </si>
  <si>
    <t>Raccord 3P Noir D26/34 (1")</t>
  </si>
  <si>
    <t>812RAC210</t>
  </si>
  <si>
    <t>Joint HYD DN 1/4</t>
  </si>
  <si>
    <t>812RAC211</t>
  </si>
  <si>
    <t>Adaptateur M/M 1/4*JIC 9/16</t>
  </si>
  <si>
    <t>812RAC217</t>
  </si>
  <si>
    <t>Raccord A olive 06*1/8   Graissage</t>
  </si>
  <si>
    <t>812RAC220</t>
  </si>
  <si>
    <t>Raccord 4 sorties D8-G1/4</t>
  </si>
  <si>
    <t>812RAC240</t>
  </si>
  <si>
    <t>Raccord 3P Noir 1" 1/4</t>
  </si>
  <si>
    <t>812RAC588</t>
  </si>
  <si>
    <t>Raccord rapide avec limiteur 8*1/4</t>
  </si>
  <si>
    <t>812RED003</t>
  </si>
  <si>
    <t>reduction GALVA 1"1/4--&gt;3/4"</t>
  </si>
  <si>
    <t>812RED024</t>
  </si>
  <si>
    <t>Reduction Galva 2"--&gt;1/2"</t>
  </si>
  <si>
    <t>812RED041</t>
  </si>
  <si>
    <t>Reduction PPR D63/50</t>
  </si>
  <si>
    <t>812RED042</t>
  </si>
  <si>
    <t>Reduction MALE 3/8 Femelle 1/4 Pour Moule</t>
  </si>
  <si>
    <t>812RED051</t>
  </si>
  <si>
    <t>Reduction INOX F13/M17 (3/8*1/4) Moule M.Grille</t>
  </si>
  <si>
    <t>812RED056</t>
  </si>
  <si>
    <t>Reduction PPR D50/32</t>
  </si>
  <si>
    <t>812RED059</t>
  </si>
  <si>
    <t>Reduction PPR D25/20</t>
  </si>
  <si>
    <t>812RED061</t>
  </si>
  <si>
    <t>Reduction Laiton MF 3/4"M  1/2"F</t>
  </si>
  <si>
    <t>812RED721</t>
  </si>
  <si>
    <t>Reduction Galva 1/2M---&gt;3/4F</t>
  </si>
  <si>
    <t>812ROS002</t>
  </si>
  <si>
    <t>ROSACE Applique PPR D20</t>
  </si>
  <si>
    <t>812TTE014</t>
  </si>
  <si>
    <t>TE GALVA 1+1/2"</t>
  </si>
  <si>
    <t>812TTE016</t>
  </si>
  <si>
    <t>TE 26*34 GALVA</t>
  </si>
  <si>
    <t>812TTE017</t>
  </si>
  <si>
    <t>TE PPR D20</t>
  </si>
  <si>
    <t>812TTE018</t>
  </si>
  <si>
    <t>TE PPR D25</t>
  </si>
  <si>
    <t>812TTE019</t>
  </si>
  <si>
    <t>TE PPR D32</t>
  </si>
  <si>
    <t>812TTE033</t>
  </si>
  <si>
    <t>TE Galva 1"1/4</t>
  </si>
  <si>
    <t>812TTE038</t>
  </si>
  <si>
    <t>TE PPR D63</t>
  </si>
  <si>
    <t>812TTE045</t>
  </si>
  <si>
    <t>TE PPR D40</t>
  </si>
  <si>
    <t>812TTE055</t>
  </si>
  <si>
    <t>TE Bargataire D32 Filté Femelle D15/21</t>
  </si>
  <si>
    <t>812tte616</t>
  </si>
  <si>
    <t>812TTE663</t>
  </si>
  <si>
    <t>T PVC P63</t>
  </si>
  <si>
    <t>T PVC P25</t>
  </si>
  <si>
    <t>812TUB008</t>
  </si>
  <si>
    <t>TUBE GALVA D20*27</t>
  </si>
  <si>
    <t>812TUB009</t>
  </si>
  <si>
    <t>TUBE NOIR ETIRE 26/34   EP4.5mm</t>
  </si>
  <si>
    <t>812TUB015</t>
  </si>
  <si>
    <t>TUBE PPR D20</t>
  </si>
  <si>
    <t>812TUB017</t>
  </si>
  <si>
    <t>TUBE ACIER NOIR A souder 20/27  EP3.5mm</t>
  </si>
  <si>
    <t>812TUB019</t>
  </si>
  <si>
    <t>Tube multicouche D16</t>
  </si>
  <si>
    <t>812TUB025</t>
  </si>
  <si>
    <t>Tube NOIR 1" 1/2</t>
  </si>
  <si>
    <t>812tub643</t>
  </si>
  <si>
    <t>Tube PVC P 32</t>
  </si>
  <si>
    <t>812TUB648</t>
  </si>
  <si>
    <t>Tube NOIR20/27 ep 4mm</t>
  </si>
  <si>
    <t>812VAN004</t>
  </si>
  <si>
    <t>VANNE MULTICOUCHE D20</t>
  </si>
  <si>
    <t>812VAN023</t>
  </si>
  <si>
    <t>VANNE PPR D75</t>
  </si>
  <si>
    <t>812VAN027</t>
  </si>
  <si>
    <t>Vanne PPR D50</t>
  </si>
  <si>
    <t>812VAN032</t>
  </si>
  <si>
    <t>Vanne PPR D63</t>
  </si>
  <si>
    <t>812van733</t>
  </si>
  <si>
    <t>812VAN734</t>
  </si>
  <si>
    <t>vanne Galva20/27</t>
  </si>
  <si>
    <t>812VAN736</t>
  </si>
  <si>
    <t>Vanne PVC25</t>
  </si>
  <si>
    <t>812VAN737</t>
  </si>
  <si>
    <t>Vanne PVC32</t>
  </si>
  <si>
    <t>812ver030</t>
  </si>
  <si>
    <t>Coupelle EN NBR EDE 71.9-83-7.52</t>
  </si>
  <si>
    <t>812VER032</t>
  </si>
  <si>
    <t>VERIN SI80*300 CHINOIS</t>
  </si>
  <si>
    <t>812VER033</t>
  </si>
  <si>
    <t>VERIN SI40*500 CHINOIS</t>
  </si>
  <si>
    <t>812VER036</t>
  </si>
  <si>
    <t>VERIN SI100*100 CHINOIS</t>
  </si>
  <si>
    <t>812VER038</t>
  </si>
  <si>
    <t>VERIN SI80*250 CHINOIS</t>
  </si>
  <si>
    <t>812VER039</t>
  </si>
  <si>
    <t>VERIN SI80*200 CHINOIS</t>
  </si>
  <si>
    <t>812VER040</t>
  </si>
  <si>
    <t>VERIN HOB 80*80 CHINOIS</t>
  </si>
  <si>
    <t>812VER041</t>
  </si>
  <si>
    <t>Verin SI125*150 Chinois</t>
  </si>
  <si>
    <t>812VER042</t>
  </si>
  <si>
    <t>Verin SI80*650 Chinois</t>
  </si>
  <si>
    <t>812VER043</t>
  </si>
  <si>
    <t>Verin SI80*800 Chinois</t>
  </si>
  <si>
    <t>812VER044</t>
  </si>
  <si>
    <t>Verin HOB 40*700 Chinois</t>
  </si>
  <si>
    <t>812VER055</t>
  </si>
  <si>
    <t>shape verin femelle 125-C  CHINOIS</t>
  </si>
  <si>
    <t>812VER056</t>
  </si>
  <si>
    <t>shape verin femelle 80-CR  CHINOIS</t>
  </si>
  <si>
    <t>812VER057</t>
  </si>
  <si>
    <t>shape verin MALE SC80-CB CHINOIS</t>
  </si>
  <si>
    <t>812VER058</t>
  </si>
  <si>
    <t>shape verin MALE SI40 CHINOIS</t>
  </si>
  <si>
    <t>812VER059</t>
  </si>
  <si>
    <t>shape verin Femelle SI40 CHINOIS</t>
  </si>
  <si>
    <t>812VER060</t>
  </si>
  <si>
    <t>shape verin MALE SI125 CB CHINOIS</t>
  </si>
  <si>
    <t>812VER061</t>
  </si>
  <si>
    <t>Verin D100 C50 Airtag CHINOIS</t>
  </si>
  <si>
    <t>812VER062</t>
  </si>
  <si>
    <t>Verin D80 C50 Airtag CHINOIS</t>
  </si>
  <si>
    <t>812VER063</t>
  </si>
  <si>
    <t>Verin D63 C125 Airtag CHINOIS</t>
  </si>
  <si>
    <t>812VER064</t>
  </si>
  <si>
    <t>Verin D32 C50  Airtag CHINOIS</t>
  </si>
  <si>
    <t>812VER065</t>
  </si>
  <si>
    <t>Verin D32 C100  Airtag CHINOIS</t>
  </si>
  <si>
    <t>812VER066</t>
  </si>
  <si>
    <t>Verin D50 C175  Airtag CHINOIS</t>
  </si>
  <si>
    <t>812VER068</t>
  </si>
  <si>
    <t>Verin D80 C350  Airtag CHINOIS</t>
  </si>
  <si>
    <t>812VER073</t>
  </si>
  <si>
    <t>Verin D125 C50  Airtag CHINOIS</t>
  </si>
  <si>
    <t>812VER074</t>
  </si>
  <si>
    <t>Verin D160 C200  Airtag CHINOIS</t>
  </si>
  <si>
    <t>812VER075</t>
  </si>
  <si>
    <t>Verin de guidage liniaire TCM50*30 CHINOI</t>
  </si>
  <si>
    <t>812VER076</t>
  </si>
  <si>
    <t>Chape verin F-SI160CB AIRTAG CHINOIS</t>
  </si>
  <si>
    <t>812VER090</t>
  </si>
  <si>
    <t>Verin 1260.25.160.MA M.G.Wertz</t>
  </si>
  <si>
    <t>812VER116</t>
  </si>
  <si>
    <t>ROTULE VERIN D125 M27 ZIP-125</t>
  </si>
  <si>
    <t>812XMC121</t>
  </si>
  <si>
    <t>VIS TH (acier) M20X100  8.8</t>
  </si>
  <si>
    <t>812XOU104</t>
  </si>
  <si>
    <t>Fixation tube IRO D20</t>
  </si>
  <si>
    <t>812XPB006</t>
  </si>
  <si>
    <t>Crépine a filtre PVC 26/34 (1")</t>
  </si>
  <si>
    <t>812xpb019</t>
  </si>
  <si>
    <t>Siphon douche 40</t>
  </si>
  <si>
    <t>812xpb026</t>
  </si>
  <si>
    <t>Limiteur de debit d'air 1/4</t>
  </si>
  <si>
    <t>812XPB039</t>
  </si>
  <si>
    <t>Flotteur pour citerne d'acide</t>
  </si>
  <si>
    <t>812XPB041</t>
  </si>
  <si>
    <t>Flexible DOUCHE 150</t>
  </si>
  <si>
    <t>812XPB042</t>
  </si>
  <si>
    <t>Support DOUCHETTE CHROME</t>
  </si>
  <si>
    <t>812XPB043</t>
  </si>
  <si>
    <t>Siphon  40</t>
  </si>
  <si>
    <t>812XPB047</t>
  </si>
  <si>
    <t>Soupape de securité 1"1/2 CUIVRE</t>
  </si>
  <si>
    <t>812XPB055</t>
  </si>
  <si>
    <t>Joint Fibre 20/27</t>
  </si>
  <si>
    <t>812xpb081</t>
  </si>
  <si>
    <t>Bouchon Canniveau de garage</t>
  </si>
  <si>
    <t>812XPB750</t>
  </si>
  <si>
    <t>Teflon</t>
  </si>
  <si>
    <t>812XPE245</t>
  </si>
  <si>
    <t>Platine 500*400</t>
  </si>
  <si>
    <t>812XPE253</t>
  </si>
  <si>
    <t>Interrupteur apparent Etanche</t>
  </si>
  <si>
    <t>815BOB005</t>
  </si>
  <si>
    <t>Bobine MFSG 24/42</t>
  </si>
  <si>
    <t>815BOB243</t>
  </si>
  <si>
    <t>Bobine pour électrovanne 24V DC</t>
  </si>
  <si>
    <t>815BOB247</t>
  </si>
  <si>
    <t>Bobine distributeur 24VDC SD90822DJSN SHAKO</t>
  </si>
  <si>
    <t>815cab010</t>
  </si>
  <si>
    <t>SERRE CABLE GALVA M10</t>
  </si>
  <si>
    <t>815CAB018</t>
  </si>
  <si>
    <t>Fil Souple 2.5mm Rouge</t>
  </si>
  <si>
    <t>815CAB062</t>
  </si>
  <si>
    <t>Cable vert/jaune de terre 35mm</t>
  </si>
  <si>
    <t>815cab258</t>
  </si>
  <si>
    <t>815CAB262</t>
  </si>
  <si>
    <t>câble souple 3x1,5mm</t>
  </si>
  <si>
    <t>815CAB267</t>
  </si>
  <si>
    <t>câble souple 4x6mm</t>
  </si>
  <si>
    <t>815CAB268</t>
  </si>
  <si>
    <t>câble souple 4x4mm</t>
  </si>
  <si>
    <t>815CAP010</t>
  </si>
  <si>
    <t>Capteur SF8-R2B</t>
  </si>
  <si>
    <t>815CAP015</t>
  </si>
  <si>
    <t>Capteur OMRON E2B-M18LN10-WZ-B1 2m</t>
  </si>
  <si>
    <t>815CAP016</t>
  </si>
  <si>
    <t>Capteur OMRON E2B-M12KN08-WZ-B1 2m</t>
  </si>
  <si>
    <t>815CAP018</t>
  </si>
  <si>
    <t>Capteur de niveau 01DLF3KG/IO-LINK Performer</t>
  </si>
  <si>
    <t>815cap021</t>
  </si>
  <si>
    <t>Capteur fin de course CLS-103  M.tubulaire</t>
  </si>
  <si>
    <t>815CAP030</t>
  </si>
  <si>
    <t>Capteur photocell E3JK-DP11C</t>
  </si>
  <si>
    <t>815CAP031</t>
  </si>
  <si>
    <t>CAPTEUR DE NIVEAU WENGLER OY1P303P0102</t>
  </si>
  <si>
    <t>815CAP032</t>
  </si>
  <si>
    <t>Cable connecteur capteur de niveau wengler</t>
  </si>
  <si>
    <t>815CAP033</t>
  </si>
  <si>
    <t>Capteur XS118BJPAM12 STRIP</t>
  </si>
  <si>
    <t>815CAP034</t>
  </si>
  <si>
    <t>Cable connecteur Capteur XS118BJPAM12 STRIP</t>
  </si>
  <si>
    <t>815CAP043</t>
  </si>
  <si>
    <t>Capteur magnetique KT-40P  DE VERIN</t>
  </si>
  <si>
    <t>815CAP147</t>
  </si>
  <si>
    <t>Capteur fin de course (buté) CWLD2</t>
  </si>
  <si>
    <t>815CON009</t>
  </si>
  <si>
    <t>Contacteur 3P 185A 220V 3RT1056-6AP36  Comp</t>
  </si>
  <si>
    <t>815CON026</t>
  </si>
  <si>
    <t>Contacteur LC1D25 48V</t>
  </si>
  <si>
    <t>815CON027</t>
  </si>
  <si>
    <t>Contacteur 32A 3P 48VAC</t>
  </si>
  <si>
    <t>815CON043</t>
  </si>
  <si>
    <t>Contact Auxiliaire LADN22</t>
  </si>
  <si>
    <t>815CON047</t>
  </si>
  <si>
    <t>Contact Auxiliaire NO/NC</t>
  </si>
  <si>
    <t>815CON053</t>
  </si>
  <si>
    <t>Contacteur 40A 380V</t>
  </si>
  <si>
    <t>815CON278</t>
  </si>
  <si>
    <t>Contacteur 220v 40A</t>
  </si>
  <si>
    <t>815COS005</t>
  </si>
  <si>
    <t>Cosse a sertir SC70-10</t>
  </si>
  <si>
    <t>815COS010</t>
  </si>
  <si>
    <t>Cosse fil 2.5mm  M4</t>
  </si>
  <si>
    <t>815COS012</t>
  </si>
  <si>
    <t>Cosse fil 2.5mm  M6</t>
  </si>
  <si>
    <t>815cos017</t>
  </si>
  <si>
    <t>Cosse a sertir SC35-06</t>
  </si>
  <si>
    <t>815COS294</t>
  </si>
  <si>
    <t>Cosse a sertie ROND M08 Section cable 10mm</t>
  </si>
  <si>
    <t>815DIS003</t>
  </si>
  <si>
    <t>DISJONCTEUR 160A</t>
  </si>
  <si>
    <t>815DIS013</t>
  </si>
  <si>
    <t>Disjoncteur 40A 3P DELIXI</t>
  </si>
  <si>
    <t>815DIS015</t>
  </si>
  <si>
    <t>Disjoncteur 25A 2P</t>
  </si>
  <si>
    <t>815DIS038</t>
  </si>
  <si>
    <t>Disjoncteur 16A 4 port SIAME</t>
  </si>
  <si>
    <t>815DIS286</t>
  </si>
  <si>
    <t>Disjoncteur 32A 4 PORT</t>
  </si>
  <si>
    <t>815DIS294</t>
  </si>
  <si>
    <t>Disjoncteur 4x250A avec reglage</t>
  </si>
  <si>
    <t>815DIS297</t>
  </si>
  <si>
    <t>Disjoncteur 16A 3 port</t>
  </si>
  <si>
    <t>815ELE004</t>
  </si>
  <si>
    <t>ELECTROVANNE AC 110V PU220A-04</t>
  </si>
  <si>
    <t>815ELE013</t>
  </si>
  <si>
    <t>Transformateur 380/220/24VAC 100VA</t>
  </si>
  <si>
    <t>815ELE020</t>
  </si>
  <si>
    <t>Electrovanne 20/27 24VDC</t>
  </si>
  <si>
    <t>815ele034</t>
  </si>
  <si>
    <t>Sectionneur 125A 4P</t>
  </si>
  <si>
    <t>815ELE037</t>
  </si>
  <si>
    <t>Repartiteur 4*125A</t>
  </si>
  <si>
    <t>815ELE039</t>
  </si>
  <si>
    <t>Transformateur 300VA 220/380/415v SEC 0.19.24</t>
  </si>
  <si>
    <t>815ELE042</t>
  </si>
  <si>
    <t>Transformateur de courant 100A  Cham.muris</t>
  </si>
  <si>
    <t>815ELE043</t>
  </si>
  <si>
    <t>Transformateur 380V-110V 630VA  EMP CHI</t>
  </si>
  <si>
    <t>815ELE045</t>
  </si>
  <si>
    <t>Commutateur 3Ph 02positions   Grp ref Punshing</t>
  </si>
  <si>
    <t>815ele054</t>
  </si>
  <si>
    <t>Electro directionnel DSG-03-3C4-D24-N1-50</t>
  </si>
  <si>
    <t>815ele055</t>
  </si>
  <si>
    <t>Electro directionnel BSG-03-2B3B-D24-N1-51</t>
  </si>
  <si>
    <t>815ele056</t>
  </si>
  <si>
    <t>Electro HYDROLIQUE DSG-03-3C2-D24-N1-50 WGN</t>
  </si>
  <si>
    <t>815ELE080</t>
  </si>
  <si>
    <t>Transformateur allumage 8/30pm 8kv bruleur</t>
  </si>
  <si>
    <t>815ELE087</t>
  </si>
  <si>
    <t>Electrovanne Gaz BRAHMA EG25*L.3 GMO  Bruleur</t>
  </si>
  <si>
    <t>815ELE316</t>
  </si>
  <si>
    <t>Adaptateur HYD MM DN 1/4</t>
  </si>
  <si>
    <t>815ELE317</t>
  </si>
  <si>
    <t>Adaptateur hydrolique 9/16</t>
  </si>
  <si>
    <t>815ELE318</t>
  </si>
  <si>
    <t>Adaptateur hydrolique 1/2</t>
  </si>
  <si>
    <t>815ELE319</t>
  </si>
  <si>
    <t>Adaptateur male femelle 1/2</t>
  </si>
  <si>
    <t>815FUS001</t>
  </si>
  <si>
    <t>FUSIBLES 125A 500v 100ka</t>
  </si>
  <si>
    <t>815FUS002</t>
  </si>
  <si>
    <t>FUSIBLES 50A 100KA 690V</t>
  </si>
  <si>
    <t>815FUS011</t>
  </si>
  <si>
    <t>815FUS013</t>
  </si>
  <si>
    <t>815FUS015</t>
  </si>
  <si>
    <t>Fusible 25A 500V Forme conique</t>
  </si>
  <si>
    <t>815FUS016</t>
  </si>
  <si>
    <t>Fusible 10A 400V Forme bouteille</t>
  </si>
  <si>
    <t>815FUS017</t>
  </si>
  <si>
    <t>Fusible 63A 500V Forme bouteille</t>
  </si>
  <si>
    <t>815FUS019</t>
  </si>
  <si>
    <t>Fusible 25A 400V 10*38</t>
  </si>
  <si>
    <t>815FUS020</t>
  </si>
  <si>
    <t>Fusible 63A 500V 22*58</t>
  </si>
  <si>
    <t>815FUS021</t>
  </si>
  <si>
    <t>Fusible 32A 500V 15*51</t>
  </si>
  <si>
    <t>815FUS022</t>
  </si>
  <si>
    <t>Fusible 1A 500V 10*38</t>
  </si>
  <si>
    <t>815FUS023</t>
  </si>
  <si>
    <t>Porte Fusible  10*38</t>
  </si>
  <si>
    <t>815FUS035</t>
  </si>
  <si>
    <t>FUSIBLE 100A gG 500V 120KA   Condens TGBT</t>
  </si>
  <si>
    <t>815gai004</t>
  </si>
  <si>
    <t>815GAI320</t>
  </si>
  <si>
    <t>gaine anti chaleur 16mm</t>
  </si>
  <si>
    <t>815lam007</t>
  </si>
  <si>
    <t>tube NEON 120</t>
  </si>
  <si>
    <t>815POT002</t>
  </si>
  <si>
    <t>POTENTIOMETRE 5K 4W RV24YN 20S B502 Strip</t>
  </si>
  <si>
    <t>815PRE004</t>
  </si>
  <si>
    <t>PRESSOSTAT Filtre 20bar ecart fixe 1seuil-1 OF</t>
  </si>
  <si>
    <t>815PRO001</t>
  </si>
  <si>
    <t>PROJECTEUR 400W</t>
  </si>
  <si>
    <t>815pro009</t>
  </si>
  <si>
    <t>PROJECTEUR LED 400W</t>
  </si>
  <si>
    <t>815REL002</t>
  </si>
  <si>
    <t>RELAIS THERMIQUE 30-40A</t>
  </si>
  <si>
    <t>815rel005</t>
  </si>
  <si>
    <t>815REL018</t>
  </si>
  <si>
    <t>Relais G2R-2-SND 24VDC 8Broches</t>
  </si>
  <si>
    <t>815REL020</t>
  </si>
  <si>
    <t>Relais Statique SSR-25DD 25A</t>
  </si>
  <si>
    <t>815REL022</t>
  </si>
  <si>
    <t>RELAIS THERMIQUE 23-32A</t>
  </si>
  <si>
    <t>815REL025</t>
  </si>
  <si>
    <t>RELAIS TEMPORISE CIRCUL 220VAC H3CR 8 BROCHES</t>
  </si>
  <si>
    <t>815REL028</t>
  </si>
  <si>
    <t>Relais thermique 4A-6A</t>
  </si>
  <si>
    <t>815REL034</t>
  </si>
  <si>
    <t>RELAIS DE NIVEAU 220V</t>
  </si>
  <si>
    <t>815REL035</t>
  </si>
  <si>
    <t>RELAIS THERMIQUE 9-13A</t>
  </si>
  <si>
    <t>815REL038</t>
  </si>
  <si>
    <t>RELAIS 24VDC 11 broches WEIDMULLER</t>
  </si>
  <si>
    <t>815REL039</t>
  </si>
  <si>
    <t>Socle RELAIS 24VDC 11 broches WEIDMULLER</t>
  </si>
  <si>
    <t>815REL041</t>
  </si>
  <si>
    <t>Relais de tension TRI avec asymetrie 5% 25% 38</t>
  </si>
  <si>
    <t>815RES001</t>
  </si>
  <si>
    <t>Résistance a ailette (3000w) D16/1115mm/2000w (12</t>
  </si>
  <si>
    <t>815RES020</t>
  </si>
  <si>
    <t>Resistance D10/L280/230V/700W COS4</t>
  </si>
  <si>
    <t>815res025</t>
  </si>
  <si>
    <t>Resistance D16/L135/600W/230V</t>
  </si>
  <si>
    <t>815RES026</t>
  </si>
  <si>
    <t>Resistance  coudée D15.7 1300W/L286mm/Fil1500mm</t>
  </si>
  <si>
    <t>815RES035</t>
  </si>
  <si>
    <t>Resistance thermoplongeu D10/L960/12000W</t>
  </si>
  <si>
    <t>815RES042</t>
  </si>
  <si>
    <t>Resistance Coudée D20 220V/1600W/400mm  Baffle</t>
  </si>
  <si>
    <t>815RES043</t>
  </si>
  <si>
    <t>Resistance Cart D16/1000W/L316/230v</t>
  </si>
  <si>
    <t>815res044</t>
  </si>
  <si>
    <t>Resistance Cart D16/500W/L130/230v</t>
  </si>
  <si>
    <t>815res045</t>
  </si>
  <si>
    <t>Resistance Cart D12/L400/1200W</t>
  </si>
  <si>
    <t>815RES046</t>
  </si>
  <si>
    <t>Resist Tube COUD D08/L1450/4000W WIRTZ</t>
  </si>
  <si>
    <t>815RES047</t>
  </si>
  <si>
    <t>Resist Tube COUD D08/L650/1500W WIRTZ</t>
  </si>
  <si>
    <t>815RES158</t>
  </si>
  <si>
    <t>résistance Cartouche 320mm/d12/1500w/220V</t>
  </si>
  <si>
    <t>815RES159</t>
  </si>
  <si>
    <t>résistance cart D10/L350mm 1000W  M.G.HEMP NBI</t>
  </si>
  <si>
    <t>815RES178</t>
  </si>
  <si>
    <t>RESISTANCE STRIP D10 1820*230V 1700W</t>
  </si>
  <si>
    <t>815RES180</t>
  </si>
  <si>
    <t>RESISTANCE TUBE D10*2000 230V 1700W</t>
  </si>
  <si>
    <t>815RES200</t>
  </si>
  <si>
    <t>Resistance coudée D20 220V/500W/150mm  Baffle str</t>
  </si>
  <si>
    <t>815RES201</t>
  </si>
  <si>
    <t>Resistance coudée D20 220V/750W/210mm Baffle Stri</t>
  </si>
  <si>
    <t>815RES202</t>
  </si>
  <si>
    <t>Resistance Coudee D20 220V/1000W/300mm  Baffle St</t>
  </si>
  <si>
    <t>815RES205</t>
  </si>
  <si>
    <t>Resistance plomb d10*230V*3000W</t>
  </si>
  <si>
    <t>815RES211</t>
  </si>
  <si>
    <t>Resistance cartouche D12/2000W/220V/L400</t>
  </si>
  <si>
    <t>815RES214</t>
  </si>
  <si>
    <t>Resistance thermoplongeur D08/L450/6000W/220V D47</t>
  </si>
  <si>
    <t>815STA001</t>
  </si>
  <si>
    <t>815VAR007</t>
  </si>
  <si>
    <t>Variateur H1000 CIMR-HB4A0009FBC STRIP</t>
  </si>
  <si>
    <t>815VAR008</t>
  </si>
  <si>
    <t>Variateur H1000 CIMR-HB4A0015FBC STRIP</t>
  </si>
  <si>
    <t>815VAR009</t>
  </si>
  <si>
    <t>Variateur H1000 CIMR-HB4A0006FBC STRIP</t>
  </si>
  <si>
    <t>815VAR011</t>
  </si>
  <si>
    <t>Variateur J1000 CIMR-JB4A0005BBA STRIP</t>
  </si>
  <si>
    <t>815VAR012</t>
  </si>
  <si>
    <t>Variateur J1000 CIMR-JB4A0009BBA STRIP</t>
  </si>
  <si>
    <t>815XME007</t>
  </si>
  <si>
    <t>RECHARGE CLIPS MOHAIR</t>
  </si>
  <si>
    <t>815xou017</t>
  </si>
  <si>
    <t>815XOU019</t>
  </si>
  <si>
    <t>Cosse batterie +AM SOP</t>
  </si>
  <si>
    <t>815XOU020</t>
  </si>
  <si>
    <t>Cosse batterie -AM SOP</t>
  </si>
  <si>
    <t>815XPE006</t>
  </si>
  <si>
    <t>serre câble plastique 5*350</t>
  </si>
  <si>
    <t>815XPE057</t>
  </si>
  <si>
    <t>Boite en plastique apparente 200*150mm</t>
  </si>
  <si>
    <t>815XPE123</t>
  </si>
  <si>
    <t>Encodeur OMRON E6B2-CWZ6C 2m</t>
  </si>
  <si>
    <t>815XPE124</t>
  </si>
  <si>
    <t>Encodeur OMRON E6B2-CWZ5B 0,5m</t>
  </si>
  <si>
    <t>815XPE126</t>
  </si>
  <si>
    <t>Afficheur automate kTP1200 basic</t>
  </si>
  <si>
    <t>815XPE129</t>
  </si>
  <si>
    <t>815XPE132</t>
  </si>
  <si>
    <t>Console en L universelle LG500</t>
  </si>
  <si>
    <t>815XPE139</t>
  </si>
  <si>
    <t>815XPE143</t>
  </si>
  <si>
    <t>Bobine NG6 110 AC CETOP 03 emp classique</t>
  </si>
  <si>
    <t>815xpe147</t>
  </si>
  <si>
    <t>Ventilateur Moteur reducteur 137*29*35.8</t>
  </si>
  <si>
    <t>815XPE150</t>
  </si>
  <si>
    <t>GYROPHARE JAUNE LED 24V AC/DC  + BUZZER</t>
  </si>
  <si>
    <t>815XPE151</t>
  </si>
  <si>
    <t>Fiche femelle 3P+T 63A-6 380-415V</t>
  </si>
  <si>
    <t>815XPE152</t>
  </si>
  <si>
    <t>Fiche Male 3P+T 63A-6 380-415V</t>
  </si>
  <si>
    <t>815XPE168</t>
  </si>
  <si>
    <t>815XPE169</t>
  </si>
  <si>
    <t>Presse etoupe arrmoire PG-13.5 Ø6-12MM</t>
  </si>
  <si>
    <t>815xpe255</t>
  </si>
  <si>
    <t>SPOT LED 20/20 18W</t>
  </si>
  <si>
    <t>815XPE261</t>
  </si>
  <si>
    <t>Fin de course securite CZ-93CPM Armoire electriqu</t>
  </si>
  <si>
    <t>815xpe266</t>
  </si>
  <si>
    <t>Eclisse chemin de cable 60</t>
  </si>
  <si>
    <t>815XPE274</t>
  </si>
  <si>
    <t>Ventilateur GALVA DEXT150mm/axe6mm P.SOUD</t>
  </si>
  <si>
    <t>815XPE288</t>
  </si>
  <si>
    <t>Fiche MALE 3P+T+N 63A</t>
  </si>
  <si>
    <t>815XPE289</t>
  </si>
  <si>
    <t>Fiche Femelle 3P+T+N 63A</t>
  </si>
  <si>
    <t>815XPE293</t>
  </si>
  <si>
    <t>Cable electrique de CMDE 16*1.5 2fils acier PALAN</t>
  </si>
  <si>
    <t>815XPE298</t>
  </si>
  <si>
    <t>domino en céramique 3x4mm</t>
  </si>
  <si>
    <t>815XPE301</t>
  </si>
  <si>
    <t>domino en plastique 50A 16mm(barette)</t>
  </si>
  <si>
    <t>815XPE305</t>
  </si>
  <si>
    <t>Doigt de gant INOX D10/L1200mm</t>
  </si>
  <si>
    <t>815XPE307</t>
  </si>
  <si>
    <t>embouts fil 1,5mm Noir</t>
  </si>
  <si>
    <t>815XPE308</t>
  </si>
  <si>
    <t>embouts fil 2,5mm Gris</t>
  </si>
  <si>
    <t>815XPE309</t>
  </si>
  <si>
    <t>embouts fil 4mm Orangé</t>
  </si>
  <si>
    <t>815XPE317</t>
  </si>
  <si>
    <t>Levier Fin de course CZ-93K02  Armoir Elect</t>
  </si>
  <si>
    <t>815XPE324</t>
  </si>
  <si>
    <t>interrupteur apparent</t>
  </si>
  <si>
    <t>815XPE325</t>
  </si>
  <si>
    <t>prise apparent 2P+T 16A</t>
  </si>
  <si>
    <t>815xpe336</t>
  </si>
  <si>
    <t>815XPE358</t>
  </si>
  <si>
    <t>AMPERMETER 100A AC LDI C72   Chambre murissage</t>
  </si>
  <si>
    <t>815XPE361</t>
  </si>
  <si>
    <t>Fiche male 32A 2P+T 380v</t>
  </si>
  <si>
    <t>815XPE364</t>
  </si>
  <si>
    <t>AMPERMETER Numerique 100A TC 100A CHA MURISS</t>
  </si>
  <si>
    <t>815XPE373</t>
  </si>
  <si>
    <t>Support de fixation LG500mm Palan Fonderi</t>
  </si>
  <si>
    <t>815XPE377</t>
  </si>
  <si>
    <t>Tube Gorge D40 A FIL ROUGE KRAVEL (cable ELEC</t>
  </si>
  <si>
    <t>815XPE388</t>
  </si>
  <si>
    <t>Connecteur thermocouple typeJ 09MJ2LB Femelle</t>
  </si>
  <si>
    <t>815XPE389</t>
  </si>
  <si>
    <t>Connecteur thermocouple typeJ 07MJ1LB Male</t>
  </si>
  <si>
    <t>815XPE393</t>
  </si>
  <si>
    <t>Presse etoupe arrmoire PG-16</t>
  </si>
  <si>
    <t>815XPE394</t>
  </si>
  <si>
    <t>Presse etoupe arrmoire PG-21</t>
  </si>
  <si>
    <t>815XPE395</t>
  </si>
  <si>
    <t>Presse etoupe arrmoire PG-29</t>
  </si>
  <si>
    <t>815XPE396</t>
  </si>
  <si>
    <t>Presse etoupe arrmoire PG-36</t>
  </si>
  <si>
    <t>815XPE416</t>
  </si>
  <si>
    <t>Platine Armoire 700*500</t>
  </si>
  <si>
    <t>815XPE417</t>
  </si>
  <si>
    <t>Coffret aluminuim 215*252*91</t>
  </si>
  <si>
    <t>815XPE437</t>
  </si>
  <si>
    <t>Chemin de cable perforee 155/60</t>
  </si>
  <si>
    <t>815xpe440</t>
  </si>
  <si>
    <t>Embou fil 16mm</t>
  </si>
  <si>
    <t>815XPE441</t>
  </si>
  <si>
    <t>Connecteur thermocouple type K Male</t>
  </si>
  <si>
    <t>815XPE442</t>
  </si>
  <si>
    <t>Connecteur thermocouple type K Femelle</t>
  </si>
  <si>
    <t>815XPE454</t>
  </si>
  <si>
    <t>Armature LED 200W 6500K RADIANCE</t>
  </si>
  <si>
    <t>820BAG002</t>
  </si>
  <si>
    <t>BOBINE 1.2mm 15Kg ACIER</t>
  </si>
  <si>
    <t>820DIS003</t>
  </si>
  <si>
    <t>820GOU004</t>
  </si>
  <si>
    <t>GOUPILLE  D6*100 Elastique</t>
  </si>
  <si>
    <t>820gou005</t>
  </si>
  <si>
    <t>820GOU006</t>
  </si>
  <si>
    <t>GOUPILLE  D5*30 Elastique</t>
  </si>
  <si>
    <t>820GOU007</t>
  </si>
  <si>
    <t>GOUJON D10*50</t>
  </si>
  <si>
    <t>820POM018</t>
  </si>
  <si>
    <t>Kit de rechange Pompe PP DEBEM BOXER 522  CH.Acid</t>
  </si>
  <si>
    <t>820POM019</t>
  </si>
  <si>
    <t>Chambre de pompage (flasque) DEBEM BOXER 52</t>
  </si>
  <si>
    <t>820POM020</t>
  </si>
  <si>
    <t>Echangeur pneumatique DEBEM BOXER 522</t>
  </si>
  <si>
    <t>820POM038</t>
  </si>
  <si>
    <t>Echangeur pneumatique DEBEM BOXER 251</t>
  </si>
  <si>
    <t>820TUB010</t>
  </si>
  <si>
    <t>Axe acier XC48 D20</t>
  </si>
  <si>
    <t>820TUB011</t>
  </si>
  <si>
    <t>TUBE IRO D20</t>
  </si>
  <si>
    <t>820XMC003</t>
  </si>
  <si>
    <t>Châpeau chinois D250</t>
  </si>
  <si>
    <t>820XMC006</t>
  </si>
  <si>
    <t>VIS TH (acier) M12*80</t>
  </si>
  <si>
    <t>820XMC025</t>
  </si>
  <si>
    <t>RESSORT 4/10*3.5*C155 A7006324 Rouleau papier Emp</t>
  </si>
  <si>
    <t>820XMC046</t>
  </si>
  <si>
    <t>VIS TH M16*120</t>
  </si>
  <si>
    <t>820XMC068</t>
  </si>
  <si>
    <t>TOLE CLINQUANT 0.5mm</t>
  </si>
  <si>
    <t>820XMC087</t>
  </si>
  <si>
    <t>VIS TH (acier) M12X50</t>
  </si>
  <si>
    <t>820XMC092</t>
  </si>
  <si>
    <t>CHARBON Meule a disque BOSH GT</t>
  </si>
  <si>
    <t>820XMC102</t>
  </si>
  <si>
    <t>CHARBON BACH</t>
  </si>
  <si>
    <t>820XMC110</t>
  </si>
  <si>
    <t>VIS TH M14*40</t>
  </si>
  <si>
    <t>820XMC111</t>
  </si>
  <si>
    <t>VIS TH (acier) M14*50</t>
  </si>
  <si>
    <t>820XMC119</t>
  </si>
  <si>
    <t>Tuyau Heliflex D15</t>
  </si>
  <si>
    <t>820XMC128</t>
  </si>
  <si>
    <t>Vis TH(acier) M08*120</t>
  </si>
  <si>
    <t>820XMC136</t>
  </si>
  <si>
    <t>TUYAU PVC SPIRALE D60</t>
  </si>
  <si>
    <t>820XMC142</t>
  </si>
  <si>
    <t>Tuyau Spirale acier D40</t>
  </si>
  <si>
    <t>820XMC161</t>
  </si>
  <si>
    <t>Vis TH(acier) M06*80</t>
  </si>
  <si>
    <t>820XMC162</t>
  </si>
  <si>
    <t>Vis TH(acier) M06*100</t>
  </si>
  <si>
    <t>820XMC165</t>
  </si>
  <si>
    <t>Vis TH (acier) M04*50</t>
  </si>
  <si>
    <t>820XMC170</t>
  </si>
  <si>
    <t>VIS TH (acier) M08*50</t>
  </si>
  <si>
    <t>820XMC181</t>
  </si>
  <si>
    <t>Vis autoperceuse M06*38mm</t>
  </si>
  <si>
    <t>820xmc184</t>
  </si>
  <si>
    <t>Pointe TP N°7</t>
  </si>
  <si>
    <t>820XMC187</t>
  </si>
  <si>
    <t>Barreau clavette  16 ACIER</t>
  </si>
  <si>
    <t>820XMC188</t>
  </si>
  <si>
    <t>820XMC189</t>
  </si>
  <si>
    <t>820XMC207</t>
  </si>
  <si>
    <t>tige fileté CUIVRE M16</t>
  </si>
  <si>
    <t>820XMC218</t>
  </si>
  <si>
    <t>Bobine etain 50/50</t>
  </si>
  <si>
    <t>820XMC228</t>
  </si>
  <si>
    <t>Vis TH (acier) M10*80</t>
  </si>
  <si>
    <t>820XMC238</t>
  </si>
  <si>
    <t>Ressort acier L48.5*D12*EP3mm   moule grille</t>
  </si>
  <si>
    <t>820XMC239</t>
  </si>
  <si>
    <t>Ressort acier L108*D50.3*EP3mm</t>
  </si>
  <si>
    <t>820XMC242</t>
  </si>
  <si>
    <t>Vis six pans (acier) M14*140</t>
  </si>
  <si>
    <t>820xmc245</t>
  </si>
  <si>
    <t>Barreau clavette 14</t>
  </si>
  <si>
    <t>820XMC247</t>
  </si>
  <si>
    <t>VIS TH (acier) M16*90</t>
  </si>
  <si>
    <t>820XMC251</t>
  </si>
  <si>
    <t>Vis six pans (acier) M16*30</t>
  </si>
  <si>
    <t>820xmc252</t>
  </si>
  <si>
    <t>820xmc264</t>
  </si>
  <si>
    <t>Châpeau chinois D240/175</t>
  </si>
  <si>
    <t>820xmc265</t>
  </si>
  <si>
    <t>Châpeau chinois D350</t>
  </si>
  <si>
    <t>820xmc266</t>
  </si>
  <si>
    <t>Châpeau chinois D300</t>
  </si>
  <si>
    <t>820XMC268</t>
  </si>
  <si>
    <t>Châpeau chinois D150</t>
  </si>
  <si>
    <t>820XMC269</t>
  </si>
  <si>
    <t>Châpeau chinois D200</t>
  </si>
  <si>
    <t>820xmc276</t>
  </si>
  <si>
    <t>Vis d'arrêt (INOX) M08*10</t>
  </si>
  <si>
    <t>820XMC277</t>
  </si>
  <si>
    <t>820XMC278</t>
  </si>
  <si>
    <t>FER PLAT ACIER 120/100/10mm melang creuset fond</t>
  </si>
  <si>
    <t>820XMC290</t>
  </si>
  <si>
    <t>Arbre cannelé Acier D20 4mm L600mm Palan</t>
  </si>
  <si>
    <t>820XMC292</t>
  </si>
  <si>
    <t>Ressort TR 20/10*8*C510 Guide cable palan STAHL</t>
  </si>
  <si>
    <t>820xmc360</t>
  </si>
  <si>
    <t>820XMC361</t>
  </si>
  <si>
    <t>VIS TH (INOX) M12*30</t>
  </si>
  <si>
    <t>820XMC363</t>
  </si>
  <si>
    <t>VIS TH M05*40 (acier)</t>
  </si>
  <si>
    <t>820XMC375</t>
  </si>
  <si>
    <t>Vis TH(acier) M10*100</t>
  </si>
  <si>
    <t>820XMC376</t>
  </si>
  <si>
    <t>Vis TH (acier) M10*120</t>
  </si>
  <si>
    <t>820XMC380</t>
  </si>
  <si>
    <t>VIS TH (acier) M12*120</t>
  </si>
  <si>
    <t>820XMC384</t>
  </si>
  <si>
    <t>VIS TH (acier) M16*80</t>
  </si>
  <si>
    <t>820xmc414</t>
  </si>
  <si>
    <t>820XMC450</t>
  </si>
  <si>
    <t>vis six pans (Inox) M05*40</t>
  </si>
  <si>
    <t>820xmc454</t>
  </si>
  <si>
    <t>vis six pans (Inox) M08*20</t>
  </si>
  <si>
    <t>820xmc455</t>
  </si>
  <si>
    <t>820XMC459</t>
  </si>
  <si>
    <t>vis six pans (Inox) M10*30</t>
  </si>
  <si>
    <t>820XMC460</t>
  </si>
  <si>
    <t>vis six pans (Inox) M10*40</t>
  </si>
  <si>
    <t>820xmc498</t>
  </si>
  <si>
    <t>820XMC544</t>
  </si>
  <si>
    <t>tirefond M8*60</t>
  </si>
  <si>
    <t>820XMC604</t>
  </si>
  <si>
    <t>VIS Fixation Godets Elevateur a godets</t>
  </si>
  <si>
    <t>820XMC606</t>
  </si>
  <si>
    <t>820XMC615</t>
  </si>
  <si>
    <t>BAGUE PCM 161820 E SKM07P M.Limage</t>
  </si>
  <si>
    <t>820XMC616</t>
  </si>
  <si>
    <t>BAGUE PCM 142012 E SKM09N M.Limage</t>
  </si>
  <si>
    <t>820XMC622</t>
  </si>
  <si>
    <t>Vis TH(acier) M08*100</t>
  </si>
  <si>
    <t>820XMC625</t>
  </si>
  <si>
    <t>Vis TH (acier) M12*20</t>
  </si>
  <si>
    <t>820XMC630</t>
  </si>
  <si>
    <t>vis six pans (Inox) M05*10</t>
  </si>
  <si>
    <t>820XMC651</t>
  </si>
  <si>
    <t>Vis d'arrêt (INOX) M08*20</t>
  </si>
  <si>
    <t>820XMC654</t>
  </si>
  <si>
    <t>vis six pans (acier) M16*60  Moule Punshin</t>
  </si>
  <si>
    <t>820XMC656</t>
  </si>
  <si>
    <t>VIS TH (acier) M10*50 Filtage complet</t>
  </si>
  <si>
    <t>820XMC659</t>
  </si>
  <si>
    <t>vis six pans (acier) M16*120  Moule Punshi</t>
  </si>
  <si>
    <t>820XMC798</t>
  </si>
  <si>
    <t>VIS TH (acier) M22*100</t>
  </si>
  <si>
    <t>820XMC816</t>
  </si>
  <si>
    <t>Vis TH (INOX) M14*30</t>
  </si>
  <si>
    <t>820XMC818</t>
  </si>
  <si>
    <t>VIS TH (acier) M14*70</t>
  </si>
  <si>
    <t>820XMC846</t>
  </si>
  <si>
    <t>Ressort COMP 20/10*43*175  MOULE PUNS</t>
  </si>
  <si>
    <t>820XMC849</t>
  </si>
  <si>
    <t>VIS TH(acier) M08*70</t>
  </si>
  <si>
    <t>820XMC850</t>
  </si>
  <si>
    <t>820XMC858</t>
  </si>
  <si>
    <t>Circlips Interieur D80</t>
  </si>
  <si>
    <t>820XMC860</t>
  </si>
  <si>
    <t>Circlips Exterieur D80</t>
  </si>
  <si>
    <t>820XMC861</t>
  </si>
  <si>
    <t>Circlips Exterieur D90</t>
  </si>
  <si>
    <t>820XMC863</t>
  </si>
  <si>
    <t>ECROU A ENCOCHE KM16 Reducteur STRIP</t>
  </si>
  <si>
    <t>820XMC864</t>
  </si>
  <si>
    <t>Rondelle de serrage MB16 Reducteur STRIP</t>
  </si>
  <si>
    <t>820XMC865</t>
  </si>
  <si>
    <t>Ejecteur 35*35*6.3*4.6*1.5mm Moule grille industr</t>
  </si>
  <si>
    <t>820XMC873</t>
  </si>
  <si>
    <t>FER PLAT acier (6M) EP5mm*larg30mm</t>
  </si>
  <si>
    <t>820XMC874</t>
  </si>
  <si>
    <t>vis six pans (INOX) M08*25</t>
  </si>
  <si>
    <t>820XMC875</t>
  </si>
  <si>
    <t>Ressort COMP 25/10*10*57*90 Moule Pun</t>
  </si>
  <si>
    <t>820XMC904</t>
  </si>
  <si>
    <t>VIS TH (INOX) M12*50</t>
  </si>
  <si>
    <t>820XMC970</t>
  </si>
  <si>
    <t>Tige filté M22</t>
  </si>
  <si>
    <t>830bar001</t>
  </si>
  <si>
    <t>830BAR002</t>
  </si>
  <si>
    <t>830bar004</t>
  </si>
  <si>
    <t>830cle029</t>
  </si>
  <si>
    <t>Cle a griffe 24"</t>
  </si>
  <si>
    <t>830CLE053</t>
  </si>
  <si>
    <t>clé à griffe 14P</t>
  </si>
  <si>
    <t>830MCH012</t>
  </si>
  <si>
    <t>Foret 24*450</t>
  </si>
  <si>
    <t>830MCH038</t>
  </si>
  <si>
    <t>Mèche acier 16 DORMER</t>
  </si>
  <si>
    <t>830XOU039</t>
  </si>
  <si>
    <t>PRESSOSTAT POMPE RIA 2-8 bar B12CN FANTINI COSMI</t>
  </si>
  <si>
    <t>830XOU044</t>
  </si>
  <si>
    <t>ROUE PIVOTANTE POLYAMIDE Fixe D exter 100mm</t>
  </si>
  <si>
    <t>830XOU069</t>
  </si>
  <si>
    <t>DETENDEUR GAZ REGLABLE</t>
  </si>
  <si>
    <t>830XOU074</t>
  </si>
  <si>
    <t>Gaine poste soudure poste semi</t>
  </si>
  <si>
    <t>830XOU075</t>
  </si>
  <si>
    <t>Tube contact 1.2 poste soudure  poste semi</t>
  </si>
  <si>
    <t>830XOU076</t>
  </si>
  <si>
    <t>Porte tube contact poste soudure poste semi</t>
  </si>
  <si>
    <t>830XOU100</t>
  </si>
  <si>
    <t>MAILLET</t>
  </si>
  <si>
    <t>830xou113</t>
  </si>
  <si>
    <t>Pistolet Karcher</t>
  </si>
  <si>
    <t>830XOU128</t>
  </si>
  <si>
    <t>Tete de coupe 15/10</t>
  </si>
  <si>
    <t>830xou130</t>
  </si>
  <si>
    <t>Silent bloc 50*30 Boulon M10</t>
  </si>
  <si>
    <t>830XOU135</t>
  </si>
  <si>
    <t>outillage de soudure PPR</t>
  </si>
  <si>
    <t>830xou144</t>
  </si>
  <si>
    <t>Soufleur BOSCH 650W</t>
  </si>
  <si>
    <t>830xou148</t>
  </si>
  <si>
    <t>Cerceaux acier 35*10*8mm melangeur creuset fonder</t>
  </si>
  <si>
    <t>830XOU166</t>
  </si>
  <si>
    <t>Comparateur 0.01mm--0.10mm</t>
  </si>
  <si>
    <t>830XOU173</t>
  </si>
  <si>
    <t>Jeu de calle 0.5-1mm</t>
  </si>
  <si>
    <t>830XOU193</t>
  </si>
  <si>
    <t>Cable Acier 10mm</t>
  </si>
  <si>
    <t>830XOU196</t>
  </si>
  <si>
    <t>Tapis caoutchouc EP4 1M/1M</t>
  </si>
  <si>
    <t>830XOU241</t>
  </si>
  <si>
    <t>Manometre Detendeur Propane</t>
  </si>
  <si>
    <t>830XOU247</t>
  </si>
  <si>
    <t>Lance MT3  900 1/4F   Karcher</t>
  </si>
  <si>
    <t>830XOU248</t>
  </si>
  <si>
    <t>Buse 1/4 15045 Karcher</t>
  </si>
  <si>
    <t>830XOU253</t>
  </si>
  <si>
    <t>PRESSOSTAT POUR POMPE EAU   Chaudiere</t>
  </si>
  <si>
    <t>830XOU256</t>
  </si>
  <si>
    <t>Bec de chalumeau decoupeur</t>
  </si>
  <si>
    <t>830XOU270</t>
  </si>
  <si>
    <t>Silent bloc 50*50 Boulon M12 (1tige)</t>
  </si>
  <si>
    <t>830xou286</t>
  </si>
  <si>
    <t>Serre cable Galva D8mm</t>
  </si>
  <si>
    <t>830XOU287</t>
  </si>
  <si>
    <t>Roulette pour cable acier  8mm</t>
  </si>
  <si>
    <t>830XOU288</t>
  </si>
  <si>
    <t>Roulette pour piste acier 6mm</t>
  </si>
  <si>
    <t>830XOU301</t>
  </si>
  <si>
    <t>Ruban adhesif toile americaine gris 50*25M</t>
  </si>
  <si>
    <t>830XOU310</t>
  </si>
  <si>
    <t>Cerceaux acier 30*10*8mm melangeur 3%</t>
  </si>
  <si>
    <t>830XOU313</t>
  </si>
  <si>
    <t>Cerceaux acier 27*10*8mm Strip</t>
  </si>
  <si>
    <t>830XOU346</t>
  </si>
  <si>
    <t>coffret circlips Exterieur 5-45mm 1900pcs</t>
  </si>
  <si>
    <t>830XOU348</t>
  </si>
  <si>
    <t>Tapis Caoutchouc EP10mm 1M/3M</t>
  </si>
  <si>
    <t>830XOU900</t>
  </si>
  <si>
    <t>Tete de coupe 12/10 propane</t>
  </si>
  <si>
    <t>830XOU907</t>
  </si>
  <si>
    <t>cutter</t>
  </si>
  <si>
    <t>840LUB005</t>
  </si>
  <si>
    <t>LUBRIFIANT DE COUPE Lactucal LT 3000 Total</t>
  </si>
  <si>
    <t>840PEI005</t>
  </si>
  <si>
    <t>PEINTURE LAQUEE ROUGE 4KG</t>
  </si>
  <si>
    <t>840pna028</t>
  </si>
  <si>
    <t>PINCE MASSE DE SOUDURE</t>
  </si>
  <si>
    <t>840PNA031</t>
  </si>
  <si>
    <t>Pince porte soudure electrode</t>
  </si>
  <si>
    <t>840PNA042</t>
  </si>
  <si>
    <t>SILICONE BLANC</t>
  </si>
  <si>
    <t>840PNT002</t>
  </si>
  <si>
    <t>PEINTURE Blanc 25KG</t>
  </si>
  <si>
    <t>840PNT003</t>
  </si>
  <si>
    <t>TEINTE NOIR</t>
  </si>
  <si>
    <t>840PNT007</t>
  </si>
  <si>
    <t>Pistolet peinture</t>
  </si>
  <si>
    <t>840XOU004</t>
  </si>
  <si>
    <t>Boite de controle bruleu RMG88.62C2</t>
  </si>
  <si>
    <t>840XOU008</t>
  </si>
  <si>
    <t>Boite de controle bruleu LGA52.150A27 220V  COS</t>
  </si>
  <si>
    <t>840XOU011</t>
  </si>
  <si>
    <t>Boite de controle bruleur LME21.230C2E</t>
  </si>
  <si>
    <t>840XOU012</t>
  </si>
  <si>
    <t>Servomoteur LKS 210-21 (B1-15 S2) Bruleur Strip</t>
  </si>
  <si>
    <t>860XES001</t>
  </si>
  <si>
    <t>MASQUE SOUDURE</t>
  </si>
  <si>
    <t>860xes021</t>
  </si>
  <si>
    <t>PAIRE DE GANT EN CUIR T154 RENFORCEE</t>
  </si>
  <si>
    <t>860XES022</t>
  </si>
  <si>
    <t>GANT EN CUIR 45CM POUR SOUDURE</t>
  </si>
  <si>
    <t>860XES032</t>
  </si>
  <si>
    <t>Flexible Extensible D32</t>
  </si>
  <si>
    <t>860XES038</t>
  </si>
  <si>
    <t>Decappant Khoutaf</t>
  </si>
  <si>
    <t>860XES050</t>
  </si>
  <si>
    <t>BOTTES PVC "44</t>
  </si>
  <si>
    <t>880pma032</t>
  </si>
  <si>
    <t>Parahuile Corteco en viton  65-92-10/15 Tractopel</t>
  </si>
  <si>
    <t xml:space="preserve">rebut usine </t>
  </si>
  <si>
    <t>Operating revenue</t>
  </si>
  <si>
    <t>Local revenue</t>
  </si>
  <si>
    <t>Export revenue</t>
  </si>
  <si>
    <t>Total operating revenue</t>
  </si>
  <si>
    <t xml:space="preserve">Operating costs </t>
  </si>
  <si>
    <t>Change in inventory FG and SFG</t>
  </si>
  <si>
    <t>Consumed material</t>
  </si>
  <si>
    <t xml:space="preserve">Labour costs </t>
  </si>
  <si>
    <t>Amortisation</t>
  </si>
  <si>
    <t xml:space="preserve">Other opertaing expenses </t>
  </si>
  <si>
    <t>Total operating expenses</t>
  </si>
  <si>
    <t>Operating result</t>
  </si>
  <si>
    <t>EBIDTA</t>
  </si>
  <si>
    <t>Net Finance costs</t>
  </si>
  <si>
    <t>Other ordinary profit</t>
  </si>
  <si>
    <t>Other ordinary costs</t>
  </si>
  <si>
    <t>Corporate taxes</t>
  </si>
  <si>
    <t>EB</t>
  </si>
  <si>
    <t>Extraordinary benefits</t>
  </si>
  <si>
    <t>Net result</t>
  </si>
  <si>
    <t>SNA - TND</t>
  </si>
  <si>
    <t>TND</t>
  </si>
  <si>
    <t>Volume (batteries only)</t>
  </si>
  <si>
    <t>Volume Local Sales</t>
  </si>
  <si>
    <t>Volume Export Sales</t>
  </si>
  <si>
    <t>% EBITDA</t>
  </si>
  <si>
    <t>SNA - EUR</t>
  </si>
  <si>
    <t>EUR</t>
  </si>
  <si>
    <t>Affectation</t>
  </si>
  <si>
    <t>Row Labels</t>
  </si>
  <si>
    <t>Grand Total</t>
  </si>
  <si>
    <t>Sum of Valeur total</t>
  </si>
  <si>
    <t>AMORT.MAT.INFORMATIQUE</t>
  </si>
  <si>
    <t>DOTAT.AMORT.IMMOB.CORP.</t>
  </si>
  <si>
    <t>ACHAT COUVRE BORNE</t>
  </si>
  <si>
    <t>ACHAT RAMPES</t>
  </si>
  <si>
    <t>ACHAT ANTIMOINE</t>
  </si>
  <si>
    <t>ACHAT PIERRE DE CHAUD</t>
  </si>
  <si>
    <t>ACHAT NOIR DE FUMEE</t>
  </si>
  <si>
    <t>ACHAT FLUX</t>
  </si>
  <si>
    <t>COTISATION &amp; DONS</t>
  </si>
  <si>
    <t>PENALITES ET AMANDES</t>
  </si>
  <si>
    <t>IMMOB.INCOR.EN COUR</t>
  </si>
  <si>
    <t>ACHAT EXPENDER HE 631</t>
  </si>
  <si>
    <t>ACHAT FEUILLARD EMBALL.</t>
  </si>
  <si>
    <t>HONOR.AVOCATS+HUISSIERS</t>
  </si>
  <si>
    <t>FRAIS MISSION A L'ETRANG</t>
  </si>
  <si>
    <t>HABILLEMENT ET AUTRES</t>
  </si>
  <si>
    <t>Inventaire Février 2024</t>
  </si>
  <si>
    <t>Pu</t>
  </si>
  <si>
    <t>Total</t>
  </si>
  <si>
    <t>330PBP</t>
  </si>
  <si>
    <t>plaque pb positfif</t>
  </si>
  <si>
    <t>330MRTP</t>
  </si>
  <si>
    <t>330MRTN</t>
  </si>
  <si>
    <t>330PMN</t>
  </si>
  <si>
    <t>330PMNL</t>
  </si>
  <si>
    <t>330PMPLSP</t>
  </si>
  <si>
    <t>600P0002</t>
  </si>
  <si>
    <t>PLOMB DOUX IMPORTE</t>
  </si>
  <si>
    <t>400NS4005</t>
  </si>
  <si>
    <t>Box J3 black without bord</t>
  </si>
  <si>
    <t>420L0342</t>
  </si>
  <si>
    <t>Lid  LB3 W R black without eye</t>
  </si>
  <si>
    <t>420L0331</t>
  </si>
  <si>
    <t>330PBN</t>
  </si>
  <si>
    <t>330PMPSP</t>
  </si>
  <si>
    <t>320PBN</t>
  </si>
  <si>
    <t>grille LB -</t>
  </si>
  <si>
    <t>PLOMB CALC  +</t>
  </si>
  <si>
    <t>PLOMB CALC  -</t>
  </si>
  <si>
    <t>360PBP</t>
  </si>
  <si>
    <t xml:space="preserve">PLAQUE PB POSITIF </t>
  </si>
  <si>
    <t xml:space="preserve">PLAQUE PB NEGATIF </t>
  </si>
  <si>
    <t>00OXYDE</t>
  </si>
  <si>
    <t>OXYDE</t>
  </si>
  <si>
    <t>rebut crasse 3%</t>
  </si>
  <si>
    <t>rebut plaque</t>
  </si>
  <si>
    <t>rebut element</t>
  </si>
  <si>
    <t>plastic bac couvercle</t>
  </si>
  <si>
    <t>PLOMB 1,8% Concentré</t>
  </si>
  <si>
    <t xml:space="preserve">PLOMB CALCIUM  NEGATIF </t>
  </si>
  <si>
    <t>DECHET PLASTIQUE bac -couvercle</t>
  </si>
  <si>
    <t>PLASTIQUE CASSE BATTERIE</t>
  </si>
  <si>
    <t>dechet chaine de lingotage</t>
  </si>
  <si>
    <t>crass OXYDE</t>
  </si>
  <si>
    <t>Crasse strip</t>
  </si>
  <si>
    <t xml:space="preserve">plaque industriel </t>
  </si>
  <si>
    <t>poudre de plomb</t>
  </si>
  <si>
    <t>610D0014</t>
  </si>
  <si>
    <t>SEP PAPIER G  laize 111 gamme</t>
  </si>
  <si>
    <t>CFE-PFV</t>
  </si>
  <si>
    <t>MRT45J4X102R1J44</t>
  </si>
  <si>
    <t>UFML34CDL002L2</t>
  </si>
  <si>
    <t>M16 smf</t>
  </si>
  <si>
    <t>UF10D31</t>
  </si>
  <si>
    <t>D31 G 5/5 HH</t>
  </si>
  <si>
    <t>D31 D 5/5 HH</t>
  </si>
  <si>
    <t>CH01</t>
  </si>
  <si>
    <t>BATTERIE FINIE D31</t>
  </si>
  <si>
    <t>BATTERIE FINIE TR15S</t>
  </si>
  <si>
    <t>ML23CF003L1X13</t>
  </si>
  <si>
    <t>BATTERIE FINIE TR16</t>
  </si>
  <si>
    <t>M166J0X172L1</t>
  </si>
  <si>
    <t>M166J0X172R1</t>
  </si>
  <si>
    <t>351PT204</t>
  </si>
  <si>
    <t>PL 204 TIBULAIRE</t>
  </si>
  <si>
    <t>351PI315</t>
  </si>
  <si>
    <t>PL 315 INTERNE</t>
  </si>
  <si>
    <t>322GT429</t>
  </si>
  <si>
    <t>GRILLE TIBULAIRE 429</t>
  </si>
  <si>
    <t>322GI429</t>
  </si>
  <si>
    <t>grille INTERNE 429</t>
  </si>
  <si>
    <t>320OGT</t>
  </si>
  <si>
    <t>GRILLE TIBULAIRE</t>
  </si>
  <si>
    <t>labo</t>
  </si>
  <si>
    <t>M78J0X002L1S13</t>
  </si>
  <si>
    <t>BATTERIE NS40D PREMIUM</t>
  </si>
  <si>
    <t>LB55L2K072R1S13</t>
  </si>
  <si>
    <t>BATTERIE FINIE PL2</t>
  </si>
  <si>
    <t>M56J7X002R1S13</t>
  </si>
  <si>
    <t>BATTERIE FINIE D26</t>
  </si>
  <si>
    <t>BATT. L3 SMART [S.E]</t>
  </si>
  <si>
    <t>LB67L3K5172R1S13</t>
  </si>
  <si>
    <t>BATT L3 PREMIUM</t>
  </si>
  <si>
    <t>M77M11F042L1S122</t>
  </si>
  <si>
    <t>BATTERIE FINIE M11D</t>
  </si>
  <si>
    <t>BAT FINIE M11 PREMIUM</t>
  </si>
  <si>
    <t>BATTERIE FINIE M15 POWER</t>
  </si>
  <si>
    <t>BATT FINIE M10 STA</t>
  </si>
  <si>
    <t>BATTERIE FINIE PR110</t>
  </si>
  <si>
    <t>BATT. L5 SMART [S.E]</t>
  </si>
  <si>
    <t>LB00L6K5172R1Z22</t>
  </si>
  <si>
    <t>BATTERIE FINIE L6 SMART</t>
  </si>
  <si>
    <t>BATT FINIE M12</t>
  </si>
  <si>
    <t>camion</t>
  </si>
  <si>
    <t>UFML90BF002L2</t>
  </si>
  <si>
    <t>M15 9/10</t>
  </si>
  <si>
    <t>L2 5/6 SMF</t>
  </si>
  <si>
    <t>UFM78J0X002R2</t>
  </si>
  <si>
    <t>D31 G 7/8</t>
  </si>
  <si>
    <t>UFLB67B3K5172R2</t>
  </si>
  <si>
    <t>L3B 6/7</t>
  </si>
  <si>
    <t>NS60 D</t>
  </si>
  <si>
    <t>L5 8/8</t>
  </si>
  <si>
    <t>L2 5/5 KMINA</t>
  </si>
  <si>
    <t>M16 12/13</t>
  </si>
  <si>
    <t>M10 5/5</t>
  </si>
  <si>
    <t>UFM56J7X002L2</t>
  </si>
  <si>
    <t>D26 5/6 G</t>
  </si>
  <si>
    <t>M12 7/7</t>
  </si>
  <si>
    <t>UFLB66L2K5172R2</t>
  </si>
  <si>
    <t>UFLB99L5K5172R2</t>
  </si>
  <si>
    <t>UFML34CF03L2</t>
  </si>
  <si>
    <t xml:space="preserve">MAR 200 </t>
  </si>
  <si>
    <t>UFMRT34J3X102R2</t>
  </si>
  <si>
    <t>NS40</t>
  </si>
  <si>
    <t>L1 4/4</t>
  </si>
  <si>
    <t>L3 6/6 KMINA</t>
  </si>
  <si>
    <t>UFLB67L3W072R2</t>
  </si>
  <si>
    <t>L3 6/7 SMF</t>
  </si>
  <si>
    <t>D26 D 5/6</t>
  </si>
  <si>
    <t>UFM55J6X072R2</t>
  </si>
  <si>
    <t>D23 4/5 G</t>
  </si>
  <si>
    <t>NS40 G</t>
  </si>
  <si>
    <t>M11 7/7</t>
  </si>
  <si>
    <t>L1B 4/4</t>
  </si>
  <si>
    <t>L1 4/4 KMINA</t>
  </si>
  <si>
    <t>UFLB44L1W072R2</t>
  </si>
  <si>
    <t>L1 4/4 MF</t>
  </si>
  <si>
    <t xml:space="preserve">L5 8/8 </t>
  </si>
  <si>
    <t>S3B 7/7</t>
  </si>
  <si>
    <t>L6 10/10</t>
  </si>
  <si>
    <t>UFLB44L1W172R2</t>
  </si>
  <si>
    <t>UFM56J7X002R2</t>
  </si>
  <si>
    <t>D26 G</t>
  </si>
  <si>
    <t>400L0218</t>
  </si>
  <si>
    <t>BAC L2 NOIR P0 C34,3 38881099B77</t>
  </si>
  <si>
    <t>400m1510</t>
  </si>
  <si>
    <t>460D1847</t>
  </si>
  <si>
    <t>Magic eye 19.16 / 62.5mm</t>
  </si>
  <si>
    <t>500E0266</t>
  </si>
  <si>
    <t>ETIQ BAC PRL1 SMF 160/90</t>
  </si>
  <si>
    <t>510J1401</t>
  </si>
  <si>
    <t>ETIQ COUV NOUR JUMBO M14 40/210</t>
  </si>
  <si>
    <t>510J1507</t>
  </si>
  <si>
    <t>ETIQ COUV JUMBO  M15 40/210  170AH/1050A</t>
  </si>
  <si>
    <t>510J1604</t>
  </si>
  <si>
    <t>ETIQ COUV  JUMBO M16 180AH 210/40 NOUVEAU DES</t>
  </si>
  <si>
    <t>520X0004</t>
  </si>
  <si>
    <t>ETIQ CORROSIVE 300X300</t>
  </si>
  <si>
    <t>580C0040</t>
  </si>
  <si>
    <t>CARTON BOX L1 MF54459 215X180X200 BINSHIHOUN</t>
  </si>
  <si>
    <t>580C0043</t>
  </si>
  <si>
    <t>CARON BOX L3 MF56638 286X180X200 BINSHIHOUN</t>
  </si>
  <si>
    <t>580C0044</t>
  </si>
  <si>
    <t>CARTON BOX L3 MF57220 286X180X200 BINSHIHOUN</t>
  </si>
  <si>
    <t>580C0052</t>
  </si>
  <si>
    <t>CARTON BOX J7 MF80D26L 260X180X235 BINSHIHOUN</t>
  </si>
  <si>
    <t>580C0062</t>
  </si>
  <si>
    <t>HOUSSE EN POLYESTER POUR  D31/J0 310 X 180 X 27mm</t>
  </si>
  <si>
    <t>m</t>
  </si>
  <si>
    <t>Roulement 6012</t>
  </si>
  <si>
    <t>kg</t>
  </si>
  <si>
    <t>Roulement 6304</t>
  </si>
  <si>
    <t>VERIN 1383.40.400 Rejet batterie S.Connexi</t>
  </si>
  <si>
    <t>Étiquettes de lignes</t>
  </si>
  <si>
    <t>Somme de Total</t>
  </si>
  <si>
    <t>Total général</t>
  </si>
  <si>
    <t>Achat Polypropylène</t>
  </si>
  <si>
    <t>ACHAT SOUFFRE</t>
  </si>
  <si>
    <t>ACHAT SOUDE CAUSTIQUE</t>
  </si>
  <si>
    <t>ENTRETIEN MAT. INCENDIE</t>
  </si>
  <si>
    <t>ACHAT FIBRE DE VERRE</t>
  </si>
  <si>
    <t>VOYAGES ET MISSIONS</t>
  </si>
  <si>
    <t>CHA.NET./CESS.IMMOB.</t>
  </si>
  <si>
    <t>AUTRE PERT.EXEPTION</t>
  </si>
  <si>
    <t>REMB.ASSUR.SINISTRE</t>
  </si>
  <si>
    <t>PRODUITS FINANCIERS</t>
  </si>
  <si>
    <t>Reprise/Prov.risque&amp;char</t>
  </si>
  <si>
    <t>DOT.PROV.DEP.ACT.COU</t>
  </si>
  <si>
    <t>Depreciation charges&amp;provisions</t>
  </si>
  <si>
    <t>AFFECTATION COMPTA</t>
  </si>
  <si>
    <t>310PBN</t>
  </si>
  <si>
    <t>bande LB -</t>
  </si>
  <si>
    <t>322AKBET</t>
  </si>
  <si>
    <t>322AKBPT</t>
  </si>
  <si>
    <t>H2O</t>
  </si>
  <si>
    <t>GRILLE EXTERNE 534</t>
  </si>
  <si>
    <t>322GE399</t>
  </si>
  <si>
    <t>grille  EXTERNE 399</t>
  </si>
  <si>
    <t>322P399</t>
  </si>
  <si>
    <t>grille TIBULAIRE 399</t>
  </si>
  <si>
    <t>322P274</t>
  </si>
  <si>
    <t>320GT204</t>
  </si>
  <si>
    <t>GRILLE TIBULAIRE 204</t>
  </si>
  <si>
    <t>Camion</t>
  </si>
  <si>
    <t>330pmp</t>
  </si>
  <si>
    <t>330pmn</t>
  </si>
  <si>
    <t>400N5002</t>
  </si>
  <si>
    <t>UFM78J0X182L2</t>
  </si>
  <si>
    <t>UFLB67B3K072R2</t>
  </si>
  <si>
    <t>UFML34CF003L2</t>
  </si>
  <si>
    <t>LB45L2K073R1S122</t>
  </si>
  <si>
    <t>M145J7X172L1</t>
  </si>
  <si>
    <t>M145J7X172R1</t>
  </si>
  <si>
    <t>BATT. L1 SMART [S.E]</t>
  </si>
  <si>
    <t>BATT. L2 SMART [S.E]</t>
  </si>
  <si>
    <t>BATT L1B  PREMIUM</t>
  </si>
  <si>
    <t>BATT L1 PREMIUM</t>
  </si>
  <si>
    <t>Unformed starter battery 40Ah 12V R - MRT44J3X102R2</t>
  </si>
  <si>
    <t>Unformed starter battery 40Ah 12V L - MRT44J3X102L2</t>
  </si>
  <si>
    <t>BATTERIE FINIE D23</t>
  </si>
  <si>
    <t>BAT NF D26G  NR/NR</t>
  </si>
  <si>
    <t>UFM78J0X182R2</t>
  </si>
  <si>
    <t>BAT NF D31 D NR/NR</t>
  </si>
  <si>
    <t>BATTERIE FINIE PL1</t>
  </si>
  <si>
    <t>BATTERIE FINIE PL3</t>
  </si>
  <si>
    <t>BATTERIE  FINIE PL5</t>
  </si>
  <si>
    <t>BATT FINIE M11STA</t>
  </si>
  <si>
    <t>BATTERIE FINIE PREMIUM M</t>
  </si>
  <si>
    <t>BATTERIE FINIE TR14</t>
  </si>
  <si>
    <t>BATTERIE FINIE TR15</t>
  </si>
  <si>
    <t>UFMSP12BF009L2</t>
  </si>
  <si>
    <t>BATTERIE FINIE M16 MF</t>
  </si>
  <si>
    <t>UFLB78L3K072R2</t>
  </si>
  <si>
    <t>BATTERIE FINIE PL3K78</t>
  </si>
  <si>
    <t>UFLB90L5K5172R2</t>
  </si>
  <si>
    <t>BATTERIE FINIEM15 MF</t>
  </si>
  <si>
    <t>Unformed starter battery 60Ah 12V R - UFG266J0X0_1Nour_R</t>
  </si>
  <si>
    <t>21PM10D</t>
  </si>
  <si>
    <t>M 10 4/5</t>
  </si>
  <si>
    <t>UFM66M11F042L2</t>
  </si>
  <si>
    <t>Batterie M11</t>
  </si>
  <si>
    <t>UFLB34L1K073R2</t>
  </si>
  <si>
    <t>L1 3/4</t>
  </si>
  <si>
    <t>BATT L2 POWER LYBIE GRIS/GRIS</t>
  </si>
  <si>
    <t>UFLB45L2K072R2</t>
  </si>
  <si>
    <t>L2 4/5</t>
  </si>
  <si>
    <t>BATT L5 POWER LYBIE</t>
  </si>
  <si>
    <t>UFMSP88AF003L2</t>
  </si>
  <si>
    <t>BATTERIE FINIE M14 POWER</t>
  </si>
  <si>
    <t>UFLB33L1K073R2</t>
  </si>
  <si>
    <t>BATT L1 WINMAXX</t>
  </si>
  <si>
    <t>UFLB55L3K073R2</t>
  </si>
  <si>
    <t>l3 5/5</t>
  </si>
  <si>
    <t xml:space="preserve">BATT L2B SMART </t>
  </si>
  <si>
    <t>BATT L3B  PREMIUM</t>
  </si>
  <si>
    <t>BATTERIE  FINIE PL5 SMF</t>
  </si>
  <si>
    <t>UFLB45B1K072R2</t>
  </si>
  <si>
    <t>BATTERIE FINIE PL1BK45 NOUR</t>
  </si>
  <si>
    <t>BATTERIE FINIE PL1B NOUR</t>
  </si>
  <si>
    <t>BATTERIE FINIE PL2K56</t>
  </si>
  <si>
    <t>BATTERIE FINIE PL3B</t>
  </si>
  <si>
    <t>BATTERIE FINIE PL3BK67</t>
  </si>
  <si>
    <t>UFLB67L3K072R2</t>
  </si>
  <si>
    <t>BATTERIE FINIE PL3K67</t>
  </si>
  <si>
    <t>UFLB77L3K072R2</t>
  </si>
  <si>
    <t>BATTERIE FINIE PL3K77</t>
  </si>
  <si>
    <t>Unformed starter battery 45Ah 12V R - MRT45J4X102R2</t>
  </si>
  <si>
    <t>MSP12BF009L1S13</t>
  </si>
  <si>
    <t>BATT L2 PREMIUM</t>
  </si>
  <si>
    <t>Starter battery 40Ah 12V R - MRT44J3X102R1</t>
  </si>
  <si>
    <t>BAT NF D26G  OP/NR</t>
  </si>
  <si>
    <t>M78J0X182L1Z44</t>
  </si>
  <si>
    <t>M78J0X182R1Z44</t>
  </si>
  <si>
    <t>M66M11F043L1S121</t>
  </si>
  <si>
    <t>M11 6/6</t>
  </si>
  <si>
    <t>BATT L3B POWER ALGERIE</t>
  </si>
  <si>
    <t>MSP88AF003L1S121</t>
  </si>
  <si>
    <t>LB33L1K073R1S122</t>
  </si>
  <si>
    <t>L1</t>
  </si>
  <si>
    <t>Starter battery 70Ah 12V L - G266J0X0_1Nour_L</t>
  </si>
  <si>
    <t>Starter battery 60Ah 12V R - G266J0X0_1Nour_R</t>
  </si>
  <si>
    <t>LB45B1K072R1S13</t>
  </si>
  <si>
    <t>LB66L2K5172R1Z22</t>
  </si>
  <si>
    <t>LB89L5K072R1S13</t>
  </si>
  <si>
    <t>COUV NS60 R+ AVEC OM NOIR PETITE BORNE</t>
  </si>
  <si>
    <t>510PRD3101</t>
  </si>
  <si>
    <t>ETIQ COUV PR D31 100Ah 760A 280*50 ND</t>
  </si>
  <si>
    <t>510PRNS401</t>
  </si>
  <si>
    <t>ETIQ COUV PR NS40 40AH 350A 185/50</t>
  </si>
  <si>
    <t>FICHE SUIVEUSE PLAQUE (VERT) petit format</t>
  </si>
  <si>
    <t>POUDRE DE BOIS</t>
  </si>
  <si>
    <t>GAIN TUBULAIR 125 mm</t>
  </si>
  <si>
    <t>GAIN TUBULAIR 184 mm</t>
  </si>
  <si>
    <t>GAIN TUBULAIR 258 mm</t>
  </si>
  <si>
    <t>REGLE DE FERMETURE grande modelle</t>
  </si>
  <si>
    <t>PLAQUE PB +</t>
  </si>
  <si>
    <t>PLAQUE PB-</t>
  </si>
  <si>
    <t>PLAQUE PMNL</t>
  </si>
  <si>
    <t>COUVERCLE L2-KAMINA</t>
  </si>
  <si>
    <t>CALCIUM METAL PURE</t>
  </si>
  <si>
    <t>CALCIUM METAL 85% ALUMINIUM 15%</t>
  </si>
  <si>
    <t>NITRATE DE SODIUM</t>
  </si>
  <si>
    <t>SOUFRE</t>
  </si>
  <si>
    <t>SOUDE CAUSTIQUE EN PERLE</t>
  </si>
  <si>
    <t>600P0021</t>
  </si>
  <si>
    <t>PLOMB 5 %</t>
  </si>
  <si>
    <t>600P0019</t>
  </si>
  <si>
    <t>PLOMB 1,8% CONCENTRE</t>
  </si>
  <si>
    <t>PLOMB D'OEUVRE ACHETE</t>
  </si>
  <si>
    <t>610m0004</t>
  </si>
  <si>
    <t>ETAIN PURE</t>
  </si>
  <si>
    <t>ETAIN TRAITE 40%-49%</t>
  </si>
  <si>
    <t>ETAIN TRAITE 50%-59%</t>
  </si>
  <si>
    <t>ETAIN TRAITE 60%-69%</t>
  </si>
  <si>
    <t>620M0012</t>
  </si>
  <si>
    <t>ETAIN TRAITE 90%-98%</t>
  </si>
  <si>
    <t>CRASSE 3%</t>
  </si>
  <si>
    <t>% 
vs 2023</t>
  </si>
  <si>
    <t>% 
vs Budget</t>
  </si>
  <si>
    <t>Delta 
Val vs Budget</t>
  </si>
  <si>
    <t>Volume (Plates only) LE</t>
  </si>
  <si>
    <t>Other Revenue</t>
  </si>
  <si>
    <t>Total Revenue</t>
  </si>
  <si>
    <t>Revenue Batteries only</t>
  </si>
  <si>
    <t>Revenue Plates only</t>
  </si>
  <si>
    <t>Dotation aux  Provisions</t>
  </si>
  <si>
    <t>Provision</t>
  </si>
  <si>
    <t>Ste du groupe</t>
  </si>
  <si>
    <t>ACHAT ARSENIC METAL</t>
  </si>
  <si>
    <t>ACHAT DE MARCHANDIS</t>
  </si>
  <si>
    <t>ACHAT DECHET PLAQUES</t>
  </si>
  <si>
    <t>HONOR.CABINET FORMATION</t>
  </si>
  <si>
    <t>PERTES DE CHANGES</t>
  </si>
  <si>
    <t>Inventaire Avril 2024</t>
  </si>
  <si>
    <t xml:space="preserve">PLOMB DOUX ACHETES </t>
  </si>
  <si>
    <t>PLASTIQUE SNA1</t>
  </si>
  <si>
    <t>CRASSE 1,8%</t>
  </si>
  <si>
    <t>580C0063</t>
  </si>
  <si>
    <t>POLYESTER COVER FOR D26/J7 260 X 180 X 27mm</t>
  </si>
  <si>
    <t>580C0064</t>
  </si>
  <si>
    <t>POLYESTER COVER FOR NS60/240 X 130 X 27mm</t>
  </si>
  <si>
    <t>crasse strip</t>
  </si>
  <si>
    <t>PL 204 TUBULAIRE</t>
  </si>
  <si>
    <t>310PBP</t>
  </si>
  <si>
    <t>bande LB +</t>
  </si>
  <si>
    <t>NEGATIVE PUNCHING GRID  PM</t>
  </si>
  <si>
    <t>322Gt534</t>
  </si>
  <si>
    <t>GRILLE  TUBULAIRE ENV534</t>
  </si>
  <si>
    <t>351PT289</t>
  </si>
  <si>
    <t>PLAQUE TUBULAIRE289POSITIVE EMPATEE</t>
  </si>
  <si>
    <t>PLAQUE  INTERNE NEGATIVE 289 EMPATEE</t>
  </si>
  <si>
    <t>POSITIVE PLATE PB AFTER TUNNEL</t>
  </si>
  <si>
    <t>POSITIVE PLATE MRT AFTER TUNNEL</t>
  </si>
  <si>
    <t>NEGATIVE PLATE MRT AFTER TUNNEL</t>
  </si>
  <si>
    <t>PLAQUE EMPATEE MN PUNCHING LATERAL (M-L)</t>
  </si>
  <si>
    <t>PLAQUE EMPATEE MP PUNCHING LATERAL (M+L)</t>
  </si>
  <si>
    <t>NEGATIVE PLATE PB AFTER TUNNEL</t>
  </si>
  <si>
    <t xml:space="preserve">SEL ADOUCISSEUR </t>
  </si>
  <si>
    <t>FICHE SUIVEUSE PLAQUE (VERT) Grant format</t>
  </si>
  <si>
    <t>REGLE DE FERMETURE petite modelle</t>
  </si>
  <si>
    <t>plomb doux achete</t>
  </si>
  <si>
    <t>LB+</t>
  </si>
  <si>
    <t>BATT L1H GR/GR STARTER</t>
  </si>
  <si>
    <t>BATTERIE FINIE MAR200</t>
  </si>
  <si>
    <t>BATTERIE FINIE PREMIUM M12</t>
  </si>
  <si>
    <t>UFM44J6X072R2</t>
  </si>
  <si>
    <t xml:space="preserve">BATTERIE FINIE D23 libye </t>
  </si>
  <si>
    <t>BATTERIE FINIE D23 libye 34x</t>
  </si>
  <si>
    <t>UNM67J0X002L2</t>
  </si>
  <si>
    <t>BATTERIE FINIE D31 EXP LYBIE G</t>
  </si>
  <si>
    <t>UFM44M10F042L2</t>
  </si>
  <si>
    <t xml:space="preserve"> BATT M10  EXPORT LYBIE</t>
  </si>
  <si>
    <t>BATTERIE FINIE M11L</t>
  </si>
  <si>
    <t>UFLB44L2K073R2</t>
  </si>
  <si>
    <t>BATT L2 WINMAXX</t>
  </si>
  <si>
    <t>BATT L3 WINMAXX</t>
  </si>
  <si>
    <t>UFLB77L5K073R2</t>
  </si>
  <si>
    <t>UFLB44L3K073R2</t>
  </si>
  <si>
    <t>BATT L3 ALPHADEAL</t>
  </si>
  <si>
    <t>UFML00BF002L2</t>
  </si>
  <si>
    <t xml:space="preserve">BATTERIE TRUCK M15  10+/10- lateral </t>
  </si>
  <si>
    <t xml:space="preserve">UN </t>
  </si>
  <si>
    <t xml:space="preserve">BATT L1WINMAXX </t>
  </si>
  <si>
    <t>UFM34J6X072R2</t>
  </si>
  <si>
    <t>LB44L2K073R1S122</t>
  </si>
  <si>
    <t>BATT L2 WINMAXX D</t>
  </si>
  <si>
    <t>LB44L3K073R1S122</t>
  </si>
  <si>
    <t>LB55L3K073R1S122</t>
  </si>
  <si>
    <t>BATT L3 WINMAXX D</t>
  </si>
  <si>
    <t>LB77L5K073R1S122</t>
  </si>
  <si>
    <t>BATT L5 POWER LYBIE  ALPHADEAL</t>
  </si>
  <si>
    <t>M34J6X082R1S121</t>
  </si>
  <si>
    <t>M44J6X082R1S121</t>
  </si>
  <si>
    <t>LUBRIFIANT HADILINK95/II  014-000-024</t>
  </si>
  <si>
    <t>Canne Type K (thermocouple)D15/L1500+raccord</t>
  </si>
  <si>
    <t>Thermocouple universal120/M (sonde a gaz)</t>
  </si>
  <si>
    <t>Servo moteurSGM7J-08AFC6S</t>
  </si>
  <si>
    <t>Servo packSGD7S-2R8A00A002</t>
  </si>
  <si>
    <t>701ele022</t>
  </si>
  <si>
    <t>Thermocouple PT100 D5*200/803FILS 3000mm Chambre murissa</t>
  </si>
  <si>
    <t>Thermocouple J coudeeL800+Fiche TC  linklater</t>
  </si>
  <si>
    <t>Thermocouple type J D5*3002fils+1500mm melangeur colophane</t>
  </si>
  <si>
    <t>Thermocouples TypeJD5*40mm Bay12 PLQ CHAUF</t>
  </si>
  <si>
    <t>Thermocouples Type JD04*200  MLX Chinois</t>
  </si>
  <si>
    <t>Thermocouple Type KD06*1000 2fil 2500mm C.F</t>
  </si>
  <si>
    <t>Servo pack YASKAWASGD7S-5R5A00B202 STRIP</t>
  </si>
  <si>
    <t>Convertisseur de frequen6SL3210-1PE16-1UL1</t>
  </si>
  <si>
    <t>Profibus-DP OPTION CARDSI-P3    STRIP</t>
  </si>
  <si>
    <t>Complementary PG OPTIONCARD PG-B3   STRIP</t>
  </si>
  <si>
    <t>Canne Type K WRN131D8*117mm   strip chinois</t>
  </si>
  <si>
    <t>Canne Type K Coudee D21.3170*300+raccord</t>
  </si>
  <si>
    <t>701ele069</t>
  </si>
  <si>
    <t>Thermocouple D8*1001500mm+ressort bay F15</t>
  </si>
  <si>
    <t>701ele070</t>
  </si>
  <si>
    <t>Thermocouple D5*781500+bay11 Moule M.G</t>
  </si>
  <si>
    <t>Thermocouple D5*180+BayBaffle Strip</t>
  </si>
  <si>
    <t>701ele074</t>
  </si>
  <si>
    <t>Thermocouple D5*251500+bay11 Moule M.G</t>
  </si>
  <si>
    <t>701ELE078</t>
  </si>
  <si>
    <t>Convertisseur de frequenJL930T7-5G/11P380V</t>
  </si>
  <si>
    <t>SINAMICS V90 PROFINET PT6SL3210-5FE17-0UF0</t>
  </si>
  <si>
    <t>Thermocouple type JD5*123 Baffle Strip</t>
  </si>
  <si>
    <t>701ELE088</t>
  </si>
  <si>
    <t>Crane cable and remotecontroll    Palan Fonder</t>
  </si>
  <si>
    <t>Canne Type K Coudee D21.160*680+raccord M.G.NEG</t>
  </si>
  <si>
    <t>BROSSE A LAMELLE SG ACIER INOX43509003 WBU 100100/19.1020</t>
  </si>
  <si>
    <t>Flotteur mecanique 15/21(1/2")</t>
  </si>
  <si>
    <t>702MEC037</t>
  </si>
  <si>
    <t>TURBINE DE POMPE A PB130/16/20/45</t>
  </si>
  <si>
    <t>Ressort COMP 102/377/68*17*13SPIRE Press punshing</t>
  </si>
  <si>
    <t>Godets elevateur Billes 130/120Elevateur a godets</t>
  </si>
  <si>
    <t>Godets elevateur Billes100/90 Elevateur a godet</t>
  </si>
  <si>
    <t>Filtre D MPM H14610*610*292 24m2</t>
  </si>
  <si>
    <t>SAC MANCHE FILTRANTED152/L3000/NOMEX</t>
  </si>
  <si>
    <t>SAC MANCHE FILTRANTED150/L3700 LINKLATER</t>
  </si>
  <si>
    <t>lame decoupeurF45511018</t>
  </si>
  <si>
    <t>705MEC051</t>
  </si>
  <si>
    <t>Tubular holder 1*19/23RA8.0 9.7mm  M.G.Hadi</t>
  </si>
  <si>
    <t>Slip of 19R*T9.7/RA8.2AM0028447 M.G.Hadi</t>
  </si>
  <si>
    <t>Lever  AM003568M.G.Hadi</t>
  </si>
  <si>
    <t>Lever  AM0035871M.G.Hadi</t>
  </si>
  <si>
    <t>Gauntlet-clampingAM0036035 M.G.Hadi</t>
  </si>
  <si>
    <t>clamping lever AM0036465M.G.Hadi</t>
  </si>
  <si>
    <t>Gaunlet clamping below19R*T9.7/MA 904 AM0046594</t>
  </si>
  <si>
    <t>Capteur (sensorMSE-P020) Chinois</t>
  </si>
  <si>
    <t>Ecran 6AV642-0BA01-1AX1CHINOIS</t>
  </si>
  <si>
    <t>CPU SIEMENS SMART ST2006ES7 288-1ST60-0AA0</t>
  </si>
  <si>
    <t>CPU SIEMENS SMART ST2006ES7 288-2DT32-0AA0</t>
  </si>
  <si>
    <t>I/O UNIT SIEMENS ST2006ES7 288-3AM06-0AA0</t>
  </si>
  <si>
    <t>I/O UNIT SIEMENS ST2006ES7 288-3AM03-0AA0</t>
  </si>
  <si>
    <t>I/O UNIT SIEMENS 12006ES7 231-5QF32-0XB0</t>
  </si>
  <si>
    <t>I/O UNIT SIEMENS 12006ES7 234-4HE32-0XB0</t>
  </si>
  <si>
    <t>I/O UNIT SIEMENS 12006ES7 223-1BL32-0XB0</t>
  </si>
  <si>
    <t>I/O UNIT SIEMENS 12006ES7 223-1PL32-0XB0</t>
  </si>
  <si>
    <t>CPU SIEMENS 1215 6ES7215-1AG40-0AA0(CPU1215)</t>
  </si>
  <si>
    <t>Panel HMI TP900SIEMENS 6AV2124-0JC01-0A</t>
  </si>
  <si>
    <t>Panel TP177B SIEMENS6AV6642-0BC01-1AX1</t>
  </si>
  <si>
    <t>Cable servo motormutsubishi HG-SR702J MR-J3ENSCBL15M-L</t>
  </si>
  <si>
    <t>AC servo motor YAZKAWASGM7J-08AFC6E</t>
  </si>
  <si>
    <t>Cable encodeur MitsubMRJ3-ENSCBL15M-L</t>
  </si>
  <si>
    <t>708ELE026</t>
  </si>
  <si>
    <t>AC servo motor1FL6096-1AC61-2AA1</t>
  </si>
  <si>
    <t>708ELE027</t>
  </si>
  <si>
    <t>Power cable preassembledSFX3002-5CL12-1BF0</t>
  </si>
  <si>
    <t>708ELE028</t>
  </si>
  <si>
    <t>Signal cable preassembledSFX3002-2CT12-1BF0-T</t>
  </si>
  <si>
    <t>LAME DE COUPESTRIP CHINOIS</t>
  </si>
  <si>
    <t>Lame de coupe dechetSTRIP CHINOIS</t>
  </si>
  <si>
    <t>Couronne de guidagebande  divider</t>
  </si>
  <si>
    <t>Horizontal Knife (lamede coupe) divider</t>
  </si>
  <si>
    <t>Vertical Knife (lame decoupe) divider</t>
  </si>
  <si>
    <t>Kit complet de guidageMoule   Punshing</t>
  </si>
  <si>
    <t>708MEC016</t>
  </si>
  <si>
    <t>Kit de guidage 32*200(54*80) Moule Punshing</t>
  </si>
  <si>
    <t>Guide sleeve for ballL29*OD25.35*ID20.8</t>
  </si>
  <si>
    <t>Guide sleeve for ballL80*OD46.85*ID38.5</t>
  </si>
  <si>
    <t>Guide sleeve for ballL110*OD59.1*ID51</t>
  </si>
  <si>
    <t>Guide sleeve for ballL59.35*OD27.25*ID22.5</t>
  </si>
  <si>
    <t>Guide sleeve for ballL80*OD39.1*ID32.5</t>
  </si>
  <si>
    <t>Guide sleeve for ballL80*OD59.1*ID50.5</t>
  </si>
  <si>
    <t>Pump SNAIL (Corps)F04261 Pmp plomb M.bille</t>
  </si>
  <si>
    <t>710ELE012</t>
  </si>
  <si>
    <t>Pump support (Corps)F04257 Pmp plomb M.bille</t>
  </si>
  <si>
    <t>LAME EN BRONZEF0081596</t>
  </si>
  <si>
    <t>SONDE PT100 4*100 3fil 2000mmSiliconee  Moulin a billes OXYDE</t>
  </si>
  <si>
    <t>Filtre HydroliqueM.G.Wertz</t>
  </si>
  <si>
    <t>HUILE MINERALEKAESER</t>
  </si>
  <si>
    <t>Moteur Electrique 90kw4P B3 380/660</t>
  </si>
  <si>
    <t>780mot013</t>
  </si>
  <si>
    <t>MOTEUR 7.5KW 4P 380/660VB5 CANTONI  FOUR FUSION</t>
  </si>
  <si>
    <t>MOTEUR 0.25KW 4P B5220/380V CANTONI  LABO</t>
  </si>
  <si>
    <t>ACCOUPLEMENT GF 55-NNCentral hydrol STRIP</t>
  </si>
  <si>
    <t>ACCOUPLEMENT C42(POUR VIS OXYDE)</t>
  </si>
  <si>
    <t>Courroie trapezoidale10*1150</t>
  </si>
  <si>
    <t>Courroie trapezoidale3150*10 SPZ</t>
  </si>
  <si>
    <t>Courroie Dentée HTD 7405M  Larg 15mm</t>
  </si>
  <si>
    <t>Courroie Dentée HTD8M-1136 L30//1120-8M</t>
  </si>
  <si>
    <t>Courroie TrapezoidaleSPZ2800-3V1100  L10mm</t>
  </si>
  <si>
    <t>POULIE 5 GORGE5*22*135*75*400mm</t>
  </si>
  <si>
    <t>MOYEU AMOVIBLE 3535ALESAGE 75</t>
  </si>
  <si>
    <t>Courroie Trapezoidale3450*17  Tremie Emp</t>
  </si>
  <si>
    <t>Courroie Trapez A1133 LD13*1100LI A43 OXYDE</t>
  </si>
  <si>
    <t>Courroie dentée 1760-8MCHINOIS</t>
  </si>
  <si>
    <t>Courroie dentée 184XLLarg10mm chinois</t>
  </si>
  <si>
    <t>Courroie dentéeHTD1610-14M 70mm Chinois</t>
  </si>
  <si>
    <t>Courroie trapez  B2819LI2859LD  Chinois</t>
  </si>
  <si>
    <t>Courroie trapez  B2845LI2889LD  Chinois</t>
  </si>
  <si>
    <t>Courroie trapez  B11122845LI 2888LW Chinois</t>
  </si>
  <si>
    <t>Courroie dentée HTD20005M B 290311</t>
  </si>
  <si>
    <t>Courroie Trapez VECO1001780 A69</t>
  </si>
  <si>
    <t>Courroie Trapez VECO2001400 SPA</t>
  </si>
  <si>
    <t>Courroie Trapez VECO2001360 SPA</t>
  </si>
  <si>
    <t>Courroie Trapez 3350SPC 307 NB</t>
  </si>
  <si>
    <t>Courroie dentée 1922V386 LARG 30mm</t>
  </si>
  <si>
    <t>Courroie Trapez SPBLP3000 LA3022  Tun EMP C</t>
  </si>
  <si>
    <t>POULIE 1SPA112TB SKFM.Grille Wirtz</t>
  </si>
  <si>
    <t>Moyeu poulie PHFTB1610*22MM SKF M.WIRTZ</t>
  </si>
  <si>
    <t>Courroie Trapez32*3750D148  Casse batt</t>
  </si>
  <si>
    <t>Courroie  SPC3550-CHALFiltre fonderie</t>
  </si>
  <si>
    <t>810COU048</t>
  </si>
  <si>
    <t>Courroie Trapez 1938 b75Atelier Tournage</t>
  </si>
  <si>
    <t>COURROIE TrapezoidalePHG A70</t>
  </si>
  <si>
    <t>COURROIE HTD 560 8M 30PUNSHING</t>
  </si>
  <si>
    <t>COURROIE SYNCHRONETEXROPE 8M-30 M.Tubulaire</t>
  </si>
  <si>
    <t>MOYEU AMOVIBLE 3535ALESAGE 70    fonderie</t>
  </si>
  <si>
    <t>Courroie trapez 17*2438B96  Melangeur fonderie</t>
  </si>
  <si>
    <t>Courroie trapez B6917*1750  Turbine linklat</t>
  </si>
  <si>
    <t>Courroie TrapezoidaleSPB2900*16.3  Melangeur strip</t>
  </si>
  <si>
    <t>COURROIE 1100/13oxyde</t>
  </si>
  <si>
    <t>COURROIE VECA100 3000C116</t>
  </si>
  <si>
    <t>Courroie VECA100 2941 B114MLX CHIN</t>
  </si>
  <si>
    <t>Courroie Trapezoidale3070*12    tunel de sechage</t>
  </si>
  <si>
    <t>MOYEU AMOVIBLE 3535ALESAGE 55    fonderie</t>
  </si>
  <si>
    <t>Courroie dentee AV13*1525 GTX</t>
  </si>
  <si>
    <t>COURROIE2800RPP14-112</t>
  </si>
  <si>
    <t>COURROIEHTD2450  14M</t>
  </si>
  <si>
    <t>COURROIE245014M  OMEGA</t>
  </si>
  <si>
    <t>COURROIEVECA 100-1800A70</t>
  </si>
  <si>
    <t>courroi dent strip1600 RPP8</t>
  </si>
  <si>
    <t>courroi dent strip1760X50 RPP8</t>
  </si>
  <si>
    <t>courroi  dentee2400 RPP8</t>
  </si>
  <si>
    <t>courroi denteeHTD 16014M</t>
  </si>
  <si>
    <t>Cremaillere M3/2000mmmalaxeur SOVEMA</t>
  </si>
  <si>
    <t>DOUILLE A BILLESB81-DBKB-12  Guid M.G.Ha</t>
  </si>
  <si>
    <t>Bride d'arbre SC 12 UU AS NBSGuid M.G.Hadi</t>
  </si>
  <si>
    <t>DOUILLE a bille INAKB50100PP (LMU50RR) Lame strip</t>
  </si>
  <si>
    <t>MANOMETRE hydrolique0 à 160BAR 1/4"</t>
  </si>
  <si>
    <t>Manometre acetylenechalumeau avec reglage</t>
  </si>
  <si>
    <t>MANOMETRE PRESS GAZ0-200mbar</t>
  </si>
  <si>
    <t>Manometre acet/oxygchalumeau</t>
  </si>
  <si>
    <t>MANOMETRE0-16 BAR</t>
  </si>
  <si>
    <t>PALIER OVALE FYTB 509 MRLT YAR209-2F</t>
  </si>
  <si>
    <t>PALIER OVALE UCFL207CHINOIS</t>
  </si>
  <si>
    <t>810PAL004</t>
  </si>
  <si>
    <t>PALIER FC209 UC209CHINOIS POMPE STRIP</t>
  </si>
  <si>
    <t>810PAL007</t>
  </si>
  <si>
    <t>810PAL012</t>
  </si>
  <si>
    <t>Palier A semelle SY510MRLT YAR210</t>
  </si>
  <si>
    <t>Palier A semelle SNV100RLT 22211 Tunel SOVEMA</t>
  </si>
  <si>
    <t>Palier Complet Rond INAPME30-N  PALAN Fonderie</t>
  </si>
  <si>
    <t>810pal017</t>
  </si>
  <si>
    <t>Palier CompletUCP208 Ch.Ling.Fond</t>
  </si>
  <si>
    <t>Palier FYTB 508M  RLTYAR208  EMP Classique</t>
  </si>
  <si>
    <t>PALIER FC205 (UCFC205/H)Empattage/ENV SOVEMA</t>
  </si>
  <si>
    <t>Bague de palier TSN511CJoint etancheite</t>
  </si>
  <si>
    <t>Palier A semelle P212RLT UC212</t>
  </si>
  <si>
    <t>Palier T212 CXRLT UC212</t>
  </si>
  <si>
    <t>810PAL051</t>
  </si>
  <si>
    <t>Palier CarréeFY 507 M</t>
  </si>
  <si>
    <t>Palier tendeur TU 508M (UCT208)Tapis Casse batterie</t>
  </si>
  <si>
    <t>PALIER OVALE UCFL 204/Hpompe COS</t>
  </si>
  <si>
    <t>Palier carrée FY508MRLT YAR208</t>
  </si>
  <si>
    <t>Palier carrée UCF212Filtre fonderie</t>
  </si>
  <si>
    <t>Palier complete UCFA 204machine a grille</t>
  </si>
  <si>
    <t>PARAHUILE 70*95*10HAUT TEMP  MEL FOND</t>
  </si>
  <si>
    <t>PARAHUILE 70*90*10HAUT TEMP  MEL FOND</t>
  </si>
  <si>
    <t>PARAHUILE 32*52*7Emp Classique</t>
  </si>
  <si>
    <t>PARAHUILE TC 48*70*10ACIER</t>
  </si>
  <si>
    <t>Parahuile 52*36*7vis oxyde</t>
  </si>
  <si>
    <t>parahuile 40*62*10/8Moteur OXYDE</t>
  </si>
  <si>
    <t>PARAHUILE CATO 2D540 CR127*104*13 Boite F.R</t>
  </si>
  <si>
    <t>PARE HUILE 60*45*10VIS OXYDE</t>
  </si>
  <si>
    <t>810par040</t>
  </si>
  <si>
    <t>PARE HUILE 45*75*10Chaine a goudets</t>
  </si>
  <si>
    <t>PARE HUILE 46*30*08Moteur pompe Strip</t>
  </si>
  <si>
    <t>PARE HUILE 25*37*7MOT VENTIL FOND</t>
  </si>
  <si>
    <t>PARAHUILE TC 48*70*10Haute temperature STRIP</t>
  </si>
  <si>
    <t>Parahuile 70*100*12VIS OXYDE</t>
  </si>
  <si>
    <t>PARE HUILE 55*72*08Moteur melangeur fonderi</t>
  </si>
  <si>
    <t>PARE HUILE 80*100*10HAUT TEMP  MEL FOND</t>
  </si>
  <si>
    <t>810par109</t>
  </si>
  <si>
    <t>PARAHUILE 110*70*12REUCTEUR FOUR ROTATIF</t>
  </si>
  <si>
    <t>Parahuile 100*120*10Chariot maximal</t>
  </si>
  <si>
    <t>PARE HUILE 55*80*10OXYDE</t>
  </si>
  <si>
    <t>PAREHUILE 90*55*10Boite red STRIP</t>
  </si>
  <si>
    <t>PARAHUILE DL65*85*10</t>
  </si>
  <si>
    <t>PARE HUILE 75*100*13Boite strip</t>
  </si>
  <si>
    <t>PARE HUILE 60*75*10Boite strip</t>
  </si>
  <si>
    <t>PARE HUILE 80*35*10Rouleau bande strip</t>
  </si>
  <si>
    <t>PAREHUILE 90*55*08Boite melangeur fonderie</t>
  </si>
  <si>
    <t>PARAHUILE 52*100*10Boite melangeur</t>
  </si>
  <si>
    <t>PARE HUILE 85/130/12Reducteur Empattage</t>
  </si>
  <si>
    <t>PARE HUILE 85/115/12Reducteur Empattage</t>
  </si>
  <si>
    <t>PARE HUILE 50*90*10Reducteur four fonderie</t>
  </si>
  <si>
    <t>PARE HUILE 50*65*8Reducteur vis moulin sov</t>
  </si>
  <si>
    <t>PARE HUILE 155*180*15DLBoite Empattage</t>
  </si>
  <si>
    <t>PARE HUILE 38*55*8TETE EMPATTAGE</t>
  </si>
  <si>
    <t>PIGNON 08B1B18</t>
  </si>
  <si>
    <t>Pignon 16B2 15dentsCasse batterie</t>
  </si>
  <si>
    <t>Pignon PS 1/2 Z2008B1  20dents</t>
  </si>
  <si>
    <t>Pignon 06B1 11dents pasanglais M.limage</t>
  </si>
  <si>
    <t>Pignon 08B1 12dents pasanglais M.limage</t>
  </si>
  <si>
    <t>Pignon 08B1 16dents pasanglais M.limage</t>
  </si>
  <si>
    <t>Pignon 06B1 17dents pasanglais M.limage</t>
  </si>
  <si>
    <t>810PIN039</t>
  </si>
  <si>
    <t>Pignon plastiqueEmpateuse CHI</t>
  </si>
  <si>
    <t>Pignon 12B1-16DENTSCasse batterie</t>
  </si>
  <si>
    <t>Pignon 5/8*3/8 Z2310B1 23dents Strip CHIN</t>
  </si>
  <si>
    <t>Pignon 06B2 11dents pasanglais M.limage</t>
  </si>
  <si>
    <t>810PIN046</t>
  </si>
  <si>
    <t>Pignon 08B2 14DENTSOXYDE</t>
  </si>
  <si>
    <t>810PIN049</t>
  </si>
  <si>
    <t>Pignon XC48 D107*Z10Tunnel empattage</t>
  </si>
  <si>
    <t>810PIN050</t>
  </si>
  <si>
    <t>Axe Pignon D39.9*750Tunnel empattage</t>
  </si>
  <si>
    <t>PIGNON SIMPLE08B1-24DENTS</t>
  </si>
  <si>
    <t>PIGNON SIMPLE08B1-13DENTS</t>
  </si>
  <si>
    <t>PIGNON DOUBLE12B2-15DENTS</t>
  </si>
  <si>
    <t>PIGNON SIMPLE12B1-15DENTS</t>
  </si>
  <si>
    <t>PIGNON SIMPLE12B1-20DENTS</t>
  </si>
  <si>
    <t>Pignon 16B1 16dentsCasse batterie</t>
  </si>
  <si>
    <t>Pignon 10B1  20dentsEmpattage chinois</t>
  </si>
  <si>
    <t>Pignon double 08B220DENTS  Empattage</t>
  </si>
  <si>
    <t>Pignon 10B1 24dentsStrip CHIN</t>
  </si>
  <si>
    <t>Pignon 16B2 21dentsReducteur Four N°2</t>
  </si>
  <si>
    <t>Roulement6002 2RSH</t>
  </si>
  <si>
    <t>RoulementYAR 204</t>
  </si>
  <si>
    <t>RoulementYAR 205-2F</t>
  </si>
  <si>
    <t>810ROU012</t>
  </si>
  <si>
    <t>Roulement3207 ATN</t>
  </si>
  <si>
    <t>Roulement61902 2RS1</t>
  </si>
  <si>
    <t>Roulement6001-2RSH</t>
  </si>
  <si>
    <t>Roulement6004 2RSH  etanche</t>
  </si>
  <si>
    <t>Roulement6005/ 2Z</t>
  </si>
  <si>
    <t>Roulement22209 CAW33</t>
  </si>
  <si>
    <t>Roulement6008</t>
  </si>
  <si>
    <t>Roulement6200-2RS</t>
  </si>
  <si>
    <t>Roulement6203-2RS</t>
  </si>
  <si>
    <t>Roulement6204 2RSH</t>
  </si>
  <si>
    <t>Roulement6206 2Z</t>
  </si>
  <si>
    <t>Roulement6207-2RS</t>
  </si>
  <si>
    <t>Roulement6212</t>
  </si>
  <si>
    <t>Roulement6302 2Z</t>
  </si>
  <si>
    <t>Roulement6305-2z</t>
  </si>
  <si>
    <t>Roulement22212 CA W33</t>
  </si>
  <si>
    <t>Roulement61804 2RS1</t>
  </si>
  <si>
    <t>Roulement305704 C-2Z</t>
  </si>
  <si>
    <t>RoulementCX51108</t>
  </si>
  <si>
    <t>RoulementR8 2Z</t>
  </si>
  <si>
    <t>RoulementYAR 206</t>
  </si>
  <si>
    <t>810rou247</t>
  </si>
  <si>
    <t>Roulemnt conique LM102949</t>
  </si>
  <si>
    <t>RoulementYAR 207</t>
  </si>
  <si>
    <t>RoulementYAR 208</t>
  </si>
  <si>
    <t>RoulementYAR 209</t>
  </si>
  <si>
    <t>Roulement6205-2RS</t>
  </si>
  <si>
    <t>ROULEMENT1209 EKTN9/C3</t>
  </si>
  <si>
    <t>ROULEMENT6209-2Z</t>
  </si>
  <si>
    <t>ROULEMENT30211 J</t>
  </si>
  <si>
    <t>Roulement_x000D_
 6309-2Z</t>
  </si>
  <si>
    <t>Roulement_x000D_
 GE20ES</t>
  </si>
  <si>
    <t>810ROU088</t>
  </si>
  <si>
    <t>Roulement_x000D_
 6311- 2Z</t>
  </si>
  <si>
    <t>Roulement_x000D_
6213-2RS1</t>
  </si>
  <si>
    <t>Roulement_x000D_
61813</t>
  </si>
  <si>
    <t>Roulement NU313 ECJPOLYREX EM</t>
  </si>
  <si>
    <t>Roulement30213 J2/Q</t>
  </si>
  <si>
    <t>Roulement30307 J2-Q</t>
  </si>
  <si>
    <t>Roulement32208 J2 Q</t>
  </si>
  <si>
    <t>Roulement30308 J2</t>
  </si>
  <si>
    <t>Roulement a rouleaux32010X/Q</t>
  </si>
  <si>
    <t>Roulement 606-2Z</t>
  </si>
  <si>
    <t>Roulement61902-ZZ</t>
  </si>
  <si>
    <t>Roulement Butée a billes51104</t>
  </si>
  <si>
    <t>810ROU136</t>
  </si>
  <si>
    <t>Roulement 6310 Z</t>
  </si>
  <si>
    <t>Roulement NU310 ECPSKF (3NU10 ECN)</t>
  </si>
  <si>
    <t>810ROU138</t>
  </si>
  <si>
    <t>810ROU139</t>
  </si>
  <si>
    <t>810ROU142</t>
  </si>
  <si>
    <t>Roulement A billes6217-2rs1</t>
  </si>
  <si>
    <t>810ROU144</t>
  </si>
  <si>
    <t>Butee a billes T126-904A1Axe de fusee Chariot TCM30</t>
  </si>
  <si>
    <t>Roulement NA69/32Emp Classique</t>
  </si>
  <si>
    <t>Roulement SCO228 LLU/3EEMP CLASSIQUE</t>
  </si>
  <si>
    <t>Roulement  RCB-121616.L068EMP CLASSIQUE</t>
  </si>
  <si>
    <t>Roue LibreCSK17-M-C5 </t>
  </si>
  <si>
    <t>RoulementRAE30-NPP-FA106</t>
  </si>
  <si>
    <t>Roulement3306 A-2ZTN9/MT33</t>
  </si>
  <si>
    <t>810ROU157</t>
  </si>
  <si>
    <t>Roulement A AIGUILLESHKS 32*39*34</t>
  </si>
  <si>
    <t>Butée de roulement 52208vis de reglage epaisseur strip</t>
  </si>
  <si>
    <t>Roulement23134 CAW33 CHINOIS</t>
  </si>
  <si>
    <t>Roulement32030 CHINOIS</t>
  </si>
  <si>
    <t>810ROU172</t>
  </si>
  <si>
    <t>Butée de roulement 51204CHINOIS</t>
  </si>
  <si>
    <t>Butée de roulement 51205CHINOIS</t>
  </si>
  <si>
    <t>Roulement 2308 ETN9EMP CHI</t>
  </si>
  <si>
    <t>810rou180</t>
  </si>
  <si>
    <t>Roulement a aiguillesNA4906  emp indus</t>
  </si>
  <si>
    <t>Roulement a aiguillesNA4906-2RS emp inudus</t>
  </si>
  <si>
    <t>810rou182</t>
  </si>
  <si>
    <t>Roulement a aiguillesHK1516</t>
  </si>
  <si>
    <t>Roulement conique32011-X-Q-SKF CH.Maximal</t>
  </si>
  <si>
    <t>810rou184</t>
  </si>
  <si>
    <t>Roulement 6210-2RS1EMP Industrielle</t>
  </si>
  <si>
    <t>Coupelle 75/65/EP8mmM.Bille</t>
  </si>
  <si>
    <t>Roulement 3206-AMoteur Station RIA</t>
  </si>
  <si>
    <t>Roulement 6309 RK-1Fourche TCM30</t>
  </si>
  <si>
    <t>Roulement 6307-2ZBoite MEL FOND</t>
  </si>
  <si>
    <t>ROULEMENT A BILLES7203 BEP der papier EMP</t>
  </si>
  <si>
    <t>Roulement6207-2Z</t>
  </si>
  <si>
    <t>Roulement a billes698-2z   Moule punshing</t>
  </si>
  <si>
    <t>Roulement coniqueLM48548/510/Q  AXE ROUE HYSTER</t>
  </si>
  <si>
    <t>Roulement coniqueHM89410/2/QCL  AXE ROUE HYSTER</t>
  </si>
  <si>
    <t>ROULEMENT A ROULEAUX30204 J2/Q</t>
  </si>
  <si>
    <t>ROULEMENT A BILLES6011-2RS</t>
  </si>
  <si>
    <t>Roulement a rouleaux30216 BOITE STRIP</t>
  </si>
  <si>
    <t>Roulement a rouleaux32209 J2/Q shangli</t>
  </si>
  <si>
    <t>Roulement conique39590/39520 Roue HYSTER7</t>
  </si>
  <si>
    <t>Roulement coniqueM802048/011/QCL7C HYSTER</t>
  </si>
  <si>
    <t>Roulement NJ 208-ECJMelangeur fonderie</t>
  </si>
  <si>
    <t>Roulement 6300-2RSGuidage moule LB/M PUNSH</t>
  </si>
  <si>
    <t>Roulement 3210A-2ZTN9/MT33  Melangeur 3%</t>
  </si>
  <si>
    <t>Roulement conique32207  Roue CLARK</t>
  </si>
  <si>
    <t>Roulement A billes2208ETN9 decoup plaque</t>
  </si>
  <si>
    <t>Roulement A billes6408 Boite Four N°2</t>
  </si>
  <si>
    <t>Roulement A rouleaux32018X/Q Boite Empattage</t>
  </si>
  <si>
    <t>Roulement JM720249/210Boite Empattage</t>
  </si>
  <si>
    <t>Roulement a aiguillesK30*35*27  Boite Empatta</t>
  </si>
  <si>
    <t>810ROU246</t>
  </si>
  <si>
    <t>Roulement a rouleaux22316 E/C3 filtre fonder</t>
  </si>
  <si>
    <t>GALET DE CAMB  AVEC AXEKRB 35PPA</t>
  </si>
  <si>
    <t>Toc elastique N38-45Pompe d'eau M.Grille</t>
  </si>
  <si>
    <t>810rox005</t>
  </si>
  <si>
    <t>Toc elastique C65Melangeur fonderie</t>
  </si>
  <si>
    <t>GALET DE ROULEMENTNATR 5PPA</t>
  </si>
  <si>
    <t>810rox007</t>
  </si>
  <si>
    <t>Toc Elastique N24M.tubulaire</t>
  </si>
  <si>
    <t>Glissiere HGW 30CCchinois</t>
  </si>
  <si>
    <t>GALET DE ROULEMENT SURAXE KR22PP Tremie emp</t>
  </si>
  <si>
    <t>810rox014</t>
  </si>
  <si>
    <t>Toc accouplement N42-55empattage chinois</t>
  </si>
  <si>
    <t>Toc d'accouplement C42Vis oxyde</t>
  </si>
  <si>
    <t>TAPIS 3400*320 5mmchinois</t>
  </si>
  <si>
    <t>TAPIS 2720*320 5mmchinois</t>
  </si>
  <si>
    <t>TAPIS PERFOREE 3640*90*5mmSticker</t>
  </si>
  <si>
    <t>Tapis 3000/495/5mm (3030)Dechet neg/pos strip chi</t>
  </si>
  <si>
    <t>Tapis YRM403-100"x14" 2540/356 Empateuse Classique</t>
  </si>
  <si>
    <t>810TAP015</t>
  </si>
  <si>
    <t>Agraffe Mecanique avecpress MLTBR-1200mm</t>
  </si>
  <si>
    <t>Tapis dechets 5370*320 JONC MECAVEC TAS 400mm M.G.Wirtz</t>
  </si>
  <si>
    <t>810TAP120</t>
  </si>
  <si>
    <t>Tapis caoutchouc8880*490</t>
  </si>
  <si>
    <t>TAPIS HABASIT 75/4085OXYDE</t>
  </si>
  <si>
    <t>TAPIS 3560X80 PERFOREE(TYPE MAM)</t>
  </si>
  <si>
    <t>JOINT CORDE EN NBR70EP3.53mm   M.Billes</t>
  </si>
  <si>
    <t>810XPM027</t>
  </si>
  <si>
    <t>Graisse Rouge 5KGbelleville haute tempera</t>
  </si>
  <si>
    <t>810XPM216</t>
  </si>
  <si>
    <t>Huile 90</t>
  </si>
  <si>
    <t>GROUPE FRL+manometreMetalwork</t>
  </si>
  <si>
    <t>FILTRE A CARTOUCHEDN20   CHAUDIERE</t>
  </si>
  <si>
    <t>812FLE017</t>
  </si>
  <si>
    <t>Tuyau oxygeneBleu D08 (interieur)</t>
  </si>
  <si>
    <t>812FLE018</t>
  </si>
  <si>
    <t>Tuyau Acetylene RougeD08 (interieur)</t>
  </si>
  <si>
    <t>Flexible Air chaudChinois</t>
  </si>
  <si>
    <t>Flexible 7W15A EN 8532SN CHARIOT 7T</t>
  </si>
  <si>
    <t>Tuyau d'air compriméDN16 M.G.Wertz</t>
  </si>
  <si>
    <t>Tuyau d'air compriméDN06  M.G.Wertz</t>
  </si>
  <si>
    <t>Flexible LG 2820DN10 THP HYSTER 7T</t>
  </si>
  <si>
    <t>Flexible R2 DN10Catterpillar</t>
  </si>
  <si>
    <t>Flexible d'huile 3/8"330bar    punshing</t>
  </si>
  <si>
    <t>Flexible Cristal transparentD19</t>
  </si>
  <si>
    <t>Flexible F15/F15 300mm(1/2") M.G.Wertz</t>
  </si>
  <si>
    <t>Flexible RaccordementFemelle D15</t>
  </si>
  <si>
    <t>Flexible 1/4" WP400bar5800PSI 2Q/17 HYSTER 5T</t>
  </si>
  <si>
    <t>Tuyau d'air compriméDN13</t>
  </si>
  <si>
    <t>812fle053</t>
  </si>
  <si>
    <t>Flexible DN06 L800mmHyster 5.5T</t>
  </si>
  <si>
    <t>812fle054</t>
  </si>
  <si>
    <t>Flexible DN06 L430mmHyster 5.5T</t>
  </si>
  <si>
    <t>812fle055</t>
  </si>
  <si>
    <t>Flexible DN10 L800mmHyster 5.5T</t>
  </si>
  <si>
    <t>812fle056</t>
  </si>
  <si>
    <t>Flexible DN10 L1500mmHyster 5.5T</t>
  </si>
  <si>
    <t>Flexible F12/F12 L200mmD/C Moule M.grille</t>
  </si>
  <si>
    <t>Flexible F12/F12 L300mmMoule M.grille</t>
  </si>
  <si>
    <t>Flexible Gaz D3/4" inoxL1000+mamelon Brul EMP C</t>
  </si>
  <si>
    <t>FLEXIBLE INOX DN13 LG4MT+Raccords INOX</t>
  </si>
  <si>
    <t>Flexible DN10 LG530THP+Raccords</t>
  </si>
  <si>
    <t>Flexible DN10 LG500THP+Raccords</t>
  </si>
  <si>
    <t>Flexible DN10 LG2200THP D/C</t>
  </si>
  <si>
    <t>Flexible DN13 LG4700THP   +02 RACCORDS</t>
  </si>
  <si>
    <t>Flexible LG500 INOXM.G.Wirtz</t>
  </si>
  <si>
    <t>Flexible LG800 INOXM.G.Wirtz</t>
  </si>
  <si>
    <t>Flexible INOX DN19 LG460M.G.Wirtz</t>
  </si>
  <si>
    <t>Flexible INOX DN38LG1500+RACC Strip Chinoi</t>
  </si>
  <si>
    <t>Flexible HYD LG2600HYSTER 5.5T</t>
  </si>
  <si>
    <t>Flexible 4SH LG650 HYDHyster 5.5T</t>
  </si>
  <si>
    <t>Flexible HYD LG1250 THPHyster 5.5T</t>
  </si>
  <si>
    <t>Flexible HYD 4830 THPStrip chinois</t>
  </si>
  <si>
    <t>Flexible R15 HYD LG1100THP    Tractopelle</t>
  </si>
  <si>
    <t>812fle094</t>
  </si>
  <si>
    <t>Flexible LG31THP+Raccords Strip Chino</t>
  </si>
  <si>
    <t>Flexible Hydroliqueteflon LG2500 THP</t>
  </si>
  <si>
    <t>Flexible HydroliqueLG1500 tresse rame inox</t>
  </si>
  <si>
    <t>Adaptateur hydrauliqueFP 10*100</t>
  </si>
  <si>
    <t>VERIN SI80*300CHINOIS</t>
  </si>
  <si>
    <t>VERIN SI40*500CHINOIS</t>
  </si>
  <si>
    <t xml:space="preserve">Verin SI125*150Chinois_x000D_
</t>
  </si>
  <si>
    <t>shape verin femelle125-C  CHINOIS</t>
  </si>
  <si>
    <t>shape verin femelle80-CR  CHINOIS</t>
  </si>
  <si>
    <t>shape verin MALE SC80-CBCHINOIS</t>
  </si>
  <si>
    <t>shape verin MALE SI40CHINOIS</t>
  </si>
  <si>
    <t>shape verin Femelle SI40CHINOIS</t>
  </si>
  <si>
    <t>shape verin MALE SI125CB CHINOIS</t>
  </si>
  <si>
    <t>Verin D100 C50 AirtagCHINOIS</t>
  </si>
  <si>
    <t>Verin D80 C50 AirtagCHINOIS</t>
  </si>
  <si>
    <t>Verin D63 C125 AirtagCHINOIS</t>
  </si>
  <si>
    <t>Verin D32 C50  AirtagCHINOIS</t>
  </si>
  <si>
    <t>Verin D32 C100  AirtagCHINOIS</t>
  </si>
  <si>
    <t>Verin D50 C175  AirtagCHINOIS</t>
  </si>
  <si>
    <t>Verin D80 C350  AirtagCHINOIS</t>
  </si>
  <si>
    <t>Verin D50 C20  AirtagCHINOIS</t>
  </si>
  <si>
    <t>Verin D125 C50  AirtagCHINOIS</t>
  </si>
  <si>
    <t>Verin D160 C200  AirtagCHINOIS</t>
  </si>
  <si>
    <t>Verin de guidageliniaire TCM50*30 CHINOI</t>
  </si>
  <si>
    <t>verin SDA femmelle 50*20 rouleau empattage</t>
  </si>
  <si>
    <t>Chape verinF-SI160CB AIRTAG CHINOIS</t>
  </si>
  <si>
    <t>Verin 1260.25.160.MAM.G.Wertz</t>
  </si>
  <si>
    <t>ROTULE VERIN D125 M27ZIP-125</t>
  </si>
  <si>
    <t>VIS TH (acier)M20X100  8.8</t>
  </si>
  <si>
    <t>812xmc213</t>
  </si>
  <si>
    <t>VIS TF (INOX)M05*10  Français</t>
  </si>
  <si>
    <t>Bobine pour électrovanne24V DC</t>
  </si>
  <si>
    <t>Bobine distributeur 24VDCSD90822DJSN SHAKO</t>
  </si>
  <si>
    <t>Bobine Danfoss220V ELECTROVANNE</t>
  </si>
  <si>
    <t>CAPTEUR ICB12L50F04POM1M12 NO Long   COS</t>
  </si>
  <si>
    <t>Capteur OMRONE2B-M18LN10-WZ-B1 2m</t>
  </si>
  <si>
    <t>Capteur OMRONE2B-M12KN08-WZ-B1 2m</t>
  </si>
  <si>
    <t>Capteur de niveau01DLF3KG/IO-LINK Performer</t>
  </si>
  <si>
    <t>Capteur fin de courseCLS-103  M.tubulaire</t>
  </si>
  <si>
    <t>Capteur photocellE3JK-DP11C</t>
  </si>
  <si>
    <t>CAPTEUR DE NIVEAUWENGLER OY1P303P0102</t>
  </si>
  <si>
    <t>Cable connecteur capteurde niveau wengler</t>
  </si>
  <si>
    <t>Capteur XS118BJPAM12STRIP</t>
  </si>
  <si>
    <t>Cable connecteur CapteurXS118BJPAM12 STRIP</t>
  </si>
  <si>
    <t>Capteur magnetiqueKT-40P  DE VERIN</t>
  </si>
  <si>
    <t>Capteur fin de course (buté)CWLD2</t>
  </si>
  <si>
    <t>Contacteur 3P 185A 220V3RT1056-6AP36  Comp</t>
  </si>
  <si>
    <t>Contacteur 32A 3P48VAC</t>
  </si>
  <si>
    <t>Contacteur LC1D02524VAC</t>
  </si>
  <si>
    <t>Contacteur LC1D03224VAC</t>
  </si>
  <si>
    <t>Contact AuxiliaireLADN22</t>
  </si>
  <si>
    <t>Contact AuxiliaireNO/NC</t>
  </si>
  <si>
    <t>Contacteur LC1D018220V</t>
  </si>
  <si>
    <t>Contacteur LC1D03224VDC</t>
  </si>
  <si>
    <t>DISJONCTEUR MOTEUR2.5A--4A</t>
  </si>
  <si>
    <t>Disjoncteur 40A 3PDELIXI</t>
  </si>
  <si>
    <t>Disjoncteur 32A2 PORT</t>
  </si>
  <si>
    <t>Disjoncteur 16A 4 portSIAME</t>
  </si>
  <si>
    <t>Disjoncteur 32A4 PORT</t>
  </si>
  <si>
    <t>Disjoncteur 32A3 PORT</t>
  </si>
  <si>
    <t>Disjoncteur 4x250Aavec reglage</t>
  </si>
  <si>
    <t>Disjoncteur 16A3 port</t>
  </si>
  <si>
    <t>Disjoncteur moteur20-25ATESYS 034325</t>
  </si>
  <si>
    <t>815ele004</t>
  </si>
  <si>
    <t>ELECTROVANNEAC 110V PU220A-04</t>
  </si>
  <si>
    <t>Transformateur380/220/24VAC 100VA</t>
  </si>
  <si>
    <t>Electrovanne 20/2724VDC</t>
  </si>
  <si>
    <t>Repartiteur4*125A</t>
  </si>
  <si>
    <t>Transformateur 300VA220/380/415v SEC 0.19.24</t>
  </si>
  <si>
    <t>Transformateur decourant 100A  Cham.muris</t>
  </si>
  <si>
    <t>Transformateur380V-110V 630VA  EMP CHI</t>
  </si>
  <si>
    <t>Commutateur 3Ph02positions   Grp ref Punshing</t>
  </si>
  <si>
    <t>815ELE054</t>
  </si>
  <si>
    <t>Electro directionnelDSG-03-3C4-D24-N1-50</t>
  </si>
  <si>
    <t>815ELE055</t>
  </si>
  <si>
    <t>Electro directionnelBSG-03-2B3B-D24-N1-51</t>
  </si>
  <si>
    <t>815ELE056</t>
  </si>
  <si>
    <t>Electro HYDROLIQUEDSG-03-3C2-D24-N1-50 WGN</t>
  </si>
  <si>
    <t>Transformateur allumage8/30pm 8kv bruleur</t>
  </si>
  <si>
    <t>électrovanne15/21 24V DC</t>
  </si>
  <si>
    <t>815ELE307</t>
  </si>
  <si>
    <t>Vanne INOXd20 6bar CMDV/CP</t>
  </si>
  <si>
    <t>Adaptateur HYDMM DN 1/4</t>
  </si>
  <si>
    <t>Adaptateur hydrolique9/16</t>
  </si>
  <si>
    <t>Adaptateur hydrolique1/2</t>
  </si>
  <si>
    <t>Adaptateur male femelle1/2</t>
  </si>
  <si>
    <t>FUSIBLES 125A500v 100ka</t>
  </si>
  <si>
    <t>FUSIBLES 50A 100KA690V</t>
  </si>
  <si>
    <t>Fusible 4AForme bouteille</t>
  </si>
  <si>
    <t>Fusible 25AForme bouteille</t>
  </si>
  <si>
    <t>Fusible 1A5*20MM F1A</t>
  </si>
  <si>
    <t>Fusible 6AForme bouteille</t>
  </si>
  <si>
    <t>Fusible 16A  500VForme bouteille  50*22</t>
  </si>
  <si>
    <t>Porte Fusibleuni 22*58    125A</t>
  </si>
  <si>
    <t>Fusible 25A 500VForme conique</t>
  </si>
  <si>
    <t>Fusible 10A 400VForme bouteille</t>
  </si>
  <si>
    <t>Fusible 63A 500VForme bouteille</t>
  </si>
  <si>
    <t>Fusible 20A 400V10*38</t>
  </si>
  <si>
    <t>815fus035</t>
  </si>
  <si>
    <t>FUSIBLE 100A gG 500V120KA   Condens TGBT</t>
  </si>
  <si>
    <t>FUSIBLE32A</t>
  </si>
  <si>
    <t>FUSIBLES 10A10*38</t>
  </si>
  <si>
    <t>FUSIBLES 2A10*38  500V</t>
  </si>
  <si>
    <t>FUSIBLES 4A10*38  500V</t>
  </si>
  <si>
    <t>POTENTIOMETRE 5K 4WRV24YN 20S B502 Strip</t>
  </si>
  <si>
    <t>815pre004</t>
  </si>
  <si>
    <t>PRESSOSTAT Filtre 20barecart fixe 1seuil-1 OF</t>
  </si>
  <si>
    <t>815PRO009</t>
  </si>
  <si>
    <t>RELAIS DE NIVEAU2RM35LM33MW</t>
  </si>
  <si>
    <t>Relais thermique7A-10A</t>
  </si>
  <si>
    <t>Relais alternatif 24VAC14 broches</t>
  </si>
  <si>
    <t>Relais thermique 1-1.6ALRD06 Shneider</t>
  </si>
  <si>
    <t>815REL014</t>
  </si>
  <si>
    <t>Relais thermoregulateurTF4-M1  48*48</t>
  </si>
  <si>
    <t>RelaisG2R-2-SND 24VDC 8Broches</t>
  </si>
  <si>
    <t>Relais StatiqueSSR-25DD 25A</t>
  </si>
  <si>
    <t>RELAIS TEMPORISE CIRCUL220VAC H3CR 8 BROCHES</t>
  </si>
  <si>
    <t>Relais thermique4A-6A</t>
  </si>
  <si>
    <t>RELAIS DE NIVEAU220V</t>
  </si>
  <si>
    <t>RELAIS THERMIQUE9-13A</t>
  </si>
  <si>
    <t>RELAIS 24VDC 11 brochesWEIDMULLER</t>
  </si>
  <si>
    <t>Socle RELAIS 24VDC11 broches WEIDMULLER</t>
  </si>
  <si>
    <t>Relais de tension TRIavec asymetrie 5% 25% 38</t>
  </si>
  <si>
    <t>Résistance a ailette (3000w)D16/1115mm/2000w (1210mm)</t>
  </si>
  <si>
    <t>ResistanceD12.7/L305/240V/800W  COS4</t>
  </si>
  <si>
    <t>ResistanceD10/L280/230V/700W COS4</t>
  </si>
  <si>
    <t>ResistanceD12.7/L395/230V/1500W COS4</t>
  </si>
  <si>
    <t>ResistanceL450/230V/1700W</t>
  </si>
  <si>
    <t>815RES025</t>
  </si>
  <si>
    <t>ResistanceD16/L135/600W/230V</t>
  </si>
  <si>
    <t>Resistance  coudée D15.71300W/L286mm/Fil1500mm</t>
  </si>
  <si>
    <t>815res035</t>
  </si>
  <si>
    <t>Resistance thermoplongeuD10/L960/12000W</t>
  </si>
  <si>
    <t>Resistance Coudée D20220V/1600W/400mm  Baffle</t>
  </si>
  <si>
    <t>Resistance CartD16/1000W/L316/230v</t>
  </si>
  <si>
    <t>Resistance CartD16/500W/L130/230v</t>
  </si>
  <si>
    <t>Resistance CartD12/L400/1200W</t>
  </si>
  <si>
    <t>Resist Tube COUDD08/L1450/4000W WIRTZ</t>
  </si>
  <si>
    <t>Resist Tube COUDD08/L650/1500W WIRTZ</t>
  </si>
  <si>
    <t>résistance Cartouche320mm/d12/1500w/220V</t>
  </si>
  <si>
    <t>résistance cart D10/L350mm1000W  M.G.HEMP NBI</t>
  </si>
  <si>
    <t>RESISTANCE STRIPD10 1820*230V 1700W</t>
  </si>
  <si>
    <t>RESISTANCE TUBED10*2000 230V 1700W</t>
  </si>
  <si>
    <t>Resistance coudée D20220V/500W/150mm  Baffle strip</t>
  </si>
  <si>
    <t>Resistance coudée D20220V/750W/210mm Baffle Strip</t>
  </si>
  <si>
    <t>Resistance Coudee D20220V/1000W/300mm  Baffle Strip</t>
  </si>
  <si>
    <t>Resistance plombd10*230V*3000W</t>
  </si>
  <si>
    <t>Resistance cartoucheD12/2000W/220V/L400</t>
  </si>
  <si>
    <t>Resistance thermoplongeurD08/L450/6000W/220V D47 FILT</t>
  </si>
  <si>
    <t>Variateur H1000CIMR-HB4A0009FBC STRIP</t>
  </si>
  <si>
    <t>Variateur H1000CIMR-HB4A0015FBC STRIP</t>
  </si>
  <si>
    <t>Variateur H1000CIMR-HB4A0006FBC STRIP</t>
  </si>
  <si>
    <t>Variateur J1000CIMR-JB4A0005BBA STRIP</t>
  </si>
  <si>
    <t>Variateur J1000CIMR-JB4A0009BBA STRIP</t>
  </si>
  <si>
    <t>815VOY008</t>
  </si>
  <si>
    <t>Voyant LED VERT48V</t>
  </si>
  <si>
    <t>ELECTROVANNE15/21 15BG</t>
  </si>
  <si>
    <t>815XPE027</t>
  </si>
  <si>
    <t>BOTIER ELECTRIQUEETANCHE</t>
  </si>
  <si>
    <t>CONNECTEUR CAPTEURFEMELLE M12  4 broches</t>
  </si>
  <si>
    <t>Encodeur OMRONE6B2-CWZ6C 2m</t>
  </si>
  <si>
    <t>Encodeur OMRONE6B2-CWZ5B 0,5m</t>
  </si>
  <si>
    <t>Afficheur automatekTP1200 basic</t>
  </si>
  <si>
    <t>Condensateur 8µF MKA8Demarrage moteur</t>
  </si>
  <si>
    <t>815xpe132</t>
  </si>
  <si>
    <t>Console en Luniverselle LG500</t>
  </si>
  <si>
    <t>CONNECTEUR CAPTEURMale M12  4 broches</t>
  </si>
  <si>
    <t>Cable connecteurcapteur M12 4fils</t>
  </si>
  <si>
    <t>815xpe143</t>
  </si>
  <si>
    <t>Bobine NG6 110AC CETOP 03 emp classique</t>
  </si>
  <si>
    <t>Ventilateur Moteurreducteur 137*29*35.8</t>
  </si>
  <si>
    <t>GYROPHARE JAUNE LED 24VAC/DC  + BUZZER</t>
  </si>
  <si>
    <t>Fiche femelle 3P+T 63A-6380-415V</t>
  </si>
  <si>
    <t>FICHE FEMELLE 3P+T25A    380V</t>
  </si>
  <si>
    <t>Fiche Male 3P+T 63A-6380-415V</t>
  </si>
  <si>
    <t>815XPE184</t>
  </si>
  <si>
    <t>ARMOIRE ELECTRIQUE _x000D_
700/500</t>
  </si>
  <si>
    <t>Bouton poussoirNO ? 22 mm</t>
  </si>
  <si>
    <t>Bouton poussoirNC ? 22 mm</t>
  </si>
  <si>
    <t>Capture fin de course YBLX-CKJ/10541</t>
  </si>
  <si>
    <t>Fin de course securite CZ-93CPMArmoire electrique</t>
  </si>
  <si>
    <t>815XPE266</t>
  </si>
  <si>
    <t>chemin de câble Plastique100mm*100mm</t>
  </si>
  <si>
    <t>Ventilateur GALVADEXT150mm/axe6mm P.SOUD</t>
  </si>
  <si>
    <t>Cable electrique de CMDE16*1.5 2fils acier PALAN</t>
  </si>
  <si>
    <t>Doigt de gant INOXD10/L1200mm</t>
  </si>
  <si>
    <t>Levier Fin de courseCZ-93K02  Armoir Elect</t>
  </si>
  <si>
    <t>815xpe332</t>
  </si>
  <si>
    <t>815xpe333</t>
  </si>
  <si>
    <t>815xpe334</t>
  </si>
  <si>
    <t>Tube neon LED 1.2Canalis</t>
  </si>
  <si>
    <t>FICHE MALE 3P+T 32A380-415V</t>
  </si>
  <si>
    <t>Fiche femelle 3P+T 32A-6/380-415V</t>
  </si>
  <si>
    <t>FICHE THERMOCOUPLE TYPE K MALE</t>
  </si>
  <si>
    <t>FICHE THERMOCOUPLE TYPE K FEMELLE</t>
  </si>
  <si>
    <t>Fiche Male 3P+T25A  380V</t>
  </si>
  <si>
    <t>AMPERMETER 100A AC LDIC72   Chambre murissage</t>
  </si>
  <si>
    <t>815xpe361</t>
  </si>
  <si>
    <t>Fiche male 32A 2P+T380v</t>
  </si>
  <si>
    <t>AMPERMETER Numerique100A TC 100A CHA MURISS</t>
  </si>
  <si>
    <t>Support de fixationLG500mm Palan Fonderi</t>
  </si>
  <si>
    <t>Tube Gorge D40 A FILROUGE KRAVEL (cable ELEC</t>
  </si>
  <si>
    <t>Connecteur thermocoupletypeJ 09MJ2LB Femelle</t>
  </si>
  <si>
    <t>Connecteur thermocoupletypeJ 07MJ1LB Male</t>
  </si>
  <si>
    <t>Platine Armoire700*500</t>
  </si>
  <si>
    <t>Coffret aluminuim215*252*91</t>
  </si>
  <si>
    <t>Chemin de cable perforee155/60</t>
  </si>
  <si>
    <t>Connecteur thermocoupletype K Male</t>
  </si>
  <si>
    <t>Connecteur thermocoupletype K Femelle</t>
  </si>
  <si>
    <t>Armature LED 200W 6500KRADIANCE</t>
  </si>
  <si>
    <t>BOBINE 1.2mm 15KgACIER</t>
  </si>
  <si>
    <t>Kit de rechange Pompe PPDEBEM BOXER 522  CH.Acid</t>
  </si>
  <si>
    <t>Chambre de pompage(flasque) DEBEM BOXER 52</t>
  </si>
  <si>
    <t>Echangeur pneumatiqueDEBEM BOXER 522</t>
  </si>
  <si>
    <t>Echangeur pneumatiqueDEBEM BOXER 251</t>
  </si>
  <si>
    <t>820TUB034</t>
  </si>
  <si>
    <t>Axe acier XC48 D30</t>
  </si>
  <si>
    <t>Châpeau chinoisD250</t>
  </si>
  <si>
    <t>RESSORT 4/10*3.5*C155A7006324 Rouleau papier Emp</t>
  </si>
  <si>
    <t>CHARBONMeule a disque BOSH GT</t>
  </si>
  <si>
    <t>820XMC104</t>
  </si>
  <si>
    <t>AXE INOX D20 316L</t>
  </si>
  <si>
    <t>Ressort acierL48.5*D12*EP3mm   moule grille</t>
  </si>
  <si>
    <t>Ressort acierL108*D50.3*EP3mm</t>
  </si>
  <si>
    <t>Châpeau chinoisD240/175</t>
  </si>
  <si>
    <t>Châpeau chinoisD350</t>
  </si>
  <si>
    <t>Châpeau chinoisD300</t>
  </si>
  <si>
    <t>Châpeau chinoisD150</t>
  </si>
  <si>
    <t>Châpeau chinoisD200</t>
  </si>
  <si>
    <t>FER PLAT ACIER120/100/10mm melang creuset fond</t>
  </si>
  <si>
    <t>Arbre cannelé AcierD20 4mm L600mm Palan</t>
  </si>
  <si>
    <t>Ressort TR 20/10*8*C510Guide cable palan STAHL</t>
  </si>
  <si>
    <t>BAGUE PCM 161820 ESKM07P M.Limage</t>
  </si>
  <si>
    <t>820xmc616</t>
  </si>
  <si>
    <t>BAGUE PCM 142012 ESKM09N M.Limage</t>
  </si>
  <si>
    <t>820XMC645</t>
  </si>
  <si>
    <t>TOLE Laiton 2m/0.66EP1mm EMP Classique</t>
  </si>
  <si>
    <t>820XMC697</t>
  </si>
  <si>
    <t>Tube en cuivre reduit4/6mm  palier tete emp</t>
  </si>
  <si>
    <t>Ressort COMP20/10*43*175  MOULE PUNS</t>
  </si>
  <si>
    <t>ECROU A ENCOCHE KM16Reducteur STRIP</t>
  </si>
  <si>
    <t>Rondelle de serrage MB16Reducteur STRIP</t>
  </si>
  <si>
    <t>Ejecteur 35*35*6.3*4.6*1.5mmMoule grille industrielle</t>
  </si>
  <si>
    <t>FER PLAT acier (6M)EP5mm*larg30mm</t>
  </si>
  <si>
    <t>Ressort COMP25/10*10*57*90 Moule Pun</t>
  </si>
  <si>
    <t>ROUE PIVOTANTE POLYAMIDEFixe D exter 100mm</t>
  </si>
  <si>
    <t>Tube contact 1.2poste soudure  poste semi</t>
  </si>
  <si>
    <t>Porte tube contact poste soudureposte semi</t>
  </si>
  <si>
    <t>Tete de coupe15/10</t>
  </si>
  <si>
    <t>830XOU129</t>
  </si>
  <si>
    <t>Tete de coupe25/10</t>
  </si>
  <si>
    <t>Silent bloc 50*30Boulon M10</t>
  </si>
  <si>
    <t>Cerceaux acier 35*10*8mmmelangeur creuset fonder</t>
  </si>
  <si>
    <t>Comparateur0.01mm--0.10mm</t>
  </si>
  <si>
    <t>830xou167</t>
  </si>
  <si>
    <t>Chariot a roulettes</t>
  </si>
  <si>
    <t>830xou193</t>
  </si>
  <si>
    <t>830xou196</t>
  </si>
  <si>
    <t>Tapis caoutchoucEP4 1M/1M</t>
  </si>
  <si>
    <t>Manometre DetendeurPropane</t>
  </si>
  <si>
    <t>PRESSOSTAT POUR POMPEEAU   Chaudiere</t>
  </si>
  <si>
    <t>Bec de chalumeaudecoupeur</t>
  </si>
  <si>
    <t>Silent bloc 50*50Boulon M12 (1tige)</t>
  </si>
  <si>
    <t>Roulette pour cableacier  8mm</t>
  </si>
  <si>
    <t>Roulette pour pisteacier 6mm</t>
  </si>
  <si>
    <t>Ruban adhesif toileamericaine gris 50*25M</t>
  </si>
  <si>
    <t>Cerceaux acier 30*10*8mmmelangeur 3%</t>
  </si>
  <si>
    <t>Cerceaux acier 27*10*8mmStrip</t>
  </si>
  <si>
    <t>Tapis Caoutchouc EP10mm1M/3M</t>
  </si>
  <si>
    <t>LUBRIFIANT DE COUPELactucal LT 3000 Total</t>
  </si>
  <si>
    <t>Boite de controle bruleurLME 22.331A2</t>
  </si>
  <si>
    <t>Boite de controle bruleuRMG88.62C2</t>
  </si>
  <si>
    <t>Boite de controle bruleuVE3.2 TV 30S TS 18006005</t>
  </si>
  <si>
    <t>Boite de controle bruleuLGA52.150A27 220V  COS</t>
  </si>
  <si>
    <t>Socle boite controleBRAHMA 003/SR3</t>
  </si>
  <si>
    <t>Boite de controlebruleur LME21.230C2E</t>
  </si>
  <si>
    <t>Servomoteur LKS 210-21(B1-15 S2) Bruleur Strip</t>
  </si>
  <si>
    <t>860XES021</t>
  </si>
  <si>
    <t>PAIRE DE GANT EN CUIRT154 RENFORCEE</t>
  </si>
  <si>
    <t>GANT EN CUIR 45CMPOUR SOUDURE</t>
  </si>
  <si>
    <t>860XES108</t>
  </si>
  <si>
    <t>Laine de verre ALL 25mm24kg G/M3</t>
  </si>
  <si>
    <t>880PMA100</t>
  </si>
  <si>
    <t>HuileBobcat S450</t>
  </si>
  <si>
    <t>BROSSE (métallique)A9047085</t>
  </si>
  <si>
    <t>CHAINE DOUBLE PAS 25.4016B-2</t>
  </si>
  <si>
    <t>ATTACHE DOUBLE PAS 25.416B-2CL</t>
  </si>
  <si>
    <t>CHAINE DOUBLE PAS 19.512B-2</t>
  </si>
  <si>
    <t>chaine SEDIS 06B1 ENGEmp classique</t>
  </si>
  <si>
    <t>810CHA008</t>
  </si>
  <si>
    <t>Attache Rapide pour chaine16B-1</t>
  </si>
  <si>
    <t>Attache Rapide 1/2chaine 10B1</t>
  </si>
  <si>
    <t>Attache Rapide 1/2chaine 08B1</t>
  </si>
  <si>
    <t>Maillon Coudéechaine 12B1</t>
  </si>
  <si>
    <t>PRESSE ETOUPE PN30Pompe emmergée bach a eau</t>
  </si>
  <si>
    <t>Attache Rapide pourChaine 16-B2</t>
  </si>
  <si>
    <t>Maillon Coudéechaine 16B2</t>
  </si>
  <si>
    <t>Maillon Coudéechaine 16B1</t>
  </si>
  <si>
    <t>Attache Rapide 1/2chaine 10B2</t>
  </si>
  <si>
    <t>Joint etancheite TRESSE10mm</t>
  </si>
  <si>
    <t>Attache rapide 1/2pour chaine 12B2</t>
  </si>
  <si>
    <t>810XPM068</t>
  </si>
  <si>
    <t>Dégrippant spray WD-40</t>
  </si>
  <si>
    <t>Attache rapidepour chaine 10B2</t>
  </si>
  <si>
    <t>Attache rapide pourchaine 06-B2</t>
  </si>
  <si>
    <t>Coffret joint toriqueBleu</t>
  </si>
  <si>
    <t>Coffret joint toriqueJaune</t>
  </si>
  <si>
    <t>Coffret joint toriqueRouge GM</t>
  </si>
  <si>
    <t>Joint etancheite TRESSEcaree 12mm</t>
  </si>
  <si>
    <t>Joint etancheite TRESSEcaree 14mm</t>
  </si>
  <si>
    <t>Joint etancheite TRESSEcaree 16mm</t>
  </si>
  <si>
    <t>Joint torique 3.53*63.09pompe creuset M.Billes</t>
  </si>
  <si>
    <t>Graisse Bleu 1KGbelleville haute temp</t>
  </si>
  <si>
    <t>Attache rapidepour chaine 06B1</t>
  </si>
  <si>
    <t>Attache rapidepour chaine 08B1</t>
  </si>
  <si>
    <t>Attache rapidepour chaine 10B1</t>
  </si>
  <si>
    <t>Attache rapidepour chaine 12B1</t>
  </si>
  <si>
    <t>Attache rapidepour chaine 12B2</t>
  </si>
  <si>
    <t>RACCORD RAPIDE COUDE8*1/2</t>
  </si>
  <si>
    <t>RACCORD RAPIDE COUDE4*1/4</t>
  </si>
  <si>
    <t>RACCORD RAPIDECOUDE4*1/16</t>
  </si>
  <si>
    <t>RACCORD COUDEE AVECLIMITEUR 08*3/8</t>
  </si>
  <si>
    <t>Connecteur BobineElectrovanne avec voyant</t>
  </si>
  <si>
    <t>812RAC054</t>
  </si>
  <si>
    <t>Limiteur de debit d'air1/4</t>
  </si>
  <si>
    <t>Interrupteur apparentEtanche</t>
  </si>
  <si>
    <t>câble souple 3x2,5mm</t>
  </si>
  <si>
    <t>815CAB010</t>
  </si>
  <si>
    <t>Fil Souple 2.5mmBleu</t>
  </si>
  <si>
    <t>Fil Souple 2.5mmRouge</t>
  </si>
  <si>
    <t>Cable souple 1*10mmBleu</t>
  </si>
  <si>
    <t>815CAB058</t>
  </si>
  <si>
    <t>Fils souple 1x16mm</t>
  </si>
  <si>
    <t>Cable vert/jaune deterre 35mm</t>
  </si>
  <si>
    <t>815CAB063</t>
  </si>
  <si>
    <t>Cable blundé 2*1.5MM</t>
  </si>
  <si>
    <t>Fil souple 1,5mmNoir</t>
  </si>
  <si>
    <t>815CAB264</t>
  </si>
  <si>
    <t>câble Souple 4x16mm</t>
  </si>
  <si>
    <t>815CAB270</t>
  </si>
  <si>
    <t>câble souple 2x1,5mm</t>
  </si>
  <si>
    <t>Cosse a sertirSC35-10</t>
  </si>
  <si>
    <t>Cosse a sertirSC70-10</t>
  </si>
  <si>
    <t>Cosse a sertirSC50-10</t>
  </si>
  <si>
    <t>815COS017</t>
  </si>
  <si>
    <t>Cosse a sertie rondM04</t>
  </si>
  <si>
    <t>815COS293</t>
  </si>
  <si>
    <t>Cosse a sertir50mm</t>
  </si>
  <si>
    <t>Cosse a sertie ROND M08Section cable 10mm</t>
  </si>
  <si>
    <t>815COS295</t>
  </si>
  <si>
    <t>Cosse a sertie ROND M08Section cable 12mm</t>
  </si>
  <si>
    <t>Gaine anti chaleurD10mm</t>
  </si>
  <si>
    <t>Gaine thermoretractable08mm</t>
  </si>
  <si>
    <t>gaine anti chaleur6mm</t>
  </si>
  <si>
    <t>gaine anti chaleur12mm</t>
  </si>
  <si>
    <t>gaine anti chaleur16mm</t>
  </si>
  <si>
    <t>gaine anti chaleur2,5mm</t>
  </si>
  <si>
    <t>gaine anti chaleur4mm</t>
  </si>
  <si>
    <t>gaine anti chaleur8mm</t>
  </si>
  <si>
    <t>tube NEON120</t>
  </si>
  <si>
    <t>starteurPHILPS 4-65W</t>
  </si>
  <si>
    <t>serre câble plastique5*350</t>
  </si>
  <si>
    <t>815XPE047</t>
  </si>
  <si>
    <t>Boite derivation etanche100/150 metallique</t>
  </si>
  <si>
    <t>Domino en plastique25A</t>
  </si>
  <si>
    <t>Boite en plastique apparente200*150mm</t>
  </si>
  <si>
    <t>Boite derivation 190*140*70IP56 ETANCHE</t>
  </si>
  <si>
    <t>Presse etoupe arrmoirePG-07 Ø 3.5-6MM</t>
  </si>
  <si>
    <t>Presse etoupe arrmoirePG-09 Ø 4-8MM</t>
  </si>
  <si>
    <t>Presse etoupe arrmoirePG-11 Ø5-10MM</t>
  </si>
  <si>
    <t>815xpe169</t>
  </si>
  <si>
    <t>Presse etoupe arrmoirePG-13.5 Ø6-12MM</t>
  </si>
  <si>
    <t>domino en céramique2x2,5mm</t>
  </si>
  <si>
    <t>domino en céramique2x4mm</t>
  </si>
  <si>
    <t>domino en céramique2x6mm</t>
  </si>
  <si>
    <t>domino en céramique3x4mm</t>
  </si>
  <si>
    <t>domino en plastique 50A16mm(barette)</t>
  </si>
  <si>
    <t>embouts fil 1,5mmNoir</t>
  </si>
  <si>
    <t>embouts fil 2,5mmGris</t>
  </si>
  <si>
    <t>embouts fil 4mmOrangé</t>
  </si>
  <si>
    <t>815XPE310</t>
  </si>
  <si>
    <t>embouts fil 6mm</t>
  </si>
  <si>
    <t>prise apparent2P+T 16A</t>
  </si>
  <si>
    <t>815xpe393</t>
  </si>
  <si>
    <t>Presse etoupe arrmoirePG-16</t>
  </si>
  <si>
    <t>815xpe394</t>
  </si>
  <si>
    <t>Presse etoupe arrmoirePG-21</t>
  </si>
  <si>
    <t>815xpe395</t>
  </si>
  <si>
    <t>Presse etoupe arrmoirePG-29</t>
  </si>
  <si>
    <t>815xpe396</t>
  </si>
  <si>
    <t>Presse etoupe arrmoirePG-36</t>
  </si>
  <si>
    <t>815XPE440</t>
  </si>
  <si>
    <t>820BAG013</t>
  </si>
  <si>
    <t>BAGUETTE  INOX 3,2</t>
  </si>
  <si>
    <t>820DIS005</t>
  </si>
  <si>
    <t>DISQUE INOX 230COUPE</t>
  </si>
  <si>
    <t>Disque 115 INOXCOUPE</t>
  </si>
  <si>
    <t>GOUPILLE  D6*100Elastique</t>
  </si>
  <si>
    <t>GOUPILLE  D5*30Elastique</t>
  </si>
  <si>
    <t>VIS TH (acier)M12*80</t>
  </si>
  <si>
    <t>VIS TH (acier)M10*60</t>
  </si>
  <si>
    <t>Vis sixpans (acier)M10*60</t>
  </si>
  <si>
    <t>écrou (acier)M14</t>
  </si>
  <si>
    <t>vis six pans (acier)M06*50</t>
  </si>
  <si>
    <t>vis six pans (acier)M08*30</t>
  </si>
  <si>
    <t>vis six pans (acier)M08*50</t>
  </si>
  <si>
    <t>VIS TH (acier)M10*40</t>
  </si>
  <si>
    <t>VIS TH (acier)M12*100</t>
  </si>
  <si>
    <t>VIS TH (acier)M10*70</t>
  </si>
  <si>
    <t>VIS TH (acier)M14*80</t>
  </si>
  <si>
    <t>VIS THM14*100</t>
  </si>
  <si>
    <t>VIS TH (acier)M16*100</t>
  </si>
  <si>
    <t>VIS THM16*120</t>
  </si>
  <si>
    <t>écrou (acier)M18</t>
  </si>
  <si>
    <t>écrou (acier)M20</t>
  </si>
  <si>
    <t>VIS TH (acier)M12*60</t>
  </si>
  <si>
    <t>VIS TH (acier)M16*40</t>
  </si>
  <si>
    <t>Tige fileté (INOX)M08</t>
  </si>
  <si>
    <t>écrou (inox)M14</t>
  </si>
  <si>
    <t>VIS TH (acier)M16*50</t>
  </si>
  <si>
    <t>VIS TH (acier)M12X50</t>
  </si>
  <si>
    <t>VIS TH (acier)M14X50</t>
  </si>
  <si>
    <t>VIS TH (acier)M06*40</t>
  </si>
  <si>
    <t>VIS THM14*40</t>
  </si>
  <si>
    <t>VIS TH (acier)M14*50</t>
  </si>
  <si>
    <t>820XMC127</t>
  </si>
  <si>
    <t>VIS THM18*70</t>
  </si>
  <si>
    <t>Vis TH(acier)M08*120</t>
  </si>
  <si>
    <t>820XMC129</t>
  </si>
  <si>
    <t>FER EN U 100</t>
  </si>
  <si>
    <t>TUYAU PVC SPIRALED60</t>
  </si>
  <si>
    <t>Vis TH(acier)M06*80</t>
  </si>
  <si>
    <t>Vis TH(acier)M06*100</t>
  </si>
  <si>
    <t>Vis TH (acier)M04*50</t>
  </si>
  <si>
    <t>Vis sixpans fraisé (Acier)M10*20</t>
  </si>
  <si>
    <t>VIS THM08*60</t>
  </si>
  <si>
    <t>VIS TH (acier)M08*50</t>
  </si>
  <si>
    <t>VIS SIX PANS (acier)M12*20</t>
  </si>
  <si>
    <t>Vis autoperceuseM06*38mm</t>
  </si>
  <si>
    <t>Barreau clavette 10ACIER</t>
  </si>
  <si>
    <t>Barreau clavette 12acier</t>
  </si>
  <si>
    <t>tige fileté CUIVREM16</t>
  </si>
  <si>
    <t>Vis d'arretM16*50</t>
  </si>
  <si>
    <t>Vis TH (acier)M10*80</t>
  </si>
  <si>
    <t>vis six pans (acier)M08*10</t>
  </si>
  <si>
    <t>Vis six pans (acier)M14*140</t>
  </si>
  <si>
    <t>VIS TH (acier)M16*90</t>
  </si>
  <si>
    <t>Vis six pans (acier)M16*30</t>
  </si>
  <si>
    <t>Vis six pans (acier)M05*10</t>
  </si>
  <si>
    <t>Vis d'arrêt (INOX)M08*10</t>
  </si>
  <si>
    <t>VIS TH (Acier)M06*50</t>
  </si>
  <si>
    <t>VIS THM04*30 (acier)</t>
  </si>
  <si>
    <t>VIS THM05*20 (acier)</t>
  </si>
  <si>
    <t>820XMC360</t>
  </si>
  <si>
    <t>VIS TH (INOX)M12*30</t>
  </si>
  <si>
    <t>VIS THM05*40 (acier)</t>
  </si>
  <si>
    <t>VIS THM06*20 (acier)</t>
  </si>
  <si>
    <t>vis tête hexagonaleM06*30 (acier)</t>
  </si>
  <si>
    <t>VIS TH (acier)M08*30</t>
  </si>
  <si>
    <t>Vis TH (acier)M08*40</t>
  </si>
  <si>
    <t>Vis TH (acier)M08*50</t>
  </si>
  <si>
    <t>VIS TH (acier)M10*20</t>
  </si>
  <si>
    <t>Vis TH(acier)M10*30</t>
  </si>
  <si>
    <t>Vis TH(acier)M10*100</t>
  </si>
  <si>
    <t>Vis TH (acier)M10*120</t>
  </si>
  <si>
    <t>vis tête hexagonaleM12*30 (acier)</t>
  </si>
  <si>
    <t>vis tête hexagonaleM12*40 (acier)</t>
  </si>
  <si>
    <t>VIS TH (acier)M12*50</t>
  </si>
  <si>
    <t>VIS TH (acier)M12*120</t>
  </si>
  <si>
    <t>vis tête hexagonaleM16*60 (acier)</t>
  </si>
  <si>
    <t>VIS TH (acier)M16*80</t>
  </si>
  <si>
    <t>vis six pans (acier)M04*20</t>
  </si>
  <si>
    <t>vis six pans (acier)M04*30</t>
  </si>
  <si>
    <t>vis six pans (acier)M05*20</t>
  </si>
  <si>
    <t>vis six pans (acier)M12*30</t>
  </si>
  <si>
    <t>vis six pans (acier)M12*50</t>
  </si>
  <si>
    <t>vis six pans (acier)M10*20</t>
  </si>
  <si>
    <t>vis six pans (acier)M05*30</t>
  </si>
  <si>
    <t>vis six pans (acier)M06*10</t>
  </si>
  <si>
    <t>vis six pans (acier)M06*20</t>
  </si>
  <si>
    <t>vis six pans (acier)M08*20</t>
  </si>
  <si>
    <t>vis six pans (acier)M08*40</t>
  </si>
  <si>
    <t>vis six pans (acier)M08*60</t>
  </si>
  <si>
    <t>vis six pans (acier)M08*70</t>
  </si>
  <si>
    <t>vis six pans (acier)M10*50</t>
  </si>
  <si>
    <t>vis six pans (acier)M10*80</t>
  </si>
  <si>
    <t>vis six pans (acier)M12*40</t>
  </si>
  <si>
    <t>vis six pans (Inox)M05*20</t>
  </si>
  <si>
    <t>vis six pans (Inox)M05*40</t>
  </si>
  <si>
    <t>vis six pans (Inox)M06*30</t>
  </si>
  <si>
    <t>820XMC454</t>
  </si>
  <si>
    <t>vis six pans (Inox)M08*20</t>
  </si>
  <si>
    <t>vis six pans (Inox)M08*30</t>
  </si>
  <si>
    <t>vis six pans (Inox)M10*30</t>
  </si>
  <si>
    <t>vis six pans (Inox)M10*40</t>
  </si>
  <si>
    <t>écrou (acier)M05</t>
  </si>
  <si>
    <t>écrou (acier)M12</t>
  </si>
  <si>
    <t>écrou (acier)M16</t>
  </si>
  <si>
    <t>écrou (Inox)M08</t>
  </si>
  <si>
    <t>écrou (Inox)M10</t>
  </si>
  <si>
    <t>écrou freinM8</t>
  </si>
  <si>
    <t>Vis d'arrêt (acier)M05*10</t>
  </si>
  <si>
    <t>Vis d'arrêt (acier)M10*20</t>
  </si>
  <si>
    <t>tige fileté (acier)M06</t>
  </si>
  <si>
    <t>tige fileté (acier)M08</t>
  </si>
  <si>
    <t>tige fileté (acier)M10</t>
  </si>
  <si>
    <t>tige fileté (acier)M12</t>
  </si>
  <si>
    <t>tige fileté (acier)M14</t>
  </si>
  <si>
    <t>tige fileté (acier)M16</t>
  </si>
  <si>
    <t>Rondelle plate (acier)M05</t>
  </si>
  <si>
    <t>Rondelle plate (acier)M06</t>
  </si>
  <si>
    <t>Rondelle plate (acier)M08</t>
  </si>
  <si>
    <t>Rondelle plate (acier)M10</t>
  </si>
  <si>
    <t>Rondelle plate (acier)M12</t>
  </si>
  <si>
    <t>Rondelle plate (acier)M14</t>
  </si>
  <si>
    <t>Rondelle plate (acier)M16</t>
  </si>
  <si>
    <t>tirefondM8*60</t>
  </si>
  <si>
    <t>cheville8</t>
  </si>
  <si>
    <t>820XMC577</t>
  </si>
  <si>
    <t>Pâte à vis</t>
  </si>
  <si>
    <t>tige fileté (acier)M05</t>
  </si>
  <si>
    <t>Vis d'arrêt (acier)M04*10</t>
  </si>
  <si>
    <t>820xmc604</t>
  </si>
  <si>
    <t>VIS Fixation GodetsElevateur a godets</t>
  </si>
  <si>
    <t>Vis TH (acier)M20*60</t>
  </si>
  <si>
    <t>Vis TH(acier)M08*80</t>
  </si>
  <si>
    <t>Vis TH(acier)M08*100</t>
  </si>
  <si>
    <t>Vis TH (acier)M12*20</t>
  </si>
  <si>
    <t>vis six pans (Inox)M05*10</t>
  </si>
  <si>
    <t>Tige fileté (INOX)M10</t>
  </si>
  <si>
    <t>Tige fileté (INOX)M12</t>
  </si>
  <si>
    <t>Vis d'arrêt (INOX)M08*20</t>
  </si>
  <si>
    <t>vis six pans (acier)M16*60  Moule Punshin</t>
  </si>
  <si>
    <t>VIS TH (acier)M10*50 Filtage complet</t>
  </si>
  <si>
    <t>vis six pans (acier)M16*120  Moule Punshi</t>
  </si>
  <si>
    <t>Tige fileté (INOX)M06</t>
  </si>
  <si>
    <t>VIS TF (acier)M06*10</t>
  </si>
  <si>
    <t>Tige fileté (INOX)M14</t>
  </si>
  <si>
    <t>vis six pans (Inox)M04*40</t>
  </si>
  <si>
    <t>820XMC781</t>
  </si>
  <si>
    <t>CHEVILLE METALLIQUEM10*70</t>
  </si>
  <si>
    <t>820xmc798</t>
  </si>
  <si>
    <t>VIS TH (acier)M22*100</t>
  </si>
  <si>
    <t>GOUPILLE D4*30Elastique</t>
  </si>
  <si>
    <t>Rondelle plate (acier)M18</t>
  </si>
  <si>
    <t>820XMC812</t>
  </si>
  <si>
    <t>tige fileté (acier)M20</t>
  </si>
  <si>
    <t>Vis TH (INOX)M14*30</t>
  </si>
  <si>
    <t>VIS TH (acier)M14*70</t>
  </si>
  <si>
    <t>VIS TH(acier)M16*70</t>
  </si>
  <si>
    <t>Tige fileté (INOX)M16</t>
  </si>
  <si>
    <t>VIS TH(acier)M08*70</t>
  </si>
  <si>
    <t>Circlips InterieurD80</t>
  </si>
  <si>
    <t>Circlips ExterieurD80</t>
  </si>
  <si>
    <t>Circlips ExterieurD90</t>
  </si>
  <si>
    <t>vis six pans (INOX)M08*25</t>
  </si>
  <si>
    <t>VIS TH (INOX)M12*50</t>
  </si>
  <si>
    <t>820XMC913</t>
  </si>
  <si>
    <t>Tige fileté (INOX)M04</t>
  </si>
  <si>
    <t>Tige filtéM22</t>
  </si>
  <si>
    <t>Barreau Clavette 6ACIER</t>
  </si>
  <si>
    <t>vis auto perceuse 6,3/38 ch 2/16</t>
  </si>
  <si>
    <t>MECHE BETON8</t>
  </si>
  <si>
    <t>MECHE BETON10</t>
  </si>
  <si>
    <t>Mèche acier12</t>
  </si>
  <si>
    <t>Mèche acier20</t>
  </si>
  <si>
    <t>Mèche acier14</t>
  </si>
  <si>
    <t>Mèche acier11.5</t>
  </si>
  <si>
    <t>830MCH033</t>
  </si>
  <si>
    <t>Meche SDS+S1 12/150/210Perforateur</t>
  </si>
  <si>
    <t>830MCH034</t>
  </si>
  <si>
    <t>Meche SDS+S1 14/150/210Perforateur</t>
  </si>
  <si>
    <t>Mèche acier 16DORMER</t>
  </si>
  <si>
    <t>Mèche acier4</t>
  </si>
  <si>
    <t>Mèche Acier2</t>
  </si>
  <si>
    <t>Mèche ACIER5</t>
  </si>
  <si>
    <t>Mèche beton12</t>
  </si>
  <si>
    <t>830XOU062</t>
  </si>
  <si>
    <t>VIS A BOISM04*30</t>
  </si>
  <si>
    <t>Gaine poste soudureposte semi</t>
  </si>
  <si>
    <t>830XOU262</t>
  </si>
  <si>
    <t>Serre a joint N50cm</t>
  </si>
  <si>
    <t>830XOU263</t>
  </si>
  <si>
    <t>Serre a joint N150cm</t>
  </si>
  <si>
    <t>coffret circlipsExterieur 5-45mm 1900pcs</t>
  </si>
  <si>
    <t>PEINTURE LAQUEE ROUGE4KG</t>
  </si>
  <si>
    <t>840PEI012</t>
  </si>
  <si>
    <t>PAPIER COLLANT</t>
  </si>
  <si>
    <t>840PNA028</t>
  </si>
  <si>
    <t>PEINTURE Blanc25KG</t>
  </si>
  <si>
    <t>860XES002</t>
  </si>
  <si>
    <t>VISIERE MASQUE DESOUDURE</t>
  </si>
  <si>
    <t>860XES033</t>
  </si>
  <si>
    <t>BROSSE METALLIQUEBOIS GM</t>
  </si>
  <si>
    <t>812BOU005</t>
  </si>
  <si>
    <t>812COD006</t>
  </si>
  <si>
    <t>812COD052</t>
  </si>
  <si>
    <t>812COD055</t>
  </si>
  <si>
    <t>812COL019</t>
  </si>
  <si>
    <t>Embou PVC PR40*32*1" Male</t>
  </si>
  <si>
    <t>Embou PVC PR25*32*3/4 MALE</t>
  </si>
  <si>
    <t>MAMELON GALVA1"1/2</t>
  </si>
  <si>
    <t>MAMELON NOIR 20/27(3/4")</t>
  </si>
  <si>
    <t>Monchon BargataireD32</t>
  </si>
  <si>
    <t>MONCHON PVC PRD63</t>
  </si>
  <si>
    <t>812mon724</t>
  </si>
  <si>
    <t>Monchon Galva1"1/4</t>
  </si>
  <si>
    <t>RACCORD  3 PPVC  D40</t>
  </si>
  <si>
    <t>raccord 3 péicéGalva26/34</t>
  </si>
  <si>
    <t>RACCORD PPRD25 MALE</t>
  </si>
  <si>
    <t>raccord bargataire D50Male</t>
  </si>
  <si>
    <t>812RAC069</t>
  </si>
  <si>
    <t>RACCORD  PPR FEMELLED20</t>
  </si>
  <si>
    <t>RACCORD 3P NOIR20/27 (3/4")</t>
  </si>
  <si>
    <t>Raccord PPR Male D4026-34</t>
  </si>
  <si>
    <t>Raccord 3P Noir1" 1/2</t>
  </si>
  <si>
    <t>Raccord 3P Galva1"1/4</t>
  </si>
  <si>
    <t>RACCORD PPR FEMELLED40</t>
  </si>
  <si>
    <t>Raccord rapide4*3/8</t>
  </si>
  <si>
    <t>812RAC118</t>
  </si>
  <si>
    <t>RACCORD RAPIDE DROIT8*1/2</t>
  </si>
  <si>
    <t>Raccord rapide droit10*3/8</t>
  </si>
  <si>
    <t>812RAC187</t>
  </si>
  <si>
    <t>Buse d'accouplement Male1/4"</t>
  </si>
  <si>
    <t>812RAC188</t>
  </si>
  <si>
    <t>812RAC189</t>
  </si>
  <si>
    <t>Raccord Coudee MALE 7/8LENTE MALE 1/4</t>
  </si>
  <si>
    <t>812RAC190</t>
  </si>
  <si>
    <t>Raccord MALE 7/8MALE 1/4</t>
  </si>
  <si>
    <t>812RAC191</t>
  </si>
  <si>
    <t>Raccord 3P NoirD26/34 (1")</t>
  </si>
  <si>
    <t>812RAC206</t>
  </si>
  <si>
    <t>RACCORD 3P PPRD75</t>
  </si>
  <si>
    <t>Adaptateur M/M 1/4*JIC9/16</t>
  </si>
  <si>
    <t>Raccord A olive06*1/8   Graissage</t>
  </si>
  <si>
    <t>Raccord 4 sortiesD8-G1/4</t>
  </si>
  <si>
    <t>Raccord 3P Noir1" 1/4</t>
  </si>
  <si>
    <t>Raccord rapideavec limiteur6*1/4</t>
  </si>
  <si>
    <t>Raccord rapide aveclimiteur 8*1/4</t>
  </si>
  <si>
    <t>Raccord rapide04-04</t>
  </si>
  <si>
    <t>raccord 3P Galva20/27</t>
  </si>
  <si>
    <t>raccord 3 péicéGalva15/21</t>
  </si>
  <si>
    <t>812red003</t>
  </si>
  <si>
    <t>reduction GALVA1"1/4--&gt;3/4"</t>
  </si>
  <si>
    <t>812red005</t>
  </si>
  <si>
    <t>REDUCTION GALVA4"--&gt;2"</t>
  </si>
  <si>
    <t>REDUCTION PVC140/125</t>
  </si>
  <si>
    <t>Réduction Galva 26/34 -&gt;20/27 M/F</t>
  </si>
  <si>
    <t>Reduction Galva2"--&gt;1/2"</t>
  </si>
  <si>
    <t>Reduction PVC PR50/32</t>
  </si>
  <si>
    <t>Reduction MALE 3/8Femelle 1/4 Pour Moule</t>
  </si>
  <si>
    <t>Reduction INOX F13/M17(3/8*1/4) Moule M.Grille</t>
  </si>
  <si>
    <t>Reduction Laiton MF3/4"M  1/2"F</t>
  </si>
  <si>
    <t>Réduction PVC PR50/40</t>
  </si>
  <si>
    <t>Réduction PVC PR40/32</t>
  </si>
  <si>
    <t>Réduction PVC PR63/40</t>
  </si>
  <si>
    <t>Reduction Galva1/2M---&gt;3/4F</t>
  </si>
  <si>
    <t>ROSACE Applique PPRD20</t>
  </si>
  <si>
    <t>TE 20/27NOIR</t>
  </si>
  <si>
    <t>TE Galva1"1/4</t>
  </si>
  <si>
    <t>TE Bargataire D32 FiltéFemelle D15/21</t>
  </si>
  <si>
    <t>TE PVC Pression D40(1"1/4)</t>
  </si>
  <si>
    <t>TUBE BARGATAIRED32</t>
  </si>
  <si>
    <t>TUBE NOIR ETIRE26/34   EP4.5mm</t>
  </si>
  <si>
    <t>TUBE ACIER NOIR A souder20/27  EP3.5mm</t>
  </si>
  <si>
    <t>Tube NOIR1" 1/2</t>
  </si>
  <si>
    <t>812TUB062</t>
  </si>
  <si>
    <t>TUBE PPR D63</t>
  </si>
  <si>
    <t>812TUB063</t>
  </si>
  <si>
    <t>TUBE INOX  6/8mm</t>
  </si>
  <si>
    <t>812TUB070</t>
  </si>
  <si>
    <t>TUBE EN CUIVRE ETIRE D10</t>
  </si>
  <si>
    <t>812TUB641</t>
  </si>
  <si>
    <t>Tube PVC PR D50</t>
  </si>
  <si>
    <t>812TUB643</t>
  </si>
  <si>
    <t>Tube NOIR20/27ep 4mm</t>
  </si>
  <si>
    <t>812VAN022</t>
  </si>
  <si>
    <t>VANNE PPR D25</t>
  </si>
  <si>
    <t>Coupelle EN NBR EDE71.9-83-7.52</t>
  </si>
  <si>
    <t>Flotteur pour citerned'acide</t>
  </si>
  <si>
    <t>812xpb047</t>
  </si>
  <si>
    <t>Soupape de securité1"1/2 CUIVRE</t>
  </si>
  <si>
    <t>Bouchon Canniveau degarage</t>
  </si>
  <si>
    <t>812xpb095</t>
  </si>
  <si>
    <t>Commutateur a flotteur20/27</t>
  </si>
  <si>
    <t xml:space="preserve">clapet enti retour 1" 1/4 cuivre </t>
  </si>
  <si>
    <t>820TUB758</t>
  </si>
  <si>
    <t>Tube rond Acier D33/42EP2.6 (6M)</t>
  </si>
  <si>
    <t>pompe emerger EP DMT 310 SUBMERSIBLE 03CV</t>
  </si>
  <si>
    <t>MOTEUR TRI 4" 10CV HYDROP</t>
  </si>
  <si>
    <t>Boite de controle bruleu  BRAHMA VE3.2 TV 30S TS 18006005</t>
  </si>
  <si>
    <t>Notes aux états financiers arrêtés</t>
  </si>
  <si>
    <t>METHODES COMPTABLES</t>
  </si>
  <si>
    <t>Activité</t>
  </si>
  <si>
    <t xml:space="preserve">La Société Nouvelle des Accumulateurs NOUR est une société  anonyme crée en 2007. Son objet social consiste </t>
  </si>
  <si>
    <t>principalement dans :</t>
  </si>
  <si>
    <t xml:space="preserve">La fabrication de toutes sortes de batteries de démarrage, stationnaires, industriel et des composants et généralement </t>
  </si>
  <si>
    <t xml:space="preserve">toutes opérations commerciales,industrielles,financières ou immobilières se rattachant directement ou indirectement </t>
  </si>
  <si>
    <t>à l'objet social ou à un objet similaire, annexe, connexe ou accessoires pouvant favoriser son développement</t>
  </si>
  <si>
    <t>admis et plus particulièrement  les hypothèses et conventions suivantes :</t>
  </si>
  <si>
    <t>Hypothèses sous-jacentes et conventions comptables</t>
  </si>
  <si>
    <t xml:space="preserve">    - hypothèse de la continuité de l’exploitation</t>
  </si>
  <si>
    <t xml:space="preserve">    - hypothèse de la comptabilité d’engagement </t>
  </si>
  <si>
    <t xml:space="preserve">    - convention de l’entité</t>
  </si>
  <si>
    <t xml:space="preserve">    - convention de l’unité monétaire</t>
  </si>
  <si>
    <t xml:space="preserve">    - convention de la périodicité</t>
  </si>
  <si>
    <t xml:space="preserve">    - convention du coût historique</t>
  </si>
  <si>
    <t xml:space="preserve">    - convention de réalisation de revenu</t>
  </si>
  <si>
    <t xml:space="preserve">    - convention  de l’objectivité</t>
  </si>
  <si>
    <t xml:space="preserve">    - convention de la permanence des méthodes </t>
  </si>
  <si>
    <t xml:space="preserve">    - convention de l’information  complète</t>
  </si>
  <si>
    <t xml:space="preserve">    - convention  de prudence </t>
  </si>
  <si>
    <t xml:space="preserve">    - convention  de l’importance relative</t>
  </si>
  <si>
    <t xml:space="preserve">    - convention de la prééminence du fond sur la forme</t>
  </si>
  <si>
    <t>Méthodes comptables utilisées</t>
  </si>
  <si>
    <t>1 - Les immobilisations corporelles et incorporelles</t>
  </si>
  <si>
    <t xml:space="preserve">      Les immobilisations sont comptabilisées à leur coût d’acquisition.</t>
  </si>
  <si>
    <t xml:space="preserve">L’amortissement est calculé selon la méthode de l’amortissement linéaire simple, et accéléré pour les équipements </t>
  </si>
  <si>
    <t>fonctionnant à deux postes.</t>
  </si>
  <si>
    <t>Taux d'Ats</t>
  </si>
  <si>
    <t>Constructions</t>
  </si>
  <si>
    <t>Plantations</t>
  </si>
  <si>
    <t xml:space="preserve">Agencements, aménagements et installations    </t>
  </si>
  <si>
    <t>Outillages industriels</t>
  </si>
  <si>
    <t>Installations Techniques</t>
  </si>
  <si>
    <t>Matériels Informatiques</t>
  </si>
  <si>
    <t>Matériels de transports</t>
  </si>
  <si>
    <t>Equipements de bureaux</t>
  </si>
  <si>
    <t>Logiciel</t>
  </si>
  <si>
    <t>Valeurs d’exploitations</t>
  </si>
  <si>
    <t>La valorisation des stocks est effectuée suivant le coût moyen pondéré  (CMP ).</t>
  </si>
  <si>
    <t>NOTES AUX ETATS FINANCIERS</t>
  </si>
  <si>
    <t>Actifs non courants</t>
  </si>
  <si>
    <t>Actifs immobilisés</t>
  </si>
  <si>
    <t>1-Les immobilisations corporelles &amp; incorporelles</t>
  </si>
  <si>
    <t>TOTAL</t>
  </si>
  <si>
    <t>2-Les immobilisations financières</t>
  </si>
  <si>
    <t>Désignations</t>
  </si>
  <si>
    <t>Actifs  courants</t>
  </si>
  <si>
    <t>3-STOCK</t>
  </si>
  <si>
    <t>4- Clients &amp; comptes rattachés</t>
  </si>
  <si>
    <t>5- Autres actifs courants</t>
  </si>
  <si>
    <t>6-Placements et autres actifs financiers</t>
  </si>
  <si>
    <t>7- Liquidités et équivalents de liquidités</t>
  </si>
  <si>
    <t>CAPITAUX PROPRE ET PASSIFS</t>
  </si>
  <si>
    <t xml:space="preserve">8- Capitaux propres et réserves </t>
  </si>
  <si>
    <t xml:space="preserve">Le capital social  de la société, soit 13 500 000,000 DT, est divisé en 1 350 000 actions d’une </t>
  </si>
  <si>
    <t xml:space="preserve">valeur nominale de 10 DT. </t>
  </si>
  <si>
    <t> lors de leurs distributions ultérieures se détaillent comme suit:</t>
  </si>
  <si>
    <t xml:space="preserve">Total des fonds propres                              </t>
  </si>
  <si>
    <t xml:space="preserve"> Passifs</t>
  </si>
  <si>
    <t xml:space="preserve"> Passifs non courants</t>
  </si>
  <si>
    <t>10- Emprunt :</t>
  </si>
  <si>
    <t xml:space="preserve"> Passifs courants</t>
  </si>
  <si>
    <t>11- Fournisseurs &amp; comptes rattachés</t>
  </si>
  <si>
    <t>12-Autres passifs courants.</t>
  </si>
  <si>
    <t>variations</t>
  </si>
  <si>
    <r>
      <t>13-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Concours bancaires.</t>
    </r>
  </si>
  <si>
    <t>14-Revenus &amp; Autres produit d'exploitation</t>
  </si>
  <si>
    <t>15-Achats d'approvisionnement consommés</t>
  </si>
  <si>
    <t>DESIGNATION</t>
  </si>
  <si>
    <t>16-Dotations aux  provisions</t>
  </si>
  <si>
    <t>17-Dotations aux amortissements et provisions</t>
  </si>
  <si>
    <t>18-Salaire et charge sociale</t>
  </si>
  <si>
    <t>19-Autres charges d'exploitation</t>
  </si>
  <si>
    <t>20-Charges financières nettes</t>
  </si>
  <si>
    <t>21- Résultat de l'exercice:</t>
  </si>
  <si>
    <t>Résultat NET:</t>
  </si>
  <si>
    <t>ACHAT SELENIUM</t>
  </si>
  <si>
    <t>AUT.IMP.TAX.VERS.ASSIM</t>
  </si>
  <si>
    <t>AUTRE PRODUITS EXEP</t>
  </si>
  <si>
    <t>DOT.AMO.PRO.L.MOD.COM</t>
  </si>
  <si>
    <t>DECHET D'ALUMINIUM</t>
  </si>
  <si>
    <t>INTEREST /EMP ET DET</t>
  </si>
  <si>
    <t>AMORT LOGICIELS</t>
  </si>
  <si>
    <t>SUBVENTIONS D'EXPLOI</t>
  </si>
  <si>
    <t>SOCIETE NOUR DISTRIBUTION 00010003</t>
  </si>
  <si>
    <t>MATADOR FABRIC  X213007</t>
  </si>
  <si>
    <t>ALPHADHEEL X218006</t>
  </si>
  <si>
    <t>A C C U M A E10001</t>
  </si>
  <si>
    <t>MONBAT BATTE E10084</t>
  </si>
  <si>
    <t>SND L20062</t>
  </si>
  <si>
    <t>valeur de stock 30-06-2024</t>
  </si>
  <si>
    <t>Inventaire Juin 2024</t>
  </si>
  <si>
    <t>DIVISION</t>
  </si>
  <si>
    <t>AFFECTATION</t>
  </si>
  <si>
    <t xml:space="preserve">affecatation analyse de stock </t>
  </si>
  <si>
    <t>RECYCLING</t>
  </si>
  <si>
    <t>lead</t>
  </si>
  <si>
    <t>Lead</t>
  </si>
  <si>
    <t xml:space="preserve">GRILLE  CASSE BATTERIES </t>
  </si>
  <si>
    <t xml:space="preserve">CONSUMABLE </t>
  </si>
  <si>
    <t>610M0006</t>
  </si>
  <si>
    <t>ALUMINIUM</t>
  </si>
  <si>
    <t>PLOMB CALCIUM NEGATIF</t>
  </si>
  <si>
    <t>ETAIN 44%</t>
  </si>
  <si>
    <t>TIN</t>
  </si>
  <si>
    <t>620m0009</t>
  </si>
  <si>
    <t>ETAIN PUR</t>
  </si>
  <si>
    <t>Dechet chaine de lingotage</t>
  </si>
  <si>
    <t>620m0012</t>
  </si>
  <si>
    <t>ETAIN TRAITE 80%-89%</t>
  </si>
  <si>
    <t>ETAIN NON TRAITE 90%-98%</t>
  </si>
  <si>
    <t>ETAIN NON TRAITE  90%-98%</t>
  </si>
  <si>
    <t>Battery Division</t>
  </si>
  <si>
    <t>Plates, grids &amp; strip</t>
  </si>
  <si>
    <t>RM-UFBATTERY</t>
  </si>
  <si>
    <t>322p204</t>
  </si>
  <si>
    <t>Industrial plate</t>
  </si>
  <si>
    <t>Industrial plates</t>
  </si>
  <si>
    <t>RM-FINISH GOOD</t>
  </si>
  <si>
    <t>subproduct-formed battery</t>
  </si>
  <si>
    <t>PLAQUE PB + (BATT SF PROD)</t>
  </si>
  <si>
    <t>PLAQUE PB-  (BATT SF PROD)</t>
  </si>
  <si>
    <t>FINISH GOOD</t>
  </si>
  <si>
    <t xml:space="preserve">Formed Battery </t>
  </si>
  <si>
    <t>Startter battery 50Ah 12V L - G245J7X0_1Nour_L BINSHOUN</t>
  </si>
  <si>
    <t>Startter battery 50Ah 12V R - G245J7X0_1Nour_R BINSHOUN</t>
  </si>
  <si>
    <t>UF-BATTERY</t>
  </si>
  <si>
    <t>UF Battery</t>
  </si>
  <si>
    <t>BATTERIE FINIE D</t>
  </si>
  <si>
    <t>BATTERIE FINIE G</t>
  </si>
  <si>
    <t>UFM166J0X172L2</t>
  </si>
  <si>
    <t>Unformed starter battery 70Ah 12V L - UFG266J0X0_1Nour_L</t>
  </si>
  <si>
    <t>UFLB89B5K072R2</t>
  </si>
  <si>
    <t>UFM145J7X172L2</t>
  </si>
  <si>
    <t>BAT NF D31 D OP/NR</t>
  </si>
  <si>
    <t>BATTERIE FINIE TR14 m14</t>
  </si>
  <si>
    <t xml:space="preserve">BATTERIE FINIE M11R libye </t>
  </si>
  <si>
    <t>L2 3/4</t>
  </si>
  <si>
    <t>Starter battery 90Ah 12V R - G278J0X0_1Nour_R binshihoun</t>
  </si>
  <si>
    <t>PLOMB 3%</t>
  </si>
  <si>
    <t>PLOMB 3% (BATT SF PROD)</t>
  </si>
  <si>
    <t>Separator</t>
  </si>
  <si>
    <t>POSITIVE PLATE MRT AFTER TUNNEL (element)</t>
  </si>
  <si>
    <t>NEGATIVE PLATE MRT AFTER TUNNEL  (element)</t>
  </si>
  <si>
    <t>330PMP</t>
  </si>
  <si>
    <t>PLAQUE EMPATEE MP (BATT SF PROD)</t>
  </si>
  <si>
    <t>PLAQUE EMPATEE MN (BATT SF PROD)</t>
  </si>
  <si>
    <t>Déchet plomb calc</t>
  </si>
  <si>
    <t>PLAQUE MP+ (plaque demarrage)</t>
  </si>
  <si>
    <t>BATT L2B PREMIUM</t>
  </si>
  <si>
    <t>BATTERIE FINIE PL3 SMF</t>
  </si>
  <si>
    <t>UFLB67B3W072R2</t>
  </si>
  <si>
    <t>BATTERIE FINIE PL3B SMF</t>
  </si>
  <si>
    <t>UFLB56L3K073R2</t>
  </si>
  <si>
    <t>UFML11BF002L2</t>
  </si>
  <si>
    <t xml:space="preserve">BATTERIE TRUCK M15  11+/11- lateral </t>
  </si>
  <si>
    <t>UFML22CF003L2</t>
  </si>
  <si>
    <t>BATTERIE FINIE M16 ELECTRON</t>
  </si>
  <si>
    <t>UFM55J0X182R2</t>
  </si>
  <si>
    <t>BAT NF D31 D 5/5 ELECTRON</t>
  </si>
  <si>
    <t>BATT L2 POWER LYBIE</t>
  </si>
  <si>
    <t>UFLB77B3K072R2</t>
  </si>
  <si>
    <t>BATTERIE FINIE PL3BW77</t>
  </si>
  <si>
    <t>BATT L1B POWER  LIBYE2</t>
  </si>
  <si>
    <t>ML22CF003L1S121</t>
  </si>
  <si>
    <t>M155J6X172R1</t>
  </si>
  <si>
    <t>Starter battery 65Ah 12V R - G256J6X0_1Nour_R BINSHIHOUN</t>
  </si>
  <si>
    <t>BATT. L1B SMART [S.E]</t>
  </si>
  <si>
    <t>BATTERIE FINIE PL2K56 OM</t>
  </si>
  <si>
    <t>PLAQUE PM-</t>
  </si>
  <si>
    <t xml:space="preserve">BAC N50 P0 C38 B00 NOIR </t>
  </si>
  <si>
    <t>Box &amp; Lid</t>
  </si>
  <si>
    <t>L3B 6/7 SMF</t>
  </si>
  <si>
    <t>L5 8/9 B SMF</t>
  </si>
  <si>
    <t>UFLB56B2K072R2</t>
  </si>
  <si>
    <t>L2 5/6 B KMINA</t>
  </si>
  <si>
    <t>L1 4/4 B KMINA</t>
  </si>
  <si>
    <t>L2 5/6 B SMF</t>
  </si>
  <si>
    <t>BAT NF D31 G OP/NR</t>
  </si>
  <si>
    <t>L1 3/3</t>
  </si>
  <si>
    <t>L1 4/4 SMF</t>
  </si>
  <si>
    <t>L1 4/4 B SMF</t>
  </si>
  <si>
    <t>PR110</t>
  </si>
  <si>
    <t>330PMPSp</t>
  </si>
  <si>
    <t>PMSP</t>
  </si>
  <si>
    <t>BAC L2 NOIR P0 C34,3 38881090B77</t>
  </si>
  <si>
    <t>BAC L3B P0 NOIR C40 26971002B70</t>
  </si>
  <si>
    <t>400M1110</t>
  </si>
  <si>
    <t>BAC M11 P8,5 C46 GRIS 22241025B70</t>
  </si>
  <si>
    <t>Grille M-</t>
  </si>
  <si>
    <t>PLAQUE M POSITIF SP</t>
  </si>
  <si>
    <t>plaque MRT+</t>
  </si>
  <si>
    <t>CRASSE strip</t>
  </si>
  <si>
    <t>REBUT PLAQUE INDUS</t>
  </si>
  <si>
    <t>330AKBPT</t>
  </si>
  <si>
    <t>PLAQUE TUBULAIRE AKB PT</t>
  </si>
  <si>
    <t>330AKBTT</t>
  </si>
  <si>
    <t>PLAQUE  TUBULAIRE TT</t>
  </si>
  <si>
    <t>330AKBET</t>
  </si>
  <si>
    <t>PLAQUE TUBULAIRE ET</t>
  </si>
  <si>
    <t>S3SMF</t>
  </si>
  <si>
    <t>PRL1DSMF</t>
  </si>
  <si>
    <t>PM11S D</t>
  </si>
  <si>
    <t>ML78AF002L1</t>
  </si>
  <si>
    <t>M14  7/8</t>
  </si>
  <si>
    <t>ML88AF002L1</t>
  </si>
  <si>
    <t>M14 8/8</t>
  </si>
  <si>
    <t>ML99AF002L1</t>
  </si>
  <si>
    <t>M14 9/9</t>
  </si>
  <si>
    <t>ML90AF002L1</t>
  </si>
  <si>
    <t>M14 9/10</t>
  </si>
  <si>
    <t>ML99BF002L1</t>
  </si>
  <si>
    <t>M15 9/9</t>
  </si>
  <si>
    <t>ML00BF002L1</t>
  </si>
  <si>
    <t>M15 10/10</t>
  </si>
  <si>
    <t>ML01BF002L1</t>
  </si>
  <si>
    <t>M15 10/11</t>
  </si>
  <si>
    <t>ML11BF002L1</t>
  </si>
  <si>
    <t>M15  11/11</t>
  </si>
  <si>
    <t>ML12BF002L1</t>
  </si>
  <si>
    <t>M15  11/12</t>
  </si>
  <si>
    <t>ML23BF002L1</t>
  </si>
  <si>
    <t>M15   12/13</t>
  </si>
  <si>
    <t>PRL3SMF</t>
  </si>
  <si>
    <t>BAC 12/165(monbat) M15</t>
  </si>
  <si>
    <t>POSITIVE PLATE MRT AFTER TUNNEL  (BATT SF PROD)</t>
  </si>
  <si>
    <t>NEGATIVE PLATE MRT AFTER TUNNEL  (BATT SF PROD)</t>
  </si>
  <si>
    <t>REBUT USINE (element+ plaque)</t>
  </si>
  <si>
    <t xml:space="preserve">REBUT PLASTIQUE </t>
  </si>
  <si>
    <t>BATTERIE FINIE M11R</t>
  </si>
  <si>
    <t>UFM45J6X072L2</t>
  </si>
  <si>
    <t>BATT FINIE D23 POWER</t>
  </si>
  <si>
    <t>BATTERIE FINIE PL2BK45</t>
  </si>
  <si>
    <t>BATT L2B SMART  SF</t>
  </si>
  <si>
    <t>BATTERIE FINIE PL2B</t>
  </si>
  <si>
    <t xml:space="preserve">dechet plastique </t>
  </si>
  <si>
    <t>MSP00BF003L1S13</t>
  </si>
  <si>
    <t>LB67B3K5172R1S13</t>
  </si>
  <si>
    <t>LB45L1K072R1S13</t>
  </si>
  <si>
    <t>BATTERIE FINIE PL1K45</t>
  </si>
  <si>
    <t>COUV L6 EK D NOIR FAI 24132015B70  A            3</t>
  </si>
  <si>
    <t xml:space="preserve">COUV. M16 DROITE NOIR 36352045B70     </t>
  </si>
  <si>
    <t>SEPARATEUR LV 162X1.3X0.175</t>
  </si>
  <si>
    <t>ETIQ B M14 SMF 140AH-860(EN)  310</t>
  </si>
  <si>
    <t>0 UN</t>
  </si>
  <si>
    <t>ETIQ BAC M16 SMF 230AH-1250A(EN) 3</t>
  </si>
  <si>
    <t>500X0347</t>
  </si>
  <si>
    <t>ETIQ BAC M14,M15,M16 ELECtron</t>
  </si>
  <si>
    <t>ETIQ COUV NOUR M14SMF 140AH-860(EN) 360/130</t>
  </si>
  <si>
    <t>ETIQ COUV NOUR M16SMF 230AH-1250A(EN) 360/180</t>
  </si>
  <si>
    <t>OTHER-UFBATTERY</t>
  </si>
  <si>
    <t>ETIQUETTE BAC WINMAXX 90/180 PF L1&amp;L2&amp;L3&amp;NS40&amp;NS</t>
  </si>
  <si>
    <t>521X0418</t>
  </si>
  <si>
    <t>ETIQ COUV1 L1 66/66 ELECTRON</t>
  </si>
  <si>
    <t>521X0419</t>
  </si>
  <si>
    <t>ETIQ COUV2 L1 118/66 ELECTRON</t>
  </si>
  <si>
    <t>521X0422</t>
  </si>
  <si>
    <t>ETIQ COUV1 L3 120/71 ELECTRON</t>
  </si>
  <si>
    <t>521X0423</t>
  </si>
  <si>
    <t>ETIQ COUV2 L3 120/71 ELECTRON</t>
  </si>
  <si>
    <t>521X0424</t>
  </si>
  <si>
    <t>ETIQ COUV1 L3 MF 120/71 E</t>
  </si>
  <si>
    <t>521X0425</t>
  </si>
  <si>
    <t>ETIQ COUV2 L3 MF 120/71 ELECTRON</t>
  </si>
  <si>
    <t>521X0426</t>
  </si>
  <si>
    <t>ETIQ COUV1 L5 160/71 ELECTRON</t>
  </si>
  <si>
    <t>521X0427</t>
  </si>
  <si>
    <t>ETIQ COUV2  L5 160/71 EL ECTRON</t>
  </si>
  <si>
    <t>521X0428</t>
  </si>
  <si>
    <t>ETIQ COUV1 L5S 160/71 ELE  ELECTRON</t>
  </si>
  <si>
    <t>521X0429</t>
  </si>
  <si>
    <t>ETIQ COUV1 L5S 160/71 ELE ELECTRON</t>
  </si>
  <si>
    <t>521X0431</t>
  </si>
  <si>
    <t>ETIQ COUV1 J6/D23S 208/52 ELECTRON</t>
  </si>
  <si>
    <t>521X0432</t>
  </si>
  <si>
    <t>ETIQ COUV1 J0/D31 280/52 ELECTRON</t>
  </si>
  <si>
    <t>521X0433</t>
  </si>
  <si>
    <t>ETIQ COUVERCLE M14 210/40 ELECTRON</t>
  </si>
  <si>
    <t>521X0438</t>
  </si>
  <si>
    <t>ETIQ COUVERCLE M11 210/40 ELECTRON</t>
  </si>
  <si>
    <t>580C0065</t>
  </si>
  <si>
    <t>CALE POLYESTER L1</t>
  </si>
  <si>
    <t>580C0066</t>
  </si>
  <si>
    <t>CALE POLYESTER L2</t>
  </si>
  <si>
    <t>580C0067</t>
  </si>
  <si>
    <t>CALE POLYESTER L3</t>
  </si>
  <si>
    <t>580C0068</t>
  </si>
  <si>
    <t>CALE POLYESTER L5</t>
  </si>
  <si>
    <t>580C0069</t>
  </si>
  <si>
    <t>CALE POLYESTER M10</t>
  </si>
  <si>
    <t>580C0070</t>
  </si>
  <si>
    <t>CALE POLYESTER M11</t>
  </si>
  <si>
    <t>580C0071</t>
  </si>
  <si>
    <t>CALE POLYESTER M12</t>
  </si>
  <si>
    <t>580C0072</t>
  </si>
  <si>
    <t>CALE POLYESTER NS40</t>
  </si>
  <si>
    <t>580C0073</t>
  </si>
  <si>
    <t>CALE POLYESTERNS60</t>
  </si>
  <si>
    <t>580C0074</t>
  </si>
  <si>
    <t>CALE POLYESTER D23</t>
  </si>
  <si>
    <t>580c0075</t>
  </si>
  <si>
    <t>CALE POLYESTER D26</t>
  </si>
  <si>
    <t>580C0076</t>
  </si>
  <si>
    <t>CALE POLYESTER D31</t>
  </si>
  <si>
    <t>OTHER-FORMED BATTERY</t>
  </si>
  <si>
    <t>580F0020</t>
  </si>
  <si>
    <t>FILM THERMORETRA. 450/70</t>
  </si>
  <si>
    <t>580F0021</t>
  </si>
  <si>
    <t>FILM THERMORETRA. 400/70</t>
  </si>
  <si>
    <t>580F0022</t>
  </si>
  <si>
    <t>FILM THERMORETRA. 650/70</t>
  </si>
  <si>
    <t>580F0023</t>
  </si>
  <si>
    <t>FILM THERMORETRA. 350/70</t>
  </si>
  <si>
    <t>COUV M14 G DC NOIR 2B492010B70                    A</t>
  </si>
  <si>
    <t>COUV J15 DROITE OPAQUE                            A</t>
  </si>
  <si>
    <t>COUV M15 GAUCHE GRIS 35402089B70                  A</t>
  </si>
  <si>
    <t>COUV/K M15 GAUCHE NOIR 21932001P70                A</t>
  </si>
  <si>
    <t>COUV M15 G DC NOIR 2B522019B70                    A</t>
  </si>
  <si>
    <t>EMB BIG BAG SANS HOUSSE GRANS MODELLE</t>
  </si>
  <si>
    <t>EMB BIG BAG SANS HOUSSE PETIT MODELLE</t>
  </si>
  <si>
    <t>PLOMB DOUX ACHETE</t>
  </si>
  <si>
    <t>battery and recycling</t>
  </si>
  <si>
    <t>Spare parts</t>
  </si>
  <si>
    <t xml:space="preserve">BLOC DISTRIBITEU 5/2   24VDC   AVEC BOBINE </t>
  </si>
  <si>
    <t>830XOU098</t>
  </si>
  <si>
    <t>CHALIMEAU SODEUR</t>
  </si>
  <si>
    <t>PLAQUE EN BAKELITE EP 1MM DIM 2000*1000</t>
  </si>
  <si>
    <t>701ELE096</t>
  </si>
  <si>
    <t xml:space="preserve">ALIMENTATION STABILISE 220V     24 V PHONEX CONTACT </t>
  </si>
  <si>
    <t>815xpe436</t>
  </si>
  <si>
    <t>Repartiteur SCHNEIDER 125 A</t>
  </si>
  <si>
    <t>840sir001</t>
  </si>
  <si>
    <t>SIRENE</t>
  </si>
  <si>
    <t>707MEC018</t>
  </si>
  <si>
    <t xml:space="preserve">CONNECTIN RMI A7004025 COS </t>
  </si>
  <si>
    <t>815REL342</t>
  </si>
  <si>
    <t>RELAI STATIQUE AVEC RADIATEUR RGC1A60D40KGE</t>
  </si>
  <si>
    <t>TUBE ROND EN CUIVRE D 25    2000</t>
  </si>
  <si>
    <t>701ELE029</t>
  </si>
  <si>
    <t>CONNECTEUR FEMMELLE 44 PIN</t>
  </si>
  <si>
    <t>815CON001</t>
  </si>
  <si>
    <t>CONNECTOR MILTIPLE 6 PIN  9970600006</t>
  </si>
  <si>
    <t xml:space="preserve">Thermocouple Type K 06 1000mm </t>
  </si>
  <si>
    <t>701ele101</t>
  </si>
  <si>
    <t>Thermocouple D5*20mm (bulbe) pour plaque chauffan</t>
  </si>
  <si>
    <t>701ele100</t>
  </si>
  <si>
    <t>Thermocouple D5*40mm (bulbe) pour plaque chauffan</t>
  </si>
  <si>
    <t>815XPE352</t>
  </si>
  <si>
    <t>AMPERMETRE 5-400 A</t>
  </si>
  <si>
    <t xml:space="preserve">REGULATEUR DE PRESSION 1/4 NR 200 </t>
  </si>
  <si>
    <t>815RES170</t>
  </si>
  <si>
    <t>resistance 15,7 mm 580 2500w</t>
  </si>
  <si>
    <t>Ammotisseur-A6514029     ZDCA2540</t>
  </si>
  <si>
    <t>AmmotisseuR REXROTH 3701202000</t>
  </si>
  <si>
    <t xml:space="preserve">Ammotisseur-A6514027  </t>
  </si>
  <si>
    <t>812ver031</t>
  </si>
  <si>
    <t>VERIN 1501.100.25 POMPE COS</t>
  </si>
  <si>
    <t>810XPM017</t>
  </si>
  <si>
    <t>PAPIER FIBRE CERAMIQUE  EP 2MM*1,22*30MM</t>
  </si>
  <si>
    <t>812DIS003</t>
  </si>
  <si>
    <t xml:space="preserve">DISTRIBUTEUR MECANIQUE PNUMATIQUE </t>
  </si>
  <si>
    <t>DISTRIBUTEUR PNEUMAX 10 BAR 1012,52,3,5</t>
  </si>
  <si>
    <t>830XOU330</t>
  </si>
  <si>
    <t>Pressostat BRIO2000 12A  10bar</t>
  </si>
  <si>
    <t>830XOU309</t>
  </si>
  <si>
    <t>PRESSOSTAT COELBO type  12 bar</t>
  </si>
  <si>
    <t>VERIN COMPACT DOUBLE EFFET 32*20 AVEC PLAQUE</t>
  </si>
  <si>
    <t>812VER642</t>
  </si>
  <si>
    <t xml:space="preserve">VERIN ROND 25*30 NIVLEUSSE </t>
  </si>
  <si>
    <t>810ver256</t>
  </si>
  <si>
    <t>verin 80/30</t>
  </si>
  <si>
    <t>VERIN.32.25 B</t>
  </si>
  <si>
    <t>Alimentation  0-12V DC NET ELECTRIC</t>
  </si>
  <si>
    <t xml:space="preserve">Bobine distributeur HUILE 24V AXE 13 </t>
  </si>
  <si>
    <t>815BOB007</t>
  </si>
  <si>
    <t xml:space="preserve">Bobine pour electrovanne </t>
  </si>
  <si>
    <t>815CAP145</t>
  </si>
  <si>
    <t>Capteur ICB12S30F04POM1</t>
  </si>
  <si>
    <t>Capteur fin de course CM-1308   YBLXW-5/11Q1    COS</t>
  </si>
  <si>
    <t>Capteur fin de course  YBLX-CK/J10511</t>
  </si>
  <si>
    <t>815CAP047</t>
  </si>
  <si>
    <t>Capteur XS1-M12KP340   12/24VDC ENV HILANS</t>
  </si>
  <si>
    <t>815CAP049</t>
  </si>
  <si>
    <t>Capteur m12 nc/no is-12-e0-s2</t>
  </si>
  <si>
    <t>815con040</t>
  </si>
  <si>
    <t>CONTACTEUR 380/400 V     400A   NC 2     4POL</t>
  </si>
  <si>
    <t>815CON271</t>
  </si>
  <si>
    <t>CONTACTEUR LCD 18    24VDC</t>
  </si>
  <si>
    <t>815CON030</t>
  </si>
  <si>
    <t>CONTACTEUR LCD 50   110 V</t>
  </si>
  <si>
    <t>815CON045</t>
  </si>
  <si>
    <t>CONTACTEUR LCD 50    24VAC</t>
  </si>
  <si>
    <t>815CON054</t>
  </si>
  <si>
    <t>CONTACTEUR LCD 95   220VAC</t>
  </si>
  <si>
    <t>815CON010</t>
  </si>
  <si>
    <t>CONTACTEUR LCD 12    110 VAC</t>
  </si>
  <si>
    <t>815CON007</t>
  </si>
  <si>
    <t xml:space="preserve">CONTACTEUR LCD 12    220VAC </t>
  </si>
  <si>
    <t>815CON005</t>
  </si>
  <si>
    <t xml:space="preserve">CONTACTEUR CDI750    40A 220V </t>
  </si>
  <si>
    <t>815DIS284</t>
  </si>
  <si>
    <t>DISJONCTEUR MOTEUR 1,6/2,5A</t>
  </si>
  <si>
    <t>815DIS030</t>
  </si>
  <si>
    <t>DISJONCTEUR MOTEUR 13,18 A</t>
  </si>
  <si>
    <t>Disjoncteur 63A 4 POL</t>
  </si>
  <si>
    <t>815bob010</t>
  </si>
  <si>
    <t xml:space="preserve"> BOBINE HYD 24VDC AXE   22/50</t>
  </si>
  <si>
    <t>815ELE006</t>
  </si>
  <si>
    <t>ELECTROVANNE max contrôle 8 bar</t>
  </si>
  <si>
    <t>ELECTROVANNE   AC 110V PU220A-04</t>
  </si>
  <si>
    <t>Transformateur allumage 14kv      1,2A  20MA</t>
  </si>
  <si>
    <t>Transformateur allumage 14kv   1A     S.Borne CH</t>
  </si>
  <si>
    <t>815AUT001</t>
  </si>
  <si>
    <t>Module 6ES7 350-1AH03-0AE0</t>
  </si>
  <si>
    <t>MODULE 6ES7 233-1PL32-0XB0</t>
  </si>
  <si>
    <t>Transformateur 50VA   230-400  012*012</t>
  </si>
  <si>
    <t>Transformateur 630VA PRI 0-400V SEC 0-220V</t>
  </si>
  <si>
    <t>815REL343</t>
  </si>
  <si>
    <t>RELAI STATIQUE GJ20DA     20A</t>
  </si>
  <si>
    <t>815rel334</t>
  </si>
  <si>
    <t>RELAIS THERMIQUE 5,5/08 A</t>
  </si>
  <si>
    <t>815rel332</t>
  </si>
  <si>
    <t>RELAIS THERMIQUE 2,5/04</t>
  </si>
  <si>
    <t>815rel331</t>
  </si>
  <si>
    <t>RELAIS THERMIQUE 1,6/2,5</t>
  </si>
  <si>
    <t xml:space="preserve">RELAIS THERMIQUE 04/06 A </t>
  </si>
  <si>
    <t>RELAIS THERMIQUE 23/32 A</t>
  </si>
  <si>
    <t>815REL157</t>
  </si>
  <si>
    <t>RELAIS TEMPO  24VDC 11Broches</t>
  </si>
  <si>
    <t>RELAIS TEMPO  220VAC 08Broches</t>
  </si>
  <si>
    <t>RELAIS TEMPO  220VAC 11Broches</t>
  </si>
  <si>
    <t>RESISTANCE TUBE 5000w/?16/980mm</t>
  </si>
  <si>
    <t>815RES190</t>
  </si>
  <si>
    <t xml:space="preserve">RESISTANCE 4A*36 380V 800w </t>
  </si>
  <si>
    <t>815RES221</t>
  </si>
  <si>
    <t>RESISTANCE CARTOUCHE D16*100 230V 1000W 2 FILS 250 mm</t>
  </si>
  <si>
    <t xml:space="preserve">résistance DALTON 12*5   380mm/1000W/230v </t>
  </si>
  <si>
    <t>815RES220</t>
  </si>
  <si>
    <t>Resistance TUBE D8 L1000 230V 2700W  CIRCULAIRE</t>
  </si>
  <si>
    <t>815RES222</t>
  </si>
  <si>
    <t xml:space="preserve">RESISTANCE   D12 420L 60V  1000W </t>
  </si>
  <si>
    <t>701ELE098</t>
  </si>
  <si>
    <t xml:space="preserve">thermocouple 2*200m </t>
  </si>
  <si>
    <t>815xme017</t>
  </si>
  <si>
    <t>815xme018</t>
  </si>
  <si>
    <t>PRISE CHARGE CHARIOT MALE 160A</t>
  </si>
  <si>
    <t>815xme015</t>
  </si>
  <si>
    <t>PRISE CHARGE CHARIOT FEMELLE 320A</t>
  </si>
  <si>
    <t>815xme013</t>
  </si>
  <si>
    <t>PRISE CHARGE CHARIOT FEMELLE 80A</t>
  </si>
  <si>
    <t>815XPE145</t>
  </si>
  <si>
    <t>SWITCH ISE30A-01-B   12-24VDC</t>
  </si>
  <si>
    <t xml:space="preserve">ELECTROVANNE 15/21 15BG 110 v </t>
  </si>
  <si>
    <t>SELECTEUR ROTATIF 1 POSITION pn 300</t>
  </si>
  <si>
    <t xml:space="preserve">Socle pour rélais 11 BROCHES ROND </t>
  </si>
  <si>
    <t xml:space="preserve">Socle pour rélais 08 BROCHES ROND </t>
  </si>
  <si>
    <t>Condensateur 16 µf climatiseuu salle red</t>
  </si>
  <si>
    <t xml:space="preserve">SPOT LED ROND </t>
  </si>
  <si>
    <t>FICHE MALE 2P+T 25A 220</t>
  </si>
  <si>
    <t>840xou004</t>
  </si>
  <si>
    <t>Boite de controle bruleur RMG 88,62C2</t>
  </si>
  <si>
    <t xml:space="preserve">SPOT LED ROND 36W </t>
  </si>
  <si>
    <t>TEFLON ADHESIF 1000 0,13</t>
  </si>
  <si>
    <t>TEFLON ADHESIF 0,08mm*1000*</t>
  </si>
  <si>
    <t>RACCORD COUDE 12 1/4</t>
  </si>
  <si>
    <t>REGULATEUR DEBIT 8   3/8</t>
  </si>
  <si>
    <t>RACCORD COUDE 10 1/2</t>
  </si>
  <si>
    <t>cable souple 4*1,5</t>
  </si>
  <si>
    <t>cable souple 4*2,5</t>
  </si>
  <si>
    <t>cable souple 3*1,5</t>
  </si>
  <si>
    <t>cable souple 3*2,5</t>
  </si>
  <si>
    <t>VIS TH ACIER 06*80</t>
  </si>
  <si>
    <t>VIS TH INOX 05*60</t>
  </si>
  <si>
    <t>VIS SIX PANS INOX 4*20</t>
  </si>
  <si>
    <t>vis th inox 04*20</t>
  </si>
  <si>
    <t>VIS TH INOX 04*30</t>
  </si>
  <si>
    <t>VIS TH INOX 5*40</t>
  </si>
  <si>
    <t>vis th inox 04*50</t>
  </si>
  <si>
    <t>VIS SIX PANS  (acier) M12*100</t>
  </si>
  <si>
    <t>vis th inox 04*10</t>
  </si>
  <si>
    <t>VIS TH INOX 05*10</t>
  </si>
  <si>
    <t>VIS TH ACIER 06*100</t>
  </si>
  <si>
    <t>VIS TH INOX 8*10</t>
  </si>
  <si>
    <t>Jeu de taraud 04</t>
  </si>
  <si>
    <t>Jeu de taraud 12</t>
  </si>
  <si>
    <t>Jeu de taraud 14</t>
  </si>
  <si>
    <t>jeu taraud 10</t>
  </si>
  <si>
    <t>JOINT TORIQUE EN NBR 70 OR 37,77-2,62    persage</t>
  </si>
  <si>
    <t>JOINT TORIQUE EN NBR 70 OR 12,42-1,78  persage</t>
  </si>
  <si>
    <t>JOINT TORIQUE EN NBR 70 OR  33-3     persage</t>
  </si>
  <si>
    <t>RONDELLE CUIVRE 10-16-1,5   persage</t>
  </si>
  <si>
    <t>ROULEAU BANDE ALLUMINUIM   5/25</t>
  </si>
  <si>
    <t xml:space="preserve">VIS SIX PANS M4*10  INOX </t>
  </si>
  <si>
    <t>COUDE GALVA 1" 1/2</t>
  </si>
  <si>
    <t xml:space="preserve">MONCHON PPR 25 </t>
  </si>
  <si>
    <t>TUBE PPR 25</t>
  </si>
  <si>
    <t>GALET SODAGE PPR 32</t>
  </si>
  <si>
    <t>GALET SODAGE PPR 63</t>
  </si>
  <si>
    <t>GALET SODAGE PPR 25</t>
  </si>
  <si>
    <t>GALET SODAGE PPR  40</t>
  </si>
  <si>
    <t>GALET SODAGE PPR  75</t>
  </si>
  <si>
    <t>GALET SODAGE PPR 20</t>
  </si>
  <si>
    <t xml:space="preserve">JEUX 14  TOURNEVIS </t>
  </si>
  <si>
    <t>CLE MIXTE 17</t>
  </si>
  <si>
    <t>CLE MIXTE 19</t>
  </si>
  <si>
    <t>CLE MIXTE 08</t>
  </si>
  <si>
    <t>CLE MIXTE 07</t>
  </si>
  <si>
    <t>CADENAS 40 MM</t>
  </si>
  <si>
    <t>PINCE UNIVERSELLE 180MM</t>
  </si>
  <si>
    <t>CLE A PIPE 13</t>
  </si>
  <si>
    <t>CLE MIXTE 10</t>
  </si>
  <si>
    <t>CLE A PIPE 10</t>
  </si>
  <si>
    <t>CLE MIXTE 13</t>
  </si>
  <si>
    <t>JEUX 09 CLE MALE SIXPANS</t>
  </si>
  <si>
    <t>MONTURE DE SCIE 12"</t>
  </si>
  <si>
    <t>BURIN PLAT 25 CM</t>
  </si>
  <si>
    <t>ROULETTE DE 05M</t>
  </si>
  <si>
    <t>CLE A MOULETTE 15"</t>
  </si>
  <si>
    <t>TENAILLE RUSSE 228MM</t>
  </si>
  <si>
    <t>PINCE  A GAZ 250MM</t>
  </si>
  <si>
    <t>CLE MIXTE 13MM</t>
  </si>
  <si>
    <t>casse outil 400mm apt</t>
  </si>
  <si>
    <t>PIED A COULISE NUMERIQUE 150 MM</t>
  </si>
  <si>
    <t>MODULE DE SORTIE SIEMENS SIMATIC S7-300 ANALOGIC INPUT SM 333 6ES7331</t>
  </si>
  <si>
    <t>708ELE030</t>
  </si>
  <si>
    <t xml:space="preserve">TTHERMOCOUPLE PT100 MALAXEUR EMP SOVEMA </t>
  </si>
  <si>
    <t>708ELE031</t>
  </si>
  <si>
    <t>TRANSMETTER 41114 MALAXEUR EMP SOVEMA</t>
  </si>
  <si>
    <t>708ELE032</t>
  </si>
  <si>
    <t>PROGRAMING KPAD MALAXEUR EMP SOVEMA</t>
  </si>
  <si>
    <t xml:space="preserve">SONDE D'ALLUMAGE </t>
  </si>
  <si>
    <t>SONDE DETECTEUR DE FLAME</t>
  </si>
  <si>
    <t>AXE INOX POUR POME BOXER 241 PP</t>
  </si>
  <si>
    <t>KIT COMPLET BOXER 241 PP</t>
  </si>
  <si>
    <t>ECHANGEUR PNEUMATIQUE BOXER 251 PP</t>
  </si>
  <si>
    <t xml:space="preserve">MOTO POMPE 1CV </t>
  </si>
  <si>
    <t>MONCHON MC-H311</t>
  </si>
  <si>
    <t xml:space="preserve">PARAHUILE TC 40*60*10 </t>
  </si>
  <si>
    <t>Roulement6208-2Z</t>
  </si>
  <si>
    <t>Roulement6208-2RS</t>
  </si>
  <si>
    <t>TAPIS 3635X90 2.8mmPERFOREE  sticker chinois</t>
  </si>
  <si>
    <t>PRESSOSTAT POMPE RIA2-8 bar B12CN FANTINI COSMI</t>
  </si>
  <si>
    <t>880pma024</t>
  </si>
  <si>
    <t xml:space="preserve">Roue bob cat s450 )     165/70R16.5                           </t>
  </si>
  <si>
    <t>CHARBON</t>
  </si>
  <si>
    <t>TIREFOND DE COLLIER 7/40</t>
  </si>
  <si>
    <t>CHEVILLE A GOUJON 12/80</t>
  </si>
  <si>
    <t>ANTIROUILLE ROUGE 5KG</t>
  </si>
  <si>
    <t>CARTUCHE MOHAIR</t>
  </si>
  <si>
    <t>TIGE RLX CLIPS</t>
  </si>
  <si>
    <t>ROULETTE ANTIGOUTTE</t>
  </si>
  <si>
    <t>PINCEAU PLAT DE 50</t>
  </si>
  <si>
    <t>BLOC MULTIPRISE 3P+T</t>
  </si>
  <si>
    <t>chaines 12 B 2</t>
  </si>
  <si>
    <t>RONDELLE  ACIER M04</t>
  </si>
  <si>
    <t>ECROU  ACIER M04</t>
  </si>
  <si>
    <t>tige fileté (acier)M18</t>
  </si>
  <si>
    <t xml:space="preserve">RONDELLE M 20 GAL </t>
  </si>
  <si>
    <t xml:space="preserve">meche beton  M12 </t>
  </si>
  <si>
    <t>MECHE ACIER M16</t>
  </si>
  <si>
    <t>MCHE ACIER M14</t>
  </si>
  <si>
    <t>MECHE ACIER M12</t>
  </si>
  <si>
    <t>MECHE ACIER M11</t>
  </si>
  <si>
    <t>MECHE ACIER M10,5</t>
  </si>
  <si>
    <t>MEECHE ACIER M10</t>
  </si>
  <si>
    <t>MECHE ACIER M8,5</t>
  </si>
  <si>
    <t>MECHE ACIER M08</t>
  </si>
  <si>
    <t>MECHE ACIER M07</t>
  </si>
  <si>
    <t>MECHE ACIER M6,5</t>
  </si>
  <si>
    <t>MECHE ACIER M06</t>
  </si>
  <si>
    <t>MECHE ACIER M5,5</t>
  </si>
  <si>
    <t>MECHE ACIER M05</t>
  </si>
  <si>
    <t>MECHE ACIER M4,5</t>
  </si>
  <si>
    <t>MECHE ACIER M04</t>
  </si>
  <si>
    <t>MECHE ACIER 03</t>
  </si>
  <si>
    <t>FER A SOUDEURE</t>
  </si>
  <si>
    <t>sac manche filtrante feutre polyster 132mm/2500mm</t>
  </si>
  <si>
    <t>manequin en acier galvaniser 132mm/2500mm</t>
  </si>
  <si>
    <t>ROULLEMENT DE ROUE</t>
  </si>
  <si>
    <t>pneu chariot clark 650/10 avec chambre d'air et flaps</t>
  </si>
  <si>
    <t xml:space="preserve">roue bobcat s460  165/70R16.5                           </t>
  </si>
  <si>
    <t>PARE HUILE MOYEU NISSAN</t>
  </si>
  <si>
    <t xml:space="preserve">eau radiateur </t>
  </si>
  <si>
    <t>PL 289 TU</t>
  </si>
  <si>
    <t>DOT.PRO.RIS&amp;CHA.EXPL</t>
  </si>
  <si>
    <t>RECAP°</t>
  </si>
  <si>
    <t>AFFCTATION COMPTA</t>
  </si>
  <si>
    <t>Bande M-</t>
  </si>
  <si>
    <t>Bande M+</t>
  </si>
  <si>
    <t>dechet PLOMB 1,8%</t>
  </si>
  <si>
    <t>crasse OXYDE</t>
  </si>
  <si>
    <t>PLOMB D'OEUVRE SNR</t>
  </si>
  <si>
    <t>PLAQUE PB + (BATT SF PROD+ELEMENT)</t>
  </si>
  <si>
    <t>PLAQUE PB-  (BATT SF PROD+ELEMENT)</t>
  </si>
  <si>
    <t>L3B 6/6 KMINA</t>
  </si>
  <si>
    <t>PL6 MF</t>
  </si>
  <si>
    <t xml:space="preserve">PLAQUE EMPATEE MP </t>
  </si>
  <si>
    <t xml:space="preserve">PLAQUE EMPATEE MN </t>
  </si>
  <si>
    <t>PLAQUE EMPATEE MP PUNCHING LATERAL</t>
  </si>
  <si>
    <t>PLAQUE EMPATEE MN PUNCHING LATERAL</t>
  </si>
  <si>
    <t>PLAQUE EMPATEE LB+</t>
  </si>
  <si>
    <t>PLAQUE PM+</t>
  </si>
  <si>
    <t>PLAQUE EMPATEE MP SP</t>
  </si>
  <si>
    <t xml:space="preserve">BAC D23 P0 C33 B01 NOIR </t>
  </si>
  <si>
    <t>BAC N70 P0 C46,5 B01 NOIR D31</t>
  </si>
  <si>
    <t>PLAQUE EMPATEE MP PUNCHING LATERAL (ELEMENT)</t>
  </si>
  <si>
    <t>PLAQUE EMPATEE MN PUNCHING LATERAL  (ELEMENT)</t>
  </si>
  <si>
    <t>400L0618</t>
  </si>
  <si>
    <t>BAC L6 NOIR P0 C58,8 24121021B74</t>
  </si>
  <si>
    <t>400N50A03</t>
  </si>
  <si>
    <t>BAC N50 P0 C40 NOIR A LISTEAUX ATI</t>
  </si>
  <si>
    <t>420N50A05</t>
  </si>
  <si>
    <t>COUV N50 T-AKUMSAN D+ NOIR AVEC OM ATI</t>
  </si>
  <si>
    <t>460D1848</t>
  </si>
  <si>
    <t>Magic eye 19.16 / 57.7 MM SMF L1B-L5B</t>
  </si>
  <si>
    <t>490T50A01</t>
  </si>
  <si>
    <t>COUVRE COUVERCLE N50 T-ATINOIR</t>
  </si>
  <si>
    <t>490T70A01</t>
  </si>
  <si>
    <t>COUVRE COUVERCLE N70 T-ATI NOIR</t>
  </si>
  <si>
    <t>L3 N/N 4/5</t>
  </si>
  <si>
    <t>UFM45J6X082R2</t>
  </si>
  <si>
    <t>BATT L2 MF JUMBO LYBIE L</t>
  </si>
  <si>
    <t>UFLB55B2K072R2</t>
  </si>
  <si>
    <t>UFLB89L5K072R2</t>
  </si>
  <si>
    <t>BATTERIE  FINIE PL5K89</t>
  </si>
  <si>
    <t>UFMSP00BF003L2</t>
  </si>
  <si>
    <t>Unformed starter battery 50Ah 12V L - G245J7X0_1Nour_L</t>
  </si>
  <si>
    <t>UFM67J0X002R2</t>
  </si>
  <si>
    <t>NO NAME</t>
  </si>
  <si>
    <t>p</t>
  </si>
  <si>
    <t>CENTREUR (gupile cuivre +support centreur +came +centreur)</t>
  </si>
  <si>
    <t>P</t>
  </si>
  <si>
    <t xml:space="preserve">HUILE 68 COMP ATLAS COPCO </t>
  </si>
  <si>
    <t>TUBE CARRE INOX 40*40*2mm</t>
  </si>
  <si>
    <t>TUBE CARRE INOX 20*20*1,5mm</t>
  </si>
  <si>
    <t xml:space="preserve">ELECTROVANNE 15/21 15BG  24 v </t>
  </si>
  <si>
    <t>Valeur de stock 31-08-2024</t>
  </si>
  <si>
    <t>Inventaire Aout 2024</t>
  </si>
  <si>
    <t>rebut plaque SNA 2</t>
  </si>
  <si>
    <t xml:space="preserve">PLOMB D'OEUVRE SNA </t>
  </si>
  <si>
    <t>PLAQUE  MP+ (BATT SF PROD+ELEMENT)</t>
  </si>
  <si>
    <t>PLAQUE  MN- (BATT SF PROD+ELEMENT)</t>
  </si>
  <si>
    <t>Lid J0 X R black with eye</t>
  </si>
  <si>
    <t>Bande LB+</t>
  </si>
  <si>
    <t>Bande LB-</t>
  </si>
  <si>
    <t>PLAQUE ET</t>
  </si>
  <si>
    <t>PLAQUE PT</t>
  </si>
  <si>
    <t>PLAQUE TT</t>
  </si>
  <si>
    <t>rebut patte SNA 2</t>
  </si>
  <si>
    <t xml:space="preserve"> Battery Division </t>
  </si>
  <si>
    <t>BATT L2</t>
  </si>
  <si>
    <t>Unformed starter battery 35Ah 12V R - MRT34J3X102R2</t>
  </si>
  <si>
    <t>BATTERIE NS40D</t>
  </si>
  <si>
    <t>rebut plaque SNA 1</t>
  </si>
  <si>
    <t xml:space="preserve">UN        </t>
  </si>
  <si>
    <t xml:space="preserve">UN   </t>
  </si>
  <si>
    <t>420L0148</t>
  </si>
  <si>
    <t>COUV L1 SMF D+ NOIR sans oeil magic</t>
  </si>
  <si>
    <t>420L0246</t>
  </si>
  <si>
    <t>COUV L2 SMF NOIR D+ sans oeil magic</t>
  </si>
  <si>
    <t>420L0346</t>
  </si>
  <si>
    <t>COUV L3 SMF NOIR D+ sans oeil magic</t>
  </si>
  <si>
    <t xml:space="preserve"> UN</t>
  </si>
  <si>
    <t>420L0546</t>
  </si>
  <si>
    <t>COUV L5 SMF D+ NOIR sans OM</t>
  </si>
  <si>
    <t>COUV L6 EK D NOIR FAI 24132015B70           A</t>
  </si>
  <si>
    <t>COUV NS60 D+  AVEC OM NOIR GRANDE BORNE</t>
  </si>
  <si>
    <t>ETIQ B M14 SMF 140AH-860(EN) 310</t>
  </si>
  <si>
    <t xml:space="preserve">UN             </t>
  </si>
  <si>
    <t>ETIQ COUV NOUR M14SMF 140AH-860(EN)360/130</t>
  </si>
  <si>
    <t>ETIQ COUV NOUR M16SMF 230AH-1250A(EN)360/180</t>
  </si>
  <si>
    <t>520x0050</t>
  </si>
  <si>
    <t>ETIQUETTE CE MONBAT</t>
  </si>
  <si>
    <t>520X0051</t>
  </si>
  <si>
    <t>ETIQUETTE CE DT BATTERIES D'AMOR</t>
  </si>
  <si>
    <t>520X0052</t>
  </si>
  <si>
    <t>ETIQUETTE CE LITTORAL BAT</t>
  </si>
  <si>
    <t>520X0053</t>
  </si>
  <si>
    <t>ETIQ CE PROXITEC</t>
  </si>
  <si>
    <t xml:space="preserve">ETIQUETTE BAC WINMAX  L1&amp;L2&amp;L3&amp;NS40&amp;NS        </t>
  </si>
  <si>
    <t>530X0018</t>
  </si>
  <si>
    <t>CARTE GRANTIE NOUR 2024</t>
  </si>
  <si>
    <t>580P0013</t>
  </si>
  <si>
    <t>POLYST.112/72/3CM D16</t>
  </si>
  <si>
    <t>S2SMF</t>
  </si>
  <si>
    <t>PRL2SMF</t>
  </si>
  <si>
    <t>PRL3BSMF</t>
  </si>
  <si>
    <t>TAPIS CONVOYEUR GALVANISEE LARGEU 700mm TYPE WB SA 9,5*8,6-1,2-1,5</t>
  </si>
  <si>
    <t xml:space="preserve"> </t>
  </si>
  <si>
    <t>Regulator SNS AL3000 M.Nivelage</t>
  </si>
  <si>
    <t>CNF FLEXIBLE ARME DN 06 LG 2500mm RAC C/C</t>
  </si>
  <si>
    <t>ADAPTATEUR HYD MALE/MALE CONIQUE</t>
  </si>
  <si>
    <t>CNF FLEXIBLE INOX DN 06 LG 700 mm RAC C/C</t>
  </si>
  <si>
    <t>CNF REDUCTION M/F CONIQUE</t>
  </si>
  <si>
    <t>CNF FLEXIBLE ARMEE DN 06 LG 800 mm</t>
  </si>
  <si>
    <t>COLLIER DE SERRAGE 32-35</t>
  </si>
  <si>
    <t>TUYAU CRISTAL ACIDE DN25</t>
  </si>
  <si>
    <t>COLLIER DE SERRAGE 40-43</t>
  </si>
  <si>
    <t>COLLIER DE SERRAGE 44-47</t>
  </si>
  <si>
    <t>CHEMIN DE CABLE 155*60</t>
  </si>
  <si>
    <t>CONSOLE 155</t>
  </si>
  <si>
    <t>POMPE A EAU REF PKM 60</t>
  </si>
  <si>
    <t>ELECTROPOMPE K14/400 T DAB</t>
  </si>
  <si>
    <t>Coude</t>
  </si>
  <si>
    <t>702ELE112</t>
  </si>
  <si>
    <t xml:space="preserve">AUTOMATIC SWITCH </t>
  </si>
  <si>
    <t>702ELE113</t>
  </si>
  <si>
    <t>AUX CONTACT</t>
  </si>
  <si>
    <t>702ELE114</t>
  </si>
  <si>
    <t>702ELE118</t>
  </si>
  <si>
    <t>702ELE120</t>
  </si>
  <si>
    <t>702ELE122</t>
  </si>
  <si>
    <t>TRANSFORMER 400KVA</t>
  </si>
  <si>
    <t>702ELE123</t>
  </si>
  <si>
    <t>TRANSFORMER 50 KVA</t>
  </si>
  <si>
    <t>702ELE124</t>
  </si>
  <si>
    <t>TRANSFORMER 220/300V</t>
  </si>
  <si>
    <t>702ELE125</t>
  </si>
  <si>
    <t>SWITCH 10A</t>
  </si>
  <si>
    <t>702ELE126</t>
  </si>
  <si>
    <t>SWITCH 6A</t>
  </si>
  <si>
    <t>702ELE127</t>
  </si>
  <si>
    <t>SWITCH 4A</t>
  </si>
  <si>
    <t>702ELE128</t>
  </si>
  <si>
    <t>SWITCH 3A</t>
  </si>
  <si>
    <t>702ELE129</t>
  </si>
  <si>
    <t>SWITCH 1A</t>
  </si>
  <si>
    <t>702ELE130</t>
  </si>
  <si>
    <t>SWITCH 0,5A</t>
  </si>
  <si>
    <t>702ELE131</t>
  </si>
  <si>
    <t>SWITCH 0,50A</t>
  </si>
  <si>
    <t>702ELE132</t>
  </si>
  <si>
    <t>CONTACTOR 9A</t>
  </si>
  <si>
    <t>702ELE133</t>
  </si>
  <si>
    <t>TRANSFORMER 10/20 MA</t>
  </si>
  <si>
    <t>702ELE134</t>
  </si>
  <si>
    <t>TRANSFORMER 200/20 MA</t>
  </si>
  <si>
    <t>702ELE135</t>
  </si>
  <si>
    <t xml:space="preserve">SEAL KIT FOR CYLINDER PLLER </t>
  </si>
  <si>
    <t>NS60 G 4/5 HH BF binshihoun</t>
  </si>
  <si>
    <t>STB MEGRINE PROF</t>
  </si>
  <si>
    <t>ACIDE CHLORHYDRIQUE</t>
  </si>
  <si>
    <t>LUBRIFIANT</t>
  </si>
  <si>
    <t>PRODUITS DE NETTOYAGE</t>
  </si>
  <si>
    <t>MATERIL DE SECURITE</t>
  </si>
  <si>
    <t>ENTRETIENTS</t>
  </si>
  <si>
    <t>VOYAGES ET DEPLACEM</t>
  </si>
  <si>
    <t>PRODUI.DES ACTIV.ANNES</t>
  </si>
  <si>
    <t xml:space="preserve">Affectation analyse de stock </t>
  </si>
  <si>
    <t>Plomb doux creuset</t>
  </si>
  <si>
    <t>BIN CHIHOUN</t>
  </si>
  <si>
    <t>ACHAT ACIDE ACETIQUE</t>
  </si>
  <si>
    <t>INT.BANC.SUR OPER.FIN</t>
  </si>
  <si>
    <t>MICROPOROUS E10078</t>
  </si>
  <si>
    <t>ELBAT E10089</t>
  </si>
  <si>
    <t>OUEST BATTERIE X033003</t>
  </si>
  <si>
    <t>INTERET/ CREDIT LEASING</t>
  </si>
  <si>
    <t>MONBAT X359001</t>
  </si>
  <si>
    <t>LITTORAL BATTERIES X033001</t>
  </si>
  <si>
    <t>PROXITECH X033004</t>
  </si>
  <si>
    <t>ERRAFIK EDDAYEM X218004</t>
  </si>
  <si>
    <t>Bande PB-</t>
  </si>
  <si>
    <t>ETAIN NON TRAITE ( Analyse justifiée )</t>
  </si>
  <si>
    <t>520X0054</t>
  </si>
  <si>
    <t>ETIQUETTE CE OUESTE BAT</t>
  </si>
  <si>
    <t>520X0055</t>
  </si>
  <si>
    <t>ETIQUETTE TRANSPARENT EN 66MM/60MM</t>
  </si>
  <si>
    <t>ETIQUETTE ROYALCERT 50/35</t>
  </si>
  <si>
    <t>521X0430</t>
  </si>
  <si>
    <t>ELECTRON ELECTRON</t>
  </si>
  <si>
    <t>521X0434</t>
  </si>
  <si>
    <t>ETIQ COUVERCLE M15 210/40 ELECTRON</t>
  </si>
  <si>
    <t>521X0435</t>
  </si>
  <si>
    <t>ETIQ COUVERCLE M15S 210/4 ELECTRON</t>
  </si>
  <si>
    <t>521X0436</t>
  </si>
  <si>
    <t>ETIQ COUVERCLE M16 210/40 ELECTRON</t>
  </si>
  <si>
    <t>521X0437</t>
  </si>
  <si>
    <t>ETIQ COUVERCLE M16S 210/4 ELECTRON</t>
  </si>
  <si>
    <t>521x0439</t>
  </si>
  <si>
    <t>ETIQ COUV1 J0/D31 280/52 700A</t>
  </si>
  <si>
    <t>521x0444</t>
  </si>
  <si>
    <t>521x0445</t>
  </si>
  <si>
    <t>ETQ M15 S 5S 210/40 ELECTRON 200 AH</t>
  </si>
  <si>
    <t>CRASSE 3% SNA 1</t>
  </si>
  <si>
    <t>CRASSE OXYDE</t>
  </si>
  <si>
    <t>CRASSE STRIP</t>
  </si>
  <si>
    <t xml:space="preserve">PLEXIGLACE  10mm (305*203) </t>
  </si>
  <si>
    <t>Raccord DROIT 8*1/4</t>
  </si>
  <si>
    <t>ACCOUPLEMENT C65Melangeur Fonderie</t>
  </si>
  <si>
    <t>Roulement 6404-2rsEMAPTTAGE+RIA</t>
  </si>
  <si>
    <t>810ROU194</t>
  </si>
  <si>
    <t>RoulementR8 2RS</t>
  </si>
  <si>
    <t>Huile 46</t>
  </si>
  <si>
    <t>M45J6X082R1S121</t>
  </si>
  <si>
    <t>ACHAT MONCHONS</t>
  </si>
  <si>
    <t>ACHAT SOUS-TRAIT.DE PROD NBI</t>
  </si>
  <si>
    <t>N</t>
  </si>
  <si>
    <t>490C0004</t>
  </si>
  <si>
    <t>CALE PLASTIC EP/12.5MM</t>
  </si>
  <si>
    <t>Spacer 8 mm</t>
  </si>
  <si>
    <t>Spacer 28 mm</t>
  </si>
  <si>
    <t>Spacer 32 mm</t>
  </si>
  <si>
    <t>PLAQUE MPN</t>
  </si>
  <si>
    <t>Creuset 1,8%</t>
  </si>
  <si>
    <t>PLAQUE PB-  (ELEMENT)</t>
  </si>
  <si>
    <t>PLAQUE PB + (ELEMENT)</t>
  </si>
  <si>
    <t>PLAQUE EMPATEE MPLSP (ELEMENT)</t>
  </si>
  <si>
    <t>PLAQUE EMPATEE MNL (ELEMENT)</t>
  </si>
  <si>
    <t>PLAQUE EMPATEE MPLSP (BATT SF PROD)</t>
  </si>
  <si>
    <t>PLAQUE EMPATEE MNL (BATT SF PROD)</t>
  </si>
  <si>
    <t>ELECTRO POMPE CENTRIFUGE TYPE MB 130</t>
  </si>
  <si>
    <t>810acc002</t>
  </si>
  <si>
    <t>Labo</t>
  </si>
  <si>
    <t>MAT. INFORMATIQUE</t>
  </si>
  <si>
    <t>EMBALLAGES ETRAGERS</t>
  </si>
  <si>
    <t>Affectation Compta</t>
  </si>
  <si>
    <t xml:space="preserve"> CALLE POLYST.ALGERIE</t>
  </si>
  <si>
    <t>COUV L6 EK D NOIR FAI 24132015B70                A</t>
  </si>
  <si>
    <t>Spacer 20 mm</t>
  </si>
  <si>
    <t>Spacer 24 mm</t>
  </si>
  <si>
    <t>ETIQ B M14 SMF140AH-860(EN) 310</t>
  </si>
  <si>
    <t>ETIQ BAC M16 SMF230AH-1250A(EN)3</t>
  </si>
  <si>
    <t>500x0348</t>
  </si>
  <si>
    <t>Etiquette Bac JUMBO Grand 310/135</t>
  </si>
  <si>
    <t>500x0349</t>
  </si>
  <si>
    <t>Etiquette Bac POWER Moyen 95/230</t>
  </si>
  <si>
    <t>500x0350</t>
  </si>
  <si>
    <t>Etiquette Bac POWER PetitE 90/180</t>
  </si>
  <si>
    <t>500x0351</t>
  </si>
  <si>
    <t>Etiquette Bac PREMIUM MoyNE FORMAT 95/230</t>
  </si>
  <si>
    <t>500x0353</t>
  </si>
  <si>
    <t>Etiquette Bac SMART Moyenne format 95/230</t>
  </si>
  <si>
    <t>500x0354</t>
  </si>
  <si>
    <t>Etiquette Bac SMART Petite format 90/180</t>
  </si>
  <si>
    <t>COUV M11 G NOIR RS 2D062003B70</t>
  </si>
  <si>
    <t>COUV M11 D NOIR RS 2D062001B70</t>
  </si>
  <si>
    <t>UFML89AF002L2</t>
  </si>
  <si>
    <t xml:space="preserve">BATTERIE TRUCK M14  8+/9- lateral </t>
  </si>
  <si>
    <t>M55J0X002R1S13</t>
  </si>
  <si>
    <t>BANDE PB POSITIVE</t>
  </si>
  <si>
    <t>NEGATIVE PUNCHING GRID  PB</t>
  </si>
  <si>
    <t>POSITIVE PUNCHING GRID PB</t>
  </si>
  <si>
    <t>PLAQUE MP+  (ELEMENT)</t>
  </si>
  <si>
    <t>PLAQUE MPN (ELEMENT)</t>
  </si>
  <si>
    <t>PLAQUE MP+  (BATT SF)</t>
  </si>
  <si>
    <t>PLAQUE MPN (BATT SF)</t>
  </si>
  <si>
    <t>MOTEUR 1.5KW 4P 220/380V B5 CANTONI</t>
  </si>
  <si>
    <t>10100000 CAPITAL SOCIAL</t>
  </si>
  <si>
    <t>11101000 RESERVES LEGALES</t>
  </si>
  <si>
    <t>12100000 RESULTAT REPORTES</t>
  </si>
  <si>
    <t>12200000 ammortisssemnts differes</t>
  </si>
  <si>
    <t>12800000 MODI.COM.EFF.RLT.REP</t>
  </si>
  <si>
    <t>13000000 RESULT. DE L'EXERCIC.</t>
  </si>
  <si>
    <t>14500000 SUBVENTIONS D'INVES.</t>
  </si>
  <si>
    <t>14508000 AMORT.DES SUBV.D'INV</t>
  </si>
  <si>
    <t>15100000 PROVI.POUR RISQUES</t>
  </si>
  <si>
    <t>16210250 CREDIT STUSID</t>
  </si>
  <si>
    <t>16210500 CREDITS STB</t>
  </si>
  <si>
    <t>16210960 CREDITS B.T.K.D</t>
  </si>
  <si>
    <t>16400000 EMPT.DET.AS.COND.PA.</t>
  </si>
  <si>
    <t>18800000 AUTRES</t>
  </si>
  <si>
    <t>21100000 INVEST.DE RECH.ET DE</t>
  </si>
  <si>
    <t>21300000 LOGICIELS</t>
  </si>
  <si>
    <t>22000000 IMMOBIL.CORPORELLES</t>
  </si>
  <si>
    <t>22100000 TERRAINS</t>
  </si>
  <si>
    <t>22160000 AGEN.AMENAG.D.TERAI</t>
  </si>
  <si>
    <t>22200000 CONSTURCTIONS</t>
  </si>
  <si>
    <t>22250000 INSTAL.GL.AGE.AM.CON</t>
  </si>
  <si>
    <t>22300000 INST.TECH.MAT&amp;OUT.IN</t>
  </si>
  <si>
    <t>22310000 INSTALLATIONS TECHN</t>
  </si>
  <si>
    <t>22340000 MATERIEL INDUSTRIEL</t>
  </si>
  <si>
    <t>22350000 OUTILLAGE INDUSTRIEL</t>
  </si>
  <si>
    <t>22370000 AGEN.AME.MAT.OUT.IN</t>
  </si>
  <si>
    <t>22400000 MATERIEL DE TRANSPORT</t>
  </si>
  <si>
    <t>22810000 INSTAL.GLES.AG.AM.DI</t>
  </si>
  <si>
    <t>22820000 EQUIPEMENTS DE BURE.</t>
  </si>
  <si>
    <t>22830000 MATERIELS INFORMATIQUES</t>
  </si>
  <si>
    <t>23000000 IMMOBILISATION EN CO</t>
  </si>
  <si>
    <t>23100000 IMMOB.INCOR.EN COUR</t>
  </si>
  <si>
    <t>23200000 IMMO.COR.EN COURS</t>
  </si>
  <si>
    <t>23220000 CONSTRUC.EN COURS</t>
  </si>
  <si>
    <t>23225000 INST.GEN.A.A.CONS.CO</t>
  </si>
  <si>
    <t>23231000 INST.TECHNIQ.EN COU</t>
  </si>
  <si>
    <t>23237000 A.A MAT&amp;OUT.IND.EN C</t>
  </si>
  <si>
    <t>23250000 Plantations en cours</t>
  </si>
  <si>
    <t>23800000 AVC&amp;ACP/COM IMM.INC</t>
  </si>
  <si>
    <t>24000000 IMMOB.A STAT.JUR.PAR</t>
  </si>
  <si>
    <t>25100000 TITRES DE PARTICIPAT.</t>
  </si>
  <si>
    <t>25110000 TITRES DE PARTICIPAT.SND</t>
  </si>
  <si>
    <t>25120000 TITRES DE PARTICIPAT.NHB</t>
  </si>
  <si>
    <t>25130000 TITRES DE PARTICIP. TIP</t>
  </si>
  <si>
    <t>25140000 TITRES PARTICIPATION SNR</t>
  </si>
  <si>
    <t>25150000 TITRES PARTICIPATION AKU</t>
  </si>
  <si>
    <t>25700000 CREAN.RAT.A DES PAR</t>
  </si>
  <si>
    <t>25810000 AVANCE SUR PARTICIPATION</t>
  </si>
  <si>
    <t>26400000 PRETS</t>
  </si>
  <si>
    <t>26430000 PRETS AU PERSONNEL</t>
  </si>
  <si>
    <t>26500000 DEPOTS ET CAUT.VERS</t>
  </si>
  <si>
    <t>26510000 DEPOTS</t>
  </si>
  <si>
    <t>26550000 CAUTIONNEMENTS</t>
  </si>
  <si>
    <t>26580000 AUTRES</t>
  </si>
  <si>
    <t>27100000 FRAIS PRELIMINAIRES</t>
  </si>
  <si>
    <t>28100000 AMORT.DES IMM.INCOR</t>
  </si>
  <si>
    <t>28110000 INVEST.DE RECH&amp;DEVE</t>
  </si>
  <si>
    <t>28130000 LOGICIELS</t>
  </si>
  <si>
    <t>28216000 AMOR.AGE.&amp;AME.D.TER</t>
  </si>
  <si>
    <t>28220000 AMORTISSEMENT/CONS</t>
  </si>
  <si>
    <t>28225000 AMOR.INS.GEN.AG&amp;A.C</t>
  </si>
  <si>
    <t>28230000 AMO.INS.TECH.M.OU.IN</t>
  </si>
  <si>
    <t>28234000 AMORT./MATERIEL IND.</t>
  </si>
  <si>
    <t>28235000 AMORT./OUTIL.INDUST.</t>
  </si>
  <si>
    <t>28237000 AMOR./AGC&amp;AMEG.M.O.</t>
  </si>
  <si>
    <t>28240000 AMORT.MAT.DE TRANS</t>
  </si>
  <si>
    <t>28282000 AMOR.EQUIP.DE BURE.</t>
  </si>
  <si>
    <t>28283000 AMORT. MAT.INFORMATIQUES</t>
  </si>
  <si>
    <t>28400000 Amort.immob.carc.jur.par</t>
  </si>
  <si>
    <t>29220000 CONSTRUCTIONS</t>
  </si>
  <si>
    <t>29234000 PROV/MAT.INDUTRIEL</t>
  </si>
  <si>
    <t>29235000 PROV/OUTILLAGE INDUSTR</t>
  </si>
  <si>
    <t>29282000 EQUIPEMENT DE BURE.</t>
  </si>
  <si>
    <t>29286500 MATERIELS D'EMBALAG.</t>
  </si>
  <si>
    <t>29700000 PROV.P.DEPR.AU.IM.FIN</t>
  </si>
  <si>
    <t>31100000 MATIERE PREMIERE</t>
  </si>
  <si>
    <t>31200000 STOCK EN TRANSIT</t>
  </si>
  <si>
    <t>32200000 FOURNITURES CONSO.</t>
  </si>
  <si>
    <t>33100000 PRODUITS EN COURS</t>
  </si>
  <si>
    <t>33500000 TRAVAUX EN COURS</t>
  </si>
  <si>
    <t>34100000 ETUDES EN COURS</t>
  </si>
  <si>
    <t>35500000 PRODUITS FINIS</t>
  </si>
  <si>
    <t>39000000 PROVISIONS P.DEPR.STO</t>
  </si>
  <si>
    <t>40100000 FOURNISSEURS LOCAU</t>
  </si>
  <si>
    <t>40300000 FOURNIS.LOC.EFFE.A.P</t>
  </si>
  <si>
    <t>40301000 FOUR.LOC.EFF.A.P.I.GRO</t>
  </si>
  <si>
    <t>40400000 FOURNIS.D'IMMOBILISA.</t>
  </si>
  <si>
    <t>40470000 FSSR RETENU DE GARANTIE</t>
  </si>
  <si>
    <t>40600000 FOURNISSEURS ETRAN.</t>
  </si>
  <si>
    <t>40800000 FOUR.FACT.N.PARVENU</t>
  </si>
  <si>
    <t>40810000 FOUR.LOC.FAC.N.PARVE</t>
  </si>
  <si>
    <t>40860000 FOUR.ETR.FACT.N.PAR</t>
  </si>
  <si>
    <t>40910000 FOURN.AV&amp;ACP.CERS.COM</t>
  </si>
  <si>
    <t>41100000 CLIENTS</t>
  </si>
  <si>
    <t>41301000 CLIENTS EFETS A RECEV</t>
  </si>
  <si>
    <t>41500000 CLIENTS ETRANGERS</t>
  </si>
  <si>
    <t>41601000 EFFETS IMPAYES</t>
  </si>
  <si>
    <t>41800000 CLIENTS PROD.N.ENC.F</t>
  </si>
  <si>
    <t>41910000 CLIE. AV&amp;ACPT.REC.COMM</t>
  </si>
  <si>
    <t>42100000 PERSON.AVA.ET.ACOMP</t>
  </si>
  <si>
    <t>42110000 AVANCES AUTOM./ARO</t>
  </si>
  <si>
    <t>42120000 PRETS SUR SALAIRES</t>
  </si>
  <si>
    <t>42400000 ASSURANCE GROUPE</t>
  </si>
  <si>
    <t>42500000 PERS.REMUNERA.DUES</t>
  </si>
  <si>
    <t>42700000 OPPOSITIONS</t>
  </si>
  <si>
    <t>42710000 PRETS CNSS</t>
  </si>
  <si>
    <t>42820000 PROVISION/CONGE A PAYER</t>
  </si>
  <si>
    <t>43200000 ETAT IMPO&amp;TAX.ES R/S</t>
  </si>
  <si>
    <t>43210000 R.S/PERSONNEL</t>
  </si>
  <si>
    <t>43211000 RED.DE COMPENSATION 1%</t>
  </si>
  <si>
    <t>43211500 EIT / RS 1.5%</t>
  </si>
  <si>
    <t>43212500 EIT/RS15%</t>
  </si>
  <si>
    <t>43215000 EIT / RS 5%</t>
  </si>
  <si>
    <t>43220000 R.S/TIERS</t>
  </si>
  <si>
    <t>43220050 EIT/RS 0,5%</t>
  </si>
  <si>
    <t>43220100 R/S SUR TIERS 01%</t>
  </si>
  <si>
    <t>43220300 R/S SUR TIERS 03%</t>
  </si>
  <si>
    <t>43221000 R/S SUR TIERS 10%</t>
  </si>
  <si>
    <t>43222000 R.S/TIERS 20%</t>
  </si>
  <si>
    <t>43223000 CONT.SOC.DE SOLIDARITE</t>
  </si>
  <si>
    <t>43310000 TFP A PAYER</t>
  </si>
  <si>
    <t>43400000 ETAT IMPOT SUR BENIF</t>
  </si>
  <si>
    <t>43410000 RETENUE A LA SOURCE</t>
  </si>
  <si>
    <t>43420000 ACOMPTE PROVISIONNE</t>
  </si>
  <si>
    <t>43430000 RETENUE SUR TVA</t>
  </si>
  <si>
    <t>43440000 RETENUE SUR TVA 100%</t>
  </si>
  <si>
    <t>43500000 OBLIGATIONS CAUTION</t>
  </si>
  <si>
    <t>43600000 ETAT TAXES SUR LE CA</t>
  </si>
  <si>
    <t>43625000 FODEC</t>
  </si>
  <si>
    <t>43627000 TPE</t>
  </si>
  <si>
    <t>43630600 TVA RECUP B&amp;S LOC 06%</t>
  </si>
  <si>
    <t>43630700 TVA RECUP B&amp;S LOC 07%</t>
  </si>
  <si>
    <t>43631000 TVA RECUP B&amp;S LOC 10%</t>
  </si>
  <si>
    <t>43631300 TVA RECUP B&amp;S LOC 13%</t>
  </si>
  <si>
    <t>43631800 TVA RECUP B&amp;S LOC 18%</t>
  </si>
  <si>
    <t>43631900 TVA RECUP B&amp;S LOC 19%</t>
  </si>
  <si>
    <t>43661800 TVA RECUP IMMO IMP 18%</t>
  </si>
  <si>
    <t>43671000 TVA COLLECTEE</t>
  </si>
  <si>
    <t>43700000 AUT.IMP.TAXE&amp;VERSE.AS</t>
  </si>
  <si>
    <t>43720000 ETAT TFP/FOPROLOS</t>
  </si>
  <si>
    <t>43756000 IMPOTS ET TAXES A PAYER</t>
  </si>
  <si>
    <t>44100000 SOCIETES DU GROUPE</t>
  </si>
  <si>
    <t>44101000 Ste du groupe</t>
  </si>
  <si>
    <t>44200000 ASSO/COMPTE.COUR [NOUR]</t>
  </si>
  <si>
    <t>44201000 Associe cpte courant</t>
  </si>
  <si>
    <t>44202000 PHENICIA SECAR</t>
  </si>
  <si>
    <t>44203000 COPTE COURANT STA NOUR</t>
  </si>
  <si>
    <t>44204000 COMPTE COURANT ITN</t>
  </si>
  <si>
    <t>44205000 COMPTE COURANT EL HANAYA</t>
  </si>
  <si>
    <t>44206000 COMPTE COURANT TIP</t>
  </si>
  <si>
    <t>44207000 CPTE COUR.NOUR HEMPE BAT</t>
  </si>
  <si>
    <t>44208000 COMPTE COURANT SND</t>
  </si>
  <si>
    <t>44209000 COMPTE COURANT SNR</t>
  </si>
  <si>
    <t>44210000 PRINCIPAL</t>
  </si>
  <si>
    <t>44600000 ASSOC.OPERA.SUR.CAP</t>
  </si>
  <si>
    <t>44700000 ASSOC.DIVIDENDES A.PA</t>
  </si>
  <si>
    <t>45000000 DEBITEURS CRED.DIV.</t>
  </si>
  <si>
    <t>45200000 CREAN.SUR CESS.D'IMM</t>
  </si>
  <si>
    <t>45310000 C.N.S.S.</t>
  </si>
  <si>
    <t>45700000 AUTRES DEBI.CREDI.DIV</t>
  </si>
  <si>
    <t>45860000 CHARGES A PAYER</t>
  </si>
  <si>
    <t>45870000 PRODUITS A RECEVOIR</t>
  </si>
  <si>
    <t>46100000 COMPTES D'ATTENTE</t>
  </si>
  <si>
    <t>46800000 Autres comptes transit</t>
  </si>
  <si>
    <t>47100000 CHARGES CONS.D'AVAN</t>
  </si>
  <si>
    <t>47200000 PRODUITS CONST.D'AVA</t>
  </si>
  <si>
    <t>49100000 PROV.P.DEP.DS.COM.CLI</t>
  </si>
  <si>
    <t>49600000 PROV.DEP.COM.DEB.DIV</t>
  </si>
  <si>
    <t>50130000 FINANCEMENT DE STOCK</t>
  </si>
  <si>
    <t>50140000 PREFINACEM.EXPORTAT.</t>
  </si>
  <si>
    <t>50500000 ECH.A.MOI.D'AN/EM.N.C</t>
  </si>
  <si>
    <t>50515000 ECH.A.MOI.D'AN/LEASING</t>
  </si>
  <si>
    <t>50610100 BILLET DE TRESORERIE</t>
  </si>
  <si>
    <t>50610900 CREDIT GSM</t>
  </si>
  <si>
    <t>50630000 MCNE</t>
  </si>
  <si>
    <t>50800000 INTERETS COURUS</t>
  </si>
  <si>
    <t>52000000 PLACEMENT COURANT</t>
  </si>
  <si>
    <t>52001100 PLACEM.BIL.DE TRES.</t>
  </si>
  <si>
    <t>53140000 EFFETS A L'ESCOMPTE</t>
  </si>
  <si>
    <t>53200000 BANQUES</t>
  </si>
  <si>
    <t>53201000 ATB DOLLAR</t>
  </si>
  <si>
    <t>53202000 B.T.K</t>
  </si>
  <si>
    <t>53203000 QUATAR NATIONAL BANK</t>
  </si>
  <si>
    <t>53204000 ATB MEGRINE</t>
  </si>
  <si>
    <t>53204100 CPE INDISPONIBLE ATB</t>
  </si>
  <si>
    <t>53204500 ATTIJARI BANK MEGRINE</t>
  </si>
  <si>
    <t>53205000 S.T.B</t>
  </si>
  <si>
    <t>53205200 STB MEGRINE PROF</t>
  </si>
  <si>
    <t>53205300 STB MEGRINE2</t>
  </si>
  <si>
    <t>53205400 STB ZAGHOUAN</t>
  </si>
  <si>
    <t>53205500 STB THAMER 2</t>
  </si>
  <si>
    <t>53205600 STB  MEGRINE</t>
  </si>
  <si>
    <t>53205700 STB EUR MEGRINE</t>
  </si>
  <si>
    <t>53205800 STB DOLLAR MEGRINE</t>
  </si>
  <si>
    <t>53207000 STB DOLLAR</t>
  </si>
  <si>
    <t>53207100 UBCI</t>
  </si>
  <si>
    <t>53207200 UBCI DOLLAR</t>
  </si>
  <si>
    <t>53208000 STUSID</t>
  </si>
  <si>
    <t>53208100 STUSID MEGRINE</t>
  </si>
  <si>
    <t>53208500 STB DEVISES</t>
  </si>
  <si>
    <t>54000000 CAISSES</t>
  </si>
  <si>
    <t>54100000 CAIISE DEPENSE</t>
  </si>
  <si>
    <t>54300000 CAISSE REGIE</t>
  </si>
  <si>
    <t>55010000 FOND DE CAISSE ACHAT</t>
  </si>
  <si>
    <t>55011000 FOND DE CAISSE LOGISTIQU</t>
  </si>
  <si>
    <t>58000000 VIREMENT DE FONDS</t>
  </si>
  <si>
    <t>58001000 VIREMENT DE FOND BAN</t>
  </si>
  <si>
    <t>58002000 Virements inter caisse</t>
  </si>
  <si>
    <t>58003000 Virement interne</t>
  </si>
  <si>
    <t>58004000 VIRMENT FRS</t>
  </si>
  <si>
    <t>58005000 VIREMENT ETRANGER</t>
  </si>
  <si>
    <t>60110110 ACHAT EN TRANSIT</t>
  </si>
  <si>
    <t>60110210 ACHAT COUVERCLES</t>
  </si>
  <si>
    <t>60110211 ACHAT COUVRE COUVERCLE</t>
  </si>
  <si>
    <t>60110212 ACHAT COUVRE BORNE</t>
  </si>
  <si>
    <t>60110213 ACHAT BAGUE POUR BORNE</t>
  </si>
  <si>
    <t>60110220 ACHAT BACS</t>
  </si>
  <si>
    <t>60110230 Achat Polypropylène</t>
  </si>
  <si>
    <t>60110300 ACHAT BOUCHONS</t>
  </si>
  <si>
    <t>60110310 ACHAT OEIL MAGIQUE</t>
  </si>
  <si>
    <t>60110320 ACHAT GAINES TUBULAIRES</t>
  </si>
  <si>
    <t>60110330 CALES EN PLASTIQUE</t>
  </si>
  <si>
    <t>60110350 ACHAT COUDE NOIR</t>
  </si>
  <si>
    <t>60110500 ACHAT CACHE BORNES</t>
  </si>
  <si>
    <t>60110600 ACHAT POIGNETS</t>
  </si>
  <si>
    <t>60110700 ACHAT RONDELLES</t>
  </si>
  <si>
    <t>60110900 ACHAT ETIQUETTES</t>
  </si>
  <si>
    <t>60111000 ACHAT CARTES DE GARANTIE</t>
  </si>
  <si>
    <t>60111010 ACHAT FICHE SUIVEUSE</t>
  </si>
  <si>
    <t>60120100 ACHAT SEPARATEURS</t>
  </si>
  <si>
    <t>60120200 DECHET D'ALUMINIUM</t>
  </si>
  <si>
    <t>60120300 Achat Dechets Batteries</t>
  </si>
  <si>
    <t>60120400 ACHAT PLOMB D'OEUVRE [</t>
  </si>
  <si>
    <t>60120800 ACHAT ETAIN</t>
  </si>
  <si>
    <t>60120900 ACHAT ANTIMOINE</t>
  </si>
  <si>
    <t>60121010 ACHAT PLOMB DOUX IMPORTE</t>
  </si>
  <si>
    <t>60121020 ACHAT PLOMB DOUX LOCAL</t>
  </si>
  <si>
    <t>60121031 ACHAT CALCIUM METAL</t>
  </si>
  <si>
    <t>60121032 ACHAT SELENIUM</t>
  </si>
  <si>
    <t>60121033 ACHAT ARSENIC METAL</t>
  </si>
  <si>
    <t>60121035 ACHAT ARGON</t>
  </si>
  <si>
    <t>60121040 ACHAT DECHET PLAQUES</t>
  </si>
  <si>
    <t>60121210 ACHAT EXPENDER HE 631</t>
  </si>
  <si>
    <t>60121400 ACHAT FIBRE DE VERRE</t>
  </si>
  <si>
    <t>60121500 ACHAT SETRATE DE SOUDE</t>
  </si>
  <si>
    <t>60121600 ACIDE SULFIRIQUE</t>
  </si>
  <si>
    <t>60121900 ACHAT SOUDE CAUSTIQUE</t>
  </si>
  <si>
    <t>60122000 ACIDE CHLORHYDRIQUE</t>
  </si>
  <si>
    <t>60122100 ACHAT CARBONATE DE SOUDE</t>
  </si>
  <si>
    <t>60122200 ACHAT BATTITURE DE FER</t>
  </si>
  <si>
    <t>60122400 ACHAT FLUX</t>
  </si>
  <si>
    <t>60122410 ACHAT RESINE  COLOPHANE</t>
  </si>
  <si>
    <t>60122411 ACHAT ETHANOL</t>
  </si>
  <si>
    <t>60122510 ACHAT BOUTEILLE OXYGENE</t>
  </si>
  <si>
    <t>60122520 ACHAT BOUTEILLE GAZ</t>
  </si>
  <si>
    <t>60122700 ACHAT SOUFFRE</t>
  </si>
  <si>
    <t>60171000 GAZ DE VILLE</t>
  </si>
  <si>
    <t>60172000 ELECTRICITE</t>
  </si>
  <si>
    <t>60173000 EAU</t>
  </si>
  <si>
    <t>60191000 FRAIS/ACHAT ETRANGER</t>
  </si>
  <si>
    <t>60216000 ACHAT COKE DE PETROLE</t>
  </si>
  <si>
    <t>60260200 EMBALLAGE CARTON BOX</t>
  </si>
  <si>
    <t>60260300 Caissons en bois</t>
  </si>
  <si>
    <t>60260400 FILM ETIRABLE</t>
  </si>
  <si>
    <t>60260500 Film termoretractable</t>
  </si>
  <si>
    <t>60260600 ACHAT FEUILLARD EMBALL.</t>
  </si>
  <si>
    <t>60260700 ACHAT BIG BAG</t>
  </si>
  <si>
    <t>60262000 ACHAT PALETTES EN BOIS</t>
  </si>
  <si>
    <t>60263000  PLAQUE POLYESTER</t>
  </si>
  <si>
    <t>60310000 VAR.STO.MAT.PRE&amp;FOU</t>
  </si>
  <si>
    <t>60330000 VARIATION STOCK PDR</t>
  </si>
  <si>
    <t>60502000 PIECE DE RECHGE USINE</t>
  </si>
  <si>
    <t>60504000 OUTILLAGE NOUVELLE USINE</t>
  </si>
  <si>
    <t>60614000 FOURNI.DE CARBURANT</t>
  </si>
  <si>
    <t>60620000 FOURNITURE DE BUREAU</t>
  </si>
  <si>
    <t>60650000 SEL ADOUCISSEUR</t>
  </si>
  <si>
    <t>60660000 ACHAT LUBRIFIANT</t>
  </si>
  <si>
    <t>60670000 ACHAT PRODUITS DE NETT.</t>
  </si>
  <si>
    <t>60671000 MAT.SECUR.+PROD.PHARMA.</t>
  </si>
  <si>
    <t>60672000 ENTRETIEN MAT. INCENDIE</t>
  </si>
  <si>
    <t>61400000 CHARGE LOCA.ET. E COR</t>
  </si>
  <si>
    <t>61500000 ENTRETIEN &amp; REPAR.USINE</t>
  </si>
  <si>
    <t>61501000 ENTRET.&amp; REP.MAT.TRANSP.</t>
  </si>
  <si>
    <t>61600000 PRIMES D'ASSURANCE</t>
  </si>
  <si>
    <t>61603000 ASSURANCE AUTOS</t>
  </si>
  <si>
    <t>62120000 ENLEVEMENT DE DECHETS</t>
  </si>
  <si>
    <t>62200000 REMUN.D'INTERM.HONOR</t>
  </si>
  <si>
    <t>62210000 AUDITS ET CERTIFICATIONS</t>
  </si>
  <si>
    <t>62230000 ETUDES ET EXPERTISES</t>
  </si>
  <si>
    <t>62240000 REDEVANCES LOGICIELS INF</t>
  </si>
  <si>
    <t>62250000 HONORAIRES CAC</t>
  </si>
  <si>
    <t>62260000 HONOR.AVOCATS+HUISSIERS</t>
  </si>
  <si>
    <t>62270000 HONORAIRES MEDECIN DE TY</t>
  </si>
  <si>
    <t>62280000 HONOR.CABINET FORMATION</t>
  </si>
  <si>
    <t>62300000 PBLICITE.BUBL.REL.BUBL</t>
  </si>
  <si>
    <t>62301000 COTISATION &amp; DONS</t>
  </si>
  <si>
    <t>62410000 TRANSPORT SUR ACHAT</t>
  </si>
  <si>
    <t>62420000 TRANSPORT SUR VENTE</t>
  </si>
  <si>
    <t>62430000 FRAIS/VENTE EXPORT</t>
  </si>
  <si>
    <t>62500000 FRAIS DE DEPLACEMENT</t>
  </si>
  <si>
    <t>62510000 VOYAGES ET MISSIONS</t>
  </si>
  <si>
    <t>62520000 FRAIS MISSION A L'ETRANG</t>
  </si>
  <si>
    <t>62570000 RECEPTIONS</t>
  </si>
  <si>
    <t>62571000 FRAIS DE RESTAURATION</t>
  </si>
  <si>
    <t>62572000 ACHAT EAUX</t>
  </si>
  <si>
    <t>62573000 F.MISS.VISIT.ETRANGERS</t>
  </si>
  <si>
    <t>62580000 ABONNEMENT ET DOCU.</t>
  </si>
  <si>
    <t>62600000 FRAIS POSTAUX &amp; TELEC</t>
  </si>
  <si>
    <t>62780000 AUT.FRAI.COM.PRES.SER</t>
  </si>
  <si>
    <t>63601000 CHA.NET./CESS.IMMOB.</t>
  </si>
  <si>
    <t>63602000 AUTRE PERT.EXEPTION</t>
  </si>
  <si>
    <t>63610000 PENALITES ET AMANDES</t>
  </si>
  <si>
    <t>64001000 SALAI.COMPLE.DE SALA</t>
  </si>
  <si>
    <t>64280000 FRAIS DE FORMATION</t>
  </si>
  <si>
    <t>64600100 CONGES PAYES</t>
  </si>
  <si>
    <t>64603000 HABILLEMENT ET AUTRES</t>
  </si>
  <si>
    <t>64720000 C.N.S.S. SUR APPOINTE</t>
  </si>
  <si>
    <t>65110000 INTEREST /EMP ET DET</t>
  </si>
  <si>
    <t>65110200 AGIO/PREFINACE.EXPOR</t>
  </si>
  <si>
    <t>65110400 AGIONS/FINACEM.DE STO</t>
  </si>
  <si>
    <t>65115000 INTERET /CREDIT LEASING_x000D_</t>
  </si>
  <si>
    <t>65190000 ECHELLE D'INTERETS</t>
  </si>
  <si>
    <t>65500000 PRETES DE CHANGES</t>
  </si>
  <si>
    <t>66520000 TAX/LE CHIF.D'AFF.N.REC</t>
  </si>
  <si>
    <t>66540000 DROITS D'EREG.DE TIM</t>
  </si>
  <si>
    <t>66550000 TAXE SUR LES VEHICULE</t>
  </si>
  <si>
    <t>70000000 VEN.PRO.PRES.SERV.MARC</t>
  </si>
  <si>
    <t>70102000 VENT.PROD.FIN.ETRANGE</t>
  </si>
  <si>
    <t>70103000 TRAVAUX  CHARGE+FINITION</t>
  </si>
  <si>
    <t>70600000 VENTE DECHET.PLASTIQUE</t>
  </si>
  <si>
    <t>70600100 REMB.ASSUR.SINISTRE</t>
  </si>
  <si>
    <t>70600500 LOCATIONS DIVERSES</t>
  </si>
  <si>
    <t>71340000 VAR.EN.COU.D.PR.D.SER</t>
  </si>
  <si>
    <t>71350000 VARIATION DES STOC.PRO</t>
  </si>
  <si>
    <t>73601000 PROD.NET/CES D'IMMO</t>
  </si>
  <si>
    <t>73602000 AUTRE PRODUITS EXEP</t>
  </si>
  <si>
    <t>74100000 SUBVENTIONS D'EXPLOI</t>
  </si>
  <si>
    <t>75000000 PRODUITS FINANCIERS</t>
  </si>
  <si>
    <t>75600000 GAINS DE CHANGES</t>
  </si>
  <si>
    <t>77000000 GAINS EXTRAORDINAIRE</t>
  </si>
  <si>
    <t>78000000 Reprise/Prov.risque&amp;char</t>
  </si>
  <si>
    <t>79999999 BILAN D'OUVERTURE</t>
  </si>
  <si>
    <t>TOTAL GE</t>
  </si>
  <si>
    <t>TOTAL GENERAL</t>
  </si>
  <si>
    <t>AGIONS/MCNE</t>
  </si>
  <si>
    <t>R.R.R OBTENU /ACHAT</t>
  </si>
  <si>
    <t>Encaissement / augmentation des capitaux propres</t>
  </si>
  <si>
    <t xml:space="preserve">Encaissement subvention </t>
  </si>
  <si>
    <t>. Autres Provisions ( Provisions pour risques et charges )</t>
  </si>
  <si>
    <t>Augmentation des emprunts</t>
  </si>
  <si>
    <t>Remboursement des emprunts</t>
  </si>
  <si>
    <t>Décaissements / acquisitions d'immob. corp et incorporelles</t>
  </si>
  <si>
    <t xml:space="preserve">Encaissements / cession immobilisations corporelles </t>
  </si>
  <si>
    <t>Décaissements / acquisition  immobilisations financières</t>
  </si>
  <si>
    <t>Encaissements / cession immobilisations financières</t>
  </si>
  <si>
    <t xml:space="preserve">                         * stocks</t>
  </si>
  <si>
    <t>Stock Initial</t>
  </si>
  <si>
    <t xml:space="preserve">                         * Fournisseurs et autres dettes </t>
  </si>
  <si>
    <t xml:space="preserve">                         * Créances </t>
  </si>
  <si>
    <t xml:space="preserve">                         * Autres actifs courants </t>
  </si>
  <si>
    <t xml:space="preserve">                         * Autres dettes </t>
  </si>
  <si>
    <t>Associe cpte courant F.G</t>
  </si>
  <si>
    <t xml:space="preserve">Décaissement débiteurs et créditeurs divers </t>
  </si>
  <si>
    <t xml:space="preserve">Encaissement débiteurs et créditeurs divers </t>
  </si>
  <si>
    <t xml:space="preserve">Encaissement /  crédits de gestion </t>
  </si>
  <si>
    <t xml:space="preserve">Décaissement / crédits de gestion </t>
  </si>
  <si>
    <t>Trésorerie au début de l'exercice</t>
  </si>
  <si>
    <t>Trésorerie à la fin de l'exercice</t>
  </si>
  <si>
    <t>Achat Batterie Semi Fini</t>
  </si>
  <si>
    <t>CONTROLE TECHNIQUE APAVE</t>
  </si>
  <si>
    <t>. Transactions, amendes, confiscations et pénalités de toute nature</t>
  </si>
  <si>
    <t>AGIOS /MCNE</t>
  </si>
  <si>
    <t>IMPOTS SUR LES BENIF</t>
  </si>
  <si>
    <t>Chiffre d'affaires Local  comptabilisé HT</t>
  </si>
  <si>
    <t>Chiffre d'affaires à l'exportation</t>
  </si>
  <si>
    <t xml:space="preserve">. Autres Provisions  ( clients ) </t>
  </si>
  <si>
    <t xml:space="preserve">. Autres Provisions ( frs débiteurs) </t>
  </si>
  <si>
    <t xml:space="preserve">  * Plus value sur cession immobilisations</t>
  </si>
  <si>
    <t xml:space="preserve">Quote part subvention d'investissement </t>
  </si>
  <si>
    <t>BILAN AU 31/12/2024</t>
  </si>
  <si>
    <t>inventaire au 31-12-2024</t>
  </si>
  <si>
    <t>Inv. Dec 2024</t>
  </si>
  <si>
    <t>Affectation Costing</t>
  </si>
  <si>
    <t>SUBPRODUCT UF BATTERY</t>
  </si>
  <si>
    <t>RM-FORMED BATTERY</t>
  </si>
  <si>
    <t>SUBPRODUCT FORMED BATTERY</t>
  </si>
  <si>
    <t>Anti scalon</t>
  </si>
  <si>
    <t>plomb doux</t>
  </si>
  <si>
    <t>320PMP</t>
  </si>
  <si>
    <t>POSITIVE PUNCHING GRID PM</t>
  </si>
  <si>
    <t>PLAQUE EMPATEE MP</t>
  </si>
  <si>
    <t>M14 8/9</t>
  </si>
  <si>
    <t>ML</t>
  </si>
  <si>
    <t>U</t>
  </si>
  <si>
    <t>YAR208</t>
  </si>
  <si>
    <t xml:space="preserve">ML </t>
  </si>
  <si>
    <t>VERIN UNIVER DOUBLE EFFET D32 C75</t>
  </si>
  <si>
    <t>VERIN.32.25 DOULE TIGE</t>
  </si>
  <si>
    <t>Embou joint etancheite test etanch CH 20*07*19</t>
  </si>
  <si>
    <t>ROULEMENT YAR 208</t>
  </si>
  <si>
    <t>ROULEMENT NU 2213</t>
  </si>
  <si>
    <t>ROULEMENT 7302</t>
  </si>
  <si>
    <t>ROULEMENT 32008</t>
  </si>
  <si>
    <t>ROULEMENT 608</t>
  </si>
  <si>
    <t>ROULEMENT 30207</t>
  </si>
  <si>
    <t>ROULEMENT 52291</t>
  </si>
  <si>
    <t>ROULEMENT 51109</t>
  </si>
  <si>
    <t>ROULEMENT 20406</t>
  </si>
  <si>
    <t>GALET KR 19 PP</t>
  </si>
  <si>
    <t>GALET KB30 PP</t>
  </si>
  <si>
    <t>PALIER CARRE  PLASTIC  FYWK506-Y</t>
  </si>
  <si>
    <t>PALIER OVAL UCFL 204</t>
  </si>
  <si>
    <t>PALIER OVAL FYTB 505M</t>
  </si>
  <si>
    <t>PALIER SUCPLF 204 IF</t>
  </si>
  <si>
    <t>PALIER SY504M</t>
  </si>
  <si>
    <t>PALIER FYTB 506 ACIER</t>
  </si>
  <si>
    <t>FC 204</t>
  </si>
  <si>
    <t>PALIER MFB-06</t>
  </si>
  <si>
    <t xml:space="preserve">PIGNON 8B2 24DENT </t>
  </si>
  <si>
    <t>PIGNON 06 B1 18D</t>
  </si>
  <si>
    <t>TOC ACCOUPLEMENT 148</t>
  </si>
  <si>
    <t>TOC ACCOUPLEMENT 50</t>
  </si>
  <si>
    <t>TOC ACCOUPLEMENT 110</t>
  </si>
  <si>
    <t xml:space="preserve"> 810ACC206  </t>
  </si>
  <si>
    <t>ACCOUPLEMENT 63*90 Axe 20</t>
  </si>
  <si>
    <t xml:space="preserve">PIGNON 8B1 22 DENT </t>
  </si>
  <si>
    <t xml:space="preserve">PIGNON 6B1 30 DENT </t>
  </si>
  <si>
    <t xml:space="preserve">PIGNON 10B1 16DENT </t>
  </si>
  <si>
    <t xml:space="preserve">PIGNON 12B1 11DENT </t>
  </si>
  <si>
    <t xml:space="preserve">PIGNON 06B 125 DENT </t>
  </si>
  <si>
    <t>COURROIE  2268 D 2210</t>
  </si>
  <si>
    <t>COURROIE 3029</t>
  </si>
  <si>
    <t>COURROIE 2059</t>
  </si>
  <si>
    <t>COURROIE 2500</t>
  </si>
  <si>
    <t>COURROIE 254</t>
  </si>
  <si>
    <t>COURROIE A81</t>
  </si>
  <si>
    <t>COURROIE 1813</t>
  </si>
  <si>
    <t>COURROIE 1107</t>
  </si>
  <si>
    <t>COURROIE 285</t>
  </si>
  <si>
    <t>GG 06  188 F 580/40</t>
  </si>
  <si>
    <t>COURROIE 1125/10</t>
  </si>
  <si>
    <t>COURROIE 1125/13</t>
  </si>
  <si>
    <t>COURROIE  A MAILLONS POWER TWIST A 13 x 8 mm</t>
  </si>
  <si>
    <t>VERIN 50/400</t>
  </si>
  <si>
    <t>VERIN 25/400</t>
  </si>
  <si>
    <t>VERIN 100*320</t>
  </si>
  <si>
    <t>VERIN25*25</t>
  </si>
  <si>
    <t>820XMC853</t>
  </si>
  <si>
    <t>Ressort COMP 50/10 42*250*15SP                </t>
  </si>
  <si>
    <t>Distribiteur  vt307-5</t>
  </si>
  <si>
    <t>Distribiteur  JKV 210-08</t>
  </si>
  <si>
    <t>Distribiteur SV 230 C</t>
  </si>
  <si>
    <t>Distribiteur MNH -5 /2D1C</t>
  </si>
  <si>
    <t>D12*420 60V 100W</t>
  </si>
  <si>
    <t>RESISTANCE TUBE D08/600W L48 CM</t>
  </si>
  <si>
    <t>815con271</t>
  </si>
  <si>
    <t>815con008</t>
  </si>
  <si>
    <t>815con284</t>
  </si>
  <si>
    <t>815dis032</t>
  </si>
  <si>
    <t>disjoncteur moteur 5,5*8</t>
  </si>
  <si>
    <t>disjoncteur moteur 7*10</t>
  </si>
  <si>
    <t>disjoncteur moteur 6,3*16</t>
  </si>
  <si>
    <t>relais thermique 13*8</t>
  </si>
  <si>
    <t>815rel045</t>
  </si>
  <si>
    <t>relais statique RGC1A60D40KG</t>
  </si>
  <si>
    <t>RACCORD DOIT 6/16</t>
  </si>
  <si>
    <t>RACCORD COUDE 6/16</t>
  </si>
  <si>
    <t>RACCORD COUDE 6*3/8</t>
  </si>
  <si>
    <t>RACCORD DROIT 8*1/2</t>
  </si>
  <si>
    <t>RACCORD DROIT 12*1/2</t>
  </si>
  <si>
    <t>RACCORD COUDE 12*1/2</t>
  </si>
  <si>
    <t>REDUCTION 12-6</t>
  </si>
  <si>
    <t>RACCORD 6*3/8 LIMITEUR</t>
  </si>
  <si>
    <t>RACCORD 10/3*8 LIMITEUR</t>
  </si>
  <si>
    <t>RACCORD 12*1/8 LIMITEUR</t>
  </si>
  <si>
    <t>RACCORD 12*3/8 LIMITEUR</t>
  </si>
  <si>
    <t>RACCORD 8*8 LIMITEUR</t>
  </si>
  <si>
    <t>RACCORD 10*10 LIMITEUR</t>
  </si>
  <si>
    <t>RACCORD12*12 LIMITEUR</t>
  </si>
  <si>
    <t>T FILTE 4*1/8</t>
  </si>
  <si>
    <t>Y8*1/4</t>
  </si>
  <si>
    <t>REDUCTION 4*6</t>
  </si>
  <si>
    <t>parahuile 55*100*12</t>
  </si>
  <si>
    <t>parahuile 35*85*10</t>
  </si>
  <si>
    <t>parahuile 45*60*7</t>
  </si>
  <si>
    <t>parahuile 25*35*07</t>
  </si>
  <si>
    <t>parahuile 25*15*07</t>
  </si>
  <si>
    <t>FUSIBLE 16A 500V 50 K BOUTIELLE</t>
  </si>
  <si>
    <t>FUSIBLE 630MA</t>
  </si>
  <si>
    <t>FUSIBLE CARRE 40A 120KA 500V</t>
  </si>
  <si>
    <t>CHAINE 06B2</t>
  </si>
  <si>
    <t>ATTACHE 4B1</t>
  </si>
  <si>
    <t>ATTACHE1/2 12</t>
  </si>
  <si>
    <t>ATTACHE1/2 10</t>
  </si>
  <si>
    <t>ATTACHE 10B2</t>
  </si>
  <si>
    <t>ATTACHE 10B1</t>
  </si>
  <si>
    <t>TAREUD 10</t>
  </si>
  <si>
    <t>meche acier 7</t>
  </si>
  <si>
    <t>meche beton 6</t>
  </si>
  <si>
    <t>meche acier 4,5</t>
  </si>
  <si>
    <t>CAPTURE E0 1804 NPA</t>
  </si>
  <si>
    <t>KT32,R</t>
  </si>
  <si>
    <t>YRLXW-55/11Q1</t>
  </si>
  <si>
    <t>mano metre de pression 160 bar</t>
  </si>
  <si>
    <t>mano metre de pression 10bar</t>
  </si>
  <si>
    <t>mano metre de pression 04bar</t>
  </si>
  <si>
    <t>mano metre de pression 06bar</t>
  </si>
  <si>
    <t>702ELE116</t>
  </si>
  <si>
    <t>702ELE119</t>
  </si>
  <si>
    <t>702ELE121</t>
  </si>
  <si>
    <t>Vis th  5*50</t>
  </si>
  <si>
    <t>vis th m16*50</t>
  </si>
  <si>
    <t>vis th 14*100</t>
  </si>
  <si>
    <t>vis th 16*100</t>
  </si>
  <si>
    <t>vis th 14*80</t>
  </si>
  <si>
    <t>vis th 16*40</t>
  </si>
  <si>
    <t>vis six pans 14*50</t>
  </si>
  <si>
    <t>vis six pans 14*60</t>
  </si>
  <si>
    <t>vis six pans 16*20</t>
  </si>
  <si>
    <t>moteur cantoni 3p 1,1kw</t>
  </si>
  <si>
    <t xml:space="preserve">moteur avec variateur mecanique lavage </t>
  </si>
  <si>
    <t>reducteur vmi 40</t>
  </si>
  <si>
    <t xml:space="preserve">pompe inox lavage </t>
  </si>
  <si>
    <t>moteur cantoni 0,37 kw</t>
  </si>
  <si>
    <t>reducteur vmi 50</t>
  </si>
  <si>
    <t>pompe acid chenois 60l min</t>
  </si>
  <si>
    <t>pompe acid  52l min</t>
  </si>
  <si>
    <t>pompe hydraulique  G2-12 CM3</t>
  </si>
  <si>
    <t xml:space="preserve">Echangeur chaleur </t>
  </si>
  <si>
    <t>pompe a eau 0,37 kw</t>
  </si>
  <si>
    <t>equilibreur 5 kg</t>
  </si>
  <si>
    <t xml:space="preserve">recervoir d'acid </t>
  </si>
  <si>
    <t>tuyeau dacid</t>
  </si>
  <si>
    <t>810xpm158</t>
  </si>
  <si>
    <t xml:space="preserve">brosse bt16 black </t>
  </si>
  <si>
    <t>810xpm159</t>
  </si>
  <si>
    <t>brosse bt18 reed</t>
  </si>
  <si>
    <t>afficher 6av66420bc01-1ax1</t>
  </si>
  <si>
    <t>variateur electrique allen bradly 22A-D2P3N104</t>
  </si>
  <si>
    <t>POMPE ACID CANTONI 2,2KW</t>
  </si>
  <si>
    <t>roue porteuse vulkollan JUNG jh51064610</t>
  </si>
  <si>
    <t>roue porteuse vulkollan JUNG jh50460101</t>
  </si>
  <si>
    <t>roue porteuse vulkollan JUNG jh50432647</t>
  </si>
  <si>
    <t>Ventilateur 220-- 240 V  1350 TR / MN</t>
  </si>
  <si>
    <t>BATTERIE FINIE PL1B NOUR SMF</t>
  </si>
  <si>
    <t>BATTERIE FINIE pl2</t>
  </si>
  <si>
    <t>BATTERIE FINIE PL1K55</t>
  </si>
  <si>
    <t>BATT L2B MONBAT</t>
  </si>
  <si>
    <t>UFLB67L3K5172R2</t>
  </si>
  <si>
    <t>BATTERIE  FINIE PRL5B89X</t>
  </si>
  <si>
    <t>UFM66J0X002L2</t>
  </si>
  <si>
    <t>BATTERIE FINIE D31 66  Libye</t>
  </si>
  <si>
    <t>UFM66J0X002R2</t>
  </si>
  <si>
    <t>BATTERIE FINIE D31 R 66  Libye</t>
  </si>
  <si>
    <t>UFML12BF002L2</t>
  </si>
  <si>
    <t xml:space="preserve">BATTERIE TRUCK M15  11+/12- lateral </t>
  </si>
  <si>
    <t>BATTERIE FINIE M16S</t>
  </si>
  <si>
    <t>UFML88AF002L2</t>
  </si>
  <si>
    <t xml:space="preserve">BATTERIE TRUCK M14  8+/8- lateral </t>
  </si>
  <si>
    <t>UFML90ADL002L2</t>
  </si>
  <si>
    <t>BATTERIE FINIE M14MF</t>
  </si>
  <si>
    <t>UFML99BF002L2</t>
  </si>
  <si>
    <t xml:space="preserve">BATTERIE TRUCK M15  9+/9 lateral </t>
  </si>
  <si>
    <t xml:space="preserve">BATTERIE TRUCK M15  9+/9- lateral </t>
  </si>
  <si>
    <t>UFMRT45J3X102L2</t>
  </si>
  <si>
    <t>Unformed starter battery 40Ah 12V L - MRT44J3X102L2 JIS</t>
  </si>
  <si>
    <t>Unformed starter battery 40Ah 12V R- MRT44J3X102R2 JIS</t>
  </si>
  <si>
    <t>UFMRT44J4X102R2</t>
  </si>
  <si>
    <t>Unformed starter battery 45Ah 12V R - MRT44J4X102L2</t>
  </si>
  <si>
    <t>UFMRT45J3X102R2</t>
  </si>
  <si>
    <t>Unformed starter battery 45Ah 12V R - MRT45J3X102R2</t>
  </si>
  <si>
    <t>Unformed starter battery 45Ah 12V L- MRT44J4X102L2J</t>
  </si>
  <si>
    <t>Unformed starter battery 50Ah 12V R - MRT45J4X102R2</t>
  </si>
  <si>
    <t>Unformed starter battery 45Ah 12V R- MRT44J4X102R2J</t>
  </si>
  <si>
    <t>L37/8 EFB</t>
  </si>
  <si>
    <t>M12 SPECIAL</t>
  </si>
  <si>
    <t>L1 SMART SANS OIL MAGIC</t>
  </si>
  <si>
    <t>UFLB99L5K072R2</t>
  </si>
  <si>
    <t>L5 9/9 SMART</t>
  </si>
  <si>
    <t xml:space="preserve"> INDUSTRIEL PLATE</t>
  </si>
  <si>
    <t xml:space="preserve">Lid  LB2 type K R black without magic eye </t>
  </si>
  <si>
    <t>Lid J7 X L black with magic eye</t>
  </si>
  <si>
    <t>420L0344</t>
  </si>
  <si>
    <t>COUVERCLE L3 SMF D+ NOIR AVEC OM</t>
  </si>
  <si>
    <t xml:space="preserve">COUV. M16 GAUCHE NOIR </t>
  </si>
  <si>
    <t>PLAQUE PBP</t>
  </si>
  <si>
    <t>PLAQUE PBN</t>
  </si>
  <si>
    <t>430P1005</t>
  </si>
  <si>
    <t>SEPRATEUR 1.0</t>
  </si>
  <si>
    <t>BACD26</t>
  </si>
  <si>
    <t>BAC PL3B</t>
  </si>
  <si>
    <t>400l0306</t>
  </si>
  <si>
    <t>BAC PL3H</t>
  </si>
  <si>
    <t>400m1606</t>
  </si>
  <si>
    <t>BAC PM16 GRIS</t>
  </si>
  <si>
    <t>COUV D26G</t>
  </si>
  <si>
    <t>COUV D26D</t>
  </si>
  <si>
    <t>COUV PL3 SMF AVEC OIL MAGIC</t>
  </si>
  <si>
    <t>COUV SMF SANS OIL MAGIC</t>
  </si>
  <si>
    <t>420L0244</t>
  </si>
  <si>
    <t>COUV PL2KAMINA</t>
  </si>
  <si>
    <t>COUVPL2 SMF</t>
  </si>
  <si>
    <t>400m1608</t>
  </si>
  <si>
    <t>COUV PM16 NOIR</t>
  </si>
  <si>
    <t>338</t>
  </si>
  <si>
    <t>PLAQUE M LATERAL POSITIF</t>
  </si>
  <si>
    <t>PLAQUE M LATERAL NEGATIF</t>
  </si>
  <si>
    <t>FILM TERABLE</t>
  </si>
  <si>
    <t>DECHET</t>
  </si>
  <si>
    <t>REBUT ELEMENT</t>
  </si>
  <si>
    <t>REBUT CRASSE 3%</t>
  </si>
  <si>
    <t xml:space="preserve">rebut plastiic bac </t>
  </si>
  <si>
    <t>rebut batterie usagéé</t>
  </si>
  <si>
    <t>MRT -</t>
  </si>
  <si>
    <t xml:space="preserve">BATTERIES USAGEES </t>
  </si>
  <si>
    <t>PLOMB CALCIUM  POSITIF</t>
  </si>
  <si>
    <t>PLOMB DOUX IMPORTEE</t>
  </si>
  <si>
    <t>600P0030</t>
  </si>
  <si>
    <t>610M0011</t>
  </si>
  <si>
    <t>620M0010</t>
  </si>
  <si>
    <t>ETAIN TRAITE 70%-79%</t>
  </si>
  <si>
    <t>mpy</t>
  </si>
  <si>
    <t>Rebut Plaques  SNA1</t>
  </si>
  <si>
    <t xml:space="preserve">Rebut Patte SNA2 </t>
  </si>
  <si>
    <t>Rebut Plaque  SNA2</t>
  </si>
  <si>
    <t>PLASTIQUE BAC Couvercle</t>
  </si>
  <si>
    <t>LB44L1K072R1S13</t>
  </si>
  <si>
    <t>LB45L2K072R1S12</t>
  </si>
  <si>
    <t>LB55B2K072R1S12</t>
  </si>
  <si>
    <t>LB55L1K072R1S13</t>
  </si>
  <si>
    <t>M66J0X002L1S13</t>
  </si>
  <si>
    <t>Starter battery 60Ah 12VL - G266J0X0_1Nour_L BINSHIHOUN</t>
  </si>
  <si>
    <t xml:space="preserve">BATTERIE FINIE M11L libye </t>
  </si>
  <si>
    <t>M66M11F043R1S121</t>
  </si>
  <si>
    <t>Starter battery 50Ah 12V R - MRT45J4X102L1</t>
  </si>
  <si>
    <t>Starter battery 45Ah 12V R - MRT45J4X102R1</t>
  </si>
  <si>
    <t>Starter battery 50Ah 12V R - MRT45J4X102R1</t>
  </si>
  <si>
    <t>MGR</t>
  </si>
  <si>
    <t>Etiq jumbo</t>
  </si>
  <si>
    <t>520X0056</t>
  </si>
  <si>
    <t>520X0057</t>
  </si>
  <si>
    <t>520X0060</t>
  </si>
  <si>
    <t>521X0420</t>
  </si>
  <si>
    <t>521X0421</t>
  </si>
  <si>
    <t>BAC M10</t>
  </si>
  <si>
    <t>400N70A02</t>
  </si>
  <si>
    <t>420N70A05</t>
  </si>
  <si>
    <t>POLYSTER D26 LUBATEX</t>
  </si>
  <si>
    <t>POLYSTER NS60 LUBATEX</t>
  </si>
  <si>
    <t>POLYSTER D31 LUBATEX</t>
  </si>
  <si>
    <t>580C0059</t>
  </si>
  <si>
    <t>POLYSTER D23 LUBATEX</t>
  </si>
  <si>
    <t>POLYSTER L5 LOCAL</t>
  </si>
  <si>
    <t>POLYSTER NS40 LOCAL</t>
  </si>
  <si>
    <t>POLYSTER L1 LOCAL</t>
  </si>
  <si>
    <t>580C0075</t>
  </si>
  <si>
    <t>POLYSTER D26 LOCAL</t>
  </si>
  <si>
    <t>POLYSTER D31 LOCAL</t>
  </si>
  <si>
    <t>POLYSTER NS60 LOCAL</t>
  </si>
  <si>
    <t>plomb doux importé</t>
  </si>
  <si>
    <t>810REOU058</t>
  </si>
  <si>
    <t>ROULEMENT HK1412</t>
  </si>
  <si>
    <t>ETIQUETTE</t>
  </si>
  <si>
    <t>520X0061</t>
  </si>
  <si>
    <t>ETIQ CE ACCUS PLUS 40X30 mm</t>
  </si>
  <si>
    <t>520X0063</t>
  </si>
  <si>
    <t>ETIQ CE SEJOURNET ACTION DIFFUSION 40X30 mm</t>
  </si>
  <si>
    <t>510SEFB2</t>
  </si>
  <si>
    <t>510SEFB3</t>
  </si>
  <si>
    <t>500E0288</t>
  </si>
  <si>
    <t xml:space="preserve">ETIQ BAC S2 EFB 60AH 560A 190/90 mm </t>
  </si>
  <si>
    <t>500E0289</t>
  </si>
  <si>
    <t xml:space="preserve">ETIQ BAC S3 EFB 70AH 680A 230/90 mm </t>
  </si>
  <si>
    <t>490B0015</t>
  </si>
  <si>
    <t>CACHE BORNE NOIR " -"B.  153 POULIE</t>
  </si>
  <si>
    <t>ETIQ COUV2  L5160/71 EL ECTRON</t>
  </si>
  <si>
    <t>521X0440</t>
  </si>
  <si>
    <t>ETIQ COUV1 J7/D26 235/50ELECTRON 75 AH</t>
  </si>
  <si>
    <t>UFM78J0X002L2</t>
  </si>
  <si>
    <t>UFLB78B3K5172R2</t>
  </si>
  <si>
    <t>UFLB55L1K5172R2</t>
  </si>
  <si>
    <t>UFLB55L2W172R2</t>
  </si>
  <si>
    <t>Q4-2024</t>
  </si>
  <si>
    <t>income tax</t>
  </si>
  <si>
    <t xml:space="preserve"> 31 Décembre 2024</t>
  </si>
  <si>
    <t xml:space="preserve">Les états financiers arrêtés au 31 Décembre 2024 ont été établis conformément aux principes comptables généralement </t>
  </si>
  <si>
    <t>Solde au 31.12.24</t>
  </si>
  <si>
    <t>Solde au 31.12.23</t>
  </si>
  <si>
    <t>Ce poste présente un solde Nul au 31/12/2024.</t>
  </si>
  <si>
    <t>9-Fonds propres figurant au bilan au 31/12/2024 :</t>
  </si>
  <si>
    <t> les fonds propres figurant au bilan de la société au 31/12/2024 et soumis à la retenue à la source de 10%</t>
  </si>
  <si>
    <t>Le résultat de l'exercice au 31/12/2024 se présente comme suit:</t>
  </si>
  <si>
    <t>DIXON E10087</t>
  </si>
  <si>
    <t>MONBAT RECYCLING E10089</t>
  </si>
  <si>
    <t>Actual YTD December 24</t>
  </si>
  <si>
    <t>YTD December 23</t>
  </si>
  <si>
    <t>Budget YTD December 24</t>
  </si>
  <si>
    <t>Autres Revenus</t>
  </si>
  <si>
    <t>Résultat des activités ordinaires après impôt</t>
  </si>
  <si>
    <t>Effets de modifications comptables</t>
  </si>
  <si>
    <t>Résultats après modifications comptables</t>
  </si>
  <si>
    <t>Flux de trésorerie liés à l'exploitation</t>
  </si>
  <si>
    <t>Résultat net de l'exercice</t>
  </si>
  <si>
    <t>Ajustements pour :</t>
  </si>
  <si>
    <t xml:space="preserve">  * Dotation aux amortissements et aux provisions</t>
  </si>
  <si>
    <t xml:space="preserve">  * Reprises sur provisions</t>
  </si>
  <si>
    <t xml:space="preserve">  * Subvention inscrite au résultat </t>
  </si>
  <si>
    <t xml:space="preserve">  * Variation BFR </t>
  </si>
  <si>
    <t xml:space="preserve">                         * Créances &amp; Autres actifs courants</t>
  </si>
  <si>
    <t xml:space="preserve">  * Modifications comptables </t>
  </si>
  <si>
    <t xml:space="preserve">  * Moins value sur cession immobilisations</t>
  </si>
  <si>
    <t xml:space="preserve">  * Effets des variations des taux de change sur les liquidités et équivalants de liquidités </t>
  </si>
  <si>
    <t>Flux de trésorerie provenant de l'exploitation</t>
  </si>
  <si>
    <t>Flux de trésorerie liés aux activités d'investissement</t>
  </si>
  <si>
    <t>Flux de trésorerie provenant des activités d'investissement</t>
  </si>
  <si>
    <t>Flux de trésorerie liés aux activités de financement</t>
  </si>
  <si>
    <t xml:space="preserve">Distribution dividendes </t>
  </si>
  <si>
    <t xml:space="preserve">Encaissements placements </t>
  </si>
  <si>
    <t>Remboursement des prêts</t>
  </si>
  <si>
    <t>Décaissement / prêts</t>
  </si>
  <si>
    <t>Flux de trésorerie provenant des activités de financement</t>
  </si>
  <si>
    <t xml:space="preserve">Incidence des variations des taux de change sur les liquidités et équivalants de liquidités </t>
  </si>
  <si>
    <t>Variation de la trésorerie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</si>
</sst>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">
    <numFmt numFmtId="43" formatCode="_-* #,##0.00_-;\-* #,##0.00_-;_-* &quot;-&quot;??_-;_-@_-"/>
    <numFmt numFmtId="164" formatCode="_-* #,##0.00\ _€_-;\-* #,##0.00\ _€_-;_-* &quot;-&quot;??\ _€_-;_-@_-"/>
    <numFmt numFmtId="165" formatCode="#,##0.000"/>
    <numFmt numFmtId="166" formatCode="_(* #,##0.000_);_(* \(#,##0.000\);_(* &quot;-&quot;???_);_(@_)"/>
    <numFmt numFmtId="167" formatCode="0.0%"/>
    <numFmt numFmtId="168" formatCode="_-* #,##0_-;\-* #,##0_-;_-* &quot;-&quot;??_-;_-@_-"/>
    <numFmt numFmtId="169" formatCode="###,###,###,##0.000"/>
    <numFmt numFmtId="170" formatCode="0.000"/>
    <numFmt numFmtId="171" formatCode="_-* #,##0.000\ _€_-;\-* #,##0.000\ _€_-;_-* &quot;-&quot;???\ _€_-;_-@_-"/>
    <numFmt numFmtId="172" formatCode="_-* #,##0\ _d_t_-;\-* #,##0\ _d_t_-;_-* &quot;-&quot;??\ _d_t_-;_-@_-"/>
    <numFmt numFmtId="173" formatCode="_-* #,##0.000_-;\-* #,##0.000_-;_-* &quot;-&quot;??_-;_-@_-"/>
    <numFmt numFmtId="174" formatCode="0.0"/>
    <numFmt numFmtId="175" formatCode="_-* #,##0.0000_-;\-* #,##0.0000_-;_-* &quot;-&quot;??_-;_-@_-"/>
    <numFmt numFmtId="176" formatCode="_(* #,##0_);_(* \(#,##0\);_(* &quot;-&quot;??_);_(@_)"/>
    <numFmt numFmtId="177" formatCode="_(* #,##0.00_);_(* \(#,##0.00\);_(* &quot;-&quot;??_);_(@_)"/>
    <numFmt numFmtId="178" formatCode="0.0000"/>
  </numFmts>
  <fonts count="15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sz val="10"/>
      <color rgb="FFFF000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indexed="9"/>
      <name val="Arial"/>
      <family val="2"/>
    </font>
    <font>
      <u/>
      <sz val="8"/>
      <color indexed="62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16"/>
      <name val="Times New Roman"/>
      <family val="1"/>
    </font>
    <font>
      <b/>
      <sz val="16"/>
      <name val="Times New Roman"/>
      <family val="1"/>
    </font>
    <font>
      <b/>
      <i/>
      <sz val="16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i/>
      <u/>
      <sz val="12"/>
      <name val="Times New Roman"/>
      <family val="1"/>
    </font>
    <font>
      <b/>
      <i/>
      <sz val="10"/>
      <name val="Times New Roman"/>
      <family val="1"/>
    </font>
    <font>
      <sz val="10"/>
      <name val="Calibri"/>
      <family val="2"/>
      <scheme val="minor"/>
    </font>
    <font>
      <sz val="10"/>
      <name val="Trebuchet MS"/>
      <family val="2"/>
      <charset val="204"/>
    </font>
    <font>
      <b/>
      <i/>
      <u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sz val="10"/>
      <color theme="9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10"/>
      <color rgb="FF00B050"/>
      <name val="Calibri"/>
      <family val="2"/>
      <scheme val="minor"/>
    </font>
    <font>
      <b/>
      <sz val="10"/>
      <color theme="9"/>
      <name val="Calibri"/>
      <family val="2"/>
      <scheme val="minor"/>
    </font>
    <font>
      <sz val="10"/>
      <color rgb="FFC00000"/>
      <name val="Calibri"/>
      <family val="2"/>
      <scheme val="minor"/>
    </font>
    <font>
      <sz val="10"/>
      <name val="Arial"/>
      <family val="2"/>
      <charset val="204"/>
    </font>
    <font>
      <b/>
      <sz val="10"/>
      <color theme="0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rgb="FF313131"/>
      <name val="Verdana"/>
      <family val="2"/>
    </font>
    <font>
      <b/>
      <i/>
      <sz val="1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u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MS Sans Serif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9"/>
      <color theme="1"/>
      <name val="Arial"/>
      <family val="2"/>
    </font>
    <font>
      <sz val="10"/>
      <name val="Arial"/>
      <family val="2"/>
    </font>
    <font>
      <b/>
      <sz val="14"/>
      <name val="Times New Roman"/>
      <family val="1"/>
    </font>
    <font>
      <b/>
      <sz val="1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name val="Times New Roman"/>
      <family val="1"/>
    </font>
    <font>
      <b/>
      <sz val="8"/>
      <color theme="0"/>
      <name val="Times New Roman"/>
      <family val="1"/>
    </font>
    <font>
      <sz val="8"/>
      <color theme="1"/>
      <name val="Times New Roman"/>
      <family val="1"/>
    </font>
    <font>
      <b/>
      <sz val="12"/>
      <color indexed="8"/>
      <name val="Times New Roman"/>
      <family val="1"/>
    </font>
    <font>
      <sz val="8"/>
      <color theme="1"/>
      <name val="verdana"/>
      <family val="2"/>
    </font>
    <font>
      <sz val="8"/>
      <color theme="0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</font>
    <font>
      <sz val="10"/>
      <name val="Arial"/>
      <family val="2"/>
    </font>
    <font>
      <b/>
      <i/>
      <sz val="10"/>
      <color theme="4" tint="-0.499984740745262"/>
      <name val="Calibri"/>
      <family val="2"/>
      <scheme val="minor"/>
    </font>
    <font>
      <sz val="10"/>
      <color theme="4" tint="-0.499984740745262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sz val="10"/>
      <name val="Arial"/>
      <family val="2"/>
    </font>
    <font>
      <sz val="8"/>
      <color theme="1"/>
      <name val="Calibri"/>
      <family val="2"/>
      <charset val="204"/>
      <scheme val="minor"/>
    </font>
    <font>
      <sz val="8"/>
      <color rgb="FF000000"/>
      <name val="Calibri"/>
      <family val="2"/>
    </font>
    <font>
      <sz val="8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entury"/>
      <family val="1"/>
    </font>
    <font>
      <sz val="8"/>
      <color theme="0"/>
      <name val="Arial"/>
      <family val="2"/>
    </font>
    <font>
      <sz val="10"/>
      <name val="Arial"/>
    </font>
    <font>
      <b/>
      <sz val="14"/>
      <name val="Arial"/>
      <family val="2"/>
    </font>
    <font>
      <b/>
      <sz val="12"/>
      <color rgb="FFFF0000"/>
      <name val="Arial"/>
      <family val="2"/>
    </font>
    <font>
      <b/>
      <i/>
      <sz val="10"/>
      <name val="Arial"/>
      <family val="2"/>
    </font>
    <font>
      <b/>
      <sz val="10"/>
      <color rgb="FFFF0000"/>
      <name val="Arial"/>
      <family val="2"/>
    </font>
    <font>
      <b/>
      <i/>
      <sz val="10"/>
      <color rgb="FFFF000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i/>
      <u/>
      <sz val="10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2"/>
      <color indexed="8"/>
      <name val="Times New Roman"/>
      <family val="1"/>
    </font>
  </fonts>
  <fills count="8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rgb="FFD9D9D9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39997558519241921"/>
        <bgColor indexed="64"/>
      </patternFill>
    </fill>
  </fills>
  <borders count="8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medium">
        <color indexed="64"/>
      </right>
      <top/>
      <bottom style="thin">
        <color theme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theme="4" tint="0.39997558519241921"/>
      </bottom>
      <diagonal/>
    </border>
    <border>
      <left/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/>
      <top style="thin">
        <color theme="4" tint="0.39997558519241921"/>
      </top>
      <bottom style="medium">
        <color indexed="64"/>
      </bottom>
      <diagonal/>
    </border>
    <border>
      <left/>
      <right style="medium">
        <color indexed="64"/>
      </right>
      <top style="thin">
        <color theme="4" tint="0.3999755851924192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55"/>
      </top>
      <bottom/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55"/>
      </bottom>
      <diagonal/>
    </border>
  </borders>
  <cellStyleXfs count="1086">
    <xf numFmtId="0" fontId="0" fillId="0" borderId="0"/>
    <xf numFmtId="0" fontId="11" fillId="0" borderId="0"/>
    <xf numFmtId="9" fontId="1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22" fillId="0" borderId="0"/>
    <xf numFmtId="9" fontId="17" fillId="0" borderId="0" applyFont="0" applyFill="0" applyBorder="0" applyAlignment="0" applyProtection="0"/>
    <xf numFmtId="0" fontId="30" fillId="0" borderId="0"/>
    <xf numFmtId="9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0" fontId="43" fillId="0" borderId="0"/>
    <xf numFmtId="43" fontId="46" fillId="0" borderId="0" applyFont="0" applyFill="0" applyBorder="0" applyAlignment="0" applyProtection="0"/>
    <xf numFmtId="0" fontId="22" fillId="0" borderId="0"/>
    <xf numFmtId="0" fontId="17" fillId="0" borderId="0"/>
    <xf numFmtId="0" fontId="11" fillId="0" borderId="0"/>
    <xf numFmtId="0" fontId="11" fillId="0" borderId="0"/>
    <xf numFmtId="0" fontId="67" fillId="0" borderId="0"/>
    <xf numFmtId="0" fontId="82" fillId="0" borderId="0"/>
    <xf numFmtId="0" fontId="83" fillId="49" borderId="0" applyNumberFormat="0" applyBorder="0" applyAlignment="0" applyProtection="0"/>
    <xf numFmtId="0" fontId="83" fillId="50" borderId="0" applyNumberFormat="0" applyBorder="0" applyAlignment="0" applyProtection="0"/>
    <xf numFmtId="0" fontId="83" fillId="51" borderId="0" applyNumberFormat="0" applyBorder="0" applyAlignment="0" applyProtection="0"/>
    <xf numFmtId="0" fontId="83" fillId="52" borderId="0" applyNumberFormat="0" applyBorder="0" applyAlignment="0" applyProtection="0"/>
    <xf numFmtId="0" fontId="83" fillId="53" borderId="0" applyNumberFormat="0" applyBorder="0" applyAlignment="0" applyProtection="0"/>
    <xf numFmtId="0" fontId="83" fillId="54" borderId="0" applyNumberFormat="0" applyBorder="0" applyAlignment="0" applyProtection="0"/>
    <xf numFmtId="0" fontId="83" fillId="55" borderId="0" applyNumberFormat="0" applyBorder="0" applyAlignment="0" applyProtection="0"/>
    <xf numFmtId="0" fontId="83" fillId="56" borderId="0" applyNumberFormat="0" applyBorder="0" applyAlignment="0" applyProtection="0"/>
    <xf numFmtId="0" fontId="83" fillId="57" borderId="0" applyNumberFormat="0" applyBorder="0" applyAlignment="0" applyProtection="0"/>
    <xf numFmtId="0" fontId="83" fillId="52" borderId="0" applyNumberFormat="0" applyBorder="0" applyAlignment="0" applyProtection="0"/>
    <xf numFmtId="0" fontId="83" fillId="55" borderId="0" applyNumberFormat="0" applyBorder="0" applyAlignment="0" applyProtection="0"/>
    <xf numFmtId="0" fontId="83" fillId="58" borderId="0" applyNumberFormat="0" applyBorder="0" applyAlignment="0" applyProtection="0"/>
    <xf numFmtId="0" fontId="84" fillId="59" borderId="0" applyNumberFormat="0" applyBorder="0" applyAlignment="0" applyProtection="0"/>
    <xf numFmtId="0" fontId="84" fillId="56" borderId="0" applyNumberFormat="0" applyBorder="0" applyAlignment="0" applyProtection="0"/>
    <xf numFmtId="0" fontId="84" fillId="57" borderId="0" applyNumberFormat="0" applyBorder="0" applyAlignment="0" applyProtection="0"/>
    <xf numFmtId="0" fontId="84" fillId="60" borderId="0" applyNumberFormat="0" applyBorder="0" applyAlignment="0" applyProtection="0"/>
    <xf numFmtId="0" fontId="84" fillId="61" borderId="0" applyNumberFormat="0" applyBorder="0" applyAlignment="0" applyProtection="0"/>
    <xf numFmtId="0" fontId="84" fillId="62" borderId="0" applyNumberFormat="0" applyBorder="0" applyAlignment="0" applyProtection="0"/>
    <xf numFmtId="0" fontId="84" fillId="63" borderId="0" applyNumberFormat="0" applyBorder="0" applyAlignment="0" applyProtection="0"/>
    <xf numFmtId="0" fontId="84" fillId="64" borderId="0" applyNumberFormat="0" applyBorder="0" applyAlignment="0" applyProtection="0"/>
    <xf numFmtId="0" fontId="84" fillId="65" borderId="0" applyNumberFormat="0" applyBorder="0" applyAlignment="0" applyProtection="0"/>
    <xf numFmtId="0" fontId="84" fillId="60" borderId="0" applyNumberFormat="0" applyBorder="0" applyAlignment="0" applyProtection="0"/>
    <xf numFmtId="0" fontId="84" fillId="61" borderId="0" applyNumberFormat="0" applyBorder="0" applyAlignment="0" applyProtection="0"/>
    <xf numFmtId="0" fontId="84" fillId="66" borderId="0" applyNumberFormat="0" applyBorder="0" applyAlignment="0" applyProtection="0"/>
    <xf numFmtId="0" fontId="85" fillId="0" borderId="0" applyNumberFormat="0" applyFill="0" applyBorder="0" applyAlignment="0" applyProtection="0"/>
    <xf numFmtId="0" fontId="86" fillId="67" borderId="52" applyNumberFormat="0" applyAlignment="0" applyProtection="0"/>
    <xf numFmtId="0" fontId="87" fillId="0" borderId="53" applyNumberFormat="0" applyFill="0" applyAlignment="0" applyProtection="0"/>
    <xf numFmtId="0" fontId="11" fillId="68" borderId="54" applyNumberFormat="0" applyFont="0" applyAlignment="0" applyProtection="0"/>
    <xf numFmtId="0" fontId="88" fillId="54" borderId="52" applyNumberFormat="0" applyAlignment="0" applyProtection="0"/>
    <xf numFmtId="0" fontId="89" fillId="50" borderId="0" applyNumberFormat="0" applyBorder="0" applyAlignment="0" applyProtection="0"/>
    <xf numFmtId="0" fontId="90" fillId="69" borderId="0" applyNumberFormat="0" applyBorder="0" applyAlignment="0" applyProtection="0"/>
    <xf numFmtId="0" fontId="17" fillId="0" borderId="0"/>
    <xf numFmtId="0" fontId="91" fillId="51" borderId="0" applyNumberFormat="0" applyBorder="0" applyAlignment="0" applyProtection="0"/>
    <xf numFmtId="0" fontId="92" fillId="67" borderId="55" applyNumberFormat="0" applyAlignment="0" applyProtection="0"/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56" applyNumberFormat="0" applyFill="0" applyAlignment="0" applyProtection="0"/>
    <xf numFmtId="0" fontId="96" fillId="0" borderId="57" applyNumberFormat="0" applyFill="0" applyAlignment="0" applyProtection="0"/>
    <xf numFmtId="0" fontId="97" fillId="0" borderId="58" applyNumberFormat="0" applyFill="0" applyAlignment="0" applyProtection="0"/>
    <xf numFmtId="0" fontId="97" fillId="0" borderId="0" applyNumberFormat="0" applyFill="0" applyBorder="0" applyAlignment="0" applyProtection="0"/>
    <xf numFmtId="0" fontId="98" fillId="0" borderId="59" applyNumberFormat="0" applyFill="0" applyAlignment="0" applyProtection="0"/>
    <xf numFmtId="0" fontId="99" fillId="70" borderId="60" applyNumberFormat="0" applyAlignment="0" applyProtection="0"/>
    <xf numFmtId="0" fontId="17" fillId="0" borderId="0"/>
    <xf numFmtId="164" fontId="11" fillId="0" borderId="0" applyFont="0" applyFill="0" applyBorder="0" applyAlignment="0" applyProtection="0"/>
    <xf numFmtId="0" fontId="17" fillId="0" borderId="0"/>
    <xf numFmtId="0" fontId="100" fillId="0" borderId="0" applyBorder="0"/>
    <xf numFmtId="0" fontId="11" fillId="0" borderId="0"/>
    <xf numFmtId="43" fontId="11" fillId="0" borderId="0" applyFont="0" applyFill="0" applyBorder="0" applyAlignment="0" applyProtection="0"/>
    <xf numFmtId="0" fontId="17" fillId="0" borderId="0"/>
    <xf numFmtId="0" fontId="101" fillId="0" borderId="0" applyNumberFormat="0" applyFill="0" applyBorder="0" applyAlignment="0" applyProtection="0"/>
    <xf numFmtId="0" fontId="70" fillId="0" borderId="43" applyNumberFormat="0" applyFill="0" applyAlignment="0" applyProtection="0"/>
    <xf numFmtId="0" fontId="71" fillId="0" borderId="44" applyNumberFormat="0" applyFill="0" applyAlignment="0" applyProtection="0"/>
    <xf numFmtId="0" fontId="72" fillId="0" borderId="45" applyNumberFormat="0" applyFill="0" applyAlignment="0" applyProtection="0"/>
    <xf numFmtId="0" fontId="72" fillId="0" borderId="0" applyNumberFormat="0" applyFill="0" applyBorder="0" applyAlignment="0" applyProtection="0"/>
    <xf numFmtId="0" fontId="73" fillId="18" borderId="0" applyNumberFormat="0" applyBorder="0" applyAlignment="0" applyProtection="0"/>
    <xf numFmtId="0" fontId="74" fillId="19" borderId="0" applyNumberFormat="0" applyBorder="0" applyAlignment="0" applyProtection="0"/>
    <xf numFmtId="0" fontId="102" fillId="20" borderId="0" applyNumberFormat="0" applyBorder="0" applyAlignment="0" applyProtection="0"/>
    <xf numFmtId="0" fontId="75" fillId="21" borderId="46" applyNumberFormat="0" applyAlignment="0" applyProtection="0"/>
    <xf numFmtId="0" fontId="76" fillId="22" borderId="47" applyNumberFormat="0" applyAlignment="0" applyProtection="0"/>
    <xf numFmtId="0" fontId="77" fillId="22" borderId="46" applyNumberFormat="0" applyAlignment="0" applyProtection="0"/>
    <xf numFmtId="0" fontId="78" fillId="0" borderId="48" applyNumberFormat="0" applyFill="0" applyAlignment="0" applyProtection="0"/>
    <xf numFmtId="0" fontId="79" fillId="23" borderId="49" applyNumberFormat="0" applyAlignment="0" applyProtection="0"/>
    <xf numFmtId="0" fontId="54" fillId="0" borderId="0" applyNumberFormat="0" applyFill="0" applyBorder="0" applyAlignment="0" applyProtection="0"/>
    <xf numFmtId="0" fontId="17" fillId="24" borderId="50" applyNumberFormat="0" applyFont="0" applyAlignment="0" applyProtection="0"/>
    <xf numFmtId="0" fontId="80" fillId="0" borderId="0" applyNumberFormat="0" applyFill="0" applyBorder="0" applyAlignment="0" applyProtection="0"/>
    <xf numFmtId="0" fontId="51" fillId="0" borderId="51" applyNumberFormat="0" applyFill="0" applyAlignment="0" applyProtection="0"/>
    <xf numFmtId="0" fontId="81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81" fillId="28" borderId="0" applyNumberFormat="0" applyBorder="0" applyAlignment="0" applyProtection="0"/>
    <xf numFmtId="0" fontId="81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81" fillId="32" borderId="0" applyNumberFormat="0" applyBorder="0" applyAlignment="0" applyProtection="0"/>
    <xf numFmtId="0" fontId="81" fillId="33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81" fillId="36" borderId="0" applyNumberFormat="0" applyBorder="0" applyAlignment="0" applyProtection="0"/>
    <xf numFmtId="0" fontId="81" fillId="37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81" fillId="40" borderId="0" applyNumberFormat="0" applyBorder="0" applyAlignment="0" applyProtection="0"/>
    <xf numFmtId="0" fontId="81" fillId="41" borderId="0" applyNumberFormat="0" applyBorder="0" applyAlignment="0" applyProtection="0"/>
    <xf numFmtId="0" fontId="17" fillId="42" borderId="0" applyNumberFormat="0" applyBorder="0" applyAlignment="0" applyProtection="0"/>
    <xf numFmtId="0" fontId="17" fillId="43" borderId="0" applyNumberFormat="0" applyBorder="0" applyAlignment="0" applyProtection="0"/>
    <xf numFmtId="0" fontId="81" fillId="44" borderId="0" applyNumberFormat="0" applyBorder="0" applyAlignment="0" applyProtection="0"/>
    <xf numFmtId="0" fontId="81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81" fillId="48" borderId="0" applyNumberFormat="0" applyBorder="0" applyAlignment="0" applyProtection="0"/>
    <xf numFmtId="0" fontId="17" fillId="31" borderId="0" applyNumberFormat="0" applyBorder="0" applyAlignment="0" applyProtection="0"/>
    <xf numFmtId="0" fontId="17" fillId="34" borderId="0" applyNumberFormat="0" applyBorder="0" applyAlignment="0" applyProtection="0"/>
    <xf numFmtId="0" fontId="81" fillId="36" borderId="0" applyNumberFormat="0" applyBorder="0" applyAlignment="0" applyProtection="0"/>
    <xf numFmtId="0" fontId="11" fillId="68" borderId="54" applyNumberFormat="0" applyFont="0" applyAlignment="0" applyProtection="0"/>
    <xf numFmtId="0" fontId="17" fillId="38" borderId="0" applyNumberFormat="0" applyBorder="0" applyAlignment="0" applyProtection="0"/>
    <xf numFmtId="0" fontId="81" fillId="40" borderId="0" applyNumberFormat="0" applyBorder="0" applyAlignment="0" applyProtection="0"/>
    <xf numFmtId="0" fontId="17" fillId="42" borderId="0" applyNumberFormat="0" applyBorder="0" applyAlignment="0" applyProtection="0"/>
    <xf numFmtId="0" fontId="81" fillId="44" borderId="0" applyNumberFormat="0" applyBorder="0" applyAlignment="0" applyProtection="0"/>
    <xf numFmtId="0" fontId="17" fillId="46" borderId="0" applyNumberFormat="0" applyBorder="0" applyAlignment="0" applyProtection="0"/>
    <xf numFmtId="0" fontId="81" fillId="48" borderId="0" applyNumberFormat="0" applyBorder="0" applyAlignment="0" applyProtection="0"/>
    <xf numFmtId="0" fontId="11" fillId="68" borderId="54" applyNumberFormat="0" applyFont="0" applyAlignment="0" applyProtection="0"/>
    <xf numFmtId="0" fontId="17" fillId="0" borderId="0"/>
    <xf numFmtId="0" fontId="70" fillId="0" borderId="43" applyNumberFormat="0" applyFill="0" applyAlignment="0" applyProtection="0"/>
    <xf numFmtId="0" fontId="17" fillId="0" borderId="0"/>
    <xf numFmtId="0" fontId="17" fillId="0" borderId="0"/>
    <xf numFmtId="0" fontId="101" fillId="0" borderId="0" applyNumberFormat="0" applyFill="0" applyBorder="0" applyAlignment="0" applyProtection="0"/>
    <xf numFmtId="0" fontId="17" fillId="0" borderId="0"/>
    <xf numFmtId="0" fontId="11" fillId="0" borderId="0"/>
    <xf numFmtId="0" fontId="17" fillId="0" borderId="0"/>
    <xf numFmtId="0" fontId="17" fillId="26" borderId="0" applyNumberFormat="0" applyBorder="0" applyAlignment="0" applyProtection="0"/>
    <xf numFmtId="0" fontId="51" fillId="0" borderId="51" applyNumberFormat="0" applyFill="0" applyAlignment="0" applyProtection="0"/>
    <xf numFmtId="0" fontId="17" fillId="24" borderId="50" applyNumberFormat="0" applyFont="0" applyAlignment="0" applyProtection="0"/>
    <xf numFmtId="0" fontId="79" fillId="23" borderId="49" applyNumberFormat="0" applyAlignment="0" applyProtection="0"/>
    <xf numFmtId="0" fontId="77" fillId="22" borderId="46" applyNumberFormat="0" applyAlignment="0" applyProtection="0"/>
    <xf numFmtId="0" fontId="75" fillId="21" borderId="46" applyNumberFormat="0" applyAlignment="0" applyProtection="0"/>
    <xf numFmtId="0" fontId="74" fillId="19" borderId="0" applyNumberFormat="0" applyBorder="0" applyAlignment="0" applyProtection="0"/>
    <xf numFmtId="0" fontId="72" fillId="0" borderId="0" applyNumberFormat="0" applyFill="0" applyBorder="0" applyAlignment="0" applyProtection="0"/>
    <xf numFmtId="0" fontId="71" fillId="0" borderId="44" applyNumberFormat="0" applyFill="0" applyAlignment="0" applyProtection="0"/>
    <xf numFmtId="0" fontId="101" fillId="0" borderId="0" applyNumberFormat="0" applyFill="0" applyBorder="0" applyAlignment="0" applyProtection="0"/>
    <xf numFmtId="0" fontId="17" fillId="0" borderId="0"/>
    <xf numFmtId="0" fontId="81" fillId="32" borderId="0" applyNumberFormat="0" applyBorder="0" applyAlignment="0" applyProtection="0"/>
    <xf numFmtId="0" fontId="17" fillId="0" borderId="0"/>
    <xf numFmtId="0" fontId="81" fillId="29" borderId="0" applyNumberFormat="0" applyBorder="0" applyAlignment="0" applyProtection="0"/>
    <xf numFmtId="0" fontId="81" fillId="28" borderId="0" applyNumberFormat="0" applyBorder="0" applyAlignment="0" applyProtection="0"/>
    <xf numFmtId="0" fontId="17" fillId="27" borderId="0" applyNumberFormat="0" applyBorder="0" applyAlignment="0" applyProtection="0"/>
    <xf numFmtId="43" fontId="11" fillId="0" borderId="0" applyFont="0" applyFill="0" applyBorder="0" applyAlignment="0" applyProtection="0"/>
    <xf numFmtId="0" fontId="17" fillId="0" borderId="0"/>
    <xf numFmtId="0" fontId="78" fillId="0" borderId="48" applyNumberFormat="0" applyFill="0" applyAlignment="0" applyProtection="0"/>
    <xf numFmtId="0" fontId="76" fillId="22" borderId="47" applyNumberFormat="0" applyAlignment="0" applyProtection="0"/>
    <xf numFmtId="0" fontId="102" fillId="20" borderId="0" applyNumberFormat="0" applyBorder="0" applyAlignment="0" applyProtection="0"/>
    <xf numFmtId="0" fontId="73" fillId="18" borderId="0" applyNumberFormat="0" applyBorder="0" applyAlignment="0" applyProtection="0"/>
    <xf numFmtId="0" fontId="72" fillId="0" borderId="45" applyNumberFormat="0" applyFill="0" applyAlignment="0" applyProtection="0"/>
    <xf numFmtId="0" fontId="81" fillId="25" borderId="0" applyNumberFormat="0" applyBorder="0" applyAlignment="0" applyProtection="0"/>
    <xf numFmtId="0" fontId="81" fillId="33" borderId="0" applyNumberFormat="0" applyBorder="0" applyAlignment="0" applyProtection="0"/>
    <xf numFmtId="0" fontId="17" fillId="30" borderId="0" applyNumberFormat="0" applyBorder="0" applyAlignment="0" applyProtection="0"/>
    <xf numFmtId="0" fontId="17" fillId="35" borderId="0" applyNumberFormat="0" applyBorder="0" applyAlignment="0" applyProtection="0"/>
    <xf numFmtId="0" fontId="80" fillId="0" borderId="0" applyNumberFormat="0" applyFill="0" applyBorder="0" applyAlignment="0" applyProtection="0"/>
    <xf numFmtId="0" fontId="17" fillId="39" borderId="0" applyNumberFormat="0" applyBorder="0" applyAlignment="0" applyProtection="0"/>
    <xf numFmtId="0" fontId="81" fillId="37" borderId="0" applyNumberFormat="0" applyBorder="0" applyAlignment="0" applyProtection="0"/>
    <xf numFmtId="0" fontId="81" fillId="41" borderId="0" applyNumberFormat="0" applyBorder="0" applyAlignment="0" applyProtection="0"/>
    <xf numFmtId="0" fontId="17" fillId="24" borderId="50" applyNumberFormat="0" applyFont="0" applyAlignment="0" applyProtection="0"/>
    <xf numFmtId="0" fontId="54" fillId="0" borderId="0" applyNumberFormat="0" applyFill="0" applyBorder="0" applyAlignment="0" applyProtection="0"/>
    <xf numFmtId="0" fontId="70" fillId="0" borderId="43" applyNumberFormat="0" applyFill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47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81" fillId="45" borderId="0" applyNumberFormat="0" applyBorder="0" applyAlignment="0" applyProtection="0"/>
    <xf numFmtId="0" fontId="17" fillId="42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71" fillId="0" borderId="44" applyNumberFormat="0" applyFill="0" applyAlignment="0" applyProtection="0"/>
    <xf numFmtId="0" fontId="72" fillId="0" borderId="45" applyNumberFormat="0" applyFill="0" applyAlignment="0" applyProtection="0"/>
    <xf numFmtId="0" fontId="72" fillId="0" borderId="0" applyNumberFormat="0" applyFill="0" applyBorder="0" applyAlignment="0" applyProtection="0"/>
    <xf numFmtId="0" fontId="73" fillId="18" borderId="0" applyNumberFormat="0" applyBorder="0" applyAlignment="0" applyProtection="0"/>
    <xf numFmtId="0" fontId="74" fillId="19" borderId="0" applyNumberFormat="0" applyBorder="0" applyAlignment="0" applyProtection="0"/>
    <xf numFmtId="0" fontId="102" fillId="20" borderId="0" applyNumberFormat="0" applyBorder="0" applyAlignment="0" applyProtection="0"/>
    <xf numFmtId="0" fontId="75" fillId="21" borderId="46" applyNumberFormat="0" applyAlignment="0" applyProtection="0"/>
    <xf numFmtId="0" fontId="76" fillId="22" borderId="47" applyNumberFormat="0" applyAlignment="0" applyProtection="0"/>
    <xf numFmtId="0" fontId="77" fillId="22" borderId="46" applyNumberFormat="0" applyAlignment="0" applyProtection="0"/>
    <xf numFmtId="0" fontId="78" fillId="0" borderId="48" applyNumberFormat="0" applyFill="0" applyAlignment="0" applyProtection="0"/>
    <xf numFmtId="0" fontId="79" fillId="23" borderId="49" applyNumberFormat="0" applyAlignment="0" applyProtection="0"/>
    <xf numFmtId="0" fontId="54" fillId="0" borderId="0" applyNumberFormat="0" applyFill="0" applyBorder="0" applyAlignment="0" applyProtection="0"/>
    <xf numFmtId="0" fontId="17" fillId="24" borderId="50" applyNumberFormat="0" applyFont="0" applyAlignment="0" applyProtection="0"/>
    <xf numFmtId="0" fontId="80" fillId="0" borderId="0" applyNumberFormat="0" applyFill="0" applyBorder="0" applyAlignment="0" applyProtection="0"/>
    <xf numFmtId="0" fontId="51" fillId="0" borderId="51" applyNumberFormat="0" applyFill="0" applyAlignment="0" applyProtection="0"/>
    <xf numFmtId="0" fontId="81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81" fillId="28" borderId="0" applyNumberFormat="0" applyBorder="0" applyAlignment="0" applyProtection="0"/>
    <xf numFmtId="0" fontId="81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81" fillId="32" borderId="0" applyNumberFormat="0" applyBorder="0" applyAlignment="0" applyProtection="0"/>
    <xf numFmtId="0" fontId="81" fillId="33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81" fillId="36" borderId="0" applyNumberFormat="0" applyBorder="0" applyAlignment="0" applyProtection="0"/>
    <xf numFmtId="0" fontId="81" fillId="37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81" fillId="40" borderId="0" applyNumberFormat="0" applyBorder="0" applyAlignment="0" applyProtection="0"/>
    <xf numFmtId="0" fontId="81" fillId="41" borderId="0" applyNumberFormat="0" applyBorder="0" applyAlignment="0" applyProtection="0"/>
    <xf numFmtId="0" fontId="17" fillId="42" borderId="0" applyNumberFormat="0" applyBorder="0" applyAlignment="0" applyProtection="0"/>
    <xf numFmtId="0" fontId="17" fillId="43" borderId="0" applyNumberFormat="0" applyBorder="0" applyAlignment="0" applyProtection="0"/>
    <xf numFmtId="0" fontId="81" fillId="44" borderId="0" applyNumberFormat="0" applyBorder="0" applyAlignment="0" applyProtection="0"/>
    <xf numFmtId="0" fontId="81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81" fillId="48" borderId="0" applyNumberFormat="0" applyBorder="0" applyAlignment="0" applyProtection="0"/>
    <xf numFmtId="0" fontId="101" fillId="0" borderId="0" applyNumberFormat="0" applyFill="0" applyBorder="0" applyAlignment="0" applyProtection="0"/>
    <xf numFmtId="0" fontId="70" fillId="0" borderId="43" applyNumberFormat="0" applyFill="0" applyAlignment="0" applyProtection="0"/>
    <xf numFmtId="0" fontId="71" fillId="0" borderId="44" applyNumberFormat="0" applyFill="0" applyAlignment="0" applyProtection="0"/>
    <xf numFmtId="0" fontId="72" fillId="0" borderId="45" applyNumberFormat="0" applyFill="0" applyAlignment="0" applyProtection="0"/>
    <xf numFmtId="0" fontId="72" fillId="0" borderId="0" applyNumberFormat="0" applyFill="0" applyBorder="0" applyAlignment="0" applyProtection="0"/>
    <xf numFmtId="0" fontId="73" fillId="18" borderId="0" applyNumberFormat="0" applyBorder="0" applyAlignment="0" applyProtection="0"/>
    <xf numFmtId="0" fontId="74" fillId="19" borderId="0" applyNumberFormat="0" applyBorder="0" applyAlignment="0" applyProtection="0"/>
    <xf numFmtId="0" fontId="102" fillId="20" borderId="0" applyNumberFormat="0" applyBorder="0" applyAlignment="0" applyProtection="0"/>
    <xf numFmtId="0" fontId="75" fillId="21" borderId="46" applyNumberFormat="0" applyAlignment="0" applyProtection="0"/>
    <xf numFmtId="0" fontId="76" fillId="22" borderId="47" applyNumberFormat="0" applyAlignment="0" applyProtection="0"/>
    <xf numFmtId="0" fontId="77" fillId="22" borderId="46" applyNumberFormat="0" applyAlignment="0" applyProtection="0"/>
    <xf numFmtId="0" fontId="78" fillId="0" borderId="48" applyNumberFormat="0" applyFill="0" applyAlignment="0" applyProtection="0"/>
    <xf numFmtId="0" fontId="79" fillId="23" borderId="49" applyNumberFormat="0" applyAlignment="0" applyProtection="0"/>
    <xf numFmtId="0" fontId="54" fillId="0" borderId="0" applyNumberFormat="0" applyFill="0" applyBorder="0" applyAlignment="0" applyProtection="0"/>
    <xf numFmtId="0" fontId="17" fillId="24" borderId="50" applyNumberFormat="0" applyFont="0" applyAlignment="0" applyProtection="0"/>
    <xf numFmtId="0" fontId="80" fillId="0" borderId="0" applyNumberFormat="0" applyFill="0" applyBorder="0" applyAlignment="0" applyProtection="0"/>
    <xf numFmtId="0" fontId="51" fillId="0" borderId="51" applyNumberFormat="0" applyFill="0" applyAlignment="0" applyProtection="0"/>
    <xf numFmtId="0" fontId="81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81" fillId="28" borderId="0" applyNumberFormat="0" applyBorder="0" applyAlignment="0" applyProtection="0"/>
    <xf numFmtId="0" fontId="81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81" fillId="32" borderId="0" applyNumberFormat="0" applyBorder="0" applyAlignment="0" applyProtection="0"/>
    <xf numFmtId="0" fontId="81" fillId="33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81" fillId="36" borderId="0" applyNumberFormat="0" applyBorder="0" applyAlignment="0" applyProtection="0"/>
    <xf numFmtId="0" fontId="81" fillId="37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81" fillId="40" borderId="0" applyNumberFormat="0" applyBorder="0" applyAlignment="0" applyProtection="0"/>
    <xf numFmtId="0" fontId="81" fillId="41" borderId="0" applyNumberFormat="0" applyBorder="0" applyAlignment="0" applyProtection="0"/>
    <xf numFmtId="0" fontId="17" fillId="42" borderId="0" applyNumberFormat="0" applyBorder="0" applyAlignment="0" applyProtection="0"/>
    <xf numFmtId="0" fontId="17" fillId="43" borderId="0" applyNumberFormat="0" applyBorder="0" applyAlignment="0" applyProtection="0"/>
    <xf numFmtId="0" fontId="81" fillId="44" borderId="0" applyNumberFormat="0" applyBorder="0" applyAlignment="0" applyProtection="0"/>
    <xf numFmtId="0" fontId="81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81" fillId="48" borderId="0" applyNumberFormat="0" applyBorder="0" applyAlignment="0" applyProtection="0"/>
    <xf numFmtId="0" fontId="51" fillId="0" borderId="51" applyNumberFormat="0" applyFill="0" applyAlignment="0" applyProtection="0"/>
    <xf numFmtId="0" fontId="83" fillId="49" borderId="0" applyNumberFormat="0" applyBorder="0" applyAlignment="0" applyProtection="0"/>
    <xf numFmtId="0" fontId="83" fillId="50" borderId="0" applyNumberFormat="0" applyBorder="0" applyAlignment="0" applyProtection="0"/>
    <xf numFmtId="0" fontId="83" fillId="51" borderId="0" applyNumberFormat="0" applyBorder="0" applyAlignment="0" applyProtection="0"/>
    <xf numFmtId="0" fontId="83" fillId="52" borderId="0" applyNumberFormat="0" applyBorder="0" applyAlignment="0" applyProtection="0"/>
    <xf numFmtId="0" fontId="83" fillId="53" borderId="0" applyNumberFormat="0" applyBorder="0" applyAlignment="0" applyProtection="0"/>
    <xf numFmtId="0" fontId="83" fillId="54" borderId="0" applyNumberFormat="0" applyBorder="0" applyAlignment="0" applyProtection="0"/>
    <xf numFmtId="0" fontId="83" fillId="55" borderId="0" applyNumberFormat="0" applyBorder="0" applyAlignment="0" applyProtection="0"/>
    <xf numFmtId="0" fontId="83" fillId="56" borderId="0" applyNumberFormat="0" applyBorder="0" applyAlignment="0" applyProtection="0"/>
    <xf numFmtId="0" fontId="83" fillId="57" borderId="0" applyNumberFormat="0" applyBorder="0" applyAlignment="0" applyProtection="0"/>
    <xf numFmtId="0" fontId="83" fillId="52" borderId="0" applyNumberFormat="0" applyBorder="0" applyAlignment="0" applyProtection="0"/>
    <xf numFmtId="0" fontId="83" fillId="55" borderId="0" applyNumberFormat="0" applyBorder="0" applyAlignment="0" applyProtection="0"/>
    <xf numFmtId="0" fontId="83" fillId="58" borderId="0" applyNumberFormat="0" applyBorder="0" applyAlignment="0" applyProtection="0"/>
    <xf numFmtId="0" fontId="84" fillId="59" borderId="0" applyNumberFormat="0" applyBorder="0" applyAlignment="0" applyProtection="0"/>
    <xf numFmtId="0" fontId="84" fillId="56" borderId="0" applyNumberFormat="0" applyBorder="0" applyAlignment="0" applyProtection="0"/>
    <xf numFmtId="0" fontId="84" fillId="57" borderId="0" applyNumberFormat="0" applyBorder="0" applyAlignment="0" applyProtection="0"/>
    <xf numFmtId="0" fontId="84" fillId="60" borderId="0" applyNumberFormat="0" applyBorder="0" applyAlignment="0" applyProtection="0"/>
    <xf numFmtId="0" fontId="84" fillId="61" borderId="0" applyNumberFormat="0" applyBorder="0" applyAlignment="0" applyProtection="0"/>
    <xf numFmtId="0" fontId="84" fillId="62" borderId="0" applyNumberFormat="0" applyBorder="0" applyAlignment="0" applyProtection="0"/>
    <xf numFmtId="0" fontId="84" fillId="63" borderId="0" applyNumberFormat="0" applyBorder="0" applyAlignment="0" applyProtection="0"/>
    <xf numFmtId="0" fontId="84" fillId="64" borderId="0" applyNumberFormat="0" applyBorder="0" applyAlignment="0" applyProtection="0"/>
    <xf numFmtId="0" fontId="84" fillId="65" borderId="0" applyNumberFormat="0" applyBorder="0" applyAlignment="0" applyProtection="0"/>
    <xf numFmtId="0" fontId="84" fillId="60" borderId="0" applyNumberFormat="0" applyBorder="0" applyAlignment="0" applyProtection="0"/>
    <xf numFmtId="0" fontId="84" fillId="61" borderId="0" applyNumberFormat="0" applyBorder="0" applyAlignment="0" applyProtection="0"/>
    <xf numFmtId="0" fontId="84" fillId="66" borderId="0" applyNumberFormat="0" applyBorder="0" applyAlignment="0" applyProtection="0"/>
    <xf numFmtId="0" fontId="85" fillId="0" borderId="0" applyNumberFormat="0" applyFill="0" applyBorder="0" applyAlignment="0" applyProtection="0"/>
    <xf numFmtId="0" fontId="86" fillId="67" borderId="52" applyNumberFormat="0" applyAlignment="0" applyProtection="0"/>
    <xf numFmtId="0" fontId="87" fillId="0" borderId="53" applyNumberFormat="0" applyFill="0" applyAlignment="0" applyProtection="0"/>
    <xf numFmtId="0" fontId="11" fillId="68" borderId="54" applyNumberFormat="0" applyFont="0" applyAlignment="0" applyProtection="0"/>
    <xf numFmtId="0" fontId="88" fillId="54" borderId="52" applyNumberFormat="0" applyAlignment="0" applyProtection="0"/>
    <xf numFmtId="0" fontId="89" fillId="50" borderId="0" applyNumberFormat="0" applyBorder="0" applyAlignment="0" applyProtection="0"/>
    <xf numFmtId="0" fontId="90" fillId="69" borderId="0" applyNumberFormat="0" applyBorder="0" applyAlignment="0" applyProtection="0"/>
    <xf numFmtId="0" fontId="17" fillId="0" borderId="0"/>
    <xf numFmtId="0" fontId="91" fillId="51" borderId="0" applyNumberFormat="0" applyBorder="0" applyAlignment="0" applyProtection="0"/>
    <xf numFmtId="0" fontId="92" fillId="67" borderId="55" applyNumberFormat="0" applyAlignment="0" applyProtection="0"/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56" applyNumberFormat="0" applyFill="0" applyAlignment="0" applyProtection="0"/>
    <xf numFmtId="0" fontId="96" fillId="0" borderId="57" applyNumberFormat="0" applyFill="0" applyAlignment="0" applyProtection="0"/>
    <xf numFmtId="0" fontId="97" fillId="0" borderId="58" applyNumberFormat="0" applyFill="0" applyAlignment="0" applyProtection="0"/>
    <xf numFmtId="0" fontId="97" fillId="0" borderId="0" applyNumberFormat="0" applyFill="0" applyBorder="0" applyAlignment="0" applyProtection="0"/>
    <xf numFmtId="0" fontId="98" fillId="0" borderId="59" applyNumberFormat="0" applyFill="0" applyAlignment="0" applyProtection="0"/>
    <xf numFmtId="0" fontId="99" fillId="70" borderId="60" applyNumberFormat="0" applyAlignment="0" applyProtection="0"/>
    <xf numFmtId="0" fontId="17" fillId="0" borderId="0"/>
    <xf numFmtId="164" fontId="11" fillId="0" borderId="0" applyFont="0" applyFill="0" applyBorder="0" applyAlignment="0" applyProtection="0"/>
    <xf numFmtId="0" fontId="17" fillId="0" borderId="0"/>
    <xf numFmtId="0" fontId="11" fillId="0" borderId="0"/>
    <xf numFmtId="0" fontId="80" fillId="0" borderId="0" applyNumberFormat="0" applyFill="0" applyBorder="0" applyAlignment="0" applyProtection="0"/>
    <xf numFmtId="0" fontId="17" fillId="24" borderId="50" applyNumberFormat="0" applyFont="0" applyAlignment="0" applyProtection="0"/>
    <xf numFmtId="0" fontId="17" fillId="0" borderId="0"/>
    <xf numFmtId="0" fontId="101" fillId="0" borderId="0" applyNumberFormat="0" applyFill="0" applyBorder="0" applyAlignment="0" applyProtection="0"/>
    <xf numFmtId="0" fontId="70" fillId="0" borderId="43" applyNumberFormat="0" applyFill="0" applyAlignment="0" applyProtection="0"/>
    <xf numFmtId="0" fontId="71" fillId="0" borderId="44" applyNumberFormat="0" applyFill="0" applyAlignment="0" applyProtection="0"/>
    <xf numFmtId="0" fontId="72" fillId="0" borderId="45" applyNumberFormat="0" applyFill="0" applyAlignment="0" applyProtection="0"/>
    <xf numFmtId="0" fontId="72" fillId="0" borderId="0" applyNumberFormat="0" applyFill="0" applyBorder="0" applyAlignment="0" applyProtection="0"/>
    <xf numFmtId="0" fontId="73" fillId="18" borderId="0" applyNumberFormat="0" applyBorder="0" applyAlignment="0" applyProtection="0"/>
    <xf numFmtId="0" fontId="74" fillId="19" borderId="0" applyNumberFormat="0" applyBorder="0" applyAlignment="0" applyProtection="0"/>
    <xf numFmtId="0" fontId="102" fillId="20" borderId="0" applyNumberFormat="0" applyBorder="0" applyAlignment="0" applyProtection="0"/>
    <xf numFmtId="0" fontId="75" fillId="21" borderId="46" applyNumberFormat="0" applyAlignment="0" applyProtection="0"/>
    <xf numFmtId="0" fontId="76" fillId="22" borderId="47" applyNumberFormat="0" applyAlignment="0" applyProtection="0"/>
    <xf numFmtId="0" fontId="77" fillId="22" borderId="46" applyNumberFormat="0" applyAlignment="0" applyProtection="0"/>
    <xf numFmtId="0" fontId="78" fillId="0" borderId="48" applyNumberFormat="0" applyFill="0" applyAlignment="0" applyProtection="0"/>
    <xf numFmtId="0" fontId="79" fillId="23" borderId="49" applyNumberFormat="0" applyAlignment="0" applyProtection="0"/>
    <xf numFmtId="0" fontId="54" fillId="0" borderId="0" applyNumberFormat="0" applyFill="0" applyBorder="0" applyAlignment="0" applyProtection="0"/>
    <xf numFmtId="0" fontId="17" fillId="24" borderId="50" applyNumberFormat="0" applyFont="0" applyAlignment="0" applyProtection="0"/>
    <xf numFmtId="0" fontId="80" fillId="0" borderId="0" applyNumberFormat="0" applyFill="0" applyBorder="0" applyAlignment="0" applyProtection="0"/>
    <xf numFmtId="0" fontId="51" fillId="0" borderId="51" applyNumberFormat="0" applyFill="0" applyAlignment="0" applyProtection="0"/>
    <xf numFmtId="0" fontId="81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81" fillId="28" borderId="0" applyNumberFormat="0" applyBorder="0" applyAlignment="0" applyProtection="0"/>
    <xf numFmtId="0" fontId="81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81" fillId="32" borderId="0" applyNumberFormat="0" applyBorder="0" applyAlignment="0" applyProtection="0"/>
    <xf numFmtId="0" fontId="81" fillId="33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81" fillId="36" borderId="0" applyNumberFormat="0" applyBorder="0" applyAlignment="0" applyProtection="0"/>
    <xf numFmtId="0" fontId="81" fillId="37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81" fillId="40" borderId="0" applyNumberFormat="0" applyBorder="0" applyAlignment="0" applyProtection="0"/>
    <xf numFmtId="0" fontId="81" fillId="41" borderId="0" applyNumberFormat="0" applyBorder="0" applyAlignment="0" applyProtection="0"/>
    <xf numFmtId="0" fontId="17" fillId="42" borderId="0" applyNumberFormat="0" applyBorder="0" applyAlignment="0" applyProtection="0"/>
    <xf numFmtId="0" fontId="17" fillId="43" borderId="0" applyNumberFormat="0" applyBorder="0" applyAlignment="0" applyProtection="0"/>
    <xf numFmtId="0" fontId="81" fillId="44" borderId="0" applyNumberFormat="0" applyBorder="0" applyAlignment="0" applyProtection="0"/>
    <xf numFmtId="0" fontId="81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81" fillId="48" borderId="0" applyNumberFormat="0" applyBorder="0" applyAlignment="0" applyProtection="0"/>
    <xf numFmtId="0" fontId="54" fillId="0" borderId="0" applyNumberFormat="0" applyFill="0" applyBorder="0" applyAlignment="0" applyProtection="0"/>
    <xf numFmtId="0" fontId="17" fillId="31" borderId="0" applyNumberFormat="0" applyBorder="0" applyAlignment="0" applyProtection="0"/>
    <xf numFmtId="0" fontId="17" fillId="34" borderId="0" applyNumberFormat="0" applyBorder="0" applyAlignment="0" applyProtection="0"/>
    <xf numFmtId="0" fontId="83" fillId="52" borderId="0" applyNumberFormat="0" applyBorder="0" applyAlignment="0" applyProtection="0"/>
    <xf numFmtId="0" fontId="81" fillId="32" borderId="0" applyNumberFormat="0" applyBorder="0" applyAlignment="0" applyProtection="0"/>
    <xf numFmtId="0" fontId="17" fillId="38" borderId="0" applyNumberFormat="0" applyBorder="0" applyAlignment="0" applyProtection="0"/>
    <xf numFmtId="0" fontId="83" fillId="56" borderId="0" applyNumberFormat="0" applyBorder="0" applyAlignment="0" applyProtection="0"/>
    <xf numFmtId="0" fontId="17" fillId="42" borderId="0" applyNumberFormat="0" applyBorder="0" applyAlignment="0" applyProtection="0"/>
    <xf numFmtId="0" fontId="83" fillId="54" borderId="0" applyNumberFormat="0" applyBorder="0" applyAlignment="0" applyProtection="0"/>
    <xf numFmtId="0" fontId="17" fillId="46" borderId="0" applyNumberFormat="0" applyBorder="0" applyAlignment="0" applyProtection="0"/>
    <xf numFmtId="0" fontId="83" fillId="52" borderId="0" applyNumberFormat="0" applyBorder="0" applyAlignment="0" applyProtection="0"/>
    <xf numFmtId="0" fontId="81" fillId="33" borderId="0" applyNumberFormat="0" applyBorder="0" applyAlignment="0" applyProtection="0"/>
    <xf numFmtId="0" fontId="17" fillId="0" borderId="0"/>
    <xf numFmtId="0" fontId="71" fillId="0" borderId="44" applyNumberFormat="0" applyFill="0" applyAlignment="0" applyProtection="0"/>
    <xf numFmtId="0" fontId="17" fillId="0" borderId="0"/>
    <xf numFmtId="0" fontId="17" fillId="0" borderId="0"/>
    <xf numFmtId="0" fontId="72" fillId="0" borderId="0" applyNumberFormat="0" applyFill="0" applyBorder="0" applyAlignment="0" applyProtection="0"/>
    <xf numFmtId="0" fontId="17" fillId="0" borderId="0"/>
    <xf numFmtId="0" fontId="79" fillId="23" borderId="49" applyNumberFormat="0" applyAlignment="0" applyProtection="0"/>
    <xf numFmtId="0" fontId="17" fillId="0" borderId="0"/>
    <xf numFmtId="0" fontId="17" fillId="26" borderId="0" applyNumberFormat="0" applyBorder="0" applyAlignment="0" applyProtection="0"/>
    <xf numFmtId="0" fontId="17" fillId="24" borderId="50" applyNumberFormat="0" applyFont="0" applyAlignment="0" applyProtection="0"/>
    <xf numFmtId="0" fontId="81" fillId="37" borderId="0" applyNumberFormat="0" applyBorder="0" applyAlignment="0" applyProtection="0"/>
    <xf numFmtId="0" fontId="17" fillId="31" borderId="0" applyNumberFormat="0" applyBorder="0" applyAlignment="0" applyProtection="0"/>
    <xf numFmtId="0" fontId="81" fillId="29" borderId="0" applyNumberFormat="0" applyBorder="0" applyAlignment="0" applyProtection="0"/>
    <xf numFmtId="0" fontId="70" fillId="0" borderId="43" applyNumberFormat="0" applyFill="0" applyAlignment="0" applyProtection="0"/>
    <xf numFmtId="0" fontId="73" fillId="18" borderId="0" applyNumberFormat="0" applyBorder="0" applyAlignment="0" applyProtection="0"/>
    <xf numFmtId="0" fontId="17" fillId="0" borderId="0"/>
    <xf numFmtId="0" fontId="83" fillId="58" borderId="0" applyNumberFormat="0" applyBorder="0" applyAlignment="0" applyProtection="0"/>
    <xf numFmtId="0" fontId="17" fillId="0" borderId="0"/>
    <xf numFmtId="0" fontId="84" fillId="56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0" borderId="0"/>
    <xf numFmtId="0" fontId="17" fillId="35" borderId="0" applyNumberFormat="0" applyBorder="0" applyAlignment="0" applyProtection="0"/>
    <xf numFmtId="0" fontId="76" fillId="22" borderId="47" applyNumberFormat="0" applyAlignment="0" applyProtection="0"/>
    <xf numFmtId="0" fontId="17" fillId="26" borderId="0" applyNumberFormat="0" applyBorder="0" applyAlignment="0" applyProtection="0"/>
    <xf numFmtId="0" fontId="78" fillId="0" borderId="48" applyNumberFormat="0" applyFill="0" applyAlignment="0" applyProtection="0"/>
    <xf numFmtId="0" fontId="17" fillId="0" borderId="0"/>
    <xf numFmtId="0" fontId="83" fillId="50" borderId="0" applyNumberFormat="0" applyBorder="0" applyAlignment="0" applyProtection="0"/>
    <xf numFmtId="0" fontId="17" fillId="47" borderId="0" applyNumberFormat="0" applyBorder="0" applyAlignment="0" applyProtection="0"/>
    <xf numFmtId="0" fontId="17" fillId="30" borderId="0" applyNumberFormat="0" applyBorder="0" applyAlignment="0" applyProtection="0"/>
    <xf numFmtId="0" fontId="17" fillId="35" borderId="0" applyNumberFormat="0" applyBorder="0" applyAlignment="0" applyProtection="0"/>
    <xf numFmtId="0" fontId="102" fillId="20" borderId="0" applyNumberFormat="0" applyBorder="0" applyAlignment="0" applyProtection="0"/>
    <xf numFmtId="0" fontId="17" fillId="39" borderId="0" applyNumberFormat="0" applyBorder="0" applyAlignment="0" applyProtection="0"/>
    <xf numFmtId="0" fontId="81" fillId="45" borderId="0" applyNumberFormat="0" applyBorder="0" applyAlignment="0" applyProtection="0"/>
    <xf numFmtId="0" fontId="17" fillId="43" borderId="0" applyNumberFormat="0" applyBorder="0" applyAlignment="0" applyProtection="0"/>
    <xf numFmtId="0" fontId="17" fillId="39" borderId="0" applyNumberFormat="0" applyBorder="0" applyAlignment="0" applyProtection="0"/>
    <xf numFmtId="0" fontId="72" fillId="0" borderId="45" applyNumberFormat="0" applyFill="0" applyAlignment="0" applyProtection="0"/>
    <xf numFmtId="0" fontId="83" fillId="58" borderId="0" applyNumberFormat="0" applyBorder="0" applyAlignment="0" applyProtection="0"/>
    <xf numFmtId="0" fontId="83" fillId="54" borderId="0" applyNumberFormat="0" applyBorder="0" applyAlignment="0" applyProtection="0"/>
    <xf numFmtId="0" fontId="83" fillId="55" borderId="0" applyNumberFormat="0" applyBorder="0" applyAlignment="0" applyProtection="0"/>
    <xf numFmtId="0" fontId="83" fillId="53" borderId="0" applyNumberFormat="0" applyBorder="0" applyAlignment="0" applyProtection="0"/>
    <xf numFmtId="0" fontId="83" fillId="52" borderId="0" applyNumberFormat="0" applyBorder="0" applyAlignment="0" applyProtection="0"/>
    <xf numFmtId="0" fontId="83" fillId="52" borderId="0" applyNumberFormat="0" applyBorder="0" applyAlignment="0" applyProtection="0"/>
    <xf numFmtId="0" fontId="17" fillId="47" borderId="0" applyNumberFormat="0" applyBorder="0" applyAlignment="0" applyProtection="0"/>
    <xf numFmtId="0" fontId="83" fillId="57" borderId="0" applyNumberFormat="0" applyBorder="0" applyAlignment="0" applyProtection="0"/>
    <xf numFmtId="0" fontId="83" fillId="51" borderId="0" applyNumberFormat="0" applyBorder="0" applyAlignment="0" applyProtection="0"/>
    <xf numFmtId="0" fontId="81" fillId="41" borderId="0" applyNumberFormat="0" applyBorder="0" applyAlignment="0" applyProtection="0"/>
    <xf numFmtId="0" fontId="83" fillId="56" borderId="0" applyNumberFormat="0" applyBorder="0" applyAlignment="0" applyProtection="0"/>
    <xf numFmtId="0" fontId="83" fillId="50" borderId="0" applyNumberFormat="0" applyBorder="0" applyAlignment="0" applyProtection="0"/>
    <xf numFmtId="0" fontId="17" fillId="43" borderId="0" applyNumberFormat="0" applyBorder="0" applyAlignment="0" applyProtection="0"/>
    <xf numFmtId="0" fontId="83" fillId="55" borderId="0" applyNumberFormat="0" applyBorder="0" applyAlignment="0" applyProtection="0"/>
    <xf numFmtId="0" fontId="83" fillId="49" borderId="0" applyNumberFormat="0" applyBorder="0" applyAlignment="0" applyProtection="0"/>
    <xf numFmtId="0" fontId="101" fillId="0" borderId="0" applyNumberFormat="0" applyFill="0" applyBorder="0" applyAlignment="0" applyProtection="0"/>
    <xf numFmtId="0" fontId="77" fillId="22" borderId="46" applyNumberFormat="0" applyAlignment="0" applyProtection="0"/>
    <xf numFmtId="0" fontId="81" fillId="28" borderId="0" applyNumberFormat="0" applyBorder="0" applyAlignment="0" applyProtection="0"/>
    <xf numFmtId="0" fontId="81" fillId="25" borderId="0" applyNumberFormat="0" applyBorder="0" applyAlignment="0" applyProtection="0"/>
    <xf numFmtId="0" fontId="17" fillId="30" borderId="0" applyNumberFormat="0" applyBorder="0" applyAlignment="0" applyProtection="0"/>
    <xf numFmtId="0" fontId="75" fillId="21" borderId="46" applyNumberFormat="0" applyAlignment="0" applyProtection="0"/>
    <xf numFmtId="0" fontId="81" fillId="36" borderId="0" applyNumberFormat="0" applyBorder="0" applyAlignment="0" applyProtection="0"/>
    <xf numFmtId="0" fontId="17" fillId="34" borderId="0" applyNumberFormat="0" applyBorder="0" applyAlignment="0" applyProtection="0"/>
    <xf numFmtId="0" fontId="17" fillId="38" borderId="0" applyNumberFormat="0" applyBorder="0" applyAlignment="0" applyProtection="0"/>
    <xf numFmtId="0" fontId="17" fillId="24" borderId="50" applyNumberFormat="0" applyFont="0" applyAlignment="0" applyProtection="0"/>
    <xf numFmtId="0" fontId="74" fillId="19" borderId="0" applyNumberFormat="0" applyBorder="0" applyAlignment="0" applyProtection="0"/>
    <xf numFmtId="0" fontId="83" fillId="49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84" fillId="59" borderId="0" applyNumberFormat="0" applyBorder="0" applyAlignment="0" applyProtection="0"/>
    <xf numFmtId="0" fontId="81" fillId="48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83" fillId="55" borderId="0" applyNumberFormat="0" applyBorder="0" applyAlignment="0" applyProtection="0"/>
    <xf numFmtId="0" fontId="17" fillId="46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83" fillId="57" borderId="0" applyNumberFormat="0" applyBorder="0" applyAlignment="0" applyProtection="0"/>
    <xf numFmtId="0" fontId="81" fillId="44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83" fillId="55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3" borderId="0" applyNumberFormat="0" applyBorder="0" applyAlignment="0" applyProtection="0"/>
    <xf numFmtId="0" fontId="83" fillId="53" borderId="0" applyNumberFormat="0" applyBorder="0" applyAlignment="0" applyProtection="0"/>
    <xf numFmtId="0" fontId="81" fillId="40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83" fillId="51" borderId="0" applyNumberFormat="0" applyBorder="0" applyAlignment="0" applyProtection="0"/>
    <xf numFmtId="0" fontId="84" fillId="59" borderId="0" applyNumberFormat="0" applyBorder="0" applyAlignment="0" applyProtection="0"/>
    <xf numFmtId="0" fontId="84" fillId="56" borderId="0" applyNumberFormat="0" applyBorder="0" applyAlignment="0" applyProtection="0"/>
    <xf numFmtId="0" fontId="84" fillId="57" borderId="0" applyNumberFormat="0" applyBorder="0" applyAlignment="0" applyProtection="0"/>
    <xf numFmtId="0" fontId="84" fillId="60" borderId="0" applyNumberFormat="0" applyBorder="0" applyAlignment="0" applyProtection="0"/>
    <xf numFmtId="0" fontId="84" fillId="61" borderId="0" applyNumberFormat="0" applyBorder="0" applyAlignment="0" applyProtection="0"/>
    <xf numFmtId="0" fontId="84" fillId="62" borderId="0" applyNumberFormat="0" applyBorder="0" applyAlignment="0" applyProtection="0"/>
    <xf numFmtId="0" fontId="84" fillId="63" borderId="0" applyNumberFormat="0" applyBorder="0" applyAlignment="0" applyProtection="0"/>
    <xf numFmtId="0" fontId="84" fillId="64" borderId="0" applyNumberFormat="0" applyBorder="0" applyAlignment="0" applyProtection="0"/>
    <xf numFmtId="0" fontId="84" fillId="65" borderId="0" applyNumberFormat="0" applyBorder="0" applyAlignment="0" applyProtection="0"/>
    <xf numFmtId="0" fontId="84" fillId="60" borderId="0" applyNumberFormat="0" applyBorder="0" applyAlignment="0" applyProtection="0"/>
    <xf numFmtId="0" fontId="84" fillId="61" borderId="0" applyNumberFormat="0" applyBorder="0" applyAlignment="0" applyProtection="0"/>
    <xf numFmtId="0" fontId="84" fillId="66" borderId="0" applyNumberFormat="0" applyBorder="0" applyAlignment="0" applyProtection="0"/>
    <xf numFmtId="0" fontId="85" fillId="0" borderId="0" applyNumberFormat="0" applyFill="0" applyBorder="0" applyAlignment="0" applyProtection="0"/>
    <xf numFmtId="0" fontId="86" fillId="67" borderId="52" applyNumberFormat="0" applyAlignment="0" applyProtection="0"/>
    <xf numFmtId="0" fontId="87" fillId="0" borderId="53" applyNumberFormat="0" applyFill="0" applyAlignment="0" applyProtection="0"/>
    <xf numFmtId="0" fontId="11" fillId="68" borderId="54" applyNumberFormat="0" applyFont="0" applyAlignment="0" applyProtection="0"/>
    <xf numFmtId="0" fontId="88" fillId="54" borderId="52" applyNumberFormat="0" applyAlignment="0" applyProtection="0"/>
    <xf numFmtId="0" fontId="89" fillId="50" borderId="0" applyNumberFormat="0" applyBorder="0" applyAlignment="0" applyProtection="0"/>
    <xf numFmtId="0" fontId="90" fillId="69" borderId="0" applyNumberFormat="0" applyBorder="0" applyAlignment="0" applyProtection="0"/>
    <xf numFmtId="0" fontId="88" fillId="54" borderId="52" applyNumberFormat="0" applyAlignment="0" applyProtection="0"/>
    <xf numFmtId="0" fontId="91" fillId="51" borderId="0" applyNumberFormat="0" applyBorder="0" applyAlignment="0" applyProtection="0"/>
    <xf numFmtId="0" fontId="92" fillId="67" borderId="55" applyNumberFormat="0" applyAlignment="0" applyProtection="0"/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56" applyNumberFormat="0" applyFill="0" applyAlignment="0" applyProtection="0"/>
    <xf numFmtId="0" fontId="96" fillId="0" borderId="57" applyNumberFormat="0" applyFill="0" applyAlignment="0" applyProtection="0"/>
    <xf numFmtId="0" fontId="97" fillId="0" borderId="58" applyNumberFormat="0" applyFill="0" applyAlignment="0" applyProtection="0"/>
    <xf numFmtId="0" fontId="97" fillId="0" borderId="0" applyNumberFormat="0" applyFill="0" applyBorder="0" applyAlignment="0" applyProtection="0"/>
    <xf numFmtId="0" fontId="98" fillId="0" borderId="59" applyNumberFormat="0" applyFill="0" applyAlignment="0" applyProtection="0"/>
    <xf numFmtId="0" fontId="99" fillId="70" borderId="60" applyNumberFormat="0" applyAlignment="0" applyProtection="0"/>
    <xf numFmtId="0" fontId="92" fillId="67" borderId="55" applyNumberFormat="0" applyAlignment="0" applyProtection="0"/>
    <xf numFmtId="164" fontId="11" fillId="0" borderId="0" applyFont="0" applyFill="0" applyBorder="0" applyAlignment="0" applyProtection="0"/>
    <xf numFmtId="0" fontId="11" fillId="68" borderId="54" applyNumberFormat="0" applyFont="0" applyAlignment="0" applyProtection="0"/>
    <xf numFmtId="0" fontId="11" fillId="0" borderId="0"/>
    <xf numFmtId="0" fontId="90" fillId="69" borderId="0" applyNumberFormat="0" applyBorder="0" applyAlignment="0" applyProtection="0"/>
    <xf numFmtId="0" fontId="89" fillId="50" borderId="0" applyNumberFormat="0" applyBorder="0" applyAlignment="0" applyProtection="0"/>
    <xf numFmtId="0" fontId="84" fillId="61" borderId="0" applyNumberFormat="0" applyBorder="0" applyAlignment="0" applyProtection="0"/>
    <xf numFmtId="0" fontId="101" fillId="0" borderId="0" applyNumberFormat="0" applyFill="0" applyBorder="0" applyAlignment="0" applyProtection="0"/>
    <xf numFmtId="0" fontId="70" fillId="0" borderId="43" applyNumberFormat="0" applyFill="0" applyAlignment="0" applyProtection="0"/>
    <xf numFmtId="0" fontId="71" fillId="0" borderId="44" applyNumberFormat="0" applyFill="0" applyAlignment="0" applyProtection="0"/>
    <xf numFmtId="0" fontId="72" fillId="0" borderId="45" applyNumberFormat="0" applyFill="0" applyAlignment="0" applyProtection="0"/>
    <xf numFmtId="0" fontId="72" fillId="0" borderId="0" applyNumberFormat="0" applyFill="0" applyBorder="0" applyAlignment="0" applyProtection="0"/>
    <xf numFmtId="0" fontId="73" fillId="18" borderId="0" applyNumberFormat="0" applyBorder="0" applyAlignment="0" applyProtection="0"/>
    <xf numFmtId="0" fontId="74" fillId="19" borderId="0" applyNumberFormat="0" applyBorder="0" applyAlignment="0" applyProtection="0"/>
    <xf numFmtId="0" fontId="102" fillId="20" borderId="0" applyNumberFormat="0" applyBorder="0" applyAlignment="0" applyProtection="0"/>
    <xf numFmtId="0" fontId="75" fillId="21" borderId="46" applyNumberFormat="0" applyAlignment="0" applyProtection="0"/>
    <xf numFmtId="0" fontId="76" fillId="22" borderId="47" applyNumberFormat="0" applyAlignment="0" applyProtection="0"/>
    <xf numFmtId="0" fontId="77" fillId="22" borderId="46" applyNumberFormat="0" applyAlignment="0" applyProtection="0"/>
    <xf numFmtId="0" fontId="78" fillId="0" borderId="48" applyNumberFormat="0" applyFill="0" applyAlignment="0" applyProtection="0"/>
    <xf numFmtId="0" fontId="79" fillId="23" borderId="49" applyNumberFormat="0" applyAlignment="0" applyProtection="0"/>
    <xf numFmtId="0" fontId="54" fillId="0" borderId="0" applyNumberFormat="0" applyFill="0" applyBorder="0" applyAlignment="0" applyProtection="0"/>
    <xf numFmtId="0" fontId="17" fillId="24" borderId="50" applyNumberFormat="0" applyFont="0" applyAlignment="0" applyProtection="0"/>
    <xf numFmtId="0" fontId="80" fillId="0" borderId="0" applyNumberFormat="0" applyFill="0" applyBorder="0" applyAlignment="0" applyProtection="0"/>
    <xf numFmtId="0" fontId="51" fillId="0" borderId="51" applyNumberFormat="0" applyFill="0" applyAlignment="0" applyProtection="0"/>
    <xf numFmtId="0" fontId="81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81" fillId="28" borderId="0" applyNumberFormat="0" applyBorder="0" applyAlignment="0" applyProtection="0"/>
    <xf numFmtId="0" fontId="81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81" fillId="32" borderId="0" applyNumberFormat="0" applyBorder="0" applyAlignment="0" applyProtection="0"/>
    <xf numFmtId="0" fontId="81" fillId="33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81" fillId="36" borderId="0" applyNumberFormat="0" applyBorder="0" applyAlignment="0" applyProtection="0"/>
    <xf numFmtId="0" fontId="81" fillId="37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81" fillId="40" borderId="0" applyNumberFormat="0" applyBorder="0" applyAlignment="0" applyProtection="0"/>
    <xf numFmtId="0" fontId="81" fillId="41" borderId="0" applyNumberFormat="0" applyBorder="0" applyAlignment="0" applyProtection="0"/>
    <xf numFmtId="0" fontId="17" fillId="42" borderId="0" applyNumberFormat="0" applyBorder="0" applyAlignment="0" applyProtection="0"/>
    <xf numFmtId="0" fontId="17" fillId="43" borderId="0" applyNumberFormat="0" applyBorder="0" applyAlignment="0" applyProtection="0"/>
    <xf numFmtId="0" fontId="81" fillId="44" borderId="0" applyNumberFormat="0" applyBorder="0" applyAlignment="0" applyProtection="0"/>
    <xf numFmtId="0" fontId="81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81" fillId="48" borderId="0" applyNumberFormat="0" applyBorder="0" applyAlignment="0" applyProtection="0"/>
    <xf numFmtId="0" fontId="84" fillId="65" borderId="0" applyNumberFormat="0" applyBorder="0" applyAlignment="0" applyProtection="0"/>
    <xf numFmtId="0" fontId="17" fillId="47" borderId="0" applyNumberFormat="0" applyBorder="0" applyAlignment="0" applyProtection="0"/>
    <xf numFmtId="0" fontId="83" fillId="52" borderId="0" applyNumberFormat="0" applyBorder="0" applyAlignment="0" applyProtection="0"/>
    <xf numFmtId="0" fontId="81" fillId="29" borderId="0" applyNumberFormat="0" applyBorder="0" applyAlignment="0" applyProtection="0"/>
    <xf numFmtId="0" fontId="11" fillId="68" borderId="54" applyNumberFormat="0" applyFont="0" applyAlignment="0" applyProtection="0"/>
    <xf numFmtId="0" fontId="80" fillId="0" borderId="0" applyNumberFormat="0" applyFill="0" applyBorder="0" applyAlignment="0" applyProtection="0"/>
    <xf numFmtId="0" fontId="17" fillId="27" borderId="0" applyNumberFormat="0" applyBorder="0" applyAlignment="0" applyProtection="0"/>
    <xf numFmtId="0" fontId="81" fillId="25" borderId="0" applyNumberFormat="0" applyBorder="0" applyAlignment="0" applyProtection="0"/>
    <xf numFmtId="0" fontId="11" fillId="68" borderId="54" applyNumberFormat="0" applyFont="0" applyAlignment="0" applyProtection="0"/>
    <xf numFmtId="0" fontId="80" fillId="0" borderId="0" applyNumberFormat="0" applyFill="0" applyBorder="0" applyAlignment="0" applyProtection="0"/>
    <xf numFmtId="0" fontId="11" fillId="0" borderId="0"/>
    <xf numFmtId="0" fontId="93" fillId="0" borderId="0" applyNumberFormat="0" applyFill="0" applyBorder="0" applyAlignment="0" applyProtection="0"/>
    <xf numFmtId="0" fontId="83" fillId="52" borderId="0" applyNumberFormat="0" applyBorder="0" applyAlignment="0" applyProtection="0"/>
    <xf numFmtId="0" fontId="85" fillId="0" borderId="0" applyNumberFormat="0" applyFill="0" applyBorder="0" applyAlignment="0" applyProtection="0"/>
    <xf numFmtId="0" fontId="91" fillId="51" borderId="0" applyNumberFormat="0" applyBorder="0" applyAlignment="0" applyProtection="0"/>
    <xf numFmtId="0" fontId="83" fillId="58" borderId="0" applyNumberFormat="0" applyBorder="0" applyAlignment="0" applyProtection="0"/>
    <xf numFmtId="0" fontId="87" fillId="0" borderId="53" applyNumberFormat="0" applyFill="0" applyAlignment="0" applyProtection="0"/>
    <xf numFmtId="0" fontId="84" fillId="64" borderId="0" applyNumberFormat="0" applyBorder="0" applyAlignment="0" applyProtection="0"/>
    <xf numFmtId="0" fontId="84" fillId="66" borderId="0" applyNumberFormat="0" applyBorder="0" applyAlignment="0" applyProtection="0"/>
    <xf numFmtId="0" fontId="84" fillId="66" borderId="0" applyNumberFormat="0" applyBorder="0" applyAlignment="0" applyProtection="0"/>
    <xf numFmtId="0" fontId="83" fillId="51" borderId="0" applyNumberFormat="0" applyBorder="0" applyAlignment="0" applyProtection="0"/>
    <xf numFmtId="164" fontId="11" fillId="0" borderId="0" applyFont="0" applyFill="0" applyBorder="0" applyAlignment="0" applyProtection="0"/>
    <xf numFmtId="0" fontId="83" fillId="49" borderId="0" applyNumberFormat="0" applyBorder="0" applyAlignment="0" applyProtection="0"/>
    <xf numFmtId="0" fontId="84" fillId="61" borderId="0" applyNumberFormat="0" applyBorder="0" applyAlignment="0" applyProtection="0"/>
    <xf numFmtId="0" fontId="99" fillId="70" borderId="60" applyNumberFormat="0" applyAlignment="0" applyProtection="0"/>
    <xf numFmtId="0" fontId="97" fillId="0" borderId="0" applyNumberFormat="0" applyFill="0" applyBorder="0" applyAlignment="0" applyProtection="0"/>
    <xf numFmtId="0" fontId="83" fillId="53" borderId="0" applyNumberFormat="0" applyBorder="0" applyAlignment="0" applyProtection="0"/>
    <xf numFmtId="0" fontId="83" fillId="57" borderId="0" applyNumberFormat="0" applyBorder="0" applyAlignment="0" applyProtection="0"/>
    <xf numFmtId="0" fontId="84" fillId="59" borderId="0" applyNumberFormat="0" applyBorder="0" applyAlignment="0" applyProtection="0"/>
    <xf numFmtId="0" fontId="88" fillId="54" borderId="52" applyNumberFormat="0" applyAlignment="0" applyProtection="0"/>
    <xf numFmtId="0" fontId="17" fillId="31" borderId="0" applyNumberFormat="0" applyBorder="0" applyAlignment="0" applyProtection="0"/>
    <xf numFmtId="0" fontId="86" fillId="67" borderId="52" applyNumberFormat="0" applyAlignment="0" applyProtection="0"/>
    <xf numFmtId="0" fontId="78" fillId="0" borderId="48" applyNumberFormat="0" applyFill="0" applyAlignment="0" applyProtection="0"/>
    <xf numFmtId="0" fontId="81" fillId="33" borderId="0" applyNumberFormat="0" applyBorder="0" applyAlignment="0" applyProtection="0"/>
    <xf numFmtId="0" fontId="17" fillId="47" borderId="0" applyNumberFormat="0" applyBorder="0" applyAlignment="0" applyProtection="0"/>
    <xf numFmtId="0" fontId="96" fillId="0" borderId="57" applyNumberFormat="0" applyFill="0" applyAlignment="0" applyProtection="0"/>
    <xf numFmtId="0" fontId="84" fillId="60" borderId="0" applyNumberFormat="0" applyBorder="0" applyAlignment="0" applyProtection="0"/>
    <xf numFmtId="0" fontId="84" fillId="61" borderId="0" applyNumberFormat="0" applyBorder="0" applyAlignment="0" applyProtection="0"/>
    <xf numFmtId="0" fontId="95" fillId="0" borderId="56" applyNumberFormat="0" applyFill="0" applyAlignment="0" applyProtection="0"/>
    <xf numFmtId="0" fontId="84" fillId="63" borderId="0" applyNumberFormat="0" applyBorder="0" applyAlignment="0" applyProtection="0"/>
    <xf numFmtId="0" fontId="83" fillId="55" borderId="0" applyNumberFormat="0" applyBorder="0" applyAlignment="0" applyProtection="0"/>
    <xf numFmtId="0" fontId="54" fillId="0" borderId="0" applyNumberFormat="0" applyFill="0" applyBorder="0" applyAlignment="0" applyProtection="0"/>
    <xf numFmtId="0" fontId="76" fillId="22" borderId="47" applyNumberFormat="0" applyAlignment="0" applyProtection="0"/>
    <xf numFmtId="0" fontId="83" fillId="58" borderId="0" applyNumberFormat="0" applyBorder="0" applyAlignment="0" applyProtection="0"/>
    <xf numFmtId="0" fontId="81" fillId="44" borderId="0" applyNumberFormat="0" applyBorder="0" applyAlignment="0" applyProtection="0"/>
    <xf numFmtId="0" fontId="84" fillId="57" borderId="0" applyNumberFormat="0" applyBorder="0" applyAlignment="0" applyProtection="0"/>
    <xf numFmtId="0" fontId="81" fillId="41" borderId="0" applyNumberFormat="0" applyBorder="0" applyAlignment="0" applyProtection="0"/>
    <xf numFmtId="0" fontId="102" fillId="20" borderId="0" applyNumberFormat="0" applyBorder="0" applyAlignment="0" applyProtection="0"/>
    <xf numFmtId="0" fontId="73" fillId="18" borderId="0" applyNumberFormat="0" applyBorder="0" applyAlignment="0" applyProtection="0"/>
    <xf numFmtId="0" fontId="90" fillId="69" borderId="0" applyNumberFormat="0" applyBorder="0" applyAlignment="0" applyProtection="0"/>
    <xf numFmtId="0" fontId="70" fillId="0" borderId="43" applyNumberFormat="0" applyFill="0" applyAlignment="0" applyProtection="0"/>
    <xf numFmtId="0" fontId="83" fillId="55" borderId="0" applyNumberFormat="0" applyBorder="0" applyAlignment="0" applyProtection="0"/>
    <xf numFmtId="0" fontId="84" fillId="66" borderId="0" applyNumberFormat="0" applyBorder="0" applyAlignment="0" applyProtection="0"/>
    <xf numFmtId="0" fontId="83" fillId="52" borderId="0" applyNumberFormat="0" applyBorder="0" applyAlignment="0" applyProtection="0"/>
    <xf numFmtId="0" fontId="87" fillId="0" borderId="53" applyNumberFormat="0" applyFill="0" applyAlignment="0" applyProtection="0"/>
    <xf numFmtId="0" fontId="81" fillId="48" borderId="0" applyNumberFormat="0" applyBorder="0" applyAlignment="0" applyProtection="0"/>
    <xf numFmtId="0" fontId="85" fillId="0" borderId="0" applyNumberFormat="0" applyFill="0" applyBorder="0" applyAlignment="0" applyProtection="0"/>
    <xf numFmtId="0" fontId="81" fillId="45" borderId="0" applyNumberFormat="0" applyBorder="0" applyAlignment="0" applyProtection="0"/>
    <xf numFmtId="0" fontId="17" fillId="35" borderId="0" applyNumberFormat="0" applyBorder="0" applyAlignment="0" applyProtection="0"/>
    <xf numFmtId="0" fontId="11" fillId="0" borderId="0"/>
    <xf numFmtId="0" fontId="17" fillId="42" borderId="0" applyNumberFormat="0" applyBorder="0" applyAlignment="0" applyProtection="0"/>
    <xf numFmtId="0" fontId="72" fillId="0" borderId="45" applyNumberFormat="0" applyFill="0" applyAlignment="0" applyProtection="0"/>
    <xf numFmtId="0" fontId="81" fillId="25" borderId="0" applyNumberFormat="0" applyBorder="0" applyAlignment="0" applyProtection="0"/>
    <xf numFmtId="0" fontId="17" fillId="39" borderId="0" applyNumberFormat="0" applyBorder="0" applyAlignment="0" applyProtection="0"/>
    <xf numFmtId="0" fontId="17" fillId="38" borderId="0" applyNumberFormat="0" applyBorder="0" applyAlignment="0" applyProtection="0"/>
    <xf numFmtId="0" fontId="80" fillId="0" borderId="0" applyNumberFormat="0" applyFill="0" applyBorder="0" applyAlignment="0" applyProtection="0"/>
    <xf numFmtId="0" fontId="81" fillId="36" borderId="0" applyNumberFormat="0" applyBorder="0" applyAlignment="0" applyProtection="0"/>
    <xf numFmtId="0" fontId="83" fillId="56" borderId="0" applyNumberFormat="0" applyBorder="0" applyAlignment="0" applyProtection="0"/>
    <xf numFmtId="0" fontId="83" fillId="54" borderId="0" applyNumberFormat="0" applyBorder="0" applyAlignment="0" applyProtection="0"/>
    <xf numFmtId="0" fontId="83" fillId="52" borderId="0" applyNumberFormat="0" applyBorder="0" applyAlignment="0" applyProtection="0"/>
    <xf numFmtId="0" fontId="84" fillId="62" borderId="0" applyNumberFormat="0" applyBorder="0" applyAlignment="0" applyProtection="0"/>
    <xf numFmtId="0" fontId="97" fillId="0" borderId="58" applyNumberFormat="0" applyFill="0" applyAlignment="0" applyProtection="0"/>
    <xf numFmtId="0" fontId="94" fillId="0" borderId="0" applyNumberFormat="0" applyFill="0" applyBorder="0" applyAlignment="0" applyProtection="0"/>
    <xf numFmtId="0" fontId="98" fillId="0" borderId="59" applyNumberFormat="0" applyFill="0" applyAlignment="0" applyProtection="0"/>
    <xf numFmtId="0" fontId="84" fillId="60" borderId="0" applyNumberFormat="0" applyBorder="0" applyAlignment="0" applyProtection="0"/>
    <xf numFmtId="0" fontId="89" fillId="50" borderId="0" applyNumberFormat="0" applyBorder="0" applyAlignment="0" applyProtection="0"/>
    <xf numFmtId="0" fontId="11" fillId="0" borderId="0"/>
    <xf numFmtId="0" fontId="101" fillId="0" borderId="0" applyNumberFormat="0" applyFill="0" applyBorder="0" applyAlignment="0" applyProtection="0"/>
    <xf numFmtId="0" fontId="92" fillId="67" borderId="55" applyNumberFormat="0" applyAlignment="0" applyProtection="0"/>
    <xf numFmtId="0" fontId="84" fillId="56" borderId="0" applyNumberFormat="0" applyBorder="0" applyAlignment="0" applyProtection="0"/>
    <xf numFmtId="0" fontId="83" fillId="50" borderId="0" applyNumberFormat="0" applyBorder="0" applyAlignment="0" applyProtection="0"/>
    <xf numFmtId="0" fontId="79" fillId="23" borderId="49" applyNumberFormat="0" applyAlignment="0" applyProtection="0"/>
    <xf numFmtId="0" fontId="84" fillId="64" borderId="0" applyNumberFormat="0" applyBorder="0" applyAlignment="0" applyProtection="0"/>
    <xf numFmtId="0" fontId="84" fillId="65" borderId="0" applyNumberFormat="0" applyBorder="0" applyAlignment="0" applyProtection="0"/>
    <xf numFmtId="0" fontId="81" fillId="32" borderId="0" applyNumberFormat="0" applyBorder="0" applyAlignment="0" applyProtection="0"/>
    <xf numFmtId="0" fontId="77" fillId="22" borderId="46" applyNumberFormat="0" applyAlignment="0" applyProtection="0"/>
    <xf numFmtId="0" fontId="91" fillId="51" borderId="0" applyNumberFormat="0" applyBorder="0" applyAlignment="0" applyProtection="0"/>
    <xf numFmtId="0" fontId="17" fillId="46" borderId="0" applyNumberFormat="0" applyBorder="0" applyAlignment="0" applyProtection="0"/>
    <xf numFmtId="0" fontId="17" fillId="30" borderId="0" applyNumberFormat="0" applyBorder="0" applyAlignment="0" applyProtection="0"/>
    <xf numFmtId="0" fontId="75" fillId="21" borderId="46" applyNumberFormat="0" applyAlignment="0" applyProtection="0"/>
    <xf numFmtId="0" fontId="93" fillId="0" borderId="0" applyNumberFormat="0" applyFill="0" applyBorder="0" applyAlignment="0" applyProtection="0"/>
    <xf numFmtId="0" fontId="17" fillId="43" borderId="0" applyNumberFormat="0" applyBorder="0" applyAlignment="0" applyProtection="0"/>
    <xf numFmtId="0" fontId="81" fillId="28" borderId="0" applyNumberFormat="0" applyBorder="0" applyAlignment="0" applyProtection="0"/>
    <xf numFmtId="0" fontId="74" fillId="19" borderId="0" applyNumberFormat="0" applyBorder="0" applyAlignment="0" applyProtection="0"/>
    <xf numFmtId="0" fontId="87" fillId="0" borderId="53" applyNumberFormat="0" applyFill="0" applyAlignment="0" applyProtection="0"/>
    <xf numFmtId="0" fontId="81" fillId="40" borderId="0" applyNumberFormat="0" applyBorder="0" applyAlignment="0" applyProtection="0"/>
    <xf numFmtId="0" fontId="17" fillId="26" borderId="0" applyNumberFormat="0" applyBorder="0" applyAlignment="0" applyProtection="0"/>
    <xf numFmtId="0" fontId="72" fillId="0" borderId="0" applyNumberFormat="0" applyFill="0" applyBorder="0" applyAlignment="0" applyProtection="0"/>
    <xf numFmtId="0" fontId="17" fillId="27" borderId="0" applyNumberFormat="0" applyBorder="0" applyAlignment="0" applyProtection="0"/>
    <xf numFmtId="0" fontId="81" fillId="37" borderId="0" applyNumberFormat="0" applyBorder="0" applyAlignment="0" applyProtection="0"/>
    <xf numFmtId="0" fontId="51" fillId="0" borderId="51" applyNumberFormat="0" applyFill="0" applyAlignment="0" applyProtection="0"/>
    <xf numFmtId="0" fontId="71" fillId="0" borderId="44" applyNumberFormat="0" applyFill="0" applyAlignment="0" applyProtection="0"/>
    <xf numFmtId="0" fontId="81" fillId="29" borderId="0" applyNumberFormat="0" applyBorder="0" applyAlignment="0" applyProtection="0"/>
    <xf numFmtId="0" fontId="17" fillId="34" borderId="0" applyNumberFormat="0" applyBorder="0" applyAlignment="0" applyProtection="0"/>
    <xf numFmtId="0" fontId="17" fillId="24" borderId="50" applyNumberFormat="0" applyFont="0" applyAlignment="0" applyProtection="0"/>
    <xf numFmtId="0" fontId="83" fillId="51" borderId="0" applyNumberFormat="0" applyBorder="0" applyAlignment="0" applyProtection="0"/>
    <xf numFmtId="164" fontId="11" fillId="0" borderId="0" applyFont="0" applyFill="0" applyBorder="0" applyAlignment="0" applyProtection="0"/>
    <xf numFmtId="0" fontId="83" fillId="49" borderId="0" applyNumberFormat="0" applyBorder="0" applyAlignment="0" applyProtection="0"/>
    <xf numFmtId="0" fontId="84" fillId="61" borderId="0" applyNumberFormat="0" applyBorder="0" applyAlignment="0" applyProtection="0"/>
    <xf numFmtId="0" fontId="99" fillId="70" borderId="60" applyNumberFormat="0" applyAlignment="0" applyProtection="0"/>
    <xf numFmtId="0" fontId="97" fillId="0" borderId="0" applyNumberFormat="0" applyFill="0" applyBorder="0" applyAlignment="0" applyProtection="0"/>
    <xf numFmtId="0" fontId="83" fillId="53" borderId="0" applyNumberFormat="0" applyBorder="0" applyAlignment="0" applyProtection="0"/>
    <xf numFmtId="0" fontId="83" fillId="57" borderId="0" applyNumberFormat="0" applyBorder="0" applyAlignment="0" applyProtection="0"/>
    <xf numFmtId="0" fontId="84" fillId="59" borderId="0" applyNumberFormat="0" applyBorder="0" applyAlignment="0" applyProtection="0"/>
    <xf numFmtId="0" fontId="88" fillId="54" borderId="52" applyNumberFormat="0" applyAlignment="0" applyProtection="0"/>
    <xf numFmtId="0" fontId="17" fillId="31" borderId="0" applyNumberFormat="0" applyBorder="0" applyAlignment="0" applyProtection="0"/>
    <xf numFmtId="0" fontId="86" fillId="67" borderId="52" applyNumberFormat="0" applyAlignment="0" applyProtection="0"/>
    <xf numFmtId="0" fontId="78" fillId="0" borderId="48" applyNumberFormat="0" applyFill="0" applyAlignment="0" applyProtection="0"/>
    <xf numFmtId="0" fontId="81" fillId="33" borderId="0" applyNumberFormat="0" applyBorder="0" applyAlignment="0" applyProtection="0"/>
    <xf numFmtId="0" fontId="17" fillId="47" borderId="0" applyNumberFormat="0" applyBorder="0" applyAlignment="0" applyProtection="0"/>
    <xf numFmtId="0" fontId="96" fillId="0" borderId="57" applyNumberFormat="0" applyFill="0" applyAlignment="0" applyProtection="0"/>
    <xf numFmtId="0" fontId="84" fillId="60" borderId="0" applyNumberFormat="0" applyBorder="0" applyAlignment="0" applyProtection="0"/>
    <xf numFmtId="0" fontId="84" fillId="61" borderId="0" applyNumberFormat="0" applyBorder="0" applyAlignment="0" applyProtection="0"/>
    <xf numFmtId="0" fontId="95" fillId="0" borderId="56" applyNumberFormat="0" applyFill="0" applyAlignment="0" applyProtection="0"/>
    <xf numFmtId="0" fontId="84" fillId="63" borderId="0" applyNumberFormat="0" applyBorder="0" applyAlignment="0" applyProtection="0"/>
    <xf numFmtId="0" fontId="83" fillId="55" borderId="0" applyNumberFormat="0" applyBorder="0" applyAlignment="0" applyProtection="0"/>
    <xf numFmtId="0" fontId="54" fillId="0" borderId="0" applyNumberFormat="0" applyFill="0" applyBorder="0" applyAlignment="0" applyProtection="0"/>
    <xf numFmtId="0" fontId="76" fillId="22" borderId="47" applyNumberFormat="0" applyAlignment="0" applyProtection="0"/>
    <xf numFmtId="0" fontId="83" fillId="58" borderId="0" applyNumberFormat="0" applyBorder="0" applyAlignment="0" applyProtection="0"/>
    <xf numFmtId="0" fontId="81" fillId="44" borderId="0" applyNumberFormat="0" applyBorder="0" applyAlignment="0" applyProtection="0"/>
    <xf numFmtId="0" fontId="84" fillId="57" borderId="0" applyNumberFormat="0" applyBorder="0" applyAlignment="0" applyProtection="0"/>
    <xf numFmtId="0" fontId="81" fillId="41" borderId="0" applyNumberFormat="0" applyBorder="0" applyAlignment="0" applyProtection="0"/>
    <xf numFmtId="0" fontId="102" fillId="20" borderId="0" applyNumberFormat="0" applyBorder="0" applyAlignment="0" applyProtection="0"/>
    <xf numFmtId="0" fontId="73" fillId="18" borderId="0" applyNumberFormat="0" applyBorder="0" applyAlignment="0" applyProtection="0"/>
    <xf numFmtId="0" fontId="90" fillId="69" borderId="0" applyNumberFormat="0" applyBorder="0" applyAlignment="0" applyProtection="0"/>
    <xf numFmtId="0" fontId="70" fillId="0" borderId="43" applyNumberFormat="0" applyFill="0" applyAlignment="0" applyProtection="0"/>
    <xf numFmtId="0" fontId="83" fillId="55" borderId="0" applyNumberFormat="0" applyBorder="0" applyAlignment="0" applyProtection="0"/>
    <xf numFmtId="0" fontId="84" fillId="61" borderId="0" applyNumberFormat="0" applyBorder="0" applyAlignment="0" applyProtection="0"/>
    <xf numFmtId="0" fontId="83" fillId="57" borderId="0" applyNumberFormat="0" applyBorder="0" applyAlignment="0" applyProtection="0"/>
    <xf numFmtId="0" fontId="87" fillId="0" borderId="53" applyNumberFormat="0" applyFill="0" applyAlignment="0" applyProtection="0"/>
    <xf numFmtId="0" fontId="81" fillId="48" borderId="0" applyNumberFormat="0" applyBorder="0" applyAlignment="0" applyProtection="0"/>
    <xf numFmtId="0" fontId="85" fillId="0" borderId="0" applyNumberFormat="0" applyFill="0" applyBorder="0" applyAlignment="0" applyProtection="0"/>
    <xf numFmtId="0" fontId="81" fillId="45" borderId="0" applyNumberFormat="0" applyBorder="0" applyAlignment="0" applyProtection="0"/>
    <xf numFmtId="0" fontId="17" fillId="35" borderId="0" applyNumberFormat="0" applyBorder="0" applyAlignment="0" applyProtection="0"/>
    <xf numFmtId="0" fontId="11" fillId="0" borderId="0"/>
    <xf numFmtId="0" fontId="17" fillId="42" borderId="0" applyNumberFormat="0" applyBorder="0" applyAlignment="0" applyProtection="0"/>
    <xf numFmtId="0" fontId="72" fillId="0" borderId="45" applyNumberFormat="0" applyFill="0" applyAlignment="0" applyProtection="0"/>
    <xf numFmtId="0" fontId="81" fillId="25" borderId="0" applyNumberFormat="0" applyBorder="0" applyAlignment="0" applyProtection="0"/>
    <xf numFmtId="0" fontId="17" fillId="39" borderId="0" applyNumberFormat="0" applyBorder="0" applyAlignment="0" applyProtection="0"/>
    <xf numFmtId="0" fontId="17" fillId="38" borderId="0" applyNumberFormat="0" applyBorder="0" applyAlignment="0" applyProtection="0"/>
    <xf numFmtId="0" fontId="17" fillId="24" borderId="50" applyNumberFormat="0" applyFont="0" applyAlignment="0" applyProtection="0"/>
    <xf numFmtId="0" fontId="81" fillId="36" borderId="0" applyNumberFormat="0" applyBorder="0" applyAlignment="0" applyProtection="0"/>
    <xf numFmtId="0" fontId="83" fillId="56" borderId="0" applyNumberFormat="0" applyBorder="0" applyAlignment="0" applyProtection="0"/>
    <xf numFmtId="0" fontId="83" fillId="54" borderId="0" applyNumberFormat="0" applyBorder="0" applyAlignment="0" applyProtection="0"/>
    <xf numFmtId="0" fontId="83" fillId="52" borderId="0" applyNumberFormat="0" applyBorder="0" applyAlignment="0" applyProtection="0"/>
    <xf numFmtId="0" fontId="84" fillId="62" borderId="0" applyNumberFormat="0" applyBorder="0" applyAlignment="0" applyProtection="0"/>
    <xf numFmtId="0" fontId="97" fillId="0" borderId="58" applyNumberFormat="0" applyFill="0" applyAlignment="0" applyProtection="0"/>
    <xf numFmtId="0" fontId="94" fillId="0" borderId="0" applyNumberFormat="0" applyFill="0" applyBorder="0" applyAlignment="0" applyProtection="0"/>
    <xf numFmtId="0" fontId="98" fillId="0" borderId="59" applyNumberFormat="0" applyFill="0" applyAlignment="0" applyProtection="0"/>
    <xf numFmtId="0" fontId="84" fillId="60" borderId="0" applyNumberFormat="0" applyBorder="0" applyAlignment="0" applyProtection="0"/>
    <xf numFmtId="0" fontId="89" fillId="50" borderId="0" applyNumberFormat="0" applyBorder="0" applyAlignment="0" applyProtection="0"/>
    <xf numFmtId="0" fontId="101" fillId="0" borderId="0" applyNumberFormat="0" applyFill="0" applyBorder="0" applyAlignment="0" applyProtection="0"/>
    <xf numFmtId="0" fontId="92" fillId="67" borderId="55" applyNumberFormat="0" applyAlignment="0" applyProtection="0"/>
    <xf numFmtId="0" fontId="84" fillId="56" borderId="0" applyNumberFormat="0" applyBorder="0" applyAlignment="0" applyProtection="0"/>
    <xf numFmtId="0" fontId="83" fillId="50" borderId="0" applyNumberFormat="0" applyBorder="0" applyAlignment="0" applyProtection="0"/>
    <xf numFmtId="0" fontId="79" fillId="23" borderId="49" applyNumberFormat="0" applyAlignment="0" applyProtection="0"/>
    <xf numFmtId="0" fontId="84" fillId="64" borderId="0" applyNumberFormat="0" applyBorder="0" applyAlignment="0" applyProtection="0"/>
    <xf numFmtId="0" fontId="84" fillId="65" borderId="0" applyNumberFormat="0" applyBorder="0" applyAlignment="0" applyProtection="0"/>
    <xf numFmtId="0" fontId="81" fillId="32" borderId="0" applyNumberFormat="0" applyBorder="0" applyAlignment="0" applyProtection="0"/>
    <xf numFmtId="0" fontId="77" fillId="22" borderId="46" applyNumberFormat="0" applyAlignment="0" applyProtection="0"/>
    <xf numFmtId="0" fontId="91" fillId="51" borderId="0" applyNumberFormat="0" applyBorder="0" applyAlignment="0" applyProtection="0"/>
    <xf numFmtId="0" fontId="17" fillId="46" borderId="0" applyNumberFormat="0" applyBorder="0" applyAlignment="0" applyProtection="0"/>
    <xf numFmtId="0" fontId="17" fillId="30" borderId="0" applyNumberFormat="0" applyBorder="0" applyAlignment="0" applyProtection="0"/>
    <xf numFmtId="0" fontId="75" fillId="21" borderId="46" applyNumberFormat="0" applyAlignment="0" applyProtection="0"/>
    <xf numFmtId="0" fontId="93" fillId="0" borderId="0" applyNumberFormat="0" applyFill="0" applyBorder="0" applyAlignment="0" applyProtection="0"/>
    <xf numFmtId="0" fontId="17" fillId="43" borderId="0" applyNumberFormat="0" applyBorder="0" applyAlignment="0" applyProtection="0"/>
    <xf numFmtId="0" fontId="81" fillId="28" borderId="0" applyNumberFormat="0" applyBorder="0" applyAlignment="0" applyProtection="0"/>
    <xf numFmtId="0" fontId="74" fillId="19" borderId="0" applyNumberFormat="0" applyBorder="0" applyAlignment="0" applyProtection="0"/>
    <xf numFmtId="164" fontId="11" fillId="0" borderId="0" applyFont="0" applyFill="0" applyBorder="0" applyAlignment="0" applyProtection="0"/>
    <xf numFmtId="0" fontId="81" fillId="40" borderId="0" applyNumberFormat="0" applyBorder="0" applyAlignment="0" applyProtection="0"/>
    <xf numFmtId="0" fontId="17" fillId="26" borderId="0" applyNumberFormat="0" applyBorder="0" applyAlignment="0" applyProtection="0"/>
    <xf numFmtId="0" fontId="72" fillId="0" borderId="0" applyNumberFormat="0" applyFill="0" applyBorder="0" applyAlignment="0" applyProtection="0"/>
    <xf numFmtId="0" fontId="17" fillId="27" borderId="0" applyNumberFormat="0" applyBorder="0" applyAlignment="0" applyProtection="0"/>
    <xf numFmtId="0" fontId="81" fillId="37" borderId="0" applyNumberFormat="0" applyBorder="0" applyAlignment="0" applyProtection="0"/>
    <xf numFmtId="0" fontId="51" fillId="0" borderId="51" applyNumberFormat="0" applyFill="0" applyAlignment="0" applyProtection="0"/>
    <xf numFmtId="0" fontId="71" fillId="0" borderId="44" applyNumberFormat="0" applyFill="0" applyAlignment="0" applyProtection="0"/>
    <xf numFmtId="0" fontId="81" fillId="29" borderId="0" applyNumberFormat="0" applyBorder="0" applyAlignment="0" applyProtection="0"/>
    <xf numFmtId="0" fontId="17" fillId="34" borderId="0" applyNumberFormat="0" applyBorder="0" applyAlignment="0" applyProtection="0"/>
    <xf numFmtId="0" fontId="17" fillId="24" borderId="50" applyNumberFormat="0" applyFont="0" applyAlignment="0" applyProtection="0"/>
    <xf numFmtId="0" fontId="83" fillId="51" borderId="0" applyNumberFormat="0" applyBorder="0" applyAlignment="0" applyProtection="0"/>
    <xf numFmtId="164" fontId="11" fillId="0" borderId="0" applyFont="0" applyFill="0" applyBorder="0" applyAlignment="0" applyProtection="0"/>
    <xf numFmtId="0" fontId="83" fillId="49" borderId="0" applyNumberFormat="0" applyBorder="0" applyAlignment="0" applyProtection="0"/>
    <xf numFmtId="0" fontId="84" fillId="60" borderId="0" applyNumberFormat="0" applyBorder="0" applyAlignment="0" applyProtection="0"/>
    <xf numFmtId="0" fontId="99" fillId="70" borderId="60" applyNumberFormat="0" applyAlignment="0" applyProtection="0"/>
    <xf numFmtId="0" fontId="97" fillId="0" borderId="0" applyNumberFormat="0" applyFill="0" applyBorder="0" applyAlignment="0" applyProtection="0"/>
    <xf numFmtId="0" fontId="83" fillId="53" borderId="0" applyNumberFormat="0" applyBorder="0" applyAlignment="0" applyProtection="0"/>
    <xf numFmtId="0" fontId="83" fillId="57" borderId="0" applyNumberFormat="0" applyBorder="0" applyAlignment="0" applyProtection="0"/>
    <xf numFmtId="0" fontId="84" fillId="59" borderId="0" applyNumberFormat="0" applyBorder="0" applyAlignment="0" applyProtection="0"/>
    <xf numFmtId="0" fontId="11" fillId="68" borderId="54" applyNumberFormat="0" applyFont="0" applyAlignment="0" applyProtection="0"/>
    <xf numFmtId="0" fontId="17" fillId="31" borderId="0" applyNumberFormat="0" applyBorder="0" applyAlignment="0" applyProtection="0"/>
    <xf numFmtId="0" fontId="86" fillId="67" borderId="52" applyNumberFormat="0" applyAlignment="0" applyProtection="0"/>
    <xf numFmtId="0" fontId="78" fillId="0" borderId="48" applyNumberFormat="0" applyFill="0" applyAlignment="0" applyProtection="0"/>
    <xf numFmtId="0" fontId="81" fillId="33" borderId="0" applyNumberFormat="0" applyBorder="0" applyAlignment="0" applyProtection="0"/>
    <xf numFmtId="0" fontId="17" fillId="46" borderId="0" applyNumberFormat="0" applyBorder="0" applyAlignment="0" applyProtection="0"/>
    <xf numFmtId="0" fontId="96" fillId="0" borderId="57" applyNumberFormat="0" applyFill="0" applyAlignment="0" applyProtection="0"/>
    <xf numFmtId="0" fontId="84" fillId="60" borderId="0" applyNumberFormat="0" applyBorder="0" applyAlignment="0" applyProtection="0"/>
    <xf numFmtId="0" fontId="84" fillId="61" borderId="0" applyNumberFormat="0" applyBorder="0" applyAlignment="0" applyProtection="0"/>
    <xf numFmtId="0" fontId="95" fillId="0" borderId="56" applyNumberFormat="0" applyFill="0" applyAlignment="0" applyProtection="0"/>
    <xf numFmtId="0" fontId="84" fillId="63" borderId="0" applyNumberFormat="0" applyBorder="0" applyAlignment="0" applyProtection="0"/>
    <xf numFmtId="0" fontId="83" fillId="55" borderId="0" applyNumberFormat="0" applyBorder="0" applyAlignment="0" applyProtection="0"/>
    <xf numFmtId="0" fontId="54" fillId="0" borderId="0" applyNumberFormat="0" applyFill="0" applyBorder="0" applyAlignment="0" applyProtection="0"/>
    <xf numFmtId="0" fontId="76" fillId="22" borderId="47" applyNumberFormat="0" applyAlignment="0" applyProtection="0"/>
    <xf numFmtId="0" fontId="83" fillId="55" borderId="0" applyNumberFormat="0" applyBorder="0" applyAlignment="0" applyProtection="0"/>
    <xf numFmtId="0" fontId="81" fillId="44" borderId="0" applyNumberFormat="0" applyBorder="0" applyAlignment="0" applyProtection="0"/>
    <xf numFmtId="0" fontId="84" fillId="57" borderId="0" applyNumberFormat="0" applyBorder="0" applyAlignment="0" applyProtection="0"/>
    <xf numFmtId="0" fontId="81" fillId="41" borderId="0" applyNumberFormat="0" applyBorder="0" applyAlignment="0" applyProtection="0"/>
    <xf numFmtId="0" fontId="102" fillId="20" borderId="0" applyNumberFormat="0" applyBorder="0" applyAlignment="0" applyProtection="0"/>
    <xf numFmtId="0" fontId="73" fillId="18" borderId="0" applyNumberFormat="0" applyBorder="0" applyAlignment="0" applyProtection="0"/>
    <xf numFmtId="0" fontId="89" fillId="50" borderId="0" applyNumberFormat="0" applyBorder="0" applyAlignment="0" applyProtection="0"/>
    <xf numFmtId="0" fontId="70" fillId="0" borderId="43" applyNumberFormat="0" applyFill="0" applyAlignment="0" applyProtection="0"/>
    <xf numFmtId="0" fontId="83" fillId="55" borderId="0" applyNumberFormat="0" applyBorder="0" applyAlignment="0" applyProtection="0"/>
    <xf numFmtId="0" fontId="86" fillId="67" borderId="52" applyNumberFormat="0" applyAlignment="0" applyProtection="0"/>
    <xf numFmtId="0" fontId="81" fillId="48" borderId="0" applyNumberFormat="0" applyBorder="0" applyAlignment="0" applyProtection="0"/>
    <xf numFmtId="0" fontId="84" fillId="66" borderId="0" applyNumberFormat="0" applyBorder="0" applyAlignment="0" applyProtection="0"/>
    <xf numFmtId="0" fontId="81" fillId="45" borderId="0" applyNumberFormat="0" applyBorder="0" applyAlignment="0" applyProtection="0"/>
    <xf numFmtId="0" fontId="17" fillId="35" borderId="0" applyNumberFormat="0" applyBorder="0" applyAlignment="0" applyProtection="0"/>
    <xf numFmtId="0" fontId="17" fillId="42" borderId="0" applyNumberFormat="0" applyBorder="0" applyAlignment="0" applyProtection="0"/>
    <xf numFmtId="0" fontId="72" fillId="0" borderId="45" applyNumberFormat="0" applyFill="0" applyAlignment="0" applyProtection="0"/>
    <xf numFmtId="0" fontId="51" fillId="0" borderId="51" applyNumberFormat="0" applyFill="0" applyAlignment="0" applyProtection="0"/>
    <xf numFmtId="0" fontId="17" fillId="39" borderId="0" applyNumberFormat="0" applyBorder="0" applyAlignment="0" applyProtection="0"/>
    <xf numFmtId="0" fontId="17" fillId="38" borderId="0" applyNumberFormat="0" applyBorder="0" applyAlignment="0" applyProtection="0"/>
    <xf numFmtId="0" fontId="81" fillId="36" borderId="0" applyNumberFormat="0" applyBorder="0" applyAlignment="0" applyProtection="0"/>
    <xf numFmtId="0" fontId="83" fillId="56" borderId="0" applyNumberFormat="0" applyBorder="0" applyAlignment="0" applyProtection="0"/>
    <xf numFmtId="0" fontId="83" fillId="54" borderId="0" applyNumberFormat="0" applyBorder="0" applyAlignment="0" applyProtection="0"/>
    <xf numFmtId="0" fontId="83" fillId="52" borderId="0" applyNumberFormat="0" applyBorder="0" applyAlignment="0" applyProtection="0"/>
    <xf numFmtId="0" fontId="84" fillId="62" borderId="0" applyNumberFormat="0" applyBorder="0" applyAlignment="0" applyProtection="0"/>
    <xf numFmtId="0" fontId="97" fillId="0" borderId="58" applyNumberFormat="0" applyFill="0" applyAlignment="0" applyProtection="0"/>
    <xf numFmtId="0" fontId="94" fillId="0" borderId="0" applyNumberFormat="0" applyFill="0" applyBorder="0" applyAlignment="0" applyProtection="0"/>
    <xf numFmtId="0" fontId="98" fillId="0" borderId="59" applyNumberFormat="0" applyFill="0" applyAlignment="0" applyProtection="0"/>
    <xf numFmtId="0" fontId="84" fillId="60" borderId="0" applyNumberFormat="0" applyBorder="0" applyAlignment="0" applyProtection="0"/>
    <xf numFmtId="0" fontId="88" fillId="54" borderId="52" applyNumberFormat="0" applyAlignment="0" applyProtection="0"/>
    <xf numFmtId="0" fontId="11" fillId="0" borderId="0"/>
    <xf numFmtId="0" fontId="101" fillId="0" borderId="0" applyNumberFormat="0" applyFill="0" applyBorder="0" applyAlignment="0" applyProtection="0"/>
    <xf numFmtId="0" fontId="91" fillId="51" borderId="0" applyNumberFormat="0" applyBorder="0" applyAlignment="0" applyProtection="0"/>
    <xf numFmtId="0" fontId="84" fillId="56" borderId="0" applyNumberFormat="0" applyBorder="0" applyAlignment="0" applyProtection="0"/>
    <xf numFmtId="0" fontId="83" fillId="50" borderId="0" applyNumberFormat="0" applyBorder="0" applyAlignment="0" applyProtection="0"/>
    <xf numFmtId="0" fontId="79" fillId="23" borderId="49" applyNumberFormat="0" applyAlignment="0" applyProtection="0"/>
    <xf numFmtId="0" fontId="84" fillId="63" borderId="0" applyNumberFormat="0" applyBorder="0" applyAlignment="0" applyProtection="0"/>
    <xf numFmtId="0" fontId="84" fillId="64" borderId="0" applyNumberFormat="0" applyBorder="0" applyAlignment="0" applyProtection="0"/>
    <xf numFmtId="0" fontId="81" fillId="32" borderId="0" applyNumberFormat="0" applyBorder="0" applyAlignment="0" applyProtection="0"/>
    <xf numFmtId="0" fontId="77" fillId="22" borderId="46" applyNumberFormat="0" applyAlignment="0" applyProtection="0"/>
    <xf numFmtId="0" fontId="17" fillId="46" borderId="0" applyNumberFormat="0" applyBorder="0" applyAlignment="0" applyProtection="0"/>
    <xf numFmtId="0" fontId="17" fillId="30" borderId="0" applyNumberFormat="0" applyBorder="0" applyAlignment="0" applyProtection="0"/>
    <xf numFmtId="0" fontId="75" fillId="21" borderId="46" applyNumberFormat="0" applyAlignment="0" applyProtection="0"/>
    <xf numFmtId="0" fontId="92" fillId="67" borderId="55" applyNumberFormat="0" applyAlignment="0" applyProtection="0"/>
    <xf numFmtId="0" fontId="17" fillId="43" borderId="0" applyNumberFormat="0" applyBorder="0" applyAlignment="0" applyProtection="0"/>
    <xf numFmtId="0" fontId="81" fillId="28" borderId="0" applyNumberFormat="0" applyBorder="0" applyAlignment="0" applyProtection="0"/>
    <xf numFmtId="0" fontId="74" fillId="19" borderId="0" applyNumberFormat="0" applyBorder="0" applyAlignment="0" applyProtection="0"/>
    <xf numFmtId="0" fontId="81" fillId="40" borderId="0" applyNumberFormat="0" applyBorder="0" applyAlignment="0" applyProtection="0"/>
    <xf numFmtId="0" fontId="17" fillId="26" borderId="0" applyNumberFormat="0" applyBorder="0" applyAlignment="0" applyProtection="0"/>
    <xf numFmtId="0" fontId="72" fillId="0" borderId="0" applyNumberFormat="0" applyFill="0" applyBorder="0" applyAlignment="0" applyProtection="0"/>
    <xf numFmtId="0" fontId="17" fillId="26" borderId="0" applyNumberFormat="0" applyBorder="0" applyAlignment="0" applyProtection="0"/>
    <xf numFmtId="0" fontId="81" fillId="37" borderId="0" applyNumberFormat="0" applyBorder="0" applyAlignment="0" applyProtection="0"/>
    <xf numFmtId="0" fontId="51" fillId="0" borderId="51" applyNumberFormat="0" applyFill="0" applyAlignment="0" applyProtection="0"/>
    <xf numFmtId="0" fontId="71" fillId="0" borderId="44" applyNumberFormat="0" applyFill="0" applyAlignment="0" applyProtection="0"/>
    <xf numFmtId="0" fontId="81" fillId="28" borderId="0" applyNumberFormat="0" applyBorder="0" applyAlignment="0" applyProtection="0"/>
    <xf numFmtId="0" fontId="17" fillId="34" borderId="0" applyNumberFormat="0" applyBorder="0" applyAlignment="0" applyProtection="0"/>
    <xf numFmtId="0" fontId="17" fillId="24" borderId="50" applyNumberFormat="0" applyFont="0" applyAlignment="0" applyProtection="0"/>
    <xf numFmtId="0" fontId="83" fillId="50" borderId="0" applyNumberFormat="0" applyBorder="0" applyAlignment="0" applyProtection="0"/>
    <xf numFmtId="0" fontId="11" fillId="0" borderId="0"/>
    <xf numFmtId="0" fontId="98" fillId="0" borderId="59" applyNumberFormat="0" applyFill="0" applyAlignment="0" applyProtection="0"/>
    <xf numFmtId="0" fontId="97" fillId="0" borderId="58" applyNumberFormat="0" applyFill="0" applyAlignment="0" applyProtection="0"/>
    <xf numFmtId="0" fontId="83" fillId="52" borderId="0" applyNumberFormat="0" applyBorder="0" applyAlignment="0" applyProtection="0"/>
    <xf numFmtId="0" fontId="83" fillId="56" borderId="0" applyNumberFormat="0" applyBorder="0" applyAlignment="0" applyProtection="0"/>
    <xf numFmtId="0" fontId="83" fillId="58" borderId="0" applyNumberFormat="0" applyBorder="0" applyAlignment="0" applyProtection="0"/>
    <xf numFmtId="0" fontId="90" fillId="69" borderId="0" applyNumberFormat="0" applyBorder="0" applyAlignment="0" applyProtection="0"/>
    <xf numFmtId="0" fontId="17" fillId="30" borderId="0" applyNumberFormat="0" applyBorder="0" applyAlignment="0" applyProtection="0"/>
    <xf numFmtId="0" fontId="85" fillId="0" borderId="0" applyNumberFormat="0" applyFill="0" applyBorder="0" applyAlignment="0" applyProtection="0"/>
    <xf numFmtId="0" fontId="77" fillId="22" borderId="46" applyNumberFormat="0" applyAlignment="0" applyProtection="0"/>
    <xf numFmtId="0" fontId="81" fillId="32" borderId="0" applyNumberFormat="0" applyBorder="0" applyAlignment="0" applyProtection="0"/>
    <xf numFmtId="0" fontId="95" fillId="0" borderId="56" applyNumberFormat="0" applyFill="0" applyAlignment="0" applyProtection="0"/>
    <xf numFmtId="0" fontId="84" fillId="65" borderId="0" applyNumberFormat="0" applyBorder="0" applyAlignment="0" applyProtection="0"/>
    <xf numFmtId="0" fontId="84" fillId="60" borderId="0" applyNumberFormat="0" applyBorder="0" applyAlignment="0" applyProtection="0"/>
    <xf numFmtId="0" fontId="94" fillId="0" borderId="0" applyNumberFormat="0" applyFill="0" applyBorder="0" applyAlignment="0" applyProtection="0"/>
    <xf numFmtId="0" fontId="84" fillId="62" borderId="0" applyNumberFormat="0" applyBorder="0" applyAlignment="0" applyProtection="0"/>
    <xf numFmtId="0" fontId="83" fillId="54" borderId="0" applyNumberFormat="0" applyBorder="0" applyAlignment="0" applyProtection="0"/>
    <xf numFmtId="0" fontId="79" fillId="23" borderId="49" applyNumberFormat="0" applyAlignment="0" applyProtection="0"/>
    <xf numFmtId="0" fontId="75" fillId="21" borderId="46" applyNumberFormat="0" applyAlignment="0" applyProtection="0"/>
    <xf numFmtId="0" fontId="17" fillId="43" borderId="0" applyNumberFormat="0" applyBorder="0" applyAlignment="0" applyProtection="0"/>
    <xf numFmtId="0" fontId="84" fillId="56" borderId="0" applyNumberFormat="0" applyBorder="0" applyAlignment="0" applyProtection="0"/>
    <xf numFmtId="0" fontId="81" fillId="40" borderId="0" applyNumberFormat="0" applyBorder="0" applyAlignment="0" applyProtection="0"/>
    <xf numFmtId="0" fontId="74" fillId="19" borderId="0" applyNumberFormat="0" applyBorder="0" applyAlignment="0" applyProtection="0"/>
    <xf numFmtId="0" fontId="72" fillId="0" borderId="0" applyNumberFormat="0" applyFill="0" applyBorder="0" applyAlignment="0" applyProtection="0"/>
    <xf numFmtId="0" fontId="11" fillId="0" borderId="0"/>
    <xf numFmtId="0" fontId="101" fillId="0" borderId="0" applyNumberFormat="0" applyFill="0" applyBorder="0" applyAlignment="0" applyProtection="0"/>
    <xf numFmtId="0" fontId="83" fillId="52" borderId="0" applyNumberFormat="0" applyBorder="0" applyAlignment="0" applyProtection="0"/>
    <xf numFmtId="0" fontId="17" fillId="47" borderId="0" applyNumberFormat="0" applyBorder="0" applyAlignment="0" applyProtection="0"/>
    <xf numFmtId="0" fontId="81" fillId="44" borderId="0" applyNumberFormat="0" applyBorder="0" applyAlignment="0" applyProtection="0"/>
    <xf numFmtId="0" fontId="17" fillId="34" borderId="0" applyNumberFormat="0" applyBorder="0" applyAlignment="0" applyProtection="0"/>
    <xf numFmtId="0" fontId="81" fillId="41" borderId="0" applyNumberFormat="0" applyBorder="0" applyAlignment="0" applyProtection="0"/>
    <xf numFmtId="0" fontId="71" fillId="0" borderId="44" applyNumberFormat="0" applyFill="0" applyAlignment="0" applyProtection="0"/>
    <xf numFmtId="0" fontId="17" fillId="38" borderId="0" applyNumberFormat="0" applyBorder="0" applyAlignment="0" applyProtection="0"/>
    <xf numFmtId="0" fontId="81" fillId="37" borderId="0" applyNumberFormat="0" applyBorder="0" applyAlignment="0" applyProtection="0"/>
    <xf numFmtId="0" fontId="17" fillId="35" borderId="0" applyNumberFormat="0" applyBorder="0" applyAlignment="0" applyProtection="0"/>
    <xf numFmtId="0" fontId="83" fillId="55" borderId="0" applyNumberFormat="0" applyBorder="0" applyAlignment="0" applyProtection="0"/>
    <xf numFmtId="0" fontId="83" fillId="53" borderId="0" applyNumberFormat="0" applyBorder="0" applyAlignment="0" applyProtection="0"/>
    <xf numFmtId="0" fontId="83" fillId="51" borderId="0" applyNumberFormat="0" applyBorder="0" applyAlignment="0" applyProtection="0"/>
    <xf numFmtId="0" fontId="84" fillId="61" borderId="0" applyNumberFormat="0" applyBorder="0" applyAlignment="0" applyProtection="0"/>
    <xf numFmtId="0" fontId="96" fillId="0" borderId="57" applyNumberFormat="0" applyFill="0" applyAlignment="0" applyProtection="0"/>
    <xf numFmtId="0" fontId="93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84" fillId="57" borderId="0" applyNumberFormat="0" applyBorder="0" applyAlignment="0" applyProtection="0"/>
    <xf numFmtId="0" fontId="99" fillId="70" borderId="60" applyNumberFormat="0" applyAlignment="0" applyProtection="0"/>
    <xf numFmtId="0" fontId="84" fillId="59" borderId="0" applyNumberFormat="0" applyBorder="0" applyAlignment="0" applyProtection="0"/>
    <xf numFmtId="0" fontId="83" fillId="49" borderId="0" applyNumberFormat="0" applyBorder="0" applyAlignment="0" applyProtection="0"/>
    <xf numFmtId="0" fontId="78" fillId="0" borderId="48" applyNumberFormat="0" applyFill="0" applyAlignment="0" applyProtection="0"/>
    <xf numFmtId="0" fontId="81" fillId="48" borderId="0" applyNumberFormat="0" applyBorder="0" applyAlignment="0" applyProtection="0"/>
    <xf numFmtId="0" fontId="17" fillId="31" borderId="0" applyNumberFormat="0" applyBorder="0" applyAlignment="0" applyProtection="0"/>
    <xf numFmtId="0" fontId="76" fillId="22" borderId="47" applyNumberFormat="0" applyAlignment="0" applyProtection="0"/>
    <xf numFmtId="0" fontId="81" fillId="45" borderId="0" applyNumberFormat="0" applyBorder="0" applyAlignment="0" applyProtection="0"/>
    <xf numFmtId="0" fontId="81" fillId="29" borderId="0" applyNumberFormat="0" applyBorder="0" applyAlignment="0" applyProtection="0"/>
    <xf numFmtId="0" fontId="102" fillId="20" borderId="0" applyNumberFormat="0" applyBorder="0" applyAlignment="0" applyProtection="0"/>
    <xf numFmtId="0" fontId="17" fillId="42" borderId="0" applyNumberFormat="0" applyBorder="0" applyAlignment="0" applyProtection="0"/>
    <xf numFmtId="0" fontId="17" fillId="27" borderId="0" applyNumberFormat="0" applyBorder="0" applyAlignment="0" applyProtection="0"/>
    <xf numFmtId="0" fontId="73" fillId="18" borderId="0" applyNumberFormat="0" applyBorder="0" applyAlignment="0" applyProtection="0"/>
    <xf numFmtId="0" fontId="17" fillId="39" borderId="0" applyNumberFormat="0" applyBorder="0" applyAlignment="0" applyProtection="0"/>
    <xf numFmtId="0" fontId="81" fillId="25" borderId="0" applyNumberFormat="0" applyBorder="0" applyAlignment="0" applyProtection="0"/>
    <xf numFmtId="0" fontId="72" fillId="0" borderId="45" applyNumberFormat="0" applyFill="0" applyAlignment="0" applyProtection="0"/>
    <xf numFmtId="0" fontId="81" fillId="36" borderId="0" applyNumberFormat="0" applyBorder="0" applyAlignment="0" applyProtection="0"/>
    <xf numFmtId="0" fontId="80" fillId="0" borderId="0" applyNumberFormat="0" applyFill="0" applyBorder="0" applyAlignment="0" applyProtection="0"/>
    <xf numFmtId="0" fontId="70" fillId="0" borderId="43" applyNumberFormat="0" applyFill="0" applyAlignment="0" applyProtection="0"/>
    <xf numFmtId="0" fontId="81" fillId="33" borderId="0" applyNumberFormat="0" applyBorder="0" applyAlignment="0" applyProtection="0"/>
    <xf numFmtId="0" fontId="54" fillId="0" borderId="0" applyNumberFormat="0" applyFill="0" applyBorder="0" applyAlignment="0" applyProtection="0"/>
    <xf numFmtId="0" fontId="84" fillId="57" borderId="0" applyNumberFormat="0" applyBorder="0" applyAlignment="0" applyProtection="0"/>
    <xf numFmtId="0" fontId="84" fillId="60" borderId="0" applyNumberFormat="0" applyBorder="0" applyAlignment="0" applyProtection="0"/>
    <xf numFmtId="0" fontId="84" fillId="61" borderId="0" applyNumberFormat="0" applyBorder="0" applyAlignment="0" applyProtection="0"/>
    <xf numFmtId="0" fontId="84" fillId="62" borderId="0" applyNumberFormat="0" applyBorder="0" applyAlignment="0" applyProtection="0"/>
    <xf numFmtId="0" fontId="84" fillId="63" borderId="0" applyNumberFormat="0" applyBorder="0" applyAlignment="0" applyProtection="0"/>
    <xf numFmtId="0" fontId="84" fillId="64" borderId="0" applyNumberFormat="0" applyBorder="0" applyAlignment="0" applyProtection="0"/>
    <xf numFmtId="0" fontId="84" fillId="65" borderId="0" applyNumberFormat="0" applyBorder="0" applyAlignment="0" applyProtection="0"/>
    <xf numFmtId="0" fontId="84" fillId="60" borderId="0" applyNumberFormat="0" applyBorder="0" applyAlignment="0" applyProtection="0"/>
    <xf numFmtId="0" fontId="84" fillId="61" borderId="0" applyNumberFormat="0" applyBorder="0" applyAlignment="0" applyProtection="0"/>
    <xf numFmtId="0" fontId="84" fillId="66" borderId="0" applyNumberFormat="0" applyBorder="0" applyAlignment="0" applyProtection="0"/>
    <xf numFmtId="0" fontId="85" fillId="0" borderId="0" applyNumberFormat="0" applyFill="0" applyBorder="0" applyAlignment="0" applyProtection="0"/>
    <xf numFmtId="0" fontId="86" fillId="67" borderId="52" applyNumberFormat="0" applyAlignment="0" applyProtection="0"/>
    <xf numFmtId="0" fontId="87" fillId="0" borderId="53" applyNumberFormat="0" applyFill="0" applyAlignment="0" applyProtection="0"/>
    <xf numFmtId="0" fontId="11" fillId="68" borderId="54" applyNumberFormat="0" applyFont="0" applyAlignment="0" applyProtection="0"/>
    <xf numFmtId="0" fontId="88" fillId="54" borderId="52" applyNumberFormat="0" applyAlignment="0" applyProtection="0"/>
    <xf numFmtId="0" fontId="89" fillId="50" borderId="0" applyNumberFormat="0" applyBorder="0" applyAlignment="0" applyProtection="0"/>
    <xf numFmtId="0" fontId="90" fillId="69" borderId="0" applyNumberFormat="0" applyBorder="0" applyAlignment="0" applyProtection="0"/>
    <xf numFmtId="0" fontId="17" fillId="0" borderId="0"/>
    <xf numFmtId="0" fontId="91" fillId="51" borderId="0" applyNumberFormat="0" applyBorder="0" applyAlignment="0" applyProtection="0"/>
    <xf numFmtId="0" fontId="92" fillId="67" borderId="55" applyNumberFormat="0" applyAlignment="0" applyProtection="0"/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56" applyNumberFormat="0" applyFill="0" applyAlignment="0" applyProtection="0"/>
    <xf numFmtId="0" fontId="96" fillId="0" borderId="57" applyNumberFormat="0" applyFill="0" applyAlignment="0" applyProtection="0"/>
    <xf numFmtId="0" fontId="97" fillId="0" borderId="58" applyNumberFormat="0" applyFill="0" applyAlignment="0" applyProtection="0"/>
    <xf numFmtId="0" fontId="97" fillId="0" borderId="0" applyNumberFormat="0" applyFill="0" applyBorder="0" applyAlignment="0" applyProtection="0"/>
    <xf numFmtId="0" fontId="98" fillId="0" borderId="59" applyNumberFormat="0" applyFill="0" applyAlignment="0" applyProtection="0"/>
    <xf numFmtId="0" fontId="99" fillId="70" borderId="60" applyNumberFormat="0" applyAlignment="0" applyProtection="0"/>
    <xf numFmtId="0" fontId="17" fillId="0" borderId="0"/>
    <xf numFmtId="0" fontId="17" fillId="0" borderId="0"/>
    <xf numFmtId="0" fontId="17" fillId="0" borderId="0"/>
    <xf numFmtId="0" fontId="101" fillId="0" borderId="0" applyNumberFormat="0" applyFill="0" applyBorder="0" applyAlignment="0" applyProtection="0"/>
    <xf numFmtId="0" fontId="70" fillId="0" borderId="43" applyNumberFormat="0" applyFill="0" applyAlignment="0" applyProtection="0"/>
    <xf numFmtId="0" fontId="71" fillId="0" borderId="44" applyNumberFormat="0" applyFill="0" applyAlignment="0" applyProtection="0"/>
    <xf numFmtId="0" fontId="72" fillId="0" borderId="45" applyNumberFormat="0" applyFill="0" applyAlignment="0" applyProtection="0"/>
    <xf numFmtId="0" fontId="72" fillId="0" borderId="0" applyNumberFormat="0" applyFill="0" applyBorder="0" applyAlignment="0" applyProtection="0"/>
    <xf numFmtId="0" fontId="73" fillId="18" borderId="0" applyNumberFormat="0" applyBorder="0" applyAlignment="0" applyProtection="0"/>
    <xf numFmtId="0" fontId="74" fillId="19" borderId="0" applyNumberFormat="0" applyBorder="0" applyAlignment="0" applyProtection="0"/>
    <xf numFmtId="0" fontId="102" fillId="20" borderId="0" applyNumberFormat="0" applyBorder="0" applyAlignment="0" applyProtection="0"/>
    <xf numFmtId="0" fontId="75" fillId="21" borderId="46" applyNumberFormat="0" applyAlignment="0" applyProtection="0"/>
    <xf numFmtId="0" fontId="76" fillId="22" borderId="47" applyNumberFormat="0" applyAlignment="0" applyProtection="0"/>
    <xf numFmtId="0" fontId="77" fillId="22" borderId="46" applyNumberFormat="0" applyAlignment="0" applyProtection="0"/>
    <xf numFmtId="0" fontId="78" fillId="0" borderId="48" applyNumberFormat="0" applyFill="0" applyAlignment="0" applyProtection="0"/>
    <xf numFmtId="0" fontId="79" fillId="23" borderId="49" applyNumberFormat="0" applyAlignment="0" applyProtection="0"/>
    <xf numFmtId="0" fontId="54" fillId="0" borderId="0" applyNumberFormat="0" applyFill="0" applyBorder="0" applyAlignment="0" applyProtection="0"/>
    <xf numFmtId="0" fontId="17" fillId="24" borderId="50" applyNumberFormat="0" applyFont="0" applyAlignment="0" applyProtection="0"/>
    <xf numFmtId="0" fontId="80" fillId="0" borderId="0" applyNumberFormat="0" applyFill="0" applyBorder="0" applyAlignment="0" applyProtection="0"/>
    <xf numFmtId="0" fontId="51" fillId="0" borderId="51" applyNumberFormat="0" applyFill="0" applyAlignment="0" applyProtection="0"/>
    <xf numFmtId="0" fontId="81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81" fillId="28" borderId="0" applyNumberFormat="0" applyBorder="0" applyAlignment="0" applyProtection="0"/>
    <xf numFmtId="0" fontId="81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81" fillId="32" borderId="0" applyNumberFormat="0" applyBorder="0" applyAlignment="0" applyProtection="0"/>
    <xf numFmtId="0" fontId="81" fillId="33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81" fillId="36" borderId="0" applyNumberFormat="0" applyBorder="0" applyAlignment="0" applyProtection="0"/>
    <xf numFmtId="0" fontId="81" fillId="37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81" fillId="40" borderId="0" applyNumberFormat="0" applyBorder="0" applyAlignment="0" applyProtection="0"/>
    <xf numFmtId="0" fontId="81" fillId="41" borderId="0" applyNumberFormat="0" applyBorder="0" applyAlignment="0" applyProtection="0"/>
    <xf numFmtId="0" fontId="17" fillId="42" borderId="0" applyNumberFormat="0" applyBorder="0" applyAlignment="0" applyProtection="0"/>
    <xf numFmtId="0" fontId="17" fillId="43" borderId="0" applyNumberFormat="0" applyBorder="0" applyAlignment="0" applyProtection="0"/>
    <xf numFmtId="0" fontId="81" fillId="44" borderId="0" applyNumberFormat="0" applyBorder="0" applyAlignment="0" applyProtection="0"/>
    <xf numFmtId="0" fontId="81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81" fillId="48" borderId="0" applyNumberFormat="0" applyBorder="0" applyAlignment="0" applyProtection="0"/>
    <xf numFmtId="0" fontId="17" fillId="31" borderId="0" applyNumberFormat="0" applyBorder="0" applyAlignment="0" applyProtection="0"/>
    <xf numFmtId="0" fontId="17" fillId="34" borderId="0" applyNumberFormat="0" applyBorder="0" applyAlignment="0" applyProtection="0"/>
    <xf numFmtId="0" fontId="17" fillId="38" borderId="0" applyNumberFormat="0" applyBorder="0" applyAlignment="0" applyProtection="0"/>
    <xf numFmtId="0" fontId="17" fillId="42" borderId="0" applyNumberFormat="0" applyBorder="0" applyAlignment="0" applyProtection="0"/>
    <xf numFmtId="0" fontId="17" fillId="46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26" borderId="0" applyNumberFormat="0" applyBorder="0" applyAlignment="0" applyProtection="0"/>
    <xf numFmtId="0" fontId="17" fillId="24" borderId="50" applyNumberFormat="0" applyFont="0" applyAlignment="0" applyProtection="0"/>
    <xf numFmtId="0" fontId="17" fillId="0" borderId="0"/>
    <xf numFmtId="0" fontId="17" fillId="0" borderId="0"/>
    <xf numFmtId="0" fontId="17" fillId="27" borderId="0" applyNumberFormat="0" applyBorder="0" applyAlignment="0" applyProtection="0"/>
    <xf numFmtId="0" fontId="17" fillId="0" borderId="0"/>
    <xf numFmtId="0" fontId="17" fillId="30" borderId="0" applyNumberFormat="0" applyBorder="0" applyAlignment="0" applyProtection="0"/>
    <xf numFmtId="0" fontId="17" fillId="35" borderId="0" applyNumberFormat="0" applyBorder="0" applyAlignment="0" applyProtection="0"/>
    <xf numFmtId="0" fontId="17" fillId="39" borderId="0" applyNumberFormat="0" applyBorder="0" applyAlignment="0" applyProtection="0"/>
    <xf numFmtId="0" fontId="83" fillId="58" borderId="0" applyNumberFormat="0" applyBorder="0" applyAlignment="0" applyProtection="0"/>
    <xf numFmtId="0" fontId="83" fillId="54" borderId="0" applyNumberFormat="0" applyBorder="0" applyAlignment="0" applyProtection="0"/>
    <xf numFmtId="0" fontId="83" fillId="55" borderId="0" applyNumberFormat="0" applyBorder="0" applyAlignment="0" applyProtection="0"/>
    <xf numFmtId="0" fontId="83" fillId="53" borderId="0" applyNumberFormat="0" applyBorder="0" applyAlignment="0" applyProtection="0"/>
    <xf numFmtId="0" fontId="83" fillId="52" borderId="0" applyNumberFormat="0" applyBorder="0" applyAlignment="0" applyProtection="0"/>
    <xf numFmtId="0" fontId="83" fillId="52" borderId="0" applyNumberFormat="0" applyBorder="0" applyAlignment="0" applyProtection="0"/>
    <xf numFmtId="0" fontId="17" fillId="47" borderId="0" applyNumberFormat="0" applyBorder="0" applyAlignment="0" applyProtection="0"/>
    <xf numFmtId="0" fontId="83" fillId="57" borderId="0" applyNumberFormat="0" applyBorder="0" applyAlignment="0" applyProtection="0"/>
    <xf numFmtId="0" fontId="83" fillId="51" borderId="0" applyNumberFormat="0" applyBorder="0" applyAlignment="0" applyProtection="0"/>
    <xf numFmtId="0" fontId="83" fillId="56" borderId="0" applyNumberFormat="0" applyBorder="0" applyAlignment="0" applyProtection="0"/>
    <xf numFmtId="0" fontId="83" fillId="50" borderId="0" applyNumberFormat="0" applyBorder="0" applyAlignment="0" applyProtection="0"/>
    <xf numFmtId="0" fontId="17" fillId="43" borderId="0" applyNumberFormat="0" applyBorder="0" applyAlignment="0" applyProtection="0"/>
    <xf numFmtId="0" fontId="83" fillId="55" borderId="0" applyNumberFormat="0" applyBorder="0" applyAlignment="0" applyProtection="0"/>
    <xf numFmtId="0" fontId="83" fillId="49" borderId="0" applyNumberFormat="0" applyBorder="0" applyAlignment="0" applyProtection="0"/>
    <xf numFmtId="0" fontId="17" fillId="24" borderId="50" applyNumberFormat="0" applyFont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17" fillId="42" borderId="0" applyNumberFormat="0" applyBorder="0" applyAlignment="0" applyProtection="0"/>
    <xf numFmtId="0" fontId="17" fillId="43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84" fillId="59" borderId="0" applyNumberFormat="0" applyBorder="0" applyAlignment="0" applyProtection="0"/>
    <xf numFmtId="0" fontId="84" fillId="56" borderId="0" applyNumberFormat="0" applyBorder="0" applyAlignment="0" applyProtection="0"/>
    <xf numFmtId="0" fontId="84" fillId="57" borderId="0" applyNumberFormat="0" applyBorder="0" applyAlignment="0" applyProtection="0"/>
    <xf numFmtId="0" fontId="84" fillId="60" borderId="0" applyNumberFormat="0" applyBorder="0" applyAlignment="0" applyProtection="0"/>
    <xf numFmtId="0" fontId="84" fillId="61" borderId="0" applyNumberFormat="0" applyBorder="0" applyAlignment="0" applyProtection="0"/>
    <xf numFmtId="0" fontId="84" fillId="62" borderId="0" applyNumberFormat="0" applyBorder="0" applyAlignment="0" applyProtection="0"/>
    <xf numFmtId="0" fontId="84" fillId="63" borderId="0" applyNumberFormat="0" applyBorder="0" applyAlignment="0" applyProtection="0"/>
    <xf numFmtId="0" fontId="84" fillId="64" borderId="0" applyNumberFormat="0" applyBorder="0" applyAlignment="0" applyProtection="0"/>
    <xf numFmtId="0" fontId="84" fillId="65" borderId="0" applyNumberFormat="0" applyBorder="0" applyAlignment="0" applyProtection="0"/>
    <xf numFmtId="0" fontId="84" fillId="60" borderId="0" applyNumberFormat="0" applyBorder="0" applyAlignment="0" applyProtection="0"/>
    <xf numFmtId="0" fontId="84" fillId="61" borderId="0" applyNumberFormat="0" applyBorder="0" applyAlignment="0" applyProtection="0"/>
    <xf numFmtId="0" fontId="84" fillId="66" borderId="0" applyNumberFormat="0" applyBorder="0" applyAlignment="0" applyProtection="0"/>
    <xf numFmtId="0" fontId="85" fillId="0" borderId="0" applyNumberFormat="0" applyFill="0" applyBorder="0" applyAlignment="0" applyProtection="0"/>
    <xf numFmtId="0" fontId="86" fillId="67" borderId="52" applyNumberFormat="0" applyAlignment="0" applyProtection="0"/>
    <xf numFmtId="0" fontId="87" fillId="0" borderId="53" applyNumberFormat="0" applyFill="0" applyAlignment="0" applyProtection="0"/>
    <xf numFmtId="0" fontId="11" fillId="68" borderId="54" applyNumberFormat="0" applyFont="0" applyAlignment="0" applyProtection="0"/>
    <xf numFmtId="0" fontId="88" fillId="54" borderId="52" applyNumberFormat="0" applyAlignment="0" applyProtection="0"/>
    <xf numFmtId="0" fontId="89" fillId="50" borderId="0" applyNumberFormat="0" applyBorder="0" applyAlignment="0" applyProtection="0"/>
    <xf numFmtId="0" fontId="90" fillId="69" borderId="0" applyNumberFormat="0" applyBorder="0" applyAlignment="0" applyProtection="0"/>
    <xf numFmtId="0" fontId="91" fillId="51" borderId="0" applyNumberFormat="0" applyBorder="0" applyAlignment="0" applyProtection="0"/>
    <xf numFmtId="0" fontId="92" fillId="67" borderId="55" applyNumberFormat="0" applyAlignment="0" applyProtection="0"/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56" applyNumberFormat="0" applyFill="0" applyAlignment="0" applyProtection="0"/>
    <xf numFmtId="0" fontId="96" fillId="0" borderId="57" applyNumberFormat="0" applyFill="0" applyAlignment="0" applyProtection="0"/>
    <xf numFmtId="0" fontId="97" fillId="0" borderId="58" applyNumberFormat="0" applyFill="0" applyAlignment="0" applyProtection="0"/>
    <xf numFmtId="0" fontId="97" fillId="0" borderId="0" applyNumberFormat="0" applyFill="0" applyBorder="0" applyAlignment="0" applyProtection="0"/>
    <xf numFmtId="0" fontId="98" fillId="0" borderId="59" applyNumberFormat="0" applyFill="0" applyAlignment="0" applyProtection="0"/>
    <xf numFmtId="0" fontId="99" fillId="70" borderId="60" applyNumberFormat="0" applyAlignment="0" applyProtection="0"/>
    <xf numFmtId="0" fontId="17" fillId="24" borderId="50" applyNumberFormat="0" applyFont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17" fillId="42" borderId="0" applyNumberFormat="0" applyBorder="0" applyAlignment="0" applyProtection="0"/>
    <xf numFmtId="0" fontId="17" fillId="43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43" fillId="0" borderId="0"/>
    <xf numFmtId="43" fontId="46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0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5" fillId="0" borderId="0"/>
    <xf numFmtId="0" fontId="11" fillId="0" borderId="0"/>
    <xf numFmtId="0" fontId="11" fillId="0" borderId="0"/>
    <xf numFmtId="0" fontId="116" fillId="0" borderId="0"/>
    <xf numFmtId="0" fontId="119" fillId="0" borderId="0"/>
    <xf numFmtId="0" fontId="119" fillId="0" borderId="0"/>
    <xf numFmtId="0" fontId="119" fillId="0" borderId="0"/>
    <xf numFmtId="0" fontId="11" fillId="0" borderId="0"/>
    <xf numFmtId="0" fontId="21" fillId="0" borderId="0"/>
    <xf numFmtId="0" fontId="120" fillId="0" borderId="0"/>
    <xf numFmtId="0" fontId="11" fillId="0" borderId="0"/>
    <xf numFmtId="0" fontId="121" fillId="0" borderId="0"/>
    <xf numFmtId="0" fontId="121" fillId="0" borderId="0"/>
    <xf numFmtId="0" fontId="17" fillId="0" borderId="0"/>
    <xf numFmtId="43" fontId="17" fillId="0" borderId="0" applyFont="0" applyFill="0" applyBorder="0" applyAlignment="0" applyProtection="0"/>
    <xf numFmtId="0" fontId="17" fillId="0" borderId="0"/>
    <xf numFmtId="0" fontId="123" fillId="0" borderId="0"/>
    <xf numFmtId="0" fontId="11" fillId="0" borderId="0"/>
    <xf numFmtId="0" fontId="11" fillId="0" borderId="0"/>
    <xf numFmtId="0" fontId="127" fillId="0" borderId="0"/>
    <xf numFmtId="0" fontId="11" fillId="0" borderId="0"/>
    <xf numFmtId="0" fontId="127" fillId="0" borderId="0"/>
    <xf numFmtId="0" fontId="11" fillId="0" borderId="0"/>
    <xf numFmtId="0" fontId="13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7" fillId="0" borderId="0"/>
    <xf numFmtId="43" fontId="1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34" fillId="0" borderId="0"/>
    <xf numFmtId="0" fontId="134" fillId="0" borderId="0"/>
    <xf numFmtId="0" fontId="11" fillId="0" borderId="0"/>
    <xf numFmtId="0" fontId="135" fillId="0" borderId="0"/>
    <xf numFmtId="0" fontId="136" fillId="0" borderId="0"/>
    <xf numFmtId="0" fontId="136" fillId="0" borderId="0"/>
    <xf numFmtId="0" fontId="136" fillId="0" borderId="0"/>
    <xf numFmtId="43" fontId="11" fillId="0" borderId="0" applyFont="0" applyFill="0" applyBorder="0" applyAlignment="0" applyProtection="0"/>
    <xf numFmtId="0" fontId="21" fillId="0" borderId="0"/>
    <xf numFmtId="0" fontId="140" fillId="0" borderId="0"/>
    <xf numFmtId="0" fontId="17" fillId="0" borderId="0"/>
    <xf numFmtId="43" fontId="17" fillId="0" borderId="0" applyFont="0" applyFill="0" applyBorder="0" applyAlignment="0" applyProtection="0"/>
    <xf numFmtId="0" fontId="17" fillId="0" borderId="0"/>
    <xf numFmtId="0" fontId="11" fillId="0" borderId="0"/>
    <xf numFmtId="0" fontId="140" fillId="0" borderId="0"/>
    <xf numFmtId="0" fontId="30" fillId="0" borderId="0"/>
  </cellStyleXfs>
  <cellXfs count="868">
    <xf numFmtId="0" fontId="0" fillId="0" borderId="0" xfId="0"/>
    <xf numFmtId="165" fontId="0" fillId="0" borderId="0" xfId="0" applyNumberFormat="1"/>
    <xf numFmtId="0" fontId="18" fillId="5" borderId="0" xfId="0" applyFont="1" applyFill="1"/>
    <xf numFmtId="165" fontId="18" fillId="5" borderId="0" xfId="0" applyNumberFormat="1" applyFont="1" applyFill="1"/>
    <xf numFmtId="0" fontId="10" fillId="0" borderId="0" xfId="0" applyFont="1"/>
    <xf numFmtId="168" fontId="10" fillId="0" borderId="0" xfId="3" applyNumberFormat="1" applyFont="1"/>
    <xf numFmtId="165" fontId="19" fillId="3" borderId="0" xfId="0" applyNumberFormat="1" applyFont="1" applyFill="1" applyAlignment="1">
      <alignment horizontal="center"/>
    </xf>
    <xf numFmtId="168" fontId="19" fillId="3" borderId="0" xfId="3" applyNumberFormat="1" applyFont="1" applyFill="1" applyAlignment="1">
      <alignment horizontal="center"/>
    </xf>
    <xf numFmtId="165" fontId="12" fillId="0" borderId="0" xfId="0" applyNumberFormat="1" applyFont="1"/>
    <xf numFmtId="0" fontId="21" fillId="0" borderId="0" xfId="0" applyFont="1"/>
    <xf numFmtId="0" fontId="21" fillId="0" borderId="7" xfId="0" applyFont="1" applyBorder="1"/>
    <xf numFmtId="169" fontId="21" fillId="0" borderId="7" xfId="0" applyNumberFormat="1" applyFont="1" applyBorder="1"/>
    <xf numFmtId="165" fontId="21" fillId="0" borderId="7" xfId="0" applyNumberFormat="1" applyFont="1" applyBorder="1"/>
    <xf numFmtId="166" fontId="21" fillId="0" borderId="7" xfId="0" applyNumberFormat="1" applyFont="1" applyBorder="1"/>
    <xf numFmtId="165" fontId="12" fillId="0" borderId="7" xfId="0" applyNumberFormat="1" applyFont="1" applyBorder="1"/>
    <xf numFmtId="0" fontId="9" fillId="0" borderId="0" xfId="0" applyFont="1"/>
    <xf numFmtId="169" fontId="21" fillId="4" borderId="7" xfId="0" applyNumberFormat="1" applyFont="1" applyFill="1" applyBorder="1"/>
    <xf numFmtId="165" fontId="21" fillId="4" borderId="7" xfId="0" applyNumberFormat="1" applyFont="1" applyFill="1" applyBorder="1"/>
    <xf numFmtId="0" fontId="8" fillId="0" borderId="0" xfId="0" applyFont="1"/>
    <xf numFmtId="165" fontId="8" fillId="0" borderId="0" xfId="0" applyNumberFormat="1" applyFont="1"/>
    <xf numFmtId="49" fontId="23" fillId="0" borderId="0" xfId="0" applyNumberFormat="1" applyFont="1" applyAlignment="1">
      <alignment vertical="center"/>
    </xf>
    <xf numFmtId="14" fontId="24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3" fillId="0" borderId="8" xfId="0" applyFont="1" applyBorder="1" applyAlignment="1">
      <alignment vertical="center"/>
    </xf>
    <xf numFmtId="165" fontId="23" fillId="0" borderId="0" xfId="0" applyNumberFormat="1" applyFont="1" applyAlignment="1">
      <alignment vertical="center"/>
    </xf>
    <xf numFmtId="14" fontId="24" fillId="0" borderId="0" xfId="0" applyNumberFormat="1" applyFont="1" applyAlignment="1">
      <alignment horizontal="left" vertical="center"/>
    </xf>
    <xf numFmtId="0" fontId="24" fillId="0" borderId="0" xfId="0" applyFont="1" applyAlignment="1">
      <alignment vertical="center"/>
    </xf>
    <xf numFmtId="170" fontId="26" fillId="0" borderId="9" xfId="0" applyNumberFormat="1" applyFont="1" applyBorder="1"/>
    <xf numFmtId="14" fontId="26" fillId="0" borderId="10" xfId="0" applyNumberFormat="1" applyFont="1" applyBorder="1"/>
    <xf numFmtId="14" fontId="27" fillId="0" borderId="11" xfId="0" applyNumberFormat="1" applyFont="1" applyBorder="1"/>
    <xf numFmtId="0" fontId="27" fillId="0" borderId="12" xfId="0" applyFont="1" applyBorder="1"/>
    <xf numFmtId="0" fontId="27" fillId="0" borderId="13" xfId="0" applyFont="1" applyBorder="1"/>
    <xf numFmtId="14" fontId="27" fillId="0" borderId="14" xfId="0" applyNumberFormat="1" applyFont="1" applyBorder="1" applyAlignment="1">
      <alignment horizontal="center" vertical="center"/>
    </xf>
    <xf numFmtId="0" fontId="27" fillId="2" borderId="11" xfId="0" applyFont="1" applyFill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6" fillId="0" borderId="0" xfId="0" applyFont="1"/>
    <xf numFmtId="170" fontId="26" fillId="0" borderId="15" xfId="0" applyNumberFormat="1" applyFont="1" applyBorder="1"/>
    <xf numFmtId="0" fontId="27" fillId="0" borderId="16" xfId="0" applyFont="1" applyBorder="1"/>
    <xf numFmtId="0" fontId="26" fillId="0" borderId="17" xfId="0" applyFont="1" applyBorder="1"/>
    <xf numFmtId="165" fontId="26" fillId="0" borderId="1" xfId="0" applyNumberFormat="1" applyFont="1" applyBorder="1"/>
    <xf numFmtId="0" fontId="26" fillId="2" borderId="0" xfId="0" applyFont="1" applyFill="1"/>
    <xf numFmtId="0" fontId="26" fillId="0" borderId="3" xfId="0" applyFont="1" applyBorder="1"/>
    <xf numFmtId="0" fontId="26" fillId="0" borderId="1" xfId="0" applyFont="1" applyBorder="1"/>
    <xf numFmtId="0" fontId="28" fillId="0" borderId="2" xfId="0" applyFont="1" applyBorder="1"/>
    <xf numFmtId="0" fontId="29" fillId="0" borderId="1" xfId="0" applyFont="1" applyBorder="1"/>
    <xf numFmtId="3" fontId="26" fillId="0" borderId="0" xfId="0" applyNumberFormat="1" applyFont="1"/>
    <xf numFmtId="170" fontId="26" fillId="6" borderId="15" xfId="0" applyNumberFormat="1" applyFont="1" applyFill="1" applyBorder="1"/>
    <xf numFmtId="0" fontId="31" fillId="0" borderId="2" xfId="0" applyFont="1" applyBorder="1"/>
    <xf numFmtId="0" fontId="29" fillId="0" borderId="0" xfId="0" applyFont="1"/>
    <xf numFmtId="165" fontId="26" fillId="0" borderId="0" xfId="0" applyNumberFormat="1" applyFont="1"/>
    <xf numFmtId="0" fontId="26" fillId="7" borderId="18" xfId="0" applyFont="1" applyFill="1" applyBorder="1"/>
    <xf numFmtId="171" fontId="26" fillId="0" borderId="0" xfId="0" applyNumberFormat="1" applyFont="1"/>
    <xf numFmtId="0" fontId="32" fillId="0" borderId="2" xfId="0" applyFont="1" applyBorder="1"/>
    <xf numFmtId="166" fontId="26" fillId="0" borderId="0" xfId="0" applyNumberFormat="1" applyFont="1"/>
    <xf numFmtId="0" fontId="26" fillId="0" borderId="2" xfId="0" applyFont="1" applyBorder="1"/>
    <xf numFmtId="0" fontId="27" fillId="0" borderId="2" xfId="0" applyFont="1" applyBorder="1"/>
    <xf numFmtId="0" fontId="26" fillId="7" borderId="0" xfId="0" applyFont="1" applyFill="1"/>
    <xf numFmtId="0" fontId="26" fillId="8" borderId="0" xfId="0" applyFont="1" applyFill="1"/>
    <xf numFmtId="170" fontId="26" fillId="9" borderId="15" xfId="0" applyNumberFormat="1" applyFont="1" applyFill="1" applyBorder="1"/>
    <xf numFmtId="0" fontId="27" fillId="0" borderId="19" xfId="0" applyFont="1" applyBorder="1"/>
    <xf numFmtId="0" fontId="26" fillId="0" borderId="20" xfId="0" applyFont="1" applyBorder="1"/>
    <xf numFmtId="0" fontId="26" fillId="0" borderId="21" xfId="0" applyFont="1" applyBorder="1"/>
    <xf numFmtId="171" fontId="26" fillId="0" borderId="0" xfId="0" applyNumberFormat="1" applyFont="1" applyAlignment="1">
      <alignment horizontal="right"/>
    </xf>
    <xf numFmtId="170" fontId="26" fillId="0" borderId="0" xfId="0" applyNumberFormat="1" applyFont="1"/>
    <xf numFmtId="0" fontId="33" fillId="0" borderId="22" xfId="6" applyFont="1" applyBorder="1" applyAlignment="1">
      <alignment vertical="center"/>
    </xf>
    <xf numFmtId="3" fontId="33" fillId="0" borderId="23" xfId="6" applyNumberFormat="1" applyFont="1" applyBorder="1" applyAlignment="1">
      <alignment vertical="center"/>
    </xf>
    <xf numFmtId="167" fontId="33" fillId="0" borderId="23" xfId="7" applyNumberFormat="1" applyFont="1" applyBorder="1" applyAlignment="1">
      <alignment vertical="center"/>
    </xf>
    <xf numFmtId="172" fontId="33" fillId="0" borderId="23" xfId="8" applyNumberFormat="1" applyFont="1" applyBorder="1" applyAlignment="1">
      <alignment vertical="center"/>
    </xf>
    <xf numFmtId="167" fontId="33" fillId="0" borderId="23" xfId="5" applyNumberFormat="1" applyFont="1" applyBorder="1" applyAlignment="1">
      <alignment vertical="center"/>
    </xf>
    <xf numFmtId="0" fontId="33" fillId="0" borderId="23" xfId="6" applyFont="1" applyBorder="1" applyAlignment="1">
      <alignment vertical="center"/>
    </xf>
    <xf numFmtId="0" fontId="33" fillId="0" borderId="23" xfId="6" applyFont="1" applyBorder="1" applyAlignment="1">
      <alignment horizontal="center" vertical="center"/>
    </xf>
    <xf numFmtId="0" fontId="33" fillId="0" borderId="24" xfId="6" applyFont="1" applyBorder="1" applyAlignment="1">
      <alignment vertical="center"/>
    </xf>
    <xf numFmtId="0" fontId="35" fillId="10" borderId="2" xfId="6" applyFont="1" applyFill="1" applyBorder="1" applyAlignment="1">
      <alignment horizontal="center" vertical="center"/>
    </xf>
    <xf numFmtId="0" fontId="35" fillId="10" borderId="0" xfId="6" applyFont="1" applyFill="1" applyAlignment="1">
      <alignment horizontal="center" vertical="center"/>
    </xf>
    <xf numFmtId="3" fontId="35" fillId="10" borderId="0" xfId="6" applyNumberFormat="1" applyFont="1" applyFill="1" applyAlignment="1">
      <alignment horizontal="center" vertical="center"/>
    </xf>
    <xf numFmtId="167" fontId="35" fillId="10" borderId="0" xfId="7" applyNumberFormat="1" applyFont="1" applyFill="1" applyBorder="1" applyAlignment="1">
      <alignment horizontal="center" vertical="center"/>
    </xf>
    <xf numFmtId="167" fontId="35" fillId="10" borderId="0" xfId="5" applyNumberFormat="1" applyFont="1" applyFill="1" applyBorder="1" applyAlignment="1">
      <alignment horizontal="center" vertical="center"/>
    </xf>
    <xf numFmtId="0" fontId="33" fillId="0" borderId="0" xfId="6" applyFont="1" applyAlignment="1">
      <alignment vertical="center"/>
    </xf>
    <xf numFmtId="3" fontId="36" fillId="10" borderId="0" xfId="6" applyNumberFormat="1" applyFont="1" applyFill="1" applyAlignment="1">
      <alignment horizontal="left" vertical="center"/>
    </xf>
    <xf numFmtId="3" fontId="36" fillId="10" borderId="0" xfId="6" applyNumberFormat="1" applyFont="1" applyFill="1" applyAlignment="1">
      <alignment horizontal="centerContinuous" vertical="center"/>
    </xf>
    <xf numFmtId="3" fontId="36" fillId="10" borderId="0" xfId="6" applyNumberFormat="1" applyFont="1" applyFill="1" applyAlignment="1">
      <alignment horizontal="center" vertical="center"/>
    </xf>
    <xf numFmtId="3" fontId="36" fillId="10" borderId="25" xfId="6" applyNumberFormat="1" applyFont="1" applyFill="1" applyBorder="1" applyAlignment="1">
      <alignment horizontal="centerContinuous" vertical="center"/>
    </xf>
    <xf numFmtId="0" fontId="33" fillId="0" borderId="2" xfId="6" applyFont="1" applyBorder="1" applyAlignment="1">
      <alignment vertical="center"/>
    </xf>
    <xf numFmtId="0" fontId="37" fillId="0" borderId="0" xfId="6" applyFont="1" applyAlignment="1">
      <alignment vertical="center"/>
    </xf>
    <xf numFmtId="3" fontId="36" fillId="0" borderId="0" xfId="6" applyNumberFormat="1" applyFont="1" applyAlignment="1">
      <alignment horizontal="left" vertical="center"/>
    </xf>
    <xf numFmtId="3" fontId="36" fillId="0" borderId="0" xfId="6" applyNumberFormat="1" applyFont="1" applyAlignment="1">
      <alignment horizontal="centerContinuous" vertical="center"/>
    </xf>
    <xf numFmtId="3" fontId="36" fillId="0" borderId="0" xfId="6" applyNumberFormat="1" applyFont="1" applyAlignment="1">
      <alignment horizontal="center" vertical="center"/>
    </xf>
    <xf numFmtId="3" fontId="36" fillId="0" borderId="25" xfId="6" applyNumberFormat="1" applyFont="1" applyBorder="1" applyAlignment="1">
      <alignment horizontal="centerContinuous" vertical="center"/>
    </xf>
    <xf numFmtId="0" fontId="33" fillId="0" borderId="0" xfId="6" applyFont="1" applyAlignment="1">
      <alignment horizontal="center" vertical="center"/>
    </xf>
    <xf numFmtId="0" fontId="33" fillId="0" borderId="25" xfId="6" applyFont="1" applyBorder="1" applyAlignment="1">
      <alignment vertical="center"/>
    </xf>
    <xf numFmtId="3" fontId="38" fillId="12" borderId="0" xfId="6" applyNumberFormat="1" applyFont="1" applyFill="1" applyAlignment="1">
      <alignment horizontal="center" vertical="center" wrapText="1"/>
    </xf>
    <xf numFmtId="0" fontId="38" fillId="0" borderId="2" xfId="6" applyFont="1" applyBorder="1" applyAlignment="1">
      <alignment horizontal="left" vertical="center"/>
    </xf>
    <xf numFmtId="3" fontId="38" fillId="0" borderId="0" xfId="6" applyNumberFormat="1" applyFont="1" applyAlignment="1">
      <alignment horizontal="right" vertical="center" wrapText="1"/>
    </xf>
    <xf numFmtId="3" fontId="38" fillId="0" borderId="0" xfId="6" applyNumberFormat="1" applyFont="1" applyAlignment="1">
      <alignment horizontal="center" vertical="center" wrapText="1"/>
    </xf>
    <xf numFmtId="167" fontId="38" fillId="0" borderId="0" xfId="2" applyNumberFormat="1" applyFont="1" applyFill="1" applyBorder="1" applyAlignment="1">
      <alignment horizontal="center" vertical="center" wrapText="1"/>
    </xf>
    <xf numFmtId="167" fontId="38" fillId="0" borderId="0" xfId="5" applyNumberFormat="1" applyFont="1" applyFill="1" applyBorder="1" applyAlignment="1">
      <alignment horizontal="center" vertical="center" wrapText="1"/>
    </xf>
    <xf numFmtId="9" fontId="38" fillId="0" borderId="0" xfId="5" applyFont="1" applyFill="1" applyBorder="1" applyAlignment="1">
      <alignment horizontal="right" vertical="center" wrapText="1"/>
    </xf>
    <xf numFmtId="4" fontId="33" fillId="0" borderId="0" xfId="6" applyNumberFormat="1" applyFont="1" applyAlignment="1">
      <alignment horizontal="center" vertical="center"/>
    </xf>
    <xf numFmtId="3" fontId="33" fillId="0" borderId="0" xfId="6" applyNumberFormat="1" applyFont="1" applyAlignment="1">
      <alignment horizontal="center" vertical="center"/>
    </xf>
    <xf numFmtId="3" fontId="33" fillId="0" borderId="0" xfId="6" applyNumberFormat="1" applyFont="1" applyAlignment="1">
      <alignment vertical="center"/>
    </xf>
    <xf numFmtId="167" fontId="33" fillId="0" borderId="0" xfId="7" applyNumberFormat="1" applyFont="1" applyFill="1" applyBorder="1" applyAlignment="1">
      <alignment vertical="center"/>
    </xf>
    <xf numFmtId="167" fontId="33" fillId="0" borderId="0" xfId="5" applyNumberFormat="1" applyFont="1" applyFill="1" applyBorder="1" applyAlignment="1">
      <alignment vertical="center"/>
    </xf>
    <xf numFmtId="3" fontId="39" fillId="0" borderId="0" xfId="6" applyNumberFormat="1" applyFont="1" applyAlignment="1">
      <alignment vertical="center"/>
    </xf>
    <xf numFmtId="167" fontId="40" fillId="0" borderId="0" xfId="5" applyNumberFormat="1" applyFont="1" applyFill="1" applyBorder="1" applyAlignment="1">
      <alignment vertical="center"/>
    </xf>
    <xf numFmtId="43" fontId="33" fillId="0" borderId="0" xfId="3" applyFont="1" applyBorder="1" applyAlignment="1">
      <alignment vertical="center"/>
    </xf>
    <xf numFmtId="0" fontId="33" fillId="0" borderId="26" xfId="6" applyFont="1" applyBorder="1" applyAlignment="1">
      <alignment vertical="center"/>
    </xf>
    <xf numFmtId="3" fontId="33" fillId="0" borderId="27" xfId="6" applyNumberFormat="1" applyFont="1" applyBorder="1" applyAlignment="1">
      <alignment vertical="center"/>
    </xf>
    <xf numFmtId="167" fontId="33" fillId="0" borderId="27" xfId="7" applyNumberFormat="1" applyFont="1" applyFill="1" applyBorder="1" applyAlignment="1">
      <alignment vertical="center"/>
    </xf>
    <xf numFmtId="167" fontId="33" fillId="0" borderId="27" xfId="5" applyNumberFormat="1" applyFont="1" applyFill="1" applyBorder="1" applyAlignment="1">
      <alignment vertical="center"/>
    </xf>
    <xf numFmtId="0" fontId="33" fillId="0" borderId="27" xfId="6" applyFont="1" applyBorder="1" applyAlignment="1">
      <alignment horizontal="center" vertical="center"/>
    </xf>
    <xf numFmtId="0" fontId="33" fillId="0" borderId="28" xfId="6" applyFont="1" applyBorder="1" applyAlignment="1">
      <alignment vertical="center"/>
    </xf>
    <xf numFmtId="0" fontId="38" fillId="0" borderId="26" xfId="6" applyFont="1" applyBorder="1" applyAlignment="1">
      <alignment vertical="center"/>
    </xf>
    <xf numFmtId="3" fontId="38" fillId="0" borderId="27" xfId="6" applyNumberFormat="1" applyFont="1" applyBorder="1" applyAlignment="1">
      <alignment vertical="center"/>
    </xf>
    <xf numFmtId="167" fontId="38" fillId="0" borderId="27" xfId="7" applyNumberFormat="1" applyFont="1" applyFill="1" applyBorder="1" applyAlignment="1">
      <alignment vertical="center"/>
    </xf>
    <xf numFmtId="167" fontId="38" fillId="0" borderId="27" xfId="5" applyNumberFormat="1" applyFont="1" applyFill="1" applyBorder="1" applyAlignment="1">
      <alignment vertical="center"/>
    </xf>
    <xf numFmtId="3" fontId="39" fillId="0" borderId="27" xfId="6" applyNumberFormat="1" applyFont="1" applyBorder="1" applyAlignment="1">
      <alignment vertical="center"/>
    </xf>
    <xf numFmtId="167" fontId="39" fillId="0" borderId="27" xfId="5" applyNumberFormat="1" applyFont="1" applyFill="1" applyBorder="1" applyAlignment="1">
      <alignment vertical="center"/>
    </xf>
    <xf numFmtId="167" fontId="41" fillId="0" borderId="29" xfId="6" applyNumberFormat="1" applyFont="1" applyBorder="1" applyAlignment="1">
      <alignment horizontal="center" vertical="center"/>
    </xf>
    <xf numFmtId="167" fontId="42" fillId="0" borderId="29" xfId="6" applyNumberFormat="1" applyFont="1" applyBorder="1" applyAlignment="1">
      <alignment horizontal="center" vertical="center"/>
    </xf>
    <xf numFmtId="3" fontId="44" fillId="13" borderId="29" xfId="9" applyNumberFormat="1" applyFont="1" applyFill="1" applyBorder="1" applyAlignment="1">
      <alignment horizontal="center" vertical="center"/>
    </xf>
    <xf numFmtId="0" fontId="45" fillId="0" borderId="30" xfId="6" quotePrefix="1" applyFont="1" applyBorder="1" applyAlignment="1">
      <alignment vertical="center" wrapText="1"/>
    </xf>
    <xf numFmtId="9" fontId="33" fillId="0" borderId="0" xfId="5" applyFont="1" applyBorder="1" applyAlignment="1">
      <alignment vertical="center"/>
    </xf>
    <xf numFmtId="9" fontId="33" fillId="0" borderId="0" xfId="5" applyFont="1" applyBorder="1" applyAlignment="1">
      <alignment horizontal="center" vertical="center"/>
    </xf>
    <xf numFmtId="167" fontId="33" fillId="0" borderId="0" xfId="6" applyNumberFormat="1" applyFont="1" applyAlignment="1">
      <alignment horizontal="center" vertical="center"/>
    </xf>
    <xf numFmtId="43" fontId="33" fillId="0" borderId="0" xfId="6" applyNumberFormat="1" applyFont="1" applyAlignment="1">
      <alignment horizontal="center" vertical="center"/>
    </xf>
    <xf numFmtId="0" fontId="38" fillId="12" borderId="31" xfId="6" applyFont="1" applyFill="1" applyBorder="1" applyAlignment="1">
      <alignment vertical="center"/>
    </xf>
    <xf numFmtId="3" fontId="38" fillId="12" borderId="29" xfId="6" applyNumberFormat="1" applyFont="1" applyFill="1" applyBorder="1" applyAlignment="1">
      <alignment vertical="center"/>
    </xf>
    <xf numFmtId="9" fontId="38" fillId="12" borderId="29" xfId="5" applyFont="1" applyFill="1" applyBorder="1" applyAlignment="1">
      <alignment vertical="center"/>
    </xf>
    <xf numFmtId="0" fontId="33" fillId="0" borderId="31" xfId="6" applyFont="1" applyBorder="1" applyAlignment="1">
      <alignment vertical="center"/>
    </xf>
    <xf numFmtId="3" fontId="33" fillId="0" borderId="29" xfId="6" applyNumberFormat="1" applyFont="1" applyBorder="1" applyAlignment="1">
      <alignment vertical="center"/>
    </xf>
    <xf numFmtId="9" fontId="33" fillId="0" borderId="29" xfId="5" applyFont="1" applyBorder="1" applyAlignment="1">
      <alignment vertical="center"/>
    </xf>
    <xf numFmtId="168" fontId="47" fillId="0" borderId="0" xfId="10" applyNumberFormat="1" applyFont="1" applyFill="1" applyBorder="1" applyAlignment="1">
      <alignment horizontal="center" vertical="center"/>
    </xf>
    <xf numFmtId="1" fontId="42" fillId="0" borderId="25" xfId="6" applyNumberFormat="1" applyFont="1" applyBorder="1" applyAlignment="1">
      <alignment vertical="center" wrapText="1"/>
    </xf>
    <xf numFmtId="0" fontId="38" fillId="0" borderId="2" xfId="6" applyFont="1" applyBorder="1" applyAlignment="1">
      <alignment vertical="center"/>
    </xf>
    <xf numFmtId="3" fontId="38" fillId="0" borderId="0" xfId="6" applyNumberFormat="1" applyFont="1" applyAlignment="1">
      <alignment vertical="center"/>
    </xf>
    <xf numFmtId="9" fontId="38" fillId="0" borderId="0" xfId="5" applyFont="1" applyBorder="1" applyAlignment="1">
      <alignment vertical="center"/>
    </xf>
    <xf numFmtId="0" fontId="33" fillId="0" borderId="25" xfId="6" applyFont="1" applyBorder="1" applyAlignment="1">
      <alignment vertical="center" wrapText="1"/>
    </xf>
    <xf numFmtId="0" fontId="38" fillId="5" borderId="31" xfId="6" applyFont="1" applyFill="1" applyBorder="1" applyAlignment="1">
      <alignment vertical="center"/>
    </xf>
    <xf numFmtId="3" fontId="38" fillId="5" borderId="29" xfId="6" applyNumberFormat="1" applyFont="1" applyFill="1" applyBorder="1" applyAlignment="1">
      <alignment vertical="center"/>
    </xf>
    <xf numFmtId="0" fontId="33" fillId="0" borderId="30" xfId="6" quotePrefix="1" applyFont="1" applyBorder="1" applyAlignment="1">
      <alignment vertical="center" wrapText="1"/>
    </xf>
    <xf numFmtId="0" fontId="33" fillId="0" borderId="29" xfId="6" applyFont="1" applyBorder="1" applyAlignment="1">
      <alignment horizontal="center" vertical="center"/>
    </xf>
    <xf numFmtId="168" fontId="47" fillId="0" borderId="29" xfId="10" applyNumberFormat="1" applyFont="1" applyFill="1" applyBorder="1" applyAlignment="1">
      <alignment horizontal="center" vertical="center"/>
    </xf>
    <xf numFmtId="1" fontId="42" fillId="0" borderId="30" xfId="6" applyNumberFormat="1" applyFont="1" applyBorder="1" applyAlignment="1">
      <alignment vertical="center" wrapText="1"/>
    </xf>
    <xf numFmtId="0" fontId="38" fillId="12" borderId="2" xfId="6" applyFont="1" applyFill="1" applyBorder="1" applyAlignment="1">
      <alignment vertical="center"/>
    </xf>
    <xf numFmtId="3" fontId="38" fillId="12" borderId="0" xfId="6" applyNumberFormat="1" applyFont="1" applyFill="1" applyAlignment="1">
      <alignment vertical="center"/>
    </xf>
    <xf numFmtId="9" fontId="38" fillId="12" borderId="0" xfId="5" applyFont="1" applyFill="1" applyBorder="1" applyAlignment="1">
      <alignment vertical="center"/>
    </xf>
    <xf numFmtId="3" fontId="37" fillId="0" borderId="25" xfId="6" applyNumberFormat="1" applyFont="1" applyBorder="1" applyAlignment="1">
      <alignment vertical="center"/>
    </xf>
    <xf numFmtId="167" fontId="48" fillId="0" borderId="29" xfId="6" applyNumberFormat="1" applyFont="1" applyBorder="1" applyAlignment="1">
      <alignment horizontal="center" vertical="center"/>
    </xf>
    <xf numFmtId="168" fontId="44" fillId="14" borderId="29" xfId="10" applyNumberFormat="1" applyFont="1" applyFill="1" applyBorder="1" applyAlignment="1">
      <alignment horizontal="center" vertical="center"/>
    </xf>
    <xf numFmtId="0" fontId="48" fillId="0" borderId="30" xfId="6" quotePrefix="1" applyFont="1" applyBorder="1" applyAlignment="1">
      <alignment vertical="center" wrapText="1"/>
    </xf>
    <xf numFmtId="0" fontId="33" fillId="0" borderId="32" xfId="6" applyFont="1" applyBorder="1" applyAlignment="1">
      <alignment vertical="center"/>
    </xf>
    <xf numFmtId="3" fontId="33" fillId="0" borderId="33" xfId="6" applyNumberFormat="1" applyFont="1" applyBorder="1" applyAlignment="1">
      <alignment vertical="center"/>
    </xf>
    <xf numFmtId="9" fontId="33" fillId="0" borderId="33" xfId="5" applyFont="1" applyBorder="1" applyAlignment="1">
      <alignment vertical="center"/>
    </xf>
    <xf numFmtId="3" fontId="39" fillId="0" borderId="33" xfId="6" applyNumberFormat="1" applyFont="1" applyBorder="1" applyAlignment="1">
      <alignment vertical="center"/>
    </xf>
    <xf numFmtId="167" fontId="39" fillId="0" borderId="33" xfId="7" applyNumberFormat="1" applyFont="1" applyFill="1" applyBorder="1" applyAlignment="1">
      <alignment vertical="center"/>
    </xf>
    <xf numFmtId="0" fontId="33" fillId="0" borderId="33" xfId="6" applyFont="1" applyBorder="1" applyAlignment="1">
      <alignment horizontal="center" vertical="center"/>
    </xf>
    <xf numFmtId="0" fontId="33" fillId="0" borderId="34" xfId="6" applyFont="1" applyBorder="1" applyAlignment="1">
      <alignment vertical="center"/>
    </xf>
    <xf numFmtId="0" fontId="38" fillId="12" borderId="26" xfId="6" applyFont="1" applyFill="1" applyBorder="1" applyAlignment="1">
      <alignment vertical="center"/>
    </xf>
    <xf numFmtId="3" fontId="38" fillId="12" borderId="27" xfId="6" applyNumberFormat="1" applyFont="1" applyFill="1" applyBorder="1" applyAlignment="1">
      <alignment vertical="center"/>
    </xf>
    <xf numFmtId="9" fontId="38" fillId="12" borderId="27" xfId="5" applyFont="1" applyFill="1" applyBorder="1" applyAlignment="1">
      <alignment vertical="center"/>
    </xf>
    <xf numFmtId="1" fontId="42" fillId="0" borderId="28" xfId="6" applyNumberFormat="1" applyFont="1" applyBorder="1" applyAlignment="1">
      <alignment vertical="center" wrapText="1"/>
    </xf>
    <xf numFmtId="167" fontId="39" fillId="0" borderId="0" xfId="5" applyNumberFormat="1" applyFont="1" applyFill="1" applyBorder="1" applyAlignment="1">
      <alignment vertical="center"/>
    </xf>
    <xf numFmtId="0" fontId="38" fillId="0" borderId="4" xfId="6" applyFont="1" applyBorder="1" applyAlignment="1">
      <alignment vertical="center"/>
    </xf>
    <xf numFmtId="3" fontId="38" fillId="0" borderId="5" xfId="6" applyNumberFormat="1" applyFont="1" applyBorder="1" applyAlignment="1">
      <alignment vertical="center"/>
    </xf>
    <xf numFmtId="167" fontId="38" fillId="0" borderId="5" xfId="7" applyNumberFormat="1" applyFont="1" applyBorder="1" applyAlignment="1">
      <alignment vertical="center"/>
    </xf>
    <xf numFmtId="167" fontId="38" fillId="0" borderId="5" xfId="5" applyNumberFormat="1" applyFont="1" applyBorder="1" applyAlignment="1">
      <alignment vertical="center"/>
    </xf>
    <xf numFmtId="0" fontId="33" fillId="0" borderId="5" xfId="6" applyFont="1" applyBorder="1" applyAlignment="1">
      <alignment vertical="center"/>
    </xf>
    <xf numFmtId="0" fontId="33" fillId="0" borderId="5" xfId="6" applyFont="1" applyBorder="1" applyAlignment="1">
      <alignment horizontal="center" vertical="center"/>
    </xf>
    <xf numFmtId="0" fontId="33" fillId="0" borderId="35" xfId="6" applyFont="1" applyBorder="1" applyAlignment="1">
      <alignment vertical="center"/>
    </xf>
    <xf numFmtId="0" fontId="49" fillId="0" borderId="0" xfId="0" applyFont="1"/>
    <xf numFmtId="3" fontId="48" fillId="0" borderId="29" xfId="6" applyNumberFormat="1" applyFont="1" applyBorder="1" applyAlignment="1">
      <alignment vertical="center"/>
    </xf>
    <xf numFmtId="167" fontId="48" fillId="0" borderId="29" xfId="7" applyNumberFormat="1" applyFont="1" applyFill="1" applyBorder="1" applyAlignment="1">
      <alignment vertical="center"/>
    </xf>
    <xf numFmtId="3" fontId="48" fillId="0" borderId="0" xfId="6" applyNumberFormat="1" applyFont="1" applyAlignment="1">
      <alignment vertical="center"/>
    </xf>
    <xf numFmtId="167" fontId="48" fillId="0" borderId="0" xfId="7" applyNumberFormat="1" applyFont="1" applyFill="1" applyBorder="1" applyAlignment="1">
      <alignment vertical="center"/>
    </xf>
    <xf numFmtId="3" fontId="48" fillId="0" borderId="27" xfId="6" applyNumberFormat="1" applyFont="1" applyBorder="1" applyAlignment="1">
      <alignment vertical="center"/>
    </xf>
    <xf numFmtId="167" fontId="48" fillId="0" borderId="27" xfId="5" applyNumberFormat="1" applyFont="1" applyFill="1" applyBorder="1" applyAlignment="1">
      <alignment vertical="center"/>
    </xf>
    <xf numFmtId="3" fontId="50" fillId="12" borderId="29" xfId="6" applyNumberFormat="1" applyFont="1" applyFill="1" applyBorder="1" applyAlignment="1">
      <alignment vertical="center"/>
    </xf>
    <xf numFmtId="167" fontId="50" fillId="12" borderId="29" xfId="5" applyNumberFormat="1" applyFont="1" applyFill="1" applyBorder="1" applyAlignment="1">
      <alignment vertical="center"/>
    </xf>
    <xf numFmtId="3" fontId="50" fillId="0" borderId="0" xfId="6" applyNumberFormat="1" applyFont="1" applyAlignment="1">
      <alignment vertical="center"/>
    </xf>
    <xf numFmtId="167" fontId="50" fillId="0" borderId="0" xfId="5" applyNumberFormat="1" applyFont="1" applyFill="1" applyBorder="1" applyAlignment="1">
      <alignment vertical="center"/>
    </xf>
    <xf numFmtId="3" fontId="50" fillId="5" borderId="29" xfId="6" applyNumberFormat="1" applyFont="1" applyFill="1" applyBorder="1" applyAlignment="1">
      <alignment vertical="center"/>
    </xf>
    <xf numFmtId="167" fontId="50" fillId="5" borderId="29" xfId="5" applyNumberFormat="1" applyFont="1" applyFill="1" applyBorder="1" applyAlignment="1">
      <alignment vertical="center"/>
    </xf>
    <xf numFmtId="3" fontId="50" fillId="12" borderId="0" xfId="6" applyNumberFormat="1" applyFont="1" applyFill="1" applyAlignment="1">
      <alignment vertical="center"/>
    </xf>
    <xf numFmtId="167" fontId="50" fillId="12" borderId="0" xfId="5" applyNumberFormat="1" applyFont="1" applyFill="1" applyBorder="1" applyAlignment="1">
      <alignment vertical="center"/>
    </xf>
    <xf numFmtId="3" fontId="50" fillId="12" borderId="27" xfId="6" applyNumberFormat="1" applyFont="1" applyFill="1" applyBorder="1" applyAlignment="1">
      <alignment vertical="center"/>
    </xf>
    <xf numFmtId="167" fontId="50" fillId="12" borderId="27" xfId="5" applyNumberFormat="1" applyFont="1" applyFill="1" applyBorder="1" applyAlignment="1">
      <alignment vertical="center"/>
    </xf>
    <xf numFmtId="168" fontId="0" fillId="0" borderId="0" xfId="3" applyNumberFormat="1" applyFont="1"/>
    <xf numFmtId="0" fontId="0" fillId="0" borderId="0" xfId="0" applyAlignment="1">
      <alignment horizontal="right"/>
    </xf>
    <xf numFmtId="168" fontId="0" fillId="0" borderId="0" xfId="0" applyNumberFormat="1"/>
    <xf numFmtId="0" fontId="0" fillId="0" borderId="36" xfId="0" applyBorder="1"/>
    <xf numFmtId="0" fontId="0" fillId="0" borderId="36" xfId="0" applyBorder="1" applyAlignment="1">
      <alignment horizontal="right"/>
    </xf>
    <xf numFmtId="0" fontId="51" fillId="0" borderId="36" xfId="12" applyFont="1" applyBorder="1"/>
    <xf numFmtId="0" fontId="52" fillId="0" borderId="7" xfId="0" applyFont="1" applyBorder="1"/>
    <xf numFmtId="0" fontId="0" fillId="0" borderId="7" xfId="0" applyBorder="1"/>
    <xf numFmtId="168" fontId="17" fillId="0" borderId="7" xfId="3" applyNumberFormat="1" applyFont="1" applyFill="1" applyBorder="1" applyAlignment="1">
      <alignment horizontal="center" vertical="center"/>
    </xf>
    <xf numFmtId="168" fontId="0" fillId="0" borderId="7" xfId="3" applyNumberFormat="1" applyFont="1" applyBorder="1"/>
    <xf numFmtId="168" fontId="17" fillId="0" borderId="7" xfId="3" applyNumberFormat="1" applyFont="1" applyFill="1" applyBorder="1"/>
    <xf numFmtId="168" fontId="17" fillId="0" borderId="36" xfId="3" applyNumberFormat="1" applyFont="1" applyFill="1" applyBorder="1"/>
    <xf numFmtId="168" fontId="17" fillId="0" borderId="37" xfId="3" applyNumberFormat="1" applyFont="1" applyFill="1" applyBorder="1"/>
    <xf numFmtId="173" fontId="17" fillId="0" borderId="7" xfId="3" applyNumberFormat="1" applyFont="1" applyFill="1" applyBorder="1" applyAlignment="1">
      <alignment horizontal="center" vertical="center"/>
    </xf>
    <xf numFmtId="168" fontId="17" fillId="15" borderId="7" xfId="3" applyNumberFormat="1" applyFont="1" applyFill="1" applyBorder="1"/>
    <xf numFmtId="0" fontId="0" fillId="0" borderId="7" xfId="0" applyBorder="1" applyAlignment="1">
      <alignment horizontal="left"/>
    </xf>
    <xf numFmtId="43" fontId="17" fillId="0" borderId="7" xfId="3" applyFont="1" applyFill="1" applyBorder="1" applyAlignment="1">
      <alignment horizontal="center" vertical="center"/>
    </xf>
    <xf numFmtId="174" fontId="17" fillId="0" borderId="7" xfId="12" applyNumberFormat="1" applyBorder="1"/>
    <xf numFmtId="49" fontId="0" fillId="0" borderId="7" xfId="0" applyNumberFormat="1" applyBorder="1"/>
    <xf numFmtId="0" fontId="0" fillId="0" borderId="37" xfId="0" applyBorder="1"/>
    <xf numFmtId="49" fontId="0" fillId="0" borderId="37" xfId="0" applyNumberFormat="1" applyBorder="1"/>
    <xf numFmtId="168" fontId="17" fillId="0" borderId="37" xfId="3" applyNumberFormat="1" applyFont="1" applyFill="1" applyBorder="1" applyAlignment="1">
      <alignment horizontal="center" vertical="center"/>
    </xf>
    <xf numFmtId="168" fontId="0" fillId="0" borderId="37" xfId="3" applyNumberFormat="1" applyFont="1" applyBorder="1"/>
    <xf numFmtId="168" fontId="0" fillId="15" borderId="7" xfId="3" applyNumberFormat="1" applyFont="1" applyFill="1" applyBorder="1"/>
    <xf numFmtId="168" fontId="0" fillId="0" borderId="36" xfId="3" applyNumberFormat="1" applyFont="1" applyBorder="1" applyAlignment="1">
      <alignment horizontal="right"/>
    </xf>
    <xf numFmtId="0" fontId="51" fillId="0" borderId="37" xfId="0" applyFont="1" applyBorder="1"/>
    <xf numFmtId="0" fontId="0" fillId="0" borderId="7" xfId="0" applyBorder="1" applyAlignment="1">
      <alignment wrapText="1"/>
    </xf>
    <xf numFmtId="168" fontId="0" fillId="0" borderId="7" xfId="3" applyNumberFormat="1" applyFont="1" applyBorder="1" applyAlignment="1">
      <alignment horizontal="right"/>
    </xf>
    <xf numFmtId="0" fontId="51" fillId="0" borderId="7" xfId="0" applyFont="1" applyBorder="1"/>
    <xf numFmtId="168" fontId="0" fillId="0" borderId="0" xfId="3" applyNumberFormat="1" applyFont="1" applyAlignment="1">
      <alignment horizontal="right"/>
    </xf>
    <xf numFmtId="175" fontId="17" fillId="0" borderId="7" xfId="3" applyNumberFormat="1" applyFont="1" applyFill="1" applyBorder="1" applyAlignment="1">
      <alignment horizontal="center" vertical="center"/>
    </xf>
    <xf numFmtId="175" fontId="0" fillId="0" borderId="7" xfId="3" applyNumberFormat="1" applyFont="1" applyBorder="1"/>
    <xf numFmtId="0" fontId="17" fillId="0" borderId="7" xfId="12" applyBorder="1"/>
    <xf numFmtId="0" fontId="51" fillId="0" borderId="7" xfId="0" applyFont="1" applyBorder="1" applyAlignment="1">
      <alignment wrapText="1"/>
    </xf>
    <xf numFmtId="168" fontId="0" fillId="0" borderId="37" xfId="3" applyNumberFormat="1" applyFont="1" applyBorder="1" applyAlignment="1">
      <alignment horizontal="right"/>
    </xf>
    <xf numFmtId="173" fontId="0" fillId="0" borderId="7" xfId="3" applyNumberFormat="1" applyFont="1" applyBorder="1" applyAlignment="1">
      <alignment horizontal="right"/>
    </xf>
    <xf numFmtId="43" fontId="0" fillId="0" borderId="7" xfId="3" applyFont="1" applyBorder="1"/>
    <xf numFmtId="0" fontId="51" fillId="14" borderId="7" xfId="0" applyFont="1" applyFill="1" applyBorder="1" applyAlignment="1">
      <alignment wrapText="1"/>
    </xf>
    <xf numFmtId="168" fontId="0" fillId="0" borderId="38" xfId="3" applyNumberFormat="1" applyFont="1" applyBorder="1" applyAlignment="1">
      <alignment horizontal="right"/>
    </xf>
    <xf numFmtId="0" fontId="0" fillId="0" borderId="0" xfId="0" applyAlignment="1">
      <alignment horizontal="left"/>
    </xf>
    <xf numFmtId="49" fontId="11" fillId="15" borderId="0" xfId="1" applyNumberFormat="1" applyFill="1"/>
    <xf numFmtId="0" fontId="11" fillId="15" borderId="0" xfId="1" applyFill="1"/>
    <xf numFmtId="0" fontId="13" fillId="15" borderId="0" xfId="1" applyFont="1" applyFill="1"/>
    <xf numFmtId="165" fontId="14" fillId="15" borderId="0" xfId="1" applyNumberFormat="1" applyFont="1" applyFill="1"/>
    <xf numFmtId="0" fontId="15" fillId="15" borderId="0" xfId="1" applyFont="1" applyFill="1"/>
    <xf numFmtId="14" fontId="11" fillId="15" borderId="0" xfId="1" applyNumberFormat="1" applyFill="1"/>
    <xf numFmtId="165" fontId="14" fillId="15" borderId="0" xfId="1" applyNumberFormat="1" applyFont="1" applyFill="1" applyAlignment="1">
      <alignment horizontal="center"/>
    </xf>
    <xf numFmtId="165" fontId="11" fillId="15" borderId="0" xfId="1" applyNumberFormat="1" applyFill="1"/>
    <xf numFmtId="0" fontId="20" fillId="0" borderId="0" xfId="1" applyFont="1" applyAlignment="1">
      <alignment horizontal="left"/>
    </xf>
    <xf numFmtId="165" fontId="12" fillId="0" borderId="0" xfId="1" applyNumberFormat="1" applyFont="1"/>
    <xf numFmtId="0" fontId="20" fillId="0" borderId="0" xfId="1" applyFont="1"/>
    <xf numFmtId="0" fontId="12" fillId="0" borderId="0" xfId="1" applyFont="1"/>
    <xf numFmtId="165" fontId="20" fillId="0" borderId="0" xfId="1" applyNumberFormat="1" applyFont="1"/>
    <xf numFmtId="0" fontId="52" fillId="0" borderId="39" xfId="1" applyFont="1" applyBorder="1" applyAlignment="1">
      <alignment vertical="center"/>
    </xf>
    <xf numFmtId="0" fontId="52" fillId="0" borderId="40" xfId="1" applyFont="1" applyBorder="1" applyAlignment="1">
      <alignment vertical="center"/>
    </xf>
    <xf numFmtId="14" fontId="53" fillId="0" borderId="42" xfId="1" applyNumberFormat="1" applyFont="1" applyBorder="1" applyAlignment="1">
      <alignment horizontal="center" vertical="center" textRotation="255"/>
    </xf>
    <xf numFmtId="0" fontId="52" fillId="0" borderId="0" xfId="1" applyFont="1"/>
    <xf numFmtId="0" fontId="52" fillId="0" borderId="2" xfId="1" applyFont="1" applyBorder="1"/>
    <xf numFmtId="165" fontId="52" fillId="0" borderId="1" xfId="1" applyNumberFormat="1" applyFont="1" applyBorder="1"/>
    <xf numFmtId="165" fontId="54" fillId="0" borderId="25" xfId="1" applyNumberFormat="1" applyFont="1" applyBorder="1" applyAlignment="1">
      <alignment vertical="center"/>
    </xf>
    <xf numFmtId="0" fontId="56" fillId="0" borderId="2" xfId="1" applyFont="1" applyBorder="1"/>
    <xf numFmtId="168" fontId="52" fillId="0" borderId="1" xfId="3" applyNumberFormat="1" applyFont="1" applyBorder="1"/>
    <xf numFmtId="166" fontId="54" fillId="0" borderId="25" xfId="1" applyNumberFormat="1" applyFont="1" applyBorder="1" applyAlignment="1">
      <alignment vertical="center"/>
    </xf>
    <xf numFmtId="0" fontId="52" fillId="0" borderId="5" xfId="1" applyFont="1" applyBorder="1"/>
    <xf numFmtId="0" fontId="52" fillId="0" borderId="4" xfId="1" applyFont="1" applyBorder="1"/>
    <xf numFmtId="168" fontId="52" fillId="0" borderId="6" xfId="3" applyNumberFormat="1" applyFont="1" applyBorder="1"/>
    <xf numFmtId="165" fontId="54" fillId="0" borderId="35" xfId="1" applyNumberFormat="1" applyFont="1" applyBorder="1" applyAlignment="1">
      <alignment vertical="center"/>
    </xf>
    <xf numFmtId="0" fontId="52" fillId="0" borderId="39" xfId="1" applyFont="1" applyBorder="1"/>
    <xf numFmtId="0" fontId="56" fillId="0" borderId="40" xfId="1" applyFont="1" applyBorder="1"/>
    <xf numFmtId="168" fontId="56" fillId="0" borderId="41" xfId="3" applyNumberFormat="1" applyFont="1" applyBorder="1"/>
    <xf numFmtId="166" fontId="57" fillId="0" borderId="42" xfId="1" applyNumberFormat="1" applyFont="1" applyBorder="1" applyAlignment="1">
      <alignment vertical="center"/>
    </xf>
    <xf numFmtId="167" fontId="53" fillId="0" borderId="25" xfId="1" applyNumberFormat="1" applyFont="1" applyBorder="1" applyAlignment="1">
      <alignment vertical="center"/>
    </xf>
    <xf numFmtId="0" fontId="52" fillId="0" borderId="23" xfId="1" applyFont="1" applyBorder="1"/>
    <xf numFmtId="0" fontId="56" fillId="0" borderId="22" xfId="1" applyFont="1" applyBorder="1"/>
    <xf numFmtId="168" fontId="56" fillId="0" borderId="3" xfId="3" applyNumberFormat="1" applyFont="1" applyBorder="1"/>
    <xf numFmtId="166" fontId="57" fillId="0" borderId="24" xfId="1" applyNumberFormat="1" applyFont="1" applyBorder="1" applyAlignment="1">
      <alignment vertical="center"/>
    </xf>
    <xf numFmtId="0" fontId="55" fillId="0" borderId="40" xfId="1" applyFont="1" applyBorder="1"/>
    <xf numFmtId="168" fontId="55" fillId="0" borderId="41" xfId="3" applyNumberFormat="1" applyFont="1" applyBorder="1"/>
    <xf numFmtId="167" fontId="53" fillId="0" borderId="42" xfId="1" applyNumberFormat="1" applyFont="1" applyBorder="1" applyAlignment="1">
      <alignment vertical="center"/>
    </xf>
    <xf numFmtId="0" fontId="55" fillId="2" borderId="0" xfId="1" applyFont="1" applyFill="1"/>
    <xf numFmtId="0" fontId="55" fillId="2" borderId="2" xfId="1" applyFont="1" applyFill="1" applyBorder="1"/>
    <xf numFmtId="168" fontId="55" fillId="2" borderId="1" xfId="3" applyNumberFormat="1" applyFont="1" applyFill="1" applyBorder="1"/>
    <xf numFmtId="167" fontId="53" fillId="2" borderId="25" xfId="5" applyNumberFormat="1" applyFont="1" applyFill="1" applyBorder="1" applyAlignment="1">
      <alignment vertical="center"/>
    </xf>
    <xf numFmtId="0" fontId="55" fillId="0" borderId="2" xfId="1" applyFont="1" applyBorder="1"/>
    <xf numFmtId="168" fontId="55" fillId="0" borderId="1" xfId="3" applyNumberFormat="1" applyFont="1" applyBorder="1"/>
    <xf numFmtId="168" fontId="53" fillId="0" borderId="6" xfId="3" applyNumberFormat="1" applyFont="1" applyBorder="1"/>
    <xf numFmtId="166" fontId="53" fillId="0" borderId="35" xfId="1" applyNumberFormat="1" applyFont="1" applyBorder="1" applyAlignment="1">
      <alignment vertical="center"/>
    </xf>
    <xf numFmtId="166" fontId="53" fillId="0" borderId="42" xfId="1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58" fillId="0" borderId="22" xfId="0" applyFont="1" applyBorder="1"/>
    <xf numFmtId="0" fontId="0" fillId="0" borderId="23" xfId="0" applyBorder="1"/>
    <xf numFmtId="0" fontId="0" fillId="0" borderId="23" xfId="0" applyBorder="1" applyAlignment="1">
      <alignment horizontal="center" vertical="center"/>
    </xf>
    <xf numFmtId="0" fontId="0" fillId="0" borderId="24" xfId="0" applyBorder="1"/>
    <xf numFmtId="0" fontId="0" fillId="0" borderId="2" xfId="0" applyBorder="1"/>
    <xf numFmtId="0" fontId="59" fillId="0" borderId="0" xfId="0" applyFont="1"/>
    <xf numFmtId="0" fontId="0" fillId="0" borderId="25" xfId="0" applyBorder="1"/>
    <xf numFmtId="0" fontId="60" fillId="0" borderId="22" xfId="0" applyFont="1" applyBorder="1"/>
    <xf numFmtId="176" fontId="60" fillId="0" borderId="3" xfId="0" applyNumberFormat="1" applyFont="1" applyBorder="1"/>
    <xf numFmtId="0" fontId="60" fillId="16" borderId="40" xfId="0" applyFont="1" applyFill="1" applyBorder="1"/>
    <xf numFmtId="167" fontId="60" fillId="16" borderId="41" xfId="5" applyNumberFormat="1" applyFont="1" applyFill="1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0" fillId="0" borderId="35" xfId="0" applyBorder="1"/>
    <xf numFmtId="0" fontId="62" fillId="0" borderId="0" xfId="0" applyFont="1"/>
    <xf numFmtId="176" fontId="0" fillId="0" borderId="0" xfId="0" applyNumberFormat="1"/>
    <xf numFmtId="176" fontId="0" fillId="0" borderId="0" xfId="0" applyNumberFormat="1" applyAlignment="1">
      <alignment horizontal="center" vertical="center"/>
    </xf>
    <xf numFmtId="0" fontId="63" fillId="0" borderId="0" xfId="0" applyFont="1"/>
    <xf numFmtId="0" fontId="0" fillId="14" borderId="7" xfId="0" applyFill="1" applyBorder="1"/>
    <xf numFmtId="0" fontId="0" fillId="14" borderId="7" xfId="0" applyFill="1" applyBorder="1" applyAlignment="1">
      <alignment wrapText="1"/>
    </xf>
    <xf numFmtId="168" fontId="0" fillId="14" borderId="7" xfId="3" applyNumberFormat="1" applyFont="1" applyFill="1" applyBorder="1"/>
    <xf numFmtId="168" fontId="17" fillId="14" borderId="7" xfId="3" applyNumberFormat="1" applyFont="1" applyFill="1" applyBorder="1" applyAlignment="1">
      <alignment horizontal="center" vertical="center"/>
    </xf>
    <xf numFmtId="0" fontId="0" fillId="0" borderId="0" xfId="0" pivotButton="1"/>
    <xf numFmtId="3" fontId="0" fillId="0" borderId="0" xfId="0" applyNumberFormat="1"/>
    <xf numFmtId="14" fontId="65" fillId="0" borderId="39" xfId="1" applyNumberFormat="1" applyFont="1" applyBorder="1" applyAlignment="1">
      <alignment horizontal="center" vertical="center" textRotation="255"/>
    </xf>
    <xf numFmtId="14" fontId="64" fillId="0" borderId="41" xfId="1" applyNumberFormat="1" applyFont="1" applyBorder="1" applyAlignment="1">
      <alignment horizontal="center" vertical="center"/>
    </xf>
    <xf numFmtId="0" fontId="7" fillId="0" borderId="0" xfId="0" applyFont="1"/>
    <xf numFmtId="165" fontId="7" fillId="0" borderId="0" xfId="0" applyNumberFormat="1" applyFont="1"/>
    <xf numFmtId="165" fontId="21" fillId="0" borderId="0" xfId="0" applyNumberFormat="1" applyFont="1"/>
    <xf numFmtId="168" fontId="7" fillId="0" borderId="0" xfId="3" applyNumberFormat="1" applyFont="1"/>
    <xf numFmtId="173" fontId="0" fillId="0" borderId="0" xfId="3" applyNumberFormat="1" applyFont="1"/>
    <xf numFmtId="0" fontId="66" fillId="0" borderId="0" xfId="0" applyFont="1"/>
    <xf numFmtId="0" fontId="66" fillId="0" borderId="0" xfId="0" applyFont="1" applyAlignment="1">
      <alignment horizontal="left"/>
    </xf>
    <xf numFmtId="0" fontId="66" fillId="0" borderId="0" xfId="0" pivotButton="1" applyFont="1"/>
    <xf numFmtId="0" fontId="20" fillId="0" borderId="0" xfId="14" applyFont="1" applyAlignment="1">
      <alignment horizontal="left"/>
    </xf>
    <xf numFmtId="165" fontId="12" fillId="0" borderId="0" xfId="14" applyNumberFormat="1" applyFont="1"/>
    <xf numFmtId="0" fontId="20" fillId="0" borderId="0" xfId="14" applyFont="1"/>
    <xf numFmtId="0" fontId="12" fillId="0" borderId="0" xfId="14" applyFont="1"/>
    <xf numFmtId="165" fontId="20" fillId="0" borderId="0" xfId="14" applyNumberFormat="1" applyFont="1"/>
    <xf numFmtId="169" fontId="21" fillId="0" borderId="0" xfId="0" applyNumberFormat="1" applyFont="1"/>
    <xf numFmtId="0" fontId="60" fillId="16" borderId="41" xfId="0" applyFont="1" applyFill="1" applyBorder="1" applyAlignment="1">
      <alignment horizontal="center" vertical="center" wrapText="1"/>
    </xf>
    <xf numFmtId="9" fontId="60" fillId="0" borderId="3" xfId="5" applyFont="1" applyBorder="1" applyAlignment="1">
      <alignment horizontal="center" vertical="center"/>
    </xf>
    <xf numFmtId="167" fontId="60" fillId="0" borderId="41" xfId="5" applyNumberFormat="1" applyFont="1" applyBorder="1" applyAlignment="1">
      <alignment horizontal="center" vertical="center"/>
    </xf>
    <xf numFmtId="167" fontId="60" fillId="0" borderId="41" xfId="5" applyNumberFormat="1" applyFont="1" applyBorder="1"/>
    <xf numFmtId="0" fontId="62" fillId="16" borderId="40" xfId="0" applyFont="1" applyFill="1" applyBorder="1" applyAlignment="1">
      <alignment horizontal="center" vertical="center"/>
    </xf>
    <xf numFmtId="0" fontId="60" fillId="16" borderId="41" xfId="0" applyFont="1" applyFill="1" applyBorder="1" applyAlignment="1">
      <alignment horizontal="center" vertical="center"/>
    </xf>
    <xf numFmtId="0" fontId="60" fillId="16" borderId="39" xfId="0" applyFont="1" applyFill="1" applyBorder="1" applyAlignment="1">
      <alignment horizontal="center" vertical="center"/>
    </xf>
    <xf numFmtId="176" fontId="62" fillId="0" borderId="3" xfId="0" applyNumberFormat="1" applyFont="1" applyBorder="1"/>
    <xf numFmtId="176" fontId="62" fillId="16" borderId="41" xfId="0" applyNumberFormat="1" applyFont="1" applyFill="1" applyBorder="1"/>
    <xf numFmtId="167" fontId="38" fillId="5" borderId="29" xfId="5" applyNumberFormat="1" applyFont="1" applyFill="1" applyBorder="1" applyAlignment="1">
      <alignment vertical="center"/>
    </xf>
    <xf numFmtId="176" fontId="0" fillId="0" borderId="5" xfId="0" applyNumberFormat="1" applyBorder="1"/>
    <xf numFmtId="176" fontId="61" fillId="0" borderId="3" xfId="0" applyNumberFormat="1" applyFont="1" applyBorder="1"/>
    <xf numFmtId="9" fontId="69" fillId="0" borderId="3" xfId="5" applyFont="1" applyBorder="1" applyAlignment="1">
      <alignment horizontal="center" vertical="center"/>
    </xf>
    <xf numFmtId="176" fontId="69" fillId="0" borderId="3" xfId="0" applyNumberFormat="1" applyFont="1" applyBorder="1"/>
    <xf numFmtId="0" fontId="68" fillId="17" borderId="22" xfId="0" applyFont="1" applyFill="1" applyBorder="1" applyAlignment="1">
      <alignment horizontal="left"/>
    </xf>
    <xf numFmtId="176" fontId="61" fillId="17" borderId="3" xfId="0" applyNumberFormat="1" applyFont="1" applyFill="1" applyBorder="1"/>
    <xf numFmtId="9" fontId="69" fillId="17" borderId="3" xfId="5" applyFont="1" applyFill="1" applyBorder="1" applyAlignment="1">
      <alignment horizontal="center" vertical="center"/>
    </xf>
    <xf numFmtId="176" fontId="69" fillId="17" borderId="3" xfId="0" applyNumberFormat="1" applyFont="1" applyFill="1" applyBorder="1"/>
    <xf numFmtId="0" fontId="60" fillId="17" borderId="41" xfId="0" applyFont="1" applyFill="1" applyBorder="1"/>
    <xf numFmtId="176" fontId="62" fillId="17" borderId="41" xfId="0" applyNumberFormat="1" applyFont="1" applyFill="1" applyBorder="1"/>
    <xf numFmtId="9" fontId="60" fillId="17" borderId="3" xfId="5" applyFont="1" applyFill="1" applyBorder="1" applyAlignment="1">
      <alignment horizontal="center" vertical="center"/>
    </xf>
    <xf numFmtId="176" fontId="60" fillId="17" borderId="3" xfId="0" applyNumberFormat="1" applyFont="1" applyFill="1" applyBorder="1"/>
    <xf numFmtId="0" fontId="61" fillId="0" borderId="22" xfId="0" applyFont="1" applyBorder="1" applyAlignment="1">
      <alignment horizontal="right"/>
    </xf>
    <xf numFmtId="171" fontId="21" fillId="0" borderId="0" xfId="0" applyNumberFormat="1" applyFont="1"/>
    <xf numFmtId="0" fontId="82" fillId="0" borderId="0" xfId="16"/>
    <xf numFmtId="0" fontId="82" fillId="0" borderId="0" xfId="16" applyAlignment="1">
      <alignment horizontal="center" vertical="center"/>
    </xf>
    <xf numFmtId="165" fontId="12" fillId="0" borderId="0" xfId="1022" applyNumberFormat="1" applyFont="1"/>
    <xf numFmtId="0" fontId="20" fillId="0" borderId="0" xfId="1022" applyFont="1"/>
    <xf numFmtId="169" fontId="103" fillId="0" borderId="7" xfId="0" applyNumberFormat="1" applyFont="1" applyBorder="1"/>
    <xf numFmtId="0" fontId="20" fillId="0" borderId="0" xfId="1025" applyFont="1" applyAlignment="1">
      <alignment horizontal="left"/>
    </xf>
    <xf numFmtId="165" fontId="12" fillId="0" borderId="0" xfId="1025" applyNumberFormat="1" applyFont="1"/>
    <xf numFmtId="0" fontId="20" fillId="0" borderId="0" xfId="1025" applyFont="1"/>
    <xf numFmtId="0" fontId="12" fillId="0" borderId="0" xfId="1025" applyFont="1"/>
    <xf numFmtId="165" fontId="20" fillId="0" borderId="0" xfId="1025" applyNumberFormat="1" applyFont="1"/>
    <xf numFmtId="0" fontId="0" fillId="4" borderId="0" xfId="0" applyFill="1"/>
    <xf numFmtId="165" fontId="0" fillId="4" borderId="0" xfId="0" applyNumberFormat="1" applyFill="1"/>
    <xf numFmtId="0" fontId="26" fillId="71" borderId="0" xfId="0" applyFont="1" applyFill="1" applyAlignment="1">
      <alignment horizontal="center" vertical="center"/>
    </xf>
    <xf numFmtId="165" fontId="26" fillId="72" borderId="22" xfId="0" applyNumberFormat="1" applyFont="1" applyFill="1" applyBorder="1" applyAlignment="1">
      <alignment vertical="center"/>
    </xf>
    <xf numFmtId="165" fontId="26" fillId="72" borderId="23" xfId="0" applyNumberFormat="1" applyFont="1" applyFill="1" applyBorder="1" applyAlignment="1">
      <alignment vertical="center"/>
    </xf>
    <xf numFmtId="165" fontId="26" fillId="72" borderId="24" xfId="0" applyNumberFormat="1" applyFont="1" applyFill="1" applyBorder="1" applyAlignment="1">
      <alignment vertical="center"/>
    </xf>
    <xf numFmtId="165" fontId="26" fillId="71" borderId="0" xfId="0" applyNumberFormat="1" applyFont="1" applyFill="1" applyAlignment="1">
      <alignment vertical="center"/>
    </xf>
    <xf numFmtId="0" fontId="27" fillId="71" borderId="0" xfId="0" applyFont="1" applyFill="1" applyAlignment="1">
      <alignment horizontal="center" vertical="center"/>
    </xf>
    <xf numFmtId="165" fontId="27" fillId="71" borderId="0" xfId="0" applyNumberFormat="1" applyFont="1" applyFill="1" applyAlignment="1">
      <alignment vertical="center"/>
    </xf>
    <xf numFmtId="165" fontId="26" fillId="72" borderId="4" xfId="0" applyNumberFormat="1" applyFont="1" applyFill="1" applyBorder="1" applyAlignment="1">
      <alignment vertical="center"/>
    </xf>
    <xf numFmtId="165" fontId="26" fillId="72" borderId="5" xfId="0" applyNumberFormat="1" applyFont="1" applyFill="1" applyBorder="1" applyAlignment="1">
      <alignment vertical="center"/>
    </xf>
    <xf numFmtId="165" fontId="26" fillId="72" borderId="35" xfId="0" applyNumberFormat="1" applyFont="1" applyFill="1" applyBorder="1" applyAlignment="1">
      <alignment vertical="center"/>
    </xf>
    <xf numFmtId="165" fontId="26" fillId="71" borderId="0" xfId="0" applyNumberFormat="1" applyFont="1" applyFill="1" applyAlignment="1">
      <alignment horizontal="center" vertical="center"/>
    </xf>
    <xf numFmtId="0" fontId="26" fillId="71" borderId="0" xfId="0" applyFont="1" applyFill="1" applyAlignment="1">
      <alignment vertical="center"/>
    </xf>
    <xf numFmtId="165" fontId="27" fillId="72" borderId="41" xfId="0" applyNumberFormat="1" applyFont="1" applyFill="1" applyBorder="1" applyAlignment="1">
      <alignment horizontal="center" vertical="center"/>
    </xf>
    <xf numFmtId="165" fontId="27" fillId="72" borderId="41" xfId="0" applyNumberFormat="1" applyFont="1" applyFill="1" applyBorder="1" applyAlignment="1">
      <alignment horizontal="left" vertical="center"/>
    </xf>
    <xf numFmtId="0" fontId="29" fillId="71" borderId="0" xfId="0" applyFont="1" applyFill="1" applyAlignment="1">
      <alignment vertical="center"/>
    </xf>
    <xf numFmtId="165" fontId="29" fillId="71" borderId="0" xfId="0" applyNumberFormat="1" applyFont="1" applyFill="1" applyAlignment="1">
      <alignment vertical="center"/>
    </xf>
    <xf numFmtId="165" fontId="29" fillId="71" borderId="0" xfId="0" applyNumberFormat="1" applyFont="1" applyFill="1" applyAlignment="1">
      <alignment horizontal="left" vertical="center"/>
    </xf>
    <xf numFmtId="165" fontId="106" fillId="71" borderId="0" xfId="0" applyNumberFormat="1" applyFont="1" applyFill="1" applyAlignment="1">
      <alignment vertical="center"/>
    </xf>
    <xf numFmtId="0" fontId="30" fillId="15" borderId="0" xfId="0" applyFont="1" applyFill="1" applyAlignment="1">
      <alignment vertical="center"/>
    </xf>
    <xf numFmtId="165" fontId="30" fillId="15" borderId="0" xfId="0" applyNumberFormat="1" applyFont="1" applyFill="1" applyAlignment="1">
      <alignment vertical="center"/>
    </xf>
    <xf numFmtId="165" fontId="27" fillId="71" borderId="0" xfId="0" applyNumberFormat="1" applyFont="1" applyFill="1" applyAlignment="1">
      <alignment horizontal="left" vertical="center"/>
    </xf>
    <xf numFmtId="165" fontId="27" fillId="73" borderId="41" xfId="0" applyNumberFormat="1" applyFont="1" applyFill="1" applyBorder="1" applyAlignment="1">
      <alignment horizontal="center" vertical="center"/>
    </xf>
    <xf numFmtId="165" fontId="29" fillId="71" borderId="61" xfId="0" applyNumberFormat="1" applyFont="1" applyFill="1" applyBorder="1" applyAlignment="1">
      <alignment vertical="center"/>
    </xf>
    <xf numFmtId="9" fontId="26" fillId="71" borderId="61" xfId="2" applyFont="1" applyFill="1" applyBorder="1" applyAlignment="1">
      <alignment horizontal="center" vertical="center"/>
    </xf>
    <xf numFmtId="165" fontId="29" fillId="71" borderId="62" xfId="0" applyNumberFormat="1" applyFont="1" applyFill="1" applyBorder="1" applyAlignment="1">
      <alignment vertical="center"/>
    </xf>
    <xf numFmtId="9" fontId="26" fillId="71" borderId="62" xfId="2" applyFont="1" applyFill="1" applyBorder="1" applyAlignment="1">
      <alignment horizontal="center" vertical="center"/>
    </xf>
    <xf numFmtId="9" fontId="26" fillId="71" borderId="63" xfId="2" applyFont="1" applyFill="1" applyBorder="1" applyAlignment="1">
      <alignment horizontal="center" vertical="center"/>
    </xf>
    <xf numFmtId="165" fontId="29" fillId="71" borderId="6" xfId="0" applyNumberFormat="1" applyFont="1" applyFill="1" applyBorder="1" applyAlignment="1">
      <alignment vertical="center"/>
    </xf>
    <xf numFmtId="9" fontId="26" fillId="71" borderId="6" xfId="2" applyFont="1" applyFill="1" applyBorder="1" applyAlignment="1">
      <alignment horizontal="center" vertical="center"/>
    </xf>
    <xf numFmtId="165" fontId="27" fillId="71" borderId="41" xfId="0" applyNumberFormat="1" applyFont="1" applyFill="1" applyBorder="1" applyAlignment="1">
      <alignment vertical="center"/>
    </xf>
    <xf numFmtId="165" fontId="29" fillId="71" borderId="0" xfId="0" applyNumberFormat="1" applyFont="1" applyFill="1" applyAlignment="1">
      <alignment horizontal="center" vertical="center"/>
    </xf>
    <xf numFmtId="0" fontId="27" fillId="71" borderId="0" xfId="0" applyFont="1" applyFill="1" applyAlignment="1">
      <alignment vertical="center"/>
    </xf>
    <xf numFmtId="165" fontId="27" fillId="72" borderId="40" xfId="0" applyNumberFormat="1" applyFont="1" applyFill="1" applyBorder="1" applyAlignment="1">
      <alignment horizontal="center" vertical="center"/>
    </xf>
    <xf numFmtId="165" fontId="27" fillId="72" borderId="64" xfId="0" applyNumberFormat="1" applyFont="1" applyFill="1" applyBorder="1" applyAlignment="1">
      <alignment horizontal="center" vertical="center"/>
    </xf>
    <xf numFmtId="165" fontId="27" fillId="72" borderId="39" xfId="0" applyNumberFormat="1" applyFont="1" applyFill="1" applyBorder="1" applyAlignment="1">
      <alignment horizontal="center" vertical="center"/>
    </xf>
    <xf numFmtId="165" fontId="27" fillId="72" borderId="42" xfId="0" applyNumberFormat="1" applyFont="1" applyFill="1" applyBorder="1" applyAlignment="1">
      <alignment horizontal="center" vertical="center"/>
    </xf>
    <xf numFmtId="165" fontId="27" fillId="74" borderId="41" xfId="0" applyNumberFormat="1" applyFont="1" applyFill="1" applyBorder="1" applyAlignment="1">
      <alignment horizontal="left" vertical="center"/>
    </xf>
    <xf numFmtId="165" fontId="27" fillId="73" borderId="7" xfId="0" applyNumberFormat="1" applyFont="1" applyFill="1" applyBorder="1" applyAlignment="1">
      <alignment horizontal="center" vertical="center"/>
    </xf>
    <xf numFmtId="165" fontId="26" fillId="15" borderId="0" xfId="0" applyNumberFormat="1" applyFont="1" applyFill="1" applyAlignment="1">
      <alignment vertical="center"/>
    </xf>
    <xf numFmtId="0" fontId="107" fillId="71" borderId="0" xfId="0" applyFont="1" applyFill="1" applyAlignment="1">
      <alignment horizontal="center" vertical="center"/>
    </xf>
    <xf numFmtId="165" fontId="107" fillId="0" borderId="7" xfId="0" applyNumberFormat="1" applyFont="1" applyBorder="1" applyAlignment="1">
      <alignment vertical="center"/>
    </xf>
    <xf numFmtId="165" fontId="108" fillId="0" borderId="7" xfId="0" applyNumberFormat="1" applyFont="1" applyBorder="1" applyAlignment="1">
      <alignment vertical="center"/>
    </xf>
    <xf numFmtId="165" fontId="12" fillId="15" borderId="0" xfId="0" applyNumberFormat="1" applyFont="1" applyFill="1"/>
    <xf numFmtId="165" fontId="107" fillId="71" borderId="0" xfId="0" applyNumberFormat="1" applyFont="1" applyFill="1" applyAlignment="1">
      <alignment horizontal="center" vertical="center"/>
    </xf>
    <xf numFmtId="165" fontId="27" fillId="71" borderId="7" xfId="0" applyNumberFormat="1" applyFont="1" applyFill="1" applyBorder="1" applyAlignment="1">
      <alignment vertical="center"/>
    </xf>
    <xf numFmtId="165" fontId="27" fillId="71" borderId="7" xfId="0" applyNumberFormat="1" applyFont="1" applyFill="1" applyBorder="1" applyAlignment="1">
      <alignment horizontal="right" vertical="center"/>
    </xf>
    <xf numFmtId="0" fontId="107" fillId="71" borderId="0" xfId="0" applyFont="1" applyFill="1" applyAlignment="1">
      <alignment vertical="center"/>
    </xf>
    <xf numFmtId="165" fontId="109" fillId="71" borderId="0" xfId="0" applyNumberFormat="1" applyFont="1" applyFill="1" applyAlignment="1">
      <alignment vertical="center"/>
    </xf>
    <xf numFmtId="165" fontId="110" fillId="2" borderId="0" xfId="0" applyNumberFormat="1" applyFont="1" applyFill="1" applyAlignment="1">
      <alignment horizontal="right" vertical="center"/>
    </xf>
    <xf numFmtId="165" fontId="109" fillId="71" borderId="0" xfId="0" applyNumberFormat="1" applyFont="1" applyFill="1" applyAlignment="1">
      <alignment horizontal="right" vertical="center"/>
    </xf>
    <xf numFmtId="165" fontId="107" fillId="71" borderId="0" xfId="0" applyNumberFormat="1" applyFont="1" applyFill="1" applyAlignment="1">
      <alignment vertical="center"/>
    </xf>
    <xf numFmtId="165" fontId="107" fillId="71" borderId="0" xfId="0" applyNumberFormat="1" applyFont="1" applyFill="1" applyAlignment="1">
      <alignment horizontal="right" vertical="center"/>
    </xf>
    <xf numFmtId="165" fontId="27" fillId="73" borderId="7" xfId="0" applyNumberFormat="1" applyFont="1" applyFill="1" applyBorder="1" applyAlignment="1">
      <alignment vertical="center"/>
    </xf>
    <xf numFmtId="165" fontId="111" fillId="0" borderId="7" xfId="0" applyNumberFormat="1" applyFont="1" applyBorder="1" applyAlignment="1">
      <alignment vertical="center"/>
    </xf>
    <xf numFmtId="165" fontId="107" fillId="15" borderId="0" xfId="0" applyNumberFormat="1" applyFont="1" applyFill="1" applyAlignment="1">
      <alignment horizontal="center" vertical="center"/>
    </xf>
    <xf numFmtId="165" fontId="29" fillId="15" borderId="0" xfId="0" applyNumberFormat="1" applyFont="1" applyFill="1" applyAlignment="1">
      <alignment vertical="center"/>
    </xf>
    <xf numFmtId="165" fontId="27" fillId="71" borderId="41" xfId="0" applyNumberFormat="1" applyFont="1" applyFill="1" applyBorder="1" applyAlignment="1">
      <alignment horizontal="left" vertical="center"/>
    </xf>
    <xf numFmtId="0" fontId="26" fillId="15" borderId="0" xfId="0" applyFont="1" applyFill="1" applyAlignment="1">
      <alignment vertical="center"/>
    </xf>
    <xf numFmtId="165" fontId="112" fillId="71" borderId="7" xfId="0" applyNumberFormat="1" applyFont="1" applyFill="1" applyBorder="1" applyAlignment="1">
      <alignment horizontal="left" vertical="center"/>
    </xf>
    <xf numFmtId="165" fontId="112" fillId="71" borderId="7" xfId="0" applyNumberFormat="1" applyFont="1" applyFill="1" applyBorder="1" applyAlignment="1">
      <alignment vertical="center"/>
    </xf>
    <xf numFmtId="165" fontId="27" fillId="71" borderId="65" xfId="0" applyNumberFormat="1" applyFont="1" applyFill="1" applyBorder="1" applyAlignment="1">
      <alignment vertical="center"/>
    </xf>
    <xf numFmtId="165" fontId="27" fillId="71" borderId="66" xfId="0" applyNumberFormat="1" applyFont="1" applyFill="1" applyBorder="1" applyAlignment="1">
      <alignment vertical="center"/>
    </xf>
    <xf numFmtId="165" fontId="27" fillId="71" borderId="67" xfId="0" applyNumberFormat="1" applyFont="1" applyFill="1" applyBorder="1" applyAlignment="1">
      <alignment vertical="center"/>
    </xf>
    <xf numFmtId="165" fontId="26" fillId="71" borderId="0" xfId="0" applyNumberFormat="1" applyFont="1" applyFill="1" applyAlignment="1">
      <alignment horizontal="right" vertical="center"/>
    </xf>
    <xf numFmtId="0" fontId="113" fillId="0" borderId="7" xfId="61" applyFont="1" applyBorder="1" applyAlignment="1">
      <alignment horizontal="left"/>
    </xf>
    <xf numFmtId="0" fontId="21" fillId="0" borderId="36" xfId="0" applyFont="1" applyBorder="1"/>
    <xf numFmtId="165" fontId="107" fillId="0" borderId="36" xfId="0" applyNumberFormat="1" applyFont="1" applyBorder="1" applyAlignment="1">
      <alignment vertical="center"/>
    </xf>
    <xf numFmtId="165" fontId="108" fillId="0" borderId="36" xfId="0" applyNumberFormat="1" applyFont="1" applyBorder="1" applyAlignment="1">
      <alignment vertical="center"/>
    </xf>
    <xf numFmtId="165" fontId="26" fillId="71" borderId="40" xfId="0" applyNumberFormat="1" applyFont="1" applyFill="1" applyBorder="1" applyAlignment="1">
      <alignment horizontal="center" vertical="center"/>
    </xf>
    <xf numFmtId="165" fontId="27" fillId="71" borderId="64" xfId="0" applyNumberFormat="1" applyFont="1" applyFill="1" applyBorder="1" applyAlignment="1">
      <alignment horizontal="center" vertical="center"/>
    </xf>
    <xf numFmtId="165" fontId="26" fillId="71" borderId="39" xfId="0" applyNumberFormat="1" applyFont="1" applyFill="1" applyBorder="1" applyAlignment="1">
      <alignment horizontal="center" vertical="center"/>
    </xf>
    <xf numFmtId="165" fontId="27" fillId="71" borderId="42" xfId="0" applyNumberFormat="1" applyFont="1" applyFill="1" applyBorder="1" applyAlignment="1">
      <alignment horizontal="center" vertical="center"/>
    </xf>
    <xf numFmtId="165" fontId="27" fillId="71" borderId="0" xfId="0" applyNumberFormat="1" applyFont="1" applyFill="1" applyAlignment="1">
      <alignment horizontal="center" vertical="center"/>
    </xf>
    <xf numFmtId="0" fontId="27" fillId="73" borderId="7" xfId="0" applyFont="1" applyFill="1" applyBorder="1" applyAlignment="1">
      <alignment vertical="center"/>
    </xf>
    <xf numFmtId="165" fontId="27" fillId="5" borderId="7" xfId="0" applyNumberFormat="1" applyFont="1" applyFill="1" applyBorder="1" applyAlignment="1">
      <alignment vertical="center"/>
    </xf>
    <xf numFmtId="165" fontId="27" fillId="0" borderId="0" xfId="0" applyNumberFormat="1" applyFont="1" applyAlignment="1">
      <alignment vertical="center"/>
    </xf>
    <xf numFmtId="165" fontId="27" fillId="73" borderId="7" xfId="0" applyNumberFormat="1" applyFont="1" applyFill="1" applyBorder="1" applyAlignment="1">
      <alignment horizontal="center" vertical="center" wrapText="1"/>
    </xf>
    <xf numFmtId="165" fontId="27" fillId="71" borderId="7" xfId="0" applyNumberFormat="1" applyFont="1" applyFill="1" applyBorder="1" applyAlignment="1">
      <alignment horizontal="center" vertical="center" wrapText="1"/>
    </xf>
    <xf numFmtId="165" fontId="27" fillId="71" borderId="7" xfId="0" applyNumberFormat="1" applyFont="1" applyFill="1" applyBorder="1" applyAlignment="1">
      <alignment vertical="center" wrapText="1"/>
    </xf>
    <xf numFmtId="165" fontId="27" fillId="71" borderId="0" xfId="0" applyNumberFormat="1" applyFont="1" applyFill="1" applyAlignment="1">
      <alignment horizontal="center" vertical="center" wrapText="1"/>
    </xf>
    <xf numFmtId="165" fontId="27" fillId="71" borderId="0" xfId="0" applyNumberFormat="1" applyFont="1" applyFill="1" applyAlignment="1">
      <alignment vertical="center" wrapText="1"/>
    </xf>
    <xf numFmtId="165" fontId="27" fillId="71" borderId="0" xfId="0" applyNumberFormat="1" applyFont="1" applyFill="1" applyAlignment="1">
      <alignment horizontal="right" vertical="center" wrapText="1"/>
    </xf>
    <xf numFmtId="165" fontId="27" fillId="74" borderId="41" xfId="0" applyNumberFormat="1" applyFont="1" applyFill="1" applyBorder="1" applyAlignment="1">
      <alignment vertical="center"/>
    </xf>
    <xf numFmtId="165" fontId="27" fillId="74" borderId="41" xfId="0" applyNumberFormat="1" applyFont="1" applyFill="1" applyBorder="1" applyAlignment="1">
      <alignment vertical="center" wrapText="1"/>
    </xf>
    <xf numFmtId="165" fontId="26" fillId="71" borderId="0" xfId="0" applyNumberFormat="1" applyFont="1" applyFill="1" applyAlignment="1">
      <alignment horizontal="right" vertical="center" wrapText="1"/>
    </xf>
    <xf numFmtId="165" fontId="106" fillId="71" borderId="0" xfId="0" applyNumberFormat="1" applyFont="1" applyFill="1" applyAlignment="1">
      <alignment horizontal="center" vertical="center" wrapText="1"/>
    </xf>
    <xf numFmtId="165" fontId="29" fillId="71" borderId="0" xfId="0" applyNumberFormat="1" applyFont="1" applyFill="1" applyAlignment="1">
      <alignment horizontal="right" vertical="center" wrapText="1"/>
    </xf>
    <xf numFmtId="165" fontId="27" fillId="71" borderId="65" xfId="0" applyNumberFormat="1" applyFont="1" applyFill="1" applyBorder="1" applyAlignment="1">
      <alignment horizontal="center" vertical="center" wrapText="1"/>
    </xf>
    <xf numFmtId="165" fontId="27" fillId="71" borderId="66" xfId="0" applyNumberFormat="1" applyFont="1" applyFill="1" applyBorder="1" applyAlignment="1">
      <alignment vertical="center" wrapText="1"/>
    </xf>
    <xf numFmtId="165" fontId="27" fillId="71" borderId="67" xfId="0" applyNumberFormat="1" applyFont="1" applyFill="1" applyBorder="1" applyAlignment="1">
      <alignment vertical="center" wrapText="1"/>
    </xf>
    <xf numFmtId="165" fontId="114" fillId="71" borderId="0" xfId="0" applyNumberFormat="1" applyFont="1" applyFill="1" applyAlignment="1">
      <alignment horizontal="left" vertical="center"/>
    </xf>
    <xf numFmtId="165" fontId="27" fillId="0" borderId="7" xfId="0" applyNumberFormat="1" applyFont="1" applyBorder="1" applyAlignment="1">
      <alignment vertical="center"/>
    </xf>
    <xf numFmtId="0" fontId="30" fillId="71" borderId="0" xfId="0" applyFont="1" applyFill="1" applyAlignment="1">
      <alignment vertical="center"/>
    </xf>
    <xf numFmtId="165" fontId="30" fillId="71" borderId="0" xfId="0" applyNumberFormat="1" applyFont="1" applyFill="1" applyAlignment="1">
      <alignment vertical="center"/>
    </xf>
    <xf numFmtId="165" fontId="106" fillId="74" borderId="41" xfId="0" applyNumberFormat="1" applyFont="1" applyFill="1" applyBorder="1" applyAlignment="1">
      <alignment vertical="center"/>
    </xf>
    <xf numFmtId="165" fontId="27" fillId="71" borderId="37" xfId="0" applyNumberFormat="1" applyFont="1" applyFill="1" applyBorder="1" applyAlignment="1">
      <alignment horizontal="center" vertical="center" wrapText="1"/>
    </xf>
    <xf numFmtId="165" fontId="27" fillId="0" borderId="37" xfId="0" applyNumberFormat="1" applyFont="1" applyBorder="1" applyAlignment="1">
      <alignment vertical="center"/>
    </xf>
    <xf numFmtId="165" fontId="27" fillId="71" borderId="23" xfId="0" applyNumberFormat="1" applyFont="1" applyFill="1" applyBorder="1" applyAlignment="1">
      <alignment vertical="center" wrapText="1"/>
    </xf>
    <xf numFmtId="165" fontId="27" fillId="15" borderId="0" xfId="0" applyNumberFormat="1" applyFont="1" applyFill="1" applyAlignment="1">
      <alignment vertical="center"/>
    </xf>
    <xf numFmtId="165" fontId="27" fillId="15" borderId="0" xfId="0" applyNumberFormat="1" applyFont="1" applyFill="1" applyAlignment="1">
      <alignment horizontal="center" vertical="center" wrapText="1"/>
    </xf>
    <xf numFmtId="165" fontId="26" fillId="71" borderId="0" xfId="0" applyNumberFormat="1" applyFont="1" applyFill="1"/>
    <xf numFmtId="165" fontId="30" fillId="15" borderId="7" xfId="0" applyNumberFormat="1" applyFont="1" applyFill="1" applyBorder="1" applyAlignment="1">
      <alignment vertical="center"/>
    </xf>
    <xf numFmtId="165" fontId="30" fillId="0" borderId="7" xfId="0" applyNumberFormat="1" applyFont="1" applyBorder="1" applyAlignment="1">
      <alignment vertical="center"/>
    </xf>
    <xf numFmtId="0" fontId="20" fillId="0" borderId="0" xfId="1031" applyFont="1" applyAlignment="1">
      <alignment horizontal="left"/>
    </xf>
    <xf numFmtId="165" fontId="12" fillId="0" borderId="0" xfId="1031" applyNumberFormat="1" applyFont="1"/>
    <xf numFmtId="0" fontId="20" fillId="0" borderId="0" xfId="1031" applyFont="1"/>
    <xf numFmtId="0" fontId="12" fillId="0" borderId="0" xfId="1031" applyFont="1"/>
    <xf numFmtId="165" fontId="20" fillId="0" borderId="0" xfId="1031" applyNumberFormat="1" applyFont="1"/>
    <xf numFmtId="0" fontId="117" fillId="0" borderId="0" xfId="0" applyFont="1"/>
    <xf numFmtId="166" fontId="103" fillId="0" borderId="7" xfId="0" applyNumberFormat="1" applyFont="1" applyBorder="1"/>
    <xf numFmtId="165" fontId="118" fillId="0" borderId="7" xfId="0" applyNumberFormat="1" applyFont="1" applyBorder="1"/>
    <xf numFmtId="165" fontId="118" fillId="0" borderId="0" xfId="0" applyNumberFormat="1" applyFont="1"/>
    <xf numFmtId="165" fontId="11" fillId="0" borderId="0" xfId="1040" applyNumberFormat="1"/>
    <xf numFmtId="0" fontId="21" fillId="4" borderId="7" xfId="0" applyFont="1" applyFill="1" applyBorder="1"/>
    <xf numFmtId="166" fontId="21" fillId="4" borderId="7" xfId="0" applyNumberFormat="1" applyFont="1" applyFill="1" applyBorder="1"/>
    <xf numFmtId="165" fontId="12" fillId="4" borderId="7" xfId="0" applyNumberFormat="1" applyFont="1" applyFill="1" applyBorder="1"/>
    <xf numFmtId="0" fontId="17" fillId="0" borderId="0" xfId="1043"/>
    <xf numFmtId="0" fontId="62" fillId="0" borderId="0" xfId="1043" applyFont="1"/>
    <xf numFmtId="168" fontId="0" fillId="0" borderId="0" xfId="1044" applyNumberFormat="1" applyFont="1" applyFill="1"/>
    <xf numFmtId="168" fontId="17" fillId="0" borderId="0" xfId="142" applyNumberFormat="1" applyFont="1"/>
    <xf numFmtId="0" fontId="51" fillId="0" borderId="0" xfId="1043" applyFont="1"/>
    <xf numFmtId="0" fontId="122" fillId="2" borderId="7" xfId="1045" applyFont="1" applyFill="1" applyBorder="1" applyAlignment="1">
      <alignment horizontal="left"/>
    </xf>
    <xf numFmtId="168" fontId="122" fillId="0" borderId="7" xfId="1044" applyNumberFormat="1" applyFont="1" applyFill="1" applyBorder="1" applyAlignment="1">
      <alignment horizontal="left"/>
    </xf>
    <xf numFmtId="0" fontId="51" fillId="0" borderId="0" xfId="1045" applyFont="1"/>
    <xf numFmtId="0" fontId="66" fillId="0" borderId="7" xfId="1043" applyFont="1" applyBorder="1"/>
    <xf numFmtId="168" fontId="66" fillId="0" borderId="7" xfId="1044" applyNumberFormat="1" applyFont="1" applyFill="1" applyBorder="1"/>
    <xf numFmtId="174" fontId="17" fillId="0" borderId="7" xfId="1043" applyNumberFormat="1" applyBorder="1"/>
    <xf numFmtId="173" fontId="0" fillId="0" borderId="7" xfId="1044" applyNumberFormat="1" applyFont="1" applyBorder="1"/>
    <xf numFmtId="168" fontId="17" fillId="0" borderId="0" xfId="1043" applyNumberFormat="1"/>
    <xf numFmtId="170" fontId="17" fillId="0" borderId="7" xfId="1043" applyNumberFormat="1" applyBorder="1"/>
    <xf numFmtId="168" fontId="0" fillId="0" borderId="7" xfId="1044" applyNumberFormat="1" applyFont="1" applyFill="1" applyBorder="1"/>
    <xf numFmtId="173" fontId="0" fillId="76" borderId="7" xfId="1044" applyNumberFormat="1" applyFont="1" applyFill="1" applyBorder="1"/>
    <xf numFmtId="49" fontId="17" fillId="0" borderId="7" xfId="1043" applyNumberFormat="1" applyBorder="1"/>
    <xf numFmtId="0" fontId="17" fillId="0" borderId="7" xfId="1043" applyBorder="1"/>
    <xf numFmtId="0" fontId="0" fillId="77" borderId="0" xfId="0" applyFill="1"/>
    <xf numFmtId="165" fontId="0" fillId="77" borderId="0" xfId="0" applyNumberFormat="1" applyFill="1"/>
    <xf numFmtId="0" fontId="0" fillId="74" borderId="0" xfId="0" applyFill="1" applyAlignment="1">
      <alignment horizontal="left"/>
    </xf>
    <xf numFmtId="173" fontId="122" fillId="75" borderId="41" xfId="1044" applyNumberFormat="1" applyFont="1" applyFill="1" applyBorder="1" applyAlignment="1">
      <alignment horizontal="center"/>
    </xf>
    <xf numFmtId="3" fontId="0" fillId="74" borderId="0" xfId="0" applyNumberFormat="1" applyFill="1"/>
    <xf numFmtId="0" fontId="69" fillId="0" borderId="22" xfId="0" applyFont="1" applyBorder="1"/>
    <xf numFmtId="0" fontId="69" fillId="0" borderId="22" xfId="0" applyFont="1" applyBorder="1" applyAlignment="1">
      <alignment horizontal="right"/>
    </xf>
    <xf numFmtId="177" fontId="0" fillId="0" borderId="0" xfId="0" applyNumberFormat="1"/>
    <xf numFmtId="3" fontId="124" fillId="12" borderId="0" xfId="6" applyNumberFormat="1" applyFont="1" applyFill="1" applyAlignment="1">
      <alignment horizontal="center" vertical="center" wrapText="1"/>
    </xf>
    <xf numFmtId="3" fontId="124" fillId="0" borderId="0" xfId="6" applyNumberFormat="1" applyFont="1" applyAlignment="1">
      <alignment horizontal="center" vertical="center" wrapText="1"/>
    </xf>
    <xf numFmtId="3" fontId="125" fillId="0" borderId="0" xfId="6" applyNumberFormat="1" applyFont="1" applyAlignment="1">
      <alignment vertical="center"/>
    </xf>
    <xf numFmtId="3" fontId="125" fillId="0" borderId="27" xfId="6" applyNumberFormat="1" applyFont="1" applyBorder="1" applyAlignment="1">
      <alignment vertical="center"/>
    </xf>
    <xf numFmtId="3" fontId="124" fillId="0" borderId="27" xfId="6" applyNumberFormat="1" applyFont="1" applyBorder="1" applyAlignment="1">
      <alignment vertical="center"/>
    </xf>
    <xf numFmtId="3" fontId="124" fillId="12" borderId="29" xfId="6" applyNumberFormat="1" applyFont="1" applyFill="1" applyBorder="1" applyAlignment="1">
      <alignment vertical="center"/>
    </xf>
    <xf numFmtId="3" fontId="125" fillId="0" borderId="29" xfId="6" applyNumberFormat="1" applyFont="1" applyBorder="1" applyAlignment="1">
      <alignment vertical="center"/>
    </xf>
    <xf numFmtId="3" fontId="124" fillId="0" borderId="0" xfId="6" applyNumberFormat="1" applyFont="1" applyAlignment="1">
      <alignment vertical="center"/>
    </xf>
    <xf numFmtId="3" fontId="124" fillId="5" borderId="29" xfId="6" applyNumberFormat="1" applyFont="1" applyFill="1" applyBorder="1" applyAlignment="1">
      <alignment vertical="center"/>
    </xf>
    <xf numFmtId="3" fontId="124" fillId="12" borderId="0" xfId="6" applyNumberFormat="1" applyFont="1" applyFill="1" applyAlignment="1">
      <alignment vertical="center"/>
    </xf>
    <xf numFmtId="3" fontId="125" fillId="0" borderId="33" xfId="6" applyNumberFormat="1" applyFont="1" applyBorder="1" applyAlignment="1">
      <alignment vertical="center"/>
    </xf>
    <xf numFmtId="3" fontId="124" fillId="12" borderId="27" xfId="6" applyNumberFormat="1" applyFont="1" applyFill="1" applyBorder="1" applyAlignment="1">
      <alignment vertical="center"/>
    </xf>
    <xf numFmtId="3" fontId="124" fillId="0" borderId="5" xfId="6" applyNumberFormat="1" applyFont="1" applyBorder="1" applyAlignment="1">
      <alignment vertical="center"/>
    </xf>
    <xf numFmtId="0" fontId="20" fillId="0" borderId="0" xfId="1048" applyFont="1" applyAlignment="1">
      <alignment horizontal="left"/>
    </xf>
    <xf numFmtId="165" fontId="12" fillId="0" borderId="0" xfId="1048" applyNumberFormat="1" applyFont="1"/>
    <xf numFmtId="0" fontId="20" fillId="0" borderId="0" xfId="1048" applyFont="1"/>
    <xf numFmtId="0" fontId="12" fillId="0" borderId="0" xfId="1048" applyFont="1"/>
    <xf numFmtId="165" fontId="20" fillId="0" borderId="0" xfId="1048" applyNumberFormat="1" applyFont="1"/>
    <xf numFmtId="165" fontId="11" fillId="0" borderId="0" xfId="1050" applyNumberFormat="1"/>
    <xf numFmtId="0" fontId="128" fillId="2" borderId="7" xfId="1045" applyFont="1" applyFill="1" applyBorder="1" applyAlignment="1">
      <alignment horizontal="left"/>
    </xf>
    <xf numFmtId="0" fontId="126" fillId="0" borderId="7" xfId="1045" applyFont="1" applyBorder="1"/>
    <xf numFmtId="0" fontId="129" fillId="0" borderId="7" xfId="1043" applyFont="1" applyBorder="1"/>
    <xf numFmtId="168" fontId="129" fillId="0" borderId="7" xfId="1044" applyNumberFormat="1" applyFont="1" applyFill="1" applyBorder="1"/>
    <xf numFmtId="3" fontId="26" fillId="0" borderId="1" xfId="0" applyNumberFormat="1" applyFont="1" applyBorder="1"/>
    <xf numFmtId="3" fontId="30" fillId="0" borderId="1" xfId="0" applyNumberFormat="1" applyFont="1" applyBorder="1"/>
    <xf numFmtId="3" fontId="27" fillId="0" borderId="3" xfId="0" applyNumberFormat="1" applyFont="1" applyBorder="1"/>
    <xf numFmtId="3" fontId="32" fillId="0" borderId="1" xfId="0" applyNumberFormat="1" applyFont="1" applyBorder="1"/>
    <xf numFmtId="3" fontId="27" fillId="0" borderId="21" xfId="0" applyNumberFormat="1" applyFont="1" applyBorder="1"/>
    <xf numFmtId="3" fontId="27" fillId="0" borderId="1" xfId="0" applyNumberFormat="1" applyFont="1" applyBorder="1"/>
    <xf numFmtId="3" fontId="26" fillId="0" borderId="6" xfId="0" applyNumberFormat="1" applyFont="1" applyBorder="1"/>
    <xf numFmtId="0" fontId="20" fillId="0" borderId="0" xfId="0" applyFont="1" applyAlignment="1">
      <alignment horizontal="left"/>
    </xf>
    <xf numFmtId="165" fontId="6" fillId="0" borderId="0" xfId="0" applyNumberFormat="1" applyFont="1"/>
    <xf numFmtId="0" fontId="20" fillId="0" borderId="0" xfId="0" applyFont="1"/>
    <xf numFmtId="165" fontId="20" fillId="0" borderId="0" xfId="0" applyNumberFormat="1" applyFont="1"/>
    <xf numFmtId="173" fontId="128" fillId="2" borderId="7" xfId="3" applyNumberFormat="1" applyFont="1" applyFill="1" applyBorder="1" applyAlignment="1">
      <alignment horizontal="left"/>
    </xf>
    <xf numFmtId="49" fontId="129" fillId="0" borderId="7" xfId="1043" applyNumberFormat="1" applyFont="1" applyBorder="1"/>
    <xf numFmtId="0" fontId="129" fillId="78" borderId="68" xfId="0" applyFont="1" applyFill="1" applyBorder="1"/>
    <xf numFmtId="173" fontId="131" fillId="35" borderId="7" xfId="3" applyNumberFormat="1" applyFont="1" applyFill="1" applyBorder="1" applyAlignment="1">
      <alignment wrapText="1"/>
    </xf>
    <xf numFmtId="0" fontId="113" fillId="15" borderId="7" xfId="0" applyFont="1" applyFill="1" applyBorder="1" applyAlignment="1">
      <alignment horizontal="center" vertical="center"/>
    </xf>
    <xf numFmtId="0" fontId="132" fillId="79" borderId="7" xfId="0" applyFont="1" applyFill="1" applyBorder="1" applyAlignment="1">
      <alignment vertical="center"/>
    </xf>
    <xf numFmtId="168" fontId="16" fillId="0" borderId="7" xfId="1044" applyNumberFormat="1" applyFont="1" applyFill="1" applyBorder="1"/>
    <xf numFmtId="173" fontId="16" fillId="0" borderId="7" xfId="3" applyNumberFormat="1" applyFont="1" applyBorder="1"/>
    <xf numFmtId="165" fontId="12" fillId="0" borderId="0" xfId="13" applyNumberFormat="1" applyFont="1"/>
    <xf numFmtId="0" fontId="5" fillId="0" borderId="0" xfId="1043" applyFont="1"/>
    <xf numFmtId="0" fontId="126" fillId="0" borderId="41" xfId="1043" applyFont="1" applyBorder="1" applyAlignment="1">
      <alignment horizontal="center"/>
    </xf>
    <xf numFmtId="171" fontId="5" fillId="0" borderId="0" xfId="1043" applyNumberFormat="1" applyFont="1"/>
    <xf numFmtId="173" fontId="5" fillId="0" borderId="0" xfId="3" applyNumberFormat="1" applyFont="1" applyFill="1"/>
    <xf numFmtId="173" fontId="5" fillId="0" borderId="0" xfId="3" applyNumberFormat="1" applyFont="1"/>
    <xf numFmtId="168" fontId="5" fillId="0" borderId="0" xfId="60" applyNumberFormat="1" applyFont="1"/>
    <xf numFmtId="173" fontId="5" fillId="0" borderId="0" xfId="1043" applyNumberFormat="1" applyFont="1"/>
    <xf numFmtId="0" fontId="126" fillId="0" borderId="0" xfId="1043" applyFont="1"/>
    <xf numFmtId="173" fontId="5" fillId="0" borderId="7" xfId="3" applyNumberFormat="1" applyFont="1" applyBorder="1"/>
    <xf numFmtId="168" fontId="5" fillId="0" borderId="7" xfId="1043" applyNumberFormat="1" applyFont="1" applyBorder="1"/>
    <xf numFmtId="0" fontId="5" fillId="0" borderId="7" xfId="1043" applyFont="1" applyBorder="1"/>
    <xf numFmtId="168" fontId="5" fillId="15" borderId="7" xfId="1044" applyNumberFormat="1" applyFont="1" applyFill="1" applyBorder="1"/>
    <xf numFmtId="168" fontId="5" fillId="4" borderId="7" xfId="1044" applyNumberFormat="1" applyFont="1" applyFill="1" applyBorder="1"/>
    <xf numFmtId="0" fontId="5" fillId="0" borderId="7" xfId="1043" applyFont="1" applyBorder="1" applyAlignment="1">
      <alignment horizontal="left"/>
    </xf>
    <xf numFmtId="168" fontId="5" fillId="76" borderId="7" xfId="1044" applyNumberFormat="1" applyFont="1" applyFill="1" applyBorder="1"/>
    <xf numFmtId="168" fontId="5" fillId="0" borderId="7" xfId="1044" applyNumberFormat="1" applyFont="1" applyFill="1" applyBorder="1"/>
    <xf numFmtId="49" fontId="5" fillId="0" borderId="7" xfId="1043" applyNumberFormat="1" applyFont="1" applyBorder="1" applyAlignment="1">
      <alignment horizontal="left"/>
    </xf>
    <xf numFmtId="0" fontId="5" fillId="0" borderId="7" xfId="0" applyFont="1" applyBorder="1"/>
    <xf numFmtId="168" fontId="133" fillId="0" borderId="7" xfId="1044" applyNumberFormat="1" applyFont="1" applyFill="1" applyBorder="1"/>
    <xf numFmtId="0" fontId="5" fillId="0" borderId="68" xfId="0" applyFont="1" applyBorder="1"/>
    <xf numFmtId="168" fontId="133" fillId="0" borderId="37" xfId="1044" applyNumberFormat="1" applyFont="1" applyFill="1" applyBorder="1"/>
    <xf numFmtId="173" fontId="5" fillId="0" borderId="37" xfId="3" applyNumberFormat="1" applyFont="1" applyBorder="1"/>
    <xf numFmtId="173" fontId="5" fillId="0" borderId="7" xfId="3" applyNumberFormat="1" applyFont="1" applyFill="1" applyBorder="1"/>
    <xf numFmtId="173" fontId="5" fillId="0" borderId="69" xfId="3" applyNumberFormat="1" applyFont="1" applyBorder="1"/>
    <xf numFmtId="168" fontId="5" fillId="0" borderId="37" xfId="1044" applyNumberFormat="1" applyFont="1" applyFill="1" applyBorder="1"/>
    <xf numFmtId="168" fontId="5" fillId="0" borderId="0" xfId="1044" applyNumberFormat="1" applyFont="1" applyFill="1"/>
    <xf numFmtId="168" fontId="129" fillId="4" borderId="7" xfId="1044" applyNumberFormat="1" applyFont="1" applyFill="1" applyBorder="1"/>
    <xf numFmtId="168" fontId="5" fillId="0" borderId="36" xfId="1044" applyNumberFormat="1" applyFont="1" applyFill="1" applyBorder="1"/>
    <xf numFmtId="0" fontId="5" fillId="0" borderId="70" xfId="0" applyFont="1" applyBorder="1"/>
    <xf numFmtId="0" fontId="5" fillId="0" borderId="36" xfId="1043" applyFont="1" applyBorder="1"/>
    <xf numFmtId="173" fontId="5" fillId="0" borderId="7" xfId="1044" applyNumberFormat="1" applyFont="1" applyFill="1" applyBorder="1"/>
    <xf numFmtId="168" fontId="5" fillId="4" borderId="7" xfId="3" applyNumberFormat="1" applyFont="1" applyFill="1" applyBorder="1"/>
    <xf numFmtId="0" fontId="5" fillId="15" borderId="7" xfId="0" applyFont="1" applyFill="1" applyBorder="1"/>
    <xf numFmtId="49" fontId="5" fillId="0" borderId="7" xfId="1043" applyNumberFormat="1" applyFont="1" applyBorder="1"/>
    <xf numFmtId="0" fontId="5" fillId="0" borderId="7" xfId="0" applyFont="1" applyBorder="1" applyAlignment="1">
      <alignment horizontal="center"/>
    </xf>
    <xf numFmtId="173" fontId="5" fillId="0" borderId="7" xfId="3" applyNumberFormat="1" applyFont="1" applyBorder="1" applyAlignment="1">
      <alignment horizontal="center"/>
    </xf>
    <xf numFmtId="0" fontId="5" fillId="0" borderId="7" xfId="0" applyFont="1" applyBorder="1" applyAlignment="1">
      <alignment horizontal="right"/>
    </xf>
    <xf numFmtId="168" fontId="5" fillId="0" borderId="7" xfId="3" applyNumberFormat="1" applyFont="1" applyFill="1" applyBorder="1"/>
    <xf numFmtId="173" fontId="128" fillId="75" borderId="41" xfId="3" applyNumberFormat="1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165" fontId="0" fillId="0" borderId="25" xfId="0" applyNumberFormat="1" applyBorder="1"/>
    <xf numFmtId="0" fontId="5" fillId="4" borderId="7" xfId="1043" applyFont="1" applyFill="1" applyBorder="1"/>
    <xf numFmtId="173" fontId="5" fillId="4" borderId="7" xfId="3" applyNumberFormat="1" applyFont="1" applyFill="1" applyBorder="1"/>
    <xf numFmtId="168" fontId="5" fillId="4" borderId="7" xfId="1043" applyNumberFormat="1" applyFont="1" applyFill="1" applyBorder="1"/>
    <xf numFmtId="0" fontId="5" fillId="4" borderId="0" xfId="1043" applyFont="1" applyFill="1"/>
    <xf numFmtId="0" fontId="51" fillId="80" borderId="71" xfId="0" applyFont="1" applyFill="1" applyBorder="1"/>
    <xf numFmtId="165" fontId="51" fillId="80" borderId="72" xfId="0" applyNumberFormat="1" applyFont="1" applyFill="1" applyBorder="1"/>
    <xf numFmtId="0" fontId="51" fillId="80" borderId="73" xfId="0" applyFont="1" applyFill="1" applyBorder="1" applyAlignment="1">
      <alignment horizontal="left"/>
    </xf>
    <xf numFmtId="165" fontId="51" fillId="80" borderId="74" xfId="0" applyNumberFormat="1" applyFont="1" applyFill="1" applyBorder="1"/>
    <xf numFmtId="0" fontId="20" fillId="0" borderId="0" xfId="1056" applyFont="1" applyAlignment="1">
      <alignment horizontal="left"/>
    </xf>
    <xf numFmtId="165" fontId="12" fillId="0" borderId="0" xfId="1056" applyNumberFormat="1" applyFont="1"/>
    <xf numFmtId="0" fontId="20" fillId="0" borderId="0" xfId="1056" applyFont="1"/>
    <xf numFmtId="0" fontId="12" fillId="0" borderId="0" xfId="1056" applyFont="1"/>
    <xf numFmtId="165" fontId="20" fillId="0" borderId="0" xfId="1056" applyNumberFormat="1" applyFont="1"/>
    <xf numFmtId="0" fontId="4" fillId="0" borderId="0" xfId="1043" applyFont="1"/>
    <xf numFmtId="0" fontId="20" fillId="0" borderId="0" xfId="1071" applyFont="1" applyAlignment="1">
      <alignment horizontal="left"/>
    </xf>
    <xf numFmtId="165" fontId="12" fillId="0" borderId="0" xfId="1071" applyNumberFormat="1" applyFont="1"/>
    <xf numFmtId="0" fontId="20" fillId="0" borderId="0" xfId="1071" applyFont="1"/>
    <xf numFmtId="0" fontId="12" fillId="0" borderId="0" xfId="1071" applyFont="1"/>
    <xf numFmtId="165" fontId="20" fillId="0" borderId="0" xfId="1071" applyNumberFormat="1" applyFont="1"/>
    <xf numFmtId="165" fontId="12" fillId="76" borderId="7" xfId="0" applyNumberFormat="1" applyFont="1" applyFill="1" applyBorder="1"/>
    <xf numFmtId="1" fontId="12" fillId="0" borderId="0" xfId="0" applyNumberFormat="1" applyFont="1"/>
    <xf numFmtId="0" fontId="21" fillId="15" borderId="7" xfId="0" applyFont="1" applyFill="1" applyBorder="1"/>
    <xf numFmtId="1" fontId="12" fillId="15" borderId="0" xfId="0" applyNumberFormat="1" applyFont="1" applyFill="1"/>
    <xf numFmtId="0" fontId="3" fillId="0" borderId="0" xfId="0" applyFont="1"/>
    <xf numFmtId="1" fontId="3" fillId="0" borderId="0" xfId="0" applyNumberFormat="1" applyFont="1"/>
    <xf numFmtId="168" fontId="19" fillId="0" borderId="0" xfId="3" applyNumberFormat="1" applyFont="1" applyFill="1" applyAlignment="1">
      <alignment horizontal="center"/>
    </xf>
    <xf numFmtId="168" fontId="7" fillId="0" borderId="0" xfId="3" applyNumberFormat="1" applyFont="1" applyFill="1"/>
    <xf numFmtId="0" fontId="20" fillId="0" borderId="0" xfId="1075" applyFont="1" applyAlignment="1">
      <alignment horizontal="left"/>
    </xf>
    <xf numFmtId="165" fontId="12" fillId="0" borderId="0" xfId="1075" applyNumberFormat="1" applyFont="1"/>
    <xf numFmtId="0" fontId="20" fillId="0" borderId="0" xfId="1075" applyFont="1"/>
    <xf numFmtId="0" fontId="12" fillId="0" borderId="0" xfId="1075" applyFont="1"/>
    <xf numFmtId="165" fontId="20" fillId="0" borderId="0" xfId="1075" applyNumberFormat="1" applyFont="1"/>
    <xf numFmtId="167" fontId="53" fillId="0" borderId="2" xfId="1" applyNumberFormat="1" applyFont="1" applyBorder="1" applyAlignment="1">
      <alignment vertical="center"/>
    </xf>
    <xf numFmtId="165" fontId="54" fillId="0" borderId="2" xfId="1" applyNumberFormat="1" applyFont="1" applyBorder="1" applyAlignment="1">
      <alignment vertical="center"/>
    </xf>
    <xf numFmtId="167" fontId="53" fillId="2" borderId="2" xfId="5" applyNumberFormat="1" applyFont="1" applyFill="1" applyBorder="1" applyAlignment="1">
      <alignment vertical="center"/>
    </xf>
    <xf numFmtId="166" fontId="54" fillId="0" borderId="2" xfId="1" applyNumberFormat="1" applyFont="1" applyBorder="1" applyAlignment="1">
      <alignment vertical="center"/>
    </xf>
    <xf numFmtId="14" fontId="53" fillId="0" borderId="0" xfId="1" applyNumberFormat="1" applyFont="1" applyAlignment="1">
      <alignment horizontal="center" vertical="center" textRotation="255"/>
    </xf>
    <xf numFmtId="165" fontId="54" fillId="0" borderId="0" xfId="1" applyNumberFormat="1" applyFont="1" applyAlignment="1">
      <alignment vertical="center"/>
    </xf>
    <xf numFmtId="166" fontId="54" fillId="0" borderId="0" xfId="1" applyNumberFormat="1" applyFont="1" applyAlignment="1">
      <alignment vertical="center"/>
    </xf>
    <xf numFmtId="166" fontId="57" fillId="0" borderId="0" xfId="1" applyNumberFormat="1" applyFont="1" applyAlignment="1">
      <alignment vertical="center"/>
    </xf>
    <xf numFmtId="167" fontId="53" fillId="0" borderId="0" xfId="1" applyNumberFormat="1" applyFont="1" applyAlignment="1">
      <alignment vertical="center"/>
    </xf>
    <xf numFmtId="167" fontId="53" fillId="2" borderId="0" xfId="5" applyNumberFormat="1" applyFont="1" applyFill="1" applyBorder="1" applyAlignment="1">
      <alignment vertical="center"/>
    </xf>
    <xf numFmtId="166" fontId="53" fillId="0" borderId="0" xfId="1" applyNumberFormat="1" applyFont="1" applyAlignment="1">
      <alignment vertical="center"/>
    </xf>
    <xf numFmtId="14" fontId="64" fillId="0" borderId="40" xfId="1" applyNumberFormat="1" applyFont="1" applyBorder="1" applyAlignment="1">
      <alignment horizontal="center" vertical="center"/>
    </xf>
    <xf numFmtId="165" fontId="52" fillId="0" borderId="2" xfId="1" applyNumberFormat="1" applyFont="1" applyBorder="1"/>
    <xf numFmtId="168" fontId="52" fillId="0" borderId="2" xfId="3" applyNumberFormat="1" applyFont="1" applyBorder="1"/>
    <xf numFmtId="0" fontId="11" fillId="15" borderId="1" xfId="1" applyFill="1" applyBorder="1"/>
    <xf numFmtId="167" fontId="53" fillId="0" borderId="1" xfId="1" applyNumberFormat="1" applyFont="1" applyBorder="1" applyAlignment="1">
      <alignment vertical="center"/>
    </xf>
    <xf numFmtId="166" fontId="57" fillId="0" borderId="1" xfId="1" applyNumberFormat="1" applyFont="1" applyBorder="1" applyAlignment="1">
      <alignment vertical="center"/>
    </xf>
    <xf numFmtId="165" fontId="54" fillId="0" borderId="1" xfId="1" applyNumberFormat="1" applyFont="1" applyBorder="1" applyAlignment="1">
      <alignment vertical="center"/>
    </xf>
    <xf numFmtId="167" fontId="53" fillId="2" borderId="1" xfId="5" applyNumberFormat="1" applyFont="1" applyFill="1" applyBorder="1" applyAlignment="1">
      <alignment vertical="center"/>
    </xf>
    <xf numFmtId="166" fontId="54" fillId="0" borderId="1" xfId="1" applyNumberFormat="1" applyFont="1" applyBorder="1" applyAlignment="1">
      <alignment vertical="center"/>
    </xf>
    <xf numFmtId="166" fontId="53" fillId="0" borderId="1" xfId="1" applyNumberFormat="1" applyFont="1" applyBorder="1" applyAlignment="1">
      <alignment vertical="center"/>
    </xf>
    <xf numFmtId="49" fontId="64" fillId="0" borderId="39" xfId="1" applyNumberFormat="1" applyFont="1" applyBorder="1" applyAlignment="1">
      <alignment horizontal="center" vertical="center"/>
    </xf>
    <xf numFmtId="165" fontId="52" fillId="0" borderId="0" xfId="1" applyNumberFormat="1" applyFont="1"/>
    <xf numFmtId="168" fontId="52" fillId="0" borderId="0" xfId="3" applyNumberFormat="1" applyFont="1" applyBorder="1"/>
    <xf numFmtId="168" fontId="52" fillId="0" borderId="5" xfId="3" applyNumberFormat="1" applyFont="1" applyBorder="1"/>
    <xf numFmtId="168" fontId="56" fillId="0" borderId="39" xfId="3" applyNumberFormat="1" applyFont="1" applyBorder="1"/>
    <xf numFmtId="168" fontId="56" fillId="0" borderId="23" xfId="3" applyNumberFormat="1" applyFont="1" applyBorder="1"/>
    <xf numFmtId="168" fontId="55" fillId="0" borderId="39" xfId="3" applyNumberFormat="1" applyFont="1" applyBorder="1"/>
    <xf numFmtId="168" fontId="55" fillId="2" borderId="0" xfId="3" applyNumberFormat="1" applyFont="1" applyFill="1" applyBorder="1"/>
    <xf numFmtId="168" fontId="55" fillId="0" borderId="0" xfId="3" applyNumberFormat="1" applyFont="1" applyBorder="1"/>
    <xf numFmtId="168" fontId="53" fillId="0" borderId="5" xfId="3" applyNumberFormat="1" applyFont="1" applyBorder="1"/>
    <xf numFmtId="0" fontId="11" fillId="15" borderId="2" xfId="1" applyFill="1" applyBorder="1"/>
    <xf numFmtId="166" fontId="57" fillId="0" borderId="2" xfId="1" applyNumberFormat="1" applyFont="1" applyBorder="1" applyAlignment="1">
      <alignment vertical="center"/>
    </xf>
    <xf numFmtId="166" fontId="53" fillId="0" borderId="2" xfId="1" applyNumberFormat="1" applyFont="1" applyBorder="1" applyAlignment="1">
      <alignment vertical="center"/>
    </xf>
    <xf numFmtId="0" fontId="20" fillId="0" borderId="0" xfId="1076" applyFont="1" applyAlignment="1">
      <alignment horizontal="left"/>
    </xf>
    <xf numFmtId="165" fontId="12" fillId="0" borderId="0" xfId="1076" applyNumberFormat="1" applyFont="1"/>
    <xf numFmtId="0" fontId="20" fillId="0" borderId="0" xfId="1076" applyFont="1"/>
    <xf numFmtId="0" fontId="12" fillId="0" borderId="0" xfId="1076" applyFont="1"/>
    <xf numFmtId="165" fontId="20" fillId="0" borderId="0" xfId="1076" applyNumberFormat="1" applyFont="1"/>
    <xf numFmtId="165" fontId="117" fillId="0" borderId="0" xfId="0" applyNumberFormat="1" applyFont="1"/>
    <xf numFmtId="0" fontId="137" fillId="80" borderId="77" xfId="0" applyFont="1" applyFill="1" applyBorder="1"/>
    <xf numFmtId="165" fontId="137" fillId="80" borderId="77" xfId="0" applyNumberFormat="1" applyFont="1" applyFill="1" applyBorder="1"/>
    <xf numFmtId="0" fontId="137" fillId="80" borderId="78" xfId="0" applyFont="1" applyFill="1" applyBorder="1" applyAlignment="1">
      <alignment horizontal="left"/>
    </xf>
    <xf numFmtId="165" fontId="137" fillId="80" borderId="78" xfId="0" applyNumberFormat="1" applyFont="1" applyFill="1" applyBorder="1"/>
    <xf numFmtId="0" fontId="21" fillId="0" borderId="0" xfId="1078"/>
    <xf numFmtId="0" fontId="113" fillId="0" borderId="7" xfId="1078" applyFont="1" applyBorder="1"/>
    <xf numFmtId="169" fontId="113" fillId="0" borderId="7" xfId="1078" applyNumberFormat="1" applyFont="1" applyBorder="1"/>
    <xf numFmtId="0" fontId="138" fillId="0" borderId="7" xfId="1078" applyFont="1" applyBorder="1"/>
    <xf numFmtId="0" fontId="113" fillId="0" borderId="7" xfId="0" applyFont="1" applyBorder="1"/>
    <xf numFmtId="0" fontId="2" fillId="0" borderId="0" xfId="0" applyFont="1"/>
    <xf numFmtId="1" fontId="19" fillId="3" borderId="0" xfId="0" applyNumberFormat="1" applyFont="1" applyFill="1" applyAlignment="1">
      <alignment horizontal="center"/>
    </xf>
    <xf numFmtId="1" fontId="2" fillId="0" borderId="0" xfId="0" applyNumberFormat="1" applyFont="1"/>
    <xf numFmtId="49" fontId="19" fillId="3" borderId="0" xfId="0" applyNumberFormat="1" applyFont="1" applyFill="1" applyAlignment="1">
      <alignment horizontal="center"/>
    </xf>
    <xf numFmtId="165" fontId="19" fillId="3" borderId="0" xfId="0" applyNumberFormat="1" applyFont="1" applyFill="1" applyAlignment="1">
      <alignment horizontal="left"/>
    </xf>
    <xf numFmtId="0" fontId="12" fillId="15" borderId="0" xfId="0" applyFont="1" applyFill="1"/>
    <xf numFmtId="165" fontId="12" fillId="15" borderId="0" xfId="0" applyNumberFormat="1" applyFont="1" applyFill="1" applyAlignment="1">
      <alignment vertical="center"/>
    </xf>
    <xf numFmtId="165" fontId="20" fillId="15" borderId="0" xfId="0" applyNumberFormat="1" applyFont="1" applyFill="1" applyAlignment="1">
      <alignment vertical="center"/>
    </xf>
    <xf numFmtId="0" fontId="12" fillId="15" borderId="0" xfId="0" applyFont="1" applyFill="1" applyAlignment="1">
      <alignment vertical="center"/>
    </xf>
    <xf numFmtId="169" fontId="12" fillId="15" borderId="0" xfId="0" applyNumberFormat="1" applyFont="1" applyFill="1" applyAlignment="1">
      <alignment vertical="center"/>
    </xf>
    <xf numFmtId="169" fontId="18" fillId="15" borderId="7" xfId="0" applyNumberFormat="1" applyFont="1" applyFill="1" applyBorder="1"/>
    <xf numFmtId="0" fontId="139" fillId="15" borderId="0" xfId="0" applyFont="1" applyFill="1" applyAlignment="1">
      <alignment vertical="center"/>
    </xf>
    <xf numFmtId="165" fontId="139" fillId="15" borderId="0" xfId="0" applyNumberFormat="1" applyFont="1" applyFill="1" applyAlignment="1">
      <alignment vertical="center"/>
    </xf>
    <xf numFmtId="0" fontId="1" fillId="0" borderId="0" xfId="1080" applyFont="1"/>
    <xf numFmtId="14" fontId="126" fillId="0" borderId="41" xfId="1080" applyNumberFormat="1" applyFont="1" applyBorder="1" applyAlignment="1">
      <alignment horizontal="center"/>
    </xf>
    <xf numFmtId="171" fontId="1" fillId="0" borderId="0" xfId="1080" applyNumberFormat="1" applyFont="1"/>
    <xf numFmtId="173" fontId="12" fillId="15" borderId="0" xfId="1081" applyNumberFormat="1" applyFont="1" applyFill="1"/>
    <xf numFmtId="173" fontId="1" fillId="0" borderId="0" xfId="1077" applyNumberFormat="1" applyFont="1"/>
    <xf numFmtId="0" fontId="128" fillId="2" borderId="7" xfId="1082" applyFont="1" applyFill="1" applyBorder="1" applyAlignment="1">
      <alignment horizontal="left"/>
    </xf>
    <xf numFmtId="43" fontId="128" fillId="2" borderId="7" xfId="1077" applyFont="1" applyFill="1" applyBorder="1" applyAlignment="1">
      <alignment horizontal="left"/>
    </xf>
    <xf numFmtId="173" fontId="128" fillId="15" borderId="7" xfId="1081" applyNumberFormat="1" applyFont="1" applyFill="1" applyBorder="1" applyAlignment="1">
      <alignment horizontal="left"/>
    </xf>
    <xf numFmtId="173" fontId="128" fillId="2" borderId="7" xfId="1081" applyNumberFormat="1" applyFont="1" applyFill="1" applyBorder="1" applyAlignment="1">
      <alignment horizontal="left"/>
    </xf>
    <xf numFmtId="0" fontId="1" fillId="0" borderId="7" xfId="1080" applyFont="1" applyBorder="1"/>
    <xf numFmtId="0" fontId="1" fillId="0" borderId="75" xfId="1080" applyFont="1" applyBorder="1"/>
    <xf numFmtId="0" fontId="1" fillId="0" borderId="7" xfId="1080" applyFont="1" applyBorder="1" applyAlignment="1">
      <alignment horizontal="center" vertical="center"/>
    </xf>
    <xf numFmtId="173" fontId="12" fillId="4" borderId="7" xfId="1077" applyNumberFormat="1" applyFont="1" applyFill="1" applyBorder="1"/>
    <xf numFmtId="173" fontId="12" fillId="0" borderId="7" xfId="1077" applyNumberFormat="1" applyFont="1" applyFill="1" applyBorder="1"/>
    <xf numFmtId="0" fontId="12" fillId="0" borderId="7" xfId="1080" applyFont="1" applyBorder="1"/>
    <xf numFmtId="173" fontId="12" fillId="4" borderId="36" xfId="1077" applyNumberFormat="1" applyFont="1" applyFill="1" applyBorder="1"/>
    <xf numFmtId="0" fontId="1" fillId="0" borderId="75" xfId="1080" applyFont="1" applyBorder="1" applyAlignment="1">
      <alignment horizontal="center" vertical="center"/>
    </xf>
    <xf numFmtId="0" fontId="1" fillId="0" borderId="69" xfId="1080" applyFont="1" applyBorder="1"/>
    <xf numFmtId="173" fontId="12" fillId="4" borderId="37" xfId="1077" applyNumberFormat="1" applyFont="1" applyFill="1" applyBorder="1"/>
    <xf numFmtId="0" fontId="1" fillId="0" borderId="36" xfId="1080" applyFont="1" applyBorder="1"/>
    <xf numFmtId="173" fontId="12" fillId="0" borderId="79" xfId="1081" applyNumberFormat="1" applyFont="1" applyFill="1" applyBorder="1"/>
    <xf numFmtId="173" fontId="1" fillId="0" borderId="36" xfId="1081" applyNumberFormat="1" applyFont="1" applyFill="1" applyBorder="1" applyAlignment="1">
      <alignment horizontal="center" vertical="center"/>
    </xf>
    <xf numFmtId="173" fontId="1" fillId="4" borderId="36" xfId="1077" applyNumberFormat="1" applyFont="1" applyFill="1" applyBorder="1"/>
    <xf numFmtId="49" fontId="1" fillId="0" borderId="7" xfId="1080" applyNumberFormat="1" applyFont="1" applyBorder="1"/>
    <xf numFmtId="0" fontId="1" fillId="0" borderId="7" xfId="1082" applyFont="1" applyBorder="1" applyAlignment="1">
      <alignment horizontal="center" vertical="center"/>
    </xf>
    <xf numFmtId="173" fontId="12" fillId="81" borderId="36" xfId="1077" applyNumberFormat="1" applyFont="1" applyFill="1" applyBorder="1"/>
    <xf numFmtId="168" fontId="1" fillId="0" borderId="7" xfId="1080" applyNumberFormat="1" applyFont="1" applyBorder="1"/>
    <xf numFmtId="0" fontId="1" fillId="0" borderId="37" xfId="1080" applyFont="1" applyBorder="1"/>
    <xf numFmtId="0" fontId="1" fillId="0" borderId="76" xfId="1080" applyFont="1" applyBorder="1" applyAlignment="1">
      <alignment horizontal="center" vertical="center"/>
    </xf>
    <xf numFmtId="173" fontId="12" fillId="0" borderId="7" xfId="1081" applyNumberFormat="1" applyFont="1" applyFill="1" applyBorder="1"/>
    <xf numFmtId="173" fontId="1" fillId="0" borderId="7" xfId="1081" applyNumberFormat="1" applyFont="1" applyFill="1" applyBorder="1" applyAlignment="1">
      <alignment horizontal="center" vertical="center"/>
    </xf>
    <xf numFmtId="173" fontId="1" fillId="0" borderId="37" xfId="1077" applyNumberFormat="1" applyFont="1" applyFill="1" applyBorder="1"/>
    <xf numFmtId="173" fontId="1" fillId="0" borderId="7" xfId="1077" applyNumberFormat="1" applyFont="1" applyFill="1" applyBorder="1"/>
    <xf numFmtId="49" fontId="129" fillId="0" borderId="36" xfId="1080" applyNumberFormat="1" applyFont="1" applyBorder="1"/>
    <xf numFmtId="0" fontId="129" fillId="0" borderId="36" xfId="1080" applyFont="1" applyBorder="1"/>
    <xf numFmtId="0" fontId="129" fillId="0" borderId="80" xfId="1080" applyFont="1" applyBorder="1" applyAlignment="1">
      <alignment horizontal="center" vertical="center"/>
    </xf>
    <xf numFmtId="173" fontId="129" fillId="4" borderId="7" xfId="1077" applyNumberFormat="1" applyFont="1" applyFill="1" applyBorder="1"/>
    <xf numFmtId="173" fontId="12" fillId="81" borderId="37" xfId="1077" applyNumberFormat="1" applyFont="1" applyFill="1" applyBorder="1"/>
    <xf numFmtId="173" fontId="12" fillId="0" borderId="37" xfId="1081" applyNumberFormat="1" applyFont="1" applyFill="1" applyBorder="1"/>
    <xf numFmtId="173" fontId="1" fillId="0" borderId="37" xfId="1081" applyNumberFormat="1" applyFont="1" applyFill="1" applyBorder="1" applyAlignment="1">
      <alignment horizontal="center" vertical="center"/>
    </xf>
    <xf numFmtId="173" fontId="1" fillId="4" borderId="37" xfId="1077" applyNumberFormat="1" applyFont="1" applyFill="1" applyBorder="1"/>
    <xf numFmtId="173" fontId="12" fillId="0" borderId="0" xfId="1081" applyNumberFormat="1" applyFont="1" applyFill="1" applyBorder="1"/>
    <xf numFmtId="173" fontId="1" fillId="0" borderId="0" xfId="1081" applyNumberFormat="1" applyFont="1" applyFill="1" applyBorder="1" applyAlignment="1">
      <alignment horizontal="center" vertical="center"/>
    </xf>
    <xf numFmtId="173" fontId="1" fillId="0" borderId="75" xfId="1081" applyNumberFormat="1" applyFont="1" applyFill="1" applyBorder="1" applyAlignment="1">
      <alignment horizontal="center" vertical="center"/>
    </xf>
    <xf numFmtId="173" fontId="1" fillId="4" borderId="7" xfId="1077" applyNumberFormat="1" applyFont="1" applyFill="1" applyBorder="1"/>
    <xf numFmtId="173" fontId="12" fillId="0" borderId="36" xfId="1081" applyNumberFormat="1" applyFont="1" applyFill="1" applyBorder="1"/>
    <xf numFmtId="173" fontId="1" fillId="0" borderId="80" xfId="1081" applyNumberFormat="1" applyFont="1" applyFill="1" applyBorder="1" applyAlignment="1">
      <alignment horizontal="center" vertical="center"/>
    </xf>
    <xf numFmtId="173" fontId="1" fillId="0" borderId="36" xfId="1077" applyNumberFormat="1" applyFont="1" applyFill="1" applyBorder="1"/>
    <xf numFmtId="173" fontId="12" fillId="81" borderId="7" xfId="1077" applyNumberFormat="1" applyFont="1" applyFill="1" applyBorder="1"/>
    <xf numFmtId="173" fontId="1" fillId="0" borderId="76" xfId="1081" applyNumberFormat="1" applyFont="1" applyFill="1" applyBorder="1" applyAlignment="1">
      <alignment horizontal="center" vertical="center"/>
    </xf>
    <xf numFmtId="0" fontId="12" fillId="0" borderId="68" xfId="1083" applyFont="1" applyBorder="1"/>
    <xf numFmtId="0" fontId="12" fillId="0" borderId="70" xfId="1083" applyFont="1" applyBorder="1"/>
    <xf numFmtId="0" fontId="1" fillId="0" borderId="36" xfId="1080" applyFont="1" applyBorder="1" applyAlignment="1">
      <alignment horizontal="center" vertical="center"/>
    </xf>
    <xf numFmtId="0" fontId="129" fillId="0" borderId="7" xfId="1080" applyFont="1" applyBorder="1"/>
    <xf numFmtId="0" fontId="129" fillId="0" borderId="7" xfId="1080" applyFont="1" applyBorder="1" applyAlignment="1">
      <alignment horizontal="center" vertical="center"/>
    </xf>
    <xf numFmtId="173" fontId="16" fillId="81" borderId="7" xfId="1077" applyNumberFormat="1" applyFont="1" applyFill="1" applyBorder="1"/>
    <xf numFmtId="173" fontId="16" fillId="0" borderId="7" xfId="1077" applyNumberFormat="1" applyFont="1" applyFill="1" applyBorder="1"/>
    <xf numFmtId="173" fontId="129" fillId="81" borderId="7" xfId="1077" applyNumberFormat="1" applyFont="1" applyFill="1" applyBorder="1"/>
    <xf numFmtId="173" fontId="129" fillId="0" borderId="7" xfId="1077" applyNumberFormat="1" applyFont="1" applyFill="1" applyBorder="1"/>
    <xf numFmtId="0" fontId="12" fillId="0" borderId="81" xfId="1083" applyFont="1" applyBorder="1"/>
    <xf numFmtId="173" fontId="12" fillId="0" borderId="0" xfId="1077" applyNumberFormat="1" applyFont="1" applyFill="1"/>
    <xf numFmtId="0" fontId="132" fillId="79" borderId="5" xfId="1083" applyFont="1" applyFill="1" applyBorder="1" applyAlignment="1">
      <alignment vertical="center"/>
    </xf>
    <xf numFmtId="0" fontId="132" fillId="79" borderId="0" xfId="1083" applyFont="1" applyFill="1" applyAlignment="1">
      <alignment vertical="center"/>
    </xf>
    <xf numFmtId="173" fontId="12" fillId="0" borderId="36" xfId="1077" applyNumberFormat="1" applyFont="1" applyFill="1" applyBorder="1"/>
    <xf numFmtId="0" fontId="12" fillId="0" borderId="7" xfId="1083" applyFont="1" applyBorder="1"/>
    <xf numFmtId="173" fontId="12" fillId="0" borderId="0" xfId="1077" applyNumberFormat="1" applyFont="1" applyFill="1" applyBorder="1"/>
    <xf numFmtId="0" fontId="12" fillId="15" borderId="7" xfId="1083" applyFont="1" applyFill="1" applyBorder="1"/>
    <xf numFmtId="0" fontId="12" fillId="0" borderId="7" xfId="1080" applyFont="1" applyBorder="1" applyAlignment="1">
      <alignment horizontal="center" vertical="center"/>
    </xf>
    <xf numFmtId="0" fontId="1" fillId="15" borderId="7" xfId="1080" applyFont="1" applyFill="1" applyBorder="1"/>
    <xf numFmtId="0" fontId="1" fillId="15" borderId="7" xfId="1080" applyFont="1" applyFill="1" applyBorder="1" applyAlignment="1">
      <alignment horizontal="center" vertical="center"/>
    </xf>
    <xf numFmtId="0" fontId="12" fillId="0" borderId="7" xfId="1083" applyFont="1" applyBorder="1" applyAlignment="1">
      <alignment horizontal="center" vertical="center"/>
    </xf>
    <xf numFmtId="173" fontId="12" fillId="0" borderId="7" xfId="1077" applyNumberFormat="1" applyFont="1" applyFill="1" applyBorder="1" applyAlignment="1">
      <alignment horizontal="right"/>
    </xf>
    <xf numFmtId="49" fontId="1" fillId="0" borderId="0" xfId="1080" applyNumberFormat="1" applyFont="1"/>
    <xf numFmtId="0" fontId="1" fillId="0" borderId="0" xfId="1080" applyFont="1" applyAlignment="1">
      <alignment horizontal="center" vertical="center"/>
    </xf>
    <xf numFmtId="173" fontId="1" fillId="4" borderId="0" xfId="1077" applyNumberFormat="1" applyFont="1" applyFill="1"/>
    <xf numFmtId="173" fontId="12" fillId="4" borderId="0" xfId="1077" applyNumberFormat="1" applyFont="1" applyFill="1"/>
    <xf numFmtId="173" fontId="12" fillId="4" borderId="7" xfId="1077" applyNumberFormat="1" applyFont="1" applyFill="1" applyBorder="1" applyAlignment="1">
      <alignment horizontal="center" vertical="center"/>
    </xf>
    <xf numFmtId="173" fontId="1" fillId="81" borderId="7" xfId="1077" applyNumberFormat="1" applyFont="1" applyFill="1" applyBorder="1"/>
    <xf numFmtId="173" fontId="1" fillId="81" borderId="36" xfId="1077" applyNumberFormat="1" applyFont="1" applyFill="1" applyBorder="1"/>
    <xf numFmtId="173" fontId="1" fillId="81" borderId="38" xfId="1077" applyNumberFormat="1" applyFont="1" applyFill="1" applyBorder="1"/>
    <xf numFmtId="173" fontId="1" fillId="81" borderId="37" xfId="1077" applyNumberFormat="1" applyFont="1" applyFill="1" applyBorder="1"/>
    <xf numFmtId="173" fontId="12" fillId="0" borderId="0" xfId="1081" applyNumberFormat="1" applyFont="1" applyFill="1"/>
    <xf numFmtId="173" fontId="12" fillId="4" borderId="7" xfId="1081" applyNumberFormat="1" applyFont="1" applyFill="1" applyBorder="1"/>
    <xf numFmtId="173" fontId="12" fillId="4" borderId="0" xfId="1081" applyNumberFormat="1" applyFont="1" applyFill="1"/>
    <xf numFmtId="178" fontId="35" fillId="10" borderId="0" xfId="6" applyNumberFormat="1" applyFont="1" applyFill="1" applyAlignment="1">
      <alignment horizontal="center" vertical="center"/>
    </xf>
    <xf numFmtId="0" fontId="20" fillId="0" borderId="0" xfId="1079" applyFont="1" applyAlignment="1">
      <alignment horizontal="left"/>
    </xf>
    <xf numFmtId="165" fontId="12" fillId="0" borderId="0" xfId="1079" applyNumberFormat="1" applyFont="1"/>
    <xf numFmtId="0" fontId="20" fillId="0" borderId="0" xfId="1079" applyFont="1"/>
    <xf numFmtId="0" fontId="12" fillId="0" borderId="0" xfId="1079" applyFont="1"/>
    <xf numFmtId="165" fontId="20" fillId="0" borderId="0" xfId="1079" applyNumberFormat="1" applyFont="1"/>
    <xf numFmtId="49" fontId="0" fillId="15" borderId="0" xfId="0" applyNumberFormat="1" applyFill="1"/>
    <xf numFmtId="0" fontId="0" fillId="15" borderId="0" xfId="0" applyFill="1"/>
    <xf numFmtId="0" fontId="13" fillId="15" borderId="0" xfId="0" applyFont="1" applyFill="1"/>
    <xf numFmtId="0" fontId="14" fillId="15" borderId="0" xfId="0" applyFont="1" applyFill="1"/>
    <xf numFmtId="14" fontId="0" fillId="15" borderId="0" xfId="0" applyNumberFormat="1" applyFill="1"/>
    <xf numFmtId="0" fontId="25" fillId="15" borderId="0" xfId="0" applyFont="1" applyFill="1" applyAlignment="1">
      <alignment vertical="center"/>
    </xf>
    <xf numFmtId="0" fontId="0" fillId="15" borderId="2" xfId="0" applyFill="1" applyBorder="1"/>
    <xf numFmtId="0" fontId="0" fillId="15" borderId="80" xfId="0" applyFill="1" applyBorder="1"/>
    <xf numFmtId="0" fontId="0" fillId="15" borderId="79" xfId="0" applyFill="1" applyBorder="1"/>
    <xf numFmtId="14" fontId="141" fillId="15" borderId="80" xfId="0" applyNumberFormat="1" applyFont="1" applyFill="1" applyBorder="1" applyAlignment="1">
      <alignment horizontal="center"/>
    </xf>
    <xf numFmtId="14" fontId="142" fillId="15" borderId="36" xfId="1" applyNumberFormat="1" applyFont="1" applyFill="1" applyBorder="1" applyAlignment="1">
      <alignment horizontal="center" vertical="center" textRotation="255"/>
    </xf>
    <xf numFmtId="14" fontId="141" fillId="15" borderId="82" xfId="0" applyNumberFormat="1" applyFont="1" applyFill="1" applyBorder="1" applyAlignment="1">
      <alignment horizontal="center"/>
    </xf>
    <xf numFmtId="0" fontId="0" fillId="15" borderId="17" xfId="0" applyFill="1" applyBorder="1"/>
    <xf numFmtId="0" fontId="0" fillId="15" borderId="18" xfId="0" applyFill="1" applyBorder="1"/>
    <xf numFmtId="165" fontId="0" fillId="15" borderId="17" xfId="0" applyNumberFormat="1" applyFill="1" applyBorder="1"/>
    <xf numFmtId="165" fontId="0" fillId="15" borderId="38" xfId="0" applyNumberFormat="1" applyFill="1" applyBorder="1"/>
    <xf numFmtId="165" fontId="0" fillId="15" borderId="0" xfId="0" applyNumberFormat="1" applyFill="1"/>
    <xf numFmtId="0" fontId="143" fillId="15" borderId="17" xfId="0" applyFont="1" applyFill="1" applyBorder="1"/>
    <xf numFmtId="171" fontId="0" fillId="15" borderId="0" xfId="0" applyNumberFormat="1" applyFill="1"/>
    <xf numFmtId="0" fontId="11" fillId="15" borderId="18" xfId="0" applyFont="1" applyFill="1" applyBorder="1"/>
    <xf numFmtId="3" fontId="0" fillId="15" borderId="17" xfId="0" applyNumberFormat="1" applyFill="1" applyBorder="1"/>
    <xf numFmtId="166" fontId="0" fillId="15" borderId="38" xfId="0" applyNumberFormat="1" applyFill="1" applyBorder="1"/>
    <xf numFmtId="3" fontId="0" fillId="15" borderId="0" xfId="0" applyNumberFormat="1" applyFill="1"/>
    <xf numFmtId="3" fontId="143" fillId="15" borderId="83" xfId="0" applyNumberFormat="1" applyFont="1" applyFill="1" applyBorder="1"/>
    <xf numFmtId="166" fontId="143" fillId="15" borderId="84" xfId="0" applyNumberFormat="1" applyFont="1" applyFill="1" applyBorder="1"/>
    <xf numFmtId="3" fontId="143" fillId="15" borderId="23" xfId="0" applyNumberFormat="1" applyFont="1" applyFill="1" applyBorder="1"/>
    <xf numFmtId="167" fontId="144" fillId="15" borderId="38" xfId="1" applyNumberFormat="1" applyFont="1" applyFill="1" applyBorder="1" applyAlignment="1">
      <alignment vertical="center"/>
    </xf>
    <xf numFmtId="9" fontId="145" fillId="15" borderId="84" xfId="2" applyFont="1" applyFill="1" applyBorder="1" applyAlignment="1">
      <alignment vertical="center"/>
    </xf>
    <xf numFmtId="0" fontId="146" fillId="15" borderId="17" xfId="0" applyFont="1" applyFill="1" applyBorder="1"/>
    <xf numFmtId="3" fontId="146" fillId="15" borderId="83" xfId="0" applyNumberFormat="1" applyFont="1" applyFill="1" applyBorder="1"/>
    <xf numFmtId="167" fontId="144" fillId="15" borderId="84" xfId="1" applyNumberFormat="1" applyFont="1" applyFill="1" applyBorder="1" applyAlignment="1">
      <alignment vertical="center"/>
    </xf>
    <xf numFmtId="3" fontId="146" fillId="15" borderId="23" xfId="0" applyNumberFormat="1" applyFont="1" applyFill="1" applyBorder="1"/>
    <xf numFmtId="165" fontId="11" fillId="15" borderId="0" xfId="0" applyNumberFormat="1" applyFont="1" applyFill="1"/>
    <xf numFmtId="166" fontId="144" fillId="15" borderId="38" xfId="0" applyNumberFormat="1" applyFont="1" applyFill="1" applyBorder="1"/>
    <xf numFmtId="166" fontId="146" fillId="15" borderId="84" xfId="0" applyNumberFormat="1" applyFont="1" applyFill="1" applyBorder="1"/>
    <xf numFmtId="0" fontId="147" fillId="15" borderId="17" xfId="0" applyFont="1" applyFill="1" applyBorder="1"/>
    <xf numFmtId="3" fontId="147" fillId="15" borderId="17" xfId="0" applyNumberFormat="1" applyFont="1" applyFill="1" applyBorder="1"/>
    <xf numFmtId="166" fontId="147" fillId="15" borderId="38" xfId="0" applyNumberFormat="1" applyFont="1" applyFill="1" applyBorder="1"/>
    <xf numFmtId="3" fontId="147" fillId="15" borderId="0" xfId="0" applyNumberFormat="1" applyFont="1" applyFill="1"/>
    <xf numFmtId="0" fontId="0" fillId="15" borderId="76" xfId="0" applyFill="1" applyBorder="1"/>
    <xf numFmtId="0" fontId="0" fillId="15" borderId="85" xfId="0" applyFill="1" applyBorder="1"/>
    <xf numFmtId="3" fontId="0" fillId="15" borderId="37" xfId="0" applyNumberFormat="1" applyFill="1" applyBorder="1"/>
    <xf numFmtId="165" fontId="0" fillId="15" borderId="37" xfId="0" applyNumberFormat="1" applyFill="1" applyBorder="1"/>
    <xf numFmtId="3" fontId="0" fillId="15" borderId="76" xfId="0" applyNumberFormat="1" applyFill="1" applyBorder="1"/>
    <xf numFmtId="10" fontId="0" fillId="15" borderId="0" xfId="2" applyNumberFormat="1" applyFont="1" applyFill="1"/>
    <xf numFmtId="0" fontId="32" fillId="0" borderId="0" xfId="1085" applyFont="1" applyAlignment="1">
      <alignment horizontal="left"/>
    </xf>
    <xf numFmtId="0" fontId="148" fillId="0" borderId="0" xfId="1085" applyFont="1" applyAlignment="1">
      <alignment horizontal="centerContinuous"/>
    </xf>
    <xf numFmtId="3" fontId="149" fillId="0" borderId="0" xfId="4" applyNumberFormat="1" applyFont="1" applyAlignment="1">
      <alignment horizontal="center" vertical="center"/>
    </xf>
    <xf numFmtId="3" fontId="30" fillId="0" borderId="0" xfId="1085" applyNumberFormat="1" applyAlignment="1">
      <alignment horizontal="right"/>
    </xf>
    <xf numFmtId="165" fontId="150" fillId="0" borderId="0" xfId="1085" applyNumberFormat="1" applyFont="1" applyAlignment="1">
      <alignment horizontal="right"/>
    </xf>
    <xf numFmtId="0" fontId="30" fillId="0" borderId="0" xfId="1085"/>
    <xf numFmtId="1" fontId="32" fillId="0" borderId="29" xfId="4" applyNumberFormat="1" applyFont="1" applyBorder="1" applyAlignment="1">
      <alignment horizontal="left" vertical="center"/>
    </xf>
    <xf numFmtId="1" fontId="32" fillId="0" borderId="29" xfId="4" applyNumberFormat="1" applyFont="1" applyBorder="1" applyAlignment="1">
      <alignment horizontal="center" vertical="center"/>
    </xf>
    <xf numFmtId="0" fontId="32" fillId="71" borderId="0" xfId="1085" applyFont="1" applyFill="1" applyAlignment="1">
      <alignment horizontal="left" vertical="center"/>
    </xf>
    <xf numFmtId="3" fontId="32" fillId="0" borderId="29" xfId="4" applyNumberFormat="1" applyFont="1" applyBorder="1" applyAlignment="1">
      <alignment horizontal="center" vertical="center"/>
    </xf>
    <xf numFmtId="0" fontId="32" fillId="71" borderId="0" xfId="1085" applyFont="1" applyFill="1" applyAlignment="1">
      <alignment horizontal="center" vertical="center"/>
    </xf>
    <xf numFmtId="0" fontId="30" fillId="71" borderId="0" xfId="1085" applyFill="1"/>
    <xf numFmtId="3" fontId="32" fillId="0" borderId="0" xfId="1085" applyNumberFormat="1" applyFont="1" applyAlignment="1">
      <alignment horizontal="center" vertical="center"/>
    </xf>
    <xf numFmtId="0" fontId="32" fillId="0" borderId="86" xfId="1085" applyFont="1" applyBorder="1" applyAlignment="1">
      <alignment horizontal="left" vertical="center"/>
    </xf>
    <xf numFmtId="0" fontId="32" fillId="0" borderId="0" xfId="1085" applyFont="1" applyAlignment="1">
      <alignment horizontal="left" vertical="center"/>
    </xf>
    <xf numFmtId="3" fontId="32" fillId="0" borderId="86" xfId="1085" applyNumberFormat="1" applyFont="1" applyBorder="1" applyAlignment="1">
      <alignment horizontal="center" vertical="center"/>
    </xf>
    <xf numFmtId="0" fontId="32" fillId="0" borderId="0" xfId="1085" applyFont="1" applyAlignment="1">
      <alignment horizontal="center" vertical="center"/>
    </xf>
    <xf numFmtId="0" fontId="30" fillId="0" borderId="0" xfId="1085" applyAlignment="1">
      <alignment horizontal="left" vertical="center"/>
    </xf>
    <xf numFmtId="3" fontId="32" fillId="0" borderId="0" xfId="1085" applyNumberFormat="1" applyFont="1" applyAlignment="1">
      <alignment horizontal="right" vertical="center"/>
    </xf>
    <xf numFmtId="3" fontId="30" fillId="0" borderId="0" xfId="1085" applyNumberFormat="1" applyAlignment="1">
      <alignment horizontal="right" vertical="center"/>
    </xf>
    <xf numFmtId="165" fontId="30" fillId="0" borderId="0" xfId="1085" applyNumberFormat="1" applyAlignment="1">
      <alignment horizontal="right" vertical="center"/>
    </xf>
    <xf numFmtId="3" fontId="30" fillId="0" borderId="0" xfId="1085" applyNumberFormat="1"/>
    <xf numFmtId="165" fontId="30" fillId="0" borderId="0" xfId="1085" applyNumberFormat="1"/>
    <xf numFmtId="0" fontId="30" fillId="0" borderId="0" xfId="1085" applyAlignment="1">
      <alignment horizontal="left" vertical="center" wrapText="1"/>
    </xf>
    <xf numFmtId="165" fontId="150" fillId="0" borderId="87" xfId="4" applyNumberFormat="1" applyFont="1" applyBorder="1" applyAlignment="1">
      <alignment horizontal="left" vertical="center"/>
    </xf>
    <xf numFmtId="165" fontId="30" fillId="0" borderId="87" xfId="4" applyNumberFormat="1" applyFont="1" applyBorder="1" applyAlignment="1">
      <alignment horizontal="left" vertical="center"/>
    </xf>
    <xf numFmtId="3" fontId="150" fillId="0" borderId="87" xfId="4" applyNumberFormat="1" applyFont="1" applyBorder="1" applyAlignment="1">
      <alignment vertical="center"/>
    </xf>
    <xf numFmtId="3" fontId="32" fillId="71" borderId="0" xfId="1085" applyNumberFormat="1" applyFont="1" applyFill="1" applyAlignment="1">
      <alignment horizontal="right" vertical="center"/>
    </xf>
    <xf numFmtId="0" fontId="30" fillId="0" borderId="87" xfId="1085" applyBorder="1"/>
    <xf numFmtId="0" fontId="30" fillId="71" borderId="87" xfId="1085" applyFill="1" applyBorder="1" applyAlignment="1">
      <alignment horizontal="left" vertical="center"/>
    </xf>
    <xf numFmtId="0" fontId="30" fillId="71" borderId="0" xfId="1085" applyFill="1" applyAlignment="1">
      <alignment horizontal="left" vertical="center"/>
    </xf>
    <xf numFmtId="3" fontId="30" fillId="0" borderId="87" xfId="1085" applyNumberFormat="1" applyBorder="1" applyAlignment="1">
      <alignment horizontal="left" vertical="center"/>
    </xf>
    <xf numFmtId="3" fontId="30" fillId="71" borderId="0" xfId="1085" applyNumberFormat="1" applyFill="1" applyAlignment="1">
      <alignment horizontal="left" vertical="center"/>
    </xf>
    <xf numFmtId="3" fontId="30" fillId="0" borderId="0" xfId="1085" applyNumberFormat="1" applyAlignment="1">
      <alignment horizontal="left" vertical="center"/>
    </xf>
    <xf numFmtId="3" fontId="30" fillId="0" borderId="0" xfId="1085" applyNumberFormat="1" applyAlignment="1">
      <alignment horizontal="right" vertical="center" wrapText="1"/>
    </xf>
    <xf numFmtId="0" fontId="150" fillId="71" borderId="87" xfId="1085" applyFont="1" applyFill="1" applyBorder="1" applyAlignment="1">
      <alignment horizontal="left" vertical="center"/>
    </xf>
    <xf numFmtId="0" fontId="150" fillId="71" borderId="0" xfId="1085" applyFont="1" applyFill="1" applyAlignment="1">
      <alignment horizontal="left" vertical="center"/>
    </xf>
    <xf numFmtId="3" fontId="150" fillId="0" borderId="87" xfId="1085" applyNumberFormat="1" applyFont="1" applyBorder="1" applyAlignment="1">
      <alignment horizontal="right" vertical="center"/>
    </xf>
    <xf numFmtId="3" fontId="150" fillId="71" borderId="0" xfId="1085" applyNumberFormat="1" applyFont="1" applyFill="1" applyAlignment="1">
      <alignment horizontal="right" vertical="center"/>
    </xf>
    <xf numFmtId="0" fontId="151" fillId="0" borderId="0" xfId="4" applyFont="1"/>
    <xf numFmtId="165" fontId="32" fillId="71" borderId="0" xfId="1085" applyNumberFormat="1" applyFont="1" applyFill="1" applyAlignment="1">
      <alignment horizontal="right" vertical="center"/>
    </xf>
    <xf numFmtId="165" fontId="30" fillId="0" borderId="87" xfId="4" applyNumberFormat="1" applyFont="1" applyBorder="1" applyAlignment="1">
      <alignment horizontal="left" vertical="center" wrapText="1"/>
    </xf>
    <xf numFmtId="165" fontId="150" fillId="0" borderId="87" xfId="4" applyNumberFormat="1" applyFont="1" applyBorder="1" applyAlignment="1">
      <alignment vertical="center"/>
    </xf>
    <xf numFmtId="0" fontId="30" fillId="71" borderId="87" xfId="1085" applyFill="1" applyBorder="1" applyAlignment="1">
      <alignment vertical="center"/>
    </xf>
    <xf numFmtId="0" fontId="30" fillId="71" borderId="0" xfId="1085" applyFill="1" applyAlignment="1">
      <alignment vertical="center"/>
    </xf>
    <xf numFmtId="3" fontId="30" fillId="0" borderId="87" xfId="1085" applyNumberFormat="1" applyBorder="1" applyAlignment="1">
      <alignment horizontal="right" vertical="center"/>
    </xf>
    <xf numFmtId="3" fontId="30" fillId="71" borderId="0" xfId="1085" applyNumberFormat="1" applyFill="1" applyAlignment="1">
      <alignment horizontal="right" vertical="center"/>
    </xf>
    <xf numFmtId="0" fontId="30" fillId="0" borderId="0" xfId="1085" applyAlignment="1">
      <alignment vertical="center"/>
    </xf>
    <xf numFmtId="0" fontId="30" fillId="0" borderId="88" xfId="1085" applyBorder="1"/>
    <xf numFmtId="0" fontId="30" fillId="0" borderId="88" xfId="1085" applyBorder="1" applyAlignment="1">
      <alignment vertical="center"/>
    </xf>
    <xf numFmtId="3" fontId="30" fillId="0" borderId="88" xfId="1085" applyNumberFormat="1" applyBorder="1" applyAlignment="1">
      <alignment horizontal="right" vertical="center"/>
    </xf>
    <xf numFmtId="14" fontId="38" fillId="12" borderId="0" xfId="6" applyNumberFormat="1" applyFont="1" applyFill="1" applyAlignment="1">
      <alignment horizontal="center" vertical="center"/>
    </xf>
    <xf numFmtId="0" fontId="38" fillId="11" borderId="2" xfId="6" applyFont="1" applyFill="1" applyBorder="1" applyAlignment="1">
      <alignment horizontal="center" vertical="center"/>
    </xf>
    <xf numFmtId="167" fontId="38" fillId="12" borderId="0" xfId="2" applyNumberFormat="1" applyFont="1" applyFill="1" applyBorder="1" applyAlignment="1">
      <alignment horizontal="center" vertical="center" wrapText="1"/>
    </xf>
    <xf numFmtId="167" fontId="38" fillId="12" borderId="0" xfId="5" applyNumberFormat="1" applyFont="1" applyFill="1" applyBorder="1" applyAlignment="1">
      <alignment horizontal="center" vertical="center" wrapText="1"/>
    </xf>
    <xf numFmtId="165" fontId="26" fillId="15" borderId="0" xfId="0" applyNumberFormat="1" applyFont="1" applyFill="1" applyAlignment="1">
      <alignment vertical="center"/>
    </xf>
    <xf numFmtId="165" fontId="105" fillId="72" borderId="2" xfId="0" applyNumberFormat="1" applyFont="1" applyFill="1" applyBorder="1" applyAlignment="1">
      <alignment horizontal="center" vertical="center"/>
    </xf>
    <xf numFmtId="165" fontId="105" fillId="72" borderId="0" xfId="0" applyNumberFormat="1" applyFont="1" applyFill="1" applyAlignment="1">
      <alignment horizontal="center" vertical="center"/>
    </xf>
    <xf numFmtId="165" fontId="105" fillId="72" borderId="25" xfId="0" applyNumberFormat="1" applyFont="1" applyFill="1" applyBorder="1" applyAlignment="1">
      <alignment horizontal="center" vertical="center"/>
    </xf>
    <xf numFmtId="165" fontId="27" fillId="71" borderId="40" xfId="0" applyNumberFormat="1" applyFont="1" applyFill="1" applyBorder="1" applyAlignment="1">
      <alignment horizontal="left" vertical="center"/>
    </xf>
    <xf numFmtId="165" fontId="27" fillId="71" borderId="42" xfId="0" applyNumberFormat="1" applyFont="1" applyFill="1" applyBorder="1" applyAlignment="1">
      <alignment horizontal="left" vertical="center"/>
    </xf>
  </cellXfs>
  <cellStyles count="1086">
    <cellStyle name="20 % - Accent1 10" xfId="382" xr:uid="{00000000-0005-0000-0000-000000000000}"/>
    <cellStyle name="20 % - Accent1 11" xfId="17" xr:uid="{00000000-0005-0000-0000-000001000000}"/>
    <cellStyle name="20 % - Accent1 2" xfId="84" xr:uid="{00000000-0005-0000-0000-000002000000}"/>
    <cellStyle name="20 % - Accent1 2 2" xfId="160" xr:uid="{00000000-0005-0000-0000-000003000000}"/>
    <cellStyle name="20 % - Accent1 2 2 2" xfId="323" xr:uid="{00000000-0005-0000-0000-000004000000}"/>
    <cellStyle name="20 % - Accent1 2 2 3" xfId="905" xr:uid="{00000000-0005-0000-0000-000005000000}"/>
    <cellStyle name="20 % - Accent1 2 3" xfId="256" xr:uid="{00000000-0005-0000-0000-000006000000}"/>
    <cellStyle name="20 % - Accent1 2 3 2" xfId="500" xr:uid="{00000000-0005-0000-0000-000007000000}"/>
    <cellStyle name="20 % - Accent1 2 3 3" xfId="1004" xr:uid="{00000000-0005-0000-0000-000008000000}"/>
    <cellStyle name="20 % - Accent1 2 4" xfId="619" xr:uid="{00000000-0005-0000-0000-000009000000}"/>
    <cellStyle name="20 % - Accent1 2 5" xfId="703" xr:uid="{00000000-0005-0000-0000-00000A000000}"/>
    <cellStyle name="20 % - Accent1 2 6" xfId="782" xr:uid="{00000000-0005-0000-0000-00000B000000}"/>
    <cellStyle name="20 % - Accent1 2 7" xfId="784" xr:uid="{00000000-0005-0000-0000-00000C000000}"/>
    <cellStyle name="20 % - Accent1 2 8" xfId="421" xr:uid="{00000000-0005-0000-0000-00000D000000}"/>
    <cellStyle name="20 % - Accent1 3" xfId="126" xr:uid="{00000000-0005-0000-0000-00000E000000}"/>
    <cellStyle name="20 % - Accent1 3 2" xfId="366" xr:uid="{00000000-0005-0000-0000-00000F000000}"/>
    <cellStyle name="20 % - Accent1 3 3" xfId="938" xr:uid="{00000000-0005-0000-0000-000010000000}"/>
    <cellStyle name="20 % - Accent1 4" xfId="191" xr:uid="{00000000-0005-0000-0000-000011000000}"/>
    <cellStyle name="20 % - Accent1 4 2" xfId="422" xr:uid="{00000000-0005-0000-0000-000012000000}"/>
    <cellStyle name="20 % - Accent1 4 3" xfId="962" xr:uid="{00000000-0005-0000-0000-000013000000}"/>
    <cellStyle name="20 % - Accent1 5" xfId="232" xr:uid="{00000000-0005-0000-0000-000014000000}"/>
    <cellStyle name="20 % - Accent1 5 2" xfId="409" xr:uid="{00000000-0005-0000-0000-000015000000}"/>
    <cellStyle name="20 % - Accent1 5 3" xfId="960" xr:uid="{00000000-0005-0000-0000-000016000000}"/>
    <cellStyle name="20 % - Accent1 6" xfId="545" xr:uid="{00000000-0005-0000-0000-000017000000}"/>
    <cellStyle name="20 % - Accent1 7" xfId="630" xr:uid="{00000000-0005-0000-0000-000018000000}"/>
    <cellStyle name="20 % - Accent1 8" xfId="714" xr:uid="{00000000-0005-0000-0000-000019000000}"/>
    <cellStyle name="20 % - Accent1 9" xfId="837" xr:uid="{00000000-0005-0000-0000-00001A000000}"/>
    <cellStyle name="20 % - Accent2 10" xfId="414" xr:uid="{00000000-0005-0000-0000-00001B000000}"/>
    <cellStyle name="20 % - Accent2 11" xfId="18" xr:uid="{00000000-0005-0000-0000-00001C000000}"/>
    <cellStyle name="20 % - Accent2 2" xfId="88" xr:uid="{00000000-0005-0000-0000-00001D000000}"/>
    <cellStyle name="20 % - Accent2 2 2" xfId="162" xr:uid="{00000000-0005-0000-0000-00001E000000}"/>
    <cellStyle name="20 % - Accent2 2 2 2" xfId="327" xr:uid="{00000000-0005-0000-0000-00001F000000}"/>
    <cellStyle name="20 % - Accent2 2 2 3" xfId="909" xr:uid="{00000000-0005-0000-0000-000020000000}"/>
    <cellStyle name="20 % - Accent2 2 3" xfId="257" xr:uid="{00000000-0005-0000-0000-000021000000}"/>
    <cellStyle name="20 % - Accent2 2 3 2" xfId="504" xr:uid="{00000000-0005-0000-0000-000022000000}"/>
    <cellStyle name="20 % - Accent2 2 3 3" xfId="1006" xr:uid="{00000000-0005-0000-0000-000023000000}"/>
    <cellStyle name="20 % - Accent2 2 4" xfId="611" xr:uid="{00000000-0005-0000-0000-000024000000}"/>
    <cellStyle name="20 % - Accent2 2 5" xfId="695" xr:uid="{00000000-0005-0000-0000-000025000000}"/>
    <cellStyle name="20 % - Accent2 2 6" xfId="775" xr:uid="{00000000-0005-0000-0000-000026000000}"/>
    <cellStyle name="20 % - Accent2 2 7" xfId="799" xr:uid="{00000000-0005-0000-0000-000027000000}"/>
    <cellStyle name="20 % - Accent2 2 8" xfId="385" xr:uid="{00000000-0005-0000-0000-000028000000}"/>
    <cellStyle name="20 % - Accent2 3" xfId="151" xr:uid="{00000000-0005-0000-0000-000029000000}"/>
    <cellStyle name="20 % - Accent2 3 2" xfId="387" xr:uid="{00000000-0005-0000-0000-00002A000000}"/>
    <cellStyle name="20 % - Accent2 3 3" xfId="944" xr:uid="{00000000-0005-0000-0000-00002B000000}"/>
    <cellStyle name="20 % - Accent2 4" xfId="195" xr:uid="{00000000-0005-0000-0000-00002C000000}"/>
    <cellStyle name="20 % - Accent2 4 2" xfId="426" xr:uid="{00000000-0005-0000-0000-00002D000000}"/>
    <cellStyle name="20 % - Accent2 4 3" xfId="964" xr:uid="{00000000-0005-0000-0000-00002E000000}"/>
    <cellStyle name="20 % - Accent2 5" xfId="236" xr:uid="{00000000-0005-0000-0000-00002F000000}"/>
    <cellStyle name="20 % - Accent2 5 2" xfId="406" xr:uid="{00000000-0005-0000-0000-000030000000}"/>
    <cellStyle name="20 % - Accent2 5 3" xfId="957" xr:uid="{00000000-0005-0000-0000-000031000000}"/>
    <cellStyle name="20 % - Accent2 6" xfId="603" xr:uid="{00000000-0005-0000-0000-000032000000}"/>
    <cellStyle name="20 % - Accent2 7" xfId="687" xr:uid="{00000000-0005-0000-0000-000033000000}"/>
    <cellStyle name="20 % - Accent2 8" xfId="768" xr:uid="{00000000-0005-0000-0000-000034000000}"/>
    <cellStyle name="20 % - Accent2 9" xfId="791" xr:uid="{00000000-0005-0000-0000-000035000000}"/>
    <cellStyle name="20 % - Accent3 10" xfId="417" xr:uid="{00000000-0005-0000-0000-000036000000}"/>
    <cellStyle name="20 % - Accent3 11" xfId="19" xr:uid="{00000000-0005-0000-0000-000037000000}"/>
    <cellStyle name="20 % - Accent3 2" xfId="92" xr:uid="{00000000-0005-0000-0000-000038000000}"/>
    <cellStyle name="20 % - Accent3 2 2" xfId="164" xr:uid="{00000000-0005-0000-0000-000039000000}"/>
    <cellStyle name="20 % - Accent3 2 2 2" xfId="331" xr:uid="{00000000-0005-0000-0000-00003A000000}"/>
    <cellStyle name="20 % - Accent3 2 2 3" xfId="913" xr:uid="{00000000-0005-0000-0000-00003B000000}"/>
    <cellStyle name="20 % - Accent3 2 3" xfId="258" xr:uid="{00000000-0005-0000-0000-00003C000000}"/>
    <cellStyle name="20 % - Accent3 2 3 2" xfId="508" xr:uid="{00000000-0005-0000-0000-00003D000000}"/>
    <cellStyle name="20 % - Accent3 2 3 3" xfId="1008" xr:uid="{00000000-0005-0000-0000-00003E000000}"/>
    <cellStyle name="20 % - Accent3 2 4" xfId="626" xr:uid="{00000000-0005-0000-0000-00003F000000}"/>
    <cellStyle name="20 % - Accent3 2 5" xfId="710" xr:uid="{00000000-0005-0000-0000-000040000000}"/>
    <cellStyle name="20 % - Accent3 2 6" xfId="789" xr:uid="{00000000-0005-0000-0000-000041000000}"/>
    <cellStyle name="20 % - Accent3 2 7" xfId="821" xr:uid="{00000000-0005-0000-0000-000042000000}"/>
    <cellStyle name="20 % - Accent3 2 8" xfId="444" xr:uid="{00000000-0005-0000-0000-000043000000}"/>
    <cellStyle name="20 % - Accent3 3" xfId="108" xr:uid="{00000000-0005-0000-0000-000044000000}"/>
    <cellStyle name="20 % - Accent3 3 2" xfId="348" xr:uid="{00000000-0005-0000-0000-000045000000}"/>
    <cellStyle name="20 % - Accent3 3 3" xfId="929" xr:uid="{00000000-0005-0000-0000-000046000000}"/>
    <cellStyle name="20 % - Accent3 4" xfId="199" xr:uid="{00000000-0005-0000-0000-000047000000}"/>
    <cellStyle name="20 % - Accent3 4 2" xfId="430" xr:uid="{00000000-0005-0000-0000-000048000000}"/>
    <cellStyle name="20 % - Accent3 4 3" xfId="966" xr:uid="{00000000-0005-0000-0000-000049000000}"/>
    <cellStyle name="20 % - Accent3 5" xfId="240" xr:uid="{00000000-0005-0000-0000-00004A000000}"/>
    <cellStyle name="20 % - Accent3 5 2" xfId="403" xr:uid="{00000000-0005-0000-0000-00004B000000}"/>
    <cellStyle name="20 % - Accent3 5 3" xfId="955" xr:uid="{00000000-0005-0000-0000-00004C000000}"/>
    <cellStyle name="20 % - Accent3 6" xfId="543" xr:uid="{00000000-0005-0000-0000-00004D000000}"/>
    <cellStyle name="20 % - Accent3 7" xfId="628" xr:uid="{00000000-0005-0000-0000-00004E000000}"/>
    <cellStyle name="20 % - Accent3 8" xfId="712" xr:uid="{00000000-0005-0000-0000-00004F000000}"/>
    <cellStyle name="20 % - Accent3 9" xfId="829" xr:uid="{00000000-0005-0000-0000-000050000000}"/>
    <cellStyle name="20 % - Accent4 10" xfId="418" xr:uid="{00000000-0005-0000-0000-000051000000}"/>
    <cellStyle name="20 % - Accent4 11" xfId="20" xr:uid="{00000000-0005-0000-0000-000052000000}"/>
    <cellStyle name="20 % - Accent4 2" xfId="96" xr:uid="{00000000-0005-0000-0000-000053000000}"/>
    <cellStyle name="20 % - Accent4 2 2" xfId="167" xr:uid="{00000000-0005-0000-0000-000054000000}"/>
    <cellStyle name="20 % - Accent4 2 2 2" xfId="335" xr:uid="{00000000-0005-0000-0000-000055000000}"/>
    <cellStyle name="20 % - Accent4 2 2 3" xfId="917" xr:uid="{00000000-0005-0000-0000-000056000000}"/>
    <cellStyle name="20 % - Accent4 2 3" xfId="259" xr:uid="{00000000-0005-0000-0000-000057000000}"/>
    <cellStyle name="20 % - Accent4 2 3 2" xfId="512" xr:uid="{00000000-0005-0000-0000-000058000000}"/>
    <cellStyle name="20 % - Accent4 2 3 3" xfId="1010" xr:uid="{00000000-0005-0000-0000-000059000000}"/>
    <cellStyle name="20 % - Accent4 2 4" xfId="587" xr:uid="{00000000-0005-0000-0000-00005A000000}"/>
    <cellStyle name="20 % - Accent4 2 5" xfId="672" xr:uid="{00000000-0005-0000-0000-00005B000000}"/>
    <cellStyle name="20 % - Accent4 2 6" xfId="753" xr:uid="{00000000-0005-0000-0000-00005C000000}"/>
    <cellStyle name="20 % - Accent4 2 7" xfId="824" xr:uid="{00000000-0005-0000-0000-00005D000000}"/>
    <cellStyle name="20 % - Accent4 2 8" xfId="356" xr:uid="{00000000-0005-0000-0000-00005E000000}"/>
    <cellStyle name="20 % - Accent4 3" xfId="111" xr:uid="{00000000-0005-0000-0000-00005F000000}"/>
    <cellStyle name="20 % - Accent4 3 2" xfId="351" xr:uid="{00000000-0005-0000-0000-000060000000}"/>
    <cellStyle name="20 % - Accent4 3 3" xfId="930" xr:uid="{00000000-0005-0000-0000-000061000000}"/>
    <cellStyle name="20 % - Accent4 4" xfId="203" xr:uid="{00000000-0005-0000-0000-000062000000}"/>
    <cellStyle name="20 % - Accent4 4 2" xfId="434" xr:uid="{00000000-0005-0000-0000-000063000000}"/>
    <cellStyle name="20 % - Accent4 4 3" xfId="968" xr:uid="{00000000-0005-0000-0000-000064000000}"/>
    <cellStyle name="20 % - Accent4 5" xfId="244" xr:uid="{00000000-0005-0000-0000-000065000000}"/>
    <cellStyle name="20 % - Accent4 5 2" xfId="400" xr:uid="{00000000-0005-0000-0000-000066000000}"/>
    <cellStyle name="20 % - Accent4 5 3" xfId="952" xr:uid="{00000000-0005-0000-0000-000067000000}"/>
    <cellStyle name="20 % - Accent4 6" xfId="592" xr:uid="{00000000-0005-0000-0000-000068000000}"/>
    <cellStyle name="20 % - Accent4 7" xfId="677" xr:uid="{00000000-0005-0000-0000-000069000000}"/>
    <cellStyle name="20 % - Accent4 8" xfId="757" xr:uid="{00000000-0005-0000-0000-00006A000000}"/>
    <cellStyle name="20 % - Accent4 9" xfId="795" xr:uid="{00000000-0005-0000-0000-00006B000000}"/>
    <cellStyle name="20 % - Accent5 10" xfId="437" xr:uid="{00000000-0005-0000-0000-00006C000000}"/>
    <cellStyle name="20 % - Accent5 11" xfId="21" xr:uid="{00000000-0005-0000-0000-00006D000000}"/>
    <cellStyle name="20 % - Accent5 2" xfId="100" xr:uid="{00000000-0005-0000-0000-00006E000000}"/>
    <cellStyle name="20 % - Accent5 2 2" xfId="170" xr:uid="{00000000-0005-0000-0000-00006F000000}"/>
    <cellStyle name="20 % - Accent5 2 2 2" xfId="339" xr:uid="{00000000-0005-0000-0000-000070000000}"/>
    <cellStyle name="20 % - Accent5 2 2 3" xfId="921" xr:uid="{00000000-0005-0000-0000-000071000000}"/>
    <cellStyle name="20 % - Accent5 2 3" xfId="260" xr:uid="{00000000-0005-0000-0000-000072000000}"/>
    <cellStyle name="20 % - Accent5 2 3 2" xfId="516" xr:uid="{00000000-0005-0000-0000-000073000000}"/>
    <cellStyle name="20 % - Accent5 2 3 3" xfId="1012" xr:uid="{00000000-0005-0000-0000-000074000000}"/>
    <cellStyle name="20 % - Accent5 2 4" xfId="583" xr:uid="{00000000-0005-0000-0000-000075000000}"/>
    <cellStyle name="20 % - Accent5 2 5" xfId="668" xr:uid="{00000000-0005-0000-0000-000076000000}"/>
    <cellStyle name="20 % - Accent5 2 6" xfId="749" xr:uid="{00000000-0005-0000-0000-000077000000}"/>
    <cellStyle name="20 % - Accent5 2 7" xfId="845" xr:uid="{00000000-0005-0000-0000-000078000000}"/>
    <cellStyle name="20 % - Accent5 2 8" xfId="440" xr:uid="{00000000-0005-0000-0000-000079000000}"/>
    <cellStyle name="20 % - Accent5 3" xfId="113" xr:uid="{00000000-0005-0000-0000-00007A000000}"/>
    <cellStyle name="20 % - Accent5 3 2" xfId="353" xr:uid="{00000000-0005-0000-0000-00007B000000}"/>
    <cellStyle name="20 % - Accent5 3 3" xfId="931" xr:uid="{00000000-0005-0000-0000-00007C000000}"/>
    <cellStyle name="20 % - Accent5 4" xfId="207" xr:uid="{00000000-0005-0000-0000-00007D000000}"/>
    <cellStyle name="20 % - Accent5 4 2" xfId="438" xr:uid="{00000000-0005-0000-0000-00007E000000}"/>
    <cellStyle name="20 % - Accent5 4 3" xfId="970" xr:uid="{00000000-0005-0000-0000-00007F000000}"/>
    <cellStyle name="20 % - Accent5 5" xfId="248" xr:uid="{00000000-0005-0000-0000-000080000000}"/>
    <cellStyle name="20 % - Accent5 5 2" xfId="398" xr:uid="{00000000-0005-0000-0000-000081000000}"/>
    <cellStyle name="20 % - Accent5 5 3" xfId="950" xr:uid="{00000000-0005-0000-0000-000082000000}"/>
    <cellStyle name="20 % - Accent5 6" xfId="549" xr:uid="{00000000-0005-0000-0000-000083000000}"/>
    <cellStyle name="20 % - Accent5 7" xfId="634" xr:uid="{00000000-0005-0000-0000-000084000000}"/>
    <cellStyle name="20 % - Accent5 8" xfId="718" xr:uid="{00000000-0005-0000-0000-000085000000}"/>
    <cellStyle name="20 % - Accent5 9" xfId="828" xr:uid="{00000000-0005-0000-0000-000086000000}"/>
    <cellStyle name="20 % - Accent6 10" xfId="429" xr:uid="{00000000-0005-0000-0000-000087000000}"/>
    <cellStyle name="20 % - Accent6 11" xfId="22" xr:uid="{00000000-0005-0000-0000-000088000000}"/>
    <cellStyle name="20 % - Accent6 2" xfId="104" xr:uid="{00000000-0005-0000-0000-000089000000}"/>
    <cellStyle name="20 % - Accent6 2 2" xfId="173" xr:uid="{00000000-0005-0000-0000-00008A000000}"/>
    <cellStyle name="20 % - Accent6 2 2 2" xfId="343" xr:uid="{00000000-0005-0000-0000-00008B000000}"/>
    <cellStyle name="20 % - Accent6 2 2 3" xfId="925" xr:uid="{00000000-0005-0000-0000-00008C000000}"/>
    <cellStyle name="20 % - Accent6 2 3" xfId="261" xr:uid="{00000000-0005-0000-0000-00008D000000}"/>
    <cellStyle name="20 % - Accent6 2 3 2" xfId="520" xr:uid="{00000000-0005-0000-0000-00008E000000}"/>
    <cellStyle name="20 % - Accent6 2 3 3" xfId="1014" xr:uid="{00000000-0005-0000-0000-00008F000000}"/>
    <cellStyle name="20 % - Accent6 2 4" xfId="610" xr:uid="{00000000-0005-0000-0000-000090000000}"/>
    <cellStyle name="20 % - Accent6 2 5" xfId="694" xr:uid="{00000000-0005-0000-0000-000091000000}"/>
    <cellStyle name="20 % - Accent6 2 6" xfId="774" xr:uid="{00000000-0005-0000-0000-000092000000}"/>
    <cellStyle name="20 % - Accent6 2 7" xfId="726" xr:uid="{00000000-0005-0000-0000-000093000000}"/>
    <cellStyle name="20 % - Accent6 2 8" xfId="354" xr:uid="{00000000-0005-0000-0000-000094000000}"/>
    <cellStyle name="20 % - Accent6 3" xfId="115" xr:uid="{00000000-0005-0000-0000-000095000000}"/>
    <cellStyle name="20 % - Accent6 3 2" xfId="355" xr:uid="{00000000-0005-0000-0000-000096000000}"/>
    <cellStyle name="20 % - Accent6 3 3" xfId="932" xr:uid="{00000000-0005-0000-0000-000097000000}"/>
    <cellStyle name="20 % - Accent6 4" xfId="211" xr:uid="{00000000-0005-0000-0000-000098000000}"/>
    <cellStyle name="20 % - Accent6 4 2" xfId="442" xr:uid="{00000000-0005-0000-0000-000099000000}"/>
    <cellStyle name="20 % - Accent6 4 3" xfId="972" xr:uid="{00000000-0005-0000-0000-00009A000000}"/>
    <cellStyle name="20 % - Accent6 5" xfId="252" xr:uid="{00000000-0005-0000-0000-00009B000000}"/>
    <cellStyle name="20 % - Accent6 5 2" xfId="396" xr:uid="{00000000-0005-0000-0000-00009C000000}"/>
    <cellStyle name="20 % - Accent6 5 3" xfId="948" xr:uid="{00000000-0005-0000-0000-00009D000000}"/>
    <cellStyle name="20 % - Accent6 6" xfId="591" xr:uid="{00000000-0005-0000-0000-00009E000000}"/>
    <cellStyle name="20 % - Accent6 7" xfId="676" xr:uid="{00000000-0005-0000-0000-00009F000000}"/>
    <cellStyle name="20 % - Accent6 8" xfId="756" xr:uid="{00000000-0005-0000-0000-0000A0000000}"/>
    <cellStyle name="20 % - Accent6 9" xfId="808" xr:uid="{00000000-0005-0000-0000-0000A1000000}"/>
    <cellStyle name="40 % - Accent1 10" xfId="378" xr:uid="{00000000-0005-0000-0000-0000A2000000}"/>
    <cellStyle name="40 % - Accent1 11" xfId="23" xr:uid="{00000000-0005-0000-0000-0000A3000000}"/>
    <cellStyle name="40 % - Accent1 2" xfId="85" xr:uid="{00000000-0005-0000-0000-0000A4000000}"/>
    <cellStyle name="40 % - Accent1 2 2" xfId="161" xr:uid="{00000000-0005-0000-0000-0000A5000000}"/>
    <cellStyle name="40 % - Accent1 2 2 2" xfId="324" xr:uid="{00000000-0005-0000-0000-0000A6000000}"/>
    <cellStyle name="40 % - Accent1 2 2 3" xfId="906" xr:uid="{00000000-0005-0000-0000-0000A7000000}"/>
    <cellStyle name="40 % - Accent1 2 3" xfId="262" xr:uid="{00000000-0005-0000-0000-0000A8000000}"/>
    <cellStyle name="40 % - Accent1 2 3 2" xfId="501" xr:uid="{00000000-0005-0000-0000-0000A9000000}"/>
    <cellStyle name="40 % - Accent1 2 3 3" xfId="1005" xr:uid="{00000000-0005-0000-0000-0000AA000000}"/>
    <cellStyle name="40 % - Accent1 2 4" xfId="529" xr:uid="{00000000-0005-0000-0000-0000AB000000}"/>
    <cellStyle name="40 % - Accent1 2 5" xfId="621" xr:uid="{00000000-0005-0000-0000-0000AC000000}"/>
    <cellStyle name="40 % - Accent1 2 6" xfId="705" xr:uid="{00000000-0005-0000-0000-0000AD000000}"/>
    <cellStyle name="40 % - Accent1 2 7" xfId="846" xr:uid="{00000000-0005-0000-0000-0000AE000000}"/>
    <cellStyle name="40 % - Accent1 2 8" xfId="436" xr:uid="{00000000-0005-0000-0000-0000AF000000}"/>
    <cellStyle name="40 % - Accent1 3" xfId="141" xr:uid="{00000000-0005-0000-0000-0000B0000000}"/>
    <cellStyle name="40 % - Accent1 3 2" xfId="377" xr:uid="{00000000-0005-0000-0000-0000B1000000}"/>
    <cellStyle name="40 % - Accent1 3 3" xfId="942" xr:uid="{00000000-0005-0000-0000-0000B2000000}"/>
    <cellStyle name="40 % - Accent1 4" xfId="192" xr:uid="{00000000-0005-0000-0000-0000B3000000}"/>
    <cellStyle name="40 % - Accent1 4 2" xfId="423" xr:uid="{00000000-0005-0000-0000-0000B4000000}"/>
    <cellStyle name="40 % - Accent1 4 3" xfId="963" xr:uid="{00000000-0005-0000-0000-0000B5000000}"/>
    <cellStyle name="40 % - Accent1 5" xfId="233" xr:uid="{00000000-0005-0000-0000-0000B6000000}"/>
    <cellStyle name="40 % - Accent1 5 2" xfId="408" xr:uid="{00000000-0005-0000-0000-0000B7000000}"/>
    <cellStyle name="40 % - Accent1 5 3" xfId="959" xr:uid="{00000000-0005-0000-0000-0000B8000000}"/>
    <cellStyle name="40 % - Accent1 6" xfId="563" xr:uid="{00000000-0005-0000-0000-0000B9000000}"/>
    <cellStyle name="40 % - Accent1 7" xfId="648" xr:uid="{00000000-0005-0000-0000-0000BA000000}"/>
    <cellStyle name="40 % - Accent1 8" xfId="732" xr:uid="{00000000-0005-0000-0000-0000BB000000}"/>
    <cellStyle name="40 % - Accent1 9" xfId="827" xr:uid="{00000000-0005-0000-0000-0000BC000000}"/>
    <cellStyle name="40 % - Accent2 10" xfId="369" xr:uid="{00000000-0005-0000-0000-0000BD000000}"/>
    <cellStyle name="40 % - Accent2 11" xfId="24" xr:uid="{00000000-0005-0000-0000-0000BE000000}"/>
    <cellStyle name="40 % - Accent2 2" xfId="89" xr:uid="{00000000-0005-0000-0000-0000BF000000}"/>
    <cellStyle name="40 % - Accent2 2 2" xfId="163" xr:uid="{00000000-0005-0000-0000-0000C0000000}"/>
    <cellStyle name="40 % - Accent2 2 2 2" xfId="328" xr:uid="{00000000-0005-0000-0000-0000C1000000}"/>
    <cellStyle name="40 % - Accent2 2 2 3" xfId="910" xr:uid="{00000000-0005-0000-0000-0000C2000000}"/>
    <cellStyle name="40 % - Accent2 2 3" xfId="263" xr:uid="{00000000-0005-0000-0000-0000C3000000}"/>
    <cellStyle name="40 % - Accent2 2 3 2" xfId="505" xr:uid="{00000000-0005-0000-0000-0000C4000000}"/>
    <cellStyle name="40 % - Accent2 2 3 3" xfId="1007" xr:uid="{00000000-0005-0000-0000-0000C5000000}"/>
    <cellStyle name="40 % - Accent2 2 4" xfId="553" xr:uid="{00000000-0005-0000-0000-0000C6000000}"/>
    <cellStyle name="40 % - Accent2 2 5" xfId="638" xr:uid="{00000000-0005-0000-0000-0000C7000000}"/>
    <cellStyle name="40 % - Accent2 2 6" xfId="722" xr:uid="{00000000-0005-0000-0000-0000C8000000}"/>
    <cellStyle name="40 % - Accent2 2 7" xfId="840" xr:uid="{00000000-0005-0000-0000-0000C9000000}"/>
    <cellStyle name="40 % - Accent2 2 8" xfId="352" xr:uid="{00000000-0005-0000-0000-0000CA000000}"/>
    <cellStyle name="40 % - Accent2 3" xfId="107" xr:uid="{00000000-0005-0000-0000-0000CB000000}"/>
    <cellStyle name="40 % - Accent2 3 2" xfId="347" xr:uid="{00000000-0005-0000-0000-0000CC000000}"/>
    <cellStyle name="40 % - Accent2 3 3" xfId="928" xr:uid="{00000000-0005-0000-0000-0000CD000000}"/>
    <cellStyle name="40 % - Accent2 4" xfId="196" xr:uid="{00000000-0005-0000-0000-0000CE000000}"/>
    <cellStyle name="40 % - Accent2 4 2" xfId="427" xr:uid="{00000000-0005-0000-0000-0000CF000000}"/>
    <cellStyle name="40 % - Accent2 4 3" xfId="965" xr:uid="{00000000-0005-0000-0000-0000D0000000}"/>
    <cellStyle name="40 % - Accent2 5" xfId="237" xr:uid="{00000000-0005-0000-0000-0000D1000000}"/>
    <cellStyle name="40 % - Accent2 5 2" xfId="405" xr:uid="{00000000-0005-0000-0000-0000D2000000}"/>
    <cellStyle name="40 % - Accent2 5 3" xfId="956" xr:uid="{00000000-0005-0000-0000-0000D3000000}"/>
    <cellStyle name="40 % - Accent2 6" xfId="590" xr:uid="{00000000-0005-0000-0000-0000D4000000}"/>
    <cellStyle name="40 % - Accent2 7" xfId="675" xr:uid="{00000000-0005-0000-0000-0000D5000000}"/>
    <cellStyle name="40 % - Accent2 8" xfId="755" xr:uid="{00000000-0005-0000-0000-0000D6000000}"/>
    <cellStyle name="40 % - Accent2 9" xfId="796" xr:uid="{00000000-0005-0000-0000-0000D7000000}"/>
    <cellStyle name="40 % - Accent3 10" xfId="380" xr:uid="{00000000-0005-0000-0000-0000D8000000}"/>
    <cellStyle name="40 % - Accent3 11" xfId="25" xr:uid="{00000000-0005-0000-0000-0000D9000000}"/>
    <cellStyle name="40 % - Accent3 2" xfId="93" xr:uid="{00000000-0005-0000-0000-0000DA000000}"/>
    <cellStyle name="40 % - Accent3 2 2" xfId="165" xr:uid="{00000000-0005-0000-0000-0000DB000000}"/>
    <cellStyle name="40 % - Accent3 2 2 2" xfId="332" xr:uid="{00000000-0005-0000-0000-0000DC000000}"/>
    <cellStyle name="40 % - Accent3 2 2 3" xfId="914" xr:uid="{00000000-0005-0000-0000-0000DD000000}"/>
    <cellStyle name="40 % - Accent3 2 3" xfId="264" xr:uid="{00000000-0005-0000-0000-0000DE000000}"/>
    <cellStyle name="40 % - Accent3 2 3 2" xfId="509" xr:uid="{00000000-0005-0000-0000-0000DF000000}"/>
    <cellStyle name="40 % - Accent3 2 3 3" xfId="1009" xr:uid="{00000000-0005-0000-0000-0000E0000000}"/>
    <cellStyle name="40 % - Accent3 2 4" xfId="581" xr:uid="{00000000-0005-0000-0000-0000E1000000}"/>
    <cellStyle name="40 % - Accent3 2 5" xfId="666" xr:uid="{00000000-0005-0000-0000-0000E2000000}"/>
    <cellStyle name="40 % - Accent3 2 6" xfId="748" xr:uid="{00000000-0005-0000-0000-0000E3000000}"/>
    <cellStyle name="40 % - Accent3 2 7" xfId="826" xr:uid="{00000000-0005-0000-0000-0000E4000000}"/>
    <cellStyle name="40 % - Accent3 2 8" xfId="432" xr:uid="{00000000-0005-0000-0000-0000E5000000}"/>
    <cellStyle name="40 % - Accent3 3" xfId="152" xr:uid="{00000000-0005-0000-0000-0000E6000000}"/>
    <cellStyle name="40 % - Accent3 3 2" xfId="388" xr:uid="{00000000-0005-0000-0000-0000E7000000}"/>
    <cellStyle name="40 % - Accent3 3 3" xfId="945" xr:uid="{00000000-0005-0000-0000-0000E8000000}"/>
    <cellStyle name="40 % - Accent3 4" xfId="200" xr:uid="{00000000-0005-0000-0000-0000E9000000}"/>
    <cellStyle name="40 % - Accent3 4 2" xfId="431" xr:uid="{00000000-0005-0000-0000-0000EA000000}"/>
    <cellStyle name="40 % - Accent3 4 3" xfId="967" xr:uid="{00000000-0005-0000-0000-0000EB000000}"/>
    <cellStyle name="40 % - Accent3 5" xfId="241" xr:uid="{00000000-0005-0000-0000-0000EC000000}"/>
    <cellStyle name="40 % - Accent3 5 2" xfId="402" xr:uid="{00000000-0005-0000-0000-0000ED000000}"/>
    <cellStyle name="40 % - Accent3 5 3" xfId="954" xr:uid="{00000000-0005-0000-0000-0000EE000000}"/>
    <cellStyle name="40 % - Accent3 6" xfId="550" xr:uid="{00000000-0005-0000-0000-0000EF000000}"/>
    <cellStyle name="40 % - Accent3 7" xfId="635" xr:uid="{00000000-0005-0000-0000-0000F0000000}"/>
    <cellStyle name="40 % - Accent3 8" xfId="719" xr:uid="{00000000-0005-0000-0000-0000F1000000}"/>
    <cellStyle name="40 % - Accent3 9" xfId="661" xr:uid="{00000000-0005-0000-0000-0000F2000000}"/>
    <cellStyle name="40 % - Accent4 10" xfId="393" xr:uid="{00000000-0005-0000-0000-0000F3000000}"/>
    <cellStyle name="40 % - Accent4 11" xfId="26" xr:uid="{00000000-0005-0000-0000-0000F4000000}"/>
    <cellStyle name="40 % - Accent4 2" xfId="97" xr:uid="{00000000-0005-0000-0000-0000F5000000}"/>
    <cellStyle name="40 % - Accent4 2 2" xfId="168" xr:uid="{00000000-0005-0000-0000-0000F6000000}"/>
    <cellStyle name="40 % - Accent4 2 2 2" xfId="336" xr:uid="{00000000-0005-0000-0000-0000F7000000}"/>
    <cellStyle name="40 % - Accent4 2 2 3" xfId="918" xr:uid="{00000000-0005-0000-0000-0000F8000000}"/>
    <cellStyle name="40 % - Accent4 2 3" xfId="265" xr:uid="{00000000-0005-0000-0000-0000F9000000}"/>
    <cellStyle name="40 % - Accent4 2 3 2" xfId="513" xr:uid="{00000000-0005-0000-0000-0000FA000000}"/>
    <cellStyle name="40 % - Accent4 2 3 3" xfId="1011" xr:uid="{00000000-0005-0000-0000-0000FB000000}"/>
    <cellStyle name="40 % - Accent4 2 4" xfId="586" xr:uid="{00000000-0005-0000-0000-0000FC000000}"/>
    <cellStyle name="40 % - Accent4 2 5" xfId="671" xr:uid="{00000000-0005-0000-0000-0000FD000000}"/>
    <cellStyle name="40 % - Accent4 2 6" xfId="752" xr:uid="{00000000-0005-0000-0000-0000FE000000}"/>
    <cellStyle name="40 % - Accent4 2 7" xfId="848" xr:uid="{00000000-0005-0000-0000-0000FF000000}"/>
    <cellStyle name="40 % - Accent4 2 8" xfId="349" xr:uid="{00000000-0005-0000-0000-000000010000}"/>
    <cellStyle name="40 % - Accent4 3" xfId="154" xr:uid="{00000000-0005-0000-0000-000001010000}"/>
    <cellStyle name="40 % - Accent4 3 2" xfId="390" xr:uid="{00000000-0005-0000-0000-000002010000}"/>
    <cellStyle name="40 % - Accent4 3 3" xfId="946" xr:uid="{00000000-0005-0000-0000-000003010000}"/>
    <cellStyle name="40 % - Accent4 4" xfId="204" xr:uid="{00000000-0005-0000-0000-000004010000}"/>
    <cellStyle name="40 % - Accent4 4 2" xfId="435" xr:uid="{00000000-0005-0000-0000-000005010000}"/>
    <cellStyle name="40 % - Accent4 4 3" xfId="969" xr:uid="{00000000-0005-0000-0000-000006010000}"/>
    <cellStyle name="40 % - Accent4 5" xfId="245" xr:uid="{00000000-0005-0000-0000-000007010000}"/>
    <cellStyle name="40 % - Accent4 5 2" xfId="399" xr:uid="{00000000-0005-0000-0000-000008010000}"/>
    <cellStyle name="40 % - Accent4 5 3" xfId="951" xr:uid="{00000000-0005-0000-0000-000009010000}"/>
    <cellStyle name="40 % - Accent4 6" xfId="535" xr:uid="{00000000-0005-0000-0000-00000A010000}"/>
    <cellStyle name="40 % - Accent4 7" xfId="525" xr:uid="{00000000-0005-0000-0000-00000B010000}"/>
    <cellStyle name="40 % - Accent4 8" xfId="576" xr:uid="{00000000-0005-0000-0000-00000C010000}"/>
    <cellStyle name="40 % - Accent4 9" xfId="818" xr:uid="{00000000-0005-0000-0000-00000D010000}"/>
    <cellStyle name="40 % - Accent5 10" xfId="392" xr:uid="{00000000-0005-0000-0000-00000E010000}"/>
    <cellStyle name="40 % - Accent5 11" xfId="27" xr:uid="{00000000-0005-0000-0000-00000F010000}"/>
    <cellStyle name="40 % - Accent5 2" xfId="101" xr:uid="{00000000-0005-0000-0000-000010010000}"/>
    <cellStyle name="40 % - Accent5 2 2" xfId="171" xr:uid="{00000000-0005-0000-0000-000011010000}"/>
    <cellStyle name="40 % - Accent5 2 2 2" xfId="340" xr:uid="{00000000-0005-0000-0000-000012010000}"/>
    <cellStyle name="40 % - Accent5 2 2 3" xfId="922" xr:uid="{00000000-0005-0000-0000-000013010000}"/>
    <cellStyle name="40 % - Accent5 2 3" xfId="266" xr:uid="{00000000-0005-0000-0000-000014010000}"/>
    <cellStyle name="40 % - Accent5 2 3 2" xfId="517" xr:uid="{00000000-0005-0000-0000-000015010000}"/>
    <cellStyle name="40 % - Accent5 2 3 3" xfId="1013" xr:uid="{00000000-0005-0000-0000-000016010000}"/>
    <cellStyle name="40 % - Accent5 2 4" xfId="614" xr:uid="{00000000-0005-0000-0000-000017010000}"/>
    <cellStyle name="40 % - Accent5 2 5" xfId="698" xr:uid="{00000000-0005-0000-0000-000018010000}"/>
    <cellStyle name="40 % - Accent5 2 6" xfId="778" xr:uid="{00000000-0005-0000-0000-000019010000}"/>
    <cellStyle name="40 % - Accent5 2 7" xfId="811" xr:uid="{00000000-0005-0000-0000-00001A010000}"/>
    <cellStyle name="40 % - Accent5 2 8" xfId="428" xr:uid="{00000000-0005-0000-0000-00001B010000}"/>
    <cellStyle name="40 % - Accent5 3" xfId="172" xr:uid="{00000000-0005-0000-0000-00001C010000}"/>
    <cellStyle name="40 % - Accent5 3 2" xfId="407" xr:uid="{00000000-0005-0000-0000-00001D010000}"/>
    <cellStyle name="40 % - Accent5 3 3" xfId="958" xr:uid="{00000000-0005-0000-0000-00001E010000}"/>
    <cellStyle name="40 % - Accent5 4" xfId="208" xr:uid="{00000000-0005-0000-0000-00001F010000}"/>
    <cellStyle name="40 % - Accent5 4 2" xfId="439" xr:uid="{00000000-0005-0000-0000-000020010000}"/>
    <cellStyle name="40 % - Accent5 4 3" xfId="971" xr:uid="{00000000-0005-0000-0000-000021010000}"/>
    <cellStyle name="40 % - Accent5 5" xfId="249" xr:uid="{00000000-0005-0000-0000-000022010000}"/>
    <cellStyle name="40 % - Accent5 5 2" xfId="397" xr:uid="{00000000-0005-0000-0000-000023010000}"/>
    <cellStyle name="40 % - Accent5 5 3" xfId="949" xr:uid="{00000000-0005-0000-0000-000024010000}"/>
    <cellStyle name="40 % - Accent5 6" xfId="574" xr:uid="{00000000-0005-0000-0000-000025010000}"/>
    <cellStyle name="40 % - Accent5 7" xfId="659" xr:uid="{00000000-0005-0000-0000-000026010000}"/>
    <cellStyle name="40 % - Accent5 8" xfId="743" xr:uid="{00000000-0005-0000-0000-000027010000}"/>
    <cellStyle name="40 % - Accent5 9" xfId="735" xr:uid="{00000000-0005-0000-0000-000028010000}"/>
    <cellStyle name="40 % - Accent6 10" xfId="386" xr:uid="{00000000-0005-0000-0000-000029010000}"/>
    <cellStyle name="40 % - Accent6 11" xfId="28" xr:uid="{00000000-0005-0000-0000-00002A010000}"/>
    <cellStyle name="40 % - Accent6 2" xfId="105" xr:uid="{00000000-0005-0000-0000-00002B010000}"/>
    <cellStyle name="40 % - Accent6 2 2" xfId="174" xr:uid="{00000000-0005-0000-0000-00002C010000}"/>
    <cellStyle name="40 % - Accent6 2 2 2" xfId="344" xr:uid="{00000000-0005-0000-0000-00002D010000}"/>
    <cellStyle name="40 % - Accent6 2 2 3" xfId="926" xr:uid="{00000000-0005-0000-0000-00002E010000}"/>
    <cellStyle name="40 % - Accent6 2 3" xfId="267" xr:uid="{00000000-0005-0000-0000-00002F010000}"/>
    <cellStyle name="40 % - Accent6 2 3 2" xfId="521" xr:uid="{00000000-0005-0000-0000-000030010000}"/>
    <cellStyle name="40 % - Accent6 2 3 3" xfId="1015" xr:uid="{00000000-0005-0000-0000-000031010000}"/>
    <cellStyle name="40 % - Accent6 2 4" xfId="524" xr:uid="{00000000-0005-0000-0000-000032010000}"/>
    <cellStyle name="40 % - Accent6 2 5" xfId="557" xr:uid="{00000000-0005-0000-0000-000033010000}"/>
    <cellStyle name="40 % - Accent6 2 6" xfId="642" xr:uid="{00000000-0005-0000-0000-000034010000}"/>
    <cellStyle name="40 % - Accent6 2 7" xfId="819" xr:uid="{00000000-0005-0000-0000-000035010000}"/>
    <cellStyle name="40 % - Accent6 2 8" xfId="374" xr:uid="{00000000-0005-0000-0000-000036010000}"/>
    <cellStyle name="40 % - Accent6 3" xfId="166" xr:uid="{00000000-0005-0000-0000-000037010000}"/>
    <cellStyle name="40 % - Accent6 3 2" xfId="401" xr:uid="{00000000-0005-0000-0000-000038010000}"/>
    <cellStyle name="40 % - Accent6 3 3" xfId="953" xr:uid="{00000000-0005-0000-0000-000039010000}"/>
    <cellStyle name="40 % - Accent6 4" xfId="212" xr:uid="{00000000-0005-0000-0000-00003A010000}"/>
    <cellStyle name="40 % - Accent6 4 2" xfId="443" xr:uid="{00000000-0005-0000-0000-00003B010000}"/>
    <cellStyle name="40 % - Accent6 4 3" xfId="973" xr:uid="{00000000-0005-0000-0000-00003C010000}"/>
    <cellStyle name="40 % - Accent6 5" xfId="253" xr:uid="{00000000-0005-0000-0000-00003D010000}"/>
    <cellStyle name="40 % - Accent6 5 2" xfId="395" xr:uid="{00000000-0005-0000-0000-00003E010000}"/>
    <cellStyle name="40 % - Accent6 5 3" xfId="947" xr:uid="{00000000-0005-0000-0000-00003F010000}"/>
    <cellStyle name="40 % - Accent6 6" xfId="538" xr:uid="{00000000-0005-0000-0000-000040010000}"/>
    <cellStyle name="40 % - Accent6 7" xfId="566" xr:uid="{00000000-0005-0000-0000-000041010000}"/>
    <cellStyle name="40 % - Accent6 8" xfId="651" xr:uid="{00000000-0005-0000-0000-000042010000}"/>
    <cellStyle name="40 % - Accent6 9" xfId="797" xr:uid="{00000000-0005-0000-0000-000043010000}"/>
    <cellStyle name="60 % - Accent1 10" xfId="412" xr:uid="{00000000-0005-0000-0000-000044010000}"/>
    <cellStyle name="60 % - Accent1 11" xfId="29" xr:uid="{00000000-0005-0000-0000-000045010000}"/>
    <cellStyle name="60 % - Accent1 2" xfId="86" xr:uid="{00000000-0005-0000-0000-000046010000}"/>
    <cellStyle name="60 % - Accent1 2 2" xfId="268" xr:uid="{00000000-0005-0000-0000-000047010000}"/>
    <cellStyle name="60 % - Accent1 2 2 2" xfId="325" xr:uid="{00000000-0005-0000-0000-000048010000}"/>
    <cellStyle name="60 % - Accent1 2 2 3" xfId="907" xr:uid="{00000000-0005-0000-0000-000049010000}"/>
    <cellStyle name="60 % - Accent1 2 3" xfId="502" xr:uid="{00000000-0005-0000-0000-00004A010000}"/>
    <cellStyle name="60 % - Accent1 2 4" xfId="615" xr:uid="{00000000-0005-0000-0000-00004B010000}"/>
    <cellStyle name="60 % - Accent1 2 5" xfId="699" xr:uid="{00000000-0005-0000-0000-00004C010000}"/>
    <cellStyle name="60 % - Accent1 2 6" xfId="779" xr:uid="{00000000-0005-0000-0000-00004D010000}"/>
    <cellStyle name="60 % - Accent1 2 7" xfId="788" xr:uid="{00000000-0005-0000-0000-00004E010000}"/>
    <cellStyle name="60 % - Accent1 2 8" xfId="424" xr:uid="{00000000-0005-0000-0000-00004F010000}"/>
    <cellStyle name="60 % - Accent1 3" xfId="140" xr:uid="{00000000-0005-0000-0000-000050010000}"/>
    <cellStyle name="60 % - Accent1 4" xfId="193" xr:uid="{00000000-0005-0000-0000-000051010000}"/>
    <cellStyle name="60 % - Accent1 5" xfId="234" xr:uid="{00000000-0005-0000-0000-000052010000}"/>
    <cellStyle name="60 % - Accent1 5 2" xfId="445" xr:uid="{00000000-0005-0000-0000-000053010000}"/>
    <cellStyle name="60 % - Accent1 5 3" xfId="974" xr:uid="{00000000-0005-0000-0000-000054010000}"/>
    <cellStyle name="60 % - Accent1 6" xfId="551" xr:uid="{00000000-0005-0000-0000-000055010000}"/>
    <cellStyle name="60 % - Accent1 7" xfId="636" xr:uid="{00000000-0005-0000-0000-000056010000}"/>
    <cellStyle name="60 % - Accent1 8" xfId="720" xr:uid="{00000000-0005-0000-0000-000057010000}"/>
    <cellStyle name="60 % - Accent1 9" xfId="836" xr:uid="{00000000-0005-0000-0000-000058010000}"/>
    <cellStyle name="60 % - Accent2 10" xfId="350" xr:uid="{00000000-0005-0000-0000-000059010000}"/>
    <cellStyle name="60 % - Accent2 11" xfId="30" xr:uid="{00000000-0005-0000-0000-00005A010000}"/>
    <cellStyle name="60 % - Accent2 2" xfId="90" xr:uid="{00000000-0005-0000-0000-00005B010000}"/>
    <cellStyle name="60 % - Accent2 2 2" xfId="269" xr:uid="{00000000-0005-0000-0000-00005C010000}"/>
    <cellStyle name="60 % - Accent2 2 2 2" xfId="329" xr:uid="{00000000-0005-0000-0000-00005D010000}"/>
    <cellStyle name="60 % - Accent2 2 2 3" xfId="911" xr:uid="{00000000-0005-0000-0000-00005E010000}"/>
    <cellStyle name="60 % - Accent2 2 3" xfId="506" xr:uid="{00000000-0005-0000-0000-00005F010000}"/>
    <cellStyle name="60 % - Accent2 2 4" xfId="607" xr:uid="{00000000-0005-0000-0000-000060010000}"/>
    <cellStyle name="60 % - Accent2 2 5" xfId="691" xr:uid="{00000000-0005-0000-0000-000061010000}"/>
    <cellStyle name="60 % - Accent2 2 6" xfId="772" xr:uid="{00000000-0005-0000-0000-000062010000}"/>
    <cellStyle name="60 % - Accent2 2 7" xfId="802" xr:uid="{00000000-0005-0000-0000-000063010000}"/>
    <cellStyle name="60 % - Accent2 2 8" xfId="376" xr:uid="{00000000-0005-0000-0000-000064010000}"/>
    <cellStyle name="60 % - Accent2 3" xfId="137" xr:uid="{00000000-0005-0000-0000-000065010000}"/>
    <cellStyle name="60 % - Accent2 4" xfId="197" xr:uid="{00000000-0005-0000-0000-000066010000}"/>
    <cellStyle name="60 % - Accent2 5" xfId="238" xr:uid="{00000000-0005-0000-0000-000067010000}"/>
    <cellStyle name="60 % - Accent2 5 2" xfId="446" xr:uid="{00000000-0005-0000-0000-000068010000}"/>
    <cellStyle name="60 % - Accent2 5 3" xfId="975" xr:uid="{00000000-0005-0000-0000-000069010000}"/>
    <cellStyle name="60 % - Accent2 6" xfId="602" xr:uid="{00000000-0005-0000-0000-00006A010000}"/>
    <cellStyle name="60 % - Accent2 7" xfId="686" xr:uid="{00000000-0005-0000-0000-00006B010000}"/>
    <cellStyle name="60 % - Accent2 8" xfId="767" xr:uid="{00000000-0005-0000-0000-00006C010000}"/>
    <cellStyle name="60 % - Accent2 9" xfId="812" xr:uid="{00000000-0005-0000-0000-00006D010000}"/>
    <cellStyle name="60 % - Accent3 10" xfId="416" xr:uid="{00000000-0005-0000-0000-00006E010000}"/>
    <cellStyle name="60 % - Accent3 11" xfId="31" xr:uid="{00000000-0005-0000-0000-00006F010000}"/>
    <cellStyle name="60 % - Accent3 2" xfId="94" xr:uid="{00000000-0005-0000-0000-000070010000}"/>
    <cellStyle name="60 % - Accent3 2 2" xfId="270" xr:uid="{00000000-0005-0000-0000-000071010000}"/>
    <cellStyle name="60 % - Accent3 2 2 2" xfId="333" xr:uid="{00000000-0005-0000-0000-000072010000}"/>
    <cellStyle name="60 % - Accent3 2 2 3" xfId="915" xr:uid="{00000000-0005-0000-0000-000073010000}"/>
    <cellStyle name="60 % - Accent3 2 3" xfId="510" xr:uid="{00000000-0005-0000-0000-000074010000}"/>
    <cellStyle name="60 % - Accent3 2 4" xfId="589" xr:uid="{00000000-0005-0000-0000-000075010000}"/>
    <cellStyle name="60 % - Accent3 2 5" xfId="674" xr:uid="{00000000-0005-0000-0000-000076010000}"/>
    <cellStyle name="60 % - Accent3 2 6" xfId="754" xr:uid="{00000000-0005-0000-0000-000077010000}"/>
    <cellStyle name="60 % - Accent3 2 7" xfId="851" xr:uid="{00000000-0005-0000-0000-000078010000}"/>
    <cellStyle name="60 % - Accent3 2 8" xfId="856" xr:uid="{00000000-0005-0000-0000-000079010000}"/>
    <cellStyle name="60 % - Accent3 3" xfId="109" xr:uid="{00000000-0005-0000-0000-00007A010000}"/>
    <cellStyle name="60 % - Accent3 4" xfId="201" xr:uid="{00000000-0005-0000-0000-00007B010000}"/>
    <cellStyle name="60 % - Accent3 5" xfId="242" xr:uid="{00000000-0005-0000-0000-00007C010000}"/>
    <cellStyle name="60 % - Accent3 5 2" xfId="447" xr:uid="{00000000-0005-0000-0000-00007D010000}"/>
    <cellStyle name="60 % - Accent3 5 3" xfId="976" xr:uid="{00000000-0005-0000-0000-00007E010000}"/>
    <cellStyle name="60 % - Accent3 6" xfId="568" xr:uid="{00000000-0005-0000-0000-00007F010000}"/>
    <cellStyle name="60 % - Accent3 7" xfId="653" xr:uid="{00000000-0005-0000-0000-000080010000}"/>
    <cellStyle name="60 % - Accent3 8" xfId="737" xr:uid="{00000000-0005-0000-0000-000081010000}"/>
    <cellStyle name="60 % - Accent3 9" xfId="834" xr:uid="{00000000-0005-0000-0000-000082010000}"/>
    <cellStyle name="60 % - Accent4 10" xfId="441" xr:uid="{00000000-0005-0000-0000-000083010000}"/>
    <cellStyle name="60 % - Accent4 11" xfId="32" xr:uid="{00000000-0005-0000-0000-000084010000}"/>
    <cellStyle name="60 % - Accent4 2" xfId="98" xr:uid="{00000000-0005-0000-0000-000085010000}"/>
    <cellStyle name="60 % - Accent4 2 2" xfId="271" xr:uid="{00000000-0005-0000-0000-000086010000}"/>
    <cellStyle name="60 % - Accent4 2 2 2" xfId="337" xr:uid="{00000000-0005-0000-0000-000087010000}"/>
    <cellStyle name="60 % - Accent4 2 2 3" xfId="919" xr:uid="{00000000-0005-0000-0000-000088010000}"/>
    <cellStyle name="60 % - Accent4 2 3" xfId="514" xr:uid="{00000000-0005-0000-0000-000089010000}"/>
    <cellStyle name="60 % - Accent4 2 4" xfId="618" xr:uid="{00000000-0005-0000-0000-00008A010000}"/>
    <cellStyle name="60 % - Accent4 2 5" xfId="702" xr:uid="{00000000-0005-0000-0000-00008B010000}"/>
    <cellStyle name="60 % - Accent4 2 6" xfId="781" xr:uid="{00000000-0005-0000-0000-00008C010000}"/>
    <cellStyle name="60 % - Accent4 2 7" xfId="813" xr:uid="{00000000-0005-0000-0000-00008D010000}"/>
    <cellStyle name="60 % - Accent4 2 8" xfId="857" xr:uid="{00000000-0005-0000-0000-00008E010000}"/>
    <cellStyle name="60 % - Accent4 3" xfId="112" xr:uid="{00000000-0005-0000-0000-00008F010000}"/>
    <cellStyle name="60 % - Accent4 4" xfId="205" xr:uid="{00000000-0005-0000-0000-000090010000}"/>
    <cellStyle name="60 % - Accent4 5" xfId="246" xr:uid="{00000000-0005-0000-0000-000091010000}"/>
    <cellStyle name="60 % - Accent4 5 2" xfId="448" xr:uid="{00000000-0005-0000-0000-000092010000}"/>
    <cellStyle name="60 % - Accent4 5 3" xfId="977" xr:uid="{00000000-0005-0000-0000-000093010000}"/>
    <cellStyle name="60 % - Accent4 6" xfId="597" xr:uid="{00000000-0005-0000-0000-000094010000}"/>
    <cellStyle name="60 % - Accent4 7" xfId="682" xr:uid="{00000000-0005-0000-0000-000095010000}"/>
    <cellStyle name="60 % - Accent4 8" xfId="762" xr:uid="{00000000-0005-0000-0000-000096010000}"/>
    <cellStyle name="60 % - Accent4 9" xfId="805" xr:uid="{00000000-0005-0000-0000-000097010000}"/>
    <cellStyle name="60 % - Accent5 10" xfId="433" xr:uid="{00000000-0005-0000-0000-000098010000}"/>
    <cellStyle name="60 % - Accent5 11" xfId="33" xr:uid="{00000000-0005-0000-0000-000099010000}"/>
    <cellStyle name="60 % - Accent5 2" xfId="102" xr:uid="{00000000-0005-0000-0000-00009A010000}"/>
    <cellStyle name="60 % - Accent5 2 2" xfId="272" xr:uid="{00000000-0005-0000-0000-00009B010000}"/>
    <cellStyle name="60 % - Accent5 2 2 2" xfId="341" xr:uid="{00000000-0005-0000-0000-00009C010000}"/>
    <cellStyle name="60 % - Accent5 2 2 3" xfId="923" xr:uid="{00000000-0005-0000-0000-00009D010000}"/>
    <cellStyle name="60 % - Accent5 2 3" xfId="518" xr:uid="{00000000-0005-0000-0000-00009E010000}"/>
    <cellStyle name="60 % - Accent5 2 4" xfId="567" xr:uid="{00000000-0005-0000-0000-00009F010000}"/>
    <cellStyle name="60 % - Accent5 2 5" xfId="652" xr:uid="{00000000-0005-0000-0000-0000A0010000}"/>
    <cellStyle name="60 % - Accent5 2 6" xfId="736" xr:uid="{00000000-0005-0000-0000-0000A1010000}"/>
    <cellStyle name="60 % - Accent5 2 7" xfId="820" xr:uid="{00000000-0005-0000-0000-0000A2010000}"/>
    <cellStyle name="60 % - Accent5 2 8" xfId="858" xr:uid="{00000000-0005-0000-0000-0000A3010000}"/>
    <cellStyle name="60 % - Accent5 3" xfId="114" xr:uid="{00000000-0005-0000-0000-0000A4010000}"/>
    <cellStyle name="60 % - Accent5 4" xfId="209" xr:uid="{00000000-0005-0000-0000-0000A5010000}"/>
    <cellStyle name="60 % - Accent5 5" xfId="250" xr:uid="{00000000-0005-0000-0000-0000A6010000}"/>
    <cellStyle name="60 % - Accent5 5 2" xfId="449" xr:uid="{00000000-0005-0000-0000-0000A7010000}"/>
    <cellStyle name="60 % - Accent5 5 3" xfId="978" xr:uid="{00000000-0005-0000-0000-0000A8010000}"/>
    <cellStyle name="60 % - Accent5 6" xfId="560" xr:uid="{00000000-0005-0000-0000-0000A9010000}"/>
    <cellStyle name="60 % - Accent5 7" xfId="645" xr:uid="{00000000-0005-0000-0000-0000AA010000}"/>
    <cellStyle name="60 % - Accent5 8" xfId="729" xr:uid="{00000000-0005-0000-0000-0000AB010000}"/>
    <cellStyle name="60 % - Accent5 9" xfId="830" xr:uid="{00000000-0005-0000-0000-0000AC010000}"/>
    <cellStyle name="60 % - Accent6 10" xfId="425" xr:uid="{00000000-0005-0000-0000-0000AD010000}"/>
    <cellStyle name="60 % - Accent6 11" xfId="34" xr:uid="{00000000-0005-0000-0000-0000AE010000}"/>
    <cellStyle name="60 % - Accent6 2" xfId="106" xr:uid="{00000000-0005-0000-0000-0000AF010000}"/>
    <cellStyle name="60 % - Accent6 2 2" xfId="273" xr:uid="{00000000-0005-0000-0000-0000B0010000}"/>
    <cellStyle name="60 % - Accent6 2 2 2" xfId="345" xr:uid="{00000000-0005-0000-0000-0000B1010000}"/>
    <cellStyle name="60 % - Accent6 2 2 3" xfId="927" xr:uid="{00000000-0005-0000-0000-0000B2010000}"/>
    <cellStyle name="60 % - Accent6 2 3" xfId="522" xr:uid="{00000000-0005-0000-0000-0000B3010000}"/>
    <cellStyle name="60 % - Accent6 2 4" xfId="578" xr:uid="{00000000-0005-0000-0000-0000B4010000}"/>
    <cellStyle name="60 % - Accent6 2 5" xfId="663" xr:uid="{00000000-0005-0000-0000-0000B5010000}"/>
    <cellStyle name="60 % - Accent6 2 6" xfId="745" xr:uid="{00000000-0005-0000-0000-0000B6010000}"/>
    <cellStyle name="60 % - Accent6 2 7" xfId="839" xr:uid="{00000000-0005-0000-0000-0000B7010000}"/>
    <cellStyle name="60 % - Accent6 2 8" xfId="859" xr:uid="{00000000-0005-0000-0000-0000B8010000}"/>
    <cellStyle name="60 % - Accent6 3" xfId="116" xr:uid="{00000000-0005-0000-0000-0000B9010000}"/>
    <cellStyle name="60 % - Accent6 4" xfId="213" xr:uid="{00000000-0005-0000-0000-0000BA010000}"/>
    <cellStyle name="60 % - Accent6 5" xfId="254" xr:uid="{00000000-0005-0000-0000-0000BB010000}"/>
    <cellStyle name="60 % - Accent6 5 2" xfId="450" xr:uid="{00000000-0005-0000-0000-0000BC010000}"/>
    <cellStyle name="60 % - Accent6 5 3" xfId="979" xr:uid="{00000000-0005-0000-0000-0000BD010000}"/>
    <cellStyle name="60 % - Accent6 6" xfId="593" xr:uid="{00000000-0005-0000-0000-0000BE010000}"/>
    <cellStyle name="60 % - Accent6 7" xfId="678" xr:uid="{00000000-0005-0000-0000-0000BF010000}"/>
    <cellStyle name="60 % - Accent6 8" xfId="758" xr:uid="{00000000-0005-0000-0000-0000C0010000}"/>
    <cellStyle name="60 % - Accent6 9" xfId="807" xr:uid="{00000000-0005-0000-0000-0000C1010000}"/>
    <cellStyle name="Accent1 10" xfId="413" xr:uid="{00000000-0005-0000-0000-0000C2010000}"/>
    <cellStyle name="Accent1 11" xfId="35" xr:uid="{00000000-0005-0000-0000-0000C3010000}"/>
    <cellStyle name="Accent1 2" xfId="83" xr:uid="{00000000-0005-0000-0000-0000C4010000}"/>
    <cellStyle name="Accent1 2 2" xfId="274" xr:uid="{00000000-0005-0000-0000-0000C5010000}"/>
    <cellStyle name="Accent1 2 2 2" xfId="322" xr:uid="{00000000-0005-0000-0000-0000C6010000}"/>
    <cellStyle name="Accent1 2 2 3" xfId="904" xr:uid="{00000000-0005-0000-0000-0000C7010000}"/>
    <cellStyle name="Accent1 2 3" xfId="499" xr:uid="{00000000-0005-0000-0000-0000C8010000}"/>
    <cellStyle name="Accent1 2 4" xfId="530" xr:uid="{00000000-0005-0000-0000-0000C9010000}"/>
    <cellStyle name="Accent1 2 5" xfId="585" xr:uid="{00000000-0005-0000-0000-0000CA010000}"/>
    <cellStyle name="Accent1 2 6" xfId="670" xr:uid="{00000000-0005-0000-0000-0000CB010000}"/>
    <cellStyle name="Accent1 2 7" xfId="849" xr:uid="{00000000-0005-0000-0000-0000CC010000}"/>
    <cellStyle name="Accent1 2 8" xfId="860" xr:uid="{00000000-0005-0000-0000-0000CD010000}"/>
    <cellStyle name="Accent1 3" xfId="149" xr:uid="{00000000-0005-0000-0000-0000CE010000}"/>
    <cellStyle name="Accent1 4" xfId="190" xr:uid="{00000000-0005-0000-0000-0000CF010000}"/>
    <cellStyle name="Accent1 5" xfId="231" xr:uid="{00000000-0005-0000-0000-0000D0010000}"/>
    <cellStyle name="Accent1 5 2" xfId="451" xr:uid="{00000000-0005-0000-0000-0000D1010000}"/>
    <cellStyle name="Accent1 5 3" xfId="980" xr:uid="{00000000-0005-0000-0000-0000D2010000}"/>
    <cellStyle name="Accent1 6" xfId="562" xr:uid="{00000000-0005-0000-0000-0000D3010000}"/>
    <cellStyle name="Accent1 7" xfId="647" xr:uid="{00000000-0005-0000-0000-0000D4010000}"/>
    <cellStyle name="Accent1 8" xfId="731" xr:uid="{00000000-0005-0000-0000-0000D5010000}"/>
    <cellStyle name="Accent1 9" xfId="770" xr:uid="{00000000-0005-0000-0000-0000D6010000}"/>
    <cellStyle name="Accent2 10" xfId="370" xr:uid="{00000000-0005-0000-0000-0000D7010000}"/>
    <cellStyle name="Accent2 11" xfId="36" xr:uid="{00000000-0005-0000-0000-0000D8010000}"/>
    <cellStyle name="Accent2 2" xfId="87" xr:uid="{00000000-0005-0000-0000-0000D9010000}"/>
    <cellStyle name="Accent2 2 2" xfId="275" xr:uid="{00000000-0005-0000-0000-0000DA010000}"/>
    <cellStyle name="Accent2 2 2 2" xfId="326" xr:uid="{00000000-0005-0000-0000-0000DB010000}"/>
    <cellStyle name="Accent2 2 2 3" xfId="908" xr:uid="{00000000-0005-0000-0000-0000DC010000}"/>
    <cellStyle name="Accent2 2 3" xfId="503" xr:uid="{00000000-0005-0000-0000-0000DD010000}"/>
    <cellStyle name="Accent2 2 4" xfId="526" xr:uid="{00000000-0005-0000-0000-0000DE010000}"/>
    <cellStyle name="Accent2 2 5" xfId="625" xr:uid="{00000000-0005-0000-0000-0000DF010000}"/>
    <cellStyle name="Accent2 2 6" xfId="709" xr:uid="{00000000-0005-0000-0000-0000E0010000}"/>
    <cellStyle name="Accent2 2 7" xfId="843" xr:uid="{00000000-0005-0000-0000-0000E1010000}"/>
    <cellStyle name="Accent2 2 8" xfId="861" xr:uid="{00000000-0005-0000-0000-0000E2010000}"/>
    <cellStyle name="Accent2 3" xfId="139" xr:uid="{00000000-0005-0000-0000-0000E3010000}"/>
    <cellStyle name="Accent2 4" xfId="194" xr:uid="{00000000-0005-0000-0000-0000E4010000}"/>
    <cellStyle name="Accent2 5" xfId="235" xr:uid="{00000000-0005-0000-0000-0000E5010000}"/>
    <cellStyle name="Accent2 5 2" xfId="452" xr:uid="{00000000-0005-0000-0000-0000E6010000}"/>
    <cellStyle name="Accent2 5 3" xfId="981" xr:uid="{00000000-0005-0000-0000-0000E7010000}"/>
    <cellStyle name="Accent2 6" xfId="540" xr:uid="{00000000-0005-0000-0000-0000E8010000}"/>
    <cellStyle name="Accent2 7" xfId="605" xr:uid="{00000000-0005-0000-0000-0000E9010000}"/>
    <cellStyle name="Accent2 8" xfId="689" xr:uid="{00000000-0005-0000-0000-0000EA010000}"/>
    <cellStyle name="Accent2 9" xfId="771" xr:uid="{00000000-0005-0000-0000-0000EB010000}"/>
    <cellStyle name="Accent3 10" xfId="357" xr:uid="{00000000-0005-0000-0000-0000EC010000}"/>
    <cellStyle name="Accent3 11" xfId="37" xr:uid="{00000000-0005-0000-0000-0000ED010000}"/>
    <cellStyle name="Accent3 2" xfId="91" xr:uid="{00000000-0005-0000-0000-0000EE010000}"/>
    <cellStyle name="Accent3 2 2" xfId="276" xr:uid="{00000000-0005-0000-0000-0000EF010000}"/>
    <cellStyle name="Accent3 2 2 2" xfId="330" xr:uid="{00000000-0005-0000-0000-0000F0010000}"/>
    <cellStyle name="Accent3 2 2 3" xfId="912" xr:uid="{00000000-0005-0000-0000-0000F1010000}"/>
    <cellStyle name="Accent3 2 3" xfId="507" xr:uid="{00000000-0005-0000-0000-0000F2010000}"/>
    <cellStyle name="Accent3 2 4" xfId="556" xr:uid="{00000000-0005-0000-0000-0000F3010000}"/>
    <cellStyle name="Accent3 2 5" xfId="641" xr:uid="{00000000-0005-0000-0000-0000F4010000}"/>
    <cellStyle name="Accent3 2 6" xfId="725" xr:uid="{00000000-0005-0000-0000-0000F5010000}"/>
    <cellStyle name="Accent3 2 7" xfId="854" xr:uid="{00000000-0005-0000-0000-0000F6010000}"/>
    <cellStyle name="Accent3 2 8" xfId="862" xr:uid="{00000000-0005-0000-0000-0000F7010000}"/>
    <cellStyle name="Accent3 3" xfId="150" xr:uid="{00000000-0005-0000-0000-0000F8010000}"/>
    <cellStyle name="Accent3 4" xfId="198" xr:uid="{00000000-0005-0000-0000-0000F9010000}"/>
    <cellStyle name="Accent3 5" xfId="239" xr:uid="{00000000-0005-0000-0000-0000FA010000}"/>
    <cellStyle name="Accent3 5 2" xfId="453" xr:uid="{00000000-0005-0000-0000-0000FB010000}"/>
    <cellStyle name="Accent3 5 3" xfId="982" xr:uid="{00000000-0005-0000-0000-0000FC010000}"/>
    <cellStyle name="Accent3 6" xfId="523" xr:uid="{00000000-0005-0000-0000-0000FD010000}"/>
    <cellStyle name="Accent3 7" xfId="606" xr:uid="{00000000-0005-0000-0000-0000FE010000}"/>
    <cellStyle name="Accent3 8" xfId="690" xr:uid="{00000000-0005-0000-0000-0000FF010000}"/>
    <cellStyle name="Accent3 9" xfId="804" xr:uid="{00000000-0005-0000-0000-000000020000}"/>
    <cellStyle name="Accent4 10" xfId="368" xr:uid="{00000000-0005-0000-0000-000001020000}"/>
    <cellStyle name="Accent4 11" xfId="38" xr:uid="{00000000-0005-0000-0000-000002020000}"/>
    <cellStyle name="Accent4 2" xfId="95" xr:uid="{00000000-0005-0000-0000-000003020000}"/>
    <cellStyle name="Accent4 2 2" xfId="277" xr:uid="{00000000-0005-0000-0000-000004020000}"/>
    <cellStyle name="Accent4 2 2 2" xfId="334" xr:uid="{00000000-0005-0000-0000-000005020000}"/>
    <cellStyle name="Accent4 2 2 3" xfId="916" xr:uid="{00000000-0005-0000-0000-000006020000}"/>
    <cellStyle name="Accent4 2 3" xfId="511" xr:uid="{00000000-0005-0000-0000-000007020000}"/>
    <cellStyle name="Accent4 2 4" xfId="622" xr:uid="{00000000-0005-0000-0000-000008020000}"/>
    <cellStyle name="Accent4 2 5" xfId="706" xr:uid="{00000000-0005-0000-0000-000009020000}"/>
    <cellStyle name="Accent4 2 6" xfId="785" xr:uid="{00000000-0005-0000-0000-00000A020000}"/>
    <cellStyle name="Accent4 2 7" xfId="825" xr:uid="{00000000-0005-0000-0000-00000B020000}"/>
    <cellStyle name="Accent4 2 8" xfId="863" xr:uid="{00000000-0005-0000-0000-00000C020000}"/>
    <cellStyle name="Accent4 3" xfId="155" xr:uid="{00000000-0005-0000-0000-00000D020000}"/>
    <cellStyle name="Accent4 4" xfId="202" xr:uid="{00000000-0005-0000-0000-00000E020000}"/>
    <cellStyle name="Accent4 5" xfId="243" xr:uid="{00000000-0005-0000-0000-00000F020000}"/>
    <cellStyle name="Accent4 5 2" xfId="454" xr:uid="{00000000-0005-0000-0000-000010020000}"/>
    <cellStyle name="Accent4 5 3" xfId="983" xr:uid="{00000000-0005-0000-0000-000011020000}"/>
    <cellStyle name="Accent4 6" xfId="559" xr:uid="{00000000-0005-0000-0000-000012020000}"/>
    <cellStyle name="Accent4 7" xfId="644" xr:uid="{00000000-0005-0000-0000-000013020000}"/>
    <cellStyle name="Accent4 8" xfId="728" xr:uid="{00000000-0005-0000-0000-000014020000}"/>
    <cellStyle name="Accent4 9" xfId="715" xr:uid="{00000000-0005-0000-0000-000015020000}"/>
    <cellStyle name="Accent5 10" xfId="404" xr:uid="{00000000-0005-0000-0000-000016020000}"/>
    <cellStyle name="Accent5 11" xfId="39" xr:uid="{00000000-0005-0000-0000-000017020000}"/>
    <cellStyle name="Accent5 2" xfId="99" xr:uid="{00000000-0005-0000-0000-000018020000}"/>
    <cellStyle name="Accent5 2 2" xfId="278" xr:uid="{00000000-0005-0000-0000-000019020000}"/>
    <cellStyle name="Accent5 2 2 2" xfId="338" xr:uid="{00000000-0005-0000-0000-00001A020000}"/>
    <cellStyle name="Accent5 2 2 3" xfId="920" xr:uid="{00000000-0005-0000-0000-00001B020000}"/>
    <cellStyle name="Accent5 2 3" xfId="515" xr:uid="{00000000-0005-0000-0000-00001C020000}"/>
    <cellStyle name="Accent5 2 4" xfId="569" xr:uid="{00000000-0005-0000-0000-00001D020000}"/>
    <cellStyle name="Accent5 2 5" xfId="654" xr:uid="{00000000-0005-0000-0000-00001E020000}"/>
    <cellStyle name="Accent5 2 6" xfId="738" xr:uid="{00000000-0005-0000-0000-00001F020000}"/>
    <cellStyle name="Accent5 2 7" xfId="822" xr:uid="{00000000-0005-0000-0000-000020020000}"/>
    <cellStyle name="Accent5 2 8" xfId="864" xr:uid="{00000000-0005-0000-0000-000021020000}"/>
    <cellStyle name="Accent5 3" xfId="156" xr:uid="{00000000-0005-0000-0000-000022020000}"/>
    <cellStyle name="Accent5 4" xfId="206" xr:uid="{00000000-0005-0000-0000-000023020000}"/>
    <cellStyle name="Accent5 5" xfId="247" xr:uid="{00000000-0005-0000-0000-000024020000}"/>
    <cellStyle name="Accent5 5 2" xfId="455" xr:uid="{00000000-0005-0000-0000-000025020000}"/>
    <cellStyle name="Accent5 5 3" xfId="984" xr:uid="{00000000-0005-0000-0000-000026020000}"/>
    <cellStyle name="Accent5 6" xfId="481" xr:uid="{00000000-0005-0000-0000-000027020000}"/>
    <cellStyle name="Accent5 7" xfId="546" xr:uid="{00000000-0005-0000-0000-000028020000}"/>
    <cellStyle name="Accent5 8" xfId="631" xr:uid="{00000000-0005-0000-0000-000029020000}"/>
    <cellStyle name="Accent5 9" xfId="660" xr:uid="{00000000-0005-0000-0000-00002A020000}"/>
    <cellStyle name="Accent6 10" xfId="391" xr:uid="{00000000-0005-0000-0000-00002B020000}"/>
    <cellStyle name="Accent6 11" xfId="40" xr:uid="{00000000-0005-0000-0000-00002C020000}"/>
    <cellStyle name="Accent6 2" xfId="103" xr:uid="{00000000-0005-0000-0000-00002D020000}"/>
    <cellStyle name="Accent6 2 2" xfId="279" xr:uid="{00000000-0005-0000-0000-00002E020000}"/>
    <cellStyle name="Accent6 2 2 2" xfId="342" xr:uid="{00000000-0005-0000-0000-00002F020000}"/>
    <cellStyle name="Accent6 2 2 3" xfId="924" xr:uid="{00000000-0005-0000-0000-000030020000}"/>
    <cellStyle name="Accent6 2 3" xfId="519" xr:uid="{00000000-0005-0000-0000-000031020000}"/>
    <cellStyle name="Accent6 2 4" xfId="580" xr:uid="{00000000-0005-0000-0000-000032020000}"/>
    <cellStyle name="Accent6 2 5" xfId="665" xr:uid="{00000000-0005-0000-0000-000033020000}"/>
    <cellStyle name="Accent6 2 6" xfId="747" xr:uid="{00000000-0005-0000-0000-000034020000}"/>
    <cellStyle name="Accent6 2 7" xfId="842" xr:uid="{00000000-0005-0000-0000-000035020000}"/>
    <cellStyle name="Accent6 2 8" xfId="865" xr:uid="{00000000-0005-0000-0000-000036020000}"/>
    <cellStyle name="Accent6 3" xfId="169" xr:uid="{00000000-0005-0000-0000-000037020000}"/>
    <cellStyle name="Accent6 4" xfId="210" xr:uid="{00000000-0005-0000-0000-000038020000}"/>
    <cellStyle name="Accent6 5" xfId="251" xr:uid="{00000000-0005-0000-0000-000039020000}"/>
    <cellStyle name="Accent6 5 2" xfId="456" xr:uid="{00000000-0005-0000-0000-00003A020000}"/>
    <cellStyle name="Accent6 5 3" xfId="985" xr:uid="{00000000-0005-0000-0000-00003B020000}"/>
    <cellStyle name="Accent6 6" xfId="541" xr:uid="{00000000-0005-0000-0000-00003C020000}"/>
    <cellStyle name="Accent6 7" xfId="542" xr:uid="{00000000-0005-0000-0000-00003D020000}"/>
    <cellStyle name="Accent6 8" xfId="575" xr:uid="{00000000-0005-0000-0000-00003E020000}"/>
    <cellStyle name="Accent6 9" xfId="746" xr:uid="{00000000-0005-0000-0000-00003F020000}"/>
    <cellStyle name="Avertissement 10" xfId="346" xr:uid="{00000000-0005-0000-0000-000040020000}"/>
    <cellStyle name="Avertissement 11" xfId="41" xr:uid="{00000000-0005-0000-0000-000041020000}"/>
    <cellStyle name="Avertissement 2" xfId="79" xr:uid="{00000000-0005-0000-0000-000042020000}"/>
    <cellStyle name="Avertissement 2 2" xfId="280" xr:uid="{00000000-0005-0000-0000-000043020000}"/>
    <cellStyle name="Avertissement 2 2 2" xfId="318" xr:uid="{00000000-0005-0000-0000-000044020000}"/>
    <cellStyle name="Avertissement 2 2 3" xfId="900" xr:uid="{00000000-0005-0000-0000-000045020000}"/>
    <cellStyle name="Avertissement 2 3" xfId="495" xr:uid="{00000000-0005-0000-0000-000046020000}"/>
    <cellStyle name="Avertissement 2 4" xfId="564" xr:uid="{00000000-0005-0000-0000-000047020000}"/>
    <cellStyle name="Avertissement 2 5" xfId="649" xr:uid="{00000000-0005-0000-0000-000048020000}"/>
    <cellStyle name="Avertissement 2 6" xfId="733" xr:uid="{00000000-0005-0000-0000-000049020000}"/>
    <cellStyle name="Avertissement 2 7" xfId="855" xr:uid="{00000000-0005-0000-0000-00004A020000}"/>
    <cellStyle name="Avertissement 2 8" xfId="866" xr:uid="{00000000-0005-0000-0000-00004B020000}"/>
    <cellStyle name="Avertissement 3" xfId="158" xr:uid="{00000000-0005-0000-0000-00004C020000}"/>
    <cellStyle name="Avertissement 4" xfId="186" xr:uid="{00000000-0005-0000-0000-00004D020000}"/>
    <cellStyle name="Avertissement 5" xfId="227" xr:uid="{00000000-0005-0000-0000-00004E020000}"/>
    <cellStyle name="Avertissement 5 2" xfId="457" xr:uid="{00000000-0005-0000-0000-00004F020000}"/>
    <cellStyle name="Avertissement 5 3" xfId="986" xr:uid="{00000000-0005-0000-0000-000050020000}"/>
    <cellStyle name="Avertissement 6" xfId="536" xr:uid="{00000000-0005-0000-0000-000051020000}"/>
    <cellStyle name="Avertissement 7" xfId="579" xr:uid="{00000000-0005-0000-0000-000052020000}"/>
    <cellStyle name="Avertissement 8" xfId="664" xr:uid="{00000000-0005-0000-0000-000053020000}"/>
    <cellStyle name="Avertissement 9" xfId="800" xr:uid="{00000000-0005-0000-0000-000054020000}"/>
    <cellStyle name="Calcul 10" xfId="411" xr:uid="{00000000-0005-0000-0000-000055020000}"/>
    <cellStyle name="Calcul 11" xfId="42" xr:uid="{00000000-0005-0000-0000-000056020000}"/>
    <cellStyle name="Calcul 2" xfId="76" xr:uid="{00000000-0005-0000-0000-000057020000}"/>
    <cellStyle name="Calcul 2 2" xfId="281" xr:uid="{00000000-0005-0000-0000-000058020000}"/>
    <cellStyle name="Calcul 2 2 2" xfId="315" xr:uid="{00000000-0005-0000-0000-000059020000}"/>
    <cellStyle name="Calcul 2 2 3" xfId="897" xr:uid="{00000000-0005-0000-0000-00005A020000}"/>
    <cellStyle name="Calcul 2 3" xfId="492" xr:uid="{00000000-0005-0000-0000-00005B020000}"/>
    <cellStyle name="Calcul 2 4" xfId="608" xr:uid="{00000000-0005-0000-0000-00005C020000}"/>
    <cellStyle name="Calcul 2 5" xfId="692" xr:uid="{00000000-0005-0000-0000-00005D020000}"/>
    <cellStyle name="Calcul 2 6" xfId="773" xr:uid="{00000000-0005-0000-0000-00005E020000}"/>
    <cellStyle name="Calcul 2 7" xfId="801" xr:uid="{00000000-0005-0000-0000-00005F020000}"/>
    <cellStyle name="Calcul 2 8" xfId="867" xr:uid="{00000000-0005-0000-0000-000060020000}"/>
    <cellStyle name="Calcul 3" xfId="130" xr:uid="{00000000-0005-0000-0000-000061020000}"/>
    <cellStyle name="Calcul 4" xfId="183" xr:uid="{00000000-0005-0000-0000-000062020000}"/>
    <cellStyle name="Calcul 5" xfId="224" xr:uid="{00000000-0005-0000-0000-000063020000}"/>
    <cellStyle name="Calcul 5 2" xfId="458" xr:uid="{00000000-0005-0000-0000-000064020000}"/>
    <cellStyle name="Calcul 5 3" xfId="987" xr:uid="{00000000-0005-0000-0000-000065020000}"/>
    <cellStyle name="Calcul 6" xfId="554" xr:uid="{00000000-0005-0000-0000-000066020000}"/>
    <cellStyle name="Calcul 7" xfId="639" xr:uid="{00000000-0005-0000-0000-000067020000}"/>
    <cellStyle name="Calcul 8" xfId="723" xr:uid="{00000000-0005-0000-0000-000068020000}"/>
    <cellStyle name="Calcul 9" xfId="744" xr:uid="{00000000-0005-0000-0000-000069020000}"/>
    <cellStyle name="Cellule liée 10" xfId="383" xr:uid="{00000000-0005-0000-0000-00006A020000}"/>
    <cellStyle name="Cellule liée 11" xfId="43" xr:uid="{00000000-0005-0000-0000-00006B020000}"/>
    <cellStyle name="Cellule liée 2" xfId="77" xr:uid="{00000000-0005-0000-0000-00006C020000}"/>
    <cellStyle name="Cellule liée 2 2" xfId="282" xr:uid="{00000000-0005-0000-0000-00006D020000}"/>
    <cellStyle name="Cellule liée 2 2 2" xfId="316" xr:uid="{00000000-0005-0000-0000-00006E020000}"/>
    <cellStyle name="Cellule liée 2 2 3" xfId="898" xr:uid="{00000000-0005-0000-0000-00006F020000}"/>
    <cellStyle name="Cellule liée 2 3" xfId="493" xr:uid="{00000000-0005-0000-0000-000070020000}"/>
    <cellStyle name="Cellule liée 2 4" xfId="555" xr:uid="{00000000-0005-0000-0000-000071020000}"/>
    <cellStyle name="Cellule liée 2 5" xfId="640" xr:uid="{00000000-0005-0000-0000-000072020000}"/>
    <cellStyle name="Cellule liée 2 6" xfId="724" xr:uid="{00000000-0005-0000-0000-000073020000}"/>
    <cellStyle name="Cellule liée 2 7" xfId="838" xr:uid="{00000000-0005-0000-0000-000074020000}"/>
    <cellStyle name="Cellule liée 2 8" xfId="868" xr:uid="{00000000-0005-0000-0000-000075020000}"/>
    <cellStyle name="Cellule liée 3" xfId="144" xr:uid="{00000000-0005-0000-0000-000076020000}"/>
    <cellStyle name="Cellule liée 4" xfId="184" xr:uid="{00000000-0005-0000-0000-000077020000}"/>
    <cellStyle name="Cellule liée 5" xfId="225" xr:uid="{00000000-0005-0000-0000-000078020000}"/>
    <cellStyle name="Cellule liée 5 2" xfId="459" xr:uid="{00000000-0005-0000-0000-000079020000}"/>
    <cellStyle name="Cellule liée 5 3" xfId="988" xr:uid="{00000000-0005-0000-0000-00007A020000}"/>
    <cellStyle name="Cellule liée 6" xfId="539" xr:uid="{00000000-0005-0000-0000-00007B020000}"/>
    <cellStyle name="Cellule liée 7" xfId="577" xr:uid="{00000000-0005-0000-0000-00007C020000}"/>
    <cellStyle name="Cellule liée 8" xfId="662" xr:uid="{00000000-0005-0000-0000-00007D020000}"/>
    <cellStyle name="Cellule liée 9" xfId="617" xr:uid="{00000000-0005-0000-0000-00007E020000}"/>
    <cellStyle name="Comma 5" xfId="8" xr:uid="{00000000-0005-0000-0000-00007F020000}"/>
    <cellStyle name="Comma 6" xfId="1021" xr:uid="{00000000-0005-0000-0000-000080020000}"/>
    <cellStyle name="Comma 7" xfId="1020" xr:uid="{00000000-0005-0000-0000-000081020000}"/>
    <cellStyle name="Commentaire 10" xfId="531" xr:uid="{00000000-0005-0000-0000-000082020000}"/>
    <cellStyle name="Commentaire 11" xfId="721" xr:uid="{00000000-0005-0000-0000-000083020000}"/>
    <cellStyle name="Commentaire 12" xfId="303" xr:uid="{00000000-0005-0000-0000-000084020000}"/>
    <cellStyle name="Commentaire 2" xfId="80" xr:uid="{00000000-0005-0000-0000-000085020000}"/>
    <cellStyle name="Commentaire 2 2" xfId="157" xr:uid="{00000000-0005-0000-0000-000086020000}"/>
    <cellStyle name="Commentaire 2 2 2" xfId="319" xr:uid="{00000000-0005-0000-0000-000087020000}"/>
    <cellStyle name="Commentaire 2 2 3" xfId="901" xr:uid="{00000000-0005-0000-0000-000088020000}"/>
    <cellStyle name="Commentaire 2 3" xfId="283" xr:uid="{00000000-0005-0000-0000-000089020000}"/>
    <cellStyle name="Commentaire 2 3 2" xfId="496" xr:uid="{00000000-0005-0000-0000-00008A020000}"/>
    <cellStyle name="Commentaire 2 3 3" xfId="1003" xr:uid="{00000000-0005-0000-0000-00008B020000}"/>
    <cellStyle name="Commentaire 2 4" xfId="627" xr:uid="{00000000-0005-0000-0000-00008C020000}"/>
    <cellStyle name="Commentaire 2 5" xfId="711" xr:uid="{00000000-0005-0000-0000-00008D020000}"/>
    <cellStyle name="Commentaire 2 6" xfId="790" xr:uid="{00000000-0005-0000-0000-00008E020000}"/>
    <cellStyle name="Commentaire 2 7" xfId="673" xr:uid="{00000000-0005-0000-0000-00008F020000}"/>
    <cellStyle name="Commentaire 2 8" xfId="869" xr:uid="{00000000-0005-0000-0000-000090020000}"/>
    <cellStyle name="Commentaire 3" xfId="117" xr:uid="{00000000-0005-0000-0000-000091020000}"/>
    <cellStyle name="Commentaire 4" xfId="110" xr:uid="{00000000-0005-0000-0000-000092020000}"/>
    <cellStyle name="Commentaire 5" xfId="128" xr:uid="{00000000-0005-0000-0000-000093020000}"/>
    <cellStyle name="Commentaire 5 2" xfId="367" xr:uid="{00000000-0005-0000-0000-000094020000}"/>
    <cellStyle name="Commentaire 5 3" xfId="939" xr:uid="{00000000-0005-0000-0000-000095020000}"/>
    <cellStyle name="Commentaire 6" xfId="187" xr:uid="{00000000-0005-0000-0000-000096020000}"/>
    <cellStyle name="Commentaire 6 2" xfId="419" xr:uid="{00000000-0005-0000-0000-000097020000}"/>
    <cellStyle name="Commentaire 6 3" xfId="961" xr:uid="{00000000-0005-0000-0000-000098020000}"/>
    <cellStyle name="Commentaire 7" xfId="228" xr:uid="{00000000-0005-0000-0000-000099020000}"/>
    <cellStyle name="Commentaire 7 2" xfId="460" xr:uid="{00000000-0005-0000-0000-00009A020000}"/>
    <cellStyle name="Commentaire 7 3" xfId="989" xr:uid="{00000000-0005-0000-0000-00009B020000}"/>
    <cellStyle name="Commentaire 8" xfId="477" xr:uid="{00000000-0005-0000-0000-00009C020000}"/>
    <cellStyle name="Commentaire 9" xfId="527" xr:uid="{00000000-0005-0000-0000-00009D020000}"/>
    <cellStyle name="Entrée 10" xfId="415" xr:uid="{00000000-0005-0000-0000-00009E020000}"/>
    <cellStyle name="Entrée 11" xfId="45" xr:uid="{00000000-0005-0000-0000-00009F020000}"/>
    <cellStyle name="Entrée 2" xfId="74" xr:uid="{00000000-0005-0000-0000-0000A0020000}"/>
    <cellStyle name="Entrée 2 2" xfId="284" xr:uid="{00000000-0005-0000-0000-0000A1020000}"/>
    <cellStyle name="Entrée 2 2 2" xfId="313" xr:uid="{00000000-0005-0000-0000-0000A2020000}"/>
    <cellStyle name="Entrée 2 2 3" xfId="895" xr:uid="{00000000-0005-0000-0000-0000A3020000}"/>
    <cellStyle name="Entrée 2 3" xfId="490" xr:uid="{00000000-0005-0000-0000-0000A4020000}"/>
    <cellStyle name="Entrée 2 4" xfId="612" xr:uid="{00000000-0005-0000-0000-0000A5020000}"/>
    <cellStyle name="Entrée 2 5" xfId="696" xr:uid="{00000000-0005-0000-0000-0000A6020000}"/>
    <cellStyle name="Entrée 2 6" xfId="776" xr:uid="{00000000-0005-0000-0000-0000A7020000}"/>
    <cellStyle name="Entrée 2 7" xfId="810" xr:uid="{00000000-0005-0000-0000-0000A8020000}"/>
    <cellStyle name="Entrée 2 8" xfId="870" xr:uid="{00000000-0005-0000-0000-0000A9020000}"/>
    <cellStyle name="Entrée 3" xfId="131" xr:uid="{00000000-0005-0000-0000-0000AA020000}"/>
    <cellStyle name="Entrée 4" xfId="181" xr:uid="{00000000-0005-0000-0000-0000AB020000}"/>
    <cellStyle name="Entrée 5" xfId="222" xr:uid="{00000000-0005-0000-0000-0000AC020000}"/>
    <cellStyle name="Entrée 5 2" xfId="461" xr:uid="{00000000-0005-0000-0000-0000AD020000}"/>
    <cellStyle name="Entrée 5 3" xfId="990" xr:uid="{00000000-0005-0000-0000-0000AE020000}"/>
    <cellStyle name="Entrée 6" xfId="464" xr:uid="{00000000-0005-0000-0000-0000AF020000}"/>
    <cellStyle name="Entrée 7" xfId="552" xr:uid="{00000000-0005-0000-0000-0000B0020000}"/>
    <cellStyle name="Entrée 8" xfId="637" xr:uid="{00000000-0005-0000-0000-0000B1020000}"/>
    <cellStyle name="Entrée 9" xfId="763" xr:uid="{00000000-0005-0000-0000-0000B2020000}"/>
    <cellStyle name="Insatisfaisant 10" xfId="420" xr:uid="{00000000-0005-0000-0000-0000B3020000}"/>
    <cellStyle name="Insatisfaisant 11" xfId="46" xr:uid="{00000000-0005-0000-0000-0000B4020000}"/>
    <cellStyle name="Insatisfaisant 2" xfId="72" xr:uid="{00000000-0005-0000-0000-0000B5020000}"/>
    <cellStyle name="Insatisfaisant 2 2" xfId="285" xr:uid="{00000000-0005-0000-0000-0000B6020000}"/>
    <cellStyle name="Insatisfaisant 2 2 2" xfId="311" xr:uid="{00000000-0005-0000-0000-0000B7020000}"/>
    <cellStyle name="Insatisfaisant 2 2 3" xfId="893" xr:uid="{00000000-0005-0000-0000-0000B8020000}"/>
    <cellStyle name="Insatisfaisant 2 3" xfId="488" xr:uid="{00000000-0005-0000-0000-0000B9020000}"/>
    <cellStyle name="Insatisfaisant 2 4" xfId="616" xr:uid="{00000000-0005-0000-0000-0000BA020000}"/>
    <cellStyle name="Insatisfaisant 2 5" xfId="700" xr:uid="{00000000-0005-0000-0000-0000BB020000}"/>
    <cellStyle name="Insatisfaisant 2 6" xfId="780" xr:uid="{00000000-0005-0000-0000-0000BC020000}"/>
    <cellStyle name="Insatisfaisant 2 7" xfId="814" xr:uid="{00000000-0005-0000-0000-0000BD020000}"/>
    <cellStyle name="Insatisfaisant 2 8" xfId="871" xr:uid="{00000000-0005-0000-0000-0000BE020000}"/>
    <cellStyle name="Insatisfaisant 3" xfId="132" xr:uid="{00000000-0005-0000-0000-0000BF020000}"/>
    <cellStyle name="Insatisfaisant 4" xfId="179" xr:uid="{00000000-0005-0000-0000-0000C0020000}"/>
    <cellStyle name="Insatisfaisant 5" xfId="220" xr:uid="{00000000-0005-0000-0000-0000C1020000}"/>
    <cellStyle name="Insatisfaisant 5 2" xfId="462" xr:uid="{00000000-0005-0000-0000-0000C2020000}"/>
    <cellStyle name="Insatisfaisant 5 3" xfId="991" xr:uid="{00000000-0005-0000-0000-0000C3020000}"/>
    <cellStyle name="Insatisfaisant 6" xfId="480" xr:uid="{00000000-0005-0000-0000-0000C4020000}"/>
    <cellStyle name="Insatisfaisant 7" xfId="598" xr:uid="{00000000-0005-0000-0000-0000C5020000}"/>
    <cellStyle name="Insatisfaisant 8" xfId="683" xr:uid="{00000000-0005-0000-0000-0000C6020000}"/>
    <cellStyle name="Insatisfaisant 9" xfId="741" xr:uid="{00000000-0005-0000-0000-0000C7020000}"/>
    <cellStyle name="Milliers" xfId="3" builtinId="3"/>
    <cellStyle name="Milliers 13" xfId="1077" xr:uid="{00000000-0005-0000-0000-0000C9020000}"/>
    <cellStyle name="Milliers 2" xfId="60" xr:uid="{00000000-0005-0000-0000-0000CA020000}"/>
    <cellStyle name="Milliers 2 2" xfId="299" xr:uid="{00000000-0005-0000-0000-0000CB020000}"/>
    <cellStyle name="Milliers 2 3" xfId="476" xr:uid="{00000000-0005-0000-0000-0000CC020000}"/>
    <cellStyle name="Milliers 2 3 3" xfId="1067" xr:uid="{00000000-0005-0000-0000-0000CD020000}"/>
    <cellStyle name="Milliers 2 4" xfId="544" xr:uid="{00000000-0005-0000-0000-0000CE020000}"/>
    <cellStyle name="Milliers 2 5" xfId="629" xr:uid="{00000000-0005-0000-0000-0000CF020000}"/>
    <cellStyle name="Milliers 2 6" xfId="713" xr:uid="{00000000-0005-0000-0000-0000D0020000}"/>
    <cellStyle name="Milliers 2 7" xfId="701" xr:uid="{00000000-0005-0000-0000-0000D1020000}"/>
    <cellStyle name="Milliers 20" xfId="1044" xr:uid="{00000000-0005-0000-0000-0000D2020000}"/>
    <cellStyle name="Milliers 20 2" xfId="1069" xr:uid="{00000000-0005-0000-0000-0000D3020000}"/>
    <cellStyle name="Milliers 21" xfId="1066" xr:uid="{00000000-0005-0000-0000-0000D4020000}"/>
    <cellStyle name="Milliers 21 2" xfId="1081" xr:uid="{00000000-0005-0000-0000-0000D5020000}"/>
    <cellStyle name="Milliers 3" xfId="10" xr:uid="{00000000-0005-0000-0000-0000D6020000}"/>
    <cellStyle name="Milliers 3 2" xfId="1017" xr:uid="{00000000-0005-0000-0000-0000D7020000}"/>
    <cellStyle name="Milliers 4" xfId="142" xr:uid="{00000000-0005-0000-0000-0000D8020000}"/>
    <cellStyle name="Milliers 5" xfId="64" xr:uid="{00000000-0005-0000-0000-0000D9020000}"/>
    <cellStyle name="Milliers 6" xfId="1019" xr:uid="{00000000-0005-0000-0000-0000DA020000}"/>
    <cellStyle name="Neutre 10" xfId="389" xr:uid="{00000000-0005-0000-0000-0000DB020000}"/>
    <cellStyle name="Neutre 11" xfId="47" xr:uid="{00000000-0005-0000-0000-0000DC020000}"/>
    <cellStyle name="Neutre 2" xfId="73" xr:uid="{00000000-0005-0000-0000-0000DD020000}"/>
    <cellStyle name="Neutre 2 2" xfId="286" xr:uid="{00000000-0005-0000-0000-0000DE020000}"/>
    <cellStyle name="Neutre 2 2 2" xfId="312" xr:uid="{00000000-0005-0000-0000-0000DF020000}"/>
    <cellStyle name="Neutre 2 2 3" xfId="894" xr:uid="{00000000-0005-0000-0000-0000E0020000}"/>
    <cellStyle name="Neutre 2 3" xfId="489" xr:uid="{00000000-0005-0000-0000-0000E1020000}"/>
    <cellStyle name="Neutre 2 4" xfId="570" xr:uid="{00000000-0005-0000-0000-0000E2020000}"/>
    <cellStyle name="Neutre 2 5" xfId="655" xr:uid="{00000000-0005-0000-0000-0000E3020000}"/>
    <cellStyle name="Neutre 2 6" xfId="739" xr:uid="{00000000-0005-0000-0000-0000E4020000}"/>
    <cellStyle name="Neutre 2 7" xfId="844" xr:uid="{00000000-0005-0000-0000-0000E5020000}"/>
    <cellStyle name="Neutre 2 8" xfId="872" xr:uid="{00000000-0005-0000-0000-0000E6020000}"/>
    <cellStyle name="Neutre 3" xfId="146" xr:uid="{00000000-0005-0000-0000-0000E7020000}"/>
    <cellStyle name="Neutre 4" xfId="180" xr:uid="{00000000-0005-0000-0000-0000E8020000}"/>
    <cellStyle name="Neutre 5" xfId="221" xr:uid="{00000000-0005-0000-0000-0000E9020000}"/>
    <cellStyle name="Neutre 5 2" xfId="463" xr:uid="{00000000-0005-0000-0000-0000EA020000}"/>
    <cellStyle name="Neutre 5 3" xfId="992" xr:uid="{00000000-0005-0000-0000-0000EB020000}"/>
    <cellStyle name="Neutre 6" xfId="479" xr:uid="{00000000-0005-0000-0000-0000EC020000}"/>
    <cellStyle name="Neutre 7" xfId="572" xr:uid="{00000000-0005-0000-0000-0000ED020000}"/>
    <cellStyle name="Neutre 8" xfId="657" xr:uid="{00000000-0005-0000-0000-0000EE020000}"/>
    <cellStyle name="Neutre 9" xfId="798" xr:uid="{00000000-0005-0000-0000-0000EF020000}"/>
    <cellStyle name="Normal" xfId="0" builtinId="0"/>
    <cellStyle name="Normal 10" xfId="13" xr:uid="{00000000-0005-0000-0000-0000F1020000}"/>
    <cellStyle name="Normal 10 2" xfId="358" xr:uid="{00000000-0005-0000-0000-0000F2020000}"/>
    <cellStyle name="Normal 10 3" xfId="933" xr:uid="{00000000-0005-0000-0000-0000F3020000}"/>
    <cellStyle name="Normal 10 4" xfId="118" xr:uid="{00000000-0005-0000-0000-0000F4020000}"/>
    <cellStyle name="Normal 10 8" xfId="1083" xr:uid="{00000000-0005-0000-0000-0000F5020000}"/>
    <cellStyle name="Normal 11" xfId="59" xr:uid="{00000000-0005-0000-0000-0000F6020000}"/>
    <cellStyle name="Normal 11 2" xfId="121" xr:uid="{00000000-0005-0000-0000-0000F7020000}"/>
    <cellStyle name="Normal 11 2 2" xfId="361" xr:uid="{00000000-0005-0000-0000-0000F8020000}"/>
    <cellStyle name="Normal 11 2 3" xfId="935" xr:uid="{00000000-0005-0000-0000-0000F9020000}"/>
    <cellStyle name="Normal 11 3" xfId="136" xr:uid="{00000000-0005-0000-0000-0000FA020000}"/>
    <cellStyle name="Normal 11 3 2" xfId="373" xr:uid="{00000000-0005-0000-0000-0000FB020000}"/>
    <cellStyle name="Normal 11 3 3" xfId="940" xr:uid="{00000000-0005-0000-0000-0000FC020000}"/>
    <cellStyle name="Normal 11 4" xfId="298" xr:uid="{00000000-0005-0000-0000-0000FD020000}"/>
    <cellStyle name="Normal 11 5" xfId="884" xr:uid="{00000000-0005-0000-0000-0000FE020000}"/>
    <cellStyle name="Normal 12" xfId="599" xr:uid="{00000000-0005-0000-0000-0000FF020000}"/>
    <cellStyle name="Normal 13" xfId="384" xr:uid="{00000000-0005-0000-0000-000000030000}"/>
    <cellStyle name="Normal 14" xfId="764" xr:uid="{00000000-0005-0000-0000-000001030000}"/>
    <cellStyle name="Normal 15" xfId="792" xr:uid="{00000000-0005-0000-0000-000002030000}"/>
    <cellStyle name="Normal 16" xfId="1024" xr:uid="{00000000-0005-0000-0000-000003030000}"/>
    <cellStyle name="Normal 17" xfId="1022" xr:uid="{00000000-0005-0000-0000-000004030000}"/>
    <cellStyle name="Normal 18" xfId="1025" xr:uid="{00000000-0005-0000-0000-000005030000}"/>
    <cellStyle name="Normal 19" xfId="1023" xr:uid="{00000000-0005-0000-0000-000006030000}"/>
    <cellStyle name="Normal 2" xfId="1" xr:uid="{00000000-0005-0000-0000-000007030000}"/>
    <cellStyle name="Normal 2 2" xfId="301" xr:uid="{00000000-0005-0000-0000-000008030000}"/>
    <cellStyle name="Normal 2 3" xfId="478" xr:uid="{00000000-0005-0000-0000-000009030000}"/>
    <cellStyle name="Normal 2 4" xfId="533" xr:uid="{00000000-0005-0000-0000-00000A030000}"/>
    <cellStyle name="Normal 2 5" xfId="582" xr:uid="{00000000-0005-0000-0000-00000B030000}"/>
    <cellStyle name="Normal 2 6" xfId="667" xr:uid="{00000000-0005-0000-0000-00000C030000}"/>
    <cellStyle name="Normal 2 7" xfId="816" xr:uid="{00000000-0005-0000-0000-00000D030000}"/>
    <cellStyle name="Normal 20" xfId="1028" xr:uid="{00000000-0005-0000-0000-00000E030000}"/>
    <cellStyle name="Normal 21" xfId="1026" xr:uid="{00000000-0005-0000-0000-00000F030000}"/>
    <cellStyle name="Normal 22" xfId="1027" xr:uid="{00000000-0005-0000-0000-000010030000}"/>
    <cellStyle name="Normal 23" xfId="1029" xr:uid="{00000000-0005-0000-0000-000011030000}"/>
    <cellStyle name="Normal 24" xfId="1030" xr:uid="{00000000-0005-0000-0000-000012030000}"/>
    <cellStyle name="Normal 25" xfId="1033" xr:uid="{00000000-0005-0000-0000-000013030000}"/>
    <cellStyle name="Normal 26" xfId="1031" xr:uid="{00000000-0005-0000-0000-000014030000}"/>
    <cellStyle name="Normal 27" xfId="1039" xr:uid="{00000000-0005-0000-0000-000015030000}"/>
    <cellStyle name="Normal 28" xfId="1032" xr:uid="{00000000-0005-0000-0000-000016030000}"/>
    <cellStyle name="Normal 29" xfId="1037" xr:uid="{00000000-0005-0000-0000-000017030000}"/>
    <cellStyle name="Normal 3" xfId="9" xr:uid="{00000000-0005-0000-0000-000018030000}"/>
    <cellStyle name="Normal 3 2" xfId="1016" xr:uid="{00000000-0005-0000-0000-000019030000}"/>
    <cellStyle name="Normal 3 3" xfId="62" xr:uid="{00000000-0005-0000-0000-00001A030000}"/>
    <cellStyle name="Normal 30" xfId="1038" xr:uid="{00000000-0005-0000-0000-00001B030000}"/>
    <cellStyle name="Normal 31" xfId="1041" xr:uid="{00000000-0005-0000-0000-00001C030000}"/>
    <cellStyle name="Normal 32" xfId="1042" xr:uid="{00000000-0005-0000-0000-00001D030000}"/>
    <cellStyle name="Normal 33" xfId="1040" xr:uid="{00000000-0005-0000-0000-00001E030000}"/>
    <cellStyle name="Normal 34" xfId="1034" xr:uid="{00000000-0005-0000-0000-00001F030000}"/>
    <cellStyle name="Normal 35" xfId="1035" xr:uid="{00000000-0005-0000-0000-000020030000}"/>
    <cellStyle name="Normal 36" xfId="1036" xr:uid="{00000000-0005-0000-0000-000021030000}"/>
    <cellStyle name="Normal 37" xfId="1046" xr:uid="{00000000-0005-0000-0000-000022030000}"/>
    <cellStyle name="Normal 38" xfId="1051" xr:uid="{00000000-0005-0000-0000-000023030000}"/>
    <cellStyle name="Normal 39" xfId="1048" xr:uid="{00000000-0005-0000-0000-000024030000}"/>
    <cellStyle name="Normal 4" xfId="11" xr:uid="{00000000-0005-0000-0000-000025030000}"/>
    <cellStyle name="Normal 4 2" xfId="63" xr:uid="{00000000-0005-0000-0000-000026030000}"/>
    <cellStyle name="Normal 40" xfId="1052" xr:uid="{00000000-0005-0000-0000-000027030000}"/>
    <cellStyle name="Normal 41" xfId="1053" xr:uid="{00000000-0005-0000-0000-000028030000}"/>
    <cellStyle name="Normal 42" xfId="1049" xr:uid="{00000000-0005-0000-0000-000029030000}"/>
    <cellStyle name="Normal 43" xfId="1050" xr:uid="{00000000-0005-0000-0000-00002A030000}"/>
    <cellStyle name="Normal 44" xfId="1058" xr:uid="{00000000-0005-0000-0000-00002B030000}"/>
    <cellStyle name="Normal 45" xfId="1055" xr:uid="{00000000-0005-0000-0000-00002C030000}"/>
    <cellStyle name="Normal 46" xfId="1054" xr:uid="{00000000-0005-0000-0000-00002D030000}"/>
    <cellStyle name="Normal 47" xfId="1056" xr:uid="{00000000-0005-0000-0000-00002E030000}"/>
    <cellStyle name="Normal 48" xfId="1059" xr:uid="{00000000-0005-0000-0000-00002F030000}"/>
    <cellStyle name="Normal 49" xfId="1060" xr:uid="{00000000-0005-0000-0000-000030030000}"/>
    <cellStyle name="Normal 5" xfId="15" xr:uid="{00000000-0005-0000-0000-000031030000}"/>
    <cellStyle name="Normal 5 2" xfId="61" xr:uid="{00000000-0005-0000-0000-000032030000}"/>
    <cellStyle name="Normal 5 2 2" xfId="123" xr:uid="{00000000-0005-0000-0000-000033030000}"/>
    <cellStyle name="Normal 5 2 2 2" xfId="363" xr:uid="{00000000-0005-0000-0000-000034030000}"/>
    <cellStyle name="Normal 5 2 2 3" xfId="936" xr:uid="{00000000-0005-0000-0000-000035030000}"/>
    <cellStyle name="Normal 5 2 3" xfId="138" xr:uid="{00000000-0005-0000-0000-000036030000}"/>
    <cellStyle name="Normal 5 2 3 2" xfId="375" xr:uid="{00000000-0005-0000-0000-000037030000}"/>
    <cellStyle name="Normal 5 2 3 3" xfId="941" xr:uid="{00000000-0005-0000-0000-000038030000}"/>
    <cellStyle name="Normal 5 2 4" xfId="300" xr:uid="{00000000-0005-0000-0000-000039030000}"/>
    <cellStyle name="Normal 5 2 5" xfId="885" xr:uid="{00000000-0005-0000-0000-00003A030000}"/>
    <cellStyle name="Normal 5 3" xfId="120" xr:uid="{00000000-0005-0000-0000-00003B030000}"/>
    <cellStyle name="Normal 5 3 2" xfId="360" xr:uid="{00000000-0005-0000-0000-00003C030000}"/>
    <cellStyle name="Normal 5 3 3" xfId="934" xr:uid="{00000000-0005-0000-0000-00003D030000}"/>
    <cellStyle name="Normal 5 4" xfId="125" xr:uid="{00000000-0005-0000-0000-00003E030000}"/>
    <cellStyle name="Normal 5 4 2" xfId="365" xr:uid="{00000000-0005-0000-0000-00003F030000}"/>
    <cellStyle name="Normal 5 4 3" xfId="937" xr:uid="{00000000-0005-0000-0000-000040030000}"/>
    <cellStyle name="Normal 5 5" xfId="287" xr:uid="{00000000-0005-0000-0000-000041030000}"/>
    <cellStyle name="Normal 5 6" xfId="873" xr:uid="{00000000-0005-0000-0000-000042030000}"/>
    <cellStyle name="Normal 5 7" xfId="48" xr:uid="{00000000-0005-0000-0000-000043030000}"/>
    <cellStyle name="Normal 50" xfId="1063" xr:uid="{00000000-0005-0000-0000-000044030000}"/>
    <cellStyle name="Normal 51" xfId="1061" xr:uid="{00000000-0005-0000-0000-000045030000}"/>
    <cellStyle name="Normal 52" xfId="1057" xr:uid="{00000000-0005-0000-0000-000046030000}"/>
    <cellStyle name="Normal 53" xfId="1064" xr:uid="{00000000-0005-0000-0000-000047030000}"/>
    <cellStyle name="Normal 54" xfId="1062" xr:uid="{00000000-0005-0000-0000-000048030000}"/>
    <cellStyle name="Normal 55" xfId="1070" xr:uid="{00000000-0005-0000-0000-000049030000}"/>
    <cellStyle name="Normal 56" xfId="1071" xr:uid="{00000000-0005-0000-0000-00004A030000}"/>
    <cellStyle name="Normal 57" xfId="1073" xr:uid="{00000000-0005-0000-0000-00004B030000}"/>
    <cellStyle name="Normal 58" xfId="1074" xr:uid="{00000000-0005-0000-0000-00004C030000}"/>
    <cellStyle name="Normal 59" xfId="1072" xr:uid="{00000000-0005-0000-0000-00004D030000}"/>
    <cellStyle name="Normal 6" xfId="4" xr:uid="{00000000-0005-0000-0000-00004E030000}"/>
    <cellStyle name="Normal 6 2" xfId="143" xr:uid="{00000000-0005-0000-0000-00004F030000}"/>
    <cellStyle name="Normal 6 2 2" xfId="379" xr:uid="{00000000-0005-0000-0000-000050030000}"/>
    <cellStyle name="Normal 6 2 3" xfId="943" xr:uid="{00000000-0005-0000-0000-000051030000}"/>
    <cellStyle name="Normal 6 3" xfId="304" xr:uid="{00000000-0005-0000-0000-000052030000}"/>
    <cellStyle name="Normal 6 4" xfId="886" xr:uid="{00000000-0005-0000-0000-000053030000}"/>
    <cellStyle name="Normal 6 5" xfId="65" xr:uid="{00000000-0005-0000-0000-000054030000}"/>
    <cellStyle name="Normal 60" xfId="1075" xr:uid="{00000000-0005-0000-0000-000055030000}"/>
    <cellStyle name="Normal 61" xfId="1076" xr:uid="{00000000-0005-0000-0000-000056030000}"/>
    <cellStyle name="Normal 62" xfId="1078" xr:uid="{00000000-0005-0000-0000-000057030000}"/>
    <cellStyle name="Normal 64" xfId="1079" xr:uid="{00000000-0005-0000-0000-000058030000}"/>
    <cellStyle name="Normal 65" xfId="1084" xr:uid="{00000000-0005-0000-0000-000059030000}"/>
    <cellStyle name="Normal 7" xfId="14" xr:uid="{00000000-0005-0000-0000-00005A030000}"/>
    <cellStyle name="Normal 78" xfId="12" xr:uid="{00000000-0005-0000-0000-00005B030000}"/>
    <cellStyle name="Normal 8" xfId="124" xr:uid="{00000000-0005-0000-0000-00005C030000}"/>
    <cellStyle name="Normal 80 2" xfId="1045" xr:uid="{00000000-0005-0000-0000-00005D030000}"/>
    <cellStyle name="Normal 80 2 2" xfId="1068" xr:uid="{00000000-0005-0000-0000-00005E030000}"/>
    <cellStyle name="Normal 80 2 2 2" xfId="1082" xr:uid="{00000000-0005-0000-0000-00005F030000}"/>
    <cellStyle name="Normal 81" xfId="1043" xr:uid="{00000000-0005-0000-0000-000060030000}"/>
    <cellStyle name="Normal 81 2" xfId="1065" xr:uid="{00000000-0005-0000-0000-000061030000}"/>
    <cellStyle name="Normal 81 2 2" xfId="1080" xr:uid="{00000000-0005-0000-0000-000062030000}"/>
    <cellStyle name="Normal 9" xfId="16" xr:uid="{00000000-0005-0000-0000-000063030000}"/>
    <cellStyle name="Normal 9 2" xfId="1047" xr:uid="{00000000-0005-0000-0000-000064030000}"/>
    <cellStyle name="Normal_B-CAR conso03 uec déf 2" xfId="6" xr:uid="{00000000-0005-0000-0000-000065030000}"/>
    <cellStyle name="Normal_B-CAR06 uec déf" xfId="1085" xr:uid="{00000000-0005-0000-0000-000066030000}"/>
    <cellStyle name="Note 2" xfId="44" xr:uid="{00000000-0005-0000-0000-000067030000}"/>
    <cellStyle name="Percent 3" xfId="7" xr:uid="{00000000-0005-0000-0000-000068030000}"/>
    <cellStyle name="Pourcentage" xfId="5" builtinId="5"/>
    <cellStyle name="Pourcentage 2" xfId="2" xr:uid="{00000000-0005-0000-0000-00006A030000}"/>
    <cellStyle name="Pourcentage 2 2" xfId="1018" xr:uid="{00000000-0005-0000-0000-00006B030000}"/>
    <cellStyle name="Satisfaisant 10" xfId="372" xr:uid="{00000000-0005-0000-0000-00006C030000}"/>
    <cellStyle name="Satisfaisant 11" xfId="49" xr:uid="{00000000-0005-0000-0000-00006D030000}"/>
    <cellStyle name="Satisfaisant 2" xfId="71" xr:uid="{00000000-0005-0000-0000-00006E030000}"/>
    <cellStyle name="Satisfaisant 2 2" xfId="288" xr:uid="{00000000-0005-0000-0000-00006F030000}"/>
    <cellStyle name="Satisfaisant 2 2 2" xfId="310" xr:uid="{00000000-0005-0000-0000-000070030000}"/>
    <cellStyle name="Satisfaisant 2 2 3" xfId="892" xr:uid="{00000000-0005-0000-0000-000071030000}"/>
    <cellStyle name="Satisfaisant 2 3" xfId="487" xr:uid="{00000000-0005-0000-0000-000072030000}"/>
    <cellStyle name="Satisfaisant 2 4" xfId="571" xr:uid="{00000000-0005-0000-0000-000073030000}"/>
    <cellStyle name="Satisfaisant 2 5" xfId="656" xr:uid="{00000000-0005-0000-0000-000074030000}"/>
    <cellStyle name="Satisfaisant 2 6" xfId="740" xr:uid="{00000000-0005-0000-0000-000075030000}"/>
    <cellStyle name="Satisfaisant 2 7" xfId="847" xr:uid="{00000000-0005-0000-0000-000076030000}"/>
    <cellStyle name="Satisfaisant 2 8" xfId="874" xr:uid="{00000000-0005-0000-0000-000077030000}"/>
    <cellStyle name="Satisfaisant 3" xfId="147" xr:uid="{00000000-0005-0000-0000-000078030000}"/>
    <cellStyle name="Satisfaisant 4" xfId="178" xr:uid="{00000000-0005-0000-0000-000079030000}"/>
    <cellStyle name="Satisfaisant 5" xfId="219" xr:uid="{00000000-0005-0000-0000-00007A030000}"/>
    <cellStyle name="Satisfaisant 5 2" xfId="465" xr:uid="{00000000-0005-0000-0000-00007B030000}"/>
    <cellStyle name="Satisfaisant 5 3" xfId="993" xr:uid="{00000000-0005-0000-0000-00007C030000}"/>
    <cellStyle name="Satisfaisant 6" xfId="537" xr:uid="{00000000-0005-0000-0000-00007D030000}"/>
    <cellStyle name="Satisfaisant 7" xfId="609" xr:uid="{00000000-0005-0000-0000-00007E030000}"/>
    <cellStyle name="Satisfaisant 8" xfId="693" xr:uid="{00000000-0005-0000-0000-00007F030000}"/>
    <cellStyle name="Satisfaisant 9" xfId="766" xr:uid="{00000000-0005-0000-0000-000080030000}"/>
    <cellStyle name="Sortie 10" xfId="381" xr:uid="{00000000-0005-0000-0000-000081030000}"/>
    <cellStyle name="Sortie 11" xfId="50" xr:uid="{00000000-0005-0000-0000-000082030000}"/>
    <cellStyle name="Sortie 2" xfId="75" xr:uid="{00000000-0005-0000-0000-000083030000}"/>
    <cellStyle name="Sortie 2 2" xfId="289" xr:uid="{00000000-0005-0000-0000-000084030000}"/>
    <cellStyle name="Sortie 2 2 2" xfId="314" xr:uid="{00000000-0005-0000-0000-000085030000}"/>
    <cellStyle name="Sortie 2 2 3" xfId="896" xr:uid="{00000000-0005-0000-0000-000086030000}"/>
    <cellStyle name="Sortie 2 3" xfId="491" xr:uid="{00000000-0005-0000-0000-000087030000}"/>
    <cellStyle name="Sortie 2 4" xfId="565" xr:uid="{00000000-0005-0000-0000-000088030000}"/>
    <cellStyle name="Sortie 2 5" xfId="650" xr:uid="{00000000-0005-0000-0000-000089030000}"/>
    <cellStyle name="Sortie 2 6" xfId="734" xr:uid="{00000000-0005-0000-0000-00008A030000}"/>
    <cellStyle name="Sortie 2 7" xfId="841" xr:uid="{00000000-0005-0000-0000-00008B030000}"/>
    <cellStyle name="Sortie 2 8" xfId="875" xr:uid="{00000000-0005-0000-0000-00008C030000}"/>
    <cellStyle name="Sortie 3" xfId="145" xr:uid="{00000000-0005-0000-0000-00008D030000}"/>
    <cellStyle name="Sortie 4" xfId="182" xr:uid="{00000000-0005-0000-0000-00008E030000}"/>
    <cellStyle name="Sortie 5" xfId="223" xr:uid="{00000000-0005-0000-0000-00008F030000}"/>
    <cellStyle name="Sortie 5 2" xfId="466" xr:uid="{00000000-0005-0000-0000-000090030000}"/>
    <cellStyle name="Sortie 5 3" xfId="994" xr:uid="{00000000-0005-0000-0000-000091030000}"/>
    <cellStyle name="Sortie 6" xfId="475" xr:uid="{00000000-0005-0000-0000-000092030000}"/>
    <cellStyle name="Sortie 7" xfId="601" xr:uid="{00000000-0005-0000-0000-000093030000}"/>
    <cellStyle name="Sortie 8" xfId="685" xr:uid="{00000000-0005-0000-0000-000094030000}"/>
    <cellStyle name="Sortie 9" xfId="777" xr:uid="{00000000-0005-0000-0000-000095030000}"/>
    <cellStyle name="Texte explicatif 10" xfId="302" xr:uid="{00000000-0005-0000-0000-000096030000}"/>
    <cellStyle name="Texte explicatif 11" xfId="51" xr:uid="{00000000-0005-0000-0000-000097030000}"/>
    <cellStyle name="Texte explicatif 2" xfId="81" xr:uid="{00000000-0005-0000-0000-000098030000}"/>
    <cellStyle name="Texte explicatif 2 2" xfId="290" xr:uid="{00000000-0005-0000-0000-000099030000}"/>
    <cellStyle name="Texte explicatif 2 2 2" xfId="320" xr:uid="{00000000-0005-0000-0000-00009A030000}"/>
    <cellStyle name="Texte explicatif 2 2 3" xfId="902" xr:uid="{00000000-0005-0000-0000-00009B030000}"/>
    <cellStyle name="Texte explicatif 2 3" xfId="497" xr:uid="{00000000-0005-0000-0000-00009C030000}"/>
    <cellStyle name="Texte explicatif 2 4" xfId="532" xr:uid="{00000000-0005-0000-0000-00009D030000}"/>
    <cellStyle name="Texte explicatif 2 5" xfId="528" xr:uid="{00000000-0005-0000-0000-00009E030000}"/>
    <cellStyle name="Texte explicatif 2 6" xfId="588" xr:uid="{00000000-0005-0000-0000-00009F030000}"/>
    <cellStyle name="Texte explicatif 2 7" xfId="852" xr:uid="{00000000-0005-0000-0000-0000A0030000}"/>
    <cellStyle name="Texte explicatif 2 8" xfId="876" xr:uid="{00000000-0005-0000-0000-0000A1030000}"/>
    <cellStyle name="Texte explicatif 3" xfId="153" xr:uid="{00000000-0005-0000-0000-0000A2030000}"/>
    <cellStyle name="Texte explicatif 4" xfId="188" xr:uid="{00000000-0005-0000-0000-0000A3030000}"/>
    <cellStyle name="Texte explicatif 5" xfId="229" xr:uid="{00000000-0005-0000-0000-0000A4030000}"/>
    <cellStyle name="Texte explicatif 5 2" xfId="467" xr:uid="{00000000-0005-0000-0000-0000A5030000}"/>
    <cellStyle name="Texte explicatif 5 3" xfId="995" xr:uid="{00000000-0005-0000-0000-0000A6030000}"/>
    <cellStyle name="Texte explicatif 6" xfId="534" xr:uid="{00000000-0005-0000-0000-0000A7030000}"/>
    <cellStyle name="Texte explicatif 7" xfId="613" xr:uid="{00000000-0005-0000-0000-0000A8030000}"/>
    <cellStyle name="Texte explicatif 8" xfId="697" xr:uid="{00000000-0005-0000-0000-0000A9030000}"/>
    <cellStyle name="Texte explicatif 9" xfId="832" xr:uid="{00000000-0005-0000-0000-0000AA030000}"/>
    <cellStyle name="Titre 10" xfId="410" xr:uid="{00000000-0005-0000-0000-0000AB030000}"/>
    <cellStyle name="Titre 11" xfId="52" xr:uid="{00000000-0005-0000-0000-0000AC030000}"/>
    <cellStyle name="Titre 2" xfId="66" xr:uid="{00000000-0005-0000-0000-0000AD030000}"/>
    <cellStyle name="Titre 2 2" xfId="291" xr:uid="{00000000-0005-0000-0000-0000AE030000}"/>
    <cellStyle name="Titre 2 2 2" xfId="305" xr:uid="{00000000-0005-0000-0000-0000AF030000}"/>
    <cellStyle name="Titre 2 2 3" xfId="887" xr:uid="{00000000-0005-0000-0000-0000B0030000}"/>
    <cellStyle name="Titre 2 3" xfId="482" xr:uid="{00000000-0005-0000-0000-0000B1030000}"/>
    <cellStyle name="Titre 2 4" xfId="600" xr:uid="{00000000-0005-0000-0000-0000B2030000}"/>
    <cellStyle name="Titre 2 5" xfId="684" xr:uid="{00000000-0005-0000-0000-0000B3030000}"/>
    <cellStyle name="Titre 2 6" xfId="765" xr:uid="{00000000-0005-0000-0000-0000B4030000}"/>
    <cellStyle name="Titre 2 7" xfId="817" xr:uid="{00000000-0005-0000-0000-0000B5030000}"/>
    <cellStyle name="Titre 2 8" xfId="877" xr:uid="{00000000-0005-0000-0000-0000B6030000}"/>
    <cellStyle name="Titre 3" xfId="135" xr:uid="{00000000-0005-0000-0000-0000B7030000}"/>
    <cellStyle name="Titre 4" xfId="122" xr:uid="{00000000-0005-0000-0000-0000B8030000}"/>
    <cellStyle name="Titre 5" xfId="214" xr:uid="{00000000-0005-0000-0000-0000B9030000}"/>
    <cellStyle name="Titre 5 2" xfId="468" xr:uid="{00000000-0005-0000-0000-0000BA030000}"/>
    <cellStyle name="Titre 5 3" xfId="996" xr:uid="{00000000-0005-0000-0000-0000BB030000}"/>
    <cellStyle name="Titre 6" xfId="595" xr:uid="{00000000-0005-0000-0000-0000BC030000}"/>
    <cellStyle name="Titre 7" xfId="680" xr:uid="{00000000-0005-0000-0000-0000BD030000}"/>
    <cellStyle name="Titre 8" xfId="760" xr:uid="{00000000-0005-0000-0000-0000BE030000}"/>
    <cellStyle name="Titre 9" xfId="806" xr:uid="{00000000-0005-0000-0000-0000BF030000}"/>
    <cellStyle name="Titre 1 10" xfId="371" xr:uid="{00000000-0005-0000-0000-0000C0030000}"/>
    <cellStyle name="Titre 1 11" xfId="53" xr:uid="{00000000-0005-0000-0000-0000C1030000}"/>
    <cellStyle name="Titre 1 2" xfId="67" xr:uid="{00000000-0005-0000-0000-0000C2030000}"/>
    <cellStyle name="Titre 1 2 2" xfId="292" xr:uid="{00000000-0005-0000-0000-0000C3030000}"/>
    <cellStyle name="Titre 1 2 2 2" xfId="306" xr:uid="{00000000-0005-0000-0000-0000C4030000}"/>
    <cellStyle name="Titre 1 2 2 3" xfId="888" xr:uid="{00000000-0005-0000-0000-0000C5030000}"/>
    <cellStyle name="Titre 1 2 3" xfId="483" xr:uid="{00000000-0005-0000-0000-0000C6030000}"/>
    <cellStyle name="Titre 1 2 4" xfId="573" xr:uid="{00000000-0005-0000-0000-0000C7030000}"/>
    <cellStyle name="Titre 1 2 5" xfId="658" xr:uid="{00000000-0005-0000-0000-0000C8030000}"/>
    <cellStyle name="Titre 1 2 6" xfId="742" xr:uid="{00000000-0005-0000-0000-0000C9030000}"/>
    <cellStyle name="Titre 1 2 7" xfId="853" xr:uid="{00000000-0005-0000-0000-0000CA030000}"/>
    <cellStyle name="Titre 1 2 8" xfId="878" xr:uid="{00000000-0005-0000-0000-0000CB030000}"/>
    <cellStyle name="Titre 1 3" xfId="159" xr:uid="{00000000-0005-0000-0000-0000CC030000}"/>
    <cellStyle name="Titre 1 4" xfId="119" xr:uid="{00000000-0005-0000-0000-0000CD030000}"/>
    <cellStyle name="Titre 1 5" xfId="215" xr:uid="{00000000-0005-0000-0000-0000CE030000}"/>
    <cellStyle name="Titre 1 5 2" xfId="469" xr:uid="{00000000-0005-0000-0000-0000CF030000}"/>
    <cellStyle name="Titre 1 5 3" xfId="997" xr:uid="{00000000-0005-0000-0000-0000D0030000}"/>
    <cellStyle name="Titre 1 6" xfId="561" xr:uid="{00000000-0005-0000-0000-0000D1030000}"/>
    <cellStyle name="Titre 1 7" xfId="646" xr:uid="{00000000-0005-0000-0000-0000D2030000}"/>
    <cellStyle name="Titre 1 8" xfId="730" xr:uid="{00000000-0005-0000-0000-0000D3030000}"/>
    <cellStyle name="Titre 1 9" xfId="803" xr:uid="{00000000-0005-0000-0000-0000D4030000}"/>
    <cellStyle name="Titre 2 10" xfId="359" xr:uid="{00000000-0005-0000-0000-0000D5030000}"/>
    <cellStyle name="Titre 2 11" xfId="54" xr:uid="{00000000-0005-0000-0000-0000D6030000}"/>
    <cellStyle name="Titre 2 2" xfId="68" xr:uid="{00000000-0005-0000-0000-0000D7030000}"/>
    <cellStyle name="Titre 2 2 2" xfId="293" xr:uid="{00000000-0005-0000-0000-0000D8030000}"/>
    <cellStyle name="Titre 2 2 2 2" xfId="307" xr:uid="{00000000-0005-0000-0000-0000D9030000}"/>
    <cellStyle name="Titre 2 2 2 3" xfId="889" xr:uid="{00000000-0005-0000-0000-0000DA030000}"/>
    <cellStyle name="Titre 2 2 3" xfId="484" xr:uid="{00000000-0005-0000-0000-0000DB030000}"/>
    <cellStyle name="Titre 2 2 4" xfId="624" xr:uid="{00000000-0005-0000-0000-0000DC030000}"/>
    <cellStyle name="Titre 2 2 5" xfId="708" xr:uid="{00000000-0005-0000-0000-0000DD030000}"/>
    <cellStyle name="Titre 2 2 6" xfId="787" xr:uid="{00000000-0005-0000-0000-0000DE030000}"/>
    <cellStyle name="Titre 2 2 7" xfId="823" xr:uid="{00000000-0005-0000-0000-0000DF030000}"/>
    <cellStyle name="Titre 2 2 8" xfId="879" xr:uid="{00000000-0005-0000-0000-0000E0030000}"/>
    <cellStyle name="Titre 2 3" xfId="134" xr:uid="{00000000-0005-0000-0000-0000E1030000}"/>
    <cellStyle name="Titre 2 4" xfId="175" xr:uid="{00000000-0005-0000-0000-0000E2030000}"/>
    <cellStyle name="Titre 2 5" xfId="216" xr:uid="{00000000-0005-0000-0000-0000E3030000}"/>
    <cellStyle name="Titre 2 5 2" xfId="470" xr:uid="{00000000-0005-0000-0000-0000E4030000}"/>
    <cellStyle name="Titre 2 5 3" xfId="998" xr:uid="{00000000-0005-0000-0000-0000E5030000}"/>
    <cellStyle name="Titre 2 6" xfId="558" xr:uid="{00000000-0005-0000-0000-0000E6030000}"/>
    <cellStyle name="Titre 2 7" xfId="643" xr:uid="{00000000-0005-0000-0000-0000E7030000}"/>
    <cellStyle name="Titre 2 8" xfId="727" xr:uid="{00000000-0005-0000-0000-0000E8030000}"/>
    <cellStyle name="Titre 2 9" xfId="831" xr:uid="{00000000-0005-0000-0000-0000E9030000}"/>
    <cellStyle name="Titre 3 10" xfId="394" xr:uid="{00000000-0005-0000-0000-0000EA030000}"/>
    <cellStyle name="Titre 3 11" xfId="55" xr:uid="{00000000-0005-0000-0000-0000EB030000}"/>
    <cellStyle name="Titre 3 2" xfId="69" xr:uid="{00000000-0005-0000-0000-0000EC030000}"/>
    <cellStyle name="Titre 3 2 2" xfId="294" xr:uid="{00000000-0005-0000-0000-0000ED030000}"/>
    <cellStyle name="Titre 3 2 2 2" xfId="308" xr:uid="{00000000-0005-0000-0000-0000EE030000}"/>
    <cellStyle name="Titre 3 2 2 3" xfId="890" xr:uid="{00000000-0005-0000-0000-0000EF030000}"/>
    <cellStyle name="Titre 3 2 3" xfId="485" xr:uid="{00000000-0005-0000-0000-0000F0030000}"/>
    <cellStyle name="Titre 3 2 4" xfId="584" xr:uid="{00000000-0005-0000-0000-0000F1030000}"/>
    <cellStyle name="Titre 3 2 5" xfId="669" xr:uid="{00000000-0005-0000-0000-0000F2030000}"/>
    <cellStyle name="Titre 3 2 6" xfId="750" xr:uid="{00000000-0005-0000-0000-0000F3030000}"/>
    <cellStyle name="Titre 3 2 7" xfId="850" xr:uid="{00000000-0005-0000-0000-0000F4030000}"/>
    <cellStyle name="Titre 3 2 8" xfId="880" xr:uid="{00000000-0005-0000-0000-0000F5030000}"/>
    <cellStyle name="Titre 3 3" xfId="148" xr:uid="{00000000-0005-0000-0000-0000F6030000}"/>
    <cellStyle name="Titre 3 4" xfId="176" xr:uid="{00000000-0005-0000-0000-0000F7030000}"/>
    <cellStyle name="Titre 3 5" xfId="217" xr:uid="{00000000-0005-0000-0000-0000F8030000}"/>
    <cellStyle name="Titre 3 5 2" xfId="471" xr:uid="{00000000-0005-0000-0000-0000F9030000}"/>
    <cellStyle name="Titre 3 5 3" xfId="999" xr:uid="{00000000-0005-0000-0000-0000FA030000}"/>
    <cellStyle name="Titre 3 6" xfId="594" xr:uid="{00000000-0005-0000-0000-0000FB030000}"/>
    <cellStyle name="Titre 3 7" xfId="679" xr:uid="{00000000-0005-0000-0000-0000FC030000}"/>
    <cellStyle name="Titre 3 8" xfId="759" xr:uid="{00000000-0005-0000-0000-0000FD030000}"/>
    <cellStyle name="Titre 3 9" xfId="794" xr:uid="{00000000-0005-0000-0000-0000FE030000}"/>
    <cellStyle name="Titre 4 10" xfId="362" xr:uid="{00000000-0005-0000-0000-0000FF030000}"/>
    <cellStyle name="Titre 4 11" xfId="56" xr:uid="{00000000-0005-0000-0000-000000040000}"/>
    <cellStyle name="Titre 4 2" xfId="70" xr:uid="{00000000-0005-0000-0000-000001040000}"/>
    <cellStyle name="Titre 4 2 2" xfId="295" xr:uid="{00000000-0005-0000-0000-000002040000}"/>
    <cellStyle name="Titre 4 2 2 2" xfId="309" xr:uid="{00000000-0005-0000-0000-000003040000}"/>
    <cellStyle name="Titre 4 2 2 3" xfId="891" xr:uid="{00000000-0005-0000-0000-000004040000}"/>
    <cellStyle name="Titre 4 2 3" xfId="486" xr:uid="{00000000-0005-0000-0000-000005040000}"/>
    <cellStyle name="Titre 4 2 4" xfId="620" xr:uid="{00000000-0005-0000-0000-000006040000}"/>
    <cellStyle name="Titre 4 2 5" xfId="704" xr:uid="{00000000-0005-0000-0000-000007040000}"/>
    <cellStyle name="Titre 4 2 6" xfId="783" xr:uid="{00000000-0005-0000-0000-000008040000}"/>
    <cellStyle name="Titre 4 2 7" xfId="815" xr:uid="{00000000-0005-0000-0000-000009040000}"/>
    <cellStyle name="Titre 4 2 8" xfId="881" xr:uid="{00000000-0005-0000-0000-00000A040000}"/>
    <cellStyle name="Titre 4 3" xfId="133" xr:uid="{00000000-0005-0000-0000-00000B040000}"/>
    <cellStyle name="Titre 4 4" xfId="177" xr:uid="{00000000-0005-0000-0000-00000C040000}"/>
    <cellStyle name="Titre 4 5" xfId="218" xr:uid="{00000000-0005-0000-0000-00000D040000}"/>
    <cellStyle name="Titre 4 5 2" xfId="472" xr:uid="{00000000-0005-0000-0000-00000E040000}"/>
    <cellStyle name="Titre 4 5 3" xfId="1000" xr:uid="{00000000-0005-0000-0000-00000F040000}"/>
    <cellStyle name="Titre 4 6" xfId="548" xr:uid="{00000000-0005-0000-0000-000010040000}"/>
    <cellStyle name="Titre 4 7" xfId="633" xr:uid="{00000000-0005-0000-0000-000011040000}"/>
    <cellStyle name="Titre 4 8" xfId="717" xr:uid="{00000000-0005-0000-0000-000012040000}"/>
    <cellStyle name="Titre 4 9" xfId="833" xr:uid="{00000000-0005-0000-0000-000013040000}"/>
    <cellStyle name="Total 10" xfId="255" xr:uid="{00000000-0005-0000-0000-000014040000}"/>
    <cellStyle name="Total 11" xfId="57" xr:uid="{00000000-0005-0000-0000-000015040000}"/>
    <cellStyle name="Total 2" xfId="82" xr:uid="{00000000-0005-0000-0000-000016040000}"/>
    <cellStyle name="Total 2 2" xfId="296" xr:uid="{00000000-0005-0000-0000-000017040000}"/>
    <cellStyle name="Total 2 2 2" xfId="321" xr:uid="{00000000-0005-0000-0000-000018040000}"/>
    <cellStyle name="Total 2 2 3" xfId="903" xr:uid="{00000000-0005-0000-0000-000019040000}"/>
    <cellStyle name="Total 2 3" xfId="498" xr:uid="{00000000-0005-0000-0000-00001A040000}"/>
    <cellStyle name="Total 2 4" xfId="623" xr:uid="{00000000-0005-0000-0000-00001B040000}"/>
    <cellStyle name="Total 2 5" xfId="707" xr:uid="{00000000-0005-0000-0000-00001C040000}"/>
    <cellStyle name="Total 2 6" xfId="786" xr:uid="{00000000-0005-0000-0000-00001D040000}"/>
    <cellStyle name="Total 2 7" xfId="751" xr:uid="{00000000-0005-0000-0000-00001E040000}"/>
    <cellStyle name="Total 2 8" xfId="882" xr:uid="{00000000-0005-0000-0000-00001F040000}"/>
    <cellStyle name="Total 3" xfId="127" xr:uid="{00000000-0005-0000-0000-000020040000}"/>
    <cellStyle name="Total 4" xfId="189" xr:uid="{00000000-0005-0000-0000-000021040000}"/>
    <cellStyle name="Total 5" xfId="230" xr:uid="{00000000-0005-0000-0000-000022040000}"/>
    <cellStyle name="Total 5 2" xfId="473" xr:uid="{00000000-0005-0000-0000-000023040000}"/>
    <cellStyle name="Total 5 3" xfId="1001" xr:uid="{00000000-0005-0000-0000-000024040000}"/>
    <cellStyle name="Total 6" xfId="596" xr:uid="{00000000-0005-0000-0000-000025040000}"/>
    <cellStyle name="Total 7" xfId="681" xr:uid="{00000000-0005-0000-0000-000026040000}"/>
    <cellStyle name="Total 8" xfId="761" xr:uid="{00000000-0005-0000-0000-000027040000}"/>
    <cellStyle name="Total 9" xfId="793" xr:uid="{00000000-0005-0000-0000-000028040000}"/>
    <cellStyle name="Vérification 10" xfId="364" xr:uid="{00000000-0005-0000-0000-000029040000}"/>
    <cellStyle name="Vérification 11" xfId="58" xr:uid="{00000000-0005-0000-0000-00002A040000}"/>
    <cellStyle name="Vérification 2" xfId="78" xr:uid="{00000000-0005-0000-0000-00002B040000}"/>
    <cellStyle name="Vérification 2 2" xfId="297" xr:uid="{00000000-0005-0000-0000-00002C040000}"/>
    <cellStyle name="Vérification 2 2 2" xfId="317" xr:uid="{00000000-0005-0000-0000-00002D040000}"/>
    <cellStyle name="Vérification 2 2 3" xfId="899" xr:uid="{00000000-0005-0000-0000-00002E040000}"/>
    <cellStyle name="Vérification 2 3" xfId="494" xr:uid="{00000000-0005-0000-0000-00002F040000}"/>
    <cellStyle name="Vérification 2 4" xfId="604" xr:uid="{00000000-0005-0000-0000-000030040000}"/>
    <cellStyle name="Vérification 2 5" xfId="688" xr:uid="{00000000-0005-0000-0000-000031040000}"/>
    <cellStyle name="Vérification 2 6" xfId="769" xr:uid="{00000000-0005-0000-0000-000032040000}"/>
    <cellStyle name="Vérification 2 7" xfId="809" xr:uid="{00000000-0005-0000-0000-000033040000}"/>
    <cellStyle name="Vérification 2 8" xfId="883" xr:uid="{00000000-0005-0000-0000-000034040000}"/>
    <cellStyle name="Vérification 3" xfId="129" xr:uid="{00000000-0005-0000-0000-000035040000}"/>
    <cellStyle name="Vérification 4" xfId="185" xr:uid="{00000000-0005-0000-0000-000036040000}"/>
    <cellStyle name="Vérification 5" xfId="226" xr:uid="{00000000-0005-0000-0000-000037040000}"/>
    <cellStyle name="Vérification 5 2" xfId="474" xr:uid="{00000000-0005-0000-0000-000038040000}"/>
    <cellStyle name="Vérification 5 3" xfId="1002" xr:uid="{00000000-0005-0000-0000-000039040000}"/>
    <cellStyle name="Vérification 6" xfId="547" xr:uid="{00000000-0005-0000-0000-00003A040000}"/>
    <cellStyle name="Vérification 7" xfId="632" xr:uid="{00000000-0005-0000-0000-00003B040000}"/>
    <cellStyle name="Vérification 8" xfId="716" xr:uid="{00000000-0005-0000-0000-00003C040000}"/>
    <cellStyle name="Vérification 9" xfId="835" xr:uid="{00000000-0005-0000-0000-00003D040000}"/>
  </cellStyles>
  <dxfs count="8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3" formatCode="#,##0"/>
    </dxf>
    <dxf>
      <fill>
        <patternFill patternType="solid">
          <fgColor rgb="FFDBE5F1"/>
          <bgColor rgb="FFDBE5F1"/>
        </patternFill>
      </fill>
      <border>
        <bottom style="thin">
          <color rgb="FF95B3D7"/>
        </bottom>
      </border>
    </dxf>
    <dxf>
      <fill>
        <patternFill patternType="solid">
          <fgColor rgb="FFDBE5F1"/>
          <bgColor rgb="FFDBE5F1"/>
        </patternFill>
      </fill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top style="thin">
          <color rgb="FF4F81BD"/>
        </top>
        <bottom style="thin">
          <color rgb="FF4F81BD"/>
        </bottom>
      </border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  <border>
        <left style="thin">
          <color rgb="FFBFBFBF"/>
        </left>
        <right style="thin">
          <color rgb="FFBFBFBF"/>
        </right>
      </border>
    </dxf>
    <dxf>
      <fill>
        <patternFill patternType="solid">
          <fgColor rgb="FFD8D8D8"/>
          <bgColor rgb="FFD8D8D8"/>
        </patternFill>
      </fill>
    </dxf>
    <dxf>
      <font>
        <b/>
        <color rgb="FF000000"/>
      </font>
      <fill>
        <patternFill patternType="solid">
          <fgColor rgb="FFDBE5F1"/>
          <bgColor rgb="FFDBE5F1"/>
        </patternFill>
      </fill>
      <border>
        <top style="thin">
          <color rgb="FF95B3D7"/>
        </top>
      </border>
    </dxf>
    <dxf>
      <font>
        <b/>
        <color rgb="FF000000"/>
      </font>
      <fill>
        <patternFill patternType="solid">
          <fgColor rgb="FFDBE5F1"/>
          <bgColor rgb="FFDBE5F1"/>
        </patternFill>
      </fill>
      <border>
        <bottom style="thin">
          <color rgb="FF95B3D7"/>
        </bottom>
      </border>
    </dxf>
    <dxf>
      <fill>
        <patternFill patternType="solid">
          <fgColor rgb="FFDBE5F1"/>
          <bgColor rgb="FFDBE5F1"/>
        </patternFill>
      </fill>
      <border>
        <bottom style="thin">
          <color rgb="FF95B3D7"/>
        </bottom>
      </border>
    </dxf>
    <dxf>
      <fill>
        <patternFill patternType="solid">
          <fgColor rgb="FFDBE5F1"/>
          <bgColor rgb="FFDBE5F1"/>
        </patternFill>
      </fill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top style="thin">
          <color rgb="FF4F81BD"/>
        </top>
        <bottom style="thin">
          <color rgb="FF4F81BD"/>
        </bottom>
      </border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  <border>
        <left style="thin">
          <color rgb="FFBFBFBF"/>
        </left>
        <right style="thin">
          <color rgb="FFBFBFBF"/>
        </right>
      </border>
    </dxf>
    <dxf>
      <fill>
        <patternFill patternType="solid">
          <fgColor rgb="FFD8D8D8"/>
          <bgColor rgb="FFD8D8D8"/>
        </patternFill>
      </fill>
    </dxf>
    <dxf>
      <font>
        <b/>
        <color rgb="FF000000"/>
      </font>
      <fill>
        <patternFill patternType="solid">
          <fgColor rgb="FFDBE5F1"/>
          <bgColor rgb="FFDBE5F1"/>
        </patternFill>
      </fill>
      <border>
        <top style="thin">
          <color rgb="FF95B3D7"/>
        </top>
      </border>
    </dxf>
    <dxf>
      <font>
        <b/>
        <color rgb="FF000000"/>
      </font>
      <fill>
        <patternFill patternType="solid">
          <fgColor rgb="FFDBE5F1"/>
          <bgColor rgb="FFDBE5F1"/>
        </patternFill>
      </fill>
      <border>
        <bottom style="thin">
          <color rgb="FF95B3D7"/>
        </bottom>
      </border>
    </dxf>
    <dxf>
      <fill>
        <patternFill patternType="solid">
          <fgColor rgb="FFC1E5F5"/>
          <bgColor rgb="FFC1E5F5"/>
        </patternFill>
      </fill>
      <border>
        <bottom style="thin">
          <color rgb="FF45B1E1"/>
        </bottom>
      </border>
    </dxf>
    <dxf>
      <fill>
        <patternFill patternType="solid">
          <fgColor rgb="FFC1E5F5"/>
          <bgColor rgb="FFC1E5F5"/>
        </patternFill>
      </fill>
      <border>
        <bottom style="thin">
          <color rgb="FF45B1E1"/>
        </bottom>
      </border>
    </dxf>
    <dxf>
      <font>
        <b/>
        <color rgb="FF000000"/>
      </font>
    </dxf>
    <dxf>
      <font>
        <b/>
        <color rgb="FF000000"/>
      </font>
      <border>
        <bottom style="thin">
          <color rgb="FF45B1E1"/>
        </bottom>
      </border>
    </dxf>
    <dxf>
      <font>
        <b/>
        <color rgb="FF000000"/>
      </font>
    </dxf>
    <dxf>
      <font>
        <b/>
        <color rgb="FF000000"/>
      </font>
      <border>
        <top style="thin">
          <color rgb="FF156082"/>
        </top>
        <bottom style="thin">
          <color rgb="FF156082"/>
        </bottom>
      </border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  <border>
        <left style="thin">
          <color rgb="FFBFBFBF"/>
        </left>
        <right style="thin">
          <color rgb="FFBFBFBF"/>
        </right>
      </border>
    </dxf>
    <dxf>
      <fill>
        <patternFill patternType="solid">
          <fgColor rgb="FFD8D8D8"/>
          <bgColor rgb="FFD8D8D8"/>
        </patternFill>
      </fill>
    </dxf>
    <dxf>
      <font>
        <b/>
        <color rgb="FF000000"/>
      </font>
      <fill>
        <patternFill patternType="solid">
          <fgColor rgb="FFC1E5F5"/>
          <bgColor rgb="FFC1E5F5"/>
        </patternFill>
      </fill>
      <border>
        <top style="thin">
          <color rgb="FF45B1E1"/>
        </top>
      </border>
    </dxf>
    <dxf>
      <font>
        <b/>
        <color rgb="FF000000"/>
      </font>
      <fill>
        <patternFill patternType="solid">
          <fgColor rgb="FFC1E5F5"/>
          <bgColor rgb="FFC1E5F5"/>
        </patternFill>
      </fill>
      <border>
        <bottom style="thin">
          <color rgb="FF45B1E1"/>
        </bottom>
      </border>
    </dxf>
    <dxf>
      <fill>
        <patternFill patternType="solid">
          <fgColor rgb="FFC1E5F5"/>
          <bgColor rgb="FFC1E5F5"/>
        </patternFill>
      </fill>
      <border>
        <bottom style="thin">
          <color rgb="FF45B1E1"/>
        </bottom>
      </border>
    </dxf>
    <dxf>
      <fill>
        <patternFill patternType="solid">
          <fgColor rgb="FFC1E5F5"/>
          <bgColor rgb="FFC1E5F5"/>
        </patternFill>
      </fill>
      <border>
        <bottom style="thin">
          <color rgb="FF45B1E1"/>
        </bottom>
      </border>
    </dxf>
    <dxf>
      <font>
        <b/>
        <color rgb="FF000000"/>
      </font>
    </dxf>
    <dxf>
      <font>
        <b/>
        <color rgb="FF000000"/>
      </font>
      <border>
        <bottom style="thin">
          <color rgb="FF45B1E1"/>
        </bottom>
      </border>
    </dxf>
    <dxf>
      <font>
        <b/>
        <color rgb="FF000000"/>
      </font>
    </dxf>
    <dxf>
      <font>
        <b/>
        <color rgb="FF000000"/>
      </font>
      <border>
        <top style="thin">
          <color rgb="FF156082"/>
        </top>
        <bottom style="thin">
          <color rgb="FF156082"/>
        </bottom>
      </border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  <border>
        <left style="thin">
          <color rgb="FFBFBFBF"/>
        </left>
        <right style="thin">
          <color rgb="FFBFBFBF"/>
        </right>
      </border>
    </dxf>
    <dxf>
      <fill>
        <patternFill patternType="solid">
          <fgColor rgb="FFD8D8D8"/>
          <bgColor rgb="FFD8D8D8"/>
        </patternFill>
      </fill>
    </dxf>
    <dxf>
      <font>
        <b/>
        <color rgb="FF000000"/>
      </font>
      <fill>
        <patternFill patternType="solid">
          <fgColor rgb="FFC1E5F5"/>
          <bgColor rgb="FFC1E5F5"/>
        </patternFill>
      </fill>
      <border>
        <top style="thin">
          <color rgb="FF45B1E1"/>
        </top>
      </border>
    </dxf>
    <dxf>
      <font>
        <b/>
        <color rgb="FF000000"/>
      </font>
      <fill>
        <patternFill patternType="solid">
          <fgColor rgb="FFC1E5F5"/>
          <bgColor rgb="FFC1E5F5"/>
        </patternFill>
      </fill>
      <border>
        <bottom style="thin">
          <color rgb="FF45B1E1"/>
        </bottom>
      </border>
    </dxf>
    <dxf>
      <fill>
        <patternFill patternType="solid">
          <fgColor rgb="FFD9E2F3"/>
          <bgColor rgb="FFD9E2F3"/>
        </patternFill>
      </fill>
      <border>
        <bottom style="thin">
          <color rgb="FF8EAADC"/>
        </bottom>
      </border>
    </dxf>
    <dxf>
      <fill>
        <patternFill patternType="solid">
          <fgColor rgb="FFD9E2F3"/>
          <bgColor rgb="FFD9E2F3"/>
        </patternFill>
      </fill>
      <border>
        <bottom style="thin">
          <color rgb="FF8EAADC"/>
        </bottom>
      </border>
    </dxf>
    <dxf>
      <font>
        <b/>
        <color rgb="FF000000"/>
      </font>
    </dxf>
    <dxf>
      <font>
        <b/>
        <color rgb="FF000000"/>
      </font>
      <border>
        <bottom style="thin">
          <color rgb="FF8EAADC"/>
        </bottom>
      </border>
    </dxf>
    <dxf>
      <font>
        <b/>
        <color rgb="FF000000"/>
      </font>
    </dxf>
    <dxf>
      <font>
        <b/>
        <color rgb="FF000000"/>
      </font>
      <border>
        <top style="thin">
          <color rgb="FF4472C4"/>
        </top>
        <bottom style="thin">
          <color rgb="FF4472C4"/>
        </bottom>
      </border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  <border>
        <left style="thin">
          <color rgb="FFBFBFBF"/>
        </left>
        <right style="thin">
          <color rgb="FFBFBFBF"/>
        </right>
      </border>
    </dxf>
    <dxf>
      <fill>
        <patternFill patternType="solid">
          <fgColor rgb="FFD8D8D8"/>
          <bgColor rgb="FFD8D8D8"/>
        </patternFill>
      </fill>
    </dxf>
    <dxf>
      <font>
        <b/>
        <color rgb="FF000000"/>
      </font>
      <fill>
        <patternFill patternType="solid">
          <fgColor rgb="FFD9E2F3"/>
          <bgColor rgb="FFD9E2F3"/>
        </patternFill>
      </fill>
      <border>
        <top style="thin">
          <color rgb="FF8EAADC"/>
        </top>
      </border>
    </dxf>
    <dxf>
      <font>
        <b/>
        <color rgb="FF000000"/>
      </font>
      <fill>
        <patternFill patternType="solid">
          <fgColor rgb="FFD9E2F3"/>
          <bgColor rgb="FFD9E2F3"/>
        </patternFill>
      </fill>
      <border>
        <bottom style="thin">
          <color rgb="FF8EAADC"/>
        </bottom>
      </border>
    </dxf>
  </dxfs>
  <tableStyles count="5" defaultTableStyle="TableStyleMedium9" defaultPivotStyle="PivotStyleLight16">
    <tableStyle name="PivotStyleLight16 2" table="0" count="11" xr9:uid="{00000000-0011-0000-FFFF-FFFF00000000}">
      <tableStyleElement type="headerRow" dxfId="84"/>
      <tableStyleElement type="totalRow" dxfId="83"/>
      <tableStyleElement type="firstRowStripe" dxfId="82"/>
      <tableStyleElement type="firstColumnStripe" dxfId="81"/>
      <tableStyleElement type="firstSubtotalColumn" dxfId="80"/>
      <tableStyleElement type="firstSubtotalRow" dxfId="79"/>
      <tableStyleElement type="secondSubtotalRow" dxfId="78"/>
      <tableStyleElement type="firstRowSubheading" dxfId="77"/>
      <tableStyleElement type="secondRowSubheading" dxfId="76"/>
      <tableStyleElement type="pageFieldLabels" dxfId="75"/>
      <tableStyleElement type="pageFieldValues" dxfId="74"/>
    </tableStyle>
    <tableStyle name="PivotStyleLight16 3" table="0" count="11" xr9:uid="{00000000-0011-0000-FFFF-FFFF01000000}">
      <tableStyleElement type="headerRow" dxfId="73"/>
      <tableStyleElement type="totalRow" dxfId="72"/>
      <tableStyleElement type="firstRowStripe" dxfId="71"/>
      <tableStyleElement type="firstColumnStripe" dxfId="70"/>
      <tableStyleElement type="firstSubtotalColumn" dxfId="69"/>
      <tableStyleElement type="firstSubtotalRow" dxfId="68"/>
      <tableStyleElement type="secondSubtotalRow" dxfId="67"/>
      <tableStyleElement type="firstRowSubheading" dxfId="66"/>
      <tableStyleElement type="secondRowSubheading" dxfId="65"/>
      <tableStyleElement type="pageFieldLabels" dxfId="64"/>
      <tableStyleElement type="pageFieldValues" dxfId="63"/>
    </tableStyle>
    <tableStyle name="PivotStyleLight16 4" table="0" count="11" xr9:uid="{00000000-0011-0000-FFFF-FFFF02000000}">
      <tableStyleElement type="headerRow" dxfId="62"/>
      <tableStyleElement type="totalRow" dxfId="61"/>
      <tableStyleElement type="firstRowStripe" dxfId="60"/>
      <tableStyleElement type="firstColumnStripe" dxfId="59"/>
      <tableStyleElement type="firstSubtotalColumn" dxfId="58"/>
      <tableStyleElement type="firstSubtotalRow" dxfId="57"/>
      <tableStyleElement type="secondSubtotalRow" dxfId="56"/>
      <tableStyleElement type="firstRowSubheading" dxfId="55"/>
      <tableStyleElement type="secondRowSubheading" dxfId="54"/>
      <tableStyleElement type="pageFieldLabels" dxfId="53"/>
      <tableStyleElement type="pageFieldValues" dxfId="52"/>
    </tableStyle>
    <tableStyle name="PivotStyleLight16 5" table="0" count="11" xr9:uid="{00000000-0011-0000-FFFF-FFFF03000000}">
      <tableStyleElement type="headerRow" dxfId="51"/>
      <tableStyleElement type="totalRow" dxfId="50"/>
      <tableStyleElement type="firstRowStripe" dxfId="49"/>
      <tableStyleElement type="firstColumnStripe" dxfId="48"/>
      <tableStyleElement type="firstSubtotalColumn" dxfId="47"/>
      <tableStyleElement type="firstSubtotalRow" dxfId="46"/>
      <tableStyleElement type="secondSubtotalRow" dxfId="45"/>
      <tableStyleElement type="firstRowSubheading" dxfId="44"/>
      <tableStyleElement type="secondRowSubheading" dxfId="43"/>
      <tableStyleElement type="pageFieldLabels" dxfId="42"/>
      <tableStyleElement type="pageFieldValues" dxfId="41"/>
    </tableStyle>
    <tableStyle name="PivotStyleLight16 6" table="0" count="11" xr9:uid="{00000000-0011-0000-FFFF-FFFF04000000}">
      <tableStyleElement type="headerRow" dxfId="40"/>
      <tableStyleElement type="totalRow" dxfId="39"/>
      <tableStyleElement type="firstRowStripe" dxfId="38"/>
      <tableStyleElement type="firstColumnStripe" dxfId="37"/>
      <tableStyleElement type="firstSubtotalColumn" dxfId="36"/>
      <tableStyleElement type="firstSubtotalRow" dxfId="35"/>
      <tableStyleElement type="secondSubtotalRow" dxfId="34"/>
      <tableStyleElement type="firstRowSubheading" dxfId="33"/>
      <tableStyleElement type="secondRowSubheading" dxfId="32"/>
      <tableStyleElement type="pageFieldLabels" dxfId="31"/>
      <tableStyleElement type="pageFieldValues" dxfId="3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externalLink" Target="externalLinks/externalLink2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1.xml"/><Relationship Id="rId57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vail/EF%20DEF%20GROUPE%20IND&amp;CONSO/EF%20MENSUEL%20DEF%202023/12-2023/EF%20SNA%2031-12-2023%20APRES%20AUDI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aim_benmbarek.SNANOUR\AppData\Local\Microsoft\Windows\INetCache\Content.Outlook\F2XI3430\EF%20SNA%20202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EF%20SNA%2031-12-2023%20APRES%20AUDI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L GEN 21 Retraitée"/>
      <sheetName val="BAL GEN 21"/>
      <sheetName val="BAL GEN 22 PROV"/>
      <sheetName val="BAL GEN 22"/>
      <sheetName val="BAL GEN 23"/>
      <sheetName val="E.Rst 23"/>
      <sheetName val="Bilan 23"/>
      <sheetName val="DEC FISC 23"/>
      <sheetName val="DEC FISC 23 CORRIGE"/>
      <sheetName val="bal22"/>
      <sheetName val="STOCK 31-12-23"/>
      <sheetName val="TCD STCK"/>
      <sheetName val="Eta-flux 23"/>
      <sheetName val="Notes 23"/>
    </sheetNames>
    <sheetDataSet>
      <sheetData sheetId="0"/>
      <sheetData sheetId="1"/>
      <sheetData sheetId="2"/>
      <sheetData sheetId="3">
        <row r="1">
          <cell r="G1" t="str">
            <v>SoldeFin</v>
          </cell>
        </row>
        <row r="2">
          <cell r="G2">
            <v>-13500000</v>
          </cell>
          <cell r="H2" t="str">
            <v>Capital social</v>
          </cell>
        </row>
        <row r="3">
          <cell r="G3">
            <v>-1200000</v>
          </cell>
          <cell r="H3" t="str">
            <v>Réserves légales</v>
          </cell>
        </row>
        <row r="4">
          <cell r="G4">
            <v>-17351323.015999999</v>
          </cell>
          <cell r="H4" t="str">
            <v>Résultats reportés</v>
          </cell>
        </row>
        <row r="5">
          <cell r="G5">
            <v>3126298.0099999993</v>
          </cell>
          <cell r="H5" t="str">
            <v>Modification comptable</v>
          </cell>
        </row>
        <row r="6">
          <cell r="G6">
            <v>-3479108.84</v>
          </cell>
          <cell r="H6" t="str">
            <v>Subvention d'investissement</v>
          </cell>
        </row>
        <row r="7">
          <cell r="G7">
            <v>2410241.3199999998</v>
          </cell>
          <cell r="H7" t="str">
            <v>Amortissement subvention d'investissement</v>
          </cell>
        </row>
        <row r="8">
          <cell r="G8">
            <v>-231535.016</v>
          </cell>
          <cell r="H8" t="str">
            <v>Provision pour risque et charges</v>
          </cell>
        </row>
        <row r="9">
          <cell r="G9">
            <v>-1041666.6630000001</v>
          </cell>
          <cell r="H9" t="str">
            <v>Emprunts</v>
          </cell>
        </row>
        <row r="10">
          <cell r="G10">
            <v>-173470.93399999998</v>
          </cell>
          <cell r="H10" t="str">
            <v>Emprunts</v>
          </cell>
        </row>
        <row r="11">
          <cell r="G11">
            <v>80409.226999999999</v>
          </cell>
          <cell r="H11" t="str">
            <v>Immobilisations corporelles et incorp.</v>
          </cell>
        </row>
        <row r="12">
          <cell r="G12">
            <v>1275724</v>
          </cell>
          <cell r="H12" t="str">
            <v>Immobilisations corporelles et incorp.</v>
          </cell>
        </row>
        <row r="13">
          <cell r="G13">
            <v>161921.53599999999</v>
          </cell>
          <cell r="H13" t="str">
            <v>Immobilisations corporelles et incorp.</v>
          </cell>
        </row>
        <row r="14">
          <cell r="G14">
            <v>9027583.0759999994</v>
          </cell>
          <cell r="H14" t="str">
            <v>Immobilisations corporelles et incorp.</v>
          </cell>
        </row>
        <row r="15">
          <cell r="G15">
            <v>653493.82500000007</v>
          </cell>
          <cell r="H15" t="str">
            <v>Immobilisations corporelles et incorp.</v>
          </cell>
        </row>
        <row r="16">
          <cell r="G16">
            <v>65870.611000000004</v>
          </cell>
          <cell r="H16" t="str">
            <v>Immobilisations corporelles et incorp.</v>
          </cell>
        </row>
        <row r="17">
          <cell r="G17">
            <v>21854400.979000002</v>
          </cell>
          <cell r="H17" t="str">
            <v>Immobilisations corporelles et incorp.</v>
          </cell>
        </row>
        <row r="18">
          <cell r="G18">
            <v>595918.13</v>
          </cell>
          <cell r="H18" t="str">
            <v>Immobilisations corporelles et incorp.</v>
          </cell>
        </row>
        <row r="19">
          <cell r="G19">
            <v>879252.85600000003</v>
          </cell>
          <cell r="H19" t="str">
            <v>Immobilisations corporelles et incorp.</v>
          </cell>
        </row>
        <row r="20">
          <cell r="G20">
            <v>1013855.888</v>
          </cell>
          <cell r="H20" t="str">
            <v>Immobilisations corporelles et incorp.</v>
          </cell>
        </row>
        <row r="21">
          <cell r="G21">
            <v>248575.93100000001</v>
          </cell>
          <cell r="H21" t="str">
            <v>Immobilisations corporelles et incorp.</v>
          </cell>
        </row>
        <row r="22">
          <cell r="G22">
            <v>157309.568</v>
          </cell>
          <cell r="H22" t="str">
            <v>Immobilisations corporelles et incorp.</v>
          </cell>
        </row>
        <row r="23">
          <cell r="G23">
            <v>2440755.4680000003</v>
          </cell>
          <cell r="H23" t="str">
            <v>Immobilisations corporelles et incorp.</v>
          </cell>
        </row>
        <row r="24">
          <cell r="G24">
            <v>7912.2340000000004</v>
          </cell>
          <cell r="H24" t="str">
            <v>Immobilisations corporelles et incorp.</v>
          </cell>
        </row>
        <row r="25">
          <cell r="G25">
            <v>703370.37699999998</v>
          </cell>
          <cell r="H25" t="str">
            <v>Immobilisations corporelles et incorp.</v>
          </cell>
        </row>
        <row r="26">
          <cell r="G26">
            <v>266820</v>
          </cell>
          <cell r="H26" t="str">
            <v>Titres de Participation</v>
          </cell>
        </row>
        <row r="27">
          <cell r="G27">
            <v>512700</v>
          </cell>
          <cell r="H27" t="str">
            <v>Titres de Participation</v>
          </cell>
        </row>
        <row r="28">
          <cell r="G28">
            <v>677000</v>
          </cell>
          <cell r="H28" t="str">
            <v>Titres de Participation</v>
          </cell>
        </row>
        <row r="29">
          <cell r="G29">
            <v>1575000</v>
          </cell>
          <cell r="H29" t="str">
            <v>Titres de Participation</v>
          </cell>
        </row>
        <row r="30">
          <cell r="G30">
            <v>1575000</v>
          </cell>
          <cell r="H30" t="str">
            <v>Titres de Participation</v>
          </cell>
        </row>
        <row r="31">
          <cell r="G31">
            <v>0</v>
          </cell>
        </row>
        <row r="32">
          <cell r="G32">
            <v>105597.144</v>
          </cell>
          <cell r="H32" t="str">
            <v>Dépôts et cautionnements</v>
          </cell>
        </row>
        <row r="33">
          <cell r="G33">
            <v>-67413.095000000001</v>
          </cell>
          <cell r="H33" t="str">
            <v>Amortissement des immobilisations corporelles et incorp.</v>
          </cell>
        </row>
        <row r="34">
          <cell r="G34">
            <v>-145539.11299999998</v>
          </cell>
          <cell r="H34" t="str">
            <v>Amortissement des immobilisations corporelles et incorp.</v>
          </cell>
        </row>
        <row r="35">
          <cell r="G35">
            <v>-3277711.6240000003</v>
          </cell>
          <cell r="H35" t="str">
            <v>Amortissement des immobilisations corporelles et incorp.</v>
          </cell>
        </row>
        <row r="36">
          <cell r="G36">
            <v>-210167.777</v>
          </cell>
          <cell r="H36" t="str">
            <v>Amortissement des immobilisations corporelles et incorp.</v>
          </cell>
        </row>
        <row r="37">
          <cell r="G37">
            <v>-19731.941999999999</v>
          </cell>
          <cell r="H37" t="str">
            <v>Amortissement des immobilisations corporelles et incorp.</v>
          </cell>
        </row>
        <row r="38">
          <cell r="G38">
            <v>-14328182.902000001</v>
          </cell>
          <cell r="H38" t="str">
            <v>Amortissement des immobilisations corporelles et incorp.</v>
          </cell>
        </row>
        <row r="39">
          <cell r="G39">
            <v>-286827.478</v>
          </cell>
          <cell r="H39" t="str">
            <v>Amortissement des immobilisations corporelles et incorp.</v>
          </cell>
        </row>
        <row r="40">
          <cell r="G40">
            <v>-733400.90500000003</v>
          </cell>
          <cell r="H40" t="str">
            <v>Amortissement des immobilisations corporelles et incorp.</v>
          </cell>
        </row>
        <row r="41">
          <cell r="G41">
            <v>-530600.14599999995</v>
          </cell>
          <cell r="H41" t="str">
            <v>Amortissement des immobilisations corporelles et incorp.</v>
          </cell>
        </row>
        <row r="42">
          <cell r="G42">
            <v>-175530.78700000001</v>
          </cell>
          <cell r="H42" t="str">
            <v>Amortissement des immobilisations corporelles et incorp.</v>
          </cell>
        </row>
        <row r="43">
          <cell r="G43">
            <v>-94662.617999999988</v>
          </cell>
          <cell r="H43" t="str">
            <v>Amortissement des immobilisations corporelles et incorp.</v>
          </cell>
        </row>
        <row r="44">
          <cell r="G44">
            <v>-418241.01199999999</v>
          </cell>
          <cell r="H44" t="str">
            <v>Amortissement des immobilisations corporelles et incorp.</v>
          </cell>
        </row>
        <row r="45">
          <cell r="G45">
            <v>-223876.883</v>
          </cell>
          <cell r="H45" t="str">
            <v>Amortissement des immobilisations corporelles et incorp.</v>
          </cell>
        </row>
        <row r="46">
          <cell r="G46">
            <v>-8171.4290000000001</v>
          </cell>
          <cell r="H46" t="str">
            <v>Amortissement des immobilisations corporelles et incorp.</v>
          </cell>
        </row>
        <row r="47">
          <cell r="G47">
            <v>0</v>
          </cell>
        </row>
        <row r="48">
          <cell r="G48">
            <v>-29257.384999999998</v>
          </cell>
          <cell r="H48" t="str">
            <v>Provision pour dép.Imm Financières</v>
          </cell>
        </row>
        <row r="49">
          <cell r="G49">
            <v>10125104.671</v>
          </cell>
          <cell r="H49" t="str">
            <v>Stocks</v>
          </cell>
        </row>
        <row r="50">
          <cell r="G50">
            <v>313653.11200000002</v>
          </cell>
          <cell r="H50" t="str">
            <v>Stocks</v>
          </cell>
        </row>
        <row r="51">
          <cell r="G51">
            <v>583630.65099999995</v>
          </cell>
          <cell r="H51" t="str">
            <v>Stocks</v>
          </cell>
        </row>
        <row r="52">
          <cell r="G52">
            <v>1140754.9080000001</v>
          </cell>
          <cell r="H52" t="str">
            <v>Stocks</v>
          </cell>
        </row>
        <row r="53">
          <cell r="G53">
            <v>3851747.0070000002</v>
          </cell>
          <cell r="H53" t="str">
            <v>Stocks</v>
          </cell>
        </row>
        <row r="54">
          <cell r="G54">
            <v>-208158.11300000001</v>
          </cell>
          <cell r="H54" t="str">
            <v>Provision sur dépr.stock</v>
          </cell>
        </row>
        <row r="55">
          <cell r="G55">
            <v>-3682903.3459999994</v>
          </cell>
          <cell r="H55" t="str">
            <v>Fournisseurs &amp; comptes rattachés</v>
          </cell>
        </row>
        <row r="56">
          <cell r="G56">
            <v>-474754.2569999994</v>
          </cell>
          <cell r="H56" t="str">
            <v>Fournisseurs &amp; comptes rattachés</v>
          </cell>
        </row>
        <row r="57">
          <cell r="G57">
            <v>-2618351.6340000015</v>
          </cell>
          <cell r="H57" t="str">
            <v>Fournisseurs &amp; comptes rattachés</v>
          </cell>
        </row>
        <row r="58">
          <cell r="G58">
            <v>-4980</v>
          </cell>
          <cell r="H58" t="str">
            <v>Fournisseurs &amp; comptes rattachés</v>
          </cell>
        </row>
        <row r="59">
          <cell r="G59">
            <v>579508.96299999999</v>
          </cell>
          <cell r="H59" t="str">
            <v>Autres actifs courants</v>
          </cell>
        </row>
        <row r="60">
          <cell r="G60">
            <v>11118442.227</v>
          </cell>
          <cell r="H60" t="str">
            <v>Clients et comptes rattachés</v>
          </cell>
        </row>
        <row r="61">
          <cell r="G61">
            <v>2075282.69</v>
          </cell>
          <cell r="H61" t="str">
            <v>Clients et comptes rattachés</v>
          </cell>
        </row>
        <row r="62">
          <cell r="G62">
            <v>18991.006999999998</v>
          </cell>
          <cell r="H62" t="str">
            <v>Autres actifs courants</v>
          </cell>
        </row>
        <row r="63">
          <cell r="G63">
            <v>-169680.43600000005</v>
          </cell>
          <cell r="H63" t="str">
            <v>Autres passifs courants</v>
          </cell>
        </row>
        <row r="64">
          <cell r="G64">
            <v>-913.5440000000001</v>
          </cell>
          <cell r="H64" t="str">
            <v>Autres passifs courants</v>
          </cell>
        </row>
        <row r="65">
          <cell r="G65">
            <v>-190404.04200000002</v>
          </cell>
          <cell r="H65" t="str">
            <v>Autres passifs courants</v>
          </cell>
        </row>
        <row r="66">
          <cell r="G66">
            <v>3.8198777474462986E-11</v>
          </cell>
        </row>
        <row r="67">
          <cell r="G67">
            <v>0</v>
          </cell>
        </row>
        <row r="68">
          <cell r="G68">
            <v>0</v>
          </cell>
          <cell r="H68" t="str">
            <v>Autres passifs courants</v>
          </cell>
        </row>
        <row r="69">
          <cell r="G69">
            <v>0</v>
          </cell>
          <cell r="H69" t="str">
            <v>Autres passifs courants</v>
          </cell>
        </row>
        <row r="70">
          <cell r="G70">
            <v>-5.9999999939464033E-3</v>
          </cell>
          <cell r="H70" t="str">
            <v>Autres passifs courants</v>
          </cell>
        </row>
        <row r="71">
          <cell r="G71">
            <v>-6.0000000001564332E-3</v>
          </cell>
          <cell r="H71" t="str">
            <v>Autres passifs courants</v>
          </cell>
        </row>
        <row r="72">
          <cell r="G72">
            <v>-2.0000000004074536E-3</v>
          </cell>
          <cell r="H72" t="str">
            <v>Autres passifs courants</v>
          </cell>
        </row>
        <row r="73">
          <cell r="G73">
            <v>-10696.540000000003</v>
          </cell>
          <cell r="H73" t="str">
            <v>Autres passifs courants</v>
          </cell>
        </row>
        <row r="74">
          <cell r="G74">
            <v>329177.01199999999</v>
          </cell>
          <cell r="H74" t="str">
            <v>Autres actifs courants</v>
          </cell>
        </row>
        <row r="75">
          <cell r="G75">
            <v>416572.75599999999</v>
          </cell>
          <cell r="H75" t="str">
            <v>Autres actifs courants</v>
          </cell>
        </row>
        <row r="76">
          <cell r="G76">
            <v>0</v>
          </cell>
        </row>
        <row r="77">
          <cell r="G77">
            <v>0</v>
          </cell>
        </row>
        <row r="78">
          <cell r="G78">
            <v>324233.75899999909</v>
          </cell>
          <cell r="H78" t="str">
            <v>Autres actifs courants</v>
          </cell>
        </row>
        <row r="79">
          <cell r="G79">
            <v>2E-3</v>
          </cell>
          <cell r="H79" t="str">
            <v>Autres actifs courants</v>
          </cell>
        </row>
        <row r="80">
          <cell r="G80">
            <v>-1.0430812810713341E-10</v>
          </cell>
        </row>
        <row r="81">
          <cell r="G81">
            <v>0</v>
          </cell>
        </row>
        <row r="82">
          <cell r="G82">
            <v>126.09999999999854</v>
          </cell>
          <cell r="H82" t="str">
            <v>Autres actifs courants</v>
          </cell>
        </row>
        <row r="83">
          <cell r="G83">
            <v>-2490566.5619999981</v>
          </cell>
          <cell r="H83" t="str">
            <v>Autres passifs courants</v>
          </cell>
        </row>
        <row r="84">
          <cell r="G84">
            <v>458.44</v>
          </cell>
          <cell r="H84" t="str">
            <v>Autres actifs courants</v>
          </cell>
        </row>
        <row r="85">
          <cell r="G85">
            <v>1.4432899320127035E-15</v>
          </cell>
        </row>
        <row r="86">
          <cell r="G86">
            <v>-765000</v>
          </cell>
          <cell r="H86" t="str">
            <v>Autres passifs courants</v>
          </cell>
        </row>
        <row r="87">
          <cell r="G87">
            <v>50000</v>
          </cell>
          <cell r="H87" t="str">
            <v>Autres actifs courants</v>
          </cell>
        </row>
        <row r="88">
          <cell r="G88">
            <v>2270.971</v>
          </cell>
          <cell r="H88" t="str">
            <v>Autres actifs courants</v>
          </cell>
        </row>
        <row r="89">
          <cell r="G89">
            <v>-1587700</v>
          </cell>
          <cell r="H89" t="str">
            <v>Autres passifs courants</v>
          </cell>
        </row>
        <row r="90">
          <cell r="G90">
            <v>0</v>
          </cell>
        </row>
        <row r="91">
          <cell r="G91">
            <v>-216427.84700000001</v>
          </cell>
          <cell r="H91" t="str">
            <v>Autres passifs courants</v>
          </cell>
        </row>
        <row r="92">
          <cell r="G92">
            <v>5876</v>
          </cell>
          <cell r="H92" t="str">
            <v>Autres actifs courants</v>
          </cell>
        </row>
        <row r="93">
          <cell r="G93">
            <v>-1088724.611</v>
          </cell>
          <cell r="H93" t="str">
            <v>Autres passifs courants</v>
          </cell>
        </row>
        <row r="94">
          <cell r="G94">
            <v>2433533.5490000001</v>
          </cell>
          <cell r="H94" t="str">
            <v>Autres actifs courants</v>
          </cell>
        </row>
        <row r="95">
          <cell r="G95">
            <v>0</v>
          </cell>
        </row>
        <row r="96">
          <cell r="G96">
            <v>213151.361</v>
          </cell>
          <cell r="H96" t="str">
            <v>Autres actifs courants</v>
          </cell>
        </row>
        <row r="97">
          <cell r="G97">
            <v>-457129.15</v>
          </cell>
          <cell r="H97" t="str">
            <v>Provision sur créance douteux</v>
          </cell>
        </row>
        <row r="98">
          <cell r="G98">
            <v>-288613.685</v>
          </cell>
          <cell r="H98" t="str">
            <v>Provision sur dépr.compte déb divers</v>
          </cell>
        </row>
        <row r="99">
          <cell r="G99">
            <v>-6000000</v>
          </cell>
          <cell r="H99" t="str">
            <v>Concours bancaires &amp; autres passifs financiers</v>
          </cell>
        </row>
        <row r="100">
          <cell r="G100">
            <v>-4000000</v>
          </cell>
          <cell r="H100" t="str">
            <v>Concours bancaires &amp; autres passifs financiers</v>
          </cell>
        </row>
        <row r="101">
          <cell r="G101">
            <v>-916666.66700000013</v>
          </cell>
          <cell r="H101" t="str">
            <v>Concours bancaires &amp; autres passifs financiers</v>
          </cell>
        </row>
        <row r="102">
          <cell r="G102">
            <v>-89643.377999999997</v>
          </cell>
          <cell r="H102" t="str">
            <v>Concours bancaires &amp; autres passifs financiers</v>
          </cell>
        </row>
        <row r="103">
          <cell r="G103">
            <v>0</v>
          </cell>
        </row>
        <row r="104">
          <cell r="G104">
            <v>-24263.58</v>
          </cell>
          <cell r="H104" t="str">
            <v>Concours bancaires &amp; autres passifs financiers</v>
          </cell>
        </row>
        <row r="105">
          <cell r="G105">
            <v>0</v>
          </cell>
        </row>
        <row r="106">
          <cell r="G106">
            <v>435.74200000000008</v>
          </cell>
          <cell r="H106" t="str">
            <v>Liquidités et équivalents de liquidités</v>
          </cell>
        </row>
        <row r="107">
          <cell r="G107">
            <v>341558.32200000016</v>
          </cell>
          <cell r="H107" t="str">
            <v>Liquidités et équivalents de liquidités</v>
          </cell>
        </row>
        <row r="108">
          <cell r="G108">
            <v>5874.02</v>
          </cell>
          <cell r="H108" t="str">
            <v>Liquidités et équivalents de liquidités</v>
          </cell>
        </row>
        <row r="109">
          <cell r="G109">
            <v>21818.724000000002</v>
          </cell>
          <cell r="H109" t="str">
            <v>Liquidités et équivalents de liquidités</v>
          </cell>
        </row>
        <row r="110">
          <cell r="G110">
            <v>-1.3096723705530167E-10</v>
          </cell>
          <cell r="H110" t="str">
            <v>Liquidités et équivalents de liquidités</v>
          </cell>
        </row>
        <row r="111">
          <cell r="G111">
            <v>-1790511.6070000012</v>
          </cell>
          <cell r="H111" t="str">
            <v>Concours bancaires &amp; autres passifs financiers</v>
          </cell>
        </row>
        <row r="112">
          <cell r="G112">
            <v>687712.25600000052</v>
          </cell>
          <cell r="H112" t="str">
            <v>Liquidités et équivalents de liquidités</v>
          </cell>
        </row>
        <row r="113">
          <cell r="G113">
            <v>710140.76500000001</v>
          </cell>
          <cell r="H113" t="str">
            <v>Liquidités et équivalents de liquidités</v>
          </cell>
        </row>
        <row r="114">
          <cell r="G114">
            <v>485.66199999999998</v>
          </cell>
          <cell r="H114" t="str">
            <v>Liquidités et équivalents de liquidités</v>
          </cell>
        </row>
        <row r="115">
          <cell r="G115">
            <v>0</v>
          </cell>
        </row>
        <row r="116">
          <cell r="G116">
            <v>0</v>
          </cell>
        </row>
        <row r="117">
          <cell r="G117">
            <v>3000</v>
          </cell>
          <cell r="H117" t="str">
            <v>Liquidités et équivalents de liquidités</v>
          </cell>
        </row>
        <row r="118">
          <cell r="G118">
            <v>0</v>
          </cell>
        </row>
        <row r="119">
          <cell r="G119">
            <v>0</v>
          </cell>
        </row>
        <row r="120">
          <cell r="G120">
            <v>0</v>
          </cell>
        </row>
        <row r="121">
          <cell r="G121">
            <v>0</v>
          </cell>
        </row>
        <row r="122">
          <cell r="G122">
            <v>313653.11200000002</v>
          </cell>
          <cell r="H122" t="str">
            <v>Achats d'Approvisionnement Consommés</v>
          </cell>
        </row>
        <row r="123">
          <cell r="G123">
            <v>1417338.5620000002</v>
          </cell>
          <cell r="H123" t="str">
            <v>Achats d'Approvisionnement Consommés</v>
          </cell>
        </row>
        <row r="124">
          <cell r="G124">
            <v>83677.324999999997</v>
          </cell>
          <cell r="H124" t="str">
            <v>Achats d'Approvisionnement Consommés</v>
          </cell>
        </row>
        <row r="125">
          <cell r="G125">
            <v>9931.9079999999994</v>
          </cell>
          <cell r="H125" t="str">
            <v>Achats d'Approvisionnement Consommés</v>
          </cell>
        </row>
        <row r="126">
          <cell r="G126">
            <v>6787.2</v>
          </cell>
          <cell r="H126" t="str">
            <v>Achats d'Approvisionnement Consommés</v>
          </cell>
        </row>
        <row r="127">
          <cell r="G127">
            <v>2213402.8160000001</v>
          </cell>
          <cell r="H127" t="str">
            <v>Achats d'Approvisionnement Consommés</v>
          </cell>
        </row>
        <row r="128">
          <cell r="G128">
            <v>265163.522</v>
          </cell>
          <cell r="H128" t="str">
            <v>Achats d'Approvisionnement Consommés</v>
          </cell>
        </row>
        <row r="129">
          <cell r="G129">
            <v>145155.677</v>
          </cell>
          <cell r="H129" t="str">
            <v>Achats d'Approvisionnement Consommés</v>
          </cell>
        </row>
        <row r="130">
          <cell r="G130">
            <v>31647.467000000001</v>
          </cell>
          <cell r="H130" t="str">
            <v>Achats d'Approvisionnement Consommés</v>
          </cell>
        </row>
        <row r="131">
          <cell r="G131">
            <v>43240.411</v>
          </cell>
          <cell r="H131" t="str">
            <v>Achats d'Approvisionnement Consommés</v>
          </cell>
        </row>
        <row r="132">
          <cell r="G132">
            <v>8697.6080000000002</v>
          </cell>
          <cell r="H132" t="str">
            <v>Achats d'Approvisionnement Consommés</v>
          </cell>
        </row>
        <row r="133">
          <cell r="G133">
            <v>1232.8810000000001</v>
          </cell>
          <cell r="H133" t="str">
            <v>Achats d'Approvisionnement Consommés</v>
          </cell>
        </row>
        <row r="134">
          <cell r="G134">
            <v>17578.02</v>
          </cell>
          <cell r="H134" t="str">
            <v>Achats d'Approvisionnement Consommés</v>
          </cell>
        </row>
        <row r="135">
          <cell r="G135">
            <v>38171.867999999995</v>
          </cell>
          <cell r="H135" t="str">
            <v>Achats d'Approvisionnement Consommés</v>
          </cell>
        </row>
        <row r="136">
          <cell r="G136">
            <v>13435.552</v>
          </cell>
          <cell r="H136" t="str">
            <v>Achats d'Approvisionnement Consommés</v>
          </cell>
        </row>
        <row r="137">
          <cell r="G137">
            <v>404275.97700000001</v>
          </cell>
          <cell r="H137" t="str">
            <v>Achats d'Approvisionnement Consommés</v>
          </cell>
        </row>
        <row r="138">
          <cell r="G138">
            <v>18747.721000000001</v>
          </cell>
          <cell r="H138" t="str">
            <v>Achats d'Approvisionnement Consommés</v>
          </cell>
        </row>
        <row r="139">
          <cell r="G139">
            <v>1217.049</v>
          </cell>
          <cell r="H139" t="str">
            <v>Achats d'Approvisionnement Consommés</v>
          </cell>
        </row>
        <row r="140">
          <cell r="G140">
            <v>1331078.2220000001</v>
          </cell>
          <cell r="H140" t="str">
            <v>Achats d'Approvisionnement Consommés</v>
          </cell>
        </row>
        <row r="141">
          <cell r="G141">
            <v>12367857.194</v>
          </cell>
          <cell r="H141" t="str">
            <v>Achats d'Approvisionnement Consommés</v>
          </cell>
        </row>
        <row r="142">
          <cell r="G142">
            <v>4442673.307</v>
          </cell>
          <cell r="H142" t="str">
            <v>Achats d'Approvisionnement Consommés</v>
          </cell>
        </row>
        <row r="143">
          <cell r="G143">
            <v>0</v>
          </cell>
        </row>
        <row r="144">
          <cell r="G144">
            <v>1447596.9</v>
          </cell>
          <cell r="H144" t="str">
            <v>Achats d'Approvisionnement Consommés</v>
          </cell>
        </row>
        <row r="145">
          <cell r="G145">
            <v>126297.713</v>
          </cell>
          <cell r="H145" t="str">
            <v>Achats d'Approvisionnement Consommés</v>
          </cell>
        </row>
        <row r="146">
          <cell r="G146">
            <v>62827.313000000002</v>
          </cell>
          <cell r="H146" t="str">
            <v>Achats d'Approvisionnement Consommés</v>
          </cell>
        </row>
        <row r="147">
          <cell r="G147">
            <v>0</v>
          </cell>
        </row>
        <row r="148">
          <cell r="G148">
            <v>137790.535</v>
          </cell>
          <cell r="H148" t="str">
            <v>Achats d'Approvisionnement Consommés</v>
          </cell>
        </row>
        <row r="149">
          <cell r="G149">
            <v>12753.722</v>
          </cell>
          <cell r="H149" t="str">
            <v>Achats d'Approvisionnement Consommés</v>
          </cell>
        </row>
        <row r="150">
          <cell r="G150">
            <v>692.16300000000001</v>
          </cell>
          <cell r="H150" t="str">
            <v>Achats d'Approvisionnement Consommés</v>
          </cell>
        </row>
        <row r="151">
          <cell r="G151">
            <v>608</v>
          </cell>
          <cell r="H151" t="str">
            <v>Achats d'Approvisionnement Consommés</v>
          </cell>
        </row>
        <row r="152">
          <cell r="G152">
            <v>84186.4</v>
          </cell>
          <cell r="H152" t="str">
            <v>Achats d'Approvisionnement Consommés</v>
          </cell>
        </row>
        <row r="153">
          <cell r="G153">
            <v>145593.21400000001</v>
          </cell>
          <cell r="H153" t="str">
            <v>Achats d'Approvisionnement Consommés</v>
          </cell>
        </row>
        <row r="154">
          <cell r="G154">
            <v>55228.624000000003</v>
          </cell>
          <cell r="H154" t="str">
            <v>Achats d'Approvisionnement Consommés</v>
          </cell>
        </row>
        <row r="155">
          <cell r="G155">
            <v>154755</v>
          </cell>
          <cell r="H155" t="str">
            <v>Achats d'Approvisionnement Consommés</v>
          </cell>
        </row>
        <row r="156">
          <cell r="G156">
            <v>1055269</v>
          </cell>
          <cell r="H156" t="str">
            <v>Achats d'Approvisionnement Consommés</v>
          </cell>
        </row>
        <row r="157">
          <cell r="G157">
            <v>508315</v>
          </cell>
          <cell r="H157" t="str">
            <v>Achats d'Approvisionnement Consommés</v>
          </cell>
        </row>
        <row r="158">
          <cell r="G158">
            <v>0</v>
          </cell>
        </row>
        <row r="159">
          <cell r="G159">
            <v>154605</v>
          </cell>
          <cell r="H159" t="str">
            <v>Achats d'Approvisionnement Consommés</v>
          </cell>
        </row>
        <row r="160">
          <cell r="G160">
            <v>65032.800000000003</v>
          </cell>
          <cell r="H160" t="str">
            <v>Achats d'Approvisionnement Consommés</v>
          </cell>
        </row>
        <row r="161">
          <cell r="G161">
            <v>0</v>
          </cell>
        </row>
        <row r="162">
          <cell r="G162">
            <v>34976.254000000001</v>
          </cell>
          <cell r="H162" t="str">
            <v>Achats d'Approvisionnement Consommés</v>
          </cell>
        </row>
        <row r="163">
          <cell r="G163">
            <v>6417.0240000000003</v>
          </cell>
          <cell r="H163" t="str">
            <v>Achats d'Approvisionnement Consommés</v>
          </cell>
        </row>
        <row r="164">
          <cell r="G164">
            <v>24333.5</v>
          </cell>
          <cell r="H164" t="str">
            <v>Achats d'Approvisionnement Consommés</v>
          </cell>
        </row>
        <row r="165">
          <cell r="G165">
            <v>0</v>
          </cell>
        </row>
        <row r="166">
          <cell r="G166">
            <v>27998.907999999999</v>
          </cell>
          <cell r="H166" t="str">
            <v>Achats d'Approvisionnement Consommés</v>
          </cell>
        </row>
        <row r="167">
          <cell r="G167">
            <v>8372.1319999999996</v>
          </cell>
          <cell r="H167" t="str">
            <v>Achats d'Approvisionnement Consommés</v>
          </cell>
        </row>
        <row r="168">
          <cell r="G168">
            <v>275.2</v>
          </cell>
          <cell r="H168" t="str">
            <v>Achats d'Approvisionnement Consommés</v>
          </cell>
        </row>
        <row r="169">
          <cell r="G169">
            <v>11000</v>
          </cell>
          <cell r="H169" t="str">
            <v>Achats d'Approvisionnement Consommés</v>
          </cell>
        </row>
        <row r="170">
          <cell r="G170">
            <v>0</v>
          </cell>
        </row>
        <row r="171">
          <cell r="G171">
            <v>789635.576</v>
          </cell>
          <cell r="H171" t="str">
            <v>Achats d'Approvisionnement Consommés</v>
          </cell>
        </row>
        <row r="172">
          <cell r="G172">
            <v>1134964.42</v>
          </cell>
          <cell r="H172" t="str">
            <v>Achats d'Approvisionnement Consommés</v>
          </cell>
        </row>
        <row r="173">
          <cell r="G173">
            <v>50076.373</v>
          </cell>
          <cell r="H173" t="str">
            <v>Achats d'Approvisionnement Consommés</v>
          </cell>
        </row>
        <row r="174">
          <cell r="G174">
            <v>1242254.7719999999</v>
          </cell>
          <cell r="H174" t="str">
            <v>Achats d'Approvisionnement Consommés</v>
          </cell>
        </row>
        <row r="175">
          <cell r="G175">
            <v>0</v>
          </cell>
        </row>
        <row r="176">
          <cell r="G176">
            <v>41575.862000000001</v>
          </cell>
          <cell r="H176" t="str">
            <v>Achats d'Approvisionnement Consommés</v>
          </cell>
        </row>
        <row r="177">
          <cell r="G177">
            <v>591422.37199999997</v>
          </cell>
          <cell r="H177" t="str">
            <v>Achats d'Approvisionnement Consommés</v>
          </cell>
        </row>
        <row r="178">
          <cell r="G178">
            <v>76114.86</v>
          </cell>
          <cell r="H178" t="str">
            <v>Achats d'Approvisionnement Consommés</v>
          </cell>
        </row>
        <row r="179">
          <cell r="G179">
            <v>12321.36</v>
          </cell>
          <cell r="H179" t="str">
            <v>Achats d'Approvisionnement Consommés</v>
          </cell>
        </row>
        <row r="180">
          <cell r="G180">
            <v>88437.8</v>
          </cell>
          <cell r="H180" t="str">
            <v>Achats d'Approvisionnement Consommés</v>
          </cell>
        </row>
        <row r="181">
          <cell r="G181">
            <v>28119.38</v>
          </cell>
          <cell r="H181" t="str">
            <v>Achats d'Approvisionnement Consommés</v>
          </cell>
        </row>
        <row r="182">
          <cell r="G182">
            <v>2160.52</v>
          </cell>
          <cell r="H182" t="str">
            <v>Achats d'Approvisionnement Consommés</v>
          </cell>
        </row>
        <row r="183">
          <cell r="G183">
            <v>77648.683999999994</v>
          </cell>
          <cell r="H183" t="str">
            <v>Achats d'Approvisionnement Consommés</v>
          </cell>
        </row>
        <row r="184">
          <cell r="G184">
            <v>177145.356</v>
          </cell>
          <cell r="H184" t="str">
            <v>Achats d'Approvisionnement Consommés</v>
          </cell>
        </row>
        <row r="185">
          <cell r="G185">
            <v>54949.375</v>
          </cell>
          <cell r="H185" t="str">
            <v>Achats d'Approvisionnement Consommés</v>
          </cell>
        </row>
        <row r="186">
          <cell r="G186">
            <v>0</v>
          </cell>
        </row>
        <row r="187">
          <cell r="G187">
            <v>-3270823.693</v>
          </cell>
          <cell r="H187" t="str">
            <v>Achats d'Approvisionnement Consommés</v>
          </cell>
        </row>
        <row r="188">
          <cell r="G188">
            <v>105614.5610000001</v>
          </cell>
          <cell r="H188" t="str">
            <v>Autres Charges d'Exploitation</v>
          </cell>
        </row>
        <row r="189">
          <cell r="G189">
            <v>250000</v>
          </cell>
          <cell r="H189" t="str">
            <v>Autres Charges d'Exploitation</v>
          </cell>
        </row>
        <row r="190">
          <cell r="G190">
            <v>565839.49899999995</v>
          </cell>
          <cell r="H190" t="str">
            <v>Autres Charges d'Exploitation</v>
          </cell>
        </row>
        <row r="191">
          <cell r="G191">
            <v>600.00000000000045</v>
          </cell>
          <cell r="H191" t="str">
            <v>Autres Charges d'Exploitation</v>
          </cell>
        </row>
        <row r="192">
          <cell r="G192">
            <v>-3.0000000006111804E-3</v>
          </cell>
          <cell r="H192" t="str">
            <v>Achats d'Approvisionnement Consommés</v>
          </cell>
        </row>
        <row r="193">
          <cell r="G193">
            <v>197710.861</v>
          </cell>
          <cell r="H193" t="str">
            <v>Autres Charges d'Exploitation</v>
          </cell>
        </row>
        <row r="194">
          <cell r="G194">
            <v>33011.440999999999</v>
          </cell>
          <cell r="H194" t="str">
            <v>Autres Charges d'Exploitation</v>
          </cell>
        </row>
        <row r="195">
          <cell r="G195">
            <v>9010</v>
          </cell>
          <cell r="H195" t="str">
            <v>Achats d'Approvisionnement Consommés</v>
          </cell>
        </row>
        <row r="196">
          <cell r="G196">
            <v>19607.598000000002</v>
          </cell>
          <cell r="H196" t="str">
            <v>Autres Charges d'Exploitation</v>
          </cell>
        </row>
        <row r="197">
          <cell r="G197">
            <v>14985.692999999999</v>
          </cell>
          <cell r="H197" t="str">
            <v>Autres Charges d'Exploitation</v>
          </cell>
        </row>
        <row r="198">
          <cell r="G198">
            <v>153835.11900000001</v>
          </cell>
          <cell r="H198" t="str">
            <v>Autres Charges d'Exploitation</v>
          </cell>
        </row>
        <row r="199">
          <cell r="G199">
            <v>2881</v>
          </cell>
          <cell r="H199" t="str">
            <v>Autres Charges d'Exploitation</v>
          </cell>
        </row>
        <row r="200">
          <cell r="G200">
            <v>566938.62800000003</v>
          </cell>
          <cell r="H200" t="str">
            <v>Achats d'Approvisionnement Consommés</v>
          </cell>
        </row>
        <row r="201">
          <cell r="G201">
            <v>131630.33100000001</v>
          </cell>
          <cell r="H201" t="str">
            <v>Autres Charges d'Exploitation</v>
          </cell>
        </row>
        <row r="202">
          <cell r="G202">
            <v>369837.74900000007</v>
          </cell>
          <cell r="H202" t="str">
            <v>Autres Charges d'Exploitation</v>
          </cell>
        </row>
        <row r="203">
          <cell r="G203">
            <v>176478.96300000002</v>
          </cell>
          <cell r="H203" t="str">
            <v>Autres Charges d'Exploitation</v>
          </cell>
        </row>
        <row r="204">
          <cell r="G204">
            <v>271.52600000000001</v>
          </cell>
          <cell r="H204" t="str">
            <v>Autres Charges d'Exploitation</v>
          </cell>
        </row>
        <row r="205">
          <cell r="G205">
            <v>19511.977999999999</v>
          </cell>
          <cell r="H205" t="str">
            <v>Autres Charges d'Exploitation</v>
          </cell>
        </row>
        <row r="206">
          <cell r="G206">
            <v>13809.8</v>
          </cell>
          <cell r="H206" t="str">
            <v>Autres Charges d'Exploitation</v>
          </cell>
        </row>
        <row r="207">
          <cell r="G207">
            <v>0</v>
          </cell>
        </row>
        <row r="208">
          <cell r="G208">
            <v>63350.436000000002</v>
          </cell>
          <cell r="H208" t="str">
            <v>Autres Charges d'Exploitation</v>
          </cell>
        </row>
        <row r="209">
          <cell r="G209">
            <v>302.5</v>
          </cell>
          <cell r="H209" t="str">
            <v>Autres Charges d'Exploitation</v>
          </cell>
        </row>
        <row r="210">
          <cell r="G210">
            <v>31494.02</v>
          </cell>
          <cell r="H210" t="str">
            <v>Autres Charges d'Exploitation</v>
          </cell>
        </row>
        <row r="211">
          <cell r="G211">
            <v>23006.054</v>
          </cell>
          <cell r="H211" t="str">
            <v>Autres Charges d'Exploitation</v>
          </cell>
        </row>
        <row r="212">
          <cell r="G212">
            <v>17667.282999999999</v>
          </cell>
          <cell r="H212" t="str">
            <v>Autres Charges d'Exploitation</v>
          </cell>
        </row>
        <row r="213">
          <cell r="G213">
            <v>33390.29</v>
          </cell>
          <cell r="H213" t="str">
            <v>Autres Charges d'Exploitation</v>
          </cell>
        </row>
        <row r="214">
          <cell r="G214">
            <v>45445.061000000002</v>
          </cell>
          <cell r="H214" t="str">
            <v>Autres Charges d'Exploitation</v>
          </cell>
        </row>
        <row r="215">
          <cell r="G215">
            <v>19508</v>
          </cell>
          <cell r="H215" t="str">
            <v>Autres Charges d'Exploitation</v>
          </cell>
        </row>
        <row r="216">
          <cell r="G216">
            <v>10300.325000000001</v>
          </cell>
          <cell r="H216" t="str">
            <v>Autres Charges d'Exploitation</v>
          </cell>
        </row>
        <row r="217">
          <cell r="G217">
            <v>13870</v>
          </cell>
          <cell r="H217" t="str">
            <v>Autres Charges d'Exploitation</v>
          </cell>
        </row>
        <row r="218">
          <cell r="G218">
            <v>96093.974000000002</v>
          </cell>
          <cell r="H218" t="str">
            <v>Autres Charges d'Exploitation</v>
          </cell>
        </row>
        <row r="219">
          <cell r="G219">
            <v>52969.060000000005</v>
          </cell>
          <cell r="H219" t="str">
            <v>Autres Charges d'Exploitation</v>
          </cell>
        </row>
        <row r="220">
          <cell r="G220">
            <v>23784</v>
          </cell>
          <cell r="H220" t="str">
            <v>Autres Charges d'Exploitation</v>
          </cell>
        </row>
        <row r="221">
          <cell r="G221">
            <v>3400</v>
          </cell>
          <cell r="H221" t="str">
            <v>Autres Charges d'Exploitation</v>
          </cell>
        </row>
        <row r="222">
          <cell r="G222">
            <v>123674.76300000001</v>
          </cell>
          <cell r="H222" t="str">
            <v>Autres Charges d'Exploitation</v>
          </cell>
        </row>
        <row r="223">
          <cell r="G223">
            <v>999.39200000000005</v>
          </cell>
          <cell r="H223" t="str">
            <v>Autres Charges d'Exploitation</v>
          </cell>
        </row>
        <row r="224">
          <cell r="G224">
            <v>25812.416000000001</v>
          </cell>
          <cell r="H224" t="str">
            <v>Autres Charges d'Exploitation</v>
          </cell>
        </row>
        <row r="225">
          <cell r="G225">
            <v>25532.463</v>
          </cell>
          <cell r="H225" t="str">
            <v>Autres Charges d'Exploitation</v>
          </cell>
        </row>
        <row r="226">
          <cell r="G226">
            <v>35235.301000000007</v>
          </cell>
          <cell r="H226" t="str">
            <v>Autres Charges d'Exploitation</v>
          </cell>
        </row>
        <row r="227">
          <cell r="G227">
            <v>20171.505000000001</v>
          </cell>
          <cell r="H227" t="str">
            <v>Autres Charges d'Exploitation</v>
          </cell>
        </row>
        <row r="228">
          <cell r="G228">
            <v>16779.900000000001</v>
          </cell>
          <cell r="H228" t="str">
            <v>Autres Charges d'Exploitation</v>
          </cell>
        </row>
        <row r="229">
          <cell r="G229">
            <v>5874.4</v>
          </cell>
          <cell r="H229" t="str">
            <v>Autres Charges d'Exploitation</v>
          </cell>
        </row>
        <row r="230">
          <cell r="G230">
            <v>4304.4340000000002</v>
          </cell>
          <cell r="H230" t="str">
            <v>Autres Charges d'Exploitation</v>
          </cell>
        </row>
        <row r="231">
          <cell r="G231">
            <v>27337.537</v>
          </cell>
          <cell r="H231" t="str">
            <v>Autres Charges d'Exploitation</v>
          </cell>
        </row>
        <row r="232">
          <cell r="G232">
            <v>176376.63700000002</v>
          </cell>
          <cell r="H232" t="str">
            <v>Autres Charges d'Exploitation</v>
          </cell>
        </row>
        <row r="233">
          <cell r="G233">
            <v>125000</v>
          </cell>
          <cell r="H233" t="str">
            <v>Autres Charges d'Exploitation</v>
          </cell>
        </row>
        <row r="234">
          <cell r="G234">
            <v>8659.9449999999997</v>
          </cell>
          <cell r="H234" t="str">
            <v>Autres pertes ordinaires</v>
          </cell>
        </row>
        <row r="235">
          <cell r="G235">
            <v>10562.289000000001</v>
          </cell>
          <cell r="H235" t="str">
            <v>Autres pertes ordinaires</v>
          </cell>
        </row>
        <row r="236">
          <cell r="G236">
            <v>3824550.9810000001</v>
          </cell>
          <cell r="H236" t="str">
            <v>Charges de Personnel</v>
          </cell>
        </row>
        <row r="237">
          <cell r="G237">
            <v>0</v>
          </cell>
          <cell r="H237" t="str">
            <v>Autres Charges d'Exploitation</v>
          </cell>
        </row>
        <row r="238">
          <cell r="G238">
            <v>47426.851999999999</v>
          </cell>
          <cell r="H238" t="str">
            <v>Charges de Personnel</v>
          </cell>
        </row>
        <row r="239">
          <cell r="G239">
            <v>344735.092</v>
          </cell>
          <cell r="H239" t="str">
            <v>Charges de Personnel</v>
          </cell>
        </row>
        <row r="240">
          <cell r="G240">
            <v>228500.212</v>
          </cell>
          <cell r="H240" t="str">
            <v>Charges Financières nettes</v>
          </cell>
        </row>
        <row r="241">
          <cell r="G241">
            <v>347288.88900000002</v>
          </cell>
          <cell r="H241" t="str">
            <v>Charges Financières nettes</v>
          </cell>
        </row>
        <row r="242">
          <cell r="G242">
            <v>332450.07799999998</v>
          </cell>
          <cell r="H242" t="str">
            <v>Charges Financières nettes</v>
          </cell>
        </row>
        <row r="243">
          <cell r="G243">
            <v>2594.8609999999999</v>
          </cell>
          <cell r="H243" t="str">
            <v>Charges Financières nettes</v>
          </cell>
        </row>
        <row r="244">
          <cell r="G244">
            <v>12341.477000000001</v>
          </cell>
          <cell r="H244" t="str">
            <v>Charges Financières nettes</v>
          </cell>
        </row>
        <row r="245">
          <cell r="G245">
            <v>67118.86</v>
          </cell>
          <cell r="H245" t="str">
            <v>Charges Financières nettes</v>
          </cell>
        </row>
        <row r="246">
          <cell r="G246">
            <v>27403.280999999999</v>
          </cell>
          <cell r="H246" t="str">
            <v>Charges Financières nettes</v>
          </cell>
        </row>
        <row r="247">
          <cell r="G247">
            <v>287856.647</v>
          </cell>
          <cell r="H247" t="str">
            <v>Charges Financières nettes</v>
          </cell>
        </row>
        <row r="248">
          <cell r="G248">
            <v>48954.641000000003</v>
          </cell>
          <cell r="H248" t="str">
            <v>Charges Financières nettes</v>
          </cell>
        </row>
        <row r="249">
          <cell r="G249">
            <v>11401.716</v>
          </cell>
          <cell r="H249" t="str">
            <v>Autres Charges d'Exploitation</v>
          </cell>
        </row>
        <row r="250">
          <cell r="G250">
            <v>89513.423999999999</v>
          </cell>
          <cell r="H250" t="str">
            <v>Autres Charges d'Exploitation</v>
          </cell>
        </row>
        <row r="251">
          <cell r="G251">
            <v>37952.986999999994</v>
          </cell>
          <cell r="H251" t="str">
            <v>Autres Charges d'Exploitation</v>
          </cell>
        </row>
        <row r="252">
          <cell r="G252">
            <v>8558.9840000000004</v>
          </cell>
          <cell r="H252" t="str">
            <v>Autres Charges d'Exploitation</v>
          </cell>
        </row>
        <row r="253">
          <cell r="G253">
            <v>13845.519</v>
          </cell>
          <cell r="H253" t="str">
            <v>Dotation aux Amortissements et aux Provisions</v>
          </cell>
        </row>
        <row r="254">
          <cell r="G254">
            <v>2441930.165</v>
          </cell>
          <cell r="H254" t="str">
            <v>Dotation aux Amortissements et aux Provisions</v>
          </cell>
        </row>
        <row r="255">
          <cell r="G255">
            <v>208970.06</v>
          </cell>
          <cell r="H255" t="str">
            <v>Dotation aux Amortissements et aux Provisions</v>
          </cell>
        </row>
        <row r="256">
          <cell r="G256">
            <v>82226.194000000003</v>
          </cell>
          <cell r="H256" t="str">
            <v>Dotation aux Amortissements et aux Provisions</v>
          </cell>
        </row>
        <row r="257">
          <cell r="G257">
            <v>150193.33499999999</v>
          </cell>
          <cell r="H257" t="str">
            <v>Dotation aux Amortissements et aux Provisions</v>
          </cell>
        </row>
        <row r="258">
          <cell r="G258">
            <v>53965.5</v>
          </cell>
          <cell r="H258" t="str">
            <v>Impots sur les bénéfices</v>
          </cell>
        </row>
        <row r="259">
          <cell r="G259">
            <v>-31465470.735999998</v>
          </cell>
          <cell r="H259" t="str">
            <v>Revenus Locals</v>
          </cell>
        </row>
        <row r="260">
          <cell r="G260">
            <v>-7375876.284</v>
          </cell>
          <cell r="H260" t="str">
            <v>Revenus Export</v>
          </cell>
        </row>
        <row r="261">
          <cell r="G261">
            <v>-6660</v>
          </cell>
          <cell r="H261" t="str">
            <v>Revenus Locals</v>
          </cell>
        </row>
        <row r="262">
          <cell r="G262">
            <v>-506985.10800000001</v>
          </cell>
          <cell r="H262" t="str">
            <v>Autres Revenus</v>
          </cell>
        </row>
        <row r="263">
          <cell r="G263">
            <v>-4860.835</v>
          </cell>
          <cell r="H263" t="str">
            <v>Autres gains ordinaires</v>
          </cell>
        </row>
        <row r="264">
          <cell r="G264">
            <v>-38631.599999999999</v>
          </cell>
          <cell r="H264" t="str">
            <v>Autres Revenus</v>
          </cell>
        </row>
        <row r="265">
          <cell r="G265">
            <v>0</v>
          </cell>
        </row>
        <row r="266">
          <cell r="G266">
            <v>-1124564.645</v>
          </cell>
          <cell r="H266" t="str">
            <v>Variation Produits Finis et semi finis</v>
          </cell>
        </row>
        <row r="267">
          <cell r="G267">
            <v>-24451.072</v>
          </cell>
          <cell r="H267" t="str">
            <v>Autres gains ordinaires</v>
          </cell>
        </row>
        <row r="268">
          <cell r="G268">
            <v>-13.935</v>
          </cell>
          <cell r="H268" t="str">
            <v>Autres gains ordinaires</v>
          </cell>
        </row>
        <row r="269">
          <cell r="G269">
            <v>-271172.40299999999</v>
          </cell>
          <cell r="H269" t="str">
            <v>Autres Produits d'Exploitation</v>
          </cell>
        </row>
        <row r="270">
          <cell r="G270">
            <v>-1684.4359999999999</v>
          </cell>
          <cell r="H270" t="str">
            <v>Produit de placement</v>
          </cell>
        </row>
        <row r="271">
          <cell r="G271">
            <v>-65904.247999999992</v>
          </cell>
          <cell r="H271" t="str">
            <v>Charges Financières nettes</v>
          </cell>
        </row>
        <row r="272">
          <cell r="G272">
            <v>0</v>
          </cell>
        </row>
        <row r="273">
          <cell r="G273">
            <v>-17914.275000000001</v>
          </cell>
          <cell r="H273" t="str">
            <v>Dotation aux Amortissements et aux Provisions</v>
          </cell>
        </row>
        <row r="274">
          <cell r="G274">
            <v>4.0000099470489658E-3</v>
          </cell>
        </row>
      </sheetData>
      <sheetData sheetId="4">
        <row r="1">
          <cell r="G1" t="str">
            <v>SoldeFin</v>
          </cell>
          <cell r="H1" t="str">
            <v>Affectation</v>
          </cell>
        </row>
        <row r="2">
          <cell r="G2">
            <v>-13500000</v>
          </cell>
          <cell r="H2" t="str">
            <v>Capital social</v>
          </cell>
        </row>
        <row r="3">
          <cell r="G3">
            <v>-1200000</v>
          </cell>
          <cell r="H3" t="str">
            <v>Réserves légales</v>
          </cell>
        </row>
        <row r="4">
          <cell r="G4">
            <v>-17517372.004645001</v>
          </cell>
          <cell r="H4" t="str">
            <v>Résultats reportés</v>
          </cell>
        </row>
        <row r="5">
          <cell r="G5">
            <v>0</v>
          </cell>
        </row>
        <row r="6">
          <cell r="G6">
            <v>3126298.01</v>
          </cell>
          <cell r="H6" t="str">
            <v>Modification comptable</v>
          </cell>
        </row>
        <row r="7">
          <cell r="G7">
            <v>0</v>
          </cell>
        </row>
        <row r="8">
          <cell r="G8">
            <v>-3479108.84</v>
          </cell>
          <cell r="H8" t="str">
            <v>Subvention d'investissement</v>
          </cell>
        </row>
        <row r="9">
          <cell r="G9">
            <v>2662861.7679999997</v>
          </cell>
          <cell r="H9" t="str">
            <v>Amortissement subvention d'investissement</v>
          </cell>
        </row>
        <row r="10">
          <cell r="G10">
            <v>-231535.016</v>
          </cell>
          <cell r="H10" t="str">
            <v>Provision pour risque et charges</v>
          </cell>
        </row>
        <row r="11">
          <cell r="G11">
            <v>0</v>
          </cell>
        </row>
        <row r="12">
          <cell r="G12">
            <v>-1416666.6629999988</v>
          </cell>
          <cell r="H12" t="str">
            <v>Emprunts</v>
          </cell>
        </row>
        <row r="13">
          <cell r="G13">
            <v>0</v>
          </cell>
        </row>
        <row r="14">
          <cell r="G14">
            <v>-103582.68900000023</v>
          </cell>
          <cell r="H14" t="str">
            <v>Emprunts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93173.926999999996</v>
          </cell>
          <cell r="H17" t="str">
            <v>Immobilisations corporelles et incorp.</v>
          </cell>
        </row>
        <row r="18">
          <cell r="G18">
            <v>0</v>
          </cell>
        </row>
        <row r="19">
          <cell r="G19">
            <v>1275724</v>
          </cell>
          <cell r="H19" t="str">
            <v>Immobilisations corporelles et incorp.</v>
          </cell>
        </row>
        <row r="20">
          <cell r="G20">
            <v>161921.53600000002</v>
          </cell>
          <cell r="H20" t="str">
            <v>Immobilisations corporelles et incorp.</v>
          </cell>
        </row>
        <row r="21">
          <cell r="G21">
            <v>9174898.7489999998</v>
          </cell>
          <cell r="H21" t="str">
            <v>Immobilisations corporelles et incorp.</v>
          </cell>
        </row>
        <row r="22">
          <cell r="G22">
            <v>696674.05799999996</v>
          </cell>
          <cell r="H22" t="str">
            <v>Immobilisations corporelles et incorp.</v>
          </cell>
        </row>
        <row r="23">
          <cell r="G23">
            <v>73570.611000000004</v>
          </cell>
          <cell r="H23" t="str">
            <v>Immobilisations corporelles et incorp.</v>
          </cell>
        </row>
        <row r="24">
          <cell r="G24">
            <v>0</v>
          </cell>
        </row>
        <row r="25">
          <cell r="G25">
            <v>24676096.882048998</v>
          </cell>
          <cell r="H25" t="str">
            <v>Immobilisations corporelles et incorp.</v>
          </cell>
        </row>
        <row r="26">
          <cell r="G26">
            <v>651798.13449999981</v>
          </cell>
          <cell r="H26" t="str">
            <v>Immobilisations corporelles et incorp.</v>
          </cell>
        </row>
        <row r="27">
          <cell r="G27">
            <v>901593.20599999989</v>
          </cell>
          <cell r="H27" t="str">
            <v>Immobilisations corporelles et incorp.</v>
          </cell>
        </row>
        <row r="28">
          <cell r="G28">
            <v>1176312.6140000001</v>
          </cell>
          <cell r="H28" t="str">
            <v>Immobilisations corporelles et incorp.</v>
          </cell>
        </row>
        <row r="29">
          <cell r="G29">
            <v>0</v>
          </cell>
        </row>
        <row r="30">
          <cell r="G30">
            <v>281171.26414999994</v>
          </cell>
          <cell r="H30" t="str">
            <v>Immobilisations corporelles et incorp.</v>
          </cell>
        </row>
        <row r="31">
          <cell r="G31">
            <v>243796.16828599997</v>
          </cell>
          <cell r="H31" t="str">
            <v>Immobilisations corporelles et incorp.</v>
          </cell>
        </row>
        <row r="32">
          <cell r="G32">
            <v>2.0000000404252205E-5</v>
          </cell>
        </row>
        <row r="33">
          <cell r="G33">
            <v>404721.24329749914</v>
          </cell>
          <cell r="H33" t="str">
            <v>Immobilisations corporelles et incorp.</v>
          </cell>
        </row>
        <row r="34">
          <cell r="G34">
            <v>-2.6193447411060333E-9</v>
          </cell>
          <cell r="H34" t="str">
            <v>Immobilisations corporelles et incorp.</v>
          </cell>
        </row>
        <row r="35">
          <cell r="G35">
            <v>0</v>
          </cell>
        </row>
        <row r="36">
          <cell r="G36">
            <v>0</v>
          </cell>
        </row>
        <row r="37">
          <cell r="G37">
            <v>0</v>
          </cell>
        </row>
        <row r="38">
          <cell r="G38">
            <v>0</v>
          </cell>
        </row>
        <row r="39">
          <cell r="G39">
            <v>0</v>
          </cell>
        </row>
        <row r="40">
          <cell r="G40">
            <v>770033.75899999996</v>
          </cell>
          <cell r="H40" t="str">
            <v>Immobilisations corporelles et incorp.</v>
          </cell>
        </row>
        <row r="41">
          <cell r="G41">
            <v>0</v>
          </cell>
        </row>
        <row r="42">
          <cell r="G42">
            <v>266820</v>
          </cell>
          <cell r="H42" t="str">
            <v>Titres de Participation</v>
          </cell>
        </row>
        <row r="43">
          <cell r="G43">
            <v>512700</v>
          </cell>
          <cell r="H43" t="str">
            <v>Titres de Participation</v>
          </cell>
        </row>
        <row r="44">
          <cell r="G44">
            <v>677000</v>
          </cell>
          <cell r="H44" t="str">
            <v>Titres de Participation</v>
          </cell>
        </row>
        <row r="45">
          <cell r="G45">
            <v>3150000</v>
          </cell>
          <cell r="H45" t="str">
            <v>Titres de Participation</v>
          </cell>
        </row>
        <row r="46">
          <cell r="G46">
            <v>319680</v>
          </cell>
          <cell r="H46" t="str">
            <v>Titres de Participation</v>
          </cell>
        </row>
        <row r="47">
          <cell r="G47">
            <v>0</v>
          </cell>
          <cell r="H47" t="str">
            <v>Titres de Participation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  <row r="51">
          <cell r="G51">
            <v>2.0372681319713593E-10</v>
          </cell>
          <cell r="H51" t="str">
            <v>Dépôts et cautionnements</v>
          </cell>
        </row>
        <row r="52">
          <cell r="G52">
            <v>0</v>
          </cell>
        </row>
        <row r="53">
          <cell r="G53">
            <v>0</v>
          </cell>
        </row>
        <row r="54">
          <cell r="G54">
            <v>5771.2</v>
          </cell>
          <cell r="H54" t="str">
            <v>Dépôts et cautionnements</v>
          </cell>
        </row>
        <row r="55">
          <cell r="G55">
            <v>0</v>
          </cell>
        </row>
        <row r="56">
          <cell r="G56">
            <v>0</v>
          </cell>
        </row>
        <row r="57">
          <cell r="G57">
            <v>0</v>
          </cell>
        </row>
        <row r="58">
          <cell r="G58">
            <v>-75004.895999999979</v>
          </cell>
          <cell r="H58" t="str">
            <v>Amortissement des immobilisations corporelles et incorp.</v>
          </cell>
        </row>
        <row r="59">
          <cell r="G59">
            <v>-148352.71300000002</v>
          </cell>
          <cell r="H59" t="str">
            <v>Amortissement des immobilisations corporelles et incorp.</v>
          </cell>
        </row>
        <row r="60">
          <cell r="G60">
            <v>-3729152.5419999999</v>
          </cell>
          <cell r="H60" t="str">
            <v>Amortissement des immobilisations corporelles et incorp.</v>
          </cell>
        </row>
        <row r="61">
          <cell r="G61">
            <v>-271826.14400000003</v>
          </cell>
          <cell r="H61" t="str">
            <v>Amortissement des immobilisations corporelles et incorp.</v>
          </cell>
        </row>
        <row r="62">
          <cell r="G62">
            <v>-43130.394999999997</v>
          </cell>
          <cell r="H62" t="str">
            <v>Amortissement des immobilisations corporelles et incorp.</v>
          </cell>
        </row>
        <row r="63">
          <cell r="G63">
            <v>-15867226.817000002</v>
          </cell>
          <cell r="H63" t="str">
            <v>Amortissement des immobilisations corporelles et incorp.</v>
          </cell>
        </row>
        <row r="64">
          <cell r="G64">
            <v>-355370.766</v>
          </cell>
          <cell r="H64" t="str">
            <v>Amortissement des immobilisations corporelles et incorp.</v>
          </cell>
        </row>
        <row r="65">
          <cell r="G65">
            <v>-756166.84899999993</v>
          </cell>
          <cell r="H65" t="str">
            <v>Amortissement des immobilisations corporelles et incorp.</v>
          </cell>
        </row>
        <row r="66">
          <cell r="G66">
            <v>-641382.64299999992</v>
          </cell>
          <cell r="H66" t="str">
            <v>Amortissement des immobilisations corporelles et incorp.</v>
          </cell>
        </row>
        <row r="67">
          <cell r="G67">
            <v>-227110.92800000001</v>
          </cell>
          <cell r="H67" t="str">
            <v>Amortissement des immobilisations corporelles et incorp.</v>
          </cell>
        </row>
        <row r="68">
          <cell r="G68">
            <v>-129025.63500000002</v>
          </cell>
          <cell r="H68" t="str">
            <v>Amortissement des immobilisations corporelles et incorp.</v>
          </cell>
        </row>
        <row r="69">
          <cell r="G69">
            <v>-480076.72499999986</v>
          </cell>
          <cell r="H69" t="str">
            <v>Amortissement des immobilisations corporelles et incorp.</v>
          </cell>
        </row>
        <row r="70">
          <cell r="G70">
            <v>0</v>
          </cell>
        </row>
        <row r="71">
          <cell r="G71">
            <v>-223876.883</v>
          </cell>
          <cell r="H71" t="str">
            <v>Amortissement des immobilisations corporelles et incorp.</v>
          </cell>
        </row>
        <row r="72">
          <cell r="G72">
            <v>-8171.429000000001</v>
          </cell>
          <cell r="H72" t="str">
            <v>Amortissement des immobilisations corporelles et incorp.</v>
          </cell>
        </row>
        <row r="73">
          <cell r="G73">
            <v>0</v>
          </cell>
        </row>
        <row r="74">
          <cell r="G74">
            <v>0</v>
          </cell>
        </row>
        <row r="75">
          <cell r="G75">
            <v>-29257.384999999998</v>
          </cell>
          <cell r="H75" t="str">
            <v>Provision pour dép.Imm Financières</v>
          </cell>
        </row>
        <row r="76">
          <cell r="G76">
            <v>9520075.0200000033</v>
          </cell>
          <cell r="H76" t="str">
            <v>Stocks</v>
          </cell>
        </row>
        <row r="77">
          <cell r="G77">
            <v>1881173.9140000001</v>
          </cell>
          <cell r="H77" t="str">
            <v>Stocks</v>
          </cell>
        </row>
        <row r="78">
          <cell r="G78">
            <v>662156.42900000059</v>
          </cell>
          <cell r="H78" t="str">
            <v>Stocks</v>
          </cell>
        </row>
        <row r="79">
          <cell r="G79">
            <v>3435380.2889999999</v>
          </cell>
          <cell r="H79" t="str">
            <v>Stocks</v>
          </cell>
        </row>
        <row r="80">
          <cell r="G80">
            <v>0</v>
          </cell>
        </row>
        <row r="81">
          <cell r="G81">
            <v>0</v>
          </cell>
        </row>
        <row r="82">
          <cell r="G82">
            <v>1674504.0190000013</v>
          </cell>
          <cell r="H82" t="str">
            <v>Stocks</v>
          </cell>
        </row>
        <row r="83">
          <cell r="G83">
            <v>-208158.11300000001</v>
          </cell>
          <cell r="H83" t="str">
            <v>Provision sur dépr.stock</v>
          </cell>
        </row>
        <row r="84">
          <cell r="G84">
            <v>-2875441.9530395344</v>
          </cell>
          <cell r="H84" t="str">
            <v>Fournisseurs &amp; comptes rattachés</v>
          </cell>
        </row>
        <row r="85">
          <cell r="G85">
            <v>-970419.35000000708</v>
          </cell>
          <cell r="H85" t="str">
            <v>Fournisseurs &amp; comptes rattachés</v>
          </cell>
        </row>
        <row r="86">
          <cell r="G86">
            <v>0</v>
          </cell>
        </row>
        <row r="87">
          <cell r="G87">
            <v>9.999983012676239E-5</v>
          </cell>
        </row>
        <row r="88">
          <cell r="G88">
            <v>0</v>
          </cell>
        </row>
        <row r="89">
          <cell r="G89">
            <v>-3111690.428748602</v>
          </cell>
          <cell r="H89" t="str">
            <v>Fournisseurs &amp; comptes rattachés</v>
          </cell>
        </row>
        <row r="90">
          <cell r="G90">
            <v>-4980</v>
          </cell>
          <cell r="H90" t="str">
            <v>Fournisseurs &amp; comptes rattachés</v>
          </cell>
        </row>
        <row r="91">
          <cell r="G91">
            <v>-41980.576999999997</v>
          </cell>
          <cell r="H91" t="str">
            <v>Fournisseurs &amp; comptes rattachés</v>
          </cell>
        </row>
        <row r="92">
          <cell r="G92">
            <v>0</v>
          </cell>
        </row>
        <row r="93">
          <cell r="G93">
            <v>0</v>
          </cell>
          <cell r="H93" t="str">
            <v>Autres actifs courants</v>
          </cell>
        </row>
        <row r="94">
          <cell r="G94">
            <v>15614197.010682479</v>
          </cell>
          <cell r="H94" t="str">
            <v>Clients et comptes rattachés</v>
          </cell>
        </row>
        <row r="95">
          <cell r="G95">
            <v>0</v>
          </cell>
        </row>
        <row r="96">
          <cell r="G96">
            <v>3350188.183260479</v>
          </cell>
          <cell r="H96" t="str">
            <v>Clients et comptes rattachés</v>
          </cell>
        </row>
        <row r="97">
          <cell r="G97">
            <v>0</v>
          </cell>
        </row>
        <row r="98">
          <cell r="G98">
            <v>0</v>
          </cell>
        </row>
        <row r="99">
          <cell r="G99">
            <v>0</v>
          </cell>
        </row>
        <row r="100">
          <cell r="G100">
            <v>0</v>
          </cell>
        </row>
        <row r="101">
          <cell r="G101">
            <v>0</v>
          </cell>
        </row>
        <row r="102">
          <cell r="G102">
            <v>21139.859999999986</v>
          </cell>
          <cell r="H102" t="str">
            <v>Autres actifs courants</v>
          </cell>
        </row>
        <row r="103">
          <cell r="G103">
            <v>0</v>
          </cell>
        </row>
        <row r="104">
          <cell r="G104">
            <v>-180820.14299999969</v>
          </cell>
          <cell r="H104" t="str">
            <v>Autres passifs courants</v>
          </cell>
        </row>
        <row r="105">
          <cell r="G105">
            <v>0</v>
          </cell>
        </row>
        <row r="106">
          <cell r="G106">
            <v>-2433.5260000000035</v>
          </cell>
          <cell r="H106" t="str">
            <v>Autres passifs courants</v>
          </cell>
        </row>
        <row r="107">
          <cell r="G107">
            <v>-245931.41399999987</v>
          </cell>
          <cell r="H107" t="str">
            <v>Autres passifs courants</v>
          </cell>
        </row>
        <row r="108">
          <cell r="G108">
            <v>0</v>
          </cell>
        </row>
        <row r="109">
          <cell r="G109">
            <v>0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0</v>
          </cell>
        </row>
        <row r="113">
          <cell r="G113">
            <v>0</v>
          </cell>
        </row>
        <row r="114">
          <cell r="G114">
            <v>0</v>
          </cell>
          <cell r="H114" t="str">
            <v>Autres passifs courants</v>
          </cell>
        </row>
        <row r="115">
          <cell r="G115">
            <v>4.6999999998661224E-2</v>
          </cell>
          <cell r="H115" t="str">
            <v>Autres actifs courants</v>
          </cell>
        </row>
        <row r="116">
          <cell r="G116">
            <v>-2.9103830456733704E-11</v>
          </cell>
          <cell r="H116" t="str">
            <v>Autres passifs courants</v>
          </cell>
        </row>
        <row r="117">
          <cell r="G117">
            <v>0</v>
          </cell>
          <cell r="H117" t="str">
            <v>Autres passifs courants</v>
          </cell>
        </row>
        <row r="118">
          <cell r="G118">
            <v>2.1600499167107046E-11</v>
          </cell>
          <cell r="H118" t="str">
            <v>Autres passifs courants</v>
          </cell>
        </row>
        <row r="119">
          <cell r="G119">
            <v>0</v>
          </cell>
          <cell r="H119" t="str">
            <v>Autres passifs courants</v>
          </cell>
        </row>
        <row r="120">
          <cell r="G120">
            <v>-40912.060000000027</v>
          </cell>
          <cell r="H120" t="str">
            <v>Autres passifs courants</v>
          </cell>
        </row>
        <row r="121">
          <cell r="G121">
            <v>0</v>
          </cell>
        </row>
        <row r="122">
          <cell r="G122">
            <v>967729.65199999989</v>
          </cell>
          <cell r="H122" t="str">
            <v>Autres actifs courants</v>
          </cell>
        </row>
        <row r="123">
          <cell r="G123">
            <v>0</v>
          </cell>
          <cell r="H123" t="str">
            <v>Autres actifs courants</v>
          </cell>
        </row>
        <row r="124">
          <cell r="G124">
            <v>0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G127">
            <v>-70408.270000000019</v>
          </cell>
          <cell r="H127" t="str">
            <v>Autres passifs courants</v>
          </cell>
        </row>
        <row r="128">
          <cell r="G128">
            <v>697619.66199998744</v>
          </cell>
          <cell r="H128" t="str">
            <v>Autres actifs courants</v>
          </cell>
        </row>
        <row r="129">
          <cell r="G129">
            <v>-1.7462298274040222E-10</v>
          </cell>
          <cell r="H129" t="str">
            <v>Autres actifs courants</v>
          </cell>
        </row>
        <row r="130">
          <cell r="G130">
            <v>1.0999999940395355E-2</v>
          </cell>
          <cell r="H130" t="str">
            <v>Autres actifs courants</v>
          </cell>
        </row>
        <row r="131">
          <cell r="G131">
            <v>0</v>
          </cell>
        </row>
        <row r="132">
          <cell r="G132">
            <v>6400.8770000000368</v>
          </cell>
          <cell r="H132" t="str">
            <v>Autres actifs courants</v>
          </cell>
        </row>
        <row r="133">
          <cell r="G133">
            <v>0</v>
          </cell>
        </row>
        <row r="134">
          <cell r="G134">
            <v>-7.2759576141834259E-12</v>
          </cell>
        </row>
        <row r="135">
          <cell r="G135">
            <v>0</v>
          </cell>
        </row>
        <row r="136">
          <cell r="G136">
            <v>-3.9999987930059433E-3</v>
          </cell>
          <cell r="H136" t="str">
            <v>Autres passifs courants</v>
          </cell>
        </row>
        <row r="137">
          <cell r="G137">
            <v>0</v>
          </cell>
        </row>
        <row r="138">
          <cell r="G138">
            <v>-2.7939677238464355E-9</v>
          </cell>
          <cell r="H138" t="str">
            <v>Autres actifs courants</v>
          </cell>
        </row>
        <row r="139">
          <cell r="G139">
            <v>0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3">
          <cell r="G143">
            <v>0</v>
          </cell>
        </row>
        <row r="144">
          <cell r="G144">
            <v>0</v>
          </cell>
        </row>
        <row r="145">
          <cell r="G145">
            <v>44498.300999999978</v>
          </cell>
          <cell r="H145" t="str">
            <v>Autres actifs courants</v>
          </cell>
        </row>
        <row r="146">
          <cell r="G146">
            <v>0</v>
          </cell>
        </row>
        <row r="147">
          <cell r="G147">
            <v>0</v>
          </cell>
        </row>
        <row r="148">
          <cell r="G148">
            <v>0</v>
          </cell>
        </row>
        <row r="149">
          <cell r="G149">
            <v>0</v>
          </cell>
        </row>
        <row r="150">
          <cell r="G150">
            <v>-439999.99999999988</v>
          </cell>
          <cell r="H150" t="str">
            <v>Autres passifs courants</v>
          </cell>
        </row>
        <row r="151">
          <cell r="G151">
            <v>165000</v>
          </cell>
          <cell r="H151" t="str">
            <v>Autres actifs courants</v>
          </cell>
        </row>
        <row r="152">
          <cell r="G152">
            <v>2270.971</v>
          </cell>
          <cell r="H152" t="str">
            <v>Autres actifs courants</v>
          </cell>
        </row>
        <row r="153">
          <cell r="G153">
            <v>3626.8820000002161</v>
          </cell>
          <cell r="H153" t="str">
            <v>Autres actifs courants</v>
          </cell>
        </row>
        <row r="154">
          <cell r="G154">
            <v>0</v>
          </cell>
        </row>
        <row r="155">
          <cell r="G155">
            <v>0</v>
          </cell>
        </row>
        <row r="156">
          <cell r="G156">
            <v>0</v>
          </cell>
        </row>
        <row r="157">
          <cell r="G157">
            <v>-12699.999999999534</v>
          </cell>
          <cell r="H157" t="str">
            <v>Autres passifs courants</v>
          </cell>
        </row>
        <row r="158">
          <cell r="G158">
            <v>-2500</v>
          </cell>
          <cell r="H158" t="str">
            <v>Autres passifs courants</v>
          </cell>
        </row>
        <row r="159">
          <cell r="G159">
            <v>-244010.37100000004</v>
          </cell>
          <cell r="H159" t="str">
            <v>Autres passifs courants</v>
          </cell>
        </row>
        <row r="160">
          <cell r="G160">
            <v>7122.9679999999998</v>
          </cell>
          <cell r="H160" t="str">
            <v>Autres actifs courants</v>
          </cell>
        </row>
        <row r="161">
          <cell r="G161">
            <v>-1872970.1819999996</v>
          </cell>
          <cell r="H161" t="str">
            <v>Autres passifs courants</v>
          </cell>
        </row>
        <row r="162">
          <cell r="G162">
            <v>38770.517999999691</v>
          </cell>
          <cell r="H162" t="str">
            <v>Autres actifs courants</v>
          </cell>
        </row>
        <row r="163">
          <cell r="G163">
            <v>0</v>
          </cell>
        </row>
        <row r="164">
          <cell r="G164">
            <v>0</v>
          </cell>
        </row>
        <row r="165">
          <cell r="G165">
            <v>222018.92184600013</v>
          </cell>
          <cell r="H165" t="str">
            <v>Autres actifs courants</v>
          </cell>
        </row>
        <row r="166">
          <cell r="G166">
            <v>0</v>
          </cell>
        </row>
        <row r="167">
          <cell r="G167">
            <v>-457129.14999999991</v>
          </cell>
          <cell r="H167" t="str">
            <v>Provision sur créance douteux</v>
          </cell>
        </row>
        <row r="168">
          <cell r="G168">
            <v>-288613.68499999994</v>
          </cell>
          <cell r="H168" t="str">
            <v>Provision sur dépr.compte déb divers</v>
          </cell>
        </row>
        <row r="169">
          <cell r="G169">
            <v>-6000000</v>
          </cell>
          <cell r="H169" t="str">
            <v>Concours bancaires &amp; autres passifs financiers</v>
          </cell>
        </row>
        <row r="170">
          <cell r="G170">
            <v>-4000000</v>
          </cell>
          <cell r="H170" t="str">
            <v>Concours bancaires &amp; autres passifs financiers</v>
          </cell>
        </row>
        <row r="171">
          <cell r="G171">
            <v>-625000.00400000135</v>
          </cell>
          <cell r="H171" t="str">
            <v>Concours bancaires &amp; autres passifs financiers</v>
          </cell>
        </row>
        <row r="172">
          <cell r="G172">
            <v>-131871.57900000014</v>
          </cell>
          <cell r="H172" t="str">
            <v>Concours bancaires &amp; autres passifs financiers</v>
          </cell>
        </row>
        <row r="173">
          <cell r="G173">
            <v>0</v>
          </cell>
          <cell r="H173" t="str">
            <v>Concours bancaires &amp; autres passifs financiers</v>
          </cell>
        </row>
        <row r="174">
          <cell r="G174">
            <v>-1347864.9606234999</v>
          </cell>
          <cell r="H174" t="str">
            <v>Concours bancaires &amp; autres passifs financiers</v>
          </cell>
        </row>
        <row r="175">
          <cell r="G175">
            <v>-443000</v>
          </cell>
          <cell r="H175" t="str">
            <v>Concours bancaires &amp; autres passifs financiers</v>
          </cell>
        </row>
        <row r="176">
          <cell r="G176">
            <v>-31533.956999999999</v>
          </cell>
          <cell r="H176" t="str">
            <v>Concours bancaires &amp; autres passifs financiers</v>
          </cell>
        </row>
        <row r="177">
          <cell r="G177">
            <v>0</v>
          </cell>
        </row>
        <row r="178">
          <cell r="G178">
            <v>0</v>
          </cell>
        </row>
        <row r="179">
          <cell r="G179">
            <v>0</v>
          </cell>
        </row>
        <row r="180">
          <cell r="G180">
            <v>185799.56100000441</v>
          </cell>
          <cell r="H180" t="str">
            <v>Liquidités et équivalents de liquidités</v>
          </cell>
        </row>
        <row r="181">
          <cell r="G181">
            <v>0</v>
          </cell>
        </row>
        <row r="182">
          <cell r="G182">
            <v>435.74199999962002</v>
          </cell>
          <cell r="H182" t="str">
            <v>Liquidités et équivalents de liquidités</v>
          </cell>
        </row>
        <row r="183">
          <cell r="G183">
            <v>159807.23200000031</v>
          </cell>
          <cell r="H183" t="str">
            <v>Liquidités et équivalents de liquidités</v>
          </cell>
        </row>
        <row r="184">
          <cell r="G184">
            <v>0</v>
          </cell>
        </row>
        <row r="185">
          <cell r="G185">
            <v>0</v>
          </cell>
        </row>
        <row r="186">
          <cell r="G186">
            <v>5874.02</v>
          </cell>
          <cell r="H186" t="str">
            <v>Liquidités et équivalents de liquidités</v>
          </cell>
        </row>
        <row r="187">
          <cell r="G187">
            <v>12925.083999977098</v>
          </cell>
          <cell r="H187" t="str">
            <v>Liquidités et équivalents de liquidités</v>
          </cell>
        </row>
        <row r="188">
          <cell r="G188">
            <v>0</v>
          </cell>
          <cell r="H188" t="str">
            <v>Liquidités et équivalents de liquidités</v>
          </cell>
        </row>
        <row r="189">
          <cell r="G189">
            <v>0</v>
          </cell>
        </row>
        <row r="190">
          <cell r="G190">
            <v>0</v>
          </cell>
        </row>
        <row r="191">
          <cell r="G191">
            <v>-3300983.9089999199</v>
          </cell>
          <cell r="H191" t="str">
            <v>Concours bancaires &amp; autres passifs financiers</v>
          </cell>
        </row>
        <row r="192">
          <cell r="G192">
            <v>1964289.2105972022</v>
          </cell>
          <cell r="H192" t="str">
            <v>Liquidités et équivalents de liquidités</v>
          </cell>
        </row>
        <row r="193">
          <cell r="G193">
            <v>-66996.352999999654</v>
          </cell>
          <cell r="H193" t="str">
            <v>Concours bancaires &amp; autres passifs financiers</v>
          </cell>
        </row>
        <row r="194">
          <cell r="G194">
            <v>0</v>
          </cell>
        </row>
        <row r="195">
          <cell r="G195">
            <v>0</v>
          </cell>
        </row>
        <row r="196">
          <cell r="G196">
            <v>0</v>
          </cell>
        </row>
        <row r="197">
          <cell r="G197">
            <v>485.66199999954551</v>
          </cell>
          <cell r="H197" t="str">
            <v>Liquidités et équivalents de liquidités</v>
          </cell>
        </row>
        <row r="198">
          <cell r="G198">
            <v>0</v>
          </cell>
        </row>
        <row r="199">
          <cell r="G199">
            <v>0</v>
          </cell>
        </row>
        <row r="200">
          <cell r="G200">
            <v>0</v>
          </cell>
        </row>
        <row r="201">
          <cell r="G201">
            <v>17</v>
          </cell>
          <cell r="H201" t="str">
            <v>Liquidités et équivalents de liquidités</v>
          </cell>
        </row>
        <row r="202">
          <cell r="G202">
            <v>0</v>
          </cell>
        </row>
        <row r="203">
          <cell r="G203">
            <v>3000</v>
          </cell>
          <cell r="H203" t="str">
            <v>Liquidités et équivalents de liquidités</v>
          </cell>
        </row>
        <row r="204">
          <cell r="G204">
            <v>0</v>
          </cell>
        </row>
        <row r="205">
          <cell r="G205">
            <v>0</v>
          </cell>
        </row>
        <row r="206">
          <cell r="G206">
            <v>-1.9999593496322632E-4</v>
          </cell>
        </row>
        <row r="207">
          <cell r="G207">
            <v>0</v>
          </cell>
        </row>
        <row r="208">
          <cell r="G208">
            <v>1.0100007057189941E-4</v>
          </cell>
        </row>
        <row r="209">
          <cell r="G209">
            <v>0</v>
          </cell>
        </row>
        <row r="210">
          <cell r="G210">
            <v>3.8483738899230957E-4</v>
          </cell>
          <cell r="H210" t="str">
            <v>Concours bancaires &amp; autres passifs financiers</v>
          </cell>
        </row>
        <row r="211">
          <cell r="G211">
            <v>1136780.078</v>
          </cell>
          <cell r="H211" t="str">
            <v>Achats d'Approvisionnement Consommés</v>
          </cell>
        </row>
        <row r="212">
          <cell r="G212">
            <v>1851927.4734315001</v>
          </cell>
          <cell r="H212" t="str">
            <v>Achats d'Approvisionnement Consommés</v>
          </cell>
        </row>
        <row r="213">
          <cell r="G213">
            <v>320648.32061700005</v>
          </cell>
          <cell r="H213" t="str">
            <v>Achats d'Approvisionnement Consommés</v>
          </cell>
        </row>
        <row r="214">
          <cell r="G214">
            <v>52138.206250000003</v>
          </cell>
          <cell r="H214" t="str">
            <v>Achats d'Approvisionnement Consommés</v>
          </cell>
        </row>
        <row r="215">
          <cell r="G215">
            <v>9453.6</v>
          </cell>
          <cell r="H215" t="str">
            <v>Achats d'Approvisionnement Consommés</v>
          </cell>
        </row>
        <row r="216">
          <cell r="G216">
            <v>2332626.313085</v>
          </cell>
          <cell r="H216" t="str">
            <v>Achats d'Approvisionnement Consommés</v>
          </cell>
        </row>
        <row r="217">
          <cell r="G217">
            <v>171420.03677249997</v>
          </cell>
          <cell r="H217" t="str">
            <v>Achats d'Approvisionnement Consommés</v>
          </cell>
        </row>
        <row r="218">
          <cell r="G218">
            <v>103356.81000000001</v>
          </cell>
          <cell r="H218" t="str">
            <v>Achats d'Approvisionnement Consommés</v>
          </cell>
        </row>
        <row r="219">
          <cell r="G219">
            <v>73673.712243000002</v>
          </cell>
          <cell r="H219" t="str">
            <v>Achats d'Approvisionnement Consommés</v>
          </cell>
        </row>
        <row r="220">
          <cell r="G220">
            <v>47859.581200000001</v>
          </cell>
          <cell r="H220" t="str">
            <v>Achats d'Approvisionnement Consommés</v>
          </cell>
        </row>
        <row r="221">
          <cell r="G221">
            <v>5382.0619999999999</v>
          </cell>
          <cell r="H221" t="str">
            <v>Achats d'Approvisionnement Consommés</v>
          </cell>
        </row>
        <row r="222">
          <cell r="G222">
            <v>2523.0747249999999</v>
          </cell>
          <cell r="H222" t="str">
            <v>Achats d'Approvisionnement Consommés</v>
          </cell>
        </row>
        <row r="223">
          <cell r="G223">
            <v>18259.216</v>
          </cell>
          <cell r="H223" t="str">
            <v>Achats d'Approvisionnement Consommés</v>
          </cell>
        </row>
        <row r="224">
          <cell r="G224">
            <v>29179.371000000003</v>
          </cell>
          <cell r="H224" t="str">
            <v>Achats d'Approvisionnement Consommés</v>
          </cell>
        </row>
        <row r="225">
          <cell r="G225">
            <v>13450.472</v>
          </cell>
          <cell r="H225" t="str">
            <v>Achats d'Approvisionnement Consommés</v>
          </cell>
        </row>
        <row r="226">
          <cell r="G226">
            <v>0</v>
          </cell>
        </row>
        <row r="227">
          <cell r="G227">
            <v>506349.51400000002</v>
          </cell>
          <cell r="H227" t="str">
            <v>Achats d'Approvisionnement Consommés</v>
          </cell>
        </row>
        <row r="228">
          <cell r="G228">
            <v>23602.247000000003</v>
          </cell>
          <cell r="H228" t="str">
            <v>Achats d'Approvisionnement Consommés</v>
          </cell>
        </row>
        <row r="229">
          <cell r="G229">
            <v>2646.2</v>
          </cell>
          <cell r="H229" t="str">
            <v>Achats d'Approvisionnement Consommés</v>
          </cell>
        </row>
        <row r="230">
          <cell r="G230">
            <v>1810034.9837770001</v>
          </cell>
          <cell r="H230" t="str">
            <v>Achats d'Approvisionnement Consommés</v>
          </cell>
        </row>
        <row r="231">
          <cell r="G231">
            <v>11196553.140000001</v>
          </cell>
          <cell r="H231" t="str">
            <v>Achats d'Approvisionnement Consommés</v>
          </cell>
        </row>
        <row r="232">
          <cell r="G232">
            <v>1292982.9099999999</v>
          </cell>
          <cell r="H232" t="str">
            <v>Achats d'Approvisionnement Consommés</v>
          </cell>
        </row>
        <row r="233">
          <cell r="G233">
            <v>1300006</v>
          </cell>
          <cell r="H233" t="str">
            <v>Achats d'Approvisionnement Consommés</v>
          </cell>
        </row>
        <row r="234">
          <cell r="G234">
            <v>195068.03374499999</v>
          </cell>
          <cell r="H234" t="str">
            <v>Achats d'Approvisionnement Consommés</v>
          </cell>
        </row>
        <row r="235">
          <cell r="G235">
            <v>5223548.3422114998</v>
          </cell>
          <cell r="H235" t="str">
            <v>Achats d'Approvisionnement Consommés</v>
          </cell>
        </row>
        <row r="236">
          <cell r="G236">
            <v>80289.789124999996</v>
          </cell>
          <cell r="H236" t="str">
            <v>Achats d'Approvisionnement Consommés</v>
          </cell>
        </row>
        <row r="237">
          <cell r="G237">
            <v>9936.5</v>
          </cell>
          <cell r="H237" t="str">
            <v>Achats d'Approvisionnement Consommés</v>
          </cell>
        </row>
        <row r="238">
          <cell r="G238">
            <v>17519.478149999999</v>
          </cell>
          <cell r="H238" t="str">
            <v>Achats d'Approvisionnement Consommés</v>
          </cell>
        </row>
        <row r="239">
          <cell r="G239">
            <v>2076.489</v>
          </cell>
          <cell r="H239" t="str">
            <v>Achats d'Approvisionnement Consommés</v>
          </cell>
        </row>
        <row r="240">
          <cell r="G240">
            <v>976.17600000000004</v>
          </cell>
          <cell r="H240" t="str">
            <v>Achats d'Approvisionnement Consommés</v>
          </cell>
        </row>
        <row r="241">
          <cell r="G241">
            <v>168116.4</v>
          </cell>
          <cell r="H241" t="str">
            <v>Achats d'Approvisionnement Consommés</v>
          </cell>
        </row>
        <row r="242">
          <cell r="G242">
            <v>1435</v>
          </cell>
          <cell r="H242" t="str">
            <v>Achats d'Approvisionnement Consommés</v>
          </cell>
        </row>
        <row r="243">
          <cell r="G243">
            <v>153347.74001150002</v>
          </cell>
          <cell r="H243" t="str">
            <v>Achats d'Approvisionnement Consommés</v>
          </cell>
        </row>
        <row r="244">
          <cell r="G244">
            <v>52207.795200000008</v>
          </cell>
          <cell r="H244" t="str">
            <v>Achats d'Approvisionnement Consommés</v>
          </cell>
        </row>
        <row r="245">
          <cell r="G245">
            <v>115072.5</v>
          </cell>
          <cell r="H245" t="str">
            <v>Achats d'Approvisionnement Consommés</v>
          </cell>
        </row>
        <row r="246">
          <cell r="G246">
            <v>632533.19999999995</v>
          </cell>
          <cell r="H246" t="str">
            <v>Achats d'Approvisionnement Consommés</v>
          </cell>
        </row>
        <row r="247">
          <cell r="G247">
            <v>138604</v>
          </cell>
          <cell r="H247" t="str">
            <v>Achats d'Approvisionnement Consommés</v>
          </cell>
        </row>
        <row r="248">
          <cell r="G248">
            <v>4588.8525</v>
          </cell>
          <cell r="H248" t="str">
            <v>Achats d'Approvisionnement Consommés</v>
          </cell>
        </row>
        <row r="249">
          <cell r="G249">
            <v>186749.2</v>
          </cell>
          <cell r="H249" t="str">
            <v>Achats d'Approvisionnement Consommés</v>
          </cell>
        </row>
        <row r="250">
          <cell r="G250">
            <v>103305.007</v>
          </cell>
          <cell r="H250" t="str">
            <v>Achats d'Approvisionnement Consommés</v>
          </cell>
        </row>
        <row r="251">
          <cell r="G251">
            <v>38607.696000000004</v>
          </cell>
          <cell r="H251" t="str">
            <v>Achats d'Approvisionnement Consommés</v>
          </cell>
        </row>
        <row r="252">
          <cell r="G252">
            <v>7350</v>
          </cell>
          <cell r="H252" t="str">
            <v>Achats d'Approvisionnement Consommés</v>
          </cell>
        </row>
        <row r="253">
          <cell r="G253">
            <v>56079.1</v>
          </cell>
          <cell r="H253" t="str">
            <v>Achats d'Approvisionnement Consommés</v>
          </cell>
        </row>
        <row r="254">
          <cell r="G254">
            <v>40627.192000000003</v>
          </cell>
          <cell r="H254" t="str">
            <v>Achats d'Approvisionnement Consommés</v>
          </cell>
        </row>
        <row r="255">
          <cell r="G255">
            <v>7795.0759999999991</v>
          </cell>
          <cell r="H255" t="str">
            <v>Achats d'Approvisionnement Consommés</v>
          </cell>
        </row>
        <row r="256">
          <cell r="G256">
            <v>552.5</v>
          </cell>
          <cell r="H256" t="str">
            <v>Achats d'Approvisionnement Consommés</v>
          </cell>
        </row>
        <row r="257">
          <cell r="G257">
            <v>7798.4359999999997</v>
          </cell>
          <cell r="H257" t="str">
            <v>Achats d'Approvisionnement Consommés</v>
          </cell>
        </row>
        <row r="258">
          <cell r="G258">
            <v>746123.14500000002</v>
          </cell>
          <cell r="H258" t="str">
            <v>Achats d'Approvisionnement Consommés</v>
          </cell>
        </row>
        <row r="259">
          <cell r="G259">
            <v>1269366.5749999997</v>
          </cell>
          <cell r="H259" t="str">
            <v>Achats d'Approvisionnement Consommés</v>
          </cell>
        </row>
        <row r="260">
          <cell r="G260">
            <v>116969.03500000002</v>
          </cell>
          <cell r="H260" t="str">
            <v>Achats d'Approvisionnement Consommés</v>
          </cell>
        </row>
        <row r="261">
          <cell r="G261">
            <v>1603422.802316</v>
          </cell>
          <cell r="H261" t="str">
            <v>Achats d'Approvisionnement Consommés</v>
          </cell>
        </row>
        <row r="262">
          <cell r="G262">
            <v>24171.527000000002</v>
          </cell>
          <cell r="H262" t="str">
            <v>Achats d'Approvisionnement Consommés</v>
          </cell>
        </row>
        <row r="263">
          <cell r="G263">
            <v>744924.70609800017</v>
          </cell>
          <cell r="H263" t="str">
            <v>Achats d'Approvisionnement Consommés</v>
          </cell>
        </row>
        <row r="264">
          <cell r="G264">
            <v>208138.76699999999</v>
          </cell>
          <cell r="H264" t="str">
            <v>Achats d'Approvisionnement Consommés</v>
          </cell>
        </row>
        <row r="265">
          <cell r="G265">
            <v>1704.4139999999898</v>
          </cell>
          <cell r="H265" t="str">
            <v>Achats d'Approvisionnement Consommés</v>
          </cell>
        </row>
        <row r="266">
          <cell r="G266">
            <v>98823.763999999996</v>
          </cell>
          <cell r="H266" t="str">
            <v>Achats d'Approvisionnement Consommés</v>
          </cell>
        </row>
        <row r="267">
          <cell r="G267">
            <v>56338.16</v>
          </cell>
          <cell r="H267" t="str">
            <v>Achats d'Approvisionnement Consommés</v>
          </cell>
        </row>
        <row r="268">
          <cell r="G268">
            <v>1171.6030000000001</v>
          </cell>
          <cell r="H268" t="str">
            <v>Achats d'Approvisionnement Consommés</v>
          </cell>
        </row>
        <row r="269">
          <cell r="G269">
            <v>132901.9</v>
          </cell>
          <cell r="H269" t="str">
            <v>Achats d'Approvisionnement Consommés</v>
          </cell>
        </row>
        <row r="270">
          <cell r="G270">
            <v>254728.00929800002</v>
          </cell>
          <cell r="H270" t="str">
            <v>Achats d'Approvisionnement Consommés</v>
          </cell>
        </row>
        <row r="271">
          <cell r="G271">
            <v>54364.83</v>
          </cell>
          <cell r="H271" t="str">
            <v>Achats d'Approvisionnement Consommés</v>
          </cell>
        </row>
        <row r="272">
          <cell r="G272">
            <v>-531750.42699999921</v>
          </cell>
          <cell r="H272" t="str">
            <v>Achats d'Approvisionnement Consommés</v>
          </cell>
        </row>
        <row r="273">
          <cell r="G273">
            <v>-78525.778000000049</v>
          </cell>
          <cell r="H273" t="str">
            <v>Autres Charges d'Exploitation</v>
          </cell>
        </row>
        <row r="274">
          <cell r="G274">
            <v>275000</v>
          </cell>
          <cell r="H274" t="str">
            <v>Autres Charges d'Exploitation</v>
          </cell>
        </row>
        <row r="275">
          <cell r="G275">
            <v>680820.18026749999</v>
          </cell>
          <cell r="H275" t="str">
            <v>Autres Charges d'Exploitation</v>
          </cell>
        </row>
        <row r="276">
          <cell r="G276">
            <v>6265.4819999999991</v>
          </cell>
          <cell r="H276" t="str">
            <v>Autres Charges d'Exploitation</v>
          </cell>
        </row>
        <row r="277">
          <cell r="G277">
            <v>217586.277</v>
          </cell>
          <cell r="H277" t="str">
            <v>Autres Charges d'Exploitation</v>
          </cell>
        </row>
        <row r="278">
          <cell r="G278">
            <v>23867.477999999996</v>
          </cell>
          <cell r="H278" t="str">
            <v>Autres Charges d'Exploitation</v>
          </cell>
        </row>
        <row r="279">
          <cell r="G279">
            <v>13350</v>
          </cell>
          <cell r="H279" t="str">
            <v>Achats d'Approvisionnement Consommés</v>
          </cell>
        </row>
        <row r="280">
          <cell r="G280">
            <v>31433.833999999995</v>
          </cell>
          <cell r="H280" t="str">
            <v>Autres Charges d'Exploitation</v>
          </cell>
        </row>
        <row r="281">
          <cell r="G281">
            <v>15118.564999999999</v>
          </cell>
          <cell r="H281" t="str">
            <v>Autres Charges d'Exploitation</v>
          </cell>
        </row>
        <row r="282">
          <cell r="G282">
            <v>151977.42499999999</v>
          </cell>
          <cell r="H282" t="str">
            <v>Autres Charges d'Exploitation</v>
          </cell>
        </row>
        <row r="283">
          <cell r="G283">
            <v>7377</v>
          </cell>
          <cell r="H283" t="str">
            <v>Autres Charges d'Exploitation</v>
          </cell>
        </row>
        <row r="284">
          <cell r="G284">
            <v>15708</v>
          </cell>
          <cell r="H284" t="str">
            <v>Achats d'Approvisionnement Consommés</v>
          </cell>
        </row>
        <row r="285">
          <cell r="G285">
            <v>28663.071999999996</v>
          </cell>
          <cell r="H285" t="str">
            <v>Autres Charges d'Exploitation</v>
          </cell>
        </row>
        <row r="286">
          <cell r="G286">
            <v>308543.17000000004</v>
          </cell>
          <cell r="H286" t="str">
            <v>Autres Charges d'Exploitation</v>
          </cell>
        </row>
        <row r="287">
          <cell r="G287">
            <v>287675.12399999995</v>
          </cell>
          <cell r="H287" t="str">
            <v>Autres Charges d'Exploitation</v>
          </cell>
        </row>
        <row r="288">
          <cell r="G288">
            <v>25162.1</v>
          </cell>
          <cell r="H288" t="str">
            <v>Autres Charges d'Exploitation</v>
          </cell>
        </row>
        <row r="289">
          <cell r="G289">
            <v>35388.715000000004</v>
          </cell>
          <cell r="H289" t="str">
            <v>Autres Charges d'Exploitation</v>
          </cell>
        </row>
        <row r="290">
          <cell r="G290">
            <v>14731.2</v>
          </cell>
          <cell r="H290" t="str">
            <v>Autres Charges d'Exploitation</v>
          </cell>
        </row>
        <row r="291">
          <cell r="G291">
            <v>63058.94</v>
          </cell>
          <cell r="H291" t="str">
            <v>Autres Charges d'Exploitation</v>
          </cell>
        </row>
        <row r="292">
          <cell r="G292">
            <v>8685.5040000000008</v>
          </cell>
          <cell r="H292" t="str">
            <v>Autres Charges d'Exploitation</v>
          </cell>
        </row>
        <row r="293">
          <cell r="G293">
            <v>25823.361000000001</v>
          </cell>
          <cell r="H293" t="str">
            <v>Autres Charges d'Exploitation</v>
          </cell>
        </row>
        <row r="294">
          <cell r="G294">
            <v>79375.102650000001</v>
          </cell>
          <cell r="H294" t="str">
            <v>Autres Charges d'Exploitation</v>
          </cell>
        </row>
        <row r="295">
          <cell r="G295">
            <v>38337.923999999999</v>
          </cell>
          <cell r="H295" t="str">
            <v>Autres Charges d'Exploitation</v>
          </cell>
        </row>
        <row r="296">
          <cell r="G296">
            <v>58812.999999999985</v>
          </cell>
          <cell r="H296" t="str">
            <v>Autres Charges d'Exploitation</v>
          </cell>
        </row>
        <row r="297">
          <cell r="G297">
            <v>19970.233</v>
          </cell>
          <cell r="H297" t="str">
            <v>Autres Charges d'Exploitation</v>
          </cell>
        </row>
        <row r="298">
          <cell r="G298">
            <v>1438.9070000000002</v>
          </cell>
          <cell r="H298" t="str">
            <v>Autres Charges d'Exploitation</v>
          </cell>
        </row>
        <row r="299">
          <cell r="G299">
            <v>142946.23999999996</v>
          </cell>
          <cell r="H299" t="str">
            <v>Autres Charges d'Exploitation</v>
          </cell>
        </row>
        <row r="300">
          <cell r="G300">
            <v>39476.469000000005</v>
          </cell>
          <cell r="H300" t="str">
            <v>Autres Charges d'Exploitation</v>
          </cell>
        </row>
        <row r="301">
          <cell r="G301">
            <v>9752</v>
          </cell>
          <cell r="H301" t="str">
            <v>Autres Charges d'Exploitation</v>
          </cell>
        </row>
        <row r="302">
          <cell r="G302">
            <v>11150</v>
          </cell>
          <cell r="H302" t="str">
            <v>Autres Charges d'Exploitation</v>
          </cell>
        </row>
        <row r="303">
          <cell r="G303">
            <v>804639.22799999989</v>
          </cell>
          <cell r="H303" t="str">
            <v>Autres Charges d'Exploitation</v>
          </cell>
        </row>
        <row r="304">
          <cell r="G304">
            <v>1693.8</v>
          </cell>
          <cell r="H304" t="str">
            <v>Autres Charges d'Exploitation</v>
          </cell>
        </row>
        <row r="305">
          <cell r="G305">
            <v>5831</v>
          </cell>
          <cell r="H305" t="str">
            <v>Autres Charges d'Exploitation</v>
          </cell>
        </row>
        <row r="306">
          <cell r="G306">
            <v>31670.149999999998</v>
          </cell>
          <cell r="H306" t="str">
            <v>Autres Charges d'Exploitation</v>
          </cell>
        </row>
        <row r="307">
          <cell r="G307">
            <v>46676.817000000003</v>
          </cell>
          <cell r="H307" t="str">
            <v>Autres Charges d'Exploitation</v>
          </cell>
        </row>
        <row r="308">
          <cell r="G308">
            <v>24039.768</v>
          </cell>
          <cell r="H308" t="str">
            <v>Autres Charges d'Exploitation</v>
          </cell>
        </row>
        <row r="309">
          <cell r="G309">
            <v>18107.3</v>
          </cell>
          <cell r="H309" t="str">
            <v>Autres Charges d'Exploitation</v>
          </cell>
        </row>
        <row r="310">
          <cell r="G310">
            <v>5545.7269999999999</v>
          </cell>
          <cell r="H310" t="str">
            <v>Autres Charges d'Exploitation</v>
          </cell>
        </row>
        <row r="311">
          <cell r="G311">
            <v>14491</v>
          </cell>
          <cell r="H311" t="str">
            <v>Autres Charges d'Exploitation</v>
          </cell>
        </row>
        <row r="312">
          <cell r="G312">
            <v>39651.675999999999</v>
          </cell>
          <cell r="H312" t="str">
            <v>Autres Charges d'Exploitation</v>
          </cell>
        </row>
        <row r="313">
          <cell r="G313">
            <v>174623.41500000001</v>
          </cell>
          <cell r="H313" t="str">
            <v>Autres Charges d'Exploitation</v>
          </cell>
        </row>
        <row r="314">
          <cell r="G314">
            <v>125000</v>
          </cell>
          <cell r="H314" t="str">
            <v>Autres Charges d'Exploitation</v>
          </cell>
        </row>
        <row r="315">
          <cell r="G315">
            <v>220411.99900000001</v>
          </cell>
          <cell r="H315" t="str">
            <v>Autres pertes ordinaires</v>
          </cell>
        </row>
        <row r="316">
          <cell r="G316">
            <v>22580.147999999997</v>
          </cell>
          <cell r="H316" t="str">
            <v>Autres pertes ordinaires</v>
          </cell>
        </row>
        <row r="317">
          <cell r="G317">
            <v>4796007.0539999995</v>
          </cell>
          <cell r="H317" t="str">
            <v>Charges de Personnel</v>
          </cell>
        </row>
        <row r="318">
          <cell r="G318">
            <v>24780</v>
          </cell>
          <cell r="H318" t="str">
            <v>Autres Charges d'Exploitation</v>
          </cell>
        </row>
        <row r="319">
          <cell r="G319">
            <v>55527.371999999974</v>
          </cell>
          <cell r="H319" t="str">
            <v>Charges de Personnel</v>
          </cell>
        </row>
        <row r="320">
          <cell r="G320">
            <v>8109</v>
          </cell>
          <cell r="H320" t="str">
            <v>Autres Charges d'Exploitation</v>
          </cell>
        </row>
        <row r="321">
          <cell r="G321">
            <v>411471.21799999994</v>
          </cell>
          <cell r="H321" t="str">
            <v>Charges de Personnel</v>
          </cell>
        </row>
        <row r="322">
          <cell r="G322">
            <v>317596.76800000004</v>
          </cell>
          <cell r="H322" t="str">
            <v>Charges Financières nettes</v>
          </cell>
        </row>
        <row r="323">
          <cell r="G323">
            <v>398809.70500000007</v>
          </cell>
          <cell r="H323" t="str">
            <v>Charges Financières nettes</v>
          </cell>
        </row>
        <row r="324">
          <cell r="G324">
            <v>613116.94999999995</v>
          </cell>
          <cell r="H324" t="str">
            <v>Charges Financières nettes</v>
          </cell>
        </row>
        <row r="325">
          <cell r="G325">
            <v>7332.7100000000009</v>
          </cell>
          <cell r="H325" t="str">
            <v>Charges Financières nettes</v>
          </cell>
        </row>
        <row r="326">
          <cell r="G326">
            <v>40303.639000000003</v>
          </cell>
          <cell r="H326" t="str">
            <v>Charges Financières nettes</v>
          </cell>
        </row>
        <row r="327">
          <cell r="G327">
            <v>91441.09599999999</v>
          </cell>
          <cell r="H327" t="str">
            <v>Charges Financières nettes</v>
          </cell>
        </row>
        <row r="328">
          <cell r="G328">
            <v>-831.40499999999975</v>
          </cell>
          <cell r="H328" t="str">
            <v>Charges Financières nettes</v>
          </cell>
        </row>
        <row r="329">
          <cell r="G329">
            <v>352820.47899999993</v>
          </cell>
          <cell r="H329" t="str">
            <v>Charges Financières nettes</v>
          </cell>
        </row>
        <row r="330">
          <cell r="G330">
            <v>76620.550656000007</v>
          </cell>
          <cell r="H330" t="str">
            <v>Charges Financières nettes</v>
          </cell>
        </row>
        <row r="331">
          <cell r="G331">
            <v>43078.524000000012</v>
          </cell>
          <cell r="H331" t="str">
            <v>Autres Charges d'Exploitation</v>
          </cell>
        </row>
        <row r="332">
          <cell r="G332">
            <v>102697.20900000002</v>
          </cell>
          <cell r="H332" t="str">
            <v>Autres Charges d'Exploitation</v>
          </cell>
        </row>
        <row r="333">
          <cell r="G333">
            <v>10779.804</v>
          </cell>
          <cell r="H333" t="str">
            <v>Autres Charges d'Exploitation</v>
          </cell>
        </row>
        <row r="334">
          <cell r="G334">
            <v>12059.924999999999</v>
          </cell>
          <cell r="H334" t="str">
            <v>Autres Charges d'Exploitation</v>
          </cell>
        </row>
        <row r="335">
          <cell r="G335">
            <v>2490371.8530000001</v>
          </cell>
          <cell r="H335" t="str">
            <v>Dotation aux Amortissements et aux Provisions</v>
          </cell>
        </row>
        <row r="336">
          <cell r="G336">
            <v>205043.10000000003</v>
          </cell>
          <cell r="H336" t="str">
            <v>Impots sur les bénéfices</v>
          </cell>
        </row>
        <row r="337">
          <cell r="G337">
            <v>-31973563.397</v>
          </cell>
          <cell r="H337" t="str">
            <v>Revenus Locals</v>
          </cell>
        </row>
        <row r="338">
          <cell r="G338">
            <v>-19506673.700380001</v>
          </cell>
          <cell r="H338" t="str">
            <v>Revenus Export</v>
          </cell>
        </row>
        <row r="339">
          <cell r="G339">
            <v>-63249</v>
          </cell>
          <cell r="H339" t="str">
            <v>Revenus Locals</v>
          </cell>
        </row>
        <row r="340">
          <cell r="G340">
            <v>-140625.38</v>
          </cell>
          <cell r="H340" t="str">
            <v>Autres Revenus</v>
          </cell>
        </row>
        <row r="341">
          <cell r="G341">
            <v>-964.0200000000001</v>
          </cell>
          <cell r="H341" t="str">
            <v>Autres gains ordinaires</v>
          </cell>
        </row>
        <row r="342">
          <cell r="G342">
            <v>-38770.517999999996</v>
          </cell>
          <cell r="H342" t="str">
            <v>Autres Revenus</v>
          </cell>
        </row>
        <row r="343">
          <cell r="G343">
            <v>-744393.83600000013</v>
          </cell>
          <cell r="H343" t="str">
            <v>Variation Produits Finis et semi finis</v>
          </cell>
        </row>
        <row r="344">
          <cell r="G344">
            <v>-117382.39300000016</v>
          </cell>
          <cell r="H344" t="str">
            <v>Variation Produits Finis et semi finis</v>
          </cell>
        </row>
        <row r="345">
          <cell r="G345">
            <v>-20042</v>
          </cell>
          <cell r="H345" t="str">
            <v>Autres gains ordinaires</v>
          </cell>
        </row>
        <row r="346">
          <cell r="G346">
            <v>-59664.634000000005</v>
          </cell>
          <cell r="H346" t="str">
            <v>Autres gains ordinaires</v>
          </cell>
        </row>
        <row r="347">
          <cell r="G347">
            <v>-252620.448</v>
          </cell>
          <cell r="H347" t="str">
            <v>Autres Produits d'Exploitation</v>
          </cell>
        </row>
        <row r="348">
          <cell r="G348">
            <v>-1843.7079999999999</v>
          </cell>
          <cell r="H348" t="str">
            <v>Autres Produits d'Exploitation</v>
          </cell>
        </row>
        <row r="349">
          <cell r="G349">
            <v>-1747.3849999999998</v>
          </cell>
          <cell r="H349" t="str">
            <v>Charges Financières nettes</v>
          </cell>
        </row>
        <row r="350">
          <cell r="G350">
            <v>-53328.118656000006</v>
          </cell>
          <cell r="H350" t="str">
            <v>Charges Financières nettes</v>
          </cell>
        </row>
        <row r="351">
          <cell r="G351">
            <v>-11.428000000000001</v>
          </cell>
          <cell r="H351" t="str">
            <v>Autres gains ordinaires</v>
          </cell>
        </row>
        <row r="352">
          <cell r="G352">
            <v>3.1136532913578208E-4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f"/>
      <sheetName val="Passif"/>
      <sheetName val="Rt"/>
      <sheetName val="Actif pour flux "/>
      <sheetName val="Passif pour flux "/>
      <sheetName val="Eta-flux"/>
      <sheetName val="Vérif note 2021"/>
      <sheetName val="Note 2021"/>
      <sheetName val="Notes dotation aux amort"/>
      <sheetName val="KP"/>
      <sheetName val="TA "/>
      <sheetName val="Vérif note 2020"/>
      <sheetName val="Notes"/>
      <sheetName val="Partie liée"/>
      <sheetName val="gl "/>
    </sheetNames>
    <sheetDataSet>
      <sheetData sheetId="0">
        <row r="2">
          <cell r="C2" t="str">
            <v>SOCIETE NOUVELLE DES ACCUMULATEURS NOUR</v>
          </cell>
        </row>
      </sheetData>
      <sheetData sheetId="1"/>
      <sheetData sheetId="2">
        <row r="5">
          <cell r="J5">
            <v>2020</v>
          </cell>
        </row>
      </sheetData>
      <sheetData sheetId="3">
        <row r="44">
          <cell r="I44">
            <v>1584959.3030000001</v>
          </cell>
        </row>
      </sheetData>
      <sheetData sheetId="4">
        <row r="42">
          <cell r="I42">
            <v>2274324.1206666669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L GEN 21 Retraitée"/>
      <sheetName val="BAL GEN 21"/>
      <sheetName val="BAL GEN 22 PROV"/>
      <sheetName val="BAL GEN 22"/>
      <sheetName val="BAL GEN 23"/>
      <sheetName val="E.Rst 23"/>
      <sheetName val="Bilan 23"/>
      <sheetName val="DEC FISC 23"/>
      <sheetName val="DEC FISC 23 CORRIGE"/>
      <sheetName val="bal22"/>
      <sheetName val="STOCK 31-12-23"/>
      <sheetName val="TCD STCK"/>
      <sheetName val="Eta-flux 23"/>
      <sheetName val="Notes 23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F1" t="str">
            <v>Variation</v>
          </cell>
        </row>
        <row r="2">
          <cell r="F2">
            <v>0</v>
          </cell>
          <cell r="I2" t="str">
            <v>Encaissement / augmentation des capitaux propres</v>
          </cell>
        </row>
        <row r="3">
          <cell r="F3">
            <v>0</v>
          </cell>
        </row>
        <row r="4">
          <cell r="F4">
            <v>0</v>
          </cell>
        </row>
        <row r="5">
          <cell r="F5">
            <v>0</v>
          </cell>
        </row>
        <row r="6">
          <cell r="F6">
            <v>0</v>
          </cell>
        </row>
        <row r="7">
          <cell r="F7">
            <v>0</v>
          </cell>
        </row>
        <row r="8">
          <cell r="F8">
            <v>0</v>
          </cell>
          <cell r="I8" t="str">
            <v xml:space="preserve">Encaissement subvention </v>
          </cell>
        </row>
        <row r="9">
          <cell r="F9">
            <v>252620.448</v>
          </cell>
        </row>
        <row r="10">
          <cell r="F10">
            <v>0</v>
          </cell>
          <cell r="I10" t="str">
            <v>. Autres Provisions ( Provisions pour risques et charges )</v>
          </cell>
        </row>
        <row r="11">
          <cell r="F11">
            <v>0</v>
          </cell>
        </row>
        <row r="12">
          <cell r="F12">
            <v>-375000</v>
          </cell>
          <cell r="I12" t="str">
            <v>Augmentation des emprunts</v>
          </cell>
        </row>
        <row r="13">
          <cell r="F13">
            <v>0</v>
          </cell>
        </row>
        <row r="14">
          <cell r="F14">
            <v>69888.24500000001</v>
          </cell>
          <cell r="I14" t="str">
            <v>Augmentation des emprunts</v>
          </cell>
        </row>
        <row r="15">
          <cell r="F15">
            <v>0</v>
          </cell>
        </row>
        <row r="16">
          <cell r="F16">
            <v>0</v>
          </cell>
        </row>
        <row r="17">
          <cell r="F17">
            <v>12764.7</v>
          </cell>
          <cell r="I17" t="str">
            <v>Décaissements / acquisitions d'immob. corp et incorporelles</v>
          </cell>
        </row>
        <row r="18">
          <cell r="F18">
            <v>0</v>
          </cell>
        </row>
        <row r="19">
          <cell r="F19">
            <v>0</v>
          </cell>
          <cell r="I19" t="str">
            <v>Décaissements / acquisitions d'immob. corp et incorporelles</v>
          </cell>
        </row>
        <row r="20">
          <cell r="F20">
            <v>0</v>
          </cell>
          <cell r="I20" t="str">
            <v>Décaissements / acquisitions d'immob. corp et incorporelles</v>
          </cell>
        </row>
        <row r="21">
          <cell r="F21">
            <v>147315.67300000001</v>
          </cell>
          <cell r="I21" t="str">
            <v>Décaissements / acquisitions d'immob. corp et incorporelles</v>
          </cell>
        </row>
        <row r="22">
          <cell r="F22">
            <v>43180.232999999993</v>
          </cell>
          <cell r="I22" t="str">
            <v>Décaissements / acquisitions d'immob. corp et incorporelles</v>
          </cell>
        </row>
        <row r="23">
          <cell r="F23">
            <v>7699.9999999999991</v>
          </cell>
          <cell r="I23" t="str">
            <v>Décaissements / acquisitions d'immob. corp et incorporelles</v>
          </cell>
        </row>
        <row r="24">
          <cell r="F24">
            <v>0</v>
          </cell>
        </row>
        <row r="25">
          <cell r="F25">
            <v>2821695.9026374994</v>
          </cell>
          <cell r="I25" t="str">
            <v>Décaissements / acquisitions d'immob. corp et incorporelles</v>
          </cell>
        </row>
        <row r="26">
          <cell r="F26">
            <v>55880.005000000005</v>
          </cell>
          <cell r="I26" t="str">
            <v>Décaissements / acquisitions d'immob. corp et incorporelles</v>
          </cell>
        </row>
        <row r="27">
          <cell r="F27">
            <v>22340.35</v>
          </cell>
          <cell r="I27" t="str">
            <v>Décaissements / acquisitions d'immob. corp et incorporelles</v>
          </cell>
        </row>
        <row r="28">
          <cell r="F28">
            <v>162456.72600000002</v>
          </cell>
          <cell r="I28" t="str">
            <v>Décaissements / acquisitions d'immob. corp et incorporelles</v>
          </cell>
        </row>
        <row r="29">
          <cell r="F29">
            <v>0</v>
          </cell>
        </row>
        <row r="30">
          <cell r="F30">
            <v>32595.332999999999</v>
          </cell>
          <cell r="I30" t="str">
            <v>Décaissements / acquisitions d'immob. corp et incorporelles</v>
          </cell>
        </row>
        <row r="31">
          <cell r="F31">
            <v>86486.600286000001</v>
          </cell>
          <cell r="I31" t="str">
            <v>Décaissements / acquisitions d'immob. corp et incorporelles</v>
          </cell>
        </row>
        <row r="32">
          <cell r="F32">
            <v>0</v>
          </cell>
        </row>
        <row r="33">
          <cell r="F33">
            <v>-2036034.2250000001</v>
          </cell>
          <cell r="I33" t="str">
            <v>Décaissements / acquisitions d'immob. corp et incorporelles</v>
          </cell>
        </row>
        <row r="34">
          <cell r="F34">
            <v>-7912.2339999999967</v>
          </cell>
          <cell r="I34" t="str">
            <v>Décaissements / acquisitions d'immob. corp et incorporelles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66663.382000000012</v>
          </cell>
          <cell r="I40" t="str">
            <v>Décaissements / acquisitions d'immob. corp et incorporelles</v>
          </cell>
        </row>
        <row r="41">
          <cell r="F41">
            <v>0</v>
          </cell>
        </row>
        <row r="42">
          <cell r="F42">
            <v>0</v>
          </cell>
          <cell r="I42" t="str">
            <v>Décaissements / acquisition  immobilisations financières</v>
          </cell>
        </row>
        <row r="43">
          <cell r="F43">
            <v>0</v>
          </cell>
          <cell r="I43" t="str">
            <v>Décaissements / acquisition  immobilisations financières</v>
          </cell>
        </row>
        <row r="44">
          <cell r="F44">
            <v>0</v>
          </cell>
          <cell r="I44" t="str">
            <v>Décaissements / acquisition  immobilisations financières</v>
          </cell>
        </row>
        <row r="45">
          <cell r="F45">
            <v>1575000</v>
          </cell>
          <cell r="I45" t="str">
            <v>Décaissements / acquisition  immobilisations financières</v>
          </cell>
        </row>
        <row r="46">
          <cell r="F46">
            <v>319680</v>
          </cell>
          <cell r="I46" t="str">
            <v>Décaissements / acquisition  immobilisations financières</v>
          </cell>
        </row>
        <row r="47">
          <cell r="F47">
            <v>-1575000</v>
          </cell>
          <cell r="I47" t="str">
            <v>Décaissements / acquisition  immobilisations financières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-105597.144</v>
          </cell>
          <cell r="I51" t="str">
            <v>Décaissements / acquisition  immobilisations financières</v>
          </cell>
        </row>
        <row r="52">
          <cell r="F52">
            <v>0</v>
          </cell>
        </row>
        <row r="53">
          <cell r="F53">
            <v>0</v>
          </cell>
        </row>
        <row r="54">
          <cell r="F54">
            <v>5771.2</v>
          </cell>
        </row>
        <row r="55">
          <cell r="F55">
            <v>0</v>
          </cell>
        </row>
        <row r="56">
          <cell r="F56">
            <v>0</v>
          </cell>
        </row>
        <row r="57">
          <cell r="F57">
            <v>0</v>
          </cell>
        </row>
        <row r="58">
          <cell r="F58">
            <v>-7591.8009999999995</v>
          </cell>
        </row>
        <row r="59">
          <cell r="F59">
            <v>-2813.6</v>
          </cell>
        </row>
        <row r="60">
          <cell r="F60">
            <v>-451440.91799999995</v>
          </cell>
        </row>
        <row r="61">
          <cell r="F61">
            <v>-61658.367000000006</v>
          </cell>
        </row>
        <row r="62">
          <cell r="F62">
            <v>-23398.452999999998</v>
          </cell>
        </row>
        <row r="63">
          <cell r="F63">
            <v>-1539043.915</v>
          </cell>
        </row>
        <row r="64">
          <cell r="F64">
            <v>-68543.288</v>
          </cell>
        </row>
        <row r="65">
          <cell r="F65">
            <v>-22765.944</v>
          </cell>
        </row>
        <row r="66">
          <cell r="F66">
            <v>-110782.49699999997</v>
          </cell>
        </row>
        <row r="67">
          <cell r="F67">
            <v>-51580.140999999996</v>
          </cell>
        </row>
        <row r="68">
          <cell r="F68">
            <v>-34363.017000000007</v>
          </cell>
        </row>
        <row r="69">
          <cell r="F69">
            <v>-61835.713000000003</v>
          </cell>
        </row>
        <row r="70">
          <cell r="F70">
            <v>0</v>
          </cell>
        </row>
        <row r="71">
          <cell r="F71">
            <v>0</v>
          </cell>
        </row>
        <row r="72">
          <cell r="F72">
            <v>0</v>
          </cell>
        </row>
        <row r="73">
          <cell r="F73">
            <v>0</v>
          </cell>
        </row>
        <row r="74">
          <cell r="F74">
            <v>0</v>
          </cell>
        </row>
        <row r="75">
          <cell r="F75">
            <v>0</v>
          </cell>
        </row>
        <row r="76">
          <cell r="F76">
            <v>-605029.65100000054</v>
          </cell>
          <cell r="I76" t="str">
            <v xml:space="preserve">                         * stocks</v>
          </cell>
        </row>
        <row r="77">
          <cell r="F77">
            <v>1567520.8020000001</v>
          </cell>
          <cell r="I77" t="str">
            <v xml:space="preserve">                         * stocks</v>
          </cell>
        </row>
        <row r="78">
          <cell r="F78">
            <v>78525.778000000049</v>
          </cell>
          <cell r="I78" t="str">
            <v xml:space="preserve">                         * stocks</v>
          </cell>
        </row>
        <row r="79">
          <cell r="F79">
            <v>2294625.3810000001</v>
          </cell>
          <cell r="I79" t="str">
            <v xml:space="preserve">                         * stocks</v>
          </cell>
        </row>
        <row r="80">
          <cell r="F80">
            <v>0</v>
          </cell>
        </row>
        <row r="81">
          <cell r="F81">
            <v>0</v>
          </cell>
        </row>
        <row r="82">
          <cell r="F82">
            <v>-2177242.9879999999</v>
          </cell>
          <cell r="I82">
            <v>0</v>
          </cell>
        </row>
        <row r="83">
          <cell r="F83">
            <v>0</v>
          </cell>
          <cell r="I83" t="str">
            <v xml:space="preserve">                         * Fournisseurs et autres dettes </v>
          </cell>
        </row>
        <row r="84">
          <cell r="F84">
            <v>807461.39289199561</v>
          </cell>
          <cell r="I84" t="str">
            <v xml:space="preserve">                         * Fournisseurs et autres dettes </v>
          </cell>
        </row>
        <row r="85">
          <cell r="F85">
            <v>-495665.09300000034</v>
          </cell>
          <cell r="I85" t="str">
            <v xml:space="preserve">                         * Fournisseurs et autres dettes </v>
          </cell>
        </row>
        <row r="86">
          <cell r="F86">
            <v>0</v>
          </cell>
        </row>
        <row r="87">
          <cell r="F87">
            <v>0</v>
          </cell>
        </row>
        <row r="88">
          <cell r="F88">
            <v>0</v>
          </cell>
        </row>
        <row r="89">
          <cell r="F89">
            <v>-493345.50448899902</v>
          </cell>
          <cell r="I89" t="str">
            <v xml:space="preserve">                         * Fournisseurs et autres dettes </v>
          </cell>
        </row>
        <row r="90">
          <cell r="F90">
            <v>0</v>
          </cell>
          <cell r="I90" t="str">
            <v xml:space="preserve">                         * Fournisseurs et autres dettes </v>
          </cell>
        </row>
        <row r="91">
          <cell r="F91">
            <v>-41980.576999999997</v>
          </cell>
        </row>
        <row r="92">
          <cell r="F92">
            <v>0</v>
          </cell>
        </row>
        <row r="93">
          <cell r="F93">
            <v>-579508.96299999999</v>
          </cell>
          <cell r="I93" t="str">
            <v xml:space="preserve">                         * Créances </v>
          </cell>
        </row>
        <row r="94">
          <cell r="F94">
            <v>4495754.7843800038</v>
          </cell>
          <cell r="I94" t="str">
            <v xml:space="preserve">                         * Créances </v>
          </cell>
        </row>
        <row r="95">
          <cell r="F95">
            <v>0</v>
          </cell>
        </row>
        <row r="96">
          <cell r="F96">
            <v>1274905.493125</v>
          </cell>
          <cell r="I96" t="str">
            <v xml:space="preserve">                         * Autres actifs courants </v>
          </cell>
        </row>
        <row r="97">
          <cell r="F97">
            <v>0</v>
          </cell>
        </row>
        <row r="98">
          <cell r="F98">
            <v>0</v>
          </cell>
        </row>
        <row r="99">
          <cell r="F99">
            <v>0</v>
          </cell>
        </row>
        <row r="100">
          <cell r="F100">
            <v>0</v>
          </cell>
        </row>
        <row r="101">
          <cell r="F101">
            <v>0</v>
          </cell>
        </row>
        <row r="102">
          <cell r="F102">
            <v>2148.8530000000028</v>
          </cell>
          <cell r="I102" t="str">
            <v xml:space="preserve">                         * Autres dettes </v>
          </cell>
        </row>
        <row r="103">
          <cell r="F103">
            <v>0</v>
          </cell>
        </row>
        <row r="104">
          <cell r="F104">
            <v>-11139.706999999005</v>
          </cell>
          <cell r="I104" t="str">
            <v xml:space="preserve">                         * Autres dettes </v>
          </cell>
        </row>
        <row r="105">
          <cell r="F105">
            <v>0</v>
          </cell>
        </row>
        <row r="106">
          <cell r="F106">
            <v>-1519.9820000000018</v>
          </cell>
          <cell r="I106" t="str">
            <v xml:space="preserve">                         * Autres dettes </v>
          </cell>
        </row>
        <row r="107">
          <cell r="F107">
            <v>-55527.371999999974</v>
          </cell>
          <cell r="I107" t="str">
            <v xml:space="preserve">                         * Autres dettes </v>
          </cell>
        </row>
        <row r="108">
          <cell r="F108">
            <v>0</v>
          </cell>
        </row>
        <row r="109">
          <cell r="F109">
            <v>0</v>
          </cell>
        </row>
        <row r="110">
          <cell r="F110">
            <v>0</v>
          </cell>
        </row>
        <row r="111">
          <cell r="F111">
            <v>0</v>
          </cell>
        </row>
        <row r="112">
          <cell r="F112">
            <v>0</v>
          </cell>
        </row>
        <row r="113">
          <cell r="F113">
            <v>0</v>
          </cell>
        </row>
        <row r="114">
          <cell r="F114">
            <v>0</v>
          </cell>
          <cell r="I114" t="str">
            <v xml:space="preserve">                         * Autres dettes </v>
          </cell>
        </row>
        <row r="115">
          <cell r="F115">
            <v>4.6999999998661224E-2</v>
          </cell>
          <cell r="I115" t="str">
            <v xml:space="preserve">                         * Autres dettes </v>
          </cell>
        </row>
        <row r="116">
          <cell r="F116">
            <v>6.0000000230502337E-3</v>
          </cell>
          <cell r="I116" t="str">
            <v xml:space="preserve">                         * Autres dettes </v>
          </cell>
        </row>
        <row r="117">
          <cell r="F117">
            <v>5.9999999998581188E-3</v>
          </cell>
          <cell r="I117" t="str">
            <v xml:space="preserve">                         * Autres dettes </v>
          </cell>
        </row>
        <row r="118">
          <cell r="F118">
            <v>2.00000000018008E-3</v>
          </cell>
          <cell r="I118" t="str">
            <v xml:space="preserve">                         * Autres dettes </v>
          </cell>
        </row>
        <row r="119">
          <cell r="F119">
            <v>0</v>
          </cell>
          <cell r="I119" t="str">
            <v xml:space="preserve">                         * Autres dettes </v>
          </cell>
        </row>
        <row r="120">
          <cell r="F120">
            <v>-30215.520000000019</v>
          </cell>
          <cell r="I120" t="str">
            <v xml:space="preserve">                         * Autres actifs courants </v>
          </cell>
        </row>
        <row r="121">
          <cell r="F121">
            <v>0</v>
          </cell>
        </row>
        <row r="122">
          <cell r="F122">
            <v>638552.6399999999</v>
          </cell>
          <cell r="I122" t="str">
            <v xml:space="preserve">                         * Autres actifs courants </v>
          </cell>
        </row>
        <row r="123">
          <cell r="F123">
            <v>-416572.75599999994</v>
          </cell>
          <cell r="I123" t="str">
            <v xml:space="preserve">                         * Autres actifs courants </v>
          </cell>
        </row>
        <row r="124">
          <cell r="F124">
            <v>0</v>
          </cell>
        </row>
        <row r="125">
          <cell r="F125">
            <v>0</v>
          </cell>
        </row>
        <row r="126">
          <cell r="F126">
            <v>0</v>
          </cell>
        </row>
        <row r="127">
          <cell r="F127">
            <v>-70408.270000000019</v>
          </cell>
        </row>
        <row r="128">
          <cell r="F128">
            <v>373385.902999999</v>
          </cell>
          <cell r="I128" t="str">
            <v xml:space="preserve">                         * Autres actifs courants </v>
          </cell>
        </row>
        <row r="129">
          <cell r="F129">
            <v>-2.0000000367872417E-3</v>
          </cell>
          <cell r="I129" t="str">
            <v xml:space="preserve">                         * Autres actifs courants </v>
          </cell>
        </row>
        <row r="130">
          <cell r="F130">
            <v>1.0999999940395355E-2</v>
          </cell>
          <cell r="I130" t="str">
            <v xml:space="preserve">                         * Autres actifs courants </v>
          </cell>
        </row>
        <row r="131">
          <cell r="F131">
            <v>0</v>
          </cell>
        </row>
        <row r="132">
          <cell r="F132">
            <v>6400.8770000000368</v>
          </cell>
          <cell r="I132" t="str">
            <v xml:space="preserve">                         * Autres actifs courants </v>
          </cell>
        </row>
        <row r="133">
          <cell r="F133">
            <v>0</v>
          </cell>
        </row>
        <row r="134">
          <cell r="F134">
            <v>-126.09999999999854</v>
          </cell>
        </row>
        <row r="135">
          <cell r="F135">
            <v>0</v>
          </cell>
        </row>
        <row r="136">
          <cell r="F136">
            <v>2490566.5580000002</v>
          </cell>
          <cell r="I136" t="str">
            <v xml:space="preserve">                         * Autres dettes </v>
          </cell>
        </row>
        <row r="137">
          <cell r="F137">
            <v>0</v>
          </cell>
        </row>
        <row r="138">
          <cell r="F138">
            <v>-458.44000000040978</v>
          </cell>
          <cell r="I138" t="str">
            <v xml:space="preserve">                         * Autres dettes </v>
          </cell>
        </row>
        <row r="139">
          <cell r="F139">
            <v>0</v>
          </cell>
        </row>
        <row r="140">
          <cell r="F140">
            <v>0</v>
          </cell>
        </row>
        <row r="141">
          <cell r="F141">
            <v>0</v>
          </cell>
        </row>
        <row r="142">
          <cell r="F142">
            <v>0</v>
          </cell>
        </row>
        <row r="143">
          <cell r="F143">
            <v>0</v>
          </cell>
        </row>
        <row r="144">
          <cell r="F144">
            <v>0</v>
          </cell>
        </row>
        <row r="145">
          <cell r="F145">
            <v>44498.300999999978</v>
          </cell>
        </row>
        <row r="146">
          <cell r="F146">
            <v>0</v>
          </cell>
        </row>
        <row r="147">
          <cell r="F147">
            <v>0</v>
          </cell>
        </row>
        <row r="148">
          <cell r="F148">
            <v>0</v>
          </cell>
        </row>
        <row r="149">
          <cell r="F149">
            <v>0</v>
          </cell>
        </row>
        <row r="150">
          <cell r="F150">
            <v>325000</v>
          </cell>
          <cell r="I150" t="str">
            <v xml:space="preserve">                         * Autres actifs courants </v>
          </cell>
        </row>
        <row r="151">
          <cell r="F151">
            <v>115000</v>
          </cell>
          <cell r="I151" t="str">
            <v xml:space="preserve">                         * Autres dettes </v>
          </cell>
        </row>
        <row r="152">
          <cell r="F152">
            <v>0</v>
          </cell>
          <cell r="I152" t="str">
            <v xml:space="preserve">                         * Autres dettes </v>
          </cell>
        </row>
        <row r="153">
          <cell r="F153">
            <v>3626.8820000002161</v>
          </cell>
          <cell r="I153" t="str">
            <v xml:space="preserve">                         * Autres dettes </v>
          </cell>
        </row>
        <row r="154">
          <cell r="F154">
            <v>0</v>
          </cell>
        </row>
        <row r="155">
          <cell r="F155">
            <v>0</v>
          </cell>
        </row>
        <row r="156">
          <cell r="F156">
            <v>0</v>
          </cell>
        </row>
        <row r="157">
          <cell r="F157">
            <v>1575000</v>
          </cell>
        </row>
        <row r="158">
          <cell r="F158">
            <v>-2500</v>
          </cell>
          <cell r="I158" t="str">
            <v xml:space="preserve">                         * Autres dettes </v>
          </cell>
        </row>
        <row r="159">
          <cell r="F159">
            <v>-27582.523999999976</v>
          </cell>
          <cell r="I159" t="str">
            <v xml:space="preserve">                         * Autres actifs courants </v>
          </cell>
        </row>
        <row r="160">
          <cell r="F160">
            <v>1246.9680000000001</v>
          </cell>
          <cell r="I160" t="str">
            <v xml:space="preserve">                         * Autres dettes </v>
          </cell>
        </row>
        <row r="161">
          <cell r="F161">
            <v>-784245.571</v>
          </cell>
        </row>
        <row r="162">
          <cell r="F162">
            <v>-2394763.0310000004</v>
          </cell>
        </row>
        <row r="163">
          <cell r="F163">
            <v>0</v>
          </cell>
          <cell r="I163" t="str">
            <v xml:space="preserve">                         * Autres actifs courants </v>
          </cell>
        </row>
        <row r="164">
          <cell r="F164">
            <v>0</v>
          </cell>
        </row>
        <row r="165">
          <cell r="F165">
            <v>8867.560999999987</v>
          </cell>
        </row>
        <row r="166">
          <cell r="F166">
            <v>0</v>
          </cell>
        </row>
        <row r="167">
          <cell r="F167">
            <v>0</v>
          </cell>
        </row>
        <row r="168">
          <cell r="F168">
            <v>0</v>
          </cell>
          <cell r="I168" t="str">
            <v xml:space="preserve">Encaissement /  crédits de gestion </v>
          </cell>
        </row>
        <row r="169">
          <cell r="F169">
            <v>0</v>
          </cell>
          <cell r="I169" t="str">
            <v xml:space="preserve">Encaissement /  crédits de gestion </v>
          </cell>
        </row>
        <row r="170">
          <cell r="F170">
            <v>0</v>
          </cell>
        </row>
        <row r="171">
          <cell r="F171">
            <v>291666.66299999994</v>
          </cell>
        </row>
        <row r="172">
          <cell r="F172">
            <v>-42228.201000000015</v>
          </cell>
        </row>
        <row r="173">
          <cell r="F173">
            <v>0</v>
          </cell>
        </row>
        <row r="174">
          <cell r="F174">
            <v>-1347864.9610000001</v>
          </cell>
        </row>
        <row r="175">
          <cell r="F175">
            <v>-443000</v>
          </cell>
        </row>
        <row r="176">
          <cell r="F176">
            <v>-7270.377000000004</v>
          </cell>
        </row>
        <row r="177">
          <cell r="F177">
            <v>0</v>
          </cell>
        </row>
        <row r="178">
          <cell r="F178">
            <v>0</v>
          </cell>
        </row>
        <row r="179">
          <cell r="F179">
            <v>0</v>
          </cell>
        </row>
        <row r="180">
          <cell r="F180">
            <v>185799.56100000441</v>
          </cell>
          <cell r="I180" t="str">
            <v>Trésorerie au début de l'exercice</v>
          </cell>
        </row>
        <row r="181">
          <cell r="F181">
            <v>0</v>
          </cell>
        </row>
        <row r="182">
          <cell r="F182">
            <v>0</v>
          </cell>
          <cell r="I182" t="str">
            <v>Trésorerie au début de l'exercice</v>
          </cell>
        </row>
        <row r="183">
          <cell r="F183">
            <v>-181751.08999999985</v>
          </cell>
          <cell r="I183" t="str">
            <v>Trésorerie au début de l'exercice</v>
          </cell>
        </row>
        <row r="184">
          <cell r="F184">
            <v>0</v>
          </cell>
        </row>
        <row r="185">
          <cell r="F185">
            <v>0</v>
          </cell>
        </row>
        <row r="186">
          <cell r="F186">
            <v>0</v>
          </cell>
          <cell r="I186" t="str">
            <v>Trésorerie au début de l'exercice</v>
          </cell>
        </row>
        <row r="187">
          <cell r="F187">
            <v>-8893.640000000014</v>
          </cell>
          <cell r="I187" t="str">
            <v>Trésorerie au début de l'exercice</v>
          </cell>
        </row>
        <row r="188">
          <cell r="F188">
            <v>0</v>
          </cell>
          <cell r="I188" t="str">
            <v>Trésorerie au début de l'exercice</v>
          </cell>
        </row>
        <row r="189">
          <cell r="F189">
            <v>0</v>
          </cell>
        </row>
        <row r="190">
          <cell r="F190">
            <v>0</v>
          </cell>
        </row>
        <row r="191">
          <cell r="F191">
            <v>-1510472.3019999862</v>
          </cell>
          <cell r="I191" t="str">
            <v>Trésorerie au début de l'exercice</v>
          </cell>
        </row>
        <row r="192">
          <cell r="F192">
            <v>1276576.9548749998</v>
          </cell>
          <cell r="I192" t="str">
            <v>Trésorerie au début de l'exercice</v>
          </cell>
        </row>
        <row r="193">
          <cell r="F193">
            <v>-777137.11800000025</v>
          </cell>
          <cell r="I193" t="str">
            <v>Trésorerie au début de l'exercice</v>
          </cell>
        </row>
        <row r="194">
          <cell r="F194">
            <v>0</v>
          </cell>
        </row>
        <row r="195">
          <cell r="F195">
            <v>0</v>
          </cell>
        </row>
        <row r="196">
          <cell r="F196">
            <v>0</v>
          </cell>
        </row>
        <row r="197">
          <cell r="F197">
            <v>0</v>
          </cell>
        </row>
        <row r="198">
          <cell r="F198">
            <v>0</v>
          </cell>
        </row>
        <row r="199">
          <cell r="F199">
            <v>0</v>
          </cell>
        </row>
        <row r="200">
          <cell r="F200">
            <v>0</v>
          </cell>
        </row>
        <row r="201">
          <cell r="F201">
            <v>17</v>
          </cell>
          <cell r="I201" t="str">
            <v>Trésorerie au début de l'exercice</v>
          </cell>
        </row>
        <row r="202">
          <cell r="F202">
            <v>0</v>
          </cell>
        </row>
        <row r="203">
          <cell r="F203">
            <v>0</v>
          </cell>
          <cell r="I203" t="str">
            <v>Trésorerie au début de l'exercice</v>
          </cell>
        </row>
        <row r="204">
          <cell r="F204">
            <v>0</v>
          </cell>
          <cell r="I204" t="str">
            <v>Trésorerie au début de l'exercice</v>
          </cell>
        </row>
        <row r="205">
          <cell r="F205">
            <v>0</v>
          </cell>
        </row>
        <row r="206">
          <cell r="F206">
            <v>0</v>
          </cell>
        </row>
        <row r="207">
          <cell r="F207">
            <v>0</v>
          </cell>
        </row>
        <row r="208">
          <cell r="F208">
            <v>0</v>
          </cell>
        </row>
        <row r="209">
          <cell r="F209">
            <v>0</v>
          </cell>
        </row>
        <row r="210">
          <cell r="F210">
            <v>0</v>
          </cell>
        </row>
        <row r="211">
          <cell r="F211">
            <v>1136780.078</v>
          </cell>
        </row>
        <row r="212">
          <cell r="F212">
            <v>1851927.4734315001</v>
          </cell>
        </row>
        <row r="213">
          <cell r="F213">
            <v>320648.32061700005</v>
          </cell>
        </row>
        <row r="214">
          <cell r="F214">
            <v>52138.206250000003</v>
          </cell>
        </row>
        <row r="215">
          <cell r="F215">
            <v>9453.6</v>
          </cell>
        </row>
        <row r="216">
          <cell r="F216">
            <v>2332626.313085</v>
          </cell>
        </row>
        <row r="217">
          <cell r="F217">
            <v>171420.03677249997</v>
          </cell>
        </row>
        <row r="218">
          <cell r="F218">
            <v>103356.81000000001</v>
          </cell>
        </row>
        <row r="219">
          <cell r="F219">
            <v>73673.712243000002</v>
          </cell>
        </row>
        <row r="220">
          <cell r="F220">
            <v>47859.581200000001</v>
          </cell>
        </row>
        <row r="221">
          <cell r="F221">
            <v>5382.0619999999999</v>
          </cell>
        </row>
        <row r="222">
          <cell r="F222">
            <v>2523.0747249999999</v>
          </cell>
        </row>
        <row r="223">
          <cell r="F223">
            <v>18259.216</v>
          </cell>
        </row>
        <row r="224">
          <cell r="F224">
            <v>29179.371000000003</v>
          </cell>
        </row>
        <row r="225">
          <cell r="F225">
            <v>13450.472</v>
          </cell>
        </row>
        <row r="226">
          <cell r="F226">
            <v>0</v>
          </cell>
        </row>
        <row r="227">
          <cell r="F227">
            <v>506349.51400000002</v>
          </cell>
        </row>
        <row r="228">
          <cell r="F228">
            <v>23602.247000000003</v>
          </cell>
        </row>
        <row r="229">
          <cell r="F229">
            <v>2646.2</v>
          </cell>
        </row>
        <row r="230">
          <cell r="F230">
            <v>1810034.9837770001</v>
          </cell>
        </row>
        <row r="231">
          <cell r="F231">
            <v>11196553.140000001</v>
          </cell>
        </row>
        <row r="232">
          <cell r="F232">
            <v>1292982.9099999999</v>
          </cell>
        </row>
        <row r="233">
          <cell r="F233">
            <v>1300006</v>
          </cell>
        </row>
        <row r="234">
          <cell r="F234">
            <v>195068.03374499999</v>
          </cell>
        </row>
        <row r="235">
          <cell r="F235">
            <v>5223548.3422114998</v>
          </cell>
        </row>
        <row r="236">
          <cell r="F236">
            <v>80289.789124999996</v>
          </cell>
        </row>
        <row r="237">
          <cell r="F237">
            <v>9936.5</v>
          </cell>
        </row>
        <row r="238">
          <cell r="F238">
            <v>17519.478149999999</v>
          </cell>
        </row>
        <row r="239">
          <cell r="F239">
            <v>2076.489</v>
          </cell>
        </row>
        <row r="240">
          <cell r="F240">
            <v>976.17600000000004</v>
          </cell>
        </row>
        <row r="241">
          <cell r="F241">
            <v>168116.4</v>
          </cell>
        </row>
        <row r="242">
          <cell r="F242">
            <v>1435</v>
          </cell>
        </row>
        <row r="243">
          <cell r="F243">
            <v>153347.74001150002</v>
          </cell>
        </row>
        <row r="244">
          <cell r="F244">
            <v>52207.795200000008</v>
          </cell>
        </row>
        <row r="245">
          <cell r="F245">
            <v>115072.5</v>
          </cell>
        </row>
        <row r="246">
          <cell r="F246">
            <v>632533.19999999995</v>
          </cell>
        </row>
        <row r="247">
          <cell r="F247">
            <v>138604</v>
          </cell>
        </row>
        <row r="248">
          <cell r="F248">
            <v>4588.8525</v>
          </cell>
        </row>
        <row r="249">
          <cell r="F249">
            <v>186749.2</v>
          </cell>
        </row>
        <row r="250">
          <cell r="F250">
            <v>103305.007</v>
          </cell>
        </row>
        <row r="251">
          <cell r="F251">
            <v>38607.696000000004</v>
          </cell>
        </row>
        <row r="252">
          <cell r="F252">
            <v>7350</v>
          </cell>
        </row>
        <row r="253">
          <cell r="F253">
            <v>56079.1</v>
          </cell>
        </row>
        <row r="254">
          <cell r="F254">
            <v>40627.192000000003</v>
          </cell>
        </row>
        <row r="255">
          <cell r="F255">
            <v>7795.0759999999991</v>
          </cell>
        </row>
        <row r="256">
          <cell r="F256">
            <v>552.5</v>
          </cell>
        </row>
        <row r="257">
          <cell r="F257">
            <v>7798.4359999999997</v>
          </cell>
        </row>
        <row r="258">
          <cell r="F258">
            <v>746123.14500000002</v>
          </cell>
        </row>
        <row r="259">
          <cell r="F259">
            <v>1269366.5749999997</v>
          </cell>
        </row>
        <row r="260">
          <cell r="F260">
            <v>116969.03500000002</v>
          </cell>
        </row>
        <row r="261">
          <cell r="F261">
            <v>1603422.802316</v>
          </cell>
        </row>
        <row r="262">
          <cell r="F262">
            <v>24171.527000000002</v>
          </cell>
        </row>
        <row r="263">
          <cell r="F263">
            <v>744924.70609800017</v>
          </cell>
        </row>
        <row r="264">
          <cell r="F264">
            <v>208138.76699999999</v>
          </cell>
        </row>
        <row r="265">
          <cell r="F265">
            <v>1704.4139999999898</v>
          </cell>
        </row>
        <row r="266">
          <cell r="F266">
            <v>98823.763999999996</v>
          </cell>
        </row>
        <row r="267">
          <cell r="F267">
            <v>56338.16</v>
          </cell>
        </row>
        <row r="268">
          <cell r="F268">
            <v>1171.6030000000001</v>
          </cell>
        </row>
        <row r="269">
          <cell r="F269">
            <v>132901.9</v>
          </cell>
        </row>
        <row r="270">
          <cell r="F270">
            <v>254728.00929800002</v>
          </cell>
        </row>
        <row r="271">
          <cell r="F271">
            <v>54364.83</v>
          </cell>
        </row>
        <row r="272">
          <cell r="F272">
            <v>-531750.42699999921</v>
          </cell>
        </row>
        <row r="273">
          <cell r="F273">
            <v>-78525.778000000049</v>
          </cell>
        </row>
        <row r="274">
          <cell r="F274">
            <v>275000</v>
          </cell>
        </row>
        <row r="275">
          <cell r="F275">
            <v>680820.18026749999</v>
          </cell>
        </row>
        <row r="276">
          <cell r="F276">
            <v>6265.4819999999991</v>
          </cell>
        </row>
        <row r="277">
          <cell r="F277">
            <v>217586.277</v>
          </cell>
        </row>
        <row r="278">
          <cell r="F278">
            <v>23867.477999999996</v>
          </cell>
        </row>
        <row r="279">
          <cell r="F279">
            <v>13350</v>
          </cell>
        </row>
        <row r="280">
          <cell r="F280">
            <v>31433.833999999995</v>
          </cell>
        </row>
        <row r="281">
          <cell r="F281">
            <v>15118.564999999999</v>
          </cell>
        </row>
        <row r="282">
          <cell r="F282">
            <v>151977.42499999999</v>
          </cell>
        </row>
        <row r="283">
          <cell r="F283">
            <v>7377</v>
          </cell>
        </row>
        <row r="284">
          <cell r="F284">
            <v>15708</v>
          </cell>
        </row>
        <row r="285">
          <cell r="F285">
            <v>28663.071999999996</v>
          </cell>
        </row>
        <row r="286">
          <cell r="F286">
            <v>308543.17000000004</v>
          </cell>
        </row>
        <row r="287">
          <cell r="F287">
            <v>287675.12399999995</v>
          </cell>
        </row>
        <row r="288">
          <cell r="F288">
            <v>25162.1</v>
          </cell>
        </row>
        <row r="289">
          <cell r="F289">
            <v>35388.715000000004</v>
          </cell>
        </row>
        <row r="290">
          <cell r="F290">
            <v>14731.2</v>
          </cell>
        </row>
        <row r="291">
          <cell r="F291">
            <v>63058.94</v>
          </cell>
        </row>
        <row r="292">
          <cell r="F292">
            <v>8685.5040000000008</v>
          </cell>
        </row>
        <row r="293">
          <cell r="F293">
            <v>25823.361000000001</v>
          </cell>
        </row>
        <row r="294">
          <cell r="F294">
            <v>79375.102650000001</v>
          </cell>
        </row>
        <row r="295">
          <cell r="F295">
            <v>38337.923999999999</v>
          </cell>
        </row>
        <row r="296">
          <cell r="F296">
            <v>58812.999999999985</v>
          </cell>
        </row>
        <row r="297">
          <cell r="F297">
            <v>19970.233</v>
          </cell>
        </row>
        <row r="298">
          <cell r="F298">
            <v>1438.9070000000002</v>
          </cell>
        </row>
        <row r="299">
          <cell r="F299">
            <v>142946.23999999996</v>
          </cell>
        </row>
        <row r="300">
          <cell r="F300">
            <v>39476.469000000005</v>
          </cell>
        </row>
        <row r="301">
          <cell r="F301">
            <v>9752</v>
          </cell>
        </row>
        <row r="302">
          <cell r="F302">
            <v>11150</v>
          </cell>
        </row>
        <row r="303">
          <cell r="F303">
            <v>804639.22799999989</v>
          </cell>
        </row>
        <row r="304">
          <cell r="F304">
            <v>1693.8</v>
          </cell>
        </row>
        <row r="305">
          <cell r="F305">
            <v>5831</v>
          </cell>
        </row>
        <row r="306">
          <cell r="F306">
            <v>31670.149999999998</v>
          </cell>
        </row>
        <row r="307">
          <cell r="F307">
            <v>46676.817000000003</v>
          </cell>
        </row>
        <row r="308">
          <cell r="F308">
            <v>24039.768</v>
          </cell>
        </row>
        <row r="309">
          <cell r="F309">
            <v>18107.3</v>
          </cell>
        </row>
        <row r="310">
          <cell r="F310">
            <v>5545.7269999999999</v>
          </cell>
        </row>
        <row r="311">
          <cell r="F311">
            <v>14491</v>
          </cell>
        </row>
        <row r="312">
          <cell r="F312">
            <v>39651.675999999999</v>
          </cell>
        </row>
        <row r="313">
          <cell r="F313">
            <v>174623.41500000001</v>
          </cell>
        </row>
        <row r="314">
          <cell r="F314">
            <v>125000</v>
          </cell>
        </row>
        <row r="315">
          <cell r="F315">
            <v>220411.99900000001</v>
          </cell>
        </row>
        <row r="316">
          <cell r="F316">
            <v>22580.147999999997</v>
          </cell>
          <cell r="I316" t="str">
            <v>. Transactions, amendes, confiscations et pénalités de toute nature</v>
          </cell>
        </row>
        <row r="317">
          <cell r="F317">
            <v>4796007.0539999995</v>
          </cell>
        </row>
        <row r="318">
          <cell r="F318">
            <v>24780</v>
          </cell>
        </row>
        <row r="319">
          <cell r="F319">
            <v>55527.371999999974</v>
          </cell>
        </row>
        <row r="320">
          <cell r="F320">
            <v>8109</v>
          </cell>
        </row>
        <row r="321">
          <cell r="F321">
            <v>411471.21799999994</v>
          </cell>
        </row>
        <row r="322">
          <cell r="F322">
            <v>317596.76800000004</v>
          </cell>
        </row>
        <row r="323">
          <cell r="F323">
            <v>398809.70500000007</v>
          </cell>
        </row>
        <row r="324">
          <cell r="F324">
            <v>613116.94999999995</v>
          </cell>
        </row>
        <row r="325">
          <cell r="F325">
            <v>7332.7100000000009</v>
          </cell>
        </row>
        <row r="326">
          <cell r="F326">
            <v>40303.639000000003</v>
          </cell>
        </row>
        <row r="327">
          <cell r="F327">
            <v>91441.09599999999</v>
          </cell>
        </row>
        <row r="328">
          <cell r="F328">
            <v>-831.40499999999975</v>
          </cell>
        </row>
        <row r="329">
          <cell r="F329">
            <v>352820.47899999993</v>
          </cell>
        </row>
        <row r="330">
          <cell r="F330">
            <v>76620.550656000007</v>
          </cell>
        </row>
        <row r="331">
          <cell r="F331">
            <v>43078.524000000012</v>
          </cell>
        </row>
        <row r="332">
          <cell r="F332">
            <v>102697.20900000002</v>
          </cell>
        </row>
        <row r="333">
          <cell r="F333">
            <v>10779.804</v>
          </cell>
        </row>
        <row r="334">
          <cell r="F334">
            <v>12059.924999999999</v>
          </cell>
        </row>
        <row r="335">
          <cell r="F335">
            <v>2490371.8530000001</v>
          </cell>
        </row>
        <row r="336">
          <cell r="F336">
            <v>205043.10000000003</v>
          </cell>
        </row>
        <row r="337">
          <cell r="F337">
            <v>-31973563.397</v>
          </cell>
          <cell r="I337" t="str">
            <v>Chiffre d'affaires Local  comptabilisé HT</v>
          </cell>
        </row>
        <row r="338">
          <cell r="F338">
            <v>-19506673.700380001</v>
          </cell>
          <cell r="I338" t="str">
            <v>Chiffre d'affaires à l'exportation</v>
          </cell>
        </row>
        <row r="339">
          <cell r="F339">
            <v>-63249</v>
          </cell>
          <cell r="I339" t="str">
            <v>Chiffre d'affaires Local  comptabilisé HT</v>
          </cell>
        </row>
        <row r="340">
          <cell r="F340">
            <v>-140625.38</v>
          </cell>
          <cell r="I340" t="str">
            <v>Chiffre d'affaires Local  comptabilisé HT</v>
          </cell>
        </row>
        <row r="341">
          <cell r="F341">
            <v>-964.0200000000001</v>
          </cell>
        </row>
        <row r="342">
          <cell r="F342">
            <v>-38770.517999999996</v>
          </cell>
          <cell r="I342" t="str">
            <v>Chiffre d'affaires Local  comptabilisé HT</v>
          </cell>
        </row>
        <row r="343">
          <cell r="F343">
            <v>-744393.83600000013</v>
          </cell>
        </row>
        <row r="344">
          <cell r="F344">
            <v>-117382.39300000016</v>
          </cell>
        </row>
        <row r="345">
          <cell r="F345">
            <v>-20042</v>
          </cell>
          <cell r="I345" t="str">
            <v xml:space="preserve">  * Plus value sur cession immobilisations</v>
          </cell>
        </row>
        <row r="346">
          <cell r="F346">
            <v>-59664.634000000005</v>
          </cell>
        </row>
        <row r="347">
          <cell r="F347">
            <v>-252620.448</v>
          </cell>
          <cell r="I347" t="str">
            <v xml:space="preserve">Quote part subvention d'investissement </v>
          </cell>
        </row>
        <row r="348">
          <cell r="F348">
            <v>-1843.7079999999999</v>
          </cell>
        </row>
        <row r="349">
          <cell r="F349">
            <v>-1747.3849999999998</v>
          </cell>
        </row>
        <row r="350">
          <cell r="F350">
            <v>-53328.118656000006</v>
          </cell>
        </row>
        <row r="351">
          <cell r="F351">
            <v>-11.428000000000001</v>
          </cell>
        </row>
        <row r="352">
          <cell r="F352">
            <v>4023385.8679174986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/TRAVAIL-2024/ANNEE%202024/GROUPE%20MONBAT/SNA%20NOUR/STOCK/ETAT%20DE%20STOCK%20SNA%2029-02-2024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bdallah BELAKHOUA" refreshedDate="45344.42350138889" createdVersion="8" refreshedVersion="8" minRefreshableVersion="3" recordCount="3955" xr:uid="{00000000-000A-0000-FFFF-FFFF00000000}">
  <cacheSource type="worksheet">
    <worksheetSource ref="A3:I3958" sheet="Stock 31-01-2024"/>
  </cacheSource>
  <cacheFields count="9">
    <cacheField name="SITE" numFmtId="0">
      <sharedItems containsBlank="1"/>
    </cacheField>
    <cacheField name="EMP" numFmtId="0">
      <sharedItems/>
    </cacheField>
    <cacheField name="Code" numFmtId="0">
      <sharedItems containsBlank="1"/>
    </cacheField>
    <cacheField name="Désignation" numFmtId="0">
      <sharedItems/>
    </cacheField>
    <cacheField name="Unité" numFmtId="0">
      <sharedItems containsBlank="1"/>
    </cacheField>
    <cacheField name="Quantité 31/01/2024" numFmtId="168">
      <sharedItems containsString="0" containsBlank="1" containsNumber="1" minValue="0" maxValue="3718078"/>
    </cacheField>
    <cacheField name="PU" numFmtId="0">
      <sharedItems containsString="0" containsBlank="1" containsNumber="1" minValue="0" maxValue="7550.1865399999997"/>
    </cacheField>
    <cacheField name="Valeur total" numFmtId="0">
      <sharedItems containsSemiMixedTypes="0" containsString="0" containsNumber="1" minValue="0" maxValue="2788558.5"/>
    </cacheField>
    <cacheField name="Affectation" numFmtId="0">
      <sharedItems count="4">
        <s v="subproduct"/>
        <s v="RM"/>
        <s v="Finish good"/>
        <s v="spare part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haled_riahi" refreshedDate="45366.418168055556" createdVersion="3" refreshedVersion="3" minRefreshableVersion="3" recordCount="3730" xr:uid="{00000000-000A-0000-FFFF-FFFF01000000}">
  <cacheSource type="worksheet">
    <worksheetSource ref="A4:I3734" sheet="STK 29-02-2024" r:id="rId2"/>
  </cacheSource>
  <cacheFields count="9">
    <cacheField name="SITE" numFmtId="0">
      <sharedItems/>
    </cacheField>
    <cacheField name="EMP" numFmtId="0">
      <sharedItems/>
    </cacheField>
    <cacheField name="Code" numFmtId="0">
      <sharedItems containsBlank="1"/>
    </cacheField>
    <cacheField name="Désignation" numFmtId="0">
      <sharedItems containsBlank="1"/>
    </cacheField>
    <cacheField name="Unité" numFmtId="0">
      <sharedItems containsBlank="1"/>
    </cacheField>
    <cacheField name="Inventaire Février 2024" numFmtId="0">
      <sharedItems containsString="0" containsBlank="1" containsNumber="1" minValue="1" maxValue="3765028"/>
    </cacheField>
    <cacheField name="Pu" numFmtId="0">
      <sharedItems containsString="0" containsBlank="1" containsNumber="1" minValue="0" maxValue="7550.1865399999997"/>
    </cacheField>
    <cacheField name="Total" numFmtId="164">
      <sharedItems containsSemiMixedTypes="0" containsString="0" containsNumber="1" minValue="0" maxValue="2839759.0425273562"/>
    </cacheField>
    <cacheField name="Affectation" numFmtId="0">
      <sharedItems count="4">
        <s v="RM"/>
        <s v="subproduct"/>
        <s v="Finish good"/>
        <s v="spare part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55">
  <r>
    <s v="007"/>
    <s v="AS01"/>
    <s v="360PMP"/>
    <s v="PLAQUE M POSITIF "/>
    <s v="KG"/>
    <n v="16007"/>
    <n v="6.8020808742562293"/>
    <n v="108880.90855421947"/>
    <x v="0"/>
  </r>
  <r>
    <s v="007"/>
    <s v="AS01"/>
    <s v="360PMN"/>
    <s v="PLAQUE M NEGATIF"/>
    <s v="KG"/>
    <n v="7088"/>
    <n v="6.8542391322811929"/>
    <n v="48582.846969609098"/>
    <x v="0"/>
  </r>
  <r>
    <s v="007"/>
    <s v="AS01"/>
    <s v="600P0004"/>
    <s v="PB SB 3.2"/>
    <s v="KG"/>
    <n v="4000"/>
    <n v="5.6104583436708264"/>
    <n v="22441.833374683305"/>
    <x v="1"/>
  </r>
  <r>
    <s v="007"/>
    <s v="CAMION"/>
    <s v="10D23255155"/>
    <s v="D23-4/5 NR"/>
    <s v="UN"/>
    <n v="3"/>
    <n v="99.29119211967523"/>
    <n v="297.87357635902572"/>
    <x v="1"/>
  </r>
  <r>
    <s v="007"/>
    <s v="CAMION"/>
    <s v="10L2B155258"/>
    <s v="L2-5/6 PR"/>
    <s v="UN"/>
    <n v="23"/>
    <n v="87.996377211356702"/>
    <n v="2023.9166758612041"/>
    <x v="1"/>
  </r>
  <r>
    <s v="007"/>
    <s v="CAMION"/>
    <s v="10L2H133141"/>
    <s v="L2-5/5 GR"/>
    <s v="UN"/>
    <n v="12"/>
    <n v="78.216827776772078"/>
    <n v="938.60193332126494"/>
    <x v="1"/>
  </r>
  <r>
    <s v="007"/>
    <s v="CAMION"/>
    <s v="10L3B155258"/>
    <s v="L3-6/6 GR"/>
    <s v="UN"/>
    <n v="10"/>
    <n v="106.00520214225064"/>
    <n v="1060.0520214225064"/>
    <x v="1"/>
  </r>
  <r>
    <s v="007"/>
    <s v="CAMION"/>
    <s v="10M14"/>
    <s v="M14-8/9 GR"/>
    <s v="UN"/>
    <n v="3"/>
    <n v="200"/>
    <n v="600"/>
    <x v="1"/>
  </r>
  <r>
    <s v="007"/>
    <s v="CAMION"/>
    <s v="10NS40"/>
    <s v="NS40 N/N"/>
    <s v="UN"/>
    <n v="9"/>
    <n v="78.140734266829696"/>
    <n v="703.26660840146724"/>
    <x v="1"/>
  </r>
  <r>
    <s v="007"/>
    <s v="CAMION"/>
    <s v="21D26"/>
    <s v="BAT NF SF D26 OP/NR 5/6"/>
    <s v="UN"/>
    <n v="9"/>
    <n v="109.42274478352326"/>
    <n v="984.80470305170934"/>
    <x v="1"/>
  </r>
  <r>
    <s v="007"/>
    <s v="CAMION"/>
    <s v="21D31D"/>
    <s v="BAT NF SF D31 D OP/NR7/8"/>
    <s v="UN"/>
    <n v="29"/>
    <n v="136.9265116977792"/>
    <n v="3970.8688392355971"/>
    <x v="1"/>
  </r>
  <r>
    <s v="007"/>
    <s v="CAMION"/>
    <s v="21L1B1332"/>
    <s v="BAT SF PL1B D GR/GR 4/4"/>
    <s v="UN"/>
    <n v="17"/>
    <n v="63.717676332803727"/>
    <n v="1083.2004976576634"/>
    <x v="1"/>
  </r>
  <r>
    <s v="007"/>
    <s v="CAMION"/>
    <s v="21L1H1332"/>
    <s v="BAT SF PL1H D GR/GR  4/4"/>
    <s v="UN"/>
    <n v="23"/>
    <n v="65.632972530598181"/>
    <n v="1509.5583682037582"/>
    <x v="1"/>
  </r>
  <r>
    <s v="007"/>
    <s v="CAMION"/>
    <s v="21L5H1332"/>
    <s v="BAT SF PL5H D GR/GR  8/8"/>
    <s v="UN"/>
    <n v="10"/>
    <n v="113.74499703670401"/>
    <n v="1137.4499703670401"/>
    <x v="1"/>
  </r>
  <r>
    <s v="007"/>
    <s v="CAMION"/>
    <s v="21L6B1551"/>
    <s v="BAT SF PL6  LOCAL NR/NR10/10"/>
    <s v="UN"/>
    <n v="2"/>
    <n v="137.56191368150289"/>
    <n v="275.12382736300577"/>
    <x v="1"/>
  </r>
  <r>
    <s v="007"/>
    <s v="CAMION"/>
    <s v="21NS60"/>
    <s v="BAT NF SF NS60 NR/NR 5/6"/>
    <s v="UN"/>
    <n v="4"/>
    <n v="63.592549742519729"/>
    <n v="254.37019897007892"/>
    <x v="1"/>
  </r>
  <r>
    <s v="007"/>
    <s v="CAMION"/>
    <s v="21PM10"/>
    <s v="BAT NF SF M10 GR/GR 5/5"/>
    <s v="UN"/>
    <n v="11"/>
    <n v="94.482638309521434"/>
    <n v="1039.3090214047359"/>
    <x v="1"/>
  </r>
  <r>
    <s v="007"/>
    <s v="CAMION"/>
    <s v="21PM11"/>
    <s v="BAT NF SF M11 GR/GR 7/7"/>
    <s v="UN"/>
    <n v="7"/>
    <n v="107.94312813062928"/>
    <n v="755.60189691440496"/>
    <x v="1"/>
  </r>
  <r>
    <s v="007"/>
    <s v="CAMION"/>
    <s v="21PM12"/>
    <s v="BAT NF SF M12 GR/GR 7/7"/>
    <s v="UN"/>
    <n v="5"/>
    <n v="128.46247618390638"/>
    <n v="642.31238091953185"/>
    <x v="1"/>
  </r>
  <r>
    <s v="007"/>
    <s v="CAMION"/>
    <s v="21TR15"/>
    <s v="BAT NF SF M15 GR/GR9/10"/>
    <s v="UN"/>
    <n v="15"/>
    <n v="189.94826078955131"/>
    <n v="2849.2239118432699"/>
    <x v="1"/>
  </r>
  <r>
    <s v="007"/>
    <s v="CAMION"/>
    <s v="21TR16"/>
    <s v="BAT NF SF M16 GR/GR12/13"/>
    <s v="UN"/>
    <n v="5"/>
    <n v="150"/>
    <n v="750"/>
    <x v="1"/>
  </r>
  <r>
    <s v="007"/>
    <s v="CAMION"/>
    <s v="LB77L3K5172R1Z22"/>
    <s v="L3-SMF"/>
    <s v="UN"/>
    <n v="3"/>
    <n v="109.93111322585349"/>
    <n v="329.79333967756048"/>
    <x v="1"/>
  </r>
  <r>
    <s v="007"/>
    <s v="LABO"/>
    <s v="10S2"/>
    <s v="BATT SMART S2"/>
    <s v="UN"/>
    <n v="6"/>
    <n v="95.841116629064643"/>
    <n v="575.04669977438789"/>
    <x v="1"/>
  </r>
  <r>
    <s v="007"/>
    <s v="LABO"/>
    <s v="10PRL3B"/>
    <s v="BATT L3B 6/7"/>
    <s v="UN"/>
    <n v="5"/>
    <n v="88.779786180633138"/>
    <n v="443.89893090316571"/>
    <x v="1"/>
  </r>
  <r>
    <s v="05"/>
    <s v="MPA"/>
    <s v="310oxyde01"/>
    <s v="OXYDE ROUGE "/>
    <s v="KG"/>
    <n v="125"/>
    <n v="12.59525825408878"/>
    <n v="1574.4072817610975"/>
    <x v="1"/>
  </r>
  <r>
    <s v="05"/>
    <s v="GR01"/>
    <s v="322GI534"/>
    <s v="GRILLE INTERNE 534"/>
    <s v="KG"/>
    <n v="1099"/>
    <n v="6.9041202636019259"/>
    <n v="7587.6281696985161"/>
    <x v="1"/>
  </r>
  <r>
    <s v="05"/>
    <s v="GR01"/>
    <s v="322GI399"/>
    <s v="GRILLE INTERNE 399"/>
    <s v="KG"/>
    <n v="238"/>
    <n v="6.8663267071618215"/>
    <n v="1634.1857563045135"/>
    <x v="1"/>
  </r>
  <r>
    <s v="05"/>
    <s v="GR01"/>
    <s v="322GT534"/>
    <s v="grille tub 534"/>
    <s v="KG"/>
    <n v="182"/>
    <n v="7.0286889224747169"/>
    <n v="1279.2213838903986"/>
    <x v="1"/>
  </r>
  <r>
    <s v="05"/>
    <s v="GR01"/>
    <s v="320PBP"/>
    <s v="grille LB +"/>
    <s v="KG"/>
    <n v="4860"/>
    <n v="7.3343057120014175"/>
    <n v="35644.725760326888"/>
    <x v="1"/>
  </r>
  <r>
    <s v="05"/>
    <s v="GR01"/>
    <s v="351OGIN"/>
    <s v="PL  OGI-"/>
    <s v="KG"/>
    <n v="265.44"/>
    <n v="7.0506304738667156"/>
    <n v="1871.5193529831811"/>
    <x v="0"/>
  </r>
  <r>
    <s v="05"/>
    <s v="GR01"/>
    <s v="351OGIP"/>
    <s v="PL  OGI+"/>
    <s v="KG"/>
    <n v="84.215999999999994"/>
    <n v="7.6650690415057579"/>
    <n v="645.52145439944888"/>
    <x v="0"/>
  </r>
  <r>
    <s v="05"/>
    <s v="GR01"/>
    <s v="351PE274"/>
    <s v="PL 274EX"/>
    <s v="KG"/>
    <n v="333.73999999999995"/>
    <n v="7.4361530964440723"/>
    <n v="2481.7417344072442"/>
    <x v="0"/>
  </r>
  <r>
    <s v="05"/>
    <s v="GR01"/>
    <s v="351PE289"/>
    <s v="PL 289 EX"/>
    <s v="KG"/>
    <n v="822.68600000000004"/>
    <n v="7.7544167830568647"/>
    <n v="6379.4501255859204"/>
    <x v="0"/>
  </r>
  <r>
    <s v="05"/>
    <s v="GR01"/>
    <s v="351PE315"/>
    <s v="PL 315 EX"/>
    <s v="KG"/>
    <n v="202"/>
    <n v="8.4769598691220054"/>
    <n v="1712.3458935626452"/>
    <x v="0"/>
  </r>
  <r>
    <s v="05"/>
    <s v="GR01"/>
    <s v="351PE399"/>
    <s v="PL 399EX"/>
    <s v="KG"/>
    <n v="1073.4059999999999"/>
    <n v="8.5028180959957549"/>
    <n v="9126.9759611504196"/>
    <x v="0"/>
  </r>
  <r>
    <s v="05"/>
    <s v="GR01"/>
    <s v="351PE429"/>
    <s v="PL 429 EX"/>
    <s v="KG"/>
    <n v="98.344000000000008"/>
    <n v="8.832298905597483"/>
    <n v="868.6036035720789"/>
    <x v="0"/>
  </r>
  <r>
    <s v="05"/>
    <s v="GR01"/>
    <s v="351PE534"/>
    <s v="PL 534 EX"/>
    <s v="KG"/>
    <n v="1074.01"/>
    <n v="8.8391259371829669"/>
    <n v="9493.309647793878"/>
    <x v="0"/>
  </r>
  <r>
    <s v="05"/>
    <s v="GR01"/>
    <s v="351PI204"/>
    <s v="PL 204 IN"/>
    <s v="KG"/>
    <n v="146.88"/>
    <n v="8.0921512644837961"/>
    <n v="1188.5751777273799"/>
    <x v="0"/>
  </r>
  <r>
    <s v="05"/>
    <s v="GR01"/>
    <s v="351PI274"/>
    <s v="PL 274 IN"/>
    <s v="KG"/>
    <n v="73.66"/>
    <n v="7.4283869622155629"/>
    <n v="547.17498363679829"/>
    <x v="0"/>
  </r>
  <r>
    <s v="05"/>
    <s v="GR01"/>
    <s v="351PI289"/>
    <s v="PL 289 IN"/>
    <s v="KG"/>
    <n v="528.58500000000004"/>
    <n v="7.7544167830568647"/>
    <n v="4098.868395272113"/>
    <x v="0"/>
  </r>
  <r>
    <s v="05"/>
    <s v="GR01"/>
    <s v="351PI399"/>
    <s v="PL 399 IN"/>
    <s v="KG"/>
    <n v="889.2"/>
    <n v="7.3772161732989794"/>
    <n v="6559.8206212974528"/>
    <x v="0"/>
  </r>
  <r>
    <s v="05"/>
    <s v="GR01"/>
    <s v="351PI429"/>
    <s v="PL 429 IN"/>
    <s v="KG"/>
    <n v="1053.3599999999999"/>
    <n v="8.7299647277285519"/>
    <n v="9195.7956456001466"/>
    <x v="0"/>
  </r>
  <r>
    <s v="05"/>
    <s v="GR01"/>
    <s v="351PI534"/>
    <s v="PL 534 IN"/>
    <s v="KG"/>
    <n v="748.65"/>
    <n v="8.6902090225683519"/>
    <n v="6505.9249847457968"/>
    <x v="0"/>
  </r>
  <r>
    <s v="05"/>
    <s v="GR01"/>
    <s v="351PT274"/>
    <s v="PL 274 TUB"/>
    <s v="KG"/>
    <n v="77.48"/>
    <n v="6.8178738539770114"/>
    <n v="528.24886620613881"/>
    <x v="0"/>
  </r>
  <r>
    <s v="05"/>
    <s v="GR01"/>
    <s v="351PT315"/>
    <s v="PL 315 TUB"/>
    <s v="KG"/>
    <n v="40.020000000000003"/>
    <n v="6.8589529357986541"/>
    <n v="274.49529649066216"/>
    <x v="0"/>
  </r>
  <r>
    <s v="05"/>
    <s v="GR01"/>
    <s v="351PT399"/>
    <s v="PL 399 TUB"/>
    <s v="KG"/>
    <n v="181.38400000000001"/>
    <n v="6.5569278975198806"/>
    <n v="1189.3218097637462"/>
    <x v="0"/>
  </r>
  <r>
    <s v="05"/>
    <s v="GR01"/>
    <s v="351PT534"/>
    <s v="PL 534 TUB"/>
    <s v="KG"/>
    <n v="422.76"/>
    <n v="6.2847301690408353"/>
    <n v="2656.9325262637035"/>
    <x v="0"/>
  </r>
  <r>
    <s v="05"/>
    <s v="GR01"/>
    <s v="360PMN"/>
    <s v="Plaque  M-"/>
    <s v="UN"/>
    <n v="23588"/>
    <n v="6.8542391322811929"/>
    <n v="161677.79265224878"/>
    <x v="0"/>
  </r>
  <r>
    <s v="05"/>
    <s v="MPA"/>
    <s v="430P2010"/>
    <s v="SEP PAPIER G  laize 103 mm 12,5 g/m²"/>
    <s v="M2"/>
    <n v="162400"/>
    <n v="0.16125131554631233"/>
    <n v="26187.213644721123"/>
    <x v="1"/>
  </r>
  <r>
    <s v="05"/>
    <s v="MPA"/>
    <s v="430P2011"/>
    <s v="SEP PAPIER G  laize 128 mm 12,5 g/m²"/>
    <s v="M2"/>
    <n v="162480"/>
    <n v="0.17487530736052098"/>
    <n v="28413.739939937448"/>
    <x v="1"/>
  </r>
  <r>
    <s v="05"/>
    <s v="MPA"/>
    <s v="430P2013"/>
    <s v="SEP PAPIER laize 125mm "/>
    <s v="M2"/>
    <n v="37360"/>
    <n v="0.17960028418424487"/>
    <n v="6709.8666171233881"/>
    <x v="1"/>
  </r>
  <r>
    <s v="05"/>
    <s v="MPA"/>
    <s v="430T210"/>
    <s v="GAINE TUBULAIRE 204mm "/>
    <s v="UN"/>
    <n v="4454"/>
    <n v="0.9110590188837957"/>
    <n v="4057.8568701084259"/>
    <x v="1"/>
  </r>
  <r>
    <s v="05"/>
    <s v="MPA"/>
    <s v="430T280"/>
    <s v="GAINE TUBULAIRE 274mm "/>
    <s v="UN"/>
    <n v="3020"/>
    <n v="1.2732299853104208"/>
    <n v="3845.1545556374708"/>
    <x v="1"/>
  </r>
  <r>
    <s v="05"/>
    <s v="MPA"/>
    <s v="430T295"/>
    <s v="GAINE TUBULAIRE 289mm "/>
    <s v="UN"/>
    <n v="5642"/>
    <n v="1.1599999999999999"/>
    <n v="6544.7199999999993"/>
    <x v="1"/>
  </r>
  <r>
    <s v="05"/>
    <s v="MPA"/>
    <s v="430T325"/>
    <s v="GAINE TUBULAIRE 315mm "/>
    <s v="UN"/>
    <n v="4173"/>
    <n v="1.5528073028453109"/>
    <n v="6479.8648747734824"/>
    <x v="1"/>
  </r>
  <r>
    <s v="05"/>
    <s v="MPA"/>
    <s v="430T405"/>
    <s v="GAINE TUBULAIRE 399mm "/>
    <s v="UN"/>
    <n v="13202"/>
    <n v="2.0020728508573535"/>
    <n v="26431.365777018782"/>
    <x v="1"/>
  </r>
  <r>
    <s v="05"/>
    <s v="MPA"/>
    <s v="430T435"/>
    <s v="GAINE TUBULAIRE 429mm "/>
    <s v="UN"/>
    <n v="6850"/>
    <n v="2.0513940839436202"/>
    <n v="14052.049475013799"/>
    <x v="1"/>
  </r>
  <r>
    <s v="05"/>
    <s v="MPA"/>
    <s v="430T540"/>
    <s v="GAINE TUBULAIRE 534mm "/>
    <s v="UN"/>
    <n v="6522"/>
    <n v="2.4307877683110286"/>
    <n v="15853.597824924529"/>
    <x v="1"/>
  </r>
  <r>
    <s v="05"/>
    <s v="MPA"/>
    <s v="520X0032"/>
    <s v="FICHE SUIVEUSE PLAQUE (VERT) grand format"/>
    <s v="UN"/>
    <n v="1500"/>
    <n v="0.16930875675675675"/>
    <n v="253.9631351351351"/>
    <x v="1"/>
  </r>
  <r>
    <s v="05"/>
    <s v="MPA"/>
    <s v="520X0035"/>
    <s v="FICHE SUIVEUSE PLAQUE (BLEU)"/>
    <s v="UN"/>
    <n v="6000"/>
    <n v="0.20156250000000001"/>
    <n v="1209.375"/>
    <x v="1"/>
  </r>
  <r>
    <s v="05"/>
    <s v="MPA"/>
    <s v="580F0002"/>
    <s v="FILM ETIRABLE MANUEL "/>
    <s v="KG"/>
    <n v="43"/>
    <n v="4.9119230518542043"/>
    <n v="211.21269122973078"/>
    <x v="1"/>
  </r>
  <r>
    <s v="05"/>
    <s v="MPA"/>
    <s v="580P0010"/>
    <s v="POLYST.120/80/2CM D16 "/>
    <s v="UN"/>
    <n v="140"/>
    <n v="3.2312791788981139"/>
    <n v="452.37908504573596"/>
    <x v="1"/>
  </r>
  <r>
    <s v="05"/>
    <s v="MPA"/>
    <s v="600A0003"/>
    <s v="FIBRE DE VERRE 3mm "/>
    <s v="KG"/>
    <n v="160"/>
    <n v="14.447026627672727"/>
    <n v="2311.5242604276364"/>
    <x v="1"/>
  </r>
  <r>
    <s v="05"/>
    <s v="MPA"/>
    <s v="600A0012"/>
    <s v="FIBRE DE VERRE 5mm "/>
    <s v="KG"/>
    <n v="640"/>
    <n v="13.541652250000002"/>
    <n v="8666.6574400000009"/>
    <x v="1"/>
  </r>
  <r>
    <s v="05"/>
    <s v="MPA"/>
    <s v="600A0018"/>
    <s v="colophane empattage "/>
    <s v="KG"/>
    <n v="75"/>
    <n v="23"/>
    <n v="1725"/>
    <x v="1"/>
  </r>
  <r>
    <s v="05"/>
    <s v="GR01"/>
    <s v="600p0002"/>
    <s v="plomb doux creuset"/>
    <s v="KG"/>
    <n v="3500"/>
    <n v="5.5880182149105089"/>
    <n v="19558.063752186779"/>
    <x v="1"/>
  </r>
  <r>
    <s v="05"/>
    <s v="GR01"/>
    <s v="600P0004"/>
    <s v="creuset 1,8%"/>
    <s v="KG"/>
    <n v="5400"/>
    <n v="5.6104583436708264"/>
    <n v="30296.475055822462"/>
    <x v="1"/>
  </r>
  <r>
    <s v="05"/>
    <s v="GR01"/>
    <s v="600P0016"/>
    <s v="Creuset +"/>
    <s v="KG"/>
    <n v="14730"/>
    <n v="5.9448965406431897"/>
    <n v="87568.326043674184"/>
    <x v="1"/>
  </r>
  <r>
    <s v="05"/>
    <s v="GR01"/>
    <s v="600P0026"/>
    <s v="Creuset -"/>
    <s v="KG"/>
    <n v="15000"/>
    <n v="5.5939631280173145"/>
    <n v="83909.446920259725"/>
    <x v="1"/>
  </r>
  <r>
    <s v="05"/>
    <s v="GR01"/>
    <s v="600P0026"/>
    <s v="plomb Concentrè"/>
    <s v="KG"/>
    <n v="1302"/>
    <n v="5.5939631280173145"/>
    <n v="7283.3399926785432"/>
    <x v="1"/>
  </r>
  <r>
    <s v="05"/>
    <s v="MPA"/>
    <s v="690X0012"/>
    <s v="BOUT.SILICATE SODIUM "/>
    <s v="UN"/>
    <n v="33"/>
    <n v="5.4087843099460295"/>
    <n v="178.48988222821899"/>
    <x v="1"/>
  </r>
  <r>
    <s v="05"/>
    <s v="MPA"/>
    <s v="520X0033"/>
    <s v="FICHE SUIVEUSE PLAQUE (BLANC)"/>
    <s v="UN"/>
    <n v="1500"/>
    <n v="0.20200000000000001"/>
    <n v="303"/>
    <x v="1"/>
  </r>
  <r>
    <s v="05"/>
    <s v="MPA"/>
    <s v="520X0036"/>
    <s v="ETIQ BOBINE AUTOCOLLANT 2 COULEURS (+)"/>
    <s v="UN"/>
    <n v="500"/>
    <n v="0.35349999999999998"/>
    <n v="176.75"/>
    <x v="1"/>
  </r>
  <r>
    <s v="05"/>
    <s v="MPA"/>
    <s v="520X0037"/>
    <s v="ETIQ BOBINE AUTOCOLLANT 2 COULEURS (-)"/>
    <s v="UN"/>
    <n v="500"/>
    <n v="0.35349999999999998"/>
    <n v="176.75"/>
    <x v="1"/>
  </r>
  <r>
    <s v="05"/>
    <s v="MPA"/>
    <s v="690X0007"/>
    <s v="KLEEN KOTE "/>
    <s v="UN"/>
    <n v="9"/>
    <n v="352.43900000000002"/>
    <n v="3171.951"/>
    <x v="1"/>
  </r>
  <r>
    <s v="05"/>
    <s v="GR01"/>
    <s v="351PT429"/>
    <s v="PL 429 TUB"/>
    <s v="KG"/>
    <n v="498.41999999999996"/>
    <n v="6.3979047810123637"/>
    <n v="3188.8437009521822"/>
    <x v="0"/>
  </r>
  <r>
    <s v="05"/>
    <s v="GR01"/>
    <s v="322GT399"/>
    <s v="grille  TIBULAIRE 399"/>
    <s v="KG"/>
    <n v="904"/>
    <n v="6.8663267071618215"/>
    <n v="6207.1593432742866"/>
    <x v="0"/>
  </r>
  <r>
    <s v="05"/>
    <s v="GR01"/>
    <s v="322GT274"/>
    <s v="grille TIBULAIRE 274"/>
    <s v="KG"/>
    <n v="178"/>
    <n v="6.8987045098292814"/>
    <n v="1227.9694027496121"/>
    <x v="0"/>
  </r>
  <r>
    <s v="05"/>
    <s v="GR01"/>
    <s v="322GT204"/>
    <s v="grille TIBULAIRE 204"/>
    <s v="KG"/>
    <n v="132"/>
    <n v="6.9313281354440477"/>
    <n v="914.93531387861435"/>
    <x v="0"/>
  </r>
  <r>
    <s v="05"/>
    <s v="GR01"/>
    <s v="320OGI"/>
    <s v="GRILLE OGI  "/>
    <s v="KG"/>
    <n v="343.40000000000003"/>
    <n v="6.8663267071618224"/>
    <n v="2357.8965912393701"/>
    <x v="0"/>
  </r>
  <r>
    <s v="05"/>
    <s v="MPA"/>
    <s v="690X0025"/>
    <s v="LIEGE PREPARE AC23#5 GLOBE SUPERKOTE MOLD"/>
    <s v="UN"/>
    <n v="2"/>
    <n v="30.505706430295458"/>
    <n v="61.011412860590916"/>
    <x v="1"/>
  </r>
  <r>
    <s v="007"/>
    <s v="CA01"/>
    <s v="600A0001"/>
    <s v="ACIDE SULFURIQUE 1.84"/>
    <s v="KG"/>
    <n v="69880"/>
    <n v="0.60148039894786609"/>
    <n v="42031.450278476885"/>
    <x v="1"/>
  </r>
  <r>
    <s v="007"/>
    <s v="CA01"/>
    <s v="610S0001"/>
    <s v="SOUFFRE"/>
    <s v="KG"/>
    <n v="300"/>
    <n v="2.8988715896651813"/>
    <n v="869.66147689955437"/>
    <x v="1"/>
  </r>
  <r>
    <s v="007"/>
    <s v="CA01"/>
    <s v="690X0024"/>
    <s v="SEL ADOUCISSEUR"/>
    <s v="KG"/>
    <n v="775"/>
    <n v="1.35"/>
    <n v="1046.25"/>
    <x v="1"/>
  </r>
  <r>
    <s v="007"/>
    <s v="CA01"/>
    <m/>
    <s v="Acide 1,25"/>
    <s v="KG"/>
    <n v="22000"/>
    <n v="0.20898112965805649"/>
    <n v="4597.5848524772427"/>
    <x v="1"/>
  </r>
  <r>
    <s v="007"/>
    <s v="CA01"/>
    <m/>
    <s v="Acide 1,295"/>
    <s v="KG"/>
    <n v="5000"/>
    <n v="0.20898112965805649"/>
    <n v="1044.9056482902824"/>
    <x v="1"/>
  </r>
  <r>
    <s v="007"/>
    <s v="CA01"/>
    <m/>
    <s v="Acide 1,4"/>
    <s v="KG"/>
    <n v="4000"/>
    <n v="0.20898112965805649"/>
    <n v="835.92451863222595"/>
    <x v="1"/>
  </r>
  <r>
    <s v="007"/>
    <s v="CA01"/>
    <m/>
    <s v="Eau Deminiraliser"/>
    <s v="KG"/>
    <n v="18000"/>
    <n v="0.2"/>
    <n v="3600"/>
    <x v="1"/>
  </r>
  <r>
    <s v="007"/>
    <s v="CA01"/>
    <m/>
    <s v="Acide Chlorohydrique"/>
    <s v="KG"/>
    <n v="775"/>
    <n v="1.25"/>
    <n v="968.75"/>
    <x v="1"/>
  </r>
  <r>
    <s v="05"/>
    <s v="MPA"/>
    <s v="430P1008"/>
    <s v="SEP PAPIER laize 105mm 12.5 g/m²"/>
    <s v="M2"/>
    <n v="52320"/>
    <n v="0.15580064491637435"/>
    <n v="8151.4897420247062"/>
    <x v="1"/>
  </r>
  <r>
    <s v="05"/>
    <s v="MPA"/>
    <s v="430P1019"/>
    <s v="SEPARATEUR  EMPATTAGE POLYESTER 103mm"/>
    <s v="M2"/>
    <n v="23968"/>
    <n v="1.1673196483156583"/>
    <n v="27978.317330829697"/>
    <x v="1"/>
  </r>
  <r>
    <s v="05"/>
    <s v="MPA"/>
    <s v="430P1020"/>
    <s v="SEPARATEUR  EMPATTAGE POLYESTER 127mm"/>
    <s v="M2"/>
    <n v="36948"/>
    <n v="1.1673196483156583"/>
    <n v="43130.126365966942"/>
    <x v="1"/>
  </r>
  <r>
    <s v="05"/>
    <s v="MPA"/>
    <s v="491BB001"/>
    <s v="REGLE DE FERMETURE 19 TUBES 43753002B70"/>
    <s v="UN"/>
    <n v="166400"/>
    <n v="0.21457018061935432"/>
    <n v="35704.478055060557"/>
    <x v="1"/>
  </r>
  <r>
    <s v="05"/>
    <s v="MPA"/>
    <s v="600A0017"/>
    <s v="FIBRE DE VERRE 1.5mm Primafloc+ fibre"/>
    <s v="KG"/>
    <n v="1400"/>
    <n v="15.400714025036519"/>
    <n v="21560.999635051128"/>
    <x v="1"/>
  </r>
  <r>
    <s v="05"/>
    <s v="MPA"/>
    <s v="600A0020"/>
    <s v="MELANGE ETHANOL"/>
    <s v="KG"/>
    <n v="20"/>
    <n v="26.512264150943395"/>
    <n v="530.24528301886789"/>
    <x v="1"/>
  </r>
  <r>
    <s v="05"/>
    <s v="MPA"/>
    <s v="690X0018"/>
    <s v="EXPANDER HE-631 A - 8.5KG "/>
    <s v="KG"/>
    <n v="3426"/>
    <n v="14.987247296727341"/>
    <n v="51346.30923858787"/>
    <x v="1"/>
  </r>
  <r>
    <s v="05"/>
    <s v="MPA"/>
    <s v="690X0031"/>
    <s v="EXPANDER PENOX- 7 KG "/>
    <s v="KG"/>
    <n v="3100"/>
    <n v="13.827783737305175"/>
    <n v="42866.129585646042"/>
    <x v="1"/>
  </r>
  <r>
    <s v="05"/>
    <s v="MPA"/>
    <s v="712MEC021"/>
    <s v="AGRAFE POUR SERRE CABLE PALETTE"/>
    <s v="UN"/>
    <n v="100"/>
    <n v="109.33333333333331"/>
    <n v="10933.333333333332"/>
    <x v="1"/>
  </r>
  <r>
    <s v="05"/>
    <s v="MPA"/>
    <s v="712MEC028"/>
    <s v="RLX FEUILLARD 15 "/>
    <s v="UN"/>
    <n v="1"/>
    <n v="145"/>
    <n v="145"/>
    <x v="1"/>
  </r>
  <r>
    <s v="05"/>
    <s v="MPA"/>
    <m/>
    <s v="FLYX"/>
    <s v="KG"/>
    <n v="150"/>
    <n v="56.12799583333333"/>
    <n v="8419.1993750000001"/>
    <x v="1"/>
  </r>
  <r>
    <s v="05"/>
    <s v="MPA"/>
    <s v="520X0048"/>
    <s v="ETIQ AUTOCOLLANTE PRODUIT EXPORT"/>
    <s v="UN"/>
    <n v="200"/>
    <n v="0.2525"/>
    <n v="50.5"/>
    <x v="1"/>
  </r>
  <r>
    <s v="05"/>
    <s v="MPA"/>
    <s v="430P2009"/>
    <s v="SEPARATEUR  EMPATTAGE POLYESTER 111mm"/>
    <s v="M2"/>
    <n v="79296"/>
    <n v="0.13900000000000001"/>
    <n v="11022.144"/>
    <x v="1"/>
  </r>
  <r>
    <s v="05"/>
    <s v="MPA"/>
    <m/>
    <s v="EXPANDER MAROON BAG"/>
    <s v="KG"/>
    <n v="2087"/>
    <n v="14.987247296727341"/>
    <n v="31278.385108269962"/>
    <x v="1"/>
  </r>
  <r>
    <s v="05"/>
    <s v="MPA"/>
    <s v="430T21184"/>
    <s v="GAINE TUBULAIRE 184mm "/>
    <s v="UN"/>
    <n v="2302"/>
    <n v="1.0793751893085692"/>
    <n v="2484.7216857883263"/>
    <x v="1"/>
  </r>
  <r>
    <s v="05"/>
    <s v="MPA"/>
    <s v="430T21285"/>
    <s v="GAINE TUBULAIRE 258mm "/>
    <s v="UN"/>
    <n v="1842"/>
    <n v="1.5132252167621694"/>
    <n v="2787.3608492759158"/>
    <x v="1"/>
  </r>
  <r>
    <s v="05"/>
    <s v="MPA"/>
    <s v="491BB002"/>
    <s v="REGLE DE FERMETURE PETITE MODEL"/>
    <s v="UN"/>
    <n v="3163"/>
    <n v="0.56883332117009466"/>
    <n v="1799.2197948610094"/>
    <x v="1"/>
  </r>
  <r>
    <s v="05"/>
    <s v="MPA"/>
    <s v="491BB003"/>
    <s v="REGLE DE FERMETURE GRANDE MODEL"/>
    <s v="UN"/>
    <n v="1950"/>
    <n v="0.64329877412327052"/>
    <n v="1254.4326095403776"/>
    <x v="1"/>
  </r>
  <r>
    <s v="04"/>
    <s v="MPF"/>
    <s v="600P0004"/>
    <s v="PLOMB 1,8%"/>
    <s v="KG"/>
    <n v="3903"/>
    <n v="5.6104583436708264"/>
    <n v="21897.618915347237"/>
    <x v="1"/>
  </r>
  <r>
    <s v="04"/>
    <s v="MPF"/>
    <s v="600P0004"/>
    <s v="PLOMB 5%"/>
    <s v="KG"/>
    <n v="957"/>
    <n v="5.6104583436708264"/>
    <n v="5369.2086348929806"/>
    <x v="1"/>
  </r>
  <r>
    <s v="04"/>
    <s v="MPF"/>
    <s v="600P0013"/>
    <s v="CALCIUM METAL PUR"/>
    <s v="KG"/>
    <n v="172"/>
    <n v="35.734415246466412"/>
    <n v="6146.3194223922228"/>
    <x v="1"/>
  </r>
  <r>
    <s v="04"/>
    <s v="MPF"/>
    <s v="610L0001"/>
    <s v="CARBONATE DE SOUDE"/>
    <s v="KG"/>
    <n v="11000"/>
    <n v="1.7293944785196564"/>
    <n v="19023.339263716221"/>
    <x v="1"/>
  </r>
  <r>
    <s v="04"/>
    <s v="MPF"/>
    <s v="610L0002"/>
    <s v="Nitrate de soude"/>
    <s v="KG"/>
    <n v="13000"/>
    <n v="4.649969091542248"/>
    <n v="60449.598190049226"/>
    <x v="1"/>
  </r>
  <r>
    <s v="04"/>
    <s v="MPF"/>
    <s v="610M0001"/>
    <s v="ARSENIC METAL"/>
    <s v="KG"/>
    <n v="350"/>
    <n v="17.880161480494536"/>
    <n v="6258.0565181730872"/>
    <x v="1"/>
  </r>
  <r>
    <s v="04"/>
    <s v="MPF"/>
    <s v="610M0002"/>
    <s v="SELENIUM"/>
    <s v="KG"/>
    <n v="25"/>
    <n v="197.21741898134346"/>
    <n v="4930.4354745335868"/>
    <x v="1"/>
  </r>
  <r>
    <s v="04"/>
    <s v="MPF"/>
    <s v="610M0004"/>
    <s v="ETAIN PURE 99.99 % MIN"/>
    <s v="KG"/>
    <n v="312"/>
    <n v="74.515419847328246"/>
    <n v="23248.810992366412"/>
    <x v="1"/>
  </r>
  <r>
    <s v="04"/>
    <s v="MPF"/>
    <s v="610P0002"/>
    <s v="ANTIMOINE"/>
    <s v="KG"/>
    <n v="1189"/>
    <n v="49.65731251956079"/>
    <n v="59042.54458575778"/>
    <x v="1"/>
  </r>
  <r>
    <s v="04"/>
    <s v="MPF"/>
    <s v="610X0013"/>
    <s v="BATTITURE DE FER"/>
    <s v="KG"/>
    <n v="66300"/>
    <n v="0.10853554818637101"/>
    <n v="7195.9068447563977"/>
    <x v="1"/>
  </r>
  <r>
    <s v="04"/>
    <s v="MPF"/>
    <s v="610X0014"/>
    <s v="COKE DE PETROLE"/>
    <s v="KG"/>
    <n v="31740"/>
    <n v="1.4931377491061697"/>
    <n v="47392.192156629826"/>
    <x v="1"/>
  </r>
  <r>
    <s v="04"/>
    <s v="MPF"/>
    <s v="620M0007"/>
    <s v="ETAIN TRAITE DE 40 à 49%"/>
    <s v="KG"/>
    <n v="1740"/>
    <n v="54.277015258012213"/>
    <n v="94442.006548941252"/>
    <x v="1"/>
  </r>
  <r>
    <s v="04"/>
    <s v="MPF"/>
    <s v="620M0008"/>
    <s v="ETAIN TRAITE DE 50 à 59%"/>
    <s v="KG"/>
    <n v="3011"/>
    <n v="46.676453028263801"/>
    <n v="140542.80006810231"/>
    <x v="1"/>
  </r>
  <r>
    <s v="04"/>
    <s v="MPF"/>
    <s v="620M0011"/>
    <s v="ETAIN TRAITE DE 90 à 98%"/>
    <s v="KG"/>
    <n v="3082"/>
    <n v="49.937318465304863"/>
    <n v="153906.81551006957"/>
    <x v="1"/>
  </r>
  <r>
    <s v="04"/>
    <s v="MPF"/>
    <s v="690X0011"/>
    <s v="SOUDE CAUSTIQUE MICRO PERLES"/>
    <s v="KG"/>
    <n v="9425"/>
    <n v="2.9749817670186536"/>
    <n v="28039.203154150811"/>
    <x v="1"/>
  </r>
  <r>
    <s v="04"/>
    <s v="MPF"/>
    <s v="600P0016"/>
    <s v="PLOMB CALCIUM CONCENTREE"/>
    <s v="KG"/>
    <n v="1302"/>
    <n v="5.9448965406431897"/>
    <n v="7740.2552959174327"/>
    <x v="1"/>
  </r>
  <r>
    <s v="04"/>
    <s v="MPF"/>
    <s v="600P0014"/>
    <s v="CALCIUM METAL 70% ALUMINIUM 30%"/>
    <s v="KG"/>
    <n v="570"/>
    <n v="35.734415246466412"/>
    <n v="20368.616690485855"/>
    <x v="1"/>
  </r>
  <r>
    <s v="04"/>
    <s v="MPF"/>
    <s v="600P0004"/>
    <s v="plomb 3%"/>
    <s v="KG"/>
    <n v="8241"/>
    <n v="5.6104583436708264"/>
    <n v="46235.78721019128"/>
    <x v="1"/>
  </r>
  <r>
    <s v="04"/>
    <s v="FN01"/>
    <s v="610C0005"/>
    <s v="BATTERIES USAGEES"/>
    <s v="KG"/>
    <n v="52711"/>
    <n v="2.1692502929778552"/>
    <n v="114343.35219315572"/>
    <x v="1"/>
  </r>
  <r>
    <s v="04"/>
    <s v="FN01"/>
    <s v="610D0013"/>
    <s v="Ecumage et décuivrage ,brassage"/>
    <s v="KG"/>
    <n v="69597"/>
    <n v="3.2122536430439368"/>
    <n v="223563.21679492886"/>
    <x v="1"/>
  </r>
  <r>
    <s v="04"/>
    <s v="FN01"/>
    <m/>
    <s v="Poudre de plomb"/>
    <s v="KG"/>
    <n v="542049"/>
    <n v="2.1095288883837413"/>
    <n v="1143468.0244195187"/>
    <x v="1"/>
  </r>
  <r>
    <s v="04"/>
    <s v="FN01"/>
    <m/>
    <s v="crasse 30%"/>
    <s v="KG"/>
    <n v="3718078"/>
    <n v="0.75"/>
    <n v="2788558.5"/>
    <x v="1"/>
  </r>
  <r>
    <s v="04"/>
    <s v="FN01"/>
    <s v="610D0015"/>
    <s v="GRILLE CASSE BATTERIES "/>
    <s v="KG"/>
    <n v="10000"/>
    <n v="3.4721050875476722"/>
    <n v="34721.050875476722"/>
    <x v="1"/>
  </r>
  <r>
    <s v="04"/>
    <s v="FN01"/>
    <s v="610D0016"/>
    <s v="OXYDE CASSE BATTERIES "/>
    <s v="KG"/>
    <n v="21180"/>
    <n v="2.4203166331921486"/>
    <n v="51262.306291009707"/>
    <x v="1"/>
  </r>
  <r>
    <s v="04"/>
    <s v="FN01"/>
    <s v="610L0001"/>
    <s v="CARBONATE DE SOUDE"/>
    <s v="KG"/>
    <n v="1325"/>
    <n v="1.7293944785196564"/>
    <n v="2291.4476840385446"/>
    <x v="1"/>
  </r>
  <r>
    <s v="04"/>
    <s v="FN01"/>
    <s v="610L0002"/>
    <s v="Nitrate de soude"/>
    <s v="KG"/>
    <n v="1650"/>
    <n v="4.649969091542248"/>
    <n v="7672.4490010447089"/>
    <x v="1"/>
  </r>
  <r>
    <s v="04"/>
    <s v="FN01"/>
    <s v="610M0001"/>
    <s v="ARSENIC METAL"/>
    <s v="KG"/>
    <n v="24"/>
    <n v="17.880161480494536"/>
    <n v="429.12387553186886"/>
    <x v="1"/>
  </r>
  <r>
    <s v="04"/>
    <s v="FN01"/>
    <s v="610M0002"/>
    <s v="SELENIUM"/>
    <s v="KG"/>
    <n v="1.3"/>
    <n v="197.21741898134346"/>
    <n v="256.38264467574652"/>
    <x v="1"/>
  </r>
  <r>
    <s v="04"/>
    <s v="FN01"/>
    <s v="610S0001"/>
    <s v="Souffre"/>
    <s v="KG"/>
    <n v="25"/>
    <n v="2.8988715896651813"/>
    <n v="72.471789741629536"/>
    <x v="1"/>
  </r>
  <r>
    <s v="04"/>
    <s v="FN01"/>
    <s v="690X0011"/>
    <s v="Soude caustique"/>
    <s v="KG"/>
    <n v="1200"/>
    <n v="2.9749817670186536"/>
    <n v="3569.9781204223841"/>
    <x v="1"/>
  </r>
  <r>
    <s v="04"/>
    <s v="FN01"/>
    <s v="610D0008"/>
    <s v="REBUT ET DECHET DE PLAQUE"/>
    <s v="KG"/>
    <n v="1476"/>
    <n v="3.9913046639999994"/>
    <n v="5891.1656840639989"/>
    <x v="1"/>
  </r>
  <r>
    <s v="04"/>
    <s v="FN01"/>
    <s v="600P0013"/>
    <s v="CALCIUM METAL"/>
    <s v="KG"/>
    <n v="1.8"/>
    <n v="35.734415246466412"/>
    <n v="64.321947443639544"/>
    <x v="1"/>
  </r>
  <r>
    <s v="04"/>
    <s v="FN01"/>
    <s v="620M0009"/>
    <s v="ETAIN TRAITE DE 60 à 69%"/>
    <s v="KG"/>
    <n v="74"/>
    <n v="36"/>
    <n v="2664"/>
    <x v="1"/>
  </r>
  <r>
    <s v="04"/>
    <s v="FN01"/>
    <s v="600P0017"/>
    <s v="PLOMB D'OEUVRE SNA"/>
    <s v="KG"/>
    <n v="35000"/>
    <n v="4.5619011476117679"/>
    <n v="159666.54016641187"/>
    <x v="1"/>
  </r>
  <r>
    <s v="04"/>
    <s v="FN01"/>
    <m/>
    <s v="DECHET CHAINE LINGOTAGE "/>
    <s v="KG"/>
    <n v="660"/>
    <n v="5.4148896250374703"/>
    <n v="3573.8271525247305"/>
    <x v="1"/>
  </r>
  <r>
    <s v="007"/>
    <s v="CM02"/>
    <s v="360PBN"/>
    <s v="LB-"/>
    <s v="KG"/>
    <n v="979.19999999999993"/>
    <n v="7.6153615529949921"/>
    <n v="7456.9620326926961"/>
    <x v="1"/>
  </r>
  <r>
    <s v="007"/>
    <s v="CM02"/>
    <s v="360PMN"/>
    <s v="M-"/>
    <s v="KG"/>
    <m/>
    <n v="7.5901038522837361"/>
    <n v="0"/>
    <x v="1"/>
  </r>
  <r>
    <s v="007"/>
    <s v="CM02"/>
    <s v="360PMP"/>
    <s v="M+"/>
    <s v="KG"/>
    <m/>
    <n v="7.6685003636461024"/>
    <n v="0"/>
    <x v="1"/>
  </r>
  <r>
    <s v="007"/>
    <s v="CM02"/>
    <s v="360PMPSP"/>
    <s v="M+ SPECIAL"/>
    <s v="KG"/>
    <n v="3024"/>
    <n v="7.7243830647258251"/>
    <n v="23358.534387730895"/>
    <x v="1"/>
  </r>
  <r>
    <s v="007"/>
    <s v="CM02"/>
    <s v="360PMPLSP"/>
    <s v="M+ LATERAL"/>
    <s v="KG"/>
    <m/>
    <n v="7.6797368946243285"/>
    <n v="0"/>
    <x v="1"/>
  </r>
  <r>
    <s v="007"/>
    <s v="CM02"/>
    <s v="360PMNL"/>
    <s v="M- LATERAL"/>
    <s v="KG"/>
    <m/>
    <n v="7.6360781385029899"/>
    <n v="0"/>
    <x v="1"/>
  </r>
  <r>
    <s v="007"/>
    <s v="AS01"/>
    <s v="400N7002"/>
    <s v="BAC N70 P0 C46,5 B01 NOIR"/>
    <s v="UN"/>
    <n v="480"/>
    <n v="8.3328387556776438"/>
    <n v="3999.7626027252691"/>
    <x v="1"/>
  </r>
  <r>
    <s v="007"/>
    <s v="AS01"/>
    <s v="420N7003"/>
    <s v="COUV N70 T-AKUMSAN D+ NOIR"/>
    <s v="UN"/>
    <n v="400"/>
    <n v="6.1149815513045471"/>
    <n v="2445.9926205218189"/>
    <x v="1"/>
  </r>
  <r>
    <s v="007"/>
    <s v="AS01"/>
    <s v="400M1009"/>
    <s v="BAC M10 P15,4 C33 NOIR 30241008B70"/>
    <s v="UN"/>
    <n v="500"/>
    <n v="7.9040076645121999"/>
    <n v="3952.0038322560999"/>
    <x v="1"/>
  </r>
  <r>
    <s v="007"/>
    <s v="AS01"/>
    <s v="420M1014"/>
    <s v="COUV M10 G FLAT NOIR 22462007B70"/>
    <s v="UN"/>
    <n v="560"/>
    <n v="3.1402019961046164"/>
    <n v="1758.5131178185852"/>
    <x v="1"/>
  </r>
  <r>
    <s v="007"/>
    <s v="AS01"/>
    <s v="UFMSP55M10F042L1"/>
    <s v="BAT FINIE M10 PREMIUM"/>
    <s v="UN"/>
    <n v="80"/>
    <n v="89.94746759559122"/>
    <n v="7195.7974076472974"/>
    <x v="0"/>
  </r>
  <r>
    <s v="04"/>
    <s v="FN01"/>
    <s v="600P0020"/>
    <s v="PLOMB D'ŒUVRE ACHETEE"/>
    <s v="KG"/>
    <n v="3907"/>
    <n v="5.3658935406675319"/>
    <n v="20964.546063388047"/>
    <x v="1"/>
  </r>
  <r>
    <s v="007"/>
    <s v="MPA"/>
    <s v="400B9001"/>
    <s v="BAC COMPACT B90 C49 P19,5 T2 OPAQUE 34911011B70"/>
    <s v="UN"/>
    <n v="861"/>
    <n v="12.373890012648957"/>
    <n v="10653.919300890751"/>
    <x v="1"/>
  </r>
  <r>
    <s v="007"/>
    <s v="MPA"/>
    <s v="400D2302"/>
    <s v="BAC D23 P0 C33 B01 NOIR 201373"/>
    <s v="UN"/>
    <n v="325"/>
    <n v="7.9457692462815741"/>
    <n v="2582.3750050415115"/>
    <x v="1"/>
  </r>
  <r>
    <s v="007"/>
    <s v="MPA"/>
    <s v="400D2304"/>
    <s v="BAC D23 P0 C33 NOIR A LISTEAUX MONBAT"/>
    <s v="UN"/>
    <n v="5646"/>
    <n v="7.9462486792276872"/>
    <n v="44864.520042919525"/>
    <x v="1"/>
  </r>
  <r>
    <s v="007"/>
    <s v="MPA"/>
    <s v="400L0103"/>
    <s v="BAC L1B PO NOIR C22 22521008C40"/>
    <s v="UN"/>
    <n v="4310"/>
    <n v="5.3909308724328993"/>
    <n v="23234.912060185798"/>
    <x v="1"/>
  </r>
  <r>
    <s v="007"/>
    <s v="MPA"/>
    <s v="400L0111"/>
    <s v="BAC L1B PO NOIR C28 25331014B70"/>
    <s v="UN"/>
    <n v="556"/>
    <n v="5.8978684019301877"/>
    <n v="3279.2148314731844"/>
    <x v="1"/>
  </r>
  <r>
    <s v="007"/>
    <s v="MPA"/>
    <s v="400L0115"/>
    <s v="BAC L1 B PO GRIS C22 22521024B70"/>
    <s v="UN"/>
    <n v="1120"/>
    <n v="4.2500357223489855"/>
    <n v="4760.040009030864"/>
    <x v="1"/>
  </r>
  <r>
    <s v="007"/>
    <s v="MPA"/>
    <s v="400L0117"/>
    <s v="BAC L1 NOIR PO C26 NON PERCE 26901001P70 26901001"/>
    <s v="UN"/>
    <n v="2998"/>
    <n v="5.2467793515841628"/>
    <n v="15729.84449604932"/>
    <x v="1"/>
  </r>
  <r>
    <s v="007"/>
    <s v="MPA"/>
    <s v="400L0118"/>
    <s v="BAC L1 NOIR P0 C28 25341044B70"/>
    <s v="UN"/>
    <n v="3841"/>
    <n v="5.4413322199389604"/>
    <n v="20900.157056785549"/>
    <x v="1"/>
  </r>
  <r>
    <s v="007"/>
    <s v="MPA"/>
    <s v="400L0120"/>
    <s v="BAC L1 GRIS P0 C22 25391019B70"/>
    <s v="UN"/>
    <n v="2925"/>
    <n v="4.1249721771996413"/>
    <n v="12065.543618308951"/>
    <x v="1"/>
  </r>
  <r>
    <s v="007"/>
    <s v="MPA"/>
    <s v="400L0121"/>
    <s v="BAC L1 NOIR P0 C22 25391020B70"/>
    <s v="UN"/>
    <n v="6320"/>
    <n v="5.9648175593552235"/>
    <n v="37697.646975125012"/>
    <x v="1"/>
  </r>
  <r>
    <s v="007"/>
    <s v="MPA"/>
    <s v="400L0202"/>
    <s v="BAC L2 BASSE P0 NOIR C34 25181011B77"/>
    <s v="UN"/>
    <n v="990"/>
    <n v="5.6453024753020058"/>
    <n v="5588.8494505489862"/>
    <x v="1"/>
  </r>
  <r>
    <s v="007"/>
    <s v="MPA"/>
    <s v="400l0204"/>
    <s v="BAC L2B NOIR PO C28"/>
    <s v="UN"/>
    <n v="2807"/>
    <n v="5.7323337064227609"/>
    <n v="16090.66071392869"/>
    <x v="1"/>
  </r>
  <r>
    <s v="007"/>
    <s v="MPA"/>
    <s v="400L0211"/>
    <s v="BAC L2 BASSE GRIS P0 C28 25701004B77"/>
    <s v="UN"/>
    <n v="432"/>
    <n v="4.3059139447251029"/>
    <n v="1860.1548241212445"/>
    <x v="1"/>
  </r>
  <r>
    <s v="007"/>
    <s v="MPA"/>
    <s v="400L0213"/>
    <s v="BAC L2 NOIR PO C28 25691010B77"/>
    <s v="UN"/>
    <n v="10158"/>
    <n v="5.4782695444978593"/>
    <n v="55648.262033009254"/>
    <x v="1"/>
  </r>
  <r>
    <s v="007"/>
    <s v="MPA"/>
    <s v="400L0306"/>
    <s v="BAC L3B P0 NOIR C40 26651004B74"/>
    <s v="UN"/>
    <n v="7062"/>
    <n v="6.5069026234189895"/>
    <n v="45951.746326584907"/>
    <x v="1"/>
  </r>
  <r>
    <s v="007"/>
    <s v="MPA"/>
    <s v="400L0312"/>
    <s v="BAC L3 BASSE GRIS  P0 C34 34451034C40"/>
    <s v="UN"/>
    <n v="2019"/>
    <n v="3.5545831049279544"/>
    <n v="7176.7032888495396"/>
    <x v="1"/>
  </r>
  <r>
    <s v="007"/>
    <s v="MPA"/>
    <s v="400L0314"/>
    <s v="BAC L3 NOIR P0 C33 2B341005B70"/>
    <s v="UN"/>
    <n v="5259"/>
    <n v="5.9468506015183964"/>
    <n v="31274.487313385245"/>
    <x v="1"/>
  </r>
  <r>
    <s v="007"/>
    <s v="MPA"/>
    <s v="400L0318"/>
    <s v="BAC L3 NOIR P0 C40 2B331002B74"/>
    <s v="UN"/>
    <n v="4886"/>
    <n v="6.0477779713082231"/>
    <n v="29549.44316781198"/>
    <x v="1"/>
  </r>
  <r>
    <s v="007"/>
    <s v="MPA"/>
    <s v="400L0401"/>
    <s v="BAC L4 NOIR P0 C46,5 21081020B70"/>
    <s v="UN"/>
    <n v="842"/>
    <n v="5.9680923504620749"/>
    <n v="5025.1337590890671"/>
    <x v="1"/>
  </r>
  <r>
    <s v="007"/>
    <s v="MPA"/>
    <s v="400L0402"/>
    <s v="BAC L4B NOIR P0 C46,5 21071019B70"/>
    <s v="UN"/>
    <n v="66"/>
    <n v="3.4771593863103991"/>
    <n v="229.49251949648635"/>
    <x v="1"/>
  </r>
  <r>
    <s v="007"/>
    <s v="MPA"/>
    <s v="400l0506"/>
    <s v="BAC L5B C45 P0 NOIR"/>
    <s v="UN"/>
    <n v="3588"/>
    <n v="6.3368180094906368"/>
    <n v="22736.503018052405"/>
    <x v="1"/>
  </r>
  <r>
    <s v="007"/>
    <s v="MPA"/>
    <s v="400L0512"/>
    <s v="BAC L5 NOIR P0 C54,4 RENFORCE  DIN - GEL"/>
    <s v="UN"/>
    <n v="122"/>
    <n v="4.346584430574163"/>
    <n v="530.28330053004788"/>
    <x v="1"/>
  </r>
  <r>
    <s v="007"/>
    <s v="MPA"/>
    <s v="400L0513"/>
    <s v="BAC L5 C45 P0 NOIR 27231007B77"/>
    <s v="UN"/>
    <n v="905"/>
    <n v="8.535108410318708"/>
    <n v="7724.2731113384307"/>
    <x v="1"/>
  </r>
  <r>
    <s v="007"/>
    <s v="MPA"/>
    <s v="400L0518"/>
    <s v="BAC L5 NOIR P0 C52 20641062B77"/>
    <s v="UN"/>
    <n v="2609"/>
    <n v="6.357308778341916"/>
    <n v="16586.218602694058"/>
    <x v="1"/>
  </r>
  <r>
    <s v="007"/>
    <s v="MPA"/>
    <s v="400L0519"/>
    <s v="BAC L5B NOIR P0 C52"/>
    <s v="UN"/>
    <n v="33"/>
    <n v="6.6805025161624272"/>
    <n v="220.45658303336009"/>
    <x v="1"/>
  </r>
  <r>
    <s v="007"/>
    <s v="MPA"/>
    <s v="400M1009"/>
    <s v="BAC M10 P15,4 C33 NOIR 30241013B70"/>
    <s v="UN"/>
    <n v="6578"/>
    <n v="7.9040076645121999"/>
    <n v="51992.562417161251"/>
    <x v="1"/>
  </r>
  <r>
    <s v="007"/>
    <s v="MPA"/>
    <s v="400M1104"/>
    <s v="BAC M11 P8.5 C46,3 NOIR 22241008B70"/>
    <s v="UN"/>
    <n v="2669"/>
    <n v="8.053227749015468"/>
    <n v="21494.064862122283"/>
    <x v="1"/>
  </r>
  <r>
    <s v="007"/>
    <s v="MPA"/>
    <s v="400M1202"/>
    <s v="BAC M12 P12.5 C49 NOIR 21631003B70"/>
    <s v="UN"/>
    <n v="2124"/>
    <n v="10.024608813199761"/>
    <n v="21292.269119236291"/>
    <x v="1"/>
  </r>
  <r>
    <s v="007"/>
    <s v="MPA"/>
    <s v="400M1409"/>
    <s v="BAC M14 GRIS PO C60 35321021B74"/>
    <s v="UN"/>
    <n v="1993"/>
    <n v="16.999470853681405"/>
    <n v="33879.945411387038"/>
    <x v="1"/>
  </r>
  <r>
    <s v="007"/>
    <s v="MPA"/>
    <s v="400M1413"/>
    <s v="BAC M14 NOIR PO C60 35321017B70"/>
    <s v="UN"/>
    <n v="1317"/>
    <n v="13.114255649661915"/>
    <n v="17271.474690604744"/>
    <x v="1"/>
  </r>
  <r>
    <s v="007"/>
    <s v="MPA"/>
    <s v="400M1414"/>
    <s v="BAC M14 NOIR PO C60 TYP A BOX 12/140 MONBAT"/>
    <s v="UN"/>
    <n v="140"/>
    <n v="9.0982141647888408"/>
    <n v="1273.7499830704378"/>
    <x v="1"/>
  </r>
  <r>
    <s v="007"/>
    <s v="MPA"/>
    <s v="400M1509"/>
    <s v="BAC M15 GRIS PO C78 35331028B74"/>
    <s v="UN"/>
    <n v="2603"/>
    <n v="17.839552188080578"/>
    <n v="46436.354345573745"/>
    <x v="1"/>
  </r>
  <r>
    <s v="007"/>
    <s v="MPA"/>
    <s v="400M1510"/>
    <s v="BAC M15 NOIR PO C78 35331021B70"/>
    <s v="UN"/>
    <n v="1584"/>
    <n v="15.734751544370877"/>
    <n v="24923.846446283467"/>
    <x v="1"/>
  </r>
  <r>
    <s v="007"/>
    <s v="MPA"/>
    <s v="400M1517"/>
    <s v="BAC M15 NOIR C78,5 P0 NERVURES FLEXIBLES 27571001"/>
    <s v="UN"/>
    <n v="198"/>
    <n v="16.100236678529633"/>
    <n v="3187.8468623488675"/>
    <x v="1"/>
  </r>
  <r>
    <s v="007"/>
    <s v="MPA"/>
    <s v="400M1518"/>
    <s v="BAC M15 NOIR TYP B  BAC 12/165(monbat)"/>
    <s v="UN"/>
    <n v="120"/>
    <n v="9.478747837080391"/>
    <n v="1137.4497404496469"/>
    <x v="1"/>
  </r>
  <r>
    <s v="007"/>
    <s v="MPA"/>
    <s v="400M1606"/>
    <s v="BAC M16 GRIS C102 P16 20891032B74"/>
    <s v="UN"/>
    <n v="577"/>
    <n v="23.127588104431553"/>
    <n v="13344.618336257006"/>
    <x v="1"/>
  </r>
  <r>
    <s v="007"/>
    <s v="MPA"/>
    <s v="400M1608"/>
    <s v="BAC M16 P0 C102 NOIR 20891024P70"/>
    <s v="UN"/>
    <n v="712"/>
    <n v="18.647961786293347"/>
    <n v="13277.348791840863"/>
    <x v="1"/>
  </r>
  <r>
    <s v="007"/>
    <s v="MPA"/>
    <s v="400M1609"/>
    <s v="BAC M16 NOIR PO C102 B01 AVEC LISTEAUX 20891039B7"/>
    <s v="UN"/>
    <n v="60"/>
    <n v="14.21146013360571"/>
    <n v="852.68760801634266"/>
    <x v="1"/>
  </r>
  <r>
    <s v="007"/>
    <s v="MPA"/>
    <s v="400M1612"/>
    <s v="BAC M16 NOIR BAC 12/210 TYPE C(monbaT)"/>
    <s v="UN"/>
    <n v="100"/>
    <n v="12.246265453746195"/>
    <n v="1224.6265453746196"/>
    <x v="1"/>
  </r>
  <r>
    <s v="007"/>
    <s v="MPA"/>
    <s v="400N5003"/>
    <s v="BAC N50 P0 C40 NOIR A LISTEAUX MONBAT"/>
    <s v="UN"/>
    <n v="3861"/>
    <n v="8.2255219304087159"/>
    <n v="31758.740173308051"/>
    <x v="1"/>
  </r>
  <r>
    <s v="007"/>
    <s v="MPA"/>
    <s v="400N7002"/>
    <s v="BAC N70 P0 C46,5 B01 NOIR 200541"/>
    <s v="UN"/>
    <n v="3471"/>
    <n v="8.3328387556776438"/>
    <n v="28923.2833209571"/>
    <x v="1"/>
  </r>
  <r>
    <s v="007"/>
    <s v="MPA"/>
    <s v="400NAT002"/>
    <s v="BAC NATO NOIR P11.6 25321006B70"/>
    <s v="UN"/>
    <n v="384"/>
    <n v="6.8624613913190524"/>
    <n v="2635.1851742665162"/>
    <x v="1"/>
  </r>
  <r>
    <s v="007"/>
    <s v="MPA"/>
    <s v="400NAT003"/>
    <s v="BAC NATO AGM GRIS P0 27581004B70"/>
    <s v="UN"/>
    <n v="104"/>
    <n v="36.09955101660929"/>
    <n v="3754.3533057273662"/>
    <x v="1"/>
  </r>
  <r>
    <s v="007"/>
    <s v="MPA"/>
    <s v="400NS4002"/>
    <s v="BAC NS40 P0 NOIR SANS LISTEAUX 27181001B70"/>
    <s v="UN"/>
    <n v="800"/>
    <n v="5.2865873581565594"/>
    <n v="4229.2698865252478"/>
    <x v="1"/>
  </r>
  <r>
    <s v="007"/>
    <s v="MPA"/>
    <s v="400NS4003"/>
    <s v="BAC NS40 P0 NOIR V250 LISTEAUX KOREAN 2B221014B70"/>
    <s v="UN"/>
    <n v="3000"/>
    <n v="5.6790230360969103"/>
    <n v="17037.069108290732"/>
    <x v="1"/>
  </r>
  <r>
    <s v="007"/>
    <s v="MPA"/>
    <s v="400NS6002"/>
    <s v="BAC NS60 P0 C34 NOIR 27251002B74"/>
    <s v="UN"/>
    <n v="1991"/>
    <n v="5.854190761007608"/>
    <n v="11655.693805166147"/>
    <x v="1"/>
  </r>
  <r>
    <s v="007"/>
    <s v="MPA"/>
    <s v="420B9002"/>
    <s v="COUVB90 COMPACT DROITE NOIR 34922028B70"/>
    <s v="UN"/>
    <n v="268"/>
    <n v="7.1624044123330366"/>
    <n v="1919.5243825052537"/>
    <x v="1"/>
  </r>
  <r>
    <s v="007"/>
    <s v="MPA"/>
    <s v="420D2303"/>
    <s v="COUV D23 T-AKUMSAN D+ NOIR 301598"/>
    <s v="UN"/>
    <n v="229"/>
    <n v="4.5909629006197479"/>
    <n v="1051.3305042419222"/>
    <x v="1"/>
  </r>
  <r>
    <s v="007"/>
    <s v="MPA"/>
    <s v="420D2304"/>
    <s v="COUV D23 T-AKUMSAN D+ NOIR AVEC OM"/>
    <s v="UN"/>
    <n v="4000"/>
    <n v="4.4719410869346516"/>
    <n v="17887.764347738608"/>
    <x v="1"/>
  </r>
  <r>
    <s v="007"/>
    <s v="MPA"/>
    <s v="420D2305"/>
    <s v="COUV D23 T-AKUMSAN G+ NOIR AVEC OM"/>
    <s v="UN"/>
    <n v="2502"/>
    <n v="4.4514939447333353"/>
    <n v="11137.637849722805"/>
    <x v="1"/>
  </r>
  <r>
    <s v="007"/>
    <s v="MPA"/>
    <s v="420E0201"/>
    <s v="COUV.E2 GAUCHE OPAQUE GRANDE BUSELURE .150"/>
    <s v="UN"/>
    <n v="33"/>
    <n v="1.8058866423822733"/>
    <n v="59.594259198615021"/>
    <x v="1"/>
  </r>
  <r>
    <s v="007"/>
    <s v="MPA"/>
    <s v="420E0202"/>
    <s v="COUV.E2 GAUCHE OPAQUE PETITE BUSELURE .153"/>
    <s v="UN"/>
    <n v="100"/>
    <n v="1.6838572466932886"/>
    <n v="168.38572466932885"/>
    <x v="1"/>
  </r>
  <r>
    <s v="007"/>
    <s v="MPA"/>
    <s v="420E0209"/>
    <s v="COUV.E2 BUS 153 DROITE OPAQUE"/>
    <s v="UN"/>
    <n v="166"/>
    <n v="1.7375056995890412"/>
    <n v="288.42594613178085"/>
    <x v="1"/>
  </r>
  <r>
    <s v="007"/>
    <s v="MPA"/>
    <s v="420E0210"/>
    <s v="COUV E2 DROITE NOIR BUS.153 36862004B70"/>
    <s v="UN"/>
    <n v="2400"/>
    <n v="3.1509544104832674"/>
    <n v="7562.2905851598416"/>
    <x v="1"/>
  </r>
  <r>
    <s v="007"/>
    <s v="MPA"/>
    <s v="420E0211"/>
    <s v="COUV E2 GAUCHE NOIR BUS.153"/>
    <s v="UN"/>
    <n v="600"/>
    <n v="3.1509544104832674"/>
    <n v="1890.5726462899604"/>
    <x v="1"/>
  </r>
  <r>
    <s v="007"/>
    <s v="MPA"/>
    <s v="420L0106"/>
    <s v="COUV L1 KAM  G NOIR 25032100B70"/>
    <s v="UN"/>
    <n v="126"/>
    <n v="3.587914531954393"/>
    <n v="452.07723102625351"/>
    <x v="1"/>
  </r>
  <r>
    <s v="007"/>
    <s v="MPA"/>
    <s v="420L0109"/>
    <s v="COUV L1 KAM  D GRIS 25032083B70"/>
    <s v="UN"/>
    <n v="112"/>
    <n v="3.6576161250341985"/>
    <n v="409.65300600383023"/>
    <x v="1"/>
  </r>
  <r>
    <s v="007"/>
    <s v="MPA"/>
    <s v="420L0111"/>
    <s v="COUV L1 EK DROITE NOIR 25032084B70"/>
    <s v="UN"/>
    <n v="7493"/>
    <n v="4.0436779169907302"/>
    <n v="30299.278632011541"/>
    <x v="1"/>
  </r>
  <r>
    <s v="007"/>
    <s v="MPA"/>
    <s v="420L0113"/>
    <s v="COUV L1 EK D+ ROUGE 25032103B70"/>
    <s v="UN"/>
    <n v="5208"/>
    <n v="4.0455078400798747"/>
    <n v="21069.004831135986"/>
    <x v="1"/>
  </r>
  <r>
    <s v="007"/>
    <s v="MPA"/>
    <s v="420L0123"/>
    <s v="COUV COUVERCLE L1 44T10 AKUM"/>
    <s v="UN"/>
    <n v="182"/>
    <n v="0.24200000000000002"/>
    <n v="44.044000000000004"/>
    <x v="1"/>
  </r>
  <r>
    <s v="007"/>
    <s v="MPA"/>
    <s v="420L0131"/>
    <s v="COUV L1 EK D NOIR FAI 25032008D40"/>
    <s v="UN"/>
    <n v="414"/>
    <n v="4.8445442390232882"/>
    <n v="2005.6413149556413"/>
    <x v="1"/>
  </r>
  <r>
    <s v="007"/>
    <s v="MPA"/>
    <s v="420L0139"/>
    <s v="COUV L1 EK G NOIR FAI 25032110B70"/>
    <s v="UN"/>
    <n v="774"/>
    <n v="4.07"/>
    <n v="3150.1800000000003"/>
    <x v="1"/>
  </r>
  <r>
    <s v="007"/>
    <s v="MPA"/>
    <s v="420L0140"/>
    <s v="COUV L1 EK D NOIR RS 24802027B70"/>
    <s v="UN"/>
    <n v="51"/>
    <n v="5.2794782884201883"/>
    <n v="269.25339270942959"/>
    <x v="1"/>
  </r>
  <r>
    <s v="007"/>
    <s v="MPA"/>
    <s v="420L0142"/>
    <s v="COUV L1 T-AKUMSAN D+ NOIR AVEC OM"/>
    <s v="UN"/>
    <n v="2560"/>
    <n v="4.6089807827158351"/>
    <n v="11798.990803752538"/>
    <x v="1"/>
  </r>
  <r>
    <s v="007"/>
    <s v="MPA"/>
    <s v="420L0145"/>
    <s v="COUV L1 SMF G+ NOIR AVEC OM"/>
    <s v="UN"/>
    <n v="449"/>
    <n v="4.803858124576502"/>
    <n v="2156.9322979348494"/>
    <x v="1"/>
  </r>
  <r>
    <s v="007"/>
    <s v="MPA"/>
    <s v="420L0147"/>
    <s v="COUV L1 SMF D+ NOIR AVEC OM +37"/>
    <s v="UN"/>
    <n v="3911"/>
    <n v="4.4099669915444535"/>
    <n v="17247.380903930356"/>
    <x v="1"/>
  </r>
  <r>
    <s v="007"/>
    <s v="MPA"/>
    <s v="420L0216"/>
    <s v="COUV L2 EK DROITE ROUGE 24582156B70"/>
    <s v="UN"/>
    <n v="6432"/>
    <n v="4.3893574056383295"/>
    <n v="28232.346833065734"/>
    <x v="1"/>
  </r>
  <r>
    <s v="007"/>
    <s v="MPA"/>
    <s v="420L0217"/>
    <s v="COUV L2 EK G NOIR 24582123P70"/>
    <s v="UN"/>
    <n v="2751"/>
    <n v="4.3222877881831794"/>
    <n v="11890.613705291926"/>
    <x v="1"/>
  </r>
  <r>
    <s v="007"/>
    <s v="MPA"/>
    <s v="420L0228"/>
    <s v="COUV L2 EK DROITE NOIR 24582125P70"/>
    <s v="UN"/>
    <n v="9126"/>
    <n v="4.3236851050961489"/>
    <n v="39457.950269107452"/>
    <x v="1"/>
  </r>
  <r>
    <s v="007"/>
    <s v="MPA"/>
    <s v="420L0235"/>
    <s v="COUVERCLE  L2 GAUCHE NOIR P GRIS T-AKUMSAN 301456"/>
    <s v="UN"/>
    <n v="271"/>
    <n v="4.9036150838996004"/>
    <n v="1328.8796877367918"/>
    <x v="1"/>
  </r>
  <r>
    <s v="007"/>
    <s v="MPA"/>
    <s v="420L0236"/>
    <s v="COUVERCLE  L2 NOIR P NOIR T-AKUMSAN 301072"/>
    <s v="UN"/>
    <n v="1435"/>
    <n v="3.2293108743729602"/>
    <n v="4634.0611047251978"/>
    <x v="1"/>
  </r>
  <r>
    <s v="007"/>
    <s v="MPA"/>
    <s v="420L0241"/>
    <s v="COUV L2 EK D GRIS28G KAPPA POIGNEE ROUGE 2C442009"/>
    <s v="UN"/>
    <n v="384"/>
    <n v="5.5569070193330568"/>
    <n v="2133.8522954238938"/>
    <x v="1"/>
  </r>
  <r>
    <s v="007"/>
    <s v="MPA"/>
    <s v="420L0243"/>
    <s v="COUV L2 T-AKUMSAN D+ NOIR AVEC OM"/>
    <s v="UN"/>
    <n v="3500"/>
    <n v="4.8250600596433681"/>
    <n v="16887.710208751789"/>
    <x v="1"/>
  </r>
  <r>
    <s v="007"/>
    <s v="MPA"/>
    <s v="420L0245"/>
    <s v="COUV L2 SMF NOIR D+ AVEC OM +37"/>
    <s v="UN"/>
    <n v="13167"/>
    <n v="4.535083835994218"/>
    <n v="59713.448868535866"/>
    <x v="1"/>
  </r>
  <r>
    <s v="007"/>
    <s v="MPA"/>
    <s v="420L0307"/>
    <s v="COUV. L3 EURO KAM DROITE NOIR 21152167B70"/>
    <s v="UN"/>
    <n v="14366"/>
    <n v="5.1094136548213882"/>
    <n v="73401.836565164063"/>
    <x v="1"/>
  </r>
  <r>
    <s v="007"/>
    <s v="MPA"/>
    <s v="420L0327"/>
    <s v="COUVERCLE L3 NOIR P NOIR T-AKUMSAN 301073"/>
    <s v="UN"/>
    <n v="35"/>
    <n v="6.2201157594826944"/>
    <n v="217.7040515818943"/>
    <x v="1"/>
  </r>
  <r>
    <s v="007"/>
    <s v="MPA"/>
    <s v="420L0338"/>
    <s v="COUV L3 D NOIR MFP 25972028P70"/>
    <s v="UN"/>
    <n v="29"/>
    <n v="5.5717188019478296"/>
    <n v="161.57984525648706"/>
    <x v="1"/>
  </r>
  <r>
    <s v="007"/>
    <s v="MPA"/>
    <s v="420L0340"/>
    <s v="COUV L3 EK D NOIR RS 24822022B70"/>
    <s v="UN"/>
    <n v="44"/>
    <n v="6.8493448357360753"/>
    <n v="301.3711727723873"/>
    <x v="1"/>
  </r>
  <r>
    <s v="007"/>
    <s v="MPA"/>
    <s v="420L0343"/>
    <s v="COUV L3  T-AKUMSAN D+ NOIR AVEC OM"/>
    <s v="UN"/>
    <n v="2740"/>
    <n v="5.0414773035907157"/>
    <n v="13813.64781183856"/>
    <x v="1"/>
  </r>
  <r>
    <s v="007"/>
    <s v="MPA"/>
    <s v="420L0345"/>
    <s v="COUV L3 SMF NOIR D+ AVEC  OM +37"/>
    <s v="UN"/>
    <n v="2629"/>
    <n v="4.689254383144843"/>
    <n v="12328.049773287792"/>
    <x v="1"/>
  </r>
  <r>
    <s v="007"/>
    <s v="MPA"/>
    <s v="420L0404"/>
    <s v="COUV L4 EK DROITE NOIR 21092099B70"/>
    <s v="UN"/>
    <n v="1520"/>
    <n v="5.9459098552887735"/>
    <n v="9037.7829800389354"/>
    <x v="1"/>
  </r>
  <r>
    <s v="007"/>
    <s v="MPA"/>
    <s v="420L0507"/>
    <s v="COUV. L5 EK DROITE NOIR 21162166B70"/>
    <s v="UN"/>
    <n v="320"/>
    <n v="5.2384684435120272"/>
    <n v="1676.3099019238487"/>
    <x v="1"/>
  </r>
  <r>
    <s v="007"/>
    <s v="MPA"/>
    <s v="420L0518"/>
    <s v="COUV COUVERCLE L5 88T10 AKUM"/>
    <s v="UN"/>
    <n v="699"/>
    <n v="0.45100000000000001"/>
    <n v="315.24900000000002"/>
    <x v="1"/>
  </r>
  <r>
    <s v="007"/>
    <s v="MPA"/>
    <s v="420L0521"/>
    <s v="COUV L5 KAM D GRIS 21162177B70"/>
    <s v="UN"/>
    <n v="27"/>
    <n v="6.4735627942378278"/>
    <n v="174.78619544442134"/>
    <x v="1"/>
  </r>
  <r>
    <s v="007"/>
    <s v="MPA"/>
    <s v="420L0523"/>
    <s v="COUVERCLE L5 NOIR P NOIR T-AKUMSAN 301074"/>
    <s v="UN"/>
    <n v="862"/>
    <n v="4.2218079140908236"/>
    <n v="3639.1984219462897"/>
    <x v="1"/>
  </r>
  <r>
    <s v="007"/>
    <s v="MPA"/>
    <s v="420L0525"/>
    <s v="COUV L5 D+ NOIR GEL"/>
    <s v="UN"/>
    <n v="127"/>
    <n v="3.6604320471050991"/>
    <n v="464.8748699823476"/>
    <x v="1"/>
  </r>
  <r>
    <s v="007"/>
    <s v="MPA"/>
    <s v="420L0542"/>
    <s v="COUV L5 T-AKUMSAN D+ NOIR AVEC OM"/>
    <s v="UN"/>
    <n v="918"/>
    <n v="5.0516859086628108"/>
    <n v="4637.4476641524607"/>
    <x v="1"/>
  </r>
  <r>
    <s v="007"/>
    <s v="MPA"/>
    <s v="420L0543"/>
    <s v="COUV L5 SMF D+ NOIR AVEC OM"/>
    <s v="UN"/>
    <n v="996"/>
    <n v="5.3911014135882356"/>
    <n v="5369.5370079338827"/>
    <x v="1"/>
  </r>
  <r>
    <s v="007"/>
    <s v="MPA"/>
    <s v="420L0545"/>
    <s v="COUV L5 SMF D+ NOIR AVEC OM +37"/>
    <s v="UN"/>
    <n v="1782"/>
    <n v="5.0558064198649921"/>
    <n v="9009.4470401994167"/>
    <x v="1"/>
  </r>
  <r>
    <s v="007"/>
    <s v="MPA"/>
    <s v="420L0631"/>
    <s v="COUV L6 EK D NOIR FAI 24132015B70"/>
    <s v="UN"/>
    <n v="32"/>
    <n v="9.0035729357088083"/>
    <n v="288.11433394268187"/>
    <x v="1"/>
  </r>
  <r>
    <s v="007"/>
    <s v="MPA"/>
    <s v="420M1014"/>
    <s v="COUV M10 G FLAT NOIR 22462007B70"/>
    <s v="UN"/>
    <n v="7840"/>
    <n v="3.1402019961046164"/>
    <n v="24619.183649460192"/>
    <x v="1"/>
  </r>
  <r>
    <s v="007"/>
    <s v="MPA"/>
    <s v="420M1016"/>
    <s v="COUV M10 +D NOIR POIGNEE NOIR AKU 300957"/>
    <s v="UN"/>
    <n v="241"/>
    <n v="4.0065036896362285"/>
    <n v="965.56738920233101"/>
    <x v="1"/>
  </r>
  <r>
    <s v="007"/>
    <s v="MPA"/>
    <s v="420M1017"/>
    <s v="COUV M10 D FLAT NOIR 22462004B70"/>
    <s v="UN"/>
    <n v="758"/>
    <n v="3.0321303557388903"/>
    <n v="2298.354809650079"/>
    <x v="1"/>
  </r>
  <r>
    <s v="007"/>
    <s v="MPA"/>
    <s v="420M1040"/>
    <s v="COUV M10 G NOIR RS 2D032002B70"/>
    <s v="UN"/>
    <n v="355"/>
    <n v="7.0411855665611025"/>
    <n v="2499.6208761291914"/>
    <x v="1"/>
  </r>
  <r>
    <s v="007"/>
    <s v="MPA"/>
    <s v="420M1041"/>
    <s v="COUV M10 D NOIR RS 2D032001B70"/>
    <s v="UN"/>
    <n v="105"/>
    <n v="7.1245275922579561"/>
    <n v="748.0753971870854"/>
    <x v="1"/>
  </r>
  <r>
    <s v="007"/>
    <s v="MPA"/>
    <s v="420M1125"/>
    <s v="COUV M11 G FLAT NOIR M18 22482045B70"/>
    <s v="UN"/>
    <n v="3977"/>
    <n v="3.7932290595826137"/>
    <n v="15085.671969960054"/>
    <x v="1"/>
  </r>
  <r>
    <s v="007"/>
    <s v="MPA"/>
    <s v="420M1126"/>
    <s v="COUV M11 D FLAT NOIR M18 22482044B70"/>
    <s v="UN"/>
    <n v="1790"/>
    <n v="3.8291108592534551"/>
    <n v="6854.1084380636848"/>
    <x v="1"/>
  </r>
  <r>
    <s v="007"/>
    <s v="MPA"/>
    <s v="420M1127"/>
    <s v="COUV M11/K FAI D+ NOIR 27712014B70"/>
    <s v="UN"/>
    <n v="394"/>
    <n v="4.0292730848688931"/>
    <n v="1587.5335954383438"/>
    <x v="1"/>
  </r>
  <r>
    <s v="007"/>
    <s v="MPA"/>
    <s v="420M1208"/>
    <s v="COUV.M12 GAUCHE NOIR AVEC BOUCHON 21822014B70"/>
    <s v="UN"/>
    <n v="2446"/>
    <n v="5.4119601166528746"/>
    <n v="13237.654445332932"/>
    <x v="1"/>
  </r>
  <r>
    <s v="007"/>
    <s v="MPA"/>
    <s v="420M1304"/>
    <s v="COUV M13 GAUCHE NOIR 20112022B70"/>
    <s v="UN"/>
    <n v="61"/>
    <n v="3.799210713387116"/>
    <n v="231.75185351661409"/>
    <x v="1"/>
  </r>
  <r>
    <s v="007"/>
    <s v="MPA"/>
    <s v="420M1406"/>
    <s v="COUV.M14 DROITE NOIR 35422092P70"/>
    <s v="UN"/>
    <n v="139"/>
    <n v="4.3210521017805297"/>
    <n v="600.6262421474936"/>
    <x v="1"/>
  </r>
  <r>
    <s v="007"/>
    <s v="MPA"/>
    <s v="420M1407"/>
    <s v="COUV.M14 GAUCHE NOIR 35422055P70"/>
    <s v="UN"/>
    <n v="65"/>
    <n v="4.6381336790317551"/>
    <n v="301.47868913706407"/>
    <x v="1"/>
  </r>
  <r>
    <s v="007"/>
    <s v="MPA"/>
    <s v="420M1413"/>
    <s v="COUV M14 GAUCHE GRIS 35422083B70"/>
    <s v="UN"/>
    <n v="2278"/>
    <n v="7.0219269199166785"/>
    <n v="15995.949523570194"/>
    <x v="1"/>
  </r>
  <r>
    <s v="007"/>
    <s v="MPA"/>
    <s v="420M1415"/>
    <s v="COUV M14 G DC NOIR 2B492010B70"/>
    <s v="UN"/>
    <n v="877"/>
    <n v="10.890478945301657"/>
    <n v="9550.950035029553"/>
    <x v="1"/>
  </r>
  <r>
    <s v="007"/>
    <s v="MPA"/>
    <s v="420M1416"/>
    <s v="LID12/140 TYPE A (monbat)"/>
    <s v="UN"/>
    <n v="140"/>
    <n v="4.4280281866652915"/>
    <n v="619.92394613314082"/>
    <x v="1"/>
  </r>
  <r>
    <s v="007"/>
    <s v="MPA"/>
    <s v="420M1502"/>
    <s v="COUV.M15 GAUCHE NOIR 35402026B70"/>
    <s v="UN"/>
    <n v="1664"/>
    <n v="6.5543579342593912"/>
    <n v="10906.451602607627"/>
    <x v="1"/>
  </r>
  <r>
    <s v="007"/>
    <s v="MPA"/>
    <s v="420M1504"/>
    <s v="COUV J15 DROITE OPAQUE"/>
    <s v="UN"/>
    <n v="32"/>
    <n v="3.4670000000000001"/>
    <n v="110.944"/>
    <x v="1"/>
  </r>
  <r>
    <s v="007"/>
    <s v="MPA"/>
    <s v="420M1515"/>
    <s v="COUV M15 GAUCHE GRIS 35402089B70"/>
    <s v="UN"/>
    <n v="1582"/>
    <n v="7.48506167831078"/>
    <n v="11841.367575087654"/>
    <x v="1"/>
  </r>
  <r>
    <s v="007"/>
    <s v="MPA"/>
    <s v="420M1516"/>
    <s v="COUV/K M15 GAUCHE NOIR 21932001P70"/>
    <s v="UN"/>
    <n v="163"/>
    <n v="8.9541844410378246"/>
    <n v="1459.5320638891653"/>
    <x v="1"/>
  </r>
  <r>
    <s v="007"/>
    <s v="MPA"/>
    <s v="420M1517"/>
    <s v="COUV M15 G DC NOIR 2B522019B70"/>
    <s v="UN"/>
    <n v="49"/>
    <n v="12.199833565124555"/>
    <n v="597.79184469110317"/>
    <x v="1"/>
  </r>
  <r>
    <s v="007"/>
    <s v="MPA"/>
    <s v="420M1518"/>
    <s v="COUV 12/165 TYPE B (monbat"/>
    <s v="UN"/>
    <n v="120"/>
    <n v="4.8431558291651617"/>
    <n v="581.17869949981946"/>
    <x v="1"/>
  </r>
  <r>
    <s v="007"/>
    <s v="MPA"/>
    <s v="420M1604"/>
    <s v="COUV. M16 GAUCHE NOIR 36352052D40"/>
    <s v="UN"/>
    <n v="1448"/>
    <n v="7.6451385138131265"/>
    <n v="11070.160568001407"/>
    <x v="1"/>
  </r>
  <r>
    <s v="007"/>
    <s v="MPA"/>
    <s v="420M1606"/>
    <s v="COUV. M16 DROITE NOIR 36352045B70"/>
    <s v="UN"/>
    <n v="92"/>
    <n v="4.8170351583590918"/>
    <n v="443.16723456903645"/>
    <x v="1"/>
  </r>
  <r>
    <s v="007"/>
    <s v="MPA"/>
    <s v="420M1611"/>
    <s v="COUV M16 GAUCHE GRIS 36352070B70"/>
    <s v="UN"/>
    <n v="692"/>
    <n v="8.5418546470319363"/>
    <n v="5910.9634157460996"/>
    <x v="1"/>
  </r>
  <r>
    <s v="007"/>
    <s v="MPA"/>
    <s v="420M1612"/>
    <s v="COUV/K M16 GAUCHE NOIR 22052001B70"/>
    <s v="UN"/>
    <n v="326"/>
    <n v="7.1065880653533515"/>
    <n v="2316.7477093051925"/>
    <x v="1"/>
  </r>
  <r>
    <s v="007"/>
    <s v="MPA"/>
    <s v="420M1613"/>
    <s v="COUV M16 G DC NOIR 2B552022B70"/>
    <s v="UN"/>
    <n v="752"/>
    <n v="12.9869196015842"/>
    <n v="9766.1635403913187"/>
    <x v="1"/>
  </r>
  <r>
    <s v="007"/>
    <s v="MPA"/>
    <s v="420M1616"/>
    <s v="COUVERCLE 12/210 TYP C (monbat)"/>
    <s v="UN"/>
    <n v="100"/>
    <n v="5.5004412631232924"/>
    <n v="550.04412631232924"/>
    <x v="1"/>
  </r>
  <r>
    <s v="007"/>
    <s v="MPA"/>
    <s v="420MAC110"/>
    <s v="COUV 110MAC DROITE NOIR 36951018B70"/>
    <s v="UN"/>
    <n v="134"/>
    <n v="5.3951399315746089"/>
    <n v="722.9487508309976"/>
    <x v="1"/>
  </r>
  <r>
    <s v="007"/>
    <s v="MPA"/>
    <s v="420MAC14301"/>
    <s v="COUV 143MAC/KAMINA G+ OPAQUE BUS13,2 20012036P70"/>
    <s v="UN"/>
    <n v="640"/>
    <n v="6.390525900598095"/>
    <n v="4089.9365763827809"/>
    <x v="1"/>
  </r>
  <r>
    <s v="007"/>
    <s v="MPA"/>
    <s v="420MAT13201"/>
    <s v="COUV. MAT132 DROITE NOIR"/>
    <s v="UN"/>
    <n v="484"/>
    <n v="3.2336327000489491"/>
    <n v="1565.0782268236915"/>
    <x v="1"/>
  </r>
  <r>
    <s v="007"/>
    <s v="MPA"/>
    <s v="420N5001"/>
    <s v="COUV N50 D+ TERMINAL:13 TYPE:D BUTTERFLY NOIR"/>
    <s v="UN"/>
    <n v="169"/>
    <n v="2.9343711995187785"/>
    <n v="495.90873271867355"/>
    <x v="1"/>
  </r>
  <r>
    <s v="007"/>
    <s v="MPA"/>
    <s v="420N5002"/>
    <s v="COUV N50 G+ TERMINAL:13 TYPE:D BUTTERFLY NOIR"/>
    <s v="UN"/>
    <n v="69"/>
    <n v="2.934371199518778"/>
    <n v="202.47161276679569"/>
    <x v="1"/>
  </r>
  <r>
    <s v="007"/>
    <s v="MPA"/>
    <s v="420N5003"/>
    <s v="COUV N50 T-AKUMSAN D+ NOIR 302712"/>
    <s v="UN"/>
    <n v="340"/>
    <n v="4.7065467692809513"/>
    <n v="1600.2259015555235"/>
    <x v="1"/>
  </r>
  <r>
    <s v="007"/>
    <s v="MPA"/>
    <s v="420N5005"/>
    <s v="COUV N50 T-AKUMSAN D+ NOIR AVEC OM"/>
    <s v="UN"/>
    <n v="3474"/>
    <n v="4.4630730216745906"/>
    <n v="15504.715677297529"/>
    <x v="1"/>
  </r>
  <r>
    <s v="007"/>
    <s v="MPA"/>
    <s v="420N5006"/>
    <s v="COUV N50 T-AKUMSAN G+ NOIR AVEC OM"/>
    <s v="UN"/>
    <n v="1579"/>
    <n v="4.4968846514170711"/>
    <n v="7100.580864587555"/>
    <x v="1"/>
  </r>
  <r>
    <s v="007"/>
    <s v="MPA"/>
    <s v="420N7005"/>
    <s v="COUV N70 T-AKUMSAN D+ NOIR AVEC OM"/>
    <s v="UN"/>
    <n v="2160"/>
    <n v="4.6824795990752524"/>
    <n v="10114.155934002545"/>
    <x v="1"/>
  </r>
  <r>
    <s v="007"/>
    <s v="MPA"/>
    <s v="420N7006"/>
    <s v="COUV N70 T-AKUMSAN  G+ NOIR AVEC OM"/>
    <s v="UN"/>
    <n v="1581"/>
    <n v="4.6826123881533972"/>
    <n v="7403.2101856705212"/>
    <x v="1"/>
  </r>
  <r>
    <s v="007"/>
    <s v="MPA"/>
    <s v="420NAT001"/>
    <s v="COUV. NATO OPAQUE B032 GRANDE BUSSELURE 32052001D"/>
    <s v="UN"/>
    <n v="252"/>
    <n v="3.7557741381350422"/>
    <n v="946.4550828100306"/>
    <x v="1"/>
  </r>
  <r>
    <s v="007"/>
    <s v="MPA"/>
    <s v="420NAT002"/>
    <s v="COUV. NATO NOIR B032 GRANDE BUSSELURE"/>
    <s v="UN"/>
    <n v="220"/>
    <n v="3.7910068628949665"/>
    <n v="834.02150983689262"/>
    <x v="1"/>
  </r>
  <r>
    <s v="007"/>
    <s v="MPA"/>
    <s v="420NAT003"/>
    <s v="COUV. NATO OPAQUE B031 PETITE BUSELURE 32052010B7"/>
    <s v="UN"/>
    <n v="416"/>
    <n v="3.5997570689072611"/>
    <n v="1497.4989406654206"/>
    <x v="1"/>
  </r>
  <r>
    <s v="007"/>
    <s v="MPA"/>
    <s v="420NAT004"/>
    <s v="COUV. NATO NOIR B031 PETITE BUSELURE 32052014B70"/>
    <s v="UN"/>
    <n v="258"/>
    <n v="3.6825427709029004"/>
    <n v="950.0960348929483"/>
    <x v="1"/>
  </r>
  <r>
    <s v="007"/>
    <s v="MPA"/>
    <s v="420NAT005"/>
    <s v="COUV NATO AGM GRIS PETITE BUSELURE 36832006B70"/>
    <s v="UN"/>
    <n v="110"/>
    <n v="14.521924566237061"/>
    <n v="1597.4117022860767"/>
    <x v="1"/>
  </r>
  <r>
    <s v="007"/>
    <s v="MPA"/>
    <s v="420NS4002"/>
    <s v="COUV NS40 D MFP NOIR PETITE BUSELURE 27342006B70"/>
    <s v="UN"/>
    <n v="201"/>
    <n v="5.5481160630178872"/>
    <n v="1115.1713286665954"/>
    <x v="1"/>
  </r>
  <r>
    <s v="007"/>
    <s v="MPA"/>
    <s v="420NS4003"/>
    <s v="COUV NS40 G MFP NOIR PETITE BUSELURE  27342011B70"/>
    <s v="UN"/>
    <n v="1208"/>
    <n v="6.061147378368406"/>
    <n v="7321.8660330690345"/>
    <x v="1"/>
  </r>
  <r>
    <s v="007"/>
    <s v="MPA"/>
    <s v="420NS4005"/>
    <s v="COUV NS40 D MFP NOIR GRANDE BUSELURE 27342001B70"/>
    <s v="UN"/>
    <n v="1497"/>
    <n v="6.1706129697112155"/>
    <n v="9237.4076156576903"/>
    <x v="1"/>
  </r>
  <r>
    <s v="007"/>
    <s v="MPA"/>
    <s v="420NS4006"/>
    <s v="COUV NS40 G MFP NOIR GRANDE BUSELURE 27342012B70"/>
    <s v="UN"/>
    <n v="112"/>
    <n v="5.9537973873009085"/>
    <n v="666.82530737770173"/>
    <x v="1"/>
  </r>
  <r>
    <s v="007"/>
    <s v="MPA"/>
    <s v="420NS4007"/>
    <s v="COUV NS40 D+ AVEC OM"/>
    <s v="UN"/>
    <n v="3314"/>
    <n v="3.7243101293343202"/>
    <n v="12342.363768613937"/>
    <x v="1"/>
  </r>
  <r>
    <s v="007"/>
    <s v="MPA"/>
    <s v="420NS4008"/>
    <s v="COUV NS40 G+ AVEC OM"/>
    <s v="UN"/>
    <n v="816"/>
    <n v="3.7259121124582602"/>
    <n v="3040.3442837659404"/>
    <x v="1"/>
  </r>
  <r>
    <s v="007"/>
    <s v="MPA"/>
    <s v="420NS6040"/>
    <s v="COUV NS60 D RS NOIR PETITE BUSLURE 27312007B70"/>
    <s v="UN"/>
    <n v="794"/>
    <n v="6.4336815331759523"/>
    <n v="5108.3431373417061"/>
    <x v="1"/>
  </r>
  <r>
    <s v="007"/>
    <s v="MPA"/>
    <s v="420NS6041"/>
    <s v="COUV NS60 D RS NOIR GRAND BUSLURE 27312005B70"/>
    <s v="UN"/>
    <n v="560"/>
    <n v="6.5476639429128749"/>
    <n v="3666.6918080312098"/>
    <x v="1"/>
  </r>
  <r>
    <s v="007"/>
    <s v="MPA"/>
    <s v="420NS6042"/>
    <s v="COUV NS60 D+  AVEC OM NOIR PETITE BORNE"/>
    <s v="UN"/>
    <n v="980"/>
    <n v="4.1031072880323141"/>
    <n v="4021.0451422716678"/>
    <x v="1"/>
  </r>
  <r>
    <s v="007"/>
    <s v="MPA"/>
    <s v="420NS6043"/>
    <s v="COUV NS60 G+  AVEC OM NOIR PETITE BORNE"/>
    <s v="UN"/>
    <n v="1092"/>
    <n v="3.9785766482005323"/>
    <n v="4344.6056998349814"/>
    <x v="1"/>
  </r>
  <r>
    <s v="007"/>
    <s v="MPA"/>
    <s v="420NS6044"/>
    <s v="COUV NS60 R+ AVEC OM akumsan GRAND BORNE"/>
    <s v="UN"/>
    <n v="1550"/>
    <n v="3.976761247413934"/>
    <n v="6163.9799334915979"/>
    <x v="1"/>
  </r>
  <r>
    <s v="007"/>
    <s v="MPA"/>
    <s v="430P0001"/>
    <s v="SEPARATEUR 123X1.0X0.25"/>
    <s v="M2"/>
    <n v="9842"/>
    <n v="3.1653547978026202"/>
    <n v="31153.421919973389"/>
    <x v="1"/>
  </r>
  <r>
    <s v="007"/>
    <s v="MPA"/>
    <s v="430P1001"/>
    <s v="SEPARATEUR LV 160X1.3X0.2"/>
    <s v="M2"/>
    <n v="2229"/>
    <n v="6.8234158705656993"/>
    <n v="15209.393975490944"/>
    <x v="1"/>
  </r>
  <r>
    <s v="007"/>
    <s v="MPA"/>
    <s v="430P1002"/>
    <s v="SEPARATEUR 162X1.0X0.175 FRQI-175A206"/>
    <s v="M2"/>
    <n v="30446"/>
    <n v="2.3766446035550297"/>
    <n v="72359.321599836432"/>
    <x v="1"/>
  </r>
  <r>
    <s v="007"/>
    <s v="MPA"/>
    <s v="430P1004"/>
    <s v="SEPARATEUR 162X1.2X0.175 FRQJ-175A225"/>
    <s v="M2"/>
    <n v="115620"/>
    <n v="2.5499392853000642"/>
    <n v="294823.98016639345"/>
    <x v="1"/>
  </r>
  <r>
    <s v="007"/>
    <s v="MPA"/>
    <s v="430P1022"/>
    <s v="SEPARATEUR 162X1.0X0.2 SEPARATOR CELL FORCE ULR"/>
    <s v="M2"/>
    <n v="13779"/>
    <n v="3.0112839398343723"/>
    <n v="41492.481406977815"/>
    <x v="1"/>
  </r>
  <r>
    <s v="007"/>
    <s v="MPA"/>
    <s v="430T19125"/>
    <s v="GAINE TUBULAIRE 6.2-19-125 AKB"/>
    <s v="UN"/>
    <n v="3325"/>
    <n v="0.67534447642341611"/>
    <n v="2245.5203841078587"/>
    <x v="1"/>
  </r>
  <r>
    <s v="007"/>
    <s v="MPA"/>
    <s v="430T21184"/>
    <s v="GAINE TUBULAIRE6.2 21 184 AKB"/>
    <s v="UN"/>
    <n v="5264"/>
    <n v="1.0793751893085692"/>
    <n v="5681.8309965203089"/>
    <x v="1"/>
  </r>
  <r>
    <s v="007"/>
    <s v="MPA"/>
    <s v="430T21258"/>
    <s v="GAINE TUBULAIRE 6.2 19 258"/>
    <s v="UN"/>
    <n v="3684"/>
    <n v="1.5132252167621694"/>
    <n v="5574.7216985518317"/>
    <x v="1"/>
  </r>
  <r>
    <s v="007"/>
    <s v="MPA"/>
    <s v="440B9002"/>
    <s v="RAMPE B90 COMPACT NOIR 2A233002B70"/>
    <s v="UN"/>
    <n v="2000"/>
    <n v="0.74569773950216922"/>
    <n v="1491.3954790043385"/>
    <x v="1"/>
  </r>
  <r>
    <s v="007"/>
    <s v="MPA"/>
    <s v="440M1001"/>
    <s v="RAMPE E2/M10 NOIR"/>
    <s v="UN"/>
    <n v="5000"/>
    <n v="0.16800000000000001"/>
    <n v="840"/>
    <x v="1"/>
  </r>
  <r>
    <s v="007"/>
    <s v="MPA"/>
    <s v="440M1101"/>
    <s v="RAMPE M11 NOIR"/>
    <s v="UN"/>
    <n v="2800"/>
    <n v="0.17177000000000001"/>
    <n v="480.95600000000002"/>
    <x v="1"/>
  </r>
  <r>
    <s v="007"/>
    <s v="MPA"/>
    <s v="450C0002"/>
    <s v="POIGNEE CORDE/ SUPPORT NOIR"/>
    <s v="UN"/>
    <n v="13000"/>
    <n v="0.45423024232466941"/>
    <n v="5904.9931502207019"/>
    <x v="1"/>
  </r>
  <r>
    <s v="007"/>
    <s v="MPA"/>
    <s v="450C0007"/>
    <s v="INSERT FIXATION POIGNEE COMPACT B90 NOIR"/>
    <s v="UN"/>
    <n v="14000"/>
    <n v="4.2423225523259056E-2"/>
    <n v="593.92515732562674"/>
    <x v="1"/>
  </r>
  <r>
    <s v="007"/>
    <s v="MPA"/>
    <s v="450L0101"/>
    <s v="POIGNEE COUV L2 FAI NOIR"/>
    <s v="UN"/>
    <n v="550"/>
    <n v="0.26982530896707219"/>
    <n v="148.4039199318897"/>
    <x v="1"/>
  </r>
  <r>
    <s v="007"/>
    <s v="MPA"/>
    <s v="460D1801"/>
    <s v="BOUCHON D18 NOIR PRESS"/>
    <s v="UN"/>
    <n v="8000"/>
    <n v="7.2081642607498053E-2"/>
    <n v="576.65314085998443"/>
    <x v="1"/>
  </r>
  <r>
    <s v="007"/>
    <s v="MPA"/>
    <s v="460d1810"/>
    <s v="BOUCHON KAMINA D18 ROUGE 24593044B72"/>
    <s v="UN"/>
    <n v="27800"/>
    <n v="0.12586663453850466"/>
    <n v="3499.0924401704297"/>
    <x v="1"/>
  </r>
  <r>
    <s v="007"/>
    <s v="MPA"/>
    <s v="460D1811"/>
    <s v="BOUCHON KAM D18 JAUNE 24593042d40"/>
    <s v="UN"/>
    <n v="126000"/>
    <n v="0.12030651236000431"/>
    <n v="15158.620557360542"/>
    <x v="1"/>
  </r>
  <r>
    <s v="007"/>
    <s v="MPA"/>
    <s v="460D1812"/>
    <s v="BOUCHON KAM D18 GRIS"/>
    <s v="UN"/>
    <n v="36000"/>
    <n v="9.9137774151080577E-2"/>
    <n v="3568.9598694389006"/>
    <x v="1"/>
  </r>
  <r>
    <s v="007"/>
    <s v="MPA"/>
    <s v="460d1815"/>
    <s v="BOUCHON D18 NOIR FILETAGE 29963006D40"/>
    <s v="UN"/>
    <n v="52000"/>
    <n v="0.11538675798219111"/>
    <n v="6000.1114150739377"/>
    <x v="1"/>
  </r>
  <r>
    <s v="007"/>
    <s v="MPA"/>
    <s v="460d1816"/>
    <s v="BOUCHON KAMINA D18 OPAQUE AKU"/>
    <s v="UN"/>
    <n v="8200"/>
    <n v="6.2E-2"/>
    <n v="508.4"/>
    <x v="1"/>
  </r>
  <r>
    <s v="007"/>
    <s v="MPA"/>
    <s v="460d1817"/>
    <s v="OIL MAGIQUE 40 MM AKUMSA"/>
    <s v="UN"/>
    <n v="1100"/>
    <n v="0.04"/>
    <n v="44"/>
    <x v="1"/>
  </r>
  <r>
    <s v="007"/>
    <s v="MPA"/>
    <s v="460D1818"/>
    <s v="BOUCHON D18 ROUGE FILETEE 29963003D40"/>
    <s v="UN"/>
    <n v="104000"/>
    <n v="0.12182541520774003"/>
    <n v="12669.843181604963"/>
    <x v="1"/>
  </r>
  <r>
    <s v="007"/>
    <s v="MPA"/>
    <s v="460D1819"/>
    <s v="BOUCHON D18 JAUNE FILETEE 29963002D40"/>
    <s v="UN"/>
    <n v="39000"/>
    <n v="9.294162627161931E-2"/>
    <n v="3624.7234245931531"/>
    <x v="1"/>
  </r>
  <r>
    <s v="007"/>
    <s v="MPA"/>
    <s v="460D1822"/>
    <s v="BOUCHON D18 BLEU FILETAGE POUR GAMME M"/>
    <s v="UN"/>
    <n v="13000"/>
    <n v="0.45058882505142306"/>
    <n v="5857.6547256684999"/>
    <x v="1"/>
  </r>
  <r>
    <s v="007"/>
    <s v="MPA"/>
    <s v="460D1824"/>
    <s v="BOUCHON 7/8 NOIR NATO"/>
    <s v="UN"/>
    <n v="4000"/>
    <n v="0.45058882505142306"/>
    <n v="1802.3553002056922"/>
    <x v="1"/>
  </r>
  <r>
    <s v="007"/>
    <s v="MPA"/>
    <s v="460D1825"/>
    <s v="BOUCHON M18 NOIR NON DEV 28463007P70"/>
    <s v="UN"/>
    <n v="71500"/>
    <n v="0.20857667735914859"/>
    <n v="14913.232431179124"/>
    <x v="1"/>
  </r>
  <r>
    <s v="007"/>
    <s v="MPA"/>
    <s v="460D1828"/>
    <s v="OEIL MAGIQUE S2-A2  D=22,9mm M=20,77mm L=68m"/>
    <s v="UN"/>
    <n v="36960"/>
    <n v="1.0299507058430681"/>
    <n v="38066.978087959797"/>
    <x v="1"/>
  </r>
  <r>
    <s v="007"/>
    <s v="MPA"/>
    <s v="460D1830"/>
    <s v="BOUCHON D18 ROUGE PRESS"/>
    <s v="UN"/>
    <n v="6000"/>
    <n v="7.2081642607498053E-2"/>
    <n v="432.48985564498832"/>
    <x v="1"/>
  </r>
  <r>
    <s v="007"/>
    <s v="MPA"/>
    <s v="460D1836"/>
    <s v="BOUCHON KAMINA D18 NOIR AVEC JOINT"/>
    <s v="UN"/>
    <n v="230500"/>
    <n v="0.11979794529420783"/>
    <n v="27613.426390314904"/>
    <x v="1"/>
  </r>
  <r>
    <s v="007"/>
    <s v="MPA"/>
    <s v="460D1838"/>
    <s v="OEIL M. S2-A2  D=22,9mm M=20,77mm L=57,7mm"/>
    <s v="UN"/>
    <n v="40000"/>
    <n v="1.2058452589383868"/>
    <n v="48233.810357535469"/>
    <x v="1"/>
  </r>
  <r>
    <s v="007"/>
    <s v="MPA"/>
    <s v="460D1839"/>
    <s v="BOUCHON M18 RS\21 NOIR 28533013B72 NON DEVISSABLE"/>
    <s v="UN"/>
    <n v="82500"/>
    <n v="0.3353815087095105"/>
    <n v="27668.974468534616"/>
    <x v="1"/>
  </r>
  <r>
    <s v="007"/>
    <s v="MPA"/>
    <s v="460D1840"/>
    <s v="BOUCHON M18 GRIS28G NON DEV 2B353005B72"/>
    <s v="UN"/>
    <n v="104000"/>
    <n v="0.12701501758475559"/>
    <n v="13209.561828814582"/>
    <x v="1"/>
  </r>
  <r>
    <s v="007"/>
    <s v="MPA"/>
    <s v="460D1842"/>
    <s v="BOUCHON NATO AGM 27883006D40"/>
    <s v="UN"/>
    <n v="2300"/>
    <n v="0.93449681548994601"/>
    <n v="2149.3426756268759"/>
    <x v="1"/>
  </r>
  <r>
    <s v="007"/>
    <s v="MPA"/>
    <s v="460D1843"/>
    <s v="Magic eye 19.16 / 72.3 MM (P) L1-L5 HH"/>
    <s v="UN"/>
    <n v="17000"/>
    <n v="0.45292966504642573"/>
    <n v="7699.8043057892373"/>
    <x v="1"/>
  </r>
  <r>
    <s v="007"/>
    <s v="MPA"/>
    <s v="460D1844"/>
    <s v="Magic eye 19.16 / 65.3 MM (W) SMF L1-L5"/>
    <s v="UN"/>
    <n v="6000"/>
    <n v="0.43461986317072959"/>
    <n v="2607.7191790243774"/>
    <x v="1"/>
  </r>
  <r>
    <s v="007"/>
    <s v="MPA"/>
    <s v="460D1845"/>
    <s v="Magic eye  19.16 / 60 MM (X &amp; W) B1-B5 SMF &amp; JIS"/>
    <s v="UN"/>
    <n v="10500"/>
    <n v="0.50005156797129557"/>
    <n v="5250.5414636986034"/>
    <x v="1"/>
  </r>
  <r>
    <s v="007"/>
    <s v="MPA"/>
    <s v="460D1846"/>
    <s v="BOUCHON D18 NOIR  KAMINA SS JOINT HEAD +"/>
    <s v="UN"/>
    <n v="152500"/>
    <n v="9.7537290075823582E-2"/>
    <n v="14874.436736563097"/>
    <x v="1"/>
  </r>
  <r>
    <s v="007"/>
    <s v="MPA"/>
    <s v="460D2101"/>
    <s v="BOUCHON PRESSION D21 NOIR MFP"/>
    <s v="UN"/>
    <n v="53000"/>
    <n v="8.9777293041835862E-2"/>
    <n v="4758.1965312173006"/>
    <x v="1"/>
  </r>
  <r>
    <s v="007"/>
    <s v="MPA"/>
    <s v="460D2205"/>
    <s v="BOUCHON M22 D NOIR POUR N50 ET N70"/>
    <s v="UN"/>
    <n v="8000"/>
    <n v="5.0160191444765453E-2"/>
    <n v="401.28153155812362"/>
    <x v="1"/>
  </r>
  <r>
    <s v="007"/>
    <s v="MPA"/>
    <s v="460D2702"/>
    <s v="BOUCHON D27 NOIR"/>
    <s v="UN"/>
    <n v="9000"/>
    <n v="5.8254564271935781E-2"/>
    <n v="524.29107844742202"/>
    <x v="1"/>
  </r>
  <r>
    <s v="007"/>
    <s v="MPA"/>
    <s v="460D2709"/>
    <s v="BOUCHON D27 ROUGE 39153003B70"/>
    <s v="UN"/>
    <n v="27000"/>
    <n v="0.17441023280505299"/>
    <n v="4709.0762857364307"/>
    <x v="1"/>
  </r>
  <r>
    <s v="007"/>
    <s v="MPA"/>
    <s v="460D2710"/>
    <s v="BOUCHON D27 JAUNE"/>
    <s v="UN"/>
    <n v="51000"/>
    <n v="0.11390237598642186"/>
    <n v="5809.0211753075146"/>
    <x v="1"/>
  </r>
  <r>
    <s v="007"/>
    <s v="MPA"/>
    <s v="460D2711"/>
    <s v="BOUCHON D27 BLEU"/>
    <s v="UN"/>
    <n v="3000"/>
    <n v="0.12113679143797371"/>
    <n v="363.41037431392112"/>
    <x v="1"/>
  </r>
  <r>
    <s v="007"/>
    <s v="MPA"/>
    <s v="490A0002"/>
    <s v="ADAPTATEUR JIS/DIN + POUR NS40 0013200"/>
    <s v="UN"/>
    <n v="1500"/>
    <n v="1.5958152173460487"/>
    <n v="2393.7228260190732"/>
    <x v="1"/>
  </r>
  <r>
    <s v="007"/>
    <s v="MPA"/>
    <s v="490A0003"/>
    <s v="ADAPTATEUR JIS/DIN - POUR NS40 0013201"/>
    <s v="UN"/>
    <n v="1500"/>
    <n v="1.5899074534561188"/>
    <n v="2384.8611801841785"/>
    <x v="1"/>
  </r>
  <r>
    <s v="007"/>
    <s v="MPA"/>
    <s v="490B0006"/>
    <s v="COUVRE BORNE D+ NOIR COUV DR - 32163005D40"/>
    <s v="UN"/>
    <n v="4400"/>
    <n v="0.30656946187705758"/>
    <n v="1348.9056322590534"/>
    <x v="1"/>
  </r>
  <r>
    <s v="007"/>
    <s v="MPA"/>
    <s v="490B0007"/>
    <s v="COUVRE BORNE G- NOIR COUV DR - 2B233004D40"/>
    <s v="UN"/>
    <n v="4500"/>
    <n v="0.31121829529102618"/>
    <n v="1400.4823288096179"/>
    <x v="1"/>
  </r>
  <r>
    <s v="007"/>
    <s v="MPA"/>
    <s v="490B0008"/>
    <s v="COUVRE BORNE G+ NOIR COUVERCLE GAUCHE"/>
    <s v="UN"/>
    <n v="1650"/>
    <n v="0.19247513901472693"/>
    <n v="317.58397937429942"/>
    <x v="1"/>
  </r>
  <r>
    <s v="007"/>
    <s v="MPA"/>
    <s v="490B0009"/>
    <s v="COUVRE BORNE D- NOIR COUVRECLE GAUCHE"/>
    <s v="UN"/>
    <n v="550"/>
    <n v="0.19247513901472693"/>
    <n v="105.86132645809981"/>
    <x v="1"/>
  </r>
  <r>
    <s v="007"/>
    <s v="MPA"/>
    <s v="490b0011"/>
    <s v="CACHE BORNE POS. ROUGE POULIE"/>
    <s v="UN"/>
    <n v="38500"/>
    <n v="3.894817091860367E-2"/>
    <n v="1499.5045803662413"/>
    <x v="1"/>
  </r>
  <r>
    <s v="007"/>
    <s v="MPA"/>
    <s v="490B0012"/>
    <s v="CACHE BORNE NEG.BLANC POULIE"/>
    <s v="UN"/>
    <n v="21000"/>
    <n v="2.9152998195158684E-2"/>
    <n v="612.21296209833235"/>
    <x v="1"/>
  </r>
  <r>
    <s v="007"/>
    <s v="MPA"/>
    <s v="490B0013"/>
    <s v="CACHE BORNE ROUGE &quot; + &quot; B. 153 POULIE"/>
    <s v="UN"/>
    <n v="3500"/>
    <n v="6.8229999999999999E-2"/>
    <n v="238.80500000000001"/>
    <x v="1"/>
  </r>
  <r>
    <s v="007"/>
    <s v="MPA"/>
    <s v="490B0014"/>
    <s v="CACHE BORNE BLANCHE &quot; -&quot; B.  153 POULIE"/>
    <s v="UN"/>
    <n v="3500"/>
    <n v="7.4069999999999997E-2"/>
    <n v="259.245"/>
    <x v="1"/>
  </r>
  <r>
    <s v="007"/>
    <s v="MPA"/>
    <s v="490b0016"/>
    <s v="CACHE BORNE NEG. BLEU POULIE"/>
    <s v="UN"/>
    <n v="31500"/>
    <n v="0.02"/>
    <n v="630"/>
    <x v="1"/>
  </r>
  <r>
    <s v="007"/>
    <s v="MPA"/>
    <s v="490B0017"/>
    <s v="CACHE BORNE NEG. NOIR POULIE"/>
    <s v="UN"/>
    <n v="35000"/>
    <n v="2.9920898765432101E-2"/>
    <n v="1047.2314567901235"/>
    <x v="1"/>
  </r>
  <r>
    <s v="007"/>
    <s v="MPA"/>
    <s v="490B0019"/>
    <s v="COUVRE BORNE R+ VERT SMF LIDS"/>
    <s v="UN"/>
    <n v="11500"/>
    <n v="0.20321989343556637"/>
    <n v="2337.0287745090131"/>
    <x v="1"/>
  </r>
  <r>
    <s v="007"/>
    <s v="MPA"/>
    <s v="490B0020"/>
    <s v="COUVRE BORNE L- VERT SMF LIDS"/>
    <s v="UN"/>
    <n v="12000"/>
    <n v="0.20230847523194981"/>
    <n v="2427.7017027833976"/>
    <x v="1"/>
  </r>
  <r>
    <s v="007"/>
    <s v="MPA"/>
    <s v="490B0021"/>
    <s v="COUVRE BORNE R+ BLEU SMF LIDS"/>
    <s v="UN"/>
    <n v="3500"/>
    <n v="0.5534376468067399"/>
    <n v="1937.0317638235897"/>
    <x v="1"/>
  </r>
  <r>
    <s v="007"/>
    <s v="MPA"/>
    <s v="490B0022"/>
    <s v="COUVRE BORNE L- BLEU SMF LIDS"/>
    <s v="UN"/>
    <n v="5500"/>
    <n v="0.54982663805230358"/>
    <n v="3024.0465092876698"/>
    <x v="1"/>
  </r>
  <r>
    <s v="007"/>
    <s v="MPA"/>
    <s v="490B0023"/>
    <s v="COUVRE BORNE L+ BLEU SMF LIDS"/>
    <s v="UN"/>
    <n v="1000"/>
    <n v="0.76890957509608171"/>
    <n v="768.90957509608165"/>
    <x v="1"/>
  </r>
  <r>
    <s v="007"/>
    <s v="MPA"/>
    <s v="490B0024"/>
    <s v="COUVRE BORNE R- BLEU SMF LIDS"/>
    <s v="UN"/>
    <n v="1500"/>
    <n v="0.7630457642971944"/>
    <n v="1144.5686464457915"/>
    <x v="1"/>
  </r>
  <r>
    <s v="007"/>
    <s v="MPA"/>
    <s v="490b0025"/>
    <s v="COUVRE BORNE R+ ROUGE SMF LIDS"/>
    <s v="UN"/>
    <n v="22000"/>
    <n v="0.16297568959053735"/>
    <n v="3585.4651709918217"/>
    <x v="1"/>
  </r>
  <r>
    <s v="007"/>
    <s v="MPA"/>
    <s v="490b0026"/>
    <s v="COUVRE BORNE L- NOIR SMF LIDS"/>
    <s v="UN"/>
    <n v="11000"/>
    <n v="0.1882655995028247"/>
    <n v="2070.9215945310716"/>
    <x v="1"/>
  </r>
  <r>
    <s v="007"/>
    <s v="MPA"/>
    <s v="490B0027"/>
    <s v="COUVRE BORNE R+ NOIR SMF LIDS"/>
    <s v="UN"/>
    <n v="11000"/>
    <n v="0.20633450960964342"/>
    <n v="2269.6796057060774"/>
    <x v="1"/>
  </r>
  <r>
    <s v="007"/>
    <s v="MPA"/>
    <s v="490c0001"/>
    <s v="CALE PLASTIC EP/4MM"/>
    <s v="UN"/>
    <n v="17400"/>
    <n v="6.8861855497382204E-2"/>
    <n v="1198.1962856544503"/>
    <x v="1"/>
  </r>
  <r>
    <s v="007"/>
    <s v="MPA"/>
    <s v="490C0002"/>
    <s v="CALE PLASTIC EP/6MM"/>
    <s v="UN"/>
    <n v="700"/>
    <n v="0.11899999999999998"/>
    <n v="83.299999999999983"/>
    <x v="1"/>
  </r>
  <r>
    <s v="007"/>
    <s v="MPA"/>
    <s v="490C0003"/>
    <s v="CALE PLASTIC EP/8,5MM"/>
    <s v="UN"/>
    <n v="40300"/>
    <n v="0.21493302998837036"/>
    <n v="8661.8011085313246"/>
    <x v="1"/>
  </r>
  <r>
    <s v="007"/>
    <s v="MPA"/>
    <s v="490C0010"/>
    <s v="BAGUE caoutchouc D22X15X10mm"/>
    <s v="UN"/>
    <n v="14500"/>
    <n v="0.24174015750057906"/>
    <n v="3505.2322837583965"/>
    <x v="1"/>
  </r>
  <r>
    <s v="007"/>
    <s v="MPA"/>
    <s v="490C0013"/>
    <s v="BAGUE D 17mm 10,5x10mm"/>
    <s v="UN"/>
    <n v="7750"/>
    <n v="0.15"/>
    <n v="1162.5"/>
    <x v="1"/>
  </r>
  <r>
    <s v="007"/>
    <s v="MPA"/>
    <s v="490C0015"/>
    <s v="CALE PAPILLON DIN NOIR POUR L1-L5 BAC"/>
    <s v="UN"/>
    <n v="39000"/>
    <n v="0.27298834526912963"/>
    <n v="10646.545465496056"/>
    <x v="1"/>
  </r>
  <r>
    <s v="007"/>
    <s v="MPA"/>
    <s v="490C0016"/>
    <s v="CALE PAPILLON JIS NOIR GAMME  ASIATIQUE"/>
    <s v="UN"/>
    <n v="25000"/>
    <n v="0.27468642448940533"/>
    <n v="6867.1606122351332"/>
    <x v="1"/>
  </r>
  <r>
    <s v="007"/>
    <s v="MPA"/>
    <s v="490C0017"/>
    <s v="INSERT 8 MM(monbat)"/>
    <s v="UN"/>
    <n v="300"/>
    <n v="0.3805336722915485"/>
    <n v="114.16010168746455"/>
    <x v="1"/>
  </r>
  <r>
    <s v="007"/>
    <s v="MPA"/>
    <s v="490C0018"/>
    <s v="INSERT 16 MM(monbat)"/>
    <s v="UN"/>
    <n v="300"/>
    <n v="0.44972161270819377"/>
    <n v="134.91648381245813"/>
    <x v="1"/>
  </r>
  <r>
    <s v="007"/>
    <s v="MPA"/>
    <s v="490C0019"/>
    <s v="INSERT 20 MM(monbat)"/>
    <s v="UN"/>
    <n v="300"/>
    <n v="0.48431558291651633"/>
    <n v="145.29467487495489"/>
    <x v="1"/>
  </r>
  <r>
    <s v="007"/>
    <s v="MPA"/>
    <s v="490C0020"/>
    <s v="INSERT 24 MM(monbat)"/>
    <s v="UN"/>
    <n v="300"/>
    <n v="0.51890955312483877"/>
    <n v="155.67286593745163"/>
    <x v="1"/>
  </r>
  <r>
    <s v="007"/>
    <s v="MPA"/>
    <s v="490C0021"/>
    <s v="INSERT 28 MM(monbat)"/>
    <s v="UN"/>
    <n v="300"/>
    <n v="0.51890955312483877"/>
    <n v="155.67286593745163"/>
    <x v="1"/>
  </r>
  <r>
    <s v="007"/>
    <s v="MPA"/>
    <s v="490C0022"/>
    <s v="INSERT 12 MM(monbat)"/>
    <s v="UN"/>
    <n v="300"/>
    <n v="0.41512764249987105"/>
    <n v="124.53829274996131"/>
    <x v="1"/>
  </r>
  <r>
    <s v="007"/>
    <s v="MPA"/>
    <s v="490C0023"/>
    <s v="INSERT 32 MM(monbat)"/>
    <s v="UN"/>
    <n v="300"/>
    <n v="0.65728543395812911"/>
    <n v="197.18563018743873"/>
    <x v="1"/>
  </r>
  <r>
    <s v="007"/>
    <s v="MPA"/>
    <s v="490D0001"/>
    <s v="DISPOSITIF ANTIDEFLAG. K"/>
    <s v="UN"/>
    <n v="25000"/>
    <n v="5.2999999999999999E-2"/>
    <n v="1325"/>
    <x v="1"/>
  </r>
  <r>
    <s v="007"/>
    <s v="MPA"/>
    <s v="490D0002"/>
    <s v="BOUCHON ANGULAIRE KAM"/>
    <s v="UN"/>
    <n v="31000"/>
    <n v="5.6416434286875206E-2"/>
    <n v="1748.9094628931314"/>
    <x v="1"/>
  </r>
  <r>
    <s v="007"/>
    <s v="MPA"/>
    <s v="490D0003"/>
    <s v="GOMITO COP. KAM"/>
    <s v="UN"/>
    <n v="28800"/>
    <n v="2.7019999999999995E-2"/>
    <n v="778.17599999999982"/>
    <x v="1"/>
  </r>
  <r>
    <s v="007"/>
    <s v="MPA"/>
    <s v="490R0001"/>
    <s v="RONDELLE NEG. BLANCHE"/>
    <s v="UN"/>
    <n v="14500"/>
    <n v="2.6958747617727846E-2"/>
    <n v="390.90184045705377"/>
    <x v="1"/>
  </r>
  <r>
    <s v="007"/>
    <s v="MPA"/>
    <s v="490r0002"/>
    <s v="RONDELLE POSITIVE ROUGE"/>
    <s v="UN"/>
    <n v="15000"/>
    <n v="2.728495119508461E-2"/>
    <n v="409.27426792626915"/>
    <x v="1"/>
  </r>
  <r>
    <s v="007"/>
    <s v="MPA"/>
    <s v="490R0004"/>
    <s v="RONDELLE NEG. BLEU"/>
    <s v="UN"/>
    <n v="13500"/>
    <n v="1.3510000000000001E-2"/>
    <n v="182.38500000000002"/>
    <x v="1"/>
  </r>
  <r>
    <s v="007"/>
    <s v="MPA"/>
    <s v="490R0005"/>
    <s v="RONDELLE BLANCHE &quot; - &quot; B.153"/>
    <s v="UN"/>
    <n v="8000"/>
    <n v="7.3099999999999998E-2"/>
    <n v="584.79999999999995"/>
    <x v="1"/>
  </r>
  <r>
    <s v="007"/>
    <s v="MPA"/>
    <s v="490R0006"/>
    <s v="RONDELLE ROUGE &quot; + &quot; B.153"/>
    <s v="UN"/>
    <n v="8000"/>
    <n v="7.0514705882352938E-2"/>
    <n v="564.11764705882354"/>
    <x v="1"/>
  </r>
  <r>
    <s v="007"/>
    <s v="MPA"/>
    <s v="490T2301"/>
    <s v="COUVRE COUVERCLE D23 T-AKUMSAN NOIR"/>
    <s v="UN"/>
    <n v="7200"/>
    <n v="1.7624734881306676"/>
    <n v="12689.809114540807"/>
    <x v="1"/>
  </r>
  <r>
    <s v="007"/>
    <s v="MPA"/>
    <s v="490T5001"/>
    <s v="COUVRE COUVERCLE N50 T-AKUMSAN NOIR"/>
    <s v="UN"/>
    <n v="5760"/>
    <n v="1.815099252541148"/>
    <n v="10454.971694637012"/>
    <x v="1"/>
  </r>
  <r>
    <s v="007"/>
    <s v="MPA"/>
    <s v="490T7001"/>
    <s v="COUVRE COUVERCLE N70 T-AKUMSAN NOIR"/>
    <s v="UN"/>
    <n v="5760"/>
    <n v="1.9190203489271771"/>
    <n v="11053.557209820539"/>
    <x v="1"/>
  </r>
  <r>
    <s v="007"/>
    <s v="MPA"/>
    <s v="490TL0101"/>
    <s v="COUVRE COUVERCLE L1SMF NOIR"/>
    <s v="UN"/>
    <n v="9240"/>
    <n v="1.4268611588435918"/>
    <n v="13184.197107714788"/>
    <x v="1"/>
  </r>
  <r>
    <s v="007"/>
    <s v="MPA"/>
    <s v="490TL0102"/>
    <s v="COUVRE COUVERCLE L1T-AKUMSAN NOIR"/>
    <s v="UN"/>
    <n v="3264"/>
    <n v="1.4450582455291476"/>
    <n v="4716.6701134071382"/>
    <x v="1"/>
  </r>
  <r>
    <s v="007"/>
    <s v="MPA"/>
    <s v="490TL0201"/>
    <s v="COUVRE COUVERCLE L2SMF NOIR"/>
    <s v="UN"/>
    <n v="15004"/>
    <n v="1.5153198858058068"/>
    <n v="22735.859566630326"/>
    <x v="1"/>
  </r>
  <r>
    <s v="007"/>
    <s v="MPA"/>
    <s v="490TL0202"/>
    <s v="COUVRE COUVERCLE L2T-AKUMSAN NOIR"/>
    <s v="UN"/>
    <n v="2880"/>
    <n v="1.58534255930487"/>
    <n v="4565.7865707980254"/>
    <x v="1"/>
  </r>
  <r>
    <s v="007"/>
    <s v="MPA"/>
    <s v="490TL0301"/>
    <s v="COUVRE COUVERCLE L3 SMF NOIR"/>
    <s v="UN"/>
    <n v="5280"/>
    <n v="1.5693694467420258"/>
    <n v="8286.2706787978968"/>
    <x v="1"/>
  </r>
  <r>
    <s v="007"/>
    <s v="MPA"/>
    <s v="490TL0302"/>
    <s v="COUVRE COUVERCLE L3 T-AKUMSAN NOIR"/>
    <s v="UN"/>
    <n v="3024"/>
    <n v="1.7999036584262238"/>
    <n v="5442.9086630809006"/>
    <x v="1"/>
  </r>
  <r>
    <s v="007"/>
    <s v="MPA"/>
    <s v="490TL0501"/>
    <s v="COUVRE COUVERCLE L5 SMF NOIR"/>
    <s v="UN"/>
    <n v="3872"/>
    <n v="1.7344485239482599"/>
    <n v="6715.7846847276624"/>
    <x v="1"/>
  </r>
  <r>
    <s v="007"/>
    <s v="MPA"/>
    <s v="490TL0502"/>
    <s v="COUVRE COUVERCLE L5 T-AKUMSAN NOIR"/>
    <s v="UN"/>
    <n v="864"/>
    <n v="1.9057951727128553"/>
    <n v="1646.6070292239069"/>
    <x v="1"/>
  </r>
  <r>
    <s v="007"/>
    <s v="MPA"/>
    <s v="490TNS4001"/>
    <s v="COUVRE COUVERCLE NS40 T-AKUMSAN NOIR"/>
    <s v="UN"/>
    <n v="3120"/>
    <n v="1.5295158137805818"/>
    <n v="4772.0893389954153"/>
    <x v="1"/>
  </r>
  <r>
    <s v="007"/>
    <s v="MPA"/>
    <s v="490TNS6001"/>
    <s v="COUVRE COUVERCLENS60 T-AKUMSAN NOIR"/>
    <s v="UN"/>
    <n v="3168"/>
    <n v="1.6556066175490081"/>
    <n v="5244.9617643952579"/>
    <x v="1"/>
  </r>
  <r>
    <s v="007"/>
    <s v="MPA"/>
    <s v="491BB002"/>
    <s v="REGLE DE FERMETURE 19 tubes 6.2 akb"/>
    <s v="UN"/>
    <n v="3325"/>
    <n v="0.56883332117009466"/>
    <n v="1891.3707928905646"/>
    <x v="1"/>
  </r>
  <r>
    <s v="007"/>
    <s v="MPA"/>
    <s v="491BB003"/>
    <s v="REGLE DE FERMETURE 21 Tubes akb"/>
    <s v="UN"/>
    <n v="9000"/>
    <n v="0.64329877412327052"/>
    <n v="5789.688967109435"/>
    <x v="1"/>
  </r>
  <r>
    <s v="007"/>
    <s v="MPA"/>
    <s v="500E0209"/>
    <s v="ETIQ BAC SMART  S1 170/95"/>
    <s v="UN"/>
    <n v="1000"/>
    <n v="0.30528988899645421"/>
    <n v="305.28988899645418"/>
    <x v="1"/>
  </r>
  <r>
    <s v="007"/>
    <s v="MPA"/>
    <s v="500E0212"/>
    <s v="ETIQ BAC SMART S5 315/95"/>
    <s v="UN"/>
    <n v="2000"/>
    <n v="0.54727052307402646"/>
    <n v="1094.5410461480528"/>
    <x v="1"/>
  </r>
  <r>
    <s v="007"/>
    <s v="MPA"/>
    <s v="500E0214"/>
    <s v="ETIQ BAC NOUR JUMBO M15 135AH 135/310"/>
    <s v="UN"/>
    <n v="470"/>
    <n v="1.3230641258607909"/>
    <n v="621.84013915457172"/>
    <x v="1"/>
  </r>
  <r>
    <s v="007"/>
    <s v="MPA"/>
    <s v="500E0232"/>
    <s v="ETIQ BAC NOUR POWER PL2B 55AH 83/205"/>
    <s v="UN"/>
    <n v="500"/>
    <n v="0.22800000000000001"/>
    <n v="114"/>
    <x v="1"/>
  </r>
  <r>
    <s v="007"/>
    <s v="MPA"/>
    <s v="500E0233"/>
    <s v="ETIQ BAC NOUR POWER PL3B 66AH 83/235"/>
    <s v="UN"/>
    <n v="500"/>
    <n v="0.28799999999999998"/>
    <n v="144"/>
    <x v="1"/>
  </r>
  <r>
    <s v="007"/>
    <s v="MPA"/>
    <s v="500E0234"/>
    <s v="ETIQ BAC SMART S6 315/95"/>
    <s v="UN"/>
    <n v="2500"/>
    <n v="0.55041091954022991"/>
    <n v="1376.0272988505749"/>
    <x v="1"/>
  </r>
  <r>
    <s v="007"/>
    <s v="MPA"/>
    <s v="500E0243"/>
    <s v="ETIQ BAC S2 EFB 62AH 560A 200/90"/>
    <s v="UN"/>
    <n v="600"/>
    <n v="0.60599999999999998"/>
    <n v="363.59999999999997"/>
    <x v="1"/>
  </r>
  <r>
    <s v="007"/>
    <s v="MPA"/>
    <s v="500E0245"/>
    <s v="ETIQ BAC S5 EFB 100AH 860A 280/90"/>
    <s v="UN"/>
    <n v="1200"/>
    <n v="0.37369999999999998"/>
    <n v="448.44"/>
    <x v="1"/>
  </r>
  <r>
    <s v="007"/>
    <s v="MPA"/>
    <s v="500E0246"/>
    <s v="ETIQ BAC JUMBO NEAUVEAU DESIGN M14 125AH 310/130"/>
    <s v="UN"/>
    <n v="2500"/>
    <n v="0.62975590861764652"/>
    <n v="1574.3897715441162"/>
    <x v="1"/>
  </r>
  <r>
    <s v="007"/>
    <s v="MPA"/>
    <s v="500e0247"/>
    <s v="ETIQ BAC JUMBO M15 310/130 NOUVEAU DESIGN 140AH/9"/>
    <s v="UN"/>
    <n v="1000"/>
    <n v="0.63034323522701341"/>
    <n v="630.34323522701345"/>
    <x v="1"/>
  </r>
  <r>
    <s v="007"/>
    <s v="MPA"/>
    <s v="500E0248"/>
    <s v="ETIQ BAC JUMBO M15S 170AH 310/130 NOUVEAU DESIGN"/>
    <s v="UN"/>
    <n v="500"/>
    <n v="0.43934999999999996"/>
    <n v="219.67499999999998"/>
    <x v="1"/>
  </r>
  <r>
    <s v="007"/>
    <s v="MPA"/>
    <s v="500E0249"/>
    <s v="ETIQ BAC JUMBO M16 180AH 310 /130 NOUVEAU DESIGN"/>
    <s v="UN"/>
    <n v="3000"/>
    <n v="0.45070999999999994"/>
    <n v="1352.1299999999999"/>
    <x v="1"/>
  </r>
  <r>
    <s v="007"/>
    <s v="MPA"/>
    <s v="500E0251"/>
    <s v="ETIQ BAC POWER PL1 44AH/380A 90/160  ND"/>
    <s v="UN"/>
    <n v="3700"/>
    <n v="0.34292948456921724"/>
    <n v="1268.8390929061038"/>
    <x v="1"/>
  </r>
  <r>
    <s v="007"/>
    <s v="MPA"/>
    <s v="500E0252"/>
    <s v="ETIQ BAC POWER PL2 55 AH/460A 92/205 ND 190/90"/>
    <s v="UN"/>
    <n v="2700"/>
    <n v="0.33050791018468506"/>
    <n v="892.37135749864967"/>
    <x v="1"/>
  </r>
  <r>
    <s v="007"/>
    <s v="MPA"/>
    <s v="500E0253"/>
    <s v="ETIQ BAC POWER PL3 66AH/550A 90/230 ND"/>
    <s v="UN"/>
    <n v="4400"/>
    <n v="0.46855693910358942"/>
    <n v="2061.6505320557935"/>
    <x v="1"/>
  </r>
  <r>
    <s v="007"/>
    <s v="MPA"/>
    <s v="500E0254"/>
    <s v="ETIQ BAC POWER PL5 88AH/700A 300/90"/>
    <s v="UN"/>
    <n v="930"/>
    <n v="0.5909333333333332"/>
    <n v="549.56799999999987"/>
    <x v="1"/>
  </r>
  <r>
    <s v="007"/>
    <s v="MPA"/>
    <s v="500E0255"/>
    <s v="ETIQ BAC POWER PL6MF 110AH/920A 300/90"/>
    <s v="UN"/>
    <n v="5330"/>
    <n v="0.58967420262664161"/>
    <n v="3142.9634999999998"/>
    <x v="1"/>
  </r>
  <r>
    <s v="007"/>
    <s v="MPA"/>
    <s v="500E0256"/>
    <s v="ETIQ BAC POWER PM10 220/110"/>
    <s v="UN"/>
    <n v="3000"/>
    <n v="0.45421295335219619"/>
    <n v="1362.6388600565886"/>
    <x v="1"/>
  </r>
  <r>
    <s v="007"/>
    <s v="MPA"/>
    <s v="500E0257"/>
    <s v="ETIQ BAC POWER PM11 250/110"/>
    <s v="UN"/>
    <n v="740"/>
    <n v="0.45388112745098042"/>
    <n v="335.87203431372552"/>
    <x v="1"/>
  </r>
  <r>
    <s v="007"/>
    <s v="MPA"/>
    <s v="500E0258"/>
    <s v="ETIQ BAC POWER PM12 290/110"/>
    <s v="UN"/>
    <n v="500"/>
    <n v="0.57672191917554938"/>
    <n v="288.36095958777469"/>
    <x v="1"/>
  </r>
  <r>
    <s v="007"/>
    <s v="MPA"/>
    <s v="500E0259"/>
    <s v="ETIQ BAC POWER PM10S 220/110"/>
    <s v="UN"/>
    <n v="8000"/>
    <n v="0.48544954806954338"/>
    <n v="3883.5963845563469"/>
    <x v="1"/>
  </r>
  <r>
    <s v="007"/>
    <s v="MPA"/>
    <s v="500E0260"/>
    <s v="ETIQ BAC POWER PM11S 250/110"/>
    <s v="UN"/>
    <n v="1000"/>
    <n v="0.45685666666666674"/>
    <n v="456.85666666666674"/>
    <x v="1"/>
  </r>
  <r>
    <s v="007"/>
    <s v="MPA"/>
    <s v="500E0261"/>
    <s v="ETIQ BAC POWER PM12S 290/110"/>
    <s v="UN"/>
    <n v="1770"/>
    <n v="0.64144036697247697"/>
    <n v="1135.3494495412842"/>
    <x v="1"/>
  </r>
  <r>
    <s v="007"/>
    <s v="MPA"/>
    <s v="500E0262"/>
    <s v="ETIQ BAC SMARTS1 160/90 ND"/>
    <s v="UN"/>
    <n v="3280"/>
    <n v="0.25519348880166237"/>
    <n v="837.03464326945254"/>
    <x v="1"/>
  </r>
  <r>
    <s v="007"/>
    <s v="MPA"/>
    <s v="500E0263"/>
    <s v="ETIQ BAC SMARTS2 190/90 ND"/>
    <s v="UN"/>
    <n v="3000"/>
    <n v="0.32320000000000004"/>
    <n v="969.60000000000014"/>
    <x v="1"/>
  </r>
  <r>
    <s v="007"/>
    <s v="MPA"/>
    <s v="500E0264"/>
    <s v="ETIQ BAC SMARTS3 230/90 ND"/>
    <s v="UN"/>
    <n v="1000"/>
    <n v="0.42831967295734025"/>
    <n v="428.31967295734023"/>
    <x v="1"/>
  </r>
  <r>
    <s v="007"/>
    <s v="MPA"/>
    <s v="500E0265"/>
    <s v="ETIQ BAC SMARTS5 300/90 ND"/>
    <s v="UN"/>
    <n v="2030"/>
    <n v="0.60015503738685561"/>
    <n v="1218.3147258953168"/>
    <x v="1"/>
  </r>
  <r>
    <s v="007"/>
    <s v="MPA"/>
    <s v="500E0267"/>
    <s v="ETIQ BAC PRL1B SMF 160/80"/>
    <s v="UN"/>
    <n v="4400"/>
    <n v="0.34496445386064029"/>
    <n v="1517.8435969868171"/>
    <x v="1"/>
  </r>
  <r>
    <s v="007"/>
    <s v="MPA"/>
    <s v="500E0268"/>
    <s v="ETIQ BAC PRL2 SMF 190/90"/>
    <s v="UN"/>
    <n v="1580"/>
    <n v="0.38379999999999992"/>
    <n v="606.40399999999988"/>
    <x v="1"/>
  </r>
  <r>
    <s v="007"/>
    <s v="MPA"/>
    <s v="500E0269"/>
    <s v="ETIQ BAC PRL2B SMF 190/80"/>
    <s v="UN"/>
    <n v="5070"/>
    <n v="0.38379999999999997"/>
    <n v="1945.8659999999998"/>
    <x v="1"/>
  </r>
  <r>
    <s v="007"/>
    <s v="MPA"/>
    <s v="500E0270"/>
    <s v="ETIQ BAC PRL3 SMF 230/90"/>
    <s v="UN"/>
    <n v="3086"/>
    <n v="0.45450000000000002"/>
    <n v="1402.587"/>
    <x v="1"/>
  </r>
  <r>
    <s v="007"/>
    <s v="MPA"/>
    <s v="500E0271"/>
    <s v="ETIQ BAC PRL3B SMF 230/80"/>
    <s v="UN"/>
    <n v="3730"/>
    <n v="0.42420000000000002"/>
    <n v="1582.2660000000001"/>
    <x v="1"/>
  </r>
  <r>
    <s v="007"/>
    <s v="MPA"/>
    <s v="500E0272"/>
    <s v="ETIQ BAC  NS40 SMF 160/100"/>
    <s v="UN"/>
    <n v="1000"/>
    <n v="0.37874999999999998"/>
    <n v="378.75"/>
    <x v="1"/>
  </r>
  <r>
    <s v="007"/>
    <s v="MPA"/>
    <s v="500E0273"/>
    <s v="ETIQ BAC  D23 PREMIUM ND 190/100"/>
    <s v="UN"/>
    <n v="5600"/>
    <n v="0.37369999999999998"/>
    <n v="2092.7199999999998"/>
    <x v="1"/>
  </r>
  <r>
    <s v="007"/>
    <s v="MPA"/>
    <s v="500E0274"/>
    <s v="ETIQ BAC  D26 PREMIUM ND 220/100"/>
    <s v="UN"/>
    <n v="3000"/>
    <n v="0.45450000000000002"/>
    <n v="1363.5"/>
    <x v="1"/>
  </r>
  <r>
    <s v="007"/>
    <s v="MPA"/>
    <s v="500E0275"/>
    <s v="ETIQ BAC  D31 PREMIUM ND 250/100"/>
    <s v="UN"/>
    <n v="2720"/>
    <n v="0.42420000000000002"/>
    <n v="1153.8240000000001"/>
    <x v="1"/>
  </r>
  <r>
    <s v="007"/>
    <s v="MPA"/>
    <s v="500E0276"/>
    <s v="ETIQ BAC NS60 PREMIUM ND 190/100"/>
    <s v="UN"/>
    <n v="4000"/>
    <n v="0.37369999999999992"/>
    <n v="1494.7999999999997"/>
    <x v="1"/>
  </r>
  <r>
    <s v="007"/>
    <s v="MPA"/>
    <s v="500E0277"/>
    <s v="ETIQ BAC  PM110 200/130"/>
    <s v="UN"/>
    <n v="3600"/>
    <n v="0.47470000000000001"/>
    <n v="1708.92"/>
    <x v="1"/>
  </r>
  <r>
    <s v="007"/>
    <s v="MPA"/>
    <s v="500E0278"/>
    <s v="ETIQ BAC MAR16 310/130"/>
    <s v="UN"/>
    <n v="1100"/>
    <n v="0.70699999999999985"/>
    <n v="777.69999999999982"/>
    <x v="1"/>
  </r>
  <r>
    <s v="007"/>
    <s v="MPA"/>
    <s v="500E0285"/>
    <s v="ETIQ B M14 SMF"/>
    <s v="UN"/>
    <n v="900"/>
    <n v="0.79285000000000005"/>
    <n v="713.56500000000005"/>
    <x v="1"/>
  </r>
  <r>
    <s v="007"/>
    <s v="MPA"/>
    <s v="500E0287"/>
    <s v="ETIQ BAC M16 SMF"/>
    <s v="UN"/>
    <n v="700"/>
    <n v="0.79285000000000005"/>
    <n v="554.995"/>
    <x v="1"/>
  </r>
  <r>
    <s v="007"/>
    <s v="MPA"/>
    <s v="500X0278"/>
    <s v="ETIQ BAC M10 POWER LYBIE NOUV DESIGN 230/95"/>
    <s v="UN"/>
    <n v="3500"/>
    <n v="9.1999999999999998E-2"/>
    <n v="322"/>
    <x v="1"/>
  </r>
  <r>
    <s v="007"/>
    <s v="MPA"/>
    <s v="500X0291"/>
    <s v="ETIQ BAC M10 STARTER LYBIE  230/95"/>
    <s v="UN"/>
    <n v="1400"/>
    <n v="9.2000000000000012E-2"/>
    <n v="128.80000000000001"/>
    <x v="1"/>
  </r>
  <r>
    <s v="007"/>
    <s v="MPA"/>
    <s v="500X0302"/>
    <s v="ETIQ BAC POWER DIVERS PF 180/90"/>
    <s v="UN"/>
    <n v="9500"/>
    <n v="0.30073257356344602"/>
    <n v="2856.9594488527373"/>
    <x v="1"/>
  </r>
  <r>
    <s v="007"/>
    <s v="MPA"/>
    <s v="500X0303"/>
    <s v="ETIQ BAC POWER DIVERS MF 230/95"/>
    <s v="UN"/>
    <n v="1400"/>
    <n v="0.27"/>
    <n v="378"/>
    <x v="1"/>
  </r>
  <r>
    <s v="007"/>
    <s v="MPA"/>
    <s v="500X0304"/>
    <s v="ETIQ BAC POWER DIVERS GF 310/135"/>
    <s v="UN"/>
    <n v="2600"/>
    <n v="0.42"/>
    <n v="1092"/>
    <x v="1"/>
  </r>
  <r>
    <s v="007"/>
    <s v="MPA"/>
    <s v="500X0311"/>
    <s v="ETIQ BAC JUMBO MF 230/95"/>
    <s v="UN"/>
    <n v="1500"/>
    <n v="0.23643"/>
    <n v="354.64499999999998"/>
    <x v="1"/>
  </r>
  <r>
    <s v="007"/>
    <s v="MPA"/>
    <s v="500X0313"/>
    <s v="ETIQ BAC STARTER PF  DESIGN2014 180/90"/>
    <s v="UN"/>
    <n v="8700"/>
    <n v="0.30131539823084258"/>
    <n v="2621.4439646083306"/>
    <x v="1"/>
  </r>
  <r>
    <s v="007"/>
    <s v="MPA"/>
    <s v="500X0314"/>
    <s v="ETIQ BAC STARTER MF  DESIGN2014 230/95"/>
    <s v="UN"/>
    <n v="2500"/>
    <n v="0.28905333333333333"/>
    <n v="722.63333333333333"/>
    <x v="1"/>
  </r>
  <r>
    <s v="007"/>
    <s v="MPA"/>
    <s v="500X0315"/>
    <s v="ETIQ BAC STARTER GF  DESIGN2014 310/95"/>
    <s v="UN"/>
    <n v="2500"/>
    <n v="0.42"/>
    <n v="1050"/>
    <x v="1"/>
  </r>
  <r>
    <s v="007"/>
    <s v="MPA"/>
    <s v="500x0326"/>
    <s v="ETIQ BAC POWER LYBIE D26 220/95"/>
    <s v="UN"/>
    <n v="1500"/>
    <n v="0.2727"/>
    <n v="409.05"/>
    <x v="1"/>
  </r>
  <r>
    <s v="007"/>
    <s v="MPA"/>
    <s v="500X0327"/>
    <s v="ETIQ BAC POWER LYBIE D31 250/100"/>
    <s v="UN"/>
    <n v="3000"/>
    <n v="0.29794999999999999"/>
    <n v="893.85"/>
    <x v="1"/>
  </r>
  <r>
    <s v="007"/>
    <s v="MPA"/>
    <s v="500X0328"/>
    <s v="ETIQ BAC STARTER LYBIE D26 220/95"/>
    <s v="UN"/>
    <n v="2300"/>
    <n v="0.2727"/>
    <n v="627.21"/>
    <x v="1"/>
  </r>
  <r>
    <s v="007"/>
    <s v="MPA"/>
    <s v="500X0329"/>
    <s v="ETIQ BAC STARTER LYBIE D31 250/100"/>
    <s v="UN"/>
    <n v="2500"/>
    <n v="0.29794999999999999"/>
    <n v="744.875"/>
    <x v="1"/>
  </r>
  <r>
    <s v="007"/>
    <s v="MPA"/>
    <s v="500X0334"/>
    <s v="Etiq Bac L1B/L2B BATCAR 170*83"/>
    <s v="UN"/>
    <n v="5000"/>
    <n v="0.33835000000000004"/>
    <n v="1691.7500000000002"/>
    <x v="1"/>
  </r>
  <r>
    <s v="007"/>
    <s v="MPA"/>
    <s v="500X0335"/>
    <s v="Etiq Bac L3B/L5 BATCAR 235*83"/>
    <s v="UN"/>
    <n v="5100"/>
    <n v="0.5252"/>
    <n v="2678.52"/>
    <x v="1"/>
  </r>
  <r>
    <s v="007"/>
    <s v="MPA"/>
    <s v="500X0336"/>
    <s v="Etiq déclaration BATCAR 60*40"/>
    <s v="UN"/>
    <n v="5000"/>
    <n v="0.18179999999999999"/>
    <n v="909"/>
    <x v="1"/>
  </r>
  <r>
    <s v="007"/>
    <s v="MPA"/>
    <s v="500X0337"/>
    <s v="ETIQ BA L1,L2,NS40,NS60 ELECTRON 170/82"/>
    <s v="UN"/>
    <n v="2080"/>
    <n v="0.37874999999999998"/>
    <n v="787.8"/>
    <x v="1"/>
  </r>
  <r>
    <s v="007"/>
    <s v="MPA"/>
    <s v="500X0338"/>
    <s v="ETIQ BAC L3-L5,D26,D31 ELCTRON 227/82"/>
    <s v="UN"/>
    <n v="2000"/>
    <n v="0.45450000000000002"/>
    <n v="909"/>
    <x v="1"/>
  </r>
  <r>
    <s v="007"/>
    <s v="MPA"/>
    <s v="500X0339"/>
    <s v="ETIQ BA L1,L2,NS40,NS60 171X82 BIN SHIHON"/>
    <s v="UN"/>
    <n v="2000"/>
    <n v="0.46925649350649351"/>
    <n v="938.51298701298697"/>
    <x v="1"/>
  </r>
  <r>
    <s v="007"/>
    <s v="MPA"/>
    <s v="500X0340"/>
    <s v="ETIQ BAC L3-L5,D26,D31 227X82 BIN SHIHON"/>
    <s v="UN"/>
    <n v="2500"/>
    <n v="0.65649999999999997"/>
    <n v="1641.25"/>
    <x v="1"/>
  </r>
  <r>
    <s v="007"/>
    <s v="MPA"/>
    <s v="500X0342"/>
    <s v="ETIQUETTE T12 BAC  60AH 225/80 L2B"/>
    <s v="UN"/>
    <n v="3000"/>
    <n v="0.39777166666666669"/>
    <n v="1193.3150000000001"/>
    <x v="1"/>
  </r>
  <r>
    <s v="007"/>
    <s v="MPA"/>
    <s v="500X0343"/>
    <s v="ETIQUETTE T15 BAC  62AH 190/90 L2"/>
    <s v="UN"/>
    <n v="1000"/>
    <n v="0.35469657378740971"/>
    <n v="354.6965737874097"/>
    <x v="1"/>
  </r>
  <r>
    <s v="007"/>
    <s v="MPA"/>
    <s v="500X0344"/>
    <s v="ETIQUETTE T16 BAC  72AH L3B"/>
    <s v="UN"/>
    <n v="3000"/>
    <n v="0.47470000000000007"/>
    <n v="1424.1000000000001"/>
    <x v="1"/>
  </r>
  <r>
    <s v="007"/>
    <s v="MPA"/>
    <s v="500X0345"/>
    <s v="ETIQUETTE T17 BAC  72AH L3"/>
    <s v="UN"/>
    <n v="3000"/>
    <n v="0.48984999999999995"/>
    <n v="1469.55"/>
    <x v="1"/>
  </r>
  <r>
    <s v="007"/>
    <s v="MPA"/>
    <s v="500X0346"/>
    <s v="ETIQUETTE T22 BAC  100AH L5"/>
    <s v="UN"/>
    <n v="3500"/>
    <n v="0.63629999999999998"/>
    <n v="2227.0499999999997"/>
    <x v="1"/>
  </r>
  <r>
    <s v="007"/>
    <s v="MPA"/>
    <s v="510J1404"/>
    <s v="ETIQ COUV JUMBO M14 125 AH 850 A 40/210 NOUV DESI"/>
    <s v="UN"/>
    <n v="2000"/>
    <n v="0.33827199965200749"/>
    <n v="676.54399930401496"/>
    <x v="1"/>
  </r>
  <r>
    <s v="007"/>
    <s v="MPA"/>
    <s v="510J1405"/>
    <s v="ETIQ COUV NOUR M14SMF 140AH-860(EN)"/>
    <s v="UN"/>
    <n v="870"/>
    <n v="0.89385000000000003"/>
    <n v="777.64949999999999"/>
    <x v="1"/>
  </r>
  <r>
    <s v="007"/>
    <s v="MPA"/>
    <s v="510J1506"/>
    <s v="ETIQ COUV JUMBO  M15 40/210 NOUV DESIGN 140AH/920"/>
    <s v="UN"/>
    <n v="2980"/>
    <n v="0.36098745437956203"/>
    <n v="1075.742614051095"/>
    <x v="1"/>
  </r>
  <r>
    <s v="007"/>
    <s v="MPA"/>
    <s v="510J1606"/>
    <s v="ETIQ COUV NOUR M16SMF 230AH-1250A(EN)"/>
    <s v="UN"/>
    <n v="810"/>
    <n v="0.221"/>
    <n v="179.01"/>
    <x v="1"/>
  </r>
  <r>
    <s v="007"/>
    <s v="MPA"/>
    <s v="510MAR1603"/>
    <s v="ETIQ COUV MARINE MAR16 ND 200AH 40/210"/>
    <s v="UN"/>
    <n v="1100"/>
    <n v="0.70699999999999985"/>
    <n v="777.69999999999982"/>
    <x v="1"/>
  </r>
  <r>
    <s v="007"/>
    <s v="MPA"/>
    <s v="510PL0111"/>
    <s v="ETIQ COUV NOUR POWE PL1B 44AH 30/110 NOUV DESIGN"/>
    <s v="UN"/>
    <n v="1000"/>
    <n v="8.0985849056603762E-2"/>
    <n v="80.985849056603769"/>
    <x v="1"/>
  </r>
  <r>
    <s v="007"/>
    <s v="MPA"/>
    <s v="510PL0112"/>
    <s v="ETIQ COUV POWER PL1 44AH 30/110 LEFT"/>
    <s v="UN"/>
    <n v="3810"/>
    <n v="0.16139539099174807"/>
    <n v="614.91643967856021"/>
    <x v="1"/>
  </r>
  <r>
    <s v="007"/>
    <s v="MPA"/>
    <s v="510PL0213"/>
    <s v="ETIQ COUV POWER PL2 55AH460A 30/110"/>
    <s v="UN"/>
    <n v="5040"/>
    <n v="0.16159999999999999"/>
    <n v="814.46399999999994"/>
    <x v="1"/>
  </r>
  <r>
    <s v="007"/>
    <s v="MPA"/>
    <s v="510PL0312"/>
    <s v="ETIQ COUV NOUR POWER PL3B 66AH 30/110 NOUV DE"/>
    <s v="UN"/>
    <n v="1000"/>
    <n v="7.5999999999999998E-2"/>
    <n v="76"/>
    <x v="1"/>
  </r>
  <r>
    <s v="007"/>
    <s v="MPA"/>
    <s v="510PL0314"/>
    <s v="ETIQ COUV POWER PL3 66AH 550A 30/110 LEFT"/>
    <s v="UN"/>
    <n v="4610"/>
    <n v="0.16137312971566267"/>
    <n v="743.93012798920495"/>
    <x v="1"/>
  </r>
  <r>
    <s v="007"/>
    <s v="MPA"/>
    <s v="510PL0507"/>
    <s v="ETIQ COUV POWER PL5 88AH 700A 30/110 LEFT"/>
    <s v="UN"/>
    <n v="2500"/>
    <n v="0.16159999999999999"/>
    <n v="404"/>
    <x v="1"/>
  </r>
  <r>
    <s v="007"/>
    <s v="MPA"/>
    <s v="510PL0601"/>
    <s v="ETIQ COUV POWER PL6MF 110AH 920A 170/50 LEFT"/>
    <s v="UN"/>
    <n v="3400"/>
    <n v="0.27448235294117646"/>
    <n v="933.2399999999999"/>
    <x v="1"/>
  </r>
  <r>
    <s v="007"/>
    <s v="MPA"/>
    <s v="510PL0602"/>
    <s v="ETIQ COUV POWER PL6MF 170/50 RIGHT"/>
    <s v="UN"/>
    <n v="1330"/>
    <n v="0.27430750750750749"/>
    <n v="364.82898498498497"/>
    <x v="1"/>
  </r>
  <r>
    <s v="007"/>
    <s v="MPA"/>
    <s v="510PM1006"/>
    <s v="ETIQ COUV POWER PM10 62AH 40/210 NOUV DESIGN"/>
    <s v="UN"/>
    <n v="1700"/>
    <n v="0.35282579715072854"/>
    <n v="599.80385515623857"/>
    <x v="1"/>
  </r>
  <r>
    <s v="007"/>
    <s v="MPA"/>
    <s v="510PM1007"/>
    <s v="ETIQ COUV POWER PM10S 70AH 40/210 NOUV DESIGN"/>
    <s v="UN"/>
    <n v="5500"/>
    <n v="0.35207445392388215"/>
    <n v="1936.4094965813517"/>
    <x v="1"/>
  </r>
  <r>
    <s v="007"/>
    <s v="MPA"/>
    <s v="510PM11001"/>
    <s v="ETIQ COUV NPOWER PM110  130/40 LEFT 110AH"/>
    <s v="UN"/>
    <n v="2800"/>
    <n v="0.26841498652291107"/>
    <n v="751.56196226415102"/>
    <x v="1"/>
  </r>
  <r>
    <s v="007"/>
    <s v="MPA"/>
    <s v="510PM11002"/>
    <s v="ETIQ COUV NPOWER PM110  130/40 RIGHT"/>
    <s v="UN"/>
    <n v="3880"/>
    <n v="0.32753402061855674"/>
    <n v="1270.8320000000001"/>
    <x v="1"/>
  </r>
  <r>
    <s v="007"/>
    <s v="MPA"/>
    <s v="510PM1106"/>
    <s v="ETIQ COUV POWER PM11 90AH 40/210 NOUV DE"/>
    <s v="UN"/>
    <n v="1800"/>
    <n v="0.35140092058335409"/>
    <n v="632.52165705003733"/>
    <x v="1"/>
  </r>
  <r>
    <s v="007"/>
    <s v="MPA"/>
    <s v="510PM1107"/>
    <s v="ETIQ COUV POWER PM11S 100AH 40/210 NOUV DE"/>
    <s v="UN"/>
    <n v="3500"/>
    <n v="0.35350000000000004"/>
    <n v="1237.2500000000002"/>
    <x v="1"/>
  </r>
  <r>
    <s v="007"/>
    <s v="MPA"/>
    <s v="510PM1207"/>
    <s v="ETIQ COUV NPOWER PM12 95AH 40/210 NOUV DE"/>
    <s v="UN"/>
    <n v="7430"/>
    <n v="0.35803067599660765"/>
    <n v="2660.1679226547949"/>
    <x v="1"/>
  </r>
  <r>
    <s v="007"/>
    <s v="MPA"/>
    <s v="510PRD23"/>
    <s v="ETIQ COUV PR D23 40Ah 330A 210*50"/>
    <s v="UN"/>
    <n v="2600"/>
    <n v="0.25755"/>
    <n v="669.63"/>
    <x v="1"/>
  </r>
  <r>
    <s v="007"/>
    <s v="MPA"/>
    <s v="510PRD2301"/>
    <s v="ETIQ COUV PR D23 40Ah 470A 210*50 ND"/>
    <s v="UN"/>
    <n v="3000"/>
    <n v="0.30804999999999999"/>
    <n v="924.15"/>
    <x v="1"/>
  </r>
  <r>
    <s v="007"/>
    <s v="MPA"/>
    <s v="510PRD2601"/>
    <s v="ETIQ COUV PR D26 70Ah 600A 235*50 ND"/>
    <s v="UN"/>
    <n v="2720"/>
    <n v="0.42419999999999997"/>
    <n v="1153.8239999999998"/>
    <x v="1"/>
  </r>
  <r>
    <s v="007"/>
    <s v="MPA"/>
    <s v="510PRL1B1"/>
    <s v="ETIQ COUV PRL1B 190/50"/>
    <s v="UN"/>
    <n v="3000"/>
    <n v="0.2828"/>
    <n v="848.4"/>
    <x v="1"/>
  </r>
  <r>
    <s v="007"/>
    <s v="MPA"/>
    <s v="510PRL1H1"/>
    <s v="ETIQ COUV PRL1 SMF 190/50"/>
    <s v="UN"/>
    <n v="9100"/>
    <n v="0.2828"/>
    <n v="2573.48"/>
    <x v="1"/>
  </r>
  <r>
    <s v="007"/>
    <s v="MPA"/>
    <s v="510PRL2B1"/>
    <s v="ETIQ COUV PRL2B SMF 225/50"/>
    <s v="UN"/>
    <n v="4000"/>
    <n v="0.35349999999999998"/>
    <n v="1414"/>
    <x v="1"/>
  </r>
  <r>
    <s v="007"/>
    <s v="MPA"/>
    <s v="510PRL2H1"/>
    <s v="ETIQ COUV PRL2 SMF 225/50"/>
    <s v="UN"/>
    <n v="5500"/>
    <n v="0.35349999999999998"/>
    <n v="1944.25"/>
    <x v="1"/>
  </r>
  <r>
    <s v="007"/>
    <s v="MPA"/>
    <s v="510PRL3B1"/>
    <s v="ETIQ COUV PRL3B SMF 260/50"/>
    <s v="UN"/>
    <n v="7100"/>
    <n v="0.38380000000000003"/>
    <n v="2724.98"/>
    <x v="1"/>
  </r>
  <r>
    <s v="007"/>
    <s v="MPA"/>
    <s v="510PRL3H1"/>
    <s v="ETIQ COUV PRL3 SMF 260/50"/>
    <s v="UN"/>
    <n v="7580"/>
    <n v="0.38379999999999997"/>
    <n v="2909.2039999999997"/>
    <x v="1"/>
  </r>
  <r>
    <s v="007"/>
    <s v="MPA"/>
    <s v="510PRNS601"/>
    <s v="ETIQ COUV PR NS60 45AH 410A 185/50"/>
    <s v="UN"/>
    <n v="2080"/>
    <n v="0.42420000000000008"/>
    <n v="882.33600000000013"/>
    <x v="1"/>
  </r>
  <r>
    <s v="007"/>
    <s v="MPA"/>
    <s v="510SEFB03"/>
    <s v="ETIQ COUV 1 S3EFB 74AH 720A 125/69"/>
    <s v="UN"/>
    <n v="1000"/>
    <n v="0.30299999999999999"/>
    <n v="303"/>
    <x v="1"/>
  </r>
  <r>
    <s v="007"/>
    <s v="MPA"/>
    <s v="510SEFB05"/>
    <s v="ETIQ COUV 1 S5EFB 100AH 860A 160/70"/>
    <s v="UN"/>
    <n v="1000"/>
    <n v="0.32319999999999999"/>
    <n v="323.2"/>
    <x v="1"/>
  </r>
  <r>
    <s v="007"/>
    <s v="MPA"/>
    <s v="510SML012"/>
    <s v="ETIQ COUV S1 190/50"/>
    <s v="UN"/>
    <n v="3000"/>
    <n v="0.26259999999999994"/>
    <n v="787.79999999999984"/>
    <x v="1"/>
  </r>
  <r>
    <s v="007"/>
    <s v="MPA"/>
    <s v="510SML021"/>
    <s v="ETIQ COUV S2 138/50 FAI"/>
    <s v="UN"/>
    <n v="200"/>
    <n v="0.30071575047882365"/>
    <n v="60.143150095764732"/>
    <x v="1"/>
  </r>
  <r>
    <s v="007"/>
    <s v="MPA"/>
    <s v="510SML022"/>
    <s v="ETIQ COUV S2 225/50"/>
    <s v="UN"/>
    <n v="10980"/>
    <n v="0.33811545234426588"/>
    <n v="3712.5076667400394"/>
    <x v="1"/>
  </r>
  <r>
    <s v="007"/>
    <s v="MPA"/>
    <s v="510SML032"/>
    <s v="ETIQ COUV S3 260/50"/>
    <s v="UN"/>
    <n v="4000"/>
    <n v="0.30299999999999999"/>
    <n v="1212"/>
    <x v="1"/>
  </r>
  <r>
    <s v="007"/>
    <s v="MPA"/>
    <s v="510SML052"/>
    <s v="ETIQ COUV S5 335/50"/>
    <s v="UN"/>
    <n v="1000"/>
    <n v="0.42420000000000002"/>
    <n v="424.20000000000005"/>
    <x v="1"/>
  </r>
  <r>
    <s v="007"/>
    <s v="MPA"/>
    <s v="510SML06"/>
    <s v="ETIQ COUV S6 170/50"/>
    <s v="UN"/>
    <n v="2000"/>
    <n v="0.26480555555555563"/>
    <n v="529.6111111111112"/>
    <x v="1"/>
  </r>
  <r>
    <s v="007"/>
    <s v="MPA"/>
    <s v="510TCE05"/>
    <s v="ETIQ COUV 2 S5EFB 160/70"/>
    <s v="UN"/>
    <n v="1400"/>
    <n v="0.32319999999999999"/>
    <n v="452.47999999999996"/>
    <x v="1"/>
  </r>
  <r>
    <s v="007"/>
    <s v="MPA"/>
    <s v="510TCS031"/>
    <s v="ETIQ COUV MIXTE CATEGORI S3 115/50 FAI"/>
    <s v="UN"/>
    <n v="2250"/>
    <n v="0.35295722527875129"/>
    <n v="794.1537568771904"/>
    <x v="1"/>
  </r>
  <r>
    <s v="007"/>
    <s v="MPA"/>
    <s v="510TCS06"/>
    <s v="ETIQ COUV MIXTE CATEGORI SMART S6 170/50"/>
    <s v="UN"/>
    <n v="2000"/>
    <n v="0.23626010935804323"/>
    <n v="472.52021871608645"/>
    <x v="1"/>
  </r>
  <r>
    <s v="007"/>
    <s v="MPA"/>
    <s v="520C0001"/>
    <s v="COUSSINS 90 X 180"/>
    <s v="UN"/>
    <n v="115"/>
    <n v="19.461406375192606"/>
    <n v="2238.0617331471499"/>
    <x v="1"/>
  </r>
  <r>
    <s v="007"/>
    <s v="MPA"/>
    <s v="520X0002"/>
    <s v="ETIQUETTE NORME TUNISIENNE 50/35"/>
    <s v="UN"/>
    <n v="43000"/>
    <n v="9.356662383270245E-2"/>
    <n v="4023.3648248062054"/>
    <x v="1"/>
  </r>
  <r>
    <s v="007"/>
    <s v="MPA"/>
    <s v="520X0018"/>
    <s v="FICHE SUIVEUSE BAT NF"/>
    <s v="UN"/>
    <n v="5250"/>
    <n v="0.20200000000000001"/>
    <n v="1060.5"/>
    <x v="1"/>
  </r>
  <r>
    <s v="007"/>
    <s v="MPA"/>
    <s v="520X0025"/>
    <s v="ETIQ AUTOCOLLANTE IDENTIFICATION PALETTE"/>
    <s v="UN"/>
    <n v="1000"/>
    <n v="0.45450000000000002"/>
    <n v="454.5"/>
    <x v="1"/>
  </r>
  <r>
    <s v="007"/>
    <s v="MPA"/>
    <s v="520X0026"/>
    <s v="ETIQ PORTANT LA LETTRE G (gauche)"/>
    <s v="UN"/>
    <n v="5000"/>
    <n v="8.0799999999999997E-2"/>
    <n v="404"/>
    <x v="1"/>
  </r>
  <r>
    <s v="007"/>
    <s v="MPA"/>
    <s v="520X0027"/>
    <s v="ETIQ PORTANT LA LETTRE D (droite) 10/10"/>
    <s v="UN"/>
    <n v="16500"/>
    <n v="8.9890000000000012E-2"/>
    <n v="1483.1850000000002"/>
    <x v="1"/>
  </r>
  <r>
    <s v="007"/>
    <s v="MPA"/>
    <s v="520X0032"/>
    <s v="FICHE SUIVEUSE PLAQUE (VERT)"/>
    <s v="UN"/>
    <n v="1000"/>
    <n v="0.16930875675675675"/>
    <n v="169.30875675675674"/>
    <x v="1"/>
  </r>
  <r>
    <s v="007"/>
    <s v="MPA"/>
    <s v="520X0033"/>
    <s v="FICHE SUIVEUSE PLAQUE (BLANC)"/>
    <s v="UN"/>
    <n v="1500"/>
    <n v="0.20200000000000001"/>
    <n v="303"/>
    <x v="1"/>
  </r>
  <r>
    <s v="007"/>
    <s v="MPA"/>
    <s v="520X0035"/>
    <s v="FICHE SUIVEUSE PLAQUE (BLEU)"/>
    <s v="UN"/>
    <n v="2000"/>
    <n v="0.20156250000000001"/>
    <n v="403.125"/>
    <x v="1"/>
  </r>
  <r>
    <s v="007"/>
    <s v="MPA"/>
    <s v="520X0036"/>
    <s v="ETIQ BOBINE AUTOCOLLANT 2 COULEURS (+)"/>
    <s v="UN"/>
    <n v="500"/>
    <n v="0.35349999999999998"/>
    <n v="176.75"/>
    <x v="1"/>
  </r>
  <r>
    <s v="007"/>
    <s v="MPA"/>
    <s v="520X0037"/>
    <s v="ETIQ BOBINE AUTOCOLLANT 2 COULEURS (-)"/>
    <s v="UN"/>
    <n v="500"/>
    <n v="0.35349999999999998"/>
    <n v="176.75"/>
    <x v="1"/>
  </r>
  <r>
    <s v="007"/>
    <s v="MPA"/>
    <s v="520X0038"/>
    <s v="FICHE SUIVEUSE ENVELOPPEUSE"/>
    <s v="UN"/>
    <n v="750"/>
    <n v="0.2"/>
    <n v="150"/>
    <x v="1"/>
  </r>
  <r>
    <s v="007"/>
    <s v="MPA"/>
    <s v="520X0039"/>
    <s v="ETIQ INSTALL DANGER PR POWER CATEGORIEA 30x55"/>
    <s v="UN"/>
    <n v="4000"/>
    <n v="7.8508288043478272E-2"/>
    <n v="314.03315217391309"/>
    <x v="1"/>
  </r>
  <r>
    <s v="007"/>
    <s v="MPA"/>
    <s v="520X0040"/>
    <s v="ETIQ RECYCLAGE PLOMB 105/70"/>
    <s v="UN"/>
    <n v="16900"/>
    <n v="0.19714046669937446"/>
    <n v="3331.6738872194283"/>
    <x v="1"/>
  </r>
  <r>
    <s v="007"/>
    <s v="MPA"/>
    <s v="520X0042"/>
    <s v="ETIQ DEMARRAGE BATTERIE"/>
    <s v="UN"/>
    <n v="17500"/>
    <n v="0.11109840089016103"/>
    <n v="1944.222015577818"/>
    <x v="1"/>
  </r>
  <r>
    <s v="007"/>
    <s v="MPA"/>
    <s v="520X0049"/>
    <s v="ETIQ MIXTE COUV2 L1-L5 POWER 55X30mm"/>
    <s v="UN"/>
    <n v="5400"/>
    <n v="0.13101716436710481"/>
    <n v="707.49268758236599"/>
    <x v="1"/>
  </r>
  <r>
    <s v="007"/>
    <s v="MPA"/>
    <s v="521X0002"/>
    <s v="ETIQ MADE IN TUNISIA 60/10"/>
    <s v="UN"/>
    <n v="37000"/>
    <n v="2.5748804833685576E-2"/>
    <n v="952.70577884636634"/>
    <x v="1"/>
  </r>
  <r>
    <s v="007"/>
    <s v="MPA"/>
    <s v="521X0005"/>
    <s v="ETIQUETTE TUV 50/35"/>
    <s v="UN"/>
    <n v="10500"/>
    <n v="0.10309115209053761"/>
    <n v="1082.4570969506449"/>
    <x v="1"/>
  </r>
  <r>
    <s v="007"/>
    <s v="MPA"/>
    <s v="521X0011"/>
    <s v="ETIQ.REF.45AH 12V 340A (EN)"/>
    <s v="UN"/>
    <n v="2000"/>
    <n v="0.22"/>
    <n v="440"/>
    <x v="1"/>
  </r>
  <r>
    <s v="007"/>
    <s v="MPA"/>
    <s v="521X0012"/>
    <s v="ETIQ.REF.50AH 12V 380A (EN)"/>
    <s v="UN"/>
    <n v="1000"/>
    <n v="0.22"/>
    <n v="220"/>
    <x v="1"/>
  </r>
  <r>
    <s v="007"/>
    <s v="MPA"/>
    <s v="521X0013"/>
    <s v="ETIQ.REF.55AH 12V 450A EN"/>
    <s v="UN"/>
    <n v="8000"/>
    <n v="0.22"/>
    <n v="1760"/>
    <x v="1"/>
  </r>
  <r>
    <s v="007"/>
    <s v="MPA"/>
    <s v="521X0167"/>
    <s v="ETIQ INSTALL/DANGER GRIS 140X40"/>
    <s v="UN"/>
    <n v="13000"/>
    <n v="0.18271721810827421"/>
    <n v="2375.3238354075647"/>
    <x v="1"/>
  </r>
  <r>
    <s v="007"/>
    <s v="MPA"/>
    <s v="521X0179"/>
    <s v="ETIQ COUV POW EXP GRIS PL2 55AH 30/90"/>
    <s v="UN"/>
    <n v="1000"/>
    <n v="4.632E-2"/>
    <n v="46.32"/>
    <x v="1"/>
  </r>
  <r>
    <s v="007"/>
    <s v="MPA"/>
    <s v="521X0180"/>
    <s v="ETIQ COUV POW EXP GRIS PL2 60AH 30/90"/>
    <s v="UN"/>
    <n v="3800"/>
    <n v="0.04"/>
    <n v="152"/>
    <x v="1"/>
  </r>
  <r>
    <s v="007"/>
    <s v="MPA"/>
    <s v="521x0182"/>
    <s v="ETIQ COUV POW EXP GRIS PL3 70AH 30/90"/>
    <s v="UN"/>
    <n v="4000"/>
    <n v="9.6970161290322585E-2"/>
    <n v="387.88064516129032"/>
    <x v="1"/>
  </r>
  <r>
    <s v="007"/>
    <s v="MPA"/>
    <s v="521X0183"/>
    <s v="ETIQ COUV POW EXP GRIS PL3 66AH 30/90"/>
    <s v="UN"/>
    <n v="6000"/>
    <n v="0.04"/>
    <n v="240"/>
    <x v="1"/>
  </r>
  <r>
    <s v="007"/>
    <s v="MPA"/>
    <s v="521X0184"/>
    <s v="ETIQ COUV POW EXP GRIS PL3B 60AH 30/90"/>
    <s v="UN"/>
    <n v="3000"/>
    <n v="3.7999999999999999E-2"/>
    <n v="114"/>
    <x v="1"/>
  </r>
  <r>
    <s v="007"/>
    <s v="MPA"/>
    <s v="521X0185"/>
    <s v="ETIQ COUV POW EXP GRIS PL5 88AH 30/90"/>
    <s v="UN"/>
    <n v="2800"/>
    <n v="0.04"/>
    <n v="112"/>
    <x v="1"/>
  </r>
  <r>
    <s v="007"/>
    <s v="MPA"/>
    <s v="521X0186"/>
    <s v="ETIQ COUV POW EXP GRIS PL5 100AH 30/90"/>
    <s v="UN"/>
    <n v="2200"/>
    <n v="8.5849999999999996E-2"/>
    <n v="188.87"/>
    <x v="1"/>
  </r>
  <r>
    <s v="007"/>
    <s v="MPA"/>
    <s v="521X0187"/>
    <s v="ETIQ COUV POW EXP GRIS PM10 60AH 30/90"/>
    <s v="UN"/>
    <n v="3500"/>
    <n v="4.632E-2"/>
    <n v="162.12"/>
    <x v="1"/>
  </r>
  <r>
    <s v="007"/>
    <s v="MPA"/>
    <s v="521X0188"/>
    <s v="ETIQ COUV POW EXP GRIS PM11 90AH 30/90"/>
    <s v="UN"/>
    <n v="1500"/>
    <n v="0.1"/>
    <n v="150"/>
    <x v="1"/>
  </r>
  <r>
    <s v="007"/>
    <s v="MPA"/>
    <s v="521X0196"/>
    <s v="ETIQ COUV POW EXP NOIR PL1 50AH 30/90"/>
    <s v="UN"/>
    <n v="2000"/>
    <n v="0.04"/>
    <n v="80"/>
    <x v="1"/>
  </r>
  <r>
    <s v="007"/>
    <s v="MPA"/>
    <s v="521X0197"/>
    <s v="ETIQ COUV POW EXP NOIR PL2 60AH 30/90"/>
    <s v="UN"/>
    <n v="2000"/>
    <n v="0.04"/>
    <n v="80"/>
    <x v="1"/>
  </r>
  <r>
    <s v="007"/>
    <s v="MPA"/>
    <s v="521X0205"/>
    <s v="ETIQ BORNE (+) NOIR 17/25"/>
    <s v="UN"/>
    <n v="475"/>
    <n v="0.02"/>
    <n v="9.5"/>
    <x v="1"/>
  </r>
  <r>
    <s v="007"/>
    <s v="MPA"/>
    <s v="521X0207"/>
    <s v="ETIQ BORNE (-) NOIR 17/25"/>
    <s v="UN"/>
    <n v="700"/>
    <n v="0.02"/>
    <n v="14"/>
    <x v="1"/>
  </r>
  <r>
    <s v="007"/>
    <s v="MPA"/>
    <s v="521X0209"/>
    <s v="ETIQ COUV  EXP GRIS PL2S 62AH 30/90"/>
    <s v="UN"/>
    <n v="1500"/>
    <n v="0.1"/>
    <n v="150"/>
    <x v="1"/>
  </r>
  <r>
    <s v="007"/>
    <s v="MPA"/>
    <s v="521X0210"/>
    <s v="ETIQ COUV  EXP GRIS 220AH 30/90"/>
    <s v="UN"/>
    <n v="800"/>
    <n v="0.5"/>
    <n v="400"/>
    <x v="1"/>
  </r>
  <r>
    <s v="007"/>
    <s v="MPA"/>
    <s v="521X0211"/>
    <s v="ETIQ COUV D23 POWER LYBIE NOUV DESIGN 60AH 110/30"/>
    <s v="UN"/>
    <n v="500"/>
    <n v="7.3804819277108427E-2"/>
    <n v="36.902409638554211"/>
    <x v="1"/>
  </r>
  <r>
    <s v="007"/>
    <s v="MPA"/>
    <s v="521X0212"/>
    <s v="ETIQ COUV E2 POWER LYBIE NOUV DESIGN 40AH 110/30"/>
    <s v="UN"/>
    <n v="2000"/>
    <n v="0.19261557329462989"/>
    <n v="385.23114658925977"/>
    <x v="1"/>
  </r>
  <r>
    <s v="007"/>
    <s v="MPA"/>
    <s v="521x0213"/>
    <s v="ETIQ COUV L1POWER LYBIE NOUV DESIGN 45AH 110/30"/>
    <s v="UN"/>
    <n v="3700"/>
    <n v="0.16409220779220779"/>
    <n v="607.14116883116878"/>
    <x v="1"/>
  </r>
  <r>
    <s v="007"/>
    <s v="MPA"/>
    <s v="521x0214"/>
    <s v="ETIQ COUV L1 MF POWER LYBIE NOUV DESIGN 45AH 110/"/>
    <s v="UN"/>
    <n v="2500"/>
    <n v="6.239999999999999E-2"/>
    <n v="155.99999999999997"/>
    <x v="1"/>
  </r>
  <r>
    <s v="007"/>
    <s v="MPA"/>
    <s v="521X0215"/>
    <s v="ETIQ COUV L2 POWER LYBIE NOUV DESIGN 55AH 110/30"/>
    <s v="UN"/>
    <n v="7700"/>
    <n v="0.14368813320825516"/>
    <n v="1106.3986257035647"/>
    <x v="1"/>
  </r>
  <r>
    <s v="007"/>
    <s v="MPA"/>
    <s v="521X0216"/>
    <s v="ETIQ COUV L3 POWER LYBIE NOUV DESIGN 70AH 110/30"/>
    <s v="UN"/>
    <n v="2000"/>
    <n v="0.18179999999999999"/>
    <n v="363.59999999999997"/>
    <x v="1"/>
  </r>
  <r>
    <s v="007"/>
    <s v="MPA"/>
    <s v="521X0218"/>
    <s v="ETIQ COUV L5 POWER LYBIE NOUV DESIGN 100AH 110/30"/>
    <s v="UN"/>
    <n v="2000"/>
    <n v="7.648421052631578E-2"/>
    <n v="152.96842105263156"/>
    <x v="1"/>
  </r>
  <r>
    <s v="007"/>
    <s v="MPA"/>
    <s v="521X0219"/>
    <s v="ETIQ COUV M10 POWER LYBIE NOUV 60AH 210/40"/>
    <s v="UN"/>
    <n v="1000"/>
    <n v="3.6799999999999999E-2"/>
    <n v="36.799999999999997"/>
    <x v="1"/>
  </r>
  <r>
    <s v="007"/>
    <s v="MPA"/>
    <s v="521X0220"/>
    <s v="ETIQ COUV M11 POWER LYBIE NOUV DESIGN 90Ah 210/40"/>
    <s v="UN"/>
    <n v="3000"/>
    <n v="0.24112265193370169"/>
    <n v="723.36795580110504"/>
    <x v="1"/>
  </r>
  <r>
    <s v="007"/>
    <s v="MPA"/>
    <s v="521X0221"/>
    <s v="ETIQ COUV M14 POWER LYBIE NOUV DESIGN 120Ah 210/4"/>
    <s v="UN"/>
    <n v="1500"/>
    <n v="0.217"/>
    <n v="325.5"/>
    <x v="1"/>
  </r>
  <r>
    <s v="007"/>
    <s v="MPA"/>
    <s v="521X0222"/>
    <s v="ETIQ COUV M15 POWER LYBIE NOUV 150Ah 210/40"/>
    <s v="UN"/>
    <n v="3700"/>
    <n v="0.24612894736842103"/>
    <n v="910.67710526315784"/>
    <x v="1"/>
  </r>
  <r>
    <s v="007"/>
    <s v="MPA"/>
    <s v="521X0223"/>
    <s v="ETIQ COUV M16 POWER LYBIE NOUV 200Ah 210/40"/>
    <s v="UN"/>
    <n v="500"/>
    <n v="0.221"/>
    <n v="110.5"/>
    <x v="1"/>
  </r>
  <r>
    <s v="007"/>
    <s v="MPA"/>
    <s v="521X0224"/>
    <s v="ETIQ COUV D23 STARTER LYBI NOUV DESIGN 60AH 110/3"/>
    <s v="UN"/>
    <n v="3000"/>
    <n v="0.15185128205128204"/>
    <n v="455.55384615384611"/>
    <x v="1"/>
  </r>
  <r>
    <s v="007"/>
    <s v="MPA"/>
    <s v="521X0225"/>
    <s v="ETIQ COUV E2 STARTER LYBIE NOUV DESIGN 40AH 110/3"/>
    <s v="UN"/>
    <n v="1000"/>
    <n v="0.5"/>
    <n v="500"/>
    <x v="1"/>
  </r>
  <r>
    <s v="007"/>
    <s v="MPA"/>
    <s v="521X0226"/>
    <s v="ETIQ COUV L1STARTER LYBIE  45AH 110/30"/>
    <s v="UN"/>
    <n v="5200"/>
    <n v="0.15802043257091605"/>
    <n v="821.70624936876345"/>
    <x v="1"/>
  </r>
  <r>
    <s v="007"/>
    <s v="MPA"/>
    <s v="521X0228"/>
    <s v="ETIQ COUV L2 STARTER LYBIE NOUV DESIGN"/>
    <s v="UN"/>
    <n v="9600"/>
    <n v="0.159"/>
    <n v="1526.4"/>
    <x v="1"/>
  </r>
  <r>
    <s v="007"/>
    <s v="MPA"/>
    <s v="521X0229"/>
    <s v="ETIQ COUV L3 STARTER LYBIE NOUV DESIGN 70AH 110/3"/>
    <s v="UN"/>
    <n v="3200"/>
    <n v="0.18179999999999999"/>
    <n v="581.76"/>
    <x v="1"/>
  </r>
  <r>
    <s v="007"/>
    <s v="MPA"/>
    <s v="521X0231"/>
    <s v="ETIQ COUV L5 JUMBO LYBIE NOUV DESIGN 100AH 110/30"/>
    <s v="UN"/>
    <n v="7000"/>
    <n v="6.565E-2"/>
    <n v="459.55"/>
    <x v="1"/>
  </r>
  <r>
    <s v="007"/>
    <s v="MPA"/>
    <s v="521X0233"/>
    <s v="ETIQ COUV M11 STARTER LYBIE NOUV DESIGN 90Ah 210/"/>
    <s v="UN"/>
    <n v="1000"/>
    <n v="0.2224008620689655"/>
    <n v="222.40086206896549"/>
    <x v="1"/>
  </r>
  <r>
    <s v="007"/>
    <s v="MPA"/>
    <s v="521X0234"/>
    <s v="ETIQ COUV M14 STARTER LYBIE NOUV DESIGN 120Ah 210"/>
    <s v="UN"/>
    <n v="1000"/>
    <n v="0.221"/>
    <n v="221"/>
    <x v="1"/>
  </r>
  <r>
    <s v="007"/>
    <s v="MPA"/>
    <s v="521X0235"/>
    <s v="ETIQ COUV M15 STARTER LYBIE NOUV 150Ah 210/40"/>
    <s v="UN"/>
    <n v="2100"/>
    <n v="0.22500000000000001"/>
    <n v="472.5"/>
    <x v="1"/>
  </r>
  <r>
    <s v="007"/>
    <s v="MPA"/>
    <s v="521X0236"/>
    <s v="ETIQ COUV M16 STARTER LYBIE NOUV 200Ah 210/40"/>
    <s v="UN"/>
    <n v="3500"/>
    <n v="0.24947"/>
    <n v="873.14499999999998"/>
    <x v="1"/>
  </r>
  <r>
    <s v="007"/>
    <s v="MPA"/>
    <s v="521x0237"/>
    <s v="ETIQ COUV  L1B JUMBO LYBIE 45AH 110/30"/>
    <s v="UN"/>
    <n v="500"/>
    <n v="5.8000000000000003E-2"/>
    <n v="29"/>
    <x v="1"/>
  </r>
  <r>
    <s v="007"/>
    <s v="MPA"/>
    <s v="521x0238"/>
    <s v="ETIQ COUV L2 JUMBO EXP 55AH 110/30"/>
    <s v="UN"/>
    <n v="2200"/>
    <n v="9.6559444444444448E-2"/>
    <n v="212.43077777777779"/>
    <x v="1"/>
  </r>
  <r>
    <s v="007"/>
    <s v="MPA"/>
    <s v="521x0239"/>
    <s v="ETIQ COUV L3  JUMBO  EXP 70AH 110/30"/>
    <s v="UN"/>
    <n v="2000"/>
    <n v="0.18596489361702126"/>
    <n v="371.92978723404252"/>
    <x v="1"/>
  </r>
  <r>
    <s v="007"/>
    <s v="MPA"/>
    <s v="521X0240"/>
    <s v="ETIQ COUV  M10 JUMBO EXP 60AH 210/40"/>
    <s v="UN"/>
    <n v="2000"/>
    <n v="0.22049999999999997"/>
    <n v="440.99999999999994"/>
    <x v="1"/>
  </r>
  <r>
    <s v="007"/>
    <s v="MPA"/>
    <s v="521X0241"/>
    <s v="ETIQ COUV  M11 JUMBO EXP 90AH 210/40"/>
    <s v="UN"/>
    <n v="3500"/>
    <n v="0.21712999999999993"/>
    <n v="759.95499999999981"/>
    <x v="1"/>
  </r>
  <r>
    <s v="007"/>
    <s v="MPA"/>
    <s v="521X0242"/>
    <s v="ETIQ COUV  JUMBO M15 LYBIE 150AH 210/40"/>
    <s v="UN"/>
    <n v="2000"/>
    <n v="0.10500000000000001"/>
    <n v="210.00000000000003"/>
    <x v="1"/>
  </r>
  <r>
    <s v="007"/>
    <s v="MPA"/>
    <s v="521X0284"/>
    <s v="ETIQ COUV1 L1 POWER EXP 118/50"/>
    <s v="UN"/>
    <n v="2500"/>
    <n v="0.21358551020408162"/>
    <n v="533.96377551020407"/>
    <x v="1"/>
  </r>
  <r>
    <s v="007"/>
    <s v="MPA"/>
    <s v="521X0285"/>
    <s v="ETIQ COUV1 L2 POWER EXP 138/50"/>
    <s v="UN"/>
    <n v="2000"/>
    <n v="0.155"/>
    <n v="310"/>
    <x v="1"/>
  </r>
  <r>
    <s v="007"/>
    <s v="MPA"/>
    <s v="521X0286"/>
    <s v="ETIQ COUV1 L3 POWER EXP 115/50"/>
    <s v="UN"/>
    <n v="500"/>
    <n v="6.720000000000001E-2"/>
    <n v="33.6"/>
    <x v="1"/>
  </r>
  <r>
    <s v="007"/>
    <s v="MPA"/>
    <s v="521X0287"/>
    <s v="ETIQ COUV2 L1 POWER STANDARD LYBIE ALG 56/50"/>
    <s v="UN"/>
    <n v="3000"/>
    <n v="3.0720000000000004E-2"/>
    <n v="92.160000000000011"/>
    <x v="1"/>
  </r>
  <r>
    <s v="007"/>
    <s v="MPA"/>
    <s v="521X0288"/>
    <s v="ETIQ COUV2 L2 POWER EXP 66/50"/>
    <s v="UN"/>
    <n v="1000"/>
    <n v="3.5000000000000003E-2"/>
    <n v="35"/>
    <x v="1"/>
  </r>
  <r>
    <s v="007"/>
    <s v="MPA"/>
    <s v="521X0289"/>
    <s v="ETIQ COUV2 L3 POWER EXP 115/50"/>
    <s v="UN"/>
    <n v="3000"/>
    <n v="6.720000000000001E-2"/>
    <n v="201.60000000000002"/>
    <x v="1"/>
  </r>
  <r>
    <s v="007"/>
    <s v="MPA"/>
    <s v="521X0290"/>
    <s v="ETIQ COUV1 L1 STARTER LYBIE MF 118/50"/>
    <s v="UN"/>
    <n v="4000"/>
    <n v="0.228495"/>
    <n v="913.98"/>
    <x v="1"/>
  </r>
  <r>
    <s v="007"/>
    <s v="MPA"/>
    <s v="521X0291"/>
    <s v="ETIQ COUV1 L2 STARTER LYBIE MF 138/50"/>
    <s v="UN"/>
    <n v="1000"/>
    <n v="0.14879999999999999"/>
    <n v="148.79999999999998"/>
    <x v="1"/>
  </r>
  <r>
    <s v="007"/>
    <s v="MPA"/>
    <s v="521X0293"/>
    <s v="ETIQ COUV2 L1 STARTER LYBIE MF 56/50"/>
    <s v="UN"/>
    <n v="3300"/>
    <n v="0.1515"/>
    <n v="499.95"/>
    <x v="1"/>
  </r>
  <r>
    <s v="007"/>
    <s v="MPA"/>
    <s v="521X0294"/>
    <s v="ETIQ COUV2 L2 STARTER LYBIE MF 66/50"/>
    <s v="UN"/>
    <n v="1500"/>
    <n v="3.3600000000000005E-2"/>
    <n v="50.400000000000006"/>
    <x v="1"/>
  </r>
  <r>
    <s v="007"/>
    <s v="MPA"/>
    <s v="521X0295"/>
    <s v="ETIQ COUV2 L3 STARTER LYBIE MF 115/50"/>
    <s v="UN"/>
    <n v="1000"/>
    <n v="0.20316491228070174"/>
    <n v="203.16491228070174"/>
    <x v="1"/>
  </r>
  <r>
    <s v="007"/>
    <s v="MPA"/>
    <s v="521X0310"/>
    <s v="ETIQ COUV POW EXP GRIS M11 80AH 640A 30/90"/>
    <s v="UN"/>
    <n v="3400"/>
    <n v="9.6687558107738575E-2"/>
    <n v="328.73769756631117"/>
    <x v="1"/>
  </r>
  <r>
    <s v="007"/>
    <s v="MPA"/>
    <s v="521X0313"/>
    <s v="ETIQ COUV M15S JUMBO 188AH-1100A 210/40"/>
    <s v="UN"/>
    <n v="2500"/>
    <n v="0.216"/>
    <n v="540"/>
    <x v="1"/>
  </r>
  <r>
    <s v="007"/>
    <s v="MPA"/>
    <s v="521X0337"/>
    <s v="ETIQ COUV POWER LYBIE D26 70AH-510A 235/50"/>
    <s v="UN"/>
    <n v="3500"/>
    <n v="0.25755"/>
    <n v="901.42499999999995"/>
    <x v="1"/>
  </r>
  <r>
    <s v="007"/>
    <s v="MPA"/>
    <s v="521X0338"/>
    <s v="ETIQ COUV POWER LYBIE D31 90AH-620A 280/50"/>
    <s v="UN"/>
    <n v="3300"/>
    <n v="0.29289999999999999"/>
    <n v="966.56999999999994"/>
    <x v="1"/>
  </r>
  <r>
    <s v="007"/>
    <s v="MPA"/>
    <s v="521X0339"/>
    <s v="ETIQ COUV STARTER LYBIE D26 235/50"/>
    <s v="UN"/>
    <n v="2500"/>
    <n v="0.25755"/>
    <n v="643.875"/>
    <x v="1"/>
  </r>
  <r>
    <s v="007"/>
    <s v="MPA"/>
    <s v="521X0340"/>
    <s v="ETIQ COUV STARTER D31 90AH-620 280/50"/>
    <s v="UN"/>
    <n v="3000"/>
    <n v="0.29289999999999999"/>
    <n v="878.69999999999993"/>
    <x v="1"/>
  </r>
  <r>
    <s v="007"/>
    <s v="MPA"/>
    <s v="521X0341"/>
    <s v="ETIQ COUV1 L3 80AH STARTER LYBIE MF 115/50"/>
    <s v="UN"/>
    <n v="2000"/>
    <n v="0.20705000000000004"/>
    <n v="414.10000000000008"/>
    <x v="1"/>
  </r>
  <r>
    <s v="007"/>
    <s v="MPA"/>
    <s v="521X0345"/>
    <s v="ETIQ COUV L1B 110*30 44Ah 360A BATCAR"/>
    <s v="UN"/>
    <n v="3000"/>
    <n v="0.21210000000000001"/>
    <n v="636.30000000000007"/>
    <x v="1"/>
  </r>
  <r>
    <s v="007"/>
    <s v="MPA"/>
    <s v="521X0346"/>
    <s v="ETIQ COUV L2B 110*30 55Ah 480A BATCAR"/>
    <s v="UN"/>
    <n v="3700"/>
    <n v="0.20891192341166234"/>
    <n v="772.97411662315062"/>
    <x v="1"/>
  </r>
  <r>
    <s v="007"/>
    <s v="MPA"/>
    <s v="521X0347"/>
    <s v="ETIQ COUV L3B 110*30 72Ah 640A BATCAR"/>
    <s v="UN"/>
    <n v="2220"/>
    <n v="0.20388062827225134"/>
    <n v="452.61499476439798"/>
    <x v="1"/>
  </r>
  <r>
    <s v="007"/>
    <s v="MPA"/>
    <s v="521X0348"/>
    <s v="ETIQ COUV L5 110*30 95Ah 760A BATCAR"/>
    <s v="UN"/>
    <n v="3820"/>
    <n v="0.18387219917012451"/>
    <n v="702.39180082987559"/>
    <x v="1"/>
  </r>
  <r>
    <s v="007"/>
    <s v="MPA"/>
    <s v="521X0349"/>
    <s v="ETIQ SIGNES DANGERS L1B L2B L3B L5 50*30 BATCAR"/>
    <s v="UN"/>
    <n v="21000"/>
    <n v="0.1816888681204569"/>
    <n v="3815.4662305295947"/>
    <x v="1"/>
  </r>
  <r>
    <s v="007"/>
    <s v="MPA"/>
    <s v="521X0350"/>
    <s v="ETIQ COUV1 L1 66/66 ELECT"/>
    <s v="UN"/>
    <n v="2850"/>
    <n v="0.21210000000000001"/>
    <n v="604.48500000000001"/>
    <x v="1"/>
  </r>
  <r>
    <s v="007"/>
    <s v="MPA"/>
    <s v="521X0351"/>
    <s v="ETIQ COUV2 L1 118/66 ELEC"/>
    <s v="UN"/>
    <n v="2850"/>
    <n v="0.2828"/>
    <n v="805.98"/>
    <x v="1"/>
  </r>
  <r>
    <s v="007"/>
    <s v="MPA"/>
    <s v="521X0352"/>
    <s v="ETIQ COUV1 L2 77/66 550AH ELECTRON"/>
    <s v="UN"/>
    <n v="2850"/>
    <n v="0.21210000000000001"/>
    <n v="604.48500000000001"/>
    <x v="1"/>
  </r>
  <r>
    <s v="007"/>
    <s v="MPA"/>
    <s v="521X0353"/>
    <s v="ETIQ COUV2 L2 149/66 ELEC 550 AH"/>
    <s v="UN"/>
    <n v="2850"/>
    <n v="0.30299999999999999"/>
    <n v="863.55"/>
    <x v="1"/>
  </r>
  <r>
    <s v="007"/>
    <s v="MPA"/>
    <s v="521X0354"/>
    <s v="ETIQ COUV1 L2 77/66 620AH ELECTRON 620AH"/>
    <s v="UN"/>
    <n v="2850"/>
    <n v="0.21210000000000001"/>
    <n v="604.48500000000001"/>
    <x v="1"/>
  </r>
  <r>
    <s v="007"/>
    <s v="MPA"/>
    <s v="521X0355"/>
    <s v="ETIQ COUV2 L2 149/66 ELEC 620 AH"/>
    <s v="UN"/>
    <n v="2850"/>
    <n v="0.30299999999999999"/>
    <n v="863.55"/>
    <x v="1"/>
  </r>
  <r>
    <s v="007"/>
    <s v="MPA"/>
    <s v="521X0358"/>
    <s v="ETIQ COUV1 L3 120/71 ELEC 720 AH"/>
    <s v="UN"/>
    <n v="2200"/>
    <n v="0.2828"/>
    <n v="622.16"/>
    <x v="1"/>
  </r>
  <r>
    <s v="007"/>
    <s v="MPA"/>
    <s v="521X0359"/>
    <s v="ETIQ COUV2 L3 120/71 ELECTRON 720 AH"/>
    <s v="UN"/>
    <n v="2200"/>
    <n v="0.2828"/>
    <n v="622.16"/>
    <x v="1"/>
  </r>
  <r>
    <s v="007"/>
    <s v="MPA"/>
    <s v="521X0362"/>
    <s v="ETIQ COUV1 L5 160/71 ELEC 1000 AH"/>
    <s v="UN"/>
    <n v="2500"/>
    <n v="0.34945999999999999"/>
    <n v="873.65"/>
    <x v="1"/>
  </r>
  <r>
    <s v="007"/>
    <s v="MPA"/>
    <s v="521X0363"/>
    <s v="ETIQ COUV2  L5 160/71 ELE 1000 AH"/>
    <s v="UN"/>
    <n v="2500"/>
    <n v="0.34945999999999999"/>
    <n v="873.65"/>
    <x v="1"/>
  </r>
  <r>
    <s v="007"/>
    <s v="MPA"/>
    <s v="521X0366"/>
    <s v="ETIQ COUV1 J4/NS60 217/48 GUACHE"/>
    <s v="UN"/>
    <n v="2250"/>
    <n v="0.40400000000000003"/>
    <n v="909.00000000000011"/>
    <x v="1"/>
  </r>
  <r>
    <s v="007"/>
    <s v="MPA"/>
    <s v="521X0368"/>
    <s v="ETIQ COUV1 J6/D23 208/52 ELECTON GAUCHE"/>
    <s v="UN"/>
    <n v="2370"/>
    <n v="0.40400000000000003"/>
    <n v="957.48"/>
    <x v="1"/>
  </r>
  <r>
    <s v="007"/>
    <s v="MPA"/>
    <s v="521X0370"/>
    <s v="ETIQ COUV1 J7/D26 235/52 ELECTRON GAUCHE"/>
    <s v="UN"/>
    <n v="1870"/>
    <n v="0.45449999999999996"/>
    <n v="849.91499999999996"/>
    <x v="1"/>
  </r>
  <r>
    <s v="007"/>
    <s v="MPA"/>
    <s v="521X0372"/>
    <s v="ETIQ COUV1 J0/D31 280/52 ELECTRON GAUCHE"/>
    <s v="UN"/>
    <n v="2370"/>
    <n v="0.55549999999999999"/>
    <n v="1316.5350000000001"/>
    <x v="1"/>
  </r>
  <r>
    <s v="007"/>
    <s v="MPA"/>
    <s v="521X0374"/>
    <s v="ETIQ COUV1 L1 66/66 MF54459 BINSHIHOUN"/>
    <s v="UN"/>
    <n v="1000"/>
    <n v="0.21210000000000001"/>
    <n v="212.10000000000002"/>
    <x v="1"/>
  </r>
  <r>
    <s v="007"/>
    <s v="MPA"/>
    <s v="521X0375"/>
    <s v="ETIQ COUV2 L1 118/66 BINSHIHOUN MF 54459"/>
    <s v="UN"/>
    <n v="1000"/>
    <n v="0.35349999999999998"/>
    <n v="353.5"/>
    <x v="1"/>
  </r>
  <r>
    <s v="007"/>
    <s v="MPA"/>
    <s v="521X0376"/>
    <s v="ETIQ COUV L2 77/66 MF5559 BINSHIHOUN"/>
    <s v="UN"/>
    <n v="1250"/>
    <n v="0.2525"/>
    <n v="315.625"/>
    <x v="1"/>
  </r>
  <r>
    <s v="007"/>
    <s v="MPA"/>
    <s v="521X0377"/>
    <s v="ETIQ COUV L2 149/66 BINSHIHOUN MF 55559"/>
    <s v="UN"/>
    <n v="1250"/>
    <n v="0.43935000000000002"/>
    <n v="549.1875"/>
    <x v="1"/>
  </r>
  <r>
    <s v="007"/>
    <s v="MPA"/>
    <s v="521X0378"/>
    <s v="ETIQ COUV L2 120/71 MF56219 BIN SHIHOUN"/>
    <s v="UN"/>
    <n v="1500"/>
    <n v="0.2525"/>
    <n v="378.75"/>
    <x v="1"/>
  </r>
  <r>
    <s v="007"/>
    <s v="MPA"/>
    <s v="521X0379"/>
    <s v="ETIQ COUV 149/66 L2 MF56219 BIN SHIHOUN"/>
    <s v="UN"/>
    <n v="1500"/>
    <n v="0.43934999999999996"/>
    <n v="659.02499999999998"/>
    <x v="1"/>
  </r>
  <r>
    <s v="007"/>
    <s v="MPA"/>
    <s v="521X0380"/>
    <s v="ETIQ COUV  120/71 L3 MF56638 BINSHIHOUN"/>
    <s v="UN"/>
    <n v="2000"/>
    <n v="0.42925000000000002"/>
    <n v="858.5"/>
    <x v="1"/>
  </r>
  <r>
    <s v="007"/>
    <s v="MPA"/>
    <s v="521X0381"/>
    <s v="ETIQ COUV 120/71 L3 MF56638 BIN SHIHOUN"/>
    <s v="UN"/>
    <n v="2000"/>
    <n v="0.42925000000000002"/>
    <n v="858.5"/>
    <x v="1"/>
  </r>
  <r>
    <s v="007"/>
    <s v="MPA"/>
    <s v="521X0382"/>
    <s v="ETIQ COUV 120/71 L3 MF 57220 BINSHIHOUN"/>
    <s v="UN"/>
    <n v="1550"/>
    <n v="0.42499999999999999"/>
    <n v="658.75"/>
    <x v="1"/>
  </r>
  <r>
    <s v="007"/>
    <s v="MPA"/>
    <s v="521X0383"/>
    <s v="ETIQ COUV 120/71 L3 MF 57220 BIN SHIHOUN"/>
    <s v="UN"/>
    <n v="1550"/>
    <n v="0.42924999999999996"/>
    <n v="665.33749999999998"/>
    <x v="1"/>
  </r>
  <r>
    <s v="007"/>
    <s v="MPA"/>
    <s v="521X0384"/>
    <s v="ETIQ COUV 160/71 L5 MF58827 BIN SHIHOUN"/>
    <s v="UN"/>
    <n v="1750"/>
    <n v="0.47975000000000001"/>
    <n v="839.5625"/>
    <x v="1"/>
  </r>
  <r>
    <s v="007"/>
    <s v="MPA"/>
    <s v="521X0385"/>
    <s v="ETIQ COUV 2 160/71 L5 MF58827 BINSHIHOUN"/>
    <s v="UN"/>
    <n v="1500"/>
    <n v="0.47975000000000001"/>
    <n v="719.625"/>
    <x v="1"/>
  </r>
  <r>
    <s v="007"/>
    <s v="MPA"/>
    <s v="521X0386"/>
    <s v="ETIQ COUV 160/71 L5 MF60038 BIN SHIHOUN"/>
    <s v="UN"/>
    <n v="2250"/>
    <n v="0.47975000000000001"/>
    <n v="1079.4375"/>
    <x v="1"/>
  </r>
  <r>
    <s v="007"/>
    <s v="MPA"/>
    <s v="521X0387"/>
    <s v="ETIQ COUV 2 L5 160/71 MF60038 BIN SHIHOUN"/>
    <s v="UN"/>
    <n v="2000"/>
    <n v="0.47975000000000001"/>
    <n v="959.5"/>
    <x v="1"/>
  </r>
  <r>
    <s v="007"/>
    <s v="MPA"/>
    <s v="521X0391"/>
    <s v="ETIQ COUV 217/48 NS60G MF50B24RS BINSHIHOUN"/>
    <s v="UN"/>
    <n v="3500"/>
    <n v="0.60398000000000007"/>
    <n v="2113.9300000000003"/>
    <x v="1"/>
  </r>
  <r>
    <s v="007"/>
    <s v="MPA"/>
    <s v="521X0392"/>
    <s v="ETIQ COUV 208/52 D23D MF55D23L BINSHIHOUN"/>
    <s v="UN"/>
    <n v="3500"/>
    <n v="0.61609999999999998"/>
    <n v="2156.35"/>
    <x v="1"/>
  </r>
  <r>
    <s v="007"/>
    <s v="MPA"/>
    <s v="521X0393"/>
    <s v="ETIQ COUV 208/52 D23G MF55D23R BINSHIHOUN"/>
    <s v="UN"/>
    <n v="1500"/>
    <n v="0.61609999999999998"/>
    <n v="924.15"/>
    <x v="1"/>
  </r>
  <r>
    <s v="007"/>
    <s v="MPA"/>
    <s v="521X0395"/>
    <s v="ETIQ COUV 235/52 D26G MF80D26R BINSHIHOUN"/>
    <s v="UN"/>
    <n v="2000"/>
    <n v="0.66154999999999997"/>
    <n v="1323.1"/>
    <x v="1"/>
  </r>
  <r>
    <s v="007"/>
    <s v="MPA"/>
    <s v="521X0399"/>
    <s v="ETIQ COUV 235/52 D26G MF48D26R BIN SHIHOUN"/>
    <s v="UN"/>
    <n v="500"/>
    <n v="0.66155000000000008"/>
    <n v="330.77500000000003"/>
    <x v="1"/>
  </r>
  <r>
    <s v="007"/>
    <s v="MPA"/>
    <s v="521X0400"/>
    <s v="ETIQ COUV 280/52 D31D MF65D31L BIN SHIHOUN"/>
    <s v="UN"/>
    <n v="1500"/>
    <n v="0.70194999999999996"/>
    <n v="1052.925"/>
    <x v="1"/>
  </r>
  <r>
    <s v="007"/>
    <s v="MPA"/>
    <s v="521X0401"/>
    <s v="ETIQ COUV 280/52 D31G MF65D31R BINSHIHOUN"/>
    <s v="UN"/>
    <n v="1500"/>
    <n v="0.70194999999999996"/>
    <n v="1052.925"/>
    <x v="1"/>
  </r>
  <r>
    <s v="007"/>
    <s v="MPA"/>
    <s v="521X0402"/>
    <s v="ETIQ COUV 280/52 D31D 105D31L BIN SHIHOUN"/>
    <s v="UN"/>
    <n v="1500"/>
    <n v="0.70194999999999996"/>
    <n v="1052.925"/>
    <x v="1"/>
  </r>
  <r>
    <s v="007"/>
    <s v="MPA"/>
    <s v="521X0403"/>
    <s v="ETIQUETTE T10 COUV  50AH420A19050MM L1"/>
    <s v="UN"/>
    <n v="1000"/>
    <n v="0.31025851613783012"/>
    <n v="310.2585161378301"/>
    <x v="1"/>
  </r>
  <r>
    <s v="007"/>
    <s v="MPA"/>
    <s v="521X0404"/>
    <s v="ETIQUETTE T12 COUV   60AH L2B"/>
    <s v="UN"/>
    <n v="3500"/>
    <n v="0.48080313646980316"/>
    <n v="1682.8109776443112"/>
    <x v="1"/>
  </r>
  <r>
    <s v="007"/>
    <s v="MPA"/>
    <s v="521X0405"/>
    <s v="ETIQUETTE T15 COUV 62AH 540 A L2"/>
    <s v="UN"/>
    <n v="1000"/>
    <n v="0.48318024083196498"/>
    <n v="483.18024083196497"/>
    <x v="1"/>
  </r>
  <r>
    <s v="007"/>
    <s v="MPA"/>
    <s v="521X0406"/>
    <s v="ETIQUETTE T16 COUV 72AH 640 A L3B"/>
    <s v="UN"/>
    <n v="2500"/>
    <n v="0.52519999999999989"/>
    <n v="1312.9999999999998"/>
    <x v="1"/>
  </r>
  <r>
    <s v="007"/>
    <s v="MPA"/>
    <s v="521X0407"/>
    <s v="ETIQUETTE T17 COUV 72AH 640 A L3"/>
    <s v="UN"/>
    <n v="2500"/>
    <n v="0.50384074051075545"/>
    <n v="1259.6018512768885"/>
    <x v="1"/>
  </r>
  <r>
    <s v="007"/>
    <s v="MPA"/>
    <s v="521X0408"/>
    <s v="ETIQUETTE T22 COUV 100AH 800 A L5"/>
    <s v="UN"/>
    <n v="3500"/>
    <n v="0.68174999999999997"/>
    <n v="2386.125"/>
    <x v="1"/>
  </r>
  <r>
    <s v="007"/>
    <s v="MPA"/>
    <s v="521X0409"/>
    <s v="ETIQUETTE BAC WINMAXX 90/180 PF"/>
    <s v="UN"/>
    <n v="4200"/>
    <n v="0.39895000000000008"/>
    <n v="1675.5900000000004"/>
    <x v="1"/>
  </r>
  <r>
    <s v="007"/>
    <s v="MPA"/>
    <s v="521X0410"/>
    <s v="ETIQ COUVERCLE L1 WINMAXX 45AH 370A (EN) 190/50"/>
    <s v="UN"/>
    <n v="7498"/>
    <n v="0.47469999999999996"/>
    <n v="3559.3005999999996"/>
    <x v="1"/>
  </r>
  <r>
    <s v="007"/>
    <s v="MPA"/>
    <s v="521X0411"/>
    <s v="ETIQ COUVERCLE L2 WINMAXX 55AH 450A (EN) 225/50"/>
    <s v="UN"/>
    <n v="3730"/>
    <n v="0.505"/>
    <n v="1883.65"/>
    <x v="1"/>
  </r>
  <r>
    <s v="007"/>
    <s v="MPA"/>
    <s v="521X0412"/>
    <s v="ETIQ COUVERCLE L3 WINMAXX 70AH 600A (EN) 255/50"/>
    <s v="UN"/>
    <n v="6930"/>
    <n v="0.57569999999999999"/>
    <n v="3989.6010000000001"/>
    <x v="1"/>
  </r>
  <r>
    <s v="007"/>
    <s v="MPA"/>
    <s v="521X0413"/>
    <s v="ETIQUETTE BAC WINMAXX MF"/>
    <s v="UN"/>
    <n v="3145"/>
    <n v="0.55044999999999999"/>
    <n v="1731.16525"/>
    <x v="1"/>
  </r>
  <r>
    <s v="007"/>
    <s v="MPA"/>
    <s v="521X0414"/>
    <s v="ETIQUETTE BAC WINMAXX GF"/>
    <s v="UN"/>
    <n v="3835"/>
    <n v="0.68679999999999997"/>
    <n v="2633.8779999999997"/>
    <x v="1"/>
  </r>
  <r>
    <s v="007"/>
    <s v="MPA"/>
    <s v="521X0415"/>
    <s v="ETIQ COUVERCLE D23 WINMAXX 60 AH"/>
    <s v="UN"/>
    <n v="2080"/>
    <n v="0.22219999999999998"/>
    <n v="462.17599999999999"/>
    <x v="1"/>
  </r>
  <r>
    <s v="007"/>
    <s v="MPA"/>
    <s v="521X0416"/>
    <s v="ETIQ COUV M11 WINMAX 90Ah"/>
    <s v="UN"/>
    <n v="2860"/>
    <n v="0.38379999999999997"/>
    <n v="1097.6679999999999"/>
    <x v="1"/>
  </r>
  <r>
    <s v="007"/>
    <s v="MPA"/>
    <s v="521X0417"/>
    <s v="ETIQ COUV M15 WINMAXX 150 AH"/>
    <s v="UN"/>
    <n v="3480"/>
    <n v="0.38379999999999992"/>
    <n v="1335.6239999999998"/>
    <x v="1"/>
  </r>
  <r>
    <s v="007"/>
    <s v="MPA"/>
    <s v="530P0021"/>
    <s v="CARTE GARANTIE NOUR"/>
    <s v="UN"/>
    <n v="18200"/>
    <n v="0.11613982249557735"/>
    <n v="2113.7447694195075"/>
    <x v="1"/>
  </r>
  <r>
    <s v="007"/>
    <s v="MPA"/>
    <s v="530P0022"/>
    <s v="CARTE GARANTIE SANS ENTRETIEN"/>
    <s v="UN"/>
    <n v="8200"/>
    <n v="0.11615"/>
    <n v="952.43000000000006"/>
    <x v="1"/>
  </r>
  <r>
    <s v="007"/>
    <s v="MPA"/>
    <s v="530X0015"/>
    <s v="CARTE GARANTIE ELECTRON"/>
    <s v="UN"/>
    <n v="7500"/>
    <n v="0.1313"/>
    <n v="984.75"/>
    <x v="1"/>
  </r>
  <r>
    <s v="007"/>
    <s v="MPA"/>
    <s v="530X0016"/>
    <s v="CARTE GARANTIE BIN SHIHOUN"/>
    <s v="UN"/>
    <n v="900"/>
    <n v="0.1212"/>
    <n v="109.08"/>
    <x v="1"/>
  </r>
  <r>
    <s v="007"/>
    <s v="MPA"/>
    <s v="580B0002"/>
    <s v="EMB BIG BAG SANS HOUSSE"/>
    <s v="UN"/>
    <n v="3600"/>
    <n v="11.607676243473144"/>
    <n v="41787.634476503314"/>
    <x v="1"/>
  </r>
  <r>
    <s v="007"/>
    <s v="MPA"/>
    <s v="580C0012"/>
    <s v="Cornière en carton kraft D40mm L1m"/>
    <s v="UN"/>
    <n v="1380"/>
    <n v="0.51462629309645624"/>
    <n v="710.18428447310964"/>
    <x v="1"/>
  </r>
  <r>
    <s v="007"/>
    <s v="MPA"/>
    <s v="580C0014"/>
    <s v="POLYESTER COVER FOR NS60/J4 240X130X20mm"/>
    <s v="UN"/>
    <n v="57"/>
    <n v="0.22000000000000003"/>
    <n v="12.540000000000001"/>
    <x v="1"/>
  </r>
  <r>
    <s v="007"/>
    <s v="MPA"/>
    <s v="580C0015"/>
    <s v="POLYESTER COVER FOR D23/J6 230X180X20mm"/>
    <s v="UN"/>
    <n v="230"/>
    <n v="0.253"/>
    <n v="58.19"/>
    <x v="1"/>
  </r>
  <r>
    <s v="007"/>
    <s v="MPA"/>
    <s v="580C0016"/>
    <s v="POLYESTER COVER FOR D26/J7 260X180X20mm"/>
    <s v="UN"/>
    <n v="35"/>
    <n v="0.29099999999999998"/>
    <n v="10.184999999999999"/>
    <x v="1"/>
  </r>
  <r>
    <s v="007"/>
    <s v="MPA"/>
    <s v="580C0018"/>
    <s v="POLYESTER COVER FOR L1 200X170X10mm"/>
    <s v="UN"/>
    <n v="168"/>
    <n v="0.10925000000000001"/>
    <n v="18.354000000000003"/>
    <x v="1"/>
  </r>
  <r>
    <s v="007"/>
    <s v="MPA"/>
    <s v="580C0019"/>
    <s v="POLYESTER COVER FOR L2 240X170X10mm"/>
    <s v="UN"/>
    <n v="340"/>
    <n v="0.13355081967213117"/>
    <n v="45.407278688524599"/>
    <x v="1"/>
  </r>
  <r>
    <s v="007"/>
    <s v="MPA"/>
    <s v="580C0020"/>
    <s v="POLYESTER COVER FOR L3 275X170X10mm"/>
    <s v="UN"/>
    <n v="103"/>
    <n v="0.152"/>
    <n v="15.655999999999999"/>
    <x v="1"/>
  </r>
  <r>
    <s v="007"/>
    <s v="MPA"/>
    <s v="580C0021"/>
    <s v="POLYESTER COVER FOR L5 340X170X10mm"/>
    <s v="UN"/>
    <n v="653"/>
    <n v="0.19"/>
    <n v="124.07000000000001"/>
    <x v="1"/>
  </r>
  <r>
    <s v="007"/>
    <s v="MPA"/>
    <s v="580C0023"/>
    <s v="POLYESTER COVER FOR NS60/J4 240X130X10mm"/>
    <s v="UN"/>
    <n v="14"/>
    <n v="0.11"/>
    <n v="1.54"/>
    <x v="1"/>
  </r>
  <r>
    <s v="007"/>
    <s v="MPA"/>
    <s v="580C0024"/>
    <s v="POLYESTER COVER FOR D23/J6 230X180X10mm"/>
    <s v="UN"/>
    <n v="267"/>
    <n v="0.12654081632653061"/>
    <n v="33.786397959183674"/>
    <x v="1"/>
  </r>
  <r>
    <s v="007"/>
    <s v="MPA"/>
    <s v="580C0025"/>
    <s v="POLYESTER COVER FOR D26/J7 260X180X10mm"/>
    <s v="UN"/>
    <n v="1000"/>
    <n v="0.14552119499394428"/>
    <n v="145.52119499394428"/>
    <x v="1"/>
  </r>
  <r>
    <s v="007"/>
    <s v="MPA"/>
    <s v="580C0030"/>
    <s v="Carton box L1 MF54459215X180X200"/>
    <s v="UN"/>
    <n v="829"/>
    <n v="5.3529999999999998"/>
    <n v="4437.6369999999997"/>
    <x v="1"/>
  </r>
  <r>
    <s v="007"/>
    <s v="MPA"/>
    <s v="580C0031"/>
    <s v="Carton  MF55559 L2 250X180X200"/>
    <s v="UN"/>
    <n v="720"/>
    <n v="5.5549999999999997"/>
    <n v="3999.6"/>
    <x v="1"/>
  </r>
  <r>
    <s v="007"/>
    <s v="MPA"/>
    <s v="580C0032"/>
    <s v="Carton box L3 MF56638 286X180X200 ELECTRON"/>
    <s v="UN"/>
    <n v="895"/>
    <n v="4.8479999999999999"/>
    <n v="4338.96"/>
    <x v="1"/>
  </r>
  <r>
    <s v="007"/>
    <s v="MPA"/>
    <s v="580C0034"/>
    <s v="Carton box L5 MF58827 360X180X200 ELECTRON"/>
    <s v="UN"/>
    <n v="953"/>
    <n v="7.3730000000000002"/>
    <n v="7026.4690000000001"/>
    <x v="1"/>
  </r>
  <r>
    <s v="007"/>
    <s v="MPA"/>
    <s v="580C0036"/>
    <s v="Carton box j4 MF 50B24LS 240X136X236 ELECTRON"/>
    <s v="UN"/>
    <n v="880"/>
    <n v="5.05"/>
    <n v="4444"/>
    <x v="1"/>
  </r>
  <r>
    <s v="007"/>
    <s v="MPA"/>
    <s v="580C0037"/>
    <s v="CARTON BOX J6 MF48D26R 232X180X232 ELECTRON"/>
    <s v="UN"/>
    <n v="840"/>
    <n v="5.9589999999999996"/>
    <n v="5005.5599999999995"/>
    <x v="1"/>
  </r>
  <r>
    <s v="007"/>
    <s v="MPA"/>
    <s v="580C0038"/>
    <s v="CARTON BOX J7 MF48D26R 260X180X235 ELECTRON"/>
    <s v="UN"/>
    <n v="831"/>
    <n v="6.3630000000000004"/>
    <n v="5287.6530000000002"/>
    <x v="1"/>
  </r>
  <r>
    <s v="007"/>
    <s v="MPA"/>
    <s v="580C0039"/>
    <s v="CARTON BOX J0105D31L 310X180X233 ELECTRON"/>
    <s v="UN"/>
    <n v="1040"/>
    <n v="7.676000000000001"/>
    <n v="7983.0400000000009"/>
    <x v="1"/>
  </r>
  <r>
    <s v="007"/>
    <s v="MPA"/>
    <s v="580C0041"/>
    <s v="CARTON BOX L2 MF55559 250X180X200 BINSHIHOUN"/>
    <s v="UN"/>
    <n v="1034"/>
    <n v="5.3529999999999998"/>
    <n v="5535.0019999999995"/>
    <x v="1"/>
  </r>
  <r>
    <s v="007"/>
    <s v="MPA"/>
    <s v="580C0042"/>
    <s v="CARTON BOX L2 MF 56219 250X180X200 BINSHIHOUN"/>
    <s v="UN"/>
    <n v="355"/>
    <n v="5.5549999999999997"/>
    <n v="1972.0249999999999"/>
    <x v="1"/>
  </r>
  <r>
    <s v="007"/>
    <s v="MPA"/>
    <s v="580C0045"/>
    <s v="CARTON BOX L5 MF58827 360X180X200 BINSHIHOUN"/>
    <s v="UN"/>
    <n v="750"/>
    <n v="7.3730000000000002"/>
    <n v="5529.75"/>
    <x v="1"/>
  </r>
  <r>
    <s v="007"/>
    <s v="MPA"/>
    <s v="580C0046"/>
    <s v="CARTON BOX L5 MF60038 360X180X200 BINSHIHOUN"/>
    <s v="UN"/>
    <n v="965"/>
    <n v="7.3730000000000002"/>
    <n v="7114.9450000000006"/>
    <x v="1"/>
  </r>
  <r>
    <s v="007"/>
    <s v="MPA"/>
    <s v="580C0047"/>
    <s v="CARTON BOX J4 MF50B24LS 240X136X236 BINSHIHOUN"/>
    <s v="UN"/>
    <n v="2775"/>
    <n v="4.8985000000000003"/>
    <n v="13593.337500000001"/>
    <x v="1"/>
  </r>
  <r>
    <s v="007"/>
    <s v="MPA"/>
    <s v="580C0048"/>
    <s v="CARTON BOX J4 MF50B24LS 240X136X236 BINSHIHOUN"/>
    <s v="UN"/>
    <n v="1225"/>
    <n v="4.964672413793104"/>
    <n v="6081.7237068965524"/>
    <x v="1"/>
  </r>
  <r>
    <s v="007"/>
    <s v="MPA"/>
    <s v="580C0049"/>
    <s v="CARTON BOX J6 MF55D23L 232X180X232 BINSHIHOUN"/>
    <s v="UN"/>
    <n v="245"/>
    <n v="5.7569999999999997"/>
    <n v="1410.4649999999999"/>
    <x v="1"/>
  </r>
  <r>
    <s v="007"/>
    <s v="MPA"/>
    <s v="580C0050"/>
    <s v="CARTON BOX J6 MF55D23R 232X180X232 BINSHIHOUN"/>
    <s v="UN"/>
    <n v="680"/>
    <n v="5.9589999999999996"/>
    <n v="4052.12"/>
    <x v="1"/>
  </r>
  <r>
    <s v="007"/>
    <s v="MPA"/>
    <s v="580C0051"/>
    <s v="CARTON BOX MF48D26L 260X180X235 BINSHIHOUN"/>
    <s v="UN"/>
    <n v="750"/>
    <n v="6.1609999999999996"/>
    <n v="4620.75"/>
    <x v="1"/>
  </r>
  <r>
    <s v="007"/>
    <s v="MPA"/>
    <s v="580C0053"/>
    <s v="CARTON BOX J7 MF48D26R 260X180X235 BINSHIHOUN"/>
    <s v="UN"/>
    <n v="825"/>
    <n v="6.3630000000000004"/>
    <n v="5249.4750000000004"/>
    <x v="1"/>
  </r>
  <r>
    <s v="007"/>
    <s v="MPA"/>
    <s v="580C0054"/>
    <s v="CARTON BOX J7 MF80D26R 260X180X235 BINSHIHOUN"/>
    <s v="UN"/>
    <n v="700"/>
    <n v="6.3630000000000004"/>
    <n v="4454.1000000000004"/>
    <x v="1"/>
  </r>
  <r>
    <s v="007"/>
    <s v="MPA"/>
    <s v="580C0055"/>
    <s v="CARTON BOX J0 MF65D31L 310X180X233 BINSHIHOUN"/>
    <s v="UN"/>
    <n v="590"/>
    <n v="7.6760000000000019"/>
    <n v="4528.8400000000011"/>
    <x v="1"/>
  </r>
  <r>
    <s v="007"/>
    <s v="MPA"/>
    <s v="580C0056"/>
    <s v="CARTON BOX JO MF105D31L 310X180X233 BINSHIHOUN"/>
    <s v="UN"/>
    <n v="295"/>
    <n v="7.6760000000000002"/>
    <n v="2264.42"/>
    <x v="1"/>
  </r>
  <r>
    <s v="007"/>
    <s v="MPA"/>
    <s v="580C0057"/>
    <s v="CARTON BOX J0 MF65D31R 310X180X233BINSHIHOUN"/>
    <s v="UN"/>
    <n v="420"/>
    <n v="7.6760000000000002"/>
    <n v="3223.92"/>
    <x v="1"/>
  </r>
  <r>
    <s v="007"/>
    <s v="MPA"/>
    <s v="580C0060"/>
    <s v="POLYESTER COVER FOR D26/J7 260X180X37mm"/>
    <s v="UN"/>
    <n v="80"/>
    <n v="0.52629617977528087"/>
    <n v="42.103694382022468"/>
    <x v="1"/>
  </r>
  <r>
    <s v="007"/>
    <s v="MPA"/>
    <s v="580F0002"/>
    <s v="FILM ETIRABLE MANUEL"/>
    <s v="KG"/>
    <n v="864"/>
    <n v="4.9119230518542043"/>
    <n v="4243.9015168020323"/>
    <x v="1"/>
  </r>
  <r>
    <s v="007"/>
    <s v="MPA"/>
    <s v="580F0003"/>
    <s v="FILM ETIRABLE MACHINE"/>
    <s v="KG"/>
    <n v="224"/>
    <n v="5.573250291004328"/>
    <n v="1248.4080651849695"/>
    <x v="1"/>
  </r>
  <r>
    <s v="007"/>
    <s v="MPA"/>
    <s v="580F0012"/>
    <s v="FILM THERMO 450/55"/>
    <s v="KG"/>
    <n v="343.4"/>
    <n v="7.0251807777721247"/>
    <n v="2412.4470790869473"/>
    <x v="1"/>
  </r>
  <r>
    <s v="007"/>
    <s v="MPA"/>
    <s v="580F0013"/>
    <s v="FILM THERMORETRAC. 400/55"/>
    <s v="KG"/>
    <n v="990.3"/>
    <n v="6.9762636401470353"/>
    <n v="6908.5938828376084"/>
    <x v="1"/>
  </r>
  <r>
    <s v="007"/>
    <s v="MPA"/>
    <s v="580F0016"/>
    <s v="FILM THERMORETRA. 300/55"/>
    <s v="KG"/>
    <n v="923.4"/>
    <n v="4.8500000000000005"/>
    <n v="4478.4900000000007"/>
    <x v="1"/>
  </r>
  <r>
    <s v="007"/>
    <s v="MPA"/>
    <s v="580F0018"/>
    <s v="FILM THERMORETRA. 650/55"/>
    <s v="KG"/>
    <n v="532"/>
    <n v="6.9067564842611908"/>
    <n v="3674.3944496269537"/>
    <x v="1"/>
  </r>
  <r>
    <s v="007"/>
    <s v="MPA"/>
    <s v="580F0019"/>
    <s v="FILM THERMORETRA. 350/55"/>
    <s v="KG"/>
    <n v="776"/>
    <n v="7.0987832461235545"/>
    <n v="5508.6557989918783"/>
    <x v="1"/>
  </r>
  <r>
    <s v="007"/>
    <s v="MPA"/>
    <s v="580L0000"/>
    <s v="COUVERCLE PALETTE BOIS 120 X 80"/>
    <s v="UN"/>
    <n v="378"/>
    <n v="6.0440149045179323"/>
    <n v="2284.6376339077783"/>
    <x v="1"/>
  </r>
  <r>
    <s v="007"/>
    <s v="MPA"/>
    <s v="580L0005"/>
    <s v="PALETTE BOIS 120/80"/>
    <s v="UN"/>
    <n v="983"/>
    <n v="33.26469736219822"/>
    <n v="32699.197507040852"/>
    <x v="1"/>
  </r>
  <r>
    <s v="007"/>
    <s v="MPA"/>
    <s v="580L0007"/>
    <s v="PALETTE BOIS 112/72 SANS TRAVERSE"/>
    <s v="UN"/>
    <n v="151"/>
    <n v="17.112072879693891"/>
    <n v="2583.9230048337777"/>
    <x v="1"/>
  </r>
  <r>
    <s v="007"/>
    <s v="MPA"/>
    <s v="580L0016"/>
    <s v="PALETTE EN BOIS 60/80"/>
    <s v="UN"/>
    <n v="17"/>
    <n v="17"/>
    <n v="289"/>
    <x v="1"/>
  </r>
  <r>
    <s v="007"/>
    <s v="MPA"/>
    <s v="580L0017"/>
    <s v="PALETTE 120/80 1er choix"/>
    <s v="UN"/>
    <n v="119"/>
    <n v="27"/>
    <n v="3213"/>
    <x v="1"/>
  </r>
  <r>
    <s v="007"/>
    <s v="MPA"/>
    <s v="580L0018"/>
    <s v="PALETTE 120/80 1er choix traité"/>
    <s v="UN"/>
    <n v="800"/>
    <n v="28"/>
    <n v="22400"/>
    <x v="1"/>
  </r>
  <r>
    <s v="007"/>
    <s v="MPA"/>
    <s v="580P0010"/>
    <s v="POLYST.120/80/2CM D16"/>
    <s v="UN"/>
    <n v="1340"/>
    <n v="3.2312791788981139"/>
    <n v="4329.9140997234726"/>
    <x v="1"/>
  </r>
  <r>
    <s v="007"/>
    <s v="MPA"/>
    <s v="600A0019"/>
    <s v="HEXANE( SOLVANT NETOYYAGE)"/>
    <s v="L"/>
    <n v="160"/>
    <n v="3.0348837209302326"/>
    <n v="485.58139534883719"/>
    <x v="1"/>
  </r>
  <r>
    <s v="007"/>
    <s v="MPA"/>
    <s v="600A0022"/>
    <s v="MELANGE 20% ISOPROPANOL + 80% ÉTHANO"/>
    <s v="L"/>
    <n v="220"/>
    <n v="0"/>
    <n v="0"/>
    <x v="1"/>
  </r>
  <r>
    <s v="007"/>
    <s v="MPA"/>
    <s v="600P0004"/>
    <s v="PB SB 3.2"/>
    <s v="KG"/>
    <n v="14374"/>
    <n v="5.6104583436708264"/>
    <n v="80644.728231924455"/>
    <x v="1"/>
  </r>
  <r>
    <s v="007"/>
    <s v="MPA"/>
    <s v="690X0003"/>
    <s v="FLUX COS"/>
    <s v="KG"/>
    <n v="220"/>
    <n v="55.001795704000003"/>
    <n v="12100.39505488"/>
    <x v="1"/>
  </r>
  <r>
    <s v="007"/>
    <s v="MPA"/>
    <s v="690X0024"/>
    <s v="SEL ADOUCISSEUR"/>
    <s v="KG"/>
    <n v="975"/>
    <n v="1.35"/>
    <n v="1316.25"/>
    <x v="1"/>
  </r>
  <r>
    <s v="007"/>
    <s v="MPA"/>
    <s v="690X0025"/>
    <s v="LIEGE PREPARE AC23#5 GLOBE SUPERKOTE MOLD"/>
    <s v="UN"/>
    <n v="111"/>
    <n v="30.505706430295458"/>
    <n v="3386.133413762796"/>
    <x v="1"/>
  </r>
  <r>
    <s v="007"/>
    <s v="MPA"/>
    <s v="690X0029"/>
    <s v="COLLE HOTMELET SWIFT THERM 9042"/>
    <s v="KG"/>
    <n v="315"/>
    <n v="19.719606724089637"/>
    <n v="6211.6761180882359"/>
    <x v="1"/>
  </r>
  <r>
    <s v="007"/>
    <s v="MPA"/>
    <s v="690X0033"/>
    <s v="LUBRIFIANT HADILIN K95/II  014-000-024"/>
    <s v="L"/>
    <n v="120"/>
    <n v="36.402450000000002"/>
    <n v="4368.2939999999999"/>
    <x v="1"/>
  </r>
  <r>
    <s v="007"/>
    <s v="MPA"/>
    <s v="712MEC028"/>
    <s v="RLX FEUILLARD 15"/>
    <s v="UN"/>
    <n v="1"/>
    <n v="145"/>
    <n v="145"/>
    <x v="1"/>
  </r>
  <r>
    <s v="007"/>
    <s v="MPA"/>
    <s v="840LUB037"/>
    <s v="VASELINE BLANCHE 4 KG"/>
    <s v="UN"/>
    <n v="2"/>
    <n v="48.329666666666668"/>
    <n v="96.659333333333336"/>
    <x v="1"/>
  </r>
  <r>
    <s v="007"/>
    <s v="MPA"/>
    <s v="840PNA094"/>
    <s v="SCOTCH 3M TYPE 8981"/>
    <s v="UN"/>
    <n v="16"/>
    <n v="92.91"/>
    <n v="1486.56"/>
    <x v="1"/>
  </r>
  <r>
    <s v="007"/>
    <s v="PFV"/>
    <s v="LB55L1W172R1Z55"/>
    <s v="S1"/>
    <s v="UN"/>
    <n v="993"/>
    <n v="72.685741473669125"/>
    <n v="72176.941283353444"/>
    <x v="2"/>
  </r>
  <r>
    <s v="007"/>
    <s v="PFV"/>
    <s v="LB66L2W172R1Z55"/>
    <s v="S2"/>
    <s v="UN"/>
    <n v="214"/>
    <n v="83.18852910446428"/>
    <n v="17802.345228355356"/>
    <x v="2"/>
  </r>
  <r>
    <s v="007"/>
    <s v="PFV"/>
    <s v="LB77L3W172R1Z55"/>
    <s v="S3"/>
    <s v="UN"/>
    <n v="1075"/>
    <n v="93.656713247244056"/>
    <n v="100680.96674078736"/>
    <x v="2"/>
  </r>
  <r>
    <s v="007"/>
    <s v="PFV"/>
    <s v="LB90L5W172R1Z55"/>
    <s v="S5"/>
    <s v="UN"/>
    <n v="9"/>
    <n v="126.58860491485309"/>
    <n v="1139.2974442336779"/>
    <x v="2"/>
  </r>
  <r>
    <s v="007"/>
    <s v="PFV"/>
    <s v="LB45B1W172R1Z44"/>
    <s v="PRL1B"/>
    <s v="UN"/>
    <n v="35"/>
    <n v="67.217032061213288"/>
    <n v="2352.596122142465"/>
    <x v="2"/>
  </r>
  <r>
    <s v="007"/>
    <s v="PFV"/>
    <s v="LB45L1W172R1Z44"/>
    <s v="PRL1D"/>
    <s v="UN"/>
    <n v="584"/>
    <n v="71.131130145126761"/>
    <n v="41540.580004754025"/>
    <x v="2"/>
  </r>
  <r>
    <s v="007"/>
    <s v="PFV"/>
    <s v="LB45L1W172L1Z44"/>
    <s v="PRL1G"/>
    <s v="UN"/>
    <n v="50"/>
    <n v="60.187428599986745"/>
    <n v="3009.3714299993371"/>
    <x v="2"/>
  </r>
  <r>
    <s v="007"/>
    <s v="PFV"/>
    <s v="LB56B2W172R1Z44"/>
    <s v="PRL2B"/>
    <s v="UN"/>
    <n v="34"/>
    <n v="78.019203624395047"/>
    <n v="2652.6529232294315"/>
    <x v="2"/>
  </r>
  <r>
    <s v="007"/>
    <s v="PFV"/>
    <s v="LB56L2W172R1Z44"/>
    <s v="PRL2"/>
    <s v="UN"/>
    <n v="746"/>
    <n v="77.164095976740441"/>
    <n v="57564.415598648367"/>
    <x v="2"/>
  </r>
  <r>
    <s v="007"/>
    <s v="PFV"/>
    <s v="LB67B3W172R1Z44"/>
    <s v="PRL3B"/>
    <s v="UN"/>
    <n v="169"/>
    <n v="90.283204096625596"/>
    <n v="15257.861492329726"/>
    <x v="2"/>
  </r>
  <r>
    <s v="007"/>
    <s v="PFV"/>
    <s v="LB67L3W172R1Z44"/>
    <s v="PRL3"/>
    <s v="UN"/>
    <n v="175"/>
    <n v="88.779786180633138"/>
    <n v="15536.4625816108"/>
    <x v="2"/>
  </r>
  <r>
    <s v="007"/>
    <s v="PFV"/>
    <s v="MRT44J3X102R1Z44"/>
    <s v="NS40D"/>
    <s v="UN"/>
    <n v="1"/>
    <n v="58.941708747640163"/>
    <n v="58.941708747640163"/>
    <x v="2"/>
  </r>
  <r>
    <s v="007"/>
    <s v="PFV"/>
    <s v="MRT44J3X102L1Z44"/>
    <s v="NS40G"/>
    <s v="UN"/>
    <n v="4"/>
    <n v="63.176862929853229"/>
    <n v="252.70745171941292"/>
    <x v="2"/>
  </r>
  <r>
    <s v="007"/>
    <s v="PFV"/>
    <s v="MRT45J4X102R1Z44"/>
    <s v="NS60"/>
    <s v="UN"/>
    <n v="3"/>
    <n v="74.372386813765175"/>
    <n v="223.11716044129554"/>
    <x v="2"/>
  </r>
  <r>
    <s v="007"/>
    <s v="PFV"/>
    <s v="M55J6X172R1Z44"/>
    <s v="D23"/>
    <s v="UN"/>
    <n v="146"/>
    <n v="104.83021388353322"/>
    <n v="15305.211226995851"/>
    <x v="2"/>
  </r>
  <r>
    <s v="007"/>
    <s v="PFV"/>
    <s v="M56J7X102L1Z44"/>
    <s v="D26G"/>
    <s v="UN"/>
    <n v="255"/>
    <n v="110.47926111267003"/>
    <n v="28172.211583730859"/>
    <x v="2"/>
  </r>
  <r>
    <s v="007"/>
    <s v="PFV"/>
    <s v="M56J7X102R1Z44"/>
    <s v="D26D"/>
    <s v="UN"/>
    <n v="38"/>
    <n v="113.67016699885335"/>
    <n v="4319.4663459564272"/>
    <x v="2"/>
  </r>
  <r>
    <s v="007"/>
    <s v="PFV"/>
    <s v="M78J0X172L1Z44"/>
    <s v="D31G"/>
    <s v="UN"/>
    <n v="85"/>
    <n v="108.50455003875163"/>
    <n v="9222.8867532938893"/>
    <x v="2"/>
  </r>
  <r>
    <s v="007"/>
    <s v="PFV"/>
    <s v="M78J0X172R1Z44"/>
    <s v="D31D"/>
    <s v="UN"/>
    <n v="15"/>
    <n v="129.13387861005873"/>
    <n v="1937.008179150881"/>
    <x v="2"/>
  </r>
  <r>
    <s v="007"/>
    <s v="PFV"/>
    <s v="LB44L1K072R1S12"/>
    <s v="PL1"/>
    <s v="UN"/>
    <n v="560"/>
    <n v="67.465775052437905"/>
    <n v="37780.834029365229"/>
    <x v="2"/>
  </r>
  <r>
    <s v="007"/>
    <s v="PFV"/>
    <s v="LB55L2K072R1S12"/>
    <s v="PL2"/>
    <s v="UN"/>
    <n v="271"/>
    <n v="77.632283680213334"/>
    <n v="21038.348877337812"/>
    <x v="2"/>
  </r>
  <r>
    <s v="007"/>
    <s v="PFV"/>
    <s v="LB66L3K072R1S12"/>
    <s v="PL3"/>
    <s v="UN"/>
    <n v="734"/>
    <n v="93.268688780299371"/>
    <n v="68459.217564739738"/>
    <x v="2"/>
  </r>
  <r>
    <s v="007"/>
    <s v="PFV"/>
    <s v="LB66B3K072R1S12"/>
    <s v="PL3B"/>
    <s v="UN"/>
    <n v="1"/>
    <n v="86.46395960833172"/>
    <n v="86.46395960833172"/>
    <x v="2"/>
  </r>
  <r>
    <s v="007"/>
    <s v="PFV"/>
    <s v="LB88L5K072R1S12"/>
    <s v="PL5"/>
    <s v="UN"/>
    <n v="85"/>
    <n v="108.2019760944152"/>
    <n v="9197.1679680252928"/>
    <x v="2"/>
  </r>
  <r>
    <s v="007"/>
    <s v="PFV"/>
    <s v="LB00L6K5072R1S12"/>
    <s v="PL6MF"/>
    <s v="UN"/>
    <n v="4"/>
    <n v="155.10987712536115"/>
    <n v="620.43950850144461"/>
    <x v="2"/>
  </r>
  <r>
    <s v="007"/>
    <s v="PFV"/>
    <s v="M55M10F043L1S13"/>
    <s v="PM10"/>
    <s v="UN"/>
    <n v="128"/>
    <n v="88.159978085742637"/>
    <n v="11284.477194975058"/>
    <x v="2"/>
  </r>
  <r>
    <s v="007"/>
    <s v="PFV"/>
    <s v="MSP55M10F042L1S13"/>
    <s v="PM10S"/>
    <s v="UN"/>
    <n v="270"/>
    <n v="97.468596265010717"/>
    <n v="26316.520991552894"/>
    <x v="2"/>
  </r>
  <r>
    <s v="007"/>
    <s v="PFV"/>
    <s v="M77M11F043L1S13"/>
    <s v="PM11"/>
    <s v="UN"/>
    <n v="857"/>
    <n v="136.47822356969888"/>
    <n v="116961.83759923195"/>
    <x v="2"/>
  </r>
  <r>
    <s v="007"/>
    <s v="PFV"/>
    <s v="M78M11F042L1S13"/>
    <s v="PM11SG"/>
    <s v="UN"/>
    <n v="122"/>
    <n v="129.06362574974258"/>
    <n v="15745.762341468595"/>
    <x v="2"/>
  </r>
  <r>
    <s v="007"/>
    <s v="PFV"/>
    <s v="M78M11F042R1S13"/>
    <s v="PM11SD"/>
    <s v="UN"/>
    <n v="89"/>
    <n v="134.41722296813123"/>
    <n v="11963.13284416368"/>
    <x v="2"/>
  </r>
  <r>
    <s v="007"/>
    <s v="PFV"/>
    <s v="M77M12F043L1S13"/>
    <s v="PM12"/>
    <s v="UN"/>
    <n v="18"/>
    <n v="124.64288361726786"/>
    <n v="2243.5719051108213"/>
    <x v="2"/>
  </r>
  <r>
    <s v="007"/>
    <s v="PFV"/>
    <s v="M88M12F042L1S13"/>
    <s v="PM12S"/>
    <s v="UN"/>
    <n v="9"/>
    <n v="142.31511267353068"/>
    <n v="1280.836014061776"/>
    <x v="2"/>
  </r>
  <r>
    <s v="007"/>
    <s v="PFV"/>
    <s v="M89C98P5042R1S13"/>
    <s v="PM110"/>
    <s v="UN"/>
    <n v="18"/>
    <n v="160.50202787217594"/>
    <n v="2889.0365016991668"/>
    <x v="2"/>
  </r>
  <r>
    <s v="007"/>
    <s v="PFV"/>
    <s v="ML34CF303L1X12"/>
    <s v="MAR16"/>
    <s v="UN"/>
    <n v="27"/>
    <n v="286.52274291242145"/>
    <n v="7736.1140586353795"/>
    <x v="2"/>
  </r>
  <r>
    <s v="007"/>
    <s v="PFV"/>
    <s v="MSP89AF003L1S13"/>
    <s v="M14"/>
    <s v="UN"/>
    <n v="34"/>
    <n v="171.04008668587466"/>
    <n v="5815.3629473197379"/>
    <x v="2"/>
  </r>
  <r>
    <s v="007"/>
    <s v="PFV"/>
    <s v="MSP90BF003L1S13"/>
    <s v="M15"/>
    <s v="UN"/>
    <n v="146"/>
    <n v="199.77070244438534"/>
    <n v="29166.52255688026"/>
    <x v="2"/>
  </r>
  <r>
    <s v="007"/>
    <s v="PFV"/>
    <s v="MSP12BF003L1S13"/>
    <s v="M15S"/>
    <s v="UN"/>
    <n v="29"/>
    <n v="207.89764223832998"/>
    <n v="6029.0316249115695"/>
    <x v="2"/>
  </r>
  <r>
    <s v="007"/>
    <s v="PFV"/>
    <s v="ML23CF003L1S13"/>
    <s v="M16"/>
    <s v="UN"/>
    <n v="54"/>
    <n v="228.32164206822068"/>
    <n v="12329.368671683917"/>
    <x v="2"/>
  </r>
  <r>
    <s v="007"/>
    <s v="PFV"/>
    <s v="MSP55M10F042R1S13"/>
    <s v="PM10SD"/>
    <s v="UN"/>
    <n v="10"/>
    <n v="94.482638309521448"/>
    <n v="944.82638309521451"/>
    <x v="2"/>
  </r>
  <r>
    <s v="007"/>
    <s v="PFV"/>
    <s v="LB78L3E172R1Z55"/>
    <s v="21S3EFB"/>
    <s v="UN"/>
    <n v="16"/>
    <n v="154.21426812681023"/>
    <n v="2467.4282900289636"/>
    <x v="2"/>
  </r>
  <r>
    <s v="007"/>
    <s v="PFV"/>
    <s v="LB34L1K077R1S122"/>
    <s v="10M11155254"/>
    <s v="UN"/>
    <n v="3"/>
    <n v="107.9431281306293"/>
    <n v="323.82938439188791"/>
    <x v="2"/>
  </r>
  <r>
    <s v="007"/>
    <s v="PFV"/>
    <s v="LB34L1P072R1S121"/>
    <s v="10M11233224"/>
    <s v="UN"/>
    <n v="19"/>
    <n v="120.58793453639527"/>
    <n v="2291.17075619151"/>
    <x v="2"/>
  </r>
  <r>
    <s v="007"/>
    <s v="PFV"/>
    <s v="LB45L2K077R1S122"/>
    <s v="10L1H133165"/>
    <s v="UN"/>
    <n v="5"/>
    <n v="53.361335118244675"/>
    <n v="266.80667559122338"/>
    <x v="2"/>
  </r>
  <r>
    <s v="007"/>
    <s v="PFV"/>
    <s v="ML22CF003L1S122"/>
    <s v="10L2H152121"/>
    <s v="UN"/>
    <n v="25"/>
    <n v="55.742218378629929"/>
    <n v="1393.5554594657483"/>
    <x v="2"/>
  </r>
  <r>
    <s v="007"/>
    <s v="PFV"/>
    <s v="10L2H233331"/>
    <s v="10L2H233331"/>
    <s v="UN"/>
    <n v="4"/>
    <n v="69.796520753384939"/>
    <n v="279.18608301353976"/>
    <x v="2"/>
  </r>
  <r>
    <s v="007"/>
    <s v="PFV"/>
    <s v="LB56L3K073R1S122"/>
    <s v="10L3H133165"/>
    <s v="UN"/>
    <n v="1"/>
    <n v="77.821653094955408"/>
    <n v="77.821653094955408"/>
    <x v="2"/>
  </r>
  <r>
    <s v="007"/>
    <s v="PFV"/>
    <s v="LB78L5K073R1S122"/>
    <s v="10L5H133165"/>
    <s v="UN"/>
    <n v="1"/>
    <n v="95.590047136637295"/>
    <n v="95.590047136637295"/>
    <x v="2"/>
  </r>
  <r>
    <s v="007"/>
    <s v="PFV"/>
    <s v="MSP88AF003L1S13"/>
    <s v="10M14133141"/>
    <s v="UN"/>
    <n v="5"/>
    <n v="163.73729882871604"/>
    <n v="818.68649414358015"/>
    <x v="2"/>
  </r>
  <r>
    <s v="007"/>
    <s v="PFV"/>
    <s v="MSP99BF003L1S122"/>
    <s v="10M15133156"/>
    <s v="UN"/>
    <n v="4"/>
    <n v="213.446854510154"/>
    <n v="853.78741804061599"/>
    <x v="2"/>
  </r>
  <r>
    <s v="007"/>
    <s v="PFV"/>
    <s v="MSP99BF003L1S122"/>
    <s v="10M15133156"/>
    <s v="UN"/>
    <n v="4"/>
    <n v="213.446854510154"/>
    <n v="853.78741804061599"/>
    <x v="2"/>
  </r>
  <r>
    <s v="007"/>
    <s v="PFV"/>
    <s v="10PL4B"/>
    <s v="10PL4B"/>
    <s v="UN"/>
    <n v="84"/>
    <n v="120.1"/>
    <n v="10088.4"/>
    <x v="2"/>
  </r>
  <r>
    <s v="007"/>
    <s v="PFV"/>
    <s v="10PL4"/>
    <s v="10PL4"/>
    <s v="UN"/>
    <n v="71"/>
    <n v="120.1"/>
    <n v="8527.1"/>
    <x v="2"/>
  </r>
  <r>
    <s v="007"/>
    <s v="PFV"/>
    <s v="LB33L1K077R1S122"/>
    <s v="L1 N/N 3/3"/>
    <s v="UN"/>
    <n v="66"/>
    <n v="49.133017753918679"/>
    <n v="3242.7791717586329"/>
    <x v="2"/>
  </r>
  <r>
    <s v="007"/>
    <s v="PFV"/>
    <s v="LB34L2K073R1S122"/>
    <s v="L2 N/N 4/4"/>
    <s v="UN"/>
    <n v="105"/>
    <n v="55.742218378629929"/>
    <n v="5852.9329297561426"/>
    <x v="2"/>
  </r>
  <r>
    <s v="007"/>
    <s v="PFV"/>
    <s v="LB34L2K073L1S122"/>
    <s v="L2 G 3/4 "/>
    <s v="UN"/>
    <n v="26"/>
    <n v="55.742218378629929"/>
    <n v="1449.2976778443781"/>
    <x v="2"/>
  </r>
  <r>
    <s v="007"/>
    <s v="PFV"/>
    <s v="LB45L3K073R1S122"/>
    <s v="L3 N/N 5/5"/>
    <s v="UN"/>
    <n v="55"/>
    <n v="72.44792068894715"/>
    <n v="3984.6356378920932"/>
    <x v="2"/>
  </r>
  <r>
    <s v="007"/>
    <s v="PFV"/>
    <s v="LB55L1W172R1Z55"/>
    <s v="S1"/>
    <s v="UN"/>
    <n v="216"/>
    <n v="72.685741473669125"/>
    <n v="15700.120158312531"/>
    <x v="2"/>
  </r>
  <r>
    <s v="007"/>
    <s v="PFV"/>
    <s v="LB55B1W172R1Z55"/>
    <s v="S1B"/>
    <s v="UN"/>
    <n v="19"/>
    <n v="75.595781157578614"/>
    <n v="1436.3198419939936"/>
    <x v="2"/>
  </r>
  <r>
    <s v="007"/>
    <s v="PFV"/>
    <s v="LB66L2W172R1Z55"/>
    <s v="S2"/>
    <s v="UN"/>
    <n v="457"/>
    <n v="83.18852910446428"/>
    <n v="38017.157800740177"/>
    <x v="2"/>
  </r>
  <r>
    <s v="007"/>
    <s v="PFV"/>
    <s v="LB66B2W172R1Z55"/>
    <s v="S2B"/>
    <s v="UN"/>
    <n v="53"/>
    <n v="87.272045424390939"/>
    <n v="4625.4184074927198"/>
    <x v="2"/>
  </r>
  <r>
    <s v="007"/>
    <s v="PFV"/>
    <s v="LB77L3W172R1Z55"/>
    <s v="S3"/>
    <s v="UN"/>
    <n v="730"/>
    <n v="93.656713247244056"/>
    <n v="68369.400670488161"/>
    <x v="2"/>
  </r>
  <r>
    <s v="007"/>
    <s v="PFV"/>
    <s v="LB77B3W172R1Z55"/>
    <s v="S3B"/>
    <s v="UN"/>
    <n v="98"/>
    <n v="93.598755060087385"/>
    <n v="9172.6779958885636"/>
    <x v="2"/>
  </r>
  <r>
    <s v="007"/>
    <s v="PFV"/>
    <s v="LB90L5W172R1Z55"/>
    <s v="S5"/>
    <s v="UN"/>
    <n v="47"/>
    <n v="126.58860491485309"/>
    <n v="5949.6644309980957"/>
    <x v="2"/>
  </r>
  <r>
    <s v="007"/>
    <s v="PFV"/>
    <s v="LB45L1W172R1Z44"/>
    <s v="PRL1"/>
    <s v="UN"/>
    <n v="16"/>
    <n v="71.131130145126761"/>
    <n v="1138.0980823220282"/>
    <x v="2"/>
  </r>
  <r>
    <s v="007"/>
    <s v="PFV"/>
    <s v="LB56B2W172R1Z44"/>
    <s v="PRL2B"/>
    <s v="UN"/>
    <n v="311"/>
    <n v="78.019203624395047"/>
    <n v="24263.972327186861"/>
    <x v="2"/>
  </r>
  <r>
    <s v="007"/>
    <s v="PFV"/>
    <s v="LB67B3W172R1Z44"/>
    <s v="PRL3B"/>
    <s v="UN"/>
    <n v="430"/>
    <n v="90.283204096625596"/>
    <n v="38821.777761549005"/>
    <x v="2"/>
  </r>
  <r>
    <s v="007"/>
    <s v="PFV"/>
    <s v="LB67L3W172R1Z44"/>
    <s v="PRL3"/>
    <s v="UN"/>
    <n v="161"/>
    <n v="88.779786180633138"/>
    <n v="14293.545575081935"/>
    <x v="2"/>
  </r>
  <r>
    <s v="007"/>
    <s v="PFV"/>
    <s v="LB89L5W172R1Z44"/>
    <s v="PRL5"/>
    <s v="UN"/>
    <n v="1"/>
    <n v="128.63333770081582"/>
    <n v="128.63333770081582"/>
    <x v="2"/>
  </r>
  <r>
    <s v="007"/>
    <s v="PFV"/>
    <s v="MRT45J4X102R1Z44"/>
    <s v="NS60D"/>
    <s v="UN"/>
    <n v="16"/>
    <n v="74.372386813765175"/>
    <n v="1189.9581890202428"/>
    <x v="2"/>
  </r>
  <r>
    <s v="007"/>
    <s v="PFV"/>
    <s v="MRT45J4X102L1J44"/>
    <s v="NS60G"/>
    <s v="UN"/>
    <n v="8"/>
    <n v="91.295004755193148"/>
    <n v="730.36003804154518"/>
    <x v="2"/>
  </r>
  <r>
    <s v="007"/>
    <s v="PFV"/>
    <s v="M78J0X172L1Z44"/>
    <s v="D31G"/>
    <s v="UN"/>
    <n v="16"/>
    <n v="108.50455003875163"/>
    <n v="1736.0728006200261"/>
    <x v="2"/>
  </r>
  <r>
    <s v="007"/>
    <s v="PFV"/>
    <s v="M78J0X172R1Z44"/>
    <s v="D31D"/>
    <s v="UN"/>
    <n v="48"/>
    <n v="129.13387861005873"/>
    <n v="6198.426173282819"/>
    <x v="2"/>
  </r>
  <r>
    <s v="007"/>
    <s v="PFV"/>
    <s v="LB45B1K5172R1S13"/>
    <s v="L1B KAMINA 4/5"/>
    <s v="UN"/>
    <n v="3"/>
    <n v="55.079538929631518"/>
    <n v="165.23861678889455"/>
    <x v="2"/>
  </r>
  <r>
    <s v="007"/>
    <s v="PFV"/>
    <s v="LB44B1K072R1S12"/>
    <s v="L1B KAMINA 4/4"/>
    <s v="UN"/>
    <n v="232"/>
    <n v="66.960379734822865"/>
    <n v="15534.808098478905"/>
    <x v="2"/>
  </r>
  <r>
    <s v="007"/>
    <s v="PFV"/>
    <s v="LB44L1K077R1S122"/>
    <s v="L1 KAMINA 4/4"/>
    <s v="UN"/>
    <n v="288"/>
    <n v="61.380324619661941"/>
    <n v="17677.53349046264"/>
    <x v="2"/>
  </r>
  <r>
    <s v="007"/>
    <s v="PFV"/>
    <s v="LB45L1K172R1Z44"/>
    <s v="L1 KAMINA 4/5"/>
    <s v="UN"/>
    <n v="199"/>
    <n v="66.134554018222957"/>
    <n v="13160.776249626368"/>
    <x v="2"/>
  </r>
  <r>
    <s v="007"/>
    <s v="PFV"/>
    <s v="LB56B2K172R1Z44"/>
    <s v="L2B KAMINA 5/6"/>
    <s v="UN"/>
    <n v="82"/>
    <n v="66.041264241858556"/>
    <n v="5415.3836678324014"/>
    <x v="2"/>
  </r>
  <r>
    <s v="007"/>
    <s v="PFV"/>
    <s v="LB55L2K072R1S12"/>
    <s v="L2 KAMINA 5/5"/>
    <s v="UN"/>
    <n v="2877"/>
    <n v="77.632283680213334"/>
    <n v="223348.08014797376"/>
    <x v="2"/>
  </r>
  <r>
    <s v="007"/>
    <s v="PFV"/>
    <s v="LB56L2K172R1Z44"/>
    <s v="L2 KAMINA 5/6"/>
    <s v="UN"/>
    <n v="189"/>
    <n v="80.424642980995117"/>
    <n v="15200.257523408078"/>
    <x v="2"/>
  </r>
  <r>
    <s v="007"/>
    <s v="PFV"/>
    <s v="LB66L2K172R1Z55"/>
    <s v="L2 KAMINA 6/6"/>
    <s v="UN"/>
    <n v="132"/>
    <n v="76.30927148045626"/>
    <n v="10072.823835420226"/>
    <x v="2"/>
  </r>
  <r>
    <s v="007"/>
    <s v="PFV"/>
    <s v="LB67B3K172R1Z44"/>
    <s v="L3B KAMINA 6/7"/>
    <s v="UN"/>
    <n v="81"/>
    <n v="88.471908571918888"/>
    <n v="7166.2245943254302"/>
    <x v="2"/>
  </r>
  <r>
    <s v="007"/>
    <s v="PFV"/>
    <s v="LB67L3K072R1S12"/>
    <s v="L3 KAMINA 6/7"/>
    <s v="UN"/>
    <n v="164"/>
    <n v="93.006158414542284"/>
    <n v="15253.009979984934"/>
    <x v="2"/>
  </r>
  <r>
    <s v="007"/>
    <s v="PFV"/>
    <s v="LB88L5K072R1S12"/>
    <s v="L5 KAMINA 8/8"/>
    <s v="UN"/>
    <n v="108"/>
    <n v="108.2019760944152"/>
    <n v="11685.813418196842"/>
    <x v="2"/>
  </r>
  <r>
    <s v="007"/>
    <s v="PFV"/>
    <s v="LB89L5K072R1S12"/>
    <s v="L5 KAMINA 8/9"/>
    <s v="UN"/>
    <n v="1408"/>
    <n v="119.49145785962052"/>
    <n v="168243.97266634571"/>
    <x v="2"/>
  </r>
  <r>
    <s v="007"/>
    <s v="PFV"/>
    <s v="MRT45J4X102L1"/>
    <s v="NS60 G 4/5 HH BF"/>
    <s v="UN"/>
    <n v="4"/>
    <n v="68.015238052007305"/>
    <n v="272.06095220802922"/>
    <x v="2"/>
  </r>
  <r>
    <s v="007"/>
    <s v="PFV"/>
    <s v="M145J7X172L1_BinS"/>
    <s v="D26 G 4/5 HH"/>
    <s v="UN"/>
    <n v="42"/>
    <n v="86.56512100181402"/>
    <n v="3635.735082076189"/>
    <x v="2"/>
  </r>
  <r>
    <s v="007"/>
    <s v="PFV"/>
    <s v="M145J7X172R1_BinS"/>
    <s v="D26 D 4/5 HH"/>
    <s v="UN"/>
    <n v="191"/>
    <n v="87.148678417598987"/>
    <n v="16645.397577761407"/>
    <x v="2"/>
  </r>
  <r>
    <s v="007"/>
    <s v="PFV"/>
    <s v="M166J0X172L1_BinS"/>
    <s v="D31 G 6/6 HH"/>
    <s v="UN"/>
    <n v="36"/>
    <n v="108.50455003875163"/>
    <n v="3906.1638013950587"/>
    <x v="2"/>
  </r>
  <r>
    <s v="007"/>
    <s v="PFV"/>
    <s v="M166J0X172R1_BinS"/>
    <s v="D31 D 6/6 HH"/>
    <s v="UN"/>
    <n v="2"/>
    <n v="108.50455003875163"/>
    <n v="217.00910007750326"/>
    <x v="2"/>
  </r>
  <r>
    <s v="007"/>
    <s v="PFV"/>
    <s v="M155J6X172R1_BinS"/>
    <s v="D23 G 5/5 HH"/>
    <s v="UN"/>
    <n v="5"/>
    <n v="104.83021388353322"/>
    <n v="524.15106941766612"/>
    <x v="2"/>
  </r>
  <r>
    <s v="007"/>
    <s v="DC-DCE"/>
    <s v="UFLB55L1W172R2"/>
    <s v="S1"/>
    <s v="UN"/>
    <n v="1970"/>
    <n v="66.134554018222957"/>
    <n v="130285.07141589922"/>
    <x v="0"/>
  </r>
  <r>
    <s v="007"/>
    <s v="DC-DCE"/>
    <s v="UFLB66L2W172R2"/>
    <s v="S2"/>
    <s v="UN"/>
    <n v="1468"/>
    <n v="75.595781157578614"/>
    <n v="110974.60673932541"/>
    <x v="0"/>
  </r>
  <r>
    <s v="007"/>
    <s v="DC-DCE"/>
    <s v="UFLB77L3W172R2"/>
    <s v="S3"/>
    <s v="UN"/>
    <n v="1596"/>
    <n v="85.110514865913331"/>
    <n v="135836.38172599766"/>
    <x v="0"/>
  </r>
  <r>
    <s v="007"/>
    <s v="DC-DCE"/>
    <s v="UFLBLB90L5W172R2"/>
    <s v="S5"/>
    <s v="UN"/>
    <n v="904"/>
    <n v="114.58126160421584"/>
    <n v="103581.46049021112"/>
    <x v="0"/>
  </r>
  <r>
    <s v="007"/>
    <s v="DC-DCE"/>
    <s v="UFLB45B1W172R2"/>
    <s v="PRL1B"/>
    <s v="UN"/>
    <n v="531"/>
    <n v="60.033893899112869"/>
    <n v="31877.997660428933"/>
    <x v="0"/>
  </r>
  <r>
    <s v="007"/>
    <s v="DC-DCE"/>
    <s v="UFLB45L1W172R2"/>
    <s v="PRL1D"/>
    <s v="UN"/>
    <n v="625"/>
    <n v="60.869963071693689"/>
    <n v="38043.726919808556"/>
    <x v="0"/>
  </r>
  <r>
    <s v="007"/>
    <s v="DC-DCE"/>
    <s v="UFLB45L1W172L2"/>
    <s v="PRL1G"/>
    <s v="UN"/>
    <n v="525"/>
    <n v="54.410420181950983"/>
    <n v="28565.470595524264"/>
    <x v="0"/>
  </r>
  <r>
    <s v="007"/>
    <s v="DC-DCE"/>
    <s v="UFLB56L2W172R2"/>
    <s v="PRL2"/>
    <s v="UN"/>
    <n v="123"/>
    <n v="81.580203449969304"/>
    <n v="10034.365024346225"/>
    <x v="0"/>
  </r>
  <r>
    <s v="007"/>
    <s v="DC-DCE"/>
    <s v="UFLB67L3W172R2"/>
    <s v="PRL3"/>
    <s v="UN"/>
    <n v="642"/>
    <n v="80.823564648000257"/>
    <n v="51888.728504016166"/>
    <x v="0"/>
  </r>
  <r>
    <s v="007"/>
    <s v="DC-DCE"/>
    <s v="UFMRT44J3X102R2"/>
    <s v="NS40D"/>
    <s v="UN"/>
    <n v="2"/>
    <n v="53.399175760128202"/>
    <n v="106.7983515202564"/>
    <x v="0"/>
  </r>
  <r>
    <s v="007"/>
    <s v="DC-DCE"/>
    <s v="UFMRT44J3X102L2"/>
    <s v="NS40G"/>
    <s v="UN"/>
    <n v="197"/>
    <n v="57.605556537142398"/>
    <n v="11348.294637817053"/>
    <x v="0"/>
  </r>
  <r>
    <s v="007"/>
    <s v="DC-DCE"/>
    <s v="UFMRT45J4X102R2"/>
    <s v="NS60"/>
    <s v="UN"/>
    <n v="3"/>
    <n v="68.015238052007305"/>
    <n v="204.04571415602192"/>
    <x v="0"/>
  </r>
  <r>
    <s v="007"/>
    <s v="DC-DCE"/>
    <s v="UFM55J6X172R2"/>
    <s v="D23"/>
    <s v="UN"/>
    <n v="84"/>
    <n v="91.295004755193148"/>
    <n v="7668.7803994362248"/>
    <x v="0"/>
  </r>
  <r>
    <s v="007"/>
    <s v="DC-DCE"/>
    <s v="UFM56J7X102L2"/>
    <s v="D26G"/>
    <s v="UN"/>
    <n v="278"/>
    <n v="96.938008737320715"/>
    <n v="26948.766428975159"/>
    <x v="0"/>
  </r>
  <r>
    <s v="007"/>
    <s v="DC-DCE"/>
    <s v="UFM56J7X102R2"/>
    <s v="D26D"/>
    <s v="UN"/>
    <n v="263"/>
    <n v="102.65399824172911"/>
    <n v="26998.001537574757"/>
    <x v="0"/>
  </r>
  <r>
    <s v="007"/>
    <s v="DC-DCE"/>
    <s v="M78J0X172L1Z44"/>
    <s v="D31G"/>
    <s v="UN"/>
    <n v="362"/>
    <n v="108.50455003875163"/>
    <n v="39278.647114028092"/>
    <x v="0"/>
  </r>
  <r>
    <s v="007"/>
    <s v="DC-DCE"/>
    <s v="M78J0X172R1Z44"/>
    <s v="D31D"/>
    <s v="UN"/>
    <n v="411"/>
    <n v="129.13387861005873"/>
    <n v="53074.024108734135"/>
    <x v="0"/>
  </r>
  <r>
    <s v="007"/>
    <s v="DC-DCE"/>
    <s v="UFLB44L1K072R2"/>
    <s v="PL1"/>
    <s v="UN"/>
    <n v="246"/>
    <n v="57.044280562793176"/>
    <n v="14032.893018447121"/>
    <x v="0"/>
  </r>
  <r>
    <s v="007"/>
    <s v="DC-DCE"/>
    <s v="LB44L1K072L1S12"/>
    <s v="PL1G"/>
    <s v="UN"/>
    <n v="78"/>
    <n v="57.044280562793176"/>
    <n v="4449.4538838978679"/>
    <x v="0"/>
  </r>
  <r>
    <s v="007"/>
    <s v="DC-DCE"/>
    <s v="UFLB55L2K072R2"/>
    <s v="PL2"/>
    <s v="UN"/>
    <n v="587"/>
    <n v="66.041264241858556"/>
    <n v="38766.222109970971"/>
    <x v="0"/>
  </r>
  <r>
    <s v="007"/>
    <s v="DC-DCE"/>
    <s v="LB55L2K072L1S12"/>
    <s v="PL2G"/>
    <s v="UN"/>
    <n v="35"/>
    <n v="66.041264241858556"/>
    <n v="2311.4442484650494"/>
    <x v="0"/>
  </r>
  <r>
    <s v="007"/>
    <s v="DC-DCE"/>
    <s v="UFLB66L3K072R2"/>
    <s v="PL3"/>
    <s v="UN"/>
    <n v="775"/>
    <n v="80.751151849588311"/>
    <n v="62582.142683430939"/>
    <x v="0"/>
  </r>
  <r>
    <s v="007"/>
    <s v="DC-DCE"/>
    <s v="UFLB88L5K072R2"/>
    <s v="PL5"/>
    <s v="UN"/>
    <n v="696"/>
    <n v="101.10925669356116"/>
    <n v="70372.042658718565"/>
    <x v="0"/>
  </r>
  <r>
    <s v="007"/>
    <s v="DC-DCE"/>
    <s v="UFLB00L6K5172R2"/>
    <s v="PL6MF"/>
    <s v="UN"/>
    <n v="671"/>
    <n v="137.56191368150289"/>
    <n v="92304.04408028844"/>
    <x v="0"/>
  </r>
  <r>
    <s v="007"/>
    <s v="DC-DCE"/>
    <s v="UFM55M10F043L2"/>
    <s v="PM10"/>
    <s v="UN"/>
    <n v="2941"/>
    <n v="81.213788257329114"/>
    <n v="238849.75126480492"/>
    <x v="0"/>
  </r>
  <r>
    <s v="007"/>
    <s v="DC-DCE"/>
    <s v="UFMSP55M10F042L1"/>
    <s v="PM10S"/>
    <s v="UN"/>
    <n v="489"/>
    <n v="89.94746759559122"/>
    <n v="43984.311654244106"/>
    <x v="0"/>
  </r>
  <r>
    <s v="007"/>
    <s v="DC-DCE"/>
    <s v="UFM77M11F043L2"/>
    <s v="PM11"/>
    <s v="UN"/>
    <n v="492"/>
    <n v="115.47342806882486"/>
    <n v="56812.926609861832"/>
    <x v="0"/>
  </r>
  <r>
    <s v="007"/>
    <s v="DC-DCE"/>
    <s v="UFM78M11F042L2"/>
    <s v="PM11SG"/>
    <s v="UN"/>
    <n v="153"/>
    <n v="119.25267938760871"/>
    <n v="18245.659946304131"/>
    <x v="0"/>
  </r>
  <r>
    <s v="007"/>
    <s v="DC-DCE"/>
    <s v="UFM78M11F042R2"/>
    <s v="PM11SD"/>
    <s v="UN"/>
    <n v="66"/>
    <n v="124.53372295523177"/>
    <n v="8219.225715045297"/>
    <x v="0"/>
  </r>
  <r>
    <s v="007"/>
    <s v="DC-DCE"/>
    <s v="UFM77M12F043L2"/>
    <s v="PM12"/>
    <s v="UN"/>
    <n v="108"/>
    <n v="114.83228081032046"/>
    <n v="12401.886327514609"/>
    <x v="0"/>
  </r>
  <r>
    <s v="007"/>
    <s v="DC-DCE"/>
    <s v="UFM88M12F042L2"/>
    <s v="PM12S"/>
    <s v="UN"/>
    <n v="46"/>
    <n v="129.11692918865256"/>
    <n v="5939.3787426780182"/>
    <x v="0"/>
  </r>
  <r>
    <s v="007"/>
    <s v="DC-DCE"/>
    <s v="UFM89C98P5042R2"/>
    <s v="PM110"/>
    <s v="UN"/>
    <n v="402"/>
    <n v="148.47895189180289"/>
    <n v="59688.538660504761"/>
    <x v="0"/>
  </r>
  <r>
    <s v="007"/>
    <s v="DC-DCE"/>
    <s v="UFML34CF303L2"/>
    <s v="MAR16"/>
    <s v="UN"/>
    <n v="145"/>
    <n v="286.52274291242145"/>
    <n v="41545.797722301111"/>
    <x v="0"/>
  </r>
  <r>
    <s v="007"/>
    <s v="DC-DCE"/>
    <s v="UFMSP89AF003L2"/>
    <s v="M14"/>
    <s v="UN"/>
    <n v="10"/>
    <n v="157.86791085795375"/>
    <n v="1578.6791085795376"/>
    <x v="0"/>
  </r>
  <r>
    <s v="007"/>
    <s v="DC-DCE"/>
    <s v="UFMSP90BF003L2"/>
    <s v="M15"/>
    <s v="UN"/>
    <n v="501"/>
    <n v="184.86021851776422"/>
    <n v="92614.969477399878"/>
    <x v="0"/>
  </r>
  <r>
    <s v="007"/>
    <s v="DC-DCE"/>
    <s v="MSP12BF003L1S13"/>
    <s v="M15S"/>
    <s v="UN"/>
    <n v="329"/>
    <n v="207.89764223832998"/>
    <n v="68398.324296410559"/>
    <x v="0"/>
  </r>
  <r>
    <s v="007"/>
    <s v="DC-DCE"/>
    <s v="UFML23CF003L2"/>
    <s v="M16"/>
    <s v="UN"/>
    <n v="244"/>
    <n v="211.2142103114667"/>
    <n v="51536.267315997873"/>
    <x v="0"/>
  </r>
  <r>
    <s v="007"/>
    <s v="DC-DCE"/>
    <s v="MSP34CDL002L1S13"/>
    <s v="M16SMF"/>
    <s v="UN"/>
    <n v="8"/>
    <n v="204.74763125696805"/>
    <n v="1637.9810500557444"/>
    <x v="0"/>
  </r>
  <r>
    <s v="007"/>
    <s v="DC-DCE"/>
    <s v="M55M10F043R1S13"/>
    <s v="PM10D"/>
    <s v="UN"/>
    <n v="44"/>
    <n v="96.8183545413969"/>
    <n v="4260.0075998214634"/>
    <x v="0"/>
  </r>
  <r>
    <s v="007"/>
    <s v="DC-DCE"/>
    <s v="MSP55M10F042R1S13"/>
    <s v="PM10SD"/>
    <s v="UN"/>
    <n v="103"/>
    <n v="94.482638309521448"/>
    <n v="9731.7117458807097"/>
    <x v="0"/>
  </r>
  <r>
    <s v="007"/>
    <s v="DC-DCE"/>
    <s v="21S3EFB"/>
    <s v="21S3EFB"/>
    <s v="UN"/>
    <n v="128"/>
    <n v="154.21426812681023"/>
    <n v="19739.426320231709"/>
    <x v="0"/>
  </r>
  <r>
    <s v="007"/>
    <s v="DC-DCE"/>
    <s v="21S5EFB"/>
    <s v="21S5EFB"/>
    <s v="UN"/>
    <n v="239"/>
    <n v="200.0903661965707"/>
    <n v="47821.597520980395"/>
    <x v="0"/>
  </r>
  <r>
    <s v="007"/>
    <s v="DC-DCE"/>
    <s v="UFML12BDL002L2"/>
    <s v="M15S MF"/>
    <s v="UN"/>
    <n v="64"/>
    <n v="230.53827233818353"/>
    <n v="14754.449429643746"/>
    <x v="0"/>
  </r>
  <r>
    <s v="007"/>
    <s v="DC-DCE"/>
    <s v="21MF110"/>
    <s v="21MF110"/>
    <s v="UN"/>
    <n v="302"/>
    <n v="159.59694941386559"/>
    <n v="48198.278722987408"/>
    <x v="0"/>
  </r>
  <r>
    <s v="007"/>
    <s v="DC-DCE"/>
    <s v="21MF110E16"/>
    <s v="21MF110E16"/>
    <s v="UN"/>
    <n v="197"/>
    <n v="160.10382203415"/>
    <n v="31540.452940727551"/>
    <x v="0"/>
  </r>
  <r>
    <s v="007"/>
    <s v="DC-DCE"/>
    <s v="M44M10F043L1S122"/>
    <s v="10D31155165"/>
    <s v="UN"/>
    <n v="72"/>
    <n v="108.50455003875163"/>
    <n v="7812.3276027901175"/>
    <x v="0"/>
  </r>
  <r>
    <s v="007"/>
    <s v="DC-DCE"/>
    <s v="M45M10F042L1S122"/>
    <s v="10M10155258"/>
    <s v="UN"/>
    <n v="51"/>
    <n v="81.213788257329114"/>
    <n v="4141.903201123785"/>
    <x v="0"/>
  </r>
  <r>
    <s v="007"/>
    <s v="DC-DCE"/>
    <s v="UFM77M11F042L2"/>
    <s v="10M10233165"/>
    <s v="UN"/>
    <n v="66"/>
    <n v="107.9431281306293"/>
    <n v="7124.246456621534"/>
    <x v="0"/>
  </r>
  <r>
    <s v="007"/>
    <s v="DC-DCE"/>
    <s v="UFLB34L1K077R2"/>
    <s v="10M11155254"/>
    <s v="UN"/>
    <n v="219"/>
    <n v="107.9431281306293"/>
    <n v="23639.545060607819"/>
    <x v="0"/>
  </r>
  <r>
    <s v="007"/>
    <s v="DC-DCE"/>
    <s v="UFLB34L1P072R2"/>
    <s v="10M11233224"/>
    <s v="UN"/>
    <n v="106"/>
    <n v="120.58793453639527"/>
    <n v="12782.321060857897"/>
    <x v="0"/>
  </r>
  <r>
    <s v="007"/>
    <s v="DC-DCE"/>
    <s v="UFLB45L2K073R2"/>
    <s v="10L1H133165"/>
    <s v="UN"/>
    <n v="60"/>
    <n v="65.466482910695433"/>
    <n v="3927.9889746417261"/>
    <x v="0"/>
  </r>
  <r>
    <s v="007"/>
    <s v="DC-DCE"/>
    <s v="UFLB55L2P072L2"/>
    <s v="12L1H155255"/>
    <s v="UN"/>
    <n v="8"/>
    <n v="53.361335118244675"/>
    <n v="426.8906809459574"/>
    <x v="0"/>
  </r>
  <r>
    <s v="007"/>
    <s v="DC-DCE"/>
    <s v="UFLB66L3P072R2"/>
    <s v="10L2H133165"/>
    <s v="UN"/>
    <n v="76"/>
    <n v="65.466482910695433"/>
    <n v="4975.4527012128528"/>
    <x v="0"/>
  </r>
  <r>
    <s v="007"/>
    <s v="DC-DCE"/>
    <s v="UFMSP99BF003L2"/>
    <s v="10L2H233165"/>
    <s v="UN"/>
    <n v="68"/>
    <n v="59.140007179103414"/>
    <n v="4021.5204881790323"/>
    <x v="0"/>
  </r>
  <r>
    <s v="007"/>
    <s v="DC-DCE"/>
    <s v="10L2H233331"/>
    <s v="10L2H233331"/>
    <s v="UN"/>
    <n v="22"/>
    <n v="69.796520753384939"/>
    <n v="1535.5234565744686"/>
    <x v="0"/>
  </r>
  <r>
    <s v="007"/>
    <s v="DC-DCE"/>
    <s v="UFLB78L5K073R2"/>
    <s v="10L5H133165"/>
    <s v="UN"/>
    <n v="19"/>
    <n v="87.635225844616713"/>
    <n v="1665.0692910477176"/>
    <x v="0"/>
  </r>
  <r>
    <s v="007"/>
    <s v="DC-DCE"/>
    <s v="MSP88AF003L1S13"/>
    <s v="10M14133141"/>
    <s v="UN"/>
    <n v="27"/>
    <n v="163.73729882871604"/>
    <n v="4420.9070683753325"/>
    <x v="0"/>
  </r>
  <r>
    <s v="007"/>
    <s v="DC-DCE"/>
    <s v="M56J7X002L1S121"/>
    <s v="D26 G 5/5"/>
    <s v="UN"/>
    <n v="35"/>
    <n v="113.54666218316778"/>
    <n v="3974.1331764108722"/>
    <x v="0"/>
  </r>
  <r>
    <s v="007"/>
    <s v="DC-DCE"/>
    <s v="UFLB45B2W072R2"/>
    <s v="L2B D 4/5"/>
    <s v="UN"/>
    <n v="3"/>
    <n v="66.416543235031568"/>
    <n v="199.24962970509472"/>
    <x v="0"/>
  </r>
  <r>
    <s v="007"/>
    <s v="DC-DCE"/>
    <s v="LB33L1K077R1S122"/>
    <s v="L1 N/N 3/3"/>
    <s v="UN"/>
    <n v="200"/>
    <n v="49.133017753918679"/>
    <n v="9826.603550783735"/>
    <x v="0"/>
  </r>
  <r>
    <s v="007"/>
    <s v="DC-DCE"/>
    <s v="UFLB34L2K073R2"/>
    <s v="L2 N/N 4/4"/>
    <s v="UN"/>
    <n v="54"/>
    <n v="50.343119318817088"/>
    <n v="2718.5284432161229"/>
    <x v="0"/>
  </r>
  <r>
    <s v="007"/>
    <s v="DC-DCE"/>
    <s v="UFLB45L3K073R2"/>
    <s v="L3 N/N 5/5"/>
    <s v="UN"/>
    <n v="96"/>
    <n v="61.597563352671095"/>
    <n v="5913.3660818564249"/>
    <x v="0"/>
  </r>
  <r>
    <s v="007"/>
    <s v="DC-DCE"/>
    <s v="10PL5"/>
    <s v="L5 N/N 7/7"/>
    <s v="UN"/>
    <n v="87"/>
    <n v="66.134554018222957"/>
    <n v="5753.7061995853974"/>
    <x v="0"/>
  </r>
  <r>
    <s v="007"/>
    <s v="DC-DCE"/>
    <s v="UFLB55L1W172R2"/>
    <s v="S1"/>
    <s v="UN"/>
    <n v="228"/>
    <n v="66.134554018222957"/>
    <n v="15078.678316154834"/>
    <x v="0"/>
  </r>
  <r>
    <s v="007"/>
    <s v="DC-DCE"/>
    <s v="UFLB55B1K5172R2"/>
    <s v="S1B"/>
    <s v="UN"/>
    <n v="30"/>
    <n v="75.595781157578614"/>
    <n v="2267.8734347273585"/>
    <x v="0"/>
  </r>
  <r>
    <s v="007"/>
    <s v="DC-DCE"/>
    <s v="UFLB66B2W172R1Z55"/>
    <s v="S2B"/>
    <s v="UN"/>
    <n v="19"/>
    <n v="87.272045424390939"/>
    <n v="1658.1688630634278"/>
    <x v="0"/>
  </r>
  <r>
    <s v="007"/>
    <s v="DC-DCE"/>
    <s v="UFLB77L3W172R2"/>
    <s v="S3"/>
    <s v="UN"/>
    <n v="33"/>
    <n v="85.110514865913331"/>
    <n v="2808.6469905751401"/>
    <x v="0"/>
  </r>
  <r>
    <s v="007"/>
    <s v="DC-DCE"/>
    <s v="UFLB77L3W172R2"/>
    <s v="S3B"/>
    <s v="UN"/>
    <n v="5"/>
    <n v="85.110514865913331"/>
    <n v="425.55257432956665"/>
    <x v="0"/>
  </r>
  <r>
    <s v="007"/>
    <s v="DC-DCE"/>
    <s v="UFLBLB90L5W172R2"/>
    <s v="S5"/>
    <s v="UN"/>
    <n v="227"/>
    <n v="114.58126160421584"/>
    <n v="26009.946384156996"/>
    <x v="0"/>
  </r>
  <r>
    <s v="007"/>
    <s v="DC-DCE"/>
    <s v="UFLB45B1W172R2"/>
    <s v="PRL1B"/>
    <s v="UN"/>
    <n v="1493"/>
    <n v="60.033893899112869"/>
    <n v="89630.603591375519"/>
    <x v="0"/>
  </r>
  <r>
    <s v="007"/>
    <s v="DC-DCE"/>
    <s v="UFLB56B2W172R2"/>
    <s v="PRL2B"/>
    <s v="UN"/>
    <n v="342"/>
    <n v="70.04604098953196"/>
    <n v="23955.74601841993"/>
    <x v="0"/>
  </r>
  <r>
    <s v="007"/>
    <s v="DC-DCE"/>
    <s v="UFLB56L2W172R2"/>
    <s v="PRL2"/>
    <s v="UN"/>
    <n v="408"/>
    <n v="81.580203449969304"/>
    <n v="33284.723007587476"/>
    <x v="0"/>
  </r>
  <r>
    <s v="007"/>
    <s v="DC-DCE"/>
    <s v="UFLB67B3W172R2"/>
    <s v="PRL3B"/>
    <s v="UN"/>
    <n v="271"/>
    <n v="81.580203449969304"/>
    <n v="22108.235134941682"/>
    <x v="0"/>
  </r>
  <r>
    <s v="007"/>
    <s v="DC-DCE"/>
    <s v="UFLB67L3W172R2"/>
    <s v="PRL3"/>
    <s v="UN"/>
    <n v="1164"/>
    <n v="80.823564648000257"/>
    <n v="94078.629250272294"/>
    <x v="0"/>
  </r>
  <r>
    <s v="007"/>
    <s v="DC-DCE"/>
    <s v="UFLB89L5W172R2"/>
    <s v="PRL5"/>
    <s v="UN"/>
    <n v="150"/>
    <n v="101.59952688767287"/>
    <n v="15239.929033150929"/>
    <x v="0"/>
  </r>
  <r>
    <s v="007"/>
    <s v="DC-DCE"/>
    <s v="UFMRT45J4X102R2"/>
    <s v="NS60D"/>
    <s v="UN"/>
    <n v="459"/>
    <n v="68.015238052007305"/>
    <n v="31218.994265871352"/>
    <x v="0"/>
  </r>
  <r>
    <s v="007"/>
    <s v="DC-DCE"/>
    <s v="MRT45J4X102L1J44"/>
    <s v="NS60G"/>
    <s v="UN"/>
    <n v="30"/>
    <n v="91.295004755193148"/>
    <n v="2738.8501426557946"/>
    <x v="0"/>
  </r>
  <r>
    <s v="007"/>
    <s v="DC-DCE"/>
    <s v="UFM55J6X172R2"/>
    <s v="D23"/>
    <s v="UN"/>
    <n v="99"/>
    <n v="91.295004755193148"/>
    <n v="9038.2054707641219"/>
    <x v="0"/>
  </r>
  <r>
    <s v="007"/>
    <s v="DC-DCE"/>
    <s v="M78J0X172L1Z44"/>
    <s v="D31G"/>
    <s v="UN"/>
    <n v="204"/>
    <n v="108.50455003875163"/>
    <n v="22134.928207905334"/>
    <x v="0"/>
  </r>
  <r>
    <s v="007"/>
    <s v="DC-DCE"/>
    <s v="M78J0X172R1Z44"/>
    <s v="D31D"/>
    <s v="UN"/>
    <n v="216"/>
    <n v="129.13387861005873"/>
    <n v="27892.917779772684"/>
    <x v="0"/>
  </r>
  <r>
    <s v="007"/>
    <s v="DC-DCE"/>
    <s v="M78J0X172L1Z44"/>
    <s v="D31G"/>
    <s v="UN"/>
    <n v="250"/>
    <n v="108.50455003875163"/>
    <n v="27126.137509687909"/>
    <x v="0"/>
  </r>
  <r>
    <s v="007"/>
    <s v="DC-DCE"/>
    <s v="UFLB45B1K5172R2"/>
    <s v="L1B KAMINA 4/5"/>
    <s v="UN"/>
    <n v="21"/>
    <n v="55.079538929631518"/>
    <n v="1156.6703175222619"/>
    <x v="0"/>
  </r>
  <r>
    <s v="007"/>
    <s v="DC-DCE"/>
    <s v="UFLB44B1K072R2"/>
    <s v="L1B KAMINA 4/4"/>
    <s v="UN"/>
    <n v="31"/>
    <n v="55.079538929631518"/>
    <n v="1707.465706818577"/>
    <x v="0"/>
  </r>
  <r>
    <s v="007"/>
    <s v="DC-DCE"/>
    <s v="LB44L1K077R1S122"/>
    <s v="L1 KAMINA 4/4"/>
    <s v="UN"/>
    <n v="300"/>
    <n v="61.380324619661941"/>
    <n v="18414.097385898582"/>
    <x v="0"/>
  </r>
  <r>
    <s v="007"/>
    <s v="DC-DCE"/>
    <s v="LB45L1K172R1Z44"/>
    <s v="L1 KAMINA 4/5"/>
    <s v="UN"/>
    <n v="52"/>
    <n v="66.134554018222957"/>
    <n v="3438.9968089475938"/>
    <x v="0"/>
  </r>
  <r>
    <s v="007"/>
    <s v="DC-DCE"/>
    <s v="UFLB55B2W172R2"/>
    <s v="L2B KAMINA 5/5"/>
    <s v="UN"/>
    <n v="207"/>
    <n v="70.04604098953196"/>
    <n v="14499.530484833116"/>
    <x v="0"/>
  </r>
  <r>
    <s v="007"/>
    <s v="DC-DCE"/>
    <s v="UFLB56L2K072R2"/>
    <s v="L2B KAMINA 5/6"/>
    <s v="UN"/>
    <n v="74"/>
    <n v="69.796520753384939"/>
    <n v="5164.9425357504851"/>
    <x v="0"/>
  </r>
  <r>
    <s v="007"/>
    <s v="DC-DCE"/>
    <s v="UFLB55L2K072R2"/>
    <s v="L2 KAMINA 5/5"/>
    <s v="UN"/>
    <n v="323"/>
    <n v="66.041264241858556"/>
    <n v="21331.328350120315"/>
    <x v="0"/>
  </r>
  <r>
    <s v="007"/>
    <s v="DC-DCE"/>
    <s v="UFLB56L2K072R2"/>
    <s v="L2 KAMINA 5/6"/>
    <s v="UN"/>
    <n v="33"/>
    <n v="69.796520753384939"/>
    <n v="2303.2851848617029"/>
    <x v="0"/>
  </r>
  <r>
    <s v="007"/>
    <s v="DC-DCE"/>
    <s v="LB66L2K172R1Z55"/>
    <s v="L2 KAMINA 6/6"/>
    <s v="UN"/>
    <n v="25"/>
    <n v="76.30927148045626"/>
    <n v="1907.7317870114066"/>
    <x v="0"/>
  </r>
  <r>
    <s v="007"/>
    <s v="DC-DCE"/>
    <s v="UFLB66B3K072R2"/>
    <s v="L3B KAMINA 6/6"/>
    <s v="UN"/>
    <n v="184"/>
    <n v="76.30927148045626"/>
    <n v="14040.905952403951"/>
    <x v="0"/>
  </r>
  <r>
    <s v="007"/>
    <s v="DC-DCE"/>
    <s v="LB67B3K172R1Z44"/>
    <s v="L3B KAMINA 6/7"/>
    <s v="UN"/>
    <n v="143"/>
    <n v="88.471908571918888"/>
    <n v="12651.482925784401"/>
    <x v="0"/>
  </r>
  <r>
    <s v="007"/>
    <s v="DC-DCE"/>
    <s v="LB77B3K5172R1Z22"/>
    <s v="L3B KAMINA 7/7"/>
    <s v="UN"/>
    <n v="31"/>
    <n v="80.751151849588311"/>
    <n v="2503.2857073372375"/>
    <x v="0"/>
  </r>
  <r>
    <s v="007"/>
    <s v="DC-DCE"/>
    <s v="UFLB66L3K072R2"/>
    <s v="L3 KAMINA 6/6"/>
    <s v="UN"/>
    <n v="100"/>
    <n v="80.751151849588311"/>
    <n v="8075.1151849588314"/>
    <x v="0"/>
  </r>
  <r>
    <s v="007"/>
    <s v="DC-DCE"/>
    <s v="LB67L3K072R1S12"/>
    <s v="L3 KAMINA 6/7"/>
    <s v="UN"/>
    <n v="462"/>
    <n v="93.006158414542284"/>
    <n v="42968.845187518535"/>
    <x v="0"/>
  </r>
  <r>
    <s v="007"/>
    <s v="DC-DCE"/>
    <s v="UFLB77L3K5172R2"/>
    <s v="L3 KAMINA 7/7"/>
    <s v="UN"/>
    <n v="1023"/>
    <n v="95.707268276369589"/>
    <n v="97908.535446726091"/>
    <x v="0"/>
  </r>
  <r>
    <s v="007"/>
    <s v="DC-DCE"/>
    <s v="UFLB88L5K072R2"/>
    <s v="L5 KAMINA 8/8"/>
    <s v="UN"/>
    <n v="3"/>
    <n v="101.10925669356116"/>
    <n v="303.32777008068348"/>
    <x v="0"/>
  </r>
  <r>
    <s v="007"/>
    <s v="DC-DCE"/>
    <s v="LB89L5K072R1S12"/>
    <s v="L5 KAMINA 8/9"/>
    <s v="UN"/>
    <n v="1875"/>
    <n v="119.49145785962052"/>
    <n v="224046.48348678849"/>
    <x v="0"/>
  </r>
  <r>
    <s v="007"/>
    <s v="DC-DCE"/>
    <s v="UFMRT45J4X102L2"/>
    <s v="NS60 G 4/5 HH BF"/>
    <s v="UN"/>
    <n v="39"/>
    <n v="68.015238052007305"/>
    <n v="2652.5942840282851"/>
    <x v="0"/>
  </r>
  <r>
    <s v="007"/>
    <s v="DC-DCE"/>
    <s v="UFM145J7X172R2"/>
    <s v="D26 G 4/5 HH"/>
    <s v="UN"/>
    <n v="106"/>
    <n v="86.56512100181402"/>
    <n v="9175.9028261922867"/>
    <x v="0"/>
  </r>
  <r>
    <s v="007"/>
    <s v="DC-DCE"/>
    <s v="UFM145J7X172R2"/>
    <s v="D26 D 4/5 HH"/>
    <s v="UN"/>
    <n v="114"/>
    <n v="86.56512100181402"/>
    <n v="9868.4237942067975"/>
    <x v="0"/>
  </r>
  <r>
    <s v="007"/>
    <s v="DC-DCE"/>
    <s v="UFM166J0X172R2"/>
    <s v="D31 G 6/6 HH"/>
    <s v="UN"/>
    <n v="101"/>
    <n v="108.50455003875163"/>
    <n v="10958.959553913915"/>
    <x v="0"/>
  </r>
  <r>
    <s v="007"/>
    <s v="DC-DCE"/>
    <s v="UFM166J0X172R2"/>
    <s v="D31 D 6/6 HH"/>
    <s v="UN"/>
    <n v="97"/>
    <n v="108.50455003875163"/>
    <n v="10524.941353758908"/>
    <x v="0"/>
  </r>
  <r>
    <s v="007"/>
    <s v="MPY"/>
    <s v="400D2302"/>
    <s v="BAC D23 P0 C33 B01 NOIR 201373"/>
    <s v="UN"/>
    <n v="283"/>
    <n v="7.9457692462815741"/>
    <n v="2248.6526966976853"/>
    <x v="1"/>
  </r>
  <r>
    <s v="007"/>
    <s v="MPY"/>
    <s v="400L0213"/>
    <s v="BAC L2 NOIR PO C28 25691010B77"/>
    <s v="UN"/>
    <n v="216"/>
    <n v="5.4782695444978593"/>
    <n v="1183.3062216115377"/>
    <x v="1"/>
  </r>
  <r>
    <s v="007"/>
    <s v="MPY"/>
    <s v="400L0314"/>
    <s v="BAC L3 NOIR P0 C33 2B341005B70"/>
    <s v="UN"/>
    <n v="123"/>
    <n v="5.9468506015183964"/>
    <n v="731.46262398676276"/>
    <x v="1"/>
  </r>
  <r>
    <s v="007"/>
    <s v="MPY"/>
    <s v="400M1008"/>
    <s v="BAC M10 P15,4 C33 GRIS 30241012B70"/>
    <s v="UN"/>
    <n v="211"/>
    <n v="9.7258153946003176"/>
    <n v="2052.1470482606669"/>
    <x v="1"/>
  </r>
  <r>
    <s v="007"/>
    <s v="MPY"/>
    <s v="400M1104"/>
    <s v="BAC M11 P8.5 C46,3 NOIR 22241008B70"/>
    <s v="UN"/>
    <n v="103"/>
    <n v="8.053227749015468"/>
    <n v="829.4824581485932"/>
    <x v="1"/>
  </r>
  <r>
    <s v="007"/>
    <s v="MPY"/>
    <s v="400M1606"/>
    <s v="BAC M16 GRIS C102 P16 20891032B74"/>
    <s v="UN"/>
    <n v="19"/>
    <n v="23.127588104431553"/>
    <n v="439.42417398419951"/>
    <x v="1"/>
  </r>
  <r>
    <s v="007"/>
    <s v="MPY"/>
    <s v="400N7003"/>
    <s v="BAC N70 P0 C46.5 NOIR A LISTEAUX MONBAT"/>
    <s v="UN"/>
    <n v="736"/>
    <n v="7.5318441523671078"/>
    <n v="5543.4372961421914"/>
    <x v="1"/>
  </r>
  <r>
    <s v="007"/>
    <s v="MPY"/>
    <s v="400NS4002"/>
    <s v="BAC NS40 P0 NOIR SANS LISTEAUX 27181001B70        A"/>
    <s v="UN"/>
    <n v="360"/>
    <n v="5.2865873581565594"/>
    <n v="1903.1714489363615"/>
    <x v="1"/>
  </r>
  <r>
    <s v="007"/>
    <s v="MPY"/>
    <s v="400NS4003"/>
    <s v="BAC NS40 P0 NOIR V250 LISTEAUX KOREAN 2B221014B70 A"/>
    <s v="UN"/>
    <n v="770"/>
    <n v="5.6790230360969103"/>
    <n v="4372.847737794621"/>
    <x v="1"/>
  </r>
  <r>
    <s v="007"/>
    <s v="MPY"/>
    <s v="400NS6002"/>
    <s v="BAC NS60 P0 C34 NOIR 27251002B74                  A"/>
    <s v="UN"/>
    <n v="1370"/>
    <n v="5.854190761007608"/>
    <n v="8020.2413425804234"/>
    <x v="1"/>
  </r>
  <r>
    <s v="007"/>
    <s v="MPY"/>
    <s v="420L0111"/>
    <s v="COUV L1 EK DROITE NOIR 25032084B70                A"/>
    <s v="UN"/>
    <n v="1908"/>
    <n v="4.0436779169907302"/>
    <n v="7715.3374656183132"/>
    <x v="1"/>
  </r>
  <r>
    <s v="007"/>
    <s v="MPY"/>
    <s v="420L0217"/>
    <s v="COUV L2 EK G NOIR 24582123P70"/>
    <s v="UN"/>
    <n v="650"/>
    <n v="4.3222877881831794"/>
    <n v="2809.4870623190668"/>
    <x v="1"/>
  </r>
  <r>
    <s v="007"/>
    <s v="MPY"/>
    <s v="420L0228"/>
    <s v="COUV L2 EK DROITE NOIR 24582125P70                A"/>
    <s v="UN"/>
    <n v="3941"/>
    <n v="4.3236851050961489"/>
    <n v="17039.642999183921"/>
    <x v="1"/>
  </r>
  <r>
    <s v="007"/>
    <s v="MPY"/>
    <s v="420L0307"/>
    <s v="COUV. L3 EURO KAM DROITE NOIR 21152167B70         A"/>
    <s v="UN"/>
    <n v="2199"/>
    <n v="5.1094136548213882"/>
    <n v="11235.600626952233"/>
    <x v="1"/>
  </r>
  <r>
    <s v="007"/>
    <s v="MPY"/>
    <s v="420L0507"/>
    <s v="COUV. L5 EK DROITE NOIR 21162166B70               A"/>
    <s v="UN"/>
    <n v="5808"/>
    <n v="5.2384684435120272"/>
    <n v="30425.024719917856"/>
    <x v="1"/>
  </r>
  <r>
    <s v="007"/>
    <s v="MPY"/>
    <s v="420M1040"/>
    <s v="COUV M10 G NOIR RS 2D032002B70                    A"/>
    <s v="UN"/>
    <n v="306"/>
    <n v="7.0411855665611025"/>
    <n v="2154.6027833676972"/>
    <x v="1"/>
  </r>
  <r>
    <s v="007"/>
    <s v="MPY"/>
    <s v="420M1041"/>
    <s v="COUV M10 D NOIR RS 2D032001B70                    A"/>
    <s v="UN"/>
    <n v="105"/>
    <n v="7.1245275922579561"/>
    <n v="748.0753971870854"/>
    <x v="1"/>
  </r>
  <r>
    <s v="007"/>
    <s v="MPY"/>
    <s v="420M1140"/>
    <s v="COUV M11 G NOIR RS 2D062003B70                    A"/>
    <s v="UN"/>
    <n v="1164"/>
    <n v="7.6764845528992485"/>
    <n v="8935.4280195747251"/>
    <x v="1"/>
  </r>
  <r>
    <s v="007"/>
    <s v="MPY"/>
    <s v="420M1141"/>
    <s v="COUV M11 D NOIR RS 2D062001B70                    A"/>
    <s v="UN"/>
    <n v="455"/>
    <n v="7.560044501699501"/>
    <n v="3439.8202482732731"/>
    <x v="1"/>
  </r>
  <r>
    <s v="007"/>
    <s v="MPY"/>
    <s v="460d1817"/>
    <s v="OIL MAGIQUE 40 MM AKUMSA                          A"/>
    <s v="UN"/>
    <n v="1400"/>
    <n v="0.04"/>
    <n v="56"/>
    <x v="1"/>
  </r>
  <r>
    <s v="007"/>
    <s v="MPY"/>
    <s v="500E0195"/>
    <s v="ETIQ BAC NOUR MARINE GF 140/300"/>
    <s v="UN"/>
    <n v="2670"/>
    <n v="0.27994328621908127"/>
    <n v="747.44857420494702"/>
    <x v="1"/>
  </r>
  <r>
    <s v="007"/>
    <s v="MPY"/>
    <s v="500E0196"/>
    <s v="ETIQ BAC PREMIUM L1 NOUVEAU DESIGN  170/95"/>
    <s v="UN"/>
    <n v="1500"/>
    <n v="0.21687358490566039"/>
    <n v="325.3103773584906"/>
    <x v="1"/>
  </r>
  <r>
    <s v="007"/>
    <s v="MPY"/>
    <s v="500E0197"/>
    <s v="ETIQ BAC PREMIUM L1B NOUVEAU DESIGN 170/85"/>
    <s v="UN"/>
    <n v="400"/>
    <n v="0.13"/>
    <n v="52"/>
    <x v="1"/>
  </r>
  <r>
    <s v="007"/>
    <s v="MPY"/>
    <s v="500E0198"/>
    <s v="ETIQ BAC PREMIUM L2 NOUVEAU DESIGN 210/95"/>
    <s v="UN"/>
    <n v="150"/>
    <n v="2.9794999999999998"/>
    <n v="446.92499999999995"/>
    <x v="1"/>
  </r>
  <r>
    <s v="007"/>
    <s v="MPY"/>
    <s v="500E0199"/>
    <s v="ETIQ BAC PREMIUM L2B NOUVEAU DESIGN 210/85"/>
    <s v="UN"/>
    <n v="1500"/>
    <n v="0.25755"/>
    <n v="386.32499999999999"/>
    <x v="1"/>
  </r>
  <r>
    <s v="007"/>
    <s v="MPY"/>
    <s v="500E0200"/>
    <s v="ETIQ BAC PREMIUM L3 NOUVEAU DESIGN  240/95"/>
    <s v="UN"/>
    <n v="1500"/>
    <n v="0.31655998148353298"/>
    <n v="474.83997222529945"/>
    <x v="1"/>
  </r>
  <r>
    <s v="007"/>
    <s v="MPY"/>
    <s v="500E0201"/>
    <s v="ETIQ BAC PREMIUM L3B  NOUVEAU DESIGN 240/85"/>
    <s v="UN"/>
    <n v="1000"/>
    <n v="0.24745"/>
    <n v="247.45000000000002"/>
    <x v="1"/>
  </r>
  <r>
    <s v="007"/>
    <s v="MPY"/>
    <s v="500E0202"/>
    <s v="ETIQ BAC PREMIUM M10 NOUVEAU DESIGN 115/230"/>
    <s v="UN"/>
    <n v="1000"/>
    <n v="0.38031635542247016"/>
    <n v="380.31635542247017"/>
    <x v="1"/>
  </r>
  <r>
    <s v="007"/>
    <s v="MPY"/>
    <s v="500E0203"/>
    <s v="ETIQ BAC PREMIUM M11  NOUVEAU DESIGN  115/270"/>
    <s v="UN"/>
    <n v="2500"/>
    <n v="0.34593227430373091"/>
    <n v="864.83068575932725"/>
    <x v="1"/>
  </r>
  <r>
    <s v="007"/>
    <s v="MPY"/>
    <s v="500E0204"/>
    <s v="ETIQ BAC PREMIUM M12 NOUVEAU DESIGN 115/310"/>
    <s v="UN"/>
    <n v="3000"/>
    <n v="0.52613787528868361"/>
    <n v="1578.4136258660508"/>
    <x v="1"/>
  </r>
  <r>
    <s v="007"/>
    <s v="MPY"/>
    <s v="500E0205"/>
    <s v="ETIQ BAC HEAVU DUTY HD2  210/95"/>
    <s v="UN"/>
    <n v="2000"/>
    <n v="0.25755"/>
    <n v="515.1"/>
    <x v="1"/>
  </r>
  <r>
    <s v="007"/>
    <s v="MPY"/>
    <s v="500E0206"/>
    <s v="ETIQ BAC HEAVY DUTY HD3  240/95"/>
    <s v="UN"/>
    <n v="3000"/>
    <n v="0.23520000000000002"/>
    <n v="705.6"/>
    <x v="1"/>
  </r>
  <r>
    <s v="007"/>
    <s v="MPY"/>
    <s v="500E0207"/>
    <s v="ETIQ BAC HEAVY DUTY HD10  230/115"/>
    <s v="UN"/>
    <n v="500"/>
    <n v="0.24"/>
    <n v="120"/>
    <x v="1"/>
  </r>
  <r>
    <s v="007"/>
    <s v="MPY"/>
    <s v="500E0208"/>
    <s v="ETIQ BAC HD11 270/115"/>
    <s v="UN"/>
    <n v="3100"/>
    <n v="0.27929999999999999"/>
    <n v="865.82999999999993"/>
    <x v="1"/>
  </r>
  <r>
    <s v="007"/>
    <s v="MPY"/>
    <s v="500E0209"/>
    <s v="ETIQ BAC SMART  S1 170/95"/>
    <s v="UN"/>
    <n v="1500"/>
    <n v="0.30528988899645421"/>
    <n v="457.9348334946813"/>
    <x v="1"/>
  </r>
  <r>
    <s v="007"/>
    <s v="MPY"/>
    <s v="500E0212"/>
    <s v="ETIQ BAC SMART S5 315/95"/>
    <s v="UN"/>
    <n v="2500"/>
    <n v="0.54727052307402646"/>
    <n v="1368.1763076850661"/>
    <x v="1"/>
  </r>
  <r>
    <s v="007"/>
    <s v="MPY"/>
    <s v="500E0213"/>
    <s v="ETIQ BAC NOUR JUMBO M14 120AH 135/310"/>
    <s v="UN"/>
    <n v="4512"/>
    <n v="0.5179883361683012"/>
    <n v="2337.163372791375"/>
    <x v="1"/>
  </r>
  <r>
    <s v="007"/>
    <s v="MPY"/>
    <s v="500E0214"/>
    <s v="ETIQ BAC NOUR JUMBO M15 135AH 135/310"/>
    <s v="UN"/>
    <n v="400"/>
    <n v="1.3230641258607909"/>
    <n v="529.22565034431636"/>
    <x v="1"/>
  </r>
  <r>
    <s v="007"/>
    <s v="MPY"/>
    <s v="500E0215"/>
    <s v="ETIQ BAC NOUR JUMBO M15S 170AH 135/310"/>
    <s v="UN"/>
    <n v="1700"/>
    <n v="0.5252"/>
    <n v="892.84"/>
    <x v="1"/>
  </r>
  <r>
    <s v="007"/>
    <s v="MPY"/>
    <s v="500E0216"/>
    <s v="ETIQ BAC NOUR JUMBO M16 180AH 140/310"/>
    <s v="UN"/>
    <n v="2922"/>
    <n v="0.43394054054054054"/>
    <n v="1267.9742594594595"/>
    <x v="1"/>
  </r>
  <r>
    <s v="007"/>
    <s v="MPY"/>
    <s v="500E0219"/>
    <s v="ETIQ BAC NOUR POWER PL2 55 AH 92/205"/>
    <s v="UN"/>
    <n v="500"/>
    <n v="0.30804999999999999"/>
    <n v="154.02500000000001"/>
    <x v="1"/>
  </r>
  <r>
    <s v="007"/>
    <s v="MPY"/>
    <s v="500E0221"/>
    <s v="ETIQ BAC NOUR POWER PL3 66AH 92/235"/>
    <s v="UN"/>
    <n v="1000"/>
    <n v="0.38887059473350172"/>
    <n v="388.87059473350172"/>
    <x v="1"/>
  </r>
  <r>
    <s v="007"/>
    <s v="MPY"/>
    <s v="500E0223"/>
    <s v="ETIQ BAC NOUR POWER PL5 88AH 95/280"/>
    <s v="UN"/>
    <n v="1500"/>
    <n v="0.27777639182522906"/>
    <n v="416.66458773784359"/>
    <x v="1"/>
  </r>
  <r>
    <s v="007"/>
    <s v="MPY"/>
    <s v="500E0226"/>
    <s v="ETIQ BAC NOUR POWER PM12 95AH 115/300"/>
    <s v="UN"/>
    <n v="2000"/>
    <n v="0.5252"/>
    <n v="1050.4000000000001"/>
    <x v="1"/>
  </r>
  <r>
    <s v="007"/>
    <s v="MPY"/>
    <s v="500E0231"/>
    <s v="ETIQ BAC NOUR POWER PL1B 44AH-380A  83/170"/>
    <s v="UN"/>
    <n v="1000"/>
    <n v="0.17728474576271186"/>
    <n v="177.28474576271185"/>
    <x v="1"/>
  </r>
  <r>
    <s v="007"/>
    <s v="MPY"/>
    <s v="500E0235"/>
    <s v="ETIQ BAC PREMIUM NS40 155x90"/>
    <s v="UN"/>
    <n v="2600"/>
    <n v="0.2643177602198557"/>
    <n v="687.22617657162482"/>
    <x v="1"/>
  </r>
  <r>
    <s v="007"/>
    <s v="MPY"/>
    <s v="500E0236"/>
    <s v="ETIQ BACPREMIUM  D23 190*95"/>
    <s v="UN"/>
    <n v="2000"/>
    <n v="0.21210000000000001"/>
    <n v="424.20000000000005"/>
    <x v="1"/>
  </r>
  <r>
    <s v="007"/>
    <s v="MPY"/>
    <s v="500E0237"/>
    <s v="ETIQ BAC PREMIUM D26 220*95"/>
    <s v="UN"/>
    <n v="1100"/>
    <n v="0.31303508531644125"/>
    <n v="344.3385938480854"/>
    <x v="1"/>
  </r>
  <r>
    <s v="007"/>
    <s v="MPY"/>
    <s v="500E0238"/>
    <s v="ETIQ BAC PREMIUMD31 250*100"/>
    <s v="UN"/>
    <n v="2100"/>
    <n v="0.36359999999999998"/>
    <n v="763.56"/>
    <x v="1"/>
  </r>
  <r>
    <s v="007"/>
    <s v="MPY"/>
    <s v="500E0239"/>
    <s v="ETIQ BAC PREMIUM NS60 190*100"/>
    <s v="UN"/>
    <n v="1000"/>
    <n v="0.2727"/>
    <n v="272.7"/>
    <x v="1"/>
  </r>
  <r>
    <s v="007"/>
    <s v="MPY"/>
    <s v="500E0240"/>
    <s v="ETIQ BAC NOUR JUMBO M14 MF 140AH 310X130"/>
    <s v="UN"/>
    <n v="500"/>
    <n v="0.30804999999999999"/>
    <n v="154.02500000000001"/>
    <x v="1"/>
  </r>
  <r>
    <s v="007"/>
    <s v="MPY"/>
    <s v="500E0242"/>
    <s v="ETIQ BAC NOUR JUMBO M16 MF 200AH 310X130"/>
    <s v="UN"/>
    <n v="1000"/>
    <n v="0.60599999999999998"/>
    <n v="606"/>
    <x v="1"/>
  </r>
  <r>
    <s v="007"/>
    <s v="MPY"/>
    <s v="500X0319"/>
    <s v="ETIQ BAC PREMIUM 110 NOUV DESIGN 204/135"/>
    <s v="UN"/>
    <n v="2000"/>
    <n v="0.23786557377049181"/>
    <n v="475.73114754098361"/>
    <x v="1"/>
  </r>
  <r>
    <s v="007"/>
    <s v="MPY"/>
    <s v="500X0320"/>
    <s v="ETIQ BAC L3 AUTOPOWER 240x95"/>
    <s v="UN"/>
    <n v="2000"/>
    <n v="0.29795000000000005"/>
    <n v="595.90000000000009"/>
    <x v="1"/>
  </r>
  <r>
    <s v="007"/>
    <s v="MPY"/>
    <s v="500X0341"/>
    <s v="ETIQUETTE T10 BAC  50AH 160/90 L1"/>
    <s v="UN"/>
    <n v="4130"/>
    <n v="0.36605889272446068"/>
    <n v="1511.8232269520227"/>
    <x v="1"/>
  </r>
  <r>
    <s v="007"/>
    <s v="MPY"/>
    <s v="500X0342"/>
    <s v="ETIQUETTE T12 BAC  60AH 225/80 L2B"/>
    <s v="UN"/>
    <n v="3000"/>
    <n v="0.39777166666666669"/>
    <n v="1193.3150000000001"/>
    <x v="1"/>
  </r>
  <r>
    <s v="007"/>
    <s v="MPY"/>
    <s v="500X0343"/>
    <s v="ETIQUETTE T15 BAC  62AH 190/90 L2"/>
    <s v="UN"/>
    <n v="5000"/>
    <n v="0.35469657378740971"/>
    <n v="1773.4828689370486"/>
    <x v="1"/>
  </r>
  <r>
    <s v="007"/>
    <s v="MPY"/>
    <s v="500X0344"/>
    <s v="ETIQUETTE T16 BAC  72AH L3B"/>
    <s v="UN"/>
    <n v="3050"/>
    <n v="0.47470000000000007"/>
    <n v="1447.8350000000003"/>
    <x v="1"/>
  </r>
  <r>
    <s v="007"/>
    <s v="MPY"/>
    <s v="500X0345"/>
    <s v="ETIQUETTE T17 BAC  72AH L3"/>
    <s v="UN"/>
    <n v="3096"/>
    <n v="0.48984999999999995"/>
    <n v="1516.5755999999999"/>
    <x v="1"/>
  </r>
  <r>
    <s v="007"/>
    <s v="MPY"/>
    <s v="500x0346"/>
    <s v="ETIQUETTE T22 BAC  100AH L5"/>
    <s v="UN"/>
    <n v="1000"/>
    <n v="0.63629999999999998"/>
    <n v="636.29999999999995"/>
    <x v="1"/>
  </r>
  <r>
    <s v="007"/>
    <s v="MPY"/>
    <s v="510HDL02"/>
    <s v="ETIQ COUV HEAVY DUTY HD2 110/30"/>
    <s v="UN"/>
    <n v="3000"/>
    <n v="0.1"/>
    <n v="300"/>
    <x v="1"/>
  </r>
  <r>
    <s v="007"/>
    <s v="MPY"/>
    <s v="510HDL03"/>
    <s v="ETIQ COUV HEAVY DUTY HD3 110/30"/>
    <s v="UN"/>
    <n v="2500"/>
    <n v="0.06"/>
    <n v="150"/>
    <x v="1"/>
  </r>
  <r>
    <s v="007"/>
    <s v="MPY"/>
    <s v="510HDM10"/>
    <s v="ETIQ COUV HEAVY DUTY HDM10 210/40"/>
    <s v="UN"/>
    <n v="2500"/>
    <n v="0.2518296529968454"/>
    <n v="629.57413249211345"/>
    <x v="1"/>
  </r>
  <r>
    <s v="007"/>
    <s v="MPY"/>
    <s v="510HDM11"/>
    <s v="ETIQ COUV HEAVY DUTY HDM11 210/40"/>
    <s v="UN"/>
    <n v="2000"/>
    <n v="0.22724999999999995"/>
    <n v="454.49999999999989"/>
    <x v="1"/>
  </r>
  <r>
    <s v="007"/>
    <s v="MPY"/>
    <s v="510J1402"/>
    <s v="ETIQ COUV NOUR JUMBO M14 40/210 NOUV DESIGN"/>
    <s v="UN"/>
    <n v="1500"/>
    <n v="0.27659480063693587"/>
    <n v="414.89220095540378"/>
    <x v="1"/>
  </r>
  <r>
    <s v="007"/>
    <s v="MPY"/>
    <s v="510J1503"/>
    <s v="ETIQ COUV NOUR JUMBO M15 40/210 NOUV DESIGN"/>
    <s v="UN"/>
    <n v="2200"/>
    <n v="0.30299999999999999"/>
    <n v="666.6"/>
    <x v="1"/>
  </r>
  <r>
    <s v="007"/>
    <s v="MPY"/>
    <s v="510J1504"/>
    <s v="ETIQ COUV NOUR JUMBO M15S 40/210 NOUV DESIGN"/>
    <s v="UN"/>
    <n v="2200"/>
    <n v="0.30299999999999999"/>
    <n v="666.6"/>
    <x v="1"/>
  </r>
  <r>
    <s v="007"/>
    <s v="MPY"/>
    <s v="510J1602"/>
    <s v="ETIQ COUV NOUR JUMBO M16 40/210 NOUV DESIGN"/>
    <s v="UN"/>
    <n v="3000"/>
    <n v="0.37010515374331554"/>
    <n v="1110.3154612299465"/>
    <x v="1"/>
  </r>
  <r>
    <s v="007"/>
    <s v="MPY"/>
    <s v="510J1603"/>
    <s v="ETIQ COUV NOUR JUMBO M16 MF 200AH 360X190"/>
    <s v="UN"/>
    <n v="1000"/>
    <n v="0.82820000000000005"/>
    <n v="828.2"/>
    <x v="1"/>
  </r>
  <r>
    <s v="007"/>
    <s v="MPY"/>
    <s v="510PL0109"/>
    <s v="ETIQ COUV NOUR POWER PL1 44 AH 30/110 NOUV DESIGN"/>
    <s v="UN"/>
    <n v="2300"/>
    <n v="0.1340995507705729"/>
    <n v="308.42896677231766"/>
    <x v="1"/>
  </r>
  <r>
    <s v="007"/>
    <s v="MPY"/>
    <s v="510PL0211"/>
    <s v="ETIQ COUV NOUR POWER PL2 55AH"/>
    <s v="UN"/>
    <n v="500"/>
    <n v="7.5999999999999998E-2"/>
    <n v="38"/>
    <x v="1"/>
  </r>
  <r>
    <s v="007"/>
    <s v="MPY"/>
    <s v="510PL0505"/>
    <s v="ETIQ COUV NOUR POWER PL5 88AH 30/110 NOUV DESIGN"/>
    <s v="UN"/>
    <n v="1000"/>
    <n v="0.10545201249132548"/>
    <n v="105.45201249132548"/>
    <x v="1"/>
  </r>
  <r>
    <s v="007"/>
    <s v="MPY"/>
    <s v="510PM1105"/>
    <s v="ETIQ COUV NOUR POWER PM11 90AH 40/210 NOUV DESIGN"/>
    <s v="UN"/>
    <n v="2400"/>
    <n v="0.30299999999999999"/>
    <n v="727.19999999999993"/>
    <x v="1"/>
  </r>
  <r>
    <s v="007"/>
    <s v="MPY"/>
    <s v="510PM1206"/>
    <s v="ETIQ COUV NOUR POWER PM12 95AH 40/210 NOUV DESIGN"/>
    <s v="UN"/>
    <n v="2000"/>
    <n v="0.26722962706336201"/>
    <n v="534.45925412672398"/>
    <x v="1"/>
  </r>
  <r>
    <s v="007"/>
    <s v="MPY"/>
    <s v="510PM1207"/>
    <s v="ETIQ COUV NPOWER PM12 95AH 40/210 NOUV DE"/>
    <s v="UN"/>
    <n v="1500"/>
    <n v="0.35803067599660765"/>
    <n v="537.0460139949115"/>
    <x v="1"/>
  </r>
  <r>
    <s v="007"/>
    <s v="MPY"/>
    <s v="510PM1208"/>
    <s v="ETIQ COUV NPOWER PM12S 110AH 40/210 NOUV DE"/>
    <s v="UN"/>
    <n v="1830"/>
    <n v="0.344665"/>
    <n v="630.73694999999998"/>
    <x v="1"/>
  </r>
  <r>
    <s v="007"/>
    <s v="MPY"/>
    <s v="510PRD31"/>
    <s v="ETIQ COUV PR D31 100Ah 700A 280*50"/>
    <s v="UN"/>
    <n v="2000"/>
    <n v="0.29289999999999999"/>
    <n v="585.79999999999995"/>
    <x v="1"/>
  </r>
  <r>
    <s v="007"/>
    <s v="MPY"/>
    <s v="510PRL1H"/>
    <s v="ETIQ COUV NOUVEAU DESIGN PRL1 118/50"/>
    <s v="UN"/>
    <n v="2500"/>
    <n v="0.14661583064481437"/>
    <n v="366.53957661203594"/>
    <x v="1"/>
  </r>
  <r>
    <s v="007"/>
    <s v="MPY"/>
    <s v="510PRL2B"/>
    <s v="ETIQ COUV NOUVEAU DESIGN PRL2B 138/50"/>
    <s v="UN"/>
    <n v="1000"/>
    <n v="0.18640952380952377"/>
    <n v="186.40952380952376"/>
    <x v="1"/>
  </r>
  <r>
    <s v="007"/>
    <s v="MPY"/>
    <s v="510PRL2H"/>
    <s v="ETIQ COUV NOUVEAU DESIGN PRL2 138/50"/>
    <s v="UN"/>
    <n v="1000"/>
    <n v="0.20049655340859748"/>
    <n v="200.49655340859749"/>
    <x v="1"/>
  </r>
  <r>
    <s v="007"/>
    <s v="MPY"/>
    <s v="510PRL3B"/>
    <s v="ETIQ COUV NOUVEAU DESIGN PRL3B 115/50"/>
    <s v="UN"/>
    <n v="2000"/>
    <n v="8.0799999999999997E-2"/>
    <n v="161.6"/>
    <x v="1"/>
  </r>
  <r>
    <s v="007"/>
    <s v="MPY"/>
    <s v="510PRL3H"/>
    <s v="ETIQ COUV NOUVEAU DESIGN PREMIUM L3 115/50"/>
    <s v="UN"/>
    <n v="700"/>
    <n v="0.22219999999999998"/>
    <n v="155.54"/>
    <x v="1"/>
  </r>
  <r>
    <s v="007"/>
    <s v="MPY"/>
    <s v="510PRM10"/>
    <s v="ETIQ COUV NOUVEAU DESIGN PRM10 210/40"/>
    <s v="UN"/>
    <n v="1000"/>
    <n v="0.27158617327144191"/>
    <n v="271.58617327144191"/>
    <x v="1"/>
  </r>
  <r>
    <s v="007"/>
    <s v="MPY"/>
    <s v="510PRM11"/>
    <s v="ETIQ COUV NOUVEAU DESIGN PRM11 210/40"/>
    <s v="UN"/>
    <n v="1700"/>
    <n v="0.25646241902594008"/>
    <n v="435.98611234409816"/>
    <x v="1"/>
  </r>
  <r>
    <s v="007"/>
    <s v="MPY"/>
    <s v="510PRM12"/>
    <s v="ETIQ COUV NOUVEAU DESIGN PRM12 210/40"/>
    <s v="UN"/>
    <n v="1000"/>
    <n v="0.24569383034335271"/>
    <n v="245.69383034335272"/>
    <x v="1"/>
  </r>
  <r>
    <s v="007"/>
    <s v="MPY"/>
    <s v="510PRNS40"/>
    <s v="ETIQ COUV PR NS40 40AH 330A 185x45"/>
    <s v="UN"/>
    <n v="2000"/>
    <n v="0.17410476190476185"/>
    <n v="348.20952380952372"/>
    <x v="1"/>
  </r>
  <r>
    <s v="007"/>
    <s v="MPY"/>
    <s v="510PRNS60"/>
    <s v="ETIQ COUV PR NS60 45AH 410A 220*45"/>
    <s v="UN"/>
    <n v="2000"/>
    <n v="0.2525"/>
    <n v="505"/>
    <x v="1"/>
  </r>
  <r>
    <s v="007"/>
    <s v="MPY"/>
    <s v="510SML011"/>
    <s v="ETIQ COUV S1 118/50 FAI"/>
    <s v="UN"/>
    <n v="2000"/>
    <n v="0.26352316456834513"/>
    <n v="527.04632913669025"/>
    <x v="1"/>
  </r>
  <r>
    <s v="007"/>
    <s v="MPY"/>
    <s v="510SML02"/>
    <s v="ETIQ COUV S2 148/70"/>
    <s v="UN"/>
    <n v="1900"/>
    <n v="0.10610834090417477"/>
    <n v="201.60584771793208"/>
    <x v="1"/>
  </r>
  <r>
    <s v="007"/>
    <s v="MPY"/>
    <s v="510SML021"/>
    <s v="ETIQ COUV S2 138/50 FAI"/>
    <s v="UN"/>
    <n v="460"/>
    <n v="0.30071575047882365"/>
    <n v="138.32924522025888"/>
    <x v="1"/>
  </r>
  <r>
    <s v="007"/>
    <s v="MPY"/>
    <s v="510SML05"/>
    <s v="ETIQ COUV S5 160/70"/>
    <s v="UN"/>
    <n v="3500"/>
    <n v="0.125"/>
    <n v="437.5"/>
    <x v="1"/>
  </r>
  <r>
    <s v="007"/>
    <s v="MPY"/>
    <s v="510TCP01"/>
    <s v="ETIQ COUV MIXTE CATEGORIE ET INSTALL DANGER PREMI"/>
    <s v="UN"/>
    <n v="1000"/>
    <n v="3.3489166387679951E-2"/>
    <n v="33.489166387679951"/>
    <x v="1"/>
  </r>
  <r>
    <s v="007"/>
    <s v="MPY"/>
    <s v="510TCP03"/>
    <s v="ETIQ COUV MIXTE CATEGORIE ET INTSALL DANGER PREMI"/>
    <s v="UN"/>
    <n v="1000"/>
    <n v="0.15866131221719457"/>
    <n v="158.66131221719456"/>
    <x v="1"/>
  </r>
  <r>
    <s v="007"/>
    <s v="MPY"/>
    <s v="510TCP110"/>
    <s v="ETIQ COUV MIXTE CATE ET INSTALL DANG PREMIUM 110"/>
    <s v="UN"/>
    <n v="3400"/>
    <n v="0.17169999999999999"/>
    <n v="583.78"/>
    <x v="1"/>
  </r>
  <r>
    <s v="007"/>
    <s v="MPY"/>
    <s v="510TCS011"/>
    <s v="ETIQ COUV MIXTE CATEGORI SMART S1 56/50 FAI"/>
    <s v="UN"/>
    <n v="5000"/>
    <n v="0.17729165545879538"/>
    <n v="886.45827729397695"/>
    <x v="1"/>
  </r>
  <r>
    <s v="007"/>
    <s v="MPY"/>
    <s v="510TCS021"/>
    <s v="ETIQ COUV MIXTE CATEGORI SMART S2 66/50 FAI"/>
    <s v="UN"/>
    <n v="3463"/>
    <n v="0.20228623237993706"/>
    <n v="700.51722273172209"/>
    <x v="1"/>
  </r>
  <r>
    <s v="007"/>
    <s v="MPY"/>
    <s v="510TCS031"/>
    <s v="ETIQ COUV MIXTE CATEGORI S3 115/50 FAI"/>
    <s v="UN"/>
    <n v="2600"/>
    <n v="0.35295722527875129"/>
    <n v="917.6887857247533"/>
    <x v="1"/>
  </r>
  <r>
    <s v="007"/>
    <s v="MPY"/>
    <s v="510TCS05"/>
    <s v="ETIQ COUV MIXTE CATEGORIE ET INSTALL DANGER SMART"/>
    <s v="UN"/>
    <n v="2000"/>
    <n v="0.12548780487804878"/>
    <n v="250.97560975609755"/>
    <x v="1"/>
  </r>
  <r>
    <s v="007"/>
    <s v="MPY"/>
    <s v="510TCS051"/>
    <s v="ETIQ COUV MIXTE CATEGORI S5 148/50 FAI"/>
    <s v="UN"/>
    <n v="6400"/>
    <n v="0.24233607594936707"/>
    <n v="1550.9508860759493"/>
    <x v="1"/>
  </r>
  <r>
    <s v="007"/>
    <s v="MPY"/>
    <s v="510TCS06"/>
    <s v="ETIQ COUV MIXTE CATEGORI SMART S6 170/50"/>
    <s v="UN"/>
    <n v="3100"/>
    <n v="0.23626010935804323"/>
    <n v="732.40633900993396"/>
    <x v="1"/>
  </r>
  <r>
    <s v="007"/>
    <s v="MPY"/>
    <s v="520X0046"/>
    <s v="ETIQ MIXTE HD  CAT B POUR HD 30*55"/>
    <s v="UN"/>
    <n v="6000"/>
    <n v="7.0699999999999999E-2"/>
    <n v="424.2"/>
    <x v="1"/>
  </r>
  <r>
    <s v="007"/>
    <s v="MPY"/>
    <s v="521X0167"/>
    <s v="ETIQ INSTALL/DANGER GRIS 140X40"/>
    <s v="UN"/>
    <n v="32600"/>
    <n v="0.18271721810827421"/>
    <n v="5956.5813103297396"/>
    <x v="1"/>
  </r>
  <r>
    <s v="007"/>
    <s v="MPY"/>
    <s v="521X0281"/>
    <s v="ETIQ COUV PRM110 130/40"/>
    <s v="UN"/>
    <n v="1000"/>
    <n v="0.25987967479674801"/>
    <n v="259.87967479674802"/>
    <x v="1"/>
  </r>
  <r>
    <s v="007"/>
    <s v="MPY"/>
    <s v="521X0292"/>
    <s v="ETIQ COUV1 L3 74AH STARTER LYBIE MF 115/50"/>
    <s v="UN"/>
    <n v="2500"/>
    <n v="0.33096666666666663"/>
    <n v="827.41666666666663"/>
    <x v="1"/>
  </r>
  <r>
    <s v="007"/>
    <s v="MPY"/>
    <s v="521X0298"/>
    <s v="ETIQ BAC  ENERGY BATTERY  PF 176/88"/>
    <s v="UN"/>
    <n v="3500"/>
    <n v="0.13561250000000002"/>
    <n v="474.64375000000007"/>
    <x v="1"/>
  </r>
  <r>
    <s v="007"/>
    <s v="MPY"/>
    <s v="521X0299"/>
    <s v="ETIQ BAC ENERGY BATTERY MF 238/88"/>
    <s v="UN"/>
    <n v="2000"/>
    <n v="0.22847999999999999"/>
    <n v="456.96"/>
    <x v="1"/>
  </r>
  <r>
    <s v="007"/>
    <s v="MPY"/>
    <s v="521X0309"/>
    <s v="ETIQ COUV POW EXP GRIS L3B 63AH 600A 30/90"/>
    <s v="UN"/>
    <n v="2500"/>
    <n v="6.4000000000000001E-2"/>
    <n v="160"/>
    <x v="1"/>
  </r>
  <r>
    <s v="007"/>
    <s v="MPY"/>
    <s v="521X0310"/>
    <s v="ETIQ COUV POW EXP GRIS M11 80AH 640A 30/90"/>
    <s v="UN"/>
    <n v="3500"/>
    <n v="9.6687558107738575E-2"/>
    <n v="338.40645337708503"/>
    <x v="1"/>
  </r>
  <r>
    <s v="007"/>
    <s v="MPY"/>
    <s v="521X0311"/>
    <s v="ETIQ COUV POW EXP L5 SE"/>
    <s v="UN"/>
    <n v="3000"/>
    <n v="0.185"/>
    <n v="555"/>
    <x v="1"/>
  </r>
  <r>
    <s v="007"/>
    <s v="MPY"/>
    <s v="521X0312"/>
    <s v="ETIQ COUV POW EXP L5 SE 100 AH 820 A"/>
    <s v="UN"/>
    <n v="2500"/>
    <n v="0.185"/>
    <n v="462.5"/>
    <x v="1"/>
  </r>
  <r>
    <s v="007"/>
    <s v="MPY"/>
    <s v="521X0331"/>
    <s v="ETIQ COUV L3 AUTOPOWER 70AH-590A 115x50"/>
    <s v="UN"/>
    <n v="3000"/>
    <n v="0.16160000000000002"/>
    <n v="484.80000000000007"/>
    <x v="1"/>
  </r>
  <r>
    <s v="007"/>
    <s v="MPY"/>
    <s v="521X0332"/>
    <s v="ETIQ MIXTE L3 AUTOPOWER 115x50"/>
    <s v="UN"/>
    <n v="1000"/>
    <n v="0.16159999999999999"/>
    <n v="161.6"/>
    <x v="1"/>
  </r>
  <r>
    <s v="007"/>
    <s v="MPY"/>
    <s v="521x0403"/>
    <s v="ETIQUETTE T10 COUV  50AH420A19050MM L1"/>
    <s v="UN"/>
    <n v="5130"/>
    <n v="0.31025851613783012"/>
    <n v="1591.6261877870686"/>
    <x v="1"/>
  </r>
  <r>
    <s v="007"/>
    <s v="MPY"/>
    <s v="521x0404"/>
    <s v="ETIQUETTE T12 COUV   60AH L2B"/>
    <s v="UN"/>
    <n v="3900"/>
    <n v="0.48080313646980316"/>
    <n v="1875.1322322322324"/>
    <x v="1"/>
  </r>
  <r>
    <s v="007"/>
    <s v="MPY"/>
    <s v="521x0405"/>
    <s v="ETIQUETTE T15 COUV 62AH 540 A L2"/>
    <s v="UN"/>
    <n v="6750"/>
    <n v="0.48318024083196498"/>
    <n v="3261.4666256157634"/>
    <x v="1"/>
  </r>
  <r>
    <s v="007"/>
    <s v="MPY"/>
    <s v="521x0406"/>
    <s v="ETIQUETTE T16 COUV 72AH 640 A L3B"/>
    <s v="UN"/>
    <n v="2370"/>
    <n v="0.52519999999999989"/>
    <n v="1244.7239999999997"/>
    <x v="1"/>
  </r>
  <r>
    <s v="007"/>
    <s v="MPY"/>
    <s v="521X0407"/>
    <s v="ETIQUETTE T17 COUV 72AH 640 A L3"/>
    <s v="UN"/>
    <n v="2596"/>
    <n v="0.50384074051075545"/>
    <n v="1307.9705623659211"/>
    <x v="1"/>
  </r>
  <r>
    <m/>
    <s v="MPY"/>
    <s v="521X0408"/>
    <s v="ETIQUETTE T22 COUV 100AH 800 A L5"/>
    <s v="UN"/>
    <n v="2500"/>
    <n v="0.68174999999999997"/>
    <n v="1704.375"/>
    <x v="1"/>
  </r>
  <r>
    <s v="007"/>
    <s v="MPY"/>
    <s v="580C0010"/>
    <s v="Carton box J6 MF55D23L 232X180X232"/>
    <s v="UN"/>
    <n v="1397"/>
    <n v="3.0804999999999998"/>
    <n v="4303.4584999999997"/>
    <x v="1"/>
  </r>
  <r>
    <s v="007"/>
    <s v="MPY"/>
    <s v="580C0011"/>
    <s v="Carton box MF55559 L2 250X180X200"/>
    <s v="UN"/>
    <n v="1255"/>
    <n v="3.0804999999999998"/>
    <n v="3866.0274999999997"/>
    <x v="1"/>
  </r>
  <r>
    <s v="007"/>
    <s v="MPY"/>
    <s v="690X0029"/>
    <s v="COLLE HOTMELET SWIFT THERM 9042"/>
    <s v="KG"/>
    <n v="2260"/>
    <n v="19.719606724089637"/>
    <n v="44566.311196442577"/>
    <x v="1"/>
  </r>
  <r>
    <s v="05"/>
    <s v="GR01"/>
    <s v="320MRTN"/>
    <s v="GRILLE MRT -"/>
    <s v="KG"/>
    <n v="3602"/>
    <n v="6.9445853837014928"/>
    <n v="25014.396552092778"/>
    <x v="1"/>
  </r>
  <r>
    <s v="05"/>
    <s v="GR01"/>
    <s v="320MRTP"/>
    <s v="GRILLE MRT +"/>
    <s v="KG"/>
    <n v="3680"/>
    <n v="7.3343057120014175"/>
    <n v="26990.245020165217"/>
    <x v="1"/>
  </r>
  <r>
    <s v="05"/>
    <s v="FN01"/>
    <s v="320PMN"/>
    <s v="GRILLE M-"/>
    <s v="KG"/>
    <n v="6678"/>
    <n v="6.9445853837014901"/>
    <n v="46375.94119235855"/>
    <x v="1"/>
  </r>
  <r>
    <s v="05"/>
    <s v="GR01"/>
    <m/>
    <s v="Grille essai ET calcuim"/>
    <s v="KG"/>
    <n v="224"/>
    <n v="6.8663267071618233"/>
    <n v="1538.0571824042484"/>
    <x v="1"/>
  </r>
  <r>
    <s v="05"/>
    <s v="GR01"/>
    <m/>
    <s v="Grille essai PT calcuim"/>
    <s v="KG"/>
    <n v="223"/>
    <n v="6.8663267071618233"/>
    <n v="1531.1908556970866"/>
    <x v="1"/>
  </r>
  <r>
    <s v="05"/>
    <s v="GR01"/>
    <m/>
    <s v="Grille essai TT calcuim"/>
    <s v="KG"/>
    <n v="341"/>
    <n v="6.8663267071618233"/>
    <n v="2341.4174071421817"/>
    <x v="1"/>
  </r>
  <r>
    <s v="05"/>
    <s v="GR01"/>
    <m/>
    <s v="Grille essai ET  (  1,8%)"/>
    <s v="KG"/>
    <n v="491"/>
    <m/>
    <n v="0"/>
    <x v="1"/>
  </r>
  <r>
    <s v="05"/>
    <s v="GR01"/>
    <s v="360PMP"/>
    <s v="PLAQUE M POSITIF "/>
    <s v="KG"/>
    <n v="14382"/>
    <n v="6.8020808742562293"/>
    <n v="97827.527133553085"/>
    <x v="0"/>
  </r>
  <r>
    <s v="05"/>
    <s v="GR01"/>
    <s v="360PMPSP"/>
    <s v="M+ SPECIAL"/>
    <s v="KG"/>
    <n v="14616"/>
    <n v="7.7243830647258251"/>
    <n v="112899.58287403265"/>
    <x v="1"/>
  </r>
  <r>
    <s v="05"/>
    <s v="MPA"/>
    <m/>
    <s v="POUDR DE BOIS"/>
    <s v="KG"/>
    <n v="225"/>
    <n v="0"/>
    <n v="0"/>
    <x v="1"/>
  </r>
  <r>
    <s v="05"/>
    <s v="MPA"/>
    <m/>
    <s v="FICHE SUIVEUSE VERT PETIT FORMAT"/>
    <s v="UN"/>
    <n v="1000"/>
    <n v="0.16113594594594594"/>
    <n v="161.13594594594593"/>
    <x v="1"/>
  </r>
  <r>
    <s v="04"/>
    <s v="FN01"/>
    <s v="610X0014"/>
    <s v="COKE DE PETROLE"/>
    <s v="KG"/>
    <n v="1050"/>
    <n v="1.4931377491061697"/>
    <n v="1567.7946365614782"/>
    <x v="1"/>
  </r>
  <r>
    <s v="04"/>
    <s v="FN01"/>
    <s v="620M0011"/>
    <s v="ETAIN TRAITE DE 90 à 98%"/>
    <s v="KG"/>
    <n v="10.039999999999999"/>
    <n v="49.937318465304863"/>
    <n v="501.37067739166076"/>
    <x v="1"/>
  </r>
  <r>
    <s v="04"/>
    <s v="FN01"/>
    <m/>
    <s v="REBUT PATE"/>
    <s v="KG"/>
    <n v="1200"/>
    <n v="3.9913046639999994"/>
    <n v="4789.5655967999992"/>
    <x v="1"/>
  </r>
  <r>
    <s v="04"/>
    <s v="FN01"/>
    <m/>
    <s v="REBUT PLAQUE"/>
    <s v="KG"/>
    <n v="1476"/>
    <n v="3.9913046639999994"/>
    <n v="5891.1656840639989"/>
    <x v="1"/>
  </r>
  <r>
    <s v="05"/>
    <s v="FN01"/>
    <m/>
    <s v="GRILLE TUB"/>
    <s v="KG"/>
    <n v="648"/>
    <n v="6.911999040750473"/>
    <n v="4478.9753784063068"/>
    <x v="1"/>
  </r>
  <r>
    <s v="007"/>
    <s v="PR01"/>
    <s v="820XMC274"/>
    <s v="FER UPN 80 DE 06M"/>
    <s v="UN"/>
    <n v="6"/>
    <n v="168.64"/>
    <n v="1011.8399999999999"/>
    <x v="3"/>
  </r>
  <r>
    <s v="007"/>
    <s v="PR01"/>
    <m/>
    <s v="COUDE A SOUDER GALVA Ø 40/49"/>
    <s v="UN"/>
    <n v="8"/>
    <n v="9.7360000000000007"/>
    <n v="77.888000000000005"/>
    <x v="3"/>
  </r>
  <r>
    <s v="007"/>
    <s v="PR01"/>
    <m/>
    <s v="KIT COLLIER DE FIXATION GALV 50."/>
    <s v="UN"/>
    <n v="8"/>
    <n v="1.107"/>
    <n v="8.8559999999999999"/>
    <x v="3"/>
  </r>
  <r>
    <s v="007"/>
    <s v="PR01"/>
    <m/>
    <s v="BAGUETTE BRAZURE 4MM 9PC/KG"/>
    <s v="UN"/>
    <n v="10"/>
    <n v="3.9660000000000002"/>
    <n v="39.660000000000004"/>
    <x v="3"/>
  </r>
  <r>
    <s v="007"/>
    <s v="PR01"/>
    <m/>
    <s v="BOUCHON GALVA 50/60"/>
    <s v="UN"/>
    <n v="1"/>
    <n v="3.4860000000000002"/>
    <n v="3.4860000000000002"/>
    <x v="3"/>
  </r>
  <r>
    <s v="007"/>
    <s v="PR01"/>
    <m/>
    <s v="COUDE GAL 40/49 FF"/>
    <s v="UN"/>
    <n v="4"/>
    <n v="6.2939999999999996"/>
    <n v="25.175999999999998"/>
    <x v="3"/>
  </r>
  <r>
    <s v="007"/>
    <s v="PR01"/>
    <m/>
    <s v="RACCORD 3P GAL 40/49"/>
    <s v="UN"/>
    <n v="2"/>
    <n v="15.882"/>
    <n v="31.763999999999999"/>
    <x v="3"/>
  </r>
  <r>
    <s v="007"/>
    <s v="PR01"/>
    <m/>
    <s v="TUBE GAL 40/49"/>
    <s v="UN"/>
    <n v="2"/>
    <n v="116.679"/>
    <n v="233.358"/>
    <x v="3"/>
  </r>
  <r>
    <s v="007"/>
    <s v="PR01"/>
    <s v="820TUB755"/>
    <s v="TUBE CARRE INOX 40 *4mm"/>
    <s v="UN"/>
    <n v="2"/>
    <n v="252"/>
    <n v="504"/>
    <x v="3"/>
  </r>
  <r>
    <s v="007"/>
    <s v="PR01"/>
    <m/>
    <s v="RACCORD RESERVOIR 2&quot; MALE"/>
    <s v="UN"/>
    <n v="1"/>
    <n v="47.624000000000002"/>
    <n v="47.624000000000002"/>
    <x v="3"/>
  </r>
  <r>
    <s v="007"/>
    <s v="PR01"/>
    <s v="812EMB008"/>
    <s v="EMBOUT FILETE PVC PR 63-50*2&quot; FEMELLE"/>
    <s v="UN"/>
    <n v="2"/>
    <n v="16.256"/>
    <n v="32.512"/>
    <x v="3"/>
  </r>
  <r>
    <s v="007"/>
    <s v="PR01"/>
    <s v="812MON717"/>
    <s v="MANCHON PVC PR 50"/>
    <s v="UN"/>
    <n v="6"/>
    <n v="1.78"/>
    <n v="10.68"/>
    <x v="3"/>
  </r>
  <r>
    <s v="007"/>
    <s v="PR01"/>
    <s v="830XOU199"/>
    <s v="POME A GRAISSE PNEUMATIQUE"/>
    <s v="UN"/>
    <n v="2"/>
    <n v="671.37300000000005"/>
    <n v="1342.7460000000001"/>
    <x v="3"/>
  </r>
  <r>
    <s v="007"/>
    <s v="PR01"/>
    <s v="830CLE840"/>
    <s v="PINCE UNIVERSELLE 180mm"/>
    <s v="UN"/>
    <n v="2"/>
    <n v="24.335000000000001"/>
    <n v="48.67"/>
    <x v="3"/>
  </r>
  <r>
    <s v="007"/>
    <s v="PR01"/>
    <s v="830CLE839"/>
    <s v="PINCE COUPANTE"/>
    <s v="UN"/>
    <n v="2"/>
    <n v="9.9749999999999996"/>
    <n v="19.95"/>
    <x v="3"/>
  </r>
  <r>
    <s v="007"/>
    <s v="PR01"/>
    <s v="830CLE858"/>
    <s v="JX TOURNEVIS ELEC"/>
    <s v="UN"/>
    <n v="2"/>
    <n v="25.957999999999998"/>
    <n v="51.915999999999997"/>
    <x v="3"/>
  </r>
  <r>
    <s v="007"/>
    <s v="PR01"/>
    <s v="820TUB021"/>
    <s v="AXE CUIVRE D25"/>
    <s v="UN"/>
    <n v="18.545999999999999"/>
    <n v="110"/>
    <n v="2040.06"/>
    <x v="3"/>
  </r>
  <r>
    <s v="007"/>
    <s v="PR01"/>
    <s v="810PAR019"/>
    <s v="PARAHUIKE 25*42*7"/>
    <s v="UN"/>
    <n v="10"/>
    <n v="10.143000000000001"/>
    <n v="101.43"/>
    <x v="3"/>
  </r>
  <r>
    <s v="007"/>
    <s v="PR01"/>
    <s v="810ROU023"/>
    <s v="ROULEMENT 6202 2Z"/>
    <s v="UN"/>
    <n v="12"/>
    <n v="6.8110285714285723"/>
    <n v="81.732342857142868"/>
    <x v="3"/>
  </r>
  <r>
    <s v="007"/>
    <s v="PR01"/>
    <s v="810ROU003"/>
    <s v="ROULEMENT YAR 207"/>
    <s v="UN"/>
    <n v="7"/>
    <n v="21.7224"/>
    <n v="152.05680000000001"/>
    <x v="3"/>
  </r>
  <r>
    <s v="007"/>
    <s v="PR01"/>
    <s v="830XOU352"/>
    <s v="TEFLON ADHESIF 0,08mm*1000*1000"/>
    <s v="M"/>
    <n v="8"/>
    <n v="56.1"/>
    <n v="448.8"/>
    <x v="3"/>
  </r>
  <r>
    <s v="007"/>
    <s v="PR01"/>
    <m/>
    <s v="VIS SIX PANS M4*10"/>
    <s v="UN"/>
    <n v="100"/>
    <n v="7.739E-2"/>
    <n v="7.7389999999999999"/>
    <x v="3"/>
  </r>
  <r>
    <s v="007"/>
    <s v="PR01"/>
    <m/>
    <s v="VIS SIX PANS M4*20"/>
    <s v="UN"/>
    <n v="100"/>
    <n v="9.5459999999999989E-2"/>
    <n v="9.5459999999999994"/>
    <x v="3"/>
  </r>
  <r>
    <s v="007"/>
    <s v="PR01"/>
    <m/>
    <s v="VIS SIX PANS M4*30"/>
    <s v="UN"/>
    <n v="100"/>
    <n v="0.1061"/>
    <n v="10.61"/>
    <x v="3"/>
  </r>
  <r>
    <s v="007"/>
    <s v="PR01"/>
    <m/>
    <s v="VIS SIX PANS M4*40"/>
    <s v="UN"/>
    <n v="100"/>
    <n v="7.4270000000000003E-2"/>
    <n v="7.4270000000000005"/>
    <x v="3"/>
  </r>
  <r>
    <s v="007"/>
    <s v="PR01"/>
    <m/>
    <s v="PINCEAU PLAT 20"/>
    <s v="UN"/>
    <n v="20"/>
    <n v="0.66600000000000004"/>
    <n v="13.32"/>
    <x v="3"/>
  </r>
  <r>
    <s v="007"/>
    <s v="PR01"/>
    <m/>
    <s v="PINCEAU PLAT 40"/>
    <s v="UN"/>
    <n v="20"/>
    <n v="1.3320000000000001"/>
    <n v="26.64"/>
    <x v="3"/>
  </r>
  <r>
    <s v="007"/>
    <s v="PR01"/>
    <m/>
    <s v="PINCEAU PLAT 60"/>
    <s v="UN"/>
    <n v="20"/>
    <n v="2.1019999999999999"/>
    <n v="42.04"/>
    <x v="3"/>
  </r>
  <r>
    <s v="007"/>
    <s v="PR01"/>
    <m/>
    <s v="COLLE SUPER GLUE 20G"/>
    <s v="UN"/>
    <n v="5"/>
    <n v="4.5789999999999997"/>
    <n v="22.895"/>
    <x v="3"/>
  </r>
  <r>
    <s v="007"/>
    <s v="PR01"/>
    <m/>
    <s v="DISQUE A TRONÇONNER INOX 125X1X22,2"/>
    <s v="UN"/>
    <n v="50"/>
    <n v="1.4990000000000001"/>
    <n v="74.95"/>
    <x v="3"/>
  </r>
  <r>
    <s v="007"/>
    <s v="PR01"/>
    <m/>
    <s v="DISQUE LAMEL 115 Z60 INOX"/>
    <s v="UN"/>
    <n v="20"/>
    <n v="2.5550000000000002"/>
    <n v="51.1"/>
    <x v="3"/>
  </r>
  <r>
    <s v="007"/>
    <s v="PR01"/>
    <m/>
    <s v="HUILE DEGRIPANT 0,9L"/>
    <s v="UN"/>
    <n v="36"/>
    <n v="11.939"/>
    <n v="429.80399999999997"/>
    <x v="3"/>
  </r>
  <r>
    <s v="007"/>
    <s v="PR01"/>
    <m/>
    <s v="LAME DE SCIE METAUX VIKING"/>
    <s v="UN"/>
    <n v="5"/>
    <n v="0.85499999999999998"/>
    <n v="4.2750000000000004"/>
    <x v="3"/>
  </r>
  <r>
    <s v="007"/>
    <s v="PR01"/>
    <m/>
    <s v="VIS TH 10X120 GALVA"/>
    <s v="UN"/>
    <n v="50"/>
    <n v="0.48"/>
    <n v="24"/>
    <x v="3"/>
  </r>
  <r>
    <s v="007"/>
    <s v="PR01"/>
    <m/>
    <s v="LAME DE CUTTEUR"/>
    <s v="UN"/>
    <n v="5"/>
    <n v="1.619"/>
    <n v="8.0950000000000006"/>
    <x v="3"/>
  </r>
  <r>
    <s v="007"/>
    <s v="PR01"/>
    <m/>
    <s v="Scotch chatterton Grand taille"/>
    <s v="UN"/>
    <n v="20"/>
    <n v="2.2999999999999998"/>
    <n v="46"/>
    <x v="3"/>
  </r>
  <r>
    <s v="007"/>
    <s v="PR01"/>
    <m/>
    <s v="POMPE RETOUCHE GRIS "/>
    <s v="UN"/>
    <n v="3"/>
    <n v="7.5110000000000001"/>
    <n v="22.533000000000001"/>
    <x v="3"/>
  </r>
  <r>
    <s v="007"/>
    <s v="PR01"/>
    <s v="812RAC592 "/>
    <s v=" Raccord rapide avec limiteur 6*1/8"/>
    <s v="UN"/>
    <n v="10"/>
    <n v="13.53"/>
    <n v="135.29999999999998"/>
    <x v="3"/>
  </r>
  <r>
    <s v="007"/>
    <s v="PR01"/>
    <m/>
    <s v="Raccord rapide avec limiteur 6*1/4"/>
    <s v="UN"/>
    <n v="10"/>
    <n v="14.94"/>
    <n v="149.4"/>
    <x v="3"/>
  </r>
  <r>
    <s v="007"/>
    <s v="PR01"/>
    <s v="812RAC587"/>
    <s v="RACCORD RAPIDE EN TEE TUBE D6 - G1/4 "/>
    <s v="UN"/>
    <n v="17"/>
    <n v="19.8"/>
    <n v="336.6"/>
    <x v="3"/>
  </r>
  <r>
    <s v="007"/>
    <s v="PR01"/>
    <s v="812RED602"/>
    <s v="RACCORD UNION INEGALE D04-D06 "/>
    <s v="UN"/>
    <n v="24"/>
    <n v="1.802"/>
    <n v="43.248000000000005"/>
    <x v="3"/>
  </r>
  <r>
    <s v="007"/>
    <s v="PR01"/>
    <s v="812RAC041"/>
    <s v="RACCORD RAPIDE DROIT G-1/4-8 "/>
    <s v="UN"/>
    <n v="9"/>
    <n v="2.88"/>
    <n v="25.919999999999998"/>
    <x v="3"/>
  </r>
  <r>
    <s v="007"/>
    <s v="PR01"/>
    <s v=" 812RAC031 "/>
    <s v="RACCORD RAPIDE EN TEE TUBE D8 - G1/4"/>
    <s v="UN"/>
    <n v="20"/>
    <n v="5.85"/>
    <n v="117"/>
    <x v="3"/>
  </r>
  <r>
    <s v="007"/>
    <s v="PR01"/>
    <s v="812RAC066   "/>
    <s v="RACCORD COUDE 1/8 TUBE D8 "/>
    <s v="UN"/>
    <n v="10"/>
    <n v="3.84"/>
    <n v="38.4"/>
    <x v="3"/>
  </r>
  <r>
    <s v="007"/>
    <s v="PR01"/>
    <s v="-"/>
    <s v="REGULATEUR DE DEBIT TUBE D12 G1/4 "/>
    <s v="UN"/>
    <n v="10"/>
    <n v="29.63"/>
    <n v="296.3"/>
    <x v="3"/>
  </r>
  <r>
    <s v="007"/>
    <s v="PR01"/>
    <s v="812RAC593"/>
    <s v="REGULATEUR DE DEBIT TUBE D8 G1/8 "/>
    <s v="UN"/>
    <n v="13"/>
    <n v="12.07"/>
    <n v="156.91"/>
    <x v="3"/>
  </r>
  <r>
    <s v="007"/>
    <s v="PR01"/>
    <s v="812RAC229"/>
    <s v="REGULATEUR DE DEBIT TUBE D10 G3/8 "/>
    <s v="UN"/>
    <n v="15"/>
    <n v="21.785499999999999"/>
    <n v="326.78249999999997"/>
    <x v="3"/>
  </r>
  <r>
    <s v="007"/>
    <s v="PR01"/>
    <s v=" 812rac594"/>
    <s v="REGULATEUR DE DEBIT TUBE D10 G1/8 "/>
    <s v="UN"/>
    <n v="20"/>
    <n v="24.63"/>
    <n v="492.59999999999997"/>
    <x v="3"/>
  </r>
  <r>
    <s v="007"/>
    <s v="PR01"/>
    <s v="812RAC015  "/>
    <s v="RACCORD UNION EGALE D10 "/>
    <s v="UN"/>
    <n v="10"/>
    <n v="3.92"/>
    <n v="39.200000000000003"/>
    <x v="3"/>
  </r>
  <r>
    <s v="007"/>
    <s v="PR01"/>
    <s v="812TTE618  "/>
    <s v="RACCORD RAPIDE EN TE D10"/>
    <s v="UN"/>
    <n v="10"/>
    <n v="5.37"/>
    <n v="53.7"/>
    <x v="3"/>
  </r>
  <r>
    <s v="007"/>
    <s v="PR01"/>
    <s v="-"/>
    <s v="REGULATEUR DEBIT D8 "/>
    <s v="UN"/>
    <n v="10"/>
    <n v="18.16"/>
    <n v="181.6"/>
    <x v="3"/>
  </r>
  <r>
    <s v="007"/>
    <s v="PR01"/>
    <s v="-"/>
    <s v="REGULATEUR DEBIT D6 "/>
    <s v="UN"/>
    <n v="10"/>
    <n v="16.22"/>
    <n v="162.19999999999999"/>
    <x v="3"/>
  </r>
  <r>
    <s v="007"/>
    <s v="PR01"/>
    <s v="812RAC088 "/>
    <s v="RACCORD UNION INEGALE D10-D12 "/>
    <s v="UN"/>
    <n v="10"/>
    <n v="4.5599999999999996"/>
    <n v="45.599999999999994"/>
    <x v="3"/>
  </r>
  <r>
    <s v="007"/>
    <s v="PR01"/>
    <s v="812RAC185"/>
    <s v="RACCORD RAPIDE DROIT G3/8 -10 "/>
    <s v="UN"/>
    <n v="23"/>
    <n v="5.5419999999999998"/>
    <n v="127.46599999999999"/>
    <x v="3"/>
  </r>
  <r>
    <s v="007"/>
    <s v="PR01"/>
    <s v="812RAC222 "/>
    <s v="RACCORD RAPIDE COUDE G1/4- 10 "/>
    <s v="UN"/>
    <n v="10"/>
    <n v="6.4550000000000001"/>
    <n v="64.55"/>
    <x v="3"/>
  </r>
  <r>
    <s v="007"/>
    <s v="PR01"/>
    <s v="-"/>
    <s v="RACCORD RAPIDE COUDE G3/8- 10 "/>
    <s v="UN"/>
    <n v="10"/>
    <n v="6.78"/>
    <n v="67.8"/>
    <x v="3"/>
  </r>
  <r>
    <s v="007"/>
    <s v="PR01"/>
    <s v="-"/>
    <s v="RACCORD RAPIDE COUDE G3/8- 12 "/>
    <s v="UN"/>
    <n v="10"/>
    <n v="7.23"/>
    <n v="72.300000000000011"/>
    <x v="3"/>
  </r>
  <r>
    <s v="007"/>
    <s v="PR01"/>
    <s v="-"/>
    <s v="BOUCHON PLASTIC T12 "/>
    <s v="UN"/>
    <n v="10"/>
    <n v="2.2000000000000002"/>
    <n v="22"/>
    <x v="3"/>
  </r>
  <r>
    <s v="007"/>
    <s v="PR01"/>
    <s v="812RAC094"/>
    <s v="RACCORD UNION INEGALE D06-D08"/>
    <s v="UN"/>
    <n v="12"/>
    <n v="2.6179999999999999"/>
    <n v="31.415999999999997"/>
    <x v="3"/>
  </r>
  <r>
    <s v="007"/>
    <s v="PR01"/>
    <s v="-"/>
    <s v="RACCORD UNION INEGALE D06-D10"/>
    <s v="UN"/>
    <n v="10"/>
    <n v="4.8"/>
    <n v="48"/>
    <x v="3"/>
  </r>
  <r>
    <s v="007"/>
    <s v="PR01"/>
    <m/>
    <s v="ACCOUPLEMENT ALIMINUIM ELASTIQUE 10/08"/>
    <s v="UN"/>
    <n v="4"/>
    <n v="215.5"/>
    <n v="862"/>
    <x v="3"/>
  </r>
  <r>
    <s v="007"/>
    <s v="PR01"/>
    <m/>
    <s v="ACCOUPLEMENT ELAQTIQUE 10/10"/>
    <s v="UN"/>
    <n v="2"/>
    <n v="193.5"/>
    <n v="387"/>
    <x v="3"/>
  </r>
  <r>
    <s v="007"/>
    <s v="PR01"/>
    <m/>
    <s v="ACCOUPLEMENT ALIMINUIM ELASTIQUE 10/08"/>
    <s v="UN"/>
    <n v="1"/>
    <n v="215.5"/>
    <n v="215.5"/>
    <x v="3"/>
  </r>
  <r>
    <s v="007"/>
    <s v="PR01"/>
    <s v="701ELE002"/>
    <s v="CARTE sortie Redresseur CS20007/03  RED2010"/>
    <s v="UN"/>
    <n v="4"/>
    <n v="687.14539500000001"/>
    <n v="2748.58158"/>
    <x v="3"/>
  </r>
  <r>
    <s v="007"/>
    <s v="PR01"/>
    <s v="701ELE006"/>
    <s v="Thermocouple universal 120/M (sonde a gaz)"/>
    <s v="UN"/>
    <n v="6"/>
    <n v="30.778500000000001"/>
    <n v="184.67099999999999"/>
    <x v="3"/>
  </r>
  <r>
    <s v="007"/>
    <s v="PR01"/>
    <s v="701ELE007"/>
    <s v="Corps Connecteur Harting Male 09300161420"/>
    <s v="UN"/>
    <n v="2"/>
    <n v="71.400999999999996"/>
    <n v="142.80199999999999"/>
    <x v="3"/>
  </r>
  <r>
    <s v="007"/>
    <s v="PR01"/>
    <s v="701ELE008"/>
    <s v="Corps Connecteur Harting Femelle 09300161230"/>
    <s v="UN"/>
    <n v="0"/>
    <n v="231.54599999999999"/>
    <n v="0"/>
    <x v="3"/>
  </r>
  <r>
    <s v="007"/>
    <s v="PR01"/>
    <s v="701ELE011"/>
    <s v="Alimentation stabilisé S8VK-C24024 OUT24VDC 10A"/>
    <s v="UN"/>
    <n v="3"/>
    <n v="270.31871000000001"/>
    <n v="810.95613000000003"/>
    <x v="3"/>
  </r>
  <r>
    <s v="007"/>
    <s v="PR01"/>
    <s v="701ele018"/>
    <s v="Corps CONNECTOR 16 PINS FEMALE A3036349"/>
    <s v="UN"/>
    <n v="2"/>
    <n v="111.956"/>
    <n v="223.91200000000001"/>
    <x v="3"/>
  </r>
  <r>
    <s v="007"/>
    <s v="PR01"/>
    <s v="701ele019"/>
    <s v="Bouchon Corps connecteur A3036271"/>
    <s v="UN"/>
    <n v="4"/>
    <n v="10"/>
    <n v="40"/>
    <x v="3"/>
  </r>
  <r>
    <s v="007"/>
    <s v="PR01"/>
    <s v="701ele020"/>
    <s v="Corps CONNECTOR 6PINS Male double A3036328"/>
    <s v="UN"/>
    <n v="4"/>
    <n v="143.422346"/>
    <n v="573.68938400000002"/>
    <x v="3"/>
  </r>
  <r>
    <s v="007"/>
    <s v="PR01"/>
    <s v="701ELE021"/>
    <s v="Corps CONNECTOR 6PINS Female double A3036356"/>
    <s v="UN"/>
    <n v="5"/>
    <n v="193.55086499999999"/>
    <n v="967.75432499999988"/>
    <x v="3"/>
  </r>
  <r>
    <s v="007"/>
    <s v="PR01"/>
    <s v="701ELE024"/>
    <s v="CARTE sortie Redresseur CS20007/01  RED2008/2009"/>
    <s v="UN"/>
    <n v="5"/>
    <n v="1997.393"/>
    <n v="9986.9650000000001"/>
    <x v="3"/>
  </r>
  <r>
    <s v="007"/>
    <s v="PR01"/>
    <s v="701ELE030"/>
    <s v="CONNECTOR 16 PIN MALE 1207500000 FOR THERMOCOUPLE"/>
    <s v="UN"/>
    <n v="5"/>
    <n v="59.334000000000003"/>
    <n v="296.67"/>
    <x v="3"/>
  </r>
  <r>
    <s v="007"/>
    <s v="PR01"/>
    <s v="701ELE032"/>
    <s v="CONNECTOR HARTING 6HSB STI  MALE 09310062601"/>
    <s v="UN"/>
    <n v="2"/>
    <n v="201.67599999999999"/>
    <n v="403.35199999999998"/>
    <x v="3"/>
  </r>
  <r>
    <s v="007"/>
    <s v="PR01"/>
    <s v="701ELE033"/>
    <s v="Connector harting 6HSB-BU FEMELLE 09310062701"/>
    <s v="UN"/>
    <n v="6"/>
    <n v="223.798"/>
    <n v="1342.788"/>
    <x v="3"/>
  </r>
  <r>
    <s v="007"/>
    <s v="PR01"/>
    <s v="701ELE049"/>
    <s v="THERMOCOUPLE MOULE TYPE J D2*50 cable tressé"/>
    <s v="UN"/>
    <n v="8"/>
    <n v="168.00120000000001"/>
    <n v="1344.0096000000001"/>
    <x v="3"/>
  </r>
  <r>
    <s v="007"/>
    <s v="PR01"/>
    <s v="701ELE051"/>
    <s v="Thermocouple 3*50mm cable tresse1625+FICHE COS4"/>
    <s v="UN"/>
    <n v="3"/>
    <n v="189.6858"/>
    <n v="569.05740000000003"/>
    <x v="3"/>
  </r>
  <r>
    <s v="007"/>
    <s v="PR01"/>
    <s v="701ELE058"/>
    <s v="Thermocouple Type K"/>
    <s v="UN"/>
    <n v="6"/>
    <n v="258.3"/>
    <n v="1549.8000000000002"/>
    <x v="3"/>
  </r>
  <r>
    <s v="007"/>
    <s v="PR01"/>
    <s v="701ELE059"/>
    <s v="Thermocouple D5*65mm (bulbe) pour plaque chauffan"/>
    <s v="UN"/>
    <n v="6"/>
    <n v="42.722999999999999"/>
    <n v="256.33799999999997"/>
    <x v="3"/>
  </r>
  <r>
    <s v="007"/>
    <s v="PR01"/>
    <s v="701ele066"/>
    <s v="CONNECTOR 16 PIN FEMALE (A3036195) 1207700000"/>
    <s v="UN"/>
    <n v="4"/>
    <n v="42"/>
    <n v="168"/>
    <x v="3"/>
  </r>
  <r>
    <s v="007"/>
    <s v="PR01"/>
    <s v="701ELE068"/>
    <s v="Sortie complet pour redresseur  ZU3000002"/>
    <s v="UN"/>
    <n v="1"/>
    <n v="209.34899999999999"/>
    <n v="209.34899999999999"/>
    <x v="3"/>
  </r>
  <r>
    <s v="007"/>
    <s v="PR01"/>
    <s v="701ELE077"/>
    <s v="Thermocouple D4/L3000 0-400°C"/>
    <s v="UN"/>
    <n v="3"/>
    <n v="68.174999999999997"/>
    <n v="204.52499999999998"/>
    <x v="3"/>
  </r>
  <r>
    <s v="007"/>
    <s v="PR01"/>
    <s v="701ELE082"/>
    <s v="Thermocouple PT100 3*165 3FILS  Fluxe COS"/>
    <s v="UN"/>
    <n v="1"/>
    <n v="100.8"/>
    <n v="100.8"/>
    <x v="3"/>
  </r>
  <r>
    <s v="007"/>
    <s v="PR01"/>
    <s v="701ELE086"/>
    <s v="Sortie complet pour redresseur Kraft power"/>
    <s v="UN"/>
    <n v="1"/>
    <n v="80.519000000000005"/>
    <n v="80.519000000000005"/>
    <x v="3"/>
  </r>
  <r>
    <s v="007"/>
    <s v="PR01"/>
    <s v="701MEC028"/>
    <s v="spring A0080588 ENV SOVEMA"/>
    <s v="UN"/>
    <n v="42"/>
    <n v="46.293731220461453"/>
    <n v="1944.336711259381"/>
    <x v="3"/>
  </r>
  <r>
    <s v="007"/>
    <s v="PR01"/>
    <s v="701MEC033"/>
    <s v="transmission Ratio 0.5 A4007084"/>
    <s v="UN"/>
    <n v="1"/>
    <n v="1016.727809"/>
    <n v="1016.727809"/>
    <x v="3"/>
  </r>
  <r>
    <s v="007"/>
    <s v="PR01"/>
    <s v="701MEC039"/>
    <s v="taillant F0080409/1 (Selecting NAIL) ENV SOVEMA"/>
    <s v="UN"/>
    <n v="6"/>
    <n v="389.41789859126379"/>
    <n v="2336.5073915475828"/>
    <x v="3"/>
  </r>
  <r>
    <s v="007"/>
    <s v="PR01"/>
    <s v="701MEC041"/>
    <s v="goujon gauche F0080625"/>
    <s v="UN"/>
    <n v="262"/>
    <n v="2.5506016440962149"/>
    <n v="668.25763075320833"/>
    <x v="3"/>
  </r>
  <r>
    <s v="007"/>
    <s v="PR01"/>
    <s v="701MEC042"/>
    <s v="goujon droit F0080143"/>
    <s v="UN"/>
    <n v="145"/>
    <n v="30.827600000000004"/>
    <n v="4470.0020000000004"/>
    <x v="3"/>
  </r>
  <r>
    <s v="007"/>
    <s v="PR01"/>
    <s v="701MEC060"/>
    <s v="BROSSE FLUXE COS"/>
    <s v="UN"/>
    <n v="4"/>
    <n v="383.8"/>
    <n v="1535.2"/>
    <x v="3"/>
  </r>
  <r>
    <s v="007"/>
    <s v="PR01"/>
    <s v="701MEC061"/>
    <s v="Navette LB ENV ELBAK"/>
    <s v="UN"/>
    <n v="3"/>
    <n v="95.95"/>
    <n v="287.85000000000002"/>
    <x v="3"/>
  </r>
  <r>
    <s v="007"/>
    <s v="PR01"/>
    <s v="701MEC062"/>
    <s v="Navette M ENV ELBAK"/>
    <s v="UN"/>
    <n v="1"/>
    <n v="90.9"/>
    <n v="90.9"/>
    <x v="3"/>
  </r>
  <r>
    <s v="007"/>
    <s v="PR01"/>
    <s v="701MEC066"/>
    <s v="JOINT VENTOUSE ENV HILANS"/>
    <s v="UN"/>
    <n v="142"/>
    <n v="27.400289999999998"/>
    <n v="3890.8411799999999"/>
    <x v="3"/>
  </r>
  <r>
    <s v="007"/>
    <s v="PR01"/>
    <s v="701MEC069"/>
    <s v="Brosse special M.Lavage HUANFA"/>
    <s v="UN"/>
    <n v="3"/>
    <n v="383.8"/>
    <n v="1151.4000000000001"/>
    <x v="3"/>
  </r>
  <r>
    <s v="007"/>
    <s v="PR01"/>
    <s v="701MEC100"/>
    <s v="JOINT VENTOUSE"/>
    <s v="UN"/>
    <n v="263"/>
    <n v="27.400289999999998"/>
    <n v="7206.2762699999994"/>
    <x v="3"/>
  </r>
  <r>
    <s v="007"/>
    <s v="PR01"/>
    <s v="701MEC101"/>
    <s v="Joint ventouse 3 etages"/>
    <s v="UN"/>
    <n v="2"/>
    <n v="50"/>
    <n v="100"/>
    <x v="3"/>
  </r>
  <r>
    <s v="007"/>
    <s v="PR01"/>
    <s v="702ELE004"/>
    <s v="CONVERTISSEUR 100 MB A3028004"/>
    <s v="UN"/>
    <n v="1"/>
    <n v="1203.9933554960826"/>
    <n v="1203.9933554960826"/>
    <x v="3"/>
  </r>
  <r>
    <s v="007"/>
    <s v="PR01"/>
    <s v="702ELE020"/>
    <s v="THERMOCOUPLE D2*100 A3025007"/>
    <s v="UN"/>
    <n v="0"/>
    <n v="87.207000000000008"/>
    <n v="0"/>
    <x v="3"/>
  </r>
  <r>
    <s v="007"/>
    <s v="PR01"/>
    <s v="702ELE060"/>
    <s v="TRANSFORMATEUR ALLUMAGE A0.6 SA6"/>
    <s v="UN"/>
    <n v="1"/>
    <n v="4.59"/>
    <n v="4.59"/>
    <x v="3"/>
  </r>
  <r>
    <s v="007"/>
    <s v="PR01"/>
    <s v="702ELE062"/>
    <s v="AMPERMETRE 0-30 A"/>
    <s v="UN"/>
    <n v="3"/>
    <n v="20.2761"/>
    <n v="60.828299999999999"/>
    <x v="3"/>
  </r>
  <r>
    <s v="007"/>
    <s v="PR01"/>
    <s v="702ELE065"/>
    <s v="AMPERMETRE 0-10 A"/>
    <s v="UN"/>
    <n v="7"/>
    <n v="40.910499999999999"/>
    <n v="286.37349999999998"/>
    <x v="3"/>
  </r>
  <r>
    <s v="007"/>
    <s v="PR01"/>
    <s v="702ELE096"/>
    <s v="RESIST CONT D20X438 1500W 230V Creuset inf"/>
    <s v="UN"/>
    <n v="6"/>
    <n v="245.34055181576011"/>
    <n v="1472.0433108945606"/>
    <x v="3"/>
  </r>
  <r>
    <s v="007"/>
    <s v="PR01"/>
    <s v="702ELE097"/>
    <s v="RESIST CARTOUCHE D20X561 2000W 230V (STRIP)"/>
    <s v="UN"/>
    <n v="6"/>
    <n v="330.52017303815018"/>
    <n v="1983.1210382289009"/>
    <x v="3"/>
  </r>
  <r>
    <s v="007"/>
    <s v="PR01"/>
    <s v="702ELE100"/>
    <s v="SUPPORT BAIONETTE SONDE TYPE J M12"/>
    <s v="UN"/>
    <n v="8"/>
    <n v="17.052"/>
    <n v="136.416"/>
    <x v="3"/>
  </r>
  <r>
    <s v="007"/>
    <s v="PR01"/>
    <s v="702MEC009"/>
    <s v="COLLE 13 KG A9031033"/>
    <s v="UN"/>
    <n v="35"/>
    <n v="33.313431199999997"/>
    <n v="1165.9700919999998"/>
    <x v="3"/>
  </r>
  <r>
    <s v="007"/>
    <s v="PR01"/>
    <s v="702MEC013"/>
    <s v="MEMBRANE FILMTEC BW30 4040 (POUR OSMOSEUR)"/>
    <s v="UN"/>
    <n v="1"/>
    <n v="695"/>
    <n v="695"/>
    <x v="3"/>
  </r>
  <r>
    <s v="007"/>
    <s v="PR01"/>
    <s v="702MEC014"/>
    <s v="Flotteur mecanique pour cyterne d'eau"/>
    <s v="UN"/>
    <n v="1"/>
    <n v="44.625"/>
    <n v="44.625"/>
    <x v="3"/>
  </r>
  <r>
    <s v="007"/>
    <s v="PR01"/>
    <s v="702MEC019"/>
    <s v="ROULEAU SOVEMA"/>
    <s v="UN"/>
    <n v="8"/>
    <n v="35"/>
    <n v="280"/>
    <x v="3"/>
  </r>
  <r>
    <s v="007"/>
    <s v="PR01"/>
    <s v="702MEC023"/>
    <s v="FLOTTEUR STRIP F0076027"/>
    <s v="UN"/>
    <n v="1"/>
    <n v="1025.271"/>
    <n v="1025.271"/>
    <x v="3"/>
  </r>
  <r>
    <s v="007"/>
    <s v="PR01"/>
    <s v="702MEC029"/>
    <s v="Flotteur electrique 5M pour cyterne d'eau"/>
    <s v="UN"/>
    <n v="2"/>
    <n v="41.491050000000001"/>
    <n v="82.982100000000003"/>
    <x v="3"/>
  </r>
  <r>
    <s v="007"/>
    <s v="PR01"/>
    <s v="702MEC040"/>
    <s v="Handle valve CAM 08F A7008016  COS"/>
    <s v="UN"/>
    <n v="6"/>
    <n v="199.49700000000001"/>
    <n v="1196.982"/>
    <x v="3"/>
  </r>
  <r>
    <s v="007"/>
    <s v="PR01"/>
    <s v="702MECO77"/>
    <s v="VERIN A7005732 D80 C35 PN05374.35 PANIER COS"/>
    <s v="UN"/>
    <n v="4"/>
    <n v="554.62175999999999"/>
    <n v="2218.48704"/>
    <x v="3"/>
  </r>
  <r>
    <s v="007"/>
    <s v="PR01"/>
    <s v="703MEC011"/>
    <s v="Toc en plastique oxyde"/>
    <s v="UN"/>
    <n v="21"/>
    <n v="12.441599999999999"/>
    <n v="261.27359999999999"/>
    <x v="3"/>
  </r>
  <r>
    <s v="007"/>
    <s v="PR01"/>
    <s v="703SAC001"/>
    <s v="SAC MANCHE FILTRANTE D120/L1530/NOMEX OXYDE"/>
    <s v="UN"/>
    <n v="130"/>
    <n v="70.7"/>
    <n v="9191"/>
    <x v="3"/>
  </r>
  <r>
    <s v="007"/>
    <s v="PR01"/>
    <s v="705ELE001"/>
    <s v="CAPTEUR A3013220 LR 110 TB 385"/>
    <s v="UN"/>
    <n v="1"/>
    <n v="80.75"/>
    <n v="80.75"/>
    <x v="3"/>
  </r>
  <r>
    <s v="007"/>
    <s v="PR01"/>
    <s v="705ELE002"/>
    <s v="CAPTEUR A3013221 LT110 TB 385 TBAS"/>
    <s v="UN"/>
    <n v="1"/>
    <n v="80.75"/>
    <n v="80.75"/>
    <x v="3"/>
  </r>
  <r>
    <s v="007"/>
    <s v="PR01"/>
    <s v="705MEC004"/>
    <s v="Lame TEKMAX 937 3PT HARD CB 20072108"/>
    <s v="UN"/>
    <n v="2"/>
    <n v="52"/>
    <n v="104"/>
    <x v="3"/>
  </r>
  <r>
    <s v="007"/>
    <s v="PR01"/>
    <s v="705MEC005"/>
    <s v="Contre lame TEKMAX 105 BLADE CREASE 75*915"/>
    <s v="UN"/>
    <n v="6"/>
    <n v="60"/>
    <n v="360"/>
    <x v="3"/>
  </r>
  <r>
    <s v="007"/>
    <s v="PR01"/>
    <s v="707ELE009"/>
    <s v="Cable connection  L500mm"/>
    <s v="UN"/>
    <n v="700"/>
    <n v="14.6965"/>
    <n v="10287.550000000001"/>
    <x v="3"/>
  </r>
  <r>
    <s v="007"/>
    <s v="PR01"/>
    <s v="707ELE010"/>
    <s v="Cable connection P+N L3000mm"/>
    <s v="UN"/>
    <n v="93"/>
    <n v="24.99952"/>
    <n v="2324.9553599999999"/>
    <x v="3"/>
  </r>
  <r>
    <s v="007"/>
    <s v="PR01"/>
    <s v="707MEC005"/>
    <s v="Plastic bearing for water bath roller charge"/>
    <s v="UN"/>
    <n v="42"/>
    <n v="2.6299000000000001"/>
    <n v="110.45580000000001"/>
    <x v="3"/>
  </r>
  <r>
    <s v="007"/>
    <s v="PR01"/>
    <s v="707MEC012"/>
    <s v="Regulator SNSAL4000 M.Nivelage"/>
    <s v="UN"/>
    <n v="1"/>
    <n v="233.07"/>
    <n v="233.07"/>
    <x v="3"/>
  </r>
  <r>
    <s v="007"/>
    <s v="PR01"/>
    <s v="707MEC013"/>
    <s v="Regulator SNS AL2000 M.Nivelage"/>
    <s v="UN"/>
    <n v="1"/>
    <n v="110.17700000000001"/>
    <n v="110.17700000000001"/>
    <x v="3"/>
  </r>
  <r>
    <s v="007"/>
    <s v="PR01"/>
    <s v="708ELE029"/>
    <s v="Capteur de fin course verin GMSG-020"/>
    <s v="UN"/>
    <n v="1"/>
    <n v="0"/>
    <n v="0"/>
    <x v="3"/>
  </r>
  <r>
    <s v="007"/>
    <s v="PR01"/>
    <s v="710ELE002"/>
    <s v="Transformer 10/20 MA A3013067  S.Conexion"/>
    <s v="UN"/>
    <n v="1"/>
    <n v="104.61317"/>
    <n v="104.61317"/>
    <x v="3"/>
  </r>
  <r>
    <s v="007"/>
    <s v="PR01"/>
    <s v="710ELE003"/>
    <s v="Transformer 200/20 MA A3021023  S.Conexion"/>
    <s v="UN"/>
    <n v="1"/>
    <n v="125.27179599999999"/>
    <n v="125.27179599999999"/>
    <x v="3"/>
  </r>
  <r>
    <s v="007"/>
    <s v="PR01"/>
    <s v="710ELE004"/>
    <s v="Relay H24-1A69 A3015757 S.Conexion"/>
    <s v="UN"/>
    <n v="5"/>
    <n v="323.07979"/>
    <n v="1615.39895"/>
    <x v="3"/>
  </r>
  <r>
    <s v="007"/>
    <s v="PR01"/>
    <s v="710ELE005"/>
    <s v="Resistance A3015308 2500W LH/RH  MOULE M11"/>
    <s v="UN"/>
    <n v="10"/>
    <n v="489.173"/>
    <n v="4891.7299999999996"/>
    <x v="3"/>
  </r>
  <r>
    <s v="007"/>
    <s v="PR01"/>
    <s v="710ELE006"/>
    <s v="Servo motor A0269679 1FK7063-2AC71-1RG0 ENV S"/>
    <s v="UN"/>
    <n v="1"/>
    <n v="6687.1639999999998"/>
    <n v="6687.1639999999998"/>
    <x v="3"/>
  </r>
  <r>
    <s v="007"/>
    <s v="PR01"/>
    <s v="710ELE007"/>
    <s v="Variable viltage auto transformer A3013038 S.C"/>
    <s v="UN"/>
    <n v="1"/>
    <n v="936.24"/>
    <n v="936.24"/>
    <x v="3"/>
  </r>
  <r>
    <s v="007"/>
    <s v="PR01"/>
    <s v="710ele008"/>
    <s v="Impeller (turbine) F04258 Pompe plomb COS"/>
    <s v="UN"/>
    <n v="6"/>
    <n v="282.38877000000002"/>
    <n v="1694.3326200000001"/>
    <x v="3"/>
  </r>
  <r>
    <s v="007"/>
    <s v="PR01"/>
    <s v="710ele009"/>
    <s v="Body valve (Corps) F60542 Pompe plomb COS"/>
    <s v="UN"/>
    <n v="1"/>
    <n v="4433.3729999999996"/>
    <n v="4433.3729999999996"/>
    <x v="3"/>
  </r>
  <r>
    <s v="007"/>
    <s v="PR01"/>
    <s v="710ele010"/>
    <s v="Pump Flange (Bride) F04251 Pompe plomb COS"/>
    <s v="UN"/>
    <n v="3"/>
    <n v="277.1277"/>
    <n v="831.38310000000001"/>
    <x v="3"/>
  </r>
  <r>
    <s v="007"/>
    <s v="PR01"/>
    <s v="710ele011"/>
    <s v="Pump SNAIL (Corps) F04261 Pmp plomb M.bille"/>
    <s v="UN"/>
    <n v="3"/>
    <n v="277.1277"/>
    <n v="831.38310000000001"/>
    <x v="3"/>
  </r>
  <r>
    <s v="007"/>
    <s v="PR01"/>
    <s v="710ELE048"/>
    <s v="Resistance A3013416 D12.5xL310 1000W"/>
    <s v="UN"/>
    <n v="9"/>
    <n v="283.80860000000001"/>
    <n v="2554.2773999999999"/>
    <x v="3"/>
  </r>
  <r>
    <s v="007"/>
    <s v="PR01"/>
    <s v="710ELE049"/>
    <s v="Resistance A3013646 (A3013405) D15.7xL960 5000W 2"/>
    <s v="UN"/>
    <n v="6"/>
    <n v="589.06785000000002"/>
    <n v="3534.4071000000004"/>
    <x v="3"/>
  </r>
  <r>
    <s v="007"/>
    <s v="PR01"/>
    <s v="710mec002"/>
    <s v="Contre Lame de coupe F0109648"/>
    <s v="UN"/>
    <n v="1"/>
    <n v="1441.8788999999999"/>
    <n v="1441.8788999999999"/>
    <x v="3"/>
  </r>
  <r>
    <s v="007"/>
    <s v="PR01"/>
    <s v="710MEC006"/>
    <s v="PUFFER D.15 A1503311 ENV SOVEMA"/>
    <s v="UN"/>
    <n v="4"/>
    <n v="29.407765445340271"/>
    <n v="117.63106178136108"/>
    <x v="3"/>
  </r>
  <r>
    <s v="007"/>
    <s v="PR01"/>
    <s v="710MEC007"/>
    <s v="PUFFER D.20 A1503312 ENV SOVEMA"/>
    <s v="UN"/>
    <n v="4"/>
    <n v="30.045605106825956"/>
    <n v="120.18242042730382"/>
    <x v="3"/>
  </r>
  <r>
    <s v="007"/>
    <s v="PR01"/>
    <s v="710MEC008"/>
    <s v="Cylindre A7006324 ENV SOVEMA"/>
    <s v="UN"/>
    <n v="2"/>
    <n v="90.438949896971096"/>
    <n v="180.87789979394219"/>
    <x v="3"/>
  </r>
  <r>
    <s v="007"/>
    <s v="PR01"/>
    <s v="710MEC009"/>
    <s v="Cylindre A7006325 ENV SOVEMA"/>
    <s v="UN"/>
    <n v="2"/>
    <n v="94.803116001873192"/>
    <n v="189.60623200374638"/>
    <x v="3"/>
  </r>
  <r>
    <s v="007"/>
    <s v="PR01"/>
    <s v="710MEC010"/>
    <s v="Tateur F0080406 (Squencer tracer) ENV SO"/>
    <s v="UN"/>
    <n v="2"/>
    <n v="246.74323746946459"/>
    <n v="493.48647493892918"/>
    <x v="3"/>
  </r>
  <r>
    <s v="007"/>
    <s v="PR01"/>
    <s v="710MEC011"/>
    <s v="Tateur F0080407 (Feeler Pin) ENV SO"/>
    <s v="UN"/>
    <n v="2"/>
    <n v="352.49033924209226"/>
    <n v="704.98067848418452"/>
    <x v="3"/>
  </r>
  <r>
    <s v="007"/>
    <s v="PR01"/>
    <s v="710MEC012"/>
    <s v="Clavette F0080416 (Selecting Key) ENV SO"/>
    <s v="UN"/>
    <n v="2"/>
    <n v="276.65456054229355"/>
    <n v="553.3091210845871"/>
    <x v="3"/>
  </r>
  <r>
    <s v="007"/>
    <s v="PR01"/>
    <s v="710MEC013"/>
    <s v="Bracket F0080001 ENV SOVEMA"/>
    <s v="UN"/>
    <n v="12"/>
    <n v="276.28528494880186"/>
    <n v="3315.4234193856223"/>
    <x v="3"/>
  </r>
  <r>
    <s v="007"/>
    <s v="PR01"/>
    <s v="710MEC014"/>
    <s v="Filtre a huile Groupe hydrolique MF100 3 A2SHB"/>
    <s v="UN"/>
    <n v="1"/>
    <n v="220.79249999999999"/>
    <n v="220.79249999999999"/>
    <x v="3"/>
  </r>
  <r>
    <s v="007"/>
    <s v="PR01"/>
    <s v="710MEC017"/>
    <s v="Turbine pompe cos fonte suivant plan"/>
    <s v="UN"/>
    <n v="1"/>
    <n v="270"/>
    <n v="270"/>
    <x v="3"/>
  </r>
  <r>
    <s v="007"/>
    <s v="PR01"/>
    <s v="710MEC018"/>
    <s v="Connecteur staubli RMI 09.2812/JV A7004025"/>
    <s v="UN"/>
    <n v="4"/>
    <n v="145.90799999999999"/>
    <n v="583.63199999999995"/>
    <x v="3"/>
  </r>
  <r>
    <s v="007"/>
    <s v="PR01"/>
    <s v="710MEC019"/>
    <s v="Ammotisseur-A6514029"/>
    <s v="UN"/>
    <n v="2"/>
    <n v="871.07100000000003"/>
    <n v="1742.1420000000001"/>
    <x v="3"/>
  </r>
  <r>
    <s v="007"/>
    <s v="PR01"/>
    <s v="710MEC020"/>
    <s v="Ammotisseur-A6514027"/>
    <s v="UN"/>
    <n v="4"/>
    <n v="831.07399999999996"/>
    <n v="3324.2959999999998"/>
    <x v="3"/>
  </r>
  <r>
    <s v="007"/>
    <s v="PR01"/>
    <s v="710MEC022"/>
    <s v="Accouplement  A0110739 ENV SOVEMA"/>
    <s v="UN"/>
    <n v="4"/>
    <n v="619.70500000000004"/>
    <n v="2478.8200000000002"/>
    <x v="3"/>
  </r>
  <r>
    <s v="007"/>
    <s v="PR01"/>
    <s v="710MEC023"/>
    <s v="Distributeur F27227 COS"/>
    <s v="UN"/>
    <n v="2"/>
    <n v="463.22199999999998"/>
    <n v="926.44399999999996"/>
    <x v="3"/>
  </r>
  <r>
    <s v="007"/>
    <s v="PR01"/>
    <s v="710MEC024"/>
    <s v="Roller GCC 24 With dowels  Boite RED COS"/>
    <s v="UN"/>
    <n v="6"/>
    <n v="178.626"/>
    <n v="1071.7560000000001"/>
    <x v="3"/>
  </r>
  <r>
    <s v="007"/>
    <s v="PR01"/>
    <s v="710MEC025"/>
    <s v="Bride de Turbine pompe cos (fonte)"/>
    <s v="UN"/>
    <n v="1"/>
    <n v="310"/>
    <n v="310"/>
    <x v="3"/>
  </r>
  <r>
    <s v="007"/>
    <s v="PR01"/>
    <s v="710MEC026"/>
    <s v="Pneumatic valve (fin de course) A7009345  COS"/>
    <s v="UN"/>
    <n v="5"/>
    <n v="95.142960000000002"/>
    <n v="475.71480000000003"/>
    <x v="3"/>
  </r>
  <r>
    <s v="007"/>
    <s v="PR01"/>
    <s v="710MEC029"/>
    <s v="Junction link 1/2&quot; A2001055 Chaine plaque ENV SOV"/>
    <s v="UN"/>
    <n v="25"/>
    <n v="19.234739999999999"/>
    <n v="480.86849999999998"/>
    <x v="3"/>
  </r>
  <r>
    <s v="007"/>
    <s v="PR01"/>
    <s v="710MEC300"/>
    <s v="FLOW REGULATOR A7003009  Test Etancheite"/>
    <s v="UN"/>
    <n v="1"/>
    <n v="26.443999999999999"/>
    <n v="26.443999999999999"/>
    <x v="3"/>
  </r>
  <r>
    <s v="007"/>
    <s v="PR01"/>
    <s v="710XPM182"/>
    <s v="Ressort SM"/>
    <s v="UN"/>
    <n v="8"/>
    <n v="6.5"/>
    <n v="52"/>
    <x v="3"/>
  </r>
  <r>
    <s v="007"/>
    <s v="PR01"/>
    <s v="712MEC001"/>
    <s v="LAME EN BRONZE F0081596"/>
    <s v="UN"/>
    <n v="11"/>
    <n v="40"/>
    <n v="440"/>
    <x v="3"/>
  </r>
  <r>
    <s v="007"/>
    <s v="PR01"/>
    <s v="712MEC003"/>
    <s v="ATTACCO F55202139"/>
    <s v="UN"/>
    <n v="71"/>
    <n v="36.671672408360124"/>
    <n v="2603.6887409935689"/>
    <x v="3"/>
  </r>
  <r>
    <s v="007"/>
    <s v="PR01"/>
    <s v="713ELE002"/>
    <s v="CARTE DSP MASTER CS20002/3/A (ZS3000363/3/A)"/>
    <s v="UN"/>
    <n v="2"/>
    <n v="4184.5267999999996"/>
    <n v="8369.0535999999993"/>
    <x v="3"/>
  </r>
  <r>
    <s v="007"/>
    <s v="PR01"/>
    <s v="713ELE004"/>
    <s v="CARTE ALIMENTATION CS20003/2 (ZS3000457/2)"/>
    <s v="UN"/>
    <n v="1"/>
    <n v="1815.0550000000001"/>
    <n v="1815.0550000000001"/>
    <x v="3"/>
  </r>
  <r>
    <s v="007"/>
    <s v="PR01"/>
    <s v="713ELE005"/>
    <s v="CARTE YH-028 Testeur HRD CH"/>
    <s v="UN"/>
    <n v="1"/>
    <n v="0"/>
    <n v="0"/>
    <x v="3"/>
  </r>
  <r>
    <s v="007"/>
    <s v="PR01"/>
    <s v="713MEC001"/>
    <s v="SEAL GASKETS KIT - RR0002522"/>
    <s v="UN"/>
    <n v="11"/>
    <n v="109.60791918399352"/>
    <n v="1205.6871110239288"/>
    <x v="3"/>
  </r>
  <r>
    <s v="007"/>
    <s v="PR01"/>
    <s v="713MEC002"/>
    <s v="BOX GEARING 90° A4007067"/>
    <s v="UN"/>
    <n v="3"/>
    <n v="1531.5229705830191"/>
    <n v="4594.5689117490574"/>
    <x v="3"/>
  </r>
  <r>
    <s v="007"/>
    <s v="PR01"/>
    <s v="713MEC006"/>
    <s v="SPACER - F51158"/>
    <s v="UN"/>
    <n v="6"/>
    <n v="53.511945895962043"/>
    <n v="321.07167537577226"/>
    <x v="3"/>
  </r>
  <r>
    <s v="007"/>
    <s v="PR01"/>
    <s v="713MEC039"/>
    <s v="CYLINDER D.32 - A7005729 Brosse COS 1605.32.800.0"/>
    <s v="UN"/>
    <n v="2"/>
    <n v="1681.9459999999999"/>
    <n v="3363.8919999999998"/>
    <x v="3"/>
  </r>
  <r>
    <s v="007"/>
    <s v="PR01"/>
    <s v="713MEC041"/>
    <s v="NYLON BRUSH - A9047086"/>
    <s v="UN"/>
    <n v="6"/>
    <n v="518.80799999999999"/>
    <n v="3112.848"/>
    <x v="3"/>
  </r>
  <r>
    <s v="007"/>
    <s v="PR01"/>
    <s v="713MEC049"/>
    <s v="COVER - F58001134"/>
    <s v="UN"/>
    <n v="1"/>
    <n v="345.00528830814346"/>
    <n v="345.00528830814346"/>
    <x v="3"/>
  </r>
  <r>
    <s v="007"/>
    <s v="PR01"/>
    <s v="713MEC063"/>
    <s v="BUSE NIVELEUSE"/>
    <s v="UN"/>
    <n v="19"/>
    <n v="237.4927355969989"/>
    <n v="4512.3619763429788"/>
    <x v="3"/>
  </r>
  <r>
    <s v="007"/>
    <s v="PR01"/>
    <s v="713MEC065"/>
    <s v="CYLINDER A7005728 1511.32.20.AR FLUXE COS"/>
    <s v="UN"/>
    <n v="1"/>
    <n v="245.23500000000001"/>
    <n v="245.23500000000001"/>
    <x v="3"/>
  </r>
  <r>
    <s v="007"/>
    <s v="PR01"/>
    <s v="718MEC001"/>
    <s v="bloc machine soudure borne"/>
    <s v="UN"/>
    <n v="1"/>
    <n v="8.8000000000000007"/>
    <n v="8.8000000000000007"/>
    <x v="3"/>
  </r>
  <r>
    <s v="007"/>
    <s v="PR01"/>
    <s v="720mec007"/>
    <s v="JOINT COUTEAU INFERIEUR F0070867/2"/>
    <s v="UN"/>
    <n v="4"/>
    <n v="7.1189999999999998"/>
    <n v="28.475999999999999"/>
    <x v="3"/>
  </r>
  <r>
    <s v="007"/>
    <s v="PR01"/>
    <s v="720mec008"/>
    <s v="JOINTCOUTEAU SUPERIEUR F0076287/2"/>
    <s v="UN"/>
    <n v="4"/>
    <n v="7.1189999999999998"/>
    <n v="28.475999999999999"/>
    <x v="3"/>
  </r>
  <r>
    <s v="007"/>
    <s v="PR01"/>
    <s v="725ELE100"/>
    <s v="Taquimetre GEFRAN F0045 17"/>
    <s v="UN"/>
    <n v="1"/>
    <n v="0"/>
    <n v="0"/>
    <x v="3"/>
  </r>
  <r>
    <s v="007"/>
    <s v="PR01"/>
    <s v="725MEC003"/>
    <s v="ELECTRODEM 19x23 H17.6 FM5 SOUDURE CONNEXION2"/>
    <s v="UN"/>
    <n v="5"/>
    <n v="155.71190461741426"/>
    <n v="778.55952308707128"/>
    <x v="3"/>
  </r>
  <r>
    <s v="007"/>
    <s v="PR01"/>
    <s v="725MEC006"/>
    <s v="Butée centreur (Cuivre) S.Connexion"/>
    <s v="UN"/>
    <n v="1"/>
    <n v="30.3"/>
    <n v="30.3"/>
    <x v="3"/>
  </r>
  <r>
    <s v="007"/>
    <s v="PR01"/>
    <s v="726ELE004"/>
    <s v="SONDE PT100 A3025027"/>
    <s v="UN"/>
    <n v="4"/>
    <n v="87.26812402038496"/>
    <n v="349.07249608153984"/>
    <x v="3"/>
  </r>
  <r>
    <s v="007"/>
    <s v="PR01"/>
    <s v="726ELE007"/>
    <s v="CONTROLEUR TEMPERATURE &amp;E PD319-WHD96-22"/>
    <s v="UN"/>
    <n v="2"/>
    <n v="138.80796000000001"/>
    <n v="277.61592000000002"/>
    <x v="3"/>
  </r>
  <r>
    <s v="007"/>
    <s v="PR01"/>
    <s v="731rou006"/>
    <s v="Rouleau en caoutchouc D77.5  TEKMAX"/>
    <s v="UN"/>
    <n v="1"/>
    <n v="110"/>
    <n v="110"/>
    <x v="3"/>
  </r>
  <r>
    <s v="007"/>
    <s v="PR01"/>
    <s v="731ROU007"/>
    <s v="Roue Support fourche 75/85 BT STAXIO"/>
    <s v="UN"/>
    <n v="4"/>
    <n v="124.7"/>
    <n v="498.8"/>
    <x v="3"/>
  </r>
  <r>
    <s v="007"/>
    <s v="PR01"/>
    <s v="731ROU014"/>
    <s v="Roue MOTRICE 75/318 BT STAXIO"/>
    <s v="UN"/>
    <n v="1"/>
    <n v="520"/>
    <n v="520"/>
    <x v="3"/>
  </r>
  <r>
    <s v="007"/>
    <s v="PR01"/>
    <s v="731ROU015"/>
    <s v="Roue suppor fourche 95/85 6204 BT STAXIO 2009"/>
    <s v="UN"/>
    <n v="2"/>
    <n v="108"/>
    <n v="216"/>
    <x v="3"/>
  </r>
  <r>
    <s v="007"/>
    <s v="PR01"/>
    <s v="731ROU017"/>
    <s v="Roue MOTRICE 70/318 ZSM12"/>
    <s v="UN"/>
    <n v="1"/>
    <n v="520"/>
    <n v="520"/>
    <x v="3"/>
  </r>
  <r>
    <s v="007"/>
    <s v="PR01"/>
    <s v="731ROU019"/>
    <s v="Roue MOTRICE 75/318 BT STAXIO 2009"/>
    <s v="UN"/>
    <n v="1"/>
    <n v="411"/>
    <n v="411"/>
    <x v="3"/>
  </r>
  <r>
    <s v="007"/>
    <s v="PR01"/>
    <s v="731ROU021"/>
    <s v="Roue Support fourche 75/85"/>
    <s v="UN"/>
    <n v="1"/>
    <n v="40"/>
    <n v="40"/>
    <x v="3"/>
  </r>
  <r>
    <s v="007"/>
    <s v="PR01"/>
    <s v="750FIL010"/>
    <s v="FILTRE LIGNE DE RETOUR 02250117-782 SULLAIR AS75"/>
    <s v="UN"/>
    <n v="1"/>
    <n v="217"/>
    <n v="217"/>
    <x v="3"/>
  </r>
  <r>
    <s v="007"/>
    <s v="PR01"/>
    <s v="750HUI002"/>
    <s v="Huile hydrolique Sollube 250022-669L SULLAIR75"/>
    <s v="L"/>
    <n v="40"/>
    <n v="49.45"/>
    <n v="1978"/>
    <x v="3"/>
  </r>
  <r>
    <s v="007"/>
    <s v="PR01"/>
    <s v="810ACC006"/>
    <s v="ACCOUPLEMENT Aluminium GET 28*38 SG   ENV ELBAK"/>
    <s v="UN"/>
    <n v="1"/>
    <n v="194.99600000000001"/>
    <n v="194.99600000000001"/>
    <x v="3"/>
  </r>
  <r>
    <s v="007"/>
    <s v="PR01"/>
    <s v="810ACC007"/>
    <s v="ACCOUPLEMENT GF-42 NN ENV TEKMAX"/>
    <s v="UN"/>
    <n v="1"/>
    <n v="185.31899999999999"/>
    <n v="185.31899999999999"/>
    <x v="3"/>
  </r>
  <r>
    <s v="007"/>
    <s v="PR01"/>
    <s v="810ACC008"/>
    <s v="ACCOUPLEMENT HELICAL WA30-9-9   S.Connexion"/>
    <s v="UN"/>
    <n v="1"/>
    <n v="316.17720000000003"/>
    <n v="316.17720000000003"/>
    <x v="3"/>
  </r>
  <r>
    <s v="007"/>
    <s v="PR01"/>
    <s v="810AMM001"/>
    <s v="AMORTISSEUR  CA2540 Soudure couvercle"/>
    <s v="UN"/>
    <n v="1"/>
    <n v="492.89"/>
    <n v="492.89"/>
    <x v="3"/>
  </r>
  <r>
    <s v="007"/>
    <s v="PR01"/>
    <s v="810CHA003"/>
    <s v="CHAINE DOUBLE PAS 19.5 12B-2"/>
    <s v="M"/>
    <n v="4"/>
    <n v="46.8"/>
    <n v="187.2"/>
    <x v="3"/>
  </r>
  <r>
    <s v="007"/>
    <s v="PR01"/>
    <s v="810CHA004"/>
    <s v="Chaine 05B-1"/>
    <s v="M"/>
    <n v="5"/>
    <n v="11.939399999999999"/>
    <n v="59.696999999999996"/>
    <x v="3"/>
  </r>
  <r>
    <s v="007"/>
    <s v="PR01"/>
    <s v="810CHA006"/>
    <s v="Chaine 04B-1 PAS6mm Soudure borne"/>
    <s v="M"/>
    <n v="9"/>
    <n v="31.05"/>
    <n v="279.45"/>
    <x v="3"/>
  </r>
  <r>
    <s v="007"/>
    <s v="PR01"/>
    <s v="810CHA007"/>
    <s v="chaine SEDIS 06B1 ENG Emp classique"/>
    <s v="M"/>
    <n v="1.2"/>
    <n v="30.113999999999997"/>
    <n v="36.136799999999994"/>
    <x v="3"/>
  </r>
  <r>
    <s v="007"/>
    <s v="PR01"/>
    <s v="810CHA010"/>
    <s v="chaine a pas long 2040 ENV TEKMAX"/>
    <s v="M"/>
    <n v="4.5"/>
    <n v="20.655000000000001"/>
    <n v="92.947500000000005"/>
    <x v="3"/>
  </r>
  <r>
    <s v="007"/>
    <s v="PR01"/>
    <s v="810CHA100"/>
    <s v="chaines 010B-1"/>
    <s v="M"/>
    <n v="5"/>
    <n v="18.18"/>
    <n v="90.9"/>
    <x v="3"/>
  </r>
  <r>
    <s v="007"/>
    <s v="PR01"/>
    <s v="810CHA101"/>
    <s v="chaines 012B-1"/>
    <s v="M"/>
    <n v="5"/>
    <n v="21.285"/>
    <n v="106.425"/>
    <x v="3"/>
  </r>
  <r>
    <s v="007"/>
    <s v="PR01"/>
    <s v="810CHA102"/>
    <s v="chaines 06B-1"/>
    <s v="M"/>
    <n v="10"/>
    <n v="27"/>
    <n v="270"/>
    <x v="3"/>
  </r>
  <r>
    <s v="007"/>
    <s v="PR01"/>
    <s v="810CHA103"/>
    <s v="chaines 08B-1"/>
    <s v="M"/>
    <n v="14"/>
    <n v="15.222000000000001"/>
    <n v="213.108"/>
    <x v="3"/>
  </r>
  <r>
    <s v="007"/>
    <s v="PR01"/>
    <s v="810CHA104"/>
    <s v="chaines 08B-2x5M"/>
    <s v="M"/>
    <n v="10"/>
    <n v="25.861049999999999"/>
    <n v="258.6105"/>
    <x v="3"/>
  </r>
  <r>
    <s v="007"/>
    <s v="PR01"/>
    <s v="810CHA135"/>
    <s v="Chaine 16B-1"/>
    <s v="M"/>
    <n v="4"/>
    <n v="42.3"/>
    <n v="169.2"/>
    <x v="3"/>
  </r>
  <r>
    <s v="007"/>
    <s v="PR01"/>
    <s v="810COU001"/>
    <s v="COURROIE VECA100D1045A40"/>
    <s v="UN"/>
    <n v="2"/>
    <n v="5.1738"/>
    <n v="10.3476"/>
    <x v="3"/>
  </r>
  <r>
    <s v="007"/>
    <s v="PR01"/>
    <s v="810COU003"/>
    <s v="COURROIE MEGA DYINE 720 RPP8"/>
    <s v="UN"/>
    <n v="6"/>
    <n v="7.7606999999999999"/>
    <n v="46.5642"/>
    <x v="3"/>
  </r>
  <r>
    <s v="007"/>
    <s v="PR01"/>
    <s v="810COU004"/>
    <s v="COURROIE 0725 3064"/>
    <s v="UN"/>
    <n v="1"/>
    <n v="7.7606999999999999"/>
    <n v="7.7606999999999999"/>
    <x v="3"/>
  </r>
  <r>
    <s v="007"/>
    <s v="PR01"/>
    <s v="810COU005"/>
    <s v="COURROIE ENVELOPPEUSE A0131957"/>
    <s v="UN"/>
    <n v="1"/>
    <n v="2656.2089999999998"/>
    <n v="2656.2089999999998"/>
    <x v="3"/>
  </r>
  <r>
    <s v="007"/>
    <s v="PR01"/>
    <s v="810COU007"/>
    <s v="COURROIE DHTD 1280 D8M LARG 50mm (STRIP)"/>
    <s v="UN"/>
    <n v="2"/>
    <n v="339.3"/>
    <n v="678.6"/>
    <x v="3"/>
  </r>
  <r>
    <s v="007"/>
    <s v="PR01"/>
    <s v="810COU008"/>
    <s v="POULIE DOUBLE GORGE D118 MX 1610"/>
    <s v="UN"/>
    <n v="1"/>
    <n v="26.3916"/>
    <n v="26.3916"/>
    <x v="3"/>
  </r>
  <r>
    <s v="007"/>
    <s v="PR01"/>
    <s v="810COU013"/>
    <s v="Courroie trapezoidale 10*1150"/>
    <s v="UN"/>
    <n v="5"/>
    <n v="10.101692307692307"/>
    <n v="50.508461538461532"/>
    <x v="3"/>
  </r>
  <r>
    <s v="007"/>
    <s v="PR01"/>
    <s v="810COU015"/>
    <s v="Courroie Dentée 975/13   TEKMAX2"/>
    <s v="UN"/>
    <n v="5"/>
    <n v="12.044"/>
    <n v="60.22"/>
    <x v="3"/>
  </r>
  <r>
    <s v="007"/>
    <s v="PR01"/>
    <s v="810COU024"/>
    <s v="Courroie Trapez A96/13 2470LD 13*2438LI TEKMAX"/>
    <s v="UN"/>
    <n v="3"/>
    <n v="24.9255"/>
    <n v="74.776499999999999"/>
    <x v="3"/>
  </r>
  <r>
    <s v="007"/>
    <s v="PR01"/>
    <s v="810COU040"/>
    <s v="Courroie dentee HTD450-5M15  S.Connexion"/>
    <s v="UN"/>
    <n v="3"/>
    <n v="18.611999999999998"/>
    <n v="55.835999999999999"/>
    <x v="3"/>
  </r>
  <r>
    <s v="007"/>
    <s v="PR01"/>
    <s v="810COU045"/>
    <s v="Courroie dentée HTD 400-5M  S.Con L1+L2"/>
    <s v="UN"/>
    <n v="3"/>
    <n v="16.72"/>
    <n v="50.16"/>
    <x v="3"/>
  </r>
  <r>
    <s v="007"/>
    <s v="PR01"/>
    <s v="810COU050"/>
    <s v="COURROIE DENTEE HTD 1375-5M   M.Lavage"/>
    <s v="UN"/>
    <n v="7"/>
    <n v="0"/>
    <n v="0"/>
    <x v="3"/>
  </r>
  <r>
    <s v="007"/>
    <s v="PR01"/>
    <s v="810COU051"/>
    <s v="COURROIE 30HTD 8M-2104 G-J  ENV HILANS"/>
    <s v="UN"/>
    <n v="1"/>
    <n v="0"/>
    <n v="0"/>
    <x v="3"/>
  </r>
  <r>
    <s v="007"/>
    <s v="PR01"/>
    <s v="810COU052"/>
    <s v="COURROIE 32HTD 14M-2772 G-J   ENV HILANS"/>
    <s v="UN"/>
    <n v="1"/>
    <n v="0"/>
    <n v="0"/>
    <x v="3"/>
  </r>
  <r>
    <s v="007"/>
    <s v="PR01"/>
    <s v="810COU053"/>
    <s v="COURROIE 32HTD 14M-2940 G-J ENV HILANS"/>
    <s v="UN"/>
    <n v="1"/>
    <n v="0"/>
    <n v="0"/>
    <x v="3"/>
  </r>
  <r>
    <s v="007"/>
    <s v="PR01"/>
    <s v="810COU056"/>
    <s v="COURROIE HRZ AT10-1470-25 ENV HILA"/>
    <s v="UN"/>
    <n v="2"/>
    <n v="0"/>
    <n v="0"/>
    <x v="3"/>
  </r>
  <r>
    <s v="007"/>
    <s v="PR01"/>
    <s v="810COU057"/>
    <s v="COURROIE 25T5-1550 G-K ENV HILANS"/>
    <s v="UN"/>
    <n v="1"/>
    <n v="0"/>
    <n v="0"/>
    <x v="3"/>
  </r>
  <r>
    <s v="007"/>
    <s v="PR01"/>
    <s v="810COU058"/>
    <s v="Courroie dentée HTD 350-5M"/>
    <s v="UN"/>
    <n v="5"/>
    <n v="11.16"/>
    <n v="55.8"/>
    <x v="3"/>
  </r>
  <r>
    <s v="007"/>
    <s v="PR01"/>
    <s v="810COU059"/>
    <s v="Courroie magadyne dentee T5-510"/>
    <s v="UN"/>
    <n v="4"/>
    <n v="0"/>
    <n v="0"/>
    <x v="3"/>
  </r>
  <r>
    <s v="007"/>
    <s v="PR01"/>
    <s v="810COU064"/>
    <s v="Courroie trapezoidale 1355*13 A52 VECO100  FRIGO"/>
    <s v="UN"/>
    <n v="8"/>
    <n v="14.476000000000001"/>
    <n v="115.80800000000001"/>
    <x v="3"/>
  </r>
  <r>
    <s v="007"/>
    <s v="PR01"/>
    <s v="810COU071"/>
    <s v="Courroie trapez C87 2268LD 2210LI 22 T.FILTR"/>
    <s v="UN"/>
    <n v="2"/>
    <n v="46.54936"/>
    <n v="93.09872"/>
    <x v="3"/>
  </r>
  <r>
    <s v="007"/>
    <s v="PR01"/>
    <s v="810COU072"/>
    <s v="COURROIE 13*686Li A27 (Pompe COS1)"/>
    <s v="UN"/>
    <n v="4"/>
    <n v="4.5530999999999997"/>
    <n v="18.212399999999999"/>
    <x v="3"/>
  </r>
  <r>
    <s v="007"/>
    <s v="PR01"/>
    <s v="810COU115"/>
    <s v="COURROIE 1425SPA"/>
    <s v="UN"/>
    <n v="2"/>
    <n v="0"/>
    <n v="0"/>
    <x v="3"/>
  </r>
  <r>
    <s v="007"/>
    <s v="PR01"/>
    <s v="810COU117"/>
    <s v="COURROIE 1100/13 oxyde"/>
    <s v="UN"/>
    <n v="2"/>
    <n v="13.4361"/>
    <n v="26.872199999999999"/>
    <x v="3"/>
  </r>
  <r>
    <s v="007"/>
    <s v="PR01"/>
    <s v="810COU120"/>
    <s v="COURROIE 748/13 A28 (POUR COS)"/>
    <s v="UN"/>
    <n v="16"/>
    <n v="8.5500000000000007"/>
    <n v="136.80000000000001"/>
    <x v="3"/>
  </r>
  <r>
    <s v="007"/>
    <s v="PR01"/>
    <s v="810COU123"/>
    <s v="COURROIE SPA 982"/>
    <s v="UN"/>
    <n v="5"/>
    <n v="10.35"/>
    <n v="51.75"/>
    <x v="3"/>
  </r>
  <r>
    <s v="007"/>
    <s v="PR01"/>
    <s v="810COU125"/>
    <s v="COURROIE TAPEZ 1900X17"/>
    <s v="UN"/>
    <n v="1"/>
    <n v="31.95"/>
    <n v="31.95"/>
    <x v="3"/>
  </r>
  <r>
    <s v="007"/>
    <s v="PR01"/>
    <s v="810COU128"/>
    <s v="COURROIE Dentée 900/13   TEKMAX"/>
    <s v="UN"/>
    <n v="8"/>
    <n v="9.9930000000000003"/>
    <n v="79.944000000000003"/>
    <x v="3"/>
  </r>
  <r>
    <s v="007"/>
    <s v="PR01"/>
    <s v="810COU129"/>
    <s v="Courroie 2632X13 TEKMAX trapaiseidal"/>
    <s v="UN"/>
    <n v="2"/>
    <n v="36.359099999999998"/>
    <n v="72.718199999999996"/>
    <x v="3"/>
  </r>
  <r>
    <s v="007"/>
    <s v="PR01"/>
    <s v="810COU130"/>
    <s v="Courroie 2400*12.7 TEKMAX"/>
    <s v="UN"/>
    <n v="2"/>
    <n v="19.299600000000002"/>
    <n v="38.599200000000003"/>
    <x v="3"/>
  </r>
  <r>
    <s v="007"/>
    <s v="PR01"/>
    <s v="810COU131"/>
    <s v="Courroie SPB3070*16.3mm Filtre d'aspiration charg"/>
    <s v="UN"/>
    <n v="4"/>
    <n v="49.68"/>
    <n v="198.72"/>
    <x v="3"/>
  </r>
  <r>
    <s v="007"/>
    <s v="PR01"/>
    <s v="810COU132"/>
    <s v="Courroie trapezoidale 1350*13  Cos4"/>
    <s v="UN"/>
    <n v="3"/>
    <n v="11.0115"/>
    <n v="33.034500000000001"/>
    <x v="3"/>
  </r>
  <r>
    <s v="007"/>
    <s v="PR01"/>
    <s v="810COU136"/>
    <s v="Courroie dentee AV 13*1125 GTX  ENV TEKMAX"/>
    <s v="UN"/>
    <n v="0"/>
    <n v="19.25"/>
    <n v="0"/>
    <x v="3"/>
  </r>
  <r>
    <s v="007"/>
    <s v="PR01"/>
    <s v="810COU252"/>
    <s v="COURROIE HTD 2800 14M40"/>
    <s v="UN"/>
    <n v="1"/>
    <n v="10.35"/>
    <n v="10.35"/>
    <x v="3"/>
  </r>
  <r>
    <s v="007"/>
    <s v="PR01"/>
    <s v="810COU254"/>
    <s v="COURROIE VECA 100-1800A70"/>
    <s v="UN"/>
    <n v="1"/>
    <n v="10.35"/>
    <n v="10.35"/>
    <x v="3"/>
  </r>
  <r>
    <s v="007"/>
    <s v="PR01"/>
    <s v="810COU255"/>
    <s v="COURROIE 381mm VECA100  D2897C112"/>
    <s v="UN"/>
    <n v="9"/>
    <n v="10.35"/>
    <n v="93.149999999999991"/>
    <x v="3"/>
  </r>
  <r>
    <s v="007"/>
    <s v="PR01"/>
    <s v="810COU258"/>
    <s v="courroi HTD-1175-5M"/>
    <s v="UN"/>
    <n v="1"/>
    <n v="10.35"/>
    <n v="10.35"/>
    <x v="3"/>
  </r>
  <r>
    <s v="007"/>
    <s v="PR01"/>
    <s v="810COU259"/>
    <s v="courroi dent interieur MEGA PYNE T5  750x10"/>
    <s v="UN"/>
    <n v="9"/>
    <n v="22.5"/>
    <n v="202.5"/>
    <x v="3"/>
  </r>
  <r>
    <s v="007"/>
    <s v="PR01"/>
    <s v="810cou264"/>
    <s v="courroi trapeze ? 3070SPB"/>
    <s v="UN"/>
    <n v="2"/>
    <n v="29.7"/>
    <n v="59.4"/>
    <x v="3"/>
  </r>
  <r>
    <s v="007"/>
    <s v="PR01"/>
    <s v="810cou265"/>
    <s v="COURROIE 300L 80dents COS"/>
    <s v="UN"/>
    <n v="6"/>
    <n v="10.35"/>
    <n v="62.099999999999994"/>
    <x v="3"/>
  </r>
  <r>
    <s v="007"/>
    <s v="PR01"/>
    <s v="810cou267"/>
    <s v="COURROIE VECA100 2054 B79"/>
    <s v="UN"/>
    <n v="3"/>
    <n v="10.35"/>
    <n v="31.049999999999997"/>
    <x v="3"/>
  </r>
  <r>
    <s v="007"/>
    <s v="PR01"/>
    <s v="810DOU002"/>
    <s v="DOUILLE a bille KB1636PP   VERIN DE BLOC"/>
    <s v="UN"/>
    <n v="5"/>
    <n v="25.007400000000001"/>
    <n v="125.03700000000001"/>
    <x v="3"/>
  </r>
  <r>
    <s v="007"/>
    <s v="PR01"/>
    <s v="810DOU005"/>
    <s v="DOUILLE a bille INA KB30-99-AS  30*47*68 Fardeleu"/>
    <s v="UN"/>
    <n v="4"/>
    <n v="176.27939999999998"/>
    <n v="705.11759999999992"/>
    <x v="3"/>
  </r>
  <r>
    <s v="007"/>
    <s v="PR01"/>
    <s v="810DOU007"/>
    <s v="Douille a billes KB20-PP Fardeleuse1"/>
    <s v="UN"/>
    <n v="1"/>
    <n v="144.81"/>
    <n v="144.81"/>
    <x v="3"/>
  </r>
  <r>
    <s v="007"/>
    <s v="PR01"/>
    <s v="810GOU007"/>
    <s v="Goujon d'echappement M12*50  Moule COS3"/>
    <s v="UN"/>
    <n v="8"/>
    <n v="3.7124999999999999"/>
    <n v="29.7"/>
    <x v="3"/>
  </r>
  <r>
    <s v="007"/>
    <s v="PR01"/>
    <s v="810GOU008"/>
    <s v="Ecrou d'echappement M12     Moule COS3"/>
    <s v="UN"/>
    <n v="9"/>
    <n v="3.7124999999999999"/>
    <n v="33.412500000000001"/>
    <x v="3"/>
  </r>
  <r>
    <s v="007"/>
    <s v="PR01"/>
    <s v="810MAN0016"/>
    <s v="Manomètre avec glycerine G1/4 63mm 0-6bar OSMOSEU"/>
    <s v="UN"/>
    <n v="2"/>
    <n v="21.08"/>
    <n v="42.16"/>
    <x v="3"/>
  </r>
  <r>
    <s v="007"/>
    <s v="PR01"/>
    <s v="810MAN0017"/>
    <s v="Manomètre avec glycerine G1/4 63mm 0-10bar OSMOSE"/>
    <s v="UN"/>
    <n v="2"/>
    <n v="21.08"/>
    <n v="42.16"/>
    <x v="3"/>
  </r>
  <r>
    <s v="007"/>
    <s v="PR01"/>
    <s v="810man007"/>
    <s v="Manometre acetylene chalumeau avec reglage"/>
    <s v="UN"/>
    <n v="1"/>
    <n v="144.92500000000001"/>
    <n v="144.92500000000001"/>
    <x v="3"/>
  </r>
  <r>
    <s v="007"/>
    <s v="PR01"/>
    <s v="810MAN008"/>
    <s v="MANOMETRE AIR DN100 600mBAR   1/2&quot;"/>
    <s v="UN"/>
    <n v="1"/>
    <n v="153.595"/>
    <n v="153.595"/>
    <x v="3"/>
  </r>
  <r>
    <s v="007"/>
    <s v="PR01"/>
    <s v="810MAN011"/>
    <s v="Manometre de pression Huile 0-250bar"/>
    <s v="UN"/>
    <n v="1"/>
    <n v="175.21"/>
    <n v="175.21"/>
    <x v="3"/>
  </r>
  <r>
    <s v="007"/>
    <s v="PR01"/>
    <s v="810MAN012"/>
    <s v="Manometre acet/oxyg chalumeau"/>
    <s v="UN"/>
    <n v="1"/>
    <n v="214.98965000000001"/>
    <n v="214.98965000000001"/>
    <x v="3"/>
  </r>
  <r>
    <s v="007"/>
    <s v="PR01"/>
    <s v="810MAN013"/>
    <s v="Manometre 0-0.016 MP G1/8  Test etanch CH"/>
    <s v="UN"/>
    <n v="2"/>
    <n v="0"/>
    <n v="0"/>
    <x v="3"/>
  </r>
  <r>
    <s v="007"/>
    <s v="PR01"/>
    <s v="810MAN014"/>
    <s v="Manomètre Propane 6 bar"/>
    <s v="UN"/>
    <n v="4"/>
    <n v="16.881"/>
    <n v="67.524000000000001"/>
    <x v="3"/>
  </r>
  <r>
    <s v="007"/>
    <s v="PR01"/>
    <s v="810MAN191"/>
    <s v="Manomètre A gaz 4 bar"/>
    <s v="UN"/>
    <n v="1"/>
    <n v="19.5"/>
    <n v="19.5"/>
    <x v="3"/>
  </r>
  <r>
    <s v="007"/>
    <s v="PR01"/>
    <s v="810MAN192"/>
    <s v="Manomètre CO2 200bar"/>
    <s v="UN"/>
    <n v="1"/>
    <n v="199.98500000000001"/>
    <n v="199.98500000000001"/>
    <x v="3"/>
  </r>
  <r>
    <s v="007"/>
    <s v="PR01"/>
    <s v="810man194"/>
    <s v="MANOMETRE 600mBAR"/>
    <s v="UN"/>
    <n v="1"/>
    <n v="63.444000000000003"/>
    <n v="63.444000000000003"/>
    <x v="3"/>
  </r>
  <r>
    <s v="007"/>
    <s v="PR01"/>
    <s v="810man195"/>
    <s v="MANOMETRE 0-16 BAR"/>
    <s v="UN"/>
    <n v="3"/>
    <n v="21.59"/>
    <n v="64.77"/>
    <x v="3"/>
  </r>
  <r>
    <s v="007"/>
    <s v="PR01"/>
    <s v="810PAL015"/>
    <s v="Palier Rond FONTE UCC207 ENV SOVEMA"/>
    <s v="UN"/>
    <n v="6"/>
    <n v="54.701999999999998"/>
    <n v="328.21199999999999"/>
    <x v="3"/>
  </r>
  <r>
    <s v="007"/>
    <s v="PR01"/>
    <s v="810PAL018"/>
    <s v="Palier Complet UCFC207 Rouleau ENV SOVEMA"/>
    <s v="UN"/>
    <n v="2"/>
    <n v="42.953400000000002"/>
    <n v="85.906800000000004"/>
    <x v="3"/>
  </r>
  <r>
    <s v="007"/>
    <s v="PR01"/>
    <s v="810PAL022"/>
    <s v="Palier Carrée complet UCF205   M.Lavage"/>
    <s v="UN"/>
    <n v="4"/>
    <n v="49.3596"/>
    <n v="197.4384"/>
    <x v="3"/>
  </r>
  <r>
    <s v="007"/>
    <s v="PR01"/>
    <s v="810PAL054"/>
    <s v="Palier Carrée Plastique FYWK506-Y  Tapis charge"/>
    <s v="UN"/>
    <n v="2"/>
    <n v="92.7"/>
    <n v="185.4"/>
    <x v="3"/>
  </r>
  <r>
    <s v="007"/>
    <s v="PR01"/>
    <s v="810PAL056"/>
    <s v="Palier Carrée complet UCF204 M.Remplissage"/>
    <s v="UN"/>
    <n v="4"/>
    <n v="55.125"/>
    <n v="220.5"/>
    <x v="3"/>
  </r>
  <r>
    <s v="007"/>
    <s v="PR01"/>
    <s v="810PAL078"/>
    <s v="PALIER OVALE UCFL 204/H pompe COS"/>
    <s v="UN"/>
    <n v="5"/>
    <n v="34.961849999999998"/>
    <n v="174.80924999999999"/>
    <x v="3"/>
  </r>
  <r>
    <s v="007"/>
    <s v="PR01"/>
    <s v="810PAL079"/>
    <s v="Palier  FK 205"/>
    <s v="UN"/>
    <n v="3"/>
    <n v="33.125"/>
    <n v="99.375"/>
    <x v="3"/>
  </r>
  <r>
    <s v="007"/>
    <s v="PR01"/>
    <s v="810pal083"/>
    <s v="PALIER FYTBK 506"/>
    <s v="UN"/>
    <n v="1"/>
    <n v="18.982800000000001"/>
    <n v="18.982800000000001"/>
    <x v="3"/>
  </r>
  <r>
    <s v="007"/>
    <s v="PR01"/>
    <s v="810PAL085"/>
    <s v="PALIER OVALE COMPL FYTBK 20TF"/>
    <s v="UN"/>
    <n v="4"/>
    <n v="39.761099999999999"/>
    <n v="159.0444"/>
    <x v="3"/>
  </r>
  <r>
    <s v="007"/>
    <s v="PR01"/>
    <s v="810PAL086"/>
    <s v="PALIER OVALE COMPL FYTBK 30TF"/>
    <s v="UN"/>
    <n v="6"/>
    <n v="38.228760000000001"/>
    <n v="229.37256000000002"/>
    <x v="3"/>
  </r>
  <r>
    <s v="007"/>
    <s v="PR01"/>
    <s v="810pal087"/>
    <s v="PALIER FYTB 504 M"/>
    <s v="UN"/>
    <n v="11"/>
    <n v="22.929201680672268"/>
    <n v="252.22121848739494"/>
    <x v="3"/>
  </r>
  <r>
    <s v="007"/>
    <s v="PR01"/>
    <s v="810PAL089"/>
    <s v="Corps palier OVAL YAR205"/>
    <s v="UN"/>
    <n v="2"/>
    <n v="56.713500000000003"/>
    <n v="113.42700000000001"/>
    <x v="3"/>
  </r>
  <r>
    <s v="007"/>
    <s v="PR01"/>
    <s v="810PAL091"/>
    <s v="Palier OVAL FYTB 505M"/>
    <s v="UN"/>
    <n v="1"/>
    <n v="56.713500000000003"/>
    <n v="56.713500000000003"/>
    <x v="3"/>
  </r>
  <r>
    <s v="007"/>
    <s v="PR01"/>
    <s v="810PAL092"/>
    <s v="Palier à semelle SY 506M"/>
    <s v="UN"/>
    <n v="4"/>
    <n v="36.2331"/>
    <n v="144.9324"/>
    <x v="3"/>
  </r>
  <r>
    <s v="007"/>
    <s v="PR01"/>
    <s v="810PAR023"/>
    <s v="PARAHUILE 35*47*8"/>
    <s v="UN"/>
    <n v="1"/>
    <n v="10.143000000000001"/>
    <n v="10.143000000000001"/>
    <x v="3"/>
  </r>
  <r>
    <s v="007"/>
    <s v="PR01"/>
    <s v="810par045"/>
    <s v="PARE HUILE 71*88*8 Gerbeur"/>
    <s v="UN"/>
    <n v="2"/>
    <n v="0"/>
    <n v="0"/>
    <x v="3"/>
  </r>
  <r>
    <s v="007"/>
    <s v="PR01"/>
    <s v="810PAR049"/>
    <s v="PARE HUILE 95*130*15 TCM30"/>
    <s v="UN"/>
    <n v="3"/>
    <n v="32.4"/>
    <n v="97.199999999999989"/>
    <x v="3"/>
  </r>
  <r>
    <s v="007"/>
    <s v="PR01"/>
    <s v="810PAR050"/>
    <s v="PARE HUILE 20*35*7 DL Pompe MB110 CH.AC"/>
    <s v="UN"/>
    <n v="2"/>
    <n v="1.9826999999999999"/>
    <n v="3.9653999999999998"/>
    <x v="3"/>
  </r>
  <r>
    <s v="007"/>
    <s v="PR01"/>
    <s v="810par052"/>
    <s v="PARAHUILE 40*55*8 M.Lavage"/>
    <s v="UN"/>
    <n v="4"/>
    <n v="4.923"/>
    <n v="19.692"/>
    <x v="3"/>
  </r>
  <r>
    <s v="007"/>
    <s v="PR01"/>
    <s v="810par053"/>
    <s v="PARAHUILE 35*47*7 M.Lavage"/>
    <s v="UN"/>
    <n v="4"/>
    <n v="4.1420000000000003"/>
    <n v="16.568000000000001"/>
    <x v="3"/>
  </r>
  <r>
    <s v="007"/>
    <s v="PR01"/>
    <s v="810PAR054"/>
    <s v="Parahuile 20*28*5"/>
    <s v="UN"/>
    <n v="10"/>
    <n v="0"/>
    <n v="0"/>
    <x v="3"/>
  </r>
  <r>
    <s v="007"/>
    <s v="PR01"/>
    <s v="810PAR055"/>
    <s v="Parahuile 30*62*7 Boite RED Table COS"/>
    <s v="UN"/>
    <n v="3"/>
    <n v="4.6890000000000001"/>
    <n v="14.067"/>
    <x v="3"/>
  </r>
  <r>
    <s v="007"/>
    <s v="PR01"/>
    <s v="810PAR056"/>
    <s v="Parahuile 90*110*12 Boite RED Table COS"/>
    <s v="UN"/>
    <n v="3"/>
    <n v="10.941000000000001"/>
    <n v="32.823"/>
    <x v="3"/>
  </r>
  <r>
    <s v="007"/>
    <s v="PR01"/>
    <s v="810PAR057"/>
    <s v="Parahuile 90*110*13 Boite RED Table COS"/>
    <s v="UN"/>
    <n v="2"/>
    <n v="10.941000000000001"/>
    <n v="21.882000000000001"/>
    <x v="3"/>
  </r>
  <r>
    <s v="007"/>
    <s v="PR01"/>
    <s v="810PAR080"/>
    <s v="PARE HUILE 80*100*08"/>
    <s v="UN"/>
    <n v="4"/>
    <n v="10.143000000000001"/>
    <n v="40.572000000000003"/>
    <x v="3"/>
  </r>
  <r>
    <s v="007"/>
    <s v="PR01"/>
    <s v="810PAR083"/>
    <s v="PARE HUILE 160*190*15"/>
    <s v="UN"/>
    <n v="3"/>
    <n v="10.143000000000001"/>
    <n v="30.429000000000002"/>
    <x v="3"/>
  </r>
  <r>
    <s v="007"/>
    <s v="PR01"/>
    <s v="810PAR084"/>
    <s v="PARE HUILE 120*150*12"/>
    <s v="UN"/>
    <n v="10"/>
    <n v="10.143000000000001"/>
    <n v="101.43"/>
    <x v="3"/>
  </r>
  <r>
    <s v="007"/>
    <s v="PR01"/>
    <s v="810PAR085"/>
    <s v="PARE HUILE 105*140*12"/>
    <s v="UN"/>
    <n v="4"/>
    <n v="10.143000000000001"/>
    <n v="40.572000000000003"/>
    <x v="3"/>
  </r>
  <r>
    <s v="007"/>
    <s v="PR01"/>
    <s v="810PAR086"/>
    <s v="PARE HUILE 100*120*12"/>
    <s v="UN"/>
    <n v="6"/>
    <n v="10.143000000000001"/>
    <n v="60.858000000000004"/>
    <x v="3"/>
  </r>
  <r>
    <s v="007"/>
    <s v="PR01"/>
    <s v="810PAR088"/>
    <s v="PARE HUILE 80*110*10"/>
    <s v="UN"/>
    <n v="6"/>
    <n v="5.4503999999999992"/>
    <n v="32.702399999999997"/>
    <x v="3"/>
  </r>
  <r>
    <s v="007"/>
    <s v="PR01"/>
    <s v="810PAR091"/>
    <s v="PARE HUILE 75*100*10"/>
    <s v="UN"/>
    <n v="8"/>
    <n v="13.374000000000001"/>
    <n v="106.992"/>
    <x v="3"/>
  </r>
  <r>
    <s v="007"/>
    <s v="PR01"/>
    <s v="810PAR092"/>
    <s v="PARE HUILE 75*95*10"/>
    <s v="UN"/>
    <n v="4"/>
    <n v="7.1639999999999988"/>
    <n v="28.655999999999995"/>
    <x v="3"/>
  </r>
  <r>
    <s v="007"/>
    <s v="PR01"/>
    <s v="810PAR093"/>
    <s v="PARE HUILE 63*90*10"/>
    <s v="UN"/>
    <n v="9"/>
    <n v="10.143000000000001"/>
    <n v="91.287000000000006"/>
    <x v="3"/>
  </r>
  <r>
    <s v="007"/>
    <s v="PR01"/>
    <s v="810PAR094"/>
    <s v="PARE HUILE 45*60*7"/>
    <s v="UN"/>
    <n v="2"/>
    <n v="10.143000000000001"/>
    <n v="20.286000000000001"/>
    <x v="3"/>
  </r>
  <r>
    <s v="007"/>
    <s v="PR01"/>
    <s v="810PAR100"/>
    <s v="PARE HUILE 45*62*10"/>
    <s v="UN"/>
    <n v="10"/>
    <n v="10.143000000000001"/>
    <n v="101.43"/>
    <x v="3"/>
  </r>
  <r>
    <s v="007"/>
    <s v="PR01"/>
    <s v="810PAR103"/>
    <s v="PARE HUILE 50*70*10"/>
    <s v="UN"/>
    <n v="3"/>
    <n v="10.143000000000001"/>
    <n v="30.429000000000002"/>
    <x v="3"/>
  </r>
  <r>
    <s v="007"/>
    <s v="PR01"/>
    <s v="810PAR105"/>
    <s v="PARE HUILE 50*72*08"/>
    <s v="UN"/>
    <n v="3"/>
    <n v="12.473999999999998"/>
    <n v="37.421999999999997"/>
    <x v="3"/>
  </r>
  <r>
    <s v="007"/>
    <s v="PR01"/>
    <s v="810par111"/>
    <s v="PARAHUILE 20*30*7"/>
    <s v="UN"/>
    <n v="4"/>
    <n v="10.143000000000001"/>
    <n v="40.572000000000003"/>
    <x v="3"/>
  </r>
  <r>
    <s v="007"/>
    <s v="PR01"/>
    <s v="810par112"/>
    <s v="parahuile 20x42x7"/>
    <s v="UN"/>
    <n v="4"/>
    <n v="10.143000000000001"/>
    <n v="40.572000000000003"/>
    <x v="3"/>
  </r>
  <r>
    <s v="007"/>
    <s v="PR01"/>
    <s v="810par113"/>
    <s v="parahuile 20X52X10"/>
    <s v="UN"/>
    <n v="10"/>
    <n v="10.143000000000001"/>
    <n v="101.43"/>
    <x v="3"/>
  </r>
  <r>
    <s v="007"/>
    <s v="PR01"/>
    <s v="810par114"/>
    <s v="parahuile 30x44x7"/>
    <s v="UN"/>
    <n v="4"/>
    <n v="10.143000000000001"/>
    <n v="40.572000000000003"/>
    <x v="3"/>
  </r>
  <r>
    <s v="007"/>
    <s v="PR01"/>
    <s v="810par115"/>
    <s v="parahuile 35x52x7"/>
    <s v="UN"/>
    <n v="2"/>
    <n v="7.9001999999999999"/>
    <n v="15.8004"/>
    <x v="3"/>
  </r>
  <r>
    <s v="007"/>
    <s v="PR01"/>
    <s v="810par116"/>
    <s v="parahuile 35x55x8"/>
    <s v="UN"/>
    <n v="2"/>
    <n v="10.143000000000001"/>
    <n v="20.286000000000001"/>
    <x v="3"/>
  </r>
  <r>
    <s v="007"/>
    <s v="PR01"/>
    <s v="810par117"/>
    <s v="parahuile 50x72x10"/>
    <s v="UN"/>
    <n v="5"/>
    <n v="10.143000000000001"/>
    <n v="50.715000000000003"/>
    <x v="3"/>
  </r>
  <r>
    <s v="007"/>
    <s v="PR01"/>
    <s v="810par119"/>
    <s v="PARAHUILE 60*85*8"/>
    <s v="UN"/>
    <n v="6"/>
    <n v="7.1459999999999999"/>
    <n v="42.875999999999998"/>
    <x v="3"/>
  </r>
  <r>
    <s v="007"/>
    <s v="PR01"/>
    <s v="810par120"/>
    <s v="parahuile 65x90x10"/>
    <s v="UN"/>
    <n v="8"/>
    <n v="38.568600000000004"/>
    <n v="308.54880000000003"/>
    <x v="3"/>
  </r>
  <r>
    <s v="007"/>
    <s v="PR01"/>
    <s v="810par121"/>
    <s v="parahuile 80x100x13"/>
    <s v="UN"/>
    <n v="5"/>
    <n v="10.143000000000001"/>
    <n v="50.715000000000003"/>
    <x v="3"/>
  </r>
  <r>
    <s v="007"/>
    <s v="PR01"/>
    <s v="810PAR123"/>
    <s v="parahuile 40X62X7"/>
    <s v="UN"/>
    <n v="3"/>
    <n v="1.9431"/>
    <n v="5.8292999999999999"/>
    <x v="3"/>
  </r>
  <r>
    <s v="007"/>
    <s v="PR01"/>
    <s v="810par125"/>
    <s v="parahuile 15x30x07"/>
    <s v="UN"/>
    <n v="3"/>
    <n v="10.143000000000001"/>
    <n v="30.429000000000002"/>
    <x v="3"/>
  </r>
  <r>
    <s v="007"/>
    <s v="PR01"/>
    <s v="810PIN004"/>
    <s v="PIGNON 05B25T"/>
    <s v="UN"/>
    <n v="4"/>
    <n v="10.6488"/>
    <n v="42.595199999999998"/>
    <x v="3"/>
  </r>
  <r>
    <s v="007"/>
    <s v="PR01"/>
    <s v="810PIN006"/>
    <s v="PIGNON 08B2 24DENTS ENV SOVEMA"/>
    <s v="UN"/>
    <n v="1"/>
    <n v="34.503300000000003"/>
    <n v="34.503300000000003"/>
    <x v="3"/>
  </r>
  <r>
    <s v="007"/>
    <s v="PR01"/>
    <s v="810PIN007"/>
    <s v="pignon 10Bx015"/>
    <s v="UN"/>
    <n v="5"/>
    <n v="10.6488"/>
    <n v="53.244"/>
    <x v="3"/>
  </r>
  <r>
    <s v="007"/>
    <s v="PR01"/>
    <s v="810PIN008"/>
    <s v="pignon 16Bx011"/>
    <s v="UN"/>
    <n v="2"/>
    <n v="45.642600000000002"/>
    <n v="91.285200000000003"/>
    <x v="3"/>
  </r>
  <r>
    <s v="007"/>
    <s v="PR01"/>
    <s v="810PIN009"/>
    <s v="PIGNON 32DENT"/>
    <s v="UN"/>
    <n v="4"/>
    <n v="31.013999999999999"/>
    <n v="124.056"/>
    <x v="3"/>
  </r>
  <r>
    <s v="007"/>
    <s v="PR01"/>
    <s v="810PIN014"/>
    <s v="PIGNON 06B-1B18"/>
    <s v="UN"/>
    <n v="2"/>
    <n v="10.6488"/>
    <n v="21.297599999999999"/>
    <x v="3"/>
  </r>
  <r>
    <s v="007"/>
    <s v="PR01"/>
    <s v="810pin016"/>
    <s v="Roue d'agravage Z66 ENV ELBAK"/>
    <s v="UN"/>
    <n v="1"/>
    <n v="123.33333333333333"/>
    <n v="123.33333333333333"/>
    <x v="3"/>
  </r>
  <r>
    <s v="007"/>
    <s v="PR01"/>
    <s v="810PIN017"/>
    <s v="PIGNON 08B1 25 dents"/>
    <s v="UN"/>
    <n v="4"/>
    <n v="33.344999999999999"/>
    <n v="133.38"/>
    <x v="3"/>
  </r>
  <r>
    <s v="007"/>
    <s v="PR01"/>
    <s v="810PIN019"/>
    <s v="PIGNON  Z30 P12.7"/>
    <s v="UN"/>
    <n v="3"/>
    <n v="25.794"/>
    <n v="77.382000000000005"/>
    <x v="3"/>
  </r>
  <r>
    <s v="007"/>
    <s v="PR01"/>
    <s v="810PIN020"/>
    <s v="PIGNION CONIQUE"/>
    <s v="UN"/>
    <n v="3"/>
    <n v="22.878"/>
    <n v="68.634"/>
    <x v="3"/>
  </r>
  <r>
    <s v="007"/>
    <s v="PR01"/>
    <s v="810PIN022"/>
    <s v="PIGNION 06B1-B10"/>
    <s v="UN"/>
    <n v="2"/>
    <n v="22.878"/>
    <n v="45.756"/>
    <x v="3"/>
  </r>
  <r>
    <s v="007"/>
    <s v="PR01"/>
    <s v="810PIN025"/>
    <s v="Pignon 08B1B12"/>
    <s v="UN"/>
    <n v="11"/>
    <n v="10.89"/>
    <n v="119.79"/>
    <x v="3"/>
  </r>
  <r>
    <s v="007"/>
    <s v="PR01"/>
    <s v="810pin029"/>
    <s v="Pignon 30 dents 1/2 chaine S.Connexion"/>
    <s v="UN"/>
    <n v="3"/>
    <n v="20.930399999999999"/>
    <n v="62.791199999999996"/>
    <x v="3"/>
  </r>
  <r>
    <s v="007"/>
    <s v="PR01"/>
    <s v="810PIN047"/>
    <s v="Pignon 06B1 20DENTS Fardeleuse"/>
    <s v="UN"/>
    <n v="2"/>
    <n v="13.855049999999999"/>
    <n v="27.710099999999997"/>
    <x v="3"/>
  </r>
  <r>
    <s v="007"/>
    <s v="PR01"/>
    <s v="810PIN051"/>
    <s v="PIGNON 08B1 17DENTS ENV SOVEMA"/>
    <s v="UN"/>
    <n v="8"/>
    <n v="14.31"/>
    <n v="114.48"/>
    <x v="3"/>
  </r>
  <r>
    <s v="007"/>
    <s v="PR01"/>
    <s v="810PIN052"/>
    <s v="PIGNON ACIER 16DENTS M.Lavage"/>
    <s v="UN"/>
    <n v="1"/>
    <n v="0"/>
    <n v="0"/>
    <x v="3"/>
  </r>
  <r>
    <s v="007"/>
    <s v="PR01"/>
    <s v="810PIN059"/>
    <s v="Parahuile 30*52*7 ENV SOVEMA"/>
    <s v="UN"/>
    <n v="1"/>
    <n v="3.33"/>
    <n v="3.33"/>
    <x v="3"/>
  </r>
  <r>
    <s v="007"/>
    <s v="PR01"/>
    <s v="810pin070"/>
    <s v="Moyeu Acier pignon 6trs M6 CLAV 10/3.6 m10 E.ELB"/>
    <s v="UN"/>
    <n v="2"/>
    <n v="115"/>
    <n v="230"/>
    <x v="3"/>
  </r>
  <r>
    <s v="007"/>
    <s v="PR01"/>
    <s v="810PIN074"/>
    <s v="Pignon plastique 50/25 32dents 22/7mm M.Lavage"/>
    <s v="UN"/>
    <n v="2"/>
    <n v="0"/>
    <n v="0"/>
    <x v="3"/>
  </r>
  <r>
    <s v="007"/>
    <s v="PR01"/>
    <s v="810PIN075"/>
    <s v="Pignon plastique 7DENTS Convoyeur de charge"/>
    <s v="UN"/>
    <n v="22"/>
    <n v="0"/>
    <n v="0"/>
    <x v="3"/>
  </r>
  <r>
    <s v="007"/>
    <s v="PR01"/>
    <s v="810PIN076"/>
    <s v="Pignon 08B1 24dents ENV HILANS"/>
    <s v="UN"/>
    <n v="2"/>
    <n v="0"/>
    <n v="0"/>
    <x v="3"/>
  </r>
  <r>
    <s v="007"/>
    <s v="PR01"/>
    <s v="810PIN209"/>
    <s v="Pignon 08B1B16"/>
    <s v="UN"/>
    <n v="6"/>
    <n v="14.706"/>
    <n v="88.23599999999999"/>
    <x v="3"/>
  </r>
  <r>
    <s v="007"/>
    <s v="PR01"/>
    <s v="810RED009"/>
    <s v="REDUCTEUR POLAT i1/10 NMRV090 B3"/>
    <s v="UN"/>
    <n v="1"/>
    <n v="487.8"/>
    <n v="487.8"/>
    <x v="3"/>
  </r>
  <r>
    <s v="007"/>
    <s v="PR01"/>
    <s v="810RED010"/>
    <s v="REDUCTEUR PMRV 040 71 B5/15"/>
    <s v="UN"/>
    <n v="1"/>
    <n v="158.904"/>
    <n v="158.904"/>
    <x v="3"/>
  </r>
  <r>
    <s v="007"/>
    <s v="PR01"/>
    <s v="810RED014"/>
    <s v="Reducteur WMI40 1/100 63 B5"/>
    <s v="UN"/>
    <n v="1"/>
    <n v="203.67"/>
    <n v="203.67"/>
    <x v="3"/>
  </r>
  <r>
    <s v="007"/>
    <s v="PR01"/>
    <s v="810RED039"/>
    <s v="REDUCTEUR WMI40 1/10 71B14 *18   ENV SOVEMA"/>
    <s v="UN"/>
    <n v="1"/>
    <n v="254.67189999999999"/>
    <n v="254.67189999999999"/>
    <x v="3"/>
  </r>
  <r>
    <s v="007"/>
    <s v="PR01"/>
    <s v="810ROU001"/>
    <s v="Roulement 1211 ETKN9/C3"/>
    <s v="UN"/>
    <n v="8"/>
    <n v="79.137"/>
    <n v="633.096"/>
    <x v="3"/>
  </r>
  <r>
    <s v="007"/>
    <s v="PR01"/>
    <s v="810ROU002"/>
    <s v="Roulement 6002 2RSH"/>
    <s v="UN"/>
    <n v="11"/>
    <n v="9.4616999999999987"/>
    <n v="104.07869999999998"/>
    <x v="3"/>
  </r>
  <r>
    <s v="007"/>
    <s v="PR01"/>
    <s v="810ROU004"/>
    <s v="Roulement YAR 205-2F"/>
    <s v="UN"/>
    <n v="4"/>
    <n v="39.055500000000002"/>
    <n v="156.22200000000001"/>
    <x v="3"/>
  </r>
  <r>
    <s v="007"/>
    <s v="PR01"/>
    <s v="810ROU005"/>
    <s v="Roulement 2203 E-2RS1 TN9 Fardeleuse"/>
    <s v="UN"/>
    <n v="1"/>
    <n v="96.079499999999996"/>
    <n v="96.079499999999996"/>
    <x v="3"/>
  </r>
  <r>
    <s v="007"/>
    <s v="PR01"/>
    <s v="810ROU006"/>
    <s v="Roulement 203 KRR-AH02"/>
    <s v="UN"/>
    <n v="10"/>
    <n v="47.56"/>
    <n v="475.6"/>
    <x v="3"/>
  </r>
  <r>
    <s v="007"/>
    <s v="PR01"/>
    <s v="810ROU009"/>
    <s v="Roulement 2213 ECJ"/>
    <s v="UN"/>
    <n v="6"/>
    <n v="103.2625"/>
    <n v="619.57500000000005"/>
    <x v="3"/>
  </r>
  <r>
    <s v="007"/>
    <s v="PR01"/>
    <s v="810ROU015"/>
    <s v="Roulement 6001-2RSH"/>
    <s v="UN"/>
    <n v="10"/>
    <n v="7.92"/>
    <n v="79.2"/>
    <x v="3"/>
  </r>
  <r>
    <s v="007"/>
    <s v="PR01"/>
    <s v="810ROU016"/>
    <s v="Roulement 16004"/>
    <s v="UN"/>
    <n v="15"/>
    <n v="12.2445"/>
    <n v="183.66750000000002"/>
    <x v="3"/>
  </r>
  <r>
    <s v="007"/>
    <s v="PR01"/>
    <s v="810ROU017"/>
    <s v="Roulement 6004 2RSH  etanche"/>
    <s v="UN"/>
    <n v="9"/>
    <n v="12.5"/>
    <n v="112.5"/>
    <x v="3"/>
  </r>
  <r>
    <s v="007"/>
    <s v="PR01"/>
    <s v="810ROU020"/>
    <s v="Roulement 6006 2RS"/>
    <s v="UN"/>
    <n v="5"/>
    <n v="14.4"/>
    <n v="72"/>
    <x v="3"/>
  </r>
  <r>
    <s v="007"/>
    <s v="PR01"/>
    <s v="810ROU022"/>
    <s v="Roulement 6200-2RS"/>
    <s v="UN"/>
    <n v="8"/>
    <n v="8.1"/>
    <n v="64.8"/>
    <x v="3"/>
  </r>
  <r>
    <s v="007"/>
    <s v="PR01"/>
    <s v="810ROU024"/>
    <s v="Roulement 6203-2RS"/>
    <s v="UN"/>
    <n v="19"/>
    <n v="10.744199999999999"/>
    <n v="204.13979999999998"/>
    <x v="3"/>
  </r>
  <r>
    <s v="007"/>
    <s v="PR01"/>
    <s v="810ROU025"/>
    <s v="Roulement 6204 2RSH"/>
    <s v="UN"/>
    <n v="11"/>
    <n v="11.7"/>
    <n v="128.69999999999999"/>
    <x v="3"/>
  </r>
  <r>
    <s v="007"/>
    <s v="PR01"/>
    <s v="810ROU026"/>
    <s v="Roulement  6205 2Z"/>
    <s v="UN"/>
    <n v="4"/>
    <n v="10.8"/>
    <n v="43.2"/>
    <x v="3"/>
  </r>
  <r>
    <s v="007"/>
    <s v="PR01"/>
    <s v="810ROU027"/>
    <s v="Roulement 6206 2Z"/>
    <s v="UN"/>
    <n v="6"/>
    <n v="16.02"/>
    <n v="96.12"/>
    <x v="3"/>
  </r>
  <r>
    <s v="007"/>
    <s v="PR01"/>
    <s v="810ROU028"/>
    <s v="Roulement 6207-2RS"/>
    <s v="UN"/>
    <n v="12"/>
    <n v="21.105126666666667"/>
    <n v="253.26152000000002"/>
    <x v="3"/>
  </r>
  <r>
    <s v="007"/>
    <s v="PR01"/>
    <s v="810ROU031"/>
    <s v="Roulement 6302 2Z"/>
    <s v="UN"/>
    <n v="8"/>
    <n v="10.098000000000001"/>
    <n v="80.784000000000006"/>
    <x v="3"/>
  </r>
  <r>
    <s v="007"/>
    <s v="PR01"/>
    <s v="810ROU033"/>
    <s v="Roulement 6304 2Z"/>
    <s v="UN"/>
    <n v="8"/>
    <n v="11.944315384615383"/>
    <n v="95.554523076923061"/>
    <x v="3"/>
  </r>
  <r>
    <s v="007"/>
    <s v="PR01"/>
    <s v="810ROU034"/>
    <s v="Roulement 6305-2z"/>
    <s v="UN"/>
    <n v="7"/>
    <n v="15.205641046831957"/>
    <n v="106.4394873278237"/>
    <x v="3"/>
  </r>
  <r>
    <s v="007"/>
    <s v="PR01"/>
    <s v="810ROU035"/>
    <s v="Roulement 6308-2RS"/>
    <s v="UN"/>
    <n v="8"/>
    <n v="41.399099999999997"/>
    <n v="331.19279999999998"/>
    <x v="3"/>
  </r>
  <r>
    <s v="007"/>
    <s v="PR01"/>
    <s v="810ROU048"/>
    <s v="Roulement 61805 2RS1"/>
    <s v="UN"/>
    <n v="9"/>
    <n v="18.839700000000001"/>
    <n v="169.5573"/>
    <x v="3"/>
  </r>
  <r>
    <s v="007"/>
    <s v="PR01"/>
    <s v="810ROU056"/>
    <s v="Roulement H211"/>
    <s v="UN"/>
    <n v="4"/>
    <n v="0"/>
    <n v="0"/>
    <x v="3"/>
  </r>
  <r>
    <s v="007"/>
    <s v="PR01"/>
    <s v="810ROU057"/>
    <s v="Roulement H309"/>
    <s v="UN"/>
    <n v="2"/>
    <n v="19.727550000000001"/>
    <n v="39.455100000000002"/>
    <x v="3"/>
  </r>
  <r>
    <s v="007"/>
    <s v="PR01"/>
    <s v="810ROU058"/>
    <s v="Roulement HK1412"/>
    <s v="UN"/>
    <n v="7"/>
    <n v="3.7953000000000001"/>
    <n v="26.5671"/>
    <x v="3"/>
  </r>
  <r>
    <s v="007"/>
    <s v="PR01"/>
    <s v="810ROU063"/>
    <s v="Roulement YAR205-100-2F"/>
    <s v="UN"/>
    <n v="10"/>
    <n v="40.950000000000003"/>
    <n v="409.5"/>
    <x v="3"/>
  </r>
  <r>
    <s v="007"/>
    <s v="PR01"/>
    <s v="810ROU064"/>
    <s v="Roulement YAR 206"/>
    <s v="UN"/>
    <n v="8"/>
    <n v="48.572099999999999"/>
    <n v="388.57679999999999"/>
    <x v="3"/>
  </r>
  <r>
    <s v="007"/>
    <s v="PR01"/>
    <s v="810ROU065"/>
    <s v="Roulement YAR 207"/>
    <s v="UN"/>
    <n v="9"/>
    <n v="50.233499999999999"/>
    <n v="452.10149999999999"/>
    <x v="3"/>
  </r>
  <r>
    <s v="007"/>
    <s v="PR01"/>
    <s v="810ROU070"/>
    <s v="Roulement 6004-2z"/>
    <s v="UN"/>
    <n v="19"/>
    <n v="9"/>
    <n v="171"/>
    <x v="3"/>
  </r>
  <r>
    <s v="007"/>
    <s v="PR01"/>
    <s v="810ROU075"/>
    <s v="Roulement 6201-2RSH"/>
    <s v="UN"/>
    <n v="11"/>
    <n v="9.2178000000000004"/>
    <n v="101.39580000000001"/>
    <x v="3"/>
  </r>
  <r>
    <s v="007"/>
    <s v="PR01"/>
    <s v="810ROU077"/>
    <s v="ROULEMENT 6000-2RSH"/>
    <s v="UN"/>
    <n v="8"/>
    <n v="8.2926000000000002"/>
    <n v="66.340800000000002"/>
    <x v="3"/>
  </r>
  <r>
    <s v="007"/>
    <s v="PR01"/>
    <s v="810ROU081"/>
    <s v="ROULEMENT 6010-2RS"/>
    <s v="UN"/>
    <n v="4"/>
    <n v="32.31"/>
    <n v="129.24"/>
    <x v="3"/>
  </r>
  <r>
    <s v="007"/>
    <s v="PR01"/>
    <s v="810ROU091"/>
    <s v="Roulement"/>
    <s v="UN"/>
    <n v="2"/>
    <n v="32.58"/>
    <n v="65.16"/>
    <x v="3"/>
  </r>
  <r>
    <s v="007"/>
    <s v="PR01"/>
    <s v="810ROU093"/>
    <s v="Roulement"/>
    <s v="UN"/>
    <n v="4"/>
    <n v="61.728299999999997"/>
    <n v="246.91319999999999"/>
    <x v="3"/>
  </r>
  <r>
    <s v="007"/>
    <s v="PR01"/>
    <s v="810ROU101"/>
    <s v="ROULEMENT 32315-A"/>
    <s v="UN"/>
    <n v="1"/>
    <n v="284.39999999999998"/>
    <n v="284.39999999999998"/>
    <x v="3"/>
  </r>
  <r>
    <s v="007"/>
    <s v="PR01"/>
    <s v="810ROU102"/>
    <s v="ROULEMENT VKHB 2406S"/>
    <s v="UN"/>
    <n v="1"/>
    <n v="10.7127"/>
    <n v="10.7127"/>
    <x v="3"/>
  </r>
  <r>
    <s v="007"/>
    <s v="PR01"/>
    <s v="810ROU103"/>
    <s v="ROULEMENT 32032-X"/>
    <s v="UN"/>
    <n v="1"/>
    <n v="697.5"/>
    <n v="697.5"/>
    <x v="3"/>
  </r>
  <r>
    <s v="007"/>
    <s v="PR01"/>
    <s v="810ROU107"/>
    <s v="Roulement 6313-C3"/>
    <s v="UN"/>
    <n v="1"/>
    <n v="115.65"/>
    <n v="115.65"/>
    <x v="3"/>
  </r>
  <r>
    <s v="007"/>
    <s v="PR01"/>
    <s v="810ROU110"/>
    <s v="Roulement KBS3068 PP"/>
    <s v="UN"/>
    <n v="1"/>
    <n v="61.728299999999997"/>
    <n v="61.728299999999997"/>
    <x v="3"/>
  </r>
  <r>
    <s v="007"/>
    <s v="PR01"/>
    <s v="810ROU112"/>
    <s v="Roulement YAR210"/>
    <s v="UN"/>
    <n v="5"/>
    <n v="68.31"/>
    <n v="341.55"/>
    <x v="3"/>
  </r>
  <r>
    <s v="007"/>
    <s v="PR01"/>
    <s v="810ROU117"/>
    <s v="Roulement 6301 2RSH"/>
    <s v="UN"/>
    <n v="6"/>
    <n v="10.17"/>
    <n v="61.019999999999996"/>
    <x v="3"/>
  </r>
  <r>
    <s v="007"/>
    <s v="PR01"/>
    <s v="810ROU121"/>
    <s v="Roulement 6307-2RS1"/>
    <s v="UN"/>
    <n v="6"/>
    <n v="35.276062499999995"/>
    <n v="211.65637499999997"/>
    <x v="3"/>
  </r>
  <r>
    <s v="007"/>
    <s v="PR01"/>
    <s v="810rou138"/>
    <s v="Roulement 6304 2RS"/>
    <s v="UN"/>
    <n v="3"/>
    <n v="14.2668"/>
    <n v="42.800399999999996"/>
    <x v="3"/>
  </r>
  <r>
    <s v="007"/>
    <s v="PR01"/>
    <s v="810rou139"/>
    <s v="Roulement 6007-2RS"/>
    <s v="UN"/>
    <n v="2"/>
    <n v="18.998248275862071"/>
    <n v="37.996496551724142"/>
    <x v="3"/>
  </r>
  <r>
    <s v="007"/>
    <s v="PR01"/>
    <s v="810ROU162"/>
    <s v="Roulement 6008-2RSH"/>
    <s v="UN"/>
    <n v="12"/>
    <n v="24.1128"/>
    <n v="289.35360000000003"/>
    <x v="3"/>
  </r>
  <r>
    <s v="007"/>
    <s v="PR01"/>
    <s v="810ROU163"/>
    <s v="Roulement 6005-2RS"/>
    <s v="UN"/>
    <n v="5"/>
    <n v="9.9668571428571422"/>
    <n v="49.834285714285713"/>
    <x v="3"/>
  </r>
  <r>
    <s v="007"/>
    <s v="PR01"/>
    <s v="810ROU190"/>
    <s v="Roulement 6009-2RSH"/>
    <s v="UN"/>
    <n v="4"/>
    <n v="27"/>
    <n v="108"/>
    <x v="3"/>
  </r>
  <r>
    <s v="007"/>
    <s v="PR01"/>
    <s v="810ROU202"/>
    <s v="Roulement A Billes 7202 BEP    S.connexion L1+L2"/>
    <s v="UN"/>
    <n v="7"/>
    <n v="43.400700000000001"/>
    <n v="303.80489999999998"/>
    <x v="3"/>
  </r>
  <r>
    <s v="007"/>
    <s v="PR01"/>
    <s v="810ROU203"/>
    <s v="Roulement A Billes 61801-2rs (6801) S.con L1+L2"/>
    <s v="UN"/>
    <n v="6"/>
    <n v="31.5945"/>
    <n v="189.56700000000001"/>
    <x v="3"/>
  </r>
  <r>
    <s v="007"/>
    <s v="PR01"/>
    <s v="810ROU204"/>
    <s v="Roulement 6303-2RS"/>
    <s v="UN"/>
    <n v="5"/>
    <n v="10.829699999999999"/>
    <n v="54.148499999999999"/>
    <x v="3"/>
  </r>
  <r>
    <s v="007"/>
    <s v="PR01"/>
    <s v="810ROU211"/>
    <s v="ROULEMENT 6312-C3"/>
    <s v="UN"/>
    <n v="2"/>
    <n v="95.915700000000001"/>
    <n v="191.8314"/>
    <x v="3"/>
  </r>
  <r>
    <s v="007"/>
    <s v="PR01"/>
    <s v="810ROU227"/>
    <s v="Roulement 2303E-2RS TN9 ENV ELBAK"/>
    <s v="UN"/>
    <n v="4"/>
    <n v="94.6845"/>
    <n v="378.738"/>
    <x v="3"/>
  </r>
  <r>
    <s v="007"/>
    <s v="PR01"/>
    <s v="810ROU244"/>
    <s v="Roulement a billes 6316/c3 compr sullair"/>
    <s v="UN"/>
    <n v="1"/>
    <n v="230.4855"/>
    <n v="230.4855"/>
    <x v="3"/>
  </r>
  <r>
    <s v="007"/>
    <s v="PR01"/>
    <s v="810ROU245"/>
    <s v="Roulement a billes 6314-2z compr sullair"/>
    <s v="UN"/>
    <n v="1"/>
    <n v="0"/>
    <n v="0"/>
    <x v="3"/>
  </r>
  <r>
    <s v="007"/>
    <s v="PR01"/>
    <s v="810ROX001"/>
    <s v="GALET DE CAMB  AVEC AXE KR 35B"/>
    <s v="UN"/>
    <n v="7"/>
    <n v="113.2002"/>
    <n v="792.40139999999997"/>
    <x v="3"/>
  </r>
  <r>
    <s v="007"/>
    <s v="PR01"/>
    <s v="810rox013"/>
    <s v="Toc accouplement ACPG03-28/38 ENV ELBAK"/>
    <s v="UN"/>
    <n v="8"/>
    <n v="12.132"/>
    <n v="97.055999999999997"/>
    <x v="3"/>
  </r>
  <r>
    <s v="007"/>
    <s v="PR01"/>
    <s v="810ROX017"/>
    <s v="Glissiere HWIN HGH15CA1806A4-20200"/>
    <s v="UN"/>
    <n v="8"/>
    <n v="0"/>
    <n v="0"/>
    <x v="3"/>
  </r>
  <r>
    <s v="007"/>
    <s v="PR01"/>
    <s v="810ROX018"/>
    <s v="Glissiere H20VN 201205-01516  ENV HILANS"/>
    <s v="UN"/>
    <n v="6"/>
    <n v="0"/>
    <n v="0"/>
    <x v="3"/>
  </r>
  <r>
    <s v="007"/>
    <s v="PR01"/>
    <s v="810ROX019"/>
    <s v="Glissiere H15VN 201203-02890 ENV HILANS"/>
    <s v="UN"/>
    <n v="2"/>
    <n v="0"/>
    <n v="0"/>
    <x v="3"/>
  </r>
  <r>
    <s v="007"/>
    <s v="PR01"/>
    <s v="810ROX020"/>
    <s v="Glissiere H35VL 170905-15098 ENV HILANS"/>
    <s v="UN"/>
    <n v="1"/>
    <n v="0"/>
    <n v="0"/>
    <x v="3"/>
  </r>
  <r>
    <s v="007"/>
    <s v="PR01"/>
    <s v="810ROX021"/>
    <s v="GALET DE CAME  AVEC AXE KR 19-PP  ENV ELBAK"/>
    <s v="UN"/>
    <n v="2"/>
    <n v="71.819999999999993"/>
    <n v="143.63999999999999"/>
    <x v="3"/>
  </r>
  <r>
    <s v="007"/>
    <s v="PR01"/>
    <s v="810ROX034"/>
    <s v="Toc d'accouplement EL 148 HA Comp sullair"/>
    <s v="UN"/>
    <n v="1"/>
    <n v="174.6"/>
    <n v="174.6"/>
    <x v="3"/>
  </r>
  <r>
    <s v="007"/>
    <s v="PR01"/>
    <s v="810TAP006"/>
    <s v="TAPIS HABASIT 1120/250 AVEC JONC MECA  COS4"/>
    <s v="UN"/>
    <n v="2"/>
    <n v="161.76424"/>
    <n v="323.52848"/>
    <x v="3"/>
  </r>
  <r>
    <s v="007"/>
    <s v="PR01"/>
    <s v="810TAP018"/>
    <s v="Tapis ACIER M.Lavage"/>
    <s v="UN"/>
    <n v="1"/>
    <n v="0"/>
    <n v="0"/>
    <x v="3"/>
  </r>
  <r>
    <s v="007"/>
    <s v="PR01"/>
    <s v="810TAP019"/>
    <s v="Tapis plastique convoyeur M.Lavage"/>
    <s v="UN"/>
    <n v="1"/>
    <n v="0"/>
    <n v="0"/>
    <x v="3"/>
  </r>
  <r>
    <s v="007"/>
    <s v="PR01"/>
    <s v="810TAP124"/>
    <s v="TAPIS HABISIT 150/3000 DECHET PERFORMER"/>
    <s v="UN"/>
    <n v="2"/>
    <n v="71.7"/>
    <n v="143.4"/>
    <x v="3"/>
  </r>
  <r>
    <s v="007"/>
    <s v="PR01"/>
    <s v="810TAP125"/>
    <s v="TAPIS 1450X560"/>
    <s v="UN"/>
    <n v="2"/>
    <n v="153.9"/>
    <n v="307.8"/>
    <x v="3"/>
  </r>
  <r>
    <s v="007"/>
    <s v="PR01"/>
    <s v="810tap136"/>
    <s v="TAPIS TRANSPORTEUR"/>
    <s v="UN"/>
    <n v="1"/>
    <n v="77.400000000000006"/>
    <n v="77.400000000000006"/>
    <x v="3"/>
  </r>
  <r>
    <s v="007"/>
    <s v="PR01"/>
    <s v="810VER250"/>
    <s v="verin pneumatique 1250.20.250.MA"/>
    <s v="UN"/>
    <n v="1"/>
    <n v="311.39800000000002"/>
    <n v="311.39800000000002"/>
    <x v="3"/>
  </r>
  <r>
    <s v="007"/>
    <s v="PR01"/>
    <s v="810VER253"/>
    <s v="verin double effet 1260.16.15  PORTE COUVERCLE"/>
    <s v="UN"/>
    <n v="4"/>
    <n v="95.421000000000006"/>
    <n v="381.68400000000003"/>
    <x v="3"/>
  </r>
  <r>
    <s v="007"/>
    <s v="PR01"/>
    <s v="810VER254"/>
    <s v="VERIN PNEUMATIQUE PC16B25"/>
    <s v="UN"/>
    <n v="6"/>
    <n v="102.55249999999999"/>
    <n v="615.31499999999994"/>
    <x v="3"/>
  </r>
  <r>
    <s v="007"/>
    <s v="PR01"/>
    <s v="810ver255"/>
    <s v="VERIN PNEUMATIQUE 1260,10,15"/>
    <s v="UN"/>
    <n v="8"/>
    <n v="31.801500000000001"/>
    <n v="254.41200000000001"/>
    <x v="3"/>
  </r>
  <r>
    <s v="007"/>
    <s v="PR01"/>
    <s v="810XPM003"/>
    <s v="NALCO TRASAR TRAC 102"/>
    <s v="KG"/>
    <n v="50"/>
    <n v="21.45"/>
    <n v="1072.5"/>
    <x v="3"/>
  </r>
  <r>
    <s v="007"/>
    <s v="PR01"/>
    <s v="810XPM005"/>
    <s v="GRAISSEUR COUDEE D8"/>
    <s v="UN"/>
    <n v="7"/>
    <n v="0.52715999999999996"/>
    <n v="3.6901199999999998"/>
    <x v="3"/>
  </r>
  <r>
    <s v="007"/>
    <s v="PR01"/>
    <s v="810XPM011"/>
    <s v="ROBINET JARDIN 15/21"/>
    <s v="UN"/>
    <n v="2"/>
    <n v="20.484000000000002"/>
    <n v="40.968000000000004"/>
    <x v="3"/>
  </r>
  <r>
    <s v="007"/>
    <s v="PR01"/>
    <s v="810xpm018"/>
    <s v="BANDE CAOUTCHOUC MOUSSE 40X20 MM"/>
    <s v="M"/>
    <n v="24"/>
    <n v="14.612"/>
    <n v="350.68799999999999"/>
    <x v="3"/>
  </r>
  <r>
    <s v="007"/>
    <s v="PR01"/>
    <s v="810XPM025"/>
    <s v="Attache rapide 1/2 pour chaine 06B1"/>
    <s v="UN"/>
    <n v="52"/>
    <n v="2.0583"/>
    <n v="107.0316"/>
    <x v="3"/>
  </r>
  <r>
    <s v="007"/>
    <s v="PR01"/>
    <s v="810XPM032"/>
    <s v="Attache Rapide pour chaine 16B-1"/>
    <s v="UN"/>
    <n v="24"/>
    <n v="3.3993000000000002"/>
    <n v="81.583200000000005"/>
    <x v="3"/>
  </r>
  <r>
    <s v="007"/>
    <s v="PR01"/>
    <s v="810XPM033"/>
    <s v="Attache Rapide 1/2 chaine 10B1"/>
    <s v="UN"/>
    <n v="23"/>
    <n v="2.6747999999999998"/>
    <n v="61.520399999999995"/>
    <x v="3"/>
  </r>
  <r>
    <s v="007"/>
    <s v="PR01"/>
    <s v="810XPM034"/>
    <s v="Attache Rapide 1/2 chaine 08B1"/>
    <s v="UN"/>
    <n v="21"/>
    <n v="1.1348999999999998"/>
    <n v="23.832899999999995"/>
    <x v="3"/>
  </r>
  <r>
    <s v="007"/>
    <s v="PR01"/>
    <s v="810XPM035"/>
    <s v="TRESSE BANDE 50X4 FIBRE DE VERRE 1=30MT"/>
    <s v="UN"/>
    <n v="1"/>
    <n v="162"/>
    <n v="162"/>
    <x v="3"/>
  </r>
  <r>
    <s v="007"/>
    <s v="PR01"/>
    <s v="810XPM036"/>
    <s v="Maillon Coudée chaine 12B1"/>
    <s v="UN"/>
    <n v="1"/>
    <n v="3.5459999999999998"/>
    <n v="3.5459999999999998"/>
    <x v="3"/>
  </r>
  <r>
    <s v="007"/>
    <s v="PR01"/>
    <s v="810XPM049"/>
    <s v="JOINT GRAPHITE ARMEE 1.5X1.5M EP 2mm"/>
    <s v="UN"/>
    <n v="8"/>
    <n v="226.54079999999999"/>
    <n v="1812.3263999999999"/>
    <x v="3"/>
  </r>
  <r>
    <s v="007"/>
    <s v="PR01"/>
    <s v="810XPM050"/>
    <s v="Tube Graisse pour resistance"/>
    <s v="UN"/>
    <n v="1"/>
    <n v="44.155799999999999"/>
    <n v="44.155799999999999"/>
    <x v="3"/>
  </r>
  <r>
    <s v="007"/>
    <s v="PR01"/>
    <s v="810XPM060"/>
    <s v="Plaque en Graphite Armee 3*1000*1000      COS3"/>
    <s v="UN"/>
    <n v="1"/>
    <n v="284.26499999999999"/>
    <n v="284.26499999999999"/>
    <x v="3"/>
  </r>
  <r>
    <s v="007"/>
    <s v="PR01"/>
    <s v="810XPM063"/>
    <s v="Buse d'injection d'eau M.Lavage"/>
    <s v="UN"/>
    <n v="14"/>
    <n v="0"/>
    <n v="0"/>
    <x v="3"/>
  </r>
  <r>
    <s v="007"/>
    <s v="PR01"/>
    <s v="810XPM069"/>
    <s v="Attache rapide 08B1 CHAINE OCM40 ANGLAIS"/>
    <s v="UN"/>
    <n v="10"/>
    <n v="11.16"/>
    <n v="111.6"/>
    <x v="3"/>
  </r>
  <r>
    <s v="007"/>
    <s v="PR01"/>
    <s v="810XPM076"/>
    <s v="Attache rapide pour chaine 06-B2"/>
    <s v="L"/>
    <n v="6"/>
    <n v="0.67500000000000004"/>
    <n v="4.0500000000000007"/>
    <x v="3"/>
  </r>
  <r>
    <s v="007"/>
    <s v="PR01"/>
    <s v="810XPM088"/>
    <s v="Coffret joint torique Jaune"/>
    <s v="UN"/>
    <n v="1"/>
    <n v="35.167949999999998"/>
    <n v="35.167949999999998"/>
    <x v="3"/>
  </r>
  <r>
    <s v="007"/>
    <s v="PR01"/>
    <s v="810XPM094"/>
    <s v="Tete de brossage complet M.Brossage CH"/>
    <s v="M"/>
    <n v="2"/>
    <n v="0"/>
    <n v="0"/>
    <x v="3"/>
  </r>
  <r>
    <s v="007"/>
    <s v="PR01"/>
    <s v="810XPM095"/>
    <s v="Side brush Testeur HRD"/>
    <s v="UN"/>
    <n v="382"/>
    <n v="4.4244199999999996"/>
    <n v="1690.1284399999997"/>
    <x v="3"/>
  </r>
  <r>
    <s v="007"/>
    <s v="PR01"/>
    <s v="810XPM096"/>
    <s v="Top Brush Testeur HRD"/>
    <s v="UN"/>
    <n v="159"/>
    <n v="13.242319999999999"/>
    <n v="2105.5288799999998"/>
    <x v="3"/>
  </r>
  <r>
    <s v="007"/>
    <s v="PR01"/>
    <s v="810XPM097"/>
    <s v="Electrode de test cuivre Testeur HRD CH"/>
    <s v="M"/>
    <n v="2"/>
    <n v="0"/>
    <n v="0"/>
    <x v="3"/>
  </r>
  <r>
    <s v="007"/>
    <s v="PR01"/>
    <s v="810XPM099"/>
    <s v="Attache 08-B2 Plaque droite   ENV HILANS"/>
    <s v="UN"/>
    <n v="5"/>
    <n v="0"/>
    <n v="0"/>
    <x v="3"/>
  </r>
  <r>
    <s v="007"/>
    <s v="PR01"/>
    <s v="810XPM108"/>
    <s v="Brosse fanion PT ENV HILANS"/>
    <s v="UN"/>
    <n v="4"/>
    <n v="0"/>
    <n v="0"/>
    <x v="3"/>
  </r>
  <r>
    <s v="007"/>
    <s v="PR01"/>
    <s v="810XPM109"/>
    <s v="Brosse fanion GT ENV HILANS"/>
    <s v="UN"/>
    <n v="8"/>
    <n v="0"/>
    <n v="0"/>
    <x v="3"/>
  </r>
  <r>
    <s v="007"/>
    <s v="PR01"/>
    <s v="810XPM111"/>
    <s v="Joint torique EN NBR 70 OR 31-2 Perç sovema"/>
    <s v="UN"/>
    <n v="11"/>
    <n v="0.38900000000000001"/>
    <n v="4.2789999999999999"/>
    <x v="3"/>
  </r>
  <r>
    <s v="007"/>
    <s v="PR01"/>
    <s v="810XPM112"/>
    <s v="Joint torique EN NBR 70 OR 26.7-1.78 Perç sov"/>
    <s v="UN"/>
    <n v="11"/>
    <n v="0.22900000000000001"/>
    <n v="2.5190000000000001"/>
    <x v="3"/>
  </r>
  <r>
    <s v="007"/>
    <s v="PR01"/>
    <s v="810XPM115"/>
    <s v="Joint torique EN NBR OR 7.5-3  M.perçage sovema"/>
    <s v="UN"/>
    <n v="15"/>
    <n v="0.114"/>
    <n v="1.71"/>
    <x v="3"/>
  </r>
  <r>
    <s v="007"/>
    <s v="PR01"/>
    <s v="810XPM141"/>
    <s v="Joint torique EN VITON 1.78*7.65  Perçage sovem"/>
    <s v="UN"/>
    <n v="10"/>
    <n v="1.681"/>
    <n v="16.810000000000002"/>
    <x v="3"/>
  </r>
  <r>
    <s v="007"/>
    <s v="PR01"/>
    <s v="810XPM142"/>
    <s v="Joint torique EN VITON 1.78*25.12  Perç SOVEMA"/>
    <s v="UN"/>
    <n v="10"/>
    <n v="2.2610000000000001"/>
    <n v="22.61"/>
    <x v="3"/>
  </r>
  <r>
    <s v="007"/>
    <s v="PR01"/>
    <s v="810XPM143"/>
    <s v="Joint torique 2*31   Perç SOVEMA"/>
    <s v="UN"/>
    <n v="10"/>
    <n v="0.42"/>
    <n v="4.2"/>
    <x v="3"/>
  </r>
  <r>
    <s v="007"/>
    <s v="PR01"/>
    <s v="810XPM144"/>
    <s v="Joint GER 12*7,1/2,2   Perç SOVEMA"/>
    <s v="UN"/>
    <n v="1"/>
    <n v="13.99"/>
    <n v="13.99"/>
    <x v="3"/>
  </r>
  <r>
    <s v="007"/>
    <s v="PR01"/>
    <s v="810XPM145"/>
    <s v="Joint GER 30*22,5/3,2   Perç SOVEMA"/>
    <s v="UN"/>
    <n v="1"/>
    <n v="16.638999999999999"/>
    <n v="16.638999999999999"/>
    <x v="3"/>
  </r>
  <r>
    <s v="007"/>
    <s v="PR01"/>
    <s v="810XPM205"/>
    <s v="Attache rapide pour chaine 04B1"/>
    <s v="UN"/>
    <n v="30"/>
    <n v="1.89"/>
    <n v="56.699999999999996"/>
    <x v="3"/>
  </r>
  <r>
    <s v="007"/>
    <s v="PR01"/>
    <s v="810XPM206"/>
    <s v="Attache rapide pour chaine 05B1"/>
    <s v="UN"/>
    <n v="11"/>
    <n v="0.93149999999999999"/>
    <n v="10.246499999999999"/>
    <x v="3"/>
  </r>
  <r>
    <s v="007"/>
    <s v="PR01"/>
    <s v="810XPM207"/>
    <s v="Attache rapide pour chaine 06B1"/>
    <s v="UN"/>
    <n v="24"/>
    <n v="0.58096363636363624"/>
    <n v="13.943127272727271"/>
    <x v="3"/>
  </r>
  <r>
    <s v="007"/>
    <s v="PR01"/>
    <s v="810XPM210"/>
    <s v="Attache rapide pour chaine 12B1"/>
    <s v="UN"/>
    <n v="17"/>
    <n v="1.08"/>
    <n v="18.36"/>
    <x v="3"/>
  </r>
  <r>
    <s v="007"/>
    <s v="PR01"/>
    <s v="810XPM211"/>
    <s v="Attache rapide pour chaine 12B2"/>
    <s v="UN"/>
    <n v="21"/>
    <n v="1.9525128964059197"/>
    <n v="41.002770824524312"/>
    <x v="3"/>
  </r>
  <r>
    <s v="007"/>
    <s v="PR01"/>
    <s v="810XPM212"/>
    <s v="PATE JOINT 14B1"/>
    <s v="UN"/>
    <n v="1"/>
    <n v="3.5928"/>
    <n v="3.5928"/>
    <x v="3"/>
  </r>
  <r>
    <s v="007"/>
    <s v="PR01"/>
    <s v="810XPM225"/>
    <s v="GRAISSEUR droit M8"/>
    <s v="UN"/>
    <n v="36"/>
    <n v="0.41129999999999994"/>
    <n v="14.806799999999997"/>
    <x v="3"/>
  </r>
  <r>
    <s v="007"/>
    <s v="PR01"/>
    <s v="810XPM226"/>
    <s v="GRAISSEUR droit M10"/>
    <s v="UN"/>
    <n v="31"/>
    <n v="0.70656967213114763"/>
    <n v="21.903659836065575"/>
    <x v="3"/>
  </r>
  <r>
    <s v="007"/>
    <s v="PR01"/>
    <s v="810XPM227"/>
    <s v="GRAISSEUR Coudee M6"/>
    <s v="UN"/>
    <n v="20"/>
    <n v="0.89190000000000003"/>
    <n v="17.838000000000001"/>
    <x v="3"/>
  </r>
  <r>
    <s v="007"/>
    <s v="PR01"/>
    <s v="810XPM228"/>
    <s v="GRAISSEUR Coudee M8"/>
    <s v="UN"/>
    <n v="29"/>
    <n v="0.89190000000000003"/>
    <n v="25.865100000000002"/>
    <x v="3"/>
  </r>
  <r>
    <s v="007"/>
    <s v="PR01"/>
    <s v="810XPM229"/>
    <s v="GRAISSEUR Coudee M10"/>
    <s v="UN"/>
    <n v="20"/>
    <n v="0.89190000000000003"/>
    <n v="17.838000000000001"/>
    <x v="3"/>
  </r>
  <r>
    <s v="007"/>
    <s v="PR01"/>
    <s v="810xpm234"/>
    <s v="H311"/>
    <s v="UN"/>
    <n v="2"/>
    <n v="0"/>
    <n v="0"/>
    <x v="3"/>
  </r>
  <r>
    <s v="007"/>
    <s v="PR01"/>
    <s v="810xpm236"/>
    <s v="graisseur tapis"/>
    <s v="UN"/>
    <n v="7"/>
    <n v="1.5"/>
    <n v="10.5"/>
    <x v="3"/>
  </r>
  <r>
    <s v="007"/>
    <s v="PR01"/>
    <s v="810XPM237"/>
    <s v="Attache rapide pour chaine 08B2"/>
    <s v="UN"/>
    <n v="19"/>
    <n v="1.3130999999999999"/>
    <n v="24.948899999999998"/>
    <x v="3"/>
  </r>
  <r>
    <s v="007"/>
    <s v="PR01"/>
    <s v="810XPM238"/>
    <s v="Attache rapide pour chaine 20B"/>
    <s v="UN"/>
    <n v="5"/>
    <n v="2.3380000000000001"/>
    <n v="11.690000000000001"/>
    <x v="3"/>
  </r>
  <r>
    <s v="007"/>
    <s v="PR01"/>
    <s v="812BOU002"/>
    <s v="BOUCHON 1&quot; GALVA MALE"/>
    <s v="UN"/>
    <n v="5"/>
    <n v="0.88700000000000001"/>
    <n v="4.4350000000000005"/>
    <x v="3"/>
  </r>
  <r>
    <s v="007"/>
    <s v="PR01"/>
    <s v="812BOU013"/>
    <s v="Bouchon GALVA MALE 15/21"/>
    <s v="UN"/>
    <n v="9"/>
    <n v="2.1303000000000001"/>
    <n v="19.172699999999999"/>
    <x v="3"/>
  </r>
  <r>
    <s v="007"/>
    <s v="PR01"/>
    <s v="812BOU697"/>
    <s v="Bouchon PVC63"/>
    <s v="UN"/>
    <n v="3"/>
    <n v="3.5009999999999999"/>
    <n v="10.503"/>
    <x v="3"/>
  </r>
  <r>
    <s v="007"/>
    <s v="PR01"/>
    <s v="812BOU698"/>
    <s v="Bouchon PVC75"/>
    <s v="UN"/>
    <n v="2"/>
    <n v="8.9250000000000007"/>
    <n v="17.850000000000001"/>
    <x v="3"/>
  </r>
  <r>
    <s v="007"/>
    <s v="PR01"/>
    <s v="812CLA004"/>
    <s v="CLAPET PVC 25"/>
    <s v="UN"/>
    <n v="6"/>
    <n v="45.576999999999998"/>
    <n v="273.46199999999999"/>
    <x v="3"/>
  </r>
  <r>
    <s v="007"/>
    <s v="PR01"/>
    <s v="812CLA006"/>
    <s v="CLAPET PVC PRESSION D32"/>
    <s v="UN"/>
    <n v="1"/>
    <n v="88.346874999999983"/>
    <n v="88.346874999999983"/>
    <x v="3"/>
  </r>
  <r>
    <s v="007"/>
    <s v="PR01"/>
    <s v="812CLA007"/>
    <s v="CLAPET ANTI-RETOUR 2&quot;"/>
    <s v="UN"/>
    <n v="2"/>
    <n v="84.96"/>
    <n v="169.92"/>
    <x v="3"/>
  </r>
  <r>
    <s v="007"/>
    <s v="PR01"/>
    <s v="812CLA008"/>
    <s v="CLAPET ANTI-RETOUR 1&quot;"/>
    <s v="UN"/>
    <n v="1"/>
    <n v="38.771999999999998"/>
    <n v="38.771999999999998"/>
    <x v="3"/>
  </r>
  <r>
    <s v="007"/>
    <s v="PR01"/>
    <s v="812CLA009"/>
    <s v="CLAPET ANTI-RETOUR 20/27"/>
    <s v="UN"/>
    <n v="6"/>
    <n v="15.0642"/>
    <n v="90.385199999999998"/>
    <x v="3"/>
  </r>
  <r>
    <s v="007"/>
    <s v="PR01"/>
    <s v="812CLA013"/>
    <s v="CLAPET ANTI-RETOUR CUIVRE 3/4&quot;     COS3"/>
    <s v="UN"/>
    <n v="2"/>
    <n v="23.836500000000001"/>
    <n v="47.673000000000002"/>
    <x v="3"/>
  </r>
  <r>
    <s v="007"/>
    <s v="PR01"/>
    <s v="812COD005"/>
    <s v="COUDE GALVA 1+1/2&quot;"/>
    <s v="UN"/>
    <n v="5"/>
    <n v="5.4981"/>
    <n v="27.490500000000001"/>
    <x v="3"/>
  </r>
  <r>
    <s v="007"/>
    <s v="PR01"/>
    <s v="812COD007"/>
    <s v="COUDE GALVA  26/34"/>
    <s v="UN"/>
    <n v="7"/>
    <n v="3.3184"/>
    <n v="23.2288"/>
    <x v="3"/>
  </r>
  <r>
    <s v="007"/>
    <s v="PR01"/>
    <s v="812COD010"/>
    <s v="COUDE PPR D20"/>
    <s v="UN"/>
    <n v="40"/>
    <n v="0.58650000000000002"/>
    <n v="23.46"/>
    <x v="3"/>
  </r>
  <r>
    <s v="007"/>
    <s v="PR01"/>
    <s v="812COD014"/>
    <s v="COUDE PPR D63 45°"/>
    <s v="UN"/>
    <n v="2"/>
    <n v="6.6790000000000003"/>
    <n v="13.358000000000001"/>
    <x v="3"/>
  </r>
  <r>
    <s v="007"/>
    <s v="PR01"/>
    <s v="812COD024"/>
    <s v="Coude NOIR 1&quot; 1/2"/>
    <s v="UN"/>
    <n v="2"/>
    <n v="13.855"/>
    <n v="27.71"/>
    <x v="3"/>
  </r>
  <r>
    <s v="007"/>
    <s v="PR01"/>
    <s v="812COD034"/>
    <s v="Coude Acier 2&quot;"/>
    <s v="UN"/>
    <n v="2"/>
    <n v="22.513499999999997"/>
    <n v="45.026999999999994"/>
    <x v="3"/>
  </r>
  <r>
    <s v="007"/>
    <s v="PR01"/>
    <s v="812COD037"/>
    <s v="Coude PVC PR D50 45°"/>
    <s v="UN"/>
    <n v="14"/>
    <n v="3.7618799999999997"/>
    <n v="52.666319999999999"/>
    <x v="3"/>
  </r>
  <r>
    <s v="007"/>
    <s v="PR01"/>
    <s v="812COD051"/>
    <s v="Coude bargataire D75"/>
    <s v="UN"/>
    <n v="1"/>
    <n v="26.308"/>
    <n v="26.308"/>
    <x v="3"/>
  </r>
  <r>
    <s v="007"/>
    <s v="PR01"/>
    <s v="812cod055"/>
    <s v="coude  PVC   D160 45°"/>
    <s v="UN"/>
    <n v="7"/>
    <n v="44.594999999999999"/>
    <n v="312.16499999999996"/>
    <x v="3"/>
  </r>
  <r>
    <s v="007"/>
    <s v="PR01"/>
    <s v="812COD059"/>
    <s v="Coude laiton F/F 1&quot; 1/4"/>
    <s v="UN"/>
    <n v="2"/>
    <n v="16.214741666666665"/>
    <n v="32.42948333333333"/>
    <x v="3"/>
  </r>
  <r>
    <s v="007"/>
    <s v="PR01"/>
    <s v="812COD069"/>
    <s v="coude  PVC   D160 90°"/>
    <s v="UN"/>
    <n v="6"/>
    <n v="12.332700000000001"/>
    <n v="73.996200000000002"/>
    <x v="3"/>
  </r>
  <r>
    <s v="007"/>
    <s v="PR01"/>
    <s v="812COD672"/>
    <s v="Coude inox a souder 316L D50"/>
    <s v="UN"/>
    <n v="2"/>
    <n v="44.965000000000003"/>
    <n v="89.93"/>
    <x v="3"/>
  </r>
  <r>
    <s v="007"/>
    <s v="PR01"/>
    <s v="812COD674"/>
    <s v="COUDE NOIR20/27"/>
    <s v="UN"/>
    <n v="20"/>
    <n v="5.9912121212121212"/>
    <n v="119.82424242424243"/>
    <x v="3"/>
  </r>
  <r>
    <s v="007"/>
    <s v="PR01"/>
    <s v="812COD675"/>
    <s v="COUDE PVC P20  90°"/>
    <s v="UN"/>
    <n v="15"/>
    <n v="0.83979999999999999"/>
    <n v="12.597"/>
    <x v="3"/>
  </r>
  <r>
    <s v="007"/>
    <s v="PR01"/>
    <s v="812COD676"/>
    <s v="COUDE PVC P25 90°"/>
    <s v="UN"/>
    <n v="5"/>
    <n v="1.048"/>
    <n v="5.24"/>
    <x v="3"/>
  </r>
  <r>
    <s v="007"/>
    <s v="PR01"/>
    <s v="812COD678"/>
    <s v="COUDE PVC P40"/>
    <s v="UN"/>
    <n v="5"/>
    <n v="2.6389999999999998"/>
    <n v="13.194999999999999"/>
    <x v="3"/>
  </r>
  <r>
    <s v="007"/>
    <s v="PR01"/>
    <s v="812COD679"/>
    <s v="COUDE PVC PR D50  90°"/>
    <s v="UN"/>
    <n v="2"/>
    <n v="4.6609999999999996"/>
    <n v="9.3219999999999992"/>
    <x v="3"/>
  </r>
  <r>
    <s v="007"/>
    <s v="PR01"/>
    <s v="812COD680"/>
    <s v="COUDE PVC P63 90°"/>
    <s v="UN"/>
    <n v="4"/>
    <n v="4.1541066666666673"/>
    <n v="16.616426666666669"/>
    <x v="3"/>
  </r>
  <r>
    <s v="007"/>
    <s v="PR01"/>
    <s v="812COD681"/>
    <s v="COUDE PVC P75  90°"/>
    <s v="UN"/>
    <n v="15"/>
    <n v="11.2506"/>
    <n v="168.75900000000001"/>
    <x v="3"/>
  </r>
  <r>
    <s v="007"/>
    <s v="PR01"/>
    <s v="812COD682"/>
    <s v="COUDE PVC P D90 90°"/>
    <s v="UN"/>
    <n v="5"/>
    <n v="9.2750000000000004"/>
    <n v="46.375"/>
    <x v="3"/>
  </r>
  <r>
    <s v="007"/>
    <s v="PR01"/>
    <s v="812COD684"/>
    <s v="COUDE  GALVA 20/27"/>
    <s v="UN"/>
    <n v="20"/>
    <n v="2.0020000000000002"/>
    <n v="40.040000000000006"/>
    <x v="3"/>
  </r>
  <r>
    <s v="007"/>
    <s v="PR01"/>
    <s v="812COD686"/>
    <s v="COUDE GALVA 1&quot; 1/4"/>
    <s v="UN"/>
    <n v="1"/>
    <n v="4.2069999999999999"/>
    <n v="4.2069999999999999"/>
    <x v="3"/>
  </r>
  <r>
    <s v="007"/>
    <s v="PR01"/>
    <s v="812COD687"/>
    <s v="COUDE GALVA 15/21"/>
    <s v="UN"/>
    <n v="13"/>
    <n v="1.105"/>
    <n v="14.365"/>
    <x v="3"/>
  </r>
  <r>
    <s v="007"/>
    <s v="PR01"/>
    <s v="812COD688"/>
    <s v="Coude bargataire D25"/>
    <s v="UN"/>
    <n v="6"/>
    <n v="3.3797142857142854"/>
    <n v="20.278285714285712"/>
    <x v="3"/>
  </r>
  <r>
    <s v="007"/>
    <s v="PR01"/>
    <s v="812COD690"/>
    <s v="Coude bargataire D90"/>
    <s v="UN"/>
    <n v="2"/>
    <n v="2.3119999999999998"/>
    <n v="4.6239999999999997"/>
    <x v="3"/>
  </r>
  <r>
    <s v="007"/>
    <s v="PR01"/>
    <s v="812COD691"/>
    <s v="Coude bargataire D50"/>
    <s v="UN"/>
    <n v="3"/>
    <n v="14.5512"/>
    <n v="43.653599999999997"/>
    <x v="3"/>
  </r>
  <r>
    <s v="007"/>
    <s v="PR01"/>
    <s v="812COD692"/>
    <s v="Coude bargataire D63"/>
    <s v="UN"/>
    <n v="4"/>
    <n v="20.162183333333335"/>
    <n v="80.64873333333334"/>
    <x v="3"/>
  </r>
  <r>
    <s v="007"/>
    <s v="PR01"/>
    <s v="812COD699"/>
    <s v="COUDE PVC P63 45°"/>
    <s v="UN"/>
    <n v="5"/>
    <n v="6.5119999999999996"/>
    <n v="32.559999999999995"/>
    <x v="3"/>
  </r>
  <r>
    <s v="007"/>
    <s v="PR01"/>
    <s v="812COD701"/>
    <s v="TE GALVA 20*27"/>
    <s v="UN"/>
    <n v="4"/>
    <n v="4.9580000000000002"/>
    <n v="19.832000000000001"/>
    <x v="3"/>
  </r>
  <r>
    <s v="007"/>
    <s v="PR01"/>
    <s v="812cod702"/>
    <s v="COUDE PVC PR 32 45°"/>
    <s v="UN"/>
    <n v="1"/>
    <n v="4.6580000000000004"/>
    <n v="4.6580000000000004"/>
    <x v="3"/>
  </r>
  <r>
    <s v="007"/>
    <s v="PR01"/>
    <s v="812COD703"/>
    <s v="COUDE NOIR D114  90°"/>
    <s v="UN"/>
    <n v="4"/>
    <n v="31.043700000000001"/>
    <n v="124.1748"/>
    <x v="3"/>
  </r>
  <r>
    <s v="007"/>
    <s v="PR01"/>
    <s v="812COD707"/>
    <s v="Coude à souder inox D63"/>
    <s v="UN"/>
    <n v="2"/>
    <n v="19.089300000000001"/>
    <n v="38.178600000000003"/>
    <x v="3"/>
  </r>
  <r>
    <s v="007"/>
    <s v="PR01"/>
    <s v="812COD805"/>
    <s v="Coude PVC PR 90° D40"/>
    <s v="UN"/>
    <n v="3"/>
    <n v="2.75"/>
    <n v="8.25"/>
    <x v="3"/>
  </r>
  <r>
    <s v="007"/>
    <s v="PR01"/>
    <s v="812COD806"/>
    <s v="Coude PVC 45° D40"/>
    <s v="UN"/>
    <n v="5"/>
    <n v="4.1684000000000001"/>
    <n v="20.841999999999999"/>
    <x v="3"/>
  </r>
  <r>
    <s v="007"/>
    <s v="PR01"/>
    <s v="812COD807"/>
    <s v="Coude PVC PR 90° D32"/>
    <s v="UN"/>
    <n v="3"/>
    <n v="1.464"/>
    <n v="4.3919999999999995"/>
    <x v="3"/>
  </r>
  <r>
    <s v="007"/>
    <s v="PR01"/>
    <s v="812COD808"/>
    <s v="Coude PVC 45° D32"/>
    <s v="UN"/>
    <n v="8"/>
    <n v="1.171"/>
    <n v="9.3680000000000003"/>
    <x v="3"/>
  </r>
  <r>
    <s v="007"/>
    <s v="PR01"/>
    <s v="812COL002"/>
    <s v="COLLIER 10 a 18 GALVA"/>
    <s v="UN"/>
    <n v="80"/>
    <n v="0.18990909090909092"/>
    <n v="15.192727272727273"/>
    <x v="3"/>
  </r>
  <r>
    <s v="007"/>
    <s v="PR01"/>
    <s v="812COL005"/>
    <s v="COLLIER ATLAS D20"/>
    <s v="UN"/>
    <n v="7"/>
    <n v="0.53843333333333332"/>
    <n v="3.7690333333333332"/>
    <x v="3"/>
  </r>
  <r>
    <s v="007"/>
    <s v="PR01"/>
    <s v="812COL008"/>
    <s v="COLLIER DE SERRAGE 16-23"/>
    <s v="UN"/>
    <n v="67"/>
    <n v="0.28736"/>
    <n v="19.253119999999999"/>
    <x v="3"/>
  </r>
  <r>
    <s v="007"/>
    <s v="PR01"/>
    <s v="812COL017"/>
    <s v="COLLIER DE PRISE 32-15/21 FEMELLE"/>
    <s v="UN"/>
    <n v="6"/>
    <n v="2.6346666666666665"/>
    <n v="15.808"/>
    <x v="3"/>
  </r>
  <r>
    <s v="007"/>
    <s v="PR01"/>
    <s v="812COL036"/>
    <s v="Collier de fixation GALVA D40"/>
    <s v="UN"/>
    <n v="20"/>
    <n v="0.65705000000000002"/>
    <n v="13.141"/>
    <x v="3"/>
  </r>
  <r>
    <s v="007"/>
    <s v="PR01"/>
    <s v="812COL045"/>
    <s v="Collier de prise D32  20/27"/>
    <s v="UN"/>
    <n v="4"/>
    <n v="3.9"/>
    <n v="15.6"/>
    <x v="3"/>
  </r>
  <r>
    <s v="007"/>
    <s v="PR01"/>
    <s v="812COL052"/>
    <s v="COLLIER DE PRISE FEMELLE 63-20/27"/>
    <s v="UN"/>
    <n v="1"/>
    <n v="5.4702000000000002"/>
    <n v="5.4702000000000002"/>
    <x v="3"/>
  </r>
  <r>
    <s v="007"/>
    <s v="PR01"/>
    <s v="812COL054"/>
    <s v="Collier de fixation D32 Complet"/>
    <s v="UN"/>
    <n v="21"/>
    <n v="0.30199999999999999"/>
    <n v="6.3419999999999996"/>
    <x v="3"/>
  </r>
  <r>
    <s v="007"/>
    <s v="PR01"/>
    <s v="812COL056"/>
    <s v="COLLIER ATLAS D32"/>
    <s v="UN"/>
    <n v="6"/>
    <n v="1.4450000000000001"/>
    <n v="8.67"/>
    <x v="3"/>
  </r>
  <r>
    <s v="007"/>
    <s v="PR01"/>
    <s v="812COL057"/>
    <s v="COLLIER DE FIXATION D50 Complet"/>
    <s v="UN"/>
    <n v="50"/>
    <n v="1.5419375000000002"/>
    <n v="77.096875000000011"/>
    <x v="3"/>
  </r>
  <r>
    <s v="007"/>
    <s v="PR01"/>
    <s v="812COL058"/>
    <s v="COLLIER DE FIXATION D25 Complet"/>
    <s v="UN"/>
    <n v="21"/>
    <n v="1.5614499999999998"/>
    <n v="32.790449999999993"/>
    <x v="3"/>
  </r>
  <r>
    <s v="007"/>
    <s v="PR01"/>
    <s v="812COL064"/>
    <s v="Circlips D18 Exterieur"/>
    <s v="UN"/>
    <n v="110"/>
    <n v="0.13932"/>
    <n v="15.325200000000001"/>
    <x v="3"/>
  </r>
  <r>
    <s v="007"/>
    <s v="PR01"/>
    <s v="812COL066"/>
    <s v="Collier INOX D10-16"/>
    <s v="UN"/>
    <n v="150"/>
    <n v="1.2929999999999999"/>
    <n v="193.95"/>
    <x v="3"/>
  </r>
  <r>
    <s v="007"/>
    <s v="PR01"/>
    <s v="812COL068"/>
    <s v="Collier de prise 50  20/27"/>
    <s v="UN"/>
    <n v="2"/>
    <n v="4.0986000000000002"/>
    <n v="8.1972000000000005"/>
    <x v="3"/>
  </r>
  <r>
    <s v="007"/>
    <s v="PR01"/>
    <s v="812COL069"/>
    <s v="COLLIER DE FIXATION D63Complet"/>
    <s v="UN"/>
    <n v="28"/>
    <n v="1.7324999999999997"/>
    <n v="48.509999999999991"/>
    <x v="3"/>
  </r>
  <r>
    <s v="007"/>
    <s v="PR01"/>
    <s v="812COL074"/>
    <s v="COLLIER DE SERRAGE INOX A BOULON 65-83"/>
    <s v="UN"/>
    <n v="4"/>
    <n v="10.1304"/>
    <n v="40.521599999999999"/>
    <x v="3"/>
  </r>
  <r>
    <s v="007"/>
    <s v="PR01"/>
    <s v="812COL078"/>
    <s v="COLLIER DE SERRAGE INOX A BOULON 86-91"/>
    <s v="UN"/>
    <n v="3"/>
    <n v="10.134"/>
    <n v="30.402000000000001"/>
    <x v="3"/>
  </r>
  <r>
    <s v="007"/>
    <s v="PR01"/>
    <s v="812COL083"/>
    <s v="COLLIER SEBEC D160 SIMPLE"/>
    <s v="UN"/>
    <n v="20"/>
    <n v="3.6414"/>
    <n v="72.828000000000003"/>
    <x v="3"/>
  </r>
  <r>
    <s v="007"/>
    <s v="PR01"/>
    <s v="812COL084"/>
    <s v="Circlips Interieur D25"/>
    <s v="UN"/>
    <n v="28"/>
    <n v="0.36099999999999999"/>
    <n v="10.108000000000001"/>
    <x v="3"/>
  </r>
  <r>
    <s v="007"/>
    <s v="PR01"/>
    <s v="812COL085"/>
    <s v="Circlips Exterieur D10"/>
    <s v="UN"/>
    <n v="90"/>
    <n v="0.10199999999999999"/>
    <n v="9.18"/>
    <x v="3"/>
  </r>
  <r>
    <s v="007"/>
    <s v="PR01"/>
    <s v="812COL658"/>
    <s v="Collier INOX 25-40"/>
    <s v="UN"/>
    <n v="68"/>
    <n v="6.2471578947368425"/>
    <n v="424.80673684210529"/>
    <x v="3"/>
  </r>
  <r>
    <s v="007"/>
    <s v="PR01"/>
    <s v="812COL662"/>
    <s v="Collier de serrage 50-70"/>
    <s v="UN"/>
    <n v="80"/>
    <n v="1.8508579999999999"/>
    <n v="148.06863999999999"/>
    <x v="3"/>
  </r>
  <r>
    <s v="007"/>
    <s v="PR01"/>
    <s v="812cou701"/>
    <s v="coude  PVC PR D160  90°"/>
    <s v="UN"/>
    <n v="1"/>
    <n v="45.823"/>
    <n v="45.823"/>
    <x v="3"/>
  </r>
  <r>
    <s v="007"/>
    <s v="PR01"/>
    <s v="812COU702"/>
    <s v="Coude PVC Y  D160"/>
    <s v="UN"/>
    <n v="6"/>
    <n v="7.95"/>
    <n v="47.7"/>
    <x v="3"/>
  </r>
  <r>
    <s v="007"/>
    <s v="PR01"/>
    <s v="812DIS004"/>
    <s v="DISTRIBUTEUR 2/5 484.52.0.1 M56"/>
    <s v="UN"/>
    <n v="4"/>
    <n v="100.2546"/>
    <n v="401.01839999999999"/>
    <x v="3"/>
  </r>
  <r>
    <s v="007"/>
    <s v="PR01"/>
    <s v="812DIS010"/>
    <s v="DISTRIBUTEUR CAMOZZI 951-000-P15-23"/>
    <s v="UN"/>
    <n v="8"/>
    <n v="166.08"/>
    <n v="1328.64"/>
    <x v="3"/>
  </r>
  <r>
    <s v="007"/>
    <s v="PR01"/>
    <s v="812DIS028"/>
    <s v="Bloc 06 distributeur 5/2 24VDC sur EMBASE  ELBAK"/>
    <s v="UN"/>
    <n v="1"/>
    <n v="625.05600000000004"/>
    <n v="625.05600000000004"/>
    <x v="3"/>
  </r>
  <r>
    <s v="007"/>
    <s v="PR01"/>
    <s v="812DIS625"/>
    <s v="DISTRIBUTEUR PNEUMAX2431.53.31.35.12"/>
    <s v="UN"/>
    <n v="3"/>
    <n v="172.39200000000002"/>
    <n v="517.17600000000004"/>
    <x v="3"/>
  </r>
  <r>
    <s v="007"/>
    <s v="PR01"/>
    <s v="812DIS626"/>
    <s v="DISTRIBUTEUR PNEUMAX2431.52.00.35.12"/>
    <s v="UN"/>
    <n v="6"/>
    <n v="177.88499999999999"/>
    <n v="1067.31"/>
    <x v="3"/>
  </r>
  <r>
    <s v="007"/>
    <s v="PR01"/>
    <s v="812DIS627"/>
    <s v="DISTRIBUTEUR CAMOZZI 951-000-P15"/>
    <s v="UN"/>
    <n v="4"/>
    <n v="198"/>
    <n v="792"/>
    <x v="3"/>
  </r>
  <r>
    <s v="007"/>
    <s v="PR01"/>
    <s v="812EMB003"/>
    <s v="Embou cannelé PVC D16 Male 20/27 Vanne charge"/>
    <s v="UN"/>
    <n v="6"/>
    <n v="2.3374999999999999"/>
    <n v="14.024999999999999"/>
    <x v="3"/>
  </r>
  <r>
    <s v="007"/>
    <s v="PR01"/>
    <s v="812EMB004"/>
    <s v="Embou PVC PR 50 Femelle 1&quot;1/2"/>
    <s v="UN"/>
    <n v="1"/>
    <n v="4.8330000000000002"/>
    <n v="4.8330000000000002"/>
    <x v="3"/>
  </r>
  <r>
    <s v="007"/>
    <s v="PR01"/>
    <s v="812EMB005"/>
    <s v="Embou PVC PR MALE 50*40*1&quot;1/2"/>
    <s v="UN"/>
    <n v="12"/>
    <n v="6.3577166666666658"/>
    <n v="76.292599999999993"/>
    <x v="3"/>
  </r>
  <r>
    <s v="007"/>
    <s v="PR01"/>
    <s v="812EMB006"/>
    <s v="Embou cannelé PVC D32 Charge"/>
    <s v="UN"/>
    <n v="5"/>
    <n v="8.1259999999999994"/>
    <n v="40.629999999999995"/>
    <x v="3"/>
  </r>
  <r>
    <s v="007"/>
    <s v="PR01"/>
    <s v="812EMB013"/>
    <s v="Embou PPR Femelle 63*2&quot;"/>
    <s v="UN"/>
    <n v="2"/>
    <n v="68.424999999999997"/>
    <n v="136.85"/>
    <x v="3"/>
  </r>
  <r>
    <s v="007"/>
    <s v="PR01"/>
    <s v="812EMB017"/>
    <s v="Embou Galva Male 4&quot;"/>
    <s v="UN"/>
    <n v="2"/>
    <n v="72.25"/>
    <n v="144.5"/>
    <x v="3"/>
  </r>
  <r>
    <s v="007"/>
    <s v="PR01"/>
    <s v="812EMB741"/>
    <s v="Embou PVC PR MALE 63*50*2&quot;"/>
    <s v="UN"/>
    <n v="2"/>
    <n v="3.3359999999999999"/>
    <n v="6.6719999999999997"/>
    <x v="3"/>
  </r>
  <r>
    <s v="007"/>
    <s v="PR01"/>
    <s v="812EMB744"/>
    <s v="Embou PVC PR MALE 50*63*1&quot;1/2"/>
    <s v="UN"/>
    <n v="10"/>
    <n v="3.2725"/>
    <n v="32.725000000000001"/>
    <x v="3"/>
  </r>
  <r>
    <s v="007"/>
    <s v="PR01"/>
    <s v="812EMB745"/>
    <s v="Embou PVC PR 50*40*1&quot;1/4 MALE"/>
    <s v="UN"/>
    <n v="7"/>
    <n v="2.6760000000000002"/>
    <n v="18.731999999999999"/>
    <x v="3"/>
  </r>
  <r>
    <s v="007"/>
    <s v="PR01"/>
    <s v="812EMB746"/>
    <s v="Embou PVC PR 40*32*1&quot; Male"/>
    <s v="UN"/>
    <n v="2"/>
    <n v="1.4670000000000001"/>
    <n v="2.9340000000000002"/>
    <x v="3"/>
  </r>
  <r>
    <s v="007"/>
    <s v="PR01"/>
    <s v="812EMB804"/>
    <s v="Embou PVC Pression 63*50*1&quot;1/2 Male"/>
    <s v="UN"/>
    <n v="6"/>
    <n v="2.7233999999999998"/>
    <n v="16.340399999999999"/>
    <x v="3"/>
  </r>
  <r>
    <s v="007"/>
    <s v="PR01"/>
    <s v="812EXT001"/>
    <s v="Ejecteur  06mm/L200 Moule"/>
    <s v="UN"/>
    <n v="5"/>
    <n v="6.593"/>
    <n v="32.965000000000003"/>
    <x v="3"/>
  </r>
  <r>
    <s v="007"/>
    <s v="PR01"/>
    <s v="812EXT173"/>
    <s v="Extracteur 05mm/L200 Moule"/>
    <s v="UN"/>
    <n v="9"/>
    <n v="5.2919999999999989"/>
    <n v="47.627999999999993"/>
    <x v="3"/>
  </r>
  <r>
    <s v="007"/>
    <s v="PR01"/>
    <s v="812EXT174"/>
    <s v="Extracteur 03,5mm/L167 Moule"/>
    <s v="UN"/>
    <n v="39"/>
    <n v="5.0084999999999997"/>
    <n v="195.33149999999998"/>
    <x v="3"/>
  </r>
  <r>
    <s v="007"/>
    <s v="PR01"/>
    <s v="812FIL003"/>
    <s v="Filtre Env TEKMAX"/>
    <s v="UN"/>
    <n v="4"/>
    <n v="165.3"/>
    <n v="661.2"/>
    <x v="3"/>
  </r>
  <r>
    <s v="007"/>
    <s v="PR01"/>
    <s v="812FIL007"/>
    <s v="Filtre a huile SC113 Camion"/>
    <s v="UN"/>
    <n v="2"/>
    <n v="14.178599999999999"/>
    <n v="28.357199999999999"/>
    <x v="3"/>
  </r>
  <r>
    <s v="007"/>
    <s v="PR01"/>
    <s v="812FIL008"/>
    <s v="Filtre a Gazoil RVI SC113*WK727 Camion"/>
    <s v="UN"/>
    <n v="4"/>
    <n v="12.701700000000001"/>
    <n v="50.806800000000003"/>
    <x v="3"/>
  </r>
  <r>
    <s v="007"/>
    <s v="PR01"/>
    <s v="812FIL009"/>
    <s v="Filtre a AIR SC113 Camion"/>
    <s v="UN"/>
    <n v="2"/>
    <n v="119.6001"/>
    <n v="239.2002"/>
    <x v="3"/>
  </r>
  <r>
    <s v="007"/>
    <s v="PR01"/>
    <s v="812FIL033"/>
    <s v="FILTRE A CARTOUCHE DN20   CHAUDIERE"/>
    <s v="UN"/>
    <n v="1"/>
    <n v="489.53530000000001"/>
    <n v="489.53530000000001"/>
    <x v="3"/>
  </r>
  <r>
    <s v="007"/>
    <s v="PR01"/>
    <s v="812FIL034"/>
    <s v="filtre d'aspiration R292 70/156.5/211 ELBAK"/>
    <s v="UN"/>
    <n v="4"/>
    <n v="138"/>
    <n v="552"/>
    <x v="3"/>
  </r>
  <r>
    <s v="007"/>
    <s v="PR01"/>
    <s v="812FIL101"/>
    <s v="filtre eau 10 micro"/>
    <s v="UN"/>
    <n v="32"/>
    <n v="14"/>
    <n v="448"/>
    <x v="3"/>
  </r>
  <r>
    <s v="007"/>
    <s v="PR01"/>
    <s v="812FIL102"/>
    <s v="filtre eau 5 micron"/>
    <s v="UN"/>
    <n v="3"/>
    <n v="589.88173333333327"/>
    <n v="1769.6451999999999"/>
    <x v="3"/>
  </r>
  <r>
    <s v="007"/>
    <s v="PR01"/>
    <s v="812FIL103"/>
    <s v="filtre d'aspiration ENV SOVEMA"/>
    <s v="UN"/>
    <n v="1"/>
    <n v="133.62"/>
    <n v="133.62"/>
    <x v="3"/>
  </r>
  <r>
    <s v="007"/>
    <s v="PR01"/>
    <s v="812FIL104"/>
    <s v="filtre gaz chariot"/>
    <s v="UN"/>
    <n v="3"/>
    <n v="589.88173333333327"/>
    <n v="1769.6451999999999"/>
    <x v="3"/>
  </r>
  <r>
    <s v="007"/>
    <s v="PR01"/>
    <s v="812FLE002"/>
    <s v="FLEXIBLE DN100 ASPIRATION STAKER"/>
    <s v="M"/>
    <n v="3"/>
    <n v="2.7591000000000001"/>
    <n v="8.2773000000000003"/>
    <x v="3"/>
  </r>
  <r>
    <s v="007"/>
    <s v="PR01"/>
    <s v="812FLE005"/>
    <s v="Flexible DN06 3920 THP Soudure connexion"/>
    <s v="UN"/>
    <n v="3"/>
    <n v="50.4"/>
    <n v="151.19999999999999"/>
    <x v="3"/>
  </r>
  <r>
    <s v="007"/>
    <s v="PR01"/>
    <s v="812FLE025"/>
    <s v="Flexible PVC transparent Spiralee D8 interieur"/>
    <s v="M"/>
    <n v="10"/>
    <n v="3.7944000000000004"/>
    <n v="37.944000000000003"/>
    <x v="3"/>
  </r>
  <r>
    <s v="007"/>
    <s v="PR01"/>
    <s v="812FLE029"/>
    <s v="Flexible Balflex airpressor air&amp;water 3/8"/>
    <s v="M"/>
    <n v="16"/>
    <n v="3.4856285714285713"/>
    <n v="55.770057142857141"/>
    <x v="3"/>
  </r>
  <r>
    <s v="007"/>
    <s v="PR01"/>
    <s v="812FLE030"/>
    <s v="Flexible Balflex airpressor air&amp;water 1/2"/>
    <s v="M"/>
    <n v="36"/>
    <n v="4.5476999999999999"/>
    <n v="163.71719999999999"/>
    <x v="3"/>
  </r>
  <r>
    <s v="007"/>
    <s v="PR01"/>
    <s v="812FLE057"/>
    <s v="Flexible téflon HDN6 L51 COS3"/>
    <s v="UN"/>
    <n v="13"/>
    <n v="34.704000000000001"/>
    <n v="451.15199999999999"/>
    <x v="3"/>
  </r>
  <r>
    <s v="007"/>
    <s v="PR01"/>
    <s v="812FLE059"/>
    <s v="Flexible DN6 LG600 THP+RACCORDS"/>
    <s v="UN"/>
    <n v="1"/>
    <n v="53.76"/>
    <n v="53.76"/>
    <x v="3"/>
  </r>
  <r>
    <s v="007"/>
    <s v="PR01"/>
    <s v="812FLE065"/>
    <s v="Flexible DN06 LG380 THP 400BAR   TCM30 ESSENCE"/>
    <s v="UN"/>
    <n v="2"/>
    <n v="24.678000000000001"/>
    <n v="49.356000000000002"/>
    <x v="3"/>
  </r>
  <r>
    <s v="007"/>
    <s v="PR01"/>
    <s v="812FLE067"/>
    <s v="Flexible DN08 LG2560 THP TCM30 Essence"/>
    <s v="UN"/>
    <n v="1"/>
    <n v="62.092799999999997"/>
    <n v="62.092799999999997"/>
    <x v="3"/>
  </r>
  <r>
    <s v="007"/>
    <s v="PR01"/>
    <s v="812FLE074"/>
    <s v="Flexible DN10 LG2200 THP D*2"/>
    <s v="UN"/>
    <n v="1"/>
    <n v="46.98"/>
    <n v="46.98"/>
    <x v="3"/>
  </r>
  <r>
    <s v="007"/>
    <s v="PR01"/>
    <s v="812FLE095"/>
    <s v="Flexible Cristal transpa D12  M.remplissage"/>
    <s v="M"/>
    <n v="8"/>
    <n v="3.0779999999999998"/>
    <n v="24.623999999999999"/>
    <x v="3"/>
  </r>
  <r>
    <s v="007"/>
    <s v="PR01"/>
    <s v="812FLE102"/>
    <s v="Flexible Cristal transparent D32  Charge"/>
    <s v="M"/>
    <n v="9"/>
    <n v="14.076000000000001"/>
    <n v="126.684"/>
    <x v="3"/>
  </r>
  <r>
    <s v="007"/>
    <s v="PR01"/>
    <s v="812FLE609"/>
    <s v="Flexible04"/>
    <s v="UN"/>
    <n v="170"/>
    <n v="1.1475"/>
    <n v="195.07499999999999"/>
    <x v="3"/>
  </r>
  <r>
    <s v="007"/>
    <s v="PR01"/>
    <s v="812FLE610"/>
    <s v="Flexible06"/>
    <s v="M"/>
    <n v="194"/>
    <n v="1.6575"/>
    <n v="321.55500000000001"/>
    <x v="3"/>
  </r>
  <r>
    <s v="007"/>
    <s v="PR01"/>
    <s v="812FLE611"/>
    <s v="Flexible08"/>
    <s v="M"/>
    <n v="173"/>
    <n v="1.1511"/>
    <n v="199.1403"/>
    <x v="3"/>
  </r>
  <r>
    <s v="007"/>
    <s v="PR01"/>
    <s v="812FLE612"/>
    <s v="Flexible10"/>
    <s v="M"/>
    <n v="150"/>
    <n v="2.5245000000000002"/>
    <n v="378.67500000000001"/>
    <x v="3"/>
  </r>
  <r>
    <s v="007"/>
    <s v="PR01"/>
    <s v="812FLE614"/>
    <s v="Flexible12"/>
    <s v="UN"/>
    <n v="50"/>
    <n v="3.33"/>
    <n v="166.5"/>
    <x v="3"/>
  </r>
  <r>
    <s v="007"/>
    <s v="PR01"/>
    <s v="812FLE618"/>
    <s v="Flexible Chalumeau Bleu 6mm"/>
    <s v="M"/>
    <n v="16"/>
    <n v="2.2701799999999999"/>
    <n v="36.322879999999998"/>
    <x v="3"/>
  </r>
  <r>
    <s v="007"/>
    <s v="PR01"/>
    <s v="812MEM001"/>
    <s v="MAMELON GALVA 1&quot;1/2"/>
    <s v="UN"/>
    <n v="11"/>
    <n v="8.0640000000000001"/>
    <n v="88.704000000000008"/>
    <x v="3"/>
  </r>
  <r>
    <s v="007"/>
    <s v="PR01"/>
    <s v="812MEM004"/>
    <s v="MAMLON GALVA 26*34 (1&quot;)"/>
    <s v="UN"/>
    <n v="20"/>
    <n v="2.0994999999999999"/>
    <n v="41.989999999999995"/>
    <x v="3"/>
  </r>
  <r>
    <s v="007"/>
    <s v="PR01"/>
    <s v="812MEM010"/>
    <s v="Mamelon Galva 1&quot; 1/4"/>
    <s v="UN"/>
    <n v="7"/>
    <n v="3.2949999999999999"/>
    <n v="23.064999999999998"/>
    <x v="3"/>
  </r>
  <r>
    <s v="007"/>
    <s v="PR01"/>
    <s v="812MEM016"/>
    <s v="MAMELON GALVA 2&quot;"/>
    <s v="UN"/>
    <n v="2"/>
    <n v="6.8440500000000002"/>
    <n v="13.6881"/>
    <x v="3"/>
  </r>
  <r>
    <s v="007"/>
    <s v="PR01"/>
    <s v="812MEM023"/>
    <s v="Mamelon Chromé 1/4 avec buse cannelé   COS3"/>
    <s v="UN"/>
    <n v="5"/>
    <n v="8.8757999999999999"/>
    <n v="44.378999999999998"/>
    <x v="3"/>
  </r>
  <r>
    <s v="007"/>
    <s v="PR01"/>
    <s v="812MEM025"/>
    <s v="MAMELON Galva 1/4-1/4 Male"/>
    <s v="UN"/>
    <n v="9"/>
    <n v="1.9379999999999999"/>
    <n v="17.442"/>
    <x v="3"/>
  </r>
  <r>
    <s v="007"/>
    <s v="PR01"/>
    <s v="812MEM027"/>
    <s v="MAMELON ACIER M/M 10PA100  TCM30 ESSENCE"/>
    <s v="UN"/>
    <n v="1"/>
    <n v="9.4499999999999993"/>
    <n v="9.4499999999999993"/>
    <x v="3"/>
  </r>
  <r>
    <s v="007"/>
    <s v="PR01"/>
    <s v="812MEM029"/>
    <s v="MAMELON Laiton 20/27 (3/4&quot;)"/>
    <s v="UN"/>
    <n v="9"/>
    <n v="2.5865999999999998"/>
    <n v="23.279399999999999"/>
    <x v="3"/>
  </r>
  <r>
    <s v="007"/>
    <s v="PR01"/>
    <s v="812MEM030"/>
    <s v="MAMELON Laiton 1&quot;1/2"/>
    <s v="UN"/>
    <n v="3"/>
    <n v="16.520399999999999"/>
    <n v="49.561199999999999"/>
    <x v="3"/>
  </r>
  <r>
    <s v="007"/>
    <s v="PR01"/>
    <s v="812MEM031"/>
    <s v="MAMELON GALVA 1/8--1/4"/>
    <s v="UN"/>
    <n v="3"/>
    <n v="4.3019999999999996"/>
    <n v="12.905999999999999"/>
    <x v="3"/>
  </r>
  <r>
    <s v="007"/>
    <s v="PR01"/>
    <s v="812MEM032"/>
    <s v="Mamelon INOX 1&quot; 1/4"/>
    <s v="UN"/>
    <n v="4"/>
    <n v="16.832000000000001"/>
    <n v="67.328000000000003"/>
    <x v="3"/>
  </r>
  <r>
    <s v="007"/>
    <s v="PR01"/>
    <s v="812MEM033"/>
    <s v="Mamelon INOX 1&quot;--1&quot;1/2"/>
    <s v="UN"/>
    <n v="1"/>
    <n v="15.4819"/>
    <n v="15.4819"/>
    <x v="3"/>
  </r>
  <r>
    <s v="007"/>
    <s v="PR01"/>
    <s v="812MEM724"/>
    <s v="MAMLON GALVA15/21"/>
    <s v="UN"/>
    <n v="2"/>
    <n v="0.81430000000000002"/>
    <n v="1.6286"/>
    <x v="3"/>
  </r>
  <r>
    <s v="007"/>
    <s v="PR01"/>
    <s v="812MEM725"/>
    <s v="MAMELON GALVA D75 2&quot;1/2"/>
    <s v="UN"/>
    <n v="2"/>
    <n v="11.490237762237765"/>
    <n v="22.98047552447553"/>
    <x v="3"/>
  </r>
  <r>
    <s v="007"/>
    <s v="PR01"/>
    <s v="812MEM727"/>
    <s v="RACCORD 3 Péic GALVA2&quot;"/>
    <s v="UN"/>
    <n v="1"/>
    <n v="24.4375"/>
    <n v="24.4375"/>
    <x v="3"/>
  </r>
  <r>
    <s v="007"/>
    <s v="PR01"/>
    <s v="812mon002"/>
    <s v="MONCHON GALVA Femelle 1/4"/>
    <s v="UN"/>
    <n v="18"/>
    <n v="2.3460000000000001"/>
    <n v="42.228000000000002"/>
    <x v="3"/>
  </r>
  <r>
    <s v="007"/>
    <s v="PR01"/>
    <s v="812MON004"/>
    <s v="MONCHON BARGUATAIRE D50"/>
    <s v="UN"/>
    <n v="2"/>
    <n v="8.5"/>
    <n v="17"/>
    <x v="3"/>
  </r>
  <r>
    <s v="007"/>
    <s v="PR01"/>
    <s v="812MON005"/>
    <s v="MONCHON BARGUATAIRE D25"/>
    <s v="UN"/>
    <n v="5"/>
    <n v="3.7376999999999998"/>
    <n v="18.688499999999998"/>
    <x v="3"/>
  </r>
  <r>
    <s v="007"/>
    <s v="PR01"/>
    <s v="812MON006"/>
    <s v="MONCHON GALVA 1+1/2&quot;"/>
    <s v="UN"/>
    <n v="3"/>
    <n v="2.9015151515151514"/>
    <n v="8.7045454545454533"/>
    <x v="3"/>
  </r>
  <r>
    <s v="007"/>
    <s v="PR01"/>
    <s v="812MON008"/>
    <s v="MONCHON Galva 26*34"/>
    <s v="UN"/>
    <n v="10"/>
    <n v="2.448"/>
    <n v="24.48"/>
    <x v="3"/>
  </r>
  <r>
    <s v="007"/>
    <s v="PR01"/>
    <s v="812MON014"/>
    <s v="MONCHON PPR D75"/>
    <s v="UN"/>
    <n v="1"/>
    <n v="11.22"/>
    <n v="11.22"/>
    <x v="3"/>
  </r>
  <r>
    <s v="007"/>
    <s v="PR01"/>
    <s v="812MON026"/>
    <s v="MONCHON BARGUATAIRE D63"/>
    <s v="UN"/>
    <n v="2"/>
    <n v="8.8308"/>
    <n v="17.6616"/>
    <x v="3"/>
  </r>
  <r>
    <s v="007"/>
    <s v="PR01"/>
    <s v="812MON034"/>
    <s v="MONCHON PVC PR D160"/>
    <s v="UN"/>
    <n v="1"/>
    <n v="37.822742857142863"/>
    <n v="37.822742857142863"/>
    <x v="3"/>
  </r>
  <r>
    <s v="007"/>
    <s v="PR01"/>
    <s v="812MON035"/>
    <s v="Monchon INOX D25"/>
    <s v="UN"/>
    <n v="1"/>
    <n v="40.950000000000003"/>
    <n v="40.950000000000003"/>
    <x v="3"/>
  </r>
  <r>
    <s v="007"/>
    <s v="PR01"/>
    <s v="812MON036"/>
    <s v="MONCHON GALVA Femelle 3/8"/>
    <s v="UN"/>
    <n v="2"/>
    <n v="2.7709999999999999"/>
    <n v="5.5419999999999998"/>
    <x v="3"/>
  </r>
  <r>
    <s v="007"/>
    <s v="PR01"/>
    <s v="812MON039"/>
    <s v="MONCHON PVC PR D110 (4&quot;)"/>
    <s v="UN"/>
    <n v="2"/>
    <n v="16.531649999999999"/>
    <n v="33.063299999999998"/>
    <x v="3"/>
  </r>
  <r>
    <s v="007"/>
    <s v="PR01"/>
    <s v="812MON043"/>
    <s v="MONCHON GALVA 1/8F/1/8F"/>
    <s v="UN"/>
    <n v="10"/>
    <n v="2.0655000000000001"/>
    <n v="20.655000000000001"/>
    <x v="3"/>
  </r>
  <r>
    <s v="007"/>
    <s v="PR01"/>
    <s v="812MON044"/>
    <s v="Monchon Laiton cuivre Fileté 32*3/4&quot; Male"/>
    <s v="UN"/>
    <n v="2"/>
    <n v="2.1383999999999999"/>
    <n v="4.2767999999999997"/>
    <x v="3"/>
  </r>
  <r>
    <s v="007"/>
    <s v="PR01"/>
    <s v="812MON712"/>
    <s v="MONCHON PVC P75"/>
    <s v="UN"/>
    <n v="9"/>
    <n v="4.0460000000000003"/>
    <n v="36.414000000000001"/>
    <x v="3"/>
  </r>
  <r>
    <s v="007"/>
    <s v="PR01"/>
    <s v="812MON713"/>
    <s v="MONCHON PVC PR 40"/>
    <s v="UN"/>
    <n v="16"/>
    <n v="1.153"/>
    <n v="18.448"/>
    <x v="3"/>
  </r>
  <r>
    <s v="007"/>
    <s v="PR01"/>
    <s v="812MON714"/>
    <s v="MONCHON PVC P20"/>
    <s v="UN"/>
    <n v="7"/>
    <n v="0.8075"/>
    <n v="5.6524999999999999"/>
    <x v="3"/>
  </r>
  <r>
    <s v="007"/>
    <s v="PR01"/>
    <s v="812MON716"/>
    <s v="MONCHON PVC P32"/>
    <s v="UN"/>
    <n v="2"/>
    <n v="1.0250999999999999"/>
    <n v="2.0501999999999998"/>
    <x v="3"/>
  </r>
  <r>
    <s v="007"/>
    <s v="PR01"/>
    <s v="812MON718"/>
    <s v="MONCHON PVC PR D63"/>
    <s v="UN"/>
    <n v="6"/>
    <n v="3.103017857142857"/>
    <n v="18.618107142857141"/>
    <x v="3"/>
  </r>
  <r>
    <s v="007"/>
    <s v="PR01"/>
    <s v="812MON720"/>
    <s v="MONCHON Galva15/21"/>
    <s v="UN"/>
    <n v="39"/>
    <n v="0.63154999999999994"/>
    <n v="24.630449999999996"/>
    <x v="3"/>
  </r>
  <r>
    <s v="007"/>
    <s v="PR01"/>
    <s v="812MON721"/>
    <s v="MONCHON Galva20/27"/>
    <s v="UN"/>
    <n v="13"/>
    <n v="2.3913333333333338"/>
    <n v="31.087333333333341"/>
    <x v="3"/>
  </r>
  <r>
    <s v="007"/>
    <s v="PR01"/>
    <s v="812mon725"/>
    <s v="Monchon Galva 2&quot;"/>
    <s v="UN"/>
    <n v="34"/>
    <n v="6.7829999999999995"/>
    <n v="230.62199999999999"/>
    <x v="3"/>
  </r>
  <r>
    <s v="007"/>
    <s v="PR01"/>
    <s v="812RAC004"/>
    <s v="RACCORD  3 P PVC  D40"/>
    <s v="UN"/>
    <n v="2"/>
    <n v="9.9719999999999995"/>
    <n v="19.943999999999999"/>
    <x v="3"/>
  </r>
  <r>
    <s v="007"/>
    <s v="PR01"/>
    <s v="812RAC007"/>
    <s v="Raccord 3 piéces PR  D50 PVC"/>
    <s v="UN"/>
    <n v="5"/>
    <n v="11.917"/>
    <n v="59.585000000000001"/>
    <x v="3"/>
  </r>
  <r>
    <s v="007"/>
    <s v="PR01"/>
    <s v="812RAC008"/>
    <s v="raccord bargataire FEMELLE D32/20"/>
    <s v="UN"/>
    <n v="4"/>
    <n v="3.2937500000000002"/>
    <n v="13.175000000000001"/>
    <x v="3"/>
  </r>
  <r>
    <s v="007"/>
    <s v="PR01"/>
    <s v="812RAC014"/>
    <s v="RACCORD  MALE-FEMELLE 1/8"/>
    <s v="UN"/>
    <n v="25"/>
    <n v="6.85"/>
    <n v="171.25"/>
    <x v="3"/>
  </r>
  <r>
    <s v="007"/>
    <s v="PR01"/>
    <s v="812RAC015"/>
    <s v="RACCORD Union Egale 10/10"/>
    <s v="UN"/>
    <n v="7"/>
    <n v="2.7899999999999996"/>
    <n v="19.529999999999998"/>
    <x v="3"/>
  </r>
  <r>
    <s v="007"/>
    <s v="PR01"/>
    <s v="812RAC016"/>
    <s v="RACCORD DROIT 10*1/8"/>
    <s v="UN"/>
    <n v="37"/>
    <n v="3.8079999999999998"/>
    <n v="140.89599999999999"/>
    <x v="3"/>
  </r>
  <r>
    <s v="007"/>
    <s v="PR01"/>
    <s v="812RAC018"/>
    <s v="RACCORD TE FILTE 06*1/4"/>
    <s v="UN"/>
    <n v="5"/>
    <n v="8.264325358851675"/>
    <n v="41.321626794258378"/>
    <x v="3"/>
  </r>
  <r>
    <s v="007"/>
    <s v="PR01"/>
    <s v="812RAC019"/>
    <s v="RACCORD RAPIDE COUDE 8*1/2"/>
    <s v="UN"/>
    <n v="25"/>
    <n v="3.3299999999999996"/>
    <n v="83.249999999999986"/>
    <x v="3"/>
  </r>
  <r>
    <s v="007"/>
    <s v="PR01"/>
    <s v="812RAC020"/>
    <s v="RACCORD DROIT 8*3/8"/>
    <s v="UN"/>
    <n v="40"/>
    <n v="3.298"/>
    <n v="131.92000000000002"/>
    <x v="3"/>
  </r>
  <r>
    <s v="007"/>
    <s v="PR01"/>
    <s v="812RAC021"/>
    <s v="RACCORD DROIT 6*3/8"/>
    <s v="UN"/>
    <n v="43"/>
    <n v="4.0205000000000002"/>
    <n v="172.88150000000002"/>
    <x v="3"/>
  </r>
  <r>
    <s v="007"/>
    <s v="PR01"/>
    <s v="812RAC022"/>
    <s v="RACCORD COUDE 6*1/4"/>
    <s v="UN"/>
    <n v="27"/>
    <n v="2.6549999999999998"/>
    <n v="71.684999999999988"/>
    <x v="3"/>
  </r>
  <r>
    <s v="007"/>
    <s v="PR01"/>
    <s v="812RAC023"/>
    <s v="RACCORD COUDE MALE FEMELLE 1/4-1/8"/>
    <s v="UN"/>
    <n v="70"/>
    <n v="4.8150000000000004"/>
    <n v="337.05"/>
    <x v="3"/>
  </r>
  <r>
    <s v="007"/>
    <s v="PR01"/>
    <s v="812RAC024"/>
    <s v="RACCORD RAPIDE COUDE 4*1/4"/>
    <s v="UN"/>
    <n v="51"/>
    <n v="1.7100000000000002"/>
    <n v="87.210000000000008"/>
    <x v="3"/>
  </r>
  <r>
    <s v="007"/>
    <s v="PR01"/>
    <s v="812RAC025"/>
    <s v="RACCORD DROIT4*1/4"/>
    <s v="UN"/>
    <n v="28"/>
    <n v="1.7100000000000002"/>
    <n v="47.88"/>
    <x v="3"/>
  </r>
  <r>
    <s v="007"/>
    <s v="PR01"/>
    <s v="812RAC026"/>
    <s v="RACCORD RAPIDE COUDE4*1/16"/>
    <s v="UN"/>
    <n v="55"/>
    <n v="2.7879999999999998"/>
    <n v="153.34"/>
    <x v="3"/>
  </r>
  <r>
    <s v="007"/>
    <s v="PR01"/>
    <s v="812RAC029"/>
    <s v="RACCORD DROIT 12*1/4"/>
    <s v="UN"/>
    <n v="10"/>
    <n v="7.2479626957759846"/>
    <n v="72.479626957759848"/>
    <x v="3"/>
  </r>
  <r>
    <s v="007"/>
    <s v="PR01"/>
    <s v="812RAC030"/>
    <s v="REDUCTION DROIT MALE 1/4 FEMELLE 1/8"/>
    <s v="UN"/>
    <n v="12"/>
    <n v="1.5299999999999998"/>
    <n v="18.36"/>
    <x v="3"/>
  </r>
  <r>
    <s v="007"/>
    <s v="PR01"/>
    <s v="812RAC031"/>
    <s v="TE 08*1/4"/>
    <s v="UN"/>
    <n v="7"/>
    <n v="13.428499999999998"/>
    <n v="93.999499999999983"/>
    <x v="3"/>
  </r>
  <r>
    <s v="007"/>
    <s v="PR01"/>
    <s v="812RAC039"/>
    <s v="RACCORD DROIT 12*1/8"/>
    <s v="UN"/>
    <n v="17"/>
    <n v="5.5250000000000004"/>
    <n v="93.925000000000011"/>
    <x v="3"/>
  </r>
  <r>
    <s v="007"/>
    <s v="PR01"/>
    <s v="812RAC042"/>
    <s v="SILENCIEUX G1/4&quot;"/>
    <s v="UN"/>
    <n v="19"/>
    <n v="2.3111666666666668"/>
    <n v="43.912166666666671"/>
    <x v="3"/>
  </r>
  <r>
    <s v="007"/>
    <s v="PR01"/>
    <s v="812RAC043"/>
    <s v="Connecteur Bobine Electrovanne avec voyant"/>
    <s v="UN"/>
    <n v="3"/>
    <n v="11.475"/>
    <n v="34.424999999999997"/>
    <x v="3"/>
  </r>
  <r>
    <s v="007"/>
    <s v="PR01"/>
    <s v="812RAC052"/>
    <s v="RACCORD DROIT 8*1/8"/>
    <s v="UN"/>
    <n v="36"/>
    <n v="2.7454999999999998"/>
    <n v="98.837999999999994"/>
    <x v="3"/>
  </r>
  <r>
    <s v="007"/>
    <s v="PR01"/>
    <s v="812RAC055"/>
    <s v="RACCORD DROIT 6*1/16"/>
    <s v="UN"/>
    <n v="44"/>
    <n v="2.7879999999999998"/>
    <n v="122.672"/>
    <x v="3"/>
  </r>
  <r>
    <s v="007"/>
    <s v="PR01"/>
    <s v="812RAC056"/>
    <s v="RACCORD DROIT 6*1/8"/>
    <s v="UN"/>
    <n v="38"/>
    <n v="2.7"/>
    <n v="102.60000000000001"/>
    <x v="3"/>
  </r>
  <r>
    <s v="007"/>
    <s v="PR01"/>
    <s v="812RAC057"/>
    <s v="RACCORD DROIT 6*1/4"/>
    <s v="UN"/>
    <n v="44"/>
    <n v="2.8220000000000001"/>
    <n v="124.16800000000001"/>
    <x v="3"/>
  </r>
  <r>
    <s v="007"/>
    <s v="PR01"/>
    <s v="812RAC058"/>
    <s v="RACCORD COUDEE 6*1/16"/>
    <s v="UN"/>
    <n v="38"/>
    <n v="2.61"/>
    <n v="99.179999999999993"/>
    <x v="3"/>
  </r>
  <r>
    <s v="007"/>
    <s v="PR01"/>
    <s v="812RAC059"/>
    <s v="RACCORD COUDEE 6*1/8"/>
    <s v="UN"/>
    <n v="5"/>
    <n v="3.0855000000000001"/>
    <n v="15.4275"/>
    <x v="3"/>
  </r>
  <r>
    <s v="007"/>
    <s v="PR01"/>
    <s v="812RAC062"/>
    <s v="RACCORD DROIT 4*1/16"/>
    <s v="UN"/>
    <n v="32"/>
    <n v="2.7029999999999998"/>
    <n v="86.495999999999995"/>
    <x v="3"/>
  </r>
  <r>
    <s v="007"/>
    <s v="PR01"/>
    <s v="812RAC064"/>
    <s v="Raccord coudée 8*1/4"/>
    <s v="UN"/>
    <n v="20"/>
    <n v="3.383"/>
    <n v="67.66"/>
    <x v="3"/>
  </r>
  <r>
    <s v="007"/>
    <s v="PR01"/>
    <s v="812RAC082"/>
    <s v="Raccord Egale 12/12"/>
    <s v="UN"/>
    <n v="34"/>
    <n v="3.2980000000000005"/>
    <n v="112.13200000000002"/>
    <x v="3"/>
  </r>
  <r>
    <s v="007"/>
    <s v="PR01"/>
    <s v="812RAC087"/>
    <s v="Raccord inegale 08/10"/>
    <s v="UN"/>
    <n v="54"/>
    <n v="3.077"/>
    <n v="166.15799999999999"/>
    <x v="3"/>
  </r>
  <r>
    <s v="007"/>
    <s v="PR01"/>
    <s v="812RAC088"/>
    <s v="Raccord droit 10/12"/>
    <s v="UN"/>
    <n v="2"/>
    <n v="3.57"/>
    <n v="7.14"/>
    <x v="3"/>
  </r>
  <r>
    <s v="007"/>
    <s v="PR01"/>
    <s v="812RAC089"/>
    <s v="Raccord bargataire D90"/>
    <s v="UN"/>
    <n v="2"/>
    <n v="8.75"/>
    <n v="17.5"/>
    <x v="3"/>
  </r>
  <r>
    <s v="007"/>
    <s v="PR01"/>
    <s v="812RAC093"/>
    <s v="Raccord connecteur TE D04   Filté"/>
    <s v="UN"/>
    <n v="5"/>
    <n v="0"/>
    <n v="0"/>
    <x v="3"/>
  </r>
  <r>
    <s v="007"/>
    <s v="PR01"/>
    <s v="812RAC112"/>
    <s v="Raccord A olive laiton 1/4&quot; *8   Moule"/>
    <s v="UN"/>
    <n v="43"/>
    <n v="4.5"/>
    <n v="193.5"/>
    <x v="3"/>
  </r>
  <r>
    <s v="007"/>
    <s v="PR01"/>
    <s v="812RAC120"/>
    <s v="Raccord Bargataire  D63 FEMELLE"/>
    <s v="UN"/>
    <n v="6"/>
    <n v="14.757300000000001"/>
    <n v="88.543800000000005"/>
    <x v="3"/>
  </r>
  <r>
    <s v="007"/>
    <s v="PR01"/>
    <s v="812RAC123"/>
    <s v="RACCORD COUDEE 12*1/8"/>
    <s v="UN"/>
    <n v="18"/>
    <n v="7.4969999999999999"/>
    <n v="134.946"/>
    <x v="3"/>
  </r>
  <r>
    <s v="007"/>
    <s v="PR01"/>
    <s v="812RAC194"/>
    <s v="Raccord Multiple QSQ-8-6 Lignes Montage"/>
    <s v="UN"/>
    <n v="5"/>
    <n v="15.581"/>
    <n v="77.905000000000001"/>
    <x v="3"/>
  </r>
  <r>
    <s v="007"/>
    <s v="PR01"/>
    <s v="812RAC195"/>
    <s v="Bouchon Raccord Multiple M6 QSQ-8-6"/>
    <s v="UN"/>
    <n v="21"/>
    <n v="2.61"/>
    <n v="54.809999999999995"/>
    <x v="3"/>
  </r>
  <r>
    <s v="007"/>
    <s v="PR01"/>
    <s v="812RAC203"/>
    <s v="Raccord rapide coudée M8*3/8"/>
    <s v="UN"/>
    <n v="23"/>
    <n v="8.2278000000000002"/>
    <n v="189.23940000000002"/>
    <x v="3"/>
  </r>
  <r>
    <s v="007"/>
    <s v="PR01"/>
    <s v="812RAC207"/>
    <s v="SILENCIEUX G3/8&quot;"/>
    <s v="UN"/>
    <n v="8"/>
    <n v="2.7040000000000002"/>
    <n v="21.632000000000001"/>
    <x v="3"/>
  </r>
  <r>
    <s v="007"/>
    <s v="PR01"/>
    <s v="812RAC209"/>
    <s v="Adaptateur HYD MM DN 3/4"/>
    <s v="UN"/>
    <n v="4"/>
    <n v="11.699999999999998"/>
    <n v="46.79999999999999"/>
    <x v="3"/>
  </r>
  <r>
    <s v="007"/>
    <s v="PR01"/>
    <s v="812RAC221"/>
    <s v="RACCORD COUDE 10*1/8"/>
    <s v="UN"/>
    <n v="26"/>
    <n v="3.0179999999999998"/>
    <n v="78.467999999999989"/>
    <x v="3"/>
  </r>
  <r>
    <s v="007"/>
    <s v="PR01"/>
    <s v="812RAC222"/>
    <s v="RACCORD COUDE 10*1/4"/>
    <s v="UN"/>
    <n v="15"/>
    <n v="4.08"/>
    <n v="61.2"/>
    <x v="3"/>
  </r>
  <r>
    <s v="007"/>
    <s v="PR01"/>
    <s v="812RAC223"/>
    <s v="Raccord Bargataire Femelle D50/2&quot;"/>
    <s v="UN"/>
    <n v="1"/>
    <n v="7.2249999999999996"/>
    <n v="7.2249999999999996"/>
    <x v="3"/>
  </r>
  <r>
    <s v="007"/>
    <s v="PR01"/>
    <s v="812RAC226"/>
    <s v="Bouchon Raccord M08"/>
    <s v="UN"/>
    <n v="17"/>
    <n v="1.679"/>
    <n v="28.542999999999999"/>
    <x v="3"/>
  </r>
  <r>
    <s v="007"/>
    <s v="PR01"/>
    <s v="812RAC238"/>
    <s v="Bouchon Raccord M04"/>
    <s v="UN"/>
    <n v="29"/>
    <n v="1.1729999999999998"/>
    <n v="34.016999999999996"/>
    <x v="3"/>
  </r>
  <r>
    <s v="007"/>
    <s v="PR01"/>
    <s v="812RAC239"/>
    <s v="Bouchon Raccord M10"/>
    <s v="UN"/>
    <n v="30"/>
    <n v="1.6872499999999999"/>
    <n v="50.6175"/>
    <x v="3"/>
  </r>
  <r>
    <s v="007"/>
    <s v="PR01"/>
    <s v="812RAC589"/>
    <s v="Raccord rapide avec limiteur10*1/4"/>
    <s v="UN"/>
    <n v="15"/>
    <n v="14.025"/>
    <n v="210.375"/>
    <x v="3"/>
  </r>
  <r>
    <s v="007"/>
    <s v="PR01"/>
    <s v="812RAC592"/>
    <s v="Raccord rapide avec limiteur6*1/8"/>
    <s v="UN"/>
    <n v="6"/>
    <n v="15.3"/>
    <n v="91.800000000000011"/>
    <x v="3"/>
  </r>
  <r>
    <s v="007"/>
    <s v="PR01"/>
    <s v="812RAC596"/>
    <s v="Raccord rapide 04-04"/>
    <s v="UN"/>
    <n v="34"/>
    <n v="1.6830000000000001"/>
    <n v="57.222000000000001"/>
    <x v="3"/>
  </r>
  <r>
    <s v="007"/>
    <s v="PR01"/>
    <s v="812RAC597"/>
    <s v="RACCORD Egale 06/06"/>
    <s v="UN"/>
    <n v="87"/>
    <n v="1.9935000000000003"/>
    <n v="173.43450000000001"/>
    <x v="3"/>
  </r>
  <r>
    <s v="007"/>
    <s v="PR01"/>
    <s v="812RAC598"/>
    <s v="Raccord Egale 8/8"/>
    <s v="UN"/>
    <n v="27"/>
    <n v="2.8834363636363638"/>
    <n v="77.852781818181825"/>
    <x v="3"/>
  </r>
  <r>
    <s v="007"/>
    <s v="PR01"/>
    <s v="812RAC600"/>
    <s v="Raccord droit 12*3/8"/>
    <s v="UN"/>
    <n v="17"/>
    <n v="5.4660000000000002"/>
    <n v="92.921999999999997"/>
    <x v="3"/>
  </r>
  <r>
    <s v="007"/>
    <s v="PR01"/>
    <s v="812RAC728"/>
    <s v="raccord 3P Galva 20/27"/>
    <s v="UN"/>
    <n v="5"/>
    <n v="4.5022500000000001"/>
    <n v="22.51125"/>
    <x v="3"/>
  </r>
  <r>
    <s v="007"/>
    <s v="PR01"/>
    <s v="812RAC730"/>
    <s v="raccord 3 péicé Galva15/21"/>
    <s v="UN"/>
    <n v="4"/>
    <n v="9.7188999999999997"/>
    <n v="38.875599999999999"/>
    <x v="3"/>
  </r>
  <r>
    <s v="007"/>
    <s v="PR01"/>
    <s v="812rac741"/>
    <s v="RACCORD DROIT D10 G1/2"/>
    <s v="UN"/>
    <n v="24"/>
    <n v="4.93"/>
    <n v="118.32"/>
    <x v="3"/>
  </r>
  <r>
    <s v="007"/>
    <s v="PR01"/>
    <s v="812rac748"/>
    <s v="Raccord droit 04*1/8"/>
    <s v="UN"/>
    <n v="39"/>
    <n v="1.848857142857143"/>
    <n v="72.105428571428575"/>
    <x v="3"/>
  </r>
  <r>
    <s v="007"/>
    <s v="PR01"/>
    <s v="812rac749"/>
    <s v="Raccord pneumt coudée 04*1/8"/>
    <s v="UN"/>
    <n v="19"/>
    <n v="2.2440000000000002"/>
    <n v="42.636000000000003"/>
    <x v="3"/>
  </r>
  <r>
    <s v="007"/>
    <s v="PR01"/>
    <s v="812rac750"/>
    <s v="Raccord droit 10*1/4"/>
    <s v="UN"/>
    <n v="39"/>
    <n v="3.6"/>
    <n v="140.4"/>
    <x v="3"/>
  </r>
  <r>
    <s v="007"/>
    <s v="PR01"/>
    <s v="812red007"/>
    <s v="REDUCTION PVC 140/125"/>
    <s v="UN"/>
    <n v="1"/>
    <n v="6.2409999999999997"/>
    <n v="6.2409999999999997"/>
    <x v="3"/>
  </r>
  <r>
    <s v="007"/>
    <s v="PR01"/>
    <s v="812RED010"/>
    <s v="REDUCTION GALVA 1&quot;1/4--&gt;1&quot;"/>
    <s v="UN"/>
    <n v="6"/>
    <n v="3.032"/>
    <n v="18.192"/>
    <x v="3"/>
  </r>
  <r>
    <s v="007"/>
    <s v="PR01"/>
    <s v="812RED013"/>
    <s v="Réduction Galva 1&quot;1/2--1&quot;"/>
    <s v="UN"/>
    <n v="1"/>
    <n v="2.9"/>
    <n v="2.9"/>
    <x v="3"/>
  </r>
  <r>
    <s v="007"/>
    <s v="PR01"/>
    <s v="812RED014"/>
    <s v="Réduction Galva 26/34 -&gt; 20/27 M/F"/>
    <s v="UN"/>
    <n v="1"/>
    <n v="2.17"/>
    <n v="2.17"/>
    <x v="3"/>
  </r>
  <r>
    <s v="007"/>
    <s v="PR01"/>
    <s v="812RED026"/>
    <s v="Reduction Galva 1&quot;---1/2&quot;"/>
    <s v="UN"/>
    <n v="5"/>
    <n v="1.83"/>
    <n v="9.15"/>
    <x v="3"/>
  </r>
  <r>
    <s v="007"/>
    <s v="PR01"/>
    <s v="812RED027"/>
    <s v="Reduction PVC PR 50/32"/>
    <s v="UN"/>
    <n v="9"/>
    <n v="1.472"/>
    <n v="13.247999999999999"/>
    <x v="3"/>
  </r>
  <r>
    <s v="007"/>
    <s v="PR01"/>
    <s v="812RED046"/>
    <s v="Reduction PVC PR 40/25"/>
    <s v="UN"/>
    <n v="8"/>
    <n v="1.2078500000000001"/>
    <n v="9.6628000000000007"/>
    <x v="3"/>
  </r>
  <r>
    <s v="007"/>
    <s v="PR01"/>
    <s v="812RED049"/>
    <s v="Reduction Galva 2&quot;1/2--1&quot;1/2"/>
    <s v="UN"/>
    <n v="2"/>
    <n v="10.659000000000001"/>
    <n v="21.318000000000001"/>
    <x v="3"/>
  </r>
  <r>
    <s v="007"/>
    <s v="PR01"/>
    <s v="812RED060"/>
    <s v="Reduction PVC PR 110/63 (4&quot;/2&quot;)"/>
    <s v="UN"/>
    <n v="12"/>
    <n v="11.33095"/>
    <n v="135.97139999999999"/>
    <x v="3"/>
  </r>
  <r>
    <s v="007"/>
    <s v="PR01"/>
    <s v="812RED066"/>
    <s v="Réduction PPR 75/63"/>
    <s v="UN"/>
    <n v="1"/>
    <n v="8.9250000000000007"/>
    <n v="8.9250000000000007"/>
    <x v="3"/>
  </r>
  <r>
    <s v="007"/>
    <s v="PR01"/>
    <s v="812RED073"/>
    <s v="Reduction GALVA 1/4F/3/8M"/>
    <s v="UN"/>
    <n v="99"/>
    <n v="2.2440000000000002"/>
    <n v="222.15600000000003"/>
    <x v="3"/>
  </r>
  <r>
    <s v="007"/>
    <s v="PR01"/>
    <s v="812RED606"/>
    <s v="Raccord Inegale 10/06"/>
    <s v="UN"/>
    <n v="9"/>
    <n v="3.927"/>
    <n v="35.343000000000004"/>
    <x v="3"/>
  </r>
  <r>
    <s v="007"/>
    <s v="PR01"/>
    <s v="812RED608"/>
    <s v="réduction08/12"/>
    <s v="UN"/>
    <n v="16"/>
    <n v="3.5829"/>
    <n v="57.3264"/>
    <x v="3"/>
  </r>
  <r>
    <s v="007"/>
    <s v="PR01"/>
    <s v="812RED700"/>
    <s v="Réduction PVC63/50"/>
    <s v="UN"/>
    <n v="2"/>
    <n v="2.0278500000000004"/>
    <n v="4.0557000000000007"/>
    <x v="3"/>
  </r>
  <r>
    <s v="007"/>
    <s v="PR01"/>
    <s v="812RED701"/>
    <s v="Réduction PVC110/75"/>
    <s v="UN"/>
    <n v="5"/>
    <n v="0.42499999999999999"/>
    <n v="2.125"/>
    <x v="3"/>
  </r>
  <r>
    <s v="007"/>
    <s v="PR01"/>
    <s v="812RED702"/>
    <s v="Réduction PVC PR 50/40"/>
    <s v="UN"/>
    <n v="8"/>
    <n v="1.852153846153846"/>
    <n v="14.817230769230768"/>
    <x v="3"/>
  </r>
  <r>
    <s v="007"/>
    <s v="PR01"/>
    <s v="812RED703"/>
    <s v="Réduction PVC PR 40/32"/>
    <s v="UN"/>
    <n v="7"/>
    <n v="1.4553636363636364"/>
    <n v="10.187545454545456"/>
    <x v="3"/>
  </r>
  <r>
    <s v="007"/>
    <s v="PR01"/>
    <s v="812RED704"/>
    <s v="Réduction PVC32/25"/>
    <s v="UN"/>
    <n v="7"/>
    <n v="0.97240000000000004"/>
    <n v="6.8068"/>
    <x v="3"/>
  </r>
  <r>
    <s v="007"/>
    <s v="PR01"/>
    <s v="812RED713"/>
    <s v="Réduction PVC PR 63/40"/>
    <s v="UN"/>
    <n v="8"/>
    <n v="2.7130000000000001"/>
    <n v="21.704000000000001"/>
    <x v="3"/>
  </r>
  <r>
    <s v="007"/>
    <s v="PR01"/>
    <s v="812RED715"/>
    <s v="Réduction NOIR 1'1/4---3/4"/>
    <s v="UN"/>
    <n v="3"/>
    <n v="0.42499999999999999"/>
    <n v="1.2749999999999999"/>
    <x v="3"/>
  </r>
  <r>
    <s v="007"/>
    <s v="PR01"/>
    <s v="812TTE002"/>
    <s v="TE D25 BARGATAIRE"/>
    <s v="UN"/>
    <n v="3"/>
    <n v="4.0999999999999996"/>
    <n v="12.299999999999999"/>
    <x v="3"/>
  </r>
  <r>
    <s v="007"/>
    <s v="PR01"/>
    <s v="812tte004"/>
    <s v="TE PVC D100"/>
    <s v="UN"/>
    <n v="17"/>
    <n v="3.5"/>
    <n v="59.5"/>
    <x v="3"/>
  </r>
  <r>
    <s v="007"/>
    <s v="PR01"/>
    <s v="812TTE007"/>
    <s v="TE 20/27 GALVA"/>
    <s v="UN"/>
    <n v="4"/>
    <n v="3.0479482142857139"/>
    <n v="12.191792857142856"/>
    <x v="3"/>
  </r>
  <r>
    <s v="007"/>
    <s v="PR01"/>
    <s v="812TTE010"/>
    <s v="TE 15/21 ACIER"/>
    <s v="UN"/>
    <n v="9"/>
    <n v="1.6575"/>
    <n v="14.9175"/>
    <x v="3"/>
  </r>
  <r>
    <s v="007"/>
    <s v="PR01"/>
    <s v="812TTE013"/>
    <s v="TE PVC  P D63"/>
    <s v="UN"/>
    <n v="6"/>
    <n v="4.375"/>
    <n v="26.25"/>
    <x v="3"/>
  </r>
  <r>
    <s v="007"/>
    <s v="PR01"/>
    <s v="812TTE024"/>
    <s v="TE PVC D160"/>
    <s v="UN"/>
    <n v="4"/>
    <n v="15.5799"/>
    <n v="62.319600000000001"/>
    <x v="3"/>
  </r>
  <r>
    <s v="007"/>
    <s v="PR01"/>
    <s v="812TTE026"/>
    <s v="TE 20/27 NOIR"/>
    <s v="UN"/>
    <n v="1"/>
    <n v="4.6154999999999999"/>
    <n v="4.6154999999999999"/>
    <x v="3"/>
  </r>
  <r>
    <s v="007"/>
    <s v="PR01"/>
    <s v="812TTE027"/>
    <s v="TE 15/21 Noir"/>
    <s v="UN"/>
    <n v="1"/>
    <n v="1.6575"/>
    <n v="1.6575"/>
    <x v="3"/>
  </r>
  <r>
    <s v="007"/>
    <s v="PR01"/>
    <s v="812TTE035"/>
    <s v="TE PVC D110"/>
    <s v="UN"/>
    <n v="14"/>
    <n v="33.090700000000005"/>
    <n v="463.26980000000009"/>
    <x v="3"/>
  </r>
  <r>
    <s v="007"/>
    <s v="PR01"/>
    <s v="812TTE036"/>
    <s v="TE Galva D1/2&quot; (15/21)"/>
    <s v="UN"/>
    <n v="9"/>
    <n v="1.742"/>
    <n v="15.678000000000001"/>
    <x v="3"/>
  </r>
  <r>
    <s v="007"/>
    <s v="PR01"/>
    <s v="812TTE043"/>
    <s v="TE BARGATAIRE D50"/>
    <s v="UN"/>
    <n v="1"/>
    <n v="15.028"/>
    <n v="15.028"/>
    <x v="3"/>
  </r>
  <r>
    <s v="007"/>
    <s v="PR01"/>
    <s v="812TTE049"/>
    <s v="TE Laiton  1&quot;1/2"/>
    <s v="UN"/>
    <n v="4"/>
    <n v="24.788016666666664"/>
    <n v="99.152066666666656"/>
    <x v="3"/>
  </r>
  <r>
    <s v="007"/>
    <s v="PR01"/>
    <s v="812TTE051"/>
    <s v="TE INOX  2&quot; 1/2&quot;"/>
    <s v="UN"/>
    <n v="1"/>
    <n v="68.781999999999996"/>
    <n v="68.781999999999996"/>
    <x v="3"/>
  </r>
  <r>
    <s v="007"/>
    <s v="PR01"/>
    <s v="812TTE052"/>
    <s v="TE Laiton F/F 20/27"/>
    <s v="UN"/>
    <n v="1"/>
    <n v="6.0804"/>
    <n v="6.0804"/>
    <x v="3"/>
  </r>
  <r>
    <s v="007"/>
    <s v="PR01"/>
    <s v="812TTE058"/>
    <s v="T PVC PR D50*20"/>
    <s v="UN"/>
    <n v="1"/>
    <n v="8.9250000000000007"/>
    <n v="8.9250000000000007"/>
    <x v="3"/>
  </r>
  <r>
    <s v="007"/>
    <s v="PR01"/>
    <s v="812TTE615"/>
    <s v="Te04 pneumatique"/>
    <s v="UN"/>
    <n v="13"/>
    <n v="5.1802306451612896"/>
    <n v="67.34299838709677"/>
    <x v="3"/>
  </r>
  <r>
    <s v="007"/>
    <s v="PR01"/>
    <s v="812TTE616"/>
    <s v="Te06 pneumatique"/>
    <s v="UN"/>
    <n v="95"/>
    <n v="2.7116999999999996"/>
    <n v="257.61149999999998"/>
    <x v="3"/>
  </r>
  <r>
    <s v="007"/>
    <s v="PR01"/>
    <s v="812TTE617"/>
    <s v="Te08 pneumatique"/>
    <s v="UN"/>
    <n v="50"/>
    <n v="2.3933750000000003"/>
    <n v="119.66875000000002"/>
    <x v="3"/>
  </r>
  <r>
    <s v="007"/>
    <s v="PR01"/>
    <s v="812TTE618"/>
    <s v="Te10 pneumatique"/>
    <s v="UN"/>
    <n v="12"/>
    <n v="5.2429499999999996"/>
    <n v="62.915399999999991"/>
    <x v="3"/>
  </r>
  <r>
    <s v="007"/>
    <s v="PR01"/>
    <s v="812TTE619"/>
    <s v="Te12 pneumatique"/>
    <s v="UN"/>
    <n v="12"/>
    <n v="8.2799999999999994"/>
    <n v="99.359999999999985"/>
    <x v="3"/>
  </r>
  <r>
    <s v="007"/>
    <s v="PR01"/>
    <s v="812TTE664"/>
    <s v="T PVC PR D50"/>
    <s v="UN"/>
    <n v="2"/>
    <n v="4.8340857142857141"/>
    <n v="9.6681714285714282"/>
    <x v="3"/>
  </r>
  <r>
    <s v="007"/>
    <s v="PR01"/>
    <s v="812TTE667"/>
    <s v="TE PVC Pression D40 (1&quot;1/4)"/>
    <s v="UN"/>
    <n v="2"/>
    <n v="3.044"/>
    <n v="6.0880000000000001"/>
    <x v="3"/>
  </r>
  <r>
    <s v="007"/>
    <s v="PR01"/>
    <s v="812TTE668"/>
    <s v="T PVC P32"/>
    <s v="UN"/>
    <n v="9"/>
    <n v="2.4782999999999999"/>
    <n v="22.3047"/>
    <x v="3"/>
  </r>
  <r>
    <s v="007"/>
    <s v="PR01"/>
    <s v="812TTE669"/>
    <s v="T PVC P75"/>
    <s v="UN"/>
    <n v="38"/>
    <n v="11.231999999999999"/>
    <n v="426.81599999999997"/>
    <x v="3"/>
  </r>
  <r>
    <s v="007"/>
    <s v="PR01"/>
    <s v="812TUB001"/>
    <s v="TUBE BARGATAIRE D32"/>
    <s v="M"/>
    <n v="40"/>
    <n v="4.2410595238095237"/>
    <n v="169.64238095238096"/>
    <x v="3"/>
  </r>
  <r>
    <s v="007"/>
    <s v="PR01"/>
    <s v="812TUB020"/>
    <s v="Tuyau spiralée D25 ENV SOVEMA"/>
    <s v="M"/>
    <n v="20"/>
    <n v="6.8849999999999998"/>
    <n v="137.69999999999999"/>
    <x v="3"/>
  </r>
  <r>
    <s v="007"/>
    <s v="PR01"/>
    <s v="812TUB027"/>
    <s v="Tube Gorge D25"/>
    <s v="M"/>
    <n v="135"/>
    <n v="0.91969999999999996"/>
    <n v="124.15949999999999"/>
    <x v="3"/>
  </r>
  <r>
    <s v="007"/>
    <s v="PR01"/>
    <s v="812TUB034"/>
    <s v="Tube Spiralee PVC D160"/>
    <s v="M"/>
    <n v="6"/>
    <n v="42.075000000000003"/>
    <n v="252.45000000000002"/>
    <x v="3"/>
  </r>
  <r>
    <s v="007"/>
    <s v="PR01"/>
    <s v="812TUB035"/>
    <s v="Tube Spiralee PVC D120"/>
    <s v="M"/>
    <n v="10"/>
    <n v="34.17"/>
    <n v="341.70000000000005"/>
    <x v="3"/>
  </r>
  <r>
    <s v="007"/>
    <s v="PR01"/>
    <s v="812tub036"/>
    <s v="Tube Spiralee PVC D200"/>
    <s v="M"/>
    <n v="6"/>
    <n v="112.5"/>
    <n v="675"/>
    <x v="3"/>
  </r>
  <r>
    <s v="007"/>
    <s v="PR01"/>
    <s v="812TUB037"/>
    <s v="Tube Spiralee PVC D100"/>
    <s v="M"/>
    <n v="18"/>
    <n v="31.024999999999999"/>
    <n v="558.44999999999993"/>
    <x v="3"/>
  </r>
  <r>
    <s v="007"/>
    <s v="PR01"/>
    <s v="812TUB039"/>
    <s v="Tube Gorge D20"/>
    <s v="M"/>
    <n v="81"/>
    <n v="0.32900000000000001"/>
    <n v="26.649000000000001"/>
    <x v="3"/>
  </r>
  <r>
    <s v="007"/>
    <s v="PR01"/>
    <s v="812TUB046"/>
    <s v="Tube Gorge D32"/>
    <s v="M"/>
    <n v="75"/>
    <n v="0.74250000000000005"/>
    <n v="55.687500000000007"/>
    <x v="3"/>
  </r>
  <r>
    <s v="007"/>
    <s v="PR01"/>
    <s v="812TUB060"/>
    <s v="Tube PVC D250"/>
    <s v="M"/>
    <n v="4"/>
    <n v="34.953000000000003"/>
    <n v="139.81200000000001"/>
    <x v="3"/>
  </r>
  <r>
    <s v="007"/>
    <s v="PR01"/>
    <s v="812TUB642"/>
    <s v="Tube PVC P 40"/>
    <s v="M"/>
    <n v="3"/>
    <n v="10.336499999999999"/>
    <n v="31.009499999999996"/>
    <x v="3"/>
  </r>
  <r>
    <s v="007"/>
    <s v="PR01"/>
    <s v="812TUB651"/>
    <s v="Tube inox a souder 316L D50"/>
    <s v="M"/>
    <n v="2"/>
    <n v="119.779"/>
    <n v="239.55799999999999"/>
    <x v="3"/>
  </r>
  <r>
    <s v="007"/>
    <s v="PR01"/>
    <s v="812VAN003"/>
    <s v="VANNESPHERIQUE 3/4"/>
    <s v="UN"/>
    <n v="4"/>
    <n v="16.4358"/>
    <n v="65.743200000000002"/>
    <x v="3"/>
  </r>
  <r>
    <s v="007"/>
    <s v="PR01"/>
    <s v="812VAN007"/>
    <s v="VANNE GALVA 50"/>
    <s v="UN"/>
    <n v="5"/>
    <n v="10.246"/>
    <n v="51.230000000000004"/>
    <x v="3"/>
  </r>
  <r>
    <s v="007"/>
    <s v="PR01"/>
    <s v="812VAN008"/>
    <s v="VANNE SPHERIQUE 1+1/2&quot;"/>
    <s v="UN"/>
    <n v="6"/>
    <n v="12.023999999999999"/>
    <n v="72.143999999999991"/>
    <x v="3"/>
  </r>
  <r>
    <s v="007"/>
    <s v="PR01"/>
    <s v="812VAN009"/>
    <s v="VANNE GAZ 3&quot; AVEC BRIDE DE FIXATION"/>
    <s v="UN"/>
    <n v="8"/>
    <n v="42.075000000000003"/>
    <n v="336.6"/>
    <x v="3"/>
  </r>
  <r>
    <s v="007"/>
    <s v="PR01"/>
    <s v="812VAN016"/>
    <s v="VANNE GALVA 26-34"/>
    <s v="UN"/>
    <n v="10"/>
    <n v="13.922000000000001"/>
    <n v="139.22"/>
    <x v="3"/>
  </r>
  <r>
    <s v="007"/>
    <s v="PR01"/>
    <s v="812VAN017"/>
    <s v="VANNE 1&quot; 1/4 GALVA"/>
    <s v="UN"/>
    <n v="3"/>
    <n v="30.245999999999999"/>
    <n v="90.738"/>
    <x v="3"/>
  </r>
  <r>
    <s v="007"/>
    <s v="PR01"/>
    <s v="812VAN024"/>
    <s v="VANNE 1&quot; 1/2 GALVA"/>
    <s v="UN"/>
    <n v="5"/>
    <n v="31.045999999999999"/>
    <n v="155.22999999999999"/>
    <x v="3"/>
  </r>
  <r>
    <s v="007"/>
    <s v="PR01"/>
    <s v="812VAN026"/>
    <s v="Vanne PPR D40"/>
    <s v="UN"/>
    <n v="6"/>
    <n v="72.319342105263146"/>
    <n v="433.91605263157885"/>
    <x v="3"/>
  </r>
  <r>
    <s v="007"/>
    <s v="PR01"/>
    <s v="812VAN733"/>
    <s v="vanne Galva15/21"/>
    <s v="UN"/>
    <n v="1"/>
    <n v="6.1020500000000002"/>
    <n v="6.1020500000000002"/>
    <x v="3"/>
  </r>
  <r>
    <s v="007"/>
    <s v="PR01"/>
    <s v="812VAN735"/>
    <s v="Vanne PVC20"/>
    <s v="UN"/>
    <n v="6"/>
    <n v="27.2"/>
    <n v="163.19999999999999"/>
    <x v="3"/>
  </r>
  <r>
    <s v="007"/>
    <s v="PR01"/>
    <s v="812VAN738"/>
    <s v="Vanne PVC PR 40"/>
    <s v="UN"/>
    <n v="3"/>
    <n v="28.732500000000005"/>
    <n v="86.197500000000019"/>
    <x v="3"/>
  </r>
  <r>
    <s v="007"/>
    <s v="PR01"/>
    <s v="812VAN739"/>
    <s v="Vanne PVC PR D50"/>
    <s v="UN"/>
    <n v="6"/>
    <n v="35.191000000000003"/>
    <n v="211.14600000000002"/>
    <x v="3"/>
  </r>
  <r>
    <s v="007"/>
    <s v="PR01"/>
    <s v="812VER001"/>
    <s v="VERIN 1501.32.25  PNEUMAX"/>
    <s v="UN"/>
    <n v="2"/>
    <n v="110.37883333333333"/>
    <n v="220.75766666666667"/>
    <x v="3"/>
  </r>
  <r>
    <s v="007"/>
    <s v="PR01"/>
    <s v="812VER002"/>
    <s v="VERIN D25 COURSE 40"/>
    <s v="UN"/>
    <n v="6"/>
    <n v="141.57864000000001"/>
    <n v="849.47184000000004"/>
    <x v="3"/>
  </r>
  <r>
    <s v="007"/>
    <s v="PR01"/>
    <s v="812ver003"/>
    <s v="Verin 1260.10.10 Porte couvercle"/>
    <s v="UN"/>
    <n v="10"/>
    <n v="102.2805"/>
    <n v="1022.8050000000001"/>
    <x v="3"/>
  </r>
  <r>
    <s v="007"/>
    <s v="PR01"/>
    <s v="812VER005"/>
    <s v="VERIN 1511.80.35 Pompe COS"/>
    <s v="UN"/>
    <n v="6"/>
    <n v="346.16480000000001"/>
    <n v="2076.9888000000001"/>
    <x v="3"/>
  </r>
  <r>
    <s v="007"/>
    <s v="PR01"/>
    <s v="812VER007"/>
    <s v="VERIN D50  C125"/>
    <s v="UN"/>
    <n v="6"/>
    <n v="145"/>
    <n v="870"/>
    <x v="3"/>
  </r>
  <r>
    <s v="007"/>
    <s v="PR01"/>
    <s v="812VER009"/>
    <s v="VERIN D25 COURSE 125"/>
    <s v="UN"/>
    <n v="3"/>
    <n v="181.62799999999999"/>
    <n v="544.88400000000001"/>
    <x v="3"/>
  </r>
  <r>
    <s v="007"/>
    <s v="PR01"/>
    <s v="812VER011"/>
    <s v="PISTON VERIN AIMANTE 80-16-27 NECESSAIRE VERIN D8"/>
    <s v="UN"/>
    <n v="2"/>
    <n v="127.00620000000001"/>
    <n v="254.01240000000001"/>
    <x v="3"/>
  </r>
  <r>
    <s v="007"/>
    <s v="PR01"/>
    <s v="812VER014"/>
    <s v="VERIN 1260.12.15 PNEUMAX"/>
    <s v="UN"/>
    <n v="2"/>
    <n v="93.975999999999999"/>
    <n v="187.952"/>
    <x v="3"/>
  </r>
  <r>
    <s v="007"/>
    <s v="PR01"/>
    <s v="812VER015"/>
    <s v="VERIN 1260.10.15 ENV.PNEUMAX"/>
    <s v="UN"/>
    <n v="1"/>
    <n v="64.261530000000008"/>
    <n v="64.261530000000008"/>
    <x v="3"/>
  </r>
  <r>
    <s v="007"/>
    <s v="PR01"/>
    <s v="812VER016"/>
    <s v="STOP VERIN 3/8 CAMOZZI VBU-3/8 CLAPET.UNIDIRECT"/>
    <s v="UN"/>
    <n v="2"/>
    <n v="89.798400000000001"/>
    <n v="179.5968"/>
    <x v="3"/>
  </r>
  <r>
    <s v="007"/>
    <s v="PR01"/>
    <s v="812VER018"/>
    <s v="VERIN D25 C200 ELBAK"/>
    <s v="UN"/>
    <n v="5"/>
    <n v="176.84310000000002"/>
    <n v="884.21550000000013"/>
    <x v="3"/>
  </r>
  <r>
    <s v="007"/>
    <s v="PR01"/>
    <s v="812VER019"/>
    <s v="ROTULE VERIN M10X1.25"/>
    <s v="UN"/>
    <n v="1"/>
    <n v="44.763299999999994"/>
    <n v="44.763299999999994"/>
    <x v="3"/>
  </r>
  <r>
    <s v="007"/>
    <s v="PR01"/>
    <s v="812VER022"/>
    <s v="Verin 1319.160.150.01 Table principal COS"/>
    <s v="UN"/>
    <n v="1"/>
    <n v="1330.4114999999999"/>
    <n v="1330.4114999999999"/>
    <x v="3"/>
  </r>
  <r>
    <s v="007"/>
    <s v="PR01"/>
    <s v="812VER023"/>
    <s v="Verin D32 C125 S.Bac couvercle"/>
    <s v="UN"/>
    <n v="7"/>
    <n v="129.67784999999998"/>
    <n v="907.74494999999979"/>
    <x v="3"/>
  </r>
  <r>
    <s v="007"/>
    <s v="PR01"/>
    <s v="812VER050"/>
    <s v="Verin 1383.80.250.01 Testeur HRD"/>
    <s v="UN"/>
    <n v="1"/>
    <n v="382.89949999999999"/>
    <n v="382.89949999999999"/>
    <x v="3"/>
  </r>
  <r>
    <s v="007"/>
    <s v="PR01"/>
    <s v="812VER069"/>
    <s v="Verin D50 C20  Airtag CHINOIS"/>
    <s v="UN"/>
    <n v="6"/>
    <n v="0"/>
    <n v="0"/>
    <x v="3"/>
  </r>
  <r>
    <s v="007"/>
    <s v="PR01"/>
    <s v="812VER082"/>
    <s v="Verin 1511.40.05 test etancheite"/>
    <s v="UN"/>
    <n v="2"/>
    <n v="150.75"/>
    <n v="301.5"/>
    <x v="3"/>
  </r>
  <r>
    <s v="007"/>
    <s v="PR01"/>
    <s v="812VER095"/>
    <s v="VERIN D40 C20 1511.40.20 Fourchette COS"/>
    <s v="UN"/>
    <n v="2"/>
    <n v="100.2"/>
    <n v="200.4"/>
    <x v="3"/>
  </r>
  <r>
    <s v="007"/>
    <s v="PR01"/>
    <s v="812VER102"/>
    <s v="Racleur PW 45*53/5/7 Verin Soud Connexion"/>
    <s v="UN"/>
    <n v="4"/>
    <n v="6.9550000000000001"/>
    <n v="27.82"/>
    <x v="3"/>
  </r>
  <r>
    <s v="007"/>
    <s v="PR01"/>
    <s v="812VER103"/>
    <s v="GER 56*45/4.2 Verin Soud Connexion"/>
    <s v="UN"/>
    <n v="2"/>
    <n v="20.553999999999998"/>
    <n v="41.107999999999997"/>
    <x v="3"/>
  </r>
  <r>
    <s v="007"/>
    <s v="PR01"/>
    <s v="812VER104"/>
    <s v="Joint torique 1.78*6.35 Verin Soud Connexion"/>
    <s v="UN"/>
    <n v="8"/>
    <n v="1.173"/>
    <n v="9.3840000000000003"/>
    <x v="3"/>
  </r>
  <r>
    <s v="007"/>
    <s v="PR01"/>
    <s v="812VER105"/>
    <s v="Joint torique 2.62*50.47 Verin Soud Connexion"/>
    <s v="UN"/>
    <n v="4"/>
    <n v="25.009"/>
    <n v="100.036"/>
    <x v="3"/>
  </r>
  <r>
    <s v="007"/>
    <s v="PR01"/>
    <s v="812VER106"/>
    <s v="GIR 45*60.1/6.3 Verin Soud Connexion"/>
    <s v="UN"/>
    <n v="4"/>
    <n v="0.17199999999999999"/>
    <n v="0.68799999999999994"/>
    <x v="3"/>
  </r>
  <r>
    <s v="007"/>
    <s v="PR01"/>
    <s v="812VER107"/>
    <s v="Verin 1501.32.20 panier COS"/>
    <s v="UN"/>
    <n v="10"/>
    <n v="130.82400000000001"/>
    <n v="1308.2400000000002"/>
    <x v="3"/>
  </r>
  <r>
    <s v="007"/>
    <s v="PR01"/>
    <s v="812ver108"/>
    <s v="Joint encastr&amp; pneum 50-13-8  Verin COS3"/>
    <s v="UN"/>
    <n v="2"/>
    <n v="27.27"/>
    <n v="54.54"/>
    <x v="3"/>
  </r>
  <r>
    <s v="007"/>
    <s v="PR01"/>
    <s v="812VER109"/>
    <s v="VERIN 1511.80.15 S.connexion"/>
    <s v="UN"/>
    <n v="2"/>
    <n v="364.49275"/>
    <n v="728.9855"/>
    <x v="3"/>
  </r>
  <r>
    <s v="007"/>
    <s v="PR01"/>
    <s v="812VER110"/>
    <s v="VERIN COMPACT SDA25*20B M.remplissage"/>
    <s v="UN"/>
    <n v="12"/>
    <n v="133.94300000000001"/>
    <n v="1607.3160000000003"/>
    <x v="3"/>
  </r>
  <r>
    <s v="007"/>
    <s v="PR01"/>
    <s v="812VER111"/>
    <s v="Fixation verin 1320.32.05 pneumax"/>
    <s v="UN"/>
    <n v="2"/>
    <n v="19.800999999999998"/>
    <n v="39.601999999999997"/>
    <x v="3"/>
  </r>
  <r>
    <s v="007"/>
    <s v="PR01"/>
    <s v="812VER112"/>
    <s v="Racleur EN NBR 25-35-6/8 VERIN COS"/>
    <s v="UN"/>
    <n v="7"/>
    <n v="9.9990000000000006"/>
    <n v="69.993000000000009"/>
    <x v="3"/>
  </r>
  <r>
    <s v="007"/>
    <s v="PR01"/>
    <s v="812VER113"/>
    <s v="Joint torique EN NBR 70 OR 77.5-2.62 VERIN COS"/>
    <s v="UN"/>
    <n v="6"/>
    <n v="1.7955000000000001"/>
    <n v="10.773"/>
    <x v="3"/>
  </r>
  <r>
    <s v="007"/>
    <s v="PR01"/>
    <s v="812VER114"/>
    <s v="Joint torique EN NBR 70 OR 94.92-2.62 VERIN COS"/>
    <s v="UN"/>
    <n v="8"/>
    <n v="1.5498000000000001"/>
    <n v="12.398400000000001"/>
    <x v="3"/>
  </r>
  <r>
    <s v="007"/>
    <s v="PR01"/>
    <s v="812VER115"/>
    <s v="VERIN 1383.40.350 Rejet batterie S.Connexi"/>
    <s v="UN"/>
    <n v="1"/>
    <n v="327.488"/>
    <n v="327.488"/>
    <x v="3"/>
  </r>
  <r>
    <s v="007"/>
    <s v="PR01"/>
    <s v="812VER117"/>
    <s v="Verin 1320.80.400.01 Centre element COS"/>
    <s v="UN"/>
    <n v="2"/>
    <n v="407.12400000000002"/>
    <n v="814.24800000000005"/>
    <x v="3"/>
  </r>
  <r>
    <s v="007"/>
    <s v="PR01"/>
    <s v="812VER118"/>
    <s v="Verin D25 C150 PMY-7-25-150 Navette ENV ELBAK"/>
    <s v="UN"/>
    <n v="2"/>
    <n v="248.01400000000001"/>
    <n v="496.02800000000002"/>
    <x v="3"/>
  </r>
  <r>
    <s v="007"/>
    <s v="PR01"/>
    <s v="812VER119"/>
    <s v="Verin D100 C350 SBC Huanfa"/>
    <s v="UN"/>
    <n v="1"/>
    <n v="588.6"/>
    <n v="588.6"/>
    <x v="3"/>
  </r>
  <r>
    <s v="007"/>
    <s v="PR01"/>
    <s v="812VER125"/>
    <s v="Verin 1320.80.50.01 (SQ80-50) Table S.Couv"/>
    <s v="UN"/>
    <n v="2"/>
    <n v="281.60500000000002"/>
    <n v="563.21"/>
    <x v="3"/>
  </r>
  <r>
    <s v="007"/>
    <s v="PR01"/>
    <s v="812VER127"/>
    <s v="Stoppeur verin 18/6/4mm M6  Verin panier COS"/>
    <s v="UN"/>
    <n v="30"/>
    <n v="12"/>
    <n v="360"/>
    <x v="3"/>
  </r>
  <r>
    <s v="007"/>
    <s v="PR01"/>
    <s v="812VER128"/>
    <s v="PISTON Verin 100*16*25 verin ejecteur COS"/>
    <s v="UN"/>
    <n v="2"/>
    <n v="38.106999999999999"/>
    <n v="76.213999999999999"/>
    <x v="3"/>
  </r>
  <r>
    <s v="007"/>
    <s v="PR01"/>
    <s v="812VER188"/>
    <s v="VERIN D63 C150 1320.63.150.01"/>
    <s v="UN"/>
    <n v="1"/>
    <n v="193.8015"/>
    <n v="193.8015"/>
    <x v="3"/>
  </r>
  <r>
    <s v="007"/>
    <s v="PR01"/>
    <s v="812VER189"/>
    <s v="ROTULE VERIN FEMELLE M16"/>
    <s v="UN"/>
    <n v="3"/>
    <n v="44.978400000000001"/>
    <n v="134.93520000000001"/>
    <x v="3"/>
  </r>
  <r>
    <s v="007"/>
    <s v="PR01"/>
    <s v="812VER190"/>
    <s v="CHAPE ARRIERE MALE D63"/>
    <s v="UN"/>
    <n v="2"/>
    <n v="24.84"/>
    <n v="49.68"/>
    <x v="3"/>
  </r>
  <r>
    <s v="007"/>
    <s v="PR01"/>
    <s v="812VER191"/>
    <s v="Chape Verin D50"/>
    <s v="UN"/>
    <n v="3"/>
    <n v="11"/>
    <n v="33"/>
    <x v="3"/>
  </r>
  <r>
    <s v="007"/>
    <s v="PR01"/>
    <s v="812VER192"/>
    <s v="Stop Verin VBU 1/2 Clapet unidirectionnel"/>
    <s v="UN"/>
    <n v="4"/>
    <n v="126.23679999999999"/>
    <n v="504.94719999999995"/>
    <x v="3"/>
  </r>
  <r>
    <s v="007"/>
    <s v="PR01"/>
    <s v="812VER193"/>
    <s v="VERIN 1320.32.25"/>
    <s v="UN"/>
    <n v="2"/>
    <n v="0"/>
    <n v="0"/>
    <x v="3"/>
  </r>
  <r>
    <s v="007"/>
    <s v="PR01"/>
    <s v="812VER195"/>
    <s v="VERIN sans tige D50 C500 SER 1600 Chariot brosse"/>
    <s v="UN"/>
    <n v="0"/>
    <n v="2418.25"/>
    <n v="0"/>
    <x v="3"/>
  </r>
  <r>
    <s v="007"/>
    <s v="PR01"/>
    <s v="812VER196"/>
    <s v="VERIN TIGE TRAVERSANTE D50 C20  Centre element"/>
    <s v="UN"/>
    <n v="4"/>
    <n v="293.471"/>
    <n v="1173.884"/>
    <x v="3"/>
  </r>
  <r>
    <s v="007"/>
    <s v="PR01"/>
    <s v="812VER197"/>
    <s v="VERIN COMPACT SDA32*20B M.Nivelage"/>
    <s v="UN"/>
    <n v="10"/>
    <n v="146.642"/>
    <n v="1466.42"/>
    <x v="3"/>
  </r>
  <r>
    <s v="007"/>
    <s v="PR01"/>
    <s v="812VER198"/>
    <s v="VERIN 1511.50.20 M.Nivelage"/>
    <s v="UN"/>
    <n v="4"/>
    <n v="277.35500000000002"/>
    <n v="1109.42"/>
    <x v="3"/>
  </r>
  <r>
    <s v="007"/>
    <s v="PR01"/>
    <s v="812VER634"/>
    <s v="VERIN DOUBLE EFFET 1280.32.25M"/>
    <s v="UN"/>
    <n v="6"/>
    <n v="168.19800000000001"/>
    <n v="1009.1880000000001"/>
    <x v="3"/>
  </r>
  <r>
    <s v="007"/>
    <s v="PR01"/>
    <s v="812VER636"/>
    <s v="VERIN 1320.80.200.01 Table S.couvercle"/>
    <s v="UN"/>
    <n v="3"/>
    <n v="378.55599999999998"/>
    <n v="1135.6679999999999"/>
    <x v="3"/>
  </r>
  <r>
    <s v="007"/>
    <s v="PR01"/>
    <s v="812VER638"/>
    <s v="VERIN D32 C10 1511.32.10      COS"/>
    <s v="UN"/>
    <n v="4"/>
    <n v="140.06299999999999"/>
    <n v="560.25199999999995"/>
    <x v="3"/>
  </r>
  <r>
    <s v="007"/>
    <s v="PR01"/>
    <s v="812VER639"/>
    <s v="Verin  D12 C10"/>
    <s v="UN"/>
    <n v="1"/>
    <n v="75.921300000000002"/>
    <n v="75.921300000000002"/>
    <x v="3"/>
  </r>
  <r>
    <s v="007"/>
    <s v="PR01"/>
    <s v="812XMC002"/>
    <s v="JOINT SILICONE D7.5X18 L14mm SERIE L"/>
    <s v="UN"/>
    <n v="138"/>
    <n v="6.8629499999999997"/>
    <n v="947.08709999999996"/>
    <x v="3"/>
  </r>
  <r>
    <s v="007"/>
    <s v="PR01"/>
    <s v="812XMC005"/>
    <s v="JOINT ETANCHEITE BATTERIE M SPECIAL"/>
    <s v="UN"/>
    <n v="30"/>
    <n v="5.7948750000000002"/>
    <n v="173.84625"/>
    <x v="3"/>
  </r>
  <r>
    <s v="007"/>
    <s v="PR01"/>
    <s v="812xmc007"/>
    <s v="Joint etancheite D29-6.5*22"/>
    <s v="UN"/>
    <n v="177"/>
    <n v="7.5750000000000002"/>
    <n v="1340.7750000000001"/>
    <x v="3"/>
  </r>
  <r>
    <s v="007"/>
    <s v="PR01"/>
    <s v="812xmc008"/>
    <s v="Joint Etancheite D42-6.5*40"/>
    <s v="UN"/>
    <n v="21"/>
    <n v="6.1554726368159205"/>
    <n v="129.26492537313433"/>
    <x v="3"/>
  </r>
  <r>
    <s v="007"/>
    <s v="PR01"/>
    <s v="812xmc009"/>
    <s v="Joint  SPONGIEUX 20/40 Bassinde charge"/>
    <s v="M"/>
    <n v="7"/>
    <n v="24.5"/>
    <n v="171.5"/>
    <x v="3"/>
  </r>
  <r>
    <s v="007"/>
    <s v="PR01"/>
    <s v="812XMC010"/>
    <s v="Joint etancheite D29/7*22"/>
    <s v="UN"/>
    <n v="3"/>
    <n v="5.4678875000000007"/>
    <n v="16.403662500000003"/>
    <x v="3"/>
  </r>
  <r>
    <s v="007"/>
    <s v="PR01"/>
    <s v="812XMC016"/>
    <s v="JOINT ETANCHEITE KAMINA 6.5*25*15*18.25*4"/>
    <s v="UN"/>
    <n v="1375"/>
    <n v="4.103131067961165"/>
    <n v="5641.8052184466014"/>
    <x v="3"/>
  </r>
  <r>
    <s v="007"/>
    <s v="PR01"/>
    <s v="812XMC017"/>
    <s v="JOINT ETANCHEITE SMALL 6.5*21*14.75*18*20.5"/>
    <s v="UN"/>
    <n v="85"/>
    <n v="3.7033333333333331"/>
    <n v="314.7833333333333"/>
    <x v="3"/>
  </r>
  <r>
    <s v="007"/>
    <s v="PR01"/>
    <s v="812xmc018"/>
    <s v="Joint spongieux 12/10 porte Bassin de ch"/>
    <s v="M"/>
    <n v="96"/>
    <n v="6.6429900000000002"/>
    <n v="637.72703999999999"/>
    <x v="3"/>
  </r>
  <r>
    <s v="007"/>
    <s v="PR01"/>
    <s v="812XMC062"/>
    <s v="Embou joint etancheite test etanch CH"/>
    <s v="UN"/>
    <n v="6"/>
    <n v="0"/>
    <n v="0"/>
    <x v="3"/>
  </r>
  <r>
    <s v="007"/>
    <s v="PR01"/>
    <s v="812XMC063"/>
    <s v="JOINT ETANCHEITE 33/10/10  test etanch CH"/>
    <s v="UN"/>
    <n v="10"/>
    <n v="0"/>
    <n v="0"/>
    <x v="3"/>
  </r>
  <r>
    <s v="007"/>
    <s v="PR01"/>
    <s v="812XMC064"/>
    <s v="JOINT ETANCHEITE 40/10/10  test etanch CH"/>
    <s v="UN"/>
    <n v="12"/>
    <n v="0"/>
    <n v="0"/>
    <x v="3"/>
  </r>
  <r>
    <s v="007"/>
    <s v="PR01"/>
    <s v="812XMC213"/>
    <s v="VIS TF (INOX) M05*10  Français"/>
    <s v="UN"/>
    <n v="12"/>
    <n v="0.127"/>
    <n v="1.524"/>
    <x v="3"/>
  </r>
  <r>
    <s v="007"/>
    <s v="PR01"/>
    <s v="812XMC255"/>
    <s v="CAOUTCHOUC SPONGIEUX 30/5 JOINT ISOFLEX"/>
    <s v="M"/>
    <n v="90"/>
    <n v="6.7904999999999998"/>
    <n v="611.14499999999998"/>
    <x v="3"/>
  </r>
  <r>
    <s v="007"/>
    <s v="PR01"/>
    <s v="812XPB002"/>
    <s v="Colle Fort patex 1KG"/>
    <s v="UN"/>
    <n v="40"/>
    <n v="19.908000000000001"/>
    <n v="796.32"/>
    <x v="3"/>
  </r>
  <r>
    <s v="007"/>
    <s v="PR01"/>
    <s v="812XPB049"/>
    <s v="BRIDE Galva  75/180 Filtage Interieur"/>
    <s v="UN"/>
    <n v="2"/>
    <n v="63.58"/>
    <n v="127.16"/>
    <x v="3"/>
  </r>
  <r>
    <s v="007"/>
    <s v="PR01"/>
    <s v="812XPB051"/>
    <s v="Traverse de paroi PVC PR D50  citerne CHA.ACIDE"/>
    <s v="UN"/>
    <n v="2"/>
    <n v="15"/>
    <n v="30"/>
    <x v="3"/>
  </r>
  <r>
    <s v="007"/>
    <s v="PR01"/>
    <s v="812XPB089"/>
    <s v="Traverse de paroi PVC PR D2&quot;"/>
    <s v="UN"/>
    <n v="2"/>
    <n v="16"/>
    <n v="32"/>
    <x v="3"/>
  </r>
  <r>
    <s v="007"/>
    <s v="PR01"/>
    <s v="812XPB095"/>
    <s v="Commutateur a flotteur 20/27"/>
    <s v="UN"/>
    <n v="2"/>
    <n v="200"/>
    <n v="400"/>
    <x v="3"/>
  </r>
  <r>
    <s v="007"/>
    <s v="PR01"/>
    <s v="812XPB103"/>
    <s v="Traverse de paroi PVC PR 60/50"/>
    <s v="UN"/>
    <n v="2"/>
    <n v="21.29194"/>
    <n v="42.583880000000001"/>
    <x v="3"/>
  </r>
  <r>
    <s v="007"/>
    <s v="PR01"/>
    <s v="812XPB114"/>
    <s v="Armaflex 13-28 Pour Tube D20/27"/>
    <s v="M"/>
    <n v="50"/>
    <n v="2.3929999999999998"/>
    <n v="119.64999999999999"/>
    <x v="3"/>
  </r>
  <r>
    <s v="007"/>
    <s v="PR01"/>
    <s v="812XPB752"/>
    <s v="Colle PVC Tangit 500G"/>
    <s v="UN"/>
    <n v="1"/>
    <n v="25.228000000000002"/>
    <n v="25.228000000000002"/>
    <x v="3"/>
  </r>
  <r>
    <s v="007"/>
    <s v="PR01"/>
    <s v="812XPB753"/>
    <s v="COLLE SUPER GLUE"/>
    <s v="UN"/>
    <n v="7"/>
    <n v="4.5789999999999997"/>
    <n v="32.052999999999997"/>
    <x v="3"/>
  </r>
  <r>
    <s v="007"/>
    <s v="PR01"/>
    <s v="812XPE247"/>
    <s v="COFFRET 1 MODULE"/>
    <s v="UN"/>
    <n v="3"/>
    <n v="1.7869999999999999"/>
    <n v="5.3609999999999998"/>
    <x v="3"/>
  </r>
  <r>
    <s v="007"/>
    <s v="PR01"/>
    <s v="815ALI240"/>
    <s v="Alimentation  0-12V DC"/>
    <s v="UN"/>
    <n v="2"/>
    <n v="181.35"/>
    <n v="362.7"/>
    <x v="3"/>
  </r>
  <r>
    <s v="007"/>
    <s v="PR01"/>
    <s v="815BOB006"/>
    <s v="Bobine pour électrovanne 110V  SHAKO"/>
    <s v="UN"/>
    <n v="8"/>
    <n v="17.599772727272729"/>
    <n v="140.79818181818183"/>
    <x v="3"/>
  </r>
  <r>
    <s v="007"/>
    <s v="PR01"/>
    <s v="815BOB008"/>
    <s v="Bobine distributeur 24VAC"/>
    <s v="UN"/>
    <n v="5"/>
    <n v="21.861000000000001"/>
    <n v="109.30500000000001"/>
    <x v="3"/>
  </r>
  <r>
    <s v="007"/>
    <s v="PR01"/>
    <s v="815BOB009"/>
    <s v="Bobine distributeur 110V"/>
    <s v="UN"/>
    <n v="14"/>
    <n v="21.861000000000001"/>
    <n v="306.05400000000003"/>
    <x v="3"/>
  </r>
  <r>
    <s v="007"/>
    <s v="PR01"/>
    <s v="815BOB246"/>
    <s v="Bobine distributeur 220V"/>
    <s v="UN"/>
    <n v="2"/>
    <n v="14.273999999999999"/>
    <n v="28.547999999999998"/>
    <x v="3"/>
  </r>
  <r>
    <s v="007"/>
    <s v="PR01"/>
    <s v="815BOB248"/>
    <s v="Bobine Danfoss 220V ELECTROVANNE"/>
    <s v="UN"/>
    <n v="3"/>
    <n v="83.718000000000004"/>
    <n v="251.154"/>
    <x v="3"/>
  </r>
  <r>
    <s v="007"/>
    <s v="PR01"/>
    <s v="815cab004"/>
    <s v="Capteur approximité IM08 -2NSPS -ZW1"/>
    <s v="UN"/>
    <n v="20"/>
    <n v="80.75"/>
    <n v="1615"/>
    <x v="3"/>
  </r>
  <r>
    <s v="007"/>
    <s v="PR01"/>
    <s v="815CAB011"/>
    <s v="Fil souple 0.75mm"/>
    <s v="M"/>
    <n v="60"/>
    <n v="0.31363636363636366"/>
    <n v="18.81818181818182"/>
    <x v="3"/>
  </r>
  <r>
    <s v="007"/>
    <s v="PR01"/>
    <s v="815CAB017"/>
    <s v="Fil Souple 2.5mm Bleu"/>
    <s v="M"/>
    <n v="110"/>
    <n v="0.96513000000000004"/>
    <n v="106.16430000000001"/>
    <x v="3"/>
  </r>
  <r>
    <s v="007"/>
    <s v="PR01"/>
    <s v="815CAB019"/>
    <s v="Cable Souple 3*0.75"/>
    <s v="M"/>
    <n v="130"/>
    <n v="1.1257200000000001"/>
    <n v="146.34360000000001"/>
    <x v="3"/>
  </r>
  <r>
    <s v="007"/>
    <s v="PR01"/>
    <s v="815cab025"/>
    <s v="Fil Souple 0.75mm Bleu"/>
    <s v="M"/>
    <n v="180"/>
    <n v="0.34026000000000001"/>
    <n v="61.2468"/>
    <x v="3"/>
  </r>
  <r>
    <s v="007"/>
    <s v="PR01"/>
    <s v="815CAB033"/>
    <s v="Fil souple 1,5mm Bleu"/>
    <s v="M"/>
    <n v="140"/>
    <n v="0.61002999999999996"/>
    <n v="85.404199999999989"/>
    <x v="3"/>
  </r>
  <r>
    <s v="007"/>
    <s v="PR01"/>
    <s v="815CAB034"/>
    <s v="Cable souple 1*10mm Bleu"/>
    <s v="M"/>
    <n v="45"/>
    <n v="2.85615"/>
    <n v="128.52674999999999"/>
    <x v="3"/>
  </r>
  <r>
    <s v="007"/>
    <s v="PR01"/>
    <s v="815CAB041"/>
    <s v="Cable Souple 5*4mm"/>
    <s v="M"/>
    <n v="55"/>
    <n v="8.6093200000000003"/>
    <n v="473.51260000000002"/>
    <x v="3"/>
  </r>
  <r>
    <s v="007"/>
    <s v="PR01"/>
    <s v="815CAB061"/>
    <s v="CABLE Thermique 3*2.5 cuivre NICKELEE TRESSEE"/>
    <s v="M"/>
    <n v="20"/>
    <n v="19.754000000000001"/>
    <n v="395.08000000000004"/>
    <x v="3"/>
  </r>
  <r>
    <s v="007"/>
    <s v="PR01"/>
    <s v="815CAB253"/>
    <s v="câble anti chaleur 1,5mm"/>
    <s v="UN"/>
    <n v="65"/>
    <n v="1.6037999999999999"/>
    <n v="104.247"/>
    <x v="3"/>
  </r>
  <r>
    <s v="007"/>
    <s v="PR01"/>
    <s v="815CAB254"/>
    <s v="câble anti chaleur 2,5mm"/>
    <s v="UN"/>
    <n v="85"/>
    <n v="3.0068999999999999"/>
    <n v="255.5865"/>
    <x v="3"/>
  </r>
  <r>
    <s v="007"/>
    <s v="PR01"/>
    <s v="815CAB255"/>
    <s v="câble anti chaleur 4mm"/>
    <s v="UN"/>
    <n v="4"/>
    <n v="4.0301999999999998"/>
    <n v="16.120799999999999"/>
    <x v="3"/>
  </r>
  <r>
    <s v="007"/>
    <s v="PR01"/>
    <s v="815CAB256"/>
    <s v="câble anti chaleur 6mm"/>
    <s v="UN"/>
    <n v="80"/>
    <n v="5.67"/>
    <n v="453.6"/>
    <x v="3"/>
  </r>
  <r>
    <s v="007"/>
    <s v="PR01"/>
    <s v="815CAB258"/>
    <s v="Fil souple 1,5mm Noir"/>
    <s v="M"/>
    <n v="40"/>
    <n v="0.61426999999999998"/>
    <n v="24.570799999999998"/>
    <x v="3"/>
  </r>
  <r>
    <s v="007"/>
    <s v="PR01"/>
    <s v="815CAB263"/>
    <s v="câble souple 4x1,5mm"/>
    <s v="UN"/>
    <n v="160"/>
    <n v="2.782"/>
    <n v="445.12"/>
    <x v="3"/>
  </r>
  <r>
    <s v="007"/>
    <s v="PR01"/>
    <s v="815CAB266"/>
    <s v="câble souple 4x2,5mm"/>
    <s v="UN"/>
    <n v="37"/>
    <n v="4.0857700000000001"/>
    <n v="151.17349000000002"/>
    <x v="3"/>
  </r>
  <r>
    <s v="007"/>
    <s v="PR01"/>
    <s v="815CAP001"/>
    <s v="CAPTEUR E2B-M12KN08-WP-B1 PNP NO OMRON"/>
    <s v="UN"/>
    <n v="4"/>
    <n v="80.531999999999996"/>
    <n v="322.12799999999999"/>
    <x v="3"/>
  </r>
  <r>
    <s v="007"/>
    <s v="PR01"/>
    <s v="815CAP002"/>
    <s v="CAPTEUR M18 NO E2A-M18lS08-M1-B1"/>
    <s v="UN"/>
    <n v="1"/>
    <n v="109.34143583333334"/>
    <n v="109.34143583333334"/>
    <x v="3"/>
  </r>
  <r>
    <s v="007"/>
    <s v="PR01"/>
    <s v="815CAP004"/>
    <s v="CAPTEUR E3RB-RP21"/>
    <s v="UN"/>
    <n v="2"/>
    <n v="83.674999999999997"/>
    <n v="167.35"/>
    <x v="3"/>
  </r>
  <r>
    <s v="007"/>
    <s v="PR01"/>
    <s v="815CAP005"/>
    <s v="CAPTEUR ICB12L50F04POM1 M12 NO Long   COS"/>
    <s v="UN"/>
    <n v="2"/>
    <n v="70.52"/>
    <n v="141.04"/>
    <x v="3"/>
  </r>
  <r>
    <s v="007"/>
    <s v="PR01"/>
    <s v="815CAP006"/>
    <s v="PHOTO ELECTRIC SWITHCH E3JM-DS70M4-G"/>
    <s v="UN"/>
    <n v="1"/>
    <n v="84.272999999999996"/>
    <n v="84.272999999999996"/>
    <x v="3"/>
  </r>
  <r>
    <s v="007"/>
    <s v="PR01"/>
    <s v="815CAP022"/>
    <s v="support capteur PHOTOCELL"/>
    <s v="UN"/>
    <n v="10"/>
    <n v="8"/>
    <n v="80"/>
    <x v="3"/>
  </r>
  <r>
    <s v="007"/>
    <s v="PR01"/>
    <s v="815CAP023"/>
    <s v="Capteur fin de course CM-1308  COS"/>
    <s v="UN"/>
    <n v="4"/>
    <n v="13.5"/>
    <n v="54"/>
    <x v="3"/>
  </r>
  <r>
    <s v="007"/>
    <s v="PR01"/>
    <s v="815CAP027"/>
    <s v="CAPTEUR Fin de course verin HX-21R-2M"/>
    <s v="UN"/>
    <n v="1"/>
    <n v="0"/>
    <n v="0"/>
    <x v="3"/>
  </r>
  <r>
    <s v="007"/>
    <s v="PR01"/>
    <s v="815CAP028"/>
    <s v="CAPTEUR LJA18M-10N1 S.BORNE+COUVERCLE CH"/>
    <s v="UN"/>
    <n v="4"/>
    <n v="0"/>
    <n v="0"/>
    <x v="3"/>
  </r>
  <r>
    <s v="007"/>
    <s v="PR01"/>
    <s v="815CAP029"/>
    <s v="Capteur de niveau d'acide M.Nivelage"/>
    <s v="UN"/>
    <n v="7"/>
    <n v="0"/>
    <n v="0"/>
    <x v="3"/>
  </r>
  <r>
    <s v="007"/>
    <s v="PR01"/>
    <s v="815CAP036"/>
    <s v="support capteur verin 1500U Pnuemax D50"/>
    <s v="UN"/>
    <n v="10"/>
    <n v="10.089499999999999"/>
    <n v="100.895"/>
    <x v="3"/>
  </r>
  <r>
    <s v="007"/>
    <s v="PR01"/>
    <s v="815CAP037"/>
    <s v="support capteur verin 1500U Pnuemax D80"/>
    <s v="UN"/>
    <n v="9"/>
    <n v="10.3955"/>
    <n v="93.5595"/>
    <x v="3"/>
  </r>
  <r>
    <s v="007"/>
    <s v="PR01"/>
    <s v="815CAP038"/>
    <s v="Capteur fin de course D-Z73  ENV HILANS"/>
    <s v="UN"/>
    <n v="4"/>
    <n v="0"/>
    <n v="0"/>
    <x v="3"/>
  </r>
  <r>
    <s v="007"/>
    <s v="PR01"/>
    <s v="815CAP041"/>
    <s v="support capteur verin Ancien modele"/>
    <s v="UN"/>
    <n v="8"/>
    <n v="37"/>
    <n v="296"/>
    <x v="3"/>
  </r>
  <r>
    <s v="007"/>
    <s v="PR01"/>
    <s v="815CAP045"/>
    <s v="Capteur fin de course XCK-J-10541"/>
    <s v="UN"/>
    <n v="8"/>
    <n v="59.5"/>
    <n v="476"/>
    <x v="3"/>
  </r>
  <r>
    <s v="007"/>
    <s v="PR01"/>
    <s v="815CAP048"/>
    <s v="Capteur XS1-M18KP340 12/24VDC ENV HILANS"/>
    <s v="UN"/>
    <n v="1"/>
    <n v="213.28200000000001"/>
    <n v="213.28200000000001"/>
    <x v="3"/>
  </r>
  <r>
    <s v="007"/>
    <s v="PR01"/>
    <s v="815CAP138"/>
    <s v="CAPTEUR M12 NC E2A-M12lS04-M1-B2"/>
    <s v="UN"/>
    <n v="6"/>
    <n v="115"/>
    <n v="690"/>
    <x v="3"/>
  </r>
  <r>
    <s v="007"/>
    <s v="PR01"/>
    <s v="815CAP150"/>
    <s v="support capteur TESTO SRL00602003904507"/>
    <s v="UN"/>
    <n v="24"/>
    <n v="25"/>
    <n v="600"/>
    <x v="3"/>
  </r>
  <r>
    <s v="007"/>
    <s v="PR01"/>
    <s v="815CON008"/>
    <s v="Contacteur 146A AF146-30    KAESER"/>
    <s v="UN"/>
    <n v="1"/>
    <n v="841.5"/>
    <n v="841.5"/>
    <x v="3"/>
  </r>
  <r>
    <s v="007"/>
    <s v="PR01"/>
    <s v="815con019"/>
    <s v="Contacteur HDCH8S 40A 2P 2NO HIMEL"/>
    <s v="UN"/>
    <n v="1"/>
    <n v="52.543959999999998"/>
    <n v="52.543959999999998"/>
    <x v="3"/>
  </r>
  <r>
    <s v="007"/>
    <s v="PR01"/>
    <s v="815CON036"/>
    <s v="Contact Auxiliaire Contacteur ABB A145-30"/>
    <s v="UN"/>
    <n v="3"/>
    <n v="20.962800000000001"/>
    <n v="62.888400000000004"/>
    <x v="3"/>
  </r>
  <r>
    <s v="007"/>
    <s v="PR01"/>
    <s v="815CON037"/>
    <s v="Contacteur LC1D025 24VAC"/>
    <s v="UN"/>
    <n v="2"/>
    <n v="141.928"/>
    <n v="283.85599999999999"/>
    <x v="3"/>
  </r>
  <r>
    <s v="007"/>
    <s v="PR01"/>
    <s v="815CON038"/>
    <s v="Contacteur LC1D032 24VAC"/>
    <s v="UN"/>
    <n v="3"/>
    <n v="157.5"/>
    <n v="472.5"/>
    <x v="3"/>
  </r>
  <r>
    <s v="007"/>
    <s v="PR01"/>
    <s v="815con041"/>
    <s v="Contacteur LC1D09 220V"/>
    <s v="UN"/>
    <n v="1"/>
    <n v="49.832999999999998"/>
    <n v="49.832999999999998"/>
    <x v="3"/>
  </r>
  <r>
    <s v="007"/>
    <s v="PR01"/>
    <s v="815CON051"/>
    <s v="Contact Auxiliaire pour disjoncteur moteur NO/NC"/>
    <s v="UN"/>
    <n v="4"/>
    <n v="22.55"/>
    <n v="90.2"/>
    <x v="3"/>
  </r>
  <r>
    <s v="007"/>
    <s v="PR01"/>
    <s v="815CON272"/>
    <s v="Contacteur LC1D018 220V"/>
    <s v="UN"/>
    <n v="1"/>
    <n v="69.92"/>
    <n v="69.92"/>
    <x v="3"/>
  </r>
  <r>
    <s v="007"/>
    <s v="PR01"/>
    <s v="815CON273"/>
    <s v="Contacteur  LC1D025 24VDC"/>
    <s v="UN"/>
    <n v="2"/>
    <n v="90.56"/>
    <n v="181.12"/>
    <x v="3"/>
  </r>
  <r>
    <s v="007"/>
    <s v="PR01"/>
    <s v="815CON274"/>
    <s v="Contacteur LC1D025 220VAC"/>
    <s v="UN"/>
    <n v="3"/>
    <n v="90.4"/>
    <n v="271.20000000000005"/>
    <x v="3"/>
  </r>
  <r>
    <s v="007"/>
    <s v="PR01"/>
    <s v="815CON275"/>
    <s v="Contacteur LC1D032 24VDC"/>
    <s v="UN"/>
    <n v="1"/>
    <n v="141.928"/>
    <n v="141.928"/>
    <x v="3"/>
  </r>
  <r>
    <s v="007"/>
    <s v="PR01"/>
    <s v="815CON276"/>
    <s v="Contacteur LC1D032 220VAC"/>
    <s v="UN"/>
    <n v="1"/>
    <n v="181.9"/>
    <n v="181.9"/>
    <x v="3"/>
  </r>
  <r>
    <s v="007"/>
    <s v="PR01"/>
    <s v="815COS003"/>
    <s v="Cosse a sertir SC35-10"/>
    <s v="UN"/>
    <n v="200"/>
    <n v="0.68720000000000003"/>
    <n v="137.44"/>
    <x v="3"/>
  </r>
  <r>
    <s v="007"/>
    <s v="PR01"/>
    <s v="815COS006"/>
    <s v="Cosse a sertir SC50-10"/>
    <s v="UN"/>
    <n v="7"/>
    <n v="1.3051500000000003"/>
    <n v="9.1360500000000009"/>
    <x v="3"/>
  </r>
  <r>
    <s v="007"/>
    <s v="PR01"/>
    <s v="815cos007"/>
    <s v="Cosse a sertir SC70-12"/>
    <s v="UN"/>
    <n v="12"/>
    <n v="1.6960000000000002"/>
    <n v="20.352000000000004"/>
    <x v="3"/>
  </r>
  <r>
    <s v="007"/>
    <s v="PR01"/>
    <s v="815cos008"/>
    <s v="Cosse a sertir SC120-12"/>
    <s v="UN"/>
    <n v="15"/>
    <n v="3.9119999999999999"/>
    <n v="58.68"/>
    <x v="3"/>
  </r>
  <r>
    <s v="007"/>
    <s v="PR01"/>
    <s v="815COS009"/>
    <s v="Cosse a sertir SC240-12"/>
    <s v="UN"/>
    <n v="16"/>
    <n v="15.1264"/>
    <n v="242.0224"/>
    <x v="3"/>
  </r>
  <r>
    <s v="007"/>
    <s v="PR01"/>
    <s v="815COS016"/>
    <s v="Cosse a sertir SC16-10"/>
    <s v="UN"/>
    <n v="50"/>
    <n v="0.59075"/>
    <n v="29.537500000000001"/>
    <x v="3"/>
  </r>
  <r>
    <s v="007"/>
    <s v="PR01"/>
    <s v="815COS282"/>
    <s v="Cosse fil 1.5mm  M4"/>
    <s v="UN"/>
    <n v="150"/>
    <n v="7.4999999999999997E-2"/>
    <n v="11.25"/>
    <x v="3"/>
  </r>
  <r>
    <s v="007"/>
    <s v="PR01"/>
    <s v="815COS283"/>
    <s v="Cosse fil 1.5mm M6"/>
    <s v="UN"/>
    <n v="92"/>
    <n v="7.4999999999999997E-2"/>
    <n v="6.8999999999999995"/>
    <x v="3"/>
  </r>
  <r>
    <s v="007"/>
    <s v="PR01"/>
    <s v="815COS286"/>
    <s v="COSSE JAUNE 8"/>
    <s v="UN"/>
    <n v="71"/>
    <n v="0.22196666666666667"/>
    <n v="15.759633333333333"/>
    <x v="3"/>
  </r>
  <r>
    <s v="007"/>
    <s v="PR01"/>
    <s v="815COS287"/>
    <s v="COSSE JAUNE6"/>
    <s v="UN"/>
    <n v="56"/>
    <n v="0.19326999999999997"/>
    <n v="10.823119999999998"/>
    <x v="3"/>
  </r>
  <r>
    <s v="007"/>
    <s v="PR01"/>
    <s v="815COS288"/>
    <s v="Cosse a sertie SC06-06"/>
    <s v="UN"/>
    <n v="45"/>
    <n v="7.2999999999999995E-2"/>
    <n v="3.2849999999999997"/>
    <x v="3"/>
  </r>
  <r>
    <s v="007"/>
    <s v="PR01"/>
    <s v="815COS289"/>
    <s v="Cosse a sertie rond M04"/>
    <s v="UN"/>
    <n v="78"/>
    <n v="0.11814"/>
    <n v="9.2149199999999993"/>
    <x v="3"/>
  </r>
  <r>
    <s v="007"/>
    <s v="PR01"/>
    <s v="815COS290"/>
    <s v="Cosse a sertie SC10-06"/>
    <s v="UN"/>
    <n v="500"/>
    <n v="0.87570000000000003"/>
    <n v="437.85"/>
    <x v="3"/>
  </r>
  <r>
    <s v="007"/>
    <s v="PR01"/>
    <s v="815COS291"/>
    <s v="Cosse a sertir SC16-08"/>
    <s v="UN"/>
    <n v="23"/>
    <n v="0.77371794871794874"/>
    <n v="17.795512820512823"/>
    <x v="3"/>
  </r>
  <r>
    <s v="007"/>
    <s v="PR01"/>
    <s v="815DIS001"/>
    <s v="DISJONCTEUR MOTEUR 4 A-6.3A"/>
    <s v="UN"/>
    <n v="2"/>
    <n v="89.503"/>
    <n v="179.006"/>
    <x v="3"/>
  </r>
  <r>
    <s v="007"/>
    <s v="PR01"/>
    <s v="815DIS002"/>
    <s v="DISJONCTEUR MOTEUR 2.5A--4A"/>
    <s v="UN"/>
    <n v="2"/>
    <n v="87.93"/>
    <n v="175.86"/>
    <x v="3"/>
  </r>
  <r>
    <s v="007"/>
    <s v="PR01"/>
    <s v="815DIS004"/>
    <s v="DISJONCTEUR MOTEUR 6-10A"/>
    <s v="UN"/>
    <n v="3"/>
    <n v="82.48"/>
    <n v="247.44"/>
    <x v="3"/>
  </r>
  <r>
    <s v="007"/>
    <s v="PR01"/>
    <s v="815DIS014"/>
    <s v="Disjoncteur 63A 3P"/>
    <s v="UN"/>
    <n v="2"/>
    <n v="67.41"/>
    <n v="134.82"/>
    <x v="3"/>
  </r>
  <r>
    <s v="007"/>
    <s v="PR01"/>
    <s v="815DIS016"/>
    <s v="Disjoncteur Differentiel 25A 2P"/>
    <s v="UN"/>
    <n v="1"/>
    <n v="142.03710000000001"/>
    <n v="142.03710000000001"/>
    <x v="3"/>
  </r>
  <r>
    <s v="007"/>
    <s v="PR01"/>
    <s v="815dis022"/>
    <s v="Disjoncteur 10A  2P"/>
    <s v="UN"/>
    <n v="2"/>
    <n v="18.45"/>
    <n v="36.9"/>
    <x v="3"/>
  </r>
  <r>
    <s v="007"/>
    <s v="PR01"/>
    <s v="815dis023"/>
    <s v="Disjoncteur 16A 2P"/>
    <s v="UN"/>
    <n v="3"/>
    <n v="20.211300000000001"/>
    <n v="60.633900000000004"/>
    <x v="3"/>
  </r>
  <r>
    <s v="007"/>
    <s v="PR01"/>
    <s v="815DIS028"/>
    <s v="Disjoncteur 20A 4P"/>
    <s v="UN"/>
    <n v="2"/>
    <n v="52.5"/>
    <n v="105"/>
    <x v="3"/>
  </r>
  <r>
    <s v="007"/>
    <s v="PR01"/>
    <s v="815DIS031"/>
    <s v="Disjoncteur 32A 2 PORT"/>
    <s v="UN"/>
    <n v="4"/>
    <n v="20.862400000000001"/>
    <n v="83.449600000000004"/>
    <x v="3"/>
  </r>
  <r>
    <s v="007"/>
    <s v="PR01"/>
    <s v="815DIS037"/>
    <s v="Disjoncteur 10A  1P"/>
    <s v="UN"/>
    <n v="0"/>
    <n v="8.7240000000000002"/>
    <n v="0"/>
    <x v="3"/>
  </r>
  <r>
    <s v="007"/>
    <s v="PR01"/>
    <s v="815DIS285"/>
    <s v="Disjoncteur 1x16A"/>
    <s v="UN"/>
    <n v="2"/>
    <n v="8.7240000000000002"/>
    <n v="17.448"/>
    <x v="3"/>
  </r>
  <r>
    <s v="007"/>
    <s v="PR01"/>
    <s v="815DIS291"/>
    <s v="Disjoncteur 32A 3 PORT"/>
    <s v="UN"/>
    <n v="2"/>
    <n v="34.598399999999998"/>
    <n v="69.196799999999996"/>
    <x v="3"/>
  </r>
  <r>
    <s v="007"/>
    <s v="PR01"/>
    <s v="815DIS296"/>
    <s v="DISJONCTEUR 63A 4 PORT"/>
    <s v="UN"/>
    <n v="2"/>
    <n v="95.715333333333319"/>
    <n v="191.43066666666664"/>
    <x v="3"/>
  </r>
  <r>
    <s v="007"/>
    <s v="PR01"/>
    <s v="815DIS298"/>
    <s v="Disjoncteur 32A monophasé 1*32"/>
    <s v="UN"/>
    <n v="2"/>
    <n v="11.548999999999999"/>
    <n v="23.097999999999999"/>
    <x v="3"/>
  </r>
  <r>
    <s v="007"/>
    <s v="PR01"/>
    <s v="815dis302"/>
    <s v="Disjoncteur moteur20-25A TESYS 034325"/>
    <s v="UN"/>
    <n v="1"/>
    <n v="137.6"/>
    <n v="137.6"/>
    <x v="3"/>
  </r>
  <r>
    <s v="007"/>
    <s v="PR01"/>
    <s v="815ele005"/>
    <s v="ELECTROVANNE DN25"/>
    <s v="UN"/>
    <n v="2"/>
    <n v="104.83199999999999"/>
    <n v="209.66399999999999"/>
    <x v="3"/>
  </r>
  <r>
    <s v="007"/>
    <s v="PR01"/>
    <s v="815ELE010"/>
    <s v="Minuterie Electrovanne Bobine Danfoss"/>
    <s v="UN"/>
    <n v="2"/>
    <n v="80.91"/>
    <n v="161.82"/>
    <x v="3"/>
  </r>
  <r>
    <s v="007"/>
    <s v="PR01"/>
    <s v="815ELE017"/>
    <s v="Transformateur allumage 14kv S.Borne CH"/>
    <s v="UN"/>
    <n v="1"/>
    <n v="0"/>
    <n v="0"/>
    <x v="3"/>
  </r>
  <r>
    <s v="007"/>
    <s v="PR01"/>
    <s v="815ELE018"/>
    <s v="Radiateur Testeur HRD CH"/>
    <s v="UN"/>
    <n v="1"/>
    <n v="0"/>
    <n v="0"/>
    <x v="3"/>
  </r>
  <r>
    <s v="007"/>
    <s v="PR01"/>
    <s v="815ELE025"/>
    <s v="Module 6ES7 222-1BF32-0XB0"/>
    <s v="UN"/>
    <n v="2"/>
    <n v="273.79950000000002"/>
    <n v="547.59900000000005"/>
    <x v="3"/>
  </r>
  <r>
    <s v="007"/>
    <s v="PR01"/>
    <s v="815ELE026"/>
    <s v="Module 6ES7 222-1BH32-0XB0"/>
    <s v="UN"/>
    <n v="1"/>
    <n v="439.7835"/>
    <n v="439.7835"/>
    <x v="3"/>
  </r>
  <r>
    <s v="007"/>
    <s v="PR01"/>
    <s v="815ELE046"/>
    <s v="Module Sortie 6ES7 322-1BH01-0AA0   COS1"/>
    <s v="UN"/>
    <n v="1"/>
    <n v="656.72973000000002"/>
    <n v="656.72973000000002"/>
    <x v="3"/>
  </r>
  <r>
    <s v="007"/>
    <s v="PR01"/>
    <s v="815ELE048"/>
    <s v="TRANSFORMATEUR ALLUMAGE T17/B 15423001 220V/2*400"/>
    <s v="UN"/>
    <n v="1"/>
    <n v="137.33535000000001"/>
    <n v="137.33535000000001"/>
    <x v="3"/>
  </r>
  <r>
    <s v="007"/>
    <s v="PR01"/>
    <s v="815ELE050"/>
    <s v="Transformateur 600VA 380/230v M60031R  Redresseur"/>
    <s v="UN"/>
    <n v="1"/>
    <n v="204.05269999999999"/>
    <n v="204.05269999999999"/>
    <x v="3"/>
  </r>
  <r>
    <s v="007"/>
    <s v="PR01"/>
    <s v="815ELE053"/>
    <s v="Transformateur BK500 2-4 380V 12-14 Testeur HRD C"/>
    <s v="UN"/>
    <n v="1"/>
    <n v="0"/>
    <n v="0"/>
    <x v="3"/>
  </r>
  <r>
    <s v="007"/>
    <s v="PR01"/>
    <s v="815ELE058"/>
    <s v="Module Sortie 6ES7 331-7KB02-0AB0 S.CON L1"/>
    <s v="UN"/>
    <n v="0"/>
    <n v="1050"/>
    <n v="0"/>
    <x v="3"/>
  </r>
  <r>
    <s v="007"/>
    <s v="PR01"/>
    <s v="815ELE084"/>
    <s v="Transformateur 400VA PRI 0-400V SEC 0-220V"/>
    <s v="UN"/>
    <n v="1"/>
    <n v="152.15"/>
    <n v="152.15"/>
    <x v="3"/>
  </r>
  <r>
    <s v="007"/>
    <s v="PR01"/>
    <s v="815ELE085"/>
    <s v="Transformateur 50VA PRI 0-220V-380 SEC 0-24VAC"/>
    <s v="UN"/>
    <n v="1"/>
    <n v="45.05"/>
    <n v="45.05"/>
    <x v="3"/>
  </r>
  <r>
    <s v="007"/>
    <s v="PR01"/>
    <s v="815ELE305"/>
    <s v="électrovanne 15/21 24V DC"/>
    <s v="UN"/>
    <n v="3"/>
    <n v="125.46"/>
    <n v="376.38"/>
    <x v="3"/>
  </r>
  <r>
    <s v="007"/>
    <s v="PR01"/>
    <s v="815FUS003"/>
    <s v="FUSIBLE 6A 10*38 COS4"/>
    <s v="UN"/>
    <n v="14"/>
    <n v="0.92300000000000004"/>
    <n v="12.922000000000001"/>
    <x v="3"/>
  </r>
  <r>
    <s v="007"/>
    <s v="PR01"/>
    <s v="815FUS004"/>
    <s v="FUSIBLE   6A 14*51 500W"/>
    <s v="UN"/>
    <n v="25"/>
    <n v="0.96711999999999987"/>
    <n v="24.177999999999997"/>
    <x v="3"/>
  </r>
  <r>
    <s v="007"/>
    <s v="PR01"/>
    <s v="815FUS005"/>
    <s v="FUSIBLES 40A"/>
    <s v="UN"/>
    <n v="17"/>
    <n v="1.4933333333333334"/>
    <n v="25.386666666666667"/>
    <x v="3"/>
  </r>
  <r>
    <s v="007"/>
    <s v="PR01"/>
    <s v="815FUS007"/>
    <s v="Fusible 4A Forme bouteille"/>
    <s v="UN"/>
    <n v="18"/>
    <n v="0.47970000000000007"/>
    <n v="8.6346000000000007"/>
    <x v="3"/>
  </r>
  <r>
    <s v="007"/>
    <s v="PR01"/>
    <s v="815FUS008"/>
    <s v="Fusible 25A Forme bouteille"/>
    <s v="UN"/>
    <n v="23"/>
    <n v="5"/>
    <n v="115"/>
    <x v="3"/>
  </r>
  <r>
    <s v="007"/>
    <s v="PR01"/>
    <s v="815FUS009"/>
    <s v="Fusible 1A 5*20MM F1A"/>
    <s v="UN"/>
    <n v="28"/>
    <n v="0.26371428571428573"/>
    <n v="7.3840000000000003"/>
    <x v="3"/>
  </r>
  <r>
    <s v="007"/>
    <s v="PR01"/>
    <s v="815FUS010"/>
    <s v="Fusible 6A Forme bouteille"/>
    <s v="UN"/>
    <n v="33"/>
    <n v="1.067278911564626"/>
    <n v="35.220204081632659"/>
    <x v="3"/>
  </r>
  <r>
    <s v="007"/>
    <s v="PR01"/>
    <s v="815fus011"/>
    <s v="Fusible 16A  500V Forme bouteille  50*22"/>
    <s v="UN"/>
    <n v="24"/>
    <n v="1.116077922077922"/>
    <n v="26.785870129870126"/>
    <x v="3"/>
  </r>
  <r>
    <s v="007"/>
    <s v="PR01"/>
    <s v="815FUS012"/>
    <s v="Fusible 22*58 AM 125A"/>
    <s v="UN"/>
    <n v="58"/>
    <n v="1.72"/>
    <n v="99.76"/>
    <x v="3"/>
  </r>
  <r>
    <s v="007"/>
    <s v="PR01"/>
    <s v="815fus013"/>
    <s v="Porte Fusible uni 22*58    125A"/>
    <s v="UN"/>
    <n v="3"/>
    <n v="15.270860000000003"/>
    <n v="45.812580000000011"/>
    <x v="3"/>
  </r>
  <r>
    <s v="007"/>
    <s v="PR01"/>
    <s v="815FUS018"/>
    <s v="Fusible 20A 400V 10*38"/>
    <s v="UN"/>
    <n v="15"/>
    <n v="1.2300627272727274"/>
    <n v="18.45094090909091"/>
    <x v="3"/>
  </r>
  <r>
    <s v="007"/>
    <s v="PR01"/>
    <s v="815fus025"/>
    <s v="Fusible 20A 500V Forme bouteille"/>
    <s v="UN"/>
    <n v="9"/>
    <n v="1.69939"/>
    <n v="15.294509999999999"/>
    <x v="3"/>
  </r>
  <r>
    <s v="007"/>
    <s v="PR01"/>
    <s v="815fus030"/>
    <s v="Fusible 5A  6.3*32mm Carte redresseur"/>
    <s v="UN"/>
    <n v="32"/>
    <n v="0.24224999999999997"/>
    <n v="7.7519999999999989"/>
    <x v="3"/>
  </r>
  <r>
    <s v="007"/>
    <s v="PR01"/>
    <s v="815FUS033"/>
    <s v="Fusible 35A 500V 50KA Forme bouteille   COS4"/>
    <s v="UN"/>
    <n v="16"/>
    <n v="1.0888"/>
    <n v="17.4208"/>
    <x v="3"/>
  </r>
  <r>
    <s v="007"/>
    <s v="PR01"/>
    <s v="815FUS037"/>
    <s v="FUSIBLE BRITANNIQUE LET63A     Chargeur char"/>
    <s v="UN"/>
    <n v="2"/>
    <n v="50.750999999999998"/>
    <n v="101.502"/>
    <x v="3"/>
  </r>
  <r>
    <s v="007"/>
    <s v="PR01"/>
    <s v="815FUS038"/>
    <s v="FUSIBLE TIS63  63A RED POWER KRAFT"/>
    <s v="UN"/>
    <n v="1"/>
    <n v="77.048000000000002"/>
    <n v="77.048000000000002"/>
    <x v="3"/>
  </r>
  <r>
    <s v="007"/>
    <s v="PR01"/>
    <s v="815FUS039"/>
    <s v="FUSIBLE TIS50  50A RED POWER KRAFT"/>
    <s v="UN"/>
    <n v="4"/>
    <n v="83.283000000000001"/>
    <n v="333.13200000000001"/>
    <x v="3"/>
  </r>
  <r>
    <s v="007"/>
    <s v="PR01"/>
    <s v="815FUS040"/>
    <s v="FUSIBLE 50A 22*58 Bassin charge"/>
    <s v="UN"/>
    <n v="14"/>
    <n v="2.2328999999999999"/>
    <n v="31.260599999999997"/>
    <x v="3"/>
  </r>
  <r>
    <s v="007"/>
    <s v="PR01"/>
    <s v="815FUS041"/>
    <s v="Fusible 200A 690V aR 200KA Redresseur SOVEMA"/>
    <s v="UN"/>
    <n v="1"/>
    <n v="0"/>
    <n v="0"/>
    <x v="3"/>
  </r>
  <r>
    <s v="007"/>
    <s v="PR01"/>
    <s v="815FUS042"/>
    <s v="Fusible Chargeur 40A Gerbeur"/>
    <s v="UN"/>
    <n v="4"/>
    <n v="13"/>
    <n v="52"/>
    <x v="3"/>
  </r>
  <r>
    <s v="007"/>
    <s v="PR01"/>
    <s v="815FUS043"/>
    <s v="FUSIBLE 80A 22*58"/>
    <s v="UN"/>
    <n v="9"/>
    <n v="1.9125000000000001"/>
    <n v="17.212500000000002"/>
    <x v="3"/>
  </r>
  <r>
    <s v="007"/>
    <s v="PR01"/>
    <s v="815FUS044"/>
    <s v="FUSIBLE Couteau NH00C 40A GG  Chargeur NACEL"/>
    <s v="UN"/>
    <n v="2"/>
    <n v="9.6"/>
    <n v="19.2"/>
    <x v="3"/>
  </r>
  <r>
    <s v="007"/>
    <s v="PR01"/>
    <s v="815FUS311"/>
    <s v="FUSIBLE 32A"/>
    <s v="UN"/>
    <n v="14"/>
    <n v="0.2475"/>
    <n v="3.4649999999999999"/>
    <x v="3"/>
  </r>
  <r>
    <s v="007"/>
    <s v="PR01"/>
    <s v="815FUS312"/>
    <s v="FUSIBLES 10A 10*38"/>
    <s v="UN"/>
    <n v="34"/>
    <n v="0.5214545454545455"/>
    <n v="17.729454545454548"/>
    <x v="3"/>
  </r>
  <r>
    <s v="007"/>
    <s v="PR01"/>
    <s v="815FUS313"/>
    <s v="FUSIBLES 20A 14*51"/>
    <s v="UN"/>
    <n v="30"/>
    <n v="1.0245283018867923"/>
    <n v="30.735849056603769"/>
    <x v="3"/>
  </r>
  <r>
    <s v="007"/>
    <s v="PR01"/>
    <s v="815FUS314"/>
    <s v="FUSIBLES 2A 10*38  500V"/>
    <s v="UN"/>
    <n v="6"/>
    <n v="0.63749999999999996"/>
    <n v="3.8249999999999997"/>
    <x v="3"/>
  </r>
  <r>
    <s v="007"/>
    <s v="PR01"/>
    <s v="815FUS315"/>
    <s v="FUSIBLES 4A 10*38  500V"/>
    <s v="UN"/>
    <n v="6"/>
    <n v="0.52025434782608682"/>
    <n v="3.1215260869565209"/>
    <x v="3"/>
  </r>
  <r>
    <s v="007"/>
    <s v="PR01"/>
    <s v="815FUS316"/>
    <s v="FUSIBLE 5A 250V"/>
    <s v="UN"/>
    <n v="16"/>
    <n v="0.184"/>
    <n v="2.944"/>
    <x v="3"/>
  </r>
  <r>
    <s v="007"/>
    <s v="PR01"/>
    <s v="815fus318"/>
    <s v="FUSIBLE   16A 10*38"/>
    <s v="UN"/>
    <n v="16"/>
    <n v="0.42415254237288136"/>
    <n v="6.7864406779661017"/>
    <x v="3"/>
  </r>
  <r>
    <s v="007"/>
    <s v="PR01"/>
    <s v="815gai002"/>
    <s v="Gaine thermoretractable D40"/>
    <s v="M"/>
    <n v="15"/>
    <n v="20.988800000000001"/>
    <n v="314.83199999999999"/>
    <x v="3"/>
  </r>
  <r>
    <s v="007"/>
    <s v="PR01"/>
    <s v="815GAI004"/>
    <s v="Gaine anti chaleur D10mm"/>
    <s v="M"/>
    <n v="8"/>
    <n v="5.3904857142857141"/>
    <n v="43.123885714285713"/>
    <x v="3"/>
  </r>
  <r>
    <s v="007"/>
    <s v="PR01"/>
    <s v="815GAI005"/>
    <s v="Gaine thermoretractable 6mm"/>
    <s v="M"/>
    <n v="9"/>
    <n v="1.2709999999999999"/>
    <n v="11.439"/>
    <x v="3"/>
  </r>
  <r>
    <s v="007"/>
    <s v="PR01"/>
    <s v="815GAI013"/>
    <s v="Gaine thermoretractable 08mm"/>
    <s v="M"/>
    <n v="12"/>
    <n v="5.2329999999999997"/>
    <n v="62.795999999999992"/>
    <x v="3"/>
  </r>
  <r>
    <s v="007"/>
    <s v="PR01"/>
    <s v="815GAI318"/>
    <s v="gaine anti chaleur 6mm"/>
    <s v="UN"/>
    <n v="30"/>
    <n v="3.4649999999999999"/>
    <n v="103.94999999999999"/>
    <x v="3"/>
  </r>
  <r>
    <s v="007"/>
    <s v="PR01"/>
    <s v="815GAI319"/>
    <s v="gaine anti chaleur 12mm"/>
    <s v="UN"/>
    <n v="205"/>
    <n v="5.4135"/>
    <n v="1109.7674999999999"/>
    <x v="3"/>
  </r>
  <r>
    <s v="007"/>
    <s v="PR01"/>
    <s v="815GAI321"/>
    <s v="gaine anti chaleur 2,5mm"/>
    <s v="UN"/>
    <n v="2"/>
    <n v="2.0790000000000002"/>
    <n v="4.1580000000000004"/>
    <x v="3"/>
  </r>
  <r>
    <s v="007"/>
    <s v="PR01"/>
    <s v="815GAI322"/>
    <s v="gaine anti chaleur 4mm"/>
    <s v="UN"/>
    <n v="12"/>
    <n v="2.7423000000000002"/>
    <n v="32.907600000000002"/>
    <x v="3"/>
  </r>
  <r>
    <s v="007"/>
    <s v="PR01"/>
    <s v="815GAI323"/>
    <s v="gaine anti chaleur 8mm"/>
    <s v="UN"/>
    <n v="20"/>
    <n v="4.5233999999999996"/>
    <n v="90.467999999999989"/>
    <x v="3"/>
  </r>
  <r>
    <s v="007"/>
    <s v="PR01"/>
    <s v="815GOU003"/>
    <s v="GOUPILLE  D6*60"/>
    <s v="UN"/>
    <n v="38"/>
    <n v="0.47260000000000002"/>
    <n v="17.9588"/>
    <x v="3"/>
  </r>
  <r>
    <s v="007"/>
    <s v="PR01"/>
    <s v="815GOU004"/>
    <s v="GOUPILLE  D10*90"/>
    <s v="UN"/>
    <n v="58"/>
    <n v="1.1661585365853659"/>
    <n v="67.637195121951223"/>
    <x v="3"/>
  </r>
  <r>
    <s v="007"/>
    <s v="PR01"/>
    <s v="815GOU005"/>
    <s v="GOUPILLE  D8*30"/>
    <s v="UN"/>
    <n v="40"/>
    <n v="1.0157499999999999"/>
    <n v="40.629999999999995"/>
    <x v="3"/>
  </r>
  <r>
    <s v="007"/>
    <s v="PR01"/>
    <s v="815GOU006"/>
    <s v="GOUPILLE  D6*50"/>
    <s v="UN"/>
    <n v="38"/>
    <n v="0.28150974025974029"/>
    <n v="10.697370129870132"/>
    <x v="3"/>
  </r>
  <r>
    <s v="007"/>
    <s v="PR01"/>
    <s v="815LAM004"/>
    <s v="Lampe iodure 400w DSRAM"/>
    <s v="UN"/>
    <n v="16"/>
    <n v="47.956999999999994"/>
    <n v="767.3119999999999"/>
    <x v="3"/>
  </r>
  <r>
    <s v="007"/>
    <s v="PR01"/>
    <s v="815pho144"/>
    <s v="Photocell Allen Bradley 42EF-B1MPBE-F4 SER A/B"/>
    <s v="UN"/>
    <n v="1"/>
    <n v="785.86199999999997"/>
    <n v="785.86199999999997"/>
    <x v="3"/>
  </r>
  <r>
    <s v="007"/>
    <s v="PR01"/>
    <s v="815PHO145"/>
    <s v="Photocell OMRON E3FA-DP22"/>
    <s v="UN"/>
    <n v="4"/>
    <n v="277.66694999999999"/>
    <n v="1110.6677999999999"/>
    <x v="3"/>
  </r>
  <r>
    <s v="007"/>
    <s v="PR01"/>
    <s v="815PHO146"/>
    <s v="Photocell OMRON E3Z-FDP16"/>
    <s v="UN"/>
    <n v="3"/>
    <n v="261.63"/>
    <n v="784.89"/>
    <x v="3"/>
  </r>
  <r>
    <s v="007"/>
    <s v="PR01"/>
    <s v="815PHO147"/>
    <s v="Photocell Allen Bradley 42EF-P2MPB-F4 D/3m BROSSE"/>
    <s v="UN"/>
    <n v="2"/>
    <n v="280"/>
    <n v="560"/>
    <x v="3"/>
  </r>
  <r>
    <s v="007"/>
    <s v="PR01"/>
    <s v="815PHO148"/>
    <s v="Photocell Allen Bradley 42EF-E1EZB-F4   B"/>
    <s v="UN"/>
    <n v="3"/>
    <n v="596.73599999999999"/>
    <n v="1790.2080000000001"/>
    <x v="3"/>
  </r>
  <r>
    <s v="007"/>
    <s v="PR01"/>
    <s v="815PHO149"/>
    <s v="Photocell Allen Bradley 42EF-R9MPB-F4 B"/>
    <s v="UN"/>
    <n v="1"/>
    <n v="596.73599999999999"/>
    <n v="596.73599999999999"/>
    <x v="3"/>
  </r>
  <r>
    <s v="007"/>
    <s v="PR01"/>
    <s v="815POT003"/>
    <s v="POTENTIOMETRE 10K D22 LA42DWQ-10K"/>
    <s v="UN"/>
    <n v="2"/>
    <n v="54.978000000000002"/>
    <n v="109.956"/>
    <x v="3"/>
  </r>
  <r>
    <s v="007"/>
    <s v="PR01"/>
    <s v="815RAI001"/>
    <s v="RAIL OMEGA P/DISJ 1,00M SAFE"/>
    <s v="M"/>
    <n v="2"/>
    <n v="7.0107999999999997"/>
    <n v="14.021599999999999"/>
    <x v="3"/>
  </r>
  <r>
    <s v="007"/>
    <s v="PR01"/>
    <s v="815REL001"/>
    <s v="RELAIS TEMPORISE CARLO.G 24V 8 BROCHE"/>
    <s v="UN"/>
    <n v="4"/>
    <n v="181.5617"/>
    <n v="726.24680000000001"/>
    <x v="3"/>
  </r>
  <r>
    <s v="007"/>
    <s v="PR01"/>
    <s v="815REL003"/>
    <s v="RELAIS DE NIVEAU DHC19S-S"/>
    <s v="UN"/>
    <n v="1"/>
    <n v="22.1464"/>
    <n v="22.1464"/>
    <x v="3"/>
  </r>
  <r>
    <s v="007"/>
    <s v="PR01"/>
    <s v="815REL005"/>
    <s v="RELAIS DE NIVEAU 2RM35LM33MW"/>
    <s v="UN"/>
    <n v="1"/>
    <n v="140.69019"/>
    <n v="140.69019"/>
    <x v="3"/>
  </r>
  <r>
    <s v="007"/>
    <s v="PR01"/>
    <s v="815REL009"/>
    <s v="Relais thermique 7A-10A"/>
    <s v="UN"/>
    <n v="3"/>
    <n v="87.75"/>
    <n v="263.25"/>
    <x v="3"/>
  </r>
  <r>
    <s v="007"/>
    <s v="PR01"/>
    <s v="815REL010"/>
    <s v="Relais alternatif 24VAC 14 broches"/>
    <s v="UN"/>
    <n v="9"/>
    <n v="17.094903703703704"/>
    <n v="153.85413333333332"/>
    <x v="3"/>
  </r>
  <r>
    <s v="007"/>
    <s v="PR01"/>
    <s v="815REL013"/>
    <s v="Relais thermique 1-1.6A LRD06 Shneider"/>
    <s v="UN"/>
    <n v="1"/>
    <n v="82.8"/>
    <n v="82.8"/>
    <x v="3"/>
  </r>
  <r>
    <s v="007"/>
    <s v="PR01"/>
    <s v="815rel014"/>
    <s v="Relais thermoregulateur TF4-M1  48*48"/>
    <s v="UN"/>
    <n v="2"/>
    <n v="76.388249999999999"/>
    <n v="152.7765"/>
    <x v="3"/>
  </r>
  <r>
    <s v="007"/>
    <s v="PR01"/>
    <s v="815REL017"/>
    <s v="Relais 14 Broches 24VDC"/>
    <s v="UN"/>
    <n v="12"/>
    <n v="10.78735"/>
    <n v="129.44819999999999"/>
    <x v="3"/>
  </r>
  <r>
    <s v="007"/>
    <s v="PR01"/>
    <s v="815REL026"/>
    <s v="Relais 24VAC 8Broches"/>
    <s v="UN"/>
    <n v="5"/>
    <n v="10.228899999999999"/>
    <n v="51.144499999999994"/>
    <x v="3"/>
  </r>
  <r>
    <s v="007"/>
    <s v="PR01"/>
    <s v="815REL036"/>
    <s v="Relais 61F-GP-N8"/>
    <s v="UN"/>
    <n v="2"/>
    <n v="357.93360000000001"/>
    <n v="715.86720000000003"/>
    <x v="3"/>
  </r>
  <r>
    <s v="007"/>
    <s v="PR01"/>
    <s v="815REL037"/>
    <s v="Radiateur RELAIS RM1A23D50"/>
    <s v="UN"/>
    <n v="1"/>
    <n v="60.252000000000002"/>
    <n v="60.252000000000002"/>
    <x v="3"/>
  </r>
  <r>
    <s v="007"/>
    <s v="PR01"/>
    <s v="815REL040"/>
    <s v="RELAIS RU2S-D24 24VDC 8BROCHES"/>
    <s v="UN"/>
    <n v="9"/>
    <n v="10.932"/>
    <n v="98.388000000000005"/>
    <x v="3"/>
  </r>
  <r>
    <s v="007"/>
    <s v="PR01"/>
    <s v="815REL043"/>
    <s v="Thermo-controller LTR-5CSRE+Sonde"/>
    <s v="UN"/>
    <n v="2"/>
    <n v="90"/>
    <n v="180"/>
    <x v="3"/>
  </r>
  <r>
    <s v="007"/>
    <s v="PR01"/>
    <s v="815REL044"/>
    <s v="Relais 14 Broches 110V    Fardeleuse"/>
    <s v="UN"/>
    <n v="5"/>
    <n v="16.715250000000001"/>
    <n v="83.576250000000002"/>
    <x v="3"/>
  </r>
  <r>
    <s v="007"/>
    <s v="PR01"/>
    <s v="815REL045"/>
    <s v="RELAIS 14 broches 230VAC 2eme Fardeleuse"/>
    <s v="UN"/>
    <n v="9"/>
    <n v="16.091349999999998"/>
    <n v="144.82214999999999"/>
    <x v="3"/>
  </r>
  <r>
    <s v="007"/>
    <s v="PR01"/>
    <s v="815REL326"/>
    <s v="RELAIS 08 Broches 230VAC 2eme Fardeleuse"/>
    <s v="UN"/>
    <n v="1"/>
    <n v="30.50395"/>
    <n v="30.50395"/>
    <x v="3"/>
  </r>
  <r>
    <s v="007"/>
    <s v="PR01"/>
    <s v="815REL327"/>
    <s v="RELAIS A 11 BROCHE CIRCULAIRE 230V AC 60.13.8.230"/>
    <s v="UN"/>
    <n v="3"/>
    <n v="12.166"/>
    <n v="36.498000000000005"/>
    <x v="3"/>
  </r>
  <r>
    <s v="007"/>
    <s v="PR01"/>
    <s v="815REL328"/>
    <s v="RELAIS 24V DC  60,13,9,24"/>
    <s v="UN"/>
    <n v="9"/>
    <n v="7.5906599999999997"/>
    <n v="68.315939999999998"/>
    <x v="3"/>
  </r>
  <r>
    <s v="007"/>
    <s v="PR01"/>
    <s v="815REL329"/>
    <s v="RELAIS 24V DC 55,32,9,24 8 broches"/>
    <s v="UN"/>
    <n v="2"/>
    <n v="12.6"/>
    <n v="25.2"/>
    <x v="3"/>
  </r>
  <r>
    <s v="007"/>
    <s v="PR01"/>
    <s v="815REL331"/>
    <s v="Rélais thermique 1,6-2,5A"/>
    <s v="UN"/>
    <n v="3"/>
    <n v="85.5"/>
    <n v="256.5"/>
    <x v="3"/>
  </r>
  <r>
    <s v="007"/>
    <s v="PR01"/>
    <s v="815REL333"/>
    <s v="Rélais thermique 4-6A"/>
    <s v="UN"/>
    <n v="1"/>
    <n v="87.75"/>
    <n v="87.75"/>
    <x v="3"/>
  </r>
  <r>
    <s v="007"/>
    <s v="PR01"/>
    <s v="815REL338"/>
    <s v="RELAIS RM1A23D50"/>
    <s v="UN"/>
    <n v="3"/>
    <n v="92.377600000000001"/>
    <n v="277.13279999999997"/>
    <x v="3"/>
  </r>
  <r>
    <s v="007"/>
    <s v="PR01"/>
    <s v="815REL341"/>
    <s v="Relais PM48A-100h-AC 24V ATA 11 BROCHES"/>
    <s v="UN"/>
    <n v="4"/>
    <n v="129"/>
    <n v="516"/>
    <x v="3"/>
  </r>
  <r>
    <s v="007"/>
    <s v="PR01"/>
    <s v="815RES003"/>
    <s v="RESISTANCE FARDELEUSE 1250W*L73*230V"/>
    <s v="UN"/>
    <n v="2"/>
    <n v="108.5376"/>
    <n v="217.0752"/>
    <x v="3"/>
  </r>
  <r>
    <s v="007"/>
    <s v="PR01"/>
    <s v="815RES004"/>
    <s v="RESISTANCE TUBE 415W"/>
    <s v="UN"/>
    <n v="1"/>
    <n v="77.400000000000006"/>
    <n v="77.400000000000006"/>
    <x v="3"/>
  </r>
  <r>
    <s v="007"/>
    <s v="PR01"/>
    <s v="815RES012"/>
    <s v="RESISTANCE COUDEE 1200W  L420 230V D12.5 PLQ.CHAU"/>
    <s v="UN"/>
    <n v="3"/>
    <n v="81.575175000000002"/>
    <n v="244.725525"/>
    <x v="3"/>
  </r>
  <r>
    <s v="007"/>
    <s v="PR01"/>
    <s v="815RES013"/>
    <s v="RESISTANCE  FARDELEUSE D10,L840*230V 1500W"/>
    <s v="UN"/>
    <n v="1"/>
    <n v="130.5"/>
    <n v="130.5"/>
    <x v="3"/>
  </r>
  <r>
    <s v="007"/>
    <s v="PR01"/>
    <s v="815RES014"/>
    <s v="Resistance cart D12.7 L215/800W/230V Pompe COS4"/>
    <s v="UN"/>
    <n v="6"/>
    <n v="127.7907"/>
    <n v="766.74419999999998"/>
    <x v="3"/>
  </r>
  <r>
    <s v="007"/>
    <s v="PR01"/>
    <s v="815RES015"/>
    <s v="Resistance D16/L180/800W/380V  COS4"/>
    <s v="UN"/>
    <n v="2"/>
    <n v="85.5"/>
    <n v="171"/>
    <x v="3"/>
  </r>
  <r>
    <s v="007"/>
    <s v="PR01"/>
    <s v="815RES016"/>
    <s v="Resistance D12.7/L305/240V/800W  COS4"/>
    <s v="UN"/>
    <n v="7"/>
    <n v="85.5"/>
    <n v="598.5"/>
    <x v="3"/>
  </r>
  <r>
    <s v="007"/>
    <s v="PR01"/>
    <s v="815RES017"/>
    <s v="Resistance DALTON SBC TEGUEL D12.7/240V/2000W/L30"/>
    <s v="UN"/>
    <n v="1"/>
    <n v="113.22"/>
    <n v="113.22"/>
    <x v="3"/>
  </r>
  <r>
    <s v="007"/>
    <s v="PR01"/>
    <s v="815RES018"/>
    <s v="Resistance Cart D12.6 L304/2000W/240V PLQ Chauf L"/>
    <s v="UN"/>
    <n v="11"/>
    <n v="128.89876666666666"/>
    <n v="1417.8864333333333"/>
    <x v="3"/>
  </r>
  <r>
    <s v="007"/>
    <s v="PR01"/>
    <s v="815RES021"/>
    <s v="Resistance D12.7/L395/230V/1500W COS4"/>
    <s v="UN"/>
    <n v="3"/>
    <n v="162.44999999999999"/>
    <n v="487.34999999999997"/>
    <x v="3"/>
  </r>
  <r>
    <s v="007"/>
    <s v="PR01"/>
    <s v="815RES022"/>
    <s v="Resistance L450/230V/1700W"/>
    <s v="UN"/>
    <n v="2"/>
    <n v="85.5"/>
    <n v="171"/>
    <x v="3"/>
  </r>
  <r>
    <s v="007"/>
    <s v="PR01"/>
    <s v="815RES027"/>
    <s v="RESISTANCE D14 L80 220V 140W"/>
    <s v="UN"/>
    <n v="2"/>
    <n v="52.7624"/>
    <n v="105.5248"/>
    <x v="3"/>
  </r>
  <r>
    <s v="007"/>
    <s v="PR01"/>
    <s v="815RES036"/>
    <s v="Resistance Cart D12 L210/800W/230V Moule M16"/>
    <s v="UN"/>
    <n v="3"/>
    <n v="94.5"/>
    <n v="283.5"/>
    <x v="3"/>
  </r>
  <r>
    <s v="007"/>
    <s v="PR01"/>
    <s v="815RES052"/>
    <s v="RESISTANCE COUDEE 1500W L320 230V D12.7 P.Ch L3"/>
    <s v="UN"/>
    <n v="10"/>
    <n v="202.61458000000002"/>
    <n v="2026.1458000000002"/>
    <x v="3"/>
  </r>
  <r>
    <s v="007"/>
    <s v="PR01"/>
    <s v="815RES054"/>
    <s v="Resistance cartouche D16/L250/500W M.Lavage"/>
    <s v="UN"/>
    <n v="10"/>
    <n v="0"/>
    <n v="0"/>
    <x v="3"/>
  </r>
  <r>
    <s v="007"/>
    <s v="PR01"/>
    <s v="815RES056"/>
    <s v="Resistance cart M11 D15.7/L270/800W PLQ CH B"/>
    <s v="UN"/>
    <n v="28"/>
    <n v="193.09365"/>
    <n v="5406.6221999999998"/>
    <x v="3"/>
  </r>
  <r>
    <s v="007"/>
    <s v="PR01"/>
    <s v="815res060"/>
    <s v="Resistance Cart D18.5/L300/800W SBC L3 C"/>
    <s v="UN"/>
    <n v="16"/>
    <n v="78.825450000000004"/>
    <n v="1261.2072000000001"/>
    <x v="3"/>
  </r>
  <r>
    <s v="007"/>
    <s v="PR01"/>
    <s v="815RES061"/>
    <s v="Resistance cart M15 D15.7/L310/1000W PL CH B"/>
    <s v="UN"/>
    <n v="24"/>
    <n v="195.41329999999999"/>
    <n v="4689.9192000000003"/>
    <x v="3"/>
  </r>
  <r>
    <s v="007"/>
    <s v="PR01"/>
    <s v="815RES066"/>
    <s v="RESISTANCE TUBE D08/600W/L525MM PIPE COS"/>
    <s v="UN"/>
    <n v="4"/>
    <n v="241.45999"/>
    <n v="965.83996000000002"/>
    <x v="3"/>
  </r>
  <r>
    <s v="007"/>
    <s v="PR01"/>
    <s v="815RES156"/>
    <s v="RESISTANCE 60mm/D16/230V/400W"/>
    <s v="UN"/>
    <n v="9"/>
    <n v="95.04"/>
    <n v="855.36"/>
    <x v="3"/>
  </r>
  <r>
    <s v="007"/>
    <s v="PR01"/>
    <s v="815RES160"/>
    <s v="résistance 5000w/?16/980mm"/>
    <s v="UN"/>
    <n v="5"/>
    <n v="75.246250000000003"/>
    <n v="376.23125000000005"/>
    <x v="3"/>
  </r>
  <r>
    <s v="007"/>
    <s v="PR01"/>
    <s v="815RES162"/>
    <s v="RESISTANCE CARTOUCHE D10*200 630W 230V PLQ.CHAUF"/>
    <s v="UN"/>
    <n v="6"/>
    <n v="122.26655"/>
    <n v="733.59929999999997"/>
    <x v="3"/>
  </r>
  <r>
    <s v="007"/>
    <s v="PR01"/>
    <s v="815RES168"/>
    <s v="résistance DALTON 380mm/1000W/230v"/>
    <s v="UN"/>
    <n v="2"/>
    <n v="113.22"/>
    <n v="226.44"/>
    <x v="3"/>
  </r>
  <r>
    <s v="007"/>
    <s v="PR01"/>
    <s v="815RES173"/>
    <s v="resistance HT50035   800W 230V"/>
    <s v="UN"/>
    <n v="2"/>
    <n v="75.246250000000003"/>
    <n v="150.49250000000001"/>
    <x v="3"/>
  </r>
  <r>
    <s v="007"/>
    <s v="PR01"/>
    <s v="815RES177"/>
    <s v="RESISTANCE D16/100L/230V/800W Pompe COS"/>
    <s v="UN"/>
    <n v="8"/>
    <n v="97.2"/>
    <n v="777.6"/>
    <x v="3"/>
  </r>
  <r>
    <s v="007"/>
    <s v="PR01"/>
    <s v="815RES213"/>
    <s v="Resistance fardeleuse 110V D10/L840/1500W/110V"/>
    <s v="UN"/>
    <n v="2"/>
    <n v="399.42399"/>
    <n v="798.84798000000001"/>
    <x v="3"/>
  </r>
  <r>
    <s v="007"/>
    <s v="PR01"/>
    <s v="815RES215"/>
    <s v="Resistance a ailette D16/L650/230V/1200W"/>
    <s v="UN"/>
    <n v="18"/>
    <n v="107.1"/>
    <n v="1927.8"/>
    <x v="3"/>
  </r>
  <r>
    <s v="007"/>
    <s v="PR01"/>
    <s v="815SEL002"/>
    <s v="SELECTEUR 2 POSITIONS Avec CLE   CHARIOT"/>
    <s v="UN"/>
    <n v="1"/>
    <n v="30.424499999999998"/>
    <n v="30.424499999999998"/>
    <x v="3"/>
  </r>
  <r>
    <s v="007"/>
    <s v="PR01"/>
    <s v="815SEL335"/>
    <s v="SELECTEUR 3 POSITIONS"/>
    <s v="UN"/>
    <n v="6"/>
    <n v="22.395800000000001"/>
    <n v="134.37479999999999"/>
    <x v="3"/>
  </r>
  <r>
    <s v="007"/>
    <s v="PR01"/>
    <s v="815SEL336"/>
    <s v="SELECTEUR 2 POSITIONS"/>
    <s v="UN"/>
    <n v="4"/>
    <n v="17.2958"/>
    <n v="69.183199999999999"/>
    <x v="3"/>
  </r>
  <r>
    <s v="007"/>
    <s v="PR01"/>
    <s v="815sta001"/>
    <s v="starteur PHILPS 4-65W"/>
    <s v="UN"/>
    <n v="25"/>
    <n v="1.615"/>
    <n v="40.375"/>
    <x v="3"/>
  </r>
  <r>
    <s v="007"/>
    <s v="PR01"/>
    <s v="815THE153"/>
    <s v="thermocouple Type J (canne) D16/L1700 Creuset COS"/>
    <s v="UN"/>
    <n v="3"/>
    <n v="381.78"/>
    <n v="1145.3399999999999"/>
    <x v="3"/>
  </r>
  <r>
    <s v="007"/>
    <s v="PR01"/>
    <s v="815TRA154"/>
    <s v="transmetteur de pression STS ATM  A3010039A"/>
    <s v="UN"/>
    <n v="3"/>
    <n v="1510.4934000000001"/>
    <n v="4531.4802"/>
    <x v="3"/>
  </r>
  <r>
    <s v="007"/>
    <s v="PR01"/>
    <s v="815VOY001"/>
    <s v="Voyant LED Rouge 220V"/>
    <s v="UN"/>
    <n v="4"/>
    <n v="3.8250000000000002"/>
    <n v="15.3"/>
    <x v="3"/>
  </r>
  <r>
    <s v="007"/>
    <s v="PR01"/>
    <s v="815VOY002"/>
    <s v="Voyant LED Rouge 24V"/>
    <s v="UN"/>
    <n v="4"/>
    <n v="2.6530475206611572"/>
    <n v="10.612190082644629"/>
    <x v="3"/>
  </r>
  <r>
    <s v="007"/>
    <s v="PR01"/>
    <s v="815VOY003"/>
    <s v="Voyant LED VERT 24V"/>
    <s v="UN"/>
    <n v="3"/>
    <n v="2.666122159090909"/>
    <n v="7.998366477272727"/>
    <x v="3"/>
  </r>
  <r>
    <s v="007"/>
    <s v="PR01"/>
    <s v="815VOY004"/>
    <s v="Voyant LED VERT 220V"/>
    <s v="UN"/>
    <n v="3"/>
    <n v="3.8250000000000002"/>
    <n v="11.475000000000001"/>
    <x v="3"/>
  </r>
  <r>
    <s v="007"/>
    <s v="PR01"/>
    <s v="815VOY005"/>
    <s v="Voyant LED Orangé 24VAC"/>
    <s v="UN"/>
    <n v="6"/>
    <n v="3.8250000000000002"/>
    <n v="22.950000000000003"/>
    <x v="3"/>
  </r>
  <r>
    <s v="007"/>
    <s v="PR01"/>
    <s v="815VOY009"/>
    <s v="Voyant LED Orangé 220V"/>
    <s v="UN"/>
    <n v="4"/>
    <n v="2.6100000000000003"/>
    <n v="10.440000000000001"/>
    <x v="3"/>
  </r>
  <r>
    <s v="007"/>
    <s v="PR01"/>
    <s v="815XME012"/>
    <s v="PRISE CHARGE CHARIOT Male 80A"/>
    <s v="UN"/>
    <n v="4"/>
    <n v="74"/>
    <n v="296"/>
    <x v="3"/>
  </r>
  <r>
    <s v="007"/>
    <s v="PR01"/>
    <s v="815XME017"/>
    <s v="PRISE CHARGE CHARIOT Femelle 160A"/>
    <s v="UN"/>
    <n v="4"/>
    <n v="94"/>
    <n v="376"/>
    <x v="3"/>
  </r>
  <r>
    <s v="007"/>
    <s v="PR01"/>
    <s v="815XOU001"/>
    <s v="BAGUE ACCOUPLEMENT STRIP"/>
    <s v="UN"/>
    <n v="17"/>
    <n v="18"/>
    <n v="306"/>
    <x v="3"/>
  </r>
  <r>
    <s v="007"/>
    <s v="PR01"/>
    <s v="815XOU002"/>
    <s v="TOC EN PLASTIQUE STRIP"/>
    <s v="UN"/>
    <n v="4"/>
    <n v="80"/>
    <n v="320"/>
    <x v="3"/>
  </r>
  <r>
    <s v="007"/>
    <s v="PR01"/>
    <s v="815XOU005"/>
    <s v="COSSE A BRIDE D12 (fixation)"/>
    <s v="UN"/>
    <n v="10"/>
    <n v="8.9827999999999992"/>
    <n v="89.827999999999989"/>
    <x v="3"/>
  </r>
  <r>
    <s v="007"/>
    <s v="PR01"/>
    <s v="815XOU012"/>
    <s v="COSSE A BRIDE 35 MM"/>
    <s v="UN"/>
    <n v="96"/>
    <n v="2.15"/>
    <n v="206.39999999999998"/>
    <x v="3"/>
  </r>
  <r>
    <s v="007"/>
    <s v="PR01"/>
    <s v="815XOU013"/>
    <s v="KIT MICRO BOXER"/>
    <s v="UN"/>
    <n v="2"/>
    <n v="0"/>
    <n v="0"/>
    <x v="3"/>
  </r>
  <r>
    <s v="007"/>
    <s v="PR01"/>
    <s v="815XOU017"/>
    <s v="COSSE A SERTIE 10-8"/>
    <s v="UN"/>
    <n v="150"/>
    <n v="0.66420000000000001"/>
    <n v="99.63"/>
    <x v="3"/>
  </r>
  <r>
    <s v="007"/>
    <s v="PR01"/>
    <s v="815XPE003"/>
    <s v="DOMINO en plastique 35A"/>
    <s v="UN"/>
    <n v="12"/>
    <n v="2.2103999999999999"/>
    <n v="26.524799999999999"/>
    <x v="3"/>
  </r>
  <r>
    <s v="007"/>
    <s v="PR01"/>
    <s v="815XPE004"/>
    <s v="FICHE FEMELLE 3P+T 25A    380V"/>
    <s v="UN"/>
    <n v="3"/>
    <n v="8.2176739999999988"/>
    <n v="24.653021999999996"/>
    <x v="3"/>
  </r>
  <r>
    <s v="007"/>
    <s v="PR01"/>
    <s v="815xpe008"/>
    <s v="boite derivation"/>
    <s v="UN"/>
    <n v="2"/>
    <n v="11.684100000000001"/>
    <n v="23.368200000000002"/>
    <x v="3"/>
  </r>
  <r>
    <s v="007"/>
    <s v="PR01"/>
    <s v="815XPE018"/>
    <s v="Photocell CARLO GAVAZZI PD30CNB15 150mm"/>
    <s v="UN"/>
    <n v="1"/>
    <n v="169"/>
    <n v="169"/>
    <x v="3"/>
  </r>
  <r>
    <s v="007"/>
    <s v="PR01"/>
    <s v="815XPE020"/>
    <s v="Cable acier 2.5MM"/>
    <s v="KG"/>
    <n v="50"/>
    <n v="1.27"/>
    <n v="63.5"/>
    <x v="3"/>
  </r>
  <r>
    <s v="007"/>
    <s v="PR01"/>
    <s v="815XPE022"/>
    <s v="AFFICHEUR"/>
    <s v="UN"/>
    <n v="1"/>
    <n v="375.78199999999998"/>
    <n v="375.78199999999998"/>
    <x v="3"/>
  </r>
  <r>
    <s v="007"/>
    <s v="PR01"/>
    <s v="815XPE023"/>
    <s v="ELECTROVANNE D 1/4&quot; Bobine 24VDC"/>
    <s v="UN"/>
    <n v="5"/>
    <n v="43.74"/>
    <n v="218.70000000000002"/>
    <x v="3"/>
  </r>
  <r>
    <s v="007"/>
    <s v="PR01"/>
    <s v="815XPE024"/>
    <s v="ELECTROVANNE 15/21 15BG"/>
    <s v="UN"/>
    <n v="7"/>
    <n v="104.83199999999999"/>
    <n v="733.82399999999996"/>
    <x v="3"/>
  </r>
  <r>
    <s v="007"/>
    <s v="PR01"/>
    <s v="815XPE025"/>
    <s v="SELECTEUR ROTATIF 1 POSITION"/>
    <s v="UN"/>
    <n v="7"/>
    <n v="8.6487499999999997"/>
    <n v="60.541249999999998"/>
    <x v="3"/>
  </r>
  <r>
    <s v="007"/>
    <s v="PR01"/>
    <s v="815XPE033"/>
    <s v="Domino plastique 80A"/>
    <s v="UN"/>
    <n v="10"/>
    <n v="6.8080000000000007"/>
    <n v="68.080000000000013"/>
    <x v="3"/>
  </r>
  <r>
    <s v="007"/>
    <s v="PR01"/>
    <s v="815XPE036"/>
    <s v="Socle pour rélais 8 BROCHES"/>
    <s v="UN"/>
    <n v="9"/>
    <n v="10.78735"/>
    <n v="97.086150000000004"/>
    <x v="3"/>
  </r>
  <r>
    <s v="007"/>
    <s v="PR01"/>
    <s v="815XPE037"/>
    <s v="Socle pour rélais 11 BROCHES"/>
    <s v="UN"/>
    <n v="26"/>
    <n v="21.9725"/>
    <n v="571.28499999999997"/>
    <x v="3"/>
  </r>
  <r>
    <s v="007"/>
    <s v="PR01"/>
    <s v="815XPE051"/>
    <s v="CONNECTEUR CAPTEUR FEMELLE M12  4 broches"/>
    <s v="UN"/>
    <n v="1"/>
    <n v="36"/>
    <n v="36"/>
    <x v="3"/>
  </r>
  <r>
    <s v="007"/>
    <s v="PR01"/>
    <s v="815XPE052"/>
    <s v="Domino en plastique 25A"/>
    <s v="UN"/>
    <n v="15"/>
    <n v="0.91877982456140361"/>
    <n v="13.781697368421055"/>
    <x v="3"/>
  </r>
  <r>
    <s v="007"/>
    <s v="PR01"/>
    <s v="815XPE053"/>
    <s v="Domino de 25A"/>
    <s v="UN"/>
    <n v="10"/>
    <n v="1.1486666666666665"/>
    <n v="11.486666666666665"/>
    <x v="3"/>
  </r>
  <r>
    <s v="007"/>
    <s v="PR01"/>
    <s v="815XPE064"/>
    <s v="LUMINAIRE ETANCHE 2*36"/>
    <s v="UN"/>
    <n v="13"/>
    <n v="45.45"/>
    <n v="590.85"/>
    <x v="3"/>
  </r>
  <r>
    <s v="007"/>
    <s v="PR01"/>
    <s v="815XPE065"/>
    <s v="BURETTE HUILE"/>
    <s v="UN"/>
    <n v="1"/>
    <n v="8.2170000000000005"/>
    <n v="8.2170000000000005"/>
    <x v="3"/>
  </r>
  <r>
    <s v="007"/>
    <s v="PR01"/>
    <s v="815XPE066"/>
    <s v="LOCTITE FREIN FILETS"/>
    <s v="UN"/>
    <n v="1"/>
    <n v="10.6236"/>
    <n v="10.6236"/>
    <x v="3"/>
  </r>
  <r>
    <s v="007"/>
    <s v="PR01"/>
    <s v="815XPE082"/>
    <s v="FIXATION LAVABO"/>
    <s v="UN"/>
    <n v="1"/>
    <n v="3.6972"/>
    <n v="3.6972"/>
    <x v="3"/>
  </r>
  <r>
    <s v="007"/>
    <s v="PR01"/>
    <s v="815XPE095"/>
    <s v="SILENT BLOC ELBAK 15X15"/>
    <s v="UN"/>
    <n v="10"/>
    <n v="2.3380714285714284"/>
    <n v="23.380714285714284"/>
    <x v="3"/>
  </r>
  <r>
    <s v="007"/>
    <s v="PR01"/>
    <s v="815XPE100"/>
    <s v="Embou PVC PR 50*40*1&quot;1/2 femelle"/>
    <s v="UN"/>
    <n v="5"/>
    <n v="8"/>
    <n v="40"/>
    <x v="3"/>
  </r>
  <r>
    <s v="007"/>
    <s v="PR01"/>
    <s v="815xpe103"/>
    <s v="Tube Neon 60"/>
    <s v="UN"/>
    <n v="9"/>
    <n v="3.5"/>
    <n v="31.5"/>
    <x v="3"/>
  </r>
  <r>
    <s v="007"/>
    <s v="PR01"/>
    <s v="815XPE107"/>
    <s v="Arret d'urgence"/>
    <s v="UN"/>
    <n v="2"/>
    <n v="33.919199999999996"/>
    <n v="67.838399999999993"/>
    <x v="3"/>
  </r>
  <r>
    <s v="007"/>
    <s v="PR01"/>
    <s v="815xpe118"/>
    <s v="Fils thermocouple Type J 2fils  2*0.5"/>
    <s v="M"/>
    <n v="50"/>
    <n v="10.614599999999999"/>
    <n v="530.73"/>
    <x v="3"/>
  </r>
  <r>
    <s v="007"/>
    <s v="PR01"/>
    <s v="815XPE121"/>
    <s v="Scotch chatterton Grand taille"/>
    <s v="UN"/>
    <n v="18"/>
    <n v="2.2999999999999998"/>
    <n v="41.4"/>
    <x v="3"/>
  </r>
  <r>
    <s v="007"/>
    <s v="PR01"/>
    <s v="815xpe129"/>
    <s v="Condensateur 8µF MKA8 Demarrage moteur"/>
    <s v="UN"/>
    <n v="6"/>
    <n v="7.021221052631577"/>
    <n v="42.12732631578946"/>
    <x v="3"/>
  </r>
  <r>
    <s v="007"/>
    <s v="PR01"/>
    <s v="815XPE131"/>
    <s v="Gaine tréssé d36"/>
    <s v="M"/>
    <n v="22"/>
    <n v="29.7"/>
    <n v="653.4"/>
    <x v="3"/>
  </r>
  <r>
    <s v="007"/>
    <s v="PR01"/>
    <s v="815xpe134"/>
    <s v="Clame complet"/>
    <s v="UN"/>
    <n v="20"/>
    <n v="0.81200000000000006"/>
    <n v="16.240000000000002"/>
    <x v="3"/>
  </r>
  <r>
    <s v="007"/>
    <s v="PR01"/>
    <s v="815xpe135"/>
    <s v="Araignée"/>
    <s v="UN"/>
    <n v="20"/>
    <n v="4.8"/>
    <n v="96"/>
    <x v="3"/>
  </r>
  <r>
    <s v="007"/>
    <s v="PR01"/>
    <s v="815xpe136"/>
    <s v="CONNECTEUR CAPTEUR Male M12  4 broches"/>
    <s v="UN"/>
    <n v="5"/>
    <n v="49.5"/>
    <n v="247.5"/>
    <x v="3"/>
  </r>
  <r>
    <s v="007"/>
    <s v="PR01"/>
    <s v="815xpe139"/>
    <s v="Cable connecteur capteur M12 4fils"/>
    <s v="M"/>
    <n v="5"/>
    <n v="20.257575757575758"/>
    <n v="101.28787878787878"/>
    <x v="3"/>
  </r>
  <r>
    <s v="007"/>
    <s v="PR01"/>
    <s v="815XPE140"/>
    <s v="Support relais ZD50 10A   300V Carlo Gavazzi"/>
    <s v="UN"/>
    <n v="9"/>
    <n v="8.1437333333333335"/>
    <n v="73.293599999999998"/>
    <x v="3"/>
  </r>
  <r>
    <s v="007"/>
    <s v="PR01"/>
    <s v="815XPE165"/>
    <s v="Embou Fils 0.75mm BLEU"/>
    <s v="UN"/>
    <n v="150"/>
    <n v="1.439E-2"/>
    <n v="2.1585000000000001"/>
    <x v="3"/>
  </r>
  <r>
    <s v="007"/>
    <s v="PR01"/>
    <s v="815XPE166"/>
    <s v="Presse etoupe arrmoire PG-07 Ø 3.5-6MM"/>
    <s v="UN"/>
    <n v="25"/>
    <n v="0.23452000000000001"/>
    <n v="5.8630000000000004"/>
    <x v="3"/>
  </r>
  <r>
    <s v="007"/>
    <s v="PR01"/>
    <s v="815XPE167"/>
    <s v="Presse etoupe arrmoire PG-09 Ø 4-8MM"/>
    <s v="UN"/>
    <n v="25"/>
    <n v="0.252"/>
    <n v="6.3"/>
    <x v="3"/>
  </r>
  <r>
    <s v="007"/>
    <s v="PR01"/>
    <s v="815xpe168"/>
    <s v="Presse etoupe arrmoire PG-11 Ø5-10MM"/>
    <s v="UN"/>
    <n v="14"/>
    <n v="0.37309999999999999"/>
    <n v="5.2233999999999998"/>
    <x v="3"/>
  </r>
  <r>
    <s v="007"/>
    <s v="PR01"/>
    <s v="815XPE170"/>
    <s v="Bornier 2.5mm"/>
    <s v="UN"/>
    <n v="38"/>
    <n v="0.79300000000000004"/>
    <n v="30.134"/>
    <x v="3"/>
  </r>
  <r>
    <s v="007"/>
    <s v="PR01"/>
    <s v="815xpe171"/>
    <s v="Bornier 6mm"/>
    <s v="UN"/>
    <n v="5"/>
    <n v="1.0857000000000001"/>
    <n v="5.4285000000000005"/>
    <x v="3"/>
  </r>
  <r>
    <s v="007"/>
    <s v="PR01"/>
    <s v="815xpe172"/>
    <s v="Equerre de blocage Petit"/>
    <s v="UN"/>
    <n v="44"/>
    <n v="0.73072999999999999"/>
    <n v="32.152119999999996"/>
    <x v="3"/>
  </r>
  <r>
    <s v="007"/>
    <s v="PR01"/>
    <s v="815xpe173"/>
    <s v="Repere Bornier Bar de 10 numero 150"/>
    <s v="UN"/>
    <n v="90"/>
    <n v="0.40589999999999998"/>
    <n v="36.530999999999999"/>
    <x v="3"/>
  </r>
  <r>
    <s v="007"/>
    <s v="PR01"/>
    <s v="815xpe174"/>
    <s v="Repere Fil &quot;0&quot; 0.5-1.5 Noir"/>
    <s v="UN"/>
    <n v="190"/>
    <n v="6.3960000000000003E-2"/>
    <n v="12.1524"/>
    <x v="3"/>
  </r>
  <r>
    <s v="007"/>
    <s v="PR01"/>
    <s v="815xpe176"/>
    <s v="Repere Fil &quot;2&quot; 0.5-1.5"/>
    <s v="UN"/>
    <n v="98"/>
    <n v="6.3960000000000003E-2"/>
    <n v="6.2680800000000003"/>
    <x v="3"/>
  </r>
  <r>
    <s v="007"/>
    <s v="PR01"/>
    <s v="815xpe177"/>
    <s v="Repere Fil &quot;3&quot; 0.5-1.5"/>
    <s v="UN"/>
    <n v="88"/>
    <n v="6.3960000000000003E-2"/>
    <n v="5.6284800000000006"/>
    <x v="3"/>
  </r>
  <r>
    <s v="007"/>
    <s v="PR01"/>
    <s v="815xpe179"/>
    <s v="Repere Fil &quot;5&quot; 0.5-1.5"/>
    <s v="UN"/>
    <n v="98"/>
    <n v="6.3960000000000003E-2"/>
    <n v="6.2680800000000003"/>
    <x v="3"/>
  </r>
  <r>
    <s v="007"/>
    <s v="PR01"/>
    <s v="815xpe180"/>
    <s v="Repere Fil &quot;6&quot; 0.5-1.5"/>
    <s v="UN"/>
    <n v="86"/>
    <n v="6.3960000000000003E-2"/>
    <n v="5.5005600000000001"/>
    <x v="3"/>
  </r>
  <r>
    <s v="007"/>
    <s v="PR01"/>
    <s v="815xpe181"/>
    <s v="Repere Fil &quot;7&quot; 0.5-1.5"/>
    <s v="UN"/>
    <n v="100"/>
    <n v="6.3960000000000003E-2"/>
    <n v="6.3959999999999999"/>
    <x v="3"/>
  </r>
  <r>
    <s v="007"/>
    <s v="PR01"/>
    <s v="815xpe182"/>
    <s v="Repere Fil &quot;8&quot; 0.5-1.5"/>
    <s v="UN"/>
    <n v="100"/>
    <n v="6.3960000000000003E-2"/>
    <n v="6.3959999999999999"/>
    <x v="3"/>
  </r>
  <r>
    <s v="007"/>
    <s v="PR01"/>
    <s v="815xpe183"/>
    <s v="Repere Fil &quot;9&quot; 0.5-1.5"/>
    <s v="UN"/>
    <n v="100"/>
    <n v="6.3960000000000003E-2"/>
    <n v="6.3959999999999999"/>
    <x v="3"/>
  </r>
  <r>
    <s v="007"/>
    <s v="PR01"/>
    <s v="815xpe185"/>
    <s v="Repere Fil &quot;0&quot; 1.5-4 Noir"/>
    <s v="UN"/>
    <n v="50"/>
    <n v="7.4620000000000006E-2"/>
    <n v="3.7310000000000003"/>
    <x v="3"/>
  </r>
  <r>
    <s v="007"/>
    <s v="PR01"/>
    <s v="815xpe187"/>
    <s v="Repere Fil &quot;2&quot;1.5-4"/>
    <s v="UN"/>
    <n v="50"/>
    <n v="7.4620000000000006E-2"/>
    <n v="3.7310000000000003"/>
    <x v="3"/>
  </r>
  <r>
    <s v="007"/>
    <s v="PR01"/>
    <s v="815xpe188"/>
    <s v="Repere Fil &quot;3&quot;1.5-4"/>
    <s v="UN"/>
    <n v="50"/>
    <n v="7.4620000000000006E-2"/>
    <n v="3.7310000000000003"/>
    <x v="3"/>
  </r>
  <r>
    <s v="007"/>
    <s v="PR01"/>
    <s v="815xpe190"/>
    <s v="Repere Fil &quot;5&quot;1.5-4"/>
    <s v="UN"/>
    <n v="50"/>
    <n v="7.4620000000000006E-2"/>
    <n v="3.7310000000000003"/>
    <x v="3"/>
  </r>
  <r>
    <s v="007"/>
    <s v="PR01"/>
    <s v="815xpe191"/>
    <s v="Repere Fil &quot;6&quot;1.5-4"/>
    <s v="UN"/>
    <n v="50"/>
    <n v="7.4620000000000006E-2"/>
    <n v="3.7310000000000003"/>
    <x v="3"/>
  </r>
  <r>
    <s v="007"/>
    <s v="PR01"/>
    <s v="815xpe192"/>
    <s v="Repere Fil &quot;7&quot; 1.5-4"/>
    <s v="UN"/>
    <n v="50"/>
    <n v="7.4620000000000006E-2"/>
    <n v="3.7310000000000003"/>
    <x v="3"/>
  </r>
  <r>
    <s v="007"/>
    <s v="PR01"/>
    <s v="815xpe193"/>
    <s v="Repere Fil &quot;8&quot; 1.5-4"/>
    <s v="UN"/>
    <n v="50"/>
    <n v="7.4620000000000006E-2"/>
    <n v="3.7310000000000003"/>
    <x v="3"/>
  </r>
  <r>
    <s v="007"/>
    <s v="PR01"/>
    <s v="815xpe194"/>
    <s v="Repere Fil &quot;9&quot; 1.5-4"/>
    <s v="UN"/>
    <n v="50"/>
    <n v="7.4620000000000006E-2"/>
    <n v="3.7310000000000003"/>
    <x v="3"/>
  </r>
  <r>
    <s v="007"/>
    <s v="PR01"/>
    <s v="815XPE199"/>
    <s v="Fiche femelle 3P+T 32A-6 380-415V Encastrer sur c"/>
    <s v="UN"/>
    <n v="1"/>
    <n v="19.065777777777775"/>
    <n v="19.065777777777775"/>
    <x v="3"/>
  </r>
  <r>
    <s v="007"/>
    <s v="PR01"/>
    <s v="815XPE248"/>
    <s v="Bornier 4mm"/>
    <s v="UN"/>
    <n v="110"/>
    <n v="0.75768000000000002"/>
    <n v="83.344800000000006"/>
    <x v="3"/>
  </r>
  <r>
    <s v="007"/>
    <s v="PR01"/>
    <s v="815XPE249"/>
    <s v="Bouton poussoir NO ? 22 mm"/>
    <s v="UN"/>
    <n v="10"/>
    <n v="12.4"/>
    <n v="124"/>
    <x v="3"/>
  </r>
  <r>
    <s v="007"/>
    <s v="PR01"/>
    <s v="815XPE250"/>
    <s v="Bouton poussoir NC ? 22 mm"/>
    <s v="UN"/>
    <n v="17"/>
    <n v="12.4"/>
    <n v="210.8"/>
    <x v="3"/>
  </r>
  <r>
    <s v="007"/>
    <s v="PR01"/>
    <s v="815XPE252"/>
    <s v="Bouton poussoir étanche NC ? 22 mm"/>
    <s v="UN"/>
    <n v="1"/>
    <n v="13.175000000000001"/>
    <n v="13.175000000000001"/>
    <x v="3"/>
  </r>
  <r>
    <s v="007"/>
    <s v="PR01"/>
    <s v="815XPE253"/>
    <s v="Bornier 35mm 600V 130A"/>
    <s v="UN"/>
    <n v="2"/>
    <n v="3.2899526066350711"/>
    <n v="6.5799052132701421"/>
    <x v="3"/>
  </r>
  <r>
    <s v="007"/>
    <s v="PR01"/>
    <s v="815XPE256"/>
    <s v="SPOT LED ROND"/>
    <s v="UN"/>
    <n v="6"/>
    <n v="4.0911764705882359"/>
    <n v="24.547058823529415"/>
    <x v="3"/>
  </r>
  <r>
    <s v="007"/>
    <s v="PR01"/>
    <s v="815XPE257"/>
    <s v="Domino Bornier en céramique 3plots"/>
    <s v="UN"/>
    <n v="5"/>
    <n v="16.380179999999999"/>
    <n v="81.900899999999993"/>
    <x v="3"/>
  </r>
  <r>
    <s v="007"/>
    <s v="PR01"/>
    <s v="815XPE258"/>
    <s v="Fiche femelle 2P+T 16A-6 380-415V Encastrer sur c"/>
    <s v="UN"/>
    <n v="2"/>
    <n v="12.260434210526316"/>
    <n v="24.520868421052633"/>
    <x v="3"/>
  </r>
  <r>
    <s v="007"/>
    <s v="PR01"/>
    <s v="815XPE268"/>
    <s v="Boite de jonction cable 4*10Mmm (monchon+resine)"/>
    <s v="UN"/>
    <n v="1"/>
    <n v="55.295999999999999"/>
    <n v="55.295999999999999"/>
    <x v="3"/>
  </r>
  <r>
    <s v="007"/>
    <s v="PR01"/>
    <s v="815XPE269"/>
    <s v="chemin de câble Plastique 100mm*100mm"/>
    <s v="M"/>
    <n v="3"/>
    <n v="18.416368421052635"/>
    <n v="55.249105263157901"/>
    <x v="3"/>
  </r>
  <r>
    <s v="007"/>
    <s v="PR01"/>
    <s v="815XPE276"/>
    <s v="Fiche Male 3P+T 16A  380V"/>
    <s v="UN"/>
    <n v="10"/>
    <n v="7.541785714285715"/>
    <n v="75.417857142857144"/>
    <x v="3"/>
  </r>
  <r>
    <s v="007"/>
    <s v="PR01"/>
    <s v="815XPE291"/>
    <s v="Fiche Femelle 3P+T 16A 380V"/>
    <s v="UN"/>
    <n v="10"/>
    <n v="9.8819999999999997"/>
    <n v="98.82"/>
    <x v="3"/>
  </r>
  <r>
    <s v="007"/>
    <s v="PR01"/>
    <s v="815XPE295"/>
    <s v="domino en céramique 2x2,5mm"/>
    <s v="UN"/>
    <n v="47"/>
    <n v="2.4390000000000001"/>
    <n v="114.63300000000001"/>
    <x v="3"/>
  </r>
  <r>
    <s v="007"/>
    <s v="PR01"/>
    <s v="815XPE296"/>
    <s v="domino en céramique 2x4mm"/>
    <s v="UN"/>
    <n v="28"/>
    <n v="3.4286498632010942"/>
    <n v="96.002196169630636"/>
    <x v="3"/>
  </r>
  <r>
    <s v="007"/>
    <s v="PR01"/>
    <s v="815XPE297"/>
    <s v="domino en céramique 2x6mm"/>
    <s v="UN"/>
    <n v="88"/>
    <n v="6.48"/>
    <n v="570.24"/>
    <x v="3"/>
  </r>
  <r>
    <s v="007"/>
    <s v="PR01"/>
    <s v="815XPE299"/>
    <s v="domino en céramique 3x6mm"/>
    <s v="UN"/>
    <n v="40"/>
    <n v="8.1062130909090904"/>
    <n v="324.24852363636364"/>
    <x v="3"/>
  </r>
  <r>
    <s v="007"/>
    <s v="PR01"/>
    <s v="815XPE313"/>
    <s v="CHAPE FEMELLE SG-M6 FESTO"/>
    <s v="UN"/>
    <n v="6"/>
    <n v="10.9215"/>
    <n v="65.528999999999996"/>
    <x v="3"/>
  </r>
  <r>
    <s v="007"/>
    <s v="PR01"/>
    <s v="815XPE330"/>
    <s v="COFFRET DET70 MERSA"/>
    <s v="UN"/>
    <n v="1"/>
    <n v="296.73200000000003"/>
    <n v="296.73200000000003"/>
    <x v="3"/>
  </r>
  <r>
    <s v="007"/>
    <s v="PR01"/>
    <s v="815XPE331"/>
    <s v="Boite de jonction thermique p/cable 5*16mm2"/>
    <s v="UN"/>
    <n v="8"/>
    <n v="28.6"/>
    <n v="228.8"/>
    <x v="3"/>
  </r>
  <r>
    <s v="007"/>
    <s v="PR01"/>
    <s v="815XPE332"/>
    <s v="Canalis 25A"/>
    <s v="UN"/>
    <n v="6"/>
    <n v="92.860799999999998"/>
    <n v="557.16480000000001"/>
    <x v="3"/>
  </r>
  <r>
    <s v="007"/>
    <s v="PR01"/>
    <s v="815XPE333"/>
    <s v="Connecteur Canalis"/>
    <s v="UN"/>
    <n v="7"/>
    <n v="11.583"/>
    <n v="81.081000000000003"/>
    <x v="3"/>
  </r>
  <r>
    <s v="007"/>
    <s v="PR01"/>
    <s v="815XPE334"/>
    <s v="Alimentation Canalis"/>
    <s v="UN"/>
    <n v="2"/>
    <n v="51.488999999999997"/>
    <n v="102.97799999999999"/>
    <x v="3"/>
  </r>
  <r>
    <s v="007"/>
    <s v="PR01"/>
    <s v="815XPE335"/>
    <s v="Support de fixation Canalis"/>
    <s v="UN"/>
    <n v="42"/>
    <n v="5.85"/>
    <n v="245.7"/>
    <x v="3"/>
  </r>
  <r>
    <s v="007"/>
    <s v="PR01"/>
    <s v="815XPE336"/>
    <s v="Tube neon LED 1.2 Canalis"/>
    <s v="UN"/>
    <n v="20"/>
    <n v="9.8103999999999996"/>
    <n v="196.208"/>
    <x v="3"/>
  </r>
  <r>
    <s v="007"/>
    <s v="PR01"/>
    <s v="815XPE338"/>
    <s v="Serre câble plastique 4,8*200"/>
    <s v="UN"/>
    <n v="5"/>
    <n v="3.4620000000000002"/>
    <n v="17.310000000000002"/>
    <x v="3"/>
  </r>
  <r>
    <s v="007"/>
    <s v="PR01"/>
    <s v="815XPE339"/>
    <s v="serre câble plastique 4,8x300mm"/>
    <s v="UN"/>
    <n v="1"/>
    <n v="5.49"/>
    <n v="5.49"/>
    <x v="3"/>
  </r>
  <r>
    <s v="007"/>
    <s v="PR01"/>
    <s v="815XPE340"/>
    <s v="serre câble plastique 7,2x400mm"/>
    <s v="UN"/>
    <n v="8"/>
    <n v="23.315999999999999"/>
    <n v="186.52799999999999"/>
    <x v="3"/>
  </r>
  <r>
    <s v="007"/>
    <s v="PR01"/>
    <s v="815XPE341"/>
    <s v="Serre câble plastique 8*500mm"/>
    <s v="UN"/>
    <n v="5"/>
    <n v="34.799999999999997"/>
    <n v="174"/>
    <x v="3"/>
  </r>
  <r>
    <s v="007"/>
    <s v="PR01"/>
    <s v="815XPE343"/>
    <s v="Socle pour rélais 14 broches"/>
    <s v="UN"/>
    <n v="20"/>
    <n v="10.228899999999999"/>
    <n v="204.57799999999997"/>
    <x v="3"/>
  </r>
  <r>
    <s v="007"/>
    <s v="PR01"/>
    <s v="815XPE344"/>
    <s v="Fiche mâle 220v"/>
    <s v="UN"/>
    <n v="11"/>
    <n v="1.1833238095238097"/>
    <n v="13.016561904761906"/>
    <x v="3"/>
  </r>
  <r>
    <s v="007"/>
    <s v="PR01"/>
    <s v="815XPE345"/>
    <s v="FICHE MALE 3P+T 32A 380-415V"/>
    <s v="UN"/>
    <n v="8"/>
    <n v="11.237"/>
    <n v="89.896000000000001"/>
    <x v="3"/>
  </r>
  <r>
    <s v="007"/>
    <s v="PR01"/>
    <s v="815XPE346"/>
    <s v="Fiche femelle 220V"/>
    <s v="UN"/>
    <n v="26"/>
    <n v="1.165"/>
    <n v="30.29"/>
    <x v="3"/>
  </r>
  <r>
    <s v="007"/>
    <s v="PR01"/>
    <s v="815XPE347"/>
    <s v="Fiche femelle 3P+T 32A-6/ 380-415V"/>
    <s v="UN"/>
    <n v="4"/>
    <n v="11.423999999999999"/>
    <n v="45.695999999999998"/>
    <x v="3"/>
  </r>
  <r>
    <s v="007"/>
    <s v="PR01"/>
    <s v="815XPE351"/>
    <s v="Ventilateur 220v"/>
    <s v="UN"/>
    <n v="9"/>
    <n v="22.429345098039217"/>
    <n v="201.86410588235296"/>
    <x v="3"/>
  </r>
  <r>
    <s v="007"/>
    <s v="PR01"/>
    <s v="815XPE353"/>
    <s v="Scotch chatterton"/>
    <s v="UN"/>
    <n v="24"/>
    <n v="0.435"/>
    <n v="10.44"/>
    <x v="3"/>
  </r>
  <r>
    <s v="007"/>
    <s v="PR01"/>
    <s v="815XPE354"/>
    <s v="Fiche Male 3P+T 25A  380V"/>
    <s v="UN"/>
    <n v="5"/>
    <n v="7.3049999999999997"/>
    <n v="36.524999999999999"/>
    <x v="3"/>
  </r>
  <r>
    <s v="007"/>
    <s v="PR01"/>
    <s v="815XPE355"/>
    <s v="Fiche Male 2P+T 16A PCE"/>
    <s v="UN"/>
    <n v="2"/>
    <n v="8.0749999999999993"/>
    <n v="16.149999999999999"/>
    <x v="3"/>
  </r>
  <r>
    <s v="007"/>
    <s v="PR01"/>
    <s v="815XPE357"/>
    <s v="Reflecteur Blanc pour photocell"/>
    <s v="UN"/>
    <n v="5"/>
    <n v="23.204999999999998"/>
    <n v="116.02499999999999"/>
    <x v="3"/>
  </r>
  <r>
    <s v="007"/>
    <s v="PR01"/>
    <s v="815XPE374"/>
    <s v="Pedale Electrique FS1-1"/>
    <s v="UN"/>
    <n v="2"/>
    <n v="17.434999999999999"/>
    <n v="34.869999999999997"/>
    <x v="3"/>
  </r>
  <r>
    <s v="007"/>
    <s v="PR01"/>
    <s v="815XPE376"/>
    <s v="Repere fil 1.5-3.2mm (paquet 1000pcs)"/>
    <s v="UN"/>
    <n v="4"/>
    <n v="4.5599999999999996"/>
    <n v="18.239999999999998"/>
    <x v="3"/>
  </r>
  <r>
    <s v="007"/>
    <s v="PR01"/>
    <s v="815XPE378"/>
    <s v="Manchon de  jonction cable 150mm"/>
    <s v="UN"/>
    <n v="2"/>
    <n v="12.852"/>
    <n v="25.704000000000001"/>
    <x v="3"/>
  </r>
  <r>
    <s v="007"/>
    <s v="PR01"/>
    <s v="815XPE380"/>
    <s v="HUBLOT OVAL GM BLANC"/>
    <s v="UN"/>
    <n v="45"/>
    <n v="9.9314999999999998"/>
    <n v="446.91750000000002"/>
    <x v="3"/>
  </r>
  <r>
    <s v="007"/>
    <s v="PR01"/>
    <s v="815xpe385"/>
    <s v="DOUILLE E27"/>
    <s v="UN"/>
    <n v="6"/>
    <n v="1.3748181818181817"/>
    <n v="8.2489090909090912"/>
    <x v="3"/>
  </r>
  <r>
    <s v="007"/>
    <s v="PR01"/>
    <s v="815XPE397"/>
    <s v="Bouton poussoir Jaune"/>
    <s v="UN"/>
    <n v="2"/>
    <n v="0"/>
    <n v="0"/>
    <x v="3"/>
  </r>
  <r>
    <s v="007"/>
    <s v="PR01"/>
    <s v="815XPE398"/>
    <s v="Manchon de  jonction cable M95"/>
    <s v="M"/>
    <n v="2"/>
    <n v="0"/>
    <n v="0"/>
    <x v="3"/>
  </r>
  <r>
    <s v="007"/>
    <s v="PR01"/>
    <s v="815XPE415"/>
    <s v="Bouton poussoir marche/arret+Voyant 220v"/>
    <s v="UN"/>
    <n v="4"/>
    <n v="46.904000000000003"/>
    <n v="187.61600000000001"/>
    <x v="3"/>
  </r>
  <r>
    <s v="007"/>
    <s v="PR01"/>
    <s v="815XPE419"/>
    <s v="Lampe bouton poussoir BA9AS 230V"/>
    <s v="UN"/>
    <n v="4"/>
    <n v="4.8380000000000001"/>
    <n v="19.352"/>
    <x v="3"/>
  </r>
  <r>
    <s v="007"/>
    <s v="PR01"/>
    <s v="815XPE426"/>
    <s v="Chemin de cable perforee 215/60"/>
    <s v="M"/>
    <n v="2"/>
    <n v="13.311999999999999"/>
    <n v="26.623999999999999"/>
    <x v="3"/>
  </r>
  <r>
    <s v="007"/>
    <s v="PR01"/>
    <s v="815XPE427"/>
    <s v="Couvercle Chemin de cable perforee 215/60"/>
    <s v="M"/>
    <n v="1"/>
    <n v="7.84"/>
    <n v="7.84"/>
    <x v="3"/>
  </r>
  <r>
    <s v="007"/>
    <s v="PR01"/>
    <s v="820ABR013"/>
    <s v="PAPIER ABRASIF 150"/>
    <s v="UN"/>
    <n v="30"/>
    <n v="0.58499999999999996"/>
    <n v="17.549999999999997"/>
    <x v="3"/>
  </r>
  <r>
    <s v="007"/>
    <s v="PR01"/>
    <s v="820ABR016"/>
    <s v="Papier abrasif N400"/>
    <s v="UN"/>
    <n v="43"/>
    <n v="0.56200000000000006"/>
    <n v="24.166000000000004"/>
    <x v="3"/>
  </r>
  <r>
    <s v="007"/>
    <s v="PR01"/>
    <s v="820ABR018"/>
    <s v="Papier abrasif P220"/>
    <s v="UN"/>
    <n v="63"/>
    <n v="0.68579999999999997"/>
    <n v="43.205399999999997"/>
    <x v="3"/>
  </r>
  <r>
    <s v="007"/>
    <s v="PR01"/>
    <s v="820BAG007"/>
    <s v="BAGUETTE  ELECTRODE 3.2"/>
    <s v="UN"/>
    <n v="2"/>
    <n v="21.941099999999999"/>
    <n v="43.882199999999997"/>
    <x v="3"/>
  </r>
  <r>
    <s v="007"/>
    <s v="PR01"/>
    <s v="820BAG020"/>
    <s v="Baguette de soudure Fonte"/>
    <s v="UN"/>
    <n v="2"/>
    <n v="2.5151500000000002"/>
    <n v="5.0303000000000004"/>
    <x v="3"/>
  </r>
  <r>
    <s v="007"/>
    <s v="PR01"/>
    <s v="820BAG021"/>
    <s v="Baguette de soudure Brasure"/>
    <s v="UN"/>
    <n v="2"/>
    <n v="3.3580000000000001"/>
    <n v="6.7160000000000002"/>
    <x v="3"/>
  </r>
  <r>
    <s v="007"/>
    <s v="PR01"/>
    <s v="820BAG023"/>
    <s v="Poudre de soudure Bleu"/>
    <s v="UN"/>
    <n v="1"/>
    <n v="58.65"/>
    <n v="58.65"/>
    <x v="3"/>
  </r>
  <r>
    <s v="007"/>
    <s v="PR01"/>
    <s v="820DIS001"/>
    <s v="Disque Ebarber 180"/>
    <s v="UN"/>
    <n v="60"/>
    <n v="4.9809999999999999"/>
    <n v="298.86"/>
    <x v="3"/>
  </r>
  <r>
    <s v="007"/>
    <s v="PR01"/>
    <s v="820dis002"/>
    <s v="Disque Ebarber 115"/>
    <s v="UN"/>
    <n v="42"/>
    <n v="2.1"/>
    <n v="88.2"/>
    <x v="3"/>
  </r>
  <r>
    <s v="007"/>
    <s v="PR01"/>
    <s v="820dis003"/>
    <s v="Disque A ebarber 230"/>
    <s v="UN"/>
    <n v="33"/>
    <n v="6.8979999999999997"/>
    <n v="227.63399999999999"/>
    <x v="3"/>
  </r>
  <r>
    <s v="007"/>
    <s v="PR01"/>
    <s v="820dis004"/>
    <s v="Disque a lamelle 115"/>
    <s v="UN"/>
    <n v="14"/>
    <n v="3.024"/>
    <n v="42.335999999999999"/>
    <x v="3"/>
  </r>
  <r>
    <s v="007"/>
    <s v="PR01"/>
    <s v="820DIS006"/>
    <s v="DISQUE ACIER 230"/>
    <s v="UN"/>
    <n v="18"/>
    <n v="2.9224888888888887"/>
    <n v="52.604799999999997"/>
    <x v="3"/>
  </r>
  <r>
    <s v="007"/>
    <s v="PR01"/>
    <s v="820DIS008"/>
    <s v="DISQUE INOX 115 POUR TRONCONNEUSE"/>
    <s v="UN"/>
    <n v="17"/>
    <n v="2.9186999999999999"/>
    <n v="49.617899999999999"/>
    <x v="3"/>
  </r>
  <r>
    <s v="007"/>
    <s v="PR01"/>
    <s v="820DIS009"/>
    <s v="DISQUE INOX 230 COUPE"/>
    <s v="UN"/>
    <n v="9"/>
    <n v="3.3929999999999998"/>
    <n v="30.536999999999999"/>
    <x v="3"/>
  </r>
  <r>
    <s v="007"/>
    <s v="PR01"/>
    <s v="820DIS013"/>
    <s v="Disque 125 INOX COUPE"/>
    <s v="UN"/>
    <n v="25"/>
    <n v="1.4990000000000001"/>
    <n v="37.475000000000001"/>
    <x v="3"/>
  </r>
  <r>
    <s v="007"/>
    <s v="PR01"/>
    <s v="820GOU005"/>
    <s v="GOUJON D13*40"/>
    <s v="UN"/>
    <n v="4"/>
    <n v="22.452000000000002"/>
    <n v="89.808000000000007"/>
    <x v="3"/>
  </r>
  <r>
    <s v="007"/>
    <s v="PR01"/>
    <s v="820GOU008"/>
    <s v="GOUPILLE  D5*80 Elastique"/>
    <s v="UN"/>
    <n v="95"/>
    <n v="0.39600000000000002"/>
    <n v="37.620000000000005"/>
    <x v="3"/>
  </r>
  <r>
    <s v="007"/>
    <s v="PR01"/>
    <s v="820lai001"/>
    <s v="SILENCIEUX LAITON G1/8"/>
    <s v="UN"/>
    <n v="15"/>
    <n v="2.3290000000000002"/>
    <n v="34.935000000000002"/>
    <x v="3"/>
  </r>
  <r>
    <s v="007"/>
    <s v="PR01"/>
    <s v="820POM003"/>
    <s v="Pompe immergee  2CV"/>
    <s v="UN"/>
    <n v="1"/>
    <n v="849.87800000000004"/>
    <n v="849.87800000000004"/>
    <x v="3"/>
  </r>
  <r>
    <s v="007"/>
    <s v="PR01"/>
    <s v="820POM017"/>
    <s v="Pompe PP DEBEM BOXER 522  CH.Acide"/>
    <s v="UN"/>
    <n v="0"/>
    <n v="5659.5"/>
    <n v="0"/>
    <x v="3"/>
  </r>
  <r>
    <s v="007"/>
    <s v="PR01"/>
    <s v="820POM022"/>
    <s v="CORPS DE POMPE DEBEM MB110  CH.ACIDE"/>
    <s v="UN"/>
    <n v="1"/>
    <n v="122.95"/>
    <n v="122.95"/>
    <x v="3"/>
  </r>
  <r>
    <s v="007"/>
    <s v="PR01"/>
    <s v="820POM023"/>
    <s v="Joint CORPS DE POMPE DEBEM MB110  CH.ACIDE"/>
    <s v="UN"/>
    <n v="2"/>
    <n v="47.65"/>
    <n v="95.3"/>
    <x v="3"/>
  </r>
  <r>
    <s v="007"/>
    <s v="PR01"/>
    <s v="820POM025"/>
    <s v="POMP TW-30R M.Nivelage"/>
    <s v="UN"/>
    <n v="1"/>
    <n v="0"/>
    <n v="0"/>
    <x v="3"/>
  </r>
  <r>
    <s v="007"/>
    <s v="PR01"/>
    <s v="820POM030"/>
    <s v="Collecteur pompe BOXER522 PP CH.Acide"/>
    <s v="UN"/>
    <n v="2"/>
    <n v="396.15"/>
    <n v="792.3"/>
    <x v="3"/>
  </r>
  <r>
    <s v="007"/>
    <s v="PR01"/>
    <s v="820RIV007"/>
    <s v="RIVET 3.8*20"/>
    <s v="UN"/>
    <n v="20"/>
    <n v="0.19656000000000001"/>
    <n v="3.9312000000000005"/>
    <x v="3"/>
  </r>
  <r>
    <s v="007"/>
    <s v="PR01"/>
    <s v="820TUB005"/>
    <s v="TUBE MULTICOUCHE D20"/>
    <s v="M"/>
    <n v="23.75"/>
    <n v="4.5495000000000001"/>
    <n v="108.050625"/>
    <x v="3"/>
  </r>
  <r>
    <s v="007"/>
    <s v="PR01"/>
    <s v="820XMC005"/>
    <s v="LAME DE SCIE"/>
    <s v="UN"/>
    <n v="13"/>
    <n v="0.82499999999999996"/>
    <n v="10.725"/>
    <x v="3"/>
  </r>
  <r>
    <s v="007"/>
    <s v="PR01"/>
    <s v="820XMC009"/>
    <s v="VIS TH (acier) M10*60"/>
    <s v="UN"/>
    <n v="129"/>
    <n v="0.46500000000000002"/>
    <n v="59.985000000000007"/>
    <x v="3"/>
  </r>
  <r>
    <s v="007"/>
    <s v="PR01"/>
    <s v="820XMC010"/>
    <s v="Vis sixpans (acier) M10*60"/>
    <s v="UN"/>
    <n v="22"/>
    <n v="0.37094660194174761"/>
    <n v="8.1608252427184471"/>
    <x v="3"/>
  </r>
  <r>
    <s v="007"/>
    <s v="PR01"/>
    <s v="820XMC012"/>
    <s v="VIS TH (acier) M06*60"/>
    <s v="UN"/>
    <n v="316"/>
    <n v="0.16726573619631901"/>
    <n v="52.85597263803681"/>
    <x v="3"/>
  </r>
  <r>
    <s v="007"/>
    <s v="PR01"/>
    <s v="820XMC015"/>
    <s v="écrou (acier) M14"/>
    <s v="UN"/>
    <n v="180"/>
    <n v="0.125"/>
    <n v="22.5"/>
    <x v="3"/>
  </r>
  <r>
    <s v="007"/>
    <s v="PR01"/>
    <s v="820XMC019"/>
    <s v="TIREFOND M10*50"/>
    <s v="UN"/>
    <n v="95"/>
    <n v="0.31014000000000003"/>
    <n v="29.463300000000004"/>
    <x v="3"/>
  </r>
  <r>
    <s v="007"/>
    <s v="PR01"/>
    <s v="820XMC022"/>
    <s v="CHEVILLE METALLIQUE M12*20"/>
    <s v="UN"/>
    <n v="15"/>
    <n v="1.8105"/>
    <n v="27.157499999999999"/>
    <x v="3"/>
  </r>
  <r>
    <s v="007"/>
    <s v="PR01"/>
    <s v="820XMC033"/>
    <s v="COUDE REDUCTEUR M1/4 M1/8"/>
    <s v="UN"/>
    <n v="101"/>
    <n v="7.2"/>
    <n v="727.2"/>
    <x v="3"/>
  </r>
  <r>
    <s v="007"/>
    <s v="PR01"/>
    <s v="820XMC035"/>
    <s v="vis six pans (acier) M05*50"/>
    <s v="UN"/>
    <n v="302"/>
    <n v="0.19486187845303865"/>
    <n v="58.848287292817673"/>
    <x v="3"/>
  </r>
  <r>
    <s v="007"/>
    <s v="PR01"/>
    <s v="820XMC036"/>
    <s v="vis six pans (acier) M06*50"/>
    <s v="UN"/>
    <n v="318"/>
    <n v="0.21568278894472359"/>
    <n v="68.587126884422105"/>
    <x v="3"/>
  </r>
  <r>
    <s v="007"/>
    <s v="PR01"/>
    <s v="820XMC037"/>
    <s v="vis six pans (acier) M06*30"/>
    <s v="UN"/>
    <n v="558"/>
    <n v="9.35E-2"/>
    <n v="52.173000000000002"/>
    <x v="3"/>
  </r>
  <r>
    <s v="007"/>
    <s v="PR01"/>
    <s v="820XMC038"/>
    <s v="vis six pans (acier) M08*30"/>
    <s v="UN"/>
    <n v="532"/>
    <n v="0.21"/>
    <n v="111.72"/>
    <x v="3"/>
  </r>
  <r>
    <s v="007"/>
    <s v="PR01"/>
    <s v="820XMC039"/>
    <s v="vis six pans (acier) M08*50"/>
    <s v="UN"/>
    <n v="230"/>
    <n v="0.28599999999999998"/>
    <n v="65.78"/>
    <x v="3"/>
  </r>
  <r>
    <s v="007"/>
    <s v="PR01"/>
    <s v="820XMC040"/>
    <s v="VIS TH (acier) M10*40"/>
    <s v="UN"/>
    <n v="49"/>
    <n v="0.315"/>
    <n v="15.435"/>
    <x v="3"/>
  </r>
  <r>
    <s v="007"/>
    <s v="PR01"/>
    <s v="820XMC041"/>
    <s v="VIS TH (acier) M12*100"/>
    <s v="UN"/>
    <n v="50"/>
    <n v="1.0674870607734805"/>
    <n v="53.37435303867403"/>
    <x v="3"/>
  </r>
  <r>
    <s v="007"/>
    <s v="PR01"/>
    <s v="820XMC042"/>
    <s v="VIS TH (acier) M10*70"/>
    <s v="UN"/>
    <n v="208"/>
    <n v="0.48299999999999998"/>
    <n v="100.464"/>
    <x v="3"/>
  </r>
  <r>
    <s v="007"/>
    <s v="PR01"/>
    <s v="820XMC043"/>
    <s v="VIS TH (acier) M14*80"/>
    <s v="UN"/>
    <n v="45"/>
    <n v="1.1539999999999999"/>
    <n v="51.929999999999993"/>
    <x v="3"/>
  </r>
  <r>
    <s v="007"/>
    <s v="PR01"/>
    <s v="820XMC044"/>
    <s v="VIS TH M14*100"/>
    <s v="UN"/>
    <n v="89"/>
    <n v="1.5189999999999999"/>
    <n v="135.191"/>
    <x v="3"/>
  </r>
  <r>
    <s v="007"/>
    <s v="PR01"/>
    <s v="820XMC045"/>
    <s v="VIS TH (acier) M16*100"/>
    <s v="UN"/>
    <n v="15"/>
    <n v="1.8360000000000001"/>
    <n v="27.540000000000003"/>
    <x v="3"/>
  </r>
  <r>
    <s v="007"/>
    <s v="PR01"/>
    <s v="820XMC049"/>
    <s v="écrou (acier) M18"/>
    <s v="UN"/>
    <n v="250"/>
    <n v="0.48481246339775336"/>
    <n v="121.20311584943833"/>
    <x v="3"/>
  </r>
  <r>
    <s v="007"/>
    <s v="PR01"/>
    <s v="820XMC050"/>
    <s v="écrou (acier) M20"/>
    <s v="UN"/>
    <n v="41"/>
    <n v="0.46"/>
    <n v="18.86"/>
    <x v="3"/>
  </r>
  <r>
    <s v="007"/>
    <s v="PR01"/>
    <s v="820XMC054"/>
    <s v="VIS TH (acier) M16*40"/>
    <s v="UN"/>
    <n v="15"/>
    <n v="0.90400000000000003"/>
    <n v="13.56"/>
    <x v="3"/>
  </r>
  <r>
    <s v="007"/>
    <s v="PR01"/>
    <s v="820XMC060"/>
    <s v="Tige fileté (INOX) M08"/>
    <s v="UN"/>
    <n v="8.25"/>
    <n v="11.813000000000001"/>
    <n v="97.457250000000002"/>
    <x v="3"/>
  </r>
  <r>
    <s v="007"/>
    <s v="PR01"/>
    <s v="820XMC065"/>
    <s v="VIS TH (acier) M 12*30"/>
    <s v="UN"/>
    <n v="144"/>
    <n v="0.33638000000000001"/>
    <n v="48.438720000000004"/>
    <x v="3"/>
  </r>
  <r>
    <s v="007"/>
    <s v="PR01"/>
    <s v="820XMC066"/>
    <s v="VIS TH (INOX) M10*50"/>
    <s v="UN"/>
    <n v="78"/>
    <n v="0.84150000000000003"/>
    <n v="65.637"/>
    <x v="3"/>
  </r>
  <r>
    <s v="007"/>
    <s v="PR01"/>
    <s v="820XMC074"/>
    <s v="écrou (inox) M14"/>
    <s v="UN"/>
    <n v="25"/>
    <n v="0.62900999999999996"/>
    <n v="15.725249999999999"/>
    <x v="3"/>
  </r>
  <r>
    <s v="007"/>
    <s v="PR01"/>
    <s v="820XMC075"/>
    <s v="Rondelle plate (INOX) M14"/>
    <s v="UN"/>
    <n v="25"/>
    <n v="0.2465"/>
    <n v="6.1624999999999996"/>
    <x v="3"/>
  </r>
  <r>
    <s v="007"/>
    <s v="PR01"/>
    <s v="820XMC077"/>
    <s v="VIS TH (INOX) M14*100"/>
    <s v="UN"/>
    <n v="5"/>
    <n v="3.4"/>
    <n v="17"/>
    <x v="3"/>
  </r>
  <r>
    <s v="007"/>
    <s v="PR01"/>
    <s v="820XMC079"/>
    <s v="VIS TH (acier) M16*50"/>
    <s v="UN"/>
    <n v="136"/>
    <n v="1.0529999999999999"/>
    <n v="143.208"/>
    <x v="3"/>
  </r>
  <r>
    <s v="007"/>
    <s v="PR01"/>
    <s v="820XMC088"/>
    <s v="VIS TH (acier) M14X50"/>
    <s v="UN"/>
    <n v="140"/>
    <n v="0.998"/>
    <n v="139.72"/>
    <x v="3"/>
  </r>
  <r>
    <s v="007"/>
    <s v="PR01"/>
    <s v="820XMC105"/>
    <s v="écrou frein M6"/>
    <s v="UN"/>
    <n v="133"/>
    <n v="2.5437308868501526E-2"/>
    <n v="3.3831620795107029"/>
    <x v="3"/>
  </r>
  <r>
    <s v="007"/>
    <s v="PR01"/>
    <s v="820XMC109"/>
    <s v="VIS TH (acier) M06*40"/>
    <s v="UN"/>
    <n v="140"/>
    <n v="0.12065255813953489"/>
    <n v="16.891358139534884"/>
    <x v="3"/>
  </r>
  <r>
    <s v="007"/>
    <s v="PR01"/>
    <s v="820XMC117"/>
    <s v="tige fileté (acier) M04"/>
    <s v="UN"/>
    <n v="3"/>
    <n v="0.94299999999999995"/>
    <n v="2.8289999999999997"/>
    <x v="3"/>
  </r>
  <r>
    <s v="007"/>
    <s v="PR01"/>
    <s v="820XMC118"/>
    <s v="Baladeuse"/>
    <s v="UN"/>
    <n v="1"/>
    <n v="30.809699999999999"/>
    <n v="30.809699999999999"/>
    <x v="3"/>
  </r>
  <r>
    <s v="007"/>
    <s v="PR01"/>
    <s v="820XMC145"/>
    <s v="Vis six pans (acier) M06*80"/>
    <s v="UN"/>
    <n v="104"/>
    <n v="0.30499999999999999"/>
    <n v="31.72"/>
    <x v="3"/>
  </r>
  <r>
    <s v="007"/>
    <s v="PR01"/>
    <s v="820XMC151"/>
    <s v="Tirefond M10*90"/>
    <s v="UN"/>
    <n v="40"/>
    <n v="0.38613999999999998"/>
    <n v="15.445599999999999"/>
    <x v="3"/>
  </r>
  <r>
    <s v="007"/>
    <s v="PR01"/>
    <s v="820XMC167"/>
    <s v="écrou (acier) M24"/>
    <s v="UN"/>
    <n v="28"/>
    <n v="1.0506"/>
    <n v="29.416799999999999"/>
    <x v="3"/>
  </r>
  <r>
    <s v="007"/>
    <s v="PR01"/>
    <s v="820XMC168"/>
    <s v="Vis sixpans fraisé (Acier) M10*20"/>
    <s v="UN"/>
    <n v="320"/>
    <n v="0.32140750000000007"/>
    <n v="102.85040000000002"/>
    <x v="3"/>
  </r>
  <r>
    <s v="007"/>
    <s v="PR01"/>
    <s v="820XMC169"/>
    <s v="VIS TH M08*60"/>
    <s v="UN"/>
    <n v="25"/>
    <n v="0.25700000000000001"/>
    <n v="6.4249999999999998"/>
    <x v="3"/>
  </r>
  <r>
    <s v="007"/>
    <s v="PR01"/>
    <s v="820XMC171"/>
    <s v="VIS SIX PANS (acier) M12*20"/>
    <s v="UN"/>
    <n v="24"/>
    <n v="0.51200000000000001"/>
    <n v="12.288"/>
    <x v="3"/>
  </r>
  <r>
    <s v="007"/>
    <s v="PR01"/>
    <s v="820XMC172"/>
    <s v="VIS TETE FRAISEE M10*50"/>
    <s v="UN"/>
    <n v="27"/>
    <n v="0.44900000000000007"/>
    <n v="12.123000000000001"/>
    <x v="3"/>
  </r>
  <r>
    <s v="007"/>
    <s v="PR01"/>
    <s v="820XMC173"/>
    <s v="VIS TH (acier) M08*20"/>
    <s v="UN"/>
    <n v="260"/>
    <n v="9.5399999999999985E-2"/>
    <n v="24.803999999999995"/>
    <x v="3"/>
  </r>
  <r>
    <s v="007"/>
    <s v="PR01"/>
    <s v="820XMC174"/>
    <s v="Rondelle plate (acier) M24"/>
    <s v="UN"/>
    <n v="40"/>
    <n v="0.42159999999999997"/>
    <n v="16.863999999999997"/>
    <x v="3"/>
  </r>
  <r>
    <s v="007"/>
    <s v="PR01"/>
    <s v="820XMC175"/>
    <s v="Ecrou (acier) M22"/>
    <s v="UN"/>
    <n v="140"/>
    <n v="0.65800000000000003"/>
    <n v="92.12"/>
    <x v="3"/>
  </r>
  <r>
    <s v="007"/>
    <s v="PR01"/>
    <s v="820XMC176"/>
    <s v="Ecrou Papillon Acier M6"/>
    <s v="UN"/>
    <n v="120"/>
    <n v="4.6519578313253014"/>
    <n v="558.23493975903614"/>
    <x v="3"/>
  </r>
  <r>
    <s v="007"/>
    <s v="PR01"/>
    <s v="820XMC177"/>
    <s v="RONDELLE DE 16"/>
    <s v="UN"/>
    <n v="10"/>
    <n v="3.15"/>
    <n v="31.5"/>
    <x v="3"/>
  </r>
  <r>
    <s v="007"/>
    <s v="PR01"/>
    <s v="820XMC178"/>
    <s v="vis six pans (acier) M05*60"/>
    <s v="UN"/>
    <n v="162"/>
    <n v="0.13600000000000001"/>
    <n v="22.032"/>
    <x v="3"/>
  </r>
  <r>
    <s v="007"/>
    <s v="PR01"/>
    <s v="820xmc179"/>
    <s v="Ecrou Papillon Acier M8"/>
    <s v="UN"/>
    <n v="133"/>
    <n v="5.317887086092715"/>
    <n v="707.27898245033111"/>
    <x v="3"/>
  </r>
  <r>
    <s v="007"/>
    <s v="PR01"/>
    <s v="820XMC180"/>
    <s v="Ecrou Papillon Acier M10"/>
    <s v="UN"/>
    <n v="79"/>
    <n v="24.328700000000001"/>
    <n v="1921.9673"/>
    <x v="3"/>
  </r>
  <r>
    <s v="007"/>
    <s v="PR01"/>
    <s v="820xmc183"/>
    <s v="GOUPILLE M05*60"/>
    <s v="UN"/>
    <n v="102"/>
    <n v="0.2328625924314919"/>
    <n v="23.751984428012175"/>
    <x v="3"/>
  </r>
  <r>
    <s v="007"/>
    <s v="PR01"/>
    <s v="820xmc188"/>
    <s v="Barreau clavette 10 ACIER"/>
    <s v="UN"/>
    <n v="3"/>
    <n v="23.007999999999999"/>
    <n v="69.024000000000001"/>
    <x v="3"/>
  </r>
  <r>
    <s v="007"/>
    <s v="PR01"/>
    <s v="820xmc189"/>
    <s v="Barreau clavette 12 acier"/>
    <s v="UN"/>
    <n v="2"/>
    <n v="36.194000000000003"/>
    <n v="72.388000000000005"/>
    <x v="3"/>
  </r>
  <r>
    <s v="007"/>
    <s v="PR01"/>
    <s v="820XMC196"/>
    <s v="écrou frein M14"/>
    <s v="UN"/>
    <n v="120"/>
    <n v="30.584700000000002"/>
    <n v="3670.1640000000002"/>
    <x v="3"/>
  </r>
  <r>
    <s v="007"/>
    <s v="PR01"/>
    <s v="820XMC198"/>
    <s v="TENDEUR GAZ"/>
    <s v="UN"/>
    <n v="1"/>
    <n v="8.3166666666666664"/>
    <n v="8.3166666666666664"/>
    <x v="3"/>
  </r>
  <r>
    <s v="007"/>
    <s v="PR01"/>
    <s v="820XMC204"/>
    <s v="TIREFOND 10/70"/>
    <s v="UN"/>
    <n v="18"/>
    <n v="0.39"/>
    <n v="7.0200000000000005"/>
    <x v="3"/>
  </r>
  <r>
    <s v="007"/>
    <s v="PR01"/>
    <s v="820XMC208"/>
    <s v="Ressort acier 19*55   20/10"/>
    <s v="UN"/>
    <n v="8"/>
    <n v="7.6760000000000002"/>
    <n v="61.408000000000001"/>
    <x v="3"/>
  </r>
  <r>
    <s v="007"/>
    <s v="PR01"/>
    <s v="820XMC214"/>
    <s v="Vis d'arret M16*50"/>
    <s v="UN"/>
    <n v="36"/>
    <n v="5.5488"/>
    <n v="199.7568"/>
    <x v="3"/>
  </r>
  <r>
    <s v="007"/>
    <s v="PR01"/>
    <s v="820xmc219"/>
    <s v="écrou frein M12"/>
    <s v="UN"/>
    <n v="203"/>
    <n v="9.3700000000000006E-2"/>
    <n v="19.021100000000001"/>
    <x v="3"/>
  </r>
  <r>
    <s v="007"/>
    <s v="PR01"/>
    <s v="820XMC220"/>
    <s v="vis six pans (acier) M06*15"/>
    <s v="UN"/>
    <n v="328"/>
    <n v="8.4000000000000005E-2"/>
    <n v="27.552000000000003"/>
    <x v="3"/>
  </r>
  <r>
    <s v="007"/>
    <s v="PR01"/>
    <s v="820xmc221"/>
    <s v="VIS A BOIS M05*40"/>
    <s v="UN"/>
    <n v="102"/>
    <n v="5.8009999999999999E-2"/>
    <n v="5.9170199999999999"/>
    <x v="3"/>
  </r>
  <r>
    <s v="007"/>
    <s v="PR01"/>
    <s v="820XMC236"/>
    <s v="vis six pans (acier) M08*10"/>
    <s v="UN"/>
    <n v="348"/>
    <n v="0.127"/>
    <n v="44.195999999999998"/>
    <x v="3"/>
  </r>
  <r>
    <s v="007"/>
    <s v="PR01"/>
    <s v="820XMC237"/>
    <s v="vis six pans (Acier) M12*80"/>
    <s v="UN"/>
    <n v="30"/>
    <n v="0.96389999999999998"/>
    <n v="28.916999999999998"/>
    <x v="3"/>
  </r>
  <r>
    <s v="007"/>
    <s v="PR01"/>
    <s v="820XMC252"/>
    <s v="Vis six pans (acier) M05*10"/>
    <s v="UN"/>
    <n v="501"/>
    <n v="3.3000000000000002E-2"/>
    <n v="16.533000000000001"/>
    <x v="3"/>
  </r>
  <r>
    <s v="007"/>
    <s v="PR01"/>
    <s v="820XMC253"/>
    <s v="Vis six pans (acier) M05*16"/>
    <s v="UN"/>
    <n v="30"/>
    <n v="0.05"/>
    <n v="1.5"/>
    <x v="3"/>
  </r>
  <r>
    <s v="007"/>
    <s v="PR01"/>
    <s v="820XMC254"/>
    <s v="CHEVILLE METALLIQUE M10*120"/>
    <s v="UN"/>
    <n v="13"/>
    <n v="0.89280000000000004"/>
    <n v="11.606400000000001"/>
    <x v="3"/>
  </r>
  <r>
    <s v="007"/>
    <s v="PR01"/>
    <s v="820XMC275"/>
    <s v="Ressort roue plaque 6*40*1 Dtroue3mm"/>
    <s v="UN"/>
    <n v="25"/>
    <n v="3.6360000000000001"/>
    <n v="90.9"/>
    <x v="3"/>
  </r>
  <r>
    <s v="007"/>
    <s v="PR01"/>
    <s v="820xmc277"/>
    <s v="VIS AUTOPERCEUSE M6.3*80"/>
    <s v="UN"/>
    <n v="140"/>
    <n v="0.26774999999999999"/>
    <n v="37.484999999999999"/>
    <x v="3"/>
  </r>
  <r>
    <s v="007"/>
    <s v="PR01"/>
    <s v="820XMC289"/>
    <s v="vis six pans (acier) M08*80"/>
    <s v="UN"/>
    <n v="260"/>
    <n v="1.1559999999999999"/>
    <n v="300.56"/>
    <x v="3"/>
  </r>
  <r>
    <s v="007"/>
    <s v="PR01"/>
    <s v="820XMC294"/>
    <s v="VIS TH (Acier) M10*72 Filtage 15mm Pour Moule"/>
    <s v="UN"/>
    <n v="15"/>
    <n v="7.5666666666666664"/>
    <n v="113.5"/>
    <x v="3"/>
  </r>
  <r>
    <s v="007"/>
    <s v="PR01"/>
    <s v="820XMC295"/>
    <s v="Ressort comp MOULE int13/ext17/L65/2.5m"/>
    <s v="UN"/>
    <n v="45"/>
    <n v="6.06"/>
    <n v="272.7"/>
    <x v="3"/>
  </r>
  <r>
    <s v="007"/>
    <s v="PR01"/>
    <s v="820XMC303"/>
    <s v="Vis d'arrêt (acier) M04*25"/>
    <s v="UN"/>
    <n v="102"/>
    <n v="0.122"/>
    <n v="12.443999999999999"/>
    <x v="3"/>
  </r>
  <r>
    <s v="007"/>
    <s v="PR01"/>
    <s v="820XMC305"/>
    <s v="Vis d'arrêt (acier) M05*16"/>
    <s v="UN"/>
    <n v="38"/>
    <n v="0.17199999999999999"/>
    <n v="6.5359999999999996"/>
    <x v="3"/>
  </r>
  <r>
    <s v="007"/>
    <s v="PR01"/>
    <s v="820XMC309"/>
    <s v="Vis d'arrêt (acier) M06*15"/>
    <s v="UN"/>
    <n v="35"/>
    <n v="0.20699999999999999"/>
    <n v="7.2449999999999992"/>
    <x v="3"/>
  </r>
  <r>
    <s v="007"/>
    <s v="PR01"/>
    <s v="820XMC310"/>
    <s v="Vis d'arrêt (acier) M06*25"/>
    <s v="UN"/>
    <n v="55"/>
    <n v="0.23599999999999999"/>
    <n v="12.979999999999999"/>
    <x v="3"/>
  </r>
  <r>
    <s v="007"/>
    <s v="PR01"/>
    <s v="820XMC315"/>
    <s v="VIS TH (Acier) M06*50"/>
    <s v="UN"/>
    <n v="378"/>
    <n v="0.12"/>
    <n v="45.36"/>
    <x v="3"/>
  </r>
  <r>
    <s v="007"/>
    <s v="PR01"/>
    <s v="820XMC316"/>
    <s v="Ressort COMP INOX 7/10*8*28 TCC"/>
    <s v="UN"/>
    <n v="15"/>
    <n v="5.7065000000000001"/>
    <n v="85.597499999999997"/>
    <x v="3"/>
  </r>
  <r>
    <s v="007"/>
    <s v="PR01"/>
    <s v="820XMC317"/>
    <s v="CHEVILLE METALLIQUE M10*140"/>
    <s v="UN"/>
    <n v="2"/>
    <n v="9.5030999999999999"/>
    <n v="19.0062"/>
    <x v="3"/>
  </r>
  <r>
    <s v="007"/>
    <s v="PR01"/>
    <s v="820XMC356"/>
    <s v="VIS TH M04*20 (acier)"/>
    <s v="UN"/>
    <n v="104"/>
    <n v="5.058E-2"/>
    <n v="5.2603200000000001"/>
    <x v="3"/>
  </r>
  <r>
    <s v="007"/>
    <s v="PR01"/>
    <s v="820XMC357"/>
    <s v="VIS TH M04*30 (acier)"/>
    <s v="UN"/>
    <n v="387"/>
    <n v="0"/>
    <n v="0"/>
    <x v="3"/>
  </r>
  <r>
    <s v="007"/>
    <s v="PR01"/>
    <s v="820XMC358"/>
    <s v="VIS TH M05*20 (acier)"/>
    <s v="UN"/>
    <n v="654"/>
    <n v="3.78E-2"/>
    <n v="24.7212"/>
    <x v="3"/>
  </r>
  <r>
    <s v="007"/>
    <s v="PR01"/>
    <s v="820XMC362"/>
    <s v="VIS TH M05*30 (acier)"/>
    <s v="UN"/>
    <n v="334"/>
    <n v="0.13755999999999999"/>
    <n v="45.945039999999999"/>
    <x v="3"/>
  </r>
  <r>
    <s v="007"/>
    <s v="PR01"/>
    <s v="820XMC364"/>
    <s v="VIS TH M06*20 (acier)"/>
    <s v="UN"/>
    <n v="507"/>
    <n v="0.05"/>
    <n v="25.35"/>
    <x v="3"/>
  </r>
  <r>
    <s v="007"/>
    <s v="PR01"/>
    <s v="820XMC365"/>
    <s v="vis tête hexagonale M06*30 (acier)"/>
    <s v="UN"/>
    <n v="450"/>
    <n v="0.10620000000000002"/>
    <n v="47.790000000000006"/>
    <x v="3"/>
  </r>
  <r>
    <s v="007"/>
    <s v="PR01"/>
    <s v="820XMC367"/>
    <s v="vis tête hexagonale M08*20 (acier)"/>
    <s v="UN"/>
    <n v="352"/>
    <n v="9.1999999999999998E-2"/>
    <n v="32.384"/>
    <x v="3"/>
  </r>
  <r>
    <s v="007"/>
    <s v="PR01"/>
    <s v="820XMC368"/>
    <s v="VIS TH (acier) M08*30"/>
    <s v="UN"/>
    <n v="136"/>
    <n v="0.183"/>
    <n v="24.887999999999998"/>
    <x v="3"/>
  </r>
  <r>
    <s v="007"/>
    <s v="PR01"/>
    <s v="820XMC369"/>
    <s v="Vis TH (acier) M08*40"/>
    <s v="UN"/>
    <n v="63"/>
    <n v="0.19"/>
    <n v="11.97"/>
    <x v="3"/>
  </r>
  <r>
    <s v="007"/>
    <s v="PR01"/>
    <s v="820XMC370"/>
    <s v="Vis TH (acier) M08*50"/>
    <s v="UN"/>
    <n v="364"/>
    <n v="0.49"/>
    <n v="178.35999999999999"/>
    <x v="3"/>
  </r>
  <r>
    <s v="007"/>
    <s v="PR01"/>
    <s v="820XMC371"/>
    <s v="VIS TH (acier) M10*20"/>
    <s v="UN"/>
    <n v="146"/>
    <n v="0.16076999999999997"/>
    <n v="23.472419999999996"/>
    <x v="3"/>
  </r>
  <r>
    <s v="007"/>
    <s v="PR01"/>
    <s v="820XMC372"/>
    <s v="Vis TH(acier) M10*30"/>
    <s v="UN"/>
    <n v="147"/>
    <n v="0.28799999999999998"/>
    <n v="42.335999999999999"/>
    <x v="3"/>
  </r>
  <r>
    <s v="007"/>
    <s v="PR01"/>
    <s v="820XMC373"/>
    <s v="vis tête hexagonale M10*50 (acier)  Demi filtage"/>
    <s v="UN"/>
    <n v="527"/>
    <n v="0.46300000000000002"/>
    <n v="244.001"/>
    <x v="3"/>
  </r>
  <r>
    <s v="007"/>
    <s v="PR01"/>
    <s v="820XMC377"/>
    <s v="vis tête hexagonale M12*30 (acier)"/>
    <s v="UN"/>
    <n v="96"/>
    <n v="0.29199999999999998"/>
    <n v="28.031999999999996"/>
    <x v="3"/>
  </r>
  <r>
    <s v="007"/>
    <s v="PR01"/>
    <s v="820XMC378"/>
    <s v="vis tête hexagonale M12*40 (acier)"/>
    <s v="UN"/>
    <n v="350"/>
    <n v="0.44600000000000001"/>
    <n v="156.1"/>
    <x v="3"/>
  </r>
  <r>
    <s v="007"/>
    <s v="PR01"/>
    <s v="820XMC379"/>
    <s v="VIS TH (acier) M12*50"/>
    <s v="UN"/>
    <n v="284"/>
    <n v="0.59"/>
    <n v="167.56"/>
    <x v="3"/>
  </r>
  <r>
    <s v="007"/>
    <s v="PR01"/>
    <s v="820XMC383"/>
    <s v="vis tête hexagonale M16*60 (acier)"/>
    <s v="UN"/>
    <n v="9"/>
    <n v="1.1100000000000001"/>
    <n v="9.99"/>
    <x v="3"/>
  </r>
  <r>
    <s v="007"/>
    <s v="PR01"/>
    <s v="820XMC385"/>
    <s v="vis six pans (acier) M03*20"/>
    <s v="UN"/>
    <n v="39"/>
    <n v="0.16116"/>
    <n v="6.2852399999999999"/>
    <x v="3"/>
  </r>
  <r>
    <s v="007"/>
    <s v="PR01"/>
    <s v="820XMC387"/>
    <s v="vis six pans (acier) M04*20"/>
    <s v="UN"/>
    <n v="158"/>
    <n v="9.799999999999999E-2"/>
    <n v="15.483999999999998"/>
    <x v="3"/>
  </r>
  <r>
    <s v="007"/>
    <s v="PR01"/>
    <s v="820XMC388"/>
    <s v="vis six pans (acier) M04*30"/>
    <s v="UN"/>
    <n v="236"/>
    <n v="5.9033281409406252E-2"/>
    <n v="13.931854412619876"/>
    <x v="3"/>
  </r>
  <r>
    <s v="007"/>
    <s v="PR01"/>
    <s v="820XMC390"/>
    <s v="vis six pans (acier) M05*20"/>
    <s v="UN"/>
    <n v="228"/>
    <n v="0.06"/>
    <n v="13.68"/>
    <x v="3"/>
  </r>
  <r>
    <s v="007"/>
    <s v="PR01"/>
    <s v="820XMC392"/>
    <s v="vis six pans (acier) M12*30"/>
    <s v="UN"/>
    <n v="120"/>
    <n v="0.58602392565597661"/>
    <n v="70.322871078717199"/>
    <x v="3"/>
  </r>
  <r>
    <s v="007"/>
    <s v="PR01"/>
    <s v="820XMC393"/>
    <s v="vis six pans (acier) M12*50"/>
    <s v="UN"/>
    <n v="35"/>
    <n v="0.68090066225165569"/>
    <n v="23.831523178807949"/>
    <x v="3"/>
  </r>
  <r>
    <s v="007"/>
    <s v="PR01"/>
    <s v="820XMC394"/>
    <s v="vis six pans (acier) M10*20"/>
    <s v="UN"/>
    <n v="325"/>
    <n v="0.40460000000000002"/>
    <n v="131.495"/>
    <x v="3"/>
  </r>
  <r>
    <s v="007"/>
    <s v="PR01"/>
    <s v="820XMC395"/>
    <s v="vis six pans (acier) M05*30"/>
    <s v="UN"/>
    <n v="361"/>
    <n v="0.10833"/>
    <n v="39.107129999999998"/>
    <x v="3"/>
  </r>
  <r>
    <s v="007"/>
    <s v="PR01"/>
    <s v="820XMC396"/>
    <s v="vis six pans (acier) M05*40"/>
    <s v="UN"/>
    <n v="394"/>
    <n v="7.2249999999999995E-2"/>
    <n v="28.466499999999996"/>
    <x v="3"/>
  </r>
  <r>
    <s v="007"/>
    <s v="PR01"/>
    <s v="820XMC397"/>
    <s v="vis six pans (acier) M06*10"/>
    <s v="UN"/>
    <n v="310"/>
    <n v="6.8000000000000005E-2"/>
    <n v="21.080000000000002"/>
    <x v="3"/>
  </r>
  <r>
    <s v="007"/>
    <s v="PR01"/>
    <s v="820XMC399"/>
    <s v="vis six pans (acier) M06*20"/>
    <s v="UN"/>
    <n v="538"/>
    <n v="8.6999999999999994E-2"/>
    <n v="46.805999999999997"/>
    <x v="3"/>
  </r>
  <r>
    <s v="007"/>
    <s v="PR01"/>
    <s v="820XMC400"/>
    <s v="vis six pans (acier) M06*40"/>
    <s v="UN"/>
    <n v="105"/>
    <n v="0.12358"/>
    <n v="12.975899999999999"/>
    <x v="3"/>
  </r>
  <r>
    <s v="007"/>
    <s v="PR01"/>
    <s v="820XMC401"/>
    <s v="vis six pans (acier) M08*15"/>
    <s v="UN"/>
    <n v="414"/>
    <n v="0.19259000000000001"/>
    <n v="79.732260000000011"/>
    <x v="3"/>
  </r>
  <r>
    <s v="007"/>
    <s v="PR01"/>
    <s v="820XMC402"/>
    <s v="vis six pans (acier) M08*20"/>
    <s v="UN"/>
    <n v="536"/>
    <n v="0.186"/>
    <n v="99.695999999999998"/>
    <x v="3"/>
  </r>
  <r>
    <s v="007"/>
    <s v="PR01"/>
    <s v="820XMC404"/>
    <s v="vis six pans (acier) M08*40"/>
    <s v="UN"/>
    <n v="176"/>
    <n v="0.29599999999999999"/>
    <n v="52.095999999999997"/>
    <x v="3"/>
  </r>
  <r>
    <s v="007"/>
    <s v="PR01"/>
    <s v="820XMC405"/>
    <s v="vis six pans (acier) M08*60"/>
    <s v="UN"/>
    <n v="365"/>
    <n v="0.442"/>
    <n v="161.33000000000001"/>
    <x v="3"/>
  </r>
  <r>
    <s v="007"/>
    <s v="PR01"/>
    <s v="820XMC406"/>
    <s v="vis six pans (acier) M08*70"/>
    <s v="UN"/>
    <n v="345"/>
    <n v="0.44700000000000001"/>
    <n v="154.215"/>
    <x v="3"/>
  </r>
  <r>
    <s v="007"/>
    <s v="PR01"/>
    <s v="820XMC407"/>
    <s v="vis six pans (acier) M10*20"/>
    <s v="UN"/>
    <n v="168"/>
    <n v="0.19515999999999997"/>
    <n v="32.786879999999996"/>
    <x v="3"/>
  </r>
  <r>
    <s v="007"/>
    <s v="PR01"/>
    <s v="820XMC408"/>
    <s v="vis six pans (acier) M10*30"/>
    <s v="UN"/>
    <n v="93"/>
    <n v="0.43010585751978891"/>
    <n v="39.999844749340369"/>
    <x v="3"/>
  </r>
  <r>
    <s v="007"/>
    <s v="PR01"/>
    <s v="820XMC409"/>
    <s v="vis six pans (acier) M10*40"/>
    <s v="UN"/>
    <n v="336"/>
    <n v="0.51533571428571434"/>
    <n v="173.15280000000001"/>
    <x v="3"/>
  </r>
  <r>
    <s v="007"/>
    <s v="PR01"/>
    <s v="820XMC410"/>
    <s v="vis six pans (acier) M10*50"/>
    <s v="UN"/>
    <n v="181"/>
    <n v="0.69750999999999985"/>
    <n v="126.24930999999998"/>
    <x v="3"/>
  </r>
  <r>
    <s v="007"/>
    <s v="PR01"/>
    <s v="820XMC411"/>
    <s v="vis six pans (acier) M10*80"/>
    <s v="UN"/>
    <n v="72"/>
    <n v="0.83717239130434784"/>
    <n v="60.276412173913045"/>
    <x v="3"/>
  </r>
  <r>
    <s v="007"/>
    <s v="PR01"/>
    <s v="820XMC412"/>
    <s v="vis six pans (acier) M10*100"/>
    <s v="UN"/>
    <n v="104"/>
    <n v="1.0309999999999999"/>
    <n v="107.22399999999999"/>
    <x v="3"/>
  </r>
  <r>
    <s v="007"/>
    <s v="PR01"/>
    <s v="820XMC414"/>
    <s v="vis six pans (acier) M12*40"/>
    <s v="UN"/>
    <n v="70"/>
    <n v="0.63500000000000001"/>
    <n v="44.45"/>
    <x v="3"/>
  </r>
  <r>
    <s v="007"/>
    <s v="PR01"/>
    <s v="820XMC415"/>
    <s v="vis six pans (acier) M12*60"/>
    <s v="UN"/>
    <n v="104"/>
    <n v="1.078997948051948"/>
    <n v="112.2157865974026"/>
    <x v="3"/>
  </r>
  <r>
    <s v="007"/>
    <s v="PR01"/>
    <s v="820XMC418"/>
    <s v="vis six pans (acier) M14*50"/>
    <s v="UN"/>
    <n v="123"/>
    <n v="1.0269999999999999"/>
    <n v="126.32099999999998"/>
    <x v="3"/>
  </r>
  <r>
    <s v="007"/>
    <s v="PR01"/>
    <s v="820XMC420"/>
    <s v="vis tête hexagonale M03*20 (Inox)"/>
    <s v="UN"/>
    <n v="180"/>
    <n v="0"/>
    <n v="0"/>
    <x v="3"/>
  </r>
  <r>
    <s v="007"/>
    <s v="PR01"/>
    <s v="820XMC424"/>
    <s v="vis tête hexagonale M05*20 (Inox)"/>
    <s v="UN"/>
    <n v="140"/>
    <n v="0.224"/>
    <n v="31.36"/>
    <x v="3"/>
  </r>
  <r>
    <s v="007"/>
    <s v="PR01"/>
    <s v="820XMC425"/>
    <s v="VIS TH (INOX) M05*30"/>
    <s v="UN"/>
    <n v="200"/>
    <n v="0.29299999999999998"/>
    <n v="58.599999999999994"/>
    <x v="3"/>
  </r>
  <r>
    <s v="007"/>
    <s v="PR01"/>
    <s v="820XMC432"/>
    <s v="VIS TH (INOX) M08*40"/>
    <s v="UN"/>
    <n v="120"/>
    <n v="0.49233774696707111"/>
    <n v="59.080529636048531"/>
    <x v="3"/>
  </r>
  <r>
    <s v="007"/>
    <s v="PR01"/>
    <s v="820XMC433"/>
    <s v="VIS TH (INOX) M08*50"/>
    <s v="UN"/>
    <n v="140"/>
    <n v="0.71399999999999997"/>
    <n v="99.96"/>
    <x v="3"/>
  </r>
  <r>
    <s v="007"/>
    <s v="PR01"/>
    <s v="820XMC435"/>
    <s v="VIS TH (INOX) M10*30"/>
    <s v="UN"/>
    <n v="20"/>
    <n v="0.78539999999999988"/>
    <n v="15.707999999999998"/>
    <x v="3"/>
  </r>
  <r>
    <s v="007"/>
    <s v="PR01"/>
    <s v="820XMC436"/>
    <s v="vis tête hexagonale M10*40 (Inox)"/>
    <s v="UN"/>
    <n v="100"/>
    <n v="0.82448999999999995"/>
    <n v="82.448999999999998"/>
    <x v="3"/>
  </r>
  <r>
    <s v="007"/>
    <s v="PR01"/>
    <s v="820XMC437"/>
    <s v="vis tête hexagonale M10*80 (Inox)"/>
    <s v="UN"/>
    <n v="150"/>
    <n v="1.3174999999999999"/>
    <n v="197.62499999999997"/>
    <x v="3"/>
  </r>
  <r>
    <s v="007"/>
    <s v="PR01"/>
    <s v="820XMC440"/>
    <s v="vis tête hexagonale M12*40 (Inox)"/>
    <s v="UN"/>
    <n v="85"/>
    <n v="0.82450000000000001"/>
    <n v="70.082499999999996"/>
    <x v="3"/>
  </r>
  <r>
    <s v="007"/>
    <s v="PR01"/>
    <s v="820XMC441"/>
    <s v="VIS TH (INOX) M12*80"/>
    <s v="UN"/>
    <n v="130"/>
    <n v="1.9635"/>
    <n v="255.255"/>
    <x v="3"/>
  </r>
  <r>
    <s v="007"/>
    <s v="PR01"/>
    <s v="820XMC442"/>
    <s v="vis tête hexagonale M12*100 (Inox)"/>
    <s v="UN"/>
    <n v="60"/>
    <n v="2.2949999999999999"/>
    <n v="137.69999999999999"/>
    <x v="3"/>
  </r>
  <r>
    <s v="007"/>
    <s v="PR01"/>
    <s v="820XMC448"/>
    <s v="vis six pans (Inox) M05*20"/>
    <s v="UN"/>
    <n v="20"/>
    <n v="0.21"/>
    <n v="4.2"/>
    <x v="3"/>
  </r>
  <r>
    <s v="007"/>
    <s v="PR01"/>
    <s v="820XMC451"/>
    <s v="vis six pans (Inox) M06*20"/>
    <s v="UN"/>
    <n v="88"/>
    <n v="0.31818000000000002"/>
    <n v="27.999840000000003"/>
    <x v="3"/>
  </r>
  <r>
    <s v="007"/>
    <s v="PR01"/>
    <s v="820XMC452"/>
    <s v="vis six pans (Inox) M06*30"/>
    <s v="UN"/>
    <n v="170"/>
    <n v="0.44500000000000001"/>
    <n v="75.650000000000006"/>
    <x v="3"/>
  </r>
  <r>
    <s v="007"/>
    <s v="PR01"/>
    <s v="820XMC453"/>
    <s v="vis six pans (Inox) M06*40"/>
    <s v="UN"/>
    <n v="32"/>
    <n v="0.58799999999999997"/>
    <n v="18.815999999999999"/>
    <x v="3"/>
  </r>
  <r>
    <s v="007"/>
    <s v="PR01"/>
    <s v="820XMC455"/>
    <s v="vis six pans (Inox) M08*30"/>
    <s v="UN"/>
    <n v="91"/>
    <n v="0.67300000000000004"/>
    <n v="61.243000000000002"/>
    <x v="3"/>
  </r>
  <r>
    <s v="007"/>
    <s v="PR01"/>
    <s v="820XMC456"/>
    <s v="vis six pans (Inox) M08*40"/>
    <s v="UN"/>
    <n v="40"/>
    <n v="0.69615000000000005"/>
    <n v="27.846000000000004"/>
    <x v="3"/>
  </r>
  <r>
    <s v="007"/>
    <s v="PR01"/>
    <s v="820XMC457"/>
    <s v="vis six pans (Inox) M08*50"/>
    <s v="UN"/>
    <n v="100"/>
    <n v="1.071"/>
    <n v="107.1"/>
    <x v="3"/>
  </r>
  <r>
    <s v="007"/>
    <s v="PR01"/>
    <s v="820XMC468"/>
    <s v="écrou (acier) M03"/>
    <s v="UN"/>
    <n v="80"/>
    <n v="1.5776000000000001"/>
    <n v="126.20800000000001"/>
    <x v="3"/>
  </r>
  <r>
    <s v="007"/>
    <s v="PR01"/>
    <s v="820XMC469"/>
    <s v="écrou (acier) M04"/>
    <s v="UN"/>
    <n v="51"/>
    <n v="1.069E-2"/>
    <n v="0.54518999999999995"/>
    <x v="3"/>
  </r>
  <r>
    <s v="007"/>
    <s v="PR01"/>
    <s v="820XMC470"/>
    <s v="écrou (acier) M05"/>
    <s v="UN"/>
    <n v="603"/>
    <n v="1.4279999999999999E-2"/>
    <n v="8.6108399999999996"/>
    <x v="3"/>
  </r>
  <r>
    <s v="007"/>
    <s v="PR01"/>
    <s v="820XMC471"/>
    <s v="écrou (acier) M06"/>
    <s v="UN"/>
    <n v="423"/>
    <n v="2.3E-2"/>
    <n v="9.7289999999999992"/>
    <x v="3"/>
  </r>
  <r>
    <s v="007"/>
    <s v="PR01"/>
    <s v="820XMC472"/>
    <s v="écrou (acier) M08"/>
    <s v="UN"/>
    <n v="649"/>
    <n v="5.6169999999999998E-2"/>
    <n v="36.454329999999999"/>
    <x v="3"/>
  </r>
  <r>
    <s v="007"/>
    <s v="PR01"/>
    <s v="820XMC473"/>
    <s v="écrou (acier) M10"/>
    <s v="UN"/>
    <n v="742"/>
    <n v="0.11"/>
    <n v="81.62"/>
    <x v="3"/>
  </r>
  <r>
    <s v="007"/>
    <s v="PR01"/>
    <s v="820XMC474"/>
    <s v="écrou (acier) M12"/>
    <s v="UN"/>
    <n v="380"/>
    <n v="0.127"/>
    <n v="48.26"/>
    <x v="3"/>
  </r>
  <r>
    <s v="007"/>
    <s v="PR01"/>
    <s v="820XMC475"/>
    <s v="écrou (acier) M16"/>
    <s v="UN"/>
    <n v="534"/>
    <n v="0.30299999999999999"/>
    <n v="161.80199999999999"/>
    <x v="3"/>
  </r>
  <r>
    <s v="007"/>
    <s v="PR01"/>
    <s v="820XMC478"/>
    <s v="écrou (Inox) M04"/>
    <s v="UN"/>
    <n v="210"/>
    <n v="7.8E-2"/>
    <n v="16.38"/>
    <x v="3"/>
  </r>
  <r>
    <s v="007"/>
    <s v="PR01"/>
    <s v="820XMC479"/>
    <s v="écrou (Inox) M05"/>
    <s v="UN"/>
    <n v="369"/>
    <n v="7.1999999999999995E-2"/>
    <n v="26.567999999999998"/>
    <x v="3"/>
  </r>
  <r>
    <s v="007"/>
    <s v="PR01"/>
    <s v="820XMC480"/>
    <s v="écrou (Inox) M06"/>
    <s v="UN"/>
    <n v="500"/>
    <n v="8.2000000000000003E-2"/>
    <n v="41"/>
    <x v="3"/>
  </r>
  <r>
    <s v="007"/>
    <s v="PR01"/>
    <s v="820XMC481"/>
    <s v="écrou (Inox) M08"/>
    <s v="UN"/>
    <n v="428"/>
    <n v="0.15327726708074535"/>
    <n v="65.602670310559006"/>
    <x v="3"/>
  </r>
  <r>
    <s v="007"/>
    <s v="PR01"/>
    <s v="820XMC482"/>
    <s v="écrou (Inox) M10"/>
    <s v="UN"/>
    <n v="208"/>
    <n v="0.27565000000000001"/>
    <n v="57.3352"/>
    <x v="3"/>
  </r>
  <r>
    <s v="007"/>
    <s v="PR01"/>
    <s v="820XMC483"/>
    <s v="écrou (Inox) M12"/>
    <s v="UN"/>
    <n v="408"/>
    <n v="0.41649999999999998"/>
    <n v="169.93199999999999"/>
    <x v="3"/>
  </r>
  <r>
    <s v="007"/>
    <s v="PR01"/>
    <s v="820XMC484"/>
    <s v="écrou frein M8"/>
    <s v="UN"/>
    <n v="101"/>
    <n v="3.7376999999999998"/>
    <n v="377.5077"/>
    <x v="3"/>
  </r>
  <r>
    <s v="007"/>
    <s v="PR01"/>
    <s v="820XMC485"/>
    <s v="Vis d'arrêt (acier) M05*10"/>
    <s v="UN"/>
    <n v="170"/>
    <n v="0.16788"/>
    <n v="28.5396"/>
    <x v="3"/>
  </r>
  <r>
    <s v="007"/>
    <s v="PR01"/>
    <s v="820XMC486"/>
    <s v="Vis d'arrêt (acier) M06*10"/>
    <s v="UN"/>
    <n v="285"/>
    <n v="0.08"/>
    <n v="22.8"/>
    <x v="3"/>
  </r>
  <r>
    <s v="007"/>
    <s v="PR01"/>
    <s v="820XMC487"/>
    <s v="Vis d'arrêt (acier) M08*10"/>
    <s v="UN"/>
    <n v="365"/>
    <n v="0.18895999999999999"/>
    <n v="68.970399999999998"/>
    <x v="3"/>
  </r>
  <r>
    <s v="007"/>
    <s v="PR01"/>
    <s v="820XMC488"/>
    <s v="Vis d'arrêt (acier) M10*10"/>
    <s v="UN"/>
    <n v="48"/>
    <n v="0.189"/>
    <n v="9.0719999999999992"/>
    <x v="3"/>
  </r>
  <r>
    <s v="007"/>
    <s v="PR01"/>
    <s v="820XMC489"/>
    <s v="Vis d'arrêt (acier) M05*20"/>
    <s v="UN"/>
    <n v="58"/>
    <n v="0.124"/>
    <n v="7.1920000000000002"/>
    <x v="3"/>
  </r>
  <r>
    <s v="007"/>
    <s v="PR01"/>
    <s v="820XMC490"/>
    <s v="Vis d'arrêt (acier) M06*20"/>
    <s v="UN"/>
    <n v="200"/>
    <n v="0.128"/>
    <n v="25.6"/>
    <x v="3"/>
  </r>
  <r>
    <s v="007"/>
    <s v="PR01"/>
    <s v="820XMC491"/>
    <s v="Vis d'arrêt (acier) M08*20"/>
    <s v="UN"/>
    <n v="65"/>
    <n v="0.152"/>
    <n v="9.879999999999999"/>
    <x v="3"/>
  </r>
  <r>
    <s v="007"/>
    <s v="PR01"/>
    <s v="820XMC492"/>
    <s v="Vis d'arrêt (acier) M10*20"/>
    <s v="UN"/>
    <n v="72"/>
    <n v="0.28334745762711866"/>
    <n v="20.401016949152542"/>
    <x v="3"/>
  </r>
  <r>
    <s v="007"/>
    <s v="PR01"/>
    <s v="820XMC493"/>
    <s v="tige fileté (acier) M06"/>
    <s v="UN"/>
    <n v="6"/>
    <n v="1.3260000000000001"/>
    <n v="7.9560000000000004"/>
    <x v="3"/>
  </r>
  <r>
    <s v="007"/>
    <s v="PR01"/>
    <s v="820XMC494"/>
    <s v="tige fileté (acier) M08"/>
    <s v="UN"/>
    <n v="5.25"/>
    <n v="2.2429999999999999"/>
    <n v="11.775749999999999"/>
    <x v="3"/>
  </r>
  <r>
    <s v="007"/>
    <s v="PR01"/>
    <s v="820XMC495"/>
    <s v="tige fileté (acier) M10"/>
    <s v="UN"/>
    <n v="5"/>
    <n v="3.2429999999999999"/>
    <n v="16.215"/>
    <x v="3"/>
  </r>
  <r>
    <s v="007"/>
    <s v="PR01"/>
    <s v="820XMC496"/>
    <s v="tige fileté (acier) M12"/>
    <s v="UN"/>
    <n v="2"/>
    <n v="4.4850000000000003"/>
    <n v="8.9700000000000006"/>
    <x v="3"/>
  </r>
  <r>
    <s v="007"/>
    <s v="PR01"/>
    <s v="820XMC497"/>
    <s v="tige fileté (acier) M14"/>
    <s v="UN"/>
    <n v="4"/>
    <n v="4.3360000000000003"/>
    <n v="17.344000000000001"/>
    <x v="3"/>
  </r>
  <r>
    <s v="007"/>
    <s v="PR01"/>
    <s v="820XMC498"/>
    <s v="tige fileté (acier) M16"/>
    <s v="UN"/>
    <n v="4"/>
    <n v="8.4700000000000006"/>
    <n v="33.880000000000003"/>
    <x v="3"/>
  </r>
  <r>
    <s v="007"/>
    <s v="PR01"/>
    <s v="820XMC503"/>
    <s v="Rondelle plate (acier) M05"/>
    <s v="UN"/>
    <n v="317"/>
    <n v="6.1900000000000002E-3"/>
    <n v="1.9622300000000001"/>
    <x v="3"/>
  </r>
  <r>
    <s v="007"/>
    <s v="PR01"/>
    <s v="820XMC504"/>
    <s v="Rondelle plate (acier) M06"/>
    <s v="UN"/>
    <n v="214"/>
    <n v="7.6499999999999999E-2"/>
    <n v="16.370999999999999"/>
    <x v="3"/>
  </r>
  <r>
    <s v="007"/>
    <s v="PR01"/>
    <s v="820XMC505"/>
    <s v="Rondelle plate (acier) M08"/>
    <s v="UN"/>
    <n v="637"/>
    <n v="4.2750000000000003E-2"/>
    <n v="27.231750000000002"/>
    <x v="3"/>
  </r>
  <r>
    <s v="007"/>
    <s v="PR01"/>
    <s v="820XMC506"/>
    <s v="Rondelle plate (acier) M10"/>
    <s v="UN"/>
    <n v="480"/>
    <n v="2.826E-2"/>
    <n v="13.5648"/>
    <x v="3"/>
  </r>
  <r>
    <s v="007"/>
    <s v="PR01"/>
    <s v="820XMC507"/>
    <s v="Rondelle plate (acier) M12"/>
    <s v="UN"/>
    <n v="238"/>
    <n v="8.1000000000000003E-2"/>
    <n v="19.278000000000002"/>
    <x v="3"/>
  </r>
  <r>
    <s v="007"/>
    <s v="PR01"/>
    <s v="820XMC508"/>
    <s v="Rondelle plate (acier) M14"/>
    <s v="UN"/>
    <n v="400"/>
    <n v="0.14147000000000001"/>
    <n v="56.588000000000008"/>
    <x v="3"/>
  </r>
  <r>
    <s v="007"/>
    <s v="PR01"/>
    <s v="820XMC509"/>
    <s v="Rondelle plate (acier) M16"/>
    <s v="UN"/>
    <n v="302"/>
    <n v="0.26100000000000001"/>
    <n v="78.822000000000003"/>
    <x v="3"/>
  </r>
  <r>
    <s v="007"/>
    <s v="PR01"/>
    <s v="820XMC512"/>
    <s v="Rondelle plate (Inox) M05"/>
    <s v="UN"/>
    <n v="215"/>
    <n v="5.1999999999999998E-2"/>
    <n v="11.18"/>
    <x v="3"/>
  </r>
  <r>
    <s v="007"/>
    <s v="PR01"/>
    <s v="820XMC515"/>
    <s v="Rondelle plate (Inox) M10"/>
    <s v="UN"/>
    <n v="312"/>
    <n v="0.16500000000000001"/>
    <n v="51.480000000000004"/>
    <x v="3"/>
  </r>
  <r>
    <s v="007"/>
    <s v="PR01"/>
    <s v="820XMC520"/>
    <s v="Rondelle grower M06 (acier)"/>
    <s v="UN"/>
    <n v="325"/>
    <n v="0.01"/>
    <n v="3.25"/>
    <x v="3"/>
  </r>
  <r>
    <s v="007"/>
    <s v="PR01"/>
    <s v="820XMC521"/>
    <s v="Rondelle grower M08 (acier)"/>
    <s v="UN"/>
    <n v="53"/>
    <n v="1.9E-2"/>
    <n v="1.0069999999999999"/>
    <x v="3"/>
  </r>
  <r>
    <s v="007"/>
    <s v="PR01"/>
    <s v="820XMC522"/>
    <s v="Rondelle grower M10 (acier)"/>
    <s v="UN"/>
    <n v="78"/>
    <n v="3.04725"/>
    <n v="237.68549999999999"/>
    <x v="3"/>
  </r>
  <r>
    <s v="007"/>
    <s v="PR01"/>
    <s v="820XMC523"/>
    <s v="Rondelle grower M12 (acier)"/>
    <s v="UN"/>
    <n v="102"/>
    <n v="4.6214500000000003"/>
    <n v="471.3879"/>
    <x v="3"/>
  </r>
  <r>
    <s v="007"/>
    <s v="PR01"/>
    <s v="820XMC526"/>
    <s v="Rondelle grower M05 (acier)"/>
    <s v="UN"/>
    <n v="54"/>
    <n v="6.0000000000000001E-3"/>
    <n v="0.32400000000000001"/>
    <x v="3"/>
  </r>
  <r>
    <s v="007"/>
    <s v="PR01"/>
    <s v="820XMC528"/>
    <s v="Rondelle grower M08 (acier)"/>
    <s v="UN"/>
    <n v="78"/>
    <n v="2.1999999999999999E-2"/>
    <n v="1.716"/>
    <x v="3"/>
  </r>
  <r>
    <s v="007"/>
    <s v="PR01"/>
    <s v="820XMC537"/>
    <s v="rondelle plate (inox) M12"/>
    <s v="UN"/>
    <n v="102"/>
    <n v="0.17"/>
    <n v="17.34"/>
    <x v="3"/>
  </r>
  <r>
    <s v="007"/>
    <s v="PR01"/>
    <s v="820XMC542"/>
    <s v="tirefond M6*40"/>
    <s v="UN"/>
    <n v="222"/>
    <n v="0.12189999999999999"/>
    <n v="27.061799999999998"/>
    <x v="3"/>
  </r>
  <r>
    <s v="007"/>
    <s v="PR01"/>
    <s v="820XMC543"/>
    <s v="Tirefond M8*50"/>
    <s v="UN"/>
    <n v="38"/>
    <n v="0.25141999999999998"/>
    <n v="9.55396"/>
    <x v="3"/>
  </r>
  <r>
    <s v="007"/>
    <s v="PR01"/>
    <s v="820XMC545"/>
    <s v="tirefond M10*60"/>
    <s v="UN"/>
    <n v="65"/>
    <n v="0.34588000000000002"/>
    <n v="22.482200000000002"/>
    <x v="3"/>
  </r>
  <r>
    <s v="007"/>
    <s v="PR01"/>
    <s v="820XMC546"/>
    <s v="tirefond M10*80"/>
    <s v="UN"/>
    <n v="230"/>
    <n v="0.39360000000000001"/>
    <n v="90.528000000000006"/>
    <x v="3"/>
  </r>
  <r>
    <s v="007"/>
    <s v="PR01"/>
    <s v="820XMC547"/>
    <s v="cheville 6"/>
    <s v="UN"/>
    <n v="70"/>
    <n v="5.04E-2"/>
    <n v="3.528"/>
    <x v="3"/>
  </r>
  <r>
    <s v="007"/>
    <s v="PR01"/>
    <s v="820XMC548"/>
    <s v="cheville 8"/>
    <s v="UN"/>
    <n v="239"/>
    <n v="3.9600000000000003E-2"/>
    <n v="9.4644000000000013"/>
    <x v="3"/>
  </r>
  <r>
    <s v="007"/>
    <s v="PR01"/>
    <s v="820XMC549"/>
    <s v="cheville 10"/>
    <s v="UN"/>
    <n v="106"/>
    <n v="2.6100000000000002E-2"/>
    <n v="2.7666000000000004"/>
    <x v="3"/>
  </r>
  <r>
    <s v="007"/>
    <s v="PR01"/>
    <s v="820XMC553"/>
    <s v="VIS TF (acier) M04*30"/>
    <s v="UN"/>
    <n v="425"/>
    <n v="0.16"/>
    <n v="68"/>
    <x v="3"/>
  </r>
  <r>
    <s v="007"/>
    <s v="PR01"/>
    <s v="820XMC554"/>
    <s v="vis sixpans fraisée M05*20 (acier)"/>
    <s v="UN"/>
    <n v="358"/>
    <n v="9.5479999999999995E-2"/>
    <n v="34.181840000000001"/>
    <x v="3"/>
  </r>
  <r>
    <s v="007"/>
    <s v="PR01"/>
    <s v="820XMC555"/>
    <s v="vis sixpans fraisée M05*30 (acier)"/>
    <s v="UN"/>
    <n v="217"/>
    <n v="0.12583357142857141"/>
    <n v="27.305884999999996"/>
    <x v="3"/>
  </r>
  <r>
    <s v="007"/>
    <s v="PR01"/>
    <s v="820XMC556"/>
    <s v="vis sixpans fraisée M05*40 (acier)"/>
    <s v="UN"/>
    <n v="750"/>
    <n v="0.16415917431192659"/>
    <n v="123.11938073394494"/>
    <x v="3"/>
  </r>
  <r>
    <s v="007"/>
    <s v="PR01"/>
    <s v="820XMC557"/>
    <s v="vis sixpans fraisée M06*20 (acier)"/>
    <s v="UN"/>
    <n v="231"/>
    <n v="0.12038892950391644"/>
    <n v="27.809842715404699"/>
    <x v="3"/>
  </r>
  <r>
    <s v="007"/>
    <s v="PR01"/>
    <s v="820XMC558"/>
    <s v="vis sixpans fraisée M06*30 (acier)"/>
    <s v="UN"/>
    <n v="352"/>
    <n v="0.20159195979899497"/>
    <n v="70.960369849246234"/>
    <x v="3"/>
  </r>
  <r>
    <s v="007"/>
    <s v="PR01"/>
    <s v="820XMC559"/>
    <s v="vis sixpans fraisée M06*40 (acier)"/>
    <s v="UN"/>
    <n v="148"/>
    <n v="0.22642666666666666"/>
    <n v="33.511146666666669"/>
    <x v="3"/>
  </r>
  <r>
    <s v="007"/>
    <s v="PR01"/>
    <s v="820XMC560"/>
    <s v="vis sixpans fraisée M08*20 (acier)"/>
    <s v="UN"/>
    <n v="320"/>
    <n v="0.22222028985507247"/>
    <n v="71.110492753623191"/>
    <x v="3"/>
  </r>
  <r>
    <s v="007"/>
    <s v="PR01"/>
    <s v="820XMC561"/>
    <s v="vis sixpans fraisée M08*30 (acier)"/>
    <s v="UN"/>
    <n v="248"/>
    <n v="0.42921793885552634"/>
    <n v="106.44604883617053"/>
    <x v="3"/>
  </r>
  <r>
    <s v="007"/>
    <s v="PR01"/>
    <s v="820XMC562"/>
    <s v="vis sixpans fraisée M08*40 (acier)"/>
    <s v="UN"/>
    <n v="250"/>
    <n v="0.37153573650785487"/>
    <n v="92.883934126963723"/>
    <x v="3"/>
  </r>
  <r>
    <s v="007"/>
    <s v="PR01"/>
    <s v="820XMC567"/>
    <s v="vis sixpans fraisée M05*20 (Inox)"/>
    <s v="UN"/>
    <n v="351"/>
    <n v="0.224"/>
    <n v="78.623999999999995"/>
    <x v="3"/>
  </r>
  <r>
    <s v="007"/>
    <s v="PR01"/>
    <s v="820XMC568"/>
    <s v="vis sixpans fraisée M05*30 (Inox)"/>
    <s v="UN"/>
    <n v="268"/>
    <n v="0.28100000000000003"/>
    <n v="75.308000000000007"/>
    <x v="3"/>
  </r>
  <r>
    <s v="007"/>
    <s v="PR01"/>
    <s v="820XMC571"/>
    <s v="vis sixpans fraisée M06*30 (Inox)"/>
    <s v="UN"/>
    <n v="150"/>
    <n v="0.20992"/>
    <n v="31.488"/>
    <x v="3"/>
  </r>
  <r>
    <s v="007"/>
    <s v="PR01"/>
    <s v="820XMC572"/>
    <s v="vis sixpans fraisée M06*40 (Inox)"/>
    <s v="UN"/>
    <n v="48"/>
    <n v="0"/>
    <n v="0"/>
    <x v="3"/>
  </r>
  <r>
    <s v="007"/>
    <s v="PR01"/>
    <s v="820XMC582"/>
    <s v="Vis d'arrêt (acier) M08*25"/>
    <s v="UN"/>
    <n v="781"/>
    <n v="0.23749999999999999"/>
    <n v="185.48749999999998"/>
    <x v="3"/>
  </r>
  <r>
    <s v="007"/>
    <s v="PR01"/>
    <s v="820XMC583"/>
    <s v="Vis d'arrêt (acier) M12*25"/>
    <s v="UN"/>
    <n v="20"/>
    <n v="0.50349999999999995"/>
    <n v="10.069999999999999"/>
    <x v="3"/>
  </r>
  <r>
    <s v="007"/>
    <s v="PR01"/>
    <s v="820XMC588"/>
    <s v="tige fileté (acier) M05"/>
    <s v="UN"/>
    <n v="14.5"/>
    <n v="1.35"/>
    <n v="19.575000000000003"/>
    <x v="3"/>
  </r>
  <r>
    <s v="007"/>
    <s v="PR01"/>
    <s v="820XMC589"/>
    <s v="Vis d'arrêt (acier) M12*10"/>
    <s v="UN"/>
    <n v="38"/>
    <n v="0.50349999999999995"/>
    <n v="19.132999999999999"/>
    <x v="3"/>
  </r>
  <r>
    <s v="007"/>
    <s v="PR01"/>
    <s v="820XMC590"/>
    <s v="Vis d'arrêt (acier) M04*10"/>
    <s v="UN"/>
    <n v="15"/>
    <n v="0.16800000000000001"/>
    <n v="2.52"/>
    <x v="3"/>
  </r>
  <r>
    <s v="007"/>
    <s v="PR01"/>
    <s v="820XMC591"/>
    <s v="écrou (Inox) M16"/>
    <s v="UN"/>
    <n v="9"/>
    <n v="1.1126499999999999"/>
    <n v="10.01385"/>
    <x v="3"/>
  </r>
  <r>
    <s v="007"/>
    <s v="PR01"/>
    <s v="820XMC598"/>
    <s v="Anneau de levage M10 MALE  moule"/>
    <s v="UN"/>
    <n v="780"/>
    <n v="2.282"/>
    <n v="1779.96"/>
    <x v="3"/>
  </r>
  <r>
    <s v="007"/>
    <s v="PR01"/>
    <s v="820xmc606"/>
    <s v="Vis TH (acier) M20*60"/>
    <s v="UN"/>
    <n v="18"/>
    <n v="2.1949999999999998"/>
    <n v="39.51"/>
    <x v="3"/>
  </r>
  <r>
    <s v="007"/>
    <s v="PR01"/>
    <s v="820XMC614"/>
    <s v="Vis TH (INOX) M18*50"/>
    <s v="UN"/>
    <n v="150"/>
    <n v="3.8250000000000002"/>
    <n v="573.75"/>
    <x v="3"/>
  </r>
  <r>
    <s v="007"/>
    <s v="PR01"/>
    <s v="820XMC618"/>
    <s v="vis six pans (acier) M08*25"/>
    <s v="UN"/>
    <n v="9"/>
    <n v="0.15972500000000001"/>
    <n v="1.4375249999999999"/>
    <x v="3"/>
  </r>
  <r>
    <s v="007"/>
    <s v="PR01"/>
    <s v="820XMC621"/>
    <s v="Vis TH(acier) M08*80"/>
    <s v="UN"/>
    <n v="43"/>
    <n v="0.32200000000000001"/>
    <n v="13.846"/>
    <x v="3"/>
  </r>
  <r>
    <s v="007"/>
    <s v="PR01"/>
    <s v="820XMC636"/>
    <s v="Circlips D16 Exterieur"/>
    <s v="UN"/>
    <n v="6"/>
    <n v="0.13950000000000001"/>
    <n v="0.83700000000000008"/>
    <x v="3"/>
  </r>
  <r>
    <s v="007"/>
    <s v="PR01"/>
    <s v="820XMC637"/>
    <s v="Circlips D20 Exterieur"/>
    <s v="UN"/>
    <n v="14"/>
    <n v="0.18"/>
    <n v="2.52"/>
    <x v="3"/>
  </r>
  <r>
    <s v="007"/>
    <s v="PR01"/>
    <s v="820XMC638"/>
    <s v="Circlips D22 Exterieur"/>
    <s v="UN"/>
    <n v="32"/>
    <n v="0.19800000000000001"/>
    <n v="6.3360000000000003"/>
    <x v="3"/>
  </r>
  <r>
    <s v="007"/>
    <s v="PR01"/>
    <s v="820XMC639"/>
    <s v="Circlips D14 Interieur"/>
    <s v="UN"/>
    <n v="5"/>
    <n v="0.25740000000000002"/>
    <n v="1.2870000000000001"/>
    <x v="3"/>
  </r>
  <r>
    <s v="007"/>
    <s v="PR01"/>
    <s v="820XMC641"/>
    <s v="Circlips D18 Interieur"/>
    <s v="UN"/>
    <n v="23"/>
    <n v="0.38159999999999999"/>
    <n v="8.7767999999999997"/>
    <x v="3"/>
  </r>
  <r>
    <s v="007"/>
    <s v="PR01"/>
    <s v="820XMC643"/>
    <s v="Circlips D22 Interieur"/>
    <s v="UN"/>
    <n v="12"/>
    <n v="0.33750000000000002"/>
    <n v="4.0500000000000007"/>
    <x v="3"/>
  </r>
  <r>
    <s v="007"/>
    <s v="PR01"/>
    <s v="820XMC647"/>
    <s v="Tige fileté (INOX) M10"/>
    <s v="UN"/>
    <n v="69"/>
    <n v="17.193000000000001"/>
    <n v="1186.317"/>
    <x v="3"/>
  </r>
  <r>
    <s v="007"/>
    <s v="PR01"/>
    <s v="820XMC648"/>
    <s v="Tige fileté (INOX) M12"/>
    <s v="UN"/>
    <n v="5"/>
    <n v="22.925000000000001"/>
    <n v="114.625"/>
    <x v="3"/>
  </r>
  <r>
    <s v="007"/>
    <s v="PR01"/>
    <s v="820XMC674"/>
    <s v="Vis TF (acier) M12*30"/>
    <s v="M"/>
    <n v="145"/>
    <n v="0.57757000000000003"/>
    <n v="83.747650000000007"/>
    <x v="3"/>
  </r>
  <r>
    <s v="007"/>
    <s v="PR01"/>
    <s v="820XMC680"/>
    <s v="VIS Six pans (acier) M03*10"/>
    <s v="UN"/>
    <n v="59"/>
    <n v="8.5980000000000001E-2"/>
    <n v="5.0728200000000001"/>
    <x v="3"/>
  </r>
  <r>
    <s v="007"/>
    <s v="PR01"/>
    <s v="820XMC681"/>
    <s v="VIS Six pans (acier) M04*10"/>
    <s v="UN"/>
    <n v="84"/>
    <n v="4.7600000000000003E-2"/>
    <n v="3.9984000000000002"/>
    <x v="3"/>
  </r>
  <r>
    <s v="007"/>
    <s v="PR01"/>
    <s v="820XMC700"/>
    <s v="tige fileté (acier) M30"/>
    <s v="UN"/>
    <n v="1"/>
    <n v="31.395"/>
    <n v="31.395"/>
    <x v="3"/>
  </r>
  <r>
    <s v="007"/>
    <s v="PR01"/>
    <s v="820XMC711"/>
    <s v="Tige fileté (INOX) M06"/>
    <s v="UN"/>
    <n v="6"/>
    <n v="6.63"/>
    <n v="39.78"/>
    <x v="3"/>
  </r>
  <r>
    <s v="007"/>
    <s v="PR01"/>
    <s v="820XMC717"/>
    <s v="vis six pans (acier) M08*100"/>
    <s v="UN"/>
    <n v="14"/>
    <n v="0.85746000000000011"/>
    <n v="12.004440000000002"/>
    <x v="3"/>
  </r>
  <r>
    <s v="007"/>
    <s v="PR01"/>
    <s v="820XMC718"/>
    <s v="Ressort COMP 20/10*17*39 Panier COS2"/>
    <s v="UN"/>
    <n v="153"/>
    <n v="5.9085000000000001"/>
    <n v="904.00049999999999"/>
    <x v="3"/>
  </r>
  <r>
    <s v="007"/>
    <s v="PR01"/>
    <s v="820XMC719"/>
    <s v="Coffret Scie a cloche"/>
    <s v="UN"/>
    <n v="2"/>
    <n v="163.8657"/>
    <n v="327.73140000000001"/>
    <x v="3"/>
  </r>
  <r>
    <s v="007"/>
    <s v="PR01"/>
    <s v="820xmc734"/>
    <s v="VIS TF (INOX) M6*60"/>
    <s v="UN"/>
    <n v="1"/>
    <n v="0.51600000000000001"/>
    <n v="0.51600000000000001"/>
    <x v="3"/>
  </r>
  <r>
    <s v="007"/>
    <s v="PR01"/>
    <s v="820XMC736"/>
    <s v="vis six pans (Inox) M06*10"/>
    <s v="UN"/>
    <n v="24"/>
    <n v="0.26656000000000002"/>
    <n v="6.3974400000000005"/>
    <x v="3"/>
  </r>
  <r>
    <s v="007"/>
    <s v="PR01"/>
    <s v="820XMC738"/>
    <s v="VIS TF (INOX) M08*50"/>
    <s v="UN"/>
    <n v="1"/>
    <n v="0.72352000000000005"/>
    <n v="0.72352000000000005"/>
    <x v="3"/>
  </r>
  <r>
    <s v="007"/>
    <s v="PR01"/>
    <s v="820XMC739"/>
    <s v="vis six pans (Inox) M08*60"/>
    <s v="UN"/>
    <n v="139"/>
    <n v="1.00674"/>
    <n v="139.93686"/>
    <x v="3"/>
  </r>
  <r>
    <s v="007"/>
    <s v="PR01"/>
    <s v="820XMC740"/>
    <s v="Ressort PM ENV HILANS"/>
    <s v="UN"/>
    <n v="20"/>
    <n v="0"/>
    <n v="0"/>
    <x v="3"/>
  </r>
  <r>
    <s v="007"/>
    <s v="PR01"/>
    <s v="820XMC741"/>
    <s v="Vis six pans (acier) M10*70"/>
    <s v="UN"/>
    <n v="16"/>
    <n v="0.4"/>
    <n v="6.4"/>
    <x v="3"/>
  </r>
  <r>
    <s v="007"/>
    <s v="PR01"/>
    <s v="820XMC742"/>
    <s v="Vis TH (acier) M18*100"/>
    <s v="UN"/>
    <n v="4"/>
    <n v="0"/>
    <n v="0"/>
    <x v="3"/>
  </r>
  <r>
    <s v="007"/>
    <s v="PR01"/>
    <s v="820XMC743"/>
    <s v="VIS TF (acier) M12*50"/>
    <s v="UN"/>
    <n v="400"/>
    <n v="0"/>
    <n v="0"/>
    <x v="3"/>
  </r>
  <r>
    <s v="007"/>
    <s v="PR01"/>
    <s v="820XMC744"/>
    <s v="VIS TF (acier) M06*10"/>
    <s v="UN"/>
    <n v="31"/>
    <n v="5.1999999999999998E-2"/>
    <n v="1.6119999999999999"/>
    <x v="3"/>
  </r>
  <r>
    <s v="007"/>
    <s v="PR01"/>
    <s v="820XMC745"/>
    <s v="Tige fileté (INOX) M14"/>
    <s v="UN"/>
    <n v="3"/>
    <n v="34.384999999999998"/>
    <n v="103.155"/>
    <x v="3"/>
  </r>
  <r>
    <s v="007"/>
    <s v="PR01"/>
    <s v="820XMC748"/>
    <s v="vis six pans (Inox) M04*40"/>
    <s v="UN"/>
    <n v="480"/>
    <n v="0.19800000000000001"/>
    <n v="95.04"/>
    <x v="3"/>
  </r>
  <r>
    <s v="007"/>
    <s v="PR01"/>
    <s v="820XMC751"/>
    <s v="vis six pans (Inox) M05*50"/>
    <s v="UN"/>
    <n v="2"/>
    <n v="0.63200000000000001"/>
    <n v="1.264"/>
    <x v="3"/>
  </r>
  <r>
    <s v="007"/>
    <s v="PR01"/>
    <s v="820XMC752"/>
    <s v="vis six pans (Inox) M05*60"/>
    <s v="UN"/>
    <n v="81"/>
    <n v="0.40799999999999997"/>
    <n v="33.047999999999995"/>
    <x v="3"/>
  </r>
  <r>
    <s v="007"/>
    <s v="PR01"/>
    <s v="820XMC753"/>
    <s v="vis six pans (Inox) M05*70"/>
    <s v="UN"/>
    <n v="83"/>
    <n v="1.633"/>
    <n v="135.53899999999999"/>
    <x v="3"/>
  </r>
  <r>
    <s v="007"/>
    <s v="PR01"/>
    <s v="820XMC755"/>
    <s v="vis six pans (Inox) M06*60"/>
    <s v="UN"/>
    <n v="87"/>
    <n v="0.61599999999999999"/>
    <n v="53.591999999999999"/>
    <x v="3"/>
  </r>
  <r>
    <s v="007"/>
    <s v="PR01"/>
    <s v="820XMC756"/>
    <s v="vis six pans (Inox) M06*70"/>
    <s v="UN"/>
    <n v="93"/>
    <n v="1.0429999999999999"/>
    <n v="96.998999999999995"/>
    <x v="3"/>
  </r>
  <r>
    <s v="007"/>
    <s v="PR01"/>
    <s v="820XMC782"/>
    <s v="vis sixpans fraisée M08*10 (acier)"/>
    <s v="UN"/>
    <n v="4"/>
    <n v="0.13600000000000001"/>
    <n v="0.54400000000000004"/>
    <x v="3"/>
  </r>
  <r>
    <s v="007"/>
    <s v="PR01"/>
    <s v="820xmc792"/>
    <s v="DEMI ANNEAU SKF FRB3,5/85"/>
    <s v="UN"/>
    <n v="93"/>
    <n v="0"/>
    <n v="0"/>
    <x v="3"/>
  </r>
  <r>
    <s v="007"/>
    <s v="PR01"/>
    <s v="820XMC802"/>
    <s v="VIS TF (acier) M12*60"/>
    <s v="UN"/>
    <n v="82"/>
    <n v="0.96084849999999999"/>
    <n v="78.789576999999994"/>
    <x v="3"/>
  </r>
  <r>
    <s v="007"/>
    <s v="PR01"/>
    <s v="820XMC805"/>
    <s v="GOUPILLE D4*30 Elastique"/>
    <s v="UN"/>
    <n v="179"/>
    <n v="0.10878985088138404"/>
    <n v="19.473383307767744"/>
    <x v="3"/>
  </r>
  <r>
    <s v="007"/>
    <s v="PR01"/>
    <s v="820XMC806"/>
    <s v="vis six pans (acier) M06*60"/>
    <s v="UN"/>
    <n v="314"/>
    <n v="0.34900939226519334"/>
    <n v="109.58894917127071"/>
    <x v="3"/>
  </r>
  <r>
    <s v="007"/>
    <s v="PR01"/>
    <s v="820XMC807"/>
    <s v="Rondelle plate (acier) M18"/>
    <s v="UN"/>
    <n v="202"/>
    <n v="0.46400000000000002"/>
    <n v="93.728000000000009"/>
    <x v="3"/>
  </r>
  <r>
    <s v="007"/>
    <s v="PR01"/>
    <s v="820XMC817"/>
    <s v="VIS TH (acier) M12*70"/>
    <s v="UN"/>
    <n v="14"/>
    <n v="0.77500000000000002"/>
    <n v="10.85"/>
    <x v="3"/>
  </r>
  <r>
    <s v="007"/>
    <s v="PR01"/>
    <s v="820XMC823"/>
    <s v="VIS TH(acier) M16*70"/>
    <s v="UN"/>
    <n v="50"/>
    <n v="1.0395066666666666"/>
    <n v="51.975333333333332"/>
    <x v="3"/>
  </r>
  <r>
    <s v="007"/>
    <s v="PR01"/>
    <s v="820XMC827"/>
    <s v="écrou frein M10"/>
    <s v="UN"/>
    <n v="4"/>
    <n v="0.129"/>
    <n v="0.51600000000000001"/>
    <x v="3"/>
  </r>
  <r>
    <s v="007"/>
    <s v="PR01"/>
    <s v="820XMC828"/>
    <s v="CHARNIERE GALVA M60"/>
    <s v="UN"/>
    <n v="2"/>
    <n v="0.57779999999999998"/>
    <n v="1.1556"/>
    <x v="3"/>
  </r>
  <r>
    <s v="007"/>
    <s v="PR01"/>
    <s v="820XMC829"/>
    <s v="Rondelle Cuivre 10*16/1.5"/>
    <s v="UN"/>
    <n v="14"/>
    <n v="0.39100000000000001"/>
    <n v="5.4740000000000002"/>
    <x v="3"/>
  </r>
  <r>
    <s v="007"/>
    <s v="PR01"/>
    <s v="820XMC830"/>
    <s v="ECROU A ENCOCHE KM5 ISB Axe brosse COS"/>
    <s v="UN"/>
    <n v="34"/>
    <n v="6.2240000000000002"/>
    <n v="211.61600000000001"/>
    <x v="3"/>
  </r>
  <r>
    <s v="007"/>
    <s v="PR01"/>
    <s v="820XMC832"/>
    <s v="Tige fileté (INOX) M16"/>
    <s v="UN"/>
    <n v="5"/>
    <n v="47.84"/>
    <n v="239.20000000000002"/>
    <x v="3"/>
  </r>
  <r>
    <s v="007"/>
    <s v="PR01"/>
    <s v="820XMC834"/>
    <s v="Rondelle Cuivre 10*15/1.5"/>
    <s v="UN"/>
    <n v="101"/>
    <n v="0.54700000000000004"/>
    <n v="55.247000000000007"/>
    <x v="3"/>
  </r>
  <r>
    <s v="007"/>
    <s v="PR01"/>
    <s v="830BAR001"/>
    <s v="Barreau Clavette 5"/>
    <s v="UN"/>
    <n v="4"/>
    <n v="6.7910000000000004"/>
    <n v="27.164000000000001"/>
    <x v="3"/>
  </r>
  <r>
    <s v="007"/>
    <s v="PR01"/>
    <s v="830bar002"/>
    <s v="Barreau Clavette 6 ACIER"/>
    <s v="UN"/>
    <n v="5"/>
    <n v="10.92"/>
    <n v="54.6"/>
    <x v="3"/>
  </r>
  <r>
    <s v="007"/>
    <s v="PR01"/>
    <s v="830BAR003"/>
    <s v="Barreau Clavette 8"/>
    <s v="UN"/>
    <n v="6"/>
    <n v="15.81"/>
    <n v="94.86"/>
    <x v="3"/>
  </r>
  <r>
    <s v="007"/>
    <s v="PR01"/>
    <s v="830BAR004"/>
    <s v="Barreau Clavette 4"/>
    <s v="UN"/>
    <n v="4"/>
    <n v="6.593"/>
    <n v="26.372"/>
    <x v="3"/>
  </r>
  <r>
    <s v="007"/>
    <s v="PR01"/>
    <s v="830CLE012"/>
    <s v="pince RIVET"/>
    <s v="UN"/>
    <n v="1"/>
    <n v="20.259"/>
    <n v="20.259"/>
    <x v="3"/>
  </r>
  <r>
    <s v="007"/>
    <s v="PR01"/>
    <s v="830lam002"/>
    <s v="LAMPE 1*E27"/>
    <s v="UN"/>
    <n v="4"/>
    <n v="8.6292000000000009"/>
    <n v="34.516800000000003"/>
    <x v="3"/>
  </r>
  <r>
    <s v="007"/>
    <s v="PR01"/>
    <s v="830MCH001"/>
    <s v="MECHE BETON 6"/>
    <s v="UN"/>
    <n v="1"/>
    <n v="1.63"/>
    <n v="1.63"/>
    <x v="3"/>
  </r>
  <r>
    <s v="007"/>
    <s v="PR01"/>
    <s v="830MCH002"/>
    <s v="MECHE BETON 8"/>
    <s v="UN"/>
    <n v="1"/>
    <n v="2.512"/>
    <n v="2.512"/>
    <x v="3"/>
  </r>
  <r>
    <s v="007"/>
    <s v="PR01"/>
    <s v="830MCH003"/>
    <s v="MECHE BETON 10"/>
    <s v="UN"/>
    <n v="3"/>
    <n v="3.0259999999999998"/>
    <n v="9.0779999999999994"/>
    <x v="3"/>
  </r>
  <r>
    <s v="007"/>
    <s v="PR01"/>
    <s v="830MCH005"/>
    <s v="Mèche acier 12"/>
    <s v="UN"/>
    <n v="2"/>
    <n v="4.5625526315789475"/>
    <n v="9.1251052631578951"/>
    <x v="3"/>
  </r>
  <r>
    <s v="007"/>
    <s v="PR01"/>
    <s v="830MCH006"/>
    <s v="Mèche acier 16"/>
    <s v="UN"/>
    <n v="4"/>
    <n v="14.04"/>
    <n v="56.16"/>
    <x v="3"/>
  </r>
  <r>
    <s v="007"/>
    <s v="PR01"/>
    <s v="830MCH007"/>
    <s v="Mèche acier 20"/>
    <s v="UN"/>
    <n v="8"/>
    <n v="13.026249999999999"/>
    <n v="104.21"/>
    <x v="3"/>
  </r>
  <r>
    <s v="007"/>
    <s v="PR01"/>
    <s v="830MCH008"/>
    <s v="Mèche acier 14"/>
    <s v="UN"/>
    <n v="10"/>
    <n v="8.6880000000000006"/>
    <n v="86.88000000000001"/>
    <x v="3"/>
  </r>
  <r>
    <s v="007"/>
    <s v="PR01"/>
    <s v="830MCH013"/>
    <s v="Mèche acier 11.5"/>
    <s v="UN"/>
    <n v="4"/>
    <n v="1.1559999999999999"/>
    <n v="4.6239999999999997"/>
    <x v="3"/>
  </r>
  <r>
    <s v="007"/>
    <s v="PR01"/>
    <s v="830MCH014"/>
    <s v="Mèche acier 11"/>
    <s v="UN"/>
    <n v="2"/>
    <n v="4.6139999999999999"/>
    <n v="9.2279999999999998"/>
    <x v="3"/>
  </r>
  <r>
    <s v="007"/>
    <s v="PR01"/>
    <s v="830MCH031"/>
    <s v="Mèche Acier 2.5"/>
    <s v="UN"/>
    <n v="5"/>
    <n v="0.33700000000000002"/>
    <n v="1.6850000000000001"/>
    <x v="3"/>
  </r>
  <r>
    <s v="007"/>
    <s v="PR01"/>
    <s v="830MCH032"/>
    <s v="Meche Acier 13"/>
    <s v="UN"/>
    <n v="6"/>
    <n v="5.3070000000000004"/>
    <n v="31.842000000000002"/>
    <x v="3"/>
  </r>
  <r>
    <s v="007"/>
    <s v="PR01"/>
    <s v="830MCH909"/>
    <s v="Mèche acier 3"/>
    <s v="UN"/>
    <n v="4"/>
    <n v="0.46500000000000002"/>
    <n v="1.86"/>
    <x v="3"/>
  </r>
  <r>
    <s v="007"/>
    <s v="PR01"/>
    <s v="830MCH910"/>
    <s v="Mèche 3,5"/>
    <s v="UN"/>
    <n v="9"/>
    <n v="0.112"/>
    <n v="1.008"/>
    <x v="3"/>
  </r>
  <r>
    <s v="007"/>
    <s v="PR01"/>
    <s v="830MCH911"/>
    <s v="Mèche acier 4"/>
    <s v="UN"/>
    <n v="6"/>
    <n v="1.0025999999999999"/>
    <n v="6.0155999999999992"/>
    <x v="3"/>
  </r>
  <r>
    <s v="007"/>
    <s v="PR01"/>
    <s v="830MCH912"/>
    <s v="Mèche Acier 2"/>
    <s v="UN"/>
    <n v="6"/>
    <n v="0.33700000000000002"/>
    <n v="2.0220000000000002"/>
    <x v="3"/>
  </r>
  <r>
    <s v="007"/>
    <s v="PR01"/>
    <s v="830MCH913"/>
    <s v="Meche Acier 4,5"/>
    <s v="UN"/>
    <n v="8"/>
    <n v="0.75700000000000001"/>
    <n v="6.056"/>
    <x v="3"/>
  </r>
  <r>
    <s v="007"/>
    <s v="PR01"/>
    <s v="830MCH914"/>
    <s v="Mèche ACIER 5"/>
    <s v="UN"/>
    <n v="8"/>
    <n v="1.1952"/>
    <n v="9.5616000000000003"/>
    <x v="3"/>
  </r>
  <r>
    <s v="007"/>
    <s v="PR01"/>
    <s v="830MCH915"/>
    <s v="Mèche Acier 5,5"/>
    <s v="UN"/>
    <n v="10"/>
    <n v="1.0109999999999999"/>
    <n v="10.11"/>
    <x v="3"/>
  </r>
  <r>
    <s v="007"/>
    <s v="PR01"/>
    <s v="830MCH916"/>
    <s v="Mèche acier 6"/>
    <s v="UN"/>
    <n v="3"/>
    <n v="1.304"/>
    <n v="3.9119999999999999"/>
    <x v="3"/>
  </r>
  <r>
    <s v="007"/>
    <s v="PR01"/>
    <s v="830MCH918"/>
    <s v="Mèche acier 6,5"/>
    <s v="UN"/>
    <n v="3"/>
    <n v="1.4"/>
    <n v="4.1999999999999993"/>
    <x v="3"/>
  </r>
  <r>
    <s v="007"/>
    <s v="PR01"/>
    <s v="830MCH920"/>
    <s v="Mèche acier 8"/>
    <s v="UN"/>
    <n v="1"/>
    <n v="2.6070000000000002"/>
    <n v="2.6070000000000002"/>
    <x v="3"/>
  </r>
  <r>
    <s v="007"/>
    <s v="PR01"/>
    <s v="830MCH921"/>
    <s v="Mèche acier 8,5"/>
    <s v="UN"/>
    <n v="5"/>
    <n v="2.1909999999999998"/>
    <n v="10.954999999999998"/>
    <x v="3"/>
  </r>
  <r>
    <s v="007"/>
    <s v="PR01"/>
    <s v="830MCH922"/>
    <s v="Mèche acier 10"/>
    <s v="UN"/>
    <n v="7"/>
    <n v="3.71"/>
    <n v="25.97"/>
    <x v="3"/>
  </r>
  <r>
    <s v="007"/>
    <s v="PR01"/>
    <s v="830MCH923"/>
    <s v="Mèche acier 10,5"/>
    <s v="UN"/>
    <n v="1"/>
    <n v="6.718"/>
    <n v="6.718"/>
    <x v="3"/>
  </r>
  <r>
    <s v="007"/>
    <s v="PR01"/>
    <s v="830TAR003"/>
    <s v="Jeu de taraud 06"/>
    <s v="UN"/>
    <n v="1"/>
    <n v="9.0962999999999994"/>
    <n v="9.0962999999999994"/>
    <x v="3"/>
  </r>
  <r>
    <s v="007"/>
    <s v="PR01"/>
    <s v="830TAR006"/>
    <s v="Jeu de taraud 8"/>
    <s v="UN"/>
    <n v="1"/>
    <n v="11.511900000000001"/>
    <n v="11.511900000000001"/>
    <x v="3"/>
  </r>
  <r>
    <s v="007"/>
    <s v="PR01"/>
    <s v="830TAR009"/>
    <s v="Jeu de Taraud F1/4"/>
    <s v="UN"/>
    <n v="1"/>
    <n v="71.757000000000005"/>
    <n v="71.757000000000005"/>
    <x v="3"/>
  </r>
  <r>
    <s v="007"/>
    <s v="PR01"/>
    <s v="830TAR893"/>
    <s v="taraud 6"/>
    <s v="UN"/>
    <n v="2"/>
    <n v="9.0953999999999997"/>
    <n v="18.190799999999999"/>
    <x v="3"/>
  </r>
  <r>
    <s v="007"/>
    <s v="PR01"/>
    <s v="830XOU013"/>
    <s v="FILTRE A CARTOCUHE 1µm 20&quot;"/>
    <s v="UN"/>
    <n v="13"/>
    <n v="11.5"/>
    <n v="149.5"/>
    <x v="3"/>
  </r>
  <r>
    <s v="007"/>
    <s v="PR01"/>
    <s v="830XOU145"/>
    <s v="Fil D'attache"/>
    <s v="KG"/>
    <n v="2"/>
    <n v="4.5199999999999996"/>
    <n v="9.0399999999999991"/>
    <x v="3"/>
  </r>
  <r>
    <s v="007"/>
    <s v="PR01"/>
    <s v="830xou149"/>
    <s v="Teflon non adhesif 0.8mm lame fardeleuse"/>
    <s v="M"/>
    <n v="4"/>
    <n v="28.95882352941177"/>
    <n v="115.83529411764708"/>
    <x v="3"/>
  </r>
  <r>
    <s v="007"/>
    <s v="PR01"/>
    <s v="830XOU159"/>
    <s v="ROUE PIVOTANTE POLYAMIDE Mobile D.exter 100mm FRE"/>
    <s v="UN"/>
    <n v="1"/>
    <n v="17.940000000000001"/>
    <n v="17.940000000000001"/>
    <x v="3"/>
  </r>
  <r>
    <s v="007"/>
    <s v="PR01"/>
    <s v="830XOU164"/>
    <s v="Tapis Caoutchouc EP10mm 2m/1m"/>
    <s v="UN"/>
    <n v="1"/>
    <n v="158.625"/>
    <n v="158.625"/>
    <x v="3"/>
  </r>
  <r>
    <s v="007"/>
    <s v="PR01"/>
    <s v="830XOU183"/>
    <s v="Chaine galvanisée 30/15mm"/>
    <s v="M"/>
    <n v="8"/>
    <n v="1.6893"/>
    <n v="13.5144"/>
    <x v="3"/>
  </r>
  <r>
    <s v="007"/>
    <s v="PR01"/>
    <s v="830XOU200"/>
    <s v="Serre cable Galva D2"/>
    <s v="UN"/>
    <n v="180"/>
    <n v="0.14899999999999999"/>
    <n v="26.82"/>
    <x v="3"/>
  </r>
  <r>
    <s v="007"/>
    <s v="PR01"/>
    <s v="830XOU266"/>
    <s v="Galet de guidage  porte coulissante"/>
    <s v="UN"/>
    <n v="2"/>
    <n v="25.6464"/>
    <n v="51.2928"/>
    <x v="3"/>
  </r>
  <r>
    <s v="007"/>
    <s v="PR01"/>
    <s v="830XOU267"/>
    <s v="Coupelle K59 80*70/4.25 VERIN COS"/>
    <s v="UN"/>
    <n v="12"/>
    <n v="11.8512"/>
    <n v="142.21440000000001"/>
    <x v="3"/>
  </r>
  <r>
    <s v="007"/>
    <s v="PR01"/>
    <s v="830XOU268"/>
    <s v="Joint torique 2.62*9.19 COS1"/>
    <s v="UN"/>
    <n v="20"/>
    <n v="0.1953"/>
    <n v="3.9060000000000001"/>
    <x v="3"/>
  </r>
  <r>
    <s v="007"/>
    <s v="PR01"/>
    <s v="830XOU269"/>
    <s v="Joint torique  EN NBR70 OR 28-3  COS1"/>
    <s v="UN"/>
    <n v="17"/>
    <n v="0.4788"/>
    <n v="8.1395999999999997"/>
    <x v="3"/>
  </r>
  <r>
    <s v="007"/>
    <s v="PR01"/>
    <s v="830XOU274"/>
    <s v="Coupelle en PU K59 90*100*4.25 VERIN COS"/>
    <s v="UN"/>
    <n v="4"/>
    <n v="23.079599999999999"/>
    <n v="92.318399999999997"/>
    <x v="3"/>
  </r>
  <r>
    <s v="007"/>
    <s v="PR01"/>
    <s v="830XOU306"/>
    <s v="Buse ronde D5mm Soud plastique pistolet"/>
    <s v="UN"/>
    <n v="1"/>
    <n v="75.494450000000001"/>
    <n v="75.494450000000001"/>
    <x v="3"/>
  </r>
  <r>
    <s v="007"/>
    <s v="PR01"/>
    <s v="830XOU331"/>
    <s v="Serre cable INOX 5mm"/>
    <s v="UN"/>
    <n v="10"/>
    <n v="4.6749999999999998"/>
    <n v="46.75"/>
    <x v="3"/>
  </r>
  <r>
    <s v="007"/>
    <s v="PR01"/>
    <s v="830XOU332"/>
    <s v="Cable INOX 5mm 7*19"/>
    <s v="M"/>
    <n v="10"/>
    <n v="7.2249999999999996"/>
    <n v="72.25"/>
    <x v="3"/>
  </r>
  <r>
    <s v="007"/>
    <s v="PR01"/>
    <s v="830XOU337"/>
    <s v="Bec de chalumeau automatique"/>
    <s v="UN"/>
    <n v="3"/>
    <n v="13"/>
    <n v="39"/>
    <x v="3"/>
  </r>
  <r>
    <s v="007"/>
    <s v="PR01"/>
    <s v="830XOU339"/>
    <s v="PLAQUE PLEXIGLAS TRANSPARENT 305/203/10mm"/>
    <s v="UN"/>
    <n v="1"/>
    <n v="1305.875"/>
    <n v="1305.875"/>
    <x v="3"/>
  </r>
  <r>
    <s v="007"/>
    <s v="PR01"/>
    <s v="830XOU344"/>
    <s v="PLAQUE PLEXIGLAS TRANSPARENT 305/203/5mm"/>
    <s v="UN"/>
    <n v="1"/>
    <n v="687.38800000000003"/>
    <n v="687.38800000000003"/>
    <x v="3"/>
  </r>
  <r>
    <s v="007"/>
    <s v="PR01"/>
    <s v="830XOU347"/>
    <s v="Metrel MD 9910 IR CAMERA Thermographique 80/80"/>
    <s v="UN"/>
    <n v="1"/>
    <n v="2788"/>
    <n v="2788"/>
    <x v="3"/>
  </r>
  <r>
    <s v="007"/>
    <s v="PR01"/>
    <s v="830XOU349"/>
    <s v="Silent bloc 50*20 Double Tige M10"/>
    <s v="UN"/>
    <n v="4"/>
    <n v="12.478999999999999"/>
    <n v="49.915999999999997"/>
    <x v="3"/>
  </r>
  <r>
    <s v="007"/>
    <s v="PR01"/>
    <s v="830XOU354"/>
    <s v="Barre en Plastique POMC NOIR"/>
    <s v="M"/>
    <n v="2"/>
    <n v="120"/>
    <n v="240"/>
    <x v="3"/>
  </r>
  <r>
    <s v="007"/>
    <s v="PR01"/>
    <s v="830XOU356"/>
    <s v="Barre en Aluminium D40 L500mm  Accouplement S.C"/>
    <s v="KG"/>
    <n v="1"/>
    <n v="59.975999999999999"/>
    <n v="59.975999999999999"/>
    <x v="3"/>
  </r>
  <r>
    <s v="007"/>
    <s v="PR01"/>
    <s v="830XOU908"/>
    <s v="lame de cutter"/>
    <s v="UN"/>
    <n v="2"/>
    <n v="1.619"/>
    <n v="3.238"/>
    <x v="3"/>
  </r>
  <r>
    <s v="007"/>
    <s v="PR01"/>
    <s v="840FRM002"/>
    <s v="Carnet Bon de livraison PDR 4*25"/>
    <s v="UN"/>
    <n v="4"/>
    <n v="7.5750000000000002"/>
    <n v="30.3"/>
    <x v="3"/>
  </r>
  <r>
    <s v="007"/>
    <s v="PR01"/>
    <s v="840FRM004"/>
    <s v="Carnet demande d'intervention 3x50"/>
    <s v="UN"/>
    <n v="3"/>
    <n v="6.5650000000000004"/>
    <n v="19.695"/>
    <x v="3"/>
  </r>
  <r>
    <s v="007"/>
    <s v="PR01"/>
    <s v="840FRM005"/>
    <s v="CARNET BON DE SORTIE PDR 3 x 50"/>
    <s v="UN"/>
    <n v="25"/>
    <n v="7.7345831325301209"/>
    <n v="193.36457831325302"/>
    <x v="3"/>
  </r>
  <r>
    <s v="007"/>
    <s v="PR01"/>
    <s v="840FRM006"/>
    <s v="Carnet Bon d'entree PDR"/>
    <s v="UN"/>
    <n v="20"/>
    <n v="7"/>
    <n v="140"/>
    <x v="3"/>
  </r>
  <r>
    <s v="007"/>
    <s v="PR01"/>
    <s v="840PEI004"/>
    <s v="PEINTURE LAQUEE 4kg METAL BLEU"/>
    <s v="UN"/>
    <n v="2"/>
    <n v="35.293999999999997"/>
    <n v="70.587999999999994"/>
    <x v="3"/>
  </r>
  <r>
    <s v="007"/>
    <s v="PR01"/>
    <s v="840PEI007"/>
    <s v="PEINTURE ANTI-ROUILLE GRIS 5KG"/>
    <s v="UN"/>
    <n v="2"/>
    <n v="35.561700000000002"/>
    <n v="71.123400000000004"/>
    <x v="3"/>
  </r>
  <r>
    <s v="007"/>
    <s v="PR01"/>
    <s v="840PEI011"/>
    <s v="PEINTURE LAQEE JAUNE   1KG"/>
    <s v="UN"/>
    <n v="0"/>
    <n v="9.4553999999999991"/>
    <n v="0"/>
    <x v="3"/>
  </r>
  <r>
    <s v="007"/>
    <s v="PR01"/>
    <s v="840PEI023"/>
    <s v="PEINTURE LAQEE  VERT 1KG"/>
    <s v="KG"/>
    <n v="2"/>
    <n v="8.1310333333333329"/>
    <n v="16.262066666666666"/>
    <x v="3"/>
  </r>
  <r>
    <s v="007"/>
    <s v="PR01"/>
    <s v="840PEI027"/>
    <s v="Peinture Laque Noir 1Kg"/>
    <s v="UN"/>
    <n v="1"/>
    <n v="9.8927999999999994"/>
    <n v="9.8927999999999994"/>
    <x v="3"/>
  </r>
  <r>
    <s v="007"/>
    <s v="PR01"/>
    <s v="840PEI031"/>
    <s v="Peinture routiere 18KG GRIS"/>
    <s v="UN"/>
    <n v="2"/>
    <n v="204.1592"/>
    <n v="408.3184"/>
    <x v="3"/>
  </r>
  <r>
    <s v="007"/>
    <s v="PR01"/>
    <s v="840PEI032"/>
    <s v="Peinture Laquée 1KG GRIS"/>
    <s v="UN"/>
    <n v="1"/>
    <n v="10.160780000000001"/>
    <n v="10.160780000000001"/>
    <x v="3"/>
  </r>
  <r>
    <s v="007"/>
    <s v="PR01"/>
    <s v="840PNA016"/>
    <s v="PINCEAU PLAT 20"/>
    <s v="UN"/>
    <n v="2"/>
    <n v="0.59940000000000004"/>
    <n v="1.1988000000000001"/>
    <x v="3"/>
  </r>
  <r>
    <s v="007"/>
    <s v="PR01"/>
    <s v="840PNA024"/>
    <s v="Pinceau Plat 50"/>
    <s v="UN"/>
    <n v="4"/>
    <n v="1.5021"/>
    <n v="6.0084"/>
    <x v="3"/>
  </r>
  <r>
    <s v="007"/>
    <s v="PR01"/>
    <s v="840PNA025"/>
    <s v="PINCEAU PLAT 60"/>
    <s v="UN"/>
    <n v="0"/>
    <n v="1.8917999999999999"/>
    <n v="0"/>
    <x v="3"/>
  </r>
  <r>
    <s v="007"/>
    <s v="PR01"/>
    <s v="840PNA027"/>
    <s v="PINCEAU PLAT 40"/>
    <s v="UN"/>
    <n v="2"/>
    <n v="2.7349999999999999"/>
    <n v="5.47"/>
    <x v="3"/>
  </r>
  <r>
    <s v="007"/>
    <s v="PR01"/>
    <s v="840PNA032"/>
    <s v="PINCEAU ROND 60"/>
    <s v="UN"/>
    <n v="3"/>
    <n v="8.7498000000000005"/>
    <n v="26.249400000000001"/>
    <x v="3"/>
  </r>
  <r>
    <s v="007"/>
    <s v="PR01"/>
    <s v="840xou002"/>
    <s v="Boite de controle bruleur LME 22.331A2"/>
    <s v="UN"/>
    <n v="2"/>
    <n v="429.23430000000002"/>
    <n v="858.46860000000004"/>
    <x v="3"/>
  </r>
  <r>
    <s v="007"/>
    <s v="PR01"/>
    <s v="840XOU006"/>
    <s v="Boite de controle bruleu VE3.2 TV 30S TS 18006005"/>
    <s v="UN"/>
    <n v="1"/>
    <n v="529.20000000000005"/>
    <n v="529.20000000000005"/>
    <x v="3"/>
  </r>
  <r>
    <s v="007"/>
    <s v="PR01"/>
    <s v="840XOU010"/>
    <s v="Socle boite controle BRAHMA 003/SR3"/>
    <s v="UN"/>
    <n v="1"/>
    <n v="38.48715"/>
    <n v="38.48715"/>
    <x v="3"/>
  </r>
  <r>
    <s v="007"/>
    <s v="PR01"/>
    <s v="812COD811"/>
    <s v="Coude galva 2&quot; (D63)"/>
    <s v="UN"/>
    <n v="1"/>
    <n v="0"/>
    <n v="0"/>
    <x v="3"/>
  </r>
  <r>
    <s v="007"/>
    <s v="PR01"/>
    <s v="812VER048"/>
    <s v="Verin 63/125"/>
    <s v="UN"/>
    <n v="1"/>
    <n v="0"/>
    <n v="0"/>
    <x v="3"/>
  </r>
  <r>
    <s v="007"/>
    <s v="PR01"/>
    <s v="810VER250"/>
    <s v="Verin 20/250"/>
    <s v="UN"/>
    <n v="2"/>
    <n v="311.39800000000002"/>
    <n v="622.79600000000005"/>
    <x v="3"/>
  </r>
  <r>
    <s v="007"/>
    <s v="PR01"/>
    <m/>
    <s v="Verin 32/40"/>
    <s v="UN"/>
    <n v="5"/>
    <n v="0"/>
    <n v="0"/>
    <x v="3"/>
  </r>
  <r>
    <s v="007"/>
    <s v="PR01"/>
    <s v="810ver254"/>
    <s v=" Verin 16/25"/>
    <s v="UN"/>
    <n v="6"/>
    <n v="102.55249999999999"/>
    <n v="615.31499999999994"/>
    <x v="3"/>
  </r>
  <r>
    <s v="007"/>
    <s v="PR01"/>
    <s v="812VER640"/>
    <s v="Verin 63/250 "/>
    <s v="UN"/>
    <n v="1"/>
    <n v="0"/>
    <n v="0"/>
    <x v="3"/>
  </r>
  <r>
    <s v="007"/>
    <s v="PR01"/>
    <s v="812VER641"/>
    <s v="Verin 32/800"/>
    <s v="UN"/>
    <n v="2"/>
    <n v="0"/>
    <n v="0"/>
    <x v="3"/>
  </r>
  <r>
    <s v="007"/>
    <s v="PR01"/>
    <s v="812VER630"/>
    <s v=" Verin 50/1000"/>
    <s v="UN"/>
    <n v="1"/>
    <n v="0"/>
    <n v="0"/>
    <x v="3"/>
  </r>
  <r>
    <s v="007"/>
    <s v="PR01"/>
    <s v="812MON803"/>
    <s v="Monchon bargataire D75"/>
    <s v="UN"/>
    <n v="2"/>
    <n v="0"/>
    <n v="0"/>
    <x v="3"/>
  </r>
  <r>
    <s v="007"/>
    <s v="PR01"/>
    <s v="812rac755"/>
    <s v="Raccord  bargataire D32*3/4&quot; M"/>
    <s v="UN"/>
    <n v="4"/>
    <n v="0"/>
    <n v="0"/>
    <x v="3"/>
  </r>
  <r>
    <s v="007"/>
    <s v="PR01"/>
    <s v="812RAC127"/>
    <s v="Raccord  bargataire D32*1&quot; F"/>
    <s v="UN"/>
    <n v="3"/>
    <n v="0"/>
    <n v="0"/>
    <x v="3"/>
  </r>
  <r>
    <s v="007"/>
    <s v="PR01"/>
    <s v="815CAP152"/>
    <s v="Capteur XS5GD418"/>
    <s v="UN"/>
    <n v="20"/>
    <n v="0"/>
    <n v="0"/>
    <x v="3"/>
  </r>
  <r>
    <s v="007"/>
    <s v="PR01"/>
    <s v="815DIS002"/>
    <s v="Disjoncteur moteur 2,5-04"/>
    <s v="UN"/>
    <n v="20"/>
    <n v="87.93"/>
    <n v="1758.6000000000001"/>
    <x v="3"/>
  </r>
  <r>
    <s v="007"/>
    <s v="PR01"/>
    <s v="815DIS309"/>
    <s v="Disjoncteur moteur 06-16"/>
    <s v="UN"/>
    <n v="3"/>
    <n v="0"/>
    <n v="0"/>
    <x v="3"/>
  </r>
  <r>
    <s v="007"/>
    <s v="PR01"/>
    <s v="812CLA008"/>
    <s v="Clappet cuivre 1&quot; "/>
    <s v="UN"/>
    <n v="2"/>
    <n v="38.771999999999998"/>
    <n v="77.543999999999997"/>
    <x v="3"/>
  </r>
  <r>
    <s v="007"/>
    <s v="PR01"/>
    <s v="812COD812"/>
    <s v="Coude PVC PR 90° D16"/>
    <s v="UN"/>
    <n v="2"/>
    <n v="0"/>
    <n v="0"/>
    <x v="3"/>
  </r>
  <r>
    <s v="007"/>
    <s v="PR01"/>
    <s v="812cod805"/>
    <s v="Coude PVC 90° D40"/>
    <s v="UN"/>
    <n v="6"/>
    <n v="2.75"/>
    <n v="16.5"/>
    <x v="3"/>
  </r>
  <r>
    <s v="007"/>
    <s v="PR01"/>
    <s v="812cod807"/>
    <s v="Coude PVC 90° D32"/>
    <s v="UN"/>
    <n v="2"/>
    <n v="1.464"/>
    <n v="2.9279999999999999"/>
    <x v="3"/>
  </r>
  <r>
    <s v="007"/>
    <s v="PR01"/>
    <s v="812TTE022"/>
    <s v="TE PVC D32"/>
    <s v="UN"/>
    <n v="7"/>
    <n v="0"/>
    <n v="0"/>
    <x v="3"/>
  </r>
  <r>
    <s v="007"/>
    <s v="PR01"/>
    <s v="812TTE021"/>
    <s v="TE PVC PR D75"/>
    <s v="UN"/>
    <n v="1"/>
    <n v="25.4711"/>
    <n v="25.4711"/>
    <x v="3"/>
  </r>
  <r>
    <s v="007"/>
    <s v="PR01"/>
    <s v="812TTE666"/>
    <s v="TE PVC PR D25"/>
    <s v="UN"/>
    <n v="4"/>
    <n v="1.2050000000000001"/>
    <n v="4.82"/>
    <x v="3"/>
  </r>
  <r>
    <s v="007"/>
    <s v="PR01"/>
    <s v="812TTE058"/>
    <s v="TE PVC PR D50"/>
    <s v="UN"/>
    <n v="1"/>
    <n v="8.9250000000000007"/>
    <n v="8.9250000000000007"/>
    <x v="3"/>
  </r>
  <r>
    <s v="007"/>
    <s v="PR01"/>
    <s v="812RED723"/>
    <s v="Réduction PVC PR 90*50 (D50)"/>
    <s v="UN"/>
    <n v="2"/>
    <n v="0"/>
    <n v="0"/>
    <x v="3"/>
  </r>
  <r>
    <s v="007"/>
    <s v="PR01"/>
    <s v="812TTE672"/>
    <s v="TE PVC PR D100"/>
    <s v="UN"/>
    <n v="2"/>
    <n v="0"/>
    <n v="0"/>
    <x v="3"/>
  </r>
  <r>
    <s v="007"/>
    <s v="PR01"/>
    <s v="812TTE673"/>
    <s v="TE PVC PR D80"/>
    <s v="UN"/>
    <n v="2"/>
    <n v="0"/>
    <n v="0"/>
    <x v="3"/>
  </r>
  <r>
    <s v="007"/>
    <s v="PR01"/>
    <s v="812MEM725"/>
    <s v="Mamelon Galva 2&quot;1/2 (D75)"/>
    <s v="UN"/>
    <n v="3"/>
    <n v="11.490237762237765"/>
    <n v="34.470713286713291"/>
    <x v="3"/>
  </r>
  <r>
    <s v="007"/>
    <s v="PR01"/>
    <m/>
    <s v="TE 26/34 (1&quot;)"/>
    <s v="UN"/>
    <n v="1"/>
    <n v="0"/>
    <n v="0"/>
    <x v="3"/>
  </r>
  <r>
    <s v="007"/>
    <s v="PR01"/>
    <s v="812COD021"/>
    <s v="Coude galva 90° 2&quot; (D63)"/>
    <s v="UN"/>
    <n v="1"/>
    <n v="7.7145999999999999"/>
    <n v="7.7145999999999999"/>
    <x v="3"/>
  </r>
  <r>
    <s v="007"/>
    <s v="PR01"/>
    <s v="812COD813"/>
    <s v="Coude galva 45° 2&quot; (D63)"/>
    <s v="UN"/>
    <n v="2"/>
    <n v="0"/>
    <n v="0"/>
    <x v="3"/>
  </r>
  <r>
    <s v="007"/>
    <s v="PR01"/>
    <s v="812RED023"/>
    <s v="Réduction galva 1&quot;*2&quot;"/>
    <s v="UN"/>
    <n v="5"/>
    <n v="0"/>
    <n v="0"/>
    <x v="3"/>
  </r>
  <r>
    <s v="007"/>
    <s v="PR01"/>
    <s v="812RED724"/>
    <s v="Réduction galva 2&quot;*2&quot;1/2"/>
    <s v="UN"/>
    <n v="2"/>
    <n v="0"/>
    <n v="0"/>
    <x v="3"/>
  </r>
  <r>
    <s v="007"/>
    <s v="PR01"/>
    <s v="812red006"/>
    <s v="Réduction galva 2&quot;*3&quot;"/>
    <s v="UN"/>
    <n v="1"/>
    <n v="0"/>
    <n v="0"/>
    <x v="3"/>
  </r>
  <r>
    <s v="007"/>
    <s v="PR01"/>
    <s v="701ELE091"/>
    <s v="Alimentation stabilisé 5v/4A"/>
    <s v="UN"/>
    <n v="2"/>
    <n v="0"/>
    <n v="0"/>
    <x v="3"/>
  </r>
  <r>
    <s v="007"/>
    <s v="PR01"/>
    <s v="701ELE092"/>
    <s v="Alimentation stabilisé 5v/8A"/>
    <s v="UN"/>
    <n v="2"/>
    <n v="0"/>
    <n v="0"/>
    <x v="3"/>
  </r>
  <r>
    <s v="007"/>
    <s v="PR01"/>
    <s v="810ROU196"/>
    <s v="Roulement 6303-2Z"/>
    <s v="UN"/>
    <n v="11"/>
    <n v="11.25"/>
    <n v="123.75"/>
    <x v="3"/>
  </r>
  <r>
    <s v="007"/>
    <s v="PR01"/>
    <s v="810XPM208"/>
    <s v="Attache rapide pour chaine 08B1"/>
    <s v="UN"/>
    <n v="40"/>
    <n v="0.69479999999999997"/>
    <n v="27.791999999999998"/>
    <x v="3"/>
  </r>
  <r>
    <s v="007"/>
    <s v="PR01"/>
    <s v="812XPB011"/>
    <s v="CHEVILLE DE 12"/>
    <s v="UN"/>
    <n v="222"/>
    <n v="2.8799999999999999E-2"/>
    <n v="6.3936000000000002"/>
    <x v="3"/>
  </r>
  <r>
    <s v="007"/>
    <s v="PR01"/>
    <s v="815CAB014"/>
    <s v="Cable souple 2*0.75"/>
    <s v="M"/>
    <n v="34"/>
    <n v="1.3653"/>
    <n v="46.420200000000001"/>
    <x v="3"/>
  </r>
  <r>
    <s v="007"/>
    <s v="PR01"/>
    <s v="820DIS763"/>
    <s v="Disque acier 125"/>
    <s v="UN"/>
    <n v="32"/>
    <n v="0"/>
    <n v="0"/>
    <x v="3"/>
  </r>
  <r>
    <s v="007"/>
    <s v="PR01"/>
    <s v="820TUB047"/>
    <s v="AXE INOX D12 316L"/>
    <s v="UN"/>
    <n v="1"/>
    <n v="0"/>
    <n v="0"/>
    <x v="3"/>
  </r>
  <r>
    <s v="007"/>
    <s v="PR01"/>
    <s v="820XMC051"/>
    <s v="VIS TH (acier) M12*60"/>
    <s v="UN"/>
    <n v="5"/>
    <n v="0.45100000000000001"/>
    <n v="2.2549999999999999"/>
    <x v="3"/>
  </r>
  <r>
    <s v="007"/>
    <s v="PR01"/>
    <s v="820XMC673"/>
    <s v="Vis TF (acier) M12*20"/>
    <s v="UN"/>
    <n v="92"/>
    <n v="0.53974999999999995"/>
    <n v="49.656999999999996"/>
    <x v="3"/>
  </r>
  <r>
    <s v="007"/>
    <s v="PR01"/>
    <s v="820XMC709"/>
    <s v="VIS TF (acier) M04*10"/>
    <s v="UN"/>
    <n v="173"/>
    <n v="4.505E-2"/>
    <n v="7.7936499999999995"/>
    <x v="3"/>
  </r>
  <r>
    <s v="007"/>
    <s v="PR01"/>
    <s v="820XMC710"/>
    <s v="VIS TF (acier) M05*10"/>
    <s v="UN"/>
    <n v="323"/>
    <n v="4.8576666666666671E-2"/>
    <n v="15.690263333333334"/>
    <x v="3"/>
  </r>
  <r>
    <s v="007"/>
    <s v="PR01"/>
    <s v="820XMC851"/>
    <s v="CHARNIERE INOX M50"/>
    <s v="UN"/>
    <n v="25"/>
    <n v="14.3"/>
    <n v="357.5"/>
    <x v="3"/>
  </r>
  <r>
    <s v="007"/>
    <s v="PR01"/>
    <s v="830MCH924"/>
    <s v="Mèche beton 12"/>
    <s v="UN"/>
    <n v="6"/>
    <n v="3.2562000000000002"/>
    <n v="19.537200000000002"/>
    <x v="3"/>
  </r>
  <r>
    <s v="007"/>
    <s v="PR01"/>
    <s v="830XOU929"/>
    <s v="Brosse métallique ROUGE"/>
    <s v="UN"/>
    <n v="16"/>
    <n v="4.2229999999999999"/>
    <n v="67.567999999999998"/>
    <x v="3"/>
  </r>
  <r>
    <s v="007"/>
    <s v="PR01"/>
    <s v="860XES075"/>
    <s v="BOUGIE SOUDURE BORNES ELECTRODE ALLUMAGE"/>
    <s v="UN"/>
    <n v="9"/>
    <n v="59.585000000000001"/>
    <n v="536.26499999999999"/>
    <x v="3"/>
  </r>
  <r>
    <s v="007"/>
    <s v="PR01"/>
    <s v="810ROU029"/>
    <s v="Roulement 6208-2RS"/>
    <s v="UN"/>
    <n v="12"/>
    <n v="32.843699999999998"/>
    <n v="394.12439999999998"/>
    <x v="3"/>
  </r>
  <r>
    <s v="007"/>
    <s v="PR01"/>
    <s v="810ROU097"/>
    <s v="Roulement 6003 2RS"/>
    <s v="UN"/>
    <n v="12"/>
    <n v="8.0970707070707064"/>
    <n v="97.164848484848477"/>
    <x v="3"/>
  </r>
  <r>
    <s v="007"/>
    <s v="PR01"/>
    <s v="812RED605"/>
    <s v="réduction10/12"/>
    <s v="UN"/>
    <n v="10"/>
    <n v="3.8759999999999999"/>
    <n v="38.76"/>
    <x v="3"/>
  </r>
  <r>
    <s v="007"/>
    <s v="PR01"/>
    <s v="815CON042"/>
    <s v="Contacteur 90A 220V"/>
    <s v="UN"/>
    <n v="1"/>
    <n v="612"/>
    <n v="612"/>
    <x v="3"/>
  </r>
  <r>
    <s v="007"/>
    <s v="PR01"/>
    <s v="815REL340"/>
    <s v="RELAIS TEMP 11 BROCHE H3CR  220VAC"/>
    <s v="UN"/>
    <n v="2"/>
    <n v="166.898"/>
    <n v="333.79599999999999"/>
    <x v="3"/>
  </r>
  <r>
    <s v="007"/>
    <s v="PR01"/>
    <s v="815RES217"/>
    <s v="Resistance plat D655*22  230V 400W 2FILS 500mm"/>
    <s v="UN"/>
    <n v="2"/>
    <n v="63.63"/>
    <n v="127.26"/>
    <x v="3"/>
  </r>
  <r>
    <s v="007"/>
    <s v="PR01"/>
    <s v="815XPE058"/>
    <s v="Boite derivation 190*140*70 IP56 ETANCHE"/>
    <s v="UN"/>
    <n v="10"/>
    <n v="0"/>
    <n v="0"/>
    <x v="3"/>
  </r>
  <r>
    <s v="007"/>
    <s v="PR01"/>
    <s v="850CHA004"/>
    <s v="CHARGE BOUTEILLE ARGON ALPHAGAZ-2 10.6M3"/>
    <s v="UN"/>
    <n v="2"/>
    <n v="692.66700000000003"/>
    <n v="1385.3340000000001"/>
    <x v="3"/>
  </r>
  <r>
    <s v="007"/>
    <s v="PR01"/>
    <s v="850CHA005"/>
    <s v="CHARGE BOUTEILLE OXYGENE A/P 10.6M3"/>
    <s v="UN"/>
    <n v="0"/>
    <n v="56.356000000000002"/>
    <n v="0"/>
    <x v="3"/>
  </r>
  <r>
    <s v="007"/>
    <s v="PR01"/>
    <s v="850CHA006"/>
    <s v="CHARGE BOUTEILLE ATAL 5"/>
    <s v="UN"/>
    <n v="3"/>
    <n v="208.40500000000003"/>
    <n v="625.21500000000015"/>
    <x v="3"/>
  </r>
  <r>
    <s v="007"/>
    <s v="PR01"/>
    <s v="860XES007"/>
    <s v="GANT LATEX BARRIER 100"/>
    <s v="UN"/>
    <n v="682"/>
    <n v="7.3000000000000007"/>
    <n v="4978.6000000000004"/>
    <x v="3"/>
  </r>
  <r>
    <s v="007"/>
    <s v="PR01"/>
    <s v="860XES008"/>
    <s v="LUNETTES DE PROTECTION"/>
    <s v="UN"/>
    <n v="58"/>
    <n v="6.2"/>
    <n v="359.6"/>
    <x v="3"/>
  </r>
  <r>
    <s v="007"/>
    <s v="PR01"/>
    <s v="860XES023"/>
    <s v="GANT POLYTRIL G-TECH"/>
    <s v="UN"/>
    <n v="2750"/>
    <n v="3.1"/>
    <n v="8525"/>
    <x v="3"/>
  </r>
  <r>
    <s v="007"/>
    <s v="PR01"/>
    <s v="860XES024"/>
    <s v="COMBINAISON JETABLE ANTI POUSSIERE"/>
    <s v="UN"/>
    <n v="150"/>
    <n v="4.7"/>
    <n v="705"/>
    <x v="3"/>
  </r>
  <r>
    <s v="007"/>
    <s v="PR01"/>
    <s v="860XES026"/>
    <s v="MASQUE ANTI POUSSIERE FFP3"/>
    <s v="UN"/>
    <n v="850"/>
    <n v="2.5"/>
    <n v="2125"/>
    <x v="3"/>
  </r>
  <r>
    <s v="007"/>
    <s v="PR01"/>
    <s v="860XES049"/>
    <s v="BOTTES PVC &quot;40"/>
    <s v="UN"/>
    <n v="64"/>
    <n v="18.5"/>
    <n v="1184"/>
    <x v="3"/>
  </r>
  <r>
    <s v="007"/>
    <s v="PR02"/>
    <s v="810PAL002"/>
    <s v="PALIER OVALE UCFL207 CHINOIS"/>
    <s v="UN"/>
    <n v="2"/>
    <n v="0"/>
    <n v="0"/>
    <x v="3"/>
  </r>
  <r>
    <s v="007"/>
    <s v="PR02"/>
    <s v="810ROU085"/>
    <s v="ROULEMENT 6309-2Z"/>
    <s v="UN"/>
    <n v="7"/>
    <n v="54.09"/>
    <n v="378.63"/>
    <x v="3"/>
  </r>
  <r>
    <s v="007"/>
    <s v="PR02"/>
    <m/>
    <s v="PARAHUILE VITON 48*70*10"/>
    <s v="UN"/>
    <n v="4"/>
    <n v="26.5"/>
    <n v="106"/>
    <x v="3"/>
  </r>
  <r>
    <s v="007"/>
    <s v="PR02"/>
    <s v="810PAL005"/>
    <s v="PALIER SKF UCFL 208/H"/>
    <s v="UN"/>
    <n v="10"/>
    <n v="94.5"/>
    <n v="945"/>
    <x v="3"/>
  </r>
  <r>
    <s v="007"/>
    <s v="PR02"/>
    <s v="815COL276"/>
    <s v="CONTACTEUR 32A 220V"/>
    <s v="UN"/>
    <n v="4"/>
    <n v="195"/>
    <n v="780"/>
    <x v="3"/>
  </r>
  <r>
    <s v="007"/>
    <s v="PR02"/>
    <s v="810ROU132"/>
    <s v="ROULEMENT 606-2Z"/>
    <s v="UN"/>
    <n v="50"/>
    <n v="1.7869999999999999"/>
    <n v="89.35"/>
    <x v="3"/>
  </r>
  <r>
    <s v="007"/>
    <s v="PR02"/>
    <s v="812VAN019"/>
    <s v="ELECTROVANNE 26/34 BOBINE 220 VAC"/>
    <s v="UN"/>
    <n v="2"/>
    <n v="397.86"/>
    <n v="795.72"/>
    <x v="3"/>
  </r>
  <r>
    <s v="007"/>
    <s v="PR02"/>
    <s v="815CAB006"/>
    <s v="CABLE SOUPLE 3*2,5"/>
    <s v="UN"/>
    <n v="155"/>
    <n v="4.0895999999999999"/>
    <n v="633.88800000000003"/>
    <x v="3"/>
  </r>
  <r>
    <s v="007"/>
    <s v="PR02"/>
    <s v="815CAB266"/>
    <s v="CABLE SOUPLE 4*2,5"/>
    <s v="UN"/>
    <n v="155"/>
    <n v="4.0857700000000001"/>
    <n v="633.29435000000001"/>
    <x v="3"/>
  </r>
  <r>
    <s v="007"/>
    <s v="PR02"/>
    <s v="810ROU092"/>
    <s v="ROULEMENT 61813-2RS"/>
    <s v="UN"/>
    <n v="4"/>
    <n v="173.93219999999999"/>
    <n v="695.72879999999998"/>
    <x v="3"/>
  </r>
  <r>
    <s v="007"/>
    <s v="PR02"/>
    <s v="810PAR038"/>
    <s v="PARAHUILE VITON 55*75*12"/>
    <s v="UN"/>
    <n v="10"/>
    <n v="38.6"/>
    <n v="386"/>
    <x v="3"/>
  </r>
  <r>
    <s v="007"/>
    <s v="PR02"/>
    <m/>
    <s v="VALVES TUBLESS BOCAT"/>
    <s v="UN"/>
    <n v="2"/>
    <n v="10"/>
    <n v="20"/>
    <x v="3"/>
  </r>
  <r>
    <s v="007"/>
    <s v="PR02"/>
    <s v="810XPM146"/>
    <s v="JOINT RORIQUE EN NBR70 RO 63,09-3,53"/>
    <s v="UN"/>
    <n v="4"/>
    <n v="1.484"/>
    <n v="5.9359999999999999"/>
    <x v="3"/>
  </r>
  <r>
    <s v="007"/>
    <s v="PR02"/>
    <s v="810ROU185"/>
    <s v="COUPELLE EN PU ERS/L 64-75-8"/>
    <s v="UN"/>
    <n v="2"/>
    <n v="12.456"/>
    <n v="24.911999999999999"/>
    <x v="3"/>
  </r>
  <r>
    <s v="007"/>
    <s v="PR02"/>
    <s v="810XPM008"/>
    <s v="CORDE EN NBR70 EP 3,53mm"/>
    <s v="M"/>
    <n v="10.025"/>
    <n v="3.6225000000000001"/>
    <n v="36.315562499999999"/>
    <x v="3"/>
  </r>
  <r>
    <s v="007"/>
    <s v="PR02"/>
    <m/>
    <s v="PARAHUILE VITON 25*40*10               "/>
    <s v="UN"/>
    <n v="2"/>
    <n v="13.526999999999999"/>
    <n v="27.053999999999998"/>
    <x v="3"/>
  </r>
  <r>
    <s v="007"/>
    <s v="PR02"/>
    <s v="810ROX012          "/>
    <s v="GALET DE ROULEMENT SUR AXE KR22PP          "/>
    <s v="UN"/>
    <n v="10"/>
    <n v="94.662000000000006"/>
    <n v="946.62000000000012"/>
    <x v="3"/>
  </r>
  <r>
    <s v="007"/>
    <s v="PR02"/>
    <s v="815SEL335"/>
    <s v="SELECTEUR 3P"/>
    <s v="UN"/>
    <n v="9"/>
    <n v="22.395800000000001"/>
    <n v="201.56220000000002"/>
    <x v="3"/>
  </r>
  <r>
    <s v="007"/>
    <s v="PR02"/>
    <s v="815XPE003"/>
    <s v="DOMINO EN PLASTIQUE 35A"/>
    <s v="UN"/>
    <n v="47"/>
    <n v="2.2103999999999999"/>
    <n v="103.8888"/>
    <x v="3"/>
  </r>
  <r>
    <s v="007"/>
    <s v="PR02"/>
    <s v="810XPM212"/>
    <s v="PATE JOINT 14B1"/>
    <s v="UN"/>
    <n v="25"/>
    <n v="3.5928"/>
    <n v="89.82"/>
    <x v="3"/>
  </r>
  <r>
    <s v="007"/>
    <s v="PR02"/>
    <s v="840CHI001"/>
    <s v="CHIFFON"/>
    <s v="KG"/>
    <n v="130"/>
    <n v="1.2222"/>
    <n v="158.886"/>
    <x v="3"/>
  </r>
  <r>
    <s v="007"/>
    <s v="PR02"/>
    <s v="830XOU809"/>
    <s v="LAME DE CUTTEUR"/>
    <s v="UN"/>
    <n v="20"/>
    <n v="1.619"/>
    <n v="32.380000000000003"/>
    <x v="3"/>
  </r>
  <r>
    <s v="007"/>
    <s v="PR02"/>
    <m/>
    <s v="Barres U de 3.5m en inox"/>
    <s v="UN"/>
    <n v="4"/>
    <n v="675"/>
    <n v="2700"/>
    <x v="3"/>
  </r>
  <r>
    <s v="007"/>
    <s v="PR02"/>
    <m/>
    <s v="Barres  U de 2m en inox"/>
    <s v="UN"/>
    <n v="1"/>
    <n v="385"/>
    <n v="385"/>
    <x v="3"/>
  </r>
  <r>
    <s v="007"/>
    <s v="PR02"/>
    <m/>
    <s v="FLEXIBLE CHALUMEAU ROUGE"/>
    <s v="M"/>
    <n v="20"/>
    <n v="0"/>
    <n v="0"/>
    <x v="3"/>
  </r>
  <r>
    <s v="007"/>
    <s v="PR02"/>
    <m/>
    <s v="FLEXIBLE CHALUMEAU BLEU"/>
    <s v="M"/>
    <n v="20"/>
    <n v="0"/>
    <n v="0"/>
    <x v="3"/>
  </r>
  <r>
    <s v="007"/>
    <s v="PR02"/>
    <m/>
    <s v="DECAPANT KHOTTAF"/>
    <s v="UN"/>
    <n v="20"/>
    <n v="0"/>
    <n v="0"/>
    <x v="3"/>
  </r>
  <r>
    <s v="007"/>
    <s v="PR02"/>
    <m/>
    <s v="RIVET ALUMINUIM 4,8/20 (5/50)"/>
    <s v="UN"/>
    <n v="5"/>
    <n v="6.6680000000000001"/>
    <n v="33.340000000000003"/>
    <x v="3"/>
  </r>
  <r>
    <s v="007"/>
    <s v="PR02"/>
    <m/>
    <s v="BTE LAQUE DE 4KG BLEU T"/>
    <s v="UN"/>
    <n v="1"/>
    <n v="41.048999999999999"/>
    <n v="41.048999999999999"/>
    <x v="3"/>
  </r>
  <r>
    <s v="007"/>
    <s v="PR02"/>
    <m/>
    <s v="DILLUANT CELLU 0,8L"/>
    <s v="UN"/>
    <n v="2"/>
    <n v="7.0430000000000001"/>
    <n v="14.086"/>
    <x v="3"/>
  </r>
  <r>
    <s v="007"/>
    <s v="PR02"/>
    <m/>
    <s v="ATTACHE MULTI QUICK 16-20 BFR"/>
    <s v="UN"/>
    <n v="100"/>
    <n v="0.72499999999999998"/>
    <n v="72.5"/>
    <x v="3"/>
  </r>
  <r>
    <s v="007"/>
    <s v="PR02"/>
    <m/>
    <s v="CABLE SOUPLE 3*1,5"/>
    <s v="M"/>
    <n v="200"/>
    <n v="4.1109999999999998"/>
    <n v="822.19999999999993"/>
    <x v="3"/>
  </r>
  <r>
    <s v="007"/>
    <s v="PR02"/>
    <m/>
    <s v="COFFRET ETANCHE 400*300*225"/>
    <s v="UN"/>
    <n v="1"/>
    <n v="159.499"/>
    <n v="159.499"/>
    <x v="3"/>
  </r>
  <r>
    <s v="007"/>
    <s v="PR02"/>
    <m/>
    <s v="FER UPN 100 DE 06M"/>
    <s v="UN"/>
    <n v="3"/>
    <n v="200.446"/>
    <n v="601.33799999999997"/>
    <x v="3"/>
  </r>
  <r>
    <s v="007"/>
    <s v="PR02"/>
    <m/>
    <s v="CORNIER ACEIR 30*30"/>
    <s v="UN"/>
    <n v="5"/>
    <n v="34.200000000000003"/>
    <n v="171"/>
    <x v="3"/>
  </r>
  <r>
    <s v="007"/>
    <s v="PR02"/>
    <m/>
    <s v="CORNIER ACEIR 40*40"/>
    <s v="UN"/>
    <n v="5"/>
    <n v="52.5"/>
    <n v="262.5"/>
    <x v="3"/>
  </r>
  <r>
    <s v="007"/>
    <s v="PR02"/>
    <m/>
    <s v="CORNIER ALUM 4,14M"/>
    <s v="UN"/>
    <n v="1"/>
    <n v="90"/>
    <n v="90"/>
    <x v="3"/>
  </r>
  <r>
    <s v="007"/>
    <s v="PR02"/>
    <m/>
    <s v="CNF ADAPTATEUR LONG 63*150"/>
    <s v="UN"/>
    <n v="5"/>
    <n v="48.85"/>
    <n v="244.25"/>
    <x v="3"/>
  </r>
  <r>
    <s v="007"/>
    <s v="PR02"/>
    <m/>
    <s v="CNF FLEXIBLE HYD LG15 MT M/M"/>
    <s v="UN"/>
    <n v="1"/>
    <n v="367.65"/>
    <n v="367.65"/>
    <x v="3"/>
  </r>
  <r>
    <s v="007"/>
    <s v="PR02"/>
    <m/>
    <s v="ACCOUPLEUR HYD FP"/>
    <s v="UN"/>
    <n v="4"/>
    <n v="135.5"/>
    <n v="542"/>
    <x v="3"/>
  </r>
  <r>
    <s v="007"/>
    <s v="PR02"/>
    <m/>
    <s v="CNF FLEXIBLE HYD LG 2500 M/F"/>
    <s v="UN"/>
    <n v="4"/>
    <n v="288.66000000000003"/>
    <n v="1154.6400000000001"/>
    <x v="3"/>
  </r>
  <r>
    <s v="007"/>
    <s v="PR02"/>
    <s v="815CAP023"/>
    <s v="CAPTEUR FIN DE COURSE CM-1308 "/>
    <s v="UN"/>
    <n v="20"/>
    <n v="13.5"/>
    <n v="270"/>
    <x v="3"/>
  </r>
  <r>
    <s v="007"/>
    <s v="PR02"/>
    <m/>
    <s v="RUBAN ADHESIF AMARECAIN"/>
    <s v="UN"/>
    <n v="30"/>
    <n v="33.22"/>
    <n v="996.59999999999991"/>
    <x v="3"/>
  </r>
  <r>
    <s v="007"/>
    <s v="PR02"/>
    <m/>
    <s v="STUB 100C6 Ø5 [BAR] 2MT"/>
    <s v="M"/>
    <n v="0.33"/>
    <n v="55"/>
    <n v="18.150000000000002"/>
    <x v="3"/>
  </r>
  <r>
    <s v="007"/>
    <s v="PR02"/>
    <m/>
    <s v="STUB 100C6 Ø4 [BAR] 2MT"/>
    <s v="M"/>
    <n v="1"/>
    <n v="32"/>
    <n v="32"/>
    <x v="3"/>
  </r>
  <r>
    <s v="007"/>
    <s v="PR02"/>
    <s v="690X0033"/>
    <s v="LUBRIFIANT HADILIN K95/II  014-000-024"/>
    <s v="L"/>
    <n v="50"/>
    <n v="36.402450000000002"/>
    <n v="1820.1225000000002"/>
    <x v="3"/>
  </r>
  <r>
    <s v="007"/>
    <s v="PR02"/>
    <s v="701ele005"/>
    <s v="Canne Type K (thermocouple) D15/L1500+raccord"/>
    <s v="UN"/>
    <n v="1"/>
    <n v="464.49900000000002"/>
    <n v="464.49900000000002"/>
    <x v="3"/>
  </r>
  <r>
    <s v="007"/>
    <s v="PR02"/>
    <s v="701ele006"/>
    <s v="Thermocouple universal 120/M (sonde a gaz)"/>
    <s v="UN"/>
    <n v="6"/>
    <n v="30.778500000000001"/>
    <n v="184.67099999999999"/>
    <x v="3"/>
  </r>
  <r>
    <s v="007"/>
    <s v="PR02"/>
    <s v="701ELE010"/>
    <s v="Power supply S8FS-C15024 IN100-120VAC OUT200-240V"/>
    <s v="UN"/>
    <n v="1"/>
    <n v="0"/>
    <n v="0"/>
    <x v="3"/>
  </r>
  <r>
    <s v="007"/>
    <s v="PR02"/>
    <s v="701ELE013"/>
    <s v="Servo moteur SGM7J-08AFC6S"/>
    <s v="UN"/>
    <n v="2"/>
    <n v="1618.162"/>
    <n v="3236.3240000000001"/>
    <x v="3"/>
  </r>
  <r>
    <s v="007"/>
    <s v="PR02"/>
    <s v="701ELE014"/>
    <s v="Servo pack SGD7S-2R8A00A002"/>
    <s v="UN"/>
    <n v="2"/>
    <n v="1763.58"/>
    <n v="3527.16"/>
    <x v="3"/>
  </r>
  <r>
    <s v="007"/>
    <s v="PR02"/>
    <s v="701ELE022"/>
    <s v="Canne PT100 D08/335mm"/>
    <s v="UN"/>
    <n v="2"/>
    <n v="258.3"/>
    <n v="516.6"/>
    <x v="3"/>
  </r>
  <r>
    <s v="007"/>
    <s v="PR02"/>
    <s v="701ELE025"/>
    <s v="Servo moteur SIEMENS SQN30.251A2700"/>
    <s v="UN"/>
    <n v="1"/>
    <n v="542.64599999999996"/>
    <n v="542.64599999999996"/>
    <x v="3"/>
  </r>
  <r>
    <s v="007"/>
    <s v="PR02"/>
    <s v="701ELE036"/>
    <s v="Thermocouple PT100 D5*200/80 3FILS 3000mm Chambre"/>
    <s v="UN"/>
    <n v="5"/>
    <n v="177.255"/>
    <n v="886.27499999999998"/>
    <x v="3"/>
  </r>
  <r>
    <s v="007"/>
    <s v="PR02"/>
    <s v="701ELE037"/>
    <s v="Thermocouple J coudee L800+Fiche TC  linklater"/>
    <s v="UN"/>
    <n v="2"/>
    <n v="149.98500000000001"/>
    <n v="299.97000000000003"/>
    <x v="3"/>
  </r>
  <r>
    <s v="007"/>
    <s v="PR02"/>
    <s v="701ELE038"/>
    <s v="Thermocouple type J D5*300 2fils+1500mm melangeur"/>
    <s v="UN"/>
    <n v="5"/>
    <n v="162.51405"/>
    <n v="812.57024999999999"/>
    <x v="3"/>
  </r>
  <r>
    <s v="007"/>
    <s v="PR02"/>
    <s v="701ELE041"/>
    <s v="Thermocouples TypeJ D5*40mm Bay12 PLQ CHAUF"/>
    <s v="UN"/>
    <n v="4"/>
    <n v="51.516010000000001"/>
    <n v="206.06404000000001"/>
    <x v="3"/>
  </r>
  <r>
    <s v="007"/>
    <s v="PR02"/>
    <s v="701ELE052"/>
    <s v="Thermocouples Type J D04*200  MLX Chinois"/>
    <s v="UN"/>
    <n v="1"/>
    <n v="109.11535000000001"/>
    <n v="109.11535000000001"/>
    <x v="3"/>
  </r>
  <r>
    <s v="007"/>
    <s v="PR02"/>
    <s v="701ELE053"/>
    <s v="Thermocouple Type K D06*1000 2fil 2500mm C.F"/>
    <s v="UN"/>
    <n v="3"/>
    <n v="149.98500000000001"/>
    <n v="449.95500000000004"/>
    <x v="3"/>
  </r>
  <r>
    <s v="007"/>
    <s v="PR02"/>
    <s v="701ELE054"/>
    <s v="Servo pack YASKAWA SGD7S-5R5A00B202 STRIP"/>
    <s v="UN"/>
    <n v="1"/>
    <n v="0"/>
    <n v="0"/>
    <x v="3"/>
  </r>
  <r>
    <s v="007"/>
    <s v="PR02"/>
    <s v="701ELE055"/>
    <s v="Convertisseur de frequen 6SL3210-1PE16-1UL1"/>
    <s v="UN"/>
    <n v="2"/>
    <n v="0"/>
    <n v="0"/>
    <x v="3"/>
  </r>
  <r>
    <s v="007"/>
    <s v="PR02"/>
    <s v="701ELE056"/>
    <s v="Profibus-DP OPTION CARD SI-P3    STRIP"/>
    <s v="UN"/>
    <n v="4"/>
    <n v="0"/>
    <n v="0"/>
    <x v="3"/>
  </r>
  <r>
    <s v="007"/>
    <s v="PR02"/>
    <s v="701ELE057"/>
    <s v="Complementary PG OPTION CARD PG-B3   STRIP"/>
    <s v="UN"/>
    <n v="1"/>
    <n v="0"/>
    <n v="0"/>
    <x v="3"/>
  </r>
  <r>
    <s v="007"/>
    <s v="PR02"/>
    <s v="701ELE060"/>
    <s v="Canne Type K WRN131 D8*117mm   strip chinois"/>
    <s v="UN"/>
    <n v="2"/>
    <n v="93.740625000000009"/>
    <n v="187.48125000000002"/>
    <x v="3"/>
  </r>
  <r>
    <s v="007"/>
    <s v="PR02"/>
    <s v="701ELE062"/>
    <s v="Canne Type K Coudee D21.3 170*300+raccord"/>
    <s v="UN"/>
    <n v="2"/>
    <n v="357.96015999999997"/>
    <n v="715.92031999999995"/>
    <x v="3"/>
  </r>
  <r>
    <s v="007"/>
    <s v="PR02"/>
    <s v="701ELE069"/>
    <s v="Thermocouple D8*100 1500mm+ressort bay F15"/>
    <s v="UN"/>
    <n v="1"/>
    <n v="76.664050000000003"/>
    <n v="76.664050000000003"/>
    <x v="3"/>
  </r>
  <r>
    <s v="007"/>
    <s v="PR02"/>
    <s v="701ELE070"/>
    <s v="Thermocouple D5*78 1500+bay11 Moule M.G"/>
    <s v="UN"/>
    <n v="1"/>
    <n v="42.724110000000003"/>
    <n v="42.724110000000003"/>
    <x v="3"/>
  </r>
  <r>
    <s v="007"/>
    <s v="PR02"/>
    <s v="701ELE071"/>
    <s v="Thermocouple D5*180+Bay Baffle Strip"/>
    <s v="UN"/>
    <n v="1"/>
    <n v="66.018649999999994"/>
    <n v="66.018649999999994"/>
    <x v="3"/>
  </r>
  <r>
    <s v="007"/>
    <s v="PR02"/>
    <s v="701ELE074"/>
    <s v="Thermocouple D5*25 1500+bay11 Moule M.G"/>
    <s v="UN"/>
    <n v="4"/>
    <n v="42.722999999999999"/>
    <n v="170.892"/>
    <x v="3"/>
  </r>
  <r>
    <s v="007"/>
    <s v="PR02"/>
    <s v="701ele078"/>
    <s v="Convertisseur de frequen JL930T7-5G/11P380V"/>
    <s v="UN"/>
    <n v="1"/>
    <n v="0"/>
    <n v="0"/>
    <x v="3"/>
  </r>
  <r>
    <s v="007"/>
    <s v="PR02"/>
    <s v="701ELE079"/>
    <s v="SINAMICS V90 PROFINET PT 6SL3210-5FE17-0UF0"/>
    <s v="UN"/>
    <n v="1"/>
    <n v="0"/>
    <n v="0"/>
    <x v="3"/>
  </r>
  <r>
    <s v="007"/>
    <s v="PR02"/>
    <s v="701ELE085"/>
    <s v="Thermocouple type J D5*123 Baffle Strip"/>
    <s v="UN"/>
    <n v="5"/>
    <n v="136.35"/>
    <n v="681.75"/>
    <x v="3"/>
  </r>
  <r>
    <s v="007"/>
    <s v="PR02"/>
    <s v="701ele088"/>
    <s v="Crane cable and remote controll    Palan Fonder"/>
    <s v="UN"/>
    <n v="1"/>
    <n v="1208.9567500000001"/>
    <n v="1208.9567500000001"/>
    <x v="3"/>
  </r>
  <r>
    <s v="007"/>
    <s v="PR02"/>
    <s v="701ELE089"/>
    <s v="Canne Type K Coudee D21. 160*680+raccord M.G.NEG"/>
    <s v="UN"/>
    <n v="1"/>
    <n v="292.69799999999998"/>
    <n v="292.69799999999998"/>
    <x v="3"/>
  </r>
  <r>
    <s v="007"/>
    <s v="PR02"/>
    <s v="701MEC025"/>
    <s v="BROSSE (métallique) A9047085"/>
    <s v="UN"/>
    <n v="5"/>
    <n v="0"/>
    <n v="0"/>
    <x v="3"/>
  </r>
  <r>
    <s v="007"/>
    <s v="PR02"/>
    <s v="701MEC045"/>
    <s v="BROSSE A LAMELLE SG ACIER INOX 43509003 WBU 10010"/>
    <s v="UN"/>
    <n v="2"/>
    <n v="724.51649999999995"/>
    <n v="1449.0329999999999"/>
    <x v="3"/>
  </r>
  <r>
    <s v="007"/>
    <s v="PR02"/>
    <s v="702MEC032"/>
    <s v="Flotteur mecanique 15/21 (1/2&quot;)"/>
    <s v="UN"/>
    <n v="2"/>
    <n v="20.55725"/>
    <n v="41.1145"/>
    <x v="3"/>
  </r>
  <r>
    <s v="007"/>
    <s v="PR02"/>
    <s v="702mec037"/>
    <s v="TURBINE DE POMPE A PB 130/16/20/45"/>
    <s v="UN"/>
    <n v="2"/>
    <n v="0"/>
    <n v="0"/>
    <x v="3"/>
  </r>
  <r>
    <s v="007"/>
    <s v="PR02"/>
    <s v="702MEC042"/>
    <s v="Ressort COMP 102/377/68 *17*13SPIRE Press punshin"/>
    <s v="UN"/>
    <n v="4"/>
    <n v="430.26"/>
    <n v="1721.04"/>
    <x v="3"/>
  </r>
  <r>
    <s v="007"/>
    <s v="PR02"/>
    <s v="702MEC090"/>
    <s v="TURBINE DE POMPE A PB"/>
    <s v="UN"/>
    <n v="4"/>
    <n v="101.85850000000001"/>
    <n v="407.43400000000003"/>
    <x v="3"/>
  </r>
  <r>
    <s v="007"/>
    <s v="PR02"/>
    <s v="703MEC001"/>
    <s v="Godets elevateur Billes 130/120 Elevateur a godet"/>
    <s v="UN"/>
    <n v="14"/>
    <n v="24.24"/>
    <n v="339.35999999999996"/>
    <x v="3"/>
  </r>
  <r>
    <s v="007"/>
    <s v="PR02"/>
    <s v="703MEC004"/>
    <s v="Godets elevateur Billes 100/90 Elevateur a godet"/>
    <s v="UN"/>
    <n v="16"/>
    <n v="27.774999999999999"/>
    <n v="444.4"/>
    <x v="3"/>
  </r>
  <r>
    <s v="007"/>
    <s v="PR02"/>
    <s v="703MEC012"/>
    <s v="Filtre D MPM H14 610*610*292 24m2"/>
    <s v="UN"/>
    <n v="15"/>
    <n v="589.88173333333327"/>
    <n v="8848.2259999999987"/>
    <x v="3"/>
  </r>
  <r>
    <s v="007"/>
    <s v="PR02"/>
    <s v="703SAC002"/>
    <s v="SAC MANCHE FILTRANTE D152/L3000/NOMEX"/>
    <s v="UN"/>
    <n v="100"/>
    <n v="111.1"/>
    <n v="11110"/>
    <x v="3"/>
  </r>
  <r>
    <s v="007"/>
    <s v="PR02"/>
    <s v="703SAC003"/>
    <s v="SAC MANCHE FILTRANTE D150/L3700 LINKLATER"/>
    <s v="UN"/>
    <n v="25"/>
    <n v="50.5"/>
    <n v="1262.5"/>
    <x v="3"/>
  </r>
  <r>
    <s v="007"/>
    <s v="PR02"/>
    <s v="705MEC002"/>
    <s v="lame decoupeur F45511018"/>
    <s v="UN"/>
    <n v="5"/>
    <n v="360.34687318846187"/>
    <n v="1801.7343659423093"/>
    <x v="3"/>
  </r>
  <r>
    <s v="007"/>
    <s v="PR02"/>
    <s v="705MEC033"/>
    <s v="Tapis modulaire M1233 FLUSH GRID 0.5 PP 150MM*15M"/>
    <s v="UN"/>
    <n v="0"/>
    <n v="5564.7579999999998"/>
    <n v="0"/>
    <x v="3"/>
  </r>
  <r>
    <s v="007"/>
    <s v="PR02"/>
    <s v="705MEC048"/>
    <s v="Manchon Cone silicone D300/500 JONCTIONE"/>
    <s v="UN"/>
    <n v="2"/>
    <n v="150.30000000000001"/>
    <n v="300.60000000000002"/>
    <x v="3"/>
  </r>
  <r>
    <s v="007"/>
    <s v="PR02"/>
    <s v="705MEC049"/>
    <s v="Manchon Cone silicone D200/500 JONCTIONE"/>
    <s v="UN"/>
    <n v="3"/>
    <n v="126.90000000000002"/>
    <n v="380.70000000000005"/>
    <x v="3"/>
  </r>
  <r>
    <s v="007"/>
    <s v="PR02"/>
    <s v="705mec051"/>
    <s v="Tubular holder 1*19/23 RA8.0 9.7mm  M.G.Hadi"/>
    <s v="UN"/>
    <n v="1"/>
    <n v="7550.1865399999997"/>
    <n v="7550.1865399999997"/>
    <x v="3"/>
  </r>
  <r>
    <s v="007"/>
    <s v="PR02"/>
    <s v="705MEC052"/>
    <s v="Slip of 19R*T9.7/RA8.2 AM0028447 M.G.Hadi"/>
    <s v="UN"/>
    <n v="1"/>
    <n v="919.81967999999995"/>
    <n v="919.81967999999995"/>
    <x v="3"/>
  </r>
  <r>
    <s v="007"/>
    <s v="PR02"/>
    <s v="705MEC053"/>
    <s v="Lever  AM003568 M.G.Hadi"/>
    <s v="UN"/>
    <n v="1"/>
    <n v="478.08156500000001"/>
    <n v="478.08156500000001"/>
    <x v="3"/>
  </r>
  <r>
    <s v="007"/>
    <s v="PR02"/>
    <s v="705MEC054"/>
    <s v="Lever  AM0035871 M.G.Hadi"/>
    <s v="UN"/>
    <n v="1"/>
    <n v="365.74726500000003"/>
    <n v="365.74726500000003"/>
    <x v="3"/>
  </r>
  <r>
    <s v="007"/>
    <s v="PR02"/>
    <s v="705MEC055"/>
    <s v="Gauntlet-clamping AM0036035 M.G.Hadi"/>
    <s v="UN"/>
    <n v="1"/>
    <n v="651.53894000000003"/>
    <n v="651.53894000000003"/>
    <x v="3"/>
  </r>
  <r>
    <s v="007"/>
    <s v="PR02"/>
    <s v="705MEC056"/>
    <s v="clamping lever AM0036465 M.G.Hadi"/>
    <s v="UN"/>
    <n v="1"/>
    <n v="63.435839999999999"/>
    <n v="63.435839999999999"/>
    <x v="3"/>
  </r>
  <r>
    <s v="007"/>
    <s v="PR02"/>
    <s v="705MEC057"/>
    <s v="Gaunlet clamping below 19R*T9.7/MA 904 AM0046594"/>
    <s v="UN"/>
    <n v="1"/>
    <n v="1791.7320850000001"/>
    <n v="1791.7320850000001"/>
    <x v="3"/>
  </r>
  <r>
    <s v="007"/>
    <s v="PR02"/>
    <s v="708ELE005"/>
    <s v="Capteur (sensor MSE-P020) Chinois"/>
    <s v="UN"/>
    <n v="6"/>
    <n v="0"/>
    <n v="0"/>
    <x v="3"/>
  </r>
  <r>
    <s v="007"/>
    <s v="PR02"/>
    <s v="708ELE006"/>
    <s v="Ecran 6AV642-0BA01-1AX1 CHINOIS"/>
    <s v="UN"/>
    <n v="1"/>
    <n v="0"/>
    <n v="0"/>
    <x v="3"/>
  </r>
  <r>
    <s v="007"/>
    <s v="PR02"/>
    <s v="708ELE008"/>
    <s v="CPU SIEMENS SMART ST200 6ES7 288-1ST60-0AA0"/>
    <s v="UN"/>
    <n v="2"/>
    <n v="0"/>
    <n v="0"/>
    <x v="3"/>
  </r>
  <r>
    <s v="007"/>
    <s v="PR02"/>
    <s v="708ELE009"/>
    <s v="CPU SIEMENS SMART ST200 6ES7 288-2DT32-0AA0"/>
    <s v="UN"/>
    <n v="1"/>
    <n v="0"/>
    <n v="0"/>
    <x v="3"/>
  </r>
  <r>
    <s v="007"/>
    <s v="PR02"/>
    <s v="708ELE010"/>
    <s v="I/O UNIT SIEMENS ST200 6ES7 288-3AM06-0AA0"/>
    <s v="UN"/>
    <n v="2"/>
    <n v="0"/>
    <n v="0"/>
    <x v="3"/>
  </r>
  <r>
    <s v="007"/>
    <s v="PR02"/>
    <s v="708ELE011"/>
    <s v="I/O UNIT SIEMENS ST200 6ES7 288-3AM03-0AA0"/>
    <s v="UN"/>
    <n v="1"/>
    <n v="0"/>
    <n v="0"/>
    <x v="3"/>
  </r>
  <r>
    <s v="007"/>
    <s v="PR02"/>
    <s v="708ELE012"/>
    <s v="I/O UNIT SIEMENS ST200 6ES7 288-3AM03-0AA0"/>
    <s v="UN"/>
    <n v="1"/>
    <n v="0"/>
    <n v="0"/>
    <x v="3"/>
  </r>
  <r>
    <s v="007"/>
    <s v="PR02"/>
    <s v="708ELE013"/>
    <s v="I/O UNIT SIEMENS 1200 6ES7 231-5QF32-0XB0"/>
    <s v="UN"/>
    <n v="2"/>
    <n v="0"/>
    <n v="0"/>
    <x v="3"/>
  </r>
  <r>
    <s v="007"/>
    <s v="PR02"/>
    <s v="708ELE014"/>
    <s v="I/O UNIT SIEMENS 1200 6ES7 234-4HE32-0XB0"/>
    <s v="UN"/>
    <n v="3"/>
    <n v="0"/>
    <n v="0"/>
    <x v="3"/>
  </r>
  <r>
    <s v="007"/>
    <s v="PR02"/>
    <s v="708ELE015"/>
    <s v="I/O UNIT SIEMENS 1200 6ES7 223-1BL32-0XB0"/>
    <s v="UN"/>
    <n v="2"/>
    <n v="0"/>
    <n v="0"/>
    <x v="3"/>
  </r>
  <r>
    <s v="007"/>
    <s v="PR02"/>
    <s v="708ELE016"/>
    <s v="I/O UNIT SIEMENS 1200 6ES7 223-1PL32-0XB0"/>
    <s v="UN"/>
    <n v="1"/>
    <n v="0"/>
    <n v="0"/>
    <x v="3"/>
  </r>
  <r>
    <s v="007"/>
    <s v="PR02"/>
    <s v="708ELE017"/>
    <s v="CPU SIEMENS 1215 6ES7 215-1AG40-0AA0(CPU1215)"/>
    <s v="UN"/>
    <n v="1"/>
    <n v="0"/>
    <n v="0"/>
    <x v="3"/>
  </r>
  <r>
    <s v="007"/>
    <s v="PR02"/>
    <s v="708ELE018"/>
    <s v="Panel HMI TP900 SIEMENS 6AV2124-0JC01-0A"/>
    <s v="UN"/>
    <n v="1"/>
    <n v="0"/>
    <n v="0"/>
    <x v="3"/>
  </r>
  <r>
    <s v="007"/>
    <s v="PR02"/>
    <s v="708ELE019"/>
    <s v="Panel TP177B SIEMENS 6AV6642-0BC01-1AX1"/>
    <s v="UN"/>
    <n v="1"/>
    <n v="0"/>
    <n v="0"/>
    <x v="3"/>
  </r>
  <r>
    <s v="007"/>
    <s v="PR02"/>
    <s v="708ELE020"/>
    <s v="Cable servo motor mutsubishi HG-SR702J MR-J3ENSCB"/>
    <s v="UN"/>
    <n v="2"/>
    <n v="0"/>
    <n v="0"/>
    <x v="3"/>
  </r>
  <r>
    <s v="007"/>
    <s v="PR02"/>
    <s v="708ELE021"/>
    <s v="AC servo motor YAZKAWA SGM7J-08AFC6E"/>
    <s v="UN"/>
    <n v="1"/>
    <n v="0"/>
    <n v="0"/>
    <x v="3"/>
  </r>
  <r>
    <s v="007"/>
    <s v="PR02"/>
    <s v="708ELE025"/>
    <s v="Cable encodeur Mitsub MRJ3-ENSCBL15M-L"/>
    <s v="UN"/>
    <n v="1"/>
    <n v="0"/>
    <n v="0"/>
    <x v="3"/>
  </r>
  <r>
    <s v="007"/>
    <s v="PR02"/>
    <s v="708ele026"/>
    <s v="AC servo motor 1FL6096-1AC61-2AA1"/>
    <s v="UN"/>
    <n v="1"/>
    <n v="0"/>
    <n v="0"/>
    <x v="3"/>
  </r>
  <r>
    <s v="007"/>
    <s v="PR02"/>
    <s v="708ele027"/>
    <s v="Power cable preassembled SFX3002-5CL12-1BF0"/>
    <s v="UN"/>
    <n v="1"/>
    <n v="0"/>
    <n v="0"/>
    <x v="3"/>
  </r>
  <r>
    <s v="007"/>
    <s v="PR02"/>
    <s v="708ele028"/>
    <s v="Signal cable preassembled SFX3002-2CT12-1BF0-T"/>
    <s v="UN"/>
    <n v="1"/>
    <n v="0"/>
    <n v="0"/>
    <x v="3"/>
  </r>
  <r>
    <s v="007"/>
    <s v="PR02"/>
    <s v="708MEC002"/>
    <s v="LAME DE COUPE STRIP CHINOIS"/>
    <s v="UN"/>
    <n v="2"/>
    <n v="0"/>
    <n v="0"/>
    <x v="3"/>
  </r>
  <r>
    <s v="007"/>
    <s v="PR02"/>
    <s v="708MEC003"/>
    <s v="Lame de coupe dechet STRIP CHINOIS"/>
    <s v="UN"/>
    <n v="1"/>
    <n v="1834.2945475713532"/>
    <n v="1834.2945475713532"/>
    <x v="3"/>
  </r>
  <r>
    <s v="007"/>
    <s v="PR02"/>
    <s v="708MEC004"/>
    <s v="Pompe (lead pompe)"/>
    <s v="UN"/>
    <n v="7"/>
    <n v="600"/>
    <n v="4200"/>
    <x v="3"/>
  </r>
  <r>
    <s v="007"/>
    <s v="PR02"/>
    <s v="708mec005"/>
    <s v="Couronne de guidage bande  divider"/>
    <s v="UN"/>
    <n v="3"/>
    <n v="0"/>
    <n v="0"/>
    <x v="3"/>
  </r>
  <r>
    <s v="007"/>
    <s v="PR02"/>
    <s v="708MEC007"/>
    <s v="Horizontal Knife (lame de coupe) divider"/>
    <s v="UN"/>
    <n v="4"/>
    <n v="0"/>
    <n v="0"/>
    <x v="3"/>
  </r>
  <r>
    <s v="007"/>
    <s v="PR02"/>
    <s v="708MEC008"/>
    <s v="Vertical Knife (lame de coupe) divider"/>
    <s v="UN"/>
    <n v="2"/>
    <n v="120.39981269751891"/>
    <n v="240.79962539503782"/>
    <x v="3"/>
  </r>
  <r>
    <s v="007"/>
    <s v="PR02"/>
    <s v="708MEC013"/>
    <s v="Kit complet de guidage Moule   Punshing"/>
    <s v="UN"/>
    <n v="2"/>
    <n v="1028.194"/>
    <n v="2056.3879999999999"/>
    <x v="3"/>
  </r>
  <r>
    <s v="007"/>
    <s v="PR02"/>
    <s v="708mec016"/>
    <s v="Kit de guidage 32*200 (54*80) Moule Punshing"/>
    <s v="UN"/>
    <n v="2"/>
    <n v="0"/>
    <n v="0"/>
    <x v="3"/>
  </r>
  <r>
    <s v="007"/>
    <s v="PR02"/>
    <s v="708MEC018"/>
    <s v="Guide sleeve for ball L29*OD25.35*ID20.8"/>
    <s v="UN"/>
    <n v="24"/>
    <n v="29.393000000000001"/>
    <n v="705.43200000000002"/>
    <x v="3"/>
  </r>
  <r>
    <s v="007"/>
    <s v="PR02"/>
    <s v="708MEC019"/>
    <s v="Guide sleeve for ball L80*OD46.85*ID38.5"/>
    <s v="UN"/>
    <n v="12"/>
    <n v="41.150199999999998"/>
    <n v="493.80239999999998"/>
    <x v="3"/>
  </r>
  <r>
    <s v="007"/>
    <s v="PR02"/>
    <s v="708MEC020"/>
    <s v="Guide sleeve for ball L110*OD59.1*ID51"/>
    <s v="UN"/>
    <n v="8"/>
    <n v="49.9681"/>
    <n v="399.7448"/>
    <x v="3"/>
  </r>
  <r>
    <s v="007"/>
    <s v="PR02"/>
    <s v="708MEC021"/>
    <s v="Guide sleeve for ball L59.35*OD27.25*ID22.5"/>
    <s v="UN"/>
    <n v="24"/>
    <n v="29.393000000000001"/>
    <n v="705.43200000000002"/>
    <x v="3"/>
  </r>
  <r>
    <s v="007"/>
    <s v="PR02"/>
    <s v="708MEC022"/>
    <s v="Guide sleeve for ball L80*OD39.1*ID32.5"/>
    <s v="UN"/>
    <n v="4"/>
    <n v="38.210900000000002"/>
    <n v="152.84360000000001"/>
    <x v="3"/>
  </r>
  <r>
    <s v="007"/>
    <s v="PR02"/>
    <s v="708MEC023"/>
    <s v="Guide sleeve for ball L80*OD59.1*ID50.5"/>
    <s v="UN"/>
    <n v="16"/>
    <n v="44.089500000000001"/>
    <n v="705.43200000000002"/>
    <x v="3"/>
  </r>
  <r>
    <s v="007"/>
    <s v="PR02"/>
    <s v="710ELE011"/>
    <s v="Pump SNAIL (Corps) F04261 Pmp plomb M.bille"/>
    <s v="UN"/>
    <n v="2"/>
    <n v="277.1277"/>
    <n v="554.25540000000001"/>
    <x v="3"/>
  </r>
  <r>
    <s v="007"/>
    <s v="PR02"/>
    <s v="710ele012"/>
    <s v="Pump support (Corps) F04257 Pmp plomb M.bille"/>
    <s v="UN"/>
    <n v="1"/>
    <n v="294.72045000000003"/>
    <n v="294.72045000000003"/>
    <x v="3"/>
  </r>
  <r>
    <s v="007"/>
    <s v="PR02"/>
    <s v="712MEC001"/>
    <s v="LAME EN BRONZE F0081596"/>
    <s v="UN"/>
    <n v="1"/>
    <n v="40"/>
    <n v="40"/>
    <x v="3"/>
  </r>
  <r>
    <s v="007"/>
    <s v="PR02"/>
    <s v="726ELE005"/>
    <s v="SONDE PT100 4*100 3fil 2000mm Siliconee  Moulin a"/>
    <s v="UN"/>
    <n v="1"/>
    <n v="61.205999999999996"/>
    <n v="61.205999999999996"/>
    <x v="3"/>
  </r>
  <r>
    <s v="007"/>
    <s v="PR02"/>
    <s v="750fil005"/>
    <s v="FILTRE A HUILE COMPRESSEUR"/>
    <s v="UN"/>
    <n v="1"/>
    <n v="0"/>
    <n v="0"/>
    <x v="3"/>
  </r>
  <r>
    <s v="007"/>
    <s v="PR02"/>
    <s v="750FIL008"/>
    <s v="Filtre Hydrolique M.G.Wertz"/>
    <s v="UN"/>
    <n v="1"/>
    <n v="230.4"/>
    <n v="230.4"/>
    <x v="3"/>
  </r>
  <r>
    <s v="007"/>
    <s v="PR02"/>
    <s v="750HUI001"/>
    <s v="HUILE MINERALE KAESER"/>
    <s v="L"/>
    <n v="20"/>
    <n v="32.4"/>
    <n v="648"/>
    <x v="3"/>
  </r>
  <r>
    <s v="007"/>
    <s v="PR02"/>
    <s v="780mot008"/>
    <s v="Moteur Electrique 90kw 4P B3 380/660"/>
    <s v="UN"/>
    <n v="1"/>
    <n v="7068.2111999999997"/>
    <n v="7068.2111999999997"/>
    <x v="3"/>
  </r>
  <r>
    <s v="007"/>
    <s v="PR02"/>
    <s v="780MOT013"/>
    <s v="MOTEUR 7.5KW 4P 380/660V B5 CANTONI  FOUR FUSION"/>
    <s v="UN"/>
    <n v="1"/>
    <n v="1077.481675"/>
    <n v="1077.481675"/>
    <x v="3"/>
  </r>
  <r>
    <s v="007"/>
    <s v="PR02"/>
    <s v="780MOT020"/>
    <s v="MOTEUR 0.25KW 4P B5 220/380V CANTONI  LABO"/>
    <s v="UN"/>
    <n v="2"/>
    <n v="179.48175000000001"/>
    <n v="358.96350000000001"/>
    <x v="3"/>
  </r>
  <r>
    <s v="007"/>
    <s v="PR02"/>
    <s v="810ACC002"/>
    <s v="ACCOUPLEMENT C65 Melangeur Fonderie"/>
    <s v="UN"/>
    <n v="1"/>
    <n v="604.39700000000005"/>
    <n v="604.39700000000005"/>
    <x v="3"/>
  </r>
  <r>
    <s v="007"/>
    <s v="PR02"/>
    <s v="810ACC005"/>
    <s v="ACCOUPLEMENT GF 55-NN Central hydrol STRIP"/>
    <s v="UN"/>
    <n v="8"/>
    <n v="327.63240000000002"/>
    <n v="2621.0592000000001"/>
    <x v="3"/>
  </r>
  <r>
    <s v="007"/>
    <s v="PR02"/>
    <s v="810ACC204"/>
    <s v="ACCOUPLEMENT C42 (POUR VIS OXYDE)"/>
    <s v="UN"/>
    <n v="2"/>
    <n v="79.11"/>
    <n v="158.22"/>
    <x v="3"/>
  </r>
  <r>
    <s v="007"/>
    <s v="PR02"/>
    <s v="810CHA001"/>
    <s v="CHAINE DOUBLE PAS 25.40 16B-2"/>
    <s v="M"/>
    <n v="14"/>
    <n v="117.19889999999999"/>
    <n v="1640.7846"/>
    <x v="3"/>
  </r>
  <r>
    <s v="007"/>
    <s v="PR02"/>
    <s v="810CHA002"/>
    <s v="ATTACHE DOUBLE PAS 25.4 16B-2CL"/>
    <s v="UN"/>
    <n v="15"/>
    <n v="8.8109999999999999"/>
    <n v="132.16499999999999"/>
    <x v="3"/>
  </r>
  <r>
    <s v="007"/>
    <s v="PR02"/>
    <s v="810CHA003"/>
    <s v="CHAINE DOUBLE PAS 19.5 12B-2"/>
    <s v="M"/>
    <n v="12"/>
    <n v="46.8"/>
    <n v="561.59999999999991"/>
    <x v="3"/>
  </r>
  <r>
    <s v="007"/>
    <s v="PR02"/>
    <s v="810CHA005"/>
    <s v="chaines DOUBLE 10B-2"/>
    <s v="M"/>
    <n v="6"/>
    <n v="34.887184615384612"/>
    <n v="209.32310769230767"/>
    <x v="3"/>
  </r>
  <r>
    <s v="007"/>
    <s v="PR02"/>
    <s v="810CHA007"/>
    <s v="chaine SEDIS 06B1 ENG Emp classique"/>
    <s v="M"/>
    <n v="18"/>
    <n v="30.113999999999997"/>
    <n v="542.05199999999991"/>
    <x v="3"/>
  </r>
  <r>
    <s v="007"/>
    <s v="PR02"/>
    <s v="810cha008"/>
    <s v="chaines 06B-2"/>
    <s v="M"/>
    <n v="10"/>
    <n v="26.1"/>
    <n v="261"/>
    <x v="3"/>
  </r>
  <r>
    <s v="007"/>
    <s v="PR02"/>
    <s v="810CHA100"/>
    <s v="chaines 010B-1"/>
    <s v="M"/>
    <n v="14"/>
    <n v="18.18"/>
    <n v="254.51999999999998"/>
    <x v="3"/>
  </r>
  <r>
    <s v="007"/>
    <s v="PR02"/>
    <s v="810CHA101"/>
    <s v="chaines 012B-1"/>
    <s v="M"/>
    <n v="15"/>
    <n v="21.285"/>
    <n v="319.27499999999998"/>
    <x v="3"/>
  </r>
  <r>
    <s v="007"/>
    <s v="PR02"/>
    <s v="810cha102"/>
    <s v="chaines 06B-1"/>
    <s v="M"/>
    <n v="14"/>
    <n v="27"/>
    <n v="378"/>
    <x v="3"/>
  </r>
  <r>
    <s v="007"/>
    <s v="PR02"/>
    <s v="810CHA103"/>
    <s v="chaines 08B-1"/>
    <s v="M"/>
    <n v="10"/>
    <n v="15.222000000000001"/>
    <n v="152.22000000000003"/>
    <x v="3"/>
  </r>
  <r>
    <s v="007"/>
    <s v="PR02"/>
    <s v="810CHA104"/>
    <s v="chaines 08B-2x5M"/>
    <s v="M"/>
    <n v="4"/>
    <n v="25.861049999999999"/>
    <n v="103.4442"/>
    <x v="3"/>
  </r>
  <r>
    <s v="007"/>
    <s v="PR02"/>
    <s v="810CHA135"/>
    <s v="Chaine 16B-1"/>
    <s v="M"/>
    <n v="3"/>
    <n v="42.3"/>
    <n v="126.89999999999999"/>
    <x v="3"/>
  </r>
  <r>
    <s v="007"/>
    <s v="PR02"/>
    <s v="810COU013"/>
    <s v="Courroie trapezoidale 10*1150"/>
    <s v="UN"/>
    <n v="3"/>
    <n v="10.101692307692307"/>
    <n v="30.305076923076921"/>
    <x v="3"/>
  </r>
  <r>
    <s v="007"/>
    <s v="PR02"/>
    <s v="810COU014"/>
    <s v="Courroie trapezoidale 3150*10 SPZ"/>
    <s v="UN"/>
    <n v="6"/>
    <n v="28.229260000000004"/>
    <n v="169.37556000000001"/>
    <x v="3"/>
  </r>
  <r>
    <s v="007"/>
    <s v="PR02"/>
    <s v="810cou017"/>
    <s v="Courroie Dentée HTD 740 5M  Larg 15mm"/>
    <s v="UN"/>
    <n v="5"/>
    <n v="26.079000000000001"/>
    <n v="130.39500000000001"/>
    <x v="3"/>
  </r>
  <r>
    <s v="007"/>
    <s v="PR02"/>
    <s v="810COU018"/>
    <s v="Courroie Dentée HTD 8M-1136 L30//1120-8M"/>
    <s v="UN"/>
    <n v="3"/>
    <n v="46.35"/>
    <n v="139.05000000000001"/>
    <x v="3"/>
  </r>
  <r>
    <s v="007"/>
    <s v="PR02"/>
    <s v="810COU019"/>
    <s v="Courroie Trapezoidale SPZ2800-3V1100  L10mm"/>
    <s v="UN"/>
    <n v="12"/>
    <n v="18.3933"/>
    <n v="220.71960000000001"/>
    <x v="3"/>
  </r>
  <r>
    <s v="007"/>
    <s v="PR02"/>
    <s v="810COU020"/>
    <s v="POULIE 5 GORGE 5*22*135*75*400mm"/>
    <s v="UN"/>
    <n v="1"/>
    <n v="275.67"/>
    <n v="275.67"/>
    <x v="3"/>
  </r>
  <r>
    <s v="007"/>
    <s v="PR02"/>
    <s v="810COU021"/>
    <s v="MOYEU AMOVIBLE 3535 ALESAGE 75"/>
    <s v="UN"/>
    <n v="1"/>
    <n v="93.42"/>
    <n v="93.42"/>
    <x v="3"/>
  </r>
  <r>
    <s v="007"/>
    <s v="PR02"/>
    <s v="810COU022"/>
    <s v="Courroie Trapezoidale 3450*17  Tremie Emp"/>
    <s v="UN"/>
    <n v="7"/>
    <n v="45.747749999999996"/>
    <n v="320.23424999999997"/>
    <x v="3"/>
  </r>
  <r>
    <s v="007"/>
    <s v="PR02"/>
    <s v="810COU023"/>
    <s v="Courroie Trapez A1133 LD 13*1100LI A43 OXYDE"/>
    <s v="UN"/>
    <n v="4"/>
    <n v="6.7949999999999999"/>
    <n v="27.18"/>
    <x v="3"/>
  </r>
  <r>
    <s v="007"/>
    <s v="PR02"/>
    <s v="810COU025"/>
    <s v="Courroie dentée 1760-8M CHINOIS"/>
    <s v="UN"/>
    <n v="2"/>
    <n v="0"/>
    <n v="0"/>
    <x v="3"/>
  </r>
  <r>
    <s v="007"/>
    <s v="PR02"/>
    <s v="810COU026"/>
    <s v="Courroie dentée 184XL Larg10mm chinois"/>
    <s v="UN"/>
    <n v="2"/>
    <n v="0"/>
    <n v="0"/>
    <x v="3"/>
  </r>
  <r>
    <s v="007"/>
    <s v="PR02"/>
    <s v="810COU027"/>
    <s v="Courroie dentée HTD1610-14M 70mm Chinois"/>
    <s v="UN"/>
    <n v="1"/>
    <n v="0"/>
    <n v="0"/>
    <x v="3"/>
  </r>
  <r>
    <s v="007"/>
    <s v="PR02"/>
    <s v="810COU028"/>
    <s v="Courroie trapez  B2819LI 2859LD  Chinois"/>
    <s v="UN"/>
    <n v="2"/>
    <n v="0"/>
    <n v="0"/>
    <x v="3"/>
  </r>
  <r>
    <s v="007"/>
    <s v="PR02"/>
    <s v="810COU029"/>
    <s v="Courroie trapez  B2845LI 2889LD  Chinois"/>
    <s v="UN"/>
    <n v="5"/>
    <n v="31.806000000000001"/>
    <n v="159.03"/>
    <x v="3"/>
  </r>
  <r>
    <s v="007"/>
    <s v="PR02"/>
    <s v="810COU030"/>
    <s v="Courroie trapez  B1112 2845LI 2888LW Chinois"/>
    <s v="UN"/>
    <n v="5"/>
    <n v="39.33"/>
    <n v="196.64999999999998"/>
    <x v="3"/>
  </r>
  <r>
    <s v="007"/>
    <s v="PR02"/>
    <s v="810COU031"/>
    <s v="Courroie dentée HTD2000 5M B 290311"/>
    <s v="UN"/>
    <n v="1"/>
    <n v="37.08"/>
    <n v="37.08"/>
    <x v="3"/>
  </r>
  <r>
    <s v="007"/>
    <s v="PR02"/>
    <s v="810COU032"/>
    <s v="Courroie dentée 6466 MC"/>
    <s v="UN"/>
    <n v="4"/>
    <n v="19.8"/>
    <n v="79.2"/>
    <x v="3"/>
  </r>
  <r>
    <s v="007"/>
    <s v="PR02"/>
    <s v="810COU033"/>
    <s v="Courroie Trapez VECO100 1780 A69"/>
    <s v="UN"/>
    <n v="1"/>
    <n v="29.7"/>
    <n v="29.7"/>
    <x v="3"/>
  </r>
  <r>
    <s v="007"/>
    <s v="PR02"/>
    <s v="810COU034"/>
    <s v="Courroie Trapez VECO200 1400 SPA"/>
    <s v="UN"/>
    <n v="1"/>
    <n v="29.7"/>
    <n v="29.7"/>
    <x v="3"/>
  </r>
  <r>
    <s v="007"/>
    <s v="PR02"/>
    <s v="810COU035"/>
    <s v="Courroie Trapez VECO200 1360 SPA"/>
    <s v="UN"/>
    <n v="1"/>
    <n v="29.7"/>
    <n v="29.7"/>
    <x v="3"/>
  </r>
  <r>
    <s v="007"/>
    <s v="PR02"/>
    <s v="810COU036"/>
    <s v="Courroie Trapez 3350 SPC 307 NB"/>
    <s v="UN"/>
    <n v="6"/>
    <n v="29.7"/>
    <n v="178.2"/>
    <x v="3"/>
  </r>
  <r>
    <s v="007"/>
    <s v="PR02"/>
    <s v="810COU037"/>
    <s v="Courroie dentée 1922V 386 LARG 30mm"/>
    <s v="UN"/>
    <n v="4"/>
    <n v="19.8"/>
    <n v="79.2"/>
    <x v="3"/>
  </r>
  <r>
    <s v="007"/>
    <s v="PR02"/>
    <s v="810COU041"/>
    <s v="Courroie Trapez SPB LP3000 LA3022  Tun EMP C"/>
    <s v="UN"/>
    <n v="9"/>
    <n v="45.21"/>
    <n v="406.89"/>
    <x v="3"/>
  </r>
  <r>
    <s v="007"/>
    <s v="PR02"/>
    <s v="810COU043"/>
    <s v="POULIE 1SPA112TB SKF M.Grille Wirtz"/>
    <s v="UN"/>
    <n v="1"/>
    <n v="21.790800000000001"/>
    <n v="21.790800000000001"/>
    <x v="3"/>
  </r>
  <r>
    <s v="007"/>
    <s v="PR02"/>
    <s v="810COU044"/>
    <s v="Moyeu poulie PHF TB1610*22MM SKF M.WIRTZ"/>
    <s v="UN"/>
    <n v="1"/>
    <n v="12.4992"/>
    <n v="12.4992"/>
    <x v="3"/>
  </r>
  <r>
    <s v="007"/>
    <s v="PR02"/>
    <s v="810COU046"/>
    <s v="Courroie Trapez 32*3750D148  Casse batt"/>
    <s v="UN"/>
    <n v="1"/>
    <n v="135.33029999999999"/>
    <n v="135.33029999999999"/>
    <x v="3"/>
  </r>
  <r>
    <s v="007"/>
    <s v="PR02"/>
    <s v="810COU047"/>
    <s v="Courroie  SPC3550-CHAL Filtre fonderie"/>
    <s v="UN"/>
    <n v="6"/>
    <n v="85.32"/>
    <n v="511.91999999999996"/>
    <x v="3"/>
  </r>
  <r>
    <s v="007"/>
    <s v="PR02"/>
    <s v="810cou048"/>
    <s v="Courroie Trapez 1938 b75 Atelier Tournage"/>
    <s v="UN"/>
    <n v="4"/>
    <n v="19.170000000000002"/>
    <n v="76.680000000000007"/>
    <x v="3"/>
  </r>
  <r>
    <s v="007"/>
    <s v="PR02"/>
    <s v="810COU060"/>
    <s v="COURROIE Trapezoidale PHG A70"/>
    <s v="UN"/>
    <n v="2"/>
    <n v="14.327999999999999"/>
    <n v="28.655999999999999"/>
    <x v="3"/>
  </r>
  <r>
    <s v="007"/>
    <s v="PR02"/>
    <s v="810COU062"/>
    <s v="COURROIE HTD 560 8M 30 PUNSHING"/>
    <s v="UN"/>
    <n v="4"/>
    <n v="42.3"/>
    <n v="169.2"/>
    <x v="3"/>
  </r>
  <r>
    <s v="007"/>
    <s v="PR02"/>
    <s v="810COU063"/>
    <s v="COURROIE SYNCHRONE TEXROPE 8M-30 M.Tubulaire"/>
    <s v="M"/>
    <n v="10"/>
    <n v="53.241300000000003"/>
    <n v="532.41300000000001"/>
    <x v="3"/>
  </r>
  <r>
    <s v="007"/>
    <s v="PR02"/>
    <s v="810COU065"/>
    <s v="MOYEU AMOVIBLE 3535 ALESAGE 70    fonderie"/>
    <s v="UN"/>
    <n v="1"/>
    <n v="130.05000000000001"/>
    <n v="130.05000000000001"/>
    <x v="3"/>
  </r>
  <r>
    <s v="007"/>
    <s v="PR02"/>
    <s v="810COU067"/>
    <s v="Courroie trapez 17*2438 B96  Melangeur fonderie"/>
    <s v="UN"/>
    <n v="5"/>
    <n v="38.130400000000002"/>
    <n v="190.65200000000002"/>
    <x v="3"/>
  </r>
  <r>
    <s v="007"/>
    <s v="PR02"/>
    <s v="810COU068"/>
    <s v="Courroie trapez B69 17*1750  Turbine linklat"/>
    <s v="UN"/>
    <n v="3"/>
    <n v="28.116879999999998"/>
    <n v="84.350639999999999"/>
    <x v="3"/>
  </r>
  <r>
    <s v="007"/>
    <s v="PR02"/>
    <s v="810COU073"/>
    <s v="Courroie Trapezoidale SPB2900*16.3  Melangeur str"/>
    <s v="UN"/>
    <n v="5"/>
    <n v="0"/>
    <n v="0"/>
    <x v="3"/>
  </r>
  <r>
    <s v="007"/>
    <s v="PR02"/>
    <s v="810COU117"/>
    <s v="COURROIE 1100/13 oxyde"/>
    <s v="UN"/>
    <n v="2"/>
    <n v="13.4361"/>
    <n v="26.872199999999999"/>
    <x v="3"/>
  </r>
  <r>
    <s v="007"/>
    <s v="PR02"/>
    <s v="810COU126"/>
    <s v="COURROIE VECA100 3000 C116"/>
    <s v="UN"/>
    <n v="1"/>
    <n v="47.0565"/>
    <n v="47.0565"/>
    <x v="3"/>
  </r>
  <r>
    <s v="007"/>
    <s v="PR02"/>
    <s v="810COU127"/>
    <s v="Courroie VECA100 2941 B114 MLX CHIN"/>
    <s v="UN"/>
    <n v="5"/>
    <n v="20.771999999999998"/>
    <n v="103.85999999999999"/>
    <x v="3"/>
  </r>
  <r>
    <s v="007"/>
    <s v="PR02"/>
    <s v="810COU133"/>
    <s v="Courroie Trapezoidale 3070*12    tunel de sechage"/>
    <s v="UN"/>
    <n v="3"/>
    <n v="31.5"/>
    <n v="94.5"/>
    <x v="3"/>
  </r>
  <r>
    <s v="007"/>
    <s v="PR02"/>
    <s v="810COU135"/>
    <s v="MOYEU AMOVIBLE 3535 ALESAGE 55    fonderie"/>
    <s v="UN"/>
    <n v="1"/>
    <n v="122.31"/>
    <n v="122.31"/>
    <x v="3"/>
  </r>
  <r>
    <s v="007"/>
    <s v="PR02"/>
    <s v="810COU137"/>
    <s v="Courroie dentee AV 13*1525 GTX"/>
    <s v="UN"/>
    <n v="3"/>
    <n v="22.105"/>
    <n v="66.314999999999998"/>
    <x v="3"/>
  </r>
  <r>
    <s v="007"/>
    <s v="PR02"/>
    <s v="810COU250"/>
    <s v="COURROIE 2800RPP14-112"/>
    <s v="UN"/>
    <n v="1"/>
    <n v="10.35"/>
    <n v="10.35"/>
    <x v="3"/>
  </r>
  <r>
    <s v="007"/>
    <s v="PR02"/>
    <s v="810COU251"/>
    <s v="COURROIE HTD2450  14M"/>
    <s v="UN"/>
    <n v="1"/>
    <n v="10.35"/>
    <n v="10.35"/>
    <x v="3"/>
  </r>
  <r>
    <s v="007"/>
    <s v="PR02"/>
    <s v="810COU253"/>
    <s v="COURROIE 245014M  OMEGA"/>
    <s v="UN"/>
    <n v="1"/>
    <n v="10.35"/>
    <n v="10.35"/>
    <x v="3"/>
  </r>
  <r>
    <s v="007"/>
    <s v="PR02"/>
    <s v="810COU254"/>
    <s v="COURROIE VECA 100-1800A70"/>
    <s v="UN"/>
    <n v="2"/>
    <n v="10.35"/>
    <n v="20.7"/>
    <x v="3"/>
  </r>
  <r>
    <s v="007"/>
    <s v="PR02"/>
    <s v="810COU260"/>
    <s v="courroi dent strip 1600 RPP8"/>
    <s v="UN"/>
    <n v="2"/>
    <n v="114.4008"/>
    <n v="228.80160000000001"/>
    <x v="3"/>
  </r>
  <r>
    <s v="007"/>
    <s v="PR02"/>
    <s v="810COU261"/>
    <s v="courroi dent strip 1760X50 RPP8"/>
    <s v="UN"/>
    <n v="2"/>
    <n v="114.4008"/>
    <n v="228.80160000000001"/>
    <x v="3"/>
  </r>
  <r>
    <s v="007"/>
    <s v="PR02"/>
    <s v="810COU262"/>
    <s v="courroi  dentee 2400 RPP8"/>
    <s v="UN"/>
    <n v="2"/>
    <n v="19.8"/>
    <n v="39.6"/>
    <x v="3"/>
  </r>
  <r>
    <s v="007"/>
    <s v="PR02"/>
    <s v="810cou263"/>
    <s v="courroi dentee HTD 16014M"/>
    <s v="UN"/>
    <n v="2"/>
    <n v="19.8"/>
    <n v="39.6"/>
    <x v="3"/>
  </r>
  <r>
    <s v="007"/>
    <s v="PR02"/>
    <s v="810CRE002"/>
    <s v="Cremaillere M3/2000mm malaxeur SOVEMA"/>
    <s v="UN"/>
    <n v="2"/>
    <n v="81.62"/>
    <n v="163.24"/>
    <x v="3"/>
  </r>
  <r>
    <s v="007"/>
    <s v="PR02"/>
    <s v="810DOU003"/>
    <s v="DOUILLE A BILLES B81-DBKB-12  Guid M.G.Ha"/>
    <s v="UN"/>
    <n v="2"/>
    <n v="91.003500000000003"/>
    <n v="182.00700000000001"/>
    <x v="3"/>
  </r>
  <r>
    <s v="007"/>
    <s v="PR02"/>
    <s v="810DOU004"/>
    <s v="Bride d'arbre SC 12 UU AS NBS Guid M.G.Hadi"/>
    <s v="UN"/>
    <n v="2"/>
    <n v="53.739899999999999"/>
    <n v="107.4798"/>
    <x v="3"/>
  </r>
  <r>
    <s v="007"/>
    <s v="PR02"/>
    <s v="810DOU006"/>
    <s v="DOUILLE a bille INA KB50100PP (LMU50RR) Lame stri"/>
    <s v="UN"/>
    <n v="4"/>
    <n v="124.32869999999998"/>
    <n v="497.31479999999993"/>
    <x v="3"/>
  </r>
  <r>
    <s v="007"/>
    <s v="PR02"/>
    <s v="810GOU006"/>
    <s v="GOUJON D8*50"/>
    <s v="UN"/>
    <n v="88"/>
    <n v="2.0499999999999998"/>
    <n v="180.39999999999998"/>
    <x v="3"/>
  </r>
  <r>
    <s v="007"/>
    <s v="PR02"/>
    <s v="810MAN004"/>
    <s v="MANOMETRE hydrolique 0 à 160BAR 1/4&quot;"/>
    <s v="UN"/>
    <n v="1"/>
    <n v="23.5"/>
    <n v="23.5"/>
    <x v="3"/>
  </r>
  <r>
    <s v="007"/>
    <s v="PR02"/>
    <s v="810MAN007"/>
    <s v="Manometre acetylene chalumeau avec reglage"/>
    <s v="UN"/>
    <n v="1"/>
    <n v="144.92500000000001"/>
    <n v="144.92500000000001"/>
    <x v="3"/>
  </r>
  <r>
    <s v="007"/>
    <s v="PR02"/>
    <s v="810MAN009"/>
    <s v="MANOMETRE PRESS GAZ 0-200mbar"/>
    <s v="UN"/>
    <n v="1"/>
    <n v="149.43"/>
    <n v="149.43"/>
    <x v="3"/>
  </r>
  <r>
    <s v="007"/>
    <s v="PR02"/>
    <s v="810MAN012"/>
    <s v="Manometre acet/oxyg chalumeau"/>
    <s v="UN"/>
    <n v="1"/>
    <n v="214.98965000000001"/>
    <n v="214.98965000000001"/>
    <x v="3"/>
  </r>
  <r>
    <s v="007"/>
    <s v="PR02"/>
    <s v="810MAN195"/>
    <s v="MANOMETRE 0-16 BAR"/>
    <s v="UN"/>
    <n v="3"/>
    <n v="21.59"/>
    <n v="64.77"/>
    <x v="3"/>
  </r>
  <r>
    <s v="007"/>
    <s v="PR02"/>
    <s v="810PAL001"/>
    <s v="PALIER OVALE FYTB 509 M RLT YAR209-2F"/>
    <s v="UN"/>
    <n v="4"/>
    <n v="46.194749999999999"/>
    <n v="184.779"/>
    <x v="3"/>
  </r>
  <r>
    <s v="007"/>
    <s v="PR02"/>
    <s v="810PAL003"/>
    <s v="PALIER CIRCULAIRE FC217 UC217 CHINOIS"/>
    <s v="UN"/>
    <n v="1"/>
    <n v="0"/>
    <n v="0"/>
    <x v="3"/>
  </r>
  <r>
    <s v="007"/>
    <s v="PR02"/>
    <s v="810pal007"/>
    <s v="PALIER P210"/>
    <s v="UN"/>
    <n v="2"/>
    <n v="0"/>
    <n v="0"/>
    <x v="3"/>
  </r>
  <r>
    <s v="007"/>
    <s v="PR02"/>
    <s v="810PAL008"/>
    <s v="Palier FY 510M"/>
    <s v="UN"/>
    <n v="5"/>
    <n v="60.75"/>
    <n v="303.75"/>
    <x v="3"/>
  </r>
  <r>
    <s v="007"/>
    <s v="PR02"/>
    <s v="810PAL011"/>
    <s v="Palier Rond PME30"/>
    <s v="UN"/>
    <n v="3"/>
    <n v="51.75"/>
    <n v="155.25"/>
    <x v="3"/>
  </r>
  <r>
    <s v="007"/>
    <s v="PR02"/>
    <s v="810PAL013"/>
    <s v="Palier A semelle SNV100 RLT 22211 Tunel SOVEMA"/>
    <s v="UN"/>
    <n v="3"/>
    <n v="150.33840000000001"/>
    <n v="451.01520000000005"/>
    <x v="3"/>
  </r>
  <r>
    <s v="007"/>
    <s v="PR02"/>
    <s v="810PAL016"/>
    <s v="Palier Complet Rond INA PME30-N  PALAN Fonderie"/>
    <s v="UN"/>
    <n v="2"/>
    <n v="114.1674"/>
    <n v="228.3348"/>
    <x v="3"/>
  </r>
  <r>
    <s v="007"/>
    <s v="PR02"/>
    <s v="810PAL017"/>
    <s v="Palier Complet UCP208 Ch.Ling.Fond"/>
    <s v="UN"/>
    <n v="1"/>
    <n v="55.7622"/>
    <n v="55.7622"/>
    <x v="3"/>
  </r>
  <r>
    <s v="007"/>
    <s v="PR02"/>
    <s v="810PAL019"/>
    <s v="Palier FYTB 508M  RLT YAR208  EMP Classique"/>
    <s v="UN"/>
    <n v="3"/>
    <n v="36.459000000000003"/>
    <n v="109.37700000000001"/>
    <x v="3"/>
  </r>
  <r>
    <s v="007"/>
    <s v="PR02"/>
    <s v="810PAL020"/>
    <s v="PALIER FC205 (UCFC205/H) Empattage/ENV SOVEMA"/>
    <s v="UN"/>
    <n v="3"/>
    <n v="49.68"/>
    <n v="149.04"/>
    <x v="3"/>
  </r>
  <r>
    <s v="007"/>
    <s v="PR02"/>
    <s v="810PAL044"/>
    <s v="Bague de palier TSN522C Joint etancheite"/>
    <s v="UN"/>
    <n v="1"/>
    <n v="33.125"/>
    <n v="33.125"/>
    <x v="3"/>
  </r>
  <r>
    <s v="007"/>
    <s v="PR02"/>
    <s v="810PAL046"/>
    <s v="Palier A semelle P212 RLT UC212"/>
    <s v="UN"/>
    <n v="2"/>
    <n v="144"/>
    <n v="288"/>
    <x v="3"/>
  </r>
  <r>
    <s v="007"/>
    <s v="PR02"/>
    <s v="810PAL048"/>
    <s v="Palier a semelle SY512M"/>
    <s v="UN"/>
    <n v="1"/>
    <n v="121.18680000000001"/>
    <n v="121.18680000000001"/>
    <x v="3"/>
  </r>
  <r>
    <s v="007"/>
    <s v="PR02"/>
    <s v="810PAL049"/>
    <s v="Palier T212 CX RLT UC212"/>
    <s v="UN"/>
    <n v="1"/>
    <n v="33.125"/>
    <n v="33.125"/>
    <x v="3"/>
  </r>
  <r>
    <s v="007"/>
    <s v="PR02"/>
    <s v="810PAL050"/>
    <s v="Palier F 210"/>
    <s v="UN"/>
    <n v="1"/>
    <n v="73.2834"/>
    <n v="73.2834"/>
    <x v="3"/>
  </r>
  <r>
    <s v="007"/>
    <s v="PR02"/>
    <s v="810pal051"/>
    <s v="Palier FY512M"/>
    <s v="UN"/>
    <n v="2"/>
    <n v="0"/>
    <n v="0"/>
    <x v="3"/>
  </r>
  <r>
    <s v="007"/>
    <s v="PR02"/>
    <s v="810PAL053"/>
    <s v="Palier Carrée FY 507 M"/>
    <s v="UN"/>
    <n v="1"/>
    <n v="32.4"/>
    <n v="32.4"/>
    <x v="3"/>
  </r>
  <r>
    <s v="007"/>
    <s v="PR02"/>
    <s v="810PAL057"/>
    <s v="Palier tendeur TU 508M (UCT208) Tapis Casse batte"/>
    <s v="UN"/>
    <n v="1"/>
    <n v="70.148700000000005"/>
    <n v="70.148700000000005"/>
    <x v="3"/>
  </r>
  <r>
    <s v="007"/>
    <s v="PR02"/>
    <s v="810pal058"/>
    <s v="Palier UCFC 206"/>
    <s v="UN"/>
    <n v="4"/>
    <n v="63.991"/>
    <n v="255.964"/>
    <x v="3"/>
  </r>
  <r>
    <s v="007"/>
    <s v="PR02"/>
    <s v="810pal078"/>
    <s v="PALIER OVALE UCFL 204/H pompe COS"/>
    <s v="UN"/>
    <n v="2"/>
    <n v="34.961849999999998"/>
    <n v="69.923699999999997"/>
    <x v="3"/>
  </r>
  <r>
    <s v="007"/>
    <s v="PR02"/>
    <s v="810PAL090"/>
    <s v="Palier carrée FY508M RLT YAR208"/>
    <s v="UN"/>
    <n v="3"/>
    <n v="86.208299999999994"/>
    <n v="258.62489999999997"/>
    <x v="3"/>
  </r>
  <r>
    <s v="007"/>
    <s v="PR02"/>
    <s v="810PAL095"/>
    <s v="Palier carrée UCF212 Filtre fonderie"/>
    <s v="UN"/>
    <n v="2"/>
    <n v="164.8143"/>
    <n v="329.62860000000001"/>
    <x v="3"/>
  </r>
  <r>
    <s v="007"/>
    <s v="PR02"/>
    <s v="810PAL096"/>
    <s v="Palier complete UCFA 204 machine a grille"/>
    <s v="UN"/>
    <n v="5"/>
    <n v="0"/>
    <n v="0"/>
    <x v="3"/>
  </r>
  <r>
    <s v="007"/>
    <s v="PR02"/>
    <s v="810PAR002"/>
    <s v="PARAHUILE 70*95*10 HAUT TEMP  MEL FOND"/>
    <s v="UN"/>
    <n v="4"/>
    <n v="4.1580000000000004"/>
    <n v="16.632000000000001"/>
    <x v="3"/>
  </r>
  <r>
    <s v="007"/>
    <s v="PR02"/>
    <s v="810PAR003"/>
    <s v="PARAHUILE 70*90*10 HAUT TEMP  MEL FOND"/>
    <s v="UN"/>
    <n v="8"/>
    <n v="21.231987428571426"/>
    <n v="169.8558994285714"/>
    <x v="3"/>
  </r>
  <r>
    <s v="007"/>
    <s v="PR02"/>
    <s v="810PAR004"/>
    <s v="PARE HUILE 90*120*12"/>
    <s v="UN"/>
    <n v="9"/>
    <n v="9.0347249999999999"/>
    <n v="81.312524999999994"/>
    <x v="3"/>
  </r>
  <r>
    <s v="007"/>
    <s v="PR02"/>
    <s v="810PAR007"/>
    <s v="PARE HUILE 8*50*35"/>
    <s v="UN"/>
    <n v="4"/>
    <n v="10.143000000000001"/>
    <n v="40.572000000000003"/>
    <x v="3"/>
  </r>
  <r>
    <s v="007"/>
    <s v="PR02"/>
    <s v="810PAR008"/>
    <s v="PARAHUILE 70*95*12"/>
    <s v="UN"/>
    <n v="3"/>
    <n v="10.143000000000001"/>
    <n v="30.429000000000002"/>
    <x v="3"/>
  </r>
  <r>
    <s v="007"/>
    <s v="PR02"/>
    <s v="810PAR011"/>
    <s v="PARAHUILE 55*100*10"/>
    <s v="UN"/>
    <n v="4"/>
    <n v="9.3437999999999999"/>
    <n v="37.3752"/>
    <x v="3"/>
  </r>
  <r>
    <s v="007"/>
    <s v="PR02"/>
    <s v="810PAR013"/>
    <s v="PARAHUILE 62*35*10"/>
    <s v="UN"/>
    <n v="9"/>
    <n v="4.0095000000000001"/>
    <n v="36.085500000000003"/>
    <x v="3"/>
  </r>
  <r>
    <s v="007"/>
    <s v="PR02"/>
    <s v="810PAR014"/>
    <s v="PARAHUILE 32*52*7 Emp Classique"/>
    <s v="UN"/>
    <n v="8"/>
    <n v="24.5016"/>
    <n v="196.0128"/>
    <x v="3"/>
  </r>
  <r>
    <s v="007"/>
    <s v="PR02"/>
    <s v="810PAR015"/>
    <s v="PARAHUILE 35*72*10"/>
    <s v="UN"/>
    <n v="1"/>
    <n v="10.143000000000001"/>
    <n v="10.143000000000001"/>
    <x v="3"/>
  </r>
  <r>
    <s v="007"/>
    <s v="PR02"/>
    <s v="810PAR016"/>
    <s v="PARAHUILE 32*60*8"/>
    <s v="UN"/>
    <n v="2"/>
    <n v="10.143000000000001"/>
    <n v="20.286000000000001"/>
    <x v="3"/>
  </r>
  <r>
    <s v="007"/>
    <s v="PR02"/>
    <s v="810PAR017"/>
    <s v="PARAHUILE 110*85*12"/>
    <s v="UN"/>
    <n v="5"/>
    <n v="7.3349999999999991"/>
    <n v="36.674999999999997"/>
    <x v="3"/>
  </r>
  <r>
    <s v="007"/>
    <s v="PR02"/>
    <s v="810PAR018"/>
    <s v="PARAHUILE TC 48*70*10 ACIER"/>
    <s v="UN"/>
    <n v="1"/>
    <n v="0"/>
    <n v="0"/>
    <x v="3"/>
  </r>
  <r>
    <s v="007"/>
    <s v="PR02"/>
    <s v="810PAR019"/>
    <s v="PARAHUILE 25*42*7"/>
    <s v="UN"/>
    <n v="5"/>
    <n v="10.143000000000001"/>
    <n v="50.715000000000003"/>
    <x v="3"/>
  </r>
  <r>
    <s v="007"/>
    <s v="PR02"/>
    <s v="810PAR020"/>
    <s v="PARAHUILE 230*260*15"/>
    <s v="UN"/>
    <n v="5"/>
    <n v="10.143000000000001"/>
    <n v="50.715000000000003"/>
    <x v="3"/>
  </r>
  <r>
    <s v="007"/>
    <s v="PR02"/>
    <s v="810PAR023"/>
    <s v="PARAHUILE 35*47*8"/>
    <s v="UN"/>
    <n v="3"/>
    <n v="10.143000000000001"/>
    <n v="30.429000000000002"/>
    <x v="3"/>
  </r>
  <r>
    <s v="007"/>
    <s v="PR02"/>
    <s v="810PAR032"/>
    <s v="Parahuile 52*36*7 vis oxyde"/>
    <s v="UN"/>
    <n v="5"/>
    <n v="3.4289999999999998"/>
    <n v="17.145"/>
    <x v="3"/>
  </r>
  <r>
    <s v="007"/>
    <s v="PR02"/>
    <s v="810PAR033"/>
    <s v="Parahuile 70*100*10"/>
    <s v="UN"/>
    <n v="1"/>
    <n v="4.9490999999999996"/>
    <n v="4.9490999999999996"/>
    <x v="3"/>
  </r>
  <r>
    <s v="007"/>
    <s v="PR02"/>
    <s v="810PAR034"/>
    <s v="parahuile 40*62*10/8 Moteur OXYDE"/>
    <s v="UN"/>
    <n v="2"/>
    <n v="4.3019999999999996"/>
    <n v="8.6039999999999992"/>
    <x v="3"/>
  </r>
  <r>
    <s v="007"/>
    <s v="PR02"/>
    <s v="810PAR037"/>
    <s v="PARAHUILE CATO 2D540 CR 127*104*13 Boite F.R"/>
    <s v="UN"/>
    <n v="8"/>
    <n v="30.2148"/>
    <n v="241.7184"/>
    <x v="3"/>
  </r>
  <r>
    <s v="007"/>
    <s v="PR02"/>
    <s v="810PAR039"/>
    <s v="PARE HUILE 60*45*10 VIS OXYDE"/>
    <s v="UN"/>
    <n v="4"/>
    <n v="4.0823999999999998"/>
    <n v="16.329599999999999"/>
    <x v="3"/>
  </r>
  <r>
    <s v="007"/>
    <s v="PR02"/>
    <s v="810PAR040"/>
    <s v="PARE HUILE 45*75*10 Chaine a goudets"/>
    <s v="UN"/>
    <n v="4"/>
    <n v="3.06"/>
    <n v="12.24"/>
    <x v="3"/>
  </r>
  <r>
    <s v="007"/>
    <s v="PR02"/>
    <s v="810PAR041"/>
    <s v="PARE HUILE 46*30*08 Moteur pompe Strip"/>
    <s v="UN"/>
    <n v="2"/>
    <n v="3.4695"/>
    <n v="6.9390000000000001"/>
    <x v="3"/>
  </r>
  <r>
    <s v="007"/>
    <s v="PR02"/>
    <s v="810PAR042"/>
    <s v="PARE HUILE 25*37*7 MOT VENTIL FOND"/>
    <s v="UN"/>
    <n v="3"/>
    <n v="2.1429"/>
    <n v="6.4287000000000001"/>
    <x v="3"/>
  </r>
  <r>
    <s v="007"/>
    <s v="PR02"/>
    <s v="810PAR051"/>
    <s v="PARAHUILE TC 48*70*10 Haute temperature STRIP"/>
    <s v="UN"/>
    <n v="1"/>
    <n v="117.227"/>
    <n v="117.227"/>
    <x v="3"/>
  </r>
  <r>
    <s v="007"/>
    <s v="PR02"/>
    <s v="810PAR060"/>
    <s v="Parahuile 70*100*12 VIS OXYDE"/>
    <s v="UN"/>
    <n v="6"/>
    <n v="7.2"/>
    <n v="43.2"/>
    <x v="3"/>
  </r>
  <r>
    <s v="007"/>
    <s v="PR02"/>
    <s v="810PAR061"/>
    <s v="Parahuile 25*47*7 DL"/>
    <s v="UN"/>
    <n v="2"/>
    <n v="3.2309999999999999"/>
    <n v="6.4619999999999997"/>
    <x v="3"/>
  </r>
  <r>
    <s v="007"/>
    <s v="PR02"/>
    <s v="810PAR062"/>
    <s v="PARE HUILE 55*72*08 Moteur melangeur fonderi"/>
    <s v="UN"/>
    <n v="5"/>
    <n v="8.1647999999999996"/>
    <n v="40.823999999999998"/>
    <x v="3"/>
  </r>
  <r>
    <s v="007"/>
    <s v="PR02"/>
    <s v="810PAR084"/>
    <s v="PARE HUILE 120*150*12"/>
    <s v="UN"/>
    <n v="4"/>
    <n v="10.143000000000001"/>
    <n v="40.572000000000003"/>
    <x v="3"/>
  </r>
  <r>
    <s v="007"/>
    <s v="PR02"/>
    <s v="810PAR086"/>
    <s v="PARE HUILE 100*120*12"/>
    <s v="UN"/>
    <n v="2"/>
    <n v="10.143000000000001"/>
    <n v="20.286000000000001"/>
    <x v="3"/>
  </r>
  <r>
    <s v="007"/>
    <s v="PR02"/>
    <s v="810PAR087"/>
    <s v="PARE HUILE 80*125*12"/>
    <s v="UN"/>
    <n v="5"/>
    <n v="13.4262"/>
    <n v="67.131"/>
    <x v="3"/>
  </r>
  <r>
    <s v="007"/>
    <s v="PR02"/>
    <s v="810PAR089"/>
    <s v="PARE HUILE 80*100*10 HAUT TEMP  MEL FOND"/>
    <s v="UN"/>
    <n v="6"/>
    <n v="15.36651"/>
    <n v="92.199060000000003"/>
    <x v="3"/>
  </r>
  <r>
    <s v="007"/>
    <s v="PR02"/>
    <s v="810PAR092"/>
    <s v="PARE HUILE 75*95*10"/>
    <s v="UN"/>
    <n v="6"/>
    <n v="7.1639999999999988"/>
    <n v="42.983999999999995"/>
    <x v="3"/>
  </r>
  <r>
    <s v="007"/>
    <s v="PR02"/>
    <s v="810PAR096"/>
    <s v="PARE HUILE 50*72*8"/>
    <s v="UN"/>
    <n v="3"/>
    <n v="3.1560000000000001"/>
    <n v="9.468"/>
    <x v="3"/>
  </r>
  <r>
    <s v="007"/>
    <s v="PR02"/>
    <s v="810PAR098"/>
    <s v="PARE HUILE 30*40*7"/>
    <s v="UN"/>
    <n v="6"/>
    <n v="10.143000000000001"/>
    <n v="60.858000000000004"/>
    <x v="3"/>
  </r>
  <r>
    <s v="007"/>
    <s v="PR02"/>
    <s v="810PAR107"/>
    <s v="PARE HUILE 55*80*8"/>
    <s v="UN"/>
    <n v="5"/>
    <n v="6.75"/>
    <n v="33.75"/>
    <x v="3"/>
  </r>
  <r>
    <s v="007"/>
    <s v="PR02"/>
    <s v="810PAR109"/>
    <s v="PARAHUILE 110*70*12 REUCTEUR FOUR ROTATIF"/>
    <s v="UN"/>
    <n v="6"/>
    <n v="15.587999999999999"/>
    <n v="93.527999999999992"/>
    <x v="3"/>
  </r>
  <r>
    <s v="007"/>
    <s v="PR02"/>
    <s v="810par110"/>
    <s v="parahuile 100x125x12"/>
    <s v="UN"/>
    <n v="21"/>
    <n v="10.143000000000001"/>
    <n v="213.00300000000001"/>
    <x v="3"/>
  </r>
  <r>
    <s v="007"/>
    <s v="PR02"/>
    <s v="810par115"/>
    <s v="parahuile 35x52x7"/>
    <s v="UN"/>
    <n v="1"/>
    <n v="7.9001999999999999"/>
    <n v="7.9001999999999999"/>
    <x v="3"/>
  </r>
  <r>
    <s v="007"/>
    <s v="PR02"/>
    <s v="810par118"/>
    <s v="parahuile 50x80x8"/>
    <s v="UN"/>
    <n v="4"/>
    <n v="6.4124999999999996"/>
    <n v="25.65"/>
    <x v="3"/>
  </r>
  <r>
    <s v="007"/>
    <s v="PR02"/>
    <s v="810par120"/>
    <s v="parahuile 65x90x10"/>
    <s v="UN"/>
    <n v="3"/>
    <n v="38.568600000000004"/>
    <n v="115.70580000000001"/>
    <x v="3"/>
  </r>
  <r>
    <s v="007"/>
    <s v="PR02"/>
    <s v="810PAR126"/>
    <s v="PARE HUILE 45*72*10"/>
    <s v="UN"/>
    <n v="3"/>
    <n v="10.143000000000001"/>
    <n v="30.429000000000002"/>
    <x v="3"/>
  </r>
  <r>
    <s v="007"/>
    <s v="PR02"/>
    <s v="810PAR128"/>
    <s v="Parahuile 105*135*14"/>
    <s v="UN"/>
    <n v="2"/>
    <n v="10.143000000000001"/>
    <n v="20.286000000000001"/>
    <x v="3"/>
  </r>
  <r>
    <s v="007"/>
    <s v="PR02"/>
    <s v="810PAR129"/>
    <s v="Parahuile 100*120*10 Chariot maximal"/>
    <s v="UN"/>
    <n v="6"/>
    <n v="29.336232857142853"/>
    <n v="176.01739714285713"/>
    <x v="3"/>
  </r>
  <r>
    <s v="007"/>
    <s v="PR02"/>
    <s v="810PAR130"/>
    <s v="PARE HUILE 55*80*10 OXYDE"/>
    <s v="UN"/>
    <n v="3"/>
    <n v="26.959499999999998"/>
    <n v="80.878500000000003"/>
    <x v="3"/>
  </r>
  <r>
    <s v="007"/>
    <s v="PR02"/>
    <s v="810PAR133"/>
    <s v="PAREHUILE 90*55*10 Boite red STRIP"/>
    <s v="UN"/>
    <n v="1"/>
    <n v="5.7366000000000001"/>
    <n v="5.7366000000000001"/>
    <x v="3"/>
  </r>
  <r>
    <s v="007"/>
    <s v="PR02"/>
    <s v="810PAR134"/>
    <s v="PARAHUILE DL 65*85*10"/>
    <s v="UN"/>
    <n v="1"/>
    <n v="5.58"/>
    <n v="5.58"/>
    <x v="3"/>
  </r>
  <r>
    <s v="007"/>
    <s v="PR02"/>
    <s v="810PAR137"/>
    <s v="PARE HUILE 75*100*13 Boite strip"/>
    <s v="UN"/>
    <n v="4"/>
    <n v="9.4499999999999993"/>
    <n v="37.799999999999997"/>
    <x v="3"/>
  </r>
  <r>
    <s v="007"/>
    <s v="PR02"/>
    <s v="810PAR138"/>
    <s v="PARE HUILE 60*74*10 Boite strip"/>
    <s v="UN"/>
    <n v="1"/>
    <n v="0"/>
    <n v="0"/>
    <x v="3"/>
  </r>
  <r>
    <s v="007"/>
    <s v="PR02"/>
    <s v="810PAR139"/>
    <s v="PARE HUILE 80*35*10 Rouleau bande strip"/>
    <s v="UN"/>
    <n v="3"/>
    <n v="4.1040000000000001"/>
    <n v="12.312000000000001"/>
    <x v="3"/>
  </r>
  <r>
    <s v="007"/>
    <s v="PR02"/>
    <s v="810PAR140"/>
    <s v="PAREHUILE 90*55*08 Boite melangeur fonderie"/>
    <s v="UN"/>
    <n v="3"/>
    <n v="6.9992999999999999"/>
    <n v="20.997900000000001"/>
    <x v="3"/>
  </r>
  <r>
    <s v="007"/>
    <s v="PR02"/>
    <s v="810PAR142"/>
    <s v="PARAHUILE 52*100*10 Boite melangeur"/>
    <s v="UN"/>
    <n v="4"/>
    <n v="51.232500000000002"/>
    <n v="204.93"/>
    <x v="3"/>
  </r>
  <r>
    <s v="007"/>
    <s v="PR02"/>
    <s v="810PAR144"/>
    <s v="PARE HUILE 45*65*8"/>
    <s v="UN"/>
    <n v="5"/>
    <n v="3.7530000000000001"/>
    <n v="18.765000000000001"/>
    <x v="3"/>
  </r>
  <r>
    <s v="007"/>
    <s v="PR02"/>
    <s v="810PAR145"/>
    <s v="PARE HUILE 85/130/12 Reducteur Empattage"/>
    <s v="UN"/>
    <n v="5"/>
    <n v="14.265000000000001"/>
    <n v="71.325000000000003"/>
    <x v="3"/>
  </r>
  <r>
    <s v="007"/>
    <s v="PR02"/>
    <s v="810PAR146"/>
    <s v="PARE HUILE 85/115/12 Reducteur Empattage"/>
    <s v="UN"/>
    <n v="5"/>
    <n v="11.79"/>
    <n v="58.949999999999996"/>
    <x v="3"/>
  </r>
  <r>
    <s v="007"/>
    <s v="PR02"/>
    <s v="810PAR147"/>
    <s v="PARE HUILE 50*90*10 Reducteur four fonderie"/>
    <s v="UN"/>
    <n v="8"/>
    <n v="7.8840000000000003"/>
    <n v="63.072000000000003"/>
    <x v="3"/>
  </r>
  <r>
    <s v="007"/>
    <s v="PR02"/>
    <s v="810PAR148"/>
    <s v="PARE HUILE 50*65*8 Reducteur vis moulin sov"/>
    <s v="UN"/>
    <n v="2"/>
    <n v="4.05"/>
    <n v="8.1"/>
    <x v="3"/>
  </r>
  <r>
    <s v="007"/>
    <s v="PR02"/>
    <s v="810PAR149"/>
    <s v="PARE HUILE 155*180*15DL Boite Empattage"/>
    <s v="UN"/>
    <n v="3"/>
    <n v="20.411999999999999"/>
    <n v="61.235999999999997"/>
    <x v="3"/>
  </r>
  <r>
    <s v="007"/>
    <s v="PR02"/>
    <s v="810PAR150"/>
    <s v="PARE HUILE 38*55*8 TETE EMPATTAGE"/>
    <s v="UN"/>
    <n v="2"/>
    <n v="3.9266999999999994"/>
    <n v="7.8533999999999988"/>
    <x v="3"/>
  </r>
  <r>
    <s v="007"/>
    <s v="PR02"/>
    <s v="810PIN002"/>
    <s v="PIGNON 08B 1B18"/>
    <s v="UN"/>
    <n v="12"/>
    <n v="15.1434"/>
    <n v="181.7208"/>
    <x v="3"/>
  </r>
  <r>
    <s v="007"/>
    <s v="PR02"/>
    <s v="810PIN012"/>
    <s v="pignon B1/2 18"/>
    <s v="UN"/>
    <n v="6"/>
    <n v="31.013999999999999"/>
    <n v="186.084"/>
    <x v="3"/>
  </r>
  <r>
    <s v="007"/>
    <s v="PR02"/>
    <s v="810PIN017"/>
    <s v="PIGNON 08B1 25 dents"/>
    <s v="UN"/>
    <n v="1"/>
    <n v="33.344999999999999"/>
    <n v="33.344999999999999"/>
    <x v="3"/>
  </r>
  <r>
    <s v="007"/>
    <s v="PR02"/>
    <s v="810PIN023"/>
    <s v="Pignon 16B2 15dents Casse batterie"/>
    <s v="UN"/>
    <n v="2"/>
    <n v="59.1648"/>
    <n v="118.3296"/>
    <x v="3"/>
  </r>
  <r>
    <s v="007"/>
    <s v="PR02"/>
    <s v="810PIN026"/>
    <s v="Pignon PS 1/2 Z20 08B1  20dents"/>
    <s v="UN"/>
    <n v="11"/>
    <n v="23.895"/>
    <n v="262.84499999999997"/>
    <x v="3"/>
  </r>
  <r>
    <s v="007"/>
    <s v="PR02"/>
    <s v="810PIN027"/>
    <s v="Pignon 08B1B14"/>
    <s v="UN"/>
    <n v="1"/>
    <n v="10.6488"/>
    <n v="10.6488"/>
    <x v="3"/>
  </r>
  <r>
    <s v="007"/>
    <s v="PR02"/>
    <s v="810PIN030"/>
    <s v="Pignon 08B2 16DENTS"/>
    <s v="UN"/>
    <n v="3"/>
    <n v="13.379200000000001"/>
    <n v="40.137600000000006"/>
    <x v="3"/>
  </r>
  <r>
    <s v="007"/>
    <s v="PR02"/>
    <s v="810PIN032"/>
    <s v="Pignon 06B1 11dents pas anglais M.limage"/>
    <s v="UN"/>
    <n v="4"/>
    <n v="0"/>
    <n v="0"/>
    <x v="3"/>
  </r>
  <r>
    <s v="007"/>
    <s v="PR02"/>
    <s v="810PIN033"/>
    <s v="Pignon 08B1 12dents pas anglais M.limage"/>
    <s v="UN"/>
    <n v="3"/>
    <n v="0"/>
    <n v="0"/>
    <x v="3"/>
  </r>
  <r>
    <s v="007"/>
    <s v="PR02"/>
    <s v="810PIN034"/>
    <s v="Pignon 08B1 16dents pas anglais M.limage"/>
    <s v="UN"/>
    <n v="6"/>
    <n v="0"/>
    <n v="0"/>
    <x v="3"/>
  </r>
  <r>
    <s v="007"/>
    <s v="PR02"/>
    <s v="810PIN035"/>
    <s v="Pignon 06B1 17dents pas anglais M.limage"/>
    <s v="UN"/>
    <n v="4"/>
    <n v="0"/>
    <n v="0"/>
    <x v="3"/>
  </r>
  <r>
    <s v="007"/>
    <s v="PR02"/>
    <s v="810PIN040"/>
    <s v="Pignon 12B1-16DENTS Casse batterie"/>
    <s v="UN"/>
    <n v="3"/>
    <n v="25.974"/>
    <n v="77.921999999999997"/>
    <x v="3"/>
  </r>
  <r>
    <s v="007"/>
    <s v="PR02"/>
    <s v="810PIN041"/>
    <s v="Pignon 5/8*3/8 Z23 10B1 23dents Strip CHIN"/>
    <s v="UN"/>
    <n v="6"/>
    <n v="36.090000000000003"/>
    <n v="216.54000000000002"/>
    <x v="3"/>
  </r>
  <r>
    <s v="007"/>
    <s v="PR02"/>
    <s v="810pin042"/>
    <s v="Pignon 06B2 11dents pas anglais M.limage"/>
    <s v="UN"/>
    <n v="2"/>
    <n v="0"/>
    <n v="0"/>
    <x v="3"/>
  </r>
  <r>
    <s v="007"/>
    <s v="PR02"/>
    <s v="810PIN053"/>
    <s v="PIGNON SIMPLE 08B1-24DENTS"/>
    <s v="UN"/>
    <n v="4"/>
    <n v="27.607500000000002"/>
    <n v="110.43"/>
    <x v="3"/>
  </r>
  <r>
    <s v="007"/>
    <s v="PR02"/>
    <s v="810PIN054"/>
    <s v="PIGNON SIMPLE 08B1-13DENTS"/>
    <s v="UN"/>
    <n v="3"/>
    <n v="16.086600000000001"/>
    <n v="48.259799999999998"/>
    <x v="3"/>
  </r>
  <r>
    <s v="007"/>
    <s v="PR02"/>
    <s v="810PIN055"/>
    <s v="PIGNON DOUBLE 12B2-15DENTS"/>
    <s v="UN"/>
    <n v="3"/>
    <n v="43.100099999999998"/>
    <n v="129.30029999999999"/>
    <x v="3"/>
  </r>
  <r>
    <s v="007"/>
    <s v="PR02"/>
    <s v="810PIN056"/>
    <s v="PIGNON SIMPLE 12B1-15DENTS"/>
    <s v="UN"/>
    <n v="5"/>
    <n v="38.300400000000003"/>
    <n v="191.50200000000001"/>
    <x v="3"/>
  </r>
  <r>
    <s v="007"/>
    <s v="PR02"/>
    <s v="810PIN057"/>
    <s v="PIGNON SIMPLE 12B1-20DENTS"/>
    <s v="UN"/>
    <n v="2"/>
    <n v="42.730200000000004"/>
    <n v="85.460400000000007"/>
    <x v="3"/>
  </r>
  <r>
    <s v="007"/>
    <s v="PR02"/>
    <s v="810PIN071"/>
    <s v="Pignon 12B2-16DENT"/>
    <s v="UN"/>
    <n v="2"/>
    <n v="54.818100000000001"/>
    <n v="109.6362"/>
    <x v="3"/>
  </r>
  <r>
    <s v="007"/>
    <s v="PR02"/>
    <s v="810PIN072"/>
    <s v="Pignon 16B1 16dents Casse batterie"/>
    <s v="UN"/>
    <n v="3"/>
    <n v="64.062899999999999"/>
    <n v="192.18869999999998"/>
    <x v="3"/>
  </r>
  <r>
    <s v="007"/>
    <s v="PR02"/>
    <s v="810PIN073"/>
    <s v="Pignon 10B1  20dents Empattage chinois"/>
    <s v="UN"/>
    <n v="4"/>
    <n v="26.139600000000002"/>
    <n v="104.55840000000001"/>
    <x v="3"/>
  </r>
  <r>
    <s v="007"/>
    <s v="PR02"/>
    <s v="810PIN082"/>
    <s v="Pignon double 08B2 20DENTS  Empattage"/>
    <s v="UN"/>
    <n v="4"/>
    <n v="23.4"/>
    <n v="93.6"/>
    <x v="3"/>
  </r>
  <r>
    <s v="007"/>
    <s v="PR02"/>
    <s v="810PIN083"/>
    <s v="Pignon 10B1 24dents Strip CHIN"/>
    <s v="UN"/>
    <n v="2"/>
    <n v="37.4283"/>
    <n v="74.8566"/>
    <x v="3"/>
  </r>
  <r>
    <s v="007"/>
    <s v="PR02"/>
    <s v="810PIN084"/>
    <s v="Pignon 16B2 21dents Reducteur Four N°2"/>
    <s v="UN"/>
    <n v="1"/>
    <n v="0"/>
    <n v="0"/>
    <x v="3"/>
  </r>
  <r>
    <s v="007"/>
    <s v="PR02"/>
    <s v="810ROU002"/>
    <s v="Roulement 6002 2RSH"/>
    <s v="UN"/>
    <n v="2"/>
    <n v="9.4616999999999987"/>
    <n v="18.923399999999997"/>
    <x v="3"/>
  </r>
  <r>
    <s v="007"/>
    <s v="PR02"/>
    <s v="810ROU003"/>
    <s v="Roulement YAR 204"/>
    <s v="UN"/>
    <n v="2"/>
    <n v="21.7224"/>
    <n v="43.444800000000001"/>
    <x v="3"/>
  </r>
  <r>
    <s v="007"/>
    <s v="PR02"/>
    <s v="810ROU007"/>
    <s v="Roulement 2209 ETKN9"/>
    <s v="UN"/>
    <n v="5"/>
    <n v="78.422399999999996"/>
    <n v="392.11199999999997"/>
    <x v="3"/>
  </r>
  <r>
    <s v="007"/>
    <s v="PR02"/>
    <s v="810ROU008"/>
    <s v="Roulement 2211"/>
    <s v="UN"/>
    <n v="4"/>
    <n v="82.891800000000003"/>
    <n v="331.56720000000001"/>
    <x v="3"/>
  </r>
  <r>
    <s v="007"/>
    <s v="PR02"/>
    <s v="810ROU013"/>
    <s v="Roulement 22211 ISP"/>
    <s v="UN"/>
    <n v="4"/>
    <n v="113.58198000000002"/>
    <n v="454.32792000000006"/>
    <x v="3"/>
  </r>
  <r>
    <s v="007"/>
    <s v="PR02"/>
    <s v="810ROU014"/>
    <s v="Roulement 61902 2RS1"/>
    <s v="UN"/>
    <n v="7"/>
    <n v="16.11"/>
    <n v="112.77"/>
    <x v="3"/>
  </r>
  <r>
    <s v="007"/>
    <s v="PR02"/>
    <s v="810ROU015"/>
    <s v="Roulement 6001-2RSH"/>
    <s v="UN"/>
    <n v="9"/>
    <n v="7.92"/>
    <n v="71.28"/>
    <x v="3"/>
  </r>
  <r>
    <s v="007"/>
    <s v="PR02"/>
    <s v="810ROU017"/>
    <s v="Roulement 6004 2RSH  etanche"/>
    <s v="UN"/>
    <n v="17"/>
    <n v="12.5"/>
    <n v="212.5"/>
    <x v="3"/>
  </r>
  <r>
    <s v="007"/>
    <s v="PR02"/>
    <s v="810ROU018"/>
    <s v="Roulement 6005/ 2Z"/>
    <s v="UN"/>
    <n v="8"/>
    <n v="10.71671911764706"/>
    <n v="85.733752941176476"/>
    <x v="3"/>
  </r>
  <r>
    <s v="007"/>
    <s v="PR02"/>
    <s v="810ROU019"/>
    <s v="Roulement 22209 CAW33"/>
    <s v="UN"/>
    <n v="11"/>
    <n v="106.70399999999999"/>
    <n v="1173.7439999999999"/>
    <x v="3"/>
  </r>
  <r>
    <s v="007"/>
    <s v="PR02"/>
    <s v="810ROU020"/>
    <s v="Roulement 6006 2RS"/>
    <s v="UN"/>
    <n v="9"/>
    <n v="14.4"/>
    <n v="129.6"/>
    <x v="3"/>
  </r>
  <r>
    <s v="007"/>
    <s v="PR02"/>
    <s v="810ROU021"/>
    <s v="Roulement 6008"/>
    <s v="UN"/>
    <n v="6"/>
    <n v="21.613129646697388"/>
    <n v="129.67877788018433"/>
    <x v="3"/>
  </r>
  <r>
    <s v="007"/>
    <s v="PR02"/>
    <s v="810ROU022"/>
    <s v="Roulement 6200-2RS"/>
    <s v="UN"/>
    <n v="8"/>
    <n v="8.1"/>
    <n v="64.8"/>
    <x v="3"/>
  </r>
  <r>
    <s v="007"/>
    <s v="PR02"/>
    <s v="810ROU023"/>
    <s v="Roulement 6202 ZZ"/>
    <s v="UN"/>
    <n v="10"/>
    <n v="6.8110285714285723"/>
    <n v="68.110285714285723"/>
    <x v="3"/>
  </r>
  <r>
    <s v="007"/>
    <s v="PR02"/>
    <s v="810ROU024"/>
    <s v="Roulement 6203-2RS"/>
    <s v="UN"/>
    <n v="7"/>
    <n v="10.744199999999999"/>
    <n v="75.209399999999988"/>
    <x v="3"/>
  </r>
  <r>
    <s v="007"/>
    <s v="PR02"/>
    <s v="810ROU025"/>
    <s v="Roulement 6204 2RSH"/>
    <s v="UN"/>
    <n v="6"/>
    <n v="11.7"/>
    <n v="70.199999999999989"/>
    <x v="3"/>
  </r>
  <r>
    <s v="007"/>
    <s v="PR02"/>
    <s v="810ROU026"/>
    <s v="Roulement  6205 2Z"/>
    <s v="UN"/>
    <n v="8"/>
    <n v="10.8"/>
    <n v="86.4"/>
    <x v="3"/>
  </r>
  <r>
    <s v="007"/>
    <s v="PR02"/>
    <s v="810ROU027"/>
    <s v="Roulement 6206 2Z"/>
    <s v="UN"/>
    <n v="12"/>
    <n v="16.02"/>
    <n v="192.24"/>
    <x v="3"/>
  </r>
  <r>
    <s v="007"/>
    <s v="PR02"/>
    <s v="810ROU028"/>
    <s v="Roulement 6207-2RS"/>
    <s v="UN"/>
    <n v="4"/>
    <n v="21.105126666666667"/>
    <n v="84.420506666666668"/>
    <x v="3"/>
  </r>
  <r>
    <s v="007"/>
    <s v="PR02"/>
    <s v="810ROU029"/>
    <s v="Roulement 6208-2RS"/>
    <s v="UN"/>
    <n v="0"/>
    <n v="32.843699999999998"/>
    <n v="0"/>
    <x v="3"/>
  </r>
  <r>
    <s v="007"/>
    <s v="PR02"/>
    <s v="810ROU030"/>
    <s v="Roulement 6212"/>
    <s v="UN"/>
    <n v="4"/>
    <n v="49.515300000000003"/>
    <n v="198.06120000000001"/>
    <x v="3"/>
  </r>
  <r>
    <s v="007"/>
    <s v="PR02"/>
    <s v="810ROU031"/>
    <s v="Roulement 6302 2Z"/>
    <s v="UN"/>
    <n v="7"/>
    <n v="10.098000000000001"/>
    <n v="70.686000000000007"/>
    <x v="3"/>
  </r>
  <r>
    <s v="007"/>
    <s v="PR02"/>
    <s v="810ROU034"/>
    <s v="Roulement 6305-2z"/>
    <s v="UN"/>
    <n v="9"/>
    <n v="15.205641046831957"/>
    <n v="136.8507694214876"/>
    <x v="3"/>
  </r>
  <r>
    <s v="007"/>
    <s v="PR02"/>
    <s v="810ROU035"/>
    <s v="Roulement 6308-2RS"/>
    <s v="UN"/>
    <n v="8"/>
    <n v="41.399099999999997"/>
    <n v="331.19279999999998"/>
    <x v="3"/>
  </r>
  <r>
    <s v="007"/>
    <s v="PR02"/>
    <s v="810ROU037"/>
    <s v="Roulement 22206 EJW33"/>
    <s v="UN"/>
    <n v="6"/>
    <n v="94.973100000000002"/>
    <n v="569.83860000000004"/>
    <x v="3"/>
  </r>
  <r>
    <s v="007"/>
    <s v="PR02"/>
    <s v="810ROU040"/>
    <s v="Roulement 22212 CA W33"/>
    <s v="UN"/>
    <n v="2"/>
    <n v="145.80000000000001"/>
    <n v="291.60000000000002"/>
    <x v="3"/>
  </r>
  <r>
    <s v="007"/>
    <s v="PR02"/>
    <s v="810ROU043"/>
    <s v="Roulement 33112 /Q"/>
    <s v="UN"/>
    <n v="4"/>
    <n v="115.3467"/>
    <n v="461.38679999999999"/>
    <x v="3"/>
  </r>
  <r>
    <s v="007"/>
    <s v="PR02"/>
    <s v="810ROU045"/>
    <s v="Roulement 61804 2RS1"/>
    <s v="UN"/>
    <n v="13"/>
    <n v="23.712299999999999"/>
    <n v="308.25990000000002"/>
    <x v="3"/>
  </r>
  <r>
    <s v="007"/>
    <s v="PR02"/>
    <s v="810ROU050"/>
    <s v="Roulement 62200 2RS"/>
    <s v="UN"/>
    <n v="20"/>
    <n v="18.027000000000001"/>
    <n v="360.54"/>
    <x v="3"/>
  </r>
  <r>
    <s v="007"/>
    <s v="PR02"/>
    <s v="810ROU051"/>
    <s v="Roulement 305704 C-2Z"/>
    <s v="UN"/>
    <n v="6"/>
    <n v="115.12095652173913"/>
    <n v="690.72573913043482"/>
    <x v="3"/>
  </r>
  <r>
    <s v="007"/>
    <s v="PR02"/>
    <s v="810ROU055"/>
    <s v="Roulement CX51108"/>
    <s v="UN"/>
    <n v="5"/>
    <n v="28.763999999999999"/>
    <n v="143.82"/>
    <x v="3"/>
  </r>
  <r>
    <s v="007"/>
    <s v="PR02"/>
    <s v="810ROU059"/>
    <s v="Roulement R8 2Z"/>
    <s v="UN"/>
    <n v="4"/>
    <n v="10.7127"/>
    <n v="42.8508"/>
    <x v="3"/>
  </r>
  <r>
    <s v="007"/>
    <s v="PR02"/>
    <s v="810rou064"/>
    <s v="Roulement YAR 206"/>
    <s v="UN"/>
    <n v="10"/>
    <n v="48.572099999999999"/>
    <n v="485.721"/>
    <x v="3"/>
  </r>
  <r>
    <s v="007"/>
    <s v="PR02"/>
    <s v="810ROU065"/>
    <s v="Roulement YAR 207"/>
    <s v="UN"/>
    <n v="0"/>
    <n v="50.233499999999999"/>
    <n v="0"/>
    <x v="3"/>
  </r>
  <r>
    <s v="007"/>
    <s v="PR02"/>
    <s v="810ROU066"/>
    <s v="Roulement YAR 208"/>
    <s v="UN"/>
    <n v="2"/>
    <n v="87.66"/>
    <n v="175.32"/>
    <x v="3"/>
  </r>
  <r>
    <s v="007"/>
    <s v="PR02"/>
    <s v="810ROU067"/>
    <s v="Roulement YAR 209"/>
    <s v="UN"/>
    <n v="12"/>
    <n v="62.972099999999998"/>
    <n v="755.66519999999991"/>
    <x v="3"/>
  </r>
  <r>
    <s v="007"/>
    <s v="PR02"/>
    <s v="810ROU068"/>
    <s v="Roulement 6205-2RS"/>
    <s v="UN"/>
    <n v="6"/>
    <n v="11.691000000000001"/>
    <n v="70.146000000000001"/>
    <x v="3"/>
  </r>
  <r>
    <s v="007"/>
    <s v="PR02"/>
    <s v="810ROU071"/>
    <s v="Roulement 6306 ZZ"/>
    <s v="UN"/>
    <n v="11"/>
    <n v="18.153449999999999"/>
    <n v="199.68795"/>
    <x v="3"/>
  </r>
  <r>
    <s v="007"/>
    <s v="PR02"/>
    <s v="810rou074"/>
    <s v="Roulement 6206 2RS"/>
    <s v="UN"/>
    <n v="5"/>
    <n v="19.350000000000001"/>
    <n v="96.75"/>
    <x v="3"/>
  </r>
  <r>
    <s v="007"/>
    <s v="PR02"/>
    <s v="810ROU079"/>
    <s v="ROULEMENT 1209 EKTN9/C3"/>
    <s v="UN"/>
    <n v="10"/>
    <n v="65.412000000000006"/>
    <n v="654.12000000000012"/>
    <x v="3"/>
  </r>
  <r>
    <s v="007"/>
    <s v="PR02"/>
    <s v="810ROU080"/>
    <s v="ROULEMENT 6209-2Z"/>
    <s v="UN"/>
    <n v="6"/>
    <n v="27.622640000000001"/>
    <n v="165.73584"/>
    <x v="3"/>
  </r>
  <r>
    <s v="007"/>
    <s v="PR02"/>
    <s v="810ROU082"/>
    <s v="ROULEMENT 30211 J"/>
    <s v="UN"/>
    <n v="1"/>
    <n v="66.6126"/>
    <n v="66.6126"/>
    <x v="3"/>
  </r>
  <r>
    <s v="007"/>
    <s v="PR02"/>
    <s v="810ROU086"/>
    <s v="Roulement"/>
    <s v="UN"/>
    <n v="8"/>
    <n v="27.728000000000002"/>
    <n v="221.82400000000001"/>
    <x v="3"/>
  </r>
  <r>
    <s v="007"/>
    <s v="PR02"/>
    <s v="810ROU087"/>
    <s v="Roulement 6216-2RS1"/>
    <s v="UN"/>
    <n v="2"/>
    <n v="141.73997142857144"/>
    <n v="283.47994285714287"/>
    <x v="3"/>
  </r>
  <r>
    <s v="007"/>
    <s v="PR02"/>
    <s v="810rou088"/>
    <s v="Roulement"/>
    <s v="UN"/>
    <n v="4"/>
    <n v="89.622"/>
    <n v="358.488"/>
    <x v="3"/>
  </r>
  <r>
    <s v="007"/>
    <s v="PR02"/>
    <s v="810ROU090"/>
    <s v="Roulement"/>
    <s v="UN"/>
    <n v="4"/>
    <n v="57.6"/>
    <n v="230.4"/>
    <x v="3"/>
  </r>
  <r>
    <s v="007"/>
    <s v="PR02"/>
    <s v="810ROU097"/>
    <s v="Roulement 6003 2RS"/>
    <s v="UN"/>
    <n v="8"/>
    <n v="8.0970707070707064"/>
    <n v="64.776565656565651"/>
    <x v="3"/>
  </r>
  <r>
    <s v="007"/>
    <s v="PR02"/>
    <s v="810ROU106"/>
    <s v="ROULEMENT 61818"/>
    <s v="UN"/>
    <n v="3"/>
    <n v="194.59440000000004"/>
    <n v="583.78320000000008"/>
    <x v="3"/>
  </r>
  <r>
    <s v="007"/>
    <s v="PR02"/>
    <s v="810ROU107"/>
    <s v="Roulement 6313-C3"/>
    <s v="UN"/>
    <n v="2"/>
    <n v="115.65"/>
    <n v="231.3"/>
    <x v="3"/>
  </r>
  <r>
    <s v="007"/>
    <s v="PR02"/>
    <s v="810ROU108"/>
    <s v="Roulement NU313 ECJ POLYREX EM"/>
    <s v="UN"/>
    <n v="3"/>
    <n v="332.36160000000001"/>
    <n v="997.08480000000009"/>
    <x v="3"/>
  </r>
  <r>
    <s v="007"/>
    <s v="PR02"/>
    <s v="810ROU111"/>
    <s v="Roulement 30213 J2/Q"/>
    <s v="UN"/>
    <n v="4"/>
    <n v="59.015699999999995"/>
    <n v="236.06279999999998"/>
    <x v="3"/>
  </r>
  <r>
    <s v="007"/>
    <s v="PR02"/>
    <s v="810ROU112"/>
    <s v="Roulement YAR210"/>
    <s v="UN"/>
    <n v="4"/>
    <n v="68.31"/>
    <n v="273.24"/>
    <x v="3"/>
  </r>
  <r>
    <s v="007"/>
    <s v="PR02"/>
    <s v="810ROU114"/>
    <s v="Roulement 30307 J2-Q"/>
    <s v="UN"/>
    <n v="5"/>
    <n v="67.100399999999993"/>
    <n v="335.50199999999995"/>
    <x v="3"/>
  </r>
  <r>
    <s v="007"/>
    <s v="PR02"/>
    <s v="810ROU115"/>
    <s v="Roulement 32208 J2 Q"/>
    <s v="UN"/>
    <n v="2"/>
    <n v="52.306199999999997"/>
    <n v="104.61239999999999"/>
    <x v="3"/>
  </r>
  <r>
    <s v="007"/>
    <s v="PR02"/>
    <s v="810ROU116"/>
    <s v="Roulement 30308 J2"/>
    <s v="UN"/>
    <n v="3"/>
    <n v="73.981800000000007"/>
    <n v="221.94540000000001"/>
    <x v="3"/>
  </r>
  <r>
    <s v="007"/>
    <s v="PR02"/>
    <s v="810ROU118"/>
    <s v="Roulement YAR210 INOX"/>
    <s v="UN"/>
    <n v="2"/>
    <n v="448.64999999999992"/>
    <n v="897.29999999999984"/>
    <x v="3"/>
  </r>
  <r>
    <s v="007"/>
    <s v="PR02"/>
    <s v="810ROU119"/>
    <s v="Roulement a rouleaux 32010X/Q"/>
    <s v="UN"/>
    <n v="6"/>
    <n v="33.57"/>
    <n v="201.42000000000002"/>
    <x v="3"/>
  </r>
  <r>
    <s v="007"/>
    <s v="PR02"/>
    <s v="810ROU120"/>
    <s v="Roulement HK4020"/>
    <s v="UN"/>
    <n v="6"/>
    <n v="33.57"/>
    <n v="201.42000000000002"/>
    <x v="3"/>
  </r>
  <r>
    <s v="007"/>
    <s v="PR02"/>
    <s v="810ROU122"/>
    <s v="Roulement 6006-2Z"/>
    <s v="UN"/>
    <n v="2"/>
    <n v="33.57"/>
    <n v="67.14"/>
    <x v="3"/>
  </r>
  <r>
    <s v="007"/>
    <s v="PR02"/>
    <s v="810ROU124"/>
    <s v="Roulement 33214/Q"/>
    <s v="UN"/>
    <n v="0"/>
    <n v="0"/>
    <n v="0"/>
    <x v="3"/>
  </r>
  <r>
    <s v="007"/>
    <s v="PR02"/>
    <s v="810ROU125"/>
    <s v="Roulement 22217 EK"/>
    <s v="UN"/>
    <n v="1"/>
    <n v="33.57"/>
    <n v="33.57"/>
    <x v="3"/>
  </r>
  <r>
    <s v="007"/>
    <s v="PR02"/>
    <s v="810ROU126"/>
    <s v="Roulement 6211-2RS1"/>
    <s v="UN"/>
    <n v="3"/>
    <n v="33.57"/>
    <n v="100.71000000000001"/>
    <x v="3"/>
  </r>
  <r>
    <s v="007"/>
    <s v="PR02"/>
    <s v="810ROU127"/>
    <s v="Roulement 6013-2Z"/>
    <s v="UN"/>
    <n v="1"/>
    <n v="33.57"/>
    <n v="33.57"/>
    <x v="3"/>
  </r>
  <r>
    <s v="007"/>
    <s v="PR02"/>
    <s v="810ROU128"/>
    <s v="Monchon H209"/>
    <s v="UN"/>
    <n v="2"/>
    <n v="37.979999999999997"/>
    <n v="75.959999999999994"/>
    <x v="3"/>
  </r>
  <r>
    <s v="007"/>
    <s v="PR02"/>
    <s v="810ROU129"/>
    <s v="Roulement 6213-2Z"/>
    <s v="UN"/>
    <n v="3"/>
    <n v="33.57"/>
    <n v="100.71000000000001"/>
    <x v="3"/>
  </r>
  <r>
    <s v="007"/>
    <s v="PR02"/>
    <s v="810ROU133"/>
    <s v="Roulement 61902-ZZ"/>
    <s v="UN"/>
    <n v="10"/>
    <n v="20.476800000000001"/>
    <n v="204.768"/>
    <x v="3"/>
  </r>
  <r>
    <s v="007"/>
    <s v="PR02"/>
    <s v="810ROU134"/>
    <s v="Roulement Butée a billes 51104"/>
    <s v="UN"/>
    <n v="4"/>
    <n v="27"/>
    <n v="108"/>
    <x v="3"/>
  </r>
  <r>
    <s v="007"/>
    <s v="PR02"/>
    <s v="810ROU137"/>
    <s v="Roulement NU310 ECP SKF (3NU10 ECN)"/>
    <s v="UN"/>
    <n v="3"/>
    <n v="169.56"/>
    <n v="508.68"/>
    <x v="3"/>
  </r>
  <r>
    <s v="007"/>
    <s v="PR02"/>
    <s v="810rou138"/>
    <s v="Roulement 6304 2RS"/>
    <s v="UN"/>
    <n v="2"/>
    <n v="14.2668"/>
    <n v="28.5336"/>
    <x v="3"/>
  </r>
  <r>
    <s v="007"/>
    <s v="PR02"/>
    <s v="810rou139"/>
    <s v="Roulement 6007-2RS"/>
    <s v="UN"/>
    <n v="8"/>
    <n v="18.998248275862071"/>
    <n v="151.98598620689657"/>
    <x v="3"/>
  </r>
  <r>
    <s v="007"/>
    <s v="PR02"/>
    <s v="810rou142"/>
    <s v="Roulement A billes 6217-2rs1"/>
    <s v="UN"/>
    <n v="4"/>
    <n v="216.6885"/>
    <n v="866.75400000000002"/>
    <x v="3"/>
  </r>
  <r>
    <s v="007"/>
    <s v="PR02"/>
    <s v="810ROU143"/>
    <s v="Roulement 6404-2rs EMAPTTAGE+RIA"/>
    <s v="UN"/>
    <n v="6"/>
    <n v="30.443999999999999"/>
    <n v="182.66399999999999"/>
    <x v="3"/>
  </r>
  <r>
    <s v="007"/>
    <s v="PR02"/>
    <s v="810rou144"/>
    <s v="Roulement NA 6905"/>
    <s v="UN"/>
    <n v="6"/>
    <n v="107.28"/>
    <n v="643.68000000000006"/>
    <x v="3"/>
  </r>
  <r>
    <s v="007"/>
    <s v="PR02"/>
    <s v="810rou145"/>
    <s v="Roulement 61800-2RS1"/>
    <s v="UN"/>
    <n v="1"/>
    <n v="20.923200000000001"/>
    <n v="20.923200000000001"/>
    <x v="3"/>
  </r>
  <r>
    <s v="007"/>
    <s v="PR02"/>
    <s v="810ROU146"/>
    <s v="Roulement 30206"/>
    <s v="UN"/>
    <n v="3"/>
    <n v="21.696000000000002"/>
    <n v="65.088000000000008"/>
    <x v="3"/>
  </r>
  <r>
    <s v="007"/>
    <s v="PR02"/>
    <s v="810ROU147"/>
    <s v="Roulement 30210-J2/Q"/>
    <s v="UN"/>
    <n v="1"/>
    <n v="71.455200000000005"/>
    <n v="71.455200000000005"/>
    <x v="3"/>
  </r>
  <r>
    <s v="007"/>
    <s v="PR02"/>
    <s v="810ROU148"/>
    <s v="Butee a billes T126-904A1 Axe de fusee Chariot TC"/>
    <s v="UN"/>
    <n v="4"/>
    <n v="0.47770000000000001"/>
    <n v="1.9108000000000001"/>
    <x v="3"/>
  </r>
  <r>
    <s v="007"/>
    <s v="PR02"/>
    <s v="810ROU149"/>
    <s v="Roulement NA69/32 Emp Classique"/>
    <s v="UN"/>
    <n v="4"/>
    <n v="116.01"/>
    <n v="464.04"/>
    <x v="3"/>
  </r>
  <r>
    <s v="007"/>
    <s v="PR02"/>
    <s v="810ROU150"/>
    <s v="Roulement SCO228 LLU/3E EMP CLASSIQUE"/>
    <s v="UN"/>
    <n v="5"/>
    <n v="166.77"/>
    <n v="833.85"/>
    <x v="3"/>
  </r>
  <r>
    <s v="007"/>
    <s v="PR02"/>
    <s v="810ROU151"/>
    <s v="Roulement  RCB-121616.L068 EMP CLASSIQUE"/>
    <s v="UN"/>
    <n v="11"/>
    <n v="136.55520000000001"/>
    <n v="1502.1072000000001"/>
    <x v="3"/>
  </r>
  <r>
    <s v="007"/>
    <s v="PR02"/>
    <s v="810ROU152"/>
    <s v="Roue Libre CSK17-M-C5 "/>
    <s v="UN"/>
    <n v="4"/>
    <n v="115.9983"/>
    <n v="463.9932"/>
    <x v="3"/>
  </r>
  <r>
    <s v="007"/>
    <s v="PR02"/>
    <s v="810ROU155"/>
    <s v="Roulement RAE30-NPP-FA106"/>
    <s v="UN"/>
    <n v="4"/>
    <n v="53.849699999999999"/>
    <n v="215.39879999999999"/>
    <x v="3"/>
  </r>
  <r>
    <s v="007"/>
    <s v="PR02"/>
    <s v="810ROU156"/>
    <s v="Roulement 3306 A-2ZTN9/MT33"/>
    <s v="UN"/>
    <n v="1"/>
    <n v="192.5136"/>
    <n v="192.5136"/>
    <x v="3"/>
  </r>
  <r>
    <s v="007"/>
    <s v="PR02"/>
    <s v="810rou157"/>
    <s v="Roulement A AIGUILLES HKS 32*39*34"/>
    <s v="UN"/>
    <n v="7"/>
    <n v="37.896999999999998"/>
    <n v="265.279"/>
    <x v="3"/>
  </r>
  <r>
    <s v="007"/>
    <s v="PR02"/>
    <s v="810rou158"/>
    <s v="Butée de roulement 52208 vis de reglage epaisseur"/>
    <s v="UN"/>
    <n v="2"/>
    <n v="102.24"/>
    <n v="204.48"/>
    <x v="3"/>
  </r>
  <r>
    <s v="007"/>
    <s v="PR02"/>
    <s v="810ROU162"/>
    <s v="Roulement 6008-2RSH"/>
    <s v="UN"/>
    <n v="15"/>
    <n v="24.1128"/>
    <n v="361.69200000000001"/>
    <x v="3"/>
  </r>
  <r>
    <s v="007"/>
    <s v="PR02"/>
    <s v="810ROU170"/>
    <s v="Roulement 23134 CAW33 CHINOIS"/>
    <s v="UN"/>
    <n v="1"/>
    <n v="1642.617"/>
    <n v="1642.617"/>
    <x v="3"/>
  </r>
  <r>
    <s v="007"/>
    <s v="PR02"/>
    <s v="810ROU171"/>
    <s v="Roulement 32030 CHINOIS"/>
    <s v="UN"/>
    <n v="2"/>
    <n v="0"/>
    <n v="0"/>
    <x v="3"/>
  </r>
  <r>
    <s v="007"/>
    <s v="PR02"/>
    <s v="810ROU173"/>
    <s v="Butée de roulement 51205 CHINOIS"/>
    <s v="UN"/>
    <n v="2"/>
    <n v="0"/>
    <n v="0"/>
    <x v="3"/>
  </r>
  <r>
    <s v="007"/>
    <s v="PR02"/>
    <s v="810ROU174"/>
    <s v="Roulement NA 6902"/>
    <s v="UN"/>
    <n v="4"/>
    <n v="61.728299999999997"/>
    <n v="246.91319999999999"/>
    <x v="3"/>
  </r>
  <r>
    <s v="007"/>
    <s v="PR02"/>
    <s v="810ROU179"/>
    <s v="Roulement 2308 ETN9 EMP CHI"/>
    <s v="UN"/>
    <n v="6"/>
    <n v="186.74549999999999"/>
    <n v="1120.473"/>
    <x v="3"/>
  </r>
  <r>
    <s v="007"/>
    <s v="PR02"/>
    <s v="810ROU180"/>
    <s v="Roulement a aiguilles NA4906  emp indus"/>
    <s v="UN"/>
    <n v="2"/>
    <n v="59.4"/>
    <n v="118.8"/>
    <x v="3"/>
  </r>
  <r>
    <s v="007"/>
    <s v="PR02"/>
    <s v="810ROU181"/>
    <s v="Roulement a aiguilles NA4906-2RS emp inudus"/>
    <s v="UN"/>
    <n v="7"/>
    <n v="72.900000000000006"/>
    <n v="510.30000000000007"/>
    <x v="3"/>
  </r>
  <r>
    <s v="007"/>
    <s v="PR02"/>
    <s v="810ROU182"/>
    <s v="Roulement a aiguilles HK1516"/>
    <s v="UN"/>
    <n v="6"/>
    <n v="7.6292999999999989"/>
    <n v="45.77579999999999"/>
    <x v="3"/>
  </r>
  <r>
    <s v="007"/>
    <s v="PR02"/>
    <s v="810ROU183"/>
    <s v="Roulement conique 32011-X-Q-SKF CH.Maximal"/>
    <s v="UN"/>
    <n v="3"/>
    <n v="41.58"/>
    <n v="124.74"/>
    <x v="3"/>
  </r>
  <r>
    <s v="007"/>
    <s v="PR02"/>
    <s v="810ROU184"/>
    <s v="Roulement 6210-2RS1 EMP Industrielle"/>
    <s v="UN"/>
    <n v="4"/>
    <n v="43.556399999999996"/>
    <n v="174.22559999999999"/>
    <x v="3"/>
  </r>
  <r>
    <s v="007"/>
    <s v="PR02"/>
    <s v="810ROU188"/>
    <s v="Roulement 3206-A Moteur Station RIA"/>
    <s v="UN"/>
    <n v="1"/>
    <n v="89.5428"/>
    <n v="89.5428"/>
    <x v="3"/>
  </r>
  <r>
    <s v="007"/>
    <s v="PR02"/>
    <s v="810ROU189"/>
    <s v="Roulement 6309 RK-1 Fourche TCM30"/>
    <s v="UN"/>
    <n v="6"/>
    <n v="138.08099999999999"/>
    <n v="828.48599999999988"/>
    <x v="3"/>
  </r>
  <r>
    <s v="007"/>
    <s v="PR02"/>
    <s v="810ROU191"/>
    <s v="Roulement 6307-2Z Boite MEL FOND"/>
    <s v="UN"/>
    <n v="6"/>
    <n v="28.08"/>
    <n v="168.48"/>
    <x v="3"/>
  </r>
  <r>
    <s v="007"/>
    <s v="PR02"/>
    <s v="810ROU193"/>
    <s v="ROULEMENT A BILLES 7203 BEP der papier EMP"/>
    <s v="UN"/>
    <n v="6"/>
    <n v="38.700000000000003"/>
    <n v="232.20000000000002"/>
    <x v="3"/>
  </r>
  <r>
    <s v="007"/>
    <s v="PR02"/>
    <s v="810ROU195"/>
    <s v="Roulement 6207-2Z"/>
    <s v="UN"/>
    <n v="5"/>
    <n v="19.642499999999998"/>
    <n v="98.212499999999991"/>
    <x v="3"/>
  </r>
  <r>
    <s v="007"/>
    <s v="PR02"/>
    <s v="810rou196"/>
    <s v="Roulement 6303-2Z"/>
    <s v="UN"/>
    <n v="10"/>
    <n v="11.25"/>
    <n v="112.5"/>
    <x v="3"/>
  </r>
  <r>
    <s v="007"/>
    <s v="PR02"/>
    <s v="810ROU200"/>
    <s v="Roulement a billes 698-2z   Moule punshing"/>
    <s v="UN"/>
    <n v="23"/>
    <n v="21.6"/>
    <n v="496.8"/>
    <x v="3"/>
  </r>
  <r>
    <s v="007"/>
    <s v="PR02"/>
    <s v="810ROU206"/>
    <s v="Roulement conique LM48548/510/Q  AXE ROUE HYSTER"/>
    <s v="UN"/>
    <n v="1"/>
    <n v="23.105999999999998"/>
    <n v="23.105999999999998"/>
    <x v="3"/>
  </r>
  <r>
    <s v="007"/>
    <s v="PR02"/>
    <s v="810ROU207"/>
    <s v="Roulement conique HM89410/2/QCL  AXE ROUE HYSTER"/>
    <s v="UN"/>
    <n v="2"/>
    <n v="75.098699999999994"/>
    <n v="150.19739999999999"/>
    <x v="3"/>
  </r>
  <r>
    <s v="007"/>
    <s v="PR02"/>
    <s v="810ROU210"/>
    <s v="Roulement 6905-2Z"/>
    <s v="UN"/>
    <n v="2"/>
    <n v="37.705500000000001"/>
    <n v="75.411000000000001"/>
    <x v="3"/>
  </r>
  <r>
    <s v="007"/>
    <s v="PR02"/>
    <s v="810ROU212"/>
    <s v="ROULEMENT A ROULEAUX 30204 J2/Q"/>
    <s v="UN"/>
    <n v="2"/>
    <n v="24.623999999999999"/>
    <n v="49.247999999999998"/>
    <x v="3"/>
  </r>
  <r>
    <s v="007"/>
    <s v="PR02"/>
    <s v="810ROU214"/>
    <s v="ROULEMENT A BILLES 6011-2RS"/>
    <s v="UN"/>
    <n v="5"/>
    <n v="42.995699999999999"/>
    <n v="214.9785"/>
    <x v="3"/>
  </r>
  <r>
    <s v="007"/>
    <s v="PR02"/>
    <s v="810ROU216"/>
    <s v="Roulement a rouleaux 30216 BOITE STRIP"/>
    <s v="UN"/>
    <n v="1"/>
    <n v="0"/>
    <n v="0"/>
    <x v="3"/>
  </r>
  <r>
    <s v="007"/>
    <s v="PR02"/>
    <s v="810ROU220"/>
    <s v="Roulement a rouleaux 32209 J2/Q shangli"/>
    <s v="UN"/>
    <n v="2"/>
    <n v="67.177800000000005"/>
    <n v="134.35560000000001"/>
    <x v="3"/>
  </r>
  <r>
    <s v="007"/>
    <s v="PR02"/>
    <s v="810ROU221"/>
    <s v="Roulement conique 39590/39520 Roue HYSTER7"/>
    <s v="UN"/>
    <n v="2"/>
    <n v="113.4"/>
    <n v="226.8"/>
    <x v="3"/>
  </r>
  <r>
    <s v="007"/>
    <s v="PR02"/>
    <s v="810ROU222"/>
    <s v="Roulement conique M802048/011/QCL7C HYSTER"/>
    <s v="UN"/>
    <n v="3"/>
    <n v="104.9967"/>
    <n v="314.99009999999998"/>
    <x v="3"/>
  </r>
  <r>
    <s v="007"/>
    <s v="PR02"/>
    <s v="810ROU224"/>
    <s v="Roulement NJ 208-ECJ Melangeur fonderie"/>
    <s v="UN"/>
    <n v="6"/>
    <n v="177.3"/>
    <n v="1063.8000000000002"/>
    <x v="3"/>
  </r>
  <r>
    <s v="007"/>
    <s v="PR02"/>
    <s v="810ROU225"/>
    <s v="Roulement 6300-2RS Guidage moule LB/M PUNSH"/>
    <s v="UN"/>
    <n v="9"/>
    <n v="10.9062"/>
    <n v="98.155799999999999"/>
    <x v="3"/>
  </r>
  <r>
    <s v="007"/>
    <s v="PR02"/>
    <s v="810ROU226"/>
    <s v="Roulement 3210A-2Z TN9/MT33  Melangeur 3%"/>
    <s v="UN"/>
    <n v="2"/>
    <n v="239.04"/>
    <n v="478.08"/>
    <x v="3"/>
  </r>
  <r>
    <s v="007"/>
    <s v="PR02"/>
    <s v="810ROU230"/>
    <s v="Roulement conique 32207  Roue CLARK"/>
    <s v="UN"/>
    <n v="2"/>
    <n v="47.34"/>
    <n v="94.68"/>
    <x v="3"/>
  </r>
  <r>
    <s v="007"/>
    <s v="PR02"/>
    <s v="810ROU231"/>
    <s v="Roulement A billes 2208ETN9 decoup plaque"/>
    <s v="UN"/>
    <n v="1"/>
    <n v="131.12100000000001"/>
    <n v="131.12100000000001"/>
    <x v="3"/>
  </r>
  <r>
    <s v="007"/>
    <s v="PR02"/>
    <s v="810ROU232"/>
    <s v="Roulement A billes 6408 Boite Four N°2"/>
    <s v="UN"/>
    <n v="6"/>
    <n v="61.875"/>
    <n v="371.25"/>
    <x v="3"/>
  </r>
  <r>
    <s v="007"/>
    <s v="PR02"/>
    <s v="810ROU233"/>
    <s v="Roulement A rouleaux 32018X/Q Boite Empattage"/>
    <s v="UN"/>
    <n v="1"/>
    <n v="52.758000000000003"/>
    <n v="52.758000000000003"/>
    <x v="3"/>
  </r>
  <r>
    <s v="007"/>
    <s v="PR02"/>
    <s v="810ROU234"/>
    <s v="Roulement JM720249/210 Boite Empattage"/>
    <s v="UN"/>
    <n v="1"/>
    <n v="278.32679999999999"/>
    <n v="278.32679999999999"/>
    <x v="3"/>
  </r>
  <r>
    <s v="007"/>
    <s v="PR02"/>
    <s v="810ROU235"/>
    <s v="Roulement a aiguilles K30*35*27  Boite Empatta"/>
    <s v="UN"/>
    <n v="3"/>
    <n v="21.666599999999999"/>
    <n v="64.999799999999993"/>
    <x v="3"/>
  </r>
  <r>
    <s v="007"/>
    <s v="PR02"/>
    <s v="810rou246"/>
    <s v="Roulement a rouleaux 22316 E/C3 filtre fonder"/>
    <s v="UN"/>
    <n v="2"/>
    <n v="0"/>
    <n v="0"/>
    <x v="3"/>
  </r>
  <r>
    <s v="007"/>
    <s v="PR02"/>
    <s v="810ROX002"/>
    <s v="GALET DE CAMB  AVEC AXE KRB 35PPA"/>
    <s v="UN"/>
    <n v="2"/>
    <n v="99.830249999999992"/>
    <n v="199.66049999999998"/>
    <x v="3"/>
  </r>
  <r>
    <s v="007"/>
    <s v="PR02"/>
    <s v="810rox004"/>
    <s v="Toc elastique N38-45 Pompe d'eau M.Grille"/>
    <s v="UN"/>
    <n v="1"/>
    <n v="12.441599999999999"/>
    <n v="12.441599999999999"/>
    <x v="3"/>
  </r>
  <r>
    <s v="007"/>
    <s v="PR02"/>
    <s v="810ROX005"/>
    <s v="Toc elastique C65 Melangeur fonderie"/>
    <s v="UN"/>
    <n v="1"/>
    <n v="72.275999999999996"/>
    <n v="72.275999999999996"/>
    <x v="3"/>
  </r>
  <r>
    <s v="007"/>
    <s v="PR02"/>
    <s v="810ROX006"/>
    <s v="GALET DE ROULEMENT NATR 5PPA"/>
    <s v="UN"/>
    <n v="2"/>
    <n v="64.346999999999994"/>
    <n v="128.69399999999999"/>
    <x v="3"/>
  </r>
  <r>
    <s v="007"/>
    <s v="PR02"/>
    <s v="810ROX007"/>
    <s v="Toc Elastique N24 M.tubulaire"/>
    <s v="UN"/>
    <n v="1"/>
    <n v="17.91"/>
    <n v="17.91"/>
    <x v="3"/>
  </r>
  <r>
    <s v="007"/>
    <s v="PR02"/>
    <s v="810ROX008"/>
    <s v="Glissiere HGW 30CC chinois"/>
    <s v="UN"/>
    <n v="4"/>
    <n v="226.58849999999998"/>
    <n v="906.35399999999993"/>
    <x v="3"/>
  </r>
  <r>
    <s v="007"/>
    <s v="PR02"/>
    <s v="810ROX012"/>
    <s v="GALET DE ROULEMENT SUR AXE KR22PP Tremie emp"/>
    <s v="UN"/>
    <n v="4"/>
    <n v="73.260000000000005"/>
    <n v="293.04000000000002"/>
    <x v="3"/>
  </r>
  <r>
    <s v="007"/>
    <s v="PR02"/>
    <s v="810rox015"/>
    <s v="Toc d'accouplement C42 Vis oxyde"/>
    <s v="UN"/>
    <n v="7"/>
    <n v="22.859999999999996"/>
    <n v="160.01999999999998"/>
    <x v="3"/>
  </r>
  <r>
    <s v="007"/>
    <s v="PR02"/>
    <s v="810ROXO35"/>
    <s v="GALET KR 40 PPX"/>
    <s v="UN"/>
    <n v="2"/>
    <n v="64.346999999999994"/>
    <n v="128.69399999999999"/>
    <x v="3"/>
  </r>
  <r>
    <s v="007"/>
    <s v="PR02"/>
    <s v="810TAP001"/>
    <s v="TAPIS 3400*320 5mm chinois"/>
    <s v="UN"/>
    <n v="1"/>
    <n v="0"/>
    <n v="0"/>
    <x v="3"/>
  </r>
  <r>
    <s v="007"/>
    <s v="PR02"/>
    <s v="810TAP002"/>
    <s v="TAPIS 1390*355 5mm chinois"/>
    <s v="UN"/>
    <n v="2"/>
    <n v="0"/>
    <n v="0"/>
    <x v="3"/>
  </r>
  <r>
    <s v="007"/>
    <s v="PR02"/>
    <s v="810TAP003"/>
    <s v="TAPIS 2720*320 5mm chinois"/>
    <s v="UN"/>
    <n v="2"/>
    <n v="0"/>
    <n v="0"/>
    <x v="3"/>
  </r>
  <r>
    <s v="007"/>
    <s v="PR02"/>
    <s v="810TAP005"/>
    <s v="TAPIS PERFOREE 3640*90*5mm Sticker"/>
    <s v="UN"/>
    <n v="9"/>
    <n v="77.400000000000006"/>
    <n v="696.6"/>
    <x v="3"/>
  </r>
  <r>
    <s v="007"/>
    <s v="PR02"/>
    <s v="810TAP007"/>
    <s v="Tapis 3000/495/5mm (3030) Dechet neg/pos strip ch"/>
    <s v="UN"/>
    <n v="1"/>
    <n v="405.87799999999999"/>
    <n v="405.87799999999999"/>
    <x v="3"/>
  </r>
  <r>
    <s v="007"/>
    <s v="PR02"/>
    <s v="810TAP009"/>
    <s v="Tapis YRM403-100&quot;x14&quot; 2540/356  Empateuse Classiq"/>
    <s v="UN"/>
    <n v="4"/>
    <n v="621.45309599999996"/>
    <n v="2485.8123839999998"/>
    <x v="3"/>
  </r>
  <r>
    <s v="007"/>
    <s v="PR02"/>
    <s v="810TAP016"/>
    <s v="Tapis dechets 5370*320 JONC MEC AVEC TAS 400mm M."/>
    <s v="UN"/>
    <n v="1"/>
    <n v="414"/>
    <n v="414"/>
    <x v="3"/>
  </r>
  <r>
    <s v="007"/>
    <s v="PR02"/>
    <s v="810TAP118"/>
    <s v="TAPIS 3635X90 2.8mm PERFOREE  sticker chinois"/>
    <s v="UN"/>
    <n v="4"/>
    <n v="190.8"/>
    <n v="763.2"/>
    <x v="3"/>
  </r>
  <r>
    <s v="007"/>
    <s v="PR02"/>
    <s v="810tap120"/>
    <s v="Tapis caoutchouc 8880*490"/>
    <s v="UN"/>
    <n v="9"/>
    <n v="80.099999999999994"/>
    <n v="720.9"/>
    <x v="3"/>
  </r>
  <r>
    <s v="007"/>
    <s v="PR02"/>
    <s v="810TAP127"/>
    <s v="TAPIS HABASIT 75/4085 OXYDE"/>
    <s v="UN"/>
    <n v="2"/>
    <n v="124.58159999999999"/>
    <n v="249.16319999999999"/>
    <x v="3"/>
  </r>
  <r>
    <s v="007"/>
    <s v="PR02"/>
    <s v="810TAP128"/>
    <s v="TAPIS DECOUPEUR 665/310"/>
    <s v="UN"/>
    <n v="7"/>
    <n v="51.3"/>
    <n v="359.09999999999997"/>
    <x v="3"/>
  </r>
  <r>
    <s v="007"/>
    <s v="PR02"/>
    <s v="810TAP129"/>
    <s v="TAPIS 3560X80 PERFOREE (TYPE MAM)"/>
    <s v="UN"/>
    <n v="7"/>
    <n v="183.6"/>
    <n v="1285.2"/>
    <x v="3"/>
  </r>
  <r>
    <s v="007"/>
    <s v="PR02"/>
    <s v="810TAP130"/>
    <s v="TAPIS 2700X40 GUIDAGE STACKER"/>
    <s v="UN"/>
    <n v="8"/>
    <n v="42.772500000000001"/>
    <n v="342.18"/>
    <x v="3"/>
  </r>
  <r>
    <s v="007"/>
    <s v="PR02"/>
    <s v="810TAP140"/>
    <s v="Tapis decoupeur  665/335"/>
    <s v="M"/>
    <n v="4"/>
    <n v="81.088499999999996"/>
    <n v="324.35399999999998"/>
    <x v="3"/>
  </r>
  <r>
    <s v="007"/>
    <s v="PR02"/>
    <s v="810XPM011"/>
    <s v="ROBINET JARDIN 15/21"/>
    <s v="UN"/>
    <n v="1"/>
    <n v="20.484000000000002"/>
    <n v="20.484000000000002"/>
    <x v="3"/>
  </r>
  <r>
    <s v="007"/>
    <s v="PR02"/>
    <s v="810xpm027"/>
    <s v="Graisse Rouge 5KG belleville haute tempera"/>
    <s v="UN"/>
    <n v="1"/>
    <n v="515.70000000000005"/>
    <n v="515.70000000000005"/>
    <x v="3"/>
  </r>
  <r>
    <s v="007"/>
    <s v="PR02"/>
    <s v="810XPM032"/>
    <s v="Attache Rapide pour chaine 16B-1"/>
    <s v="UN"/>
    <n v="33"/>
    <n v="3.3993000000000002"/>
    <n v="112.1769"/>
    <x v="3"/>
  </r>
  <r>
    <s v="007"/>
    <s v="PR02"/>
    <s v="810xpm033"/>
    <s v="Attache Rapide 1/2 chaine 10B1"/>
    <s v="UN"/>
    <n v="28"/>
    <n v="2.6747999999999998"/>
    <n v="74.89439999999999"/>
    <x v="3"/>
  </r>
  <r>
    <s v="007"/>
    <s v="PR02"/>
    <s v="810XPM034"/>
    <s v="Attache Rapide 1/2 chaine 08B1"/>
    <s v="UN"/>
    <n v="48"/>
    <n v="1.1348999999999998"/>
    <n v="54.475199999999987"/>
    <x v="3"/>
  </r>
  <r>
    <s v="007"/>
    <s v="PR02"/>
    <s v="810XPM036"/>
    <s v="Maillon Coudée chaine 12B1"/>
    <s v="UN"/>
    <n v="22"/>
    <n v="3.5459999999999998"/>
    <n v="78.012"/>
    <x v="3"/>
  </r>
  <r>
    <s v="007"/>
    <s v="PR02"/>
    <s v="810XPM052"/>
    <s v="PRESSE ETOUPE PN30 Pompe emmergée bach a eau"/>
    <s v="UN"/>
    <n v="1"/>
    <n v="8.5248000000000008"/>
    <n v="8.5248000000000008"/>
    <x v="3"/>
  </r>
  <r>
    <s v="007"/>
    <s v="PR02"/>
    <s v="810XPM054"/>
    <s v="Attache Rapide pour Chaine 16-B2"/>
    <s v="UN"/>
    <n v="25"/>
    <n v="9.4841999999999995"/>
    <n v="237.10499999999999"/>
    <x v="3"/>
  </r>
  <r>
    <s v="007"/>
    <s v="PR02"/>
    <s v="810XPM055"/>
    <s v="Maillon Coudée chaine 16B2"/>
    <s v="UN"/>
    <n v="6"/>
    <n v="13.973400000000002"/>
    <n v="83.840400000000017"/>
    <x v="3"/>
  </r>
  <r>
    <s v="007"/>
    <s v="PR02"/>
    <s v="810XPM057"/>
    <s v="Maillon Coudée chaine 16B1"/>
    <s v="UN"/>
    <n v="15"/>
    <n v="5.1722380952380949"/>
    <n v="77.583571428571418"/>
    <x v="3"/>
  </r>
  <r>
    <s v="007"/>
    <s v="PR02"/>
    <s v="810XPM058"/>
    <s v="Attache Rapide 1/2 chaine 10B2"/>
    <s v="UN"/>
    <n v="3"/>
    <n v="1.89"/>
    <n v="5.67"/>
    <x v="3"/>
  </r>
  <r>
    <s v="007"/>
    <s v="PR02"/>
    <s v="810XPM059"/>
    <s v="Joint etancheite TRESSE 10mm"/>
    <s v="M"/>
    <n v="7"/>
    <n v="28.015999999999998"/>
    <n v="196.11199999999999"/>
    <x v="3"/>
  </r>
  <r>
    <s v="007"/>
    <s v="PR02"/>
    <s v="810XPM066"/>
    <s v="Attache rapide 1/2 pour chaine 12B2"/>
    <s v="UN"/>
    <n v="25"/>
    <n v="7.8668181818181813"/>
    <n v="196.67045454545453"/>
    <x v="3"/>
  </r>
  <r>
    <s v="007"/>
    <s v="PR02"/>
    <s v="810XPM073"/>
    <s v="Attache rapide pour chaine 10B2"/>
    <s v="UN"/>
    <n v="22"/>
    <n v="2.8565999999999998"/>
    <n v="62.845199999999998"/>
    <x v="3"/>
  </r>
  <r>
    <s v="007"/>
    <s v="PR02"/>
    <s v="810XPM076"/>
    <s v="Attache rapide pour chaine 06-B2"/>
    <s v="L"/>
    <n v="33"/>
    <n v="0.67500000000000004"/>
    <n v="22.275000000000002"/>
    <x v="3"/>
  </r>
  <r>
    <s v="007"/>
    <s v="PR02"/>
    <s v="810XPM081"/>
    <s v="Segment HADI"/>
    <s v="UN"/>
    <n v="101"/>
    <n v="27.597635400000001"/>
    <n v="2787.3611754000003"/>
    <x v="3"/>
  </r>
  <r>
    <s v="007"/>
    <s v="PR02"/>
    <s v="810XPM087"/>
    <s v="Coffret joint torique Bleu"/>
    <s v="UN"/>
    <n v="1"/>
    <n v="35.167949999999998"/>
    <n v="35.167949999999998"/>
    <x v="3"/>
  </r>
  <r>
    <s v="007"/>
    <s v="PR02"/>
    <s v="810XPM088"/>
    <s v="Coffret joint torique Jaune"/>
    <s v="UN"/>
    <n v="1"/>
    <n v="35.167949999999998"/>
    <n v="35.167949999999998"/>
    <x v="3"/>
  </r>
  <r>
    <s v="007"/>
    <s v="PR02"/>
    <s v="810XPM089"/>
    <s v="Coffret joint torique Rouge GM"/>
    <s v="UN"/>
    <n v="1"/>
    <n v="35.167949999999998"/>
    <n v="35.167949999999998"/>
    <x v="3"/>
  </r>
  <r>
    <s v="007"/>
    <s v="PR02"/>
    <s v="810XPM091"/>
    <s v="Joint etancheite TRESSE caree 12mm"/>
    <s v="M"/>
    <n v="2"/>
    <n v="48.454000000000001"/>
    <n v="96.908000000000001"/>
    <x v="3"/>
  </r>
  <r>
    <s v="007"/>
    <s v="PR02"/>
    <s v="810XPM092"/>
    <s v="Joint etancheite TRESSE caree 14mm"/>
    <s v="M"/>
    <n v="2"/>
    <n v="48.454000000000001"/>
    <n v="96.908000000000001"/>
    <x v="3"/>
  </r>
  <r>
    <s v="007"/>
    <s v="PR02"/>
    <s v="810XPM093"/>
    <s v="Joint etancheite TRESSE caree 16mm"/>
    <s v="M"/>
    <n v="2"/>
    <n v="58.637"/>
    <n v="117.274"/>
    <x v="3"/>
  </r>
  <r>
    <s v="007"/>
    <s v="PR02"/>
    <s v="810XPM155"/>
    <s v="Graisse Bleu 1KG belleville haute temp"/>
    <s v="UN"/>
    <n v="3"/>
    <n v="113.3991"/>
    <n v="340.19730000000004"/>
    <x v="3"/>
  </r>
  <r>
    <s v="007"/>
    <s v="PR02"/>
    <s v="810XPM207"/>
    <s v="Attache rapide pour chaine 06B1"/>
    <s v="UN"/>
    <n v="36"/>
    <n v="0.58096363636363624"/>
    <n v="20.914690909090904"/>
    <x v="3"/>
  </r>
  <r>
    <s v="007"/>
    <s v="PR02"/>
    <s v="810XPM208"/>
    <s v="Attache rapide pour chaine 08B1"/>
    <s v="UN"/>
    <n v="74"/>
    <n v="0.69479999999999997"/>
    <n v="51.415199999999999"/>
    <x v="3"/>
  </r>
  <r>
    <s v="007"/>
    <s v="PR02"/>
    <s v="810XPM209"/>
    <s v="Attache rapide pour chaine 10B1"/>
    <s v="UN"/>
    <n v="34"/>
    <n v="0.77400000000000002"/>
    <n v="26.316000000000003"/>
    <x v="3"/>
  </r>
  <r>
    <s v="007"/>
    <s v="PR02"/>
    <s v="810xpm210"/>
    <s v="Attache rapide pour chaine 12B1"/>
    <s v="UN"/>
    <n v="43"/>
    <n v="1.08"/>
    <n v="46.440000000000005"/>
    <x v="3"/>
  </r>
  <r>
    <s v="007"/>
    <s v="PR02"/>
    <s v="810XPM211"/>
    <s v="Attache rapide pour chaine 12B2"/>
    <s v="UN"/>
    <n v="48"/>
    <n v="1.9525128964059197"/>
    <n v="93.720619027484148"/>
    <x v="3"/>
  </r>
  <r>
    <s v="007"/>
    <s v="PR02"/>
    <s v="810XPM220"/>
    <s v="Silicone"/>
    <s v="UN"/>
    <n v="22"/>
    <n v="9.2929999999999993"/>
    <n v="204.44599999999997"/>
    <x v="3"/>
  </r>
  <r>
    <s v="007"/>
    <s v="PR02"/>
    <s v="810XPM223"/>
    <s v="Dégrippant"/>
    <s v="L"/>
    <n v="20"/>
    <n v="8.5922999999999998"/>
    <n v="171.846"/>
    <x v="3"/>
  </r>
  <r>
    <s v="007"/>
    <s v="PR02"/>
    <s v="810XPM224"/>
    <s v="GRAISSEUR droit M6"/>
    <s v="UN"/>
    <n v="20"/>
    <n v="0.48166715686274514"/>
    <n v="9.6333431372549025"/>
    <x v="3"/>
  </r>
  <r>
    <s v="007"/>
    <s v="PR02"/>
    <s v="810XPM225"/>
    <s v="GRAISSEUR droit M8"/>
    <s v="UN"/>
    <n v="26"/>
    <n v="0.41129999999999994"/>
    <n v="10.693799999999998"/>
    <x v="3"/>
  </r>
  <r>
    <s v="007"/>
    <s v="PR02"/>
    <s v="810XPM229"/>
    <s v="GRAISSEUR Coudee M10"/>
    <s v="UN"/>
    <n v="24"/>
    <n v="0.89190000000000003"/>
    <n v="21.4056"/>
    <x v="3"/>
  </r>
  <r>
    <s v="007"/>
    <s v="PR02"/>
    <s v="810xpm234"/>
    <s v="H311"/>
    <s v="UN"/>
    <n v="3"/>
    <n v="0"/>
    <n v="0"/>
    <x v="3"/>
  </r>
  <r>
    <s v="007"/>
    <s v="PR02"/>
    <s v="810XPM237"/>
    <s v="Attache rapide pour chaine 08B2"/>
    <s v="UN"/>
    <n v="21"/>
    <n v="1.3130999999999999"/>
    <n v="27.575099999999999"/>
    <x v="3"/>
  </r>
  <r>
    <s v="007"/>
    <s v="PR02"/>
    <s v="810XPM239"/>
    <s v="TRESSE BANDE 50 X 3FIBRE DE VERRE 2.7KG"/>
    <s v="KG"/>
    <n v="1"/>
    <n v="69.417000000000002"/>
    <n v="69.417000000000002"/>
    <x v="3"/>
  </r>
  <r>
    <s v="007"/>
    <s v="PR02"/>
    <s v="812BOU002"/>
    <s v="BOUCHON 1&quot; GALVA MALE"/>
    <s v="UN"/>
    <n v="6"/>
    <n v="0.88700000000000001"/>
    <n v="5.3220000000000001"/>
    <x v="3"/>
  </r>
  <r>
    <s v="007"/>
    <s v="PR02"/>
    <s v="812bou005"/>
    <s v="BOUCHON D20/27"/>
    <s v="UN"/>
    <n v="3"/>
    <n v="2.25"/>
    <n v="6.75"/>
    <x v="3"/>
  </r>
  <r>
    <s v="007"/>
    <s v="PR02"/>
    <s v="812BOU695"/>
    <s v="Bouchon PVC40"/>
    <s v="UN"/>
    <n v="10"/>
    <n v="1.21"/>
    <n v="12.1"/>
    <x v="3"/>
  </r>
  <r>
    <s v="007"/>
    <s v="PR02"/>
    <s v="812COD004"/>
    <s v="COUDE NOIR 90  26/34"/>
    <s v="UN"/>
    <n v="1"/>
    <n v="3.8149999999999999"/>
    <n v="3.8149999999999999"/>
    <x v="3"/>
  </r>
  <r>
    <s v="007"/>
    <s v="PR02"/>
    <s v="812COD005"/>
    <s v="COUDE GALVA 1+1/2&quot;"/>
    <s v="UN"/>
    <n v="7"/>
    <n v="5.4981"/>
    <n v="38.486699999999999"/>
    <x v="3"/>
  </r>
  <r>
    <s v="007"/>
    <s v="PR02"/>
    <s v="812cod006"/>
    <s v="COUDE PPR D32 90"/>
    <s v="UN"/>
    <n v="6"/>
    <n v="0.84"/>
    <n v="5.04"/>
    <x v="3"/>
  </r>
  <r>
    <s v="007"/>
    <s v="PR02"/>
    <s v="812COD007"/>
    <s v="COUDE GALVA  26/34"/>
    <s v="UN"/>
    <n v="5"/>
    <n v="3.3184"/>
    <n v="16.591999999999999"/>
    <x v="3"/>
  </r>
  <r>
    <s v="007"/>
    <s v="PR02"/>
    <s v="812COD009"/>
    <s v="COUDE PPR D25"/>
    <s v="UN"/>
    <n v="6"/>
    <n v="0.51"/>
    <n v="3.06"/>
    <x v="3"/>
  </r>
  <r>
    <s v="007"/>
    <s v="PR02"/>
    <s v="812COD013"/>
    <s v="COUDE PPR 90° D63"/>
    <s v="UN"/>
    <n v="3"/>
    <n v="7.3860000000000001"/>
    <n v="22.158000000000001"/>
    <x v="3"/>
  </r>
  <r>
    <s v="007"/>
    <s v="PR02"/>
    <s v="812COD015"/>
    <s v="COUDE PPR 90° D40"/>
    <s v="UN"/>
    <n v="10"/>
    <n v="1.9550000000000001"/>
    <n v="19.55"/>
    <x v="3"/>
  </r>
  <r>
    <s v="007"/>
    <s v="PR02"/>
    <s v="812COD016"/>
    <s v="COUDE PPR 45° D40"/>
    <s v="UN"/>
    <n v="11"/>
    <n v="3.2725"/>
    <n v="35.997500000000002"/>
    <x v="3"/>
  </r>
  <r>
    <s v="007"/>
    <s v="PR02"/>
    <s v="812COD017"/>
    <s v="COUDE PPR 90° D20"/>
    <s v="UN"/>
    <n v="1"/>
    <n v="1.04"/>
    <n v="1.04"/>
    <x v="3"/>
  </r>
  <r>
    <s v="007"/>
    <s v="PR02"/>
    <s v="812COD019"/>
    <s v="COUDE PPR 90° D75"/>
    <s v="UN"/>
    <n v="1"/>
    <n v="12.3386"/>
    <n v="12.3386"/>
    <x v="3"/>
  </r>
  <r>
    <s v="007"/>
    <s v="PR02"/>
    <s v="812COD020"/>
    <s v="COUDE GALVA 3&quot;"/>
    <s v="UN"/>
    <n v="3"/>
    <n v="14.28"/>
    <n v="42.839999999999996"/>
    <x v="3"/>
  </r>
  <r>
    <s v="007"/>
    <s v="PR02"/>
    <s v="812COD022"/>
    <s v="Coude PPR 90° D50"/>
    <s v="UN"/>
    <n v="5"/>
    <n v="3.5"/>
    <n v="17.5"/>
    <x v="3"/>
  </r>
  <r>
    <s v="007"/>
    <s v="PR02"/>
    <s v="812COD024"/>
    <s v="Coude NOIR 1&quot; 1/2"/>
    <s v="UN"/>
    <n v="4"/>
    <n v="13.855"/>
    <n v="55.42"/>
    <x v="3"/>
  </r>
  <r>
    <s v="007"/>
    <s v="PR02"/>
    <s v="812COD026"/>
    <s v="Coude PVC PR D110  90° (4&quot;)"/>
    <s v="UN"/>
    <n v="6"/>
    <n v="16.734000000000002"/>
    <n v="100.40400000000001"/>
    <x v="3"/>
  </r>
  <r>
    <s v="007"/>
    <s v="PR02"/>
    <s v="812COD027"/>
    <s v="Coude a sertir  D16 Multicouche"/>
    <s v="UN"/>
    <n v="6"/>
    <n v="6.64"/>
    <n v="39.839999999999996"/>
    <x v="3"/>
  </r>
  <r>
    <s v="007"/>
    <s v="PR02"/>
    <s v="812COD043"/>
    <s v="Coude HYD double S/M"/>
    <s v="UN"/>
    <n v="10"/>
    <n v="19.2"/>
    <n v="192"/>
    <x v="3"/>
  </r>
  <r>
    <s v="007"/>
    <s v="PR02"/>
    <s v="812cod052"/>
    <s v="Coude INOX Femelle D13 (1/4&quot;) Moule M.Grille"/>
    <s v="UN"/>
    <n v="7"/>
    <n v="7.56"/>
    <n v="52.919999999999995"/>
    <x v="3"/>
  </r>
  <r>
    <s v="007"/>
    <s v="PR02"/>
    <s v="812cod055"/>
    <s v="coude  PVC   D160 45°"/>
    <s v="UN"/>
    <n v="3"/>
    <n v="44.594999999999999"/>
    <n v="133.785"/>
    <x v="3"/>
  </r>
  <r>
    <s v="007"/>
    <s v="PR02"/>
    <s v="812COD062"/>
    <s v="Coude Bargataire D40/2&quot; Male"/>
    <s v="UN"/>
    <n v="2"/>
    <n v="6.1227"/>
    <n v="12.2454"/>
    <x v="3"/>
  </r>
  <r>
    <s v="007"/>
    <s v="PR02"/>
    <s v="812COD066"/>
    <s v="COUDE PVC PR D125 90°"/>
    <s v="UN"/>
    <n v="5"/>
    <n v="22.92"/>
    <n v="114.60000000000001"/>
    <x v="3"/>
  </r>
  <r>
    <s v="007"/>
    <s v="PR02"/>
    <s v="812COD067"/>
    <s v="COUDE PVC PR D125 45°"/>
    <s v="UN"/>
    <n v="4"/>
    <n v="20.780999999999999"/>
    <n v="83.123999999999995"/>
    <x v="3"/>
  </r>
  <r>
    <s v="007"/>
    <s v="PR02"/>
    <s v="812COD674"/>
    <s v="COUDE NOIR20/27"/>
    <s v="UN"/>
    <n v="5"/>
    <n v="5.9912121212121212"/>
    <n v="29.956060606060607"/>
    <x v="3"/>
  </r>
  <r>
    <s v="007"/>
    <s v="PR02"/>
    <s v="812COD676"/>
    <s v="COUDE PVC P25 90°"/>
    <s v="UN"/>
    <n v="10"/>
    <n v="1.048"/>
    <n v="10.48"/>
    <x v="3"/>
  </r>
  <r>
    <s v="007"/>
    <s v="PR02"/>
    <s v="812COD678"/>
    <s v="COUDE PVC P40"/>
    <s v="UN"/>
    <n v="10"/>
    <n v="2.6389999999999998"/>
    <n v="26.389999999999997"/>
    <x v="3"/>
  </r>
  <r>
    <s v="007"/>
    <s v="PR02"/>
    <s v="812cod682"/>
    <s v="COUDE PVC P D90 90°"/>
    <s v="UN"/>
    <n v="9"/>
    <n v="9.2750000000000004"/>
    <n v="83.475000000000009"/>
    <x v="3"/>
  </r>
  <r>
    <s v="007"/>
    <s v="PR02"/>
    <s v="812COD683"/>
    <s v="COUDE GALVA 1&quot;1/4"/>
    <s v="UN"/>
    <n v="11"/>
    <n v="16"/>
    <n v="176"/>
    <x v="3"/>
  </r>
  <r>
    <s v="007"/>
    <s v="PR02"/>
    <s v="812COD687"/>
    <s v="COUDE GALVA 15/21"/>
    <s v="UN"/>
    <n v="4"/>
    <n v="1.105"/>
    <n v="4.42"/>
    <x v="3"/>
  </r>
  <r>
    <s v="007"/>
    <s v="PR02"/>
    <s v="812COD688"/>
    <s v="Coude bargataire D25"/>
    <s v="UN"/>
    <n v="2"/>
    <n v="3.3797142857142854"/>
    <n v="6.7594285714285709"/>
    <x v="3"/>
  </r>
  <r>
    <s v="007"/>
    <s v="PR02"/>
    <s v="812COD689"/>
    <s v="Coude bargataire D32"/>
    <s v="UN"/>
    <n v="3"/>
    <n v="4.7805080000000002"/>
    <n v="14.341524"/>
    <x v="3"/>
  </r>
  <r>
    <s v="007"/>
    <s v="PR02"/>
    <s v="812cod699"/>
    <s v="COUDE PVC P63 45°"/>
    <s v="UN"/>
    <n v="8"/>
    <n v="6.5119999999999996"/>
    <n v="52.095999999999997"/>
    <x v="3"/>
  </r>
  <r>
    <s v="007"/>
    <s v="PR02"/>
    <s v="812COD700"/>
    <s v="COUDE GALVA 20*27"/>
    <s v="UN"/>
    <n v="14"/>
    <n v="2.31"/>
    <n v="32.340000000000003"/>
    <x v="3"/>
  </r>
  <r>
    <s v="007"/>
    <s v="PR02"/>
    <s v="812COD702"/>
    <s v="COUDE PVC PR 32 45°"/>
    <s v="UN"/>
    <n v="6"/>
    <n v="4.6580000000000004"/>
    <n v="27.948"/>
    <x v="3"/>
  </r>
  <r>
    <s v="007"/>
    <s v="PR02"/>
    <s v="812COD705"/>
    <s v="Coude Noir D2&quot; 1/2"/>
    <s v="UN"/>
    <n v="9"/>
    <n v="9.9815500000000004"/>
    <n v="89.833950000000002"/>
    <x v="3"/>
  </r>
  <r>
    <s v="007"/>
    <s v="PR02"/>
    <s v="812COD807"/>
    <s v="Coude PVC PR 90° D32"/>
    <s v="UN"/>
    <n v="10"/>
    <n v="1.464"/>
    <n v="14.64"/>
    <x v="3"/>
  </r>
  <r>
    <s v="007"/>
    <s v="PR02"/>
    <s v="812COD808"/>
    <s v="Coude PVC 45° D32"/>
    <s v="UN"/>
    <n v="10"/>
    <n v="1.171"/>
    <n v="11.71"/>
    <x v="3"/>
  </r>
  <r>
    <s v="007"/>
    <s v="PR02"/>
    <s v="812COD810"/>
    <s v="Coude PVC D140 45°"/>
    <s v="UN"/>
    <n v="2"/>
    <n v="5.0022000000000002"/>
    <n v="10.0044"/>
    <x v="3"/>
  </r>
  <r>
    <s v="007"/>
    <s v="PR02"/>
    <s v="812COL002"/>
    <s v="COLLIER 10 a 18 GALVA"/>
    <s v="UN"/>
    <n v="14"/>
    <n v="0.18990909090909092"/>
    <n v="2.6587272727272726"/>
    <x v="3"/>
  </r>
  <r>
    <s v="007"/>
    <s v="PR02"/>
    <s v="812COL005"/>
    <s v="COLLIER ATLAS D20"/>
    <s v="UN"/>
    <n v="41"/>
    <n v="0.53843333333333332"/>
    <n v="22.075766666666667"/>
    <x v="3"/>
  </r>
  <r>
    <s v="007"/>
    <s v="PR02"/>
    <s v="812COL007"/>
    <s v="COLLIER DE SERRAGE 15"/>
    <s v="UN"/>
    <n v="43"/>
    <n v="1.0880000000000001"/>
    <n v="46.784000000000006"/>
    <x v="3"/>
  </r>
  <r>
    <s v="007"/>
    <s v="PR02"/>
    <s v="812COL008"/>
    <s v="COLLIER DE SERRAGE 16-23"/>
    <s v="UN"/>
    <n v="40"/>
    <n v="0.28736"/>
    <n v="11.494400000000001"/>
    <x v="3"/>
  </r>
  <r>
    <s v="007"/>
    <s v="PR02"/>
    <s v="812COL010"/>
    <s v="COLLIER D63 GALVA"/>
    <s v="UN"/>
    <n v="27"/>
    <n v="0.61241999999999996"/>
    <n v="16.535339999999998"/>
    <x v="3"/>
  </r>
  <r>
    <s v="007"/>
    <s v="PR02"/>
    <s v="812col019"/>
    <s v="COLLIER D28  28-48"/>
    <s v="UN"/>
    <n v="4"/>
    <n v="0.73307"/>
    <n v="2.93228"/>
    <x v="3"/>
  </r>
  <r>
    <s v="007"/>
    <s v="PR02"/>
    <s v="812COL025"/>
    <s v="CIRCLIPS D52 EXT"/>
    <s v="UN"/>
    <n v="9"/>
    <n v="1.6160000000000001"/>
    <n v="14.544"/>
    <x v="3"/>
  </r>
  <r>
    <s v="007"/>
    <s v="PR02"/>
    <s v="812COL036"/>
    <s v="Collier de fixation GALVA D40"/>
    <s v="UN"/>
    <n v="22"/>
    <n v="0.65705000000000002"/>
    <n v="14.4551"/>
    <x v="3"/>
  </r>
  <r>
    <s v="007"/>
    <s v="PR02"/>
    <s v="812COL039"/>
    <s v="Circlips exterieur 12"/>
    <s v="UN"/>
    <n v="50"/>
    <n v="0.38250000000000001"/>
    <n v="19.125"/>
    <x v="3"/>
  </r>
  <r>
    <s v="007"/>
    <s v="PR02"/>
    <s v="812COL041"/>
    <s v="Collier multicouche D16"/>
    <s v="UN"/>
    <n v="38"/>
    <n v="3.6720000000000002"/>
    <n v="139.536"/>
    <x v="3"/>
  </r>
  <r>
    <s v="007"/>
    <s v="PR02"/>
    <s v="812COL050"/>
    <s v="COLLIER A VIS GALVA 32-40"/>
    <s v="UN"/>
    <n v="18"/>
    <n v="0.98299999999999998"/>
    <n v="17.693999999999999"/>
    <x v="3"/>
  </r>
  <r>
    <s v="007"/>
    <s v="PR02"/>
    <s v="812COL056"/>
    <s v="COLLIER ATLAS D32"/>
    <s v="UN"/>
    <n v="17"/>
    <n v="1.4450000000000001"/>
    <n v="24.565000000000001"/>
    <x v="3"/>
  </r>
  <r>
    <s v="007"/>
    <s v="PR02"/>
    <s v="812COL057"/>
    <s v="COLLIER DE FIXATION D50 Complet"/>
    <s v="UN"/>
    <n v="18"/>
    <n v="1.5419375000000002"/>
    <n v="27.754875000000002"/>
    <x v="3"/>
  </r>
  <r>
    <s v="007"/>
    <s v="PR02"/>
    <s v="812col059"/>
    <s v="COLLIER D28-48 INOX"/>
    <s v="UN"/>
    <n v="19"/>
    <n v="5.7290000000000001"/>
    <n v="108.851"/>
    <x v="3"/>
  </r>
  <r>
    <s v="007"/>
    <s v="PR02"/>
    <s v="812COL065"/>
    <s v="COLLIER DE PRISE 90/63"/>
    <s v="UN"/>
    <n v="1"/>
    <n v="7.9390000000000001"/>
    <n v="7.9390000000000001"/>
    <x v="3"/>
  </r>
  <r>
    <s v="007"/>
    <s v="PR02"/>
    <s v="812COL069"/>
    <s v="COLLIER DE FIXATION D63Complet"/>
    <s v="UN"/>
    <n v="27"/>
    <n v="1.7324999999999997"/>
    <n v="46.777499999999989"/>
    <x v="3"/>
  </r>
  <r>
    <s v="007"/>
    <s v="PR02"/>
    <s v="812COL073"/>
    <s v="COLLIER de serrage D178 manche filt linklater"/>
    <s v="UN"/>
    <n v="8"/>
    <n v="7.0730000000000004"/>
    <n v="56.584000000000003"/>
    <x v="3"/>
  </r>
  <r>
    <s v="007"/>
    <s v="PR02"/>
    <s v="812COL080"/>
    <s v="COLLIER CLAMP D25-38 INOX    STRIP"/>
    <s v="UN"/>
    <n v="10"/>
    <n v="19.4922"/>
    <n v="194.922"/>
    <x v="3"/>
  </r>
  <r>
    <s v="007"/>
    <s v="PR02"/>
    <s v="812COL081"/>
    <s v="COLLIER ATLAS D25"/>
    <s v="UN"/>
    <n v="28"/>
    <n v="0"/>
    <n v="0"/>
    <x v="3"/>
  </r>
  <r>
    <s v="007"/>
    <s v="PR02"/>
    <s v="812COL658"/>
    <s v="Collier INOX 25-40"/>
    <s v="UN"/>
    <n v="19"/>
    <n v="6.2471578947368425"/>
    <n v="118.69600000000001"/>
    <x v="3"/>
  </r>
  <r>
    <s v="007"/>
    <s v="PR02"/>
    <s v="812COL662"/>
    <s v="Collier de serrage 50-70"/>
    <s v="UN"/>
    <n v="35"/>
    <n v="1.8508579999999999"/>
    <n v="64.780029999999996"/>
    <x v="3"/>
  </r>
  <r>
    <s v="007"/>
    <s v="PR02"/>
    <s v="812DIS008"/>
    <s v="DISTRIBUTEUR 4V 230 E08B 24VDC"/>
    <s v="UN"/>
    <n v="1"/>
    <n v="104.76"/>
    <n v="104.76"/>
    <x v="3"/>
  </r>
  <r>
    <s v="007"/>
    <s v="PR02"/>
    <s v="812DIS011"/>
    <s v="DISTRIBUTEUR CAMOZZI 951-000-P11-23"/>
    <s v="UN"/>
    <n v="4"/>
    <n v="198"/>
    <n v="792"/>
    <x v="3"/>
  </r>
  <r>
    <s v="007"/>
    <s v="PR02"/>
    <s v="812DIS012"/>
    <s v="DISTRIBUTEUR CAMOZZI 951-000-P16-23"/>
    <s v="UN"/>
    <n v="1"/>
    <n v="198"/>
    <n v="198"/>
    <x v="3"/>
  </r>
  <r>
    <s v="007"/>
    <s v="PR02"/>
    <s v="812DIS013"/>
    <s v="DISTRIBUTEUR CAMOZZI 623-15E 45Q 5BAR"/>
    <s v="UN"/>
    <n v="5"/>
    <n v="198"/>
    <n v="990"/>
    <x v="3"/>
  </r>
  <r>
    <s v="007"/>
    <s v="PR02"/>
    <s v="812DIS014"/>
    <s v="DISTRIBUTEUR CAMOZZI M004-R00 16BAR"/>
    <s v="UN"/>
    <n v="1"/>
    <n v="198"/>
    <n v="198"/>
    <x v="3"/>
  </r>
  <r>
    <s v="007"/>
    <s v="PR02"/>
    <s v="812DIS015"/>
    <s v="DISTRIBUTEUR MN1H-5/2-D-1-C"/>
    <s v="UN"/>
    <n v="3"/>
    <n v="268.88400000000001"/>
    <n v="806.65200000000004"/>
    <x v="3"/>
  </r>
  <r>
    <s v="007"/>
    <s v="PR02"/>
    <s v="812DIS016"/>
    <s v="DISTRIBUTEUR CAMOZZI 952-000-P15"/>
    <s v="UN"/>
    <n v="1"/>
    <n v="198"/>
    <n v="198"/>
    <x v="3"/>
  </r>
  <r>
    <s v="007"/>
    <s v="PR02"/>
    <s v="812DIS019"/>
    <s v="DISTRIBUTEUR 4V210-08 0,15M*08"/>
    <s v="UN"/>
    <n v="1"/>
    <n v="104.76"/>
    <n v="104.76"/>
    <x v="3"/>
  </r>
  <r>
    <s v="007"/>
    <s v="PR02"/>
    <s v="812DIS021"/>
    <s v="DISTRIBUTEUR VUVS L25-M52-MD-G14  Oxyde"/>
    <s v="UN"/>
    <n v="3"/>
    <n v="206.1"/>
    <n v="618.29999999999995"/>
    <x v="3"/>
  </r>
  <r>
    <s v="007"/>
    <s v="PR02"/>
    <s v="812dis024"/>
    <s v="Clapet anti ret de distr YUKEN Mpa-01-2-40"/>
    <s v="UN"/>
    <n v="1"/>
    <n v="0"/>
    <n v="0"/>
    <x v="3"/>
  </r>
  <r>
    <s v="007"/>
    <s v="PR02"/>
    <s v="812EMB005"/>
    <s v="Embou PVC PR MALE 50*40*1&quot;1/2"/>
    <s v="UN"/>
    <n v="7"/>
    <n v="6.3577166666666658"/>
    <n v="44.504016666666658"/>
    <x v="3"/>
  </r>
  <r>
    <s v="007"/>
    <s v="PR02"/>
    <s v="812EMB745"/>
    <s v="Embou PVC PR 50*40*1&quot;1/4 MALE"/>
    <s v="UN"/>
    <n v="10"/>
    <n v="2.6760000000000002"/>
    <n v="26.76"/>
    <x v="3"/>
  </r>
  <r>
    <s v="007"/>
    <s v="PR02"/>
    <s v="812EMB746"/>
    <s v="Embou PVC PR 40*32*1&quot; Male"/>
    <s v="UN"/>
    <n v="16"/>
    <n v="1.4670000000000001"/>
    <n v="23.472000000000001"/>
    <x v="3"/>
  </r>
  <r>
    <s v="007"/>
    <s v="PR02"/>
    <s v="812EMB805"/>
    <s v="Embou PVC PR 25*32*3/4 MALE"/>
    <s v="UN"/>
    <n v="10"/>
    <n v="0.95299999999999996"/>
    <n v="9.5299999999999994"/>
    <x v="3"/>
  </r>
  <r>
    <s v="007"/>
    <s v="PR02"/>
    <s v="812FIL002"/>
    <s v="GROUPE FRL+manometre Metalwork"/>
    <s v="UN"/>
    <n v="14"/>
    <n v="125.1"/>
    <n v="1751.3999999999999"/>
    <x v="3"/>
  </r>
  <r>
    <s v="007"/>
    <s v="PR02"/>
    <s v="812FIL033"/>
    <s v="FILTRE A CARTOUCHE DN20   CHAUDIERE"/>
    <s v="UN"/>
    <n v="1"/>
    <n v="489.53530000000001"/>
    <n v="489.53530000000001"/>
    <x v="3"/>
  </r>
  <r>
    <s v="007"/>
    <s v="PR02"/>
    <s v="812FLE004"/>
    <s v="Flexible 15M  15F"/>
    <s v="UN"/>
    <n v="4"/>
    <n v="6.1845499999999989"/>
    <n v="24.738199999999996"/>
    <x v="3"/>
  </r>
  <r>
    <s v="007"/>
    <s v="PR02"/>
    <s v="812FLE031"/>
    <s v="Flexible Air chaud Chinois"/>
    <s v="UN"/>
    <n v="5"/>
    <n v="3.4497"/>
    <n v="17.2485"/>
    <x v="3"/>
  </r>
  <r>
    <s v="007"/>
    <s v="PR02"/>
    <s v="812FLE033"/>
    <s v="Flexible 7W15A EN 853 2SN CHARIOT 7T"/>
    <s v="UN"/>
    <n v="1"/>
    <n v="39.974400000000003"/>
    <n v="39.974400000000003"/>
    <x v="3"/>
  </r>
  <r>
    <s v="007"/>
    <s v="PR02"/>
    <s v="812FLE035"/>
    <s v="Tuyau d'air comprimé DN16 M.G.Wertz"/>
    <s v="UN"/>
    <n v="6"/>
    <n v="5.94"/>
    <n v="35.64"/>
    <x v="3"/>
  </r>
  <r>
    <s v="007"/>
    <s v="PR02"/>
    <s v="812FLE036"/>
    <s v="Tuyau d'air comprimé DN06  M.G.Wertz"/>
    <s v="UN"/>
    <n v="10"/>
    <n v="2.5451999999999999"/>
    <n v="25.451999999999998"/>
    <x v="3"/>
  </r>
  <r>
    <s v="007"/>
    <s v="PR02"/>
    <s v="812FLE037"/>
    <s v="Flexible LG 2820 DN10 THP HYSTER 7T"/>
    <s v="UN"/>
    <n v="4"/>
    <n v="54.843000000000004"/>
    <n v="219.37200000000001"/>
    <x v="3"/>
  </r>
  <r>
    <s v="007"/>
    <s v="PR02"/>
    <s v="812FLE038"/>
    <s v="Flexible R2 DN10 Catterpillar"/>
    <s v="UN"/>
    <n v="1"/>
    <n v="37.799999999999997"/>
    <n v="37.799999999999997"/>
    <x v="3"/>
  </r>
  <r>
    <s v="007"/>
    <s v="PR02"/>
    <s v="812FLE039"/>
    <s v="Flexible d'huile 3/8&quot; 330bar    punshing"/>
    <s v="UN"/>
    <n v="1"/>
    <n v="43.271999999999998"/>
    <n v="43.271999999999998"/>
    <x v="3"/>
  </r>
  <r>
    <s v="007"/>
    <s v="PR02"/>
    <s v="812FLE040"/>
    <s v="Flexible Cristal transparent D19"/>
    <s v="M"/>
    <n v="28"/>
    <n v="3.056"/>
    <n v="85.567999999999998"/>
    <x v="3"/>
  </r>
  <r>
    <s v="007"/>
    <s v="PR02"/>
    <s v="812FLE041"/>
    <s v="Flexible F15/F15 300mm (1/2&quot;) M.G.Wertz"/>
    <s v="UN"/>
    <n v="3"/>
    <n v="5.1765000000000008"/>
    <n v="15.529500000000002"/>
    <x v="3"/>
  </r>
  <r>
    <s v="007"/>
    <s v="PR02"/>
    <s v="812FLE046"/>
    <s v="Flexible Raccordement Femelle D15"/>
    <s v="UN"/>
    <n v="1"/>
    <n v="3.4722499999999998"/>
    <n v="3.4722499999999998"/>
    <x v="3"/>
  </r>
  <r>
    <s v="007"/>
    <s v="PR02"/>
    <s v="812FLE050"/>
    <s v="Flexible 1/4&quot; WP400bar 5800PSI 2Q/17 HYSTER 5T"/>
    <s v="UN"/>
    <n v="2"/>
    <n v="28.116"/>
    <n v="56.231999999999999"/>
    <x v="3"/>
  </r>
  <r>
    <s v="007"/>
    <s v="PR02"/>
    <s v="812FLE052"/>
    <s v="Tuyau d'air comprimé DN13"/>
    <s v="UN"/>
    <n v="20"/>
    <n v="4.32"/>
    <n v="86.4"/>
    <x v="3"/>
  </r>
  <r>
    <s v="007"/>
    <s v="PR02"/>
    <s v="812FLE053"/>
    <s v="Flexible DN06 L800mm Hyster 5.5T"/>
    <s v="UN"/>
    <n v="1"/>
    <n v="50.58"/>
    <n v="50.58"/>
    <x v="3"/>
  </r>
  <r>
    <s v="007"/>
    <s v="PR02"/>
    <s v="812FLE054"/>
    <s v="Flexible DN06 L430mm Hyster 5.5T"/>
    <s v="UN"/>
    <n v="2"/>
    <n v="40.701599999999999"/>
    <n v="81.403199999999998"/>
    <x v="3"/>
  </r>
  <r>
    <s v="007"/>
    <s v="PR02"/>
    <s v="812FLE055"/>
    <s v="Flexible DN10 L800mm Hyster 5.5T"/>
    <s v="UN"/>
    <n v="1"/>
    <n v="35.085599999999999"/>
    <n v="35.085599999999999"/>
    <x v="3"/>
  </r>
  <r>
    <s v="007"/>
    <s v="PR02"/>
    <s v="812FLE056"/>
    <s v="Flexible DN10 L1500mm Hyster 5.5T"/>
    <s v="UN"/>
    <n v="1"/>
    <n v="42.160499999999999"/>
    <n v="42.160499999999999"/>
    <x v="3"/>
  </r>
  <r>
    <s v="007"/>
    <s v="PR02"/>
    <s v="812FLE061"/>
    <s v="Flexible F12/F12 L200mm D/C Moule M.grille"/>
    <s v="UN"/>
    <n v="5"/>
    <n v="20.7"/>
    <n v="103.5"/>
    <x v="3"/>
  </r>
  <r>
    <s v="007"/>
    <s v="PR02"/>
    <s v="812FLE062"/>
    <s v="Flexible F12/F12 L300mm Moule M.grille"/>
    <s v="UN"/>
    <n v="5"/>
    <n v="25.2"/>
    <n v="126"/>
    <x v="3"/>
  </r>
  <r>
    <s v="007"/>
    <s v="PR02"/>
    <s v="812FLE064"/>
    <s v="Flexible Gaz D3/4&quot; inox L1000+mamelon Brul EMP C"/>
    <s v="UN"/>
    <n v="1"/>
    <n v="120.6"/>
    <n v="120.6"/>
    <x v="3"/>
  </r>
  <r>
    <s v="007"/>
    <s v="PR02"/>
    <s v="812FLE071"/>
    <s v="FLEXIBLE INOX DN13 LG 4MT+Raccords INOX"/>
    <s v="UN"/>
    <n v="11"/>
    <n v="199.80000000000004"/>
    <n v="2197.8000000000006"/>
    <x v="3"/>
  </r>
  <r>
    <s v="007"/>
    <s v="PR02"/>
    <s v="812FLE072"/>
    <s v="Flexible DN10 LG530 THP+Raccords"/>
    <s v="UN"/>
    <n v="2"/>
    <n v="37.646999999999998"/>
    <n v="75.293999999999997"/>
    <x v="3"/>
  </r>
  <r>
    <s v="007"/>
    <s v="PR02"/>
    <s v="812FLE073"/>
    <s v="Flexible DN10 LG500 THP+Raccords"/>
    <s v="UN"/>
    <n v="2"/>
    <n v="33.75"/>
    <n v="67.5"/>
    <x v="3"/>
  </r>
  <r>
    <s v="007"/>
    <s v="PR02"/>
    <s v="812FLE075"/>
    <s v="Flexible DN10 LG2200 THP D/C"/>
    <s v="UN"/>
    <n v="4"/>
    <n v="102.06432"/>
    <n v="408.25727999999998"/>
    <x v="3"/>
  </r>
  <r>
    <s v="007"/>
    <s v="PR02"/>
    <s v="812FLE076"/>
    <s v="Flexible DN06 LG360 THP"/>
    <s v="UN"/>
    <n v="2"/>
    <n v="28.116"/>
    <n v="56.231999999999999"/>
    <x v="3"/>
  </r>
  <r>
    <s v="007"/>
    <s v="PR02"/>
    <s v="812FLE079"/>
    <s v="Flexible DN13 LG4700 THP   +02 RACCORDS"/>
    <s v="UN"/>
    <n v="2"/>
    <n v="83.16"/>
    <n v="166.32"/>
    <x v="3"/>
  </r>
  <r>
    <s v="007"/>
    <s v="PR02"/>
    <s v="812FLE080"/>
    <s v="Flexible LG500 INOX M.G.Wirtz"/>
    <s v="UN"/>
    <n v="2"/>
    <n v="24.803999999999998"/>
    <n v="49.607999999999997"/>
    <x v="3"/>
  </r>
  <r>
    <s v="007"/>
    <s v="PR02"/>
    <s v="812FLE081"/>
    <s v="Flexible LG800 INOX M.G.Wirtz"/>
    <s v="UN"/>
    <n v="2"/>
    <n v="33.542099999999998"/>
    <n v="67.084199999999996"/>
    <x v="3"/>
  </r>
  <r>
    <s v="007"/>
    <s v="PR02"/>
    <s v="812FLE083"/>
    <s v="Flexible INOX DN19 LG460 M.G.Wirtz"/>
    <s v="UN"/>
    <n v="1"/>
    <n v="58.968000000000004"/>
    <n v="58.968000000000004"/>
    <x v="3"/>
  </r>
  <r>
    <s v="007"/>
    <s v="PR02"/>
    <s v="812FLE084"/>
    <s v="Flexible INOX DN38 LG1500+RACC Strip Chinoi"/>
    <s v="UN"/>
    <n v="3"/>
    <n v="227.97375"/>
    <n v="683.92124999999999"/>
    <x v="3"/>
  </r>
  <r>
    <s v="007"/>
    <s v="PR02"/>
    <s v="812FLE086"/>
    <s v="Flexible HYD LG2600 HYSTER 5.5T"/>
    <s v="UN"/>
    <n v="2"/>
    <n v="77.004000000000005"/>
    <n v="154.00800000000001"/>
    <x v="3"/>
  </r>
  <r>
    <s v="007"/>
    <s v="PR02"/>
    <s v="812FLE087"/>
    <s v="Flexible 4SH LG650 HYD Hyster 5.5T"/>
    <s v="UN"/>
    <n v="2"/>
    <n v="76.105800000000002"/>
    <n v="152.2116"/>
    <x v="3"/>
  </r>
  <r>
    <s v="007"/>
    <s v="PR02"/>
    <s v="812FLE088"/>
    <s v="Flexible HYD LG1250 THP Hyster 5.5T"/>
    <s v="UN"/>
    <n v="2"/>
    <n v="78.525000000000006"/>
    <n v="157.05000000000001"/>
    <x v="3"/>
  </r>
  <r>
    <s v="007"/>
    <s v="PR02"/>
    <s v="812FLE091"/>
    <s v="Flexible HYD 4830 THP Strip chinois"/>
    <s v="UN"/>
    <n v="2"/>
    <n v="131.00579999999999"/>
    <n v="262.01159999999999"/>
    <x v="3"/>
  </r>
  <r>
    <s v="007"/>
    <s v="PR02"/>
    <s v="812FLE092"/>
    <s v="Flexible R15 HYD LG1100 THP    Tractopelle"/>
    <s v="UN"/>
    <n v="2"/>
    <n v="131.0076"/>
    <n v="262.01519999999999"/>
    <x v="3"/>
  </r>
  <r>
    <s v="007"/>
    <s v="PR02"/>
    <s v="812FLE094"/>
    <s v="Flexible LG31 THP+Raccords Strip Chino"/>
    <s v="M"/>
    <n v="2"/>
    <n v="617.00580000000002"/>
    <n v="1234.0116"/>
    <x v="3"/>
  </r>
  <r>
    <s v="007"/>
    <s v="PR02"/>
    <s v="812FLE098"/>
    <s v="Flexible Hydrolique teflon LG2500 THP"/>
    <s v="UN"/>
    <n v="4"/>
    <n v="177.80600000000001"/>
    <n v="711.22400000000005"/>
    <x v="3"/>
  </r>
  <r>
    <s v="007"/>
    <s v="PR02"/>
    <s v="812FLE099"/>
    <s v="Flexible Hydrolique LG1500 tresse rame inox"/>
    <s v="UN"/>
    <n v="3"/>
    <n v="178.88"/>
    <n v="536.64"/>
    <x v="3"/>
  </r>
  <r>
    <s v="007"/>
    <s v="PR02"/>
    <s v="812FLE100"/>
    <s v="Adaptateur hydraulique FP 10*100"/>
    <s v="UN"/>
    <n v="3"/>
    <n v="17.510000000000002"/>
    <n v="52.53"/>
    <x v="3"/>
  </r>
  <r>
    <s v="007"/>
    <s v="PR02"/>
    <s v="812FLE609"/>
    <s v="Flexible04"/>
    <s v="UN"/>
    <n v="80"/>
    <n v="1.1475"/>
    <n v="91.8"/>
    <x v="3"/>
  </r>
  <r>
    <s v="007"/>
    <s v="PR02"/>
    <s v="812FLE610"/>
    <s v="Flexible06"/>
    <s v="M"/>
    <n v="30"/>
    <n v="1.6575"/>
    <n v="49.725000000000001"/>
    <x v="3"/>
  </r>
  <r>
    <s v="007"/>
    <s v="PR02"/>
    <s v="812FLE611"/>
    <s v="Flexible08"/>
    <s v="M"/>
    <n v="90"/>
    <n v="1.1511"/>
    <n v="103.599"/>
    <x v="3"/>
  </r>
  <r>
    <s v="007"/>
    <s v="PR02"/>
    <s v="812FLE614"/>
    <s v="Flexible12"/>
    <s v="UN"/>
    <n v="100"/>
    <n v="3.33"/>
    <n v="333"/>
    <x v="3"/>
  </r>
  <r>
    <s v="007"/>
    <s v="PR02"/>
    <s v="812MEM001"/>
    <s v="MAMELON GALVA 1&quot;1/2"/>
    <s v="UN"/>
    <n v="2"/>
    <n v="8.0640000000000001"/>
    <n v="16.128"/>
    <x v="3"/>
  </r>
  <r>
    <s v="007"/>
    <s v="PR02"/>
    <s v="812MEM008"/>
    <s v="MAMLON 3&quot; GALVA"/>
    <s v="UN"/>
    <n v="7"/>
    <n v="11.196"/>
    <n v="78.372"/>
    <x v="3"/>
  </r>
  <r>
    <s v="007"/>
    <s v="PR02"/>
    <s v="812MEM024"/>
    <s v="MAMELON NOIR 20/27 (3/4&quot;)"/>
    <s v="UN"/>
    <n v="4"/>
    <n v="0"/>
    <n v="0"/>
    <x v="3"/>
  </r>
  <r>
    <s v="007"/>
    <s v="PR02"/>
    <s v="812MEM723"/>
    <s v="MAMLON GALVA20/27"/>
    <s v="UN"/>
    <n v="19"/>
    <n v="1.5428333333333333"/>
    <n v="29.313833333333331"/>
    <x v="3"/>
  </r>
  <r>
    <s v="007"/>
    <s v="PR02"/>
    <s v="812MON006"/>
    <s v="MONCHON GALVA 1+1/2&quot;"/>
    <s v="UN"/>
    <n v="5"/>
    <n v="2.9015151515151514"/>
    <n v="14.507575757575758"/>
    <x v="3"/>
  </r>
  <r>
    <s v="007"/>
    <s v="PR02"/>
    <s v="812MON007"/>
    <s v="MONCHON PPR D32"/>
    <s v="UN"/>
    <n v="10"/>
    <n v="0.77"/>
    <n v="7.7"/>
    <x v="3"/>
  </r>
  <r>
    <s v="007"/>
    <s v="PR02"/>
    <s v="812MON008"/>
    <s v="MONCHON Galva 26*34"/>
    <s v="UN"/>
    <n v="22"/>
    <n v="2.448"/>
    <n v="53.856000000000002"/>
    <x v="3"/>
  </r>
  <r>
    <s v="007"/>
    <s v="PR02"/>
    <s v="812MON009"/>
    <s v="MONCHON PPR D20"/>
    <s v="UN"/>
    <n v="2"/>
    <n v="0"/>
    <n v="0"/>
    <x v="3"/>
  </r>
  <r>
    <s v="007"/>
    <s v="PR02"/>
    <s v="812MON010"/>
    <s v="MONCHON PPR D25"/>
    <s v="UN"/>
    <n v="17"/>
    <n v="1.0608"/>
    <n v="18.0336"/>
    <x v="3"/>
  </r>
  <r>
    <s v="007"/>
    <s v="PR02"/>
    <s v="812MON014"/>
    <s v="MONCHON PPR D75"/>
    <s v="UN"/>
    <n v="83"/>
    <n v="11.22"/>
    <n v="931.2600000000001"/>
    <x v="3"/>
  </r>
  <r>
    <s v="007"/>
    <s v="PR02"/>
    <s v="812MON015"/>
    <s v="Monchon Galva 2&quot;"/>
    <s v="UN"/>
    <n v="5"/>
    <n v="8.67"/>
    <n v="43.35"/>
    <x v="3"/>
  </r>
  <r>
    <s v="007"/>
    <s v="PR02"/>
    <s v="812MON016"/>
    <s v="Monchon PPR 1&quot; 1/2"/>
    <s v="UN"/>
    <n v="10"/>
    <n v="2.6775000000000002"/>
    <n v="26.775000000000002"/>
    <x v="3"/>
  </r>
  <r>
    <s v="007"/>
    <s v="PR02"/>
    <s v="812MON018"/>
    <s v="Monchon Bargataire D32"/>
    <s v="UN"/>
    <n v="1"/>
    <n v="4.8140999999999998"/>
    <n v="4.8140999999999998"/>
    <x v="3"/>
  </r>
  <r>
    <s v="007"/>
    <s v="PR02"/>
    <s v="812MON027"/>
    <s v="MONCHON  PPR D63"/>
    <s v="UN"/>
    <n v="11"/>
    <n v="6.3074999999999992"/>
    <n v="69.382499999999993"/>
    <x v="3"/>
  </r>
  <r>
    <s v="007"/>
    <s v="PR02"/>
    <s v="812MON028"/>
    <s v="Monchon PPR D40"/>
    <s v="UN"/>
    <n v="8"/>
    <n v="4.6749999999999998"/>
    <n v="37.4"/>
    <x v="3"/>
  </r>
  <r>
    <s v="007"/>
    <s v="PR02"/>
    <s v="812MON712"/>
    <s v="MONCHON PVC P75"/>
    <s v="UN"/>
    <n v="1"/>
    <n v="4.0460000000000003"/>
    <n v="4.0460000000000003"/>
    <x v="3"/>
  </r>
  <r>
    <s v="007"/>
    <s v="PR02"/>
    <s v="812MON713"/>
    <s v="MONCHON PVC PR 40"/>
    <s v="UN"/>
    <n v="8"/>
    <n v="1.153"/>
    <n v="9.2240000000000002"/>
    <x v="3"/>
  </r>
  <r>
    <s v="007"/>
    <s v="PR02"/>
    <s v="812MON714"/>
    <s v="MONCHON PVC P20"/>
    <s v="UN"/>
    <n v="8"/>
    <n v="0.8075"/>
    <n v="6.46"/>
    <x v="3"/>
  </r>
  <r>
    <s v="007"/>
    <s v="PR02"/>
    <s v="812MON716"/>
    <s v="MONCHON PVC P32"/>
    <s v="UN"/>
    <n v="5"/>
    <n v="1.0250999999999999"/>
    <n v="5.1254999999999997"/>
    <x v="3"/>
  </r>
  <r>
    <s v="007"/>
    <s v="PR02"/>
    <s v="812MON718"/>
    <s v="MONCHON PVC PR D63"/>
    <s v="UN"/>
    <n v="6"/>
    <n v="3.103017857142857"/>
    <n v="18.618107142857141"/>
    <x v="3"/>
  </r>
  <r>
    <s v="007"/>
    <s v="PR02"/>
    <s v="812MON721"/>
    <s v="MONCHON Galva20/27"/>
    <s v="UN"/>
    <n v="9"/>
    <n v="2.3913333333333338"/>
    <n v="21.522000000000006"/>
    <x v="3"/>
  </r>
  <r>
    <s v="007"/>
    <s v="PR02"/>
    <s v="812MON724"/>
    <s v="Monchon Galva 1&quot;1/4"/>
    <s v="UN"/>
    <n v="1"/>
    <n v="1.9519066666666667"/>
    <n v="1.9519066666666667"/>
    <x v="3"/>
  </r>
  <r>
    <s v="007"/>
    <s v="PR02"/>
    <s v="812rac004"/>
    <s v="RACCORD  3 P PVC  D40"/>
    <s v="UN"/>
    <n v="5"/>
    <n v="9.9719999999999995"/>
    <n v="49.86"/>
    <x v="3"/>
  </r>
  <r>
    <s v="007"/>
    <s v="PR02"/>
    <s v="812RAC015"/>
    <s v="RACCORD Union Egale 10/10"/>
    <s v="UN"/>
    <n v="8"/>
    <n v="2.7899999999999996"/>
    <n v="22.319999999999997"/>
    <x v="3"/>
  </r>
  <r>
    <s v="007"/>
    <s v="PR02"/>
    <s v="812RAC016"/>
    <s v="RACCORD DROIT 10*1/8"/>
    <s v="UN"/>
    <n v="30"/>
    <n v="3.8079999999999998"/>
    <n v="114.24"/>
    <x v="3"/>
  </r>
  <r>
    <s v="007"/>
    <s v="PR02"/>
    <s v="812RAC018"/>
    <s v="RACCORD TE FILTE 06*1/4"/>
    <s v="UN"/>
    <n v="14"/>
    <n v="8.264325358851675"/>
    <n v="115.70055502392344"/>
    <x v="3"/>
  </r>
  <r>
    <s v="007"/>
    <s v="PR02"/>
    <s v="812RAC019"/>
    <s v="RACCORD RAPIDE COUDE 8*1/2"/>
    <s v="UN"/>
    <n v="24"/>
    <n v="3.3299999999999996"/>
    <n v="79.919999999999987"/>
    <x v="3"/>
  </r>
  <r>
    <s v="007"/>
    <s v="PR02"/>
    <s v="812rac020"/>
    <s v="RACCORD DROIT 8*3/8"/>
    <s v="UN"/>
    <n v="25"/>
    <n v="3.298"/>
    <n v="82.45"/>
    <x v="3"/>
  </r>
  <r>
    <s v="007"/>
    <s v="PR02"/>
    <s v="812rac021"/>
    <s v="RACCORD DROIT 6*3/8"/>
    <s v="UN"/>
    <n v="35"/>
    <n v="4.0205000000000002"/>
    <n v="140.7175"/>
    <x v="3"/>
  </r>
  <r>
    <s v="007"/>
    <s v="PR02"/>
    <s v="812RAC024"/>
    <s v="RACCORD RAPIDE COUDE 4*1/4"/>
    <s v="UN"/>
    <n v="24"/>
    <n v="1.7100000000000002"/>
    <n v="41.040000000000006"/>
    <x v="3"/>
  </r>
  <r>
    <s v="007"/>
    <s v="PR02"/>
    <s v="812RAC025"/>
    <s v="RACCORD DROIT4*1/4"/>
    <s v="UN"/>
    <n v="24"/>
    <n v="1.7100000000000002"/>
    <n v="41.040000000000006"/>
    <x v="3"/>
  </r>
  <r>
    <s v="007"/>
    <s v="PR02"/>
    <s v="812RAC026"/>
    <s v="RACCORD RAPIDE COUDE4*1/16"/>
    <s v="UN"/>
    <n v="32"/>
    <n v="2.7879999999999998"/>
    <n v="89.215999999999994"/>
    <x v="3"/>
  </r>
  <r>
    <s v="007"/>
    <s v="PR02"/>
    <s v="812RAC029"/>
    <s v="RACCORD DROIT 12*1/4"/>
    <s v="UN"/>
    <n v="7"/>
    <n v="7.2479626957759846"/>
    <n v="50.735738870431895"/>
    <x v="3"/>
  </r>
  <r>
    <s v="007"/>
    <s v="PR02"/>
    <s v="812RAC031"/>
    <s v="TE 08*1/4"/>
    <s v="UN"/>
    <n v="11"/>
    <n v="13.428499999999998"/>
    <n v="147.71349999999998"/>
    <x v="3"/>
  </r>
  <r>
    <s v="007"/>
    <s v="PR02"/>
    <s v="812RAC040"/>
    <s v="RACCORD COUDEE AVEC LIMITEUR 08*3/8"/>
    <s v="UN"/>
    <n v="1"/>
    <n v="31.427100000000003"/>
    <n v="31.427100000000003"/>
    <x v="3"/>
  </r>
  <r>
    <s v="007"/>
    <s v="PR02"/>
    <s v="812RAC041"/>
    <s v="RACCORD DROIT D08 G1/4&quot;"/>
    <s v="UN"/>
    <n v="42"/>
    <n v="2.88"/>
    <n v="120.96"/>
    <x v="3"/>
  </r>
  <r>
    <s v="007"/>
    <s v="PR02"/>
    <s v="812RAC042"/>
    <s v="SILENCIEUX G1/4&quot;"/>
    <s v="UN"/>
    <n v="2"/>
    <n v="2.3111666666666668"/>
    <n v="4.6223333333333336"/>
    <x v="3"/>
  </r>
  <r>
    <s v="007"/>
    <s v="PR02"/>
    <s v="812RAC043"/>
    <s v="Connecteur Bobine Electrovanne avec voyant"/>
    <s v="UN"/>
    <n v="12"/>
    <n v="11.475"/>
    <n v="137.69999999999999"/>
    <x v="3"/>
  </r>
  <r>
    <s v="007"/>
    <s v="PR02"/>
    <s v="812RAC045"/>
    <s v="RACCORD 3 P GALVA 1+1/2&quot;"/>
    <s v="UN"/>
    <n v="3"/>
    <n v="28.141200000000001"/>
    <n v="84.423600000000008"/>
    <x v="3"/>
  </r>
  <r>
    <s v="007"/>
    <s v="PR02"/>
    <s v="812RAC046"/>
    <s v="RACCORD 3 P PVC d25"/>
    <s v="UN"/>
    <n v="14"/>
    <n v="6.687954545454545"/>
    <n v="93.631363636363631"/>
    <x v="3"/>
  </r>
  <r>
    <s v="007"/>
    <s v="PR02"/>
    <s v="812RAC049"/>
    <s v="RACCORD PPR D32  MALE"/>
    <s v="UN"/>
    <n v="1"/>
    <n v="13.897500000000001"/>
    <n v="13.897500000000001"/>
    <x v="3"/>
  </r>
  <r>
    <s v="007"/>
    <s v="PR02"/>
    <s v="812RAC050"/>
    <s v="raccord 3 péicé Galva26/34"/>
    <s v="UN"/>
    <n v="4"/>
    <n v="7.9141538461538472"/>
    <n v="31.656615384615389"/>
    <x v="3"/>
  </r>
  <r>
    <s v="007"/>
    <s v="PR02"/>
    <s v="812RAC051"/>
    <s v="RACCORD PPR D25 MALE"/>
    <s v="UN"/>
    <n v="9"/>
    <n v="6.1624999999999996"/>
    <n v="55.462499999999999"/>
    <x v="3"/>
  </r>
  <r>
    <s v="007"/>
    <s v="PR02"/>
    <s v="812RAC052"/>
    <s v="RACCORD DROIT 8*1/8"/>
    <s v="UN"/>
    <n v="45"/>
    <n v="2.7454999999999998"/>
    <n v="123.54749999999999"/>
    <x v="3"/>
  </r>
  <r>
    <s v="007"/>
    <s v="PR02"/>
    <s v="812rac054"/>
    <s v="RACCORD  3 P D32 PPR"/>
    <s v="UN"/>
    <n v="2"/>
    <n v="4.2"/>
    <n v="8.4"/>
    <x v="3"/>
  </r>
  <r>
    <s v="007"/>
    <s v="PR02"/>
    <s v="812RAC056"/>
    <s v="RACCORD DROIT 6*1/8"/>
    <s v="UN"/>
    <n v="45"/>
    <n v="2.7"/>
    <n v="121.50000000000001"/>
    <x v="3"/>
  </r>
  <r>
    <s v="007"/>
    <s v="PR02"/>
    <s v="812rac057"/>
    <s v="RACCORD DROIT 6*1/4"/>
    <s v="UN"/>
    <n v="25"/>
    <n v="2.8220000000000001"/>
    <n v="70.55"/>
    <x v="3"/>
  </r>
  <r>
    <s v="007"/>
    <s v="PR02"/>
    <s v="812RAC062"/>
    <s v="RACCORD DROIT 4*1/16"/>
    <s v="UN"/>
    <n v="25"/>
    <n v="2.7029999999999998"/>
    <n v="67.575000000000003"/>
    <x v="3"/>
  </r>
  <r>
    <s v="007"/>
    <s v="PR02"/>
    <s v="812RAC064"/>
    <s v="Raccord coudée 8*1/4"/>
    <s v="UN"/>
    <n v="1"/>
    <n v="3.383"/>
    <n v="3.383"/>
    <x v="3"/>
  </r>
  <r>
    <s v="007"/>
    <s v="PR02"/>
    <s v="812RAC065"/>
    <s v="raccord bargataire D50 Male"/>
    <s v="UN"/>
    <n v="1"/>
    <n v="7.0054222222222222"/>
    <n v="7.0054222222222222"/>
    <x v="3"/>
  </r>
  <r>
    <s v="007"/>
    <s v="PR02"/>
    <s v="812RAC066"/>
    <s v="RACCORD COUDE 8*1/8"/>
    <s v="UN"/>
    <n v="35"/>
    <n v="3.2639999999999998"/>
    <n v="114.24"/>
    <x v="3"/>
  </r>
  <r>
    <s v="007"/>
    <s v="PR02"/>
    <s v="812RAC067"/>
    <s v="RACCORD PPR MALE D63"/>
    <s v="UN"/>
    <n v="2"/>
    <n v="48.705000000000005"/>
    <n v="97.410000000000011"/>
    <x v="3"/>
  </r>
  <r>
    <s v="007"/>
    <s v="PR02"/>
    <s v="812RAC068"/>
    <s v="RACCORD PPR FEMELLE D63"/>
    <s v="UN"/>
    <n v="1"/>
    <n v="23.387"/>
    <n v="23.387"/>
    <x v="3"/>
  </r>
  <r>
    <s v="007"/>
    <s v="PR02"/>
    <s v="812rac069"/>
    <s v="RACCORD  PPR FEMELLE D20"/>
    <s v="UN"/>
    <n v="7"/>
    <n v="2.125"/>
    <n v="14.875"/>
    <x v="3"/>
  </r>
  <r>
    <s v="007"/>
    <s v="PR02"/>
    <s v="812RAC070"/>
    <s v="RACCORD  MALE PPR 110"/>
    <s v="UN"/>
    <n v="1"/>
    <n v="14.16"/>
    <n v="14.16"/>
    <x v="3"/>
  </r>
  <r>
    <s v="007"/>
    <s v="PR02"/>
    <s v="812RAC074"/>
    <s v="RACCORD  3 P D50 PPR"/>
    <s v="UN"/>
    <n v="5"/>
    <n v="15.05"/>
    <n v="75.25"/>
    <x v="3"/>
  </r>
  <r>
    <s v="007"/>
    <s v="PR02"/>
    <s v="812RAC075"/>
    <s v="RACCORD 3P NOIR 20/27 (3/4&quot;)"/>
    <s v="UN"/>
    <n v="4"/>
    <n v="0"/>
    <n v="0"/>
    <x v="3"/>
  </r>
  <r>
    <s v="007"/>
    <s v="PR02"/>
    <s v="812RAC077"/>
    <s v="Raccord PPR Male D40 26-34"/>
    <s v="UN"/>
    <n v="9"/>
    <n v="17.102"/>
    <n v="153.91800000000001"/>
    <x v="3"/>
  </r>
  <r>
    <s v="007"/>
    <s v="PR02"/>
    <s v="812RAC079"/>
    <s v="Raccord 3P D40 PPR"/>
    <s v="UN"/>
    <n v="2"/>
    <n v="24.225000000000001"/>
    <n v="48.45"/>
    <x v="3"/>
  </r>
  <r>
    <s v="007"/>
    <s v="PR02"/>
    <s v="812RAC080"/>
    <s v="Raccord 3P PVC PR D32"/>
    <s v="UN"/>
    <n v="10"/>
    <n v="9.34"/>
    <n v="93.4"/>
    <x v="3"/>
  </r>
  <r>
    <s v="007"/>
    <s v="PR02"/>
    <s v="812RAC082"/>
    <s v="Raccord Egale 12/12"/>
    <s v="UN"/>
    <n v="48"/>
    <n v="3.2980000000000005"/>
    <n v="158.30400000000003"/>
    <x v="3"/>
  </r>
  <r>
    <s v="007"/>
    <s v="PR02"/>
    <s v="812rac087"/>
    <s v="Raccord inegale 08/10"/>
    <s v="UN"/>
    <n v="81"/>
    <n v="3.077"/>
    <n v="249.23699999999999"/>
    <x v="3"/>
  </r>
  <r>
    <s v="007"/>
    <s v="PR02"/>
    <s v="812rac088"/>
    <s v="Raccord droit 10/12"/>
    <s v="UN"/>
    <n v="39"/>
    <n v="3.57"/>
    <n v="139.22999999999999"/>
    <x v="3"/>
  </r>
  <r>
    <s v="007"/>
    <s v="PR02"/>
    <s v="812RAC092"/>
    <s v="Raccord 3P Noir 1&quot; 1/2"/>
    <s v="UN"/>
    <n v="4"/>
    <n v="0"/>
    <n v="0"/>
    <x v="3"/>
  </r>
  <r>
    <s v="007"/>
    <s v="PR02"/>
    <s v="812RAC094"/>
    <s v="Raccord Inegale 06/08"/>
    <s v="UN"/>
    <n v="28"/>
    <n v="2.6179999999999999"/>
    <n v="73.304000000000002"/>
    <x v="3"/>
  </r>
  <r>
    <s v="007"/>
    <s v="PR02"/>
    <s v="812RAC099"/>
    <s v="Raccord 3P Galva 1&quot;1/4"/>
    <s v="UN"/>
    <n v="2"/>
    <n v="5.2279999999999998"/>
    <n v="10.456"/>
    <x v="3"/>
  </r>
  <r>
    <s v="007"/>
    <s v="PR02"/>
    <s v="812RAC106"/>
    <s v="Raccord PPR Femelle D50"/>
    <s v="UN"/>
    <n v="1"/>
    <n v="31.875"/>
    <n v="31.875"/>
    <x v="3"/>
  </r>
  <r>
    <s v="007"/>
    <s v="PR02"/>
    <s v="812RAC109"/>
    <s v="RACCORD  3 P D25 PPR"/>
    <s v="UN"/>
    <n v="8"/>
    <n v="4.25"/>
    <n v="34"/>
    <x v="3"/>
  </r>
  <r>
    <s v="007"/>
    <s v="PR02"/>
    <s v="812RAC113"/>
    <s v="RACCORD PPR FEMELLE D40"/>
    <s v="UN"/>
    <n v="10"/>
    <n v="0"/>
    <n v="0"/>
    <x v="3"/>
  </r>
  <r>
    <s v="007"/>
    <s v="PR02"/>
    <s v="812RAC114"/>
    <s v="Raccord rapide 4*3/8"/>
    <s v="UN"/>
    <n v="6"/>
    <n v="0"/>
    <n v="0"/>
    <x v="3"/>
  </r>
  <r>
    <s v="007"/>
    <s v="PR02"/>
    <s v="812rac118"/>
    <s v="RACCORD RAPIDE DROIT 8*1/2"/>
    <s v="UN"/>
    <n v="16"/>
    <n v="5.3125"/>
    <n v="85"/>
    <x v="3"/>
  </r>
  <r>
    <s v="007"/>
    <s v="PR02"/>
    <s v="812RAC130"/>
    <s v="Coude Collecteur 26/26MF"/>
    <s v="UN"/>
    <n v="1"/>
    <n v="0"/>
    <n v="0"/>
    <x v="3"/>
  </r>
  <r>
    <s v="007"/>
    <s v="PR02"/>
    <s v="812RAC185"/>
    <s v="Raccord rapide droit 10*3/8"/>
    <s v="UN"/>
    <n v="21"/>
    <n v="5.5419999999999998"/>
    <n v="116.38199999999999"/>
    <x v="3"/>
  </r>
  <r>
    <s v="007"/>
    <s v="PR02"/>
    <s v="812rac187"/>
    <s v="Buse d'accouplement Male 1/4&quot;"/>
    <s v="UN"/>
    <n v="20"/>
    <n v="5.52"/>
    <n v="110.39999999999999"/>
    <x v="3"/>
  </r>
  <r>
    <s v="007"/>
    <s v="PR02"/>
    <s v="812rac188"/>
    <s v="Raccord filté 7/8&quot;  S19"/>
    <s v="UN"/>
    <n v="6"/>
    <n v="12.8"/>
    <n v="76.800000000000011"/>
    <x v="3"/>
  </r>
  <r>
    <s v="007"/>
    <s v="PR02"/>
    <s v="812rac189"/>
    <s v="Raccord Coudee MALE 7/8 LENTE MALE 1/4"/>
    <s v="UN"/>
    <n v="3"/>
    <n v="25.6"/>
    <n v="76.800000000000011"/>
    <x v="3"/>
  </r>
  <r>
    <s v="007"/>
    <s v="PR02"/>
    <s v="812rac190"/>
    <s v="Raccord MALE 7/8 MALE 1/4"/>
    <s v="UN"/>
    <n v="9"/>
    <n v="22.4"/>
    <n v="201.6"/>
    <x v="3"/>
  </r>
  <r>
    <s v="007"/>
    <s v="PR02"/>
    <s v="812rac191"/>
    <s v="Raccord filté 7/8&quot;  S16"/>
    <s v="UN"/>
    <n v="8"/>
    <n v="11.2"/>
    <n v="89.6"/>
    <x v="3"/>
  </r>
  <r>
    <s v="007"/>
    <s v="PR02"/>
    <s v="812RAC192"/>
    <s v="Raccord 3P Noir D26/34 (1&quot;)"/>
    <s v="UN"/>
    <n v="2"/>
    <n v="21.8"/>
    <n v="43.6"/>
    <x v="3"/>
  </r>
  <r>
    <s v="007"/>
    <s v="PR02"/>
    <s v="812RAC210"/>
    <s v="Joint HYD DN 1/4"/>
    <s v="UN"/>
    <n v="8"/>
    <n v="1.8"/>
    <n v="14.4"/>
    <x v="3"/>
  </r>
  <r>
    <s v="007"/>
    <s v="PR02"/>
    <s v="812RAC211"/>
    <s v="Adaptateur M/M 1/4*JIC 9/16"/>
    <s v="UN"/>
    <n v="3"/>
    <n v="7.65"/>
    <n v="22.950000000000003"/>
    <x v="3"/>
  </r>
  <r>
    <s v="007"/>
    <s v="PR02"/>
    <s v="812RAC217"/>
    <s v="Raccord A olive 06*1/8   Graissage"/>
    <s v="UN"/>
    <n v="9"/>
    <n v="8.6265000000000001"/>
    <n v="77.638499999999993"/>
    <x v="3"/>
  </r>
  <r>
    <s v="007"/>
    <s v="PR02"/>
    <s v="812RAC220"/>
    <s v="Raccord 4 sorties D8-G1/4"/>
    <s v="UN"/>
    <n v="4"/>
    <n v="36.269500000000001"/>
    <n v="145.078"/>
    <x v="3"/>
  </r>
  <r>
    <s v="007"/>
    <s v="PR02"/>
    <s v="812RAC240"/>
    <s v="Raccord 3P Noir 1&quot; 1/4"/>
    <s v="UN"/>
    <n v="4"/>
    <n v="0"/>
    <n v="0"/>
    <x v="3"/>
  </r>
  <r>
    <s v="007"/>
    <s v="PR02"/>
    <s v="812RAC588"/>
    <s v="Raccord rapide avec limiteur 8*1/4"/>
    <s v="UN"/>
    <n v="2"/>
    <n v="13.387499999999999"/>
    <n v="26.774999999999999"/>
    <x v="3"/>
  </r>
  <r>
    <s v="007"/>
    <s v="PR02"/>
    <s v="812RAC596"/>
    <s v="Raccord rapide 04-04"/>
    <s v="UN"/>
    <n v="10"/>
    <n v="1.6830000000000001"/>
    <n v="16.830000000000002"/>
    <x v="3"/>
  </r>
  <r>
    <s v="007"/>
    <s v="PR02"/>
    <s v="812RAC597"/>
    <s v="RACCORD Egale 06/06"/>
    <s v="UN"/>
    <n v="4"/>
    <n v="1.9935000000000003"/>
    <n v="7.9740000000000011"/>
    <x v="3"/>
  </r>
  <r>
    <s v="007"/>
    <s v="PR02"/>
    <s v="812RAC598"/>
    <s v="Raccord Egale 8/8"/>
    <s v="UN"/>
    <n v="8"/>
    <n v="2.8834363636363638"/>
    <n v="23.06749090909091"/>
    <x v="3"/>
  </r>
  <r>
    <s v="007"/>
    <s v="PR02"/>
    <s v="812RAC728"/>
    <s v="raccord 3P Galva 20/27"/>
    <s v="UN"/>
    <n v="10"/>
    <n v="4.5022500000000001"/>
    <n v="45.022500000000001"/>
    <x v="3"/>
  </r>
  <r>
    <s v="007"/>
    <s v="PR02"/>
    <s v="812RAC730"/>
    <s v="raccord 3 péicé Galva15/21"/>
    <s v="UN"/>
    <n v="4"/>
    <n v="9.7188999999999997"/>
    <n v="38.875599999999999"/>
    <x v="3"/>
  </r>
  <r>
    <s v="007"/>
    <s v="PR02"/>
    <s v="812rac741"/>
    <s v="RACCORD DROIT D10 G1/2"/>
    <s v="UN"/>
    <n v="7"/>
    <n v="4.93"/>
    <n v="34.51"/>
    <x v="3"/>
  </r>
  <r>
    <s v="007"/>
    <s v="PR02"/>
    <s v="812rac750"/>
    <s v="Raccord droit 10*1/4"/>
    <s v="UN"/>
    <n v="35"/>
    <n v="3.6"/>
    <n v="126"/>
    <x v="3"/>
  </r>
  <r>
    <s v="007"/>
    <s v="PR02"/>
    <s v="812RED003"/>
    <s v="reduction GALVA 1&quot;1/4--&gt;3/4&quot;"/>
    <s v="UN"/>
    <n v="2"/>
    <n v="1.0922499999999999"/>
    <n v="2.1844999999999999"/>
    <x v="3"/>
  </r>
  <r>
    <s v="007"/>
    <s v="PR02"/>
    <s v="812red007"/>
    <s v="REDUCTION PVC 140/125"/>
    <s v="UN"/>
    <n v="5"/>
    <n v="6.2409999999999997"/>
    <n v="31.204999999999998"/>
    <x v="3"/>
  </r>
  <r>
    <s v="007"/>
    <s v="PR02"/>
    <s v="812RED014"/>
    <s v="Réduction Galva 26/34 -&gt; 20/27 M/F"/>
    <s v="UN"/>
    <n v="11"/>
    <n v="2.17"/>
    <n v="23.869999999999997"/>
    <x v="3"/>
  </r>
  <r>
    <s v="007"/>
    <s v="PR02"/>
    <s v="812RED024"/>
    <s v="Reduction Galva 2&quot;--&gt;1/2&quot;"/>
    <s v="UN"/>
    <n v="1"/>
    <n v="1.0922499999999999"/>
    <n v="1.0922499999999999"/>
    <x v="3"/>
  </r>
  <r>
    <s v="007"/>
    <s v="PR02"/>
    <s v="812RED027"/>
    <s v="Reduction PVC PR 50/32"/>
    <s v="UN"/>
    <n v="2"/>
    <n v="1.472"/>
    <n v="2.944"/>
    <x v="3"/>
  </r>
  <r>
    <s v="007"/>
    <s v="PR02"/>
    <s v="812RED041"/>
    <s v="Reduction PPR D63/50"/>
    <s v="UN"/>
    <n v="2"/>
    <n v="7.6159999999999997"/>
    <n v="15.231999999999999"/>
    <x v="3"/>
  </r>
  <r>
    <s v="007"/>
    <s v="PR02"/>
    <s v="812RED042"/>
    <s v="Reduction MALE 3/8 Femelle 1/4 Pour Moule"/>
    <s v="UN"/>
    <n v="6"/>
    <n v="1.863"/>
    <n v="11.178000000000001"/>
    <x v="3"/>
  </r>
  <r>
    <s v="007"/>
    <s v="PR02"/>
    <s v="812RED051"/>
    <s v="Reduction INOX F13/M17 (3/8*1/4) Moule M.Grille"/>
    <s v="UN"/>
    <n v="3"/>
    <n v="3.2274000000000003"/>
    <n v="9.6822000000000017"/>
    <x v="3"/>
  </r>
  <r>
    <s v="007"/>
    <s v="PR02"/>
    <s v="812RED056"/>
    <s v="Reduction PPR D50/32"/>
    <s v="UN"/>
    <n v="3"/>
    <n v="1.26"/>
    <n v="3.7800000000000002"/>
    <x v="3"/>
  </r>
  <r>
    <s v="007"/>
    <s v="PR02"/>
    <s v="812RED059"/>
    <s v="Reduction PPR D25/20"/>
    <s v="UN"/>
    <n v="28"/>
    <n v="0.38250000000000006"/>
    <n v="10.71"/>
    <x v="3"/>
  </r>
  <r>
    <s v="007"/>
    <s v="PR02"/>
    <s v="812RED061"/>
    <s v="Reduction Laiton MF 3/4&quot;M  1/2&quot;F"/>
    <s v="UN"/>
    <n v="2"/>
    <n v="2.6433"/>
    <n v="5.2866"/>
    <x v="3"/>
  </r>
  <r>
    <s v="007"/>
    <s v="PR02"/>
    <s v="812RED700"/>
    <s v="Réduction PVC63/50"/>
    <s v="UN"/>
    <n v="5"/>
    <n v="2.0278500000000004"/>
    <n v="10.139250000000002"/>
    <x v="3"/>
  </r>
  <r>
    <s v="007"/>
    <s v="PR02"/>
    <s v="812RED702"/>
    <s v="Réduction PVC PR 50/40"/>
    <s v="UN"/>
    <n v="2"/>
    <n v="1.852153846153846"/>
    <n v="3.7043076923076921"/>
    <x v="3"/>
  </r>
  <r>
    <s v="007"/>
    <s v="PR02"/>
    <s v="812RED703"/>
    <s v="Réduction PVC PR 40/32"/>
    <s v="UN"/>
    <n v="5"/>
    <n v="1.4553636363636364"/>
    <n v="7.2768181818181823"/>
    <x v="3"/>
  </r>
  <r>
    <s v="007"/>
    <s v="PR02"/>
    <s v="812RED704"/>
    <s v="Réduction PVC32/25"/>
    <s v="UN"/>
    <n v="2"/>
    <n v="0.97240000000000004"/>
    <n v="1.9448000000000001"/>
    <x v="3"/>
  </r>
  <r>
    <s v="007"/>
    <s v="PR02"/>
    <s v="812RED713"/>
    <s v="Réduction PVC PR 63/40"/>
    <s v="UN"/>
    <n v="9"/>
    <n v="2.7130000000000001"/>
    <n v="24.417000000000002"/>
    <x v="3"/>
  </r>
  <r>
    <s v="007"/>
    <s v="PR02"/>
    <s v="812RED721"/>
    <s v="Reduction Galva 1/2M---&gt;3/4F"/>
    <s v="UN"/>
    <n v="1"/>
    <n v="1.70825"/>
    <n v="1.70825"/>
    <x v="3"/>
  </r>
  <r>
    <s v="007"/>
    <s v="PR02"/>
    <s v="812ROS002"/>
    <s v="ROSACE Applique PPR D20"/>
    <s v="UN"/>
    <n v="2"/>
    <n v="4.0964999999999998"/>
    <n v="8.1929999999999996"/>
    <x v="3"/>
  </r>
  <r>
    <s v="007"/>
    <s v="PR02"/>
    <s v="812TTE014"/>
    <s v="TE GALVA 1+1/2&quot;"/>
    <s v="UN"/>
    <n v="7"/>
    <n v="15.486149999999999"/>
    <n v="108.40304999999999"/>
    <x v="3"/>
  </r>
  <r>
    <s v="007"/>
    <s v="PR02"/>
    <s v="812TTE016"/>
    <s v="TE 26*34 GALVA"/>
    <s v="UN"/>
    <n v="9"/>
    <n v="3.5274999999999999"/>
    <n v="31.747499999999999"/>
    <x v="3"/>
  </r>
  <r>
    <s v="007"/>
    <s v="PR02"/>
    <s v="812TTE017"/>
    <s v="TE PPR D20"/>
    <s v="UN"/>
    <n v="3"/>
    <n v="0.86699999999999999"/>
    <n v="2.601"/>
    <x v="3"/>
  </r>
  <r>
    <s v="007"/>
    <s v="PR02"/>
    <s v="812TTE018"/>
    <s v="TE PPR D25"/>
    <s v="UN"/>
    <n v="30"/>
    <n v="0.51"/>
    <n v="15.3"/>
    <x v="3"/>
  </r>
  <r>
    <s v="007"/>
    <s v="PR02"/>
    <s v="812TTE019"/>
    <s v="TE PPR D32"/>
    <s v="UN"/>
    <n v="4"/>
    <n v="1.75"/>
    <n v="7"/>
    <x v="3"/>
  </r>
  <r>
    <s v="007"/>
    <s v="PR02"/>
    <s v="812TTE026"/>
    <s v="TE 20/27 NOIR"/>
    <s v="UN"/>
    <n v="8"/>
    <n v="4.6154999999999999"/>
    <n v="36.923999999999999"/>
    <x v="3"/>
  </r>
  <r>
    <s v="007"/>
    <s v="PR02"/>
    <s v="812TTE033"/>
    <s v="TE Galva 1&quot;1/4"/>
    <s v="UN"/>
    <n v="9"/>
    <n v="7.6470000000000002"/>
    <n v="68.823000000000008"/>
    <x v="3"/>
  </r>
  <r>
    <s v="007"/>
    <s v="PR02"/>
    <s v="812TTE038"/>
    <s v="TE PPR D63"/>
    <s v="UN"/>
    <n v="1"/>
    <n v="7.8860000000000001"/>
    <n v="7.8860000000000001"/>
    <x v="3"/>
  </r>
  <r>
    <s v="007"/>
    <s v="PR02"/>
    <s v="812TTE045"/>
    <s v="TE PPR D40"/>
    <s v="UN"/>
    <n v="2"/>
    <n v="0"/>
    <n v="0"/>
    <x v="3"/>
  </r>
  <r>
    <s v="007"/>
    <s v="PR02"/>
    <s v="812TTE055"/>
    <s v="TE Bargataire D32 Filté Femelle D15/21"/>
    <s v="UN"/>
    <n v="2"/>
    <n v="5.4476500000000003"/>
    <n v="10.895300000000001"/>
    <x v="3"/>
  </r>
  <r>
    <s v="007"/>
    <s v="PR02"/>
    <s v="812TTE615"/>
    <s v="Te04 pneumatique"/>
    <s v="UN"/>
    <n v="35"/>
    <n v="5.1802306451612896"/>
    <n v="181.30807258064513"/>
    <x v="3"/>
  </r>
  <r>
    <s v="007"/>
    <s v="PR02"/>
    <s v="812tte616"/>
    <s v="Te06 pneumatique"/>
    <s v="UN"/>
    <n v="15"/>
    <n v="2.7116999999999996"/>
    <n v="40.675499999999992"/>
    <x v="3"/>
  </r>
  <r>
    <s v="007"/>
    <s v="PR02"/>
    <s v="812TTE617"/>
    <s v="Te08 pneumatique"/>
    <s v="UN"/>
    <n v="12"/>
    <n v="2.3933750000000003"/>
    <n v="28.720500000000001"/>
    <x v="3"/>
  </r>
  <r>
    <s v="007"/>
    <s v="PR02"/>
    <s v="812TTE618"/>
    <s v="Te10 pneumatique"/>
    <s v="UN"/>
    <n v="10"/>
    <n v="5.2429499999999996"/>
    <n v="52.429499999999997"/>
    <x v="3"/>
  </r>
  <r>
    <s v="007"/>
    <s v="PR02"/>
    <s v="812TTE619"/>
    <s v="Te12 pneumatique"/>
    <s v="UN"/>
    <n v="9"/>
    <n v="8.2799999999999994"/>
    <n v="74.52"/>
    <x v="3"/>
  </r>
  <r>
    <s v="007"/>
    <s v="PR02"/>
    <s v="812TTE663"/>
    <s v="T PVC P63"/>
    <s v="UN"/>
    <n v="2"/>
    <n v="5.2454052631578945"/>
    <n v="10.490810526315789"/>
    <x v="3"/>
  </r>
  <r>
    <s v="007"/>
    <s v="PR02"/>
    <s v="812TTE666"/>
    <s v="T PVC P25"/>
    <s v="UN"/>
    <n v="9"/>
    <n v="1.2050000000000001"/>
    <n v="10.845000000000001"/>
    <x v="3"/>
  </r>
  <r>
    <s v="007"/>
    <s v="PR02"/>
    <s v="812TTE667"/>
    <s v="TE PVC Pression D40 (1&quot;1/4)"/>
    <s v="UN"/>
    <n v="6"/>
    <n v="3.044"/>
    <n v="18.263999999999999"/>
    <x v="3"/>
  </r>
  <r>
    <s v="007"/>
    <s v="PR02"/>
    <s v="812TTE668"/>
    <s v="T PVC P32"/>
    <s v="UN"/>
    <n v="7"/>
    <n v="2.4782999999999999"/>
    <n v="17.348099999999999"/>
    <x v="3"/>
  </r>
  <r>
    <s v="007"/>
    <s v="PR02"/>
    <s v="812TUB008"/>
    <s v="TUBE GALVA D20*27"/>
    <s v="M"/>
    <n v="40"/>
    <n v="11.88"/>
    <n v="475.20000000000005"/>
    <x v="3"/>
  </r>
  <r>
    <s v="007"/>
    <s v="PR02"/>
    <s v="812TUB009"/>
    <s v="TUBE NOIR ETIRE 26/34   EP4.5mm"/>
    <s v="M"/>
    <n v="18"/>
    <n v="40.442999999999998"/>
    <n v="727.97399999999993"/>
    <x v="3"/>
  </r>
  <r>
    <s v="007"/>
    <s v="PR02"/>
    <s v="812TUB015"/>
    <s v="TUBE PPR D20"/>
    <s v="M"/>
    <n v="10"/>
    <n v="2.2949999999999999"/>
    <n v="22.95"/>
    <x v="3"/>
  </r>
  <r>
    <s v="007"/>
    <s v="PR02"/>
    <s v="812TUB017"/>
    <s v="TUBE ACIER NOIR A souder 20/27  EP3.5mm"/>
    <s v="M"/>
    <n v="5"/>
    <n v="19.467633042096907"/>
    <n v="97.338165210484533"/>
    <x v="3"/>
  </r>
  <r>
    <s v="007"/>
    <s v="PR02"/>
    <s v="812TUB019"/>
    <s v="Tube multicouche D16"/>
    <s v="M"/>
    <n v="50"/>
    <n v="2.7134999999999998"/>
    <n v="135.67499999999998"/>
    <x v="3"/>
  </r>
  <r>
    <s v="007"/>
    <s v="PR02"/>
    <s v="812TUB025"/>
    <s v="Tube NOIR 1&quot; 1/2"/>
    <s v="M"/>
    <n v="16"/>
    <n v="38.347000000000001"/>
    <n v="613.55200000000002"/>
    <x v="3"/>
  </r>
  <r>
    <s v="007"/>
    <s v="PR02"/>
    <s v="812tub643"/>
    <s v="Tube PVC P 32"/>
    <s v="M"/>
    <n v="6"/>
    <n v="4.41"/>
    <n v="26.46"/>
    <x v="3"/>
  </r>
  <r>
    <s v="007"/>
    <s v="PR02"/>
    <s v="812TUB648"/>
    <s v="Tube NOIR20/27 ep 4mm"/>
    <s v="M"/>
    <n v="10"/>
    <n v="21.675000000000001"/>
    <n v="216.75"/>
    <x v="3"/>
  </r>
  <r>
    <s v="007"/>
    <s v="PR02"/>
    <s v="812VAN003"/>
    <s v="VANNESPHERIQUE 3/4"/>
    <s v="UN"/>
    <n v="2"/>
    <n v="16.4358"/>
    <n v="32.871600000000001"/>
    <x v="3"/>
  </r>
  <r>
    <s v="007"/>
    <s v="PR02"/>
    <s v="812VAN004"/>
    <s v="VANNE MULTICOUCHE D20"/>
    <s v="UN"/>
    <n v="3"/>
    <n v="20.8611"/>
    <n v="62.583300000000001"/>
    <x v="3"/>
  </r>
  <r>
    <s v="007"/>
    <s v="PR02"/>
    <s v="812VAN023"/>
    <s v="VANNE PPR D75"/>
    <s v="UN"/>
    <n v="1"/>
    <n v="147.21100000000001"/>
    <n v="147.21100000000001"/>
    <x v="3"/>
  </r>
  <r>
    <s v="007"/>
    <s v="PR02"/>
    <s v="812VAN026"/>
    <s v="Vanne PPR D40"/>
    <s v="UN"/>
    <n v="1"/>
    <n v="72.319342105263146"/>
    <n v="72.319342105263146"/>
    <x v="3"/>
  </r>
  <r>
    <s v="007"/>
    <s v="PR02"/>
    <s v="812VAN027"/>
    <s v="Vanne PPR D50"/>
    <s v="UN"/>
    <n v="3"/>
    <n v="46.176200000000001"/>
    <n v="138.52860000000001"/>
    <x v="3"/>
  </r>
  <r>
    <s v="007"/>
    <s v="PR02"/>
    <s v="812VAN032"/>
    <s v="Vanne PPR D63"/>
    <s v="UN"/>
    <n v="2"/>
    <n v="90.241"/>
    <n v="180.482"/>
    <x v="3"/>
  </r>
  <r>
    <s v="007"/>
    <s v="PR02"/>
    <s v="812van733"/>
    <s v="vanne Galva15/21"/>
    <s v="UN"/>
    <n v="4"/>
    <n v="6.1020500000000002"/>
    <n v="24.408200000000001"/>
    <x v="3"/>
  </r>
  <r>
    <s v="007"/>
    <s v="PR02"/>
    <s v="812VAN734"/>
    <s v="vanne Galva20/27"/>
    <s v="UN"/>
    <n v="2"/>
    <n v="0"/>
    <n v="0"/>
    <x v="3"/>
  </r>
  <r>
    <s v="007"/>
    <s v="PR02"/>
    <s v="812VAN736"/>
    <s v="Vanne PVC25"/>
    <s v="UN"/>
    <n v="8"/>
    <n v="23.603999999999999"/>
    <n v="188.83199999999999"/>
    <x v="3"/>
  </r>
  <r>
    <s v="007"/>
    <s v="PR02"/>
    <s v="812VAN737"/>
    <s v="Vanne PVC32"/>
    <s v="UN"/>
    <n v="8"/>
    <n v="25.83"/>
    <n v="206.64"/>
    <x v="3"/>
  </r>
  <r>
    <s v="007"/>
    <s v="PR02"/>
    <s v="812VAN739"/>
    <s v="Vanne PVC PR D50"/>
    <s v="UN"/>
    <n v="5"/>
    <n v="35.191000000000003"/>
    <n v="175.95500000000001"/>
    <x v="3"/>
  </r>
  <r>
    <s v="007"/>
    <s v="PR02"/>
    <s v="812ver030"/>
    <s v="Coupelle EN NBR EDE 71.9-83-7.52"/>
    <s v="UN"/>
    <n v="2"/>
    <n v="11.6478"/>
    <n v="23.2956"/>
    <x v="3"/>
  </r>
  <r>
    <s v="007"/>
    <s v="PR02"/>
    <s v="812VER032"/>
    <s v="VERIN SI80*300 CHINOIS"/>
    <s v="UN"/>
    <n v="2"/>
    <n v="0"/>
    <n v="0"/>
    <x v="3"/>
  </r>
  <r>
    <s v="007"/>
    <s v="PR02"/>
    <s v="812VER033"/>
    <s v="VERIN SI40*500 CHINOIS"/>
    <s v="UN"/>
    <n v="2"/>
    <n v="0"/>
    <n v="0"/>
    <x v="3"/>
  </r>
  <r>
    <s v="007"/>
    <s v="PR02"/>
    <s v="812VER036"/>
    <s v="VERIN SI100*100 CHINOIS"/>
    <s v="UN"/>
    <n v="1"/>
    <n v="376.77949999999998"/>
    <n v="376.77949999999998"/>
    <x v="3"/>
  </r>
  <r>
    <s v="007"/>
    <s v="PR02"/>
    <s v="812VER038"/>
    <s v="VERIN SI80*250 CHINOIS"/>
    <s v="UN"/>
    <n v="1"/>
    <n v="0"/>
    <n v="0"/>
    <x v="3"/>
  </r>
  <r>
    <s v="007"/>
    <s v="PR02"/>
    <s v="812VER039"/>
    <s v="VERIN SI80*200 CHINOIS"/>
    <s v="UN"/>
    <n v="1"/>
    <n v="0"/>
    <n v="0"/>
    <x v="3"/>
  </r>
  <r>
    <s v="007"/>
    <s v="PR02"/>
    <s v="812VER040"/>
    <s v="VERIN HOB 80*80 CHINOIS"/>
    <s v="UN"/>
    <n v="2"/>
    <n v="0"/>
    <n v="0"/>
    <x v="3"/>
  </r>
  <r>
    <s v="007"/>
    <s v="PR02"/>
    <s v="812VER041"/>
    <s v="Verin SI125*150 Chinois"/>
    <s v="UN"/>
    <n v="1"/>
    <n v="0"/>
    <n v="0"/>
    <x v="3"/>
  </r>
  <r>
    <s v="007"/>
    <s v="PR02"/>
    <s v="812VER042"/>
    <s v="Verin SI80*650 Chinois"/>
    <s v="UN"/>
    <n v="1"/>
    <n v="0"/>
    <n v="0"/>
    <x v="3"/>
  </r>
  <r>
    <s v="007"/>
    <s v="PR02"/>
    <s v="812VER043"/>
    <s v="Verin SI80*800 Chinois"/>
    <s v="UN"/>
    <n v="1"/>
    <n v="0"/>
    <n v="0"/>
    <x v="3"/>
  </r>
  <r>
    <s v="007"/>
    <s v="PR02"/>
    <s v="812VER044"/>
    <s v="Verin HOB 40*700 Chinois"/>
    <s v="UN"/>
    <n v="1"/>
    <n v="0"/>
    <n v="0"/>
    <x v="3"/>
  </r>
  <r>
    <s v="007"/>
    <s v="PR02"/>
    <s v="812VER055"/>
    <s v="shape verin femelle 125-C  CHINOIS"/>
    <s v="UN"/>
    <n v="1"/>
    <n v="0"/>
    <n v="0"/>
    <x v="3"/>
  </r>
  <r>
    <s v="007"/>
    <s v="PR02"/>
    <s v="812VER056"/>
    <s v="shape verin femelle 80-CR  CHINOIS"/>
    <s v="UN"/>
    <n v="1"/>
    <n v="0"/>
    <n v="0"/>
    <x v="3"/>
  </r>
  <r>
    <s v="007"/>
    <s v="PR02"/>
    <s v="812VER057"/>
    <s v="shape verin MALE SC80-CB CHINOIS"/>
    <s v="UN"/>
    <n v="2"/>
    <n v="0"/>
    <n v="0"/>
    <x v="3"/>
  </r>
  <r>
    <s v="007"/>
    <s v="PR02"/>
    <s v="812VER058"/>
    <s v="shape verin MALE SI40 CHINOIS"/>
    <s v="UN"/>
    <n v="1"/>
    <n v="0"/>
    <n v="0"/>
    <x v="3"/>
  </r>
  <r>
    <s v="007"/>
    <s v="PR02"/>
    <s v="812VER059"/>
    <s v="shape verin Femelle SI40 CHINOIS"/>
    <s v="UN"/>
    <n v="1"/>
    <n v="0"/>
    <n v="0"/>
    <x v="3"/>
  </r>
  <r>
    <s v="007"/>
    <s v="PR02"/>
    <s v="812VER060"/>
    <s v="shape verin MALE SI125 CB CHINOIS"/>
    <s v="UN"/>
    <n v="1"/>
    <n v="0"/>
    <n v="0"/>
    <x v="3"/>
  </r>
  <r>
    <s v="007"/>
    <s v="PR02"/>
    <s v="812VER061"/>
    <s v="Verin D100 C50 Airtag CHINOIS"/>
    <s v="UN"/>
    <n v="5"/>
    <n v="0"/>
    <n v="0"/>
    <x v="3"/>
  </r>
  <r>
    <s v="007"/>
    <s v="PR02"/>
    <s v="812VER062"/>
    <s v="Verin D80 C50 Airtag CHINOIS"/>
    <s v="UN"/>
    <n v="2"/>
    <n v="413.48160000000001"/>
    <n v="826.96320000000003"/>
    <x v="3"/>
  </r>
  <r>
    <s v="007"/>
    <s v="PR02"/>
    <s v="812VER063"/>
    <s v="Verin D63 C125 Airtag CHINOIS"/>
    <s v="UN"/>
    <n v="4"/>
    <n v="0"/>
    <n v="0"/>
    <x v="3"/>
  </r>
  <r>
    <s v="007"/>
    <s v="PR02"/>
    <s v="812VER064"/>
    <s v="Verin D32 C50  Airtag CHINOIS"/>
    <s v="UN"/>
    <n v="1"/>
    <n v="0"/>
    <n v="0"/>
    <x v="3"/>
  </r>
  <r>
    <s v="007"/>
    <s v="PR02"/>
    <s v="812VER065"/>
    <s v="Verin D32 C100  Airtag CHINOIS"/>
    <s v="UN"/>
    <n v="1"/>
    <n v="0"/>
    <n v="0"/>
    <x v="3"/>
  </r>
  <r>
    <s v="007"/>
    <s v="PR02"/>
    <s v="812VER066"/>
    <s v="Verin D50 C175  Airtag CHINOIS"/>
    <s v="UN"/>
    <n v="5"/>
    <n v="0"/>
    <n v="0"/>
    <x v="3"/>
  </r>
  <r>
    <s v="007"/>
    <s v="PR02"/>
    <s v="812VER068"/>
    <s v="Verin D80 C350  Airtag CHINOIS"/>
    <s v="UN"/>
    <n v="1"/>
    <n v="0"/>
    <n v="0"/>
    <x v="3"/>
  </r>
  <r>
    <s v="007"/>
    <s v="PR02"/>
    <s v="812VER069"/>
    <s v="Verin D50 C20  Airtag CHINOIS"/>
    <s v="UN"/>
    <n v="1"/>
    <n v="0"/>
    <n v="0"/>
    <x v="3"/>
  </r>
  <r>
    <s v="007"/>
    <s v="PR02"/>
    <s v="812VER073"/>
    <s v="Verin D125 C50  Airtag CHINOIS"/>
    <s v="UN"/>
    <n v="6"/>
    <n v="0"/>
    <n v="0"/>
    <x v="3"/>
  </r>
  <r>
    <s v="007"/>
    <s v="PR02"/>
    <s v="812VER074"/>
    <s v="Verin D160 C200  Airtag CHINOIS"/>
    <s v="UN"/>
    <n v="2"/>
    <n v="0"/>
    <n v="0"/>
    <x v="3"/>
  </r>
  <r>
    <s v="007"/>
    <s v="PR02"/>
    <s v="812VER075"/>
    <s v="Verin de guidage liniaire TCM50*30 CHINOI"/>
    <s v="UN"/>
    <n v="2"/>
    <n v="0"/>
    <n v="0"/>
    <x v="3"/>
  </r>
  <r>
    <s v="007"/>
    <s v="PR02"/>
    <s v="812VER076"/>
    <s v="Chape verin F-SI160CB AIRTAG CHINOIS"/>
    <s v="UN"/>
    <n v="1"/>
    <n v="0"/>
    <n v="0"/>
    <x v="3"/>
  </r>
  <r>
    <s v="007"/>
    <s v="PR02"/>
    <s v="812VER090"/>
    <s v="Verin 1260.25.160.MA M.G.Wertz"/>
    <s v="UN"/>
    <n v="2"/>
    <n v="193.64699999999999"/>
    <n v="387.29399999999998"/>
    <x v="3"/>
  </r>
  <r>
    <s v="007"/>
    <s v="PR02"/>
    <s v="812VER116"/>
    <s v="ROTULE VERIN D125 M27 ZIP-125"/>
    <s v="UN"/>
    <n v="2"/>
    <n v="114.7698"/>
    <n v="229.53960000000001"/>
    <x v="3"/>
  </r>
  <r>
    <s v="007"/>
    <s v="PR02"/>
    <s v="812XMC121"/>
    <s v="VIS TH (acier) M20X100  8.8"/>
    <s v="UN"/>
    <n v="41"/>
    <n v="3.0419999999999998"/>
    <n v="124.72199999999999"/>
    <x v="3"/>
  </r>
  <r>
    <s v="007"/>
    <s v="PR02"/>
    <s v="812XOU104"/>
    <s v="Fixation tube IRO D20"/>
    <s v="UN"/>
    <n v="40"/>
    <n v="0.87839999999999996"/>
    <n v="35.135999999999996"/>
    <x v="3"/>
  </r>
  <r>
    <s v="007"/>
    <s v="PR02"/>
    <s v="812XPB006"/>
    <s v="Crépine a filtre PVC 26/34 (1&quot;)"/>
    <s v="UN"/>
    <n v="2"/>
    <n v="18.105"/>
    <n v="36.21"/>
    <x v="3"/>
  </r>
  <r>
    <s v="007"/>
    <s v="PR02"/>
    <s v="812XPB011"/>
    <s v="CHEVILLE DE 12"/>
    <s v="UN"/>
    <n v="30"/>
    <n v="2.8799999999999999E-2"/>
    <n v="0.86399999999999999"/>
    <x v="3"/>
  </r>
  <r>
    <s v="007"/>
    <s v="PR02"/>
    <s v="812xpb019"/>
    <s v="Siphon douche 40"/>
    <s v="UN"/>
    <n v="1"/>
    <n v="11.24"/>
    <n v="11.24"/>
    <x v="3"/>
  </r>
  <r>
    <s v="007"/>
    <s v="PR02"/>
    <s v="812xpb026"/>
    <s v="Limiteur de debit d'air 1/4"/>
    <s v="UN"/>
    <n v="2"/>
    <n v="33.039499999999997"/>
    <n v="66.078999999999994"/>
    <x v="3"/>
  </r>
  <r>
    <s v="007"/>
    <s v="PR02"/>
    <s v="812XPB039"/>
    <s v="Flotteur pour citerne d'acide"/>
    <s v="UN"/>
    <n v="1"/>
    <n v="271.39999999999998"/>
    <n v="271.39999999999998"/>
    <x v="3"/>
  </r>
  <r>
    <s v="007"/>
    <s v="PR02"/>
    <s v="812XPB041"/>
    <s v="Flexible DOUCHE 150"/>
    <s v="UN"/>
    <n v="5"/>
    <n v="7.6049499999999997"/>
    <n v="38.024749999999997"/>
    <x v="3"/>
  </r>
  <r>
    <s v="007"/>
    <s v="PR02"/>
    <s v="812XPB042"/>
    <s v="Support DOUCHETTE CHROME"/>
    <s v="UN"/>
    <n v="2"/>
    <n v="4.8166666666666664"/>
    <n v="9.6333333333333329"/>
    <x v="3"/>
  </r>
  <r>
    <s v="007"/>
    <s v="PR02"/>
    <s v="812XPB043"/>
    <s v="Siphon  40"/>
    <s v="UN"/>
    <n v="1"/>
    <n v="3.1652999999999998"/>
    <n v="3.1652999999999998"/>
    <x v="3"/>
  </r>
  <r>
    <s v="007"/>
    <s v="PR02"/>
    <s v="812XPB047"/>
    <s v="Soupape de securité 1&quot;1/2 CUIVRE"/>
    <s v="UN"/>
    <n v="1"/>
    <n v="0"/>
    <n v="0"/>
    <x v="3"/>
  </r>
  <r>
    <s v="007"/>
    <s v="PR02"/>
    <s v="812XPB055"/>
    <s v="Joint Fibre 20/27"/>
    <s v="UN"/>
    <n v="40"/>
    <n v="8.0100000000000005E-2"/>
    <n v="3.2040000000000002"/>
    <x v="3"/>
  </r>
  <r>
    <s v="007"/>
    <s v="PR02"/>
    <s v="812xpb081"/>
    <s v="Bouchon Canniveau de garage"/>
    <s v="UN"/>
    <n v="2"/>
    <n v="5.8641999999999994"/>
    <n v="11.728399999999999"/>
    <x v="3"/>
  </r>
  <r>
    <s v="007"/>
    <s v="PR02"/>
    <s v="812XPB095"/>
    <s v="Commutateur a flotteur 20/27"/>
    <s v="UN"/>
    <n v="2"/>
    <n v="200"/>
    <n v="400"/>
    <x v="3"/>
  </r>
  <r>
    <s v="007"/>
    <s v="PR02"/>
    <s v="812XPB750"/>
    <s v="Teflon"/>
    <s v="UN"/>
    <n v="19"/>
    <n v="1.552"/>
    <n v="29.488"/>
    <x v="3"/>
  </r>
  <r>
    <s v="007"/>
    <s v="PR02"/>
    <s v="812XPB752"/>
    <s v="Colle PVC Tangit 500G"/>
    <s v="UN"/>
    <n v="2"/>
    <n v="25.228000000000002"/>
    <n v="50.456000000000003"/>
    <x v="3"/>
  </r>
  <r>
    <s v="007"/>
    <s v="PR02"/>
    <s v="812XPB753"/>
    <s v="COLLE SUPER GLUE"/>
    <s v="UN"/>
    <n v="1"/>
    <n v="4.5789999999999997"/>
    <n v="4.5789999999999997"/>
    <x v="3"/>
  </r>
  <r>
    <s v="007"/>
    <s v="PR02"/>
    <s v="812XPE245"/>
    <s v="Platine 500*400"/>
    <s v="UN"/>
    <n v="1"/>
    <n v="66.020624999999995"/>
    <n v="66.020624999999995"/>
    <x v="3"/>
  </r>
  <r>
    <s v="007"/>
    <s v="PR02"/>
    <s v="812XPE253"/>
    <s v="Interrupteur apparent Etanche"/>
    <s v="UN"/>
    <n v="4"/>
    <n v="1.8"/>
    <n v="7.2"/>
    <x v="3"/>
  </r>
  <r>
    <s v="007"/>
    <s v="PR02"/>
    <s v="815BOB005"/>
    <s v="Bobine MFSG 24/42"/>
    <s v="UN"/>
    <n v="4"/>
    <n v="55.368000000000002"/>
    <n v="221.47200000000001"/>
    <x v="3"/>
  </r>
  <r>
    <s v="007"/>
    <s v="PR02"/>
    <s v="815BOB243"/>
    <s v="Bobine pour électrovanne 24V DC"/>
    <s v="UN"/>
    <n v="1"/>
    <n v="34.297499999999999"/>
    <n v="34.297499999999999"/>
    <x v="3"/>
  </r>
  <r>
    <s v="007"/>
    <s v="PR02"/>
    <s v="815BOB247"/>
    <s v="Bobine distributeur 24VDC SD90822DJSN SHAKO"/>
    <s v="UN"/>
    <n v="7"/>
    <n v="21.5154"/>
    <n v="150.6078"/>
    <x v="3"/>
  </r>
  <r>
    <s v="007"/>
    <s v="PR02"/>
    <s v="815BOB248"/>
    <s v="Bobine Danfoss 220V ELECTROVANNE"/>
    <s v="UN"/>
    <n v="2"/>
    <n v="83.718000000000004"/>
    <n v="167.43600000000001"/>
    <x v="3"/>
  </r>
  <r>
    <s v="007"/>
    <s v="PR02"/>
    <s v="815cab010"/>
    <s v="SERRE CABLE GALVA M10"/>
    <s v="UN"/>
    <n v="15"/>
    <n v="0.86219999999999997"/>
    <n v="12.933"/>
    <x v="3"/>
  </r>
  <r>
    <s v="007"/>
    <s v="PR02"/>
    <s v="815CAB014"/>
    <s v="Cable souple 2*0.75"/>
    <s v="M"/>
    <n v="25"/>
    <n v="1.3653"/>
    <n v="34.1325"/>
    <x v="3"/>
  </r>
  <r>
    <s v="007"/>
    <s v="PR02"/>
    <s v="815CAB017"/>
    <s v="Fil Souple 2.5mm Bleu"/>
    <s v="M"/>
    <n v="100"/>
    <n v="0.96513000000000004"/>
    <n v="96.513000000000005"/>
    <x v="3"/>
  </r>
  <r>
    <s v="007"/>
    <s v="PR02"/>
    <s v="815CAB018"/>
    <s v="Fil Souple 2.5mm Rouge"/>
    <s v="M"/>
    <n v="100"/>
    <n v="0.96460000000000012"/>
    <n v="96.460000000000008"/>
    <x v="3"/>
  </r>
  <r>
    <s v="007"/>
    <s v="PR02"/>
    <s v="815CAB062"/>
    <s v="Cable vert/jaune de terre 35mm"/>
    <s v="M"/>
    <n v="30"/>
    <n v="14.5176"/>
    <n v="435.52800000000002"/>
    <x v="3"/>
  </r>
  <r>
    <s v="007"/>
    <s v="PR02"/>
    <s v="815CAB254"/>
    <s v="câble anti chaleur 2,5mm"/>
    <s v="UN"/>
    <n v="35"/>
    <n v="3.0068999999999999"/>
    <n v="105.2415"/>
    <x v="3"/>
  </r>
  <r>
    <s v="007"/>
    <s v="PR02"/>
    <s v="815CAB255"/>
    <s v="câble anti chaleur 4mm"/>
    <s v="UN"/>
    <n v="21"/>
    <n v="4.0301999999999998"/>
    <n v="84.634199999999993"/>
    <x v="3"/>
  </r>
  <r>
    <s v="007"/>
    <s v="PR02"/>
    <s v="815CAB256"/>
    <s v="câble anti chaleur 6mm"/>
    <s v="UN"/>
    <n v="80"/>
    <n v="5.67"/>
    <n v="453.6"/>
    <x v="3"/>
  </r>
  <r>
    <s v="007"/>
    <s v="PR02"/>
    <s v="815cab258"/>
    <s v="Fil souple 1,5mm Noir"/>
    <s v="M"/>
    <n v="9"/>
    <n v="0.61426999999999998"/>
    <n v="5.5284300000000002"/>
    <x v="3"/>
  </r>
  <r>
    <s v="007"/>
    <s v="PR02"/>
    <s v="815CAB262"/>
    <s v="câble souple 3x1,5mm"/>
    <s v="M"/>
    <n v="12"/>
    <n v="2.2185800000000002"/>
    <n v="26.622960000000003"/>
    <x v="3"/>
  </r>
  <r>
    <s v="007"/>
    <s v="PR02"/>
    <s v="815CAB267"/>
    <s v="câble souple 4x6mm"/>
    <s v="UN"/>
    <n v="20"/>
    <n v="0"/>
    <n v="0"/>
    <x v="3"/>
  </r>
  <r>
    <s v="007"/>
    <s v="PR02"/>
    <s v="815CAB268"/>
    <s v="câble souple 4x4mm"/>
    <s v="M"/>
    <n v="15"/>
    <n v="6.3679800000000002"/>
    <n v="95.5197"/>
    <x v="3"/>
  </r>
  <r>
    <s v="007"/>
    <s v="PR02"/>
    <s v="815CAP005"/>
    <s v="CAPTEUR ICB12L50F04POM1 M12 NO Long   COS"/>
    <s v="UN"/>
    <n v="2"/>
    <n v="70.52"/>
    <n v="141.04"/>
    <x v="3"/>
  </r>
  <r>
    <s v="007"/>
    <s v="PR02"/>
    <s v="815CAP010"/>
    <s v="Capteur SF8-R2B"/>
    <s v="UN"/>
    <n v="1"/>
    <n v="82.65"/>
    <n v="82.65"/>
    <x v="3"/>
  </r>
  <r>
    <s v="007"/>
    <s v="PR02"/>
    <s v="815CAP015"/>
    <s v="Capteur OMRON E2B-M18LN10-WZ-B1 2m"/>
    <s v="UN"/>
    <n v="2"/>
    <n v="74.048000000000002"/>
    <n v="148.096"/>
    <x v="3"/>
  </r>
  <r>
    <s v="007"/>
    <s v="PR02"/>
    <s v="815CAP016"/>
    <s v="Capteur OMRON E2B-M12KN08-WZ-B1 2m"/>
    <s v="UN"/>
    <n v="3"/>
    <n v="0"/>
    <n v="0"/>
    <x v="3"/>
  </r>
  <r>
    <s v="007"/>
    <s v="PR02"/>
    <s v="815CAP018"/>
    <s v="Capteur de niveau 01DLF3KG/IO-LINK Performer"/>
    <s v="UN"/>
    <n v="1"/>
    <n v="1168.6383000000001"/>
    <n v="1168.6383000000001"/>
    <x v="3"/>
  </r>
  <r>
    <s v="007"/>
    <s v="PR02"/>
    <s v="815cap021"/>
    <s v="Capteur fin de course CLS-103  M.tubulaire"/>
    <s v="UN"/>
    <n v="9"/>
    <n v="14.903100000000002"/>
    <n v="134.12790000000001"/>
    <x v="3"/>
  </r>
  <r>
    <s v="007"/>
    <s v="PR02"/>
    <s v="815CAP030"/>
    <s v="Capteur photocell E3JK-DP11C"/>
    <s v="UN"/>
    <n v="2"/>
    <n v="0"/>
    <n v="0"/>
    <x v="3"/>
  </r>
  <r>
    <s v="007"/>
    <s v="PR02"/>
    <s v="815CAP031"/>
    <s v="CAPTEUR DE NIVEAU WENGLER OY1P303P0102"/>
    <s v="UN"/>
    <n v="1"/>
    <n v="0"/>
    <n v="0"/>
    <x v="3"/>
  </r>
  <r>
    <s v="007"/>
    <s v="PR02"/>
    <s v="815CAP032"/>
    <s v="Cable connecteur capteur de niveau wengler"/>
    <s v="UN"/>
    <n v="1"/>
    <n v="0"/>
    <n v="0"/>
    <x v="3"/>
  </r>
  <r>
    <s v="007"/>
    <s v="PR02"/>
    <s v="815CAP033"/>
    <s v="Capteur XS118BJPAM12 STRIP"/>
    <s v="UN"/>
    <n v="2"/>
    <n v="0"/>
    <n v="0"/>
    <x v="3"/>
  </r>
  <r>
    <s v="007"/>
    <s v="PR02"/>
    <s v="815CAP034"/>
    <s v="Cable connecteur Capteur XS118BJPAM12 STRIP"/>
    <s v="UN"/>
    <n v="2"/>
    <n v="0"/>
    <n v="0"/>
    <x v="3"/>
  </r>
  <r>
    <s v="007"/>
    <s v="PR02"/>
    <s v="815CAP043"/>
    <s v="Capteur magnetique KT-40P  DE VERIN"/>
    <s v="UN"/>
    <n v="4"/>
    <n v="70.090999999999994"/>
    <n v="280.36399999999998"/>
    <x v="3"/>
  </r>
  <r>
    <s v="007"/>
    <s v="PR02"/>
    <s v="815CAP147"/>
    <s v="Capteur fin de course (buté) CWLD2"/>
    <s v="UN"/>
    <n v="3"/>
    <n v="40.674599999999998"/>
    <n v="122.02379999999999"/>
    <x v="3"/>
  </r>
  <r>
    <s v="007"/>
    <s v="PR02"/>
    <s v="815CON009"/>
    <s v="Contacteur 3P 185A 220V 3RT1056-6AP36  Comp"/>
    <s v="UN"/>
    <n v="1"/>
    <n v="1056.4279999999999"/>
    <n v="1056.4279999999999"/>
    <x v="3"/>
  </r>
  <r>
    <s v="007"/>
    <s v="PR02"/>
    <s v="815CON026"/>
    <s v="Contacteur LC1D25 48V"/>
    <s v="UN"/>
    <n v="2"/>
    <n v="132.84350000000001"/>
    <n v="265.68700000000001"/>
    <x v="3"/>
  </r>
  <r>
    <s v="007"/>
    <s v="PR02"/>
    <s v="815CON027"/>
    <s v="Contacteur 32A 3P 48VAC"/>
    <s v="UN"/>
    <n v="1"/>
    <n v="166.86"/>
    <n v="166.86"/>
    <x v="3"/>
  </r>
  <r>
    <s v="007"/>
    <s v="PR02"/>
    <s v="815CON043"/>
    <s v="Contact Auxiliaire LADN22"/>
    <s v="UN"/>
    <n v="9"/>
    <n v="17.920000000000002"/>
    <n v="161.28000000000003"/>
    <x v="3"/>
  </r>
  <r>
    <s v="007"/>
    <s v="PR02"/>
    <s v="815CON047"/>
    <s v="Contact Auxiliaire NO/NC"/>
    <s v="UN"/>
    <n v="10"/>
    <n v="23.035"/>
    <n v="230.35"/>
    <x v="3"/>
  </r>
  <r>
    <s v="007"/>
    <s v="PR02"/>
    <s v="815CON053"/>
    <s v="Contacteur 40A 380V"/>
    <s v="UN"/>
    <n v="1"/>
    <n v="256.18720000000002"/>
    <n v="256.18720000000002"/>
    <x v="3"/>
  </r>
  <r>
    <s v="007"/>
    <s v="PR02"/>
    <s v="815CON272"/>
    <s v="Contacteur LC1D018 220V"/>
    <s v="UN"/>
    <n v="1"/>
    <n v="69.92"/>
    <n v="69.92"/>
    <x v="3"/>
  </r>
  <r>
    <s v="007"/>
    <s v="PR02"/>
    <s v="815CON274"/>
    <s v="Contacteur LC1D025 220VAC"/>
    <s v="UN"/>
    <n v="1"/>
    <n v="90.4"/>
    <n v="90.4"/>
    <x v="3"/>
  </r>
  <r>
    <s v="007"/>
    <s v="PR02"/>
    <s v="815CON275"/>
    <s v="Contacteur LC1D032 24VDC"/>
    <s v="UN"/>
    <n v="1"/>
    <n v="141.928"/>
    <n v="141.928"/>
    <x v="3"/>
  </r>
  <r>
    <s v="007"/>
    <s v="PR02"/>
    <s v="815CON278"/>
    <s v="Contacteur 220v 40A"/>
    <s v="UN"/>
    <n v="1"/>
    <n v="0"/>
    <n v="0"/>
    <x v="3"/>
  </r>
  <r>
    <s v="007"/>
    <s v="PR02"/>
    <s v="815COS003"/>
    <s v="Cosse a sertir SC35-10"/>
    <s v="UN"/>
    <n v="150"/>
    <n v="0.68720000000000003"/>
    <n v="103.08"/>
    <x v="3"/>
  </r>
  <r>
    <s v="007"/>
    <s v="PR02"/>
    <s v="815COS005"/>
    <s v="Cosse a sertir SC70-10"/>
    <s v="UN"/>
    <n v="35"/>
    <n v="1.9024714285714286"/>
    <n v="66.586500000000001"/>
    <x v="3"/>
  </r>
  <r>
    <s v="007"/>
    <s v="PR02"/>
    <s v="815COS006"/>
    <s v="Cosse a sertir SC50-10"/>
    <s v="UN"/>
    <n v="48"/>
    <n v="1.3051500000000003"/>
    <n v="62.647200000000012"/>
    <x v="3"/>
  </r>
  <r>
    <s v="007"/>
    <s v="PR02"/>
    <s v="815COS010"/>
    <s v="Cosse fil 2.5mm  M4"/>
    <s v="UN"/>
    <n v="190"/>
    <n v="8.5500000000000007E-2"/>
    <n v="16.245000000000001"/>
    <x v="3"/>
  </r>
  <r>
    <s v="007"/>
    <s v="PR02"/>
    <s v="815COS012"/>
    <s v="Cosse fil 2.5mm  M6"/>
    <s v="UN"/>
    <n v="148"/>
    <n v="0.11700000000000001"/>
    <n v="17.316000000000003"/>
    <x v="3"/>
  </r>
  <r>
    <s v="007"/>
    <s v="PR02"/>
    <s v="815cos017"/>
    <s v="Cosse a sertir SC35-06"/>
    <s v="UN"/>
    <n v="15"/>
    <n v="1.2172000000000001"/>
    <n v="18.258000000000003"/>
    <x v="3"/>
  </r>
  <r>
    <s v="007"/>
    <s v="PR02"/>
    <s v="815COS282"/>
    <s v="Cosse fil 1.5mm  M4"/>
    <s v="UN"/>
    <n v="148"/>
    <n v="7.4999999999999997E-2"/>
    <n v="11.1"/>
    <x v="3"/>
  </r>
  <r>
    <s v="007"/>
    <s v="PR02"/>
    <s v="815COS283"/>
    <s v="Cosse fil 1.5mm M6"/>
    <s v="UN"/>
    <n v="140"/>
    <n v="7.4999999999999997E-2"/>
    <n v="10.5"/>
    <x v="3"/>
  </r>
  <r>
    <s v="007"/>
    <s v="PR02"/>
    <s v="815COS286"/>
    <s v="COSSE JAUNE 8"/>
    <s v="UN"/>
    <n v="48"/>
    <n v="0.22196666666666667"/>
    <n v="10.654400000000001"/>
    <x v="3"/>
  </r>
  <r>
    <s v="007"/>
    <s v="PR02"/>
    <s v="815COS287"/>
    <s v="COSSE JAUNE6"/>
    <s v="UN"/>
    <n v="42"/>
    <n v="0.19326999999999997"/>
    <n v="8.1173399999999987"/>
    <x v="3"/>
  </r>
  <r>
    <s v="007"/>
    <s v="PR02"/>
    <s v="815COS288"/>
    <s v="Cosse a sertie SC06-06"/>
    <s v="UN"/>
    <n v="182"/>
    <n v="7.2999999999999995E-2"/>
    <n v="13.286"/>
    <x v="3"/>
  </r>
  <r>
    <s v="007"/>
    <s v="PR02"/>
    <s v="815COS289"/>
    <s v="Cosse a sertie rond M04"/>
    <s v="UN"/>
    <n v="75"/>
    <n v="0.11814"/>
    <n v="8.8605"/>
    <x v="3"/>
  </r>
  <r>
    <s v="007"/>
    <s v="PR02"/>
    <s v="815COS294"/>
    <s v="Cosse a sertie ROND M08 Section cable 10mm"/>
    <s v="UN"/>
    <n v="1"/>
    <n v="0.39600000000000002"/>
    <n v="0.39600000000000002"/>
    <x v="3"/>
  </r>
  <r>
    <s v="007"/>
    <s v="PR02"/>
    <s v="815DIS002"/>
    <s v="DISJONCTEUR MOTEUR 2.5A--4A"/>
    <s v="UN"/>
    <n v="2"/>
    <n v="87.93"/>
    <n v="175.86"/>
    <x v="3"/>
  </r>
  <r>
    <s v="007"/>
    <s v="PR02"/>
    <s v="815DIS003"/>
    <s v="DISJONCTEUR 160A"/>
    <s v="UN"/>
    <n v="1"/>
    <n v="446.6"/>
    <n v="446.6"/>
    <x v="3"/>
  </r>
  <r>
    <s v="007"/>
    <s v="PR02"/>
    <s v="815DIS013"/>
    <s v="Disjoncteur 40A 3P DELIXI"/>
    <s v="UN"/>
    <n v="1"/>
    <n v="0"/>
    <n v="0"/>
    <x v="3"/>
  </r>
  <r>
    <s v="007"/>
    <s v="PR02"/>
    <s v="815DIS015"/>
    <s v="Disjoncteur 25A 2P"/>
    <s v="UN"/>
    <n v="1"/>
    <n v="0"/>
    <n v="0"/>
    <x v="3"/>
  </r>
  <r>
    <s v="007"/>
    <s v="PR02"/>
    <s v="815dis023"/>
    <s v="Disjoncteur 16A 2P"/>
    <s v="UN"/>
    <n v="1"/>
    <n v="20.211300000000001"/>
    <n v="20.211300000000001"/>
    <x v="3"/>
  </r>
  <r>
    <s v="007"/>
    <s v="PR02"/>
    <s v="815DIS031"/>
    <s v="Disjoncteur 32A 2 PORT"/>
    <s v="UN"/>
    <n v="3"/>
    <n v="20.862400000000001"/>
    <n v="62.587200000000003"/>
    <x v="3"/>
  </r>
  <r>
    <s v="007"/>
    <s v="PR02"/>
    <s v="815DIS038"/>
    <s v="Disjoncteur 16A 4 port SIAME"/>
    <s v="UN"/>
    <n v="3"/>
    <n v="40.43535"/>
    <n v="121.30605"/>
    <x v="3"/>
  </r>
  <r>
    <s v="007"/>
    <s v="PR02"/>
    <s v="815DIS286"/>
    <s v="Disjoncteur 32A 4 PORT"/>
    <s v="UN"/>
    <n v="2"/>
    <n v="49.363750000000003"/>
    <n v="98.727500000000006"/>
    <x v="3"/>
  </r>
  <r>
    <s v="007"/>
    <s v="PR02"/>
    <s v="815DIS291"/>
    <s v="Disjoncteur 32A 3 PORT"/>
    <s v="UN"/>
    <n v="3"/>
    <n v="34.598399999999998"/>
    <n v="103.79519999999999"/>
    <x v="3"/>
  </r>
  <r>
    <s v="007"/>
    <s v="PR02"/>
    <s v="815DIS294"/>
    <s v="Disjoncteur 4x250A avec reglage"/>
    <s v="UN"/>
    <n v="1"/>
    <n v="0"/>
    <n v="0"/>
    <x v="3"/>
  </r>
  <r>
    <s v="007"/>
    <s v="PR02"/>
    <s v="815DIS297"/>
    <s v="Disjoncteur 16A 3 port"/>
    <s v="UN"/>
    <n v="3"/>
    <n v="40.953000000000003"/>
    <n v="122.85900000000001"/>
    <x v="3"/>
  </r>
  <r>
    <s v="007"/>
    <s v="PR02"/>
    <s v="815dis302"/>
    <s v="Disjoncteur moteur20-25A TESYS 034325"/>
    <s v="UN"/>
    <n v="3"/>
    <n v="137.6"/>
    <n v="412.79999999999995"/>
    <x v="3"/>
  </r>
  <r>
    <s v="007"/>
    <s v="PR02"/>
    <s v="815ELE004"/>
    <s v="ELECTROVANNE AC 110V PU220A-04"/>
    <s v="UN"/>
    <n v="1"/>
    <n v="102.87"/>
    <n v="102.87"/>
    <x v="3"/>
  </r>
  <r>
    <s v="007"/>
    <s v="PR02"/>
    <s v="815ELE013"/>
    <s v="Transformateur 380/220/24VAC 100VA"/>
    <s v="UN"/>
    <n v="1"/>
    <n v="30.52"/>
    <n v="30.52"/>
    <x v="3"/>
  </r>
  <r>
    <s v="007"/>
    <s v="PR02"/>
    <s v="815ELE020"/>
    <s v="Electrovanne 20/27 24VDC"/>
    <s v="UN"/>
    <n v="2"/>
    <n v="125.46"/>
    <n v="250.92"/>
    <x v="3"/>
  </r>
  <r>
    <s v="007"/>
    <s v="PR02"/>
    <s v="815ele034"/>
    <s v="Sectionneur 125A 4P"/>
    <s v="UN"/>
    <n v="1"/>
    <n v="158.32149999999999"/>
    <n v="158.32149999999999"/>
    <x v="3"/>
  </r>
  <r>
    <s v="007"/>
    <s v="PR02"/>
    <s v="815ELE037"/>
    <s v="Repartiteur 4*125A"/>
    <s v="UN"/>
    <n v="2"/>
    <n v="36.358750000000001"/>
    <n v="72.717500000000001"/>
    <x v="3"/>
  </r>
  <r>
    <s v="007"/>
    <s v="PR02"/>
    <s v="815ELE039"/>
    <s v="Transformateur 300VA 220/380/415v SEC 0.19.24"/>
    <s v="UN"/>
    <n v="1"/>
    <n v="157.5"/>
    <n v="157.5"/>
    <x v="3"/>
  </r>
  <r>
    <s v="007"/>
    <s v="PR02"/>
    <s v="815ELE042"/>
    <s v="Transformateur de courant 100A  Cham.muris"/>
    <s v="UN"/>
    <n v="2"/>
    <n v="23.648"/>
    <n v="47.295999999999999"/>
    <x v="3"/>
  </r>
  <r>
    <s v="007"/>
    <s v="PR02"/>
    <s v="815ELE043"/>
    <s v="Transformateur 380V-110V 630VA  EMP CHI"/>
    <s v="UN"/>
    <n v="1"/>
    <n v="167.148"/>
    <n v="167.148"/>
    <x v="3"/>
  </r>
  <r>
    <s v="007"/>
    <s v="PR02"/>
    <s v="815ELE045"/>
    <s v="Commutateur 3Ph 02positions   Grp ref Punshing"/>
    <s v="UN"/>
    <n v="1"/>
    <n v="25.139600000000002"/>
    <n v="25.139600000000002"/>
    <x v="3"/>
  </r>
  <r>
    <s v="007"/>
    <s v="PR02"/>
    <s v="815ele054"/>
    <s v="Electro directionnel DSG-03-3C4-D24-N1-50"/>
    <s v="UN"/>
    <n v="1"/>
    <n v="0"/>
    <n v="0"/>
    <x v="3"/>
  </r>
  <r>
    <s v="007"/>
    <s v="PR02"/>
    <s v="815ele055"/>
    <s v="Electro directionnel BSG-03-2B3B-D24-N1-51"/>
    <s v="UN"/>
    <n v="1"/>
    <n v="0"/>
    <n v="0"/>
    <x v="3"/>
  </r>
  <r>
    <s v="007"/>
    <s v="PR02"/>
    <s v="815ele056"/>
    <s v="Electro HYDROLIQUE DSG-03-3C2-D24-N1-50 WGN"/>
    <s v="UN"/>
    <n v="1"/>
    <n v="0"/>
    <n v="0"/>
    <x v="3"/>
  </r>
  <r>
    <s v="007"/>
    <s v="PR02"/>
    <s v="815ELE080"/>
    <s v="Transformateur allumage 8/30pm 8kv bruleur"/>
    <s v="UN"/>
    <n v="2"/>
    <n v="0"/>
    <n v="0"/>
    <x v="3"/>
  </r>
  <r>
    <s v="007"/>
    <s v="PR02"/>
    <s v="815ELE087"/>
    <s v="Electrovanne Gaz BRAHMA EG25*L.3 GMO  Bruleur"/>
    <s v="UN"/>
    <n v="2"/>
    <n v="540.54089999999997"/>
    <n v="1081.0817999999999"/>
    <x v="3"/>
  </r>
  <r>
    <s v="007"/>
    <s v="PR02"/>
    <s v="815ELE305"/>
    <s v="électrovanne 15/21 24V DC"/>
    <s v="UN"/>
    <n v="4"/>
    <n v="125.46"/>
    <n v="501.84"/>
    <x v="3"/>
  </r>
  <r>
    <s v="007"/>
    <s v="PR02"/>
    <s v="815ELE316"/>
    <s v="Adaptateur HYD MM DN 1/4"/>
    <s v="UN"/>
    <n v="8"/>
    <n v="6.3"/>
    <n v="50.4"/>
    <x v="3"/>
  </r>
  <r>
    <s v="007"/>
    <s v="PR02"/>
    <s v="815ELE317"/>
    <s v="Adaptateur hydrolique 9/16"/>
    <s v="UN"/>
    <n v="1"/>
    <n v="9.4499999999999993"/>
    <n v="9.4499999999999993"/>
    <x v="3"/>
  </r>
  <r>
    <s v="007"/>
    <s v="PR02"/>
    <s v="815ELE318"/>
    <s v="Adaptateur hydrolique 1/2"/>
    <s v="UN"/>
    <n v="1"/>
    <n v="12.6"/>
    <n v="12.6"/>
    <x v="3"/>
  </r>
  <r>
    <s v="007"/>
    <s v="PR02"/>
    <s v="815ELE319"/>
    <s v="Adaptateur male femelle 1/2"/>
    <s v="UN"/>
    <n v="1"/>
    <n v="14.4"/>
    <n v="14.4"/>
    <x v="3"/>
  </r>
  <r>
    <s v="007"/>
    <s v="PR02"/>
    <s v="815FUS001"/>
    <s v="FUSIBLES 125A 500v 100ka"/>
    <s v="UN"/>
    <n v="8"/>
    <n v="7.3048610526315789"/>
    <n v="58.438888421052631"/>
    <x v="3"/>
  </r>
  <r>
    <s v="007"/>
    <s v="PR02"/>
    <s v="815FUS002"/>
    <s v="FUSIBLES 50A 100KA 690V"/>
    <s v="UN"/>
    <n v="5"/>
    <n v="6.3433333333333337"/>
    <n v="31.716666666666669"/>
    <x v="3"/>
  </r>
  <r>
    <s v="007"/>
    <s v="PR02"/>
    <s v="815FUS007"/>
    <s v="Fusible 4A Forme bouteille"/>
    <s v="UN"/>
    <n v="6"/>
    <n v="0.47970000000000007"/>
    <n v="2.8782000000000005"/>
    <x v="3"/>
  </r>
  <r>
    <s v="007"/>
    <s v="PR02"/>
    <s v="815FUS008"/>
    <s v="Fusible 25A Forme bouteille"/>
    <s v="UN"/>
    <n v="2"/>
    <n v="5"/>
    <n v="10"/>
    <x v="3"/>
  </r>
  <r>
    <s v="007"/>
    <s v="PR02"/>
    <s v="815FUS009"/>
    <s v="Fusible 1A 5*20MM F1A"/>
    <s v="UN"/>
    <n v="9"/>
    <n v="0.26371428571428573"/>
    <n v="2.3734285714285717"/>
    <x v="3"/>
  </r>
  <r>
    <s v="007"/>
    <s v="PR02"/>
    <s v="815FUS010"/>
    <s v="Fusible 6A Forme bouteille"/>
    <s v="UN"/>
    <n v="5"/>
    <n v="1.067278911564626"/>
    <n v="5.3363945578231302"/>
    <x v="3"/>
  </r>
  <r>
    <s v="007"/>
    <s v="PR02"/>
    <s v="815FUS011"/>
    <s v="Fusible 16A  500V Forme bouteille  50*22"/>
    <s v="UN"/>
    <n v="18"/>
    <n v="1.116077922077922"/>
    <n v="20.089402597402596"/>
    <x v="3"/>
  </r>
  <r>
    <s v="007"/>
    <s v="PR02"/>
    <s v="815FUS013"/>
    <s v="Porte Fusible uni 22*58    125A"/>
    <s v="UN"/>
    <n v="1"/>
    <n v="15.270860000000003"/>
    <n v="15.270860000000003"/>
    <x v="3"/>
  </r>
  <r>
    <s v="007"/>
    <s v="PR02"/>
    <s v="815FUS015"/>
    <s v="Fusible 25A 500V Forme conique"/>
    <s v="UN"/>
    <n v="4"/>
    <n v="1.72"/>
    <n v="6.88"/>
    <x v="3"/>
  </r>
  <r>
    <s v="007"/>
    <s v="PR02"/>
    <s v="815FUS016"/>
    <s v="Fusible 10A 400V Forme bouteille"/>
    <s v="UN"/>
    <n v="36"/>
    <n v="0.98199999999999998"/>
    <n v="35.351999999999997"/>
    <x v="3"/>
  </r>
  <r>
    <s v="007"/>
    <s v="PR02"/>
    <s v="815FUS017"/>
    <s v="Fusible 63A 500V Forme bouteille"/>
    <s v="UN"/>
    <n v="5"/>
    <n v="0.75"/>
    <n v="3.75"/>
    <x v="3"/>
  </r>
  <r>
    <s v="007"/>
    <s v="PR02"/>
    <s v="815FUS018"/>
    <s v="Fusible 20A 400V 10*38"/>
    <s v="UN"/>
    <n v="18"/>
    <n v="1.2300627272727274"/>
    <n v="22.141129090909093"/>
    <x v="3"/>
  </r>
  <r>
    <s v="007"/>
    <s v="PR02"/>
    <s v="815FUS019"/>
    <s v="Fusible 25A 400V 10*38"/>
    <s v="UN"/>
    <n v="59"/>
    <n v="1.72"/>
    <n v="101.48"/>
    <x v="3"/>
  </r>
  <r>
    <s v="007"/>
    <s v="PR02"/>
    <s v="815FUS020"/>
    <s v="Fusible 63A 500V 22*58"/>
    <s v="UN"/>
    <n v="17"/>
    <n v="0.75"/>
    <n v="12.75"/>
    <x v="3"/>
  </r>
  <r>
    <s v="007"/>
    <s v="PR02"/>
    <s v="815FUS021"/>
    <s v="Fusible 32A 500V 15*51"/>
    <s v="UN"/>
    <n v="29"/>
    <n v="1.72"/>
    <n v="49.88"/>
    <x v="3"/>
  </r>
  <r>
    <s v="007"/>
    <s v="PR02"/>
    <s v="815FUS022"/>
    <s v="Fusible 1A 500V 10*38"/>
    <s v="UN"/>
    <n v="5"/>
    <n v="0.19800000000000001"/>
    <n v="0.99"/>
    <x v="3"/>
  </r>
  <r>
    <s v="007"/>
    <s v="PR02"/>
    <s v="815FUS023"/>
    <s v="Porte Fusible  10*38"/>
    <s v="UN"/>
    <n v="1"/>
    <n v="4.9793000000000003"/>
    <n v="4.9793000000000003"/>
    <x v="3"/>
  </r>
  <r>
    <s v="007"/>
    <s v="PR02"/>
    <s v="815FUS035"/>
    <s v="FUSIBLE 100A gG 500V 120KA   Condens TGBT"/>
    <s v="UN"/>
    <n v="3"/>
    <n v="8.5500000000000007"/>
    <n v="25.650000000000002"/>
    <x v="3"/>
  </r>
  <r>
    <s v="007"/>
    <s v="PR02"/>
    <s v="815FUS043"/>
    <s v="FUSIBLE 80A 22*58"/>
    <s v="UN"/>
    <n v="1"/>
    <n v="1.9125000000000001"/>
    <n v="1.9125000000000001"/>
    <x v="3"/>
  </r>
  <r>
    <s v="007"/>
    <s v="PR02"/>
    <s v="815FUS311"/>
    <s v="FUSIBLE 32A"/>
    <s v="UN"/>
    <n v="19"/>
    <n v="0.2475"/>
    <n v="4.7024999999999997"/>
    <x v="3"/>
  </r>
  <r>
    <s v="007"/>
    <s v="PR02"/>
    <s v="815FUS312"/>
    <s v="FUSIBLES 10A 10*38"/>
    <s v="UN"/>
    <n v="15"/>
    <n v="0.5214545454545455"/>
    <n v="7.8218181818181822"/>
    <x v="3"/>
  </r>
  <r>
    <s v="007"/>
    <s v="PR02"/>
    <s v="815FUS314"/>
    <s v="FUSIBLES 2A 10*38  500V"/>
    <s v="UN"/>
    <n v="8"/>
    <n v="0.63749999999999996"/>
    <n v="5.0999999999999996"/>
    <x v="3"/>
  </r>
  <r>
    <s v="007"/>
    <s v="PR02"/>
    <s v="815FUS315"/>
    <s v="FUSIBLES 4A 10*38  500V"/>
    <s v="UN"/>
    <n v="30"/>
    <n v="0.52025434782608682"/>
    <n v="15.607630434782605"/>
    <x v="3"/>
  </r>
  <r>
    <s v="007"/>
    <s v="PR02"/>
    <s v="815FUS316"/>
    <s v="FUSIBLE 5A 250V"/>
    <s v="UN"/>
    <n v="75"/>
    <n v="0.184"/>
    <n v="13.799999999999999"/>
    <x v="3"/>
  </r>
  <r>
    <s v="007"/>
    <s v="PR02"/>
    <s v="815gai004"/>
    <s v="Gaine anti chaleur D10mm"/>
    <s v="M"/>
    <n v="45"/>
    <n v="5.3904857142857141"/>
    <n v="242.57185714285714"/>
    <x v="3"/>
  </r>
  <r>
    <s v="007"/>
    <s v="PR02"/>
    <s v="815GAI013"/>
    <s v="Gaine thermoretractable 08mm"/>
    <s v="M"/>
    <n v="2"/>
    <n v="5.2329999999999997"/>
    <n v="10.465999999999999"/>
    <x v="3"/>
  </r>
  <r>
    <s v="007"/>
    <s v="PR02"/>
    <s v="815GAI318"/>
    <s v="gaine anti chaleur 6mm"/>
    <s v="UN"/>
    <n v="40"/>
    <n v="3.4649999999999999"/>
    <n v="138.6"/>
    <x v="3"/>
  </r>
  <r>
    <s v="007"/>
    <s v="PR02"/>
    <s v="815GAI319"/>
    <s v="gaine anti chaleur 12mm"/>
    <s v="UN"/>
    <n v="4"/>
    <n v="5.4135"/>
    <n v="21.654"/>
    <x v="3"/>
  </r>
  <r>
    <s v="007"/>
    <s v="PR02"/>
    <s v="815GAI320"/>
    <s v="gaine anti chaleur 16mm"/>
    <s v="UN"/>
    <n v="15"/>
    <n v="9.512100000000002"/>
    <n v="142.68150000000003"/>
    <x v="3"/>
  </r>
  <r>
    <s v="007"/>
    <s v="PR02"/>
    <s v="815GAI321"/>
    <s v="gaine anti chaleur 2,5mm"/>
    <s v="UN"/>
    <n v="6"/>
    <n v="2.0790000000000002"/>
    <n v="12.474"/>
    <x v="3"/>
  </r>
  <r>
    <s v="007"/>
    <s v="PR02"/>
    <s v="815GAI322"/>
    <s v="gaine anti chaleur 4mm"/>
    <s v="UN"/>
    <n v="6"/>
    <n v="2.7423000000000002"/>
    <n v="16.453800000000001"/>
    <x v="3"/>
  </r>
  <r>
    <s v="007"/>
    <s v="PR02"/>
    <s v="815GAI323"/>
    <s v="gaine anti chaleur 8mm"/>
    <s v="UN"/>
    <n v="23"/>
    <n v="4.5233999999999996"/>
    <n v="104.03819999999999"/>
    <x v="3"/>
  </r>
  <r>
    <s v="007"/>
    <s v="PR02"/>
    <s v="815GOU006"/>
    <s v="GOUPILLE  D6*50"/>
    <s v="UN"/>
    <n v="98"/>
    <n v="0.28150974025974029"/>
    <n v="27.587954545454547"/>
    <x v="3"/>
  </r>
  <r>
    <s v="007"/>
    <s v="PR02"/>
    <s v="815lam007"/>
    <s v="tube NEON 120"/>
    <s v="UN"/>
    <n v="3"/>
    <n v="3.15"/>
    <n v="9.4499999999999993"/>
    <x v="3"/>
  </r>
  <r>
    <s v="007"/>
    <s v="PR02"/>
    <s v="815POT002"/>
    <s v="POTENTIOMETRE 5K 4W RV24YN 20S B502 Strip"/>
    <s v="UN"/>
    <n v="2"/>
    <n v="42.56"/>
    <n v="85.12"/>
    <x v="3"/>
  </r>
  <r>
    <s v="007"/>
    <s v="PR02"/>
    <s v="815PRE004"/>
    <s v="PRESSOSTAT Filtre 20bar ecart fixe 1seuil-1 OF"/>
    <s v="UN"/>
    <n v="2"/>
    <n v="421.01519999999999"/>
    <n v="842.03039999999999"/>
    <x v="3"/>
  </r>
  <r>
    <s v="007"/>
    <s v="PR02"/>
    <s v="815PRO001"/>
    <s v="PROJECTEUR 400W"/>
    <s v="UN"/>
    <n v="1"/>
    <n v="450.45"/>
    <n v="450.45"/>
    <x v="3"/>
  </r>
  <r>
    <s v="007"/>
    <s v="PR02"/>
    <s v="815pro009"/>
    <s v="PROJECTEUR LED 400W"/>
    <s v="UN"/>
    <n v="3"/>
    <n v="450.45"/>
    <n v="1351.35"/>
    <x v="3"/>
  </r>
  <r>
    <s v="007"/>
    <s v="PR02"/>
    <s v="815REL002"/>
    <s v="RELAIS THERMIQUE 30-40A"/>
    <s v="UN"/>
    <n v="3"/>
    <n v="157.5"/>
    <n v="472.5"/>
    <x v="3"/>
  </r>
  <r>
    <s v="007"/>
    <s v="PR02"/>
    <s v="815rel005"/>
    <s v="RELAIS DE NIVEAU 2RM35LM33MW"/>
    <s v="UN"/>
    <n v="2"/>
    <n v="140.69019"/>
    <n v="281.38038"/>
    <x v="3"/>
  </r>
  <r>
    <s v="007"/>
    <s v="PR02"/>
    <s v="815REL009"/>
    <s v="Relais thermique 7A-10A"/>
    <s v="UN"/>
    <n v="2"/>
    <n v="87.75"/>
    <n v="175.5"/>
    <x v="3"/>
  </r>
  <r>
    <s v="007"/>
    <s v="PR02"/>
    <s v="815REL010"/>
    <s v="Relais alternatif 24VAC 14 broches"/>
    <s v="UN"/>
    <n v="6"/>
    <n v="17.094903703703704"/>
    <n v="102.56942222222222"/>
    <x v="3"/>
  </r>
  <r>
    <s v="007"/>
    <s v="PR02"/>
    <s v="815REL013"/>
    <s v="Relais thermique 1-1.6A LRD06 Shneider"/>
    <s v="UN"/>
    <n v="1"/>
    <n v="82.8"/>
    <n v="82.8"/>
    <x v="3"/>
  </r>
  <r>
    <s v="007"/>
    <s v="PR02"/>
    <s v="815rel014"/>
    <s v="Relais thermoregulateur TF4-M1  48*48"/>
    <s v="UN"/>
    <n v="1"/>
    <n v="76.388249999999999"/>
    <n v="76.388249999999999"/>
    <x v="3"/>
  </r>
  <r>
    <s v="007"/>
    <s v="PR02"/>
    <s v="815REL018"/>
    <s v="Relais G2R-2-SND 24VDC 8Broches"/>
    <s v="UN"/>
    <n v="6"/>
    <n v="0"/>
    <n v="0"/>
    <x v="3"/>
  </r>
  <r>
    <s v="007"/>
    <s v="PR02"/>
    <s v="815REL020"/>
    <s v="Relais Statique SSR-25DD 25A"/>
    <s v="UN"/>
    <n v="2"/>
    <n v="0"/>
    <n v="0"/>
    <x v="3"/>
  </r>
  <r>
    <s v="007"/>
    <s v="PR02"/>
    <s v="815REL022"/>
    <s v="RELAIS THERMIQUE 23-32A"/>
    <s v="UN"/>
    <n v="2"/>
    <n v="157.5"/>
    <n v="315"/>
    <x v="3"/>
  </r>
  <r>
    <s v="007"/>
    <s v="PR02"/>
    <s v="815REL025"/>
    <s v="RELAIS TEMPORISE CIRCUL 220VAC H3CR 8 BROCHES"/>
    <s v="UN"/>
    <n v="2"/>
    <n v="181.5617"/>
    <n v="363.1234"/>
    <x v="3"/>
  </r>
  <r>
    <s v="007"/>
    <s v="PR02"/>
    <s v="815REL028"/>
    <s v="Relais thermique 4A-6A"/>
    <s v="UN"/>
    <n v="2"/>
    <n v="89.1"/>
    <n v="178.2"/>
    <x v="3"/>
  </r>
  <r>
    <s v="007"/>
    <s v="PR02"/>
    <s v="815REL034"/>
    <s v="RELAIS DE NIVEAU 220V"/>
    <s v="UN"/>
    <n v="1"/>
    <n v="50.32"/>
    <n v="50.32"/>
    <x v="3"/>
  </r>
  <r>
    <s v="007"/>
    <s v="PR02"/>
    <s v="815REL035"/>
    <s v="RELAIS THERMIQUE 9-13A"/>
    <s v="UN"/>
    <n v="5"/>
    <n v="87.465000000000003"/>
    <n v="437.32500000000005"/>
    <x v="3"/>
  </r>
  <r>
    <s v="007"/>
    <s v="PR02"/>
    <s v="815REL038"/>
    <s v="RELAIS 24VDC 11 broches WEIDMULLER"/>
    <s v="UN"/>
    <n v="5"/>
    <n v="21.433599999999998"/>
    <n v="107.16799999999999"/>
    <x v="3"/>
  </r>
  <r>
    <s v="007"/>
    <s v="PR02"/>
    <s v="815REL039"/>
    <s v="Socle RELAIS 24VDC 11 broches WEIDMULLER"/>
    <s v="UN"/>
    <n v="3"/>
    <n v="10.391999999999999"/>
    <n v="31.175999999999998"/>
    <x v="3"/>
  </r>
  <r>
    <s v="007"/>
    <s v="PR02"/>
    <s v="815REL041"/>
    <s v="Relais de tension TRI avec asymetrie 5% 25% 38"/>
    <s v="UN"/>
    <n v="1"/>
    <n v="114.7483"/>
    <n v="114.7483"/>
    <x v="3"/>
  </r>
  <r>
    <s v="007"/>
    <s v="PR02"/>
    <s v="815REL340"/>
    <s v="RELAIS TEMP 11 BROCHE H3CR  220VAC"/>
    <s v="UN"/>
    <n v="5"/>
    <n v="166.898"/>
    <n v="834.49"/>
    <x v="3"/>
  </r>
  <r>
    <s v="007"/>
    <s v="PR02"/>
    <s v="815RES001"/>
    <s v="Résistance a ailette (3000w) D16/1115mm/2000w (12"/>
    <s v="UN"/>
    <n v="4"/>
    <n v="238.3398"/>
    <n v="953.35919999999999"/>
    <x v="3"/>
  </r>
  <r>
    <s v="007"/>
    <s v="PR02"/>
    <s v="815RES016"/>
    <s v="Resistance D12.7/L305/240V/800W  COS4"/>
    <s v="UN"/>
    <n v="6"/>
    <n v="85.5"/>
    <n v="513"/>
    <x v="3"/>
  </r>
  <r>
    <s v="007"/>
    <s v="PR02"/>
    <s v="815RES020"/>
    <s v="Resistance D10/L280/230V/700W COS4"/>
    <s v="UN"/>
    <n v="1"/>
    <n v="85.5"/>
    <n v="85.5"/>
    <x v="3"/>
  </r>
  <r>
    <s v="007"/>
    <s v="PR02"/>
    <s v="815RES021"/>
    <s v="Resistance D12.7/L395/230V/1500W COS4"/>
    <s v="UN"/>
    <n v="6"/>
    <n v="162.44999999999999"/>
    <n v="974.69999999999993"/>
    <x v="3"/>
  </r>
  <r>
    <s v="007"/>
    <s v="PR02"/>
    <s v="815RES022"/>
    <s v="Resistance L450/230V/1700W"/>
    <s v="UN"/>
    <n v="14"/>
    <n v="85.5"/>
    <n v="1197"/>
    <x v="3"/>
  </r>
  <r>
    <s v="007"/>
    <s v="PR02"/>
    <s v="815res025"/>
    <s v="Resistance D16/L135/600W/230V"/>
    <s v="UN"/>
    <n v="4"/>
    <n v="138.33869000000001"/>
    <n v="553.35476000000006"/>
    <x v="3"/>
  </r>
  <r>
    <s v="007"/>
    <s v="PR02"/>
    <s v="815RES026"/>
    <s v="Resistance  coudée D15.7 1300W/L286mm/Fil1500mm"/>
    <s v="UN"/>
    <n v="4"/>
    <n v="203.05889999999999"/>
    <n v="812.23559999999998"/>
    <x v="3"/>
  </r>
  <r>
    <s v="007"/>
    <s v="PR02"/>
    <s v="815RES035"/>
    <s v="Resistance thermoplongeu D10/L960/12000W"/>
    <s v="UN"/>
    <n v="1"/>
    <n v="113.22"/>
    <n v="113.22"/>
    <x v="3"/>
  </r>
  <r>
    <s v="007"/>
    <s v="PR02"/>
    <s v="815RES042"/>
    <s v="Resistance Coudée D20 220V/1600W/400mm  Baffle"/>
    <s v="UN"/>
    <n v="5"/>
    <n v="108.461375"/>
    <n v="542.30687499999999"/>
    <x v="3"/>
  </r>
  <r>
    <s v="007"/>
    <s v="PR02"/>
    <s v="815RES043"/>
    <s v="Resistance Cart D16/1000W/L316/230v"/>
    <s v="UN"/>
    <n v="1"/>
    <n v="0"/>
    <n v="0"/>
    <x v="3"/>
  </r>
  <r>
    <s v="007"/>
    <s v="PR02"/>
    <s v="815res044"/>
    <s v="Resistance Cart D16/500W/L130/230v"/>
    <s v="UN"/>
    <n v="1"/>
    <n v="0"/>
    <n v="0"/>
    <x v="3"/>
  </r>
  <r>
    <s v="007"/>
    <s v="PR02"/>
    <s v="815res045"/>
    <s v="Resistance Cart D12/L400/1200W"/>
    <s v="UN"/>
    <n v="3"/>
    <n v="227.03032999999999"/>
    <n v="681.09098999999992"/>
    <x v="3"/>
  </r>
  <r>
    <s v="007"/>
    <s v="PR02"/>
    <s v="815RES046"/>
    <s v="Resist Tube COUD D08/L1450/4000W WIRTZ"/>
    <s v="UN"/>
    <n v="1"/>
    <n v="124.07850000000001"/>
    <n v="124.07850000000001"/>
    <x v="3"/>
  </r>
  <r>
    <s v="007"/>
    <s v="PR02"/>
    <s v="815RES047"/>
    <s v="Resist Tube COUD D08/L650/1500W WIRTZ"/>
    <s v="UN"/>
    <n v="1"/>
    <n v="89.900099999999995"/>
    <n v="89.900099999999995"/>
    <x v="3"/>
  </r>
  <r>
    <s v="007"/>
    <s v="PR02"/>
    <s v="815RES158"/>
    <s v="résistance Cartouche 320mm/d12/1500w/220V"/>
    <s v="UN"/>
    <n v="1"/>
    <n v="174.29204333333331"/>
    <n v="174.29204333333331"/>
    <x v="3"/>
  </r>
  <r>
    <s v="007"/>
    <s v="PR02"/>
    <s v="815RES159"/>
    <s v="résistance cart D10/L350mm 1000W  M.G.HEMP NBI"/>
    <s v="UN"/>
    <n v="5"/>
    <n v="113.4"/>
    <n v="567"/>
    <x v="3"/>
  </r>
  <r>
    <s v="007"/>
    <s v="PR02"/>
    <s v="815RES178"/>
    <s v="RESISTANCE STRIP D10 1820*230V 1700W"/>
    <s v="UN"/>
    <n v="3"/>
    <n v="284.69270999999998"/>
    <n v="854.07812999999987"/>
    <x v="3"/>
  </r>
  <r>
    <s v="007"/>
    <s v="PR02"/>
    <s v="815RES180"/>
    <s v="RESISTANCE TUBE D10*2000 230V 1700W"/>
    <s v="UN"/>
    <n v="3"/>
    <n v="107.42400000000001"/>
    <n v="322.27200000000005"/>
    <x v="3"/>
  </r>
  <r>
    <s v="007"/>
    <s v="PR02"/>
    <s v="815RES200"/>
    <s v="Resistance coudée D20 220V/500W/150mm  Baffle str"/>
    <s v="UN"/>
    <n v="4"/>
    <n v="78.825450000000004"/>
    <n v="315.30180000000001"/>
    <x v="3"/>
  </r>
  <r>
    <s v="007"/>
    <s v="PR02"/>
    <s v="815RES201"/>
    <s v="Resistance coudée D20 220V/750W/210mm Baffle Stri"/>
    <s v="UN"/>
    <n v="4"/>
    <n v="274.63414999999998"/>
    <n v="1098.5365999999999"/>
    <x v="3"/>
  </r>
  <r>
    <s v="007"/>
    <s v="PR02"/>
    <s v="815RES202"/>
    <s v="Resistance Coudee D20 220V/1000W/300mm  Baffle St"/>
    <s v="UN"/>
    <n v="5"/>
    <n v="287.29703000000001"/>
    <n v="1436.48515"/>
    <x v="3"/>
  </r>
  <r>
    <s v="007"/>
    <s v="PR02"/>
    <s v="815RES205"/>
    <s v="Resistance plomb d10*230V*3000W"/>
    <s v="UN"/>
    <n v="6"/>
    <n v="122.715"/>
    <n v="736.29"/>
    <x v="3"/>
  </r>
  <r>
    <s v="007"/>
    <s v="PR02"/>
    <s v="815RES211"/>
    <s v="Resistance cartouche D12/2000W/220V/L400"/>
    <s v="UN"/>
    <n v="4"/>
    <n v="172.71011578947369"/>
    <n v="690.84046315789476"/>
    <x v="3"/>
  </r>
  <r>
    <s v="007"/>
    <s v="PR02"/>
    <s v="815RES214"/>
    <s v="Resistance thermoplongeur D08/L450/6000W/220V D47"/>
    <s v="UN"/>
    <n v="3"/>
    <n v="221.25059999999996"/>
    <n v="663.75179999999989"/>
    <x v="3"/>
  </r>
  <r>
    <s v="007"/>
    <s v="PR02"/>
    <s v="815STA001"/>
    <s v="starteur PHILPS 4-65W"/>
    <s v="UN"/>
    <n v="20"/>
    <n v="1.615"/>
    <n v="32.299999999999997"/>
    <x v="3"/>
  </r>
  <r>
    <s v="007"/>
    <s v="PR02"/>
    <s v="815VAR007"/>
    <s v="Variateur H1000 CIMR-HB4A0009FBC STRIP"/>
    <s v="UN"/>
    <n v="1"/>
    <n v="0"/>
    <n v="0"/>
    <x v="3"/>
  </r>
  <r>
    <s v="007"/>
    <s v="PR02"/>
    <s v="815VAR008"/>
    <s v="Variateur H1000 CIMR-HB4A0015FBC STRIP"/>
    <s v="UN"/>
    <n v="1"/>
    <n v="0"/>
    <n v="0"/>
    <x v="3"/>
  </r>
  <r>
    <s v="007"/>
    <s v="PR02"/>
    <s v="815VAR009"/>
    <s v="Variateur H1000 CIMR-HB4A0006FBC STRIP"/>
    <s v="UN"/>
    <n v="1"/>
    <n v="0"/>
    <n v="0"/>
    <x v="3"/>
  </r>
  <r>
    <s v="007"/>
    <s v="PR02"/>
    <s v="815VAR011"/>
    <s v="Variateur J1000 CIMR-JB4A0005BBA STRIP"/>
    <s v="UN"/>
    <n v="1"/>
    <n v="0"/>
    <n v="0"/>
    <x v="3"/>
  </r>
  <r>
    <s v="007"/>
    <s v="PR02"/>
    <s v="815VAR012"/>
    <s v="Variateur J1000 CIMR-JB4A0009BBA STRIP"/>
    <s v="UN"/>
    <n v="7"/>
    <n v="0"/>
    <n v="0"/>
    <x v="3"/>
  </r>
  <r>
    <s v="007"/>
    <s v="PR02"/>
    <s v="815VOY004"/>
    <s v="Voyant LED VERT 220V"/>
    <s v="UN"/>
    <n v="4"/>
    <n v="3.8250000000000002"/>
    <n v="15.3"/>
    <x v="3"/>
  </r>
  <r>
    <s v="007"/>
    <s v="PR02"/>
    <s v="815XME007"/>
    <s v="RECHARGE CLIPS MOHAIR"/>
    <s v="UN"/>
    <n v="10"/>
    <n v="2.7233999999999998"/>
    <n v="27.233999999999998"/>
    <x v="3"/>
  </r>
  <r>
    <s v="007"/>
    <s v="PR02"/>
    <s v="815XOU012"/>
    <s v="COSSE A BRIDE 35 MM"/>
    <s v="UN"/>
    <n v="56"/>
    <n v="2.15"/>
    <n v="120.39999999999999"/>
    <x v="3"/>
  </r>
  <r>
    <s v="007"/>
    <s v="PR02"/>
    <s v="815xou017"/>
    <s v="COSSE A SERTIE 10-8"/>
    <s v="UN"/>
    <n v="1"/>
    <n v="0.66420000000000001"/>
    <n v="0.66420000000000001"/>
    <x v="3"/>
  </r>
  <r>
    <s v="007"/>
    <s v="PR02"/>
    <s v="815XOU019"/>
    <s v="Cosse batterie +AM SOP"/>
    <s v="UN"/>
    <n v="2"/>
    <n v="2.8313999999999999"/>
    <n v="5.6627999999999998"/>
    <x v="3"/>
  </r>
  <r>
    <s v="007"/>
    <s v="PR02"/>
    <s v="815XOU020"/>
    <s v="Cosse batterie -AM SOP"/>
    <s v="UN"/>
    <n v="25"/>
    <n v="2.8313999999999999"/>
    <n v="70.784999999999997"/>
    <x v="3"/>
  </r>
  <r>
    <s v="007"/>
    <s v="PR02"/>
    <s v="815XPE006"/>
    <s v="serre câble plastique 5*350"/>
    <s v="UN"/>
    <n v="1"/>
    <n v="17.213999999999999"/>
    <n v="17.213999999999999"/>
    <x v="3"/>
  </r>
  <r>
    <s v="007"/>
    <s v="PR02"/>
    <s v="815xpe008"/>
    <s v="boite derivation"/>
    <s v="UN"/>
    <n v="2"/>
    <n v="11.684100000000001"/>
    <n v="23.368200000000002"/>
    <x v="3"/>
  </r>
  <r>
    <s v="007"/>
    <s v="PR02"/>
    <s v="815XPE024"/>
    <s v="ELECTROVANNE 15/21 15BG"/>
    <s v="UN"/>
    <n v="4"/>
    <n v="104.83199999999999"/>
    <n v="419.32799999999997"/>
    <x v="3"/>
  </r>
  <r>
    <s v="007"/>
    <s v="PR02"/>
    <s v="815XPE036"/>
    <s v="Socle pour rélais 8 BROCHES"/>
    <s v="UN"/>
    <n v="3"/>
    <n v="10.78735"/>
    <n v="32.362049999999996"/>
    <x v="3"/>
  </r>
  <r>
    <s v="007"/>
    <s v="PR02"/>
    <s v="815XPE051"/>
    <s v="CONNECTEUR CAPTEUR FEMELLE M12  4 broches"/>
    <s v="UN"/>
    <n v="2"/>
    <n v="36"/>
    <n v="72"/>
    <x v="3"/>
  </r>
  <r>
    <s v="007"/>
    <s v="PR02"/>
    <s v="815XPE052"/>
    <s v="Domino en plastique 25A"/>
    <s v="UN"/>
    <n v="5"/>
    <n v="0.91877982456140361"/>
    <n v="4.5938991228070183"/>
    <x v="3"/>
  </r>
  <r>
    <s v="007"/>
    <s v="PR02"/>
    <s v="815XPE057"/>
    <s v="Boite en plastique apparente 200*150mm"/>
    <s v="UN"/>
    <n v="1"/>
    <n v="6.1582499999999998"/>
    <n v="6.1582499999999998"/>
    <x v="3"/>
  </r>
  <r>
    <s v="007"/>
    <s v="PR02"/>
    <s v="815XPE058"/>
    <s v="Boite derivation 190*140*70 IP56 ETANCHE"/>
    <s v="UN"/>
    <n v="4"/>
    <n v="0"/>
    <n v="0"/>
    <x v="3"/>
  </r>
  <r>
    <s v="007"/>
    <s v="PR02"/>
    <s v="815XPE064"/>
    <s v="LUMINAIRE ETANCHE 2*36"/>
    <s v="UN"/>
    <n v="2"/>
    <n v="45.45"/>
    <n v="90.9"/>
    <x v="3"/>
  </r>
  <r>
    <s v="007"/>
    <s v="PR02"/>
    <s v="815XPE095"/>
    <s v="SILENT BLOC ELBAK 15X15"/>
    <s v="UN"/>
    <n v="3"/>
    <n v="2.3380714285714284"/>
    <n v="7.0142142857142851"/>
    <x v="3"/>
  </r>
  <r>
    <s v="007"/>
    <s v="PR02"/>
    <s v="815XPE123"/>
    <s v="Encodeur OMRON E6B2-CWZ6C 2m"/>
    <s v="UN"/>
    <n v="2"/>
    <n v="0"/>
    <n v="0"/>
    <x v="3"/>
  </r>
  <r>
    <s v="007"/>
    <s v="PR02"/>
    <s v="815XPE124"/>
    <s v="Encodeur OMRON E6B2-CWZ5B 0,5m"/>
    <s v="UN"/>
    <n v="1"/>
    <n v="0"/>
    <n v="0"/>
    <x v="3"/>
  </r>
  <r>
    <s v="007"/>
    <s v="PR02"/>
    <s v="815XPE126"/>
    <s v="Afficheur automate kTP1200 basic"/>
    <s v="UN"/>
    <n v="10"/>
    <n v="0"/>
    <n v="0"/>
    <x v="3"/>
  </r>
  <r>
    <s v="007"/>
    <s v="PR02"/>
    <s v="815XPE129"/>
    <s v="Condensateur 8µF MKA8 Demarrage moteur"/>
    <s v="UN"/>
    <n v="22"/>
    <n v="7.021221052631577"/>
    <n v="154.46686315789469"/>
    <x v="3"/>
  </r>
  <r>
    <s v="007"/>
    <s v="PR02"/>
    <s v="815XPE132"/>
    <s v="Console en L universelle LG500"/>
    <s v="UN"/>
    <n v="4"/>
    <n v="1.1025"/>
    <n v="4.41"/>
    <x v="3"/>
  </r>
  <r>
    <s v="007"/>
    <s v="PR02"/>
    <s v="815xpe136"/>
    <s v="CONNECTEUR CAPTEUR Male M12  4 broches"/>
    <s v="UN"/>
    <n v="1"/>
    <n v="49.5"/>
    <n v="49.5"/>
    <x v="3"/>
  </r>
  <r>
    <s v="007"/>
    <s v="PR02"/>
    <s v="815XPE139"/>
    <s v="Cable connecteur capteur M12 4fils"/>
    <s v="M"/>
    <n v="1"/>
    <n v="20.257575757575758"/>
    <n v="20.257575757575758"/>
    <x v="3"/>
  </r>
  <r>
    <s v="007"/>
    <s v="PR02"/>
    <s v="815XPE143"/>
    <s v="Bobine NG6 110 AC CETOP 03 emp classique"/>
    <s v="UN"/>
    <n v="1"/>
    <n v="157.45500000000001"/>
    <n v="157.45500000000001"/>
    <x v="3"/>
  </r>
  <r>
    <s v="007"/>
    <s v="PR02"/>
    <s v="815xpe147"/>
    <s v="Ventilateur Moteur reducteur 137*29*35.8"/>
    <s v="UN"/>
    <n v="1"/>
    <n v="6.806"/>
    <n v="6.806"/>
    <x v="3"/>
  </r>
  <r>
    <s v="007"/>
    <s v="PR02"/>
    <s v="815XPE150"/>
    <s v="GYROPHARE JAUNE LED 24V AC/DC  + BUZZER"/>
    <s v="UN"/>
    <n v="2"/>
    <n v="171"/>
    <n v="342"/>
    <x v="3"/>
  </r>
  <r>
    <s v="007"/>
    <s v="PR02"/>
    <s v="815XPE151"/>
    <s v="Fiche femelle 3P+T 63A-6 380-415V"/>
    <s v="UN"/>
    <n v="2"/>
    <n v="133.6387"/>
    <n v="267.2774"/>
    <x v="3"/>
  </r>
  <r>
    <s v="007"/>
    <s v="PR02"/>
    <s v="815XPE152"/>
    <s v="Fiche Male 3P+T 63A-6 380-415V"/>
    <s v="UN"/>
    <n v="10"/>
    <n v="124.97295"/>
    <n v="1249.7294999999999"/>
    <x v="3"/>
  </r>
  <r>
    <s v="007"/>
    <s v="PR02"/>
    <s v="815XPE166"/>
    <s v="Presse etoupe arrmoire PG-07 Ø 3.5-6MM"/>
    <s v="UN"/>
    <n v="2"/>
    <n v="0.23452000000000001"/>
    <n v="0.46904000000000001"/>
    <x v="3"/>
  </r>
  <r>
    <s v="007"/>
    <s v="PR02"/>
    <s v="815XPE167"/>
    <s v="Presse etoupe arrmoire PG-09 Ø 4-8MM"/>
    <s v="UN"/>
    <n v="7"/>
    <n v="0.252"/>
    <n v="1.764"/>
    <x v="3"/>
  </r>
  <r>
    <s v="007"/>
    <s v="PR02"/>
    <s v="815XPE168"/>
    <s v="Presse etoupe arrmoire PG-11 Ø5-10MM"/>
    <s v="UN"/>
    <n v="3"/>
    <n v="0.37309999999999999"/>
    <n v="1.1193"/>
    <x v="3"/>
  </r>
  <r>
    <s v="007"/>
    <s v="PR02"/>
    <s v="815XPE169"/>
    <s v="Presse etoupe arrmoire PG-13.5 Ø6-12MM"/>
    <s v="UN"/>
    <n v="3"/>
    <n v="0.4128"/>
    <n v="1.2383999999999999"/>
    <x v="3"/>
  </r>
  <r>
    <s v="007"/>
    <s v="PR02"/>
    <s v="815xpe180"/>
    <s v="Repere Fil &quot;6&quot; 0.5-1.5"/>
    <s v="UN"/>
    <n v="300"/>
    <n v="6.3960000000000003E-2"/>
    <n v="19.188000000000002"/>
    <x v="3"/>
  </r>
  <r>
    <s v="007"/>
    <s v="PR02"/>
    <s v="815XPE248"/>
    <s v="Bornier 4mm"/>
    <s v="UN"/>
    <n v="29"/>
    <n v="0.75768000000000002"/>
    <n v="21.972719999999999"/>
    <x v="3"/>
  </r>
  <r>
    <s v="007"/>
    <s v="PR02"/>
    <s v="815XPE249"/>
    <s v="Bouton poussoir NO ? 22 mm"/>
    <s v="UN"/>
    <n v="1"/>
    <n v="12.4"/>
    <n v="12.4"/>
    <x v="3"/>
  </r>
  <r>
    <s v="007"/>
    <s v="PR02"/>
    <s v="815XPE250"/>
    <s v="Bouton poussoir NC ? 22 mm"/>
    <s v="UN"/>
    <n v="15"/>
    <n v="12.4"/>
    <n v="186"/>
    <x v="3"/>
  </r>
  <r>
    <s v="007"/>
    <s v="PR02"/>
    <s v="815xpe255"/>
    <s v="SPOT LED 20/20 18W"/>
    <s v="UN"/>
    <n v="3"/>
    <n v="10.03888888888889"/>
    <n v="30.116666666666667"/>
    <x v="3"/>
  </r>
  <r>
    <s v="007"/>
    <s v="PR02"/>
    <s v="815XPE261"/>
    <s v="Fin de course securite CZ-93CPM Armoire electriqu"/>
    <s v="UN"/>
    <n v="1"/>
    <n v="32.340000000000003"/>
    <n v="32.340000000000003"/>
    <x v="3"/>
  </r>
  <r>
    <s v="007"/>
    <s v="PR02"/>
    <s v="815xpe266"/>
    <s v="Eclisse chemin de cable 60"/>
    <s v="UN"/>
    <n v="10"/>
    <n v="0"/>
    <n v="0"/>
    <x v="3"/>
  </r>
  <r>
    <s v="007"/>
    <s v="PR02"/>
    <s v="815XPE269"/>
    <s v="chemin de câble Plastique 100mm*100mm"/>
    <s v="M"/>
    <n v="10"/>
    <n v="18.416368421052635"/>
    <n v="184.16368421052636"/>
    <x v="3"/>
  </r>
  <r>
    <s v="007"/>
    <s v="PR02"/>
    <s v="815XPE274"/>
    <s v="Ventilateur GALVA DEXT150mm/axe6mm P.SOUD"/>
    <s v="UN"/>
    <n v="1"/>
    <n v="86.95"/>
    <n v="86.95"/>
    <x v="3"/>
  </r>
  <r>
    <s v="007"/>
    <s v="PR02"/>
    <s v="815XPE288"/>
    <s v="Fiche MALE 3P+T+N 63A"/>
    <s v="UN"/>
    <n v="7"/>
    <n v="55.321599999999997"/>
    <n v="387.25119999999998"/>
    <x v="3"/>
  </r>
  <r>
    <s v="007"/>
    <s v="PR02"/>
    <s v="815XPE289"/>
    <s v="Fiche Femelle 3P+T+N 63A"/>
    <s v="UN"/>
    <n v="4"/>
    <n v="102"/>
    <n v="408"/>
    <x v="3"/>
  </r>
  <r>
    <s v="007"/>
    <s v="PR02"/>
    <s v="815XPE293"/>
    <s v="Cable electrique de CMDE 16*1.5 2fils acier PALAN"/>
    <s v="M"/>
    <n v="10"/>
    <n v="41.704999999999998"/>
    <n v="417.04999999999995"/>
    <x v="3"/>
  </r>
  <r>
    <s v="007"/>
    <s v="PR02"/>
    <s v="815XPE295"/>
    <s v="domino en céramique 2x2,5mm"/>
    <s v="UN"/>
    <n v="5"/>
    <n v="2.4390000000000001"/>
    <n v="12.195"/>
    <x v="3"/>
  </r>
  <r>
    <s v="007"/>
    <s v="PR02"/>
    <s v="815XPE296"/>
    <s v="domino en céramique 2x4mm"/>
    <s v="UN"/>
    <n v="23"/>
    <n v="3.4286498632010942"/>
    <n v="78.85894685362517"/>
    <x v="3"/>
  </r>
  <r>
    <s v="007"/>
    <s v="PR02"/>
    <s v="815XPE297"/>
    <s v="domino en céramique 2x6mm"/>
    <s v="UN"/>
    <n v="32"/>
    <n v="6.48"/>
    <n v="207.36"/>
    <x v="3"/>
  </r>
  <r>
    <s v="007"/>
    <s v="PR02"/>
    <s v="815XPE298"/>
    <s v="domino en céramique 3x4mm"/>
    <s v="UN"/>
    <n v="4"/>
    <n v="6.8676245714285704"/>
    <n v="27.470498285714282"/>
    <x v="3"/>
  </r>
  <r>
    <s v="007"/>
    <s v="PR02"/>
    <s v="815XPE301"/>
    <s v="domino en plastique 50A 16mm(barette)"/>
    <s v="UN"/>
    <n v="10"/>
    <n v="4.6980000000000004"/>
    <n v="46.980000000000004"/>
    <x v="3"/>
  </r>
  <r>
    <s v="007"/>
    <s v="PR02"/>
    <s v="815XPE305"/>
    <s v="Doigt de gant INOX D10/L1200mm"/>
    <s v="UN"/>
    <n v="2"/>
    <n v="41.814"/>
    <n v="83.628"/>
    <x v="3"/>
  </r>
  <r>
    <s v="007"/>
    <s v="PR02"/>
    <s v="815XPE307"/>
    <s v="embouts fil 1,5mm Noir"/>
    <s v="UN"/>
    <n v="190"/>
    <n v="1.8597999999999999"/>
    <n v="353.36199999999997"/>
    <x v="3"/>
  </r>
  <r>
    <s v="007"/>
    <s v="PR02"/>
    <s v="815XPE308"/>
    <s v="embouts fil 2,5mm Gris"/>
    <s v="UN"/>
    <n v="200"/>
    <n v="2.8559999999999999"/>
    <n v="571.19999999999993"/>
    <x v="3"/>
  </r>
  <r>
    <s v="007"/>
    <s v="PR02"/>
    <s v="815XPE309"/>
    <s v="embouts fil 4mm Orangé"/>
    <s v="UN"/>
    <n v="160"/>
    <n v="4.4640000000000006E-2"/>
    <n v="7.1424000000000012"/>
    <x v="3"/>
  </r>
  <r>
    <s v="007"/>
    <s v="PR02"/>
    <s v="815XPE317"/>
    <s v="Levier Fin de course CZ-93K02  Armoir Elect"/>
    <s v="UN"/>
    <n v="2"/>
    <n v="3.85"/>
    <n v="7.7"/>
    <x v="3"/>
  </r>
  <r>
    <s v="007"/>
    <s v="PR02"/>
    <s v="815XPE324"/>
    <s v="interrupteur apparent"/>
    <s v="UN"/>
    <n v="1"/>
    <n v="3.903"/>
    <n v="3.903"/>
    <x v="3"/>
  </r>
  <r>
    <s v="007"/>
    <s v="PR02"/>
    <s v="815XPE325"/>
    <s v="prise apparent 2P+T 16A"/>
    <s v="UN"/>
    <n v="2"/>
    <n v="4.9581"/>
    <n v="9.9161999999999999"/>
    <x v="3"/>
  </r>
  <r>
    <s v="007"/>
    <s v="PR02"/>
    <s v="815XPE333"/>
    <s v="Connecteur Canalis"/>
    <s v="UN"/>
    <n v="3"/>
    <n v="11.583"/>
    <n v="34.749000000000002"/>
    <x v="3"/>
  </r>
  <r>
    <s v="007"/>
    <s v="PR02"/>
    <s v="815XPE334"/>
    <s v="Alimentation Canalis"/>
    <s v="UN"/>
    <n v="4"/>
    <n v="51.488999999999997"/>
    <n v="205.95599999999999"/>
    <x v="3"/>
  </r>
  <r>
    <s v="007"/>
    <s v="PR02"/>
    <s v="815xpe336"/>
    <s v="Tube neon LED 1.2 Canalis"/>
    <s v="UN"/>
    <n v="22"/>
    <n v="9.8103999999999996"/>
    <n v="215.8288"/>
    <x v="3"/>
  </r>
  <r>
    <s v="007"/>
    <s v="PR02"/>
    <s v="815XPE344"/>
    <s v="Fiche mâle 220v"/>
    <s v="UN"/>
    <n v="12"/>
    <n v="1.1833238095238097"/>
    <n v="14.199885714285717"/>
    <x v="3"/>
  </r>
  <r>
    <s v="007"/>
    <s v="PR02"/>
    <s v="815XPE345"/>
    <s v="FICHE MALE 3P+T 32A 380-415V"/>
    <s v="UN"/>
    <n v="8"/>
    <n v="11.237"/>
    <n v="89.896000000000001"/>
    <x v="3"/>
  </r>
  <r>
    <s v="007"/>
    <s v="PR02"/>
    <s v="815XPE346"/>
    <s v="Fiche femelle 220V"/>
    <s v="UN"/>
    <n v="19"/>
    <n v="1.165"/>
    <n v="22.135000000000002"/>
    <x v="3"/>
  </r>
  <r>
    <s v="007"/>
    <s v="PR02"/>
    <s v="815XPE347"/>
    <s v="Fiche femelle 3P+T 32A-6/ 380-415V"/>
    <s v="UN"/>
    <n v="10"/>
    <n v="11.423999999999999"/>
    <n v="114.24"/>
    <x v="3"/>
  </r>
  <r>
    <s v="007"/>
    <s v="PR02"/>
    <s v="815XPE351"/>
    <s v="Ventilateur 220v"/>
    <s v="UN"/>
    <n v="2"/>
    <n v="22.429345098039217"/>
    <n v="44.858690196078435"/>
    <x v="3"/>
  </r>
  <r>
    <s v="007"/>
    <s v="PR02"/>
    <s v="815XPE354"/>
    <s v="Fiche Male 3P+T 25A  380V"/>
    <s v="UN"/>
    <n v="6"/>
    <n v="7.3049999999999997"/>
    <n v="43.83"/>
    <x v="3"/>
  </r>
  <r>
    <s v="007"/>
    <s v="PR02"/>
    <s v="815XPE358"/>
    <s v="AMPERMETER 100A AC LDI C72   Chambre murissage"/>
    <s v="UN"/>
    <n v="2"/>
    <n v="19.085989999999999"/>
    <n v="38.171979999999998"/>
    <x v="3"/>
  </r>
  <r>
    <s v="007"/>
    <s v="PR02"/>
    <s v="815XPE361"/>
    <s v="Fiche male 32A 2P+T 380v"/>
    <s v="UN"/>
    <n v="2"/>
    <n v="11.183999999999999"/>
    <n v="22.367999999999999"/>
    <x v="3"/>
  </r>
  <r>
    <s v="007"/>
    <s v="PR02"/>
    <s v="815XPE364"/>
    <s v="AMPERMETER Numerique 100A TC 100A CHA MURISS"/>
    <s v="UN"/>
    <n v="1"/>
    <n v="39.695999999999998"/>
    <n v="39.695999999999998"/>
    <x v="3"/>
  </r>
  <r>
    <s v="007"/>
    <s v="PR02"/>
    <s v="815XPE373"/>
    <s v="Support de fixation LG500mm Palan Fonderi"/>
    <s v="UN"/>
    <n v="1"/>
    <n v="33.25"/>
    <n v="33.25"/>
    <x v="3"/>
  </r>
  <r>
    <s v="007"/>
    <s v="PR02"/>
    <s v="815XPE377"/>
    <s v="Tube Gorge D40 A FIL ROUGE KRAVEL (cable ELEC"/>
    <s v="M"/>
    <n v="50"/>
    <n v="1.2"/>
    <n v="60"/>
    <x v="3"/>
  </r>
  <r>
    <s v="007"/>
    <s v="PR02"/>
    <s v="815XPE388"/>
    <s v="Connecteur thermocouple typeJ 09MJ2LB Femelle"/>
    <s v="UN"/>
    <n v="3"/>
    <n v="20.16"/>
    <n v="60.480000000000004"/>
    <x v="3"/>
  </r>
  <r>
    <s v="007"/>
    <s v="PR02"/>
    <s v="815XPE389"/>
    <s v="Connecteur thermocouple typeJ 07MJ1LB Male"/>
    <s v="UN"/>
    <n v="3"/>
    <n v="20.16"/>
    <n v="60.480000000000004"/>
    <x v="3"/>
  </r>
  <r>
    <s v="007"/>
    <s v="PR02"/>
    <s v="815XPE393"/>
    <s v="Presse etoupe arrmoire PG-16"/>
    <s v="UN"/>
    <n v="9"/>
    <n v="0.45760000000000006"/>
    <n v="4.1184000000000003"/>
    <x v="3"/>
  </r>
  <r>
    <s v="007"/>
    <s v="PR02"/>
    <s v="815XPE394"/>
    <s v="Presse etoupe arrmoire PG-21"/>
    <s v="UN"/>
    <n v="11"/>
    <n v="1.2316499999999999"/>
    <n v="13.54815"/>
    <x v="3"/>
  </r>
  <r>
    <s v="007"/>
    <s v="PR02"/>
    <s v="815XPE395"/>
    <s v="Presse etoupe arrmoire PG-29"/>
    <s v="UN"/>
    <n v="7"/>
    <n v="1.48"/>
    <n v="10.36"/>
    <x v="3"/>
  </r>
  <r>
    <s v="007"/>
    <s v="PR02"/>
    <s v="815XPE396"/>
    <s v="Presse etoupe arrmoire PG-36"/>
    <s v="UN"/>
    <n v="10"/>
    <n v="3.4119999999999999"/>
    <n v="34.119999999999997"/>
    <x v="3"/>
  </r>
  <r>
    <s v="007"/>
    <s v="PR02"/>
    <s v="815XPE416"/>
    <s v="Platine Armoire 700*500"/>
    <s v="UN"/>
    <n v="1"/>
    <n v="93.05"/>
    <n v="93.05"/>
    <x v="3"/>
  </r>
  <r>
    <s v="007"/>
    <s v="PR02"/>
    <s v="815XPE417"/>
    <s v="Coffret aluminuim 215*252*91"/>
    <s v="UN"/>
    <n v="1"/>
    <n v="233.381"/>
    <n v="233.381"/>
    <x v="3"/>
  </r>
  <r>
    <s v="007"/>
    <s v="PR02"/>
    <s v="815XPE437"/>
    <s v="Chemin de cable perforee 155/60"/>
    <s v="M"/>
    <n v="10"/>
    <n v="9.7656500000000008"/>
    <n v="97.656500000000008"/>
    <x v="3"/>
  </r>
  <r>
    <s v="007"/>
    <s v="PR02"/>
    <s v="815xpe440"/>
    <s v="Embou fil 16mm"/>
    <s v="UN"/>
    <n v="1"/>
    <n v="10.659000000000001"/>
    <n v="10.659000000000001"/>
    <x v="3"/>
  </r>
  <r>
    <s v="007"/>
    <s v="PR02"/>
    <s v="815XPE441"/>
    <s v="Connecteur thermocouple type K Male"/>
    <s v="UN"/>
    <n v="5"/>
    <n v="34.305660000000003"/>
    <n v="171.5283"/>
    <x v="3"/>
  </r>
  <r>
    <s v="007"/>
    <s v="PR02"/>
    <s v="815XPE442"/>
    <s v="Connecteur thermocouple type K Femelle"/>
    <s v="UN"/>
    <n v="5"/>
    <n v="34.305660000000003"/>
    <n v="171.5283"/>
    <x v="3"/>
  </r>
  <r>
    <s v="007"/>
    <s v="PR02"/>
    <s v="815XPE454"/>
    <s v="Armature LED 200W 6500K RADIANCE"/>
    <s v="UN"/>
    <n v="1"/>
    <n v="284"/>
    <n v="284"/>
    <x v="3"/>
  </r>
  <r>
    <s v="007"/>
    <s v="PR02"/>
    <s v="820ABR013"/>
    <s v="PAPIER ABRASIF 150"/>
    <s v="UN"/>
    <n v="106"/>
    <n v="0.58499999999999996"/>
    <n v="62.01"/>
    <x v="3"/>
  </r>
  <r>
    <s v="007"/>
    <s v="PR02"/>
    <s v="820ABR016"/>
    <s v="Papier abrasif N400"/>
    <s v="UN"/>
    <n v="66"/>
    <n v="0.56200000000000006"/>
    <n v="37.092000000000006"/>
    <x v="3"/>
  </r>
  <r>
    <s v="007"/>
    <s v="PR02"/>
    <s v="820BAG002"/>
    <s v="BOBINE 1.2mm 15Kg ACIER"/>
    <s v="KG"/>
    <n v="15"/>
    <n v="9.0818999999999992"/>
    <n v="136.2285"/>
    <x v="3"/>
  </r>
  <r>
    <s v="007"/>
    <s v="PR02"/>
    <s v="820DIS003"/>
    <s v="Disque A ebarber 230"/>
    <s v="UN"/>
    <n v="19"/>
    <n v="6.8979999999999997"/>
    <n v="131.06199999999998"/>
    <x v="3"/>
  </r>
  <r>
    <s v="007"/>
    <s v="PR02"/>
    <s v="820dis004"/>
    <s v="Disque a lamelle 115"/>
    <s v="UN"/>
    <n v="38"/>
    <n v="3.024"/>
    <n v="114.91200000000001"/>
    <x v="3"/>
  </r>
  <r>
    <s v="007"/>
    <s v="PR02"/>
    <s v="820DIS009"/>
    <s v="DISQUE INOX 230 COUPE"/>
    <s v="UN"/>
    <n v="43"/>
    <n v="3.3929999999999998"/>
    <n v="145.899"/>
    <x v="3"/>
  </r>
  <r>
    <s v="007"/>
    <s v="PR02"/>
    <s v="820DIS013"/>
    <s v="Disque 125 INOX COUPE"/>
    <s v="UN"/>
    <n v="52"/>
    <n v="1.4990000000000001"/>
    <n v="77.948000000000008"/>
    <x v="3"/>
  </r>
  <r>
    <s v="007"/>
    <s v="PR02"/>
    <s v="820GOU004"/>
    <s v="GOUPILLE  D6*100 Elastique"/>
    <s v="UN"/>
    <n v="5"/>
    <n v="0.95625000000000004"/>
    <n v="4.78125"/>
    <x v="3"/>
  </r>
  <r>
    <s v="007"/>
    <s v="PR02"/>
    <s v="820gou005"/>
    <s v="GOUJON D13*40"/>
    <s v="UN"/>
    <n v="3"/>
    <n v="22.452000000000002"/>
    <n v="67.356000000000009"/>
    <x v="3"/>
  </r>
  <r>
    <s v="007"/>
    <s v="PR02"/>
    <s v="820GOU006"/>
    <s v="GOUPILLE  D5*30 Elastique"/>
    <s v="UN"/>
    <n v="200"/>
    <n v="0.13625000000000001"/>
    <n v="27.250000000000004"/>
    <x v="3"/>
  </r>
  <r>
    <s v="007"/>
    <s v="PR02"/>
    <s v="820GOU007"/>
    <s v="GOUJON D10*50"/>
    <s v="UN"/>
    <n v="90"/>
    <n v="2.5339999999999998"/>
    <n v="228.05999999999997"/>
    <x v="3"/>
  </r>
  <r>
    <s v="007"/>
    <s v="PR02"/>
    <s v="820POM018"/>
    <s v="Kit de rechange Pompe PP DEBEM BOXER 522  CH.Acid"/>
    <s v="UN"/>
    <n v="1"/>
    <n v="1089.5"/>
    <n v="1089.5"/>
    <x v="3"/>
  </r>
  <r>
    <s v="007"/>
    <s v="PR02"/>
    <s v="820POM019"/>
    <s v="Chambre de pompage (flasque) DEBEM BOXER 52"/>
    <s v="UN"/>
    <n v="1"/>
    <n v="365.5"/>
    <n v="365.5"/>
    <x v="3"/>
  </r>
  <r>
    <s v="007"/>
    <s v="PR02"/>
    <s v="820POM020"/>
    <s v="Echangeur pneumatique DEBEM BOXER 522"/>
    <s v="UN"/>
    <n v="1"/>
    <n v="833.5"/>
    <n v="833.5"/>
    <x v="3"/>
  </r>
  <r>
    <s v="007"/>
    <s v="PR02"/>
    <s v="820POM038"/>
    <s v="Echangeur pneumatique DEBEM BOXER 251"/>
    <s v="UN"/>
    <n v="1"/>
    <n v="667.68"/>
    <n v="667.68"/>
    <x v="3"/>
  </r>
  <r>
    <s v="007"/>
    <s v="PR02"/>
    <s v="820RIV007"/>
    <s v="RIVET 3.8*20"/>
    <s v="UN"/>
    <n v="25"/>
    <n v="0.19656000000000001"/>
    <n v="4.9140000000000006"/>
    <x v="3"/>
  </r>
  <r>
    <s v="007"/>
    <s v="PR02"/>
    <s v="820TUB010"/>
    <s v="Axe acier XC48 D20"/>
    <s v="M"/>
    <n v="4"/>
    <n v="24.48"/>
    <n v="97.92"/>
    <x v="3"/>
  </r>
  <r>
    <s v="007"/>
    <s v="PR02"/>
    <s v="820TUB011"/>
    <s v="TUBE IRO D20"/>
    <s v="M"/>
    <n v="17"/>
    <n v="2.4300000000000002"/>
    <n v="41.31"/>
    <x v="3"/>
  </r>
  <r>
    <s v="007"/>
    <s v="PR02"/>
    <s v="820XMC003"/>
    <s v="Châpeau chinois D250"/>
    <s v="UN"/>
    <n v="1"/>
    <n v="24.40062857142857"/>
    <n v="24.40062857142857"/>
    <x v="3"/>
  </r>
  <r>
    <s v="007"/>
    <s v="PR02"/>
    <s v="820XMC005"/>
    <s v="LAME DE SCIE"/>
    <s v="UN"/>
    <n v="20"/>
    <n v="0.82499999999999996"/>
    <n v="16.5"/>
    <x v="3"/>
  </r>
  <r>
    <s v="007"/>
    <s v="PR02"/>
    <s v="820XMC006"/>
    <s v="VIS TH (acier) M12*80"/>
    <s v="UN"/>
    <n v="150"/>
    <n v="0.60599999999999998"/>
    <n v="90.899999999999991"/>
    <x v="3"/>
  </r>
  <r>
    <s v="007"/>
    <s v="PR02"/>
    <s v="820XMC009"/>
    <s v="VIS TH (acier) M10*60"/>
    <s v="UN"/>
    <n v="353"/>
    <n v="0.46500000000000002"/>
    <n v="164.14500000000001"/>
    <x v="3"/>
  </r>
  <r>
    <s v="007"/>
    <s v="PR02"/>
    <s v="820XMC010"/>
    <s v="Vis sixpans (acier) M10*60"/>
    <s v="UN"/>
    <n v="10"/>
    <n v="0.37094660194174761"/>
    <n v="3.709466019417476"/>
    <x v="3"/>
  </r>
  <r>
    <s v="007"/>
    <s v="PR02"/>
    <s v="820XMC015"/>
    <s v="écrou (acier) M14"/>
    <s v="UN"/>
    <n v="315"/>
    <n v="0.125"/>
    <n v="39.375"/>
    <x v="3"/>
  </r>
  <r>
    <s v="007"/>
    <s v="PR02"/>
    <s v="820XMC019"/>
    <s v="TIREFOND M10*50"/>
    <s v="UN"/>
    <n v="30"/>
    <n v="0.31014000000000003"/>
    <n v="9.3042000000000016"/>
    <x v="3"/>
  </r>
  <r>
    <s v="007"/>
    <s v="PR02"/>
    <s v="820XMC025"/>
    <s v="RESSORT 4/10*3.5*C155 A7006324 Rouleau papier Emp"/>
    <s v="UN"/>
    <n v="16"/>
    <n v="16.664999999999999"/>
    <n v="266.64"/>
    <x v="3"/>
  </r>
  <r>
    <s v="007"/>
    <s v="PR02"/>
    <s v="820XMC036"/>
    <s v="vis six pans (acier) M06*50"/>
    <s v="UN"/>
    <n v="68"/>
    <n v="0.21568278894472359"/>
    <n v="14.666429648241204"/>
    <x v="3"/>
  </r>
  <r>
    <s v="007"/>
    <s v="PR02"/>
    <s v="820XMC038"/>
    <s v="vis six pans (acier) M08*30"/>
    <s v="UN"/>
    <n v="352"/>
    <n v="0.21"/>
    <n v="73.92"/>
    <x v="3"/>
  </r>
  <r>
    <s v="007"/>
    <s v="PR02"/>
    <s v="820XMC039"/>
    <s v="vis six pans (acier) M08*50"/>
    <s v="UN"/>
    <n v="110"/>
    <n v="0.28599999999999998"/>
    <n v="31.459999999999997"/>
    <x v="3"/>
  </r>
  <r>
    <s v="007"/>
    <s v="PR02"/>
    <s v="820XMC040"/>
    <s v="VIS TH (acier) M10*40"/>
    <s v="UN"/>
    <n v="356"/>
    <n v="0.315"/>
    <n v="112.14"/>
    <x v="3"/>
  </r>
  <r>
    <s v="007"/>
    <s v="PR02"/>
    <s v="820XMC041"/>
    <s v="VIS TH (acier) M12*100"/>
    <s v="UN"/>
    <n v="58"/>
    <n v="1.0674870607734805"/>
    <n v="61.914249524861873"/>
    <x v="3"/>
  </r>
  <r>
    <s v="007"/>
    <s v="PR02"/>
    <s v="820XMC042"/>
    <s v="VIS TH (acier) M10*70"/>
    <s v="UN"/>
    <n v="78"/>
    <n v="0.48299999999999998"/>
    <n v="37.673999999999999"/>
    <x v="3"/>
  </r>
  <r>
    <s v="007"/>
    <s v="PR02"/>
    <s v="820XMC043"/>
    <s v="VIS TH (acier) M14*80"/>
    <s v="UN"/>
    <n v="50"/>
    <n v="1.1539999999999999"/>
    <n v="57.699999999999996"/>
    <x v="3"/>
  </r>
  <r>
    <s v="007"/>
    <s v="PR02"/>
    <s v="820XMC044"/>
    <s v="VIS TH M14*100"/>
    <s v="UN"/>
    <n v="102"/>
    <n v="1.5189999999999999"/>
    <n v="154.93799999999999"/>
    <x v="3"/>
  </r>
  <r>
    <s v="007"/>
    <s v="PR02"/>
    <s v="820XMC045"/>
    <s v="VIS TH (acier) M16*100"/>
    <s v="UN"/>
    <n v="310"/>
    <n v="1.8360000000000001"/>
    <n v="569.16"/>
    <x v="3"/>
  </r>
  <r>
    <s v="007"/>
    <s v="PR02"/>
    <s v="820XMC046"/>
    <s v="VIS TH M16*120"/>
    <s v="UN"/>
    <n v="10"/>
    <n v="1.6758299999999999"/>
    <n v="16.758299999999998"/>
    <x v="3"/>
  </r>
  <r>
    <s v="007"/>
    <s v="PR02"/>
    <s v="820XMC050"/>
    <s v="écrou (acier) M20"/>
    <s v="UN"/>
    <n v="66"/>
    <n v="0.46"/>
    <n v="30.360000000000003"/>
    <x v="3"/>
  </r>
  <r>
    <s v="007"/>
    <s v="PR02"/>
    <s v="820XMC051"/>
    <s v="VIS TH (acier) M12*60"/>
    <s v="UN"/>
    <n v="253"/>
    <n v="0.45100000000000001"/>
    <n v="114.10300000000001"/>
    <x v="3"/>
  </r>
  <r>
    <s v="007"/>
    <s v="PR02"/>
    <s v="820XMC054"/>
    <s v="VIS TH (acier) M16*40"/>
    <s v="UN"/>
    <n v="158"/>
    <n v="0.90400000000000003"/>
    <n v="142.83199999999999"/>
    <x v="3"/>
  </r>
  <r>
    <s v="007"/>
    <s v="PR02"/>
    <s v="820XMC060"/>
    <s v="Tige fileté (INOX) M08"/>
    <s v="UN"/>
    <n v="6"/>
    <n v="11.813000000000001"/>
    <n v="70.878"/>
    <x v="3"/>
  </r>
  <r>
    <s v="007"/>
    <s v="PR02"/>
    <s v="820XMC068"/>
    <s v="TOLE CLINQUANT 0.5mm"/>
    <s v="UN"/>
    <n v="1"/>
    <n v="31.827850000000002"/>
    <n v="31.827850000000002"/>
    <x v="3"/>
  </r>
  <r>
    <s v="007"/>
    <s v="PR02"/>
    <s v="820XMC074"/>
    <s v="écrou (inox) M14"/>
    <s v="UN"/>
    <n v="150"/>
    <n v="0.62900999999999996"/>
    <n v="94.351499999999987"/>
    <x v="3"/>
  </r>
  <r>
    <s v="007"/>
    <s v="PR02"/>
    <s v="820XMC079"/>
    <s v="VIS TH (acier) M16*50"/>
    <s v="UN"/>
    <n v="245"/>
    <n v="1.0529999999999999"/>
    <n v="257.98499999999996"/>
    <x v="3"/>
  </r>
  <r>
    <s v="007"/>
    <s v="PR02"/>
    <s v="820XMC087"/>
    <s v="VIS TH (acier) M12X50"/>
    <s v="UN"/>
    <n v="145"/>
    <n v="0.35899999999999999"/>
    <n v="52.055"/>
    <x v="3"/>
  </r>
  <r>
    <s v="007"/>
    <s v="PR02"/>
    <s v="820XMC088"/>
    <s v="VIS TH (acier) M14X50"/>
    <s v="UN"/>
    <n v="215"/>
    <n v="0.998"/>
    <n v="214.57"/>
    <x v="3"/>
  </r>
  <r>
    <s v="007"/>
    <s v="PR02"/>
    <s v="820XMC092"/>
    <s v="CHARBON Meule a disque BOSH GT"/>
    <s v="UN"/>
    <n v="2"/>
    <n v="27.785699999999999"/>
    <n v="55.571399999999997"/>
    <x v="3"/>
  </r>
  <r>
    <s v="007"/>
    <s v="PR02"/>
    <s v="820XMC102"/>
    <s v="CHARBON BACH"/>
    <s v="UN"/>
    <n v="1"/>
    <n v="7.6959"/>
    <n v="7.6959"/>
    <x v="3"/>
  </r>
  <r>
    <s v="007"/>
    <s v="PR02"/>
    <s v="820XMC109"/>
    <s v="VIS TH (acier) M06*40"/>
    <s v="UN"/>
    <n v="218"/>
    <n v="0.12065255813953489"/>
    <n v="26.302257674418605"/>
    <x v="3"/>
  </r>
  <r>
    <s v="007"/>
    <s v="PR02"/>
    <s v="820XMC110"/>
    <s v="VIS TH M14*40"/>
    <s v="UN"/>
    <n v="180"/>
    <n v="0.626"/>
    <n v="112.68"/>
    <x v="3"/>
  </r>
  <r>
    <s v="007"/>
    <s v="PR02"/>
    <s v="820XMC111"/>
    <s v="VIS TH (acier) M14*50"/>
    <s v="UN"/>
    <n v="154"/>
    <n v="1.4379999999999999"/>
    <n v="221.452"/>
    <x v="3"/>
  </r>
  <r>
    <s v="007"/>
    <s v="PR02"/>
    <s v="820XMC119"/>
    <s v="Tuyau Heliflex D15"/>
    <s v="UN"/>
    <n v="32"/>
    <n v="1.7415"/>
    <n v="55.728000000000002"/>
    <x v="3"/>
  </r>
  <r>
    <s v="007"/>
    <s v="PR02"/>
    <s v="820XMC128"/>
    <s v="Vis TH(acier) M08*120"/>
    <s v="UN"/>
    <n v="76"/>
    <n v="0.41777999999999998"/>
    <n v="31.751279999999998"/>
    <x v="3"/>
  </r>
  <r>
    <s v="007"/>
    <s v="PR02"/>
    <s v="820XMC136"/>
    <s v="TUYAU PVC SPIRALE D60"/>
    <s v="M"/>
    <n v="6"/>
    <n v="24.087599999999998"/>
    <n v="144.5256"/>
    <x v="3"/>
  </r>
  <r>
    <s v="007"/>
    <s v="PR02"/>
    <s v="820XMC142"/>
    <s v="Tuyau Spirale acier D40"/>
    <s v="M"/>
    <n v="25"/>
    <n v="0"/>
    <n v="0"/>
    <x v="3"/>
  </r>
  <r>
    <s v="007"/>
    <s v="PR02"/>
    <s v="820XMC161"/>
    <s v="Vis TH(acier) M06*80"/>
    <s v="UN"/>
    <n v="255"/>
    <n v="0.22184999999999999"/>
    <n v="56.571749999999994"/>
    <x v="3"/>
  </r>
  <r>
    <s v="007"/>
    <s v="PR02"/>
    <s v="820XMC162"/>
    <s v="Vis TH(acier) M06*100"/>
    <s v="UN"/>
    <n v="85"/>
    <n v="0.29325000000000001"/>
    <n v="24.92625"/>
    <x v="3"/>
  </r>
  <r>
    <s v="007"/>
    <s v="PR02"/>
    <s v="820XMC165"/>
    <s v="Vis TH (acier) M04*50"/>
    <s v="UN"/>
    <n v="42"/>
    <n v="8.9249999999999996E-2"/>
    <n v="3.7484999999999999"/>
    <x v="3"/>
  </r>
  <r>
    <s v="007"/>
    <s v="PR02"/>
    <s v="820XMC168"/>
    <s v="Vis sixpans fraisé (Acier) M10*20"/>
    <s v="UN"/>
    <n v="65"/>
    <n v="0.32140750000000007"/>
    <n v="20.891487500000004"/>
    <x v="3"/>
  </r>
  <r>
    <s v="007"/>
    <s v="PR02"/>
    <s v="820XMC169"/>
    <s v="VIS TH M08*60"/>
    <s v="UN"/>
    <n v="125"/>
    <n v="0.25700000000000001"/>
    <n v="32.125"/>
    <x v="3"/>
  </r>
  <r>
    <s v="007"/>
    <s v="PR02"/>
    <s v="820XMC170"/>
    <s v="VIS TH (acier) M08*50"/>
    <s v="UN"/>
    <n v="85"/>
    <n v="0.16392999999999999"/>
    <n v="13.934049999999999"/>
    <x v="3"/>
  </r>
  <r>
    <s v="007"/>
    <s v="PR02"/>
    <s v="820XMC171"/>
    <s v="VIS SIX PANS (acier) M12*20"/>
    <s v="UN"/>
    <n v="54"/>
    <n v="0.51200000000000001"/>
    <n v="27.648"/>
    <x v="3"/>
  </r>
  <r>
    <s v="007"/>
    <s v="PR02"/>
    <s v="820XMC181"/>
    <s v="Vis autoperceuse M06*38mm"/>
    <s v="UN"/>
    <n v="580"/>
    <n v="0.54154999999999998"/>
    <n v="314.09899999999999"/>
    <x v="3"/>
  </r>
  <r>
    <s v="007"/>
    <s v="PR02"/>
    <s v="820xmc183"/>
    <s v="GOUPILLE M05*60"/>
    <s v="UN"/>
    <n v="96"/>
    <n v="0.2328625924314919"/>
    <n v="22.354808873423224"/>
    <x v="3"/>
  </r>
  <r>
    <s v="007"/>
    <s v="PR02"/>
    <s v="820xmc184"/>
    <s v="Pointe TP N°7"/>
    <s v="UN"/>
    <n v="4"/>
    <n v="5.3379000000000003"/>
    <n v="21.351600000000001"/>
    <x v="3"/>
  </r>
  <r>
    <s v="007"/>
    <s v="PR02"/>
    <s v="820XMC187"/>
    <s v="Barreau clavette  16 ACIER"/>
    <s v="UN"/>
    <n v="4"/>
    <n v="53.29"/>
    <n v="213.16"/>
    <x v="3"/>
  </r>
  <r>
    <s v="007"/>
    <s v="PR02"/>
    <s v="820XMC188"/>
    <s v="Barreau clavette 10 ACIER"/>
    <s v="UN"/>
    <n v="5"/>
    <n v="23.007999999999999"/>
    <n v="115.03999999999999"/>
    <x v="3"/>
  </r>
  <r>
    <s v="007"/>
    <s v="PR02"/>
    <s v="820XMC189"/>
    <s v="Barreau clavette 12 acier"/>
    <s v="UN"/>
    <n v="1"/>
    <n v="36.194000000000003"/>
    <n v="36.194000000000003"/>
    <x v="3"/>
  </r>
  <r>
    <s v="007"/>
    <s v="PR02"/>
    <s v="820XMC207"/>
    <s v="tige fileté CUIVRE M16"/>
    <s v="UN"/>
    <n v="2"/>
    <n v="69"/>
    <n v="138"/>
    <x v="3"/>
  </r>
  <r>
    <s v="007"/>
    <s v="PR02"/>
    <s v="820XMC214"/>
    <s v="Vis d'arret M16*50"/>
    <s v="UN"/>
    <n v="4"/>
    <n v="5.5488"/>
    <n v="22.1952"/>
    <x v="3"/>
  </r>
  <r>
    <s v="007"/>
    <s v="PR02"/>
    <s v="820XMC218"/>
    <s v="Bobine etain 50/50"/>
    <s v="UN"/>
    <n v="4"/>
    <n v="36.801642857142852"/>
    <n v="147.20657142857141"/>
    <x v="3"/>
  </r>
  <r>
    <s v="007"/>
    <s v="PR02"/>
    <s v="820XMC228"/>
    <s v="Vis TH (acier) M10*80"/>
    <s v="UN"/>
    <n v="68"/>
    <n v="0.55342000000000002"/>
    <n v="37.632559999999998"/>
    <x v="3"/>
  </r>
  <r>
    <s v="007"/>
    <s v="PR02"/>
    <s v="820XMC236"/>
    <s v="vis six pans (acier) M08*10"/>
    <s v="UN"/>
    <n v="44"/>
    <n v="0.127"/>
    <n v="5.5880000000000001"/>
    <x v="3"/>
  </r>
  <r>
    <s v="007"/>
    <s v="PR02"/>
    <s v="820XMC238"/>
    <s v="Ressort acier L48.5*D12*EP3mm   moule grille"/>
    <s v="UN"/>
    <n v="8"/>
    <n v="6.2620000000000005"/>
    <n v="50.096000000000004"/>
    <x v="3"/>
  </r>
  <r>
    <s v="007"/>
    <s v="PR02"/>
    <s v="820XMC239"/>
    <s v="Ressort acier L108*D50.3*EP3mm"/>
    <s v="UN"/>
    <n v="10"/>
    <n v="20.2"/>
    <n v="202"/>
    <x v="3"/>
  </r>
  <r>
    <s v="007"/>
    <s v="PR02"/>
    <s v="820XMC242"/>
    <s v="Vis six pans (acier) M14*140"/>
    <s v="UN"/>
    <n v="3"/>
    <n v="2.1184599999999998"/>
    <n v="6.3553799999999994"/>
    <x v="3"/>
  </r>
  <r>
    <s v="007"/>
    <s v="PR02"/>
    <s v="820xmc245"/>
    <s v="Barreau clavette 14"/>
    <s v="UN"/>
    <n v="4"/>
    <n v="37.643999999999998"/>
    <n v="150.57599999999999"/>
    <x v="3"/>
  </r>
  <r>
    <s v="007"/>
    <s v="PR02"/>
    <s v="820XMC247"/>
    <s v="VIS TH (acier) M16*90"/>
    <s v="UN"/>
    <n v="54"/>
    <n v="1.5966"/>
    <n v="86.216400000000007"/>
    <x v="3"/>
  </r>
  <r>
    <s v="007"/>
    <s v="PR02"/>
    <s v="820XMC251"/>
    <s v="Vis six pans (acier) M16*30"/>
    <s v="UN"/>
    <n v="188"/>
    <n v="1.3158000000000001"/>
    <n v="247.37040000000002"/>
    <x v="3"/>
  </r>
  <r>
    <s v="007"/>
    <s v="PR02"/>
    <s v="820xmc252"/>
    <s v="Vis six pans (acier) M05*10"/>
    <s v="UN"/>
    <n v="120"/>
    <n v="3.3000000000000002E-2"/>
    <n v="3.96"/>
    <x v="3"/>
  </r>
  <r>
    <s v="007"/>
    <s v="PR02"/>
    <s v="820xmc264"/>
    <s v="Châpeau chinois D240/175"/>
    <s v="UN"/>
    <n v="1"/>
    <n v="0"/>
    <n v="0"/>
    <x v="3"/>
  </r>
  <r>
    <s v="007"/>
    <s v="PR02"/>
    <s v="820xmc265"/>
    <s v="Châpeau chinois D350"/>
    <s v="UN"/>
    <n v="1"/>
    <n v="38.46"/>
    <n v="38.46"/>
    <x v="3"/>
  </r>
  <r>
    <s v="007"/>
    <s v="PR02"/>
    <s v="820xmc266"/>
    <s v="Châpeau chinois D300"/>
    <s v="UN"/>
    <n v="1"/>
    <n v="32.965000000000003"/>
    <n v="32.965000000000003"/>
    <x v="3"/>
  </r>
  <r>
    <s v="007"/>
    <s v="PR02"/>
    <s v="820XMC268"/>
    <s v="Châpeau chinois D150"/>
    <s v="UN"/>
    <n v="1"/>
    <n v="16.483000000000001"/>
    <n v="16.483000000000001"/>
    <x v="3"/>
  </r>
  <r>
    <s v="007"/>
    <s v="PR02"/>
    <s v="820XMC269"/>
    <s v="Châpeau chinois D200"/>
    <s v="UN"/>
    <n v="1"/>
    <n v="21.978000000000002"/>
    <n v="21.978000000000002"/>
    <x v="3"/>
  </r>
  <r>
    <s v="007"/>
    <s v="PR02"/>
    <s v="820xmc276"/>
    <s v="Vis d'arrêt (INOX) M08*10"/>
    <s v="UN"/>
    <n v="197"/>
    <n v="0.17196"/>
    <n v="33.87612"/>
    <x v="3"/>
  </r>
  <r>
    <s v="007"/>
    <s v="PR02"/>
    <s v="820XMC277"/>
    <s v="VIS AUTOPERCEUSE M6.3*80"/>
    <s v="UN"/>
    <n v="226"/>
    <n v="0.26774999999999999"/>
    <n v="60.511499999999998"/>
    <x v="3"/>
  </r>
  <r>
    <s v="007"/>
    <s v="PR02"/>
    <s v="820XMC278"/>
    <s v="FER PLAT ACIER 120/100/10mm melang creuset fond"/>
    <s v="UN"/>
    <n v="20"/>
    <n v="18"/>
    <n v="360"/>
    <x v="3"/>
  </r>
  <r>
    <s v="007"/>
    <s v="PR02"/>
    <s v="820XMC290"/>
    <s v="Arbre cannelé Acier D20 4mm L600mm Palan"/>
    <s v="UN"/>
    <n v="1"/>
    <n v="350"/>
    <n v="350"/>
    <x v="3"/>
  </r>
  <r>
    <s v="007"/>
    <s v="PR02"/>
    <s v="820XMC292"/>
    <s v="Ressort TR 20/10*8*C510 Guide cable palan STAHL"/>
    <s v="UN"/>
    <n v="7"/>
    <n v="52.52"/>
    <n v="367.64000000000004"/>
    <x v="3"/>
  </r>
  <r>
    <s v="007"/>
    <s v="PR02"/>
    <s v="820XMC315"/>
    <s v="VIS TH (Acier) M06*50"/>
    <s v="UN"/>
    <n v="147"/>
    <n v="0.12"/>
    <n v="17.64"/>
    <x v="3"/>
  </r>
  <r>
    <s v="007"/>
    <s v="PR02"/>
    <s v="820XMC357"/>
    <s v="VIS TH M04*30 (acier)"/>
    <s v="UN"/>
    <n v="289"/>
    <n v="0"/>
    <n v="0"/>
    <x v="3"/>
  </r>
  <r>
    <s v="007"/>
    <s v="PR02"/>
    <s v="820XMC358"/>
    <s v="VIS TH M05*20 (acier)"/>
    <s v="UN"/>
    <n v="189"/>
    <n v="3.78E-2"/>
    <n v="7.1441999999999997"/>
    <x v="3"/>
  </r>
  <r>
    <s v="007"/>
    <s v="PR02"/>
    <s v="820xmc360"/>
    <s v="VIS TH M04*30 (acier)"/>
    <s v="UN"/>
    <n v="85"/>
    <n v="5.3550000000000007E-2"/>
    <n v="4.5517500000000002"/>
    <x v="3"/>
  </r>
  <r>
    <s v="007"/>
    <s v="PR02"/>
    <s v="820XMC361"/>
    <s v="VIS TH (INOX) M12*30"/>
    <s v="UN"/>
    <n v="40"/>
    <n v="1.5129999999999999"/>
    <n v="60.519999999999996"/>
    <x v="3"/>
  </r>
  <r>
    <s v="007"/>
    <s v="PR02"/>
    <s v="820XMC363"/>
    <s v="VIS TH M05*40 (acier)"/>
    <s v="UN"/>
    <n v="301"/>
    <n v="7.0999999999999994E-2"/>
    <n v="21.370999999999999"/>
    <x v="3"/>
  </r>
  <r>
    <s v="007"/>
    <s v="PR02"/>
    <s v="820XMC364"/>
    <s v="VIS TH M06*20 (acier)"/>
    <s v="UN"/>
    <n v="248"/>
    <n v="0.05"/>
    <n v="12.4"/>
    <x v="3"/>
  </r>
  <r>
    <s v="007"/>
    <s v="PR02"/>
    <s v="820XMC365"/>
    <s v="vis tête hexagonale M06*30 (acier)"/>
    <s v="UN"/>
    <n v="147"/>
    <n v="0.10620000000000002"/>
    <n v="15.611400000000003"/>
    <x v="3"/>
  </r>
  <r>
    <s v="007"/>
    <s v="PR02"/>
    <s v="820XMC368"/>
    <s v="VIS TH (acier) M08*30"/>
    <s v="UN"/>
    <n v="289"/>
    <n v="0.183"/>
    <n v="52.887"/>
    <x v="3"/>
  </r>
  <r>
    <s v="007"/>
    <s v="PR02"/>
    <s v="820XMC369"/>
    <s v="Vis TH (acier) M08*40"/>
    <s v="UN"/>
    <n v="189"/>
    <n v="0.19"/>
    <n v="35.910000000000004"/>
    <x v="3"/>
  </r>
  <r>
    <s v="007"/>
    <s v="PR02"/>
    <s v="820XMC370"/>
    <s v="Vis TH (acier) M08*50"/>
    <s v="UN"/>
    <n v="85"/>
    <n v="0.49"/>
    <n v="41.65"/>
    <x v="3"/>
  </r>
  <r>
    <s v="007"/>
    <s v="PR02"/>
    <s v="820XMC371"/>
    <s v="VIS TH (acier) M10*20"/>
    <s v="UN"/>
    <n v="45"/>
    <n v="0.16076999999999997"/>
    <n v="7.2346499999999985"/>
    <x v="3"/>
  </r>
  <r>
    <s v="007"/>
    <s v="PR02"/>
    <s v="820XMC372"/>
    <s v="Vis TH(acier) M10*30"/>
    <s v="UN"/>
    <n v="352"/>
    <n v="0.28799999999999998"/>
    <n v="101.37599999999999"/>
    <x v="3"/>
  </r>
  <r>
    <s v="007"/>
    <s v="PR02"/>
    <s v="820XMC375"/>
    <s v="Vis TH(acier) M10*100"/>
    <s v="UN"/>
    <n v="21"/>
    <n v="0.6175781818181818"/>
    <n v="12.969141818181818"/>
    <x v="3"/>
  </r>
  <r>
    <s v="007"/>
    <s v="PR02"/>
    <s v="820XMC376"/>
    <s v="Vis TH (acier) M10*120"/>
    <s v="UN"/>
    <n v="41"/>
    <n v="0.62390000000000001"/>
    <n v="25.579900000000002"/>
    <x v="3"/>
  </r>
  <r>
    <s v="007"/>
    <s v="PR02"/>
    <s v="820XMC377"/>
    <s v="vis tête hexagonale M12*30 (acier)"/>
    <s v="UN"/>
    <n v="152"/>
    <n v="0.29199999999999998"/>
    <n v="44.384"/>
    <x v="3"/>
  </r>
  <r>
    <s v="007"/>
    <s v="PR02"/>
    <s v="820XMC378"/>
    <s v="vis tête hexagonale M12*40 (acier)"/>
    <s v="UN"/>
    <n v="285"/>
    <n v="0.44600000000000001"/>
    <n v="127.11"/>
    <x v="3"/>
  </r>
  <r>
    <s v="007"/>
    <s v="PR02"/>
    <s v="820XMC379"/>
    <s v="VIS TH (acier) M12*50"/>
    <s v="UN"/>
    <n v="174"/>
    <n v="0.59"/>
    <n v="102.66"/>
    <x v="3"/>
  </r>
  <r>
    <s v="007"/>
    <s v="PR02"/>
    <s v="820XMC380"/>
    <s v="VIS TH (acier) M12*120"/>
    <s v="UN"/>
    <n v="35"/>
    <n v="0.26179999999999998"/>
    <n v="9.1629999999999985"/>
    <x v="3"/>
  </r>
  <r>
    <s v="007"/>
    <s v="PR02"/>
    <s v="820XMC383"/>
    <s v="vis tête hexagonale M16*60 (acier)"/>
    <s v="UN"/>
    <n v="175"/>
    <n v="1.1100000000000001"/>
    <n v="194.25000000000003"/>
    <x v="3"/>
  </r>
  <r>
    <s v="007"/>
    <s v="PR02"/>
    <s v="820XMC384"/>
    <s v="VIS TH (acier) M16*80"/>
    <s v="UN"/>
    <n v="25"/>
    <n v="1.145"/>
    <n v="28.625"/>
    <x v="3"/>
  </r>
  <r>
    <s v="007"/>
    <s v="PR02"/>
    <s v="820XMC387"/>
    <s v="vis six pans (acier) M04*20"/>
    <s v="UN"/>
    <n v="4"/>
    <n v="9.799999999999999E-2"/>
    <n v="0.39199999999999996"/>
    <x v="3"/>
  </r>
  <r>
    <s v="007"/>
    <s v="PR02"/>
    <s v="820XMC388"/>
    <s v="vis six pans (acier) M04*30"/>
    <s v="UN"/>
    <n v="52"/>
    <n v="5.9033281409406252E-2"/>
    <n v="3.069730633289125"/>
    <x v="3"/>
  </r>
  <r>
    <s v="007"/>
    <s v="PR02"/>
    <s v="820XMC390"/>
    <s v="vis six pans (acier) M05*20"/>
    <s v="UN"/>
    <n v="547"/>
    <n v="0.06"/>
    <n v="32.82"/>
    <x v="3"/>
  </r>
  <r>
    <s v="007"/>
    <s v="PR02"/>
    <s v="820XMC392"/>
    <s v="vis six pans (acier) M12*30"/>
    <s v="UN"/>
    <n v="48"/>
    <n v="0.58602392565597661"/>
    <n v="28.129148431486875"/>
    <x v="3"/>
  </r>
  <r>
    <s v="007"/>
    <s v="PR02"/>
    <s v="820XMC393"/>
    <s v="vis six pans (acier) M12*50"/>
    <s v="UN"/>
    <n v="25"/>
    <n v="0.68090066225165569"/>
    <n v="17.022516556291393"/>
    <x v="3"/>
  </r>
  <r>
    <s v="007"/>
    <s v="PR02"/>
    <s v="820XMC394"/>
    <s v="vis six pans (acier) M10*20"/>
    <s v="UN"/>
    <n v="85"/>
    <n v="0.40460000000000002"/>
    <n v="34.390999999999998"/>
    <x v="3"/>
  </r>
  <r>
    <s v="007"/>
    <s v="PR02"/>
    <s v="820XMC395"/>
    <s v="vis six pans (acier) M05*30"/>
    <s v="UN"/>
    <n v="145"/>
    <n v="0.10833"/>
    <n v="15.707849999999999"/>
    <x v="3"/>
  </r>
  <r>
    <s v="007"/>
    <s v="PR02"/>
    <s v="820XMC397"/>
    <s v="vis six pans (acier) M06*10"/>
    <s v="UN"/>
    <n v="185"/>
    <n v="6.8000000000000005E-2"/>
    <n v="12.58"/>
    <x v="3"/>
  </r>
  <r>
    <s v="007"/>
    <s v="PR02"/>
    <s v="820XMC399"/>
    <s v="vis six pans (acier) M06*20"/>
    <s v="UN"/>
    <n v="352"/>
    <n v="8.6999999999999994E-2"/>
    <n v="30.623999999999999"/>
    <x v="3"/>
  </r>
  <r>
    <s v="007"/>
    <s v="PR02"/>
    <s v="820XMC402"/>
    <s v="vis six pans (acier) M08*20"/>
    <s v="UN"/>
    <n v="120"/>
    <n v="0.186"/>
    <n v="22.32"/>
    <x v="3"/>
  </r>
  <r>
    <s v="007"/>
    <s v="PR02"/>
    <s v="820XMC404"/>
    <s v="vis six pans (acier) M08*40"/>
    <s v="UN"/>
    <n v="157"/>
    <n v="0.29599999999999999"/>
    <n v="46.471999999999994"/>
    <x v="3"/>
  </r>
  <r>
    <s v="007"/>
    <s v="PR02"/>
    <s v="820XMC405"/>
    <s v="vis six pans (acier) M08*60"/>
    <s v="UN"/>
    <n v="98"/>
    <n v="0.442"/>
    <n v="43.316000000000003"/>
    <x v="3"/>
  </r>
  <r>
    <s v="007"/>
    <s v="PR02"/>
    <s v="820XMC406"/>
    <s v="vis six pans (acier) M08*70"/>
    <s v="UN"/>
    <n v="98"/>
    <n v="0.44700000000000001"/>
    <n v="43.805999999999997"/>
    <x v="3"/>
  </r>
  <r>
    <s v="007"/>
    <s v="PR02"/>
    <s v="820XMC410"/>
    <s v="vis six pans (acier) M10*50"/>
    <s v="UN"/>
    <n v="122"/>
    <n v="0.69750999999999985"/>
    <n v="85.096219999999988"/>
    <x v="3"/>
  </r>
  <r>
    <s v="007"/>
    <s v="PR02"/>
    <s v="820XMC411"/>
    <s v="vis six pans (acier) M10*80"/>
    <s v="UN"/>
    <n v="8"/>
    <n v="0.83717239130434784"/>
    <n v="6.6973791304347827"/>
    <x v="3"/>
  </r>
  <r>
    <s v="007"/>
    <s v="PR02"/>
    <s v="820xmc414"/>
    <s v="vis six pans (acier) M12*40"/>
    <s v="UN"/>
    <n v="8"/>
    <n v="0.63500000000000001"/>
    <n v="5.08"/>
    <x v="3"/>
  </r>
  <r>
    <s v="007"/>
    <s v="PR02"/>
    <s v="820XMC448"/>
    <s v="vis six pans (Inox) M05*20"/>
    <s v="UN"/>
    <n v="85"/>
    <n v="0.21"/>
    <n v="17.849999999999998"/>
    <x v="3"/>
  </r>
  <r>
    <s v="007"/>
    <s v="PR02"/>
    <s v="820XMC450"/>
    <s v="vis six pans (Inox) M05*40"/>
    <s v="UN"/>
    <n v="195"/>
    <n v="0.28299999999999997"/>
    <n v="55.184999999999995"/>
    <x v="3"/>
  </r>
  <r>
    <s v="007"/>
    <s v="PR02"/>
    <s v="820XMC452"/>
    <s v="vis six pans (Inox) M06*30"/>
    <s v="UN"/>
    <n v="14"/>
    <n v="0.44500000000000001"/>
    <n v="6.23"/>
    <x v="3"/>
  </r>
  <r>
    <s v="007"/>
    <s v="PR02"/>
    <s v="820xmc454"/>
    <s v="vis six pans (Inox) M08*20"/>
    <s v="UN"/>
    <n v="89"/>
    <n v="0.49299999999999999"/>
    <n v="43.877000000000002"/>
    <x v="3"/>
  </r>
  <r>
    <s v="007"/>
    <s v="PR02"/>
    <s v="820xmc455"/>
    <s v="vis six pans (Inox) M08*30"/>
    <s v="UN"/>
    <n v="254"/>
    <n v="0.67300000000000004"/>
    <n v="170.94200000000001"/>
    <x v="3"/>
  </r>
  <r>
    <s v="007"/>
    <s v="PR02"/>
    <s v="820XMC459"/>
    <s v="vis six pans (Inox) M10*30"/>
    <s v="UN"/>
    <n v="122"/>
    <n v="1.121"/>
    <n v="136.762"/>
    <x v="3"/>
  </r>
  <r>
    <s v="007"/>
    <s v="PR02"/>
    <s v="820XMC460"/>
    <s v="vis six pans (Inox) M10*40"/>
    <s v="UN"/>
    <n v="156"/>
    <n v="1.3460000000000001"/>
    <n v="209.976"/>
    <x v="3"/>
  </r>
  <r>
    <s v="007"/>
    <s v="PR02"/>
    <s v="820XMC470"/>
    <s v="écrou (acier) M05"/>
    <s v="UN"/>
    <n v="65"/>
    <n v="1.4279999999999999E-2"/>
    <n v="0.92819999999999991"/>
    <x v="3"/>
  </r>
  <r>
    <s v="007"/>
    <s v="PR02"/>
    <s v="820XMC471"/>
    <s v="écrou (acier) M06"/>
    <s v="UN"/>
    <n v="380"/>
    <n v="2.3E-2"/>
    <n v="8.74"/>
    <x v="3"/>
  </r>
  <r>
    <s v="007"/>
    <s v="PR02"/>
    <s v="820XMC472"/>
    <s v="écrou (acier) M08"/>
    <s v="UN"/>
    <n v="514"/>
    <n v="5.6169999999999998E-2"/>
    <n v="28.871379999999998"/>
    <x v="3"/>
  </r>
  <r>
    <s v="007"/>
    <s v="PR02"/>
    <s v="820XMC473"/>
    <s v="écrou (acier) M10"/>
    <s v="UN"/>
    <n v="300"/>
    <n v="0.11"/>
    <n v="33"/>
    <x v="3"/>
  </r>
  <r>
    <s v="007"/>
    <s v="PR02"/>
    <s v="820XMC474"/>
    <s v="écrou (acier) M12"/>
    <s v="UN"/>
    <n v="401"/>
    <n v="0.127"/>
    <n v="50.927"/>
    <x v="3"/>
  </r>
  <r>
    <s v="007"/>
    <s v="PR02"/>
    <s v="820XMC475"/>
    <s v="écrou (acier) M16"/>
    <s v="UN"/>
    <n v="302"/>
    <n v="0.30299999999999999"/>
    <n v="91.506"/>
    <x v="3"/>
  </r>
  <r>
    <s v="007"/>
    <s v="PR02"/>
    <s v="820XMC481"/>
    <s v="écrou (Inox) M08"/>
    <s v="UN"/>
    <n v="14"/>
    <n v="0.15327726708074535"/>
    <n v="2.1458817391304348"/>
    <x v="3"/>
  </r>
  <r>
    <s v="007"/>
    <s v="PR02"/>
    <s v="820XMC482"/>
    <s v="écrou (Inox) M10"/>
    <s v="UN"/>
    <n v="18"/>
    <n v="0.27565000000000001"/>
    <n v="4.9617000000000004"/>
    <x v="3"/>
  </r>
  <r>
    <s v="007"/>
    <s v="PR02"/>
    <s v="820XMC484"/>
    <s v="écrou frein M8"/>
    <s v="UN"/>
    <n v="18"/>
    <n v="3.7376999999999998"/>
    <n v="67.278599999999997"/>
    <x v="3"/>
  </r>
  <r>
    <s v="007"/>
    <s v="PR02"/>
    <s v="820XMC485"/>
    <s v="Vis d'arrêt (acier) M05*10"/>
    <s v="UN"/>
    <n v="4"/>
    <n v="0.16788"/>
    <n v="0.67152000000000001"/>
    <x v="3"/>
  </r>
  <r>
    <s v="007"/>
    <s v="PR02"/>
    <s v="820XMC492"/>
    <s v="Vis d'arrêt (acier) M10*20"/>
    <s v="UN"/>
    <n v="28"/>
    <n v="0.28334745762711866"/>
    <n v="7.9337288135593225"/>
    <x v="3"/>
  </r>
  <r>
    <s v="007"/>
    <s v="PR02"/>
    <s v="820XMC493"/>
    <s v="tige fileté (acier) M06"/>
    <s v="UN"/>
    <n v="10"/>
    <n v="1.3260000000000001"/>
    <n v="13.260000000000002"/>
    <x v="3"/>
  </r>
  <r>
    <s v="007"/>
    <s v="PR02"/>
    <s v="820XMC494"/>
    <s v="tige fileté (acier) M08"/>
    <s v="UN"/>
    <n v="15"/>
    <n v="2.2429999999999999"/>
    <n v="33.644999999999996"/>
    <x v="3"/>
  </r>
  <r>
    <s v="007"/>
    <s v="PR02"/>
    <s v="820XMC495"/>
    <s v="tige fileté (acier) M10"/>
    <s v="UN"/>
    <n v="14"/>
    <n v="3.2429999999999999"/>
    <n v="45.402000000000001"/>
    <x v="3"/>
  </r>
  <r>
    <s v="007"/>
    <s v="PR02"/>
    <s v="820XMC496"/>
    <s v="tige fileté (acier) M12"/>
    <s v="UN"/>
    <n v="8"/>
    <n v="4.4850000000000003"/>
    <n v="35.880000000000003"/>
    <x v="3"/>
  </r>
  <r>
    <s v="007"/>
    <s v="PR02"/>
    <s v="820XMC497"/>
    <s v="tige fileté (acier) M14"/>
    <s v="UN"/>
    <n v="15"/>
    <n v="4.3360000000000003"/>
    <n v="65.040000000000006"/>
    <x v="3"/>
  </r>
  <r>
    <s v="007"/>
    <s v="PR02"/>
    <s v="820xmc498"/>
    <s v="tige fileté (acier) M16"/>
    <s v="UN"/>
    <n v="7"/>
    <n v="8.4700000000000006"/>
    <n v="59.290000000000006"/>
    <x v="3"/>
  </r>
  <r>
    <s v="007"/>
    <s v="PR02"/>
    <s v="820XMC503"/>
    <s v="Rondelle plate (acier) M05"/>
    <s v="UN"/>
    <n v="140"/>
    <n v="6.1900000000000002E-3"/>
    <n v="0.86660000000000004"/>
    <x v="3"/>
  </r>
  <r>
    <s v="007"/>
    <s v="PR02"/>
    <s v="820XMC504"/>
    <s v="Rondelle plate (acier) M06"/>
    <s v="UN"/>
    <n v="380"/>
    <n v="7.6499999999999999E-2"/>
    <n v="29.07"/>
    <x v="3"/>
  </r>
  <r>
    <s v="007"/>
    <s v="PR02"/>
    <s v="820XMC505"/>
    <s v="Rondelle plate (acier) M08"/>
    <s v="UN"/>
    <n v="452"/>
    <n v="4.2750000000000003E-2"/>
    <n v="19.323"/>
    <x v="3"/>
  </r>
  <r>
    <s v="007"/>
    <s v="PR02"/>
    <s v="820XMC506"/>
    <s v="Rondelle plate (acier) M10"/>
    <s v="UN"/>
    <n v="420"/>
    <n v="2.826E-2"/>
    <n v="11.869199999999999"/>
    <x v="3"/>
  </r>
  <r>
    <s v="007"/>
    <s v="PR02"/>
    <s v="820XMC507"/>
    <s v="Rondelle plate (acier) M12"/>
    <s v="UN"/>
    <n v="540"/>
    <n v="8.1000000000000003E-2"/>
    <n v="43.74"/>
    <x v="3"/>
  </r>
  <r>
    <s v="007"/>
    <s v="PR02"/>
    <s v="820XMC508"/>
    <s v="Rondelle plate (acier) M14"/>
    <s v="UN"/>
    <n v="380"/>
    <n v="0.14147000000000001"/>
    <n v="53.758600000000001"/>
    <x v="3"/>
  </r>
  <r>
    <s v="007"/>
    <s v="PR02"/>
    <s v="820XMC509"/>
    <s v="Rondelle plate (acier) M16"/>
    <s v="UN"/>
    <n v="523"/>
    <n v="0.26100000000000001"/>
    <n v="136.50300000000001"/>
    <x v="3"/>
  </r>
  <r>
    <s v="007"/>
    <s v="PR02"/>
    <s v="820XMC544"/>
    <s v="tirefond M8*60"/>
    <s v="UN"/>
    <n v="80"/>
    <n v="0.17327000000000001"/>
    <n v="13.861600000000001"/>
    <x v="3"/>
  </r>
  <r>
    <s v="007"/>
    <s v="PR02"/>
    <s v="820XMC547"/>
    <s v="cheville 6"/>
    <s v="UN"/>
    <n v="38"/>
    <n v="5.04E-2"/>
    <n v="1.9152"/>
    <x v="3"/>
  </r>
  <r>
    <s v="007"/>
    <s v="PR02"/>
    <s v="820XMC548"/>
    <s v="cheville 8"/>
    <s v="UN"/>
    <n v="23"/>
    <n v="3.9600000000000003E-2"/>
    <n v="0.91080000000000005"/>
    <x v="3"/>
  </r>
  <r>
    <s v="007"/>
    <s v="PR02"/>
    <s v="820XMC588"/>
    <s v="tige fileté (acier) M05"/>
    <s v="UN"/>
    <n v="9"/>
    <n v="1.35"/>
    <n v="12.15"/>
    <x v="3"/>
  </r>
  <r>
    <s v="007"/>
    <s v="PR02"/>
    <s v="820XMC604"/>
    <s v="VIS Fixation Godets Elevateur a godets"/>
    <s v="UN"/>
    <n v="52"/>
    <n v="1.8180000000000001"/>
    <n v="94.536000000000001"/>
    <x v="3"/>
  </r>
  <r>
    <s v="007"/>
    <s v="PR02"/>
    <s v="820XMC606"/>
    <s v="Vis TH (acier) M20*60"/>
    <s v="UN"/>
    <n v="5"/>
    <n v="2.1949999999999998"/>
    <n v="10.975"/>
    <x v="3"/>
  </r>
  <r>
    <s v="007"/>
    <s v="PR02"/>
    <s v="820XMC615"/>
    <s v="BAGUE PCM 161820 E SKM07P M.Limage"/>
    <s v="UN"/>
    <n v="9"/>
    <n v="3.1172142857142862"/>
    <n v="28.054928571428576"/>
    <x v="3"/>
  </r>
  <r>
    <s v="007"/>
    <s v="PR02"/>
    <s v="820XMC616"/>
    <s v="BAGUE PCM 142012 E SKM09N M.Limage"/>
    <s v="UN"/>
    <n v="5"/>
    <n v="2.5362"/>
    <n v="12.681000000000001"/>
    <x v="3"/>
  </r>
  <r>
    <s v="007"/>
    <s v="PR02"/>
    <s v="820XMC621"/>
    <s v="Vis TH(acier) M08*80"/>
    <s v="UN"/>
    <n v="74"/>
    <n v="0.32200000000000001"/>
    <n v="23.827999999999999"/>
    <x v="3"/>
  </r>
  <r>
    <s v="007"/>
    <s v="PR02"/>
    <s v="820XMC622"/>
    <s v="Vis TH(acier) M08*100"/>
    <s v="UN"/>
    <n v="61"/>
    <n v="0.3468"/>
    <n v="21.154800000000002"/>
    <x v="3"/>
  </r>
  <r>
    <s v="007"/>
    <s v="PR02"/>
    <s v="820XMC625"/>
    <s v="Vis TH (acier) M12*20"/>
    <s v="UN"/>
    <n v="14"/>
    <n v="0.25797999999999999"/>
    <n v="3.61172"/>
    <x v="3"/>
  </r>
  <r>
    <s v="007"/>
    <s v="PR02"/>
    <s v="820XMC630"/>
    <s v="vis six pans (Inox) M05*10"/>
    <s v="UN"/>
    <n v="85"/>
    <n v="0.18"/>
    <n v="15.299999999999999"/>
    <x v="3"/>
  </r>
  <r>
    <s v="007"/>
    <s v="PR02"/>
    <s v="820XMC647"/>
    <s v="Tige fileté (INOX) M10"/>
    <s v="UN"/>
    <n v="7"/>
    <n v="17.193000000000001"/>
    <n v="120.35100000000001"/>
    <x v="3"/>
  </r>
  <r>
    <s v="007"/>
    <s v="PR02"/>
    <s v="820XMC648"/>
    <s v="Tige fileté (INOX) M12"/>
    <s v="UN"/>
    <n v="5"/>
    <n v="22.925000000000001"/>
    <n v="114.625"/>
    <x v="3"/>
  </r>
  <r>
    <s v="007"/>
    <s v="PR02"/>
    <s v="820XMC651"/>
    <s v="Vis d'arrêt (INOX) M08*20"/>
    <s v="UN"/>
    <n v="38"/>
    <n v="0.29799999999999999"/>
    <n v="11.324"/>
    <x v="3"/>
  </r>
  <r>
    <s v="007"/>
    <s v="PR02"/>
    <s v="820XMC654"/>
    <s v="vis six pans (acier) M16*60  Moule Punshin"/>
    <s v="UN"/>
    <n v="54"/>
    <n v="1.3390899999999999"/>
    <n v="72.310859999999991"/>
    <x v="3"/>
  </r>
  <r>
    <s v="007"/>
    <s v="PR02"/>
    <s v="820XMC656"/>
    <s v="VIS TH (acier) M10*50 Filtage complet"/>
    <s v="UN"/>
    <n v="45"/>
    <n v="0.42626999999999998"/>
    <n v="19.18215"/>
    <x v="3"/>
  </r>
  <r>
    <s v="007"/>
    <s v="PR02"/>
    <s v="820XMC659"/>
    <s v="vis six pans (acier) M16*120  Moule Punshi"/>
    <s v="UN"/>
    <n v="28"/>
    <n v="2.8079999999999998"/>
    <n v="78.623999999999995"/>
    <x v="3"/>
  </r>
  <r>
    <s v="007"/>
    <s v="PR02"/>
    <s v="820XMC711"/>
    <s v="Tige fileté (INOX) M06"/>
    <s v="UN"/>
    <n v="7"/>
    <n v="6.63"/>
    <n v="46.41"/>
    <x v="3"/>
  </r>
  <r>
    <s v="007"/>
    <s v="PR02"/>
    <s v="820XMC744"/>
    <s v="VIS TF (acier) M06*10"/>
    <s v="UN"/>
    <n v="85"/>
    <n v="5.1999999999999998E-2"/>
    <n v="4.42"/>
    <x v="3"/>
  </r>
  <r>
    <s v="007"/>
    <s v="PR02"/>
    <s v="820XMC745"/>
    <s v="Tige fileté (INOX) M14"/>
    <s v="UN"/>
    <n v="5"/>
    <n v="34.384999999999998"/>
    <n v="171.92499999999998"/>
    <x v="3"/>
  </r>
  <r>
    <s v="007"/>
    <s v="PR02"/>
    <s v="820XMC748"/>
    <s v="vis six pans (Inox) M04*40"/>
    <s v="UN"/>
    <n v="81"/>
    <n v="0.19800000000000001"/>
    <n v="16.038"/>
    <x v="3"/>
  </r>
  <r>
    <s v="007"/>
    <s v="PR02"/>
    <s v="820XMC798"/>
    <s v="VIS TH (acier) M22*100"/>
    <s v="UN"/>
    <n v="42"/>
    <n v="3.7"/>
    <n v="155.4"/>
    <x v="3"/>
  </r>
  <r>
    <s v="007"/>
    <s v="PR02"/>
    <s v="820XMC805"/>
    <s v="GOUPILLE D4*30 Elastique"/>
    <s v="UN"/>
    <n v="13"/>
    <n v="0.10878985088138404"/>
    <n v="1.4142680614579926"/>
    <x v="3"/>
  </r>
  <r>
    <s v="007"/>
    <s v="PR02"/>
    <s v="820XMC807"/>
    <s v="Rondelle plate (acier) M18"/>
    <s v="UN"/>
    <n v="189"/>
    <n v="0.46400000000000002"/>
    <n v="87.695999999999998"/>
    <x v="3"/>
  </r>
  <r>
    <s v="007"/>
    <s v="PR02"/>
    <s v="820XMC816"/>
    <s v="Vis TH (INOX) M14*30"/>
    <s v="UN"/>
    <n v="158"/>
    <n v="2.4729999999999999"/>
    <n v="390.73399999999998"/>
    <x v="3"/>
  </r>
  <r>
    <s v="007"/>
    <s v="PR02"/>
    <s v="820XMC818"/>
    <s v="VIS TH (acier) M14*70"/>
    <s v="UN"/>
    <n v="520"/>
    <n v="0.92800000000000005"/>
    <n v="482.56"/>
    <x v="3"/>
  </r>
  <r>
    <s v="007"/>
    <s v="PR02"/>
    <s v="820XMC823"/>
    <s v="VIS TH(acier) M16*70"/>
    <s v="UN"/>
    <n v="45"/>
    <n v="1.0395066666666666"/>
    <n v="46.777799999999999"/>
    <x v="3"/>
  </r>
  <r>
    <s v="007"/>
    <s v="PR02"/>
    <s v="820XMC832"/>
    <s v="Tige fileté (INOX) M16"/>
    <s v="UN"/>
    <n v="5"/>
    <n v="47.84"/>
    <n v="239.20000000000002"/>
    <x v="3"/>
  </r>
  <r>
    <s v="007"/>
    <s v="PR02"/>
    <s v="820XMC846"/>
    <s v="Ressort COMP 20/10*43*175  MOULE PUNS"/>
    <s v="UN"/>
    <n v="12"/>
    <n v="22.725000000000001"/>
    <n v="272.70000000000005"/>
    <x v="3"/>
  </r>
  <r>
    <s v="007"/>
    <s v="PR02"/>
    <s v="820XMC849"/>
    <s v="VIS TH(acier) M08*70"/>
    <s v="UN"/>
    <n v="92"/>
    <n v="0.28999999999999998"/>
    <n v="26.68"/>
    <x v="3"/>
  </r>
  <r>
    <s v="007"/>
    <s v="PR02"/>
    <s v="820XMC850"/>
    <s v="VIS TH (acier) M12*60"/>
    <s v="UN"/>
    <n v="58"/>
    <n v="0.28999999999999998"/>
    <n v="16.82"/>
    <x v="3"/>
  </r>
  <r>
    <s v="007"/>
    <s v="PR02"/>
    <s v="820XMC858"/>
    <s v="Circlips Interieur D80"/>
    <s v="UN"/>
    <n v="41"/>
    <n v="2.65"/>
    <n v="108.64999999999999"/>
    <x v="3"/>
  </r>
  <r>
    <s v="007"/>
    <s v="PR02"/>
    <s v="820XMC860"/>
    <s v="Circlips Exterieur D80"/>
    <s v="UN"/>
    <n v="41"/>
    <n v="2.15"/>
    <n v="88.149999999999991"/>
    <x v="3"/>
  </r>
  <r>
    <s v="007"/>
    <s v="PR02"/>
    <s v="820XMC861"/>
    <s v="Circlips Exterieur D90"/>
    <s v="UN"/>
    <n v="38"/>
    <n v="2.95"/>
    <n v="112.10000000000001"/>
    <x v="3"/>
  </r>
  <r>
    <s v="007"/>
    <s v="PR02"/>
    <s v="820XMC863"/>
    <s v="ECROU A ENCOCHE KM16 Reducteur STRIP"/>
    <s v="UN"/>
    <n v="1"/>
    <n v="54.99"/>
    <n v="54.99"/>
    <x v="3"/>
  </r>
  <r>
    <s v="007"/>
    <s v="PR02"/>
    <s v="820XMC864"/>
    <s v="Rondelle de serrage MB16 Reducteur STRIP"/>
    <s v="UN"/>
    <n v="1"/>
    <n v="6.4349999999999996"/>
    <n v="6.4349999999999996"/>
    <x v="3"/>
  </r>
  <r>
    <s v="007"/>
    <s v="PR02"/>
    <s v="820XMC865"/>
    <s v="Ejecteur 35*35*6.3*4.6*1.5mm Moule grille industr"/>
    <s v="UN"/>
    <n v="8"/>
    <n v="0"/>
    <n v="0"/>
    <x v="3"/>
  </r>
  <r>
    <s v="007"/>
    <s v="PR02"/>
    <s v="820XMC873"/>
    <s v="FER PLAT acier (6M) EP5mm*larg30mm"/>
    <s v="UN"/>
    <n v="8"/>
    <n v="25.65"/>
    <n v="205.2"/>
    <x v="3"/>
  </r>
  <r>
    <s v="007"/>
    <s v="PR02"/>
    <s v="820XMC874"/>
    <s v="vis six pans (INOX) M08*25"/>
    <s v="UN"/>
    <n v="65"/>
    <n v="0.54900000000000004"/>
    <n v="35.685000000000002"/>
    <x v="3"/>
  </r>
  <r>
    <s v="007"/>
    <s v="PR02"/>
    <s v="820XMC875"/>
    <s v="Ressort COMP 25/10*10*57*90 Moule Pun"/>
    <s v="UN"/>
    <n v="22"/>
    <n v="13.736000000000001"/>
    <n v="302.19200000000001"/>
    <x v="3"/>
  </r>
  <r>
    <s v="007"/>
    <s v="PR02"/>
    <s v="820XMC904"/>
    <s v="VIS TH (INOX) M12*50"/>
    <s v="UN"/>
    <n v="65"/>
    <n v="1.972"/>
    <n v="128.18"/>
    <x v="3"/>
  </r>
  <r>
    <s v="007"/>
    <s v="PR02"/>
    <s v="820XMC970"/>
    <s v="Tige filté M22"/>
    <s v="UN"/>
    <n v="4"/>
    <n v="15.698"/>
    <n v="62.792000000000002"/>
    <x v="3"/>
  </r>
  <r>
    <s v="007"/>
    <s v="PR02"/>
    <s v="830bar001"/>
    <s v="Barreau Clavette 5"/>
    <s v="UN"/>
    <n v="2"/>
    <n v="6.7910000000000004"/>
    <n v="13.582000000000001"/>
    <x v="3"/>
  </r>
  <r>
    <s v="007"/>
    <s v="PR02"/>
    <s v="830BAR002"/>
    <s v="Barreau Clavette 6 ACIER"/>
    <s v="UN"/>
    <n v="5"/>
    <n v="10.92"/>
    <n v="54.6"/>
    <x v="3"/>
  </r>
  <r>
    <s v="007"/>
    <s v="PR02"/>
    <s v="830bar004"/>
    <s v="Barreau Clavette 4"/>
    <s v="UN"/>
    <n v="2"/>
    <n v="6.593"/>
    <n v="13.186"/>
    <x v="3"/>
  </r>
  <r>
    <s v="007"/>
    <s v="PR02"/>
    <s v="830cle029"/>
    <s v="Cle a griffe 24&quot;"/>
    <s v="UN"/>
    <n v="1"/>
    <n v="56.860199999999999"/>
    <n v="56.860199999999999"/>
    <x v="3"/>
  </r>
  <r>
    <s v="007"/>
    <s v="PR02"/>
    <s v="830CLE053"/>
    <s v="clé à griffe 14P"/>
    <s v="UN"/>
    <n v="1"/>
    <n v="26.8047"/>
    <n v="26.8047"/>
    <x v="3"/>
  </r>
  <r>
    <s v="007"/>
    <s v="PR02"/>
    <s v="830MCH001"/>
    <s v="MECHE BETON 6"/>
    <s v="UN"/>
    <n v="1"/>
    <n v="1.63"/>
    <n v="1.63"/>
    <x v="3"/>
  </r>
  <r>
    <s v="007"/>
    <s v="PR02"/>
    <s v="830MCH002"/>
    <s v="MECHE BETON 8"/>
    <s v="UN"/>
    <n v="1"/>
    <n v="2.512"/>
    <n v="2.512"/>
    <x v="3"/>
  </r>
  <r>
    <s v="007"/>
    <s v="PR02"/>
    <s v="830MCH003"/>
    <s v="MECHE BETON 10"/>
    <s v="UN"/>
    <n v="1"/>
    <n v="3.0259999999999998"/>
    <n v="3.0259999999999998"/>
    <x v="3"/>
  </r>
  <r>
    <s v="007"/>
    <s v="PR02"/>
    <s v="830MCH005"/>
    <s v="Mèche acier 12"/>
    <s v="UN"/>
    <n v="2"/>
    <n v="4.5625526315789475"/>
    <n v="9.1251052631578951"/>
    <x v="3"/>
  </r>
  <r>
    <s v="007"/>
    <s v="PR02"/>
    <s v="830MCH007"/>
    <s v="Mèche acier 20"/>
    <s v="UN"/>
    <n v="2"/>
    <n v="13.026249999999999"/>
    <n v="26.052499999999998"/>
    <x v="3"/>
  </r>
  <r>
    <s v="007"/>
    <s v="PR02"/>
    <s v="830MCH008"/>
    <s v="Mèche acier 14"/>
    <s v="UN"/>
    <n v="3"/>
    <n v="8.6880000000000006"/>
    <n v="26.064"/>
    <x v="3"/>
  </r>
  <r>
    <s v="007"/>
    <s v="PR02"/>
    <s v="830MCH012"/>
    <s v="Foret 24*450"/>
    <s v="UN"/>
    <n v="1"/>
    <n v="29.51"/>
    <n v="29.51"/>
    <x v="3"/>
  </r>
  <r>
    <s v="007"/>
    <s v="PR02"/>
    <s v="830MCH013"/>
    <s v="Mèche acier 11.5"/>
    <s v="UN"/>
    <n v="4"/>
    <n v="1.1559999999999999"/>
    <n v="4.6239999999999997"/>
    <x v="3"/>
  </r>
  <r>
    <s v="007"/>
    <s v="PR02"/>
    <s v="830MCH014"/>
    <s v="Mèche acier 11"/>
    <s v="UN"/>
    <n v="1"/>
    <n v="4.6139999999999999"/>
    <n v="4.6139999999999999"/>
    <x v="3"/>
  </r>
  <r>
    <s v="007"/>
    <s v="PR02"/>
    <s v="830MCH038"/>
    <s v="Mèche acier 16 DORMER"/>
    <s v="UN"/>
    <n v="1"/>
    <n v="129.80250000000001"/>
    <n v="129.80250000000001"/>
    <x v="3"/>
  </r>
  <r>
    <s v="007"/>
    <s v="PR02"/>
    <s v="830MCH911"/>
    <s v="Mèche acier 4"/>
    <s v="UN"/>
    <n v="1"/>
    <n v="1.0025999999999999"/>
    <n v="1.0025999999999999"/>
    <x v="3"/>
  </r>
  <r>
    <s v="007"/>
    <s v="PR02"/>
    <s v="830MCH912"/>
    <s v="Mèche Acier 2"/>
    <s v="UN"/>
    <n v="1"/>
    <n v="0.33700000000000002"/>
    <n v="0.33700000000000002"/>
    <x v="3"/>
  </r>
  <r>
    <s v="007"/>
    <s v="PR02"/>
    <s v="830MCH914"/>
    <s v="Mèche ACIER 5"/>
    <s v="UN"/>
    <n v="1"/>
    <n v="1.1952"/>
    <n v="1.1952"/>
    <x v="3"/>
  </r>
  <r>
    <s v="007"/>
    <s v="PR02"/>
    <s v="830MCH916"/>
    <s v="Mèche acier 6"/>
    <s v="UN"/>
    <n v="1"/>
    <n v="1.304"/>
    <n v="1.304"/>
    <x v="3"/>
  </r>
  <r>
    <s v="007"/>
    <s v="PR02"/>
    <s v="830MCH918"/>
    <s v="Mèche acier 6,5"/>
    <s v="UN"/>
    <n v="1"/>
    <n v="1.4"/>
    <n v="1.4"/>
    <x v="3"/>
  </r>
  <r>
    <s v="007"/>
    <s v="PR02"/>
    <s v="830MCH920"/>
    <s v="Mèche acier 8"/>
    <s v="UN"/>
    <n v="1"/>
    <n v="2.6070000000000002"/>
    <n v="2.6070000000000002"/>
    <x v="3"/>
  </r>
  <r>
    <s v="007"/>
    <s v="PR02"/>
    <s v="830MCH922"/>
    <s v="Mèche acier 10"/>
    <s v="UN"/>
    <n v="2"/>
    <n v="3.71"/>
    <n v="7.42"/>
    <x v="3"/>
  </r>
  <r>
    <s v="007"/>
    <s v="PR02"/>
    <s v="830MCH923"/>
    <s v="Mèche acier 10,5"/>
    <s v="UN"/>
    <n v="1"/>
    <n v="6.718"/>
    <n v="6.718"/>
    <x v="3"/>
  </r>
  <r>
    <s v="007"/>
    <s v="PR02"/>
    <s v="830MCH924"/>
    <s v="Mèche beton 12"/>
    <s v="UN"/>
    <n v="2"/>
    <n v="3.2562000000000002"/>
    <n v="6.5124000000000004"/>
    <x v="3"/>
  </r>
  <r>
    <s v="007"/>
    <s v="PR02"/>
    <s v="830XOU039"/>
    <s v="PRESSOSTAT POMPE RIA 2-8 bar B12CN FANTINI COSMI"/>
    <s v="UN"/>
    <n v="2"/>
    <n v="269.51400000000001"/>
    <n v="539.02800000000002"/>
    <x v="3"/>
  </r>
  <r>
    <s v="007"/>
    <s v="PR02"/>
    <s v="830XOU044"/>
    <s v="ROUE PIVOTANTE POLYAMIDE Fixe D exter 100mm"/>
    <s v="UN"/>
    <n v="6"/>
    <n v="8.4204000000000008"/>
    <n v="50.522400000000005"/>
    <x v="3"/>
  </r>
  <r>
    <s v="007"/>
    <s v="PR02"/>
    <s v="830XOU069"/>
    <s v="DETENDEUR GAZ REGLABLE"/>
    <s v="UN"/>
    <n v="1"/>
    <n v="4.6749999999999998"/>
    <n v="4.6749999999999998"/>
    <x v="3"/>
  </r>
  <r>
    <s v="007"/>
    <s v="PR02"/>
    <s v="830XOU074"/>
    <s v="Gaine poste soudure poste semi"/>
    <s v="UN"/>
    <n v="5"/>
    <n v="3.7214999999999998"/>
    <n v="18.607499999999998"/>
    <x v="3"/>
  </r>
  <r>
    <s v="007"/>
    <s v="PR02"/>
    <s v="830XOU075"/>
    <s v="Tube contact 1.2 poste soudure  poste semi"/>
    <s v="UN"/>
    <n v="8"/>
    <n v="3.5223300000000002"/>
    <n v="28.178640000000001"/>
    <x v="3"/>
  </r>
  <r>
    <s v="007"/>
    <s v="PR02"/>
    <s v="830XOU076"/>
    <s v="Porte tube contact poste soudure poste semi"/>
    <s v="UN"/>
    <n v="8"/>
    <n v="0"/>
    <n v="0"/>
    <x v="3"/>
  </r>
  <r>
    <s v="007"/>
    <s v="PR02"/>
    <s v="830XOU100"/>
    <s v="MAILLET"/>
    <s v="UN"/>
    <n v="1"/>
    <n v="6.9121500000000005"/>
    <n v="6.9121500000000005"/>
    <x v="3"/>
  </r>
  <r>
    <s v="007"/>
    <s v="PR02"/>
    <s v="830xou113"/>
    <s v="Pistolet Karcher"/>
    <s v="UN"/>
    <n v="1"/>
    <n v="87.5"/>
    <n v="87.5"/>
    <x v="3"/>
  </r>
  <r>
    <s v="007"/>
    <s v="PR02"/>
    <s v="830XOU128"/>
    <s v="Tete de coupe 15/10"/>
    <s v="UN"/>
    <n v="10"/>
    <n v="28.763000000000002"/>
    <n v="287.63"/>
    <x v="3"/>
  </r>
  <r>
    <s v="007"/>
    <s v="PR02"/>
    <s v="830xou130"/>
    <s v="Silent bloc 50*30 Boulon M10"/>
    <s v="UN"/>
    <n v="2"/>
    <n v="16.350999999999999"/>
    <n v="32.701999999999998"/>
    <x v="3"/>
  </r>
  <r>
    <s v="007"/>
    <s v="PR02"/>
    <s v="830XOU135"/>
    <s v="outillage de soudure PPR"/>
    <s v="UN"/>
    <n v="1"/>
    <n v="145.6"/>
    <n v="145.6"/>
    <x v="3"/>
  </r>
  <r>
    <s v="007"/>
    <s v="PR02"/>
    <s v="830xou144"/>
    <s v="Soufleur BOSCH 650W"/>
    <s v="UN"/>
    <n v="1"/>
    <n v="143.97999999999999"/>
    <n v="143.97999999999999"/>
    <x v="3"/>
  </r>
  <r>
    <s v="007"/>
    <s v="PR02"/>
    <s v="830xou148"/>
    <s v="Cerceaux acier 35*10*8mm melangeur creuset fonder"/>
    <s v="UN"/>
    <n v="3"/>
    <n v="80"/>
    <n v="240"/>
    <x v="3"/>
  </r>
  <r>
    <s v="007"/>
    <s v="PR02"/>
    <s v="830XOU166"/>
    <s v="Comparateur 0.01mm--0.10mm"/>
    <s v="UN"/>
    <n v="1"/>
    <n v="100.80952666666667"/>
    <n v="100.80952666666667"/>
    <x v="3"/>
  </r>
  <r>
    <s v="007"/>
    <s v="PR02"/>
    <s v="830XOU173"/>
    <s v="Jeu de calle 0.5-1mm"/>
    <s v="UN"/>
    <n v="1"/>
    <n v="19.125"/>
    <n v="19.125"/>
    <x v="3"/>
  </r>
  <r>
    <s v="007"/>
    <s v="PR02"/>
    <s v="830XOU193"/>
    <s v="Cable Acier 10mm"/>
    <s v="M"/>
    <n v="1"/>
    <n v="5.4690000000000003"/>
    <n v="5.4690000000000003"/>
    <x v="3"/>
  </r>
  <r>
    <s v="007"/>
    <s v="PR02"/>
    <s v="830XOU196"/>
    <s v="Tapis caoutchouc EP4 1M/1M"/>
    <s v="UN"/>
    <n v="1"/>
    <n v="40.372199999999999"/>
    <n v="40.372199999999999"/>
    <x v="3"/>
  </r>
  <r>
    <s v="007"/>
    <s v="PR02"/>
    <s v="830XOU241"/>
    <s v="Manometre Detendeur Propane"/>
    <s v="UN"/>
    <n v="1"/>
    <n v="97.703000000000003"/>
    <n v="97.703000000000003"/>
    <x v="3"/>
  </r>
  <r>
    <s v="007"/>
    <s v="PR02"/>
    <s v="830XOU247"/>
    <s v="Lance MT3  900 1/4F   Karcher"/>
    <s v="M"/>
    <n v="1"/>
    <n v="64.998999999999995"/>
    <n v="64.998999999999995"/>
    <x v="3"/>
  </r>
  <r>
    <s v="007"/>
    <s v="PR02"/>
    <s v="830XOU248"/>
    <s v="Buse 1/4 15045 Karcher"/>
    <s v="UN"/>
    <n v="1"/>
    <n v="27"/>
    <n v="27"/>
    <x v="3"/>
  </r>
  <r>
    <s v="007"/>
    <s v="PR02"/>
    <s v="830XOU253"/>
    <s v="PRESSOSTAT POUR POMPE EAU   Chaudiere"/>
    <s v="UN"/>
    <n v="1"/>
    <n v="71.822699999999998"/>
    <n v="71.822699999999998"/>
    <x v="3"/>
  </r>
  <r>
    <s v="007"/>
    <s v="PR02"/>
    <s v="830XOU256"/>
    <s v="Bec de chalumeau decoupeur"/>
    <s v="UN"/>
    <n v="9"/>
    <n v="20.966000000000001"/>
    <n v="188.69400000000002"/>
    <x v="3"/>
  </r>
  <r>
    <s v="007"/>
    <s v="PR02"/>
    <s v="830XOU270"/>
    <s v="Silent bloc 50*50 Boulon M12 (1tige)"/>
    <s v="UN"/>
    <n v="4"/>
    <n v="36.125"/>
    <n v="144.5"/>
    <x v="3"/>
  </r>
  <r>
    <s v="007"/>
    <s v="PR02"/>
    <s v="830xou286"/>
    <s v="Serre cable Galva D8mm"/>
    <s v="UN"/>
    <n v="8"/>
    <n v="0.4824"/>
    <n v="3.8592"/>
    <x v="3"/>
  </r>
  <r>
    <s v="007"/>
    <s v="PR02"/>
    <s v="830XOU287"/>
    <s v="Roulette pour cable acier  8mm"/>
    <s v="UN"/>
    <n v="10"/>
    <n v="9.9371666666666663"/>
    <n v="99.37166666666667"/>
    <x v="3"/>
  </r>
  <r>
    <s v="007"/>
    <s v="PR02"/>
    <s v="830XOU288"/>
    <s v="Roulette pour piste acier 6mm"/>
    <s v="UN"/>
    <n v="5"/>
    <n v="19.975000000000001"/>
    <n v="99.875"/>
    <x v="3"/>
  </r>
  <r>
    <s v="007"/>
    <s v="PR02"/>
    <s v="830XOU301"/>
    <s v="Ruban adhesif toile americaine gris 50*25M"/>
    <s v="UN"/>
    <n v="5"/>
    <n v="12.7"/>
    <n v="63.5"/>
    <x v="3"/>
  </r>
  <r>
    <s v="007"/>
    <s v="PR02"/>
    <s v="830XOU310"/>
    <s v="Cerceaux acier 30*10*8mm melangeur 3%"/>
    <s v="UN"/>
    <n v="2"/>
    <n v="75"/>
    <n v="150"/>
    <x v="3"/>
  </r>
  <r>
    <s v="007"/>
    <s v="PR02"/>
    <s v="830XOU313"/>
    <s v="Cerceaux acier 27*10*8mm Strip"/>
    <s v="UN"/>
    <n v="22"/>
    <n v="70"/>
    <n v="1540"/>
    <x v="3"/>
  </r>
  <r>
    <s v="007"/>
    <s v="PR02"/>
    <s v="830XOU346"/>
    <s v="coffret circlips Exterieur 5-45mm 1900pcs"/>
    <s v="UN"/>
    <n v="1"/>
    <n v="287.02600000000001"/>
    <n v="287.02600000000001"/>
    <x v="3"/>
  </r>
  <r>
    <s v="007"/>
    <s v="PR02"/>
    <s v="830XOU348"/>
    <s v="Tapis Caoutchouc EP10mm 1M/3M"/>
    <s v="UN"/>
    <n v="1"/>
    <n v="377.78399999999999"/>
    <n v="377.78399999999999"/>
    <x v="3"/>
  </r>
  <r>
    <s v="007"/>
    <s v="PR02"/>
    <s v="830XOU900"/>
    <s v="Tete de coupe 12/10 propane"/>
    <s v="UN"/>
    <n v="2"/>
    <n v="28.763000000000002"/>
    <n v="57.526000000000003"/>
    <x v="3"/>
  </r>
  <r>
    <s v="007"/>
    <s v="PR02"/>
    <s v="830XOU907"/>
    <s v="cutter"/>
    <s v="UN"/>
    <n v="2"/>
    <n v="5.0220000000000002"/>
    <n v="10.044"/>
    <x v="3"/>
  </r>
  <r>
    <s v="007"/>
    <s v="PR02"/>
    <s v="840FRM004"/>
    <s v="Carnet demande d'intervention 3x50"/>
    <s v="UN"/>
    <n v="3"/>
    <n v="6.5650000000000004"/>
    <n v="19.695"/>
    <x v="3"/>
  </r>
  <r>
    <s v="007"/>
    <s v="PR02"/>
    <s v="840LUB005"/>
    <s v="LUBRIFIANT DE COUPE Lactucal LT 3000 Total"/>
    <s v="L"/>
    <n v="60"/>
    <n v="20.5351"/>
    <n v="1232.106"/>
    <x v="3"/>
  </r>
  <r>
    <s v="007"/>
    <s v="PR02"/>
    <s v="840PEI005"/>
    <s v="PEINTURE LAQUEE ROUGE 4KG"/>
    <s v="UN"/>
    <n v="9"/>
    <n v="26.042455"/>
    <n v="234.38209499999999"/>
    <x v="3"/>
  </r>
  <r>
    <s v="007"/>
    <s v="PR02"/>
    <s v="840PNA016"/>
    <s v="PINCEAU PLAT 20"/>
    <s v="UN"/>
    <n v="5"/>
    <n v="0.59940000000000004"/>
    <n v="2.9970000000000003"/>
    <x v="3"/>
  </r>
  <r>
    <s v="007"/>
    <s v="PR02"/>
    <s v="840PNA024"/>
    <s v="Pinceau Plat 50"/>
    <s v="UN"/>
    <n v="6"/>
    <n v="1.5021"/>
    <n v="9.0125999999999991"/>
    <x v="3"/>
  </r>
  <r>
    <s v="007"/>
    <s v="PR02"/>
    <s v="840pna028"/>
    <s v="PINCE MASSE DE SOUDURE"/>
    <s v="UN"/>
    <n v="2"/>
    <n v="51.368400000000001"/>
    <n v="102.7368"/>
    <x v="3"/>
  </r>
  <r>
    <s v="007"/>
    <s v="PR02"/>
    <s v="840PNA031"/>
    <s v="Pince porte soudure electrode"/>
    <s v="UN"/>
    <n v="2"/>
    <n v="51.619500000000002"/>
    <n v="103.239"/>
    <x v="3"/>
  </r>
  <r>
    <s v="007"/>
    <s v="PR02"/>
    <s v="840PNA032"/>
    <s v="PINCEAU ROND 60"/>
    <s v="UN"/>
    <n v="3"/>
    <n v="8.7498000000000005"/>
    <n v="26.249400000000001"/>
    <x v="3"/>
  </r>
  <r>
    <s v="007"/>
    <s v="PR02"/>
    <s v="840PNA042"/>
    <s v="SILICONE BLANC"/>
    <s v="UN"/>
    <n v="2"/>
    <n v="5.0419999999999998"/>
    <n v="10.084"/>
    <x v="3"/>
  </r>
  <r>
    <s v="007"/>
    <s v="PR02"/>
    <s v="840PNT002"/>
    <s v="PEINTURE Blanc 25KG"/>
    <s v="UN"/>
    <n v="5"/>
    <n v="85.280499999999989"/>
    <n v="426.40249999999992"/>
    <x v="3"/>
  </r>
  <r>
    <s v="007"/>
    <s v="PR02"/>
    <s v="840PNT003"/>
    <s v="TEINTE NOIR"/>
    <s v="KG"/>
    <n v="6"/>
    <n v="1.802"/>
    <n v="10.812000000000001"/>
    <x v="3"/>
  </r>
  <r>
    <s v="007"/>
    <s v="PR02"/>
    <s v="840PNT007"/>
    <s v="Pistolet peinture"/>
    <s v="UN"/>
    <n v="1"/>
    <n v="107.6688"/>
    <n v="107.6688"/>
    <x v="3"/>
  </r>
  <r>
    <s v="007"/>
    <s v="PR02"/>
    <s v="840xou002"/>
    <s v="Boite de controle bruleur LME 22.331A2"/>
    <s v="UN"/>
    <n v="2"/>
    <n v="429.23430000000002"/>
    <n v="858.46860000000004"/>
    <x v="3"/>
  </r>
  <r>
    <s v="007"/>
    <s v="PR02"/>
    <s v="840XOU004"/>
    <s v="Boite de controle bruleu RMG88.62C2"/>
    <s v="UN"/>
    <n v="3"/>
    <n v="446.18540000000002"/>
    <n v="1338.5562"/>
    <x v="3"/>
  </r>
  <r>
    <s v="007"/>
    <s v="PR02"/>
    <s v="840XOU006"/>
    <s v="Boite de controle bruleu VE3.2 TV 30S TS 18006005"/>
    <s v="UN"/>
    <n v="1"/>
    <n v="529.20000000000005"/>
    <n v="529.20000000000005"/>
    <x v="3"/>
  </r>
  <r>
    <s v="007"/>
    <s v="PR02"/>
    <s v="840XOU008"/>
    <s v="Boite de controle bruleu LGA52.150A27 220V  COS"/>
    <s v="UN"/>
    <n v="1"/>
    <n v="542.71479999999997"/>
    <n v="542.71479999999997"/>
    <x v="3"/>
  </r>
  <r>
    <s v="007"/>
    <s v="PR02"/>
    <s v="840XOU010"/>
    <s v="Socle boite controle BRAHMA 003/SR3"/>
    <s v="UN"/>
    <n v="1"/>
    <n v="38.48715"/>
    <n v="38.48715"/>
    <x v="3"/>
  </r>
  <r>
    <s v="007"/>
    <s v="PR02"/>
    <s v="840XOU011"/>
    <s v="Boite de controle bruleur LME21.230C2E"/>
    <s v="UN"/>
    <n v="1"/>
    <n v="351.4325"/>
    <n v="351.4325"/>
    <x v="3"/>
  </r>
  <r>
    <s v="007"/>
    <s v="PR02"/>
    <s v="840XOU012"/>
    <s v="Servomoteur LKS 210-21 (B1-15 S2) Bruleur Strip"/>
    <s v="UN"/>
    <n v="1"/>
    <n v="1681.6320000000001"/>
    <n v="1681.6320000000001"/>
    <x v="3"/>
  </r>
  <r>
    <s v="007"/>
    <s v="PR02"/>
    <s v="860XES001"/>
    <s v="MASQUE SOUDURE"/>
    <s v="UN"/>
    <n v="1"/>
    <n v="10.809900000000001"/>
    <n v="10.809900000000001"/>
    <x v="3"/>
  </r>
  <r>
    <s v="007"/>
    <s v="PR02"/>
    <s v="860xes021"/>
    <s v="PAIRE DE GANT EN CUIR T154 RENFORCEE"/>
    <s v="UN"/>
    <n v="1"/>
    <n v="4.7"/>
    <n v="4.7"/>
    <x v="3"/>
  </r>
  <r>
    <s v="007"/>
    <s v="PR02"/>
    <s v="860XES022"/>
    <s v="GANT EN CUIR 45CM POUR SOUDURE"/>
    <s v="UN"/>
    <n v="1"/>
    <n v="14.1"/>
    <n v="14.1"/>
    <x v="3"/>
  </r>
  <r>
    <s v="007"/>
    <s v="PR02"/>
    <s v="860XES032"/>
    <s v="Flexible Extensible D32"/>
    <s v="UN"/>
    <n v="2"/>
    <n v="2.7861500000000001"/>
    <n v="5.5723000000000003"/>
    <x v="3"/>
  </r>
  <r>
    <s v="007"/>
    <s v="PR02"/>
    <s v="860XES038"/>
    <s v="Decappant Khoutaf"/>
    <s v="UN"/>
    <n v="4"/>
    <n v="6.0876000000000001"/>
    <n v="24.3504"/>
    <x v="3"/>
  </r>
  <r>
    <s v="007"/>
    <s v="PR02"/>
    <s v="860XES049"/>
    <s v="BOTTES PVC &quot;40"/>
    <s v="UN"/>
    <n v="1"/>
    <n v="18.5"/>
    <n v="18.5"/>
    <x v="3"/>
  </r>
  <r>
    <s v="007"/>
    <s v="PR02"/>
    <s v="860XES050"/>
    <s v="BOTTES PVC &quot;44"/>
    <s v="UN"/>
    <n v="1"/>
    <n v="18.5"/>
    <n v="18.5"/>
    <x v="3"/>
  </r>
  <r>
    <s v="007"/>
    <s v="PR02"/>
    <s v="880pma032"/>
    <s v="Parahuile Corteco en viton  65-92-10/15 Tractopel"/>
    <s v="UN"/>
    <n v="1"/>
    <n v="172.85900000000001"/>
    <n v="172.85900000000001"/>
    <x v="3"/>
  </r>
  <r>
    <s v="04"/>
    <s v="GR01"/>
    <m/>
    <s v="rebut usine "/>
    <m/>
    <n v="2840"/>
    <n v="3.9913046639999994"/>
    <n v="11335.305245759999"/>
    <x v="1"/>
  </r>
  <r>
    <s v="007"/>
    <s v="MPY"/>
    <s v="521X0408"/>
    <s v="ETIQUETTE T22 COUV 100AH 800 A L5"/>
    <s v="UN"/>
    <n v="2500"/>
    <n v="0.68174999999999997"/>
    <n v="1704.375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730">
  <r>
    <s v="007"/>
    <s v="CM02"/>
    <s v="330PBP"/>
    <s v="plaque pb positfif"/>
    <s v="KG"/>
    <n v="1344"/>
    <n v="6.8397620870135958"/>
    <n v="9192.640244946273"/>
    <x v="0"/>
  </r>
  <r>
    <s v="007"/>
    <s v="CM02"/>
    <s v="330MRTP"/>
    <m/>
    <s v="KG"/>
    <n v="565"/>
    <n v="7.6484658307538593"/>
    <n v="4321.3831943759305"/>
    <x v="0"/>
  </r>
  <r>
    <s v="007"/>
    <s v="CM02"/>
    <s v="330MRTN"/>
    <m/>
    <s v="KG"/>
    <n v="242.4"/>
    <n v="7.5715771114644959"/>
    <n v="1835.3502918189938"/>
    <x v="0"/>
  </r>
  <r>
    <s v="007"/>
    <s v="CM02"/>
    <s v="330PMN"/>
    <m/>
    <s v="KG"/>
    <n v="2448"/>
    <n v="6.8542391322811929"/>
    <n v="16779.177395824361"/>
    <x v="0"/>
  </r>
  <r>
    <s v="007"/>
    <s v="CM02"/>
    <s v="330PMNL"/>
    <m/>
    <s v="KG"/>
    <n v="709"/>
    <n v="7.0606592205289838"/>
    <n v="5006.0073873550491"/>
    <x v="0"/>
  </r>
  <r>
    <s v="007"/>
    <s v="CM02"/>
    <s v="330PMPLSP"/>
    <m/>
    <s v="KG"/>
    <n v="530"/>
    <n v="7.1205337634286776"/>
    <n v="3773.8828946171993"/>
    <x v="0"/>
  </r>
  <r>
    <s v="007"/>
    <s v="MPA"/>
    <s v="600P0002"/>
    <s v="PLOMB DOUX IMPORTE"/>
    <s v="KG"/>
    <n v="36264"/>
    <n v="5.5880182149105089"/>
    <n v="202643.89254551468"/>
    <x v="0"/>
  </r>
  <r>
    <s v="007"/>
    <s v="AS01"/>
    <s v="400L0121"/>
    <s v="BAC L1 NOIR P0 C22 25391020B70"/>
    <s v="UN"/>
    <n v="557"/>
    <n v="5.9648175593552235"/>
    <n v="3322.4033805608597"/>
    <x v="0"/>
  </r>
  <r>
    <s v="007"/>
    <s v="AS01"/>
    <s v="400L0306"/>
    <s v="BAC L3B P0 NOIR C40 26651004B74"/>
    <s v="UN"/>
    <n v="150"/>
    <n v="6.5069026234189895"/>
    <n v="976.03539351284837"/>
    <x v="0"/>
  </r>
  <r>
    <s v="007"/>
    <s v="AS01"/>
    <s v="400NS4005"/>
    <s v="Box J3 black without bord"/>
    <s v="UN"/>
    <n v="19"/>
    <n v="4"/>
    <n v="76"/>
    <x v="1"/>
  </r>
  <r>
    <s v="007"/>
    <s v="AS01"/>
    <s v="400L0118"/>
    <s v="BAC L1 NOIR P0 C28 25341044B70"/>
    <s v="UN"/>
    <n v="29"/>
    <n v="5.4413322199389604"/>
    <n v="157.79863437822985"/>
    <x v="0"/>
  </r>
  <r>
    <s v="007"/>
    <s v="AS01"/>
    <s v="400L0111"/>
    <s v="BAC L1B PO NOIR C28 25331014B70"/>
    <s v="UN"/>
    <n v="96"/>
    <n v="5.8978684019301877"/>
    <n v="566.19536658529796"/>
    <x v="0"/>
  </r>
  <r>
    <s v="007"/>
    <s v="AS01"/>
    <s v="400L0306"/>
    <s v="BAC L3B P0 NOIR C40 26651004B74"/>
    <s v="UN"/>
    <n v="748"/>
    <n v="6.5069026234189895"/>
    <n v="4867.1631623174044"/>
    <x v="0"/>
  </r>
  <r>
    <s v="007"/>
    <s v="AS01"/>
    <s v="400L0121"/>
    <s v="BAC L1 NOIR P0 C22 25391020B70"/>
    <s v="UN"/>
    <n v="1857"/>
    <n v="5.9648175593552235"/>
    <n v="11076.66620772265"/>
    <x v="0"/>
  </r>
  <r>
    <s v="007"/>
    <s v="AS01"/>
    <s v="400L0318"/>
    <s v="BAC L3 NOIR P0 C40 2B331002B74"/>
    <s v="UN"/>
    <n v="13"/>
    <n v="6.0477779713082231"/>
    <n v="78.621113627006906"/>
    <x v="0"/>
  </r>
  <r>
    <s v="007"/>
    <s v="AS01"/>
    <s v="400L0306"/>
    <s v="BAC L3B P0 NOIR C40 26651004B74"/>
    <s v="UN"/>
    <n v="238"/>
    <n v="6.5069026234189895"/>
    <n v="1548.6428243737196"/>
    <x v="0"/>
  </r>
  <r>
    <s v="007"/>
    <s v="AS01"/>
    <s v="400M1414"/>
    <s v="BAC M14 NOIR PO C60 TYP A BOX 12/140 MONBAT"/>
    <s v="UN"/>
    <n v="7"/>
    <n v="9.0982141647888408"/>
    <n v="63.687499153521884"/>
    <x v="0"/>
  </r>
  <r>
    <s v="007"/>
    <s v="AS01"/>
    <s v="400L0118"/>
    <s v="BAC L1 NOIR P0 C28 25341044B70"/>
    <s v="UN"/>
    <n v="372"/>
    <n v="5.4413322199389604"/>
    <n v="2024.1755858172933"/>
    <x v="0"/>
  </r>
  <r>
    <s v="007"/>
    <s v="AS01"/>
    <s v="420L0342"/>
    <s v="Lid  LB3 W R black without eye"/>
    <s v="UN"/>
    <n v="748"/>
    <n v="3.8617859999999999"/>
    <n v="2888.6159280000002"/>
    <x v="1"/>
  </r>
  <r>
    <s v="007"/>
    <s v="AS01"/>
    <s v="420L0111"/>
    <s v="COUV L1 EK DROITE NOIR 25032084B70"/>
    <s v="UN"/>
    <n v="1857"/>
    <n v="4.0436779169907302"/>
    <n v="7509.1098918517864"/>
    <x v="0"/>
  </r>
  <r>
    <s v="007"/>
    <s v="AS01"/>
    <s v="420L0331"/>
    <m/>
    <s v="UN"/>
    <n v="13"/>
    <n v="4.7047499999999998"/>
    <n v="61.161749999999998"/>
    <x v="1"/>
  </r>
  <r>
    <s v="007"/>
    <s v="AS01"/>
    <s v="420L0331"/>
    <m/>
    <s v="UN"/>
    <n v="238"/>
    <n v="4.7047499999999998"/>
    <n v="1119.7304999999999"/>
    <x v="1"/>
  </r>
  <r>
    <s v="007"/>
    <s v="AS01"/>
    <s v="420M1416"/>
    <s v="LID12/140 TYPE A (monbat)"/>
    <s v="UN"/>
    <n v="7"/>
    <n v="4.4280281866652915"/>
    <n v="30.996197306657042"/>
    <x v="0"/>
  </r>
  <r>
    <s v="007"/>
    <s v="AS01"/>
    <s v="420L0131"/>
    <s v="COUV L1 EK D NOIR FAI 25032008D40"/>
    <s v="UN"/>
    <n v="372"/>
    <n v="4.8445442390232882"/>
    <n v="1802.1704569166632"/>
    <x v="0"/>
  </r>
  <r>
    <s v="007"/>
    <s v="AS01"/>
    <s v="330PBP"/>
    <m/>
    <s v="KG"/>
    <n v="2376.192"/>
    <n v="6.8397620870135958"/>
    <n v="16252.587953065011"/>
    <x v="1"/>
  </r>
  <r>
    <s v="007"/>
    <s v="AS01"/>
    <s v="330PBN"/>
    <m/>
    <s v="KG"/>
    <n v="1246.0319999999999"/>
    <n v="6.7277519755667461"/>
    <n v="8382.9942496193835"/>
    <x v="1"/>
  </r>
  <r>
    <s v="007"/>
    <s v="AS01"/>
    <s v="600P0004"/>
    <s v="PB SB 3.2"/>
    <s v="KG"/>
    <n v="12967.3619"/>
    <n v="5.6104583436708264"/>
    <n v="72752.843767254177"/>
    <x v="0"/>
  </r>
  <r>
    <s v="007"/>
    <s v="AS01"/>
    <s v="430P1004"/>
    <s v="SEPARATEUR 162X1.2X0.175 FRQJ-175A225"/>
    <s v="UN"/>
    <n v="744"/>
    <n v="2.5499392853000642"/>
    <n v="1897.1548282632477"/>
    <x v="0"/>
  </r>
  <r>
    <s v="007"/>
    <s v="AS01"/>
    <s v="400L0118"/>
    <s v="BAC L1 NOIR P0 C28 25341044B70"/>
    <s v="UN"/>
    <n v="1200"/>
    <n v="5.4413322199389604"/>
    <n v="6529.5986639267521"/>
    <x v="0"/>
  </r>
  <r>
    <s v="007"/>
    <s v="AS01"/>
    <s v="400L0518"/>
    <s v="BAC L5 NOIR P0 C52 20641062B77"/>
    <s v="UN"/>
    <n v="720"/>
    <n v="6.357308778341916"/>
    <n v="4577.2623204061792"/>
    <x v="0"/>
  </r>
  <r>
    <s v="007"/>
    <s v="AS01"/>
    <s v="420L0147"/>
    <s v="COUV L1 SMF D+ NOIR AVEC OM +37"/>
    <s v="UN"/>
    <n v="1176"/>
    <n v="4.4099669915444535"/>
    <n v="5186.1211820562776"/>
    <x v="0"/>
  </r>
  <r>
    <s v="007"/>
    <s v="AS01"/>
    <s v="420L0331"/>
    <m/>
    <s v="UN"/>
    <n v="231"/>
    <n v="4.7047499999999998"/>
    <n v="1086.7972499999998"/>
    <x v="1"/>
  </r>
  <r>
    <s v="007"/>
    <s v="AS01"/>
    <s v="420L0111"/>
    <s v="COUV L1 EK DROITE NOIR 25032084B70"/>
    <s v="UN"/>
    <n v="392"/>
    <n v="4.0436779169907302"/>
    <n v="1585.1217434603661"/>
    <x v="0"/>
  </r>
  <r>
    <s v="007"/>
    <s v="AS01"/>
    <s v="420L0307"/>
    <s v="COUV. L3 EURO KAM DROITE NOIR 21152167B70"/>
    <s v="UN"/>
    <n v="88"/>
    <n v="5.1094136548213882"/>
    <n v="449.62840162428216"/>
    <x v="0"/>
  </r>
  <r>
    <s v="007"/>
    <s v="AS01"/>
    <s v="330PBP"/>
    <m/>
    <s v="KG"/>
    <n v="1100.3423229566718"/>
    <n v="6.8397620870135958"/>
    <n v="7526.0797032955134"/>
    <x v="1"/>
  </r>
  <r>
    <s v="007"/>
    <s v="AS01"/>
    <s v="330PBN"/>
    <m/>
    <s v="KG"/>
    <n v="1243.6576770433282"/>
    <n v="6.7277519755667461"/>
    <n v="8367.0203936570015"/>
    <x v="1"/>
  </r>
  <r>
    <s v="007"/>
    <s v="AS01"/>
    <s v="330PMPSP"/>
    <m/>
    <s v="KG"/>
    <n v="196.30434782608697"/>
    <n v="7.7243830647258251"/>
    <n v="1516.3299798798739"/>
    <x v="1"/>
  </r>
  <r>
    <s v="007"/>
    <s v="AS01"/>
    <s v="330PMN"/>
    <m/>
    <s v="KG"/>
    <n v="190.69565217391306"/>
    <n v="6.8542391322811929"/>
    <n v="1307.073601486318"/>
    <x v="1"/>
  </r>
  <r>
    <s v="007"/>
    <s v="AS01"/>
    <s v="330PBP"/>
    <m/>
    <s v="KG"/>
    <n v="12550.271999999999"/>
    <n v="6.8397620870135958"/>
    <n v="85840.874607308288"/>
    <x v="1"/>
  </r>
  <r>
    <s v="007"/>
    <s v="AS01"/>
    <s v="330PBN"/>
    <m/>
    <s v="KG"/>
    <n v="11803.031999999999"/>
    <n v="6.7277519755667461"/>
    <n v="79407.871855677513"/>
    <x v="1"/>
  </r>
  <r>
    <s v="007"/>
    <s v="AS01"/>
    <s v="330MRTP"/>
    <m/>
    <s v="KG"/>
    <n v="51.527999999999999"/>
    <n v="7.6484658307538593"/>
    <n v="394.11014732708486"/>
    <x v="1"/>
  </r>
  <r>
    <s v="007"/>
    <s v="AS01"/>
    <s v="330MRTN"/>
    <m/>
    <s v="KG"/>
    <n v="46.055999999999997"/>
    <n v="7.5715771114644959"/>
    <n v="348.71655544560878"/>
    <x v="1"/>
  </r>
  <r>
    <s v="007"/>
    <s v="AS01"/>
    <s v="330PMPSP"/>
    <m/>
    <s v="KG"/>
    <n v="52.92"/>
    <n v="7.7243830647258251"/>
    <n v="408.77435178529066"/>
    <x v="1"/>
  </r>
  <r>
    <s v="007"/>
    <s v="AS01"/>
    <s v="330PMN"/>
    <m/>
    <s v="KG"/>
    <n v="51.408000000000008"/>
    <n v="6.8542391322811929"/>
    <n v="352.36272531231162"/>
    <x v="1"/>
  </r>
  <r>
    <s v="05"/>
    <s v="GR01"/>
    <s v="320PBP"/>
    <s v="grille LB +"/>
    <s v="KG"/>
    <n v="10972"/>
    <n v="7.3343057120014175"/>
    <n v="80472.002272079553"/>
    <x v="0"/>
  </r>
  <r>
    <s v="05"/>
    <s v="GR01"/>
    <s v="320PBN"/>
    <s v="grille LB -"/>
    <s v="KG"/>
    <n v="3600"/>
    <n v="6.9617577371773702"/>
    <n v="25062.327853838531"/>
    <x v="0"/>
  </r>
  <r>
    <s v="05"/>
    <s v="GR01"/>
    <s v="600P0002"/>
    <s v="plomb doux creuset"/>
    <s v="KG"/>
    <n v="4500"/>
    <n v="5.5880182149105089"/>
    <n v="25146.081967097289"/>
    <x v="0"/>
  </r>
  <r>
    <s v="05"/>
    <s v="GR01"/>
    <s v="600P0016"/>
    <s v="PLOMB CALC  +"/>
    <s v="KG"/>
    <n v="18550"/>
    <n v="5.9448965406431897"/>
    <n v="110277.83082893117"/>
    <x v="0"/>
  </r>
  <r>
    <s v="05"/>
    <s v="GR01"/>
    <s v="600P0026"/>
    <s v="PLOMB CALC  -"/>
    <s v="KG"/>
    <n v="13500"/>
    <n v="5.5939631280173145"/>
    <n v="75518.502228233745"/>
    <x v="0"/>
  </r>
  <r>
    <s v="05"/>
    <s v="GR01"/>
    <s v="600P0026"/>
    <s v="plomb Concentrè"/>
    <s v="KG"/>
    <n v="829"/>
    <n v="5.5939631280173145"/>
    <n v="4637.395433126354"/>
    <x v="0"/>
  </r>
  <r>
    <s v="05"/>
    <s v="GR01"/>
    <m/>
    <s v="Grille essai ET calcuim"/>
    <s v="KG"/>
    <n v="224"/>
    <n v="6.8663267071618233"/>
    <n v="1538.0571824042484"/>
    <x v="0"/>
  </r>
  <r>
    <s v="05"/>
    <s v="GR01"/>
    <m/>
    <s v="Grille essai PT calcuim"/>
    <s v="KG"/>
    <n v="223"/>
    <n v="6.8663267071618233"/>
    <n v="1531.1908556970866"/>
    <x v="0"/>
  </r>
  <r>
    <s v="05"/>
    <s v="GR01"/>
    <m/>
    <s v="Grille essai TT calcuim"/>
    <s v="KG"/>
    <n v="341"/>
    <n v="6.8663267071618233"/>
    <n v="2341.4174071421817"/>
    <x v="0"/>
  </r>
  <r>
    <s v="05"/>
    <s v="GR01"/>
    <s v="360PBP"/>
    <s v="PLAQUE PB POSITIF "/>
    <s v="KG"/>
    <n v="39020"/>
    <n v="7.6706193705802175"/>
    <n v="299307.56784004008"/>
    <x v="0"/>
  </r>
  <r>
    <s v="05"/>
    <s v="GR01"/>
    <s v="360PBN"/>
    <s v="PLAQUE PB NEGATIF "/>
    <s v="KG"/>
    <n v="44186"/>
    <n v="7.6153615529949921"/>
    <n v="336492.36558063672"/>
    <x v="0"/>
  </r>
  <r>
    <s v="05"/>
    <s v="GR01"/>
    <s v="00OXYDE"/>
    <s v="OXYDE"/>
    <s v="KG"/>
    <n v="11500"/>
    <n v="5.792149489508577"/>
    <n v="66609.719129348639"/>
    <x v="0"/>
  </r>
  <r>
    <s v="007"/>
    <s v="AS01"/>
    <m/>
    <s v="rebut crasse 3%"/>
    <s v="KG"/>
    <n v="265"/>
    <n v="3.9913046639999994"/>
    <n v="1057.6957359599999"/>
    <x v="1"/>
  </r>
  <r>
    <s v="007"/>
    <s v="AS01"/>
    <m/>
    <s v="rebut plaque"/>
    <s v="KG"/>
    <n v="219"/>
    <n v="3.9913046639999994"/>
    <n v="874.09572141599983"/>
    <x v="1"/>
  </r>
  <r>
    <s v="007"/>
    <s v="AS01"/>
    <m/>
    <s v="rebut element"/>
    <s v="KG"/>
    <n v="804"/>
    <n v="3.9913046639999994"/>
    <n v="3209.0089498559996"/>
    <x v="1"/>
  </r>
  <r>
    <s v="007"/>
    <s v="AS01"/>
    <m/>
    <s v="plastic bac couvercle"/>
    <s v="KG"/>
    <n v="118"/>
    <n v="2.2000000000000002"/>
    <n v="259.60000000000002"/>
    <x v="1"/>
  </r>
  <r>
    <s v="007"/>
    <s v="CA01"/>
    <s v="600A0001"/>
    <s v="ACIDE SULFURIQUE 1.84"/>
    <s v="KG"/>
    <n v="43920"/>
    <n v="0.60148039894786609"/>
    <n v="26417.019121790279"/>
    <x v="0"/>
  </r>
  <r>
    <s v="007"/>
    <s v="CA01"/>
    <s v="610S0001"/>
    <s v="SOUFFRE"/>
    <s v="KG"/>
    <n v="100"/>
    <n v="2.8988715896651813"/>
    <n v="289.88715896651814"/>
    <x v="0"/>
  </r>
  <r>
    <s v="007"/>
    <s v="CA01"/>
    <s v="690X0024"/>
    <s v="SEL ADOUCISSEUR"/>
    <s v="KG"/>
    <n v="550"/>
    <n v="1.35"/>
    <n v="742.5"/>
    <x v="0"/>
  </r>
  <r>
    <s v="007"/>
    <s v="CA01"/>
    <m/>
    <s v="Acide 1,25"/>
    <s v="KG"/>
    <n v="31250"/>
    <n v="0.20898112965805649"/>
    <n v="6530.660301814265"/>
    <x v="0"/>
  </r>
  <r>
    <s v="007"/>
    <s v="CA01"/>
    <m/>
    <s v="Acide 1,295"/>
    <s v="KG"/>
    <n v="6216"/>
    <n v="0.20898112965805649"/>
    <n v="1299.0267019544792"/>
    <x v="0"/>
  </r>
  <r>
    <s v="007"/>
    <s v="CA01"/>
    <m/>
    <s v="Acide 1,4"/>
    <s v="KG"/>
    <n v="7000"/>
    <n v="0.20898112965805649"/>
    <n v="1462.8679076063954"/>
    <x v="0"/>
  </r>
  <r>
    <s v="007"/>
    <s v="CA01"/>
    <m/>
    <s v="Eau Deminiraliser"/>
    <s v="KG"/>
    <n v="16000"/>
    <n v="0.02"/>
    <n v="320"/>
    <x v="0"/>
  </r>
  <r>
    <s v="007"/>
    <s v="CA01"/>
    <m/>
    <s v="Acide Chlorohydrique"/>
    <s v="KG"/>
    <n v="775"/>
    <n v="1.25"/>
    <n v="968.75"/>
    <x v="0"/>
  </r>
  <r>
    <s v="04"/>
    <s v="MPF"/>
    <s v="600P0004"/>
    <s v="PLOMB 1,8% Concentré"/>
    <s v="KG"/>
    <n v="2416"/>
    <n v="5.6104583436708264"/>
    <n v="13554.867358308717"/>
    <x v="0"/>
  </r>
  <r>
    <s v="04"/>
    <s v="MPF"/>
    <s v="600P0004"/>
    <s v="PLOMB 5%"/>
    <s v="KG"/>
    <n v="557"/>
    <n v="5.6104583436708264"/>
    <n v="3125.0252974246505"/>
    <x v="0"/>
  </r>
  <r>
    <s v="04"/>
    <s v="MPF"/>
    <s v="600P0013"/>
    <s v="CALCIUM METAL PUR"/>
    <s v="KG"/>
    <n v="788"/>
    <n v="35.734415246466412"/>
    <n v="28158.719214215533"/>
    <x v="0"/>
  </r>
  <r>
    <s v="04"/>
    <s v="MPF"/>
    <s v="610L0001"/>
    <s v="CARBONATE DE SOUDE"/>
    <s v="KG"/>
    <n v="9000"/>
    <n v="1.7293944785196564"/>
    <n v="15564.550306676909"/>
    <x v="0"/>
  </r>
  <r>
    <s v="04"/>
    <s v="MPF"/>
    <s v="610L0002"/>
    <s v="Nitrate de soude"/>
    <s v="KG"/>
    <n v="12000"/>
    <n v="4.649969091542248"/>
    <n v="55799.629098506979"/>
    <x v="0"/>
  </r>
  <r>
    <s v="04"/>
    <s v="MPF"/>
    <s v="610M0001"/>
    <s v="ARSENIC METAL"/>
    <s v="KG"/>
    <n v="300"/>
    <n v="17.880161480494536"/>
    <n v="5364.0484441483604"/>
    <x v="0"/>
  </r>
  <r>
    <s v="04"/>
    <s v="MPF"/>
    <s v="610M0002"/>
    <s v="SELENIUM"/>
    <s v="KG"/>
    <n v="25"/>
    <n v="197.21741898134346"/>
    <n v="4930.4354745335868"/>
    <x v="0"/>
  </r>
  <r>
    <s v="04"/>
    <s v="MPF"/>
    <s v="610M0004"/>
    <s v="ETAIN PURE 99.99 % MIN"/>
    <s v="KG"/>
    <n v="312"/>
    <n v="74.515419847328246"/>
    <n v="23248.810992366412"/>
    <x v="0"/>
  </r>
  <r>
    <s v="04"/>
    <s v="MPF"/>
    <s v="610P0002"/>
    <s v="ANTIMOINE"/>
    <s v="KG"/>
    <n v="888"/>
    <n v="49.65731251956079"/>
    <n v="44095.693517369982"/>
    <x v="0"/>
  </r>
  <r>
    <s v="04"/>
    <s v="MPF"/>
    <s v="610X0013"/>
    <s v="BATTITURE DE FER"/>
    <s v="KG"/>
    <n v="25500"/>
    <n v="0.10853554818637101"/>
    <n v="2767.6564787524608"/>
    <x v="0"/>
  </r>
  <r>
    <s v="04"/>
    <s v="MPF"/>
    <s v="610X0014"/>
    <s v="COKE DE PETROLE"/>
    <s v="KG"/>
    <n v="45480"/>
    <n v="1.4931377491061697"/>
    <n v="67907.904829348598"/>
    <x v="0"/>
  </r>
  <r>
    <s v="04"/>
    <s v="MPF"/>
    <s v="620M0007"/>
    <s v="ETAIN TRAITE DE 40 à 49%"/>
    <s v="KG"/>
    <n v="1740"/>
    <n v="54.277015258012213"/>
    <n v="94442.006548941252"/>
    <x v="0"/>
  </r>
  <r>
    <s v="04"/>
    <s v="MPF"/>
    <s v="620M0008"/>
    <s v="ETAIN TRAITE DE 50 à 59%"/>
    <s v="KG"/>
    <n v="3011"/>
    <n v="46.676453028263801"/>
    <n v="140542.80006810231"/>
    <x v="0"/>
  </r>
  <r>
    <s v="04"/>
    <s v="MPF"/>
    <s v="620M0011"/>
    <s v="ETAIN TRAITE DE 90 à 98%"/>
    <s v="KG"/>
    <n v="2009"/>
    <n v="49.937318465304863"/>
    <n v="100324.07279679747"/>
    <x v="0"/>
  </r>
  <r>
    <s v="04"/>
    <s v="MPF"/>
    <s v="690X0011"/>
    <s v="SOUDE CAUSTIQUE MICRO PERLES"/>
    <s v="KG"/>
    <n v="7450"/>
    <n v="2.9749817670186536"/>
    <n v="22163.614164288971"/>
    <x v="0"/>
  </r>
  <r>
    <s v="04"/>
    <s v="MPF"/>
    <s v="600P0016"/>
    <s v="PLOMB CALCIUM CONCENTREE"/>
    <s v="KG"/>
    <n v="3969"/>
    <n v="5.9448965406431897"/>
    <n v="23595.294369812818"/>
    <x v="0"/>
  </r>
  <r>
    <s v="04"/>
    <s v="MPF"/>
    <s v="600P0014"/>
    <s v="CALCIUM METAL 70% ALUMINIUM 30%"/>
    <s v="KG"/>
    <n v="240"/>
    <n v="42.783016776638242"/>
    <n v="10267.924026393179"/>
    <x v="0"/>
  </r>
  <r>
    <s v="04"/>
    <s v="MPF"/>
    <s v="610S0001"/>
    <s v="Souffre"/>
    <s v="KG"/>
    <n v="125"/>
    <n v="2.8988715896651813"/>
    <n v="362.35894870814769"/>
    <x v="0"/>
  </r>
  <r>
    <s v="04"/>
    <s v="MPF"/>
    <s v="600P0026"/>
    <s v="PLOMB CALCIUM  NEGATIF "/>
    <s v="KG"/>
    <n v="30197"/>
    <n v="5.5939631280173145"/>
    <n v="168920.90457673886"/>
    <x v="0"/>
  </r>
  <r>
    <s v="04"/>
    <s v="MPF"/>
    <s v="600P0020"/>
    <s v="PLOMB D'ŒUVRE ACHETEE"/>
    <s v="KG"/>
    <n v="415"/>
    <n v="5.3658935406675319"/>
    <n v="2226.8458193770257"/>
    <x v="0"/>
  </r>
  <r>
    <s v="04"/>
    <s v="MPF"/>
    <s v="620M0009"/>
    <s v="ETAIN TRAITE DE 60 à 69%"/>
    <s v="KG"/>
    <n v="74"/>
    <n v="49.937318465304863"/>
    <n v="3695.3615664325598"/>
    <x v="0"/>
  </r>
  <r>
    <s v="04"/>
    <s v="MPF"/>
    <m/>
    <s v="DECHET PLASTIQUE bac -couvercle"/>
    <s v="KG"/>
    <n v="1583"/>
    <n v="2.2200000000000002"/>
    <n v="3514.26"/>
    <x v="0"/>
  </r>
  <r>
    <s v="04"/>
    <s v="MPF"/>
    <m/>
    <s v="PLASTIQUE CASSE BATTERIE"/>
    <s v="KG"/>
    <n v="13809"/>
    <n v="1.65"/>
    <n v="22784.85"/>
    <x v="0"/>
  </r>
  <r>
    <s v="04"/>
    <s v="FN01"/>
    <s v="610C0005"/>
    <s v="BATTERIES USAGEES"/>
    <s v="KG"/>
    <n v="50490"/>
    <n v="2.1692502929778552"/>
    <n v="109525.44729245191"/>
    <x v="0"/>
  </r>
  <r>
    <s v="04"/>
    <s v="FN01"/>
    <s v="610D0013"/>
    <s v="Ecumage et décuivrage ,brassage"/>
    <s v="KG"/>
    <n v="86485"/>
    <n v="3.2122536430439368"/>
    <n v="277811.75631865487"/>
    <x v="0"/>
  </r>
  <r>
    <s v="04"/>
    <s v="FN01"/>
    <s v="610D0015"/>
    <s v="GRILLE CASSE BATTERIES "/>
    <s v="KG"/>
    <n v="5300"/>
    <n v="3.4721050875476722"/>
    <n v="18402.156964002661"/>
    <x v="0"/>
  </r>
  <r>
    <s v="04"/>
    <s v="FN01"/>
    <s v="610D0016"/>
    <s v="OXYDE CASSE BATTERIES "/>
    <s v="KG"/>
    <n v="29857"/>
    <n v="2.4203166331921486"/>
    <n v="72263.393717217987"/>
    <x v="0"/>
  </r>
  <r>
    <s v="04"/>
    <s v="FN01"/>
    <s v="610L0001"/>
    <s v="CARBONATE DE SOUDE"/>
    <s v="KG"/>
    <n v="100"/>
    <n v="1.7293944785196564"/>
    <n v="172.93944785196564"/>
    <x v="0"/>
  </r>
  <r>
    <s v="04"/>
    <s v="FN01"/>
    <s v="610L0002"/>
    <s v="Nitrate de soude"/>
    <s v="KG"/>
    <n v="750"/>
    <n v="4.649969091542248"/>
    <n v="3487.4768186566862"/>
    <x v="0"/>
  </r>
  <r>
    <s v="04"/>
    <s v="FN01"/>
    <s v="610M0001"/>
    <s v="ARSENIC METAL"/>
    <s v="KG"/>
    <n v="33"/>
    <n v="17.880161480494536"/>
    <n v="590.04532885631966"/>
    <x v="0"/>
  </r>
  <r>
    <s v="04"/>
    <s v="FN01"/>
    <s v="610M0002"/>
    <s v="SELENIUM"/>
    <s v="KG"/>
    <n v="1.3"/>
    <n v="197.21741898134346"/>
    <n v="256.38264467574652"/>
    <x v="0"/>
  </r>
  <r>
    <s v="04"/>
    <s v="FN01"/>
    <s v="610S0001"/>
    <s v="Souffre"/>
    <s v="KG"/>
    <n v="55"/>
    <n v="2.8988715896651813"/>
    <n v="159.43793743158497"/>
    <x v="0"/>
  </r>
  <r>
    <s v="04"/>
    <s v="FN01"/>
    <s v="690X0011"/>
    <s v="Soude caustique"/>
    <s v="KG"/>
    <n v="325"/>
    <n v="2.9749817670186536"/>
    <n v="966.86907428106247"/>
    <x v="0"/>
  </r>
  <r>
    <s v="04"/>
    <s v="FN01"/>
    <m/>
    <s v="dechet chaine de lingotage"/>
    <s v="KG"/>
    <n v="939"/>
    <n v="5.4148896250374703"/>
    <n v="5084.581357910185"/>
    <x v="0"/>
  </r>
  <r>
    <s v="04"/>
    <s v="FN01"/>
    <s v="600P0013"/>
    <s v="CALCIUM METAL"/>
    <s v="KG"/>
    <n v="19"/>
    <n v="35.734415246466412"/>
    <n v="678.95388968286181"/>
    <x v="0"/>
  </r>
  <r>
    <s v="04"/>
    <s v="FN01"/>
    <s v="600P0017"/>
    <s v="PLOMB D'OEUVRE SNA"/>
    <s v="KG"/>
    <n v="16500"/>
    <n v="4.5619011476117679"/>
    <n v="75271.368935594175"/>
    <x v="0"/>
  </r>
  <r>
    <s v="04"/>
    <s v="FN01"/>
    <s v="610X0014"/>
    <s v="COKE DE PETROLE"/>
    <s v="KG"/>
    <n v="2250"/>
    <n v="1.4931377491061697"/>
    <n v="3359.5599354888818"/>
    <x v="0"/>
  </r>
  <r>
    <s v="04"/>
    <s v="FN01"/>
    <s v="620M0011"/>
    <s v="ETAIN TRAITE DE 90 à 98%"/>
    <s v="KG"/>
    <n v="24"/>
    <n v="49.937318465304863"/>
    <n v="1198.4956431673168"/>
    <x v="0"/>
  </r>
  <r>
    <s v="04"/>
    <s v="FN01"/>
    <m/>
    <s v="REBUT PATE"/>
    <s v="KG"/>
    <n v="2263"/>
    <n v="3.9913046639999994"/>
    <n v="9032.322454631998"/>
    <x v="0"/>
  </r>
  <r>
    <s v="04"/>
    <s v="FN01"/>
    <m/>
    <s v="REBUT PLAQUE"/>
    <s v="KG"/>
    <n v="1476"/>
    <n v="3.9913046639999994"/>
    <n v="5891.1656840639989"/>
    <x v="0"/>
  </r>
  <r>
    <s v="04"/>
    <s v="FN01"/>
    <m/>
    <s v="crass OXYDE"/>
    <s v="KG"/>
    <n v="537"/>
    <n v="3.9913046639999994"/>
    <n v="2143.3306045679997"/>
    <x v="0"/>
  </r>
  <r>
    <s v="04"/>
    <s v="FN01"/>
    <m/>
    <s v="Crasse strip"/>
    <s v="KG"/>
    <n v="783"/>
    <n v="3.9913046639999994"/>
    <n v="3125.1915519119993"/>
    <x v="0"/>
  </r>
  <r>
    <s v="04"/>
    <s v="FN01"/>
    <s v="610P0002"/>
    <s v="ANTIMOINE"/>
    <s v="KG"/>
    <n v="17.600000000000001"/>
    <n v="49.65731251956079"/>
    <n v="873.96870034427002"/>
    <x v="0"/>
  </r>
  <r>
    <s v="04"/>
    <s v="FN01"/>
    <m/>
    <s v="plaque industriel "/>
    <s v="KG"/>
    <n v="7475"/>
    <n v="3.9913046639999994"/>
    <n v="29835.002363399995"/>
    <x v="0"/>
  </r>
  <r>
    <s v="04"/>
    <s v="FN01"/>
    <m/>
    <s v="poudre de plomb"/>
    <s v="KG"/>
    <n v="547917"/>
    <n v="2.1095288883837413"/>
    <n v="1155846.7399365543"/>
    <x v="0"/>
  </r>
  <r>
    <s v="04"/>
    <s v="FN01"/>
    <s v="610D0014"/>
    <s v="crasse 30%"/>
    <s v="KG"/>
    <n v="3765028"/>
    <n v="0.75424646045855603"/>
    <n v="2839759.0425273562"/>
    <x v="0"/>
  </r>
  <r>
    <s v="05"/>
    <s v="MPA"/>
    <s v="310oxyde01"/>
    <s v="OXYDE ROUGE "/>
    <s v="KG"/>
    <n v="125"/>
    <n v="12.59525825408878"/>
    <n v="1574.4072817610975"/>
    <x v="0"/>
  </r>
  <r>
    <s v="05"/>
    <s v="MPA"/>
    <s v="430P2010"/>
    <s v="SEP PAPIER G  laize 103 mm 12,5 g/m²"/>
    <s v="M2"/>
    <n v="49040"/>
    <n v="0.16125131554631233"/>
    <n v="7907.7645143911568"/>
    <x v="0"/>
  </r>
  <r>
    <s v="05"/>
    <s v="MPA"/>
    <s v="430P2011"/>
    <s v="SEP PAPIER G  laize 128 mm 12,5 g/m²"/>
    <s v="M2"/>
    <n v="149680"/>
    <n v="0.17487530736052098"/>
    <n v="26175.33600572278"/>
    <x v="0"/>
  </r>
  <r>
    <s v="05"/>
    <s v="MPA"/>
    <s v="430P2013"/>
    <s v="SEP PAPIER laize 125mm "/>
    <s v="M2"/>
    <n v="41184"/>
    <n v="0.17960028418424487"/>
    <n v="7396.6581038439408"/>
    <x v="0"/>
  </r>
  <r>
    <s v="05"/>
    <s v="MPA"/>
    <s v="430T210"/>
    <s v="GAINE TUBULAIRE 204mm "/>
    <s v="UN"/>
    <n v="4254"/>
    <n v="0.9110590188837957"/>
    <n v="3875.6450663316668"/>
    <x v="0"/>
  </r>
  <r>
    <s v="05"/>
    <s v="MPA"/>
    <s v="430T280"/>
    <s v="GAINE TUBULAIRE 274mm "/>
    <s v="UN"/>
    <n v="2720"/>
    <n v="1.2732299853104208"/>
    <n v="3463.1855600443446"/>
    <x v="0"/>
  </r>
  <r>
    <s v="05"/>
    <s v="MPA"/>
    <s v="430T295"/>
    <s v="GAINE TUBULAIRE 289mm "/>
    <s v="UN"/>
    <n v="5642"/>
    <n v="1.1599999999999999"/>
    <n v="6544.7199999999993"/>
    <x v="0"/>
  </r>
  <r>
    <s v="05"/>
    <s v="MPA"/>
    <s v="430T325"/>
    <s v="GAINE TUBULAIRE 315mm "/>
    <s v="UN"/>
    <n v="4073"/>
    <n v="1.5528073028453109"/>
    <n v="6324.5841444889511"/>
    <x v="0"/>
  </r>
  <r>
    <s v="05"/>
    <s v="MPA"/>
    <s v="430T405"/>
    <s v="GAINE TUBULAIRE 399mm "/>
    <s v="UN"/>
    <n v="12702"/>
    <n v="2.0020728508573535"/>
    <n v="25430.329351590106"/>
    <x v="0"/>
  </r>
  <r>
    <s v="05"/>
    <s v="MPA"/>
    <s v="430T435"/>
    <s v="GAINE TUBULAIRE 429mm "/>
    <s v="UN"/>
    <n v="6137"/>
    <n v="2.0513940839436202"/>
    <n v="12589.405493161998"/>
    <x v="0"/>
  </r>
  <r>
    <s v="05"/>
    <s v="MPA"/>
    <s v="430T540"/>
    <s v="GAINE TUBULAIRE 534mm "/>
    <s v="UN"/>
    <n v="6322"/>
    <n v="2.4307877683110286"/>
    <n v="15367.440271262323"/>
    <x v="0"/>
  </r>
  <r>
    <s v="05"/>
    <s v="MPA"/>
    <s v="520X0032"/>
    <s v="FICHE SUIVEUSE PLAQUE (VERT) grand format"/>
    <s v="UN"/>
    <n v="1500"/>
    <n v="0.16930875675675675"/>
    <n v="253.9631351351351"/>
    <x v="0"/>
  </r>
  <r>
    <s v="05"/>
    <s v="MPA"/>
    <s v="520X0035"/>
    <s v="FICHE SUIVEUSE PLAQUE (BLEU)"/>
    <s v="UN"/>
    <n v="6000"/>
    <n v="0.20156250000000001"/>
    <n v="1209.375"/>
    <x v="0"/>
  </r>
  <r>
    <s v="05"/>
    <s v="MPA"/>
    <s v="580F0002"/>
    <s v="FILM ETIRABLE MANUEL "/>
    <s v="KG"/>
    <n v="43.2"/>
    <n v="4.9119230518542043"/>
    <n v="212.19507584010165"/>
    <x v="0"/>
  </r>
  <r>
    <s v="05"/>
    <s v="MPA"/>
    <s v="580P0010"/>
    <s v="POLYST.120/80/2CM D16 "/>
    <s v="UN"/>
    <n v="140"/>
    <n v="3.2312791788981139"/>
    <n v="452.37908504573596"/>
    <x v="0"/>
  </r>
  <r>
    <s v="05"/>
    <s v="MPA"/>
    <s v="600A0003"/>
    <s v="FIBRE DE VERRE 3mm "/>
    <s v="KG"/>
    <n v="160"/>
    <n v="14.447026627672727"/>
    <n v="2311.5242604276364"/>
    <x v="0"/>
  </r>
  <r>
    <s v="05"/>
    <s v="MPA"/>
    <s v="600A0012"/>
    <s v="FIBRE DE VERRE 5mm "/>
    <s v="KG"/>
    <n v="640"/>
    <n v="13.541652250000002"/>
    <n v="8666.6574400000009"/>
    <x v="0"/>
  </r>
  <r>
    <s v="05"/>
    <s v="MPA"/>
    <s v="600A0018"/>
    <s v="colophane empattage "/>
    <s v="KG"/>
    <n v="25"/>
    <n v="23"/>
    <n v="575"/>
    <x v="0"/>
  </r>
  <r>
    <s v="05"/>
    <s v="MPA"/>
    <s v="690X0012"/>
    <s v="BOUT.SILICATE SODIUM "/>
    <s v="UN"/>
    <n v="33"/>
    <n v="5.4087843099460295"/>
    <n v="178.48988222821899"/>
    <x v="0"/>
  </r>
  <r>
    <s v="05"/>
    <s v="MPA"/>
    <s v="520X0033"/>
    <s v="FICHE SUIVEUSE PLAQUE (BLANC)"/>
    <s v="UN"/>
    <n v="1500"/>
    <n v="0.20200000000000001"/>
    <n v="303"/>
    <x v="0"/>
  </r>
  <r>
    <s v="05"/>
    <s v="MPA"/>
    <s v="520X0036"/>
    <s v="ETIQ BOBINE AUTOCOLLANT 2 COULEURS (+)"/>
    <s v="UN"/>
    <n v="500"/>
    <n v="0.35349999999999998"/>
    <n v="176.75"/>
    <x v="0"/>
  </r>
  <r>
    <s v="05"/>
    <s v="MPA"/>
    <s v="520X0037"/>
    <s v="ETIQ BOBINE AUTOCOLLANT 2 COULEURS (-)"/>
    <s v="UN"/>
    <n v="500"/>
    <n v="0.35349999999999998"/>
    <n v="176.75"/>
    <x v="0"/>
  </r>
  <r>
    <s v="05"/>
    <s v="MPA"/>
    <s v="690X0007"/>
    <s v="KLEEN KOTE "/>
    <s v="UN"/>
    <n v="9"/>
    <n v="352.43900000000002"/>
    <n v="3171.951"/>
    <x v="0"/>
  </r>
  <r>
    <s v="05"/>
    <s v="MPA"/>
    <s v="690X0025"/>
    <s v="LIEGE PREPARE AC23#5 GLOBE SUPERKOTE MOLD"/>
    <s v="UN"/>
    <n v="2"/>
    <n v="30.505706430295458"/>
    <n v="61.011412860590916"/>
    <x v="0"/>
  </r>
  <r>
    <s v="05"/>
    <s v="MPA"/>
    <s v="430P1008"/>
    <s v="SEP PAPIER laize 105mm 12.5 g/m²"/>
    <s v="M2"/>
    <n v="52320"/>
    <n v="0.15580064491637435"/>
    <n v="8151.4897420247062"/>
    <x v="0"/>
  </r>
  <r>
    <s v="05"/>
    <s v="MPA"/>
    <s v="430P1019"/>
    <s v="SEPARATEUR  EMPATTAGE POLYESTER 103mm"/>
    <s v="M2"/>
    <n v="23968"/>
    <n v="1.1673196483156583"/>
    <n v="27978.317330829697"/>
    <x v="0"/>
  </r>
  <r>
    <s v="05"/>
    <s v="MPA"/>
    <s v="430P1020"/>
    <s v="SEPARATEUR  EMPATTAGE POLYESTER 127mm"/>
    <s v="M2"/>
    <n v="36948"/>
    <n v="1.1673196483156583"/>
    <n v="43130.126365966942"/>
    <x v="0"/>
  </r>
  <r>
    <s v="05"/>
    <s v="MPA"/>
    <s v="491BB001"/>
    <s v="REGLE DE FERMETURE 19 TUBES 43753002B70"/>
    <s v="UN"/>
    <n v="166400"/>
    <n v="0.21457018061935432"/>
    <n v="35704.478055060557"/>
    <x v="0"/>
  </r>
  <r>
    <s v="05"/>
    <s v="MPA"/>
    <s v="600A0017"/>
    <s v="FIBRE DE VERRE 1.5mm Primafloc+ fibre"/>
    <s v="KG"/>
    <n v="980"/>
    <n v="15.400714025036519"/>
    <n v="15092.699744535788"/>
    <x v="0"/>
  </r>
  <r>
    <s v="05"/>
    <s v="MPA"/>
    <s v="600A0020"/>
    <s v="MELANGE ETHANOL"/>
    <s v="KG"/>
    <n v="120"/>
    <n v="26.512264150943395"/>
    <n v="3181.4716981132074"/>
    <x v="0"/>
  </r>
  <r>
    <s v="05"/>
    <s v="MPA"/>
    <s v="690X0018"/>
    <s v="EXPANDER HE-631 A - 8.5KG "/>
    <s v="KG"/>
    <n v="1926"/>
    <n v="14.987247296727341"/>
    <n v="28865.43829349686"/>
    <x v="0"/>
  </r>
  <r>
    <s v="05"/>
    <s v="MPA"/>
    <s v="690X0031"/>
    <s v="EXPANDER PENOX- 7 KG "/>
    <s v="KG"/>
    <n v="3100"/>
    <n v="13.827783737305175"/>
    <n v="42866.129585646042"/>
    <x v="0"/>
  </r>
  <r>
    <s v="05"/>
    <s v="MPA"/>
    <s v="712MEC021"/>
    <s v="AGRAFE POUR SERRE CABLE PALETTE"/>
    <s v="UN"/>
    <n v="100"/>
    <n v="109.33333333333331"/>
    <n v="10933.333333333332"/>
    <x v="0"/>
  </r>
  <r>
    <s v="05"/>
    <s v="MPA"/>
    <s v="712MEC028"/>
    <s v="RLX FEUILLARD 15 "/>
    <s v="UN"/>
    <n v="1"/>
    <n v="145"/>
    <n v="145"/>
    <x v="0"/>
  </r>
  <r>
    <s v="05"/>
    <s v="MPA"/>
    <m/>
    <s v="FLYX"/>
    <s v="KG"/>
    <n v="150"/>
    <n v="55.491637499999996"/>
    <n v="8323.7456249999996"/>
    <x v="0"/>
  </r>
  <r>
    <s v="05"/>
    <s v="MPA"/>
    <s v="520X0048"/>
    <s v="ETIQ AUTOCOLLANTE PRODUIT EXPORT"/>
    <s v="UN"/>
    <n v="200"/>
    <n v="0.2525"/>
    <n v="50.5"/>
    <x v="0"/>
  </r>
  <r>
    <s v="05"/>
    <s v="MPA"/>
    <s v="430P2009"/>
    <s v="SEPARATEUR  EMPATTAGE POLYESTER 111mm"/>
    <s v="M2"/>
    <n v="79296"/>
    <n v="0.13900000000000001"/>
    <n v="11022.144"/>
    <x v="0"/>
  </r>
  <r>
    <s v="05"/>
    <s v="MPA"/>
    <s v="690X0018"/>
    <s v="EXPANDER MAROON BAG"/>
    <s v="KG"/>
    <n v="2087"/>
    <n v="14.987247296727341"/>
    <n v="31278.385108269962"/>
    <x v="0"/>
  </r>
  <r>
    <s v="05"/>
    <s v="MPA"/>
    <s v="430T21184"/>
    <s v="GAINE TUBULAIRE 184mm "/>
    <s v="UN"/>
    <n v="2302"/>
    <n v="1.0793751893085692"/>
    <n v="2484.7216857883263"/>
    <x v="0"/>
  </r>
  <r>
    <s v="05"/>
    <s v="MPA"/>
    <s v="430T21285"/>
    <s v="GAINE TUBULAIRE 258mm "/>
    <s v="UN"/>
    <n v="1842"/>
    <n v="1.5132252167621694"/>
    <n v="2787.3608492759158"/>
    <x v="0"/>
  </r>
  <r>
    <s v="05"/>
    <s v="MPA"/>
    <s v="491BB003"/>
    <s v="REGLE DE FERMETURE GRANDE MODEL"/>
    <s v="UN"/>
    <n v="5113"/>
    <n v="0.64329877412327052"/>
    <n v="3289.1866320922823"/>
    <x v="0"/>
  </r>
  <r>
    <s v="05"/>
    <s v="MPA"/>
    <m/>
    <s v="POUDR DE BOIS"/>
    <s v="KG"/>
    <n v="225"/>
    <n v="0"/>
    <n v="0"/>
    <x v="0"/>
  </r>
  <r>
    <s v="05"/>
    <s v="MPA"/>
    <s v="520X0032"/>
    <s v="FICHE SUIVEUSE VERT PETIT FORMAT"/>
    <s v="UN"/>
    <n v="1000"/>
    <n v="0.16930875675675675"/>
    <n v="169.30875675675674"/>
    <x v="0"/>
  </r>
  <r>
    <s v="05"/>
    <s v="MPA"/>
    <m/>
    <s v="SEP PAPIER G  laize 111 gamme"/>
    <s v="M2"/>
    <n v="251544"/>
    <n v="0.13900000000000001"/>
    <n v="34964.616000000002"/>
    <x v="0"/>
  </r>
  <r>
    <s v="007"/>
    <s v="CFE-PFV"/>
    <s v="LB55L1W172R1Z55"/>
    <s v="S1"/>
    <s v="UN"/>
    <n v="817"/>
    <n v="72.685741473669125"/>
    <n v="59384.250783987678"/>
    <x v="2"/>
  </r>
  <r>
    <s v="007"/>
    <s v="CFE-PFV"/>
    <s v="LB66L2W172R1Z55"/>
    <s v="S2"/>
    <s v="UN"/>
    <n v="378"/>
    <n v="83.18852910446428"/>
    <n v="31445.264001487496"/>
    <x v="2"/>
  </r>
  <r>
    <s v="007"/>
    <s v="CFE-PFV"/>
    <s v="LB77L3W172R1Z55"/>
    <s v="S3"/>
    <s v="UN"/>
    <n v="1189"/>
    <n v="93.656713247244056"/>
    <n v="111357.83205097319"/>
    <x v="2"/>
  </r>
  <r>
    <s v="007"/>
    <s v="CFE-PFV"/>
    <s v="LB90L5W172R1Z55"/>
    <s v="S5"/>
    <s v="UN"/>
    <n v="434"/>
    <n v="126.58860491485309"/>
    <n v="54939.454533046242"/>
    <x v="2"/>
  </r>
  <r>
    <s v="007"/>
    <s v="CFE-PFV"/>
    <s v="LB45B1W172R1Z44"/>
    <s v="PRL1B"/>
    <s v="UN"/>
    <n v="65"/>
    <n v="67.217032061213288"/>
    <n v="4369.1070839788636"/>
    <x v="2"/>
  </r>
  <r>
    <s v="007"/>
    <s v="CFE-PFV"/>
    <s v="LB45L1W172R1Z44"/>
    <s v="PRL1D"/>
    <s v="UN"/>
    <n v="343"/>
    <n v="71.131130145126761"/>
    <n v="24397.977639778481"/>
    <x v="2"/>
  </r>
  <r>
    <s v="007"/>
    <s v="CFE-PFV"/>
    <s v="LB45L1W172L1Z44"/>
    <s v="PRL1G"/>
    <s v="UN"/>
    <n v="100"/>
    <n v="60.187428599986745"/>
    <n v="6018.7428599986742"/>
    <x v="2"/>
  </r>
  <r>
    <s v="007"/>
    <s v="CFE-PFV"/>
    <s v="LB56B2W172R1Z44"/>
    <s v="PRL2B"/>
    <s v="UN"/>
    <n v="28"/>
    <n v="78.019203624395047"/>
    <n v="2184.5377014830615"/>
    <x v="2"/>
  </r>
  <r>
    <s v="007"/>
    <s v="CFE-PFV"/>
    <s v="LB56L2W172R1Z44"/>
    <s v="PRL2"/>
    <s v="UN"/>
    <n v="461"/>
    <n v="77.164095976740441"/>
    <n v="35572.648245277342"/>
    <x v="2"/>
  </r>
  <r>
    <s v="007"/>
    <s v="CFE-PFV"/>
    <s v="LB67B3W172R1Z44"/>
    <s v="PRL3B"/>
    <s v="UN"/>
    <n v="165"/>
    <n v="90.283204096625596"/>
    <n v="14896.728675943223"/>
    <x v="2"/>
  </r>
  <r>
    <s v="007"/>
    <s v="CFE-PFV"/>
    <s v="LB67L3W172R1Z44"/>
    <s v="PRL3"/>
    <s v="UN"/>
    <n v="439"/>
    <n v="88.779786180633138"/>
    <n v="38974.326133297945"/>
    <x v="2"/>
  </r>
  <r>
    <s v="007"/>
    <s v="CFE-PFV"/>
    <s v="MRT44J3X102R1Z44"/>
    <s v="NS40D"/>
    <s v="UN"/>
    <n v="220"/>
    <n v="58.941708747640163"/>
    <n v="12967.175924480836"/>
    <x v="2"/>
  </r>
  <r>
    <s v="007"/>
    <s v="CFE-PFV"/>
    <s v="MRT44J3X102L1Z44"/>
    <s v="NS40G"/>
    <s v="UN"/>
    <n v="8"/>
    <n v="63.176862929853229"/>
    <n v="505.41490343882583"/>
    <x v="2"/>
  </r>
  <r>
    <s v="007"/>
    <s v="CFE-PFV"/>
    <s v="MRT45J4X102R1Z44"/>
    <s v="NS60"/>
    <s v="UN"/>
    <n v="43"/>
    <n v="74.372386813765175"/>
    <n v="3198.0126329919026"/>
    <x v="2"/>
  </r>
  <r>
    <s v="007"/>
    <s v="CFE-PFV"/>
    <s v="M55J6X172R1Z44"/>
    <s v="D23"/>
    <s v="UN"/>
    <n v="127"/>
    <n v="104.83021388353322"/>
    <n v="13313.437163208719"/>
    <x v="2"/>
  </r>
  <r>
    <s v="007"/>
    <s v="CFE-PFV"/>
    <s v="M56J7X102L1Z44"/>
    <s v="D26G"/>
    <s v="UN"/>
    <n v="171"/>
    <n v="110.47926111267003"/>
    <n v="18891.953650266576"/>
    <x v="2"/>
  </r>
  <r>
    <s v="007"/>
    <s v="CFE-PFV"/>
    <s v="M56J7X102R1Z44"/>
    <s v="D26D"/>
    <s v="UN"/>
    <n v="32"/>
    <n v="113.67016699885335"/>
    <n v="3637.4453439633071"/>
    <x v="2"/>
  </r>
  <r>
    <s v="007"/>
    <s v="CFE-PFV"/>
    <s v="M78J0X172L1Z44"/>
    <s v="D31G"/>
    <s v="UN"/>
    <n v="233"/>
    <n v="140.21211837489781"/>
    <n v="32669.423581351191"/>
    <x v="2"/>
  </r>
  <r>
    <s v="007"/>
    <s v="CFE-PFV"/>
    <s v="M78J0X172R1Z44"/>
    <s v="D31D"/>
    <s v="UN"/>
    <n v="191"/>
    <n v="140.21211837489781"/>
    <n v="26780.514609605481"/>
    <x v="2"/>
  </r>
  <r>
    <s v="007"/>
    <s v="CFE-PFV"/>
    <s v="LB44L1K072R1S12"/>
    <s v="PL1"/>
    <s v="UN"/>
    <n v="402"/>
    <n v="67.465775052437905"/>
    <n v="27121.241571080038"/>
    <x v="2"/>
  </r>
  <r>
    <s v="007"/>
    <s v="CFE-PFV"/>
    <s v="LB55L2K072R1S12"/>
    <s v="PL2"/>
    <s v="UN"/>
    <n v="458"/>
    <n v="77.632283680213334"/>
    <n v="35555.585925537707"/>
    <x v="2"/>
  </r>
  <r>
    <s v="007"/>
    <s v="CFE-PFV"/>
    <s v="LB66L3K072R1S12"/>
    <s v="PL3"/>
    <s v="UN"/>
    <n v="573"/>
    <n v="93.268688780299371"/>
    <n v="53442.958671111541"/>
    <x v="2"/>
  </r>
  <r>
    <s v="007"/>
    <s v="CFE-PFV"/>
    <s v="LB66B3K072R1S12"/>
    <s v="PL3B"/>
    <s v="UN"/>
    <n v="1"/>
    <n v="89.948789856948025"/>
    <n v="89.948789856948025"/>
    <x v="2"/>
  </r>
  <r>
    <s v="007"/>
    <s v="CFE-PFV"/>
    <s v="LB88L5K072R1S12"/>
    <s v="PL5"/>
    <s v="UN"/>
    <n v="121"/>
    <n v="108.2019760944152"/>
    <n v="13092.439107424239"/>
    <x v="2"/>
  </r>
  <r>
    <s v="007"/>
    <s v="CFE-PFV"/>
    <s v="LB00L6K5072R1S12"/>
    <s v="PL6MF"/>
    <s v="UN"/>
    <n v="1"/>
    <n v="155.10987712536115"/>
    <n v="155.10987712536115"/>
    <x v="2"/>
  </r>
  <r>
    <s v="007"/>
    <s v="CFE-PFV"/>
    <s v="M55M10F043L1S13"/>
    <s v="PM10"/>
    <s v="UN"/>
    <n v="1027"/>
    <n v="88.159978085742637"/>
    <n v="90540.297494057682"/>
    <x v="2"/>
  </r>
  <r>
    <s v="007"/>
    <s v="CFE-PFV"/>
    <s v="MSP55M10F042L1S13"/>
    <s v="PM10S"/>
    <s v="UN"/>
    <n v="288"/>
    <n v="97.468596265010717"/>
    <n v="28070.955724323088"/>
    <x v="2"/>
  </r>
  <r>
    <s v="007"/>
    <s v="CFE-PFV"/>
    <s v="M77M11F043L1S13"/>
    <s v="PM11"/>
    <s v="UN"/>
    <n v="428"/>
    <n v="136.47822356969888"/>
    <n v="58412.679687831122"/>
    <x v="2"/>
  </r>
  <r>
    <s v="007"/>
    <s v="CFE-PFV"/>
    <s v="M78M11F042L1S13"/>
    <s v="PM11SG"/>
    <s v="UN"/>
    <n v="57"/>
    <n v="129.06362574974258"/>
    <n v="7356.6266677353269"/>
    <x v="2"/>
  </r>
  <r>
    <s v="007"/>
    <s v="CFE-PFV"/>
    <s v="M78M11F042R1S13"/>
    <s v="PM11SD"/>
    <s v="UN"/>
    <n v="39"/>
    <n v="134.41722296813123"/>
    <n v="5242.2716957571174"/>
    <x v="2"/>
  </r>
  <r>
    <s v="007"/>
    <s v="CFE-PFV"/>
    <s v="M77M12F043L1S13"/>
    <s v="PM12"/>
    <s v="UN"/>
    <n v="320"/>
    <n v="124.64288361726786"/>
    <n v="39885.722757525713"/>
    <x v="2"/>
  </r>
  <r>
    <s v="007"/>
    <s v="CFE-PFV"/>
    <s v="M88M12F042L1S13"/>
    <s v="PM12S"/>
    <s v="UN"/>
    <n v="82"/>
    <n v="142.31511267353068"/>
    <n v="11669.839239229515"/>
    <x v="2"/>
  </r>
  <r>
    <s v="007"/>
    <s v="CFE-PFV"/>
    <s v="M89C98P5042R1S13"/>
    <s v="PM110"/>
    <s v="UN"/>
    <n v="60"/>
    <n v="160.50202787217594"/>
    <n v="9630.121672330557"/>
    <x v="2"/>
  </r>
  <r>
    <s v="007"/>
    <s v="CFE-PFV"/>
    <s v="MSP89AF003L1S13"/>
    <s v="M14"/>
    <s v="UN"/>
    <n v="347"/>
    <n v="171.04008668587466"/>
    <n v="59350.910079998503"/>
    <x v="2"/>
  </r>
  <r>
    <s v="007"/>
    <s v="CFE-PFV"/>
    <s v="MSP90BF003L1S13"/>
    <s v="M15"/>
    <s v="UN"/>
    <n v="116"/>
    <n v="199.77070244438534"/>
    <n v="23173.4014835487"/>
    <x v="2"/>
  </r>
  <r>
    <s v="007"/>
    <s v="CFE-PFV"/>
    <s v="MSP12BF003L1S13"/>
    <s v="M15S"/>
    <s v="UN"/>
    <n v="173"/>
    <n v="219.08"/>
    <n v="37900.840000000004"/>
    <x v="2"/>
  </r>
  <r>
    <s v="007"/>
    <s v="CFE-PFV"/>
    <s v="ML23CF003L1S13"/>
    <s v="M16"/>
    <s v="UN"/>
    <n v="54"/>
    <n v="228.32164206822068"/>
    <n v="12329.368671683917"/>
    <x v="2"/>
  </r>
  <r>
    <s v="007"/>
    <s v="CFE-PFV"/>
    <s v="MSP55M10F042R1S13"/>
    <s v="PM10SD"/>
    <s v="UN"/>
    <n v="8"/>
    <n v="97.468596265010717"/>
    <n v="779.74877012008574"/>
    <x v="2"/>
  </r>
  <r>
    <s v="007"/>
    <s v="CFE-PFV"/>
    <s v="LB78L3E172R1Z55"/>
    <s v="21S3EFB"/>
    <s v="UN"/>
    <n v="1"/>
    <n v="154.21426812681023"/>
    <n v="154.21426812681023"/>
    <x v="2"/>
  </r>
  <r>
    <s v="007"/>
    <s v="CFE-PFV"/>
    <s v="LB34L1K077R1S122"/>
    <s v="10M11155254"/>
    <s v="UN"/>
    <n v="3"/>
    <n v="57.764929053745149"/>
    <n v="173.29478716123543"/>
    <x v="2"/>
  </r>
  <r>
    <s v="007"/>
    <s v="CFE-PFV"/>
    <s v="LB34L1P072R1S121"/>
    <s v="10M11233224"/>
    <s v="UN"/>
    <n v="19"/>
    <n v="57.205630253978335"/>
    <n v="1086.9069748255883"/>
    <x v="2"/>
  </r>
  <r>
    <s v="007"/>
    <s v="CFE-PFV"/>
    <s v="LB45L2K077R1S122"/>
    <s v="10L1H133165"/>
    <s v="UN"/>
    <n v="5"/>
    <m/>
    <n v="0"/>
    <x v="2"/>
  </r>
  <r>
    <s v="007"/>
    <s v="CFE-PFV"/>
    <s v="10L2H233331"/>
    <s v="10L2H233331"/>
    <s v="UN"/>
    <n v="25"/>
    <n v="77.632283680213334"/>
    <n v="1940.8070920053333"/>
    <x v="2"/>
  </r>
  <r>
    <s v="007"/>
    <s v="CFE-PFV"/>
    <s v="10L2H233331"/>
    <s v="10L2H233331"/>
    <s v="UN"/>
    <n v="4"/>
    <n v="77.632283680213334"/>
    <n v="310.52913472085334"/>
    <x v="2"/>
  </r>
  <r>
    <s v="007"/>
    <s v="CFE-PFV"/>
    <s v="LB56L3K073R1S122"/>
    <s v="10L3H133165"/>
    <s v="UN"/>
    <n v="1"/>
    <n v="77.821653094955408"/>
    <n v="77.821653094955408"/>
    <x v="2"/>
  </r>
  <r>
    <s v="007"/>
    <s v="CFE-PFV"/>
    <s v="LB78L5K073R1S122"/>
    <s v="10L5H133165"/>
    <s v="UN"/>
    <n v="1"/>
    <n v="95.590047136637295"/>
    <n v="95.590047136637295"/>
    <x v="2"/>
  </r>
  <r>
    <s v="007"/>
    <s v="CFE-PFV"/>
    <s v="MSP88AF003L1S13"/>
    <s v="10M14133141"/>
    <s v="UN"/>
    <n v="5"/>
    <n v="163.73729882871604"/>
    <n v="818.68649414358015"/>
    <x v="2"/>
  </r>
  <r>
    <s v="007"/>
    <s v="CFE-PFV"/>
    <s v="MSP99BF003L1S122"/>
    <s v="10M15133156"/>
    <s v="UN"/>
    <n v="4"/>
    <n v="213.446854510154"/>
    <n v="853.78741804061599"/>
    <x v="2"/>
  </r>
  <r>
    <s v="007"/>
    <s v="CFE-PFV"/>
    <s v="MSP99BF003L1S122"/>
    <s v="10M15133156"/>
    <s v="UN"/>
    <n v="4"/>
    <n v="213.446854510154"/>
    <n v="853.78741804061599"/>
    <x v="2"/>
  </r>
  <r>
    <s v="007"/>
    <s v="CFE-PFV"/>
    <s v="10PL4B"/>
    <s v="10PL4B"/>
    <s v="UN"/>
    <n v="84"/>
    <n v="120.1"/>
    <n v="10088.4"/>
    <x v="2"/>
  </r>
  <r>
    <s v="007"/>
    <s v="CFE-PFV"/>
    <s v="10PL4"/>
    <s v="10PL4"/>
    <s v="UN"/>
    <n v="71"/>
    <n v="120.1"/>
    <n v="8527.1"/>
    <x v="2"/>
  </r>
  <r>
    <s v="007"/>
    <s v="CFE-PFV"/>
    <s v="LB33L1K077R1S122"/>
    <s v="L1 N/N 3/3"/>
    <s v="UN"/>
    <n v="66"/>
    <n v="51.993700479736873"/>
    <n v="3431.5842316626336"/>
    <x v="2"/>
  </r>
  <r>
    <s v="007"/>
    <s v="CFE-PFV"/>
    <s v="LB34L2K073R1S122"/>
    <s v="L2 N/N 4/4"/>
    <s v="UN"/>
    <n v="105"/>
    <n v="55.742218378629929"/>
    <n v="5852.9329297561426"/>
    <x v="2"/>
  </r>
  <r>
    <s v="007"/>
    <s v="CFE-PFV"/>
    <s v="LB34L2K073L1S122"/>
    <s v="L2 G 3/4 "/>
    <s v="UN"/>
    <n v="26"/>
    <n v="77.485631905206517"/>
    <n v="2014.6264295353694"/>
    <x v="2"/>
  </r>
  <r>
    <s v="007"/>
    <s v="CFE-PFV"/>
    <s v="LB45L3K073R1S122"/>
    <s v="L3 N/N 5/5"/>
    <s v="UN"/>
    <n v="55"/>
    <n v="72.44792068894715"/>
    <n v="3984.6356378920932"/>
    <x v="2"/>
  </r>
  <r>
    <s v="007"/>
    <s v="CFE-PFV"/>
    <s v="LB55B1W172R1Z55"/>
    <s v="S1B"/>
    <s v="UN"/>
    <n v="18"/>
    <n v="71.763322608181909"/>
    <n v="1291.7398069472742"/>
    <x v="2"/>
  </r>
  <r>
    <s v="007"/>
    <s v="CFE-PFV"/>
    <s v="LB66B2W172R1Z55"/>
    <s v="S2B"/>
    <s v="UN"/>
    <n v="30"/>
    <n v="87.272045424390939"/>
    <n v="2618.1613627317283"/>
    <x v="2"/>
  </r>
  <r>
    <s v="007"/>
    <s v="CFE-PFV"/>
    <s v="LB77L3W172R1Z55"/>
    <s v="S3"/>
    <s v="UN"/>
    <n v="57"/>
    <n v="93.656713247244056"/>
    <n v="5338.4326550929109"/>
    <x v="2"/>
  </r>
  <r>
    <s v="007"/>
    <s v="CFE-PFV"/>
    <s v="LB77B3W172R1Z55"/>
    <s v="S3B"/>
    <s v="UN"/>
    <n v="16"/>
    <n v="93.598755060087385"/>
    <n v="1497.5800809613982"/>
    <x v="2"/>
  </r>
  <r>
    <s v="007"/>
    <s v="CFE-PFV"/>
    <s v="LB90L5W172R1Z55"/>
    <s v="S5"/>
    <s v="UN"/>
    <n v="48"/>
    <n v="126.58860491485309"/>
    <n v="6076.2530359129487"/>
    <x v="2"/>
  </r>
  <r>
    <s v="007"/>
    <s v="CFE-PFV"/>
    <s v="LB45L1W172R1Z44"/>
    <s v="PRL1D"/>
    <s v="UN"/>
    <n v="16"/>
    <n v="71.131130145126761"/>
    <n v="1138.0980823220282"/>
    <x v="2"/>
  </r>
  <r>
    <s v="007"/>
    <s v="CFE-PFV"/>
    <s v="LB56B2W172R1Z44"/>
    <s v="PRL2B"/>
    <s v="UN"/>
    <n v="28"/>
    <n v="78.019203624395047"/>
    <n v="2184.5377014830615"/>
    <x v="2"/>
  </r>
  <r>
    <s v="007"/>
    <s v="CFE-PFV"/>
    <s v="LB67B3W172R1Z44"/>
    <s v="PRL3B"/>
    <s v="UN"/>
    <n v="69"/>
    <n v="90.283204096625596"/>
    <n v="6229.5410826671659"/>
    <x v="2"/>
  </r>
  <r>
    <s v="007"/>
    <s v="CFE-PFV"/>
    <s v="LB89L5W172R1Z44"/>
    <s v="PRL5"/>
    <s v="UN"/>
    <n v="8"/>
    <n v="128.63333770081582"/>
    <n v="1029.0667016065265"/>
    <x v="2"/>
  </r>
  <r>
    <s v="007"/>
    <s v="CFE-PFV"/>
    <s v="MRT45J4X102R1Z44"/>
    <s v="NS60"/>
    <s v="UN"/>
    <n v="70"/>
    <n v="74.372386813765175"/>
    <n v="5206.0670769635626"/>
    <x v="2"/>
  </r>
  <r>
    <s v="007"/>
    <s v="CFE-PFV"/>
    <s v="MRT45J4X102L1J44"/>
    <s v="NS60G"/>
    <s v="UN"/>
    <n v="8"/>
    <n v="91.295004755193148"/>
    <n v="730.36003804154518"/>
    <x v="2"/>
  </r>
  <r>
    <s v="007"/>
    <s v="CFE-PFV"/>
    <s v="M56J7X102R1Z44"/>
    <s v="D26D"/>
    <s v="UN"/>
    <n v="273"/>
    <n v="113.67016699885335"/>
    <n v="31031.955590686965"/>
    <x v="2"/>
  </r>
  <r>
    <s v="007"/>
    <s v="CFE-PFV"/>
    <s v="M78J0X172L1Z44"/>
    <s v="D31G"/>
    <s v="UN"/>
    <n v="171"/>
    <n v="140.21211837489781"/>
    <n v="23976.272242107527"/>
    <x v="2"/>
  </r>
  <r>
    <s v="007"/>
    <s v="CFE-PFV"/>
    <s v="M78J0X172R1Z44"/>
    <s v="D31D"/>
    <s v="UN"/>
    <n v="171"/>
    <n v="140.21211837489781"/>
    <n v="23976.272242107527"/>
    <x v="2"/>
  </r>
  <r>
    <s v="007"/>
    <s v="CFE-PFV"/>
    <s v="M78J0X172L1Z44"/>
    <s v="D31G"/>
    <s v="UN"/>
    <n v="84"/>
    <n v="140.21211837489781"/>
    <n v="11777.817943491416"/>
    <x v="2"/>
  </r>
  <r>
    <s v="007"/>
    <s v="CFE-PFV"/>
    <s v="LB45B1K5172R1S13"/>
    <s v="L1B KAMINA 4/5"/>
    <s v="UN"/>
    <n v="3"/>
    <n v="71.56032382797784"/>
    <n v="214.68097148393352"/>
    <x v="2"/>
  </r>
  <r>
    <s v="007"/>
    <s v="CFE-PFV"/>
    <s v="LB44B1K072R1S12"/>
    <s v="L1B KAMINA 4/4"/>
    <s v="UN"/>
    <n v="15"/>
    <n v="66.960379734822865"/>
    <n v="1004.405696022343"/>
    <x v="2"/>
  </r>
  <r>
    <s v="007"/>
    <s v="CFE-PFV"/>
    <s v="LB45L1K172R1Z44"/>
    <s v="L1 KAMINA 4/5"/>
    <s v="UN"/>
    <n v="34"/>
    <n v="66.134554018222957"/>
    <n v="2248.5748366195803"/>
    <x v="2"/>
  </r>
  <r>
    <s v="007"/>
    <s v="CFE-PFV"/>
    <s v="LB56B2K172R1Z44"/>
    <s v="L2B KAMINA 5/6"/>
    <s v="UN"/>
    <n v="19"/>
    <n v="66.041264241858556"/>
    <n v="1254.7840205953125"/>
    <x v="2"/>
  </r>
  <r>
    <s v="007"/>
    <s v="CFE-PFV"/>
    <s v="LB55L2K072R1S12"/>
    <s v="PL2"/>
    <s v="UN"/>
    <n v="63"/>
    <n v="77.632283680213334"/>
    <n v="4890.8338718534396"/>
    <x v="2"/>
  </r>
  <r>
    <s v="007"/>
    <s v="CFE-PFV"/>
    <s v="LB56L2K172R1Z44"/>
    <s v="L2 KAMINA 5/6"/>
    <s v="UN"/>
    <n v="24"/>
    <n v="80.424642980995117"/>
    <n v="1930.1914315438828"/>
    <x v="2"/>
  </r>
  <r>
    <s v="007"/>
    <s v="CFE-PFV"/>
    <s v="LB66L2K172R1Z55"/>
    <s v="L2 KAMINA 6/6"/>
    <s v="UN"/>
    <n v="15"/>
    <n v="76.30927148045626"/>
    <n v="1144.6390722068438"/>
    <x v="2"/>
  </r>
  <r>
    <s v="007"/>
    <s v="CFE-PFV"/>
    <s v="LB66B3K072R1S12"/>
    <s v="PL3B"/>
    <s v="UN"/>
    <n v="2451"/>
    <n v="89.948789856948025"/>
    <n v="220464.4839393796"/>
    <x v="2"/>
  </r>
  <r>
    <s v="007"/>
    <s v="CFE-PFV"/>
    <s v="LB67B3K172R1Z44"/>
    <s v="L3B KAMINA 6/7"/>
    <s v="UN"/>
    <n v="2304"/>
    <n v="88.471908571918888"/>
    <n v="203839.27734970112"/>
    <x v="2"/>
  </r>
  <r>
    <s v="007"/>
    <s v="CFE-PFV"/>
    <s v="LB66L3K072R1S12"/>
    <s v="PL3"/>
    <s v="UN"/>
    <n v="95"/>
    <n v="93.268688780299371"/>
    <n v="8860.5254341284399"/>
    <x v="2"/>
  </r>
  <r>
    <s v="007"/>
    <s v="CFE-PFV"/>
    <s v="LB67L3K072R1S12"/>
    <s v="L3 KAMINA 6/7"/>
    <s v="UN"/>
    <n v="75"/>
    <n v="87.096353812242896"/>
    <n v="6532.2265359182175"/>
    <x v="2"/>
  </r>
  <r>
    <s v="007"/>
    <s v="CFE-PFV"/>
    <s v="LB89L5K072R1S12"/>
    <s v="L5 KAMINA 8/9"/>
    <s v="UN"/>
    <n v="29"/>
    <n v="119.49145785962052"/>
    <n v="3465.2522779289952"/>
    <x v="2"/>
  </r>
  <r>
    <s v="007"/>
    <s v="CFE-PFV"/>
    <s v="MRT45J4X102R1J44"/>
    <s v="NS60"/>
    <s v="UN"/>
    <n v="398"/>
    <n v="76.767456189816343"/>
    <n v="30553.447563546906"/>
    <x v="2"/>
  </r>
  <r>
    <s v="007"/>
    <s v="CFE-PFV"/>
    <s v="MRT45J4X102L1"/>
    <s v="NS60 G 4/5 HH BF"/>
    <s v="UN"/>
    <n v="4"/>
    <n v="71.050055820345733"/>
    <n v="284.20022328138293"/>
    <x v="2"/>
  </r>
  <r>
    <s v="007"/>
    <s v="CFE-PFV"/>
    <s v="M145J7X172L1_BinS"/>
    <s v="D26 G 4/5 HH"/>
    <s v="UN"/>
    <n v="42"/>
    <n v="107.19954031499478"/>
    <n v="4502.3806932297803"/>
    <x v="2"/>
  </r>
  <r>
    <s v="007"/>
    <s v="CFE-PFV"/>
    <s v="M145J7X172R1_BinS"/>
    <s v="D26 D 4/5 HH"/>
    <s v="UN"/>
    <n v="191"/>
    <n v="106.99129289231436"/>
    <n v="20435.336942432044"/>
    <x v="2"/>
  </r>
  <r>
    <s v="007"/>
    <s v="CFE-PFV"/>
    <s v="M166J0X172L1_BinS"/>
    <s v="D31 G 6/6 HH"/>
    <s v="UN"/>
    <n v="36"/>
    <n v="109.42274478352324"/>
    <n v="3939.2188122068369"/>
    <x v="2"/>
  </r>
  <r>
    <s v="007"/>
    <s v="CFE-PFV"/>
    <s v="M166J0X172R1_BinS"/>
    <s v="D31 D 6/6 HH"/>
    <s v="UN"/>
    <n v="2"/>
    <n v="109.42274478352324"/>
    <n v="218.84548956704649"/>
    <x v="2"/>
  </r>
  <r>
    <s v="007"/>
    <s v="CFE-PFV"/>
    <s v="M155J6X172R1_BinS"/>
    <s v="D23 G 5/5 HH"/>
    <s v="UN"/>
    <n v="5"/>
    <n v="104.83021388353322"/>
    <n v="524.15106941766612"/>
    <x v="2"/>
  </r>
  <r>
    <s v="007"/>
    <s v="DC-DCE"/>
    <s v="UFLB55L1W172R2"/>
    <s v="S1"/>
    <s v="UN"/>
    <n v="2917"/>
    <n v="66.134554018222957"/>
    <n v="192914.49407115637"/>
    <x v="1"/>
  </r>
  <r>
    <s v="007"/>
    <s v="DC-DCE"/>
    <s v="UFLB66L2W172R2"/>
    <s v="S2"/>
    <s v="UN"/>
    <n v="4"/>
    <n v="75.595781157578614"/>
    <n v="302.38312463031446"/>
    <x v="1"/>
  </r>
  <r>
    <s v="007"/>
    <s v="DC-DCE"/>
    <s v="UFLBLB90L5W172R2"/>
    <s v="S5"/>
    <s v="UN"/>
    <n v="36"/>
    <n v="114.58126160421584"/>
    <n v="4124.9254177517705"/>
    <x v="1"/>
  </r>
  <r>
    <s v="007"/>
    <s v="DC-DCE"/>
    <s v="UFLB45B1W172R2"/>
    <s v="PRL1B"/>
    <s v="UN"/>
    <n v="451"/>
    <n v="60.033893899112869"/>
    <n v="27075.286148499905"/>
    <x v="1"/>
  </r>
  <r>
    <s v="007"/>
    <s v="DC-DCE"/>
    <s v="UFLB45L1W172L2"/>
    <s v="PRL1G"/>
    <s v="UN"/>
    <n v="420"/>
    <n v="54.410420181950983"/>
    <n v="22852.376476419413"/>
    <x v="1"/>
  </r>
  <r>
    <s v="007"/>
    <s v="DC-DCE"/>
    <s v="UFLB56L2W172R2"/>
    <s v="PRL2"/>
    <s v="UN"/>
    <n v="20"/>
    <n v="77.485631905206517"/>
    <n v="1549.7126381041303"/>
    <x v="1"/>
  </r>
  <r>
    <s v="007"/>
    <s v="DC-DCE"/>
    <s v="UFLB67L3W172R2"/>
    <s v="PRL3"/>
    <s v="UN"/>
    <n v="30"/>
    <n v="80.823564648000257"/>
    <n v="2424.7069394400078"/>
    <x v="1"/>
  </r>
  <r>
    <s v="007"/>
    <s v="DC-DCE"/>
    <s v="UFMRT44J3X102R2"/>
    <s v="NS40D"/>
    <s v="UN"/>
    <n v="1914"/>
    <n v="53.399175760128202"/>
    <n v="102206.02240488539"/>
    <x v="1"/>
  </r>
  <r>
    <s v="007"/>
    <s v="DC-DCE"/>
    <s v="UFMRT44J3X102L2"/>
    <s v="NS40G"/>
    <s v="UN"/>
    <n v="191"/>
    <n v="57.605556537142398"/>
    <n v="11002.661298594197"/>
    <x v="1"/>
  </r>
  <r>
    <s v="007"/>
    <s v="DC-DCE"/>
    <s v="UFMRT45J4X102R2"/>
    <s v="NS60"/>
    <s v="UN"/>
    <n v="1329"/>
    <n v="68.015238052007305"/>
    <n v="90392.251371117702"/>
    <x v="1"/>
  </r>
  <r>
    <s v="007"/>
    <s v="DC-DCE"/>
    <s v="UFM55J6X172R2"/>
    <s v="D23"/>
    <s v="UN"/>
    <n v="84"/>
    <n v="91.295004755193148"/>
    <n v="7668.7803994362248"/>
    <x v="1"/>
  </r>
  <r>
    <s v="007"/>
    <s v="DC-DCE"/>
    <s v="UFM56J7X102L2"/>
    <s v="D26G"/>
    <s v="UN"/>
    <n v="970"/>
    <n v="96.938008737320715"/>
    <n v="94029.868475201089"/>
    <x v="1"/>
  </r>
  <r>
    <s v="007"/>
    <s v="DC-DCE"/>
    <s v="UFM56J7X102R2"/>
    <s v="D26D"/>
    <s v="UN"/>
    <n v="753"/>
    <n v="102.65399824172911"/>
    <n v="77298.460676022019"/>
    <x v="1"/>
  </r>
  <r>
    <s v="007"/>
    <s v="DC-DCE"/>
    <s v="M78J0X172L1Z44"/>
    <s v="D31G"/>
    <s v="UN"/>
    <n v="395"/>
    <n v="140.21211837489781"/>
    <n v="55383.786758084636"/>
    <x v="2"/>
  </r>
  <r>
    <s v="007"/>
    <s v="DC-DCE"/>
    <s v="M78J0X172R1Z44"/>
    <s v="D31D"/>
    <s v="UN"/>
    <n v="120"/>
    <n v="140.21211837489781"/>
    <n v="16825.454204987738"/>
    <x v="2"/>
  </r>
  <r>
    <s v="007"/>
    <s v="DC-DCE"/>
    <s v="LB44L1K072L1S12"/>
    <s v="PL1G"/>
    <s v="UN"/>
    <n v="78"/>
    <n v="63.916314169503288"/>
    <n v="4985.4725052212561"/>
    <x v="1"/>
  </r>
  <r>
    <s v="007"/>
    <s v="DC-DCE"/>
    <s v="UFLB55L2K072R2"/>
    <s v="PL2"/>
    <s v="UN"/>
    <n v="6"/>
    <n v="66.041264241858556"/>
    <n v="396.24758545115134"/>
    <x v="1"/>
  </r>
  <r>
    <s v="007"/>
    <s v="DC-DCE"/>
    <s v="LB55L2K072L1S12"/>
    <s v="PL2G"/>
    <s v="UN"/>
    <n v="35"/>
    <n v="76.691342354007034"/>
    <n v="2684.1969823902464"/>
    <x v="1"/>
  </r>
  <r>
    <s v="007"/>
    <s v="DC-DCE"/>
    <s v="UFLB88L5K072R2"/>
    <s v="PL5"/>
    <s v="UN"/>
    <n v="513"/>
    <n v="101.10925669356116"/>
    <n v="51869.048683796878"/>
    <x v="1"/>
  </r>
  <r>
    <s v="007"/>
    <s v="DC-DCE"/>
    <s v="UFLB00L6K5172R2"/>
    <s v="PL6MF"/>
    <s v="UN"/>
    <n v="564"/>
    <n v="137.56191368150289"/>
    <n v="77584.919316367625"/>
    <x v="1"/>
  </r>
  <r>
    <s v="007"/>
    <s v="DC-DCE"/>
    <s v="UFM55M10F043L2"/>
    <s v="PM10"/>
    <s v="UN"/>
    <n v="1125"/>
    <n v="81.213788257329114"/>
    <n v="91365.511789495256"/>
    <x v="1"/>
  </r>
  <r>
    <s v="007"/>
    <s v="DC-DCE"/>
    <s v="UFMSP55M10F042L1"/>
    <s v="BAT FINIE M10 PREMIUM"/>
    <s v="UN"/>
    <n v="535"/>
    <n v="89.94746759559122"/>
    <n v="48121.895163641304"/>
    <x v="1"/>
  </r>
  <r>
    <s v="007"/>
    <s v="DC-DCE"/>
    <s v="UFM78M11F042L2"/>
    <s v="PM11SG"/>
    <s v="UN"/>
    <n v="104"/>
    <n v="119.25267938760871"/>
    <n v="12402.278656311306"/>
    <x v="1"/>
  </r>
  <r>
    <s v="007"/>
    <s v="DC-DCE"/>
    <s v="UFM77M12F043L2"/>
    <s v="PM12"/>
    <s v="UN"/>
    <n v="1090"/>
    <n v="114.83228081032046"/>
    <n v="125167.1860832493"/>
    <x v="1"/>
  </r>
  <r>
    <s v="007"/>
    <s v="DC-DCE"/>
    <s v="UFM88M12F042L2"/>
    <s v="PM12S"/>
    <s v="UN"/>
    <n v="176"/>
    <n v="129.11692918865256"/>
    <n v="22724.579537202851"/>
    <x v="1"/>
  </r>
  <r>
    <s v="007"/>
    <s v="DC-DCE"/>
    <s v="UFM89C98P5042R2"/>
    <s v="PM110"/>
    <s v="UN"/>
    <n v="287"/>
    <n v="148.47895189180289"/>
    <n v="42613.459192947434"/>
    <x v="1"/>
  </r>
  <r>
    <s v="007"/>
    <s v="DC-DCE"/>
    <s v="UFML34CF303L2"/>
    <s v="MAR16"/>
    <s v="UN"/>
    <n v="30"/>
    <n v="264.0754348043202"/>
    <n v="7922.263044129606"/>
    <x v="1"/>
  </r>
  <r>
    <s v="007"/>
    <s v="DC-DCE"/>
    <s v="UFMSP89AF003L2"/>
    <s v="M14"/>
    <s v="UN"/>
    <n v="1174"/>
    <n v="157.86791085795375"/>
    <n v="185336.92734723771"/>
    <x v="1"/>
  </r>
  <r>
    <s v="007"/>
    <s v="DC-DCE"/>
    <s v="UFMSP90BF003L2"/>
    <s v="M15"/>
    <s v="UN"/>
    <n v="21"/>
    <n v="184.86021851776422"/>
    <n v="3882.0645888730487"/>
    <x v="1"/>
  </r>
  <r>
    <s v="007"/>
    <s v="DC-DCE"/>
    <s v="UFML23CF003L2"/>
    <s v="M16"/>
    <s v="UN"/>
    <n v="105"/>
    <n v="211.2142103114667"/>
    <n v="22177.492082704004"/>
    <x v="1"/>
  </r>
  <r>
    <s v="007"/>
    <s v="DC-DCE"/>
    <s v="UFML34CDL002L2"/>
    <s v="M16 smf"/>
    <s v="UN"/>
    <n v="8"/>
    <n v="204.74763125696805"/>
    <n v="1637.9810500557444"/>
    <x v="1"/>
  </r>
  <r>
    <s v="007"/>
    <s v="DC-DCE"/>
    <s v="M55M10F043R1S13"/>
    <s v="PM10D"/>
    <s v="UN"/>
    <n v="44"/>
    <n v="95.71964480759506"/>
    <n v="4211.6643715341825"/>
    <x v="1"/>
  </r>
  <r>
    <s v="007"/>
    <s v="DC-DCE"/>
    <s v="MSP55M10F042R1S13"/>
    <s v="PM10SD"/>
    <s v="UN"/>
    <n v="100"/>
    <n v="97.468596265010717"/>
    <n v="9746.859626501071"/>
    <x v="2"/>
  </r>
  <r>
    <s v="007"/>
    <s v="DC-DCE"/>
    <s v="21S3EFB"/>
    <s v="21S3EFB"/>
    <s v="UN"/>
    <n v="128"/>
    <n v="154.21426812681023"/>
    <n v="19739.426320231709"/>
    <x v="1"/>
  </r>
  <r>
    <s v="007"/>
    <s v="DC-DCE"/>
    <s v="21S5EFB"/>
    <s v="21S5EFB"/>
    <s v="UN"/>
    <n v="239"/>
    <n v="200.0903661965707"/>
    <n v="47821.597520980395"/>
    <x v="1"/>
  </r>
  <r>
    <s v="007"/>
    <s v="DC-DCE"/>
    <s v="UFML12BDL002L2"/>
    <s v="M15S MF"/>
    <s v="UN"/>
    <n v="64"/>
    <n v="217.68217630957304"/>
    <n v="13931.659283812674"/>
    <x v="1"/>
  </r>
  <r>
    <s v="007"/>
    <s v="DC-DCE"/>
    <s v="21MF110"/>
    <s v="21MF110"/>
    <s v="UN"/>
    <n v="302"/>
    <n v="159.59694941386559"/>
    <n v="48198.278722987408"/>
    <x v="1"/>
  </r>
  <r>
    <s v="007"/>
    <s v="DC-DCE"/>
    <s v="21MF110E16"/>
    <s v="21MF110E16"/>
    <s v="UN"/>
    <n v="197"/>
    <n v="160.10382203415"/>
    <n v="31540.452940727551"/>
    <x v="1"/>
  </r>
  <r>
    <s v="007"/>
    <s v="DC-DCE"/>
    <s v="M44M10F043L1S122"/>
    <s v="10D31155165"/>
    <s v="UN"/>
    <n v="72"/>
    <n v="66.957540866666747"/>
    <n v="4820.9429424000054"/>
    <x v="1"/>
  </r>
  <r>
    <s v="007"/>
    <s v="DC-DCE"/>
    <s v="M45M10F042L1S122"/>
    <s v="10M10155258"/>
    <s v="UN"/>
    <n v="51"/>
    <n v="81.213788257329114"/>
    <n v="4141.903201123785"/>
    <x v="1"/>
  </r>
  <r>
    <s v="007"/>
    <s v="DC-DCE"/>
    <s v="UFM77M11F042L2"/>
    <s v="10M10233165"/>
    <s v="UN"/>
    <n v="66"/>
    <n v="107.9431281306293"/>
    <n v="7124.246456621534"/>
    <x v="1"/>
  </r>
  <r>
    <s v="007"/>
    <s v="DC-DCE"/>
    <s v="UFLB34L1K077R2"/>
    <s v="10M11155254"/>
    <s v="UN"/>
    <n v="219"/>
    <n v="65.632972530598181"/>
    <n v="14373.620984201001"/>
    <x v="1"/>
  </r>
  <r>
    <s v="007"/>
    <s v="DC-DCE"/>
    <s v="UFLB34L1P072R2"/>
    <s v="10M11233224"/>
    <s v="UN"/>
    <n v="106"/>
    <n v="65.632972530598181"/>
    <n v="6957.0950882434072"/>
    <x v="1"/>
  </r>
  <r>
    <s v="007"/>
    <s v="DC-DCE"/>
    <s v="UFLB45L2K073R2"/>
    <s v="10L1H133165"/>
    <s v="UN"/>
    <n v="60"/>
    <n v="65.466482910695433"/>
    <n v="3927.9889746417261"/>
    <x v="1"/>
  </r>
  <r>
    <s v="007"/>
    <s v="DC-DCE"/>
    <s v="UFLB55L2P072L2"/>
    <s v="12L1H155255"/>
    <s v="UN"/>
    <n v="8"/>
    <n v="59.791362391731219"/>
    <n v="478.33089913384975"/>
    <x v="1"/>
  </r>
  <r>
    <s v="007"/>
    <s v="DC-DCE"/>
    <s v="UFLB66L3P072R2"/>
    <s v="10L2H133165"/>
    <s v="UN"/>
    <n v="76"/>
    <n v="79.497368821645978"/>
    <n v="6041.8000304450943"/>
    <x v="1"/>
  </r>
  <r>
    <s v="007"/>
    <s v="DC-DCE"/>
    <s v="UFMSP99BF003L2"/>
    <s v="10L2H233165"/>
    <s v="UN"/>
    <n v="68"/>
    <n v="187.94070714060348"/>
    <n v="12779.968085561037"/>
    <x v="1"/>
  </r>
  <r>
    <s v="007"/>
    <s v="DC-DCE"/>
    <s v="10L2H233331"/>
    <s v="10L2H233331"/>
    <s v="UN"/>
    <n v="22"/>
    <n v="66.041264241858556"/>
    <n v="1452.9078133208882"/>
    <x v="2"/>
  </r>
  <r>
    <s v="007"/>
    <s v="DC-DCE"/>
    <s v="UFLB78L5K073R2"/>
    <s v="10L5H133165"/>
    <s v="UN"/>
    <n v="19"/>
    <n v="87.635225844616713"/>
    <n v="1665.0692910477176"/>
    <x v="1"/>
  </r>
  <r>
    <s v="007"/>
    <s v="DC-DCE"/>
    <s v="MSP88AF003L1S13"/>
    <s v="10M14133141"/>
    <s v="UN"/>
    <n v="27"/>
    <n v="163.73729882871604"/>
    <n v="4420.9070683753325"/>
    <x v="2"/>
  </r>
  <r>
    <s v="007"/>
    <s v="DC-DCE"/>
    <s v="M56J7X002L1S121"/>
    <s v="D26 G 5/5"/>
    <s v="UN"/>
    <n v="35"/>
    <n v="102.65399824172911"/>
    <n v="3592.8899384605188"/>
    <x v="1"/>
  </r>
  <r>
    <s v="007"/>
    <s v="DC-DCE"/>
    <s v="UFLB45B2W072R2"/>
    <s v="L2B D 4/5"/>
    <s v="UN"/>
    <n v="3"/>
    <n v="65.258463097092985"/>
    <n v="195.77538929127894"/>
    <x v="1"/>
  </r>
  <r>
    <s v="007"/>
    <s v="DC-DCE"/>
    <s v="LB33L1K077R1S122"/>
    <s v="L1 N/N 3/3"/>
    <s v="UN"/>
    <n v="200"/>
    <n v="51.993700479736873"/>
    <n v="10398.740095947374"/>
    <x v="2"/>
  </r>
  <r>
    <s v="007"/>
    <s v="DC-DCE"/>
    <s v="UFLB34L2K073R2"/>
    <s v="L2 N/N 4/4"/>
    <s v="UN"/>
    <n v="54"/>
    <n v="50.343119318817088"/>
    <n v="2718.5284432161229"/>
    <x v="1"/>
  </r>
  <r>
    <s v="007"/>
    <s v="DC-DCE"/>
    <s v="UFLB45L3K073R2"/>
    <s v="L3 N/N 5/5"/>
    <s v="UN"/>
    <n v="96"/>
    <n v="70.497159296462797"/>
    <n v="6767.7272924604285"/>
    <x v="1"/>
  </r>
  <r>
    <s v="007"/>
    <s v="DC-DCE"/>
    <s v="10PL5"/>
    <s v="L5 N/N 7/7"/>
    <s v="UN"/>
    <n v="87"/>
    <n v="101.10925669356116"/>
    <n v="8796.5053323398206"/>
    <x v="1"/>
  </r>
  <r>
    <s v="007"/>
    <s v="DC-DCE"/>
    <s v="UFLB55L1W172R2"/>
    <s v="S1"/>
    <s v="UN"/>
    <n v="572"/>
    <n v="66.134554018222957"/>
    <n v="37828.964898423532"/>
    <x v="1"/>
  </r>
  <r>
    <s v="007"/>
    <s v="DC-DCE"/>
    <s v="UFLB55B1K5172R2"/>
    <s v="S1B"/>
    <s v="UN"/>
    <n v="401"/>
    <n v="70.497159296462797"/>
    <n v="28269.360877881583"/>
    <x v="1"/>
  </r>
  <r>
    <s v="007"/>
    <s v="DC-DCE"/>
    <s v="UFLB66B2W172R1Z55"/>
    <s v="S2B"/>
    <s v="UN"/>
    <n v="361"/>
    <n v="83.397366448101963"/>
    <n v="30106.449287764808"/>
    <x v="1"/>
  </r>
  <r>
    <s v="007"/>
    <s v="DC-DCE"/>
    <s v="UFLB77L3W172R2"/>
    <s v="S3"/>
    <s v="UN"/>
    <n v="259"/>
    <n v="85.110514865913331"/>
    <n v="22043.623350271551"/>
    <x v="1"/>
  </r>
  <r>
    <s v="007"/>
    <s v="DC-DCE"/>
    <s v="UFLB45B1W172R2"/>
    <s v="PRL1B"/>
    <s v="UN"/>
    <n v="1493"/>
    <n v="60.033893899112869"/>
    <n v="89630.603591375519"/>
    <x v="1"/>
  </r>
  <r>
    <s v="007"/>
    <s v="DC-DCE"/>
    <s v="UFLB45L1W172L2"/>
    <s v="PRL1G"/>
    <s v="UN"/>
    <n v="386"/>
    <n v="54.410420181950983"/>
    <n v="21002.422190233079"/>
    <x v="1"/>
  </r>
  <r>
    <s v="007"/>
    <s v="DC-DCE"/>
    <s v="UFLB56B2W172R2"/>
    <s v="PRL2B"/>
    <s v="UN"/>
    <n v="304"/>
    <n v="70.04604098953196"/>
    <n v="21293.996460817714"/>
    <x v="1"/>
  </r>
  <r>
    <s v="007"/>
    <s v="DC-DCE"/>
    <s v="UFLB56L2W172R2"/>
    <s v="PRL2"/>
    <s v="UN"/>
    <n v="192"/>
    <n v="77.485631905206517"/>
    <n v="14877.241325799652"/>
    <x v="1"/>
  </r>
  <r>
    <s v="007"/>
    <s v="DC-DCE"/>
    <s v="UFLB67B3W172R2"/>
    <s v="PRL3B"/>
    <s v="UN"/>
    <n v="528"/>
    <n v="81.580203449969304"/>
    <n v="43074.347421583792"/>
    <x v="1"/>
  </r>
  <r>
    <s v="007"/>
    <s v="DC-DCE"/>
    <s v="UFLB67L3W172R2"/>
    <s v="PRL3"/>
    <s v="UN"/>
    <n v="34"/>
    <n v="80.823564648000257"/>
    <n v="2748.0011980320087"/>
    <x v="1"/>
  </r>
  <r>
    <s v="007"/>
    <s v="DC-DCE"/>
    <s v="UFLB89L5W172R2"/>
    <s v="PRL5"/>
    <s v="UN"/>
    <n v="810"/>
    <n v="101.59952688767287"/>
    <n v="82295.616779015021"/>
    <x v="1"/>
  </r>
  <r>
    <s v="007"/>
    <s v="DC-DCE"/>
    <s v="MRT45J4X102L1J44"/>
    <s v="NS60G"/>
    <s v="UN"/>
    <n v="30"/>
    <n v="91.295004755193148"/>
    <n v="2738.8501426557946"/>
    <x v="2"/>
  </r>
  <r>
    <s v="007"/>
    <s v="DC-DCE"/>
    <s v="UFM55J6X172R2"/>
    <s v="D23"/>
    <s v="UN"/>
    <n v="99"/>
    <n v="91.295004755193148"/>
    <n v="9038.2054707641219"/>
    <x v="1"/>
  </r>
  <r>
    <s v="007"/>
    <s v="DC-DCE"/>
    <s v="UFM56J7X102R2"/>
    <s v="D26D"/>
    <s v="UN"/>
    <n v="6"/>
    <n v="102.65399824172911"/>
    <n v="615.92398945037462"/>
    <x v="1"/>
  </r>
  <r>
    <s v="007"/>
    <s v="DC-DCE"/>
    <s v="M78J0X172L1Z44"/>
    <s v="D31G"/>
    <s v="UN"/>
    <n v="44"/>
    <n v="140.21211837489781"/>
    <n v="6169.3332084955036"/>
    <x v="2"/>
  </r>
  <r>
    <s v="007"/>
    <s v="DC-DCE"/>
    <s v="M78J0X172R1Z44"/>
    <s v="D31D"/>
    <s v="UN"/>
    <n v="90"/>
    <n v="140.21211837489781"/>
    <n v="12619.090653740803"/>
    <x v="2"/>
  </r>
  <r>
    <s v="007"/>
    <s v="DC-DCE"/>
    <s v="M78J0X172L1Z44"/>
    <s v="D31G"/>
    <s v="UN"/>
    <n v="395"/>
    <n v="140.21211837489781"/>
    <n v="55383.786758084636"/>
    <x v="2"/>
  </r>
  <r>
    <s v="007"/>
    <s v="DC-DCE"/>
    <s v="UFLB45B1K5172R2"/>
    <s v="L1B KAMINA 4/5"/>
    <s v="UN"/>
    <n v="21"/>
    <n v="64.588885803460641"/>
    <n v="1356.3666018726735"/>
    <x v="1"/>
  </r>
  <r>
    <s v="007"/>
    <s v="DC-DCE"/>
    <s v="UFLB44B1K072R2"/>
    <s v="L1B KAMINA 4/4"/>
    <s v="UN"/>
    <n v="31"/>
    <n v="55.079538929631518"/>
    <n v="1707.465706818577"/>
    <x v="1"/>
  </r>
  <r>
    <s v="007"/>
    <s v="DC-DCE"/>
    <s v="UFLB55B2W172R2"/>
    <s v="L2B KAMINA 5/5"/>
    <s v="UN"/>
    <n v="207"/>
    <n v="59.791362391731219"/>
    <n v="12376.812015088362"/>
    <x v="1"/>
  </r>
  <r>
    <s v="007"/>
    <s v="DC-DCE"/>
    <s v="UFLB56L2K072R2"/>
    <s v="L2B KAMINA 5/6"/>
    <s v="UN"/>
    <n v="72"/>
    <n v="69.796520753384939"/>
    <n v="5025.3494942437155"/>
    <x v="1"/>
  </r>
  <r>
    <s v="007"/>
    <s v="DC-DCE"/>
    <s v="UFLB56L2K072R2"/>
    <s v="L2B KAMINA 5/6"/>
    <s v="UN"/>
    <n v="8"/>
    <n v="69.796520753384939"/>
    <n v="558.37216602707952"/>
    <x v="1"/>
  </r>
  <r>
    <s v="007"/>
    <s v="DC-DCE"/>
    <s v="LB66L2K172R1Z55"/>
    <s v="L2 KAMINA 6/6"/>
    <s v="UN"/>
    <n v="88"/>
    <n v="76.30927148045626"/>
    <n v="6715.2158902801511"/>
    <x v="2"/>
  </r>
  <r>
    <s v="007"/>
    <s v="DC-DCE"/>
    <s v="UFLB66B3K072R2"/>
    <s v="L3B KAMINA 6/6"/>
    <s v="UN"/>
    <n v="1621"/>
    <n v="76.30927148045626"/>
    <n v="123697.32906981959"/>
    <x v="1"/>
  </r>
  <r>
    <s v="007"/>
    <s v="DC-DCE"/>
    <s v="LB67B3K172R1Z44"/>
    <s v="L3B KAMINA 6/7"/>
    <s v="UN"/>
    <n v="583"/>
    <n v="88.471908571918888"/>
    <n v="51579.122697428713"/>
    <x v="2"/>
  </r>
  <r>
    <s v="007"/>
    <s v="DC-DCE"/>
    <s v="LB77B3K5172R1Z22"/>
    <s v="L3B KAMINA 7/7"/>
    <s v="UN"/>
    <n v="31"/>
    <n v="103.55478701637841"/>
    <n v="3210.198397507731"/>
    <x v="1"/>
  </r>
  <r>
    <s v="007"/>
    <s v="DC-DCE"/>
    <s v="LB67L3K072R1S12"/>
    <s v="L3 KAMINA 6/7"/>
    <s v="UN"/>
    <n v="432"/>
    <n v="87.096353812242896"/>
    <n v="37625.624846888932"/>
    <x v="2"/>
  </r>
  <r>
    <s v="007"/>
    <s v="DC-DCE"/>
    <s v="UFLB77L3K5172R2"/>
    <s v="L3 KAMINA 7/7"/>
    <s v="UN"/>
    <n v="1023"/>
    <n v="90.440563013426612"/>
    <n v="92520.695962735423"/>
    <x v="1"/>
  </r>
  <r>
    <s v="007"/>
    <s v="DC-DCE"/>
    <s v="UFLB88L5K072R2"/>
    <s v="PL5"/>
    <s v="UN"/>
    <n v="3"/>
    <n v="101.10925669356116"/>
    <n v="303.32777008068348"/>
    <x v="1"/>
  </r>
  <r>
    <s v="007"/>
    <s v="DC-DCE"/>
    <s v="LB89L5K072R1S12"/>
    <s v="L5 KAMINA 8/9"/>
    <s v="UN"/>
    <n v="26"/>
    <n v="119.49145785962052"/>
    <n v="3106.7779043501337"/>
    <x v="2"/>
  </r>
  <r>
    <s v="007"/>
    <s v="DC-DCE"/>
    <s v="UFMRT45J4X102L2"/>
    <s v="NS60 G 4/5 HH BF"/>
    <s v="UN"/>
    <n v="60"/>
    <n v="61.78861078020703"/>
    <n v="3707.3166468124218"/>
    <x v="1"/>
  </r>
  <r>
    <s v="007"/>
    <s v="DC-DCE"/>
    <s v="UFMRT45J4X102L2"/>
    <s v="NS60 G 4/5 HH BF"/>
    <s v="UN"/>
    <n v="39"/>
    <n v="61.78861078020703"/>
    <n v="2409.755820428074"/>
    <x v="1"/>
  </r>
  <r>
    <s v="007"/>
    <s v="DC-DCE"/>
    <s v="UFM145J7X172R2"/>
    <s v="D26 G 4/5 HH"/>
    <s v="UN"/>
    <n v="106"/>
    <n v="86.56512100181402"/>
    <n v="9175.9028261922867"/>
    <x v="1"/>
  </r>
  <r>
    <s v="007"/>
    <s v="DC-DCE"/>
    <s v="UFM145J7X172R2"/>
    <s v="D26 G 4/5 HH"/>
    <s v="UN"/>
    <n v="114"/>
    <n v="86.56512100181402"/>
    <n v="9868.4237942067975"/>
    <x v="1"/>
  </r>
  <r>
    <s v="007"/>
    <s v="DC-DCE"/>
    <s v="UF10D31"/>
    <s v="D31 G 5/5 HH"/>
    <s v="UN"/>
    <n v="101"/>
    <n v="108.50455003875163"/>
    <n v="10958.959553913915"/>
    <x v="1"/>
  </r>
  <r>
    <s v="007"/>
    <s v="DC-DCE"/>
    <s v="UF10D31"/>
    <s v="D31 D 5/5 HH"/>
    <s v="UN"/>
    <n v="97"/>
    <n v="108.50455003875163"/>
    <n v="10524.941353758908"/>
    <x v="1"/>
  </r>
  <r>
    <s v="007"/>
    <s v="CH01"/>
    <s v="LB55L1W172R1Z55"/>
    <m/>
    <s v="UN"/>
    <n v="5"/>
    <n v="72.685741473669125"/>
    <n v="363.42870736834561"/>
    <x v="2"/>
  </r>
  <r>
    <s v="007"/>
    <s v="CH01"/>
    <s v="LB66L2W172R1Z55"/>
    <m/>
    <s v="UN"/>
    <n v="26"/>
    <n v="83.18852910446428"/>
    <n v="2162.9017567160713"/>
    <x v="2"/>
  </r>
  <r>
    <s v="007"/>
    <s v="CH01"/>
    <s v="LB77L3W172R1Z55"/>
    <m/>
    <s v="UN"/>
    <n v="1"/>
    <n v="93.656713247244056"/>
    <n v="93.656713247244056"/>
    <x v="2"/>
  </r>
  <r>
    <s v="007"/>
    <s v="CH01"/>
    <s v="LB90L5W172R1Z55"/>
    <m/>
    <s v="UN"/>
    <n v="37"/>
    <n v="126.58860491485309"/>
    <n v="4683.7783818495645"/>
    <x v="2"/>
  </r>
  <r>
    <s v="007"/>
    <s v="CH01"/>
    <s v="LB67B3W172R1Z44"/>
    <m/>
    <s v="UN"/>
    <n v="1"/>
    <n v="90.283204096625596"/>
    <n v="90.283204096625596"/>
    <x v="2"/>
  </r>
  <r>
    <s v="007"/>
    <s v="CH01"/>
    <s v="LB67L3W172R1Z44"/>
    <m/>
    <s v="UN"/>
    <n v="2"/>
    <n v="88.779786180633138"/>
    <n v="177.55957236126628"/>
    <x v="2"/>
  </r>
  <r>
    <s v="007"/>
    <s v="CH01"/>
    <s v="MRT44J3X102R1Z44"/>
    <s v="NS40D"/>
    <s v="UN"/>
    <n v="2"/>
    <n v="58.941708747640163"/>
    <n v="117.88341749528033"/>
    <x v="2"/>
  </r>
  <r>
    <s v="007"/>
    <s v="CH01"/>
    <s v="MRT45J4X102R1Z44"/>
    <s v="NS60"/>
    <s v="UN"/>
    <n v="1"/>
    <n v="74.372386813765175"/>
    <n v="74.372386813765175"/>
    <x v="2"/>
  </r>
  <r>
    <s v="007"/>
    <s v="CH01"/>
    <s v="M56J7X102L1Z44"/>
    <m/>
    <s v="UN"/>
    <n v="1"/>
    <n v="110.47926111267003"/>
    <n v="110.47926111267003"/>
    <x v="2"/>
  </r>
  <r>
    <s v="007"/>
    <s v="CH01"/>
    <s v="M56J7X102R1Z44"/>
    <m/>
    <s v="UN"/>
    <n v="3"/>
    <n v="113.67016699885335"/>
    <n v="341.01050099656004"/>
    <x v="2"/>
  </r>
  <r>
    <s v="007"/>
    <s v="CH01"/>
    <s v="M78J0X172L1Z44"/>
    <s v="BATTERIE FINIE D31"/>
    <s v="UN"/>
    <n v="12"/>
    <n v="140.21211837489781"/>
    <n v="1682.5454204987736"/>
    <x v="2"/>
  </r>
  <r>
    <s v="007"/>
    <s v="CH01"/>
    <s v="M78J0X172R1Z44"/>
    <s v="BATTERIE FINIE D31"/>
    <s v="UN"/>
    <n v="9"/>
    <n v="140.21211837489781"/>
    <n v="1261.9090653740802"/>
    <x v="2"/>
  </r>
  <r>
    <s v="007"/>
    <s v="CH01"/>
    <s v="LB44L1K072R1S12"/>
    <m/>
    <s v="UN"/>
    <n v="2"/>
    <n v="67.465775052437905"/>
    <n v="134.93155010487581"/>
    <x v="2"/>
  </r>
  <r>
    <s v="007"/>
    <s v="CH01"/>
    <s v="LB66L3K072R1S12"/>
    <m/>
    <s v="UN"/>
    <n v="26"/>
    <n v="93.268688780299371"/>
    <n v="2424.9859082877838"/>
    <x v="2"/>
  </r>
  <r>
    <s v="007"/>
    <s v="CH01"/>
    <s v="LB88L5K072R1S12"/>
    <m/>
    <s v="UN"/>
    <n v="1"/>
    <n v="108.2019760944152"/>
    <n v="108.2019760944152"/>
    <x v="2"/>
  </r>
  <r>
    <s v="007"/>
    <s v="CH01"/>
    <s v="LB00L6K5072R1S12"/>
    <m/>
    <s v="UN"/>
    <n v="37"/>
    <n v="155.10987712536115"/>
    <n v="5739.0654536383627"/>
    <x v="2"/>
  </r>
  <r>
    <s v="007"/>
    <s v="CH01"/>
    <s v="MSP55M10F042L1S13"/>
    <m/>
    <s v="UN"/>
    <n v="6"/>
    <n v="97.468596265010717"/>
    <n v="584.8115775900643"/>
    <x v="2"/>
  </r>
  <r>
    <s v="007"/>
    <s v="CH01"/>
    <s v="M88M12F042L1S13"/>
    <m/>
    <s v="UN"/>
    <n v="4"/>
    <n v="142.31511267353068"/>
    <n v="569.26045069412271"/>
    <x v="2"/>
  </r>
  <r>
    <s v="007"/>
    <s v="CH01"/>
    <s v="ML34CF303L1X12"/>
    <m/>
    <s v="UN"/>
    <n v="30"/>
    <n v="286.52274291242145"/>
    <n v="8595.6822873726433"/>
    <x v="2"/>
  </r>
  <r>
    <s v="007"/>
    <s v="CH01"/>
    <s v="MSP89AF003L1S13"/>
    <m/>
    <s v="UN"/>
    <n v="2"/>
    <n v="171.04008668587466"/>
    <n v="342.08017337174931"/>
    <x v="2"/>
  </r>
  <r>
    <s v="007"/>
    <s v="CH01"/>
    <s v="MSP90BF003L1S13"/>
    <m/>
    <s v="UN"/>
    <n v="6"/>
    <n v="199.77070244438534"/>
    <n v="1198.6242146663121"/>
    <x v="2"/>
  </r>
  <r>
    <s v="007"/>
    <s v="CH01"/>
    <s v="MSP12BF003L1S13"/>
    <s v="BATTERIE FINIE TR15S"/>
    <s v="UN"/>
    <n v="10"/>
    <n v="219.08"/>
    <n v="2190.8000000000002"/>
    <x v="2"/>
  </r>
  <r>
    <s v="007"/>
    <s v="CH01"/>
    <s v="ML23CF003L1S13"/>
    <m/>
    <s v="UN"/>
    <n v="1"/>
    <n v="228.32164206822068"/>
    <n v="228.32164206822068"/>
    <x v="2"/>
  </r>
  <r>
    <s v="007"/>
    <s v="CH01"/>
    <s v="ML23CF003L1X13"/>
    <s v="BATTERIE FINIE TR16"/>
    <s v="UN"/>
    <n v="1"/>
    <n v="249.51965932105838"/>
    <n v="249.51965932105838"/>
    <x v="2"/>
  </r>
  <r>
    <s v="007"/>
    <s v="CH01"/>
    <s v="MSP55M10F042R1S13"/>
    <s v="BAT FINIE M10 PREMIUM"/>
    <s v="UN"/>
    <n v="1"/>
    <n v="89.94746759559122"/>
    <n v="89.94746759559122"/>
    <x v="2"/>
  </r>
  <r>
    <s v="007"/>
    <s v="CH01"/>
    <s v="LB55B1W172R1Z55"/>
    <m/>
    <s v="UN"/>
    <n v="5"/>
    <n v="71.763322608181909"/>
    <n v="358.81661304090954"/>
    <x v="2"/>
  </r>
  <r>
    <s v="007"/>
    <s v="CH01"/>
    <s v="LB66B2W172R1Z55"/>
    <m/>
    <s v="UN"/>
    <n v="1"/>
    <n v="87.272045424390939"/>
    <n v="87.272045424390939"/>
    <x v="2"/>
  </r>
  <r>
    <s v="007"/>
    <s v="CH01"/>
    <s v="LB77B3W172R1Z55"/>
    <m/>
    <s v="UN"/>
    <n v="1"/>
    <n v="93.598755060087385"/>
    <n v="93.598755060087385"/>
    <x v="2"/>
  </r>
  <r>
    <s v="007"/>
    <s v="CH01"/>
    <s v="LB56B2W172R1Z44"/>
    <m/>
    <s v="UN"/>
    <n v="4"/>
    <n v="78.019203624395047"/>
    <n v="312.07681449758019"/>
    <x v="2"/>
  </r>
  <r>
    <s v="007"/>
    <s v="CH01"/>
    <s v="LB89L5W172R1Z44"/>
    <m/>
    <s v="UN"/>
    <n v="19"/>
    <n v="128.63333770081582"/>
    <n v="2444.0334163155003"/>
    <x v="2"/>
  </r>
  <r>
    <s v="007"/>
    <s v="CH01"/>
    <s v="M166J0X172L1"/>
    <s v="D31G"/>
    <s v="UN"/>
    <n v="2"/>
    <n v="123.16192308170614"/>
    <n v="246.32384616341227"/>
    <x v="2"/>
  </r>
  <r>
    <s v="007"/>
    <s v="CH01"/>
    <s v="M166J0X172R1"/>
    <s v="D31D"/>
    <s v="UN"/>
    <n v="5"/>
    <n v="119.2106003741703"/>
    <n v="596.05300187085152"/>
    <x v="2"/>
  </r>
  <r>
    <s v="05"/>
    <s v="GR01"/>
    <s v="351OGIN"/>
    <s v="PL  OGI-"/>
    <s v="KG"/>
    <n v="639.9"/>
    <n v="7.0506304738667156"/>
    <n v="4511.698440227311"/>
    <x v="1"/>
  </r>
  <r>
    <s v="05"/>
    <s v="GR01"/>
    <s v="351OGIP"/>
    <s v="PL  OGI+"/>
    <s v="KG"/>
    <n v="84.215999999999994"/>
    <n v="7.6650690415057579"/>
    <n v="645.52145439944888"/>
    <x v="1"/>
  </r>
  <r>
    <s v="05"/>
    <s v="GR01"/>
    <s v="351PE274"/>
    <s v="PL 274EX"/>
    <s v="KG"/>
    <n v="213.2"/>
    <n v="7.4361530964440723"/>
    <n v="1585.3878401618761"/>
    <x v="1"/>
  </r>
  <r>
    <s v="05"/>
    <s v="GR01"/>
    <s v="351PE289"/>
    <s v="PL 289 EX"/>
    <s v="KG"/>
    <n v="822.68600000000004"/>
    <n v="7.7544167830568647"/>
    <n v="6379.4501255859204"/>
    <x v="1"/>
  </r>
  <r>
    <s v="05"/>
    <s v="GR01"/>
    <s v="351PE315"/>
    <s v="PL 315 EX"/>
    <s v="KG"/>
    <n v="121.2"/>
    <n v="8.4769598691220054"/>
    <n v="1027.4075361375872"/>
    <x v="1"/>
  </r>
  <r>
    <s v="05"/>
    <s v="GR01"/>
    <s v="351PE399"/>
    <s v="PL 399EX"/>
    <s v="KG"/>
    <n v="477.59999999999997"/>
    <n v="8.5028180959957549"/>
    <n v="4060.9459226475724"/>
    <x v="1"/>
  </r>
  <r>
    <s v="05"/>
    <s v="GR01"/>
    <s v="351PE429"/>
    <s v="PL 429 EX"/>
    <s v="KG"/>
    <n v="575.83000000000004"/>
    <n v="8.832298905597483"/>
    <n v="5085.9026788101992"/>
    <x v="1"/>
  </r>
  <r>
    <s v="05"/>
    <s v="GR01"/>
    <s v="351PE534"/>
    <s v="PL 534 EX"/>
    <s v="KG"/>
    <n v="1194.2349999999999"/>
    <n v="8.8391259371829669"/>
    <n v="10555.993563591699"/>
    <x v="1"/>
  </r>
  <r>
    <s v="05"/>
    <s v="GR01"/>
    <s v="351PI204"/>
    <s v="PL 204 IN"/>
    <s v="KG"/>
    <n v="33.6"/>
    <n v="8.0921512644837961"/>
    <n v="271.89628248665554"/>
    <x v="1"/>
  </r>
  <r>
    <s v="05"/>
    <s v="GR01"/>
    <s v="351PI274"/>
    <s v="PL 274 IN"/>
    <s v="KG"/>
    <n v="190.5"/>
    <n v="7.4283869622155629"/>
    <n v="1415.1077163020648"/>
    <x v="1"/>
  </r>
  <r>
    <s v="05"/>
    <s v="GR01"/>
    <s v="351PI289"/>
    <s v="PL 289 IN"/>
    <s v="KG"/>
    <m/>
    <n v="7.7544167830568647"/>
    <n v="0"/>
    <x v="1"/>
  </r>
  <r>
    <s v="05"/>
    <s v="GR01"/>
    <s v="351PI399"/>
    <s v="PL 399 IN"/>
    <s v="KG"/>
    <n v="1314"/>
    <n v="7.3772161732989794"/>
    <n v="9693.6620517148585"/>
    <x v="1"/>
  </r>
  <r>
    <s v="05"/>
    <s v="GR01"/>
    <s v="351PI429"/>
    <s v="PL 429 IN"/>
    <s v="KG"/>
    <n v="259.38"/>
    <n v="8.7299647277285519"/>
    <n v="2264.3782510782316"/>
    <x v="1"/>
  </r>
  <r>
    <s v="05"/>
    <s v="GR01"/>
    <s v="351PI534"/>
    <s v="PL 534 IN"/>
    <s v="KG"/>
    <n v="1255.8"/>
    <n v="8.6902090225683519"/>
    <n v="10913.164490541336"/>
    <x v="1"/>
  </r>
  <r>
    <s v="05"/>
    <s v="GR01"/>
    <s v="351PT274"/>
    <s v="PL 274 TUB"/>
    <s v="KG"/>
    <n v="19.37"/>
    <n v="6.8178738539770114"/>
    <n v="132.0622165515347"/>
    <x v="1"/>
  </r>
  <r>
    <s v="05"/>
    <s v="GR01"/>
    <s v="351PT315"/>
    <s v="PL 315 TUB"/>
    <s v="KG"/>
    <n v="40.020000000000003"/>
    <n v="6.8589529357986541"/>
    <n v="274.49529649066216"/>
    <x v="1"/>
  </r>
  <r>
    <s v="05"/>
    <s v="GR01"/>
    <s v="351PT399"/>
    <s v="PL 399 TUB"/>
    <s v="KG"/>
    <n v="648.1160000000001"/>
    <n v="6.5569278975198806"/>
    <n v="4249.6498812289956"/>
    <x v="1"/>
  </r>
  <r>
    <s v="05"/>
    <s v="GR01"/>
    <s v="351PT534"/>
    <s v="PL 534 TUB"/>
    <s v="KG"/>
    <n v="151.76"/>
    <n v="6.2847301690408353"/>
    <n v="953.77065045363713"/>
    <x v="1"/>
  </r>
  <r>
    <s v="05"/>
    <s v="GR01"/>
    <s v="351PT429"/>
    <s v="PL 429 TUB"/>
    <s v="KG"/>
    <n v="959.4"/>
    <n v="6.3979047810123637"/>
    <n v="6138.1498469032613"/>
    <x v="1"/>
  </r>
  <r>
    <s v="05"/>
    <s v="GR01"/>
    <s v="351PT204"/>
    <s v="PL 204 TIBULAIRE"/>
    <s v="KG"/>
    <n v="22.324999999999999"/>
    <n v="7.8756609838037219"/>
    <n v="175.8241314634181"/>
    <x v="0"/>
  </r>
  <r>
    <s v="05"/>
    <s v="GR01"/>
    <s v="351PI315"/>
    <s v="PL 315 INTERNE"/>
    <s v="KG"/>
    <n v="557.26"/>
    <n v="8.4029636771717744"/>
    <n v="4682.635538740743"/>
    <x v="0"/>
  </r>
  <r>
    <s v="05"/>
    <s v="GR01"/>
    <s v="322GI534"/>
    <s v="GRILLE INTERNE 534"/>
    <s v="KG"/>
    <n v="126"/>
    <n v="6.9041202636019259"/>
    <n v="869.91915321384261"/>
    <x v="0"/>
  </r>
  <r>
    <s v="05"/>
    <s v="GR01"/>
    <s v="322GT429"/>
    <s v="GRILLE TIBULAIRE 429"/>
    <s v="KG"/>
    <n v="46.050000000000004"/>
    <n v="6.9119990407504748"/>
    <n v="318.2975558265594"/>
    <x v="0"/>
  </r>
  <r>
    <s v="05"/>
    <s v="GR01"/>
    <s v="322GI429"/>
    <s v="grille INTERNE 429"/>
    <s v="KG"/>
    <n v="103.49999999999999"/>
    <n v="7.5629554991898136"/>
    <n v="782.76589416614559"/>
    <x v="0"/>
  </r>
  <r>
    <s v="05"/>
    <s v="GR01"/>
    <s v="322GT399"/>
    <s v="grille  TIBULAIRE 399"/>
    <s v="KG"/>
    <n v="235.44"/>
    <n v="6.8663267071618215"/>
    <n v="1616.6079599341792"/>
    <x v="1"/>
  </r>
  <r>
    <s v="05"/>
    <s v="GR01"/>
    <s v="322GT274"/>
    <s v="grille TIBULAIRE 274"/>
    <s v="KG"/>
    <n v="237.3"/>
    <n v="6.8987045098292814"/>
    <n v="1637.0625801824885"/>
    <x v="1"/>
  </r>
  <r>
    <s v="05"/>
    <s v="GR01"/>
    <s v="322GT204"/>
    <s v="grille TIBULAIRE 204"/>
    <s v="KG"/>
    <n v="144"/>
    <n v="6.9313281354440477"/>
    <n v="998.11125150394287"/>
    <x v="1"/>
  </r>
  <r>
    <s v="05"/>
    <s v="GR01"/>
    <s v="320OGI"/>
    <s v="GRILLE OGI  "/>
    <s v="KG"/>
    <n v="616.1"/>
    <n v="6.8663267071618224"/>
    <n v="4230.3438842823989"/>
    <x v="1"/>
  </r>
  <r>
    <s v="05"/>
    <s v="GR01"/>
    <s v="320OGT"/>
    <s v="GRILLE TIBULAIRE"/>
    <s v="KG"/>
    <n v="540"/>
    <n v="7.0286889224747169"/>
    <n v="3795.4920181363473"/>
    <x v="0"/>
  </r>
  <r>
    <s v="05"/>
    <s v="GR01"/>
    <s v="600P0004"/>
    <s v="PLOMB 1,8%"/>
    <m/>
    <n v="4664"/>
    <n v="5.6104583436708264"/>
    <n v="26167.177714880734"/>
    <x v="0"/>
  </r>
  <r>
    <s v="007"/>
    <s v="labo"/>
    <s v="M78J0X002L1S13"/>
    <s v="BATTERIE FINIE D31"/>
    <s v="Unité"/>
    <n v="7"/>
    <n v="140.21211837489781"/>
    <n v="981.48482862428466"/>
    <x v="0"/>
  </r>
  <r>
    <s v="007"/>
    <s v="labo"/>
    <s v="10NS40"/>
    <s v="BATTERIE NS40D PREMIUM"/>
    <s v="Unité"/>
    <n v="2"/>
    <n v="78.140734266829696"/>
    <n v="156.28146853365939"/>
    <x v="0"/>
  </r>
  <r>
    <s v="007"/>
    <s v="labo"/>
    <s v="LB55L2K072R1S13"/>
    <s v="BATTERIE FINIE PL2"/>
    <s v="Unité"/>
    <n v="2"/>
    <n v="76.691342354007034"/>
    <n v="153.38268470801407"/>
    <x v="0"/>
  </r>
  <r>
    <s v="007"/>
    <s v="labo"/>
    <s v="M56J7X002R1S13"/>
    <s v="BATTERIE FINIE D26"/>
    <s v="Unité"/>
    <n v="2"/>
    <n v="98.857988630945627"/>
    <n v="197.71597726189125"/>
    <x v="0"/>
  </r>
  <r>
    <s v="007"/>
    <s v="labo"/>
    <s v="LB77L3K5172R1Z22"/>
    <s v="BATT. L3 SMART [S.E]"/>
    <s v="Unité"/>
    <n v="2"/>
    <n v="109.93111322585349"/>
    <n v="219.86222645170699"/>
    <x v="0"/>
  </r>
  <r>
    <s v="007"/>
    <s v="labo"/>
    <s v="LB67L3K5172R1S13"/>
    <s v="BATT L3 PREMIUM"/>
    <s v="Unité"/>
    <n v="2"/>
    <n v="87.096353812242896"/>
    <n v="174.19270762448579"/>
    <x v="0"/>
  </r>
  <r>
    <s v="007"/>
    <s v="labo"/>
    <s v="M77M11F042L1S122"/>
    <s v="BATTERIE FINIE M11D"/>
    <s v="Unité"/>
    <n v="2"/>
    <n v="131.13418290345163"/>
    <n v="262.26836580690326"/>
    <x v="0"/>
  </r>
  <r>
    <s v="007"/>
    <s v="labo"/>
    <s v="M78M11F042L1S13"/>
    <s v="BAT FINIE M11 PREMIUM"/>
    <s v="Unité"/>
    <n v="2"/>
    <n v="129.06362574974258"/>
    <n v="258.12725149948517"/>
    <x v="2"/>
  </r>
  <r>
    <s v="007"/>
    <s v="labo"/>
    <s v="MSP99BF003L1S122"/>
    <s v="BATTERIE FINIE M15 POWER"/>
    <s v="Unité"/>
    <n v="2"/>
    <n v="213.446854510154"/>
    <n v="426.89370902030799"/>
    <x v="2"/>
  </r>
  <r>
    <s v="007"/>
    <s v="labo"/>
    <s v="MSP12BF003L1S13"/>
    <s v="BATTERIE FINIE TR15S"/>
    <s v="Unité"/>
    <n v="2"/>
    <n v="219.08"/>
    <n v="438.16"/>
    <x v="2"/>
  </r>
  <r>
    <s v="007"/>
    <s v="labo"/>
    <s v="MSP88AF003L1S13"/>
    <s v="10M14133141"/>
    <s v="Unité"/>
    <n v="2"/>
    <n v="163.73729882871604"/>
    <n v="327.47459765743207"/>
    <x v="2"/>
  </r>
  <r>
    <s v="007"/>
    <s v="labo"/>
    <s v="M55M10F043L1S13"/>
    <s v="BATT FINIE M10 STA"/>
    <s v="Unité"/>
    <n v="2"/>
    <n v="88.159978085742637"/>
    <n v="176.31995617148527"/>
    <x v="2"/>
  </r>
  <r>
    <s v="007"/>
    <s v="labo"/>
    <s v="M89C98P5042R1S13"/>
    <s v="BATTERIE FINIE PR110"/>
    <s v="Unité"/>
    <n v="2"/>
    <n v="160.50202787217594"/>
    <n v="321.00405574435189"/>
    <x v="2"/>
  </r>
  <r>
    <s v="007"/>
    <s v="labo"/>
    <s v="LB90L5W172R1Z55"/>
    <s v="BATT. L5 SMART [S.E]"/>
    <s v="Unité"/>
    <n v="2"/>
    <n v="126.58860491485309"/>
    <n v="253.17720982970619"/>
    <x v="2"/>
  </r>
  <r>
    <s v="007"/>
    <s v="labo"/>
    <s v="LB00L6K5172R1Z22"/>
    <s v="BATTERIE FINIE L6 SMART"/>
    <s v="Unité"/>
    <n v="2"/>
    <n v="143.15003520193218"/>
    <n v="286.30007040386437"/>
    <x v="0"/>
  </r>
  <r>
    <s v="007"/>
    <s v="labo"/>
    <s v="M77M12F043L1S13"/>
    <s v="BATT FINIE M12"/>
    <s v="Unité"/>
    <n v="1"/>
    <n v="124.64288361726786"/>
    <n v="124.64288361726786"/>
    <x v="2"/>
  </r>
  <r>
    <s v="007"/>
    <s v="camion"/>
    <s v="UFML90BF002L2"/>
    <s v="M15 9/10"/>
    <m/>
    <n v="11"/>
    <n v="184.86021851776422"/>
    <n v="2033.4624036954065"/>
    <x v="0"/>
  </r>
  <r>
    <s v="007"/>
    <s v="camion"/>
    <s v="UFLB56L2W172R2"/>
    <s v="L2 5/6 SMF"/>
    <m/>
    <n v="18"/>
    <n v="77.485631905206517"/>
    <n v="1394.7413742937174"/>
    <x v="1"/>
  </r>
  <r>
    <s v="007"/>
    <s v="camion"/>
    <s v="UFM78J0X002R2"/>
    <s v="D31 G 7/8"/>
    <m/>
    <n v="26"/>
    <n v="129.13387861005873"/>
    <n v="3357.4808438615269"/>
    <x v="0"/>
  </r>
  <r>
    <s v="007"/>
    <s v="camion"/>
    <s v="UFLB67B3K5172R2"/>
    <s v="L3B 6/7"/>
    <m/>
    <n v="5"/>
    <n v="81.580203449969304"/>
    <n v="407.90101724984652"/>
    <x v="0"/>
  </r>
  <r>
    <s v="007"/>
    <s v="camion"/>
    <s v="UFMRT45J4X102R2"/>
    <s v="NS60 D"/>
    <m/>
    <n v="4"/>
    <n v="68.015238052007305"/>
    <n v="272.06095220802922"/>
    <x v="1"/>
  </r>
  <r>
    <s v="007"/>
    <s v="camion"/>
    <s v="UFLB88L5K072R2"/>
    <s v="L5 8/8"/>
    <m/>
    <n v="2"/>
    <n v="101.10925669356116"/>
    <n v="202.21851338712233"/>
    <x v="1"/>
  </r>
  <r>
    <s v="007"/>
    <s v="camion"/>
    <s v="UFLB55L2K072R2"/>
    <s v="L2 5/5 KMINA"/>
    <m/>
    <n v="1"/>
    <n v="66.041264241858556"/>
    <n v="66.041264241858556"/>
    <x v="1"/>
  </r>
  <r>
    <s v="007"/>
    <s v="camion"/>
    <s v="UFML23CF003L2"/>
    <s v="M16 12/13"/>
    <m/>
    <n v="3"/>
    <n v="211.2142103114667"/>
    <n v="633.64263093440013"/>
    <x v="1"/>
  </r>
  <r>
    <s v="007"/>
    <s v="camion"/>
    <s v="UFM55M10F043L2"/>
    <s v="M10 5/5"/>
    <m/>
    <n v="5"/>
    <n v="81.213788257329114"/>
    <n v="406.06894128664555"/>
    <x v="1"/>
  </r>
  <r>
    <s v="007"/>
    <s v="camion"/>
    <s v="UFM56J7X002L2"/>
    <s v="D26 5/6 G"/>
    <m/>
    <n v="7"/>
    <n v="96.938008737320715"/>
    <n v="678.56606116124499"/>
    <x v="0"/>
  </r>
  <r>
    <s v="007"/>
    <s v="camion"/>
    <s v="UFM77M12F043L2"/>
    <s v="M12 7/7"/>
    <m/>
    <n v="1"/>
    <n v="114.83228081032046"/>
    <n v="114.83228081032046"/>
    <x v="1"/>
  </r>
  <r>
    <s v="007"/>
    <s v="camion"/>
    <s v="UFLB66L2K5172R2"/>
    <s v="S2"/>
    <m/>
    <n v="4"/>
    <n v="73.907105357728199"/>
    <n v="295.62842143091279"/>
    <x v="0"/>
  </r>
  <r>
    <s v="007"/>
    <s v="camion"/>
    <s v="UFLB99L5K5172R2"/>
    <s v="S5"/>
    <m/>
    <n v="5"/>
    <n v="114.58126160421584"/>
    <n v="572.90630802107921"/>
    <x v="0"/>
  </r>
  <r>
    <s v="007"/>
    <s v="camion"/>
    <s v="UFML23CF003L2"/>
    <s v="M16 12/13"/>
    <m/>
    <n v="1"/>
    <n v="211.2142103114667"/>
    <n v="211.2142103114667"/>
    <x v="1"/>
  </r>
  <r>
    <s v="007"/>
    <s v="camion"/>
    <s v="UFML34CF03L2"/>
    <s v="MAR 200 "/>
    <m/>
    <n v="1"/>
    <n v="184.86021851776422"/>
    <n v="184.86021851776422"/>
    <x v="0"/>
  </r>
  <r>
    <s v="007"/>
    <s v="camion"/>
    <s v="UFMRT34J3X102R2"/>
    <s v="NS40"/>
    <m/>
    <n v="6"/>
    <n v="53.399175760128202"/>
    <n v="320.39505456076921"/>
    <x v="0"/>
  </r>
  <r>
    <s v="007"/>
    <s v="camion"/>
    <s v="UFLB44L1K072R2"/>
    <s v="L1 4/4"/>
    <m/>
    <n v="2"/>
    <n v="57.044280562793176"/>
    <n v="114.08856112558635"/>
    <x v="1"/>
  </r>
  <r>
    <s v="007"/>
    <s v="camion"/>
    <s v="UFLB67B3K5172R2"/>
    <s v="L3 6/6 KMINA"/>
    <m/>
    <n v="2"/>
    <n v="81.580203449969304"/>
    <n v="163.16040689993861"/>
    <x v="0"/>
  </r>
  <r>
    <s v="007"/>
    <s v="camion"/>
    <s v="UFLB55L2K072R2"/>
    <s v="L2 5/5 KMINA"/>
    <m/>
    <n v="3"/>
    <n v="66.041264241858556"/>
    <n v="198.12379272557567"/>
    <x v="1"/>
  </r>
  <r>
    <s v="007"/>
    <s v="camion"/>
    <s v="UFLB56L2W172R2"/>
    <s v="L2 5/6 SMF"/>
    <m/>
    <n v="1"/>
    <n v="77.485631905206517"/>
    <n v="77.485631905206517"/>
    <x v="1"/>
  </r>
  <r>
    <s v="007"/>
    <s v="camion"/>
    <s v="UFLB67L3W072R2"/>
    <s v="L3 6/7 SMF"/>
    <m/>
    <n v="1"/>
    <n v="81.580203449969304"/>
    <n v="81.580203449969304"/>
    <x v="0"/>
  </r>
  <r>
    <s v="007"/>
    <s v="camion"/>
    <s v="UFM56J7X002L2"/>
    <s v="D26 D 5/6"/>
    <m/>
    <n v="1"/>
    <n v="96.938008737320715"/>
    <n v="96.938008737320715"/>
    <x v="0"/>
  </r>
  <r>
    <s v="007"/>
    <s v="camion"/>
    <s v="UFM55J6X072R2"/>
    <s v="D23 4/5 G"/>
    <m/>
    <n v="3"/>
    <n v="83.845136136870181"/>
    <n v="251.53540841061056"/>
    <x v="0"/>
  </r>
  <r>
    <s v="007"/>
    <s v="camion"/>
    <s v="UFMRT34J3X102R2"/>
    <s v="NS40 G"/>
    <m/>
    <n v="2"/>
    <n v="53.399175760128202"/>
    <n v="106.7983515202564"/>
    <x v="0"/>
  </r>
  <r>
    <s v="007"/>
    <s v="camion"/>
    <s v="UFM77M12F043L2"/>
    <s v="M12 7/7"/>
    <m/>
    <n v="3"/>
    <n v="114.83228081032046"/>
    <n v="344.49684243096135"/>
    <x v="1"/>
  </r>
  <r>
    <s v="007"/>
    <s v="camion"/>
    <s v="UFM77M11F042L2"/>
    <s v="M11 7/7"/>
    <m/>
    <n v="3"/>
    <n v="107.9431281306293"/>
    <n v="323.82938439188791"/>
    <x v="1"/>
  </r>
  <r>
    <s v="007"/>
    <s v="camion"/>
    <s v="UFLB44B1K072R2"/>
    <s v="L1B 4/4"/>
    <m/>
    <n v="4"/>
    <n v="55.079538929631518"/>
    <n v="220.31815571852607"/>
    <x v="1"/>
  </r>
  <r>
    <s v="007"/>
    <s v="camion"/>
    <s v="UFLB67B3K5172R2"/>
    <s v="L3 6/6 KMINA"/>
    <m/>
    <n v="3"/>
    <n v="81.580203449969304"/>
    <n v="244.74061034990791"/>
    <x v="0"/>
  </r>
  <r>
    <s v="007"/>
    <s v="camion"/>
    <s v="UFLB44L1K072R2"/>
    <s v="L1 4/4 KMINA"/>
    <m/>
    <n v="3"/>
    <n v="57.044280562793176"/>
    <n v="171.13284168837953"/>
    <x v="1"/>
  </r>
  <r>
    <s v="007"/>
    <s v="camion"/>
    <s v="UFLB44L1W072R2"/>
    <s v="L1 4/4 MF"/>
    <m/>
    <n v="3"/>
    <n v="57.044280562793176"/>
    <n v="171.13284168837953"/>
    <x v="0"/>
  </r>
  <r>
    <s v="007"/>
    <s v="camion"/>
    <s v="UFLB88L5K072R2"/>
    <s v="L5 8/8 "/>
    <m/>
    <n v="1"/>
    <n v="101.10925669356116"/>
    <n v="101.10925669356116"/>
    <x v="1"/>
  </r>
  <r>
    <s v="007"/>
    <s v="camion"/>
    <s v="UFLB77L3W172R2"/>
    <s v="S3B 7/7"/>
    <m/>
    <n v="3"/>
    <n v="85.110514865913331"/>
    <n v="255.33154459773999"/>
    <x v="1"/>
  </r>
  <r>
    <s v="007"/>
    <s v="camion"/>
    <s v="UFLB55L2K072R2"/>
    <s v="L2 5/5 KMINA"/>
    <m/>
    <n v="3"/>
    <n v="66.041264241858556"/>
    <n v="198.12379272557567"/>
    <x v="1"/>
  </r>
  <r>
    <s v="007"/>
    <s v="camion"/>
    <s v="UFLB88L5K072R2"/>
    <s v="L5 8/8"/>
    <m/>
    <n v="3"/>
    <n v="101.10925669356116"/>
    <n v="303.32777008068348"/>
    <x v="1"/>
  </r>
  <r>
    <s v="007"/>
    <s v="camion"/>
    <s v="UFM55M10F043L2"/>
    <s v="M10 5/5"/>
    <m/>
    <n v="3"/>
    <n v="81.213788257329114"/>
    <n v="243.64136477198736"/>
    <x v="1"/>
  </r>
  <r>
    <s v="007"/>
    <s v="camion"/>
    <s v="UFLB55L2K072R2"/>
    <s v="L2 5/5 KMINA"/>
    <m/>
    <n v="3"/>
    <n v="66.041264241858556"/>
    <n v="198.12379272557567"/>
    <x v="1"/>
  </r>
  <r>
    <s v="007"/>
    <s v="camion"/>
    <s v="UFML90BF002L2"/>
    <s v="M15 9/10"/>
    <m/>
    <n v="3"/>
    <n v="184.86021851776422"/>
    <n v="554.58065555329267"/>
    <x v="0"/>
  </r>
  <r>
    <s v="007"/>
    <s v="camion"/>
    <s v="UFLB00L6K5172R2"/>
    <s v="L6 10/10"/>
    <m/>
    <n v="2"/>
    <n v="137.56191368150289"/>
    <n v="275.12382736300577"/>
    <x v="1"/>
  </r>
  <r>
    <s v="007"/>
    <s v="camion"/>
    <s v="UFLB44L1W172R2"/>
    <s v="L1 4/4"/>
    <m/>
    <n v="1"/>
    <n v="57.044280562793176"/>
    <n v="57.044280562793176"/>
    <x v="0"/>
  </r>
  <r>
    <s v="007"/>
    <s v="camion"/>
    <s v="UFM56J7X002R2"/>
    <s v="D26 G"/>
    <m/>
    <n v="1"/>
    <n v="102.65399824172911"/>
    <n v="102.65399824172911"/>
    <x v="0"/>
  </r>
  <r>
    <s v="007"/>
    <s v="camion"/>
    <s v="UFMRT34J3X102R2"/>
    <s v="NS40"/>
    <m/>
    <n v="1"/>
    <n v="53.399175760128202"/>
    <n v="53.399175760128202"/>
    <x v="0"/>
  </r>
  <r>
    <s v="007"/>
    <s v="MPA"/>
    <s v="400B9001"/>
    <s v="BAC COMPACT B90 C49 P19,5 T2 OPAQUE 34911011B70"/>
    <s v="UN"/>
    <n v="861"/>
    <n v="12.373890012648957"/>
    <n v="10653.919300890751"/>
    <x v="0"/>
  </r>
  <r>
    <s v="007"/>
    <s v="MPA"/>
    <s v="400D2302"/>
    <s v="BAC D23 P0 C33 B01 NOIR 201373"/>
    <s v="UN"/>
    <n v="325"/>
    <n v="7.9457692462815741"/>
    <n v="2582.3750050415115"/>
    <x v="0"/>
  </r>
  <r>
    <s v="007"/>
    <s v="MPA"/>
    <s v="400D2304"/>
    <s v="BAC D23 P0 C33 NOIR A LISTEAUX MONBAT"/>
    <s v="UN"/>
    <n v="5646"/>
    <n v="7.9462486792276872"/>
    <n v="44864.520042919525"/>
    <x v="0"/>
  </r>
  <r>
    <s v="007"/>
    <s v="MPA"/>
    <s v="400L0103"/>
    <s v="BAC L1B PO NOIR C22 22521008C40"/>
    <s v="UN"/>
    <n v="4310"/>
    <n v="5.3909308724328993"/>
    <n v="23234.912060185798"/>
    <x v="0"/>
  </r>
  <r>
    <s v="007"/>
    <s v="MPA"/>
    <s v="400L0111"/>
    <s v="BAC L1B PO NOIR C28 25331014B70"/>
    <s v="UN"/>
    <n v="1040"/>
    <n v="5.8978684019301877"/>
    <n v="6133.7831380073949"/>
    <x v="0"/>
  </r>
  <r>
    <s v="007"/>
    <s v="MPA"/>
    <s v="400L0115"/>
    <s v="BAC L1 B PO GRIS C22 22521024B70"/>
    <s v="UN"/>
    <n v="1120"/>
    <n v="4.2500357223489855"/>
    <n v="4760.040009030864"/>
    <x v="0"/>
  </r>
  <r>
    <s v="007"/>
    <s v="MPA"/>
    <s v="400L0117"/>
    <s v="BAC L1 NOIR PO C26 NON PERCE 26901001P70 26901001"/>
    <s v="UN"/>
    <n v="2120"/>
    <n v="5.2467793515841628"/>
    <n v="11123.172225358425"/>
    <x v="0"/>
  </r>
  <r>
    <s v="007"/>
    <s v="MPA"/>
    <s v="400L0118"/>
    <s v="BAC L1 NOIR P0 C28 25341044B70"/>
    <s v="UN"/>
    <n v="5748"/>
    <n v="5.4413322199389604"/>
    <n v="31276.777600209145"/>
    <x v="0"/>
  </r>
  <r>
    <s v="007"/>
    <s v="MPA"/>
    <s v="400L0120"/>
    <s v="BAC L1 GRIS P0 C22 25391019B70"/>
    <s v="UN"/>
    <n v="2925"/>
    <n v="4.1249721771996413"/>
    <n v="12065.543618308951"/>
    <x v="0"/>
  </r>
  <r>
    <s v="007"/>
    <s v="MPA"/>
    <s v="400L0121"/>
    <s v="BAC L1 NOIR P0 C22 25391020B70"/>
    <s v="UN"/>
    <n v="6320"/>
    <n v="5.9648175593552235"/>
    <n v="37697.646975125012"/>
    <x v="0"/>
  </r>
  <r>
    <s v="007"/>
    <s v="MPA"/>
    <s v="400L0202"/>
    <s v="BAC L2 BASSE P0 NOIR C34 25181011B77"/>
    <s v="UN"/>
    <n v="3077"/>
    <n v="5.6453024753020058"/>
    <n v="17370.595716504271"/>
    <x v="0"/>
  </r>
  <r>
    <s v="007"/>
    <s v="MPA"/>
    <s v="400l0204"/>
    <s v="BAC L2B NOIR PO C28"/>
    <s v="UN"/>
    <n v="2807"/>
    <n v="5.7323337064227609"/>
    <n v="16090.66071392869"/>
    <x v="0"/>
  </r>
  <r>
    <s v="007"/>
    <s v="MPA"/>
    <s v="400L0211"/>
    <s v="BAC L2 BASSE GRIS P0 C28 25701004B77"/>
    <s v="UN"/>
    <n v="432"/>
    <n v="4.3059139447251029"/>
    <n v="1860.1548241212445"/>
    <x v="0"/>
  </r>
  <r>
    <s v="007"/>
    <s v="MPA"/>
    <s v="400L0213"/>
    <s v="BAC L2 NOIR PO C28 25691010B77"/>
    <s v="UN"/>
    <n v="10158"/>
    <n v="5.4782695444978593"/>
    <n v="55648.262033009254"/>
    <x v="0"/>
  </r>
  <r>
    <s v="007"/>
    <s v="MPA"/>
    <s v="400L0218"/>
    <s v="BAC L2 NOIR P0 C34,3 38881099B77"/>
    <s v="UN"/>
    <n v="8891"/>
    <n v="5.7141595590273235"/>
    <n v="50804.592639311937"/>
    <x v="0"/>
  </r>
  <r>
    <s v="007"/>
    <s v="MPA"/>
    <s v="400L0312"/>
    <s v="BAC L3 BASSE GRIS  P0 C34 34451034C40"/>
    <s v="UN"/>
    <n v="2019"/>
    <n v="3.5545831049279544"/>
    <n v="7176.7032888495396"/>
    <x v="0"/>
  </r>
  <r>
    <s v="007"/>
    <s v="MPA"/>
    <s v="400L0314"/>
    <s v="BAC L3 NOIR P0 C33 2B341005B70"/>
    <s v="UN"/>
    <n v="5259"/>
    <n v="5.9468506015183964"/>
    <n v="31274.487313385245"/>
    <x v="0"/>
  </r>
  <r>
    <s v="007"/>
    <s v="MPA"/>
    <s v="400L0318"/>
    <s v="BAC L3 NOIR P0 C40 2B331002B74"/>
    <s v="UN"/>
    <n v="14102"/>
    <n v="6.0477779713082231"/>
    <n v="85285.76495138857"/>
    <x v="0"/>
  </r>
  <r>
    <s v="007"/>
    <s v="MPA"/>
    <s v="400L0401"/>
    <s v="BAC L4 NOIR P0 C46,5 21081020B70"/>
    <s v="UN"/>
    <n v="842"/>
    <n v="5.9680923504620749"/>
    <n v="5025.1337590890671"/>
    <x v="0"/>
  </r>
  <r>
    <s v="007"/>
    <s v="MPA"/>
    <s v="400L0402"/>
    <s v="BAC L4B NOIR P0 C46,5 21071019B70"/>
    <s v="UN"/>
    <n v="66"/>
    <n v="3.4771593863103991"/>
    <n v="229.49251949648635"/>
    <x v="0"/>
  </r>
  <r>
    <s v="007"/>
    <s v="MPA"/>
    <s v="400l0506"/>
    <s v="BAC L5B C45 P0 NOIR"/>
    <s v="UN"/>
    <n v="3744"/>
    <n v="6.3368180094906368"/>
    <n v="23725.046627532945"/>
    <x v="0"/>
  </r>
  <r>
    <s v="007"/>
    <s v="MPA"/>
    <s v="400L0512"/>
    <s v="BAC L5 NOIR P0 C54,4 RENFORCE  DIN - GEL"/>
    <s v="UN"/>
    <n v="122"/>
    <n v="4.346584430574163"/>
    <n v="530.28330053004788"/>
    <x v="0"/>
  </r>
  <r>
    <s v="007"/>
    <s v="MPA"/>
    <s v="400L0513"/>
    <s v="BAC L5 C45 P0 NOIR 27231007B77"/>
    <s v="UN"/>
    <n v="1049"/>
    <n v="8.535108410318708"/>
    <n v="8953.328722424325"/>
    <x v="0"/>
  </r>
  <r>
    <s v="007"/>
    <s v="MPA"/>
    <s v="400L0518"/>
    <s v="BAC L5 NOIR P0 C52 20641062B77"/>
    <s v="UN"/>
    <n v="1043"/>
    <n v="6.357308778341916"/>
    <n v="6630.6730558106183"/>
    <x v="0"/>
  </r>
  <r>
    <s v="007"/>
    <s v="MPA"/>
    <s v="400L0519"/>
    <s v="BAC L5B NOIR P0 C52"/>
    <s v="UN"/>
    <n v="33"/>
    <n v="6.6805025161624272"/>
    <n v="220.45658303336009"/>
    <x v="0"/>
  </r>
  <r>
    <s v="007"/>
    <s v="MPA"/>
    <s v="400M1009"/>
    <s v="BAC M10 P15,4 C33 NOIR 30241013B70"/>
    <s v="UN"/>
    <n v="6057"/>
    <n v="7.9040076645121999"/>
    <n v="47874.574423950398"/>
    <x v="0"/>
  </r>
  <r>
    <s v="007"/>
    <s v="MPA"/>
    <s v="400M1104"/>
    <s v="BAC M11 P8.5 C46,3 NOIR 22241008B70"/>
    <s v="UN"/>
    <n v="3423"/>
    <n v="8.053227749015468"/>
    <n v="27566.198584879949"/>
    <x v="0"/>
  </r>
  <r>
    <s v="007"/>
    <s v="MPA"/>
    <s v="400M1413"/>
    <s v="BAC M14 NOIR PO C60 35321017B70"/>
    <s v="UN"/>
    <n v="1317"/>
    <n v="13.114255649661915"/>
    <n v="17271.474690604744"/>
    <x v="0"/>
  </r>
  <r>
    <s v="007"/>
    <s v="MPA"/>
    <s v="400M1414"/>
    <s v="BAC M14 NOIR PO C60 TYP A BOX 12/140 MONBAT"/>
    <s v="UN"/>
    <n v="140"/>
    <n v="9.0982141647888408"/>
    <n v="1273.7499830704378"/>
    <x v="0"/>
  </r>
  <r>
    <s v="007"/>
    <s v="MPA"/>
    <s v="400M1509"/>
    <s v="BAC M15 GRIS PO C78 35331028B74"/>
    <s v="UN"/>
    <n v="2603"/>
    <n v="17.839552188080578"/>
    <n v="46436.354345573745"/>
    <x v="0"/>
  </r>
  <r>
    <s v="007"/>
    <s v="MPA"/>
    <s v="400m1510"/>
    <s v="BAC M15 NOIR PO C78 35331021B70"/>
    <s v="UN"/>
    <n v="1584"/>
    <n v="8.983765"/>
    <n v="14230.28376"/>
    <x v="0"/>
  </r>
  <r>
    <s v="007"/>
    <s v="MPA"/>
    <s v="400M1517"/>
    <s v="BAC M15 NOIR C78,5 P0 NERVURES FLEXIBLES 27571001"/>
    <s v="UN"/>
    <n v="198"/>
    <n v="16.100236678529633"/>
    <n v="3187.8468623488675"/>
    <x v="0"/>
  </r>
  <r>
    <s v="007"/>
    <s v="MPA"/>
    <s v="400M1518"/>
    <s v="BAC M15 NOIR TYP B  BAC 12/165(monbat)"/>
    <s v="UN"/>
    <n v="120"/>
    <n v="9.478747837080391"/>
    <n v="1137.4497404496469"/>
    <x v="0"/>
  </r>
  <r>
    <s v="007"/>
    <s v="MPA"/>
    <s v="400M1606"/>
    <s v="BAC M16 GRIS C102 P16 20891032B74"/>
    <s v="UN"/>
    <n v="577"/>
    <n v="23.127588104431553"/>
    <n v="13344.618336257006"/>
    <x v="0"/>
  </r>
  <r>
    <s v="007"/>
    <s v="MPA"/>
    <s v="400M1608"/>
    <s v="BAC M16 P0 C102 NOIR 20891024P70"/>
    <s v="UN"/>
    <n v="712"/>
    <n v="18.647961786293347"/>
    <n v="13277.348791840863"/>
    <x v="0"/>
  </r>
  <r>
    <s v="007"/>
    <s v="MPA"/>
    <s v="400M1609"/>
    <s v="BAC M16 NOIR PO C102 B01 AVEC LISTEAUX 20891039B7"/>
    <s v="UN"/>
    <n v="60"/>
    <n v="14.21146013360571"/>
    <n v="852.68760801634266"/>
    <x v="0"/>
  </r>
  <r>
    <s v="007"/>
    <s v="MPA"/>
    <s v="400M1612"/>
    <s v="BAC M16 NOIR BAC 12/210 TYPE C(monbaT)"/>
    <s v="UN"/>
    <n v="100"/>
    <n v="12.246265453746195"/>
    <n v="1224.6265453746196"/>
    <x v="0"/>
  </r>
  <r>
    <s v="007"/>
    <s v="MPA"/>
    <s v="400N5003"/>
    <s v="BAC N50 P0 C40 NOIR A LISTEAUX MONBAT"/>
    <s v="UN"/>
    <n v="1755"/>
    <n v="8.2255219304087159"/>
    <n v="14435.790987867296"/>
    <x v="0"/>
  </r>
  <r>
    <s v="007"/>
    <s v="MPA"/>
    <s v="400N7002"/>
    <s v="BAC N70 P0 C46,5 B01 NOIR 200541"/>
    <s v="UN"/>
    <n v="3253"/>
    <n v="8.3328387556776438"/>
    <n v="27106.724472219375"/>
    <x v="0"/>
  </r>
  <r>
    <s v="007"/>
    <s v="MPA"/>
    <s v="400NAT002"/>
    <s v="BAC NATO NOIR P11.6 25321006B70"/>
    <s v="UN"/>
    <n v="384"/>
    <n v="6.8624613913190524"/>
    <n v="2635.1851742665162"/>
    <x v="0"/>
  </r>
  <r>
    <s v="007"/>
    <s v="MPA"/>
    <s v="400NAT003"/>
    <s v="BAC NATO AGM GRIS P0 27581004B70"/>
    <s v="UN"/>
    <n v="104"/>
    <n v="36.09955101660929"/>
    <n v="3754.3533057273662"/>
    <x v="0"/>
  </r>
  <r>
    <s v="007"/>
    <s v="MPA"/>
    <s v="400NS4002"/>
    <s v="BAC NS40 P0 NOIR SANS LISTEAUX 27181001B70"/>
    <s v="UN"/>
    <n v="800"/>
    <n v="5.2865873581565594"/>
    <n v="4229.2698865252478"/>
    <x v="0"/>
  </r>
  <r>
    <s v="007"/>
    <s v="MPA"/>
    <s v="400NS4003"/>
    <s v="BAC NS40 P0 NOIR V250 LISTEAUX KOREAN 2B221014B70"/>
    <s v="UN"/>
    <n v="460"/>
    <n v="5.6790230360969103"/>
    <n v="2612.3505966045786"/>
    <x v="0"/>
  </r>
  <r>
    <s v="007"/>
    <s v="MPA"/>
    <s v="400NS6002"/>
    <s v="BAC NS60 P0 C34 NOIR 27251002B74"/>
    <s v="UN"/>
    <n v="469"/>
    <n v="5.854190761007608"/>
    <n v="2745.6154669125681"/>
    <x v="0"/>
  </r>
  <r>
    <s v="007"/>
    <s v="MPA"/>
    <s v="420B9002"/>
    <s v="COUVB90 COMPACT DROITE NOIR 34922028B70"/>
    <s v="UN"/>
    <n v="268"/>
    <n v="7.1624044123330366"/>
    <n v="1919.5243825052537"/>
    <x v="0"/>
  </r>
  <r>
    <s v="007"/>
    <s v="MPA"/>
    <s v="420D2303"/>
    <s v="COUV D23 T-AKUMSAN D+ NOIR 301598"/>
    <s v="UN"/>
    <n v="229"/>
    <n v="4.5909629006197479"/>
    <n v="1051.3305042419222"/>
    <x v="0"/>
  </r>
  <r>
    <s v="007"/>
    <s v="MPA"/>
    <s v="420D2304"/>
    <s v="COUV D23 T-AKUMSAN D+ NOIR AVEC OM"/>
    <s v="UN"/>
    <n v="4000"/>
    <n v="4.4719410869346516"/>
    <n v="17887.764347738608"/>
    <x v="0"/>
  </r>
  <r>
    <s v="007"/>
    <s v="MPA"/>
    <s v="420D2305"/>
    <s v="COUV D23 T-AKUMSAN G+ NOIR AVEC OM"/>
    <s v="UN"/>
    <n v="2502"/>
    <n v="4.4514939447333353"/>
    <n v="11137.637849722805"/>
    <x v="0"/>
  </r>
  <r>
    <s v="007"/>
    <s v="MPA"/>
    <s v="420E0201"/>
    <s v="COUV.E2 GAUCHE OPAQUE GRANDE BUSELURE .150"/>
    <s v="UN"/>
    <n v="33"/>
    <n v="1.8058866423822733"/>
    <n v="59.594259198615021"/>
    <x v="0"/>
  </r>
  <r>
    <s v="007"/>
    <s v="MPA"/>
    <s v="420E0202"/>
    <s v="COUV.E2 GAUCHE OPAQUE PETITE BUSELURE .153"/>
    <s v="UN"/>
    <n v="100"/>
    <n v="1.6838572466932886"/>
    <n v="168.38572466932885"/>
    <x v="0"/>
  </r>
  <r>
    <s v="007"/>
    <s v="MPA"/>
    <s v="420E0209"/>
    <s v="COUV.E2 BUS 153 DROITE OPAQUE"/>
    <s v="UN"/>
    <n v="166"/>
    <n v="1.7375056995890412"/>
    <n v="288.42594613178085"/>
    <x v="0"/>
  </r>
  <r>
    <s v="007"/>
    <s v="MPA"/>
    <s v="420E0210"/>
    <s v="COUV E2 DROITE NOIR BUS.153 36862004B70"/>
    <s v="UN"/>
    <n v="2400"/>
    <n v="3.1509544104832674"/>
    <n v="7562.2905851598416"/>
    <x v="0"/>
  </r>
  <r>
    <s v="007"/>
    <s v="MPA"/>
    <s v="420E0211"/>
    <s v="COUV E2 GAUCHE NOIR BUS.153"/>
    <s v="UN"/>
    <n v="600"/>
    <n v="3.1509544104832674"/>
    <n v="1890.5726462899604"/>
    <x v="0"/>
  </r>
  <r>
    <s v="007"/>
    <s v="MPA"/>
    <s v="420L0106"/>
    <s v="COUV L1 KAM  G NOIR 25032100B70"/>
    <s v="UN"/>
    <n v="126"/>
    <n v="3.587914531954393"/>
    <n v="452.07723102625351"/>
    <x v="0"/>
  </r>
  <r>
    <s v="007"/>
    <s v="MPA"/>
    <s v="420L0109"/>
    <s v="COUV L1 KAM  D GRIS 25032083B70"/>
    <s v="UN"/>
    <n v="112"/>
    <n v="3.6576161250341985"/>
    <n v="409.65300600383023"/>
    <x v="0"/>
  </r>
  <r>
    <s v="007"/>
    <s v="MPA"/>
    <s v="420L0111"/>
    <s v="COUV L1 EK DROITE NOIR 25032084B70"/>
    <s v="UN"/>
    <n v="6373"/>
    <n v="4.0436779169907302"/>
    <n v="25770.359364981923"/>
    <x v="0"/>
  </r>
  <r>
    <s v="007"/>
    <s v="MPA"/>
    <s v="420L0113"/>
    <s v="COUV L1 EK D+ ROUGE 25032103B70"/>
    <s v="UN"/>
    <n v="5208"/>
    <n v="4.0455078400798747"/>
    <n v="21069.004831135986"/>
    <x v="0"/>
  </r>
  <r>
    <s v="007"/>
    <s v="MPA"/>
    <s v="420L0123"/>
    <s v="COUV COUVERCLE L1 44T10 AKUM"/>
    <s v="UN"/>
    <n v="182"/>
    <n v="0.24200000000000002"/>
    <n v="44.044000000000004"/>
    <x v="0"/>
  </r>
  <r>
    <s v="007"/>
    <s v="MPA"/>
    <s v="420L0131"/>
    <s v="COUV L1 EK D NOIR FAI 25032008D40"/>
    <s v="UN"/>
    <n v="414"/>
    <n v="4.8445442390232882"/>
    <n v="2005.6413149556413"/>
    <x v="0"/>
  </r>
  <r>
    <s v="007"/>
    <s v="MPA"/>
    <s v="420L0139"/>
    <s v="COUV L1 EK G NOIR FAI 25032110B70"/>
    <s v="UN"/>
    <n v="774"/>
    <n v="4.07"/>
    <n v="3150.1800000000003"/>
    <x v="0"/>
  </r>
  <r>
    <s v="007"/>
    <s v="MPA"/>
    <s v="420L0140"/>
    <s v="COUV L1 EK D NOIR RS 24802027B70"/>
    <s v="UN"/>
    <n v="51"/>
    <n v="5.2794782884201883"/>
    <n v="269.25339270942959"/>
    <x v="0"/>
  </r>
  <r>
    <s v="007"/>
    <s v="MPA"/>
    <s v="420L0142"/>
    <s v="COUV L1 T-AKUMSAN D+ NOIR AVEC OM"/>
    <s v="UN"/>
    <n v="2560"/>
    <n v="4.6089807827158351"/>
    <n v="11798.990803752538"/>
    <x v="0"/>
  </r>
  <r>
    <s v="007"/>
    <s v="MPA"/>
    <s v="420L0145"/>
    <s v="COUV L1 SMF G+ NOIR AVEC OM"/>
    <s v="UN"/>
    <n v="449"/>
    <n v="4.803858124576502"/>
    <n v="2156.9322979348494"/>
    <x v="0"/>
  </r>
  <r>
    <s v="007"/>
    <s v="MPA"/>
    <s v="420L0147"/>
    <s v="COUV L1 SMF D+ NOIR AVEC OM +37"/>
    <s v="UN"/>
    <n v="1765"/>
    <n v="4.4099669915444535"/>
    <n v="7783.5917400759608"/>
    <x v="0"/>
  </r>
  <r>
    <s v="007"/>
    <s v="MPA"/>
    <s v="420L0216"/>
    <s v="COUV L2 EK DROITE ROUGE 24582156B70"/>
    <s v="UN"/>
    <n v="6432"/>
    <n v="4.3893574056383295"/>
    <n v="28232.346833065734"/>
    <x v="0"/>
  </r>
  <r>
    <s v="007"/>
    <s v="MPA"/>
    <s v="420L0217"/>
    <s v="COUV L2 EK G NOIR 24582123P70"/>
    <s v="UN"/>
    <n v="2751"/>
    <n v="4.3222877881831794"/>
    <n v="11890.613705291926"/>
    <x v="0"/>
  </r>
  <r>
    <s v="007"/>
    <s v="MPA"/>
    <s v="420L0228"/>
    <s v="COUV L2 EK DROITE NOIR 24582125P70"/>
    <s v="UN"/>
    <n v="16641"/>
    <n v="4.3236851050961489"/>
    <n v="71950.44383390501"/>
    <x v="0"/>
  </r>
  <r>
    <s v="007"/>
    <s v="MPA"/>
    <s v="420L0235"/>
    <s v="COUVERCLE  L2 GAUCHE NOIR P GRIS T-AKUMSAN 301456"/>
    <s v="UN"/>
    <n v="271"/>
    <n v="4.9036150838996004"/>
    <n v="1328.8796877367918"/>
    <x v="0"/>
  </r>
  <r>
    <s v="007"/>
    <s v="MPA"/>
    <s v="420L0236"/>
    <s v="COUVERCLE  L2 NOIR P NOIR T-AKUMSAN 301072"/>
    <s v="UN"/>
    <n v="1435"/>
    <n v="3.2293108743729602"/>
    <n v="4634.0611047251978"/>
    <x v="0"/>
  </r>
  <r>
    <s v="007"/>
    <s v="MPA"/>
    <s v="420L0241"/>
    <s v="COUV L2 EK D GRIS28G KAPPA POIGNEE ROUGE 2C442009"/>
    <s v="UN"/>
    <n v="384"/>
    <n v="5.5569070193330568"/>
    <n v="2133.8522954238938"/>
    <x v="0"/>
  </r>
  <r>
    <s v="007"/>
    <s v="MPA"/>
    <s v="420L0243"/>
    <s v="COUV L2 T-AKUMSAN D+ NOIR AVEC OM"/>
    <s v="UN"/>
    <n v="3500"/>
    <n v="4.8250600596433681"/>
    <n v="16887.710208751789"/>
    <x v="0"/>
  </r>
  <r>
    <s v="007"/>
    <s v="MPA"/>
    <s v="420L0245"/>
    <s v="COUV L2 SMF NOIR D+ AVEC OM +37"/>
    <s v="UN"/>
    <n v="14524"/>
    <n v="4.535083835994218"/>
    <n v="65867.557633980017"/>
    <x v="0"/>
  </r>
  <r>
    <s v="007"/>
    <s v="MPA"/>
    <s v="420L0307"/>
    <s v="COUV. L3 EURO KAM DROITE NOIR 21152167B70"/>
    <s v="UN"/>
    <n v="13111"/>
    <n v="5.1094136548213882"/>
    <n v="66989.522428363227"/>
    <x v="0"/>
  </r>
  <r>
    <s v="007"/>
    <s v="MPA"/>
    <s v="420L0327"/>
    <s v="COUVERCLE L3 NOIR P NOIR T-AKUMSAN 301073"/>
    <s v="UN"/>
    <n v="35"/>
    <n v="6.2201157594826944"/>
    <n v="217.7040515818943"/>
    <x v="0"/>
  </r>
  <r>
    <s v="007"/>
    <s v="MPA"/>
    <s v="420L0338"/>
    <s v="COUV L3 D NOIR MFP 25972028P70"/>
    <s v="UN"/>
    <n v="29"/>
    <n v="5.5717188019478296"/>
    <n v="161.57984525648706"/>
    <x v="0"/>
  </r>
  <r>
    <s v="007"/>
    <s v="MPA"/>
    <s v="420L0340"/>
    <s v="COUV L3 EK D NOIR RS 24822022B70"/>
    <s v="UN"/>
    <n v="44"/>
    <n v="6.8493448357360753"/>
    <n v="301.3711727723873"/>
    <x v="0"/>
  </r>
  <r>
    <s v="007"/>
    <s v="MPA"/>
    <s v="420L0343"/>
    <s v="COUV L3  T-AKUMSAN D+ NOIR AVEC OM"/>
    <s v="UN"/>
    <n v="2740"/>
    <n v="5.0414773035907157"/>
    <n v="13813.64781183856"/>
    <x v="0"/>
  </r>
  <r>
    <s v="007"/>
    <s v="MPA"/>
    <s v="420L0345"/>
    <s v="COUV L3 SMF NOIR D+ AVEC  OM +37"/>
    <s v="UN"/>
    <n v="15840"/>
    <n v="4.689254383144843"/>
    <n v="74277.789429014316"/>
    <x v="0"/>
  </r>
  <r>
    <s v="007"/>
    <s v="MPA"/>
    <s v="420L0404"/>
    <s v="COUV L4 EK DROITE NOIR 21092099B70"/>
    <s v="UN"/>
    <n v="1520"/>
    <n v="5.9459098552887735"/>
    <n v="9037.7829800389354"/>
    <x v="0"/>
  </r>
  <r>
    <s v="007"/>
    <s v="MPA"/>
    <s v="420L0518"/>
    <s v="COUV COUVERCLE L5 88T10 AKUM"/>
    <s v="UN"/>
    <n v="699"/>
    <n v="0.45100000000000001"/>
    <n v="315.24900000000002"/>
    <x v="0"/>
  </r>
  <r>
    <s v="007"/>
    <s v="MPA"/>
    <s v="420L0521"/>
    <s v="COUV L5 KAM D GRIS 21162177B70"/>
    <s v="UN"/>
    <n v="27"/>
    <n v="6.4735627942378278"/>
    <n v="174.78619544442134"/>
    <x v="0"/>
  </r>
  <r>
    <s v="007"/>
    <s v="MPA"/>
    <s v="420L0523"/>
    <s v="COUVERCLE L5 NOIR P NOIR T-AKUMSAN 301074"/>
    <s v="UN"/>
    <n v="862"/>
    <n v="4.2218079140908236"/>
    <n v="3639.1984219462897"/>
    <x v="0"/>
  </r>
  <r>
    <s v="007"/>
    <s v="MPA"/>
    <s v="420L0525"/>
    <s v="COUV L5 D+ NOIR GEL"/>
    <s v="UN"/>
    <n v="127"/>
    <n v="3.6604320471050991"/>
    <n v="464.8748699823476"/>
    <x v="0"/>
  </r>
  <r>
    <s v="007"/>
    <s v="MPA"/>
    <s v="420L0542"/>
    <s v="COUV L5 T-AKUMSAN D+ NOIR AVEC OM"/>
    <s v="UN"/>
    <n v="918"/>
    <n v="5.0516859086628108"/>
    <n v="4637.4476641524607"/>
    <x v="0"/>
  </r>
  <r>
    <s v="007"/>
    <s v="MPA"/>
    <s v="420L0545"/>
    <s v="COUV L5 SMF D+ NOIR AVEC OM +37"/>
    <s v="UN"/>
    <n v="1666"/>
    <n v="5.0558064198649921"/>
    <n v="8422.9734954950763"/>
    <x v="0"/>
  </r>
  <r>
    <s v="007"/>
    <s v="MPA"/>
    <s v="420L0631"/>
    <s v="COUV L6 EK D NOIR FAI 24132015B70"/>
    <m/>
    <n v="32"/>
    <n v="9.0035729357088083"/>
    <n v="288.11433394268187"/>
    <x v="0"/>
  </r>
  <r>
    <s v="007"/>
    <s v="MPA"/>
    <s v="420M1014"/>
    <s v="COUV M10 G FLAT NOIR 22462007B70"/>
    <s v="UN"/>
    <n v="7362"/>
    <n v="3.1402019961046164"/>
    <n v="23118.167095322187"/>
    <x v="0"/>
  </r>
  <r>
    <s v="007"/>
    <s v="MPA"/>
    <s v="420M1016"/>
    <s v="COUV M10 +D NOIR POIGNEE NOIR AKU 300957"/>
    <s v="UN"/>
    <n v="241"/>
    <n v="4.0065036896362285"/>
    <n v="965.56738920233101"/>
    <x v="0"/>
  </r>
  <r>
    <s v="007"/>
    <s v="MPA"/>
    <s v="420M1017"/>
    <s v="COUV M10 D FLAT NOIR 22462004B70"/>
    <s v="UN"/>
    <n v="758"/>
    <n v="3.0321303557388903"/>
    <n v="2298.354809650079"/>
    <x v="0"/>
  </r>
  <r>
    <s v="007"/>
    <s v="MPA"/>
    <s v="420M1125"/>
    <s v="COUV M11 G FLAT NOIR M18 22482045B70"/>
    <s v="UN"/>
    <n v="3977"/>
    <n v="3.7932290595826137"/>
    <n v="15085.671969960054"/>
    <x v="0"/>
  </r>
  <r>
    <s v="007"/>
    <s v="MPA"/>
    <s v="420M1126"/>
    <s v="COUV M11 D FLAT NOIR M18 22482044B70"/>
    <s v="UN"/>
    <n v="1790"/>
    <n v="3.8291108592534551"/>
    <n v="6854.1084380636848"/>
    <x v="0"/>
  </r>
  <r>
    <s v="007"/>
    <s v="MPA"/>
    <s v="420M1127"/>
    <s v="COUV M11/K FAI D+ NOIR 27712014B70"/>
    <s v="UN"/>
    <n v="394"/>
    <n v="4.0292730848688931"/>
    <n v="1587.5335954383438"/>
    <x v="0"/>
  </r>
  <r>
    <s v="007"/>
    <s v="MPA"/>
    <s v="420M1208"/>
    <s v="COUV.M12 GAUCHE NOIR AVEC BOUCHON 21822014B70"/>
    <s v="UN"/>
    <n v="382"/>
    <n v="5.4119601166528746"/>
    <n v="2067.3687645613982"/>
    <x v="0"/>
  </r>
  <r>
    <s v="007"/>
    <s v="MPA"/>
    <s v="420M1304"/>
    <s v="COUV M13 GAUCHE NOIR 20112022B70"/>
    <s v="UN"/>
    <n v="61"/>
    <n v="3.799210713387116"/>
    <n v="231.75185351661409"/>
    <x v="0"/>
  </r>
  <r>
    <s v="007"/>
    <s v="MPA"/>
    <s v="420M1406"/>
    <s v="COUV.M14 DROITE NOIR 35422092P70"/>
    <s v="UN"/>
    <n v="139"/>
    <n v="4.3210521017805297"/>
    <n v="600.6262421474936"/>
    <x v="0"/>
  </r>
  <r>
    <s v="007"/>
    <s v="MPA"/>
    <s v="420M1407"/>
    <s v="COUV.M14 GAUCHE NOIR 35422055P70"/>
    <s v="UN"/>
    <n v="65"/>
    <n v="4.6381336790317551"/>
    <n v="301.47868913706407"/>
    <x v="0"/>
  </r>
  <r>
    <s v="007"/>
    <s v="MPA"/>
    <s v="420M1413"/>
    <s v="COUV M14 GAUCHE GRIS 35422083B70"/>
    <s v="UN"/>
    <n v="264"/>
    <n v="7.0219269199166785"/>
    <n v="1853.788706858003"/>
    <x v="0"/>
  </r>
  <r>
    <s v="007"/>
    <s v="MPA"/>
    <s v="420M1415"/>
    <s v="COUV M14 G DC NOIR 2B492010B70"/>
    <s v="UN"/>
    <n v="877"/>
    <n v="10.890478945301657"/>
    <n v="9550.950035029553"/>
    <x v="0"/>
  </r>
  <r>
    <s v="007"/>
    <s v="MPA"/>
    <s v="420M1416"/>
    <s v="LID12/140 TYPE A (monbat)"/>
    <s v="UN"/>
    <n v="140"/>
    <n v="4.4280281866652915"/>
    <n v="619.92394613314082"/>
    <x v="0"/>
  </r>
  <r>
    <s v="007"/>
    <s v="MPA"/>
    <s v="420M1502"/>
    <s v="COUV.M15 GAUCHE NOIR 35402026B70"/>
    <s v="UN"/>
    <n v="1664"/>
    <n v="6.5543579342593912"/>
    <n v="10906.451602607627"/>
    <x v="0"/>
  </r>
  <r>
    <s v="007"/>
    <s v="MPA"/>
    <s v="420M1504"/>
    <s v="COUV J15 DROITE OPAQUE"/>
    <s v="UN"/>
    <n v="32"/>
    <n v="3.4670000000000001"/>
    <n v="110.944"/>
    <x v="0"/>
  </r>
  <r>
    <s v="007"/>
    <s v="MPA"/>
    <s v="420M1515"/>
    <s v="COUV M15 GAUCHE GRIS 35402089B70"/>
    <s v="UN"/>
    <n v="1582"/>
    <n v="7.48506167831078"/>
    <n v="11841.367575087654"/>
    <x v="0"/>
  </r>
  <r>
    <s v="007"/>
    <s v="MPA"/>
    <s v="420M1516"/>
    <s v="COUV/K M15 GAUCHE NOIR 21932001P70"/>
    <s v="UN"/>
    <n v="163"/>
    <n v="8.9541844410378246"/>
    <n v="1459.5320638891653"/>
    <x v="0"/>
  </r>
  <r>
    <s v="007"/>
    <s v="MPA"/>
    <s v="420M1517"/>
    <s v="COUV M15 G DC NOIR 2B522019B70"/>
    <s v="UN"/>
    <n v="49"/>
    <n v="12.199833565124555"/>
    <n v="597.79184469110317"/>
    <x v="0"/>
  </r>
  <r>
    <s v="007"/>
    <s v="MPA"/>
    <s v="420M1518"/>
    <s v="COUV 12/165 TYPE B (monbat"/>
    <s v="UN"/>
    <n v="120"/>
    <n v="4.8431558291651617"/>
    <n v="581.17869949981946"/>
    <x v="0"/>
  </r>
  <r>
    <s v="007"/>
    <s v="MPA"/>
    <s v="420M1604"/>
    <s v="COUV. M16 GAUCHE NOIR 36352052D40"/>
    <s v="UN"/>
    <n v="1448"/>
    <n v="7.6451385138131265"/>
    <n v="11070.160568001407"/>
    <x v="0"/>
  </r>
  <r>
    <s v="007"/>
    <s v="MPA"/>
    <s v="420M1606"/>
    <s v="COUV. M16 DROITE NOIR 36352045B70"/>
    <m/>
    <n v="92"/>
    <n v="4.8170351583590918"/>
    <n v="443.16723456903645"/>
    <x v="0"/>
  </r>
  <r>
    <s v="007"/>
    <s v="MPA"/>
    <s v="420M1611"/>
    <s v="COUV M16 GAUCHE GRIS 36352070B70"/>
    <s v="UN"/>
    <n v="692"/>
    <n v="8.5418546470319363"/>
    <n v="5910.9634157460996"/>
    <x v="0"/>
  </r>
  <r>
    <s v="007"/>
    <s v="MPA"/>
    <s v="420M1612"/>
    <s v="COUV/K M16 GAUCHE NOIR 22052001B70"/>
    <s v="UN"/>
    <n v="326"/>
    <n v="7.1065880653533515"/>
    <n v="2316.7477093051925"/>
    <x v="0"/>
  </r>
  <r>
    <s v="007"/>
    <s v="MPA"/>
    <s v="420M1613"/>
    <s v="COUV M16 G DC NOIR 2B552022B70"/>
    <s v="UN"/>
    <n v="752"/>
    <n v="12.9869196015842"/>
    <n v="9766.1635403913187"/>
    <x v="0"/>
  </r>
  <r>
    <s v="007"/>
    <s v="MPA"/>
    <s v="420M1616"/>
    <s v="COUVERCLE 12/210 TYP C (monbat)"/>
    <s v="UN"/>
    <n v="100"/>
    <n v="5.5004412631232924"/>
    <n v="550.04412631232924"/>
    <x v="0"/>
  </r>
  <r>
    <s v="007"/>
    <s v="MPA"/>
    <s v="420MAC110"/>
    <s v="COUV 110MAC DROITE NOIR 36951018B70"/>
    <s v="UN"/>
    <n v="134"/>
    <n v="5.3951399315746089"/>
    <n v="722.9487508309976"/>
    <x v="0"/>
  </r>
  <r>
    <s v="007"/>
    <s v="MPA"/>
    <s v="420MAC14301"/>
    <s v="COUV 143MAC/KAMINA G+ OPAQUE BUS13,2 20012036P70"/>
    <s v="UN"/>
    <n v="640"/>
    <n v="6.390525900598095"/>
    <n v="4089.9365763827809"/>
    <x v="0"/>
  </r>
  <r>
    <s v="007"/>
    <s v="MPA"/>
    <s v="420MAT13201"/>
    <s v="COUV. MAT132 DROITE NOIR"/>
    <s v="UN"/>
    <n v="484"/>
    <n v="3.2336327000489491"/>
    <n v="1565.0782268236915"/>
    <x v="0"/>
  </r>
  <r>
    <s v="007"/>
    <s v="MPA"/>
    <s v="420N5001"/>
    <s v="COUV N50 D+ TERMINAL:13 TYPE:D BUTTERFLY NOIR"/>
    <s v="UN"/>
    <n v="169"/>
    <n v="2.9343711995187785"/>
    <n v="495.90873271867355"/>
    <x v="0"/>
  </r>
  <r>
    <s v="007"/>
    <s v="MPA"/>
    <s v="420N5002"/>
    <s v="COUV N50 G+ TERMINAL:13 TYPE:D BUTTERFLY NOIR"/>
    <s v="UN"/>
    <n v="69"/>
    <n v="2.934371199518778"/>
    <n v="202.47161276679569"/>
    <x v="0"/>
  </r>
  <r>
    <s v="007"/>
    <s v="MPA"/>
    <s v="420N5003"/>
    <s v="COUV N50 T-AKUMSAN D+ NOIR 302712"/>
    <s v="UN"/>
    <n v="340"/>
    <n v="4.7065467692809513"/>
    <n v="1600.2259015555235"/>
    <x v="0"/>
  </r>
  <r>
    <s v="007"/>
    <s v="MPA"/>
    <s v="420N5005"/>
    <s v="COUV N50 T-AKUMSAN D+ NOIR AVEC OM"/>
    <s v="UN"/>
    <n v="2491"/>
    <n v="4.4630730216745906"/>
    <n v="11117.514896991404"/>
    <x v="0"/>
  </r>
  <r>
    <s v="007"/>
    <s v="MPA"/>
    <s v="420N5006"/>
    <s v="COUV N50 T-AKUMSAN G+ NOIR AVEC OM"/>
    <s v="UN"/>
    <n v="596"/>
    <n v="4.4968846514170711"/>
    <n v="2680.1432522445743"/>
    <x v="0"/>
  </r>
  <r>
    <s v="007"/>
    <s v="MPA"/>
    <s v="420N7005"/>
    <s v="COUV N70 T-AKUMSAN D+ NOIR AVEC OM"/>
    <s v="UN"/>
    <n v="2353"/>
    <n v="4.6824795990752524"/>
    <n v="11017.874496624068"/>
    <x v="0"/>
  </r>
  <r>
    <s v="007"/>
    <s v="MPA"/>
    <s v="420N7006"/>
    <s v="COUV N70 T-AKUMSAN  G+ NOIR AVEC OM"/>
    <s v="UN"/>
    <n v="1008"/>
    <n v="4.6826123881533972"/>
    <n v="4720.0732872586241"/>
    <x v="0"/>
  </r>
  <r>
    <s v="007"/>
    <s v="MPA"/>
    <s v="420NAT001"/>
    <s v="COUV. NATO OPAQUE B032 GRANDE BUSSELURE 32052001D"/>
    <s v="UN"/>
    <n v="252"/>
    <n v="3.7557741381350422"/>
    <n v="946.4550828100306"/>
    <x v="0"/>
  </r>
  <r>
    <s v="007"/>
    <s v="MPA"/>
    <s v="420NAT002"/>
    <s v="COUV. NATO NOIR B032 GRANDE BUSSELURE"/>
    <s v="UN"/>
    <n v="220"/>
    <n v="3.7910068628949665"/>
    <n v="834.02150983689262"/>
    <x v="0"/>
  </r>
  <r>
    <s v="007"/>
    <s v="MPA"/>
    <s v="420NAT003"/>
    <s v="COUV. NATO OPAQUE B031 PETITE BUSELURE 32052010B7"/>
    <s v="UN"/>
    <n v="416"/>
    <n v="3.5997570689072611"/>
    <n v="1497.4989406654206"/>
    <x v="0"/>
  </r>
  <r>
    <s v="007"/>
    <s v="MPA"/>
    <s v="420NAT004"/>
    <s v="COUV. NATO NOIR B031 PETITE BUSELURE 32052014B70"/>
    <s v="UN"/>
    <n v="258"/>
    <n v="3.6825427709029004"/>
    <n v="950.0960348929483"/>
    <x v="0"/>
  </r>
  <r>
    <s v="007"/>
    <s v="MPA"/>
    <s v="420NAT005"/>
    <s v="COUV NATO AGM GRIS PETITE BUSELURE 36832006B70"/>
    <s v="UN"/>
    <n v="110"/>
    <n v="14.521924566237061"/>
    <n v="1597.4117022860767"/>
    <x v="0"/>
  </r>
  <r>
    <s v="007"/>
    <s v="MPA"/>
    <s v="420NS4002"/>
    <s v="COUV NS40 D MFP NOIR PETITE BUSELURE 27342006B70"/>
    <s v="UN"/>
    <n v="201"/>
    <n v="5.5481160630178872"/>
    <n v="1115.1713286665954"/>
    <x v="0"/>
  </r>
  <r>
    <s v="007"/>
    <s v="MPA"/>
    <s v="420NS4003"/>
    <s v="COUV NS40 G MFP NOIR PETITE BUSELURE  27342011B70"/>
    <s v="UN"/>
    <n v="1208"/>
    <n v="6.061147378368406"/>
    <n v="7321.8660330690345"/>
    <x v="0"/>
  </r>
  <r>
    <s v="007"/>
    <s v="MPA"/>
    <s v="420NS4005"/>
    <s v="COUV NS40 D MFP NOIR GRANDE BUSELURE 27342001B70"/>
    <s v="UN"/>
    <n v="1497"/>
    <n v="6.1706129697112155"/>
    <n v="9237.4076156576903"/>
    <x v="0"/>
  </r>
  <r>
    <s v="007"/>
    <s v="MPA"/>
    <s v="420NS4006"/>
    <s v="COUV NS40 G MFP NOIR GRANDE BUSELURE 27342012B70"/>
    <s v="UN"/>
    <n v="112"/>
    <n v="5.9537973873009085"/>
    <n v="666.82530737770173"/>
    <x v="0"/>
  </r>
  <r>
    <s v="007"/>
    <s v="MPA"/>
    <s v="420NS4007"/>
    <s v="COUV NS40 D+ AVEC OM"/>
    <s v="UN"/>
    <n v="746"/>
    <n v="3.7243101293343202"/>
    <n v="2778.3353564834028"/>
    <x v="0"/>
  </r>
  <r>
    <s v="007"/>
    <s v="MPA"/>
    <s v="420NS4008"/>
    <s v="COUV NS40 G+ AVEC OM"/>
    <s v="UN"/>
    <n v="816"/>
    <n v="3.7259121124582602"/>
    <n v="3040.3442837659404"/>
    <x v="0"/>
  </r>
  <r>
    <s v="007"/>
    <s v="MPA"/>
    <s v="420NS6040"/>
    <s v="COUV NS60 D RS NOIR PETITE BUSLURE 27312007B70"/>
    <s v="UN"/>
    <n v="794"/>
    <n v="6.4336815331759523"/>
    <n v="5108.3431373417061"/>
    <x v="0"/>
  </r>
  <r>
    <s v="007"/>
    <s v="MPA"/>
    <s v="420NS6041"/>
    <s v="COUV NS60 D RS NOIR GRAND BUSLURE 27312005B70"/>
    <s v="UN"/>
    <n v="560"/>
    <n v="6.5476639429128749"/>
    <n v="3666.6918080312098"/>
    <x v="0"/>
  </r>
  <r>
    <s v="007"/>
    <s v="MPA"/>
    <s v="420NS6042"/>
    <s v="COUV NS60 D+  AVEC OM NOIR PETITE BORNE"/>
    <s v="UN"/>
    <n v="980"/>
    <n v="4.1031072880323141"/>
    <n v="4021.0451422716678"/>
    <x v="0"/>
  </r>
  <r>
    <s v="007"/>
    <s v="MPA"/>
    <s v="420NS6043"/>
    <s v="COUV NS60 G+  AVEC OM NOIR PETITE BORNE"/>
    <s v="UN"/>
    <n v="1092"/>
    <n v="3.9785766482005323"/>
    <n v="4344.6056998349814"/>
    <x v="0"/>
  </r>
  <r>
    <s v="007"/>
    <s v="MPA"/>
    <s v="430P0001"/>
    <s v="SEPARATEUR 123X1.0X0.25"/>
    <s v="M2"/>
    <n v="6122"/>
    <n v="3.1653547978026202"/>
    <n v="19378.302072147642"/>
    <x v="0"/>
  </r>
  <r>
    <s v="007"/>
    <s v="MPA"/>
    <s v="430P1001"/>
    <s v="SEPARATEUR LV 160X1.3X0.2"/>
    <s v="M2"/>
    <n v="2229"/>
    <n v="6.8234158705656993"/>
    <n v="15209.393975490944"/>
    <x v="0"/>
  </r>
  <r>
    <s v="007"/>
    <s v="MPA"/>
    <s v="430P1002"/>
    <s v="SEPARATEUR 162X1.0X0.175 FRQI-175A206"/>
    <s v="M2"/>
    <n v="24671"/>
    <n v="2.3766446035550297"/>
    <n v="58634.199014306141"/>
    <x v="0"/>
  </r>
  <r>
    <s v="007"/>
    <s v="MPA"/>
    <s v="430P1004"/>
    <s v="SEPARATEUR 162X1.2X0.175 FRQJ-175A225"/>
    <s v="M2"/>
    <n v="77804"/>
    <n v="2.5499392853000642"/>
    <n v="198395.4761534862"/>
    <x v="0"/>
  </r>
  <r>
    <s v="007"/>
    <s v="MPA"/>
    <s v="430P1022"/>
    <s v="SEPARATEUR 162X1.0X0.2 SEPARATOR CELL FORCE ULR"/>
    <s v="M2"/>
    <n v="13779"/>
    <n v="3.0112839398343723"/>
    <n v="41492.481406977815"/>
    <x v="0"/>
  </r>
  <r>
    <s v="007"/>
    <s v="MPA"/>
    <s v="430T19125"/>
    <s v="GAINE TUBULAIRE 6.2-19-125 AKB"/>
    <s v="UN"/>
    <n v="3325"/>
    <n v="0.67534447642341611"/>
    <n v="2245.5203841078587"/>
    <x v="0"/>
  </r>
  <r>
    <s v="007"/>
    <s v="MPA"/>
    <s v="430T21184"/>
    <s v="GAINE TUBULAIRE6.2 21 184 AKB"/>
    <s v="UN"/>
    <n v="5264"/>
    <n v="1.0793751893085692"/>
    <n v="5681.8309965203089"/>
    <x v="0"/>
  </r>
  <r>
    <s v="007"/>
    <s v="MPA"/>
    <s v="430T21258"/>
    <s v="GAINE TUBULAIRE 6.2 19 258"/>
    <s v="UN"/>
    <n v="3684"/>
    <n v="1.5132252167621694"/>
    <n v="5574.7216985518317"/>
    <x v="0"/>
  </r>
  <r>
    <s v="007"/>
    <s v="MPA"/>
    <s v="440B9002"/>
    <s v="RAMPE B90 COMPACT NOIR 2A233002B70"/>
    <s v="UN"/>
    <n v="2000"/>
    <n v="0.74569773950216922"/>
    <n v="1491.3954790043385"/>
    <x v="0"/>
  </r>
  <r>
    <s v="007"/>
    <s v="MPA"/>
    <s v="440M1001"/>
    <s v="RAMPE E2/M10 NOIR"/>
    <s v="UN"/>
    <n v="5000"/>
    <n v="0.16800000000000001"/>
    <n v="840"/>
    <x v="0"/>
  </r>
  <r>
    <s v="007"/>
    <s v="MPA"/>
    <s v="440M1101"/>
    <s v="RAMPE M11 NOIR"/>
    <s v="UN"/>
    <n v="2800"/>
    <n v="0.17177000000000001"/>
    <n v="480.95600000000002"/>
    <x v="0"/>
  </r>
  <r>
    <s v="007"/>
    <s v="MPA"/>
    <s v="450C0002"/>
    <s v="POIGNEE CORDE/ SUPPORT NOIR"/>
    <s v="UN"/>
    <n v="17700"/>
    <n v="0.45423024232466941"/>
    <n v="8039.8752891466484"/>
    <x v="0"/>
  </r>
  <r>
    <s v="007"/>
    <s v="MPA"/>
    <s v="450C0007"/>
    <s v="INSERT FIXATION POIGNEE COMPACT B90 NOIR"/>
    <s v="UN"/>
    <n v="14000"/>
    <n v="4.2423225523259056E-2"/>
    <n v="593.92515732562674"/>
    <x v="0"/>
  </r>
  <r>
    <s v="007"/>
    <s v="MPA"/>
    <s v="450L0101"/>
    <s v="POIGNEE COUV L2 FAI NOIR"/>
    <s v="UN"/>
    <n v="550"/>
    <n v="0.26982530896707219"/>
    <n v="148.4039199318897"/>
    <x v="0"/>
  </r>
  <r>
    <s v="007"/>
    <s v="MPA"/>
    <s v="460D1801"/>
    <s v="BOUCHON D18 NOIR PRESS"/>
    <s v="UN"/>
    <n v="8000"/>
    <n v="7.2081642607498053E-2"/>
    <n v="576.65314085998443"/>
    <x v="0"/>
  </r>
  <r>
    <s v="007"/>
    <s v="MPA"/>
    <s v="460d1810"/>
    <s v="BOUCHON KAMINA D18 ROUGE 24593044B72"/>
    <s v="UN"/>
    <n v="15800"/>
    <n v="0.12586663453850466"/>
    <n v="1988.6928257083737"/>
    <x v="0"/>
  </r>
  <r>
    <s v="007"/>
    <s v="MPA"/>
    <s v="460D1811"/>
    <s v="BOUCHON KAM D18 JAUNE 24593042d40"/>
    <s v="UN"/>
    <n v="126000"/>
    <n v="0.12030651236000431"/>
    <n v="15158.620557360542"/>
    <x v="0"/>
  </r>
  <r>
    <s v="007"/>
    <s v="MPA"/>
    <s v="460D1812"/>
    <s v="BOUCHON KAM D18 GRIS"/>
    <s v="UN"/>
    <n v="36000"/>
    <n v="9.9137774151080577E-2"/>
    <n v="3568.9598694389006"/>
    <x v="0"/>
  </r>
  <r>
    <s v="007"/>
    <s v="MPA"/>
    <s v="460d1815"/>
    <s v="BOUCHON D18 NOIR FILETAGE 29963006D40"/>
    <s v="UN"/>
    <n v="52000"/>
    <n v="0.11538675798219111"/>
    <n v="6000.1114150739377"/>
    <x v="0"/>
  </r>
  <r>
    <s v="007"/>
    <s v="MPA"/>
    <s v="460d1816"/>
    <s v="BOUCHON KAMINA D18 OPAQUE AKU"/>
    <s v="UN"/>
    <n v="8200"/>
    <n v="6.2E-2"/>
    <n v="508.4"/>
    <x v="0"/>
  </r>
  <r>
    <s v="007"/>
    <s v="MPA"/>
    <s v="460d1817"/>
    <s v="OIL MAGIQUE 40 MM AKUMSA"/>
    <s v="UN"/>
    <n v="1100"/>
    <n v="0.04"/>
    <n v="44"/>
    <x v="0"/>
  </r>
  <r>
    <s v="007"/>
    <s v="MPA"/>
    <s v="460D1818"/>
    <s v="BOUCHON D18 ROUGE FILETEE 29963003D40"/>
    <s v="UN"/>
    <n v="84500"/>
    <n v="0.12182541520774003"/>
    <n v="10294.247585054032"/>
    <x v="0"/>
  </r>
  <r>
    <s v="007"/>
    <s v="MPA"/>
    <s v="460D1819"/>
    <s v="BOUCHON D18 JAUNE FILETEE 29963002D40"/>
    <s v="UN"/>
    <n v="39000"/>
    <n v="9.294162627161931E-2"/>
    <n v="3624.7234245931531"/>
    <x v="0"/>
  </r>
  <r>
    <s v="007"/>
    <s v="MPA"/>
    <s v="460D1822"/>
    <s v="BOUCHON D18 BLEU FILETAGE POUR GAMME M"/>
    <s v="UN"/>
    <n v="13000"/>
    <n v="0.45058882505142306"/>
    <n v="5857.6547256684999"/>
    <x v="0"/>
  </r>
  <r>
    <s v="007"/>
    <s v="MPA"/>
    <s v="460D1824"/>
    <s v="BOUCHON 7/8 NOIR NATO"/>
    <s v="UN"/>
    <n v="4000"/>
    <n v="0.45058882505142306"/>
    <n v="1802.3553002056922"/>
    <x v="0"/>
  </r>
  <r>
    <s v="007"/>
    <s v="MPA"/>
    <s v="460D1825"/>
    <s v="BOUCHON M18 NOIR NON DEV 28463007P70"/>
    <s v="UN"/>
    <n v="65000"/>
    <n v="0.20857667735914859"/>
    <n v="13557.484028344657"/>
    <x v="0"/>
  </r>
  <r>
    <s v="007"/>
    <s v="MPA"/>
    <s v="460D1828"/>
    <s v="OEIL MAGIQUE S2-A2  D=22,9mm M=20,77mm L=68m"/>
    <s v="UN"/>
    <n v="36960"/>
    <n v="1.0299507058430681"/>
    <n v="38066.978087959797"/>
    <x v="0"/>
  </r>
  <r>
    <s v="007"/>
    <s v="MPA"/>
    <s v="460D1830"/>
    <s v="BOUCHON D18 ROUGE PRESS"/>
    <s v="UN"/>
    <n v="6000"/>
    <n v="7.2081642607498053E-2"/>
    <n v="432.48985564498832"/>
    <x v="0"/>
  </r>
  <r>
    <s v="007"/>
    <s v="MPA"/>
    <s v="460D1836"/>
    <s v="BOUCHON KAMINA D18 NOIR AVEC JOINT"/>
    <s v="UN"/>
    <n v="230500"/>
    <n v="0.11979794529420783"/>
    <n v="27613.426390314904"/>
    <x v="0"/>
  </r>
  <r>
    <s v="007"/>
    <s v="MPA"/>
    <s v="460D1838"/>
    <s v="OEIL M. S2-A2  D=22,9mm M=20,77mm L=57,7mm"/>
    <s v="UN"/>
    <n v="40000"/>
    <n v="1.2058452589383868"/>
    <n v="48233.810357535469"/>
    <x v="0"/>
  </r>
  <r>
    <s v="007"/>
    <s v="MPA"/>
    <s v="460D1839"/>
    <s v="BOUCHON M18 RS\21 NOIR 28533013B72 NON DEVISSABLE"/>
    <s v="UN"/>
    <n v="82500"/>
    <n v="0.3353815087095105"/>
    <n v="27668.974468534616"/>
    <x v="0"/>
  </r>
  <r>
    <s v="007"/>
    <s v="MPA"/>
    <s v="460D1840"/>
    <s v="BOUCHON M18 GRIS28G NON DEV 2B353005B72"/>
    <s v="UN"/>
    <n v="104000"/>
    <n v="0.12701501758475559"/>
    <n v="13209.561828814582"/>
    <x v="0"/>
  </r>
  <r>
    <s v="007"/>
    <s v="MPA"/>
    <s v="460D1842"/>
    <s v="BOUCHON NATO AGM 27883006D40"/>
    <s v="UN"/>
    <n v="2300"/>
    <n v="0.93449681548994601"/>
    <n v="2149.3426756268759"/>
    <x v="0"/>
  </r>
  <r>
    <s v="007"/>
    <s v="MPA"/>
    <s v="460D1843"/>
    <s v="Magic eye 19.16 / 72.3 MM (P) L1-L5 HH"/>
    <s v="UN"/>
    <n v="17000"/>
    <n v="0.45292966504642573"/>
    <n v="7699.8043057892373"/>
    <x v="0"/>
  </r>
  <r>
    <s v="007"/>
    <s v="MPA"/>
    <s v="460D1845"/>
    <s v="Magic eye  19.16 / 60 MM (X &amp; W) B1-B5 SMF &amp; JIS"/>
    <s v="UN"/>
    <n v="6000"/>
    <n v="0.50005156797129557"/>
    <n v="3000.3094078277736"/>
    <x v="0"/>
  </r>
  <r>
    <s v="007"/>
    <s v="MPA"/>
    <s v="460D1846"/>
    <s v="BOUCHON D18 NOIR  KAMINA SS JOINT HEAD +"/>
    <s v="UN"/>
    <n v="80000"/>
    <n v="9.7537290075823582E-2"/>
    <n v="7802.9832060658864"/>
    <x v="0"/>
  </r>
  <r>
    <s v="007"/>
    <s v="MPA"/>
    <s v="460D1847"/>
    <s v="Magic eye 19.16 / 62.5mm"/>
    <s v="UN"/>
    <n v="96000"/>
    <n v="0.40680899999999998"/>
    <n v="39053.663999999997"/>
    <x v="0"/>
  </r>
  <r>
    <s v="007"/>
    <s v="MPA"/>
    <s v="460D2101"/>
    <s v="BOUCHON PRESSION D21 NOIR MFP"/>
    <s v="UN"/>
    <n v="53000"/>
    <n v="8.9777293041835862E-2"/>
    <n v="4758.1965312173006"/>
    <x v="0"/>
  </r>
  <r>
    <s v="007"/>
    <s v="MPA"/>
    <s v="460D2205"/>
    <s v="BOUCHON M22 D NOIR POUR N50 ET N70"/>
    <s v="UN"/>
    <n v="8000"/>
    <n v="5.0160191444765453E-2"/>
    <n v="401.28153155812362"/>
    <x v="0"/>
  </r>
  <r>
    <s v="007"/>
    <s v="MPA"/>
    <s v="460D2702"/>
    <s v="BOUCHON D27 NOIR"/>
    <s v="UN"/>
    <n v="9000"/>
    <n v="5.8254564271935781E-2"/>
    <n v="524.29107844742202"/>
    <x v="0"/>
  </r>
  <r>
    <s v="007"/>
    <s v="MPA"/>
    <s v="460D2709"/>
    <s v="BOUCHON D27 ROUGE 39153003B70"/>
    <s v="UN"/>
    <n v="15000"/>
    <n v="0.17441023280505299"/>
    <n v="2616.1534920757949"/>
    <x v="0"/>
  </r>
  <r>
    <s v="007"/>
    <s v="MPA"/>
    <s v="460D2710"/>
    <s v="BOUCHON D27 JAUNE"/>
    <s v="UN"/>
    <n v="51000"/>
    <n v="0.11390237598642186"/>
    <n v="5809.0211753075146"/>
    <x v="0"/>
  </r>
  <r>
    <s v="007"/>
    <s v="MPA"/>
    <s v="490A0002"/>
    <s v="ADAPTATEUR JIS/DIN + POUR NS40 0013200"/>
    <s v="UN"/>
    <n v="1500"/>
    <n v="1.5958152173460487"/>
    <n v="2393.7228260190732"/>
    <x v="0"/>
  </r>
  <r>
    <s v="007"/>
    <s v="MPA"/>
    <s v="490A0003"/>
    <s v="ADAPTATEUR JIS/DIN - POUR NS40 0013201"/>
    <s v="UN"/>
    <n v="1500"/>
    <n v="1.5899074534561188"/>
    <n v="2384.8611801841785"/>
    <x v="0"/>
  </r>
  <r>
    <s v="007"/>
    <s v="MPA"/>
    <s v="490B0006"/>
    <s v="COUVRE BORNE D+ NOIR COUV DR - 32163005D40"/>
    <s v="UN"/>
    <n v="3850"/>
    <n v="0.30656946187705758"/>
    <n v="1180.2924282266717"/>
    <x v="0"/>
  </r>
  <r>
    <s v="007"/>
    <s v="MPA"/>
    <s v="490B0007"/>
    <s v="COUVRE BORNE G- NOIR COUV DR - 2B233004D40"/>
    <s v="UN"/>
    <n v="4500"/>
    <n v="0.31121829529102618"/>
    <n v="1400.4823288096179"/>
    <x v="0"/>
  </r>
  <r>
    <s v="007"/>
    <s v="MPA"/>
    <s v="490B0008"/>
    <s v="COUVRE BORNE G+ NOIR COUVERCLE GAUCHE"/>
    <s v="UN"/>
    <n v="1650"/>
    <n v="0.19247513901472693"/>
    <n v="317.58397937429942"/>
    <x v="0"/>
  </r>
  <r>
    <s v="007"/>
    <s v="MPA"/>
    <s v="490B0009"/>
    <s v="COUVRE BORNE D- NOIR COUVRECLE GAUCHE"/>
    <s v="UN"/>
    <n v="550"/>
    <n v="0.19247513901472693"/>
    <n v="105.86132645809981"/>
    <x v="0"/>
  </r>
  <r>
    <s v="007"/>
    <s v="MPA"/>
    <s v="490b0011"/>
    <s v="CACHE BORNE POS. ROUGE POULIE"/>
    <s v="UN"/>
    <n v="38500"/>
    <n v="3.894817091860367E-2"/>
    <n v="1499.5045803662413"/>
    <x v="0"/>
  </r>
  <r>
    <s v="007"/>
    <s v="MPA"/>
    <s v="490B0012"/>
    <s v="CACHE BORNE NEG.BLANC POULIE"/>
    <s v="UN"/>
    <n v="17500"/>
    <n v="2.9152998195158684E-2"/>
    <n v="510.17746841527696"/>
    <x v="0"/>
  </r>
  <r>
    <s v="007"/>
    <s v="MPA"/>
    <s v="490B0013"/>
    <s v="CACHE BORNE ROUGE &quot; + &quot; B. 153 POULIE"/>
    <s v="UN"/>
    <n v="3500"/>
    <n v="6.8229999999999999E-2"/>
    <n v="238.80500000000001"/>
    <x v="0"/>
  </r>
  <r>
    <s v="007"/>
    <s v="MPA"/>
    <s v="490B0014"/>
    <s v="CACHE BORNE BLANCHE &quot; -&quot; B.  153 POULIE"/>
    <s v="UN"/>
    <n v="3500"/>
    <n v="7.4069999999999997E-2"/>
    <n v="259.245"/>
    <x v="0"/>
  </r>
  <r>
    <s v="007"/>
    <s v="MPA"/>
    <s v="490b0016"/>
    <s v="CACHE BORNE NEG. BLEU POULIE"/>
    <s v="UN"/>
    <n v="31500"/>
    <n v="0.02"/>
    <n v="630"/>
    <x v="0"/>
  </r>
  <r>
    <s v="007"/>
    <s v="MPA"/>
    <s v="490B0017"/>
    <s v="CACHE BORNE NEG. NOIR POULIE"/>
    <s v="UN"/>
    <n v="31500"/>
    <n v="2.9920898765432101E-2"/>
    <n v="942.5083111111112"/>
    <x v="0"/>
  </r>
  <r>
    <s v="007"/>
    <s v="MPA"/>
    <s v="490B0019"/>
    <s v="COUVRE BORNE R+ VERT SMF LIDS"/>
    <s v="UN"/>
    <n v="6500"/>
    <n v="0.20321989343556637"/>
    <n v="1320.9293073311815"/>
    <x v="0"/>
  </r>
  <r>
    <s v="007"/>
    <s v="MPA"/>
    <s v="490B0020"/>
    <s v="COUVRE BORNE L- VERT SMF LIDS"/>
    <s v="UN"/>
    <n v="7000"/>
    <n v="0.20230847523194981"/>
    <n v="1416.1593266236487"/>
    <x v="0"/>
  </r>
  <r>
    <s v="007"/>
    <s v="MPA"/>
    <s v="490B0021"/>
    <s v="COUVRE BORNE R+ BLEU SMF LIDS"/>
    <s v="UN"/>
    <n v="15500"/>
    <n v="0.5534376468067399"/>
    <n v="8578.2835255044683"/>
    <x v="0"/>
  </r>
  <r>
    <s v="007"/>
    <s v="MPA"/>
    <s v="490B0022"/>
    <s v="COUVRE BORNE L- BLEU SMF LIDS"/>
    <s v="UN"/>
    <n v="17000"/>
    <n v="0.54982663805230358"/>
    <n v="9347.0528468891607"/>
    <x v="0"/>
  </r>
  <r>
    <s v="007"/>
    <s v="MPA"/>
    <s v="490B0023"/>
    <s v="COUVRE BORNE L+ BLEU SMF LIDS"/>
    <s v="UN"/>
    <n v="1000"/>
    <n v="0.76890957509608171"/>
    <n v="768.90957509608165"/>
    <x v="0"/>
  </r>
  <r>
    <s v="007"/>
    <s v="MPA"/>
    <s v="490B0024"/>
    <s v="COUVRE BORNE R- BLEU SMF LIDS"/>
    <s v="UN"/>
    <n v="1500"/>
    <n v="0.7630457642971944"/>
    <n v="1144.5686464457915"/>
    <x v="0"/>
  </r>
  <r>
    <s v="007"/>
    <s v="MPA"/>
    <s v="490b0025"/>
    <s v="COUVRE BORNE R+ ROUGE SMF LIDS"/>
    <s v="UN"/>
    <n v="21000"/>
    <n v="0.16297568959053735"/>
    <n v="3422.4894814012841"/>
    <x v="0"/>
  </r>
  <r>
    <s v="007"/>
    <s v="MPA"/>
    <s v="490b0026"/>
    <s v="COUVRE BORNE L- NOIR SMF LIDS"/>
    <s v="UN"/>
    <n v="16500"/>
    <n v="0.1882655995028247"/>
    <n v="3106.3823917966074"/>
    <x v="0"/>
  </r>
  <r>
    <s v="007"/>
    <s v="MPA"/>
    <s v="490B0027"/>
    <s v="COUVRE BORNE R+ NOIR SMF LIDS"/>
    <s v="UN"/>
    <n v="7500"/>
    <n v="0.20633450960964342"/>
    <n v="1547.5088220723255"/>
    <x v="0"/>
  </r>
  <r>
    <s v="007"/>
    <s v="MPA"/>
    <s v="490c0001"/>
    <s v="CALE PLASTIC EP/4MM"/>
    <s v="UN"/>
    <n v="17400"/>
    <n v="6.8861855497382204E-2"/>
    <n v="1198.1962856544503"/>
    <x v="0"/>
  </r>
  <r>
    <s v="007"/>
    <s v="MPA"/>
    <s v="490C0002"/>
    <s v="CALE PLASTIC EP/6MM"/>
    <s v="UN"/>
    <n v="700"/>
    <n v="0.11899999999999998"/>
    <n v="83.299999999999983"/>
    <x v="0"/>
  </r>
  <r>
    <s v="007"/>
    <s v="MPA"/>
    <s v="490C0003"/>
    <s v="CALE PLASTIC EP/8,5MM"/>
    <s v="UN"/>
    <n v="57100"/>
    <n v="0.21493302998837036"/>
    <n v="12272.676012335947"/>
    <x v="0"/>
  </r>
  <r>
    <s v="007"/>
    <s v="MPA"/>
    <s v="490C0010"/>
    <s v="BAGUE caoutchouc D22X15X10mm"/>
    <s v="UN"/>
    <n v="13500"/>
    <n v="0.24174015750057906"/>
    <n v="3263.4921262578173"/>
    <x v="0"/>
  </r>
  <r>
    <s v="007"/>
    <s v="MPA"/>
    <s v="490C0013"/>
    <s v="BAGUE D 17mm 10,5x10mm"/>
    <s v="UN"/>
    <n v="7750"/>
    <n v="0.15"/>
    <n v="1162.5"/>
    <x v="0"/>
  </r>
  <r>
    <s v="007"/>
    <s v="MPA"/>
    <s v="490C0015"/>
    <s v="CALE PAPILLON DIN NOIR POUR L1-L5 BAC"/>
    <s v="UN"/>
    <n v="39000"/>
    <n v="0.27298834526912963"/>
    <n v="10646.545465496056"/>
    <x v="0"/>
  </r>
  <r>
    <s v="007"/>
    <s v="MPA"/>
    <s v="490C0016"/>
    <s v="CALE PAPILLON JIS NOIR GAMME  ASIATIQUE"/>
    <s v="UN"/>
    <n v="25000"/>
    <n v="0.27468642448940533"/>
    <n v="6867.1606122351332"/>
    <x v="0"/>
  </r>
  <r>
    <s v="007"/>
    <s v="MPA"/>
    <s v="490C0017"/>
    <s v="INSERT 8 MM(monbat)"/>
    <s v="UN"/>
    <n v="300"/>
    <n v="0.3805336722915485"/>
    <n v="114.16010168746455"/>
    <x v="0"/>
  </r>
  <r>
    <s v="007"/>
    <s v="MPA"/>
    <s v="490C0018"/>
    <s v="INSERT 16 MM(monbat)"/>
    <s v="UN"/>
    <n v="300"/>
    <n v="0.44972161270819377"/>
    <n v="134.91648381245813"/>
    <x v="0"/>
  </r>
  <r>
    <s v="007"/>
    <s v="MPA"/>
    <s v="490C0019"/>
    <s v="INSERT 20 MM(monbat)"/>
    <s v="UN"/>
    <n v="300"/>
    <n v="0.48431558291651633"/>
    <n v="145.29467487495489"/>
    <x v="0"/>
  </r>
  <r>
    <s v="007"/>
    <s v="MPA"/>
    <s v="490C0020"/>
    <s v="INSERT 24 MM(monbat)"/>
    <s v="UN"/>
    <n v="300"/>
    <n v="0.51890955312483877"/>
    <n v="155.67286593745163"/>
    <x v="0"/>
  </r>
  <r>
    <s v="007"/>
    <s v="MPA"/>
    <s v="490C0021"/>
    <s v="INSERT 28 MM(monbat)"/>
    <s v="UN"/>
    <n v="300"/>
    <n v="0.51890955312483877"/>
    <n v="155.67286593745163"/>
    <x v="0"/>
  </r>
  <r>
    <s v="007"/>
    <s v="MPA"/>
    <s v="490C0022"/>
    <s v="INSERT 12 MM(monbat)"/>
    <s v="UN"/>
    <n v="300"/>
    <n v="0.41512764249987105"/>
    <n v="124.53829274996131"/>
    <x v="0"/>
  </r>
  <r>
    <s v="007"/>
    <s v="MPA"/>
    <s v="490C0023"/>
    <s v="INSERT 32 MM(monbat)"/>
    <s v="UN"/>
    <n v="300"/>
    <n v="0.65728543395812911"/>
    <n v="197.18563018743873"/>
    <x v="0"/>
  </r>
  <r>
    <s v="007"/>
    <s v="MPA"/>
    <s v="490D0001"/>
    <s v="DISPOSITIF ANTIDEFLAG. K"/>
    <s v="UN"/>
    <n v="25000"/>
    <n v="5.2999999999999999E-2"/>
    <n v="1325"/>
    <x v="0"/>
  </r>
  <r>
    <s v="007"/>
    <s v="MPA"/>
    <s v="490D0002"/>
    <s v="BOUCHON ANGULAIRE KAM"/>
    <s v="UN"/>
    <n v="30000"/>
    <n v="5.6416434286875206E-2"/>
    <n v="1692.4930286062561"/>
    <x v="0"/>
  </r>
  <r>
    <s v="007"/>
    <s v="MPA"/>
    <s v="490D0003"/>
    <s v="GOMITO COP. KAM"/>
    <s v="UN"/>
    <n v="28800"/>
    <n v="2.7019999999999995E-2"/>
    <n v="778.17599999999982"/>
    <x v="0"/>
  </r>
  <r>
    <s v="007"/>
    <s v="MPA"/>
    <s v="490R0001"/>
    <s v="RONDELLE NEG. BLANCHE"/>
    <s v="UN"/>
    <n v="7000"/>
    <n v="2.6958747617727846E-2"/>
    <n v="188.71123332409493"/>
    <x v="0"/>
  </r>
  <r>
    <s v="007"/>
    <s v="MPA"/>
    <s v="490r0002"/>
    <s v="RONDELLE POSITIVE ROUGE"/>
    <s v="UN"/>
    <n v="15000"/>
    <n v="2.728495119508461E-2"/>
    <n v="409.27426792626915"/>
    <x v="0"/>
  </r>
  <r>
    <s v="007"/>
    <s v="MPA"/>
    <s v="490R0004"/>
    <s v="RONDELLE NEG. BLEU"/>
    <s v="UN"/>
    <n v="13500"/>
    <n v="1.3510000000000001E-2"/>
    <n v="182.38500000000002"/>
    <x v="0"/>
  </r>
  <r>
    <s v="007"/>
    <s v="MPA"/>
    <s v="490R0005"/>
    <s v="RONDELLE BLANCHE &quot; - &quot; B.153"/>
    <s v="UN"/>
    <n v="8000"/>
    <n v="7.3099999999999998E-2"/>
    <n v="584.79999999999995"/>
    <x v="0"/>
  </r>
  <r>
    <s v="007"/>
    <s v="MPA"/>
    <s v="490R0006"/>
    <s v="RONDELLE ROUGE &quot; + &quot; B.153"/>
    <s v="UN"/>
    <n v="8000"/>
    <n v="7.0514705882352938E-2"/>
    <n v="564.11764705882354"/>
    <x v="0"/>
  </r>
  <r>
    <s v="007"/>
    <s v="MPA"/>
    <s v="490T2301"/>
    <s v="COUVRE COUVERCLE D23 T-AKUMSAN NOIR"/>
    <s v="UN"/>
    <n v="7200"/>
    <n v="1.7624734881306676"/>
    <n v="12689.809114540807"/>
    <x v="0"/>
  </r>
  <r>
    <s v="007"/>
    <s v="MPA"/>
    <s v="490T5001"/>
    <s v="COUVRE COUVERCLE N50 T-AKUMSAN NOIR"/>
    <s v="UN"/>
    <n v="5520"/>
    <n v="1.815099252541148"/>
    <n v="10019.347874027137"/>
    <x v="0"/>
  </r>
  <r>
    <s v="007"/>
    <s v="MPA"/>
    <s v="490T7001"/>
    <s v="COUVRE COUVERCLE N70 T-AKUMSAN NOIR"/>
    <s v="UN"/>
    <n v="4608"/>
    <n v="1.9190203489271771"/>
    <n v="8842.8457678564318"/>
    <x v="0"/>
  </r>
  <r>
    <s v="007"/>
    <s v="MPA"/>
    <s v="490TL0101"/>
    <s v="COUVRE COUVERCLE L1SMF NOIR"/>
    <s v="UN"/>
    <n v="10296"/>
    <n v="1.4268611588435918"/>
    <n v="14690.962491453622"/>
    <x v="0"/>
  </r>
  <r>
    <s v="007"/>
    <s v="MPA"/>
    <s v="490TL0102"/>
    <s v="COUVRE COUVERCLE L1T-AKUMSAN NOIR"/>
    <s v="UN"/>
    <n v="3264"/>
    <n v="1.4450582455291476"/>
    <n v="4716.6701134071382"/>
    <x v="0"/>
  </r>
  <r>
    <s v="007"/>
    <s v="MPA"/>
    <s v="490TL0201"/>
    <s v="COUVRE COUVERCLE L2SMF NOIR"/>
    <s v="UN"/>
    <n v="15730"/>
    <n v="1.5153198858058068"/>
    <n v="23835.981803725339"/>
    <x v="0"/>
  </r>
  <r>
    <s v="007"/>
    <s v="MPA"/>
    <s v="490TL0202"/>
    <s v="COUVRE COUVERCLE L2T-AKUMSAN NOIR"/>
    <s v="UN"/>
    <n v="2880"/>
    <n v="1.58534255930487"/>
    <n v="4565.7865707980254"/>
    <x v="0"/>
  </r>
  <r>
    <s v="007"/>
    <s v="MPA"/>
    <s v="490TL0301"/>
    <s v="COUVRE COUVERCLE L3 SMF NOIR"/>
    <s v="UN"/>
    <n v="16060"/>
    <n v="1.5693694467420258"/>
    <n v="25204.073314676934"/>
    <x v="0"/>
  </r>
  <r>
    <s v="007"/>
    <s v="MPA"/>
    <s v="490TL0302"/>
    <s v="COUVRE COUVERCLE L3 T-AKUMSAN NOIR"/>
    <s v="UN"/>
    <n v="3024"/>
    <n v="1.7999036584262238"/>
    <n v="5442.9086630809006"/>
    <x v="0"/>
  </r>
  <r>
    <s v="007"/>
    <s v="MPA"/>
    <s v="490TL0501"/>
    <s v="COUVRE COUVERCLE L5 SMF NOIR"/>
    <s v="UN"/>
    <n v="2464"/>
    <n v="1.7344485239482599"/>
    <n v="4273.6811630085122"/>
    <x v="0"/>
  </r>
  <r>
    <s v="007"/>
    <s v="MPA"/>
    <s v="490TL0502"/>
    <s v="COUVRE COUVERCLE L5 T-AKUMSAN NOIR"/>
    <s v="UN"/>
    <n v="864"/>
    <n v="1.9057951727128553"/>
    <n v="1646.6070292239069"/>
    <x v="0"/>
  </r>
  <r>
    <s v="007"/>
    <s v="MPA"/>
    <s v="490TNS4001"/>
    <s v="COUVRE COUVERCLE NS40 T-AKUMSAN NOIR"/>
    <s v="UN"/>
    <n v="2496"/>
    <n v="1.5295158137805818"/>
    <n v="3817.6714711963323"/>
    <x v="0"/>
  </r>
  <r>
    <s v="007"/>
    <s v="MPA"/>
    <s v="490TNS6001"/>
    <s v="COUVRE COUVERCLENS60 T-AKUMSAN NOIR"/>
    <s v="UN"/>
    <n v="2640"/>
    <n v="1.6556066175490081"/>
    <n v="4370.8014703293811"/>
    <x v="0"/>
  </r>
  <r>
    <s v="007"/>
    <s v="MPA"/>
    <s v="491BB002"/>
    <s v="REGLE DE FERMETURE 19 tubes 6.2 akb"/>
    <s v="UN"/>
    <n v="3325"/>
    <n v="0.56883332117009466"/>
    <n v="1891.3707928905646"/>
    <x v="0"/>
  </r>
  <r>
    <s v="007"/>
    <s v="MPA"/>
    <s v="491BB003"/>
    <s v="REGLE DE FERMETURE 21 Tubes akb"/>
    <s v="UN"/>
    <n v="9000"/>
    <n v="0.64329877412327052"/>
    <n v="5789.688967109435"/>
    <x v="0"/>
  </r>
  <r>
    <s v="007"/>
    <s v="MPA"/>
    <s v="500E0209"/>
    <s v="ETIQ BAC SMART  S1 170/95"/>
    <s v="UN"/>
    <n v="1000"/>
    <n v="0.30528988899645421"/>
    <n v="305.28988899645418"/>
    <x v="0"/>
  </r>
  <r>
    <s v="007"/>
    <s v="MPA"/>
    <s v="500E0212"/>
    <s v="ETIQ BAC SMART S5 315/95"/>
    <s v="UN"/>
    <n v="2000"/>
    <n v="0.54727052307402646"/>
    <n v="1094.5410461480528"/>
    <x v="0"/>
  </r>
  <r>
    <s v="007"/>
    <s v="MPA"/>
    <s v="500E0214"/>
    <s v="ETIQ BAC NOUR JUMBO M15 135AH 135/310"/>
    <s v="UN"/>
    <n v="470"/>
    <n v="1.3230641258607909"/>
    <n v="621.84013915457172"/>
    <x v="0"/>
  </r>
  <r>
    <s v="007"/>
    <s v="MPA"/>
    <s v="500E0232"/>
    <s v="ETIQ BAC NOUR POWER PL2B 55AH 83/205"/>
    <s v="UN"/>
    <n v="500"/>
    <n v="0.22800000000000001"/>
    <n v="114"/>
    <x v="0"/>
  </r>
  <r>
    <s v="007"/>
    <s v="MPA"/>
    <s v="500E0233"/>
    <s v="ETIQ BAC NOUR POWER PL3B 66AH 83/235"/>
    <s v="UN"/>
    <n v="500"/>
    <n v="0.28799999999999998"/>
    <n v="144"/>
    <x v="0"/>
  </r>
  <r>
    <s v="007"/>
    <s v="MPA"/>
    <s v="500E0234"/>
    <s v="ETIQ BAC SMART S6 315/95"/>
    <s v="UN"/>
    <n v="2500"/>
    <n v="0.55041091954022991"/>
    <n v="1376.0272988505749"/>
    <x v="0"/>
  </r>
  <r>
    <s v="007"/>
    <s v="MPA"/>
    <s v="500E0243"/>
    <s v="ETIQ BAC S2 EFB 62AH 560A 200/90"/>
    <s v="UN"/>
    <n v="600"/>
    <n v="0.60599999999999998"/>
    <n v="363.59999999999997"/>
    <x v="0"/>
  </r>
  <r>
    <s v="007"/>
    <s v="MPA"/>
    <s v="500E0245"/>
    <s v="ETIQ BAC S5 EFB 100AH 860A 280/90"/>
    <s v="UN"/>
    <n v="1200"/>
    <n v="0.37369999999999998"/>
    <n v="448.44"/>
    <x v="0"/>
  </r>
  <r>
    <s v="007"/>
    <s v="MPA"/>
    <s v="500E0246"/>
    <s v="ETIQ BAC JUMBO NEAUVEAU DESIGN M14 125AH 310/130"/>
    <s v="UN"/>
    <n v="2000"/>
    <n v="0.62975590861764652"/>
    <n v="1259.5118172352929"/>
    <x v="0"/>
  </r>
  <r>
    <s v="007"/>
    <s v="MPA"/>
    <s v="500e0247"/>
    <s v="ETIQ BAC JUMBO M15 310/130 NOUVEAU DESIGN 140AH/9"/>
    <s v="UN"/>
    <n v="500"/>
    <n v="0.63034323522701341"/>
    <n v="315.17161761350673"/>
    <x v="0"/>
  </r>
  <r>
    <s v="007"/>
    <s v="MPA"/>
    <s v="500E0248"/>
    <s v="ETIQ BAC JUMBO M15S 170AH 310/130 NOUVEAU DESIGN"/>
    <s v="UN"/>
    <n v="500"/>
    <n v="0.43934999999999996"/>
    <n v="219.67499999999998"/>
    <x v="0"/>
  </r>
  <r>
    <s v="007"/>
    <s v="MPA"/>
    <s v="500E0249"/>
    <s v="ETIQ BAC JUMBO M16 180AH 310 /130 NOUVEAU DESIGN"/>
    <s v="UN"/>
    <n v="3000"/>
    <n v="0.45070999999999994"/>
    <n v="1352.1299999999999"/>
    <x v="0"/>
  </r>
  <r>
    <s v="007"/>
    <s v="MPA"/>
    <s v="500E0251"/>
    <s v="ETIQ BAC POWER PL1 44AH/380A 90/160  ND"/>
    <s v="UN"/>
    <n v="2700"/>
    <n v="0.34292948456921724"/>
    <n v="925.90960833688655"/>
    <x v="0"/>
  </r>
  <r>
    <s v="007"/>
    <s v="MPA"/>
    <s v="500E0252"/>
    <s v="ETIQ BAC POWER PL2 55 AH/460A 92/205 ND 190/90"/>
    <s v="UN"/>
    <n v="1060"/>
    <n v="0.33050791018468506"/>
    <n v="350.33838479576616"/>
    <x v="0"/>
  </r>
  <r>
    <s v="007"/>
    <s v="MPA"/>
    <s v="500E0253"/>
    <s v="ETIQ BAC POWER PL3 66AH/550A 90/230 ND"/>
    <s v="UN"/>
    <n v="3400"/>
    <n v="0.46855693910358942"/>
    <n v="1593.0935929522041"/>
    <x v="0"/>
  </r>
  <r>
    <s v="007"/>
    <s v="MPA"/>
    <s v="500E0255"/>
    <s v="ETIQ BAC POWER PL6MF 110AH/920A 300/90"/>
    <s v="UN"/>
    <n v="5330"/>
    <n v="0.58967420262664161"/>
    <n v="3142.9634999999998"/>
    <x v="0"/>
  </r>
  <r>
    <s v="007"/>
    <s v="MPA"/>
    <s v="500E0256"/>
    <s v="ETIQ BAC POWER PM10 220/110"/>
    <s v="UN"/>
    <n v="500"/>
    <n v="0.45421295335219619"/>
    <n v="227.10647667609808"/>
    <x v="0"/>
  </r>
  <r>
    <s v="007"/>
    <s v="MPA"/>
    <s v="500E0257"/>
    <s v="ETIQ BAC POWER PM11 250/110"/>
    <s v="UN"/>
    <n v="740"/>
    <n v="0.45388112745098042"/>
    <n v="335.87203431372552"/>
    <x v="0"/>
  </r>
  <r>
    <s v="007"/>
    <s v="MPA"/>
    <s v="500E0258"/>
    <s v="ETIQ BAC POWER PM12 290/110"/>
    <s v="UN"/>
    <n v="800"/>
    <n v="0.57672191917554938"/>
    <n v="461.37753534043952"/>
    <x v="0"/>
  </r>
  <r>
    <s v="007"/>
    <s v="MPA"/>
    <s v="500E0259"/>
    <s v="ETIQ BAC POWER PM10S 220/110"/>
    <s v="UN"/>
    <n v="8000"/>
    <n v="0.48544954806954338"/>
    <n v="3883.5963845563469"/>
    <x v="0"/>
  </r>
  <r>
    <s v="007"/>
    <s v="MPA"/>
    <s v="500E0261"/>
    <s v="ETIQ BAC POWER PM12S 290/110"/>
    <s v="UN"/>
    <n v="1270"/>
    <n v="0.64144036697247697"/>
    <n v="814.62926605504572"/>
    <x v="0"/>
  </r>
  <r>
    <s v="007"/>
    <s v="MPA"/>
    <s v="500E0262"/>
    <s v="ETIQ BAC SMARTS1 160/90 ND"/>
    <s v="UN"/>
    <n v="3780"/>
    <n v="0.25519348880166237"/>
    <n v="964.63138767028374"/>
    <x v="0"/>
  </r>
  <r>
    <s v="007"/>
    <s v="MPA"/>
    <s v="500E0263"/>
    <s v="ETIQ BAC SMARTS2 190/90 ND"/>
    <s v="UN"/>
    <n v="2640"/>
    <n v="0.32320000000000004"/>
    <n v="853.24800000000016"/>
    <x v="0"/>
  </r>
  <r>
    <s v="007"/>
    <s v="MPA"/>
    <s v="500E0265"/>
    <s v="ETIQ BAC SMARTS5 300/90 ND"/>
    <s v="UN"/>
    <n v="1530"/>
    <n v="0.60015503738685561"/>
    <n v="918.23720720188908"/>
    <x v="0"/>
  </r>
  <r>
    <s v="007"/>
    <s v="MPA"/>
    <s v="500E0266"/>
    <s v="ETIQ BAC PRL1 SMF 160/90"/>
    <s v="UN"/>
    <n v="3000"/>
    <n v="0.35349999999999998"/>
    <n v="1060.5"/>
    <x v="0"/>
  </r>
  <r>
    <s v="007"/>
    <s v="MPA"/>
    <s v="500E0267"/>
    <s v="ETIQ BAC PRL1B SMF 160/80"/>
    <s v="UN"/>
    <n v="4400"/>
    <n v="0.34496445386064029"/>
    <n v="1517.8435969868171"/>
    <x v="0"/>
  </r>
  <r>
    <s v="007"/>
    <s v="MPA"/>
    <s v="500E0268"/>
    <s v="ETIQ BAC PRL2 SMF 190/90"/>
    <s v="UN"/>
    <n v="4580"/>
    <n v="0.38379999999999992"/>
    <n v="1757.8039999999996"/>
    <x v="0"/>
  </r>
  <r>
    <s v="007"/>
    <s v="MPA"/>
    <s v="500E0269"/>
    <s v="ETIQ BAC PRL2B SMF 190/80"/>
    <s v="UN"/>
    <n v="5070"/>
    <n v="0.38379999999999997"/>
    <n v="1945.8659999999998"/>
    <x v="0"/>
  </r>
  <r>
    <s v="007"/>
    <s v="MPA"/>
    <s v="500E0270"/>
    <s v="ETIQ BAC PRL3 SMF 230/90"/>
    <s v="UN"/>
    <n v="2796"/>
    <n v="0.45450000000000002"/>
    <n v="1270.7820000000002"/>
    <x v="0"/>
  </r>
  <r>
    <s v="007"/>
    <s v="MPA"/>
    <s v="500E0271"/>
    <s v="ETIQ BAC PRL3B SMF 230/80"/>
    <s v="UN"/>
    <n v="3730"/>
    <n v="0.42420000000000002"/>
    <n v="1582.2660000000001"/>
    <x v="0"/>
  </r>
  <r>
    <s v="007"/>
    <s v="MPA"/>
    <s v="500E0273"/>
    <s v="ETIQ BAC  D23 PREMIUM ND 190/100"/>
    <s v="UN"/>
    <n v="5600"/>
    <n v="0.37369999999999998"/>
    <n v="2092.7199999999998"/>
    <x v="0"/>
  </r>
  <r>
    <s v="007"/>
    <s v="MPA"/>
    <s v="500E0274"/>
    <s v="ETIQ BAC  D26 PREMIUM ND 220/100"/>
    <s v="UN"/>
    <n v="2000"/>
    <n v="0.45450000000000002"/>
    <n v="909"/>
    <x v="0"/>
  </r>
  <r>
    <s v="007"/>
    <s v="MPA"/>
    <s v="500E0275"/>
    <s v="ETIQ BAC  D31 PREMIUM ND 250/100"/>
    <s v="UN"/>
    <n v="2220"/>
    <n v="0.42420000000000002"/>
    <n v="941.72400000000005"/>
    <x v="0"/>
  </r>
  <r>
    <s v="007"/>
    <s v="MPA"/>
    <s v="500E0276"/>
    <s v="ETIQ BAC NS60 PREMIUM ND 190/100"/>
    <s v="UN"/>
    <n v="4000"/>
    <n v="0.37369999999999992"/>
    <n v="1494.7999999999997"/>
    <x v="0"/>
  </r>
  <r>
    <s v="007"/>
    <s v="MPA"/>
    <s v="500E0277"/>
    <s v="ETIQ BAC  PM110 200/130"/>
    <s v="UN"/>
    <n v="3600"/>
    <n v="0.47470000000000001"/>
    <n v="1708.92"/>
    <x v="0"/>
  </r>
  <r>
    <s v="007"/>
    <s v="MPA"/>
    <s v="500E0278"/>
    <s v="ETIQ BAC MAR16 310/130"/>
    <s v="UN"/>
    <n v="1100"/>
    <n v="0.70699999999999985"/>
    <n v="777.69999999999982"/>
    <x v="0"/>
  </r>
  <r>
    <s v="007"/>
    <s v="MPA"/>
    <s v="500E0285"/>
    <s v="ETIQ B M14 SMF"/>
    <s v="UN"/>
    <n v="900"/>
    <n v="0.79285000000000005"/>
    <n v="713.56500000000005"/>
    <x v="0"/>
  </r>
  <r>
    <s v="007"/>
    <s v="MPA"/>
    <s v="500E0287"/>
    <s v="ETIQ BAC M16 SMF"/>
    <s v="UN"/>
    <n v="700"/>
    <n v="0.79285000000000005"/>
    <n v="554.995"/>
    <x v="0"/>
  </r>
  <r>
    <s v="007"/>
    <s v="MPA"/>
    <s v="500X0278"/>
    <s v="ETIQ BAC M10 POWER LYBIE NOUV DESIGN 230/95"/>
    <s v="UN"/>
    <n v="3500"/>
    <n v="9.1999999999999998E-2"/>
    <n v="322"/>
    <x v="0"/>
  </r>
  <r>
    <s v="007"/>
    <s v="MPA"/>
    <s v="500X0291"/>
    <s v="ETIQ BAC M10 STARTER LYBIE  230/95"/>
    <s v="UN"/>
    <n v="1400"/>
    <n v="9.2000000000000012E-2"/>
    <n v="128.80000000000001"/>
    <x v="0"/>
  </r>
  <r>
    <s v="007"/>
    <s v="MPA"/>
    <s v="500X0302"/>
    <s v="ETIQ BAC POWER DIVERS PF 180/90"/>
    <s v="UN"/>
    <n v="9500"/>
    <n v="0.30073257356344602"/>
    <n v="2856.9594488527373"/>
    <x v="0"/>
  </r>
  <r>
    <s v="007"/>
    <s v="MPA"/>
    <s v="500X0303"/>
    <s v="ETIQ BAC POWER DIVERS MF 230/95"/>
    <s v="UN"/>
    <n v="1400"/>
    <n v="0.27"/>
    <n v="378"/>
    <x v="0"/>
  </r>
  <r>
    <s v="007"/>
    <s v="MPA"/>
    <s v="500X0304"/>
    <s v="ETIQ BAC POWER DIVERS GF 310/135"/>
    <s v="UN"/>
    <n v="2600"/>
    <n v="0.42"/>
    <n v="1092"/>
    <x v="0"/>
  </r>
  <r>
    <s v="007"/>
    <s v="MPA"/>
    <s v="500X0311"/>
    <s v="ETIQ BAC JUMBO MF 230/95"/>
    <s v="UN"/>
    <n v="1500"/>
    <n v="0.23643"/>
    <n v="354.64499999999998"/>
    <x v="0"/>
  </r>
  <r>
    <s v="007"/>
    <s v="MPA"/>
    <s v="500X0313"/>
    <s v="ETIQ BAC STARTER PF  DESIGN2014 180/90"/>
    <s v="UN"/>
    <n v="8700"/>
    <n v="0.30131539823084258"/>
    <n v="2621.4439646083306"/>
    <x v="0"/>
  </r>
  <r>
    <s v="007"/>
    <s v="MPA"/>
    <s v="500X0314"/>
    <s v="ETIQ BAC STARTER MF  DESIGN2014 230/95"/>
    <s v="UN"/>
    <n v="2500"/>
    <n v="0.28905333333333333"/>
    <n v="722.63333333333333"/>
    <x v="0"/>
  </r>
  <r>
    <s v="007"/>
    <s v="MPA"/>
    <s v="500X0315"/>
    <s v="ETIQ BAC STARTER GF  DESIGN2014 310/95"/>
    <s v="UN"/>
    <n v="2500"/>
    <n v="0.42"/>
    <n v="1050"/>
    <x v="0"/>
  </r>
  <r>
    <s v="007"/>
    <s v="MPA"/>
    <s v="500x0326"/>
    <s v="ETIQ BAC POWER LYBIE D26 220/95"/>
    <s v="UN"/>
    <n v="1500"/>
    <n v="0.2727"/>
    <n v="409.05"/>
    <x v="0"/>
  </r>
  <r>
    <s v="007"/>
    <s v="MPA"/>
    <s v="500X0327"/>
    <s v="ETIQ BAC POWER LYBIE D31 250/100"/>
    <s v="UN"/>
    <n v="3000"/>
    <n v="0.29794999999999999"/>
    <n v="893.85"/>
    <x v="0"/>
  </r>
  <r>
    <s v="007"/>
    <s v="MPA"/>
    <s v="500X0328"/>
    <s v="ETIQ BAC STARTER LYBIE D26 220/95"/>
    <s v="UN"/>
    <n v="2300"/>
    <n v="0.2727"/>
    <n v="627.21"/>
    <x v="0"/>
  </r>
  <r>
    <s v="007"/>
    <s v="MPA"/>
    <s v="500X0329"/>
    <s v="ETIQ BAC STARTER LYBIE D31 250/100"/>
    <s v="UN"/>
    <n v="2500"/>
    <n v="0.29794999999999999"/>
    <n v="744.875"/>
    <x v="0"/>
  </r>
  <r>
    <s v="007"/>
    <s v="MPA"/>
    <s v="500X0334"/>
    <s v="Etiq Bac L1B/L2B BATCAR 170*83"/>
    <s v="UN"/>
    <n v="5000"/>
    <n v="0.33835000000000004"/>
    <n v="1691.7500000000002"/>
    <x v="0"/>
  </r>
  <r>
    <s v="007"/>
    <s v="MPA"/>
    <s v="500X0335"/>
    <s v="Etiq Bac L3B/L5 BATCAR 235*83"/>
    <s v="UN"/>
    <n v="5100"/>
    <n v="0.5252"/>
    <n v="2678.52"/>
    <x v="0"/>
  </r>
  <r>
    <s v="007"/>
    <s v="MPA"/>
    <s v="500X0336"/>
    <s v="Etiq déclaration BATCAR 60*40"/>
    <s v="UN"/>
    <n v="5000"/>
    <n v="0.18179999999999999"/>
    <n v="909"/>
    <x v="0"/>
  </r>
  <r>
    <s v="007"/>
    <s v="MPA"/>
    <s v="500X0337"/>
    <s v="ETIQ BA L1,L2,NS40,NS60 ELECTRON 170/82"/>
    <s v="UN"/>
    <n v="2080"/>
    <n v="0.37874999999999998"/>
    <n v="787.8"/>
    <x v="0"/>
  </r>
  <r>
    <s v="007"/>
    <s v="MPA"/>
    <s v="500X0338"/>
    <s v="ETIQ BAC L3-L5,D26,D31 ELCTRON 227/82"/>
    <s v="UN"/>
    <n v="2000"/>
    <n v="0.45450000000000002"/>
    <n v="909"/>
    <x v="0"/>
  </r>
  <r>
    <s v="007"/>
    <s v="MPA"/>
    <s v="500X0339"/>
    <s v="ETIQ BA L1,L2,NS40,NS60 171X82 BIN SHIHON"/>
    <s v="UN"/>
    <n v="2000"/>
    <n v="0.46925649350649351"/>
    <n v="938.51298701298697"/>
    <x v="0"/>
  </r>
  <r>
    <s v="007"/>
    <s v="MPA"/>
    <s v="500X0340"/>
    <s v="ETIQ BAC L3-L5,D26,D31 227X82 BIN SHIHON"/>
    <s v="UN"/>
    <n v="2500"/>
    <n v="0.65649999999999997"/>
    <n v="1641.25"/>
    <x v="0"/>
  </r>
  <r>
    <s v="007"/>
    <s v="MPA"/>
    <s v="500X0341"/>
    <s v="ETIQUETTE T10 BAC  50AH 160/90 L1"/>
    <s v="UN"/>
    <n v="3200"/>
    <n v="0.36605889272446068"/>
    <n v="1171.3884567182743"/>
    <x v="0"/>
  </r>
  <r>
    <s v="007"/>
    <s v="MPA"/>
    <s v="500X0342"/>
    <s v="ETIQUETTE T12 BAC  60AH 225/80 L2B"/>
    <s v="UN"/>
    <n v="3000"/>
    <n v="0.39777166666666669"/>
    <n v="1193.3150000000001"/>
    <x v="0"/>
  </r>
  <r>
    <s v="007"/>
    <s v="MPA"/>
    <s v="500X0343"/>
    <s v="ETIQUETTE T15 BAC  62AH 190/90 L2"/>
    <s v="UN"/>
    <n v="1000"/>
    <n v="0.35469657378740971"/>
    <n v="354.6965737874097"/>
    <x v="0"/>
  </r>
  <r>
    <s v="007"/>
    <s v="MPA"/>
    <s v="500X0344"/>
    <s v="ETIQUETTE T16 BAC  72AH L3B"/>
    <s v="UN"/>
    <n v="3000"/>
    <n v="0.47470000000000007"/>
    <n v="1424.1000000000001"/>
    <x v="0"/>
  </r>
  <r>
    <s v="007"/>
    <s v="MPA"/>
    <s v="500X0345"/>
    <s v="ETIQUETTE T17 BAC  72AH L3"/>
    <s v="UN"/>
    <n v="2500"/>
    <n v="0.48984999999999995"/>
    <n v="1224.6249999999998"/>
    <x v="0"/>
  </r>
  <r>
    <s v="007"/>
    <s v="MPA"/>
    <s v="500X0346"/>
    <s v="ETIQUETTE T22 BAC  100AH L5"/>
    <s v="UN"/>
    <n v="2000"/>
    <n v="0.63629999999999998"/>
    <n v="1272.5999999999999"/>
    <x v="0"/>
  </r>
  <r>
    <s v="007"/>
    <s v="MPA"/>
    <s v="510J1401"/>
    <s v="ETIQ COUV NOUR JUMBO M14 40/210"/>
    <s v="UN"/>
    <n v="1000"/>
    <n v="0.30299999999999999"/>
    <n v="303"/>
    <x v="0"/>
  </r>
  <r>
    <s v="007"/>
    <s v="MPA"/>
    <s v="510J1404"/>
    <s v="ETIQ COUV JUMBO M14 125 AH 850 A 40/210 NOUV DESI"/>
    <s v="UN"/>
    <n v="2050"/>
    <n v="0.33827199965200749"/>
    <n v="693.45759928661539"/>
    <x v="0"/>
  </r>
  <r>
    <s v="007"/>
    <s v="MPA"/>
    <s v="510J1405"/>
    <s v="ETIQ COUV NOUR M14SMF 140AH-860(EN)"/>
    <m/>
    <m/>
    <n v="0.89385000000000003"/>
    <n v="0"/>
    <x v="0"/>
  </r>
  <r>
    <s v="007"/>
    <s v="MPA"/>
    <s v="510J1506"/>
    <s v="ETIQ COUV JUMBO  M15 40/210 NOUV DESIGN 140AH/920"/>
    <s v="UN"/>
    <n v="1980"/>
    <n v="0.36098745437956203"/>
    <n v="714.75515967153285"/>
    <x v="0"/>
  </r>
  <r>
    <s v="007"/>
    <s v="MPA"/>
    <s v="510J1507"/>
    <s v="ETIQ COUV JUMBO  M15 40/210  170AH/1050A"/>
    <s v="UN"/>
    <n v="4000"/>
    <n v="0.31309999999999999"/>
    <n v="1252.3999999999999"/>
    <x v="0"/>
  </r>
  <r>
    <s v="007"/>
    <s v="MPA"/>
    <s v="510J1604"/>
    <s v="ETIQ COUV  JUMBO M16 180AH 210/40 NOUVEAU DES"/>
    <s v="UN"/>
    <n v="3500"/>
    <n v="0.23483000000000001"/>
    <n v="821.90500000000009"/>
    <x v="0"/>
  </r>
  <r>
    <s v="007"/>
    <s v="MPA"/>
    <s v="510J1606"/>
    <s v="ETIQ COUV NOUR M16SMF 230AH-1250A(EN)"/>
    <m/>
    <m/>
    <n v="1.09585"/>
    <n v="0"/>
    <x v="0"/>
  </r>
  <r>
    <s v="007"/>
    <s v="MPA"/>
    <s v="510MAR1603"/>
    <s v="ETIQ COUV MARINE MAR16 ND 200AH 40/210"/>
    <s v="UN"/>
    <n v="850"/>
    <n v="0.70699999999999985"/>
    <n v="600.94999999999982"/>
    <x v="0"/>
  </r>
  <r>
    <s v="007"/>
    <s v="MPA"/>
    <s v="510PL0111"/>
    <s v="ETIQ COUV NOUR POWE PL1B 44AH 30/110 NOUV DESIGN"/>
    <s v="UN"/>
    <n v="1000"/>
    <n v="8.0985849056603762E-2"/>
    <n v="80.985849056603769"/>
    <x v="0"/>
  </r>
  <r>
    <s v="007"/>
    <s v="MPA"/>
    <s v="510PL0112"/>
    <s v="ETIQ COUV POWER PL1 44AH 30/110 LEFT"/>
    <s v="UN"/>
    <n v="3810"/>
    <n v="0.16139539099174807"/>
    <n v="614.91643967856021"/>
    <x v="0"/>
  </r>
  <r>
    <s v="007"/>
    <s v="MPA"/>
    <s v="510PL0213"/>
    <s v="ETIQ COUV POWER PL2 55AH460A 30/110"/>
    <s v="UN"/>
    <n v="2670"/>
    <n v="0.16159999999999999"/>
    <n v="431.47199999999998"/>
    <x v="0"/>
  </r>
  <r>
    <s v="007"/>
    <s v="MPA"/>
    <s v="510PL0312"/>
    <s v="ETIQ COUV NOUR POWER PL3B 66AH 30/110 NOUV DE"/>
    <s v="UN"/>
    <n v="1000"/>
    <n v="7.5999999999999998E-2"/>
    <n v="76"/>
    <x v="0"/>
  </r>
  <r>
    <s v="007"/>
    <s v="MPA"/>
    <s v="510PL0314"/>
    <s v="ETIQ COUV POWER PL3 66AH 550A 30/110 LEFT"/>
    <s v="UN"/>
    <n v="3040"/>
    <n v="0.16137312971566267"/>
    <n v="490.57431433561453"/>
    <x v="0"/>
  </r>
  <r>
    <s v="007"/>
    <s v="MPA"/>
    <s v="510PL0601"/>
    <s v="ETIQ COUV POWER PL6MF 110AH 920A 170/50 LEFT"/>
    <s v="UN"/>
    <n v="3400"/>
    <n v="0.27448235294117646"/>
    <n v="933.2399999999999"/>
    <x v="0"/>
  </r>
  <r>
    <s v="007"/>
    <s v="MPA"/>
    <s v="510PL0602"/>
    <s v="ETIQ COUV POWER PL6MF 170/50 RIGHT"/>
    <s v="UN"/>
    <n v="1330"/>
    <n v="0.27430750750750749"/>
    <n v="364.82898498498497"/>
    <x v="0"/>
  </r>
  <r>
    <s v="007"/>
    <s v="MPA"/>
    <s v="510PM1007"/>
    <s v="ETIQ COUV POWER PM10S 70AH 40/210 NOUV DESIGN"/>
    <s v="UN"/>
    <n v="5000"/>
    <n v="0.35207445392388215"/>
    <n v="1760.3722696194106"/>
    <x v="0"/>
  </r>
  <r>
    <s v="007"/>
    <s v="MPA"/>
    <s v="510PM11001"/>
    <s v="ETIQ COUV NPOWER PM110  130/40 LEFT 110AH"/>
    <s v="UN"/>
    <n v="2800"/>
    <n v="0.26841498652291107"/>
    <n v="751.56196226415102"/>
    <x v="0"/>
  </r>
  <r>
    <s v="007"/>
    <s v="MPA"/>
    <s v="510PM11002"/>
    <s v="ETIQ COUV NPOWER PM110  130/40 RIGHT"/>
    <s v="UN"/>
    <n v="3880"/>
    <n v="0.32753402061855674"/>
    <n v="1270.8320000000001"/>
    <x v="0"/>
  </r>
  <r>
    <s v="007"/>
    <s v="MPA"/>
    <s v="510PM1106"/>
    <s v="ETIQ COUV POWER PM11 90AH 40/210 NOUV DE"/>
    <s v="UN"/>
    <n v="2800"/>
    <n v="0.35140092058335409"/>
    <n v="983.92257763339148"/>
    <x v="0"/>
  </r>
  <r>
    <s v="007"/>
    <s v="MPA"/>
    <s v="510PM1107"/>
    <s v="ETIQ COUV POWER PM11S 100AH 40/210 NOUV DE"/>
    <s v="UN"/>
    <n v="3000"/>
    <n v="0.35350000000000004"/>
    <n v="1060.5"/>
    <x v="0"/>
  </r>
  <r>
    <s v="007"/>
    <s v="MPA"/>
    <s v="510PM1207"/>
    <s v="ETIQ COUV NPOWER PM12 95AH 40/210 NOUV DE"/>
    <s v="UN"/>
    <n v="6930"/>
    <n v="0.35803067599660765"/>
    <n v="2481.1525846564909"/>
    <x v="0"/>
  </r>
  <r>
    <s v="007"/>
    <s v="MPA"/>
    <s v="510PM1208"/>
    <s v="ETIQ COUV NPOWER PM12S 110AH 40/210 NOUV DE"/>
    <s v="UN"/>
    <n v="3500"/>
    <n v="0.344665"/>
    <n v="1206.3275000000001"/>
    <x v="0"/>
  </r>
  <r>
    <s v="007"/>
    <s v="MPA"/>
    <s v="510PRD23"/>
    <s v="ETIQ COUV PR D23 40Ah 330A 210*50"/>
    <s v="UN"/>
    <n v="2600"/>
    <n v="0.25755"/>
    <n v="669.63"/>
    <x v="0"/>
  </r>
  <r>
    <s v="007"/>
    <s v="MPA"/>
    <s v="510PRD2301"/>
    <s v="ETIQ COUV PR D23 40Ah 470A 210*50 ND"/>
    <s v="UN"/>
    <n v="3000"/>
    <n v="0.30804999999999999"/>
    <n v="924.15"/>
    <x v="0"/>
  </r>
  <r>
    <s v="007"/>
    <s v="MPA"/>
    <s v="510PRD2601"/>
    <s v="ETIQ COUV PR D26 70Ah 600A 235*50 ND"/>
    <s v="UN"/>
    <n v="2220"/>
    <n v="0.42419999999999997"/>
    <n v="941.72399999999993"/>
    <x v="0"/>
  </r>
  <r>
    <s v="007"/>
    <s v="MPA"/>
    <s v="510PRL1B1"/>
    <s v="ETIQ COUV PRL1B 190/50"/>
    <s v="UN"/>
    <n v="3000"/>
    <n v="0.2828"/>
    <n v="848.4"/>
    <x v="0"/>
  </r>
  <r>
    <s v="007"/>
    <s v="MPA"/>
    <s v="510PRL1H1"/>
    <s v="ETIQ COUV PRL1 SMF 190/50"/>
    <s v="UN"/>
    <n v="9100"/>
    <n v="0.2828"/>
    <n v="2573.48"/>
    <x v="0"/>
  </r>
  <r>
    <s v="007"/>
    <s v="MPA"/>
    <s v="510PRL2B1"/>
    <s v="ETIQ COUV PRL2B SMF 225/50"/>
    <s v="UN"/>
    <n v="4000"/>
    <n v="0.35349999999999998"/>
    <n v="1414"/>
    <x v="0"/>
  </r>
  <r>
    <s v="007"/>
    <s v="MPA"/>
    <s v="510PRL2H1"/>
    <s v="ETIQ COUV PRL2 SMF 225/50"/>
    <s v="UN"/>
    <n v="5500"/>
    <n v="0.35349999999999998"/>
    <n v="1944.25"/>
    <x v="0"/>
  </r>
  <r>
    <s v="007"/>
    <s v="MPA"/>
    <s v="510PRL3B1"/>
    <s v="ETIQ COUV PRL3B SMF 260/50"/>
    <s v="UN"/>
    <n v="7100"/>
    <n v="0.38380000000000003"/>
    <n v="2724.98"/>
    <x v="0"/>
  </r>
  <r>
    <s v="007"/>
    <s v="MPA"/>
    <s v="510PRL3H1"/>
    <s v="ETIQ COUV PRL3 SMF 260/50"/>
    <s v="UN"/>
    <n v="7080"/>
    <n v="0.38379999999999997"/>
    <n v="2717.3039999999996"/>
    <x v="0"/>
  </r>
  <r>
    <s v="007"/>
    <s v="MPA"/>
    <s v="510PRNS601"/>
    <s v="ETIQ COUV PR NS60 45AH 410A 185/50"/>
    <s v="UN"/>
    <n v="2080"/>
    <n v="0.42420000000000008"/>
    <n v="882.33600000000013"/>
    <x v="0"/>
  </r>
  <r>
    <s v="007"/>
    <s v="MPA"/>
    <s v="510SEFB03"/>
    <s v="ETIQ COUV 1 S3EFB 74AH 720A 125/69"/>
    <s v="UN"/>
    <n v="1000"/>
    <n v="0.30299999999999999"/>
    <n v="303"/>
    <x v="0"/>
  </r>
  <r>
    <s v="007"/>
    <s v="MPA"/>
    <s v="510SEFB05"/>
    <s v="ETIQ COUV 1 S5EFB 100AH 860A 160/70"/>
    <s v="UN"/>
    <n v="1000"/>
    <n v="0.32319999999999999"/>
    <n v="323.2"/>
    <x v="0"/>
  </r>
  <r>
    <s v="007"/>
    <s v="MPA"/>
    <s v="510SML012"/>
    <s v="ETIQ COUV S1 190/50"/>
    <s v="UN"/>
    <n v="4600"/>
    <n v="0.26259999999999994"/>
    <n v="1207.9599999999998"/>
    <x v="0"/>
  </r>
  <r>
    <s v="007"/>
    <s v="MPA"/>
    <s v="510SML021"/>
    <s v="ETIQ COUV S2 138/50 FAI"/>
    <s v="UN"/>
    <n v="200"/>
    <n v="0.30071575047882365"/>
    <n v="60.143150095764732"/>
    <x v="0"/>
  </r>
  <r>
    <s v="007"/>
    <s v="MPA"/>
    <s v="510SML022"/>
    <s v="ETIQ COUV S2 225/50"/>
    <s v="UN"/>
    <n v="8000"/>
    <n v="0.33811545234426588"/>
    <n v="2704.9236187541269"/>
    <x v="0"/>
  </r>
  <r>
    <s v="007"/>
    <s v="MPA"/>
    <s v="510SML032"/>
    <s v="ETIQ COUV S3 260/50"/>
    <s v="UN"/>
    <n v="5100"/>
    <n v="0.30299999999999999"/>
    <n v="1545.3"/>
    <x v="0"/>
  </r>
  <r>
    <s v="007"/>
    <s v="MPA"/>
    <s v="510SML052"/>
    <s v="ETIQ COUV S5 335/50"/>
    <s v="UN"/>
    <n v="500"/>
    <n v="0.42420000000000002"/>
    <n v="212.10000000000002"/>
    <x v="0"/>
  </r>
  <r>
    <s v="007"/>
    <s v="MPA"/>
    <s v="510SML06"/>
    <s v="ETIQ COUV S6 170/50"/>
    <s v="UN"/>
    <n v="2000"/>
    <n v="0.26480555555555563"/>
    <n v="529.6111111111112"/>
    <x v="0"/>
  </r>
  <r>
    <s v="007"/>
    <s v="MPA"/>
    <s v="510TCE05"/>
    <s v="ETIQ COUV 2 S5EFB 160/70"/>
    <s v="UN"/>
    <n v="1400"/>
    <n v="0.32319999999999999"/>
    <n v="452.47999999999996"/>
    <x v="0"/>
  </r>
  <r>
    <s v="007"/>
    <s v="MPA"/>
    <s v="510TCS031"/>
    <s v="ETIQ COUV MIXTE CATEGORI S3 115/50 FAI"/>
    <s v="UN"/>
    <n v="2250"/>
    <n v="0.35295722527875129"/>
    <n v="794.1537568771904"/>
    <x v="0"/>
  </r>
  <r>
    <s v="007"/>
    <s v="MPA"/>
    <s v="510TCS06"/>
    <s v="ETIQ COUV MIXTE CATEGORI SMART S6 170/50"/>
    <s v="UN"/>
    <n v="2000"/>
    <n v="0.23626010935804323"/>
    <n v="472.52021871608645"/>
    <x v="0"/>
  </r>
  <r>
    <s v="007"/>
    <s v="MPA"/>
    <s v="520C0001"/>
    <s v="COUSSINS 90 X 180"/>
    <s v="UN"/>
    <n v="71"/>
    <n v="19.461406375192606"/>
    <n v="1381.7598526386751"/>
    <x v="0"/>
  </r>
  <r>
    <s v="007"/>
    <s v="MPA"/>
    <s v="520X0002"/>
    <s v="ETIQUETTE NORME TUNISIENNE 50/35"/>
    <s v="UN"/>
    <n v="43000"/>
    <n v="9.356662383270245E-2"/>
    <n v="4023.3648248062054"/>
    <x v="0"/>
  </r>
  <r>
    <s v="007"/>
    <s v="MPA"/>
    <s v="520X0004"/>
    <s v="ETIQ CORROSIVE 300X300"/>
    <s v="UN"/>
    <n v="36"/>
    <n v="5.2519999999999998"/>
    <n v="189.072"/>
    <x v="0"/>
  </r>
  <r>
    <s v="007"/>
    <s v="MPA"/>
    <s v="520X0018"/>
    <s v="FICHE SUIVEUSE BAT NF"/>
    <s v="UN"/>
    <n v="5250"/>
    <n v="0.20200000000000001"/>
    <n v="1060.5"/>
    <x v="0"/>
  </r>
  <r>
    <s v="007"/>
    <s v="MPA"/>
    <s v="520X0025"/>
    <s v="ETIQ AUTOCOLLANTE IDENTIFICATION PALETTE"/>
    <s v="UN"/>
    <n v="2500"/>
    <n v="0.45450000000000002"/>
    <n v="1136.25"/>
    <x v="0"/>
  </r>
  <r>
    <s v="007"/>
    <s v="MPA"/>
    <s v="520X0026"/>
    <s v="ETIQ PORTANT LA LETTRE G (gauche)"/>
    <s v="UN"/>
    <n v="5000"/>
    <n v="8.0799999999999997E-2"/>
    <n v="404"/>
    <x v="0"/>
  </r>
  <r>
    <s v="007"/>
    <s v="MPA"/>
    <s v="520X0027"/>
    <s v="ETIQ PORTANT LA LETTRE D (droite) 10/10"/>
    <s v="UN"/>
    <n v="16500"/>
    <n v="8.9890000000000012E-2"/>
    <n v="1483.1850000000002"/>
    <x v="0"/>
  </r>
  <r>
    <s v="007"/>
    <s v="MPA"/>
    <s v="520X0032"/>
    <s v="FICHE SUIVEUSE PLAQUE (VERT)"/>
    <s v="UN"/>
    <n v="1000"/>
    <n v="0.16930875675675675"/>
    <n v="169.30875675675674"/>
    <x v="0"/>
  </r>
  <r>
    <s v="007"/>
    <s v="MPA"/>
    <s v="520X0033"/>
    <s v="FICHE SUIVEUSE PLAQUE (BLANC)"/>
    <s v="UN"/>
    <n v="1500"/>
    <n v="0.20200000000000001"/>
    <n v="303"/>
    <x v="0"/>
  </r>
  <r>
    <s v="007"/>
    <s v="MPA"/>
    <s v="520X0035"/>
    <s v="FICHE SUIVEUSE PLAQUE (BLEU)"/>
    <s v="UN"/>
    <n v="2000"/>
    <n v="0.20156250000000001"/>
    <n v="403.125"/>
    <x v="0"/>
  </r>
  <r>
    <s v="007"/>
    <s v="MPA"/>
    <s v="520X0036"/>
    <s v="ETIQ BOBINE AUTOCOLLANT 2 COULEURS (+)"/>
    <s v="UN"/>
    <n v="500"/>
    <n v="0.35349999999999998"/>
    <n v="176.75"/>
    <x v="0"/>
  </r>
  <r>
    <s v="007"/>
    <s v="MPA"/>
    <s v="520X0037"/>
    <s v="ETIQ BOBINE AUTOCOLLANT 2 COULEURS (-)"/>
    <s v="UN"/>
    <n v="500"/>
    <n v="0.35349999999999998"/>
    <n v="176.75"/>
    <x v="0"/>
  </r>
  <r>
    <s v="007"/>
    <s v="MPA"/>
    <s v="520X0038"/>
    <s v="FICHE SUIVEUSE ENVELOPPEUSE"/>
    <s v="UN"/>
    <n v="1750"/>
    <n v="0.2"/>
    <n v="350"/>
    <x v="0"/>
  </r>
  <r>
    <s v="007"/>
    <s v="MPA"/>
    <s v="520X0039"/>
    <s v="ETIQ INSTALL DANGER PR POWER CATEGORIEA 30x55"/>
    <s v="UN"/>
    <n v="4000"/>
    <n v="7.8508288043478272E-2"/>
    <n v="314.03315217391309"/>
    <x v="0"/>
  </r>
  <r>
    <s v="007"/>
    <s v="MPA"/>
    <s v="520X0040"/>
    <s v="ETIQ RECYCLAGE PLOMB 105/70"/>
    <s v="UN"/>
    <n v="15000"/>
    <n v="0.19714046669937446"/>
    <n v="2957.1070004906169"/>
    <x v="0"/>
  </r>
  <r>
    <s v="007"/>
    <s v="MPA"/>
    <s v="520X0042"/>
    <s v="ETIQ DEMARRAGE BATTERIE"/>
    <s v="UN"/>
    <n v="12500"/>
    <n v="0.11109840089016103"/>
    <n v="1388.7300111270129"/>
    <x v="0"/>
  </r>
  <r>
    <s v="007"/>
    <s v="MPA"/>
    <s v="520X0049"/>
    <s v="ETIQ MIXTE COUV2 L1-L5 POWER 55X30mm"/>
    <s v="UN"/>
    <n v="10400"/>
    <n v="0.13101716436710481"/>
    <n v="1362.57850941789"/>
    <x v="0"/>
  </r>
  <r>
    <s v="007"/>
    <s v="MPA"/>
    <s v="521X0002"/>
    <s v="ETIQ MADE IN TUNISIA 60/10"/>
    <s v="UN"/>
    <n v="37000"/>
    <n v="2.5748804833685576E-2"/>
    <n v="952.70577884636634"/>
    <x v="0"/>
  </r>
  <r>
    <s v="007"/>
    <s v="MPA"/>
    <s v="521X0005"/>
    <s v="ETIQUETTE TUV 50/35"/>
    <s v="UN"/>
    <n v="10500"/>
    <n v="0.10309115209053761"/>
    <n v="1082.4570969506449"/>
    <x v="0"/>
  </r>
  <r>
    <s v="007"/>
    <s v="MPA"/>
    <s v="521X0011"/>
    <s v="ETIQ.REF.45AH 12V 340A (EN)"/>
    <s v="UN"/>
    <n v="2000"/>
    <n v="0.22"/>
    <n v="440"/>
    <x v="0"/>
  </r>
  <r>
    <s v="007"/>
    <s v="MPA"/>
    <s v="521X0012"/>
    <s v="ETIQ.REF.50AH 12V 380A (EN)"/>
    <s v="UN"/>
    <n v="1000"/>
    <n v="0.22"/>
    <n v="220"/>
    <x v="0"/>
  </r>
  <r>
    <s v="007"/>
    <s v="MPA"/>
    <s v="521X0013"/>
    <s v="ETIQ.REF.55AH 12V 450A EN"/>
    <s v="UN"/>
    <n v="8000"/>
    <n v="0.22"/>
    <n v="1760"/>
    <x v="0"/>
  </r>
  <r>
    <s v="007"/>
    <s v="MPA"/>
    <s v="521X0167"/>
    <s v="ETIQ INSTALL/DANGER GRIS 140X40"/>
    <s v="UN"/>
    <n v="13000"/>
    <n v="0.18271721810827421"/>
    <n v="2375.3238354075647"/>
    <x v="0"/>
  </r>
  <r>
    <s v="007"/>
    <s v="MPA"/>
    <s v="521X0179"/>
    <s v="ETIQ COUV POW EXP GRIS PL2 55AH 30/90"/>
    <s v="UN"/>
    <n v="1000"/>
    <n v="4.632E-2"/>
    <n v="46.32"/>
    <x v="0"/>
  </r>
  <r>
    <s v="007"/>
    <s v="MPA"/>
    <s v="521X0180"/>
    <s v="ETIQ COUV POW EXP GRIS PL2 60AH 30/90"/>
    <s v="UN"/>
    <n v="3800"/>
    <n v="0.04"/>
    <n v="152"/>
    <x v="0"/>
  </r>
  <r>
    <s v="007"/>
    <s v="MPA"/>
    <s v="521x0182"/>
    <s v="ETIQ COUV POW EXP GRIS PL3 70AH 30/90"/>
    <s v="UN"/>
    <n v="4000"/>
    <n v="9.6970161290322585E-2"/>
    <n v="387.88064516129032"/>
    <x v="0"/>
  </r>
  <r>
    <s v="007"/>
    <s v="MPA"/>
    <s v="521X0183"/>
    <s v="ETIQ COUV POW EXP GRIS PL3 66AH 30/90"/>
    <s v="UN"/>
    <n v="6000"/>
    <n v="0.04"/>
    <n v="240"/>
    <x v="0"/>
  </r>
  <r>
    <s v="007"/>
    <s v="MPA"/>
    <s v="521X0184"/>
    <s v="ETIQ COUV POW EXP GRIS PL3B 60AH 30/90"/>
    <s v="UN"/>
    <n v="3000"/>
    <n v="3.7999999999999999E-2"/>
    <n v="114"/>
    <x v="0"/>
  </r>
  <r>
    <s v="007"/>
    <s v="MPA"/>
    <s v="521X0185"/>
    <s v="ETIQ COUV POW EXP GRIS PL5 88AH 30/90"/>
    <s v="UN"/>
    <n v="2800"/>
    <n v="0.04"/>
    <n v="112"/>
    <x v="0"/>
  </r>
  <r>
    <s v="007"/>
    <s v="MPA"/>
    <s v="521X0186"/>
    <s v="ETIQ COUV POW EXP GRIS PL5 100AH 30/90"/>
    <s v="UN"/>
    <n v="2200"/>
    <n v="8.5849999999999996E-2"/>
    <n v="188.87"/>
    <x v="0"/>
  </r>
  <r>
    <s v="007"/>
    <s v="MPA"/>
    <s v="521X0187"/>
    <s v="ETIQ COUV POW EXP GRIS PM10 60AH 30/90"/>
    <s v="UN"/>
    <n v="3500"/>
    <n v="4.632E-2"/>
    <n v="162.12"/>
    <x v="0"/>
  </r>
  <r>
    <s v="007"/>
    <s v="MPA"/>
    <s v="521X0188"/>
    <s v="ETIQ COUV POW EXP GRIS PM11 90AH 30/90"/>
    <s v="UN"/>
    <n v="1500"/>
    <n v="0.1"/>
    <n v="150"/>
    <x v="0"/>
  </r>
  <r>
    <s v="007"/>
    <s v="MPA"/>
    <s v="521X0196"/>
    <s v="ETIQ COUV POW EXP NOIR PL1 50AH 30/90"/>
    <s v="UN"/>
    <n v="2000"/>
    <n v="0.04"/>
    <n v="80"/>
    <x v="0"/>
  </r>
  <r>
    <s v="007"/>
    <s v="MPA"/>
    <s v="521X0197"/>
    <s v="ETIQ COUV POW EXP NOIR PL2 60AH 30/90"/>
    <s v="UN"/>
    <n v="2000"/>
    <n v="0.04"/>
    <n v="80"/>
    <x v="0"/>
  </r>
  <r>
    <s v="007"/>
    <s v="MPA"/>
    <s v="521X0205"/>
    <s v="ETIQ BORNE (+) NOIR 17/25"/>
    <s v="UN"/>
    <n v="475"/>
    <n v="0.02"/>
    <n v="9.5"/>
    <x v="0"/>
  </r>
  <r>
    <s v="007"/>
    <s v="MPA"/>
    <s v="521X0207"/>
    <s v="ETIQ BORNE (-) NOIR 17/25"/>
    <s v="UN"/>
    <n v="700"/>
    <n v="0.02"/>
    <n v="14"/>
    <x v="0"/>
  </r>
  <r>
    <s v="007"/>
    <s v="MPA"/>
    <s v="521X0209"/>
    <s v="ETIQ COUV  EXP GRIS PL2S 62AH 30/90"/>
    <s v="UN"/>
    <n v="1500"/>
    <n v="0.1"/>
    <n v="150"/>
    <x v="0"/>
  </r>
  <r>
    <s v="007"/>
    <s v="MPA"/>
    <s v="521X0210"/>
    <s v="ETIQ COUV  EXP GRIS 220AH 30/90"/>
    <s v="UN"/>
    <n v="800"/>
    <n v="0.5"/>
    <n v="400"/>
    <x v="0"/>
  </r>
  <r>
    <s v="007"/>
    <s v="MPA"/>
    <s v="521X0211"/>
    <s v="ETIQ COUV D23 POWER LYBIE NOUV DESIGN 60AH 110/30"/>
    <s v="UN"/>
    <n v="500"/>
    <n v="7.3804819277108427E-2"/>
    <n v="36.902409638554211"/>
    <x v="0"/>
  </r>
  <r>
    <s v="007"/>
    <s v="MPA"/>
    <s v="521X0212"/>
    <s v="ETIQ COUV E2 POWER LYBIE NOUV DESIGN 40AH 110/30"/>
    <s v="UN"/>
    <n v="2000"/>
    <n v="0.19261557329462989"/>
    <n v="385.23114658925977"/>
    <x v="0"/>
  </r>
  <r>
    <s v="007"/>
    <s v="MPA"/>
    <s v="521x0213"/>
    <s v="ETIQ COUV L1POWER LYBIE NOUV DESIGN 45AH 110/30"/>
    <s v="UN"/>
    <n v="3700"/>
    <n v="0.16409220779220779"/>
    <n v="607.14116883116878"/>
    <x v="0"/>
  </r>
  <r>
    <s v="007"/>
    <s v="MPA"/>
    <s v="521x0214"/>
    <s v="ETIQ COUV L1 MF POWER LYBIE NOUV DESIGN 45AH 110/"/>
    <s v="UN"/>
    <n v="2500"/>
    <n v="6.239999999999999E-2"/>
    <n v="155.99999999999997"/>
    <x v="0"/>
  </r>
  <r>
    <s v="007"/>
    <s v="MPA"/>
    <s v="521X0215"/>
    <s v="ETIQ COUV L2 POWER LYBIE NOUV DESIGN 55AH 110/30"/>
    <s v="UN"/>
    <n v="7700"/>
    <n v="0.14368813320825516"/>
    <n v="1106.3986257035647"/>
    <x v="0"/>
  </r>
  <r>
    <s v="007"/>
    <s v="MPA"/>
    <s v="521X0216"/>
    <s v="ETIQ COUV L3 POWER LYBIE NOUV DESIGN 70AH 110/30"/>
    <s v="UN"/>
    <n v="2000"/>
    <n v="0.18179999999999999"/>
    <n v="363.59999999999997"/>
    <x v="0"/>
  </r>
  <r>
    <s v="007"/>
    <s v="MPA"/>
    <s v="521X0218"/>
    <s v="ETIQ COUV L5 POWER LYBIE NOUV DESIGN 100AH 110/30"/>
    <s v="UN"/>
    <n v="2000"/>
    <n v="7.648421052631578E-2"/>
    <n v="152.96842105263156"/>
    <x v="0"/>
  </r>
  <r>
    <s v="007"/>
    <s v="MPA"/>
    <s v="521X0219"/>
    <s v="ETIQ COUV M10 POWER LYBIE NOUV 60AH 210/40"/>
    <s v="UN"/>
    <n v="1000"/>
    <n v="3.6799999999999999E-2"/>
    <n v="36.799999999999997"/>
    <x v="0"/>
  </r>
  <r>
    <s v="007"/>
    <s v="MPA"/>
    <s v="521X0220"/>
    <s v="ETIQ COUV M11 POWER LYBIE NOUV DESIGN 90Ah 210/40"/>
    <s v="UN"/>
    <n v="3000"/>
    <n v="0.24112265193370169"/>
    <n v="723.36795580110504"/>
    <x v="0"/>
  </r>
  <r>
    <s v="007"/>
    <s v="MPA"/>
    <s v="521X0221"/>
    <s v="ETIQ COUV M14 POWER LYBIE NOUV DESIGN 120Ah 210/4"/>
    <s v="UN"/>
    <n v="1500"/>
    <n v="0.217"/>
    <n v="325.5"/>
    <x v="0"/>
  </r>
  <r>
    <s v="007"/>
    <s v="MPA"/>
    <s v="521X0222"/>
    <s v="ETIQ COUV M15 POWER LYBIE NOUV 150Ah 210/40"/>
    <s v="UN"/>
    <n v="3700"/>
    <n v="0.24612894736842103"/>
    <n v="910.67710526315784"/>
    <x v="0"/>
  </r>
  <r>
    <s v="007"/>
    <s v="MPA"/>
    <s v="521X0223"/>
    <s v="ETIQ COUV M16 POWER LYBIE NOUV 200Ah 210/40"/>
    <s v="UN"/>
    <n v="500"/>
    <n v="0.221"/>
    <n v="110.5"/>
    <x v="0"/>
  </r>
  <r>
    <s v="007"/>
    <s v="MPA"/>
    <s v="521X0224"/>
    <s v="ETIQ COUV D23 STARTER LYBI NOUV DESIGN 60AH 110/3"/>
    <s v="UN"/>
    <n v="3000"/>
    <n v="0.15185128205128204"/>
    <n v="455.55384615384611"/>
    <x v="0"/>
  </r>
  <r>
    <s v="007"/>
    <s v="MPA"/>
    <s v="521X0225"/>
    <s v="ETIQ COUV E2 STARTER LYBIE NOUV DESIGN 40AH 110/3"/>
    <s v="UN"/>
    <n v="1000"/>
    <n v="0.5"/>
    <n v="500"/>
    <x v="0"/>
  </r>
  <r>
    <s v="007"/>
    <s v="MPA"/>
    <s v="521X0226"/>
    <s v="ETIQ COUV L1STARTER LYBIE  45AH 110/30"/>
    <s v="UN"/>
    <n v="5200"/>
    <n v="0.15802043257091605"/>
    <n v="821.70624936876345"/>
    <x v="0"/>
  </r>
  <r>
    <s v="007"/>
    <s v="MPA"/>
    <s v="521X0228"/>
    <s v="ETIQ COUV L2 STARTER LYBIE NOUV DESIGN"/>
    <s v="UN"/>
    <n v="9600"/>
    <n v="0.159"/>
    <n v="1526.4"/>
    <x v="0"/>
  </r>
  <r>
    <s v="007"/>
    <s v="MPA"/>
    <s v="521X0229"/>
    <s v="ETIQ COUV L3 STARTER LYBIE NOUV DESIGN 70AH 110/3"/>
    <s v="UN"/>
    <n v="3200"/>
    <n v="0.18179999999999999"/>
    <n v="581.76"/>
    <x v="0"/>
  </r>
  <r>
    <s v="007"/>
    <s v="MPA"/>
    <s v="521X0231"/>
    <s v="ETIQ COUV L5 JUMBO LYBIE NOUV DESIGN 100AH 110/30"/>
    <s v="UN"/>
    <n v="7000"/>
    <n v="6.565E-2"/>
    <n v="459.55"/>
    <x v="0"/>
  </r>
  <r>
    <s v="007"/>
    <s v="MPA"/>
    <s v="521X0233"/>
    <s v="ETIQ COUV M11 STARTER LYBIE NOUV DESIGN 90Ah 210/"/>
    <s v="UN"/>
    <n v="1000"/>
    <n v="0.2224008620689655"/>
    <n v="222.40086206896549"/>
    <x v="0"/>
  </r>
  <r>
    <s v="007"/>
    <s v="MPA"/>
    <s v="521X0234"/>
    <s v="ETIQ COUV M14 STARTER LYBIE NOUV DESIGN 120Ah 210"/>
    <s v="UN"/>
    <n v="1000"/>
    <n v="0.221"/>
    <n v="221"/>
    <x v="0"/>
  </r>
  <r>
    <s v="007"/>
    <s v="MPA"/>
    <s v="521X0235"/>
    <s v="ETIQ COUV M15 STARTER LYBIE NOUV 150Ah 210/40"/>
    <s v="UN"/>
    <n v="2100"/>
    <n v="0.22500000000000001"/>
    <n v="472.5"/>
    <x v="0"/>
  </r>
  <r>
    <s v="007"/>
    <s v="MPA"/>
    <s v="521X0236"/>
    <s v="ETIQ COUV M16 STARTER LYBIE NOUV 200Ah 210/40"/>
    <s v="UN"/>
    <n v="3500"/>
    <n v="0.24947"/>
    <n v="873.14499999999998"/>
    <x v="0"/>
  </r>
  <r>
    <s v="007"/>
    <s v="MPA"/>
    <s v="521x0237"/>
    <s v="ETIQ COUV  L1B JUMBO LYBIE 45AH 110/30"/>
    <s v="UN"/>
    <n v="500"/>
    <n v="5.8000000000000003E-2"/>
    <n v="29"/>
    <x v="0"/>
  </r>
  <r>
    <s v="007"/>
    <s v="MPA"/>
    <s v="521x0238"/>
    <s v="ETIQ COUV L2 JUMBO EXP 55AH 110/30"/>
    <s v="UN"/>
    <n v="2200"/>
    <n v="9.6559444444444448E-2"/>
    <n v="212.43077777777779"/>
    <x v="0"/>
  </r>
  <r>
    <s v="007"/>
    <s v="MPA"/>
    <s v="521x0239"/>
    <s v="ETIQ COUV L3  JUMBO  EXP 70AH 110/30"/>
    <s v="UN"/>
    <n v="2000"/>
    <n v="0.18596489361702126"/>
    <n v="371.92978723404252"/>
    <x v="0"/>
  </r>
  <r>
    <s v="007"/>
    <s v="MPA"/>
    <s v="521X0240"/>
    <s v="ETIQ COUV  M10 JUMBO EXP 60AH 210/40"/>
    <s v="UN"/>
    <n v="2000"/>
    <n v="0.22049999999999997"/>
    <n v="440.99999999999994"/>
    <x v="0"/>
  </r>
  <r>
    <s v="007"/>
    <s v="MPA"/>
    <s v="521X0241"/>
    <s v="ETIQ COUV  M11 JUMBO EXP 90AH 210/40"/>
    <s v="UN"/>
    <n v="3500"/>
    <n v="0.21712999999999993"/>
    <n v="759.95499999999981"/>
    <x v="0"/>
  </r>
  <r>
    <s v="007"/>
    <s v="MPA"/>
    <s v="521X0242"/>
    <s v="ETIQ COUV  JUMBO M15 LYBIE 150AH 210/40"/>
    <s v="UN"/>
    <n v="2000"/>
    <n v="0.10500000000000001"/>
    <n v="210.00000000000003"/>
    <x v="0"/>
  </r>
  <r>
    <s v="007"/>
    <s v="MPA"/>
    <s v="521X0284"/>
    <s v="ETIQ COUV1 L1 POWER EXP 118/50"/>
    <s v="UN"/>
    <n v="2500"/>
    <n v="0.21358551020408162"/>
    <n v="533.96377551020407"/>
    <x v="0"/>
  </r>
  <r>
    <s v="007"/>
    <s v="MPA"/>
    <s v="521X0285"/>
    <s v="ETIQ COUV1 L2 POWER EXP 138/50"/>
    <s v="UN"/>
    <n v="2000"/>
    <n v="0.155"/>
    <n v="310"/>
    <x v="0"/>
  </r>
  <r>
    <s v="007"/>
    <s v="MPA"/>
    <s v="521X0286"/>
    <s v="ETIQ COUV1 L3 POWER EXP 115/50"/>
    <s v="UN"/>
    <n v="500"/>
    <n v="6.720000000000001E-2"/>
    <n v="33.6"/>
    <x v="0"/>
  </r>
  <r>
    <s v="007"/>
    <s v="MPA"/>
    <s v="521X0287"/>
    <s v="ETIQ COUV2 L1 POWER STANDARD LYBIE ALG 56/50"/>
    <s v="UN"/>
    <n v="3000"/>
    <n v="3.0720000000000004E-2"/>
    <n v="92.160000000000011"/>
    <x v="0"/>
  </r>
  <r>
    <s v="007"/>
    <s v="MPA"/>
    <s v="521X0288"/>
    <s v="ETIQ COUV2 L2 POWER EXP 66/50"/>
    <s v="UN"/>
    <n v="1000"/>
    <n v="3.5000000000000003E-2"/>
    <n v="35"/>
    <x v="0"/>
  </r>
  <r>
    <s v="007"/>
    <s v="MPA"/>
    <s v="521X0289"/>
    <s v="ETIQ COUV2 L3 POWER EXP 115/50"/>
    <s v="UN"/>
    <n v="3000"/>
    <n v="6.720000000000001E-2"/>
    <n v="201.60000000000002"/>
    <x v="0"/>
  </r>
  <r>
    <s v="007"/>
    <s v="MPA"/>
    <s v="521X0290"/>
    <s v="ETIQ COUV1 L1 STARTER LYBIE MF 118/50"/>
    <s v="UN"/>
    <n v="4000"/>
    <n v="0.228495"/>
    <n v="913.98"/>
    <x v="0"/>
  </r>
  <r>
    <s v="007"/>
    <s v="MPA"/>
    <s v="521X0291"/>
    <s v="ETIQ COUV1 L2 STARTER LYBIE MF 138/50"/>
    <s v="UN"/>
    <n v="1000"/>
    <n v="0.14879999999999999"/>
    <n v="148.79999999999998"/>
    <x v="0"/>
  </r>
  <r>
    <s v="007"/>
    <s v="MPA"/>
    <s v="521X0293"/>
    <s v="ETIQ COUV2 L1 STARTER LYBIE MF 56/50"/>
    <s v="UN"/>
    <n v="3300"/>
    <n v="0.1515"/>
    <n v="499.95"/>
    <x v="0"/>
  </r>
  <r>
    <s v="007"/>
    <s v="MPA"/>
    <s v="521X0294"/>
    <s v="ETIQ COUV2 L2 STARTER LYBIE MF 66/50"/>
    <s v="UN"/>
    <n v="1500"/>
    <n v="3.3600000000000005E-2"/>
    <n v="50.400000000000006"/>
    <x v="0"/>
  </r>
  <r>
    <s v="007"/>
    <s v="MPA"/>
    <s v="521X0295"/>
    <s v="ETIQ COUV2 L3 STARTER LYBIE MF 115/50"/>
    <s v="UN"/>
    <n v="1000"/>
    <n v="0.20316491228070174"/>
    <n v="203.16491228070174"/>
    <x v="0"/>
  </r>
  <r>
    <s v="007"/>
    <s v="MPA"/>
    <s v="521X0310"/>
    <s v="ETIQ COUV POW EXP GRIS M11 80AH 640A 30/90"/>
    <s v="UN"/>
    <n v="3400"/>
    <n v="9.6687558107738575E-2"/>
    <n v="328.73769756631117"/>
    <x v="0"/>
  </r>
  <r>
    <s v="007"/>
    <s v="MPA"/>
    <s v="521X0313"/>
    <s v="ETIQ COUV M15S JUMBO 188AH-1100A 210/40"/>
    <s v="UN"/>
    <n v="2500"/>
    <n v="0.216"/>
    <n v="540"/>
    <x v="0"/>
  </r>
  <r>
    <s v="007"/>
    <s v="MPA"/>
    <s v="521X0337"/>
    <s v="ETIQ COUV POWER LYBIE D26 70AH-510A 235/50"/>
    <s v="UN"/>
    <n v="3500"/>
    <n v="0.25755"/>
    <n v="901.42499999999995"/>
    <x v="0"/>
  </r>
  <r>
    <s v="007"/>
    <s v="MPA"/>
    <s v="521X0338"/>
    <s v="ETIQ COUV POWER LYBIE D31 90AH-620A 280/50"/>
    <s v="UN"/>
    <n v="3300"/>
    <n v="0.29289999999999999"/>
    <n v="966.56999999999994"/>
    <x v="0"/>
  </r>
  <r>
    <s v="007"/>
    <s v="MPA"/>
    <s v="521X0339"/>
    <s v="ETIQ COUV STARTER LYBIE D26 235/50"/>
    <s v="UN"/>
    <n v="2500"/>
    <n v="0.25755"/>
    <n v="643.875"/>
    <x v="0"/>
  </r>
  <r>
    <s v="007"/>
    <s v="MPA"/>
    <s v="521X0340"/>
    <s v="ETIQ COUV STARTER D31 90AH-620 280/50"/>
    <s v="UN"/>
    <n v="3000"/>
    <n v="0.29289999999999999"/>
    <n v="878.69999999999993"/>
    <x v="0"/>
  </r>
  <r>
    <s v="007"/>
    <s v="MPA"/>
    <s v="521X0341"/>
    <s v="ETIQ COUV1 L3 80AH STARTER LYBIE MF 115/50"/>
    <s v="UN"/>
    <n v="2000"/>
    <n v="0.20705000000000004"/>
    <n v="414.10000000000008"/>
    <x v="0"/>
  </r>
  <r>
    <s v="007"/>
    <s v="MPA"/>
    <s v="521X0345"/>
    <s v="ETIQ COUV L1B 110*30 44Ah 360A BATCAR"/>
    <s v="UN"/>
    <n v="3000"/>
    <n v="0.21210000000000001"/>
    <n v="636.30000000000007"/>
    <x v="0"/>
  </r>
  <r>
    <s v="007"/>
    <s v="MPA"/>
    <s v="521X0346"/>
    <s v="ETIQ COUV L2B 110*30 55Ah 480A BATCAR"/>
    <s v="UN"/>
    <n v="3700"/>
    <n v="0.20891192341166234"/>
    <n v="772.97411662315062"/>
    <x v="0"/>
  </r>
  <r>
    <s v="007"/>
    <s v="MPA"/>
    <s v="521X0347"/>
    <s v="ETIQ COUV L3B 110*30 72Ah 640A BATCAR"/>
    <s v="UN"/>
    <n v="2220"/>
    <n v="0.20388062827225134"/>
    <n v="452.61499476439798"/>
    <x v="0"/>
  </r>
  <r>
    <s v="007"/>
    <s v="MPA"/>
    <s v="521X0348"/>
    <s v="ETIQ COUV L5 110*30 95Ah 760A BATCAR"/>
    <s v="UN"/>
    <n v="3820"/>
    <n v="0.18387219917012451"/>
    <n v="702.39180082987559"/>
    <x v="0"/>
  </r>
  <r>
    <s v="007"/>
    <s v="MPA"/>
    <s v="521X0349"/>
    <s v="ETIQ SIGNES DANGERS L1B L2B L3B L5 50*30 BATCAR"/>
    <s v="UN"/>
    <n v="21000"/>
    <n v="0.1816888681204569"/>
    <n v="3815.4662305295947"/>
    <x v="0"/>
  </r>
  <r>
    <s v="007"/>
    <s v="MPA"/>
    <s v="521X0350"/>
    <s v="ETIQ COUV1 L1 66/66 ELECT"/>
    <s v="UN"/>
    <n v="2850"/>
    <n v="0.21210000000000001"/>
    <n v="604.48500000000001"/>
    <x v="0"/>
  </r>
  <r>
    <s v="007"/>
    <s v="MPA"/>
    <s v="521X0351"/>
    <s v="ETIQ COUV2 L1 118/66 ELEC"/>
    <s v="UN"/>
    <n v="2850"/>
    <n v="0.2828"/>
    <n v="805.98"/>
    <x v="0"/>
  </r>
  <r>
    <s v="007"/>
    <s v="MPA"/>
    <s v="521X0352"/>
    <s v="ETIQ COUV1 L2 77/66 550AH ELECTRON"/>
    <s v="UN"/>
    <n v="2850"/>
    <n v="0.21210000000000001"/>
    <n v="604.48500000000001"/>
    <x v="0"/>
  </r>
  <r>
    <s v="007"/>
    <s v="MPA"/>
    <s v="521X0353"/>
    <s v="ETIQ COUV2 L2 149/66 ELEC 550 AH"/>
    <s v="UN"/>
    <n v="2850"/>
    <n v="0.30299999999999999"/>
    <n v="863.55"/>
    <x v="0"/>
  </r>
  <r>
    <s v="007"/>
    <s v="MPA"/>
    <s v="521X0354"/>
    <s v="ETIQ COUV1 L2 77/66 620AH ELECTRON 620AH"/>
    <s v="UN"/>
    <n v="2850"/>
    <n v="0.21210000000000001"/>
    <n v="604.48500000000001"/>
    <x v="0"/>
  </r>
  <r>
    <s v="007"/>
    <s v="MPA"/>
    <s v="521X0355"/>
    <s v="ETIQ COUV2 L2 149/66 ELEC 620 AH"/>
    <s v="UN"/>
    <n v="2850"/>
    <n v="0.30299999999999999"/>
    <n v="863.55"/>
    <x v="0"/>
  </r>
  <r>
    <s v="007"/>
    <s v="MPA"/>
    <s v="521X0358"/>
    <s v="ETIQ COUV1 L3 120/71 ELEC 720 AH"/>
    <s v="UN"/>
    <n v="2200"/>
    <n v="0.2828"/>
    <n v="622.16"/>
    <x v="0"/>
  </r>
  <r>
    <s v="007"/>
    <s v="MPA"/>
    <s v="521X0359"/>
    <s v="ETIQ COUV2 L3 120/71 ELECTRON 720 AH"/>
    <s v="UN"/>
    <n v="2200"/>
    <n v="0.2828"/>
    <n v="622.16"/>
    <x v="0"/>
  </r>
  <r>
    <s v="007"/>
    <s v="MPA"/>
    <s v="521X0362"/>
    <s v="ETIQ COUV1 L5 160/71 ELEC 1000 AH"/>
    <s v="UN"/>
    <n v="2500"/>
    <n v="0.34945999999999999"/>
    <n v="873.65"/>
    <x v="0"/>
  </r>
  <r>
    <s v="007"/>
    <s v="MPA"/>
    <s v="521X0363"/>
    <s v="ETIQ COUV2  L5 160/71 ELE 1000 AH"/>
    <s v="UN"/>
    <n v="2500"/>
    <n v="0.34945999999999999"/>
    <n v="873.65"/>
    <x v="0"/>
  </r>
  <r>
    <s v="007"/>
    <s v="MPA"/>
    <s v="521X0366"/>
    <s v="ETIQ COUV1 J4/NS60 217/48 GUACHE"/>
    <s v="UN"/>
    <n v="2250"/>
    <n v="0.40400000000000003"/>
    <n v="909.00000000000011"/>
    <x v="0"/>
  </r>
  <r>
    <s v="007"/>
    <s v="MPA"/>
    <s v="521X0368"/>
    <s v="ETIQ COUV1 J6/D23 208/52 ELECTON GAUCHE"/>
    <s v="UN"/>
    <n v="2370"/>
    <n v="0.40400000000000003"/>
    <n v="957.48"/>
    <x v="0"/>
  </r>
  <r>
    <s v="007"/>
    <s v="MPA"/>
    <s v="521X0370"/>
    <s v="ETIQ COUV1 J7/D26 235/52 ELECTRON GAUCHE"/>
    <s v="UN"/>
    <n v="1870"/>
    <n v="0.45449999999999996"/>
    <n v="849.91499999999996"/>
    <x v="0"/>
  </r>
  <r>
    <s v="007"/>
    <s v="MPA"/>
    <s v="521X0372"/>
    <s v="ETIQ COUV1 J0/D31 280/52 ELECTRON GAUCHE"/>
    <s v="UN"/>
    <n v="2370"/>
    <n v="0.55549999999999999"/>
    <n v="1316.5350000000001"/>
    <x v="0"/>
  </r>
  <r>
    <s v="007"/>
    <s v="MPA"/>
    <s v="521X0374"/>
    <s v="ETIQ COUV1 L1 66/66 MF54459 BINSHIHOUN"/>
    <s v="UN"/>
    <n v="1000"/>
    <n v="0.21210000000000001"/>
    <n v="212.10000000000002"/>
    <x v="0"/>
  </r>
  <r>
    <s v="007"/>
    <s v="MPA"/>
    <s v="521X0375"/>
    <s v="ETIQ COUV2 L1 118/66 BINSHIHOUN MF 54459"/>
    <s v="UN"/>
    <n v="1000"/>
    <n v="0.35349999999999998"/>
    <n v="353.5"/>
    <x v="0"/>
  </r>
  <r>
    <s v="007"/>
    <s v="MPA"/>
    <s v="521X0376"/>
    <s v="ETIQ COUV L2 77/66 MF5559 BINSHIHOUN"/>
    <s v="UN"/>
    <n v="1250"/>
    <n v="0.2525"/>
    <n v="315.625"/>
    <x v="0"/>
  </r>
  <r>
    <s v="007"/>
    <s v="MPA"/>
    <s v="521X0377"/>
    <s v="ETIQ COUV L2 149/66 BINSHIHOUN MF 55559"/>
    <s v="UN"/>
    <n v="1250"/>
    <n v="0.43935000000000002"/>
    <n v="549.1875"/>
    <x v="0"/>
  </r>
  <r>
    <s v="007"/>
    <s v="MPA"/>
    <s v="521X0378"/>
    <s v="ETIQ COUV L2 120/71 MF56219 BIN SHIHOUN"/>
    <s v="UN"/>
    <n v="1500"/>
    <n v="0.2525"/>
    <n v="378.75"/>
    <x v="0"/>
  </r>
  <r>
    <s v="007"/>
    <s v="MPA"/>
    <s v="521X0379"/>
    <s v="ETIQ COUV 149/66 L2 MF56219 BIN SHIHOUN"/>
    <s v="UN"/>
    <n v="1500"/>
    <n v="0.43934999999999996"/>
    <n v="659.02499999999998"/>
    <x v="0"/>
  </r>
  <r>
    <s v="007"/>
    <s v="MPA"/>
    <s v="521X0380"/>
    <s v="ETIQ COUV  120/71 L3 MF56638 BINSHIHOUN"/>
    <s v="UN"/>
    <n v="2000"/>
    <n v="0.42925000000000002"/>
    <n v="858.5"/>
    <x v="0"/>
  </r>
  <r>
    <s v="007"/>
    <s v="MPA"/>
    <s v="521X0381"/>
    <s v="ETIQ COUV 120/71 L3 MF56638 BIN SHIHOUN"/>
    <s v="UN"/>
    <n v="2000"/>
    <n v="0.42925000000000002"/>
    <n v="858.5"/>
    <x v="0"/>
  </r>
  <r>
    <s v="007"/>
    <s v="MPA"/>
    <s v="521X0382"/>
    <s v="ETIQ COUV 120/71 L3 MF 57220 BINSHIHOUN"/>
    <s v="UN"/>
    <n v="1550"/>
    <n v="0.42499999999999999"/>
    <n v="658.75"/>
    <x v="0"/>
  </r>
  <r>
    <s v="007"/>
    <s v="MPA"/>
    <s v="521X0383"/>
    <s v="ETIQ COUV 120/71 L3 MF 57220 BIN SHIHOUN"/>
    <s v="UN"/>
    <n v="1550"/>
    <n v="0.42924999999999996"/>
    <n v="665.33749999999998"/>
    <x v="0"/>
  </r>
  <r>
    <s v="007"/>
    <s v="MPA"/>
    <s v="521X0384"/>
    <s v="ETIQ COUV 160/71 L5 MF58827 BIN SHIHOUN"/>
    <s v="UN"/>
    <n v="1750"/>
    <n v="0.47975000000000001"/>
    <n v="839.5625"/>
    <x v="0"/>
  </r>
  <r>
    <s v="007"/>
    <s v="MPA"/>
    <s v="521X0385"/>
    <s v="ETIQ COUV 2 160/71 L5 MF58827 BINSHIHOUN"/>
    <s v="UN"/>
    <n v="1500"/>
    <n v="0.47975000000000001"/>
    <n v="719.625"/>
    <x v="0"/>
  </r>
  <r>
    <s v="007"/>
    <s v="MPA"/>
    <s v="521X0386"/>
    <s v="ETIQ COUV 160/71 L5 MF60038 BIN SHIHOUN"/>
    <s v="UN"/>
    <n v="2250"/>
    <n v="0.47975000000000001"/>
    <n v="1079.4375"/>
    <x v="0"/>
  </r>
  <r>
    <s v="007"/>
    <s v="MPA"/>
    <s v="521X0387"/>
    <s v="ETIQ COUV 2 L5 160/71 MF60038 BIN SHIHOUN"/>
    <s v="UN"/>
    <n v="2000"/>
    <n v="0.47975000000000001"/>
    <n v="959.5"/>
    <x v="0"/>
  </r>
  <r>
    <s v="007"/>
    <s v="MPA"/>
    <s v="521X0391"/>
    <s v="ETIQ COUV 217/48 NS60G MF50B24RS BINSHIHOUN"/>
    <s v="UN"/>
    <n v="3500"/>
    <n v="0.60398000000000007"/>
    <n v="2113.9300000000003"/>
    <x v="0"/>
  </r>
  <r>
    <s v="007"/>
    <s v="MPA"/>
    <s v="521X0392"/>
    <s v="ETIQ COUV 208/52 D23D MF55D23L BINSHIHOUN"/>
    <s v="UN"/>
    <n v="3500"/>
    <n v="0.61609999999999998"/>
    <n v="2156.35"/>
    <x v="0"/>
  </r>
  <r>
    <s v="007"/>
    <s v="MPA"/>
    <s v="521X0393"/>
    <s v="ETIQ COUV 208/52 D23G MF55D23R BINSHIHOUN"/>
    <s v="UN"/>
    <n v="1500"/>
    <n v="0.61609999999999998"/>
    <n v="924.15"/>
    <x v="0"/>
  </r>
  <r>
    <s v="007"/>
    <s v="MPA"/>
    <s v="521X0395"/>
    <s v="ETIQ COUV 235/52 D26G MF80D26R BINSHIHOUN"/>
    <s v="UN"/>
    <n v="2000"/>
    <n v="0.66154999999999997"/>
    <n v="1323.1"/>
    <x v="0"/>
  </r>
  <r>
    <s v="007"/>
    <s v="MPA"/>
    <s v="521X0399"/>
    <s v="ETIQ COUV 235/52 D26G MF48D26R BIN SHIHOUN"/>
    <s v="UN"/>
    <n v="500"/>
    <n v="0.66155000000000008"/>
    <n v="330.77500000000003"/>
    <x v="0"/>
  </r>
  <r>
    <s v="007"/>
    <s v="MPA"/>
    <s v="521X0400"/>
    <s v="ETIQ COUV 280/52 D31D MF65D31L BIN SHIHOUN"/>
    <s v="UN"/>
    <n v="1500"/>
    <n v="0.70194999999999996"/>
    <n v="1052.925"/>
    <x v="0"/>
  </r>
  <r>
    <s v="007"/>
    <s v="MPA"/>
    <s v="521X0401"/>
    <s v="ETIQ COUV 280/52 D31G MF65D31R BINSHIHOUN"/>
    <s v="UN"/>
    <n v="1500"/>
    <n v="0.70194999999999996"/>
    <n v="1052.925"/>
    <x v="0"/>
  </r>
  <r>
    <s v="007"/>
    <s v="MPA"/>
    <s v="521X0402"/>
    <s v="ETIQ COUV 280/52 D31D 105D31L BIN SHIHOUN"/>
    <s v="UN"/>
    <n v="1500"/>
    <n v="0.70194999999999996"/>
    <n v="1052.925"/>
    <x v="0"/>
  </r>
  <r>
    <s v="007"/>
    <s v="MPA"/>
    <s v="521X0403"/>
    <s v="ETIQUETTE T10 COUV  50AH420A19050MM L1"/>
    <s v="UN"/>
    <n v="1000"/>
    <n v="0.31025851613783012"/>
    <n v="310.2585161378301"/>
    <x v="0"/>
  </r>
  <r>
    <s v="007"/>
    <s v="MPA"/>
    <s v="521X0404"/>
    <s v="ETIQUETTE T12 COUV   60AH L2B"/>
    <s v="UN"/>
    <n v="3500"/>
    <n v="0.48080313646980316"/>
    <n v="1682.8109776443112"/>
    <x v="0"/>
  </r>
  <r>
    <s v="007"/>
    <s v="MPA"/>
    <s v="521X0405"/>
    <s v="ETIQUETTE T15 COUV 62AH 540 A L2"/>
    <s v="UN"/>
    <n v="2000"/>
    <n v="0.48318024083196498"/>
    <n v="966.36048166392993"/>
    <x v="0"/>
  </r>
  <r>
    <s v="007"/>
    <s v="MPA"/>
    <s v="521X0406"/>
    <s v="ETIQUETTE T16 COUV 72AH 640 A L3B"/>
    <s v="UN"/>
    <n v="2500"/>
    <n v="0.52519999999999989"/>
    <n v="1312.9999999999998"/>
    <x v="0"/>
  </r>
  <r>
    <s v="007"/>
    <s v="MPA"/>
    <s v="521X0407"/>
    <s v="ETIQUETTE T17 COUV 72AH 640 A L3"/>
    <s v="UN"/>
    <n v="2000"/>
    <n v="0.50384074051075545"/>
    <n v="1007.6814810215109"/>
    <x v="0"/>
  </r>
  <r>
    <s v="007"/>
    <s v="MPA"/>
    <s v="521X0408"/>
    <s v="ETIQUETTE T22 COUV 100AH 800 A L5"/>
    <s v="UN"/>
    <n v="3000"/>
    <n v="0.68174999999999997"/>
    <n v="2045.25"/>
    <x v="0"/>
  </r>
  <r>
    <s v="007"/>
    <s v="MPA"/>
    <s v="521X0409"/>
    <s v="ETIQUETTE BAC WINMAXX 90/180 PF"/>
    <m/>
    <n v="7500"/>
    <n v="0.39895000000000008"/>
    <n v="2992.1250000000005"/>
    <x v="0"/>
  </r>
  <r>
    <s v="007"/>
    <s v="MPA"/>
    <s v="521X0410"/>
    <s v="ETIQ COUVERCLE L1 WINMAXX 45AH 370A (EN) 190/50"/>
    <s v="UN"/>
    <n v="7498"/>
    <n v="0.47469999999999996"/>
    <n v="3559.3005999999996"/>
    <x v="0"/>
  </r>
  <r>
    <s v="007"/>
    <s v="MPA"/>
    <s v="521X0411"/>
    <s v="ETIQ COUVERCLE L2 WINMAXX 55AH 450A (EN) 225/50"/>
    <s v="UN"/>
    <n v="3730"/>
    <n v="0.505"/>
    <n v="1883.65"/>
    <x v="0"/>
  </r>
  <r>
    <s v="007"/>
    <s v="MPA"/>
    <s v="521X0412"/>
    <s v="ETIQ COUVERCLE L3 WINMAXX 70AH 600A (EN) 255/50"/>
    <s v="UN"/>
    <n v="6930"/>
    <n v="0.57569999999999999"/>
    <n v="3989.6010000000001"/>
    <x v="0"/>
  </r>
  <r>
    <s v="007"/>
    <s v="MPA"/>
    <s v="521X0413"/>
    <s v="ETIQUETTE BAC WINMAXX MF"/>
    <s v="UN"/>
    <n v="3145"/>
    <n v="0.55044999999999999"/>
    <n v="1731.16525"/>
    <x v="0"/>
  </r>
  <r>
    <s v="007"/>
    <s v="MPA"/>
    <s v="521X0414"/>
    <s v="ETIQUETTE BAC WINMAXX GF"/>
    <s v="UN"/>
    <n v="3835"/>
    <n v="0.68679999999999997"/>
    <n v="2633.8779999999997"/>
    <x v="0"/>
  </r>
  <r>
    <s v="007"/>
    <s v="MPA"/>
    <s v="521X0415"/>
    <s v="ETIQ COUVERCLE D23 WINMAXX 60 AH"/>
    <s v="UN"/>
    <n v="2080"/>
    <n v="0.22219999999999998"/>
    <n v="462.17599999999999"/>
    <x v="0"/>
  </r>
  <r>
    <s v="007"/>
    <s v="MPA"/>
    <s v="521X0416"/>
    <s v="ETIQ COUV M11 WINMAX 90Ah"/>
    <s v="UN"/>
    <n v="2860"/>
    <n v="0.38379999999999997"/>
    <n v="1097.6679999999999"/>
    <x v="0"/>
  </r>
  <r>
    <s v="007"/>
    <s v="MPA"/>
    <s v="521X0417"/>
    <s v="ETIQ COUV M15 WINMAXX 150 AH"/>
    <s v="UN"/>
    <n v="3480"/>
    <n v="0.38379999999999992"/>
    <n v="1335.6239999999998"/>
    <x v="0"/>
  </r>
  <r>
    <s v="007"/>
    <s v="MPA"/>
    <s v="530P0021"/>
    <s v="CARTE GARANTIE NOUR"/>
    <s v="UN"/>
    <n v="19400"/>
    <n v="0.11613982249557735"/>
    <n v="2253.1125564142008"/>
    <x v="0"/>
  </r>
  <r>
    <s v="007"/>
    <s v="MPA"/>
    <s v="530P0022"/>
    <s v="CARTE GARANTIE SANS ENTRETIEN"/>
    <s v="UN"/>
    <n v="16800"/>
    <n v="0.11615"/>
    <n v="1951.3200000000002"/>
    <x v="0"/>
  </r>
  <r>
    <s v="007"/>
    <s v="MPA"/>
    <s v="530X0015"/>
    <s v="CARTE GARANTIE ELECTRON"/>
    <s v="UN"/>
    <n v="7500"/>
    <n v="0.1313"/>
    <n v="984.75"/>
    <x v="0"/>
  </r>
  <r>
    <s v="007"/>
    <s v="MPA"/>
    <s v="530X0016"/>
    <s v="CARTE GARANTIE BIN SHIHOUN"/>
    <s v="UN"/>
    <n v="900"/>
    <n v="0.1212"/>
    <n v="109.08"/>
    <x v="0"/>
  </r>
  <r>
    <s v="007"/>
    <s v="MPA"/>
    <s v="580B0002"/>
    <s v="EMB BIG BAG SANS HOUSSE"/>
    <s v="UN"/>
    <n v="4510"/>
    <n v="11.607676243473144"/>
    <n v="52350.619858063874"/>
    <x v="0"/>
  </r>
  <r>
    <s v="007"/>
    <s v="MPA"/>
    <s v="580C0012"/>
    <s v="Cornière en carton kraft D40mm L1m"/>
    <s v="UN"/>
    <n v="2420"/>
    <n v="0.51462629309645624"/>
    <n v="1245.395629293424"/>
    <x v="0"/>
  </r>
  <r>
    <s v="007"/>
    <s v="MPA"/>
    <s v="580C0014"/>
    <s v="POLYESTER COVER FOR NS60/J4 240X130X20mm"/>
    <s v="UN"/>
    <n v="57"/>
    <n v="0.22000000000000003"/>
    <n v="12.540000000000001"/>
    <x v="0"/>
  </r>
  <r>
    <s v="007"/>
    <s v="MPA"/>
    <s v="580C0015"/>
    <s v="POLYESTER COVER FOR D23/J6 230X180X20mm"/>
    <s v="UN"/>
    <n v="230"/>
    <n v="0.253"/>
    <n v="58.19"/>
    <x v="0"/>
  </r>
  <r>
    <s v="007"/>
    <s v="MPA"/>
    <s v="580C0016"/>
    <s v="POLYESTER COVER FOR D26/J7 260X180X20mm"/>
    <s v="UN"/>
    <n v="35"/>
    <n v="0.29099999999999998"/>
    <n v="10.184999999999999"/>
    <x v="0"/>
  </r>
  <r>
    <s v="007"/>
    <s v="MPA"/>
    <s v="580C0018"/>
    <s v="POLYESTER COVER FOR L1 200X170X10mm"/>
    <s v="UN"/>
    <n v="168"/>
    <n v="0.10925000000000001"/>
    <n v="18.354000000000003"/>
    <x v="0"/>
  </r>
  <r>
    <s v="007"/>
    <s v="MPA"/>
    <s v="580C0019"/>
    <s v="POLYESTER COVER FOR L2 240X170X10mm"/>
    <s v="UN"/>
    <n v="340"/>
    <n v="0.13355081967213117"/>
    <n v="45.407278688524599"/>
    <x v="0"/>
  </r>
  <r>
    <s v="007"/>
    <s v="MPA"/>
    <s v="580C0020"/>
    <s v="POLYESTER COVER FOR L3 275X170X10mm"/>
    <s v="UN"/>
    <n v="103"/>
    <n v="0.152"/>
    <n v="15.655999999999999"/>
    <x v="0"/>
  </r>
  <r>
    <s v="007"/>
    <s v="MPA"/>
    <s v="580C0021"/>
    <s v="POLYESTER COVER FOR L5 340X170X10mm"/>
    <s v="UN"/>
    <n v="653"/>
    <n v="0.19"/>
    <n v="124.07000000000001"/>
    <x v="0"/>
  </r>
  <r>
    <s v="007"/>
    <s v="MPA"/>
    <s v="580C0023"/>
    <s v="POLYESTER COVER FOR NS60/J4 240X130X10mm"/>
    <s v="UN"/>
    <n v="14"/>
    <n v="0.11"/>
    <n v="1.54"/>
    <x v="0"/>
  </r>
  <r>
    <s v="007"/>
    <s v="MPA"/>
    <s v="580C0024"/>
    <s v="POLYESTER COVER FOR D23/J6 230X180X10mm"/>
    <s v="UN"/>
    <n v="267"/>
    <n v="0.12654081632653061"/>
    <n v="33.786397959183674"/>
    <x v="0"/>
  </r>
  <r>
    <s v="007"/>
    <s v="MPA"/>
    <s v="580C0025"/>
    <s v="POLYESTER COVER FOR D26/J7 260X180X10mm"/>
    <s v="UN"/>
    <n v="1000"/>
    <n v="0.14552119499394428"/>
    <n v="145.52119499394428"/>
    <x v="0"/>
  </r>
  <r>
    <s v="007"/>
    <s v="MPA"/>
    <s v="580C0030"/>
    <s v="Carton box L1 MF54459215X180X200"/>
    <s v="UN"/>
    <n v="780"/>
    <n v="5.3529999999999998"/>
    <n v="4175.34"/>
    <x v="0"/>
  </r>
  <r>
    <s v="007"/>
    <s v="MPA"/>
    <s v="580C0031"/>
    <s v="Carton  MF55559 L2 250X180X200"/>
    <s v="UN"/>
    <n v="520"/>
    <n v="5.5549999999999997"/>
    <n v="2888.6"/>
    <x v="0"/>
  </r>
  <r>
    <s v="007"/>
    <s v="MPA"/>
    <s v="580C0032"/>
    <s v="Carton box L3 MF56638 286X180X200 ELECTRON"/>
    <s v="UN"/>
    <n v="895"/>
    <n v="4.8479999999999999"/>
    <n v="4338.96"/>
    <x v="0"/>
  </r>
  <r>
    <s v="007"/>
    <s v="MPA"/>
    <s v="580C0034"/>
    <s v="Carton box L5 MF58827 360X180X200 ELECTRON"/>
    <s v="UN"/>
    <n v="1000"/>
    <n v="7.3730000000000002"/>
    <n v="7373"/>
    <x v="0"/>
  </r>
  <r>
    <s v="007"/>
    <s v="MPA"/>
    <s v="580C0036"/>
    <s v="Carton box j4 MF 50B24LS 240X136X236 ELECTRON"/>
    <s v="UN"/>
    <n v="866"/>
    <n v="5.05"/>
    <n v="4373.3"/>
    <x v="0"/>
  </r>
  <r>
    <s v="007"/>
    <s v="MPA"/>
    <s v="580C0037"/>
    <s v="CARTON BOX J6 MF48D26R 232X180X232 ELECTRON"/>
    <s v="UN"/>
    <n v="660"/>
    <n v="5.9589999999999996"/>
    <n v="3932.9399999999996"/>
    <x v="0"/>
  </r>
  <r>
    <s v="007"/>
    <s v="MPA"/>
    <s v="580C0038"/>
    <s v="CARTON BOX J7 MF48D26R 260X180X235 ELECTRON"/>
    <s v="UN"/>
    <n v="750"/>
    <n v="6.3630000000000004"/>
    <n v="4772.25"/>
    <x v="0"/>
  </r>
  <r>
    <s v="007"/>
    <s v="MPA"/>
    <s v="580C0039"/>
    <s v="CARTON BOX J0105D31L 310X180X233 ELECTRON"/>
    <s v="UN"/>
    <n v="909"/>
    <n v="7.676000000000001"/>
    <n v="6977.4840000000013"/>
    <x v="0"/>
  </r>
  <r>
    <s v="007"/>
    <s v="MPA"/>
    <s v="580C0040"/>
    <s v="CARTON BOX L1 MF54459 215X180X200 BINSHIHOUN"/>
    <s v="UN"/>
    <n v="300"/>
    <n v="5.2519999999999998"/>
    <n v="1575.6"/>
    <x v="0"/>
  </r>
  <r>
    <s v="007"/>
    <s v="MPA"/>
    <s v="580C0041"/>
    <s v="CARTON BOX L2 MF55559 250X180X200 BINSHIHOUN"/>
    <s v="UN"/>
    <n v="1100"/>
    <n v="5.3529999999999998"/>
    <n v="5888.3"/>
    <x v="0"/>
  </r>
  <r>
    <s v="007"/>
    <s v="MPA"/>
    <s v="580C0042"/>
    <s v="CARTON BOX L2 MF 56219 250X180X200 BINSHIHOUN"/>
    <s v="UN"/>
    <n v="464"/>
    <n v="5.5549999999999997"/>
    <n v="2577.52"/>
    <x v="0"/>
  </r>
  <r>
    <s v="007"/>
    <s v="MPA"/>
    <s v="580C0043"/>
    <s v="CARON BOX L3 MF56638 286X180X200 BINSHIHOUN"/>
    <s v="UN"/>
    <n v="175"/>
    <n v="4.8479999999999999"/>
    <n v="848.4"/>
    <x v="0"/>
  </r>
  <r>
    <s v="007"/>
    <s v="MPA"/>
    <s v="580C0044"/>
    <s v="CARTON BOX L3 MF57220 286X180X200 BINSHIHOUN"/>
    <s v="UN"/>
    <n v="90"/>
    <n v="4.8479999999999999"/>
    <n v="436.32"/>
    <x v="0"/>
  </r>
  <r>
    <s v="007"/>
    <s v="MPA"/>
    <s v="580C0045"/>
    <s v="CARTON BOX L5 MF58827 360X180X200 BINSHIHOUN"/>
    <s v="UN"/>
    <n v="769"/>
    <n v="7.3730000000000002"/>
    <n v="5669.8370000000004"/>
    <x v="0"/>
  </r>
  <r>
    <s v="007"/>
    <s v="MPA"/>
    <s v="580C0046"/>
    <s v="CARTON BOX L5 MF60038 360X180X200 BINSHIHOUN"/>
    <s v="UN"/>
    <n v="975"/>
    <n v="7.3730000000000002"/>
    <n v="7188.6750000000002"/>
    <x v="0"/>
  </r>
  <r>
    <s v="007"/>
    <s v="MPA"/>
    <s v="580C0047"/>
    <s v="CARTON BOX J4 MF50B24LS 240X136X236 BINSHIHOUN"/>
    <s v="UN"/>
    <n v="1083"/>
    <n v="4.8985000000000003"/>
    <n v="5305.0754999999999"/>
    <x v="0"/>
  </r>
  <r>
    <s v="007"/>
    <s v="MPA"/>
    <s v="580C0048"/>
    <s v="CARTON BOX J4 MF50B24LS 240X136X236 BINSHIHOUN"/>
    <s v="UN"/>
    <n v="948"/>
    <n v="4.964672413793104"/>
    <n v="4706.5094482758623"/>
    <x v="0"/>
  </r>
  <r>
    <s v="007"/>
    <s v="MPA"/>
    <s v="580C0049"/>
    <s v="CARTON BOX J6 MF55D23L 232X180X232 BINSHIHOUN"/>
    <s v="UN"/>
    <n v="89"/>
    <n v="5.7569999999999997"/>
    <n v="512.37299999999993"/>
    <x v="0"/>
  </r>
  <r>
    <s v="007"/>
    <s v="MPA"/>
    <s v="580C0050"/>
    <s v="CARTON BOX J6 MF55D23R 232X180X232 BINSHIHOUN"/>
    <s v="UN"/>
    <n v="665"/>
    <n v="5.9589999999999996"/>
    <n v="3962.7349999999997"/>
    <x v="0"/>
  </r>
  <r>
    <s v="007"/>
    <s v="MPA"/>
    <s v="580C0051"/>
    <s v="CARTON BOX MF48D26L 260X180X235 BINSHIHOUN"/>
    <s v="UN"/>
    <n v="40"/>
    <n v="6.1609999999999996"/>
    <n v="246.44"/>
    <x v="0"/>
  </r>
  <r>
    <s v="007"/>
    <s v="MPA"/>
    <s v="580C0052"/>
    <s v="CARTON BOX J7 MF80D26L 260X180X235 BINSHIHOUN"/>
    <s v="UN"/>
    <n v="39"/>
    <n v="6.1609999999999996"/>
    <n v="240.279"/>
    <x v="0"/>
  </r>
  <r>
    <s v="007"/>
    <s v="MPA"/>
    <s v="580C0053"/>
    <s v="CARTON BOX J7 MF48D26R 260X180X235 BINSHIHOUN"/>
    <s v="UN"/>
    <n v="825"/>
    <n v="6.3630000000000004"/>
    <n v="5249.4750000000004"/>
    <x v="0"/>
  </r>
  <r>
    <s v="007"/>
    <s v="MPA"/>
    <s v="580C0054"/>
    <s v="CARTON BOX J7 MF80D26R 260X180X235 BINSHIHOUN"/>
    <s v="UN"/>
    <n v="550"/>
    <n v="6.3630000000000004"/>
    <n v="3499.65"/>
    <x v="0"/>
  </r>
  <r>
    <s v="007"/>
    <s v="MPA"/>
    <s v="580C0055"/>
    <s v="CARTON BOX J0 MF65D31L 310X180X233 BINSHIHOUN"/>
    <s v="UN"/>
    <n v="600"/>
    <n v="7.6760000000000019"/>
    <n v="4605.6000000000013"/>
    <x v="0"/>
  </r>
  <r>
    <s v="007"/>
    <s v="MPA"/>
    <s v="580C0056"/>
    <s v="CARTON BOX JO MF105D31L 310X180X233 BINSHIHOUN"/>
    <s v="UN"/>
    <n v="300"/>
    <n v="7.6760000000000002"/>
    <n v="2302.8000000000002"/>
    <x v="0"/>
  </r>
  <r>
    <s v="007"/>
    <s v="MPA"/>
    <s v="580C0057"/>
    <s v="CARTON BOX J0 MF65D31R 310X180X233BINSHIHOUN"/>
    <s v="UN"/>
    <n v="420"/>
    <n v="7.6760000000000002"/>
    <n v="3223.92"/>
    <x v="0"/>
  </r>
  <r>
    <s v="007"/>
    <s v="MPA"/>
    <s v="580C0060"/>
    <s v="POLYESTER COVER FOR D26/J7 260X180X37mm"/>
    <s v="UN"/>
    <n v="80"/>
    <n v="0.52629617977528087"/>
    <n v="42.103694382022468"/>
    <x v="0"/>
  </r>
  <r>
    <s v="007"/>
    <s v="MPA"/>
    <s v="580C0062"/>
    <s v="HOUSSE EN POLYESTER POUR  D31/J0 310 X 180 X 27mm"/>
    <s v="UN"/>
    <n v="120"/>
    <n v="0.39389999999999997"/>
    <n v="47.267999999999994"/>
    <x v="0"/>
  </r>
  <r>
    <s v="007"/>
    <s v="MPA"/>
    <s v="580F0003"/>
    <s v="FILM ETIRABLE MACHINE"/>
    <s v="KG"/>
    <n v="803.2"/>
    <n v="5.573250291004328"/>
    <n v="4476.4346337346769"/>
    <x v="0"/>
  </r>
  <r>
    <s v="007"/>
    <s v="MPA"/>
    <s v="580F0012"/>
    <s v="FILM THERMO 450/55"/>
    <s v="KG"/>
    <n v="579.20000000000005"/>
    <n v="7.0251807777721247"/>
    <n v="4068.9847064856149"/>
    <x v="0"/>
  </r>
  <r>
    <s v="007"/>
    <s v="MPA"/>
    <s v="580F0013"/>
    <s v="FILM THERMORETRAC. 400/55"/>
    <s v="KG"/>
    <n v="658.3"/>
    <n v="6.9762636401470353"/>
    <n v="4592.4743543087934"/>
    <x v="0"/>
  </r>
  <r>
    <s v="007"/>
    <s v="MPA"/>
    <s v="580F0016"/>
    <s v="FILM THERMORETRA. 300/55"/>
    <s v="KG"/>
    <n v="923.4"/>
    <n v="4.8500000000000005"/>
    <n v="4478.4900000000007"/>
    <x v="0"/>
  </r>
  <r>
    <s v="007"/>
    <s v="MPA"/>
    <s v="580F0018"/>
    <s v="FILM THERMORETRA. 650/55"/>
    <s v="KG"/>
    <n v="389.4"/>
    <n v="6.9067564842611908"/>
    <n v="2689.4909749713074"/>
    <x v="0"/>
  </r>
  <r>
    <s v="007"/>
    <s v="MPA"/>
    <s v="580F0019"/>
    <s v="FILM THERMORETRA. 350/55"/>
    <s v="KG"/>
    <n v="710"/>
    <n v="7.0987832461235545"/>
    <n v="5040.1361047477239"/>
    <x v="0"/>
  </r>
  <r>
    <s v="007"/>
    <s v="MPA"/>
    <s v="580L0000"/>
    <s v="COUVERCLE PALETTE BOIS 120 X 80"/>
    <s v="UN"/>
    <n v="378"/>
    <n v="6.0440149045179323"/>
    <n v="2284.6376339077783"/>
    <x v="0"/>
  </r>
  <r>
    <s v="007"/>
    <s v="MPA"/>
    <s v="580L0005"/>
    <s v="PALETTE BOIS 120/80"/>
    <s v="UN"/>
    <n v="1348"/>
    <n v="33.26469736219822"/>
    <n v="44840.812044243197"/>
    <x v="0"/>
  </r>
  <r>
    <s v="007"/>
    <s v="MPA"/>
    <s v="580L0007"/>
    <s v="PALETTE BOIS 112/72 SANS TRAVERSE"/>
    <s v="UN"/>
    <n v="151"/>
    <n v="17.112072879693891"/>
    <n v="2583.9230048337777"/>
    <x v="0"/>
  </r>
  <r>
    <s v="007"/>
    <s v="MPA"/>
    <s v="580L0016"/>
    <s v="PALETTE EN BOIS 60/80"/>
    <s v="UN"/>
    <n v="17"/>
    <n v="17"/>
    <n v="289"/>
    <x v="0"/>
  </r>
  <r>
    <s v="007"/>
    <s v="MPA"/>
    <s v="580L0017"/>
    <s v="PALETTE 120/80 1er choix"/>
    <s v="UN"/>
    <n v="119"/>
    <n v="27"/>
    <n v="3213"/>
    <x v="0"/>
  </r>
  <r>
    <s v="007"/>
    <s v="MPA"/>
    <s v="580L0018"/>
    <s v="PALETTE 120/80 1er choix traité"/>
    <s v="UN"/>
    <n v="1000"/>
    <n v="28"/>
    <n v="28000"/>
    <x v="0"/>
  </r>
  <r>
    <s v="007"/>
    <s v="MPA"/>
    <s v="580P0010"/>
    <s v="POLYST.120/80/2CM D16"/>
    <s v="UN"/>
    <n v="1095"/>
    <n v="3.2312791788981139"/>
    <n v="3538.2507008934349"/>
    <x v="0"/>
  </r>
  <r>
    <s v="007"/>
    <s v="MPA"/>
    <s v="600A0019"/>
    <s v="HEXANE( SOLVANT NETOYYAGE)"/>
    <s v="L"/>
    <n v="140"/>
    <n v="3.0348837209302326"/>
    <n v="424.88372093023258"/>
    <x v="0"/>
  </r>
  <r>
    <s v="007"/>
    <s v="MPA"/>
    <s v="600A0022"/>
    <s v="MELANGE 20% ISOPROPANOL + 80% ÉTHANO"/>
    <s v="L"/>
    <n v="400"/>
    <n v="23.74"/>
    <n v="9496"/>
    <x v="0"/>
  </r>
  <r>
    <s v="007"/>
    <s v="MPA"/>
    <s v="690X0003"/>
    <s v="FLUX COS"/>
    <s v="KG"/>
    <n v="180"/>
    <n v="55.001795704000003"/>
    <n v="9900.3232267200001"/>
    <x v="0"/>
  </r>
  <r>
    <s v="007"/>
    <s v="MPA"/>
    <s v="690X0024"/>
    <s v="SEL ADOUCISSEUR"/>
    <s v="KG"/>
    <n v="975"/>
    <n v="1.35"/>
    <n v="1316.25"/>
    <x v="0"/>
  </r>
  <r>
    <s v="007"/>
    <s v="MPA"/>
    <s v="690X0025"/>
    <s v="LIEGE PREPARE AC23#5 GLOBE SUPERKOTE MOLD"/>
    <s v="UN"/>
    <n v="105"/>
    <n v="30.505706430295458"/>
    <n v="3203.0991751810229"/>
    <x v="0"/>
  </r>
  <r>
    <s v="007"/>
    <s v="MPA"/>
    <s v="690X0029"/>
    <s v="COLLE HOTMELET SWIFT THERM 9042"/>
    <s v="KG"/>
    <n v="315"/>
    <n v="19.719606724089637"/>
    <n v="6211.6761180882359"/>
    <x v="0"/>
  </r>
  <r>
    <s v="007"/>
    <s v="MPA"/>
    <s v="690X0033"/>
    <s v="LUBRIFIANT HADILIN K95/II  014-000-024"/>
    <s v="L"/>
    <n v="120"/>
    <n v="36.402450000000002"/>
    <n v="4368.2939999999999"/>
    <x v="0"/>
  </r>
  <r>
    <s v="007"/>
    <s v="MPA"/>
    <s v="712MEC028"/>
    <s v="RLX FEUILLARD 15"/>
    <s v="UN"/>
    <n v="3"/>
    <n v="145"/>
    <n v="435"/>
    <x v="0"/>
  </r>
  <r>
    <s v="007"/>
    <s v="MPA"/>
    <s v="840LUB037"/>
    <s v="VASELINE BLANCHE 4 KG"/>
    <s v="UN"/>
    <n v="2"/>
    <n v="48.329666666666668"/>
    <n v="96.659333333333336"/>
    <x v="0"/>
  </r>
  <r>
    <s v="007"/>
    <s v="MPA"/>
    <s v="840PNA094"/>
    <s v="SCOTCH 3M TYPE 8981"/>
    <s v="UN"/>
    <n v="16"/>
    <n v="92.91"/>
    <n v="1486.56"/>
    <x v="0"/>
  </r>
  <r>
    <s v="007"/>
    <s v="MPY"/>
    <s v="400D2302"/>
    <s v="BAC D23 P0 C33 B01 NOIR 201373"/>
    <s v="UN"/>
    <n v="283"/>
    <n v="7.9457692462815741"/>
    <n v="2248.6526966976853"/>
    <x v="0"/>
  </r>
  <r>
    <s v="007"/>
    <s v="MPY"/>
    <s v="400L0213"/>
    <s v="BAC L2 NOIR PO C28 25691010B77"/>
    <s v="UN"/>
    <n v="216"/>
    <n v="5.4782695444978593"/>
    <n v="1183.3062216115377"/>
    <x v="0"/>
  </r>
  <r>
    <s v="007"/>
    <s v="MPY"/>
    <s v="400L0314"/>
    <s v="BAC L3 NOIR P0 C33 2B341005B70"/>
    <s v="UN"/>
    <n v="123"/>
    <n v="5.9468506015183964"/>
    <n v="731.46262398676276"/>
    <x v="0"/>
  </r>
  <r>
    <s v="007"/>
    <s v="MPY"/>
    <s v="400M1008"/>
    <s v="BAC M10 P15,4 C33 GRIS 30241012B70"/>
    <s v="UN"/>
    <n v="211"/>
    <n v="9.7258153946003176"/>
    <n v="2052.1470482606669"/>
    <x v="0"/>
  </r>
  <r>
    <s v="007"/>
    <s v="MPY"/>
    <s v="400M1104"/>
    <s v="BAC M11 P8.5 C46,3 NOIR 22241008B70"/>
    <s v="UN"/>
    <n v="103"/>
    <n v="8.053227749015468"/>
    <n v="829.4824581485932"/>
    <x v="0"/>
  </r>
  <r>
    <s v="007"/>
    <s v="MPY"/>
    <s v="400M1606"/>
    <s v="BAC M16 GRIS C102 P16 20891032B74"/>
    <s v="UN"/>
    <n v="19"/>
    <n v="23.127588104431553"/>
    <n v="439.42417398419951"/>
    <x v="0"/>
  </r>
  <r>
    <s v="007"/>
    <s v="MPY"/>
    <s v="400N5003"/>
    <s v="BAC N50 P0 C40 NOIR A LISTEAUX MONBAT"/>
    <s v="UN"/>
    <n v="131"/>
    <n v="8.2255219304087159"/>
    <n v="1077.5433728835417"/>
    <x v="0"/>
  </r>
  <r>
    <s v="007"/>
    <s v="MPY"/>
    <s v="400N7003"/>
    <s v="BAC N70 P0 C46.5 NOIR A LISTEAUX MONBAT"/>
    <s v="UN"/>
    <n v="736"/>
    <n v="7.5318441523671078"/>
    <n v="5543.4372961421914"/>
    <x v="0"/>
  </r>
  <r>
    <s v="007"/>
    <s v="MPY"/>
    <s v="400NS4002"/>
    <s v="BAC NS40 P0 NOIR SANS LISTEAUX 27181001B70        A"/>
    <s v="UN"/>
    <n v="360"/>
    <n v="5.2865873581565594"/>
    <n v="1903.1714489363615"/>
    <x v="0"/>
  </r>
  <r>
    <s v="007"/>
    <s v="MPY"/>
    <s v="400NS4003"/>
    <s v="BAC NS40 P0 NOIR V250 LISTEAUX KOREAN 2B221014B70 A"/>
    <s v="UN"/>
    <n v="770"/>
    <n v="5.6790230360969103"/>
    <n v="4372.847737794621"/>
    <x v="0"/>
  </r>
  <r>
    <s v="007"/>
    <s v="MPY"/>
    <s v="400NS6002"/>
    <s v="BAC NS60 P0 C34 NOIR 27251002B74                  A"/>
    <s v="UN"/>
    <n v="1370"/>
    <n v="5.854190761007608"/>
    <n v="8020.2413425804234"/>
    <x v="0"/>
  </r>
  <r>
    <s v="007"/>
    <s v="MPY"/>
    <s v="420L0111"/>
    <s v="COUV L1 EK DROITE NOIR 25032084B70                A"/>
    <s v="UN"/>
    <n v="1908"/>
    <n v="4.0436779169907302"/>
    <n v="7715.3374656183132"/>
    <x v="0"/>
  </r>
  <r>
    <s v="007"/>
    <s v="MPY"/>
    <s v="420L0217"/>
    <s v="COUV L2 EK G NOIR 24582123P70"/>
    <s v="UN"/>
    <n v="650"/>
    <n v="4.3222877881831794"/>
    <n v="2809.4870623190668"/>
    <x v="0"/>
  </r>
  <r>
    <s v="007"/>
    <s v="MPY"/>
    <s v="420L0228"/>
    <s v="COUV L2 EK DROITE NOIR 24582125P70                A"/>
    <s v="UN"/>
    <n v="3941"/>
    <n v="4.3236851050961489"/>
    <n v="17039.642999183921"/>
    <x v="0"/>
  </r>
  <r>
    <s v="007"/>
    <s v="MPY"/>
    <s v="420L0307"/>
    <s v="COUV. L3 EURO KAM DROITE NOIR 21152167B70         A"/>
    <s v="UN"/>
    <n v="2199"/>
    <n v="5.1094136548213882"/>
    <n v="11235.600626952233"/>
    <x v="0"/>
  </r>
  <r>
    <s v="007"/>
    <s v="MPY"/>
    <s v="420L0507"/>
    <s v="COUV. L5 EK DROITE NOIR 21162166B70               A"/>
    <s v="UN"/>
    <n v="5746"/>
    <n v="5.2384684435120272"/>
    <n v="30100.239676420108"/>
    <x v="0"/>
  </r>
  <r>
    <s v="007"/>
    <s v="MPY"/>
    <s v="420M1040"/>
    <s v="COUV M10 G NOIR RS 2D032002B70                    A"/>
    <s v="UN"/>
    <n v="661"/>
    <n v="7.0411855665611025"/>
    <n v="4654.223659496889"/>
    <x v="0"/>
  </r>
  <r>
    <s v="007"/>
    <s v="MPY"/>
    <s v="420M1041"/>
    <s v="COUV M10 D NOIR RS 2D032001B70                    A"/>
    <s v="UN"/>
    <n v="210"/>
    <n v="7.1245275922579561"/>
    <n v="1496.1507943741708"/>
    <x v="0"/>
  </r>
  <r>
    <s v="007"/>
    <s v="MPY"/>
    <s v="420M1140"/>
    <s v="COUV M11 G NOIR RS 2D062003B70                    A"/>
    <s v="UN"/>
    <n v="1164"/>
    <n v="7.6764845528992485"/>
    <n v="8935.4280195747251"/>
    <x v="0"/>
  </r>
  <r>
    <s v="007"/>
    <s v="MPY"/>
    <s v="420M1141"/>
    <s v="COUV M11 D NOIR RS 2D062001B70                    A"/>
    <s v="UN"/>
    <n v="455"/>
    <n v="7.560044501699501"/>
    <n v="3439.8202482732731"/>
    <x v="0"/>
  </r>
  <r>
    <s v="007"/>
    <s v="MPY"/>
    <s v="460d1817"/>
    <s v="OIL MAGIQUE 40 MM AKUMSA                          A"/>
    <s v="UN"/>
    <n v="1400"/>
    <n v="0.04"/>
    <n v="56"/>
    <x v="0"/>
  </r>
  <r>
    <s v="007"/>
    <s v="MPY"/>
    <s v="500E0195"/>
    <s v="ETIQ BAC NOUR MARINE GF 140/300"/>
    <s v="UN"/>
    <n v="2670"/>
    <n v="0.27994328621908127"/>
    <n v="747.44857420494702"/>
    <x v="0"/>
  </r>
  <r>
    <s v="007"/>
    <s v="MPY"/>
    <s v="500E0196"/>
    <s v="ETIQ BAC PREMIUM L1 NOUVEAU DESIGN  170/95"/>
    <s v="UN"/>
    <n v="1500"/>
    <n v="0.21687358490566039"/>
    <n v="325.3103773584906"/>
    <x v="0"/>
  </r>
  <r>
    <s v="007"/>
    <s v="MPY"/>
    <s v="500E0197"/>
    <s v="ETIQ BAC PREMIUM L1B NOUVEAU DESIGN 170/85"/>
    <s v="UN"/>
    <n v="400"/>
    <n v="0.13"/>
    <n v="52"/>
    <x v="0"/>
  </r>
  <r>
    <s v="007"/>
    <s v="MPY"/>
    <s v="500E0198"/>
    <s v="ETIQ BAC PREMIUM L2 NOUVEAU DESIGN 210/95"/>
    <s v="UN"/>
    <n v="150"/>
    <n v="2.9794999999999998"/>
    <n v="446.92499999999995"/>
    <x v="0"/>
  </r>
  <r>
    <s v="007"/>
    <s v="MPY"/>
    <s v="500E0199"/>
    <s v="ETIQ BAC PREMIUM L2B NOUVEAU DESIGN 210/85"/>
    <s v="UN"/>
    <n v="1500"/>
    <n v="0.25755"/>
    <n v="386.32499999999999"/>
    <x v="0"/>
  </r>
  <r>
    <s v="007"/>
    <s v="MPY"/>
    <s v="500E0200"/>
    <s v="ETIQ BAC PREMIUM L3 NOUVEAU DESIGN  240/95"/>
    <s v="UN"/>
    <n v="1500"/>
    <n v="0.31655998148353298"/>
    <n v="474.83997222529945"/>
    <x v="0"/>
  </r>
  <r>
    <s v="007"/>
    <s v="MPY"/>
    <s v="500E0201"/>
    <s v="ETIQ BAC PREMIUM L3B  NOUVEAU DESIGN 240/85"/>
    <s v="UN"/>
    <n v="1000"/>
    <n v="0.24745"/>
    <n v="247.45000000000002"/>
    <x v="0"/>
  </r>
  <r>
    <s v="007"/>
    <s v="MPY"/>
    <s v="500E0202"/>
    <s v="ETIQ BAC PREMIUM M10 NOUVEAU DESIGN 115/230"/>
    <s v="UN"/>
    <n v="1000"/>
    <n v="0.38031635542247016"/>
    <n v="380.31635542247017"/>
    <x v="0"/>
  </r>
  <r>
    <s v="007"/>
    <s v="MPY"/>
    <s v="500E0203"/>
    <s v="ETIQ BAC PREMIUM M11  NOUVEAU DESIGN  115/270"/>
    <s v="UN"/>
    <n v="2500"/>
    <n v="0.34593227430373091"/>
    <n v="864.83068575932725"/>
    <x v="0"/>
  </r>
  <r>
    <s v="007"/>
    <s v="MPY"/>
    <s v="500E0204"/>
    <s v="ETIQ BAC PREMIUM M12 NOUVEAU DESIGN 115/310"/>
    <s v="UN"/>
    <n v="3000"/>
    <n v="0.52613787528868361"/>
    <n v="1578.4136258660508"/>
    <x v="0"/>
  </r>
  <r>
    <s v="007"/>
    <s v="MPY"/>
    <s v="500E0205"/>
    <s v="ETIQ BAC HEAVU DUTY HD2  210/95"/>
    <s v="UN"/>
    <n v="2000"/>
    <n v="0.25755"/>
    <n v="515.1"/>
    <x v="0"/>
  </r>
  <r>
    <s v="007"/>
    <s v="MPY"/>
    <s v="500E0206"/>
    <s v="ETIQ BAC HEAVY DUTY HD3  240/95"/>
    <s v="UN"/>
    <n v="3000"/>
    <n v="0.23520000000000002"/>
    <n v="705.6"/>
    <x v="0"/>
  </r>
  <r>
    <s v="007"/>
    <s v="MPY"/>
    <s v="500E0207"/>
    <s v="ETIQ BAC HEAVY DUTY HD10  230/115"/>
    <s v="UN"/>
    <n v="500"/>
    <n v="0.24"/>
    <n v="120"/>
    <x v="0"/>
  </r>
  <r>
    <s v="007"/>
    <s v="MPY"/>
    <s v="500E0208"/>
    <s v="ETIQ BAC HD11 270/115"/>
    <s v="UN"/>
    <n v="3100"/>
    <n v="0.27929999999999999"/>
    <n v="865.82999999999993"/>
    <x v="0"/>
  </r>
  <r>
    <s v="007"/>
    <s v="MPY"/>
    <s v="500E0209"/>
    <s v="ETIQ BAC SMART  S1 170/95"/>
    <s v="UN"/>
    <n v="1500"/>
    <n v="0.30528988899645421"/>
    <n v="457.9348334946813"/>
    <x v="0"/>
  </r>
  <r>
    <s v="007"/>
    <s v="MPY"/>
    <s v="500E0212"/>
    <s v="ETIQ BAC SMART S5 315/95"/>
    <s v="UN"/>
    <n v="2500"/>
    <n v="0.54727052307402646"/>
    <n v="1368.1763076850661"/>
    <x v="0"/>
  </r>
  <r>
    <s v="007"/>
    <s v="MPY"/>
    <s v="500E0213"/>
    <s v="ETIQ BAC NOUR JUMBO M14 120AH 135/310"/>
    <s v="UN"/>
    <n v="4512"/>
    <n v="0.5179883361683012"/>
    <n v="2337.163372791375"/>
    <x v="0"/>
  </r>
  <r>
    <s v="007"/>
    <s v="MPY"/>
    <s v="500E0214"/>
    <s v="ETIQ BAC NOUR JUMBO M15 135AH 135/310"/>
    <s v="UN"/>
    <n v="400"/>
    <n v="1.3230641258607909"/>
    <n v="529.22565034431636"/>
    <x v="0"/>
  </r>
  <r>
    <s v="007"/>
    <s v="MPY"/>
    <s v="500E0215"/>
    <s v="ETIQ BAC NOUR JUMBO M15S 170AH 135/310"/>
    <s v="UN"/>
    <n v="1700"/>
    <n v="0.5252"/>
    <n v="892.84"/>
    <x v="0"/>
  </r>
  <r>
    <s v="007"/>
    <s v="MPY"/>
    <s v="500E0216"/>
    <s v="ETIQ BAC NOUR JUMBO M16 180AH 140/310"/>
    <s v="UN"/>
    <n v="2922"/>
    <n v="0.43394054054054054"/>
    <n v="1267.9742594594595"/>
    <x v="0"/>
  </r>
  <r>
    <s v="007"/>
    <s v="MPY"/>
    <s v="500E0219"/>
    <s v="ETIQ BAC NOUR POWER PL2 55 AH 92/205"/>
    <s v="UN"/>
    <n v="500"/>
    <n v="0.30804999999999999"/>
    <n v="154.02500000000001"/>
    <x v="0"/>
  </r>
  <r>
    <s v="007"/>
    <s v="MPY"/>
    <s v="500E0221"/>
    <s v="ETIQ BAC NOUR POWER PL3 66AH 92/235"/>
    <s v="UN"/>
    <n v="1000"/>
    <n v="0.38887059473350172"/>
    <n v="388.87059473350172"/>
    <x v="0"/>
  </r>
  <r>
    <s v="007"/>
    <s v="MPY"/>
    <s v="500E0223"/>
    <s v="ETIQ BAC NOUR POWER PL5 88AH 95/280"/>
    <s v="UN"/>
    <n v="1500"/>
    <n v="0.27777639182522906"/>
    <n v="416.66458773784359"/>
    <x v="0"/>
  </r>
  <r>
    <s v="007"/>
    <s v="MPY"/>
    <s v="500E0226"/>
    <s v="ETIQ BAC NOUR POWER PM12 95AH 115/300"/>
    <s v="UN"/>
    <n v="2000"/>
    <n v="0.5252"/>
    <n v="1050.4000000000001"/>
    <x v="0"/>
  </r>
  <r>
    <s v="007"/>
    <s v="MPY"/>
    <s v="500E0231"/>
    <s v="ETIQ BAC NOUR POWER PL1B 44AH-380A  83/170"/>
    <s v="UN"/>
    <n v="1000"/>
    <n v="0.17728474576271186"/>
    <n v="177.28474576271185"/>
    <x v="0"/>
  </r>
  <r>
    <s v="007"/>
    <s v="MPY"/>
    <s v="500E0235"/>
    <s v="ETIQ BAC PREMIUM NS40 155x90"/>
    <s v="UN"/>
    <n v="2600"/>
    <n v="0.2643177602198557"/>
    <n v="687.22617657162482"/>
    <x v="0"/>
  </r>
  <r>
    <s v="007"/>
    <s v="MPY"/>
    <s v="500E0236"/>
    <s v="ETIQ BACPREMIUM  D23 190*95"/>
    <s v="UN"/>
    <n v="2000"/>
    <n v="0.21210000000000001"/>
    <n v="424.20000000000005"/>
    <x v="0"/>
  </r>
  <r>
    <s v="007"/>
    <s v="MPY"/>
    <s v="500E0237"/>
    <s v="ETIQ BAC PREMIUM D26 220*95"/>
    <s v="UN"/>
    <n v="1100"/>
    <n v="0.31303508531644125"/>
    <n v="344.3385938480854"/>
    <x v="0"/>
  </r>
  <r>
    <s v="007"/>
    <s v="MPY"/>
    <s v="500E0238"/>
    <s v="ETIQ BAC PREMIUMD31 250*100"/>
    <s v="UN"/>
    <n v="2100"/>
    <n v="0.36359999999999998"/>
    <n v="763.56"/>
    <x v="0"/>
  </r>
  <r>
    <s v="007"/>
    <s v="MPY"/>
    <s v="500E0239"/>
    <s v="ETIQ BAC PREMIUM NS60 190*100"/>
    <s v="UN"/>
    <n v="1000"/>
    <n v="0.2727"/>
    <n v="272.7"/>
    <x v="0"/>
  </r>
  <r>
    <s v="007"/>
    <s v="MPY"/>
    <s v="500E0240"/>
    <s v="ETIQ BAC NOUR JUMBO M14 MF 140AH 310X130"/>
    <s v="UN"/>
    <n v="500"/>
    <n v="0.30804999999999999"/>
    <n v="154.02500000000001"/>
    <x v="0"/>
  </r>
  <r>
    <s v="007"/>
    <s v="MPY"/>
    <s v="500E0242"/>
    <s v="ETIQ BAC NOUR JUMBO M16 MF 200AH 310X130"/>
    <s v="UN"/>
    <n v="1000"/>
    <n v="0.60599999999999998"/>
    <n v="606"/>
    <x v="0"/>
  </r>
  <r>
    <s v="007"/>
    <s v="MPY"/>
    <s v="500X0319"/>
    <s v="ETIQ BAC PREMIUM 110 NOUV DESIGN 204/135"/>
    <s v="UN"/>
    <n v="2000"/>
    <n v="0.23786557377049181"/>
    <n v="475.73114754098361"/>
    <x v="0"/>
  </r>
  <r>
    <s v="007"/>
    <s v="MPY"/>
    <s v="500X0320"/>
    <s v="ETIQ BAC L3 AUTOPOWER 240x95"/>
    <s v="UN"/>
    <n v="2000"/>
    <n v="0.29795000000000005"/>
    <n v="595.90000000000009"/>
    <x v="0"/>
  </r>
  <r>
    <s v="007"/>
    <s v="MPY"/>
    <s v="500X0341"/>
    <s v="ETIQUETTE T10 BAC  50AH 160/90 L1"/>
    <s v="UN"/>
    <n v="4130"/>
    <n v="0.36605889272446068"/>
    <n v="1511.8232269520227"/>
    <x v="0"/>
  </r>
  <r>
    <s v="007"/>
    <s v="MPY"/>
    <s v="500X0342"/>
    <s v="ETIQUETTE T12 BAC  60AH 225/80 L2B"/>
    <s v="UN"/>
    <n v="3000"/>
    <n v="0.39777166666666669"/>
    <n v="1193.3150000000001"/>
    <x v="0"/>
  </r>
  <r>
    <s v="007"/>
    <s v="MPY"/>
    <s v="500X0343"/>
    <s v="ETIQUETTE T15 BAC  62AH 190/90 L2"/>
    <s v="UN"/>
    <n v="5000"/>
    <n v="0.35469657378740971"/>
    <n v="1773.4828689370486"/>
    <x v="0"/>
  </r>
  <r>
    <s v="007"/>
    <s v="MPY"/>
    <s v="500X0344"/>
    <s v="ETIQUETTE T16 BAC  72AH L3B"/>
    <s v="UN"/>
    <n v="3050"/>
    <n v="0.47470000000000007"/>
    <n v="1447.8350000000003"/>
    <x v="0"/>
  </r>
  <r>
    <s v="007"/>
    <s v="MPY"/>
    <s v="500X0345"/>
    <s v="ETIQUETTE T17 BAC  72AH L3"/>
    <s v="UN"/>
    <n v="3096"/>
    <n v="0.48984999999999995"/>
    <n v="1516.5755999999999"/>
    <x v="0"/>
  </r>
  <r>
    <s v="007"/>
    <s v="MPY"/>
    <s v="500x0346"/>
    <s v="ETIQUETTE T22 BAC  100AH L5"/>
    <s v="UN"/>
    <n v="1000"/>
    <n v="0.63629999999999998"/>
    <n v="636.29999999999995"/>
    <x v="0"/>
  </r>
  <r>
    <s v="007"/>
    <s v="MPY"/>
    <s v="510HDL02"/>
    <s v="ETIQ COUV HEAVY DUTY HD2 110/30"/>
    <s v="UN"/>
    <n v="3000"/>
    <n v="0.1"/>
    <n v="300"/>
    <x v="0"/>
  </r>
  <r>
    <s v="007"/>
    <s v="MPY"/>
    <s v="510HDL03"/>
    <s v="ETIQ COUV HEAVY DUTY HD3 110/30"/>
    <s v="UN"/>
    <n v="2500"/>
    <n v="0.06"/>
    <n v="150"/>
    <x v="0"/>
  </r>
  <r>
    <s v="007"/>
    <s v="MPY"/>
    <s v="510HDM10"/>
    <s v="ETIQ COUV HEAVY DUTY HDM10 210/40"/>
    <s v="UN"/>
    <n v="2500"/>
    <n v="0.2518296529968454"/>
    <n v="629.57413249211345"/>
    <x v="0"/>
  </r>
  <r>
    <s v="007"/>
    <s v="MPY"/>
    <s v="510HDM11"/>
    <s v="ETIQ COUV HEAVY DUTY HDM11 210/40"/>
    <s v="UN"/>
    <n v="2000"/>
    <n v="0.22724999999999995"/>
    <n v="454.49999999999989"/>
    <x v="0"/>
  </r>
  <r>
    <s v="007"/>
    <s v="MPY"/>
    <s v="510J1402"/>
    <s v="ETIQ COUV NOUR JUMBO M14 40/210 NOUV DESIGN"/>
    <s v="UN"/>
    <n v="1500"/>
    <n v="0.27659480063693587"/>
    <n v="414.89220095540378"/>
    <x v="0"/>
  </r>
  <r>
    <s v="007"/>
    <s v="MPY"/>
    <s v="510J1503"/>
    <s v="ETIQ COUV NOUR JUMBO M15 40/210 NOUV DESIGN"/>
    <s v="UN"/>
    <n v="2200"/>
    <n v="0.30299999999999999"/>
    <n v="666.6"/>
    <x v="0"/>
  </r>
  <r>
    <s v="007"/>
    <s v="MPY"/>
    <s v="510J1504"/>
    <s v="ETIQ COUV NOUR JUMBO M15S 40/210 NOUV DESIGN"/>
    <s v="UN"/>
    <n v="2200"/>
    <n v="0.30299999999999999"/>
    <n v="666.6"/>
    <x v="0"/>
  </r>
  <r>
    <s v="007"/>
    <s v="MPY"/>
    <s v="510J1602"/>
    <s v="ETIQ COUV NOUR JUMBO M16 40/210 NOUV DESIGN"/>
    <s v="UN"/>
    <n v="3000"/>
    <n v="0.37010515374331554"/>
    <n v="1110.3154612299465"/>
    <x v="0"/>
  </r>
  <r>
    <s v="007"/>
    <s v="MPY"/>
    <s v="510J1603"/>
    <s v="ETIQ COUV NOUR JUMBO M16 MF 200AH 360X190"/>
    <s v="UN"/>
    <n v="1000"/>
    <n v="0.82820000000000005"/>
    <n v="828.2"/>
    <x v="0"/>
  </r>
  <r>
    <s v="007"/>
    <s v="MPY"/>
    <s v="510PL0109"/>
    <s v="ETIQ COUV NOUR POWER PL1 44 AH 30/110 NOUV DESIGN"/>
    <s v="UN"/>
    <n v="2300"/>
    <n v="0.1340995507705729"/>
    <n v="308.42896677231766"/>
    <x v="0"/>
  </r>
  <r>
    <s v="007"/>
    <s v="MPY"/>
    <s v="510PL0211"/>
    <s v="ETIQ COUV NOUR POWER PL2 55AH"/>
    <s v="UN"/>
    <n v="500"/>
    <n v="7.5999999999999998E-2"/>
    <n v="38"/>
    <x v="0"/>
  </r>
  <r>
    <s v="007"/>
    <s v="MPY"/>
    <s v="510PL0505"/>
    <s v="ETIQ COUV NOUR POWER PL5 88AH 30/110 NOUV DESIGN"/>
    <s v="UN"/>
    <n v="1000"/>
    <n v="0.10545201249132548"/>
    <n v="105.45201249132548"/>
    <x v="0"/>
  </r>
  <r>
    <s v="007"/>
    <s v="MPY"/>
    <s v="510PM1105"/>
    <s v="ETIQ COUV NOUR POWER PM11 90AH 40/210 NOUV DESIGN"/>
    <s v="UN"/>
    <n v="2400"/>
    <n v="0.30299999999999999"/>
    <n v="727.19999999999993"/>
    <x v="0"/>
  </r>
  <r>
    <s v="007"/>
    <s v="MPY"/>
    <s v="510PM1206"/>
    <s v="ETIQ COUV NOUR POWER PM12 95AH 40/210 NOUV DESIGN"/>
    <s v="UN"/>
    <n v="2000"/>
    <n v="0.26722962706336201"/>
    <n v="534.45925412672398"/>
    <x v="0"/>
  </r>
  <r>
    <s v="007"/>
    <s v="MPY"/>
    <s v="510PM1207"/>
    <s v="ETIQ COUV NPOWER PM12 95AH 40/210 NOUV DE"/>
    <s v="UN"/>
    <n v="1500"/>
    <n v="0.35803067599660765"/>
    <n v="537.0460139949115"/>
    <x v="0"/>
  </r>
  <r>
    <s v="007"/>
    <s v="MPY"/>
    <s v="510PM1208"/>
    <s v="ETIQ COUV NPOWER PM12S 110AH 40/210 NOUV DE"/>
    <s v="UN"/>
    <n v="1830"/>
    <n v="0.344665"/>
    <n v="630.73694999999998"/>
    <x v="0"/>
  </r>
  <r>
    <s v="007"/>
    <s v="MPY"/>
    <s v="510PRD31"/>
    <s v="ETIQ COUV PR D31 100Ah 700A 280*50"/>
    <s v="UN"/>
    <n v="2000"/>
    <n v="0.29289999999999999"/>
    <n v="585.79999999999995"/>
    <x v="0"/>
  </r>
  <r>
    <s v="007"/>
    <s v="MPY"/>
    <s v="510PRL1H"/>
    <s v="ETIQ COUV NOUVEAU DESIGN PRL1 118/50"/>
    <s v="UN"/>
    <n v="2500"/>
    <n v="0.14661583064481437"/>
    <n v="366.53957661203594"/>
    <x v="0"/>
  </r>
  <r>
    <s v="007"/>
    <s v="MPY"/>
    <s v="510PRL2B"/>
    <s v="ETIQ COUV NOUVEAU DESIGN PRL2B 138/50"/>
    <s v="UN"/>
    <n v="1000"/>
    <n v="0.18640952380952377"/>
    <n v="186.40952380952376"/>
    <x v="0"/>
  </r>
  <r>
    <s v="007"/>
    <s v="MPY"/>
    <s v="510PRL2H"/>
    <s v="ETIQ COUV NOUVEAU DESIGN PRL2 138/50"/>
    <s v="UN"/>
    <n v="1000"/>
    <n v="0.20049655340859748"/>
    <n v="200.49655340859749"/>
    <x v="0"/>
  </r>
  <r>
    <s v="007"/>
    <s v="MPY"/>
    <s v="510PRL3B"/>
    <s v="ETIQ COUV NOUVEAU DESIGN PRL3B 115/50"/>
    <s v="UN"/>
    <n v="2000"/>
    <n v="8.0799999999999997E-2"/>
    <n v="161.6"/>
    <x v="0"/>
  </r>
  <r>
    <s v="007"/>
    <s v="MPY"/>
    <s v="510PRL3H"/>
    <s v="ETIQ COUV NOUVEAU DESIGN PREMIUM L3 115/50"/>
    <s v="UN"/>
    <n v="700"/>
    <n v="0.22219999999999998"/>
    <n v="155.54"/>
    <x v="0"/>
  </r>
  <r>
    <s v="007"/>
    <s v="MPY"/>
    <s v="510PRM10"/>
    <s v="ETIQ COUV NOUVEAU DESIGN PRM10 210/40"/>
    <s v="UN"/>
    <n v="1000"/>
    <n v="0.27158617327144191"/>
    <n v="271.58617327144191"/>
    <x v="0"/>
  </r>
  <r>
    <s v="007"/>
    <s v="MPY"/>
    <s v="510PRM11"/>
    <s v="ETIQ COUV NOUVEAU DESIGN PRM11 210/40"/>
    <s v="UN"/>
    <n v="1700"/>
    <n v="0.25646241902594008"/>
    <n v="435.98611234409816"/>
    <x v="0"/>
  </r>
  <r>
    <s v="007"/>
    <s v="MPY"/>
    <s v="510PRM12"/>
    <s v="ETIQ COUV NOUVEAU DESIGN PRM12 210/40"/>
    <s v="UN"/>
    <n v="1000"/>
    <n v="0.24569383034335271"/>
    <n v="245.69383034335272"/>
    <x v="0"/>
  </r>
  <r>
    <s v="007"/>
    <s v="MPY"/>
    <s v="510PRNS40"/>
    <s v="ETIQ COUV PR NS40 40AH 330A 185x45"/>
    <s v="UN"/>
    <n v="2000"/>
    <n v="0.17410476190476185"/>
    <n v="348.20952380952372"/>
    <x v="0"/>
  </r>
  <r>
    <s v="007"/>
    <s v="MPY"/>
    <s v="510PRNS60"/>
    <s v="ETIQ COUV PR NS60 45AH 410A 220*45"/>
    <s v="UN"/>
    <n v="2000"/>
    <n v="0.2525"/>
    <n v="505"/>
    <x v="0"/>
  </r>
  <r>
    <s v="007"/>
    <s v="MPY"/>
    <s v="510SML011"/>
    <s v="ETIQ COUV S1 118/50 FAI"/>
    <s v="UN"/>
    <n v="2000"/>
    <n v="0.26352316456834513"/>
    <n v="527.04632913669025"/>
    <x v="0"/>
  </r>
  <r>
    <s v="007"/>
    <s v="MPY"/>
    <s v="510SML02"/>
    <s v="ETIQ COUV S2 148/70"/>
    <s v="UN"/>
    <n v="1900"/>
    <n v="0.10610834090417477"/>
    <n v="201.60584771793208"/>
    <x v="0"/>
  </r>
  <r>
    <s v="007"/>
    <s v="MPY"/>
    <s v="510SML021"/>
    <s v="ETIQ COUV S2 138/50 FAI"/>
    <s v="UN"/>
    <n v="460"/>
    <n v="0.30071575047882365"/>
    <n v="138.32924522025888"/>
    <x v="0"/>
  </r>
  <r>
    <s v="007"/>
    <s v="MPY"/>
    <s v="510SML05"/>
    <s v="ETIQ COUV S5 160/70"/>
    <s v="UN"/>
    <n v="3500"/>
    <n v="0.125"/>
    <n v="437.5"/>
    <x v="0"/>
  </r>
  <r>
    <s v="007"/>
    <s v="MPY"/>
    <s v="510TCP01"/>
    <s v="ETIQ COUV MIXTE CATEGORIE ET INSTALL DANGER PREMI"/>
    <s v="UN"/>
    <n v="1000"/>
    <n v="3.3489166387679951E-2"/>
    <n v="33.489166387679951"/>
    <x v="0"/>
  </r>
  <r>
    <s v="007"/>
    <s v="MPY"/>
    <s v="510TCP03"/>
    <s v="ETIQ COUV MIXTE CATEGORIE ET INTSALL DANGER PREMI"/>
    <s v="UN"/>
    <n v="1000"/>
    <n v="0.15866131221719457"/>
    <n v="158.66131221719456"/>
    <x v="0"/>
  </r>
  <r>
    <s v="007"/>
    <s v="MPY"/>
    <s v="510TCP110"/>
    <s v="ETIQ COUV MIXTE CATE ET INSTALL DANG PREMIUM 110"/>
    <s v="UN"/>
    <n v="3400"/>
    <n v="0.17169999999999999"/>
    <n v="583.78"/>
    <x v="0"/>
  </r>
  <r>
    <s v="007"/>
    <s v="MPY"/>
    <s v="510TCS011"/>
    <s v="ETIQ COUV MIXTE CATEGORI SMART S1 56/50 FAI"/>
    <s v="UN"/>
    <n v="5000"/>
    <n v="0.17729165545879538"/>
    <n v="886.45827729397695"/>
    <x v="0"/>
  </r>
  <r>
    <s v="007"/>
    <s v="PR01"/>
    <s v="701ELE091"/>
    <s v="Alimentation stabilisé 5v/4A"/>
    <s v="UN"/>
    <n v="2"/>
    <n v="0"/>
    <n v="0"/>
    <x v="3"/>
  </r>
  <r>
    <s v="007"/>
    <s v="PR01"/>
    <s v="701ELE092"/>
    <s v="Alimentation stabilisé 5v/8A"/>
    <s v="UN"/>
    <n v="2"/>
    <n v="0"/>
    <n v="0"/>
    <x v="3"/>
  </r>
  <r>
    <s v="007"/>
    <s v="PR01"/>
    <s v="708ELE029"/>
    <s v="Capteur de fin course verin GMSG-020"/>
    <s v="UN"/>
    <n v="1"/>
    <n v="0"/>
    <n v="0"/>
    <x v="3"/>
  </r>
  <r>
    <s v="007"/>
    <s v="PR01"/>
    <s v="713ELE005"/>
    <s v="CARTE YH-028 Testeur HRD CH"/>
    <s v="UN"/>
    <n v="1"/>
    <n v="0"/>
    <n v="0"/>
    <x v="3"/>
  </r>
  <r>
    <s v="007"/>
    <s v="PR01"/>
    <s v="725ELE100"/>
    <s v="Taquimetre GEFRAN F0045 17"/>
    <s v="UN"/>
    <n v="1"/>
    <n v="0"/>
    <n v="0"/>
    <x v="3"/>
  </r>
  <r>
    <s v="007"/>
    <s v="PR01"/>
    <s v="810COU050"/>
    <s v="COURROIE DENTEE HTD 1375-5M   M.Lavage"/>
    <s v="UN"/>
    <n v="7"/>
    <n v="0"/>
    <n v="0"/>
    <x v="3"/>
  </r>
  <r>
    <s v="007"/>
    <s v="PR01"/>
    <s v="810COU051"/>
    <s v="COURROIE 30HTD 8M-2104 G-J  ENV HILANS"/>
    <s v="UN"/>
    <n v="1"/>
    <n v="0"/>
    <n v="0"/>
    <x v="3"/>
  </r>
  <r>
    <s v="007"/>
    <s v="PR01"/>
    <s v="810COU052"/>
    <s v="COURROIE 32HTD 14M-2772 G-J   ENV HILANS"/>
    <s v="UN"/>
    <n v="1"/>
    <n v="0"/>
    <n v="0"/>
    <x v="3"/>
  </r>
  <r>
    <s v="007"/>
    <s v="PR01"/>
    <s v="810COU053"/>
    <s v="COURROIE 32HTD 14M-2940 G-J ENV HILANS"/>
    <s v="UN"/>
    <n v="1"/>
    <n v="0"/>
    <n v="0"/>
    <x v="3"/>
  </r>
  <r>
    <s v="007"/>
    <s v="PR01"/>
    <s v="810COU056"/>
    <s v="COURROIE HRZ AT10-1470-25 ENV HILA"/>
    <s v="UN"/>
    <n v="2"/>
    <n v="0"/>
    <n v="0"/>
    <x v="3"/>
  </r>
  <r>
    <s v="007"/>
    <s v="PR01"/>
    <s v="810COU057"/>
    <s v="COURROIE 25T5-1550 G-K ENV HILANS"/>
    <s v="UN"/>
    <n v="1"/>
    <n v="0"/>
    <n v="0"/>
    <x v="3"/>
  </r>
  <r>
    <s v="007"/>
    <s v="PR01"/>
    <s v="810COU059"/>
    <s v="Courroie magadyne dentee T5-510"/>
    <s v="UN"/>
    <n v="4"/>
    <n v="0"/>
    <n v="0"/>
    <x v="3"/>
  </r>
  <r>
    <s v="007"/>
    <s v="PR01"/>
    <s v="810COU115"/>
    <s v="COURROIE 1425SPA"/>
    <s v="UN"/>
    <n v="2"/>
    <n v="0"/>
    <n v="0"/>
    <x v="3"/>
  </r>
  <r>
    <s v="007"/>
    <s v="PR01"/>
    <s v="810par045"/>
    <s v="PARE HUILE 71*88*8 Gerbeur"/>
    <s v="UN"/>
    <n v="3"/>
    <n v="0"/>
    <n v="0"/>
    <x v="3"/>
  </r>
  <r>
    <s v="007"/>
    <s v="PR01"/>
    <s v="810PIN074"/>
    <s v="Pignon plastique 50/25 32dents 22/7mm M.Lavage"/>
    <s v="UN"/>
    <n v="2"/>
    <n v="0"/>
    <n v="0"/>
    <x v="3"/>
  </r>
  <r>
    <s v="007"/>
    <s v="PR01"/>
    <s v="810PIN075"/>
    <s v="Pignon plastique 7DENTS Convoyeur de charge"/>
    <s v="UN"/>
    <n v="22"/>
    <n v="0"/>
    <n v="0"/>
    <x v="3"/>
  </r>
  <r>
    <s v="007"/>
    <s v="PR01"/>
    <s v="810PIN076"/>
    <s v="Pignon 08B1 24dents ENV HILANS"/>
    <s v="UN"/>
    <n v="2"/>
    <n v="0"/>
    <n v="0"/>
    <x v="3"/>
  </r>
  <r>
    <s v="007"/>
    <s v="PR01"/>
    <s v="810ROU056"/>
    <s v="Roulement H211"/>
    <s v="UN"/>
    <n v="4"/>
    <n v="0"/>
    <n v="0"/>
    <x v="3"/>
  </r>
  <r>
    <s v="007"/>
    <s v="PR01"/>
    <s v="810ROU245"/>
    <s v="Roulement a billes 6314-2z compr sullair"/>
    <s v="UN"/>
    <n v="1"/>
    <n v="0"/>
    <n v="0"/>
    <x v="3"/>
  </r>
  <r>
    <s v="007"/>
    <s v="PR01"/>
    <s v="810ROX018"/>
    <s v="Glissiere H20VN 201205-01516  ENV HILANS"/>
    <s v="UN"/>
    <n v="1"/>
    <n v="0"/>
    <n v="0"/>
    <x v="3"/>
  </r>
  <r>
    <s v="007"/>
    <s v="PR01"/>
    <s v="810ROX019"/>
    <s v="Glissiere H15VN 201203-02890 ENV HILANS"/>
    <s v="UN"/>
    <n v="2"/>
    <n v="0"/>
    <n v="0"/>
    <x v="3"/>
  </r>
  <r>
    <s v="007"/>
    <s v="PR01"/>
    <s v="810ROX020"/>
    <s v="Glissiere H35VL 170905-15098 ENV HILANS"/>
    <s v="UN"/>
    <n v="1"/>
    <n v="0"/>
    <n v="0"/>
    <x v="3"/>
  </r>
  <r>
    <s v="007"/>
    <s v="PR01"/>
    <s v="810TAP018"/>
    <s v="Tapis ACIER M.Lavage"/>
    <s v="UN"/>
    <n v="1"/>
    <n v="0"/>
    <n v="0"/>
    <x v="3"/>
  </r>
  <r>
    <s v="007"/>
    <s v="PR01"/>
    <s v="810TAP019"/>
    <s v="Tapis plastique convoyeur M.Lavage"/>
    <s v="UN"/>
    <n v="1"/>
    <n v="0"/>
    <n v="0"/>
    <x v="3"/>
  </r>
  <r>
    <s v="007"/>
    <s v="PR01"/>
    <s v="810XPM063"/>
    <s v="Buse d'injection d'eau M.Lavage"/>
    <s v="UN"/>
    <n v="14"/>
    <n v="0"/>
    <n v="0"/>
    <x v="3"/>
  </r>
  <r>
    <s v="007"/>
    <s v="PR01"/>
    <s v="810XPM094"/>
    <s v="Tete de brossage complet M.Brossage CH"/>
    <s v="M"/>
    <n v="2"/>
    <n v="0"/>
    <n v="0"/>
    <x v="3"/>
  </r>
  <r>
    <s v="007"/>
    <s v="PR01"/>
    <s v="810XPM097"/>
    <s v="Electrode de test cuivre Testeur HRD CH"/>
    <s v="M"/>
    <n v="4"/>
    <n v="0"/>
    <n v="0"/>
    <x v="3"/>
  </r>
  <r>
    <s v="007"/>
    <s v="PR01"/>
    <s v="810XPM099"/>
    <s v="Attache 08-B2 Plaque droite   ENV HILANS"/>
    <s v="UN"/>
    <n v="3"/>
    <n v="0"/>
    <n v="0"/>
    <x v="3"/>
  </r>
  <r>
    <s v="007"/>
    <s v="PR01"/>
    <s v="810XPM108"/>
    <s v="Brosse fanion PT ENV HILANS"/>
    <s v="UN"/>
    <n v="4"/>
    <n v="0"/>
    <n v="0"/>
    <x v="3"/>
  </r>
  <r>
    <s v="007"/>
    <s v="PR01"/>
    <s v="810XPM109"/>
    <s v="Brosse fanion GT ENV HILANS"/>
    <s v="UN"/>
    <n v="8"/>
    <n v="0"/>
    <n v="0"/>
    <x v="3"/>
  </r>
  <r>
    <s v="007"/>
    <s v="PR01"/>
    <s v="810xpm234"/>
    <s v="H311"/>
    <s v="UN"/>
    <n v="2"/>
    <n v="0"/>
    <n v="0"/>
    <x v="3"/>
  </r>
  <r>
    <s v="007"/>
    <s v="PR01"/>
    <s v="812COD811"/>
    <s v="Coude galva 2&quot; (D63)"/>
    <s v="UN"/>
    <n v="1"/>
    <n v="0"/>
    <n v="0"/>
    <x v="3"/>
  </r>
  <r>
    <s v="007"/>
    <s v="PR01"/>
    <s v="812COD812"/>
    <s v="Coude PVC PR 90° D16"/>
    <s v="UN"/>
    <n v="2"/>
    <n v="0"/>
    <n v="0"/>
    <x v="3"/>
  </r>
  <r>
    <s v="007"/>
    <s v="PR01"/>
    <s v="812COD813"/>
    <s v="Coude galva 45° 2&quot; (D63)"/>
    <s v="UN"/>
    <n v="2"/>
    <n v="0"/>
    <n v="0"/>
    <x v="3"/>
  </r>
  <r>
    <s v="007"/>
    <s v="PR01"/>
    <s v="812MON803"/>
    <s v="Monchon bargataire D75"/>
    <s v="UN"/>
    <n v="2"/>
    <n v="0"/>
    <n v="0"/>
    <x v="3"/>
  </r>
  <r>
    <s v="007"/>
    <s v="PR01"/>
    <s v="812RAC093"/>
    <s v="Raccord connecteur TE D04   Filté"/>
    <s v="UN"/>
    <n v="5"/>
    <n v="0"/>
    <n v="0"/>
    <x v="3"/>
  </r>
  <r>
    <s v="007"/>
    <s v="PR01"/>
    <s v="812RAC127"/>
    <s v="Raccord  bargataire D32*1&quot; F"/>
    <s v="UN"/>
    <n v="3"/>
    <n v="0"/>
    <n v="0"/>
    <x v="3"/>
  </r>
  <r>
    <s v="007"/>
    <s v="PR01"/>
    <s v="812rac755"/>
    <s v="Raccord  bargataire D32*3/4&quot; M"/>
    <s v="UN"/>
    <n v="4"/>
    <n v="0"/>
    <n v="0"/>
    <x v="3"/>
  </r>
  <r>
    <s v="007"/>
    <s v="PR01"/>
    <s v="812red006"/>
    <s v="Réduction galva 2&quot;*3&quot;"/>
    <s v="UN"/>
    <n v="1"/>
    <n v="0"/>
    <n v="0"/>
    <x v="3"/>
  </r>
  <r>
    <s v="007"/>
    <s v="PR01"/>
    <s v="812RED023"/>
    <s v="Réduction galva 1&quot;*2&quot;"/>
    <s v="UN"/>
    <n v="5"/>
    <n v="0"/>
    <n v="0"/>
    <x v="3"/>
  </r>
  <r>
    <s v="007"/>
    <s v="PR01"/>
    <s v="812RED723"/>
    <s v="Réduction PVC PR 90*50 (D50)"/>
    <s v="UN"/>
    <n v="2"/>
    <n v="0"/>
    <n v="0"/>
    <x v="3"/>
  </r>
  <r>
    <s v="007"/>
    <s v="PR01"/>
    <s v="812RED724"/>
    <s v="Réduction galva 2&quot;*2&quot;1/2"/>
    <s v="UN"/>
    <n v="2"/>
    <n v="0"/>
    <n v="0"/>
    <x v="3"/>
  </r>
  <r>
    <s v="007"/>
    <s v="PR01"/>
    <s v="812TTE022"/>
    <s v="TE PVC D32"/>
    <s v="UN"/>
    <n v="7"/>
    <n v="0"/>
    <n v="0"/>
    <x v="3"/>
  </r>
  <r>
    <s v="007"/>
    <s v="PR01"/>
    <s v="812TTE672"/>
    <s v="TE PVC PR D100"/>
    <s v="UN"/>
    <n v="2"/>
    <n v="0"/>
    <n v="0"/>
    <x v="3"/>
  </r>
  <r>
    <s v="007"/>
    <s v="PR01"/>
    <s v="812TTE673"/>
    <s v="TE PVC PR D80"/>
    <s v="UN"/>
    <n v="2"/>
    <n v="0"/>
    <n v="0"/>
    <x v="3"/>
  </r>
  <r>
    <s v="007"/>
    <s v="PR01"/>
    <s v="812VER048"/>
    <s v="Verin 63/125"/>
    <s v="UN"/>
    <n v="1"/>
    <n v="0"/>
    <n v="0"/>
    <x v="3"/>
  </r>
  <r>
    <s v="007"/>
    <s v="PR01"/>
    <s v="812VER069"/>
    <s v="Verin D50 C20  Airtag CHINOIS"/>
    <s v="UN"/>
    <n v="5"/>
    <n v="0"/>
    <n v="0"/>
    <x v="3"/>
  </r>
  <r>
    <s v="007"/>
    <s v="PR01"/>
    <s v="812VER630"/>
    <s v=" Verin 50/1000"/>
    <s v="UN"/>
    <n v="1"/>
    <n v="0"/>
    <n v="0"/>
    <x v="3"/>
  </r>
  <r>
    <s v="007"/>
    <s v="PR01"/>
    <s v="812VER640"/>
    <s v="Verin 63/250 "/>
    <s v="UN"/>
    <n v="1"/>
    <n v="0"/>
    <n v="0"/>
    <x v="3"/>
  </r>
  <r>
    <s v="007"/>
    <s v="PR01"/>
    <s v="812VER641"/>
    <s v="Verin 32/800"/>
    <s v="UN"/>
    <n v="2"/>
    <n v="0"/>
    <n v="0"/>
    <x v="3"/>
  </r>
  <r>
    <s v="007"/>
    <s v="PR01"/>
    <s v="812XMC062"/>
    <s v="Embou joint etancheite test etanch CH"/>
    <s v="UN"/>
    <n v="5"/>
    <n v="0"/>
    <n v="0"/>
    <x v="3"/>
  </r>
  <r>
    <s v="007"/>
    <s v="PR01"/>
    <s v="812XMC063"/>
    <s v="JOINT ETANCHEITE 33/10/10  test etanch CH"/>
    <s v="UN"/>
    <n v="9"/>
    <n v="0"/>
    <n v="0"/>
    <x v="3"/>
  </r>
  <r>
    <s v="007"/>
    <s v="PR01"/>
    <s v="812XMC064"/>
    <s v="JOINT ETANCHEITE 40/10/10  test etanch CH"/>
    <s v="UN"/>
    <n v="11"/>
    <n v="0"/>
    <n v="0"/>
    <x v="3"/>
  </r>
  <r>
    <s v="007"/>
    <s v="PR01"/>
    <s v="815CAP027"/>
    <s v="CAPTEUR Fin de course verin HX-21R-2M"/>
    <s v="UN"/>
    <n v="1"/>
    <n v="0"/>
    <n v="0"/>
    <x v="3"/>
  </r>
  <r>
    <s v="007"/>
    <s v="PR01"/>
    <s v="815CAP028"/>
    <s v="CAPTEUR LJA18M-10N1 S.BORNE+COUVERCLE CH"/>
    <s v="UN"/>
    <n v="4"/>
    <n v="0"/>
    <n v="0"/>
    <x v="3"/>
  </r>
  <r>
    <s v="007"/>
    <s v="PR01"/>
    <s v="815CAP029"/>
    <s v="Capteur de niveau d'acide M.Nivelage"/>
    <s v="UN"/>
    <n v="7"/>
    <n v="0"/>
    <n v="0"/>
    <x v="3"/>
  </r>
  <r>
    <s v="007"/>
    <s v="PR01"/>
    <s v="815CAP038"/>
    <s v="Capteur fin de course D-Z73  ENV HILANS"/>
    <s v="UN"/>
    <n v="4"/>
    <n v="0"/>
    <n v="0"/>
    <x v="3"/>
  </r>
  <r>
    <s v="007"/>
    <s v="PR01"/>
    <s v="815CAP152"/>
    <s v="Capteur XS5GD418"/>
    <s v="UN"/>
    <n v="20"/>
    <n v="0"/>
    <n v="0"/>
    <x v="3"/>
  </r>
  <r>
    <s v="007"/>
    <s v="PR01"/>
    <s v="815DIS309"/>
    <s v="Disjoncteur moteur 06-16"/>
    <s v="UN"/>
    <n v="3"/>
    <n v="0"/>
    <n v="0"/>
    <x v="3"/>
  </r>
  <r>
    <s v="007"/>
    <s v="PR01"/>
    <s v="815ELE017"/>
    <s v="Transformateur allumage 14kv S.Borne CH"/>
    <s v="UN"/>
    <n v="1"/>
    <n v="0"/>
    <n v="0"/>
    <x v="3"/>
  </r>
  <r>
    <s v="007"/>
    <s v="PR01"/>
    <s v="815ELE018"/>
    <s v="Radiateur Testeur HRD CH"/>
    <s v="UN"/>
    <n v="1"/>
    <n v="0"/>
    <n v="0"/>
    <x v="3"/>
  </r>
  <r>
    <s v="007"/>
    <s v="PR01"/>
    <s v="815ELE053"/>
    <s v="Transformateur BK500 2-4 380V 12-14 Testeur HRD C"/>
    <s v="UN"/>
    <n v="1"/>
    <n v="0"/>
    <n v="0"/>
    <x v="3"/>
  </r>
  <r>
    <s v="007"/>
    <s v="PR01"/>
    <s v="815FUS041"/>
    <s v="Fusible 200A 690V aR 200KA Redresseur SOVEMA"/>
    <s v="UN"/>
    <n v="1"/>
    <n v="0"/>
    <n v="0"/>
    <x v="3"/>
  </r>
  <r>
    <s v="007"/>
    <s v="PR01"/>
    <s v="815RES054"/>
    <s v="Resistance cartouche D16/L250/500W M.Lavage"/>
    <s v="UN"/>
    <n v="8"/>
    <n v="0"/>
    <n v="0"/>
    <x v="3"/>
  </r>
  <r>
    <s v="007"/>
    <s v="PR01"/>
    <s v="815XOU013"/>
    <s v="KIT MICRO BOXER"/>
    <s v="UN"/>
    <n v="2"/>
    <n v="0"/>
    <n v="0"/>
    <x v="3"/>
  </r>
  <r>
    <s v="007"/>
    <s v="PR01"/>
    <s v="815XPE058"/>
    <s v="Boite derivation 190*140*70 IP56 ETANCHE"/>
    <s v="UN"/>
    <n v="6"/>
    <n v="0"/>
    <n v="0"/>
    <x v="3"/>
  </r>
  <r>
    <s v="007"/>
    <s v="PR01"/>
    <s v="815XPE397"/>
    <s v="Bouton poussoir Jaune"/>
    <s v="UN"/>
    <n v="2"/>
    <n v="0"/>
    <n v="0"/>
    <x v="3"/>
  </r>
  <r>
    <s v="007"/>
    <s v="PR01"/>
    <s v="815XPE398"/>
    <s v="Manchon de  jonction cable M95"/>
    <s v="M"/>
    <n v="2"/>
    <n v="0"/>
    <n v="0"/>
    <x v="3"/>
  </r>
  <r>
    <s v="007"/>
    <s v="PR01"/>
    <s v="820DIS763"/>
    <s v="Disque acier 125"/>
    <s v="UN"/>
    <n v="20"/>
    <n v="1.6559999999999999"/>
    <n v="33.119999999999997"/>
    <x v="3"/>
  </r>
  <r>
    <s v="007"/>
    <s v="PR01"/>
    <s v="820POM025"/>
    <s v="POMP TW-30R M.Nivelage"/>
    <s v="UN"/>
    <n v="1"/>
    <n v="0"/>
    <n v="0"/>
    <x v="3"/>
  </r>
  <r>
    <s v="007"/>
    <s v="PR01"/>
    <s v="820XMC357"/>
    <s v="VIS TH M04*30 (acier)"/>
    <s v="UN"/>
    <n v="250"/>
    <n v="0"/>
    <n v="0"/>
    <x v="3"/>
  </r>
  <r>
    <s v="007"/>
    <s v="PR01"/>
    <s v="820XMC420"/>
    <s v="vis tête hexagonale M03*20 (Inox)"/>
    <s v="UN"/>
    <n v="140"/>
    <n v="0"/>
    <n v="0"/>
    <x v="3"/>
  </r>
  <r>
    <s v="007"/>
    <s v="PR01"/>
    <s v="820XMC572"/>
    <s v="vis sixpans fraisée M06*40 (Inox)"/>
    <s v="UN"/>
    <n v="58"/>
    <n v="0"/>
    <n v="0"/>
    <x v="3"/>
  </r>
  <r>
    <s v="007"/>
    <s v="PR01"/>
    <s v="820XMC740"/>
    <s v="Ressort PM ENV HILANS"/>
    <s v="UN"/>
    <n v="35"/>
    <n v="0"/>
    <n v="0"/>
    <x v="3"/>
  </r>
  <r>
    <s v="007"/>
    <s v="PR01"/>
    <s v="820XMC743"/>
    <s v="VIS TF (acier) M12*50"/>
    <s v="UN"/>
    <n v="420"/>
    <n v="0"/>
    <n v="0"/>
    <x v="3"/>
  </r>
  <r>
    <s v="007"/>
    <s v="PR01"/>
    <s v="820xmc792"/>
    <s v="DEMI ANNEAU SKF FRB3,5/85"/>
    <s v="UN"/>
    <n v="93"/>
    <n v="0"/>
    <n v="0"/>
    <x v="3"/>
  </r>
  <r>
    <s v="007"/>
    <s v="PR01"/>
    <m/>
    <s v="TE 26/34 (1&quot;)"/>
    <s v="UN"/>
    <n v="1"/>
    <n v="5.4729999999999999"/>
    <n v="5.4729999999999999"/>
    <x v="3"/>
  </r>
  <r>
    <s v="007"/>
    <s v="PR02"/>
    <s v="810PAL002"/>
    <s v="PALIER OVALE UCFL207 CHINOIS"/>
    <s v="UN"/>
    <n v="4"/>
    <n v="0"/>
    <n v="0"/>
    <x v="3"/>
  </r>
  <r>
    <s v="007"/>
    <s v="PR02"/>
    <m/>
    <s v="DECAPANT KHOTTAF"/>
    <s v="UN"/>
    <n v="18"/>
    <n v="6.7640000000000002"/>
    <n v="121.75200000000001"/>
    <x v="3"/>
  </r>
  <r>
    <s v="007"/>
    <s v="PR02"/>
    <s v="701ELE010"/>
    <s v="Power supply S8FS-C15024 IN100-120VAC OUT200-240V"/>
    <s v="UN"/>
    <n v="1"/>
    <n v="0"/>
    <n v="0"/>
    <x v="3"/>
  </r>
  <r>
    <s v="007"/>
    <s v="PR02"/>
    <s v="701ELE054"/>
    <s v="Servo pack YASKAWA SGD7S-5R5A00B202 STRIP"/>
    <s v="UN"/>
    <n v="1"/>
    <n v="0"/>
    <n v="0"/>
    <x v="3"/>
  </r>
  <r>
    <s v="007"/>
    <s v="PR02"/>
    <s v="701ELE055"/>
    <s v="Convertisseur de frequen 6SL3210-1PE16-1UL1"/>
    <s v="UN"/>
    <n v="2"/>
    <n v="0"/>
    <n v="0"/>
    <x v="3"/>
  </r>
  <r>
    <s v="007"/>
    <s v="PR02"/>
    <s v="701ELE056"/>
    <s v="Profibus-DP OPTION CARD SI-P3    STRIP"/>
    <s v="UN"/>
    <n v="4"/>
    <n v="0"/>
    <n v="0"/>
    <x v="3"/>
  </r>
  <r>
    <s v="007"/>
    <s v="PR02"/>
    <s v="701ELE057"/>
    <s v="Complementary PG OPTION CARD PG-B3   STRIP"/>
    <s v="UN"/>
    <n v="1"/>
    <n v="0"/>
    <n v="0"/>
    <x v="3"/>
  </r>
  <r>
    <s v="007"/>
    <s v="PR02"/>
    <s v="701ele078"/>
    <s v="Convertisseur de frequen JL930T7-5G/11P380V"/>
    <s v="UN"/>
    <n v="1"/>
    <n v="0"/>
    <n v="0"/>
    <x v="3"/>
  </r>
  <r>
    <s v="007"/>
    <s v="PR02"/>
    <s v="701ELE079"/>
    <s v="SINAMICS V90 PROFINET PT 6SL3210-5FE17-0UF0"/>
    <s v="UN"/>
    <n v="1"/>
    <n v="0"/>
    <n v="0"/>
    <x v="3"/>
  </r>
  <r>
    <s v="007"/>
    <s v="PR02"/>
    <s v="702mec037"/>
    <s v="TURBINE DE POMPE A PB 130/16/20/45"/>
    <s v="UN"/>
    <n v="2"/>
    <n v="0"/>
    <n v="0"/>
    <x v="3"/>
  </r>
  <r>
    <s v="007"/>
    <s v="PR02"/>
    <s v="708ELE005"/>
    <s v="Capteur (sensor MSE-P020) Chinois"/>
    <s v="UN"/>
    <n v="6"/>
    <n v="0"/>
    <n v="0"/>
    <x v="3"/>
  </r>
  <r>
    <s v="007"/>
    <s v="PR02"/>
    <s v="708ELE006"/>
    <s v="Ecran 6AV642-0BA01-1AX1 CHINOIS"/>
    <s v="UN"/>
    <n v="1"/>
    <n v="0"/>
    <n v="0"/>
    <x v="3"/>
  </r>
  <r>
    <s v="007"/>
    <s v="PR02"/>
    <s v="708ELE008"/>
    <s v="CPU SIEMENS SMART ST200 6ES7 288-1ST60-0AA0"/>
    <s v="UN"/>
    <n v="2"/>
    <n v="0"/>
    <n v="0"/>
    <x v="3"/>
  </r>
  <r>
    <s v="007"/>
    <s v="PR02"/>
    <s v="708ELE009"/>
    <s v="CPU SIEMENS SMART ST200 6ES7 288-2DT32-0AA0"/>
    <s v="UN"/>
    <n v="1"/>
    <n v="0"/>
    <n v="0"/>
    <x v="3"/>
  </r>
  <r>
    <s v="007"/>
    <s v="PR02"/>
    <s v="708ELE010"/>
    <s v="I/O UNIT SIEMENS ST200 6ES7 288-3AM06-0AA0"/>
    <s v="UN"/>
    <n v="2"/>
    <n v="0"/>
    <n v="0"/>
    <x v="3"/>
  </r>
  <r>
    <s v="007"/>
    <s v="PR02"/>
    <s v="708ELE011"/>
    <s v="I/O UNIT SIEMENS ST200 6ES7 288-3AM03-0AA0"/>
    <s v="UN"/>
    <n v="1"/>
    <n v="0"/>
    <n v="0"/>
    <x v="3"/>
  </r>
  <r>
    <s v="007"/>
    <s v="PR02"/>
    <s v="708ELE012"/>
    <s v="I/O UNIT SIEMENS ST200 6ES7 288-3AM03-0AA0"/>
    <s v="UN"/>
    <n v="1"/>
    <n v="0"/>
    <n v="0"/>
    <x v="3"/>
  </r>
  <r>
    <s v="007"/>
    <s v="PR02"/>
    <s v="708ELE013"/>
    <s v="I/O UNIT SIEMENS 1200 6ES7 231-5QF32-0XB0"/>
    <s v="UN"/>
    <n v="2"/>
    <n v="0"/>
    <n v="0"/>
    <x v="3"/>
  </r>
  <r>
    <s v="007"/>
    <s v="PR02"/>
    <s v="708ELE014"/>
    <s v="I/O UNIT SIEMENS 1200 6ES7 234-4HE32-0XB0"/>
    <s v="UN"/>
    <n v="3"/>
    <n v="0"/>
    <n v="0"/>
    <x v="3"/>
  </r>
  <r>
    <s v="007"/>
    <s v="PR02"/>
    <s v="708ELE015"/>
    <s v="I/O UNIT SIEMENS 1200 6ES7 223-1BL32-0XB0"/>
    <s v="UN"/>
    <n v="2"/>
    <n v="0"/>
    <n v="0"/>
    <x v="3"/>
  </r>
  <r>
    <s v="007"/>
    <s v="PR02"/>
    <s v="708ELE016"/>
    <s v="I/O UNIT SIEMENS 1200 6ES7 223-1PL32-0XB0"/>
    <s v="UN"/>
    <n v="1"/>
    <n v="0"/>
    <n v="0"/>
    <x v="3"/>
  </r>
  <r>
    <s v="007"/>
    <s v="PR02"/>
    <s v="708ELE017"/>
    <s v="CPU SIEMENS 1215 6ES7 215-1AG40-0AA0(CPU1215)"/>
    <s v="UN"/>
    <n v="1"/>
    <n v="0"/>
    <n v="0"/>
    <x v="3"/>
  </r>
  <r>
    <s v="007"/>
    <s v="PR02"/>
    <s v="708ELE018"/>
    <s v="Panel HMI TP900 SIEMENS 6AV2124-0JC01-0A"/>
    <s v="UN"/>
    <n v="1"/>
    <n v="0"/>
    <n v="0"/>
    <x v="3"/>
  </r>
  <r>
    <s v="007"/>
    <s v="PR02"/>
    <s v="708ELE019"/>
    <s v="Panel TP177B SIEMENS 6AV6642-0BC01-1AX1"/>
    <s v="UN"/>
    <n v="1"/>
    <n v="0"/>
    <n v="0"/>
    <x v="3"/>
  </r>
  <r>
    <s v="007"/>
    <s v="PR02"/>
    <s v="708ELE020"/>
    <s v="Cable servo motor mutsubishi HG-SR702J MR-J3ENSCB"/>
    <s v="UN"/>
    <n v="2"/>
    <n v="0"/>
    <n v="0"/>
    <x v="3"/>
  </r>
  <r>
    <s v="007"/>
    <s v="PR02"/>
    <s v="708ELE021"/>
    <s v="AC servo motor YAZKAWA SGM7J-08AFC6E"/>
    <s v="UN"/>
    <n v="1"/>
    <n v="0"/>
    <n v="0"/>
    <x v="3"/>
  </r>
  <r>
    <s v="007"/>
    <s v="PR02"/>
    <s v="708ELE025"/>
    <s v="Cable encodeur Mitsub MRJ3-ENSCBL15M-L"/>
    <s v="UN"/>
    <n v="1"/>
    <n v="0"/>
    <n v="0"/>
    <x v="3"/>
  </r>
  <r>
    <s v="007"/>
    <s v="PR02"/>
    <s v="708ele026"/>
    <s v="AC servo motor 1FL6096-1AC61-2AA1"/>
    <s v="UN"/>
    <n v="1"/>
    <n v="0"/>
    <n v="0"/>
    <x v="3"/>
  </r>
  <r>
    <s v="007"/>
    <s v="PR02"/>
    <s v="708ele027"/>
    <s v="Power cable preassembled SFX3002-5CL12-1BF0"/>
    <s v="UN"/>
    <n v="1"/>
    <n v="0"/>
    <n v="0"/>
    <x v="3"/>
  </r>
  <r>
    <s v="007"/>
    <s v="PR02"/>
    <s v="708ele028"/>
    <s v="Signal cable preassembled SFX3002-2CT12-1BF0-T"/>
    <s v="UN"/>
    <n v="1"/>
    <n v="0"/>
    <n v="0"/>
    <x v="3"/>
  </r>
  <r>
    <s v="007"/>
    <s v="PR02"/>
    <s v="708MEC002"/>
    <s v="LAME DE COUPE STRIP CHINOIS"/>
    <s v="UN"/>
    <n v="2"/>
    <n v="0"/>
    <n v="0"/>
    <x v="3"/>
  </r>
  <r>
    <s v="007"/>
    <s v="PR02"/>
    <s v="708mec005"/>
    <s v="Couronne de guidage bande  divider"/>
    <s v="UN"/>
    <n v="3"/>
    <n v="0"/>
    <n v="0"/>
    <x v="3"/>
  </r>
  <r>
    <s v="007"/>
    <s v="PR02"/>
    <s v="708MEC007"/>
    <s v="Horizontal Knife (lame de coupe) divider"/>
    <s v="UN"/>
    <n v="4"/>
    <n v="0"/>
    <n v="0"/>
    <x v="3"/>
  </r>
  <r>
    <s v="007"/>
    <s v="PR02"/>
    <s v="708mec016"/>
    <s v="Kit de guidage 32*200 (54*80) Moule Punshing"/>
    <s v="UN"/>
    <n v="2"/>
    <n v="0"/>
    <n v="0"/>
    <x v="3"/>
  </r>
  <r>
    <s v="007"/>
    <s v="PR02"/>
    <s v="750fil005"/>
    <s v="FILTRE A HUILE COMPRESSEUR"/>
    <s v="UN"/>
    <n v="1"/>
    <n v="0"/>
    <n v="0"/>
    <x v="3"/>
  </r>
  <r>
    <s v="007"/>
    <s v="PR02"/>
    <s v="810COU025"/>
    <s v="Courroie dentée 1760-8M CHINOIS"/>
    <s v="UN"/>
    <n v="2"/>
    <n v="0"/>
    <n v="0"/>
    <x v="3"/>
  </r>
  <r>
    <s v="007"/>
    <s v="PR02"/>
    <s v="810COU026"/>
    <s v="Courroie dentée 184XL Larg10mm chinois"/>
    <s v="UN"/>
    <n v="2"/>
    <n v="0"/>
    <n v="0"/>
    <x v="3"/>
  </r>
  <r>
    <s v="007"/>
    <s v="PR02"/>
    <s v="810COU027"/>
    <s v="Courroie dentée HTD1610-14M 70mm Chinois"/>
    <s v="UN"/>
    <n v="1"/>
    <n v="0"/>
    <n v="0"/>
    <x v="3"/>
  </r>
  <r>
    <s v="007"/>
    <s v="PR02"/>
    <s v="810COU028"/>
    <s v="Courroie trapez  B2819LI 2859LD  Chinois"/>
    <s v="UN"/>
    <n v="2"/>
    <n v="0"/>
    <n v="0"/>
    <x v="3"/>
  </r>
  <r>
    <s v="007"/>
    <s v="PR02"/>
    <s v="810COU073"/>
    <s v="Courroie Trapezoidale SPB2900*16.3  Melangeur str"/>
    <s v="UN"/>
    <n v="5"/>
    <n v="0"/>
    <n v="0"/>
    <x v="3"/>
  </r>
  <r>
    <s v="007"/>
    <s v="PR02"/>
    <s v="810PAL003"/>
    <s v="PALIER CIRCULAIRE FC217 UC217 CHINOIS"/>
    <s v="UN"/>
    <n v="1"/>
    <n v="0"/>
    <n v="0"/>
    <x v="3"/>
  </r>
  <r>
    <s v="007"/>
    <s v="PR02"/>
    <s v="810pal007"/>
    <s v="PALIER P210"/>
    <s v="UN"/>
    <n v="2"/>
    <n v="0"/>
    <n v="0"/>
    <x v="3"/>
  </r>
  <r>
    <s v="007"/>
    <s v="PR02"/>
    <s v="810pal051"/>
    <s v="Palier FY512M"/>
    <s v="UN"/>
    <n v="2"/>
    <n v="0"/>
    <n v="0"/>
    <x v="3"/>
  </r>
  <r>
    <s v="007"/>
    <s v="PR02"/>
    <s v="810PAL096"/>
    <s v="Palier complete UCFA 204 machine a grille"/>
    <s v="UN"/>
    <n v="4"/>
    <n v="0"/>
    <n v="0"/>
    <x v="3"/>
  </r>
  <r>
    <s v="007"/>
    <s v="PR02"/>
    <s v="810PAR018"/>
    <s v="PARAHUILE TC 48*70*10 ACIER"/>
    <s v="UN"/>
    <n v="1"/>
    <n v="0"/>
    <n v="0"/>
    <x v="3"/>
  </r>
  <r>
    <s v="007"/>
    <s v="PR02"/>
    <s v="810PAR138"/>
    <s v="PARE HUILE 60*74*10 Boite strip"/>
    <s v="UN"/>
    <n v="1"/>
    <n v="0"/>
    <n v="0"/>
    <x v="3"/>
  </r>
  <r>
    <s v="007"/>
    <s v="PR02"/>
    <s v="810PIN032"/>
    <s v="Pignon 06B1 11dents pas anglais M.limage"/>
    <s v="UN"/>
    <n v="4"/>
    <n v="0"/>
    <n v="0"/>
    <x v="3"/>
  </r>
  <r>
    <s v="007"/>
    <s v="PR02"/>
    <s v="810PIN033"/>
    <s v="Pignon 08B1 12dents pas anglais M.limage"/>
    <s v="UN"/>
    <n v="3"/>
    <n v="0"/>
    <n v="0"/>
    <x v="3"/>
  </r>
  <r>
    <s v="007"/>
    <s v="PR02"/>
    <s v="810PIN034"/>
    <s v="Pignon 08B1 16dents pas anglais M.limage"/>
    <s v="UN"/>
    <n v="5"/>
    <n v="0"/>
    <n v="0"/>
    <x v="3"/>
  </r>
  <r>
    <s v="007"/>
    <s v="PR02"/>
    <s v="810PIN035"/>
    <s v="Pignon 06B1 17dents pas anglais M.limage"/>
    <s v="UN"/>
    <n v="4"/>
    <n v="0"/>
    <n v="0"/>
    <x v="3"/>
  </r>
  <r>
    <s v="007"/>
    <s v="PR02"/>
    <s v="810pin042"/>
    <s v="Pignon 06B2 11dents pas anglais M.limage"/>
    <s v="UN"/>
    <n v="2"/>
    <n v="0"/>
    <n v="0"/>
    <x v="3"/>
  </r>
  <r>
    <s v="007"/>
    <s v="PR02"/>
    <s v="810PIN084"/>
    <s v="Pignon 16B2 21dents Reducteur Four N°2"/>
    <s v="UN"/>
    <n v="1"/>
    <n v="0"/>
    <n v="0"/>
    <x v="3"/>
  </r>
  <r>
    <s v="007"/>
    <s v="PR02"/>
    <s v="810ROU124"/>
    <s v="Roulement 33214/Q"/>
    <s v="UN"/>
    <n v="2"/>
    <n v="0"/>
    <n v="0"/>
    <x v="3"/>
  </r>
  <r>
    <s v="007"/>
    <s v="PR02"/>
    <s v="810ROU171"/>
    <s v="Roulement 32030 CHINOIS"/>
    <s v="UN"/>
    <n v="2"/>
    <n v="0"/>
    <n v="0"/>
    <x v="3"/>
  </r>
  <r>
    <s v="007"/>
    <s v="PR02"/>
    <s v="810ROU173"/>
    <s v="Butée de roulement 51205 CHINOIS"/>
    <s v="UN"/>
    <n v="2"/>
    <n v="0"/>
    <n v="0"/>
    <x v="3"/>
  </r>
  <r>
    <s v="007"/>
    <s v="PR02"/>
    <s v="810ROU216"/>
    <s v="Roulement a rouleaux 30216 BOITE STRIP"/>
    <s v="UN"/>
    <n v="1"/>
    <n v="0"/>
    <n v="0"/>
    <x v="3"/>
  </r>
  <r>
    <s v="007"/>
    <s v="PR02"/>
    <s v="810rou246"/>
    <s v="Roulement a rouleaux 22316 E/C3 filtre fonder"/>
    <s v="UN"/>
    <n v="2"/>
    <n v="0"/>
    <n v="0"/>
    <x v="3"/>
  </r>
  <r>
    <s v="007"/>
    <s v="PR02"/>
    <s v="810TAP001"/>
    <s v="TAPIS 3400*320 5mm chinois"/>
    <s v="UN"/>
    <n v="1"/>
    <n v="0"/>
    <n v="0"/>
    <x v="3"/>
  </r>
  <r>
    <s v="007"/>
    <s v="PR02"/>
    <s v="810TAP002"/>
    <s v="TAPIS 1390*355 5mm chinois"/>
    <s v="UN"/>
    <n v="2"/>
    <n v="0"/>
    <n v="0"/>
    <x v="3"/>
  </r>
  <r>
    <s v="007"/>
    <s v="PR02"/>
    <s v="810TAP003"/>
    <s v="TAPIS 2720*320 5mm chinois"/>
    <s v="UN"/>
    <n v="2"/>
    <n v="0"/>
    <n v="0"/>
    <x v="3"/>
  </r>
  <r>
    <s v="007"/>
    <s v="PR02"/>
    <s v="810xpm234"/>
    <s v="H311"/>
    <s v="UN"/>
    <n v="3"/>
    <n v="0"/>
    <n v="0"/>
    <x v="3"/>
  </r>
  <r>
    <s v="007"/>
    <s v="PR02"/>
    <s v="812COL081"/>
    <s v="COLLIER ATLAS D25"/>
    <s v="UN"/>
    <n v="23"/>
    <n v="0"/>
    <n v="0"/>
    <x v="3"/>
  </r>
  <r>
    <s v="007"/>
    <s v="PR02"/>
    <s v="812MEM024"/>
    <s v="MAMELON NOIR 20/27 (3/4&quot;)"/>
    <s v="UN"/>
    <n v="4"/>
    <n v="0"/>
    <n v="0"/>
    <x v="3"/>
  </r>
  <r>
    <s v="007"/>
    <s v="PR02"/>
    <s v="812MON009"/>
    <s v="MONCHON PPR D20"/>
    <s v="UN"/>
    <n v="2"/>
    <n v="0"/>
    <n v="0"/>
    <x v="3"/>
  </r>
  <r>
    <s v="007"/>
    <s v="PR02"/>
    <s v="812RAC075"/>
    <s v="RACCORD 3P NOIR 20/27 (3/4&quot;)"/>
    <s v="UN"/>
    <n v="4"/>
    <n v="0"/>
    <n v="0"/>
    <x v="3"/>
  </r>
  <r>
    <s v="007"/>
    <s v="PR02"/>
    <s v="812RAC092"/>
    <s v="Raccord 3P Noir 1&quot; 1/2"/>
    <s v="UN"/>
    <n v="4"/>
    <n v="0"/>
    <n v="0"/>
    <x v="3"/>
  </r>
  <r>
    <s v="007"/>
    <s v="PR02"/>
    <s v="812RAC113"/>
    <s v="RACCORD PPR FEMELLE D40"/>
    <s v="UN"/>
    <n v="8"/>
    <n v="0"/>
    <n v="0"/>
    <x v="3"/>
  </r>
  <r>
    <s v="007"/>
    <s v="PR02"/>
    <s v="812RAC240"/>
    <s v="Raccord 3P Noir 1&quot; 1/4"/>
    <s v="UN"/>
    <n v="2"/>
    <n v="0"/>
    <n v="0"/>
    <x v="3"/>
  </r>
  <r>
    <s v="007"/>
    <s v="PR02"/>
    <s v="812TTE045"/>
    <s v="TE PPR D40"/>
    <s v="UN"/>
    <n v="2"/>
    <n v="0"/>
    <n v="0"/>
    <x v="3"/>
  </r>
  <r>
    <s v="007"/>
    <s v="PR02"/>
    <s v="812VAN734"/>
    <s v="vanne Galva20/27"/>
    <s v="UN"/>
    <n v="2"/>
    <n v="0"/>
    <n v="0"/>
    <x v="3"/>
  </r>
  <r>
    <s v="007"/>
    <s v="PR02"/>
    <s v="812VER032"/>
    <s v="VERIN SI80*300 CHINOIS"/>
    <s v="UN"/>
    <n v="2"/>
    <n v="0"/>
    <n v="0"/>
    <x v="3"/>
  </r>
  <r>
    <s v="007"/>
    <s v="PR02"/>
    <s v="812VER033"/>
    <s v="VERIN SI40*500 CHINOIS"/>
    <s v="UN"/>
    <n v="2"/>
    <n v="0"/>
    <n v="0"/>
    <x v="3"/>
  </r>
  <r>
    <s v="007"/>
    <s v="PR02"/>
    <s v="812VER038"/>
    <s v="VERIN SI80*250 CHINOIS"/>
    <s v="UN"/>
    <n v="1"/>
    <n v="0"/>
    <n v="0"/>
    <x v="3"/>
  </r>
  <r>
    <s v="007"/>
    <s v="PR02"/>
    <s v="812VER039"/>
    <s v="VERIN SI80*200 CHINOIS"/>
    <s v="UN"/>
    <n v="1"/>
    <n v="0"/>
    <n v="0"/>
    <x v="3"/>
  </r>
  <r>
    <s v="007"/>
    <s v="PR02"/>
    <s v="812VER040"/>
    <s v="VERIN HOB 80*80 CHINOIS"/>
    <s v="UN"/>
    <n v="2"/>
    <n v="0"/>
    <n v="0"/>
    <x v="3"/>
  </r>
  <r>
    <s v="007"/>
    <s v="PR02"/>
    <s v="812VER041"/>
    <s v="Verin SI125*150 Chinois"/>
    <s v="UN"/>
    <n v="1"/>
    <n v="0"/>
    <n v="0"/>
    <x v="3"/>
  </r>
  <r>
    <s v="007"/>
    <s v="PR02"/>
    <s v="812VER042"/>
    <s v="Verin SI80*650 Chinois"/>
    <s v="UN"/>
    <n v="1"/>
    <n v="0"/>
    <n v="0"/>
    <x v="3"/>
  </r>
  <r>
    <s v="007"/>
    <s v="PR02"/>
    <s v="812VER043"/>
    <s v="Verin SI80*800 Chinois"/>
    <s v="UN"/>
    <n v="1"/>
    <n v="0"/>
    <n v="0"/>
    <x v="3"/>
  </r>
  <r>
    <s v="007"/>
    <s v="PR02"/>
    <s v="812VER044"/>
    <s v="Verin HOB 40*700 Chinois"/>
    <s v="UN"/>
    <n v="1"/>
    <n v="0"/>
    <n v="0"/>
    <x v="3"/>
  </r>
  <r>
    <s v="007"/>
    <s v="PR02"/>
    <s v="812VER055"/>
    <s v="shape verin femelle 125-C  CHINOIS"/>
    <s v="UN"/>
    <n v="1"/>
    <n v="0"/>
    <n v="0"/>
    <x v="3"/>
  </r>
  <r>
    <s v="007"/>
    <s v="PR02"/>
    <s v="812VER056"/>
    <s v="shape verin femelle 80-CR  CHINOIS"/>
    <s v="UN"/>
    <n v="1"/>
    <n v="0"/>
    <n v="0"/>
    <x v="3"/>
  </r>
  <r>
    <s v="007"/>
    <s v="PR02"/>
    <s v="812VER057"/>
    <s v="shape verin MALE SC80-CB CHINOIS"/>
    <s v="UN"/>
    <n v="2"/>
    <n v="0"/>
    <n v="0"/>
    <x v="3"/>
  </r>
  <r>
    <s v="007"/>
    <s v="PR02"/>
    <s v="812VER058"/>
    <s v="shape verin MALE SI40 CHINOIS"/>
    <s v="UN"/>
    <n v="1"/>
    <n v="0"/>
    <n v="0"/>
    <x v="3"/>
  </r>
  <r>
    <s v="007"/>
    <s v="PR02"/>
    <s v="812VER059"/>
    <s v="shape verin Femelle SI40 CHINOIS"/>
    <s v="UN"/>
    <n v="1"/>
    <n v="0"/>
    <n v="0"/>
    <x v="3"/>
  </r>
  <r>
    <s v="007"/>
    <s v="PR02"/>
    <s v="812VER060"/>
    <s v="shape verin MALE SI125 CB CHINOIS"/>
    <s v="UN"/>
    <n v="1"/>
    <n v="0"/>
    <n v="0"/>
    <x v="3"/>
  </r>
  <r>
    <s v="007"/>
    <s v="PR02"/>
    <s v="812VER061"/>
    <s v="Verin D100 C50 Airtag CHINOIS"/>
    <s v="UN"/>
    <n v="5"/>
    <n v="0"/>
    <n v="0"/>
    <x v="3"/>
  </r>
  <r>
    <s v="007"/>
    <s v="PR02"/>
    <s v="812VER063"/>
    <s v="Verin D63 C125 Airtag CHINOIS"/>
    <s v="UN"/>
    <n v="4"/>
    <n v="0"/>
    <n v="0"/>
    <x v="3"/>
  </r>
  <r>
    <s v="007"/>
    <s v="PR02"/>
    <s v="812VER064"/>
    <s v="Verin D32 C50  Airtag CHINOIS"/>
    <s v="UN"/>
    <n v="1"/>
    <n v="0"/>
    <n v="0"/>
    <x v="3"/>
  </r>
  <r>
    <s v="007"/>
    <s v="PR02"/>
    <s v="812VER065"/>
    <s v="Verin D32 C100  Airtag CHINOIS"/>
    <s v="UN"/>
    <n v="1"/>
    <n v="0"/>
    <n v="0"/>
    <x v="3"/>
  </r>
  <r>
    <s v="007"/>
    <s v="PR02"/>
    <s v="812VER066"/>
    <s v="Verin D50 C175  Airtag CHINOIS"/>
    <s v="UN"/>
    <n v="5"/>
    <n v="0"/>
    <n v="0"/>
    <x v="3"/>
  </r>
  <r>
    <s v="007"/>
    <s v="PR02"/>
    <s v="812VER068"/>
    <s v="Verin D80 C350  Airtag CHINOIS"/>
    <s v="UN"/>
    <n v="1"/>
    <n v="0"/>
    <n v="0"/>
    <x v="3"/>
  </r>
  <r>
    <s v="007"/>
    <s v="PR02"/>
    <s v="812VER069"/>
    <s v="Verin D50 C20  Airtag CHINOIS"/>
    <s v="UN"/>
    <n v="1"/>
    <n v="0"/>
    <n v="0"/>
    <x v="3"/>
  </r>
  <r>
    <s v="007"/>
    <s v="PR02"/>
    <s v="812VER073"/>
    <s v="Verin D125 C50  Airtag CHINOIS"/>
    <s v="UN"/>
    <n v="6"/>
    <n v="0"/>
    <n v="0"/>
    <x v="3"/>
  </r>
  <r>
    <s v="007"/>
    <s v="PR02"/>
    <s v="812VER074"/>
    <s v="Verin D160 C200  Airtag CHINOIS"/>
    <s v="UN"/>
    <n v="2"/>
    <n v="0"/>
    <n v="0"/>
    <x v="3"/>
  </r>
  <r>
    <s v="007"/>
    <s v="PR02"/>
    <s v="812VER075"/>
    <s v="Verin de guidage liniaire TCM50*30 CHINOI"/>
    <s v="UN"/>
    <n v="2"/>
    <n v="0"/>
    <n v="0"/>
    <x v="3"/>
  </r>
  <r>
    <s v="007"/>
    <s v="PR02"/>
    <s v="812VER076"/>
    <s v="Chape verin F-SI160CB AIRTAG CHINOIS"/>
    <s v="UN"/>
    <n v="1"/>
    <n v="0"/>
    <n v="0"/>
    <x v="3"/>
  </r>
  <r>
    <s v="007"/>
    <s v="PR02"/>
    <s v="812XPB047"/>
    <s v="Soupape de securité 1&quot;1/2 CUIVRE"/>
    <s v="UN"/>
    <n v="1"/>
    <n v="0"/>
    <n v="0"/>
    <x v="3"/>
  </r>
  <r>
    <s v="007"/>
    <s v="PR02"/>
    <s v="815CAB267"/>
    <s v="câble souple 4x6mm"/>
    <s v="UN"/>
    <n v="10"/>
    <n v="0"/>
    <n v="0"/>
    <x v="3"/>
  </r>
  <r>
    <s v="007"/>
    <s v="PR02"/>
    <s v="815CAP016"/>
    <s v="Capteur OMRON E2B-M12KN08-WZ-B1 2m"/>
    <s v="UN"/>
    <n v="3"/>
    <n v="0"/>
    <n v="0"/>
    <x v="3"/>
  </r>
  <r>
    <s v="007"/>
    <s v="PR02"/>
    <s v="815CAP030"/>
    <s v="Capteur photocell E3JK-DP11C"/>
    <s v="UN"/>
    <n v="2"/>
    <n v="0"/>
    <n v="0"/>
    <x v="3"/>
  </r>
  <r>
    <s v="007"/>
    <s v="PR02"/>
    <s v="815CAP031"/>
    <s v="CAPTEUR DE NIVEAU WENGLER OY1P303P0102"/>
    <s v="UN"/>
    <n v="1"/>
    <n v="0"/>
    <n v="0"/>
    <x v="3"/>
  </r>
  <r>
    <s v="007"/>
    <s v="PR02"/>
    <s v="815CAP032"/>
    <s v="Cable connecteur capteur de niveau wengler"/>
    <s v="UN"/>
    <n v="1"/>
    <n v="0"/>
    <n v="0"/>
    <x v="3"/>
  </r>
  <r>
    <s v="007"/>
    <s v="PR02"/>
    <s v="815CAP033"/>
    <s v="Capteur XS118BJPAM12 STRIP"/>
    <s v="UN"/>
    <n v="1"/>
    <n v="0"/>
    <n v="0"/>
    <x v="3"/>
  </r>
  <r>
    <s v="007"/>
    <s v="PR02"/>
    <s v="815CAP034"/>
    <s v="Cable connecteur Capteur XS118BJPAM12 STRIP"/>
    <s v="UN"/>
    <n v="2"/>
    <n v="0"/>
    <n v="0"/>
    <x v="3"/>
  </r>
  <r>
    <s v="007"/>
    <s v="PR02"/>
    <s v="815CON278"/>
    <s v="Contacteur 220v 40A"/>
    <s v="UN"/>
    <n v="1"/>
    <n v="0"/>
    <n v="0"/>
    <x v="3"/>
  </r>
  <r>
    <s v="007"/>
    <s v="PR02"/>
    <s v="815DIS015"/>
    <s v="Disjoncteur 25A 2P"/>
    <s v="UN"/>
    <n v="1"/>
    <n v="0"/>
    <n v="0"/>
    <x v="3"/>
  </r>
  <r>
    <s v="007"/>
    <s v="PR02"/>
    <s v="815DIS294"/>
    <s v="Disjoncteur 4x250A avec reglage"/>
    <s v="UN"/>
    <n v="1"/>
    <n v="0"/>
    <n v="0"/>
    <x v="3"/>
  </r>
  <r>
    <s v="007"/>
    <s v="PR02"/>
    <s v="815ele054"/>
    <s v="Electro directionnel DSG-03-3C4-D24-N1-50"/>
    <s v="UN"/>
    <n v="1"/>
    <n v="0"/>
    <n v="0"/>
    <x v="3"/>
  </r>
  <r>
    <s v="007"/>
    <s v="PR02"/>
    <s v="815ele055"/>
    <s v="Electro directionnel BSG-03-2B3B-D24-N1-51"/>
    <s v="UN"/>
    <n v="1"/>
    <n v="0"/>
    <n v="0"/>
    <x v="3"/>
  </r>
  <r>
    <s v="007"/>
    <s v="PR02"/>
    <s v="815ele056"/>
    <s v="Electro HYDROLIQUE DSG-03-3C2-D24-N1-50 WGN"/>
    <s v="UN"/>
    <n v="1"/>
    <n v="0"/>
    <n v="0"/>
    <x v="3"/>
  </r>
  <r>
    <s v="007"/>
    <s v="PR02"/>
    <s v="815ELE080"/>
    <s v="Transformateur allumage 8/30pm 8kv bruleur"/>
    <s v="UN"/>
    <n v="2"/>
    <n v="0"/>
    <n v="0"/>
    <x v="3"/>
  </r>
  <r>
    <s v="007"/>
    <s v="PR02"/>
    <s v="815REL018"/>
    <s v="Relais G2R-2-SND 24VDC 8Broches"/>
    <s v="UN"/>
    <n v="6"/>
    <n v="0"/>
    <n v="0"/>
    <x v="3"/>
  </r>
  <r>
    <s v="007"/>
    <s v="PR02"/>
    <s v="815REL020"/>
    <s v="Relais Statique SSR-25DD 25A"/>
    <s v="UN"/>
    <n v="2"/>
    <n v="0"/>
    <n v="0"/>
    <x v="3"/>
  </r>
  <r>
    <s v="007"/>
    <s v="PR02"/>
    <s v="815RES043"/>
    <s v="Resistance Cart D16/1000W/L316/230v"/>
    <s v="UN"/>
    <n v="1"/>
    <n v="0"/>
    <n v="0"/>
    <x v="3"/>
  </r>
  <r>
    <s v="007"/>
    <s v="PR02"/>
    <s v="815res044"/>
    <s v="Resistance Cart D16/500W/L130/230v"/>
    <s v="UN"/>
    <n v="1"/>
    <n v="0"/>
    <n v="0"/>
    <x v="3"/>
  </r>
  <r>
    <s v="007"/>
    <s v="PR02"/>
    <s v="815VAR009"/>
    <s v="Variateur H1000 CIMR-HB4A0006FBC STRIP"/>
    <s v="UN"/>
    <n v="3"/>
    <n v="0"/>
    <n v="0"/>
    <x v="3"/>
  </r>
  <r>
    <s v="007"/>
    <s v="PR02"/>
    <s v="815XPE123"/>
    <s v="Encodeur OMRON E6B2-CWZ6C 2m"/>
    <s v="UN"/>
    <n v="2"/>
    <n v="0"/>
    <n v="0"/>
    <x v="3"/>
  </r>
  <r>
    <s v="007"/>
    <s v="PR02"/>
    <s v="815XPE124"/>
    <s v="Encodeur OMRON E6B2-CWZ5B 0,5m"/>
    <s v="UN"/>
    <n v="1"/>
    <n v="0"/>
    <n v="0"/>
    <x v="3"/>
  </r>
  <r>
    <s v="007"/>
    <s v="PR02"/>
    <s v="815XPE126"/>
    <s v="Afficheur automate kTP1200 basic"/>
    <s v="UN"/>
    <n v="10"/>
    <n v="0"/>
    <n v="0"/>
    <x v="3"/>
  </r>
  <r>
    <s v="007"/>
    <s v="PR02"/>
    <s v="820XMC865"/>
    <s v="Ejecteur 35*35*6.3*4.6*1.5mm Moule grille industr"/>
    <s v="UN"/>
    <n v="8"/>
    <n v="0"/>
    <n v="0"/>
    <x v="3"/>
  </r>
  <r>
    <s v="007"/>
    <s v="PR01"/>
    <s v="820XMC526"/>
    <s v="Rondelle grower M05 (acier)"/>
    <s v="UN"/>
    <n v="65"/>
    <n v="6.0000000000000001E-3"/>
    <n v="0.39"/>
    <x v="3"/>
  </r>
  <r>
    <s v="007"/>
    <s v="PR01"/>
    <s v="820XMC469"/>
    <s v="écrou (acier) M04"/>
    <s v="UN"/>
    <n v="53"/>
    <n v="1.069E-2"/>
    <n v="0.56657000000000002"/>
    <x v="3"/>
  </r>
  <r>
    <s v="007"/>
    <s v="PR01"/>
    <s v="812VER106"/>
    <s v="GIR 45*60.1/6.3 Verin Soud Connexion"/>
    <s v="UN"/>
    <n v="4"/>
    <n v="0.17199999999999999"/>
    <n v="0.68799999999999994"/>
    <x v="3"/>
  </r>
  <r>
    <s v="007"/>
    <s v="PR01"/>
    <s v="820XMC636"/>
    <s v="Circlips D16 Exterieur"/>
    <s v="UN"/>
    <n v="5"/>
    <n v="0.13950000000000001"/>
    <n v="0.69750000000000001"/>
    <x v="3"/>
  </r>
  <r>
    <s v="007"/>
    <s v="PR02"/>
    <s v="820XMC503"/>
    <s v="Rondelle plate (acier) M05"/>
    <s v="UN"/>
    <n v="120"/>
    <n v="6.1900000000000002E-3"/>
    <n v="0.74280000000000002"/>
    <x v="3"/>
  </r>
  <r>
    <s v="007"/>
    <s v="PR02"/>
    <s v="820XMC470"/>
    <s v="écrou (acier) M05"/>
    <s v="UN"/>
    <n v="62"/>
    <n v="1.4279999999999999E-2"/>
    <n v="0.88535999999999992"/>
    <x v="3"/>
  </r>
  <r>
    <s v="007"/>
    <s v="PR02"/>
    <s v="820XMC548"/>
    <s v="cheville 8"/>
    <s v="UN"/>
    <n v="23"/>
    <n v="3.9600000000000003E-2"/>
    <n v="0.91080000000000005"/>
    <x v="3"/>
  </r>
  <r>
    <s v="007"/>
    <s v="PR02"/>
    <s v="815FUS022"/>
    <s v="Fusible 1A 500V 10*38"/>
    <s v="UN"/>
    <n v="5"/>
    <n v="0.19800000000000001"/>
    <n v="0.99"/>
    <x v="3"/>
  </r>
  <r>
    <s v="007"/>
    <s v="PR01"/>
    <s v="830MCH910"/>
    <s v="Mèche 3,5"/>
    <s v="UN"/>
    <n v="9"/>
    <n v="0.112"/>
    <n v="1.008"/>
    <x v="3"/>
  </r>
  <r>
    <s v="007"/>
    <s v="PR02"/>
    <s v="812XPB011"/>
    <s v="CHEVILLE DE 12"/>
    <s v="UN"/>
    <n v="35"/>
    <n v="2.8799999999999999E-2"/>
    <n v="1.008"/>
    <x v="3"/>
  </r>
  <r>
    <s v="007"/>
    <s v="PR02"/>
    <s v="812COD017"/>
    <s v="COUDE PPR 90° D20"/>
    <s v="UN"/>
    <n v="1"/>
    <n v="1.04"/>
    <n v="1.04"/>
    <x v="3"/>
  </r>
  <r>
    <s v="007"/>
    <s v="PR02"/>
    <s v="820XMC805"/>
    <s v="GOUPILLE D4*30 Elastique"/>
    <s v="UN"/>
    <n v="10"/>
    <n v="0.10878985088138404"/>
    <n v="1.0878985088138404"/>
    <x v="3"/>
  </r>
  <r>
    <s v="007"/>
    <s v="PR02"/>
    <s v="812RED024"/>
    <s v="Reduction Galva 2&quot;--&gt;1/2&quot;"/>
    <s v="UN"/>
    <n v="1"/>
    <n v="1.0922499999999999"/>
    <n v="1.0922499999999999"/>
    <x v="3"/>
  </r>
  <r>
    <s v="007"/>
    <s v="PR02"/>
    <s v="815XPE168"/>
    <s v="Presse etoupe arrmoire PG-11 Ø5-10MM"/>
    <s v="UN"/>
    <n v="3"/>
    <n v="0.37309999999999999"/>
    <n v="1.1193"/>
    <x v="3"/>
  </r>
  <r>
    <s v="007"/>
    <s v="PR01"/>
    <s v="820XMC521"/>
    <s v="Rondelle grower M08 (acier)"/>
    <s v="UN"/>
    <n v="62"/>
    <n v="1.9E-2"/>
    <n v="1.1779999999999999"/>
    <x v="3"/>
  </r>
  <r>
    <s v="007"/>
    <s v="PR01"/>
    <s v="820XMC253"/>
    <s v="Vis six pans (acier) M05*16"/>
    <s v="UN"/>
    <n v="25"/>
    <n v="0.05"/>
    <n v="1.25"/>
    <x v="3"/>
  </r>
  <r>
    <s v="007"/>
    <s v="PR02"/>
    <s v="815XPE167"/>
    <s v="Presse etoupe arrmoire PG-09 Ø 4-8MM"/>
    <s v="UN"/>
    <n v="5"/>
    <n v="0.252"/>
    <n v="1.26"/>
    <x v="3"/>
  </r>
  <r>
    <s v="007"/>
    <s v="PR01"/>
    <s v="812RED715"/>
    <s v="Réduction NOIR 1'1/4---3/4"/>
    <s v="UN"/>
    <n v="3"/>
    <n v="0.42499999999999999"/>
    <n v="1.2749999999999999"/>
    <x v="3"/>
  </r>
  <r>
    <s v="007"/>
    <s v="PR01"/>
    <s v="815FUS314"/>
    <s v="FUSIBLES 2A 10*38  500V"/>
    <s v="UN"/>
    <n v="2"/>
    <n v="0.63749999999999996"/>
    <n v="1.2749999999999999"/>
    <x v="3"/>
  </r>
  <r>
    <s v="007"/>
    <s v="PR02"/>
    <s v="820xmc360"/>
    <s v="VIS TH M04*30 (acier)"/>
    <s v="UN"/>
    <n v="24"/>
    <n v="5.3550000000000007E-2"/>
    <n v="1.2852000000000001"/>
    <x v="3"/>
  </r>
  <r>
    <s v="007"/>
    <s v="PR01"/>
    <s v="820XMC639"/>
    <s v="Circlips D14 Interieur"/>
    <s v="UN"/>
    <n v="5"/>
    <n v="0.25740000000000002"/>
    <n v="1.2870000000000001"/>
    <x v="3"/>
  </r>
  <r>
    <s v="007"/>
    <s v="PR01"/>
    <s v="812XMC213"/>
    <s v="VIS TF (INOX) M05*10  Français"/>
    <s v="UN"/>
    <n v="12"/>
    <n v="0.127"/>
    <n v="1.524"/>
    <x v="3"/>
  </r>
  <r>
    <s v="007"/>
    <s v="PR01"/>
    <s v="820XMC503"/>
    <s v="Rondelle plate (acier) M05"/>
    <s v="UN"/>
    <n v="250"/>
    <n v="6.1900000000000002E-3"/>
    <n v="1.5475000000000001"/>
    <x v="3"/>
  </r>
  <r>
    <s v="007"/>
    <s v="PR01"/>
    <s v="810XPM115"/>
    <s v="Joint torique EN NBR OR 7.5-3  M.perçage sovema"/>
    <s v="UN"/>
    <n v="14"/>
    <n v="0.114"/>
    <n v="1.5960000000000001"/>
    <x v="3"/>
  </r>
  <r>
    <s v="007"/>
    <s v="PR01"/>
    <s v="812MEM724"/>
    <s v="MAMLON GALVA15/21"/>
    <s v="UN"/>
    <n v="2"/>
    <n v="0.81430000000000002"/>
    <n v="1.6286"/>
    <x v="3"/>
  </r>
  <r>
    <s v="007"/>
    <s v="PR01"/>
    <s v="830MCH001"/>
    <s v="MECHE BETON 6"/>
    <s v="UN"/>
    <n v="1"/>
    <n v="1.63"/>
    <n v="1.63"/>
    <x v="3"/>
  </r>
  <r>
    <s v="007"/>
    <s v="PR01"/>
    <s v="820XMC782"/>
    <s v="vis sixpans fraisée M08*10 (acier)"/>
    <s v="UN"/>
    <n v="12"/>
    <n v="0.13600000000000001"/>
    <n v="1.6320000000000001"/>
    <x v="3"/>
  </r>
  <r>
    <s v="007"/>
    <s v="PR01"/>
    <s v="812TTE027"/>
    <s v="TE 15/21 Noir"/>
    <s v="UN"/>
    <n v="1"/>
    <n v="1.6575"/>
    <n v="1.6575"/>
    <x v="3"/>
  </r>
  <r>
    <s v="007"/>
    <s v="PR01"/>
    <s v="830MCH031"/>
    <s v="Mèche Acier 2.5"/>
    <s v="UN"/>
    <n v="5"/>
    <n v="0.33700000000000002"/>
    <n v="1.6850000000000001"/>
    <x v="3"/>
  </r>
  <r>
    <s v="007"/>
    <s v="PR01"/>
    <s v="815XPE165"/>
    <s v="Embou Fils 0.75mm BLEU"/>
    <s v="UN"/>
    <n v="120"/>
    <n v="1.439E-2"/>
    <n v="1.7267999999999999"/>
    <x v="3"/>
  </r>
  <r>
    <s v="007"/>
    <s v="PR02"/>
    <s v="812TTE017"/>
    <s v="TE PPR D20"/>
    <s v="UN"/>
    <n v="2"/>
    <n v="0.86699999999999999"/>
    <n v="1.734"/>
    <x v="3"/>
  </r>
  <r>
    <s v="007"/>
    <s v="PR01"/>
    <s v="820XMC528"/>
    <s v="Rondelle grower M08 (acier)"/>
    <s v="UN"/>
    <n v="79"/>
    <n v="2.1999999999999999E-2"/>
    <n v="1.738"/>
    <x v="3"/>
  </r>
  <r>
    <s v="007"/>
    <s v="PR02"/>
    <s v="820XMC547"/>
    <s v="cheville 6"/>
    <s v="UN"/>
    <n v="35"/>
    <n v="5.04E-2"/>
    <n v="1.764"/>
    <x v="3"/>
  </r>
  <r>
    <s v="007"/>
    <s v="PR01"/>
    <s v="815xpe192"/>
    <s v="Repere Fil &quot;7&quot; 1.5-4"/>
    <s v="UN"/>
    <n v="24"/>
    <n v="7.4620000000000006E-2"/>
    <n v="1.79088"/>
    <x v="3"/>
  </r>
  <r>
    <s v="007"/>
    <s v="PR02"/>
    <s v="815XPE052"/>
    <s v="Domino en plastique 25A"/>
    <s v="UN"/>
    <n v="2"/>
    <n v="0.91877982456140361"/>
    <n v="1.8375596491228072"/>
    <x v="3"/>
  </r>
  <r>
    <s v="007"/>
    <s v="PR02"/>
    <s v="812XPB055"/>
    <s v="Joint Fibre 20/27"/>
    <s v="UN"/>
    <n v="23"/>
    <n v="8.0100000000000005E-2"/>
    <n v="1.8423"/>
    <x v="3"/>
  </r>
  <r>
    <s v="007"/>
    <s v="PR02"/>
    <s v="815FUS009"/>
    <s v="Fusible 1A 5*20MM F1A"/>
    <s v="UN"/>
    <n v="7"/>
    <n v="0.26371428571428573"/>
    <n v="1.8460000000000001"/>
    <x v="3"/>
  </r>
  <r>
    <s v="007"/>
    <s v="PR01"/>
    <s v="830MCH909"/>
    <s v="Mèche acier 3"/>
    <s v="UN"/>
    <n v="4"/>
    <n v="0.46500000000000002"/>
    <n v="1.86"/>
    <x v="3"/>
  </r>
  <r>
    <s v="007"/>
    <s v="PR01"/>
    <s v="815xpe187"/>
    <s v="Repere Fil &quot;2&quot;1.5-4"/>
    <s v="UN"/>
    <n v="25"/>
    <n v="7.4620000000000006E-2"/>
    <n v="1.8655000000000002"/>
    <x v="3"/>
  </r>
  <r>
    <s v="007"/>
    <s v="PR01"/>
    <s v="815xpe191"/>
    <s v="Repere Fil &quot;6&quot;1.5-4"/>
    <s v="UN"/>
    <n v="25"/>
    <n v="7.4620000000000006E-2"/>
    <n v="1.8655000000000002"/>
    <x v="3"/>
  </r>
  <r>
    <s v="007"/>
    <s v="PR01"/>
    <s v="815xpe194"/>
    <s v="Repere Fil &quot;9&quot; 1.5-4"/>
    <s v="UN"/>
    <n v="25"/>
    <n v="7.4620000000000006E-2"/>
    <n v="1.8655000000000002"/>
    <x v="3"/>
  </r>
  <r>
    <s v="007"/>
    <s v="PR02"/>
    <s v="812COL002"/>
    <s v="COLLIER 10 a 18 GALVA"/>
    <s v="UN"/>
    <n v="10"/>
    <n v="0.18990909090909092"/>
    <n v="1.8990909090909092"/>
    <x v="3"/>
  </r>
  <r>
    <s v="007"/>
    <s v="PR02"/>
    <s v="810ROU148"/>
    <s v="Butee a billes T126-904A1 Axe de fusee Chariot TC"/>
    <s v="UN"/>
    <n v="4"/>
    <n v="0.47770000000000001"/>
    <n v="1.9108000000000001"/>
    <x v="3"/>
  </r>
  <r>
    <s v="007"/>
    <s v="PR02"/>
    <s v="815FUS043"/>
    <s v="FUSIBLE 80A 22*58"/>
    <s v="UN"/>
    <n v="1"/>
    <n v="1.9125000000000001"/>
    <n v="1.9125000000000001"/>
    <x v="3"/>
  </r>
  <r>
    <s v="007"/>
    <s v="PR02"/>
    <s v="815FUS007"/>
    <s v="Fusible 4A Forme bouteille"/>
    <s v="UN"/>
    <n v="4"/>
    <n v="0.47970000000000007"/>
    <n v="1.9188000000000003"/>
    <x v="3"/>
  </r>
  <r>
    <s v="007"/>
    <s v="PR01"/>
    <s v="820XMC827"/>
    <s v="écrou frein M10"/>
    <s v="UN"/>
    <n v="15"/>
    <n v="0.129"/>
    <n v="1.9350000000000001"/>
    <x v="3"/>
  </r>
  <r>
    <s v="007"/>
    <s v="PR02"/>
    <s v="812MON724"/>
    <s v="Monchon Galva 1&quot;1/4"/>
    <s v="UN"/>
    <n v="1"/>
    <n v="1.9519066666666667"/>
    <n v="1.9519066666666667"/>
    <x v="3"/>
  </r>
  <r>
    <s v="007"/>
    <s v="PR01"/>
    <s v="830MCH912"/>
    <s v="Mèche Acier 2"/>
    <s v="UN"/>
    <n v="6"/>
    <n v="0.33700000000000002"/>
    <n v="2.0220000000000002"/>
    <x v="3"/>
  </r>
  <r>
    <s v="007"/>
    <s v="PR01"/>
    <s v="812MON716"/>
    <s v="MONCHON PVC P32"/>
    <s v="UN"/>
    <n v="2"/>
    <n v="1.0250999999999999"/>
    <n v="2.0501999999999998"/>
    <x v="3"/>
  </r>
  <r>
    <s v="007"/>
    <s v="PR02"/>
    <s v="820XMC388"/>
    <s v="vis six pans (acier) M04*30"/>
    <s v="UN"/>
    <n v="35"/>
    <n v="5.9033281409406252E-2"/>
    <n v="2.0661648493292186"/>
    <x v="3"/>
  </r>
  <r>
    <s v="007"/>
    <s v="PR01"/>
    <s v="812RED701"/>
    <s v="Réduction PVC110/75"/>
    <s v="UN"/>
    <n v="5"/>
    <n v="0.42499999999999999"/>
    <n v="2.125"/>
    <x v="3"/>
  </r>
  <r>
    <s v="007"/>
    <s v="PR01"/>
    <s v="812RED014"/>
    <s v="Réduction Galva 26/34 -&gt; 20/27 M/F"/>
    <s v="UN"/>
    <n v="1"/>
    <n v="2.17"/>
    <n v="2.17"/>
    <x v="3"/>
  </r>
  <r>
    <s v="007"/>
    <s v="PR01"/>
    <s v="815FUS316"/>
    <s v="FUSIBLE 5A 250V"/>
    <s v="UN"/>
    <n v="12"/>
    <n v="0.184"/>
    <n v="2.2080000000000002"/>
    <x v="3"/>
  </r>
  <r>
    <s v="007"/>
    <s v="PR01"/>
    <s v="830MCH002"/>
    <s v="MECHE BETON 8"/>
    <s v="UN"/>
    <n v="1"/>
    <n v="2.512"/>
    <n v="2.512"/>
    <x v="3"/>
  </r>
  <r>
    <s v="007"/>
    <s v="PR01"/>
    <s v="820XMC637"/>
    <s v="Circlips D20 Exterieur"/>
    <s v="UN"/>
    <n v="14"/>
    <n v="0.18"/>
    <n v="2.52"/>
    <x v="3"/>
  </r>
  <r>
    <s v="007"/>
    <s v="PR02"/>
    <s v="812RED056"/>
    <s v="Reduction PPR D50/32"/>
    <s v="UN"/>
    <n v="2"/>
    <n v="1.26"/>
    <n v="2.52"/>
    <x v="3"/>
  </r>
  <r>
    <s v="007"/>
    <s v="PR02"/>
    <s v="812COD009"/>
    <s v="COUDE PPR D25"/>
    <s v="UN"/>
    <n v="5"/>
    <n v="0.51"/>
    <n v="2.5499999999999998"/>
    <x v="3"/>
  </r>
  <r>
    <s v="007"/>
    <s v="PR01"/>
    <s v="815FUS315"/>
    <s v="FUSIBLES 4A 10*38  500V"/>
    <s v="UN"/>
    <n v="5"/>
    <n v="0.52025434782608682"/>
    <n v="2.6012717391304339"/>
    <x v="3"/>
  </r>
  <r>
    <s v="007"/>
    <s v="PR01"/>
    <s v="830MCH920"/>
    <s v="Mèche acier 8"/>
    <s v="UN"/>
    <n v="1"/>
    <n v="2.6070000000000002"/>
    <n v="2.6070000000000002"/>
    <x v="3"/>
  </r>
  <r>
    <s v="007"/>
    <s v="PR01"/>
    <s v="815xpe188"/>
    <s v="Repere Fil &quot;3&quot;1.5-4"/>
    <s v="UN"/>
    <n v="35"/>
    <n v="7.4620000000000006E-2"/>
    <n v="2.6117000000000004"/>
    <x v="3"/>
  </r>
  <r>
    <s v="007"/>
    <s v="PR01"/>
    <s v="815xpe190"/>
    <s v="Repere Fil &quot;5&quot;1.5-4"/>
    <s v="UN"/>
    <n v="36"/>
    <n v="7.4620000000000006E-2"/>
    <n v="2.6863200000000003"/>
    <x v="3"/>
  </r>
  <r>
    <s v="007"/>
    <s v="PR01"/>
    <s v="815xpe193"/>
    <s v="Repere Fil &quot;8&quot; 1.5-4"/>
    <s v="UN"/>
    <n v="36"/>
    <n v="7.4620000000000006E-2"/>
    <n v="2.6863200000000003"/>
    <x v="3"/>
  </r>
  <r>
    <s v="007"/>
    <s v="PR01"/>
    <s v="810XPM076"/>
    <s v="Attache rapide pour chaine 06-B2"/>
    <s v="L"/>
    <n v="4"/>
    <n v="0.67500000000000004"/>
    <n v="2.7"/>
    <x v="3"/>
  </r>
  <r>
    <s v="007"/>
    <s v="PR01"/>
    <s v="820XMC105"/>
    <s v="écrou frein M6"/>
    <s v="UN"/>
    <n v="110"/>
    <n v="2.5437308868501526E-2"/>
    <n v="2.798103975535168"/>
    <x v="3"/>
  </r>
  <r>
    <s v="007"/>
    <s v="PR02"/>
    <s v="820XMC165"/>
    <s v="Vis TH (acier) M04*50"/>
    <s v="UN"/>
    <n v="32"/>
    <n v="8.9249999999999996E-2"/>
    <n v="2.8559999999999999"/>
    <x v="3"/>
  </r>
  <r>
    <s v="007"/>
    <s v="PR01"/>
    <s v="812RED013"/>
    <s v="Réduction Galva 1&quot;1/2--1&quot;"/>
    <s v="UN"/>
    <n v="1"/>
    <n v="2.9"/>
    <n v="2.9"/>
    <x v="3"/>
  </r>
  <r>
    <s v="007"/>
    <s v="PR01"/>
    <s v="812cod807"/>
    <s v="Coude PVC 90° D32"/>
    <s v="UN"/>
    <n v="2"/>
    <n v="1.464"/>
    <n v="2.9279999999999999"/>
    <x v="3"/>
  </r>
  <r>
    <s v="007"/>
    <s v="PR02"/>
    <s v="812col019"/>
    <s v="COLLIER D28  28-48"/>
    <s v="UN"/>
    <n v="4"/>
    <n v="0.73307"/>
    <n v="2.93228"/>
    <x v="3"/>
  </r>
  <r>
    <s v="007"/>
    <s v="PR01"/>
    <s v="812EMB746"/>
    <s v="Embou PVC PR 40*32*1&quot; Male"/>
    <s v="UN"/>
    <n v="2"/>
    <n v="1.4670000000000001"/>
    <n v="2.9340000000000002"/>
    <x v="3"/>
  </r>
  <r>
    <s v="007"/>
    <s v="PR02"/>
    <s v="812RED027"/>
    <s v="Reduction PVC PR 50/32"/>
    <s v="UN"/>
    <n v="2"/>
    <n v="1.472"/>
    <n v="2.944"/>
    <x v="3"/>
  </r>
  <r>
    <s v="007"/>
    <s v="PR01"/>
    <s v="815xpe185"/>
    <s v="Repere Fil &quot;0&quot; 1.5-4 Noir"/>
    <s v="UN"/>
    <n v="40"/>
    <n v="7.4620000000000006E-2"/>
    <n v="2.9848000000000003"/>
    <x v="3"/>
  </r>
  <r>
    <s v="007"/>
    <s v="PR01"/>
    <s v="840PNA016"/>
    <s v="PINCEAU PLAT 20"/>
    <s v="UN"/>
    <n v="5"/>
    <n v="0.59940000000000004"/>
    <n v="2.9970000000000003"/>
    <x v="3"/>
  </r>
  <r>
    <s v="007"/>
    <s v="PR02"/>
    <s v="820XMC472"/>
    <s v="écrou (acier) M08"/>
    <s v="UN"/>
    <n v="54"/>
    <n v="5.6169999999999998E-2"/>
    <n v="3.0331799999999998"/>
    <x v="3"/>
  </r>
  <r>
    <s v="007"/>
    <s v="PR02"/>
    <s v="820XMC019"/>
    <s v="TIREFOND M10*50"/>
    <s v="UN"/>
    <n v="10"/>
    <n v="0.31014000000000003"/>
    <n v="3.1014000000000004"/>
    <x v="3"/>
  </r>
  <r>
    <s v="007"/>
    <s v="PR01"/>
    <s v="815COS288"/>
    <s v="Cosse a sertie SC06-06"/>
    <s v="UN"/>
    <n v="45"/>
    <n v="7.2999999999999995E-2"/>
    <n v="3.2849999999999997"/>
    <x v="3"/>
  </r>
  <r>
    <s v="007"/>
    <s v="PR01"/>
    <s v="815XPE253"/>
    <s v="Bornier 35mm 600V 130A"/>
    <s v="UN"/>
    <n v="1"/>
    <n v="3.2899526066350711"/>
    <n v="3.2899526066350711"/>
    <x v="3"/>
  </r>
  <r>
    <s v="007"/>
    <s v="PR02"/>
    <s v="820xmc252"/>
    <s v="Vis six pans (acier) M05*10"/>
    <s v="UN"/>
    <n v="100"/>
    <n v="3.3000000000000002E-2"/>
    <n v="3.3000000000000003"/>
    <x v="3"/>
  </r>
  <r>
    <s v="007"/>
    <s v="PR01"/>
    <m/>
    <s v="PINCEAU PLAT 20"/>
    <s v="UN"/>
    <n v="5"/>
    <n v="0.66600000000000004"/>
    <n v="3.33"/>
    <x v="3"/>
  </r>
  <r>
    <s v="007"/>
    <s v="PR02"/>
    <s v="820XMC485"/>
    <s v="Vis d'arrêt (acier) M05*10"/>
    <s v="UN"/>
    <n v="20"/>
    <n v="0.16788"/>
    <n v="3.3576000000000001"/>
    <x v="3"/>
  </r>
  <r>
    <s v="007"/>
    <s v="PR01"/>
    <s v="820XMC643"/>
    <s v="Circlips D22 Interieur"/>
    <s v="UN"/>
    <n v="10"/>
    <n v="0.33750000000000002"/>
    <n v="3.375"/>
    <x v="3"/>
  </r>
  <r>
    <s v="007"/>
    <s v="PR02"/>
    <s v="812COD688"/>
    <s v="Coude bargataire D25"/>
    <s v="UN"/>
    <n v="1"/>
    <n v="3.3797142857142854"/>
    <n v="3.3797142857142854"/>
    <x v="3"/>
  </r>
  <r>
    <s v="007"/>
    <s v="PR01"/>
    <s v="810XPM112"/>
    <s v="Joint torique EN NBR 70 OR 26.7-1.78 Perç sov"/>
    <s v="UN"/>
    <n v="15"/>
    <n v="0.22900000000000001"/>
    <n v="3.4350000000000001"/>
    <x v="3"/>
  </r>
  <r>
    <s v="007"/>
    <s v="PR01"/>
    <s v="815FUS311"/>
    <s v="FUSIBLE 32A"/>
    <s v="UN"/>
    <n v="14"/>
    <n v="0.2475"/>
    <n v="3.4649999999999999"/>
    <x v="3"/>
  </r>
  <r>
    <s v="007"/>
    <s v="PR01"/>
    <m/>
    <s v="BOUCHON GALVA 50/60"/>
    <s v="UN"/>
    <n v="1"/>
    <n v="3.4860000000000002"/>
    <n v="3.4860000000000002"/>
    <x v="3"/>
  </r>
  <r>
    <s v="007"/>
    <s v="PR01"/>
    <s v="830XOU268"/>
    <s v="Joint torique 2.62*9.19 COS1"/>
    <s v="UN"/>
    <n v="18"/>
    <n v="0.1953"/>
    <n v="3.5154000000000001"/>
    <x v="3"/>
  </r>
  <r>
    <s v="007"/>
    <s v="PR01"/>
    <s v="820XMC520"/>
    <s v="Rondelle grower M06 (acier)"/>
    <s v="UN"/>
    <n v="352"/>
    <n v="0.01"/>
    <n v="3.52"/>
    <x v="3"/>
  </r>
  <r>
    <s v="007"/>
    <s v="PR01"/>
    <s v="820XMC385"/>
    <s v="vis six pans (acier) M03*20"/>
    <s v="UN"/>
    <n v="22"/>
    <n v="0.16116"/>
    <n v="3.5455199999999998"/>
    <x v="3"/>
  </r>
  <r>
    <s v="007"/>
    <s v="PR01"/>
    <s v="810XPM005"/>
    <s v="GRAISSEUR COUDEE D8"/>
    <s v="UN"/>
    <n v="7"/>
    <n v="0.52715999999999996"/>
    <n v="3.6901199999999998"/>
    <x v="3"/>
  </r>
  <r>
    <s v="007"/>
    <s v="PR01"/>
    <s v="815XPE082"/>
    <s v="FIXATION LAVABO"/>
    <s v="UN"/>
    <n v="1"/>
    <n v="3.6972"/>
    <n v="3.6972"/>
    <x v="3"/>
  </r>
  <r>
    <s v="007"/>
    <s v="PR02"/>
    <s v="812RED702"/>
    <s v="Réduction PVC PR 50/40"/>
    <s v="UN"/>
    <n v="2"/>
    <n v="1.852153846153846"/>
    <n v="3.7043076923076921"/>
    <x v="3"/>
  </r>
  <r>
    <s v="007"/>
    <s v="PR02"/>
    <s v="815FUS311"/>
    <s v="FUSIBLE 32A"/>
    <s v="UN"/>
    <n v="15"/>
    <n v="0.2475"/>
    <n v="3.7124999999999999"/>
    <x v="3"/>
  </r>
  <r>
    <s v="007"/>
    <s v="PR01"/>
    <s v="820XMC681"/>
    <s v="VIS Six pans (acier) M04*10"/>
    <s v="UN"/>
    <n v="78"/>
    <n v="4.7600000000000003E-2"/>
    <n v="3.7128000000000001"/>
    <x v="3"/>
  </r>
  <r>
    <s v="007"/>
    <s v="PR02"/>
    <s v="815FUS017"/>
    <s v="Fusible 63A 500V Forme bouteille"/>
    <s v="UN"/>
    <n v="5"/>
    <n v="0.75"/>
    <n v="3.75"/>
    <x v="3"/>
  </r>
  <r>
    <s v="007"/>
    <s v="PR02"/>
    <s v="820GOU004"/>
    <s v="GOUPILLE  D6*100 Elastique"/>
    <s v="UN"/>
    <n v="4"/>
    <n v="0.95625000000000004"/>
    <n v="3.8250000000000002"/>
    <x v="3"/>
  </r>
  <r>
    <s v="007"/>
    <s v="PR02"/>
    <s v="820XMC744"/>
    <s v="VIS TF (acier) M06*10"/>
    <s v="UN"/>
    <n v="75"/>
    <n v="5.1999999999999998E-2"/>
    <n v="3.9"/>
    <x v="3"/>
  </r>
  <r>
    <s v="007"/>
    <s v="PR02"/>
    <s v="815XPE324"/>
    <s v="interrupteur apparent"/>
    <s v="UN"/>
    <n v="1"/>
    <n v="3.903"/>
    <n v="3.903"/>
    <x v="3"/>
  </r>
  <r>
    <s v="007"/>
    <s v="PR01"/>
    <s v="830MCH916"/>
    <s v="Mèche acier 6"/>
    <s v="UN"/>
    <n v="3"/>
    <n v="1.304"/>
    <n v="3.9119999999999999"/>
    <x v="3"/>
  </r>
  <r>
    <s v="007"/>
    <s v="PR01"/>
    <s v="820XMC549"/>
    <s v="cheville 10"/>
    <s v="UN"/>
    <n v="150"/>
    <n v="2.6100000000000002E-2"/>
    <n v="3.915"/>
    <x v="3"/>
  </r>
  <r>
    <s v="007"/>
    <s v="PR02"/>
    <s v="812MON712"/>
    <s v="MONCHON PVC P75"/>
    <s v="UN"/>
    <n v="1"/>
    <n v="4.0460000000000003"/>
    <n v="4.0460000000000003"/>
    <x v="3"/>
  </r>
  <r>
    <s v="007"/>
    <s v="PR01"/>
    <s v="812RED700"/>
    <s v="Réduction PVC63/50"/>
    <s v="UN"/>
    <n v="2"/>
    <n v="2.0278500000000004"/>
    <n v="4.0557000000000007"/>
    <x v="3"/>
  </r>
  <r>
    <s v="007"/>
    <s v="PR02"/>
    <s v="810XPM225"/>
    <s v="GRAISSEUR droit M8"/>
    <s v="UN"/>
    <n v="10"/>
    <n v="0.41129999999999994"/>
    <n v="4.1129999999999995"/>
    <x v="3"/>
  </r>
  <r>
    <s v="007"/>
    <s v="PR02"/>
    <s v="820XMC482"/>
    <s v="écrou (Inox) M10"/>
    <s v="UN"/>
    <n v="15"/>
    <n v="0.27565000000000001"/>
    <n v="4.1347500000000004"/>
    <x v="3"/>
  </r>
  <r>
    <s v="007"/>
    <s v="PR01"/>
    <s v="820XMC356"/>
    <s v="VIS TH M04*20 (acier)"/>
    <s v="UN"/>
    <n v="82"/>
    <n v="5.058E-2"/>
    <n v="4.1475600000000004"/>
    <x v="3"/>
  </r>
  <r>
    <s v="007"/>
    <s v="PR01"/>
    <s v="830MCH918"/>
    <s v="Mèche acier 6,5"/>
    <s v="UN"/>
    <n v="3"/>
    <n v="1.4"/>
    <n v="4.1999999999999993"/>
    <x v="3"/>
  </r>
  <r>
    <s v="007"/>
    <s v="PR01"/>
    <s v="810XPM143"/>
    <s v="Joint torique 2*31   Perç SOVEMA"/>
    <s v="UN"/>
    <n v="10"/>
    <n v="0.42"/>
    <n v="4.2"/>
    <x v="3"/>
  </r>
  <r>
    <s v="007"/>
    <s v="PR01"/>
    <s v="820XMC590"/>
    <s v="Vis d'arrêt (acier) M04*10"/>
    <s v="UN"/>
    <n v="25"/>
    <n v="0.16800000000000001"/>
    <n v="4.2"/>
    <x v="3"/>
  </r>
  <r>
    <s v="007"/>
    <s v="PR02"/>
    <s v="812cod006"/>
    <s v="COUDE PPR D32 90"/>
    <s v="UN"/>
    <n v="5"/>
    <n v="0.84"/>
    <n v="4.2"/>
    <x v="3"/>
  </r>
  <r>
    <s v="007"/>
    <s v="PR01"/>
    <s v="812COD686"/>
    <s v="COUDE GALVA 1&quot; 1/4"/>
    <s v="UN"/>
    <n v="1"/>
    <n v="4.2069999999999999"/>
    <n v="4.2069999999999999"/>
    <x v="3"/>
  </r>
  <r>
    <s v="007"/>
    <s v="PR01"/>
    <m/>
    <s v="LAME DE SCIE METAUX VIKING"/>
    <s v="UN"/>
    <n v="5"/>
    <n v="0.85499999999999998"/>
    <n v="4.2750000000000004"/>
    <x v="3"/>
  </r>
  <r>
    <s v="007"/>
    <s v="PR01"/>
    <s v="812MON044"/>
    <s v="Monchon Laiton cuivre Fileté 32*3/4&quot; Male"/>
    <s v="UN"/>
    <n v="2"/>
    <n v="2.1383999999999999"/>
    <n v="4.2767999999999997"/>
    <x v="3"/>
  </r>
  <r>
    <s v="007"/>
    <s v="PR02"/>
    <s v="820RIV007"/>
    <s v="RIVET 3.8*20"/>
    <s v="UN"/>
    <n v="22"/>
    <n v="0.19656000000000001"/>
    <n v="4.3243200000000002"/>
    <x v="3"/>
  </r>
  <r>
    <s v="007"/>
    <s v="PR01"/>
    <s v="815xpe171"/>
    <s v="Bornier 6mm"/>
    <s v="UN"/>
    <n v="4"/>
    <n v="1.0857000000000001"/>
    <n v="4.3428000000000004"/>
    <x v="3"/>
  </r>
  <r>
    <s v="007"/>
    <s v="PR01"/>
    <s v="820XMC638"/>
    <s v="Circlips D22 Exterieur"/>
    <s v="UN"/>
    <n v="22"/>
    <n v="0.19800000000000001"/>
    <n v="4.3559999999999999"/>
    <x v="3"/>
  </r>
  <r>
    <s v="007"/>
    <s v="PR01"/>
    <s v="820XMC547"/>
    <s v="cheville 6"/>
    <s v="UN"/>
    <n v="87"/>
    <n v="5.04E-2"/>
    <n v="4.3848000000000003"/>
    <x v="3"/>
  </r>
  <r>
    <s v="007"/>
    <s v="PR01"/>
    <s v="812COD807"/>
    <s v="Coude PVC PR 90° D32"/>
    <s v="UN"/>
    <n v="3"/>
    <n v="1.464"/>
    <n v="4.3919999999999995"/>
    <x v="3"/>
  </r>
  <r>
    <s v="007"/>
    <s v="PR02"/>
    <s v="815XPE132"/>
    <s v="Console en L universelle LG500"/>
    <s v="UN"/>
    <n v="4"/>
    <n v="1.1025"/>
    <n v="4.41"/>
    <x v="3"/>
  </r>
  <r>
    <s v="007"/>
    <s v="PR02"/>
    <s v="812COD687"/>
    <s v="COUDE GALVA 15/21"/>
    <s v="UN"/>
    <n v="4"/>
    <n v="1.105"/>
    <n v="4.42"/>
    <x v="3"/>
  </r>
  <r>
    <s v="007"/>
    <s v="PR01"/>
    <s v="812BOU002"/>
    <s v="BOUCHON 1&quot; GALVA MALE"/>
    <s v="UN"/>
    <n v="5"/>
    <n v="0.88700000000000001"/>
    <n v="4.4350000000000005"/>
    <x v="3"/>
  </r>
  <r>
    <s v="007"/>
    <s v="PR02"/>
    <s v="812BOU002"/>
    <s v="BOUCHON 1&quot; GALVA MALE"/>
    <s v="UN"/>
    <n v="5"/>
    <n v="0.88700000000000001"/>
    <n v="4.4350000000000005"/>
    <x v="3"/>
  </r>
  <r>
    <s v="007"/>
    <s v="PR02"/>
    <s v="820XMC236"/>
    <s v="vis six pans (acier) M08*10"/>
    <s v="UN"/>
    <n v="35"/>
    <n v="0.127"/>
    <n v="4.4450000000000003"/>
    <x v="3"/>
  </r>
  <r>
    <s v="007"/>
    <s v="PR02"/>
    <s v="820XMC452"/>
    <s v="vis six pans (Inox) M06*30"/>
    <s v="UN"/>
    <n v="10"/>
    <n v="0.44500000000000001"/>
    <n v="4.45"/>
    <x v="3"/>
  </r>
  <r>
    <s v="007"/>
    <s v="PR01"/>
    <s v="820XMC254"/>
    <s v="CHEVILLE METALLIQUE M10*120"/>
    <s v="UN"/>
    <n v="5"/>
    <n v="0.89280000000000004"/>
    <n v="4.4640000000000004"/>
    <x v="3"/>
  </r>
  <r>
    <s v="007"/>
    <s v="PR01"/>
    <s v="702ELE060"/>
    <s v="TRANSFORMATEUR ALLUMAGE A0.6 SA6"/>
    <s v="UN"/>
    <n v="1"/>
    <n v="4.59"/>
    <n v="4.59"/>
    <x v="3"/>
  </r>
  <r>
    <s v="007"/>
    <s v="PR01"/>
    <s v="812TTE026"/>
    <s v="TE 20/27 NOIR"/>
    <s v="UN"/>
    <n v="1"/>
    <n v="4.6154999999999999"/>
    <n v="4.6154999999999999"/>
    <x v="3"/>
  </r>
  <r>
    <s v="007"/>
    <s v="PR01"/>
    <s v="820XMC448"/>
    <s v="vis six pans (Inox) M05*20"/>
    <s v="UN"/>
    <n v="22"/>
    <n v="0.21"/>
    <n v="4.62"/>
    <x v="3"/>
  </r>
  <r>
    <s v="007"/>
    <s v="PR02"/>
    <s v="812RAC042"/>
    <s v="SILENCIEUX G1/4&quot;"/>
    <s v="UN"/>
    <n v="2"/>
    <n v="2.3111666666666668"/>
    <n v="4.6223333333333336"/>
    <x v="3"/>
  </r>
  <r>
    <s v="007"/>
    <s v="PR01"/>
    <s v="830MCH013"/>
    <s v="Mèche acier 11.5"/>
    <s v="UN"/>
    <n v="4"/>
    <n v="1.1559999999999999"/>
    <n v="4.6239999999999997"/>
    <x v="3"/>
  </r>
  <r>
    <s v="007"/>
    <s v="PR01"/>
    <s v="812cod702"/>
    <s v="COUDE PVC PR 32 45°"/>
    <s v="UN"/>
    <n v="1"/>
    <n v="4.6580000000000004"/>
    <n v="4.6580000000000004"/>
    <x v="3"/>
  </r>
  <r>
    <s v="007"/>
    <s v="PR02"/>
    <s v="830XOU069"/>
    <s v="DETENDEUR GAZ REGLABLE"/>
    <s v="UN"/>
    <n v="1"/>
    <n v="4.6749999999999998"/>
    <n v="4.6749999999999998"/>
    <x v="3"/>
  </r>
  <r>
    <s v="007"/>
    <s v="PR01"/>
    <s v="815XPE166"/>
    <s v="Presse etoupe arrmoire PG-07 Ø 3.5-6MM"/>
    <s v="UN"/>
    <n v="20"/>
    <n v="0.23452000000000001"/>
    <n v="4.6904000000000003"/>
    <x v="3"/>
  </r>
  <r>
    <s v="007"/>
    <s v="PR01"/>
    <s v="820XMC829"/>
    <s v="Rondelle Cuivre 10*16/1.5"/>
    <s v="UN"/>
    <n v="12"/>
    <n v="0.39100000000000001"/>
    <n v="4.6920000000000002"/>
    <x v="3"/>
  </r>
  <r>
    <s v="007"/>
    <s v="PR01"/>
    <s v="815xpe177"/>
    <s v="Repere Fil &quot;3&quot; 0.5-1.5"/>
    <s v="UN"/>
    <n v="75"/>
    <n v="6.3960000000000003E-2"/>
    <n v="4.7970000000000006"/>
    <x v="3"/>
  </r>
  <r>
    <s v="007"/>
    <s v="PR02"/>
    <s v="812MON018"/>
    <s v="Monchon Bargataire D32"/>
    <s v="UN"/>
    <n v="1"/>
    <n v="4.8140999999999998"/>
    <n v="4.8140999999999998"/>
    <x v="3"/>
  </r>
  <r>
    <s v="007"/>
    <s v="PR01"/>
    <s v="820XMC680"/>
    <s v="VIS Six pans (acier) M03*10"/>
    <s v="UN"/>
    <n v="56"/>
    <n v="8.5980000000000001E-2"/>
    <n v="4.8148800000000005"/>
    <x v="3"/>
  </r>
  <r>
    <s v="007"/>
    <s v="PR02"/>
    <s v="810XPM224"/>
    <s v="GRAISSEUR droit M6"/>
    <s v="UN"/>
    <n v="10"/>
    <n v="0.48166715686274514"/>
    <n v="4.8166715686274513"/>
    <x v="3"/>
  </r>
  <r>
    <s v="007"/>
    <s v="PR01"/>
    <s v="812TTE666"/>
    <s v="TE PVC PR D25"/>
    <s v="UN"/>
    <n v="4"/>
    <n v="1.2050000000000001"/>
    <n v="4.82"/>
    <x v="3"/>
  </r>
  <r>
    <s v="007"/>
    <s v="PR01"/>
    <s v="812COL054"/>
    <s v="Collier de fixation D32 Complet"/>
    <s v="UN"/>
    <n v="16"/>
    <n v="0.30199999999999999"/>
    <n v="4.8319999999999999"/>
    <x v="3"/>
  </r>
  <r>
    <s v="007"/>
    <s v="PR01"/>
    <s v="812EMB004"/>
    <s v="Embou PVC PR 50 Femelle 1&quot;1/2"/>
    <s v="UN"/>
    <n v="1"/>
    <n v="4.8330000000000002"/>
    <n v="4.8330000000000002"/>
    <x v="3"/>
  </r>
  <r>
    <s v="007"/>
    <s v="PR02"/>
    <s v="810PAR033"/>
    <s v="Parahuile 70*100*10"/>
    <s v="UN"/>
    <n v="1"/>
    <n v="4.9490999999999996"/>
    <n v="4.9490999999999996"/>
    <x v="3"/>
  </r>
  <r>
    <s v="007"/>
    <s v="PR02"/>
    <s v="815FUS023"/>
    <s v="Porte Fusible  10*38"/>
    <s v="UN"/>
    <n v="1"/>
    <n v="4.9793000000000003"/>
    <n v="4.9793000000000003"/>
    <x v="3"/>
  </r>
  <r>
    <s v="007"/>
    <s v="PR01"/>
    <s v="815xpe176"/>
    <s v="Repere Fil &quot;2&quot; 0.5-1.5"/>
    <s v="UN"/>
    <n v="78"/>
    <n v="6.3960000000000003E-2"/>
    <n v="4.98888"/>
    <x v="3"/>
  </r>
  <r>
    <s v="007"/>
    <s v="PR01"/>
    <s v="810XPM111"/>
    <s v="Joint torique EN NBR 70 OR 31-2 Perç sovema"/>
    <s v="UN"/>
    <n v="13"/>
    <n v="0.38900000000000001"/>
    <n v="5.0570000000000004"/>
    <x v="3"/>
  </r>
  <r>
    <s v="007"/>
    <s v="PR02"/>
    <s v="815FUS314"/>
    <s v="FUSIBLES 2A 10*38  500V"/>
    <s v="UN"/>
    <n v="8"/>
    <n v="0.63749999999999996"/>
    <n v="5.0999999999999996"/>
    <x v="3"/>
  </r>
  <r>
    <s v="007"/>
    <s v="PR02"/>
    <s v="812TTE018"/>
    <s v="TE PPR D25"/>
    <s v="UN"/>
    <n v="10"/>
    <n v="0.51"/>
    <n v="5.0999999999999996"/>
    <x v="3"/>
  </r>
  <r>
    <s v="007"/>
    <s v="PR02"/>
    <s v="812MON716"/>
    <s v="MONCHON PVC P32"/>
    <s v="UN"/>
    <n v="5"/>
    <n v="1.0250999999999999"/>
    <n v="5.1254999999999997"/>
    <x v="3"/>
  </r>
  <r>
    <s v="007"/>
    <s v="PR01"/>
    <s v="812COD676"/>
    <s v="COUDE PVC P25 90°"/>
    <s v="UN"/>
    <n v="5"/>
    <n v="1.048"/>
    <n v="5.24"/>
    <x v="3"/>
  </r>
  <r>
    <s v="007"/>
    <s v="PR02"/>
    <s v="812RED061"/>
    <s v="Reduction Laiton MF 3/4&quot;M  1/2&quot;F"/>
    <s v="UN"/>
    <n v="2"/>
    <n v="2.6433"/>
    <n v="5.2866"/>
    <x v="3"/>
  </r>
  <r>
    <s v="007"/>
    <s v="PR01"/>
    <s v="815XPE167"/>
    <s v="Presse etoupe arrmoire PG-09 Ø 4-8MM"/>
    <s v="UN"/>
    <n v="21"/>
    <n v="0.252"/>
    <n v="5.2919999999999998"/>
    <x v="3"/>
  </r>
  <r>
    <s v="007"/>
    <s v="PR02"/>
    <s v="815FUS010"/>
    <s v="Fusible 6A Forme bouteille"/>
    <s v="UN"/>
    <n v="5"/>
    <n v="1.067278911564626"/>
    <n v="5.3363945578231302"/>
    <x v="3"/>
  </r>
  <r>
    <s v="007"/>
    <s v="PR01"/>
    <s v="812XPE247"/>
    <s v="COFFRET 1 MODULE"/>
    <s v="UN"/>
    <n v="3"/>
    <n v="1.7869999999999999"/>
    <n v="5.3609999999999998"/>
    <x v="3"/>
  </r>
  <r>
    <s v="007"/>
    <s v="PR01"/>
    <s v="820XMC709"/>
    <s v="VIS TF (acier) M04*10"/>
    <s v="UN"/>
    <n v="120"/>
    <n v="4.505E-2"/>
    <n v="5.4059999999999997"/>
    <x v="3"/>
  </r>
  <r>
    <s v="007"/>
    <s v="PR01"/>
    <s v="815xpe180"/>
    <s v="Repere Fil &quot;6&quot; 0.5-1.5"/>
    <s v="UN"/>
    <n v="85"/>
    <n v="6.3960000000000003E-2"/>
    <n v="5.4366000000000003"/>
    <x v="3"/>
  </r>
  <r>
    <s v="007"/>
    <s v="PR01"/>
    <s v="812MON036"/>
    <s v="MONCHON GALVA Femelle 3/8"/>
    <s v="UN"/>
    <n v="2"/>
    <n v="2.7709999999999999"/>
    <n v="5.5419999999999998"/>
    <x v="3"/>
  </r>
  <r>
    <s v="007"/>
    <s v="PR02"/>
    <s v="860XES032"/>
    <s v="Flexible Extensible D32"/>
    <s v="UN"/>
    <n v="2"/>
    <n v="2.7861500000000001"/>
    <n v="5.5723000000000003"/>
    <x v="3"/>
  </r>
  <r>
    <s v="007"/>
    <s v="PR02"/>
    <s v="810PAR134"/>
    <s v="PARAHUILE DL 65*85*10"/>
    <s v="UN"/>
    <n v="1"/>
    <n v="5.58"/>
    <n v="5.58"/>
    <x v="3"/>
  </r>
  <r>
    <s v="007"/>
    <s v="PR01"/>
    <s v="815xpe168"/>
    <s v="Presse etoupe arrmoire PG-11 Ø5-10MM"/>
    <s v="UN"/>
    <n v="15"/>
    <n v="0.37309999999999999"/>
    <n v="5.5964999999999998"/>
    <x v="3"/>
  </r>
  <r>
    <s v="007"/>
    <s v="PR01"/>
    <s v="812MON714"/>
    <s v="MONCHON PVC P20"/>
    <s v="UN"/>
    <n v="7"/>
    <n v="0.8075"/>
    <n v="5.6524999999999999"/>
    <x v="3"/>
  </r>
  <r>
    <s v="007"/>
    <s v="PR01"/>
    <s v="820xmc221"/>
    <s v="VIS A BOIS M05*40"/>
    <s v="UN"/>
    <n v="98"/>
    <n v="5.8009999999999999E-2"/>
    <n v="5.6849799999999995"/>
    <x v="3"/>
  </r>
  <r>
    <s v="007"/>
    <s v="PR02"/>
    <s v="810PAR133"/>
    <s v="PAREHUILE 90*55*10 Boite red STRIP"/>
    <s v="UN"/>
    <n v="1"/>
    <n v="5.7366000000000001"/>
    <n v="5.7366000000000001"/>
    <x v="3"/>
  </r>
  <r>
    <s v="007"/>
    <s v="PR01"/>
    <s v="815FUS009"/>
    <s v="Fusible 1A 5*20MM F1A"/>
    <s v="UN"/>
    <n v="22"/>
    <n v="0.26371428571428573"/>
    <n v="5.8017142857142865"/>
    <x v="3"/>
  </r>
  <r>
    <s v="007"/>
    <s v="PR01"/>
    <s v="810PAR123"/>
    <s v="parahuile 40X62X7"/>
    <s v="UN"/>
    <n v="3"/>
    <n v="1.9431"/>
    <n v="5.8292999999999999"/>
    <x v="3"/>
  </r>
  <r>
    <s v="007"/>
    <s v="PR01"/>
    <s v="820XMC736"/>
    <s v="vis six pans (Inox) M06*10"/>
    <s v="UN"/>
    <n v="22"/>
    <n v="0.26656000000000002"/>
    <n v="5.8643200000000002"/>
    <x v="3"/>
  </r>
  <r>
    <s v="007"/>
    <s v="PR01"/>
    <s v="815fus318"/>
    <s v="FUSIBLE   16A 10*38"/>
    <s v="UN"/>
    <n v="14"/>
    <n v="0.42415254237288136"/>
    <n v="5.9381355932203395"/>
    <x v="3"/>
  </r>
  <r>
    <s v="007"/>
    <s v="PR02"/>
    <s v="820XMC492"/>
    <s v="Vis d'arrêt (acier) M10*20"/>
    <s v="UN"/>
    <n v="21"/>
    <n v="0.28334745762711866"/>
    <n v="5.9502966101694916"/>
    <x v="3"/>
  </r>
  <r>
    <s v="007"/>
    <s v="PR01"/>
    <s v="830MCH911"/>
    <s v="Mèche acier 4"/>
    <s v="UN"/>
    <n v="6"/>
    <n v="1.0025999999999999"/>
    <n v="6.0155999999999992"/>
    <x v="3"/>
  </r>
  <r>
    <s v="007"/>
    <s v="PR01"/>
    <s v="820XMC305"/>
    <s v="Vis d'arrêt (acier) M05*16"/>
    <s v="UN"/>
    <n v="35"/>
    <n v="0.17199999999999999"/>
    <n v="6.02"/>
    <x v="3"/>
  </r>
  <r>
    <s v="007"/>
    <s v="PR01"/>
    <s v="812XPB011"/>
    <s v="CHEVILLE DE 12"/>
    <s v="UN"/>
    <n v="210"/>
    <n v="2.8799999999999999E-2"/>
    <n v="6.048"/>
    <x v="3"/>
  </r>
  <r>
    <s v="007"/>
    <s v="PR01"/>
    <s v="830MCH913"/>
    <s v="Meche Acier 4,5"/>
    <s v="UN"/>
    <n v="8"/>
    <n v="0.75700000000000001"/>
    <n v="6.056"/>
    <x v="3"/>
  </r>
  <r>
    <s v="007"/>
    <s v="PR01"/>
    <s v="815xpe179"/>
    <s v="Repere Fil &quot;5&quot; 0.5-1.5"/>
    <s v="UN"/>
    <n v="95"/>
    <n v="6.3960000000000003E-2"/>
    <n v="6.0762"/>
    <x v="3"/>
  </r>
  <r>
    <s v="007"/>
    <s v="PR01"/>
    <s v="812VAN733"/>
    <s v="vanne Galva15/21"/>
    <s v="UN"/>
    <n v="1"/>
    <n v="6.1020500000000002"/>
    <n v="6.1020500000000002"/>
    <x v="3"/>
  </r>
  <r>
    <s v="007"/>
    <s v="PR01"/>
    <s v="812red007"/>
    <s v="REDUCTION PVC 140/125"/>
    <s v="UN"/>
    <n v="1"/>
    <n v="6.2409999999999997"/>
    <n v="6.2409999999999997"/>
    <x v="3"/>
  </r>
  <r>
    <s v="007"/>
    <s v="PR02"/>
    <s v="815lam007"/>
    <s v="tube NEON 120"/>
    <s v="UN"/>
    <n v="2"/>
    <n v="3.15"/>
    <n v="6.3"/>
    <x v="3"/>
  </r>
  <r>
    <s v="007"/>
    <s v="PR02"/>
    <s v="815XPE309"/>
    <s v="embouts fil 4mm Orangé"/>
    <s v="UN"/>
    <n v="142"/>
    <n v="4.4640000000000006E-2"/>
    <n v="6.3388800000000005"/>
    <x v="3"/>
  </r>
  <r>
    <s v="007"/>
    <s v="PR01"/>
    <s v="815xpe181"/>
    <s v="Repere Fil &quot;7&quot; 0.5-1.5"/>
    <s v="UN"/>
    <n v="100"/>
    <n v="6.3960000000000003E-2"/>
    <n v="6.3959999999999999"/>
    <x v="3"/>
  </r>
  <r>
    <s v="007"/>
    <s v="PR01"/>
    <s v="815xpe182"/>
    <s v="Repere Fil &quot;8&quot; 0.5-1.5"/>
    <s v="UN"/>
    <n v="100"/>
    <n v="6.3960000000000003E-2"/>
    <n v="6.3959999999999999"/>
    <x v="3"/>
  </r>
  <r>
    <s v="007"/>
    <s v="PR01"/>
    <s v="815xpe183"/>
    <s v="Repere Fil &quot;9&quot; 0.5-1.5"/>
    <s v="UN"/>
    <n v="100"/>
    <n v="6.3960000000000003E-2"/>
    <n v="6.3959999999999999"/>
    <x v="3"/>
  </r>
  <r>
    <s v="007"/>
    <s v="PR01"/>
    <s v="820XMC744"/>
    <s v="VIS TF (acier) M06*10"/>
    <s v="UN"/>
    <n v="123"/>
    <n v="5.1999999999999998E-2"/>
    <n v="6.3959999999999999"/>
    <x v="3"/>
  </r>
  <r>
    <s v="007"/>
    <s v="PR01"/>
    <s v="820XMC169"/>
    <s v="VIS TH M08*60"/>
    <s v="UN"/>
    <n v="25"/>
    <n v="0.25700000000000001"/>
    <n v="6.4249999999999998"/>
    <x v="3"/>
  </r>
  <r>
    <s v="007"/>
    <s v="PR02"/>
    <s v="810PAR042"/>
    <s v="PARE HUILE 25*37*7 MOT VENTIL FOND"/>
    <s v="UN"/>
    <n v="3"/>
    <n v="2.1429"/>
    <n v="6.4287000000000001"/>
    <x v="3"/>
  </r>
  <r>
    <s v="007"/>
    <s v="PR02"/>
    <s v="820XMC864"/>
    <s v="Rondelle de serrage MB16 Reducteur STRIP"/>
    <s v="UN"/>
    <n v="1"/>
    <n v="6.4349999999999996"/>
    <n v="6.4349999999999996"/>
    <x v="3"/>
  </r>
  <r>
    <s v="007"/>
    <s v="PR02"/>
    <s v="820XMC471"/>
    <s v="écrou (acier) M06"/>
    <s v="UN"/>
    <n v="280"/>
    <n v="2.3E-2"/>
    <n v="6.4399999999999995"/>
    <x v="3"/>
  </r>
  <r>
    <s v="007"/>
    <s v="PR02"/>
    <s v="810PAR061"/>
    <s v="Parahuile 25*47*7 DL"/>
    <s v="UN"/>
    <n v="2"/>
    <n v="3.2309999999999999"/>
    <n v="6.4619999999999997"/>
    <x v="3"/>
  </r>
  <r>
    <s v="007"/>
    <s v="PR02"/>
    <s v="815COS289"/>
    <s v="Cosse a sertie rond M04"/>
    <s v="UN"/>
    <n v="56"/>
    <n v="0.11814"/>
    <n v="6.6158399999999995"/>
    <x v="3"/>
  </r>
  <r>
    <s v="007"/>
    <s v="PR01"/>
    <s v="812EMB741"/>
    <s v="Embou PVC PR MALE 63*50*2&quot;"/>
    <s v="UN"/>
    <n v="2"/>
    <n v="3.3359999999999999"/>
    <n v="6.6719999999999997"/>
    <x v="3"/>
  </r>
  <r>
    <s v="007"/>
    <s v="PR01"/>
    <s v="830MCH923"/>
    <s v="Mèche acier 10,5"/>
    <s v="UN"/>
    <n v="1"/>
    <n v="6.718"/>
    <n v="6.718"/>
    <x v="3"/>
  </r>
  <r>
    <s v="007"/>
    <s v="PR01"/>
    <s v="820XMC494"/>
    <s v="tige fileté (acier) M08"/>
    <s v="UN"/>
    <n v="3"/>
    <n v="2.2429999999999999"/>
    <n v="6.7289999999999992"/>
    <x v="3"/>
  </r>
  <r>
    <s v="007"/>
    <s v="PR02"/>
    <s v="812bou005"/>
    <s v="BOUCHON D20/27"/>
    <s v="UN"/>
    <n v="3"/>
    <n v="2.25"/>
    <n v="6.75"/>
    <x v="3"/>
  </r>
  <r>
    <s v="007"/>
    <s v="PR02"/>
    <s v="815COS287"/>
    <s v="COSSE JAUNE6"/>
    <s v="UN"/>
    <n v="35"/>
    <n v="0.19326999999999997"/>
    <n v="6.7644499999999992"/>
    <x v="3"/>
  </r>
  <r>
    <s v="007"/>
    <s v="PR02"/>
    <s v="815xpe147"/>
    <s v="Ventilateur Moteur reducteur 137*29*35.8"/>
    <s v="UN"/>
    <n v="1"/>
    <n v="6.806"/>
    <n v="6.806"/>
    <x v="3"/>
  </r>
  <r>
    <s v="007"/>
    <s v="PR01"/>
    <s v="812RED704"/>
    <s v="Réduction PVC32/25"/>
    <s v="UN"/>
    <n v="7"/>
    <n v="0.97240000000000004"/>
    <n v="6.8068"/>
    <x v="3"/>
  </r>
  <r>
    <s v="007"/>
    <s v="PR02"/>
    <s v="815FUS015"/>
    <s v="Fusible 25A 500V Forme conique"/>
    <s v="UN"/>
    <n v="4"/>
    <n v="1.72"/>
    <n v="6.88"/>
    <x v="3"/>
  </r>
  <r>
    <s v="007"/>
    <s v="PR02"/>
    <s v="820XMC170"/>
    <s v="VIS TH (acier) M08*50"/>
    <s v="UN"/>
    <n v="42"/>
    <n v="0.16392999999999999"/>
    <n v="6.8850599999999993"/>
    <x v="3"/>
  </r>
  <r>
    <s v="007"/>
    <s v="PR01"/>
    <m/>
    <s v="VIS SIX PANS M4*10"/>
    <s v="UN"/>
    <n v="89"/>
    <n v="7.739E-2"/>
    <n v="6.8877100000000002"/>
    <x v="3"/>
  </r>
  <r>
    <s v="007"/>
    <s v="PR01"/>
    <s v="815COS283"/>
    <s v="Cosse fil 1.5mm M6"/>
    <s v="UN"/>
    <n v="92"/>
    <n v="7.4999999999999997E-2"/>
    <n v="6.8999999999999995"/>
    <x v="3"/>
  </r>
  <r>
    <s v="007"/>
    <s v="PR02"/>
    <s v="830XOU100"/>
    <s v="MAILLET"/>
    <s v="UN"/>
    <n v="1"/>
    <n v="6.9121500000000005"/>
    <n v="6.9121500000000005"/>
    <x v="3"/>
  </r>
  <r>
    <s v="007"/>
    <s v="PR01"/>
    <s v="815XPE338"/>
    <s v="Serre câble plastique 4,8*200"/>
    <s v="UN"/>
    <n v="2"/>
    <n v="3.4620000000000002"/>
    <n v="6.9240000000000004"/>
    <x v="3"/>
  </r>
  <r>
    <s v="007"/>
    <s v="PR02"/>
    <s v="810PAR041"/>
    <s v="PARE HUILE 46*30*08 Moteur pompe Strip"/>
    <s v="UN"/>
    <n v="2"/>
    <n v="3.4695"/>
    <n v="6.9390000000000001"/>
    <x v="3"/>
  </r>
  <r>
    <s v="007"/>
    <s v="PR02"/>
    <s v="812TTE019"/>
    <s v="TE PPR D32"/>
    <s v="UN"/>
    <n v="4"/>
    <n v="1.75"/>
    <n v="7"/>
    <x v="3"/>
  </r>
  <r>
    <s v="007"/>
    <s v="PR02"/>
    <s v="820XMC358"/>
    <s v="VIS TH M05*20 (acier)"/>
    <s v="UN"/>
    <n v="186"/>
    <n v="3.78E-2"/>
    <n v="7.0308000000000002"/>
    <x v="3"/>
  </r>
  <r>
    <s v="007"/>
    <s v="PR02"/>
    <s v="812XPE253"/>
    <s v="Interrupteur apparent Etanche"/>
    <s v="UN"/>
    <n v="4"/>
    <n v="1.8"/>
    <n v="7.2"/>
    <x v="3"/>
  </r>
  <r>
    <s v="007"/>
    <s v="PR01"/>
    <s v="812RAC223"/>
    <s v="Raccord Bargataire Femelle D50/2&quot;"/>
    <s v="UN"/>
    <n v="1"/>
    <n v="7.2249999999999996"/>
    <n v="7.2249999999999996"/>
    <x v="3"/>
  </r>
  <r>
    <s v="007"/>
    <s v="PR02"/>
    <s v="812RED703"/>
    <s v="Réduction PVC PR 40/32"/>
    <s v="UN"/>
    <n v="5"/>
    <n v="1.4553636363636364"/>
    <n v="7.2768181818181823"/>
    <x v="3"/>
  </r>
  <r>
    <s v="007"/>
    <s v="PR02"/>
    <s v="820xmc414"/>
    <s v="vis six pans (acier) M12*40"/>
    <s v="UN"/>
    <n v="12"/>
    <n v="0.63500000000000001"/>
    <n v="7.62"/>
    <x v="3"/>
  </r>
  <r>
    <s v="007"/>
    <s v="PR02"/>
    <s v="815VOY004"/>
    <s v="Voyant LED VERT 220V"/>
    <s v="UN"/>
    <n v="2"/>
    <n v="3.8250000000000002"/>
    <n v="7.65"/>
    <x v="3"/>
  </r>
  <r>
    <s v="007"/>
    <s v="PR01"/>
    <s v="830XOU269"/>
    <s v="Joint torique  EN NBR70 OR 28-3  COS1"/>
    <s v="UN"/>
    <n v="16"/>
    <n v="0.4788"/>
    <n v="7.6608000000000001"/>
    <x v="3"/>
  </r>
  <r>
    <s v="007"/>
    <s v="PR02"/>
    <s v="815XPE317"/>
    <s v="Levier Fin de course CZ-93K02  Armoir Elect"/>
    <s v="UN"/>
    <n v="2"/>
    <n v="3.85"/>
    <n v="7.7"/>
    <x v="3"/>
  </r>
  <r>
    <s v="007"/>
    <s v="PR01"/>
    <s v="812COD021"/>
    <s v="Coude galva 90° 2&quot; (D63)"/>
    <s v="UN"/>
    <n v="1"/>
    <n v="7.7145999999999999"/>
    <n v="7.7145999999999999"/>
    <x v="3"/>
  </r>
  <r>
    <s v="007"/>
    <s v="PR01"/>
    <s v="815fus030"/>
    <s v="Fusible 5A  6.3*32mm Carte redresseur"/>
    <s v="UN"/>
    <n v="32"/>
    <n v="0.24224999999999997"/>
    <n v="7.7519999999999989"/>
    <x v="3"/>
  </r>
  <r>
    <s v="007"/>
    <s v="PR02"/>
    <s v="812XPB750"/>
    <s v="Teflon"/>
    <s v="UN"/>
    <n v="5"/>
    <n v="1.552"/>
    <n v="7.76"/>
    <x v="3"/>
  </r>
  <r>
    <s v="007"/>
    <s v="PR01"/>
    <s v="810COU004"/>
    <s v="COURROIE 0725 3064"/>
    <s v="UN"/>
    <n v="1"/>
    <n v="7.7606999999999999"/>
    <n v="7.7606999999999999"/>
    <x v="3"/>
  </r>
  <r>
    <s v="007"/>
    <s v="PR02"/>
    <s v="810PAR150"/>
    <s v="PARE HUILE 38*55*8 TETE EMPATTAGE"/>
    <s v="UN"/>
    <n v="2"/>
    <n v="3.9266999999999994"/>
    <n v="7.8533999999999988"/>
    <x v="3"/>
  </r>
  <r>
    <s v="007"/>
    <s v="PR02"/>
    <s v="812TTE038"/>
    <s v="TE PPR D63"/>
    <s v="UN"/>
    <n v="1"/>
    <n v="7.8860000000000001"/>
    <n v="7.8860000000000001"/>
    <x v="3"/>
  </r>
  <r>
    <s v="007"/>
    <s v="PR02"/>
    <s v="810par115"/>
    <s v="parahuile 35x52x7"/>
    <s v="UN"/>
    <n v="1"/>
    <n v="7.9001999999999999"/>
    <n v="7.9001999999999999"/>
    <x v="3"/>
  </r>
  <r>
    <s v="007"/>
    <s v="PR02"/>
    <s v="812COL065"/>
    <s v="COLLIER DE PRISE 90/63"/>
    <s v="UN"/>
    <n v="1"/>
    <n v="7.9390000000000001"/>
    <n v="7.9390000000000001"/>
    <x v="3"/>
  </r>
  <r>
    <s v="007"/>
    <s v="PR01"/>
    <s v="820XMC493"/>
    <s v="tige fileté (acier) M06"/>
    <s v="UN"/>
    <n v="6"/>
    <n v="1.3260000000000001"/>
    <n v="7.9560000000000004"/>
    <x v="3"/>
  </r>
  <r>
    <s v="007"/>
    <s v="PR02"/>
    <s v="812RAC597"/>
    <s v="RACCORD Egale 06/06"/>
    <s v="UN"/>
    <n v="4"/>
    <n v="1.9935000000000003"/>
    <n v="7.9740000000000011"/>
    <x v="3"/>
  </r>
  <r>
    <s v="007"/>
    <s v="PR01"/>
    <s v="820XMC641"/>
    <s v="Circlips D18 Interieur"/>
    <s v="UN"/>
    <n v="21"/>
    <n v="0.38159999999999999"/>
    <n v="8.0136000000000003"/>
    <x v="3"/>
  </r>
  <r>
    <s v="007"/>
    <s v="PR02"/>
    <s v="820XMC371"/>
    <s v="VIS TH (acier) M10*20"/>
    <s v="UN"/>
    <n v="50"/>
    <n v="0.16076999999999997"/>
    <n v="8.0384999999999991"/>
    <x v="3"/>
  </r>
  <r>
    <s v="007"/>
    <s v="PR02"/>
    <s v="812MON714"/>
    <s v="MONCHON PVC P20"/>
    <s v="UN"/>
    <n v="10"/>
    <n v="0.8075"/>
    <n v="8.0749999999999993"/>
    <x v="3"/>
  </r>
  <r>
    <s v="007"/>
    <s v="PR02"/>
    <s v="810PAR148"/>
    <s v="PARE HUILE 50*65*8 Reducteur vis moulin sov"/>
    <s v="UN"/>
    <n v="2"/>
    <n v="4.05"/>
    <n v="8.1"/>
    <x v="3"/>
  </r>
  <r>
    <s v="007"/>
    <s v="PR01"/>
    <s v="815XPE065"/>
    <s v="BURETTE HUILE"/>
    <s v="UN"/>
    <n v="1"/>
    <n v="8.2170000000000005"/>
    <n v="8.2170000000000005"/>
    <x v="3"/>
  </r>
  <r>
    <s v="007"/>
    <s v="PR01"/>
    <s v="820ABR018"/>
    <s v="Papier abrasif P220"/>
    <s v="UN"/>
    <n v="12"/>
    <n v="0.68579999999999997"/>
    <n v="8.2295999999999996"/>
    <x v="3"/>
  </r>
  <r>
    <s v="007"/>
    <s v="PR01"/>
    <s v="815xpe385"/>
    <s v="DOUILLE E27"/>
    <s v="UN"/>
    <n v="6"/>
    <n v="1.3748181818181817"/>
    <n v="8.2489090909090912"/>
    <x v="3"/>
  </r>
  <r>
    <s v="007"/>
    <s v="PR01"/>
    <s v="812COD805"/>
    <s v="Coude PVC PR 90° D40"/>
    <s v="UN"/>
    <n v="3"/>
    <n v="2.75"/>
    <n v="8.25"/>
    <x v="3"/>
  </r>
  <r>
    <s v="007"/>
    <s v="PR01"/>
    <s v="820XMC005"/>
    <s v="LAME DE SCIE"/>
    <s v="UN"/>
    <n v="10"/>
    <n v="0.82499999999999996"/>
    <n v="8.25"/>
    <x v="3"/>
  </r>
  <r>
    <s v="007"/>
    <s v="PR01"/>
    <s v="812FLE002"/>
    <s v="FLEXIBLE DN100 ASPIRATION STAKER"/>
    <s v="M"/>
    <n v="3"/>
    <n v="2.7591000000000001"/>
    <n v="8.2773000000000003"/>
    <x v="3"/>
  </r>
  <r>
    <s v="007"/>
    <s v="PR02"/>
    <s v="815XPE344"/>
    <s v="Fiche mâle 220v"/>
    <s v="UN"/>
    <n v="7"/>
    <n v="1.1833238095238097"/>
    <n v="8.2832666666666679"/>
    <x v="3"/>
  </r>
  <r>
    <s v="007"/>
    <s v="PR01"/>
    <s v="820XMC198"/>
    <s v="TENDEUR GAZ"/>
    <s v="UN"/>
    <n v="1"/>
    <n v="8.3166666666666664"/>
    <n v="8.3166666666666664"/>
    <x v="3"/>
  </r>
  <r>
    <s v="007"/>
    <s v="PR02"/>
    <s v="815FUS312"/>
    <s v="FUSIBLES 10A 10*38"/>
    <s v="UN"/>
    <n v="16"/>
    <n v="0.5214545454545455"/>
    <n v="8.3432727272727281"/>
    <x v="3"/>
  </r>
  <r>
    <s v="007"/>
    <s v="PR01"/>
    <s v="830XOU200"/>
    <s v="Serre cable Galva D2"/>
    <s v="UN"/>
    <n v="56"/>
    <n v="0.14899999999999999"/>
    <n v="8.3439999999999994"/>
    <x v="3"/>
  </r>
  <r>
    <s v="007"/>
    <s v="PR01"/>
    <s v="812COL085"/>
    <s v="Circlips Exterieur D10"/>
    <s v="UN"/>
    <n v="82"/>
    <n v="0.10199999999999999"/>
    <n v="8.363999999999999"/>
    <x v="3"/>
  </r>
  <r>
    <s v="007"/>
    <s v="PR02"/>
    <s v="812rac054"/>
    <s v="RACCORD  3 P D32 PPR"/>
    <s v="UN"/>
    <n v="2"/>
    <n v="4.2"/>
    <n v="8.4"/>
    <x v="3"/>
  </r>
  <r>
    <s v="007"/>
    <s v="PR02"/>
    <s v="820XMC448"/>
    <s v="vis six pans (Inox) M05*20"/>
    <s v="UN"/>
    <n v="40"/>
    <n v="0.21"/>
    <n v="8.4"/>
    <x v="3"/>
  </r>
  <r>
    <s v="007"/>
    <s v="PR02"/>
    <s v="812TTE666"/>
    <s v="T PVC P25"/>
    <s v="UN"/>
    <n v="7"/>
    <n v="1.2050000000000001"/>
    <n v="8.4350000000000005"/>
    <x v="3"/>
  </r>
  <r>
    <s v="007"/>
    <s v="PR02"/>
    <s v="810XPM052"/>
    <s v="PRESSE ETOUPE PN30 Pompe emmergée bach a eau"/>
    <s v="UN"/>
    <n v="1"/>
    <n v="8.5248000000000008"/>
    <n v="8.5248000000000008"/>
    <x v="3"/>
  </r>
  <r>
    <s v="007"/>
    <s v="PR01"/>
    <s v="820XMC204"/>
    <s v="TIREFOND 10/70"/>
    <s v="UN"/>
    <n v="22"/>
    <n v="0.39"/>
    <n v="8.58"/>
    <x v="3"/>
  </r>
  <r>
    <s v="007"/>
    <s v="PR02"/>
    <s v="810PAR034"/>
    <s v="parahuile 40*62*10/8 Moteur OXYDE"/>
    <s v="UN"/>
    <n v="2"/>
    <n v="4.3019999999999996"/>
    <n v="8.6039999999999992"/>
    <x v="3"/>
  </r>
  <r>
    <s v="007"/>
    <s v="PR01"/>
    <s v="820XMC075"/>
    <s v="Rondelle plate (INOX) M14"/>
    <s v="UN"/>
    <n v="35"/>
    <n v="0.2465"/>
    <n v="8.6274999999999995"/>
    <x v="3"/>
  </r>
  <r>
    <s v="007"/>
    <s v="PR01"/>
    <s v="815FUS007"/>
    <s v="Fusible 4A Forme bouteille"/>
    <s v="UN"/>
    <n v="18"/>
    <n v="0.47970000000000007"/>
    <n v="8.6346000000000007"/>
    <x v="3"/>
  </r>
  <r>
    <s v="007"/>
    <s v="PR01"/>
    <s v="812MON006"/>
    <s v="MONCHON GALVA 1+1/2&quot;"/>
    <s v="UN"/>
    <n v="3"/>
    <n v="2.9015151515151514"/>
    <n v="8.7045454545454533"/>
    <x v="3"/>
  </r>
  <r>
    <s v="007"/>
    <s v="PR01"/>
    <s v="718MEC001"/>
    <s v="bloc machine soudure borne"/>
    <s v="UN"/>
    <n v="1"/>
    <n v="8.8000000000000007"/>
    <n v="8.8000000000000007"/>
    <x v="3"/>
  </r>
  <r>
    <s v="007"/>
    <s v="PR01"/>
    <s v="815COS016"/>
    <s v="Cosse a sertir SC16-10"/>
    <s v="UN"/>
    <n v="15"/>
    <n v="0.59075"/>
    <n v="8.8612500000000001"/>
    <x v="3"/>
  </r>
  <r>
    <s v="007"/>
    <s v="PR01"/>
    <s v="815GAI005"/>
    <s v="Gaine thermoretractable 6mm"/>
    <s v="M"/>
    <n v="7"/>
    <n v="1.2709999999999999"/>
    <n v="8.8969999999999985"/>
    <x v="3"/>
  </r>
  <r>
    <s v="007"/>
    <s v="PR01"/>
    <m/>
    <s v="VIS SIX PANS M4*40"/>
    <s v="UN"/>
    <n v="120"/>
    <n v="7.4270000000000003E-2"/>
    <n v="8.9123999999999999"/>
    <x v="3"/>
  </r>
  <r>
    <s v="007"/>
    <s v="PR01"/>
    <s v="820XMC470"/>
    <s v="écrou (acier) M05"/>
    <s v="UN"/>
    <n v="625"/>
    <n v="1.4279999999999999E-2"/>
    <n v="8.9249999999999989"/>
    <x v="3"/>
  </r>
  <r>
    <s v="007"/>
    <s v="PR01"/>
    <s v="812RED066"/>
    <s v="Réduction PPR 75/63"/>
    <s v="UN"/>
    <n v="1"/>
    <n v="8.9250000000000007"/>
    <n v="8.9250000000000007"/>
    <x v="3"/>
  </r>
  <r>
    <s v="007"/>
    <s v="PR01"/>
    <s v="815xpe174"/>
    <s v="Repere Fil &quot;0&quot; 0.5-1.5 Noir"/>
    <s v="UN"/>
    <n v="140"/>
    <n v="6.3960000000000003E-2"/>
    <n v="8.9543999999999997"/>
    <x v="3"/>
  </r>
  <r>
    <s v="007"/>
    <s v="PR01"/>
    <s v="820XMC496"/>
    <s v="tige fileté (acier) M12"/>
    <s v="UN"/>
    <n v="2"/>
    <n v="4.4850000000000003"/>
    <n v="8.9700000000000006"/>
    <x v="3"/>
  </r>
  <r>
    <s v="007"/>
    <s v="PR02"/>
    <s v="820XMC505"/>
    <s v="Rondelle plate (acier) M08"/>
    <s v="UN"/>
    <n v="210"/>
    <n v="4.2750000000000003E-2"/>
    <n v="8.9775000000000009"/>
    <x v="3"/>
  </r>
  <r>
    <s v="007"/>
    <s v="PR01"/>
    <s v="840PNA024"/>
    <s v="Pinceau Plat 50"/>
    <s v="UN"/>
    <n v="6"/>
    <n v="1.5021"/>
    <n v="9.0125999999999991"/>
    <x v="3"/>
  </r>
  <r>
    <s v="007"/>
    <s v="PR01"/>
    <s v="830XOU145"/>
    <s v="Fil D'attache"/>
    <s v="KG"/>
    <n v="2"/>
    <n v="4.5199999999999996"/>
    <n v="9.0399999999999991"/>
    <x v="3"/>
  </r>
  <r>
    <s v="007"/>
    <s v="PR02"/>
    <s v="820XMC506"/>
    <s v="Rondelle plate (acier) M10"/>
    <s v="UN"/>
    <n v="320"/>
    <n v="2.826E-2"/>
    <n v="9.0432000000000006"/>
    <x v="3"/>
  </r>
  <r>
    <s v="007"/>
    <s v="PR01"/>
    <s v="820XMC543"/>
    <s v="Tirefond M8*50"/>
    <s v="UN"/>
    <n v="36"/>
    <n v="0.25141999999999998"/>
    <n v="9.0511199999999992"/>
    <x v="3"/>
  </r>
  <r>
    <s v="007"/>
    <s v="PR01"/>
    <s v="830MCH003"/>
    <s v="MECHE BETON 10"/>
    <s v="UN"/>
    <n v="3"/>
    <n v="3.0259999999999998"/>
    <n v="9.0779999999999994"/>
    <x v="3"/>
  </r>
  <r>
    <s v="007"/>
    <s v="PR01"/>
    <s v="830TAR003"/>
    <s v="Jeu de taraud 06"/>
    <s v="UN"/>
    <n v="1"/>
    <n v="9.0962999999999994"/>
    <n v="9.0962999999999994"/>
    <x v="3"/>
  </r>
  <r>
    <s v="007"/>
    <s v="PR01"/>
    <m/>
    <s v="VIS SIX PANS M4*30"/>
    <s v="UN"/>
    <n v="86"/>
    <n v="0.1061"/>
    <n v="9.1245999999999992"/>
    <x v="3"/>
  </r>
  <r>
    <s v="007"/>
    <s v="PR01"/>
    <s v="812TTE667"/>
    <s v="TE PVC Pression D40 (1&quot;1/4)"/>
    <s v="UN"/>
    <n v="3"/>
    <n v="3.044"/>
    <n v="9.1319999999999997"/>
    <x v="3"/>
  </r>
  <r>
    <s v="007"/>
    <s v="PR01"/>
    <s v="812RED026"/>
    <s v="Reduction Galva 1&quot;---1/2&quot;"/>
    <s v="UN"/>
    <n v="5"/>
    <n v="1.83"/>
    <n v="9.15"/>
    <x v="3"/>
  </r>
  <r>
    <s v="007"/>
    <s v="PR02"/>
    <s v="815XPE393"/>
    <s v="Presse etoupe arrmoire PG-16"/>
    <s v="UN"/>
    <n v="20"/>
    <n v="0.45760000000000006"/>
    <n v="9.152000000000001"/>
    <x v="3"/>
  </r>
  <r>
    <s v="007"/>
    <s v="PR01"/>
    <s v="815COS289"/>
    <s v="Cosse a sertie rond M04"/>
    <s v="UN"/>
    <n v="78"/>
    <n v="0.11814"/>
    <n v="9.2149199999999993"/>
    <x v="3"/>
  </r>
  <r>
    <s v="007"/>
    <s v="PR02"/>
    <s v="812MON713"/>
    <s v="MONCHON PVC PR 40"/>
    <s v="UN"/>
    <n v="8"/>
    <n v="1.153"/>
    <n v="9.2240000000000002"/>
    <x v="3"/>
  </r>
  <r>
    <s v="007"/>
    <s v="PR01"/>
    <s v="830MCH014"/>
    <s v="Mèche acier 11"/>
    <s v="UN"/>
    <n v="2"/>
    <n v="4.6139999999999999"/>
    <n v="9.2279999999999998"/>
    <x v="3"/>
  </r>
  <r>
    <s v="007"/>
    <s v="PR02"/>
    <s v="812MON007"/>
    <s v="MONCHON PPR D32"/>
    <s v="UN"/>
    <n v="12"/>
    <n v="0.77"/>
    <n v="9.24"/>
    <x v="3"/>
  </r>
  <r>
    <s v="007"/>
    <s v="PR01"/>
    <s v="812COD690"/>
    <s v="Coude bargataire D90"/>
    <s v="UN"/>
    <n v="4"/>
    <n v="2.3119999999999998"/>
    <n v="9.2479999999999993"/>
    <x v="3"/>
  </r>
  <r>
    <s v="007"/>
    <s v="PR02"/>
    <s v="820XMC010"/>
    <s v="Vis sixpans (acier) M10*60"/>
    <s v="UN"/>
    <n v="25"/>
    <n v="0.37094660194174761"/>
    <n v="9.2736650485436911"/>
    <x v="3"/>
  </r>
  <r>
    <s v="007"/>
    <s v="PR01"/>
    <s v="815COS291"/>
    <s v="Cosse a sertir SC16-08"/>
    <s v="UN"/>
    <n v="12"/>
    <n v="0.77371794871794874"/>
    <n v="9.2846153846153854"/>
    <x v="3"/>
  </r>
  <r>
    <s v="007"/>
    <s v="PR01"/>
    <s v="812COD679"/>
    <s v="COUDE PVC PR D50  90°"/>
    <s v="UN"/>
    <n v="2"/>
    <n v="4.6609999999999996"/>
    <n v="9.3219999999999992"/>
    <x v="3"/>
  </r>
  <r>
    <s v="007"/>
    <s v="PR01"/>
    <s v="810XPM238"/>
    <s v="Attache rapide pour chaine 20B"/>
    <s v="UN"/>
    <n v="4"/>
    <n v="2.3380000000000001"/>
    <n v="9.3520000000000003"/>
    <x v="3"/>
  </r>
  <r>
    <s v="007"/>
    <s v="PR01"/>
    <s v="812COD808"/>
    <s v="Coude PVC 45° D32"/>
    <s v="UN"/>
    <n v="8"/>
    <n v="1.171"/>
    <n v="9.3680000000000003"/>
    <x v="3"/>
  </r>
  <r>
    <s v="007"/>
    <s v="PR01"/>
    <s v="812VER104"/>
    <s v="Joint torique 1.78*6.35 Verin Soud Connexion"/>
    <s v="UN"/>
    <n v="8"/>
    <n v="1.173"/>
    <n v="9.3840000000000003"/>
    <x v="3"/>
  </r>
  <r>
    <s v="007"/>
    <s v="PR01"/>
    <s v="812MEM027"/>
    <s v="MAMELON ACIER M/M 10PA100  TCM30 ESSENCE"/>
    <s v="UN"/>
    <n v="1"/>
    <n v="9.4499999999999993"/>
    <n v="9.4499999999999993"/>
    <x v="3"/>
  </r>
  <r>
    <s v="007"/>
    <s v="PR02"/>
    <s v="815ELE317"/>
    <s v="Adaptateur hydrolique 9/16"/>
    <s v="UN"/>
    <n v="1"/>
    <n v="9.4499999999999993"/>
    <n v="9.4499999999999993"/>
    <x v="3"/>
  </r>
  <r>
    <s v="007"/>
    <s v="PR02"/>
    <s v="820XMC588"/>
    <s v="tige fileté (acier) M05"/>
    <s v="UN"/>
    <n v="7"/>
    <n v="1.35"/>
    <n v="9.4500000000000011"/>
    <x v="3"/>
  </r>
  <r>
    <s v="007"/>
    <s v="PR02"/>
    <s v="810PAR096"/>
    <s v="PARE HUILE 50*72*8"/>
    <s v="UN"/>
    <n v="3"/>
    <n v="3.1560000000000001"/>
    <n v="9.468"/>
    <x v="3"/>
  </r>
  <r>
    <s v="007"/>
    <s v="PR02"/>
    <s v="812EMB805"/>
    <s v="Embou PVC PR 25*32*3/4 MALE"/>
    <s v="UN"/>
    <n v="10"/>
    <n v="0.95299999999999996"/>
    <n v="9.5299999999999994"/>
    <x v="3"/>
  </r>
  <r>
    <s v="007"/>
    <s v="PR02"/>
    <s v="820XMC651"/>
    <s v="Vis d'arrêt (INOX) M08*20"/>
    <s v="UN"/>
    <n v="32"/>
    <n v="0.29799999999999999"/>
    <n v="9.5359999999999996"/>
    <x v="3"/>
  </r>
  <r>
    <s v="007"/>
    <s v="PR02"/>
    <s v="812COD689"/>
    <s v="Coude bargataire D32"/>
    <s v="UN"/>
    <n v="2"/>
    <n v="4.7805080000000002"/>
    <n v="9.5610160000000004"/>
    <x v="3"/>
  </r>
  <r>
    <s v="007"/>
    <s v="PR01"/>
    <s v="830MCH914"/>
    <s v="Mèche ACIER 5"/>
    <s v="UN"/>
    <n v="8"/>
    <n v="1.1952"/>
    <n v="9.5616000000000003"/>
    <x v="3"/>
  </r>
  <r>
    <s v="007"/>
    <s v="PR01"/>
    <s v="812RED046"/>
    <s v="Reduction PVC PR 40/25"/>
    <s v="UN"/>
    <n v="8"/>
    <n v="1.2078500000000001"/>
    <n v="9.6628000000000007"/>
    <x v="3"/>
  </r>
  <r>
    <s v="007"/>
    <s v="PR01"/>
    <s v="812TTE664"/>
    <s v="T PVC PR D50"/>
    <s v="UN"/>
    <n v="2"/>
    <n v="4.8340857142857141"/>
    <n v="9.6681714285714282"/>
    <x v="3"/>
  </r>
  <r>
    <s v="007"/>
    <s v="PR01"/>
    <s v="815XPE419"/>
    <s v="Lampe bouton poussoir BA9AS 230V"/>
    <s v="UN"/>
    <n v="2"/>
    <n v="4.8380000000000001"/>
    <n v="9.6760000000000002"/>
    <x v="3"/>
  </r>
  <r>
    <s v="007"/>
    <s v="PR02"/>
    <s v="812RED051"/>
    <s v="Reduction INOX F13/M17 (3/8*1/4) Moule M.Grille"/>
    <s v="UN"/>
    <n v="3"/>
    <n v="3.2274000000000003"/>
    <n v="9.6822000000000017"/>
    <x v="3"/>
  </r>
  <r>
    <s v="007"/>
    <s v="PR02"/>
    <s v="812COL025"/>
    <s v="CIRCLIPS D52 EXT"/>
    <s v="UN"/>
    <n v="6"/>
    <n v="1.6160000000000001"/>
    <n v="9.6960000000000015"/>
    <x v="3"/>
  </r>
  <r>
    <s v="007"/>
    <s v="PR02"/>
    <s v="815COS286"/>
    <s v="COSSE JAUNE 8"/>
    <s v="UN"/>
    <n v="44"/>
    <n v="0.22196666666666667"/>
    <n v="9.7665333333333333"/>
    <x v="3"/>
  </r>
  <r>
    <s v="007"/>
    <s v="PR01"/>
    <s v="812COL036"/>
    <s v="Collier de fixation GALVA D40"/>
    <s v="UN"/>
    <n v="15"/>
    <n v="0.65705000000000002"/>
    <n v="9.8557500000000005"/>
    <x v="3"/>
  </r>
  <r>
    <s v="007"/>
    <s v="PR01"/>
    <s v="840PEI027"/>
    <s v="Peinture Laque Noir 1Kg"/>
    <s v="UN"/>
    <n v="1"/>
    <n v="9.8927999999999994"/>
    <n v="9.8927999999999994"/>
    <x v="3"/>
  </r>
  <r>
    <s v="007"/>
    <s v="PR02"/>
    <s v="815COS283"/>
    <s v="Cosse fil 1.5mm M6"/>
    <s v="UN"/>
    <n v="132"/>
    <n v="7.4999999999999997E-2"/>
    <n v="9.9"/>
    <x v="3"/>
  </r>
  <r>
    <s v="007"/>
    <s v="PR01"/>
    <s v="820XMC309"/>
    <s v="Vis d'arrêt (acier) M06*15"/>
    <s v="UN"/>
    <n v="48"/>
    <n v="0.20699999999999999"/>
    <n v="9.9359999999999999"/>
    <x v="3"/>
  </r>
  <r>
    <s v="007"/>
    <s v="PR02"/>
    <s v="812COD007"/>
    <s v="COUDE GALVA  26/34"/>
    <s v="UN"/>
    <n v="3"/>
    <n v="3.3184"/>
    <n v="9.9551999999999996"/>
    <x v="3"/>
  </r>
  <r>
    <s v="007"/>
    <s v="PR02"/>
    <s v="815FUS008"/>
    <s v="Fusible 25A Forme bouteille"/>
    <s v="UN"/>
    <n v="2"/>
    <n v="5"/>
    <n v="10"/>
    <x v="3"/>
  </r>
  <r>
    <s v="007"/>
    <s v="PR02"/>
    <s v="812COD810"/>
    <s v="Coude PVC D140 45°"/>
    <s v="UN"/>
    <n v="2"/>
    <n v="5.0022000000000002"/>
    <n v="10.0044"/>
    <x v="3"/>
  </r>
  <r>
    <s v="007"/>
    <s v="PR01"/>
    <s v="820XMC471"/>
    <s v="écrou (acier) M06"/>
    <s v="UN"/>
    <n v="435"/>
    <n v="2.3E-2"/>
    <n v="10.004999999999999"/>
    <x v="3"/>
  </r>
  <r>
    <s v="007"/>
    <s v="PR02"/>
    <s v="820XMC411"/>
    <s v="vis six pans (acier) M10*80"/>
    <s v="UN"/>
    <n v="12"/>
    <n v="0.83717239130434784"/>
    <n v="10.046068695652174"/>
    <x v="3"/>
  </r>
  <r>
    <s v="007"/>
    <s v="PR02"/>
    <s v="812COL008"/>
    <s v="COLLIER DE SERRAGE 16-23"/>
    <s v="UN"/>
    <n v="35"/>
    <n v="0.28736"/>
    <n v="10.057600000000001"/>
    <x v="3"/>
  </r>
  <r>
    <s v="007"/>
    <s v="PR01"/>
    <s v="812COL002"/>
    <s v="COLLIER 10 a 18 GALVA"/>
    <s v="UN"/>
    <n v="53"/>
    <n v="0.18990909090909092"/>
    <n v="10.065181818181818"/>
    <x v="3"/>
  </r>
  <r>
    <s v="007"/>
    <s v="PR01"/>
    <s v="830MCH915"/>
    <s v="Mèche Acier 5,5"/>
    <s v="UN"/>
    <n v="10"/>
    <n v="1.0109999999999999"/>
    <n v="10.11"/>
    <x v="3"/>
  </r>
  <r>
    <s v="007"/>
    <s v="PR02"/>
    <s v="812RED700"/>
    <s v="Réduction PVC63/50"/>
    <s v="UN"/>
    <n v="5"/>
    <n v="2.0278500000000004"/>
    <n v="10.139250000000002"/>
    <x v="3"/>
  </r>
  <r>
    <s v="007"/>
    <s v="PR01"/>
    <s v="810PAR094"/>
    <s v="PARE HUILE 45*60*7"/>
    <s v="UN"/>
    <n v="1"/>
    <n v="10.143000000000001"/>
    <n v="10.143000000000001"/>
    <x v="3"/>
  </r>
  <r>
    <s v="007"/>
    <s v="PR01"/>
    <s v="810par116"/>
    <s v="parahuile 35x55x8"/>
    <s v="UN"/>
    <n v="1"/>
    <n v="10.143000000000001"/>
    <n v="10.143000000000001"/>
    <x v="3"/>
  </r>
  <r>
    <s v="007"/>
    <s v="PR02"/>
    <s v="810PAR015"/>
    <s v="PARAHUILE 35*72*10"/>
    <s v="UN"/>
    <n v="1"/>
    <n v="10.143000000000001"/>
    <n v="10.143000000000001"/>
    <x v="3"/>
  </r>
  <r>
    <s v="007"/>
    <s v="PR01"/>
    <s v="812RED703"/>
    <s v="Réduction PVC PR 40/32"/>
    <s v="UN"/>
    <n v="7"/>
    <n v="1.4553636363636364"/>
    <n v="10.187545454545456"/>
    <x v="3"/>
  </r>
  <r>
    <s v="007"/>
    <s v="PR01"/>
    <s v="820XMC252"/>
    <s v="Vis six pans (acier) M05*10"/>
    <s v="UN"/>
    <n v="310"/>
    <n v="3.3000000000000002E-2"/>
    <n v="10.23"/>
    <x v="3"/>
  </r>
  <r>
    <s v="007"/>
    <s v="PR02"/>
    <s v="812RED059"/>
    <s v="Reduction PPR D25/20"/>
    <s v="UN"/>
    <n v="27"/>
    <n v="0.38250000000000006"/>
    <n v="10.327500000000002"/>
    <x v="3"/>
  </r>
  <r>
    <s v="007"/>
    <s v="PR01"/>
    <s v="810COU001"/>
    <s v="COURROIE VECA100D1045A40"/>
    <s v="UN"/>
    <n v="2"/>
    <n v="5.1738"/>
    <n v="10.3476"/>
    <x v="3"/>
  </r>
  <r>
    <s v="007"/>
    <s v="PR01"/>
    <s v="810COU252"/>
    <s v="COURROIE HTD 2800 14M40"/>
    <s v="UN"/>
    <n v="1"/>
    <n v="10.35"/>
    <n v="10.35"/>
    <x v="3"/>
  </r>
  <r>
    <s v="007"/>
    <s v="PR01"/>
    <s v="810COU254"/>
    <s v="COURROIE VECA 100-1800A70"/>
    <s v="UN"/>
    <n v="1"/>
    <n v="10.35"/>
    <n v="10.35"/>
    <x v="3"/>
  </r>
  <r>
    <s v="007"/>
    <s v="PR01"/>
    <s v="810COU258"/>
    <s v="courroi HTD-1175-5M"/>
    <s v="UN"/>
    <n v="1"/>
    <n v="10.35"/>
    <n v="10.35"/>
    <x v="3"/>
  </r>
  <r>
    <s v="007"/>
    <s v="PR02"/>
    <s v="810COU250"/>
    <s v="COURROIE 2800RPP14-112"/>
    <s v="UN"/>
    <n v="1"/>
    <n v="10.35"/>
    <n v="10.35"/>
    <x v="3"/>
  </r>
  <r>
    <s v="007"/>
    <s v="PR02"/>
    <s v="810COU251"/>
    <s v="COURROIE HTD2450  14M"/>
    <s v="UN"/>
    <n v="1"/>
    <n v="10.35"/>
    <n v="10.35"/>
    <x v="3"/>
  </r>
  <r>
    <s v="007"/>
    <s v="PR02"/>
    <s v="810COU253"/>
    <s v="COURROIE 245014M  OMEGA"/>
    <s v="UN"/>
    <n v="1"/>
    <n v="10.35"/>
    <n v="10.35"/>
    <x v="3"/>
  </r>
  <r>
    <s v="007"/>
    <s v="PR02"/>
    <s v="815XPE395"/>
    <s v="Presse etoupe arrmoire PG-29"/>
    <s v="UN"/>
    <n v="7"/>
    <n v="1.48"/>
    <n v="10.36"/>
    <x v="3"/>
  </r>
  <r>
    <s v="007"/>
    <s v="PR01"/>
    <s v="820XMC488"/>
    <s v="Vis d'arrêt (acier) M10*10"/>
    <s v="UN"/>
    <n v="55"/>
    <n v="0.189"/>
    <n v="10.395"/>
    <x v="3"/>
  </r>
  <r>
    <s v="007"/>
    <s v="PR01"/>
    <s v="815XPE353"/>
    <s v="Scotch chatterton"/>
    <s v="UN"/>
    <n v="24"/>
    <n v="0.435"/>
    <n v="10.44"/>
    <x v="3"/>
  </r>
  <r>
    <s v="007"/>
    <s v="PR01"/>
    <s v="815VOY009"/>
    <s v="Voyant LED Orangé 220V"/>
    <s v="UN"/>
    <n v="4"/>
    <n v="2.6100000000000003"/>
    <n v="10.440000000000001"/>
    <x v="3"/>
  </r>
  <r>
    <s v="007"/>
    <s v="PR02"/>
    <s v="812RAC099"/>
    <s v="Raccord 3P Galva 1&quot;1/4"/>
    <s v="UN"/>
    <n v="2"/>
    <n v="5.2279999999999998"/>
    <n v="10.456"/>
    <x v="3"/>
  </r>
  <r>
    <s v="007"/>
    <s v="PR02"/>
    <s v="812COD676"/>
    <s v="COUDE PVC P25 90°"/>
    <s v="UN"/>
    <n v="10"/>
    <n v="1.048"/>
    <n v="10.48"/>
    <x v="3"/>
  </r>
  <r>
    <s v="007"/>
    <s v="PR02"/>
    <s v="812TTE663"/>
    <s v="T PVC P63"/>
    <s v="UN"/>
    <n v="2"/>
    <n v="5.2454052631578945"/>
    <n v="10.490810526315789"/>
    <x v="3"/>
  </r>
  <r>
    <s v="007"/>
    <s v="PR01"/>
    <s v="810xpm236"/>
    <s v="graisseur tapis"/>
    <s v="UN"/>
    <n v="7"/>
    <n v="1.5"/>
    <n v="10.5"/>
    <x v="3"/>
  </r>
  <r>
    <s v="007"/>
    <s v="PR01"/>
    <s v="812BOU697"/>
    <s v="Bouchon PVC63"/>
    <s v="UN"/>
    <n v="3"/>
    <n v="3.5009999999999999"/>
    <n v="10.503"/>
    <x v="3"/>
  </r>
  <r>
    <s v="007"/>
    <s v="PR01"/>
    <m/>
    <s v="PINCEAU PLAT 60"/>
    <s v="UN"/>
    <n v="5"/>
    <n v="2.1019999999999999"/>
    <n v="10.51"/>
    <x v="3"/>
  </r>
  <r>
    <s v="007"/>
    <s v="PR02"/>
    <s v="812COD808"/>
    <s v="Coude PVC 45° D32"/>
    <s v="UN"/>
    <n v="9"/>
    <n v="1.171"/>
    <n v="10.539"/>
    <x v="3"/>
  </r>
  <r>
    <s v="007"/>
    <s v="PR01"/>
    <s v="815VOY002"/>
    <s v="Voyant LED Rouge 24V"/>
    <s v="UN"/>
    <n v="4"/>
    <n v="2.6530475206611572"/>
    <n v="10.612190082644629"/>
    <x v="3"/>
  </r>
  <r>
    <s v="007"/>
    <s v="PR02"/>
    <s v="812rac069"/>
    <s v="RACCORD  PPR FEMELLE D20"/>
    <s v="UN"/>
    <n v="5"/>
    <n v="2.125"/>
    <n v="10.625"/>
    <x v="3"/>
  </r>
  <r>
    <s v="007"/>
    <s v="PR01"/>
    <s v="812MON717"/>
    <s v="MANCHON PVC PR 50"/>
    <s v="UN"/>
    <n v="6"/>
    <n v="1.78"/>
    <n v="10.68"/>
    <x v="3"/>
  </r>
  <r>
    <s v="007"/>
    <s v="PR01"/>
    <s v="815GOU006"/>
    <s v="GOUPILLE  D6*50"/>
    <s v="UN"/>
    <n v="38"/>
    <n v="0.28150974025974029"/>
    <n v="10.697370129870132"/>
    <x v="3"/>
  </r>
  <r>
    <s v="007"/>
    <s v="PR02"/>
    <s v="812EMB745"/>
    <s v="Embou PVC PR 50*40*1&quot;1/4 MALE"/>
    <s v="UN"/>
    <n v="4"/>
    <n v="2.6760000000000002"/>
    <n v="10.704000000000001"/>
    <x v="3"/>
  </r>
  <r>
    <s v="007"/>
    <s v="PR01"/>
    <s v="810ROU102"/>
    <s v="ROULEMENT VKHB 2406S"/>
    <s v="UN"/>
    <n v="1"/>
    <n v="10.7127"/>
    <n v="10.7127"/>
    <x v="3"/>
  </r>
  <r>
    <s v="007"/>
    <s v="PR01"/>
    <s v="812VER113"/>
    <s v="Joint torique EN NBR 70 OR 77.5-2.62 VERIN COS"/>
    <s v="UN"/>
    <n v="6"/>
    <n v="1.7955000000000001"/>
    <n v="10.773"/>
    <x v="3"/>
  </r>
  <r>
    <s v="007"/>
    <s v="PR01"/>
    <s v="810ROU026"/>
    <s v="Roulement  6205 2Z"/>
    <s v="UN"/>
    <n v="1"/>
    <n v="10.8"/>
    <n v="10.8"/>
    <x v="3"/>
  </r>
  <r>
    <s v="007"/>
    <s v="PR01"/>
    <s v="820RIV007"/>
    <s v="RIVET 3.8*20"/>
    <s v="UN"/>
    <n v="55"/>
    <n v="0.19656000000000001"/>
    <n v="10.8108"/>
    <x v="3"/>
  </r>
  <r>
    <s v="007"/>
    <s v="PR02"/>
    <s v="840PNT003"/>
    <s v="TEINTE NOIR"/>
    <s v="KG"/>
    <n v="6"/>
    <n v="1.802"/>
    <n v="10.812000000000001"/>
    <x v="3"/>
  </r>
  <r>
    <s v="007"/>
    <s v="PR01"/>
    <s v="815COS287"/>
    <s v="COSSE JAUNE6"/>
    <s v="UN"/>
    <n v="56"/>
    <n v="0.19326999999999997"/>
    <n v="10.823119999999998"/>
    <x v="3"/>
  </r>
  <r>
    <s v="007"/>
    <s v="PR01"/>
    <s v="812COL084"/>
    <s v="Circlips Interieur D25"/>
    <s v="UN"/>
    <n v="30"/>
    <n v="0.36099999999999999"/>
    <n v="10.83"/>
    <x v="3"/>
  </r>
  <r>
    <s v="007"/>
    <s v="PR02"/>
    <s v="815COS282"/>
    <s v="Cosse fil 1.5mm  M4"/>
    <s v="UN"/>
    <n v="145"/>
    <n v="7.4999999999999997E-2"/>
    <n v="10.875"/>
    <x v="3"/>
  </r>
  <r>
    <s v="007"/>
    <s v="PR02"/>
    <s v="812BOU695"/>
    <s v="Bouchon PVC40"/>
    <s v="UN"/>
    <n v="9"/>
    <n v="1.21"/>
    <n v="10.89"/>
    <x v="3"/>
  </r>
  <r>
    <s v="007"/>
    <s v="PR02"/>
    <s v="812TTE055"/>
    <s v="TE Bargataire D32 Filté Femelle D15/21"/>
    <s v="UN"/>
    <n v="2"/>
    <n v="5.4476500000000003"/>
    <n v="10.895300000000001"/>
    <x v="3"/>
  </r>
  <r>
    <s v="007"/>
    <s v="PR01"/>
    <s v="820XMC489"/>
    <s v="Vis d'arrêt (acier) M05*20"/>
    <s v="UN"/>
    <n v="88"/>
    <n v="0.124"/>
    <n v="10.911999999999999"/>
    <x v="3"/>
  </r>
  <r>
    <s v="007"/>
    <s v="PR01"/>
    <s v="840PNA027"/>
    <s v="PINCEAU PLAT 40"/>
    <s v="UN"/>
    <n v="4"/>
    <n v="2.7349999999999999"/>
    <n v="10.94"/>
    <x v="3"/>
  </r>
  <r>
    <s v="007"/>
    <s v="PR01"/>
    <s v="830MCH921"/>
    <s v="Mèche acier 8,5"/>
    <s v="UN"/>
    <n v="5"/>
    <n v="2.1909999999999998"/>
    <n v="10.954999999999998"/>
    <x v="3"/>
  </r>
  <r>
    <s v="007"/>
    <s v="PR02"/>
    <s v="815GAI322"/>
    <s v="gaine anti chaleur 4mm"/>
    <s v="UN"/>
    <n v="4"/>
    <n v="2.7423000000000002"/>
    <n v="10.969200000000001"/>
    <x v="3"/>
  </r>
  <r>
    <s v="007"/>
    <s v="PR01"/>
    <s v="815XPE339"/>
    <s v="serre câble plastique 4,8x300mm"/>
    <s v="UN"/>
    <n v="2"/>
    <n v="5.49"/>
    <n v="10.98"/>
    <x v="3"/>
  </r>
  <r>
    <s v="007"/>
    <s v="PR01"/>
    <s v="815FUS003"/>
    <s v="FUSIBLE 6A 10*38 COS4"/>
    <s v="UN"/>
    <n v="12"/>
    <n v="0.92300000000000004"/>
    <n v="11.076000000000001"/>
    <x v="3"/>
  </r>
  <r>
    <s v="007"/>
    <s v="PR02"/>
    <s v="815XPE394"/>
    <s v="Presse etoupe arrmoire PG-21"/>
    <s v="UN"/>
    <n v="9"/>
    <n v="1.2316499999999999"/>
    <n v="11.084849999999999"/>
    <x v="3"/>
  </r>
  <r>
    <s v="007"/>
    <s v="PR02"/>
    <s v="815CAB262"/>
    <s v="câble souple 3x1,5mm"/>
    <s v="M"/>
    <n v="5"/>
    <n v="2.2185800000000002"/>
    <n v="11.0929"/>
    <x v="3"/>
  </r>
  <r>
    <s v="007"/>
    <s v="PR01"/>
    <s v="820XMC383"/>
    <s v="vis tête hexagonale M16*60 (acier)"/>
    <s v="UN"/>
    <n v="10"/>
    <n v="1.1100000000000001"/>
    <n v="11.100000000000001"/>
    <x v="3"/>
  </r>
  <r>
    <s v="007"/>
    <s v="PR02"/>
    <s v="812RED042"/>
    <s v="Reduction MALE 3/8 Femelle 1/4 Pour Moule"/>
    <s v="UN"/>
    <n v="6"/>
    <n v="1.863"/>
    <n v="11.178000000000001"/>
    <x v="3"/>
  </r>
  <r>
    <s v="007"/>
    <s v="PR01"/>
    <s v="812MON014"/>
    <s v="MONCHON PPR D75"/>
    <s v="UN"/>
    <n v="1"/>
    <n v="11.22"/>
    <n v="11.22"/>
    <x v="3"/>
  </r>
  <r>
    <s v="007"/>
    <s v="PR02"/>
    <s v="820XMC397"/>
    <s v="vis six pans (acier) M06*10"/>
    <s v="UN"/>
    <n v="165"/>
    <n v="6.8000000000000005E-2"/>
    <n v="11.22"/>
    <x v="3"/>
  </r>
  <r>
    <s v="007"/>
    <s v="PR02"/>
    <s v="812xpb019"/>
    <s v="Siphon douche 40"/>
    <s v="UN"/>
    <n v="1"/>
    <n v="11.24"/>
    <n v="11.24"/>
    <x v="3"/>
  </r>
  <r>
    <s v="007"/>
    <s v="PR02"/>
    <s v="815COS288"/>
    <s v="Cosse a sertie SC06-06"/>
    <s v="UN"/>
    <n v="154"/>
    <n v="7.2999999999999995E-2"/>
    <n v="11.241999999999999"/>
    <x v="3"/>
  </r>
  <r>
    <s v="007"/>
    <s v="PR01"/>
    <s v="815COS282"/>
    <s v="Cosse fil 1.5mm  M4"/>
    <s v="UN"/>
    <n v="150"/>
    <n v="7.4999999999999997E-2"/>
    <n v="11.25"/>
    <x v="3"/>
  </r>
  <r>
    <s v="007"/>
    <s v="PR01"/>
    <m/>
    <s v="VIS SIX PANS M4*20"/>
    <s v="UN"/>
    <n v="120"/>
    <n v="9.5459999999999989E-2"/>
    <n v="11.455199999999998"/>
    <x v="3"/>
  </r>
  <r>
    <s v="007"/>
    <s v="PR01"/>
    <s v="815VOY004"/>
    <s v="Voyant LED VERT 220V"/>
    <s v="UN"/>
    <n v="3"/>
    <n v="3.8250000000000002"/>
    <n v="11.475000000000001"/>
    <x v="3"/>
  </r>
  <r>
    <s v="007"/>
    <s v="PR01"/>
    <s v="830TAR006"/>
    <s v="Jeu de taraud 8"/>
    <s v="UN"/>
    <n v="1"/>
    <n v="11.511900000000001"/>
    <n v="11.511900000000001"/>
    <x v="3"/>
  </r>
  <r>
    <s v="007"/>
    <s v="PR01"/>
    <s v="810XPM225"/>
    <s v="GRAISSEUR droit M8"/>
    <s v="UN"/>
    <n v="28"/>
    <n v="0.41129999999999994"/>
    <n v="11.516399999999999"/>
    <x v="3"/>
  </r>
  <r>
    <s v="007"/>
    <s v="PR01"/>
    <s v="812TTE010"/>
    <s v="TE 15/21 ACIER"/>
    <s v="UN"/>
    <n v="7"/>
    <n v="1.6575"/>
    <n v="11.602499999999999"/>
    <x v="3"/>
  </r>
  <r>
    <s v="007"/>
    <s v="PR01"/>
    <s v="812COL045"/>
    <s v="Collier de prise D32  20/27"/>
    <s v="UN"/>
    <n v="3"/>
    <n v="3.9"/>
    <n v="11.7"/>
    <x v="3"/>
  </r>
  <r>
    <s v="007"/>
    <s v="PR02"/>
    <s v="812xpb081"/>
    <s v="Bouchon Canniveau de garage"/>
    <s v="UN"/>
    <n v="2"/>
    <n v="5.8641999999999994"/>
    <n v="11.728399999999999"/>
    <x v="3"/>
  </r>
  <r>
    <s v="007"/>
    <s v="PR02"/>
    <s v="812COL050"/>
    <s v="COLLIER A VIS GALVA 32-40"/>
    <s v="UN"/>
    <n v="12"/>
    <n v="0.98299999999999998"/>
    <n v="11.795999999999999"/>
    <x v="3"/>
  </r>
  <r>
    <s v="007"/>
    <s v="PR01"/>
    <s v="812COL005"/>
    <s v="COLLIER ATLAS D20"/>
    <s v="UN"/>
    <n v="22"/>
    <n v="0.53843333333333332"/>
    <n v="11.845533333333332"/>
    <x v="3"/>
  </r>
  <r>
    <s v="007"/>
    <s v="PR02"/>
    <s v="820XMC036"/>
    <s v="vis six pans (acier) M06*50"/>
    <s v="UN"/>
    <n v="55"/>
    <n v="0.21568278894472359"/>
    <n v="11.862553391959798"/>
    <x v="3"/>
  </r>
  <r>
    <s v="007"/>
    <s v="PR02"/>
    <s v="820XMC493"/>
    <s v="tige fileté (acier) M06"/>
    <s v="UN"/>
    <n v="9"/>
    <n v="1.3260000000000001"/>
    <n v="11.934000000000001"/>
    <x v="3"/>
  </r>
  <r>
    <s v="007"/>
    <s v="PR02"/>
    <s v="815FUS316"/>
    <s v="FUSIBLE 5A 250V"/>
    <s v="UN"/>
    <n v="65"/>
    <n v="0.184"/>
    <n v="11.959999999999999"/>
    <x v="3"/>
  </r>
  <r>
    <s v="007"/>
    <s v="PR02"/>
    <s v="815cos017"/>
    <s v="Cosse a sertir SC35-06"/>
    <s v="UN"/>
    <n v="10"/>
    <n v="1.2172000000000001"/>
    <n v="12.172000000000001"/>
    <x v="3"/>
  </r>
  <r>
    <s v="007"/>
    <s v="PR02"/>
    <s v="812TTE667"/>
    <s v="TE PVC Pression D40 (1&quot;1/4)"/>
    <s v="UN"/>
    <n v="4"/>
    <n v="3.044"/>
    <n v="12.176"/>
    <x v="3"/>
  </r>
  <r>
    <s v="007"/>
    <s v="PR01"/>
    <s v="812TTE007"/>
    <s v="TE 20/27 GALVA"/>
    <s v="UN"/>
    <n v="4"/>
    <n v="3.0479482142857139"/>
    <n v="12.191792857142856"/>
    <x v="3"/>
  </r>
  <r>
    <s v="007"/>
    <s v="PR02"/>
    <s v="812van733"/>
    <s v="vanne Galva15/21"/>
    <s v="UN"/>
    <n v="2"/>
    <n v="6.1020500000000002"/>
    <n v="12.2041"/>
    <x v="3"/>
  </r>
  <r>
    <s v="007"/>
    <s v="PR02"/>
    <s v="810PAR040"/>
    <s v="PARE HUILE 45*75*10 Chaine a goudets"/>
    <s v="UN"/>
    <n v="4"/>
    <n v="3.06"/>
    <n v="12.24"/>
    <x v="3"/>
  </r>
  <r>
    <s v="007"/>
    <s v="PR02"/>
    <s v="812COD062"/>
    <s v="Coude Bargataire D40/2&quot; Male"/>
    <s v="UN"/>
    <n v="2"/>
    <n v="6.1227"/>
    <n v="12.2454"/>
    <x v="3"/>
  </r>
  <r>
    <s v="007"/>
    <s v="PR02"/>
    <s v="820XMC364"/>
    <s v="VIS TH M06*20 (acier)"/>
    <s v="UN"/>
    <n v="245"/>
    <n v="0.05"/>
    <n v="12.25"/>
    <x v="3"/>
  </r>
  <r>
    <s v="007"/>
    <s v="PR01"/>
    <s v="815XPE258"/>
    <s v="Fiche femelle 2P+T 16A-6 380-415V Encastrer sur c"/>
    <s v="UN"/>
    <n v="1"/>
    <n v="12.260434210526316"/>
    <n v="12.260434210526316"/>
    <x v="3"/>
  </r>
  <r>
    <s v="007"/>
    <s v="PR01"/>
    <s v="812TTE002"/>
    <s v="TE D25 BARGATAIRE"/>
    <s v="UN"/>
    <n v="3"/>
    <n v="4.0999999999999996"/>
    <n v="12.299999999999999"/>
    <x v="3"/>
  </r>
  <r>
    <s v="007"/>
    <s v="PR02"/>
    <s v="810PAR139"/>
    <s v="PARE HUILE 80*35*10 Rouleau bande strip"/>
    <s v="UN"/>
    <n v="3"/>
    <n v="4.1040000000000001"/>
    <n v="12.312000000000001"/>
    <x v="3"/>
  </r>
  <r>
    <s v="007"/>
    <s v="PR02"/>
    <s v="812COD019"/>
    <s v="COUDE PPR 90° D75"/>
    <s v="UN"/>
    <n v="1"/>
    <n v="12.3386"/>
    <n v="12.3386"/>
    <x v="3"/>
  </r>
  <r>
    <s v="007"/>
    <s v="PR01"/>
    <s v="820XMC400"/>
    <s v="vis six pans (acier) M06*40"/>
    <s v="UN"/>
    <n v="100"/>
    <n v="0.12358"/>
    <n v="12.357999999999999"/>
    <x v="3"/>
  </r>
  <r>
    <s v="007"/>
    <s v="PR02"/>
    <s v="812TTE668"/>
    <s v="T PVC P32"/>
    <s v="UN"/>
    <n v="5"/>
    <n v="2.4782999999999999"/>
    <n v="12.391500000000001"/>
    <x v="3"/>
  </r>
  <r>
    <s v="007"/>
    <s v="PR01"/>
    <s v="812VER114"/>
    <s v="Joint torique EN NBR 70 OR 94.92-2.62 VERIN COS"/>
    <s v="UN"/>
    <n v="8"/>
    <n v="1.5498000000000001"/>
    <n v="12.398400000000001"/>
    <x v="3"/>
  </r>
  <r>
    <s v="007"/>
    <s v="PR02"/>
    <s v="815XPE249"/>
    <s v="Bouton poussoir NO ? 22 mm"/>
    <s v="UN"/>
    <n v="1"/>
    <n v="12.4"/>
    <n v="12.4"/>
    <x v="3"/>
  </r>
  <r>
    <s v="007"/>
    <s v="PR02"/>
    <s v="810rox004"/>
    <s v="Toc elastique N38-45 Pompe d'eau M.Grille"/>
    <s v="UN"/>
    <n v="1"/>
    <n v="12.441599999999999"/>
    <n v="12.441599999999999"/>
    <x v="3"/>
  </r>
  <r>
    <s v="007"/>
    <s v="PR01"/>
    <s v="820XMC303"/>
    <s v="Vis d'arrêt (acier) M04*25"/>
    <s v="UN"/>
    <n v="102"/>
    <n v="0.122"/>
    <n v="12.443999999999999"/>
    <x v="3"/>
  </r>
  <r>
    <s v="007"/>
    <s v="PR02"/>
    <s v="815GAI321"/>
    <s v="gaine anti chaleur 2,5mm"/>
    <s v="UN"/>
    <n v="6"/>
    <n v="2.0790000000000002"/>
    <n v="12.474"/>
    <x v="3"/>
  </r>
  <r>
    <s v="007"/>
    <s v="PR02"/>
    <s v="810COU044"/>
    <s v="Moyeu poulie PHF TB1610*22MM SKF M.WIRTZ"/>
    <s v="UN"/>
    <n v="1"/>
    <n v="12.4992"/>
    <n v="12.4992"/>
    <x v="3"/>
  </r>
  <r>
    <s v="007"/>
    <s v="PR01"/>
    <s v="812COD675"/>
    <s v="COUDE PVC P20  90°"/>
    <s v="UN"/>
    <n v="15"/>
    <n v="0.83979999999999999"/>
    <n v="12.597"/>
    <x v="3"/>
  </r>
  <r>
    <s v="007"/>
    <s v="PR02"/>
    <s v="815ELE318"/>
    <s v="Adaptateur hydrolique 1/2"/>
    <s v="UN"/>
    <n v="1"/>
    <n v="12.6"/>
    <n v="12.6"/>
    <x v="3"/>
  </r>
  <r>
    <s v="007"/>
    <s v="PR01"/>
    <s v="820XMC506"/>
    <s v="Rondelle plate (acier) M10"/>
    <s v="UN"/>
    <n v="450"/>
    <n v="2.826E-2"/>
    <n v="12.717000000000001"/>
    <x v="3"/>
  </r>
  <r>
    <s v="007"/>
    <s v="PR02"/>
    <s v="815FUS020"/>
    <s v="Fusible 63A 500V 22*58"/>
    <s v="UN"/>
    <n v="17"/>
    <n v="0.75"/>
    <n v="12.75"/>
    <x v="3"/>
  </r>
  <r>
    <s v="007"/>
    <s v="PR01"/>
    <s v="820XMC171"/>
    <s v="VIS SIX PANS (acier) M12*20"/>
    <s v="UN"/>
    <n v="25"/>
    <n v="0.51200000000000001"/>
    <n v="12.8"/>
    <x v="3"/>
  </r>
  <r>
    <s v="007"/>
    <s v="PR01"/>
    <s v="820xmc183"/>
    <s v="GOUPILLE M05*60"/>
    <s v="UN"/>
    <n v="55"/>
    <n v="0.2328625924314919"/>
    <n v="12.807442583732055"/>
    <x v="3"/>
  </r>
  <r>
    <s v="007"/>
    <s v="PR01"/>
    <s v="812MEM031"/>
    <s v="MAMELON GALVA 1/8--1/4"/>
    <s v="UN"/>
    <n v="3"/>
    <n v="4.3019999999999996"/>
    <n v="12.905999999999999"/>
    <x v="3"/>
  </r>
  <r>
    <s v="007"/>
    <s v="PR02"/>
    <s v="815cab010"/>
    <s v="SERRE CABLE GALVA M10"/>
    <s v="UN"/>
    <n v="15"/>
    <n v="0.86219999999999997"/>
    <n v="12.933"/>
    <x v="3"/>
  </r>
  <r>
    <s v="007"/>
    <s v="PR01"/>
    <s v="820XMC495"/>
    <s v="tige fileté (acier) M10"/>
    <s v="UN"/>
    <n v="4"/>
    <n v="3.2429999999999999"/>
    <n v="12.972"/>
    <x v="3"/>
  </r>
  <r>
    <s v="007"/>
    <s v="PR02"/>
    <s v="812RED014"/>
    <s v="Réduction Galva 26/34 -&gt; 20/27 M/F"/>
    <s v="UN"/>
    <n v="6"/>
    <n v="2.17"/>
    <n v="13.02"/>
    <x v="3"/>
  </r>
  <r>
    <s v="007"/>
    <s v="PR02"/>
    <s v="812COL036"/>
    <s v="Collier de fixation GALVA D40"/>
    <s v="UN"/>
    <n v="20"/>
    <n v="0.65705000000000002"/>
    <n v="13.141"/>
    <x v="3"/>
  </r>
  <r>
    <s v="007"/>
    <s v="PR02"/>
    <s v="815COS010"/>
    <s v="Cosse fil 2.5mm  M4"/>
    <s v="UN"/>
    <n v="154"/>
    <n v="8.5500000000000007E-2"/>
    <n v="13.167000000000002"/>
    <x v="3"/>
  </r>
  <r>
    <s v="007"/>
    <s v="PR01"/>
    <s v="812RAC008"/>
    <s v="raccord bargataire FEMELLE D32/20"/>
    <s v="UN"/>
    <n v="4"/>
    <n v="3.2937500000000002"/>
    <n v="13.175000000000001"/>
    <x v="3"/>
  </r>
  <r>
    <s v="007"/>
    <s v="PR02"/>
    <s v="812COD807"/>
    <s v="Coude PVC PR 90° D32"/>
    <s v="UN"/>
    <n v="9"/>
    <n v="1.464"/>
    <n v="13.176"/>
    <x v="3"/>
  </r>
  <r>
    <s v="007"/>
    <s v="PR02"/>
    <s v="830bar004"/>
    <s v="Barreau Clavette 4"/>
    <s v="UN"/>
    <n v="2"/>
    <n v="6.593"/>
    <n v="13.186"/>
    <x v="3"/>
  </r>
  <r>
    <s v="007"/>
    <s v="PR01"/>
    <s v="812COD678"/>
    <s v="COUDE PVC P40"/>
    <s v="UN"/>
    <n v="5"/>
    <n v="2.6389999999999998"/>
    <n v="13.194999999999999"/>
    <x v="3"/>
  </r>
  <r>
    <s v="007"/>
    <s v="PR01"/>
    <s v="820XMC390"/>
    <s v="vis six pans (acier) M05*20"/>
    <s v="UN"/>
    <n v="220"/>
    <n v="0.06"/>
    <n v="13.2"/>
    <x v="3"/>
  </r>
  <r>
    <s v="007"/>
    <s v="PR01"/>
    <s v="812COL064"/>
    <s v="Circlips D18 Exterieur"/>
    <s v="UN"/>
    <n v="95"/>
    <n v="0.13932"/>
    <n v="13.2354"/>
    <x v="3"/>
  </r>
  <r>
    <s v="007"/>
    <s v="PR01"/>
    <s v="812RED027"/>
    <s v="Reduction PVC PR 50/32"/>
    <s v="UN"/>
    <n v="9"/>
    <n v="1.472"/>
    <n v="13.247999999999999"/>
    <x v="3"/>
  </r>
  <r>
    <s v="007"/>
    <s v="PR02"/>
    <s v="820XMC395"/>
    <s v="vis six pans (acier) M05*30"/>
    <s v="UN"/>
    <n v="123"/>
    <n v="0.10833"/>
    <n v="13.324589999999999"/>
    <x v="3"/>
  </r>
  <r>
    <s v="007"/>
    <s v="PR01"/>
    <s v="812COD014"/>
    <s v="COUDE PPR D63 45°"/>
    <s v="UN"/>
    <n v="2"/>
    <n v="6.6790000000000003"/>
    <n v="13.358000000000001"/>
    <x v="3"/>
  </r>
  <r>
    <s v="007"/>
    <s v="PR02"/>
    <s v="820XMC625"/>
    <s v="Vis TH (acier) M12*20"/>
    <s v="UN"/>
    <n v="52"/>
    <n v="0.25797999999999999"/>
    <n v="13.414959999999999"/>
    <x v="3"/>
  </r>
  <r>
    <s v="007"/>
    <s v="PR02"/>
    <s v="815xpe180"/>
    <s v="Repere Fil &quot;6&quot; 0.5-1.5"/>
    <s v="UN"/>
    <n v="210"/>
    <n v="6.3960000000000003E-2"/>
    <n v="13.431600000000001"/>
    <x v="3"/>
  </r>
  <r>
    <s v="007"/>
    <s v="PR02"/>
    <s v="820XMC630"/>
    <s v="vis six pans (Inox) M05*10"/>
    <s v="UN"/>
    <n v="75"/>
    <n v="0.18"/>
    <n v="13.5"/>
    <x v="3"/>
  </r>
  <r>
    <s v="007"/>
    <s v="PR01"/>
    <s v="830XOU183"/>
    <s v="Chaine galvanisée 30/15mm"/>
    <s v="M"/>
    <n v="8"/>
    <n v="1.6893"/>
    <n v="13.5144"/>
    <x v="3"/>
  </r>
  <r>
    <s v="007"/>
    <s v="PR02"/>
    <s v="830bar001"/>
    <s v="Barreau Clavette 5"/>
    <s v="UN"/>
    <n v="2"/>
    <n v="6.7910000000000004"/>
    <n v="13.582000000000001"/>
    <x v="3"/>
  </r>
  <r>
    <s v="007"/>
    <s v="PR02"/>
    <s v="820XMC375"/>
    <s v="Vis TH(acier) M10*100"/>
    <s v="UN"/>
    <n v="22"/>
    <n v="0.6175781818181818"/>
    <n v="13.58672"/>
    <x v="3"/>
  </r>
  <r>
    <s v="007"/>
    <s v="PR01"/>
    <s v="815fus025"/>
    <s v="Fusible 20A 500V Forme bouteille"/>
    <s v="UN"/>
    <n v="8"/>
    <n v="1.69939"/>
    <n v="13.59512"/>
    <x v="3"/>
  </r>
  <r>
    <s v="007"/>
    <s v="PR01"/>
    <s v="830MCH005"/>
    <s v="Mèche acier 12"/>
    <s v="UN"/>
    <n v="3"/>
    <n v="4.5625526315789475"/>
    <n v="13.687657894736843"/>
    <x v="3"/>
  </r>
  <r>
    <s v="007"/>
    <s v="PR01"/>
    <s v="812MEM016"/>
    <s v="MAMELON GALVA 2&quot;"/>
    <s v="UN"/>
    <n v="2"/>
    <n v="6.8440500000000002"/>
    <n v="13.6881"/>
    <x v="3"/>
  </r>
  <r>
    <s v="007"/>
    <s v="PR01"/>
    <s v="820XMC387"/>
    <s v="vis six pans (acier) M04*20"/>
    <s v="UN"/>
    <n v="140"/>
    <n v="9.799999999999999E-2"/>
    <n v="13.719999999999999"/>
    <x v="3"/>
  </r>
  <r>
    <s v="007"/>
    <s v="PR02"/>
    <s v="812MON010"/>
    <s v="MONCHON PPR D25"/>
    <s v="UN"/>
    <n v="13"/>
    <n v="1.0608"/>
    <n v="13.7904"/>
    <x v="3"/>
  </r>
  <r>
    <s v="007"/>
    <s v="PR01"/>
    <s v="812MON713"/>
    <s v="MONCHON PVC PR 40"/>
    <s v="UN"/>
    <n v="12"/>
    <n v="1.153"/>
    <n v="13.836"/>
    <x v="3"/>
  </r>
  <r>
    <s v="007"/>
    <s v="PR01"/>
    <s v="810PIN047"/>
    <s v="Pignon 06B1 20DENTS Fardeleuse"/>
    <s v="UN"/>
    <n v="1"/>
    <n v="13.855049999999999"/>
    <n v="13.855049999999999"/>
    <x v="3"/>
  </r>
  <r>
    <s v="007"/>
    <s v="PR01"/>
    <s v="820XMC388"/>
    <s v="vis six pans (acier) M04*30"/>
    <s v="UN"/>
    <n v="235"/>
    <n v="5.9033281409406252E-2"/>
    <n v="13.872821131210468"/>
    <x v="3"/>
  </r>
  <r>
    <s v="007"/>
    <s v="PR02"/>
    <s v="812COL057"/>
    <s v="COLLIER DE FIXATION D50 Complet"/>
    <s v="UN"/>
    <n v="9"/>
    <n v="1.5419375000000002"/>
    <n v="13.877437500000001"/>
    <x v="3"/>
  </r>
  <r>
    <s v="007"/>
    <s v="PR02"/>
    <s v="812RAC049"/>
    <s v="RACCORD PPR D32  MALE"/>
    <s v="UN"/>
    <n v="1"/>
    <n v="13.897500000000001"/>
    <n v="13.897500000000001"/>
    <x v="3"/>
  </r>
  <r>
    <s v="007"/>
    <s v="PR01"/>
    <s v="812TTE036"/>
    <s v="TE Galva D1/2&quot; (15/21)"/>
    <s v="UN"/>
    <n v="8"/>
    <n v="1.742"/>
    <n v="13.936"/>
    <x v="3"/>
  </r>
  <r>
    <s v="007"/>
    <s v="PR01"/>
    <s v="820XMC548"/>
    <s v="cheville 8"/>
    <s v="UN"/>
    <n v="352"/>
    <n v="3.9600000000000003E-2"/>
    <n v="13.939200000000001"/>
    <x v="3"/>
  </r>
  <r>
    <s v="007"/>
    <s v="PR01"/>
    <s v="820XMC817"/>
    <s v="VIS TH (acier) M12*70"/>
    <s v="UN"/>
    <n v="18"/>
    <n v="0.77500000000000002"/>
    <n v="13.950000000000001"/>
    <x v="3"/>
  </r>
  <r>
    <s v="007"/>
    <s v="PR01"/>
    <s v="810XPM206"/>
    <s v="Attache rapide pour chaine 05B1"/>
    <s v="UN"/>
    <n v="15"/>
    <n v="0.93149999999999999"/>
    <n v="13.9725"/>
    <x v="3"/>
  </r>
  <r>
    <s v="007"/>
    <s v="PR02"/>
    <s v="815XPE346"/>
    <s v="Fiche femelle 220V"/>
    <s v="UN"/>
    <n v="12"/>
    <n v="1.165"/>
    <n v="13.98"/>
    <x v="3"/>
  </r>
  <r>
    <s v="007"/>
    <s v="PR01"/>
    <s v="820XMC741"/>
    <s v="Vis six pans (acier) M10*70"/>
    <s v="UN"/>
    <n v="35"/>
    <n v="0.4"/>
    <n v="14"/>
    <x v="3"/>
  </r>
  <r>
    <s v="007"/>
    <s v="PR02"/>
    <s v="812RAC065"/>
    <s v="raccord bargataire D50 Male"/>
    <s v="UN"/>
    <n v="2"/>
    <n v="7.0054222222222222"/>
    <n v="14.010844444444444"/>
    <x v="3"/>
  </r>
  <r>
    <s v="007"/>
    <s v="PR01"/>
    <s v="815RAI001"/>
    <s v="RAIL OMEGA P/DISJ 1,00M SAFE"/>
    <s v="M"/>
    <n v="2"/>
    <n v="7.0107999999999997"/>
    <n v="14.021599999999999"/>
    <x v="3"/>
  </r>
  <r>
    <s v="007"/>
    <s v="PR01"/>
    <s v="812EMB003"/>
    <s v="Embou cannelé PVC D16 Male 20/27 Vanne charge"/>
    <s v="UN"/>
    <n v="6"/>
    <n v="2.3374999999999999"/>
    <n v="14.024999999999999"/>
    <x v="3"/>
  </r>
  <r>
    <s v="007"/>
    <s v="PR02"/>
    <s v="815COS012"/>
    <s v="Cosse fil 2.5mm  M6"/>
    <s v="UN"/>
    <n v="120"/>
    <n v="0.11700000000000001"/>
    <n v="14.040000000000001"/>
    <x v="3"/>
  </r>
  <r>
    <s v="007"/>
    <s v="PR01"/>
    <s v="810PAR055"/>
    <s v="Parahuile 30*62*7 Boite RED Table COS"/>
    <s v="UN"/>
    <n v="3"/>
    <n v="4.6890000000000001"/>
    <n v="14.067"/>
    <x v="3"/>
  </r>
  <r>
    <s v="007"/>
    <s v="PR02"/>
    <s v="812COL010"/>
    <s v="COLLIER D63 GALVA"/>
    <s v="UN"/>
    <n v="23"/>
    <n v="0.61241999999999996"/>
    <n v="14.085659999999999"/>
    <x v="3"/>
  </r>
  <r>
    <s v="007"/>
    <s v="PR01"/>
    <s v="820XMC583"/>
    <s v="Vis d'arrêt (acier) M12*25"/>
    <s v="UN"/>
    <n v="28"/>
    <n v="0.50349999999999995"/>
    <n v="14.097999999999999"/>
    <x v="3"/>
  </r>
  <r>
    <s v="007"/>
    <s v="PR02"/>
    <s v="860XES022"/>
    <s v="GANT EN CUIR 45CM POUR SOUDURE"/>
    <s v="UN"/>
    <n v="1"/>
    <n v="14.1"/>
    <n v="14.1"/>
    <x v="3"/>
  </r>
  <r>
    <s v="007"/>
    <s v="PR02"/>
    <s v="812RAC070"/>
    <s v="RACCORD  MALE PPR 110"/>
    <s v="UN"/>
    <n v="1"/>
    <n v="14.16"/>
    <n v="14.16"/>
    <x v="3"/>
  </r>
  <r>
    <s v="007"/>
    <s v="PR01"/>
    <s v="820XMC621"/>
    <s v="Vis TH(acier) M08*80"/>
    <s v="UN"/>
    <n v="44"/>
    <n v="0.32200000000000001"/>
    <n v="14.168000000000001"/>
    <x v="3"/>
  </r>
  <r>
    <s v="007"/>
    <s v="PR02"/>
    <s v="820XMC393"/>
    <s v="vis six pans (acier) M12*50"/>
    <s v="UN"/>
    <n v="21"/>
    <n v="0.68090066225165569"/>
    <n v="14.298913907284769"/>
    <x v="3"/>
  </r>
  <r>
    <s v="007"/>
    <s v="PR01"/>
    <s v="810PAR092"/>
    <s v="PARE HUILE 75*95*10"/>
    <s v="UN"/>
    <n v="2"/>
    <n v="7.1639999999999988"/>
    <n v="14.327999999999998"/>
    <x v="3"/>
  </r>
  <r>
    <s v="007"/>
    <s v="PR02"/>
    <s v="820XMC365"/>
    <s v="vis tête hexagonale M06*30 (acier)"/>
    <s v="UN"/>
    <n v="135"/>
    <n v="0.10620000000000002"/>
    <n v="14.337000000000002"/>
    <x v="3"/>
  </r>
  <r>
    <s v="007"/>
    <s v="PR01"/>
    <s v="812COD687"/>
    <s v="COUDE GALVA 15/21"/>
    <s v="UN"/>
    <n v="13"/>
    <n v="1.105"/>
    <n v="14.365"/>
    <x v="3"/>
  </r>
  <r>
    <s v="007"/>
    <s v="PR02"/>
    <s v="820XMC390"/>
    <s v="vis six pans (acier) M05*20"/>
    <s v="UN"/>
    <n v="240"/>
    <n v="0.06"/>
    <n v="14.399999999999999"/>
    <x v="3"/>
  </r>
  <r>
    <s v="007"/>
    <s v="PR02"/>
    <s v="812RAC210"/>
    <s v="Joint HYD DN 1/4"/>
    <s v="UN"/>
    <n v="8"/>
    <n v="1.8"/>
    <n v="14.4"/>
    <x v="3"/>
  </r>
  <r>
    <s v="007"/>
    <s v="PR01"/>
    <s v="820XMC557"/>
    <s v="vis sixpans fraisée M06*20 (acier)"/>
    <s v="UN"/>
    <n v="120"/>
    <n v="0.12038892950391644"/>
    <n v="14.446671540469973"/>
    <x v="3"/>
  </r>
  <r>
    <s v="007"/>
    <s v="PR02"/>
    <s v="820XMC168"/>
    <s v="Vis sixpans fraisé (Acier) M10*20"/>
    <s v="UN"/>
    <n v="45"/>
    <n v="0.32140750000000007"/>
    <n v="14.463337500000003"/>
    <x v="3"/>
  </r>
  <r>
    <s v="007"/>
    <s v="PR02"/>
    <s v="812MON006"/>
    <s v="MONCHON GALVA 1+1/2&quot;"/>
    <s v="UN"/>
    <n v="5"/>
    <n v="2.9015151515151514"/>
    <n v="14.507575757575758"/>
    <x v="3"/>
  </r>
  <r>
    <s v="007"/>
    <s v="PR02"/>
    <s v="815FUS315"/>
    <s v="FUSIBLES 4A 10*38  500V"/>
    <s v="UN"/>
    <n v="28"/>
    <n v="0.52025434782608682"/>
    <n v="14.567121739130432"/>
    <x v="3"/>
  </r>
  <r>
    <s v="007"/>
    <s v="PR01"/>
    <s v="815xpe134"/>
    <s v="Clame complet"/>
    <s v="UN"/>
    <n v="18"/>
    <n v="0.81200000000000006"/>
    <n v="14.616000000000001"/>
    <x v="3"/>
  </r>
  <r>
    <s v="007"/>
    <s v="PR01"/>
    <s v="820XMC559"/>
    <s v="vis sixpans fraisée M06*40 (acier)"/>
    <s v="UN"/>
    <n v="65"/>
    <n v="0.22642666666666666"/>
    <n v="14.717733333333333"/>
    <x v="3"/>
  </r>
  <r>
    <s v="007"/>
    <s v="PR02"/>
    <s v="820XMC544"/>
    <s v="tirefond M8*60"/>
    <s v="UN"/>
    <n v="85"/>
    <n v="0.17327000000000001"/>
    <n v="14.72795"/>
    <x v="3"/>
  </r>
  <r>
    <s v="007"/>
    <s v="PR02"/>
    <s v="815FUS018"/>
    <s v="Fusible 20A 400V 10*38"/>
    <s v="UN"/>
    <n v="12"/>
    <n v="1.2300627272727274"/>
    <n v="14.760752727272727"/>
    <x v="3"/>
  </r>
  <r>
    <s v="007"/>
    <s v="PR02"/>
    <s v="812COD013"/>
    <s v="COUDE PPR 90° D63"/>
    <s v="UN"/>
    <n v="2"/>
    <n v="7.3860000000000001"/>
    <n v="14.772"/>
    <x v="3"/>
  </r>
  <r>
    <s v="007"/>
    <s v="PR02"/>
    <s v="812rac741"/>
    <s v="RACCORD DROIT D10 G1/2"/>
    <s v="UN"/>
    <n v="3"/>
    <n v="4.93"/>
    <n v="14.79"/>
    <x v="3"/>
  </r>
  <r>
    <s v="007"/>
    <s v="PR01"/>
    <s v="812RED702"/>
    <s v="Réduction PVC PR 50/40"/>
    <s v="UN"/>
    <n v="8"/>
    <n v="1.852153846153846"/>
    <n v="14.817230769230768"/>
    <x v="3"/>
  </r>
  <r>
    <s v="007"/>
    <s v="PR02"/>
    <s v="820XMC748"/>
    <s v="vis six pans (Inox) M04*40"/>
    <s v="UN"/>
    <n v="75"/>
    <n v="0.19800000000000001"/>
    <n v="14.850000000000001"/>
    <x v="3"/>
  </r>
  <r>
    <s v="007"/>
    <s v="PR01"/>
    <s v="820XMC491"/>
    <s v="Vis d'arrêt (acier) M08*20"/>
    <s v="UN"/>
    <n v="98"/>
    <n v="0.152"/>
    <n v="14.895999999999999"/>
    <x v="3"/>
  </r>
  <r>
    <s v="007"/>
    <s v="PR02"/>
    <s v="820XMC357"/>
    <s v="VIS TH M04*30 (acier)"/>
    <s v="UN"/>
    <n v="250"/>
    <n v="0.06"/>
    <n v="15"/>
    <x v="3"/>
  </r>
  <r>
    <s v="007"/>
    <s v="PR01"/>
    <s v="812TTE043"/>
    <s v="TE BARGATAIRE D50"/>
    <s v="UN"/>
    <n v="1"/>
    <n v="15.028"/>
    <n v="15.028"/>
    <x v="3"/>
  </r>
  <r>
    <s v="007"/>
    <s v="PR01"/>
    <s v="820XMC151"/>
    <s v="Tirefond M10*90"/>
    <s v="UN"/>
    <n v="39"/>
    <n v="0.38613999999999998"/>
    <n v="15.05946"/>
    <x v="3"/>
  </r>
  <r>
    <s v="007"/>
    <s v="PR01"/>
    <s v="810XPM207"/>
    <s v="Attache rapide pour chaine 06B1"/>
    <s v="UN"/>
    <n v="26"/>
    <n v="0.58096363636363624"/>
    <n v="15.105054545454543"/>
    <x v="3"/>
  </r>
  <r>
    <s v="007"/>
    <s v="PR01"/>
    <s v="810XPM141"/>
    <s v="Joint torique EN VITON 1.78*7.65  Perçage sovem"/>
    <s v="UN"/>
    <n v="9"/>
    <n v="1.681"/>
    <n v="15.129000000000001"/>
    <x v="3"/>
  </r>
  <r>
    <s v="007"/>
    <s v="PR02"/>
    <s v="812RED041"/>
    <s v="Reduction PPR D63/50"/>
    <s v="UN"/>
    <n v="2"/>
    <n v="7.6159999999999997"/>
    <n v="15.231999999999999"/>
    <x v="3"/>
  </r>
  <r>
    <s v="007"/>
    <s v="PR02"/>
    <s v="812COD004"/>
    <s v="COUDE NOIR 90  26/34"/>
    <s v="UN"/>
    <n v="4"/>
    <n v="3.8149999999999999"/>
    <n v="15.26"/>
    <x v="3"/>
  </r>
  <r>
    <s v="007"/>
    <s v="PR02"/>
    <s v="815FUS013"/>
    <s v="Porte Fusible uni 22*58    125A"/>
    <s v="UN"/>
    <n v="1"/>
    <n v="15.270860000000003"/>
    <n v="15.270860000000003"/>
    <x v="3"/>
  </r>
  <r>
    <s v="007"/>
    <s v="PR01"/>
    <s v="815FUS043"/>
    <s v="FUSIBLE 80A 22*58"/>
    <s v="UN"/>
    <n v="8"/>
    <n v="1.9125000000000001"/>
    <n v="15.3"/>
    <x v="3"/>
  </r>
  <r>
    <s v="007"/>
    <s v="PR01"/>
    <s v="812MEM033"/>
    <s v="Mamelon INOX 1&quot;--1&quot;1/2"/>
    <s v="UN"/>
    <n v="1"/>
    <n v="15.4819"/>
    <n v="15.4819"/>
    <x v="3"/>
  </r>
  <r>
    <s v="007"/>
    <s v="PR02"/>
    <s v="812MON718"/>
    <s v="MONCHON PVC PR D63"/>
    <s v="UN"/>
    <n v="5"/>
    <n v="3.103017857142857"/>
    <n v="15.515089285714286"/>
    <x v="3"/>
  </r>
  <r>
    <s v="007"/>
    <s v="PR02"/>
    <s v="812FLE041"/>
    <s v="Flexible F15/F15 300mm (1/2&quot;) M.G.Wertz"/>
    <s v="UN"/>
    <n v="3"/>
    <n v="5.1765000000000008"/>
    <n v="15.529500000000002"/>
    <x v="3"/>
  </r>
  <r>
    <s v="007"/>
    <s v="PR01"/>
    <s v="820XMC109"/>
    <s v="VIS TH (acier) M06*40"/>
    <s v="UN"/>
    <n v="130"/>
    <n v="0.12065255813953489"/>
    <n v="15.684832558139536"/>
    <x v="3"/>
  </r>
  <r>
    <s v="007"/>
    <s v="PR02"/>
    <s v="820XMC380"/>
    <s v="VIS TH (acier) M12*120"/>
    <s v="UN"/>
    <n v="60"/>
    <n v="0.26179999999999998"/>
    <n v="15.707999999999998"/>
    <x v="3"/>
  </r>
  <r>
    <s v="007"/>
    <s v="PR01"/>
    <s v="815COS286"/>
    <s v="COSSE JAUNE 8"/>
    <s v="UN"/>
    <n v="71"/>
    <n v="0.22196666666666667"/>
    <n v="15.759633333333333"/>
    <x v="3"/>
  </r>
  <r>
    <s v="007"/>
    <s v="PR01"/>
    <s v="810par115"/>
    <s v="parahuile 35x52x7"/>
    <s v="UN"/>
    <n v="2"/>
    <n v="7.9001999999999999"/>
    <n v="15.8004"/>
    <x v="3"/>
  </r>
  <r>
    <s v="007"/>
    <s v="PR02"/>
    <s v="812RAC050"/>
    <s v="raccord 3 péicé Galva26/34"/>
    <s v="UN"/>
    <n v="2"/>
    <n v="7.9141538461538472"/>
    <n v="15.828307692307694"/>
    <x v="3"/>
  </r>
  <r>
    <s v="007"/>
    <s v="PR02"/>
    <s v="820XMC315"/>
    <s v="VIS TH (Acier) M06*50"/>
    <s v="UN"/>
    <n v="132"/>
    <n v="0.12"/>
    <n v="15.84"/>
    <x v="3"/>
  </r>
  <r>
    <s v="007"/>
    <s v="PR01"/>
    <s v="812COL008"/>
    <s v="COLLIER DE SERRAGE 16-23"/>
    <s v="UN"/>
    <n v="56"/>
    <n v="0.28736"/>
    <n v="16.09216"/>
    <x v="3"/>
  </r>
  <r>
    <s v="007"/>
    <s v="PR02"/>
    <s v="812MEM001"/>
    <s v="MAMELON GALVA 1&quot;1/2"/>
    <s v="UN"/>
    <n v="2"/>
    <n v="8.0640000000000001"/>
    <n v="16.128"/>
    <x v="3"/>
  </r>
  <r>
    <s v="007"/>
    <s v="PR01"/>
    <s v="815XPE355"/>
    <s v="Fiche Male 2P+T 16A PCE"/>
    <s v="UN"/>
    <n v="2"/>
    <n v="8.0749999999999993"/>
    <n v="16.149999999999999"/>
    <x v="3"/>
  </r>
  <r>
    <s v="007"/>
    <s v="PR01"/>
    <s v="820XMC172"/>
    <s v="VIS TETE FRAISEE M10*50"/>
    <s v="UN"/>
    <n v="36"/>
    <n v="0.44900000000000007"/>
    <n v="16.164000000000001"/>
    <x v="3"/>
  </r>
  <r>
    <s v="007"/>
    <s v="PR01"/>
    <s v="840PEI023"/>
    <s v="PEINTURE LAQEE  VERT 1KG"/>
    <s v="KG"/>
    <n v="2"/>
    <n v="8.1310333333333329"/>
    <n v="16.262066666666666"/>
    <x v="3"/>
  </r>
  <r>
    <s v="007"/>
    <s v="PR01"/>
    <s v="820XMC805"/>
    <s v="GOUPILLE D4*30 Elastique"/>
    <s v="UN"/>
    <n v="150"/>
    <n v="0.10878985088138404"/>
    <n v="16.318477632207607"/>
    <x v="3"/>
  </r>
  <r>
    <s v="007"/>
    <s v="PR02"/>
    <s v="810PAR039"/>
    <s v="PARE HUILE 60*45*10 VIS OXYDE"/>
    <s v="UN"/>
    <n v="4"/>
    <n v="4.0823999999999998"/>
    <n v="16.329599999999999"/>
    <x v="3"/>
  </r>
  <r>
    <s v="007"/>
    <s v="PR01"/>
    <s v="815FUS033"/>
    <s v="Fusible 35A 500V 50KA Forme bouteille   COS4"/>
    <s v="UN"/>
    <n v="15"/>
    <n v="1.0888"/>
    <n v="16.332000000000001"/>
    <x v="3"/>
  </r>
  <r>
    <s v="007"/>
    <s v="PR01"/>
    <s v="812EMB804"/>
    <s v="Embou PVC Pression 63*50*1&quot;1/2 Male"/>
    <s v="UN"/>
    <n v="6"/>
    <n v="2.7233999999999998"/>
    <n v="16.340399999999999"/>
    <x v="3"/>
  </r>
  <r>
    <s v="007"/>
    <s v="PR02"/>
    <s v="820GOU006"/>
    <s v="GOUPILLE  D5*30 Elastique"/>
    <s v="UN"/>
    <n v="120"/>
    <n v="0.13625000000000001"/>
    <n v="16.350000000000001"/>
    <x v="3"/>
  </r>
  <r>
    <s v="007"/>
    <s v="PR01"/>
    <s v="812XMC010"/>
    <s v="Joint etancheite D29/7*22"/>
    <s v="UN"/>
    <n v="3"/>
    <n v="5.4678875000000007"/>
    <n v="16.403662500000003"/>
    <x v="3"/>
  </r>
  <r>
    <s v="007"/>
    <s v="PR01"/>
    <s v="820XMC492"/>
    <s v="Vis d'arrêt (acier) M10*20"/>
    <s v="UN"/>
    <n v="58"/>
    <n v="0.28334745762711866"/>
    <n v="16.434152542372882"/>
    <x v="3"/>
  </r>
  <r>
    <s v="007"/>
    <s v="PR01"/>
    <s v="812MEM010"/>
    <s v="Mamelon Galva 1&quot; 1/4"/>
    <s v="UN"/>
    <n v="5"/>
    <n v="3.2949999999999999"/>
    <n v="16.475000000000001"/>
    <x v="3"/>
  </r>
  <r>
    <s v="007"/>
    <s v="PR02"/>
    <s v="820XMC268"/>
    <s v="Châpeau chinois D150"/>
    <s v="UN"/>
    <n v="1"/>
    <n v="16.483000000000001"/>
    <n v="16.483000000000001"/>
    <x v="3"/>
  </r>
  <r>
    <s v="007"/>
    <s v="PR01"/>
    <s v="812cod805"/>
    <s v="Coude PVC 90° D40"/>
    <s v="UN"/>
    <n v="6"/>
    <n v="2.75"/>
    <n v="16.5"/>
    <x v="3"/>
  </r>
  <r>
    <s v="007"/>
    <s v="PR01"/>
    <s v="812COD680"/>
    <s v="COUDE PVC P63 90°"/>
    <s v="UN"/>
    <n v="4"/>
    <n v="4.1541066666666673"/>
    <n v="16.616426666666669"/>
    <x v="3"/>
  </r>
  <r>
    <s v="007"/>
    <s v="PR02"/>
    <s v="810PAR002"/>
    <s v="PARAHUILE 70*95*10 HAUT TEMP  MEL FOND"/>
    <s v="UN"/>
    <n v="4"/>
    <n v="4.1580000000000004"/>
    <n v="16.632000000000001"/>
    <x v="3"/>
  </r>
  <r>
    <s v="007"/>
    <s v="PR02"/>
    <s v="820XMC214"/>
    <s v="Vis d'arret M16*50"/>
    <s v="UN"/>
    <n v="3"/>
    <n v="5.5488"/>
    <n v="16.6464"/>
    <x v="3"/>
  </r>
  <r>
    <s v="007"/>
    <s v="PR01"/>
    <s v="815FUS312"/>
    <s v="FUSIBLES 10A 10*38"/>
    <s v="UN"/>
    <n v="32"/>
    <n v="0.5214545454545455"/>
    <n v="16.686545454545456"/>
    <x v="3"/>
  </r>
  <r>
    <s v="007"/>
    <s v="PR02"/>
    <s v="812RAC596"/>
    <s v="Raccord rapide 04-04"/>
    <s v="UN"/>
    <n v="10"/>
    <n v="1.6830000000000001"/>
    <n v="16.830000000000002"/>
    <x v="3"/>
  </r>
  <r>
    <s v="007"/>
    <s v="PR01"/>
    <s v="820xmc219"/>
    <s v="écrou frein M12"/>
    <s v="UN"/>
    <n v="180"/>
    <n v="9.3700000000000006E-2"/>
    <n v="16.866"/>
    <x v="3"/>
  </r>
  <r>
    <s v="007"/>
    <s v="PR01"/>
    <s v="812COD688"/>
    <s v="Coude bargataire D25"/>
    <s v="UN"/>
    <n v="5"/>
    <n v="3.3797142857142854"/>
    <n v="16.898571428571426"/>
    <x v="3"/>
  </r>
  <r>
    <s v="007"/>
    <s v="PR02"/>
    <s v="812RAC064"/>
    <s v="Raccord coudée 8*1/4"/>
    <s v="UN"/>
    <n v="5"/>
    <n v="3.383"/>
    <n v="16.914999999999999"/>
    <x v="3"/>
  </r>
  <r>
    <s v="007"/>
    <s v="PR02"/>
    <s v="820XMC508"/>
    <s v="Rondelle plate (acier) M14"/>
    <s v="UN"/>
    <n v="120"/>
    <n v="0.14147000000000001"/>
    <n v="16.976400000000002"/>
    <x v="3"/>
  </r>
  <r>
    <s v="007"/>
    <s v="PR01"/>
    <s v="812MON004"/>
    <s v="MONCHON BARGUATAIRE D50"/>
    <s v="UN"/>
    <n v="2"/>
    <n v="8.5"/>
    <n v="17"/>
    <x v="3"/>
  </r>
  <r>
    <s v="007"/>
    <s v="PR01"/>
    <s v="820XMC507"/>
    <s v="Rondelle plate (acier) M12"/>
    <s v="UN"/>
    <n v="210"/>
    <n v="8.1000000000000003E-2"/>
    <n v="17.010000000000002"/>
    <x v="3"/>
  </r>
  <r>
    <s v="007"/>
    <s v="PR01"/>
    <s v="810XPM034"/>
    <s v="Attache Rapide 1/2 chaine 08B1"/>
    <s v="UN"/>
    <n v="15"/>
    <n v="1.1348999999999998"/>
    <n v="17.023499999999999"/>
    <x v="3"/>
  </r>
  <r>
    <s v="007"/>
    <s v="PR01"/>
    <s v="812BOU013"/>
    <s v="Bouchon GALVA MALE 15/21"/>
    <s v="UN"/>
    <n v="8"/>
    <n v="2.1303000000000001"/>
    <n v="17.042400000000001"/>
    <x v="3"/>
  </r>
  <r>
    <s v="007"/>
    <s v="PR02"/>
    <s v="815XPE396"/>
    <s v="Presse etoupe arrmoire PG-36"/>
    <s v="UN"/>
    <n v="5"/>
    <n v="3.4119999999999999"/>
    <n v="17.059999999999999"/>
    <x v="3"/>
  </r>
  <r>
    <s v="007"/>
    <s v="PR02"/>
    <s v="815XPE295"/>
    <s v="domino en céramique 2x2,5mm"/>
    <s v="UN"/>
    <n v="7"/>
    <n v="2.4390000000000001"/>
    <n v="17.073"/>
    <x v="3"/>
  </r>
  <r>
    <s v="007"/>
    <s v="PR01"/>
    <s v="820XMC710"/>
    <s v="VIS TF (acier) M05*10"/>
    <s v="UN"/>
    <n v="352"/>
    <n v="4.8576666666666671E-2"/>
    <n v="17.098986666666669"/>
    <x v="3"/>
  </r>
  <r>
    <s v="007"/>
    <s v="PR01"/>
    <s v="820XMC558"/>
    <s v="vis sixpans fraisée M06*30 (acier)"/>
    <s v="UN"/>
    <n v="85"/>
    <n v="0.20159195979899497"/>
    <n v="17.135316582914573"/>
    <x v="3"/>
  </r>
  <r>
    <s v="007"/>
    <s v="PR02"/>
    <s v="810PAR032"/>
    <s v="Parahuile 52*36*7 vis oxyde"/>
    <s v="UN"/>
    <n v="5"/>
    <n v="3.4289999999999998"/>
    <n v="17.145"/>
    <x v="3"/>
  </r>
  <r>
    <s v="007"/>
    <s v="PR02"/>
    <s v="812FLE031"/>
    <s v="Flexible Air chaud Chinois"/>
    <s v="UN"/>
    <n v="5"/>
    <n v="3.4497"/>
    <n v="17.2485"/>
    <x v="3"/>
  </r>
  <r>
    <s v="007"/>
    <s v="PR01"/>
    <s v="815CAB011"/>
    <s v="Fil souple 0.75mm"/>
    <s v="M"/>
    <n v="55"/>
    <n v="0.31363636363636366"/>
    <n v="17.25"/>
    <x v="3"/>
  </r>
  <r>
    <s v="007"/>
    <s v="PR01"/>
    <s v="815SEL336"/>
    <s v="SELECTEUR 2 POSITIONS"/>
    <s v="UN"/>
    <n v="1"/>
    <n v="17.2958"/>
    <n v="17.2958"/>
    <x v="3"/>
  </r>
  <r>
    <s v="007"/>
    <s v="PR01"/>
    <s v="820XMC497"/>
    <s v="tige fileté (acier) M14"/>
    <s v="UN"/>
    <n v="4"/>
    <n v="4.3360000000000003"/>
    <n v="17.344000000000001"/>
    <x v="3"/>
  </r>
  <r>
    <s v="007"/>
    <s v="PR01"/>
    <s v="812MEM025"/>
    <s v="MAMELON Galva 1/4-1/4 Male"/>
    <s v="UN"/>
    <n v="9"/>
    <n v="1.9379999999999999"/>
    <n v="17.442"/>
    <x v="3"/>
  </r>
  <r>
    <s v="007"/>
    <s v="PR01"/>
    <s v="815DIS285"/>
    <s v="Disjoncteur 1x16A"/>
    <s v="UN"/>
    <n v="2"/>
    <n v="8.7240000000000002"/>
    <n v="17.448"/>
    <x v="3"/>
  </r>
  <r>
    <s v="007"/>
    <s v="PR02"/>
    <s v="815GOU006"/>
    <s v="GOUPILLE  D6*50"/>
    <s v="UN"/>
    <n v="62"/>
    <n v="0.28150974025974029"/>
    <n v="17.4536038961039"/>
    <x v="3"/>
  </r>
  <r>
    <s v="007"/>
    <s v="PR01"/>
    <s v="840PNA032"/>
    <s v="PINCEAU ROND 60"/>
    <s v="UN"/>
    <n v="2"/>
    <n v="8.7498000000000005"/>
    <n v="17.499600000000001"/>
    <x v="3"/>
  </r>
  <r>
    <s v="007"/>
    <s v="PR01"/>
    <s v="812RAC089"/>
    <s v="Raccord bargataire D90"/>
    <s v="UN"/>
    <n v="2"/>
    <n v="8.75"/>
    <n v="17.5"/>
    <x v="3"/>
  </r>
  <r>
    <s v="007"/>
    <s v="PR02"/>
    <s v="812COD022"/>
    <s v="Coude PPR 90° D50"/>
    <s v="UN"/>
    <n v="5"/>
    <n v="3.5"/>
    <n v="17.5"/>
    <x v="3"/>
  </r>
  <r>
    <s v="007"/>
    <s v="PR02"/>
    <s v="820XMC874"/>
    <s v="vis six pans (INOX) M08*25"/>
    <s v="UN"/>
    <n v="32"/>
    <n v="0.54900000000000004"/>
    <n v="17.568000000000001"/>
    <x v="3"/>
  </r>
  <r>
    <s v="007"/>
    <s v="PR01"/>
    <s v="820XMC504"/>
    <s v="Rondelle plate (acier) M06"/>
    <s v="UN"/>
    <n v="230"/>
    <n v="7.6499999999999999E-2"/>
    <n v="17.594999999999999"/>
    <x v="3"/>
  </r>
  <r>
    <s v="007"/>
    <s v="PR02"/>
    <s v="812tub643"/>
    <s v="Tube PVC P 32"/>
    <s v="M"/>
    <n v="4"/>
    <n v="4.41"/>
    <n v="17.64"/>
    <x v="3"/>
  </r>
  <r>
    <s v="007"/>
    <s v="PR01"/>
    <s v="812MON026"/>
    <s v="MONCHON BARGUATAIRE D63"/>
    <s v="UN"/>
    <n v="2"/>
    <n v="8.8308"/>
    <n v="17.6616"/>
    <x v="3"/>
  </r>
  <r>
    <s v="007"/>
    <s v="PR02"/>
    <s v="820XMC363"/>
    <s v="VIS TH M05*40 (acier)"/>
    <s v="UN"/>
    <n v="250"/>
    <n v="7.0999999999999994E-2"/>
    <n v="17.75"/>
    <x v="3"/>
  </r>
  <r>
    <s v="007"/>
    <s v="PR02"/>
    <s v="810XPM209"/>
    <s v="Attache rapide pour chaine 10B1"/>
    <s v="UN"/>
    <n v="23"/>
    <n v="0.77400000000000002"/>
    <n v="17.802"/>
    <x v="3"/>
  </r>
  <r>
    <s v="007"/>
    <s v="PR01"/>
    <s v="812BOU698"/>
    <s v="Bouchon PVC75"/>
    <s v="UN"/>
    <n v="2"/>
    <n v="8.9250000000000007"/>
    <n v="17.850000000000001"/>
    <x v="3"/>
  </r>
  <r>
    <s v="007"/>
    <s v="PR01"/>
    <s v="812TTE058"/>
    <s v="TE PVC PR D50"/>
    <s v="UN"/>
    <n v="2"/>
    <n v="8.9250000000000007"/>
    <n v="17.850000000000001"/>
    <x v="3"/>
  </r>
  <r>
    <s v="007"/>
    <s v="PR02"/>
    <s v="810ROX007"/>
    <s v="Toc Elastique N24 M.tubulaire"/>
    <s v="UN"/>
    <n v="1"/>
    <n v="17.91"/>
    <n v="17.91"/>
    <x v="3"/>
  </r>
  <r>
    <s v="007"/>
    <s v="PR01"/>
    <s v="820XMC478"/>
    <s v="écrou (Inox) M04"/>
    <s v="UN"/>
    <n v="230"/>
    <n v="7.8E-2"/>
    <n v="17.940000000000001"/>
    <x v="3"/>
  </r>
  <r>
    <s v="007"/>
    <s v="PR01"/>
    <s v="830XOU159"/>
    <s v="ROUE PIVOTANTE POLYAMIDE Mobile D.exter 100mm FRE"/>
    <s v="UN"/>
    <n v="1"/>
    <n v="17.940000000000001"/>
    <n v="17.940000000000001"/>
    <x v="3"/>
  </r>
  <r>
    <s v="007"/>
    <s v="PR01"/>
    <s v="815GOU003"/>
    <s v="GOUPILLE  D6*60"/>
    <s v="UN"/>
    <n v="38"/>
    <n v="0.47260000000000002"/>
    <n v="17.9588"/>
    <x v="3"/>
  </r>
  <r>
    <s v="007"/>
    <s v="PR02"/>
    <s v="820XMC850"/>
    <s v="VIS TH (acier) M12*60"/>
    <s v="UN"/>
    <n v="62"/>
    <n v="0.28999999999999998"/>
    <n v="17.98"/>
    <x v="3"/>
  </r>
  <r>
    <s v="007"/>
    <s v="PR01"/>
    <s v="820ABR016"/>
    <s v="Papier abrasif N400"/>
    <s v="UN"/>
    <n v="32"/>
    <n v="0.56200000000000006"/>
    <n v="17.984000000000002"/>
    <x v="3"/>
  </r>
  <r>
    <s v="007"/>
    <s v="PR02"/>
    <s v="820ABR016"/>
    <s v="Papier abrasif N400"/>
    <s v="UN"/>
    <n v="32"/>
    <n v="0.56200000000000006"/>
    <n v="17.984000000000002"/>
    <x v="3"/>
  </r>
  <r>
    <s v="007"/>
    <s v="PR02"/>
    <s v="820XMC622"/>
    <s v="Vis TH(acier) M08*100"/>
    <s v="UN"/>
    <n v="52"/>
    <n v="0.3468"/>
    <n v="18.0336"/>
    <x v="3"/>
  </r>
  <r>
    <s v="007"/>
    <s v="PR02"/>
    <s v="820XMC109"/>
    <s v="VIS TH (acier) M06*40"/>
    <s v="UN"/>
    <n v="150"/>
    <n v="0.12065255813953489"/>
    <n v="18.097883720930234"/>
    <x v="3"/>
  </r>
  <r>
    <s v="007"/>
    <s v="PR02"/>
    <s v="812XPB006"/>
    <s v="Crépine a filtre PVC 26/34 (1&quot;)"/>
    <s v="UN"/>
    <n v="1"/>
    <n v="18.105"/>
    <n v="18.105"/>
    <x v="3"/>
  </r>
  <r>
    <s v="007"/>
    <s v="PR01"/>
    <s v="820XMC173"/>
    <s v="VIS TH (acier) M08*20"/>
    <s v="UN"/>
    <n v="190"/>
    <n v="9.5399999999999985E-2"/>
    <n v="18.125999999999998"/>
    <x v="3"/>
  </r>
  <r>
    <s v="007"/>
    <s v="PR01"/>
    <s v="830TAR893"/>
    <s v="taraud 6"/>
    <s v="UN"/>
    <n v="2"/>
    <n v="9.0953999999999997"/>
    <n v="18.190799999999999"/>
    <x v="3"/>
  </r>
  <r>
    <s v="007"/>
    <s v="PR01"/>
    <s v="812RED010"/>
    <s v="REDUCTION GALVA 1&quot;1/4--&gt;1&quot;"/>
    <s v="UN"/>
    <n v="6"/>
    <n v="3.032"/>
    <n v="18.192"/>
    <x v="3"/>
  </r>
  <r>
    <s v="007"/>
    <s v="PR01"/>
    <s v="810COU072"/>
    <s v="COURROIE 13*686Li A27 (Pompe COS1)"/>
    <s v="UN"/>
    <n v="4"/>
    <n v="4.5530999999999997"/>
    <n v="18.212399999999999"/>
    <x v="3"/>
  </r>
  <r>
    <s v="007"/>
    <s v="PR01"/>
    <s v="815XPE376"/>
    <s v="Repere fil 1.5-3.2mm (paquet 1000pcs)"/>
    <s v="UN"/>
    <n v="4"/>
    <n v="4.5599999999999996"/>
    <n v="18.239999999999998"/>
    <x v="3"/>
  </r>
  <r>
    <s v="007"/>
    <s v="PR01"/>
    <s v="812RAC030"/>
    <s v="REDUCTION DROIT MALE 1/4 FEMELLE 1/8"/>
    <s v="UN"/>
    <n v="12"/>
    <n v="1.5299999999999998"/>
    <n v="18.36"/>
    <x v="3"/>
  </r>
  <r>
    <s v="007"/>
    <s v="PR02"/>
    <s v="812COL039"/>
    <s v="Circlips exterieur 12"/>
    <s v="UN"/>
    <n v="48"/>
    <n v="0.38250000000000001"/>
    <n v="18.36"/>
    <x v="3"/>
  </r>
  <r>
    <s v="007"/>
    <s v="PR02"/>
    <s v="820XMC504"/>
    <s v="Rondelle plate (acier) M06"/>
    <s v="UN"/>
    <n v="240"/>
    <n v="7.6499999999999999E-2"/>
    <n v="18.36"/>
    <x v="3"/>
  </r>
  <r>
    <s v="007"/>
    <s v="PR01"/>
    <s v="815FUS018"/>
    <s v="Fusible 20A 400V 10*38"/>
    <s v="UN"/>
    <n v="15"/>
    <n v="1.2300627272727274"/>
    <n v="18.45094090909091"/>
    <x v="3"/>
  </r>
  <r>
    <s v="007"/>
    <s v="PR02"/>
    <s v="812MEM723"/>
    <s v="MAMLON GALVA20/27"/>
    <s v="UN"/>
    <n v="12"/>
    <n v="1.5428333333333333"/>
    <n v="18.513999999999999"/>
    <x v="3"/>
  </r>
  <r>
    <s v="007"/>
    <s v="PR01"/>
    <s v="820XMC174"/>
    <s v="Rondelle plate (acier) M24"/>
    <s v="UN"/>
    <n v="44"/>
    <n v="0.42159999999999997"/>
    <n v="18.5504"/>
    <x v="3"/>
  </r>
  <r>
    <s v="007"/>
    <s v="PR02"/>
    <s v="812FLE004"/>
    <s v="Flexible 15M  15F"/>
    <s v="UN"/>
    <n v="3"/>
    <n v="6.1845499999999989"/>
    <n v="18.553649999999998"/>
    <x v="3"/>
  </r>
  <r>
    <s v="007"/>
    <s v="PR02"/>
    <s v="830XOU074"/>
    <s v="Gaine poste soudure poste semi"/>
    <s v="UN"/>
    <n v="5"/>
    <n v="3.7214999999999998"/>
    <n v="18.607499999999998"/>
    <x v="3"/>
  </r>
  <r>
    <s v="007"/>
    <s v="PR01"/>
    <s v="812MON718"/>
    <s v="MONCHON PVC PR D63"/>
    <s v="UN"/>
    <n v="6"/>
    <n v="3.103017857142857"/>
    <n v="18.618107142857141"/>
    <x v="3"/>
  </r>
  <r>
    <s v="007"/>
    <s v="PR01"/>
    <s v="820XMC369"/>
    <s v="Vis TH (acier) M08*40"/>
    <s v="UN"/>
    <n v="98"/>
    <n v="0.19"/>
    <n v="18.62"/>
    <x v="3"/>
  </r>
  <r>
    <s v="007"/>
    <s v="PR01"/>
    <s v="812MON005"/>
    <s v="MONCHON BARGUATAIRE D25"/>
    <s v="UN"/>
    <n v="5"/>
    <n v="3.7376999999999998"/>
    <n v="18.688499999999998"/>
    <x v="3"/>
  </r>
  <r>
    <s v="007"/>
    <s v="PR01"/>
    <s v="810XPM227"/>
    <s v="GRAISSEUR Coudee M6"/>
    <s v="UN"/>
    <n v="21"/>
    <n v="0.89190000000000003"/>
    <n v="18.729900000000001"/>
    <x v="3"/>
  </r>
  <r>
    <s v="007"/>
    <s v="PR01"/>
    <s v="812EMB745"/>
    <s v="Embou PVC PR 50*40*1&quot;1/4 MALE"/>
    <s v="UN"/>
    <n v="7"/>
    <n v="2.6760000000000002"/>
    <n v="18.731999999999999"/>
    <x v="3"/>
  </r>
  <r>
    <s v="007"/>
    <s v="PR02"/>
    <s v="810PAR144"/>
    <s v="PARE HUILE 45*65*8"/>
    <s v="UN"/>
    <n v="5"/>
    <n v="3.7530000000000001"/>
    <n v="18.765000000000001"/>
    <x v="3"/>
  </r>
  <r>
    <s v="007"/>
    <s v="PR01"/>
    <s v="820XMC396"/>
    <s v="vis six pans (acier) M05*40"/>
    <s v="UN"/>
    <n v="260"/>
    <n v="7.2249999999999995E-2"/>
    <n v="18.785"/>
    <x v="3"/>
  </r>
  <r>
    <s v="007"/>
    <s v="PR02"/>
    <s v="812COL056"/>
    <s v="COLLIER ATLAS D32"/>
    <s v="UN"/>
    <n v="13"/>
    <n v="1.4450000000000001"/>
    <n v="18.785"/>
    <x v="3"/>
  </r>
  <r>
    <s v="007"/>
    <s v="PR01"/>
    <s v="820XMC074"/>
    <s v="écrou (inox) M14"/>
    <s v="UN"/>
    <n v="30"/>
    <n v="0.62900999999999996"/>
    <n v="18.8703"/>
    <x v="3"/>
  </r>
  <r>
    <s v="007"/>
    <s v="PR02"/>
    <s v="810ROU002"/>
    <s v="Roulement 6002 2RSH"/>
    <s v="UN"/>
    <n v="2"/>
    <n v="9.4616999999999987"/>
    <n v="18.923399999999997"/>
    <x v="3"/>
  </r>
  <r>
    <s v="007"/>
    <s v="PR01"/>
    <s v="810pal083"/>
    <s v="PALIER FYTBK 506"/>
    <s v="UN"/>
    <n v="1"/>
    <n v="18.982800000000001"/>
    <n v="18.982800000000001"/>
    <x v="3"/>
  </r>
  <r>
    <s v="007"/>
    <s v="PR02"/>
    <s v="812RED713"/>
    <s v="Réduction PVC PR 63/40"/>
    <s v="UN"/>
    <n v="7"/>
    <n v="2.7130000000000001"/>
    <n v="18.991"/>
    <x v="3"/>
  </r>
  <r>
    <s v="007"/>
    <s v="PR01"/>
    <s v="815XPE199"/>
    <s v="Fiche femelle 3P+T 32A-6 380-415V Encastrer sur c"/>
    <s v="UN"/>
    <n v="1"/>
    <n v="19.065777777777775"/>
    <n v="19.065777777777775"/>
    <x v="3"/>
  </r>
  <r>
    <s v="007"/>
    <s v="PR01"/>
    <s v="815VOY001"/>
    <s v="Voyant LED Rouge 220V"/>
    <s v="UN"/>
    <n v="5"/>
    <n v="3.8250000000000002"/>
    <n v="19.125"/>
    <x v="3"/>
  </r>
  <r>
    <s v="007"/>
    <s v="PR02"/>
    <s v="830XOU173"/>
    <s v="Jeu de calle 0.5-1mm"/>
    <s v="UN"/>
    <n v="1"/>
    <n v="19.125"/>
    <n v="19.125"/>
    <x v="3"/>
  </r>
  <r>
    <s v="007"/>
    <s v="PR02"/>
    <s v="812MON721"/>
    <s v="MONCHON Galva20/27"/>
    <s v="UN"/>
    <n v="8"/>
    <n v="2.3913333333333338"/>
    <n v="19.13066666666667"/>
    <x v="3"/>
  </r>
  <r>
    <s v="007"/>
    <s v="PR01"/>
    <s v="815FUS044"/>
    <s v="FUSIBLE Couteau NH00C 40A GG  Chargeur NACEL"/>
    <s v="UN"/>
    <n v="2"/>
    <n v="9.6"/>
    <n v="19.2"/>
    <x v="3"/>
  </r>
  <r>
    <s v="007"/>
    <s v="PR01"/>
    <s v="810MAN191"/>
    <s v="Manomètre A gaz 4 bar"/>
    <s v="UN"/>
    <n v="1"/>
    <n v="19.5"/>
    <n v="19.5"/>
    <x v="3"/>
  </r>
  <r>
    <s v="007"/>
    <s v="PR01"/>
    <s v="830MCH924"/>
    <s v="Mèche beton 12"/>
    <s v="UN"/>
    <n v="6"/>
    <n v="3.2562000000000002"/>
    <n v="19.537200000000002"/>
    <x v="3"/>
  </r>
  <r>
    <s v="007"/>
    <s v="PR02"/>
    <s v="812COD015"/>
    <s v="COUDE PPR 90° D40"/>
    <s v="UN"/>
    <n v="10"/>
    <n v="1.9550000000000001"/>
    <n v="19.55"/>
    <x v="3"/>
  </r>
  <r>
    <s v="007"/>
    <s v="PR02"/>
    <s v="810XPM229"/>
    <s v="GRAISSEUR Coudee M10"/>
    <s v="UN"/>
    <n v="22"/>
    <n v="0.89190000000000003"/>
    <n v="19.6218"/>
    <x v="3"/>
  </r>
  <r>
    <s v="007"/>
    <s v="PR01"/>
    <s v="820XMC358"/>
    <s v="VIS TH M05*20 (acier)"/>
    <s v="UN"/>
    <n v="520"/>
    <n v="3.78E-2"/>
    <n v="19.655999999999999"/>
    <x v="3"/>
  </r>
  <r>
    <s v="007"/>
    <s v="PR01"/>
    <s v="815CAB258"/>
    <s v="Fil souple 1,5mm Noir"/>
    <s v="M"/>
    <n v="32"/>
    <n v="0.61426999999999998"/>
    <n v="19.656639999999999"/>
    <x v="3"/>
  </r>
  <r>
    <s v="007"/>
    <s v="PR01"/>
    <s v="840FRM004"/>
    <s v="Carnet demande d'intervention 3x50"/>
    <s v="UN"/>
    <n v="3"/>
    <n v="6.5650000000000004"/>
    <n v="19.695"/>
    <x v="3"/>
  </r>
  <r>
    <s v="007"/>
    <s v="PR02"/>
    <s v="810XPM237"/>
    <s v="Attache rapide pour chaine 08B2"/>
    <s v="UN"/>
    <n v="15"/>
    <n v="1.3130999999999999"/>
    <n v="19.6965"/>
    <x v="3"/>
  </r>
  <r>
    <s v="007"/>
    <s v="PR02"/>
    <s v="820XMC050"/>
    <s v="écrou (acier) M20"/>
    <s v="UN"/>
    <n v="43"/>
    <n v="0.46"/>
    <n v="19.78"/>
    <x v="3"/>
  </r>
  <r>
    <s v="007"/>
    <s v="PR01"/>
    <s v="810XPM226"/>
    <s v="GRAISSEUR droit M10"/>
    <s v="UN"/>
    <n v="28"/>
    <n v="0.70656967213114763"/>
    <n v="19.783950819672135"/>
    <x v="3"/>
  </r>
  <r>
    <s v="007"/>
    <s v="PR01"/>
    <s v="812COD701"/>
    <s v="TE GALVA 20*27"/>
    <s v="UN"/>
    <n v="4"/>
    <n v="4.9580000000000002"/>
    <n v="19.832000000000001"/>
    <x v="3"/>
  </r>
  <r>
    <s v="007"/>
    <s v="PR02"/>
    <s v="815XPE325"/>
    <s v="prise apparent 2P+T 16A"/>
    <s v="UN"/>
    <n v="4"/>
    <n v="4.9581"/>
    <n v="19.8324"/>
    <x v="3"/>
  </r>
  <r>
    <s v="007"/>
    <s v="PR01"/>
    <s v="812RAC004"/>
    <s v="RACCORD  3 P PVC  D40"/>
    <s v="UN"/>
    <n v="2"/>
    <n v="9.9719999999999995"/>
    <n v="19.943999999999999"/>
    <x v="3"/>
  </r>
  <r>
    <s v="007"/>
    <s v="PR02"/>
    <s v="820xmc183"/>
    <s v="GOUPILLE M05*60"/>
    <s v="UN"/>
    <n v="86"/>
    <n v="0.2328625924314919"/>
    <n v="20.026182949108303"/>
    <x v="3"/>
  </r>
  <r>
    <s v="007"/>
    <s v="PR02"/>
    <s v="815FUS011"/>
    <s v="Fusible 16A  500V Forme bouteille  50*22"/>
    <s v="UN"/>
    <n v="18"/>
    <n v="1.116077922077922"/>
    <n v="20.089402597402596"/>
    <x v="3"/>
  </r>
  <r>
    <s v="007"/>
    <s v="PR02"/>
    <s v="820XMC046"/>
    <s v="VIS TH M16*120"/>
    <s v="UN"/>
    <n v="12"/>
    <n v="1.6758299999999999"/>
    <n v="20.109960000000001"/>
    <x v="3"/>
  </r>
  <r>
    <s v="007"/>
    <s v="PR02"/>
    <s v="812XOU104"/>
    <s v="Fixation tube IRO D20"/>
    <s v="UN"/>
    <n v="23"/>
    <n v="0.87839999999999996"/>
    <n v="20.203199999999999"/>
    <x v="3"/>
  </r>
  <r>
    <s v="007"/>
    <s v="PR02"/>
    <s v="815dis023"/>
    <s v="Disjoncteur 16A 2P"/>
    <s v="UN"/>
    <n v="1"/>
    <n v="20.211300000000001"/>
    <n v="20.211300000000001"/>
    <x v="3"/>
  </r>
  <r>
    <s v="007"/>
    <s v="PR02"/>
    <s v="815XPE139"/>
    <s v="Cable connecteur capteur M12 4fils"/>
    <s v="M"/>
    <n v="1"/>
    <n v="20.257575757575758"/>
    <n v="20.257575757575758"/>
    <x v="3"/>
  </r>
  <r>
    <s v="007"/>
    <s v="PR01"/>
    <s v="830CLE012"/>
    <s v="pince RIVET"/>
    <s v="UN"/>
    <n v="1"/>
    <n v="20.259"/>
    <n v="20.259"/>
    <x v="3"/>
  </r>
  <r>
    <s v="007"/>
    <s v="PR02"/>
    <s v="810PAR016"/>
    <s v="PARAHUILE 32*60*8"/>
    <s v="UN"/>
    <n v="2"/>
    <n v="10.143000000000001"/>
    <n v="20.286000000000001"/>
    <x v="3"/>
  </r>
  <r>
    <s v="007"/>
    <s v="PR02"/>
    <s v="810PAR086"/>
    <s v="PARE HUILE 100*120*12"/>
    <s v="UN"/>
    <n v="2"/>
    <n v="10.143000000000001"/>
    <n v="20.286000000000001"/>
    <x v="3"/>
  </r>
  <r>
    <s v="007"/>
    <s v="PR02"/>
    <s v="810PAR128"/>
    <s v="Parahuile 105*135*14"/>
    <s v="UN"/>
    <n v="2"/>
    <n v="10.143000000000001"/>
    <n v="20.286000000000001"/>
    <x v="3"/>
  </r>
  <r>
    <s v="007"/>
    <s v="PR01"/>
    <s v="820XMC310"/>
    <s v="Vis d'arrêt (acier) M06*25"/>
    <s v="UN"/>
    <n v="86"/>
    <n v="0.23599999999999999"/>
    <n v="20.295999999999999"/>
    <x v="3"/>
  </r>
  <r>
    <s v="007"/>
    <s v="PR01"/>
    <s v="810ROU117"/>
    <s v="Roulement 6301 2RSH"/>
    <s v="UN"/>
    <n v="2"/>
    <n v="10.17"/>
    <n v="20.34"/>
    <x v="3"/>
  </r>
  <r>
    <s v="007"/>
    <s v="PR01"/>
    <s v="820XMC010"/>
    <s v="Vis sixpans (acier) M10*60"/>
    <s v="UN"/>
    <n v="55"/>
    <n v="0.37094660194174761"/>
    <n v="20.402063106796117"/>
    <x v="3"/>
  </r>
  <r>
    <s v="007"/>
    <s v="PR01"/>
    <s v="815XPE256"/>
    <s v="SPOT LED ROND"/>
    <s v="UN"/>
    <n v="5"/>
    <n v="4.0911764705882359"/>
    <n v="20.455882352941181"/>
    <x v="3"/>
  </r>
  <r>
    <s v="007"/>
    <s v="PR02"/>
    <s v="820XMC402"/>
    <s v="vis six pans (acier) M08*20"/>
    <s v="UN"/>
    <n v="110"/>
    <n v="0.186"/>
    <n v="20.46"/>
    <x v="3"/>
  </r>
  <r>
    <s v="007"/>
    <s v="PR02"/>
    <s v="812COL005"/>
    <s v="COLLIER ATLAS D20"/>
    <s v="UN"/>
    <n v="38"/>
    <n v="0.53843333333333332"/>
    <n v="20.460466666666665"/>
    <x v="3"/>
  </r>
  <r>
    <s v="007"/>
    <s v="PR01"/>
    <s v="812COL068"/>
    <s v="Collier de prise 50  20/27"/>
    <s v="UN"/>
    <n v="5"/>
    <n v="4.0986000000000002"/>
    <n v="20.493000000000002"/>
    <x v="3"/>
  </r>
  <r>
    <s v="007"/>
    <s v="PR01"/>
    <s v="810XPM229"/>
    <s v="GRAISSEUR Coudee M10"/>
    <s v="UN"/>
    <n v="23"/>
    <n v="0.89190000000000003"/>
    <n v="20.5137"/>
    <x v="3"/>
  </r>
  <r>
    <s v="007"/>
    <s v="PR02"/>
    <s v="812EMB746"/>
    <s v="Embou PVC PR 40*32*1&quot; Male"/>
    <s v="UN"/>
    <n v="14"/>
    <n v="1.4670000000000001"/>
    <n v="20.538"/>
    <x v="3"/>
  </r>
  <r>
    <s v="007"/>
    <s v="PR01"/>
    <s v="820XMC453"/>
    <s v="vis six pans (Inox) M06*40"/>
    <s v="UN"/>
    <n v="35"/>
    <n v="0.58799999999999997"/>
    <n v="20.58"/>
    <x v="3"/>
  </r>
  <r>
    <s v="007"/>
    <s v="PR02"/>
    <s v="810COU254"/>
    <s v="COURROIE VECA 100-1800A70"/>
    <s v="UN"/>
    <n v="2"/>
    <n v="10.35"/>
    <n v="20.7"/>
    <x v="3"/>
  </r>
  <r>
    <s v="007"/>
    <s v="PR01"/>
    <s v="812COD806"/>
    <s v="Coude PVC 45° D40"/>
    <s v="UN"/>
    <n v="5"/>
    <n v="4.1684000000000001"/>
    <n v="20.841999999999999"/>
    <x v="3"/>
  </r>
  <r>
    <s v="007"/>
    <s v="PR02"/>
    <s v="810XPM207"/>
    <s v="Attache rapide pour chaine 06B1"/>
    <s v="UN"/>
    <n v="36"/>
    <n v="0.58096363636363624"/>
    <n v="20.914690909090904"/>
    <x v="3"/>
  </r>
  <r>
    <s v="007"/>
    <s v="PR02"/>
    <s v="820XMC621"/>
    <s v="Vis TH(acier) M08*80"/>
    <s v="UN"/>
    <n v="65"/>
    <n v="0.32200000000000001"/>
    <n v="20.93"/>
    <x v="3"/>
  </r>
  <r>
    <s v="007"/>
    <s v="PR01"/>
    <s v="812RAC094"/>
    <s v="RACCORD UNION INEGALE D06-D08"/>
    <s v="UN"/>
    <n v="8"/>
    <n v="2.6179999999999999"/>
    <n v="20.943999999999999"/>
    <x v="3"/>
  </r>
  <r>
    <s v="007"/>
    <s v="PR02"/>
    <s v="810PAR140"/>
    <s v="PAREHUILE 90*55*08 Boite melangeur fonderie"/>
    <s v="UN"/>
    <n v="3"/>
    <n v="6.9992999999999999"/>
    <n v="20.997900000000001"/>
    <x v="3"/>
  </r>
  <r>
    <s v="007"/>
    <s v="PR01"/>
    <s v="815xpe103"/>
    <s v="Tube Neon 60"/>
    <s v="UN"/>
    <n v="6"/>
    <n v="3.5"/>
    <n v="21"/>
    <x v="3"/>
  </r>
  <r>
    <s v="007"/>
    <s v="PR01"/>
    <s v="815XPE095"/>
    <s v="SILENT BLOC ELBAK 15X15"/>
    <s v="UN"/>
    <n v="9"/>
    <n v="2.3380714285714284"/>
    <n v="21.042642857142855"/>
    <x v="3"/>
  </r>
  <r>
    <s v="007"/>
    <s v="PR01"/>
    <s v="820XMC397"/>
    <s v="vis six pans (acier) M06*10"/>
    <s v="UN"/>
    <n v="310"/>
    <n v="6.8000000000000005E-2"/>
    <n v="21.080000000000002"/>
    <x v="3"/>
  </r>
  <r>
    <s v="007"/>
    <s v="PR01"/>
    <s v="830XOU929"/>
    <s v="Brosse métallique ROUGE"/>
    <s v="UN"/>
    <n v="5"/>
    <n v="4.2229999999999999"/>
    <n v="21.114999999999998"/>
    <x v="3"/>
  </r>
  <r>
    <s v="007"/>
    <s v="PR02"/>
    <s v="815XPE248"/>
    <s v="Bornier 4mm"/>
    <s v="UN"/>
    <n v="28"/>
    <n v="0.75768000000000002"/>
    <n v="21.215040000000002"/>
    <x v="3"/>
  </r>
  <r>
    <s v="007"/>
    <s v="PR01"/>
    <s v="815FUS004"/>
    <s v="FUSIBLE   6A 14*51 500W"/>
    <s v="UN"/>
    <n v="22"/>
    <n v="0.96711999999999987"/>
    <n v="21.276639999999997"/>
    <x v="3"/>
  </r>
  <r>
    <s v="007"/>
    <s v="PR01"/>
    <s v="812RED049"/>
    <s v="Reduction Galva 2&quot;1/2--1&quot;1/2"/>
    <s v="UN"/>
    <n v="2"/>
    <n v="10.659000000000001"/>
    <n v="21.318000000000001"/>
    <x v="3"/>
  </r>
  <r>
    <s v="007"/>
    <s v="PR01"/>
    <s v="820XMC512"/>
    <s v="Rondelle plate (Inox) M05"/>
    <s v="UN"/>
    <n v="410"/>
    <n v="5.1999999999999998E-2"/>
    <n v="21.32"/>
    <x v="3"/>
  </r>
  <r>
    <s v="007"/>
    <s v="PR01"/>
    <s v="810XPM228"/>
    <s v="GRAISSEUR Coudee M8"/>
    <s v="UN"/>
    <n v="24"/>
    <n v="0.89190000000000003"/>
    <n v="21.4056"/>
    <x v="3"/>
  </r>
  <r>
    <s v="007"/>
    <s v="PR02"/>
    <s v="812MON016"/>
    <s v="Monchon PPR 1&quot; 1/2"/>
    <s v="UN"/>
    <n v="8"/>
    <n v="2.6775000000000002"/>
    <n v="21.42"/>
    <x v="3"/>
  </r>
  <r>
    <s v="007"/>
    <s v="PR02"/>
    <s v="815XOU012"/>
    <s v="COSSE A BRIDE 35 MM"/>
    <s v="UN"/>
    <n v="10"/>
    <n v="2.15"/>
    <n v="21.5"/>
    <x v="3"/>
  </r>
  <r>
    <s v="007"/>
    <s v="PR02"/>
    <s v="815GAI319"/>
    <s v="gaine anti chaleur 12mm"/>
    <s v="UN"/>
    <n v="4"/>
    <n v="5.4135"/>
    <n v="21.654"/>
    <x v="3"/>
  </r>
  <r>
    <s v="007"/>
    <s v="PR01"/>
    <s v="812RED713"/>
    <s v="Réduction PVC PR 63/40"/>
    <s v="UN"/>
    <n v="8"/>
    <n v="2.7130000000000001"/>
    <n v="21.704000000000001"/>
    <x v="3"/>
  </r>
  <r>
    <s v="007"/>
    <s v="PR02"/>
    <s v="810COU043"/>
    <s v="POULIE 1SPA112TB SKF M.Grille Wirtz"/>
    <s v="UN"/>
    <n v="1"/>
    <n v="21.790800000000001"/>
    <n v="21.790800000000001"/>
    <x v="3"/>
  </r>
  <r>
    <s v="007"/>
    <s v="PR02"/>
    <s v="820XMC606"/>
    <s v="Vis TH (acier) M20*60"/>
    <s v="UN"/>
    <n v="10"/>
    <n v="2.1949999999999998"/>
    <n v="21.95"/>
    <x v="3"/>
  </r>
  <r>
    <s v="007"/>
    <s v="PR01"/>
    <s v="820XMC368"/>
    <s v="VIS TH (acier) M08*30"/>
    <s v="UN"/>
    <n v="120"/>
    <n v="0.183"/>
    <n v="21.96"/>
    <x v="3"/>
  </r>
  <r>
    <s v="007"/>
    <s v="PR02"/>
    <s v="820XMC269"/>
    <s v="Châpeau chinois D200"/>
    <s v="UN"/>
    <n v="1"/>
    <n v="21.978000000000002"/>
    <n v="21.978000000000002"/>
    <x v="3"/>
  </r>
  <r>
    <s v="007"/>
    <s v="PR02"/>
    <s v="820XMC162"/>
    <s v="Vis TH(acier) M06*100"/>
    <s v="UN"/>
    <n v="75"/>
    <n v="0.29325000000000001"/>
    <n v="21.993750000000002"/>
    <x v="3"/>
  </r>
  <r>
    <s v="007"/>
    <s v="PR01"/>
    <s v="-"/>
    <s v="BOUCHON PLASTIC T12 "/>
    <s v="UN"/>
    <n v="10"/>
    <n v="2.2000000000000002"/>
    <n v="22"/>
    <x v="3"/>
  </r>
  <r>
    <s v="007"/>
    <s v="PR01"/>
    <s v="812MON008"/>
    <s v="MONCHON Galva 26*34"/>
    <s v="UN"/>
    <n v="9"/>
    <n v="2.448"/>
    <n v="22.032"/>
    <x v="3"/>
  </r>
  <r>
    <s v="007"/>
    <s v="PR01"/>
    <s v="815REL003"/>
    <s v="RELAIS DE NIVEAU DHC19S-S"/>
    <s v="UN"/>
    <n v="1"/>
    <n v="22.1464"/>
    <n v="22.1464"/>
    <x v="3"/>
  </r>
  <r>
    <s v="007"/>
    <s v="PR01"/>
    <s v="812TTE668"/>
    <s v="T PVC P32"/>
    <s v="UN"/>
    <n v="9"/>
    <n v="2.4782999999999999"/>
    <n v="22.3047"/>
    <x v="3"/>
  </r>
  <r>
    <s v="007"/>
    <s v="PR01"/>
    <s v="810XPM237"/>
    <s v="Attache rapide pour chaine 08B2"/>
    <s v="UN"/>
    <n v="17"/>
    <n v="1.3130999999999999"/>
    <n v="22.322699999999998"/>
    <x v="3"/>
  </r>
  <r>
    <s v="007"/>
    <s v="PR02"/>
    <s v="815XPE361"/>
    <s v="Fiche male 32A 2P+T 380v"/>
    <s v="UN"/>
    <n v="2"/>
    <n v="11.183999999999999"/>
    <n v="22.367999999999999"/>
    <x v="3"/>
  </r>
  <r>
    <s v="007"/>
    <s v="PR02"/>
    <s v="820XMC496"/>
    <s v="tige fileté (acier) M12"/>
    <s v="UN"/>
    <n v="5"/>
    <n v="4.4850000000000003"/>
    <n v="22.425000000000001"/>
    <x v="3"/>
  </r>
  <r>
    <s v="007"/>
    <s v="PR02"/>
    <s v="820XMC376"/>
    <s v="Vis TH (acier) M10*120"/>
    <s v="UN"/>
    <n v="36"/>
    <n v="0.62390000000000001"/>
    <n v="22.4604"/>
    <x v="3"/>
  </r>
  <r>
    <s v="007"/>
    <s v="PR01"/>
    <s v="820XMC015"/>
    <s v="écrou (acier) M14"/>
    <s v="UN"/>
    <n v="180"/>
    <n v="0.125"/>
    <n v="22.5"/>
    <x v="3"/>
  </r>
  <r>
    <s v="007"/>
    <s v="PR01"/>
    <s v="820XMC364"/>
    <s v="VIS TH M06*20 (acier)"/>
    <s v="UN"/>
    <n v="450"/>
    <n v="0.05"/>
    <n v="22.5"/>
    <x v="3"/>
  </r>
  <r>
    <s v="007"/>
    <s v="PR01"/>
    <s v="820XMC371"/>
    <s v="VIS TH (acier) M10*20"/>
    <s v="UN"/>
    <n v="140"/>
    <n v="0.16076999999999997"/>
    <n v="22.507799999999996"/>
    <x v="3"/>
  </r>
  <r>
    <s v="007"/>
    <s v="PR01"/>
    <s v="812RAC728"/>
    <s v="raccord 3P Galva 20/27"/>
    <s v="UN"/>
    <n v="5"/>
    <n v="4.5022500000000001"/>
    <n v="22.51125"/>
    <x v="3"/>
  </r>
  <r>
    <s v="007"/>
    <s v="PR01"/>
    <s v="810XPM142"/>
    <s v="Joint torique EN VITON 1.78*25.12  Perç SOVEMA"/>
    <s v="UN"/>
    <n v="10"/>
    <n v="2.2610000000000001"/>
    <n v="22.61"/>
    <x v="3"/>
  </r>
  <r>
    <s v="007"/>
    <s v="PR01"/>
    <s v="820XMC589"/>
    <s v="Vis d'arrêt (acier) M12*10"/>
    <s v="UN"/>
    <n v="45"/>
    <n v="0.50349999999999995"/>
    <n v="22.657499999999999"/>
    <x v="3"/>
  </r>
  <r>
    <s v="007"/>
    <s v="PR02"/>
    <m/>
    <s v="FLEXIBLE CHALUMEAU ROUGE"/>
    <s v="M"/>
    <n v="10"/>
    <n v="2.2701799999999999"/>
    <n v="22.701799999999999"/>
    <x v="3"/>
  </r>
  <r>
    <s v="007"/>
    <s v="PR02"/>
    <m/>
    <s v="FLEXIBLE CHALUMEAU BLEU"/>
    <s v="M"/>
    <n v="10"/>
    <n v="2.2701799999999999"/>
    <n v="22.701799999999999"/>
    <x v="3"/>
  </r>
  <r>
    <s v="007"/>
    <s v="PR01"/>
    <s v="820XMC486"/>
    <s v="Vis d'arrêt (acier) M06*10"/>
    <s v="UN"/>
    <n v="285"/>
    <n v="0.08"/>
    <n v="22.8"/>
    <x v="3"/>
  </r>
  <r>
    <s v="007"/>
    <s v="PR02"/>
    <s v="812XPB041"/>
    <s v="Flexible DOUCHE 150"/>
    <s v="UN"/>
    <n v="3"/>
    <n v="7.6049499999999997"/>
    <n v="22.81485"/>
    <x v="3"/>
  </r>
  <r>
    <s v="007"/>
    <s v="PR01"/>
    <s v="820XMC178"/>
    <s v="vis six pans (acier) M05*60"/>
    <s v="UN"/>
    <n v="168"/>
    <n v="0.13600000000000001"/>
    <n v="22.848000000000003"/>
    <x v="3"/>
  </r>
  <r>
    <s v="007"/>
    <s v="PR02"/>
    <s v="812TUB015"/>
    <s v="TUBE PPR D20"/>
    <s v="M"/>
    <n v="10"/>
    <n v="2.2949999999999999"/>
    <n v="22.95"/>
    <x v="3"/>
  </r>
  <r>
    <s v="007"/>
    <s v="PR01"/>
    <s v="815VOY005"/>
    <s v="Voyant LED Orangé 24VAC"/>
    <s v="UN"/>
    <n v="6"/>
    <n v="3.8250000000000002"/>
    <n v="22.950000000000003"/>
    <x v="3"/>
  </r>
  <r>
    <s v="007"/>
    <s v="PR02"/>
    <s v="812RAC211"/>
    <s v="Adaptateur M/M 1/4*JIC 9/16"/>
    <s v="UN"/>
    <n v="3"/>
    <n v="7.65"/>
    <n v="22.950000000000003"/>
    <x v="3"/>
  </r>
  <r>
    <s v="007"/>
    <s v="PR01"/>
    <s v="815XPE052"/>
    <s v="Domino en plastique 25A"/>
    <s v="UN"/>
    <n v="25"/>
    <n v="0.91877982456140361"/>
    <n v="22.96949561403509"/>
    <x v="3"/>
  </r>
  <r>
    <s v="007"/>
    <s v="PR01"/>
    <s v="812MEM725"/>
    <s v="MAMELON GALVA D75 2&quot;1/2"/>
    <s v="UN"/>
    <n v="2"/>
    <n v="11.490237762237765"/>
    <n v="22.98047552447553"/>
    <x v="3"/>
  </r>
  <r>
    <s v="007"/>
    <s v="PR01"/>
    <s v="815XPE121"/>
    <s v="Scotch chatterton Grand taille"/>
    <s v="UN"/>
    <n v="10"/>
    <n v="2.2999999999999998"/>
    <n v="23"/>
    <x v="3"/>
  </r>
  <r>
    <s v="007"/>
    <s v="PR02"/>
    <s v="812RAC598"/>
    <s v="Raccord Egale 8/8"/>
    <s v="UN"/>
    <n v="8"/>
    <n v="2.8834363636363638"/>
    <n v="23.06749090909091"/>
    <x v="3"/>
  </r>
  <r>
    <s v="007"/>
    <s v="PR01"/>
    <s v="815DIS298"/>
    <s v="Disjoncteur 32A monophasé 1*32"/>
    <s v="UN"/>
    <n v="2"/>
    <n v="11.548999999999999"/>
    <n v="23.097999999999999"/>
    <x v="3"/>
  </r>
  <r>
    <s v="007"/>
    <s v="PR02"/>
    <s v="810ROU206"/>
    <s v="Roulement conique LM48548/510/Q  AXE ROUE HYSTER"/>
    <s v="UN"/>
    <n v="1"/>
    <n v="23.105999999999998"/>
    <n v="23.105999999999998"/>
    <x v="3"/>
  </r>
  <r>
    <s v="007"/>
    <s v="PR01"/>
    <s v="820XMC505"/>
    <s v="Rondelle plate (acier) M08"/>
    <s v="UN"/>
    <n v="542"/>
    <n v="4.2750000000000003E-2"/>
    <n v="23.170500000000001"/>
    <x v="3"/>
  </r>
  <r>
    <s v="007"/>
    <s v="PR02"/>
    <s v="820XMC849"/>
    <s v="VIS TH(acier) M08*70"/>
    <s v="UN"/>
    <n v="80"/>
    <n v="0.28999999999999998"/>
    <n v="23.2"/>
    <x v="3"/>
  </r>
  <r>
    <s v="007"/>
    <s v="PR01"/>
    <s v="812COD007"/>
    <s v="COUDE GALVA  26/34"/>
    <s v="UN"/>
    <n v="7"/>
    <n v="3.3184"/>
    <n v="23.2288"/>
    <x v="3"/>
  </r>
  <r>
    <s v="007"/>
    <s v="PR01"/>
    <s v="812MEM029"/>
    <s v="MAMELON Laiton 20/27 (3/4&quot;)"/>
    <s v="UN"/>
    <n v="9"/>
    <n v="2.5865999999999998"/>
    <n v="23.279399999999999"/>
    <x v="3"/>
  </r>
  <r>
    <s v="007"/>
    <s v="PR02"/>
    <s v="812COD702"/>
    <s v="COUDE PVC PR 32 45°"/>
    <s v="UN"/>
    <n v="5"/>
    <n v="4.6580000000000004"/>
    <n v="23.290000000000003"/>
    <x v="3"/>
  </r>
  <r>
    <s v="007"/>
    <s v="PR02"/>
    <s v="812ver030"/>
    <s v="Coupelle EN NBR EDE 71.9-83-7.52"/>
    <s v="UN"/>
    <n v="2"/>
    <n v="11.6478"/>
    <n v="23.2956"/>
    <x v="3"/>
  </r>
  <r>
    <s v="007"/>
    <s v="PR01"/>
    <s v="815xpe008"/>
    <s v="boite derivation"/>
    <s v="UN"/>
    <n v="2"/>
    <n v="11.684100000000001"/>
    <n v="23.368200000000002"/>
    <x v="3"/>
  </r>
  <r>
    <s v="007"/>
    <s v="PR02"/>
    <s v="812RAC068"/>
    <s v="RACCORD PPR FEMELLE D63"/>
    <s v="UN"/>
    <n v="1"/>
    <n v="23.387"/>
    <n v="23.387"/>
    <x v="3"/>
  </r>
  <r>
    <s v="007"/>
    <s v="PR01"/>
    <s v="820ABR013"/>
    <s v="PAPIER ABRASIF 150"/>
    <s v="UN"/>
    <n v="40"/>
    <n v="0.58499999999999996"/>
    <n v="23.4"/>
    <x v="3"/>
  </r>
  <r>
    <s v="007"/>
    <s v="PR02"/>
    <s v="820ABR013"/>
    <s v="PAPIER ABRASIF 150"/>
    <s v="UN"/>
    <n v="40"/>
    <n v="0.58499999999999996"/>
    <n v="23.4"/>
    <x v="3"/>
  </r>
  <r>
    <s v="007"/>
    <s v="PR01"/>
    <s v="820XMC407"/>
    <s v="vis six pans (acier) M10*20"/>
    <s v="UN"/>
    <n v="120"/>
    <n v="0.19515999999999997"/>
    <n v="23.419199999999996"/>
    <x v="3"/>
  </r>
  <r>
    <s v="007"/>
    <s v="PR01"/>
    <s v="812COD010"/>
    <s v="COUDE PPR D20"/>
    <s v="UN"/>
    <n v="40"/>
    <n v="0.58650000000000002"/>
    <n v="23.46"/>
    <x v="3"/>
  </r>
  <r>
    <s v="007"/>
    <s v="PR02"/>
    <s v="810MAN004"/>
    <s v="MANOMETRE hydrolique 0 à 160BAR 1/4&quot;"/>
    <s v="UN"/>
    <n v="1"/>
    <n v="23.5"/>
    <n v="23.5"/>
    <x v="3"/>
  </r>
  <r>
    <s v="007"/>
    <s v="PR01"/>
    <s v="820XMC393"/>
    <s v="vis six pans (acier) M12*50"/>
    <s v="UN"/>
    <n v="35"/>
    <n v="0.68090066225165569"/>
    <n v="23.831523178807949"/>
    <x v="3"/>
  </r>
  <r>
    <s v="007"/>
    <s v="PR02"/>
    <s v="820XMC656"/>
    <s v="VIS TH (acier) M10*50 Filtage complet"/>
    <s v="UN"/>
    <n v="56"/>
    <n v="0.42626999999999998"/>
    <n v="23.871119999999998"/>
    <x v="3"/>
  </r>
  <r>
    <s v="007"/>
    <s v="PR02"/>
    <s v="812COD674"/>
    <s v="COUDE NOIR20/27"/>
    <s v="UN"/>
    <n v="4"/>
    <n v="5.9912121212121212"/>
    <n v="23.964848484848485"/>
    <x v="3"/>
  </r>
  <r>
    <s v="007"/>
    <s v="PR01"/>
    <m/>
    <s v="VIS TH 10X120 GALVA"/>
    <s v="UN"/>
    <n v="50"/>
    <n v="0.48"/>
    <n v="24"/>
    <x v="3"/>
  </r>
  <r>
    <s v="007"/>
    <s v="PR02"/>
    <s v="820xmc276"/>
    <s v="Vis d'arrêt (INOX) M08*10"/>
    <s v="UN"/>
    <n v="140"/>
    <n v="0.17196"/>
    <n v="24.074400000000001"/>
    <x v="3"/>
  </r>
  <r>
    <s v="007"/>
    <s v="PR01"/>
    <s v="820XMC237"/>
    <s v="vis six pans (Acier) M12*80"/>
    <s v="UN"/>
    <n v="25"/>
    <n v="0.96389999999999998"/>
    <n v="24.0975"/>
    <x v="3"/>
  </r>
  <r>
    <s v="007"/>
    <s v="PR02"/>
    <s v="820TUB011"/>
    <s v="TUBE IRO D20"/>
    <s v="M"/>
    <n v="10"/>
    <n v="2.4300000000000002"/>
    <n v="24.3"/>
    <x v="3"/>
  </r>
  <r>
    <s v="007"/>
    <s v="PR02"/>
    <s v="810XPM076"/>
    <s v="Attache rapide pour chaine 06-B2"/>
    <s v="L"/>
    <n v="36"/>
    <n v="0.67500000000000004"/>
    <n v="24.3"/>
    <x v="3"/>
  </r>
  <r>
    <s v="007"/>
    <s v="PR02"/>
    <s v="820XMC003"/>
    <s v="Châpeau chinois D250"/>
    <s v="UN"/>
    <n v="1"/>
    <n v="24.40062857142857"/>
    <n v="24.40062857142857"/>
    <x v="3"/>
  </r>
  <r>
    <s v="007"/>
    <s v="PR01"/>
    <s v="812MEM727"/>
    <s v="RACCORD 3 Péic GALVA2&quot;"/>
    <s v="UN"/>
    <n v="1"/>
    <n v="24.4375"/>
    <n v="24.4375"/>
    <x v="3"/>
  </r>
  <r>
    <s v="007"/>
    <s v="PR02"/>
    <s v="812MON008"/>
    <s v="MONCHON Galva 26*34"/>
    <s v="UN"/>
    <n v="10"/>
    <n v="2.448"/>
    <n v="24.48"/>
    <x v="3"/>
  </r>
  <r>
    <s v="007"/>
    <s v="PR01"/>
    <s v="815fus011"/>
    <s v="Fusible 16A  500V Forme bouteille  50*22"/>
    <s v="UN"/>
    <n v="22"/>
    <n v="1.116077922077922"/>
    <n v="24.553714285714285"/>
    <x v="3"/>
  </r>
  <r>
    <s v="007"/>
    <s v="PR02"/>
    <s v="820XMC392"/>
    <s v="vis six pans (acier) M12*30"/>
    <s v="UN"/>
    <n v="42"/>
    <n v="0.58602392565597661"/>
    <n v="24.613004877551017"/>
    <x v="3"/>
  </r>
  <r>
    <s v="007"/>
    <s v="PR01"/>
    <s v="810par052"/>
    <s v="PARAHUILE 40*55*8 M.Lavage"/>
    <s v="UN"/>
    <n v="5"/>
    <n v="4.923"/>
    <n v="24.615000000000002"/>
    <x v="3"/>
  </r>
  <r>
    <s v="007"/>
    <s v="PR01"/>
    <s v="812FLE095"/>
    <s v="Flexible Cristal transpa D12  M.remplissage"/>
    <s v="M"/>
    <n v="8"/>
    <n v="3.0779999999999998"/>
    <n v="24.623999999999999"/>
    <x v="3"/>
  </r>
  <r>
    <s v="007"/>
    <s v="PR01"/>
    <s v="812MON720"/>
    <s v="MONCHON Galva15/21"/>
    <s v="UN"/>
    <n v="39"/>
    <n v="0.63154999999999994"/>
    <n v="24.630449999999996"/>
    <x v="3"/>
  </r>
  <r>
    <s v="007"/>
    <s v="PR01"/>
    <s v="815XPE004"/>
    <s v="FICHE FEMELLE 3P+T 25A    380V"/>
    <s v="UN"/>
    <n v="3"/>
    <n v="8.2176739999999988"/>
    <n v="24.653021999999996"/>
    <x v="3"/>
  </r>
  <r>
    <s v="007"/>
    <s v="PR02"/>
    <s v="812TTE016"/>
    <s v="TE 26*34 GALVA"/>
    <s v="UN"/>
    <n v="7"/>
    <n v="3.5274999999999999"/>
    <n v="24.692499999999999"/>
    <x v="3"/>
  </r>
  <r>
    <s v="007"/>
    <s v="PR01"/>
    <s v="812MON043"/>
    <s v="MONCHON GALVA 1/8F/1/8F"/>
    <s v="UN"/>
    <n v="12"/>
    <n v="2.0655000000000001"/>
    <n v="24.786000000000001"/>
    <x v="3"/>
  </r>
  <r>
    <s v="007"/>
    <s v="PR02"/>
    <s v="810xpm210"/>
    <s v="Attache rapide pour chaine 12B1"/>
    <s v="UN"/>
    <n v="23"/>
    <n v="1.08"/>
    <n v="24.840000000000003"/>
    <x v="3"/>
  </r>
  <r>
    <s v="007"/>
    <s v="PR02"/>
    <s v="810ROU185"/>
    <s v="COUPELLE EN PU ERS/L 64-75-8"/>
    <s v="UN"/>
    <n v="2"/>
    <n v="12.456"/>
    <n v="24.911999999999999"/>
    <x v="3"/>
  </r>
  <r>
    <s v="007"/>
    <s v="PR01"/>
    <s v="810PAR105"/>
    <s v="PARE HUILE 50*72*08"/>
    <s v="UN"/>
    <n v="2"/>
    <n v="12.473999999999998"/>
    <n v="24.947999999999997"/>
    <x v="3"/>
  </r>
  <r>
    <s v="007"/>
    <s v="PR02"/>
    <s v="812red007"/>
    <s v="REDUCTION PVC 140/125"/>
    <s v="UN"/>
    <n v="4"/>
    <n v="6.2409999999999997"/>
    <n v="24.963999999999999"/>
    <x v="3"/>
  </r>
  <r>
    <s v="007"/>
    <s v="PR02"/>
    <s v="815ELE045"/>
    <s v="Commutateur 3Ph 02positions   Grp ref Punshing"/>
    <s v="UN"/>
    <n v="1"/>
    <n v="25.139600000000002"/>
    <n v="25.139600000000002"/>
    <x v="3"/>
  </r>
  <r>
    <s v="007"/>
    <s v="PR01"/>
    <m/>
    <s v="COUDE GAL 40/49 FF"/>
    <s v="UN"/>
    <n v="4"/>
    <n v="6.2939999999999996"/>
    <n v="25.175999999999998"/>
    <x v="3"/>
  </r>
  <r>
    <s v="007"/>
    <s v="PR02"/>
    <s v="820XMC384"/>
    <s v="VIS TH (acier) M16*80"/>
    <s v="UN"/>
    <n v="22"/>
    <n v="1.145"/>
    <n v="25.19"/>
    <x v="3"/>
  </r>
  <r>
    <s v="007"/>
    <s v="PR01"/>
    <s v="815REL329"/>
    <s v="RELAIS 24V DC 55,32,9,24 8 broches"/>
    <s v="UN"/>
    <n v="2"/>
    <n v="12.6"/>
    <n v="25.2"/>
    <x v="3"/>
  </r>
  <r>
    <s v="007"/>
    <s v="PR02"/>
    <s v="812XPB752"/>
    <s v="Colle PVC Tangit 500G"/>
    <s v="UN"/>
    <n v="1"/>
    <n v="25.228000000000002"/>
    <n v="25.228000000000002"/>
    <x v="3"/>
  </r>
  <r>
    <s v="007"/>
    <s v="PR02"/>
    <s v="820XMC473"/>
    <s v="écrou (acier) M10"/>
    <s v="UN"/>
    <n v="230"/>
    <n v="0.11"/>
    <n v="25.3"/>
    <x v="3"/>
  </r>
  <r>
    <s v="007"/>
    <s v="PR01"/>
    <s v="820XMC054"/>
    <s v="VIS TH (acier) M16*40"/>
    <s v="UN"/>
    <n v="28"/>
    <n v="0.90400000000000003"/>
    <n v="25.312000000000001"/>
    <x v="3"/>
  </r>
  <r>
    <s v="007"/>
    <s v="PR02"/>
    <s v="815FUS002"/>
    <s v="FUSIBLES 50A 100KA 690V"/>
    <s v="UN"/>
    <n v="4"/>
    <n v="6.3433333333333337"/>
    <n v="25.373333333333335"/>
    <x v="3"/>
  </r>
  <r>
    <s v="007"/>
    <s v="PR01"/>
    <s v="815XPE170"/>
    <s v="Bornier 2.5mm"/>
    <s v="UN"/>
    <n v="32"/>
    <n v="0.79300000000000004"/>
    <n v="25.376000000000001"/>
    <x v="3"/>
  </r>
  <r>
    <s v="007"/>
    <s v="PR01"/>
    <s v="815FUS005"/>
    <s v="FUSIBLES 40A"/>
    <s v="UN"/>
    <n v="17"/>
    <n v="1.4933333333333334"/>
    <n v="25.386666666666667"/>
    <x v="3"/>
  </r>
  <r>
    <s v="007"/>
    <s v="PR02"/>
    <s v="812FLE036"/>
    <s v="Tuyau d'air comprimé DN06  M.G.Wertz"/>
    <s v="UN"/>
    <n v="10"/>
    <n v="2.5451999999999999"/>
    <n v="25.451999999999998"/>
    <x v="3"/>
  </r>
  <r>
    <s v="007"/>
    <s v="PR01"/>
    <s v="812TTE021"/>
    <s v="TE PVC PR D75"/>
    <s v="UN"/>
    <n v="1"/>
    <n v="25.4711"/>
    <n v="25.4711"/>
    <x v="3"/>
  </r>
  <r>
    <s v="007"/>
    <s v="PR01"/>
    <s v="820XMC537"/>
    <s v="rondelle plate (inox) M12"/>
    <s v="UN"/>
    <n v="150"/>
    <n v="0.17"/>
    <n v="25.500000000000004"/>
    <x v="3"/>
  </r>
  <r>
    <s v="007"/>
    <s v="PR01"/>
    <s v="815xpe172"/>
    <s v="Equerre de blocage Petit"/>
    <s v="UN"/>
    <n v="35"/>
    <n v="0.73072999999999999"/>
    <n v="25.57555"/>
    <x v="3"/>
  </r>
  <r>
    <s v="007"/>
    <s v="PR02"/>
    <s v="810par118"/>
    <s v="parahuile 50x80x8"/>
    <s v="UN"/>
    <n v="4"/>
    <n v="6.4124999999999996"/>
    <n v="25.65"/>
    <x v="3"/>
  </r>
  <r>
    <s v="007"/>
    <s v="PR02"/>
    <s v="815FUS035"/>
    <s v="FUSIBLE 100A gG 500V 120KA   Condens TGBT"/>
    <s v="UN"/>
    <n v="3"/>
    <n v="8.5500000000000007"/>
    <n v="25.650000000000002"/>
    <x v="3"/>
  </r>
  <r>
    <s v="007"/>
    <s v="PR01"/>
    <s v="815XPE378"/>
    <s v="Manchon de  jonction cable 150mm"/>
    <s v="UN"/>
    <n v="2"/>
    <n v="12.852"/>
    <n v="25.704000000000001"/>
    <x v="3"/>
  </r>
  <r>
    <s v="007"/>
    <s v="PR02"/>
    <s v="815STA001"/>
    <s v="starteur PHILPS 4-65W"/>
    <s v="UN"/>
    <n v="16"/>
    <n v="1.615"/>
    <n v="25.84"/>
    <x v="3"/>
  </r>
  <r>
    <s v="007"/>
    <s v="PR01"/>
    <s v="830lam002"/>
    <s v="LAMPE 1*E27"/>
    <s v="UN"/>
    <n v="3"/>
    <n v="8.6292000000000009"/>
    <n v="25.887600000000003"/>
    <x v="3"/>
  </r>
  <r>
    <s v="007"/>
    <s v="PR02"/>
    <s v="815CAB014"/>
    <s v="Cable souple 2*0.75"/>
    <s v="M"/>
    <n v="19"/>
    <n v="1.3653"/>
    <n v="25.9407"/>
    <x v="3"/>
  </r>
  <r>
    <s v="007"/>
    <s v="PR01"/>
    <s v="812RAC598"/>
    <s v="Raccord Egale 8/8"/>
    <s v="UN"/>
    <n v="9"/>
    <n v="2.8834363636363638"/>
    <n v="25.950927272727274"/>
    <x v="3"/>
  </r>
  <r>
    <s v="007"/>
    <s v="PR01"/>
    <s v="830MCH922"/>
    <s v="Mèche acier 10"/>
    <s v="UN"/>
    <n v="7"/>
    <n v="3.71"/>
    <n v="25.97"/>
    <x v="3"/>
  </r>
  <r>
    <s v="007"/>
    <s v="PR02"/>
    <s v="820XMC497"/>
    <s v="tige fileté (acier) M14"/>
    <s v="UN"/>
    <n v="6"/>
    <n v="4.3360000000000003"/>
    <n v="26.016000000000002"/>
    <x v="3"/>
  </r>
  <r>
    <s v="007"/>
    <s v="PR01"/>
    <s v="815XPE344"/>
    <s v="Fiche mâle 220v"/>
    <s v="UN"/>
    <n v="22"/>
    <n v="1.1833238095238097"/>
    <n v="26.033123809523811"/>
    <x v="3"/>
  </r>
  <r>
    <s v="007"/>
    <s v="PR01"/>
    <s v="812EMB744"/>
    <s v="Embou PVC PR MALE 50*63*1&quot;1/2"/>
    <s v="UN"/>
    <n v="8"/>
    <n v="3.2725"/>
    <n v="26.18"/>
    <x v="3"/>
  </r>
  <r>
    <s v="007"/>
    <s v="PR01"/>
    <s v="812TTE013"/>
    <s v="TE PVC  P D63"/>
    <s v="UN"/>
    <n v="6"/>
    <n v="4.375"/>
    <n v="26.25"/>
    <x v="3"/>
  </r>
  <r>
    <s v="007"/>
    <s v="PR02"/>
    <s v="820XMC015"/>
    <s v="écrou (acier) M14"/>
    <s v="UN"/>
    <n v="210"/>
    <n v="0.125"/>
    <n v="26.25"/>
    <x v="3"/>
  </r>
  <r>
    <s v="007"/>
    <s v="PR01"/>
    <s v="812COD051"/>
    <s v="Coude bargataire D75"/>
    <s v="UN"/>
    <n v="1"/>
    <n v="26.308"/>
    <n v="26.308"/>
    <x v="3"/>
  </r>
  <r>
    <s v="007"/>
    <s v="PR01"/>
    <s v="830BAR004"/>
    <s v="Barreau Clavette 4"/>
    <s v="UN"/>
    <n v="4"/>
    <n v="6.593"/>
    <n v="26.372"/>
    <x v="3"/>
  </r>
  <r>
    <s v="007"/>
    <s v="PR02"/>
    <s v="812COD678"/>
    <s v="COUDE PVC P40"/>
    <s v="UN"/>
    <n v="10"/>
    <n v="2.6389999999999998"/>
    <n v="26.389999999999997"/>
    <x v="3"/>
  </r>
  <r>
    <s v="007"/>
    <s v="PR01"/>
    <s v="810COU008"/>
    <s v="POULIE DOUBLE GORGE D118 MX 1610"/>
    <s v="UN"/>
    <n v="1"/>
    <n v="26.3916"/>
    <n v="26.3916"/>
    <x v="3"/>
  </r>
  <r>
    <s v="007"/>
    <s v="PR01"/>
    <s v="815XPE053"/>
    <s v="Domino de 25A"/>
    <s v="UN"/>
    <n v="23"/>
    <n v="1.1486666666666665"/>
    <n v="26.419333333333331"/>
    <x v="3"/>
  </r>
  <r>
    <s v="007"/>
    <s v="PR01"/>
    <s v="710MEC300"/>
    <s v="FLOW REGULATOR A7003009  Test Etancheite"/>
    <s v="UN"/>
    <n v="1"/>
    <n v="26.443999999999999"/>
    <n v="26.443999999999999"/>
    <x v="3"/>
  </r>
  <r>
    <s v="007"/>
    <s v="PR02"/>
    <s v="820XMC711"/>
    <s v="Tige fileté (INOX) M06"/>
    <s v="UN"/>
    <n v="4"/>
    <n v="6.63"/>
    <n v="26.52"/>
    <x v="3"/>
  </r>
  <r>
    <s v="007"/>
    <s v="PR01"/>
    <s v="815XPE003"/>
    <s v="DOMINO en plastique 35A"/>
    <s v="UN"/>
    <n v="12"/>
    <n v="2.2103999999999999"/>
    <n v="26.524799999999999"/>
    <x v="3"/>
  </r>
  <r>
    <s v="007"/>
    <s v="PR01"/>
    <s v="820XMC479"/>
    <s v="écrou (Inox) M05"/>
    <s v="UN"/>
    <n v="369"/>
    <n v="7.1999999999999995E-2"/>
    <n v="26.567999999999998"/>
    <x v="3"/>
  </r>
  <r>
    <s v="007"/>
    <s v="PR02"/>
    <s v="820XMC369"/>
    <s v="Vis TH (acier) M08*40"/>
    <s v="UN"/>
    <n v="140"/>
    <n v="0.19"/>
    <n v="26.6"/>
    <x v="3"/>
  </r>
  <r>
    <s v="007"/>
    <s v="PR02"/>
    <s v="820XMC171"/>
    <s v="VIS SIX PANS (acier) M12*20"/>
    <s v="UN"/>
    <n v="52"/>
    <n v="0.51200000000000001"/>
    <n v="26.624000000000002"/>
    <x v="3"/>
  </r>
  <r>
    <s v="007"/>
    <s v="PR02"/>
    <s v="820XMC474"/>
    <s v="écrou (acier) M12"/>
    <s v="UN"/>
    <n v="210"/>
    <n v="0.127"/>
    <n v="26.67"/>
    <x v="3"/>
  </r>
  <r>
    <s v="007"/>
    <s v="PR01"/>
    <s v="815FUS040"/>
    <s v="FUSIBLE 50A 22*58 Bassin charge"/>
    <s v="UN"/>
    <n v="12"/>
    <n v="2.2328999999999999"/>
    <n v="26.794799999999999"/>
    <x v="3"/>
  </r>
  <r>
    <s v="007"/>
    <s v="PR01"/>
    <s v="820XMC485"/>
    <s v="Vis d'arrêt (acier) M05*10"/>
    <s v="UN"/>
    <n v="160"/>
    <n v="0.16788"/>
    <n v="26.860800000000001"/>
    <x v="3"/>
  </r>
  <r>
    <s v="007"/>
    <s v="PR01"/>
    <s v="810COU117"/>
    <s v="COURROIE 1100/13 oxyde"/>
    <s v="UN"/>
    <n v="2"/>
    <n v="13.4361"/>
    <n v="26.872199999999999"/>
    <x v="3"/>
  </r>
  <r>
    <s v="007"/>
    <s v="PR02"/>
    <s v="810COU117"/>
    <s v="COURROIE 1100/13 oxyde"/>
    <s v="UN"/>
    <n v="2"/>
    <n v="13.4361"/>
    <n v="26.872199999999999"/>
    <x v="3"/>
  </r>
  <r>
    <s v="007"/>
    <s v="PR02"/>
    <s v="820XMC494"/>
    <s v="tige fileté (acier) M08"/>
    <s v="UN"/>
    <n v="12"/>
    <n v="2.2429999999999999"/>
    <n v="26.915999999999997"/>
    <x v="3"/>
  </r>
  <r>
    <s v="007"/>
    <s v="PR01"/>
    <s v="815GAI004"/>
    <s v="Gaine anti chaleur D10mm"/>
    <s v="M"/>
    <n v="5"/>
    <n v="5.3904857142857141"/>
    <n v="26.95242857142857"/>
    <x v="3"/>
  </r>
  <r>
    <s v="007"/>
    <s v="PR01"/>
    <s v="810XPM210"/>
    <s v="Attache rapide pour chaine 12B1"/>
    <s v="UN"/>
    <n v="25"/>
    <n v="1.08"/>
    <n v="27"/>
    <x v="3"/>
  </r>
  <r>
    <s v="007"/>
    <s v="PR02"/>
    <s v="830XOU248"/>
    <s v="Buse 1/4 15045 Karcher"/>
    <s v="UN"/>
    <n v="1"/>
    <n v="27"/>
    <n v="27"/>
    <x v="3"/>
  </r>
  <r>
    <s v="007"/>
    <s v="PR02"/>
    <m/>
    <s v="PARAHUILE VITON 25*40*10               "/>
    <s v="UN"/>
    <n v="2"/>
    <n v="13.526999999999999"/>
    <n v="27.053999999999998"/>
    <x v="3"/>
  </r>
  <r>
    <s v="007"/>
    <s v="PR02"/>
    <s v="812tte616"/>
    <s v="Te06 pneumatique"/>
    <s v="UN"/>
    <n v="10"/>
    <n v="2.7116999999999996"/>
    <n v="27.116999999999997"/>
    <x v="3"/>
  </r>
  <r>
    <s v="007"/>
    <s v="PR01"/>
    <s v="830BAR001"/>
    <s v="Barreau Clavette 5"/>
    <s v="UN"/>
    <n v="4"/>
    <n v="6.7910000000000004"/>
    <n v="27.164000000000001"/>
    <x v="3"/>
  </r>
  <r>
    <s v="007"/>
    <s v="PR02"/>
    <s v="810COU023"/>
    <s v="Courroie Trapez A1133 LD 13*1100LI A43 OXYDE"/>
    <s v="UN"/>
    <n v="4"/>
    <n v="6.7949999999999999"/>
    <n v="27.18"/>
    <x v="3"/>
  </r>
  <r>
    <s v="007"/>
    <s v="PR02"/>
    <s v="820XMC404"/>
    <s v="vis six pans (acier) M08*40"/>
    <s v="UN"/>
    <n v="92"/>
    <n v="0.29599999999999999"/>
    <n v="27.231999999999999"/>
    <x v="3"/>
  </r>
  <r>
    <s v="007"/>
    <s v="PR02"/>
    <s v="812RAC025"/>
    <s v="RACCORD DROIT4*1/4"/>
    <s v="UN"/>
    <n v="16"/>
    <n v="1.7100000000000002"/>
    <n v="27.360000000000003"/>
    <x v="3"/>
  </r>
  <r>
    <s v="007"/>
    <s v="PR01"/>
    <s v="815GAI322"/>
    <s v="gaine anti chaleur 4mm"/>
    <s v="UN"/>
    <n v="10"/>
    <n v="2.7423000000000002"/>
    <n v="27.423000000000002"/>
    <x v="3"/>
  </r>
  <r>
    <s v="007"/>
    <s v="PR02"/>
    <s v="815XPE298"/>
    <s v="domino en céramique 3x4mm"/>
    <s v="UN"/>
    <n v="4"/>
    <n v="6.8676245714285704"/>
    <n v="27.470498285714282"/>
    <x v="3"/>
  </r>
  <r>
    <s v="007"/>
    <s v="PR01"/>
    <s v="812COD005"/>
    <s v="COUDE GALVA 1+1/2&quot;"/>
    <s v="UN"/>
    <n v="5"/>
    <n v="5.4981"/>
    <n v="27.490500000000001"/>
    <x v="3"/>
  </r>
  <r>
    <s v="007"/>
    <s v="PR02"/>
    <s v="812COD005"/>
    <s v="COUDE GALVA 1+1/2&quot;"/>
    <s v="UN"/>
    <n v="5"/>
    <n v="5.4981"/>
    <n v="27.490500000000001"/>
    <x v="3"/>
  </r>
  <r>
    <s v="007"/>
    <s v="PR02"/>
    <s v="820XMC507"/>
    <s v="Rondelle plate (acier) M12"/>
    <s v="UN"/>
    <n v="340"/>
    <n v="8.1000000000000003E-2"/>
    <n v="27.54"/>
    <x v="3"/>
  </r>
  <r>
    <s v="007"/>
    <s v="PR02"/>
    <s v="812TTE026"/>
    <s v="TE 20/27 NOIR"/>
    <s v="UN"/>
    <n v="6"/>
    <n v="4.6154999999999999"/>
    <n v="27.692999999999998"/>
    <x v="3"/>
  </r>
  <r>
    <s v="007"/>
    <s v="PR01"/>
    <s v="812COD024"/>
    <s v="Coude NOIR 1&quot; 1/2"/>
    <s v="UN"/>
    <n v="2"/>
    <n v="13.855"/>
    <n v="27.71"/>
    <x v="3"/>
  </r>
  <r>
    <s v="007"/>
    <s v="PR02"/>
    <s v="812COD024"/>
    <s v="Coude NOIR 1&quot; 1/2"/>
    <s v="UN"/>
    <n v="2"/>
    <n v="13.855"/>
    <n v="27.71"/>
    <x v="3"/>
  </r>
  <r>
    <s v="007"/>
    <s v="PR02"/>
    <s v="812COD700"/>
    <s v="COUDE GALVA 20*27"/>
    <s v="UN"/>
    <n v="12"/>
    <n v="2.31"/>
    <n v="27.72"/>
    <x v="3"/>
  </r>
  <r>
    <s v="007"/>
    <s v="PR01"/>
    <s v="820XMC377"/>
    <s v="vis tête hexagonale M12*30 (acier)"/>
    <s v="UN"/>
    <n v="95"/>
    <n v="0.29199999999999998"/>
    <n v="27.74"/>
    <x v="3"/>
  </r>
  <r>
    <s v="007"/>
    <s v="PR01"/>
    <s v="810XPM208"/>
    <s v="Attache rapide pour chaine 08B1"/>
    <s v="UN"/>
    <n v="40"/>
    <n v="0.69479999999999997"/>
    <n v="27.791999999999998"/>
    <x v="3"/>
  </r>
  <r>
    <s v="007"/>
    <s v="PR01"/>
    <s v="812VER102"/>
    <s v="Racleur PW 45*53/5/7 Verin Soud Connexion"/>
    <s v="UN"/>
    <n v="4"/>
    <n v="6.9550000000000001"/>
    <n v="27.82"/>
    <x v="3"/>
  </r>
  <r>
    <s v="007"/>
    <s v="PR01"/>
    <s v="812RAC015"/>
    <s v="RACCORD Union Egale 10/10"/>
    <s v="UN"/>
    <n v="10"/>
    <n v="2.7899999999999996"/>
    <n v="27.899999999999995"/>
    <x v="3"/>
  </r>
  <r>
    <s v="007"/>
    <s v="PR02"/>
    <s v="820XMC399"/>
    <s v="vis six pans (acier) M06*20"/>
    <s v="UN"/>
    <n v="321"/>
    <n v="8.6999999999999994E-2"/>
    <n v="27.927"/>
    <x v="3"/>
  </r>
  <r>
    <s v="007"/>
    <s v="PR01"/>
    <s v="820XMC424"/>
    <s v="vis tête hexagonale M05*20 (Inox)"/>
    <s v="UN"/>
    <n v="125"/>
    <n v="0.224"/>
    <n v="28"/>
    <x v="3"/>
  </r>
  <r>
    <s v="007"/>
    <s v="PR02"/>
    <s v="820XMC039"/>
    <s v="vis six pans (acier) M08*50"/>
    <s v="UN"/>
    <n v="99"/>
    <n v="0.28599999999999998"/>
    <n v="28.313999999999997"/>
    <x v="3"/>
  </r>
  <r>
    <s v="007"/>
    <s v="PR01"/>
    <s v="820XMC451"/>
    <s v="vis six pans (Inox) M06*20"/>
    <s v="UN"/>
    <n v="89"/>
    <n v="0.31818000000000002"/>
    <n v="28.318020000000001"/>
    <x v="3"/>
  </r>
  <r>
    <s v="007"/>
    <s v="PR01"/>
    <s v="812MON712"/>
    <s v="MONCHON PVC P75"/>
    <s v="UN"/>
    <n v="7"/>
    <n v="4.0460000000000003"/>
    <n v="28.322000000000003"/>
    <x v="3"/>
  </r>
  <r>
    <s v="007"/>
    <s v="PR01"/>
    <s v="812FIL007"/>
    <s v="Filtre a huile SC113 Camion"/>
    <s v="UN"/>
    <n v="2"/>
    <n v="14.178599999999999"/>
    <n v="28.357199999999999"/>
    <x v="3"/>
  </r>
  <r>
    <s v="007"/>
    <s v="PR01"/>
    <s v="720mec007"/>
    <s v="JOINT COUTEAU INFERIEUR F0070867/2"/>
    <s v="UN"/>
    <n v="4"/>
    <n v="7.1189999999999998"/>
    <n v="28.475999999999999"/>
    <x v="3"/>
  </r>
  <r>
    <s v="007"/>
    <s v="PR01"/>
    <s v="720mec008"/>
    <s v="JOINTCOUTEAU SUPERIEUR F0076287/2"/>
    <s v="UN"/>
    <n v="4"/>
    <n v="7.1189999999999998"/>
    <n v="28.475999999999999"/>
    <x v="3"/>
  </r>
  <r>
    <s v="007"/>
    <s v="PR02"/>
    <s v="810rou138"/>
    <s v="Roulement 6304 2RS"/>
    <s v="UN"/>
    <n v="2"/>
    <n v="14.2668"/>
    <n v="28.5336"/>
    <x v="3"/>
  </r>
  <r>
    <s v="007"/>
    <s v="PR01"/>
    <s v="812RAC226"/>
    <s v="Bouchon Raccord M08"/>
    <s v="UN"/>
    <n v="17"/>
    <n v="1.679"/>
    <n v="28.542999999999999"/>
    <x v="3"/>
  </r>
  <r>
    <s v="007"/>
    <s v="PR01"/>
    <s v="815BOB246"/>
    <s v="Bobine distributeur 220V"/>
    <s v="UN"/>
    <n v="2"/>
    <n v="14.273999999999999"/>
    <n v="28.547999999999998"/>
    <x v="3"/>
  </r>
  <r>
    <s v="007"/>
    <s v="PR02"/>
    <s v="812COD020"/>
    <s v="COUDE GALVA 3&quot;"/>
    <s v="UN"/>
    <n v="2"/>
    <n v="14.28"/>
    <n v="28.56"/>
    <x v="3"/>
  </r>
  <r>
    <s v="007"/>
    <s v="PR02"/>
    <s v="810COU060"/>
    <s v="COURROIE Trapezoidale PHG A70"/>
    <s v="UN"/>
    <n v="2"/>
    <n v="14.327999999999999"/>
    <n v="28.655999999999999"/>
    <x v="3"/>
  </r>
  <r>
    <s v="007"/>
    <s v="PR02"/>
    <s v="812TTE617"/>
    <s v="Te08 pneumatique"/>
    <s v="UN"/>
    <n v="12"/>
    <n v="2.3933750000000003"/>
    <n v="28.720500000000001"/>
    <x v="3"/>
  </r>
  <r>
    <s v="007"/>
    <s v="PR01"/>
    <s v="820XMC145"/>
    <s v="Vis six pans (acier) M06*80"/>
    <s v="UN"/>
    <n v="95"/>
    <n v="0.30499999999999999"/>
    <n v="28.974999999999998"/>
    <x v="3"/>
  </r>
  <r>
    <s v="007"/>
    <s v="PR02"/>
    <s v="812RAC730"/>
    <s v="raccord 3 péicé Galva15/21"/>
    <s v="UN"/>
    <n v="3"/>
    <n v="9.7188999999999997"/>
    <n v="29.156700000000001"/>
    <x v="3"/>
  </r>
  <r>
    <s v="007"/>
    <s v="PR02"/>
    <s v="820XMC495"/>
    <s v="tige fileté (acier) M10"/>
    <s v="UN"/>
    <n v="9"/>
    <n v="3.2429999999999999"/>
    <n v="29.186999999999998"/>
    <x v="3"/>
  </r>
  <r>
    <s v="007"/>
    <s v="PR01"/>
    <s v="820DIS006"/>
    <s v="DISQUE ACIER 230"/>
    <s v="UN"/>
    <n v="10"/>
    <n v="2.9224888888888887"/>
    <n v="29.224888888888888"/>
    <x v="3"/>
  </r>
  <r>
    <s v="007"/>
    <s v="PR01"/>
    <s v="820XMC051"/>
    <s v="VIS TH (acier) M12*60"/>
    <s v="UN"/>
    <n v="65"/>
    <n v="0.45100000000000001"/>
    <n v="29.315000000000001"/>
    <x v="3"/>
  </r>
  <r>
    <s v="007"/>
    <s v="PR01"/>
    <s v="820XMC220"/>
    <s v="vis six pans (acier) M06*15"/>
    <s v="UN"/>
    <n v="350"/>
    <n v="8.4000000000000005E-2"/>
    <n v="29.400000000000002"/>
    <x v="3"/>
  </r>
  <r>
    <s v="007"/>
    <s v="PR02"/>
    <s v="812COD016"/>
    <s v="COUDE PPR 45° D40"/>
    <s v="UN"/>
    <n v="9"/>
    <n v="3.2725"/>
    <n v="29.452500000000001"/>
    <x v="3"/>
  </r>
  <r>
    <s v="007"/>
    <s v="PR01"/>
    <s v="810GOU007"/>
    <s v="Goujon d'echappement M12*50  Moule COS3"/>
    <s v="UN"/>
    <n v="8"/>
    <n v="3.7124999999999999"/>
    <n v="29.7"/>
    <x v="3"/>
  </r>
  <r>
    <s v="007"/>
    <s v="PR02"/>
    <s v="810COU033"/>
    <s v="Courroie Trapez VECO100 1780 A69"/>
    <s v="UN"/>
    <n v="1"/>
    <n v="29.7"/>
    <n v="29.7"/>
    <x v="3"/>
  </r>
  <r>
    <s v="007"/>
    <s v="PR02"/>
    <s v="810COU034"/>
    <s v="Courroie Trapez VECO200 1400 SPA"/>
    <s v="UN"/>
    <n v="1"/>
    <n v="29.7"/>
    <n v="29.7"/>
    <x v="3"/>
  </r>
  <r>
    <s v="007"/>
    <s v="PR02"/>
    <s v="810COU035"/>
    <s v="Courroie Trapez VECO200 1360 SPA"/>
    <s v="UN"/>
    <n v="1"/>
    <n v="29.7"/>
    <n v="29.7"/>
    <x v="3"/>
  </r>
  <r>
    <s v="007"/>
    <s v="PR02"/>
    <s v="812RAC109"/>
    <s v="RACCORD  3 P D25 PPR"/>
    <s v="UN"/>
    <n v="7"/>
    <n v="4.25"/>
    <n v="29.75"/>
    <x v="3"/>
  </r>
  <r>
    <s v="007"/>
    <s v="PR01"/>
    <s v="815FUS010"/>
    <s v="Fusible 6A Forme bouteille"/>
    <s v="UN"/>
    <n v="28"/>
    <n v="1.067278911564626"/>
    <n v="29.883809523809525"/>
    <x v="3"/>
  </r>
  <r>
    <s v="007"/>
    <s v="PR01"/>
    <s v="820XMC367"/>
    <s v="vis tête hexagonale M08*20 (acier)"/>
    <s v="UN"/>
    <n v="325"/>
    <n v="9.1999999999999998E-2"/>
    <n v="29.9"/>
    <x v="3"/>
  </r>
  <r>
    <s v="007"/>
    <s v="PR01"/>
    <s v="820DIS013"/>
    <s v="Disque 125 INOX COUPE"/>
    <s v="UN"/>
    <n v="20"/>
    <n v="1.4990000000000001"/>
    <n v="29.980000000000004"/>
    <x v="3"/>
  </r>
  <r>
    <s v="007"/>
    <s v="PR01"/>
    <s v="812XPB051"/>
    <s v="Traverse de paroi PVC PR D50  citerne CHA.ACIDE"/>
    <s v="UN"/>
    <n v="2"/>
    <n v="15"/>
    <n v="30"/>
    <x v="3"/>
  </r>
  <r>
    <s v="007"/>
    <s v="PR02"/>
    <s v="815xpe255"/>
    <s v="SPOT LED 20/20 18W"/>
    <s v="UN"/>
    <n v="3"/>
    <n v="10.03888888888889"/>
    <n v="30.116666666666667"/>
    <x v="3"/>
  </r>
  <r>
    <s v="007"/>
    <s v="PR01"/>
    <s v="820XMC555"/>
    <s v="vis sixpans fraisée M05*30 (acier)"/>
    <s v="UN"/>
    <n v="240"/>
    <n v="0.12583357142857141"/>
    <n v="30.200057142857137"/>
    <x v="3"/>
  </r>
  <r>
    <s v="007"/>
    <s v="PR01"/>
    <s v="820XMC673"/>
    <s v="Vis TF (acier) M12*20"/>
    <s v="UN"/>
    <n v="56"/>
    <n v="0.53974999999999995"/>
    <n v="30.225999999999999"/>
    <x v="3"/>
  </r>
  <r>
    <s v="007"/>
    <s v="PR01"/>
    <s v="815XPE346"/>
    <s v="Fiche femelle 220V"/>
    <s v="UN"/>
    <n v="26"/>
    <n v="1.165"/>
    <n v="30.29"/>
    <x v="3"/>
  </r>
  <r>
    <s v="007"/>
    <s v="PR01"/>
    <s v="725MEC006"/>
    <s v="Butée centreur (Cuivre) S.Connexion"/>
    <s v="UN"/>
    <n v="1"/>
    <n v="30.3"/>
    <n v="30.3"/>
    <x v="3"/>
  </r>
  <r>
    <s v="007"/>
    <s v="PR01"/>
    <s v="840FRM002"/>
    <s v="Carnet Bon de livraison PDR 4*25"/>
    <s v="UN"/>
    <n v="4"/>
    <n v="7.5750000000000002"/>
    <n v="30.3"/>
    <x v="3"/>
  </r>
  <r>
    <s v="007"/>
    <s v="PR02"/>
    <s v="810COU013"/>
    <s v="Courroie trapezoidale 10*1150"/>
    <s v="UN"/>
    <n v="3"/>
    <n v="10.101692307692307"/>
    <n v="30.305076923076921"/>
    <x v="3"/>
  </r>
  <r>
    <s v="007"/>
    <s v="PR02"/>
    <s v="820XMC394"/>
    <s v="vis six pans (acier) M10*20"/>
    <s v="UN"/>
    <n v="75"/>
    <n v="0.40460000000000002"/>
    <n v="30.345000000000002"/>
    <x v="3"/>
  </r>
  <r>
    <s v="007"/>
    <s v="PR01"/>
    <s v="810ROU058"/>
    <s v="Roulement HK1412"/>
    <s v="UN"/>
    <n v="8"/>
    <n v="3.7953000000000001"/>
    <n v="30.362400000000001"/>
    <x v="3"/>
  </r>
  <r>
    <s v="007"/>
    <s v="PR01"/>
    <s v="820XMC019"/>
    <s v="TIREFOND M10*50"/>
    <s v="UN"/>
    <n v="98"/>
    <n v="0.31014000000000003"/>
    <n v="30.393720000000002"/>
    <x v="3"/>
  </r>
  <r>
    <s v="007"/>
    <s v="PR01"/>
    <s v="810PAR083"/>
    <s v="PARE HUILE 160*190*15"/>
    <s v="UN"/>
    <n v="3"/>
    <n v="10.143000000000001"/>
    <n v="30.429000000000002"/>
    <x v="3"/>
  </r>
  <r>
    <s v="007"/>
    <s v="PR01"/>
    <s v="810par112"/>
    <s v="parahuile 20x42x7"/>
    <s v="UN"/>
    <n v="3"/>
    <n v="10.143000000000001"/>
    <n v="30.429000000000002"/>
    <x v="3"/>
  </r>
  <r>
    <s v="007"/>
    <s v="PR01"/>
    <s v="810par125"/>
    <s v="parahuile 15x30x07"/>
    <s v="UN"/>
    <n v="3"/>
    <n v="10.143000000000001"/>
    <n v="30.429000000000002"/>
    <x v="3"/>
  </r>
  <r>
    <s v="007"/>
    <s v="PR02"/>
    <s v="810PAR008"/>
    <s v="PARAHUILE 70*95*12"/>
    <s v="UN"/>
    <n v="3"/>
    <n v="10.143000000000001"/>
    <n v="30.429000000000002"/>
    <x v="3"/>
  </r>
  <r>
    <s v="007"/>
    <s v="PR02"/>
    <s v="810PAR023"/>
    <s v="PARAHUILE 35*47*8"/>
    <s v="UN"/>
    <n v="3"/>
    <n v="10.143000000000001"/>
    <n v="30.429000000000002"/>
    <x v="3"/>
  </r>
  <r>
    <s v="007"/>
    <s v="PR02"/>
    <s v="810PAR126"/>
    <s v="PARE HUILE 45*72*10"/>
    <s v="UN"/>
    <n v="3"/>
    <n v="10.143000000000001"/>
    <n v="30.429000000000002"/>
    <x v="3"/>
  </r>
  <r>
    <s v="007"/>
    <s v="PR01"/>
    <s v="840PEI032"/>
    <s v="Peinture Laquée 1KG GRIS"/>
    <s v="UN"/>
    <n v="3"/>
    <n v="10.160780000000001"/>
    <n v="30.482340000000001"/>
    <x v="3"/>
  </r>
  <r>
    <s v="007"/>
    <s v="PR02"/>
    <s v="815ELE013"/>
    <s v="Transformateur 380/220/24VAC 100VA"/>
    <s v="UN"/>
    <n v="1"/>
    <n v="30.52"/>
    <n v="30.52"/>
    <x v="3"/>
  </r>
  <r>
    <s v="007"/>
    <s v="PR01"/>
    <s v="820XMC456"/>
    <s v="vis six pans (Inox) M08*40"/>
    <s v="UN"/>
    <n v="44"/>
    <n v="0.69615000000000005"/>
    <n v="30.630600000000001"/>
    <x v="3"/>
  </r>
  <r>
    <s v="007"/>
    <s v="PR01"/>
    <s v="820XMC834"/>
    <s v="Rondelle Cuivre 10*15/1.5"/>
    <s v="UN"/>
    <n v="56"/>
    <n v="0.54700000000000004"/>
    <n v="30.632000000000001"/>
    <x v="3"/>
  </r>
  <r>
    <s v="007"/>
    <s v="PR01"/>
    <s v="815FUS313"/>
    <s v="FUSIBLES 20A 14*51"/>
    <s v="UN"/>
    <n v="30"/>
    <n v="1.0245283018867923"/>
    <n v="30.735849056603769"/>
    <x v="3"/>
  </r>
  <r>
    <s v="007"/>
    <s v="PR01"/>
    <s v="820XMC545"/>
    <s v="tirefond M10*60"/>
    <s v="UN"/>
    <n v="89"/>
    <n v="0.34588000000000002"/>
    <n v="30.783320000000003"/>
    <x v="3"/>
  </r>
  <r>
    <s v="007"/>
    <s v="PR01"/>
    <s v="820XMC118"/>
    <s v="Baladeuse"/>
    <s v="UN"/>
    <n v="1"/>
    <n v="30.809699999999999"/>
    <n v="30.809699999999999"/>
    <x v="3"/>
  </r>
  <r>
    <s v="007"/>
    <s v="PR02"/>
    <s v="812RAC051"/>
    <s v="RACCORD PPR D25 MALE"/>
    <s v="UN"/>
    <n v="5"/>
    <n v="6.1624999999999996"/>
    <n v="30.8125"/>
    <x v="3"/>
  </r>
  <r>
    <s v="007"/>
    <s v="PR01"/>
    <s v="810cou267"/>
    <s v="COURROIE VECA100 2054 B79"/>
    <s v="UN"/>
    <n v="3"/>
    <n v="10.35"/>
    <n v="31.049999999999997"/>
    <x v="3"/>
  </r>
  <r>
    <s v="007"/>
    <s v="PR01"/>
    <s v="820XMC588"/>
    <s v="tige fileté (acier) M05"/>
    <s v="UN"/>
    <n v="23"/>
    <n v="1.35"/>
    <n v="31.05"/>
    <x v="3"/>
  </r>
  <r>
    <s v="007"/>
    <s v="PR01"/>
    <s v="812MON721"/>
    <s v="MONCHON Galva20/27"/>
    <s v="UN"/>
    <n v="13"/>
    <n v="2.3913333333333338"/>
    <n v="31.087333333333341"/>
    <x v="3"/>
  </r>
  <r>
    <s v="007"/>
    <s v="PR02"/>
    <s v="815REL039"/>
    <s v="Socle RELAIS 24VDC 11 broches WEIDMULLER"/>
    <s v="UN"/>
    <n v="3"/>
    <n v="10.391999999999999"/>
    <n v="31.175999999999998"/>
    <x v="3"/>
  </r>
  <r>
    <s v="007"/>
    <s v="PR01"/>
    <s v="812COL058"/>
    <s v="COLLIER DE FIXATION D25 Complet"/>
    <s v="UN"/>
    <n v="20"/>
    <n v="1.5614499999999998"/>
    <n v="31.228999999999996"/>
    <x v="3"/>
  </r>
  <r>
    <s v="007"/>
    <s v="PR02"/>
    <s v="815FUS016"/>
    <s v="Fusible 10A 400V Forme bouteille"/>
    <s v="UN"/>
    <n v="32"/>
    <n v="0.98199999999999998"/>
    <n v="31.423999999999999"/>
    <x v="3"/>
  </r>
  <r>
    <s v="007"/>
    <s v="PR02"/>
    <s v="812RAC040"/>
    <s v="RACCORD COUDEE AVEC LIMITEUR 08*3/8"/>
    <s v="UN"/>
    <n v="1"/>
    <n v="31.427100000000003"/>
    <n v="31.427100000000003"/>
    <x v="3"/>
  </r>
  <r>
    <s v="007"/>
    <s v="PR01"/>
    <s v="812MEM004"/>
    <s v="MAMLON GALVA 26*34 (1&quot;)"/>
    <s v="UN"/>
    <n v="15"/>
    <n v="2.0994999999999999"/>
    <n v="31.4925"/>
    <x v="3"/>
  </r>
  <r>
    <s v="007"/>
    <s v="PR02"/>
    <s v="820XMC128"/>
    <s v="Vis TH(acier) M08*120"/>
    <s v="UN"/>
    <n v="76"/>
    <n v="0.41777999999999998"/>
    <n v="31.751279999999998"/>
    <x v="3"/>
  </r>
  <r>
    <s v="007"/>
    <s v="PR01"/>
    <m/>
    <s v="RACCORD 3P GAL 40/49"/>
    <s v="UN"/>
    <n v="2"/>
    <n v="15.882"/>
    <n v="31.763999999999999"/>
    <x v="3"/>
  </r>
  <r>
    <s v="007"/>
    <s v="PR02"/>
    <s v="820XMC068"/>
    <s v="TOLE CLINQUANT 0.5mm"/>
    <s v="UN"/>
    <n v="1"/>
    <n v="31.827850000000002"/>
    <n v="31.827850000000002"/>
    <x v="3"/>
  </r>
  <r>
    <s v="007"/>
    <s v="PR01"/>
    <s v="830MCH032"/>
    <s v="Meche Acier 13"/>
    <s v="UN"/>
    <n v="6"/>
    <n v="5.3070000000000004"/>
    <n v="31.842000000000002"/>
    <x v="3"/>
  </r>
  <r>
    <s v="007"/>
    <s v="PR01"/>
    <s v="810COU125"/>
    <s v="COURROIE TAPEZ 1900X17"/>
    <s v="UN"/>
    <n v="1"/>
    <n v="31.95"/>
    <n v="31.95"/>
    <x v="3"/>
  </r>
  <r>
    <s v="007"/>
    <s v="PR01"/>
    <s v="812XPB089"/>
    <s v="Traverse de paroi PVC PR D2&quot;"/>
    <s v="UN"/>
    <n v="2"/>
    <n v="16"/>
    <n v="32"/>
    <x v="3"/>
  </r>
  <r>
    <s v="007"/>
    <s v="PR01"/>
    <s v="820XMC490"/>
    <s v="Vis d'arrêt (acier) M06*20"/>
    <s v="UN"/>
    <n v="250"/>
    <n v="0.128"/>
    <n v="32"/>
    <x v="3"/>
  </r>
  <r>
    <s v="007"/>
    <s v="PR01"/>
    <s v="812XPB753"/>
    <s v="COLLE SUPER GLUE"/>
    <s v="UN"/>
    <n v="7"/>
    <n v="4.5789999999999997"/>
    <n v="32.052999999999997"/>
    <x v="3"/>
  </r>
  <r>
    <s v="007"/>
    <s v="PR01"/>
    <s v="820XMC542"/>
    <s v="tirefond M6*40"/>
    <s v="UN"/>
    <n v="263"/>
    <n v="0.12189999999999999"/>
    <n v="32.059699999999999"/>
    <x v="3"/>
  </r>
  <r>
    <s v="007"/>
    <s v="PR01"/>
    <s v="820xmc277"/>
    <s v="VIS AUTOPERCEUSE M6.3*80"/>
    <s v="UN"/>
    <n v="120"/>
    <n v="0.26774999999999999"/>
    <n v="32.129999999999995"/>
    <x v="3"/>
  </r>
  <r>
    <s v="007"/>
    <s v="PR02"/>
    <s v="810PIN054"/>
    <s v="PIGNON SIMPLE 08B1-13DENTS"/>
    <s v="UN"/>
    <n v="2"/>
    <n v="16.086600000000001"/>
    <n v="32.173200000000001"/>
    <x v="3"/>
  </r>
  <r>
    <s v="007"/>
    <s v="PR01"/>
    <s v="815sta001"/>
    <s v="starteur PHILPS 4-65W"/>
    <s v="UN"/>
    <n v="20"/>
    <n v="1.615"/>
    <n v="32.299999999999997"/>
    <x v="3"/>
  </r>
  <r>
    <s v="007"/>
    <s v="PR02"/>
    <s v="815XPE261"/>
    <s v="Fin de course securite CZ-93CPM Armoire electriqu"/>
    <s v="UN"/>
    <n v="1"/>
    <n v="32.340000000000003"/>
    <n v="32.340000000000003"/>
    <x v="3"/>
  </r>
  <r>
    <s v="007"/>
    <s v="PR01"/>
    <s v="830XOU908"/>
    <s v="lame de cutter"/>
    <s v="UN"/>
    <n v="20"/>
    <n v="1.619"/>
    <n v="32.380000000000003"/>
    <x v="3"/>
  </r>
  <r>
    <s v="007"/>
    <s v="PR02"/>
    <s v="810PAL053"/>
    <s v="Palier Carrée FY 507 M"/>
    <s v="UN"/>
    <n v="1"/>
    <n v="32.4"/>
    <n v="32.4"/>
    <x v="3"/>
  </r>
  <r>
    <s v="007"/>
    <s v="PR01"/>
    <s v="812COD059"/>
    <s v="Coude laiton F/F 1&quot; 1/4"/>
    <s v="UN"/>
    <n v="2"/>
    <n v="16.214741666666665"/>
    <n v="32.42948333333333"/>
    <x v="3"/>
  </r>
  <r>
    <s v="007"/>
    <s v="PR01"/>
    <s v="812EMB008"/>
    <s v="EMBOUT FILETE PVC PR 63-50*2&quot; FEMELLE"/>
    <s v="UN"/>
    <n v="2"/>
    <n v="16.256"/>
    <n v="32.512"/>
    <x v="3"/>
  </r>
  <r>
    <s v="007"/>
    <s v="PR01"/>
    <s v="812COD699"/>
    <s v="COUDE PVC P63 45°"/>
    <s v="UN"/>
    <n v="5"/>
    <n v="6.5119999999999996"/>
    <n v="32.559999999999995"/>
    <x v="3"/>
  </r>
  <r>
    <s v="007"/>
    <s v="PR02"/>
    <s v="812cod699"/>
    <s v="COUDE PVC P63 45°"/>
    <s v="UN"/>
    <n v="5"/>
    <n v="6.5119999999999996"/>
    <n v="32.559999999999995"/>
    <x v="3"/>
  </r>
  <r>
    <s v="007"/>
    <s v="PR01"/>
    <s v="810PAR088"/>
    <s v="PARE HUILE 80*110*10"/>
    <s v="UN"/>
    <n v="6"/>
    <n v="5.4503999999999992"/>
    <n v="32.702399999999997"/>
    <x v="3"/>
  </r>
  <r>
    <s v="007"/>
    <s v="PR02"/>
    <s v="812MON028"/>
    <s v="Monchon PPR D40"/>
    <s v="UN"/>
    <n v="7"/>
    <n v="4.6749999999999998"/>
    <n v="32.725000000000001"/>
    <x v="3"/>
  </r>
  <r>
    <s v="007"/>
    <s v="PR02"/>
    <s v="810ROU029"/>
    <s v="Roulement 6208-2RS"/>
    <s v="UN"/>
    <n v="1"/>
    <n v="32.843699999999998"/>
    <n v="32.843699999999998"/>
    <x v="3"/>
  </r>
  <r>
    <s v="007"/>
    <s v="PR02"/>
    <s v="812VAN003"/>
    <s v="VANNESPHERIQUE 3/4"/>
    <s v="UN"/>
    <n v="2"/>
    <n v="16.4358"/>
    <n v="32.871600000000001"/>
    <x v="3"/>
  </r>
  <r>
    <s v="007"/>
    <s v="PR01"/>
    <s v="810COU132"/>
    <s v="Courroie trapezoidale 1350*13  Cos4"/>
    <s v="UN"/>
    <n v="3"/>
    <n v="11.0115"/>
    <n v="33.034500000000001"/>
    <x v="3"/>
  </r>
  <r>
    <s v="007"/>
    <s v="PR01"/>
    <s v="812MON039"/>
    <s v="MONCHON PVC PR D110 (4&quot;)"/>
    <s v="UN"/>
    <n v="2"/>
    <n v="16.531649999999999"/>
    <n v="33.063299999999998"/>
    <x v="3"/>
  </r>
  <r>
    <s v="007"/>
    <s v="PR02"/>
    <s v="810PAL044"/>
    <s v="Bague de palier TSN522C Joint etancheite"/>
    <s v="UN"/>
    <n v="1"/>
    <n v="33.125"/>
    <n v="33.125"/>
    <x v="3"/>
  </r>
  <r>
    <s v="007"/>
    <s v="PR02"/>
    <s v="810PAL049"/>
    <s v="Palier T212 CX RLT UC212"/>
    <s v="UN"/>
    <n v="1"/>
    <n v="33.125"/>
    <n v="33.125"/>
    <x v="3"/>
  </r>
  <r>
    <s v="007"/>
    <s v="PR01"/>
    <s v="810par053"/>
    <s v="PARAHUILE 35*47*7 M.Lavage"/>
    <s v="UN"/>
    <n v="8"/>
    <n v="4.1420000000000003"/>
    <n v="33.136000000000003"/>
    <x v="3"/>
  </r>
  <r>
    <s v="007"/>
    <s v="PR01"/>
    <s v="820XMC711"/>
    <s v="Tige fileté (INOX) M06"/>
    <s v="UN"/>
    <n v="5"/>
    <n v="6.63"/>
    <n v="33.15"/>
    <x v="3"/>
  </r>
  <r>
    <s v="007"/>
    <s v="PR01"/>
    <s v="820XMC571"/>
    <s v="vis sixpans fraisée M06*30 (Inox)"/>
    <s v="UN"/>
    <n v="158"/>
    <n v="0.20992"/>
    <n v="33.167360000000002"/>
    <x v="3"/>
  </r>
  <r>
    <s v="007"/>
    <s v="PR02"/>
    <s v="815XPE373"/>
    <s v="Support de fixation LG500mm Palan Fonderi"/>
    <s v="UN"/>
    <n v="1"/>
    <n v="33.25"/>
    <n v="33.25"/>
    <x v="3"/>
  </r>
  <r>
    <s v="007"/>
    <s v="PR02"/>
    <s v="820XMC042"/>
    <s v="VIS TH (acier) M10*70"/>
    <s v="UN"/>
    <n v="69"/>
    <n v="0.48299999999999998"/>
    <n v="33.326999999999998"/>
    <x v="3"/>
  </r>
  <r>
    <s v="007"/>
    <s v="PR02"/>
    <s v="810PIN017"/>
    <s v="PIGNON 08B1 25 dents"/>
    <s v="UN"/>
    <n v="1"/>
    <n v="33.344999999999999"/>
    <n v="33.344999999999999"/>
    <x v="3"/>
  </r>
  <r>
    <s v="007"/>
    <s v="PR01"/>
    <s v="810GOU008"/>
    <s v="Ecrou d'echappement M12     Moule COS3"/>
    <s v="UN"/>
    <n v="9"/>
    <n v="3.7124999999999999"/>
    <n v="33.412500000000001"/>
    <x v="3"/>
  </r>
  <r>
    <s v="007"/>
    <s v="PR02"/>
    <s v="812RAC015"/>
    <s v="RACCORD Union Egale 10/10"/>
    <s v="UN"/>
    <n v="12"/>
    <n v="2.7899999999999996"/>
    <n v="33.479999999999997"/>
    <x v="3"/>
  </r>
  <r>
    <s v="007"/>
    <s v="PR02"/>
    <s v="810ROU125"/>
    <s v="Roulement 22217 EK"/>
    <s v="UN"/>
    <n v="1"/>
    <n v="33.57"/>
    <n v="33.57"/>
    <x v="3"/>
  </r>
  <r>
    <s v="007"/>
    <s v="PR02"/>
    <s v="810ROU127"/>
    <s v="Roulement 6013-2Z"/>
    <s v="UN"/>
    <n v="1"/>
    <n v="33.57"/>
    <n v="33.57"/>
    <x v="3"/>
  </r>
  <r>
    <s v="007"/>
    <s v="PR01"/>
    <s v="820XMC167"/>
    <s v="écrou (acier) M24"/>
    <s v="UN"/>
    <n v="32"/>
    <n v="1.0506"/>
    <n v="33.619199999999999"/>
    <x v="3"/>
  </r>
  <r>
    <s v="007"/>
    <s v="PR02"/>
    <s v="812MON014"/>
    <s v="MONCHON PPR D75"/>
    <s v="UN"/>
    <n v="3"/>
    <n v="11.22"/>
    <n v="33.660000000000004"/>
    <x v="3"/>
  </r>
  <r>
    <s v="007"/>
    <s v="PR02"/>
    <s v="810PAR107"/>
    <s v="PARE HUILE 55*80*8"/>
    <s v="UN"/>
    <n v="5"/>
    <n v="6.75"/>
    <n v="33.75"/>
    <x v="3"/>
  </r>
  <r>
    <s v="007"/>
    <s v="PR01"/>
    <s v="820XMC498"/>
    <s v="tige fileté (acier) M16"/>
    <s v="UN"/>
    <n v="4"/>
    <n v="8.4700000000000006"/>
    <n v="33.880000000000003"/>
    <x v="3"/>
  </r>
  <r>
    <s v="007"/>
    <s v="PR01"/>
    <s v="820XMC117"/>
    <s v="tige fileté (acier) M04"/>
    <s v="UN"/>
    <n v="36"/>
    <n v="0.94299999999999995"/>
    <n v="33.948"/>
    <x v="3"/>
  </r>
  <r>
    <s v="007"/>
    <s v="PR01"/>
    <s v="812RAC238"/>
    <s v="Bouchon Raccord M04"/>
    <s v="UN"/>
    <n v="29"/>
    <n v="1.1729999999999998"/>
    <n v="34.016999999999996"/>
    <x v="3"/>
  </r>
  <r>
    <s v="007"/>
    <s v="PR02"/>
    <s v="820XMC228"/>
    <s v="Vis TH (acier) M10*80"/>
    <s v="UN"/>
    <n v="62"/>
    <n v="0.55342000000000002"/>
    <n v="34.312040000000003"/>
    <x v="3"/>
  </r>
  <r>
    <s v="007"/>
    <s v="PR01"/>
    <s v="812RAC043"/>
    <s v="Connecteur Bobine Electrovanne avec voyant"/>
    <s v="UN"/>
    <n v="3"/>
    <n v="11.475"/>
    <n v="34.424999999999997"/>
    <x v="3"/>
  </r>
  <r>
    <s v="007"/>
    <s v="PR01"/>
    <s v="820XMC480"/>
    <s v="écrou (Inox) M06"/>
    <s v="UN"/>
    <n v="420"/>
    <n v="8.2000000000000003E-2"/>
    <n v="34.440000000000005"/>
    <x v="3"/>
  </r>
  <r>
    <s v="007"/>
    <s v="PR01"/>
    <s v="812MEM725"/>
    <s v="Mamelon Galva 2&quot;1/2 (D75)"/>
    <s v="UN"/>
    <n v="3"/>
    <n v="11.490237762237765"/>
    <n v="34.470713286713291"/>
    <x v="3"/>
  </r>
  <r>
    <s v="007"/>
    <s v="PR02"/>
    <s v="820XMC372"/>
    <s v="Vis TH(acier) M10*30"/>
    <s v="UN"/>
    <n v="120"/>
    <n v="0.28799999999999998"/>
    <n v="34.559999999999995"/>
    <x v="3"/>
  </r>
  <r>
    <s v="007"/>
    <s v="PR01"/>
    <s v="820XMC554"/>
    <s v="vis sixpans fraisée M05*20 (acier)"/>
    <s v="UN"/>
    <n v="362"/>
    <n v="9.5479999999999995E-2"/>
    <n v="34.563759999999995"/>
    <x v="3"/>
  </r>
  <r>
    <s v="007"/>
    <s v="PR02"/>
    <s v="815XPE333"/>
    <s v="Connecteur Canalis"/>
    <s v="UN"/>
    <n v="3"/>
    <n v="11.583"/>
    <n v="34.749000000000002"/>
    <x v="3"/>
  </r>
  <r>
    <s v="007"/>
    <s v="PR02"/>
    <s v="820XMC119"/>
    <s v="Tuyau Heliflex D15"/>
    <s v="UN"/>
    <n v="20"/>
    <n v="1.7415"/>
    <n v="34.83"/>
    <x v="3"/>
  </r>
  <r>
    <s v="007"/>
    <s v="PR01"/>
    <s v="815XPE374"/>
    <s v="Pedale Electrique FS1-1"/>
    <s v="UN"/>
    <n v="2"/>
    <n v="17.434999999999999"/>
    <n v="34.869999999999997"/>
    <x v="3"/>
  </r>
  <r>
    <s v="007"/>
    <s v="PR01"/>
    <s v="820lai001"/>
    <s v="SILENCIEUX LAITON G1/8"/>
    <s v="UN"/>
    <n v="15"/>
    <n v="2.3290000000000002"/>
    <n v="34.935000000000002"/>
    <x v="3"/>
  </r>
  <r>
    <s v="007"/>
    <s v="PR02"/>
    <s v="820XMC169"/>
    <s v="VIS TH M08*60"/>
    <s v="UN"/>
    <n v="136"/>
    <n v="0.25700000000000001"/>
    <n v="34.951999999999998"/>
    <x v="3"/>
  </r>
  <r>
    <s v="007"/>
    <s v="PR01"/>
    <s v="810PAL078"/>
    <s v="PALIER OVALE UCFL 204/H pompe COS"/>
    <s v="UN"/>
    <n v="1"/>
    <n v="34.961849999999998"/>
    <n v="34.961849999999998"/>
    <x v="3"/>
  </r>
  <r>
    <s v="007"/>
    <s v="PR02"/>
    <s v="812FLE055"/>
    <s v="Flexible DN10 L800mm Hyster 5.5T"/>
    <s v="UN"/>
    <n v="1"/>
    <n v="35.085599999999999"/>
    <n v="35.085599999999999"/>
    <x v="3"/>
  </r>
  <r>
    <s v="007"/>
    <s v="PR01"/>
    <s v="820XMC012"/>
    <s v="VIS TH (acier) M06*60"/>
    <s v="UN"/>
    <n v="210"/>
    <n v="0.16726573619631901"/>
    <n v="35.125804601226996"/>
    <x v="3"/>
  </r>
  <r>
    <s v="007"/>
    <s v="PR01"/>
    <s v="812RAC207"/>
    <s v="SILENCIEUX G3/8&quot;"/>
    <s v="UN"/>
    <n v="13"/>
    <n v="2.7040000000000002"/>
    <n v="35.152000000000001"/>
    <x v="3"/>
  </r>
  <r>
    <s v="007"/>
    <s v="PR01"/>
    <s v="810XPM088"/>
    <s v="Coffret joint torique Jaune"/>
    <s v="UN"/>
    <n v="1"/>
    <n v="35.167949999999998"/>
    <n v="35.167949999999998"/>
    <x v="3"/>
  </r>
  <r>
    <s v="007"/>
    <s v="PR02"/>
    <s v="810XPM087"/>
    <s v="Coffret joint torique Bleu"/>
    <s v="UN"/>
    <n v="1"/>
    <n v="35.167949999999998"/>
    <n v="35.167949999999998"/>
    <x v="3"/>
  </r>
  <r>
    <s v="007"/>
    <s v="PR02"/>
    <s v="810XPM088"/>
    <s v="Coffret joint torique Jaune"/>
    <s v="UN"/>
    <n v="1"/>
    <n v="35.167949999999998"/>
    <n v="35.167949999999998"/>
    <x v="3"/>
  </r>
  <r>
    <s v="007"/>
    <s v="PR02"/>
    <s v="810XPM089"/>
    <s v="Coffret joint torique Rouge GM"/>
    <s v="UN"/>
    <n v="1"/>
    <n v="35.167949999999998"/>
    <n v="35.167949999999998"/>
    <x v="3"/>
  </r>
  <r>
    <s v="007"/>
    <s v="PR01"/>
    <s v="812mon002"/>
    <s v="MONCHON GALVA Femelle 1/4"/>
    <s v="UN"/>
    <n v="15"/>
    <n v="2.3460000000000001"/>
    <n v="35.19"/>
    <x v="3"/>
  </r>
  <r>
    <s v="007"/>
    <s v="PR01"/>
    <s v="820XMC395"/>
    <s v="vis six pans (acier) M05*30"/>
    <s v="UN"/>
    <n v="325"/>
    <n v="0.10833"/>
    <n v="35.207250000000002"/>
    <x v="3"/>
  </r>
  <r>
    <s v="007"/>
    <s v="PR02"/>
    <s v="830XOU075"/>
    <s v="Tube contact 1.2 poste soudure  poste semi"/>
    <s v="UN"/>
    <n v="10"/>
    <n v="3.5223300000000002"/>
    <n v="35.223300000000002"/>
    <x v="3"/>
  </r>
  <r>
    <s v="007"/>
    <s v="PR01"/>
    <s v="840PEI004"/>
    <s v="PEINTURE LAQUEE 4kg METAL BLEU"/>
    <s v="UN"/>
    <n v="1"/>
    <n v="35.293999999999997"/>
    <n v="35.293999999999997"/>
    <x v="3"/>
  </r>
  <r>
    <s v="007"/>
    <s v="PR01"/>
    <s v="820XMC037"/>
    <s v="vis six pans (acier) M06*30"/>
    <s v="UN"/>
    <n v="380"/>
    <n v="9.35E-2"/>
    <n v="35.53"/>
    <x v="3"/>
  </r>
  <r>
    <s v="007"/>
    <s v="PR01"/>
    <s v="815xpe173"/>
    <s v="Repere Bornier Bar de 10 numero 150"/>
    <s v="UN"/>
    <n v="88"/>
    <n v="0.40589999999999998"/>
    <n v="35.719200000000001"/>
    <x v="3"/>
  </r>
  <r>
    <s v="007"/>
    <s v="PR02"/>
    <s v="812RAC024"/>
    <s v="RACCORD RAPIDE COUDE 4*1/4"/>
    <s v="UN"/>
    <n v="21"/>
    <n v="1.7100000000000002"/>
    <n v="35.910000000000004"/>
    <x v="3"/>
  </r>
  <r>
    <s v="007"/>
    <s v="PR01"/>
    <s v="815XPE051"/>
    <s v="CONNECTEUR CAPTEUR FEMELLE M12  4 broches"/>
    <s v="UN"/>
    <n v="1"/>
    <n v="36"/>
    <n v="36"/>
    <x v="3"/>
  </r>
  <r>
    <s v="007"/>
    <s v="PR02"/>
    <s v="810PAR013"/>
    <s v="PARAHUILE 62*35*10"/>
    <s v="UN"/>
    <n v="9"/>
    <n v="4.0095000000000001"/>
    <n v="36.085500000000003"/>
    <x v="3"/>
  </r>
  <r>
    <s v="007"/>
    <s v="PR01"/>
    <s v="812COL056"/>
    <s v="COLLIER ATLAS D32"/>
    <s v="UN"/>
    <n v="25"/>
    <n v="1.4450000000000001"/>
    <n v="36.125"/>
    <x v="3"/>
  </r>
  <r>
    <s v="007"/>
    <s v="PR02"/>
    <s v="820XMC189"/>
    <s v="Barreau clavette 12 acier"/>
    <s v="UN"/>
    <n v="1"/>
    <n v="36.194000000000003"/>
    <n v="36.194000000000003"/>
    <x v="3"/>
  </r>
  <r>
    <s v="007"/>
    <s v="PR02"/>
    <s v="810XPM034"/>
    <s v="Attache Rapide 1/2 chaine 08B1"/>
    <s v="UN"/>
    <n v="32"/>
    <n v="1.1348999999999998"/>
    <n v="36.316799999999994"/>
    <x v="3"/>
  </r>
  <r>
    <s v="007"/>
    <s v="PR01"/>
    <s v="820XMC472"/>
    <s v="écrou (acier) M08"/>
    <s v="UN"/>
    <n v="649"/>
    <n v="5.6169999999999998E-2"/>
    <n v="36.454329999999999"/>
    <x v="3"/>
  </r>
  <r>
    <s v="007"/>
    <s v="PR01"/>
    <s v="815REL327"/>
    <s v="RELAIS A 11 BROCHE CIRCULAIRE 230V AC 60.13.8.230"/>
    <s v="UN"/>
    <n v="3"/>
    <n v="12.166"/>
    <n v="36.498000000000005"/>
    <x v="3"/>
  </r>
  <r>
    <s v="007"/>
    <s v="PR01"/>
    <s v="815XPE354"/>
    <s v="Fiche Male 3P+T 25A  380V"/>
    <s v="UN"/>
    <n v="5"/>
    <n v="7.3049999999999997"/>
    <n v="36.524999999999999"/>
    <x v="3"/>
  </r>
  <r>
    <s v="007"/>
    <s v="PR01"/>
    <s v="820XMC399"/>
    <s v="vis six pans (acier) M06*20"/>
    <s v="UN"/>
    <n v="420"/>
    <n v="8.6999999999999994E-2"/>
    <n v="36.54"/>
    <x v="3"/>
  </r>
  <r>
    <s v="007"/>
    <s v="PR02"/>
    <s v="810PAR017"/>
    <s v="PARAHUILE 110*85*12"/>
    <s v="UN"/>
    <n v="5"/>
    <n v="7.3349999999999991"/>
    <n v="36.674999999999997"/>
    <x v="3"/>
  </r>
  <r>
    <s v="007"/>
    <s v="PR02"/>
    <s v="815XPE269"/>
    <s v="chemin de câble Plastique 100mm*100mm"/>
    <s v="M"/>
    <n v="2"/>
    <n v="18.416368421052635"/>
    <n v="36.83273684210527"/>
    <x v="3"/>
  </r>
  <r>
    <s v="007"/>
    <s v="PR01"/>
    <s v="815dis022"/>
    <s v="Disjoncteur 10A  2P"/>
    <s v="UN"/>
    <n v="2"/>
    <n v="18.45"/>
    <n v="36.9"/>
    <x v="3"/>
  </r>
  <r>
    <s v="007"/>
    <s v="PR01"/>
    <s v="820XMC065"/>
    <s v="VIS TH (acier) M 12*30"/>
    <s v="UN"/>
    <n v="110"/>
    <n v="0.33638000000000001"/>
    <n v="37.001800000000003"/>
    <x v="3"/>
  </r>
  <r>
    <s v="007"/>
    <s v="PR02"/>
    <s v="810COU031"/>
    <s v="Courroie dentée HTD2000 5M B 290311"/>
    <s v="UN"/>
    <n v="1"/>
    <n v="37.08"/>
    <n v="37.08"/>
    <x v="3"/>
  </r>
  <r>
    <s v="007"/>
    <s v="PR02"/>
    <s v="810PAR011"/>
    <s v="PARAHUILE 55*100*10"/>
    <s v="UN"/>
    <n v="4"/>
    <n v="9.3437999999999999"/>
    <n v="37.3752"/>
    <x v="3"/>
  </r>
  <r>
    <s v="007"/>
    <s v="PR02"/>
    <s v="820XMC484"/>
    <s v="écrou frein M8"/>
    <s v="UN"/>
    <n v="10"/>
    <n v="3.7376999999999998"/>
    <n v="37.376999999999995"/>
    <x v="3"/>
  </r>
  <r>
    <s v="007"/>
    <s v="PR02"/>
    <s v="820DIS013"/>
    <s v="Disque 125 INOX COUPE"/>
    <s v="UN"/>
    <n v="25"/>
    <n v="1.4990000000000001"/>
    <n v="37.475000000000001"/>
    <x v="3"/>
  </r>
  <r>
    <s v="007"/>
    <s v="PR02"/>
    <s v="815XPE301"/>
    <s v="domino en plastique 50A 16mm(barette)"/>
    <s v="UN"/>
    <n v="8"/>
    <n v="4.6980000000000004"/>
    <n v="37.584000000000003"/>
    <x v="3"/>
  </r>
  <r>
    <s v="007"/>
    <s v="PR01"/>
    <s v="820GOU008"/>
    <s v="GOUPILLE  D5*80 Elastique"/>
    <s v="UN"/>
    <n v="95"/>
    <n v="0.39600000000000002"/>
    <n v="37.620000000000005"/>
    <x v="3"/>
  </r>
  <r>
    <s v="007"/>
    <s v="PR01"/>
    <s v="820XMC040"/>
    <s v="VIS TH (acier) M10*40"/>
    <s v="UN"/>
    <n v="120"/>
    <n v="0.315"/>
    <n v="37.799999999999997"/>
    <x v="3"/>
  </r>
  <r>
    <s v="007"/>
    <s v="PR02"/>
    <s v="810PAR137"/>
    <s v="PARE HUILE 75*100*13 Boite strip"/>
    <s v="UN"/>
    <n v="4"/>
    <n v="9.4499999999999993"/>
    <n v="37.799999999999997"/>
    <x v="3"/>
  </r>
  <r>
    <s v="007"/>
    <s v="PR02"/>
    <s v="812cod052"/>
    <s v="Coude INOX Femelle D13 (1/4&quot;) Moule M.Grille"/>
    <s v="UN"/>
    <n v="5"/>
    <n v="7.56"/>
    <n v="37.799999999999997"/>
    <x v="3"/>
  </r>
  <r>
    <s v="007"/>
    <s v="PR01"/>
    <s v="812MON034"/>
    <s v="MONCHON PVC PR D160"/>
    <s v="UN"/>
    <n v="1"/>
    <n v="37.822742857142863"/>
    <n v="37.822742857142863"/>
    <x v="3"/>
  </r>
  <r>
    <s v="007"/>
    <s v="PR01"/>
    <s v="812FLE025"/>
    <s v="Flexible PVC transparent Spiralee D8 interieur"/>
    <s v="M"/>
    <n v="10"/>
    <n v="3.7944000000000004"/>
    <n v="37.944000000000003"/>
    <x v="3"/>
  </r>
  <r>
    <s v="007"/>
    <s v="PR02"/>
    <s v="812FLE610"/>
    <s v="Flexible06"/>
    <s v="M"/>
    <n v="23"/>
    <n v="1.6575"/>
    <n v="38.122500000000002"/>
    <x v="3"/>
  </r>
  <r>
    <s v="007"/>
    <s v="PR02"/>
    <s v="815XPE358"/>
    <s v="AMPERMETER 100A AC LDI C72   Chambre murissage"/>
    <s v="UN"/>
    <n v="2"/>
    <n v="19.085989999999999"/>
    <n v="38.171979999999998"/>
    <x v="3"/>
  </r>
  <r>
    <s v="007"/>
    <s v="PR01"/>
    <s v="812COD707"/>
    <s v="Coude à souder inox D63"/>
    <s v="UN"/>
    <n v="2"/>
    <n v="19.089300000000001"/>
    <n v="38.178600000000003"/>
    <x v="3"/>
  </r>
  <r>
    <s v="007"/>
    <s v="PR01"/>
    <s v="840XOU010"/>
    <s v="Socle boite controle BRAHMA 003/SR3"/>
    <s v="UN"/>
    <n v="1"/>
    <n v="38.48715"/>
    <n v="38.48715"/>
    <x v="3"/>
  </r>
  <r>
    <s v="007"/>
    <s v="PR02"/>
    <s v="840XOU010"/>
    <s v="Socle boite controle BRAHMA 003/SR3"/>
    <s v="UN"/>
    <n v="1"/>
    <n v="38.48715"/>
    <n v="38.48715"/>
    <x v="3"/>
  </r>
  <r>
    <s v="007"/>
    <s v="PR01"/>
    <s v="810COU130"/>
    <s v="Courroie 2400*12.7 TEKMAX"/>
    <s v="UN"/>
    <n v="2"/>
    <n v="19.299600000000002"/>
    <n v="38.599200000000003"/>
    <x v="3"/>
  </r>
  <r>
    <s v="007"/>
    <s v="PR02"/>
    <s v="820XMC370"/>
    <s v="Vis TH (acier) M08*50"/>
    <s v="UN"/>
    <n v="79"/>
    <n v="0.49"/>
    <n v="38.71"/>
    <x v="3"/>
  </r>
  <r>
    <s v="007"/>
    <s v="PR01"/>
    <s v="812CLA008"/>
    <s v="CLAPET ANTI-RETOUR 1&quot;"/>
    <s v="UN"/>
    <n v="1"/>
    <n v="38.771999999999998"/>
    <n v="38.771999999999998"/>
    <x v="3"/>
  </r>
  <r>
    <s v="007"/>
    <s v="PR01"/>
    <s v="812RAC730"/>
    <s v="raccord 3 péicé Galva15/21"/>
    <s v="UN"/>
    <n v="4"/>
    <n v="9.7188999999999997"/>
    <n v="38.875599999999999"/>
    <x v="3"/>
  </r>
  <r>
    <s v="007"/>
    <s v="PR02"/>
    <s v="820XMC405"/>
    <s v="vis six pans (acier) M08*60"/>
    <s v="UN"/>
    <n v="88"/>
    <n v="0.442"/>
    <n v="38.896000000000001"/>
    <x v="3"/>
  </r>
  <r>
    <s v="007"/>
    <s v="PR01"/>
    <s v="812RAC015  "/>
    <s v="RACCORD UNION EGALE D10 "/>
    <s v="UN"/>
    <n v="10"/>
    <n v="3.92"/>
    <n v="39.200000000000003"/>
    <x v="3"/>
  </r>
  <r>
    <s v="007"/>
    <s v="PR01"/>
    <s v="812RAC088"/>
    <s v="Raccord droit 10/12"/>
    <s v="UN"/>
    <n v="11"/>
    <n v="3.57"/>
    <n v="39.269999999999996"/>
    <x v="3"/>
  </r>
  <r>
    <s v="007"/>
    <s v="PR01"/>
    <s v="812RAC042"/>
    <s v="SILENCIEUX G1/4&quot;"/>
    <s v="UN"/>
    <n v="17"/>
    <n v="2.3111666666666668"/>
    <n v="39.289833333333334"/>
    <x v="3"/>
  </r>
  <r>
    <s v="007"/>
    <s v="PR01"/>
    <s v="812RED608"/>
    <s v="réduction08/12"/>
    <s v="UN"/>
    <n v="11"/>
    <n v="3.5829"/>
    <n v="39.411900000000003"/>
    <x v="3"/>
  </r>
  <r>
    <s v="007"/>
    <s v="PR01"/>
    <s v="810ROU057"/>
    <s v="Roulement H309"/>
    <s v="UN"/>
    <n v="2"/>
    <n v="19.727550000000001"/>
    <n v="39.455100000000002"/>
    <x v="3"/>
  </r>
  <r>
    <s v="007"/>
    <s v="PR01"/>
    <s v="812TUB039"/>
    <s v="Tube Gorge D20"/>
    <s v="M"/>
    <n v="120"/>
    <n v="0.32900000000000001"/>
    <n v="39.480000000000004"/>
    <x v="3"/>
  </r>
  <r>
    <s v="007"/>
    <s v="PR02"/>
    <s v="810COU262"/>
    <s v="courroi  dentee 2400 RPP8"/>
    <s v="UN"/>
    <n v="2"/>
    <n v="19.8"/>
    <n v="39.6"/>
    <x v="3"/>
  </r>
  <r>
    <s v="007"/>
    <s v="PR02"/>
    <s v="810cou263"/>
    <s v="courroi dentee HTD 16014M"/>
    <s v="UN"/>
    <n v="2"/>
    <n v="19.8"/>
    <n v="39.6"/>
    <x v="3"/>
  </r>
  <r>
    <s v="007"/>
    <s v="PR01"/>
    <s v="812VER111"/>
    <s v="Fixation verin 1320.32.05 pneumax"/>
    <s v="UN"/>
    <n v="2"/>
    <n v="19.800999999999998"/>
    <n v="39.601999999999997"/>
    <x v="3"/>
  </r>
  <r>
    <s v="007"/>
    <s v="PR01"/>
    <m/>
    <s v="BAGUETTE BRAZURE 4MM 9PC/KG"/>
    <s v="UN"/>
    <n v="10"/>
    <n v="3.9660000000000002"/>
    <n v="39.660000000000004"/>
    <x v="3"/>
  </r>
  <r>
    <s v="007"/>
    <s v="PR02"/>
    <s v="815XPE364"/>
    <s v="AMPERMETER Numerique 100A TC 100A CHA MURISS"/>
    <s v="UN"/>
    <n v="1"/>
    <n v="39.695999999999998"/>
    <n v="39.695999999999998"/>
    <x v="3"/>
  </r>
  <r>
    <s v="007"/>
    <s v="PR02"/>
    <s v="820xmc454"/>
    <s v="vis six pans (Inox) M08*20"/>
    <s v="UN"/>
    <n v="81"/>
    <n v="0.49299999999999999"/>
    <n v="39.933"/>
    <x v="3"/>
  </r>
  <r>
    <s v="007"/>
    <s v="PR02"/>
    <s v="812FLE033"/>
    <s v="Flexible 7W15A EN 853 2SN CHARIOT 7T"/>
    <s v="UN"/>
    <n v="1"/>
    <n v="39.974400000000003"/>
    <n v="39.974400000000003"/>
    <x v="3"/>
  </r>
  <r>
    <s v="007"/>
    <s v="PR01"/>
    <s v="820XMC408"/>
    <s v="vis six pans (acier) M10*30"/>
    <s v="UN"/>
    <n v="93"/>
    <n v="0.43010585751978891"/>
    <n v="39.999844749340369"/>
    <x v="3"/>
  </r>
  <r>
    <s v="007"/>
    <s v="PR01"/>
    <s v="701ele019"/>
    <s v="Bouchon Corps connecteur A3036271"/>
    <s v="UN"/>
    <n v="4"/>
    <n v="10"/>
    <n v="40"/>
    <x v="3"/>
  </r>
  <r>
    <s v="007"/>
    <s v="PR01"/>
    <s v="731ROU021"/>
    <s v="Roue Support fourche 75/85"/>
    <s v="UN"/>
    <n v="1"/>
    <n v="40"/>
    <n v="40"/>
    <x v="3"/>
  </r>
  <r>
    <s v="007"/>
    <s v="PR01"/>
    <s v="815XPE100"/>
    <s v="Embou PVC PR 50*40*1&quot;1/2 femelle"/>
    <s v="UN"/>
    <n v="5"/>
    <n v="8"/>
    <n v="40"/>
    <x v="3"/>
  </r>
  <r>
    <s v="007"/>
    <s v="PR02"/>
    <s v="712MEC001"/>
    <s v="LAME EN BRONZE F0081596"/>
    <s v="UN"/>
    <n v="1"/>
    <n v="40"/>
    <n v="40"/>
    <x v="3"/>
  </r>
  <r>
    <s v="007"/>
    <s v="PR01"/>
    <s v="812COD684"/>
    <s v="COUDE  GALVA 20/27"/>
    <s v="UN"/>
    <n v="20"/>
    <n v="2.0020000000000002"/>
    <n v="40.040000000000006"/>
    <x v="3"/>
  </r>
  <r>
    <s v="007"/>
    <s v="PR02"/>
    <s v="810PIN030"/>
    <s v="Pignon 08B2 16DENTS"/>
    <s v="UN"/>
    <n v="3"/>
    <n v="13.379200000000001"/>
    <n v="40.137600000000006"/>
    <x v="3"/>
  </r>
  <r>
    <s v="007"/>
    <s v="PR02"/>
    <s v="830XOU196"/>
    <s v="Tapis caoutchouc EP4 1M/1M"/>
    <s v="UN"/>
    <n v="1"/>
    <n v="40.372199999999999"/>
    <n v="40.372199999999999"/>
    <x v="3"/>
  </r>
  <r>
    <s v="007"/>
    <s v="PR01"/>
    <s v="810PAR085"/>
    <s v="PARE HUILE 105*140*12"/>
    <s v="UN"/>
    <n v="4"/>
    <n v="10.143000000000001"/>
    <n v="40.572000000000003"/>
    <x v="3"/>
  </r>
  <r>
    <s v="007"/>
    <s v="PR01"/>
    <s v="810PAR103"/>
    <s v="PARE HUILE 50*70*10"/>
    <s v="UN"/>
    <n v="4"/>
    <n v="10.143000000000001"/>
    <n v="40.572000000000003"/>
    <x v="3"/>
  </r>
  <r>
    <s v="007"/>
    <s v="PR02"/>
    <s v="810PAR007"/>
    <s v="PARE HUILE 8*50*35"/>
    <s v="UN"/>
    <n v="4"/>
    <n v="10.143000000000001"/>
    <n v="40.572000000000003"/>
    <x v="3"/>
  </r>
  <r>
    <s v="007"/>
    <s v="PR02"/>
    <s v="810PAR084"/>
    <s v="PARE HUILE 120*150*12"/>
    <s v="UN"/>
    <n v="4"/>
    <n v="10.143000000000001"/>
    <n v="40.572000000000003"/>
    <x v="3"/>
  </r>
  <r>
    <s v="007"/>
    <s v="PR01"/>
    <s v="812EMB006"/>
    <s v="Embou cannelé PVC D32 Charge"/>
    <s v="UN"/>
    <n v="5"/>
    <n v="8.1259999999999994"/>
    <n v="40.629999999999995"/>
    <x v="3"/>
  </r>
  <r>
    <s v="007"/>
    <s v="PR01"/>
    <s v="815GOU005"/>
    <s v="GOUPILLE  D8*30"/>
    <s v="UN"/>
    <n v="40"/>
    <n v="1.0157499999999999"/>
    <n v="40.629999999999995"/>
    <x v="3"/>
  </r>
  <r>
    <s v="007"/>
    <s v="PR02"/>
    <s v="812COL662"/>
    <s v="Collier de serrage 50-70"/>
    <s v="UN"/>
    <n v="22"/>
    <n v="1.8508579999999999"/>
    <n v="40.718875999999995"/>
    <x v="3"/>
  </r>
  <r>
    <s v="007"/>
    <s v="PR02"/>
    <s v="820XMC377"/>
    <s v="vis tête hexagonale M12*30 (acier)"/>
    <s v="UN"/>
    <n v="140"/>
    <n v="0.29199999999999998"/>
    <n v="40.879999999999995"/>
    <x v="3"/>
  </r>
  <r>
    <s v="007"/>
    <s v="PR01"/>
    <s v="820XMC035"/>
    <s v="vis six pans (acier) M05*50"/>
    <s v="UN"/>
    <n v="210"/>
    <n v="0.19486187845303865"/>
    <n v="40.920994475138116"/>
    <x v="3"/>
  </r>
  <r>
    <s v="007"/>
    <s v="PR01"/>
    <s v="812MON035"/>
    <s v="Monchon INOX D25"/>
    <s v="UN"/>
    <n v="1"/>
    <n v="40.950000000000003"/>
    <n v="40.950000000000003"/>
    <x v="3"/>
  </r>
  <r>
    <s v="007"/>
    <s v="PR01"/>
    <s v="810XPM211"/>
    <s v="Attache rapide pour chaine 12B2"/>
    <s v="UN"/>
    <n v="21"/>
    <n v="1.9525128964059197"/>
    <n v="41.002770824524312"/>
    <x v="3"/>
  </r>
  <r>
    <s v="007"/>
    <s v="PR02"/>
    <s v="702MEC032"/>
    <s v="Flotteur mecanique 15/21 (1/2&quot;)"/>
    <s v="UN"/>
    <n v="2"/>
    <n v="20.55725"/>
    <n v="41.1145"/>
    <x v="3"/>
  </r>
  <r>
    <s v="007"/>
    <s v="PR02"/>
    <s v="820XMC406"/>
    <s v="vis six pans (acier) M08*70"/>
    <s v="UN"/>
    <n v="92"/>
    <n v="0.44700000000000001"/>
    <n v="41.124000000000002"/>
    <x v="3"/>
  </r>
  <r>
    <s v="007"/>
    <s v="PR02"/>
    <s v="812COL007"/>
    <s v="COLLIER DE SERRAGE 15"/>
    <s v="UN"/>
    <n v="38"/>
    <n v="1.0880000000000001"/>
    <n v="41.344000000000001"/>
    <x v="3"/>
  </r>
  <r>
    <s v="007"/>
    <s v="PR01"/>
    <s v="812COD037"/>
    <s v="Coude PVC PR D50 45°"/>
    <s v="UN"/>
    <n v="11"/>
    <n v="3.7618799999999997"/>
    <n v="41.380679999999998"/>
    <x v="3"/>
  </r>
  <r>
    <s v="007"/>
    <s v="PR02"/>
    <s v="812TTE619"/>
    <s v="Te12 pneumatique"/>
    <s v="UN"/>
    <n v="5"/>
    <n v="8.2799999999999994"/>
    <n v="41.4"/>
    <x v="3"/>
  </r>
  <r>
    <s v="007"/>
    <s v="PR01"/>
    <s v="815xpe129"/>
    <s v="Condensateur 8µF MKA8 Demarrage moteur"/>
    <s v="UN"/>
    <n v="6"/>
    <n v="7.021221052631577"/>
    <n v="42.12732631578946"/>
    <x v="3"/>
  </r>
  <r>
    <s v="007"/>
    <s v="PR01"/>
    <s v="810MAN0016"/>
    <s v="Manomètre avec glycerine G1/4 63mm 0-6bar OSMOSEU"/>
    <s v="UN"/>
    <n v="2"/>
    <n v="21.08"/>
    <n v="42.16"/>
    <x v="3"/>
  </r>
  <r>
    <s v="007"/>
    <s v="PR01"/>
    <s v="810MAN0017"/>
    <s v="Manomètre avec glycerine G1/4 63mm 0-10bar OSMOSE"/>
    <s v="UN"/>
    <n v="2"/>
    <n v="21.08"/>
    <n v="42.16"/>
    <x v="3"/>
  </r>
  <r>
    <s v="007"/>
    <s v="PR02"/>
    <s v="812FLE056"/>
    <s v="Flexible DN10 L1500mm Hyster 5.5T"/>
    <s v="UN"/>
    <n v="1"/>
    <n v="42.160499999999999"/>
    <n v="42.160499999999999"/>
    <x v="3"/>
  </r>
  <r>
    <s v="007"/>
    <s v="PR02"/>
    <s v="820xmc498"/>
    <s v="tige fileté (acier) M16"/>
    <s v="UN"/>
    <n v="5"/>
    <n v="8.4700000000000006"/>
    <n v="42.35"/>
    <x v="3"/>
  </r>
  <r>
    <s v="007"/>
    <s v="PR01"/>
    <s v="812XPB103"/>
    <s v="Traverse de paroi PVC PR 60/50"/>
    <s v="UN"/>
    <n v="2"/>
    <n v="21.29194"/>
    <n v="42.583880000000001"/>
    <x v="3"/>
  </r>
  <r>
    <s v="007"/>
    <s v="PR01"/>
    <s v="810PIN004"/>
    <s v="PIGNON 05B25T"/>
    <s v="UN"/>
    <n v="4"/>
    <n v="10.6488"/>
    <n v="42.595199999999998"/>
    <x v="3"/>
  </r>
  <r>
    <s v="007"/>
    <s v="PR01"/>
    <s v="810PIN007"/>
    <s v="pignon 10Bx015"/>
    <s v="UN"/>
    <n v="4"/>
    <n v="10.6488"/>
    <n v="42.595199999999998"/>
    <x v="3"/>
  </r>
  <r>
    <s v="007"/>
    <s v="PR01"/>
    <s v="812RED605"/>
    <s v="réduction10/12"/>
    <s v="UN"/>
    <n v="11"/>
    <n v="3.8759999999999999"/>
    <n v="42.635999999999996"/>
    <x v="3"/>
  </r>
  <r>
    <s v="007"/>
    <s v="PR01"/>
    <s v="812rac749"/>
    <s v="Raccord pneumt coudée 04*1/8"/>
    <s v="UN"/>
    <n v="19"/>
    <n v="2.2440000000000002"/>
    <n v="42.636000000000003"/>
    <x v="3"/>
  </r>
  <r>
    <s v="007"/>
    <s v="PR02"/>
    <s v="701ELE070"/>
    <s v="Thermocouple D5*78 1500+bay11 Moule M.G"/>
    <s v="UN"/>
    <n v="1"/>
    <n v="42.724110000000003"/>
    <n v="42.724110000000003"/>
    <x v="3"/>
  </r>
  <r>
    <s v="007"/>
    <s v="PR01"/>
    <s v="810par119"/>
    <s v="PARAHUILE 60*85*8"/>
    <s v="UN"/>
    <n v="6"/>
    <n v="7.1459999999999999"/>
    <n v="42.875999999999998"/>
    <x v="3"/>
  </r>
  <r>
    <s v="007"/>
    <s v="PR01"/>
    <s v="820XMC039"/>
    <s v="vis six pans (acier) M08*50"/>
    <s v="UN"/>
    <n v="150"/>
    <n v="0.28599999999999998"/>
    <n v="42.9"/>
    <x v="3"/>
  </r>
  <r>
    <s v="007"/>
    <s v="PR02"/>
    <s v="810PAR092"/>
    <s v="PARE HUILE 75*95*10"/>
    <s v="UN"/>
    <n v="6"/>
    <n v="7.1639999999999988"/>
    <n v="42.983999999999995"/>
    <x v="3"/>
  </r>
  <r>
    <s v="007"/>
    <s v="PR01"/>
    <s v="810XPM212"/>
    <s v="PATE JOINT 14B1"/>
    <s v="UN"/>
    <n v="12"/>
    <n v="3.5928"/>
    <n v="43.113599999999998"/>
    <x v="3"/>
  </r>
  <r>
    <s v="007"/>
    <s v="PR01"/>
    <s v="820XMC435"/>
    <s v="VIS TH (INOX) M10*30"/>
    <s v="UN"/>
    <n v="55"/>
    <n v="0.78539999999999988"/>
    <n v="43.196999999999996"/>
    <x v="3"/>
  </r>
  <r>
    <s v="007"/>
    <s v="PR02"/>
    <s v="810PAR060"/>
    <s v="Parahuile 70*100*12 VIS OXYDE"/>
    <s v="UN"/>
    <n v="6"/>
    <n v="7.2"/>
    <n v="43.2"/>
    <x v="3"/>
  </r>
  <r>
    <s v="007"/>
    <s v="PR01"/>
    <s v="812RED602"/>
    <s v="RACCORD UNION INEGALE D04-D06 "/>
    <s v="UN"/>
    <n v="24"/>
    <n v="1.802"/>
    <n v="43.248000000000005"/>
    <x v="3"/>
  </r>
  <r>
    <s v="007"/>
    <s v="PR02"/>
    <s v="812FLE039"/>
    <s v="Flexible d'huile 3/8&quot; 330bar    punshing"/>
    <s v="UN"/>
    <n v="1"/>
    <n v="43.271999999999998"/>
    <n v="43.271999999999998"/>
    <x v="3"/>
  </r>
  <r>
    <s v="007"/>
    <s v="PR01"/>
    <s v="820XMC315"/>
    <s v="VIS TH (Acier) M06*50"/>
    <s v="UN"/>
    <n v="362"/>
    <n v="0.12"/>
    <n v="43.44"/>
    <x v="3"/>
  </r>
  <r>
    <s v="007"/>
    <s v="PR02"/>
    <s v="810ROU003"/>
    <s v="Roulement YAR 204"/>
    <s v="UN"/>
    <n v="2"/>
    <n v="21.7224"/>
    <n v="43.444800000000001"/>
    <x v="3"/>
  </r>
  <r>
    <s v="007"/>
    <s v="PR01"/>
    <s v="820XMC487"/>
    <s v="Vis d'arrêt (acier) M08*10"/>
    <s v="UN"/>
    <n v="230"/>
    <n v="0.18895999999999999"/>
    <n v="43.460799999999999"/>
    <x v="3"/>
  </r>
  <r>
    <s v="007"/>
    <s v="PR01"/>
    <s v="812RAC029"/>
    <s v="RACCORD DROIT 12*1/4"/>
    <s v="UN"/>
    <n v="6"/>
    <n v="7.2479626957759846"/>
    <n v="43.487776174655906"/>
    <x v="3"/>
  </r>
  <r>
    <s v="007"/>
    <s v="PR02"/>
    <s v="812RAC192"/>
    <s v="Raccord 3P Noir D26/34 (1&quot;)"/>
    <s v="UN"/>
    <n v="2"/>
    <n v="21.8"/>
    <n v="43.6"/>
    <x v="3"/>
  </r>
  <r>
    <s v="007"/>
    <s v="PR01"/>
    <s v="812COD691"/>
    <s v="Coude bargataire D50"/>
    <s v="UN"/>
    <n v="3"/>
    <n v="14.5512"/>
    <n v="43.653599999999997"/>
    <x v="3"/>
  </r>
  <r>
    <s v="007"/>
    <s v="PR02"/>
    <s v="830BAR002"/>
    <s v="Barreau Clavette 6 ACIER"/>
    <s v="UN"/>
    <n v="4"/>
    <n v="10.92"/>
    <n v="43.68"/>
    <x v="3"/>
  </r>
  <r>
    <s v="007"/>
    <s v="PR01"/>
    <s v="820XMC372"/>
    <s v="Vis TH(acier) M10*30"/>
    <s v="UN"/>
    <n v="152"/>
    <n v="0.28799999999999998"/>
    <n v="43.775999999999996"/>
    <x v="3"/>
  </r>
  <r>
    <s v="007"/>
    <s v="PR02"/>
    <s v="815XPE354"/>
    <s v="Fiche Male 3P+T 25A  380V"/>
    <s v="UN"/>
    <n v="6"/>
    <n v="7.3049999999999997"/>
    <n v="43.83"/>
    <x v="3"/>
  </r>
  <r>
    <s v="007"/>
    <s v="PR01"/>
    <s v="820XMC362"/>
    <s v="VIS TH M05*30 (acier)"/>
    <s v="UN"/>
    <n v="320"/>
    <n v="0.13755999999999999"/>
    <n v="44.019199999999998"/>
    <x v="3"/>
  </r>
  <r>
    <s v="007"/>
    <s v="PR02"/>
    <s v="820XMC087"/>
    <s v="VIS TH (acier) M12X50"/>
    <s v="UN"/>
    <n v="123"/>
    <n v="0.35899999999999999"/>
    <n v="44.156999999999996"/>
    <x v="3"/>
  </r>
  <r>
    <s v="007"/>
    <s v="PR01"/>
    <s v="812MEM023"/>
    <s v="Mamelon Chromé 1/4 avec buse cannelé   COS3"/>
    <s v="UN"/>
    <n v="5"/>
    <n v="8.8757999999999999"/>
    <n v="44.378999999999998"/>
    <x v="3"/>
  </r>
  <r>
    <s v="007"/>
    <s v="PR01"/>
    <s v="820XMC474"/>
    <s v="écrou (acier) M12"/>
    <s v="UN"/>
    <n v="350"/>
    <n v="0.127"/>
    <n v="44.45"/>
    <x v="3"/>
  </r>
  <r>
    <s v="007"/>
    <s v="PR02"/>
    <s v="812EMB005"/>
    <s v="Embou PVC PR MALE 50*40*1&quot;1/2"/>
    <s v="UN"/>
    <n v="7"/>
    <n v="6.3577166666666658"/>
    <n v="44.504016666666658"/>
    <x v="3"/>
  </r>
  <r>
    <s v="007"/>
    <s v="PR01"/>
    <s v="820XMC717"/>
    <s v="vis six pans (acier) M08*100"/>
    <s v="UN"/>
    <n v="52"/>
    <n v="0.85746000000000011"/>
    <n v="44.587920000000004"/>
    <x v="3"/>
  </r>
  <r>
    <s v="007"/>
    <s v="PR01"/>
    <s v="820XMC365"/>
    <s v="vis tête hexagonale M06*30 (acier)"/>
    <s v="UN"/>
    <n v="420"/>
    <n v="0.10620000000000002"/>
    <n v="44.604000000000006"/>
    <x v="3"/>
  </r>
  <r>
    <s v="007"/>
    <s v="PR01"/>
    <s v="702MEC014"/>
    <s v="Flotteur mecanique pour cyterne d'eau"/>
    <s v="UN"/>
    <n v="1"/>
    <n v="44.625"/>
    <n v="44.625"/>
    <x v="3"/>
  </r>
  <r>
    <s v="007"/>
    <s v="PR01"/>
    <s v="820XMC236"/>
    <s v="vis six pans (acier) M08*10"/>
    <s v="UN"/>
    <n v="352"/>
    <n v="0.127"/>
    <n v="44.704000000000001"/>
    <x v="3"/>
  </r>
  <r>
    <s v="007"/>
    <s v="PR02"/>
    <s v="815XPE351"/>
    <s v="Ventilateur 220v"/>
    <s v="UN"/>
    <n v="2"/>
    <n v="22.429345098039217"/>
    <n v="44.858690196078435"/>
    <x v="3"/>
  </r>
  <r>
    <s v="007"/>
    <s v="PR01"/>
    <s v="812COD034"/>
    <s v="Coude Acier 2&quot;"/>
    <s v="UN"/>
    <n v="2"/>
    <n v="22.513499999999997"/>
    <n v="45.026999999999994"/>
    <x v="3"/>
  </r>
  <r>
    <s v="007"/>
    <s v="PR01"/>
    <s v="815ELE085"/>
    <s v="Transformateur 50VA PRI 0-220V-380 SEC 0-24VAC"/>
    <s v="UN"/>
    <n v="1"/>
    <n v="45.05"/>
    <n v="45.05"/>
    <x v="3"/>
  </r>
  <r>
    <s v="007"/>
    <s v="PR02"/>
    <s v="810XPM208"/>
    <s v="Attache rapide pour chaine 08B1"/>
    <s v="UN"/>
    <n v="65"/>
    <n v="0.69479999999999997"/>
    <n v="45.161999999999999"/>
    <x v="3"/>
  </r>
  <r>
    <s v="007"/>
    <s v="PR01"/>
    <s v="820XMC508"/>
    <s v="Rondelle plate (acier) M14"/>
    <s v="UN"/>
    <n v="320"/>
    <n v="0.14147000000000001"/>
    <n v="45.270400000000002"/>
    <x v="3"/>
  </r>
  <r>
    <s v="007"/>
    <s v="PR01"/>
    <s v="815XPE347"/>
    <s v="Fiche femelle 3P+T 32A-6/ 380-415V"/>
    <s v="UN"/>
    <n v="4"/>
    <n v="11.423999999999999"/>
    <n v="45.695999999999998"/>
    <x v="3"/>
  </r>
  <r>
    <s v="007"/>
    <s v="PR02"/>
    <s v="820XMC368"/>
    <s v="VIS TH (acier) M08*30"/>
    <s v="UN"/>
    <n v="250"/>
    <n v="0.183"/>
    <n v="45.75"/>
    <x v="3"/>
  </r>
  <r>
    <s v="007"/>
    <s v="PR01"/>
    <s v="810PIN022"/>
    <s v="PIGNION 06B1-B10"/>
    <s v="UN"/>
    <n v="2"/>
    <n v="22.878"/>
    <n v="45.756"/>
    <x v="3"/>
  </r>
  <r>
    <s v="007"/>
    <s v="PR01"/>
    <s v="810pal087"/>
    <s v="PALIER FYTB 504 M"/>
    <s v="UN"/>
    <n v="2"/>
    <n v="22.929201680672268"/>
    <n v="45.858403361344536"/>
    <x v="3"/>
  </r>
  <r>
    <s v="007"/>
    <s v="PR02"/>
    <s v="812TTE033"/>
    <s v="TE Galva 1&quot;1/4"/>
    <s v="UN"/>
    <n v="6"/>
    <n v="7.6470000000000002"/>
    <n v="45.882000000000005"/>
    <x v="3"/>
  </r>
  <r>
    <s v="007"/>
    <s v="PR01"/>
    <s v="812COD682"/>
    <s v="COUDE PVC P D90 90°"/>
    <s v="UN"/>
    <n v="5"/>
    <n v="9.2750000000000004"/>
    <n v="46.375"/>
    <x v="3"/>
  </r>
  <r>
    <s v="007"/>
    <s v="PR02"/>
    <s v="812cod682"/>
    <s v="COUDE PVC P D90 90°"/>
    <s v="UN"/>
    <n v="5"/>
    <n v="9.2750000000000004"/>
    <n v="46.375"/>
    <x v="3"/>
  </r>
  <r>
    <s v="007"/>
    <s v="PR01"/>
    <s v="815CAB014"/>
    <s v="Cable souple 2*0.75"/>
    <s v="M"/>
    <n v="34"/>
    <n v="1.3653"/>
    <n v="46.420200000000001"/>
    <x v="3"/>
  </r>
  <r>
    <s v="007"/>
    <s v="PR01"/>
    <s v="810COU003"/>
    <s v="COURROIE MEGA DYINE 720 RPP8"/>
    <s v="UN"/>
    <n v="6"/>
    <n v="7.7606999999999999"/>
    <n v="46.5642"/>
    <x v="3"/>
  </r>
  <r>
    <s v="007"/>
    <s v="PR02"/>
    <s v="820XMC823"/>
    <s v="VIS TH(acier) M16*70"/>
    <s v="UN"/>
    <n v="45"/>
    <n v="1.0395066666666666"/>
    <n v="46.777799999999999"/>
    <x v="3"/>
  </r>
  <r>
    <s v="007"/>
    <s v="PR01"/>
    <s v="812RAC209"/>
    <s v="Adaptateur HYD MM DN 3/4"/>
    <s v="UN"/>
    <n v="4"/>
    <n v="11.699999999999998"/>
    <n v="46.79999999999999"/>
    <x v="3"/>
  </r>
  <r>
    <s v="007"/>
    <s v="PR01"/>
    <s v="812FLE074"/>
    <s v="Flexible DN10 LG2200 THP D*2"/>
    <s v="UN"/>
    <n v="1"/>
    <n v="46.98"/>
    <n v="46.98"/>
    <x v="3"/>
  </r>
  <r>
    <s v="007"/>
    <s v="PR02"/>
    <s v="810COU126"/>
    <s v="COURROIE VECA100 3000 C116"/>
    <s v="UN"/>
    <n v="1"/>
    <n v="47.0565"/>
    <n v="47.0565"/>
    <x v="3"/>
  </r>
  <r>
    <s v="007"/>
    <s v="PR01"/>
    <s v="810XPM205"/>
    <s v="Attache rapide pour chaine 04B1"/>
    <s v="UN"/>
    <n v="25"/>
    <n v="1.89"/>
    <n v="47.25"/>
    <x v="3"/>
  </r>
  <r>
    <s v="007"/>
    <s v="PR02"/>
    <s v="815ELE042"/>
    <s v="Transformateur de courant 100A  Cham.muris"/>
    <s v="UN"/>
    <n v="2"/>
    <n v="23.648"/>
    <n v="47.295999999999999"/>
    <x v="3"/>
  </r>
  <r>
    <s v="007"/>
    <s v="PR01"/>
    <s v="820XMC404"/>
    <s v="vis six pans (acier) M08*40"/>
    <s v="UN"/>
    <n v="160"/>
    <n v="0.29599999999999999"/>
    <n v="47.36"/>
    <x v="3"/>
  </r>
  <r>
    <s v="007"/>
    <s v="PR01"/>
    <m/>
    <s v="RACCORD RESERVOIR 2&quot; MALE"/>
    <s v="UN"/>
    <n v="1"/>
    <n v="47.624000000000002"/>
    <n v="47.624000000000002"/>
    <x v="3"/>
  </r>
  <r>
    <s v="007"/>
    <s v="PR01"/>
    <s v="815cab025"/>
    <s v="Fil Souple 0.75mm Bleu"/>
    <s v="M"/>
    <n v="140"/>
    <n v="0.34026000000000001"/>
    <n v="47.636400000000002"/>
    <x v="3"/>
  </r>
  <r>
    <s v="007"/>
    <s v="PR01"/>
    <s v="812CLA013"/>
    <s v="CLAPET ANTI-RETOUR CUIVRE 3/4&quot;     COS3"/>
    <s v="UN"/>
    <n v="2"/>
    <n v="23.836500000000001"/>
    <n v="47.673000000000002"/>
    <x v="3"/>
  </r>
  <r>
    <s v="007"/>
    <s v="PR01"/>
    <s v="812COU702"/>
    <s v="Coude PVC Y  D160"/>
    <s v="UN"/>
    <n v="6"/>
    <n v="7.95"/>
    <n v="47.7"/>
    <x v="3"/>
  </r>
  <r>
    <s v="007"/>
    <s v="PR01"/>
    <s v="812RAC025"/>
    <s v="RACCORD DROIT4*1/4"/>
    <s v="UN"/>
    <n v="28"/>
    <n v="1.7100000000000002"/>
    <n v="47.88"/>
    <x v="3"/>
  </r>
  <r>
    <s v="007"/>
    <s v="PR01"/>
    <s v="-"/>
    <s v="RACCORD UNION INEGALE D06-D10"/>
    <s v="UN"/>
    <n v="10"/>
    <n v="4.8"/>
    <n v="48"/>
    <x v="3"/>
  </r>
  <r>
    <s v="007"/>
    <s v="PR02"/>
    <s v="820XMC041"/>
    <s v="VIS TH (acier) M12*100"/>
    <s v="UN"/>
    <n v="45"/>
    <n v="1.0674870607734805"/>
    <n v="48.036917734806622"/>
    <x v="3"/>
  </r>
  <r>
    <s v="007"/>
    <s v="PR01"/>
    <s v="820XMC755"/>
    <s v="vis six pans (Inox) M06*60"/>
    <s v="UN"/>
    <n v="78"/>
    <n v="0.61599999999999999"/>
    <n v="48.048000000000002"/>
    <x v="3"/>
  </r>
  <r>
    <s v="007"/>
    <s v="PR01"/>
    <s v="812MEM001"/>
    <s v="MAMELON GALVA 1&quot;1/2"/>
    <s v="UN"/>
    <n v="6"/>
    <n v="8.0640000000000001"/>
    <n v="48.384"/>
    <x v="3"/>
  </r>
  <r>
    <s v="007"/>
    <s v="PR02"/>
    <s v="812RAC079"/>
    <s v="Raccord 3P D40 PPR"/>
    <s v="UN"/>
    <n v="2"/>
    <n v="24.225000000000001"/>
    <n v="48.45"/>
    <x v="3"/>
  </r>
  <r>
    <s v="007"/>
    <s v="PR02"/>
    <s v="830XOU809"/>
    <s v="LAME DE CUTTEUR"/>
    <s v="UN"/>
    <n v="30"/>
    <n v="1.619"/>
    <n v="48.57"/>
    <x v="3"/>
  </r>
  <r>
    <s v="007"/>
    <s v="PR02"/>
    <s v="812RAC067"/>
    <s v="RACCORD PPR MALE D63"/>
    <s v="UN"/>
    <n v="1"/>
    <n v="48.705000000000005"/>
    <n v="48.705000000000005"/>
    <x v="3"/>
  </r>
  <r>
    <s v="007"/>
    <s v="PR01"/>
    <s v="820XMC752"/>
    <s v="vis six pans (Inox) M05*60"/>
    <s v="UN"/>
    <n v="120"/>
    <n v="0.40799999999999997"/>
    <n v="48.959999999999994"/>
    <x v="3"/>
  </r>
  <r>
    <s v="007"/>
    <s v="PR02"/>
    <s v="810PAR062"/>
    <s v="PARE HUILE 55*72*08 Moteur melangeur fonderi"/>
    <s v="UN"/>
    <n v="6"/>
    <n v="8.1647999999999996"/>
    <n v="48.988799999999998"/>
    <x v="3"/>
  </r>
  <r>
    <s v="007"/>
    <s v="PR02"/>
    <s v="810ROU212"/>
    <s v="ROULEMENT A ROULEAUX 30204 J2/Q"/>
    <s v="UN"/>
    <n v="2"/>
    <n v="24.623999999999999"/>
    <n v="49.247999999999998"/>
    <x v="3"/>
  </r>
  <r>
    <s v="007"/>
    <s v="PR01"/>
    <s v="812FLE065"/>
    <s v="Flexible DN06 LG380 THP 400BAR   TCM30 ESSENCE"/>
    <s v="UN"/>
    <n v="2"/>
    <n v="24.678000000000001"/>
    <n v="49.356000000000002"/>
    <x v="3"/>
  </r>
  <r>
    <s v="007"/>
    <s v="PR01"/>
    <s v="820XMC748"/>
    <s v="vis six pans (Inox) M04*40"/>
    <s v="UN"/>
    <n v="250"/>
    <n v="0.19800000000000001"/>
    <n v="49.5"/>
    <x v="3"/>
  </r>
  <r>
    <s v="007"/>
    <s v="PR02"/>
    <s v="815xpe136"/>
    <s v="CONNECTEUR CAPTEUR Male M12  4 broches"/>
    <s v="UN"/>
    <n v="1"/>
    <n v="49.5"/>
    <n v="49.5"/>
    <x v="3"/>
  </r>
  <r>
    <s v="007"/>
    <s v="PR01"/>
    <s v="812MEM030"/>
    <s v="MAMELON Laiton 1&quot;1/2"/>
    <s v="UN"/>
    <n v="3"/>
    <n v="16.520399999999999"/>
    <n v="49.561199999999999"/>
    <x v="3"/>
  </r>
  <r>
    <s v="007"/>
    <s v="PR02"/>
    <s v="812FLE080"/>
    <s v="Flexible LG500 INOX M.G.Wirtz"/>
    <s v="UN"/>
    <n v="2"/>
    <n v="24.803999999999998"/>
    <n v="49.607999999999997"/>
    <x v="3"/>
  </r>
  <r>
    <s v="007"/>
    <s v="PR01"/>
    <s v="812VER190"/>
    <s v="CHAPE ARRIERE MALE D63"/>
    <s v="UN"/>
    <n v="2"/>
    <n v="24.84"/>
    <n v="49.68"/>
    <x v="3"/>
  </r>
  <r>
    <s v="007"/>
    <s v="PR01"/>
    <s v="815con041"/>
    <s v="Contacteur LC1D09 220V"/>
    <s v="UN"/>
    <n v="1"/>
    <n v="49.832999999999998"/>
    <n v="49.832999999999998"/>
    <x v="3"/>
  </r>
  <r>
    <s v="007"/>
    <s v="PR01"/>
    <s v="810ROU163"/>
    <s v="Roulement 6005-2RS"/>
    <s v="UN"/>
    <n v="5"/>
    <n v="9.9668571428571422"/>
    <n v="49.834285714285713"/>
    <x v="3"/>
  </r>
  <r>
    <s v="007"/>
    <s v="PR02"/>
    <s v="812rac004"/>
    <s v="RACCORD  3 P PVC  D40"/>
    <s v="UN"/>
    <n v="5"/>
    <n v="9.9719999999999995"/>
    <n v="49.86"/>
    <x v="3"/>
  </r>
  <r>
    <s v="007"/>
    <s v="PR02"/>
    <s v="815FUS021"/>
    <s v="Fusible 32A 500V 15*51"/>
    <s v="UN"/>
    <n v="29"/>
    <n v="1.72"/>
    <n v="49.88"/>
    <x v="3"/>
  </r>
  <r>
    <s v="007"/>
    <s v="PR01"/>
    <s v="830XOU349"/>
    <s v="Silent bloc 50*20 Double Tige M10"/>
    <s v="UN"/>
    <n v="4"/>
    <n v="12.478999999999999"/>
    <n v="49.915999999999997"/>
    <x v="3"/>
  </r>
  <r>
    <s v="007"/>
    <s v="PR02"/>
    <s v="820XMC238"/>
    <s v="Ressort acier L48.5*D12*EP3mm   moule grille"/>
    <s v="UN"/>
    <n v="8"/>
    <n v="6.2620000000000005"/>
    <n v="50.096000000000004"/>
    <x v="3"/>
  </r>
  <r>
    <s v="007"/>
    <s v="PR01"/>
    <s v="810COU045"/>
    <s v="Courroie dentée HTD 400-5M  S.Con L1+L2"/>
    <s v="UN"/>
    <n v="3"/>
    <n v="16.72"/>
    <n v="50.16"/>
    <x v="3"/>
  </r>
  <r>
    <s v="007"/>
    <s v="PR01"/>
    <s v="812RAC088 "/>
    <s v="RACCORD UNION INEGALE D10-D12 "/>
    <s v="UN"/>
    <n v="11"/>
    <n v="4.5599999999999996"/>
    <n v="50.16"/>
    <x v="3"/>
  </r>
  <r>
    <s v="007"/>
    <s v="PR01"/>
    <s v="812COL069"/>
    <s v="COLLIER DE FIXATION D63Complet"/>
    <s v="UN"/>
    <n v="29"/>
    <n v="1.7324999999999997"/>
    <n v="50.242499999999993"/>
    <x v="3"/>
  </r>
  <r>
    <s v="007"/>
    <s v="PR02"/>
    <s v="815REL034"/>
    <s v="RELAIS DE NIVEAU 220V"/>
    <s v="UN"/>
    <n v="1"/>
    <n v="50.32"/>
    <n v="50.32"/>
    <x v="3"/>
  </r>
  <r>
    <s v="007"/>
    <s v="PR02"/>
    <s v="820XMC074"/>
    <s v="écrou (inox) M14"/>
    <s v="UN"/>
    <n v="80"/>
    <n v="0.62900999999999996"/>
    <n v="50.320799999999998"/>
    <x v="3"/>
  </r>
  <r>
    <s v="007"/>
    <s v="PR02"/>
    <s v="815ELE316"/>
    <s v="Adaptateur HYD MM DN 1/4"/>
    <s v="UN"/>
    <n v="8"/>
    <n v="6.3"/>
    <n v="50.4"/>
    <x v="3"/>
  </r>
  <r>
    <s v="007"/>
    <s v="PR01"/>
    <s v="812XPB752"/>
    <s v="Colle PVC Tangit 500G"/>
    <s v="UN"/>
    <n v="2"/>
    <n v="25.228000000000002"/>
    <n v="50.456000000000003"/>
    <x v="3"/>
  </r>
  <r>
    <s v="007"/>
    <s v="PR01"/>
    <s v="810COU013"/>
    <s v="Courroie trapezoidale 10*1150"/>
    <s v="UN"/>
    <n v="5"/>
    <n v="10.101692307692307"/>
    <n v="50.508461538461532"/>
    <x v="3"/>
  </r>
  <r>
    <s v="007"/>
    <s v="PR02"/>
    <s v="812FLE053"/>
    <s v="Flexible DN06 L800mm Hyster 5.5T"/>
    <s v="UN"/>
    <n v="1"/>
    <n v="50.58"/>
    <n v="50.58"/>
    <x v="3"/>
  </r>
  <r>
    <s v="007"/>
    <s v="PR01"/>
    <s v="812RAC239"/>
    <s v="Bouchon Raccord M10"/>
    <s v="UN"/>
    <n v="30"/>
    <n v="1.6872499999999999"/>
    <n v="50.6175"/>
    <x v="3"/>
  </r>
  <r>
    <s v="007"/>
    <s v="PR01"/>
    <s v="810PAR019"/>
    <s v="PARAHUIKE 25*42*7"/>
    <s v="UN"/>
    <n v="5"/>
    <n v="10.143000000000001"/>
    <n v="50.715000000000003"/>
    <x v="3"/>
  </r>
  <r>
    <s v="007"/>
    <s v="PR01"/>
    <s v="810par111"/>
    <s v="PARAHUILE 20*30*7"/>
    <s v="UN"/>
    <n v="5"/>
    <n v="10.143000000000001"/>
    <n v="50.715000000000003"/>
    <x v="3"/>
  </r>
  <r>
    <s v="007"/>
    <s v="PR01"/>
    <s v="810par117"/>
    <s v="parahuile 50x72x10"/>
    <s v="UN"/>
    <n v="5"/>
    <n v="10.143000000000001"/>
    <n v="50.715000000000003"/>
    <x v="3"/>
  </r>
  <r>
    <s v="007"/>
    <s v="PR02"/>
    <s v="810PAR019"/>
    <s v="PARAHUILE 25*42*7"/>
    <s v="UN"/>
    <n v="5"/>
    <n v="10.143000000000001"/>
    <n v="50.715000000000003"/>
    <x v="3"/>
  </r>
  <r>
    <s v="007"/>
    <s v="PR02"/>
    <s v="810PAR020"/>
    <s v="PARAHUILE 230*260*15"/>
    <s v="UN"/>
    <n v="5"/>
    <n v="10.143000000000001"/>
    <n v="50.715000000000003"/>
    <x v="3"/>
  </r>
  <r>
    <s v="007"/>
    <s v="PR02"/>
    <s v="820XMC043"/>
    <s v="VIS TH (acier) M14*80"/>
    <s v="UN"/>
    <n v="44"/>
    <n v="1.1539999999999999"/>
    <n v="50.775999999999996"/>
    <x v="3"/>
  </r>
  <r>
    <s v="007"/>
    <s v="PR01"/>
    <s v="812FIL008"/>
    <s v="Filtre a Gazoil RVI SC113*WK727 Camion"/>
    <s v="UN"/>
    <n v="4"/>
    <n v="12.701700000000001"/>
    <n v="50.806800000000003"/>
    <x v="3"/>
  </r>
  <r>
    <s v="007"/>
    <s v="PR02"/>
    <s v="815XPE003"/>
    <s v="DOMINO EN PLASTIQUE 35A"/>
    <s v="UN"/>
    <n v="23"/>
    <n v="2.2103999999999999"/>
    <n v="50.839199999999998"/>
    <x v="3"/>
  </r>
  <r>
    <s v="007"/>
    <s v="PR01"/>
    <s v="820XMC553"/>
    <s v="VIS TF (acier) M04*30"/>
    <s v="UN"/>
    <n v="320"/>
    <n v="0.16"/>
    <n v="51.2"/>
    <x v="3"/>
  </r>
  <r>
    <s v="007"/>
    <s v="PR01"/>
    <s v="812VAN007"/>
    <s v="VANNE GALVA 50"/>
    <s v="UN"/>
    <n v="5"/>
    <n v="10.246"/>
    <n v="51.230000000000004"/>
    <x v="3"/>
  </r>
  <r>
    <s v="007"/>
    <s v="PR01"/>
    <s v="830XOU266"/>
    <s v="Galet de guidage  porte coulissante"/>
    <s v="UN"/>
    <n v="2"/>
    <n v="25.6464"/>
    <n v="51.2928"/>
    <x v="3"/>
  </r>
  <r>
    <s v="007"/>
    <s v="PR02"/>
    <s v="820XMC647"/>
    <s v="Tige fileté (INOX) M10"/>
    <s v="UN"/>
    <n v="3"/>
    <n v="17.193000000000001"/>
    <n v="51.579000000000008"/>
    <x v="3"/>
  </r>
  <r>
    <s v="007"/>
    <s v="PR02"/>
    <s v="815XPE377"/>
    <s v="Tube Gorge D40 A FIL ROUGE KRAVEL (cable ELEC"/>
    <s v="M"/>
    <n v="43"/>
    <n v="1.2"/>
    <n v="51.6"/>
    <x v="3"/>
  </r>
  <r>
    <s v="007"/>
    <s v="PR01"/>
    <s v="810COU123"/>
    <s v="COURROIE SPA 982"/>
    <s v="UN"/>
    <n v="5"/>
    <n v="10.35"/>
    <n v="51.75"/>
    <x v="3"/>
  </r>
  <r>
    <s v="007"/>
    <s v="PR02"/>
    <s v="812COL069"/>
    <s v="COLLIER DE FIXATION D63Complet"/>
    <s v="UN"/>
    <n v="30"/>
    <n v="1.7324999999999997"/>
    <n v="51.974999999999994"/>
    <x v="3"/>
  </r>
  <r>
    <s v="007"/>
    <s v="PR01"/>
    <s v="710XPM182"/>
    <s v="Ressort SM"/>
    <s v="UN"/>
    <n v="8"/>
    <n v="6.5"/>
    <n v="52"/>
    <x v="3"/>
  </r>
  <r>
    <s v="007"/>
    <s v="PR01"/>
    <s v="815FUS042"/>
    <s v="Fusible Chargeur 40A Gerbeur"/>
    <s v="UN"/>
    <n v="4"/>
    <n v="13"/>
    <n v="52"/>
    <x v="3"/>
  </r>
  <r>
    <s v="007"/>
    <s v="PR01"/>
    <s v="815GAI013"/>
    <s v="Gaine thermoretractable 08mm"/>
    <s v="M"/>
    <n v="10"/>
    <n v="5.2329999999999997"/>
    <n v="52.33"/>
    <x v="3"/>
  </r>
  <r>
    <s v="007"/>
    <s v="PR02"/>
    <s v="820XMC450"/>
    <s v="vis six pans (Inox) M05*40"/>
    <s v="UN"/>
    <n v="185"/>
    <n v="0.28299999999999997"/>
    <n v="52.354999999999997"/>
    <x v="3"/>
  </r>
  <r>
    <s v="007"/>
    <s v="PR01"/>
    <s v="812tte004"/>
    <s v="TE PVC D100"/>
    <s v="UN"/>
    <n v="15"/>
    <n v="3.5"/>
    <n v="52.5"/>
    <x v="3"/>
  </r>
  <r>
    <s v="007"/>
    <s v="PR02"/>
    <s v="812FLE100"/>
    <s v="Adaptateur hydraulique FP 10*100"/>
    <s v="UN"/>
    <n v="3"/>
    <n v="17.510000000000002"/>
    <n v="52.53"/>
    <x v="3"/>
  </r>
  <r>
    <s v="007"/>
    <s v="PR01"/>
    <s v="815con019"/>
    <s v="Contacteur HDCH8S 40A 2P 2NO HIMEL"/>
    <s v="UN"/>
    <n v="1"/>
    <n v="52.543959999999998"/>
    <n v="52.543959999999998"/>
    <x v="3"/>
  </r>
  <r>
    <s v="007"/>
    <s v="PR02"/>
    <s v="810ROU233"/>
    <s v="Roulement A rouleaux 32018X/Q Boite Empattage"/>
    <s v="UN"/>
    <n v="1"/>
    <n v="52.758000000000003"/>
    <n v="52.758000000000003"/>
    <x v="3"/>
  </r>
  <r>
    <s v="007"/>
    <s v="PR02"/>
    <s v="820XMC361"/>
    <s v="VIS TH (INOX) M12*30"/>
    <s v="UN"/>
    <n v="35"/>
    <n v="1.5129999999999999"/>
    <n v="52.954999999999998"/>
    <x v="3"/>
  </r>
  <r>
    <s v="007"/>
    <s v="PR01"/>
    <s v="820XMC515"/>
    <s v="Rondelle plate (Inox) M10"/>
    <s v="UN"/>
    <n v="321"/>
    <n v="0.16500000000000001"/>
    <n v="52.965000000000003"/>
    <x v="3"/>
  </r>
  <r>
    <s v="007"/>
    <s v="PR02"/>
    <s v="810XPM036"/>
    <s v="Maillon Coudée chaine 12B1"/>
    <s v="UN"/>
    <n v="15"/>
    <n v="3.5459999999999998"/>
    <n v="53.19"/>
    <x v="3"/>
  </r>
  <r>
    <s v="007"/>
    <s v="PR02"/>
    <s v="812RAC019"/>
    <s v="RACCORD RAPIDE COUDE 8*1/2"/>
    <s v="UN"/>
    <n v="16"/>
    <n v="3.3299999999999996"/>
    <n v="53.279999999999994"/>
    <x v="3"/>
  </r>
  <r>
    <s v="007"/>
    <s v="PR01"/>
    <s v="820XMC560"/>
    <s v="vis sixpans fraisée M08*20 (acier)"/>
    <s v="UN"/>
    <n v="240"/>
    <n v="0.22222028985507247"/>
    <n v="53.332869565217393"/>
    <x v="3"/>
  </r>
  <r>
    <s v="007"/>
    <s v="PR02"/>
    <s v="820XMC038"/>
    <s v="vis six pans (acier) M08*30"/>
    <s v="UN"/>
    <n v="254"/>
    <n v="0.21"/>
    <n v="53.339999999999996"/>
    <x v="3"/>
  </r>
  <r>
    <s v="007"/>
    <s v="PR01"/>
    <s v="820XMC440"/>
    <s v="vis tête hexagonale M12*40 (Inox)"/>
    <s v="UN"/>
    <n v="65"/>
    <n v="0.82450000000000001"/>
    <n v="53.592500000000001"/>
    <x v="3"/>
  </r>
  <r>
    <s v="007"/>
    <s v="PR01"/>
    <s v="812FLE059"/>
    <s v="Flexible DN6 LG600 THP+RACCORDS"/>
    <s v="UN"/>
    <n v="1"/>
    <n v="53.76"/>
    <n v="53.76"/>
    <x v="3"/>
  </r>
  <r>
    <s v="007"/>
    <s v="PR01"/>
    <s v="815XOU005"/>
    <s v="COSSE A BRIDE D12 (fixation)"/>
    <s v="UN"/>
    <n v="6"/>
    <n v="8.9827999999999992"/>
    <n v="53.896799999999999"/>
    <x v="3"/>
  </r>
  <r>
    <s v="007"/>
    <s v="PR01"/>
    <s v="820XMC036"/>
    <s v="vis six pans (acier) M06*50"/>
    <s v="UN"/>
    <n v="250"/>
    <n v="0.21568278894472359"/>
    <n v="53.920697236180899"/>
    <x v="3"/>
  </r>
  <r>
    <s v="007"/>
    <s v="PR01"/>
    <s v="820XMC414"/>
    <s v="vis six pans (acier) M12*40"/>
    <s v="UN"/>
    <n v="85"/>
    <n v="0.63500000000000001"/>
    <n v="53.975000000000001"/>
    <x v="3"/>
  </r>
  <r>
    <s v="007"/>
    <s v="PR01"/>
    <s v="815CAP023"/>
    <s v="Capteur fin de course CM-1308  COS"/>
    <s v="UN"/>
    <n v="4"/>
    <n v="13.5"/>
    <n v="54"/>
    <x v="3"/>
  </r>
  <r>
    <s v="007"/>
    <s v="PR02"/>
    <s v="812RAC728"/>
    <s v="raccord 3P Galva 20/27"/>
    <s v="UN"/>
    <n v="12"/>
    <n v="4.5022500000000001"/>
    <n v="54.027000000000001"/>
    <x v="3"/>
  </r>
  <r>
    <s v="007"/>
    <s v="PR02"/>
    <s v="812TUB019"/>
    <s v="Tube multicouche D16"/>
    <s v="M"/>
    <n v="20"/>
    <n v="2.7134999999999998"/>
    <n v="54.269999999999996"/>
    <x v="3"/>
  </r>
  <r>
    <s v="007"/>
    <s v="PR02"/>
    <s v="810XPM073"/>
    <s v="Attache rapide pour chaine 10B2"/>
    <s v="UN"/>
    <n v="19"/>
    <n v="2.8565999999999998"/>
    <n v="54.275399999999998"/>
    <x v="3"/>
  </r>
  <r>
    <s v="007"/>
    <s v="PR02"/>
    <s v="810ROU023"/>
    <s v="Roulement 6202 ZZ"/>
    <s v="UN"/>
    <n v="8"/>
    <n v="6.8110285714285723"/>
    <n v="54.488228571428579"/>
    <x v="3"/>
  </r>
  <r>
    <s v="007"/>
    <s v="PR01"/>
    <s v="812ver108"/>
    <s v="Joint encastr&amp; pneum 50-13-8  Verin COS3"/>
    <s v="UN"/>
    <n v="2"/>
    <n v="27.27"/>
    <n v="54.54"/>
    <x v="3"/>
  </r>
  <r>
    <s v="007"/>
    <s v="PR01"/>
    <s v="830bar002"/>
    <s v="Barreau Clavette 6 ACIER"/>
    <s v="UN"/>
    <n v="5"/>
    <n v="10.92"/>
    <n v="54.6"/>
    <x v="3"/>
  </r>
  <r>
    <s v="007"/>
    <s v="PR01"/>
    <s v="810PAR056"/>
    <s v="Parahuile 90*110*12 Boite RED Table COS"/>
    <s v="UN"/>
    <n v="5"/>
    <n v="10.941000000000001"/>
    <n v="54.705000000000005"/>
    <x v="3"/>
  </r>
  <r>
    <s v="007"/>
    <s v="PR01"/>
    <s v="812RAC195"/>
    <s v="Bouchon Raccord Multiple M6 QSQ-8-6"/>
    <s v="UN"/>
    <n v="21"/>
    <n v="2.61"/>
    <n v="54.809999999999995"/>
    <x v="3"/>
  </r>
  <r>
    <s v="007"/>
    <s v="PR01"/>
    <s v="820XMC509"/>
    <s v="Rondelle plate (acier) M16"/>
    <s v="UN"/>
    <n v="210"/>
    <n v="0.26100000000000001"/>
    <n v="54.81"/>
    <x v="3"/>
  </r>
  <r>
    <s v="007"/>
    <s v="PR01"/>
    <s v="820xmc606"/>
    <s v="Vis TH (acier) M20*60"/>
    <s v="UN"/>
    <n v="25"/>
    <n v="2.1949999999999998"/>
    <n v="54.874999999999993"/>
    <x v="3"/>
  </r>
  <r>
    <s v="007"/>
    <s v="PR02"/>
    <s v="820XMC863"/>
    <s v="ECROU A ENCOCHE KM16 Reducteur STRIP"/>
    <s v="UN"/>
    <n v="1"/>
    <n v="54.99"/>
    <n v="54.99"/>
    <x v="3"/>
  </r>
  <r>
    <s v="007"/>
    <s v="PR01"/>
    <s v="812VER191"/>
    <s v="Chape Verin D50"/>
    <s v="UN"/>
    <n v="5"/>
    <n v="11"/>
    <n v="55"/>
    <x v="3"/>
  </r>
  <r>
    <s v="007"/>
    <s v="PR01"/>
    <s v="815XPE269"/>
    <s v="chemin de câble Plastique 100mm*100mm"/>
    <s v="M"/>
    <n v="3"/>
    <n v="18.416368421052635"/>
    <n v="55.249105263157901"/>
    <x v="3"/>
  </r>
  <r>
    <s v="007"/>
    <s v="PR01"/>
    <s v="810ROU075"/>
    <s v="Roulement 6201-2RSH"/>
    <s v="UN"/>
    <n v="6"/>
    <n v="9.2178000000000004"/>
    <n v="55.306800000000003"/>
    <x v="3"/>
  </r>
  <r>
    <s v="007"/>
    <s v="PR01"/>
    <s v="820XMC482"/>
    <s v="écrou (Inox) M10"/>
    <s v="UN"/>
    <n v="201"/>
    <n v="0.27565000000000001"/>
    <n v="55.405650000000001"/>
    <x v="3"/>
  </r>
  <r>
    <s v="007"/>
    <s v="PR02"/>
    <s v="820XMC110"/>
    <s v="VIS TH M14*40"/>
    <s v="UN"/>
    <n v="89"/>
    <n v="0.626"/>
    <n v="55.713999999999999"/>
    <x v="3"/>
  </r>
  <r>
    <s v="007"/>
    <s v="PR01"/>
    <s v="812FLE029"/>
    <s v="Flexible Balflex airpressor air&amp;water 3/8"/>
    <s v="M"/>
    <n v="16"/>
    <n v="3.4856285714285713"/>
    <n v="55.770057142857141"/>
    <x v="3"/>
  </r>
  <r>
    <s v="007"/>
    <s v="PR01"/>
    <s v="810COU058"/>
    <s v="Courroie dentée HTD 350-5M"/>
    <s v="UN"/>
    <n v="5"/>
    <n v="11.16"/>
    <n v="55.8"/>
    <x v="3"/>
  </r>
  <r>
    <s v="007"/>
    <s v="PR01"/>
    <s v="810COU040"/>
    <s v="Courroie dentee HTD450-5M15  S.Connexion"/>
    <s v="UN"/>
    <n v="3"/>
    <n v="18.611999999999998"/>
    <n v="55.835999999999999"/>
    <x v="3"/>
  </r>
  <r>
    <s v="007"/>
    <s v="PR02"/>
    <s v="810XPM055"/>
    <s v="Maillon Coudée chaine 16B2"/>
    <s v="UN"/>
    <n v="4"/>
    <n v="13.973400000000002"/>
    <n v="55.893600000000006"/>
    <x v="3"/>
  </r>
  <r>
    <s v="007"/>
    <s v="PR02"/>
    <s v="812rac191"/>
    <s v="Raccord filté 7/8&quot;  S16"/>
    <s v="UN"/>
    <n v="5"/>
    <n v="11.2"/>
    <n v="56"/>
    <x v="3"/>
  </r>
  <r>
    <s v="007"/>
    <s v="PR02"/>
    <s v="815COS006"/>
    <s v="Cosse a sertir SC50-10"/>
    <s v="UN"/>
    <n v="43"/>
    <n v="1.3051500000000003"/>
    <n v="56.12145000000001"/>
    <x v="3"/>
  </r>
  <r>
    <s v="007"/>
    <s v="PR02"/>
    <s v="812FLE050"/>
    <s v="Flexible 1/4&quot; WP400bar 5800PSI 2Q/17 HYSTER 5T"/>
    <s v="UN"/>
    <n v="2"/>
    <n v="28.116"/>
    <n v="56.231999999999999"/>
    <x v="3"/>
  </r>
  <r>
    <s v="007"/>
    <s v="PR02"/>
    <s v="812FLE076"/>
    <s v="Flexible DN06 LG360 THP"/>
    <s v="UN"/>
    <n v="2"/>
    <n v="28.116"/>
    <n v="56.231999999999999"/>
    <x v="3"/>
  </r>
  <r>
    <s v="007"/>
    <s v="PR01"/>
    <s v="820XMC177"/>
    <s v="RONDELLE DE 16"/>
    <s v="UN"/>
    <n v="18"/>
    <n v="3.15"/>
    <n v="56.699999999999996"/>
    <x v="3"/>
  </r>
  <r>
    <s v="007"/>
    <s v="PR01"/>
    <s v="820XMC009"/>
    <s v="VIS TH (acier) M10*60"/>
    <s v="UN"/>
    <n v="122"/>
    <n v="0.46500000000000002"/>
    <n v="56.730000000000004"/>
    <x v="3"/>
  </r>
  <r>
    <s v="007"/>
    <s v="PR02"/>
    <s v="812MON027"/>
    <s v="MONCHON  PPR D63"/>
    <s v="UN"/>
    <n v="9"/>
    <n v="6.3074999999999992"/>
    <n v="56.767499999999991"/>
    <x v="3"/>
  </r>
  <r>
    <s v="007"/>
    <s v="PR01"/>
    <s v="815XPE140"/>
    <s v="Support relais ZD50 10A   300V Carlo Gavazzi"/>
    <s v="UN"/>
    <n v="7"/>
    <n v="8.1437333333333335"/>
    <n v="57.006133333333338"/>
    <x v="3"/>
  </r>
  <r>
    <s v="007"/>
    <s v="PR01"/>
    <s v="812RAC596"/>
    <s v="Raccord rapide 04-04"/>
    <s v="UN"/>
    <n v="34"/>
    <n v="1.6830000000000001"/>
    <n v="57.222000000000001"/>
    <x v="3"/>
  </r>
  <r>
    <s v="007"/>
    <s v="PR01"/>
    <s v="820XMC066"/>
    <s v="VIS TH (INOX) M10*50"/>
    <s v="UN"/>
    <n v="68"/>
    <n v="0.84150000000000003"/>
    <n v="57.222000000000001"/>
    <x v="3"/>
  </r>
  <r>
    <s v="007"/>
    <s v="PR02"/>
    <s v="830XOU900"/>
    <s v="Tete de coupe 12/10 propane"/>
    <s v="UN"/>
    <n v="2"/>
    <n v="28.763000000000002"/>
    <n v="57.526000000000003"/>
    <x v="3"/>
  </r>
  <r>
    <s v="007"/>
    <s v="PR02"/>
    <s v="815FUS001"/>
    <s v="FUSIBLES 125A 500v 100ka"/>
    <s v="UN"/>
    <n v="8"/>
    <n v="7.3048610526315789"/>
    <n v="58.438888421052631"/>
    <x v="3"/>
  </r>
  <r>
    <s v="007"/>
    <s v="PR02"/>
    <s v="810ROU068"/>
    <s v="Roulement 6205-2RS"/>
    <s v="UN"/>
    <n v="5"/>
    <n v="11.691000000000001"/>
    <n v="58.455000000000005"/>
    <x v="3"/>
  </r>
  <r>
    <s v="007"/>
    <s v="PR02"/>
    <s v="810XPM093"/>
    <s v="Joint etancheite TRESSE caree 16mm"/>
    <s v="M"/>
    <n v="1"/>
    <n v="58.637"/>
    <n v="58.637"/>
    <x v="3"/>
  </r>
  <r>
    <s v="007"/>
    <s v="PR01"/>
    <s v="820BAG023"/>
    <s v="Poudre de soudure Bleu"/>
    <s v="UN"/>
    <n v="1"/>
    <n v="58.65"/>
    <n v="58.65"/>
    <x v="3"/>
  </r>
  <r>
    <s v="007"/>
    <s v="PR02"/>
    <s v="820XMC161"/>
    <s v="Vis TH(acier) M06*80"/>
    <s v="UN"/>
    <n v="265"/>
    <n v="0.22184999999999999"/>
    <n v="58.79025"/>
    <x v="3"/>
  </r>
  <r>
    <s v="007"/>
    <s v="PR02"/>
    <s v="810xpm033"/>
    <s v="Attache Rapide 1/2 chaine 10B1"/>
    <s v="UN"/>
    <n v="22"/>
    <n v="2.6747999999999998"/>
    <n v="58.845599999999997"/>
    <x v="3"/>
  </r>
  <r>
    <s v="007"/>
    <s v="PR02"/>
    <s v="810PAR146"/>
    <s v="PARE HUILE 85/115/12 Reducteur Empattage"/>
    <s v="UN"/>
    <n v="5"/>
    <n v="11.79"/>
    <n v="58.949999999999996"/>
    <x v="3"/>
  </r>
  <r>
    <s v="007"/>
    <s v="PR02"/>
    <s v="812FLE083"/>
    <s v="Flexible INOX DN19 LG460 M.G.Wirtz"/>
    <s v="UN"/>
    <n v="1"/>
    <n v="58.968000000000004"/>
    <n v="58.968000000000004"/>
    <x v="3"/>
  </r>
  <r>
    <s v="007"/>
    <s v="PR01"/>
    <s v="820XMC591"/>
    <s v="écrou (Inox) M16"/>
    <s v="UN"/>
    <n v="53"/>
    <n v="1.1126499999999999"/>
    <n v="58.970449999999992"/>
    <x v="3"/>
  </r>
  <r>
    <s v="007"/>
    <s v="PR02"/>
    <s v="820XMC060"/>
    <s v="Tige fileté (INOX) M08"/>
    <s v="UN"/>
    <n v="5"/>
    <n v="11.813000000000001"/>
    <n v="59.065000000000005"/>
    <x v="3"/>
  </r>
  <r>
    <s v="007"/>
    <s v="PR01"/>
    <s v="810cou264"/>
    <s v="courroi trapeze ? 3070SPB"/>
    <s v="UN"/>
    <n v="2"/>
    <n v="29.7"/>
    <n v="59.4"/>
    <x v="3"/>
  </r>
  <r>
    <s v="007"/>
    <s v="PR02"/>
    <s v="812RAC062"/>
    <s v="RACCORD DROIT 4*1/16"/>
    <s v="UN"/>
    <n v="22"/>
    <n v="2.7029999999999998"/>
    <n v="59.465999999999994"/>
    <x v="3"/>
  </r>
  <r>
    <s v="007"/>
    <s v="PR01"/>
    <s v="812RAC007"/>
    <s v="Raccord 3 piéces PR  D50 PVC"/>
    <s v="UN"/>
    <n v="5"/>
    <n v="11.917"/>
    <n v="59.585000000000001"/>
    <x v="3"/>
  </r>
  <r>
    <s v="007"/>
    <s v="PR01"/>
    <s v="810CHA004"/>
    <s v="Chaine 05B-1"/>
    <s v="M"/>
    <n v="5"/>
    <n v="11.939399999999999"/>
    <n v="59.696999999999996"/>
    <x v="3"/>
  </r>
  <r>
    <s v="007"/>
    <s v="PR02"/>
    <s v="820XMC277"/>
    <s v="VIS AUTOPERCEUSE M6.3*80"/>
    <s v="UN"/>
    <n v="223"/>
    <n v="0.26774999999999999"/>
    <n v="59.70825"/>
    <x v="3"/>
  </r>
  <r>
    <s v="007"/>
    <s v="PR01"/>
    <s v="830XOU356"/>
    <s v="Barre en Aluminium D40 L500mm  Accouplement S.C"/>
    <s v="KG"/>
    <n v="1"/>
    <n v="59.975999999999999"/>
    <n v="59.975999999999999"/>
    <x v="3"/>
  </r>
  <r>
    <s v="007"/>
    <s v="PR01"/>
    <s v="810COU015"/>
    <s v="Courroie Dentée 975/13   TEKMAX2"/>
    <s v="UN"/>
    <n v="5"/>
    <n v="12.044"/>
    <n v="60.22"/>
    <x v="3"/>
  </r>
  <r>
    <s v="007"/>
    <s v="PR01"/>
    <s v="815REL037"/>
    <s v="Radiateur RELAIS RM1A23D50"/>
    <s v="UN"/>
    <n v="1"/>
    <n v="60.252000000000002"/>
    <n v="60.252000000000002"/>
    <x v="3"/>
  </r>
  <r>
    <s v="007"/>
    <s v="PR02"/>
    <s v="812RAC052"/>
    <s v="RACCORD DROIT 8*1/8"/>
    <s v="UN"/>
    <n v="22"/>
    <n v="2.7454999999999998"/>
    <n v="60.400999999999996"/>
    <x v="3"/>
  </r>
  <r>
    <s v="007"/>
    <s v="PR02"/>
    <s v="815XPE388"/>
    <s v="Connecteur thermocouple typeJ 09MJ2LB Femelle"/>
    <s v="UN"/>
    <n v="3"/>
    <n v="20.16"/>
    <n v="60.480000000000004"/>
    <x v="3"/>
  </r>
  <r>
    <s v="007"/>
    <s v="PR02"/>
    <s v="815XPE389"/>
    <s v="Connecteur thermocouple typeJ 07MJ1LB Male"/>
    <s v="UN"/>
    <n v="3"/>
    <n v="20.16"/>
    <n v="60.480000000000004"/>
    <x v="3"/>
  </r>
  <r>
    <s v="007"/>
    <s v="PR02"/>
    <s v="820dis004"/>
    <s v="Disque a lamelle 115"/>
    <s v="UN"/>
    <n v="20"/>
    <n v="3.024"/>
    <n v="60.480000000000004"/>
    <x v="3"/>
  </r>
  <r>
    <s v="007"/>
    <s v="PR01"/>
    <s v="812COD692"/>
    <s v="Coude bargataire D63"/>
    <s v="UN"/>
    <n v="3"/>
    <n v="20.162183333333335"/>
    <n v="60.486550000000008"/>
    <x v="3"/>
  </r>
  <r>
    <s v="007"/>
    <s v="PR01"/>
    <s v="815dis023"/>
    <s v="Disjoncteur 16A 2P"/>
    <s v="UN"/>
    <n v="3"/>
    <n v="20.211300000000001"/>
    <n v="60.633900000000004"/>
    <x v="3"/>
  </r>
  <r>
    <s v="007"/>
    <s v="PR01"/>
    <s v="702ELE062"/>
    <s v="AMPERMETRE 0-30 A"/>
    <s v="UN"/>
    <n v="3"/>
    <n v="20.2761"/>
    <n v="60.828299999999999"/>
    <x v="3"/>
  </r>
  <r>
    <s v="007"/>
    <s v="PR01"/>
    <s v="810PAR086"/>
    <s v="PARE HUILE 100*120*12"/>
    <s v="UN"/>
    <n v="6"/>
    <n v="10.143000000000001"/>
    <n v="60.858000000000004"/>
    <x v="3"/>
  </r>
  <r>
    <s v="007"/>
    <s v="PR02"/>
    <s v="810PAR098"/>
    <s v="PARE HUILE 30*40*7"/>
    <s v="UN"/>
    <n v="6"/>
    <n v="10.143000000000001"/>
    <n v="60.858000000000004"/>
    <x v="3"/>
  </r>
  <r>
    <s v="007"/>
    <s v="PR02"/>
    <s v="810ROU143"/>
    <s v="Roulement 6404-2rs EMAPTTAGE+RIA"/>
    <s v="UN"/>
    <n v="2"/>
    <n v="30.443999999999999"/>
    <n v="60.887999999999998"/>
    <x v="3"/>
  </r>
  <r>
    <s v="007"/>
    <s v="PR01"/>
    <s v="812RAC222"/>
    <s v="RACCORD COUDE 10*1/4"/>
    <s v="UN"/>
    <n v="15"/>
    <n v="4.08"/>
    <n v="61.2"/>
    <x v="3"/>
  </r>
  <r>
    <s v="007"/>
    <s v="PR02"/>
    <s v="726ELE005"/>
    <s v="SONDE PT100 4*100 3fil 2000mm Siliconee  Moulin a"/>
    <s v="UN"/>
    <n v="1"/>
    <n v="61.205999999999996"/>
    <n v="61.205999999999996"/>
    <x v="3"/>
  </r>
  <r>
    <s v="007"/>
    <s v="PR02"/>
    <s v="810PAR149"/>
    <s v="PARE HUILE 155*180*15DL Boite Empattage"/>
    <s v="UN"/>
    <n v="3"/>
    <n v="20.411999999999999"/>
    <n v="61.235999999999997"/>
    <x v="3"/>
  </r>
  <r>
    <s v="007"/>
    <s v="PR01"/>
    <s v="820XMC455"/>
    <s v="vis six pans (Inox) M08*30"/>
    <s v="UN"/>
    <n v="91"/>
    <n v="0.67300000000000004"/>
    <n v="61.243000000000002"/>
    <x v="3"/>
  </r>
  <r>
    <s v="007"/>
    <s v="PR01"/>
    <s v="820XMC823"/>
    <s v="VIS TH(acier) M16*70"/>
    <s v="UN"/>
    <n v="59"/>
    <n v="1.0395066666666666"/>
    <n v="61.330893333333329"/>
    <x v="3"/>
  </r>
  <r>
    <s v="007"/>
    <s v="PR01"/>
    <s v="820XMC208"/>
    <s v="Ressort acier 19*55   20/10"/>
    <s v="UN"/>
    <n v="8"/>
    <n v="7.6760000000000002"/>
    <n v="61.408000000000001"/>
    <x v="3"/>
  </r>
  <r>
    <s v="007"/>
    <s v="PR02"/>
    <s v="810XPM057"/>
    <s v="Maillon Coudée chaine 16B1"/>
    <s v="UN"/>
    <n v="12"/>
    <n v="5.1722380952380949"/>
    <n v="62.066857142857138"/>
    <x v="3"/>
  </r>
  <r>
    <s v="007"/>
    <s v="PR02"/>
    <s v="812rac057"/>
    <s v="RACCORD DROIT 6*1/4"/>
    <s v="UN"/>
    <n v="22"/>
    <n v="2.8220000000000001"/>
    <n v="62.084000000000003"/>
    <x v="3"/>
  </r>
  <r>
    <s v="007"/>
    <s v="PR01"/>
    <s v="812FLE067"/>
    <s v="Flexible DN08 LG2560 THP TCM30 Essence"/>
    <s v="UN"/>
    <n v="1"/>
    <n v="62.092799999999997"/>
    <n v="62.092799999999997"/>
    <x v="3"/>
  </r>
  <r>
    <s v="007"/>
    <s v="PR01"/>
    <s v="810cou265"/>
    <s v="COURROIE 300L 80dents COS"/>
    <s v="UN"/>
    <n v="6"/>
    <n v="10.35"/>
    <n v="62.099999999999994"/>
    <x v="3"/>
  </r>
  <r>
    <s v="007"/>
    <s v="PR01"/>
    <s v="812TTE024"/>
    <s v="TE PVC D160"/>
    <s v="UN"/>
    <n v="4"/>
    <n v="15.5799"/>
    <n v="62.319600000000001"/>
    <x v="3"/>
  </r>
  <r>
    <s v="007"/>
    <s v="PR02"/>
    <s v="810XPM211"/>
    <s v="Attache rapide pour chaine 12B2"/>
    <s v="UN"/>
    <n v="32"/>
    <n v="1.9525128964059197"/>
    <n v="62.480412684989432"/>
    <x v="3"/>
  </r>
  <r>
    <s v="007"/>
    <s v="PR02"/>
    <s v="815DIS031"/>
    <s v="Disjoncteur 32A 2 PORT"/>
    <s v="UN"/>
    <n v="3"/>
    <n v="20.862400000000001"/>
    <n v="62.587200000000003"/>
    <x v="3"/>
  </r>
  <r>
    <s v="007"/>
    <s v="PR01"/>
    <s v="820XMC411"/>
    <s v="vis six pans (acier) M10*80"/>
    <s v="UN"/>
    <n v="75"/>
    <n v="0.83717239130434784"/>
    <n v="62.787929347826086"/>
    <x v="3"/>
  </r>
  <r>
    <s v="007"/>
    <s v="PR01"/>
    <s v="810pin029"/>
    <s v="Pignon 30 dents 1/2 chaine S.Connexion"/>
    <s v="UN"/>
    <n v="3"/>
    <n v="20.930399999999999"/>
    <n v="62.791199999999996"/>
    <x v="3"/>
  </r>
  <r>
    <s v="007"/>
    <s v="PR01"/>
    <s v="812rac748"/>
    <s v="Raccord droit 04*1/8"/>
    <s v="UN"/>
    <n v="34"/>
    <n v="1.848857142857143"/>
    <n v="62.861142857142859"/>
    <x v="3"/>
  </r>
  <r>
    <s v="007"/>
    <s v="PR01"/>
    <s v="815CON036"/>
    <s v="Contact Auxiliaire Contacteur ABB A145-30"/>
    <s v="UN"/>
    <n v="3"/>
    <n v="20.962800000000001"/>
    <n v="62.888400000000004"/>
    <x v="3"/>
  </r>
  <r>
    <s v="007"/>
    <s v="PR02"/>
    <s v="812TTE618"/>
    <s v="Te10 pneumatique"/>
    <s v="UN"/>
    <n v="12"/>
    <n v="5.2429499999999996"/>
    <n v="62.915399999999991"/>
    <x v="3"/>
  </r>
  <r>
    <s v="007"/>
    <s v="PR02"/>
    <s v="810PAR147"/>
    <s v="PARE HUILE 50*90*10 Reducteur four fonderie"/>
    <s v="UN"/>
    <n v="8"/>
    <n v="7.8840000000000003"/>
    <n v="63.072000000000003"/>
    <x v="3"/>
  </r>
  <r>
    <s v="007"/>
    <s v="PR01"/>
    <s v="812RAC019"/>
    <s v="RACCORD RAPIDE COUDE 8*1/2"/>
    <s v="UN"/>
    <n v="19"/>
    <n v="3.3299999999999996"/>
    <n v="63.269999999999996"/>
    <x v="3"/>
  </r>
  <r>
    <s v="007"/>
    <s v="PR02"/>
    <s v="705MEC056"/>
    <s v="clamping lever AM0036465 M.G.Hadi"/>
    <s v="UN"/>
    <n v="1"/>
    <n v="63.435839999999999"/>
    <n v="63.435839999999999"/>
    <x v="3"/>
  </r>
  <r>
    <s v="007"/>
    <s v="PR01"/>
    <s v="810man194"/>
    <s v="MANOMETRE 600mBAR"/>
    <s v="UN"/>
    <n v="1"/>
    <n v="63.444000000000003"/>
    <n v="63.444000000000003"/>
    <x v="3"/>
  </r>
  <r>
    <s v="007"/>
    <s v="PR01"/>
    <s v="812EMB005"/>
    <s v="Embou PVC PR MALE 50*40*1&quot;1/2"/>
    <s v="UN"/>
    <n v="10"/>
    <n v="6.3577166666666658"/>
    <n v="63.577166666666656"/>
    <x v="3"/>
  </r>
  <r>
    <s v="007"/>
    <s v="PR02"/>
    <s v="820XMC475"/>
    <s v="écrou (acier) M16"/>
    <s v="UN"/>
    <n v="210"/>
    <n v="0.30299999999999999"/>
    <n v="63.629999999999995"/>
    <x v="3"/>
  </r>
  <r>
    <s v="007"/>
    <s v="PR02"/>
    <s v="815CAB268"/>
    <s v="câble souple 4x4mm"/>
    <s v="M"/>
    <n v="10"/>
    <n v="6.3679800000000002"/>
    <n v="63.6798"/>
    <x v="3"/>
  </r>
  <r>
    <s v="007"/>
    <s v="PR01"/>
    <s v="810CHA101"/>
    <s v="chaines 012B-1"/>
    <s v="M"/>
    <n v="3"/>
    <n v="21.285"/>
    <n v="63.855000000000004"/>
    <x v="3"/>
  </r>
  <r>
    <s v="007"/>
    <s v="PR01"/>
    <s v="810ROU027"/>
    <s v="Roulement 6206 2Z"/>
    <s v="UN"/>
    <n v="4"/>
    <n v="16.02"/>
    <n v="64.08"/>
    <x v="3"/>
  </r>
  <r>
    <s v="007"/>
    <s v="PR01"/>
    <s v="810XPM033"/>
    <s v="Attache Rapide 1/2 chaine 10B1"/>
    <s v="UN"/>
    <n v="24"/>
    <n v="2.6747999999999998"/>
    <n v="64.1952"/>
    <x v="3"/>
  </r>
  <r>
    <s v="007"/>
    <s v="PR01"/>
    <s v="815XPE248"/>
    <s v="Bornier 4mm"/>
    <s v="UN"/>
    <n v="85"/>
    <n v="0.75768000000000002"/>
    <n v="64.402799999999999"/>
    <x v="3"/>
  </r>
  <r>
    <s v="007"/>
    <s v="PR01"/>
    <s v="820XMC481"/>
    <s v="écrou (Inox) M08"/>
    <s v="UN"/>
    <n v="421"/>
    <n v="0.15327726708074535"/>
    <n v="64.52972944099379"/>
    <x v="3"/>
  </r>
  <r>
    <s v="007"/>
    <s v="PR01"/>
    <s v="810man195"/>
    <s v="MANOMETRE 0-16 BAR"/>
    <s v="UN"/>
    <n v="3"/>
    <n v="21.59"/>
    <n v="64.77"/>
    <x v="3"/>
  </r>
  <r>
    <s v="007"/>
    <s v="PR02"/>
    <s v="810MAN195"/>
    <s v="MANOMETRE 0-16 BAR"/>
    <s v="UN"/>
    <n v="3"/>
    <n v="21.59"/>
    <n v="64.77"/>
    <x v="3"/>
  </r>
  <r>
    <s v="007"/>
    <s v="PR02"/>
    <s v="810ROU097"/>
    <s v="Roulement 6003 2RS"/>
    <s v="UN"/>
    <n v="8"/>
    <n v="8.0970707070707064"/>
    <n v="64.776565656565651"/>
    <x v="3"/>
  </r>
  <r>
    <s v="007"/>
    <s v="PR01"/>
    <s v="810PAR049"/>
    <s v="PARE HUILE 95*130*15 TCM30"/>
    <s v="UN"/>
    <n v="2"/>
    <n v="32.4"/>
    <n v="64.8"/>
    <x v="3"/>
  </r>
  <r>
    <s v="007"/>
    <s v="PR02"/>
    <s v="810ROU022"/>
    <s v="Roulement 6200-2RS"/>
    <s v="UN"/>
    <n v="8"/>
    <n v="8.1"/>
    <n v="64.8"/>
    <x v="3"/>
  </r>
  <r>
    <s v="007"/>
    <s v="PR02"/>
    <s v="830XOU247"/>
    <s v="Lance MT3  900 1/4F   Karcher"/>
    <s v="M"/>
    <n v="1"/>
    <n v="64.998999999999995"/>
    <n v="64.998999999999995"/>
    <x v="3"/>
  </r>
  <r>
    <s v="007"/>
    <s v="PR02"/>
    <s v="810ROU235"/>
    <s v="Roulement a aiguilles K30*35*27  Boite Empatta"/>
    <s v="UN"/>
    <n v="3"/>
    <n v="21.666599999999999"/>
    <n v="64.999799999999993"/>
    <x v="3"/>
  </r>
  <r>
    <s v="007"/>
    <s v="PR02"/>
    <s v="810ROU146"/>
    <s v="Roulement 30206"/>
    <s v="UN"/>
    <n v="3"/>
    <n v="21.696000000000002"/>
    <n v="65.088000000000008"/>
    <x v="3"/>
  </r>
  <r>
    <s v="007"/>
    <s v="PR01"/>
    <s v="810ROU091"/>
    <s v="Roulement 6012"/>
    <s v="UN"/>
    <n v="2"/>
    <n v="32.58"/>
    <n v="65.16"/>
    <x v="3"/>
  </r>
  <r>
    <s v="007"/>
    <s v="PR01"/>
    <s v="815XPE257"/>
    <s v="Domino Bornier en céramique 3plots"/>
    <s v="UN"/>
    <n v="4"/>
    <n v="16.380179999999999"/>
    <n v="65.520719999999997"/>
    <x v="3"/>
  </r>
  <r>
    <s v="007"/>
    <s v="PR01"/>
    <s v="812VAN003"/>
    <s v="VANNESPHERIQUE 3/4"/>
    <s v="UN"/>
    <n v="4"/>
    <n v="16.4358"/>
    <n v="65.743200000000002"/>
    <x v="3"/>
  </r>
  <r>
    <s v="007"/>
    <s v="PR02"/>
    <s v="701ELE071"/>
    <s v="Thermocouple D5*180+Bay Baffle Strip"/>
    <s v="UN"/>
    <n v="1"/>
    <n v="66.018649999999994"/>
    <n v="66.018649999999994"/>
    <x v="3"/>
  </r>
  <r>
    <s v="007"/>
    <s v="PR02"/>
    <s v="812xpb026"/>
    <s v="Limiteur de debit d'air 1/4"/>
    <s v="UN"/>
    <n v="2"/>
    <n v="33.039499999999997"/>
    <n v="66.078999999999994"/>
    <x v="3"/>
  </r>
  <r>
    <s v="007"/>
    <s v="PR02"/>
    <s v="810COU137"/>
    <s v="Courroie dentee AV 13*1525 GTX"/>
    <s v="UN"/>
    <n v="3"/>
    <n v="22.105"/>
    <n v="66.314999999999998"/>
    <x v="3"/>
  </r>
  <r>
    <s v="007"/>
    <s v="PR01"/>
    <s v="810ROU077"/>
    <s v="ROULEMENT 6000-2RSH"/>
    <s v="UN"/>
    <n v="8"/>
    <n v="8.2926000000000002"/>
    <n v="66.340800000000002"/>
    <x v="3"/>
  </r>
  <r>
    <s v="007"/>
    <s v="PR02"/>
    <s v="810ROU082"/>
    <s v="ROULEMENT 30211 J"/>
    <s v="UN"/>
    <n v="1"/>
    <n v="66.6126"/>
    <n v="66.6126"/>
    <x v="3"/>
  </r>
  <r>
    <s v="007"/>
    <s v="PR01"/>
    <s v="820XMC452"/>
    <s v="vis six pans (Inox) M06*30"/>
    <s v="UN"/>
    <n v="150"/>
    <n v="0.44500000000000001"/>
    <n v="66.75"/>
    <x v="3"/>
  </r>
  <r>
    <s v="007"/>
    <s v="PR02"/>
    <s v="812FLE081"/>
    <s v="Flexible LG800 INOX M.G.Wirtz"/>
    <s v="UN"/>
    <n v="2"/>
    <n v="33.542099999999998"/>
    <n v="67.084199999999996"/>
    <x v="3"/>
  </r>
  <r>
    <s v="007"/>
    <s v="PR02"/>
    <s v="810PAR087"/>
    <s v="PARE HUILE 80*125*12"/>
    <s v="UN"/>
    <n v="5"/>
    <n v="13.4262"/>
    <n v="67.131"/>
    <x v="3"/>
  </r>
  <r>
    <s v="007"/>
    <s v="PR02"/>
    <s v="810ROU122"/>
    <s v="Roulement 6006-2Z"/>
    <s v="UN"/>
    <n v="2"/>
    <n v="33.57"/>
    <n v="67.14"/>
    <x v="3"/>
  </r>
  <r>
    <s v="007"/>
    <s v="PR01"/>
    <s v="820dis002"/>
    <s v="Disque Ebarber 115"/>
    <s v="UN"/>
    <n v="32"/>
    <n v="2.1"/>
    <n v="67.2"/>
    <x v="3"/>
  </r>
  <r>
    <s v="007"/>
    <s v="PR01"/>
    <s v="812MEM032"/>
    <s v="Mamelon INOX 1&quot; 1/4"/>
    <s v="UN"/>
    <n v="4"/>
    <n v="16.832000000000001"/>
    <n v="67.328000000000003"/>
    <x v="3"/>
  </r>
  <r>
    <s v="007"/>
    <s v="PR01"/>
    <s v="812TTE615"/>
    <s v="Te04 pneumatique"/>
    <s v="UN"/>
    <n v="13"/>
    <n v="5.1802306451612896"/>
    <n v="67.34299838709677"/>
    <x v="3"/>
  </r>
  <r>
    <s v="007"/>
    <s v="PR02"/>
    <s v="812FLE073"/>
    <s v="Flexible DN10 LG500 THP+Raccords"/>
    <s v="UN"/>
    <n v="2"/>
    <n v="33.75"/>
    <n v="67.5"/>
    <x v="3"/>
  </r>
  <r>
    <s v="007"/>
    <s v="PR01"/>
    <s v="810MAN014"/>
    <s v="Manomètre Propane 6 bar"/>
    <s v="UN"/>
    <n v="4"/>
    <n v="16.881"/>
    <n v="67.524000000000001"/>
    <x v="3"/>
  </r>
  <r>
    <s v="007"/>
    <s v="PR01"/>
    <s v="815GOU004"/>
    <s v="GOUPILLE  D10*90"/>
    <s v="UN"/>
    <n v="58"/>
    <n v="1.1661585365853659"/>
    <n v="67.637195121951223"/>
    <x v="3"/>
  </r>
  <r>
    <s v="007"/>
    <s v="PR01"/>
    <s v="820XMC756"/>
    <s v="vis six pans (Inox) M06*70"/>
    <s v="UN"/>
    <n v="65"/>
    <n v="1.0429999999999999"/>
    <n v="67.795000000000002"/>
    <x v="3"/>
  </r>
  <r>
    <s v="007"/>
    <s v="PR01"/>
    <s v="-"/>
    <s v="RACCORD RAPIDE COUDE G3/8- 10 "/>
    <s v="UN"/>
    <n v="10"/>
    <n v="6.78"/>
    <n v="67.8"/>
    <x v="3"/>
  </r>
  <r>
    <s v="007"/>
    <s v="PR01"/>
    <s v="815GAI323"/>
    <s v="gaine anti chaleur 8mm"/>
    <s v="UN"/>
    <n v="15"/>
    <n v="4.5233999999999996"/>
    <n v="67.850999999999999"/>
    <x v="3"/>
  </r>
  <r>
    <s v="007"/>
    <s v="PR02"/>
    <s v="815GAI323"/>
    <s v="gaine anti chaleur 8mm"/>
    <s v="UN"/>
    <n v="15"/>
    <n v="4.5233999999999996"/>
    <n v="67.850999999999999"/>
    <x v="3"/>
  </r>
  <r>
    <s v="007"/>
    <s v="PR01"/>
    <s v="810ROU023"/>
    <s v="ROULEMENT 6202 2Z"/>
    <s v="UN"/>
    <n v="10"/>
    <n v="6.8110285714285723"/>
    <n v="68.110285714285723"/>
    <x v="3"/>
  </r>
  <r>
    <s v="007"/>
    <s v="PR01"/>
    <s v="815REL328"/>
    <s v="RELAIS 24V DC  60,13,9,24"/>
    <s v="UN"/>
    <n v="9"/>
    <n v="7.5906599999999997"/>
    <n v="68.315939999999998"/>
    <x v="3"/>
  </r>
  <r>
    <s v="007"/>
    <s v="PR02"/>
    <s v="815XPE437"/>
    <s v="Chemin de cable perforee 155/60"/>
    <s v="M"/>
    <n v="7"/>
    <n v="9.7656500000000008"/>
    <n v="68.359550000000013"/>
    <x v="3"/>
  </r>
  <r>
    <s v="007"/>
    <s v="PR02"/>
    <s v="815COS005"/>
    <s v="Cosse a sertir SC70-10"/>
    <s v="UN"/>
    <n v="36"/>
    <n v="1.9024714285714286"/>
    <n v="68.488971428571432"/>
    <x v="3"/>
  </r>
  <r>
    <s v="007"/>
    <s v="PR02"/>
    <s v="815XPE296"/>
    <s v="domino en céramique 2x4mm"/>
    <s v="UN"/>
    <n v="20"/>
    <n v="3.4286498632010942"/>
    <n v="68.572997264021879"/>
    <x v="3"/>
  </r>
  <r>
    <s v="007"/>
    <s v="PR02"/>
    <s v="812col059"/>
    <s v="COLLIER D28-48 INOX"/>
    <s v="UN"/>
    <n v="12"/>
    <n v="5.7290000000000001"/>
    <n v="68.748000000000005"/>
    <x v="3"/>
  </r>
  <r>
    <s v="007"/>
    <s v="PR01"/>
    <s v="820XMC745"/>
    <s v="Tige fileté (INOX) M14"/>
    <s v="UN"/>
    <n v="2"/>
    <n v="34.384999999999998"/>
    <n v="68.77"/>
    <x v="3"/>
  </r>
  <r>
    <s v="007"/>
    <s v="PR01"/>
    <s v="812TTE051"/>
    <s v="TE INOX  2&quot; 1/2&quot;"/>
    <s v="UN"/>
    <n v="1"/>
    <n v="68.781999999999996"/>
    <n v="68.781999999999996"/>
    <x v="3"/>
  </r>
  <r>
    <s v="007"/>
    <s v="PR01"/>
    <s v="820XMC432"/>
    <s v="VIS TH (INOX) M08*40"/>
    <s v="UN"/>
    <n v="140"/>
    <n v="0.49233774696707111"/>
    <n v="68.927284575389962"/>
    <x v="3"/>
  </r>
  <r>
    <s v="007"/>
    <s v="PR01"/>
    <s v="820XMC556"/>
    <s v="vis sixpans fraisée M05*40 (acier)"/>
    <s v="UN"/>
    <n v="420"/>
    <n v="0.16415917431192659"/>
    <n v="68.94685321100917"/>
    <x v="3"/>
  </r>
  <r>
    <s v="007"/>
    <s v="PR01"/>
    <s v="820XMC050"/>
    <s v="écrou (acier) M20"/>
    <s v="UN"/>
    <n v="150"/>
    <n v="0.46"/>
    <n v="69"/>
    <x v="3"/>
  </r>
  <r>
    <s v="007"/>
    <s v="PR02"/>
    <s v="820XMC207"/>
    <s v="tige fileté CUIVRE M16"/>
    <s v="UN"/>
    <n v="1"/>
    <n v="69"/>
    <n v="69"/>
    <x v="3"/>
  </r>
  <r>
    <s v="007"/>
    <s v="PR01"/>
    <s v="820xmc188"/>
    <s v="Barreau clavette 10 ACIER"/>
    <s v="UN"/>
    <n v="3"/>
    <n v="23.007999999999999"/>
    <n v="69.024000000000001"/>
    <x v="3"/>
  </r>
  <r>
    <s v="007"/>
    <s v="PR01"/>
    <s v="815DIS291"/>
    <s v="Disjoncteur 32A 3 PORT"/>
    <s v="UN"/>
    <n v="2"/>
    <n v="34.598399999999998"/>
    <n v="69.196799999999996"/>
    <x v="3"/>
  </r>
  <r>
    <s v="007"/>
    <s v="PR02"/>
    <s v="820XMC807"/>
    <s v="Rondelle plate (acier) M18"/>
    <s v="UN"/>
    <n v="150"/>
    <n v="0.46400000000000002"/>
    <n v="69.600000000000009"/>
    <x v="3"/>
  </r>
  <r>
    <s v="007"/>
    <s v="PR02"/>
    <s v="820XMC654"/>
    <s v="vis six pans (acier) M16*60  Moule Punshin"/>
    <s v="UN"/>
    <n v="52"/>
    <n v="1.3390899999999999"/>
    <n v="69.632679999999993"/>
    <x v="3"/>
  </r>
  <r>
    <s v="007"/>
    <s v="PR02"/>
    <s v="812COD705"/>
    <s v="Coude Noir D2&quot; 1/2"/>
    <s v="UN"/>
    <n v="7"/>
    <n v="9.9815500000000004"/>
    <n v="69.870850000000004"/>
    <x v="3"/>
  </r>
  <r>
    <s v="007"/>
    <s v="PR01"/>
    <s v="815CON272"/>
    <s v="Contacteur LC1D018 220V"/>
    <s v="UN"/>
    <n v="1"/>
    <n v="69.92"/>
    <n v="69.92"/>
    <x v="3"/>
  </r>
  <r>
    <s v="007"/>
    <s v="PR02"/>
    <s v="815CON272"/>
    <s v="Contacteur LC1D018 220V"/>
    <s v="UN"/>
    <n v="1"/>
    <n v="69.92"/>
    <n v="69.92"/>
    <x v="3"/>
  </r>
  <r>
    <s v="007"/>
    <s v="PR02"/>
    <s v="810pal078"/>
    <s v="PALIER OVALE UCFL 204/H pompe COS"/>
    <s v="UN"/>
    <n v="2"/>
    <n v="34.961849999999998"/>
    <n v="69.923699999999997"/>
    <x v="3"/>
  </r>
  <r>
    <s v="007"/>
    <s v="PR01"/>
    <s v="812VER112"/>
    <s v="Racleur EN NBR 25-35-6/8 VERIN COS"/>
    <s v="UN"/>
    <n v="7"/>
    <n v="9.9990000000000006"/>
    <n v="69.993000000000009"/>
    <x v="3"/>
  </r>
  <r>
    <s v="007"/>
    <s v="PR02"/>
    <s v="810PAL057"/>
    <s v="Palier tendeur TU 508M (UCT208) Tapis Casse batte"/>
    <s v="UN"/>
    <n v="1"/>
    <n v="70.148700000000005"/>
    <n v="70.148700000000005"/>
    <x v="3"/>
  </r>
  <r>
    <s v="007"/>
    <s v="PR01"/>
    <s v="830MCH006"/>
    <s v="Mèche acier 16"/>
    <s v="UN"/>
    <n v="5"/>
    <n v="14.04"/>
    <n v="70.199999999999989"/>
    <x v="3"/>
  </r>
  <r>
    <s v="007"/>
    <s v="PR02"/>
    <s v="810ROU025"/>
    <s v="Roulement 6204 2RSH"/>
    <s v="UN"/>
    <n v="6"/>
    <n v="11.7"/>
    <n v="70.199999999999989"/>
    <x v="3"/>
  </r>
  <r>
    <s v="007"/>
    <s v="PR02"/>
    <s v="820XMC247"/>
    <s v="VIS TH (acier) M16*90"/>
    <s v="UN"/>
    <n v="44"/>
    <n v="1.5966"/>
    <n v="70.250399999999999"/>
    <x v="3"/>
  </r>
  <r>
    <s v="007"/>
    <s v="PR01"/>
    <s v="820XMC392"/>
    <s v="vis six pans (acier) M12*30"/>
    <s v="UN"/>
    <n v="120"/>
    <n v="0.58602392565597661"/>
    <n v="70.322871078717199"/>
    <x v="3"/>
  </r>
  <r>
    <s v="007"/>
    <s v="PR01"/>
    <s v="812RED606"/>
    <s v="Raccord Inegale 10/06"/>
    <s v="UN"/>
    <n v="18"/>
    <n v="3.927"/>
    <n v="70.686000000000007"/>
    <x v="3"/>
  </r>
  <r>
    <s v="007"/>
    <s v="PR02"/>
    <s v="810ROU031"/>
    <s v="Roulement 6302 2Z"/>
    <s v="UN"/>
    <n v="7"/>
    <n v="10.098000000000001"/>
    <n v="70.686000000000007"/>
    <x v="3"/>
  </r>
  <r>
    <s v="007"/>
    <s v="PR02"/>
    <s v="812rac087"/>
    <s v="Raccord inegale 08/10"/>
    <s v="UN"/>
    <n v="23"/>
    <n v="3.077"/>
    <n v="70.771000000000001"/>
    <x v="3"/>
  </r>
  <r>
    <s v="007"/>
    <s v="PR01"/>
    <s v="840PEI007"/>
    <s v="PEINTURE ANTI-ROUILLE GRIS 5KG"/>
    <s v="UN"/>
    <n v="2"/>
    <n v="35.561700000000002"/>
    <n v="71.123400000000004"/>
    <x v="3"/>
  </r>
  <r>
    <s v="007"/>
    <s v="PR02"/>
    <s v="810ROU015"/>
    <s v="Roulement 6001-2RSH"/>
    <s v="UN"/>
    <n v="9"/>
    <n v="7.92"/>
    <n v="71.28"/>
    <x v="3"/>
  </r>
  <r>
    <s v="007"/>
    <s v="PR02"/>
    <s v="810PAR145"/>
    <s v="PARE HUILE 85/130/12 Reducteur Empattage"/>
    <s v="UN"/>
    <n v="5"/>
    <n v="14.265000000000001"/>
    <n v="71.325000000000003"/>
    <x v="3"/>
  </r>
  <r>
    <s v="007"/>
    <s v="PR01"/>
    <s v="810rou138"/>
    <s v="Roulement 6304 2RS"/>
    <s v="UN"/>
    <n v="5"/>
    <n v="14.2668"/>
    <n v="71.334000000000003"/>
    <x v="3"/>
  </r>
  <r>
    <s v="007"/>
    <s v="PR02"/>
    <s v="810ROU147"/>
    <s v="Roulement 30210-J2/Q"/>
    <s v="UN"/>
    <n v="1"/>
    <n v="71.455200000000005"/>
    <n v="71.455200000000005"/>
    <x v="3"/>
  </r>
  <r>
    <s v="007"/>
    <s v="PR02"/>
    <s v="810ROU132"/>
    <s v="ROULEMENT 606-2Z"/>
    <s v="UN"/>
    <n v="40"/>
    <n v="1.7869999999999999"/>
    <n v="71.47999999999999"/>
    <x v="3"/>
  </r>
  <r>
    <s v="007"/>
    <s v="PR01"/>
    <s v="810ROU033"/>
    <s v="Roulement 6304 2Z"/>
    <s v="UN"/>
    <n v="6"/>
    <n v="11.944315384615383"/>
    <n v="71.665892307692303"/>
    <x v="3"/>
  </r>
  <r>
    <s v="007"/>
    <s v="PR01"/>
    <s v="830TAR009"/>
    <s v="Jeu de Taraud F1/4"/>
    <s v="UN"/>
    <n v="1"/>
    <n v="71.757000000000005"/>
    <n v="71.757000000000005"/>
    <x v="3"/>
  </r>
  <r>
    <s v="007"/>
    <s v="PR01"/>
    <s v="810ROX021"/>
    <s v="GALET DE CAME  AVEC AXE KR 19-PP  ENV ELBAK"/>
    <s v="UN"/>
    <n v="1"/>
    <n v="71.819999999999993"/>
    <n v="71.819999999999993"/>
    <x v="3"/>
  </r>
  <r>
    <s v="007"/>
    <s v="PR02"/>
    <s v="830XOU253"/>
    <s v="PRESSOSTAT POUR POMPE EAU   Chaudiere"/>
    <s v="UN"/>
    <n v="1"/>
    <n v="71.822699999999998"/>
    <n v="71.822699999999998"/>
    <x v="3"/>
  </r>
  <r>
    <s v="007"/>
    <s v="PR02"/>
    <s v="810XPM212"/>
    <s v="PATE JOINT 14B1"/>
    <s v="UN"/>
    <n v="20"/>
    <n v="3.5928"/>
    <n v="71.855999999999995"/>
    <x v="3"/>
  </r>
  <r>
    <s v="007"/>
    <s v="PR01"/>
    <s v="820XMC473"/>
    <s v="écrou (acier) M10"/>
    <s v="UN"/>
    <n v="654"/>
    <n v="0.11"/>
    <n v="71.94"/>
    <x v="3"/>
  </r>
  <r>
    <s v="007"/>
    <s v="PR02"/>
    <s v="815XPE051"/>
    <s v="CONNECTEUR CAPTEUR FEMELLE M12  4 broches"/>
    <s v="UN"/>
    <n v="2"/>
    <n v="36"/>
    <n v="72"/>
    <x v="3"/>
  </r>
  <r>
    <s v="007"/>
    <s v="PR01"/>
    <s v="812VAN008"/>
    <s v="VANNE SPHERIQUE 1+1/2&quot;"/>
    <s v="UN"/>
    <n v="6"/>
    <n v="12.023999999999999"/>
    <n v="72.143999999999991"/>
    <x v="3"/>
  </r>
  <r>
    <s v="007"/>
    <s v="PR02"/>
    <s v="810ROX005"/>
    <s v="Toc elastique C65 Melangeur fonderie"/>
    <s v="UN"/>
    <n v="1"/>
    <n v="72.275999999999996"/>
    <n v="72.275999999999996"/>
    <x v="3"/>
  </r>
  <r>
    <s v="007"/>
    <s v="PR01"/>
    <s v="-"/>
    <s v="RACCORD RAPIDE COUDE G3/8- 12 "/>
    <s v="UN"/>
    <n v="10"/>
    <n v="7.23"/>
    <n v="72.300000000000011"/>
    <x v="3"/>
  </r>
  <r>
    <s v="007"/>
    <s v="PR02"/>
    <s v="812VAN026"/>
    <s v="Vanne PPR D40"/>
    <s v="UN"/>
    <n v="1"/>
    <n v="72.319342105263146"/>
    <n v="72.319342105263146"/>
    <x v="3"/>
  </r>
  <r>
    <s v="007"/>
    <s v="PR01"/>
    <s v="820xmc189"/>
    <s v="Barreau clavette 12 acier"/>
    <s v="UN"/>
    <n v="2"/>
    <n v="36.194000000000003"/>
    <n v="72.388000000000005"/>
    <x v="3"/>
  </r>
  <r>
    <s v="007"/>
    <s v="PR02"/>
    <s v="812RAC029"/>
    <s v="RACCORD DROIT 12*1/4"/>
    <s v="UN"/>
    <n v="10"/>
    <n v="7.2479626957759846"/>
    <n v="72.479626957759848"/>
    <x v="3"/>
  </r>
  <r>
    <s v="007"/>
    <s v="PR02"/>
    <s v="812RAC026"/>
    <s v="RACCORD RAPIDE COUDE4*1/16"/>
    <s v="UN"/>
    <n v="26"/>
    <n v="2.7879999999999998"/>
    <n v="72.488"/>
    <x v="3"/>
  </r>
  <r>
    <s v="007"/>
    <s v="PR02"/>
    <m/>
    <s v="ATTACHE MULTI QUICK 16-20 BFR"/>
    <s v="UN"/>
    <n v="100"/>
    <n v="0.72499999999999998"/>
    <n v="72.5"/>
    <x v="3"/>
  </r>
  <r>
    <s v="007"/>
    <s v="PR02"/>
    <s v="815CAB255"/>
    <s v="câble anti chaleur 4mm"/>
    <s v="UN"/>
    <n v="18"/>
    <n v="4.0301999999999998"/>
    <n v="72.543599999999998"/>
    <x v="3"/>
  </r>
  <r>
    <s v="007"/>
    <s v="PR02"/>
    <s v="812rac020"/>
    <s v="RACCORD DROIT 8*3/8"/>
    <s v="UN"/>
    <n v="22"/>
    <n v="3.298"/>
    <n v="72.555999999999997"/>
    <x v="3"/>
  </r>
  <r>
    <s v="007"/>
    <s v="PR01"/>
    <s v="820XMC041"/>
    <s v="VIS TH (acier) M12*100"/>
    <s v="UN"/>
    <n v="68"/>
    <n v="1.0674870607734805"/>
    <n v="72.589120132596676"/>
    <x v="3"/>
  </r>
  <r>
    <s v="007"/>
    <s v="PR01"/>
    <s v="810COU129"/>
    <s v="Courroie 2632X13 TEKMAX trapaiseidal"/>
    <s v="UN"/>
    <n v="2"/>
    <n v="36.359099999999998"/>
    <n v="72.718199999999996"/>
    <x v="3"/>
  </r>
  <r>
    <s v="007"/>
    <s v="PR02"/>
    <s v="810PAL019"/>
    <s v="Palier FYTB 508M  RLT YAR208  EMP Classique"/>
    <s v="UN"/>
    <n v="2"/>
    <n v="36.459000000000003"/>
    <n v="72.918000000000006"/>
    <x v="3"/>
  </r>
  <r>
    <s v="007"/>
    <s v="PR01"/>
    <s v="815CAB033"/>
    <s v="Fil souple 1,5mm Bleu"/>
    <s v="M"/>
    <n v="120"/>
    <n v="0.61002999999999996"/>
    <n v="73.203599999999994"/>
    <x v="3"/>
  </r>
  <r>
    <s v="007"/>
    <s v="PR02"/>
    <s v="810PAL050"/>
    <s v="Palier F 210"/>
    <s v="UN"/>
    <n v="1"/>
    <n v="73.2834"/>
    <n v="73.2834"/>
    <x v="3"/>
  </r>
  <r>
    <s v="007"/>
    <s v="PR02"/>
    <s v="812RAC094"/>
    <s v="Raccord Inegale 06/08"/>
    <s v="UN"/>
    <n v="28"/>
    <n v="2.6179999999999999"/>
    <n v="73.304000000000002"/>
    <x v="3"/>
  </r>
  <r>
    <s v="007"/>
    <s v="PR02"/>
    <s v="812COL041"/>
    <s v="Collier multicouche D16"/>
    <s v="UN"/>
    <n v="20"/>
    <n v="3.6720000000000002"/>
    <n v="73.44"/>
    <x v="3"/>
  </r>
  <r>
    <s v="007"/>
    <s v="PR01"/>
    <s v="812TUB046"/>
    <s v="Tube Gorge D32"/>
    <s v="M"/>
    <n v="100"/>
    <n v="0.74250000000000005"/>
    <n v="74.25"/>
    <x v="3"/>
  </r>
  <r>
    <s v="007"/>
    <s v="PR01"/>
    <s v="820XMC425"/>
    <s v="VIS TH (INOX) M05*30"/>
    <s v="UN"/>
    <n v="254"/>
    <n v="0.29299999999999998"/>
    <n v="74.421999999999997"/>
    <x v="3"/>
  </r>
  <r>
    <s v="007"/>
    <s v="PR01"/>
    <s v="810COU024"/>
    <s v="Courroie Trapez A96/13 2470LD 13*2438LI TEKMAX"/>
    <s v="UN"/>
    <n v="3"/>
    <n v="24.9255"/>
    <n v="74.776499999999999"/>
    <x v="3"/>
  </r>
  <r>
    <s v="007"/>
    <s v="PR02"/>
    <s v="810PIN083"/>
    <s v="Pignon 10B1 24dents Strip CHIN"/>
    <s v="UN"/>
    <n v="2"/>
    <n v="37.4283"/>
    <n v="74.8566"/>
    <x v="3"/>
  </r>
  <r>
    <s v="007"/>
    <s v="PR02"/>
    <s v="812COL658"/>
    <s v="Collier INOX 25-40"/>
    <s v="UN"/>
    <n v="12"/>
    <n v="6.2471578947368425"/>
    <n v="74.965894736842102"/>
    <x v="3"/>
  </r>
  <r>
    <s v="007"/>
    <s v="PR01"/>
    <s v="810ROU017"/>
    <s v="Roulement 6004 2RSH  etanche"/>
    <s v="UN"/>
    <n v="6"/>
    <n v="12.5"/>
    <n v="75"/>
    <x v="3"/>
  </r>
  <r>
    <s v="007"/>
    <s v="PR01"/>
    <s v="820XMC043"/>
    <s v="VIS TH (acier) M14*80"/>
    <s v="UN"/>
    <n v="65"/>
    <n v="1.1539999999999999"/>
    <n v="75.009999999999991"/>
    <x v="3"/>
  </r>
  <r>
    <s v="007"/>
    <s v="PR01"/>
    <s v="810ROU024"/>
    <s v="Roulement 6203-2RS"/>
    <s v="UN"/>
    <n v="7"/>
    <n v="10.744199999999999"/>
    <n v="75.209399999999988"/>
    <x v="3"/>
  </r>
  <r>
    <s v="007"/>
    <s v="PR02"/>
    <s v="810ROU024"/>
    <s v="Roulement 6203-2RS"/>
    <s v="UN"/>
    <n v="7"/>
    <n v="10.744199999999999"/>
    <n v="75.209399999999988"/>
    <x v="3"/>
  </r>
  <r>
    <s v="007"/>
    <s v="PR02"/>
    <s v="812RAC074"/>
    <s v="RACCORD  3 P D50 PPR"/>
    <s v="UN"/>
    <n v="5"/>
    <n v="15.05"/>
    <n v="75.25"/>
    <x v="3"/>
  </r>
  <r>
    <s v="007"/>
    <s v="PR02"/>
    <s v="820xmc245"/>
    <s v="Barreau clavette 14"/>
    <s v="UN"/>
    <n v="2"/>
    <n v="37.643999999999998"/>
    <n v="75.287999999999997"/>
    <x v="3"/>
  </r>
  <r>
    <s v="007"/>
    <s v="PR02"/>
    <s v="812FLE072"/>
    <s v="Flexible DN10 LG530 THP+Raccords"/>
    <s v="UN"/>
    <n v="2"/>
    <n v="37.646999999999998"/>
    <n v="75.293999999999997"/>
    <x v="3"/>
  </r>
  <r>
    <s v="007"/>
    <s v="PR02"/>
    <s v="810ROU210"/>
    <s v="Roulement 6905-2Z"/>
    <s v="UN"/>
    <n v="2"/>
    <n v="37.705500000000001"/>
    <n v="75.411000000000001"/>
    <x v="3"/>
  </r>
  <r>
    <s v="007"/>
    <s v="PR01"/>
    <s v="815XPE276"/>
    <s v="Fiche Male 3P+T 16A  380V"/>
    <s v="UN"/>
    <n v="10"/>
    <n v="7.541785714285715"/>
    <n v="75.417857142857144"/>
    <x v="3"/>
  </r>
  <r>
    <s v="007"/>
    <s v="PR01"/>
    <s v="830XOU306"/>
    <s v="Buse ronde D5mm Soud plastique pistolet"/>
    <s v="UN"/>
    <n v="1"/>
    <n v="75.494450000000001"/>
    <n v="75.494450000000001"/>
    <x v="3"/>
  </r>
  <r>
    <s v="007"/>
    <s v="PR01"/>
    <s v="812RAC056"/>
    <s v="RACCORD DROIT 6*1/8"/>
    <s v="UN"/>
    <n v="28"/>
    <n v="2.7"/>
    <n v="75.600000000000009"/>
    <x v="3"/>
  </r>
  <r>
    <s v="007"/>
    <s v="PR02"/>
    <s v="810ROU026"/>
    <s v="Roulement  6205 2Z"/>
    <s v="UN"/>
    <n v="7"/>
    <n v="10.8"/>
    <n v="75.600000000000009"/>
    <x v="3"/>
  </r>
  <r>
    <s v="007"/>
    <s v="PR01"/>
    <s v="815COS009"/>
    <s v="Cosse a sertir SC240-12"/>
    <s v="UN"/>
    <n v="5"/>
    <n v="15.1264"/>
    <n v="75.632000000000005"/>
    <x v="3"/>
  </r>
  <r>
    <s v="007"/>
    <s v="PR02"/>
    <s v="812RAC082"/>
    <s v="Raccord Egale 12/12"/>
    <s v="UN"/>
    <n v="23"/>
    <n v="3.2980000000000005"/>
    <n v="75.854000000000013"/>
    <x v="3"/>
  </r>
  <r>
    <s v="007"/>
    <s v="PR01"/>
    <s v="812VER639"/>
    <s v="Verin  D12 C10"/>
    <s v="UN"/>
    <n v="1"/>
    <n v="75.921300000000002"/>
    <n v="75.921300000000002"/>
    <x v="3"/>
  </r>
  <r>
    <s v="007"/>
    <s v="PR02"/>
    <s v="812RAC016"/>
    <s v="RACCORD DROIT 10*1/8"/>
    <s v="UN"/>
    <n v="20"/>
    <n v="3.8079999999999998"/>
    <n v="76.16"/>
    <x v="3"/>
  </r>
  <r>
    <s v="007"/>
    <s v="PR02"/>
    <s v="815rel014"/>
    <s v="Relais thermoregulateur TF4-M1  48*48"/>
    <s v="UN"/>
    <n v="1"/>
    <n v="76.388249999999999"/>
    <n v="76.388249999999999"/>
    <x v="3"/>
  </r>
  <r>
    <s v="007"/>
    <s v="PR02"/>
    <s v="701ELE069"/>
    <s v="Thermocouple D8*100 1500mm+ressort bay F15"/>
    <s v="UN"/>
    <n v="1"/>
    <n v="76.664050000000003"/>
    <n v="76.664050000000003"/>
    <x v="3"/>
  </r>
  <r>
    <s v="007"/>
    <s v="PR02"/>
    <s v="810cou048"/>
    <s v="Courroie Trapez 1938 b75 Atelier Tournage"/>
    <s v="UN"/>
    <n v="4"/>
    <n v="19.170000000000002"/>
    <n v="76.680000000000007"/>
    <x v="3"/>
  </r>
  <r>
    <s v="007"/>
    <s v="PR02"/>
    <s v="812rac189"/>
    <s v="Raccord Coudee MALE 7/8 LENTE MALE 1/4"/>
    <s v="UN"/>
    <n v="3"/>
    <n v="25.6"/>
    <n v="76.800000000000011"/>
    <x v="3"/>
  </r>
  <r>
    <s v="007"/>
    <s v="PR01"/>
    <s v="815FUS038"/>
    <s v="FUSIBLE TIS63  63A RED POWER KRAFT"/>
    <s v="UN"/>
    <n v="1"/>
    <n v="77.048000000000002"/>
    <n v="77.048000000000002"/>
    <x v="3"/>
  </r>
  <r>
    <s v="007"/>
    <s v="PR01"/>
    <s v="812COL057"/>
    <s v="COLLIER DE FIXATION D50 Complet"/>
    <s v="UN"/>
    <n v="50"/>
    <n v="1.5419375000000002"/>
    <n v="77.096875000000011"/>
    <x v="3"/>
  </r>
  <r>
    <s v="007"/>
    <s v="PR01"/>
    <s v="812RAC039"/>
    <s v="RACCORD DROIT 12*1/8"/>
    <s v="UN"/>
    <n v="14"/>
    <n v="5.5250000000000004"/>
    <n v="77.350000000000009"/>
    <x v="3"/>
  </r>
  <r>
    <s v="007"/>
    <s v="PR01"/>
    <s v="810PIN019"/>
    <s v="PIGNON  Z30 P12.7"/>
    <s v="UN"/>
    <n v="3"/>
    <n v="25.794"/>
    <n v="77.382000000000005"/>
    <x v="3"/>
  </r>
  <r>
    <s v="007"/>
    <s v="PR01"/>
    <s v="810tap136"/>
    <s v="TAPIS TRANSPORTEUR"/>
    <s v="UN"/>
    <n v="1"/>
    <n v="77.400000000000006"/>
    <n v="77.400000000000006"/>
    <x v="3"/>
  </r>
  <r>
    <s v="007"/>
    <s v="PR01"/>
    <s v="815RES004"/>
    <s v="RESISTANCE TUBE 415W"/>
    <s v="UN"/>
    <n v="1"/>
    <n v="77.400000000000006"/>
    <n v="77.400000000000006"/>
    <x v="3"/>
  </r>
  <r>
    <s v="007"/>
    <s v="PR02"/>
    <s v="820XMC410"/>
    <s v="vis six pans (acier) M10*50"/>
    <s v="UN"/>
    <n v="111"/>
    <n v="0.69750999999999985"/>
    <n v="77.423609999999982"/>
    <x v="3"/>
  </r>
  <r>
    <s v="007"/>
    <s v="PR02"/>
    <s v="812TTE014"/>
    <s v="TE GALVA 1+1/2&quot;"/>
    <s v="UN"/>
    <n v="5"/>
    <n v="15.486149999999999"/>
    <n v="77.430749999999989"/>
    <x v="3"/>
  </r>
  <r>
    <s v="007"/>
    <s v="PR01"/>
    <s v="812CLA008"/>
    <s v="Clappet cuivre 1&quot; "/>
    <s v="UN"/>
    <n v="2"/>
    <n v="38.771999999999998"/>
    <n v="77.543999999999997"/>
    <x v="3"/>
  </r>
  <r>
    <s v="007"/>
    <s v="PR02"/>
    <s v="812RAC217"/>
    <s v="Raccord A olive 06*1/8   Graissage"/>
    <s v="UN"/>
    <n v="9"/>
    <n v="8.6265000000000001"/>
    <n v="77.638499999999993"/>
    <x v="3"/>
  </r>
  <r>
    <s v="007"/>
    <s v="PR02"/>
    <s v="812TUB017"/>
    <s v="TUBE ACIER NOIR A souder 20/27  EP3.5mm"/>
    <s v="M"/>
    <n v="4"/>
    <n v="19.467633042096907"/>
    <n v="77.870532168387626"/>
    <x v="3"/>
  </r>
  <r>
    <s v="007"/>
    <s v="PR01"/>
    <m/>
    <s v="COUDE A SOUDER GALVA Ø 40/49"/>
    <s v="UN"/>
    <n v="8"/>
    <n v="9.7360000000000007"/>
    <n v="77.888000000000005"/>
    <x v="3"/>
  </r>
  <r>
    <s v="007"/>
    <s v="PR01"/>
    <s v="812RAC194"/>
    <s v="Raccord Multiple QSQ-8-6 Lignes Montage"/>
    <s v="UN"/>
    <n v="5"/>
    <n v="15.581"/>
    <n v="77.905000000000001"/>
    <x v="3"/>
  </r>
  <r>
    <s v="007"/>
    <s v="PR02"/>
    <s v="810PIN040"/>
    <s v="Pignon 12B1-16DENTS Casse batterie"/>
    <s v="UN"/>
    <n v="3"/>
    <n v="25.974"/>
    <n v="77.921999999999997"/>
    <x v="3"/>
  </r>
  <r>
    <s v="007"/>
    <s v="PR02"/>
    <s v="810XPM032"/>
    <s v="Attache Rapide pour chaine 16B-1"/>
    <s v="UN"/>
    <n v="23"/>
    <n v="3.3993000000000002"/>
    <n v="78.183900000000008"/>
    <x v="3"/>
  </r>
  <r>
    <s v="007"/>
    <s v="PR01"/>
    <s v="820XMC567"/>
    <s v="vis sixpans fraisée M05*20 (Inox)"/>
    <s v="UN"/>
    <n v="352"/>
    <n v="0.224"/>
    <n v="78.847999999999999"/>
    <x v="3"/>
  </r>
  <r>
    <s v="007"/>
    <s v="PR01"/>
    <s v="810ROU015"/>
    <s v="Roulement 6001-2RSH"/>
    <s v="UN"/>
    <n v="10"/>
    <n v="7.92"/>
    <n v="79.2"/>
    <x v="3"/>
  </r>
  <r>
    <s v="007"/>
    <s v="PR02"/>
    <s v="810COU032"/>
    <s v="Courroie dentée 6466 MC"/>
    <s v="UN"/>
    <n v="4"/>
    <n v="19.8"/>
    <n v="79.2"/>
    <x v="3"/>
  </r>
  <r>
    <s v="007"/>
    <s v="PR02"/>
    <s v="810COU037"/>
    <s v="Courroie dentée 1922V 386 LARG 30mm"/>
    <s v="UN"/>
    <n v="4"/>
    <n v="19.8"/>
    <n v="79.2"/>
    <x v="3"/>
  </r>
  <r>
    <s v="007"/>
    <s v="PR02"/>
    <s v="812rac750"/>
    <s v="Raccord droit 10*1/4"/>
    <s v="UN"/>
    <n v="22"/>
    <n v="3.6"/>
    <n v="79.2"/>
    <x v="3"/>
  </r>
  <r>
    <s v="007"/>
    <s v="PR02"/>
    <s v="812rac118"/>
    <s v="RACCORD RAPIDE DROIT 8*1/2"/>
    <s v="UN"/>
    <n v="15"/>
    <n v="5.3125"/>
    <n v="79.6875"/>
    <x v="3"/>
  </r>
  <r>
    <s v="007"/>
    <s v="PR01"/>
    <s v="815XOU017"/>
    <s v="COSSE A SERTIE 10-8"/>
    <s v="UN"/>
    <n v="120"/>
    <n v="0.66420000000000001"/>
    <n v="79.704000000000008"/>
    <x v="3"/>
  </r>
  <r>
    <s v="007"/>
    <s v="PR01"/>
    <s v="810COU128"/>
    <s v="COURROIE Dentée 900/13   TEKMAX"/>
    <s v="UN"/>
    <n v="8"/>
    <n v="9.9930000000000003"/>
    <n v="79.944000000000003"/>
    <x v="3"/>
  </r>
  <r>
    <s v="007"/>
    <s v="PR01"/>
    <s v="815CAP022"/>
    <s v="support capteur PHOTOCELL"/>
    <s v="UN"/>
    <n v="10"/>
    <n v="8"/>
    <n v="80"/>
    <x v="3"/>
  </r>
  <r>
    <s v="007"/>
    <s v="PR02"/>
    <s v="812RAC046"/>
    <s v="RACCORD 3 P PVC d25"/>
    <s v="UN"/>
    <n v="12"/>
    <n v="6.687954545454545"/>
    <n v="80.25545454545454"/>
    <x v="3"/>
  </r>
  <r>
    <s v="007"/>
    <s v="PR01"/>
    <s v="820XMC168"/>
    <s v="Vis sixpans fraisé (Acier) M10*20"/>
    <s v="UN"/>
    <n v="250"/>
    <n v="0.32140750000000007"/>
    <n v="80.351875000000021"/>
    <x v="3"/>
  </r>
  <r>
    <s v="007"/>
    <s v="PR01"/>
    <s v="701ELE086"/>
    <s v="Sortie complet pour redresseur Kraft power"/>
    <s v="UN"/>
    <n v="1"/>
    <n v="80.519000000000005"/>
    <n v="80.519000000000005"/>
    <x v="3"/>
  </r>
  <r>
    <s v="007"/>
    <s v="PR02"/>
    <s v="812FLE611"/>
    <s v="Flexible08"/>
    <s v="M"/>
    <n v="70"/>
    <n v="1.1511"/>
    <n v="80.576999999999998"/>
    <x v="3"/>
  </r>
  <r>
    <s v="007"/>
    <s v="PR01"/>
    <s v="705ELE001"/>
    <s v="CAPTEUR A3013220 LR 110 TB 385"/>
    <s v="UN"/>
    <n v="1"/>
    <n v="80.75"/>
    <n v="80.75"/>
    <x v="3"/>
  </r>
  <r>
    <s v="007"/>
    <s v="PR01"/>
    <s v="705ELE002"/>
    <s v="CAPTEUR A3013221 LT110 TB 385 TBAS"/>
    <s v="UN"/>
    <n v="1"/>
    <n v="80.75"/>
    <n v="80.75"/>
    <x v="3"/>
  </r>
  <r>
    <s v="007"/>
    <s v="PR01"/>
    <s v="820XMC674"/>
    <s v="Vis TF (acier) M12*30"/>
    <s v="M"/>
    <n v="140"/>
    <n v="0.57757000000000003"/>
    <n v="80.859800000000007"/>
    <x v="3"/>
  </r>
  <r>
    <s v="007"/>
    <s v="PR02"/>
    <s v="810PAR130"/>
    <s v="PARE HUILE 55*80*10 OXYDE"/>
    <s v="UN"/>
    <n v="3"/>
    <n v="26.959499999999998"/>
    <n v="80.878500000000003"/>
    <x v="3"/>
  </r>
  <r>
    <s v="007"/>
    <s v="PR01"/>
    <s v="810ROU022"/>
    <s v="Roulement 6200-2RS"/>
    <s v="UN"/>
    <n v="10"/>
    <n v="8.1"/>
    <n v="81"/>
    <x v="3"/>
  </r>
  <r>
    <s v="007"/>
    <s v="PR01"/>
    <s v="815XPE333"/>
    <s v="Connecteur Canalis"/>
    <s v="UN"/>
    <n v="7"/>
    <n v="11.583"/>
    <n v="81.081000000000003"/>
    <x v="3"/>
  </r>
  <r>
    <s v="007"/>
    <s v="PR01"/>
    <s v="810par113"/>
    <s v="parahuile 20X52X10"/>
    <s v="UN"/>
    <n v="8"/>
    <n v="10.143000000000001"/>
    <n v="81.144000000000005"/>
    <x v="3"/>
  </r>
  <r>
    <s v="007"/>
    <s v="PR01"/>
    <s v="812RAC064"/>
    <s v="Raccord coudée 8*1/4"/>
    <s v="UN"/>
    <n v="24"/>
    <n v="3.383"/>
    <n v="81.192000000000007"/>
    <x v="3"/>
  </r>
  <r>
    <s v="007"/>
    <s v="PR02"/>
    <s v="810PAR004"/>
    <s v="PARE HUILE 90*120*12"/>
    <s v="UN"/>
    <n v="9"/>
    <n v="9.0347249999999999"/>
    <n v="81.312524999999994"/>
    <x v="3"/>
  </r>
  <r>
    <s v="007"/>
    <s v="PR02"/>
    <s v="812FLE054"/>
    <s v="Flexible DN06 L430mm Hyster 5.5T"/>
    <s v="UN"/>
    <n v="2"/>
    <n v="40.701599999999999"/>
    <n v="81.403199999999998"/>
    <x v="3"/>
  </r>
  <r>
    <s v="007"/>
    <s v="PR01"/>
    <s v="812RAC221"/>
    <s v="RACCORD COUDE 10*1/8"/>
    <s v="UN"/>
    <n v="27"/>
    <n v="3.0179999999999998"/>
    <n v="81.48599999999999"/>
    <x v="3"/>
  </r>
  <r>
    <s v="007"/>
    <s v="PR01"/>
    <s v="820XMC401"/>
    <s v="vis six pans (acier) M08*15"/>
    <s v="UN"/>
    <n v="424"/>
    <n v="0.19259000000000001"/>
    <n v="81.658160000000009"/>
    <x v="3"/>
  </r>
  <r>
    <s v="007"/>
    <s v="PR02"/>
    <s v="815CAB018"/>
    <s v="Fil Souple 2.5mm Rouge"/>
    <s v="M"/>
    <n v="85"/>
    <n v="0.96460000000000012"/>
    <n v="81.991000000000014"/>
    <x v="3"/>
  </r>
  <r>
    <s v="007"/>
    <s v="PR02"/>
    <s v="815CAB017"/>
    <s v="Fil Souple 2.5mm Bleu"/>
    <s v="M"/>
    <n v="85"/>
    <n v="0.96513000000000004"/>
    <n v="82.036050000000003"/>
    <x v="3"/>
  </r>
  <r>
    <s v="007"/>
    <s v="PR02"/>
    <s v="812rac088"/>
    <s v="Raccord droit 10/12"/>
    <s v="UN"/>
    <n v="23"/>
    <n v="3.57"/>
    <n v="82.11"/>
    <x v="3"/>
  </r>
  <r>
    <s v="007"/>
    <s v="PR01"/>
    <s v="815FUS012"/>
    <s v="Fusible 22*58 AM 125A"/>
    <s v="UN"/>
    <n v="48"/>
    <n v="1.72"/>
    <n v="82.56"/>
    <x v="3"/>
  </r>
  <r>
    <s v="007"/>
    <s v="PR02"/>
    <s v="815CAP010"/>
    <s v="Capteur SF8-R2B"/>
    <s v="UN"/>
    <n v="1"/>
    <n v="82.65"/>
    <n v="82.65"/>
    <x v="3"/>
  </r>
  <r>
    <s v="007"/>
    <s v="PR01"/>
    <s v="812TTE619"/>
    <s v="Te12 pneumatique"/>
    <s v="UN"/>
    <n v="10"/>
    <n v="8.2799999999999994"/>
    <n v="82.8"/>
    <x v="3"/>
  </r>
  <r>
    <s v="007"/>
    <s v="PR01"/>
    <s v="815REL013"/>
    <s v="Relais thermique 1-1.6A LRD06 Shneider"/>
    <s v="UN"/>
    <n v="1"/>
    <n v="82.8"/>
    <n v="82.8"/>
    <x v="3"/>
  </r>
  <r>
    <s v="007"/>
    <s v="PR02"/>
    <s v="815REL013"/>
    <s v="Relais thermique 1-1.6A LRD06 Shneider"/>
    <s v="UN"/>
    <n v="1"/>
    <n v="82.8"/>
    <n v="82.8"/>
    <x v="3"/>
  </r>
  <r>
    <s v="007"/>
    <s v="PR01"/>
    <s v="702MEC029"/>
    <s v="Flotteur electrique 5M pour cyterne d'eau"/>
    <s v="UN"/>
    <n v="2"/>
    <n v="41.491050000000001"/>
    <n v="82.982100000000003"/>
    <x v="3"/>
  </r>
  <r>
    <s v="007"/>
    <s v="PR02"/>
    <s v="812COD067"/>
    <s v="COUDE PVC PR D125 45°"/>
    <s v="UN"/>
    <n v="4"/>
    <n v="20.780999999999999"/>
    <n v="83.123999999999995"/>
    <x v="3"/>
  </r>
  <r>
    <s v="007"/>
    <s v="PR01"/>
    <s v="815DIS031"/>
    <s v="Disjoncteur 32A 2 PORT"/>
    <s v="UN"/>
    <n v="4"/>
    <n v="20.862400000000001"/>
    <n v="83.449600000000004"/>
    <x v="3"/>
  </r>
  <r>
    <s v="007"/>
    <s v="PR01"/>
    <s v="820XMC807"/>
    <s v="Rondelle plate (acier) M18"/>
    <s v="UN"/>
    <n v="180"/>
    <n v="0.46400000000000002"/>
    <n v="83.52000000000001"/>
    <x v="3"/>
  </r>
  <r>
    <s v="007"/>
    <s v="PR01"/>
    <s v="815REL044"/>
    <s v="Relais 14 Broches 110V    Fardeleuse"/>
    <s v="UN"/>
    <n v="5"/>
    <n v="16.715250000000001"/>
    <n v="83.576250000000002"/>
    <x v="3"/>
  </r>
  <r>
    <s v="007"/>
    <s v="PR02"/>
    <s v="815XPE305"/>
    <s v="Doigt de gant INOX D10/L1200mm"/>
    <s v="UN"/>
    <n v="2"/>
    <n v="41.814"/>
    <n v="83.628"/>
    <x v="3"/>
  </r>
  <r>
    <s v="007"/>
    <s v="PR01"/>
    <s v="820XMC402"/>
    <s v="vis six pans (acier) M08*20"/>
    <s v="UN"/>
    <n v="450"/>
    <n v="0.186"/>
    <n v="83.7"/>
    <x v="3"/>
  </r>
  <r>
    <s v="007"/>
    <s v="PR01"/>
    <s v="812RAC062"/>
    <s v="RACCORD DROIT 4*1/16"/>
    <s v="UN"/>
    <n v="31"/>
    <n v="2.7029999999999998"/>
    <n v="83.792999999999992"/>
    <x v="3"/>
  </r>
  <r>
    <s v="007"/>
    <s v="PR02"/>
    <s v="812RAC080"/>
    <s v="Raccord 3P PVC PR D32"/>
    <s v="UN"/>
    <n v="9"/>
    <n v="9.34"/>
    <n v="84.06"/>
    <x v="3"/>
  </r>
  <r>
    <s v="007"/>
    <s v="PR02"/>
    <s v="815CAB254"/>
    <s v="câble anti chaleur 2,5mm"/>
    <s v="UN"/>
    <n v="28"/>
    <n v="3.0068999999999999"/>
    <n v="84.19319999999999"/>
    <x v="3"/>
  </r>
  <r>
    <s v="007"/>
    <s v="PR01"/>
    <s v="815CAP006"/>
    <s v="PHOTO ELECTRIC SWITHCH E3JM-DS70M4-G"/>
    <s v="UN"/>
    <n v="1"/>
    <n v="84.272999999999996"/>
    <n v="84.272999999999996"/>
    <x v="3"/>
  </r>
  <r>
    <s v="007"/>
    <s v="PR02"/>
    <s v="810COU068"/>
    <s v="Courroie trapez B69 17*1750  Turbine linklat"/>
    <s v="UN"/>
    <n v="3"/>
    <n v="28.116879999999998"/>
    <n v="84.350639999999999"/>
    <x v="3"/>
  </r>
  <r>
    <s v="007"/>
    <s v="PR02"/>
    <s v="810ROU028"/>
    <s v="Roulement 6207-2RS"/>
    <s v="UN"/>
    <n v="4"/>
    <n v="21.105126666666667"/>
    <n v="84.420506666666668"/>
    <x v="3"/>
  </r>
  <r>
    <s v="007"/>
    <s v="PR02"/>
    <s v="812RAC045"/>
    <s v="RACCORD 3 P GALVA 1+1/2&quot;"/>
    <s v="UN"/>
    <n v="3"/>
    <n v="28.141200000000001"/>
    <n v="84.423600000000008"/>
    <x v="3"/>
  </r>
  <r>
    <s v="007"/>
    <s v="PR02"/>
    <s v="815COS003"/>
    <s v="Cosse a sertir SC35-10"/>
    <s v="UN"/>
    <n v="123"/>
    <n v="0.68720000000000003"/>
    <n v="84.525599999999997"/>
    <x v="3"/>
  </r>
  <r>
    <s v="007"/>
    <s v="PR02"/>
    <s v="820DIS009"/>
    <s v="DISQUE INOX 230 COUPE"/>
    <s v="UN"/>
    <n v="25"/>
    <n v="3.3929999999999998"/>
    <n v="84.824999999999989"/>
    <x v="3"/>
  </r>
  <r>
    <s v="007"/>
    <s v="PR02"/>
    <s v="820XMC006"/>
    <s v="VIS TH (acier) M12*80"/>
    <s v="UN"/>
    <n v="140"/>
    <n v="0.60599999999999998"/>
    <n v="84.84"/>
    <x v="3"/>
  </r>
  <r>
    <s v="007"/>
    <s v="PR02"/>
    <s v="815POT002"/>
    <s v="POTENTIOMETRE 5K 4W RV24YN 20S B502 Strip"/>
    <s v="UN"/>
    <n v="2"/>
    <n v="42.56"/>
    <n v="85.12"/>
    <x v="3"/>
  </r>
  <r>
    <s v="007"/>
    <s v="PR02"/>
    <s v="810PIN057"/>
    <s v="PIGNON SIMPLE 12B1-20DENTS"/>
    <s v="UN"/>
    <n v="2"/>
    <n v="42.730200000000004"/>
    <n v="85.460400000000007"/>
    <x v="3"/>
  </r>
  <r>
    <s v="007"/>
    <s v="PR02"/>
    <s v="815REL010"/>
    <s v="Relais alternatif 24VAC 14 broches"/>
    <s v="UN"/>
    <n v="5"/>
    <n v="17.094903703703704"/>
    <n v="85.474518518518522"/>
    <x v="3"/>
  </r>
  <r>
    <s v="007"/>
    <s v="PR02"/>
    <s v="815RES020"/>
    <s v="Resistance D10/L280/230V/700W COS4"/>
    <s v="UN"/>
    <n v="1"/>
    <n v="85.5"/>
    <n v="85.5"/>
    <x v="3"/>
  </r>
  <r>
    <s v="007"/>
    <s v="PR01"/>
    <s v="820XMC316"/>
    <s v="Ressort COMP INOX 7/10*8*28 TCC"/>
    <s v="UN"/>
    <n v="15"/>
    <n v="5.7065000000000001"/>
    <n v="85.597499999999997"/>
    <x v="3"/>
  </r>
  <r>
    <s v="007"/>
    <s v="PR02"/>
    <s v="810ROU018"/>
    <s v="Roulement 6005/ 2Z"/>
    <s v="UN"/>
    <n v="8"/>
    <n v="10.71671911764706"/>
    <n v="85.733752941176476"/>
    <x v="3"/>
  </r>
  <r>
    <s v="007"/>
    <s v="PR01"/>
    <s v="810PAL018"/>
    <s v="Palier Complet UCFC207 Rouleau ENV SOVEMA"/>
    <s v="UN"/>
    <n v="2"/>
    <n v="42.953400000000002"/>
    <n v="85.906800000000004"/>
    <x v="3"/>
  </r>
  <r>
    <s v="007"/>
    <s v="PR02"/>
    <s v="820XMC860"/>
    <s v="Circlips Exterieur D80"/>
    <s v="UN"/>
    <n v="40"/>
    <n v="2.15"/>
    <n v="86"/>
    <x v="3"/>
  </r>
  <r>
    <s v="007"/>
    <s v="PR01"/>
    <s v="812VAN738"/>
    <s v="Vanne PVC PR 40"/>
    <s v="UN"/>
    <n v="3"/>
    <n v="28.732500000000005"/>
    <n v="86.197500000000019"/>
    <x v="3"/>
  </r>
  <r>
    <s v="007"/>
    <s v="PR01"/>
    <s v="812COD069"/>
    <s v="coude  PVC   D160 90°"/>
    <s v="UN"/>
    <n v="7"/>
    <n v="12.332700000000001"/>
    <n v="86.328900000000004"/>
    <x v="3"/>
  </r>
  <r>
    <s v="007"/>
    <s v="PR01"/>
    <s v="815xpe135"/>
    <s v="Araignée"/>
    <s v="UN"/>
    <n v="18"/>
    <n v="4.8"/>
    <n v="86.399999999999991"/>
    <x v="3"/>
  </r>
  <r>
    <s v="007"/>
    <s v="PR01"/>
    <s v="810ROU020"/>
    <s v="Roulement 6006 2RS"/>
    <s v="UN"/>
    <n v="6"/>
    <n v="14.4"/>
    <n v="86.4"/>
    <x v="3"/>
  </r>
  <r>
    <s v="007"/>
    <s v="PR01"/>
    <s v="810ROU204"/>
    <s v="Roulement 6303-2RS"/>
    <s v="UN"/>
    <n v="8"/>
    <n v="10.829699999999999"/>
    <n v="86.637599999999992"/>
    <x v="3"/>
  </r>
  <r>
    <s v="007"/>
    <s v="PR01"/>
    <s v="820XMC738"/>
    <s v="VIS TF (INOX) M08*50"/>
    <s v="UN"/>
    <n v="120"/>
    <n v="0.72352000000000005"/>
    <n v="86.822400000000002"/>
    <x v="3"/>
  </r>
  <r>
    <s v="007"/>
    <s v="PR01"/>
    <s v="830MCH008"/>
    <s v="Mèche acier 14"/>
    <s v="UN"/>
    <n v="10"/>
    <n v="8.6880000000000006"/>
    <n v="86.88000000000001"/>
    <x v="3"/>
  </r>
  <r>
    <s v="007"/>
    <s v="PR02"/>
    <s v="815XPE274"/>
    <s v="Ventilateur GALVA DEXT150mm/axe6mm P.SOUD"/>
    <s v="UN"/>
    <n v="1"/>
    <n v="86.95"/>
    <n v="86.95"/>
    <x v="3"/>
  </r>
  <r>
    <s v="007"/>
    <s v="PR01"/>
    <s v="810PIN025"/>
    <s v="Pignon 08B1B12"/>
    <s v="UN"/>
    <n v="8"/>
    <n v="10.89"/>
    <n v="87.12"/>
    <x v="3"/>
  </r>
  <r>
    <s v="007"/>
    <s v="PR01"/>
    <s v="820XMC806"/>
    <s v="vis six pans (acier) M06*60"/>
    <s v="UN"/>
    <n v="250"/>
    <n v="0.34900939226519334"/>
    <n v="87.252348066298339"/>
    <x v="3"/>
  </r>
  <r>
    <s v="007"/>
    <s v="PR02"/>
    <s v="820XMC604"/>
    <s v="VIS Fixation Godets Elevateur a godets"/>
    <s v="UN"/>
    <n v="48"/>
    <n v="1.8180000000000001"/>
    <n v="87.26400000000001"/>
    <x v="3"/>
  </r>
  <r>
    <s v="007"/>
    <s v="PR01"/>
    <s v="815XPE313"/>
    <s v="CHAPE FEMELLE SG-M6 FESTO"/>
    <s v="UN"/>
    <n v="8"/>
    <n v="10.9215"/>
    <n v="87.372"/>
    <x v="3"/>
  </r>
  <r>
    <s v="007"/>
    <s v="PR01"/>
    <s v="812RAC600"/>
    <s v="Raccord droit 12*3/8"/>
    <s v="UN"/>
    <n v="16"/>
    <n v="5.4660000000000002"/>
    <n v="87.456000000000003"/>
    <x v="3"/>
  </r>
  <r>
    <s v="007"/>
    <s v="PR02"/>
    <s v="830xou113"/>
    <s v="Pistolet Karcher"/>
    <s v="UN"/>
    <n v="1"/>
    <n v="87.5"/>
    <n v="87.5"/>
    <x v="3"/>
  </r>
  <r>
    <s v="007"/>
    <s v="PR01"/>
    <s v="812RAC022"/>
    <s v="RACCORD COUDE 6*1/4"/>
    <s v="UN"/>
    <n v="33"/>
    <n v="2.6549999999999998"/>
    <n v="87.614999999999995"/>
    <x v="3"/>
  </r>
  <r>
    <s v="007"/>
    <s v="PR01"/>
    <s v="815REL333"/>
    <s v="Rélais thermique 4-6A"/>
    <s v="UN"/>
    <n v="1"/>
    <n v="87.75"/>
    <n v="87.75"/>
    <x v="3"/>
  </r>
  <r>
    <s v="007"/>
    <s v="PR01"/>
    <s v="810PIN209"/>
    <s v="Pignon 08B1B16"/>
    <s v="UN"/>
    <n v="6"/>
    <n v="14.706"/>
    <n v="88.23599999999999"/>
    <x v="3"/>
  </r>
  <r>
    <s v="007"/>
    <s v="PR01"/>
    <s v="812CLA006"/>
    <s v="CLAPET PVC PRESSION D32"/>
    <s v="UN"/>
    <n v="1"/>
    <n v="88.346874999999983"/>
    <n v="88.346874999999983"/>
    <x v="3"/>
  </r>
  <r>
    <s v="007"/>
    <s v="PR01"/>
    <s v="810XPM032"/>
    <s v="Attache Rapide pour chaine 16B-1"/>
    <s v="UN"/>
    <n v="26"/>
    <n v="3.3993000000000002"/>
    <n v="88.381799999999998"/>
    <x v="3"/>
  </r>
  <r>
    <s v="007"/>
    <s v="PR01"/>
    <s v="812RAC120"/>
    <s v="Raccord Bargataire  D63 FEMELLE"/>
    <s v="UN"/>
    <n v="6"/>
    <n v="14.757300000000001"/>
    <n v="88.543800000000005"/>
    <x v="3"/>
  </r>
  <r>
    <s v="007"/>
    <s v="PR01"/>
    <s v="812RAC024"/>
    <s v="RACCORD RAPIDE COUDE 4*1/4"/>
    <s v="UN"/>
    <n v="52"/>
    <n v="1.7100000000000002"/>
    <n v="88.920000000000016"/>
    <x v="3"/>
  </r>
  <r>
    <s v="007"/>
    <s v="PR02"/>
    <s v="810ROU188"/>
    <s v="Roulement 3206-A Moteur Station RIA"/>
    <s v="UN"/>
    <n v="1"/>
    <n v="89.5428"/>
    <n v="89.5428"/>
    <x v="3"/>
  </r>
  <r>
    <s v="007"/>
    <s v="PR01"/>
    <s v="820GOU005"/>
    <s v="GOUJON D13*40"/>
    <s v="UN"/>
    <n v="4"/>
    <n v="22.452000000000002"/>
    <n v="89.808000000000007"/>
    <x v="3"/>
  </r>
  <r>
    <s v="007"/>
    <s v="PR02"/>
    <s v="815XPE345"/>
    <s v="FICHE MALE 3P+T 32A 380-415V"/>
    <s v="UN"/>
    <n v="8"/>
    <n v="11.237"/>
    <n v="89.896000000000001"/>
    <x v="3"/>
  </r>
  <r>
    <s v="007"/>
    <s v="PR02"/>
    <s v="815RES047"/>
    <s v="Resist Tube COUD D08/L650/1500W WIRTZ"/>
    <s v="UN"/>
    <n v="1"/>
    <n v="89.900099999999995"/>
    <n v="89.900099999999995"/>
    <x v="3"/>
  </r>
  <r>
    <s v="007"/>
    <s v="PR01"/>
    <s v="810ROU196"/>
    <s v="Roulement 6303-2Z"/>
    <s v="UN"/>
    <n v="8"/>
    <n v="11.25"/>
    <n v="90"/>
    <x v="3"/>
  </r>
  <r>
    <s v="007"/>
    <s v="PR01"/>
    <s v="815CON051"/>
    <s v="Contact Auxiliaire pour disjoncteur moteur NO/NC"/>
    <s v="UN"/>
    <n v="4"/>
    <n v="22.55"/>
    <n v="90.2"/>
    <x v="3"/>
  </r>
  <r>
    <s v="007"/>
    <s v="PR01"/>
    <s v="820XMC568"/>
    <s v="vis sixpans fraisée M05*30 (Inox)"/>
    <s v="UN"/>
    <n v="321"/>
    <n v="0.28100000000000003"/>
    <n v="90.201000000000008"/>
    <x v="3"/>
  </r>
  <r>
    <s v="007"/>
    <s v="PR01"/>
    <s v="812CLA009"/>
    <s v="CLAPET ANTI-RETOUR 20/27"/>
    <s v="UN"/>
    <n v="6"/>
    <n v="15.0642"/>
    <n v="90.385199999999998"/>
    <x v="3"/>
  </r>
  <r>
    <s v="007"/>
    <s v="PR02"/>
    <s v="815CON274"/>
    <s v="Contacteur LC1D025 220VAC"/>
    <s v="UN"/>
    <n v="1"/>
    <n v="90.4"/>
    <n v="90.4"/>
    <x v="3"/>
  </r>
  <r>
    <s v="007"/>
    <s v="PR01"/>
    <s v="812VAN017"/>
    <s v="VANNE 1&quot; 1/4 GALVA"/>
    <s v="UN"/>
    <n v="3"/>
    <n v="30.245999999999999"/>
    <n v="90.738"/>
    <x v="3"/>
  </r>
  <r>
    <s v="007"/>
    <s v="PR01"/>
    <s v="701MEC062"/>
    <s v="Navette M ENV ELBAK"/>
    <s v="UN"/>
    <n v="1"/>
    <n v="90.9"/>
    <n v="90.9"/>
    <x v="3"/>
  </r>
  <r>
    <s v="007"/>
    <s v="PR01"/>
    <s v="820XMC275"/>
    <s v="Ressort roue plaque 6*40*1 Dtroue3mm"/>
    <s v="UN"/>
    <n v="25"/>
    <n v="3.6360000000000001"/>
    <n v="90.9"/>
    <x v="3"/>
  </r>
  <r>
    <s v="007"/>
    <s v="PR01"/>
    <s v="812COL083"/>
    <s v="COLLIER SEBEC D160 SIMPLE"/>
    <s v="UN"/>
    <n v="25"/>
    <n v="3.6414"/>
    <n v="91.034999999999997"/>
    <x v="3"/>
  </r>
  <r>
    <s v="007"/>
    <s v="PR01"/>
    <s v="820XMC802"/>
    <s v="VIS TF (acier) M12*60"/>
    <s v="UN"/>
    <n v="95"/>
    <n v="0.96084849999999999"/>
    <n v="91.280607500000002"/>
    <x v="3"/>
  </r>
  <r>
    <s v="007"/>
    <s v="PR01"/>
    <s v="810PIN008"/>
    <s v="pignon 16Bx011"/>
    <s v="UN"/>
    <n v="2"/>
    <n v="45.642600000000002"/>
    <n v="91.285200000000003"/>
    <x v="3"/>
  </r>
  <r>
    <s v="007"/>
    <s v="PR01"/>
    <s v="810PAR093"/>
    <s v="PARE HUILE 63*90*10"/>
    <s v="UN"/>
    <n v="9"/>
    <n v="10.143000000000001"/>
    <n v="91.287000000000006"/>
    <x v="3"/>
  </r>
  <r>
    <s v="007"/>
    <s v="PR01"/>
    <s v="810CHA103"/>
    <s v="chaines 08B-1"/>
    <s v="M"/>
    <n v="6"/>
    <n v="15.222000000000001"/>
    <n v="91.332000000000008"/>
    <x v="3"/>
  </r>
  <r>
    <s v="007"/>
    <s v="PR02"/>
    <s v="812FLE609"/>
    <s v="Flexible04"/>
    <s v="UN"/>
    <n v="80"/>
    <n v="1.1475"/>
    <n v="91.8"/>
    <x v="3"/>
  </r>
  <r>
    <s v="007"/>
    <s v="PR02"/>
    <s v="820XMC509"/>
    <s v="Rondelle plate (acier) M16"/>
    <s v="UN"/>
    <n v="352"/>
    <n v="0.26100000000000001"/>
    <n v="91.872"/>
    <x v="3"/>
  </r>
  <r>
    <s v="007"/>
    <s v="PR01"/>
    <s v="812TUB027"/>
    <s v="Tube Gorge D25"/>
    <s v="M"/>
    <n v="100"/>
    <n v="0.91969999999999996"/>
    <n v="91.97"/>
    <x v="3"/>
  </r>
  <r>
    <s v="007"/>
    <s v="PR02"/>
    <s v="820XMC188"/>
    <s v="Barreau clavette 10 ACIER"/>
    <s v="UN"/>
    <n v="4"/>
    <n v="23.007999999999999"/>
    <n v="92.031999999999996"/>
    <x v="3"/>
  </r>
  <r>
    <s v="007"/>
    <s v="PR02"/>
    <s v="810PAR089"/>
    <s v="PARE HUILE 80*100*10 HAUT TEMP  MEL FOND"/>
    <s v="UN"/>
    <n v="6"/>
    <n v="15.36651"/>
    <n v="92.199060000000003"/>
    <x v="3"/>
  </r>
  <r>
    <s v="007"/>
    <s v="PR01"/>
    <s v="830XOU274"/>
    <s v="Coupelle en PU K59 90*100*4.25 VERIN COS"/>
    <s v="UN"/>
    <n v="4"/>
    <n v="23.079599999999999"/>
    <n v="92.318399999999997"/>
    <x v="3"/>
  </r>
  <r>
    <s v="007"/>
    <s v="PR01"/>
    <s v="810XPM025"/>
    <s v="Attache rapide 1/2 pour chaine 06B1"/>
    <s v="UN"/>
    <n v="45"/>
    <n v="2.0583"/>
    <n v="92.623500000000007"/>
    <x v="3"/>
  </r>
  <r>
    <s v="007"/>
    <s v="PR01"/>
    <s v="820XMC405"/>
    <s v="vis six pans (acier) M08*60"/>
    <s v="UN"/>
    <n v="210"/>
    <n v="0.442"/>
    <n v="92.820000000000007"/>
    <x v="3"/>
  </r>
  <r>
    <s v="007"/>
    <s v="PR01"/>
    <s v="810CHA010"/>
    <s v="chaine a pas long 2040 ENV TEKMAX"/>
    <s v="M"/>
    <n v="4.5"/>
    <n v="20.655000000000001"/>
    <n v="92.947500000000005"/>
    <x v="3"/>
  </r>
  <r>
    <s v="007"/>
    <s v="PR02"/>
    <s v="815XPE416"/>
    <s v="Platine Armoire 700*500"/>
    <s v="UN"/>
    <n v="1"/>
    <n v="93.05"/>
    <n v="93.05"/>
    <x v="3"/>
  </r>
  <r>
    <s v="007"/>
    <s v="PR01"/>
    <s v="810COU071"/>
    <s v="Courroie trapez C87 2268LD 2210LI 22 T.FILTR"/>
    <s v="UN"/>
    <n v="2"/>
    <n v="46.54936"/>
    <n v="93.09872"/>
    <x v="3"/>
  </r>
  <r>
    <s v="007"/>
    <s v="PR01"/>
    <s v="810COU255"/>
    <s v="COURROIE 381mm VECA100  D2897C112"/>
    <s v="UN"/>
    <n v="9"/>
    <n v="10.35"/>
    <n v="93.149999999999991"/>
    <x v="3"/>
  </r>
  <r>
    <s v="007"/>
    <s v="PR01"/>
    <s v="815XPE340"/>
    <s v="serre câble plastique 7,2x400mm"/>
    <s v="UN"/>
    <n v="4"/>
    <n v="23.315999999999999"/>
    <n v="93.263999999999996"/>
    <x v="3"/>
  </r>
  <r>
    <s v="007"/>
    <s v="PR02"/>
    <s v="810COU021"/>
    <s v="MOYEU AMOVIBLE 3535 ALESAGE 75"/>
    <s v="UN"/>
    <n v="1"/>
    <n v="93.42"/>
    <n v="93.42"/>
    <x v="3"/>
  </r>
  <r>
    <s v="007"/>
    <s v="PR02"/>
    <s v="810PAR109"/>
    <s v="PARAHUILE 110*70*12 REUCTEUR FOUR ROTATIF"/>
    <s v="UN"/>
    <n v="6"/>
    <n v="15.587999999999999"/>
    <n v="93.527999999999992"/>
    <x v="3"/>
  </r>
  <r>
    <s v="007"/>
    <s v="PR01"/>
    <s v="815CAP037"/>
    <s v="support capteur verin 1500U Pnuemax D80"/>
    <s v="UN"/>
    <n v="9"/>
    <n v="10.3955"/>
    <n v="93.5595"/>
    <x v="3"/>
  </r>
  <r>
    <s v="007"/>
    <s v="PR02"/>
    <s v="810PIN082"/>
    <s v="Pignon double 08B2 20DENTS  Empattage"/>
    <s v="UN"/>
    <n v="4"/>
    <n v="23.4"/>
    <n v="93.6"/>
    <x v="3"/>
  </r>
  <r>
    <s v="007"/>
    <s v="PR01"/>
    <s v="810PAR091"/>
    <s v="PARE HUILE 75*100*10"/>
    <s v="UN"/>
    <n v="7"/>
    <n v="13.374000000000001"/>
    <n v="93.618000000000009"/>
    <x v="3"/>
  </r>
  <r>
    <s v="007"/>
    <s v="PR02"/>
    <s v="820XMC379"/>
    <s v="VIS TH (acier) M12*50"/>
    <s v="UN"/>
    <n v="160"/>
    <n v="0.59"/>
    <n v="94.399999999999991"/>
    <x v="3"/>
  </r>
  <r>
    <s v="007"/>
    <s v="PR01"/>
    <s v="820XMC546"/>
    <s v="tirefond M10*80"/>
    <s v="UN"/>
    <n v="240"/>
    <n v="0.39360000000000001"/>
    <n v="94.463999999999999"/>
    <x v="3"/>
  </r>
  <r>
    <s v="007"/>
    <s v="PR02"/>
    <s v="810COU133"/>
    <s v="Courroie Trapezoidale 3070*12    tunel de sechage"/>
    <s v="UN"/>
    <n v="3"/>
    <n v="31.5"/>
    <n v="94.5"/>
    <x v="3"/>
  </r>
  <r>
    <s v="007"/>
    <s v="PR01"/>
    <s v="820XMC060"/>
    <s v="Tige fileté (INOX) M08"/>
    <s v="UN"/>
    <n v="8"/>
    <n v="11.813000000000001"/>
    <n v="94.504000000000005"/>
    <x v="3"/>
  </r>
  <r>
    <s v="007"/>
    <s v="PR02"/>
    <s v="810ROU230"/>
    <s v="Roulement conique 32207  Roue CLARK"/>
    <s v="UN"/>
    <n v="2"/>
    <n v="47.34"/>
    <n v="94.68"/>
    <x v="3"/>
  </r>
  <r>
    <s v="007"/>
    <s v="PR01"/>
    <s v="810ROU227"/>
    <s v="Roulement 2303E-2RS TN9 ENV ELBAK"/>
    <s v="UN"/>
    <n v="1"/>
    <n v="94.6845"/>
    <n v="94.6845"/>
    <x v="3"/>
  </r>
  <r>
    <s v="007"/>
    <s v="PR01"/>
    <s v="830BAR003"/>
    <s v="Barreau Clavette 8"/>
    <s v="UN"/>
    <n v="6"/>
    <n v="15.81"/>
    <n v="94.86"/>
    <x v="3"/>
  </r>
  <r>
    <s v="007"/>
    <s v="PR01"/>
    <s v="820XMC038"/>
    <s v="vis six pans (acier) M08*30"/>
    <s v="UN"/>
    <n v="452"/>
    <n v="0.21"/>
    <n v="94.92"/>
    <x v="3"/>
  </r>
  <r>
    <s v="007"/>
    <s v="PR02"/>
    <s v="815GAI320"/>
    <s v="gaine anti chaleur 16mm"/>
    <s v="UN"/>
    <n v="10"/>
    <n v="9.512100000000002"/>
    <n v="95.121000000000024"/>
    <x v="3"/>
  </r>
  <r>
    <s v="007"/>
    <s v="PR01"/>
    <s v="820POM023"/>
    <s v="Joint CORPS DE POMPE DEBEM MB110  CH.ACIDE"/>
    <s v="UN"/>
    <n v="2"/>
    <n v="47.65"/>
    <n v="95.3"/>
    <x v="3"/>
  </r>
  <r>
    <s v="007"/>
    <s v="PR01"/>
    <s v="812XPB114"/>
    <s v="Armaflex 13-28 Pour Tube D20/27"/>
    <s v="M"/>
    <n v="40"/>
    <n v="2.3929999999999998"/>
    <n v="95.72"/>
    <x v="3"/>
  </r>
  <r>
    <s v="007"/>
    <s v="PR01"/>
    <s v="815CAB253"/>
    <s v="câble anti chaleur 1,5mm"/>
    <s v="UN"/>
    <n v="60"/>
    <n v="1.6037999999999999"/>
    <n v="96.227999999999994"/>
    <x v="3"/>
  </r>
  <r>
    <s v="007"/>
    <s v="PR01"/>
    <s v="820XMC562"/>
    <s v="vis sixpans fraisée M08*40 (acier)"/>
    <s v="UN"/>
    <n v="260"/>
    <n v="0.37153573650785487"/>
    <n v="96.599291492042269"/>
    <x v="3"/>
  </r>
  <r>
    <s v="007"/>
    <s v="PR01"/>
    <s v="812RAC222 "/>
    <s v="RACCORD RAPIDE COUDE G1/4- 10 "/>
    <s v="UN"/>
    <n v="15"/>
    <n v="6.4550000000000001"/>
    <n v="96.825000000000003"/>
    <x v="3"/>
  </r>
  <r>
    <s v="007"/>
    <s v="PR02"/>
    <s v="810XPM091"/>
    <s v="Joint etancheite TRESSE caree 12mm"/>
    <s v="M"/>
    <n v="2"/>
    <n v="48.454000000000001"/>
    <n v="96.908000000000001"/>
    <x v="3"/>
  </r>
  <r>
    <s v="007"/>
    <s v="PR02"/>
    <s v="810XPM092"/>
    <s v="Joint etancheite TRESSE caree 14mm"/>
    <s v="M"/>
    <n v="2"/>
    <n v="48.454000000000001"/>
    <n v="96.908000000000001"/>
    <x v="3"/>
  </r>
  <r>
    <s v="007"/>
    <s v="PR01"/>
    <s v="810rox013"/>
    <s v="Toc accouplement ACPG03-28/38 ENV ELBAK"/>
    <s v="UN"/>
    <n v="8"/>
    <n v="12.132"/>
    <n v="97.055999999999997"/>
    <x v="3"/>
  </r>
  <r>
    <s v="007"/>
    <s v="PR01"/>
    <s v="810ROU097"/>
    <s v="Roulement 6003 2RS"/>
    <s v="UN"/>
    <n v="12"/>
    <n v="8.0970707070707064"/>
    <n v="97.164848484848477"/>
    <x v="3"/>
  </r>
  <r>
    <s v="007"/>
    <s v="PR02"/>
    <s v="812XMC121"/>
    <s v="VIS TH (acier) M20X100  8.8"/>
    <s v="UN"/>
    <n v="32"/>
    <n v="3.0419999999999998"/>
    <n v="97.343999999999994"/>
    <x v="3"/>
  </r>
  <r>
    <s v="007"/>
    <s v="PR02"/>
    <s v="830XOU241"/>
    <s v="Manometre Detendeur Propane"/>
    <s v="UN"/>
    <n v="1"/>
    <n v="97.703000000000003"/>
    <n v="97.703000000000003"/>
    <x v="3"/>
  </r>
  <r>
    <s v="007"/>
    <s v="PR02"/>
    <s v="810ROU225"/>
    <s v="Roulement 6300-2RS Guidage moule LB/M PUNSH"/>
    <s v="UN"/>
    <n v="9"/>
    <n v="10.9062"/>
    <n v="98.155799999999999"/>
    <x v="3"/>
  </r>
  <r>
    <s v="007"/>
    <s v="PR02"/>
    <s v="810ROU195"/>
    <s v="Roulement 6207-2Z"/>
    <s v="UN"/>
    <n v="5"/>
    <n v="19.642499999999998"/>
    <n v="98.212499999999991"/>
    <x v="3"/>
  </r>
  <r>
    <s v="007"/>
    <s v="PR01"/>
    <s v="815REL040"/>
    <s v="RELAIS RU2S-D24 24VDC 8BROCHES"/>
    <s v="UN"/>
    <n v="9"/>
    <n v="10.932"/>
    <n v="98.388000000000005"/>
    <x v="3"/>
  </r>
  <r>
    <s v="007"/>
    <s v="PR02"/>
    <s v="815DIS286"/>
    <s v="Disjoncteur 32A 4 PORT"/>
    <s v="UN"/>
    <n v="2"/>
    <n v="49.363750000000003"/>
    <n v="98.727500000000006"/>
    <x v="3"/>
  </r>
  <r>
    <s v="007"/>
    <s v="PR01"/>
    <s v="815XPE291"/>
    <s v="Fiche Femelle 3P+T 16A 380V"/>
    <s v="UN"/>
    <n v="10"/>
    <n v="9.8819999999999997"/>
    <n v="98.82"/>
    <x v="3"/>
  </r>
  <r>
    <s v="007"/>
    <s v="PR01"/>
    <s v="812TTE049"/>
    <s v="TE Laiton  1&quot;1/2"/>
    <s v="UN"/>
    <n v="4"/>
    <n v="24.788016666666664"/>
    <n v="99.152066666666656"/>
    <x v="3"/>
  </r>
  <r>
    <s v="007"/>
    <s v="PR02"/>
    <s v="812RAC018"/>
    <s v="RACCORD TE FILTE 06*1/4"/>
    <s v="UN"/>
    <n v="12"/>
    <n v="8.264325358851675"/>
    <n v="99.1719043062201"/>
    <x v="3"/>
  </r>
  <r>
    <s v="007"/>
    <s v="PR01"/>
    <s v="812RAC058"/>
    <s v="RACCORD COUDEE 6*1/16"/>
    <s v="UN"/>
    <n v="38"/>
    <n v="2.61"/>
    <n v="99.179999999999993"/>
    <x v="3"/>
  </r>
  <r>
    <s v="007"/>
    <s v="PR02"/>
    <s v="830XOU287"/>
    <s v="Roulette pour cable acier  8mm"/>
    <s v="UN"/>
    <n v="10"/>
    <n v="9.9371666666666663"/>
    <n v="99.37166666666667"/>
    <x v="3"/>
  </r>
  <r>
    <s v="007"/>
    <s v="PR01"/>
    <s v="810PAL079"/>
    <s v="Palier  FK 205"/>
    <s v="UN"/>
    <n v="3"/>
    <n v="33.125"/>
    <n v="99.375"/>
    <x v="3"/>
  </r>
  <r>
    <s v="007"/>
    <s v="PR01"/>
    <s v="812TTE618"/>
    <s v="Te10 pneumatique"/>
    <s v="UN"/>
    <n v="19"/>
    <n v="5.2429499999999996"/>
    <n v="99.616049999999987"/>
    <x v="3"/>
  </r>
  <r>
    <s v="007"/>
    <s v="PR02"/>
    <s v="812RAC185"/>
    <s v="Raccord rapide droit 10*3/8"/>
    <s v="UN"/>
    <n v="18"/>
    <n v="5.5419999999999998"/>
    <n v="99.756"/>
    <x v="3"/>
  </r>
  <r>
    <s v="007"/>
    <s v="PR02"/>
    <s v="830XOU288"/>
    <s v="Roulette pour piste acier 6mm"/>
    <s v="UN"/>
    <n v="5"/>
    <n v="19.975000000000001"/>
    <n v="99.875"/>
    <x v="3"/>
  </r>
  <r>
    <s v="007"/>
    <s v="PR01"/>
    <s v="701MEC101"/>
    <s v="Joint ventouse 3 etages"/>
    <s v="UN"/>
    <n v="2"/>
    <n v="50"/>
    <n v="100"/>
    <x v="3"/>
  </r>
  <r>
    <s v="007"/>
    <s v="PR01"/>
    <s v="812VER105"/>
    <s v="Joint torique 2.62*50.47 Verin Soud Connexion"/>
    <s v="UN"/>
    <n v="4"/>
    <n v="25.009"/>
    <n v="100.036"/>
    <x v="3"/>
  </r>
  <r>
    <s v="007"/>
    <s v="PR02"/>
    <s v="812COD026"/>
    <s v="Coude PVC PR D110  90° (4&quot;)"/>
    <s v="UN"/>
    <n v="6"/>
    <n v="16.734000000000002"/>
    <n v="100.40400000000001"/>
    <x v="3"/>
  </r>
  <r>
    <s v="007"/>
    <s v="PR01"/>
    <s v="810XPM069"/>
    <s v="Attache rapide 08B1 CHAINE OCM40 ANGLAIS"/>
    <s v="UN"/>
    <n v="9"/>
    <n v="11.16"/>
    <n v="100.44"/>
    <x v="3"/>
  </r>
  <r>
    <s v="007"/>
    <s v="PR02"/>
    <s v="812rac021"/>
    <s v="RACCORD DROIT 6*3/8"/>
    <s v="UN"/>
    <n v="25"/>
    <n v="4.0205000000000002"/>
    <n v="100.5125"/>
    <x v="3"/>
  </r>
  <r>
    <s v="007"/>
    <s v="PR01"/>
    <s v="812TTE617"/>
    <s v="Te08 pneumatique"/>
    <s v="UN"/>
    <n v="42"/>
    <n v="2.3933750000000003"/>
    <n v="100.52175000000001"/>
    <x v="3"/>
  </r>
  <r>
    <s v="007"/>
    <s v="PR02"/>
    <s v="810ROU126"/>
    <s v="Roulement 6211-2RS1"/>
    <s v="UN"/>
    <n v="3"/>
    <n v="33.57"/>
    <n v="100.71000000000001"/>
    <x v="3"/>
  </r>
  <r>
    <s v="007"/>
    <s v="PR02"/>
    <s v="810ROU129"/>
    <s v="Roulement 6213-2Z"/>
    <s v="UN"/>
    <n v="3"/>
    <n v="33.57"/>
    <n v="100.71000000000001"/>
    <x v="3"/>
  </r>
  <r>
    <s v="007"/>
    <s v="PR01"/>
    <s v="701ELE082"/>
    <s v="Thermocouple PT100 3*165 3FILS  Fluxe COS"/>
    <s v="UN"/>
    <n v="1"/>
    <n v="100.8"/>
    <n v="100.8"/>
    <x v="3"/>
  </r>
  <r>
    <s v="007"/>
    <s v="PR01"/>
    <s v="815CAP036"/>
    <s v="support capteur verin 1500U Pnuemax D50"/>
    <s v="UN"/>
    <n v="10"/>
    <n v="10.089499999999999"/>
    <n v="100.895"/>
    <x v="3"/>
  </r>
  <r>
    <s v="007"/>
    <s v="PR01"/>
    <s v="815xpe139"/>
    <s v="Cable connecteur capteur M12 4fils"/>
    <s v="M"/>
    <n v="5"/>
    <n v="20.257575757575758"/>
    <n v="101.28787878787878"/>
    <x v="3"/>
  </r>
  <r>
    <s v="007"/>
    <s v="PR01"/>
    <s v="812COL074"/>
    <s v="COLLIER DE SERRAGE INOX A BOULON 65-83"/>
    <s v="UN"/>
    <n v="10"/>
    <n v="10.1304"/>
    <n v="101.304"/>
    <x v="3"/>
  </r>
  <r>
    <s v="007"/>
    <s v="PR01"/>
    <s v="810PAR084"/>
    <s v="PARE HUILE 120*150*12"/>
    <s v="UN"/>
    <n v="10"/>
    <n v="10.143000000000001"/>
    <n v="101.43"/>
    <x v="3"/>
  </r>
  <r>
    <s v="007"/>
    <s v="PR01"/>
    <s v="810PAR100"/>
    <s v="PARE HUILE 45*62*10"/>
    <s v="UN"/>
    <n v="10"/>
    <n v="10.143000000000001"/>
    <n v="101.43"/>
    <x v="3"/>
  </r>
  <r>
    <s v="007"/>
    <s v="PR02"/>
    <s v="815FUS019"/>
    <s v="Fusible 25A 400V 10*38"/>
    <s v="UN"/>
    <n v="59"/>
    <n v="1.72"/>
    <n v="101.48"/>
    <x v="3"/>
  </r>
  <r>
    <s v="007"/>
    <s v="PR01"/>
    <s v="815FUS037"/>
    <s v="FUSIBLE BRITANNIQUE LET63A     Chargeur char"/>
    <s v="UN"/>
    <n v="2"/>
    <n v="50.750999999999998"/>
    <n v="101.502"/>
    <x v="3"/>
  </r>
  <r>
    <s v="007"/>
    <s v="PR01"/>
    <s v="815XPE107"/>
    <s v="Arret d'urgence"/>
    <s v="UN"/>
    <n v="3"/>
    <n v="33.919199999999996"/>
    <n v="101.7576"/>
    <x v="3"/>
  </r>
  <r>
    <s v="007"/>
    <s v="PR01"/>
    <s v="812TTE618  "/>
    <s v="RACCORD RAPIDE EN TE D10"/>
    <s v="UN"/>
    <n v="19"/>
    <n v="5.37"/>
    <n v="102.03"/>
    <x v="3"/>
  </r>
  <r>
    <s v="007"/>
    <s v="PR01"/>
    <s v="815REL026"/>
    <s v="Relais 24VAC 8Broches"/>
    <s v="UN"/>
    <n v="10"/>
    <n v="10.228899999999999"/>
    <n v="102.28899999999999"/>
    <x v="3"/>
  </r>
  <r>
    <s v="007"/>
    <s v="PR02"/>
    <s v="820XMC904"/>
    <s v="VIS TH (INOX) M12*50"/>
    <s v="UN"/>
    <n v="52"/>
    <n v="1.972"/>
    <n v="102.544"/>
    <x v="3"/>
  </r>
  <r>
    <s v="007"/>
    <s v="PR02"/>
    <s v="812RAC077"/>
    <s v="Raccord PPR Male D40 26-34"/>
    <s v="UN"/>
    <n v="6"/>
    <n v="17.102"/>
    <n v="102.61199999999999"/>
    <x v="3"/>
  </r>
  <r>
    <s v="007"/>
    <s v="PR02"/>
    <s v="840pna028"/>
    <s v="PINCE MASSE DE SOUDURE"/>
    <s v="UN"/>
    <n v="2"/>
    <n v="51.368400000000001"/>
    <n v="102.7368"/>
    <x v="3"/>
  </r>
  <r>
    <s v="007"/>
    <s v="PR02"/>
    <s v="815ELE004"/>
    <s v="ELECTROVANNE AC 110V PU220A-04"/>
    <s v="UN"/>
    <n v="1"/>
    <n v="102.87"/>
    <n v="102.87"/>
    <x v="3"/>
  </r>
  <r>
    <s v="007"/>
    <s v="PR02"/>
    <s v="815BOB243"/>
    <s v="Bobine pour électrovanne 24V DC"/>
    <s v="UN"/>
    <n v="3"/>
    <n v="34.297499999999999"/>
    <n v="102.8925"/>
    <x v="3"/>
  </r>
  <r>
    <s v="007"/>
    <s v="PR01"/>
    <s v="815XPE334"/>
    <s v="Alimentation Canalis"/>
    <s v="UN"/>
    <n v="2"/>
    <n v="51.488999999999997"/>
    <n v="102.97799999999999"/>
    <x v="3"/>
  </r>
  <r>
    <s v="007"/>
    <s v="PR01"/>
    <s v="815COS003"/>
    <s v="Cosse a sertir SC35-10"/>
    <s v="UN"/>
    <n v="150"/>
    <n v="0.68720000000000003"/>
    <n v="103.08"/>
    <x v="3"/>
  </r>
  <r>
    <s v="007"/>
    <s v="PR01"/>
    <s v="820XMC412"/>
    <s v="vis six pans (acier) M10*100"/>
    <s v="UN"/>
    <n v="100"/>
    <n v="1.0309999999999999"/>
    <n v="103.1"/>
    <x v="3"/>
  </r>
  <r>
    <s v="007"/>
    <s v="PR02"/>
    <s v="820XMC745"/>
    <s v="Tige fileté (INOX) M14"/>
    <s v="UN"/>
    <n v="3"/>
    <n v="34.384999999999998"/>
    <n v="103.155"/>
    <x v="3"/>
  </r>
  <r>
    <s v="007"/>
    <s v="PR02"/>
    <s v="840PNA031"/>
    <s v="Pince porte soudure electrode"/>
    <s v="UN"/>
    <n v="2"/>
    <n v="51.619500000000002"/>
    <n v="103.239"/>
    <x v="3"/>
  </r>
  <r>
    <s v="007"/>
    <s v="PR02"/>
    <s v="812RAC043"/>
    <s v="Connecteur Bobine Electrovanne avec voyant"/>
    <s v="UN"/>
    <n v="9"/>
    <n v="11.475"/>
    <n v="103.27499999999999"/>
    <x v="3"/>
  </r>
  <r>
    <s v="007"/>
    <s v="PR01"/>
    <s v="820XMC561"/>
    <s v="vis sixpans fraisée M08*30 (acier)"/>
    <s v="UN"/>
    <n v="241"/>
    <n v="0.42921793885552634"/>
    <n v="103.44152326418185"/>
    <x v="3"/>
  </r>
  <r>
    <s v="007"/>
    <s v="PR02"/>
    <s v="812FLE061"/>
    <s v="Flexible F12/F12 L200mm D/C Moule M.grille"/>
    <s v="UN"/>
    <n v="5"/>
    <n v="20.7"/>
    <n v="103.5"/>
    <x v="3"/>
  </r>
  <r>
    <s v="007"/>
    <s v="PR02"/>
    <s v="812TTE615"/>
    <s v="Te04 pneumatique"/>
    <s v="UN"/>
    <n v="20"/>
    <n v="5.1802306451612896"/>
    <n v="103.60461290322579"/>
    <x v="3"/>
  </r>
  <r>
    <s v="007"/>
    <s v="PR02"/>
    <s v="812RAC041"/>
    <s v="RACCORD DROIT D08 G1/4&quot;"/>
    <s v="UN"/>
    <n v="36"/>
    <n v="2.88"/>
    <n v="103.67999999999999"/>
    <x v="3"/>
  </r>
  <r>
    <s v="007"/>
    <s v="PR02"/>
    <s v="815DIS291"/>
    <s v="Disjoncteur 32A 3 PORT"/>
    <s v="UN"/>
    <n v="3"/>
    <n v="34.598399999999998"/>
    <n v="103.79519999999999"/>
    <x v="3"/>
  </r>
  <r>
    <s v="007"/>
    <s v="PR02"/>
    <s v="810COU127"/>
    <s v="Courroie VECA100 2941 B114 MLX CHIN"/>
    <s v="UN"/>
    <n v="5"/>
    <n v="20.771999999999998"/>
    <n v="103.85999999999999"/>
    <x v="3"/>
  </r>
  <r>
    <s v="007"/>
    <s v="PR01"/>
    <s v="705MEC004"/>
    <s v="Lame TEKMAX 937 3PT HARD CB 20072108"/>
    <s v="UN"/>
    <n v="2"/>
    <n v="52"/>
    <n v="104"/>
    <x v="3"/>
  </r>
  <r>
    <s v="007"/>
    <s v="PR01"/>
    <s v="810ROU002"/>
    <s v="Roulement 6002 2RSH"/>
    <s v="UN"/>
    <n v="11"/>
    <n v="9.4616999999999987"/>
    <n v="104.07869999999998"/>
    <x v="3"/>
  </r>
  <r>
    <s v="007"/>
    <s v="PR01"/>
    <s v="830MCH007"/>
    <s v="Mèche acier 20"/>
    <s v="UN"/>
    <n v="8"/>
    <n v="13.026249999999999"/>
    <n v="104.21"/>
    <x v="3"/>
  </r>
  <r>
    <s v="007"/>
    <s v="PR01"/>
    <s v="812RAC057"/>
    <s v="RACCORD DROIT 6*1/4"/>
    <s v="UN"/>
    <n v="37"/>
    <n v="2.8220000000000001"/>
    <n v="104.414"/>
    <x v="3"/>
  </r>
  <r>
    <s v="007"/>
    <s v="PR02"/>
    <s v="812RAC066"/>
    <s v="RACCORD COUDE 8*1/8"/>
    <s v="UN"/>
    <n v="32"/>
    <n v="3.2639999999999998"/>
    <n v="104.44799999999999"/>
    <x v="3"/>
  </r>
  <r>
    <s v="007"/>
    <s v="PR02"/>
    <s v="810PIN073"/>
    <s v="Pignon 10B1  20dents Empattage chinois"/>
    <s v="UN"/>
    <n v="4"/>
    <n v="26.139600000000002"/>
    <n v="104.55840000000001"/>
    <x v="3"/>
  </r>
  <r>
    <s v="007"/>
    <s v="PR02"/>
    <s v="810ROU115"/>
    <s v="Roulement 32208 J2 Q"/>
    <s v="UN"/>
    <n v="2"/>
    <n v="52.306199999999997"/>
    <n v="104.61239999999999"/>
    <x v="3"/>
  </r>
  <r>
    <s v="007"/>
    <s v="PR01"/>
    <s v="710ELE002"/>
    <s v="Transformer 10/20 MA A3013067  S.Conexion"/>
    <s v="UN"/>
    <n v="1"/>
    <n v="104.61317"/>
    <n v="104.61317"/>
    <x v="3"/>
  </r>
  <r>
    <s v="007"/>
    <s v="PR02"/>
    <s v="812DIS008"/>
    <s v="DISTRIBUTEUR 4V 230 E08B 24VDC"/>
    <s v="UN"/>
    <n v="1"/>
    <n v="104.76"/>
    <n v="104.76"/>
    <x v="3"/>
  </r>
  <r>
    <s v="007"/>
    <s v="PR02"/>
    <s v="812DIS019"/>
    <s v="DISTRIBUTEUR 4V210-08 0,15M*08"/>
    <s v="UN"/>
    <n v="1"/>
    <n v="104.76"/>
    <n v="104.76"/>
    <x v="3"/>
  </r>
  <r>
    <s v="007"/>
    <s v="PR02"/>
    <s v="820XMC378"/>
    <s v="vis tête hexagonale M12*40 (acier)"/>
    <s v="UN"/>
    <n v="235"/>
    <n v="0.44600000000000001"/>
    <n v="104.81"/>
    <x v="3"/>
  </r>
  <r>
    <s v="007"/>
    <s v="PR01"/>
    <s v="815DIS028"/>
    <s v="Disjoncteur 20A 4P"/>
    <s v="UN"/>
    <n v="2"/>
    <n v="52.5"/>
    <n v="105"/>
    <x v="3"/>
  </r>
  <r>
    <s v="007"/>
    <s v="PR01"/>
    <s v="815COS290"/>
    <s v="Cosse a sertie SC10-06"/>
    <s v="UN"/>
    <n v="120"/>
    <n v="0.87570000000000003"/>
    <n v="105.084"/>
    <x v="3"/>
  </r>
  <r>
    <s v="007"/>
    <s v="PR01"/>
    <s v="815RES027"/>
    <s v="RESISTANCE D14 L80 220V 140W"/>
    <s v="UN"/>
    <n v="2"/>
    <n v="52.7624"/>
    <n v="105.5248"/>
    <x v="3"/>
  </r>
  <r>
    <s v="007"/>
    <s v="PR01"/>
    <s v="810ROU028"/>
    <s v="Roulement 6207-2RS"/>
    <s v="UN"/>
    <n v="5"/>
    <n v="21.105126666666667"/>
    <n v="105.52563333333333"/>
    <x v="3"/>
  </r>
  <r>
    <s v="007"/>
    <s v="PR01"/>
    <s v="812RAC082"/>
    <s v="Raccord Egale 12/12"/>
    <s v="UN"/>
    <n v="32"/>
    <n v="3.2980000000000005"/>
    <n v="105.53600000000002"/>
    <x v="3"/>
  </r>
  <r>
    <s v="007"/>
    <s v="PR01"/>
    <s v="820dis004"/>
    <s v="Disque a lamelle 115"/>
    <s v="UN"/>
    <n v="35"/>
    <n v="3.024"/>
    <n v="105.84"/>
    <x v="3"/>
  </r>
  <r>
    <s v="007"/>
    <s v="PR02"/>
    <m/>
    <s v="PARAHUILE VITON 48*70*10"/>
    <s v="UN"/>
    <n v="4"/>
    <n v="26.5"/>
    <n v="106"/>
    <x v="3"/>
  </r>
  <r>
    <s v="007"/>
    <s v="PR01"/>
    <s v="815CAB017"/>
    <s v="Fil Souple 2.5mm Bleu"/>
    <s v="M"/>
    <n v="110"/>
    <n v="0.96513000000000004"/>
    <n v="106.16430000000001"/>
    <x v="3"/>
  </r>
  <r>
    <s v="007"/>
    <s v="PR02"/>
    <s v="820XMC861"/>
    <s v="Circlips Exterieur D90"/>
    <s v="UN"/>
    <n v="36"/>
    <n v="2.95"/>
    <n v="106.2"/>
    <x v="3"/>
  </r>
  <r>
    <s v="007"/>
    <s v="PR01"/>
    <s v="810ROU034"/>
    <s v="Roulement 6305-2z"/>
    <s v="UN"/>
    <n v="7"/>
    <n v="15.205641046831957"/>
    <n v="106.4394873278237"/>
    <x v="3"/>
  </r>
  <r>
    <s v="007"/>
    <s v="PR02"/>
    <s v="810CHA103"/>
    <s v="chaines 08B-1"/>
    <s v="M"/>
    <n v="7"/>
    <n v="15.222000000000001"/>
    <n v="106.554"/>
    <x v="3"/>
  </r>
  <r>
    <s v="007"/>
    <s v="PR01"/>
    <s v="820XMC378"/>
    <s v="vis tête hexagonale M12*40 (acier)"/>
    <s v="UN"/>
    <n v="240"/>
    <n v="0.44600000000000001"/>
    <n v="107.04"/>
    <x v="3"/>
  </r>
  <r>
    <s v="007"/>
    <s v="PR02"/>
    <s v="820XMC040"/>
    <s v="VIS TH (acier) M10*40"/>
    <s v="UN"/>
    <n v="340"/>
    <n v="0.315"/>
    <n v="107.1"/>
    <x v="3"/>
  </r>
  <r>
    <s v="007"/>
    <s v="PR02"/>
    <s v="815REL038"/>
    <s v="RELAIS 24VDC 11 broches WEIDMULLER"/>
    <s v="UN"/>
    <n v="5"/>
    <n v="21.433599999999998"/>
    <n v="107.16799999999999"/>
    <x v="3"/>
  </r>
  <r>
    <s v="007"/>
    <s v="PR01"/>
    <s v="815XPE295"/>
    <s v="domino en céramique 2x2,5mm"/>
    <s v="UN"/>
    <n v="44"/>
    <n v="2.4390000000000001"/>
    <n v="107.316"/>
    <x v="3"/>
  </r>
  <r>
    <s v="007"/>
    <s v="PR02"/>
    <s v="810DOU004"/>
    <s v="Bride d'arbre SC 12 UU AS NBS Guid M.G.Hadi"/>
    <s v="UN"/>
    <n v="2"/>
    <n v="53.739899999999999"/>
    <n v="107.4798"/>
    <x v="3"/>
  </r>
  <r>
    <s v="007"/>
    <s v="PR02"/>
    <s v="840PNT007"/>
    <s v="Pistolet peinture"/>
    <s v="UN"/>
    <n v="1"/>
    <n v="107.6688"/>
    <n v="107.6688"/>
    <x v="3"/>
  </r>
  <r>
    <s v="007"/>
    <s v="PR01"/>
    <s v="810ROU190"/>
    <s v="Roulement 6009-2RSH"/>
    <s v="UN"/>
    <n v="4"/>
    <n v="27"/>
    <n v="108"/>
    <x v="3"/>
  </r>
  <r>
    <s v="007"/>
    <s v="PR02"/>
    <s v="810ROU134"/>
    <s v="Roulement Butée a billes 51104"/>
    <s v="UN"/>
    <n v="4"/>
    <n v="27"/>
    <n v="108"/>
    <x v="3"/>
  </r>
  <r>
    <s v="007"/>
    <s v="PR02"/>
    <s v="812RAC056"/>
    <s v="RACCORD DROIT 6*1/8"/>
    <s v="UN"/>
    <n v="40"/>
    <n v="2.7"/>
    <n v="108"/>
    <x v="3"/>
  </r>
  <r>
    <s v="007"/>
    <s v="PR02"/>
    <s v="820XMC051"/>
    <s v="VIS TH (acier) M12*60"/>
    <s v="UN"/>
    <n v="240"/>
    <n v="0.45100000000000001"/>
    <n v="108.24000000000001"/>
    <x v="3"/>
  </r>
  <r>
    <s v="007"/>
    <s v="PR01"/>
    <s v="820XMC175"/>
    <s v="Ecrou (acier) M22"/>
    <s v="UN"/>
    <n v="165"/>
    <n v="0.65800000000000003"/>
    <n v="108.57000000000001"/>
    <x v="3"/>
  </r>
  <r>
    <s v="007"/>
    <s v="PR02"/>
    <s v="820XMC858"/>
    <s v="Circlips Interieur D80"/>
    <s v="UN"/>
    <n v="41"/>
    <n v="2.65"/>
    <n v="108.64999999999999"/>
    <x v="3"/>
  </r>
  <r>
    <s v="007"/>
    <s v="PR02"/>
    <s v="810ROU071"/>
    <s v="Roulement 6306 ZZ"/>
    <s v="UN"/>
    <n v="6"/>
    <n v="18.153449999999999"/>
    <n v="108.9207"/>
    <x v="3"/>
  </r>
  <r>
    <s v="007"/>
    <s v="PR02"/>
    <s v="701ELE052"/>
    <s v="Thermocouples Type J D04*200  MLX Chinois"/>
    <s v="UN"/>
    <n v="1"/>
    <n v="109.11535000000001"/>
    <n v="109.11535000000001"/>
    <x v="3"/>
  </r>
  <r>
    <s v="007"/>
    <s v="PR01"/>
    <s v="815BOB008"/>
    <s v="Bobine distributeur 24VAC"/>
    <s v="UN"/>
    <n v="5"/>
    <n v="21.861000000000001"/>
    <n v="109.30500000000001"/>
    <x v="3"/>
  </r>
  <r>
    <s v="007"/>
    <s v="PR01"/>
    <s v="815CAP002"/>
    <s v="CAPTEUR M18 NO E2A-M18lS08-M1-B1"/>
    <s v="UN"/>
    <n v="1"/>
    <n v="109.34143583333334"/>
    <n v="109.34143583333334"/>
    <x v="3"/>
  </r>
  <r>
    <s v="007"/>
    <s v="PR02"/>
    <s v="810PIN071"/>
    <s v="Pignon 12B2-16DENT"/>
    <s v="UN"/>
    <n v="2"/>
    <n v="54.818100000000001"/>
    <n v="109.6362"/>
    <x v="3"/>
  </r>
  <r>
    <s v="007"/>
    <s v="PR01"/>
    <s v="815POT003"/>
    <s v="POTENTIOMETRE 10K D22 LA42DWQ-10K"/>
    <s v="UN"/>
    <n v="2"/>
    <n v="54.978000000000002"/>
    <n v="109.956"/>
    <x v="3"/>
  </r>
  <r>
    <s v="007"/>
    <s v="PR01"/>
    <s v="731rou006"/>
    <s v="Rouleau en caoutchouc D77.5  TEKMAX"/>
    <s v="UN"/>
    <n v="1"/>
    <n v="110"/>
    <n v="110"/>
    <x v="3"/>
  </r>
  <r>
    <s v="007"/>
    <s v="PR01"/>
    <s v="820XMC045"/>
    <s v="VIS TH (acier) M16*100"/>
    <s v="UN"/>
    <n v="60"/>
    <n v="1.8360000000000001"/>
    <n v="110.16000000000001"/>
    <x v="3"/>
  </r>
  <r>
    <s v="007"/>
    <s v="PR01"/>
    <s v="707MEC013"/>
    <s v="Regulator SNS AL2000 M.Nivelage"/>
    <s v="UN"/>
    <n v="1"/>
    <n v="110.17700000000001"/>
    <n v="110.17700000000001"/>
    <x v="3"/>
  </r>
  <r>
    <s v="007"/>
    <s v="PR01"/>
    <s v="820XMC410"/>
    <s v="vis six pans (acier) M10*50"/>
    <s v="UN"/>
    <n v="158"/>
    <n v="0.69750999999999985"/>
    <n v="110.20657999999997"/>
    <x v="3"/>
  </r>
  <r>
    <s v="007"/>
    <s v="PR02"/>
    <s v="810PIN053"/>
    <s v="PIGNON SIMPLE 08B1-24DENTS"/>
    <s v="UN"/>
    <n v="4"/>
    <n v="27.607500000000002"/>
    <n v="110.43"/>
    <x v="3"/>
  </r>
  <r>
    <s v="007"/>
    <s v="PR01"/>
    <s v="707MEC005"/>
    <s v="Plastic bearing for water bath roller charge"/>
    <s v="UN"/>
    <n v="42"/>
    <n v="2.6299000000000001"/>
    <n v="110.45580000000001"/>
    <x v="3"/>
  </r>
  <r>
    <s v="007"/>
    <s v="PR01"/>
    <s v="815XPE268"/>
    <s v="Boite de jonction cable 4*10Mmm (monchon+resine)"/>
    <s v="UN"/>
    <n v="2"/>
    <n v="55.295999999999999"/>
    <n v="110.592"/>
    <x v="3"/>
  </r>
  <r>
    <s v="007"/>
    <s v="PR02"/>
    <s v="820XMC054"/>
    <s v="VIS TH (acier) M16*40"/>
    <s v="UN"/>
    <n v="123"/>
    <n v="0.90400000000000003"/>
    <n v="111.19200000000001"/>
    <x v="3"/>
  </r>
  <r>
    <s v="007"/>
    <s v="PR01"/>
    <s v="815XPE249"/>
    <s v="Bouton poussoir NO ? 22 mm"/>
    <s v="UN"/>
    <n v="9"/>
    <n v="12.4"/>
    <n v="111.60000000000001"/>
    <x v="3"/>
  </r>
  <r>
    <s v="007"/>
    <s v="PR01"/>
    <s v="815XOU012"/>
    <s v="COSSE A BRIDE 35 MM"/>
    <s v="UN"/>
    <n v="52"/>
    <n v="2.15"/>
    <n v="111.8"/>
    <x v="3"/>
  </r>
  <r>
    <s v="007"/>
    <s v="PR02"/>
    <s v="812COD683"/>
    <s v="COUDE GALVA 1&quot;1/4"/>
    <s v="UN"/>
    <n v="7"/>
    <n v="16"/>
    <n v="112"/>
    <x v="3"/>
  </r>
  <r>
    <s v="007"/>
    <s v="PR02"/>
    <s v="810rou196"/>
    <s v="Roulement 6303-2Z"/>
    <s v="UN"/>
    <n v="10"/>
    <n v="11.25"/>
    <n v="112.5"/>
    <x v="3"/>
  </r>
  <r>
    <s v="007"/>
    <s v="PR02"/>
    <s v="810ROU014"/>
    <s v="Roulement 61902 2RS1"/>
    <s v="UN"/>
    <n v="7"/>
    <n v="16.11"/>
    <n v="112.77"/>
    <x v="3"/>
  </r>
  <r>
    <s v="007"/>
    <s v="PR02"/>
    <s v="815RES035"/>
    <s v="Resistance thermoplongeu D10/L960/12000W"/>
    <s v="UN"/>
    <n v="1"/>
    <n v="113.22"/>
    <n v="113.22"/>
    <x v="3"/>
  </r>
  <r>
    <s v="007"/>
    <s v="PR02"/>
    <s v="815CAB256"/>
    <s v="câble anti chaleur 6mm"/>
    <s v="UN"/>
    <n v="20"/>
    <n v="5.67"/>
    <n v="113.4"/>
    <x v="3"/>
  </r>
  <r>
    <s v="007"/>
    <s v="PR01"/>
    <s v="810PAL089"/>
    <s v="Corps palier OVAL YAR205"/>
    <s v="UN"/>
    <n v="2"/>
    <n v="56.713500000000003"/>
    <n v="113.42700000000001"/>
    <x v="3"/>
  </r>
  <r>
    <s v="007"/>
    <s v="PR02"/>
    <s v="810PAL016"/>
    <s v="Palier Complet Rond INA PME30-N  PALAN Fonderie"/>
    <s v="UN"/>
    <n v="1"/>
    <n v="114.1674"/>
    <n v="114.1674"/>
    <x v="3"/>
  </r>
  <r>
    <s v="007"/>
    <s v="PR01"/>
    <s v="820XMC433"/>
    <s v="VIS TH (INOX) M08*50"/>
    <s v="UN"/>
    <n v="160"/>
    <n v="0.71399999999999997"/>
    <n v="114.24"/>
    <x v="3"/>
  </r>
  <r>
    <s v="007"/>
    <s v="PR02"/>
    <s v="815XPE347"/>
    <s v="Fiche femelle 3P+T 32A-6/ 380-415V"/>
    <s v="UN"/>
    <n v="10"/>
    <n v="11.423999999999999"/>
    <n v="114.24"/>
    <x v="3"/>
  </r>
  <r>
    <s v="007"/>
    <s v="PR01"/>
    <s v="810PIN020"/>
    <s v="PIGNION CONIQUE"/>
    <s v="UN"/>
    <n v="5"/>
    <n v="22.878"/>
    <n v="114.39"/>
    <x v="3"/>
  </r>
  <r>
    <s v="007"/>
    <s v="PR01"/>
    <s v="820DIS001"/>
    <s v="Disque Ebarber 180"/>
    <s v="UN"/>
    <n v="23"/>
    <n v="4.9809999999999999"/>
    <n v="114.563"/>
    <x v="3"/>
  </r>
  <r>
    <s v="007"/>
    <s v="PR02"/>
    <s v="812COD066"/>
    <s v="COUDE PVC PR D125 90°"/>
    <s v="UN"/>
    <n v="5"/>
    <n v="22.92"/>
    <n v="114.60000000000001"/>
    <x v="3"/>
  </r>
  <r>
    <s v="007"/>
    <s v="PR01"/>
    <s v="820XMC648"/>
    <s v="Tige fileté (INOX) M12"/>
    <s v="UN"/>
    <n v="5"/>
    <n v="22.925000000000001"/>
    <n v="114.625"/>
    <x v="3"/>
  </r>
  <r>
    <s v="007"/>
    <s v="PR02"/>
    <s v="820XMC648"/>
    <s v="Tige fileté (INOX) M12"/>
    <s v="UN"/>
    <n v="5"/>
    <n v="22.925000000000001"/>
    <n v="114.625"/>
    <x v="3"/>
  </r>
  <r>
    <s v="007"/>
    <s v="PR02"/>
    <s v="815REL041"/>
    <s v="Relais de tension TRI avec asymetrie 5% 25% 38"/>
    <s v="UN"/>
    <n v="1"/>
    <n v="114.7483"/>
    <n v="114.7483"/>
    <x v="3"/>
  </r>
  <r>
    <s v="007"/>
    <s v="PR01"/>
    <s v="815FUS008"/>
    <s v="Fusible 25A Forme bouteille"/>
    <s v="UN"/>
    <n v="23"/>
    <n v="5"/>
    <n v="115"/>
    <x v="3"/>
  </r>
  <r>
    <s v="007"/>
    <s v="PR02"/>
    <s v="810par120"/>
    <s v="parahuile 65x90x10"/>
    <s v="UN"/>
    <n v="3"/>
    <n v="38.568600000000004"/>
    <n v="115.70580000000001"/>
    <x v="3"/>
  </r>
  <r>
    <s v="007"/>
    <s v="PR01"/>
    <s v="810COU064"/>
    <s v="Courroie trapezoidale 1355*13 A52 VECO100  FRIGO"/>
    <s v="UN"/>
    <n v="8"/>
    <n v="14.476000000000001"/>
    <n v="115.80800000000001"/>
    <x v="3"/>
  </r>
  <r>
    <s v="007"/>
    <s v="PR01"/>
    <s v="830xou149"/>
    <s v="Teflon non adhesif 0.8mm lame fardeleuse"/>
    <s v="M"/>
    <n v="4"/>
    <n v="28.95882352941177"/>
    <n v="115.83529411764708"/>
    <x v="3"/>
  </r>
  <r>
    <s v="007"/>
    <s v="PR01"/>
    <s v="815XPE357"/>
    <s v="Reflecteur Blanc pour photocell"/>
    <s v="UN"/>
    <n v="5"/>
    <n v="23.204999999999998"/>
    <n v="116.02499999999999"/>
    <x v="3"/>
  </r>
  <r>
    <s v="007"/>
    <s v="PR02"/>
    <s v="810rou074"/>
    <s v="Roulement 6206 2RS"/>
    <s v="UN"/>
    <n v="6"/>
    <n v="19.350000000000001"/>
    <n v="116.10000000000001"/>
    <x v="3"/>
  </r>
  <r>
    <s v="007"/>
    <s v="PR02"/>
    <s v="820XMC009"/>
    <s v="VIS TH (acier) M10*60"/>
    <s v="UN"/>
    <n v="250"/>
    <n v="0.46500000000000002"/>
    <n v="116.25"/>
    <x v="3"/>
  </r>
  <r>
    <s v="007"/>
    <s v="PR01"/>
    <s v="812RED073"/>
    <s v="Reduction GALVA 1/4F/3/8M"/>
    <s v="UN"/>
    <n v="52"/>
    <n v="2.2440000000000002"/>
    <n v="116.68800000000002"/>
    <x v="3"/>
  </r>
  <r>
    <s v="007"/>
    <s v="PR01"/>
    <s v=" 812RAC031 "/>
    <s v="RACCORD RAPIDE EN TEE TUBE D8 - G1/4"/>
    <s v="UN"/>
    <n v="20"/>
    <n v="5.85"/>
    <n v="117"/>
    <x v="3"/>
  </r>
  <r>
    <s v="007"/>
    <s v="PR01"/>
    <s v="810ROU025"/>
    <s v="Roulement 6204 2RSH"/>
    <s v="UN"/>
    <n v="10"/>
    <n v="11.7"/>
    <n v="117"/>
    <x v="3"/>
  </r>
  <r>
    <s v="007"/>
    <s v="PR02"/>
    <s v="810PAR051"/>
    <s v="PARAHUILE TC 48*70*10 Haute temperature STRIP"/>
    <s v="UN"/>
    <n v="1"/>
    <n v="117.227"/>
    <n v="117.227"/>
    <x v="3"/>
  </r>
  <r>
    <s v="007"/>
    <s v="PR01"/>
    <s v="710MEC006"/>
    <s v="PUFFER D.15 A1503311 ENV SOVEMA"/>
    <s v="UN"/>
    <n v="4"/>
    <n v="29.407765445340271"/>
    <n v="117.63106178136108"/>
    <x v="3"/>
  </r>
  <r>
    <s v="007"/>
    <s v="PR01"/>
    <s v="812rac741"/>
    <s v="RACCORD DROIT D10 G1/2"/>
    <s v="UN"/>
    <n v="24"/>
    <n v="4.93"/>
    <n v="118.32"/>
    <x v="3"/>
  </r>
  <r>
    <s v="007"/>
    <s v="PR02"/>
    <s v="810PIN023"/>
    <s v="Pignon 16B2 15dents Casse batterie"/>
    <s v="UN"/>
    <n v="2"/>
    <n v="59.1648"/>
    <n v="118.3296"/>
    <x v="3"/>
  </r>
  <r>
    <s v="007"/>
    <s v="PR02"/>
    <s v="810ROU180"/>
    <s v="Roulement a aiguilles NA4906  emp indus"/>
    <s v="UN"/>
    <n v="2"/>
    <n v="59.4"/>
    <n v="118.8"/>
    <x v="3"/>
  </r>
  <r>
    <s v="007"/>
    <s v="PR02"/>
    <s v="815XPE129"/>
    <s v="Condensateur 8µF MKA8 Demarrage moteur"/>
    <s v="UN"/>
    <n v="17"/>
    <n v="7.021221052631577"/>
    <n v="119.36075789473681"/>
    <x v="3"/>
  </r>
  <r>
    <s v="007"/>
    <s v="PR01"/>
    <s v="812COD674"/>
    <s v="COUDE NOIR20/27"/>
    <s v="UN"/>
    <n v="20"/>
    <n v="5.9912121212121212"/>
    <n v="119.82424242424243"/>
    <x v="3"/>
  </r>
  <r>
    <s v="007"/>
    <s v="PR01"/>
    <s v="812RAC055"/>
    <s v="RACCORD DROIT 6*1/16"/>
    <s v="UN"/>
    <n v="43"/>
    <n v="2.7879999999999998"/>
    <n v="119.88399999999999"/>
    <x v="3"/>
  </r>
  <r>
    <s v="007"/>
    <s v="PR01"/>
    <s v="815CAB034"/>
    <s v="Cable souple 1*10mm Bleu"/>
    <s v="M"/>
    <n v="42"/>
    <n v="2.85615"/>
    <n v="119.95829999999999"/>
    <x v="3"/>
  </r>
  <r>
    <s v="007"/>
    <s v="PR01"/>
    <s v="815XPE296"/>
    <s v="domino en céramique 2x4mm"/>
    <s v="UN"/>
    <n v="35"/>
    <n v="3.4286498632010942"/>
    <n v="120.00274521203829"/>
    <x v="3"/>
  </r>
  <r>
    <s v="007"/>
    <s v="PR01"/>
    <s v="710MEC007"/>
    <s v="PUFFER D.20 A1503312 ENV SOVEMA"/>
    <s v="UN"/>
    <n v="4"/>
    <n v="30.045605106825956"/>
    <n v="120.18242042730382"/>
    <x v="3"/>
  </r>
  <r>
    <s v="007"/>
    <s v="PR01"/>
    <s v="810CHA007"/>
    <s v="chaine SEDIS 06B1 ENG Emp classique"/>
    <s v="M"/>
    <n v="4"/>
    <n v="30.113999999999997"/>
    <n v="120.45599999999999"/>
    <x v="3"/>
  </r>
  <r>
    <s v="007"/>
    <s v="PR02"/>
    <s v="812FLE064"/>
    <s v="Flexible Gaz D3/4&quot; inox L1000+mamelon Brul EMP C"/>
    <s v="UN"/>
    <n v="1"/>
    <n v="120.6"/>
    <n v="120.6"/>
    <x v="3"/>
  </r>
  <r>
    <s v="007"/>
    <s v="PR01"/>
    <s v="810ROU031"/>
    <s v="Roulement 6302 2Z"/>
    <s v="UN"/>
    <n v="12"/>
    <n v="10.098000000000001"/>
    <n v="121.17600000000002"/>
    <x v="3"/>
  </r>
  <r>
    <s v="007"/>
    <s v="PR02"/>
    <s v="810PAL048"/>
    <s v="Palier a semelle SY512M"/>
    <s v="UN"/>
    <n v="1"/>
    <n v="121.18680000000001"/>
    <n v="121.18680000000001"/>
    <x v="3"/>
  </r>
  <r>
    <s v="007"/>
    <s v="PR02"/>
    <s v="815DIS038"/>
    <s v="Disjoncteur 16A 4 port SIAME"/>
    <s v="UN"/>
    <n v="3"/>
    <n v="40.43535"/>
    <n v="121.30605"/>
    <x v="3"/>
  </r>
  <r>
    <s v="007"/>
    <s v="PR01"/>
    <s v="812COL078"/>
    <s v="COLLIER DE SERRAGE INOX A BOULON 86-91"/>
    <s v="UN"/>
    <n v="12"/>
    <n v="10.134"/>
    <n v="121.608"/>
    <x v="3"/>
  </r>
  <r>
    <s v="007"/>
    <s v="PR02"/>
    <s v="815CAP147"/>
    <s v="Capteur fin de course (buté) CWLD2"/>
    <s v="UN"/>
    <n v="3"/>
    <n v="40.674599999999998"/>
    <n v="122.02379999999999"/>
    <x v="3"/>
  </r>
  <r>
    <s v="007"/>
    <s v="PR02"/>
    <s v="810COU135"/>
    <s v="MOYEU AMOVIBLE 3535 ALESAGE 55    fonderie"/>
    <s v="UN"/>
    <n v="1"/>
    <n v="122.31"/>
    <n v="122.31"/>
    <x v="3"/>
  </r>
  <r>
    <s v="007"/>
    <s v="PR02"/>
    <s v="815DIS297"/>
    <s v="Disjoncteur 16A 3 port"/>
    <s v="UN"/>
    <n v="3"/>
    <n v="40.953000000000003"/>
    <n v="122.85900000000001"/>
    <x v="3"/>
  </r>
  <r>
    <s v="007"/>
    <s v="PR01"/>
    <s v="820POM022"/>
    <s v="CORPS DE POMPE DEBEM MB110  CH.ACIDE"/>
    <s v="UN"/>
    <n v="1"/>
    <n v="122.95"/>
    <n v="122.95"/>
    <x v="3"/>
  </r>
  <r>
    <s v="007"/>
    <s v="PR01"/>
    <s v="812xmc008"/>
    <s v="Joint Etancheite D42-6.5*40"/>
    <s v="UN"/>
    <n v="20"/>
    <n v="6.1554726368159205"/>
    <n v="123.10945273631842"/>
    <x v="3"/>
  </r>
  <r>
    <s v="007"/>
    <s v="PR01"/>
    <s v="815BOB006"/>
    <s v="Bobine pour électrovanne 110V  SHAKO"/>
    <s v="UN"/>
    <n v="7"/>
    <n v="17.599772727272729"/>
    <n v="123.19840909090911"/>
    <x v="3"/>
  </r>
  <r>
    <s v="007"/>
    <s v="PR02"/>
    <s v="820XMC459"/>
    <s v="vis six pans (Inox) M10*30"/>
    <s v="UN"/>
    <n v="110"/>
    <n v="1.121"/>
    <n v="123.31"/>
    <x v="3"/>
  </r>
  <r>
    <s v="007"/>
    <s v="PR01"/>
    <s v="815CAB019"/>
    <s v="Cable Souple 3*0.75"/>
    <s v="M"/>
    <n v="110"/>
    <n v="1.1257200000000001"/>
    <n v="123.8292"/>
    <x v="3"/>
  </r>
  <r>
    <s v="007"/>
    <s v="PR01"/>
    <s v="812RAC018"/>
    <s v="RACCORD TE FILTE 06*1/4"/>
    <s v="UN"/>
    <n v="15"/>
    <n v="8.264325358851675"/>
    <n v="123.96488038277512"/>
    <x v="3"/>
  </r>
  <r>
    <s v="007"/>
    <s v="PR02"/>
    <s v="810PIN012"/>
    <s v="pignon B1/2 18"/>
    <s v="UN"/>
    <n v="4"/>
    <n v="31.013999999999999"/>
    <n v="124.056"/>
    <x v="3"/>
  </r>
  <r>
    <s v="007"/>
    <s v="PR02"/>
    <s v="815RES046"/>
    <s v="Resist Tube COUD D08/L1450/4000W WIRTZ"/>
    <s v="UN"/>
    <n v="1"/>
    <n v="124.07850000000001"/>
    <n v="124.07850000000001"/>
    <x v="3"/>
  </r>
  <r>
    <s v="007"/>
    <s v="PR01"/>
    <s v="812COD703"/>
    <s v="COUDE NOIR D114  90°"/>
    <s v="UN"/>
    <n v="4"/>
    <n v="31.043700000000001"/>
    <n v="124.1748"/>
    <x v="3"/>
  </r>
  <r>
    <s v="007"/>
    <s v="PR02"/>
    <s v="810ROU183"/>
    <s v="Roulement conique 32011-X-Q-SKF CH.Maximal"/>
    <s v="UN"/>
    <n v="3"/>
    <n v="41.58"/>
    <n v="124.74"/>
    <x v="3"/>
  </r>
  <r>
    <s v="007"/>
    <s v="PR01"/>
    <s v="710ELE003"/>
    <s v="Transformer 200/20 MA A3021023  S.Conexion"/>
    <s v="UN"/>
    <n v="1"/>
    <n v="125.27179599999999"/>
    <n v="125.27179599999999"/>
    <x v="3"/>
  </r>
  <r>
    <s v="007"/>
    <s v="PR01"/>
    <s v="812rac750"/>
    <s v="Raccord droit 10*1/4"/>
    <s v="UN"/>
    <n v="35"/>
    <n v="3.6"/>
    <n v="126"/>
    <x v="3"/>
  </r>
  <r>
    <s v="007"/>
    <s v="PR02"/>
    <s v="812FLE062"/>
    <s v="Flexible F12/F12 L300mm Moule M.grille"/>
    <s v="UN"/>
    <n v="5"/>
    <n v="25.2"/>
    <n v="126"/>
    <x v="3"/>
  </r>
  <r>
    <s v="007"/>
    <s v="PR01"/>
    <s v="812FLE102"/>
    <s v="Flexible Cristal transparent D32  Charge"/>
    <s v="M"/>
    <n v="9"/>
    <n v="14.076000000000001"/>
    <n v="126.684"/>
    <x v="3"/>
  </r>
  <r>
    <s v="007"/>
    <s v="PR01"/>
    <s v="812XPB049"/>
    <s v="BRIDE Galva  75/180 Filtage Interieur"/>
    <s v="UN"/>
    <n v="2"/>
    <n v="63.58"/>
    <n v="127.16"/>
    <x v="3"/>
  </r>
  <r>
    <s v="007"/>
    <s v="PR01"/>
    <s v="812RAC185"/>
    <s v="RACCORD RAPIDE DROIT G3/8 -10 "/>
    <s v="UN"/>
    <n v="23"/>
    <n v="5.5419999999999998"/>
    <n v="127.46599999999999"/>
    <x v="3"/>
  </r>
  <r>
    <s v="007"/>
    <s v="PR01"/>
    <s v="820XMC079"/>
    <s v="VIS TH (acier) M16*50"/>
    <s v="UN"/>
    <n v="122"/>
    <n v="1.0529999999999999"/>
    <n v="128.46599999999998"/>
    <x v="3"/>
  </r>
  <r>
    <s v="007"/>
    <s v="PR01"/>
    <s v="820XMC457"/>
    <s v="vis six pans (Inox) M08*50"/>
    <s v="UN"/>
    <n v="120"/>
    <n v="1.071"/>
    <n v="128.51999999999998"/>
    <x v="3"/>
  </r>
  <r>
    <s v="007"/>
    <s v="PR02"/>
    <s v="810ROX006"/>
    <s v="GALET DE ROULEMENT NATR 5PPA"/>
    <s v="UN"/>
    <n v="2"/>
    <n v="64.346999999999994"/>
    <n v="128.69399999999999"/>
    <x v="3"/>
  </r>
  <r>
    <s v="007"/>
    <s v="PR02"/>
    <s v="810ROXO35"/>
    <s v="GALET KR 40 PPX"/>
    <s v="UN"/>
    <n v="2"/>
    <n v="64.346999999999994"/>
    <n v="128.69399999999999"/>
    <x v="3"/>
  </r>
  <r>
    <s v="007"/>
    <s v="PR01"/>
    <s v="810PIN051"/>
    <s v="PIGNON 08B1 17DENTS ENV SOVEMA"/>
    <s v="UN"/>
    <n v="9"/>
    <n v="14.31"/>
    <n v="128.79"/>
    <x v="3"/>
  </r>
  <r>
    <s v="007"/>
    <s v="PR02"/>
    <s v="810XPM223"/>
    <s v="Dégrippant"/>
    <s v="L"/>
    <n v="15"/>
    <n v="8.5922999999999998"/>
    <n v="128.8845"/>
    <x v="3"/>
  </r>
  <r>
    <s v="007"/>
    <s v="PR02"/>
    <s v="815BOB247"/>
    <s v="Bobine distributeur 24VDC SD90822DJSN SHAKO"/>
    <s v="UN"/>
    <n v="6"/>
    <n v="21.5154"/>
    <n v="129.0924"/>
    <x v="3"/>
  </r>
  <r>
    <s v="007"/>
    <s v="PR02"/>
    <s v="812VAN737"/>
    <s v="Vanne PVC32"/>
    <s v="UN"/>
    <n v="5"/>
    <n v="25.83"/>
    <n v="129.14999999999998"/>
    <x v="3"/>
  </r>
  <r>
    <s v="007"/>
    <s v="PR01"/>
    <s v="810ROU081"/>
    <s v="ROULEMENT 6010-2RS"/>
    <s v="UN"/>
    <n v="4"/>
    <n v="32.31"/>
    <n v="129.24"/>
    <x v="3"/>
  </r>
  <r>
    <s v="007"/>
    <s v="PR02"/>
    <s v="810PIN055"/>
    <s v="PIGNON DOUBLE 12B2-15DENTS"/>
    <s v="UN"/>
    <n v="3"/>
    <n v="43.100099999999998"/>
    <n v="129.30029999999999"/>
    <x v="3"/>
  </r>
  <r>
    <s v="007"/>
    <s v="PR02"/>
    <s v="810CHA104"/>
    <s v="chaines 08B-2x5M"/>
    <s v="M"/>
    <n v="5"/>
    <n v="25.861049999999999"/>
    <n v="129.30525"/>
    <x v="3"/>
  </r>
  <r>
    <s v="007"/>
    <s v="PR01"/>
    <s v="815REL017"/>
    <s v="Relais 14 Broches 24VDC"/>
    <s v="UN"/>
    <n v="12"/>
    <n v="10.78735"/>
    <n v="129.44819999999999"/>
    <x v="3"/>
  </r>
  <r>
    <s v="007"/>
    <s v="PR01"/>
    <s v="820XMC415"/>
    <s v="vis six pans (acier) M12*60"/>
    <s v="UN"/>
    <n v="120"/>
    <n v="1.078997948051948"/>
    <n v="129.47975376623376"/>
    <x v="3"/>
  </r>
  <r>
    <s v="007"/>
    <s v="PR01"/>
    <s v="812VER023"/>
    <s v="Verin D32 C125 S.Bac couvercle"/>
    <s v="UN"/>
    <n v="1"/>
    <n v="129.67784999999998"/>
    <n v="129.67784999999998"/>
    <x v="3"/>
  </r>
  <r>
    <s v="007"/>
    <s v="PR02"/>
    <s v="810ROU021"/>
    <s v="Roulement 6008"/>
    <s v="UN"/>
    <n v="6"/>
    <n v="21.613129646697388"/>
    <n v="129.67877788018433"/>
    <x v="3"/>
  </r>
  <r>
    <s v="007"/>
    <s v="PR02"/>
    <s v="810COU065"/>
    <s v="MOYEU AMOVIBLE 3535 ALESAGE 70    fonderie"/>
    <s v="UN"/>
    <n v="1"/>
    <n v="130.05000000000001"/>
    <n v="130.05000000000001"/>
    <x v="3"/>
  </r>
  <r>
    <s v="007"/>
    <s v="PR02"/>
    <s v="812TUB648"/>
    <s v="Tube NOIR20/27 ep 4mm"/>
    <s v="M"/>
    <n v="6"/>
    <n v="21.675000000000001"/>
    <n v="130.05000000000001"/>
    <x v="3"/>
  </r>
  <r>
    <s v="007"/>
    <s v="PR02"/>
    <s v="810cou017"/>
    <s v="Courroie Dentée HTD 740 5M  Larg 15mm"/>
    <s v="UN"/>
    <n v="5"/>
    <n v="26.079000000000001"/>
    <n v="130.39500000000001"/>
    <x v="3"/>
  </r>
  <r>
    <s v="007"/>
    <s v="PR02"/>
    <s v="810cha008"/>
    <s v="chaines 06B-2"/>
    <s v="M"/>
    <n v="5"/>
    <n v="26.1"/>
    <n v="130.5"/>
    <x v="3"/>
  </r>
  <r>
    <s v="007"/>
    <s v="PR01"/>
    <s v="815CAB266"/>
    <s v="câble souple 4x2,5mm"/>
    <s v="UN"/>
    <n v="32"/>
    <n v="4.0857700000000001"/>
    <n v="130.74464"/>
    <x v="3"/>
  </r>
  <r>
    <s v="007"/>
    <s v="PR02"/>
    <s v="810ROU231"/>
    <s v="Roulement A billes 2208ETN9 decoup plaque"/>
    <s v="UN"/>
    <n v="1"/>
    <n v="131.12100000000001"/>
    <n v="131.12100000000001"/>
    <x v="3"/>
  </r>
  <r>
    <s v="007"/>
    <s v="PR01"/>
    <s v="820XMC088"/>
    <s v="VIS TH (acier) M14X50"/>
    <s v="UN"/>
    <n v="132"/>
    <n v="0.998"/>
    <n v="131.73599999999999"/>
    <x v="3"/>
  </r>
  <r>
    <s v="007"/>
    <s v="PR01"/>
    <s v="812RAC020"/>
    <s v="RACCORD DROIT 8*3/8"/>
    <s v="UN"/>
    <n v="40"/>
    <n v="3.298"/>
    <n v="131.92000000000002"/>
    <x v="3"/>
  </r>
  <r>
    <s v="007"/>
    <s v="PR01"/>
    <s v="812FIL103"/>
    <s v="filtre d'aspiration ENV SOVEMA"/>
    <s v="UN"/>
    <n v="1"/>
    <n v="133.62"/>
    <n v="133.62"/>
    <x v="3"/>
  </r>
  <r>
    <s v="007"/>
    <s v="PR02"/>
    <s v="812cod055"/>
    <s v="coude  PVC   D160 45°"/>
    <s v="UN"/>
    <n v="3"/>
    <n v="44.594999999999999"/>
    <n v="133.785"/>
    <x v="3"/>
  </r>
  <r>
    <s v="007"/>
    <s v="PR02"/>
    <s v="815cap021"/>
    <s v="Capteur fin de course CLS-103  M.tubulaire"/>
    <s v="UN"/>
    <n v="9"/>
    <n v="14.903100000000002"/>
    <n v="134.12790000000001"/>
    <x v="3"/>
  </r>
  <r>
    <s v="007"/>
    <s v="PR02"/>
    <s v="812RAC031"/>
    <s v="TE 08*1/4"/>
    <s v="UN"/>
    <n v="10"/>
    <n v="13.428499999999998"/>
    <n v="134.28499999999997"/>
    <x v="3"/>
  </r>
  <r>
    <s v="007"/>
    <s v="PR02"/>
    <s v="810ROU220"/>
    <s v="Roulement a rouleaux 32209 J2/Q shangli"/>
    <s v="UN"/>
    <n v="2"/>
    <n v="67.177800000000005"/>
    <n v="134.35560000000001"/>
    <x v="3"/>
  </r>
  <r>
    <s v="007"/>
    <s v="PR02"/>
    <s v="815gai004"/>
    <s v="Gaine anti chaleur D10mm"/>
    <s v="M"/>
    <n v="25"/>
    <n v="5.3904857142857141"/>
    <n v="134.76214285714286"/>
    <x v="3"/>
  </r>
  <r>
    <s v="007"/>
    <s v="PR01"/>
    <s v="815DIS014"/>
    <s v="Disjoncteur 63A 3P"/>
    <s v="UN"/>
    <n v="2"/>
    <n v="67.41"/>
    <n v="134.82"/>
    <x v="3"/>
  </r>
  <r>
    <s v="007"/>
    <s v="PR01"/>
    <s v="815XPE345"/>
    <s v="FICHE MALE 3P+T 32A 380-415V"/>
    <s v="UN"/>
    <n v="12"/>
    <n v="11.237"/>
    <n v="134.84399999999999"/>
    <x v="3"/>
  </r>
  <r>
    <s v="007"/>
    <s v="PR01"/>
    <s v="812RAC123"/>
    <s v="RACCORD COUDEE 12*1/8"/>
    <s v="UN"/>
    <n v="18"/>
    <n v="7.4969999999999999"/>
    <n v="134.946"/>
    <x v="3"/>
  </r>
  <r>
    <s v="007"/>
    <s v="PR01"/>
    <s v="810CHA102"/>
    <s v="chaines 06B-1"/>
    <s v="M"/>
    <n v="5"/>
    <n v="27"/>
    <n v="135"/>
    <x v="3"/>
  </r>
  <r>
    <s v="007"/>
    <s v="PR02"/>
    <s v="810cha102"/>
    <s v="chaines 06B-1"/>
    <s v="M"/>
    <n v="5"/>
    <n v="27"/>
    <n v="135"/>
    <x v="3"/>
  </r>
  <r>
    <s v="007"/>
    <s v="PR01"/>
    <s v="820XMC042"/>
    <s v="VIS TH (acier) M10*70"/>
    <s v="UN"/>
    <n v="280"/>
    <n v="0.48299999999999998"/>
    <n v="135.24"/>
    <x v="3"/>
  </r>
  <r>
    <s v="007"/>
    <s v="PR02"/>
    <s v="810COU046"/>
    <s v="Courroie Trapez 32*3750D148  Casse batt"/>
    <s v="UN"/>
    <n v="1"/>
    <n v="135.33029999999999"/>
    <n v="135.33029999999999"/>
    <x v="3"/>
  </r>
  <r>
    <s v="007"/>
    <s v="PR01"/>
    <s v="812RAC087"/>
    <s v="Raccord inegale 08/10"/>
    <s v="UN"/>
    <n v="44"/>
    <n v="3.077"/>
    <n v="135.38800000000001"/>
    <x v="3"/>
  </r>
  <r>
    <s v="007"/>
    <s v="PR01"/>
    <s v="820XMC468"/>
    <s v="écrou (acier) M03"/>
    <s v="UN"/>
    <n v="86"/>
    <n v="1.5776000000000001"/>
    <n v="135.67360000000002"/>
    <x v="3"/>
  </r>
  <r>
    <s v="007"/>
    <s v="PR01"/>
    <s v="812RED060"/>
    <s v="Reduction PVC PR 110/63 (4&quot;/2&quot;)"/>
    <s v="UN"/>
    <n v="12"/>
    <n v="11.33095"/>
    <n v="135.97139999999999"/>
    <x v="3"/>
  </r>
  <r>
    <s v="007"/>
    <s v="PR02"/>
    <s v="820BAG002"/>
    <s v="BOBINE 1.2mm 15Kg ACIER"/>
    <s v="KG"/>
    <n v="15"/>
    <n v="9.0818999999999992"/>
    <n v="136.2285"/>
    <x v="3"/>
  </r>
  <r>
    <s v="007"/>
    <s v="PR01"/>
    <s v="702ELE100"/>
    <s v="SUPPORT BAIONETTE SONDE TYPE J M12"/>
    <s v="UN"/>
    <n v="8"/>
    <n v="17.052"/>
    <n v="136.416"/>
    <x v="3"/>
  </r>
  <r>
    <s v="007"/>
    <s v="PR01"/>
    <s v="810ROU112"/>
    <s v="Roulement YAR210"/>
    <s v="UN"/>
    <n v="2"/>
    <n v="68.31"/>
    <n v="136.62"/>
    <x v="3"/>
  </r>
  <r>
    <s v="007"/>
    <s v="PR02"/>
    <s v="820XMC044"/>
    <s v="VIS TH M14*100"/>
    <s v="UN"/>
    <n v="90"/>
    <n v="1.5189999999999999"/>
    <n v="136.70999999999998"/>
    <x v="3"/>
  </r>
  <r>
    <s v="007"/>
    <s v="PR01"/>
    <s v="810COU120"/>
    <s v="COURROIE 748/13 A28 (POUR COS)"/>
    <s v="UN"/>
    <n v="16"/>
    <n v="8.5500000000000007"/>
    <n v="136.80000000000001"/>
    <x v="3"/>
  </r>
  <r>
    <s v="007"/>
    <s v="PR01"/>
    <s v="812EMB013"/>
    <s v="Embou PPR Femelle 63*2&quot;"/>
    <s v="UN"/>
    <n v="2"/>
    <n v="68.424999999999997"/>
    <n v="136.85"/>
    <x v="3"/>
  </r>
  <r>
    <s v="007"/>
    <s v="PR02"/>
    <s v="810ROU034"/>
    <s v="Roulement 6305-2z"/>
    <s v="UN"/>
    <n v="9"/>
    <n v="15.205641046831957"/>
    <n v="136.8507694214876"/>
    <x v="3"/>
  </r>
  <r>
    <s v="007"/>
    <s v="PR01"/>
    <s v="812RAC016"/>
    <s v="RACCORD DROIT 10*1/8"/>
    <s v="UN"/>
    <n v="36"/>
    <n v="3.8079999999999998"/>
    <n v="137.08799999999999"/>
    <x v="3"/>
  </r>
  <r>
    <s v="007"/>
    <s v="PR01"/>
    <s v="815ELE048"/>
    <s v="TRANSFORMATEUR ALLUMAGE T17/B 15423001 220V/2*400"/>
    <s v="UN"/>
    <n v="1"/>
    <n v="137.33535000000001"/>
    <n v="137.33535000000001"/>
    <x v="3"/>
  </r>
  <r>
    <s v="007"/>
    <s v="PR01"/>
    <s v="815dis302"/>
    <s v="Disjoncteur moteur20-25A TESYS 034325"/>
    <s v="UN"/>
    <n v="1"/>
    <n v="137.6"/>
    <n v="137.6"/>
    <x v="3"/>
  </r>
  <r>
    <s v="007"/>
    <s v="PR01"/>
    <s v="812FLE611"/>
    <s v="Flexible08"/>
    <s v="M"/>
    <n v="120"/>
    <n v="1.1511"/>
    <n v="138.13200000000001"/>
    <x v="3"/>
  </r>
  <r>
    <s v="007"/>
    <s v="PR02"/>
    <s v="812VAN027"/>
    <s v="Vanne PPR D50"/>
    <s v="UN"/>
    <n v="3"/>
    <n v="46.176200000000001"/>
    <n v="138.52860000000001"/>
    <x v="3"/>
  </r>
  <r>
    <s v="007"/>
    <s v="PR02"/>
    <s v="815GAI318"/>
    <s v="gaine anti chaleur 6mm"/>
    <s v="UN"/>
    <n v="40"/>
    <n v="3.4649999999999999"/>
    <n v="138.6"/>
    <x v="3"/>
  </r>
  <r>
    <s v="007"/>
    <s v="PR02"/>
    <s v="810XPM239"/>
    <s v="TRESSE BANDE 50 X 3FIBRE DE VERRE 2.7KG"/>
    <s v="KG"/>
    <n v="2"/>
    <n v="69.417000000000002"/>
    <n v="138.834"/>
    <x v="3"/>
  </r>
  <r>
    <s v="007"/>
    <s v="PR02"/>
    <s v="810COU018"/>
    <s v="Courroie Dentée HTD 8M-1136 L30//1120-8M"/>
    <s v="UN"/>
    <n v="3"/>
    <n v="46.35"/>
    <n v="139.05000000000001"/>
    <x v="3"/>
  </r>
  <r>
    <s v="007"/>
    <s v="PR01"/>
    <s v="812VAN016"/>
    <s v="VANNE GALVA 26-34"/>
    <s v="UN"/>
    <n v="10"/>
    <n v="13.922000000000001"/>
    <n v="139.22"/>
    <x v="3"/>
  </r>
  <r>
    <s v="007"/>
    <s v="PR01"/>
    <s v="840FRM006"/>
    <s v="Carnet Bon d'entree PDR"/>
    <s v="UN"/>
    <n v="20"/>
    <n v="7"/>
    <n v="140"/>
    <x v="3"/>
  </r>
  <r>
    <s v="007"/>
    <s v="PR02"/>
    <s v="820XMC659"/>
    <s v="vis six pans (acier) M16*120  Moule Punshi"/>
    <s v="UN"/>
    <n v="50"/>
    <n v="2.8079999999999998"/>
    <n v="140.39999999999998"/>
    <x v="3"/>
  </r>
  <r>
    <s v="007"/>
    <s v="PR01"/>
    <s v="820XMC049"/>
    <s v="écrou (acier) M18"/>
    <s v="UN"/>
    <n v="290"/>
    <n v="0.48481246339775336"/>
    <n v="140.59561438534848"/>
    <x v="3"/>
  </r>
  <r>
    <s v="007"/>
    <s v="PR02"/>
    <s v="820XMC798"/>
    <s v="VIS TH (acier) M22*100"/>
    <s v="UN"/>
    <n v="38"/>
    <n v="3.7"/>
    <n v="140.6"/>
    <x v="3"/>
  </r>
  <r>
    <s v="007"/>
    <s v="PR01"/>
    <s v="815REL005"/>
    <s v="RELAIS DE NIVEAU 2RM35LM33MW"/>
    <s v="UN"/>
    <n v="1"/>
    <n v="140.69019"/>
    <n v="140.69019"/>
    <x v="3"/>
  </r>
  <r>
    <s v="007"/>
    <s v="PR02"/>
    <s v="812VAN739"/>
    <s v="Vanne PVC PR D50"/>
    <s v="UN"/>
    <n v="4"/>
    <n v="35.191000000000003"/>
    <n v="140.76400000000001"/>
    <x v="3"/>
  </r>
  <r>
    <s v="007"/>
    <s v="PR01"/>
    <s v="820XMC739"/>
    <s v="vis six pans (Inox) M08*60"/>
    <s v="UN"/>
    <n v="140"/>
    <n v="1.00674"/>
    <n v="140.9436"/>
    <x v="3"/>
  </r>
  <r>
    <s v="007"/>
    <s v="PR01"/>
    <s v="815CAP005"/>
    <s v="CAPTEUR ICB12L50F04POM1 M12 NO Long   COS"/>
    <s v="UN"/>
    <n v="2"/>
    <n v="70.52"/>
    <n v="141.04"/>
    <x v="3"/>
  </r>
  <r>
    <s v="007"/>
    <s v="PR02"/>
    <s v="815CAP005"/>
    <s v="CAPTEUR ICB12L50F04POM1 M12 NO Long   COS"/>
    <s v="UN"/>
    <n v="2"/>
    <n v="70.52"/>
    <n v="141.04"/>
    <x v="3"/>
  </r>
  <r>
    <s v="007"/>
    <s v="PR01"/>
    <s v="820XMC370"/>
    <s v="Vis TH (acier) M08*50"/>
    <s v="UN"/>
    <n v="289"/>
    <n v="0.49"/>
    <n v="141.60999999999999"/>
    <x v="3"/>
  </r>
  <r>
    <s v="007"/>
    <s v="PR01"/>
    <s v="815CON275"/>
    <s v="Contacteur LC1D032 24VDC"/>
    <s v="UN"/>
    <n v="1"/>
    <n v="141.928"/>
    <n v="141.928"/>
    <x v="3"/>
  </r>
  <r>
    <s v="007"/>
    <s v="PR02"/>
    <s v="815CON275"/>
    <s v="Contacteur LC1D032 24VDC"/>
    <s v="UN"/>
    <n v="1"/>
    <n v="141.928"/>
    <n v="141.928"/>
    <x v="3"/>
  </r>
  <r>
    <s v="007"/>
    <s v="PR01"/>
    <s v="815DIS016"/>
    <s v="Disjoncteur Differentiel 25A 2P"/>
    <s v="UN"/>
    <n v="1"/>
    <n v="142.03710000000001"/>
    <n v="142.03710000000001"/>
    <x v="3"/>
  </r>
  <r>
    <s v="007"/>
    <s v="PR01"/>
    <s v="830XOU267"/>
    <s v="Coupelle K59 80*70/4.25 VERIN COS"/>
    <s v="UN"/>
    <n v="12"/>
    <n v="11.8512"/>
    <n v="142.21440000000001"/>
    <x v="3"/>
  </r>
  <r>
    <s v="007"/>
    <s v="PR01"/>
    <s v="820XMC394"/>
    <s v="vis six pans (acier) M10*20"/>
    <s v="UN"/>
    <n v="352"/>
    <n v="0.40460000000000002"/>
    <n v="142.41920000000002"/>
    <x v="3"/>
  </r>
  <r>
    <s v="007"/>
    <s v="PR01"/>
    <s v="701ELE007"/>
    <s v="Corps Connecteur Harting Male 09300161420"/>
    <s v="UN"/>
    <n v="2"/>
    <n v="71.400999999999996"/>
    <n v="142.80199999999999"/>
    <x v="3"/>
  </r>
  <r>
    <s v="007"/>
    <s v="PR01"/>
    <s v="810TAP124"/>
    <s v="TAPIS HABISIT 150/3000 DECHET PERFORMER"/>
    <s v="UN"/>
    <n v="2"/>
    <n v="71.7"/>
    <n v="143.4"/>
    <x v="3"/>
  </r>
  <r>
    <s v="007"/>
    <s v="PR01"/>
    <s v="820XMC406"/>
    <s v="vis six pans (acier) M08*70"/>
    <s v="UN"/>
    <n v="321"/>
    <n v="0.44700000000000001"/>
    <n v="143.48699999999999"/>
    <x v="3"/>
  </r>
  <r>
    <s v="007"/>
    <s v="PR01"/>
    <s v="812RAC014"/>
    <s v="RACCORD  MALE-FEMELLE 1/8"/>
    <s v="UN"/>
    <n v="21"/>
    <n v="6.85"/>
    <n v="143.85"/>
    <x v="3"/>
  </r>
  <r>
    <s v="007"/>
    <s v="PR02"/>
    <s v="830xou144"/>
    <s v="Soufleur BOSCH 650W"/>
    <s v="UN"/>
    <n v="1"/>
    <n v="143.97999999999999"/>
    <n v="143.97999999999999"/>
    <x v="3"/>
  </r>
  <r>
    <s v="007"/>
    <s v="PR02"/>
    <s v="810ROU020"/>
    <s v="Roulement 6006 2RS"/>
    <s v="UN"/>
    <n v="10"/>
    <n v="14.4"/>
    <n v="144"/>
    <x v="3"/>
  </r>
  <r>
    <s v="007"/>
    <s v="PR02"/>
    <s v="820xmc455"/>
    <s v="vis six pans (Inox) M08*30"/>
    <s v="UN"/>
    <n v="214"/>
    <n v="0.67300000000000004"/>
    <n v="144.02200000000002"/>
    <x v="3"/>
  </r>
  <r>
    <s v="007"/>
    <s v="PR01"/>
    <s v="812EMB017"/>
    <s v="Embou Galva Male 4&quot;"/>
    <s v="UN"/>
    <n v="2"/>
    <n v="72.25"/>
    <n v="144.5"/>
    <x v="3"/>
  </r>
  <r>
    <s v="007"/>
    <s v="PR01"/>
    <s v="815REL045"/>
    <s v="RELAIS 14 broches 230VAC 2eme Fardeleuse"/>
    <s v="UN"/>
    <n v="9"/>
    <n v="16.091349999999998"/>
    <n v="144.82214999999999"/>
    <x v="3"/>
  </r>
  <r>
    <s v="007"/>
    <s v="PR01"/>
    <s v="810man007"/>
    <s v="Manometre acetylene chalumeau avec reglage"/>
    <s v="UN"/>
    <n v="1"/>
    <n v="144.92500000000001"/>
    <n v="144.92500000000001"/>
    <x v="3"/>
  </r>
  <r>
    <s v="007"/>
    <s v="PR02"/>
    <s v="810MAN007"/>
    <s v="Manometre acetylene chalumeau avec reglage"/>
    <s v="UN"/>
    <n v="1"/>
    <n v="144.92500000000001"/>
    <n v="144.92500000000001"/>
    <x v="3"/>
  </r>
  <r>
    <s v="007"/>
    <s v="PR02"/>
    <s v="812RAC220"/>
    <s v="Raccord 4 sorties D8-G1/4"/>
    <s v="UN"/>
    <n v="4"/>
    <n v="36.269500000000001"/>
    <n v="145.078"/>
    <x v="3"/>
  </r>
  <r>
    <s v="007"/>
    <s v="PR01"/>
    <s v="820XMC753"/>
    <s v="vis six pans (Inox) M05*70"/>
    <s v="UN"/>
    <n v="89"/>
    <n v="1.633"/>
    <n v="145.33699999999999"/>
    <x v="3"/>
  </r>
  <r>
    <s v="007"/>
    <s v="PR02"/>
    <s v="830XOU135"/>
    <s v="outillage de soudure PPR"/>
    <s v="UN"/>
    <n v="1"/>
    <n v="145.6"/>
    <n v="145.6"/>
    <x v="3"/>
  </r>
  <r>
    <s v="007"/>
    <s v="PR02"/>
    <s v="820XMC218"/>
    <s v="Bobine etain 50/50"/>
    <s v="UN"/>
    <n v="4"/>
    <n v="36.801642857142852"/>
    <n v="147.20657142857141"/>
    <x v="3"/>
  </r>
  <r>
    <s v="007"/>
    <s v="PR02"/>
    <s v="812VAN023"/>
    <s v="VANNE PPR D75"/>
    <s v="UN"/>
    <n v="1"/>
    <n v="147.21100000000001"/>
    <n v="147.21100000000001"/>
    <x v="3"/>
  </r>
  <r>
    <s v="007"/>
    <s v="PR01"/>
    <s v="820XMC379"/>
    <s v="VIS TH (acier) M12*50"/>
    <s v="UN"/>
    <n v="250"/>
    <n v="0.59"/>
    <n v="147.5"/>
    <x v="3"/>
  </r>
  <r>
    <s v="007"/>
    <s v="PR02"/>
    <s v="815CAP015"/>
    <s v="Capteur OMRON E2B-M18LN10-WZ-B1 2m"/>
    <s v="UN"/>
    <n v="2"/>
    <n v="74.048000000000002"/>
    <n v="148.096"/>
    <x v="3"/>
  </r>
  <r>
    <s v="007"/>
    <s v="PR01"/>
    <s v="820XMC436"/>
    <s v="vis tête hexagonale M10*40 (Inox)"/>
    <s v="UN"/>
    <n v="180"/>
    <n v="0.82448999999999995"/>
    <n v="148.40819999999999"/>
    <x v="3"/>
  </r>
  <r>
    <s v="007"/>
    <s v="PR02"/>
    <s v="810PAL020"/>
    <s v="PALIER FC205 (UCFC205/H) Empattage/ENV SOVEMA"/>
    <s v="UN"/>
    <n v="3"/>
    <n v="49.68"/>
    <n v="149.04"/>
    <x v="3"/>
  </r>
  <r>
    <s v="007"/>
    <s v="PR01"/>
    <s v="820XMC442"/>
    <s v="vis tête hexagonale M12*100 (Inox)"/>
    <s v="UN"/>
    <n v="65"/>
    <n v="2.2949999999999999"/>
    <n v="149.17499999999998"/>
    <x v="3"/>
  </r>
  <r>
    <s v="007"/>
    <s v="PR01"/>
    <m/>
    <s v="Raccord rapide avec limiteur 6*1/4"/>
    <s v="UN"/>
    <n v="10"/>
    <n v="14.94"/>
    <n v="149.4"/>
    <x v="3"/>
  </r>
  <r>
    <s v="007"/>
    <s v="PR02"/>
    <s v="810MAN009"/>
    <s v="MANOMETRE PRESS GAZ 0-200mbar"/>
    <s v="UN"/>
    <n v="1"/>
    <n v="149.43"/>
    <n v="149.43"/>
    <x v="3"/>
  </r>
  <r>
    <s v="007"/>
    <s v="PR01"/>
    <s v="830XOU013"/>
    <s v="FILTRE A CARTOCUHE 1µm 20&quot;"/>
    <s v="UN"/>
    <n v="13"/>
    <n v="11.5"/>
    <n v="149.5"/>
    <x v="3"/>
  </r>
  <r>
    <s v="007"/>
    <s v="PR02"/>
    <s v="830XOU310"/>
    <s v="Cerceaux acier 30*10*8mm melangeur 3%"/>
    <s v="UN"/>
    <n v="2"/>
    <n v="75"/>
    <n v="150"/>
    <x v="3"/>
  </r>
  <r>
    <s v="007"/>
    <s v="PR02"/>
    <s v="810ROU207"/>
    <s v="Roulement conique HM89410/2/QCL  AXE ROUE HYSTER"/>
    <s v="UN"/>
    <n v="2"/>
    <n v="75.098699999999994"/>
    <n v="150.19739999999999"/>
    <x v="3"/>
  </r>
  <r>
    <s v="007"/>
    <s v="PR01"/>
    <s v="815RES173"/>
    <s v="resistance HT50035   800W 230V"/>
    <s v="UN"/>
    <n v="2"/>
    <n v="75.246250000000003"/>
    <n v="150.49250000000001"/>
    <x v="3"/>
  </r>
  <r>
    <s v="007"/>
    <s v="PR01"/>
    <s v="812RAC026"/>
    <s v="RACCORD RAPIDE COUDE4*1/16"/>
    <s v="UN"/>
    <n v="54"/>
    <n v="2.7879999999999998"/>
    <n v="150.55199999999999"/>
    <x v="3"/>
  </r>
  <r>
    <s v="007"/>
    <s v="PR01"/>
    <s v="812RAC059"/>
    <s v="RACCORD COUDEE 6*1/8"/>
    <s v="UN"/>
    <n v="49"/>
    <n v="3.0855000000000001"/>
    <n v="151.18950000000001"/>
    <x v="3"/>
  </r>
  <r>
    <s v="007"/>
    <s v="PR01"/>
    <s v="812FLE005"/>
    <s v="Flexible DN06 3920 THP Soudure connexion"/>
    <s v="UN"/>
    <n v="3"/>
    <n v="50.4"/>
    <n v="151.19999999999999"/>
    <x v="3"/>
  </r>
  <r>
    <s v="007"/>
    <s v="PR02"/>
    <s v="810PIN002"/>
    <s v="PIGNON 08B 1B18"/>
    <s v="UN"/>
    <n v="10"/>
    <n v="15.1434"/>
    <n v="151.434"/>
    <x v="3"/>
  </r>
  <r>
    <s v="007"/>
    <s v="PR01"/>
    <s v="812TUB020"/>
    <s v="Tuyau spiralée D25 ENV SOVEMA"/>
    <s v="M"/>
    <n v="22"/>
    <n v="6.8849999999999998"/>
    <n v="151.47"/>
    <x v="3"/>
  </r>
  <r>
    <s v="007"/>
    <s v="PR02"/>
    <s v="820DIS003"/>
    <s v="Disque A ebarber 230"/>
    <s v="UN"/>
    <n v="22"/>
    <n v="6.8979999999999997"/>
    <n v="151.756"/>
    <x v="3"/>
  </r>
  <r>
    <s v="007"/>
    <s v="PR02"/>
    <s v="810rou139"/>
    <s v="Roulement 6007-2RS"/>
    <s v="UN"/>
    <n v="8"/>
    <n v="18.998248275862071"/>
    <n v="151.98598620689657"/>
    <x v="3"/>
  </r>
  <r>
    <s v="007"/>
    <s v="PR01"/>
    <s v="815ELE084"/>
    <s v="Transformateur 400VA PRI 0-400V SEC 0-220V"/>
    <s v="UN"/>
    <n v="1"/>
    <n v="152.15"/>
    <n v="152.15"/>
    <x v="3"/>
  </r>
  <r>
    <s v="007"/>
    <s v="PR02"/>
    <s v="812FLE087"/>
    <s v="Flexible 4SH LG650 HYD Hyster 5.5T"/>
    <s v="UN"/>
    <n v="2"/>
    <n v="76.105800000000002"/>
    <n v="152.2116"/>
    <x v="3"/>
  </r>
  <r>
    <s v="007"/>
    <s v="PR02"/>
    <s v="820XMC079"/>
    <s v="VIS TH (acier) M16*50"/>
    <s v="UN"/>
    <n v="145"/>
    <n v="1.0529999999999999"/>
    <n v="152.685"/>
    <x v="3"/>
  </r>
  <r>
    <s v="007"/>
    <s v="PR01"/>
    <s v="815rel014"/>
    <s v="Relais thermoregulateur TF4-M1  48*48"/>
    <s v="UN"/>
    <n v="2"/>
    <n v="76.388249999999999"/>
    <n v="152.7765"/>
    <x v="3"/>
  </r>
  <r>
    <s v="007"/>
    <s v="PR02"/>
    <s v="708MEC022"/>
    <s v="Guide sleeve for ball L80*OD39.1*ID32.5"/>
    <s v="UN"/>
    <n v="4"/>
    <n v="38.210900000000002"/>
    <n v="152.84360000000001"/>
    <x v="3"/>
  </r>
  <r>
    <s v="007"/>
    <s v="PR01"/>
    <s v="810ROU070"/>
    <s v="Roulement 6004-2z"/>
    <s v="UN"/>
    <n v="17"/>
    <n v="9"/>
    <n v="153"/>
    <x v="3"/>
  </r>
  <r>
    <s v="007"/>
    <s v="PR01"/>
    <s v="815XPE343"/>
    <s v="Socle pour rélais 14 broches"/>
    <s v="UN"/>
    <n v="15"/>
    <n v="10.228899999999999"/>
    <n v="153.43349999999998"/>
    <x v="3"/>
  </r>
  <r>
    <s v="007"/>
    <s v="PR01"/>
    <s v="810MAN008"/>
    <s v="MANOMETRE AIR DN100 600mBAR   1/2&quot;"/>
    <s v="UN"/>
    <n v="1"/>
    <n v="153.595"/>
    <n v="153.595"/>
    <x v="3"/>
  </r>
  <r>
    <s v="007"/>
    <s v="PR02"/>
    <s v="812COD043"/>
    <s v="Coude HYD double S/M"/>
    <s v="UN"/>
    <n v="8"/>
    <n v="19.2"/>
    <n v="153.6"/>
    <x v="3"/>
  </r>
  <r>
    <s v="007"/>
    <s v="PR01"/>
    <s v="815REL010"/>
    <s v="Relais alternatif 24VAC 14 broches"/>
    <s v="UN"/>
    <n v="9"/>
    <n v="17.094903703703704"/>
    <n v="153.85413333333332"/>
    <x v="3"/>
  </r>
  <r>
    <s v="007"/>
    <s v="PR02"/>
    <s v="812FLE086"/>
    <s v="Flexible HYD LG2600 HYSTER 5.5T"/>
    <s v="UN"/>
    <n v="2"/>
    <n v="77.004000000000005"/>
    <n v="154.00800000000001"/>
    <x v="3"/>
  </r>
  <r>
    <s v="007"/>
    <s v="PR01"/>
    <s v="810PIN009"/>
    <s v="PIGNON 32DENT"/>
    <s v="UN"/>
    <n v="5"/>
    <n v="31.013999999999999"/>
    <n v="155.07"/>
    <x v="3"/>
  </r>
  <r>
    <s v="007"/>
    <s v="PR01"/>
    <s v="812COL066"/>
    <s v="Collier INOX D10-16"/>
    <s v="UN"/>
    <n v="120"/>
    <n v="1.2929999999999999"/>
    <n v="155.16"/>
    <x v="3"/>
  </r>
  <r>
    <s v="007"/>
    <s v="PR01"/>
    <s v="812VAN024"/>
    <s v="VANNE 1&quot; 1/2 GALVA"/>
    <s v="UN"/>
    <n v="5"/>
    <n v="31.045999999999999"/>
    <n v="155.22999999999999"/>
    <x v="3"/>
  </r>
  <r>
    <s v="007"/>
    <s v="PR01"/>
    <s v="810CHA006"/>
    <s v="Chaine 04B-1 PAS6mm Soudure borne"/>
    <s v="M"/>
    <n v="5"/>
    <n v="31.05"/>
    <n v="155.25"/>
    <x v="3"/>
  </r>
  <r>
    <s v="007"/>
    <s v="PR02"/>
    <s v="810PAL011"/>
    <s v="Palier Rond PME30"/>
    <s v="UN"/>
    <n v="3"/>
    <n v="51.75"/>
    <n v="155.25"/>
    <x v="3"/>
  </r>
  <r>
    <s v="007"/>
    <s v="PR01"/>
    <s v="820XMC418"/>
    <s v="vis six pans (acier) M14*50"/>
    <s v="UN"/>
    <n v="152"/>
    <n v="1.0269999999999999"/>
    <n v="156.10399999999998"/>
    <x v="3"/>
  </r>
  <r>
    <s v="007"/>
    <s v="PR01"/>
    <s v="810ROU004"/>
    <s v="Roulement YAR 205-2F"/>
    <s v="UN"/>
    <n v="4"/>
    <n v="39.055500000000002"/>
    <n v="156.22200000000001"/>
    <x v="3"/>
  </r>
  <r>
    <s v="007"/>
    <s v="PR02"/>
    <s v="815SEL335"/>
    <s v="SELECTEUR 3P"/>
    <s v="UN"/>
    <n v="7"/>
    <n v="22.395800000000001"/>
    <n v="156.7706"/>
    <x v="3"/>
  </r>
  <r>
    <s v="007"/>
    <s v="PR01"/>
    <s v="812RAC593"/>
    <s v="REGULATEUR DE DEBIT TUBE D8 G1/8 "/>
    <s v="UN"/>
    <n v="13"/>
    <n v="12.07"/>
    <n v="156.91"/>
    <x v="3"/>
  </r>
  <r>
    <s v="007"/>
    <s v="PR02"/>
    <s v="812FLE088"/>
    <s v="Flexible HYD LG1250 THP Hyster 5.5T"/>
    <s v="UN"/>
    <n v="2"/>
    <n v="78.525000000000006"/>
    <n v="157.05000000000001"/>
    <x v="3"/>
  </r>
  <r>
    <s v="007"/>
    <s v="PR02"/>
    <s v="815XPE143"/>
    <s v="Bobine NG6 110 AC CETOP 03 emp classique"/>
    <s v="UN"/>
    <n v="1"/>
    <n v="157.45500000000001"/>
    <n v="157.45500000000001"/>
    <x v="3"/>
  </r>
  <r>
    <s v="007"/>
    <s v="PR01"/>
    <s v="812RAC597"/>
    <s v="RACCORD Egale 06/06"/>
    <s v="UN"/>
    <n v="79"/>
    <n v="1.9935000000000003"/>
    <n v="157.48650000000004"/>
    <x v="3"/>
  </r>
  <r>
    <s v="007"/>
    <s v="PR02"/>
    <s v="815ELE039"/>
    <s v="Transformateur 300VA 220/380/415v SEC 0.19.24"/>
    <s v="UN"/>
    <n v="1"/>
    <n v="157.5"/>
    <n v="157.5"/>
    <x v="3"/>
  </r>
  <r>
    <s v="007"/>
    <s v="PR02"/>
    <s v="820XMC251"/>
    <s v="Vis six pans (acier) M16*30"/>
    <s v="UN"/>
    <n v="120"/>
    <n v="1.3158000000000001"/>
    <n v="157.89600000000002"/>
    <x v="3"/>
  </r>
  <r>
    <s v="007"/>
    <s v="PR02"/>
    <s v="810ACC204"/>
    <s v="ACCOUPLEMENT C42 (POUR VIS OXYDE)"/>
    <s v="UN"/>
    <n v="2"/>
    <n v="79.11"/>
    <n v="158.22"/>
    <x v="3"/>
  </r>
  <r>
    <s v="007"/>
    <s v="PR02"/>
    <s v="815ele034"/>
    <s v="Sectionneur 125A 4P"/>
    <s v="UN"/>
    <n v="1"/>
    <n v="158.32149999999999"/>
    <n v="158.32149999999999"/>
    <x v="3"/>
  </r>
  <r>
    <s v="007"/>
    <s v="PR01"/>
    <s v="812RAC041"/>
    <s v="RACCORD RAPIDE DROIT G-1/4-8 "/>
    <s v="UN"/>
    <n v="55"/>
    <n v="2.88"/>
    <n v="158.4"/>
    <x v="3"/>
  </r>
  <r>
    <s v="007"/>
    <s v="PR01"/>
    <s v="830XOU164"/>
    <s v="Tapis Caoutchouc EP10mm 2m/1m"/>
    <s v="UN"/>
    <n v="1"/>
    <n v="158.625"/>
    <n v="158.625"/>
    <x v="3"/>
  </r>
  <r>
    <s v="007"/>
    <s v="PR01"/>
    <s v="810RED010"/>
    <s v="REDUCTEUR PMRV 040 71 B5/15"/>
    <s v="UN"/>
    <n v="1"/>
    <n v="158.904"/>
    <n v="158.904"/>
    <x v="3"/>
  </r>
  <r>
    <s v="007"/>
    <s v="PR02"/>
    <s v="810COU029"/>
    <s v="Courroie trapez  B2845LI 2889LD  Chinois"/>
    <s v="UN"/>
    <n v="5"/>
    <n v="31.806000000000001"/>
    <n v="159.03"/>
    <x v="3"/>
  </r>
  <r>
    <s v="007"/>
    <s v="PR02"/>
    <s v="820XMC187"/>
    <s v="Barreau clavette  16 ACIER"/>
    <s v="UN"/>
    <n v="3"/>
    <n v="53.29"/>
    <n v="159.87"/>
    <x v="3"/>
  </r>
  <r>
    <s v="007"/>
    <s v="PR02"/>
    <s v="810rox015"/>
    <s v="Toc d'accouplement C42 Vis oxyde"/>
    <s v="UN"/>
    <n v="7"/>
    <n v="22.859999999999996"/>
    <n v="160.01999999999998"/>
    <x v="3"/>
  </r>
  <r>
    <s v="007"/>
    <s v="PR02"/>
    <s v="815CON043"/>
    <s v="Contact Auxiliaire LADN22"/>
    <s v="UN"/>
    <n v="9"/>
    <n v="17.920000000000002"/>
    <n v="161.28000000000003"/>
    <x v="3"/>
  </r>
  <r>
    <s v="007"/>
    <s v="PR01"/>
    <s v="815ELE010"/>
    <s v="Minuterie Electrovanne Bobine Danfoss"/>
    <s v="UN"/>
    <n v="2"/>
    <n v="80.91"/>
    <n v="161.82"/>
    <x v="3"/>
  </r>
  <r>
    <s v="007"/>
    <s v="PR01"/>
    <s v="820XMC373"/>
    <s v="vis tête hexagonale M10*50 (acier)  Demi filtage"/>
    <s v="UN"/>
    <n v="350"/>
    <n v="0.46300000000000002"/>
    <n v="162.05000000000001"/>
    <x v="3"/>
  </r>
  <r>
    <s v="007"/>
    <s v="PR01"/>
    <s v="-"/>
    <s v="REGULATEUR DEBIT D6 "/>
    <s v="UN"/>
    <n v="10"/>
    <n v="16.22"/>
    <n v="162.19999999999999"/>
    <x v="3"/>
  </r>
  <r>
    <s v="007"/>
    <s v="PR01"/>
    <s v="812XMC005"/>
    <s v="JOINT ETANCHEITE BATTERIE M SPECIAL"/>
    <s v="UN"/>
    <n v="28"/>
    <n v="5.7948750000000002"/>
    <n v="162.25650000000002"/>
    <x v="3"/>
  </r>
  <r>
    <s v="007"/>
    <s v="PR01"/>
    <s v="812RAC592 "/>
    <s v=" Raccord rapide avec limiteur 6*1/8"/>
    <s v="UN"/>
    <n v="12"/>
    <n v="13.53"/>
    <n v="162.35999999999999"/>
    <x v="3"/>
  </r>
  <r>
    <s v="007"/>
    <s v="PR01"/>
    <s v="820XMC475"/>
    <s v="écrou (acier) M16"/>
    <s v="UN"/>
    <n v="536"/>
    <n v="0.30299999999999999"/>
    <n v="162.40799999999999"/>
    <x v="3"/>
  </r>
  <r>
    <s v="007"/>
    <s v="PR01"/>
    <s v="812VAN735"/>
    <s v="Vanne PVC20"/>
    <s v="UN"/>
    <n v="6"/>
    <n v="27.2"/>
    <n v="163.19999999999999"/>
    <x v="3"/>
  </r>
  <r>
    <s v="007"/>
    <s v="PR02"/>
    <s v="810CRE002"/>
    <s v="Cremaillere M3/2000mm malaxeur SOVEMA"/>
    <s v="UN"/>
    <n v="2"/>
    <n v="81.62"/>
    <n v="163.24"/>
    <x v="3"/>
  </r>
  <r>
    <s v="007"/>
    <s v="PR01"/>
    <s v="812FLE030"/>
    <s v="Flexible Balflex airpressor air&amp;water 1/2"/>
    <s v="M"/>
    <n v="36"/>
    <n v="4.5476999999999999"/>
    <n v="163.71719999999999"/>
    <x v="3"/>
  </r>
  <r>
    <s v="007"/>
    <s v="PR01"/>
    <s v="812COL662"/>
    <s v="Collier de serrage 50-70"/>
    <s v="UN"/>
    <n v="89"/>
    <n v="1.8508579999999999"/>
    <n v="164.72636199999999"/>
    <x v="3"/>
  </r>
  <r>
    <s v="007"/>
    <s v="PR02"/>
    <s v="810XPM066"/>
    <s v="Attache rapide 1/2 pour chaine 12B2"/>
    <s v="UN"/>
    <n v="21"/>
    <n v="7.8668181818181813"/>
    <n v="165.2031818181818"/>
    <x v="3"/>
  </r>
  <r>
    <s v="007"/>
    <s v="PR01"/>
    <s v="820XMC409"/>
    <s v="vis six pans (acier) M10*40"/>
    <s v="UN"/>
    <n v="321"/>
    <n v="0.51533571428571434"/>
    <n v="165.42276428571429"/>
    <x v="3"/>
  </r>
  <r>
    <s v="007"/>
    <s v="PR02"/>
    <s v="810ROU080"/>
    <s v="ROULEMENT 6209-2Z"/>
    <s v="UN"/>
    <n v="6"/>
    <n v="27.622640000000001"/>
    <n v="165.73584"/>
    <x v="3"/>
  </r>
  <r>
    <s v="007"/>
    <s v="PR02"/>
    <s v="812FLE079"/>
    <s v="Flexible DN13 LG4700 THP   +02 RACCORDS"/>
    <s v="UN"/>
    <n v="2"/>
    <n v="83.16"/>
    <n v="166.32"/>
    <x v="3"/>
  </r>
  <r>
    <s v="007"/>
    <s v="PR02"/>
    <s v="815CON027"/>
    <s v="Contacteur 32A 3P 48VAC"/>
    <s v="UN"/>
    <n v="1"/>
    <n v="166.86"/>
    <n v="166.86"/>
    <x v="3"/>
  </r>
  <r>
    <s v="007"/>
    <s v="PR02"/>
    <s v="815ELE043"/>
    <s v="Transformateur 380V-110V 630VA  EMP CHI"/>
    <s v="UN"/>
    <n v="1"/>
    <n v="167.148"/>
    <n v="167.148"/>
    <x v="3"/>
  </r>
  <r>
    <s v="007"/>
    <s v="PR02"/>
    <s v="810PIN026"/>
    <s v="Pignon PS 1/2 Z20 08B1  20dents"/>
    <s v="UN"/>
    <n v="7"/>
    <n v="23.895"/>
    <n v="167.26499999999999"/>
    <x v="3"/>
  </r>
  <r>
    <s v="007"/>
    <s v="PR01"/>
    <s v="815CAP004"/>
    <s v="CAPTEUR E3RB-RP21"/>
    <s v="UN"/>
    <n v="2"/>
    <n v="83.674999999999997"/>
    <n v="167.35"/>
    <x v="3"/>
  </r>
  <r>
    <s v="007"/>
    <s v="PR02"/>
    <s v="815BOB248"/>
    <s v="Bobine Danfoss 220V ELECTROVANNE"/>
    <s v="UN"/>
    <n v="2"/>
    <n v="83.718000000000004"/>
    <n v="167.43600000000001"/>
    <x v="3"/>
  </r>
  <r>
    <s v="007"/>
    <s v="PR01"/>
    <s v="701ele066"/>
    <s v="CONNECTOR 16 PIN FEMALE (A3036195) 1207700000"/>
    <s v="UN"/>
    <n v="4"/>
    <n v="42"/>
    <n v="168"/>
    <x v="3"/>
  </r>
  <r>
    <s v="007"/>
    <s v="PR02"/>
    <s v="810ROU191"/>
    <s v="Roulement 6307-2Z Boite MEL FOND"/>
    <s v="UN"/>
    <n v="6"/>
    <n v="28.08"/>
    <n v="168.48"/>
    <x v="3"/>
  </r>
  <r>
    <s v="007"/>
    <s v="PR01"/>
    <s v="812COD681"/>
    <s v="COUDE PVC P75  90°"/>
    <s v="UN"/>
    <n v="15"/>
    <n v="11.2506"/>
    <n v="168.75900000000001"/>
    <x v="3"/>
  </r>
  <r>
    <s v="007"/>
    <s v="PR02"/>
    <s v="810COU062"/>
    <s v="COURROIE HTD 560 8M 30 PUNSHING"/>
    <s v="UN"/>
    <n v="4"/>
    <n v="42.3"/>
    <n v="169.2"/>
    <x v="3"/>
  </r>
  <r>
    <s v="007"/>
    <s v="PR02"/>
    <s v="810COU014"/>
    <s v="Courroie trapezoidale 3150*10 SPZ"/>
    <s v="UN"/>
    <n v="6"/>
    <n v="28.229260000000004"/>
    <n v="169.37556000000001"/>
    <x v="3"/>
  </r>
  <r>
    <s v="007"/>
    <s v="PR01"/>
    <s v="810ROU048"/>
    <s v="Roulement 61805 2RS1"/>
    <s v="UN"/>
    <n v="9"/>
    <n v="18.839700000000001"/>
    <n v="169.5573"/>
    <x v="3"/>
  </r>
  <r>
    <s v="007"/>
    <s v="PR01"/>
    <s v="812TUB001"/>
    <s v="TUBE BARGATAIRE D32"/>
    <s v="M"/>
    <n v="40"/>
    <n v="4.2410595238095237"/>
    <n v="169.64238095238096"/>
    <x v="3"/>
  </r>
  <r>
    <s v="007"/>
    <s v="PR02"/>
    <s v="810PAR003"/>
    <s v="PARAHUILE 70*90*10 HAUT TEMP  MEL FOND"/>
    <s v="UN"/>
    <n v="8"/>
    <n v="21.231987428571426"/>
    <n v="169.8558994285714"/>
    <x v="3"/>
  </r>
  <r>
    <s v="007"/>
    <s v="PR01"/>
    <s v="812CLA007"/>
    <s v="CLAPET ANTI-RETOUR 2&quot;"/>
    <s v="UN"/>
    <n v="2"/>
    <n v="84.96"/>
    <n v="169.92"/>
    <x v="3"/>
  </r>
  <r>
    <s v="007"/>
    <s v="PR01"/>
    <s v="815XPE033"/>
    <s v="Domino plastique 80A"/>
    <s v="UN"/>
    <n v="25"/>
    <n v="6.8080000000000007"/>
    <n v="170.20000000000002"/>
    <x v="3"/>
  </r>
  <r>
    <s v="007"/>
    <s v="PR02"/>
    <s v="701ELE074"/>
    <s v="Thermocouple D5*25 1500+bay11 Moule M.G"/>
    <s v="UN"/>
    <n v="4"/>
    <n v="42.722999999999999"/>
    <n v="170.892"/>
    <x v="3"/>
  </r>
  <r>
    <s v="007"/>
    <s v="PR01"/>
    <s v="815RES022"/>
    <s v="Resistance L450/230V/1700W"/>
    <s v="UN"/>
    <n v="2"/>
    <n v="85.5"/>
    <n v="171"/>
    <x v="3"/>
  </r>
  <r>
    <s v="007"/>
    <s v="PR02"/>
    <s v="815XPE150"/>
    <s v="GYROPHARE JAUNE LED 24V AC/DC  + BUZZER"/>
    <s v="UN"/>
    <n v="1"/>
    <n v="171"/>
    <n v="171"/>
    <x v="3"/>
  </r>
  <r>
    <s v="007"/>
    <s v="PR01"/>
    <s v="812xmc009"/>
    <s v="Joint  SPONGIEUX 20/40 Bassinde charge"/>
    <s v="M"/>
    <n v="7"/>
    <n v="24.5"/>
    <n v="171.5"/>
    <x v="3"/>
  </r>
  <r>
    <s v="007"/>
    <s v="PR02"/>
    <s v="815XPE441"/>
    <s v="Connecteur thermocouple type K Male"/>
    <s v="UN"/>
    <n v="5"/>
    <n v="34.305660000000003"/>
    <n v="171.5283"/>
    <x v="3"/>
  </r>
  <r>
    <s v="007"/>
    <s v="PR02"/>
    <s v="815XPE442"/>
    <s v="Connecteur thermocouple type K Femelle"/>
    <s v="UN"/>
    <n v="5"/>
    <n v="34.305660000000003"/>
    <n v="171.5283"/>
    <x v="3"/>
  </r>
  <r>
    <s v="007"/>
    <s v="PR01"/>
    <s v="812FLE609"/>
    <s v="Flexible04"/>
    <s v="UN"/>
    <n v="150"/>
    <n v="1.1475"/>
    <n v="172.125"/>
    <x v="3"/>
  </r>
  <r>
    <s v="007"/>
    <s v="PR02"/>
    <s v="820XMC111"/>
    <s v="VIS TH (acier) M14*50"/>
    <s v="UN"/>
    <n v="120"/>
    <n v="1.4379999999999999"/>
    <n v="172.56"/>
    <x v="3"/>
  </r>
  <r>
    <s v="007"/>
    <s v="PR01"/>
    <s v="812RAC021"/>
    <s v="RACCORD DROIT 6*3/8"/>
    <s v="UN"/>
    <n v="43"/>
    <n v="4.0205000000000002"/>
    <n v="172.88150000000002"/>
    <x v="3"/>
  </r>
  <r>
    <s v="007"/>
    <s v="PR01"/>
    <s v="815GAI318"/>
    <s v="gaine anti chaleur 6mm"/>
    <s v="UN"/>
    <n v="50"/>
    <n v="3.4649999999999999"/>
    <n v="173.25"/>
    <x v="3"/>
  </r>
  <r>
    <s v="007"/>
    <s v="PR02"/>
    <s v="815XPE250"/>
    <s v="Bouton poussoir NC ? 22 mm"/>
    <s v="UN"/>
    <n v="14"/>
    <n v="12.4"/>
    <n v="173.6"/>
    <x v="3"/>
  </r>
  <r>
    <s v="007"/>
    <s v="PR02"/>
    <s v="810ROU184"/>
    <s v="Roulement 6210-2RS1 EMP Industrielle"/>
    <s v="UN"/>
    <n v="4"/>
    <n v="43.556399999999996"/>
    <n v="174.22559999999999"/>
    <x v="3"/>
  </r>
  <r>
    <s v="007"/>
    <s v="PR02"/>
    <s v="815RES158"/>
    <s v="résistance Cartouche 320mm/d12/1500w/220V"/>
    <s v="UN"/>
    <n v="1"/>
    <n v="174.29204333333331"/>
    <n v="174.29204333333331"/>
    <x v="3"/>
  </r>
  <r>
    <s v="007"/>
    <s v="PR02"/>
    <s v="810CHA005"/>
    <s v="chaines DOUBLE 10B-2"/>
    <s v="M"/>
    <n v="5"/>
    <n v="34.887184615384612"/>
    <n v="174.43592307692307"/>
    <x v="3"/>
  </r>
  <r>
    <s v="007"/>
    <s v="PR01"/>
    <s v="810ROX034"/>
    <s v="Toc d'accouplement EL 148 HA Comp sullair"/>
    <s v="UN"/>
    <n v="1"/>
    <n v="174.6"/>
    <n v="174.6"/>
    <x v="3"/>
  </r>
  <r>
    <s v="007"/>
    <s v="PR01"/>
    <s v="815XPE023"/>
    <s v="ELECTROVANNE D 1/4&quot; Bobine 24VDC"/>
    <s v="UN"/>
    <n v="4"/>
    <n v="43.74"/>
    <n v="174.96"/>
    <x v="3"/>
  </r>
  <r>
    <s v="007"/>
    <s v="PR02"/>
    <s v="810ROU066"/>
    <s v="Roulement YAR 208"/>
    <s v="UN"/>
    <n v="2"/>
    <n v="87.66"/>
    <n v="175.32"/>
    <x v="3"/>
  </r>
  <r>
    <s v="007"/>
    <s v="PR02"/>
    <s v="815REL009"/>
    <s v="Relais thermique 7A-10A"/>
    <s v="UN"/>
    <n v="2"/>
    <n v="87.75"/>
    <n v="175.5"/>
    <x v="3"/>
  </r>
  <r>
    <s v="007"/>
    <s v="PR01"/>
    <s v="815DIS002"/>
    <s v="DISJONCTEUR MOTEUR 2.5A--4A"/>
    <s v="UN"/>
    <n v="2"/>
    <n v="87.93"/>
    <n v="175.86"/>
    <x v="3"/>
  </r>
  <r>
    <s v="007"/>
    <s v="PR02"/>
    <s v="815DIS002"/>
    <s v="DISJONCTEUR MOTEUR 2.5A--4A"/>
    <s v="UN"/>
    <n v="2"/>
    <n v="87.93"/>
    <n v="175.86"/>
    <x v="3"/>
  </r>
  <r>
    <s v="007"/>
    <s v="PR02"/>
    <s v="810PAR129"/>
    <s v="Parahuile 100*120*10 Chariot maximal"/>
    <s v="UN"/>
    <n v="6"/>
    <n v="29.336232857142853"/>
    <n v="176.01739714285713"/>
    <x v="3"/>
  </r>
  <r>
    <s v="007"/>
    <s v="PR02"/>
    <s v="810CHA002"/>
    <s v="ATTACHE DOUBLE PAS 25.4 16B-2CL"/>
    <s v="UN"/>
    <n v="20"/>
    <n v="8.8109999999999999"/>
    <n v="176.22"/>
    <x v="3"/>
  </r>
  <r>
    <s v="007"/>
    <s v="PR02"/>
    <s v="820XMC383"/>
    <s v="vis tête hexagonale M16*60 (acier)"/>
    <s v="UN"/>
    <n v="160"/>
    <n v="1.1100000000000001"/>
    <n v="177.60000000000002"/>
    <x v="3"/>
  </r>
  <r>
    <s v="007"/>
    <s v="PR02"/>
    <s v="815REL028"/>
    <s v="Relais thermique 4A-6A"/>
    <s v="UN"/>
    <n v="2"/>
    <n v="89.1"/>
    <n v="178.2"/>
    <x v="3"/>
  </r>
  <r>
    <s v="007"/>
    <s v="PR02"/>
    <s v="810COU036"/>
    <s v="Courroie Trapez 3350 SPC 307 NB"/>
    <s v="UN"/>
    <n v="6"/>
    <n v="29.7"/>
    <n v="178.2"/>
    <x v="3"/>
  </r>
  <r>
    <s v="007"/>
    <s v="PR01"/>
    <s v="815DIS001"/>
    <s v="DISJONCTEUR MOTEUR 4 A-6.3A"/>
    <s v="UN"/>
    <n v="2"/>
    <n v="89.503"/>
    <n v="179.006"/>
    <x v="3"/>
  </r>
  <r>
    <s v="007"/>
    <s v="PR01"/>
    <s v="820XMC437"/>
    <s v="vis tête hexagonale M10*80 (Inox)"/>
    <s v="UN"/>
    <n v="136"/>
    <n v="1.3174999999999999"/>
    <n v="179.17999999999998"/>
    <x v="3"/>
  </r>
  <r>
    <s v="007"/>
    <s v="PR01"/>
    <s v="812VER016"/>
    <s v="STOP VERIN 3/8 CAMOZZI VBU-3/8 CLAPET.UNIDIRECT"/>
    <s v="UN"/>
    <n v="2"/>
    <n v="89.798400000000001"/>
    <n v="179.5968"/>
    <x v="3"/>
  </r>
  <r>
    <s v="007"/>
    <s v="PR02"/>
    <s v="820XMC088"/>
    <s v="VIS TH (acier) M14X50"/>
    <s v="UN"/>
    <n v="180"/>
    <n v="0.998"/>
    <n v="179.64"/>
    <x v="3"/>
  </r>
  <r>
    <s v="007"/>
    <s v="PR01"/>
    <s v="815REL043"/>
    <s v="Thermo-controller LTR-5CSRE+Sonde"/>
    <s v="UN"/>
    <n v="2"/>
    <n v="90"/>
    <n v="180"/>
    <x v="3"/>
  </r>
  <r>
    <s v="007"/>
    <s v="PR02"/>
    <s v="810GOU006"/>
    <s v="GOUJON D8*50"/>
    <s v="UN"/>
    <n v="88"/>
    <n v="2.0499999999999998"/>
    <n v="180.39999999999998"/>
    <x v="3"/>
  </r>
  <r>
    <s v="007"/>
    <s v="PR02"/>
    <s v="812VAN032"/>
    <s v="Vanne PPR D63"/>
    <s v="UN"/>
    <n v="2"/>
    <n v="90.241"/>
    <n v="180.482"/>
    <x v="3"/>
  </r>
  <r>
    <s v="007"/>
    <s v="PR01"/>
    <s v="710MEC008"/>
    <s v="Cylindre A7006324 ENV SOVEMA"/>
    <s v="UN"/>
    <n v="2"/>
    <n v="90.438949896971096"/>
    <n v="180.87789979394219"/>
    <x v="3"/>
  </r>
  <r>
    <s v="007"/>
    <s v="PR01"/>
    <s v="815CON273"/>
    <s v="Contacteur  LC1D025 24VDC"/>
    <s v="UN"/>
    <n v="2"/>
    <n v="90.56"/>
    <n v="181.12"/>
    <x v="3"/>
  </r>
  <r>
    <s v="007"/>
    <s v="PR01"/>
    <s v="-"/>
    <s v="REGULATEUR DEBIT D8 "/>
    <s v="UN"/>
    <n v="10"/>
    <n v="18.16"/>
    <n v="181.6"/>
    <x v="3"/>
  </r>
  <r>
    <s v="007"/>
    <s v="PR01"/>
    <s v="810CHA100"/>
    <s v="chaines 010B-1"/>
    <s v="M"/>
    <n v="10"/>
    <n v="18.18"/>
    <n v="181.8"/>
    <x v="3"/>
  </r>
  <r>
    <s v="007"/>
    <s v="PR02"/>
    <s v="810CHA100"/>
    <s v="chaines 010B-1"/>
    <s v="M"/>
    <n v="10"/>
    <n v="18.18"/>
    <n v="181.8"/>
    <x v="3"/>
  </r>
  <r>
    <s v="007"/>
    <s v="PR01"/>
    <s v="815CON276"/>
    <s v="Contacteur LC1D032 220VAC"/>
    <s v="UN"/>
    <n v="1"/>
    <n v="181.9"/>
    <n v="181.9"/>
    <x v="3"/>
  </r>
  <r>
    <s v="007"/>
    <s v="PR02"/>
    <s v="810DOU003"/>
    <s v="DOUILLE A BILLES B81-DBKB-12  Guid M.G.Ha"/>
    <s v="UN"/>
    <n v="2"/>
    <n v="91.003500000000003"/>
    <n v="182.00700000000001"/>
    <x v="3"/>
  </r>
  <r>
    <s v="007"/>
    <s v="PR01"/>
    <s v="820XMC044"/>
    <s v="VIS TH M14*100"/>
    <s v="UN"/>
    <n v="120"/>
    <n v="1.5189999999999999"/>
    <n v="182.28"/>
    <x v="3"/>
  </r>
  <r>
    <s v="007"/>
    <s v="PR01"/>
    <s v="820XMC214"/>
    <s v="Vis d'arret M16*50"/>
    <s v="UN"/>
    <n v="33"/>
    <n v="5.5488"/>
    <n v="183.1104"/>
    <x v="3"/>
  </r>
  <r>
    <s v="007"/>
    <s v="PR01"/>
    <s v="812RAC592"/>
    <s v="Raccord rapide avec limiteur6*1/8"/>
    <s v="UN"/>
    <n v="12"/>
    <n v="15.3"/>
    <n v="183.60000000000002"/>
    <x v="3"/>
  </r>
  <r>
    <s v="007"/>
    <s v="PR01"/>
    <s v="810ROU016"/>
    <s v="Roulement 16004"/>
    <s v="UN"/>
    <n v="15"/>
    <n v="12.2445"/>
    <n v="183.66750000000002"/>
    <x v="3"/>
  </r>
  <r>
    <s v="007"/>
    <s v="PR01"/>
    <s v="701ELE006"/>
    <s v="Thermocouple universal 120/M (sonde a gaz)"/>
    <s v="UN"/>
    <n v="6"/>
    <n v="30.778500000000001"/>
    <n v="184.67099999999999"/>
    <x v="3"/>
  </r>
  <r>
    <s v="007"/>
    <s v="PR02"/>
    <s v="701ele006"/>
    <s v="Thermocouple universal 120/M (sonde a gaz)"/>
    <s v="UN"/>
    <n v="6"/>
    <n v="30.778500000000001"/>
    <n v="184.67099999999999"/>
    <x v="3"/>
  </r>
  <r>
    <s v="007"/>
    <s v="PR02"/>
    <s v="810PAL001"/>
    <s v="PALIER OVALE FYTB 509 M RLT YAR209-2F"/>
    <s v="UN"/>
    <n v="4"/>
    <n v="46.194749999999999"/>
    <n v="184.779"/>
    <x v="3"/>
  </r>
  <r>
    <s v="007"/>
    <s v="PR01"/>
    <s v="810PAL054"/>
    <s v="Palier Carrée Plastique FYWK506-Y  Tapis charge"/>
    <s v="UN"/>
    <n v="2"/>
    <n v="92.7"/>
    <n v="185.4"/>
    <x v="3"/>
  </r>
  <r>
    <s v="007"/>
    <s v="PR01"/>
    <s v="815XPE250"/>
    <s v="Bouton poussoir NC ? 22 mm"/>
    <s v="UN"/>
    <n v="15"/>
    <n v="12.4"/>
    <n v="186"/>
    <x v="3"/>
  </r>
  <r>
    <s v="007"/>
    <s v="PR01"/>
    <s v="820XMC582"/>
    <s v="Vis d'arrêt (acier) M08*25"/>
    <s v="UN"/>
    <n v="786"/>
    <n v="0.23749999999999999"/>
    <n v="186.67499999999998"/>
    <x v="3"/>
  </r>
  <r>
    <s v="007"/>
    <s v="PR02"/>
    <s v="701ELE060"/>
    <s v="Canne Type K WRN131 D8*117mm   strip chinois"/>
    <s v="UN"/>
    <n v="2"/>
    <n v="93.740625000000009"/>
    <n v="187.48125000000002"/>
    <x v="3"/>
  </r>
  <r>
    <s v="007"/>
    <s v="PR01"/>
    <s v="815XPE415"/>
    <s v="Bouton poussoir marche/arret+Voyant 220v"/>
    <s v="UN"/>
    <n v="4"/>
    <n v="46.904000000000003"/>
    <n v="187.61600000000001"/>
    <x v="3"/>
  </r>
  <r>
    <s v="007"/>
    <s v="PR01"/>
    <s v="812RAC066   "/>
    <s v="RACCORD COUDE 1/8 TUBE D8 "/>
    <s v="UN"/>
    <n v="49"/>
    <n v="3.84"/>
    <n v="188.16"/>
    <x v="3"/>
  </r>
  <r>
    <s v="007"/>
    <s v="PR02"/>
    <s v="820XMC460"/>
    <s v="vis six pans (Inox) M10*40"/>
    <s v="UN"/>
    <n v="140"/>
    <n v="1.3460000000000001"/>
    <n v="188.44"/>
    <x v="3"/>
  </r>
  <r>
    <s v="007"/>
    <s v="PR02"/>
    <s v="812VAN736"/>
    <s v="Vanne PVC25"/>
    <s v="UN"/>
    <n v="8"/>
    <n v="23.603999999999999"/>
    <n v="188.83199999999999"/>
    <x v="3"/>
  </r>
  <r>
    <s v="007"/>
    <s v="PR01"/>
    <s v="820XMC294"/>
    <s v="VIS TH (Acier) M10*72 Filtage 15mm Pour Moule"/>
    <s v="UN"/>
    <n v="25"/>
    <n v="7.5666666666666664"/>
    <n v="189.16666666666666"/>
    <x v="3"/>
  </r>
  <r>
    <s v="007"/>
    <s v="PR01"/>
    <s v="810ROU203"/>
    <s v="Roulement A Billes 61801-2rs (6801) S.con L1+L2"/>
    <s v="UN"/>
    <n v="6"/>
    <n v="31.5945"/>
    <n v="189.56700000000001"/>
    <x v="3"/>
  </r>
  <r>
    <s v="007"/>
    <s v="PR01"/>
    <s v="710MEC009"/>
    <s v="Cylindre A7006325 ENV SOVEMA"/>
    <s v="UN"/>
    <n v="2"/>
    <n v="94.803116001873192"/>
    <n v="189.60623200374638"/>
    <x v="3"/>
  </r>
  <r>
    <s v="007"/>
    <s v="PR01"/>
    <s v="810rou139"/>
    <s v="Roulement 6007-2RS"/>
    <s v="UN"/>
    <n v="10"/>
    <n v="18.998248275862071"/>
    <n v="189.9824827586207"/>
    <x v="3"/>
  </r>
  <r>
    <s v="007"/>
    <s v="PR02"/>
    <s v="810COU067"/>
    <s v="Courroie trapez 17*2438 B96  Melangeur fonderie"/>
    <s v="UN"/>
    <n v="5"/>
    <n v="38.130400000000002"/>
    <n v="190.65200000000002"/>
    <x v="3"/>
  </r>
  <r>
    <s v="007"/>
    <s v="PR01"/>
    <s v="810PAL086"/>
    <s v="PALIER OVALE COMPL FYTBK 30TF"/>
    <s v="UN"/>
    <n v="5"/>
    <n v="38.228760000000001"/>
    <n v="191.1438"/>
    <x v="3"/>
  </r>
  <r>
    <s v="007"/>
    <s v="PR02"/>
    <s v="820XMC832"/>
    <s v="Tige fileté (INOX) M16"/>
    <s v="UN"/>
    <n v="4"/>
    <n v="47.84"/>
    <n v="191.36"/>
    <x v="3"/>
  </r>
  <r>
    <s v="007"/>
    <s v="PR01"/>
    <s v="815DIS296"/>
    <s v="DISJONCTEUR 63A 4 PORT"/>
    <s v="UN"/>
    <n v="2"/>
    <n v="95.715333333333319"/>
    <n v="191.43066666666664"/>
    <x v="3"/>
  </r>
  <r>
    <s v="007"/>
    <s v="PR02"/>
    <s v="810PIN056"/>
    <s v="PIGNON SIMPLE 12B1-15DENTS"/>
    <s v="UN"/>
    <n v="5"/>
    <n v="38.300400000000003"/>
    <n v="191.50200000000001"/>
    <x v="3"/>
  </r>
  <r>
    <s v="007"/>
    <s v="PR01"/>
    <s v="810ROU211"/>
    <s v="ROULEMENT 6312-C3"/>
    <s v="UN"/>
    <n v="2"/>
    <n v="95.915700000000001"/>
    <n v="191.8314"/>
    <x v="3"/>
  </r>
  <r>
    <s v="007"/>
    <s v="PR01"/>
    <s v="812RAC052"/>
    <s v="RACCORD DROIT 8*1/8"/>
    <s v="UN"/>
    <n v="70"/>
    <n v="2.7454999999999998"/>
    <n v="192.185"/>
    <x v="3"/>
  </r>
  <r>
    <s v="007"/>
    <s v="PR02"/>
    <s v="810PIN072"/>
    <s v="Pignon 16B1 16dents Casse batterie"/>
    <s v="UN"/>
    <n v="3"/>
    <n v="64.062899999999999"/>
    <n v="192.18869999999998"/>
    <x v="3"/>
  </r>
  <r>
    <s v="007"/>
    <s v="PR02"/>
    <s v="810ROU027"/>
    <s v="Roulement 6206 2Z"/>
    <s v="UN"/>
    <n v="12"/>
    <n v="16.02"/>
    <n v="192.24"/>
    <x v="3"/>
  </r>
  <r>
    <s v="007"/>
    <s v="PR02"/>
    <s v="810ROU156"/>
    <s v="Roulement 3306 A-2ZTN9/MT33"/>
    <s v="UN"/>
    <n v="1"/>
    <n v="192.5136"/>
    <n v="192.5136"/>
    <x v="3"/>
  </r>
  <r>
    <s v="007"/>
    <s v="PR01"/>
    <s v="840FRM005"/>
    <s v="CARNET BON DE SORTIE PDR 3 x 50"/>
    <s v="UN"/>
    <n v="25"/>
    <n v="7.7345831325301209"/>
    <n v="193.36457831325302"/>
    <x v="3"/>
  </r>
  <r>
    <s v="007"/>
    <s v="PR01"/>
    <s v="812RAC112"/>
    <s v="Raccord A olive laiton 1/4&quot; *8   Moule"/>
    <s v="UN"/>
    <n v="43"/>
    <n v="4.5"/>
    <n v="193.5"/>
    <x v="3"/>
  </r>
  <r>
    <s v="007"/>
    <s v="PR01"/>
    <s v="812VER188"/>
    <s v="VERIN D63 C150 1320.63.150.01"/>
    <s v="UN"/>
    <n v="1"/>
    <n v="193.8015"/>
    <n v="193.8015"/>
    <x v="3"/>
  </r>
  <r>
    <s v="007"/>
    <s v="PR02"/>
    <s v="815XPE297"/>
    <s v="domino en céramique 2x6mm"/>
    <s v="UN"/>
    <n v="30"/>
    <n v="6.48"/>
    <n v="194.4"/>
    <x v="3"/>
  </r>
  <r>
    <s v="007"/>
    <s v="PR02"/>
    <s v="820XMC818"/>
    <s v="VIS TH (acier) M14*70"/>
    <s v="UN"/>
    <n v="210"/>
    <n v="0.92800000000000005"/>
    <n v="194.88000000000002"/>
    <x v="3"/>
  </r>
  <r>
    <s v="007"/>
    <s v="PR02"/>
    <s v="812COL080"/>
    <s v="COLLIER CLAMP D25-38 INOX    STRIP"/>
    <s v="UN"/>
    <n v="10"/>
    <n v="19.4922"/>
    <n v="194.922"/>
    <x v="3"/>
  </r>
  <r>
    <s v="007"/>
    <s v="PR01"/>
    <s v="810ACC006"/>
    <s v="ACCOUPLEMENT Aluminium GET 28*38 SG   ENV ELBAK"/>
    <s v="UN"/>
    <n v="1"/>
    <n v="194.99600000000001"/>
    <n v="194.99600000000001"/>
    <x v="3"/>
  </r>
  <r>
    <s v="007"/>
    <s v="PR01"/>
    <s v="812EXT174"/>
    <s v="Extracteur 03,5mm/L167 Moule"/>
    <s v="UN"/>
    <n v="39"/>
    <n v="5.0084999999999997"/>
    <n v="195.33149999999998"/>
    <x v="3"/>
  </r>
  <r>
    <s v="007"/>
    <s v="PR02"/>
    <s v="810PAR014"/>
    <s v="PARAHUILE 32*52*7 Emp Classique"/>
    <s v="UN"/>
    <n v="8"/>
    <n v="24.5016"/>
    <n v="196.0128"/>
    <x v="3"/>
  </r>
  <r>
    <s v="007"/>
    <s v="PR02"/>
    <s v="810XPM059"/>
    <s v="Joint etancheite TRESSE 10mm"/>
    <s v="M"/>
    <n v="7"/>
    <n v="28.015999999999998"/>
    <n v="196.11199999999999"/>
    <x v="3"/>
  </r>
  <r>
    <s v="007"/>
    <s v="PR01"/>
    <s v="815XPE336"/>
    <s v="Tube neon LED 1.2 Canalis"/>
    <s v="UN"/>
    <n v="20"/>
    <n v="9.8103999999999996"/>
    <n v="196.208"/>
    <x v="3"/>
  </r>
  <r>
    <s v="007"/>
    <s v="PR02"/>
    <s v="810COU030"/>
    <s v="Courroie trapez  B1112 2845LI 2888LW Chinois"/>
    <s v="UN"/>
    <n v="5"/>
    <n v="39.33"/>
    <n v="196.64999999999998"/>
    <x v="3"/>
  </r>
  <r>
    <s v="007"/>
    <s v="PR02"/>
    <s v="812DIS012"/>
    <s v="DISTRIBUTEUR CAMOZZI 951-000-P16-23"/>
    <s v="UN"/>
    <n v="1"/>
    <n v="198"/>
    <n v="198"/>
    <x v="3"/>
  </r>
  <r>
    <s v="007"/>
    <s v="PR02"/>
    <s v="812DIS014"/>
    <s v="DISTRIBUTEUR CAMOZZI M004-R00 16BAR"/>
    <s v="UN"/>
    <n v="1"/>
    <n v="198"/>
    <n v="198"/>
    <x v="3"/>
  </r>
  <r>
    <s v="007"/>
    <s v="PR02"/>
    <s v="812DIS016"/>
    <s v="DISTRIBUTEUR CAMOZZI 952-000-P15"/>
    <s v="UN"/>
    <n v="1"/>
    <n v="198"/>
    <n v="198"/>
    <x v="3"/>
  </r>
  <r>
    <s v="007"/>
    <s v="PR02"/>
    <s v="810ROU030"/>
    <s v="Roulement 6212"/>
    <s v="UN"/>
    <n v="4"/>
    <n v="49.515300000000003"/>
    <n v="198.06120000000001"/>
    <x v="3"/>
  </r>
  <r>
    <s v="007"/>
    <s v="PR01"/>
    <s v="810COU131"/>
    <s v="Courroie SPB3070*16.3mm Filtre d'aspiration charg"/>
    <s v="UN"/>
    <n v="4"/>
    <n v="49.68"/>
    <n v="198.72"/>
    <x v="3"/>
  </r>
  <r>
    <s v="007"/>
    <s v="PR01"/>
    <s v="810PAL085"/>
    <s v="PALIER OVALE COMPL FYTBK 20TF"/>
    <s v="UN"/>
    <n v="5"/>
    <n v="39.761099999999999"/>
    <n v="198.80549999999999"/>
    <x v="3"/>
  </r>
  <r>
    <s v="007"/>
    <s v="PR02"/>
    <s v="810ROX002"/>
    <s v="GALET DE CAMB  AVEC AXE KRB 35PPA"/>
    <s v="UN"/>
    <n v="2"/>
    <n v="99.830249999999992"/>
    <n v="199.66049999999998"/>
    <x v="3"/>
  </r>
  <r>
    <s v="007"/>
    <s v="PR01"/>
    <s v="812FLE614"/>
    <s v="Flexible12"/>
    <s v="UN"/>
    <n v="60"/>
    <n v="3.33"/>
    <n v="199.8"/>
    <x v="3"/>
  </r>
  <r>
    <s v="007"/>
    <s v="PR01"/>
    <s v="815XPE331"/>
    <s v="Boite de jonction thermique p/cable 5*16mm2"/>
    <s v="UN"/>
    <n v="7"/>
    <n v="28.6"/>
    <n v="200.20000000000002"/>
    <x v="3"/>
  </r>
  <r>
    <s v="007"/>
    <s v="PR01"/>
    <s v="812VER095"/>
    <s v="VERIN D40 C20 1511.40.20 Fourchette COS"/>
    <s v="UN"/>
    <n v="2"/>
    <n v="100.2"/>
    <n v="200.4"/>
    <x v="3"/>
  </r>
  <r>
    <s v="007"/>
    <s v="PR02"/>
    <s v="810ROU119"/>
    <s v="Roulement a rouleaux 32010X/Q"/>
    <s v="UN"/>
    <n v="6"/>
    <n v="33.57"/>
    <n v="201.42000000000002"/>
    <x v="3"/>
  </r>
  <r>
    <s v="007"/>
    <s v="PR02"/>
    <s v="810ROU120"/>
    <s v="Roulement HK4020"/>
    <s v="UN"/>
    <n v="6"/>
    <n v="33.57"/>
    <n v="201.42000000000002"/>
    <x v="3"/>
  </r>
  <r>
    <s v="007"/>
    <s v="PR01"/>
    <s v="815XPE351"/>
    <s v="Ventilateur 220v"/>
    <s v="UN"/>
    <n v="9"/>
    <n v="22.429345098039217"/>
    <n v="201.86410588235296"/>
    <x v="3"/>
  </r>
  <r>
    <s v="007"/>
    <s v="PR02"/>
    <s v="820XMC239"/>
    <s v="Ressort acier L108*D50.3*EP3mm"/>
    <s v="UN"/>
    <n v="10"/>
    <n v="20.2"/>
    <n v="202"/>
    <x v="3"/>
  </r>
  <r>
    <s v="007"/>
    <s v="PR01"/>
    <s v="810COU259"/>
    <s v="courroi dent interieur MEGA PYNE T5  750x10"/>
    <s v="UN"/>
    <n v="9"/>
    <n v="22.5"/>
    <n v="202.5"/>
    <x v="3"/>
  </r>
  <r>
    <s v="007"/>
    <s v="PR01"/>
    <s v="810RED014"/>
    <s v="Reducteur WMI40 1/100 63 B5"/>
    <s v="UN"/>
    <n v="1"/>
    <n v="203.67"/>
    <n v="203.67"/>
    <x v="3"/>
  </r>
  <r>
    <s v="007"/>
    <s v="PR01"/>
    <s v="815ELE050"/>
    <s v="Transformateur 600VA 380/230v M60031R  Redresseur"/>
    <s v="UN"/>
    <n v="1"/>
    <n v="204.05269999999999"/>
    <n v="204.05269999999999"/>
    <x v="3"/>
  </r>
  <r>
    <s v="007"/>
    <s v="PR02"/>
    <s v="810XPM220"/>
    <s v="Silicone"/>
    <s v="UN"/>
    <n v="22"/>
    <n v="9.2929999999999993"/>
    <n v="204.44599999999997"/>
    <x v="3"/>
  </r>
  <r>
    <s v="007"/>
    <s v="PR02"/>
    <s v="810rou158"/>
    <s v="Butée de roulement 52208 vis de reglage epaisseur"/>
    <s v="UN"/>
    <n v="2"/>
    <n v="102.24"/>
    <n v="204.48"/>
    <x v="3"/>
  </r>
  <r>
    <s v="007"/>
    <s v="PR01"/>
    <s v="701ELE077"/>
    <s v="Thermocouple D4/L3000 0-400°C"/>
    <s v="UN"/>
    <n v="3"/>
    <n v="68.174999999999997"/>
    <n v="204.52499999999998"/>
    <x v="3"/>
  </r>
  <r>
    <s v="007"/>
    <s v="PR02"/>
    <s v="810ROU133"/>
    <s v="Roulement 61902-ZZ"/>
    <s v="UN"/>
    <n v="10"/>
    <n v="20.476800000000001"/>
    <n v="204.768"/>
    <x v="3"/>
  </r>
  <r>
    <s v="007"/>
    <s v="PR02"/>
    <s v="810PAR142"/>
    <s v="PARAHUILE 52*100*10 Boite melangeur"/>
    <s v="UN"/>
    <n v="4"/>
    <n v="51.232500000000002"/>
    <n v="204.93"/>
    <x v="3"/>
  </r>
  <r>
    <s v="007"/>
    <s v="PR01"/>
    <s v="812RAC203"/>
    <s v="Raccord rapide coudée M8*3/8"/>
    <s v="UN"/>
    <n v="25"/>
    <n v="8.2278000000000002"/>
    <n v="205.69499999999999"/>
    <x v="3"/>
  </r>
  <r>
    <s v="007"/>
    <s v="PR02"/>
    <s v="815XPE334"/>
    <s v="Alimentation Canalis"/>
    <s v="UN"/>
    <n v="4"/>
    <n v="51.488999999999997"/>
    <n v="205.95599999999999"/>
    <x v="3"/>
  </r>
  <r>
    <s v="007"/>
    <s v="PR02"/>
    <s v="701ELE041"/>
    <s v="Thermocouples TypeJ D5*40mm Bay12 PLQ CHAUF"/>
    <s v="UN"/>
    <n v="4"/>
    <n v="51.516010000000001"/>
    <n v="206.06404000000001"/>
    <x v="3"/>
  </r>
  <r>
    <s v="007"/>
    <s v="PR01"/>
    <s v="820XMC647"/>
    <s v="Tige fileté (INOX) M10"/>
    <s v="UN"/>
    <n v="12"/>
    <n v="17.193000000000001"/>
    <n v="206.31600000000003"/>
    <x v="3"/>
  </r>
  <r>
    <s v="007"/>
    <s v="PR02"/>
    <s v="815CON047"/>
    <s v="Contact Auxiliaire NO/NC"/>
    <s v="UN"/>
    <n v="9"/>
    <n v="23.035"/>
    <n v="207.315"/>
    <x v="3"/>
  </r>
  <r>
    <s v="007"/>
    <s v="PR01"/>
    <s v="820XMC483"/>
    <s v="écrou (Inox) M12"/>
    <s v="UN"/>
    <n v="501"/>
    <n v="0.41649999999999998"/>
    <n v="208.66649999999998"/>
    <x v="3"/>
  </r>
  <r>
    <s v="007"/>
    <s v="PR01"/>
    <s v="815XPE341"/>
    <s v="Serre câble plastique 8*500mm"/>
    <s v="UN"/>
    <n v="6"/>
    <n v="34.799999999999997"/>
    <n v="208.79999999999998"/>
    <x v="3"/>
  </r>
  <r>
    <s v="007"/>
    <s v="PR01"/>
    <s v="701ELE068"/>
    <s v="Sortie complet pour redresseur  ZU3000002"/>
    <s v="UN"/>
    <n v="1"/>
    <n v="209.34899999999999"/>
    <n v="209.34899999999999"/>
    <x v="3"/>
  </r>
  <r>
    <s v="007"/>
    <s v="PR01"/>
    <s v="815ele005"/>
    <s v="ELECTROVANNE DN25"/>
    <s v="UN"/>
    <n v="2"/>
    <n v="104.83199999999999"/>
    <n v="209.66399999999999"/>
    <x v="3"/>
  </r>
  <r>
    <s v="007"/>
    <s v="PR01"/>
    <s v="815gai002"/>
    <s v="Gaine thermoretractable D40"/>
    <s v="M"/>
    <n v="10"/>
    <n v="20.988800000000001"/>
    <n v="209.88800000000001"/>
    <x v="3"/>
  </r>
  <r>
    <s v="007"/>
    <s v="PR02"/>
    <s v="810ROU222"/>
    <s v="Roulement conique M802048/011/QCL7C HYSTER"/>
    <s v="UN"/>
    <n v="2"/>
    <n v="104.9967"/>
    <n v="209.99340000000001"/>
    <x v="3"/>
  </r>
  <r>
    <s v="007"/>
    <s v="PR01"/>
    <s v="812RAC589"/>
    <s v="Raccord rapide avec limiteur10*1/4"/>
    <s v="UN"/>
    <n v="15"/>
    <n v="14.025"/>
    <n v="210.375"/>
    <x v="3"/>
  </r>
  <r>
    <s v="007"/>
    <s v="PR01"/>
    <s v="812VAN009"/>
    <s v="VANNE GAZ 3&quot; AVEC BRIDE DE FIXATION"/>
    <s v="UN"/>
    <n v="5"/>
    <n v="42.075000000000003"/>
    <n v="210.375"/>
    <x v="3"/>
  </r>
  <r>
    <s v="007"/>
    <s v="PR01"/>
    <s v="812VAN739"/>
    <s v="Vanne PVC PR D50"/>
    <s v="UN"/>
    <n v="6"/>
    <n v="35.191000000000003"/>
    <n v="211.14600000000002"/>
    <x v="3"/>
  </r>
  <r>
    <s v="007"/>
    <s v="PR01"/>
    <s v="810CHA135"/>
    <s v="Chaine 16B-1"/>
    <s v="M"/>
    <n v="5"/>
    <n v="42.3"/>
    <n v="211.5"/>
    <x v="3"/>
  </r>
  <r>
    <s v="007"/>
    <s v="PR02"/>
    <s v="810CHA135"/>
    <s v="Chaine 16B-1"/>
    <s v="M"/>
    <n v="5"/>
    <n v="42.3"/>
    <n v="211.5"/>
    <x v="3"/>
  </r>
  <r>
    <s v="007"/>
    <s v="PR01"/>
    <s v="820XMC830"/>
    <s v="ECROU A ENCOCHE KM5 ISB Axe brosse COS"/>
    <s v="UN"/>
    <n v="34"/>
    <n v="6.2240000000000002"/>
    <n v="211.61600000000001"/>
    <x v="3"/>
  </r>
  <r>
    <s v="007"/>
    <s v="PR01"/>
    <s v="810ROU121"/>
    <s v="Roulement 6307-2RS1"/>
    <s v="UN"/>
    <n v="6"/>
    <n v="35.276062499999995"/>
    <n v="211.65637499999997"/>
    <x v="3"/>
  </r>
  <r>
    <s v="007"/>
    <s v="PR02"/>
    <s v="810ROU017"/>
    <s v="Roulement 6004 2RSH  etanche"/>
    <s v="UN"/>
    <n v="17"/>
    <n v="12.5"/>
    <n v="212.5"/>
    <x v="3"/>
  </r>
  <r>
    <s v="007"/>
    <s v="PR02"/>
    <s v="810CHA101"/>
    <s v="chaines 012B-1"/>
    <s v="M"/>
    <n v="10"/>
    <n v="21.285"/>
    <n v="212.85"/>
    <x v="3"/>
  </r>
  <r>
    <s v="007"/>
    <s v="PR02"/>
    <s v="810par110"/>
    <s v="parahuile 100x125x12"/>
    <s v="UN"/>
    <n v="21"/>
    <n v="10.143000000000001"/>
    <n v="213.00300000000001"/>
    <x v="3"/>
  </r>
  <r>
    <s v="007"/>
    <s v="PR01"/>
    <s v="815CAP048"/>
    <s v="Capteur XS1-M18KP340 12/24VDC ENV HILANS"/>
    <s v="UN"/>
    <n v="1"/>
    <n v="213.28200000000001"/>
    <n v="213.28200000000001"/>
    <x v="3"/>
  </r>
  <r>
    <s v="007"/>
    <s v="PR02"/>
    <s v="810ROU214"/>
    <s v="ROULEMENT A BILLES 6011-2RS"/>
    <s v="UN"/>
    <n v="5"/>
    <n v="42.995699999999999"/>
    <n v="214.9785"/>
    <x v="3"/>
  </r>
  <r>
    <s v="007"/>
    <s v="PR01"/>
    <s v="810MAN012"/>
    <s v="Manometre acet/oxyg chalumeau"/>
    <s v="UN"/>
    <n v="1"/>
    <n v="214.98965000000001"/>
    <n v="214.98965000000001"/>
    <x v="3"/>
  </r>
  <r>
    <s v="007"/>
    <s v="PR02"/>
    <s v="810MAN012"/>
    <s v="Manometre acet/oxyg chalumeau"/>
    <s v="UN"/>
    <n v="1"/>
    <n v="214.98965000000001"/>
    <n v="214.98965000000001"/>
    <x v="3"/>
  </r>
  <r>
    <s v="007"/>
    <s v="PR02"/>
    <s v="810ROU155"/>
    <s v="Roulement RAE30-NPP-FA106"/>
    <s v="UN"/>
    <n v="4"/>
    <n v="53.849699999999999"/>
    <n v="215.39879999999999"/>
    <x v="3"/>
  </r>
  <r>
    <s v="007"/>
    <s v="PR01"/>
    <m/>
    <s v="ACCOUPLEMENT ALIMINUIM ELASTIQUE 10/08"/>
    <s v="UN"/>
    <n v="1"/>
    <n v="215.5"/>
    <n v="215.5"/>
    <x v="3"/>
  </r>
  <r>
    <s v="007"/>
    <s v="PR02"/>
    <s v="815xpe336"/>
    <s v="Tube neon LED 1.2 Canalis"/>
    <s v="UN"/>
    <n v="22"/>
    <n v="9.8103999999999996"/>
    <n v="215.8288"/>
    <x v="3"/>
  </r>
  <r>
    <s v="007"/>
    <s v="PR02"/>
    <s v="810PIN041"/>
    <s v="Pignon 5/8*3/8 Z23 10B1 23dents Strip CHIN"/>
    <s v="UN"/>
    <n v="6"/>
    <n v="36.090000000000003"/>
    <n v="216.54000000000002"/>
    <x v="3"/>
  </r>
  <r>
    <s v="007"/>
    <s v="PR01"/>
    <s v="750FIL010"/>
    <s v="FILTRE LIGNE DE RETOUR 02250117-782 SULLAIR AS75"/>
    <s v="UN"/>
    <n v="1"/>
    <n v="217"/>
    <n v="217"/>
    <x v="3"/>
  </r>
  <r>
    <s v="007"/>
    <s v="PR02"/>
    <s v="810XPM054"/>
    <s v="Attache Rapide pour Chaine 16-B2"/>
    <s v="UN"/>
    <n v="23"/>
    <n v="9.4841999999999995"/>
    <n v="218.13659999999999"/>
    <x v="3"/>
  </r>
  <r>
    <s v="007"/>
    <s v="PR01"/>
    <s v="815BOB009"/>
    <s v="Bobine distributeur 110V"/>
    <s v="UN"/>
    <n v="10"/>
    <n v="21.861000000000001"/>
    <n v="218.61"/>
    <x v="3"/>
  </r>
  <r>
    <s v="007"/>
    <s v="PR01"/>
    <s v="810PAL015"/>
    <s v="Palier Rond FONTE UCC207 ENV SOVEMA"/>
    <s v="UN"/>
    <n v="4"/>
    <n v="54.701999999999998"/>
    <n v="218.80799999999999"/>
    <x v="3"/>
  </r>
  <r>
    <s v="007"/>
    <s v="PR02"/>
    <s v="812FLE037"/>
    <s v="Flexible LG 2820 DN10 THP HYSTER 7T"/>
    <s v="UN"/>
    <n v="4"/>
    <n v="54.843000000000004"/>
    <n v="219.37200000000001"/>
    <x v="3"/>
  </r>
  <r>
    <s v="007"/>
    <s v="PR01"/>
    <s v="810PAL056"/>
    <s v="Palier Carrée complet UCF204 M.Remplissage"/>
    <s v="UN"/>
    <n v="4"/>
    <n v="55.125"/>
    <n v="220.5"/>
    <x v="3"/>
  </r>
  <r>
    <s v="007"/>
    <s v="PR01"/>
    <s v="820DIS009"/>
    <s v="DISQUE INOX 230 COUPE"/>
    <s v="UN"/>
    <n v="65"/>
    <n v="3.3929999999999998"/>
    <n v="220.54499999999999"/>
    <x v="3"/>
  </r>
  <r>
    <s v="007"/>
    <s v="PR02"/>
    <s v="810COU019"/>
    <s v="Courroie Trapezoidale SPZ2800-3V1100  L10mm"/>
    <s v="UN"/>
    <n v="12"/>
    <n v="18.3933"/>
    <n v="220.71960000000001"/>
    <x v="3"/>
  </r>
  <r>
    <s v="007"/>
    <s v="PR01"/>
    <s v="710MEC014"/>
    <s v="Filtre a huile Groupe hydrolique MF100 3 A2SHB"/>
    <s v="UN"/>
    <n v="1"/>
    <n v="220.79249999999999"/>
    <n v="220.79249999999999"/>
    <x v="3"/>
  </r>
  <r>
    <s v="007"/>
    <s v="PR02"/>
    <s v="815BOB005"/>
    <s v="Bobine MFSG 24/42"/>
    <s v="UN"/>
    <n v="4"/>
    <n v="55.368000000000002"/>
    <n v="221.47200000000001"/>
    <x v="3"/>
  </r>
  <r>
    <s v="007"/>
    <s v="PR02"/>
    <s v="810ROU086"/>
    <s v="Roulement"/>
    <s v="UN"/>
    <n v="8"/>
    <n v="27.728000000000002"/>
    <n v="221.82400000000001"/>
    <x v="3"/>
  </r>
  <r>
    <s v="007"/>
    <s v="PR02"/>
    <s v="810ROU116"/>
    <s v="Roulement 30308 J2"/>
    <s v="UN"/>
    <n v="3"/>
    <n v="73.981800000000007"/>
    <n v="221.94540000000001"/>
    <x v="3"/>
  </r>
  <r>
    <s v="007"/>
    <s v="PR01"/>
    <s v="815XPE335"/>
    <s v="Support de fixation Canalis"/>
    <s v="UN"/>
    <n v="38"/>
    <n v="5.85"/>
    <n v="222.29999999999998"/>
    <x v="3"/>
  </r>
  <r>
    <s v="007"/>
    <s v="PR01"/>
    <s v="812cod055"/>
    <s v="coude  PVC   D160 45°"/>
    <s v="UN"/>
    <n v="5"/>
    <n v="44.594999999999999"/>
    <n v="222.97499999999999"/>
    <x v="3"/>
  </r>
  <r>
    <s v="007"/>
    <s v="PR02"/>
    <s v="820GOU007"/>
    <s v="GOUJON D10*50"/>
    <s v="UN"/>
    <n v="88"/>
    <n v="2.5339999999999998"/>
    <n v="222.99199999999999"/>
    <x v="3"/>
  </r>
  <r>
    <s v="007"/>
    <s v="PR02"/>
    <s v="810PAL017"/>
    <s v="Palier Complet UCP208 Ch.Ling.Fond"/>
    <s v="UN"/>
    <n v="4"/>
    <n v="55.7622"/>
    <n v="223.0488"/>
    <x v="3"/>
  </r>
  <r>
    <s v="007"/>
    <s v="PR02"/>
    <s v="815XPE307"/>
    <s v="embouts fil 1,5mm Noir"/>
    <s v="UN"/>
    <n v="120"/>
    <n v="1.8597999999999999"/>
    <n v="223.17599999999999"/>
    <x v="3"/>
  </r>
  <r>
    <s v="007"/>
    <s v="PR01"/>
    <s v="701ele018"/>
    <s v="Corps CONNECTOR 16 PINS FEMALE A3036349"/>
    <s v="UN"/>
    <n v="2"/>
    <n v="111.956"/>
    <n v="223.91200000000001"/>
    <x v="3"/>
  </r>
  <r>
    <s v="007"/>
    <s v="PR01"/>
    <s v="815CAB254"/>
    <s v="câble anti chaleur 2,5mm"/>
    <s v="UN"/>
    <n v="75"/>
    <n v="3.0068999999999999"/>
    <n v="225.51749999999998"/>
    <x v="3"/>
  </r>
  <r>
    <s v="007"/>
    <s v="PR02"/>
    <s v="810ROU221"/>
    <s v="Roulement conique 39590/39520 Roue HYSTER7"/>
    <s v="UN"/>
    <n v="2"/>
    <n v="113.4"/>
    <n v="226.8"/>
    <x v="3"/>
  </r>
  <r>
    <s v="007"/>
    <s v="PR01"/>
    <s v="812RAC031"/>
    <s v="TE 08*1/4"/>
    <s v="UN"/>
    <n v="17"/>
    <n v="13.428499999999998"/>
    <n v="228.28449999999995"/>
    <x v="3"/>
  </r>
  <r>
    <s v="007"/>
    <s v="PR01"/>
    <s v="820XMC522"/>
    <s v="Rondelle grower M10 (acier)"/>
    <s v="UN"/>
    <n v="75"/>
    <n v="3.04725"/>
    <n v="228.54374999999999"/>
    <x v="3"/>
  </r>
  <r>
    <s v="007"/>
    <s v="PR02"/>
    <s v="810COU260"/>
    <s v="courroi dent strip 1600 RPP8"/>
    <s v="UN"/>
    <n v="2"/>
    <n v="114.4008"/>
    <n v="228.80160000000001"/>
    <x v="3"/>
  </r>
  <r>
    <s v="007"/>
    <s v="PR02"/>
    <s v="810COU261"/>
    <s v="courroi dent strip 1760X50 RPP8"/>
    <s v="UN"/>
    <n v="2"/>
    <n v="114.4008"/>
    <n v="228.80160000000001"/>
    <x v="3"/>
  </r>
  <r>
    <s v="007"/>
    <s v="PR02"/>
    <s v="815CAP023"/>
    <s v="CAPTEUR FIN DE COURSE CM-1308 "/>
    <s v="UN"/>
    <n v="17"/>
    <n v="13.5"/>
    <n v="229.5"/>
    <x v="3"/>
  </r>
  <r>
    <s v="007"/>
    <s v="PR02"/>
    <s v="812VER116"/>
    <s v="ROTULE VERIN D125 M27 ZIP-125"/>
    <s v="UN"/>
    <n v="2"/>
    <n v="114.7698"/>
    <n v="229.53960000000001"/>
    <x v="3"/>
  </r>
  <r>
    <s v="007"/>
    <s v="PR01"/>
    <s v="810pin070"/>
    <s v="Moyeu Acier pignon 6trs M6 CLAV 10/3.6 m10 E.ELB"/>
    <s v="UN"/>
    <n v="2"/>
    <n v="115"/>
    <n v="230"/>
    <x v="3"/>
  </r>
  <r>
    <s v="007"/>
    <s v="PR02"/>
    <s v="812TUB025"/>
    <s v="Tube NOIR 1&quot; 1/2"/>
    <s v="M"/>
    <n v="6"/>
    <n v="38.347000000000001"/>
    <n v="230.08199999999999"/>
    <x v="3"/>
  </r>
  <r>
    <s v="007"/>
    <s v="PR02"/>
    <s v="830XOU128"/>
    <s v="Tete de coupe 15/10"/>
    <s v="UN"/>
    <n v="8"/>
    <n v="28.763000000000002"/>
    <n v="230.10400000000001"/>
    <x v="3"/>
  </r>
  <r>
    <s v="007"/>
    <s v="PR02"/>
    <s v="810rou145"/>
    <s v="Roulement 61800-2RS1"/>
    <s v="UN"/>
    <n v="11"/>
    <n v="20.923200000000001"/>
    <n v="230.15520000000001"/>
    <x v="3"/>
  </r>
  <r>
    <s v="007"/>
    <s v="PR02"/>
    <s v="750FIL008"/>
    <s v="Filtre Hydrolique M.G.Wertz"/>
    <s v="UN"/>
    <n v="1"/>
    <n v="230.4"/>
    <n v="230.4"/>
    <x v="3"/>
  </r>
  <r>
    <s v="007"/>
    <s v="PR02"/>
    <s v="810ROU090"/>
    <s v="Roulement"/>
    <s v="UN"/>
    <n v="4"/>
    <n v="57.6"/>
    <n v="230.4"/>
    <x v="3"/>
  </r>
  <r>
    <s v="007"/>
    <s v="PR01"/>
    <s v="810ROU244"/>
    <s v="Roulement a billes 6316/c3 compr sullair"/>
    <s v="UN"/>
    <n v="1"/>
    <n v="230.4855"/>
    <n v="230.4855"/>
    <x v="3"/>
  </r>
  <r>
    <s v="007"/>
    <s v="PR01"/>
    <s v="812mon725"/>
    <s v="Monchon Galva 2&quot;"/>
    <s v="UN"/>
    <n v="34"/>
    <n v="6.7829999999999995"/>
    <n v="230.62199999999999"/>
    <x v="3"/>
  </r>
  <r>
    <s v="007"/>
    <s v="PR01"/>
    <s v="810ROU107"/>
    <s v="Roulement 6313-C3"/>
    <s v="UN"/>
    <n v="2"/>
    <n v="115.65"/>
    <n v="231.3"/>
    <x v="3"/>
  </r>
  <r>
    <s v="007"/>
    <s v="PR02"/>
    <s v="810ROU107"/>
    <s v="Roulement 6313-C3"/>
    <s v="UN"/>
    <n v="2"/>
    <n v="115.65"/>
    <n v="231.3"/>
    <x v="3"/>
  </r>
  <r>
    <s v="007"/>
    <s v="PR02"/>
    <s v="810ROU193"/>
    <s v="ROULEMENT A BILLES 7203 BEP der papier EMP"/>
    <s v="UN"/>
    <n v="6"/>
    <n v="38.700000000000003"/>
    <n v="232.20000000000002"/>
    <x v="3"/>
  </r>
  <r>
    <s v="007"/>
    <s v="PR01"/>
    <s v="707MEC012"/>
    <s v="Regulator SNSAL4000 M.Nivelage"/>
    <s v="UN"/>
    <n v="1"/>
    <n v="233.07"/>
    <n v="233.07"/>
    <x v="3"/>
  </r>
  <r>
    <s v="007"/>
    <s v="PR01"/>
    <s v="810CHA003"/>
    <s v="CHAINE DOUBLE PAS 19.5 12B-2"/>
    <s v="M"/>
    <n v="5"/>
    <n v="46.8"/>
    <n v="234"/>
    <x v="3"/>
  </r>
  <r>
    <s v="007"/>
    <s v="PR02"/>
    <s v="810ROU111"/>
    <s v="Roulement 30213 J2/Q"/>
    <s v="UN"/>
    <n v="4"/>
    <n v="59.015699999999995"/>
    <n v="236.06279999999998"/>
    <x v="3"/>
  </r>
  <r>
    <s v="007"/>
    <s v="PR01"/>
    <s v="815res060"/>
    <s v="Resistance Cart D18.5/L300/800W SBC L3 C"/>
    <s v="UN"/>
    <n v="3"/>
    <n v="78.825450000000004"/>
    <n v="236.47635000000002"/>
    <x v="3"/>
  </r>
  <r>
    <s v="007"/>
    <s v="PR02"/>
    <s v="812TUB008"/>
    <s v="TUBE GALVA D20*27"/>
    <s v="M"/>
    <n v="20"/>
    <n v="11.88"/>
    <n v="237.60000000000002"/>
    <x v="3"/>
  </r>
  <r>
    <s v="007"/>
    <s v="PR01"/>
    <s v="820XMC832"/>
    <s v="Tige fileté (INOX) M16"/>
    <s v="UN"/>
    <n v="5"/>
    <n v="47.84"/>
    <n v="239.20000000000002"/>
    <x v="3"/>
  </r>
  <r>
    <s v="007"/>
    <s v="PR01"/>
    <s v="812FIL009"/>
    <s v="Filtre a AIR SC113 Camion"/>
    <s v="UN"/>
    <n v="2"/>
    <n v="119.6001"/>
    <n v="239.2002"/>
    <x v="3"/>
  </r>
  <r>
    <s v="007"/>
    <s v="PR01"/>
    <s v="830XOU354"/>
    <s v="Barre en Plastique POMC NOIR"/>
    <s v="M"/>
    <n v="2"/>
    <n v="120"/>
    <n v="240"/>
    <x v="3"/>
  </r>
  <r>
    <s v="007"/>
    <s v="PR02"/>
    <s v="708MEC008"/>
    <s v="Vertical Knife (lame de coupe) divider"/>
    <s v="UN"/>
    <n v="2"/>
    <n v="120.39981269751891"/>
    <n v="240.79962539503782"/>
    <x v="3"/>
  </r>
  <r>
    <s v="007"/>
    <s v="PR02"/>
    <s v="810PAR037"/>
    <s v="PARAHUILE CATO 2D540 CR 127*104*13 Boite F.R"/>
    <s v="UN"/>
    <n v="8"/>
    <n v="30.2148"/>
    <n v="241.7184"/>
    <x v="3"/>
  </r>
  <r>
    <s v="007"/>
    <s v="PR02"/>
    <s v="812TUB009"/>
    <s v="TUBE NOIR ETIRE 26/34   EP4.5mm"/>
    <s v="M"/>
    <n v="6"/>
    <n v="40.442999999999998"/>
    <n v="242.65799999999999"/>
    <x v="3"/>
  </r>
  <r>
    <s v="007"/>
    <s v="PR02"/>
    <s v="810PAL008"/>
    <s v="Palier FY 510M"/>
    <s v="UN"/>
    <n v="4"/>
    <n v="60.75"/>
    <n v="243"/>
    <x v="3"/>
  </r>
  <r>
    <s v="007"/>
    <s v="PR02"/>
    <m/>
    <s v="CNF ADAPTATEUR LONG 63*150"/>
    <s v="UN"/>
    <n v="5"/>
    <n v="48.85"/>
    <n v="244.25"/>
    <x v="3"/>
  </r>
  <r>
    <s v="007"/>
    <s v="PR01"/>
    <s v="713MEC065"/>
    <s v="CYLINDER A7005728 1511.32.20.AR FLUXE COS"/>
    <s v="UN"/>
    <n v="1"/>
    <n v="245.23500000000001"/>
    <n v="245.23500000000001"/>
    <x v="3"/>
  </r>
  <r>
    <s v="007"/>
    <s v="PR01"/>
    <s v="812TTE616"/>
    <s v="Te06 pneumatique"/>
    <s v="UN"/>
    <n v="91"/>
    <n v="2.7116999999999996"/>
    <n v="246.76469999999995"/>
    <x v="3"/>
  </r>
  <r>
    <s v="007"/>
    <s v="PR01"/>
    <s v="810ROU093"/>
    <s v="Roulement 6304"/>
    <s v="UN"/>
    <n v="4"/>
    <n v="61.728299999999997"/>
    <n v="246.91319999999999"/>
    <x v="3"/>
  </r>
  <r>
    <s v="007"/>
    <s v="PR02"/>
    <s v="810ROU174"/>
    <s v="Roulement NA 6902"/>
    <s v="UN"/>
    <n v="4"/>
    <n v="61.728299999999997"/>
    <n v="246.91319999999999"/>
    <x v="3"/>
  </r>
  <r>
    <s v="007"/>
    <s v="PR01"/>
    <s v="815DIS004"/>
    <s v="DISJONCTEUR MOTEUR 6-10A"/>
    <s v="UN"/>
    <n v="3"/>
    <n v="82.48"/>
    <n v="247.44"/>
    <x v="3"/>
  </r>
  <r>
    <s v="007"/>
    <s v="PR01"/>
    <s v="815xpe136"/>
    <s v="CONNECTEUR CAPTEUR Male M12  4 broches"/>
    <s v="UN"/>
    <n v="5"/>
    <n v="49.5"/>
    <n v="247.5"/>
    <x v="3"/>
  </r>
  <r>
    <s v="007"/>
    <s v="PR02"/>
    <s v="810TAP127"/>
    <s v="TAPIS HABASIT 75/4085 OXYDE"/>
    <s v="UN"/>
    <n v="2"/>
    <n v="124.58159999999999"/>
    <n v="249.16319999999999"/>
    <x v="3"/>
  </r>
  <r>
    <s v="007"/>
    <s v="PR02"/>
    <s v="820XMC025"/>
    <s v="RESSORT 4/10*3.5*C155 A7006324 Rouleau papier Emp"/>
    <s v="UN"/>
    <n v="15"/>
    <n v="16.664999999999999"/>
    <n v="249.97499999999999"/>
    <x v="3"/>
  </r>
  <r>
    <s v="007"/>
    <s v="PR02"/>
    <s v="815ELE020"/>
    <s v="Electrovanne 20/27 24VDC"/>
    <s v="UN"/>
    <n v="2"/>
    <n v="125.46"/>
    <n v="250.92"/>
    <x v="3"/>
  </r>
  <r>
    <s v="007"/>
    <s v="PR02"/>
    <s v="830XOU256"/>
    <s v="Bec de chalumeau decoupeur"/>
    <s v="UN"/>
    <n v="12"/>
    <n v="20.966000000000001"/>
    <n v="251.59200000000001"/>
    <x v="3"/>
  </r>
  <r>
    <s v="007"/>
    <s v="PR01"/>
    <s v="812VER011"/>
    <s v="PISTON VERIN AIMANTE 80-16-27 NECESSAIRE VERIN D8"/>
    <s v="UN"/>
    <n v="2"/>
    <n v="127.00620000000001"/>
    <n v="254.01240000000001"/>
    <x v="3"/>
  </r>
  <r>
    <s v="007"/>
    <s v="PR01"/>
    <s v="810ver255"/>
    <s v="VERIN PNEUMATIQUE 1260,10,15"/>
    <s v="UN"/>
    <n v="8"/>
    <n v="31.801500000000001"/>
    <n v="254.41200000000001"/>
    <x v="3"/>
  </r>
  <r>
    <s v="007"/>
    <s v="PR01"/>
    <s v="810RED039"/>
    <s v="REDUCTEUR WMI40 1/10 71B14 *18   ENV SOVEMA"/>
    <s v="UN"/>
    <n v="1"/>
    <n v="254.67189999999999"/>
    <n v="254.67189999999999"/>
    <x v="3"/>
  </r>
  <r>
    <s v="007"/>
    <s v="PR01"/>
    <s v="820XMC441"/>
    <s v="VIS TH (INOX) M12*80"/>
    <s v="UN"/>
    <n v="130"/>
    <n v="1.9635"/>
    <n v="255.255"/>
    <x v="3"/>
  </r>
  <r>
    <s v="007"/>
    <s v="PR02"/>
    <s v="810pal058"/>
    <s v="Palier UCFC 206"/>
    <s v="UN"/>
    <n v="4"/>
    <n v="63.991"/>
    <n v="255.964"/>
    <x v="3"/>
  </r>
  <r>
    <s v="007"/>
    <s v="PR02"/>
    <s v="815CON053"/>
    <s v="Contacteur 40A 380V"/>
    <s v="UN"/>
    <n v="1"/>
    <n v="256.18720000000002"/>
    <n v="256.18720000000002"/>
    <x v="3"/>
  </r>
  <r>
    <s v="007"/>
    <s v="PR01"/>
    <s v="701ELE059"/>
    <s v="Thermocouple D5*65mm (bulbe) pour plaque chauffan"/>
    <s v="UN"/>
    <n v="6"/>
    <n v="42.722999999999999"/>
    <n v="256.33799999999997"/>
    <x v="3"/>
  </r>
  <r>
    <s v="007"/>
    <s v="PR01"/>
    <s v="815REL331"/>
    <s v="Rélais thermique 1,6-2,5A"/>
    <s v="UN"/>
    <n v="3"/>
    <n v="85.5"/>
    <n v="256.5"/>
    <x v="3"/>
  </r>
  <r>
    <s v="007"/>
    <s v="PR01"/>
    <s v="810CHA104"/>
    <s v="chaines 08B-2x5M"/>
    <s v="M"/>
    <n v="10"/>
    <n v="25.861049999999999"/>
    <n v="258.6105"/>
    <x v="3"/>
  </r>
  <r>
    <s v="007"/>
    <s v="PR02"/>
    <s v="810PAL090"/>
    <s v="Palier carrée FY508M RLT YAR208"/>
    <s v="UN"/>
    <n v="3"/>
    <n v="86.208299999999994"/>
    <n v="258.62489999999997"/>
    <x v="3"/>
  </r>
  <r>
    <s v="007"/>
    <s v="PR01"/>
    <s v="810ROU202"/>
    <s v="Roulement A Billes 7202 BEP    S.connexion L1+L2"/>
    <s v="UN"/>
    <n v="6"/>
    <n v="43.400700000000001"/>
    <n v="260.4042"/>
    <x v="3"/>
  </r>
  <r>
    <s v="007"/>
    <s v="PR01"/>
    <s v="703MEC011"/>
    <s v="Toc en plastique oxyde"/>
    <s v="UN"/>
    <n v="21"/>
    <n v="12.441599999999999"/>
    <n v="261.27359999999999"/>
    <x v="3"/>
  </r>
  <r>
    <s v="007"/>
    <s v="PR01"/>
    <s v="815PHO146"/>
    <s v="Photocell OMRON E3Z-FDP16"/>
    <s v="UN"/>
    <n v="1"/>
    <n v="261.63"/>
    <n v="261.63"/>
    <x v="3"/>
  </r>
  <r>
    <s v="007"/>
    <s v="PR02"/>
    <s v="812FLE091"/>
    <s v="Flexible HYD 4830 THP Strip chinois"/>
    <s v="UN"/>
    <n v="2"/>
    <n v="131.00579999999999"/>
    <n v="262.01159999999999"/>
    <x v="3"/>
  </r>
  <r>
    <s v="007"/>
    <s v="PR02"/>
    <s v="812FLE092"/>
    <s v="Flexible R15 HYD LG1100 THP    Tractopelle"/>
    <s v="UN"/>
    <n v="2"/>
    <n v="131.0076"/>
    <n v="262.01519999999999"/>
    <x v="3"/>
  </r>
  <r>
    <s v="007"/>
    <s v="PR02"/>
    <s v="815REL035"/>
    <s v="RELAIS THERMIQUE 9-13A"/>
    <s v="UN"/>
    <n v="3"/>
    <n v="87.465000000000003"/>
    <n v="262.39499999999998"/>
    <x v="3"/>
  </r>
  <r>
    <s v="007"/>
    <s v="PR01"/>
    <s v="815REL009"/>
    <s v="Relais thermique 7A-10A"/>
    <s v="UN"/>
    <n v="3"/>
    <n v="87.75"/>
    <n v="263.25"/>
    <x v="3"/>
  </r>
  <r>
    <s v="007"/>
    <s v="PR02"/>
    <s v="810rou157"/>
    <s v="Roulement A AIGUILLES HKS 32*39*34"/>
    <s v="UN"/>
    <n v="7"/>
    <n v="37.896999999999998"/>
    <n v="265.279"/>
    <x v="3"/>
  </r>
  <r>
    <s v="007"/>
    <s v="PR02"/>
    <s v="815CON026"/>
    <s v="Contacteur LC1D25 48V"/>
    <s v="UN"/>
    <n v="2"/>
    <n v="132.84350000000001"/>
    <n v="265.68700000000001"/>
    <x v="3"/>
  </r>
  <r>
    <s v="007"/>
    <s v="PR02"/>
    <s v="812FLE614"/>
    <s v="Flexible12"/>
    <s v="UN"/>
    <n v="80"/>
    <n v="3.33"/>
    <n v="266.39999999999998"/>
    <x v="3"/>
  </r>
  <r>
    <s v="007"/>
    <s v="PR02"/>
    <s v="815XPE151"/>
    <s v="Fiche femelle 3P+T 63A-6 380-415V"/>
    <s v="UN"/>
    <n v="2"/>
    <n v="133.6387"/>
    <n v="267.2774"/>
    <x v="3"/>
  </r>
  <r>
    <s v="007"/>
    <s v="PR01"/>
    <s v="815SEL335"/>
    <s v="SELECTEUR 3 POSITIONS"/>
    <s v="UN"/>
    <n v="12"/>
    <n v="22.395800000000001"/>
    <n v="268.74959999999999"/>
    <x v="3"/>
  </r>
  <r>
    <s v="007"/>
    <s v="PR02"/>
    <s v="812rac190"/>
    <s v="Raccord MALE 7/8 MALE 1/4"/>
    <s v="UN"/>
    <n v="12"/>
    <n v="22.4"/>
    <n v="268.79999999999995"/>
    <x v="3"/>
  </r>
  <r>
    <s v="007"/>
    <s v="PR01"/>
    <s v="710MEC017"/>
    <s v="Turbine pompe cos fonte suivant plan"/>
    <s v="UN"/>
    <n v="1"/>
    <n v="270"/>
    <n v="270"/>
    <x v="3"/>
  </r>
  <r>
    <s v="007"/>
    <s v="PR02"/>
    <s v="820XMC278"/>
    <s v="FER PLAT ACIER 120/100/10mm melang creuset fond"/>
    <s v="UN"/>
    <n v="15"/>
    <n v="18"/>
    <n v="270"/>
    <x v="3"/>
  </r>
  <r>
    <s v="007"/>
    <s v="PR01"/>
    <s v="815CON274"/>
    <s v="Contacteur LC1D025 220VAC"/>
    <s v="UN"/>
    <n v="3"/>
    <n v="90.4"/>
    <n v="271.20000000000005"/>
    <x v="3"/>
  </r>
  <r>
    <s v="007"/>
    <s v="PR02"/>
    <s v="812XPB039"/>
    <s v="Flotteur pour citerne d'acide"/>
    <s v="UN"/>
    <n v="1"/>
    <n v="271.39999999999998"/>
    <n v="271.39999999999998"/>
    <x v="3"/>
  </r>
  <r>
    <s v="007"/>
    <s v="PR01"/>
    <s v="820XMC295"/>
    <s v="Ressort comp MOULE int13/ext17/L65/2.5m"/>
    <s v="UN"/>
    <n v="45"/>
    <n v="6.06"/>
    <n v="272.7"/>
    <x v="3"/>
  </r>
  <r>
    <s v="007"/>
    <s v="PR02"/>
    <s v="820XMC846"/>
    <s v="Ressort COMP 20/10*43*175  MOULE PUNS"/>
    <s v="UN"/>
    <n v="12"/>
    <n v="22.725000000000001"/>
    <n v="272.70000000000005"/>
    <x v="3"/>
  </r>
  <r>
    <s v="007"/>
    <s v="PR02"/>
    <s v="810ROU112"/>
    <s v="Roulement YAR210"/>
    <s v="UN"/>
    <n v="4"/>
    <n v="68.31"/>
    <n v="273.24"/>
    <x v="3"/>
  </r>
  <r>
    <s v="007"/>
    <s v="PR01"/>
    <s v="812CLA004"/>
    <s v="CLAPET PVC 25"/>
    <s v="UN"/>
    <n v="6"/>
    <n v="45.576999999999998"/>
    <n v="273.46199999999999"/>
    <x v="3"/>
  </r>
  <r>
    <s v="007"/>
    <s v="PR02"/>
    <s v="810COU020"/>
    <s v="POULIE 5 GORGE 5*22*135*75*400mm"/>
    <s v="UN"/>
    <n v="1"/>
    <n v="275.67"/>
    <n v="275.67"/>
    <x v="3"/>
  </r>
  <r>
    <s v="007"/>
    <s v="PR01"/>
    <s v="815REL338"/>
    <s v="RELAIS RM1A23D50"/>
    <s v="UN"/>
    <n v="3"/>
    <n v="92.377600000000001"/>
    <n v="277.13279999999997"/>
    <x v="3"/>
  </r>
  <r>
    <s v="007"/>
    <s v="PR01"/>
    <s v="726ELE007"/>
    <s v="CONTROLEUR TEMPERATURE &amp;E PD319-WHD96-22"/>
    <s v="UN"/>
    <n v="2"/>
    <n v="138.80796000000001"/>
    <n v="277.61592000000002"/>
    <x v="3"/>
  </r>
  <r>
    <s v="007"/>
    <s v="PR02"/>
    <s v="810ROU234"/>
    <s v="Roulement JM720249/210 Boite Empattage"/>
    <s v="UN"/>
    <n v="1"/>
    <n v="278.32679999999999"/>
    <n v="278.32679999999999"/>
    <x v="3"/>
  </r>
  <r>
    <s v="007"/>
    <s v="PR01"/>
    <s v="702MEC019"/>
    <s v="ROULEAU SOVEMA"/>
    <s v="UN"/>
    <n v="8"/>
    <n v="35"/>
    <n v="280"/>
    <x v="3"/>
  </r>
  <r>
    <s v="007"/>
    <s v="PR02"/>
    <s v="830XOU313"/>
    <s v="Cerceaux acier 27*10*8mm Strip"/>
    <s v="UN"/>
    <n v="4"/>
    <n v="70"/>
    <n v="280"/>
    <x v="3"/>
  </r>
  <r>
    <s v="007"/>
    <s v="PR02"/>
    <s v="815CAP043"/>
    <s v="Capteur magnetique KT-40P  DE VERIN"/>
    <s v="UN"/>
    <n v="4"/>
    <n v="70.090999999999994"/>
    <n v="280.36399999999998"/>
    <x v="3"/>
  </r>
  <r>
    <s v="007"/>
    <s v="PR02"/>
    <s v="815rel005"/>
    <s v="RELAIS DE NIVEAU 2RM35LM33MW"/>
    <s v="UN"/>
    <n v="2"/>
    <n v="140.69019"/>
    <n v="281.38038"/>
    <x v="3"/>
  </r>
  <r>
    <s v="007"/>
    <s v="PR01"/>
    <s v="812VER014"/>
    <s v="VERIN 1260.12.15 PNEUMAX"/>
    <s v="UN"/>
    <n v="3"/>
    <n v="93.975999999999999"/>
    <n v="281.928"/>
    <x v="3"/>
  </r>
  <r>
    <s v="007"/>
    <s v="PR02"/>
    <s v="810ROU087"/>
    <s v="Roulement 6216-2RS1"/>
    <s v="UN"/>
    <n v="2"/>
    <n v="141.73997142857144"/>
    <n v="283.47994285714287"/>
    <x v="3"/>
  </r>
  <r>
    <s v="007"/>
    <s v="PR01"/>
    <s v="815CON037"/>
    <s v="Contacteur LC1D025 24VAC"/>
    <s v="UN"/>
    <n v="2"/>
    <n v="141.928"/>
    <n v="283.85599999999999"/>
    <x v="3"/>
  </r>
  <r>
    <s v="007"/>
    <s v="PR02"/>
    <s v="815XPE454"/>
    <s v="Armature LED 200W 6500K RADIANCE"/>
    <s v="UN"/>
    <n v="1"/>
    <n v="284"/>
    <n v="284"/>
    <x v="3"/>
  </r>
  <r>
    <s v="007"/>
    <s v="PR01"/>
    <s v="810XPM060"/>
    <s v="Plaque en Graphite Armee 3*1000*1000      COS3"/>
    <s v="UN"/>
    <n v="1"/>
    <n v="284.26499999999999"/>
    <n v="284.26499999999999"/>
    <x v="3"/>
  </r>
  <r>
    <s v="007"/>
    <s v="PR01"/>
    <s v="810ROU101"/>
    <s v="ROULEMENT 32315-A"/>
    <s v="UN"/>
    <n v="1"/>
    <n v="284.39999999999998"/>
    <n v="284.39999999999998"/>
    <x v="3"/>
  </r>
  <r>
    <s v="007"/>
    <s v="PR01"/>
    <s v="810VER253"/>
    <s v="verin double effet 1260.16.15  PORTE COUVERCLE"/>
    <s v="UN"/>
    <n v="3"/>
    <n v="95.421000000000006"/>
    <n v="286.26300000000003"/>
    <x v="3"/>
  </r>
  <r>
    <s v="007"/>
    <s v="PR01"/>
    <s v="702ELE065"/>
    <s v="AMPERMETRE 0-10 A"/>
    <s v="UN"/>
    <n v="7"/>
    <n v="40.910499999999999"/>
    <n v="286.37349999999998"/>
    <x v="3"/>
  </r>
  <r>
    <s v="007"/>
    <s v="PR02"/>
    <s v="830XOU346"/>
    <s v="coffret circlips Exterieur 5-45mm 1900pcs"/>
    <s v="UN"/>
    <n v="1"/>
    <n v="287.02600000000001"/>
    <n v="287.02600000000001"/>
    <x v="3"/>
  </r>
  <r>
    <s v="007"/>
    <s v="PR01"/>
    <s v="701MEC061"/>
    <s v="Navette LB ENV ELBAK"/>
    <s v="UN"/>
    <n v="3"/>
    <n v="95.95"/>
    <n v="287.85000000000002"/>
    <x v="3"/>
  </r>
  <r>
    <s v="007"/>
    <s v="PR02"/>
    <s v="810PAL046"/>
    <s v="Palier A semelle P212 RLT UC212"/>
    <s v="UN"/>
    <n v="2"/>
    <n v="144"/>
    <n v="288"/>
    <x v="3"/>
  </r>
  <r>
    <s v="007"/>
    <s v="PR01"/>
    <s v="812XMC017"/>
    <s v="JOINT ETANCHEITE SMALL 6.5*21*14.75*18*20.5"/>
    <s v="UN"/>
    <n v="78"/>
    <n v="3.7033333333333331"/>
    <n v="288.86"/>
    <x v="3"/>
  </r>
  <r>
    <s v="007"/>
    <s v="PR01"/>
    <s v="820XMC289"/>
    <s v="vis six pans (acier) M08*80"/>
    <s v="UN"/>
    <n v="250"/>
    <n v="1.1559999999999999"/>
    <n v="289"/>
    <x v="3"/>
  </r>
  <r>
    <s v="007"/>
    <s v="PR02"/>
    <s v="810ROU162"/>
    <s v="Roulement 6008-2RSH"/>
    <s v="UN"/>
    <n v="12"/>
    <n v="24.1128"/>
    <n v="289.35360000000003"/>
    <x v="3"/>
  </r>
  <r>
    <s v="007"/>
    <s v="PR02"/>
    <s v="815CAB062"/>
    <s v="Cable vert/jaune de terre 35mm"/>
    <s v="M"/>
    <n v="20"/>
    <n v="14.5176"/>
    <n v="290.35199999999998"/>
    <x v="3"/>
  </r>
  <r>
    <s v="007"/>
    <s v="PR01"/>
    <s v="815XPE299"/>
    <s v="domino en céramique 3x6mm"/>
    <s v="UN"/>
    <n v="36"/>
    <n v="8.1062130909090904"/>
    <n v="291.82367127272727"/>
    <x v="3"/>
  </r>
  <r>
    <s v="007"/>
    <s v="PR02"/>
    <s v="820XMC181"/>
    <s v="Vis autoperceuse M06*38mm"/>
    <s v="UN"/>
    <n v="540"/>
    <n v="0.54154999999999998"/>
    <n v="292.43700000000001"/>
    <x v="3"/>
  </r>
  <r>
    <s v="007"/>
    <s v="PR02"/>
    <s v="701ELE089"/>
    <s v="Canne Type K Coudee D21. 160*680+raccord M.G.NEG"/>
    <s v="UN"/>
    <n v="1"/>
    <n v="292.69799999999998"/>
    <n v="292.69799999999998"/>
    <x v="3"/>
  </r>
  <r>
    <s v="007"/>
    <s v="PR02"/>
    <s v="810ROX012"/>
    <s v="GALET DE ROULEMENT SUR AXE KR22PP Tremie emp"/>
    <s v="UN"/>
    <n v="4"/>
    <n v="73.260000000000005"/>
    <n v="293.04000000000002"/>
    <x v="3"/>
  </r>
  <r>
    <s v="007"/>
    <s v="PR01"/>
    <s v="815CAP041"/>
    <s v="support capteur verin Ancien modele"/>
    <s v="UN"/>
    <n v="8"/>
    <n v="37"/>
    <n v="296"/>
    <x v="3"/>
  </r>
  <r>
    <s v="007"/>
    <s v="PR01"/>
    <s v="815XME012"/>
    <s v="PRISE CHARGE CHARIOT Male 80A"/>
    <s v="UN"/>
    <n v="4"/>
    <n v="74"/>
    <n v="296"/>
    <x v="3"/>
  </r>
  <r>
    <s v="007"/>
    <s v="PR01"/>
    <s v="810PAL022"/>
    <s v="Palier Carrée complet UCF205   M.Lavage"/>
    <s v="UN"/>
    <n v="6"/>
    <n v="49.3596"/>
    <n v="296.1576"/>
    <x v="3"/>
  </r>
  <r>
    <s v="007"/>
    <s v="PR01"/>
    <s v="-"/>
    <s v="REGULATEUR DE DEBIT TUBE D12 G1/4 "/>
    <s v="UN"/>
    <n v="10"/>
    <n v="29.63"/>
    <n v="296.3"/>
    <x v="3"/>
  </r>
  <r>
    <s v="007"/>
    <s v="PR01"/>
    <s v="701ELE030"/>
    <s v="CONNECTOR 16 PIN MALE 1207500000 FOR THERMOCOUPLE"/>
    <s v="UN"/>
    <n v="5"/>
    <n v="59.334000000000003"/>
    <n v="296.67"/>
    <x v="3"/>
  </r>
  <r>
    <s v="007"/>
    <s v="PR01"/>
    <s v="815XPE330"/>
    <s v="COFFRET DET70 MERSA"/>
    <s v="UN"/>
    <n v="1"/>
    <n v="296.73200000000003"/>
    <n v="296.73200000000003"/>
    <x v="3"/>
  </r>
  <r>
    <s v="007"/>
    <s v="PR02"/>
    <s v="820XMC816"/>
    <s v="Vis TH (INOX) M14*30"/>
    <s v="UN"/>
    <n v="120"/>
    <n v="2.4729999999999999"/>
    <n v="296.76"/>
    <x v="3"/>
  </r>
  <r>
    <s v="007"/>
    <s v="PR01"/>
    <s v="812RAC587"/>
    <s v="RACCORD RAPIDE EN TEE TUBE D6 - G1/4 "/>
    <s v="UN"/>
    <n v="15"/>
    <n v="19.8"/>
    <n v="297"/>
    <x v="3"/>
  </r>
  <r>
    <s v="007"/>
    <s v="PR01"/>
    <s v="812FLE610"/>
    <s v="Flexible06"/>
    <s v="M"/>
    <n v="180"/>
    <n v="1.6575"/>
    <n v="298.35000000000002"/>
    <x v="3"/>
  </r>
  <r>
    <s v="007"/>
    <s v="PR02"/>
    <s v="701ELE037"/>
    <s v="Thermocouple J coudee L800+Fiche TC  linklater"/>
    <s v="UN"/>
    <n v="2"/>
    <n v="149.98500000000001"/>
    <n v="299.97000000000003"/>
    <x v="3"/>
  </r>
  <r>
    <s v="007"/>
    <s v="PR02"/>
    <s v="701ELE053"/>
    <s v="Thermocouple Type K D06*1000 2fil 2500mm C.F"/>
    <s v="UN"/>
    <n v="2"/>
    <n v="149.98500000000001"/>
    <n v="299.97000000000003"/>
    <x v="3"/>
  </r>
  <r>
    <s v="007"/>
    <s v="PR01"/>
    <s v="812VER127"/>
    <s v="Stoppeur verin 18/6/4mm M6  Verin panier COS"/>
    <s v="UN"/>
    <n v="25"/>
    <n v="12"/>
    <n v="300"/>
    <x v="3"/>
  </r>
  <r>
    <s v="007"/>
    <s v="PR02"/>
    <s v="810PAL013"/>
    <s v="Palier A semelle SNV100 RLT 22211 Tunel SOVEMA"/>
    <s v="UN"/>
    <n v="2"/>
    <n v="150.33840000000001"/>
    <n v="300.67680000000001"/>
    <x v="3"/>
  </r>
  <r>
    <s v="007"/>
    <s v="PR02"/>
    <s v="810CHA007"/>
    <s v="chaine SEDIS 06B1 ENG Emp classique"/>
    <s v="M"/>
    <n v="10"/>
    <n v="30.113999999999997"/>
    <n v="301.14"/>
    <x v="3"/>
  </r>
  <r>
    <s v="007"/>
    <s v="PR01"/>
    <s v="815CAB041"/>
    <s v="Cable Souple 5*4mm"/>
    <s v="M"/>
    <n v="35"/>
    <n v="8.6093200000000003"/>
    <n v="301.32620000000003"/>
    <x v="3"/>
  </r>
  <r>
    <s v="007"/>
    <s v="PR01"/>
    <s v="812VER082"/>
    <s v="Verin 1511.40.05 test etancheite"/>
    <s v="UN"/>
    <n v="2"/>
    <n v="150.75"/>
    <n v="301.5"/>
    <x v="3"/>
  </r>
  <r>
    <s v="007"/>
    <s v="PR02"/>
    <s v="820XMC875"/>
    <s v="Ressort COMP 25/10*10*57*90 Moule Pun"/>
    <s v="UN"/>
    <n v="22"/>
    <n v="13.736000000000001"/>
    <n v="302.19200000000001"/>
    <x v="3"/>
  </r>
  <r>
    <s v="007"/>
    <s v="PR01"/>
    <s v="815XOU001"/>
    <s v="BAGUE ACCOUPLEMENT STRIP"/>
    <s v="UN"/>
    <n v="17"/>
    <n v="18"/>
    <n v="306"/>
    <x v="3"/>
  </r>
  <r>
    <s v="007"/>
    <s v="PR02"/>
    <s v="812FLE075"/>
    <s v="Flexible DN10 LG2200 THP D/C"/>
    <s v="UN"/>
    <n v="3"/>
    <n v="102.06432"/>
    <n v="306.19295999999997"/>
    <x v="3"/>
  </r>
  <r>
    <s v="007"/>
    <s v="PR02"/>
    <s v="820XMC873"/>
    <s v="FER PLAT acier (6M) EP5mm*larg30mm"/>
    <s v="UN"/>
    <n v="12"/>
    <n v="25.65"/>
    <n v="307.79999999999995"/>
    <x v="3"/>
  </r>
  <r>
    <s v="007"/>
    <s v="PR01"/>
    <s v="810TAP125"/>
    <s v="TAPIS 1450X560"/>
    <s v="UN"/>
    <n v="2"/>
    <n v="153.9"/>
    <n v="307.8"/>
    <x v="3"/>
  </r>
  <r>
    <s v="007"/>
    <s v="PR02"/>
    <s v="810ROU045"/>
    <s v="Roulement 61804 2RS1"/>
    <s v="UN"/>
    <n v="13"/>
    <n v="23.712299999999999"/>
    <n v="308.25990000000002"/>
    <x v="3"/>
  </r>
  <r>
    <s v="007"/>
    <s v="PR01"/>
    <s v="710MEC025"/>
    <s v="Bride de Turbine pompe cos (fonte)"/>
    <s v="UN"/>
    <n v="1"/>
    <n v="310"/>
    <n v="310"/>
    <x v="3"/>
  </r>
  <r>
    <s v="007"/>
    <s v="PR01"/>
    <s v="810VER250"/>
    <s v="verin pneumatique 1250.20.250.MA"/>
    <s v="UN"/>
    <n v="1"/>
    <n v="311.39800000000002"/>
    <n v="311.39800000000002"/>
    <x v="3"/>
  </r>
  <r>
    <s v="007"/>
    <s v="PR01"/>
    <s v="810ROU162"/>
    <s v="Roulement 6008-2RSH"/>
    <s v="UN"/>
    <n v="13"/>
    <n v="24.1128"/>
    <n v="313.46640000000002"/>
    <x v="3"/>
  </r>
  <r>
    <s v="007"/>
    <s v="PR02"/>
    <s v="815REL022"/>
    <s v="RELAIS THERMIQUE 23-32A"/>
    <s v="UN"/>
    <n v="2"/>
    <n v="157.5"/>
    <n v="315"/>
    <x v="3"/>
  </r>
  <r>
    <s v="007"/>
    <s v="PR02"/>
    <s v="815RES200"/>
    <s v="Resistance coudée D20 220V/500W/150mm  Baffle str"/>
    <s v="UN"/>
    <n v="4"/>
    <n v="78.825450000000004"/>
    <n v="315.30180000000001"/>
    <x v="3"/>
  </r>
  <r>
    <s v="007"/>
    <s v="PR01"/>
    <s v="810ACC008"/>
    <s v="ACCOUPLEMENT HELICAL WA30-9-9   S.Connexion"/>
    <s v="UN"/>
    <n v="1"/>
    <n v="316.17720000000003"/>
    <n v="316.17720000000003"/>
    <x v="3"/>
  </r>
  <r>
    <s v="007"/>
    <s v="PR01"/>
    <s v="815CAB256"/>
    <s v="câble anti chaleur 6mm"/>
    <s v="UN"/>
    <n v="56"/>
    <n v="5.67"/>
    <n v="317.52"/>
    <x v="3"/>
  </r>
  <r>
    <s v="007"/>
    <s v="PR01"/>
    <s v="815XOU002"/>
    <s v="TOC EN PLASTIQUE STRIP"/>
    <s v="UN"/>
    <n v="4"/>
    <n v="80"/>
    <n v="320"/>
    <x v="3"/>
  </r>
  <r>
    <s v="007"/>
    <s v="PR02"/>
    <s v="810COU022"/>
    <s v="Courroie Trapezoidale 3450*17  Tremie Emp"/>
    <s v="UN"/>
    <n v="7"/>
    <n v="45.747749999999996"/>
    <n v="320.23424999999997"/>
    <x v="3"/>
  </r>
  <r>
    <s v="007"/>
    <s v="PR01"/>
    <s v="713MEC006"/>
    <s v="SPACER - F51158"/>
    <s v="UN"/>
    <n v="6"/>
    <n v="53.511945895962043"/>
    <n v="321.07167537577226"/>
    <x v="3"/>
  </r>
  <r>
    <s v="007"/>
    <s v="PR01"/>
    <s v="815CAP001"/>
    <s v="CAPTEUR E2B-M12KN08-WP-B1 PNP NO OMRON"/>
    <s v="UN"/>
    <n v="4"/>
    <n v="80.531999999999996"/>
    <n v="322.12799999999999"/>
    <x v="3"/>
  </r>
  <r>
    <s v="007"/>
    <s v="PR02"/>
    <s v="815RES180"/>
    <s v="RESISTANCE TUBE D10*2000 230V 1700W"/>
    <s v="UN"/>
    <n v="3"/>
    <n v="107.42400000000001"/>
    <n v="322.27200000000005"/>
    <x v="3"/>
  </r>
  <r>
    <s v="007"/>
    <s v="PR01"/>
    <s v="810TAP006"/>
    <s v="TAPIS HABASIT 1120/250 AVEC JONC MECA  COS4"/>
    <s v="UN"/>
    <n v="2"/>
    <n v="161.76424"/>
    <n v="323.52848"/>
    <x v="3"/>
  </r>
  <r>
    <s v="007"/>
    <s v="PR01"/>
    <s v="810XPM035"/>
    <s v="TRESSE BANDE 50X4 FIBRE DE VERRE 1=30MT"/>
    <s v="UN"/>
    <n v="2"/>
    <n v="162"/>
    <n v="324"/>
    <x v="3"/>
  </r>
  <r>
    <s v="007"/>
    <s v="PR02"/>
    <s v="810TAP140"/>
    <s v="Tapis decoupeur  665/335"/>
    <s v="M"/>
    <n v="4"/>
    <n v="81.088499999999996"/>
    <n v="324.35399999999998"/>
    <x v="3"/>
  </r>
  <r>
    <s v="007"/>
    <s v="PR01"/>
    <s v="812COL658"/>
    <s v="Collier INOX 25-40"/>
    <s v="UN"/>
    <n v="52"/>
    <n v="6.2471578947368425"/>
    <n v="324.85221052631579"/>
    <x v="3"/>
  </r>
  <r>
    <s v="007"/>
    <s v="PR01"/>
    <s v="810ROU003"/>
    <s v="ROULEMENT YAR 207"/>
    <s v="UN"/>
    <n v="15"/>
    <n v="21.7224"/>
    <n v="325.83600000000001"/>
    <x v="3"/>
  </r>
  <r>
    <s v="007"/>
    <s v="PR01"/>
    <s v="812RAC229"/>
    <s v="REGULATEUR DE DEBIT TUBE D10 G3/8 "/>
    <s v="UN"/>
    <n v="15"/>
    <n v="21.785499999999999"/>
    <n v="326.78249999999997"/>
    <x v="3"/>
  </r>
  <r>
    <s v="007"/>
    <s v="PR01"/>
    <s v="812VER115"/>
    <s v="VERIN 1383.40.400 Rejet batterie S.Connexi"/>
    <s v="UN"/>
    <n v="1"/>
    <n v="327.488"/>
    <n v="327.488"/>
    <x v="3"/>
  </r>
  <r>
    <s v="007"/>
    <s v="PR01"/>
    <s v="820XMC719"/>
    <s v="Coffret Scie a cloche"/>
    <s v="UN"/>
    <n v="2"/>
    <n v="163.8657"/>
    <n v="327.73140000000001"/>
    <x v="3"/>
  </r>
  <r>
    <s v="007"/>
    <s v="PR02"/>
    <s v="810PAL095"/>
    <s v="Palier carrée UCF212 Filtre fonderie"/>
    <s v="UN"/>
    <n v="2"/>
    <n v="164.8143"/>
    <n v="329.62860000000001"/>
    <x v="3"/>
  </r>
  <r>
    <s v="007"/>
    <s v="PR01"/>
    <s v="812VER001"/>
    <s v="VERIN 1501.32.25  PNEUMAX"/>
    <s v="UN"/>
    <n v="3"/>
    <n v="110.37883333333333"/>
    <n v="331.13650000000001"/>
    <x v="3"/>
  </r>
  <r>
    <s v="007"/>
    <s v="PR01"/>
    <s v="810ROU035"/>
    <s v="Roulement 6308-2RS"/>
    <s v="UN"/>
    <n v="8"/>
    <n v="41.399099999999997"/>
    <n v="331.19279999999998"/>
    <x v="3"/>
  </r>
  <r>
    <s v="007"/>
    <s v="PR02"/>
    <s v="810ROU035"/>
    <s v="Roulement 6308-2RS"/>
    <s v="UN"/>
    <n v="8"/>
    <n v="41.399099999999997"/>
    <n v="331.19279999999998"/>
    <x v="3"/>
  </r>
  <r>
    <s v="007"/>
    <s v="PR02"/>
    <s v="810ROU008"/>
    <s v="Roulement 2211"/>
    <s v="UN"/>
    <n v="4"/>
    <n v="82.891800000000003"/>
    <n v="331.56720000000001"/>
    <x v="3"/>
  </r>
  <r>
    <s v="007"/>
    <s v="PR01"/>
    <s v="815FUS039"/>
    <s v="FUSIBLE TIS50  50A RED POWER KRAFT"/>
    <s v="UN"/>
    <n v="4"/>
    <n v="83.283000000000001"/>
    <n v="333.13200000000001"/>
    <x v="3"/>
  </r>
  <r>
    <s v="007"/>
    <s v="PR01"/>
    <s v="815REL340"/>
    <s v="RELAIS TEMP 11 BROCHE H3CR  220VAC"/>
    <e v="#REF!"/>
    <n v="2"/>
    <n v="166.898"/>
    <n v="333.79599999999999"/>
    <x v="3"/>
  </r>
  <r>
    <s v="007"/>
    <s v="PR02"/>
    <s v="810ROU114"/>
    <s v="Roulement 30307 J2-Q"/>
    <s v="UN"/>
    <n v="5"/>
    <n v="67.100399999999993"/>
    <n v="335.50199999999995"/>
    <x v="3"/>
  </r>
  <r>
    <s v="007"/>
    <s v="PR01"/>
    <s v="812RAC023"/>
    <s v="RACCORD COUDE MALE FEMELLE 1/4-1/8"/>
    <s v="UN"/>
    <n v="70"/>
    <n v="4.8150000000000004"/>
    <n v="337.05"/>
    <x v="3"/>
  </r>
  <r>
    <s v="007"/>
    <s v="PR02"/>
    <s v="703MEC001"/>
    <s v="Godets elevateur Billes 130/120 Elevateur a godet"/>
    <s v="UN"/>
    <n v="14"/>
    <n v="24.24"/>
    <n v="339.35999999999996"/>
    <x v="3"/>
  </r>
  <r>
    <s v="007"/>
    <s v="PR02"/>
    <s v="810XPM155"/>
    <s v="Graisse Bleu 1KG belleville haute temp"/>
    <s v="UN"/>
    <n v="3"/>
    <n v="113.3991"/>
    <n v="340.19730000000004"/>
    <x v="3"/>
  </r>
  <r>
    <s v="007"/>
    <s v="PR02"/>
    <s v="810TAP130"/>
    <s v="TAPIS 2700X40 GUIDAGE STACKER"/>
    <s v="UN"/>
    <n v="8"/>
    <n v="42.772500000000001"/>
    <n v="342.18"/>
    <x v="3"/>
  </r>
  <r>
    <s v="007"/>
    <s v="PR01"/>
    <s v="713MEC049"/>
    <s v="COVER - F58001134"/>
    <s v="UN"/>
    <n v="1"/>
    <n v="345.00528830814346"/>
    <n v="345.00528830814346"/>
    <x v="3"/>
  </r>
  <r>
    <s v="007"/>
    <s v="PR01"/>
    <s v="726ELE004"/>
    <s v="SONDE PT100 A3025027"/>
    <s v="UN"/>
    <n v="4"/>
    <n v="87.26812402038496"/>
    <n v="349.07249608153984"/>
    <x v="3"/>
  </r>
  <r>
    <s v="007"/>
    <s v="PR02"/>
    <s v="820XMC290"/>
    <s v="Arbre cannelé Acier D20 4mm L600mm Palan"/>
    <s v="UN"/>
    <n v="1"/>
    <n v="350"/>
    <n v="350"/>
    <x v="3"/>
  </r>
  <r>
    <s v="007"/>
    <s v="PR02"/>
    <s v="840XOU011"/>
    <s v="Boite de controle bruleur LME21.230C2E"/>
    <s v="UN"/>
    <n v="1"/>
    <n v="351.4325"/>
    <n v="351.4325"/>
    <x v="3"/>
  </r>
  <r>
    <s v="007"/>
    <s v="PR01"/>
    <s v="812FLE612"/>
    <s v="Flexible10"/>
    <s v="M"/>
    <n v="140"/>
    <n v="2.5245000000000002"/>
    <n v="353.43"/>
    <x v="3"/>
  </r>
  <r>
    <s v="007"/>
    <s v="PR01"/>
    <s v="812VER018"/>
    <s v="VERIN D25 C200 ELBAK"/>
    <s v="UN"/>
    <n v="2"/>
    <n v="176.84310000000002"/>
    <n v="353.68620000000004"/>
    <x v="3"/>
  </r>
  <r>
    <s v="007"/>
    <s v="PR02"/>
    <s v="810rou088"/>
    <s v="Roulement"/>
    <s v="UN"/>
    <n v="4"/>
    <n v="89.622"/>
    <n v="358.488"/>
    <x v="3"/>
  </r>
  <r>
    <s v="007"/>
    <s v="PR02"/>
    <s v="780MOT020"/>
    <s v="MOTEUR 0.25KW 4P B5 220/380V CANTONI  LABO"/>
    <s v="UN"/>
    <n v="2"/>
    <n v="179.48175000000001"/>
    <n v="358.96350000000001"/>
    <x v="3"/>
  </r>
  <r>
    <s v="007"/>
    <s v="PR02"/>
    <s v="810TAP128"/>
    <s v="TAPIS DECOUPEUR 665/310"/>
    <s v="UN"/>
    <n v="7"/>
    <n v="51.3"/>
    <n v="359.09999999999997"/>
    <x v="3"/>
  </r>
  <r>
    <s v="007"/>
    <s v="PR01"/>
    <s v="705MEC005"/>
    <s v="Contre lame TEKMAX 105 BLADE CREASE 75*915"/>
    <s v="UN"/>
    <n v="6"/>
    <n v="60"/>
    <n v="360"/>
    <x v="3"/>
  </r>
  <r>
    <s v="007"/>
    <s v="PR02"/>
    <s v="810ROU050"/>
    <s v="Roulement 62200 2RS"/>
    <s v="UN"/>
    <n v="20"/>
    <n v="18.027000000000001"/>
    <n v="360.54"/>
    <x v="3"/>
  </r>
  <r>
    <s v="007"/>
    <s v="PR01"/>
    <s v="812VAN026"/>
    <s v="Vanne PPR D40"/>
    <s v="UN"/>
    <n v="5"/>
    <n v="72.319342105263146"/>
    <n v="361.59671052631575"/>
    <x v="3"/>
  </r>
  <r>
    <s v="007"/>
    <s v="PR01"/>
    <s v="815ALI240"/>
    <s v="Alimentation  0-12V DC"/>
    <s v="UN"/>
    <n v="2"/>
    <n v="181.35"/>
    <n v="362.7"/>
    <x v="3"/>
  </r>
  <r>
    <s v="007"/>
    <s v="PR02"/>
    <s v="815REL025"/>
    <s v="RELAIS TEMPORISE CIRCUL 220VAC H3CR 8 BROCHES"/>
    <s v="UN"/>
    <n v="2"/>
    <n v="181.5617"/>
    <n v="363.1234"/>
    <x v="3"/>
  </r>
  <r>
    <s v="007"/>
    <s v="PR01"/>
    <s v="812VER009"/>
    <s v="VERIN D25 COURSE 125"/>
    <s v="UN"/>
    <n v="2"/>
    <n v="181.62799999999999"/>
    <n v="363.25599999999997"/>
    <x v="3"/>
  </r>
  <r>
    <s v="007"/>
    <s v="PR02"/>
    <s v="820POM019"/>
    <s v="Chambre de pompage (flasque) DEBEM BOXER 52"/>
    <s v="UN"/>
    <n v="1"/>
    <n v="365.5"/>
    <n v="365.5"/>
    <x v="3"/>
  </r>
  <r>
    <s v="007"/>
    <s v="PR02"/>
    <s v="705MEC054"/>
    <s v="Lever  AM0035871 M.G.Hadi"/>
    <s v="UN"/>
    <n v="1"/>
    <n v="365.74726500000003"/>
    <n v="365.74726500000003"/>
    <x v="3"/>
  </r>
  <r>
    <s v="007"/>
    <s v="PR02"/>
    <m/>
    <s v="CNF FLEXIBLE HYD LG15 MT M/M"/>
    <s v="UN"/>
    <n v="1"/>
    <n v="367.65"/>
    <n v="367.65"/>
    <x v="3"/>
  </r>
  <r>
    <s v="007"/>
    <s v="PR02"/>
    <s v="810ROU232"/>
    <s v="Roulement A billes 6408 Boite Four N°2"/>
    <s v="UN"/>
    <n v="6"/>
    <n v="61.875"/>
    <n v="371.25"/>
    <x v="3"/>
  </r>
  <r>
    <s v="007"/>
    <s v="PR01"/>
    <s v="815XPE022"/>
    <s v="AFFICHEUR"/>
    <s v="UN"/>
    <n v="1"/>
    <n v="375.78199999999998"/>
    <n v="375.78199999999998"/>
    <x v="3"/>
  </r>
  <r>
    <s v="007"/>
    <s v="PR01"/>
    <s v="815XME017"/>
    <s v="PRISE CHARGE CHARIOT Femelle 160A"/>
    <s v="UN"/>
    <n v="4"/>
    <n v="94"/>
    <n v="376"/>
    <x v="3"/>
  </r>
  <r>
    <s v="007"/>
    <s v="PR01"/>
    <s v="815RES160"/>
    <s v="résistance 5000w/?16/980mm"/>
    <s v="UN"/>
    <n v="5"/>
    <n v="75.246250000000003"/>
    <n v="376.23125000000005"/>
    <x v="3"/>
  </r>
  <r>
    <s v="007"/>
    <s v="PR01"/>
    <s v="815ELE305"/>
    <s v="électrovanne 15/21 24V DC"/>
    <s v="UN"/>
    <n v="3"/>
    <n v="125.46"/>
    <n v="376.38"/>
    <x v="3"/>
  </r>
  <r>
    <s v="007"/>
    <s v="PR02"/>
    <s v="812VER036"/>
    <s v="VERIN SI100*100 CHINOIS"/>
    <s v="UN"/>
    <n v="1"/>
    <n v="376.77949999999998"/>
    <n v="376.77949999999998"/>
    <x v="3"/>
  </r>
  <r>
    <s v="007"/>
    <s v="PR01"/>
    <s v="815XPE036"/>
    <s v="Socle pour rélais 8 BROCHES"/>
    <s v="UN"/>
    <n v="35"/>
    <n v="10.78735"/>
    <n v="377.55725000000001"/>
    <x v="3"/>
  </r>
  <r>
    <s v="007"/>
    <s v="PR02"/>
    <s v="830XOU348"/>
    <s v="Tapis Caoutchouc EP10mm 1M/3M"/>
    <s v="UN"/>
    <n v="1"/>
    <n v="377.78399999999999"/>
    <n v="377.78399999999999"/>
    <x v="3"/>
  </r>
  <r>
    <s v="007"/>
    <s v="PR02"/>
    <s v="810ROU085"/>
    <s v="ROULEMENT 6309-2Z"/>
    <s v="UN"/>
    <n v="7"/>
    <n v="54.09"/>
    <n v="378.63"/>
    <x v="3"/>
  </r>
  <r>
    <s v="007"/>
    <s v="PR01"/>
    <s v="812VER050"/>
    <s v="Verin 1383.80.250.01 Testeur HRD"/>
    <s v="UN"/>
    <n v="1"/>
    <n v="382.89949999999999"/>
    <n v="382.89949999999999"/>
    <x v="3"/>
  </r>
  <r>
    <s v="007"/>
    <s v="PR01"/>
    <s v="810ROU005"/>
    <s v="Roulement 2203 E-2RS1 TN9 Fardeleuse"/>
    <s v="UN"/>
    <n v="4"/>
    <n v="96.079499999999996"/>
    <n v="384.31799999999998"/>
    <x v="3"/>
  </r>
  <r>
    <s v="007"/>
    <s v="PR02"/>
    <s v="820XMC045"/>
    <s v="VIS TH (acier) M16*100"/>
    <s v="UN"/>
    <n v="210"/>
    <n v="1.8360000000000001"/>
    <n v="385.56"/>
    <x v="3"/>
  </r>
  <r>
    <s v="007"/>
    <s v="PR01"/>
    <s v="812VER015"/>
    <s v="VERIN 1260.10.15 ENV.PNEUMAX"/>
    <s v="UN"/>
    <n v="6"/>
    <n v="64.261530000000008"/>
    <n v="385.56918000000007"/>
    <x v="3"/>
  </r>
  <r>
    <s v="007"/>
    <s v="PR02"/>
    <s v="810PAR038"/>
    <s v="PARAHUILE VITON 55*75*12"/>
    <s v="UN"/>
    <n v="10"/>
    <n v="38.6"/>
    <n v="386"/>
    <x v="3"/>
  </r>
  <r>
    <s v="007"/>
    <s v="PR02"/>
    <s v="815XPE288"/>
    <s v="Fiche MALE 3P+T+N 63A"/>
    <s v="UN"/>
    <n v="7"/>
    <n v="55.321599999999997"/>
    <n v="387.25119999999998"/>
    <x v="3"/>
  </r>
  <r>
    <s v="007"/>
    <s v="PR02"/>
    <s v="812VER090"/>
    <s v="Verin 1260.25.160.MA M.G.Wertz"/>
    <s v="UN"/>
    <n v="2"/>
    <n v="193.64699999999999"/>
    <n v="387.29399999999998"/>
    <x v="3"/>
  </r>
  <r>
    <s v="007"/>
    <s v="PR01"/>
    <s v="810ROU064"/>
    <s v="Roulement YAR 206"/>
    <s v="UN"/>
    <n v="8"/>
    <n v="48.572099999999999"/>
    <n v="388.57679999999999"/>
    <x v="3"/>
  </r>
  <r>
    <s v="007"/>
    <s v="PR01"/>
    <s v="815CAB263"/>
    <s v="câble souple 4x1,5mm"/>
    <s v="UN"/>
    <n v="140"/>
    <n v="2.782"/>
    <n v="389.48"/>
    <x v="3"/>
  </r>
  <r>
    <s v="007"/>
    <s v="PR02"/>
    <s v="815COL276"/>
    <s v="CONTACTEUR 32A 220V"/>
    <s v="UN"/>
    <n v="2"/>
    <n v="195"/>
    <n v="390"/>
    <x v="3"/>
  </r>
  <r>
    <s v="007"/>
    <s v="PR01"/>
    <s v="815RES013"/>
    <s v="RESISTANCE  FARDELEUSE D10,L840*230V 1500W"/>
    <s v="UN"/>
    <n v="3"/>
    <n v="130.5"/>
    <n v="391.5"/>
    <x v="3"/>
  </r>
  <r>
    <s v="007"/>
    <s v="PR02"/>
    <s v="810ROU007"/>
    <s v="Roulement 2209 ETKN9"/>
    <s v="UN"/>
    <n v="5"/>
    <n v="78.422399999999996"/>
    <n v="392.11199999999997"/>
    <x v="3"/>
  </r>
  <r>
    <s v="007"/>
    <s v="PR01"/>
    <s v="810ROU029"/>
    <s v="Roulement 6208-2RS"/>
    <e v="#REF!"/>
    <n v="12"/>
    <n v="32.843699999999998"/>
    <n v="394.12439999999998"/>
    <x v="3"/>
  </r>
  <r>
    <s v="007"/>
    <s v="PR01"/>
    <s v="815CAB061"/>
    <s v="CABLE Thermique 3*2.5 cuivre NICKELEE TRESSEE"/>
    <s v="M"/>
    <n v="20"/>
    <n v="19.754000000000001"/>
    <n v="395.08000000000004"/>
    <x v="3"/>
  </r>
  <r>
    <s v="007"/>
    <s v="PR02"/>
    <s v="708MEC020"/>
    <s v="Guide sleeve for ball L110*OD59.1*ID51"/>
    <s v="UN"/>
    <n v="8"/>
    <n v="49.9681"/>
    <n v="399.7448"/>
    <x v="3"/>
  </r>
  <r>
    <s v="007"/>
    <s v="PR01"/>
    <s v="812XPB095"/>
    <s v="Commutateur a flotteur 20/27"/>
    <s v="UN"/>
    <n v="2"/>
    <n v="200"/>
    <n v="400"/>
    <x v="3"/>
  </r>
  <r>
    <s v="007"/>
    <s v="PR02"/>
    <s v="812XPB095"/>
    <s v="Commutateur a flotteur 20/27"/>
    <s v="UN"/>
    <n v="2"/>
    <n v="200"/>
    <n v="400"/>
    <x v="3"/>
  </r>
  <r>
    <s v="007"/>
    <s v="PR02"/>
    <s v="830xou148"/>
    <s v="Cerceaux acier 35*10*8mm melangeur creuset fonder"/>
    <s v="UN"/>
    <n v="5"/>
    <n v="80"/>
    <n v="400"/>
    <x v="3"/>
  </r>
  <r>
    <s v="007"/>
    <s v="PR01"/>
    <s v="812DIS004"/>
    <s v="DISTRIBUTEUR 2/5 484.52.0.1 M56"/>
    <s v="UN"/>
    <n v="4"/>
    <n v="100.2546"/>
    <n v="401.01839999999999"/>
    <x v="3"/>
  </r>
  <r>
    <s v="007"/>
    <s v="PR01"/>
    <s v="815XPE297"/>
    <s v="domino en céramique 2x6mm"/>
    <s v="UN"/>
    <n v="62"/>
    <n v="6.48"/>
    <n v="401.76000000000005"/>
    <x v="3"/>
  </r>
  <r>
    <s v="007"/>
    <s v="PR01"/>
    <s v="701ELE032"/>
    <s v="CONNECTOR HARTING 6HSB STI  MALE 09310062601"/>
    <s v="UN"/>
    <n v="2"/>
    <n v="201.67599999999999"/>
    <n v="403.35199999999998"/>
    <x v="3"/>
  </r>
  <r>
    <s v="007"/>
    <s v="PR02"/>
    <s v="810TAP007"/>
    <s v="Tapis 3000/495/5mm (3030) Dechet neg/pos strip ch"/>
    <s v="UN"/>
    <n v="1"/>
    <n v="405.87799999999999"/>
    <n v="405.87799999999999"/>
    <x v="3"/>
  </r>
  <r>
    <s v="007"/>
    <s v="PR02"/>
    <s v="810COU041"/>
    <s v="Courroie Trapez SPB LP3000 LA3022  Tun EMP C"/>
    <s v="UN"/>
    <n v="9"/>
    <n v="45.21"/>
    <n v="406.89"/>
    <x v="3"/>
  </r>
  <r>
    <s v="007"/>
    <s v="PR02"/>
    <s v="702MEC090"/>
    <s v="TURBINE DE POMPE A PB"/>
    <s v="UN"/>
    <n v="4"/>
    <n v="101.85850000000001"/>
    <n v="407.43400000000003"/>
    <x v="3"/>
  </r>
  <r>
    <s v="007"/>
    <s v="PR02"/>
    <s v="815XPE289"/>
    <s v="Fiche Femelle 3P+T+N 63A"/>
    <s v="UN"/>
    <n v="4"/>
    <n v="102"/>
    <n v="408"/>
    <x v="3"/>
  </r>
  <r>
    <s v="007"/>
    <s v="PR02"/>
    <s v="815CAB266"/>
    <s v="CABLE SOUPLE 4*2,5"/>
    <s v="UN"/>
    <n v="100"/>
    <n v="4.0857700000000001"/>
    <n v="408.577"/>
    <x v="3"/>
  </r>
  <r>
    <s v="007"/>
    <s v="PR02"/>
    <s v="815CAB006"/>
    <s v="CABLE SOUPLE 3*2,5"/>
    <s v="UN"/>
    <n v="100"/>
    <n v="4.0895999999999999"/>
    <n v="408.96"/>
    <x v="3"/>
  </r>
  <r>
    <s v="007"/>
    <s v="PR01"/>
    <s v="810xpm018"/>
    <s v="BANDE CAOUTCHOUC MOUSSE 40X20 MM"/>
    <s v="M"/>
    <n v="28"/>
    <n v="14.612"/>
    <n v="409.13600000000002"/>
    <x v="3"/>
  </r>
  <r>
    <s v="007"/>
    <s v="PR01"/>
    <s v="810VER254"/>
    <s v="VERIN PNEUMATIQUE PC16B25"/>
    <s v="UN"/>
    <n v="4"/>
    <n v="102.55249999999999"/>
    <n v="410.21"/>
    <x v="3"/>
  </r>
  <r>
    <s v="007"/>
    <s v="PR01"/>
    <s v="810ver254"/>
    <s v=" Verin 16/25"/>
    <s v="UN"/>
    <n v="4"/>
    <n v="102.55249999999999"/>
    <n v="410.21"/>
    <x v="3"/>
  </r>
  <r>
    <s v="007"/>
    <s v="PR01"/>
    <s v="731ROU019"/>
    <s v="Roue MOTRICE 75/318 BT STAXIO 2009"/>
    <s v="UN"/>
    <n v="1"/>
    <n v="411"/>
    <n v="411"/>
    <x v="3"/>
  </r>
  <r>
    <s v="007"/>
    <s v="PR02"/>
    <s v="815dis302"/>
    <s v="Disjoncteur moteur20-25A TESYS 034325"/>
    <s v="UN"/>
    <n v="3"/>
    <n v="137.6"/>
    <n v="412.79999999999995"/>
    <x v="3"/>
  </r>
  <r>
    <s v="007"/>
    <s v="PR02"/>
    <s v="810TAP016"/>
    <s v="Tapis dechets 5370*320 JONC MEC AVEC TAS 400mm M."/>
    <s v="UN"/>
    <n v="1"/>
    <n v="414"/>
    <n v="414"/>
    <x v="3"/>
  </r>
  <r>
    <s v="007"/>
    <s v="PR01"/>
    <s v="815BOB248"/>
    <s v="Bobine Danfoss 220V ELECTROVANNE"/>
    <s v="UN"/>
    <n v="5"/>
    <n v="83.718000000000004"/>
    <n v="418.59000000000003"/>
    <x v="3"/>
  </r>
  <r>
    <s v="007"/>
    <s v="PR01"/>
    <s v="815XPE024"/>
    <s v="ELECTROVANNE 15/21 15BG"/>
    <s v="UN"/>
    <n v="4"/>
    <n v="104.83199999999999"/>
    <n v="419.32799999999997"/>
    <x v="3"/>
  </r>
  <r>
    <s v="007"/>
    <s v="PR02"/>
    <s v="815XPE024"/>
    <s v="ELECTROVANNE 15/21 15BG"/>
    <s v="UN"/>
    <n v="4"/>
    <n v="104.83199999999999"/>
    <n v="419.32799999999997"/>
    <x v="3"/>
  </r>
  <r>
    <s v="007"/>
    <s v="PR02"/>
    <s v="810COU047"/>
    <s v="Courroie  SPC3550-CHAL Filtre fonderie"/>
    <s v="UN"/>
    <n v="5"/>
    <n v="85.32"/>
    <n v="426.59999999999997"/>
    <x v="3"/>
  </r>
  <r>
    <s v="007"/>
    <s v="PR01"/>
    <s v="812TTE669"/>
    <s v="T PVC P75"/>
    <s v="UN"/>
    <n v="38"/>
    <n v="11.231999999999999"/>
    <n v="426.81599999999997"/>
    <x v="3"/>
  </r>
  <r>
    <s v="007"/>
    <s v="PR02"/>
    <s v="815XPE308"/>
    <s v="embouts fil 2,5mm Gris"/>
    <s v="UN"/>
    <n v="150"/>
    <n v="2.8559999999999999"/>
    <n v="428.4"/>
    <x v="3"/>
  </r>
  <r>
    <s v="007"/>
    <s v="PR01"/>
    <m/>
    <s v="HUILE DEGRIPANT 0,9L"/>
    <s v="UN"/>
    <n v="36"/>
    <n v="11.939"/>
    <n v="429.80399999999997"/>
    <x v="3"/>
  </r>
  <r>
    <s v="007"/>
    <s v="PR01"/>
    <m/>
    <s v="ACCOUPLEMENT ALIMINUIM ELASTIQUE 10/08"/>
    <s v="UN"/>
    <n v="2"/>
    <n v="215.5"/>
    <n v="431"/>
    <x v="3"/>
  </r>
  <r>
    <s v="007"/>
    <s v="PR02"/>
    <s v="810ROU200"/>
    <s v="Roulement a billes 698-2z   Moule punshing"/>
    <s v="UN"/>
    <n v="20"/>
    <n v="21.6"/>
    <n v="432"/>
    <x v="3"/>
  </r>
  <r>
    <s v="007"/>
    <s v="PR01"/>
    <s v="815XPE037"/>
    <s v="Socle pour rélais 11 BROCHES"/>
    <s v="UN"/>
    <n v="20"/>
    <n v="21.9725"/>
    <n v="439.45"/>
    <x v="3"/>
  </r>
  <r>
    <s v="007"/>
    <s v="PR01"/>
    <s v="815ELE026"/>
    <s v="Module 6ES7 222-1BH32-0XB0"/>
    <s v="UN"/>
    <n v="1"/>
    <n v="439.7835"/>
    <n v="439.7835"/>
    <x v="3"/>
  </r>
  <r>
    <s v="007"/>
    <s v="PR01"/>
    <s v="712MEC001"/>
    <s v="LAME EN BRONZE F0081596"/>
    <s v="UN"/>
    <n v="11"/>
    <n v="40"/>
    <n v="440"/>
    <x v="3"/>
  </r>
  <r>
    <s v="007"/>
    <s v="PR02"/>
    <s v="703MEC004"/>
    <s v="Godets elevateur Billes 100/90 Elevateur a godet"/>
    <s v="UN"/>
    <n v="16"/>
    <n v="27.774999999999999"/>
    <n v="444.4"/>
    <x v="3"/>
  </r>
  <r>
    <s v="007"/>
    <s v="PR02"/>
    <s v="815DIS003"/>
    <s v="DISJONCTEUR 160A"/>
    <s v="UN"/>
    <n v="1"/>
    <n v="446.6"/>
    <n v="446.6"/>
    <x v="3"/>
  </r>
  <r>
    <s v="007"/>
    <s v="PR01"/>
    <s v="815XPE380"/>
    <s v="HUBLOT OVAL GM BLANC"/>
    <s v="UN"/>
    <n v="45"/>
    <n v="9.9314999999999998"/>
    <n v="446.91750000000002"/>
    <x v="3"/>
  </r>
  <r>
    <s v="007"/>
    <s v="PR01"/>
    <s v="812FIL101"/>
    <s v="filtre eau 10 micro"/>
    <s v="UN"/>
    <n v="32"/>
    <n v="14"/>
    <n v="448"/>
    <x v="3"/>
  </r>
  <r>
    <s v="007"/>
    <s v="PR01"/>
    <s v="820dis003"/>
    <s v="Disque A ebarber 230"/>
    <s v="UN"/>
    <n v="65"/>
    <n v="6.8979999999999997"/>
    <n v="448.37"/>
    <x v="3"/>
  </r>
  <r>
    <s v="007"/>
    <s v="PR01"/>
    <s v="830XOU352"/>
    <s v="TEFLON ADHESIF 0,08mm*1000*1000"/>
    <s v="M"/>
    <n v="8"/>
    <n v="56.1"/>
    <n v="448.8"/>
    <x v="3"/>
  </r>
  <r>
    <s v="007"/>
    <s v="PR02"/>
    <s v="815PRO001"/>
    <s v="PROJECTEUR 400W"/>
    <s v="UN"/>
    <n v="1"/>
    <n v="450.45"/>
    <n v="450.45"/>
    <x v="3"/>
  </r>
  <r>
    <s v="007"/>
    <s v="PR01"/>
    <s v="812FLE057"/>
    <s v="Flexible téflon HDN6 L51 COS3"/>
    <s v="UN"/>
    <n v="13"/>
    <n v="34.704000000000001"/>
    <n v="451.15199999999999"/>
    <x v="3"/>
  </r>
  <r>
    <s v="007"/>
    <s v="PR01"/>
    <s v="810ROU065"/>
    <s v="Roulement YAR 207"/>
    <s v="UN"/>
    <n v="9"/>
    <n v="50.233499999999999"/>
    <n v="452.10149999999999"/>
    <x v="3"/>
  </r>
  <r>
    <s v="007"/>
    <s v="PR02"/>
    <s v="810ROU013"/>
    <s v="Roulement 22211 ISP"/>
    <s v="UN"/>
    <n v="4"/>
    <n v="113.58198000000002"/>
    <n v="454.32792000000006"/>
    <x v="3"/>
  </r>
  <r>
    <s v="007"/>
    <s v="PR02"/>
    <s v="810ROU043"/>
    <s v="Roulement 33112 /Q"/>
    <s v="UN"/>
    <n v="4"/>
    <n v="115.3467"/>
    <n v="461.38679999999999"/>
    <x v="3"/>
  </r>
  <r>
    <s v="007"/>
    <s v="PR01"/>
    <s v="810par120"/>
    <s v="parahuile 65x90x10"/>
    <s v="UN"/>
    <n v="12"/>
    <n v="38.568600000000004"/>
    <n v="462.82320000000004"/>
    <x v="3"/>
  </r>
  <r>
    <s v="007"/>
    <s v="PR01"/>
    <s v="812TTE035"/>
    <s v="TE PVC D110"/>
    <s v="UN"/>
    <n v="14"/>
    <n v="33.090700000000005"/>
    <n v="463.26980000000009"/>
    <x v="3"/>
  </r>
  <r>
    <s v="007"/>
    <s v="PR02"/>
    <s v="810ROU149"/>
    <s v="Roulement NA69/32 Emp Classique"/>
    <s v="UN"/>
    <n v="4"/>
    <n v="116.01"/>
    <n v="464.04"/>
    <x v="3"/>
  </r>
  <r>
    <s v="007"/>
    <s v="PR02"/>
    <s v="701ele005"/>
    <s v="Canne Type K (thermocouple) D15/L1500+raccord"/>
    <s v="UN"/>
    <n v="1"/>
    <n v="464.49900000000002"/>
    <n v="464.49900000000002"/>
    <x v="3"/>
  </r>
  <r>
    <s v="007"/>
    <s v="PR02"/>
    <s v="810CHA003"/>
    <s v="CHAINE DOUBLE PAS 19.5 12B-2"/>
    <s v="M"/>
    <n v="10"/>
    <n v="46.8"/>
    <n v="468"/>
    <x v="3"/>
  </r>
  <r>
    <s v="007"/>
    <s v="PR01"/>
    <s v="815CON038"/>
    <s v="Contacteur LC1D032 24VAC"/>
    <s v="UN"/>
    <n v="3"/>
    <n v="157.5"/>
    <n v="472.5"/>
    <x v="3"/>
  </r>
  <r>
    <s v="007"/>
    <s v="PR02"/>
    <s v="815REL002"/>
    <s v="RELAIS THERMIQUE 30-40A"/>
    <s v="UN"/>
    <n v="3"/>
    <n v="157.5"/>
    <n v="472.5"/>
    <x v="3"/>
  </r>
  <r>
    <s v="007"/>
    <s v="PR01"/>
    <s v="810ROU006"/>
    <s v="Roulement 203 KRR-AH02"/>
    <s v="UN"/>
    <n v="10"/>
    <n v="47.56"/>
    <n v="475.6"/>
    <x v="3"/>
  </r>
  <r>
    <s v="007"/>
    <s v="PR01"/>
    <s v="710MEC026"/>
    <s v="Pneumatic valve (fin de course) A7009345  COS"/>
    <s v="UN"/>
    <n v="5"/>
    <n v="95.142960000000002"/>
    <n v="475.71480000000003"/>
    <x v="3"/>
  </r>
  <r>
    <s v="007"/>
    <s v="PR01"/>
    <s v="815CAP045"/>
    <s v="Capteur fin de course XCK-J-10541"/>
    <s v="UN"/>
    <n v="8"/>
    <n v="59.5"/>
    <n v="476"/>
    <x v="3"/>
  </r>
  <r>
    <s v="007"/>
    <s v="PR01"/>
    <s v="815xpe118"/>
    <s v="Fils thermocouple Type J 2fils  2*0.5"/>
    <s v="M"/>
    <n v="45"/>
    <n v="10.614599999999999"/>
    <n v="477.65699999999998"/>
    <x v="3"/>
  </r>
  <r>
    <s v="007"/>
    <s v="PR02"/>
    <s v="810ROU226"/>
    <s v="Roulement 3210A-2Z TN9/MT33  Melangeur 3%"/>
    <s v="UN"/>
    <n v="2"/>
    <n v="239.04"/>
    <n v="478.08"/>
    <x v="3"/>
  </r>
  <r>
    <s v="007"/>
    <s v="PR02"/>
    <s v="705MEC053"/>
    <s v="Lever  AM003568 M.G.Hadi"/>
    <s v="UN"/>
    <n v="1"/>
    <n v="478.08156500000001"/>
    <n v="478.08156500000001"/>
    <x v="3"/>
  </r>
  <r>
    <s v="007"/>
    <s v="PR01"/>
    <s v="710MEC029"/>
    <s v="Junction link 1/2&quot; A2001055 Chaine plaque ENV SOV"/>
    <s v="UN"/>
    <n v="25"/>
    <n v="19.234739999999999"/>
    <n v="480.86849999999998"/>
    <x v="3"/>
  </r>
  <r>
    <s v="007"/>
    <s v="PR02"/>
    <s v="810rou064"/>
    <s v="Roulement YAR 206"/>
    <s v="UN"/>
    <n v="10"/>
    <n v="48.572099999999999"/>
    <n v="485.721"/>
    <x v="3"/>
  </r>
  <r>
    <s v="007"/>
    <s v="PR01"/>
    <s v="815RES021"/>
    <s v="Resistance D12.7/L395/230V/1500W COS4"/>
    <s v="UN"/>
    <n v="3"/>
    <n v="162.44999999999999"/>
    <n v="487.34999999999997"/>
    <x v="3"/>
  </r>
  <r>
    <s v="007"/>
    <s v="PR01"/>
    <s v="810RED009"/>
    <s v="REDUCTEUR POLAT i1/10 NMRV090 B3"/>
    <s v="UN"/>
    <n v="1"/>
    <n v="487.8"/>
    <n v="487.8"/>
    <x v="3"/>
  </r>
  <r>
    <s v="007"/>
    <s v="PR01"/>
    <s v="812FIL033"/>
    <s v="FILTRE A CARTOUCHE DN20   CHAUDIERE"/>
    <s v="UN"/>
    <n v="1"/>
    <n v="489.53530000000001"/>
    <n v="489.53530000000001"/>
    <x v="3"/>
  </r>
  <r>
    <s v="007"/>
    <s v="PR02"/>
    <s v="812FIL033"/>
    <s v="FILTRE A CARTOUCHE DN20   CHAUDIERE"/>
    <s v="UN"/>
    <n v="1"/>
    <n v="489.53530000000001"/>
    <n v="489.53530000000001"/>
    <x v="3"/>
  </r>
  <r>
    <s v="007"/>
    <s v="PR01"/>
    <s v=" 812rac594"/>
    <s v="REGULATEUR DE DEBIT TUBE D10 G1/8 "/>
    <s v="UN"/>
    <n v="20"/>
    <n v="24.63"/>
    <n v="492.59999999999997"/>
    <x v="3"/>
  </r>
  <r>
    <s v="007"/>
    <s v="PR01"/>
    <s v="810AMM001"/>
    <s v="AMORTISSEUR  CA2540 Soudure couvercle"/>
    <s v="UN"/>
    <n v="1"/>
    <n v="492.89"/>
    <n v="492.89"/>
    <x v="3"/>
  </r>
  <r>
    <s v="007"/>
    <s v="PR01"/>
    <s v="710MEC010"/>
    <s v="Tateur F0080406 (Squencer tracer) ENV SO"/>
    <s v="UN"/>
    <n v="2"/>
    <n v="246.74323746946459"/>
    <n v="493.48647493892918"/>
    <x v="3"/>
  </r>
  <r>
    <s v="007"/>
    <s v="PR02"/>
    <s v="708MEC019"/>
    <s v="Guide sleeve for ball L80*OD46.85*ID38.5"/>
    <s v="UN"/>
    <n v="12"/>
    <n v="41.150199999999998"/>
    <n v="493.80239999999998"/>
    <x v="3"/>
  </r>
  <r>
    <s v="007"/>
    <s v="PR01"/>
    <s v="812VER118"/>
    <s v="Verin D25 C150 PMY-7-25-150 Navette ENV ELBAK"/>
    <s v="UN"/>
    <n v="2"/>
    <n v="248.01400000000001"/>
    <n v="496.02800000000002"/>
    <x v="3"/>
  </r>
  <r>
    <s v="007"/>
    <s v="PR02"/>
    <s v="810DOU006"/>
    <s v="DOUILLE a bille INA KB50100PP (LMU50RR) Lame stri"/>
    <s v="UN"/>
    <n v="4"/>
    <n v="124.32869999999998"/>
    <n v="497.31479999999993"/>
    <x v="3"/>
  </r>
  <r>
    <s v="007"/>
    <s v="PR01"/>
    <s v="731ROU007"/>
    <s v="Roue Support fourche 75/85 BT STAXIO"/>
    <s v="UN"/>
    <n v="4"/>
    <n v="124.7"/>
    <n v="498.8"/>
    <x v="3"/>
  </r>
  <r>
    <s v="007"/>
    <s v="PR02"/>
    <s v="815REL340"/>
    <s v="RELAIS TEMP 11 BROCHE H3CR  220VAC"/>
    <s v="UN"/>
    <n v="3"/>
    <n v="166.898"/>
    <n v="500.69399999999996"/>
    <x v="3"/>
  </r>
  <r>
    <s v="007"/>
    <s v="PR02"/>
    <s v="815ELE305"/>
    <s v="électrovanne 15/21 24V DC"/>
    <s v="UN"/>
    <n v="4"/>
    <n v="125.46"/>
    <n v="501.84"/>
    <x v="3"/>
  </r>
  <r>
    <s v="007"/>
    <s v="PR01"/>
    <s v="812VER634"/>
    <s v="VERIN DOUBLE EFFET 1280.32.25M"/>
    <s v="UN"/>
    <n v="3"/>
    <n v="168.19800000000001"/>
    <n v="504.59400000000005"/>
    <x v="3"/>
  </r>
  <r>
    <s v="007"/>
    <s v="PR01"/>
    <s v="812VER192"/>
    <s v="Stop Verin VBU 1/2 Clapet unidirectionnel"/>
    <s v="UN"/>
    <n v="4"/>
    <n v="126.23679999999999"/>
    <n v="504.94719999999995"/>
    <x v="3"/>
  </r>
  <r>
    <s v="007"/>
    <s v="PR02"/>
    <s v="810ROU137"/>
    <s v="Roulement NU310 ECP SKF (3NU10 ECN)"/>
    <s v="UN"/>
    <n v="3"/>
    <n v="169.56"/>
    <n v="508.68"/>
    <x v="3"/>
  </r>
  <r>
    <s v="007"/>
    <s v="PR02"/>
    <s v="810ROU181"/>
    <s v="Roulement a aiguilles NA4906-2RS emp inudus"/>
    <s v="UN"/>
    <n v="7"/>
    <n v="72.900000000000006"/>
    <n v="510.30000000000007"/>
    <x v="3"/>
  </r>
  <r>
    <s v="007"/>
    <s v="PR01"/>
    <s v="815RES016"/>
    <s v="Resistance D12.7/L305/240V/800W  COS4"/>
    <s v="UN"/>
    <n v="6"/>
    <n v="85.5"/>
    <n v="513"/>
    <x v="3"/>
  </r>
  <r>
    <s v="007"/>
    <s v="PR02"/>
    <s v="815RES016"/>
    <s v="Resistance D12.7/L305/240V/800W  COS4"/>
    <s v="UN"/>
    <n v="6"/>
    <n v="85.5"/>
    <n v="513"/>
    <x v="3"/>
  </r>
  <r>
    <s v="007"/>
    <s v="PR02"/>
    <s v="810xpm027"/>
    <s v="Graisse Rouge 5KG belleville haute tempera"/>
    <s v="UN"/>
    <n v="1"/>
    <n v="515.70000000000005"/>
    <n v="515.70000000000005"/>
    <x v="3"/>
  </r>
  <r>
    <s v="007"/>
    <s v="PR01"/>
    <s v="815REL341"/>
    <s v="Relais PM48A-100h-AC 24V ATA 11 BROCHES"/>
    <s v="UN"/>
    <n v="4"/>
    <n v="129"/>
    <n v="516"/>
    <x v="3"/>
  </r>
  <r>
    <s v="007"/>
    <s v="PR02"/>
    <s v="701ELE022"/>
    <s v="Canne PT100 D08/335mm"/>
    <s v="UN"/>
    <n v="2"/>
    <n v="258.3"/>
    <n v="516.6"/>
    <x v="3"/>
  </r>
  <r>
    <s v="007"/>
    <s v="PR01"/>
    <s v="812DIS625"/>
    <s v="DISTRIBUTEUR PNEUMAX2431.53.31.35.12"/>
    <s v="UN"/>
    <n v="3"/>
    <n v="172.39200000000002"/>
    <n v="517.17600000000004"/>
    <x v="3"/>
  </r>
  <r>
    <s v="007"/>
    <s v="PR01"/>
    <s v="731ROU014"/>
    <s v="Roue MOTRICE 75/318 BT STAXIO"/>
    <s v="UN"/>
    <n v="1"/>
    <n v="520"/>
    <n v="520"/>
    <x v="3"/>
  </r>
  <r>
    <s v="007"/>
    <s v="PR01"/>
    <s v="731ROU017"/>
    <s v="Roue MOTRICE 70/318 ZSM12"/>
    <s v="UN"/>
    <n v="1"/>
    <n v="520"/>
    <n v="520"/>
    <x v="3"/>
  </r>
  <r>
    <s v="007"/>
    <s v="PR01"/>
    <s v="840XOU006"/>
    <s v="Boite de controle bruleu VE3.2 TV 30S TS 18006005"/>
    <s v="UN"/>
    <n v="1"/>
    <n v="529.20000000000005"/>
    <n v="529.20000000000005"/>
    <x v="3"/>
  </r>
  <r>
    <s v="007"/>
    <s v="PR02"/>
    <s v="840XOU006"/>
    <s v="Boite de controle bruleu VE3.2 TV 30S TS 18006005"/>
    <s v="UN"/>
    <n v="1"/>
    <n v="529.20000000000005"/>
    <n v="529.20000000000005"/>
    <x v="3"/>
  </r>
  <r>
    <s v="007"/>
    <s v="PR02"/>
    <s v="810COU063"/>
    <s v="COURROIE SYNCHRONE TEXROPE 8M-30 M.Tubulaire"/>
    <s v="M"/>
    <n v="10"/>
    <n v="53.241300000000003"/>
    <n v="532.41300000000001"/>
    <x v="3"/>
  </r>
  <r>
    <s v="007"/>
    <s v="PR02"/>
    <s v="812FLE099"/>
    <s v="Flexible Hydrolique LG1500 tresse rame inox"/>
    <s v="UN"/>
    <n v="3"/>
    <n v="178.88"/>
    <n v="536.64"/>
    <x v="3"/>
  </r>
  <r>
    <s v="007"/>
    <s v="PR02"/>
    <s v="830XOU039"/>
    <s v="PRESSOSTAT POMPE RIA 2-8 bar B12CN FANTINI COSMI"/>
    <s v="UN"/>
    <n v="2"/>
    <n v="269.51400000000001"/>
    <n v="539.02800000000002"/>
    <x v="3"/>
  </r>
  <r>
    <s v="007"/>
    <s v="PR02"/>
    <s v="815RES042"/>
    <s v="Resistance Coudée D20 220V/1600W/400mm  Baffle"/>
    <s v="UN"/>
    <n v="5"/>
    <n v="108.461375"/>
    <n v="542.30687499999999"/>
    <x v="3"/>
  </r>
  <r>
    <s v="007"/>
    <s v="PR02"/>
    <s v="701ELE025"/>
    <s v="Servo moteur SIEMENS SQN30.251A2700"/>
    <s v="UN"/>
    <n v="1"/>
    <n v="542.64599999999996"/>
    <n v="542.64599999999996"/>
    <x v="3"/>
  </r>
  <r>
    <s v="007"/>
    <s v="PR02"/>
    <s v="840XOU008"/>
    <s v="Boite de controle bruleu LGA52.150A27 220V  COS"/>
    <s v="UN"/>
    <n v="1"/>
    <n v="542.71479999999997"/>
    <n v="542.71479999999997"/>
    <x v="3"/>
  </r>
  <r>
    <s v="007"/>
    <s v="PR01"/>
    <s v="815ELE025"/>
    <s v="Module 6ES7 222-1BF32-0XB0"/>
    <s v="UN"/>
    <n v="2"/>
    <n v="273.79950000000002"/>
    <n v="547.59900000000005"/>
    <x v="3"/>
  </r>
  <r>
    <s v="007"/>
    <s v="PR01"/>
    <s v="815CAP150"/>
    <s v="support capteur TESTO SRL00602003904507"/>
    <s v="UN"/>
    <n v="22"/>
    <n v="25"/>
    <n v="550"/>
    <x v="3"/>
  </r>
  <r>
    <s v="007"/>
    <s v="PR01"/>
    <s v="812FIL034"/>
    <s v="filtre d'aspiration R292 70/156.5/211 ELBAK"/>
    <s v="UN"/>
    <n v="4"/>
    <n v="138"/>
    <n v="552"/>
    <x v="3"/>
  </r>
  <r>
    <s v="007"/>
    <s v="PR01"/>
    <s v="710MEC012"/>
    <s v="Clavette F0080416 (Selecting Key) ENV SO"/>
    <s v="UN"/>
    <n v="2"/>
    <n v="276.65456054229355"/>
    <n v="553.3091210845871"/>
    <x v="3"/>
  </r>
  <r>
    <s v="007"/>
    <s v="PR02"/>
    <s v="815res025"/>
    <s v="Resistance D16/L135/600W/230V"/>
    <s v="UN"/>
    <n v="4"/>
    <n v="138.33869000000001"/>
    <n v="553.35476000000006"/>
    <x v="3"/>
  </r>
  <r>
    <s v="007"/>
    <s v="PR01"/>
    <s v="815PHO145"/>
    <s v="Photocell OMRON E3FA-DP22"/>
    <s v="UN"/>
    <n v="2"/>
    <n v="277.66694999999999"/>
    <n v="555.33389999999997"/>
    <x v="3"/>
  </r>
  <r>
    <s v="007"/>
    <s v="PR01"/>
    <s v="815XPE332"/>
    <s v="Canalis 25A"/>
    <s v="UN"/>
    <n v="6"/>
    <n v="92.860799999999998"/>
    <n v="557.16480000000001"/>
    <x v="3"/>
  </r>
  <r>
    <s v="007"/>
    <s v="PR01"/>
    <s v="815PHO147"/>
    <s v="Photocell Allen Bradley 42EF-P2MPB-F4 D/3m BROSSE"/>
    <s v="UN"/>
    <n v="2"/>
    <n v="280"/>
    <n v="560"/>
    <x v="3"/>
  </r>
  <r>
    <s v="007"/>
    <s v="PR01"/>
    <s v="812tub036"/>
    <s v="Tube Spiralee PVC D200"/>
    <s v="M"/>
    <n v="5"/>
    <n v="112.5"/>
    <n v="562.5"/>
    <x v="3"/>
  </r>
  <r>
    <s v="007"/>
    <s v="PR01"/>
    <s v="812VER125"/>
    <s v="Verin 1320.80.50.01 (SQ80-50) Table S.Couv"/>
    <s v="UN"/>
    <n v="2"/>
    <n v="281.60500000000002"/>
    <n v="563.21"/>
    <x v="3"/>
  </r>
  <r>
    <s v="007"/>
    <s v="PR02"/>
    <s v="815RES159"/>
    <s v="résistance cart D10/L350mm 1000W  M.G.HEMP NBI"/>
    <s v="UN"/>
    <n v="5"/>
    <n v="113.4"/>
    <n v="567"/>
    <x v="3"/>
  </r>
  <r>
    <s v="007"/>
    <s v="PR01"/>
    <s v="701ELE051"/>
    <s v="Thermocouple 3*50mm cable tresse1625+FICHE COS4"/>
    <s v="UN"/>
    <n v="3"/>
    <n v="189.6858"/>
    <n v="569.05740000000003"/>
    <x v="3"/>
  </r>
  <r>
    <s v="007"/>
    <s v="PR02"/>
    <s v="810ROU037"/>
    <s v="Roulement 22206 EJW33"/>
    <s v="UN"/>
    <n v="6"/>
    <n v="94.973100000000002"/>
    <n v="569.83860000000004"/>
    <x v="3"/>
  </r>
  <r>
    <s v="007"/>
    <s v="PR01"/>
    <s v="810ROU063"/>
    <s v="Roulement YAR205-100-2F"/>
    <s v="UN"/>
    <n v="14"/>
    <n v="40.950000000000003"/>
    <n v="573.30000000000007"/>
    <x v="3"/>
  </r>
  <r>
    <s v="007"/>
    <s v="PR01"/>
    <s v="701ele020"/>
    <s v="Corps CONNECTOR 6PINS Male double A3036328"/>
    <s v="UN"/>
    <n v="4"/>
    <n v="143.422346"/>
    <n v="573.68938400000002"/>
    <x v="3"/>
  </r>
  <r>
    <s v="007"/>
    <s v="PR01"/>
    <s v="815LAM004"/>
    <s v="Lampe iodure 400w DSRAM"/>
    <s v="UN"/>
    <n v="12"/>
    <n v="47.956999999999994"/>
    <n v="575.48399999999992"/>
    <x v="3"/>
  </r>
  <r>
    <s v="007"/>
    <s v="PR01"/>
    <s v="810DOU007"/>
    <s v="Douille a billes KB20-PP Fardeleuse1"/>
    <s v="UN"/>
    <n v="4"/>
    <n v="144.81"/>
    <n v="579.24"/>
    <x v="3"/>
  </r>
  <r>
    <s v="007"/>
    <s v="PR01"/>
    <s v="812VER007"/>
    <s v="VERIN D50  C125"/>
    <s v="UN"/>
    <n v="4"/>
    <n v="145"/>
    <n v="580"/>
    <x v="3"/>
  </r>
  <r>
    <s v="007"/>
    <s v="PR01"/>
    <s v="710MEC018"/>
    <s v="Connecteur staubli RMI 09.2812/JV A7004025"/>
    <s v="UN"/>
    <n v="4"/>
    <n v="145.90799999999999"/>
    <n v="583.63199999999995"/>
    <x v="3"/>
  </r>
  <r>
    <s v="007"/>
    <s v="PR02"/>
    <s v="810ROU106"/>
    <s v="ROULEMENT 61818"/>
    <s v="UN"/>
    <n v="3"/>
    <n v="194.59440000000004"/>
    <n v="583.78320000000008"/>
    <x v="3"/>
  </r>
  <r>
    <s v="007"/>
    <s v="PR01"/>
    <s v="812VER119"/>
    <s v="Verin D100 C350 SBC Huanfa"/>
    <s v="UN"/>
    <n v="1"/>
    <n v="588.6"/>
    <n v="588.6"/>
    <x v="3"/>
  </r>
  <r>
    <s v="007"/>
    <s v="PR01"/>
    <s v="815XPE064"/>
    <s v="LUMINAIRE ETANCHE 2*36"/>
    <s v="UN"/>
    <n v="13"/>
    <n v="45.45"/>
    <n v="590.85"/>
    <x v="3"/>
  </r>
  <r>
    <s v="007"/>
    <s v="PR01"/>
    <s v="815XPE131"/>
    <s v="Gaine tréssé d36"/>
    <s v="M"/>
    <n v="20"/>
    <n v="29.7"/>
    <n v="594"/>
    <x v="3"/>
  </r>
  <r>
    <s v="007"/>
    <s v="PR01"/>
    <s v="815PHO149"/>
    <s v="Photocell Allen Bradley 42EF-R9MPB-F4 B"/>
    <s v="UN"/>
    <n v="1"/>
    <n v="596.73599999999999"/>
    <n v="596.73599999999999"/>
    <x v="3"/>
  </r>
  <r>
    <s v="007"/>
    <s v="PR02"/>
    <s v="810ACC002"/>
    <s v="ACCOUPLEMENT C65 Melangeur Fonderie"/>
    <s v="UN"/>
    <n v="1"/>
    <n v="604.39700000000005"/>
    <n v="604.39700000000005"/>
    <x v="3"/>
  </r>
  <r>
    <s v="007"/>
    <s v="PR01"/>
    <s v="820XMC614"/>
    <s v="Vis TH (INOX) M18*50"/>
    <s v="UN"/>
    <n v="160"/>
    <n v="3.8250000000000002"/>
    <n v="612"/>
    <x v="3"/>
  </r>
  <r>
    <s v="007"/>
    <s v="PR01"/>
    <s v="701MEC041"/>
    <s v="goujon gauche F0080625"/>
    <s v="UN"/>
    <n v="240"/>
    <n v="2.5506016440962149"/>
    <n v="612.14439458309153"/>
    <x v="3"/>
  </r>
  <r>
    <s v="007"/>
    <s v="PR02"/>
    <s v="812DIS021"/>
    <s v="DISTRIBUTEUR VUVS L25-M52-MD-G14  Oxyde"/>
    <s v="UN"/>
    <n v="3"/>
    <n v="206.1"/>
    <n v="618.29999999999995"/>
    <x v="3"/>
  </r>
  <r>
    <s v="007"/>
    <s v="PR01"/>
    <s v="810VER250"/>
    <s v="Verin 20/250"/>
    <s v="UN"/>
    <n v="2"/>
    <n v="311.39800000000002"/>
    <n v="622.79600000000005"/>
    <x v="3"/>
  </r>
  <r>
    <s v="007"/>
    <s v="PR01"/>
    <s v="812DIS028"/>
    <s v="Bloc 06 distributeur 5/2 24VDC sur EMBASE  ELBAK"/>
    <s v="UN"/>
    <n v="1"/>
    <n v="625.05600000000004"/>
    <n v="625.05600000000004"/>
    <x v="3"/>
  </r>
  <r>
    <s v="007"/>
    <s v="PR01"/>
    <s v="820XMC176"/>
    <s v="Ecrou Papillon Acier M6"/>
    <s v="UN"/>
    <n v="135"/>
    <n v="4.6519578313253014"/>
    <n v="628.01430722891564"/>
    <x v="3"/>
  </r>
  <r>
    <s v="007"/>
    <s v="PR01"/>
    <s v="810ROU001"/>
    <s v="Roulement 1211 ETKN9/C3"/>
    <s v="UN"/>
    <n v="8"/>
    <n v="79.137"/>
    <n v="633.096"/>
    <x v="3"/>
  </r>
  <r>
    <s v="007"/>
    <s v="PR02"/>
    <s v="810rou144"/>
    <s v="Roulement NA 6905"/>
    <s v="UN"/>
    <n v="6"/>
    <n v="107.28"/>
    <n v="643.68000000000006"/>
    <x v="3"/>
  </r>
  <r>
    <s v="007"/>
    <s v="PR02"/>
    <s v="705MEC055"/>
    <s v="Gauntlet-clamping AM0036035 M.G.Hadi"/>
    <s v="UN"/>
    <n v="1"/>
    <n v="651.53894000000003"/>
    <n v="651.53894000000003"/>
    <x v="3"/>
  </r>
  <r>
    <s v="007"/>
    <s v="PR02"/>
    <s v="810ROU079"/>
    <s v="ROULEMENT 1209 EKTN9/C3"/>
    <s v="UN"/>
    <n v="10"/>
    <n v="65.412000000000006"/>
    <n v="654.12000000000012"/>
    <x v="3"/>
  </r>
  <r>
    <s v="007"/>
    <s v="PR01"/>
    <s v="815ELE046"/>
    <s v="Module Sortie 6ES7 322-1BH01-0AA0   COS1"/>
    <s v="UN"/>
    <n v="1"/>
    <n v="656.72973000000002"/>
    <n v="656.72973000000002"/>
    <x v="3"/>
  </r>
  <r>
    <s v="007"/>
    <s v="PR02"/>
    <m/>
    <s v="CABLE SOUPLE 3*1,5"/>
    <s v="M"/>
    <n v="160"/>
    <n v="4.1109999999999998"/>
    <n v="657.76"/>
    <x v="3"/>
  </r>
  <r>
    <s v="007"/>
    <s v="PR01"/>
    <s v="812FIL003"/>
    <s v="Filtre Env TEKMAX"/>
    <s v="UN"/>
    <n v="4"/>
    <n v="165.3"/>
    <n v="661.2"/>
    <x v="3"/>
  </r>
  <r>
    <s v="007"/>
    <s v="PR02"/>
    <s v="815RES214"/>
    <s v="Resistance thermoplongeur D08/L450/6000W/220V D47"/>
    <s v="UN"/>
    <n v="3"/>
    <n v="221.25059999999996"/>
    <n v="663.75179999999989"/>
    <x v="3"/>
  </r>
  <r>
    <s v="007"/>
    <s v="PR01"/>
    <s v="812xmc018"/>
    <s v="Joint spongieux 12/10 porte Bassin de ch"/>
    <s v="M"/>
    <n v="100"/>
    <n v="6.6429900000000002"/>
    <n v="664.29899999999998"/>
    <x v="3"/>
  </r>
  <r>
    <s v="007"/>
    <s v="PR02"/>
    <s v="820POM038"/>
    <s v="Echangeur pneumatique DEBEM BOXER 251"/>
    <s v="UN"/>
    <n v="1"/>
    <n v="667.68"/>
    <n v="667.68"/>
    <x v="3"/>
  </r>
  <r>
    <s v="007"/>
    <s v="PR01"/>
    <s v="830XOU199"/>
    <s v="POME A GRAISSE PNEUMATIQUE"/>
    <s v="UN"/>
    <n v="1"/>
    <n v="671.37300000000005"/>
    <n v="671.37300000000005"/>
    <x v="3"/>
  </r>
  <r>
    <s v="007"/>
    <s v="PR01"/>
    <s v="810COU007"/>
    <s v="COURROIE DHTD 1280 D8M LARG 50mm (STRIP)"/>
    <s v="UN"/>
    <n v="2"/>
    <n v="339.3"/>
    <n v="678.6"/>
    <x v="3"/>
  </r>
  <r>
    <s v="007"/>
    <s v="PR01"/>
    <s v="812XMC255"/>
    <s v="CAOUTCHOUC SPONGIEUX 30/5 JOINT ISOFLEX"/>
    <s v="M"/>
    <n v="100"/>
    <n v="6.7904999999999998"/>
    <n v="679.05"/>
    <x v="3"/>
  </r>
  <r>
    <s v="007"/>
    <s v="PR02"/>
    <s v="815res045"/>
    <s v="Resistance Cart D12/L400/1200W"/>
    <s v="UN"/>
    <n v="3"/>
    <n v="227.03032999999999"/>
    <n v="681.09098999999992"/>
    <x v="3"/>
  </r>
  <r>
    <s v="007"/>
    <s v="PR02"/>
    <s v="701ELE085"/>
    <s v="Thermocouple type J D5*123 Baffle Strip"/>
    <s v="UN"/>
    <n v="5"/>
    <n v="136.35"/>
    <n v="681.75"/>
    <x v="3"/>
  </r>
  <r>
    <s v="007"/>
    <s v="PR02"/>
    <s v="812FLE084"/>
    <s v="Flexible INOX DN38 LG1500+RACC Strip Chinoi"/>
    <s v="UN"/>
    <n v="3"/>
    <n v="227.97375"/>
    <n v="683.92124999999999"/>
    <x v="3"/>
  </r>
  <r>
    <s v="007"/>
    <s v="PR01"/>
    <s v="830XOU344"/>
    <s v="PLAQUE PLEXIGLAS TRANSPARENT 305/203/5mm"/>
    <s v="UN"/>
    <n v="1"/>
    <n v="687.38800000000003"/>
    <n v="687.38800000000003"/>
    <x v="3"/>
  </r>
  <r>
    <s v="007"/>
    <s v="PR01"/>
    <s v="815CAP138"/>
    <s v="CAPTEUR M12 NC E2A-M12lS04-M1-B2"/>
    <s v="UN"/>
    <n v="6"/>
    <n v="115"/>
    <n v="690"/>
    <x v="3"/>
  </r>
  <r>
    <s v="007"/>
    <s v="PR02"/>
    <s v="810ROU051"/>
    <s v="Roulement 305704 C-2Z"/>
    <s v="UN"/>
    <n v="6"/>
    <n v="115.12095652173913"/>
    <n v="690.72573913043482"/>
    <x v="3"/>
  </r>
  <r>
    <s v="007"/>
    <s v="PR02"/>
    <s v="815RES211"/>
    <s v="Resistance cartouche D12/2000W/220V/L400"/>
    <s v="UN"/>
    <n v="4"/>
    <n v="172.71011578947369"/>
    <n v="690.84046315789476"/>
    <x v="3"/>
  </r>
  <r>
    <s v="007"/>
    <s v="PR01"/>
    <s v="820XMC523"/>
    <s v="Rondelle grower M12 (acier)"/>
    <s v="UN"/>
    <n v="150"/>
    <n v="4.6214500000000003"/>
    <n v="693.21750000000009"/>
    <x v="3"/>
  </r>
  <r>
    <s v="007"/>
    <s v="PR02"/>
    <s v="810ROU092"/>
    <s v="ROULEMENT 61813-2RS"/>
    <s v="UN"/>
    <n v="4"/>
    <n v="173.93219999999999"/>
    <n v="695.72879999999998"/>
    <x v="3"/>
  </r>
  <r>
    <s v="007"/>
    <s v="PR02"/>
    <s v="810TAP005"/>
    <s v="TAPIS PERFOREE 3640*90*5mm Sticker"/>
    <s v="UN"/>
    <n v="9"/>
    <n v="77.400000000000006"/>
    <n v="696.6"/>
    <x v="3"/>
  </r>
  <r>
    <s v="007"/>
    <s v="PR01"/>
    <s v="810ROU103"/>
    <s v="ROULEMENT 32032-X"/>
    <s v="UN"/>
    <n v="1"/>
    <n v="697.5"/>
    <n v="697.5"/>
    <x v="3"/>
  </r>
  <r>
    <s v="007"/>
    <s v="PR01"/>
    <s v="710MEC011"/>
    <s v="Tateur F0080407 (Feeler Pin) ENV SO"/>
    <s v="UN"/>
    <n v="2"/>
    <n v="352.49033924209226"/>
    <n v="704.98067848418452"/>
    <x v="3"/>
  </r>
  <r>
    <s v="007"/>
    <s v="PR01"/>
    <s v="810DOU005"/>
    <s v="DOUILLE a bille INA KB30-99-AS  30*47*68 Fardeleu"/>
    <s v="UN"/>
    <n v="4"/>
    <n v="176.27939999999998"/>
    <n v="705.11759999999992"/>
    <x v="3"/>
  </r>
  <r>
    <s v="007"/>
    <s v="PR02"/>
    <s v="708MEC023"/>
    <s v="Guide sleeve for ball L80*OD59.1*ID50.5"/>
    <s v="UN"/>
    <n v="16"/>
    <n v="44.089500000000001"/>
    <n v="705.43200000000002"/>
    <x v="3"/>
  </r>
  <r>
    <s v="007"/>
    <s v="PR02"/>
    <s v="708MEC018"/>
    <s v="Guide sleeve for ball L29*OD25.35*ID20.8"/>
    <s v="UN"/>
    <n v="24"/>
    <n v="29.393000000000001"/>
    <n v="705.43200000000002"/>
    <x v="3"/>
  </r>
  <r>
    <s v="007"/>
    <s v="PR02"/>
    <s v="708MEC021"/>
    <s v="Guide sleeve for ball L59.35*OD27.25*ID22.5"/>
    <s v="UN"/>
    <n v="24"/>
    <n v="29.393000000000001"/>
    <n v="705.43200000000002"/>
    <x v="3"/>
  </r>
  <r>
    <s v="007"/>
    <s v="PR01"/>
    <s v="812VER002"/>
    <s v="VERIN D25 COURSE 40"/>
    <s v="UN"/>
    <n v="5"/>
    <n v="141.57864000000001"/>
    <n v="707.89319999999998"/>
    <x v="3"/>
  </r>
  <r>
    <s v="007"/>
    <s v="PR02"/>
    <s v="812FLE098"/>
    <s v="Flexible Hydrolique teflon LG2500 THP"/>
    <s v="UN"/>
    <n v="4"/>
    <n v="177.80600000000001"/>
    <n v="711.22400000000005"/>
    <x v="3"/>
  </r>
  <r>
    <s v="007"/>
    <s v="PR01"/>
    <s v="860XES075"/>
    <s v="BOUGIE SOUDURE BORNES ELECTRODE ALLUMAGE"/>
    <s v="UN"/>
    <n v="12"/>
    <n v="59.585000000000001"/>
    <n v="715.02"/>
    <x v="3"/>
  </r>
  <r>
    <s v="007"/>
    <s v="PR02"/>
    <s v="701ELE062"/>
    <s v="Canne Type K Coudee D21.3 170*300+raccord"/>
    <s v="UN"/>
    <n v="2"/>
    <n v="357.96015999999997"/>
    <n v="715.92031999999995"/>
    <x v="3"/>
  </r>
  <r>
    <s v="007"/>
    <s v="PR02"/>
    <s v="810tap120"/>
    <s v="Tapis caoutchouc 8880*490"/>
    <s v="UN"/>
    <n v="9"/>
    <n v="80.099999999999994"/>
    <n v="720.9"/>
    <x v="3"/>
  </r>
  <r>
    <s v="007"/>
    <s v="PR01"/>
    <s v="815REL001"/>
    <s v="RELAIS TEMPORISE CARLO.G 24V 8 BROCHE"/>
    <s v="UN"/>
    <n v="4"/>
    <n v="181.5617"/>
    <n v="726.24680000000001"/>
    <x v="3"/>
  </r>
  <r>
    <s v="007"/>
    <s v="PR01"/>
    <s v="820XMC033"/>
    <s v="COUDE REDUCTEUR M1/4 M1/8"/>
    <s v="UN"/>
    <n v="101"/>
    <n v="7.2"/>
    <n v="727.2"/>
    <x v="3"/>
  </r>
  <r>
    <s v="007"/>
    <s v="PR01"/>
    <s v="812VER109"/>
    <s v="VERIN 1511.80.15 S.connexion"/>
    <s v="UN"/>
    <n v="2"/>
    <n v="364.49275"/>
    <n v="728.9855"/>
    <x v="3"/>
  </r>
  <r>
    <s v="007"/>
    <s v="PR02"/>
    <s v="815RES205"/>
    <s v="Resistance plomb d10*230V*3000W"/>
    <s v="UN"/>
    <n v="6"/>
    <n v="122.715"/>
    <n v="736.29"/>
    <x v="3"/>
  </r>
  <r>
    <s v="007"/>
    <s v="PR01"/>
    <s v="820xmc179"/>
    <s v="Ecrou Papillon Acier M8"/>
    <s v="UN"/>
    <n v="140"/>
    <n v="5.317887086092715"/>
    <n v="744.5041920529801"/>
    <x v="3"/>
  </r>
  <r>
    <s v="007"/>
    <s v="PR02"/>
    <s v="810ROU067"/>
    <s v="Roulement YAR 209"/>
    <s v="UN"/>
    <n v="12"/>
    <n v="62.972099999999998"/>
    <n v="755.66519999999991"/>
    <x v="3"/>
  </r>
  <r>
    <s v="007"/>
    <s v="PR02"/>
    <s v="810TAP118"/>
    <s v="TAPIS 3635X90 2.8mm PERFOREE  sticker chinois"/>
    <s v="UN"/>
    <n v="4"/>
    <n v="190.8"/>
    <n v="763.2"/>
    <x v="3"/>
  </r>
  <r>
    <s v="007"/>
    <s v="PR01"/>
    <s v="815RES014"/>
    <s v="Resistance cart D12.7 L215/800W/230V Pompe COS4"/>
    <s v="UN"/>
    <n v="6"/>
    <n v="127.7907"/>
    <n v="766.74419999999998"/>
    <x v="3"/>
  </r>
  <r>
    <s v="007"/>
    <s v="PR01"/>
    <s v="815RES177"/>
    <s v="RESISTANCE D16/100L/230V/800W Pompe COS"/>
    <s v="UN"/>
    <n v="8"/>
    <n v="97.2"/>
    <n v="777.6"/>
    <x v="3"/>
  </r>
  <r>
    <s v="007"/>
    <s v="PR01"/>
    <s v="725MEC003"/>
    <s v="ELECTRODEM 19x23 H17.6 FM5 SOUDURE CONNEXION2"/>
    <s v="UN"/>
    <n v="5"/>
    <n v="155.71190461741426"/>
    <n v="778.55952308707128"/>
    <x v="3"/>
  </r>
  <r>
    <s v="007"/>
    <s v="PR01"/>
    <s v="820XMC484"/>
    <s v="écrou frein M8"/>
    <s v="UN"/>
    <n v="210"/>
    <n v="3.7376999999999998"/>
    <n v="784.91699999999992"/>
    <x v="3"/>
  </r>
  <r>
    <s v="007"/>
    <s v="PR01"/>
    <s v="815pho144"/>
    <s v="Photocell Allen Bradley 42EF-B1MPBE-F4 SER A/B"/>
    <s v="UN"/>
    <n v="1"/>
    <n v="785.86199999999997"/>
    <n v="785.86199999999997"/>
    <x v="3"/>
  </r>
  <r>
    <s v="007"/>
    <s v="PR01"/>
    <s v="812DIS627"/>
    <s v="DISTRIBUTEUR CAMOZZI 951-000-P15"/>
    <s v="UN"/>
    <n v="4"/>
    <n v="198"/>
    <n v="792"/>
    <x v="3"/>
  </r>
  <r>
    <s v="007"/>
    <s v="PR02"/>
    <s v="812DIS011"/>
    <s v="DISTRIBUTEUR CAMOZZI 951-000-P11-23"/>
    <s v="UN"/>
    <n v="4"/>
    <n v="198"/>
    <n v="792"/>
    <x v="3"/>
  </r>
  <r>
    <s v="007"/>
    <s v="PR01"/>
    <s v="820POM030"/>
    <s v="Collecteur pompe BOXER522 PP CH.Acide"/>
    <s v="UN"/>
    <n v="2"/>
    <n v="396.15"/>
    <n v="792.3"/>
    <x v="3"/>
  </r>
  <r>
    <s v="007"/>
    <s v="PR01"/>
    <s v="810ROX001"/>
    <s v="GALET DE CAMB  AVEC AXE KR 35B"/>
    <s v="UN"/>
    <n v="7"/>
    <n v="113.2002"/>
    <n v="792.40139999999997"/>
    <x v="3"/>
  </r>
  <r>
    <s v="007"/>
    <s v="PR02"/>
    <s v="812VAN019"/>
    <s v="ELECTROVANNE 26/34 BOBINE 220 VAC"/>
    <s v="UN"/>
    <n v="2"/>
    <n v="397.86"/>
    <n v="795.72"/>
    <x v="3"/>
  </r>
  <r>
    <s v="007"/>
    <s v="PR01"/>
    <s v="815RES213"/>
    <s v="Resistance fardeleuse 110V D10/L840/1500W/110V"/>
    <s v="UN"/>
    <n v="2"/>
    <n v="399.42399"/>
    <n v="798.84798000000001"/>
    <x v="3"/>
  </r>
  <r>
    <s v="007"/>
    <s v="PR02"/>
    <s v="812DIS015"/>
    <s v="DISTRIBUTEUR MN1H-5/2-D-1-C"/>
    <s v="UN"/>
    <n v="3"/>
    <n v="268.88400000000001"/>
    <n v="806.65200000000004"/>
    <x v="3"/>
  </r>
  <r>
    <s v="007"/>
    <s v="PR01"/>
    <s v="701ELE011"/>
    <s v="Alimentation stabilisé S8VK-C24024 OUT24VDC 10A"/>
    <s v="UN"/>
    <n v="3"/>
    <n v="270.31871000000001"/>
    <n v="810.95613000000003"/>
    <x v="3"/>
  </r>
  <r>
    <s v="007"/>
    <s v="PR02"/>
    <s v="815RES026"/>
    <s v="Resistance  coudée D15.7 1300W/L286mm/Fil1500mm"/>
    <s v="UN"/>
    <n v="4"/>
    <n v="203.05889999999999"/>
    <n v="812.23559999999998"/>
    <x v="3"/>
  </r>
  <r>
    <s v="007"/>
    <s v="PR02"/>
    <s v="701ELE038"/>
    <s v="Thermocouple type J D5*300 2fils+1500mm melangeur"/>
    <s v="UN"/>
    <n v="5"/>
    <n v="162.51405"/>
    <n v="812.57024999999999"/>
    <x v="3"/>
  </r>
  <r>
    <s v="007"/>
    <s v="PR01"/>
    <s v="812VER117"/>
    <s v="Verin 1320.80.400.01 Centre element COS"/>
    <s v="UN"/>
    <n v="2"/>
    <n v="407.12400000000002"/>
    <n v="814.24800000000005"/>
    <x v="3"/>
  </r>
  <r>
    <s v="007"/>
    <s v="PR01"/>
    <s v="815RES012"/>
    <s v="RESISTANCE COUDEE 1200W  L420 230V D12.5 PLQ.CHAU"/>
    <s v="UN"/>
    <n v="10"/>
    <n v="81.575175000000002"/>
    <n v="815.75175000000002"/>
    <x v="3"/>
  </r>
  <r>
    <s v="007"/>
    <s v="PR02"/>
    <s v="812VER062"/>
    <s v="Verin D80 C50 Airtag CHINOIS"/>
    <s v="UN"/>
    <n v="2"/>
    <n v="413.48160000000001"/>
    <n v="826.96320000000003"/>
    <x v="3"/>
  </r>
  <r>
    <s v="007"/>
    <s v="PR02"/>
    <s v="810ROU189"/>
    <s v="Roulement 6309 RK-1 Fourche TCM30"/>
    <s v="UN"/>
    <n v="6"/>
    <n v="138.08099999999999"/>
    <n v="828.48599999999988"/>
    <x v="3"/>
  </r>
  <r>
    <s v="007"/>
    <s v="PR01"/>
    <s v="710ele010"/>
    <s v="Pump Flange (Bride) F04251 Pompe plomb COS"/>
    <s v="UN"/>
    <n v="3"/>
    <n v="277.1277"/>
    <n v="831.38310000000001"/>
    <x v="3"/>
  </r>
  <r>
    <s v="007"/>
    <s v="PR01"/>
    <s v="710ele011"/>
    <s v="Pump SNAIL (Corps) F04261 Pmp plomb M.bille"/>
    <s v="UN"/>
    <n v="3"/>
    <n v="277.1277"/>
    <n v="831.38310000000001"/>
    <x v="3"/>
  </r>
  <r>
    <s v="007"/>
    <s v="PR02"/>
    <s v="820POM020"/>
    <s v="Echangeur pneumatique DEBEM BOXER 522"/>
    <s v="UN"/>
    <n v="1"/>
    <n v="833.5"/>
    <n v="833.5"/>
    <x v="3"/>
  </r>
  <r>
    <s v="007"/>
    <s v="PR02"/>
    <s v="810ROU150"/>
    <s v="Roulement SCO228 LLU/3E EMP CLASSIQUE"/>
    <s v="UN"/>
    <n v="5"/>
    <n v="166.77"/>
    <n v="833.85"/>
    <x v="3"/>
  </r>
  <r>
    <s v="007"/>
    <s v="PR01"/>
    <s v="815CON008"/>
    <s v="Contacteur 146A AF146-30    KAESER"/>
    <s v="UN"/>
    <n v="1"/>
    <n v="841.5"/>
    <n v="841.5"/>
    <x v="3"/>
  </r>
  <r>
    <s v="007"/>
    <s v="PR02"/>
    <s v="815PRE004"/>
    <s v="PRESSOSTAT Filtre 20bar ecart fixe 1seuil-1 OF"/>
    <s v="UN"/>
    <n v="2"/>
    <n v="421.01519999999999"/>
    <n v="842.03039999999999"/>
    <x v="3"/>
  </r>
  <r>
    <s v="007"/>
    <s v="PR02"/>
    <s v="815RES178"/>
    <s v="RESISTANCE STRIP D10 1820*230V 1700W"/>
    <s v="UN"/>
    <n v="3"/>
    <n v="284.69270999999998"/>
    <n v="854.07812999999987"/>
    <x v="3"/>
  </r>
  <r>
    <s v="007"/>
    <s v="PR01"/>
    <s v="815RES156"/>
    <s v="RESISTANCE 60mm/D16/230V/400W"/>
    <s v="UN"/>
    <n v="9"/>
    <n v="95.04"/>
    <n v="855.36"/>
    <x v="3"/>
  </r>
  <r>
    <s v="007"/>
    <s v="PR01"/>
    <s v="840xou002"/>
    <s v="Boite de controle bruleur LME 22.331A2"/>
    <s v="UN"/>
    <n v="2"/>
    <n v="429.23430000000002"/>
    <n v="858.46860000000004"/>
    <x v="3"/>
  </r>
  <r>
    <s v="007"/>
    <s v="PR02"/>
    <s v="840xou002"/>
    <s v="Boite de controle bruleur LME 22.331A2"/>
    <s v="UN"/>
    <n v="2"/>
    <n v="429.23430000000002"/>
    <n v="858.46860000000004"/>
    <x v="3"/>
  </r>
  <r>
    <s v="007"/>
    <s v="PR02"/>
    <s v="810rou142"/>
    <s v="Roulement A billes 6217-2rs1"/>
    <s v="UN"/>
    <n v="4"/>
    <n v="216.6885"/>
    <n v="866.75400000000002"/>
    <x v="3"/>
  </r>
  <r>
    <s v="007"/>
    <s v="PR02"/>
    <s v="701ELE036"/>
    <s v="Thermocouple PT100 D5*200/80 3FILS 3000mm Chambre"/>
    <s v="UN"/>
    <n v="5"/>
    <n v="177.255"/>
    <n v="886.27499999999998"/>
    <x v="3"/>
  </r>
  <r>
    <s v="007"/>
    <s v="PR01"/>
    <s v="812DIS626"/>
    <s v="DISTRIBUTEUR PNEUMAX2431.52.00.35.12"/>
    <s v="UN"/>
    <n v="5"/>
    <n v="177.88499999999999"/>
    <n v="889.42499999999995"/>
    <x v="3"/>
  </r>
  <r>
    <s v="007"/>
    <s v="PR01"/>
    <s v="812XMC002"/>
    <s v="JOINT SILICONE D7.5X18 L14mm SERIE L"/>
    <s v="UN"/>
    <n v="130"/>
    <n v="6.8629499999999997"/>
    <n v="892.18349999999998"/>
    <x v="3"/>
  </r>
  <r>
    <s v="007"/>
    <s v="PR01"/>
    <s v="815RES018"/>
    <s v="Resistance Cart D12.6 L304/2000W/240V PLQ Chauf L"/>
    <s v="UN"/>
    <n v="7"/>
    <n v="128.89876666666666"/>
    <n v="902.29136666666659"/>
    <x v="3"/>
  </r>
  <r>
    <s v="007"/>
    <s v="PR01"/>
    <s v="820XMC718"/>
    <s v="Ressort COMP 20/10*17*39 Panier COS2"/>
    <s v="UN"/>
    <n v="153"/>
    <n v="5.9085000000000001"/>
    <n v="904.00049999999999"/>
    <x v="3"/>
  </r>
  <r>
    <s v="007"/>
    <s v="PR02"/>
    <s v="810ROX008"/>
    <s v="Glissiere HGW 30CC chinois"/>
    <s v="UN"/>
    <n v="4"/>
    <n v="226.58849999999998"/>
    <n v="906.35399999999993"/>
    <x v="3"/>
  </r>
  <r>
    <s v="007"/>
    <s v="PR02"/>
    <s v="705MEC052"/>
    <s v="Slip of 19R*T9.7/RA8.2 AM0028447 M.G.Hadi"/>
    <s v="UN"/>
    <n v="1"/>
    <n v="919.81967999999995"/>
    <n v="919.81967999999995"/>
    <x v="3"/>
  </r>
  <r>
    <s v="007"/>
    <s v="PR01"/>
    <s v="710MEC023"/>
    <s v="Distributeur F27227 COS"/>
    <s v="UN"/>
    <n v="2"/>
    <n v="463.22199999999998"/>
    <n v="926.44399999999996"/>
    <x v="3"/>
  </r>
  <r>
    <s v="007"/>
    <s v="PR01"/>
    <s v="710ELE007"/>
    <s v="Variable viltage auto transformer A3013038 S.C"/>
    <s v="UN"/>
    <n v="1"/>
    <n v="936.24"/>
    <n v="936.24"/>
    <x v="3"/>
  </r>
  <r>
    <s v="007"/>
    <s v="PR02"/>
    <s v="810PAL005"/>
    <s v="PALIER SKF UCFL 208/H"/>
    <s v="UN"/>
    <n v="10"/>
    <n v="94.5"/>
    <n v="945"/>
    <x v="3"/>
  </r>
  <r>
    <s v="007"/>
    <s v="PR02"/>
    <s v="810ROX012          "/>
    <s v="GALET DE ROULEMENT SUR AXE KR22PP          "/>
    <s v="UN"/>
    <n v="10"/>
    <n v="94.662000000000006"/>
    <n v="946.62000000000012"/>
    <x v="3"/>
  </r>
  <r>
    <s v="007"/>
    <s v="PR02"/>
    <s v="815RES001"/>
    <s v="Résistance a ailette (3000w) D16/1115mm/2000w (12"/>
    <s v="UN"/>
    <n v="4"/>
    <n v="238.3398"/>
    <n v="953.35919999999999"/>
    <x v="3"/>
  </r>
  <r>
    <s v="007"/>
    <s v="PR01"/>
    <s v="815RES066"/>
    <s v="RESISTANCE TUBE D08/600W/L525MM PIPE COS"/>
    <s v="UN"/>
    <n v="4"/>
    <n v="241.45999"/>
    <n v="965.83996000000002"/>
    <x v="3"/>
  </r>
  <r>
    <s v="007"/>
    <s v="PR02"/>
    <s v="815RES021"/>
    <s v="Resistance D12.7/L395/230V/1500W COS4"/>
    <s v="UN"/>
    <n v="6"/>
    <n v="162.44999999999999"/>
    <n v="974.69999999999993"/>
    <x v="3"/>
  </r>
  <r>
    <s v="007"/>
    <s v="PR02"/>
    <s v="812DIS013"/>
    <s v="DISTRIBUTEUR CAMOZZI 623-15E 45Q 5BAR"/>
    <s v="UN"/>
    <n v="5"/>
    <n v="198"/>
    <n v="990"/>
    <x v="3"/>
  </r>
  <r>
    <s v="007"/>
    <s v="PR02"/>
    <s v="810ROU108"/>
    <s v="Roulement NU313 ECJ POLYREX EM"/>
    <s v="UN"/>
    <n v="3"/>
    <n v="332.36160000000001"/>
    <n v="997.08480000000009"/>
    <x v="3"/>
  </r>
  <r>
    <s v="007"/>
    <s v="PR01"/>
    <s v="701MEC033"/>
    <s v="transmission Ratio 0.5 A4007084"/>
    <s v="UN"/>
    <n v="1"/>
    <n v="1016.727809"/>
    <n v="1016.727809"/>
    <x v="3"/>
  </r>
  <r>
    <s v="007"/>
    <s v="PR01"/>
    <s v="812ver003"/>
    <s v="Verin 1260.10.10 Porte couvercle"/>
    <s v="UN"/>
    <n v="10"/>
    <n v="102.2805"/>
    <n v="1022.8050000000001"/>
    <x v="3"/>
  </r>
  <r>
    <s v="007"/>
    <s v="PR01"/>
    <s v="702MEC023"/>
    <s v="FLOTTEUR STRIP F0076027"/>
    <s v="UN"/>
    <n v="1"/>
    <n v="1025.271"/>
    <n v="1025.271"/>
    <x v="3"/>
  </r>
  <r>
    <s v="007"/>
    <s v="PR02"/>
    <s v="815CON009"/>
    <s v="Contacteur 3P 185A 220V 3RT1056-6AP36  Comp"/>
    <s v="UN"/>
    <n v="1"/>
    <n v="1056.4279999999999"/>
    <n v="1056.4279999999999"/>
    <x v="3"/>
  </r>
  <r>
    <s v="007"/>
    <s v="PR02"/>
    <s v="810ROU224"/>
    <s v="Roulement NJ 208-ECJ Melangeur fonderie"/>
    <s v="UN"/>
    <n v="6"/>
    <n v="177.3"/>
    <n v="1063.8000000000002"/>
    <x v="3"/>
  </r>
  <r>
    <s v="007"/>
    <s v="PR02"/>
    <s v="810ROU019"/>
    <s v="Roulement 22209 CAW33"/>
    <s v="UN"/>
    <n v="10"/>
    <n v="106.70399999999999"/>
    <n v="1067.04"/>
    <x v="3"/>
  </r>
  <r>
    <s v="007"/>
    <s v="PR01"/>
    <s v="710MEC024"/>
    <s v="Roller GCC 24 With dowels  Boite RED COS"/>
    <s v="UN"/>
    <n v="6"/>
    <n v="178.626"/>
    <n v="1071.7560000000001"/>
    <x v="3"/>
  </r>
  <r>
    <s v="007"/>
    <s v="PR01"/>
    <s v="810XPM003"/>
    <s v="NALCO TRASAR TRAC 102"/>
    <s v="KG"/>
    <n v="50"/>
    <n v="21.45"/>
    <n v="1072.5"/>
    <x v="3"/>
  </r>
  <r>
    <s v="007"/>
    <s v="PR02"/>
    <s v="780MOT013"/>
    <s v="MOTEUR 7.5KW 4P 380/660V B5 CANTONI  FOUR FUSION"/>
    <s v="UN"/>
    <n v="1"/>
    <n v="1077.481675"/>
    <n v="1077.481675"/>
    <x v="3"/>
  </r>
  <r>
    <s v="007"/>
    <s v="PR02"/>
    <s v="815ELE087"/>
    <s v="Electrovanne Gaz BRAHMA EG25*L.3 GMO  Bruleur"/>
    <s v="UN"/>
    <n v="2"/>
    <n v="540.54089999999997"/>
    <n v="1081.0817999999999"/>
    <x v="3"/>
  </r>
  <r>
    <s v="007"/>
    <s v="PR01"/>
    <s v="815GAI319"/>
    <s v="gaine anti chaleur 12mm"/>
    <s v="UN"/>
    <n v="200"/>
    <n v="5.4135"/>
    <n v="1082.7"/>
    <x v="3"/>
  </r>
  <r>
    <s v="007"/>
    <s v="PR02"/>
    <s v="820POM018"/>
    <s v="Kit de rechange Pompe PP DEBEM BOXER 522  CH.Acid"/>
    <s v="UN"/>
    <n v="1"/>
    <n v="1089.5"/>
    <n v="1089.5"/>
    <x v="3"/>
  </r>
  <r>
    <s v="007"/>
    <s v="PR02"/>
    <s v="815RES201"/>
    <s v="Resistance coudée D20 220V/750W/210mm Baffle Stri"/>
    <s v="UN"/>
    <n v="4"/>
    <n v="274.63414999999998"/>
    <n v="1098.5365999999999"/>
    <x v="3"/>
  </r>
  <r>
    <s v="007"/>
    <s v="PR01"/>
    <s v="812VER198"/>
    <s v="VERIN 1511.50.20 M.Nivelage"/>
    <s v="UN"/>
    <n v="4"/>
    <n v="277.35500000000002"/>
    <n v="1109.42"/>
    <x v="3"/>
  </r>
  <r>
    <s v="007"/>
    <s v="PR02"/>
    <s v="810ROU179"/>
    <s v="Roulement 2308 ETN9 EMP CHI"/>
    <s v="UN"/>
    <n v="6"/>
    <n v="186.74549999999999"/>
    <n v="1120.473"/>
    <x v="3"/>
  </r>
  <r>
    <s v="007"/>
    <s v="PR01"/>
    <s v="812VER638"/>
    <s v="VERIN D32 C10 1511.32.10      COS"/>
    <s v="UN"/>
    <n v="8"/>
    <n v="140.06299999999999"/>
    <n v="1120.5039999999999"/>
    <x v="3"/>
  </r>
  <r>
    <s v="007"/>
    <s v="PR01"/>
    <s v="812VER636"/>
    <s v="VERIN 1320.80.200.01 Table S.couvercle"/>
    <s v="UN"/>
    <n v="3"/>
    <n v="378.55599999999998"/>
    <n v="1135.6679999999999"/>
    <x v="3"/>
  </r>
  <r>
    <s v="007"/>
    <s v="PR01"/>
    <s v="815THE153"/>
    <s v="thermocouple Type J (canne) D16/L1700 Creuset COS"/>
    <s v="UN"/>
    <n v="3"/>
    <n v="381.78"/>
    <n v="1145.3399999999999"/>
    <x v="3"/>
  </r>
  <r>
    <s v="007"/>
    <s v="PR01"/>
    <s v="701MEC069"/>
    <s v="Brosse special M.Lavage HUANFA"/>
    <s v="UN"/>
    <n v="3"/>
    <n v="383.8"/>
    <n v="1151.4000000000001"/>
    <x v="3"/>
  </r>
  <r>
    <s v="007"/>
    <s v="PR02"/>
    <m/>
    <s v="CNF FLEXIBLE HYD LG 2500 M/F"/>
    <s v="UN"/>
    <n v="4"/>
    <n v="288.66000000000003"/>
    <n v="1154.6400000000001"/>
    <x v="3"/>
  </r>
  <r>
    <s v="007"/>
    <s v="PR02"/>
    <s v="815CAP018"/>
    <s v="Capteur de niveau 01DLF3KG/IO-LINK Performer"/>
    <s v="UN"/>
    <n v="1"/>
    <n v="1168.6383000000001"/>
    <n v="1168.6383000000001"/>
    <x v="3"/>
  </r>
  <r>
    <s v="007"/>
    <s v="PR01"/>
    <s v="812VER196"/>
    <s v="VERIN TIGE TRAVERSANTE D50 C20  Centre element"/>
    <s v="UN"/>
    <n v="4"/>
    <n v="293.471"/>
    <n v="1173.884"/>
    <x v="3"/>
  </r>
  <r>
    <s v="007"/>
    <s v="PR01"/>
    <s v="702MEC040"/>
    <s v="Handle valve CAM 08F A7008016  COS"/>
    <s v="UN"/>
    <n v="6"/>
    <n v="199.49700000000001"/>
    <n v="1196.982"/>
    <x v="3"/>
  </r>
  <r>
    <s v="007"/>
    <s v="PR02"/>
    <s v="815RES022"/>
    <s v="Resistance L450/230V/1700W"/>
    <s v="UN"/>
    <n v="14"/>
    <n v="85.5"/>
    <n v="1197"/>
    <x v="3"/>
  </r>
  <r>
    <s v="007"/>
    <s v="PR01"/>
    <s v="702ELE004"/>
    <s v="CONVERTISSEUR 100 MB A3028004"/>
    <s v="UN"/>
    <n v="1"/>
    <n v="1203.9933554960826"/>
    <n v="1203.9933554960826"/>
    <x v="3"/>
  </r>
  <r>
    <s v="007"/>
    <s v="PR01"/>
    <s v="713MEC001"/>
    <s v="SEAL GASKETS KIT - RR0002522"/>
    <s v="UN"/>
    <n v="11"/>
    <n v="109.60791918399352"/>
    <n v="1205.6871110239288"/>
    <x v="3"/>
  </r>
  <r>
    <s v="007"/>
    <s v="PR02"/>
    <s v="701ele088"/>
    <s v="Crane cable and remote controll    Palan Fonder"/>
    <s v="UN"/>
    <n v="1"/>
    <n v="1208.9567500000001"/>
    <n v="1208.9567500000001"/>
    <x v="3"/>
  </r>
  <r>
    <s v="007"/>
    <s v="PR01"/>
    <s v="812xmc007"/>
    <s v="Joint etancheite D29-6.5*22"/>
    <s v="UN"/>
    <n v="160"/>
    <n v="7.5750000000000002"/>
    <n v="1212"/>
    <x v="3"/>
  </r>
  <r>
    <s v="007"/>
    <s v="PR02"/>
    <s v="840LUB005"/>
    <s v="LUBRIFIANT DE COUPE Lactucal LT 3000 Total"/>
    <s v="L"/>
    <n v="60"/>
    <n v="20.5351"/>
    <n v="1232.106"/>
    <x v="3"/>
  </r>
  <r>
    <s v="007"/>
    <s v="PR02"/>
    <s v="815XPE152"/>
    <s v="Fiche Male 3P+T 63A-6 380-415V"/>
    <s v="UN"/>
    <n v="10"/>
    <n v="124.97295"/>
    <n v="1249.7294999999999"/>
    <x v="3"/>
  </r>
  <r>
    <s v="007"/>
    <s v="PR02"/>
    <s v="703SAC003"/>
    <s v="SAC MANCHE FILTRANTE D150/L3700 LINKLATER"/>
    <s v="UN"/>
    <n v="25"/>
    <n v="50.5"/>
    <n v="1262.5"/>
    <x v="3"/>
  </r>
  <r>
    <s v="007"/>
    <s v="PR02"/>
    <s v="810TAP129"/>
    <s v="TAPIS 3560X80 PERFOREE (TYPE MAM)"/>
    <s v="UN"/>
    <n v="7"/>
    <n v="183.6"/>
    <n v="1285.2"/>
    <x v="3"/>
  </r>
  <r>
    <s v="007"/>
    <s v="PR01"/>
    <s v="815cab004"/>
    <s v="Capteur approximité IM08 -2NSPS -ZW1"/>
    <s v="UN"/>
    <n v="16"/>
    <n v="80.75"/>
    <n v="1292"/>
    <x v="3"/>
  </r>
  <r>
    <s v="007"/>
    <s v="PR01"/>
    <s v="812DIS010"/>
    <s v="DISTRIBUTEUR CAMOZZI 951-000-P15-23"/>
    <s v="UN"/>
    <n v="8"/>
    <n v="166.08"/>
    <n v="1328.64"/>
    <x v="3"/>
  </r>
  <r>
    <s v="007"/>
    <s v="PR01"/>
    <s v="812VER022"/>
    <s v="Verin 1319.160.150.01 Table principal COS"/>
    <s v="UN"/>
    <n v="1"/>
    <n v="1330.4114999999999"/>
    <n v="1330.4114999999999"/>
    <x v="3"/>
  </r>
  <r>
    <s v="007"/>
    <s v="PR02"/>
    <s v="840XOU004"/>
    <s v="Boite de controle bruleu RMG88.62C2"/>
    <s v="UN"/>
    <n v="3"/>
    <n v="446.18540000000002"/>
    <n v="1338.5562"/>
    <x v="3"/>
  </r>
  <r>
    <s v="007"/>
    <s v="PR01"/>
    <s v="701ELE049"/>
    <s v="THERMOCOUPLE MOULE TYPE J D2*50 cable tressé"/>
    <s v="UN"/>
    <n v="8"/>
    <n v="168.00120000000001"/>
    <n v="1344.0096000000001"/>
    <x v="3"/>
  </r>
  <r>
    <s v="007"/>
    <s v="PR02"/>
    <s v="815pro009"/>
    <s v="PROJECTEUR LED 400W"/>
    <s v="UN"/>
    <n v="3"/>
    <n v="450.45"/>
    <n v="1351.35"/>
    <x v="3"/>
  </r>
  <r>
    <s v="007"/>
    <s v="PR02"/>
    <s v="815RES202"/>
    <s v="Resistance Coudee D20 220V/1000W/300mm  Baffle St"/>
    <s v="UN"/>
    <n v="5"/>
    <n v="287.29703000000001"/>
    <n v="1436.48515"/>
    <x v="3"/>
  </r>
  <r>
    <s v="007"/>
    <s v="PR02"/>
    <s v="701MEC045"/>
    <s v="BROSSE A LAMELLE SG ACIER INOX 43509003 WBU 10010"/>
    <s v="UN"/>
    <n v="2"/>
    <n v="724.51649999999995"/>
    <n v="1449.0329999999999"/>
    <x v="3"/>
  </r>
  <r>
    <s v="007"/>
    <s v="PR01"/>
    <s v="812VER197"/>
    <s v="VERIN COMPACT SDA32*20B M.Nivelage"/>
    <s v="UN"/>
    <n v="10"/>
    <n v="146.642"/>
    <n v="1466.42"/>
    <x v="3"/>
  </r>
  <r>
    <s v="007"/>
    <s v="PR01"/>
    <s v="702ELE096"/>
    <s v="RESIST CONT D20X438 1500W 230V Creuset inf"/>
    <s v="UN"/>
    <n v="6"/>
    <n v="245.34055181576011"/>
    <n v="1472.0433108945606"/>
    <x v="3"/>
  </r>
  <r>
    <s v="007"/>
    <s v="PR02"/>
    <s v="810ROU151"/>
    <s v="Roulement  RCB-121616.L068 EMP CLASSIQUE"/>
    <s v="UN"/>
    <n v="11"/>
    <n v="136.55520000000001"/>
    <n v="1502.1072000000001"/>
    <x v="3"/>
  </r>
  <r>
    <s v="007"/>
    <s v="PR01"/>
    <s v="701ELE021"/>
    <s v="Corps CONNECTOR 6PINS Female double A3036356"/>
    <s v="UN"/>
    <n v="8"/>
    <n v="193.55086499999999"/>
    <n v="1548.4069199999999"/>
    <x v="3"/>
  </r>
  <r>
    <s v="007"/>
    <s v="PR01"/>
    <s v="701ELE058"/>
    <s v="Thermocouple Type K"/>
    <s v="UN"/>
    <n v="6"/>
    <n v="258.3"/>
    <n v="1549.8000000000002"/>
    <x v="3"/>
  </r>
  <r>
    <s v="007"/>
    <s v="PR01"/>
    <s v="812VER110"/>
    <s v="VERIN COMPACT SDA25*20B M.remplissage"/>
    <s v="UN"/>
    <n v="12"/>
    <n v="133.94300000000001"/>
    <n v="1607.3160000000003"/>
    <x v="3"/>
  </r>
  <r>
    <s v="007"/>
    <s v="PR01"/>
    <s v="710ELE004"/>
    <s v="Relay H24-1A69 A3015757 S.Conexion"/>
    <s v="UN"/>
    <n v="5"/>
    <n v="323.07979"/>
    <n v="1615.39895"/>
    <x v="3"/>
  </r>
  <r>
    <s v="007"/>
    <s v="PR02"/>
    <s v="810CHA001"/>
    <s v="CHAINE DOUBLE PAS 25.40 16B-2"/>
    <s v="M"/>
    <n v="14"/>
    <n v="117.19889999999999"/>
    <n v="1640.7846"/>
    <x v="3"/>
  </r>
  <r>
    <s v="007"/>
    <s v="PR02"/>
    <s v="810ROU170"/>
    <s v="Roulement 23134 CAW33 CHINOIS"/>
    <s v="UN"/>
    <n v="1"/>
    <n v="1642.617"/>
    <n v="1642.617"/>
    <x v="3"/>
  </r>
  <r>
    <s v="007"/>
    <s v="PR02"/>
    <s v="840XOU012"/>
    <s v="Servomoteur LKS 210-21 (B1-15 S2) Bruleur Strip"/>
    <s v="UN"/>
    <n v="1"/>
    <n v="1681.6320000000001"/>
    <n v="1681.6320000000001"/>
    <x v="3"/>
  </r>
  <r>
    <s v="007"/>
    <s v="PR01"/>
    <s v="810XPM095"/>
    <s v="Side brush Testeur HRD"/>
    <s v="UN"/>
    <n v="382"/>
    <n v="4.4244199999999996"/>
    <n v="1690.1284399999997"/>
    <x v="3"/>
  </r>
  <r>
    <s v="007"/>
    <s v="PR01"/>
    <s v="710ele008"/>
    <s v="Impeller (turbine) F04258 Pompe plomb COS"/>
    <s v="UN"/>
    <n v="6"/>
    <n v="282.38877000000002"/>
    <n v="1694.3326200000001"/>
    <x v="3"/>
  </r>
  <r>
    <s v="007"/>
    <s v="PR01"/>
    <s v="710ELE048"/>
    <s v="Resistance A3013416 D12.5xL310 1000W"/>
    <s v="UN"/>
    <n v="6"/>
    <n v="283.80860000000001"/>
    <n v="1702.8516"/>
    <x v="3"/>
  </r>
  <r>
    <s v="007"/>
    <s v="PR02"/>
    <s v="702MEC042"/>
    <s v="Ressort COMP 102/377/68 *17*13SPIRE Press punshin"/>
    <s v="UN"/>
    <n v="4"/>
    <n v="430.26"/>
    <n v="1721.04"/>
    <x v="3"/>
  </r>
  <r>
    <s v="007"/>
    <s v="PR01"/>
    <s v="710MEC019"/>
    <s v="Ammotisseur-A6514029"/>
    <s v="UN"/>
    <n v="2"/>
    <n v="871.07100000000003"/>
    <n v="1742.1420000000001"/>
    <x v="3"/>
  </r>
  <r>
    <s v="007"/>
    <s v="PR01"/>
    <s v="815DIS002"/>
    <s v="Disjoncteur moteur 2,5-04"/>
    <s v="UN"/>
    <n v="20"/>
    <n v="87.93"/>
    <n v="1758.6000000000001"/>
    <x v="3"/>
  </r>
  <r>
    <s v="007"/>
    <s v="PR01"/>
    <s v="812FIL102"/>
    <s v="filtre eau 5 micron"/>
    <s v="UN"/>
    <n v="3"/>
    <n v="589.88173333333327"/>
    <n v="1769.6451999999999"/>
    <x v="3"/>
  </r>
  <r>
    <s v="007"/>
    <s v="PR01"/>
    <s v="820XMC598"/>
    <s v="Anneau de levage M10 MALE  moule"/>
    <s v="UN"/>
    <n v="780"/>
    <n v="2.282"/>
    <n v="1779.96"/>
    <x v="3"/>
  </r>
  <r>
    <s v="007"/>
    <s v="PR01"/>
    <s v="815PHO148"/>
    <s v="Photocell Allen Bradley 42EF-E1EZB-F4   B"/>
    <s v="UN"/>
    <n v="3"/>
    <n v="596.73599999999999"/>
    <n v="1790.2080000000001"/>
    <x v="3"/>
  </r>
  <r>
    <s v="007"/>
    <s v="PR02"/>
    <s v="705MEC057"/>
    <s v="Gaunlet clamping below 19R*T9.7/MA 904 AM0046594"/>
    <s v="UN"/>
    <n v="1"/>
    <n v="1791.7320850000001"/>
    <n v="1791.7320850000001"/>
    <x v="3"/>
  </r>
  <r>
    <s v="007"/>
    <s v="PR02"/>
    <s v="705MEC002"/>
    <s v="lame decoupeur F45511018"/>
    <s v="UN"/>
    <n v="5"/>
    <n v="360.34687318846187"/>
    <n v="1801.7343659423093"/>
    <x v="3"/>
  </r>
  <r>
    <s v="007"/>
    <s v="PR01"/>
    <s v="810XPM049"/>
    <s v="JOINT GRAPHITE ARMEE 1.5X1.5M EP 2mm"/>
    <s v="UN"/>
    <n v="8"/>
    <n v="226.54079999999999"/>
    <n v="1812.3263999999999"/>
    <x v="3"/>
  </r>
  <r>
    <s v="007"/>
    <s v="PR01"/>
    <s v="713ELE004"/>
    <s v="CARTE ALIMENTATION CS20003/2 (ZS3000457/2)"/>
    <s v="UN"/>
    <n v="1"/>
    <n v="1815.0550000000001"/>
    <n v="1815.0550000000001"/>
    <x v="3"/>
  </r>
  <r>
    <s v="007"/>
    <s v="PR02"/>
    <s v="690X0033"/>
    <s v="LUBRIFIANT HADILIN K95/II  014-000-024"/>
    <s v="L"/>
    <n v="50"/>
    <n v="36.402450000000002"/>
    <n v="1820.1225000000002"/>
    <x v="0"/>
  </r>
  <r>
    <s v="007"/>
    <s v="PR02"/>
    <s v="708MEC003"/>
    <s v="Lame de coupe dechet STRIP CHINOIS"/>
    <s v="UN"/>
    <n v="1"/>
    <n v="1834.2945475713532"/>
    <n v="1834.2945475713532"/>
    <x v="3"/>
  </r>
  <r>
    <s v="007"/>
    <s v="PR01"/>
    <s v="815RES215"/>
    <s v="Resistance a ailette D16/L650/230V/1200W"/>
    <s v="UN"/>
    <n v="18"/>
    <n v="107.1"/>
    <n v="1927.8"/>
    <x v="3"/>
  </r>
  <r>
    <s v="007"/>
    <s v="PR01"/>
    <s v="701MEC028"/>
    <s v="spring A0080588 ENV SOVEMA"/>
    <s v="UN"/>
    <n v="42"/>
    <n v="46.293731220461453"/>
    <n v="1944.336711259381"/>
    <x v="3"/>
  </r>
  <r>
    <s v="007"/>
    <s v="PR01"/>
    <s v="702ELE097"/>
    <s v="RESIST CARTOUCHE D20X561 2000W 230V (STRIP)"/>
    <s v="UN"/>
    <n v="6"/>
    <n v="330.52017303815018"/>
    <n v="1983.1210382289009"/>
    <x v="3"/>
  </r>
  <r>
    <s v="007"/>
    <s v="PR01"/>
    <s v="707ELE010"/>
    <s v="Cable connection P+N L3000mm"/>
    <s v="UN"/>
    <n v="80"/>
    <n v="24.99952"/>
    <n v="1999.9616000000001"/>
    <x v="3"/>
  </r>
  <r>
    <s v="007"/>
    <s v="PR01"/>
    <s v="815RES052"/>
    <s v="RESISTANCE COUDEE 1500W L320 230V D12.7 P.Ch L3"/>
    <s v="UN"/>
    <n v="10"/>
    <n v="202.61458000000002"/>
    <n v="2026.1458000000002"/>
    <x v="3"/>
  </r>
  <r>
    <s v="007"/>
    <s v="PR02"/>
    <s v="708MEC013"/>
    <s v="Kit complet de guidage Moule   Punshing"/>
    <s v="UN"/>
    <n v="2"/>
    <n v="1028.194"/>
    <n v="2056.3879999999999"/>
    <x v="3"/>
  </r>
  <r>
    <s v="007"/>
    <s v="PR01"/>
    <s v="812VER005"/>
    <s v="VERIN 1511.80.35 Pompe COS"/>
    <s v="UN"/>
    <n v="6"/>
    <n v="346.16480000000001"/>
    <n v="2076.9888000000001"/>
    <x v="3"/>
  </r>
  <r>
    <s v="007"/>
    <s v="PR01"/>
    <s v="810XPM096"/>
    <s v="Top Brush Testeur HRD"/>
    <s v="UN"/>
    <n v="159"/>
    <n v="13.242319999999999"/>
    <n v="2105.5288799999998"/>
    <x v="3"/>
  </r>
  <r>
    <s v="007"/>
    <s v="PR01"/>
    <s v="820XMC180"/>
    <s v="Ecrou Papillon Acier M10"/>
    <s v="UN"/>
    <n v="89"/>
    <n v="24.328700000000001"/>
    <n v="2165.2543000000001"/>
    <x v="3"/>
  </r>
  <r>
    <s v="007"/>
    <s v="PR02"/>
    <s v="812FLE071"/>
    <s v="FLEXIBLE INOX DN13 LG 4MT+Raccords INOX"/>
    <s v="UN"/>
    <n v="11"/>
    <n v="199.80000000000004"/>
    <n v="2197.8000000000006"/>
    <x v="3"/>
  </r>
  <r>
    <s v="007"/>
    <s v="PR01"/>
    <s v="702MECO77"/>
    <s v="VERIN A7005732 D80 C35 PN05374.35 PANIER COS"/>
    <s v="UN"/>
    <n v="4"/>
    <n v="554.62175999999999"/>
    <n v="2218.48704"/>
    <x v="3"/>
  </r>
  <r>
    <s v="007"/>
    <s v="PR01"/>
    <s v="701MEC039"/>
    <s v="taillant F0080409/1 (Selecting NAIL) ENV SOVEMA"/>
    <s v="UN"/>
    <n v="6"/>
    <n v="389.41789859126379"/>
    <n v="2336.5073915475828"/>
    <x v="3"/>
  </r>
  <r>
    <s v="007"/>
    <s v="PR01"/>
    <s v="710MEC022"/>
    <s v="Accouplement  A0110739 ENV SOVEMA"/>
    <s v="UN"/>
    <n v="4"/>
    <n v="619.70500000000004"/>
    <n v="2478.8200000000002"/>
    <x v="3"/>
  </r>
  <r>
    <s v="007"/>
    <s v="PR02"/>
    <s v="810TAP009"/>
    <s v="Tapis YRM403-100&quot;x14&quot; 2540/356  Empateuse Classiq"/>
    <s v="UN"/>
    <n v="4"/>
    <n v="621.45309599999996"/>
    <n v="2485.8123839999998"/>
    <x v="3"/>
  </r>
  <r>
    <s v="007"/>
    <s v="PR01"/>
    <s v="712MEC003"/>
    <s v="ATTACCO F55202139"/>
    <s v="UN"/>
    <n v="71"/>
    <n v="36.671672408360124"/>
    <n v="2603.6887409935689"/>
    <x v="3"/>
  </r>
  <r>
    <s v="007"/>
    <s v="PR02"/>
    <s v="810ACC005"/>
    <s v="ACCOUPLEMENT GF 55-NN Central hydrol STRIP"/>
    <s v="UN"/>
    <n v="8"/>
    <n v="327.63240000000002"/>
    <n v="2621.0592000000001"/>
    <x v="3"/>
  </r>
  <r>
    <s v="007"/>
    <s v="PR01"/>
    <s v="810COU005"/>
    <s v="COURROIE ENVELOPPEUSE A0131957"/>
    <s v="UN"/>
    <n v="1"/>
    <n v="2656.2089999999998"/>
    <n v="2656.2089999999998"/>
    <x v="3"/>
  </r>
  <r>
    <s v="007"/>
    <s v="PR01"/>
    <s v="820XMC196"/>
    <s v="écrou frein M14"/>
    <s v="UN"/>
    <n v="89"/>
    <n v="30.584700000000002"/>
    <n v="2722.0383000000002"/>
    <x v="3"/>
  </r>
  <r>
    <s v="007"/>
    <s v="PR01"/>
    <s v="701ELE002"/>
    <s v="CARTE sortie Redresseur CS20007/03  RED2010"/>
    <s v="UN"/>
    <n v="4"/>
    <n v="687.14539500000001"/>
    <n v="2748.58158"/>
    <x v="3"/>
  </r>
  <r>
    <s v="007"/>
    <s v="PR02"/>
    <s v="810XPM081"/>
    <s v="Segment HADI"/>
    <s v="UN"/>
    <n v="101"/>
    <n v="27.597635400000001"/>
    <n v="2787.3611754000003"/>
    <x v="3"/>
  </r>
  <r>
    <s v="007"/>
    <s v="PR01"/>
    <s v="830XOU347"/>
    <s v="Metrel MD 9910 IR CAMERA Thermographique 80/80"/>
    <s v="UN"/>
    <n v="1"/>
    <n v="2788"/>
    <n v="2788"/>
    <x v="3"/>
  </r>
  <r>
    <s v="007"/>
    <s v="PR02"/>
    <s v="708MEC004"/>
    <s v="Pompe (lead pompe)"/>
    <s v="UN"/>
    <n v="5"/>
    <n v="600"/>
    <n v="3000"/>
    <x v="3"/>
  </r>
  <r>
    <s v="007"/>
    <s v="PR01"/>
    <s v="815TRA154"/>
    <s v="transmetteur de pression STS ATM  A3010039A"/>
    <s v="UN"/>
    <n v="2"/>
    <n v="1510.4934000000001"/>
    <n v="3020.9868000000001"/>
    <x v="3"/>
  </r>
  <r>
    <s v="007"/>
    <s v="PR01"/>
    <s v="812TUB037"/>
    <s v="Tube Spiralee PVC D100"/>
    <s v="M"/>
    <n v="100"/>
    <n v="31.024999999999999"/>
    <n v="3102.5"/>
    <x v="3"/>
  </r>
  <r>
    <s v="007"/>
    <s v="PR01"/>
    <s v="713MEC041"/>
    <s v="NYLON BRUSH - A9047086"/>
    <s v="UN"/>
    <n v="6"/>
    <n v="518.80799999999999"/>
    <n v="3112.848"/>
    <x v="3"/>
  </r>
  <r>
    <s v="007"/>
    <s v="PR02"/>
    <s v="701ELE013"/>
    <s v="Servo moteur SGM7J-08AFC6S"/>
    <s v="UN"/>
    <n v="2"/>
    <n v="1618.162"/>
    <n v="3236.3240000000001"/>
    <x v="3"/>
  </r>
  <r>
    <s v="007"/>
    <s v="PR01"/>
    <s v="710MEC013"/>
    <s v="Bracket F0080001 ENV SOVEMA"/>
    <s v="UN"/>
    <n v="12"/>
    <n v="276.28528494880186"/>
    <n v="3315.4234193856223"/>
    <x v="3"/>
  </r>
  <r>
    <s v="007"/>
    <s v="PR01"/>
    <s v="710MEC020"/>
    <s v="Ammotisseur-A6514027"/>
    <s v="UN"/>
    <n v="4"/>
    <n v="831.07399999999996"/>
    <n v="3324.2959999999998"/>
    <x v="3"/>
  </r>
  <r>
    <s v="007"/>
    <s v="PR01"/>
    <s v="713MEC039"/>
    <s v="CYLINDER D.32 - A7005729 Brosse COS 1605.32.800.0"/>
    <s v="UN"/>
    <n v="2"/>
    <n v="1681.9459999999999"/>
    <n v="3363.8919999999998"/>
    <x v="3"/>
  </r>
  <r>
    <s v="007"/>
    <s v="PR02"/>
    <s v="701ELE014"/>
    <s v="Servo pack SGD7S-2R8A00A002"/>
    <s v="UN"/>
    <n v="2"/>
    <n v="1763.58"/>
    <n v="3527.16"/>
    <x v="3"/>
  </r>
  <r>
    <s v="007"/>
    <s v="PR01"/>
    <s v="710ELE049"/>
    <s v="Resistance A3013646 (A3013405) D15.7xL960 5000W 2"/>
    <s v="UN"/>
    <n v="6"/>
    <n v="589.06785000000002"/>
    <n v="3534.4071000000004"/>
    <x v="3"/>
  </r>
  <r>
    <s v="007"/>
    <s v="PR01"/>
    <s v="701MEC066"/>
    <s v="JOINT VENTOUSE ENV HILANS"/>
    <s v="UN"/>
    <n v="142"/>
    <n v="27.400289999999998"/>
    <n v="3890.8411799999999"/>
    <x v="3"/>
  </r>
  <r>
    <s v="007"/>
    <s v="PR01"/>
    <s v="812XMC016"/>
    <s v="JOINT ETANCHEITE KAMINA 6.5*25*15*18.25*4"/>
    <s v="UN"/>
    <n v="950"/>
    <n v="4.103131067961165"/>
    <n v="3897.9745145631068"/>
    <x v="3"/>
  </r>
  <r>
    <s v="007"/>
    <s v="PR01"/>
    <s v="815RES061"/>
    <s v="Resistance cart M15 D15.7/L310/1000W PL CH B"/>
    <s v="UN"/>
    <n v="22"/>
    <n v="195.41329999999999"/>
    <n v="4299.0925999999999"/>
    <x v="3"/>
  </r>
  <r>
    <s v="007"/>
    <s v="PR01"/>
    <s v="701MEC042"/>
    <s v="goujon droit F0080143"/>
    <s v="UN"/>
    <n v="140"/>
    <n v="30.827600000000004"/>
    <n v="4315.8640000000005"/>
    <x v="3"/>
  </r>
  <r>
    <s v="007"/>
    <s v="PR01"/>
    <s v="710ele009"/>
    <s v="Body valve (Corps) F60542 Pompe plomb COS"/>
    <s v="UN"/>
    <n v="1"/>
    <n v="4433.3729999999996"/>
    <n v="4433.3729999999996"/>
    <x v="3"/>
  </r>
  <r>
    <s v="007"/>
    <s v="PR01"/>
    <s v="713MEC063"/>
    <s v="BUSE NIVELEUSE"/>
    <s v="UN"/>
    <n v="19"/>
    <n v="237.4927355969989"/>
    <n v="4512.3619763429788"/>
    <x v="3"/>
  </r>
  <r>
    <s v="007"/>
    <s v="PR01"/>
    <s v="710ELE005"/>
    <s v="Resistance A3015308 2500W LH/RH  MOULE M11"/>
    <s v="UN"/>
    <n v="10"/>
    <n v="489.173"/>
    <n v="4891.7299999999996"/>
    <x v="3"/>
  </r>
  <r>
    <s v="007"/>
    <s v="PR01"/>
    <s v="815RES056"/>
    <s v="Resistance cart M11 D15.7/L270/800W PLQ CH B"/>
    <s v="UN"/>
    <n v="28"/>
    <n v="193.09365"/>
    <n v="5406.6221999999998"/>
    <x v="3"/>
  </r>
  <r>
    <s v="007"/>
    <s v="PR01"/>
    <s v="713MEC002"/>
    <s v="BOX GEARING 90° A4007067"/>
    <s v="UN"/>
    <n v="4"/>
    <n v="1531.5229705830191"/>
    <n v="6126.0918823320762"/>
    <x v="3"/>
  </r>
  <r>
    <s v="007"/>
    <s v="PR02"/>
    <m/>
    <s v="RIVET ALUMINUIM 4,8/20 (5/50)"/>
    <s v="UN"/>
    <n v="1000"/>
    <n v="6.6680000000000001"/>
    <n v="6668"/>
    <x v="3"/>
  </r>
  <r>
    <s v="007"/>
    <s v="PR01"/>
    <s v="710ELE006"/>
    <s v="Servo motor A0269679 1FK7063-2AC71-1RG0 ENV S"/>
    <s v="UN"/>
    <n v="1"/>
    <n v="6687.1639999999998"/>
    <n v="6687.1639999999998"/>
    <x v="3"/>
  </r>
  <r>
    <s v="007"/>
    <s v="PR02"/>
    <s v="780mot008"/>
    <s v="Moteur Electrique 90kw 4P B3 380/660"/>
    <s v="UN"/>
    <n v="1"/>
    <n v="7068.2111999999997"/>
    <n v="7068.2111999999997"/>
    <x v="3"/>
  </r>
  <r>
    <s v="007"/>
    <s v="PR01"/>
    <s v="701MEC100"/>
    <s v="JOINT VENTOUSE"/>
    <s v="UN"/>
    <n v="263"/>
    <n v="27.400289999999998"/>
    <n v="7206.2762699999994"/>
    <x v="3"/>
  </r>
  <r>
    <s v="007"/>
    <s v="PR02"/>
    <s v="705mec051"/>
    <s v="Tubular holder 1*19/23 RA8.0 9.7mm  M.G.Hadi"/>
    <s v="UN"/>
    <n v="1"/>
    <n v="7550.1865399999997"/>
    <n v="7550.1865399999997"/>
    <x v="3"/>
  </r>
  <r>
    <s v="007"/>
    <s v="PR01"/>
    <s v="713ELE002"/>
    <s v="CARTE DSP MASTER CS20002/3/A (ZS3000363/3/A)"/>
    <s v="UN"/>
    <n v="2"/>
    <n v="4184.5267999999996"/>
    <n v="8369.0535999999993"/>
    <x v="3"/>
  </r>
  <r>
    <s v="007"/>
    <s v="PR02"/>
    <s v="703MEC012"/>
    <s v="Filtre D MPM H14 610*610*292 24m2"/>
    <s v="UN"/>
    <n v="15"/>
    <n v="589.88173333333327"/>
    <n v="8848.2259999999987"/>
    <x v="3"/>
  </r>
  <r>
    <s v="007"/>
    <s v="PR01"/>
    <s v="703SAC001"/>
    <s v="SAC MANCHE FILTRANTE D120/L1530/NOMEX OXYDE"/>
    <s v="UN"/>
    <n v="130"/>
    <n v="70.7"/>
    <n v="9191"/>
    <x v="3"/>
  </r>
  <r>
    <s v="007"/>
    <s v="PR01"/>
    <s v="707ELE009"/>
    <s v="Cable connection  L500mm"/>
    <s v="UN"/>
    <n v="650"/>
    <n v="14.6965"/>
    <n v="9552.7250000000004"/>
    <x v="3"/>
  </r>
  <r>
    <s v="007"/>
    <s v="PR01"/>
    <s v="701ELE024"/>
    <s v="CARTE sortie Redresseur CS20007/01  RED2008/2009"/>
    <s v="UN"/>
    <n v="5"/>
    <n v="1154.7356399999999"/>
    <n v="5773.6781999999994"/>
    <x v="3"/>
  </r>
  <r>
    <s v="007"/>
    <s v="PR02"/>
    <s v="703SAC002"/>
    <s v="SAC MANCHE FILTRANTE D152/L3000/NOMEX"/>
    <s v="UN"/>
    <n v="100"/>
    <n v="111.1"/>
    <n v="1111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PivotTable2" cacheId="71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L4:M9" firstHeaderRow="1" firstDataRow="1" firstDataCol="1"/>
  <pivotFields count="9"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>
      <items count="5">
        <item x="2"/>
        <item x="1"/>
        <item x="3"/>
        <item x="0"/>
        <item t="default"/>
      </items>
    </pivotField>
  </pivotFields>
  <rowFields count="1">
    <field x="8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um of Valeur total" fld="7" baseField="0" baseItem="0" numFmtId="3"/>
  </dataFields>
  <formats count="1">
    <format dxfId="29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900-000001000000}" name="Tableau croisé dynamique2" cacheId="7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L4:M9" firstHeaderRow="1" firstDataRow="1" firstDataCol="1"/>
  <pivotFields count="9">
    <pivotField showAll="0"/>
    <pivotField showAll="0"/>
    <pivotField showAll="0"/>
    <pivotField showAll="0"/>
    <pivotField showAll="0"/>
    <pivotField showAll="0"/>
    <pivotField showAll="0"/>
    <pivotField dataField="1" numFmtId="164" showAll="0"/>
    <pivotField axis="axisRow" showAll="0">
      <items count="5">
        <item x="2"/>
        <item x="0"/>
        <item x="3"/>
        <item x="1"/>
        <item t="default"/>
      </items>
    </pivotField>
  </pivotFields>
  <rowFields count="1">
    <field x="8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Total" fld="7" baseField="0" baseItem="0"/>
  </dataFields>
  <pivotTableStyleInfo name="PivotStyleLight16 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pivotTable" Target="../pivotTables/pivotTable2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3"/>
  <sheetViews>
    <sheetView topLeftCell="A28" workbookViewId="0">
      <selection activeCell="B64" sqref="B64"/>
    </sheetView>
  </sheetViews>
  <sheetFormatPr baseColWidth="10" defaultColWidth="11.42578125" defaultRowHeight="15" x14ac:dyDescent="0.25"/>
  <cols>
    <col min="1" max="1" width="10.42578125" bestFit="1" customWidth="1"/>
    <col min="2" max="2" width="24.7109375" bestFit="1" customWidth="1"/>
    <col min="3" max="3" width="10" bestFit="1" customWidth="1"/>
    <col min="4" max="5" width="13.42578125" bestFit="1" customWidth="1"/>
    <col min="6" max="7" width="11.85546875" bestFit="1" customWidth="1"/>
  </cols>
  <sheetData>
    <row r="1" spans="1:7" x14ac:dyDescent="0.25">
      <c r="A1" s="2" t="s">
        <v>4</v>
      </c>
      <c r="B1" s="2" t="s">
        <v>0</v>
      </c>
      <c r="C1" s="3" t="s">
        <v>5</v>
      </c>
      <c r="D1" s="3" t="s">
        <v>2</v>
      </c>
      <c r="E1" s="3" t="s">
        <v>3</v>
      </c>
      <c r="F1" s="3" t="s">
        <v>6</v>
      </c>
      <c r="G1" s="3" t="s">
        <v>262</v>
      </c>
    </row>
    <row r="2" spans="1:7" x14ac:dyDescent="0.25">
      <c r="A2" s="18">
        <v>13000000</v>
      </c>
      <c r="B2" s="18" t="s">
        <v>273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7" x14ac:dyDescent="0.25">
      <c r="A3" s="18">
        <v>14508000</v>
      </c>
      <c r="B3" s="18" t="s">
        <v>17</v>
      </c>
      <c r="C3" s="19">
        <v>0</v>
      </c>
      <c r="D3" s="19">
        <v>21896.933000000001</v>
      </c>
      <c r="E3" s="19">
        <v>0</v>
      </c>
      <c r="F3" s="19">
        <v>21896.933000000001</v>
      </c>
      <c r="G3" s="19">
        <v>21896.933000000001</v>
      </c>
    </row>
    <row r="4" spans="1:7" x14ac:dyDescent="0.25">
      <c r="A4" s="18">
        <v>22825000</v>
      </c>
      <c r="B4" s="18"/>
      <c r="C4" s="19">
        <v>0</v>
      </c>
      <c r="D4" s="19">
        <v>0</v>
      </c>
      <c r="E4" s="19">
        <v>0</v>
      </c>
      <c r="F4" s="19">
        <v>0</v>
      </c>
      <c r="G4" s="19">
        <v>0</v>
      </c>
    </row>
    <row r="5" spans="1:7" x14ac:dyDescent="0.25">
      <c r="A5" s="18">
        <v>28130000</v>
      </c>
      <c r="B5" s="18" t="s">
        <v>24</v>
      </c>
      <c r="C5" s="19">
        <v>0</v>
      </c>
      <c r="D5" s="19">
        <v>0</v>
      </c>
      <c r="E5" s="19">
        <v>498.40800000000002</v>
      </c>
      <c r="F5" s="19">
        <v>-498.40800000000002</v>
      </c>
      <c r="G5" s="19">
        <v>-498.40800000000002</v>
      </c>
    </row>
    <row r="6" spans="1:7" x14ac:dyDescent="0.25">
      <c r="A6" s="18">
        <v>28216000</v>
      </c>
      <c r="B6" s="18" t="s">
        <v>48</v>
      </c>
      <c r="C6" s="19">
        <v>0</v>
      </c>
      <c r="D6" s="19">
        <v>0</v>
      </c>
      <c r="E6" s="19">
        <v>231.89</v>
      </c>
      <c r="F6" s="19">
        <v>-231.89</v>
      </c>
      <c r="G6" s="19">
        <v>-231.89</v>
      </c>
    </row>
    <row r="7" spans="1:7" x14ac:dyDescent="0.25">
      <c r="A7" s="18">
        <v>28220000</v>
      </c>
      <c r="B7" s="18" t="s">
        <v>49</v>
      </c>
      <c r="C7" s="19">
        <v>0</v>
      </c>
      <c r="D7" s="19">
        <v>0</v>
      </c>
      <c r="E7" s="19">
        <v>37206.669000000002</v>
      </c>
      <c r="F7" s="19">
        <v>-37206.669000000002</v>
      </c>
      <c r="G7" s="19">
        <v>-37206.669000000002</v>
      </c>
    </row>
    <row r="8" spans="1:7" x14ac:dyDescent="0.25">
      <c r="A8" s="18">
        <v>28225000</v>
      </c>
      <c r="B8" s="18" t="s">
        <v>50</v>
      </c>
      <c r="C8" s="19">
        <v>0</v>
      </c>
      <c r="D8" s="19">
        <v>0</v>
      </c>
      <c r="E8" s="19">
        <v>1791.5360000000001</v>
      </c>
      <c r="F8" s="19">
        <v>-1791.5360000000001</v>
      </c>
      <c r="G8" s="19">
        <v>-1791.5360000000001</v>
      </c>
    </row>
    <row r="9" spans="1:7" x14ac:dyDescent="0.25">
      <c r="A9" s="18">
        <v>28230000</v>
      </c>
      <c r="B9" s="18" t="s">
        <v>263</v>
      </c>
      <c r="C9" s="19">
        <v>0</v>
      </c>
      <c r="D9" s="19">
        <v>0</v>
      </c>
      <c r="E9" s="19">
        <v>4389.7709999999997</v>
      </c>
      <c r="F9" s="19">
        <v>-4389.7709999999997</v>
      </c>
      <c r="G9" s="19">
        <v>-4389.7709999999997</v>
      </c>
    </row>
    <row r="10" spans="1:7" x14ac:dyDescent="0.25">
      <c r="A10" s="18">
        <v>28234000</v>
      </c>
      <c r="B10" s="18" t="s">
        <v>51</v>
      </c>
      <c r="C10" s="19">
        <v>0</v>
      </c>
      <c r="D10" s="19">
        <v>0</v>
      </c>
      <c r="E10" s="19">
        <v>116880.211</v>
      </c>
      <c r="F10" s="19">
        <v>-116880.211</v>
      </c>
      <c r="G10" s="19">
        <v>-116880.211</v>
      </c>
    </row>
    <row r="11" spans="1:7" x14ac:dyDescent="0.25">
      <c r="A11" s="18">
        <v>28235000</v>
      </c>
      <c r="B11" s="18" t="s">
        <v>52</v>
      </c>
      <c r="C11" s="19">
        <v>0</v>
      </c>
      <c r="D11" s="19">
        <v>0</v>
      </c>
      <c r="E11" s="19">
        <v>7034.5950000000003</v>
      </c>
      <c r="F11" s="19">
        <v>-7034.5950000000003</v>
      </c>
      <c r="G11" s="19">
        <v>-7034.5950000000003</v>
      </c>
    </row>
    <row r="12" spans="1:7" x14ac:dyDescent="0.25">
      <c r="A12" s="18">
        <v>28237000</v>
      </c>
      <c r="B12" s="18" t="s">
        <v>53</v>
      </c>
      <c r="C12" s="19">
        <v>0</v>
      </c>
      <c r="D12" s="19">
        <v>0</v>
      </c>
      <c r="E12" s="19">
        <v>1805.7460000000001</v>
      </c>
      <c r="F12" s="19">
        <v>-1805.7460000000001</v>
      </c>
      <c r="G12" s="19">
        <v>-1805.7460000000001</v>
      </c>
    </row>
    <row r="13" spans="1:7" x14ac:dyDescent="0.25">
      <c r="A13" s="18">
        <v>28240000</v>
      </c>
      <c r="B13" s="18" t="s">
        <v>54</v>
      </c>
      <c r="C13" s="19">
        <v>0</v>
      </c>
      <c r="D13" s="19">
        <v>0</v>
      </c>
      <c r="E13" s="19">
        <v>12427.078</v>
      </c>
      <c r="F13" s="19">
        <v>-12427.078</v>
      </c>
      <c r="G13" s="19">
        <v>-12427.078</v>
      </c>
    </row>
    <row r="14" spans="1:7" x14ac:dyDescent="0.25">
      <c r="A14" s="18">
        <v>28282000</v>
      </c>
      <c r="B14" s="18" t="s">
        <v>55</v>
      </c>
      <c r="C14" s="19">
        <v>0</v>
      </c>
      <c r="D14" s="19">
        <v>0</v>
      </c>
      <c r="E14" s="19">
        <v>4546.049</v>
      </c>
      <c r="F14" s="19">
        <v>-4546.049</v>
      </c>
      <c r="G14" s="19">
        <v>-4546.049</v>
      </c>
    </row>
    <row r="15" spans="1:7" x14ac:dyDescent="0.25">
      <c r="A15" s="18">
        <v>28283000</v>
      </c>
      <c r="B15" s="18" t="s">
        <v>264</v>
      </c>
      <c r="C15" s="19">
        <v>0</v>
      </c>
      <c r="D15" s="19">
        <v>0</v>
      </c>
      <c r="E15" s="19">
        <v>1898.0329999999999</v>
      </c>
      <c r="F15" s="19">
        <v>-1898.0329999999999</v>
      </c>
      <c r="G15" s="19">
        <v>-1898.0329999999999</v>
      </c>
    </row>
    <row r="16" spans="1:7" x14ac:dyDescent="0.25">
      <c r="A16" s="18">
        <v>28400000</v>
      </c>
      <c r="B16" s="18" t="s">
        <v>56</v>
      </c>
      <c r="C16" s="19">
        <v>0</v>
      </c>
      <c r="D16" s="19">
        <v>0</v>
      </c>
      <c r="E16" s="19">
        <v>6242.0129999999999</v>
      </c>
      <c r="F16" s="19">
        <v>-6242.0129999999999</v>
      </c>
      <c r="G16" s="19">
        <v>-6242.0129999999999</v>
      </c>
    </row>
    <row r="17" spans="1:7" x14ac:dyDescent="0.25">
      <c r="A17" s="18">
        <v>31100000</v>
      </c>
      <c r="B17" s="18" t="s">
        <v>59</v>
      </c>
      <c r="C17" s="19">
        <v>0</v>
      </c>
      <c r="D17" s="19">
        <v>10236706.575999999</v>
      </c>
      <c r="E17" s="19">
        <v>0</v>
      </c>
      <c r="F17" s="19">
        <v>10236706.575999999</v>
      </c>
      <c r="G17" s="19">
        <v>10236706.575999999</v>
      </c>
    </row>
    <row r="18" spans="1:7" x14ac:dyDescent="0.25">
      <c r="A18" s="18">
        <v>32200000</v>
      </c>
      <c r="B18" s="18" t="s">
        <v>61</v>
      </c>
      <c r="C18" s="19">
        <v>0</v>
      </c>
      <c r="D18" s="19">
        <v>596194.15399999998</v>
      </c>
      <c r="E18" s="19">
        <v>0</v>
      </c>
      <c r="F18" s="19">
        <v>596194.15399999998</v>
      </c>
      <c r="G18" s="19">
        <v>596194.15399999998</v>
      </c>
    </row>
    <row r="19" spans="1:7" x14ac:dyDescent="0.25">
      <c r="A19" s="18">
        <v>33100000</v>
      </c>
      <c r="B19" s="18" t="s">
        <v>62</v>
      </c>
      <c r="C19" s="19">
        <v>0</v>
      </c>
      <c r="D19" s="19">
        <v>858839.50199999998</v>
      </c>
      <c r="E19" s="19">
        <v>0</v>
      </c>
      <c r="F19" s="19">
        <v>858839.50199999998</v>
      </c>
      <c r="G19" s="19">
        <v>858839.50199999998</v>
      </c>
    </row>
    <row r="20" spans="1:7" x14ac:dyDescent="0.25">
      <c r="A20" s="18">
        <v>35500000</v>
      </c>
      <c r="B20" s="18" t="s">
        <v>63</v>
      </c>
      <c r="C20" s="19">
        <v>0</v>
      </c>
      <c r="D20" s="19">
        <v>3237104.2590000001</v>
      </c>
      <c r="E20" s="19">
        <v>0</v>
      </c>
      <c r="F20" s="19">
        <v>3237104.2590000001</v>
      </c>
      <c r="G20" s="19">
        <v>3237104.2590000001</v>
      </c>
    </row>
    <row r="21" spans="1:7" x14ac:dyDescent="0.25">
      <c r="A21" s="18">
        <v>40100000</v>
      </c>
      <c r="B21" s="18" t="s">
        <v>66</v>
      </c>
      <c r="C21" s="19">
        <v>0</v>
      </c>
      <c r="D21" s="19">
        <v>0</v>
      </c>
      <c r="E21" s="19">
        <v>4926.3500000000004</v>
      </c>
      <c r="F21" s="19">
        <v>-4926.3500000000004</v>
      </c>
      <c r="G21" s="19">
        <v>-4926.3500000000004</v>
      </c>
    </row>
    <row r="22" spans="1:7" x14ac:dyDescent="0.25">
      <c r="A22" s="18">
        <v>40120000</v>
      </c>
      <c r="B22" s="18" t="s">
        <v>386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</row>
    <row r="23" spans="1:7" x14ac:dyDescent="0.25">
      <c r="A23" s="18">
        <v>40800000</v>
      </c>
      <c r="B23" s="18" t="s">
        <v>71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</row>
    <row r="24" spans="1:7" x14ac:dyDescent="0.25">
      <c r="A24" s="18">
        <v>41100000</v>
      </c>
      <c r="B24" s="18" t="s">
        <v>73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</row>
    <row r="25" spans="1:7" x14ac:dyDescent="0.25">
      <c r="A25" s="18">
        <v>41500000</v>
      </c>
      <c r="B25" s="18" t="s">
        <v>75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</row>
    <row r="26" spans="1:7" x14ac:dyDescent="0.25">
      <c r="A26" s="18">
        <v>41800000</v>
      </c>
      <c r="B26" s="18" t="s">
        <v>307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</row>
    <row r="27" spans="1:7" x14ac:dyDescent="0.25">
      <c r="A27" s="18">
        <v>45310000</v>
      </c>
      <c r="B27" s="18" t="s">
        <v>104</v>
      </c>
      <c r="C27" s="19">
        <v>0</v>
      </c>
      <c r="D27" s="19">
        <v>0</v>
      </c>
      <c r="E27" s="19">
        <v>32544.788</v>
      </c>
      <c r="F27" s="19">
        <v>-32544.788</v>
      </c>
      <c r="G27" s="19">
        <v>-32544.788</v>
      </c>
    </row>
    <row r="28" spans="1:7" x14ac:dyDescent="0.25">
      <c r="A28" s="18">
        <v>45860000</v>
      </c>
      <c r="B28" s="18" t="s">
        <v>106</v>
      </c>
      <c r="C28" s="19">
        <v>0</v>
      </c>
      <c r="D28" s="19">
        <v>0</v>
      </c>
      <c r="E28" s="19">
        <v>377563.946</v>
      </c>
      <c r="F28" s="19">
        <v>-377563.946</v>
      </c>
      <c r="G28" s="19">
        <v>-377563.946</v>
      </c>
    </row>
    <row r="29" spans="1:7" x14ac:dyDescent="0.25">
      <c r="A29" s="18">
        <v>45870000</v>
      </c>
      <c r="B29" s="18" t="s">
        <v>107</v>
      </c>
      <c r="C29" s="19">
        <v>0</v>
      </c>
      <c r="D29" s="19">
        <v>20628.099999999999</v>
      </c>
      <c r="E29" s="19">
        <v>0</v>
      </c>
      <c r="F29" s="19">
        <v>20628.099999999999</v>
      </c>
      <c r="G29" s="19">
        <v>20628.099999999999</v>
      </c>
    </row>
    <row r="30" spans="1:7" x14ac:dyDescent="0.25">
      <c r="A30" s="18">
        <v>47100000</v>
      </c>
      <c r="B30" s="18" t="s">
        <v>109</v>
      </c>
      <c r="C30" s="19">
        <v>0</v>
      </c>
      <c r="D30" s="19">
        <v>30513.599999999999</v>
      </c>
      <c r="E30" s="19">
        <v>40966.794000000002</v>
      </c>
      <c r="F30" s="19">
        <v>-10453.194</v>
      </c>
      <c r="G30" s="19">
        <v>-10453.194</v>
      </c>
    </row>
    <row r="31" spans="1:7" x14ac:dyDescent="0.25">
      <c r="A31" s="18">
        <v>60120300</v>
      </c>
      <c r="B31" s="18" t="s">
        <v>409</v>
      </c>
      <c r="C31" s="19">
        <v>0</v>
      </c>
      <c r="D31" s="19">
        <v>185288.78</v>
      </c>
      <c r="E31" s="19">
        <v>0</v>
      </c>
      <c r="F31" s="19">
        <v>185288.78</v>
      </c>
      <c r="G31" s="19">
        <v>185288.78</v>
      </c>
    </row>
    <row r="32" spans="1:7" x14ac:dyDescent="0.25">
      <c r="A32" s="18">
        <v>60120400</v>
      </c>
      <c r="B32" s="18" t="s">
        <v>410</v>
      </c>
      <c r="C32" s="19">
        <v>0</v>
      </c>
      <c r="D32" s="19">
        <v>25120.1</v>
      </c>
      <c r="E32" s="19">
        <v>0</v>
      </c>
      <c r="F32" s="19">
        <v>25120.1</v>
      </c>
      <c r="G32" s="19">
        <v>25120.1</v>
      </c>
    </row>
    <row r="33" spans="1:7" x14ac:dyDescent="0.25">
      <c r="A33" s="18">
        <v>60122100</v>
      </c>
      <c r="B33" s="18" t="s">
        <v>155</v>
      </c>
      <c r="C33" s="19">
        <v>0</v>
      </c>
      <c r="D33" s="19">
        <v>0</v>
      </c>
      <c r="E33" s="19">
        <v>17010</v>
      </c>
      <c r="F33" s="19">
        <v>-17010</v>
      </c>
      <c r="G33" s="19">
        <v>-17010</v>
      </c>
    </row>
    <row r="34" spans="1:7" x14ac:dyDescent="0.25">
      <c r="A34" s="18">
        <v>60122200</v>
      </c>
      <c r="B34" s="18" t="s">
        <v>156</v>
      </c>
      <c r="C34" s="19">
        <v>0</v>
      </c>
      <c r="D34" s="19">
        <v>17352.3</v>
      </c>
      <c r="E34" s="19">
        <v>0</v>
      </c>
      <c r="F34" s="19">
        <v>17352.3</v>
      </c>
      <c r="G34" s="19">
        <v>17352.3</v>
      </c>
    </row>
    <row r="35" spans="1:7" x14ac:dyDescent="0.25">
      <c r="A35" s="18">
        <v>60173000</v>
      </c>
      <c r="B35" s="18" t="s">
        <v>170</v>
      </c>
      <c r="C35" s="19">
        <v>0</v>
      </c>
      <c r="D35" s="19">
        <v>4926.3500000000004</v>
      </c>
      <c r="E35" s="19">
        <v>0</v>
      </c>
      <c r="F35" s="19">
        <v>4926.3500000000004</v>
      </c>
      <c r="G35" s="19">
        <v>4926.3500000000004</v>
      </c>
    </row>
    <row r="36" spans="1:7" x14ac:dyDescent="0.25">
      <c r="A36" s="18">
        <v>60260400</v>
      </c>
      <c r="B36" s="18" t="s">
        <v>161</v>
      </c>
      <c r="C36" s="19">
        <v>0</v>
      </c>
      <c r="D36" s="19">
        <v>5940</v>
      </c>
      <c r="E36" s="19">
        <v>0</v>
      </c>
      <c r="F36" s="19">
        <v>5940</v>
      </c>
      <c r="G36" s="19">
        <v>5940</v>
      </c>
    </row>
    <row r="37" spans="1:7" x14ac:dyDescent="0.25">
      <c r="A37" s="18">
        <v>60262000</v>
      </c>
      <c r="B37" s="18" t="s">
        <v>164</v>
      </c>
      <c r="C37" s="19">
        <v>0</v>
      </c>
      <c r="D37" s="19">
        <v>1870</v>
      </c>
      <c r="E37" s="19">
        <v>0</v>
      </c>
      <c r="F37" s="19">
        <v>1870</v>
      </c>
      <c r="G37" s="19">
        <v>1870</v>
      </c>
    </row>
    <row r="38" spans="1:7" x14ac:dyDescent="0.25">
      <c r="A38" s="18">
        <v>60310000</v>
      </c>
      <c r="B38" s="18" t="s">
        <v>265</v>
      </c>
      <c r="C38" s="19">
        <v>0</v>
      </c>
      <c r="D38" s="19">
        <v>0</v>
      </c>
      <c r="E38" s="19">
        <v>10236706.575999999</v>
      </c>
      <c r="F38" s="19">
        <v>-10236706.575999999</v>
      </c>
      <c r="G38" s="19">
        <v>-10236706.575999999</v>
      </c>
    </row>
    <row r="39" spans="1:7" x14ac:dyDescent="0.25">
      <c r="A39" s="18">
        <v>60330000</v>
      </c>
      <c r="B39" s="18" t="s">
        <v>266</v>
      </c>
      <c r="C39" s="19">
        <v>0</v>
      </c>
      <c r="D39" s="19">
        <v>0</v>
      </c>
      <c r="E39" s="19">
        <v>596194.15399999998</v>
      </c>
      <c r="F39" s="19">
        <v>-596194.15399999998</v>
      </c>
      <c r="G39" s="19">
        <v>-596194.15399999998</v>
      </c>
    </row>
    <row r="40" spans="1:7" x14ac:dyDescent="0.25">
      <c r="A40" s="18">
        <v>60502000</v>
      </c>
      <c r="B40" s="18" t="s">
        <v>167</v>
      </c>
      <c r="C40" s="19">
        <v>0</v>
      </c>
      <c r="D40" s="19">
        <v>21278</v>
      </c>
      <c r="E40" s="19">
        <v>0</v>
      </c>
      <c r="F40" s="19">
        <v>21278</v>
      </c>
      <c r="G40" s="19">
        <v>21278</v>
      </c>
    </row>
    <row r="41" spans="1:7" x14ac:dyDescent="0.25">
      <c r="A41" s="18">
        <v>61500000</v>
      </c>
      <c r="B41" s="18" t="s">
        <v>411</v>
      </c>
      <c r="C41" s="19">
        <v>0</v>
      </c>
      <c r="D41" s="19">
        <v>4703.3609999999999</v>
      </c>
      <c r="E41" s="19">
        <v>0</v>
      </c>
      <c r="F41" s="19">
        <v>4703.3609999999999</v>
      </c>
      <c r="G41" s="19">
        <v>4703.3609999999999</v>
      </c>
    </row>
    <row r="42" spans="1:7" x14ac:dyDescent="0.25">
      <c r="A42" s="18">
        <v>61603000</v>
      </c>
      <c r="B42" s="18" t="s">
        <v>178</v>
      </c>
      <c r="C42" s="19">
        <v>0</v>
      </c>
      <c r="D42" s="19">
        <v>2450.7930000000001</v>
      </c>
      <c r="E42" s="19">
        <v>0</v>
      </c>
      <c r="F42" s="19">
        <v>2450.7930000000001</v>
      </c>
      <c r="G42" s="19">
        <v>2450.7930000000001</v>
      </c>
    </row>
    <row r="43" spans="1:7" x14ac:dyDescent="0.25">
      <c r="A43" s="18">
        <v>61607000</v>
      </c>
      <c r="B43" s="18" t="s">
        <v>179</v>
      </c>
      <c r="C43" s="19">
        <v>0</v>
      </c>
      <c r="D43" s="19">
        <v>0</v>
      </c>
      <c r="E43" s="19">
        <v>13503.6</v>
      </c>
      <c r="F43" s="19">
        <v>-13503.6</v>
      </c>
      <c r="G43" s="19">
        <v>-13503.6</v>
      </c>
    </row>
    <row r="44" spans="1:7" x14ac:dyDescent="0.25">
      <c r="A44" s="18">
        <v>62200000</v>
      </c>
      <c r="B44" s="18" t="s">
        <v>181</v>
      </c>
      <c r="C44" s="19">
        <v>0</v>
      </c>
      <c r="D44" s="19">
        <v>1490</v>
      </c>
      <c r="E44" s="19">
        <v>0</v>
      </c>
      <c r="F44" s="19">
        <v>1490</v>
      </c>
      <c r="G44" s="19">
        <v>1490</v>
      </c>
    </row>
    <row r="45" spans="1:7" x14ac:dyDescent="0.25">
      <c r="A45" s="18">
        <v>62240000</v>
      </c>
      <c r="B45" s="18" t="s">
        <v>267</v>
      </c>
      <c r="C45" s="19">
        <v>0</v>
      </c>
      <c r="D45" s="19">
        <v>2782.5239999999999</v>
      </c>
      <c r="E45" s="19">
        <v>0</v>
      </c>
      <c r="F45" s="19">
        <v>2782.5239999999999</v>
      </c>
      <c r="G45" s="19">
        <v>2782.5239999999999</v>
      </c>
    </row>
    <row r="46" spans="1:7" x14ac:dyDescent="0.25">
      <c r="A46" s="18">
        <v>62250000</v>
      </c>
      <c r="B46" s="18" t="s">
        <v>268</v>
      </c>
      <c r="C46" s="19">
        <v>0</v>
      </c>
      <c r="D46" s="19">
        <v>5000</v>
      </c>
      <c r="E46" s="19">
        <v>0</v>
      </c>
      <c r="F46" s="19">
        <v>5000</v>
      </c>
      <c r="G46" s="19">
        <v>5000</v>
      </c>
    </row>
    <row r="47" spans="1:7" x14ac:dyDescent="0.25">
      <c r="A47" s="18">
        <v>62300000</v>
      </c>
      <c r="B47" s="18" t="s">
        <v>182</v>
      </c>
      <c r="C47" s="19">
        <v>0</v>
      </c>
      <c r="D47" s="19">
        <v>7500</v>
      </c>
      <c r="E47" s="19">
        <v>0</v>
      </c>
      <c r="F47" s="19">
        <v>7500</v>
      </c>
      <c r="G47" s="19">
        <v>7500</v>
      </c>
    </row>
    <row r="48" spans="1:7" x14ac:dyDescent="0.25">
      <c r="A48" s="18">
        <v>62780000</v>
      </c>
      <c r="B48" s="18" t="s">
        <v>189</v>
      </c>
      <c r="C48" s="19">
        <v>0</v>
      </c>
      <c r="D48" s="19">
        <v>13350.088</v>
      </c>
      <c r="E48" s="19">
        <v>0</v>
      </c>
      <c r="F48" s="19">
        <v>13350.088</v>
      </c>
      <c r="G48" s="19">
        <v>13350.088</v>
      </c>
    </row>
    <row r="49" spans="1:7" x14ac:dyDescent="0.25">
      <c r="A49" s="18">
        <v>63300000</v>
      </c>
      <c r="B49" s="18" t="s">
        <v>269</v>
      </c>
      <c r="C49" s="19">
        <v>0</v>
      </c>
      <c r="D49" s="19">
        <v>10416.665999999999</v>
      </c>
      <c r="E49" s="19">
        <v>0</v>
      </c>
      <c r="F49" s="19">
        <v>10416.665999999999</v>
      </c>
      <c r="G49" s="19">
        <v>10416.665999999999</v>
      </c>
    </row>
    <row r="50" spans="1:7" x14ac:dyDescent="0.25">
      <c r="A50" s="18">
        <v>64001000</v>
      </c>
      <c r="B50" s="18" t="s">
        <v>191</v>
      </c>
      <c r="C50" s="19">
        <v>0</v>
      </c>
      <c r="D50" s="19">
        <v>25606.931</v>
      </c>
      <c r="E50" s="19">
        <v>0</v>
      </c>
      <c r="F50" s="19">
        <v>25606.931</v>
      </c>
      <c r="G50" s="19">
        <v>25606.931</v>
      </c>
    </row>
    <row r="51" spans="1:7" x14ac:dyDescent="0.25">
      <c r="A51" s="18">
        <v>64720000</v>
      </c>
      <c r="B51" s="18" t="s">
        <v>194</v>
      </c>
      <c r="C51" s="19">
        <v>0</v>
      </c>
      <c r="D51" s="19">
        <v>32544.788</v>
      </c>
      <c r="E51" s="19">
        <v>0</v>
      </c>
      <c r="F51" s="19">
        <v>32544.788</v>
      </c>
      <c r="G51" s="19">
        <v>32544.788</v>
      </c>
    </row>
    <row r="52" spans="1:7" x14ac:dyDescent="0.25">
      <c r="A52" s="18">
        <v>65110200</v>
      </c>
      <c r="B52" s="18" t="s">
        <v>196</v>
      </c>
      <c r="C52" s="19">
        <v>0</v>
      </c>
      <c r="D52" s="19">
        <v>25890.741000000002</v>
      </c>
      <c r="E52" s="19">
        <v>0</v>
      </c>
      <c r="F52" s="19">
        <v>25890.741000000002</v>
      </c>
      <c r="G52" s="19">
        <v>25890.741000000002</v>
      </c>
    </row>
    <row r="53" spans="1:7" x14ac:dyDescent="0.25">
      <c r="A53" s="18">
        <v>65110400</v>
      </c>
      <c r="B53" s="18" t="s">
        <v>197</v>
      </c>
      <c r="C53" s="19">
        <v>0</v>
      </c>
      <c r="D53" s="19">
        <v>15076.053</v>
      </c>
      <c r="E53" s="19">
        <v>0</v>
      </c>
      <c r="F53" s="19">
        <v>15076.053</v>
      </c>
      <c r="G53" s="19">
        <v>15076.053</v>
      </c>
    </row>
    <row r="54" spans="1:7" x14ac:dyDescent="0.25">
      <c r="A54" s="18">
        <v>65150000</v>
      </c>
      <c r="B54" s="18" t="s">
        <v>270</v>
      </c>
      <c r="C54" s="19">
        <v>0</v>
      </c>
      <c r="D54" s="19">
        <v>9186.8490000000002</v>
      </c>
      <c r="E54" s="19">
        <v>0</v>
      </c>
      <c r="F54" s="19">
        <v>9186.8490000000002</v>
      </c>
      <c r="G54" s="19">
        <v>9186.8490000000002</v>
      </c>
    </row>
    <row r="55" spans="1:7" x14ac:dyDescent="0.25">
      <c r="A55" s="18">
        <v>65190000</v>
      </c>
      <c r="B55" s="18" t="s">
        <v>198</v>
      </c>
      <c r="C55" s="19">
        <v>0</v>
      </c>
      <c r="D55" s="19">
        <v>30038.761999999999</v>
      </c>
      <c r="E55" s="19">
        <v>0</v>
      </c>
      <c r="F55" s="19">
        <v>30038.761999999999</v>
      </c>
      <c r="G55" s="19">
        <v>30038.761999999999</v>
      </c>
    </row>
    <row r="56" spans="1:7" x14ac:dyDescent="0.25">
      <c r="A56" s="18">
        <v>66520000</v>
      </c>
      <c r="B56" s="18" t="s">
        <v>200</v>
      </c>
      <c r="C56" s="19">
        <v>0</v>
      </c>
      <c r="D56" s="19">
        <v>7288.7920000000004</v>
      </c>
      <c r="E56" s="19">
        <v>0</v>
      </c>
      <c r="F56" s="19">
        <v>7288.7920000000004</v>
      </c>
      <c r="G56" s="19">
        <v>7288.7920000000004</v>
      </c>
    </row>
    <row r="57" spans="1:7" x14ac:dyDescent="0.25">
      <c r="A57" s="18">
        <v>66550000</v>
      </c>
      <c r="B57" s="18" t="s">
        <v>202</v>
      </c>
      <c r="C57" s="19">
        <v>0</v>
      </c>
      <c r="D57" s="19">
        <v>900</v>
      </c>
      <c r="E57" s="19">
        <v>0</v>
      </c>
      <c r="F57" s="19">
        <v>900</v>
      </c>
      <c r="G57" s="19">
        <v>900</v>
      </c>
    </row>
    <row r="58" spans="1:7" x14ac:dyDescent="0.25">
      <c r="A58" s="18">
        <v>68112000</v>
      </c>
      <c r="B58" s="18" t="s">
        <v>271</v>
      </c>
      <c r="C58" s="19">
        <v>0</v>
      </c>
      <c r="D58" s="19">
        <v>194951.99900000001</v>
      </c>
      <c r="E58" s="19">
        <v>0</v>
      </c>
      <c r="F58" s="19">
        <v>194951.99900000001</v>
      </c>
      <c r="G58" s="19">
        <v>194951.99900000001</v>
      </c>
    </row>
    <row r="59" spans="1:7" x14ac:dyDescent="0.25">
      <c r="A59" s="18">
        <v>70000000</v>
      </c>
      <c r="B59" s="18" t="s">
        <v>205</v>
      </c>
      <c r="C59" s="19">
        <v>0</v>
      </c>
      <c r="D59" s="19">
        <v>0</v>
      </c>
      <c r="E59" s="19">
        <v>17408.8</v>
      </c>
      <c r="F59" s="19">
        <v>-17408.8</v>
      </c>
      <c r="G59" s="19">
        <v>-17408.8</v>
      </c>
    </row>
    <row r="60" spans="1:7" x14ac:dyDescent="0.25">
      <c r="A60" s="18">
        <v>70600500</v>
      </c>
      <c r="B60" s="18" t="s">
        <v>208</v>
      </c>
      <c r="C60" s="19">
        <v>0</v>
      </c>
      <c r="D60" s="19">
        <v>0</v>
      </c>
      <c r="E60" s="19">
        <v>3219.3</v>
      </c>
      <c r="F60" s="19">
        <v>-3219.3</v>
      </c>
      <c r="G60" s="19">
        <v>-3219.3</v>
      </c>
    </row>
    <row r="61" spans="1:7" x14ac:dyDescent="0.25">
      <c r="A61" s="18">
        <v>71340000</v>
      </c>
      <c r="B61" s="18" t="s">
        <v>382</v>
      </c>
      <c r="C61" s="19">
        <v>0</v>
      </c>
      <c r="D61" s="19">
        <v>0</v>
      </c>
      <c r="E61" s="19">
        <v>4095943.7609999999</v>
      </c>
      <c r="F61" s="19">
        <v>-4095943.7609999999</v>
      </c>
      <c r="G61" s="19">
        <v>-4095943.7609999999</v>
      </c>
    </row>
    <row r="62" spans="1:7" x14ac:dyDescent="0.25">
      <c r="A62" s="18">
        <v>73900000</v>
      </c>
      <c r="B62" s="18" t="s">
        <v>213</v>
      </c>
      <c r="C62" s="19">
        <v>0</v>
      </c>
      <c r="D62" s="19">
        <v>0</v>
      </c>
      <c r="E62" s="19">
        <v>21896.933000000001</v>
      </c>
      <c r="F62" s="19">
        <v>-21896.933000000001</v>
      </c>
      <c r="G62" s="19">
        <v>-21896.933000000001</v>
      </c>
    </row>
    <row r="63" spans="1:7" x14ac:dyDescent="0.25">
      <c r="C63" s="1">
        <f>SUM(C2:C62)</f>
        <v>0</v>
      </c>
      <c r="D63" s="1">
        <f t="shared" ref="D63:G63" si="0">SUM(D2:D62)</f>
        <v>15652837.000999995</v>
      </c>
      <c r="E63" s="1">
        <f t="shared" si="0"/>
        <v>15652837.001</v>
      </c>
      <c r="F63" s="1">
        <f t="shared" si="0"/>
        <v>-2.1354935597628355E-9</v>
      </c>
      <c r="G63" s="1">
        <f t="shared" si="0"/>
        <v>-2.1354935597628355E-9</v>
      </c>
    </row>
  </sheetData>
  <phoneticPr fontId="1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91"/>
  <sheetViews>
    <sheetView workbookViewId="0">
      <pane ySplit="1" topLeftCell="A159" activePane="bottomLeft" state="frozen"/>
      <selection pane="bottomLeft" activeCell="B206" sqref="B206"/>
    </sheetView>
  </sheetViews>
  <sheetFormatPr baseColWidth="10" defaultColWidth="11.42578125" defaultRowHeight="11.25" x14ac:dyDescent="0.2"/>
  <cols>
    <col min="1" max="1" width="14.42578125" style="4" bestFit="1" customWidth="1"/>
    <col min="2" max="2" width="23.7109375" style="4" bestFit="1" customWidth="1"/>
    <col min="3" max="3" width="15.140625" style="5" bestFit="1" customWidth="1"/>
    <col min="4" max="5" width="11.42578125" style="5" bestFit="1" customWidth="1"/>
    <col min="6" max="6" width="12.7109375" style="5" bestFit="1" customWidth="1"/>
    <col min="7" max="7" width="13.5703125" style="5" bestFit="1" customWidth="1"/>
    <col min="8" max="8" width="13.140625" style="5" bestFit="1" customWidth="1"/>
    <col min="9" max="9" width="13.28515625" style="5" bestFit="1" customWidth="1"/>
    <col min="10" max="10" width="24" style="4" customWidth="1"/>
    <col min="11" max="16384" width="11.42578125" style="4"/>
  </cols>
  <sheetData>
    <row r="1" spans="1:10" x14ac:dyDescent="0.2">
      <c r="A1" s="6" t="s">
        <v>1</v>
      </c>
      <c r="B1" s="6" t="s">
        <v>0</v>
      </c>
      <c r="C1" s="7" t="s">
        <v>5</v>
      </c>
      <c r="D1" s="7" t="s">
        <v>2</v>
      </c>
      <c r="E1" s="7" t="s">
        <v>260</v>
      </c>
      <c r="F1" s="7" t="s">
        <v>218</v>
      </c>
      <c r="G1" s="7" t="s">
        <v>219</v>
      </c>
      <c r="H1" s="7" t="s">
        <v>6</v>
      </c>
      <c r="I1" s="7" t="s">
        <v>217</v>
      </c>
      <c r="J1" s="6" t="s">
        <v>384</v>
      </c>
    </row>
    <row r="2" spans="1:10" x14ac:dyDescent="0.2">
      <c r="A2" s="10">
        <v>10100000</v>
      </c>
      <c r="B2" s="10" t="s">
        <v>7</v>
      </c>
      <c r="C2" s="11">
        <v>-13500000</v>
      </c>
      <c r="D2" s="11">
        <v>0</v>
      </c>
      <c r="E2" s="11">
        <v>0</v>
      </c>
      <c r="F2" s="13">
        <f>SUMIF('OD 01-23'!A:A,A2,'OD 01-23'!D:D)</f>
        <v>0</v>
      </c>
      <c r="G2" s="13">
        <f>SUMIF('OD 01-23'!A:A,A2,'OD 01-23'!E:E)</f>
        <v>0</v>
      </c>
      <c r="H2" s="14">
        <f t="shared" ref="H2:H65" si="0">+D2+F2-E2-G2</f>
        <v>0</v>
      </c>
      <c r="I2" s="14">
        <f t="shared" ref="I2:I65" si="1">+H2+C2</f>
        <v>-13500000</v>
      </c>
      <c r="J2" s="8" t="s">
        <v>8</v>
      </c>
    </row>
    <row r="3" spans="1:10" x14ac:dyDescent="0.2">
      <c r="A3" s="10">
        <v>11101000</v>
      </c>
      <c r="B3" s="10" t="s">
        <v>9</v>
      </c>
      <c r="C3" s="11">
        <v>-1200000</v>
      </c>
      <c r="D3" s="11">
        <v>0</v>
      </c>
      <c r="E3" s="11">
        <v>0</v>
      </c>
      <c r="F3" s="13">
        <f>SUMIF('OD 01-23'!A:A,A3,'OD 01-23'!D:D)</f>
        <v>0</v>
      </c>
      <c r="G3" s="13">
        <f>SUMIF('OD 01-23'!A:A,A3,'OD 01-23'!E:E)</f>
        <v>0</v>
      </c>
      <c r="H3" s="14">
        <f t="shared" si="0"/>
        <v>0</v>
      </c>
      <c r="I3" s="14">
        <f t="shared" si="1"/>
        <v>-1200000</v>
      </c>
      <c r="J3" s="8" t="s">
        <v>10</v>
      </c>
    </row>
    <row r="4" spans="1:10" x14ac:dyDescent="0.2">
      <c r="A4" s="10">
        <v>12100000</v>
      </c>
      <c r="B4" s="10" t="s">
        <v>11</v>
      </c>
      <c r="C4" s="11">
        <f>-17351323.015645-1208076.033</f>
        <v>-18559399.048645001</v>
      </c>
      <c r="D4" s="11">
        <v>0</v>
      </c>
      <c r="E4" s="11">
        <v>0</v>
      </c>
      <c r="F4" s="13">
        <f>SUMIF('OD 01-23'!A:A,A4,'OD 01-23'!D:D)</f>
        <v>0</v>
      </c>
      <c r="G4" s="13">
        <f>SUMIF('OD 01-23'!A:A,A4,'OD 01-23'!E:E)</f>
        <v>0</v>
      </c>
      <c r="H4" s="14">
        <f t="shared" si="0"/>
        <v>0</v>
      </c>
      <c r="I4" s="14">
        <f t="shared" si="1"/>
        <v>-18559399.048645001</v>
      </c>
      <c r="J4" s="8" t="s">
        <v>12</v>
      </c>
    </row>
    <row r="5" spans="1:10" x14ac:dyDescent="0.2">
      <c r="A5" s="10">
        <v>12200000</v>
      </c>
      <c r="B5" s="10" t="s">
        <v>272</v>
      </c>
      <c r="C5" s="11">
        <v>0</v>
      </c>
      <c r="D5" s="11">
        <v>0</v>
      </c>
      <c r="E5" s="11">
        <v>0</v>
      </c>
      <c r="F5" s="13">
        <f>SUMIF('OD 01-23'!A:A,A5,'OD 01-23'!D:D)</f>
        <v>0</v>
      </c>
      <c r="G5" s="13">
        <f>SUMIF('OD 01-23'!A:A,A5,'OD 01-23'!E:E)</f>
        <v>0</v>
      </c>
      <c r="H5" s="14">
        <f t="shared" si="0"/>
        <v>0</v>
      </c>
      <c r="I5" s="14">
        <f t="shared" si="1"/>
        <v>0</v>
      </c>
      <c r="J5" s="8"/>
    </row>
    <row r="6" spans="1:10" x14ac:dyDescent="0.2">
      <c r="A6" s="10">
        <v>12800000</v>
      </c>
      <c r="B6" s="10" t="s">
        <v>13</v>
      </c>
      <c r="C6" s="11">
        <v>3022190.1950000003</v>
      </c>
      <c r="D6" s="11">
        <v>0</v>
      </c>
      <c r="E6" s="11">
        <v>0</v>
      </c>
      <c r="F6" s="13">
        <f>SUMIF('OD 01-23'!A:A,A6,'OD 01-23'!D:D)</f>
        <v>0</v>
      </c>
      <c r="G6" s="13">
        <f>SUMIF('OD 01-23'!A:A,A6,'OD 01-23'!E:E)</f>
        <v>0</v>
      </c>
      <c r="H6" s="14">
        <f t="shared" si="0"/>
        <v>0</v>
      </c>
      <c r="I6" s="14">
        <f t="shared" si="1"/>
        <v>3022190.1950000003</v>
      </c>
      <c r="J6" s="8" t="s">
        <v>14</v>
      </c>
    </row>
    <row r="7" spans="1:10" x14ac:dyDescent="0.2">
      <c r="A7" s="10">
        <v>13000000</v>
      </c>
      <c r="B7" s="10" t="s">
        <v>273</v>
      </c>
      <c r="C7" s="11">
        <v>0</v>
      </c>
      <c r="D7" s="11">
        <v>0</v>
      </c>
      <c r="E7" s="11">
        <v>0</v>
      </c>
      <c r="F7" s="13">
        <f>SUMIF('OD 01-23'!A:A,A7,'OD 01-23'!D:D)</f>
        <v>0</v>
      </c>
      <c r="G7" s="13">
        <f>SUMIF('OD 01-23'!A:A,A7,'OD 01-23'!E:E)</f>
        <v>0</v>
      </c>
      <c r="H7" s="14">
        <f t="shared" si="0"/>
        <v>0</v>
      </c>
      <c r="I7" s="14">
        <f t="shared" si="1"/>
        <v>0</v>
      </c>
      <c r="J7" s="8"/>
    </row>
    <row r="8" spans="1:10" x14ac:dyDescent="0.2">
      <c r="A8" s="10">
        <v>14500000</v>
      </c>
      <c r="B8" s="10" t="s">
        <v>15</v>
      </c>
      <c r="C8" s="11">
        <v>-3479108.84</v>
      </c>
      <c r="D8" s="11">
        <v>0</v>
      </c>
      <c r="E8" s="11">
        <v>0</v>
      </c>
      <c r="F8" s="13">
        <f>SUMIF('OD 01-23'!A:A,A8,'OD 01-23'!D:D)</f>
        <v>0</v>
      </c>
      <c r="G8" s="13">
        <f>SUMIF('OD 01-23'!A:A,A8,'OD 01-23'!E:E)</f>
        <v>0</v>
      </c>
      <c r="H8" s="14">
        <f t="shared" si="0"/>
        <v>0</v>
      </c>
      <c r="I8" s="14">
        <f t="shared" si="1"/>
        <v>-3479108.84</v>
      </c>
      <c r="J8" s="8" t="s">
        <v>16</v>
      </c>
    </row>
    <row r="9" spans="1:10" x14ac:dyDescent="0.2">
      <c r="A9" s="10">
        <v>14508000</v>
      </c>
      <c r="B9" s="10" t="s">
        <v>17</v>
      </c>
      <c r="C9" s="11">
        <v>2356770.0980000002</v>
      </c>
      <c r="D9" s="11">
        <v>0</v>
      </c>
      <c r="E9" s="11">
        <v>0</v>
      </c>
      <c r="F9" s="13">
        <f>SUMIF('OD 01-23'!A:A,A9,'OD 01-23'!D:D)</f>
        <v>21896.933000000001</v>
      </c>
      <c r="G9" s="13">
        <f>SUMIF('OD 01-23'!A:A,A9,'OD 01-23'!E:E)</f>
        <v>0</v>
      </c>
      <c r="H9" s="14">
        <f t="shared" si="0"/>
        <v>21896.933000000001</v>
      </c>
      <c r="I9" s="14">
        <f t="shared" si="1"/>
        <v>2378667.0310000004</v>
      </c>
      <c r="J9" s="8" t="s">
        <v>18</v>
      </c>
    </row>
    <row r="10" spans="1:10" x14ac:dyDescent="0.2">
      <c r="A10" s="10">
        <v>15100000</v>
      </c>
      <c r="B10" s="10" t="s">
        <v>19</v>
      </c>
      <c r="C10" s="11">
        <v>-22564.956000000006</v>
      </c>
      <c r="D10" s="11">
        <v>0</v>
      </c>
      <c r="E10" s="11">
        <v>0</v>
      </c>
      <c r="F10" s="13">
        <f>SUMIF('OD 01-23'!A:A,A10,'OD 01-23'!D:D)</f>
        <v>0</v>
      </c>
      <c r="G10" s="13">
        <f>SUMIF('OD 01-23'!A:A,A10,'OD 01-23'!E:E)</f>
        <v>0</v>
      </c>
      <c r="H10" s="14">
        <f t="shared" si="0"/>
        <v>0</v>
      </c>
      <c r="I10" s="14">
        <f t="shared" si="1"/>
        <v>-22564.956000000006</v>
      </c>
      <c r="J10" s="8" t="s">
        <v>20</v>
      </c>
    </row>
    <row r="11" spans="1:10" x14ac:dyDescent="0.2">
      <c r="A11" s="10">
        <v>16210250</v>
      </c>
      <c r="B11" s="10" t="s">
        <v>274</v>
      </c>
      <c r="C11" s="11">
        <v>0</v>
      </c>
      <c r="D11" s="11">
        <v>0</v>
      </c>
      <c r="E11" s="11">
        <v>0</v>
      </c>
      <c r="F11" s="13">
        <f>SUMIF('OD 01-23'!A:A,A11,'OD 01-23'!D:D)</f>
        <v>0</v>
      </c>
      <c r="G11" s="13">
        <f>SUMIF('OD 01-23'!A:A,A11,'OD 01-23'!E:E)</f>
        <v>0</v>
      </c>
      <c r="H11" s="14">
        <f t="shared" si="0"/>
        <v>0</v>
      </c>
      <c r="I11" s="14">
        <f t="shared" si="1"/>
        <v>0</v>
      </c>
      <c r="J11" s="8"/>
    </row>
    <row r="12" spans="1:10" x14ac:dyDescent="0.2">
      <c r="A12" s="10">
        <v>16210500</v>
      </c>
      <c r="B12" s="10" t="s">
        <v>21</v>
      </c>
      <c r="C12" s="11">
        <v>-1041666.6629999988</v>
      </c>
      <c r="D12" s="11">
        <v>0</v>
      </c>
      <c r="E12" s="11">
        <v>0</v>
      </c>
      <c r="F12" s="13">
        <f>SUMIF('OD 01-23'!A:A,A12,'OD 01-23'!D:D)</f>
        <v>0</v>
      </c>
      <c r="G12" s="13">
        <f>SUMIF('OD 01-23'!A:A,A12,'OD 01-23'!E:E)</f>
        <v>0</v>
      </c>
      <c r="H12" s="14">
        <f t="shared" si="0"/>
        <v>0</v>
      </c>
      <c r="I12" s="14">
        <f t="shared" si="1"/>
        <v>-1041666.6629999988</v>
      </c>
      <c r="J12" s="8" t="s">
        <v>22</v>
      </c>
    </row>
    <row r="13" spans="1:10" x14ac:dyDescent="0.2">
      <c r="A13" s="10">
        <v>16210960</v>
      </c>
      <c r="B13" s="10" t="s">
        <v>275</v>
      </c>
      <c r="C13" s="11">
        <v>0</v>
      </c>
      <c r="D13" s="11">
        <v>0</v>
      </c>
      <c r="E13" s="11">
        <v>0</v>
      </c>
      <c r="F13" s="13">
        <f>SUMIF('OD 01-23'!A:A,A13,'OD 01-23'!D:D)</f>
        <v>0</v>
      </c>
      <c r="G13" s="13">
        <f>SUMIF('OD 01-23'!A:A,A13,'OD 01-23'!E:E)</f>
        <v>0</v>
      </c>
      <c r="H13" s="14">
        <f t="shared" si="0"/>
        <v>0</v>
      </c>
      <c r="I13" s="14">
        <f t="shared" si="1"/>
        <v>0</v>
      </c>
      <c r="J13" s="8"/>
    </row>
    <row r="14" spans="1:10" x14ac:dyDescent="0.2">
      <c r="A14" s="10">
        <v>16400000</v>
      </c>
      <c r="B14" s="10" t="s">
        <v>276</v>
      </c>
      <c r="C14" s="11">
        <v>-173470.93400000024</v>
      </c>
      <c r="D14" s="11">
        <v>0</v>
      </c>
      <c r="E14" s="11">
        <v>0</v>
      </c>
      <c r="F14" s="13">
        <f>SUMIF('OD 01-23'!A:A,A14,'OD 01-23'!D:D)</f>
        <v>0</v>
      </c>
      <c r="G14" s="13">
        <f>SUMIF('OD 01-23'!A:A,A14,'OD 01-23'!E:E)</f>
        <v>0</v>
      </c>
      <c r="H14" s="14">
        <f t="shared" si="0"/>
        <v>0</v>
      </c>
      <c r="I14" s="14">
        <f t="shared" si="1"/>
        <v>-173470.93400000024</v>
      </c>
      <c r="J14" s="8" t="s">
        <v>22</v>
      </c>
    </row>
    <row r="15" spans="1:10" x14ac:dyDescent="0.2">
      <c r="A15" s="10">
        <v>18800000</v>
      </c>
      <c r="B15" s="10" t="s">
        <v>23</v>
      </c>
      <c r="C15" s="11">
        <v>0</v>
      </c>
      <c r="D15" s="11">
        <v>0</v>
      </c>
      <c r="E15" s="11">
        <v>0</v>
      </c>
      <c r="F15" s="13">
        <f>SUMIF('OD 01-23'!A:A,A15,'OD 01-23'!D:D)</f>
        <v>0</v>
      </c>
      <c r="G15" s="13">
        <f>SUMIF('OD 01-23'!A:A,A15,'OD 01-23'!E:E)</f>
        <v>0</v>
      </c>
      <c r="H15" s="14">
        <f t="shared" si="0"/>
        <v>0</v>
      </c>
      <c r="I15" s="14">
        <f t="shared" si="1"/>
        <v>0</v>
      </c>
      <c r="J15" s="8"/>
    </row>
    <row r="16" spans="1:10" x14ac:dyDescent="0.2">
      <c r="A16" s="10">
        <v>21100000</v>
      </c>
      <c r="B16" s="10" t="s">
        <v>277</v>
      </c>
      <c r="C16" s="11">
        <v>0</v>
      </c>
      <c r="D16" s="11">
        <v>0</v>
      </c>
      <c r="E16" s="11">
        <v>0</v>
      </c>
      <c r="F16" s="13">
        <f>SUMIF('OD 01-23'!A:A,A16,'OD 01-23'!D:D)</f>
        <v>0</v>
      </c>
      <c r="G16" s="13">
        <f>SUMIF('OD 01-23'!A:A,A16,'OD 01-23'!E:E)</f>
        <v>0</v>
      </c>
      <c r="H16" s="14">
        <f t="shared" si="0"/>
        <v>0</v>
      </c>
      <c r="I16" s="14">
        <f t="shared" si="1"/>
        <v>0</v>
      </c>
      <c r="J16" s="8"/>
    </row>
    <row r="17" spans="1:10" x14ac:dyDescent="0.2">
      <c r="A17" s="10">
        <v>21300000</v>
      </c>
      <c r="B17" s="10" t="s">
        <v>24</v>
      </c>
      <c r="C17" s="11">
        <v>80409.226999999999</v>
      </c>
      <c r="D17" s="11">
        <v>0</v>
      </c>
      <c r="E17" s="11">
        <v>0</v>
      </c>
      <c r="F17" s="13">
        <f>SUMIF('OD 01-23'!A:A,A17,'OD 01-23'!D:D)</f>
        <v>0</v>
      </c>
      <c r="G17" s="13">
        <f>SUMIF('OD 01-23'!A:A,A17,'OD 01-23'!E:E)</f>
        <v>0</v>
      </c>
      <c r="H17" s="14">
        <f t="shared" si="0"/>
        <v>0</v>
      </c>
      <c r="I17" s="14">
        <f t="shared" si="1"/>
        <v>80409.226999999999</v>
      </c>
      <c r="J17" s="8" t="s">
        <v>25</v>
      </c>
    </row>
    <row r="18" spans="1:10" x14ac:dyDescent="0.2">
      <c r="A18" s="10">
        <v>22000000</v>
      </c>
      <c r="B18" s="10" t="s">
        <v>278</v>
      </c>
      <c r="C18" s="11">
        <v>0</v>
      </c>
      <c r="D18" s="11">
        <v>0</v>
      </c>
      <c r="E18" s="11">
        <v>0</v>
      </c>
      <c r="F18" s="13">
        <f>SUMIF('OD 01-23'!A:A,A18,'OD 01-23'!D:D)</f>
        <v>0</v>
      </c>
      <c r="G18" s="13">
        <f>SUMIF('OD 01-23'!A:A,A18,'OD 01-23'!E:E)</f>
        <v>0</v>
      </c>
      <c r="H18" s="14">
        <f t="shared" si="0"/>
        <v>0</v>
      </c>
      <c r="I18" s="14">
        <f t="shared" si="1"/>
        <v>0</v>
      </c>
      <c r="J18" s="8"/>
    </row>
    <row r="19" spans="1:10" x14ac:dyDescent="0.2">
      <c r="A19" s="10">
        <v>22100000</v>
      </c>
      <c r="B19" s="10" t="s">
        <v>26</v>
      </c>
      <c r="C19" s="11">
        <v>1275724</v>
      </c>
      <c r="D19" s="11">
        <v>0</v>
      </c>
      <c r="E19" s="11">
        <v>0</v>
      </c>
      <c r="F19" s="13">
        <f>SUMIF('OD 01-23'!A:A,A19,'OD 01-23'!D:D)</f>
        <v>0</v>
      </c>
      <c r="G19" s="13">
        <f>SUMIF('OD 01-23'!A:A,A19,'OD 01-23'!E:E)</f>
        <v>0</v>
      </c>
      <c r="H19" s="14">
        <f t="shared" si="0"/>
        <v>0</v>
      </c>
      <c r="I19" s="14">
        <f t="shared" si="1"/>
        <v>1275724</v>
      </c>
      <c r="J19" s="8" t="s">
        <v>25</v>
      </c>
    </row>
    <row r="20" spans="1:10" x14ac:dyDescent="0.2">
      <c r="A20" s="10">
        <v>22160000</v>
      </c>
      <c r="B20" s="10" t="s">
        <v>27</v>
      </c>
      <c r="C20" s="11">
        <v>161921.53600000002</v>
      </c>
      <c r="D20" s="11">
        <v>0</v>
      </c>
      <c r="E20" s="11">
        <v>0</v>
      </c>
      <c r="F20" s="13">
        <f>SUMIF('OD 01-23'!A:A,A20,'OD 01-23'!D:D)</f>
        <v>0</v>
      </c>
      <c r="G20" s="13">
        <f>SUMIF('OD 01-23'!A:A,A20,'OD 01-23'!E:E)</f>
        <v>0</v>
      </c>
      <c r="H20" s="14">
        <f t="shared" si="0"/>
        <v>0</v>
      </c>
      <c r="I20" s="14">
        <f t="shared" si="1"/>
        <v>161921.53600000002</v>
      </c>
      <c r="J20" s="8" t="s">
        <v>25</v>
      </c>
    </row>
    <row r="21" spans="1:10" x14ac:dyDescent="0.2">
      <c r="A21" s="10">
        <v>22200000</v>
      </c>
      <c r="B21" s="10" t="s">
        <v>28</v>
      </c>
      <c r="C21" s="11">
        <v>9027583.0759999994</v>
      </c>
      <c r="D21" s="11">
        <v>0</v>
      </c>
      <c r="E21" s="11">
        <v>0</v>
      </c>
      <c r="F21" s="13">
        <f>SUMIF('OD 01-23'!A:A,A21,'OD 01-23'!D:D)</f>
        <v>0</v>
      </c>
      <c r="G21" s="13">
        <f>SUMIF('OD 01-23'!A:A,A21,'OD 01-23'!E:E)</f>
        <v>0</v>
      </c>
      <c r="H21" s="14">
        <f t="shared" si="0"/>
        <v>0</v>
      </c>
      <c r="I21" s="14">
        <f t="shared" si="1"/>
        <v>9027583.0759999994</v>
      </c>
      <c r="J21" s="8" t="s">
        <v>25</v>
      </c>
    </row>
    <row r="22" spans="1:10" x14ac:dyDescent="0.2">
      <c r="A22" s="10">
        <v>22250000</v>
      </c>
      <c r="B22" s="10" t="s">
        <v>29</v>
      </c>
      <c r="C22" s="11">
        <v>600750.27899999998</v>
      </c>
      <c r="D22" s="11">
        <v>250</v>
      </c>
      <c r="E22" s="11">
        <v>0</v>
      </c>
      <c r="F22" s="13">
        <f>SUMIF('OD 01-23'!A:A,A22,'OD 01-23'!D:D)</f>
        <v>0</v>
      </c>
      <c r="G22" s="13">
        <f>SUMIF('OD 01-23'!A:A,A22,'OD 01-23'!E:E)</f>
        <v>0</v>
      </c>
      <c r="H22" s="14">
        <f t="shared" si="0"/>
        <v>250</v>
      </c>
      <c r="I22" s="14">
        <f t="shared" si="1"/>
        <v>601000.27899999998</v>
      </c>
      <c r="J22" s="8" t="s">
        <v>25</v>
      </c>
    </row>
    <row r="23" spans="1:10" x14ac:dyDescent="0.2">
      <c r="A23" s="10">
        <v>22300000</v>
      </c>
      <c r="B23" s="10" t="s">
        <v>30</v>
      </c>
      <c r="C23" s="11">
        <v>65870.611000000004</v>
      </c>
      <c r="D23" s="11">
        <v>0</v>
      </c>
      <c r="E23" s="11">
        <v>0</v>
      </c>
      <c r="F23" s="13">
        <f>SUMIF('OD 01-23'!A:A,A23,'OD 01-23'!D:D)</f>
        <v>0</v>
      </c>
      <c r="G23" s="13">
        <f>SUMIF('OD 01-23'!A:A,A23,'OD 01-23'!E:E)</f>
        <v>0</v>
      </c>
      <c r="H23" s="14">
        <f t="shared" si="0"/>
        <v>0</v>
      </c>
      <c r="I23" s="14">
        <f t="shared" si="1"/>
        <v>65870.611000000004</v>
      </c>
      <c r="J23" s="8" t="s">
        <v>25</v>
      </c>
    </row>
    <row r="24" spans="1:10" x14ac:dyDescent="0.2">
      <c r="A24" s="10">
        <v>22310000</v>
      </c>
      <c r="B24" s="10" t="s">
        <v>31</v>
      </c>
      <c r="C24" s="11">
        <v>0</v>
      </c>
      <c r="D24" s="11">
        <v>0</v>
      </c>
      <c r="E24" s="11">
        <v>0</v>
      </c>
      <c r="F24" s="13">
        <f>SUMIF('OD 01-23'!A:A,A24,'OD 01-23'!D:D)</f>
        <v>0</v>
      </c>
      <c r="G24" s="13">
        <f>SUMIF('OD 01-23'!A:A,A24,'OD 01-23'!E:E)</f>
        <v>0</v>
      </c>
      <c r="H24" s="14">
        <f t="shared" si="0"/>
        <v>0</v>
      </c>
      <c r="I24" s="14">
        <f t="shared" si="1"/>
        <v>0</v>
      </c>
      <c r="J24" s="8"/>
    </row>
    <row r="25" spans="1:10" x14ac:dyDescent="0.2">
      <c r="A25" s="10">
        <v>22340000</v>
      </c>
      <c r="B25" s="10" t="s">
        <v>32</v>
      </c>
      <c r="C25" s="11">
        <v>21854400.979411498</v>
      </c>
      <c r="D25" s="11">
        <v>192821.13099999999</v>
      </c>
      <c r="E25" s="11">
        <v>0</v>
      </c>
      <c r="F25" s="13">
        <f>SUMIF('OD 01-23'!A:A,A25,'OD 01-23'!D:D)</f>
        <v>0</v>
      </c>
      <c r="G25" s="13">
        <f>SUMIF('OD 01-23'!A:A,A25,'OD 01-23'!E:E)</f>
        <v>0</v>
      </c>
      <c r="H25" s="14">
        <f t="shared" si="0"/>
        <v>192821.13099999999</v>
      </c>
      <c r="I25" s="14">
        <f t="shared" si="1"/>
        <v>22047222.110411499</v>
      </c>
      <c r="J25" s="8" t="s">
        <v>25</v>
      </c>
    </row>
    <row r="26" spans="1:10" x14ac:dyDescent="0.2">
      <c r="A26" s="10">
        <v>22350000</v>
      </c>
      <c r="B26" s="10" t="s">
        <v>33</v>
      </c>
      <c r="C26" s="11">
        <v>595918.12949999981</v>
      </c>
      <c r="D26" s="11">
        <v>805</v>
      </c>
      <c r="E26" s="11">
        <v>0</v>
      </c>
      <c r="F26" s="13">
        <f>SUMIF('OD 01-23'!A:A,A26,'OD 01-23'!D:D)</f>
        <v>0</v>
      </c>
      <c r="G26" s="13">
        <f>SUMIF('OD 01-23'!A:A,A26,'OD 01-23'!E:E)</f>
        <v>0</v>
      </c>
      <c r="H26" s="14">
        <f t="shared" si="0"/>
        <v>805</v>
      </c>
      <c r="I26" s="14">
        <f t="shared" si="1"/>
        <v>596723.12949999981</v>
      </c>
      <c r="J26" s="8" t="s">
        <v>25</v>
      </c>
    </row>
    <row r="27" spans="1:10" x14ac:dyDescent="0.2">
      <c r="A27" s="10">
        <v>22370000</v>
      </c>
      <c r="B27" s="10" t="s">
        <v>34</v>
      </c>
      <c r="C27" s="11">
        <v>879252.85599999991</v>
      </c>
      <c r="D27" s="11">
        <v>0</v>
      </c>
      <c r="E27" s="11">
        <v>0</v>
      </c>
      <c r="F27" s="13">
        <f>SUMIF('OD 01-23'!A:A,A27,'OD 01-23'!D:D)</f>
        <v>0</v>
      </c>
      <c r="G27" s="13">
        <f>SUMIF('OD 01-23'!A:A,A27,'OD 01-23'!E:E)</f>
        <v>0</v>
      </c>
      <c r="H27" s="14">
        <f t="shared" si="0"/>
        <v>0</v>
      </c>
      <c r="I27" s="14">
        <f t="shared" si="1"/>
        <v>879252.85599999991</v>
      </c>
      <c r="J27" s="8" t="s">
        <v>25</v>
      </c>
    </row>
    <row r="28" spans="1:10" x14ac:dyDescent="0.2">
      <c r="A28" s="10">
        <v>22400000</v>
      </c>
      <c r="B28" s="10" t="s">
        <v>35</v>
      </c>
      <c r="C28" s="11">
        <v>1013855.8879999999</v>
      </c>
      <c r="D28" s="11">
        <v>0</v>
      </c>
      <c r="E28" s="11">
        <v>61848.025000000001</v>
      </c>
      <c r="F28" s="13">
        <f>SUMIF('OD 01-23'!A:A,A28,'OD 01-23'!D:D)</f>
        <v>0</v>
      </c>
      <c r="G28" s="13">
        <f>SUMIF('OD 01-23'!A:A,A28,'OD 01-23'!E:E)</f>
        <v>0</v>
      </c>
      <c r="H28" s="14">
        <f t="shared" si="0"/>
        <v>-61848.025000000001</v>
      </c>
      <c r="I28" s="14">
        <f t="shared" si="1"/>
        <v>952007.8629999999</v>
      </c>
      <c r="J28" s="8" t="s">
        <v>25</v>
      </c>
    </row>
    <row r="29" spans="1:10" x14ac:dyDescent="0.2">
      <c r="A29" s="10">
        <v>22810000</v>
      </c>
      <c r="B29" s="10" t="s">
        <v>36</v>
      </c>
      <c r="C29" s="11">
        <v>0</v>
      </c>
      <c r="D29" s="11">
        <v>0</v>
      </c>
      <c r="E29" s="11">
        <v>0</v>
      </c>
      <c r="F29" s="13">
        <f>SUMIF('OD 01-23'!A:A,A29,'OD 01-23'!D:D)</f>
        <v>0</v>
      </c>
      <c r="G29" s="13">
        <f>SUMIF('OD 01-23'!A:A,A29,'OD 01-23'!E:E)</f>
        <v>0</v>
      </c>
      <c r="H29" s="14">
        <f t="shared" si="0"/>
        <v>0</v>
      </c>
      <c r="I29" s="14">
        <f t="shared" si="1"/>
        <v>0</v>
      </c>
      <c r="J29" s="8"/>
    </row>
    <row r="30" spans="1:10" x14ac:dyDescent="0.2">
      <c r="A30" s="10">
        <v>22820000</v>
      </c>
      <c r="B30" s="10" t="s">
        <v>37</v>
      </c>
      <c r="C30" s="11">
        <v>248575.93114999996</v>
      </c>
      <c r="D30" s="11">
        <v>0</v>
      </c>
      <c r="E30" s="11">
        <v>0</v>
      </c>
      <c r="F30" s="13">
        <f>SUMIF('OD 01-23'!A:A,A30,'OD 01-23'!D:D)</f>
        <v>0</v>
      </c>
      <c r="G30" s="13">
        <f>SUMIF('OD 01-23'!A:A,A30,'OD 01-23'!E:E)</f>
        <v>0</v>
      </c>
      <c r="H30" s="14">
        <f t="shared" si="0"/>
        <v>0</v>
      </c>
      <c r="I30" s="14">
        <f t="shared" si="1"/>
        <v>248575.93114999996</v>
      </c>
      <c r="J30" s="8" t="s">
        <v>25</v>
      </c>
    </row>
    <row r="31" spans="1:10" x14ac:dyDescent="0.2">
      <c r="A31" s="10">
        <v>22830000</v>
      </c>
      <c r="B31" s="10" t="s">
        <v>279</v>
      </c>
      <c r="C31" s="11">
        <v>157309.56799999997</v>
      </c>
      <c r="D31" s="11">
        <v>0</v>
      </c>
      <c r="E31" s="11">
        <v>0</v>
      </c>
      <c r="F31" s="13">
        <f>SUMIF('OD 01-23'!A:A,A31,'OD 01-23'!D:D)</f>
        <v>0</v>
      </c>
      <c r="G31" s="13">
        <f>SUMIF('OD 01-23'!A:A,A31,'OD 01-23'!E:E)</f>
        <v>0</v>
      </c>
      <c r="H31" s="14">
        <f t="shared" si="0"/>
        <v>0</v>
      </c>
      <c r="I31" s="14">
        <f t="shared" si="1"/>
        <v>157309.56799999997</v>
      </c>
      <c r="J31" s="8" t="s">
        <v>25</v>
      </c>
    </row>
    <row r="32" spans="1:10" x14ac:dyDescent="0.2">
      <c r="A32" s="10">
        <v>23000000</v>
      </c>
      <c r="B32" s="10" t="s">
        <v>280</v>
      </c>
      <c r="C32" s="11">
        <v>2.0000000404252205E-5</v>
      </c>
      <c r="D32" s="11">
        <v>0</v>
      </c>
      <c r="E32" s="11">
        <v>0</v>
      </c>
      <c r="F32" s="13">
        <f>SUMIF('OD 01-23'!A:A,A32,'OD 01-23'!D:D)</f>
        <v>0</v>
      </c>
      <c r="G32" s="13">
        <f>SUMIF('OD 01-23'!A:A,A32,'OD 01-23'!E:E)</f>
        <v>0</v>
      </c>
      <c r="H32" s="14">
        <f t="shared" si="0"/>
        <v>0</v>
      </c>
      <c r="I32" s="14">
        <f t="shared" si="1"/>
        <v>2.0000000404252205E-5</v>
      </c>
      <c r="J32" s="8"/>
    </row>
    <row r="33" spans="1:10" x14ac:dyDescent="0.2">
      <c r="A33" s="10">
        <v>23200000</v>
      </c>
      <c r="B33" s="10" t="s">
        <v>38</v>
      </c>
      <c r="C33" s="11">
        <v>2440755.4682974992</v>
      </c>
      <c r="D33" s="11">
        <v>0</v>
      </c>
      <c r="E33" s="11">
        <v>0</v>
      </c>
      <c r="F33" s="13">
        <f>SUMIF('OD 01-23'!A:A,A33,'OD 01-23'!D:D)</f>
        <v>0</v>
      </c>
      <c r="G33" s="13">
        <f>SUMIF('OD 01-23'!A:A,A33,'OD 01-23'!E:E)</f>
        <v>0</v>
      </c>
      <c r="H33" s="14">
        <f t="shared" si="0"/>
        <v>0</v>
      </c>
      <c r="I33" s="14">
        <f t="shared" si="1"/>
        <v>2440755.4682974992</v>
      </c>
      <c r="J33" s="8" t="s">
        <v>25</v>
      </c>
    </row>
    <row r="34" spans="1:10" x14ac:dyDescent="0.2">
      <c r="A34" s="10">
        <v>23220000</v>
      </c>
      <c r="B34" s="10" t="s">
        <v>39</v>
      </c>
      <c r="C34" s="11">
        <v>7912.2339999973774</v>
      </c>
      <c r="D34" s="11">
        <v>30502.238000000001</v>
      </c>
      <c r="E34" s="11">
        <v>0</v>
      </c>
      <c r="F34" s="13">
        <f>SUMIF('OD 01-23'!A:A,A34,'OD 01-23'!D:D)</f>
        <v>0</v>
      </c>
      <c r="G34" s="13">
        <f>SUMIF('OD 01-23'!A:A,A34,'OD 01-23'!E:E)</f>
        <v>0</v>
      </c>
      <c r="H34" s="14">
        <f t="shared" si="0"/>
        <v>30502.238000000001</v>
      </c>
      <c r="I34" s="14">
        <f t="shared" si="1"/>
        <v>38414.471999997375</v>
      </c>
      <c r="J34" s="8" t="s">
        <v>25</v>
      </c>
    </row>
    <row r="35" spans="1:10" x14ac:dyDescent="0.2">
      <c r="A35" s="10">
        <v>23225000</v>
      </c>
      <c r="B35" s="10" t="s">
        <v>281</v>
      </c>
      <c r="C35" s="11">
        <v>0</v>
      </c>
      <c r="D35" s="11">
        <v>0</v>
      </c>
      <c r="E35" s="11">
        <v>0</v>
      </c>
      <c r="F35" s="13">
        <f>SUMIF('OD 01-23'!A:A,A35,'OD 01-23'!D:D)</f>
        <v>0</v>
      </c>
      <c r="G35" s="13">
        <f>SUMIF('OD 01-23'!A:A,A35,'OD 01-23'!E:E)</f>
        <v>0</v>
      </c>
      <c r="H35" s="14">
        <f t="shared" si="0"/>
        <v>0</v>
      </c>
      <c r="I35" s="14">
        <f t="shared" si="1"/>
        <v>0</v>
      </c>
      <c r="J35" s="8"/>
    </row>
    <row r="36" spans="1:10" x14ac:dyDescent="0.2">
      <c r="A36" s="10">
        <v>23231000</v>
      </c>
      <c r="B36" s="10" t="s">
        <v>282</v>
      </c>
      <c r="C36" s="11">
        <v>0</v>
      </c>
      <c r="D36" s="11">
        <v>0</v>
      </c>
      <c r="E36" s="11">
        <v>0</v>
      </c>
      <c r="F36" s="13">
        <f>SUMIF('OD 01-23'!A:A,A36,'OD 01-23'!D:D)</f>
        <v>0</v>
      </c>
      <c r="G36" s="13">
        <f>SUMIF('OD 01-23'!A:A,A36,'OD 01-23'!E:E)</f>
        <v>0</v>
      </c>
      <c r="H36" s="14">
        <f t="shared" si="0"/>
        <v>0</v>
      </c>
      <c r="I36" s="14">
        <f t="shared" si="1"/>
        <v>0</v>
      </c>
      <c r="J36" s="8"/>
    </row>
    <row r="37" spans="1:10" x14ac:dyDescent="0.2">
      <c r="A37" s="10">
        <v>23237000</v>
      </c>
      <c r="B37" s="10" t="s">
        <v>283</v>
      </c>
      <c r="C37" s="11">
        <v>0</v>
      </c>
      <c r="D37" s="11">
        <v>0</v>
      </c>
      <c r="E37" s="11">
        <v>0</v>
      </c>
      <c r="F37" s="13">
        <f>SUMIF('OD 01-23'!A:A,A37,'OD 01-23'!D:D)</f>
        <v>0</v>
      </c>
      <c r="G37" s="13">
        <f>SUMIF('OD 01-23'!A:A,A37,'OD 01-23'!E:E)</f>
        <v>0</v>
      </c>
      <c r="H37" s="14">
        <f t="shared" si="0"/>
        <v>0</v>
      </c>
      <c r="I37" s="14">
        <f t="shared" si="1"/>
        <v>0</v>
      </c>
      <c r="J37" s="8"/>
    </row>
    <row r="38" spans="1:10" x14ac:dyDescent="0.2">
      <c r="A38" s="10">
        <v>23250000</v>
      </c>
      <c r="B38" s="10" t="s">
        <v>284</v>
      </c>
      <c r="C38" s="11">
        <v>0</v>
      </c>
      <c r="D38" s="11">
        <v>0</v>
      </c>
      <c r="E38" s="11">
        <v>0</v>
      </c>
      <c r="F38" s="13">
        <f>SUMIF('OD 01-23'!A:A,A38,'OD 01-23'!D:D)</f>
        <v>0</v>
      </c>
      <c r="G38" s="13">
        <f>SUMIF('OD 01-23'!A:A,A38,'OD 01-23'!E:E)</f>
        <v>0</v>
      </c>
      <c r="H38" s="14">
        <f t="shared" si="0"/>
        <v>0</v>
      </c>
      <c r="I38" s="14">
        <f t="shared" si="1"/>
        <v>0</v>
      </c>
      <c r="J38" s="8"/>
    </row>
    <row r="39" spans="1:10" x14ac:dyDescent="0.2">
      <c r="A39" s="10">
        <v>23800000</v>
      </c>
      <c r="B39" s="10" t="s">
        <v>285</v>
      </c>
      <c r="C39" s="11">
        <v>0</v>
      </c>
      <c r="D39" s="11">
        <v>0</v>
      </c>
      <c r="E39" s="11">
        <v>0</v>
      </c>
      <c r="F39" s="13">
        <f>SUMIF('OD 01-23'!A:A,A39,'OD 01-23'!D:D)</f>
        <v>0</v>
      </c>
      <c r="G39" s="13">
        <f>SUMIF('OD 01-23'!A:A,A39,'OD 01-23'!E:E)</f>
        <v>0</v>
      </c>
      <c r="H39" s="14">
        <f t="shared" si="0"/>
        <v>0</v>
      </c>
      <c r="I39" s="14">
        <f t="shared" si="1"/>
        <v>0</v>
      </c>
      <c r="J39" s="8"/>
    </row>
    <row r="40" spans="1:10" x14ac:dyDescent="0.2">
      <c r="A40" s="10">
        <v>24000000</v>
      </c>
      <c r="B40" s="10" t="s">
        <v>40</v>
      </c>
      <c r="C40" s="11">
        <v>703370.37699999998</v>
      </c>
      <c r="D40" s="11">
        <v>0</v>
      </c>
      <c r="E40" s="11">
        <v>0</v>
      </c>
      <c r="F40" s="13">
        <f>SUMIF('OD 01-23'!A:A,A40,'OD 01-23'!D:D)</f>
        <v>0</v>
      </c>
      <c r="G40" s="13">
        <f>SUMIF('OD 01-23'!A:A,A40,'OD 01-23'!E:E)</f>
        <v>0</v>
      </c>
      <c r="H40" s="14">
        <f t="shared" si="0"/>
        <v>0</v>
      </c>
      <c r="I40" s="14">
        <f t="shared" si="1"/>
        <v>703370.37699999998</v>
      </c>
      <c r="J40" s="8" t="s">
        <v>25</v>
      </c>
    </row>
    <row r="41" spans="1:10" x14ac:dyDescent="0.2">
      <c r="A41" s="10">
        <v>25100000</v>
      </c>
      <c r="B41" s="10" t="s">
        <v>286</v>
      </c>
      <c r="C41" s="11">
        <v>0</v>
      </c>
      <c r="D41" s="11">
        <v>0</v>
      </c>
      <c r="E41" s="11">
        <v>0</v>
      </c>
      <c r="F41" s="13">
        <f>SUMIF('OD 01-23'!A:A,A41,'OD 01-23'!D:D)</f>
        <v>0</v>
      </c>
      <c r="G41" s="13">
        <f>SUMIF('OD 01-23'!A:A,A41,'OD 01-23'!E:E)</f>
        <v>0</v>
      </c>
      <c r="H41" s="14">
        <f t="shared" si="0"/>
        <v>0</v>
      </c>
      <c r="I41" s="14">
        <f t="shared" si="1"/>
        <v>0</v>
      </c>
      <c r="J41" s="8"/>
    </row>
    <row r="42" spans="1:10" x14ac:dyDescent="0.2">
      <c r="A42" s="10">
        <v>25110000</v>
      </c>
      <c r="B42" s="10" t="s">
        <v>41</v>
      </c>
      <c r="C42" s="11">
        <v>266820</v>
      </c>
      <c r="D42" s="11">
        <v>0</v>
      </c>
      <c r="E42" s="11">
        <v>0</v>
      </c>
      <c r="F42" s="13">
        <f>SUMIF('OD 01-23'!A:A,A42,'OD 01-23'!D:D)</f>
        <v>0</v>
      </c>
      <c r="G42" s="13">
        <f>SUMIF('OD 01-23'!A:A,A42,'OD 01-23'!E:E)</f>
        <v>0</v>
      </c>
      <c r="H42" s="14">
        <f t="shared" si="0"/>
        <v>0</v>
      </c>
      <c r="I42" s="14">
        <f t="shared" si="1"/>
        <v>266820</v>
      </c>
      <c r="J42" s="8" t="s">
        <v>42</v>
      </c>
    </row>
    <row r="43" spans="1:10" x14ac:dyDescent="0.2">
      <c r="A43" s="10">
        <v>25120000</v>
      </c>
      <c r="B43" s="10" t="s">
        <v>287</v>
      </c>
      <c r="C43" s="11">
        <v>512700</v>
      </c>
      <c r="D43" s="11">
        <v>0</v>
      </c>
      <c r="E43" s="11">
        <v>0</v>
      </c>
      <c r="F43" s="13">
        <f>SUMIF('OD 01-23'!A:A,A43,'OD 01-23'!D:D)</f>
        <v>0</v>
      </c>
      <c r="G43" s="13">
        <f>SUMIF('OD 01-23'!A:A,A43,'OD 01-23'!E:E)</f>
        <v>0</v>
      </c>
      <c r="H43" s="14">
        <f t="shared" si="0"/>
        <v>0</v>
      </c>
      <c r="I43" s="14">
        <f t="shared" si="1"/>
        <v>512700</v>
      </c>
      <c r="J43" s="8" t="s">
        <v>42</v>
      </c>
    </row>
    <row r="44" spans="1:10" x14ac:dyDescent="0.2">
      <c r="A44" s="10">
        <v>25130000</v>
      </c>
      <c r="B44" s="10" t="s">
        <v>43</v>
      </c>
      <c r="C44" s="11">
        <v>677000</v>
      </c>
      <c r="D44" s="11">
        <v>0</v>
      </c>
      <c r="E44" s="11">
        <v>0</v>
      </c>
      <c r="F44" s="13">
        <f>SUMIF('OD 01-23'!A:A,A44,'OD 01-23'!D:D)</f>
        <v>0</v>
      </c>
      <c r="G44" s="13">
        <f>SUMIF('OD 01-23'!A:A,A44,'OD 01-23'!E:E)</f>
        <v>0</v>
      </c>
      <c r="H44" s="14">
        <f t="shared" si="0"/>
        <v>0</v>
      </c>
      <c r="I44" s="14">
        <f t="shared" si="1"/>
        <v>677000</v>
      </c>
      <c r="J44" s="8" t="s">
        <v>42</v>
      </c>
    </row>
    <row r="45" spans="1:10" x14ac:dyDescent="0.2">
      <c r="A45" s="10">
        <v>25140000</v>
      </c>
      <c r="B45" s="10" t="s">
        <v>44</v>
      </c>
      <c r="C45" s="11">
        <v>1575000</v>
      </c>
      <c r="D45" s="11">
        <v>1575000</v>
      </c>
      <c r="E45" s="11">
        <v>0</v>
      </c>
      <c r="F45" s="13">
        <f>SUMIF('OD 01-23'!A:A,A45,'OD 01-23'!D:D)</f>
        <v>0</v>
      </c>
      <c r="G45" s="13">
        <f>SUMIF('OD 01-23'!A:A,A45,'OD 01-23'!E:E)</f>
        <v>0</v>
      </c>
      <c r="H45" s="14">
        <f t="shared" si="0"/>
        <v>1575000</v>
      </c>
      <c r="I45" s="14">
        <f t="shared" si="1"/>
        <v>3150000</v>
      </c>
      <c r="J45" s="8" t="s">
        <v>42</v>
      </c>
    </row>
    <row r="46" spans="1:10" x14ac:dyDescent="0.2">
      <c r="A46" s="10">
        <v>25700000</v>
      </c>
      <c r="B46" s="10" t="s">
        <v>288</v>
      </c>
      <c r="C46" s="11">
        <v>1575000</v>
      </c>
      <c r="D46" s="11">
        <v>0</v>
      </c>
      <c r="E46" s="11">
        <v>1575000</v>
      </c>
      <c r="F46" s="13">
        <f>SUMIF('OD 01-23'!A:A,A46,'OD 01-23'!D:D)</f>
        <v>0</v>
      </c>
      <c r="G46" s="13">
        <f>SUMIF('OD 01-23'!A:A,A46,'OD 01-23'!E:E)</f>
        <v>0</v>
      </c>
      <c r="H46" s="14">
        <f t="shared" si="0"/>
        <v>-1575000</v>
      </c>
      <c r="I46" s="14">
        <f t="shared" si="1"/>
        <v>0</v>
      </c>
      <c r="J46" s="8" t="s">
        <v>42</v>
      </c>
    </row>
    <row r="47" spans="1:10" x14ac:dyDescent="0.2">
      <c r="A47" s="10">
        <v>25810000</v>
      </c>
      <c r="B47" s="10" t="s">
        <v>289</v>
      </c>
      <c r="C47" s="11">
        <v>0</v>
      </c>
      <c r="D47" s="11">
        <v>0</v>
      </c>
      <c r="E47" s="11">
        <v>0</v>
      </c>
      <c r="F47" s="13">
        <f>SUMIF('OD 01-23'!A:A,A47,'OD 01-23'!D:D)</f>
        <v>0</v>
      </c>
      <c r="G47" s="13">
        <f>SUMIF('OD 01-23'!A:A,A47,'OD 01-23'!E:E)</f>
        <v>0</v>
      </c>
      <c r="H47" s="14">
        <f t="shared" si="0"/>
        <v>0</v>
      </c>
      <c r="I47" s="14">
        <f t="shared" si="1"/>
        <v>0</v>
      </c>
      <c r="J47" s="8"/>
    </row>
    <row r="48" spans="1:10" x14ac:dyDescent="0.2">
      <c r="A48" s="10">
        <v>26400000</v>
      </c>
      <c r="B48" s="10" t="s">
        <v>290</v>
      </c>
      <c r="C48" s="11">
        <v>0</v>
      </c>
      <c r="D48" s="11">
        <v>0</v>
      </c>
      <c r="E48" s="11">
        <v>0</v>
      </c>
      <c r="F48" s="13">
        <f>SUMIF('OD 01-23'!A:A,A48,'OD 01-23'!D:D)</f>
        <v>0</v>
      </c>
      <c r="G48" s="13">
        <f>SUMIF('OD 01-23'!A:A,A48,'OD 01-23'!E:E)</f>
        <v>0</v>
      </c>
      <c r="H48" s="14">
        <f t="shared" si="0"/>
        <v>0</v>
      </c>
      <c r="I48" s="14">
        <f t="shared" si="1"/>
        <v>0</v>
      </c>
      <c r="J48" s="8"/>
    </row>
    <row r="49" spans="1:10" x14ac:dyDescent="0.2">
      <c r="A49" s="10">
        <v>26430000</v>
      </c>
      <c r="B49" s="10" t="s">
        <v>291</v>
      </c>
      <c r="C49" s="11">
        <v>0</v>
      </c>
      <c r="D49" s="11">
        <v>0</v>
      </c>
      <c r="E49" s="11">
        <v>0</v>
      </c>
      <c r="F49" s="13">
        <f>SUMIF('OD 01-23'!A:A,A49,'OD 01-23'!D:D)</f>
        <v>0</v>
      </c>
      <c r="G49" s="13">
        <f>SUMIF('OD 01-23'!A:A,A49,'OD 01-23'!E:E)</f>
        <v>0</v>
      </c>
      <c r="H49" s="14">
        <f t="shared" si="0"/>
        <v>0</v>
      </c>
      <c r="I49" s="14">
        <f t="shared" si="1"/>
        <v>0</v>
      </c>
      <c r="J49" s="8"/>
    </row>
    <row r="50" spans="1:10" x14ac:dyDescent="0.2">
      <c r="A50" s="10">
        <v>26500000</v>
      </c>
      <c r="B50" s="10" t="s">
        <v>45</v>
      </c>
      <c r="C50" s="11">
        <v>105597.1440000002</v>
      </c>
      <c r="D50" s="11">
        <v>13000</v>
      </c>
      <c r="E50" s="11">
        <v>0</v>
      </c>
      <c r="F50" s="13">
        <f>SUMIF('OD 01-23'!A:A,A50,'OD 01-23'!D:D)</f>
        <v>0</v>
      </c>
      <c r="G50" s="13">
        <f>SUMIF('OD 01-23'!A:A,A50,'OD 01-23'!E:E)</f>
        <v>0</v>
      </c>
      <c r="H50" s="14">
        <f t="shared" si="0"/>
        <v>13000</v>
      </c>
      <c r="I50" s="14">
        <f t="shared" si="1"/>
        <v>118597.1440000002</v>
      </c>
      <c r="J50" s="8" t="s">
        <v>46</v>
      </c>
    </row>
    <row r="51" spans="1:10" x14ac:dyDescent="0.2">
      <c r="A51" s="10">
        <v>26510000</v>
      </c>
      <c r="B51" s="10" t="s">
        <v>292</v>
      </c>
      <c r="C51" s="11">
        <v>0</v>
      </c>
      <c r="D51" s="11">
        <v>0</v>
      </c>
      <c r="E51" s="11">
        <v>0</v>
      </c>
      <c r="F51" s="13">
        <f>SUMIF('OD 01-23'!A:A,A51,'OD 01-23'!D:D)</f>
        <v>0</v>
      </c>
      <c r="G51" s="13">
        <f>SUMIF('OD 01-23'!A:A,A51,'OD 01-23'!E:E)</f>
        <v>0</v>
      </c>
      <c r="H51" s="14">
        <f t="shared" si="0"/>
        <v>0</v>
      </c>
      <c r="I51" s="14">
        <f t="shared" si="1"/>
        <v>0</v>
      </c>
      <c r="J51" s="8"/>
    </row>
    <row r="52" spans="1:10" x14ac:dyDescent="0.2">
      <c r="A52" s="10">
        <v>26550000</v>
      </c>
      <c r="B52" s="10" t="s">
        <v>293</v>
      </c>
      <c r="C52" s="11">
        <v>0</v>
      </c>
      <c r="D52" s="11">
        <v>0</v>
      </c>
      <c r="E52" s="11">
        <v>0</v>
      </c>
      <c r="F52" s="13">
        <f>SUMIF('OD 01-23'!A:A,A52,'OD 01-23'!D:D)</f>
        <v>0</v>
      </c>
      <c r="G52" s="13">
        <f>SUMIF('OD 01-23'!A:A,A52,'OD 01-23'!E:E)</f>
        <v>0</v>
      </c>
      <c r="H52" s="14">
        <f t="shared" si="0"/>
        <v>0</v>
      </c>
      <c r="I52" s="14">
        <f t="shared" si="1"/>
        <v>0</v>
      </c>
      <c r="J52" s="8"/>
    </row>
    <row r="53" spans="1:10" x14ac:dyDescent="0.2">
      <c r="A53" s="10">
        <v>27100000</v>
      </c>
      <c r="B53" s="10" t="s">
        <v>294</v>
      </c>
      <c r="C53" s="11">
        <v>0</v>
      </c>
      <c r="D53" s="11">
        <v>0</v>
      </c>
      <c r="E53" s="11">
        <v>0</v>
      </c>
      <c r="F53" s="13">
        <f>SUMIF('OD 01-23'!A:A,A53,'OD 01-23'!D:D)</f>
        <v>0</v>
      </c>
      <c r="G53" s="13">
        <f>SUMIF('OD 01-23'!A:A,A53,'OD 01-23'!E:E)</f>
        <v>0</v>
      </c>
      <c r="H53" s="14">
        <f t="shared" si="0"/>
        <v>0</v>
      </c>
      <c r="I53" s="14">
        <f t="shared" si="1"/>
        <v>0</v>
      </c>
      <c r="J53" s="8"/>
    </row>
    <row r="54" spans="1:10" x14ac:dyDescent="0.2">
      <c r="A54" s="10">
        <v>28100000</v>
      </c>
      <c r="B54" s="10" t="s">
        <v>295</v>
      </c>
      <c r="C54" s="11">
        <v>0</v>
      </c>
      <c r="D54" s="11">
        <v>0</v>
      </c>
      <c r="E54" s="11">
        <v>0</v>
      </c>
      <c r="F54" s="13">
        <f>SUMIF('OD 01-23'!A:A,A54,'OD 01-23'!D:D)</f>
        <v>0</v>
      </c>
      <c r="G54" s="13">
        <f>SUMIF('OD 01-23'!A:A,A54,'OD 01-23'!E:E)</f>
        <v>0</v>
      </c>
      <c r="H54" s="14">
        <f t="shared" si="0"/>
        <v>0</v>
      </c>
      <c r="I54" s="14">
        <f t="shared" si="1"/>
        <v>0</v>
      </c>
      <c r="J54" s="8"/>
    </row>
    <row r="55" spans="1:10" x14ac:dyDescent="0.2">
      <c r="A55" s="10">
        <v>28110000</v>
      </c>
      <c r="B55" s="10" t="s">
        <v>296</v>
      </c>
      <c r="C55" s="11">
        <v>0</v>
      </c>
      <c r="D55" s="11">
        <v>0</v>
      </c>
      <c r="E55" s="11">
        <v>0</v>
      </c>
      <c r="F55" s="13">
        <f>SUMIF('OD 01-23'!A:A,A55,'OD 01-23'!D:D)</f>
        <v>0</v>
      </c>
      <c r="G55" s="13">
        <f>SUMIF('OD 01-23'!A:A,A55,'OD 01-23'!E:E)</f>
        <v>0</v>
      </c>
      <c r="H55" s="14">
        <f t="shared" si="0"/>
        <v>0</v>
      </c>
      <c r="I55" s="14">
        <f t="shared" si="1"/>
        <v>0</v>
      </c>
      <c r="J55" s="8"/>
    </row>
    <row r="56" spans="1:10" x14ac:dyDescent="0.2">
      <c r="A56" s="10">
        <v>28130000</v>
      </c>
      <c r="B56" s="10" t="s">
        <v>24</v>
      </c>
      <c r="C56" s="11">
        <v>-67413.094999999987</v>
      </c>
      <c r="D56" s="11">
        <v>0</v>
      </c>
      <c r="E56" s="11">
        <v>0</v>
      </c>
      <c r="F56" s="13">
        <f>SUMIF('OD 01-23'!A:A,A56,'OD 01-23'!D:D)</f>
        <v>0</v>
      </c>
      <c r="G56" s="13">
        <f>SUMIF('OD 01-23'!A:A,A56,'OD 01-23'!E:E)</f>
        <v>498.40800000000002</v>
      </c>
      <c r="H56" s="14">
        <f t="shared" si="0"/>
        <v>-498.40800000000002</v>
      </c>
      <c r="I56" s="14">
        <f t="shared" si="1"/>
        <v>-67911.502999999982</v>
      </c>
      <c r="J56" s="8" t="s">
        <v>47</v>
      </c>
    </row>
    <row r="57" spans="1:10" x14ac:dyDescent="0.2">
      <c r="A57" s="10">
        <v>28216000</v>
      </c>
      <c r="B57" s="10" t="s">
        <v>48</v>
      </c>
      <c r="C57" s="11">
        <v>-145539.11300000001</v>
      </c>
      <c r="D57" s="11">
        <v>0</v>
      </c>
      <c r="E57" s="11">
        <v>0</v>
      </c>
      <c r="F57" s="13">
        <f>SUMIF('OD 01-23'!A:A,A57,'OD 01-23'!D:D)</f>
        <v>0</v>
      </c>
      <c r="G57" s="13">
        <f>SUMIF('OD 01-23'!A:A,A57,'OD 01-23'!E:E)</f>
        <v>231.89</v>
      </c>
      <c r="H57" s="14">
        <f t="shared" si="0"/>
        <v>-231.89</v>
      </c>
      <c r="I57" s="14">
        <f t="shared" si="1"/>
        <v>-145771.00300000003</v>
      </c>
      <c r="J57" s="8" t="s">
        <v>47</v>
      </c>
    </row>
    <row r="58" spans="1:10" x14ac:dyDescent="0.2">
      <c r="A58" s="10">
        <v>28220000</v>
      </c>
      <c r="B58" s="10" t="s">
        <v>49</v>
      </c>
      <c r="C58" s="11">
        <v>-3277711.6239999998</v>
      </c>
      <c r="D58" s="11">
        <v>0</v>
      </c>
      <c r="E58" s="11">
        <v>0</v>
      </c>
      <c r="F58" s="13">
        <f>SUMIF('OD 01-23'!A:A,A58,'OD 01-23'!D:D)</f>
        <v>0</v>
      </c>
      <c r="G58" s="13">
        <f>SUMIF('OD 01-23'!A:A,A58,'OD 01-23'!E:E)</f>
        <v>37206.669000000002</v>
      </c>
      <c r="H58" s="14">
        <f t="shared" si="0"/>
        <v>-37206.669000000002</v>
      </c>
      <c r="I58" s="14">
        <f t="shared" si="1"/>
        <v>-3314918.2930000001</v>
      </c>
      <c r="J58" s="8" t="s">
        <v>47</v>
      </c>
    </row>
    <row r="59" spans="1:10" x14ac:dyDescent="0.2">
      <c r="A59" s="10">
        <v>28225000</v>
      </c>
      <c r="B59" s="10" t="s">
        <v>50</v>
      </c>
      <c r="C59" s="11">
        <v>-209705.36799999996</v>
      </c>
      <c r="D59" s="11">
        <v>0</v>
      </c>
      <c r="E59" s="11">
        <v>0</v>
      </c>
      <c r="F59" s="13">
        <f>SUMIF('OD 01-23'!A:A,A59,'OD 01-23'!D:D)</f>
        <v>0</v>
      </c>
      <c r="G59" s="13">
        <f>SUMIF('OD 01-23'!A:A,A59,'OD 01-23'!E:E)</f>
        <v>1791.5360000000001</v>
      </c>
      <c r="H59" s="14">
        <f t="shared" si="0"/>
        <v>-1791.5360000000001</v>
      </c>
      <c r="I59" s="14">
        <f t="shared" si="1"/>
        <v>-211496.90399999995</v>
      </c>
      <c r="J59" s="8" t="s">
        <v>47</v>
      </c>
    </row>
    <row r="60" spans="1:10" x14ac:dyDescent="0.2">
      <c r="A60" s="10">
        <v>28230000</v>
      </c>
      <c r="B60" s="10" t="s">
        <v>263</v>
      </c>
      <c r="C60" s="11">
        <v>-19731.941999999999</v>
      </c>
      <c r="D60" s="11">
        <v>0</v>
      </c>
      <c r="E60" s="11">
        <v>0</v>
      </c>
      <c r="F60" s="13">
        <f>SUMIF('OD 01-23'!A:A,A60,'OD 01-23'!D:D)</f>
        <v>0</v>
      </c>
      <c r="G60" s="13">
        <f>SUMIF('OD 01-23'!A:A,A60,'OD 01-23'!E:E)</f>
        <v>4389.7709999999997</v>
      </c>
      <c r="H60" s="14">
        <f t="shared" si="0"/>
        <v>-4389.7709999999997</v>
      </c>
      <c r="I60" s="14">
        <f t="shared" si="1"/>
        <v>-24121.713</v>
      </c>
      <c r="J60" s="8" t="s">
        <v>47</v>
      </c>
    </row>
    <row r="61" spans="1:10" x14ac:dyDescent="0.2">
      <c r="A61" s="10">
        <v>28234000</v>
      </c>
      <c r="B61" s="10" t="s">
        <v>51</v>
      </c>
      <c r="C61" s="11">
        <v>-14367055.429</v>
      </c>
      <c r="D61" s="11">
        <v>0</v>
      </c>
      <c r="E61" s="11">
        <v>0</v>
      </c>
      <c r="F61" s="13">
        <f>SUMIF('OD 01-23'!A:A,A61,'OD 01-23'!D:D)</f>
        <v>0</v>
      </c>
      <c r="G61" s="13">
        <f>SUMIF('OD 01-23'!A:A,A61,'OD 01-23'!E:E)</f>
        <v>116880.211</v>
      </c>
      <c r="H61" s="14">
        <f t="shared" si="0"/>
        <v>-116880.211</v>
      </c>
      <c r="I61" s="14">
        <f t="shared" si="1"/>
        <v>-14483935.639999999</v>
      </c>
      <c r="J61" s="8" t="s">
        <v>47</v>
      </c>
    </row>
    <row r="62" spans="1:10" x14ac:dyDescent="0.2">
      <c r="A62" s="10">
        <v>28235000</v>
      </c>
      <c r="B62" s="10" t="s">
        <v>52</v>
      </c>
      <c r="C62" s="11">
        <v>-287927.478</v>
      </c>
      <c r="D62" s="11">
        <v>0</v>
      </c>
      <c r="E62" s="11">
        <v>0</v>
      </c>
      <c r="F62" s="13">
        <f>SUMIF('OD 01-23'!A:A,A62,'OD 01-23'!D:D)</f>
        <v>0</v>
      </c>
      <c r="G62" s="13">
        <f>SUMIF('OD 01-23'!A:A,A62,'OD 01-23'!E:E)</f>
        <v>7034.5950000000003</v>
      </c>
      <c r="H62" s="14">
        <f t="shared" si="0"/>
        <v>-7034.5950000000003</v>
      </c>
      <c r="I62" s="14">
        <f t="shared" si="1"/>
        <v>-294962.07299999997</v>
      </c>
      <c r="J62" s="8" t="s">
        <v>47</v>
      </c>
    </row>
    <row r="63" spans="1:10" x14ac:dyDescent="0.2">
      <c r="A63" s="10">
        <v>28237000</v>
      </c>
      <c r="B63" s="10" t="s">
        <v>53</v>
      </c>
      <c r="C63" s="11">
        <v>-733400.90499999991</v>
      </c>
      <c r="D63" s="11">
        <v>0</v>
      </c>
      <c r="E63" s="11">
        <v>0</v>
      </c>
      <c r="F63" s="13">
        <f>SUMIF('OD 01-23'!A:A,A63,'OD 01-23'!D:D)</f>
        <v>0</v>
      </c>
      <c r="G63" s="13">
        <f>SUMIF('OD 01-23'!A:A,A63,'OD 01-23'!E:E)</f>
        <v>1805.7460000000001</v>
      </c>
      <c r="H63" s="14">
        <f t="shared" si="0"/>
        <v>-1805.7460000000001</v>
      </c>
      <c r="I63" s="14">
        <f t="shared" si="1"/>
        <v>-735206.65099999995</v>
      </c>
      <c r="J63" s="8" t="s">
        <v>47</v>
      </c>
    </row>
    <row r="64" spans="1:10" x14ac:dyDescent="0.2">
      <c r="A64" s="10">
        <v>28240000</v>
      </c>
      <c r="B64" s="10" t="s">
        <v>54</v>
      </c>
      <c r="C64" s="11">
        <v>-530600.14599999995</v>
      </c>
      <c r="D64" s="11">
        <v>34220.307999999997</v>
      </c>
      <c r="E64" s="11">
        <v>0</v>
      </c>
      <c r="F64" s="13">
        <f>SUMIF('OD 01-23'!A:A,A64,'OD 01-23'!D:D)</f>
        <v>0</v>
      </c>
      <c r="G64" s="13">
        <f>SUMIF('OD 01-23'!A:A,A64,'OD 01-23'!E:E)</f>
        <v>12427.078</v>
      </c>
      <c r="H64" s="14">
        <f t="shared" si="0"/>
        <v>21793.229999999996</v>
      </c>
      <c r="I64" s="14">
        <f t="shared" si="1"/>
        <v>-508806.91599999997</v>
      </c>
      <c r="J64" s="8" t="s">
        <v>47</v>
      </c>
    </row>
    <row r="65" spans="1:10" x14ac:dyDescent="0.2">
      <c r="A65" s="10">
        <v>28282000</v>
      </c>
      <c r="B65" s="10" t="s">
        <v>55</v>
      </c>
      <c r="C65" s="11">
        <v>-175530.78700000001</v>
      </c>
      <c r="D65" s="11">
        <v>0</v>
      </c>
      <c r="E65" s="11">
        <v>0</v>
      </c>
      <c r="F65" s="13">
        <f>SUMIF('OD 01-23'!A:A,A65,'OD 01-23'!D:D)</f>
        <v>0</v>
      </c>
      <c r="G65" s="13">
        <f>SUMIF('OD 01-23'!A:A,A65,'OD 01-23'!E:E)</f>
        <v>4546.049</v>
      </c>
      <c r="H65" s="14">
        <f t="shared" si="0"/>
        <v>-4546.049</v>
      </c>
      <c r="I65" s="14">
        <f t="shared" si="1"/>
        <v>-180076.83600000001</v>
      </c>
      <c r="J65" s="8" t="s">
        <v>47</v>
      </c>
    </row>
    <row r="66" spans="1:10" x14ac:dyDescent="0.2">
      <c r="A66" s="10">
        <v>28283000</v>
      </c>
      <c r="B66" s="10" t="s">
        <v>264</v>
      </c>
      <c r="C66" s="11">
        <v>-94662.618000000017</v>
      </c>
      <c r="D66" s="11">
        <v>0</v>
      </c>
      <c r="E66" s="11">
        <v>0</v>
      </c>
      <c r="F66" s="13">
        <f>SUMIF('OD 01-23'!A:A,A66,'OD 01-23'!D:D)</f>
        <v>0</v>
      </c>
      <c r="G66" s="13">
        <f>SUMIF('OD 01-23'!A:A,A66,'OD 01-23'!E:E)</f>
        <v>1898.0329999999999</v>
      </c>
      <c r="H66" s="14">
        <f t="shared" ref="H66:H129" si="2">+D66+F66-E66-G66</f>
        <v>-1898.0329999999999</v>
      </c>
      <c r="I66" s="14">
        <f t="shared" ref="I66:I129" si="3">+H66+C66</f>
        <v>-96560.651000000013</v>
      </c>
      <c r="J66" s="8" t="s">
        <v>47</v>
      </c>
    </row>
    <row r="67" spans="1:10" x14ac:dyDescent="0.2">
      <c r="A67" s="10">
        <v>28400000</v>
      </c>
      <c r="B67" s="10" t="s">
        <v>56</v>
      </c>
      <c r="C67" s="11">
        <v>-418241.01199999987</v>
      </c>
      <c r="D67" s="11">
        <v>0</v>
      </c>
      <c r="E67" s="11">
        <v>0</v>
      </c>
      <c r="F67" s="13">
        <f>SUMIF('OD 01-23'!A:A,A67,'OD 01-23'!D:D)</f>
        <v>0</v>
      </c>
      <c r="G67" s="13">
        <f>SUMIF('OD 01-23'!A:A,A67,'OD 01-23'!E:E)</f>
        <v>6242.0129999999999</v>
      </c>
      <c r="H67" s="14">
        <f t="shared" si="2"/>
        <v>-6242.0129999999999</v>
      </c>
      <c r="I67" s="14">
        <f t="shared" si="3"/>
        <v>-424483.02499999985</v>
      </c>
      <c r="J67" s="8" t="s">
        <v>47</v>
      </c>
    </row>
    <row r="68" spans="1:10" x14ac:dyDescent="0.2">
      <c r="A68" s="10">
        <v>29220000</v>
      </c>
      <c r="B68" s="10" t="s">
        <v>297</v>
      </c>
      <c r="C68" s="11">
        <v>0</v>
      </c>
      <c r="D68" s="11">
        <v>0</v>
      </c>
      <c r="E68" s="11">
        <v>0</v>
      </c>
      <c r="F68" s="13">
        <f>SUMIF('OD 01-23'!A:A,A68,'OD 01-23'!D:D)</f>
        <v>0</v>
      </c>
      <c r="G68" s="13">
        <f>SUMIF('OD 01-23'!A:A,A68,'OD 01-23'!E:E)</f>
        <v>0</v>
      </c>
      <c r="H68" s="14">
        <f t="shared" si="2"/>
        <v>0</v>
      </c>
      <c r="I68" s="14">
        <f t="shared" si="3"/>
        <v>0</v>
      </c>
      <c r="J68" s="8"/>
    </row>
    <row r="69" spans="1:10" x14ac:dyDescent="0.2">
      <c r="A69" s="10">
        <v>29282000</v>
      </c>
      <c r="B69" s="10" t="s">
        <v>298</v>
      </c>
      <c r="C69" s="11">
        <v>0</v>
      </c>
      <c r="D69" s="11">
        <v>0</v>
      </c>
      <c r="E69" s="11">
        <v>0</v>
      </c>
      <c r="F69" s="13">
        <f>SUMIF('OD 01-23'!A:A,A69,'OD 01-23'!D:D)</f>
        <v>0</v>
      </c>
      <c r="G69" s="13">
        <f>SUMIF('OD 01-23'!A:A,A69,'OD 01-23'!E:E)</f>
        <v>0</v>
      </c>
      <c r="H69" s="14">
        <f t="shared" si="2"/>
        <v>0</v>
      </c>
      <c r="I69" s="14">
        <f t="shared" si="3"/>
        <v>0</v>
      </c>
      <c r="J69" s="8"/>
    </row>
    <row r="70" spans="1:10" x14ac:dyDescent="0.2">
      <c r="A70" s="10">
        <v>29286500</v>
      </c>
      <c r="B70" s="10" t="s">
        <v>299</v>
      </c>
      <c r="C70" s="11">
        <v>0</v>
      </c>
      <c r="D70" s="11">
        <v>0</v>
      </c>
      <c r="E70" s="11">
        <v>0</v>
      </c>
      <c r="F70" s="13">
        <f>SUMIF('OD 01-23'!A:A,A70,'OD 01-23'!D:D)</f>
        <v>0</v>
      </c>
      <c r="G70" s="13">
        <f>SUMIF('OD 01-23'!A:A,A70,'OD 01-23'!E:E)</f>
        <v>0</v>
      </c>
      <c r="H70" s="14">
        <f t="shared" si="2"/>
        <v>0</v>
      </c>
      <c r="I70" s="14">
        <f t="shared" si="3"/>
        <v>0</v>
      </c>
      <c r="J70" s="8" t="s">
        <v>25</v>
      </c>
    </row>
    <row r="71" spans="1:10" x14ac:dyDescent="0.2">
      <c r="A71" s="10">
        <v>29700000</v>
      </c>
      <c r="B71" s="10" t="s">
        <v>57</v>
      </c>
      <c r="C71" s="11">
        <v>-29257.384999999998</v>
      </c>
      <c r="D71" s="11">
        <v>0</v>
      </c>
      <c r="E71" s="11">
        <v>0</v>
      </c>
      <c r="F71" s="13">
        <f>SUMIF('OD 01-23'!A:A,A71,'OD 01-23'!D:D)</f>
        <v>0</v>
      </c>
      <c r="G71" s="13">
        <f>SUMIF('OD 01-23'!A:A,A71,'OD 01-23'!E:E)</f>
        <v>0</v>
      </c>
      <c r="H71" s="14">
        <f t="shared" si="2"/>
        <v>0</v>
      </c>
      <c r="I71" s="14">
        <f t="shared" si="3"/>
        <v>-29257.384999999998</v>
      </c>
      <c r="J71" s="8" t="s">
        <v>58</v>
      </c>
    </row>
    <row r="72" spans="1:10" x14ac:dyDescent="0.2">
      <c r="A72" s="10">
        <v>31100000</v>
      </c>
      <c r="B72" s="10" t="s">
        <v>59</v>
      </c>
      <c r="C72" s="11">
        <v>10125104.671000004</v>
      </c>
      <c r="D72" s="11">
        <v>0</v>
      </c>
      <c r="E72" s="11">
        <v>10125104.671</v>
      </c>
      <c r="F72" s="13">
        <f>SUMIF('OD 01-23'!A:A,A72,'OD 01-23'!D:D)</f>
        <v>10236706.575999999</v>
      </c>
      <c r="G72" s="13">
        <f>SUMIF('OD 01-23'!A:A,A72,'OD 01-23'!E:E)</f>
        <v>0</v>
      </c>
      <c r="H72" s="14">
        <f t="shared" si="2"/>
        <v>111601.90499999933</v>
      </c>
      <c r="I72" s="14">
        <f t="shared" si="3"/>
        <v>10236706.576000003</v>
      </c>
      <c r="J72" s="8" t="s">
        <v>60</v>
      </c>
    </row>
    <row r="73" spans="1:10" x14ac:dyDescent="0.2">
      <c r="A73" s="10">
        <v>32200000</v>
      </c>
      <c r="B73" s="10" t="s">
        <v>61</v>
      </c>
      <c r="C73" s="11">
        <v>583630.65100000054</v>
      </c>
      <c r="D73" s="11">
        <v>0</v>
      </c>
      <c r="E73" s="11">
        <v>583630.65099999995</v>
      </c>
      <c r="F73" s="13">
        <f>SUMIF('OD 01-23'!A:A,A73,'OD 01-23'!D:D)</f>
        <v>596194.15399999998</v>
      </c>
      <c r="G73" s="13">
        <f>SUMIF('OD 01-23'!A:A,A73,'OD 01-23'!E:E)</f>
        <v>0</v>
      </c>
      <c r="H73" s="14">
        <f t="shared" si="2"/>
        <v>12563.503000000026</v>
      </c>
      <c r="I73" s="14">
        <f t="shared" si="3"/>
        <v>596194.15400000056</v>
      </c>
      <c r="J73" s="8" t="s">
        <v>60</v>
      </c>
    </row>
    <row r="74" spans="1:10" x14ac:dyDescent="0.2">
      <c r="A74" s="10">
        <v>33100000</v>
      </c>
      <c r="B74" s="10" t="s">
        <v>62</v>
      </c>
      <c r="C74" s="11">
        <v>1140754.9079999998</v>
      </c>
      <c r="D74" s="11">
        <v>0</v>
      </c>
      <c r="E74" s="11">
        <v>1140754.9080000001</v>
      </c>
      <c r="F74" s="13">
        <f>SUMIF('OD 01-23'!A:A,A74,'OD 01-23'!D:D)</f>
        <v>858839.50199999998</v>
      </c>
      <c r="G74" s="13">
        <f>SUMIF('OD 01-23'!A:A,A74,'OD 01-23'!E:E)</f>
        <v>0</v>
      </c>
      <c r="H74" s="14">
        <f t="shared" si="2"/>
        <v>-281915.40600000008</v>
      </c>
      <c r="I74" s="14">
        <f t="shared" si="3"/>
        <v>858839.50199999975</v>
      </c>
      <c r="J74" s="8" t="s">
        <v>60</v>
      </c>
    </row>
    <row r="75" spans="1:10" x14ac:dyDescent="0.2">
      <c r="A75" s="10">
        <v>33500000</v>
      </c>
      <c r="B75" s="10" t="s">
        <v>300</v>
      </c>
      <c r="C75" s="11">
        <v>0</v>
      </c>
      <c r="D75" s="11">
        <v>0</v>
      </c>
      <c r="E75" s="11">
        <v>0</v>
      </c>
      <c r="F75" s="13">
        <f>SUMIF('OD 01-23'!A:A,A75,'OD 01-23'!D:D)</f>
        <v>0</v>
      </c>
      <c r="G75" s="13">
        <f>SUMIF('OD 01-23'!A:A,A75,'OD 01-23'!E:E)</f>
        <v>0</v>
      </c>
      <c r="H75" s="14">
        <f t="shared" si="2"/>
        <v>0</v>
      </c>
      <c r="I75" s="14">
        <f t="shared" si="3"/>
        <v>0</v>
      </c>
      <c r="J75" s="8"/>
    </row>
    <row r="76" spans="1:10" x14ac:dyDescent="0.2">
      <c r="A76" s="10">
        <v>34100000</v>
      </c>
      <c r="B76" s="10" t="s">
        <v>301</v>
      </c>
      <c r="C76" s="11">
        <v>0</v>
      </c>
      <c r="D76" s="11">
        <v>0</v>
      </c>
      <c r="E76" s="11">
        <v>0</v>
      </c>
      <c r="F76" s="13">
        <f>SUMIF('OD 01-23'!A:A,A76,'OD 01-23'!D:D)</f>
        <v>0</v>
      </c>
      <c r="G76" s="13">
        <f>SUMIF('OD 01-23'!A:A,A76,'OD 01-23'!E:E)</f>
        <v>0</v>
      </c>
      <c r="H76" s="14">
        <f t="shared" si="2"/>
        <v>0</v>
      </c>
      <c r="I76" s="14">
        <f t="shared" si="3"/>
        <v>0</v>
      </c>
      <c r="J76" s="8"/>
    </row>
    <row r="77" spans="1:10" x14ac:dyDescent="0.2">
      <c r="A77" s="10">
        <v>35500000</v>
      </c>
      <c r="B77" s="10" t="s">
        <v>63</v>
      </c>
      <c r="C77" s="11">
        <v>3851747.0070000011</v>
      </c>
      <c r="D77" s="11">
        <v>0</v>
      </c>
      <c r="E77" s="11">
        <v>3851747.0070000002</v>
      </c>
      <c r="F77" s="13">
        <f>SUMIF('OD 01-23'!A:A,A77,'OD 01-23'!D:D)</f>
        <v>3237104.2590000001</v>
      </c>
      <c r="G77" s="13">
        <f>SUMIF('OD 01-23'!A:A,A77,'OD 01-23'!E:E)</f>
        <v>0</v>
      </c>
      <c r="H77" s="14">
        <f t="shared" si="2"/>
        <v>-614642.74800000014</v>
      </c>
      <c r="I77" s="14">
        <f t="shared" si="3"/>
        <v>3237104.259000001</v>
      </c>
      <c r="J77" s="8" t="s">
        <v>60</v>
      </c>
    </row>
    <row r="78" spans="1:10" x14ac:dyDescent="0.2">
      <c r="A78" s="10">
        <v>39000000</v>
      </c>
      <c r="B78" s="10" t="s">
        <v>64</v>
      </c>
      <c r="C78" s="11">
        <v>-60168.119000000006</v>
      </c>
      <c r="D78" s="11">
        <v>0</v>
      </c>
      <c r="E78" s="11">
        <v>0</v>
      </c>
      <c r="F78" s="13">
        <f>SUMIF('OD 01-23'!A:A,A78,'OD 01-23'!D:D)</f>
        <v>0</v>
      </c>
      <c r="G78" s="13">
        <f>SUMIF('OD 01-23'!A:A,A78,'OD 01-23'!E:E)</f>
        <v>0</v>
      </c>
      <c r="H78" s="14">
        <f t="shared" si="2"/>
        <v>0</v>
      </c>
      <c r="I78" s="14">
        <f t="shared" si="3"/>
        <v>-60168.119000000006</v>
      </c>
      <c r="J78" s="8" t="s">
        <v>65</v>
      </c>
    </row>
    <row r="79" spans="1:10" x14ac:dyDescent="0.2">
      <c r="A79" s="10">
        <v>40100000</v>
      </c>
      <c r="B79" s="10" t="s">
        <v>66</v>
      </c>
      <c r="C79" s="11">
        <v>-3153624.7309315205</v>
      </c>
      <c r="D79" s="11">
        <v>3405938.764</v>
      </c>
      <c r="E79" s="11">
        <f>30807.74+3314900.011</f>
        <v>3345707.7510000002</v>
      </c>
      <c r="F79" s="13">
        <f>SUMIF('OD 01-23'!A:A,A79,'OD 01-23'!D:D)</f>
        <v>0</v>
      </c>
      <c r="G79" s="13">
        <f>SUMIF('OD 01-23'!A:A,A79,'OD 01-23'!E:E)</f>
        <v>4926.3500000000004</v>
      </c>
      <c r="H79" s="14">
        <f t="shared" si="2"/>
        <v>55304.662999999804</v>
      </c>
      <c r="I79" s="14">
        <f t="shared" si="3"/>
        <v>-3098320.0679315208</v>
      </c>
      <c r="J79" s="8" t="s">
        <v>67</v>
      </c>
    </row>
    <row r="80" spans="1:10" x14ac:dyDescent="0.2">
      <c r="A80" s="10">
        <v>40300000</v>
      </c>
      <c r="B80" s="10" t="s">
        <v>68</v>
      </c>
      <c r="C80" s="11">
        <v>-474754.25700000674</v>
      </c>
      <c r="D80" s="11">
        <v>258758.06600000002</v>
      </c>
      <c r="E80" s="11">
        <v>137420.60699999999</v>
      </c>
      <c r="F80" s="13">
        <f>SUMIF('OD 01-23'!A:A,A80,'OD 01-23'!D:D)</f>
        <v>0</v>
      </c>
      <c r="G80" s="13">
        <f>SUMIF('OD 01-23'!A:A,A80,'OD 01-23'!E:E)</f>
        <v>0</v>
      </c>
      <c r="H80" s="14">
        <f t="shared" si="2"/>
        <v>121337.45900000003</v>
      </c>
      <c r="I80" s="14">
        <f t="shared" si="3"/>
        <v>-353416.7980000067</v>
      </c>
      <c r="J80" s="8" t="s">
        <v>67</v>
      </c>
    </row>
    <row r="81" spans="1:10" x14ac:dyDescent="0.2">
      <c r="A81" s="10">
        <v>40301000</v>
      </c>
      <c r="B81" s="10" t="s">
        <v>302</v>
      </c>
      <c r="C81" s="11">
        <v>0</v>
      </c>
      <c r="D81" s="11">
        <v>0</v>
      </c>
      <c r="E81" s="11">
        <v>0</v>
      </c>
      <c r="F81" s="13">
        <f>SUMIF('OD 01-23'!A:A,A81,'OD 01-23'!D:D)</f>
        <v>0</v>
      </c>
      <c r="G81" s="13">
        <f>SUMIF('OD 01-23'!A:A,A81,'OD 01-23'!E:E)</f>
        <v>0</v>
      </c>
      <c r="H81" s="14">
        <f t="shared" si="2"/>
        <v>0</v>
      </c>
      <c r="I81" s="14">
        <f t="shared" si="3"/>
        <v>0</v>
      </c>
      <c r="J81" s="8"/>
    </row>
    <row r="82" spans="1:10" x14ac:dyDescent="0.2">
      <c r="A82" s="10">
        <v>40400000</v>
      </c>
      <c r="B82" s="10" t="s">
        <v>69</v>
      </c>
      <c r="C82" s="11">
        <v>9.999983012676239E-5</v>
      </c>
      <c r="D82" s="11">
        <v>0</v>
      </c>
      <c r="E82" s="11">
        <v>0</v>
      </c>
      <c r="F82" s="13">
        <f>SUMIF('OD 01-23'!A:A,A82,'OD 01-23'!D:D)</f>
        <v>0</v>
      </c>
      <c r="G82" s="13">
        <f>SUMIF('OD 01-23'!A:A,A82,'OD 01-23'!E:E)</f>
        <v>0</v>
      </c>
      <c r="H82" s="14">
        <f t="shared" si="2"/>
        <v>0</v>
      </c>
      <c r="I82" s="14">
        <f t="shared" si="3"/>
        <v>9.999983012676239E-5</v>
      </c>
      <c r="J82" s="8"/>
    </row>
    <row r="83" spans="1:10" x14ac:dyDescent="0.2">
      <c r="A83" s="10">
        <v>40470000</v>
      </c>
      <c r="B83" s="10" t="s">
        <v>303</v>
      </c>
      <c r="C83" s="11">
        <v>0</v>
      </c>
      <c r="D83" s="11">
        <v>0</v>
      </c>
      <c r="E83" s="11">
        <v>0</v>
      </c>
      <c r="F83" s="13">
        <f>SUMIF('OD 01-23'!A:A,A83,'OD 01-23'!D:D)</f>
        <v>0</v>
      </c>
      <c r="G83" s="13">
        <f>SUMIF('OD 01-23'!A:A,A83,'OD 01-23'!E:E)</f>
        <v>0</v>
      </c>
      <c r="H83" s="14">
        <f t="shared" si="2"/>
        <v>0</v>
      </c>
      <c r="I83" s="14">
        <f t="shared" si="3"/>
        <v>0</v>
      </c>
      <c r="J83" s="8"/>
    </row>
    <row r="84" spans="1:10" x14ac:dyDescent="0.2">
      <c r="A84" s="10">
        <v>40600000</v>
      </c>
      <c r="B84" s="10" t="s">
        <v>70</v>
      </c>
      <c r="C84" s="11">
        <v>-2172555.6073946208</v>
      </c>
      <c r="D84" s="11">
        <v>430676.908</v>
      </c>
      <c r="E84" s="11">
        <v>518043.96706350008</v>
      </c>
      <c r="F84" s="13">
        <f>SUMIF('OD 01-23'!A:A,A84,'OD 01-23'!D:D)</f>
        <v>0</v>
      </c>
      <c r="G84" s="13">
        <f>SUMIF('OD 01-23'!A:A,A84,'OD 01-23'!E:E)</f>
        <v>0</v>
      </c>
      <c r="H84" s="14">
        <f t="shared" si="2"/>
        <v>-87367.059063500084</v>
      </c>
      <c r="I84" s="14">
        <f t="shared" si="3"/>
        <v>-2259922.666458121</v>
      </c>
      <c r="J84" s="8" t="s">
        <v>67</v>
      </c>
    </row>
    <row r="85" spans="1:10" x14ac:dyDescent="0.2">
      <c r="A85" s="10">
        <v>40800000</v>
      </c>
      <c r="B85" s="10" t="s">
        <v>71</v>
      </c>
      <c r="C85" s="11">
        <v>-4980</v>
      </c>
      <c r="D85" s="11">
        <v>0</v>
      </c>
      <c r="E85" s="11">
        <v>0</v>
      </c>
      <c r="F85" s="13">
        <f>SUMIF('OD 01-23'!A:A,A85,'OD 01-23'!D:D)</f>
        <v>0</v>
      </c>
      <c r="G85" s="13">
        <f>SUMIF('OD 01-23'!A:A,A85,'OD 01-23'!E:E)</f>
        <v>0</v>
      </c>
      <c r="H85" s="14">
        <f t="shared" si="2"/>
        <v>0</v>
      </c>
      <c r="I85" s="14">
        <f t="shared" si="3"/>
        <v>-4980</v>
      </c>
      <c r="J85" s="8" t="s">
        <v>67</v>
      </c>
    </row>
    <row r="86" spans="1:10" x14ac:dyDescent="0.2">
      <c r="A86" s="10">
        <v>40860000</v>
      </c>
      <c r="B86" s="10" t="s">
        <v>304</v>
      </c>
      <c r="C86" s="11">
        <v>0</v>
      </c>
      <c r="D86" s="11">
        <v>0</v>
      </c>
      <c r="E86" s="11">
        <v>0</v>
      </c>
      <c r="F86" s="13">
        <f>SUMIF('OD 01-23'!A:A,A86,'OD 01-23'!D:D)</f>
        <v>0</v>
      </c>
      <c r="G86" s="13">
        <f>SUMIF('OD 01-23'!A:A,A86,'OD 01-23'!E:E)</f>
        <v>0</v>
      </c>
      <c r="H86" s="14">
        <f t="shared" si="2"/>
        <v>0</v>
      </c>
      <c r="I86" s="14">
        <f t="shared" si="3"/>
        <v>0</v>
      </c>
      <c r="J86" s="8"/>
    </row>
    <row r="87" spans="1:10" x14ac:dyDescent="0.2">
      <c r="A87" s="10">
        <v>40910000</v>
      </c>
      <c r="B87" s="10" t="s">
        <v>72</v>
      </c>
      <c r="C87" s="11">
        <v>0</v>
      </c>
      <c r="D87" s="11">
        <v>0</v>
      </c>
      <c r="E87" s="11">
        <v>0</v>
      </c>
      <c r="F87" s="13">
        <f>SUMIF('OD 01-23'!A:A,A87,'OD 01-23'!D:D)</f>
        <v>0</v>
      </c>
      <c r="G87" s="13">
        <f>SUMIF('OD 01-23'!A:A,A87,'OD 01-23'!E:E)</f>
        <v>0</v>
      </c>
      <c r="H87" s="14">
        <f t="shared" si="2"/>
        <v>0</v>
      </c>
      <c r="I87" s="14">
        <f t="shared" si="3"/>
        <v>0</v>
      </c>
      <c r="J87" s="8" t="s">
        <v>78</v>
      </c>
    </row>
    <row r="88" spans="1:10" x14ac:dyDescent="0.2">
      <c r="A88" s="10">
        <v>41100000</v>
      </c>
      <c r="B88" s="10" t="s">
        <v>73</v>
      </c>
      <c r="C88" s="11">
        <v>11118442.226302445</v>
      </c>
      <c r="D88" s="11">
        <v>4349766.6880000001</v>
      </c>
      <c r="E88" s="11">
        <v>1984314.2320000001</v>
      </c>
      <c r="F88" s="13">
        <f>SUMIF('OD 01-23'!A:A,A88,'OD 01-23'!D:D)</f>
        <v>0</v>
      </c>
      <c r="G88" s="13">
        <f>SUMIF('OD 01-23'!A:A,A88,'OD 01-23'!E:E)</f>
        <v>0</v>
      </c>
      <c r="H88" s="14">
        <f t="shared" si="2"/>
        <v>2365452.4560000002</v>
      </c>
      <c r="I88" s="14">
        <f t="shared" si="3"/>
        <v>13483894.682302445</v>
      </c>
      <c r="J88" s="8" t="s">
        <v>74</v>
      </c>
    </row>
    <row r="89" spans="1:10" x14ac:dyDescent="0.2">
      <c r="A89" s="10">
        <v>41301000</v>
      </c>
      <c r="B89" s="10" t="s">
        <v>305</v>
      </c>
      <c r="C89" s="11">
        <v>0</v>
      </c>
      <c r="D89" s="11">
        <v>0</v>
      </c>
      <c r="E89" s="11">
        <v>0</v>
      </c>
      <c r="F89" s="13">
        <f>SUMIF('OD 01-23'!A:A,A89,'OD 01-23'!D:D)</f>
        <v>0</v>
      </c>
      <c r="G89" s="13">
        <f>SUMIF('OD 01-23'!A:A,A89,'OD 01-23'!E:E)</f>
        <v>0</v>
      </c>
      <c r="H89" s="14">
        <f t="shared" si="2"/>
        <v>0</v>
      </c>
      <c r="I89" s="14">
        <f t="shared" si="3"/>
        <v>0</v>
      </c>
      <c r="J89" s="8"/>
    </row>
    <row r="90" spans="1:10" x14ac:dyDescent="0.2">
      <c r="A90" s="10">
        <v>41500000</v>
      </c>
      <c r="B90" s="10" t="s">
        <v>75</v>
      </c>
      <c r="C90" s="11">
        <v>2080023.7271354795</v>
      </c>
      <c r="D90" s="11">
        <v>611300.69099999999</v>
      </c>
      <c r="E90" s="11">
        <v>0</v>
      </c>
      <c r="F90" s="13">
        <f>SUMIF('OD 01-23'!A:A,A90,'OD 01-23'!D:D)</f>
        <v>0</v>
      </c>
      <c r="G90" s="13">
        <f>SUMIF('OD 01-23'!A:A,A90,'OD 01-23'!E:E)</f>
        <v>0</v>
      </c>
      <c r="H90" s="14">
        <f t="shared" si="2"/>
        <v>611300.69099999999</v>
      </c>
      <c r="I90" s="14">
        <f t="shared" si="3"/>
        <v>2691324.4181354796</v>
      </c>
      <c r="J90" s="8" t="s">
        <v>74</v>
      </c>
    </row>
    <row r="91" spans="1:10" x14ac:dyDescent="0.2">
      <c r="A91" s="10">
        <v>41601000</v>
      </c>
      <c r="B91" s="10" t="s">
        <v>306</v>
      </c>
      <c r="C91" s="11">
        <v>0</v>
      </c>
      <c r="D91" s="11">
        <v>0</v>
      </c>
      <c r="E91" s="11">
        <v>0</v>
      </c>
      <c r="F91" s="13">
        <f>SUMIF('OD 01-23'!A:A,A91,'OD 01-23'!D:D)</f>
        <v>0</v>
      </c>
      <c r="G91" s="13">
        <f>SUMIF('OD 01-23'!A:A,A91,'OD 01-23'!E:E)</f>
        <v>0</v>
      </c>
      <c r="H91" s="14">
        <f t="shared" si="2"/>
        <v>0</v>
      </c>
      <c r="I91" s="14">
        <f t="shared" si="3"/>
        <v>0</v>
      </c>
      <c r="J91" s="8"/>
    </row>
    <row r="92" spans="1:10" x14ac:dyDescent="0.2">
      <c r="A92" s="10">
        <v>41800000</v>
      </c>
      <c r="B92" s="10" t="s">
        <v>307</v>
      </c>
      <c r="C92" s="11">
        <v>0</v>
      </c>
      <c r="D92" s="11">
        <v>0</v>
      </c>
      <c r="E92" s="11">
        <v>0</v>
      </c>
      <c r="F92" s="13">
        <f>SUMIF('OD 01-23'!A:A,A92,'OD 01-23'!D:D)</f>
        <v>0</v>
      </c>
      <c r="G92" s="13">
        <f>SUMIF('OD 01-23'!A:A,A92,'OD 01-23'!E:E)</f>
        <v>0</v>
      </c>
      <c r="H92" s="14">
        <f t="shared" si="2"/>
        <v>0</v>
      </c>
      <c r="I92" s="14">
        <f t="shared" si="3"/>
        <v>0</v>
      </c>
      <c r="J92" s="8"/>
    </row>
    <row r="93" spans="1:10" x14ac:dyDescent="0.2">
      <c r="A93" s="10">
        <v>41910000</v>
      </c>
      <c r="B93" s="10" t="s">
        <v>308</v>
      </c>
      <c r="C93" s="11">
        <v>0</v>
      </c>
      <c r="D93" s="11">
        <v>0</v>
      </c>
      <c r="E93" s="11">
        <v>0</v>
      </c>
      <c r="F93" s="13">
        <f>SUMIF('OD 01-23'!A:A,A93,'OD 01-23'!D:D)</f>
        <v>0</v>
      </c>
      <c r="G93" s="13">
        <f>SUMIF('OD 01-23'!A:A,A93,'OD 01-23'!E:E)</f>
        <v>0</v>
      </c>
      <c r="H93" s="14">
        <f t="shared" si="2"/>
        <v>0</v>
      </c>
      <c r="I93" s="14">
        <f t="shared" si="3"/>
        <v>0</v>
      </c>
      <c r="J93" s="8"/>
    </row>
    <row r="94" spans="1:10" x14ac:dyDescent="0.2">
      <c r="A94" s="10">
        <v>42100000</v>
      </c>
      <c r="B94" s="10" t="s">
        <v>76</v>
      </c>
      <c r="C94" s="11">
        <v>0</v>
      </c>
      <c r="D94" s="11">
        <v>0</v>
      </c>
      <c r="E94" s="11">
        <v>0</v>
      </c>
      <c r="F94" s="13">
        <f>SUMIF('OD 01-23'!A:A,A94,'OD 01-23'!D:D)</f>
        <v>0</v>
      </c>
      <c r="G94" s="13">
        <f>SUMIF('OD 01-23'!A:A,A94,'OD 01-23'!E:E)</f>
        <v>0</v>
      </c>
      <c r="H94" s="14">
        <f t="shared" si="2"/>
        <v>0</v>
      </c>
      <c r="I94" s="14">
        <f t="shared" si="3"/>
        <v>0</v>
      </c>
      <c r="J94" s="8"/>
    </row>
    <row r="95" spans="1:10" x14ac:dyDescent="0.2">
      <c r="A95" s="10">
        <v>42110000</v>
      </c>
      <c r="B95" s="10" t="s">
        <v>309</v>
      </c>
      <c r="C95" s="11">
        <v>0</v>
      </c>
      <c r="D95" s="11">
        <v>0</v>
      </c>
      <c r="E95" s="11">
        <v>0</v>
      </c>
      <c r="F95" s="13">
        <f>SUMIF('OD 01-23'!A:A,A95,'OD 01-23'!D:D)</f>
        <v>0</v>
      </c>
      <c r="G95" s="13">
        <f>SUMIF('OD 01-23'!A:A,A95,'OD 01-23'!E:E)</f>
        <v>0</v>
      </c>
      <c r="H95" s="14">
        <f t="shared" si="2"/>
        <v>0</v>
      </c>
      <c r="I95" s="14">
        <f t="shared" si="3"/>
        <v>0</v>
      </c>
      <c r="J95" s="8"/>
    </row>
    <row r="96" spans="1:10" x14ac:dyDescent="0.2">
      <c r="A96" s="10">
        <v>42120000</v>
      </c>
      <c r="B96" s="10" t="s">
        <v>77</v>
      </c>
      <c r="C96" s="11">
        <v>18991.006999999983</v>
      </c>
      <c r="D96" s="11">
        <v>0</v>
      </c>
      <c r="E96" s="11">
        <v>5100</v>
      </c>
      <c r="F96" s="13">
        <f>SUMIF('OD 01-23'!A:A,A96,'OD 01-23'!D:D)</f>
        <v>0</v>
      </c>
      <c r="G96" s="13">
        <f>SUMIF('OD 01-23'!A:A,A96,'OD 01-23'!E:E)</f>
        <v>0</v>
      </c>
      <c r="H96" s="14">
        <f t="shared" si="2"/>
        <v>-5100</v>
      </c>
      <c r="I96" s="14">
        <f t="shared" si="3"/>
        <v>13891.006999999983</v>
      </c>
      <c r="J96" s="8" t="s">
        <v>78</v>
      </c>
    </row>
    <row r="97" spans="1:10" x14ac:dyDescent="0.2">
      <c r="A97" s="10">
        <v>42400000</v>
      </c>
      <c r="B97" s="10" t="s">
        <v>79</v>
      </c>
      <c r="C97" s="11">
        <v>0</v>
      </c>
      <c r="D97" s="11">
        <v>0</v>
      </c>
      <c r="E97" s="11">
        <v>0</v>
      </c>
      <c r="F97" s="13">
        <f>SUMIF('OD 01-23'!A:A,A97,'OD 01-23'!D:D)</f>
        <v>0</v>
      </c>
      <c r="G97" s="13">
        <f>SUMIF('OD 01-23'!A:A,A97,'OD 01-23'!E:E)</f>
        <v>0</v>
      </c>
      <c r="H97" s="14">
        <f t="shared" si="2"/>
        <v>0</v>
      </c>
      <c r="I97" s="14">
        <f t="shared" si="3"/>
        <v>0</v>
      </c>
      <c r="J97" s="8"/>
    </row>
    <row r="98" spans="1:10" x14ac:dyDescent="0.2">
      <c r="A98" s="10">
        <v>42500000</v>
      </c>
      <c r="B98" s="10" t="s">
        <v>80</v>
      </c>
      <c r="C98" s="11">
        <v>-169680.43600000069</v>
      </c>
      <c r="D98" s="11">
        <v>167590.128</v>
      </c>
      <c r="E98" s="11">
        <v>233099.32199999999</v>
      </c>
      <c r="F98" s="13">
        <f>SUMIF('OD 01-23'!A:A,A98,'OD 01-23'!D:D)</f>
        <v>0</v>
      </c>
      <c r="G98" s="13">
        <f>SUMIF('OD 01-23'!A:A,A98,'OD 01-23'!E:E)</f>
        <v>0</v>
      </c>
      <c r="H98" s="14">
        <f t="shared" si="2"/>
        <v>-65509.193999999989</v>
      </c>
      <c r="I98" s="14">
        <f t="shared" si="3"/>
        <v>-235189.63000000067</v>
      </c>
      <c r="J98" s="8" t="s">
        <v>81</v>
      </c>
    </row>
    <row r="99" spans="1:10" x14ac:dyDescent="0.2">
      <c r="A99" s="10">
        <v>42700000</v>
      </c>
      <c r="B99" s="10" t="s">
        <v>310</v>
      </c>
      <c r="C99" s="11">
        <v>0</v>
      </c>
      <c r="D99" s="11">
        <v>0</v>
      </c>
      <c r="E99" s="11">
        <v>0</v>
      </c>
      <c r="F99" s="13">
        <f>SUMIF('OD 01-23'!A:A,A99,'OD 01-23'!D:D)</f>
        <v>0</v>
      </c>
      <c r="G99" s="13">
        <f>SUMIF('OD 01-23'!A:A,A99,'OD 01-23'!E:E)</f>
        <v>0</v>
      </c>
      <c r="H99" s="14">
        <f t="shared" si="2"/>
        <v>0</v>
      </c>
      <c r="I99" s="14">
        <f t="shared" si="3"/>
        <v>0</v>
      </c>
      <c r="J99" s="8"/>
    </row>
    <row r="100" spans="1:10" x14ac:dyDescent="0.2">
      <c r="A100" s="10">
        <v>42710000</v>
      </c>
      <c r="B100" s="10" t="s">
        <v>82</v>
      </c>
      <c r="C100" s="11">
        <v>-913.54400000000169</v>
      </c>
      <c r="D100" s="11">
        <v>913.54399999999987</v>
      </c>
      <c r="E100" s="11">
        <v>1324.635</v>
      </c>
      <c r="F100" s="13">
        <f>SUMIF('OD 01-23'!A:A,A100,'OD 01-23'!D:D)</f>
        <v>0</v>
      </c>
      <c r="G100" s="13">
        <f>SUMIF('OD 01-23'!A:A,A100,'OD 01-23'!E:E)</f>
        <v>0</v>
      </c>
      <c r="H100" s="14">
        <f t="shared" si="2"/>
        <v>-411.09100000000012</v>
      </c>
      <c r="I100" s="14">
        <f t="shared" si="3"/>
        <v>-1324.6350000000018</v>
      </c>
      <c r="J100" s="8" t="s">
        <v>81</v>
      </c>
    </row>
    <row r="101" spans="1:10" x14ac:dyDescent="0.2">
      <c r="A101" s="10">
        <v>42820000</v>
      </c>
      <c r="B101" s="10" t="s">
        <v>83</v>
      </c>
      <c r="C101" s="11">
        <v>-190404.0419999999</v>
      </c>
      <c r="D101" s="11">
        <v>0</v>
      </c>
      <c r="E101" s="11">
        <v>0</v>
      </c>
      <c r="F101" s="13">
        <f>SUMIF('OD 01-23'!A:A,A101,'OD 01-23'!D:D)</f>
        <v>0</v>
      </c>
      <c r="G101" s="13">
        <f>SUMIF('OD 01-23'!A:A,A101,'OD 01-23'!E:E)</f>
        <v>0</v>
      </c>
      <c r="H101" s="14">
        <f t="shared" si="2"/>
        <v>0</v>
      </c>
      <c r="I101" s="14">
        <f t="shared" si="3"/>
        <v>-190404.0419999999</v>
      </c>
      <c r="J101" s="8" t="s">
        <v>81</v>
      </c>
    </row>
    <row r="102" spans="1:10" x14ac:dyDescent="0.2">
      <c r="A102" s="10">
        <v>43200000</v>
      </c>
      <c r="B102" s="10" t="s">
        <v>311</v>
      </c>
      <c r="C102" s="11">
        <v>0</v>
      </c>
      <c r="D102" s="11">
        <v>0</v>
      </c>
      <c r="E102" s="11">
        <v>0</v>
      </c>
      <c r="F102" s="13">
        <f>SUMIF('OD 01-23'!A:A,A102,'OD 01-23'!D:D)</f>
        <v>0</v>
      </c>
      <c r="G102" s="13">
        <f>SUMIF('OD 01-23'!A:A,A102,'OD 01-23'!E:E)</f>
        <v>0</v>
      </c>
      <c r="H102" s="14">
        <f t="shared" si="2"/>
        <v>0</v>
      </c>
      <c r="I102" s="14">
        <f t="shared" si="3"/>
        <v>0</v>
      </c>
      <c r="J102" s="8"/>
    </row>
    <row r="103" spans="1:10" x14ac:dyDescent="0.2">
      <c r="A103" s="10">
        <v>43210000</v>
      </c>
      <c r="B103" s="10" t="s">
        <v>84</v>
      </c>
      <c r="C103" s="11">
        <v>0</v>
      </c>
      <c r="D103" s="11">
        <v>0</v>
      </c>
      <c r="E103" s="11">
        <v>48973.602999999996</v>
      </c>
      <c r="F103" s="13">
        <f>SUMIF('OD 01-23'!A:A,A103,'OD 01-23'!D:D)</f>
        <v>0</v>
      </c>
      <c r="G103" s="13">
        <f>SUMIF('OD 01-23'!A:A,A103,'OD 01-23'!E:E)</f>
        <v>0</v>
      </c>
      <c r="H103" s="14">
        <f t="shared" si="2"/>
        <v>-48973.602999999996</v>
      </c>
      <c r="I103" s="14">
        <f t="shared" si="3"/>
        <v>-48973.602999999996</v>
      </c>
      <c r="J103" s="8" t="s">
        <v>81</v>
      </c>
    </row>
    <row r="104" spans="1:10" x14ac:dyDescent="0.2">
      <c r="A104" s="10">
        <v>43211000</v>
      </c>
      <c r="B104" s="10" t="s">
        <v>312</v>
      </c>
      <c r="C104" s="11">
        <v>0</v>
      </c>
      <c r="D104" s="11">
        <v>0</v>
      </c>
      <c r="E104" s="11">
        <v>0</v>
      </c>
      <c r="F104" s="13">
        <f>SUMIF('OD 01-23'!A:A,A104,'OD 01-23'!D:D)</f>
        <v>0</v>
      </c>
      <c r="G104" s="13">
        <f>SUMIF('OD 01-23'!A:A,A104,'OD 01-23'!E:E)</f>
        <v>0</v>
      </c>
      <c r="H104" s="14">
        <f t="shared" si="2"/>
        <v>0</v>
      </c>
      <c r="I104" s="14">
        <f t="shared" si="3"/>
        <v>0</v>
      </c>
      <c r="J104" s="8"/>
    </row>
    <row r="105" spans="1:10" x14ac:dyDescent="0.2">
      <c r="A105" s="10">
        <v>43211500</v>
      </c>
      <c r="B105" s="10" t="s">
        <v>85</v>
      </c>
      <c r="C105" s="11">
        <v>0</v>
      </c>
      <c r="D105" s="11">
        <v>0</v>
      </c>
      <c r="E105" s="11">
        <v>0</v>
      </c>
      <c r="F105" s="13">
        <f>SUMIF('OD 01-23'!A:A,A105,'OD 01-23'!D:D)</f>
        <v>0</v>
      </c>
      <c r="G105" s="13">
        <f>SUMIF('OD 01-23'!A:A,A105,'OD 01-23'!E:E)</f>
        <v>0</v>
      </c>
      <c r="H105" s="14">
        <f t="shared" si="2"/>
        <v>0</v>
      </c>
      <c r="I105" s="14">
        <f t="shared" si="3"/>
        <v>0</v>
      </c>
      <c r="J105" s="8"/>
    </row>
    <row r="106" spans="1:10" x14ac:dyDescent="0.2">
      <c r="A106" s="10">
        <v>43212500</v>
      </c>
      <c r="B106" s="10" t="s">
        <v>313</v>
      </c>
      <c r="C106" s="11">
        <v>0</v>
      </c>
      <c r="D106" s="11">
        <v>0</v>
      </c>
      <c r="E106" s="11">
        <v>0</v>
      </c>
      <c r="F106" s="13">
        <f>SUMIF('OD 01-23'!A:A,A106,'OD 01-23'!D:D)</f>
        <v>0</v>
      </c>
      <c r="G106" s="13">
        <f>SUMIF('OD 01-23'!A:A,A106,'OD 01-23'!E:E)</f>
        <v>0</v>
      </c>
      <c r="H106" s="14">
        <f t="shared" si="2"/>
        <v>0</v>
      </c>
      <c r="I106" s="14">
        <f t="shared" si="3"/>
        <v>0</v>
      </c>
      <c r="J106" s="8"/>
    </row>
    <row r="107" spans="1:10" x14ac:dyDescent="0.2">
      <c r="A107" s="10">
        <v>43215000</v>
      </c>
      <c r="B107" s="10" t="s">
        <v>314</v>
      </c>
      <c r="C107" s="11">
        <v>0</v>
      </c>
      <c r="D107" s="11">
        <v>0</v>
      </c>
      <c r="E107" s="11">
        <v>0</v>
      </c>
      <c r="F107" s="13">
        <f>SUMIF('OD 01-23'!A:A,A107,'OD 01-23'!D:D)</f>
        <v>0</v>
      </c>
      <c r="G107" s="13">
        <f>SUMIF('OD 01-23'!A:A,A107,'OD 01-23'!E:E)</f>
        <v>0</v>
      </c>
      <c r="H107" s="14">
        <f t="shared" si="2"/>
        <v>0</v>
      </c>
      <c r="I107" s="14">
        <f t="shared" si="3"/>
        <v>0</v>
      </c>
      <c r="J107" s="8"/>
    </row>
    <row r="108" spans="1:10" x14ac:dyDescent="0.2">
      <c r="A108" s="10">
        <v>43220000</v>
      </c>
      <c r="B108" s="10" t="s">
        <v>86</v>
      </c>
      <c r="C108" s="11">
        <v>0</v>
      </c>
      <c r="D108" s="11">
        <v>0</v>
      </c>
      <c r="E108" s="11">
        <v>0</v>
      </c>
      <c r="F108" s="13">
        <f>SUMIF('OD 01-23'!A:A,A108,'OD 01-23'!D:D)</f>
        <v>0</v>
      </c>
      <c r="G108" s="13">
        <f>SUMIF('OD 01-23'!A:A,A108,'OD 01-23'!E:E)</f>
        <v>0</v>
      </c>
      <c r="H108" s="14">
        <f t="shared" si="2"/>
        <v>0</v>
      </c>
      <c r="I108" s="14">
        <f t="shared" si="3"/>
        <v>0</v>
      </c>
      <c r="J108" s="8" t="s">
        <v>81</v>
      </c>
    </row>
    <row r="109" spans="1:10" x14ac:dyDescent="0.2">
      <c r="A109" s="10">
        <v>43220050</v>
      </c>
      <c r="B109" s="10" t="s">
        <v>315</v>
      </c>
      <c r="C109" s="11">
        <v>0</v>
      </c>
      <c r="D109" s="11">
        <v>0</v>
      </c>
      <c r="E109" s="11">
        <v>1949.4209999999998</v>
      </c>
      <c r="F109" s="13">
        <f>SUMIF('OD 01-23'!A:A,A109,'OD 01-23'!D:D)</f>
        <v>0</v>
      </c>
      <c r="G109" s="13">
        <f>SUMIF('OD 01-23'!A:A,A109,'OD 01-23'!E:E)</f>
        <v>0</v>
      </c>
      <c r="H109" s="14">
        <f t="shared" si="2"/>
        <v>-1949.4209999999998</v>
      </c>
      <c r="I109" s="14">
        <f t="shared" si="3"/>
        <v>-1949.4209999999998</v>
      </c>
      <c r="J109" s="8" t="s">
        <v>81</v>
      </c>
    </row>
    <row r="110" spans="1:10" x14ac:dyDescent="0.2">
      <c r="A110" s="10">
        <v>43220100</v>
      </c>
      <c r="B110" s="10" t="s">
        <v>87</v>
      </c>
      <c r="C110" s="11">
        <v>-6.0000000521540642E-3</v>
      </c>
      <c r="D110" s="11">
        <v>1418.49</v>
      </c>
      <c r="E110" s="11">
        <v>19890.563999999998</v>
      </c>
      <c r="F110" s="13">
        <f>SUMIF('OD 01-23'!A:A,A110,'OD 01-23'!D:D)</f>
        <v>0</v>
      </c>
      <c r="G110" s="13">
        <f>SUMIF('OD 01-23'!A:A,A110,'OD 01-23'!E:E)</f>
        <v>0</v>
      </c>
      <c r="H110" s="14">
        <f t="shared" si="2"/>
        <v>-18472.073999999997</v>
      </c>
      <c r="I110" s="14">
        <f t="shared" si="3"/>
        <v>-18472.080000000049</v>
      </c>
      <c r="J110" s="8" t="s">
        <v>81</v>
      </c>
    </row>
    <row r="111" spans="1:10" x14ac:dyDescent="0.2">
      <c r="A111" s="10">
        <v>43220300</v>
      </c>
      <c r="B111" s="10" t="s">
        <v>88</v>
      </c>
      <c r="C111" s="11">
        <v>-5.9999999998581188E-3</v>
      </c>
      <c r="D111" s="11">
        <v>0</v>
      </c>
      <c r="E111" s="11">
        <v>240.28200000000001</v>
      </c>
      <c r="F111" s="13">
        <f>SUMIF('OD 01-23'!A:A,A111,'OD 01-23'!D:D)</f>
        <v>0</v>
      </c>
      <c r="G111" s="13">
        <f>SUMIF('OD 01-23'!A:A,A111,'OD 01-23'!E:E)</f>
        <v>0</v>
      </c>
      <c r="H111" s="14">
        <f t="shared" si="2"/>
        <v>-240.28200000000001</v>
      </c>
      <c r="I111" s="14">
        <f t="shared" si="3"/>
        <v>-240.28799999999987</v>
      </c>
      <c r="J111" s="8" t="s">
        <v>81</v>
      </c>
    </row>
    <row r="112" spans="1:10" x14ac:dyDescent="0.2">
      <c r="A112" s="10">
        <v>43221000</v>
      </c>
      <c r="B112" s="10" t="s">
        <v>89</v>
      </c>
      <c r="C112" s="11">
        <v>-1.9999999785795808E-3</v>
      </c>
      <c r="D112" s="11">
        <v>0</v>
      </c>
      <c r="E112" s="11">
        <v>0</v>
      </c>
      <c r="F112" s="13">
        <f>SUMIF('OD 01-23'!A:A,A112,'OD 01-23'!D:D)</f>
        <v>0</v>
      </c>
      <c r="G112" s="13">
        <f>SUMIF('OD 01-23'!A:A,A112,'OD 01-23'!E:E)</f>
        <v>0</v>
      </c>
      <c r="H112" s="14">
        <f t="shared" si="2"/>
        <v>0</v>
      </c>
      <c r="I112" s="14">
        <f t="shared" si="3"/>
        <v>-1.9999999785795808E-3</v>
      </c>
      <c r="J112" s="8" t="s">
        <v>81</v>
      </c>
    </row>
    <row r="113" spans="1:10" x14ac:dyDescent="0.2">
      <c r="A113" s="10">
        <v>43222000</v>
      </c>
      <c r="B113" s="10" t="s">
        <v>316</v>
      </c>
      <c r="C113" s="11">
        <v>0</v>
      </c>
      <c r="D113" s="11">
        <v>0</v>
      </c>
      <c r="E113" s="11">
        <v>0</v>
      </c>
      <c r="F113" s="13">
        <f>SUMIF('OD 01-23'!A:A,A113,'OD 01-23'!D:D)</f>
        <v>0</v>
      </c>
      <c r="G113" s="13">
        <f>SUMIF('OD 01-23'!A:A,A113,'OD 01-23'!E:E)</f>
        <v>0</v>
      </c>
      <c r="H113" s="14">
        <f t="shared" si="2"/>
        <v>0</v>
      </c>
      <c r="I113" s="14">
        <f t="shared" si="3"/>
        <v>0</v>
      </c>
      <c r="J113" s="8"/>
    </row>
    <row r="114" spans="1:10" x14ac:dyDescent="0.2">
      <c r="A114" s="10">
        <v>43223000</v>
      </c>
      <c r="B114" s="10" t="s">
        <v>90</v>
      </c>
      <c r="C114" s="11">
        <v>496.55999999996857</v>
      </c>
      <c r="D114" s="11">
        <v>0</v>
      </c>
      <c r="E114" s="11">
        <v>1303.585</v>
      </c>
      <c r="F114" s="13">
        <f>SUMIF('OD 01-23'!A:A,A114,'OD 01-23'!D:D)</f>
        <v>0</v>
      </c>
      <c r="G114" s="13">
        <f>SUMIF('OD 01-23'!A:A,A114,'OD 01-23'!E:E)</f>
        <v>0</v>
      </c>
      <c r="H114" s="14">
        <f t="shared" si="2"/>
        <v>-1303.585</v>
      </c>
      <c r="I114" s="14">
        <f t="shared" si="3"/>
        <v>-807.02500000003147</v>
      </c>
      <c r="J114" s="8" t="s">
        <v>81</v>
      </c>
    </row>
    <row r="115" spans="1:10" x14ac:dyDescent="0.2">
      <c r="A115" s="10">
        <v>43310000</v>
      </c>
      <c r="B115" s="10" t="s">
        <v>317</v>
      </c>
      <c r="C115" s="11">
        <v>0</v>
      </c>
      <c r="D115" s="11">
        <v>0</v>
      </c>
      <c r="E115" s="11">
        <v>0</v>
      </c>
      <c r="F115" s="13">
        <f>SUMIF('OD 01-23'!A:A,A115,'OD 01-23'!D:D)</f>
        <v>0</v>
      </c>
      <c r="G115" s="13">
        <f>SUMIF('OD 01-23'!A:A,A115,'OD 01-23'!E:E)</f>
        <v>0</v>
      </c>
      <c r="H115" s="14">
        <f t="shared" si="2"/>
        <v>0</v>
      </c>
      <c r="I115" s="14">
        <f t="shared" si="3"/>
        <v>0</v>
      </c>
      <c r="J115" s="8"/>
    </row>
    <row r="116" spans="1:10" x14ac:dyDescent="0.2">
      <c r="A116" s="10">
        <v>43400000</v>
      </c>
      <c r="B116" s="10" t="s">
        <v>91</v>
      </c>
      <c r="C116" s="11">
        <v>427842.31400000013</v>
      </c>
      <c r="D116" s="11">
        <v>0</v>
      </c>
      <c r="E116" s="11">
        <v>0</v>
      </c>
      <c r="F116" s="13">
        <f>SUMIF('OD 01-23'!A:A,A116,'OD 01-23'!D:D)</f>
        <v>0</v>
      </c>
      <c r="G116" s="13">
        <f>SUMIF('OD 01-23'!A:A,A116,'OD 01-23'!E:E)</f>
        <v>0</v>
      </c>
      <c r="H116" s="14">
        <f t="shared" si="2"/>
        <v>0</v>
      </c>
      <c r="I116" s="14">
        <f t="shared" si="3"/>
        <v>427842.31400000013</v>
      </c>
      <c r="J116" s="8" t="s">
        <v>78</v>
      </c>
    </row>
    <row r="117" spans="1:10" x14ac:dyDescent="0.2">
      <c r="A117" s="10">
        <v>43410000</v>
      </c>
      <c r="B117" s="10" t="s">
        <v>318</v>
      </c>
      <c r="C117" s="11">
        <v>416572.75599999982</v>
      </c>
      <c r="D117" s="11">
        <v>19212.116000000002</v>
      </c>
      <c r="E117" s="11">
        <v>0</v>
      </c>
      <c r="F117" s="13">
        <f>SUMIF('OD 01-23'!A:A,A117,'OD 01-23'!D:D)</f>
        <v>0</v>
      </c>
      <c r="G117" s="13">
        <f>SUMIF('OD 01-23'!A:A,A117,'OD 01-23'!E:E)</f>
        <v>0</v>
      </c>
      <c r="H117" s="14">
        <f t="shared" si="2"/>
        <v>19212.116000000002</v>
      </c>
      <c r="I117" s="14">
        <f t="shared" si="3"/>
        <v>435784.8719999998</v>
      </c>
      <c r="J117" s="8" t="s">
        <v>78</v>
      </c>
    </row>
    <row r="118" spans="1:10" x14ac:dyDescent="0.2">
      <c r="A118" s="10">
        <v>43420000</v>
      </c>
      <c r="B118" s="10" t="s">
        <v>92</v>
      </c>
      <c r="C118" s="11">
        <v>0</v>
      </c>
      <c r="D118" s="11">
        <v>0</v>
      </c>
      <c r="E118" s="11">
        <v>0</v>
      </c>
      <c r="F118" s="13">
        <f>SUMIF('OD 01-23'!A:A,A118,'OD 01-23'!D:D)</f>
        <v>0</v>
      </c>
      <c r="G118" s="13">
        <f>SUMIF('OD 01-23'!A:A,A118,'OD 01-23'!E:E)</f>
        <v>0</v>
      </c>
      <c r="H118" s="14">
        <f t="shared" si="2"/>
        <v>0</v>
      </c>
      <c r="I118" s="14">
        <f t="shared" si="3"/>
        <v>0</v>
      </c>
      <c r="J118" s="8"/>
    </row>
    <row r="119" spans="1:10" x14ac:dyDescent="0.2">
      <c r="A119" s="10">
        <v>43430000</v>
      </c>
      <c r="B119" s="10" t="s">
        <v>319</v>
      </c>
      <c r="C119" s="11">
        <v>0</v>
      </c>
      <c r="D119" s="11">
        <v>0</v>
      </c>
      <c r="E119" s="11">
        <v>0</v>
      </c>
      <c r="F119" s="13">
        <f>SUMIF('OD 01-23'!A:A,A119,'OD 01-23'!D:D)</f>
        <v>0</v>
      </c>
      <c r="G119" s="13">
        <f>SUMIF('OD 01-23'!A:A,A119,'OD 01-23'!E:E)</f>
        <v>0</v>
      </c>
      <c r="H119" s="14">
        <f t="shared" si="2"/>
        <v>0</v>
      </c>
      <c r="I119" s="14">
        <f t="shared" si="3"/>
        <v>0</v>
      </c>
      <c r="J119" s="8" t="s">
        <v>78</v>
      </c>
    </row>
    <row r="120" spans="1:10" x14ac:dyDescent="0.2">
      <c r="A120" s="10">
        <v>43440000</v>
      </c>
      <c r="B120" s="10" t="s">
        <v>320</v>
      </c>
      <c r="C120" s="11">
        <v>0</v>
      </c>
      <c r="D120" s="11">
        <v>0</v>
      </c>
      <c r="E120" s="11">
        <v>0</v>
      </c>
      <c r="F120" s="13">
        <f>SUMIF('OD 01-23'!A:A,A120,'OD 01-23'!D:D)</f>
        <v>0</v>
      </c>
      <c r="G120" s="13">
        <f>SUMIF('OD 01-23'!A:A,A120,'OD 01-23'!E:E)</f>
        <v>0</v>
      </c>
      <c r="H120" s="14">
        <f t="shared" si="2"/>
        <v>0</v>
      </c>
      <c r="I120" s="14">
        <f t="shared" si="3"/>
        <v>0</v>
      </c>
      <c r="J120" s="8" t="s">
        <v>78</v>
      </c>
    </row>
    <row r="121" spans="1:10" x14ac:dyDescent="0.2">
      <c r="A121" s="10">
        <v>43500000</v>
      </c>
      <c r="B121" s="10" t="s">
        <v>321</v>
      </c>
      <c r="C121" s="11">
        <v>0</v>
      </c>
      <c r="D121" s="11">
        <v>0</v>
      </c>
      <c r="E121" s="11">
        <v>0</v>
      </c>
      <c r="F121" s="13">
        <f>SUMIF('OD 01-23'!A:A,A121,'OD 01-23'!D:D)</f>
        <v>0</v>
      </c>
      <c r="G121" s="13">
        <f>SUMIF('OD 01-23'!A:A,A121,'OD 01-23'!E:E)</f>
        <v>0</v>
      </c>
      <c r="H121" s="14">
        <f t="shared" si="2"/>
        <v>0</v>
      </c>
      <c r="I121" s="14">
        <f t="shared" si="3"/>
        <v>0</v>
      </c>
      <c r="J121" s="8"/>
    </row>
    <row r="122" spans="1:10" x14ac:dyDescent="0.2">
      <c r="A122" s="10">
        <v>43600000</v>
      </c>
      <c r="B122" s="10" t="s">
        <v>93</v>
      </c>
      <c r="C122" s="11">
        <v>324233.75899998844</v>
      </c>
      <c r="D122" s="11">
        <v>0</v>
      </c>
      <c r="E122" s="11">
        <v>0</v>
      </c>
      <c r="F122" s="13">
        <f>SUMIF('OD 01-23'!A:A,A122,'OD 01-23'!D:D)</f>
        <v>0</v>
      </c>
      <c r="G122" s="13">
        <f>SUMIF('OD 01-23'!A:A,A122,'OD 01-23'!E:E)</f>
        <v>0</v>
      </c>
      <c r="H122" s="14">
        <f t="shared" si="2"/>
        <v>0</v>
      </c>
      <c r="I122" s="14">
        <f t="shared" si="3"/>
        <v>324233.75899998844</v>
      </c>
      <c r="J122" s="8" t="s">
        <v>78</v>
      </c>
    </row>
    <row r="123" spans="1:10" x14ac:dyDescent="0.2">
      <c r="A123" s="10">
        <v>43625000</v>
      </c>
      <c r="B123" s="10" t="s">
        <v>94</v>
      </c>
      <c r="C123" s="11">
        <v>1.999999862164259E-3</v>
      </c>
      <c r="D123" s="11">
        <v>490.99099999999999</v>
      </c>
      <c r="E123" s="11">
        <v>18685.366000000002</v>
      </c>
      <c r="F123" s="13">
        <f>SUMIF('OD 01-23'!A:A,A123,'OD 01-23'!D:D)</f>
        <v>0</v>
      </c>
      <c r="G123" s="13">
        <f>SUMIF('OD 01-23'!A:A,A123,'OD 01-23'!E:E)</f>
        <v>0</v>
      </c>
      <c r="H123" s="14">
        <f t="shared" si="2"/>
        <v>-18194.375</v>
      </c>
      <c r="I123" s="14">
        <f t="shared" si="3"/>
        <v>-18194.373000000138</v>
      </c>
      <c r="J123" s="8" t="s">
        <v>81</v>
      </c>
    </row>
    <row r="124" spans="1:10" x14ac:dyDescent="0.2">
      <c r="A124" s="10">
        <v>43627000</v>
      </c>
      <c r="B124" s="10" t="s">
        <v>95</v>
      </c>
      <c r="C124" s="11">
        <v>0</v>
      </c>
      <c r="D124" s="11">
        <v>3436.9349999999999</v>
      </c>
      <c r="E124" s="11">
        <v>130797.56000000001</v>
      </c>
      <c r="F124" s="13">
        <f>SUMIF('OD 01-23'!A:A,A124,'OD 01-23'!D:D)</f>
        <v>0</v>
      </c>
      <c r="G124" s="13">
        <f>SUMIF('OD 01-23'!A:A,A124,'OD 01-23'!E:E)</f>
        <v>0</v>
      </c>
      <c r="H124" s="14">
        <f t="shared" si="2"/>
        <v>-127360.62500000001</v>
      </c>
      <c r="I124" s="14">
        <f t="shared" si="3"/>
        <v>-127360.62500000001</v>
      </c>
      <c r="J124" s="8" t="s">
        <v>81</v>
      </c>
    </row>
    <row r="125" spans="1:10" x14ac:dyDescent="0.2">
      <c r="A125" s="10">
        <v>43630600</v>
      </c>
      <c r="B125" s="10" t="s">
        <v>322</v>
      </c>
      <c r="C125" s="11">
        <v>0</v>
      </c>
      <c r="D125" s="11">
        <v>0</v>
      </c>
      <c r="E125" s="11">
        <v>0</v>
      </c>
      <c r="F125" s="13">
        <f>SUMIF('OD 01-23'!A:A,A125,'OD 01-23'!D:D)</f>
        <v>0</v>
      </c>
      <c r="G125" s="13">
        <f>SUMIF('OD 01-23'!A:A,A125,'OD 01-23'!E:E)</f>
        <v>0</v>
      </c>
      <c r="H125" s="14">
        <f t="shared" si="2"/>
        <v>0</v>
      </c>
      <c r="I125" s="14">
        <f t="shared" si="3"/>
        <v>0</v>
      </c>
      <c r="J125" s="8"/>
    </row>
    <row r="126" spans="1:10" x14ac:dyDescent="0.2">
      <c r="A126" s="10">
        <v>43630700</v>
      </c>
      <c r="B126" s="10" t="s">
        <v>96</v>
      </c>
      <c r="C126" s="11">
        <v>0</v>
      </c>
      <c r="D126" s="11">
        <v>227.81700000000001</v>
      </c>
      <c r="E126" s="11">
        <v>0</v>
      </c>
      <c r="F126" s="13">
        <f>SUMIF('OD 01-23'!A:A,A126,'OD 01-23'!D:D)</f>
        <v>0</v>
      </c>
      <c r="G126" s="13">
        <f>SUMIF('OD 01-23'!A:A,A126,'OD 01-23'!E:E)</f>
        <v>0</v>
      </c>
      <c r="H126" s="14">
        <f t="shared" si="2"/>
        <v>227.81700000000001</v>
      </c>
      <c r="I126" s="14">
        <f t="shared" si="3"/>
        <v>227.81700000000001</v>
      </c>
      <c r="J126" s="8" t="s">
        <v>78</v>
      </c>
    </row>
    <row r="127" spans="1:10" x14ac:dyDescent="0.2">
      <c r="A127" s="10">
        <v>43631000</v>
      </c>
      <c r="B127" s="10" t="s">
        <v>323</v>
      </c>
      <c r="C127" s="11">
        <v>0</v>
      </c>
      <c r="D127" s="11">
        <v>0</v>
      </c>
      <c r="E127" s="11">
        <v>0</v>
      </c>
      <c r="F127" s="13">
        <f>SUMIF('OD 01-23'!A:A,A127,'OD 01-23'!D:D)</f>
        <v>0</v>
      </c>
      <c r="G127" s="13">
        <f>SUMIF('OD 01-23'!A:A,A127,'OD 01-23'!E:E)</f>
        <v>0</v>
      </c>
      <c r="H127" s="14">
        <f t="shared" si="2"/>
        <v>0</v>
      </c>
      <c r="I127" s="14">
        <f t="shared" si="3"/>
        <v>0</v>
      </c>
      <c r="J127" s="8"/>
    </row>
    <row r="128" spans="1:10" x14ac:dyDescent="0.2">
      <c r="A128" s="10">
        <v>43631300</v>
      </c>
      <c r="B128" s="10" t="s">
        <v>324</v>
      </c>
      <c r="C128" s="11">
        <v>0</v>
      </c>
      <c r="D128" s="11">
        <v>129.994</v>
      </c>
      <c r="E128" s="11">
        <v>0</v>
      </c>
      <c r="F128" s="13">
        <f>SUMIF('OD 01-23'!A:A,A128,'OD 01-23'!D:D)</f>
        <v>0</v>
      </c>
      <c r="G128" s="13">
        <f>SUMIF('OD 01-23'!A:A,A128,'OD 01-23'!E:E)</f>
        <v>0</v>
      </c>
      <c r="H128" s="14">
        <f t="shared" si="2"/>
        <v>129.994</v>
      </c>
      <c r="I128" s="14">
        <f t="shared" si="3"/>
        <v>129.994</v>
      </c>
      <c r="J128" s="8" t="s">
        <v>78</v>
      </c>
    </row>
    <row r="129" spans="1:10" x14ac:dyDescent="0.2">
      <c r="A129" s="10">
        <v>43631800</v>
      </c>
      <c r="B129" s="10" t="s">
        <v>325</v>
      </c>
      <c r="C129" s="11">
        <v>0</v>
      </c>
      <c r="D129" s="11">
        <v>0</v>
      </c>
      <c r="E129" s="11">
        <v>0</v>
      </c>
      <c r="F129" s="13">
        <f>SUMIF('OD 01-23'!A:A,A129,'OD 01-23'!D:D)</f>
        <v>0</v>
      </c>
      <c r="G129" s="13">
        <f>SUMIF('OD 01-23'!A:A,A129,'OD 01-23'!E:E)</f>
        <v>0</v>
      </c>
      <c r="H129" s="14">
        <f t="shared" si="2"/>
        <v>0</v>
      </c>
      <c r="I129" s="14">
        <f t="shared" si="3"/>
        <v>0</v>
      </c>
      <c r="J129" s="8"/>
    </row>
    <row r="130" spans="1:10" x14ac:dyDescent="0.2">
      <c r="A130" s="10">
        <v>43631900</v>
      </c>
      <c r="B130" s="10" t="s">
        <v>97</v>
      </c>
      <c r="C130" s="11">
        <v>0</v>
      </c>
      <c r="D130" s="11">
        <f>4918.723+538370.84</f>
        <v>543289.56299999997</v>
      </c>
      <c r="E130" s="11">
        <f>2330.275+34874.695</f>
        <v>37204.97</v>
      </c>
      <c r="F130" s="13">
        <f>SUMIF('OD 01-23'!A:A,A130,'OD 01-23'!D:D)</f>
        <v>0</v>
      </c>
      <c r="G130" s="13">
        <f>SUMIF('OD 01-23'!A:A,A130,'OD 01-23'!E:E)</f>
        <v>0</v>
      </c>
      <c r="H130" s="14">
        <f t="shared" ref="H130:H193" si="4">+D130+F130-E130-G130</f>
        <v>506084.59299999999</v>
      </c>
      <c r="I130" s="14">
        <f t="shared" ref="I130:I193" si="5">+H130+C130</f>
        <v>506084.59299999999</v>
      </c>
      <c r="J130" s="8" t="s">
        <v>78</v>
      </c>
    </row>
    <row r="131" spans="1:10" x14ac:dyDescent="0.2">
      <c r="A131" s="10">
        <v>43661800</v>
      </c>
      <c r="B131" s="10" t="s">
        <v>326</v>
      </c>
      <c r="C131" s="11">
        <v>0</v>
      </c>
      <c r="D131" s="11">
        <v>0</v>
      </c>
      <c r="E131" s="11">
        <v>0</v>
      </c>
      <c r="F131" s="13">
        <f>SUMIF('OD 01-23'!A:A,A131,'OD 01-23'!D:D)</f>
        <v>0</v>
      </c>
      <c r="G131" s="13">
        <f>SUMIF('OD 01-23'!A:A,A131,'OD 01-23'!E:E)</f>
        <v>0</v>
      </c>
      <c r="H131" s="14">
        <f t="shared" si="4"/>
        <v>0</v>
      </c>
      <c r="I131" s="14">
        <f t="shared" si="5"/>
        <v>0</v>
      </c>
      <c r="J131" s="8"/>
    </row>
    <row r="132" spans="1:10" x14ac:dyDescent="0.2">
      <c r="A132" s="10">
        <v>43671000</v>
      </c>
      <c r="B132" s="10" t="s">
        <v>98</v>
      </c>
      <c r="C132" s="11">
        <v>458.43999999761581</v>
      </c>
      <c r="D132" s="11">
        <v>10075.128000000001</v>
      </c>
      <c r="E132" s="11">
        <v>383836.01100000006</v>
      </c>
      <c r="F132" s="13">
        <f>SUMIF('OD 01-23'!A:A,A132,'OD 01-23'!D:D)</f>
        <v>0</v>
      </c>
      <c r="G132" s="13">
        <f>SUMIF('OD 01-23'!A:A,A132,'OD 01-23'!E:E)</f>
        <v>0</v>
      </c>
      <c r="H132" s="14">
        <f t="shared" si="4"/>
        <v>-373760.88300000003</v>
      </c>
      <c r="I132" s="14">
        <f t="shared" si="5"/>
        <v>-373302.44300000241</v>
      </c>
      <c r="J132" s="8" t="s">
        <v>81</v>
      </c>
    </row>
    <row r="133" spans="1:10" x14ac:dyDescent="0.2">
      <c r="A133" s="10">
        <v>43700000</v>
      </c>
      <c r="B133" s="10" t="s">
        <v>99</v>
      </c>
      <c r="C133" s="11">
        <v>0</v>
      </c>
      <c r="D133" s="11">
        <v>0</v>
      </c>
      <c r="E133" s="11">
        <v>3</v>
      </c>
      <c r="F133" s="13">
        <f>SUMIF('OD 01-23'!A:A,A133,'OD 01-23'!D:D)</f>
        <v>0</v>
      </c>
      <c r="G133" s="13">
        <f>SUMIF('OD 01-23'!A:A,A133,'OD 01-23'!E:E)</f>
        <v>0</v>
      </c>
      <c r="H133" s="14">
        <f t="shared" si="4"/>
        <v>-3</v>
      </c>
      <c r="I133" s="14">
        <f t="shared" si="5"/>
        <v>-3</v>
      </c>
      <c r="J133" s="8" t="s">
        <v>81</v>
      </c>
    </row>
    <row r="134" spans="1:10" x14ac:dyDescent="0.2">
      <c r="A134" s="10">
        <v>43720000</v>
      </c>
      <c r="B134" s="10" t="s">
        <v>327</v>
      </c>
      <c r="C134" s="11">
        <v>0</v>
      </c>
      <c r="D134" s="11">
        <v>0</v>
      </c>
      <c r="E134" s="11">
        <v>0</v>
      </c>
      <c r="F134" s="13">
        <f>SUMIF('OD 01-23'!A:A,A134,'OD 01-23'!D:D)</f>
        <v>0</v>
      </c>
      <c r="G134" s="13">
        <f>SUMIF('OD 01-23'!A:A,A134,'OD 01-23'!E:E)</f>
        <v>0</v>
      </c>
      <c r="H134" s="14">
        <f t="shared" si="4"/>
        <v>0</v>
      </c>
      <c r="I134" s="14">
        <f t="shared" si="5"/>
        <v>0</v>
      </c>
      <c r="J134" s="8"/>
    </row>
    <row r="135" spans="1:10" x14ac:dyDescent="0.2">
      <c r="A135" s="10">
        <v>43756000</v>
      </c>
      <c r="B135" s="10" t="s">
        <v>328</v>
      </c>
      <c r="C135" s="11">
        <v>0</v>
      </c>
      <c r="D135" s="11">
        <v>0</v>
      </c>
      <c r="E135" s="11">
        <v>0</v>
      </c>
      <c r="F135" s="13">
        <f>SUMIF('OD 01-23'!A:A,A135,'OD 01-23'!D:D)</f>
        <v>0</v>
      </c>
      <c r="G135" s="13">
        <f>SUMIF('OD 01-23'!A:A,A135,'OD 01-23'!E:E)</f>
        <v>0</v>
      </c>
      <c r="H135" s="14">
        <f t="shared" si="4"/>
        <v>0</v>
      </c>
      <c r="I135" s="14">
        <f t="shared" si="5"/>
        <v>0</v>
      </c>
      <c r="J135" s="8"/>
    </row>
    <row r="136" spans="1:10" x14ac:dyDescent="0.2">
      <c r="A136" s="10">
        <v>44100000</v>
      </c>
      <c r="B136" s="10" t="s">
        <v>329</v>
      </c>
      <c r="C136" s="11">
        <v>0</v>
      </c>
      <c r="D136" s="11">
        <v>0</v>
      </c>
      <c r="E136" s="11">
        <v>0</v>
      </c>
      <c r="F136" s="13">
        <f>SUMIF('OD 01-23'!A:A,A136,'OD 01-23'!D:D)</f>
        <v>0</v>
      </c>
      <c r="G136" s="13">
        <f>SUMIF('OD 01-23'!A:A,A136,'OD 01-23'!E:E)</f>
        <v>0</v>
      </c>
      <c r="H136" s="14">
        <f t="shared" si="4"/>
        <v>0</v>
      </c>
      <c r="I136" s="14">
        <f t="shared" si="5"/>
        <v>0</v>
      </c>
      <c r="J136" s="8"/>
    </row>
    <row r="137" spans="1:10" x14ac:dyDescent="0.2">
      <c r="A137" s="10">
        <v>44200000</v>
      </c>
      <c r="B137" s="10" t="s">
        <v>330</v>
      </c>
      <c r="C137" s="11">
        <v>0</v>
      </c>
      <c r="D137" s="11">
        <v>0</v>
      </c>
      <c r="E137" s="11">
        <v>0</v>
      </c>
      <c r="F137" s="13">
        <f>SUMIF('OD 01-23'!A:A,A137,'OD 01-23'!D:D)</f>
        <v>0</v>
      </c>
      <c r="G137" s="13">
        <f>SUMIF('OD 01-23'!A:A,A137,'OD 01-23'!E:E)</f>
        <v>0</v>
      </c>
      <c r="H137" s="14">
        <f t="shared" si="4"/>
        <v>0</v>
      </c>
      <c r="I137" s="14">
        <f t="shared" si="5"/>
        <v>0</v>
      </c>
      <c r="J137" s="8"/>
    </row>
    <row r="138" spans="1:10" x14ac:dyDescent="0.2">
      <c r="A138" s="10">
        <v>44201000</v>
      </c>
      <c r="B138" s="10" t="s">
        <v>331</v>
      </c>
      <c r="C138" s="11">
        <v>0</v>
      </c>
      <c r="D138" s="11">
        <v>0</v>
      </c>
      <c r="E138" s="11">
        <v>0</v>
      </c>
      <c r="F138" s="13">
        <f>SUMIF('OD 01-23'!A:A,A138,'OD 01-23'!D:D)</f>
        <v>0</v>
      </c>
      <c r="G138" s="13">
        <f>SUMIF('OD 01-23'!A:A,A138,'OD 01-23'!E:E)</f>
        <v>0</v>
      </c>
      <c r="H138" s="14">
        <f t="shared" si="4"/>
        <v>0</v>
      </c>
      <c r="I138" s="14">
        <f t="shared" si="5"/>
        <v>0</v>
      </c>
      <c r="J138" s="8"/>
    </row>
    <row r="139" spans="1:10" x14ac:dyDescent="0.2">
      <c r="A139" s="10">
        <v>44202000</v>
      </c>
      <c r="B139" s="10" t="s">
        <v>332</v>
      </c>
      <c r="C139" s="11">
        <v>0</v>
      </c>
      <c r="D139" s="11">
        <v>0</v>
      </c>
      <c r="E139" s="11">
        <v>0</v>
      </c>
      <c r="F139" s="13">
        <f>SUMIF('OD 01-23'!A:A,A139,'OD 01-23'!D:D)</f>
        <v>0</v>
      </c>
      <c r="G139" s="13">
        <f>SUMIF('OD 01-23'!A:A,A139,'OD 01-23'!E:E)</f>
        <v>0</v>
      </c>
      <c r="H139" s="14">
        <f t="shared" si="4"/>
        <v>0</v>
      </c>
      <c r="I139" s="14">
        <f t="shared" si="5"/>
        <v>0</v>
      </c>
      <c r="J139" s="8"/>
    </row>
    <row r="140" spans="1:10" x14ac:dyDescent="0.2">
      <c r="A140" s="10">
        <v>44203000</v>
      </c>
      <c r="B140" s="10" t="s">
        <v>333</v>
      </c>
      <c r="C140" s="11">
        <v>0</v>
      </c>
      <c r="D140" s="11">
        <v>0</v>
      </c>
      <c r="E140" s="11">
        <v>0</v>
      </c>
      <c r="F140" s="13">
        <f>SUMIF('OD 01-23'!A:A,A140,'OD 01-23'!D:D)</f>
        <v>0</v>
      </c>
      <c r="G140" s="13">
        <f>SUMIF('OD 01-23'!A:A,A140,'OD 01-23'!E:E)</f>
        <v>0</v>
      </c>
      <c r="H140" s="14">
        <f t="shared" si="4"/>
        <v>0</v>
      </c>
      <c r="I140" s="14">
        <f t="shared" si="5"/>
        <v>0</v>
      </c>
      <c r="J140" s="8"/>
    </row>
    <row r="141" spans="1:10" x14ac:dyDescent="0.2">
      <c r="A141" s="10">
        <v>44204000</v>
      </c>
      <c r="B141" s="10" t="s">
        <v>334</v>
      </c>
      <c r="C141" s="11">
        <v>0</v>
      </c>
      <c r="D141" s="11">
        <v>0</v>
      </c>
      <c r="E141" s="11">
        <v>0</v>
      </c>
      <c r="F141" s="13">
        <f>SUMIF('OD 01-23'!A:A,A141,'OD 01-23'!D:D)</f>
        <v>0</v>
      </c>
      <c r="G141" s="13">
        <f>SUMIF('OD 01-23'!A:A,A141,'OD 01-23'!E:E)</f>
        <v>0</v>
      </c>
      <c r="H141" s="14">
        <f t="shared" si="4"/>
        <v>0</v>
      </c>
      <c r="I141" s="14">
        <f t="shared" si="5"/>
        <v>0</v>
      </c>
      <c r="J141" s="8"/>
    </row>
    <row r="142" spans="1:10" x14ac:dyDescent="0.2">
      <c r="A142" s="10">
        <v>44205000</v>
      </c>
      <c r="B142" s="10" t="s">
        <v>335</v>
      </c>
      <c r="C142" s="11">
        <v>0</v>
      </c>
      <c r="D142" s="11">
        <v>0</v>
      </c>
      <c r="E142" s="11">
        <v>0</v>
      </c>
      <c r="F142" s="13">
        <f>SUMIF('OD 01-23'!A:A,A142,'OD 01-23'!D:D)</f>
        <v>0</v>
      </c>
      <c r="G142" s="13">
        <f>SUMIF('OD 01-23'!A:A,A142,'OD 01-23'!E:E)</f>
        <v>0</v>
      </c>
      <c r="H142" s="14">
        <f t="shared" si="4"/>
        <v>0</v>
      </c>
      <c r="I142" s="14">
        <f t="shared" si="5"/>
        <v>0</v>
      </c>
      <c r="J142" s="8"/>
    </row>
    <row r="143" spans="1:10" x14ac:dyDescent="0.2">
      <c r="A143" s="10">
        <v>44206000</v>
      </c>
      <c r="B143" s="10" t="s">
        <v>100</v>
      </c>
      <c r="C143" s="11">
        <v>-764999.99999999988</v>
      </c>
      <c r="D143" s="11">
        <v>0</v>
      </c>
      <c r="E143" s="11">
        <v>0</v>
      </c>
      <c r="F143" s="13">
        <f>SUMIF('OD 01-23'!A:A,A143,'OD 01-23'!D:D)</f>
        <v>0</v>
      </c>
      <c r="G143" s="13">
        <f>SUMIF('OD 01-23'!A:A,A143,'OD 01-23'!E:E)</f>
        <v>0</v>
      </c>
      <c r="H143" s="14">
        <f t="shared" si="4"/>
        <v>0</v>
      </c>
      <c r="I143" s="14">
        <f t="shared" si="5"/>
        <v>-764999.99999999988</v>
      </c>
      <c r="J143" s="8" t="s">
        <v>81</v>
      </c>
    </row>
    <row r="144" spans="1:10" x14ac:dyDescent="0.2">
      <c r="A144" s="10">
        <v>44207000</v>
      </c>
      <c r="B144" s="10" t="s">
        <v>336</v>
      </c>
      <c r="C144" s="11">
        <v>50000</v>
      </c>
      <c r="D144" s="11">
        <v>0</v>
      </c>
      <c r="E144" s="11">
        <v>0</v>
      </c>
      <c r="F144" s="13">
        <f>SUMIF('OD 01-23'!A:A,A144,'OD 01-23'!D:D)</f>
        <v>0</v>
      </c>
      <c r="G144" s="13">
        <f>SUMIF('OD 01-23'!A:A,A144,'OD 01-23'!E:E)</f>
        <v>0</v>
      </c>
      <c r="H144" s="14">
        <f t="shared" si="4"/>
        <v>0</v>
      </c>
      <c r="I144" s="14">
        <f t="shared" si="5"/>
        <v>50000</v>
      </c>
      <c r="J144" s="8" t="s">
        <v>78</v>
      </c>
    </row>
    <row r="145" spans="1:10" x14ac:dyDescent="0.2">
      <c r="A145" s="10">
        <v>44208000</v>
      </c>
      <c r="B145" s="10" t="s">
        <v>337</v>
      </c>
      <c r="C145" s="11">
        <v>2270.971</v>
      </c>
      <c r="D145" s="11">
        <v>0</v>
      </c>
      <c r="E145" s="11">
        <v>0</v>
      </c>
      <c r="F145" s="13">
        <f>SUMIF('OD 01-23'!A:A,A145,'OD 01-23'!D:D)</f>
        <v>0</v>
      </c>
      <c r="G145" s="13">
        <f>SUMIF('OD 01-23'!A:A,A145,'OD 01-23'!E:E)</f>
        <v>0</v>
      </c>
      <c r="H145" s="14">
        <f t="shared" si="4"/>
        <v>0</v>
      </c>
      <c r="I145" s="14">
        <f t="shared" si="5"/>
        <v>2270.971</v>
      </c>
      <c r="J145" s="8" t="s">
        <v>78</v>
      </c>
    </row>
    <row r="146" spans="1:10" x14ac:dyDescent="0.2">
      <c r="A146" s="10">
        <v>44210000</v>
      </c>
      <c r="B146" s="10" t="s">
        <v>338</v>
      </c>
      <c r="C146" s="11">
        <v>0</v>
      </c>
      <c r="D146" s="11">
        <v>0</v>
      </c>
      <c r="E146" s="11">
        <v>0</v>
      </c>
      <c r="F146" s="13">
        <f>SUMIF('OD 01-23'!A:A,A146,'OD 01-23'!D:D)</f>
        <v>0</v>
      </c>
      <c r="G146" s="13">
        <f>SUMIF('OD 01-23'!A:A,A146,'OD 01-23'!E:E)</f>
        <v>0</v>
      </c>
      <c r="H146" s="14">
        <f t="shared" si="4"/>
        <v>0</v>
      </c>
      <c r="I146" s="14">
        <f t="shared" si="5"/>
        <v>0</v>
      </c>
      <c r="J146" s="8"/>
    </row>
    <row r="147" spans="1:10" x14ac:dyDescent="0.2">
      <c r="A147" s="10">
        <v>44600000</v>
      </c>
      <c r="B147" s="10" t="s">
        <v>339</v>
      </c>
      <c r="C147" s="11">
        <v>0</v>
      </c>
      <c r="D147" s="11">
        <v>0</v>
      </c>
      <c r="E147" s="11">
        <v>0</v>
      </c>
      <c r="F147" s="13">
        <f>SUMIF('OD 01-23'!A:A,A147,'OD 01-23'!D:D)</f>
        <v>0</v>
      </c>
      <c r="G147" s="13">
        <f>SUMIF('OD 01-23'!A:A,A147,'OD 01-23'!E:E)</f>
        <v>0</v>
      </c>
      <c r="H147" s="14">
        <f t="shared" si="4"/>
        <v>0</v>
      </c>
      <c r="I147" s="14">
        <f t="shared" si="5"/>
        <v>0</v>
      </c>
      <c r="J147" s="8"/>
    </row>
    <row r="148" spans="1:10" x14ac:dyDescent="0.2">
      <c r="A148" s="10">
        <v>44700000</v>
      </c>
      <c r="B148" s="10" t="s">
        <v>101</v>
      </c>
      <c r="C148" s="11">
        <v>0</v>
      </c>
      <c r="D148" s="11">
        <v>0</v>
      </c>
      <c r="E148" s="11">
        <v>0</v>
      </c>
      <c r="F148" s="13">
        <f>SUMIF('OD 01-23'!A:A,A148,'OD 01-23'!D:D)</f>
        <v>0</v>
      </c>
      <c r="G148" s="13">
        <f>SUMIF('OD 01-23'!A:A,A148,'OD 01-23'!E:E)</f>
        <v>0</v>
      </c>
      <c r="H148" s="14">
        <f t="shared" si="4"/>
        <v>0</v>
      </c>
      <c r="I148" s="14">
        <f t="shared" si="5"/>
        <v>0</v>
      </c>
      <c r="J148" s="8"/>
    </row>
    <row r="149" spans="1:10" x14ac:dyDescent="0.2">
      <c r="A149" s="10">
        <v>45000000</v>
      </c>
      <c r="B149" s="10" t="s">
        <v>102</v>
      </c>
      <c r="C149" s="11">
        <v>-1587699.9999999995</v>
      </c>
      <c r="D149" s="11">
        <v>1575000</v>
      </c>
      <c r="E149" s="11">
        <v>0</v>
      </c>
      <c r="F149" s="13">
        <f>SUMIF('OD 01-23'!A:A,A149,'OD 01-23'!D:D)</f>
        <v>0</v>
      </c>
      <c r="G149" s="13">
        <f>SUMIF('OD 01-23'!A:A,A149,'OD 01-23'!E:E)</f>
        <v>0</v>
      </c>
      <c r="H149" s="14">
        <f t="shared" si="4"/>
        <v>1575000</v>
      </c>
      <c r="I149" s="14">
        <f t="shared" si="5"/>
        <v>-12699.999999999534</v>
      </c>
      <c r="J149" s="8" t="s">
        <v>81</v>
      </c>
    </row>
    <row r="150" spans="1:10" x14ac:dyDescent="0.2">
      <c r="A150" s="10">
        <v>45200000</v>
      </c>
      <c r="B150" s="10" t="s">
        <v>103</v>
      </c>
      <c r="C150" s="11">
        <v>0</v>
      </c>
      <c r="D150" s="11">
        <v>30000</v>
      </c>
      <c r="E150" s="11">
        <v>30000</v>
      </c>
      <c r="F150" s="13">
        <f>SUMIF('OD 01-23'!A:A,A150,'OD 01-23'!D:D)</f>
        <v>0</v>
      </c>
      <c r="G150" s="13">
        <f>SUMIF('OD 01-23'!A:A,A150,'OD 01-23'!E:E)</f>
        <v>0</v>
      </c>
      <c r="H150" s="14">
        <f t="shared" si="4"/>
        <v>0</v>
      </c>
      <c r="I150" s="14">
        <f t="shared" si="5"/>
        <v>0</v>
      </c>
      <c r="J150" s="8" t="s">
        <v>81</v>
      </c>
    </row>
    <row r="151" spans="1:10" x14ac:dyDescent="0.2">
      <c r="A151" s="10">
        <v>45310000</v>
      </c>
      <c r="B151" s="10" t="s">
        <v>104</v>
      </c>
      <c r="C151" s="11">
        <v>-216427.84700000007</v>
      </c>
      <c r="D151" s="11">
        <v>214892.34399999998</v>
      </c>
      <c r="E151" s="11">
        <v>28077.364000000001</v>
      </c>
      <c r="F151" s="13">
        <f>SUMIF('OD 01-23'!A:A,A151,'OD 01-23'!D:D)</f>
        <v>0</v>
      </c>
      <c r="G151" s="13">
        <f>SUMIF('OD 01-23'!A:A,A151,'OD 01-23'!E:E)</f>
        <v>32544.788</v>
      </c>
      <c r="H151" s="14">
        <f t="shared" si="4"/>
        <v>154270.19199999998</v>
      </c>
      <c r="I151" s="14">
        <f t="shared" si="5"/>
        <v>-62157.655000000086</v>
      </c>
      <c r="J151" s="8" t="s">
        <v>81</v>
      </c>
    </row>
    <row r="152" spans="1:10" x14ac:dyDescent="0.2">
      <c r="A152" s="10">
        <v>45700000</v>
      </c>
      <c r="B152" s="10" t="s">
        <v>105</v>
      </c>
      <c r="C152" s="11">
        <v>5876</v>
      </c>
      <c r="D152" s="11">
        <v>0</v>
      </c>
      <c r="E152" s="11">
        <v>0</v>
      </c>
      <c r="F152" s="13">
        <f>SUMIF('OD 01-23'!A:A,A152,'OD 01-23'!D:D)</f>
        <v>0</v>
      </c>
      <c r="G152" s="13">
        <f>SUMIF('OD 01-23'!A:A,A152,'OD 01-23'!E:E)</f>
        <v>0</v>
      </c>
      <c r="H152" s="14">
        <f t="shared" si="4"/>
        <v>0</v>
      </c>
      <c r="I152" s="14">
        <f t="shared" si="5"/>
        <v>5876</v>
      </c>
      <c r="J152" s="8" t="s">
        <v>78</v>
      </c>
    </row>
    <row r="153" spans="1:10" x14ac:dyDescent="0.2">
      <c r="A153" s="10">
        <v>45860000</v>
      </c>
      <c r="B153" s="10" t="s">
        <v>106</v>
      </c>
      <c r="C153" s="11">
        <v>-627146.20799999963</v>
      </c>
      <c r="D153" s="11">
        <v>35597.824000000001</v>
      </c>
      <c r="E153" s="11">
        <v>0</v>
      </c>
      <c r="F153" s="13">
        <f>SUMIF('OD 01-23'!A:A,A153,'OD 01-23'!D:D)</f>
        <v>0</v>
      </c>
      <c r="G153" s="13">
        <f>SUMIF('OD 01-23'!A:A,A153,'OD 01-23'!E:E)</f>
        <v>377563.946</v>
      </c>
      <c r="H153" s="14">
        <f t="shared" si="4"/>
        <v>-341966.12199999997</v>
      </c>
      <c r="I153" s="14">
        <f t="shared" si="5"/>
        <v>-969112.32999999961</v>
      </c>
      <c r="J153" s="8" t="s">
        <v>81</v>
      </c>
    </row>
    <row r="154" spans="1:10" x14ac:dyDescent="0.2">
      <c r="A154" s="10">
        <v>45870000</v>
      </c>
      <c r="B154" s="10" t="s">
        <v>107</v>
      </c>
      <c r="C154" s="11">
        <v>0</v>
      </c>
      <c r="D154" s="11">
        <v>0</v>
      </c>
      <c r="E154" s="11">
        <v>0</v>
      </c>
      <c r="F154" s="13">
        <f>SUMIF('OD 01-23'!A:A,A154,'OD 01-23'!D:D)</f>
        <v>20628.099999999999</v>
      </c>
      <c r="G154" s="13">
        <f>SUMIF('OD 01-23'!A:A,A154,'OD 01-23'!E:E)</f>
        <v>0</v>
      </c>
      <c r="H154" s="14">
        <f t="shared" si="4"/>
        <v>20628.099999999999</v>
      </c>
      <c r="I154" s="14">
        <f t="shared" si="5"/>
        <v>20628.099999999999</v>
      </c>
      <c r="J154" s="8" t="s">
        <v>78</v>
      </c>
    </row>
    <row r="155" spans="1:10" x14ac:dyDescent="0.2">
      <c r="A155" s="10">
        <v>46100000</v>
      </c>
      <c r="B155" s="10" t="s">
        <v>340</v>
      </c>
      <c r="C155" s="11">
        <v>0</v>
      </c>
      <c r="D155" s="11">
        <v>0</v>
      </c>
      <c r="E155" s="11">
        <v>0</v>
      </c>
      <c r="F155" s="13">
        <f>SUMIF('OD 01-23'!A:A,A155,'OD 01-23'!D:D)</f>
        <v>0</v>
      </c>
      <c r="G155" s="13">
        <f>SUMIF('OD 01-23'!A:A,A155,'OD 01-23'!E:E)</f>
        <v>0</v>
      </c>
      <c r="H155" s="14">
        <f t="shared" si="4"/>
        <v>0</v>
      </c>
      <c r="I155" s="14">
        <f t="shared" si="5"/>
        <v>0</v>
      </c>
      <c r="J155" s="8"/>
    </row>
    <row r="156" spans="1:10" x14ac:dyDescent="0.2">
      <c r="A156" s="10">
        <v>46800000</v>
      </c>
      <c r="B156" s="10" t="s">
        <v>108</v>
      </c>
      <c r="C156" s="11">
        <v>0</v>
      </c>
      <c r="D156" s="11">
        <v>0</v>
      </c>
      <c r="E156" s="11">
        <v>0</v>
      </c>
      <c r="F156" s="13">
        <f>SUMIF('OD 01-23'!A:A,A156,'OD 01-23'!D:D)</f>
        <v>0</v>
      </c>
      <c r="G156" s="13">
        <f>SUMIF('OD 01-23'!A:A,A156,'OD 01-23'!E:E)</f>
        <v>0</v>
      </c>
      <c r="H156" s="14">
        <f t="shared" si="4"/>
        <v>0</v>
      </c>
      <c r="I156" s="14">
        <f t="shared" si="5"/>
        <v>0</v>
      </c>
      <c r="J156" s="8"/>
    </row>
    <row r="157" spans="1:10" x14ac:dyDescent="0.2">
      <c r="A157" s="10">
        <v>47100000</v>
      </c>
      <c r="B157" s="10" t="s">
        <v>109</v>
      </c>
      <c r="C157" s="11">
        <v>201012.12784600013</v>
      </c>
      <c r="D157" s="11">
        <v>0</v>
      </c>
      <c r="E157" s="11">
        <v>14456.691000000001</v>
      </c>
      <c r="F157" s="13">
        <f>SUMIF('OD 01-23'!A:A,A157,'OD 01-23'!D:D)</f>
        <v>30513.599999999999</v>
      </c>
      <c r="G157" s="13">
        <f>SUMIF('OD 01-23'!A:A,A157,'OD 01-23'!E:E)</f>
        <v>40966.794000000002</v>
      </c>
      <c r="H157" s="14">
        <f t="shared" si="4"/>
        <v>-24909.885000000002</v>
      </c>
      <c r="I157" s="14">
        <f t="shared" si="5"/>
        <v>176102.24284600012</v>
      </c>
      <c r="J157" s="8" t="s">
        <v>78</v>
      </c>
    </row>
    <row r="158" spans="1:10" x14ac:dyDescent="0.2">
      <c r="A158" s="10">
        <v>47200000</v>
      </c>
      <c r="B158" s="10" t="s">
        <v>341</v>
      </c>
      <c r="C158" s="11">
        <v>0</v>
      </c>
      <c r="D158" s="11">
        <v>0</v>
      </c>
      <c r="E158" s="11">
        <v>0</v>
      </c>
      <c r="F158" s="13">
        <f>SUMIF('OD 01-23'!A:A,A158,'OD 01-23'!D:D)</f>
        <v>0</v>
      </c>
      <c r="G158" s="13">
        <f>SUMIF('OD 01-23'!A:A,A158,'OD 01-23'!E:E)</f>
        <v>0</v>
      </c>
      <c r="H158" s="14">
        <f t="shared" si="4"/>
        <v>0</v>
      </c>
      <c r="I158" s="14">
        <f t="shared" si="5"/>
        <v>0</v>
      </c>
      <c r="J158" s="8"/>
    </row>
    <row r="159" spans="1:10" x14ac:dyDescent="0.2">
      <c r="A159" s="10">
        <v>49100000</v>
      </c>
      <c r="B159" s="10" t="s">
        <v>110</v>
      </c>
      <c r="C159" s="11">
        <v>-457129.14999999991</v>
      </c>
      <c r="D159" s="11">
        <v>0</v>
      </c>
      <c r="E159" s="11">
        <v>0</v>
      </c>
      <c r="F159" s="13">
        <f>SUMIF('OD 01-23'!A:A,A159,'OD 01-23'!D:D)</f>
        <v>0</v>
      </c>
      <c r="G159" s="13">
        <f>SUMIF('OD 01-23'!A:A,A159,'OD 01-23'!E:E)</f>
        <v>0</v>
      </c>
      <c r="H159" s="14">
        <f t="shared" si="4"/>
        <v>0</v>
      </c>
      <c r="I159" s="14">
        <f t="shared" si="5"/>
        <v>-457129.14999999991</v>
      </c>
      <c r="J159" s="8" t="s">
        <v>111</v>
      </c>
    </row>
    <row r="160" spans="1:10" x14ac:dyDescent="0.2">
      <c r="A160" s="10">
        <v>49600000</v>
      </c>
      <c r="B160" s="10" t="s">
        <v>112</v>
      </c>
      <c r="C160" s="11">
        <v>-288613.68499999994</v>
      </c>
      <c r="D160" s="11">
        <v>0</v>
      </c>
      <c r="E160" s="11">
        <v>0</v>
      </c>
      <c r="F160" s="13">
        <f>SUMIF('OD 01-23'!A:A,A160,'OD 01-23'!D:D)</f>
        <v>0</v>
      </c>
      <c r="G160" s="13">
        <f>SUMIF('OD 01-23'!A:A,A160,'OD 01-23'!E:E)</f>
        <v>0</v>
      </c>
      <c r="H160" s="14">
        <f t="shared" si="4"/>
        <v>0</v>
      </c>
      <c r="I160" s="14">
        <f t="shared" si="5"/>
        <v>-288613.68499999994</v>
      </c>
      <c r="J160" s="8" t="s">
        <v>113</v>
      </c>
    </row>
    <row r="161" spans="1:10" x14ac:dyDescent="0.2">
      <c r="A161" s="10">
        <v>50130000</v>
      </c>
      <c r="B161" s="10" t="s">
        <v>114</v>
      </c>
      <c r="C161" s="11">
        <v>-6000000</v>
      </c>
      <c r="D161" s="11">
        <v>0</v>
      </c>
      <c r="E161" s="11">
        <v>0</v>
      </c>
      <c r="F161" s="13">
        <f>SUMIF('OD 01-23'!A:A,A161,'OD 01-23'!D:D)</f>
        <v>0</v>
      </c>
      <c r="G161" s="13">
        <f>SUMIF('OD 01-23'!A:A,A161,'OD 01-23'!E:E)</f>
        <v>0</v>
      </c>
      <c r="H161" s="14">
        <f t="shared" si="4"/>
        <v>0</v>
      </c>
      <c r="I161" s="14">
        <f t="shared" si="5"/>
        <v>-6000000</v>
      </c>
      <c r="J161" s="8" t="s">
        <v>115</v>
      </c>
    </row>
    <row r="162" spans="1:10" x14ac:dyDescent="0.2">
      <c r="A162" s="10">
        <v>50140000</v>
      </c>
      <c r="B162" s="10" t="s">
        <v>116</v>
      </c>
      <c r="C162" s="11">
        <v>-4000000</v>
      </c>
      <c r="D162" s="11">
        <v>0</v>
      </c>
      <c r="E162" s="11">
        <v>0</v>
      </c>
      <c r="F162" s="13">
        <f>SUMIF('OD 01-23'!A:A,A162,'OD 01-23'!D:D)</f>
        <v>0</v>
      </c>
      <c r="G162" s="13">
        <f>SUMIF('OD 01-23'!A:A,A162,'OD 01-23'!E:E)</f>
        <v>0</v>
      </c>
      <c r="H162" s="14">
        <f t="shared" si="4"/>
        <v>0</v>
      </c>
      <c r="I162" s="14">
        <f t="shared" si="5"/>
        <v>-4000000</v>
      </c>
      <c r="J162" s="8" t="s">
        <v>115</v>
      </c>
    </row>
    <row r="163" spans="1:10" x14ac:dyDescent="0.2">
      <c r="A163" s="10">
        <v>50500000</v>
      </c>
      <c r="B163" s="10" t="s">
        <v>117</v>
      </c>
      <c r="C163" s="11">
        <v>-916666.6670000013</v>
      </c>
      <c r="D163" s="11">
        <v>0</v>
      </c>
      <c r="E163" s="11">
        <v>0</v>
      </c>
      <c r="F163" s="13">
        <f>SUMIF('OD 01-23'!A:A,A163,'OD 01-23'!D:D)</f>
        <v>0</v>
      </c>
      <c r="G163" s="13">
        <f>SUMIF('OD 01-23'!A:A,A163,'OD 01-23'!E:E)</f>
        <v>0</v>
      </c>
      <c r="H163" s="14">
        <f t="shared" si="4"/>
        <v>0</v>
      </c>
      <c r="I163" s="14">
        <f t="shared" si="5"/>
        <v>-916666.6670000013</v>
      </c>
      <c r="J163" s="8" t="s">
        <v>115</v>
      </c>
    </row>
    <row r="164" spans="1:10" x14ac:dyDescent="0.2">
      <c r="A164" s="10">
        <v>50515000</v>
      </c>
      <c r="B164" s="10" t="s">
        <v>118</v>
      </c>
      <c r="C164" s="11">
        <v>-89643.378000000142</v>
      </c>
      <c r="D164" s="11">
        <v>7002.9359999999997</v>
      </c>
      <c r="E164" s="11">
        <v>0</v>
      </c>
      <c r="F164" s="13">
        <f>SUMIF('OD 01-23'!A:A,A164,'OD 01-23'!D:D)</f>
        <v>0</v>
      </c>
      <c r="G164" s="13">
        <f>SUMIF('OD 01-23'!A:A,A164,'OD 01-23'!E:E)</f>
        <v>0</v>
      </c>
      <c r="H164" s="14">
        <f t="shared" si="4"/>
        <v>7002.9359999999997</v>
      </c>
      <c r="I164" s="14">
        <f t="shared" si="5"/>
        <v>-82640.442000000141</v>
      </c>
      <c r="J164" s="8" t="s">
        <v>115</v>
      </c>
    </row>
    <row r="165" spans="1:10" x14ac:dyDescent="0.2">
      <c r="A165" s="10">
        <v>50610100</v>
      </c>
      <c r="B165" s="10" t="s">
        <v>342</v>
      </c>
      <c r="C165" s="11">
        <v>0</v>
      </c>
      <c r="D165" s="11">
        <v>0</v>
      </c>
      <c r="E165" s="11">
        <v>0</v>
      </c>
      <c r="F165" s="13">
        <f>SUMIF('OD 01-23'!A:A,A165,'OD 01-23'!D:D)</f>
        <v>0</v>
      </c>
      <c r="G165" s="13">
        <f>SUMIF('OD 01-23'!A:A,A165,'OD 01-23'!E:E)</f>
        <v>0</v>
      </c>
      <c r="H165" s="14">
        <f t="shared" si="4"/>
        <v>0</v>
      </c>
      <c r="I165" s="14">
        <f t="shared" si="5"/>
        <v>0</v>
      </c>
      <c r="J165" s="8"/>
    </row>
    <row r="166" spans="1:10" x14ac:dyDescent="0.2">
      <c r="A166" s="10">
        <v>50610900</v>
      </c>
      <c r="B166" s="10" t="s">
        <v>119</v>
      </c>
      <c r="C166" s="11">
        <v>3.7650018930435181E-4</v>
      </c>
      <c r="D166" s="11">
        <v>0</v>
      </c>
      <c r="E166" s="11">
        <v>0</v>
      </c>
      <c r="F166" s="13">
        <f>SUMIF('OD 01-23'!A:A,A166,'OD 01-23'!D:D)</f>
        <v>0</v>
      </c>
      <c r="G166" s="13">
        <f>SUMIF('OD 01-23'!A:A,A166,'OD 01-23'!E:E)</f>
        <v>0</v>
      </c>
      <c r="H166" s="14">
        <f t="shared" si="4"/>
        <v>0</v>
      </c>
      <c r="I166" s="14">
        <f t="shared" si="5"/>
        <v>3.7650018930435181E-4</v>
      </c>
      <c r="J166" s="8"/>
    </row>
    <row r="167" spans="1:10" x14ac:dyDescent="0.2">
      <c r="A167" s="10">
        <v>50630000</v>
      </c>
      <c r="B167" s="10" t="s">
        <v>343</v>
      </c>
      <c r="C167" s="11">
        <v>0</v>
      </c>
      <c r="D167" s="11">
        <v>0</v>
      </c>
      <c r="E167" s="11">
        <v>0</v>
      </c>
      <c r="F167" s="13">
        <f>SUMIF('OD 01-23'!A:A,A167,'OD 01-23'!D:D)</f>
        <v>0</v>
      </c>
      <c r="G167" s="13">
        <f>SUMIF('OD 01-23'!A:A,A167,'OD 01-23'!E:E)</f>
        <v>0</v>
      </c>
      <c r="H167" s="14">
        <f t="shared" si="4"/>
        <v>0</v>
      </c>
      <c r="I167" s="14">
        <f t="shared" si="5"/>
        <v>0</v>
      </c>
      <c r="J167" s="8"/>
    </row>
    <row r="168" spans="1:10" x14ac:dyDescent="0.2">
      <c r="A168" s="10">
        <v>50800000</v>
      </c>
      <c r="B168" s="10" t="s">
        <v>344</v>
      </c>
      <c r="C168" s="11">
        <v>-24263.579999999994</v>
      </c>
      <c r="D168" s="11">
        <v>24263.58</v>
      </c>
      <c r="E168" s="11">
        <v>0</v>
      </c>
      <c r="F168" s="13">
        <f>SUMIF('OD 01-23'!A:A,A168,'OD 01-23'!D:D)</f>
        <v>0</v>
      </c>
      <c r="G168" s="13">
        <f>SUMIF('OD 01-23'!A:A,A168,'OD 01-23'!E:E)</f>
        <v>0</v>
      </c>
      <c r="H168" s="14">
        <f t="shared" si="4"/>
        <v>24263.58</v>
      </c>
      <c r="I168" s="14">
        <f t="shared" si="5"/>
        <v>0</v>
      </c>
      <c r="J168" s="8" t="s">
        <v>115</v>
      </c>
    </row>
    <row r="169" spans="1:10" x14ac:dyDescent="0.2">
      <c r="A169" s="10">
        <v>52000000</v>
      </c>
      <c r="B169" s="10" t="s">
        <v>345</v>
      </c>
      <c r="C169" s="11">
        <v>0</v>
      </c>
      <c r="D169" s="11">
        <v>0</v>
      </c>
      <c r="E169" s="11">
        <v>0</v>
      </c>
      <c r="F169" s="13">
        <f>SUMIF('OD 01-23'!A:A,A169,'OD 01-23'!D:D)</f>
        <v>0</v>
      </c>
      <c r="G169" s="13">
        <f>SUMIF('OD 01-23'!A:A,A169,'OD 01-23'!E:E)</f>
        <v>0</v>
      </c>
      <c r="H169" s="14">
        <f t="shared" si="4"/>
        <v>0</v>
      </c>
      <c r="I169" s="14">
        <f t="shared" si="5"/>
        <v>0</v>
      </c>
      <c r="J169" s="8"/>
    </row>
    <row r="170" spans="1:10" x14ac:dyDescent="0.2">
      <c r="A170" s="10">
        <v>52001100</v>
      </c>
      <c r="B170" s="10" t="s">
        <v>346</v>
      </c>
      <c r="C170" s="11">
        <v>0</v>
      </c>
      <c r="D170" s="11">
        <v>0</v>
      </c>
      <c r="E170" s="11">
        <v>0</v>
      </c>
      <c r="F170" s="13">
        <f>SUMIF('OD 01-23'!A:A,A170,'OD 01-23'!D:D)</f>
        <v>0</v>
      </c>
      <c r="G170" s="13">
        <f>SUMIF('OD 01-23'!A:A,A170,'OD 01-23'!E:E)</f>
        <v>0</v>
      </c>
      <c r="H170" s="14">
        <f t="shared" si="4"/>
        <v>0</v>
      </c>
      <c r="I170" s="14">
        <f t="shared" si="5"/>
        <v>0</v>
      </c>
      <c r="J170" s="8"/>
    </row>
    <row r="171" spans="1:10" x14ac:dyDescent="0.2">
      <c r="A171" s="10">
        <v>53140000</v>
      </c>
      <c r="B171" s="10" t="s">
        <v>347</v>
      </c>
      <c r="C171" s="11">
        <v>0</v>
      </c>
      <c r="D171" s="11">
        <v>0</v>
      </c>
      <c r="E171" s="11">
        <v>0</v>
      </c>
      <c r="F171" s="13">
        <f>SUMIF('OD 01-23'!A:A,A171,'OD 01-23'!D:D)</f>
        <v>0</v>
      </c>
      <c r="G171" s="13">
        <f>SUMIF('OD 01-23'!A:A,A171,'OD 01-23'!E:E)</f>
        <v>0</v>
      </c>
      <c r="H171" s="14">
        <f t="shared" si="4"/>
        <v>0</v>
      </c>
      <c r="I171" s="14">
        <f t="shared" si="5"/>
        <v>0</v>
      </c>
      <c r="J171" s="8"/>
    </row>
    <row r="172" spans="1:10" x14ac:dyDescent="0.2">
      <c r="A172" s="10">
        <v>53200000</v>
      </c>
      <c r="B172" s="10" t="s">
        <v>120</v>
      </c>
      <c r="C172" s="11">
        <v>0</v>
      </c>
      <c r="D172" s="11">
        <v>2039000</v>
      </c>
      <c r="E172" s="11">
        <v>2039000</v>
      </c>
      <c r="F172" s="13">
        <f>SUMIF('OD 01-23'!A:A,A172,'OD 01-23'!D:D)</f>
        <v>0</v>
      </c>
      <c r="G172" s="13">
        <f>SUMIF('OD 01-23'!A:A,A172,'OD 01-23'!E:E)</f>
        <v>0</v>
      </c>
      <c r="H172" s="14">
        <f t="shared" si="4"/>
        <v>0</v>
      </c>
      <c r="I172" s="14">
        <f t="shared" si="5"/>
        <v>0</v>
      </c>
      <c r="J172" s="8"/>
    </row>
    <row r="173" spans="1:10" x14ac:dyDescent="0.2">
      <c r="A173" s="10">
        <v>53201000</v>
      </c>
      <c r="B173" s="10" t="s">
        <v>348</v>
      </c>
      <c r="C173" s="11">
        <v>0</v>
      </c>
      <c r="D173" s="11">
        <v>0</v>
      </c>
      <c r="E173" s="11">
        <v>0</v>
      </c>
      <c r="F173" s="13">
        <f>SUMIF('OD 01-23'!A:A,A173,'OD 01-23'!D:D)</f>
        <v>0</v>
      </c>
      <c r="G173" s="13">
        <f>SUMIF('OD 01-23'!A:A,A173,'OD 01-23'!E:E)</f>
        <v>0</v>
      </c>
      <c r="H173" s="14">
        <f t="shared" si="4"/>
        <v>0</v>
      </c>
      <c r="I173" s="14">
        <f t="shared" si="5"/>
        <v>0</v>
      </c>
      <c r="J173" s="8"/>
    </row>
    <row r="174" spans="1:10" x14ac:dyDescent="0.2">
      <c r="A174" s="10">
        <v>53202000</v>
      </c>
      <c r="B174" s="10" t="s">
        <v>122</v>
      </c>
      <c r="C174" s="11">
        <v>435.74199999962002</v>
      </c>
      <c r="D174" s="11">
        <v>0</v>
      </c>
      <c r="E174" s="11">
        <v>0</v>
      </c>
      <c r="F174" s="13">
        <f>SUMIF('OD 01-23'!A:A,A174,'OD 01-23'!D:D)</f>
        <v>0</v>
      </c>
      <c r="G174" s="13">
        <f>SUMIF('OD 01-23'!A:A,A174,'OD 01-23'!E:E)</f>
        <v>0</v>
      </c>
      <c r="H174" s="14">
        <f t="shared" si="4"/>
        <v>0</v>
      </c>
      <c r="I174" s="14">
        <f t="shared" si="5"/>
        <v>435.74199999962002</v>
      </c>
      <c r="J174" s="8" t="s">
        <v>121</v>
      </c>
    </row>
    <row r="175" spans="1:10" x14ac:dyDescent="0.2">
      <c r="A175" s="10">
        <v>53203000</v>
      </c>
      <c r="B175" s="10" t="s">
        <v>349</v>
      </c>
      <c r="C175" s="11">
        <v>341558.32200000016</v>
      </c>
      <c r="D175" s="11">
        <v>799861.83200000005</v>
      </c>
      <c r="E175" s="11">
        <v>856260.08900000004</v>
      </c>
      <c r="F175" s="13">
        <f>SUMIF('OD 01-23'!A:A,A175,'OD 01-23'!D:D)</f>
        <v>0</v>
      </c>
      <c r="G175" s="13">
        <f>SUMIF('OD 01-23'!A:A,A175,'OD 01-23'!E:E)</f>
        <v>0</v>
      </c>
      <c r="H175" s="14">
        <f t="shared" si="4"/>
        <v>-56398.256999999983</v>
      </c>
      <c r="I175" s="14">
        <f t="shared" si="5"/>
        <v>285160.06500000018</v>
      </c>
      <c r="J175" s="8" t="s">
        <v>121</v>
      </c>
    </row>
    <row r="176" spans="1:10" x14ac:dyDescent="0.2">
      <c r="A176" s="10">
        <v>53204000</v>
      </c>
      <c r="B176" s="10" t="s">
        <v>350</v>
      </c>
      <c r="C176" s="11">
        <v>0</v>
      </c>
      <c r="D176" s="11">
        <v>0</v>
      </c>
      <c r="E176" s="11">
        <v>0</v>
      </c>
      <c r="F176" s="13">
        <f>SUMIF('OD 01-23'!A:A,A176,'OD 01-23'!D:D)</f>
        <v>0</v>
      </c>
      <c r="G176" s="13">
        <f>SUMIF('OD 01-23'!A:A,A176,'OD 01-23'!E:E)</f>
        <v>0</v>
      </c>
      <c r="H176" s="14">
        <f t="shared" si="4"/>
        <v>0</v>
      </c>
      <c r="I176" s="14">
        <f t="shared" si="5"/>
        <v>0</v>
      </c>
      <c r="J176" s="8"/>
    </row>
    <row r="177" spans="1:10" x14ac:dyDescent="0.2">
      <c r="A177" s="10">
        <v>53204100</v>
      </c>
      <c r="B177" s="10" t="s">
        <v>351</v>
      </c>
      <c r="C177" s="11">
        <v>0</v>
      </c>
      <c r="D177" s="11">
        <v>0</v>
      </c>
      <c r="E177" s="11">
        <v>0</v>
      </c>
      <c r="F177" s="13">
        <f>SUMIF('OD 01-23'!A:A,A177,'OD 01-23'!D:D)</f>
        <v>0</v>
      </c>
      <c r="G177" s="13">
        <f>SUMIF('OD 01-23'!A:A,A177,'OD 01-23'!E:E)</f>
        <v>0</v>
      </c>
      <c r="H177" s="14">
        <f t="shared" si="4"/>
        <v>0</v>
      </c>
      <c r="I177" s="14">
        <f t="shared" si="5"/>
        <v>0</v>
      </c>
      <c r="J177" s="8"/>
    </row>
    <row r="178" spans="1:10" x14ac:dyDescent="0.2">
      <c r="A178" s="10">
        <v>53204500</v>
      </c>
      <c r="B178" s="10" t="s">
        <v>123</v>
      </c>
      <c r="C178" s="11">
        <v>5874.02</v>
      </c>
      <c r="D178" s="11">
        <v>0</v>
      </c>
      <c r="E178" s="11">
        <v>0</v>
      </c>
      <c r="F178" s="13">
        <f>SUMIF('OD 01-23'!A:A,A178,'OD 01-23'!D:D)</f>
        <v>0</v>
      </c>
      <c r="G178" s="13">
        <f>SUMIF('OD 01-23'!A:A,A178,'OD 01-23'!E:E)</f>
        <v>0</v>
      </c>
      <c r="H178" s="14">
        <f t="shared" si="4"/>
        <v>0</v>
      </c>
      <c r="I178" s="14">
        <f t="shared" si="5"/>
        <v>5874.02</v>
      </c>
      <c r="J178" s="8" t="s">
        <v>121</v>
      </c>
    </row>
    <row r="179" spans="1:10" x14ac:dyDescent="0.2">
      <c r="A179" s="10">
        <v>53205000</v>
      </c>
      <c r="B179" s="10" t="s">
        <v>124</v>
      </c>
      <c r="C179" s="11">
        <v>21818.723999977112</v>
      </c>
      <c r="D179" s="11">
        <v>0</v>
      </c>
      <c r="E179" s="11">
        <v>0</v>
      </c>
      <c r="F179" s="13">
        <f>SUMIF('OD 01-23'!A:A,A179,'OD 01-23'!D:D)</f>
        <v>0</v>
      </c>
      <c r="G179" s="13">
        <f>SUMIF('OD 01-23'!A:A,A179,'OD 01-23'!E:E)</f>
        <v>0</v>
      </c>
      <c r="H179" s="14">
        <f t="shared" si="4"/>
        <v>0</v>
      </c>
      <c r="I179" s="14">
        <f t="shared" si="5"/>
        <v>21818.723999977112</v>
      </c>
      <c r="J179" s="8" t="s">
        <v>121</v>
      </c>
    </row>
    <row r="180" spans="1:10" x14ac:dyDescent="0.2">
      <c r="A180" s="10">
        <v>53205300</v>
      </c>
      <c r="B180" s="10" t="s">
        <v>125</v>
      </c>
      <c r="C180" s="11">
        <v>0</v>
      </c>
      <c r="D180" s="11">
        <v>0</v>
      </c>
      <c r="E180" s="11">
        <v>0</v>
      </c>
      <c r="F180" s="13">
        <f>SUMIF('OD 01-23'!A:A,A180,'OD 01-23'!D:D)</f>
        <v>0</v>
      </c>
      <c r="G180" s="13">
        <f>SUMIF('OD 01-23'!A:A,A180,'OD 01-23'!E:E)</f>
        <v>0</v>
      </c>
      <c r="H180" s="14">
        <f t="shared" si="4"/>
        <v>0</v>
      </c>
      <c r="I180" s="14">
        <f t="shared" si="5"/>
        <v>0</v>
      </c>
      <c r="J180" s="8" t="s">
        <v>121</v>
      </c>
    </row>
    <row r="181" spans="1:10" x14ac:dyDescent="0.2">
      <c r="A181" s="10">
        <v>53205400</v>
      </c>
      <c r="B181" s="10" t="s">
        <v>126</v>
      </c>
      <c r="C181" s="11">
        <v>0</v>
      </c>
      <c r="D181" s="11">
        <v>0</v>
      </c>
      <c r="E181" s="11">
        <v>0</v>
      </c>
      <c r="F181" s="13">
        <f>SUMIF('OD 01-23'!A:A,A181,'OD 01-23'!D:D)</f>
        <v>0</v>
      </c>
      <c r="G181" s="13">
        <f>SUMIF('OD 01-23'!A:A,A181,'OD 01-23'!E:E)</f>
        <v>0</v>
      </c>
      <c r="H181" s="14">
        <f t="shared" si="4"/>
        <v>0</v>
      </c>
      <c r="I181" s="14">
        <f t="shared" si="5"/>
        <v>0</v>
      </c>
      <c r="J181" s="8"/>
    </row>
    <row r="182" spans="1:10" x14ac:dyDescent="0.2">
      <c r="A182" s="10">
        <v>53205500</v>
      </c>
      <c r="B182" s="10" t="s">
        <v>127</v>
      </c>
      <c r="C182" s="11">
        <v>0</v>
      </c>
      <c r="D182" s="11">
        <v>0</v>
      </c>
      <c r="E182" s="11">
        <v>0</v>
      </c>
      <c r="F182" s="13">
        <f>SUMIF('OD 01-23'!A:A,A182,'OD 01-23'!D:D)</f>
        <v>0</v>
      </c>
      <c r="G182" s="13">
        <f>SUMIF('OD 01-23'!A:A,A182,'OD 01-23'!E:E)</f>
        <v>0</v>
      </c>
      <c r="H182" s="14">
        <f t="shared" si="4"/>
        <v>0</v>
      </c>
      <c r="I182" s="14">
        <f t="shared" si="5"/>
        <v>0</v>
      </c>
      <c r="J182" s="8"/>
    </row>
    <row r="183" spans="1:10" x14ac:dyDescent="0.2">
      <c r="A183" s="10">
        <v>53205600</v>
      </c>
      <c r="B183" s="10" t="s">
        <v>128</v>
      </c>
      <c r="C183" s="11">
        <v>-1790511.6069999337</v>
      </c>
      <c r="D183" s="11">
        <v>1402206.3540000001</v>
      </c>
      <c r="E183" s="16">
        <f>40480+4420015.574</f>
        <v>4460495.574</v>
      </c>
      <c r="F183" s="13">
        <f>SUMIF('OD 01-23'!A:A,A183,'OD 01-23'!D:D)</f>
        <v>0</v>
      </c>
      <c r="G183" s="13">
        <f>SUMIF('OD 01-23'!A:A,A183,'OD 01-23'!E:E)</f>
        <v>0</v>
      </c>
      <c r="H183" s="14">
        <f t="shared" si="4"/>
        <v>-3058289.2199999997</v>
      </c>
      <c r="I183" s="14">
        <f t="shared" si="5"/>
        <v>-4848800.8269999335</v>
      </c>
      <c r="J183" s="8" t="s">
        <v>115</v>
      </c>
    </row>
    <row r="184" spans="1:10" x14ac:dyDescent="0.2">
      <c r="A184" s="10">
        <v>53205700</v>
      </c>
      <c r="B184" s="10" t="s">
        <v>129</v>
      </c>
      <c r="C184" s="11">
        <v>687712.25572220236</v>
      </c>
      <c r="D184" s="11">
        <v>0</v>
      </c>
      <c r="E184" s="11">
        <v>0</v>
      </c>
      <c r="F184" s="13">
        <f>SUMIF('OD 01-23'!A:A,A184,'OD 01-23'!D:D)</f>
        <v>0</v>
      </c>
      <c r="G184" s="13">
        <f>SUMIF('OD 01-23'!A:A,A184,'OD 01-23'!E:E)</f>
        <v>0</v>
      </c>
      <c r="H184" s="14">
        <f t="shared" si="4"/>
        <v>0</v>
      </c>
      <c r="I184" s="14">
        <f t="shared" si="5"/>
        <v>687712.25572220236</v>
      </c>
      <c r="J184" s="8" t="s">
        <v>121</v>
      </c>
    </row>
    <row r="185" spans="1:10" x14ac:dyDescent="0.2">
      <c r="A185" s="10">
        <v>53205800</v>
      </c>
      <c r="B185" s="10" t="s">
        <v>130</v>
      </c>
      <c r="C185" s="11">
        <v>710140.7650000006</v>
      </c>
      <c r="D185" s="11">
        <v>0</v>
      </c>
      <c r="E185" s="11">
        <v>0</v>
      </c>
      <c r="F185" s="13">
        <f>SUMIF('OD 01-23'!A:A,A185,'OD 01-23'!D:D)</f>
        <v>0</v>
      </c>
      <c r="G185" s="13">
        <f>SUMIF('OD 01-23'!A:A,A185,'OD 01-23'!E:E)</f>
        <v>0</v>
      </c>
      <c r="H185" s="14">
        <f t="shared" si="4"/>
        <v>0</v>
      </c>
      <c r="I185" s="14">
        <f t="shared" si="5"/>
        <v>710140.7650000006</v>
      </c>
      <c r="J185" s="8" t="s">
        <v>121</v>
      </c>
    </row>
    <row r="186" spans="1:10" x14ac:dyDescent="0.2">
      <c r="A186" s="10">
        <v>53207000</v>
      </c>
      <c r="B186" s="10" t="s">
        <v>352</v>
      </c>
      <c r="C186" s="11">
        <v>0</v>
      </c>
      <c r="D186" s="11">
        <v>0</v>
      </c>
      <c r="E186" s="11">
        <v>0</v>
      </c>
      <c r="F186" s="13">
        <f>SUMIF('OD 01-23'!A:A,A186,'OD 01-23'!D:D)</f>
        <v>0</v>
      </c>
      <c r="G186" s="13">
        <f>SUMIF('OD 01-23'!A:A,A186,'OD 01-23'!E:E)</f>
        <v>0</v>
      </c>
      <c r="H186" s="14">
        <f t="shared" si="4"/>
        <v>0</v>
      </c>
      <c r="I186" s="14">
        <f t="shared" si="5"/>
        <v>0</v>
      </c>
      <c r="J186" s="8"/>
    </row>
    <row r="187" spans="1:10" x14ac:dyDescent="0.2">
      <c r="A187" s="10">
        <v>53207100</v>
      </c>
      <c r="B187" s="10" t="s">
        <v>353</v>
      </c>
      <c r="C187" s="11">
        <v>0</v>
      </c>
      <c r="D187" s="11">
        <v>0</v>
      </c>
      <c r="E187" s="11">
        <v>0</v>
      </c>
      <c r="F187" s="13">
        <f>SUMIF('OD 01-23'!A:A,A187,'OD 01-23'!D:D)</f>
        <v>0</v>
      </c>
      <c r="G187" s="13">
        <f>SUMIF('OD 01-23'!A:A,A187,'OD 01-23'!E:E)</f>
        <v>0</v>
      </c>
      <c r="H187" s="14">
        <f t="shared" si="4"/>
        <v>0</v>
      </c>
      <c r="I187" s="14">
        <f t="shared" si="5"/>
        <v>0</v>
      </c>
      <c r="J187" s="8"/>
    </row>
    <row r="188" spans="1:10" x14ac:dyDescent="0.2">
      <c r="A188" s="10">
        <v>53207200</v>
      </c>
      <c r="B188" s="10" t="s">
        <v>354</v>
      </c>
      <c r="C188" s="11">
        <v>0</v>
      </c>
      <c r="D188" s="11">
        <v>0</v>
      </c>
      <c r="E188" s="11">
        <v>0</v>
      </c>
      <c r="F188" s="13">
        <f>SUMIF('OD 01-23'!A:A,A188,'OD 01-23'!D:D)</f>
        <v>0</v>
      </c>
      <c r="G188" s="13">
        <f>SUMIF('OD 01-23'!A:A,A188,'OD 01-23'!E:E)</f>
        <v>0</v>
      </c>
      <c r="H188" s="14">
        <f t="shared" si="4"/>
        <v>0</v>
      </c>
      <c r="I188" s="14">
        <f t="shared" si="5"/>
        <v>0</v>
      </c>
      <c r="J188" s="8"/>
    </row>
    <row r="189" spans="1:10" x14ac:dyDescent="0.2">
      <c r="A189" s="10">
        <v>53208000</v>
      </c>
      <c r="B189" s="10" t="s">
        <v>355</v>
      </c>
      <c r="C189" s="11">
        <v>485.66199999954551</v>
      </c>
      <c r="D189" s="11">
        <v>0</v>
      </c>
      <c r="E189" s="11">
        <v>0</v>
      </c>
      <c r="F189" s="13">
        <f>SUMIF('OD 01-23'!A:A,A189,'OD 01-23'!D:D)</f>
        <v>0</v>
      </c>
      <c r="G189" s="13">
        <f>SUMIF('OD 01-23'!A:A,A189,'OD 01-23'!E:E)</f>
        <v>0</v>
      </c>
      <c r="H189" s="14">
        <f t="shared" si="4"/>
        <v>0</v>
      </c>
      <c r="I189" s="14">
        <f t="shared" si="5"/>
        <v>485.66199999954551</v>
      </c>
      <c r="J189" s="8" t="s">
        <v>121</v>
      </c>
    </row>
    <row r="190" spans="1:10" x14ac:dyDescent="0.2">
      <c r="A190" s="10">
        <v>53208100</v>
      </c>
      <c r="B190" s="10" t="s">
        <v>356</v>
      </c>
      <c r="C190" s="11">
        <v>0</v>
      </c>
      <c r="D190" s="11">
        <v>0</v>
      </c>
      <c r="E190" s="11">
        <v>0</v>
      </c>
      <c r="F190" s="13">
        <f>SUMIF('OD 01-23'!A:A,A190,'OD 01-23'!D:D)</f>
        <v>0</v>
      </c>
      <c r="G190" s="13">
        <f>SUMIF('OD 01-23'!A:A,A190,'OD 01-23'!E:E)</f>
        <v>0</v>
      </c>
      <c r="H190" s="14">
        <f t="shared" si="4"/>
        <v>0</v>
      </c>
      <c r="I190" s="14">
        <f t="shared" si="5"/>
        <v>0</v>
      </c>
      <c r="J190" s="8"/>
    </row>
    <row r="191" spans="1:10" x14ac:dyDescent="0.2">
      <c r="A191" s="10">
        <v>53208500</v>
      </c>
      <c r="B191" s="10" t="s">
        <v>357</v>
      </c>
      <c r="C191" s="11">
        <v>0</v>
      </c>
      <c r="D191" s="11">
        <v>0</v>
      </c>
      <c r="E191" s="11">
        <v>0</v>
      </c>
      <c r="F191" s="13">
        <f>SUMIF('OD 01-23'!A:A,A191,'OD 01-23'!D:D)</f>
        <v>0</v>
      </c>
      <c r="G191" s="13">
        <f>SUMIF('OD 01-23'!A:A,A191,'OD 01-23'!E:E)</f>
        <v>0</v>
      </c>
      <c r="H191" s="14">
        <f t="shared" si="4"/>
        <v>0</v>
      </c>
      <c r="I191" s="14">
        <f t="shared" si="5"/>
        <v>0</v>
      </c>
      <c r="J191" s="8"/>
    </row>
    <row r="192" spans="1:10" x14ac:dyDescent="0.2">
      <c r="A192" s="10">
        <v>54000000</v>
      </c>
      <c r="B192" s="10" t="s">
        <v>358</v>
      </c>
      <c r="C192" s="11">
        <v>0</v>
      </c>
      <c r="D192" s="11">
        <v>0</v>
      </c>
      <c r="E192" s="11">
        <v>0</v>
      </c>
      <c r="F192" s="13">
        <f>SUMIF('OD 01-23'!A:A,A192,'OD 01-23'!D:D)</f>
        <v>0</v>
      </c>
      <c r="G192" s="13">
        <f>SUMIF('OD 01-23'!A:A,A192,'OD 01-23'!E:E)</f>
        <v>0</v>
      </c>
      <c r="H192" s="14">
        <f t="shared" si="4"/>
        <v>0</v>
      </c>
      <c r="I192" s="14">
        <f t="shared" si="5"/>
        <v>0</v>
      </c>
      <c r="J192" s="8"/>
    </row>
    <row r="193" spans="1:11" x14ac:dyDescent="0.2">
      <c r="A193" s="10">
        <v>54100000</v>
      </c>
      <c r="B193" s="10" t="s">
        <v>131</v>
      </c>
      <c r="C193" s="11">
        <v>0</v>
      </c>
      <c r="D193" s="11">
        <v>3081.2579999999998</v>
      </c>
      <c r="E193" s="11">
        <v>3192.0079999999998</v>
      </c>
      <c r="F193" s="13">
        <f>SUMIF('OD 01-23'!A:A,A193,'OD 01-23'!D:D)</f>
        <v>0</v>
      </c>
      <c r="G193" s="13">
        <f>SUMIF('OD 01-23'!A:A,A193,'OD 01-23'!E:E)</f>
        <v>0</v>
      </c>
      <c r="H193" s="14">
        <f t="shared" si="4"/>
        <v>-110.75</v>
      </c>
      <c r="I193" s="14">
        <f t="shared" si="5"/>
        <v>-110.75</v>
      </c>
      <c r="J193" s="8" t="s">
        <v>115</v>
      </c>
    </row>
    <row r="194" spans="1:11" x14ac:dyDescent="0.2">
      <c r="A194" s="10">
        <v>54300000</v>
      </c>
      <c r="B194" s="10" t="s">
        <v>359</v>
      </c>
      <c r="C194" s="11">
        <v>0</v>
      </c>
      <c r="D194" s="11">
        <v>0</v>
      </c>
      <c r="E194" s="11">
        <v>0</v>
      </c>
      <c r="F194" s="13">
        <f>SUMIF('OD 01-23'!A:A,A194,'OD 01-23'!D:D)</f>
        <v>0</v>
      </c>
      <c r="G194" s="13">
        <f>SUMIF('OD 01-23'!A:A,A194,'OD 01-23'!E:E)</f>
        <v>0</v>
      </c>
      <c r="H194" s="14">
        <f t="shared" ref="H194:H257" si="6">+D194+F194-E194-G194</f>
        <v>0</v>
      </c>
      <c r="I194" s="14">
        <f t="shared" ref="I194:I257" si="7">+H194+C194</f>
        <v>0</v>
      </c>
      <c r="J194" s="8"/>
    </row>
    <row r="195" spans="1:11" x14ac:dyDescent="0.2">
      <c r="A195" s="10">
        <v>55010000</v>
      </c>
      <c r="B195" s="10" t="s">
        <v>132</v>
      </c>
      <c r="C195" s="11">
        <v>3000</v>
      </c>
      <c r="D195" s="11">
        <v>0</v>
      </c>
      <c r="E195" s="11">
        <v>0</v>
      </c>
      <c r="F195" s="13">
        <f>SUMIF('OD 01-23'!A:A,A195,'OD 01-23'!D:D)</f>
        <v>0</v>
      </c>
      <c r="G195" s="13">
        <f>SUMIF('OD 01-23'!A:A,A195,'OD 01-23'!E:E)</f>
        <v>0</v>
      </c>
      <c r="H195" s="14">
        <f t="shared" si="6"/>
        <v>0</v>
      </c>
      <c r="I195" s="14">
        <f t="shared" si="7"/>
        <v>3000</v>
      </c>
      <c r="J195" s="8" t="s">
        <v>121</v>
      </c>
    </row>
    <row r="196" spans="1:11" x14ac:dyDescent="0.2">
      <c r="A196" s="10">
        <v>55011000</v>
      </c>
      <c r="B196" s="10" t="s">
        <v>133</v>
      </c>
      <c r="C196" s="11">
        <v>0</v>
      </c>
      <c r="D196" s="11">
        <v>0</v>
      </c>
      <c r="E196" s="11">
        <v>0</v>
      </c>
      <c r="F196" s="13">
        <f>SUMIF('OD 01-23'!A:A,A196,'OD 01-23'!D:D)</f>
        <v>0</v>
      </c>
      <c r="G196" s="13">
        <f>SUMIF('OD 01-23'!A:A,A196,'OD 01-23'!E:E)</f>
        <v>0</v>
      </c>
      <c r="H196" s="14">
        <f t="shared" si="6"/>
        <v>0</v>
      </c>
      <c r="I196" s="14">
        <f t="shared" si="7"/>
        <v>0</v>
      </c>
      <c r="J196" s="8" t="s">
        <v>121</v>
      </c>
    </row>
    <row r="197" spans="1:11" x14ac:dyDescent="0.2">
      <c r="A197" s="10">
        <v>58000000</v>
      </c>
      <c r="B197" s="10" t="s">
        <v>134</v>
      </c>
      <c r="C197" s="11">
        <v>0</v>
      </c>
      <c r="D197" s="11">
        <v>0</v>
      </c>
      <c r="E197" s="11">
        <v>0</v>
      </c>
      <c r="F197" s="13">
        <f>SUMIF('OD 01-23'!A:A,A197,'OD 01-23'!D:D)</f>
        <v>0</v>
      </c>
      <c r="G197" s="13">
        <f>SUMIF('OD 01-23'!A:A,A197,'OD 01-23'!E:E)</f>
        <v>0</v>
      </c>
      <c r="H197" s="14">
        <f t="shared" si="6"/>
        <v>0</v>
      </c>
      <c r="I197" s="14">
        <f t="shared" si="7"/>
        <v>0</v>
      </c>
      <c r="J197" s="8" t="s">
        <v>121</v>
      </c>
    </row>
    <row r="198" spans="1:11" x14ac:dyDescent="0.2">
      <c r="A198" s="10">
        <v>58001000</v>
      </c>
      <c r="B198" s="10" t="s">
        <v>135</v>
      </c>
      <c r="C198" s="11">
        <v>-1.9999593496322632E-4</v>
      </c>
      <c r="D198" s="11">
        <v>0</v>
      </c>
      <c r="E198" s="11">
        <v>0</v>
      </c>
      <c r="F198" s="13">
        <f>SUMIF('OD 01-23'!A:A,A198,'OD 01-23'!D:D)</f>
        <v>0</v>
      </c>
      <c r="G198" s="13">
        <f>SUMIF('OD 01-23'!A:A,A198,'OD 01-23'!E:E)</f>
        <v>0</v>
      </c>
      <c r="H198" s="14">
        <f t="shared" si="6"/>
        <v>0</v>
      </c>
      <c r="I198" s="14">
        <f t="shared" si="7"/>
        <v>-1.9999593496322632E-4</v>
      </c>
      <c r="J198" s="8"/>
    </row>
    <row r="199" spans="1:11" x14ac:dyDescent="0.2">
      <c r="A199" s="10">
        <v>58002000</v>
      </c>
      <c r="B199" s="10" t="s">
        <v>360</v>
      </c>
      <c r="C199" s="11">
        <v>0</v>
      </c>
      <c r="D199" s="11">
        <v>0</v>
      </c>
      <c r="E199" s="11">
        <v>0</v>
      </c>
      <c r="F199" s="13">
        <f>SUMIF('OD 01-23'!A:A,A199,'OD 01-23'!D:D)</f>
        <v>0</v>
      </c>
      <c r="G199" s="13">
        <f>SUMIF('OD 01-23'!A:A,A199,'OD 01-23'!E:E)</f>
        <v>0</v>
      </c>
      <c r="H199" s="14">
        <f t="shared" si="6"/>
        <v>0</v>
      </c>
      <c r="I199" s="14">
        <f t="shared" si="7"/>
        <v>0</v>
      </c>
      <c r="J199" s="8"/>
    </row>
    <row r="200" spans="1:11" x14ac:dyDescent="0.2">
      <c r="A200" s="10">
        <v>58003000</v>
      </c>
      <c r="B200" s="10" t="s">
        <v>136</v>
      </c>
      <c r="C200" s="11">
        <v>1.0100007057189941E-4</v>
      </c>
      <c r="D200" s="11">
        <v>0</v>
      </c>
      <c r="E200" s="11">
        <v>0</v>
      </c>
      <c r="F200" s="13">
        <f>SUMIF('OD 01-23'!A:A,A200,'OD 01-23'!D:D)</f>
        <v>0</v>
      </c>
      <c r="G200" s="13">
        <f>SUMIF('OD 01-23'!A:A,A200,'OD 01-23'!E:E)</f>
        <v>0</v>
      </c>
      <c r="H200" s="14">
        <f t="shared" si="6"/>
        <v>0</v>
      </c>
      <c r="I200" s="14">
        <f t="shared" si="7"/>
        <v>1.0100007057189941E-4</v>
      </c>
      <c r="J200" s="8"/>
    </row>
    <row r="201" spans="1:11" x14ac:dyDescent="0.2">
      <c r="A201" s="10">
        <v>58004000</v>
      </c>
      <c r="B201" s="10" t="s">
        <v>361</v>
      </c>
      <c r="C201" s="11">
        <v>0</v>
      </c>
      <c r="D201" s="11">
        <v>0</v>
      </c>
      <c r="E201" s="11">
        <v>0</v>
      </c>
      <c r="F201" s="13">
        <f>SUMIF('OD 01-23'!A:A,A201,'OD 01-23'!D:D)</f>
        <v>0</v>
      </c>
      <c r="G201" s="13">
        <f>SUMIF('OD 01-23'!A:A,A201,'OD 01-23'!E:E)</f>
        <v>0</v>
      </c>
      <c r="H201" s="14">
        <f t="shared" si="6"/>
        <v>0</v>
      </c>
      <c r="I201" s="14">
        <f t="shared" si="7"/>
        <v>0</v>
      </c>
      <c r="J201" s="8"/>
    </row>
    <row r="202" spans="1:11" x14ac:dyDescent="0.2">
      <c r="A202" s="10">
        <v>58005000</v>
      </c>
      <c r="B202" s="10" t="s">
        <v>362</v>
      </c>
      <c r="C202" s="11">
        <v>3.8483738899230957E-4</v>
      </c>
      <c r="D202" s="11">
        <v>0</v>
      </c>
      <c r="E202" s="11">
        <v>547423.47600000002</v>
      </c>
      <c r="F202" s="13">
        <f>SUMIF('OD 01-23'!A:A,A202,'OD 01-23'!D:D)</f>
        <v>0</v>
      </c>
      <c r="G202" s="13">
        <f>SUMIF('OD 01-23'!A:A,A202,'OD 01-23'!E:E)</f>
        <v>0</v>
      </c>
      <c r="H202" s="14">
        <f t="shared" si="6"/>
        <v>-547423.47600000002</v>
      </c>
      <c r="I202" s="14">
        <f t="shared" si="7"/>
        <v>-547423.47561516264</v>
      </c>
      <c r="J202" s="8" t="s">
        <v>121</v>
      </c>
    </row>
    <row r="203" spans="1:11" x14ac:dyDescent="0.2">
      <c r="A203" s="10">
        <v>60110210</v>
      </c>
      <c r="B203" s="10" t="s">
        <v>137</v>
      </c>
      <c r="C203" s="11">
        <v>0</v>
      </c>
      <c r="D203" s="11">
        <v>55859.918708000005</v>
      </c>
      <c r="E203" s="11">
        <v>0</v>
      </c>
      <c r="F203" s="13">
        <f>SUMIF('OD 01-23'!A:A,A203,'OD 01-23'!D:D)</f>
        <v>0</v>
      </c>
      <c r="G203" s="13">
        <f>SUMIF('OD 01-23'!A:A,A203,'OD 01-23'!E:E)</f>
        <v>0</v>
      </c>
      <c r="H203" s="14">
        <f t="shared" si="6"/>
        <v>55859.918708000005</v>
      </c>
      <c r="I203" s="14">
        <f t="shared" si="7"/>
        <v>55859.918708000005</v>
      </c>
      <c r="J203" s="8" t="s">
        <v>138</v>
      </c>
      <c r="K203" s="4" t="s">
        <v>509</v>
      </c>
    </row>
    <row r="204" spans="1:11" x14ac:dyDescent="0.2">
      <c r="A204" s="10">
        <v>60110211</v>
      </c>
      <c r="B204" s="10" t="s">
        <v>363</v>
      </c>
      <c r="C204" s="11">
        <v>0</v>
      </c>
      <c r="D204" s="11">
        <v>13784.345625999998</v>
      </c>
      <c r="E204" s="11">
        <v>0</v>
      </c>
      <c r="F204" s="13">
        <f>SUMIF('OD 01-23'!A:A,A204,'OD 01-23'!D:D)</f>
        <v>0</v>
      </c>
      <c r="G204" s="13">
        <f>SUMIF('OD 01-23'!A:A,A204,'OD 01-23'!E:E)</f>
        <v>0</v>
      </c>
      <c r="H204" s="14">
        <f t="shared" si="6"/>
        <v>13784.345625999998</v>
      </c>
      <c r="I204" s="14">
        <f t="shared" si="7"/>
        <v>13784.345625999998</v>
      </c>
      <c r="J204" s="8" t="s">
        <v>138</v>
      </c>
      <c r="K204" s="4" t="s">
        <v>509</v>
      </c>
    </row>
    <row r="205" spans="1:11" x14ac:dyDescent="0.2">
      <c r="A205" s="10">
        <v>60110213</v>
      </c>
      <c r="B205" s="10" t="s">
        <v>364</v>
      </c>
      <c r="C205" s="11">
        <v>0</v>
      </c>
      <c r="D205" s="11">
        <v>2424</v>
      </c>
      <c r="E205" s="11">
        <v>0</v>
      </c>
      <c r="F205" s="13">
        <f>SUMIF('OD 01-23'!A:A,A205,'OD 01-23'!D:D)</f>
        <v>0</v>
      </c>
      <c r="G205" s="13">
        <f>SUMIF('OD 01-23'!A:A,A205,'OD 01-23'!E:E)</f>
        <v>0</v>
      </c>
      <c r="H205" s="14">
        <f t="shared" si="6"/>
        <v>2424</v>
      </c>
      <c r="I205" s="14">
        <f t="shared" si="7"/>
        <v>2424</v>
      </c>
      <c r="J205" s="8" t="s">
        <v>138</v>
      </c>
      <c r="K205" s="4" t="s">
        <v>509</v>
      </c>
    </row>
    <row r="206" spans="1:11" x14ac:dyDescent="0.2">
      <c r="A206" s="10">
        <v>60110220</v>
      </c>
      <c r="B206" s="10" t="s">
        <v>139</v>
      </c>
      <c r="C206" s="11">
        <v>0</v>
      </c>
      <c r="D206" s="11">
        <v>31615.577980000002</v>
      </c>
      <c r="E206" s="11">
        <v>0</v>
      </c>
      <c r="F206" s="13">
        <f>SUMIF('OD 01-23'!A:A,A206,'OD 01-23'!D:D)</f>
        <v>0</v>
      </c>
      <c r="G206" s="13">
        <f>SUMIF('OD 01-23'!A:A,A206,'OD 01-23'!E:E)</f>
        <v>0</v>
      </c>
      <c r="H206" s="14">
        <f t="shared" si="6"/>
        <v>31615.577980000002</v>
      </c>
      <c r="I206" s="14">
        <f t="shared" si="7"/>
        <v>31615.577980000002</v>
      </c>
      <c r="J206" s="8" t="s">
        <v>138</v>
      </c>
      <c r="K206" s="4" t="s">
        <v>509</v>
      </c>
    </row>
    <row r="207" spans="1:11" x14ac:dyDescent="0.2">
      <c r="A207" s="10">
        <v>60110300</v>
      </c>
      <c r="B207" s="10" t="s">
        <v>140</v>
      </c>
      <c r="C207" s="11">
        <v>0</v>
      </c>
      <c r="D207" s="11">
        <v>7806.3480000000009</v>
      </c>
      <c r="E207" s="11">
        <v>0</v>
      </c>
      <c r="F207" s="13">
        <f>SUMIF('OD 01-23'!A:A,A207,'OD 01-23'!D:D)</f>
        <v>0</v>
      </c>
      <c r="G207" s="13">
        <f>SUMIF('OD 01-23'!A:A,A207,'OD 01-23'!E:E)</f>
        <v>0</v>
      </c>
      <c r="H207" s="14">
        <f t="shared" si="6"/>
        <v>7806.3480000000009</v>
      </c>
      <c r="I207" s="14">
        <f t="shared" si="7"/>
        <v>7806.3480000000009</v>
      </c>
      <c r="J207" s="8" t="s">
        <v>138</v>
      </c>
      <c r="K207" s="4" t="s">
        <v>509</v>
      </c>
    </row>
    <row r="208" spans="1:11" x14ac:dyDescent="0.2">
      <c r="A208" s="10">
        <v>60110310</v>
      </c>
      <c r="B208" s="10" t="s">
        <v>141</v>
      </c>
      <c r="C208" s="11">
        <v>0</v>
      </c>
      <c r="D208" s="11">
        <v>5536.7759999999998</v>
      </c>
      <c r="E208" s="11">
        <v>0</v>
      </c>
      <c r="F208" s="13">
        <f>SUMIF('OD 01-23'!A:A,A208,'OD 01-23'!D:D)</f>
        <v>0</v>
      </c>
      <c r="G208" s="13">
        <f>SUMIF('OD 01-23'!A:A,A208,'OD 01-23'!E:E)</f>
        <v>0</v>
      </c>
      <c r="H208" s="14">
        <f t="shared" si="6"/>
        <v>5536.7759999999998</v>
      </c>
      <c r="I208" s="14">
        <f t="shared" si="7"/>
        <v>5536.7759999999998</v>
      </c>
      <c r="J208" s="8" t="s">
        <v>138</v>
      </c>
      <c r="K208" s="4" t="s">
        <v>509</v>
      </c>
    </row>
    <row r="209" spans="1:11" x14ac:dyDescent="0.2">
      <c r="A209" s="10">
        <v>60110330</v>
      </c>
      <c r="B209" s="10" t="s">
        <v>143</v>
      </c>
      <c r="C209" s="11">
        <v>0</v>
      </c>
      <c r="D209" s="11">
        <v>7042.0410000000002</v>
      </c>
      <c r="E209" s="11">
        <v>0</v>
      </c>
      <c r="F209" s="13">
        <f>SUMIF('OD 01-23'!A:A,A209,'OD 01-23'!D:D)</f>
        <v>0</v>
      </c>
      <c r="G209" s="13">
        <f>SUMIF('OD 01-23'!A:A,A209,'OD 01-23'!E:E)</f>
        <v>0</v>
      </c>
      <c r="H209" s="14">
        <f t="shared" si="6"/>
        <v>7042.0410000000002</v>
      </c>
      <c r="I209" s="14">
        <f t="shared" si="7"/>
        <v>7042.0410000000002</v>
      </c>
      <c r="J209" s="8" t="s">
        <v>138</v>
      </c>
      <c r="K209" s="4" t="s">
        <v>509</v>
      </c>
    </row>
    <row r="210" spans="1:11" x14ac:dyDescent="0.2">
      <c r="A210" s="10">
        <v>60110350</v>
      </c>
      <c r="B210" s="10" t="s">
        <v>261</v>
      </c>
      <c r="C210" s="11">
        <v>0</v>
      </c>
      <c r="D210" s="11">
        <v>734.89</v>
      </c>
      <c r="E210" s="11">
        <v>0</v>
      </c>
      <c r="F210" s="13">
        <f>SUMIF('OD 01-23'!A:A,A210,'OD 01-23'!D:D)</f>
        <v>0</v>
      </c>
      <c r="G210" s="13">
        <f>SUMIF('OD 01-23'!A:A,A210,'OD 01-23'!E:E)</f>
        <v>0</v>
      </c>
      <c r="H210" s="14">
        <f t="shared" si="6"/>
        <v>734.89</v>
      </c>
      <c r="I210" s="14">
        <f t="shared" si="7"/>
        <v>734.89</v>
      </c>
      <c r="J210" s="8" t="s">
        <v>138</v>
      </c>
      <c r="K210" s="4" t="s">
        <v>509</v>
      </c>
    </row>
    <row r="211" spans="1:11" x14ac:dyDescent="0.2">
      <c r="A211" s="10">
        <v>60110500</v>
      </c>
      <c r="B211" s="10" t="s">
        <v>144</v>
      </c>
      <c r="C211" s="11">
        <v>0</v>
      </c>
      <c r="D211" s="11">
        <v>2660.971</v>
      </c>
      <c r="E211" s="11">
        <v>0</v>
      </c>
      <c r="F211" s="13">
        <f>SUMIF('OD 01-23'!A:A,A211,'OD 01-23'!D:D)</f>
        <v>0</v>
      </c>
      <c r="G211" s="13">
        <f>SUMIF('OD 01-23'!A:A,A211,'OD 01-23'!E:E)</f>
        <v>0</v>
      </c>
      <c r="H211" s="14">
        <f t="shared" si="6"/>
        <v>2660.971</v>
      </c>
      <c r="I211" s="14">
        <f t="shared" si="7"/>
        <v>2660.971</v>
      </c>
      <c r="J211" s="8" t="s">
        <v>138</v>
      </c>
      <c r="K211" s="4" t="s">
        <v>509</v>
      </c>
    </row>
    <row r="212" spans="1:11" x14ac:dyDescent="0.2">
      <c r="A212" s="10">
        <v>60110600</v>
      </c>
      <c r="B212" s="10" t="s">
        <v>145</v>
      </c>
      <c r="C212" s="11">
        <v>0</v>
      </c>
      <c r="D212" s="11">
        <v>4168.4459999999999</v>
      </c>
      <c r="E212" s="11">
        <v>0</v>
      </c>
      <c r="F212" s="13">
        <f>SUMIF('OD 01-23'!A:A,A212,'OD 01-23'!D:D)</f>
        <v>0</v>
      </c>
      <c r="G212" s="13">
        <f>SUMIF('OD 01-23'!A:A,A212,'OD 01-23'!E:E)</f>
        <v>0</v>
      </c>
      <c r="H212" s="14">
        <f t="shared" si="6"/>
        <v>4168.4459999999999</v>
      </c>
      <c r="I212" s="14">
        <f t="shared" si="7"/>
        <v>4168.4459999999999</v>
      </c>
      <c r="J212" s="8" t="s">
        <v>138</v>
      </c>
      <c r="K212" s="4" t="s">
        <v>509</v>
      </c>
    </row>
    <row r="213" spans="1:11" x14ac:dyDescent="0.2">
      <c r="A213" s="10">
        <v>60110700</v>
      </c>
      <c r="B213" s="10" t="s">
        <v>146</v>
      </c>
      <c r="C213" s="11">
        <v>0</v>
      </c>
      <c r="D213" s="11">
        <v>2441.4499999999998</v>
      </c>
      <c r="E213" s="11">
        <v>0</v>
      </c>
      <c r="F213" s="13">
        <f>SUMIF('OD 01-23'!A:A,A213,'OD 01-23'!D:D)</f>
        <v>0</v>
      </c>
      <c r="G213" s="13">
        <f>SUMIF('OD 01-23'!A:A,A213,'OD 01-23'!E:E)</f>
        <v>0</v>
      </c>
      <c r="H213" s="14">
        <f t="shared" si="6"/>
        <v>2441.4499999999998</v>
      </c>
      <c r="I213" s="14">
        <f t="shared" si="7"/>
        <v>2441.4499999999998</v>
      </c>
      <c r="J213" s="8" t="s">
        <v>138</v>
      </c>
      <c r="K213" s="4" t="s">
        <v>509</v>
      </c>
    </row>
    <row r="214" spans="1:11" x14ac:dyDescent="0.2">
      <c r="A214" s="10">
        <v>60110900</v>
      </c>
      <c r="B214" s="10" t="s">
        <v>147</v>
      </c>
      <c r="C214" s="11">
        <v>0</v>
      </c>
      <c r="D214" s="11">
        <f>25888.017+23848.726</f>
        <v>49736.743000000002</v>
      </c>
      <c r="E214" s="11">
        <v>0</v>
      </c>
      <c r="F214" s="13">
        <f>SUMIF('OD 01-23'!A:A,A214,'OD 01-23'!D:D)</f>
        <v>0</v>
      </c>
      <c r="G214" s="13">
        <f>SUMIF('OD 01-23'!A:A,A214,'OD 01-23'!E:E)</f>
        <v>0</v>
      </c>
      <c r="H214" s="14">
        <f t="shared" si="6"/>
        <v>49736.743000000002</v>
      </c>
      <c r="I214" s="14">
        <f t="shared" si="7"/>
        <v>49736.743000000002</v>
      </c>
      <c r="J214" s="8" t="s">
        <v>138</v>
      </c>
      <c r="K214" s="4" t="s">
        <v>509</v>
      </c>
    </row>
    <row r="215" spans="1:11" x14ac:dyDescent="0.2">
      <c r="A215" s="10">
        <v>60111000</v>
      </c>
      <c r="B215" s="10" t="s">
        <v>148</v>
      </c>
      <c r="C215" s="11">
        <v>0</v>
      </c>
      <c r="D215" s="11">
        <v>3030</v>
      </c>
      <c r="E215" s="11">
        <v>0</v>
      </c>
      <c r="F215" s="13">
        <f>SUMIF('OD 01-23'!A:A,A215,'OD 01-23'!D:D)</f>
        <v>0</v>
      </c>
      <c r="G215" s="13">
        <f>SUMIF('OD 01-23'!A:A,A215,'OD 01-23'!E:E)</f>
        <v>0</v>
      </c>
      <c r="H215" s="14">
        <f t="shared" si="6"/>
        <v>3030</v>
      </c>
      <c r="I215" s="14">
        <f t="shared" si="7"/>
        <v>3030</v>
      </c>
      <c r="J215" s="8" t="s">
        <v>138</v>
      </c>
      <c r="K215" s="4" t="s">
        <v>509</v>
      </c>
    </row>
    <row r="216" spans="1:11" x14ac:dyDescent="0.2">
      <c r="A216" s="10">
        <v>60120100</v>
      </c>
      <c r="B216" s="10" t="s">
        <v>149</v>
      </c>
      <c r="C216" s="11">
        <v>0</v>
      </c>
      <c r="D216" s="11">
        <v>140745.80701349999</v>
      </c>
      <c r="E216" s="11">
        <v>0</v>
      </c>
      <c r="F216" s="13">
        <f>SUMIF('OD 01-23'!A:A,A216,'OD 01-23'!D:D)</f>
        <v>0</v>
      </c>
      <c r="G216" s="13">
        <f>SUMIF('OD 01-23'!A:A,A216,'OD 01-23'!E:E)</f>
        <v>0</v>
      </c>
      <c r="H216" s="14">
        <f t="shared" si="6"/>
        <v>140745.80701349999</v>
      </c>
      <c r="I216" s="14">
        <f t="shared" si="7"/>
        <v>140745.80701349999</v>
      </c>
      <c r="J216" s="8" t="s">
        <v>138</v>
      </c>
      <c r="K216" s="4" t="s">
        <v>509</v>
      </c>
    </row>
    <row r="217" spans="1:11" x14ac:dyDescent="0.2">
      <c r="A217" s="10">
        <v>60120300</v>
      </c>
      <c r="B217" s="10" t="s">
        <v>150</v>
      </c>
      <c r="C217" s="11">
        <v>0</v>
      </c>
      <c r="D217" s="11">
        <v>1415216.35</v>
      </c>
      <c r="E217" s="11">
        <v>16378</v>
      </c>
      <c r="F217" s="13">
        <f>SUMIF('OD 01-23'!A:A,A217,'OD 01-23'!D:D)</f>
        <v>185288.78</v>
      </c>
      <c r="G217" s="13">
        <f>SUMIF('OD 01-23'!A:A,A217,'OD 01-23'!E:E)</f>
        <v>0</v>
      </c>
      <c r="H217" s="14">
        <f t="shared" si="6"/>
        <v>1584127.1300000001</v>
      </c>
      <c r="I217" s="14">
        <f t="shared" si="7"/>
        <v>1584127.1300000001</v>
      </c>
      <c r="J217" s="8" t="s">
        <v>138</v>
      </c>
      <c r="K217" s="4" t="s">
        <v>509</v>
      </c>
    </row>
    <row r="218" spans="1:11" x14ac:dyDescent="0.2">
      <c r="A218" s="10">
        <v>60120400</v>
      </c>
      <c r="B218" s="10" t="s">
        <v>365</v>
      </c>
      <c r="C218" s="11">
        <v>0</v>
      </c>
      <c r="D218" s="11">
        <v>118092.8</v>
      </c>
      <c r="E218" s="11">
        <v>0</v>
      </c>
      <c r="F218" s="13">
        <f>SUMIF('OD 01-23'!A:A,A218,'OD 01-23'!D:D)</f>
        <v>25120.1</v>
      </c>
      <c r="G218" s="13">
        <f>SUMIF('OD 01-23'!A:A,A218,'OD 01-23'!E:E)</f>
        <v>0</v>
      </c>
      <c r="H218" s="14">
        <f t="shared" si="6"/>
        <v>143212.9</v>
      </c>
      <c r="I218" s="14">
        <f t="shared" si="7"/>
        <v>143212.9</v>
      </c>
      <c r="J218" s="8" t="s">
        <v>138</v>
      </c>
      <c r="K218" s="4" t="s">
        <v>509</v>
      </c>
    </row>
    <row r="219" spans="1:11" x14ac:dyDescent="0.2">
      <c r="A219" s="10">
        <v>60121600</v>
      </c>
      <c r="B219" s="10" t="s">
        <v>154</v>
      </c>
      <c r="C219" s="11">
        <v>0</v>
      </c>
      <c r="D219" s="11">
        <v>52567.199999999997</v>
      </c>
      <c r="E219" s="11">
        <v>0</v>
      </c>
      <c r="F219" s="13">
        <f>SUMIF('OD 01-23'!A:A,A219,'OD 01-23'!D:D)</f>
        <v>0</v>
      </c>
      <c r="G219" s="13">
        <f>SUMIF('OD 01-23'!A:A,A219,'OD 01-23'!E:E)</f>
        <v>0</v>
      </c>
      <c r="H219" s="14">
        <f t="shared" si="6"/>
        <v>52567.199999999997</v>
      </c>
      <c r="I219" s="14">
        <f t="shared" si="7"/>
        <v>52567.199999999997</v>
      </c>
      <c r="J219" s="8" t="s">
        <v>138</v>
      </c>
      <c r="K219" s="4" t="s">
        <v>509</v>
      </c>
    </row>
    <row r="220" spans="1:11" x14ac:dyDescent="0.2">
      <c r="A220" s="10">
        <v>60122100</v>
      </c>
      <c r="B220" s="10" t="s">
        <v>155</v>
      </c>
      <c r="C220" s="11">
        <v>0</v>
      </c>
      <c r="D220" s="11">
        <v>43470</v>
      </c>
      <c r="E220" s="11">
        <v>0</v>
      </c>
      <c r="F220" s="13">
        <f>SUMIF('OD 01-23'!A:A,A220,'OD 01-23'!D:D)</f>
        <v>0</v>
      </c>
      <c r="G220" s="13">
        <f>SUMIF('OD 01-23'!A:A,A220,'OD 01-23'!E:E)</f>
        <v>17010</v>
      </c>
      <c r="H220" s="14">
        <f t="shared" si="6"/>
        <v>26460</v>
      </c>
      <c r="I220" s="14">
        <f t="shared" si="7"/>
        <v>26460</v>
      </c>
      <c r="J220" s="8" t="s">
        <v>138</v>
      </c>
      <c r="K220" s="4" t="s">
        <v>509</v>
      </c>
    </row>
    <row r="221" spans="1:11" x14ac:dyDescent="0.2">
      <c r="A221" s="10">
        <v>60122200</v>
      </c>
      <c r="B221" s="10" t="s">
        <v>156</v>
      </c>
      <c r="C221" s="12">
        <v>0</v>
      </c>
      <c r="D221" s="12">
        <v>0</v>
      </c>
      <c r="E221" s="12">
        <v>0</v>
      </c>
      <c r="F221" s="13">
        <f>SUMIF('OD 01-23'!A:A,A221,'OD 01-23'!D:D)</f>
        <v>17352.3</v>
      </c>
      <c r="G221" s="13">
        <f>SUMIF('OD 01-23'!A:A,A221,'OD 01-23'!E:E)</f>
        <v>0</v>
      </c>
      <c r="H221" s="14">
        <f t="shared" si="6"/>
        <v>17352.3</v>
      </c>
      <c r="I221" s="14">
        <f t="shared" si="7"/>
        <v>17352.3</v>
      </c>
      <c r="J221" s="8" t="s">
        <v>138</v>
      </c>
      <c r="K221" s="4" t="s">
        <v>509</v>
      </c>
    </row>
    <row r="222" spans="1:11" x14ac:dyDescent="0.2">
      <c r="A222" s="10">
        <v>60122410</v>
      </c>
      <c r="B222" s="10" t="s">
        <v>366</v>
      </c>
      <c r="C222" s="11">
        <v>0</v>
      </c>
      <c r="D222" s="11">
        <v>450</v>
      </c>
      <c r="E222" s="11">
        <v>0</v>
      </c>
      <c r="F222" s="13">
        <f>SUMIF('OD 01-23'!A:A,A222,'OD 01-23'!D:D)</f>
        <v>0</v>
      </c>
      <c r="G222" s="13">
        <f>SUMIF('OD 01-23'!A:A,A222,'OD 01-23'!E:E)</f>
        <v>0</v>
      </c>
      <c r="H222" s="14">
        <f t="shared" si="6"/>
        <v>450</v>
      </c>
      <c r="I222" s="14">
        <f t="shared" si="7"/>
        <v>450</v>
      </c>
      <c r="J222" s="8" t="s">
        <v>138</v>
      </c>
      <c r="K222" s="4" t="s">
        <v>509</v>
      </c>
    </row>
    <row r="223" spans="1:11" x14ac:dyDescent="0.2">
      <c r="A223" s="10">
        <v>60122411</v>
      </c>
      <c r="B223" s="10" t="s">
        <v>367</v>
      </c>
      <c r="C223" s="11">
        <v>0</v>
      </c>
      <c r="D223" s="11">
        <v>4020</v>
      </c>
      <c r="E223" s="11">
        <v>0</v>
      </c>
      <c r="F223" s="13">
        <f>SUMIF('OD 01-23'!A:A,A223,'OD 01-23'!D:D)</f>
        <v>0</v>
      </c>
      <c r="G223" s="13">
        <f>SUMIF('OD 01-23'!A:A,A223,'OD 01-23'!E:E)</f>
        <v>0</v>
      </c>
      <c r="H223" s="14">
        <f t="shared" si="6"/>
        <v>4020</v>
      </c>
      <c r="I223" s="14">
        <f t="shared" si="7"/>
        <v>4020</v>
      </c>
      <c r="J223" s="8" t="s">
        <v>138</v>
      </c>
      <c r="K223" s="4" t="s">
        <v>509</v>
      </c>
    </row>
    <row r="224" spans="1:11" x14ac:dyDescent="0.2">
      <c r="A224" s="10">
        <v>60122510</v>
      </c>
      <c r="B224" s="10" t="s">
        <v>368</v>
      </c>
      <c r="C224" s="11">
        <v>0</v>
      </c>
      <c r="D224" s="11">
        <v>3179.652</v>
      </c>
      <c r="E224" s="11">
        <v>0</v>
      </c>
      <c r="F224" s="13">
        <f>SUMIF('OD 01-23'!A:A,A224,'OD 01-23'!D:D)</f>
        <v>0</v>
      </c>
      <c r="G224" s="13">
        <f>SUMIF('OD 01-23'!A:A,A224,'OD 01-23'!E:E)</f>
        <v>0</v>
      </c>
      <c r="H224" s="14">
        <f t="shared" si="6"/>
        <v>3179.652</v>
      </c>
      <c r="I224" s="14">
        <f t="shared" si="7"/>
        <v>3179.652</v>
      </c>
      <c r="J224" s="8" t="s">
        <v>138</v>
      </c>
      <c r="K224" s="4" t="s">
        <v>509</v>
      </c>
    </row>
    <row r="225" spans="1:11" x14ac:dyDescent="0.2">
      <c r="A225" s="10">
        <v>60171000</v>
      </c>
      <c r="B225" s="10" t="s">
        <v>369</v>
      </c>
      <c r="C225" s="11">
        <v>0</v>
      </c>
      <c r="D225" s="11">
        <v>58878.610999999997</v>
      </c>
      <c r="E225" s="11">
        <v>0</v>
      </c>
      <c r="F225" s="13">
        <f>SUMIF('OD 01-23'!A:A,A225,'OD 01-23'!D:D)</f>
        <v>0</v>
      </c>
      <c r="G225" s="13">
        <f>SUMIF('OD 01-23'!A:A,A225,'OD 01-23'!E:E)</f>
        <v>0</v>
      </c>
      <c r="H225" s="14">
        <f t="shared" si="6"/>
        <v>58878.610999999997</v>
      </c>
      <c r="I225" s="14">
        <f t="shared" si="7"/>
        <v>58878.610999999997</v>
      </c>
      <c r="J225" s="8" t="s">
        <v>138</v>
      </c>
      <c r="K225" s="4" t="s">
        <v>509</v>
      </c>
    </row>
    <row r="226" spans="1:11" x14ac:dyDescent="0.2">
      <c r="A226" s="10">
        <v>60172000</v>
      </c>
      <c r="B226" s="10" t="s">
        <v>169</v>
      </c>
      <c r="C226" s="11">
        <v>0</v>
      </c>
      <c r="D226" s="11">
        <v>109988.649</v>
      </c>
      <c r="E226" s="11">
        <v>0</v>
      </c>
      <c r="F226" s="13">
        <f>SUMIF('OD 01-23'!A:A,A226,'OD 01-23'!D:D)</f>
        <v>0</v>
      </c>
      <c r="G226" s="13">
        <f>SUMIF('OD 01-23'!A:A,A226,'OD 01-23'!E:E)</f>
        <v>0</v>
      </c>
      <c r="H226" s="14">
        <f t="shared" si="6"/>
        <v>109988.649</v>
      </c>
      <c r="I226" s="14">
        <f t="shared" si="7"/>
        <v>109988.649</v>
      </c>
      <c r="J226" s="8" t="s">
        <v>138</v>
      </c>
      <c r="K226" s="4" t="s">
        <v>509</v>
      </c>
    </row>
    <row r="227" spans="1:11" x14ac:dyDescent="0.2">
      <c r="A227" s="10">
        <v>60173000</v>
      </c>
      <c r="B227" s="10" t="s">
        <v>170</v>
      </c>
      <c r="C227" s="11">
        <v>0</v>
      </c>
      <c r="D227" s="11">
        <v>19219.824000000001</v>
      </c>
      <c r="E227" s="11">
        <v>19219.824000000001</v>
      </c>
      <c r="F227" s="13">
        <f>SUMIF('OD 01-23'!A:A,A227,'OD 01-23'!D:D)</f>
        <v>4926.3500000000004</v>
      </c>
      <c r="G227" s="13">
        <f>SUMIF('OD 01-23'!A:A,A227,'OD 01-23'!E:E)</f>
        <v>0</v>
      </c>
      <c r="H227" s="14">
        <f t="shared" si="6"/>
        <v>4926.3499999999985</v>
      </c>
      <c r="I227" s="14">
        <f t="shared" si="7"/>
        <v>4926.3499999999985</v>
      </c>
      <c r="J227" s="8" t="s">
        <v>138</v>
      </c>
      <c r="K227" s="4" t="s">
        <v>509</v>
      </c>
    </row>
    <row r="228" spans="1:11" x14ac:dyDescent="0.2">
      <c r="A228" s="10">
        <v>60191000</v>
      </c>
      <c r="B228" s="10" t="s">
        <v>158</v>
      </c>
      <c r="C228" s="11">
        <v>0</v>
      </c>
      <c r="D228" s="11">
        <v>62094.632999999994</v>
      </c>
      <c r="E228" s="11">
        <v>4215.4179999999997</v>
      </c>
      <c r="F228" s="13">
        <f>SUMIF('OD 01-23'!A:A,A228,'OD 01-23'!D:D)</f>
        <v>0</v>
      </c>
      <c r="G228" s="13">
        <f>SUMIF('OD 01-23'!A:A,A228,'OD 01-23'!E:E)</f>
        <v>0</v>
      </c>
      <c r="H228" s="14">
        <f t="shared" si="6"/>
        <v>57879.214999999997</v>
      </c>
      <c r="I228" s="14">
        <f t="shared" si="7"/>
        <v>57879.214999999997</v>
      </c>
      <c r="J228" s="8" t="s">
        <v>138</v>
      </c>
      <c r="K228" s="4" t="s">
        <v>509</v>
      </c>
    </row>
    <row r="229" spans="1:11" x14ac:dyDescent="0.2">
      <c r="A229" s="10">
        <v>60215000</v>
      </c>
      <c r="B229" s="10" t="s">
        <v>370</v>
      </c>
      <c r="C229" s="11">
        <v>0</v>
      </c>
      <c r="D229" s="11">
        <v>24171.527000000002</v>
      </c>
      <c r="E229" s="11">
        <v>0</v>
      </c>
      <c r="F229" s="13">
        <f>SUMIF('OD 01-23'!A:A,A229,'OD 01-23'!D:D)</f>
        <v>0</v>
      </c>
      <c r="G229" s="13">
        <f>SUMIF('OD 01-23'!A:A,A229,'OD 01-23'!E:E)</f>
        <v>0</v>
      </c>
      <c r="H229" s="14">
        <f t="shared" si="6"/>
        <v>24171.527000000002</v>
      </c>
      <c r="I229" s="14">
        <f t="shared" si="7"/>
        <v>24171.527000000002</v>
      </c>
      <c r="J229" s="8" t="s">
        <v>138</v>
      </c>
      <c r="K229" s="4" t="s">
        <v>509</v>
      </c>
    </row>
    <row r="230" spans="1:11" x14ac:dyDescent="0.2">
      <c r="A230" s="10">
        <v>60216000</v>
      </c>
      <c r="B230" s="10" t="s">
        <v>371</v>
      </c>
      <c r="C230" s="11">
        <v>0</v>
      </c>
      <c r="D230" s="11">
        <v>95486.945735999994</v>
      </c>
      <c r="E230" s="11">
        <v>0</v>
      </c>
      <c r="F230" s="13">
        <f>SUMIF('OD 01-23'!A:A,A230,'OD 01-23'!D:D)</f>
        <v>0</v>
      </c>
      <c r="G230" s="13">
        <f>SUMIF('OD 01-23'!A:A,A230,'OD 01-23'!E:E)</f>
        <v>0</v>
      </c>
      <c r="H230" s="14">
        <f t="shared" si="6"/>
        <v>95486.945735999994</v>
      </c>
      <c r="I230" s="14">
        <f t="shared" si="7"/>
        <v>95486.945735999994</v>
      </c>
      <c r="J230" s="8" t="s">
        <v>138</v>
      </c>
      <c r="K230" s="4" t="s">
        <v>509</v>
      </c>
    </row>
    <row r="231" spans="1:11" x14ac:dyDescent="0.2">
      <c r="A231" s="10">
        <v>60260200</v>
      </c>
      <c r="B231" s="10" t="s">
        <v>372</v>
      </c>
      <c r="C231" s="11">
        <v>0</v>
      </c>
      <c r="D231" s="11">
        <v>183686.772</v>
      </c>
      <c r="E231" s="11">
        <v>0</v>
      </c>
      <c r="F231" s="13">
        <f>SUMIF('OD 01-23'!A:A,A231,'OD 01-23'!D:D)</f>
        <v>0</v>
      </c>
      <c r="G231" s="13">
        <f>SUMIF('OD 01-23'!A:A,A231,'OD 01-23'!E:E)</f>
        <v>0</v>
      </c>
      <c r="H231" s="14">
        <f t="shared" si="6"/>
        <v>183686.772</v>
      </c>
      <c r="I231" s="14">
        <f t="shared" si="7"/>
        <v>183686.772</v>
      </c>
      <c r="J231" s="8" t="s">
        <v>138</v>
      </c>
      <c r="K231" s="4" t="s">
        <v>509</v>
      </c>
    </row>
    <row r="232" spans="1:11" x14ac:dyDescent="0.2">
      <c r="A232" s="10">
        <v>60260300</v>
      </c>
      <c r="B232" s="10" t="s">
        <v>160</v>
      </c>
      <c r="C232" s="11">
        <v>0</v>
      </c>
      <c r="D232" s="11">
        <v>184340.935</v>
      </c>
      <c r="E232" s="11">
        <v>183266.77299999999</v>
      </c>
      <c r="F232" s="13">
        <f>SUMIF('OD 01-23'!A:A,A232,'OD 01-23'!D:D)</f>
        <v>0</v>
      </c>
      <c r="G232" s="13">
        <f>SUMIF('OD 01-23'!A:A,A232,'OD 01-23'!E:E)</f>
        <v>0</v>
      </c>
      <c r="H232" s="14">
        <f t="shared" si="6"/>
        <v>1074.1620000000112</v>
      </c>
      <c r="I232" s="14">
        <f t="shared" si="7"/>
        <v>1074.1620000000112</v>
      </c>
      <c r="J232" s="8" t="s">
        <v>138</v>
      </c>
      <c r="K232" s="4" t="s">
        <v>509</v>
      </c>
    </row>
    <row r="233" spans="1:11" x14ac:dyDescent="0.2">
      <c r="A233" s="10">
        <v>60260400</v>
      </c>
      <c r="B233" s="10" t="s">
        <v>161</v>
      </c>
      <c r="C233" s="11">
        <v>0</v>
      </c>
      <c r="D233" s="11">
        <v>15537</v>
      </c>
      <c r="E233" s="11">
        <v>0</v>
      </c>
      <c r="F233" s="13">
        <f>SUMIF('OD 01-23'!A:A,A233,'OD 01-23'!D:D)</f>
        <v>5940</v>
      </c>
      <c r="G233" s="13">
        <f>SUMIF('OD 01-23'!A:A,A233,'OD 01-23'!E:E)</f>
        <v>0</v>
      </c>
      <c r="H233" s="14">
        <f t="shared" si="6"/>
        <v>21477</v>
      </c>
      <c r="I233" s="14">
        <f t="shared" si="7"/>
        <v>21477</v>
      </c>
      <c r="J233" s="8" t="s">
        <v>138</v>
      </c>
      <c r="K233" s="4" t="s">
        <v>509</v>
      </c>
    </row>
    <row r="234" spans="1:11" x14ac:dyDescent="0.2">
      <c r="A234" s="10">
        <v>60260500</v>
      </c>
      <c r="B234" s="10" t="s">
        <v>162</v>
      </c>
      <c r="C234" s="11">
        <v>0</v>
      </c>
      <c r="D234" s="11">
        <v>4732.5</v>
      </c>
      <c r="E234" s="11">
        <v>0</v>
      </c>
      <c r="F234" s="13">
        <f>SUMIF('OD 01-23'!A:A,A234,'OD 01-23'!D:D)</f>
        <v>0</v>
      </c>
      <c r="G234" s="13">
        <f>SUMIF('OD 01-23'!A:A,A234,'OD 01-23'!E:E)</f>
        <v>0</v>
      </c>
      <c r="H234" s="14">
        <f t="shared" si="6"/>
        <v>4732.5</v>
      </c>
      <c r="I234" s="14">
        <f t="shared" si="7"/>
        <v>4732.5</v>
      </c>
      <c r="J234" s="8" t="s">
        <v>138</v>
      </c>
      <c r="K234" s="4" t="s">
        <v>509</v>
      </c>
    </row>
    <row r="235" spans="1:11" x14ac:dyDescent="0.2">
      <c r="A235" s="10">
        <v>60260700</v>
      </c>
      <c r="B235" s="10" t="s">
        <v>163</v>
      </c>
      <c r="C235" s="11">
        <v>0</v>
      </c>
      <c r="D235" s="11">
        <v>9692</v>
      </c>
      <c r="E235" s="11">
        <v>0</v>
      </c>
      <c r="F235" s="13">
        <f>SUMIF('OD 01-23'!A:A,A235,'OD 01-23'!D:D)</f>
        <v>0</v>
      </c>
      <c r="G235" s="13">
        <f>SUMIF('OD 01-23'!A:A,A235,'OD 01-23'!E:E)</f>
        <v>0</v>
      </c>
      <c r="H235" s="14">
        <f t="shared" si="6"/>
        <v>9692</v>
      </c>
      <c r="I235" s="14">
        <f t="shared" si="7"/>
        <v>9692</v>
      </c>
      <c r="J235" s="8" t="s">
        <v>138</v>
      </c>
      <c r="K235" s="4" t="s">
        <v>509</v>
      </c>
    </row>
    <row r="236" spans="1:11" x14ac:dyDescent="0.2">
      <c r="A236" s="10">
        <v>60262000</v>
      </c>
      <c r="B236" s="10" t="s">
        <v>164</v>
      </c>
      <c r="C236" s="11">
        <v>0</v>
      </c>
      <c r="D236" s="11">
        <v>23998.743999999999</v>
      </c>
      <c r="E236" s="11">
        <v>0</v>
      </c>
      <c r="F236" s="13">
        <f>SUMIF('OD 01-23'!A:A,A236,'OD 01-23'!D:D)</f>
        <v>1870</v>
      </c>
      <c r="G236" s="13">
        <f>SUMIF('OD 01-23'!A:A,A236,'OD 01-23'!E:E)</f>
        <v>0</v>
      </c>
      <c r="H236" s="14">
        <f t="shared" si="6"/>
        <v>25868.743999999999</v>
      </c>
      <c r="I236" s="14">
        <f t="shared" si="7"/>
        <v>25868.743999999999</v>
      </c>
      <c r="J236" s="8" t="s">
        <v>138</v>
      </c>
      <c r="K236" s="4" t="s">
        <v>509</v>
      </c>
    </row>
    <row r="237" spans="1:11" x14ac:dyDescent="0.2">
      <c r="A237" s="10">
        <v>60263000</v>
      </c>
      <c r="B237" s="10" t="s">
        <v>165</v>
      </c>
      <c r="C237" s="11">
        <v>0</v>
      </c>
      <c r="D237" s="11">
        <v>5866.08</v>
      </c>
      <c r="E237" s="11">
        <v>0</v>
      </c>
      <c r="F237" s="13">
        <f>SUMIF('OD 01-23'!A:A,A237,'OD 01-23'!D:D)</f>
        <v>0</v>
      </c>
      <c r="G237" s="13">
        <f>SUMIF('OD 01-23'!A:A,A237,'OD 01-23'!E:E)</f>
        <v>0</v>
      </c>
      <c r="H237" s="14">
        <f t="shared" si="6"/>
        <v>5866.08</v>
      </c>
      <c r="I237" s="14">
        <f t="shared" si="7"/>
        <v>5866.08</v>
      </c>
      <c r="J237" s="8" t="s">
        <v>138</v>
      </c>
      <c r="K237" s="4" t="s">
        <v>509</v>
      </c>
    </row>
    <row r="238" spans="1:11" x14ac:dyDescent="0.2">
      <c r="A238" s="10">
        <v>60310000</v>
      </c>
      <c r="B238" s="10" t="s">
        <v>265</v>
      </c>
      <c r="C238" s="11">
        <v>0</v>
      </c>
      <c r="D238" s="11">
        <v>10125104.671</v>
      </c>
      <c r="E238" s="11">
        <v>0</v>
      </c>
      <c r="F238" s="13">
        <f>SUMIF('OD 01-23'!A:A,A238,'OD 01-23'!D:D)</f>
        <v>0</v>
      </c>
      <c r="G238" s="13">
        <f>SUMIF('OD 01-23'!A:A,A238,'OD 01-23'!E:E)</f>
        <v>10236706.575999999</v>
      </c>
      <c r="H238" s="14">
        <f t="shared" si="6"/>
        <v>-111601.90499999933</v>
      </c>
      <c r="I238" s="14">
        <f t="shared" si="7"/>
        <v>-111601.90499999933</v>
      </c>
      <c r="J238" s="8" t="s">
        <v>138</v>
      </c>
      <c r="K238" s="4" t="s">
        <v>509</v>
      </c>
    </row>
    <row r="239" spans="1:11" x14ac:dyDescent="0.2">
      <c r="A239" s="10">
        <v>60330000</v>
      </c>
      <c r="B239" s="10" t="s">
        <v>266</v>
      </c>
      <c r="C239" s="11">
        <v>0</v>
      </c>
      <c r="D239" s="11">
        <v>583630.65099999995</v>
      </c>
      <c r="E239" s="11">
        <v>0</v>
      </c>
      <c r="F239" s="13">
        <f>SUMIF('OD 01-23'!A:A,A239,'OD 01-23'!D:D)</f>
        <v>0</v>
      </c>
      <c r="G239" s="13">
        <f>SUMIF('OD 01-23'!A:A,A239,'OD 01-23'!E:E)</f>
        <v>596194.15399999998</v>
      </c>
      <c r="H239" s="14">
        <f t="shared" si="6"/>
        <v>-12563.503000000026</v>
      </c>
      <c r="I239" s="14">
        <f t="shared" si="7"/>
        <v>-12563.503000000026</v>
      </c>
      <c r="J239" s="8" t="s">
        <v>157</v>
      </c>
      <c r="K239" s="4" t="s">
        <v>512</v>
      </c>
    </row>
    <row r="240" spans="1:11" x14ac:dyDescent="0.2">
      <c r="A240" s="10">
        <v>60502000</v>
      </c>
      <c r="B240" s="10" t="s">
        <v>167</v>
      </c>
      <c r="C240" s="11">
        <v>0</v>
      </c>
      <c r="D240" s="11">
        <v>193299.08199999999</v>
      </c>
      <c r="E240" s="11">
        <v>170518.39999999999</v>
      </c>
      <c r="F240" s="13">
        <f>SUMIF('OD 01-23'!A:A,A240,'OD 01-23'!D:D)</f>
        <v>21278</v>
      </c>
      <c r="G240" s="13">
        <f>SUMIF('OD 01-23'!A:A,A240,'OD 01-23'!E:E)</f>
        <v>0</v>
      </c>
      <c r="H240" s="14">
        <f t="shared" si="6"/>
        <v>44058.682000000001</v>
      </c>
      <c r="I240" s="14">
        <f t="shared" si="7"/>
        <v>44058.682000000001</v>
      </c>
      <c r="J240" s="8" t="s">
        <v>157</v>
      </c>
      <c r="K240" s="4" t="s">
        <v>512</v>
      </c>
    </row>
    <row r="241" spans="1:11" x14ac:dyDescent="0.2">
      <c r="A241" s="10">
        <v>60614000</v>
      </c>
      <c r="B241" s="10" t="s">
        <v>171</v>
      </c>
      <c r="C241" s="11">
        <v>0</v>
      </c>
      <c r="D241" s="11">
        <v>17588.852999999999</v>
      </c>
      <c r="E241" s="11">
        <v>0</v>
      </c>
      <c r="F241" s="13">
        <f>SUMIF('OD 01-23'!A:A,A241,'OD 01-23'!D:D)</f>
        <v>0</v>
      </c>
      <c r="G241" s="13">
        <f>SUMIF('OD 01-23'!A:A,A241,'OD 01-23'!E:E)</f>
        <v>0</v>
      </c>
      <c r="H241" s="14">
        <f t="shared" si="6"/>
        <v>17588.852999999999</v>
      </c>
      <c r="I241" s="14">
        <f t="shared" si="7"/>
        <v>17588.852999999999</v>
      </c>
      <c r="J241" s="8" t="s">
        <v>157</v>
      </c>
      <c r="K241" s="4" t="s">
        <v>512</v>
      </c>
    </row>
    <row r="242" spans="1:11" x14ac:dyDescent="0.2">
      <c r="A242" s="10">
        <v>60620000</v>
      </c>
      <c r="B242" s="10" t="s">
        <v>172</v>
      </c>
      <c r="C242" s="11">
        <v>0</v>
      </c>
      <c r="D242" s="11">
        <v>1678.3939999999998</v>
      </c>
      <c r="E242" s="11">
        <v>0</v>
      </c>
      <c r="F242" s="13">
        <f>SUMIF('OD 01-23'!A:A,A242,'OD 01-23'!D:D)</f>
        <v>0</v>
      </c>
      <c r="G242" s="13">
        <f>SUMIF('OD 01-23'!A:A,A242,'OD 01-23'!E:E)</f>
        <v>0</v>
      </c>
      <c r="H242" s="14">
        <f t="shared" si="6"/>
        <v>1678.3939999999998</v>
      </c>
      <c r="I242" s="14">
        <f t="shared" si="7"/>
        <v>1678.3939999999998</v>
      </c>
      <c r="J242" s="8" t="s">
        <v>157</v>
      </c>
      <c r="K242" s="4" t="s">
        <v>512</v>
      </c>
    </row>
    <row r="243" spans="1:11" x14ac:dyDescent="0.2">
      <c r="A243" s="10">
        <v>60650000</v>
      </c>
      <c r="B243" s="10" t="s">
        <v>373</v>
      </c>
      <c r="C243" s="11">
        <v>0</v>
      </c>
      <c r="D243" s="11">
        <v>1170</v>
      </c>
      <c r="E243" s="11">
        <v>0</v>
      </c>
      <c r="F243" s="13">
        <f>SUMIF('OD 01-23'!A:A,A243,'OD 01-23'!D:D)</f>
        <v>0</v>
      </c>
      <c r="G243" s="13">
        <f>SUMIF('OD 01-23'!A:A,A243,'OD 01-23'!E:E)</f>
        <v>0</v>
      </c>
      <c r="H243" s="14">
        <f t="shared" si="6"/>
        <v>1170</v>
      </c>
      <c r="I243" s="14">
        <f t="shared" si="7"/>
        <v>1170</v>
      </c>
      <c r="J243" s="8" t="s">
        <v>138</v>
      </c>
      <c r="K243" s="4" t="s">
        <v>509</v>
      </c>
    </row>
    <row r="244" spans="1:11" x14ac:dyDescent="0.2">
      <c r="A244" s="10">
        <v>60660000</v>
      </c>
      <c r="B244" s="10" t="s">
        <v>173</v>
      </c>
      <c r="C244" s="11">
        <v>0</v>
      </c>
      <c r="D244" s="11">
        <v>450</v>
      </c>
      <c r="E244" s="11">
        <v>0</v>
      </c>
      <c r="F244" s="13">
        <f>SUMIF('OD 01-23'!A:A,A244,'OD 01-23'!D:D)</f>
        <v>0</v>
      </c>
      <c r="G244" s="13">
        <f>SUMIF('OD 01-23'!A:A,A244,'OD 01-23'!E:E)</f>
        <v>0</v>
      </c>
      <c r="H244" s="14">
        <f t="shared" si="6"/>
        <v>450</v>
      </c>
      <c r="I244" s="14">
        <f t="shared" si="7"/>
        <v>450</v>
      </c>
      <c r="J244" s="8" t="s">
        <v>157</v>
      </c>
      <c r="K244" s="4" t="s">
        <v>512</v>
      </c>
    </row>
    <row r="245" spans="1:11" x14ac:dyDescent="0.2">
      <c r="A245" s="10">
        <v>60670000</v>
      </c>
      <c r="B245" s="10" t="s">
        <v>174</v>
      </c>
      <c r="C245" s="11">
        <v>0</v>
      </c>
      <c r="D245" s="11">
        <v>1475.8</v>
      </c>
      <c r="E245" s="11">
        <v>0</v>
      </c>
      <c r="F245" s="13">
        <f>SUMIF('OD 01-23'!A:A,A245,'OD 01-23'!D:D)</f>
        <v>0</v>
      </c>
      <c r="G245" s="13">
        <f>SUMIF('OD 01-23'!A:A,A245,'OD 01-23'!E:E)</f>
        <v>0</v>
      </c>
      <c r="H245" s="14">
        <f t="shared" si="6"/>
        <v>1475.8</v>
      </c>
      <c r="I245" s="14">
        <f t="shared" si="7"/>
        <v>1475.8</v>
      </c>
      <c r="J245" s="8" t="s">
        <v>157</v>
      </c>
      <c r="K245" s="4" t="s">
        <v>512</v>
      </c>
    </row>
    <row r="246" spans="1:11" x14ac:dyDescent="0.2">
      <c r="A246" s="10">
        <v>60671000</v>
      </c>
      <c r="B246" s="10" t="s">
        <v>374</v>
      </c>
      <c r="C246" s="11">
        <v>0</v>
      </c>
      <c r="D246" s="11">
        <v>7352.2</v>
      </c>
      <c r="E246" s="11">
        <v>0</v>
      </c>
      <c r="F246" s="13">
        <f>SUMIF('OD 01-23'!A:A,A246,'OD 01-23'!D:D)</f>
        <v>0</v>
      </c>
      <c r="G246" s="13">
        <f>SUMIF('OD 01-23'!A:A,A246,'OD 01-23'!E:E)</f>
        <v>0</v>
      </c>
      <c r="H246" s="14">
        <f t="shared" si="6"/>
        <v>7352.2</v>
      </c>
      <c r="I246" s="14">
        <f t="shared" si="7"/>
        <v>7352.2</v>
      </c>
      <c r="J246" s="8" t="s">
        <v>157</v>
      </c>
      <c r="K246" s="4" t="s">
        <v>512</v>
      </c>
    </row>
    <row r="247" spans="1:11" x14ac:dyDescent="0.2">
      <c r="A247" s="10">
        <v>61400000</v>
      </c>
      <c r="B247" s="10" t="s">
        <v>175</v>
      </c>
      <c r="C247" s="11">
        <v>0</v>
      </c>
      <c r="D247" s="11">
        <v>3776.6659999999997</v>
      </c>
      <c r="E247" s="11">
        <v>0</v>
      </c>
      <c r="F247" s="13">
        <f>SUMIF('OD 01-23'!A:A,A247,'OD 01-23'!D:D)</f>
        <v>0</v>
      </c>
      <c r="G247" s="13">
        <f>SUMIF('OD 01-23'!A:A,A247,'OD 01-23'!E:E)</f>
        <v>0</v>
      </c>
      <c r="H247" s="14">
        <f t="shared" si="6"/>
        <v>3776.6659999999997</v>
      </c>
      <c r="I247" s="14">
        <f t="shared" si="7"/>
        <v>3776.6659999999997</v>
      </c>
      <c r="J247" s="8" t="s">
        <v>157</v>
      </c>
      <c r="K247" s="4" t="s">
        <v>512</v>
      </c>
    </row>
    <row r="248" spans="1:11" x14ac:dyDescent="0.2">
      <c r="A248" s="10">
        <v>61500000</v>
      </c>
      <c r="B248" s="10" t="s">
        <v>176</v>
      </c>
      <c r="C248" s="11">
        <v>0</v>
      </c>
      <c r="D248" s="11">
        <v>20538.642</v>
      </c>
      <c r="E248" s="11">
        <v>0</v>
      </c>
      <c r="F248" s="13">
        <f>SUMIF('OD 01-23'!A:A,A248,'OD 01-23'!D:D)</f>
        <v>4703.3609999999999</v>
      </c>
      <c r="G248" s="13">
        <f>SUMIF('OD 01-23'!A:A,A248,'OD 01-23'!E:E)</f>
        <v>0</v>
      </c>
      <c r="H248" s="14">
        <f t="shared" si="6"/>
        <v>25242.003000000001</v>
      </c>
      <c r="I248" s="14">
        <f t="shared" si="7"/>
        <v>25242.003000000001</v>
      </c>
      <c r="J248" s="8" t="s">
        <v>157</v>
      </c>
      <c r="K248" s="4" t="s">
        <v>512</v>
      </c>
    </row>
    <row r="249" spans="1:11" x14ac:dyDescent="0.2">
      <c r="A249" s="10">
        <v>61501000</v>
      </c>
      <c r="B249" s="10" t="s">
        <v>177</v>
      </c>
      <c r="C249" s="11">
        <v>0</v>
      </c>
      <c r="D249" s="11">
        <v>2965.096</v>
      </c>
      <c r="E249" s="11">
        <v>0</v>
      </c>
      <c r="F249" s="13">
        <f>SUMIF('OD 01-23'!A:A,A249,'OD 01-23'!D:D)</f>
        <v>0</v>
      </c>
      <c r="G249" s="13">
        <f>SUMIF('OD 01-23'!A:A,A249,'OD 01-23'!E:E)</f>
        <v>0</v>
      </c>
      <c r="H249" s="14">
        <f t="shared" si="6"/>
        <v>2965.096</v>
      </c>
      <c r="I249" s="14">
        <f t="shared" si="7"/>
        <v>2965.096</v>
      </c>
      <c r="J249" s="8" t="s">
        <v>157</v>
      </c>
      <c r="K249" s="4" t="s">
        <v>512</v>
      </c>
    </row>
    <row r="250" spans="1:11" x14ac:dyDescent="0.2">
      <c r="A250" s="10">
        <v>61603000</v>
      </c>
      <c r="B250" s="10" t="s">
        <v>178</v>
      </c>
      <c r="C250" s="12">
        <v>0</v>
      </c>
      <c r="D250" s="12">
        <v>0</v>
      </c>
      <c r="E250" s="12">
        <v>0</v>
      </c>
      <c r="F250" s="13">
        <f>SUMIF('OD 01-23'!A:A,A250,'OD 01-23'!D:D)</f>
        <v>2450.7930000000001</v>
      </c>
      <c r="G250" s="13">
        <f>SUMIF('OD 01-23'!A:A,A250,'OD 01-23'!E:E)</f>
        <v>0</v>
      </c>
      <c r="H250" s="14">
        <f t="shared" si="6"/>
        <v>2450.7930000000001</v>
      </c>
      <c r="I250" s="14">
        <f t="shared" si="7"/>
        <v>2450.7930000000001</v>
      </c>
      <c r="J250" s="8" t="s">
        <v>157</v>
      </c>
      <c r="K250" s="4" t="s">
        <v>512</v>
      </c>
    </row>
    <row r="251" spans="1:11" x14ac:dyDescent="0.2">
      <c r="A251" s="10">
        <v>61607000</v>
      </c>
      <c r="B251" s="10" t="s">
        <v>179</v>
      </c>
      <c r="C251" s="11">
        <v>0</v>
      </c>
      <c r="D251" s="11">
        <v>14731.2</v>
      </c>
      <c r="E251" s="11">
        <v>0</v>
      </c>
      <c r="F251" s="13">
        <f>SUMIF('OD 01-23'!A:A,A251,'OD 01-23'!D:D)</f>
        <v>0</v>
      </c>
      <c r="G251" s="13">
        <f>SUMIF('OD 01-23'!A:A,A251,'OD 01-23'!E:E)</f>
        <v>13503.6</v>
      </c>
      <c r="H251" s="14">
        <f t="shared" si="6"/>
        <v>1227.6000000000004</v>
      </c>
      <c r="I251" s="14">
        <f t="shared" si="7"/>
        <v>1227.6000000000004</v>
      </c>
      <c r="J251" s="8" t="s">
        <v>157</v>
      </c>
      <c r="K251" s="4" t="s">
        <v>512</v>
      </c>
    </row>
    <row r="252" spans="1:11" x14ac:dyDescent="0.2">
      <c r="A252" s="10">
        <v>62120000</v>
      </c>
      <c r="B252" s="10" t="s">
        <v>180</v>
      </c>
      <c r="C252" s="11">
        <v>0</v>
      </c>
      <c r="D252" s="11">
        <v>2815.68</v>
      </c>
      <c r="E252" s="11">
        <v>0</v>
      </c>
      <c r="F252" s="13">
        <f>SUMIF('OD 01-23'!A:A,A252,'OD 01-23'!D:D)</f>
        <v>0</v>
      </c>
      <c r="G252" s="13">
        <f>SUMIF('OD 01-23'!A:A,A252,'OD 01-23'!E:E)</f>
        <v>0</v>
      </c>
      <c r="H252" s="14">
        <f t="shared" si="6"/>
        <v>2815.68</v>
      </c>
      <c r="I252" s="14">
        <f t="shared" si="7"/>
        <v>2815.68</v>
      </c>
      <c r="J252" s="8" t="s">
        <v>157</v>
      </c>
      <c r="K252" s="4" t="s">
        <v>512</v>
      </c>
    </row>
    <row r="253" spans="1:11" x14ac:dyDescent="0.2">
      <c r="A253" s="10">
        <v>62200000</v>
      </c>
      <c r="B253" s="10" t="s">
        <v>181</v>
      </c>
      <c r="C253" s="12">
        <v>0</v>
      </c>
      <c r="D253" s="12">
        <v>0</v>
      </c>
      <c r="E253" s="12">
        <v>0</v>
      </c>
      <c r="F253" s="13">
        <f>SUMIF('OD 01-23'!A:A,A253,'OD 01-23'!D:D)</f>
        <v>1490</v>
      </c>
      <c r="G253" s="13">
        <f>SUMIF('OD 01-23'!A:A,A253,'OD 01-23'!E:E)</f>
        <v>0</v>
      </c>
      <c r="H253" s="14">
        <f t="shared" si="6"/>
        <v>1490</v>
      </c>
      <c r="I253" s="14">
        <f t="shared" si="7"/>
        <v>1490</v>
      </c>
      <c r="J253" s="8" t="s">
        <v>157</v>
      </c>
      <c r="K253" s="4" t="s">
        <v>512</v>
      </c>
    </row>
    <row r="254" spans="1:11" x14ac:dyDescent="0.2">
      <c r="A254" s="10">
        <v>62230000</v>
      </c>
      <c r="B254" s="10" t="s">
        <v>375</v>
      </c>
      <c r="C254" s="11">
        <v>0</v>
      </c>
      <c r="D254" s="11">
        <v>3600</v>
      </c>
      <c r="E254" s="11">
        <v>0</v>
      </c>
      <c r="F254" s="13">
        <f>SUMIF('OD 01-23'!A:A,A254,'OD 01-23'!D:D)</f>
        <v>0</v>
      </c>
      <c r="G254" s="13">
        <f>SUMIF('OD 01-23'!A:A,A254,'OD 01-23'!E:E)</f>
        <v>0</v>
      </c>
      <c r="H254" s="14">
        <f t="shared" si="6"/>
        <v>3600</v>
      </c>
      <c r="I254" s="14">
        <f t="shared" si="7"/>
        <v>3600</v>
      </c>
      <c r="J254" s="8" t="s">
        <v>157</v>
      </c>
      <c r="K254" s="4" t="s">
        <v>512</v>
      </c>
    </row>
    <row r="255" spans="1:11" x14ac:dyDescent="0.2">
      <c r="A255" s="10">
        <v>62240000</v>
      </c>
      <c r="B255" s="10" t="s">
        <v>267</v>
      </c>
      <c r="C255" s="12">
        <v>0</v>
      </c>
      <c r="D255" s="12">
        <v>0</v>
      </c>
      <c r="E255" s="12">
        <v>0</v>
      </c>
      <c r="F255" s="13">
        <f>SUMIF('OD 01-23'!A:A,A255,'OD 01-23'!D:D)</f>
        <v>2782.5239999999999</v>
      </c>
      <c r="G255" s="13">
        <f>SUMIF('OD 01-23'!A:A,A255,'OD 01-23'!E:E)</f>
        <v>0</v>
      </c>
      <c r="H255" s="14">
        <f t="shared" si="6"/>
        <v>2782.5239999999999</v>
      </c>
      <c r="I255" s="14">
        <f t="shared" si="7"/>
        <v>2782.5239999999999</v>
      </c>
      <c r="J255" s="8" t="s">
        <v>157</v>
      </c>
      <c r="K255" s="4" t="s">
        <v>512</v>
      </c>
    </row>
    <row r="256" spans="1:11" x14ac:dyDescent="0.2">
      <c r="A256" s="10">
        <v>62250000</v>
      </c>
      <c r="B256" s="10" t="s">
        <v>268</v>
      </c>
      <c r="C256" s="12">
        <v>0</v>
      </c>
      <c r="D256" s="12">
        <v>0</v>
      </c>
      <c r="E256" s="12">
        <v>0</v>
      </c>
      <c r="F256" s="13">
        <f>SUMIF('OD 01-23'!A:A,A256,'OD 01-23'!D:D)</f>
        <v>5000</v>
      </c>
      <c r="G256" s="13">
        <f>SUMIF('OD 01-23'!A:A,A256,'OD 01-23'!E:E)</f>
        <v>0</v>
      </c>
      <c r="H256" s="14">
        <f t="shared" si="6"/>
        <v>5000</v>
      </c>
      <c r="I256" s="14">
        <f t="shared" si="7"/>
        <v>5000</v>
      </c>
      <c r="J256" s="8" t="s">
        <v>157</v>
      </c>
      <c r="K256" s="4" t="s">
        <v>512</v>
      </c>
    </row>
    <row r="257" spans="1:11" x14ac:dyDescent="0.2">
      <c r="A257" s="10">
        <v>62300000</v>
      </c>
      <c r="B257" s="10" t="s">
        <v>182</v>
      </c>
      <c r="C257" s="12">
        <v>0</v>
      </c>
      <c r="D257" s="12">
        <v>0</v>
      </c>
      <c r="E257" s="12">
        <v>0</v>
      </c>
      <c r="F257" s="13">
        <f>SUMIF('OD 01-23'!A:A,A257,'OD 01-23'!D:D)</f>
        <v>7500</v>
      </c>
      <c r="G257" s="13">
        <f>SUMIF('OD 01-23'!A:A,A257,'OD 01-23'!E:E)</f>
        <v>0</v>
      </c>
      <c r="H257" s="14">
        <f t="shared" si="6"/>
        <v>7500</v>
      </c>
      <c r="I257" s="14">
        <f t="shared" si="7"/>
        <v>7500</v>
      </c>
      <c r="J257" s="8" t="s">
        <v>157</v>
      </c>
      <c r="K257" s="4" t="s">
        <v>512</v>
      </c>
    </row>
    <row r="258" spans="1:11" x14ac:dyDescent="0.2">
      <c r="A258" s="10">
        <v>62410000</v>
      </c>
      <c r="B258" s="10" t="s">
        <v>183</v>
      </c>
      <c r="C258" s="11">
        <v>0</v>
      </c>
      <c r="D258" s="11">
        <v>70</v>
      </c>
      <c r="E258" s="11">
        <v>0</v>
      </c>
      <c r="F258" s="13">
        <f>SUMIF('OD 01-23'!A:A,A258,'OD 01-23'!D:D)</f>
        <v>0</v>
      </c>
      <c r="G258" s="13">
        <f>SUMIF('OD 01-23'!A:A,A258,'OD 01-23'!E:E)</f>
        <v>0</v>
      </c>
      <c r="H258" s="14">
        <f t="shared" ref="H258:H290" si="8">+D258+F258-E258-G258</f>
        <v>70</v>
      </c>
      <c r="I258" s="14">
        <f t="shared" ref="I258:I290" si="9">+H258+C258</f>
        <v>70</v>
      </c>
      <c r="J258" s="8" t="s">
        <v>157</v>
      </c>
      <c r="K258" s="4" t="s">
        <v>512</v>
      </c>
    </row>
    <row r="259" spans="1:11" x14ac:dyDescent="0.2">
      <c r="A259" s="10">
        <v>62430000</v>
      </c>
      <c r="B259" s="10" t="s">
        <v>159</v>
      </c>
      <c r="C259" s="11">
        <v>0</v>
      </c>
      <c r="D259" s="11">
        <v>88197.2</v>
      </c>
      <c r="E259" s="11">
        <v>0</v>
      </c>
      <c r="F259" s="13">
        <f>SUMIF('OD 01-23'!A:A,A259,'OD 01-23'!D:D)</f>
        <v>0</v>
      </c>
      <c r="G259" s="13">
        <f>SUMIF('OD 01-23'!A:A,A259,'OD 01-23'!E:E)</f>
        <v>0</v>
      </c>
      <c r="H259" s="14">
        <f t="shared" si="8"/>
        <v>88197.2</v>
      </c>
      <c r="I259" s="14">
        <f t="shared" si="9"/>
        <v>88197.2</v>
      </c>
      <c r="J259" s="8" t="s">
        <v>157</v>
      </c>
      <c r="K259" s="4" t="s">
        <v>512</v>
      </c>
    </row>
    <row r="260" spans="1:11" x14ac:dyDescent="0.2">
      <c r="A260" s="10">
        <v>62500000</v>
      </c>
      <c r="B260" s="10" t="s">
        <v>185</v>
      </c>
      <c r="C260" s="11">
        <v>0</v>
      </c>
      <c r="D260" s="11">
        <v>8.1</v>
      </c>
      <c r="E260" s="11">
        <v>0</v>
      </c>
      <c r="F260" s="13">
        <f>SUMIF('OD 01-23'!A:A,A260,'OD 01-23'!D:D)</f>
        <v>0</v>
      </c>
      <c r="G260" s="13">
        <f>SUMIF('OD 01-23'!A:A,A260,'OD 01-23'!E:E)</f>
        <v>0</v>
      </c>
      <c r="H260" s="14">
        <f t="shared" si="8"/>
        <v>8.1</v>
      </c>
      <c r="I260" s="14">
        <f t="shared" si="9"/>
        <v>8.1</v>
      </c>
      <c r="J260" s="8" t="s">
        <v>157</v>
      </c>
      <c r="K260" s="4" t="s">
        <v>512</v>
      </c>
    </row>
    <row r="261" spans="1:11" x14ac:dyDescent="0.2">
      <c r="A261" s="10">
        <v>62571000</v>
      </c>
      <c r="B261" s="10" t="s">
        <v>376</v>
      </c>
      <c r="C261" s="11">
        <v>0</v>
      </c>
      <c r="D261" s="11">
        <v>926.55</v>
      </c>
      <c r="E261" s="11">
        <v>0</v>
      </c>
      <c r="F261" s="13">
        <f>SUMIF('OD 01-23'!A:A,A261,'OD 01-23'!D:D)</f>
        <v>0</v>
      </c>
      <c r="G261" s="13">
        <f>SUMIF('OD 01-23'!A:A,A261,'OD 01-23'!E:E)</f>
        <v>0</v>
      </c>
      <c r="H261" s="14">
        <f t="shared" si="8"/>
        <v>926.55</v>
      </c>
      <c r="I261" s="14">
        <f t="shared" si="9"/>
        <v>926.55</v>
      </c>
      <c r="J261" s="8" t="s">
        <v>157</v>
      </c>
      <c r="K261" s="4" t="s">
        <v>512</v>
      </c>
    </row>
    <row r="262" spans="1:11" x14ac:dyDescent="0.2">
      <c r="A262" s="10">
        <v>62572000</v>
      </c>
      <c r="B262" s="10" t="s">
        <v>377</v>
      </c>
      <c r="C262" s="11">
        <v>0</v>
      </c>
      <c r="D262" s="11">
        <v>723.2</v>
      </c>
      <c r="E262" s="11">
        <v>0</v>
      </c>
      <c r="F262" s="13">
        <f>SUMIF('OD 01-23'!A:A,A262,'OD 01-23'!D:D)</f>
        <v>0</v>
      </c>
      <c r="G262" s="13">
        <f>SUMIF('OD 01-23'!A:A,A262,'OD 01-23'!E:E)</f>
        <v>0</v>
      </c>
      <c r="H262" s="14">
        <f t="shared" si="8"/>
        <v>723.2</v>
      </c>
      <c r="I262" s="14">
        <f t="shared" si="9"/>
        <v>723.2</v>
      </c>
      <c r="J262" s="8" t="s">
        <v>157</v>
      </c>
      <c r="K262" s="4" t="s">
        <v>512</v>
      </c>
    </row>
    <row r="263" spans="1:11" x14ac:dyDescent="0.2">
      <c r="A263" s="10">
        <v>62573000</v>
      </c>
      <c r="B263" s="10" t="s">
        <v>378</v>
      </c>
      <c r="C263" s="11">
        <v>0</v>
      </c>
      <c r="D263" s="11">
        <v>623.21600000000001</v>
      </c>
      <c r="E263" s="11">
        <v>0</v>
      </c>
      <c r="F263" s="13">
        <f>SUMIF('OD 01-23'!A:A,A263,'OD 01-23'!D:D)</f>
        <v>0</v>
      </c>
      <c r="G263" s="13">
        <f>SUMIF('OD 01-23'!A:A,A263,'OD 01-23'!E:E)</f>
        <v>0</v>
      </c>
      <c r="H263" s="14">
        <f t="shared" si="8"/>
        <v>623.21600000000001</v>
      </c>
      <c r="I263" s="14">
        <f t="shared" si="9"/>
        <v>623.21600000000001</v>
      </c>
      <c r="J263" s="8" t="s">
        <v>157</v>
      </c>
      <c r="K263" s="4" t="s">
        <v>512</v>
      </c>
    </row>
    <row r="264" spans="1:11" x14ac:dyDescent="0.2">
      <c r="A264" s="10">
        <v>62580000</v>
      </c>
      <c r="B264" s="10" t="s">
        <v>187</v>
      </c>
      <c r="C264" s="11">
        <v>0</v>
      </c>
      <c r="D264" s="11">
        <v>11.25</v>
      </c>
      <c r="E264" s="11">
        <v>0</v>
      </c>
      <c r="F264" s="13">
        <f>SUMIF('OD 01-23'!A:A,A264,'OD 01-23'!D:D)</f>
        <v>0</v>
      </c>
      <c r="G264" s="13">
        <f>SUMIF('OD 01-23'!A:A,A264,'OD 01-23'!E:E)</f>
        <v>0</v>
      </c>
      <c r="H264" s="14">
        <f t="shared" si="8"/>
        <v>11.25</v>
      </c>
      <c r="I264" s="14">
        <f t="shared" si="9"/>
        <v>11.25</v>
      </c>
      <c r="J264" s="8" t="s">
        <v>157</v>
      </c>
      <c r="K264" s="4" t="s">
        <v>512</v>
      </c>
    </row>
    <row r="265" spans="1:11" x14ac:dyDescent="0.2">
      <c r="A265" s="10">
        <v>62600000</v>
      </c>
      <c r="B265" s="10" t="s">
        <v>188</v>
      </c>
      <c r="C265" s="11">
        <v>0</v>
      </c>
      <c r="D265" s="11">
        <v>8175.1459999999988</v>
      </c>
      <c r="E265" s="11">
        <v>284.25</v>
      </c>
      <c r="F265" s="13">
        <f>SUMIF('OD 01-23'!A:A,A265,'OD 01-23'!D:D)</f>
        <v>0</v>
      </c>
      <c r="G265" s="13">
        <f>SUMIF('OD 01-23'!A:A,A265,'OD 01-23'!E:E)</f>
        <v>0</v>
      </c>
      <c r="H265" s="14">
        <f t="shared" si="8"/>
        <v>7890.8959999999988</v>
      </c>
      <c r="I265" s="14">
        <f t="shared" si="9"/>
        <v>7890.8959999999988</v>
      </c>
      <c r="J265" s="8" t="s">
        <v>157</v>
      </c>
      <c r="K265" s="4" t="s">
        <v>512</v>
      </c>
    </row>
    <row r="266" spans="1:11" x14ac:dyDescent="0.2">
      <c r="A266" s="10">
        <v>62780000</v>
      </c>
      <c r="B266" s="10" t="s">
        <v>189</v>
      </c>
      <c r="C266" s="11">
        <v>0</v>
      </c>
      <c r="D266" s="11">
        <v>4638.6180000000004</v>
      </c>
      <c r="E266" s="11">
        <v>1E-3</v>
      </c>
      <c r="F266" s="13">
        <f>SUMIF('OD 01-23'!A:A,A266,'OD 01-23'!D:D)</f>
        <v>13350.088</v>
      </c>
      <c r="G266" s="13">
        <f>SUMIF('OD 01-23'!A:A,A266,'OD 01-23'!E:E)</f>
        <v>0</v>
      </c>
      <c r="H266" s="14">
        <f t="shared" si="8"/>
        <v>17988.704999999998</v>
      </c>
      <c r="I266" s="14">
        <f t="shared" si="9"/>
        <v>17988.704999999998</v>
      </c>
      <c r="J266" s="8" t="s">
        <v>157</v>
      </c>
      <c r="K266" s="4" t="s">
        <v>512</v>
      </c>
    </row>
    <row r="267" spans="1:11" x14ac:dyDescent="0.2">
      <c r="A267" s="10">
        <v>63300000</v>
      </c>
      <c r="B267" s="10" t="s">
        <v>269</v>
      </c>
      <c r="C267" s="12">
        <v>0</v>
      </c>
      <c r="D267" s="12">
        <v>0</v>
      </c>
      <c r="E267" s="12">
        <v>0</v>
      </c>
      <c r="F267" s="13">
        <f>SUMIF('OD 01-23'!A:A,A267,'OD 01-23'!D:D)</f>
        <v>10416.665999999999</v>
      </c>
      <c r="G267" s="13">
        <f>SUMIF('OD 01-23'!A:A,A267,'OD 01-23'!E:E)</f>
        <v>0</v>
      </c>
      <c r="H267" s="14">
        <f t="shared" si="8"/>
        <v>10416.665999999999</v>
      </c>
      <c r="I267" s="14">
        <f t="shared" si="9"/>
        <v>10416.665999999999</v>
      </c>
      <c r="J267" s="8" t="s">
        <v>157</v>
      </c>
      <c r="K267" s="4" t="s">
        <v>512</v>
      </c>
    </row>
    <row r="268" spans="1:11" x14ac:dyDescent="0.2">
      <c r="A268" s="10">
        <v>64001000</v>
      </c>
      <c r="B268" s="10" t="s">
        <v>191</v>
      </c>
      <c r="C268" s="11">
        <v>0</v>
      </c>
      <c r="D268" s="11">
        <v>317874.72100000002</v>
      </c>
      <c r="E268" s="11">
        <v>0</v>
      </c>
      <c r="F268" s="13">
        <f>SUMIF('OD 01-23'!A:A,A268,'OD 01-23'!D:D)</f>
        <v>25606.931</v>
      </c>
      <c r="G268" s="13">
        <f>SUMIF('OD 01-23'!A:A,A268,'OD 01-23'!E:E)</f>
        <v>0</v>
      </c>
      <c r="H268" s="14">
        <f t="shared" si="8"/>
        <v>343481.652</v>
      </c>
      <c r="I268" s="14">
        <f t="shared" si="9"/>
        <v>343481.652</v>
      </c>
      <c r="J268" s="8" t="s">
        <v>192</v>
      </c>
      <c r="K268" s="4" t="s">
        <v>511</v>
      </c>
    </row>
    <row r="269" spans="1:11" x14ac:dyDescent="0.2">
      <c r="A269" s="10">
        <v>64720000</v>
      </c>
      <c r="B269" s="10" t="s">
        <v>194</v>
      </c>
      <c r="C269" s="12">
        <v>0</v>
      </c>
      <c r="D269" s="12">
        <v>0</v>
      </c>
      <c r="E269" s="12">
        <v>0</v>
      </c>
      <c r="F269" s="13">
        <f>SUMIF('OD 01-23'!A:A,A269,'OD 01-23'!D:D)</f>
        <v>32544.788</v>
      </c>
      <c r="G269" s="13">
        <f>SUMIF('OD 01-23'!A:A,A269,'OD 01-23'!E:E)</f>
        <v>0</v>
      </c>
      <c r="H269" s="14">
        <f t="shared" si="8"/>
        <v>32544.788</v>
      </c>
      <c r="I269" s="14">
        <f t="shared" si="9"/>
        <v>32544.788</v>
      </c>
      <c r="J269" s="8" t="s">
        <v>192</v>
      </c>
      <c r="K269" s="4" t="s">
        <v>511</v>
      </c>
    </row>
    <row r="270" spans="1:11" x14ac:dyDescent="0.2">
      <c r="A270" s="10">
        <v>65110000</v>
      </c>
      <c r="B270" s="10" t="s">
        <v>385</v>
      </c>
      <c r="C270" s="12">
        <v>0</v>
      </c>
      <c r="D270" s="17">
        <v>40480</v>
      </c>
      <c r="E270" s="12">
        <v>24263.58</v>
      </c>
      <c r="F270" s="13">
        <f>SUMIF('OD 01-23'!A:A,A270,'OD 01-23'!D:D)</f>
        <v>0</v>
      </c>
      <c r="G270" s="13">
        <f>SUMIF('OD 01-23'!A:A,A270,'OD 01-23'!E:E)</f>
        <v>0</v>
      </c>
      <c r="H270" s="14">
        <f t="shared" si="8"/>
        <v>16216.419999999998</v>
      </c>
      <c r="I270" s="14">
        <f t="shared" si="9"/>
        <v>16216.419999999998</v>
      </c>
      <c r="J270" s="8" t="s">
        <v>195</v>
      </c>
      <c r="K270" s="4" t="s">
        <v>517</v>
      </c>
    </row>
    <row r="271" spans="1:11" x14ac:dyDescent="0.2">
      <c r="A271" s="10">
        <v>65110200</v>
      </c>
      <c r="B271" s="10" t="s">
        <v>196</v>
      </c>
      <c r="C271" s="12">
        <v>0</v>
      </c>
      <c r="D271" s="12">
        <v>0</v>
      </c>
      <c r="E271" s="12">
        <v>0</v>
      </c>
      <c r="F271" s="13">
        <f>SUMIF('OD 01-23'!A:A,A271,'OD 01-23'!D:D)</f>
        <v>25890.741000000002</v>
      </c>
      <c r="G271" s="13">
        <f>SUMIF('OD 01-23'!A:A,A271,'OD 01-23'!E:E)</f>
        <v>0</v>
      </c>
      <c r="H271" s="14">
        <f t="shared" si="8"/>
        <v>25890.741000000002</v>
      </c>
      <c r="I271" s="14">
        <f t="shared" si="9"/>
        <v>25890.741000000002</v>
      </c>
      <c r="J271" s="8" t="s">
        <v>195</v>
      </c>
      <c r="K271" s="4" t="s">
        <v>517</v>
      </c>
    </row>
    <row r="272" spans="1:11" x14ac:dyDescent="0.2">
      <c r="A272" s="10">
        <v>65110400</v>
      </c>
      <c r="B272" s="10" t="s">
        <v>197</v>
      </c>
      <c r="C272" s="12">
        <v>0</v>
      </c>
      <c r="D272" s="12">
        <v>0</v>
      </c>
      <c r="E272" s="12">
        <v>0</v>
      </c>
      <c r="F272" s="13">
        <f>SUMIF('OD 01-23'!A:A,A272,'OD 01-23'!D:D)</f>
        <v>15076.053</v>
      </c>
      <c r="G272" s="13">
        <f>SUMIF('OD 01-23'!A:A,A272,'OD 01-23'!E:E)</f>
        <v>0</v>
      </c>
      <c r="H272" s="14">
        <f t="shared" si="8"/>
        <v>15076.053</v>
      </c>
      <c r="I272" s="14">
        <f t="shared" si="9"/>
        <v>15076.053</v>
      </c>
      <c r="J272" s="8" t="s">
        <v>195</v>
      </c>
      <c r="K272" s="4" t="s">
        <v>517</v>
      </c>
    </row>
    <row r="273" spans="1:11" x14ac:dyDescent="0.2">
      <c r="A273" s="10">
        <v>65115000</v>
      </c>
      <c r="B273" s="10" t="s">
        <v>379</v>
      </c>
      <c r="C273" s="11">
        <v>0</v>
      </c>
      <c r="D273" s="11">
        <v>2961.5459999999998</v>
      </c>
      <c r="E273" s="11">
        <v>0</v>
      </c>
      <c r="F273" s="13">
        <f>SUMIF('OD 01-23'!A:A,A273,'OD 01-23'!D:D)</f>
        <v>0</v>
      </c>
      <c r="G273" s="13">
        <f>SUMIF('OD 01-23'!A:A,A273,'OD 01-23'!E:E)</f>
        <v>0</v>
      </c>
      <c r="H273" s="14">
        <f t="shared" si="8"/>
        <v>2961.5459999999998</v>
      </c>
      <c r="I273" s="14">
        <f t="shared" si="9"/>
        <v>2961.5459999999998</v>
      </c>
      <c r="J273" s="8" t="s">
        <v>195</v>
      </c>
      <c r="K273" s="4" t="s">
        <v>517</v>
      </c>
    </row>
    <row r="274" spans="1:11" x14ac:dyDescent="0.2">
      <c r="A274" s="10">
        <v>65150000</v>
      </c>
      <c r="B274" s="10" t="s">
        <v>270</v>
      </c>
      <c r="C274" s="12">
        <v>0</v>
      </c>
      <c r="D274" s="12">
        <v>0</v>
      </c>
      <c r="E274" s="12">
        <v>0</v>
      </c>
      <c r="F274" s="13">
        <f>SUMIF('OD 01-23'!A:A,A274,'OD 01-23'!D:D)</f>
        <v>9186.8490000000002</v>
      </c>
      <c r="G274" s="13">
        <f>SUMIF('OD 01-23'!A:A,A274,'OD 01-23'!E:E)</f>
        <v>0</v>
      </c>
      <c r="H274" s="14">
        <f t="shared" si="8"/>
        <v>9186.8490000000002</v>
      </c>
      <c r="I274" s="14">
        <f t="shared" si="9"/>
        <v>9186.8490000000002</v>
      </c>
      <c r="J274" s="8" t="s">
        <v>195</v>
      </c>
      <c r="K274" s="4" t="s">
        <v>517</v>
      </c>
    </row>
    <row r="275" spans="1:11" x14ac:dyDescent="0.2">
      <c r="A275" s="10">
        <v>65190000</v>
      </c>
      <c r="B275" s="10" t="s">
        <v>198</v>
      </c>
      <c r="C275" s="12">
        <v>0</v>
      </c>
      <c r="D275" s="12">
        <v>0</v>
      </c>
      <c r="E275" s="12">
        <v>0</v>
      </c>
      <c r="F275" s="13">
        <f>SUMIF('OD 01-23'!A:A,A275,'OD 01-23'!D:D)</f>
        <v>30038.761999999999</v>
      </c>
      <c r="G275" s="13">
        <f>SUMIF('OD 01-23'!A:A,A275,'OD 01-23'!E:E)</f>
        <v>0</v>
      </c>
      <c r="H275" s="14">
        <f t="shared" si="8"/>
        <v>30038.761999999999</v>
      </c>
      <c r="I275" s="14">
        <f t="shared" si="9"/>
        <v>30038.761999999999</v>
      </c>
      <c r="J275" s="8" t="s">
        <v>195</v>
      </c>
      <c r="K275" s="4" t="s">
        <v>517</v>
      </c>
    </row>
    <row r="276" spans="1:11" x14ac:dyDescent="0.2">
      <c r="A276" s="10">
        <v>66520000</v>
      </c>
      <c r="B276" s="10" t="s">
        <v>200</v>
      </c>
      <c r="C276" s="12">
        <v>0</v>
      </c>
      <c r="D276" s="12">
        <v>0</v>
      </c>
      <c r="E276" s="12">
        <v>0</v>
      </c>
      <c r="F276" s="13">
        <f>SUMIF('OD 01-23'!A:A,A276,'OD 01-23'!D:D)</f>
        <v>7288.7920000000004</v>
      </c>
      <c r="G276" s="13">
        <f>SUMIF('OD 01-23'!A:A,A276,'OD 01-23'!E:E)</f>
        <v>0</v>
      </c>
      <c r="H276" s="14">
        <f t="shared" si="8"/>
        <v>7288.7920000000004</v>
      </c>
      <c r="I276" s="14">
        <f t="shared" si="9"/>
        <v>7288.7920000000004</v>
      </c>
      <c r="J276" s="8" t="s">
        <v>157</v>
      </c>
      <c r="K276" s="4" t="s">
        <v>512</v>
      </c>
    </row>
    <row r="277" spans="1:11" x14ac:dyDescent="0.2">
      <c r="A277" s="10">
        <v>66540000</v>
      </c>
      <c r="B277" s="10" t="s">
        <v>201</v>
      </c>
      <c r="C277" s="11">
        <v>0</v>
      </c>
      <c r="D277" s="11">
        <v>1138.4870000000001</v>
      </c>
      <c r="E277" s="11">
        <v>15.12</v>
      </c>
      <c r="F277" s="13">
        <f>SUMIF('OD 01-23'!A:A,A277,'OD 01-23'!D:D)</f>
        <v>0</v>
      </c>
      <c r="G277" s="13">
        <f>SUMIF('OD 01-23'!A:A,A277,'OD 01-23'!E:E)</f>
        <v>0</v>
      </c>
      <c r="H277" s="14">
        <f t="shared" si="8"/>
        <v>1123.3670000000002</v>
      </c>
      <c r="I277" s="14">
        <f t="shared" si="9"/>
        <v>1123.3670000000002</v>
      </c>
      <c r="J277" s="8" t="s">
        <v>157</v>
      </c>
      <c r="K277" s="4" t="s">
        <v>512</v>
      </c>
    </row>
    <row r="278" spans="1:11" x14ac:dyDescent="0.2">
      <c r="A278" s="10">
        <v>66550000</v>
      </c>
      <c r="B278" s="10" t="s">
        <v>202</v>
      </c>
      <c r="C278" s="11">
        <v>0</v>
      </c>
      <c r="D278" s="11">
        <v>221.64499999999998</v>
      </c>
      <c r="E278" s="11">
        <v>0</v>
      </c>
      <c r="F278" s="13">
        <f>SUMIF('OD 01-23'!A:A,A278,'OD 01-23'!D:D)</f>
        <v>900</v>
      </c>
      <c r="G278" s="13">
        <f>SUMIF('OD 01-23'!A:A,A278,'OD 01-23'!E:E)</f>
        <v>0</v>
      </c>
      <c r="H278" s="14">
        <f t="shared" si="8"/>
        <v>1121.645</v>
      </c>
      <c r="I278" s="14">
        <f t="shared" si="9"/>
        <v>1121.645</v>
      </c>
      <c r="J278" s="8" t="s">
        <v>157</v>
      </c>
      <c r="K278" s="4" t="s">
        <v>512</v>
      </c>
    </row>
    <row r="279" spans="1:11" x14ac:dyDescent="0.2">
      <c r="A279" s="10">
        <v>68112000</v>
      </c>
      <c r="B279" s="10" t="s">
        <v>271</v>
      </c>
      <c r="C279" s="12">
        <v>0</v>
      </c>
      <c r="D279" s="12">
        <v>0</v>
      </c>
      <c r="E279" s="12">
        <v>0</v>
      </c>
      <c r="F279" s="13">
        <f>SUMIF('OD 01-23'!A:A,A279,'OD 01-23'!D:D)</f>
        <v>194951.99900000001</v>
      </c>
      <c r="G279" s="13">
        <f>SUMIF('OD 01-23'!A:A,A279,'OD 01-23'!E:E)</f>
        <v>0</v>
      </c>
      <c r="H279" s="14">
        <f t="shared" si="8"/>
        <v>194951.99900000001</v>
      </c>
      <c r="I279" s="14">
        <f t="shared" si="9"/>
        <v>194951.99900000001</v>
      </c>
      <c r="J279" s="8" t="s">
        <v>203</v>
      </c>
      <c r="K279" s="4" t="s">
        <v>515</v>
      </c>
    </row>
    <row r="280" spans="1:11" x14ac:dyDescent="0.2">
      <c r="A280" s="10">
        <v>70000000</v>
      </c>
      <c r="B280" s="10" t="s">
        <v>205</v>
      </c>
      <c r="C280" s="11">
        <v>0</v>
      </c>
      <c r="D280" s="11">
        <v>984527.99</v>
      </c>
      <c r="E280" s="11">
        <v>2803965.5160000003</v>
      </c>
      <c r="F280" s="13">
        <f>SUMIF('OD 01-23'!A:A,A280,'OD 01-23'!D:D)</f>
        <v>0</v>
      </c>
      <c r="G280" s="13">
        <f>SUMIF('OD 01-23'!A:A,A280,'OD 01-23'!E:E)</f>
        <v>17408.8</v>
      </c>
      <c r="H280" s="14">
        <f t="shared" si="8"/>
        <v>-1836846.3260000004</v>
      </c>
      <c r="I280" s="14">
        <f t="shared" si="9"/>
        <v>-1836846.3260000004</v>
      </c>
      <c r="J280" s="8" t="s">
        <v>206</v>
      </c>
      <c r="K280" s="4" t="s">
        <v>505</v>
      </c>
    </row>
    <row r="281" spans="1:11" x14ac:dyDescent="0.2">
      <c r="A281" s="10">
        <v>70102000</v>
      </c>
      <c r="B281" s="10" t="s">
        <v>207</v>
      </c>
      <c r="C281" s="11">
        <v>0</v>
      </c>
      <c r="D281" s="11">
        <v>0</v>
      </c>
      <c r="E281" s="11">
        <v>2514794.6540000001</v>
      </c>
      <c r="F281" s="13">
        <f>SUMIF('OD 01-23'!A:A,A281,'OD 01-23'!D:D)</f>
        <v>0</v>
      </c>
      <c r="G281" s="13">
        <f>SUMIF('OD 01-23'!A:A,A281,'OD 01-23'!E:E)</f>
        <v>0</v>
      </c>
      <c r="H281" s="14">
        <f t="shared" si="8"/>
        <v>-2514794.6540000001</v>
      </c>
      <c r="I281" s="14">
        <f t="shared" si="9"/>
        <v>-2514794.6540000001</v>
      </c>
      <c r="J281" s="8" t="s">
        <v>227</v>
      </c>
      <c r="K281" s="4" t="s">
        <v>504</v>
      </c>
    </row>
    <row r="282" spans="1:11" x14ac:dyDescent="0.2">
      <c r="A282" s="10">
        <v>70103000</v>
      </c>
      <c r="B282" s="10" t="s">
        <v>380</v>
      </c>
      <c r="C282" s="11">
        <v>0</v>
      </c>
      <c r="D282" s="11">
        <v>0</v>
      </c>
      <c r="E282" s="11">
        <v>2170</v>
      </c>
      <c r="F282" s="13">
        <f>SUMIF('OD 01-23'!A:A,A282,'OD 01-23'!D:D)</f>
        <v>0</v>
      </c>
      <c r="G282" s="13">
        <f>SUMIF('OD 01-23'!A:A,A282,'OD 01-23'!E:E)</f>
        <v>0</v>
      </c>
      <c r="H282" s="14">
        <f t="shared" si="8"/>
        <v>-2170</v>
      </c>
      <c r="I282" s="14">
        <f t="shared" si="9"/>
        <v>-2170</v>
      </c>
      <c r="J282" s="8" t="s">
        <v>206</v>
      </c>
      <c r="K282" s="4" t="s">
        <v>505</v>
      </c>
    </row>
    <row r="283" spans="1:11" x14ac:dyDescent="0.2">
      <c r="A283" s="10">
        <v>70600000</v>
      </c>
      <c r="B283" s="10" t="s">
        <v>381</v>
      </c>
      <c r="C283" s="11">
        <v>0</v>
      </c>
      <c r="D283" s="11">
        <v>0</v>
      </c>
      <c r="E283" s="11">
        <v>42244.2</v>
      </c>
      <c r="F283" s="13">
        <f>SUMIF('OD 01-23'!A:A,A283,'OD 01-23'!D:D)</f>
        <v>0</v>
      </c>
      <c r="G283" s="13">
        <f>SUMIF('OD 01-23'!A:A,A283,'OD 01-23'!E:E)</f>
        <v>0</v>
      </c>
      <c r="H283" s="14">
        <f t="shared" si="8"/>
        <v>-42244.2</v>
      </c>
      <c r="I283" s="14">
        <f t="shared" si="9"/>
        <v>-42244.2</v>
      </c>
      <c r="J283" s="8" t="s">
        <v>206</v>
      </c>
      <c r="K283" s="4" t="s">
        <v>505</v>
      </c>
    </row>
    <row r="284" spans="1:11" x14ac:dyDescent="0.2">
      <c r="A284" s="10">
        <v>70600500</v>
      </c>
      <c r="B284" s="10" t="s">
        <v>208</v>
      </c>
      <c r="C284" s="12">
        <v>0</v>
      </c>
      <c r="D284" s="12">
        <v>0</v>
      </c>
      <c r="E284" s="12">
        <v>0</v>
      </c>
      <c r="F284" s="13">
        <f>SUMIF('OD 01-23'!A:A,A284,'OD 01-23'!D:D)</f>
        <v>0</v>
      </c>
      <c r="G284" s="13">
        <f>SUMIF('OD 01-23'!A:A,A284,'OD 01-23'!E:E)</f>
        <v>3219.3</v>
      </c>
      <c r="H284" s="14">
        <f t="shared" si="8"/>
        <v>-3219.3</v>
      </c>
      <c r="I284" s="14">
        <f t="shared" si="9"/>
        <v>-3219.3</v>
      </c>
      <c r="J284" s="8" t="s">
        <v>206</v>
      </c>
      <c r="K284" s="4" t="s">
        <v>506</v>
      </c>
    </row>
    <row r="285" spans="1:11" x14ac:dyDescent="0.2">
      <c r="A285" s="10">
        <v>71340000</v>
      </c>
      <c r="B285" s="10" t="s">
        <v>382</v>
      </c>
      <c r="C285" s="11">
        <v>0</v>
      </c>
      <c r="D285" s="11">
        <v>4992501.915</v>
      </c>
      <c r="E285" s="11">
        <v>0</v>
      </c>
      <c r="F285" s="13">
        <f>SUMIF('OD 01-23'!A:A,A285,'OD 01-23'!D:D)</f>
        <v>0</v>
      </c>
      <c r="G285" s="13">
        <f>SUMIF('OD 01-23'!A:A,A285,'OD 01-23'!E:E)</f>
        <v>4095943.7609999999</v>
      </c>
      <c r="H285" s="14">
        <f t="shared" si="8"/>
        <v>896558.1540000001</v>
      </c>
      <c r="I285" s="14">
        <f t="shared" si="9"/>
        <v>896558.1540000001</v>
      </c>
      <c r="J285" s="8" t="s">
        <v>210</v>
      </c>
      <c r="K285" s="4" t="s">
        <v>508</v>
      </c>
    </row>
    <row r="286" spans="1:11" x14ac:dyDescent="0.2">
      <c r="A286" s="10">
        <v>71350000</v>
      </c>
      <c r="B286" s="10" t="s">
        <v>209</v>
      </c>
      <c r="C286" s="12">
        <v>0</v>
      </c>
      <c r="D286" s="12">
        <v>0</v>
      </c>
      <c r="E286" s="12">
        <v>0</v>
      </c>
      <c r="F286" s="13">
        <f>SUMIF('OD 01-23'!A:A,A286,'OD 01-23'!D:D)</f>
        <v>0</v>
      </c>
      <c r="G286" s="13">
        <f>SUMIF('OD 01-23'!A:A,A286,'OD 01-23'!E:E)</f>
        <v>0</v>
      </c>
      <c r="H286" s="14">
        <f t="shared" si="8"/>
        <v>0</v>
      </c>
      <c r="I286" s="14">
        <f t="shared" si="9"/>
        <v>0</v>
      </c>
      <c r="J286" s="8" t="s">
        <v>210</v>
      </c>
      <c r="K286" s="4" t="s">
        <v>508</v>
      </c>
    </row>
    <row r="287" spans="1:11" x14ac:dyDescent="0.2">
      <c r="A287" s="10">
        <v>73601000</v>
      </c>
      <c r="B287" s="8" t="s">
        <v>211</v>
      </c>
      <c r="C287" s="12">
        <v>0</v>
      </c>
      <c r="D287" s="12">
        <v>0</v>
      </c>
      <c r="E287" s="12">
        <v>42</v>
      </c>
      <c r="F287" s="13">
        <f>SUMIF('OD 01-23'!A:A,A287,'OD 01-23'!D:D)</f>
        <v>0</v>
      </c>
      <c r="G287" s="13">
        <f>SUMIF('OD 01-23'!A:A,A287,'OD 01-23'!E:E)</f>
        <v>0</v>
      </c>
      <c r="H287" s="14">
        <f t="shared" si="8"/>
        <v>-42</v>
      </c>
      <c r="I287" s="14">
        <f t="shared" si="9"/>
        <v>-42</v>
      </c>
      <c r="J287" s="8" t="s">
        <v>214</v>
      </c>
      <c r="K287" s="4" t="s">
        <v>518</v>
      </c>
    </row>
    <row r="288" spans="1:11" x14ac:dyDescent="0.2">
      <c r="A288" s="10">
        <v>73900000</v>
      </c>
      <c r="B288" s="10" t="s">
        <v>213</v>
      </c>
      <c r="C288" s="12">
        <v>0</v>
      </c>
      <c r="D288" s="12">
        <v>0</v>
      </c>
      <c r="E288" s="12">
        <v>0</v>
      </c>
      <c r="F288" s="13">
        <f>SUMIF('OD 01-23'!A:A,A288,'OD 01-23'!D:D)</f>
        <v>0</v>
      </c>
      <c r="G288" s="13">
        <f>SUMIF('OD 01-23'!A:A,A288,'OD 01-23'!E:E)</f>
        <v>21896.933000000001</v>
      </c>
      <c r="H288" s="14">
        <f t="shared" si="8"/>
        <v>-21896.933000000001</v>
      </c>
      <c r="I288" s="14">
        <f t="shared" si="9"/>
        <v>-21896.933000000001</v>
      </c>
      <c r="J288" s="8" t="s">
        <v>214</v>
      </c>
      <c r="K288" s="4" t="s">
        <v>506</v>
      </c>
    </row>
    <row r="289" spans="1:11" x14ac:dyDescent="0.2">
      <c r="A289" s="10">
        <v>77000000</v>
      </c>
      <c r="B289" s="10" t="s">
        <v>216</v>
      </c>
      <c r="C289" s="11">
        <v>0</v>
      </c>
      <c r="D289" s="11">
        <v>0</v>
      </c>
      <c r="E289" s="11">
        <v>1.6</v>
      </c>
      <c r="F289" s="13">
        <f>SUMIF('OD 01-23'!A:A,A289,'OD 01-23'!D:D)</f>
        <v>0</v>
      </c>
      <c r="G289" s="13">
        <f>SUMIF('OD 01-23'!A:A,A289,'OD 01-23'!E:E)</f>
        <v>0</v>
      </c>
      <c r="H289" s="14">
        <f t="shared" si="8"/>
        <v>-1.6</v>
      </c>
      <c r="I289" s="14">
        <f t="shared" si="9"/>
        <v>-1.6</v>
      </c>
      <c r="J289" s="8" t="s">
        <v>212</v>
      </c>
      <c r="K289" s="4" t="s">
        <v>518</v>
      </c>
    </row>
    <row r="290" spans="1:11" x14ac:dyDescent="0.2">
      <c r="A290" s="10">
        <v>79999999</v>
      </c>
      <c r="B290" s="10" t="s">
        <v>383</v>
      </c>
      <c r="C290" s="11">
        <v>-2.6040943339467049E-4</v>
      </c>
      <c r="D290" s="11">
        <v>0</v>
      </c>
      <c r="E290" s="11">
        <v>0</v>
      </c>
      <c r="F290" s="13">
        <f>SUMIF('OD 01-23'!A:A,A290,'OD 01-23'!D:D)</f>
        <v>0</v>
      </c>
      <c r="G290" s="13">
        <f>SUMIF('OD 01-23'!A:A,A290,'OD 01-23'!E:E)</f>
        <v>0</v>
      </c>
      <c r="H290" s="14">
        <f t="shared" si="8"/>
        <v>0</v>
      </c>
      <c r="I290" s="14">
        <f t="shared" si="9"/>
        <v>-2.6040943339467049E-4</v>
      </c>
      <c r="J290" s="8"/>
    </row>
    <row r="291" spans="1:11" x14ac:dyDescent="0.2">
      <c r="C291" s="5">
        <f>SUM(C2:C290)</f>
        <v>-8.4061175584793091E-5</v>
      </c>
      <c r="D291" s="5">
        <f t="shared" ref="D291:I291" si="10">SUM(D2:D290)</f>
        <v>37966264.684063509</v>
      </c>
      <c r="E291" s="5">
        <f t="shared" si="10"/>
        <v>37966264.676063515</v>
      </c>
      <c r="F291" s="5">
        <f t="shared" si="10"/>
        <v>15652837.000999995</v>
      </c>
      <c r="G291" s="5">
        <f t="shared" si="10"/>
        <v>15652837.001</v>
      </c>
      <c r="H291" s="5">
        <f t="shared" si="10"/>
        <v>8.0000006659246559E-3</v>
      </c>
      <c r="I291" s="5">
        <f t="shared" si="10"/>
        <v>7.9159334367431278E-3</v>
      </c>
    </row>
  </sheetData>
  <autoFilter ref="A1:J291" xr:uid="{00000000-0009-0000-0000-000001000000}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74"/>
  <sheetViews>
    <sheetView workbookViewId="0">
      <selection activeCell="K39" sqref="K39"/>
    </sheetView>
  </sheetViews>
  <sheetFormatPr baseColWidth="10" defaultColWidth="11.42578125" defaultRowHeight="11.25" x14ac:dyDescent="0.2"/>
  <cols>
    <col min="1" max="1" width="10.42578125" style="15" bestFit="1" customWidth="1"/>
    <col min="2" max="2" width="20.5703125" style="15" bestFit="1" customWidth="1"/>
    <col min="3" max="3" width="10" style="15" bestFit="1" customWidth="1"/>
    <col min="4" max="4" width="13.42578125" style="15" bestFit="1" customWidth="1"/>
    <col min="5" max="5" width="11.42578125" style="15"/>
    <col min="6" max="7" width="11.85546875" style="15" bestFit="1" customWidth="1"/>
    <col min="8" max="16384" width="11.42578125" style="15"/>
  </cols>
  <sheetData>
    <row r="1" spans="1:7" x14ac:dyDescent="0.2">
      <c r="A1" s="2" t="s">
        <v>4</v>
      </c>
      <c r="B1" s="2" t="s">
        <v>0</v>
      </c>
      <c r="C1" s="3" t="s">
        <v>5</v>
      </c>
      <c r="D1" s="3" t="s">
        <v>2</v>
      </c>
      <c r="E1" s="3" t="s">
        <v>3</v>
      </c>
      <c r="F1" s="3" t="s">
        <v>6</v>
      </c>
      <c r="G1" s="3" t="s">
        <v>262</v>
      </c>
    </row>
    <row r="2" spans="1:7" x14ac:dyDescent="0.2">
      <c r="A2" s="234">
        <v>13000000</v>
      </c>
      <c r="B2" s="235" t="s">
        <v>273</v>
      </c>
      <c r="C2" s="235">
        <v>-1E-4</v>
      </c>
      <c r="D2" s="235">
        <v>0</v>
      </c>
      <c r="E2" s="235">
        <v>0</v>
      </c>
      <c r="F2" s="235">
        <v>0</v>
      </c>
      <c r="G2" s="235">
        <v>-1E-4</v>
      </c>
    </row>
    <row r="3" spans="1:7" x14ac:dyDescent="0.2">
      <c r="A3" s="236">
        <v>14508000</v>
      </c>
      <c r="B3" s="235" t="s">
        <v>17</v>
      </c>
      <c r="C3" s="235">
        <v>0</v>
      </c>
      <c r="D3" s="235">
        <v>20282.419000000002</v>
      </c>
      <c r="E3" s="235">
        <v>0</v>
      </c>
      <c r="F3" s="235">
        <v>20282.419000000002</v>
      </c>
      <c r="G3" s="235">
        <v>20282.419000000002</v>
      </c>
    </row>
    <row r="4" spans="1:7" x14ac:dyDescent="0.2">
      <c r="A4" s="236">
        <v>22825000</v>
      </c>
      <c r="B4" s="237"/>
      <c r="C4" s="235">
        <v>2.0000000000000001E-4</v>
      </c>
      <c r="D4" s="235">
        <v>0</v>
      </c>
      <c r="E4" s="235">
        <v>0</v>
      </c>
      <c r="F4" s="235">
        <v>0</v>
      </c>
      <c r="G4" s="235">
        <v>2.0000000000000001E-4</v>
      </c>
    </row>
    <row r="5" spans="1:7" x14ac:dyDescent="0.2">
      <c r="A5" s="236">
        <v>28130000</v>
      </c>
      <c r="B5" s="235" t="s">
        <v>24</v>
      </c>
      <c r="C5" s="235">
        <v>1E-4</v>
      </c>
      <c r="D5" s="235">
        <v>0</v>
      </c>
      <c r="E5" s="235">
        <v>845.58</v>
      </c>
      <c r="F5" s="235">
        <v>-845.58</v>
      </c>
      <c r="G5" s="235">
        <v>-845.57989999999995</v>
      </c>
    </row>
    <row r="6" spans="1:7" x14ac:dyDescent="0.2">
      <c r="A6" s="236">
        <v>28216000</v>
      </c>
      <c r="B6" s="235" t="s">
        <v>48</v>
      </c>
      <c r="C6" s="235">
        <v>4.0000000000000002E-4</v>
      </c>
      <c r="D6" s="235">
        <v>0</v>
      </c>
      <c r="E6" s="235">
        <v>231.89</v>
      </c>
      <c r="F6" s="235">
        <v>-231.89</v>
      </c>
      <c r="G6" s="235">
        <v>-231.8896</v>
      </c>
    </row>
    <row r="7" spans="1:7" x14ac:dyDescent="0.2">
      <c r="A7" s="236">
        <v>28220000</v>
      </c>
      <c r="B7" s="235" t="s">
        <v>49</v>
      </c>
      <c r="C7" s="235">
        <v>-2.0000000000000001E-4</v>
      </c>
      <c r="D7" s="235">
        <v>0</v>
      </c>
      <c r="E7" s="235">
        <v>37813.739000000001</v>
      </c>
      <c r="F7" s="235">
        <v>-37813.739000000001</v>
      </c>
      <c r="G7" s="235">
        <v>-37813.739200000004</v>
      </c>
    </row>
    <row r="8" spans="1:7" x14ac:dyDescent="0.2">
      <c r="A8" s="236">
        <v>28225000</v>
      </c>
      <c r="B8" s="235" t="s">
        <v>50</v>
      </c>
      <c r="C8" s="235">
        <v>4.0000000000000002E-4</v>
      </c>
      <c r="D8" s="235">
        <v>0</v>
      </c>
      <c r="E8" s="235">
        <v>10482.156999999999</v>
      </c>
      <c r="F8" s="235">
        <v>-10482.156999999999</v>
      </c>
      <c r="G8" s="235">
        <v>-10482.1566</v>
      </c>
    </row>
    <row r="9" spans="1:7" x14ac:dyDescent="0.2">
      <c r="A9" s="236">
        <v>28230000</v>
      </c>
      <c r="B9" s="235" t="s">
        <v>263</v>
      </c>
      <c r="C9" s="235">
        <v>0</v>
      </c>
      <c r="D9" s="235">
        <v>0</v>
      </c>
      <c r="E9" s="235">
        <v>2036.4970000000001</v>
      </c>
      <c r="F9" s="235">
        <v>-2036.4970000000001</v>
      </c>
      <c r="G9" s="235">
        <v>-2036.4970000000001</v>
      </c>
    </row>
    <row r="10" spans="1:7" x14ac:dyDescent="0.2">
      <c r="A10" s="236">
        <v>28231000</v>
      </c>
      <c r="B10" s="235" t="s">
        <v>402</v>
      </c>
      <c r="C10" s="235">
        <v>0</v>
      </c>
      <c r="D10" s="235">
        <v>0</v>
      </c>
      <c r="E10" s="235">
        <v>74.162999999999997</v>
      </c>
      <c r="F10" s="235">
        <v>-74.162999999999997</v>
      </c>
      <c r="G10" s="235">
        <v>-74.162999999999997</v>
      </c>
    </row>
    <row r="11" spans="1:7" x14ac:dyDescent="0.2">
      <c r="A11" s="236">
        <v>28234000</v>
      </c>
      <c r="B11" s="235" t="s">
        <v>51</v>
      </c>
      <c r="C11" s="235">
        <v>-4.0000000000000002E-4</v>
      </c>
      <c r="D11" s="235">
        <v>0</v>
      </c>
      <c r="E11" s="235">
        <v>134999.47700000001</v>
      </c>
      <c r="F11" s="235">
        <v>-134999.47700000001</v>
      </c>
      <c r="G11" s="235">
        <v>-134999.4774</v>
      </c>
    </row>
    <row r="12" spans="1:7" x14ac:dyDescent="0.2">
      <c r="A12" s="236">
        <v>28235000</v>
      </c>
      <c r="B12" s="235" t="s">
        <v>52</v>
      </c>
      <c r="C12" s="235">
        <v>0</v>
      </c>
      <c r="D12" s="235">
        <v>0</v>
      </c>
      <c r="E12" s="235">
        <v>4702.4229999999998</v>
      </c>
      <c r="F12" s="235">
        <v>-4702.4229999999998</v>
      </c>
      <c r="G12" s="235">
        <v>-4702.4229999999998</v>
      </c>
    </row>
    <row r="13" spans="1:7" x14ac:dyDescent="0.2">
      <c r="A13" s="236">
        <v>28237000</v>
      </c>
      <c r="B13" s="235" t="s">
        <v>53</v>
      </c>
      <c r="C13" s="235">
        <v>-2.0000000000000001E-4</v>
      </c>
      <c r="D13" s="235">
        <v>0</v>
      </c>
      <c r="E13" s="235">
        <v>1988.9290000000001</v>
      </c>
      <c r="F13" s="235">
        <v>-1988.9290000000001</v>
      </c>
      <c r="G13" s="235">
        <v>-1988.9292</v>
      </c>
    </row>
    <row r="14" spans="1:7" x14ac:dyDescent="0.2">
      <c r="A14" s="236">
        <v>28240000</v>
      </c>
      <c r="B14" s="235" t="s">
        <v>54</v>
      </c>
      <c r="C14" s="235">
        <v>-2.9999999999999997E-4</v>
      </c>
      <c r="D14" s="235">
        <v>0</v>
      </c>
      <c r="E14" s="235">
        <v>14121.329</v>
      </c>
      <c r="F14" s="235">
        <v>-14121.329</v>
      </c>
      <c r="G14" s="235">
        <v>-14121.329299999999</v>
      </c>
    </row>
    <row r="15" spans="1:7" x14ac:dyDescent="0.2">
      <c r="A15" s="236">
        <v>28282000</v>
      </c>
      <c r="B15" s="235" t="s">
        <v>55</v>
      </c>
      <c r="C15" s="235">
        <v>2.0000000000000001E-4</v>
      </c>
      <c r="D15" s="235">
        <v>0</v>
      </c>
      <c r="E15" s="235">
        <v>4256.7020000000002</v>
      </c>
      <c r="F15" s="235">
        <v>-4256.7020000000002</v>
      </c>
      <c r="G15" s="235">
        <v>-4256.7017999999998</v>
      </c>
    </row>
    <row r="16" spans="1:7" x14ac:dyDescent="0.2">
      <c r="A16" s="236">
        <v>28283000</v>
      </c>
      <c r="B16" s="235" t="s">
        <v>264</v>
      </c>
      <c r="C16" s="235">
        <v>1E-4</v>
      </c>
      <c r="D16" s="235">
        <v>0</v>
      </c>
      <c r="E16" s="235">
        <v>3746.145</v>
      </c>
      <c r="F16" s="235">
        <v>-3746.145</v>
      </c>
      <c r="G16" s="235">
        <v>-3746.1448999999998</v>
      </c>
    </row>
    <row r="17" spans="1:7" x14ac:dyDescent="0.2">
      <c r="A17" s="236">
        <v>28400000</v>
      </c>
      <c r="B17" s="235" t="s">
        <v>56</v>
      </c>
      <c r="C17" s="235">
        <v>0</v>
      </c>
      <c r="D17" s="235">
        <v>0</v>
      </c>
      <c r="E17" s="235">
        <v>6357.3689999999997</v>
      </c>
      <c r="F17" s="235">
        <v>-6357.3689999999997</v>
      </c>
      <c r="G17" s="235">
        <v>-6357.3689999999997</v>
      </c>
    </row>
    <row r="18" spans="1:7" x14ac:dyDescent="0.2">
      <c r="A18" s="236">
        <v>31100000</v>
      </c>
      <c r="B18" s="235" t="s">
        <v>59</v>
      </c>
      <c r="C18" s="235">
        <v>0</v>
      </c>
      <c r="D18" s="235">
        <v>9671178.2540000007</v>
      </c>
      <c r="E18" s="235">
        <v>9520075.0197000001</v>
      </c>
      <c r="F18" s="235">
        <v>151103.23430000001</v>
      </c>
      <c r="G18" s="235">
        <v>151103.23430000001</v>
      </c>
    </row>
    <row r="19" spans="1:7" x14ac:dyDescent="0.2">
      <c r="A19" s="236">
        <v>31200000</v>
      </c>
      <c r="B19" s="235" t="s">
        <v>390</v>
      </c>
      <c r="C19" s="235">
        <v>0</v>
      </c>
      <c r="D19" s="235">
        <v>0</v>
      </c>
      <c r="E19" s="235">
        <v>1037112.439</v>
      </c>
      <c r="F19" s="235">
        <v>-1037112.439</v>
      </c>
      <c r="G19" s="235">
        <v>-1037112.439</v>
      </c>
    </row>
    <row r="20" spans="1:7" x14ac:dyDescent="0.2">
      <c r="A20" s="236">
        <v>32200000</v>
      </c>
      <c r="B20" s="235" t="s">
        <v>61</v>
      </c>
      <c r="C20" s="235">
        <v>0</v>
      </c>
      <c r="D20" s="235">
        <v>694061.88800000004</v>
      </c>
      <c r="E20" s="235">
        <v>662156.42949999997</v>
      </c>
      <c r="F20" s="235">
        <v>31905.458500000001</v>
      </c>
      <c r="G20" s="235">
        <v>31905.458500000001</v>
      </c>
    </row>
    <row r="21" spans="1:7" x14ac:dyDescent="0.2">
      <c r="A21" s="236">
        <v>33100000</v>
      </c>
      <c r="B21" s="235" t="s">
        <v>62</v>
      </c>
      <c r="C21" s="235">
        <v>0</v>
      </c>
      <c r="D21" s="235">
        <v>3539578.236</v>
      </c>
      <c r="E21" s="235">
        <v>3435380.2886000001</v>
      </c>
      <c r="F21" s="235">
        <v>104197.9474</v>
      </c>
      <c r="G21" s="235">
        <v>104197.9474</v>
      </c>
    </row>
    <row r="22" spans="1:7" x14ac:dyDescent="0.2">
      <c r="A22" s="236">
        <v>35500000</v>
      </c>
      <c r="B22" s="235" t="s">
        <v>63</v>
      </c>
      <c r="C22" s="235">
        <v>0</v>
      </c>
      <c r="D22" s="235">
        <v>1579856.753</v>
      </c>
      <c r="E22" s="235">
        <v>1674504.0190000001</v>
      </c>
      <c r="F22" s="235">
        <v>-94647.266000000003</v>
      </c>
      <c r="G22" s="235">
        <v>-94647.266000000003</v>
      </c>
    </row>
    <row r="23" spans="1:7" x14ac:dyDescent="0.2">
      <c r="A23" s="236">
        <v>40100000</v>
      </c>
      <c r="B23" s="238" t="s">
        <v>66</v>
      </c>
      <c r="C23" s="235">
        <v>0</v>
      </c>
      <c r="D23" s="235">
        <v>0</v>
      </c>
      <c r="E23" s="235">
        <v>0</v>
      </c>
      <c r="F23" s="235">
        <v>0</v>
      </c>
      <c r="G23" s="235">
        <v>0</v>
      </c>
    </row>
    <row r="24" spans="1:7" x14ac:dyDescent="0.2">
      <c r="A24" s="236">
        <v>40120000</v>
      </c>
      <c r="B24" s="238" t="s">
        <v>386</v>
      </c>
      <c r="C24" s="235">
        <v>2.9999999999999997E-4</v>
      </c>
      <c r="D24" s="235">
        <v>0</v>
      </c>
      <c r="E24" s="235">
        <v>0</v>
      </c>
      <c r="F24" s="235">
        <v>0</v>
      </c>
      <c r="G24" s="235">
        <v>2.9999999999999997E-4</v>
      </c>
    </row>
    <row r="25" spans="1:7" x14ac:dyDescent="0.2">
      <c r="A25" s="236">
        <v>40600000</v>
      </c>
      <c r="B25" s="238" t="s">
        <v>70</v>
      </c>
      <c r="C25" s="235">
        <v>0</v>
      </c>
      <c r="D25" s="235">
        <v>346630.21600000001</v>
      </c>
      <c r="E25" s="235">
        <v>0</v>
      </c>
      <c r="F25" s="235">
        <v>346630.21600000001</v>
      </c>
      <c r="G25" s="235">
        <v>346630.21600000001</v>
      </c>
    </row>
    <row r="26" spans="1:7" x14ac:dyDescent="0.2">
      <c r="A26" s="236">
        <v>40800000</v>
      </c>
      <c r="B26" s="238" t="s">
        <v>71</v>
      </c>
      <c r="C26" s="235">
        <v>1E-4</v>
      </c>
      <c r="D26" s="235">
        <v>0</v>
      </c>
      <c r="E26" s="235">
        <v>0</v>
      </c>
      <c r="F26" s="235">
        <v>0</v>
      </c>
      <c r="G26" s="235">
        <v>1E-4</v>
      </c>
    </row>
    <row r="27" spans="1:7" x14ac:dyDescent="0.2">
      <c r="A27" s="236">
        <v>41100000</v>
      </c>
      <c r="B27" s="238" t="s">
        <v>73</v>
      </c>
      <c r="C27" s="235">
        <v>-4.0000000000000002E-4</v>
      </c>
      <c r="D27" s="235">
        <v>0</v>
      </c>
      <c r="E27" s="235">
        <v>0</v>
      </c>
      <c r="F27" s="235">
        <v>0</v>
      </c>
      <c r="G27" s="235">
        <v>-4.0000000000000002E-4</v>
      </c>
    </row>
    <row r="28" spans="1:7" x14ac:dyDescent="0.2">
      <c r="A28" s="236">
        <v>41500000</v>
      </c>
      <c r="B28" s="238" t="s">
        <v>75</v>
      </c>
      <c r="C28" s="235">
        <v>-4.0000000000000002E-4</v>
      </c>
      <c r="D28" s="235">
        <v>1007937.9080000001</v>
      </c>
      <c r="E28" s="235">
        <v>733464.06099999999</v>
      </c>
      <c r="F28" s="235">
        <v>274473.84700000001</v>
      </c>
      <c r="G28" s="235">
        <v>274473.84659999999</v>
      </c>
    </row>
    <row r="29" spans="1:7" x14ac:dyDescent="0.2">
      <c r="A29" s="236">
        <v>41800000</v>
      </c>
      <c r="B29" s="238" t="s">
        <v>307</v>
      </c>
      <c r="C29" s="235">
        <v>4.0000000000000002E-4</v>
      </c>
      <c r="D29" s="235">
        <v>0</v>
      </c>
      <c r="E29" s="235">
        <v>0</v>
      </c>
      <c r="F29" s="235">
        <v>0</v>
      </c>
      <c r="G29" s="235">
        <v>4.0000000000000002E-4</v>
      </c>
    </row>
    <row r="30" spans="1:7" x14ac:dyDescent="0.2">
      <c r="A30" s="236">
        <v>42820000</v>
      </c>
      <c r="B30" s="235" t="s">
        <v>83</v>
      </c>
      <c r="C30" s="235">
        <v>0</v>
      </c>
      <c r="D30" s="235">
        <v>245931.41399999999</v>
      </c>
      <c r="E30" s="235">
        <v>254931.41399999999</v>
      </c>
      <c r="F30" s="235">
        <v>-9000</v>
      </c>
      <c r="G30" s="235">
        <v>-9000</v>
      </c>
    </row>
    <row r="31" spans="1:7" x14ac:dyDescent="0.2">
      <c r="A31" s="236">
        <v>45310000</v>
      </c>
      <c r="B31" s="235" t="s">
        <v>104</v>
      </c>
      <c r="C31" s="235">
        <v>0</v>
      </c>
      <c r="D31" s="235">
        <v>0</v>
      </c>
      <c r="E31" s="235">
        <v>43186.953000000001</v>
      </c>
      <c r="F31" s="235">
        <v>-43186.953000000001</v>
      </c>
      <c r="G31" s="235">
        <v>-43186.953000000001</v>
      </c>
    </row>
    <row r="32" spans="1:7" x14ac:dyDescent="0.2">
      <c r="A32" s="236">
        <v>45860000</v>
      </c>
      <c r="B32" s="235" t="s">
        <v>106</v>
      </c>
      <c r="C32" s="235">
        <v>-2.9999999999999997E-4</v>
      </c>
      <c r="D32" s="235">
        <v>0</v>
      </c>
      <c r="E32" s="235">
        <v>401124.386</v>
      </c>
      <c r="F32" s="235">
        <v>-401124.386</v>
      </c>
      <c r="G32" s="235">
        <v>-401124.38630000001</v>
      </c>
    </row>
    <row r="33" spans="1:7" x14ac:dyDescent="0.2">
      <c r="A33" s="236">
        <v>45870000</v>
      </c>
      <c r="B33" s="235" t="s">
        <v>107</v>
      </c>
      <c r="C33" s="235">
        <v>0</v>
      </c>
      <c r="D33" s="235">
        <v>3242.453</v>
      </c>
      <c r="E33" s="235">
        <v>0</v>
      </c>
      <c r="F33" s="235">
        <v>3242.453</v>
      </c>
      <c r="G33" s="235">
        <v>3242.453</v>
      </c>
    </row>
    <row r="34" spans="1:7" x14ac:dyDescent="0.2">
      <c r="A34" s="236">
        <v>47100000</v>
      </c>
      <c r="B34" s="235" t="s">
        <v>109</v>
      </c>
      <c r="C34" s="235">
        <v>1E-4</v>
      </c>
      <c r="D34" s="235">
        <v>47237.317000000003</v>
      </c>
      <c r="E34" s="235">
        <v>88723.195999999996</v>
      </c>
      <c r="F34" s="235">
        <v>-41485.879000000001</v>
      </c>
      <c r="G34" s="235">
        <v>-41485.878900000003</v>
      </c>
    </row>
    <row r="35" spans="1:7" x14ac:dyDescent="0.2">
      <c r="A35" s="236">
        <v>53205700</v>
      </c>
      <c r="B35" s="235" t="s">
        <v>129</v>
      </c>
      <c r="C35" s="235">
        <v>0</v>
      </c>
      <c r="D35" s="235">
        <v>16501.161</v>
      </c>
      <c r="E35" s="235">
        <v>53911.612999999998</v>
      </c>
      <c r="F35" s="235">
        <v>-37410.451999999997</v>
      </c>
      <c r="G35" s="235">
        <v>-37410.451999999997</v>
      </c>
    </row>
    <row r="36" spans="1:7" x14ac:dyDescent="0.2">
      <c r="A36" s="236">
        <v>53205800</v>
      </c>
      <c r="B36" s="235" t="s">
        <v>130</v>
      </c>
      <c r="C36" s="235">
        <v>0</v>
      </c>
      <c r="D36" s="235">
        <v>63.481000000000002</v>
      </c>
      <c r="E36" s="235">
        <v>0</v>
      </c>
      <c r="F36" s="235">
        <v>63.481000000000002</v>
      </c>
      <c r="G36" s="235">
        <v>63.481000000000002</v>
      </c>
    </row>
    <row r="37" spans="1:7" x14ac:dyDescent="0.2">
      <c r="A37" s="236">
        <v>60110110</v>
      </c>
      <c r="B37" s="235" t="s">
        <v>403</v>
      </c>
      <c r="C37" s="235">
        <v>0</v>
      </c>
      <c r="D37" s="235">
        <v>0</v>
      </c>
      <c r="E37" s="235">
        <v>292718.603</v>
      </c>
      <c r="F37" s="235">
        <v>-292718.603</v>
      </c>
      <c r="G37" s="235">
        <v>-292718.603</v>
      </c>
    </row>
    <row r="38" spans="1:7" x14ac:dyDescent="0.2">
      <c r="A38" s="236">
        <v>60110500</v>
      </c>
      <c r="B38" s="235" t="s">
        <v>144</v>
      </c>
      <c r="C38" s="235">
        <v>0</v>
      </c>
      <c r="D38" s="235">
        <v>3677.7440000000001</v>
      </c>
      <c r="E38" s="235">
        <v>0</v>
      </c>
      <c r="F38" s="235">
        <v>3677.7440000000001</v>
      </c>
      <c r="G38" s="235">
        <v>3677.7440000000001</v>
      </c>
    </row>
    <row r="39" spans="1:7" x14ac:dyDescent="0.2">
      <c r="A39" s="236">
        <v>60110900</v>
      </c>
      <c r="B39" s="235" t="s">
        <v>147</v>
      </c>
      <c r="C39" s="235">
        <v>0</v>
      </c>
      <c r="D39" s="235">
        <v>3590.55</v>
      </c>
      <c r="E39" s="235">
        <v>0</v>
      </c>
      <c r="F39" s="235">
        <v>3590.55</v>
      </c>
      <c r="G39" s="235">
        <v>3590.55</v>
      </c>
    </row>
    <row r="40" spans="1:7" x14ac:dyDescent="0.2">
      <c r="A40" s="236">
        <v>60120300</v>
      </c>
      <c r="B40" s="235" t="s">
        <v>409</v>
      </c>
      <c r="C40" s="235">
        <v>0</v>
      </c>
      <c r="D40" s="235">
        <v>115187.1</v>
      </c>
      <c r="E40" s="235">
        <v>0</v>
      </c>
      <c r="F40" s="235">
        <v>115187.1</v>
      </c>
      <c r="G40" s="235">
        <v>115187.1</v>
      </c>
    </row>
    <row r="41" spans="1:7" x14ac:dyDescent="0.2">
      <c r="A41" s="236">
        <v>60121500</v>
      </c>
      <c r="B41" s="235" t="s">
        <v>404</v>
      </c>
      <c r="C41" s="235">
        <v>0</v>
      </c>
      <c r="D41" s="235">
        <v>43200</v>
      </c>
      <c r="E41" s="235">
        <v>0</v>
      </c>
      <c r="F41" s="235">
        <v>43200</v>
      </c>
      <c r="G41" s="235">
        <v>43200</v>
      </c>
    </row>
    <row r="42" spans="1:7" x14ac:dyDescent="0.2">
      <c r="A42" s="236">
        <v>60122411</v>
      </c>
      <c r="B42" s="235" t="s">
        <v>367</v>
      </c>
      <c r="C42" s="235">
        <v>0</v>
      </c>
      <c r="D42" s="235">
        <v>474.8</v>
      </c>
      <c r="E42" s="235">
        <v>0</v>
      </c>
      <c r="F42" s="235">
        <v>474.8</v>
      </c>
      <c r="G42" s="235">
        <v>474.8</v>
      </c>
    </row>
    <row r="43" spans="1:7" x14ac:dyDescent="0.2">
      <c r="A43" s="236">
        <v>60262000</v>
      </c>
      <c r="B43" s="235" t="s">
        <v>164</v>
      </c>
      <c r="C43" s="235">
        <v>0</v>
      </c>
      <c r="D43" s="235">
        <v>2250</v>
      </c>
      <c r="E43" s="235">
        <v>0</v>
      </c>
      <c r="F43" s="235">
        <v>2250</v>
      </c>
      <c r="G43" s="235">
        <v>2250</v>
      </c>
    </row>
    <row r="44" spans="1:7" x14ac:dyDescent="0.2">
      <c r="A44" s="236">
        <v>60310000</v>
      </c>
      <c r="B44" s="235" t="s">
        <v>265</v>
      </c>
      <c r="C44" s="235">
        <v>0</v>
      </c>
      <c r="D44" s="235">
        <v>9812793.6227000002</v>
      </c>
      <c r="E44" s="235">
        <v>9671178.2540000007</v>
      </c>
      <c r="F44" s="235">
        <v>141615.36869999999</v>
      </c>
      <c r="G44" s="235">
        <v>141615.36869999999</v>
      </c>
    </row>
    <row r="45" spans="1:7" x14ac:dyDescent="0.2">
      <c r="A45" s="236">
        <v>60330000</v>
      </c>
      <c r="B45" s="235" t="s">
        <v>266</v>
      </c>
      <c r="C45" s="235">
        <v>0</v>
      </c>
      <c r="D45" s="235">
        <v>662156.42949999997</v>
      </c>
      <c r="E45" s="235">
        <v>694061.88800000004</v>
      </c>
      <c r="F45" s="235">
        <v>-31905.458500000001</v>
      </c>
      <c r="G45" s="235">
        <v>-31905.458500000001</v>
      </c>
    </row>
    <row r="46" spans="1:7" x14ac:dyDescent="0.2">
      <c r="A46" s="236">
        <v>60401000</v>
      </c>
      <c r="B46" s="235" t="s">
        <v>523</v>
      </c>
      <c r="C46" s="235">
        <v>0</v>
      </c>
      <c r="D46" s="235">
        <v>22916.667000000001</v>
      </c>
      <c r="E46" s="235">
        <v>0</v>
      </c>
      <c r="F46" s="235">
        <v>22916.667000000001</v>
      </c>
      <c r="G46" s="235">
        <v>22916.667000000001</v>
      </c>
    </row>
    <row r="47" spans="1:7" x14ac:dyDescent="0.2">
      <c r="A47" s="236">
        <v>60502000</v>
      </c>
      <c r="B47" s="235" t="s">
        <v>167</v>
      </c>
      <c r="C47" s="235">
        <v>0</v>
      </c>
      <c r="D47" s="235">
        <v>14236.486999999999</v>
      </c>
      <c r="E47" s="235">
        <v>0</v>
      </c>
      <c r="F47" s="235">
        <v>14236.486999999999</v>
      </c>
      <c r="G47" s="235">
        <v>14236.486999999999</v>
      </c>
    </row>
    <row r="48" spans="1:7" x14ac:dyDescent="0.2">
      <c r="A48" s="236">
        <v>60620000</v>
      </c>
      <c r="B48" s="235" t="s">
        <v>172</v>
      </c>
      <c r="C48" s="235">
        <v>0</v>
      </c>
      <c r="D48" s="235">
        <v>443</v>
      </c>
      <c r="E48" s="235">
        <v>0</v>
      </c>
      <c r="F48" s="235">
        <v>443</v>
      </c>
      <c r="G48" s="235">
        <v>443</v>
      </c>
    </row>
    <row r="49" spans="1:7" x14ac:dyDescent="0.2">
      <c r="A49" s="236">
        <v>61500000</v>
      </c>
      <c r="B49" s="235" t="s">
        <v>411</v>
      </c>
      <c r="C49" s="235">
        <v>0</v>
      </c>
      <c r="D49" s="235">
        <v>11849.991</v>
      </c>
      <c r="E49" s="235">
        <v>0</v>
      </c>
      <c r="F49" s="235">
        <v>11849.991</v>
      </c>
      <c r="G49" s="235">
        <v>11849.991</v>
      </c>
    </row>
    <row r="50" spans="1:7" x14ac:dyDescent="0.2">
      <c r="A50" s="236">
        <v>61600000</v>
      </c>
      <c r="B50" s="235" t="s">
        <v>397</v>
      </c>
      <c r="C50" s="235">
        <v>0</v>
      </c>
      <c r="D50" s="235">
        <v>1227.5999999999999</v>
      </c>
      <c r="E50" s="235">
        <v>0</v>
      </c>
      <c r="F50" s="235">
        <v>1227.5999999999999</v>
      </c>
      <c r="G50" s="235">
        <v>1227.5999999999999</v>
      </c>
    </row>
    <row r="51" spans="1:7" x14ac:dyDescent="0.2">
      <c r="A51" s="236">
        <v>61603000</v>
      </c>
      <c r="B51" s="235" t="s">
        <v>178</v>
      </c>
      <c r="C51" s="235">
        <v>0</v>
      </c>
      <c r="D51" s="235">
        <v>2359.1680000000001</v>
      </c>
      <c r="E51" s="235">
        <v>0</v>
      </c>
      <c r="F51" s="235">
        <v>2359.1680000000001</v>
      </c>
      <c r="G51" s="235">
        <v>2359.1680000000001</v>
      </c>
    </row>
    <row r="52" spans="1:7" x14ac:dyDescent="0.2">
      <c r="A52" s="236">
        <v>62240000</v>
      </c>
      <c r="B52" s="235" t="s">
        <v>267</v>
      </c>
      <c r="C52" s="235">
        <v>0</v>
      </c>
      <c r="D52" s="235">
        <v>0</v>
      </c>
      <c r="E52" s="235">
        <v>42861.317000000003</v>
      </c>
      <c r="F52" s="235">
        <v>-42861.317000000003</v>
      </c>
      <c r="G52" s="235">
        <v>-42861.317000000003</v>
      </c>
    </row>
    <row r="53" spans="1:7" x14ac:dyDescent="0.2">
      <c r="A53" s="236">
        <v>62250000</v>
      </c>
      <c r="B53" s="235" t="s">
        <v>268</v>
      </c>
      <c r="C53" s="235">
        <v>0</v>
      </c>
      <c r="D53" s="235">
        <v>2500</v>
      </c>
      <c r="E53" s="235">
        <v>0</v>
      </c>
      <c r="F53" s="235">
        <v>2500</v>
      </c>
      <c r="G53" s="235">
        <v>2500</v>
      </c>
    </row>
    <row r="54" spans="1:7" x14ac:dyDescent="0.2">
      <c r="A54" s="236">
        <v>62300000</v>
      </c>
      <c r="B54" s="235" t="s">
        <v>182</v>
      </c>
      <c r="C54" s="235">
        <v>0</v>
      </c>
      <c r="D54" s="235">
        <v>11500</v>
      </c>
      <c r="E54" s="235">
        <v>0</v>
      </c>
      <c r="F54" s="235">
        <v>11500</v>
      </c>
      <c r="G54" s="235">
        <v>11500</v>
      </c>
    </row>
    <row r="55" spans="1:7" x14ac:dyDescent="0.2">
      <c r="A55" s="236">
        <v>62600000</v>
      </c>
      <c r="B55" s="235" t="s">
        <v>188</v>
      </c>
      <c r="C55" s="235">
        <v>0</v>
      </c>
      <c r="D55" s="235">
        <v>0</v>
      </c>
      <c r="E55" s="235">
        <v>4376</v>
      </c>
      <c r="F55" s="235">
        <v>-4376</v>
      </c>
      <c r="G55" s="235">
        <v>-4376</v>
      </c>
    </row>
    <row r="56" spans="1:7" x14ac:dyDescent="0.2">
      <c r="A56" s="236">
        <v>62780000</v>
      </c>
      <c r="B56" s="235" t="s">
        <v>189</v>
      </c>
      <c r="C56" s="235">
        <v>0</v>
      </c>
      <c r="D56" s="235">
        <v>8298.4580000000005</v>
      </c>
      <c r="E56" s="235">
        <v>0</v>
      </c>
      <c r="F56" s="235">
        <v>8298.4580000000005</v>
      </c>
      <c r="G56" s="235">
        <v>8298.4580000000005</v>
      </c>
    </row>
    <row r="57" spans="1:7" x14ac:dyDescent="0.2">
      <c r="A57" s="236">
        <v>63300000</v>
      </c>
      <c r="B57" s="235" t="s">
        <v>269</v>
      </c>
      <c r="C57" s="235">
        <v>0</v>
      </c>
      <c r="D57" s="235">
        <v>10416.666999999999</v>
      </c>
      <c r="E57" s="235">
        <v>0</v>
      </c>
      <c r="F57" s="235">
        <v>10416.666999999999</v>
      </c>
      <c r="G57" s="235">
        <v>10416.666999999999</v>
      </c>
    </row>
    <row r="58" spans="1:7" x14ac:dyDescent="0.2">
      <c r="A58" s="236">
        <v>64001100</v>
      </c>
      <c r="B58" s="235" t="s">
        <v>405</v>
      </c>
      <c r="C58" s="235">
        <v>0</v>
      </c>
      <c r="D58" s="235">
        <v>25000</v>
      </c>
      <c r="E58" s="235">
        <v>0</v>
      </c>
      <c r="F58" s="235">
        <v>25000</v>
      </c>
      <c r="G58" s="235">
        <v>25000</v>
      </c>
    </row>
    <row r="59" spans="1:7" x14ac:dyDescent="0.2">
      <c r="A59" s="236">
        <v>64020000</v>
      </c>
      <c r="B59" s="235" t="s">
        <v>406</v>
      </c>
      <c r="C59" s="235">
        <v>0</v>
      </c>
      <c r="D59" s="235">
        <v>82615.376999999993</v>
      </c>
      <c r="E59" s="235">
        <v>0</v>
      </c>
      <c r="F59" s="235">
        <v>82615.376999999993</v>
      </c>
      <c r="G59" s="235">
        <v>82615.376999999993</v>
      </c>
    </row>
    <row r="60" spans="1:7" x14ac:dyDescent="0.2">
      <c r="A60" s="236">
        <v>64600100</v>
      </c>
      <c r="B60" s="235" t="s">
        <v>407</v>
      </c>
      <c r="C60" s="235">
        <v>0</v>
      </c>
      <c r="D60" s="235">
        <v>254931.41399999999</v>
      </c>
      <c r="E60" s="235">
        <v>245931.41399999999</v>
      </c>
      <c r="F60" s="235">
        <v>9000</v>
      </c>
      <c r="G60" s="235">
        <v>9000</v>
      </c>
    </row>
    <row r="61" spans="1:7" x14ac:dyDescent="0.2">
      <c r="A61" s="236">
        <v>64720000</v>
      </c>
      <c r="B61" s="235" t="s">
        <v>194</v>
      </c>
      <c r="C61" s="235">
        <v>0</v>
      </c>
      <c r="D61" s="235">
        <v>43186.953000000001</v>
      </c>
      <c r="E61" s="235">
        <v>0</v>
      </c>
      <c r="F61" s="235">
        <v>43186.953000000001</v>
      </c>
      <c r="G61" s="235">
        <v>43186.953000000001</v>
      </c>
    </row>
    <row r="62" spans="1:7" x14ac:dyDescent="0.2">
      <c r="A62" s="236">
        <v>65110200</v>
      </c>
      <c r="B62" s="235" t="s">
        <v>196</v>
      </c>
      <c r="C62" s="235">
        <v>0</v>
      </c>
      <c r="D62" s="235">
        <v>33921.654999999999</v>
      </c>
      <c r="E62" s="235">
        <v>0</v>
      </c>
      <c r="F62" s="235">
        <v>33921.654999999999</v>
      </c>
      <c r="G62" s="235">
        <v>33921.654999999999</v>
      </c>
    </row>
    <row r="63" spans="1:7" x14ac:dyDescent="0.2">
      <c r="A63" s="236">
        <v>65110400</v>
      </c>
      <c r="B63" s="235" t="s">
        <v>197</v>
      </c>
      <c r="C63" s="235">
        <v>0</v>
      </c>
      <c r="D63" s="235">
        <v>52188.5</v>
      </c>
      <c r="E63" s="235">
        <v>0</v>
      </c>
      <c r="F63" s="235">
        <v>52188.5</v>
      </c>
      <c r="G63" s="235">
        <v>52188.5</v>
      </c>
    </row>
    <row r="64" spans="1:7" x14ac:dyDescent="0.2">
      <c r="A64" s="236">
        <v>65150000</v>
      </c>
      <c r="B64" s="235" t="s">
        <v>270</v>
      </c>
      <c r="C64" s="235">
        <v>0</v>
      </c>
      <c r="D64" s="235">
        <v>2989.5889999999999</v>
      </c>
      <c r="E64" s="235">
        <v>0</v>
      </c>
      <c r="F64" s="235">
        <v>2989.5889999999999</v>
      </c>
      <c r="G64" s="235">
        <v>2989.5889999999999</v>
      </c>
    </row>
    <row r="65" spans="1:7" x14ac:dyDescent="0.2">
      <c r="A65" s="236">
        <v>65190000</v>
      </c>
      <c r="B65" s="235" t="s">
        <v>198</v>
      </c>
      <c r="C65" s="235">
        <v>0</v>
      </c>
      <c r="D65" s="235">
        <v>29302.803</v>
      </c>
      <c r="E65" s="235">
        <v>0</v>
      </c>
      <c r="F65" s="235">
        <v>29302.803</v>
      </c>
      <c r="G65" s="235">
        <v>29302.803</v>
      </c>
    </row>
    <row r="66" spans="1:7" x14ac:dyDescent="0.2">
      <c r="A66" s="236">
        <v>66520000</v>
      </c>
      <c r="B66" s="235" t="s">
        <v>200</v>
      </c>
      <c r="C66" s="235">
        <v>0</v>
      </c>
      <c r="D66" s="235">
        <v>8801.4259999999995</v>
      </c>
      <c r="E66" s="235">
        <v>0</v>
      </c>
      <c r="F66" s="235">
        <v>8801.4259999999995</v>
      </c>
      <c r="G66" s="235">
        <v>8801.4259999999995</v>
      </c>
    </row>
    <row r="67" spans="1:7" x14ac:dyDescent="0.2">
      <c r="A67" s="236">
        <v>66550000</v>
      </c>
      <c r="B67" s="235" t="s">
        <v>202</v>
      </c>
      <c r="C67" s="235">
        <v>0</v>
      </c>
      <c r="D67" s="235">
        <v>900</v>
      </c>
      <c r="E67" s="235">
        <v>0</v>
      </c>
      <c r="F67" s="235">
        <v>900</v>
      </c>
      <c r="G67" s="235">
        <v>900</v>
      </c>
    </row>
    <row r="68" spans="1:7" x14ac:dyDescent="0.2">
      <c r="A68" s="236">
        <v>68112000</v>
      </c>
      <c r="B68" s="235" t="s">
        <v>271</v>
      </c>
      <c r="C68" s="235">
        <v>0</v>
      </c>
      <c r="D68" s="235">
        <v>221656.4</v>
      </c>
      <c r="E68" s="235">
        <v>0</v>
      </c>
      <c r="F68" s="235">
        <v>221656.4</v>
      </c>
      <c r="G68" s="235">
        <v>221656.4</v>
      </c>
    </row>
    <row r="69" spans="1:7" x14ac:dyDescent="0.2">
      <c r="A69" s="236">
        <v>70102000</v>
      </c>
      <c r="B69" s="235" t="s">
        <v>207</v>
      </c>
      <c r="C69" s="235">
        <v>0</v>
      </c>
      <c r="D69" s="235">
        <v>733464.06099999999</v>
      </c>
      <c r="E69" s="235">
        <v>1007937.9080000001</v>
      </c>
      <c r="F69" s="235">
        <v>-274473.84700000001</v>
      </c>
      <c r="G69" s="235">
        <v>-274473.84700000001</v>
      </c>
    </row>
    <row r="70" spans="1:7" x14ac:dyDescent="0.2">
      <c r="A70" s="236">
        <v>70600500</v>
      </c>
      <c r="B70" s="235" t="s">
        <v>208</v>
      </c>
      <c r="C70" s="235">
        <v>0</v>
      </c>
      <c r="D70" s="235">
        <v>0</v>
      </c>
      <c r="E70" s="235">
        <v>3242.453</v>
      </c>
      <c r="F70" s="235">
        <v>-3242.453</v>
      </c>
      <c r="G70" s="235">
        <v>-3242.453</v>
      </c>
    </row>
    <row r="71" spans="1:7" x14ac:dyDescent="0.2">
      <c r="A71" s="236">
        <v>71340000</v>
      </c>
      <c r="B71" s="235" t="s">
        <v>382</v>
      </c>
      <c r="C71" s="235">
        <v>0</v>
      </c>
      <c r="D71" s="235">
        <v>744393.83600000001</v>
      </c>
      <c r="E71" s="235">
        <v>0</v>
      </c>
      <c r="F71" s="235">
        <v>744393.83600000001</v>
      </c>
      <c r="G71" s="235">
        <v>744393.83600000001</v>
      </c>
    </row>
    <row r="72" spans="1:7" x14ac:dyDescent="0.2">
      <c r="A72" s="236">
        <v>71350000</v>
      </c>
      <c r="B72" s="235" t="s">
        <v>209</v>
      </c>
      <c r="C72" s="235">
        <v>0</v>
      </c>
      <c r="D72" s="235">
        <v>5109884.3075999999</v>
      </c>
      <c r="E72" s="235">
        <v>5119434.9890000001</v>
      </c>
      <c r="F72" s="235">
        <v>-9550.6813999999995</v>
      </c>
      <c r="G72" s="235">
        <v>-9550.6813999999995</v>
      </c>
    </row>
    <row r="73" spans="1:7" x14ac:dyDescent="0.2">
      <c r="A73" s="236">
        <v>73900000</v>
      </c>
      <c r="B73" s="235" t="s">
        <v>213</v>
      </c>
      <c r="C73" s="235">
        <v>0</v>
      </c>
      <c r="D73" s="235">
        <v>0</v>
      </c>
      <c r="E73" s="235">
        <v>20282.419000000002</v>
      </c>
      <c r="F73" s="235">
        <v>-20282.419000000002</v>
      </c>
      <c r="G73" s="235">
        <v>-20282.419000000002</v>
      </c>
    </row>
    <row r="74" spans="1:7" x14ac:dyDescent="0.2">
      <c r="A74" s="236">
        <v>75600000</v>
      </c>
      <c r="B74" s="235" t="s">
        <v>215</v>
      </c>
      <c r="C74" s="235">
        <v>0</v>
      </c>
      <c r="D74" s="235">
        <v>0</v>
      </c>
      <c r="E74" s="235">
        <v>16564.642</v>
      </c>
      <c r="F74" s="235">
        <v>-16564.642</v>
      </c>
      <c r="G74" s="235">
        <v>-16564.642</v>
      </c>
    </row>
  </sheetData>
  <autoFilter ref="A1:G57" xr:uid="{00000000-0009-0000-0000-000002000000}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325"/>
  <sheetViews>
    <sheetView topLeftCell="I1" workbookViewId="0">
      <pane ySplit="2" topLeftCell="A161" activePane="bottomLeft" state="frozen"/>
      <selection activeCell="A2" sqref="A2"/>
      <selection pane="bottomLeft" activeCell="M202" sqref="M202"/>
    </sheetView>
  </sheetViews>
  <sheetFormatPr baseColWidth="10" defaultColWidth="11.42578125" defaultRowHeight="15" x14ac:dyDescent="0.25"/>
  <cols>
    <col min="2" max="2" width="23.7109375" style="4" bestFit="1" customWidth="1"/>
    <col min="3" max="3" width="14.42578125" style="5" bestFit="1" customWidth="1"/>
    <col min="4" max="5" width="13.7109375" style="5" bestFit="1" customWidth="1"/>
    <col min="6" max="7" width="16.42578125" style="5" bestFit="1" customWidth="1"/>
    <col min="8" max="9" width="12.7109375" style="5" bestFit="1" customWidth="1"/>
    <col min="10" max="10" width="25" style="4" customWidth="1"/>
    <col min="11" max="11" width="11.42578125" style="4" customWidth="1"/>
    <col min="12" max="16384" width="11.42578125" style="4"/>
  </cols>
  <sheetData>
    <row r="2" spans="1:10" ht="11.25" x14ac:dyDescent="0.2">
      <c r="A2" s="6" t="s">
        <v>1</v>
      </c>
      <c r="B2" s="6" t="s">
        <v>0</v>
      </c>
      <c r="C2" s="7" t="s">
        <v>5</v>
      </c>
      <c r="D2" s="7" t="s">
        <v>2</v>
      </c>
      <c r="E2" s="7" t="s">
        <v>260</v>
      </c>
      <c r="F2" s="7" t="s">
        <v>218</v>
      </c>
      <c r="G2" s="7" t="s">
        <v>219</v>
      </c>
      <c r="H2" s="7" t="s">
        <v>6</v>
      </c>
      <c r="I2" s="7" t="s">
        <v>217</v>
      </c>
      <c r="J2" s="6" t="s">
        <v>412</v>
      </c>
    </row>
    <row r="3" spans="1:10" s="9" customFormat="1" ht="11.25" x14ac:dyDescent="0.2">
      <c r="A3" s="10">
        <v>10100000</v>
      </c>
      <c r="B3" s="10" t="s">
        <v>7</v>
      </c>
      <c r="C3" s="11">
        <v>-13500000</v>
      </c>
      <c r="D3" s="11">
        <v>0</v>
      </c>
      <c r="E3" s="11">
        <v>0</v>
      </c>
      <c r="F3" s="13">
        <f>SUMIF('OD 01-24'!A:A,A3,'OD 01-24'!D:D)</f>
        <v>0</v>
      </c>
      <c r="G3" s="13">
        <f>SUMIF('OD 01-24'!A:A,A3,'OD 01-24'!E:E)</f>
        <v>0</v>
      </c>
      <c r="H3" s="14">
        <f t="shared" ref="H3:H69" si="0">+D3+F3-E3-G3</f>
        <v>0</v>
      </c>
      <c r="I3" s="14">
        <f t="shared" ref="I3:I69" si="1">+H3+C3</f>
        <v>-13500000</v>
      </c>
      <c r="J3" s="8" t="s">
        <v>8</v>
      </c>
    </row>
    <row r="4" spans="1:10" s="9" customFormat="1" ht="11.25" x14ac:dyDescent="0.2">
      <c r="A4" s="10">
        <v>11101000</v>
      </c>
      <c r="B4" s="10" t="s">
        <v>9</v>
      </c>
      <c r="C4" s="11">
        <v>-1200000</v>
      </c>
      <c r="D4" s="11">
        <v>0</v>
      </c>
      <c r="E4" s="11">
        <v>0</v>
      </c>
      <c r="F4" s="13">
        <f>SUMIF('OD 01-24'!A:A,A4,'OD 01-24'!D:D)</f>
        <v>0</v>
      </c>
      <c r="G4" s="13">
        <f>SUMIF('OD 01-24'!A:A,A4,'OD 01-24'!E:E)</f>
        <v>0</v>
      </c>
      <c r="H4" s="14">
        <f t="shared" si="0"/>
        <v>0</v>
      </c>
      <c r="I4" s="14">
        <f t="shared" si="1"/>
        <v>-1200000</v>
      </c>
      <c r="J4" s="8" t="s">
        <v>10</v>
      </c>
    </row>
    <row r="5" spans="1:10" s="9" customFormat="1" ht="11.25" x14ac:dyDescent="0.2">
      <c r="A5" s="10">
        <v>12100000</v>
      </c>
      <c r="B5" s="10" t="s">
        <v>11</v>
      </c>
      <c r="C5" s="11">
        <v>-22285718.9384012</v>
      </c>
      <c r="D5" s="11">
        <v>0</v>
      </c>
      <c r="E5" s="11">
        <v>0</v>
      </c>
      <c r="F5" s="13">
        <f>SUMIF('OD 01-24'!A:A,A5,'OD 01-24'!D:D)</f>
        <v>0</v>
      </c>
      <c r="G5" s="13">
        <f>SUMIF('OD 01-24'!A:A,A5,'OD 01-24'!E:E)</f>
        <v>0</v>
      </c>
      <c r="H5" s="14">
        <f t="shared" si="0"/>
        <v>0</v>
      </c>
      <c r="I5" s="14">
        <f t="shared" si="1"/>
        <v>-22285718.9384012</v>
      </c>
      <c r="J5" s="8" t="s">
        <v>12</v>
      </c>
    </row>
    <row r="6" spans="1:10" s="9" customFormat="1" ht="11.25" x14ac:dyDescent="0.2">
      <c r="A6" s="10">
        <v>12200000</v>
      </c>
      <c r="B6" s="10" t="s">
        <v>272</v>
      </c>
      <c r="C6" s="11">
        <v>0</v>
      </c>
      <c r="D6" s="11">
        <v>0</v>
      </c>
      <c r="E6" s="11">
        <v>0</v>
      </c>
      <c r="F6" s="13">
        <f>SUMIF('OD 01-24'!A:A,A6,'OD 01-24'!D:D)</f>
        <v>0</v>
      </c>
      <c r="G6" s="13">
        <f>SUMIF('OD 01-24'!A:A,A6,'OD 01-24'!E:E)</f>
        <v>0</v>
      </c>
      <c r="H6" s="14">
        <f t="shared" si="0"/>
        <v>0</v>
      </c>
      <c r="I6" s="14">
        <f t="shared" si="1"/>
        <v>0</v>
      </c>
      <c r="J6" s="8"/>
    </row>
    <row r="7" spans="1:10" s="9" customFormat="1" ht="11.25" x14ac:dyDescent="0.2">
      <c r="A7" s="10">
        <v>12800000</v>
      </c>
      <c r="B7" s="10" t="s">
        <v>13</v>
      </c>
      <c r="C7" s="11">
        <v>3126298.01</v>
      </c>
      <c r="D7" s="11">
        <v>0</v>
      </c>
      <c r="E7" s="11">
        <v>0</v>
      </c>
      <c r="F7" s="13">
        <f>SUMIF('OD 01-24'!A:A,A7,'OD 01-24'!D:D)</f>
        <v>0</v>
      </c>
      <c r="G7" s="13">
        <f>SUMIF('OD 01-24'!A:A,A7,'OD 01-24'!E:E)</f>
        <v>0</v>
      </c>
      <c r="H7" s="14">
        <f t="shared" si="0"/>
        <v>0</v>
      </c>
      <c r="I7" s="14">
        <f t="shared" si="1"/>
        <v>3126298.01</v>
      </c>
      <c r="J7" s="8" t="s">
        <v>14</v>
      </c>
    </row>
    <row r="8" spans="1:10" s="9" customFormat="1" ht="11.25" x14ac:dyDescent="0.2">
      <c r="A8" s="10">
        <v>13000000</v>
      </c>
      <c r="B8" s="10" t="s">
        <v>273</v>
      </c>
      <c r="C8" s="11">
        <v>0</v>
      </c>
      <c r="D8" s="11">
        <v>0</v>
      </c>
      <c r="E8" s="11">
        <v>0</v>
      </c>
      <c r="F8" s="13">
        <f>SUMIF('OD 01-24'!A:A,A8,'OD 01-24'!D:D)</f>
        <v>0</v>
      </c>
      <c r="G8" s="13">
        <f>SUMIF('OD 01-24'!A:A,A8,'OD 01-24'!E:E)</f>
        <v>0</v>
      </c>
      <c r="H8" s="14">
        <f t="shared" si="0"/>
        <v>0</v>
      </c>
      <c r="I8" s="14">
        <f t="shared" si="1"/>
        <v>0</v>
      </c>
      <c r="J8" s="8"/>
    </row>
    <row r="9" spans="1:10" s="9" customFormat="1" ht="11.25" x14ac:dyDescent="0.2">
      <c r="A9" s="10">
        <v>14500000</v>
      </c>
      <c r="B9" s="10" t="s">
        <v>15</v>
      </c>
      <c r="C9" s="11">
        <v>-3479108.84</v>
      </c>
      <c r="D9" s="11">
        <v>0</v>
      </c>
      <c r="E9" s="11">
        <v>0</v>
      </c>
      <c r="F9" s="13">
        <f>SUMIF('OD 01-24'!A:A,A9,'OD 01-24'!D:D)</f>
        <v>0</v>
      </c>
      <c r="G9" s="13">
        <f>SUMIF('OD 01-24'!A:A,A9,'OD 01-24'!E:E)</f>
        <v>0</v>
      </c>
      <c r="H9" s="14">
        <f t="shared" si="0"/>
        <v>0</v>
      </c>
      <c r="I9" s="14">
        <f t="shared" si="1"/>
        <v>-3479108.84</v>
      </c>
      <c r="J9" s="8" t="s">
        <v>16</v>
      </c>
    </row>
    <row r="10" spans="1:10" s="9" customFormat="1" ht="11.25" x14ac:dyDescent="0.2">
      <c r="A10" s="10">
        <v>14508000</v>
      </c>
      <c r="B10" s="10" t="s">
        <v>17</v>
      </c>
      <c r="C10" s="11">
        <v>2662861.7680000002</v>
      </c>
      <c r="D10" s="11">
        <v>0</v>
      </c>
      <c r="E10" s="11">
        <v>0</v>
      </c>
      <c r="F10" s="13">
        <f>SUMIF('OD 01-24'!A:A,A10,'OD 01-24'!D:D)</f>
        <v>20282.419000000002</v>
      </c>
      <c r="G10" s="13">
        <f>SUMIF('OD 01-24'!A:A,A10,'OD 01-24'!E:E)</f>
        <v>0</v>
      </c>
      <c r="H10" s="14">
        <f t="shared" si="0"/>
        <v>20282.419000000002</v>
      </c>
      <c r="I10" s="14">
        <f t="shared" si="1"/>
        <v>2683144.1870000004</v>
      </c>
      <c r="J10" s="8" t="s">
        <v>18</v>
      </c>
    </row>
    <row r="11" spans="1:10" s="9" customFormat="1" ht="11.25" x14ac:dyDescent="0.2">
      <c r="A11" s="10">
        <v>15100000</v>
      </c>
      <c r="B11" s="10" t="s">
        <v>19</v>
      </c>
      <c r="C11" s="11">
        <v>-231535.016</v>
      </c>
      <c r="D11" s="11">
        <v>0</v>
      </c>
      <c r="E11" s="11">
        <v>0</v>
      </c>
      <c r="F11" s="13">
        <f>SUMIF('OD 01-24'!A:A,A11,'OD 01-24'!D:D)</f>
        <v>0</v>
      </c>
      <c r="G11" s="13">
        <f>SUMIF('OD 01-24'!A:A,A11,'OD 01-24'!E:E)</f>
        <v>0</v>
      </c>
      <c r="H11" s="14">
        <f t="shared" si="0"/>
        <v>0</v>
      </c>
      <c r="I11" s="14">
        <f t="shared" si="1"/>
        <v>-231535.016</v>
      </c>
      <c r="J11" s="8" t="s">
        <v>20</v>
      </c>
    </row>
    <row r="12" spans="1:10" s="9" customFormat="1" ht="11.25" x14ac:dyDescent="0.2">
      <c r="A12" s="10">
        <v>16210250</v>
      </c>
      <c r="B12" s="10" t="s">
        <v>274</v>
      </c>
      <c r="C12" s="11">
        <v>0</v>
      </c>
      <c r="D12" s="11">
        <v>0</v>
      </c>
      <c r="E12" s="11">
        <v>0</v>
      </c>
      <c r="F12" s="13">
        <f>SUMIF('OD 01-24'!A:A,A12,'OD 01-24'!D:D)</f>
        <v>0</v>
      </c>
      <c r="G12" s="13">
        <f>SUMIF('OD 01-24'!A:A,A12,'OD 01-24'!E:E)</f>
        <v>0</v>
      </c>
      <c r="H12" s="14">
        <f t="shared" si="0"/>
        <v>0</v>
      </c>
      <c r="I12" s="14">
        <f t="shared" si="1"/>
        <v>0</v>
      </c>
      <c r="J12" s="8"/>
    </row>
    <row r="13" spans="1:10" s="9" customFormat="1" ht="11.25" x14ac:dyDescent="0.2">
      <c r="A13" s="10">
        <v>16210500</v>
      </c>
      <c r="B13" s="10" t="s">
        <v>21</v>
      </c>
      <c r="C13" s="11">
        <v>-2041666.6629999988</v>
      </c>
      <c r="D13" s="11">
        <v>0</v>
      </c>
      <c r="E13" s="11">
        <v>0</v>
      </c>
      <c r="F13" s="13">
        <f>SUMIF('OD 01-24'!A:A,A13,'OD 01-24'!D:D)</f>
        <v>0</v>
      </c>
      <c r="G13" s="13">
        <f>SUMIF('OD 01-24'!A:A,A13,'OD 01-24'!E:E)</f>
        <v>0</v>
      </c>
      <c r="H13" s="14">
        <f t="shared" si="0"/>
        <v>0</v>
      </c>
      <c r="I13" s="14">
        <f t="shared" si="1"/>
        <v>-2041666.6629999988</v>
      </c>
      <c r="J13" s="8" t="s">
        <v>22</v>
      </c>
    </row>
    <row r="14" spans="1:10" s="9" customFormat="1" ht="11.25" x14ac:dyDescent="0.2">
      <c r="A14" s="10">
        <v>16210960</v>
      </c>
      <c r="B14" s="10" t="s">
        <v>275</v>
      </c>
      <c r="C14" s="11">
        <v>0</v>
      </c>
      <c r="D14" s="11">
        <v>0</v>
      </c>
      <c r="E14" s="11">
        <v>0</v>
      </c>
      <c r="F14" s="13">
        <f>SUMIF('OD 01-24'!A:A,A14,'OD 01-24'!D:D)</f>
        <v>0</v>
      </c>
      <c r="G14" s="13">
        <f>SUMIF('OD 01-24'!A:A,A14,'OD 01-24'!E:E)</f>
        <v>0</v>
      </c>
      <c r="H14" s="14">
        <f t="shared" si="0"/>
        <v>0</v>
      </c>
      <c r="I14" s="14">
        <f t="shared" si="1"/>
        <v>0</v>
      </c>
      <c r="J14" s="8"/>
    </row>
    <row r="15" spans="1:10" s="9" customFormat="1" ht="11.25" x14ac:dyDescent="0.2">
      <c r="A15" s="10">
        <v>16400000</v>
      </c>
      <c r="B15" s="10" t="s">
        <v>276</v>
      </c>
      <c r="C15" s="11">
        <v>-103582.68900000001</v>
      </c>
      <c r="D15" s="11">
        <v>0</v>
      </c>
      <c r="E15" s="11">
        <v>0</v>
      </c>
      <c r="F15" s="13">
        <f>SUMIF('OD 01-24'!A:A,A15,'OD 01-24'!D:D)</f>
        <v>0</v>
      </c>
      <c r="G15" s="13">
        <f>SUMIF('OD 01-24'!A:A,A15,'OD 01-24'!E:E)</f>
        <v>0</v>
      </c>
      <c r="H15" s="14">
        <f t="shared" si="0"/>
        <v>0</v>
      </c>
      <c r="I15" s="14">
        <f t="shared" si="1"/>
        <v>-103582.68900000001</v>
      </c>
      <c r="J15" s="8" t="s">
        <v>22</v>
      </c>
    </row>
    <row r="16" spans="1:10" s="9" customFormat="1" ht="11.25" x14ac:dyDescent="0.2">
      <c r="A16" s="10">
        <v>18800000</v>
      </c>
      <c r="B16" s="10" t="s">
        <v>23</v>
      </c>
      <c r="C16" s="11">
        <v>0</v>
      </c>
      <c r="D16" s="11">
        <v>0</v>
      </c>
      <c r="E16" s="11">
        <v>0</v>
      </c>
      <c r="F16" s="13">
        <f>SUMIF('OD 01-24'!A:A,A16,'OD 01-24'!D:D)</f>
        <v>0</v>
      </c>
      <c r="G16" s="13">
        <f>SUMIF('OD 01-24'!A:A,A16,'OD 01-24'!E:E)</f>
        <v>0</v>
      </c>
      <c r="H16" s="14">
        <f t="shared" si="0"/>
        <v>0</v>
      </c>
      <c r="I16" s="14">
        <f t="shared" si="1"/>
        <v>0</v>
      </c>
      <c r="J16" s="8"/>
    </row>
    <row r="17" spans="1:10" s="9" customFormat="1" ht="11.25" x14ac:dyDescent="0.2">
      <c r="A17" s="10">
        <v>21100000</v>
      </c>
      <c r="B17" s="10" t="s">
        <v>277</v>
      </c>
      <c r="C17" s="11">
        <v>0</v>
      </c>
      <c r="D17" s="11">
        <v>0</v>
      </c>
      <c r="E17" s="11">
        <v>0</v>
      </c>
      <c r="F17" s="13">
        <f>SUMIF('OD 01-24'!A:A,A17,'OD 01-24'!D:D)</f>
        <v>0</v>
      </c>
      <c r="G17" s="13">
        <f>SUMIF('OD 01-24'!A:A,A17,'OD 01-24'!E:E)</f>
        <v>0</v>
      </c>
      <c r="H17" s="14">
        <f t="shared" si="0"/>
        <v>0</v>
      </c>
      <c r="I17" s="14">
        <f t="shared" si="1"/>
        <v>0</v>
      </c>
      <c r="J17" s="8"/>
    </row>
    <row r="18" spans="1:10" s="9" customFormat="1" ht="11.25" x14ac:dyDescent="0.2">
      <c r="A18" s="10">
        <v>21300000</v>
      </c>
      <c r="B18" s="10" t="s">
        <v>24</v>
      </c>
      <c r="C18" s="11">
        <v>93173.926999999996</v>
      </c>
      <c r="D18" s="11">
        <v>0</v>
      </c>
      <c r="E18" s="11">
        <v>0</v>
      </c>
      <c r="F18" s="13">
        <f>SUMIF('OD 01-24'!A:A,A18,'OD 01-24'!D:D)</f>
        <v>0</v>
      </c>
      <c r="G18" s="13">
        <f>SUMIF('OD 01-24'!A:A,A18,'OD 01-24'!E:E)</f>
        <v>0</v>
      </c>
      <c r="H18" s="14">
        <f t="shared" si="0"/>
        <v>0</v>
      </c>
      <c r="I18" s="14">
        <f t="shared" si="1"/>
        <v>93173.926999999996</v>
      </c>
      <c r="J18" s="8" t="s">
        <v>25</v>
      </c>
    </row>
    <row r="19" spans="1:10" s="9" customFormat="1" ht="11.25" x14ac:dyDescent="0.2">
      <c r="A19" s="10">
        <v>22000000</v>
      </c>
      <c r="B19" s="10" t="s">
        <v>278</v>
      </c>
      <c r="C19" s="11">
        <v>0</v>
      </c>
      <c r="D19" s="11">
        <v>0</v>
      </c>
      <c r="E19" s="11">
        <v>0</v>
      </c>
      <c r="F19" s="13">
        <f>SUMIF('OD 01-24'!A:A,A19,'OD 01-24'!D:D)</f>
        <v>0</v>
      </c>
      <c r="G19" s="13">
        <f>SUMIF('OD 01-24'!A:A,A19,'OD 01-24'!E:E)</f>
        <v>0</v>
      </c>
      <c r="H19" s="14">
        <f t="shared" si="0"/>
        <v>0</v>
      </c>
      <c r="I19" s="14">
        <f t="shared" si="1"/>
        <v>0</v>
      </c>
      <c r="J19" s="8"/>
    </row>
    <row r="20" spans="1:10" s="9" customFormat="1" ht="11.25" x14ac:dyDescent="0.2">
      <c r="A20" s="10">
        <v>22100000</v>
      </c>
      <c r="B20" s="10" t="s">
        <v>26</v>
      </c>
      <c r="C20" s="11">
        <v>1275724</v>
      </c>
      <c r="D20" s="11">
        <v>0</v>
      </c>
      <c r="E20" s="11">
        <v>0</v>
      </c>
      <c r="F20" s="13">
        <f>SUMIF('OD 01-24'!A:A,A20,'OD 01-24'!D:D)</f>
        <v>0</v>
      </c>
      <c r="G20" s="13">
        <f>SUMIF('OD 01-24'!A:A,A20,'OD 01-24'!E:E)</f>
        <v>0</v>
      </c>
      <c r="H20" s="14">
        <f t="shared" si="0"/>
        <v>0</v>
      </c>
      <c r="I20" s="14">
        <f t="shared" si="1"/>
        <v>1275724</v>
      </c>
      <c r="J20" s="8" t="s">
        <v>25</v>
      </c>
    </row>
    <row r="21" spans="1:10" s="9" customFormat="1" ht="11.25" x14ac:dyDescent="0.2">
      <c r="A21" s="10">
        <v>22160000</v>
      </c>
      <c r="B21" s="10" t="s">
        <v>27</v>
      </c>
      <c r="C21" s="11">
        <v>161921.53600000002</v>
      </c>
      <c r="D21" s="11">
        <v>0</v>
      </c>
      <c r="E21" s="11">
        <v>0</v>
      </c>
      <c r="F21" s="13">
        <f>SUMIF('OD 01-24'!A:A,A21,'OD 01-24'!D:D)</f>
        <v>0</v>
      </c>
      <c r="G21" s="13">
        <f>SUMIF('OD 01-24'!A:A,A21,'OD 01-24'!E:E)</f>
        <v>0</v>
      </c>
      <c r="H21" s="14">
        <f t="shared" si="0"/>
        <v>0</v>
      </c>
      <c r="I21" s="14">
        <f t="shared" si="1"/>
        <v>161921.53600000002</v>
      </c>
      <c r="J21" s="8" t="s">
        <v>25</v>
      </c>
    </row>
    <row r="22" spans="1:10" s="9" customFormat="1" ht="11.25" x14ac:dyDescent="0.2">
      <c r="A22" s="10">
        <v>22200000</v>
      </c>
      <c r="B22" s="10" t="s">
        <v>28</v>
      </c>
      <c r="C22" s="11">
        <v>9174898.748999998</v>
      </c>
      <c r="D22" s="11">
        <v>0</v>
      </c>
      <c r="E22" s="11">
        <v>0</v>
      </c>
      <c r="F22" s="13">
        <f>SUMIF('OD 01-24'!A:A,A22,'OD 01-24'!D:D)</f>
        <v>0</v>
      </c>
      <c r="G22" s="13">
        <f>SUMIF('OD 01-24'!A:A,A22,'OD 01-24'!E:E)</f>
        <v>0</v>
      </c>
      <c r="H22" s="14">
        <f t="shared" si="0"/>
        <v>0</v>
      </c>
      <c r="I22" s="14">
        <f t="shared" si="1"/>
        <v>9174898.748999998</v>
      </c>
      <c r="J22" s="8" t="s">
        <v>25</v>
      </c>
    </row>
    <row r="23" spans="1:10" s="9" customFormat="1" ht="11.25" x14ac:dyDescent="0.2">
      <c r="A23" s="10">
        <v>22250000</v>
      </c>
      <c r="B23" s="10" t="s">
        <v>29</v>
      </c>
      <c r="C23" s="11">
        <v>696674.05799999996</v>
      </c>
      <c r="D23" s="11">
        <v>6883.3540000000012</v>
      </c>
      <c r="E23" s="11">
        <v>0</v>
      </c>
      <c r="F23" s="13">
        <f>SUMIF('OD 01-24'!A:A,A23,'OD 01-24'!D:D)</f>
        <v>0</v>
      </c>
      <c r="G23" s="13">
        <f>SUMIF('OD 01-24'!A:A,A23,'OD 01-24'!E:E)</f>
        <v>0</v>
      </c>
      <c r="H23" s="14">
        <f t="shared" si="0"/>
        <v>6883.3540000000012</v>
      </c>
      <c r="I23" s="14">
        <f t="shared" si="1"/>
        <v>703557.41200000001</v>
      </c>
      <c r="J23" s="8" t="s">
        <v>25</v>
      </c>
    </row>
    <row r="24" spans="1:10" s="9" customFormat="1" ht="11.25" x14ac:dyDescent="0.2">
      <c r="A24" s="10">
        <v>22300000</v>
      </c>
      <c r="B24" s="10" t="s">
        <v>30</v>
      </c>
      <c r="C24" s="11">
        <v>73570.611000000004</v>
      </c>
      <c r="D24" s="11">
        <v>2800</v>
      </c>
      <c r="E24" s="11">
        <v>0</v>
      </c>
      <c r="F24" s="13">
        <f>SUMIF('OD 01-24'!A:A,A24,'OD 01-24'!D:D)</f>
        <v>0</v>
      </c>
      <c r="G24" s="13">
        <f>SUMIF('OD 01-24'!A:A,A24,'OD 01-24'!E:E)</f>
        <v>0</v>
      </c>
      <c r="H24" s="14">
        <f t="shared" si="0"/>
        <v>2800</v>
      </c>
      <c r="I24" s="14">
        <f t="shared" si="1"/>
        <v>76370.611000000004</v>
      </c>
      <c r="J24" s="8" t="s">
        <v>25</v>
      </c>
    </row>
    <row r="25" spans="1:10" s="9" customFormat="1" ht="11.25" x14ac:dyDescent="0.2">
      <c r="A25" s="10">
        <v>22310000</v>
      </c>
      <c r="B25" s="10" t="s">
        <v>31</v>
      </c>
      <c r="C25" s="11">
        <v>0</v>
      </c>
      <c r="D25" s="11">
        <v>2210.924</v>
      </c>
      <c r="E25" s="11">
        <v>0</v>
      </c>
      <c r="F25" s="13">
        <f>SUMIF('OD 01-24'!A:A,A25,'OD 01-24'!D:D)</f>
        <v>0</v>
      </c>
      <c r="G25" s="13">
        <f>SUMIF('OD 01-24'!A:A,A25,'OD 01-24'!E:E)</f>
        <v>0</v>
      </c>
      <c r="H25" s="14">
        <f t="shared" si="0"/>
        <v>2210.924</v>
      </c>
      <c r="I25" s="14">
        <f t="shared" si="1"/>
        <v>2210.924</v>
      </c>
      <c r="J25" s="8" t="s">
        <v>25</v>
      </c>
    </row>
    <row r="26" spans="1:10" s="9" customFormat="1" ht="11.25" x14ac:dyDescent="0.2">
      <c r="A26" s="10">
        <v>22340000</v>
      </c>
      <c r="B26" s="10" t="s">
        <v>32</v>
      </c>
      <c r="C26" s="11">
        <v>24676096.882049002</v>
      </c>
      <c r="D26" s="11">
        <v>20255.849999999999</v>
      </c>
      <c r="E26" s="11">
        <v>0</v>
      </c>
      <c r="F26" s="13">
        <f>SUMIF('OD 01-24'!A:A,A26,'OD 01-24'!D:D)</f>
        <v>0</v>
      </c>
      <c r="G26" s="13">
        <f>SUMIF('OD 01-24'!A:A,A26,'OD 01-24'!E:E)</f>
        <v>0</v>
      </c>
      <c r="H26" s="14">
        <f t="shared" si="0"/>
        <v>20255.849999999999</v>
      </c>
      <c r="I26" s="14">
        <f t="shared" si="1"/>
        <v>24696352.732049003</v>
      </c>
      <c r="J26" s="8" t="s">
        <v>25</v>
      </c>
    </row>
    <row r="27" spans="1:10" s="9" customFormat="1" ht="11.25" x14ac:dyDescent="0.2">
      <c r="A27" s="10">
        <v>22350000</v>
      </c>
      <c r="B27" s="10" t="s">
        <v>33</v>
      </c>
      <c r="C27" s="11">
        <v>651798.13449999969</v>
      </c>
      <c r="D27" s="11">
        <v>2690</v>
      </c>
      <c r="E27" s="11">
        <v>0</v>
      </c>
      <c r="F27" s="13">
        <f>SUMIF('OD 01-24'!A:A,A27,'OD 01-24'!D:D)</f>
        <v>0</v>
      </c>
      <c r="G27" s="13">
        <f>SUMIF('OD 01-24'!A:A,A27,'OD 01-24'!E:E)</f>
        <v>0</v>
      </c>
      <c r="H27" s="14">
        <f t="shared" si="0"/>
        <v>2690</v>
      </c>
      <c r="I27" s="14">
        <f t="shared" si="1"/>
        <v>654488.13449999969</v>
      </c>
      <c r="J27" s="8" t="s">
        <v>25</v>
      </c>
    </row>
    <row r="28" spans="1:10" s="9" customFormat="1" ht="11.25" x14ac:dyDescent="0.2">
      <c r="A28" s="10">
        <v>22370000</v>
      </c>
      <c r="B28" s="10" t="s">
        <v>34</v>
      </c>
      <c r="C28" s="11">
        <v>901593.20599999989</v>
      </c>
      <c r="D28" s="11">
        <v>0</v>
      </c>
      <c r="E28" s="11">
        <v>0</v>
      </c>
      <c r="F28" s="13">
        <f>SUMIF('OD 01-24'!A:A,A28,'OD 01-24'!D:D)</f>
        <v>0</v>
      </c>
      <c r="G28" s="13">
        <f>SUMIF('OD 01-24'!A:A,A28,'OD 01-24'!E:E)</f>
        <v>0</v>
      </c>
      <c r="H28" s="14">
        <f t="shared" si="0"/>
        <v>0</v>
      </c>
      <c r="I28" s="14">
        <f t="shared" si="1"/>
        <v>901593.20599999989</v>
      </c>
      <c r="J28" s="8" t="s">
        <v>25</v>
      </c>
    </row>
    <row r="29" spans="1:10" s="9" customFormat="1" ht="11.25" x14ac:dyDescent="0.2">
      <c r="A29" s="10">
        <v>22400000</v>
      </c>
      <c r="B29" s="10" t="s">
        <v>35</v>
      </c>
      <c r="C29" s="11">
        <v>1176312.6140000001</v>
      </c>
      <c r="D29" s="11">
        <v>4117.5</v>
      </c>
      <c r="E29" s="11">
        <v>0</v>
      </c>
      <c r="F29" s="13">
        <f>SUMIF('OD 01-24'!A:A,A29,'OD 01-24'!D:D)</f>
        <v>0</v>
      </c>
      <c r="G29" s="13">
        <f>SUMIF('OD 01-24'!A:A,A29,'OD 01-24'!E:E)</f>
        <v>0</v>
      </c>
      <c r="H29" s="14">
        <f t="shared" si="0"/>
        <v>4117.5</v>
      </c>
      <c r="I29" s="14">
        <f t="shared" si="1"/>
        <v>1180430.1140000001</v>
      </c>
      <c r="J29" s="8" t="s">
        <v>25</v>
      </c>
    </row>
    <row r="30" spans="1:10" s="9" customFormat="1" ht="11.25" x14ac:dyDescent="0.2">
      <c r="A30" s="10">
        <v>22810000</v>
      </c>
      <c r="B30" s="10" t="s">
        <v>36</v>
      </c>
      <c r="C30" s="11">
        <v>0</v>
      </c>
      <c r="D30" s="11">
        <v>0</v>
      </c>
      <c r="E30" s="11">
        <v>0</v>
      </c>
      <c r="F30" s="13">
        <f>SUMIF('OD 01-24'!A:A,A30,'OD 01-24'!D:D)</f>
        <v>0</v>
      </c>
      <c r="G30" s="13">
        <f>SUMIF('OD 01-24'!A:A,A30,'OD 01-24'!E:E)</f>
        <v>0</v>
      </c>
      <c r="H30" s="14">
        <f t="shared" si="0"/>
        <v>0</v>
      </c>
      <c r="I30" s="14">
        <f t="shared" si="1"/>
        <v>0</v>
      </c>
      <c r="J30" s="8"/>
    </row>
    <row r="31" spans="1:10" s="9" customFormat="1" ht="11.25" x14ac:dyDescent="0.2">
      <c r="A31" s="10">
        <v>22820000</v>
      </c>
      <c r="B31" s="10" t="s">
        <v>37</v>
      </c>
      <c r="C31" s="11">
        <v>281171.26415</v>
      </c>
      <c r="D31" s="11">
        <v>12517.119999999999</v>
      </c>
      <c r="E31" s="11">
        <v>0</v>
      </c>
      <c r="F31" s="13">
        <f>SUMIF('OD 01-24'!A:A,A31,'OD 01-24'!D:D)</f>
        <v>0</v>
      </c>
      <c r="G31" s="13">
        <f>SUMIF('OD 01-24'!A:A,A31,'OD 01-24'!E:E)</f>
        <v>0</v>
      </c>
      <c r="H31" s="14">
        <f t="shared" si="0"/>
        <v>12517.119999999999</v>
      </c>
      <c r="I31" s="14">
        <f t="shared" si="1"/>
        <v>293688.38415</v>
      </c>
      <c r="J31" s="8" t="s">
        <v>25</v>
      </c>
    </row>
    <row r="32" spans="1:10" s="9" customFormat="1" ht="11.25" x14ac:dyDescent="0.2">
      <c r="A32" s="10">
        <v>22830000</v>
      </c>
      <c r="B32" s="10" t="s">
        <v>279</v>
      </c>
      <c r="C32" s="11">
        <v>243796.16828599994</v>
      </c>
      <c r="D32" s="11">
        <v>0</v>
      </c>
      <c r="E32" s="11">
        <v>0</v>
      </c>
      <c r="F32" s="13">
        <f>SUMIF('OD 01-24'!A:A,A32,'OD 01-24'!D:D)</f>
        <v>0</v>
      </c>
      <c r="G32" s="13">
        <f>SUMIF('OD 01-24'!A:A,A32,'OD 01-24'!E:E)</f>
        <v>0</v>
      </c>
      <c r="H32" s="14">
        <f t="shared" si="0"/>
        <v>0</v>
      </c>
      <c r="I32" s="14">
        <f t="shared" si="1"/>
        <v>243796.16828599994</v>
      </c>
      <c r="J32" s="8" t="s">
        <v>25</v>
      </c>
    </row>
    <row r="33" spans="1:10" s="9" customFormat="1" ht="11.25" x14ac:dyDescent="0.2">
      <c r="A33" s="10">
        <v>23000000</v>
      </c>
      <c r="B33" s="10" t="s">
        <v>280</v>
      </c>
      <c r="C33" s="11">
        <v>2.0000000404252205E-5</v>
      </c>
      <c r="D33" s="11">
        <v>0</v>
      </c>
      <c r="E33" s="11">
        <v>0</v>
      </c>
      <c r="F33" s="13">
        <f>SUMIF('OD 01-24'!A:A,A33,'OD 01-24'!D:D)</f>
        <v>0</v>
      </c>
      <c r="G33" s="13">
        <f>SUMIF('OD 01-24'!A:A,A33,'OD 01-24'!E:E)</f>
        <v>0</v>
      </c>
      <c r="H33" s="14">
        <f t="shared" si="0"/>
        <v>0</v>
      </c>
      <c r="I33" s="14">
        <f t="shared" si="1"/>
        <v>2.0000000404252205E-5</v>
      </c>
      <c r="J33" s="8"/>
    </row>
    <row r="34" spans="1:10" s="9" customFormat="1" ht="11.25" x14ac:dyDescent="0.2">
      <c r="A34" s="10">
        <v>23200000</v>
      </c>
      <c r="B34" s="10" t="s">
        <v>38</v>
      </c>
      <c r="C34" s="11">
        <v>404721.24329749867</v>
      </c>
      <c r="D34" s="11">
        <v>0</v>
      </c>
      <c r="E34" s="11">
        <v>0</v>
      </c>
      <c r="F34" s="13">
        <f>SUMIF('OD 01-24'!A:A,A34,'OD 01-24'!D:D)</f>
        <v>0</v>
      </c>
      <c r="G34" s="13">
        <f>SUMIF('OD 01-24'!A:A,A34,'OD 01-24'!E:E)</f>
        <v>0</v>
      </c>
      <c r="H34" s="14">
        <f t="shared" si="0"/>
        <v>0</v>
      </c>
      <c r="I34" s="14">
        <f t="shared" si="1"/>
        <v>404721.24329749867</v>
      </c>
      <c r="J34" s="8" t="s">
        <v>25</v>
      </c>
    </row>
    <row r="35" spans="1:10" s="9" customFormat="1" ht="11.25" x14ac:dyDescent="0.2">
      <c r="A35" s="10">
        <v>23220000</v>
      </c>
      <c r="B35" s="10" t="s">
        <v>39</v>
      </c>
      <c r="C35" s="11">
        <v>0</v>
      </c>
      <c r="D35" s="11">
        <v>0</v>
      </c>
      <c r="E35" s="11">
        <v>0</v>
      </c>
      <c r="F35" s="13">
        <f>SUMIF('OD 01-24'!A:A,A35,'OD 01-24'!D:D)</f>
        <v>0</v>
      </c>
      <c r="G35" s="13">
        <f>SUMIF('OD 01-24'!A:A,A35,'OD 01-24'!E:E)</f>
        <v>0</v>
      </c>
      <c r="H35" s="14">
        <f t="shared" si="0"/>
        <v>0</v>
      </c>
      <c r="I35" s="14">
        <f t="shared" si="1"/>
        <v>0</v>
      </c>
      <c r="J35" s="8" t="s">
        <v>25</v>
      </c>
    </row>
    <row r="36" spans="1:10" s="9" customFormat="1" ht="11.25" x14ac:dyDescent="0.2">
      <c r="A36" s="10">
        <v>23225000</v>
      </c>
      <c r="B36" s="10" t="s">
        <v>281</v>
      </c>
      <c r="C36" s="11">
        <v>0</v>
      </c>
      <c r="D36" s="11">
        <v>0</v>
      </c>
      <c r="E36" s="11">
        <v>0</v>
      </c>
      <c r="F36" s="13">
        <f>SUMIF('OD 01-24'!A:A,A36,'OD 01-24'!D:D)</f>
        <v>0</v>
      </c>
      <c r="G36" s="13">
        <f>SUMIF('OD 01-24'!A:A,A36,'OD 01-24'!E:E)</f>
        <v>0</v>
      </c>
      <c r="H36" s="14">
        <f t="shared" si="0"/>
        <v>0</v>
      </c>
      <c r="I36" s="14">
        <f t="shared" si="1"/>
        <v>0</v>
      </c>
      <c r="J36" s="8"/>
    </row>
    <row r="37" spans="1:10" s="9" customFormat="1" ht="11.25" x14ac:dyDescent="0.2">
      <c r="A37" s="10">
        <v>23231000</v>
      </c>
      <c r="B37" s="10" t="s">
        <v>282</v>
      </c>
      <c r="C37" s="11">
        <v>0</v>
      </c>
      <c r="D37" s="11">
        <v>0</v>
      </c>
      <c r="E37" s="11">
        <v>0</v>
      </c>
      <c r="F37" s="13">
        <f>SUMIF('OD 01-24'!A:A,A37,'OD 01-24'!D:D)</f>
        <v>0</v>
      </c>
      <c r="G37" s="13">
        <f>SUMIF('OD 01-24'!A:A,A37,'OD 01-24'!E:E)</f>
        <v>0</v>
      </c>
      <c r="H37" s="14">
        <f t="shared" si="0"/>
        <v>0</v>
      </c>
      <c r="I37" s="14">
        <f t="shared" si="1"/>
        <v>0</v>
      </c>
      <c r="J37" s="8"/>
    </row>
    <row r="38" spans="1:10" s="9" customFormat="1" ht="11.25" x14ac:dyDescent="0.2">
      <c r="A38" s="10">
        <v>23237000</v>
      </c>
      <c r="B38" s="10" t="s">
        <v>283</v>
      </c>
      <c r="C38" s="11">
        <v>0</v>
      </c>
      <c r="D38" s="11">
        <v>0</v>
      </c>
      <c r="E38" s="11">
        <v>0</v>
      </c>
      <c r="F38" s="13">
        <f>SUMIF('OD 01-24'!A:A,A38,'OD 01-24'!D:D)</f>
        <v>0</v>
      </c>
      <c r="G38" s="13">
        <f>SUMIF('OD 01-24'!A:A,A38,'OD 01-24'!E:E)</f>
        <v>0</v>
      </c>
      <c r="H38" s="14">
        <f t="shared" si="0"/>
        <v>0</v>
      </c>
      <c r="I38" s="14">
        <f t="shared" si="1"/>
        <v>0</v>
      </c>
      <c r="J38" s="8"/>
    </row>
    <row r="39" spans="1:10" s="9" customFormat="1" ht="11.25" x14ac:dyDescent="0.2">
      <c r="A39" s="10">
        <v>23250000</v>
      </c>
      <c r="B39" s="10" t="s">
        <v>284</v>
      </c>
      <c r="C39" s="11">
        <v>0</v>
      </c>
      <c r="D39" s="11">
        <v>0</v>
      </c>
      <c r="E39" s="11">
        <v>0</v>
      </c>
      <c r="F39" s="13">
        <f>SUMIF('OD 01-24'!A:A,A39,'OD 01-24'!D:D)</f>
        <v>0</v>
      </c>
      <c r="G39" s="13">
        <f>SUMIF('OD 01-24'!A:A,A39,'OD 01-24'!E:E)</f>
        <v>0</v>
      </c>
      <c r="H39" s="14">
        <f t="shared" si="0"/>
        <v>0</v>
      </c>
      <c r="I39" s="14">
        <f t="shared" si="1"/>
        <v>0</v>
      </c>
      <c r="J39" s="8"/>
    </row>
    <row r="40" spans="1:10" s="9" customFormat="1" ht="11.25" x14ac:dyDescent="0.2">
      <c r="A40" s="10">
        <v>23800000</v>
      </c>
      <c r="B40" s="10" t="s">
        <v>285</v>
      </c>
      <c r="C40" s="11">
        <v>0</v>
      </c>
      <c r="D40" s="11">
        <v>0</v>
      </c>
      <c r="E40" s="11">
        <v>0</v>
      </c>
      <c r="F40" s="13">
        <f>SUMIF('OD 01-24'!A:A,A40,'OD 01-24'!D:D)</f>
        <v>0</v>
      </c>
      <c r="G40" s="13">
        <f>SUMIF('OD 01-24'!A:A,A40,'OD 01-24'!E:E)</f>
        <v>0</v>
      </c>
      <c r="H40" s="14">
        <f t="shared" si="0"/>
        <v>0</v>
      </c>
      <c r="I40" s="14">
        <f t="shared" si="1"/>
        <v>0</v>
      </c>
      <c r="J40" s="8"/>
    </row>
    <row r="41" spans="1:10" s="9" customFormat="1" ht="11.25" x14ac:dyDescent="0.2">
      <c r="A41" s="10">
        <v>24000000</v>
      </c>
      <c r="B41" s="10" t="s">
        <v>40</v>
      </c>
      <c r="C41" s="11">
        <v>770033.75899999996</v>
      </c>
      <c r="D41" s="11">
        <v>0</v>
      </c>
      <c r="E41" s="11">
        <v>0</v>
      </c>
      <c r="F41" s="13">
        <f>SUMIF('OD 01-24'!A:A,A41,'OD 01-24'!D:D)</f>
        <v>0</v>
      </c>
      <c r="G41" s="13">
        <f>SUMIF('OD 01-24'!A:A,A41,'OD 01-24'!E:E)</f>
        <v>0</v>
      </c>
      <c r="H41" s="14">
        <f t="shared" si="0"/>
        <v>0</v>
      </c>
      <c r="I41" s="14">
        <f t="shared" si="1"/>
        <v>770033.75899999996</v>
      </c>
      <c r="J41" s="8" t="s">
        <v>25</v>
      </c>
    </row>
    <row r="42" spans="1:10" s="9" customFormat="1" ht="11.25" x14ac:dyDescent="0.2">
      <c r="A42" s="10">
        <v>25100000</v>
      </c>
      <c r="B42" s="10" t="s">
        <v>286</v>
      </c>
      <c r="C42" s="11">
        <v>0</v>
      </c>
      <c r="D42" s="11">
        <v>0</v>
      </c>
      <c r="E42" s="11">
        <v>0</v>
      </c>
      <c r="F42" s="13">
        <f>SUMIF('OD 01-24'!A:A,A42,'OD 01-24'!D:D)</f>
        <v>0</v>
      </c>
      <c r="G42" s="13">
        <f>SUMIF('OD 01-24'!A:A,A42,'OD 01-24'!E:E)</f>
        <v>0</v>
      </c>
      <c r="H42" s="14">
        <f t="shared" si="0"/>
        <v>0</v>
      </c>
      <c r="I42" s="14">
        <f t="shared" si="1"/>
        <v>0</v>
      </c>
      <c r="J42" s="8"/>
    </row>
    <row r="43" spans="1:10" s="9" customFormat="1" ht="11.25" x14ac:dyDescent="0.2">
      <c r="A43" s="10">
        <v>25110000</v>
      </c>
      <c r="B43" s="10" t="s">
        <v>41</v>
      </c>
      <c r="C43" s="11">
        <v>266820</v>
      </c>
      <c r="D43" s="11">
        <v>0</v>
      </c>
      <c r="E43" s="11">
        <v>0</v>
      </c>
      <c r="F43" s="13">
        <f>SUMIF('OD 01-24'!A:A,A43,'OD 01-24'!D:D)</f>
        <v>0</v>
      </c>
      <c r="G43" s="13">
        <f>SUMIF('OD 01-24'!A:A,A43,'OD 01-24'!E:E)</f>
        <v>0</v>
      </c>
      <c r="H43" s="14">
        <f t="shared" si="0"/>
        <v>0</v>
      </c>
      <c r="I43" s="14">
        <f t="shared" si="1"/>
        <v>266820</v>
      </c>
      <c r="J43" s="8" t="s">
        <v>42</v>
      </c>
    </row>
    <row r="44" spans="1:10" s="9" customFormat="1" ht="11.25" x14ac:dyDescent="0.2">
      <c r="A44" s="10">
        <v>25120000</v>
      </c>
      <c r="B44" s="10" t="s">
        <v>287</v>
      </c>
      <c r="C44" s="11">
        <v>512700</v>
      </c>
      <c r="D44" s="11">
        <v>0</v>
      </c>
      <c r="E44" s="11">
        <v>0</v>
      </c>
      <c r="F44" s="13">
        <f>SUMIF('OD 01-24'!A:A,A44,'OD 01-24'!D:D)</f>
        <v>0</v>
      </c>
      <c r="G44" s="13">
        <f>SUMIF('OD 01-24'!A:A,A44,'OD 01-24'!E:E)</f>
        <v>0</v>
      </c>
      <c r="H44" s="14">
        <f t="shared" si="0"/>
        <v>0</v>
      </c>
      <c r="I44" s="14">
        <f t="shared" si="1"/>
        <v>512700</v>
      </c>
      <c r="J44" s="8" t="s">
        <v>42</v>
      </c>
    </row>
    <row r="45" spans="1:10" s="9" customFormat="1" ht="11.25" x14ac:dyDescent="0.2">
      <c r="A45" s="10">
        <v>25130000</v>
      </c>
      <c r="B45" s="10" t="s">
        <v>43</v>
      </c>
      <c r="C45" s="11">
        <v>677000</v>
      </c>
      <c r="D45" s="11">
        <v>0</v>
      </c>
      <c r="E45" s="11">
        <v>0</v>
      </c>
      <c r="F45" s="13">
        <f>SUMIF('OD 01-24'!A:A,A45,'OD 01-24'!D:D)</f>
        <v>0</v>
      </c>
      <c r="G45" s="13">
        <f>SUMIF('OD 01-24'!A:A,A45,'OD 01-24'!E:E)</f>
        <v>0</v>
      </c>
      <c r="H45" s="14">
        <f t="shared" si="0"/>
        <v>0</v>
      </c>
      <c r="I45" s="14">
        <f t="shared" si="1"/>
        <v>677000</v>
      </c>
      <c r="J45" s="8" t="s">
        <v>42</v>
      </c>
    </row>
    <row r="46" spans="1:10" s="9" customFormat="1" ht="11.25" x14ac:dyDescent="0.2">
      <c r="A46" s="10">
        <v>25140000</v>
      </c>
      <c r="B46" s="10" t="s">
        <v>44</v>
      </c>
      <c r="C46" s="11">
        <v>3150000</v>
      </c>
      <c r="D46" s="11">
        <v>0</v>
      </c>
      <c r="E46" s="11">
        <v>0</v>
      </c>
      <c r="F46" s="13">
        <f>SUMIF('OD 01-24'!A:A,A46,'OD 01-24'!D:D)</f>
        <v>0</v>
      </c>
      <c r="G46" s="13">
        <f>SUMIF('OD 01-24'!A:A,A46,'OD 01-24'!E:E)</f>
        <v>0</v>
      </c>
      <c r="H46" s="14">
        <f t="shared" ref="H46:H49" si="2">+D46+F46-E46-G46</f>
        <v>0</v>
      </c>
      <c r="I46" s="14">
        <f t="shared" ref="I46:I49" si="3">+H46+C46</f>
        <v>3150000</v>
      </c>
      <c r="J46" s="8" t="s">
        <v>42</v>
      </c>
    </row>
    <row r="47" spans="1:10" s="9" customFormat="1" ht="11.25" x14ac:dyDescent="0.2">
      <c r="A47" s="10">
        <v>25150000</v>
      </c>
      <c r="B47" s="10" t="s">
        <v>387</v>
      </c>
      <c r="C47" s="11">
        <v>319680</v>
      </c>
      <c r="D47" s="11">
        <v>0</v>
      </c>
      <c r="E47" s="11">
        <v>0</v>
      </c>
      <c r="F47" s="13">
        <f>SUMIF('OD 01-24'!A:A,A47,'OD 01-24'!D:D)</f>
        <v>0</v>
      </c>
      <c r="G47" s="13">
        <f>SUMIF('OD 01-24'!A:A,A47,'OD 01-24'!E:E)</f>
        <v>0</v>
      </c>
      <c r="H47" s="14">
        <f t="shared" si="2"/>
        <v>0</v>
      </c>
      <c r="I47" s="14">
        <f t="shared" si="3"/>
        <v>319680</v>
      </c>
      <c r="J47" s="8" t="s">
        <v>42</v>
      </c>
    </row>
    <row r="48" spans="1:10" s="9" customFormat="1" ht="11.25" x14ac:dyDescent="0.2">
      <c r="A48" s="10">
        <v>25700000</v>
      </c>
      <c r="B48" s="10" t="s">
        <v>288</v>
      </c>
      <c r="C48" s="11">
        <v>0</v>
      </c>
      <c r="D48" s="11">
        <v>0</v>
      </c>
      <c r="E48" s="11">
        <v>0</v>
      </c>
      <c r="F48" s="13">
        <f>SUMIF('OD 01-24'!A:A,A48,'OD 01-24'!D:D)</f>
        <v>0</v>
      </c>
      <c r="G48" s="13">
        <f>SUMIF('OD 01-24'!A:A,A48,'OD 01-24'!E:E)</f>
        <v>0</v>
      </c>
      <c r="H48" s="14">
        <f t="shared" si="2"/>
        <v>0</v>
      </c>
      <c r="I48" s="14">
        <f t="shared" si="3"/>
        <v>0</v>
      </c>
      <c r="J48" s="8" t="s">
        <v>42</v>
      </c>
    </row>
    <row r="49" spans="1:10" s="9" customFormat="1" ht="11.25" x14ac:dyDescent="0.2">
      <c r="A49" s="10">
        <v>25810000</v>
      </c>
      <c r="B49" s="10" t="s">
        <v>289</v>
      </c>
      <c r="C49" s="11">
        <v>0</v>
      </c>
      <c r="D49" s="11">
        <v>0</v>
      </c>
      <c r="E49" s="11">
        <v>0</v>
      </c>
      <c r="F49" s="13">
        <f>SUMIF('OD 01-24'!A:A,A49,'OD 01-24'!D:D)</f>
        <v>0</v>
      </c>
      <c r="G49" s="13">
        <f>SUMIF('OD 01-24'!A:A,A49,'OD 01-24'!E:E)</f>
        <v>0</v>
      </c>
      <c r="H49" s="14">
        <f t="shared" si="2"/>
        <v>0</v>
      </c>
      <c r="I49" s="14">
        <f t="shared" si="3"/>
        <v>0</v>
      </c>
      <c r="J49" s="8"/>
    </row>
    <row r="50" spans="1:10" s="9" customFormat="1" ht="11.25" x14ac:dyDescent="0.2">
      <c r="A50" s="10">
        <v>26400000</v>
      </c>
      <c r="B50" s="10" t="s">
        <v>290</v>
      </c>
      <c r="C50" s="11">
        <v>0</v>
      </c>
      <c r="D50" s="11">
        <v>0</v>
      </c>
      <c r="E50" s="11">
        <v>0</v>
      </c>
      <c r="F50" s="13">
        <f>SUMIF('OD 01-24'!A:A,A50,'OD 01-24'!D:D)</f>
        <v>0</v>
      </c>
      <c r="G50" s="13">
        <f>SUMIF('OD 01-24'!A:A,A50,'OD 01-24'!E:E)</f>
        <v>0</v>
      </c>
      <c r="H50" s="14">
        <f t="shared" si="0"/>
        <v>0</v>
      </c>
      <c r="I50" s="14">
        <f t="shared" si="1"/>
        <v>0</v>
      </c>
      <c r="J50" s="8"/>
    </row>
    <row r="51" spans="1:10" s="9" customFormat="1" ht="11.25" x14ac:dyDescent="0.2">
      <c r="A51" s="10">
        <v>26430000</v>
      </c>
      <c r="B51" s="10" t="s">
        <v>291</v>
      </c>
      <c r="C51" s="11">
        <v>0</v>
      </c>
      <c r="D51" s="11">
        <v>0</v>
      </c>
      <c r="E51" s="11">
        <v>0</v>
      </c>
      <c r="F51" s="13">
        <f>SUMIF('OD 01-24'!A:A,A51,'OD 01-24'!D:D)</f>
        <v>0</v>
      </c>
      <c r="G51" s="13">
        <f>SUMIF('OD 01-24'!A:A,A51,'OD 01-24'!E:E)</f>
        <v>0</v>
      </c>
      <c r="H51" s="14">
        <f t="shared" si="0"/>
        <v>0</v>
      </c>
      <c r="I51" s="14">
        <f t="shared" si="1"/>
        <v>0</v>
      </c>
      <c r="J51" s="8"/>
    </row>
    <row r="52" spans="1:10" s="9" customFormat="1" ht="11.25" x14ac:dyDescent="0.2">
      <c r="A52" s="10">
        <v>26500000</v>
      </c>
      <c r="B52" s="10" t="s">
        <v>45</v>
      </c>
      <c r="C52" s="11">
        <v>-15159.015999999829</v>
      </c>
      <c r="D52" s="11">
        <v>0</v>
      </c>
      <c r="E52" s="11">
        <v>0</v>
      </c>
      <c r="F52" s="13">
        <f>SUMIF('OD 01-24'!A:A,A52,'OD 01-24'!D:D)</f>
        <v>0</v>
      </c>
      <c r="G52" s="13">
        <f>SUMIF('OD 01-24'!A:A,A52,'OD 01-24'!E:E)</f>
        <v>0</v>
      </c>
      <c r="H52" s="14">
        <f t="shared" si="0"/>
        <v>0</v>
      </c>
      <c r="I52" s="14">
        <f t="shared" si="1"/>
        <v>-15159.015999999829</v>
      </c>
      <c r="J52" s="8" t="s">
        <v>46</v>
      </c>
    </row>
    <row r="53" spans="1:10" s="9" customFormat="1" ht="11.25" x14ac:dyDescent="0.2">
      <c r="A53" s="10">
        <v>26510000</v>
      </c>
      <c r="B53" s="10" t="s">
        <v>292</v>
      </c>
      <c r="C53" s="11">
        <v>0</v>
      </c>
      <c r="D53" s="11">
        <v>0</v>
      </c>
      <c r="E53" s="11">
        <v>0</v>
      </c>
      <c r="F53" s="13">
        <f>SUMIF('OD 01-24'!A:A,A53,'OD 01-24'!D:D)</f>
        <v>0</v>
      </c>
      <c r="G53" s="13">
        <f>SUMIF('OD 01-24'!A:A,A53,'OD 01-24'!E:E)</f>
        <v>0</v>
      </c>
      <c r="H53" s="14">
        <f t="shared" si="0"/>
        <v>0</v>
      </c>
      <c r="I53" s="14">
        <f t="shared" si="1"/>
        <v>0</v>
      </c>
      <c r="J53" s="8"/>
    </row>
    <row r="54" spans="1:10" s="9" customFormat="1" ht="11.25" x14ac:dyDescent="0.2">
      <c r="A54" s="10">
        <v>26550000</v>
      </c>
      <c r="B54" s="10" t="s">
        <v>293</v>
      </c>
      <c r="C54" s="11">
        <v>0</v>
      </c>
      <c r="D54" s="11">
        <v>0</v>
      </c>
      <c r="E54" s="11">
        <v>0</v>
      </c>
      <c r="F54" s="13">
        <f>SUMIF('OD 01-24'!A:A,A54,'OD 01-24'!D:D)</f>
        <v>0</v>
      </c>
      <c r="G54" s="13">
        <f>SUMIF('OD 01-24'!A:A,A54,'OD 01-24'!E:E)</f>
        <v>0</v>
      </c>
      <c r="H54" s="14">
        <f t="shared" ref="H54:H58" si="4">+D54+F54-E54-G54</f>
        <v>0</v>
      </c>
      <c r="I54" s="14">
        <f t="shared" ref="I54:I58" si="5">+H54+C54</f>
        <v>0</v>
      </c>
      <c r="J54" s="8"/>
    </row>
    <row r="55" spans="1:10" s="9" customFormat="1" ht="11.25" x14ac:dyDescent="0.2">
      <c r="A55" s="10">
        <v>26580000</v>
      </c>
      <c r="B55" s="10" t="s">
        <v>23</v>
      </c>
      <c r="C55" s="11">
        <v>5771.2</v>
      </c>
      <c r="D55" s="11">
        <v>0</v>
      </c>
      <c r="E55" s="11">
        <v>0</v>
      </c>
      <c r="F55" s="13">
        <v>0</v>
      </c>
      <c r="G55" s="13">
        <f>SUMIF('OD 01-24'!A:A,A55,'OD 01-24'!E:E)</f>
        <v>0</v>
      </c>
      <c r="H55" s="14">
        <f t="shared" si="4"/>
        <v>0</v>
      </c>
      <c r="I55" s="14">
        <f t="shared" si="5"/>
        <v>5771.2</v>
      </c>
      <c r="J55" s="8" t="s">
        <v>46</v>
      </c>
    </row>
    <row r="56" spans="1:10" s="9" customFormat="1" ht="11.25" x14ac:dyDescent="0.2">
      <c r="A56" s="10">
        <v>27100000</v>
      </c>
      <c r="B56" s="10" t="s">
        <v>294</v>
      </c>
      <c r="C56" s="11">
        <v>0</v>
      </c>
      <c r="D56" s="11">
        <v>0</v>
      </c>
      <c r="E56" s="11">
        <v>0</v>
      </c>
      <c r="F56" s="13">
        <f>SUMIF('OD 01-24'!A:A,A56,'OD 01-24'!D:D)</f>
        <v>0</v>
      </c>
      <c r="G56" s="13">
        <f>SUMIF('OD 01-24'!A:A,A56,'OD 01-24'!E:E)</f>
        <v>0</v>
      </c>
      <c r="H56" s="14">
        <f t="shared" si="4"/>
        <v>0</v>
      </c>
      <c r="I56" s="14">
        <f t="shared" si="5"/>
        <v>0</v>
      </c>
      <c r="J56" s="8"/>
    </row>
    <row r="57" spans="1:10" s="9" customFormat="1" ht="11.25" x14ac:dyDescent="0.2">
      <c r="A57" s="10">
        <v>28100000</v>
      </c>
      <c r="B57" s="10" t="s">
        <v>295</v>
      </c>
      <c r="C57" s="11">
        <v>0</v>
      </c>
      <c r="D57" s="11">
        <v>0</v>
      </c>
      <c r="E57" s="11">
        <v>0</v>
      </c>
      <c r="F57" s="13">
        <f>SUMIF('OD 01-24'!A:A,A57,'OD 01-24'!D:D)</f>
        <v>0</v>
      </c>
      <c r="G57" s="13">
        <f>SUMIF('OD 01-24'!A:A,A57,'OD 01-24'!E:E)</f>
        <v>0</v>
      </c>
      <c r="H57" s="14">
        <f t="shared" si="4"/>
        <v>0</v>
      </c>
      <c r="I57" s="14">
        <f t="shared" si="5"/>
        <v>0</v>
      </c>
      <c r="J57" s="8"/>
    </row>
    <row r="58" spans="1:10" s="9" customFormat="1" ht="11.25" x14ac:dyDescent="0.2">
      <c r="A58" s="10">
        <v>28110000</v>
      </c>
      <c r="B58" s="10" t="s">
        <v>296</v>
      </c>
      <c r="C58" s="11">
        <v>0</v>
      </c>
      <c r="D58" s="11">
        <v>0</v>
      </c>
      <c r="E58" s="11">
        <v>0</v>
      </c>
      <c r="F58" s="13">
        <f>SUMIF('OD 01-24'!A:A,A58,'OD 01-24'!D:D)</f>
        <v>0</v>
      </c>
      <c r="G58" s="13">
        <f>SUMIF('OD 01-24'!A:A,A58,'OD 01-24'!E:E)</f>
        <v>0</v>
      </c>
      <c r="H58" s="14">
        <f t="shared" si="4"/>
        <v>0</v>
      </c>
      <c r="I58" s="14">
        <f t="shared" si="5"/>
        <v>0</v>
      </c>
      <c r="J58" s="8"/>
    </row>
    <row r="59" spans="1:10" s="9" customFormat="1" ht="11.25" x14ac:dyDescent="0.2">
      <c r="A59" s="10">
        <v>28130000</v>
      </c>
      <c r="B59" s="10" t="s">
        <v>24</v>
      </c>
      <c r="C59" s="11">
        <v>-75004.895999999993</v>
      </c>
      <c r="D59" s="11">
        <v>0</v>
      </c>
      <c r="E59" s="11">
        <v>0</v>
      </c>
      <c r="F59" s="13">
        <f>SUMIF('OD 01-24'!A:A,A59,'OD 01-24'!D:D)</f>
        <v>0</v>
      </c>
      <c r="G59" s="13">
        <f>SUMIF('OD 01-24'!A:A,A59,'OD 01-24'!E:E)</f>
        <v>845.58</v>
      </c>
      <c r="H59" s="14">
        <f t="shared" si="0"/>
        <v>-845.58</v>
      </c>
      <c r="I59" s="14">
        <f t="shared" si="1"/>
        <v>-75850.475999999995</v>
      </c>
      <c r="J59" s="8" t="s">
        <v>47</v>
      </c>
    </row>
    <row r="60" spans="1:10" s="9" customFormat="1" ht="11.25" x14ac:dyDescent="0.2">
      <c r="A60" s="10">
        <v>28216000</v>
      </c>
      <c r="B60" s="10" t="s">
        <v>48</v>
      </c>
      <c r="C60" s="11">
        <v>-148352.71299999999</v>
      </c>
      <c r="D60" s="11">
        <v>0</v>
      </c>
      <c r="E60" s="11">
        <v>0</v>
      </c>
      <c r="F60" s="13">
        <f>SUMIF('OD 01-24'!A:A,A60,'OD 01-24'!D:D)</f>
        <v>0</v>
      </c>
      <c r="G60" s="13">
        <f>SUMIF('OD 01-24'!A:A,A60,'OD 01-24'!E:E)</f>
        <v>231.89</v>
      </c>
      <c r="H60" s="14">
        <f t="shared" si="0"/>
        <v>-231.89</v>
      </c>
      <c r="I60" s="14">
        <f t="shared" si="1"/>
        <v>-148584.603</v>
      </c>
      <c r="J60" s="8" t="s">
        <v>47</v>
      </c>
    </row>
    <row r="61" spans="1:10" s="9" customFormat="1" ht="11.25" x14ac:dyDescent="0.2">
      <c r="A61" s="10">
        <v>28220000</v>
      </c>
      <c r="B61" s="10" t="s">
        <v>49</v>
      </c>
      <c r="C61" s="11">
        <v>-3729152.5419999999</v>
      </c>
      <c r="D61" s="11">
        <v>0</v>
      </c>
      <c r="E61" s="11">
        <v>0</v>
      </c>
      <c r="F61" s="13">
        <f>SUMIF('OD 01-24'!A:A,A61,'OD 01-24'!D:D)</f>
        <v>0</v>
      </c>
      <c r="G61" s="13">
        <f>SUMIF('OD 01-24'!A:A,A61,'OD 01-24'!E:E)</f>
        <v>37813.739000000001</v>
      </c>
      <c r="H61" s="14">
        <f t="shared" si="0"/>
        <v>-37813.739000000001</v>
      </c>
      <c r="I61" s="14">
        <f t="shared" si="1"/>
        <v>-3766966.281</v>
      </c>
      <c r="J61" s="8" t="s">
        <v>47</v>
      </c>
    </row>
    <row r="62" spans="1:10" s="9" customFormat="1" ht="11.25" x14ac:dyDescent="0.2">
      <c r="A62" s="10">
        <v>28225000</v>
      </c>
      <c r="B62" s="10" t="s">
        <v>50</v>
      </c>
      <c r="C62" s="11">
        <v>-271826.14399999997</v>
      </c>
      <c r="D62" s="11">
        <v>0</v>
      </c>
      <c r="E62" s="11">
        <v>0</v>
      </c>
      <c r="F62" s="13">
        <f>SUMIF('OD 01-24'!A:A,A62,'OD 01-24'!D:D)</f>
        <v>0</v>
      </c>
      <c r="G62" s="13">
        <f>SUMIF('OD 01-24'!A:A,A62,'OD 01-24'!E:E)</f>
        <v>10482.156999999999</v>
      </c>
      <c r="H62" s="14">
        <f t="shared" si="0"/>
        <v>-10482.156999999999</v>
      </c>
      <c r="I62" s="14">
        <f t="shared" si="1"/>
        <v>-282308.30099999998</v>
      </c>
      <c r="J62" s="8" t="s">
        <v>47</v>
      </c>
    </row>
    <row r="63" spans="1:10" s="9" customFormat="1" ht="11.25" x14ac:dyDescent="0.2">
      <c r="A63" s="10">
        <v>28230000</v>
      </c>
      <c r="B63" s="10" t="s">
        <v>263</v>
      </c>
      <c r="C63" s="11">
        <v>-43130.395000000004</v>
      </c>
      <c r="D63" s="11">
        <v>0</v>
      </c>
      <c r="E63" s="11">
        <v>0</v>
      </c>
      <c r="F63" s="13">
        <f>SUMIF('OD 01-24'!A:A,A63,'OD 01-24'!D:D)</f>
        <v>0</v>
      </c>
      <c r="G63" s="13">
        <f>SUMIF('OD 01-24'!A:A,A63,'OD 01-24'!E:E)</f>
        <v>2036.4970000000001</v>
      </c>
      <c r="H63" s="14">
        <f t="shared" si="0"/>
        <v>-2036.4970000000001</v>
      </c>
      <c r="I63" s="14">
        <f t="shared" si="1"/>
        <v>-45166.892000000007</v>
      </c>
      <c r="J63" s="8" t="s">
        <v>47</v>
      </c>
    </row>
    <row r="64" spans="1:10" s="9" customFormat="1" ht="11.25" x14ac:dyDescent="0.2">
      <c r="A64" s="10">
        <v>28231000</v>
      </c>
      <c r="B64" s="10" t="s">
        <v>402</v>
      </c>
      <c r="C64" s="11">
        <v>0</v>
      </c>
      <c r="D64" s="11">
        <v>0</v>
      </c>
      <c r="E64" s="11">
        <v>0</v>
      </c>
      <c r="F64" s="13">
        <f>SUMIF('OD 01-24'!A:A,A64,'OD 01-24'!D:D)</f>
        <v>0</v>
      </c>
      <c r="G64" s="13">
        <f>SUMIF('OD 01-24'!A:A,A64,'OD 01-24'!E:E)</f>
        <v>74.162999999999997</v>
      </c>
      <c r="H64" s="14">
        <f t="shared" ref="H64" si="6">+D64+F64-E64-G64</f>
        <v>-74.162999999999997</v>
      </c>
      <c r="I64" s="14">
        <f t="shared" ref="I64" si="7">+H64+C64</f>
        <v>-74.162999999999997</v>
      </c>
      <c r="J64" s="8" t="s">
        <v>47</v>
      </c>
    </row>
    <row r="65" spans="1:10" s="9" customFormat="1" ht="11.25" x14ac:dyDescent="0.2">
      <c r="A65" s="10">
        <v>28234000</v>
      </c>
      <c r="B65" s="10" t="s">
        <v>51</v>
      </c>
      <c r="C65" s="11">
        <v>-15867226.817000002</v>
      </c>
      <c r="D65" s="11">
        <v>0</v>
      </c>
      <c r="E65" s="11">
        <v>0</v>
      </c>
      <c r="F65" s="13">
        <f>SUMIF('OD 01-24'!A:A,A65,'OD 01-24'!D:D)</f>
        <v>0</v>
      </c>
      <c r="G65" s="13">
        <f>SUMIF('OD 01-24'!A:A,A65,'OD 01-24'!E:E)</f>
        <v>134999.47700000001</v>
      </c>
      <c r="H65" s="14">
        <f t="shared" si="0"/>
        <v>-134999.47700000001</v>
      </c>
      <c r="I65" s="14">
        <f t="shared" si="1"/>
        <v>-16002226.294000002</v>
      </c>
      <c r="J65" s="8" t="s">
        <v>47</v>
      </c>
    </row>
    <row r="66" spans="1:10" s="9" customFormat="1" ht="11.25" x14ac:dyDescent="0.2">
      <c r="A66" s="10">
        <v>28235000</v>
      </c>
      <c r="B66" s="10" t="s">
        <v>52</v>
      </c>
      <c r="C66" s="11">
        <v>-355370.76600000006</v>
      </c>
      <c r="D66" s="11">
        <v>0</v>
      </c>
      <c r="E66" s="11">
        <v>0</v>
      </c>
      <c r="F66" s="13">
        <f>SUMIF('OD 01-24'!A:A,A66,'OD 01-24'!D:D)</f>
        <v>0</v>
      </c>
      <c r="G66" s="13">
        <f>SUMIF('OD 01-24'!A:A,A66,'OD 01-24'!E:E)</f>
        <v>4702.4229999999998</v>
      </c>
      <c r="H66" s="14">
        <f t="shared" si="0"/>
        <v>-4702.4229999999998</v>
      </c>
      <c r="I66" s="14">
        <f t="shared" si="1"/>
        <v>-360073.18900000007</v>
      </c>
      <c r="J66" s="8" t="s">
        <v>47</v>
      </c>
    </row>
    <row r="67" spans="1:10" s="9" customFormat="1" ht="11.25" x14ac:dyDescent="0.2">
      <c r="A67" s="10">
        <v>28237000</v>
      </c>
      <c r="B67" s="10" t="s">
        <v>53</v>
      </c>
      <c r="C67" s="11">
        <v>-756166.84899999993</v>
      </c>
      <c r="D67" s="11">
        <v>0</v>
      </c>
      <c r="E67" s="11">
        <v>0</v>
      </c>
      <c r="F67" s="13">
        <f>SUMIF('OD 01-24'!A:A,A67,'OD 01-24'!D:D)</f>
        <v>0</v>
      </c>
      <c r="G67" s="13">
        <f>SUMIF('OD 01-24'!A:A,A67,'OD 01-24'!E:E)</f>
        <v>1988.9290000000001</v>
      </c>
      <c r="H67" s="14">
        <f t="shared" si="0"/>
        <v>-1988.9290000000001</v>
      </c>
      <c r="I67" s="14">
        <f t="shared" si="1"/>
        <v>-758155.77799999993</v>
      </c>
      <c r="J67" s="8" t="s">
        <v>47</v>
      </c>
    </row>
    <row r="68" spans="1:10" s="9" customFormat="1" ht="11.25" x14ac:dyDescent="0.2">
      <c r="A68" s="10">
        <v>28240000</v>
      </c>
      <c r="B68" s="10" t="s">
        <v>54</v>
      </c>
      <c r="C68" s="11">
        <v>-641382.64299999992</v>
      </c>
      <c r="D68" s="11">
        <v>0</v>
      </c>
      <c r="E68" s="11">
        <v>0</v>
      </c>
      <c r="F68" s="13">
        <f>SUMIF('OD 01-24'!A:A,A68,'OD 01-24'!D:D)</f>
        <v>0</v>
      </c>
      <c r="G68" s="13">
        <f>SUMIF('OD 01-24'!A:A,A68,'OD 01-24'!E:E)</f>
        <v>14121.329</v>
      </c>
      <c r="H68" s="14">
        <f t="shared" si="0"/>
        <v>-14121.329</v>
      </c>
      <c r="I68" s="14">
        <f t="shared" si="1"/>
        <v>-655503.97199999995</v>
      </c>
      <c r="J68" s="8" t="s">
        <v>47</v>
      </c>
    </row>
    <row r="69" spans="1:10" s="9" customFormat="1" ht="11.25" x14ac:dyDescent="0.2">
      <c r="A69" s="10">
        <v>28282000</v>
      </c>
      <c r="B69" s="10" t="s">
        <v>55</v>
      </c>
      <c r="C69" s="11">
        <v>-227110.92800000001</v>
      </c>
      <c r="D69" s="11">
        <v>0</v>
      </c>
      <c r="E69" s="11">
        <v>0</v>
      </c>
      <c r="F69" s="13">
        <f>SUMIF('OD 01-24'!A:A,A69,'OD 01-24'!D:D)</f>
        <v>0</v>
      </c>
      <c r="G69" s="13">
        <f>SUMIF('OD 01-24'!A:A,A69,'OD 01-24'!E:E)</f>
        <v>4256.7020000000002</v>
      </c>
      <c r="H69" s="14">
        <f t="shared" si="0"/>
        <v>-4256.7020000000002</v>
      </c>
      <c r="I69" s="14">
        <f t="shared" si="1"/>
        <v>-231367.63</v>
      </c>
      <c r="J69" s="8" t="s">
        <v>47</v>
      </c>
    </row>
    <row r="70" spans="1:10" s="9" customFormat="1" ht="11.25" x14ac:dyDescent="0.2">
      <c r="A70" s="10">
        <v>28283000</v>
      </c>
      <c r="B70" s="10" t="s">
        <v>264</v>
      </c>
      <c r="C70" s="11">
        <v>-129025.63500000001</v>
      </c>
      <c r="D70" s="11">
        <v>0</v>
      </c>
      <c r="E70" s="11">
        <v>0</v>
      </c>
      <c r="F70" s="13">
        <f>SUMIF('OD 01-24'!A:A,A70,'OD 01-24'!D:D)</f>
        <v>0</v>
      </c>
      <c r="G70" s="13">
        <f>SUMIF('OD 01-24'!A:A,A70,'OD 01-24'!E:E)</f>
        <v>3746.145</v>
      </c>
      <c r="H70" s="14">
        <f t="shared" ref="H70:H137" si="8">+D70+F70-E70-G70</f>
        <v>-3746.145</v>
      </c>
      <c r="I70" s="14">
        <f t="shared" ref="I70:I137" si="9">+H70+C70</f>
        <v>-132771.78</v>
      </c>
      <c r="J70" s="8" t="s">
        <v>47</v>
      </c>
    </row>
    <row r="71" spans="1:10" s="9" customFormat="1" ht="11.25" x14ac:dyDescent="0.2">
      <c r="A71" s="10">
        <v>28400000</v>
      </c>
      <c r="B71" s="10" t="s">
        <v>56</v>
      </c>
      <c r="C71" s="11">
        <v>-480076.72500000009</v>
      </c>
      <c r="D71" s="11">
        <v>0</v>
      </c>
      <c r="E71" s="11">
        <v>0</v>
      </c>
      <c r="F71" s="13">
        <f>SUMIF('OD 01-24'!A:A,A71,'OD 01-24'!D:D)</f>
        <v>0</v>
      </c>
      <c r="G71" s="13">
        <f>SUMIF('OD 01-24'!A:A,A71,'OD 01-24'!E:E)</f>
        <v>6357.3689999999997</v>
      </c>
      <c r="H71" s="14">
        <f t="shared" si="8"/>
        <v>-6357.3689999999997</v>
      </c>
      <c r="I71" s="14">
        <f t="shared" si="9"/>
        <v>-486434.0940000001</v>
      </c>
      <c r="J71" s="8" t="s">
        <v>47</v>
      </c>
    </row>
    <row r="72" spans="1:10" s="9" customFormat="1" ht="11.25" x14ac:dyDescent="0.2">
      <c r="A72" s="10">
        <v>29220000</v>
      </c>
      <c r="B72" s="10" t="s">
        <v>297</v>
      </c>
      <c r="C72" s="11">
        <v>0</v>
      </c>
      <c r="D72" s="11">
        <v>0</v>
      </c>
      <c r="E72" s="11">
        <v>0</v>
      </c>
      <c r="F72" s="13">
        <f>SUMIF('OD 01-24'!A:A,A72,'OD 01-24'!D:D)</f>
        <v>0</v>
      </c>
      <c r="G72" s="13">
        <f>SUMIF('OD 01-24'!A:A,A72,'OD 01-24'!E:E)</f>
        <v>0</v>
      </c>
      <c r="H72" s="14">
        <f t="shared" si="8"/>
        <v>0</v>
      </c>
      <c r="I72" s="14">
        <f t="shared" si="9"/>
        <v>0</v>
      </c>
      <c r="J72" s="8"/>
    </row>
    <row r="73" spans="1:10" s="9" customFormat="1" ht="11.25" x14ac:dyDescent="0.2">
      <c r="A73" s="10">
        <v>29234000</v>
      </c>
      <c r="B73" s="10" t="s">
        <v>388</v>
      </c>
      <c r="C73" s="11">
        <v>-223876.883</v>
      </c>
      <c r="D73" s="11">
        <v>0</v>
      </c>
      <c r="E73" s="11">
        <v>0</v>
      </c>
      <c r="F73" s="13">
        <v>0</v>
      </c>
      <c r="G73" s="13">
        <f>SUMIF('OD 01-24'!A:A,A73,'OD 01-24'!E:E)</f>
        <v>0</v>
      </c>
      <c r="H73" s="14">
        <f t="shared" ref="H73:H75" si="10">+D73+F73-E73-G73</f>
        <v>0</v>
      </c>
      <c r="I73" s="14">
        <f t="shared" ref="I73:I75" si="11">+H73+C73</f>
        <v>-223876.883</v>
      </c>
      <c r="J73" s="8" t="s">
        <v>401</v>
      </c>
    </row>
    <row r="74" spans="1:10" s="9" customFormat="1" ht="11.25" x14ac:dyDescent="0.2">
      <c r="A74" s="10">
        <v>29235000</v>
      </c>
      <c r="B74" s="10" t="s">
        <v>389</v>
      </c>
      <c r="C74" s="11">
        <v>-8171.429000000001</v>
      </c>
      <c r="D74" s="11">
        <v>0</v>
      </c>
      <c r="E74" s="11">
        <v>0</v>
      </c>
      <c r="F74" s="13">
        <v>0</v>
      </c>
      <c r="G74" s="13">
        <f>SUMIF('OD 01-24'!A:A,A74,'OD 01-24'!E:E)</f>
        <v>0</v>
      </c>
      <c r="H74" s="14">
        <f t="shared" si="10"/>
        <v>0</v>
      </c>
      <c r="I74" s="14">
        <f t="shared" si="11"/>
        <v>-8171.429000000001</v>
      </c>
      <c r="J74" s="8" t="s">
        <v>401</v>
      </c>
    </row>
    <row r="75" spans="1:10" s="9" customFormat="1" ht="11.25" x14ac:dyDescent="0.2">
      <c r="A75" s="10">
        <v>29282000</v>
      </c>
      <c r="B75" s="10" t="s">
        <v>298</v>
      </c>
      <c r="C75" s="11">
        <v>0</v>
      </c>
      <c r="D75" s="11">
        <v>0</v>
      </c>
      <c r="E75" s="11">
        <v>0</v>
      </c>
      <c r="F75" s="13">
        <f>SUMIF('OD 01-24'!A:A,A75,'OD 01-24'!D:D)</f>
        <v>0</v>
      </c>
      <c r="G75" s="13">
        <f>SUMIF('OD 01-24'!A:A,A75,'OD 01-24'!E:E)</f>
        <v>0</v>
      </c>
      <c r="H75" s="14">
        <f t="shared" si="10"/>
        <v>0</v>
      </c>
      <c r="I75" s="14">
        <f t="shared" si="11"/>
        <v>0</v>
      </c>
      <c r="J75" s="8"/>
    </row>
    <row r="76" spans="1:10" s="9" customFormat="1" ht="11.25" x14ac:dyDescent="0.2">
      <c r="A76" s="10">
        <v>29286500</v>
      </c>
      <c r="B76" s="10" t="s">
        <v>299</v>
      </c>
      <c r="C76" s="11">
        <v>0</v>
      </c>
      <c r="D76" s="11">
        <v>0</v>
      </c>
      <c r="E76" s="11">
        <v>0</v>
      </c>
      <c r="F76" s="13">
        <f>SUMIF('OD 01-24'!A:A,A76,'OD 01-24'!D:D)</f>
        <v>0</v>
      </c>
      <c r="G76" s="13">
        <f>SUMIF('OD 01-24'!A:A,A76,'OD 01-24'!E:E)</f>
        <v>0</v>
      </c>
      <c r="H76" s="14">
        <f t="shared" si="8"/>
        <v>0</v>
      </c>
      <c r="I76" s="14">
        <f t="shared" si="9"/>
        <v>0</v>
      </c>
      <c r="J76" s="8" t="s">
        <v>25</v>
      </c>
    </row>
    <row r="77" spans="1:10" s="9" customFormat="1" ht="11.25" x14ac:dyDescent="0.2">
      <c r="A77" s="10">
        <v>29700000</v>
      </c>
      <c r="B77" s="10" t="s">
        <v>57</v>
      </c>
      <c r="C77" s="11">
        <v>-29257.384999999998</v>
      </c>
      <c r="D77" s="11">
        <v>0</v>
      </c>
      <c r="E77" s="11">
        <v>0</v>
      </c>
      <c r="F77" s="13">
        <f>SUMIF('OD 01-24'!A:A,A77,'OD 01-24'!D:D)</f>
        <v>0</v>
      </c>
      <c r="G77" s="13">
        <f>SUMIF('OD 01-24'!A:A,A77,'OD 01-24'!E:E)</f>
        <v>0</v>
      </c>
      <c r="H77" s="14">
        <f t="shared" si="8"/>
        <v>0</v>
      </c>
      <c r="I77" s="14">
        <f t="shared" si="9"/>
        <v>-29257.384999999998</v>
      </c>
      <c r="J77" s="8" t="s">
        <v>58</v>
      </c>
    </row>
    <row r="78" spans="1:10" s="9" customFormat="1" ht="11.25" x14ac:dyDescent="0.2">
      <c r="A78" s="10">
        <v>31100000</v>
      </c>
      <c r="B78" s="10" t="s">
        <v>59</v>
      </c>
      <c r="C78" s="11">
        <v>9520075.0200000107</v>
      </c>
      <c r="D78" s="11">
        <v>0</v>
      </c>
      <c r="E78" s="11">
        <v>0</v>
      </c>
      <c r="F78" s="13">
        <f>SUMIF('OD 01-24'!A:A,A78,'OD 01-24'!D:D)</f>
        <v>9671178.2540000007</v>
      </c>
      <c r="G78" s="13">
        <f>SUMIF('OD 01-24'!A:A,A78,'OD 01-24'!E:E)</f>
        <v>9520075.0197000001</v>
      </c>
      <c r="H78" s="14">
        <f t="shared" ref="H78:H79" si="12">+D78+F78-E78-G78</f>
        <v>151103.23430000059</v>
      </c>
      <c r="I78" s="14">
        <f t="shared" ref="I78:I79" si="13">+H78+C78</f>
        <v>9671178.2543000113</v>
      </c>
      <c r="J78" s="8" t="s">
        <v>60</v>
      </c>
    </row>
    <row r="79" spans="1:10" s="9" customFormat="1" ht="11.25" x14ac:dyDescent="0.2">
      <c r="A79" s="10">
        <v>31200000</v>
      </c>
      <c r="B79" s="10" t="s">
        <v>390</v>
      </c>
      <c r="C79" s="11">
        <v>1037112.439</v>
      </c>
      <c r="D79" s="11">
        <v>0</v>
      </c>
      <c r="E79" s="11">
        <v>0</v>
      </c>
      <c r="F79" s="13">
        <f>SUMIF('OD 01-24'!A:A,A79,'OD 01-24'!D:D)</f>
        <v>0</v>
      </c>
      <c r="G79" s="13">
        <f>SUMIF('OD 01-24'!A:A,A79,'OD 01-24'!E:E)</f>
        <v>1037112.439</v>
      </c>
      <c r="H79" s="14">
        <f t="shared" si="12"/>
        <v>-1037112.439</v>
      </c>
      <c r="I79" s="14">
        <f t="shared" si="13"/>
        <v>0</v>
      </c>
      <c r="J79" s="8" t="s">
        <v>60</v>
      </c>
    </row>
    <row r="80" spans="1:10" s="9" customFormat="1" ht="11.25" x14ac:dyDescent="0.2">
      <c r="A80" s="10">
        <v>32200000</v>
      </c>
      <c r="B80" s="10" t="s">
        <v>61</v>
      </c>
      <c r="C80" s="11">
        <v>662156.42899999954</v>
      </c>
      <c r="D80" s="11">
        <v>0</v>
      </c>
      <c r="E80" s="11">
        <v>0</v>
      </c>
      <c r="F80" s="13">
        <f>SUMIF('OD 01-24'!A:A,A80,'OD 01-24'!D:D)</f>
        <v>694061.88800000004</v>
      </c>
      <c r="G80" s="13">
        <f>SUMIF('OD 01-24'!A:A,A80,'OD 01-24'!E:E)</f>
        <v>662156.42949999997</v>
      </c>
      <c r="H80" s="14">
        <f t="shared" si="8"/>
        <v>31905.458500000066</v>
      </c>
      <c r="I80" s="14">
        <f t="shared" si="9"/>
        <v>694061.8874999996</v>
      </c>
      <c r="J80" s="8" t="s">
        <v>60</v>
      </c>
    </row>
    <row r="81" spans="1:10" s="9" customFormat="1" ht="11.25" x14ac:dyDescent="0.2">
      <c r="A81" s="10">
        <v>33100000</v>
      </c>
      <c r="B81" s="10" t="s">
        <v>62</v>
      </c>
      <c r="C81" s="11">
        <v>3435380.2890000008</v>
      </c>
      <c r="D81" s="11">
        <v>0</v>
      </c>
      <c r="E81" s="11">
        <v>0</v>
      </c>
      <c r="F81" s="13">
        <f>SUMIF('OD 01-24'!A:A,A81,'OD 01-24'!D:D)</f>
        <v>3539578.236</v>
      </c>
      <c r="G81" s="13">
        <f>SUMIF('OD 01-24'!A:A,A81,'OD 01-24'!E:E)</f>
        <v>3435380.2886000001</v>
      </c>
      <c r="H81" s="14">
        <f t="shared" si="8"/>
        <v>104197.94739999995</v>
      </c>
      <c r="I81" s="14">
        <f t="shared" si="9"/>
        <v>3539578.2364000008</v>
      </c>
      <c r="J81" s="8" t="s">
        <v>60</v>
      </c>
    </row>
    <row r="82" spans="1:10" s="9" customFormat="1" ht="11.25" x14ac:dyDescent="0.2">
      <c r="A82" s="10">
        <v>33500000</v>
      </c>
      <c r="B82" s="10" t="s">
        <v>300</v>
      </c>
      <c r="C82" s="11">
        <v>0</v>
      </c>
      <c r="D82" s="11">
        <v>0</v>
      </c>
      <c r="E82" s="11">
        <v>0</v>
      </c>
      <c r="F82" s="13">
        <f>SUMIF('OD 01-24'!A:A,A82,'OD 01-24'!D:D)</f>
        <v>0</v>
      </c>
      <c r="G82" s="13">
        <f>SUMIF('OD 01-24'!A:A,A82,'OD 01-24'!E:E)</f>
        <v>0</v>
      </c>
      <c r="H82" s="14">
        <f t="shared" si="8"/>
        <v>0</v>
      </c>
      <c r="I82" s="14">
        <f t="shared" si="9"/>
        <v>0</v>
      </c>
      <c r="J82" s="8"/>
    </row>
    <row r="83" spans="1:10" s="9" customFormat="1" ht="11.25" x14ac:dyDescent="0.2">
      <c r="A83" s="10">
        <v>34100000</v>
      </c>
      <c r="B83" s="10" t="s">
        <v>301</v>
      </c>
      <c r="C83" s="11">
        <v>0</v>
      </c>
      <c r="D83" s="11">
        <v>0</v>
      </c>
      <c r="E83" s="11">
        <v>0</v>
      </c>
      <c r="F83" s="13">
        <f>SUMIF('OD 01-24'!A:A,A83,'OD 01-24'!D:D)</f>
        <v>0</v>
      </c>
      <c r="G83" s="13">
        <f>SUMIF('OD 01-24'!A:A,A83,'OD 01-24'!E:E)</f>
        <v>0</v>
      </c>
      <c r="H83" s="14">
        <f t="shared" si="8"/>
        <v>0</v>
      </c>
      <c r="I83" s="14">
        <f t="shared" si="9"/>
        <v>0</v>
      </c>
      <c r="J83" s="8"/>
    </row>
    <row r="84" spans="1:10" s="9" customFormat="1" ht="11.25" x14ac:dyDescent="0.2">
      <c r="A84" s="10">
        <v>35500000</v>
      </c>
      <c r="B84" s="10" t="s">
        <v>63</v>
      </c>
      <c r="C84" s="11">
        <v>1674504.0189999994</v>
      </c>
      <c r="D84" s="11">
        <v>0</v>
      </c>
      <c r="E84" s="11">
        <v>0</v>
      </c>
      <c r="F84" s="13">
        <f>SUMIF('OD 01-24'!A:A,A84,'OD 01-24'!D:D)</f>
        <v>1579856.753</v>
      </c>
      <c r="G84" s="13">
        <f>SUMIF('OD 01-24'!A:A,A84,'OD 01-24'!E:E)</f>
        <v>1674504.0190000001</v>
      </c>
      <c r="H84" s="14">
        <f t="shared" si="8"/>
        <v>-94647.266000000061</v>
      </c>
      <c r="I84" s="14">
        <f t="shared" si="9"/>
        <v>1579856.7529999993</v>
      </c>
      <c r="J84" s="8" t="s">
        <v>60</v>
      </c>
    </row>
    <row r="85" spans="1:10" s="9" customFormat="1" ht="11.25" x14ac:dyDescent="0.2">
      <c r="A85" s="10">
        <v>39000000</v>
      </c>
      <c r="B85" s="10" t="s">
        <v>64</v>
      </c>
      <c r="C85" s="11">
        <v>-208158.11300000001</v>
      </c>
      <c r="D85" s="11">
        <v>0</v>
      </c>
      <c r="E85" s="11">
        <v>0</v>
      </c>
      <c r="F85" s="13">
        <f>SUMIF('OD 01-24'!A:A,A85,'OD 01-24'!D:D)</f>
        <v>0</v>
      </c>
      <c r="G85" s="13">
        <f>SUMIF('OD 01-24'!A:A,A85,'OD 01-24'!E:E)</f>
        <v>0</v>
      </c>
      <c r="H85" s="14">
        <f t="shared" si="8"/>
        <v>0</v>
      </c>
      <c r="I85" s="14">
        <f t="shared" si="9"/>
        <v>-208158.11300000001</v>
      </c>
      <c r="J85" s="8" t="s">
        <v>65</v>
      </c>
    </row>
    <row r="86" spans="1:10" s="9" customFormat="1" ht="11.25" x14ac:dyDescent="0.2">
      <c r="A86" s="10">
        <v>40100000</v>
      </c>
      <c r="B86" s="10" t="s">
        <v>66</v>
      </c>
      <c r="C86" s="11">
        <v>-2754058.5850394964</v>
      </c>
      <c r="D86" s="11">
        <v>3969220.0329999998</v>
      </c>
      <c r="E86" s="11">
        <v>3418590.5603120006</v>
      </c>
      <c r="F86" s="13">
        <f>SUMIF('OD 01-24'!A:A,A86,'OD 01-24'!D:D)</f>
        <v>0</v>
      </c>
      <c r="G86" s="13">
        <f>SUMIF('OD 01-24'!A:A,A86,'OD 01-24'!E:E)</f>
        <v>0</v>
      </c>
      <c r="H86" s="14">
        <f t="shared" si="8"/>
        <v>550629.47268799925</v>
      </c>
      <c r="I86" s="14">
        <f t="shared" si="9"/>
        <v>-2203429.1123514972</v>
      </c>
      <c r="J86" s="8" t="s">
        <v>67</v>
      </c>
    </row>
    <row r="87" spans="1:10" s="9" customFormat="1" ht="11.25" x14ac:dyDescent="0.2">
      <c r="A87" s="10">
        <v>40300000</v>
      </c>
      <c r="B87" s="10" t="s">
        <v>68</v>
      </c>
      <c r="C87" s="11">
        <v>-970419.35000000149</v>
      </c>
      <c r="D87" s="11">
        <v>738018.33200000005</v>
      </c>
      <c r="E87" s="11">
        <v>134919.85699999999</v>
      </c>
      <c r="F87" s="13">
        <f>SUMIF('OD 01-24'!A:A,A87,'OD 01-24'!D:D)</f>
        <v>0</v>
      </c>
      <c r="G87" s="13">
        <f>SUMIF('OD 01-24'!A:A,A87,'OD 01-24'!E:E)</f>
        <v>0</v>
      </c>
      <c r="H87" s="14">
        <f t="shared" si="8"/>
        <v>603098.47500000009</v>
      </c>
      <c r="I87" s="14">
        <f t="shared" si="9"/>
        <v>-367320.8750000014</v>
      </c>
      <c r="J87" s="8" t="s">
        <v>67</v>
      </c>
    </row>
    <row r="88" spans="1:10" s="9" customFormat="1" ht="11.25" x14ac:dyDescent="0.2">
      <c r="A88" s="10">
        <v>40301000</v>
      </c>
      <c r="B88" s="10" t="s">
        <v>302</v>
      </c>
      <c r="C88" s="11">
        <v>0</v>
      </c>
      <c r="D88" s="11">
        <v>0</v>
      </c>
      <c r="E88" s="11">
        <v>0</v>
      </c>
      <c r="F88" s="13">
        <f>SUMIF('OD 01-24'!A:A,A88,'OD 01-24'!D:D)</f>
        <v>0</v>
      </c>
      <c r="G88" s="13">
        <f>SUMIF('OD 01-24'!A:A,A88,'OD 01-24'!E:E)</f>
        <v>0</v>
      </c>
      <c r="H88" s="14">
        <f t="shared" si="8"/>
        <v>0</v>
      </c>
      <c r="I88" s="14">
        <f t="shared" si="9"/>
        <v>0</v>
      </c>
      <c r="J88" s="8"/>
    </row>
    <row r="89" spans="1:10" s="9" customFormat="1" ht="11.25" x14ac:dyDescent="0.2">
      <c r="A89" s="10">
        <v>40400000</v>
      </c>
      <c r="B89" s="10" t="s">
        <v>69</v>
      </c>
      <c r="C89" s="11">
        <v>9.999983012676239E-5</v>
      </c>
      <c r="D89" s="11">
        <v>0</v>
      </c>
      <c r="E89" s="11">
        <v>0</v>
      </c>
      <c r="F89" s="13">
        <f>SUMIF('OD 01-24'!A:A,A89,'OD 01-24'!D:D)</f>
        <v>0</v>
      </c>
      <c r="G89" s="13">
        <f>SUMIF('OD 01-24'!A:A,A89,'OD 01-24'!E:E)</f>
        <v>0</v>
      </c>
      <c r="H89" s="14">
        <f t="shared" si="8"/>
        <v>0</v>
      </c>
      <c r="I89" s="14">
        <f t="shared" si="9"/>
        <v>9.999983012676239E-5</v>
      </c>
      <c r="J89" s="8"/>
    </row>
    <row r="90" spans="1:10" s="9" customFormat="1" ht="11.25" x14ac:dyDescent="0.2">
      <c r="A90" s="10">
        <v>40470000</v>
      </c>
      <c r="B90" s="10" t="s">
        <v>303</v>
      </c>
      <c r="C90" s="11">
        <v>0</v>
      </c>
      <c r="D90" s="11">
        <v>0</v>
      </c>
      <c r="E90" s="11">
        <v>0</v>
      </c>
      <c r="F90" s="13">
        <f>SUMIF('OD 01-24'!A:A,A90,'OD 01-24'!D:D)</f>
        <v>0</v>
      </c>
      <c r="G90" s="13">
        <f>SUMIF('OD 01-24'!A:A,A90,'OD 01-24'!E:E)</f>
        <v>0</v>
      </c>
      <c r="H90" s="14">
        <f t="shared" si="8"/>
        <v>0</v>
      </c>
      <c r="I90" s="14">
        <f t="shared" si="9"/>
        <v>0</v>
      </c>
      <c r="J90" s="8"/>
    </row>
    <row r="91" spans="1:10" s="9" customFormat="1" ht="11.25" x14ac:dyDescent="0.2">
      <c r="A91" s="10">
        <v>40600000</v>
      </c>
      <c r="B91" s="10" t="s">
        <v>70</v>
      </c>
      <c r="C91" s="11">
        <v>-2267628.9537486285</v>
      </c>
      <c r="D91" s="11">
        <v>781991.21099999989</v>
      </c>
      <c r="E91" s="11">
        <v>455762.27436900011</v>
      </c>
      <c r="F91" s="13">
        <f>SUMIF('OD 01-24'!A:A,A91,'OD 01-24'!D:D)</f>
        <v>346630.21600000001</v>
      </c>
      <c r="G91" s="13">
        <f>SUMIF('OD 01-24'!A:A,A91,'OD 01-24'!E:E)</f>
        <v>0</v>
      </c>
      <c r="H91" s="14">
        <f t="shared" si="8"/>
        <v>672859.1526309998</v>
      </c>
      <c r="I91" s="14">
        <f t="shared" si="9"/>
        <v>-1594769.8011176288</v>
      </c>
      <c r="J91" s="8" t="s">
        <v>67</v>
      </c>
    </row>
    <row r="92" spans="1:10" s="9" customFormat="1" ht="11.25" x14ac:dyDescent="0.2">
      <c r="A92" s="10">
        <v>40800000</v>
      </c>
      <c r="B92" s="10" t="s">
        <v>71</v>
      </c>
      <c r="C92" s="11">
        <v>-4980</v>
      </c>
      <c r="D92" s="11">
        <v>0</v>
      </c>
      <c r="E92" s="11">
        <v>0</v>
      </c>
      <c r="F92" s="13">
        <f>SUMIF('OD 01-24'!A:A,A92,'OD 01-24'!D:D)</f>
        <v>0</v>
      </c>
      <c r="G92" s="13">
        <f>SUMIF('OD 01-24'!A:A,A92,'OD 01-24'!E:E)</f>
        <v>0</v>
      </c>
      <c r="H92" s="14">
        <f t="shared" si="8"/>
        <v>0</v>
      </c>
      <c r="I92" s="14">
        <f t="shared" si="9"/>
        <v>-4980</v>
      </c>
      <c r="J92" s="8" t="s">
        <v>67</v>
      </c>
    </row>
    <row r="93" spans="1:10" s="9" customFormat="1" ht="11.25" x14ac:dyDescent="0.2">
      <c r="A93" s="10">
        <v>40810000</v>
      </c>
      <c r="B93" s="10" t="s">
        <v>391</v>
      </c>
      <c r="C93" s="11">
        <v>-41980.576999999997</v>
      </c>
      <c r="D93" s="11">
        <v>28105.963</v>
      </c>
      <c r="E93" s="11">
        <v>0</v>
      </c>
      <c r="F93" s="13">
        <f>SUMIF('OD 01-24'!A:A,A93,'OD 01-24'!D:D)</f>
        <v>0</v>
      </c>
      <c r="G93" s="13">
        <f>SUMIF('OD 01-24'!A:A,A93,'OD 01-24'!E:E)</f>
        <v>0</v>
      </c>
      <c r="H93" s="14">
        <f t="shared" ref="H93:H94" si="14">+D93+F93-E93-G93</f>
        <v>28105.963</v>
      </c>
      <c r="I93" s="14">
        <f t="shared" ref="I93:I94" si="15">+H93+C93</f>
        <v>-13874.613999999998</v>
      </c>
      <c r="J93" s="8" t="s">
        <v>67</v>
      </c>
    </row>
    <row r="94" spans="1:10" s="9" customFormat="1" ht="11.25" x14ac:dyDescent="0.2">
      <c r="A94" s="10">
        <v>40860000</v>
      </c>
      <c r="B94" s="10" t="s">
        <v>304</v>
      </c>
      <c r="C94" s="11">
        <v>0</v>
      </c>
      <c r="D94" s="11">
        <v>0</v>
      </c>
      <c r="E94" s="11">
        <v>0</v>
      </c>
      <c r="F94" s="13">
        <f>SUMIF('OD 01-24'!A:A,A94,'OD 01-24'!D:D)</f>
        <v>0</v>
      </c>
      <c r="G94" s="13">
        <f>SUMIF('OD 01-24'!A:A,A94,'OD 01-24'!E:E)</f>
        <v>0</v>
      </c>
      <c r="H94" s="14">
        <f t="shared" si="14"/>
        <v>0</v>
      </c>
      <c r="I94" s="14">
        <f t="shared" si="15"/>
        <v>0</v>
      </c>
      <c r="J94" s="8"/>
    </row>
    <row r="95" spans="1:10" s="9" customFormat="1" ht="11.25" x14ac:dyDescent="0.2">
      <c r="A95" s="10">
        <v>40910000</v>
      </c>
      <c r="B95" s="10" t="s">
        <v>72</v>
      </c>
      <c r="C95" s="11">
        <v>0</v>
      </c>
      <c r="D95" s="11">
        <v>0</v>
      </c>
      <c r="E95" s="11">
        <v>0</v>
      </c>
      <c r="F95" s="13">
        <f>SUMIF('OD 01-24'!A:A,A95,'OD 01-24'!D:D)</f>
        <v>0</v>
      </c>
      <c r="G95" s="13">
        <f>SUMIF('OD 01-24'!A:A,A95,'OD 01-24'!E:E)</f>
        <v>0</v>
      </c>
      <c r="H95" s="14">
        <f t="shared" si="8"/>
        <v>0</v>
      </c>
      <c r="I95" s="14">
        <f t="shared" si="9"/>
        <v>0</v>
      </c>
      <c r="J95" s="8" t="s">
        <v>78</v>
      </c>
    </row>
    <row r="96" spans="1:10" s="9" customFormat="1" ht="11.25" x14ac:dyDescent="0.2">
      <c r="A96" s="10">
        <v>41100000</v>
      </c>
      <c r="B96" s="10" t="s">
        <v>73</v>
      </c>
      <c r="C96" s="11">
        <v>15557219.201682508</v>
      </c>
      <c r="D96" s="11">
        <v>7308479.4340000004</v>
      </c>
      <c r="E96" s="11">
        <v>8407108.4890000001</v>
      </c>
      <c r="F96" s="13">
        <f>SUMIF('OD 01-24'!A:A,A96,'OD 01-24'!D:D)</f>
        <v>0</v>
      </c>
      <c r="G96" s="13">
        <f>SUMIF('OD 01-24'!A:A,A96,'OD 01-24'!E:E)</f>
        <v>0</v>
      </c>
      <c r="H96" s="14">
        <f t="shared" si="8"/>
        <v>-1098629.0549999997</v>
      </c>
      <c r="I96" s="14">
        <f t="shared" si="9"/>
        <v>14458590.146682508</v>
      </c>
      <c r="J96" s="8" t="s">
        <v>74</v>
      </c>
    </row>
    <row r="97" spans="1:10" s="9" customFormat="1" ht="11.25" x14ac:dyDescent="0.2">
      <c r="A97" s="10">
        <v>41301000</v>
      </c>
      <c r="B97" s="10" t="s">
        <v>305</v>
      </c>
      <c r="C97" s="11">
        <v>0</v>
      </c>
      <c r="D97" s="11">
        <v>0</v>
      </c>
      <c r="E97" s="11">
        <v>0</v>
      </c>
      <c r="F97" s="13">
        <f>SUMIF('OD 01-24'!A:A,A97,'OD 01-24'!D:D)</f>
        <v>0</v>
      </c>
      <c r="G97" s="13">
        <f>SUMIF('OD 01-24'!A:A,A97,'OD 01-24'!E:E)</f>
        <v>0</v>
      </c>
      <c r="H97" s="14">
        <f t="shared" si="8"/>
        <v>0</v>
      </c>
      <c r="I97" s="14">
        <f t="shared" si="9"/>
        <v>0</v>
      </c>
      <c r="J97" s="8"/>
    </row>
    <row r="98" spans="1:10" s="9" customFormat="1" ht="11.25" x14ac:dyDescent="0.2">
      <c r="A98" s="10">
        <v>41500000</v>
      </c>
      <c r="B98" s="10" t="s">
        <v>75</v>
      </c>
      <c r="C98" s="11">
        <v>3355535.9902604967</v>
      </c>
      <c r="D98" s="11">
        <v>975510.06099999999</v>
      </c>
      <c r="E98" s="11">
        <v>2343675.503</v>
      </c>
      <c r="F98" s="13">
        <f>SUMIF('OD 01-24'!A:A,A98,'OD 01-24'!D:D)</f>
        <v>1007937.9080000001</v>
      </c>
      <c r="G98" s="13">
        <f>SUMIF('OD 01-24'!A:A,A98,'OD 01-24'!E:E)</f>
        <v>733464.06099999999</v>
      </c>
      <c r="H98" s="14">
        <f t="shared" si="8"/>
        <v>-1093691.595</v>
      </c>
      <c r="I98" s="14">
        <f t="shared" si="9"/>
        <v>2261844.395260497</v>
      </c>
      <c r="J98" s="8" t="s">
        <v>74</v>
      </c>
    </row>
    <row r="99" spans="1:10" s="9" customFormat="1" ht="11.25" x14ac:dyDescent="0.2">
      <c r="A99" s="10">
        <v>41601000</v>
      </c>
      <c r="B99" s="10" t="s">
        <v>306</v>
      </c>
      <c r="C99" s="11">
        <v>0</v>
      </c>
      <c r="D99" s="11">
        <v>0</v>
      </c>
      <c r="E99" s="11">
        <v>0</v>
      </c>
      <c r="F99" s="13">
        <f>SUMIF('OD 01-24'!A:A,A99,'OD 01-24'!D:D)</f>
        <v>0</v>
      </c>
      <c r="G99" s="13">
        <f>SUMIF('OD 01-24'!A:A,A99,'OD 01-24'!E:E)</f>
        <v>0</v>
      </c>
      <c r="H99" s="14">
        <f t="shared" si="8"/>
        <v>0</v>
      </c>
      <c r="I99" s="14">
        <f t="shared" si="9"/>
        <v>0</v>
      </c>
      <c r="J99" s="8"/>
    </row>
    <row r="100" spans="1:10" s="9" customFormat="1" ht="11.25" x14ac:dyDescent="0.2">
      <c r="A100" s="10">
        <v>41800000</v>
      </c>
      <c r="B100" s="10" t="s">
        <v>307</v>
      </c>
      <c r="C100" s="11">
        <v>0</v>
      </c>
      <c r="D100" s="11">
        <v>0</v>
      </c>
      <c r="E100" s="11">
        <v>0</v>
      </c>
      <c r="F100" s="13">
        <f>SUMIF('OD 01-24'!A:A,A100,'OD 01-24'!D:D)</f>
        <v>0</v>
      </c>
      <c r="G100" s="13">
        <f>SUMIF('OD 01-24'!A:A,A100,'OD 01-24'!E:E)</f>
        <v>0</v>
      </c>
      <c r="H100" s="14">
        <f t="shared" si="8"/>
        <v>0</v>
      </c>
      <c r="I100" s="14">
        <f t="shared" si="9"/>
        <v>0</v>
      </c>
      <c r="J100" s="8"/>
    </row>
    <row r="101" spans="1:10" s="9" customFormat="1" ht="11.25" x14ac:dyDescent="0.2">
      <c r="A101" s="10">
        <v>41910000</v>
      </c>
      <c r="B101" s="10" t="s">
        <v>308</v>
      </c>
      <c r="C101" s="11">
        <v>0</v>
      </c>
      <c r="D101" s="11">
        <v>0</v>
      </c>
      <c r="E101" s="11">
        <v>0</v>
      </c>
      <c r="F101" s="13">
        <f>SUMIF('OD 01-24'!A:A,A101,'OD 01-24'!D:D)</f>
        <v>0</v>
      </c>
      <c r="G101" s="13">
        <f>SUMIF('OD 01-24'!A:A,A101,'OD 01-24'!E:E)</f>
        <v>0</v>
      </c>
      <c r="H101" s="14">
        <f t="shared" si="8"/>
        <v>0</v>
      </c>
      <c r="I101" s="14">
        <f t="shared" si="9"/>
        <v>0</v>
      </c>
      <c r="J101" s="8"/>
    </row>
    <row r="102" spans="1:10" s="9" customFormat="1" ht="11.25" x14ac:dyDescent="0.2">
      <c r="A102" s="10">
        <v>42100000</v>
      </c>
      <c r="B102" s="10" t="s">
        <v>76</v>
      </c>
      <c r="C102" s="11">
        <v>0</v>
      </c>
      <c r="D102" s="11">
        <v>0</v>
      </c>
      <c r="E102" s="11">
        <v>0</v>
      </c>
      <c r="F102" s="13">
        <f>SUMIF('OD 01-24'!A:A,A102,'OD 01-24'!D:D)</f>
        <v>0</v>
      </c>
      <c r="G102" s="13">
        <f>SUMIF('OD 01-24'!A:A,A102,'OD 01-24'!E:E)</f>
        <v>0</v>
      </c>
      <c r="H102" s="14">
        <f t="shared" si="8"/>
        <v>0</v>
      </c>
      <c r="I102" s="14">
        <f t="shared" si="9"/>
        <v>0</v>
      </c>
      <c r="J102" s="8"/>
    </row>
    <row r="103" spans="1:10" s="9" customFormat="1" ht="11.25" x14ac:dyDescent="0.2">
      <c r="A103" s="10">
        <v>42110000</v>
      </c>
      <c r="B103" s="10" t="s">
        <v>309</v>
      </c>
      <c r="C103" s="11">
        <v>0</v>
      </c>
      <c r="D103" s="11">
        <v>0</v>
      </c>
      <c r="E103" s="11">
        <v>0</v>
      </c>
      <c r="F103" s="13">
        <f>SUMIF('OD 01-24'!A:A,A103,'OD 01-24'!D:D)</f>
        <v>0</v>
      </c>
      <c r="G103" s="13">
        <f>SUMIF('OD 01-24'!A:A,A103,'OD 01-24'!E:E)</f>
        <v>0</v>
      </c>
      <c r="H103" s="14">
        <f t="shared" si="8"/>
        <v>0</v>
      </c>
      <c r="I103" s="14">
        <f t="shared" si="9"/>
        <v>0</v>
      </c>
      <c r="J103" s="8"/>
    </row>
    <row r="104" spans="1:10" s="9" customFormat="1" ht="11.25" x14ac:dyDescent="0.2">
      <c r="A104" s="10">
        <v>42120000</v>
      </c>
      <c r="B104" s="10" t="s">
        <v>77</v>
      </c>
      <c r="C104" s="11">
        <v>21139.859999999986</v>
      </c>
      <c r="D104" s="11">
        <v>0</v>
      </c>
      <c r="E104" s="11">
        <v>5300</v>
      </c>
      <c r="F104" s="13">
        <f>SUMIF('OD 01-24'!A:A,A104,'OD 01-24'!D:D)</f>
        <v>0</v>
      </c>
      <c r="G104" s="13">
        <f>SUMIF('OD 01-24'!A:A,A104,'OD 01-24'!E:E)</f>
        <v>0</v>
      </c>
      <c r="H104" s="14">
        <f t="shared" si="8"/>
        <v>-5300</v>
      </c>
      <c r="I104" s="14">
        <f t="shared" si="9"/>
        <v>15839.859999999986</v>
      </c>
      <c r="J104" s="8" t="s">
        <v>78</v>
      </c>
    </row>
    <row r="105" spans="1:10" s="9" customFormat="1" ht="11.25" x14ac:dyDescent="0.2">
      <c r="A105" s="10">
        <v>42400000</v>
      </c>
      <c r="B105" s="10" t="s">
        <v>79</v>
      </c>
      <c r="C105" s="11">
        <v>0</v>
      </c>
      <c r="D105" s="11">
        <v>0</v>
      </c>
      <c r="E105" s="11">
        <v>0</v>
      </c>
      <c r="F105" s="13">
        <f>SUMIF('OD 01-24'!A:A,A105,'OD 01-24'!D:D)</f>
        <v>0</v>
      </c>
      <c r="G105" s="13">
        <f>SUMIF('OD 01-24'!A:A,A105,'OD 01-24'!E:E)</f>
        <v>0</v>
      </c>
      <c r="H105" s="14">
        <f t="shared" si="8"/>
        <v>0</v>
      </c>
      <c r="I105" s="14">
        <f t="shared" si="9"/>
        <v>0</v>
      </c>
      <c r="J105" s="8"/>
    </row>
    <row r="106" spans="1:10" s="9" customFormat="1" ht="11.25" x14ac:dyDescent="0.2">
      <c r="A106" s="10">
        <v>42500000</v>
      </c>
      <c r="B106" s="10" t="s">
        <v>80</v>
      </c>
      <c r="C106" s="11">
        <v>-180820.1429999955</v>
      </c>
      <c r="D106" s="11">
        <v>27310.713</v>
      </c>
      <c r="E106" s="11">
        <v>213139.52600000001</v>
      </c>
      <c r="F106" s="13">
        <f>SUMIF('OD 01-24'!A:A,A106,'OD 01-24'!D:D)</f>
        <v>0</v>
      </c>
      <c r="G106" s="13">
        <f>SUMIF('OD 01-24'!A:A,A106,'OD 01-24'!E:E)</f>
        <v>0</v>
      </c>
      <c r="H106" s="14">
        <f t="shared" si="8"/>
        <v>-185828.81300000002</v>
      </c>
      <c r="I106" s="14">
        <f t="shared" si="9"/>
        <v>-366648.95599999552</v>
      </c>
      <c r="J106" s="8" t="s">
        <v>81</v>
      </c>
    </row>
    <row r="107" spans="1:10" s="9" customFormat="1" ht="11.25" x14ac:dyDescent="0.2">
      <c r="A107" s="10">
        <v>42700000</v>
      </c>
      <c r="B107" s="10" t="s">
        <v>310</v>
      </c>
      <c r="C107" s="11">
        <v>0</v>
      </c>
      <c r="D107" s="11">
        <v>0</v>
      </c>
      <c r="E107" s="11">
        <v>0</v>
      </c>
      <c r="F107" s="13">
        <f>SUMIF('OD 01-24'!A:A,A107,'OD 01-24'!D:D)</f>
        <v>0</v>
      </c>
      <c r="G107" s="13">
        <f>SUMIF('OD 01-24'!A:A,A107,'OD 01-24'!E:E)</f>
        <v>0</v>
      </c>
      <c r="H107" s="14">
        <f t="shared" si="8"/>
        <v>0</v>
      </c>
      <c r="I107" s="14">
        <f t="shared" si="9"/>
        <v>0</v>
      </c>
      <c r="J107" s="8"/>
    </row>
    <row r="108" spans="1:10" s="9" customFormat="1" ht="11.25" x14ac:dyDescent="0.2">
      <c r="A108" s="10">
        <v>42710000</v>
      </c>
      <c r="B108" s="10" t="s">
        <v>82</v>
      </c>
      <c r="C108" s="11">
        <v>-2433.5259999999907</v>
      </c>
      <c r="D108" s="11">
        <v>1286.2130000000002</v>
      </c>
      <c r="E108" s="11">
        <v>862.38400000000001</v>
      </c>
      <c r="F108" s="13">
        <f>SUMIF('OD 01-24'!A:A,A108,'OD 01-24'!D:D)</f>
        <v>0</v>
      </c>
      <c r="G108" s="13">
        <f>SUMIF('OD 01-24'!A:A,A108,'OD 01-24'!E:E)</f>
        <v>0</v>
      </c>
      <c r="H108" s="14">
        <f t="shared" si="8"/>
        <v>423.82900000000018</v>
      </c>
      <c r="I108" s="14">
        <f t="shared" si="9"/>
        <v>-2009.6969999999906</v>
      </c>
      <c r="J108" s="8" t="s">
        <v>81</v>
      </c>
    </row>
    <row r="109" spans="1:10" s="9" customFormat="1" ht="11.25" x14ac:dyDescent="0.2">
      <c r="A109" s="10">
        <v>42820000</v>
      </c>
      <c r="B109" s="10" t="s">
        <v>83</v>
      </c>
      <c r="C109" s="11">
        <v>-245931.41399999941</v>
      </c>
      <c r="D109" s="11">
        <v>0</v>
      </c>
      <c r="E109" s="11">
        <v>0</v>
      </c>
      <c r="F109" s="13">
        <f>SUMIF('OD 01-24'!A:A,A109,'OD 01-24'!D:D)</f>
        <v>245931.41399999999</v>
      </c>
      <c r="G109" s="13">
        <f>SUMIF('OD 01-24'!A:A,A109,'OD 01-24'!E:E)</f>
        <v>254931.41399999999</v>
      </c>
      <c r="H109" s="14">
        <f t="shared" si="8"/>
        <v>-9000</v>
      </c>
      <c r="I109" s="14">
        <f t="shared" si="9"/>
        <v>-254931.41399999941</v>
      </c>
      <c r="J109" s="8" t="s">
        <v>81</v>
      </c>
    </row>
    <row r="110" spans="1:10" s="9" customFormat="1" ht="11.25" x14ac:dyDescent="0.2">
      <c r="A110" s="10">
        <v>43200000</v>
      </c>
      <c r="B110" s="10" t="s">
        <v>311</v>
      </c>
      <c r="C110" s="11">
        <v>0</v>
      </c>
      <c r="D110" s="11">
        <v>0</v>
      </c>
      <c r="E110" s="11">
        <v>0</v>
      </c>
      <c r="F110" s="13">
        <f>SUMIF('OD 01-24'!A:A,A110,'OD 01-24'!D:D)</f>
        <v>0</v>
      </c>
      <c r="G110" s="13">
        <f>SUMIF('OD 01-24'!A:A,A110,'OD 01-24'!E:E)</f>
        <v>0</v>
      </c>
      <c r="H110" s="14">
        <f t="shared" si="8"/>
        <v>0</v>
      </c>
      <c r="I110" s="14">
        <f t="shared" si="9"/>
        <v>0</v>
      </c>
      <c r="J110" s="8"/>
    </row>
    <row r="111" spans="1:10" s="9" customFormat="1" ht="11.25" x14ac:dyDescent="0.2">
      <c r="A111" s="10">
        <v>43210000</v>
      </c>
      <c r="B111" s="10" t="s">
        <v>84</v>
      </c>
      <c r="C111" s="11">
        <v>0</v>
      </c>
      <c r="D111" s="11">
        <v>0</v>
      </c>
      <c r="E111" s="11">
        <v>43414.902999999998</v>
      </c>
      <c r="F111" s="13">
        <f>SUMIF('OD 01-24'!A:A,A111,'OD 01-24'!D:D)</f>
        <v>0</v>
      </c>
      <c r="G111" s="13">
        <f>SUMIF('OD 01-24'!A:A,A111,'OD 01-24'!E:E)</f>
        <v>0</v>
      </c>
      <c r="H111" s="14">
        <f t="shared" si="8"/>
        <v>-43414.902999999998</v>
      </c>
      <c r="I111" s="14">
        <f t="shared" si="9"/>
        <v>-43414.902999999998</v>
      </c>
      <c r="J111" s="8" t="s">
        <v>81</v>
      </c>
    </row>
    <row r="112" spans="1:10" s="9" customFormat="1" ht="11.25" x14ac:dyDescent="0.2">
      <c r="A112" s="10">
        <v>43211000</v>
      </c>
      <c r="B112" s="10" t="s">
        <v>312</v>
      </c>
      <c r="C112" s="11">
        <v>0</v>
      </c>
      <c r="D112" s="11">
        <v>0</v>
      </c>
      <c r="E112" s="11">
        <v>0</v>
      </c>
      <c r="F112" s="13">
        <f>SUMIF('OD 01-24'!A:A,A112,'OD 01-24'!D:D)</f>
        <v>0</v>
      </c>
      <c r="G112" s="13">
        <f>SUMIF('OD 01-24'!A:A,A112,'OD 01-24'!E:E)</f>
        <v>0</v>
      </c>
      <c r="H112" s="14">
        <f t="shared" si="8"/>
        <v>0</v>
      </c>
      <c r="I112" s="14">
        <f t="shared" si="9"/>
        <v>0</v>
      </c>
      <c r="J112" s="8"/>
    </row>
    <row r="113" spans="1:10" s="9" customFormat="1" ht="11.25" x14ac:dyDescent="0.2">
      <c r="A113" s="10">
        <v>43211500</v>
      </c>
      <c r="B113" s="10" t="s">
        <v>85</v>
      </c>
      <c r="C113" s="11">
        <v>0</v>
      </c>
      <c r="D113" s="11">
        <v>0</v>
      </c>
      <c r="E113" s="11">
        <v>0</v>
      </c>
      <c r="F113" s="13">
        <f>SUMIF('OD 01-24'!A:A,A113,'OD 01-24'!D:D)</f>
        <v>0</v>
      </c>
      <c r="G113" s="13">
        <f>SUMIF('OD 01-24'!A:A,A113,'OD 01-24'!E:E)</f>
        <v>0</v>
      </c>
      <c r="H113" s="14">
        <f t="shared" si="8"/>
        <v>0</v>
      </c>
      <c r="I113" s="14">
        <f t="shared" si="9"/>
        <v>0</v>
      </c>
      <c r="J113" s="8"/>
    </row>
    <row r="114" spans="1:10" s="9" customFormat="1" ht="11.25" x14ac:dyDescent="0.2">
      <c r="A114" s="10">
        <v>43212500</v>
      </c>
      <c r="B114" s="10" t="s">
        <v>313</v>
      </c>
      <c r="C114" s="11">
        <v>0</v>
      </c>
      <c r="D114" s="11">
        <v>0</v>
      </c>
      <c r="E114" s="11">
        <v>0</v>
      </c>
      <c r="F114" s="13">
        <f>SUMIF('OD 01-24'!A:A,A114,'OD 01-24'!D:D)</f>
        <v>0</v>
      </c>
      <c r="G114" s="13">
        <f>SUMIF('OD 01-24'!A:A,A114,'OD 01-24'!E:E)</f>
        <v>0</v>
      </c>
      <c r="H114" s="14">
        <f t="shared" si="8"/>
        <v>0</v>
      </c>
      <c r="I114" s="14">
        <f t="shared" si="9"/>
        <v>0</v>
      </c>
      <c r="J114" s="8"/>
    </row>
    <row r="115" spans="1:10" s="9" customFormat="1" ht="11.25" x14ac:dyDescent="0.2">
      <c r="A115" s="10">
        <v>43215000</v>
      </c>
      <c r="B115" s="10" t="s">
        <v>314</v>
      </c>
      <c r="C115" s="11">
        <v>0</v>
      </c>
      <c r="D115" s="11">
        <v>0</v>
      </c>
      <c r="E115" s="11">
        <v>0</v>
      </c>
      <c r="F115" s="13">
        <f>SUMIF('OD 01-24'!A:A,A115,'OD 01-24'!D:D)</f>
        <v>0</v>
      </c>
      <c r="G115" s="13">
        <f>SUMIF('OD 01-24'!A:A,A115,'OD 01-24'!E:E)</f>
        <v>0</v>
      </c>
      <c r="H115" s="14">
        <f t="shared" si="8"/>
        <v>0</v>
      </c>
      <c r="I115" s="14">
        <f t="shared" si="9"/>
        <v>0</v>
      </c>
      <c r="J115" s="8"/>
    </row>
    <row r="116" spans="1:10" s="9" customFormat="1" ht="11.25" x14ac:dyDescent="0.2">
      <c r="A116" s="10">
        <v>43220000</v>
      </c>
      <c r="B116" s="10" t="s">
        <v>86</v>
      </c>
      <c r="C116" s="11">
        <v>0</v>
      </c>
      <c r="D116" s="11">
        <v>0</v>
      </c>
      <c r="E116" s="11">
        <v>0</v>
      </c>
      <c r="F116" s="13">
        <f>SUMIF('OD 01-24'!A:A,A116,'OD 01-24'!D:D)</f>
        <v>0</v>
      </c>
      <c r="G116" s="13">
        <f>SUMIF('OD 01-24'!A:A,A116,'OD 01-24'!E:E)</f>
        <v>0</v>
      </c>
      <c r="H116" s="14">
        <f t="shared" si="8"/>
        <v>0</v>
      </c>
      <c r="I116" s="14">
        <f t="shared" si="9"/>
        <v>0</v>
      </c>
      <c r="J116" s="8" t="s">
        <v>81</v>
      </c>
    </row>
    <row r="117" spans="1:10" s="9" customFormat="1" ht="11.25" x14ac:dyDescent="0.2">
      <c r="A117" s="10">
        <v>43220050</v>
      </c>
      <c r="B117" s="10" t="s">
        <v>315</v>
      </c>
      <c r="C117" s="11">
        <v>4.6999999998661224E-2</v>
      </c>
      <c r="D117" s="11">
        <v>0</v>
      </c>
      <c r="E117" s="11">
        <v>0</v>
      </c>
      <c r="F117" s="13">
        <f>SUMIF('OD 01-24'!A:A,A117,'OD 01-24'!D:D)</f>
        <v>0</v>
      </c>
      <c r="G117" s="13">
        <f>SUMIF('OD 01-24'!A:A,A117,'OD 01-24'!E:E)</f>
        <v>0</v>
      </c>
      <c r="H117" s="14">
        <f t="shared" si="8"/>
        <v>0</v>
      </c>
      <c r="I117" s="14">
        <f t="shared" si="9"/>
        <v>4.6999999998661224E-2</v>
      </c>
      <c r="J117" s="8" t="s">
        <v>78</v>
      </c>
    </row>
    <row r="118" spans="1:10" s="9" customFormat="1" ht="11.25" x14ac:dyDescent="0.2">
      <c r="A118" s="10">
        <v>43220100</v>
      </c>
      <c r="B118" s="10" t="s">
        <v>87</v>
      </c>
      <c r="C118" s="11">
        <v>0</v>
      </c>
      <c r="D118" s="11">
        <v>45.478000000000002</v>
      </c>
      <c r="E118" s="11">
        <v>21244.194</v>
      </c>
      <c r="F118" s="13">
        <f>SUMIF('OD 01-24'!A:A,A118,'OD 01-24'!D:D)</f>
        <v>0</v>
      </c>
      <c r="G118" s="13">
        <f>SUMIF('OD 01-24'!A:A,A118,'OD 01-24'!E:E)</f>
        <v>0</v>
      </c>
      <c r="H118" s="14">
        <f t="shared" si="8"/>
        <v>-21198.716</v>
      </c>
      <c r="I118" s="14">
        <f t="shared" si="9"/>
        <v>-21198.716</v>
      </c>
      <c r="J118" s="8" t="s">
        <v>81</v>
      </c>
    </row>
    <row r="119" spans="1:10" s="9" customFormat="1" ht="11.25" x14ac:dyDescent="0.2">
      <c r="A119" s="10">
        <v>43220300</v>
      </c>
      <c r="B119" s="10" t="s">
        <v>88</v>
      </c>
      <c r="C119" s="11">
        <v>0</v>
      </c>
      <c r="D119" s="11">
        <v>0</v>
      </c>
      <c r="E119" s="11">
        <v>270.077</v>
      </c>
      <c r="F119" s="13">
        <f>SUMIF('OD 01-24'!A:A,A119,'OD 01-24'!D:D)</f>
        <v>0</v>
      </c>
      <c r="G119" s="13">
        <f>SUMIF('OD 01-24'!A:A,A119,'OD 01-24'!E:E)</f>
        <v>0</v>
      </c>
      <c r="H119" s="14">
        <f t="shared" si="8"/>
        <v>-270.077</v>
      </c>
      <c r="I119" s="14">
        <f t="shared" si="9"/>
        <v>-270.077</v>
      </c>
      <c r="J119" s="8" t="s">
        <v>81</v>
      </c>
    </row>
    <row r="120" spans="1:10" s="9" customFormat="1" ht="11.25" x14ac:dyDescent="0.2">
      <c r="A120" s="10">
        <v>43221000</v>
      </c>
      <c r="B120" s="10" t="s">
        <v>89</v>
      </c>
      <c r="C120" s="11">
        <v>0</v>
      </c>
      <c r="D120" s="11">
        <v>0</v>
      </c>
      <c r="E120" s="11">
        <v>0</v>
      </c>
      <c r="F120" s="13">
        <f>SUMIF('OD 01-24'!A:A,A120,'OD 01-24'!D:D)</f>
        <v>0</v>
      </c>
      <c r="G120" s="13">
        <f>SUMIF('OD 01-24'!A:A,A120,'OD 01-24'!E:E)</f>
        <v>0</v>
      </c>
      <c r="H120" s="14">
        <f t="shared" si="8"/>
        <v>0</v>
      </c>
      <c r="I120" s="14">
        <f t="shared" si="9"/>
        <v>0</v>
      </c>
      <c r="J120" s="8" t="s">
        <v>81</v>
      </c>
    </row>
    <row r="121" spans="1:10" s="9" customFormat="1" ht="11.25" x14ac:dyDescent="0.2">
      <c r="A121" s="10">
        <v>43222000</v>
      </c>
      <c r="B121" s="10" t="s">
        <v>316</v>
      </c>
      <c r="C121" s="11">
        <v>0</v>
      </c>
      <c r="D121" s="11">
        <v>0</v>
      </c>
      <c r="E121" s="11">
        <v>19568.395</v>
      </c>
      <c r="F121" s="13">
        <f>SUMIF('OD 01-24'!A:A,A121,'OD 01-24'!D:D)</f>
        <v>0</v>
      </c>
      <c r="G121" s="13">
        <f>SUMIF('OD 01-24'!A:A,A121,'OD 01-24'!E:E)</f>
        <v>0</v>
      </c>
      <c r="H121" s="14">
        <f t="shared" si="8"/>
        <v>-19568.395</v>
      </c>
      <c r="I121" s="14">
        <f t="shared" si="9"/>
        <v>-19568.395</v>
      </c>
      <c r="J121" s="8" t="s">
        <v>81</v>
      </c>
    </row>
    <row r="122" spans="1:10" s="9" customFormat="1" ht="11.25" x14ac:dyDescent="0.2">
      <c r="A122" s="10">
        <v>43223000</v>
      </c>
      <c r="B122" s="10" t="s">
        <v>90</v>
      </c>
      <c r="C122" s="11">
        <v>496.56000000002678</v>
      </c>
      <c r="D122" s="11">
        <v>0</v>
      </c>
      <c r="E122" s="11">
        <v>1171.1369999999999</v>
      </c>
      <c r="F122" s="13">
        <f>SUMIF('OD 01-24'!A:A,A122,'OD 01-24'!D:D)</f>
        <v>0</v>
      </c>
      <c r="G122" s="13">
        <f>SUMIF('OD 01-24'!A:A,A122,'OD 01-24'!E:E)</f>
        <v>0</v>
      </c>
      <c r="H122" s="14">
        <f t="shared" si="8"/>
        <v>-1171.1369999999999</v>
      </c>
      <c r="I122" s="14">
        <f t="shared" si="9"/>
        <v>-674.57699999997317</v>
      </c>
      <c r="J122" s="8" t="s">
        <v>81</v>
      </c>
    </row>
    <row r="123" spans="1:10" s="9" customFormat="1" ht="11.25" x14ac:dyDescent="0.2">
      <c r="A123" s="10">
        <v>43310000</v>
      </c>
      <c r="B123" s="10" t="s">
        <v>317</v>
      </c>
      <c r="C123" s="11">
        <v>0</v>
      </c>
      <c r="D123" s="11">
        <v>0</v>
      </c>
      <c r="E123" s="11">
        <v>0</v>
      </c>
      <c r="F123" s="13">
        <f>SUMIF('OD 01-24'!A:A,A123,'OD 01-24'!D:D)</f>
        <v>0</v>
      </c>
      <c r="G123" s="13">
        <f>SUMIF('OD 01-24'!A:A,A123,'OD 01-24'!E:E)</f>
        <v>0</v>
      </c>
      <c r="H123" s="14">
        <f t="shared" si="8"/>
        <v>0</v>
      </c>
      <c r="I123" s="14">
        <f t="shared" si="9"/>
        <v>0</v>
      </c>
      <c r="J123" s="8"/>
    </row>
    <row r="124" spans="1:10" s="9" customFormat="1" ht="11.25" x14ac:dyDescent="0.2">
      <c r="A124" s="10">
        <v>43400000</v>
      </c>
      <c r="B124" s="10" t="s">
        <v>91</v>
      </c>
      <c r="C124" s="11">
        <v>758150.41399999987</v>
      </c>
      <c r="D124" s="11">
        <v>0</v>
      </c>
      <c r="E124" s="11">
        <v>0</v>
      </c>
      <c r="F124" s="13">
        <f>SUMIF('OD 01-24'!A:A,A124,'OD 01-24'!D:D)</f>
        <v>0</v>
      </c>
      <c r="G124" s="13">
        <f>SUMIF('OD 01-24'!A:A,A124,'OD 01-24'!E:E)</f>
        <v>0</v>
      </c>
      <c r="H124" s="14">
        <f t="shared" si="8"/>
        <v>0</v>
      </c>
      <c r="I124" s="14">
        <f t="shared" si="9"/>
        <v>758150.41399999987</v>
      </c>
      <c r="J124" s="8" t="s">
        <v>78</v>
      </c>
    </row>
    <row r="125" spans="1:10" s="9" customFormat="1" ht="11.25" x14ac:dyDescent="0.2">
      <c r="A125" s="10">
        <v>43410000</v>
      </c>
      <c r="B125" s="10" t="s">
        <v>318</v>
      </c>
      <c r="C125" s="11">
        <v>414622.33800000022</v>
      </c>
      <c r="D125" s="11">
        <v>37212.112999999998</v>
      </c>
      <c r="E125" s="11">
        <v>0</v>
      </c>
      <c r="F125" s="13">
        <f>SUMIF('OD 01-24'!A:A,A125,'OD 01-24'!D:D)</f>
        <v>0</v>
      </c>
      <c r="G125" s="13">
        <f>SUMIF('OD 01-24'!A:A,A125,'OD 01-24'!E:E)</f>
        <v>0</v>
      </c>
      <c r="H125" s="14">
        <f t="shared" si="8"/>
        <v>37212.112999999998</v>
      </c>
      <c r="I125" s="14">
        <f t="shared" si="9"/>
        <v>451834.45100000023</v>
      </c>
      <c r="J125" s="8" t="s">
        <v>78</v>
      </c>
    </row>
    <row r="126" spans="1:10" s="9" customFormat="1" ht="11.25" x14ac:dyDescent="0.2">
      <c r="A126" s="10">
        <v>43420000</v>
      </c>
      <c r="B126" s="10" t="s">
        <v>92</v>
      </c>
      <c r="C126" s="11">
        <v>0</v>
      </c>
      <c r="D126" s="11">
        <v>0</v>
      </c>
      <c r="E126" s="11">
        <v>0</v>
      </c>
      <c r="F126" s="13">
        <f>SUMIF('OD 01-24'!A:A,A126,'OD 01-24'!D:D)</f>
        <v>0</v>
      </c>
      <c r="G126" s="13">
        <f>SUMIF('OD 01-24'!A:A,A126,'OD 01-24'!E:E)</f>
        <v>0</v>
      </c>
      <c r="H126" s="14">
        <f t="shared" si="8"/>
        <v>0</v>
      </c>
      <c r="I126" s="14">
        <f t="shared" si="9"/>
        <v>0</v>
      </c>
      <c r="J126" s="8"/>
    </row>
    <row r="127" spans="1:10" s="9" customFormat="1" ht="11.25" x14ac:dyDescent="0.2">
      <c r="A127" s="10">
        <v>43430000</v>
      </c>
      <c r="B127" s="10" t="s">
        <v>319</v>
      </c>
      <c r="C127" s="11">
        <v>0</v>
      </c>
      <c r="D127" s="11">
        <v>0</v>
      </c>
      <c r="E127" s="11">
        <v>0</v>
      </c>
      <c r="F127" s="13">
        <f>SUMIF('OD 01-24'!A:A,A127,'OD 01-24'!D:D)</f>
        <v>0</v>
      </c>
      <c r="G127" s="13">
        <f>SUMIF('OD 01-24'!A:A,A127,'OD 01-24'!E:E)</f>
        <v>0</v>
      </c>
      <c r="H127" s="14">
        <f t="shared" si="8"/>
        <v>0</v>
      </c>
      <c r="I127" s="14">
        <f t="shared" si="9"/>
        <v>0</v>
      </c>
      <c r="J127" s="8" t="s">
        <v>78</v>
      </c>
    </row>
    <row r="128" spans="1:10" s="9" customFormat="1" ht="11.25" x14ac:dyDescent="0.2">
      <c r="A128" s="10">
        <v>43440000</v>
      </c>
      <c r="B128" s="10" t="s">
        <v>320</v>
      </c>
      <c r="C128" s="11">
        <v>0</v>
      </c>
      <c r="D128" s="11">
        <v>0</v>
      </c>
      <c r="E128" s="11">
        <v>0</v>
      </c>
      <c r="F128" s="13">
        <f>SUMIF('OD 01-24'!A:A,A128,'OD 01-24'!D:D)</f>
        <v>0</v>
      </c>
      <c r="G128" s="13">
        <f>SUMIF('OD 01-24'!A:A,A128,'OD 01-24'!E:E)</f>
        <v>0</v>
      </c>
      <c r="H128" s="14">
        <f t="shared" si="8"/>
        <v>0</v>
      </c>
      <c r="I128" s="14">
        <f t="shared" si="9"/>
        <v>0</v>
      </c>
      <c r="J128" s="8" t="s">
        <v>78</v>
      </c>
    </row>
    <row r="129" spans="1:10" s="9" customFormat="1" ht="11.25" x14ac:dyDescent="0.2">
      <c r="A129" s="10">
        <v>43500000</v>
      </c>
      <c r="B129" s="10" t="s">
        <v>321</v>
      </c>
      <c r="C129" s="11">
        <v>-70408.270000000484</v>
      </c>
      <c r="D129" s="11">
        <v>0</v>
      </c>
      <c r="E129" s="11">
        <v>0</v>
      </c>
      <c r="F129" s="13">
        <f>SUMIF('OD 01-24'!A:A,A129,'OD 01-24'!D:D)</f>
        <v>0</v>
      </c>
      <c r="G129" s="13">
        <f>SUMIF('OD 01-24'!A:A,A129,'OD 01-24'!E:E)</f>
        <v>0</v>
      </c>
      <c r="H129" s="14">
        <f t="shared" si="8"/>
        <v>0</v>
      </c>
      <c r="I129" s="14">
        <f t="shared" si="9"/>
        <v>-70408.270000000484</v>
      </c>
      <c r="J129" s="8" t="s">
        <v>81</v>
      </c>
    </row>
    <row r="130" spans="1:10" s="9" customFormat="1" ht="11.25" x14ac:dyDescent="0.2">
      <c r="A130" s="10">
        <v>43600000</v>
      </c>
      <c r="B130" s="10" t="s">
        <v>93</v>
      </c>
      <c r="C130" s="11">
        <v>697619.66200000048</v>
      </c>
      <c r="D130" s="11">
        <v>573067.78599999996</v>
      </c>
      <c r="E130" s="11">
        <v>453889.26799999998</v>
      </c>
      <c r="F130" s="13">
        <f>SUMIF('OD 01-24'!A:A,A130,'OD 01-24'!D:D)</f>
        <v>0</v>
      </c>
      <c r="G130" s="13">
        <f>SUMIF('OD 01-24'!A:A,A130,'OD 01-24'!E:E)</f>
        <v>0</v>
      </c>
      <c r="H130" s="14">
        <f t="shared" si="8"/>
        <v>119178.51799999998</v>
      </c>
      <c r="I130" s="14">
        <f t="shared" si="9"/>
        <v>816798.1800000004</v>
      </c>
      <c r="J130" s="8" t="s">
        <v>78</v>
      </c>
    </row>
    <row r="131" spans="1:10" s="9" customFormat="1" ht="11.25" x14ac:dyDescent="0.2">
      <c r="A131" s="10">
        <v>43625000</v>
      </c>
      <c r="B131" s="10" t="s">
        <v>94</v>
      </c>
      <c r="C131" s="11">
        <v>0</v>
      </c>
      <c r="D131" s="11">
        <v>5839.8649999999998</v>
      </c>
      <c r="E131" s="11">
        <v>27921.702000000001</v>
      </c>
      <c r="F131" s="13">
        <f>SUMIF('OD 01-24'!A:A,A131,'OD 01-24'!D:D)</f>
        <v>0</v>
      </c>
      <c r="G131" s="13">
        <f>SUMIF('OD 01-24'!A:A,A131,'OD 01-24'!E:E)</f>
        <v>0</v>
      </c>
      <c r="H131" s="14">
        <f t="shared" si="8"/>
        <v>-22081.837</v>
      </c>
      <c r="I131" s="14">
        <f t="shared" si="9"/>
        <v>-22081.837</v>
      </c>
      <c r="J131" s="8" t="s">
        <v>81</v>
      </c>
    </row>
    <row r="132" spans="1:10" s="9" customFormat="1" ht="11.25" x14ac:dyDescent="0.2">
      <c r="A132" s="10">
        <v>43627000</v>
      </c>
      <c r="B132" s="10" t="s">
        <v>95</v>
      </c>
      <c r="C132" s="11">
        <v>1.0999999940395355E-2</v>
      </c>
      <c r="D132" s="11">
        <v>40879.052000000003</v>
      </c>
      <c r="E132" s="11">
        <v>195451.91399999999</v>
      </c>
      <c r="F132" s="13">
        <f>SUMIF('OD 01-24'!A:A,A132,'OD 01-24'!D:D)</f>
        <v>0</v>
      </c>
      <c r="G132" s="13">
        <f>SUMIF('OD 01-24'!A:A,A132,'OD 01-24'!E:E)</f>
        <v>0</v>
      </c>
      <c r="H132" s="14">
        <f t="shared" si="8"/>
        <v>-154572.86199999999</v>
      </c>
      <c r="I132" s="14">
        <f t="shared" si="9"/>
        <v>-154572.85100000005</v>
      </c>
      <c r="J132" s="8" t="s">
        <v>81</v>
      </c>
    </row>
    <row r="133" spans="1:10" s="9" customFormat="1" ht="11.25" x14ac:dyDescent="0.2">
      <c r="A133" s="10">
        <v>43630600</v>
      </c>
      <c r="B133" s="10" t="s">
        <v>322</v>
      </c>
      <c r="C133" s="11">
        <v>0</v>
      </c>
      <c r="D133" s="11">
        <v>0</v>
      </c>
      <c r="E133" s="11">
        <v>0</v>
      </c>
      <c r="F133" s="13">
        <f>SUMIF('OD 01-24'!A:A,A133,'OD 01-24'!D:D)</f>
        <v>0</v>
      </c>
      <c r="G133" s="13">
        <f>SUMIF('OD 01-24'!A:A,A133,'OD 01-24'!E:E)</f>
        <v>0</v>
      </c>
      <c r="H133" s="14">
        <f t="shared" si="8"/>
        <v>0</v>
      </c>
      <c r="I133" s="14">
        <f t="shared" si="9"/>
        <v>0</v>
      </c>
      <c r="J133" s="8"/>
    </row>
    <row r="134" spans="1:10" s="9" customFormat="1" ht="11.25" x14ac:dyDescent="0.2">
      <c r="A134" s="10">
        <v>43630700</v>
      </c>
      <c r="B134" s="10" t="s">
        <v>96</v>
      </c>
      <c r="C134" s="11">
        <v>0</v>
      </c>
      <c r="D134" s="11">
        <v>482.76499999999999</v>
      </c>
      <c r="E134" s="11">
        <v>482.76499999999999</v>
      </c>
      <c r="F134" s="13">
        <f>SUMIF('OD 01-24'!A:A,A134,'OD 01-24'!D:D)</f>
        <v>0</v>
      </c>
      <c r="G134" s="13">
        <f>SUMIF('OD 01-24'!A:A,A134,'OD 01-24'!E:E)</f>
        <v>0</v>
      </c>
      <c r="H134" s="14">
        <f t="shared" si="8"/>
        <v>0</v>
      </c>
      <c r="I134" s="14">
        <f t="shared" si="9"/>
        <v>0</v>
      </c>
      <c r="J134" s="8" t="s">
        <v>78</v>
      </c>
    </row>
    <row r="135" spans="1:10" s="9" customFormat="1" ht="11.25" x14ac:dyDescent="0.2">
      <c r="A135" s="10">
        <v>43631000</v>
      </c>
      <c r="B135" s="10" t="s">
        <v>323</v>
      </c>
      <c r="C135" s="11">
        <v>0</v>
      </c>
      <c r="D135" s="11">
        <v>0</v>
      </c>
      <c r="E135" s="11">
        <v>0</v>
      </c>
      <c r="F135" s="13">
        <f>SUMIF('OD 01-24'!A:A,A135,'OD 01-24'!D:D)</f>
        <v>0</v>
      </c>
      <c r="G135" s="13">
        <f>SUMIF('OD 01-24'!A:A,A135,'OD 01-24'!E:E)</f>
        <v>0</v>
      </c>
      <c r="H135" s="14">
        <f t="shared" si="8"/>
        <v>0</v>
      </c>
      <c r="I135" s="14">
        <f t="shared" si="9"/>
        <v>0</v>
      </c>
      <c r="J135" s="8"/>
    </row>
    <row r="136" spans="1:10" s="9" customFormat="1" ht="11.25" x14ac:dyDescent="0.2">
      <c r="A136" s="10">
        <v>43631300</v>
      </c>
      <c r="B136" s="10" t="s">
        <v>324</v>
      </c>
      <c r="C136" s="11">
        <v>0</v>
      </c>
      <c r="D136" s="11">
        <v>877.70799999999997</v>
      </c>
      <c r="E136" s="11">
        <v>877.70799999999997</v>
      </c>
      <c r="F136" s="13">
        <f>SUMIF('OD 01-24'!A:A,A136,'OD 01-24'!D:D)</f>
        <v>0</v>
      </c>
      <c r="G136" s="13">
        <f>SUMIF('OD 01-24'!A:A,A136,'OD 01-24'!E:E)</f>
        <v>0</v>
      </c>
      <c r="H136" s="14">
        <f t="shared" si="8"/>
        <v>0</v>
      </c>
      <c r="I136" s="14">
        <f t="shared" si="9"/>
        <v>0</v>
      </c>
      <c r="J136" s="8" t="s">
        <v>78</v>
      </c>
    </row>
    <row r="137" spans="1:10" s="9" customFormat="1" ht="11.25" x14ac:dyDescent="0.2">
      <c r="A137" s="10">
        <v>43631800</v>
      </c>
      <c r="B137" s="10" t="s">
        <v>325</v>
      </c>
      <c r="C137" s="11">
        <v>0</v>
      </c>
      <c r="D137" s="11">
        <v>0</v>
      </c>
      <c r="E137" s="11">
        <v>0</v>
      </c>
      <c r="F137" s="13">
        <f>SUMIF('OD 01-24'!A:A,A137,'OD 01-24'!D:D)</f>
        <v>0</v>
      </c>
      <c r="G137" s="13">
        <f>SUMIF('OD 01-24'!A:A,A137,'OD 01-24'!E:E)</f>
        <v>0</v>
      </c>
      <c r="H137" s="14">
        <f t="shared" si="8"/>
        <v>0</v>
      </c>
      <c r="I137" s="14">
        <f t="shared" si="9"/>
        <v>0</v>
      </c>
      <c r="J137" s="8"/>
    </row>
    <row r="138" spans="1:10" s="9" customFormat="1" ht="11.25" x14ac:dyDescent="0.2">
      <c r="A138" s="10">
        <v>43631900</v>
      </c>
      <c r="B138" s="10" t="s">
        <v>97</v>
      </c>
      <c r="C138" s="11">
        <v>-3.9999932050704956E-3</v>
      </c>
      <c r="D138" s="11">
        <v>571707.31299999997</v>
      </c>
      <c r="E138" s="11">
        <v>571707.31299999997</v>
      </c>
      <c r="F138" s="13">
        <f>SUMIF('OD 01-24'!A:A,A138,'OD 01-24'!D:D)</f>
        <v>0</v>
      </c>
      <c r="G138" s="13">
        <f>SUMIF('OD 01-24'!A:A,A138,'OD 01-24'!E:E)</f>
        <v>0</v>
      </c>
      <c r="H138" s="14">
        <f t="shared" ref="H138:H202" si="16">+D138+F138-E138-G138</f>
        <v>0</v>
      </c>
      <c r="I138" s="14">
        <f t="shared" ref="I138:I202" si="17">+H138+C138</f>
        <v>-3.9999932050704956E-3</v>
      </c>
      <c r="J138" s="8" t="s">
        <v>81</v>
      </c>
    </row>
    <row r="139" spans="1:10" s="9" customFormat="1" ht="11.25" x14ac:dyDescent="0.2">
      <c r="A139" s="10">
        <v>43661800</v>
      </c>
      <c r="B139" s="10" t="s">
        <v>326</v>
      </c>
      <c r="C139" s="11">
        <v>0</v>
      </c>
      <c r="D139" s="11">
        <v>0</v>
      </c>
      <c r="E139" s="11">
        <v>0</v>
      </c>
      <c r="F139" s="13">
        <f>SUMIF('OD 01-24'!A:A,A139,'OD 01-24'!D:D)</f>
        <v>0</v>
      </c>
      <c r="G139" s="13">
        <f>SUMIF('OD 01-24'!A:A,A139,'OD 01-24'!E:E)</f>
        <v>0</v>
      </c>
      <c r="H139" s="14">
        <f t="shared" si="16"/>
        <v>0</v>
      </c>
      <c r="I139" s="14">
        <f t="shared" si="17"/>
        <v>0</v>
      </c>
      <c r="J139" s="8"/>
    </row>
    <row r="140" spans="1:10" s="9" customFormat="1" ht="11.25" x14ac:dyDescent="0.2">
      <c r="A140" s="10">
        <v>43671000</v>
      </c>
      <c r="B140" s="10" t="s">
        <v>98</v>
      </c>
      <c r="C140" s="11">
        <v>0</v>
      </c>
      <c r="D140" s="11">
        <f>453889.268+163206.062</f>
        <v>617095.32999999996</v>
      </c>
      <c r="E140" s="11">
        <v>617095.33100000001</v>
      </c>
      <c r="F140" s="13">
        <f>SUMIF('OD 01-24'!A:A,A140,'OD 01-24'!D:D)</f>
        <v>0</v>
      </c>
      <c r="G140" s="13">
        <f>SUMIF('OD 01-24'!A:A,A140,'OD 01-24'!E:E)</f>
        <v>0</v>
      </c>
      <c r="H140" s="14">
        <f t="shared" si="16"/>
        <v>-1.0000000474974513E-3</v>
      </c>
      <c r="I140" s="14">
        <f t="shared" si="17"/>
        <v>-1.0000000474974513E-3</v>
      </c>
      <c r="J140" s="8" t="s">
        <v>81</v>
      </c>
    </row>
    <row r="141" spans="1:10" s="9" customFormat="1" ht="11.25" x14ac:dyDescent="0.2">
      <c r="A141" s="10">
        <v>43700000</v>
      </c>
      <c r="B141" s="10" t="s">
        <v>99</v>
      </c>
      <c r="C141" s="11">
        <v>0</v>
      </c>
      <c r="D141" s="11">
        <v>0</v>
      </c>
      <c r="E141" s="11">
        <v>4</v>
      </c>
      <c r="F141" s="13">
        <f>SUMIF('OD 01-24'!A:A,A141,'OD 01-24'!D:D)</f>
        <v>0</v>
      </c>
      <c r="G141" s="13">
        <f>SUMIF('OD 01-24'!A:A,A141,'OD 01-24'!E:E)</f>
        <v>0</v>
      </c>
      <c r="H141" s="14">
        <f t="shared" si="16"/>
        <v>-4</v>
      </c>
      <c r="I141" s="14">
        <f t="shared" si="17"/>
        <v>-4</v>
      </c>
      <c r="J141" s="8" t="s">
        <v>81</v>
      </c>
    </row>
    <row r="142" spans="1:10" s="9" customFormat="1" ht="11.25" x14ac:dyDescent="0.2">
      <c r="A142" s="10">
        <v>43720000</v>
      </c>
      <c r="B142" s="10" t="s">
        <v>327</v>
      </c>
      <c r="C142" s="11">
        <v>0</v>
      </c>
      <c r="D142" s="11">
        <v>0</v>
      </c>
      <c r="E142" s="11">
        <v>0</v>
      </c>
      <c r="F142" s="13">
        <f>SUMIF('OD 01-24'!A:A,A142,'OD 01-24'!D:D)</f>
        <v>0</v>
      </c>
      <c r="G142" s="13">
        <f>SUMIF('OD 01-24'!A:A,A142,'OD 01-24'!E:E)</f>
        <v>0</v>
      </c>
      <c r="H142" s="14">
        <f t="shared" si="16"/>
        <v>0</v>
      </c>
      <c r="I142" s="14">
        <f t="shared" si="17"/>
        <v>0</v>
      </c>
      <c r="J142" s="8"/>
    </row>
    <row r="143" spans="1:10" s="9" customFormat="1" ht="11.25" x14ac:dyDescent="0.2">
      <c r="A143" s="10">
        <v>43756000</v>
      </c>
      <c r="B143" s="10" t="s">
        <v>328</v>
      </c>
      <c r="C143" s="11">
        <v>0</v>
      </c>
      <c r="D143" s="11">
        <v>0</v>
      </c>
      <c r="E143" s="11">
        <v>0</v>
      </c>
      <c r="F143" s="13">
        <f>SUMIF('OD 01-24'!A:A,A143,'OD 01-24'!D:D)</f>
        <v>0</v>
      </c>
      <c r="G143" s="13">
        <f>SUMIF('OD 01-24'!A:A,A143,'OD 01-24'!E:E)</f>
        <v>0</v>
      </c>
      <c r="H143" s="14">
        <f t="shared" si="16"/>
        <v>0</v>
      </c>
      <c r="I143" s="14">
        <f t="shared" si="17"/>
        <v>0</v>
      </c>
      <c r="J143" s="8"/>
    </row>
    <row r="144" spans="1:10" s="9" customFormat="1" ht="11.25" x14ac:dyDescent="0.2">
      <c r="A144" s="10">
        <v>44100000</v>
      </c>
      <c r="B144" s="10" t="s">
        <v>329</v>
      </c>
      <c r="C144" s="11">
        <v>0</v>
      </c>
      <c r="D144" s="11">
        <v>0</v>
      </c>
      <c r="E144" s="11">
        <v>0</v>
      </c>
      <c r="F144" s="13">
        <f>SUMIF('OD 01-24'!A:A,A144,'OD 01-24'!D:D)</f>
        <v>0</v>
      </c>
      <c r="G144" s="13">
        <f>SUMIF('OD 01-24'!A:A,A144,'OD 01-24'!E:E)</f>
        <v>0</v>
      </c>
      <c r="H144" s="14">
        <f t="shared" si="16"/>
        <v>0</v>
      </c>
      <c r="I144" s="14">
        <f t="shared" si="17"/>
        <v>0</v>
      </c>
      <c r="J144" s="8"/>
    </row>
    <row r="145" spans="1:10" s="9" customFormat="1" ht="11.25" x14ac:dyDescent="0.2">
      <c r="A145" s="10">
        <v>44200000</v>
      </c>
      <c r="B145" s="10" t="s">
        <v>330</v>
      </c>
      <c r="C145" s="11">
        <v>0</v>
      </c>
      <c r="D145" s="11">
        <v>0</v>
      </c>
      <c r="E145" s="11">
        <v>0</v>
      </c>
      <c r="F145" s="13">
        <f>SUMIF('OD 01-24'!A:A,A145,'OD 01-24'!D:D)</f>
        <v>0</v>
      </c>
      <c r="G145" s="13">
        <f>SUMIF('OD 01-24'!A:A,A145,'OD 01-24'!E:E)</f>
        <v>0</v>
      </c>
      <c r="H145" s="14">
        <f t="shared" si="16"/>
        <v>0</v>
      </c>
      <c r="I145" s="14">
        <f t="shared" si="17"/>
        <v>0</v>
      </c>
      <c r="J145" s="8"/>
    </row>
    <row r="146" spans="1:10" s="9" customFormat="1" ht="11.25" x14ac:dyDescent="0.2">
      <c r="A146" s="10">
        <v>44201000</v>
      </c>
      <c r="B146" s="10" t="s">
        <v>331</v>
      </c>
      <c r="C146" s="11">
        <v>44498.300999999978</v>
      </c>
      <c r="D146" s="11">
        <v>0</v>
      </c>
      <c r="E146" s="11">
        <v>0</v>
      </c>
      <c r="F146" s="13">
        <f>SUMIF('OD 01-24'!A:A,A146,'OD 01-24'!D:D)</f>
        <v>0</v>
      </c>
      <c r="G146" s="13">
        <f>SUMIF('OD 01-24'!A:A,A146,'OD 01-24'!E:E)</f>
        <v>0</v>
      </c>
      <c r="H146" s="14">
        <f t="shared" si="16"/>
        <v>0</v>
      </c>
      <c r="I146" s="14">
        <f t="shared" si="17"/>
        <v>44498.300999999978</v>
      </c>
      <c r="J146" s="8" t="s">
        <v>78</v>
      </c>
    </row>
    <row r="147" spans="1:10" s="9" customFormat="1" ht="11.25" x14ac:dyDescent="0.2">
      <c r="A147" s="10">
        <v>44202000</v>
      </c>
      <c r="B147" s="10" t="s">
        <v>332</v>
      </c>
      <c r="C147" s="11">
        <v>0</v>
      </c>
      <c r="D147" s="11">
        <v>0</v>
      </c>
      <c r="E147" s="11">
        <v>0</v>
      </c>
      <c r="F147" s="13">
        <f>SUMIF('OD 01-24'!A:A,A147,'OD 01-24'!D:D)</f>
        <v>0</v>
      </c>
      <c r="G147" s="13">
        <f>SUMIF('OD 01-24'!A:A,A147,'OD 01-24'!E:E)</f>
        <v>0</v>
      </c>
      <c r="H147" s="14">
        <f t="shared" si="16"/>
        <v>0</v>
      </c>
      <c r="I147" s="14">
        <f t="shared" si="17"/>
        <v>0</v>
      </c>
      <c r="J147" s="8"/>
    </row>
    <row r="148" spans="1:10" s="9" customFormat="1" ht="11.25" x14ac:dyDescent="0.2">
      <c r="A148" s="10">
        <v>44203000</v>
      </c>
      <c r="B148" s="10" t="s">
        <v>333</v>
      </c>
      <c r="C148" s="11">
        <v>0</v>
      </c>
      <c r="D148" s="11">
        <v>0</v>
      </c>
      <c r="E148" s="11">
        <v>0</v>
      </c>
      <c r="F148" s="13">
        <f>SUMIF('OD 01-24'!A:A,A148,'OD 01-24'!D:D)</f>
        <v>0</v>
      </c>
      <c r="G148" s="13">
        <f>SUMIF('OD 01-24'!A:A,A148,'OD 01-24'!E:E)</f>
        <v>0</v>
      </c>
      <c r="H148" s="14">
        <f t="shared" si="16"/>
        <v>0</v>
      </c>
      <c r="I148" s="14">
        <f t="shared" si="17"/>
        <v>0</v>
      </c>
      <c r="J148" s="8"/>
    </row>
    <row r="149" spans="1:10" s="9" customFormat="1" ht="11.25" x14ac:dyDescent="0.2">
      <c r="A149" s="10">
        <v>44204000</v>
      </c>
      <c r="B149" s="10" t="s">
        <v>334</v>
      </c>
      <c r="C149" s="11">
        <v>0</v>
      </c>
      <c r="D149" s="11">
        <v>0</v>
      </c>
      <c r="E149" s="11">
        <v>0</v>
      </c>
      <c r="F149" s="13">
        <f>SUMIF('OD 01-24'!A:A,A149,'OD 01-24'!D:D)</f>
        <v>0</v>
      </c>
      <c r="G149" s="13">
        <f>SUMIF('OD 01-24'!A:A,A149,'OD 01-24'!E:E)</f>
        <v>0</v>
      </c>
      <c r="H149" s="14">
        <f t="shared" si="16"/>
        <v>0</v>
      </c>
      <c r="I149" s="14">
        <f t="shared" si="17"/>
        <v>0</v>
      </c>
      <c r="J149" s="8"/>
    </row>
    <row r="150" spans="1:10" s="9" customFormat="1" ht="11.25" x14ac:dyDescent="0.2">
      <c r="A150" s="10">
        <v>44205000</v>
      </c>
      <c r="B150" s="10" t="s">
        <v>335</v>
      </c>
      <c r="C150" s="11">
        <v>0</v>
      </c>
      <c r="D150" s="11">
        <v>0</v>
      </c>
      <c r="E150" s="11">
        <v>0</v>
      </c>
      <c r="F150" s="13">
        <f>SUMIF('OD 01-24'!A:A,A150,'OD 01-24'!D:D)</f>
        <v>0</v>
      </c>
      <c r="G150" s="13">
        <f>SUMIF('OD 01-24'!A:A,A150,'OD 01-24'!E:E)</f>
        <v>0</v>
      </c>
      <c r="H150" s="14">
        <f t="shared" si="16"/>
        <v>0</v>
      </c>
      <c r="I150" s="14">
        <f t="shared" si="17"/>
        <v>0</v>
      </c>
      <c r="J150" s="8"/>
    </row>
    <row r="151" spans="1:10" s="9" customFormat="1" ht="11.25" x14ac:dyDescent="0.2">
      <c r="A151" s="10">
        <v>44206000</v>
      </c>
      <c r="B151" s="10" t="s">
        <v>100</v>
      </c>
      <c r="C151" s="11">
        <v>-439999.99999999988</v>
      </c>
      <c r="D151" s="11">
        <v>0</v>
      </c>
      <c r="E151" s="11">
        <v>0</v>
      </c>
      <c r="F151" s="13">
        <f>SUMIF('OD 01-24'!A:A,A151,'OD 01-24'!D:D)</f>
        <v>0</v>
      </c>
      <c r="G151" s="13">
        <f>SUMIF('OD 01-24'!A:A,A151,'OD 01-24'!E:E)</f>
        <v>0</v>
      </c>
      <c r="H151" s="14">
        <f t="shared" si="16"/>
        <v>0</v>
      </c>
      <c r="I151" s="14">
        <f t="shared" si="17"/>
        <v>-439999.99999999988</v>
      </c>
      <c r="J151" s="8" t="s">
        <v>81</v>
      </c>
    </row>
    <row r="152" spans="1:10" s="9" customFormat="1" ht="11.25" x14ac:dyDescent="0.2">
      <c r="A152" s="10">
        <v>44207000</v>
      </c>
      <c r="B152" s="10" t="s">
        <v>336</v>
      </c>
      <c r="C152" s="11">
        <v>165000</v>
      </c>
      <c r="D152" s="11">
        <v>0</v>
      </c>
      <c r="E152" s="11">
        <v>0</v>
      </c>
      <c r="F152" s="13">
        <f>SUMIF('OD 01-24'!A:A,A152,'OD 01-24'!D:D)</f>
        <v>0</v>
      </c>
      <c r="G152" s="13">
        <f>SUMIF('OD 01-24'!A:A,A152,'OD 01-24'!E:E)</f>
        <v>0</v>
      </c>
      <c r="H152" s="14">
        <f t="shared" si="16"/>
        <v>0</v>
      </c>
      <c r="I152" s="14">
        <f t="shared" si="17"/>
        <v>165000</v>
      </c>
      <c r="J152" s="8" t="s">
        <v>78</v>
      </c>
    </row>
    <row r="153" spans="1:10" s="9" customFormat="1" ht="11.25" x14ac:dyDescent="0.2">
      <c r="A153" s="10">
        <v>44208000</v>
      </c>
      <c r="B153" s="10" t="s">
        <v>337</v>
      </c>
      <c r="C153" s="11">
        <v>2270.971</v>
      </c>
      <c r="D153" s="11">
        <v>0</v>
      </c>
      <c r="E153" s="11">
        <v>0</v>
      </c>
      <c r="F153" s="13">
        <f>SUMIF('OD 01-24'!A:A,A153,'OD 01-24'!D:D)</f>
        <v>0</v>
      </c>
      <c r="G153" s="13">
        <f>SUMIF('OD 01-24'!A:A,A153,'OD 01-24'!E:E)</f>
        <v>0</v>
      </c>
      <c r="H153" s="14">
        <f t="shared" si="16"/>
        <v>0</v>
      </c>
      <c r="I153" s="14">
        <f t="shared" si="17"/>
        <v>2270.971</v>
      </c>
      <c r="J153" s="8" t="s">
        <v>78</v>
      </c>
    </row>
    <row r="154" spans="1:10" s="9" customFormat="1" ht="11.25" x14ac:dyDescent="0.2">
      <c r="A154" s="10">
        <v>44209000</v>
      </c>
      <c r="B154" s="10" t="s">
        <v>392</v>
      </c>
      <c r="C154" s="11">
        <v>3626.8820000002161</v>
      </c>
      <c r="D154" s="11">
        <v>0</v>
      </c>
      <c r="E154" s="11">
        <v>0</v>
      </c>
      <c r="F154" s="13">
        <f>SUMIF('OD 01-24'!A:A,A154,'OD 01-24'!D:D)</f>
        <v>0</v>
      </c>
      <c r="G154" s="13">
        <f>SUMIF('OD 01-24'!A:A,A154,'OD 01-24'!E:E)</f>
        <v>0</v>
      </c>
      <c r="H154" s="14">
        <f t="shared" ref="H154:H155" si="18">+D154+F154-E154-G154</f>
        <v>0</v>
      </c>
      <c r="I154" s="14">
        <f t="shared" ref="I154:I155" si="19">+H154+C154</f>
        <v>3626.8820000002161</v>
      </c>
      <c r="J154" s="8" t="s">
        <v>78</v>
      </c>
    </row>
    <row r="155" spans="1:10" s="9" customFormat="1" ht="11.25" x14ac:dyDescent="0.2">
      <c r="A155" s="10">
        <v>44210000</v>
      </c>
      <c r="B155" s="10" t="s">
        <v>338</v>
      </c>
      <c r="C155" s="11">
        <v>0</v>
      </c>
      <c r="D155" s="11">
        <v>0</v>
      </c>
      <c r="E155" s="11">
        <v>0</v>
      </c>
      <c r="F155" s="13">
        <f>SUMIF('OD 01-24'!A:A,A155,'OD 01-24'!D:D)</f>
        <v>0</v>
      </c>
      <c r="G155" s="13">
        <f>SUMIF('OD 01-24'!A:A,A155,'OD 01-24'!E:E)</f>
        <v>0</v>
      </c>
      <c r="H155" s="14">
        <f t="shared" si="18"/>
        <v>0</v>
      </c>
      <c r="I155" s="14">
        <f t="shared" si="19"/>
        <v>0</v>
      </c>
      <c r="J155" s="8"/>
    </row>
    <row r="156" spans="1:10" s="9" customFormat="1" ht="11.25" x14ac:dyDescent="0.2">
      <c r="A156" s="10">
        <v>44600000</v>
      </c>
      <c r="B156" s="10" t="s">
        <v>339</v>
      </c>
      <c r="C156" s="11">
        <v>0</v>
      </c>
      <c r="D156" s="11">
        <v>0</v>
      </c>
      <c r="E156" s="11">
        <v>0</v>
      </c>
      <c r="F156" s="13">
        <f>SUMIF('OD 01-24'!A:A,A156,'OD 01-24'!D:D)</f>
        <v>0</v>
      </c>
      <c r="G156" s="13">
        <f>SUMIF('OD 01-24'!A:A,A156,'OD 01-24'!E:E)</f>
        <v>0</v>
      </c>
      <c r="H156" s="14">
        <f t="shared" si="16"/>
        <v>0</v>
      </c>
      <c r="I156" s="14">
        <f t="shared" si="17"/>
        <v>0</v>
      </c>
      <c r="J156" s="8"/>
    </row>
    <row r="157" spans="1:10" s="9" customFormat="1" ht="11.25" x14ac:dyDescent="0.2">
      <c r="A157" s="10">
        <v>44700000</v>
      </c>
      <c r="B157" s="10" t="s">
        <v>101</v>
      </c>
      <c r="C157" s="11">
        <v>0</v>
      </c>
      <c r="D157" s="11">
        <v>0</v>
      </c>
      <c r="E157" s="11">
        <v>0</v>
      </c>
      <c r="F157" s="13">
        <f>SUMIF('OD 01-24'!A:A,A157,'OD 01-24'!D:D)</f>
        <v>0</v>
      </c>
      <c r="G157" s="13">
        <f>SUMIF('OD 01-24'!A:A,A157,'OD 01-24'!E:E)</f>
        <v>0</v>
      </c>
      <c r="H157" s="14">
        <f t="shared" si="16"/>
        <v>0</v>
      </c>
      <c r="I157" s="14">
        <f t="shared" si="17"/>
        <v>0</v>
      </c>
      <c r="J157" s="8"/>
    </row>
    <row r="158" spans="1:10" s="9" customFormat="1" ht="11.25" x14ac:dyDescent="0.2">
      <c r="A158" s="10">
        <v>45000000</v>
      </c>
      <c r="B158" s="10" t="s">
        <v>102</v>
      </c>
      <c r="C158" s="11">
        <v>-12700</v>
      </c>
      <c r="D158" s="11">
        <v>0</v>
      </c>
      <c r="E158" s="11">
        <v>0</v>
      </c>
      <c r="F158" s="13">
        <f>SUMIF('OD 01-24'!A:A,A158,'OD 01-24'!D:D)</f>
        <v>0</v>
      </c>
      <c r="G158" s="13">
        <f>SUMIF('OD 01-24'!A:A,A158,'OD 01-24'!E:E)</f>
        <v>0</v>
      </c>
      <c r="H158" s="14">
        <f t="shared" si="16"/>
        <v>0</v>
      </c>
      <c r="I158" s="14">
        <f t="shared" si="17"/>
        <v>-12700</v>
      </c>
      <c r="J158" s="8" t="s">
        <v>81</v>
      </c>
    </row>
    <row r="159" spans="1:10" s="9" customFormat="1" ht="11.25" x14ac:dyDescent="0.2">
      <c r="A159" s="10">
        <v>45200000</v>
      </c>
      <c r="B159" s="10" t="s">
        <v>103</v>
      </c>
      <c r="C159" s="11">
        <v>-2500</v>
      </c>
      <c r="D159" s="11">
        <v>0</v>
      </c>
      <c r="E159" s="11">
        <v>0</v>
      </c>
      <c r="F159" s="13">
        <f>SUMIF('OD 01-24'!A:A,A159,'OD 01-24'!D:D)</f>
        <v>0</v>
      </c>
      <c r="G159" s="13">
        <f>SUMIF('OD 01-24'!A:A,A159,'OD 01-24'!E:E)</f>
        <v>0</v>
      </c>
      <c r="H159" s="14">
        <f t="shared" si="16"/>
        <v>0</v>
      </c>
      <c r="I159" s="14">
        <f t="shared" si="17"/>
        <v>-2500</v>
      </c>
      <c r="J159" s="8" t="s">
        <v>81</v>
      </c>
    </row>
    <row r="160" spans="1:10" s="9" customFormat="1" ht="11.25" x14ac:dyDescent="0.2">
      <c r="A160" s="10">
        <v>45310000</v>
      </c>
      <c r="B160" s="10" t="s">
        <v>104</v>
      </c>
      <c r="C160" s="11">
        <v>-249020.40600000042</v>
      </c>
      <c r="D160" s="11">
        <v>252433.55</v>
      </c>
      <c r="E160" s="11">
        <v>25198.249</v>
      </c>
      <c r="F160" s="13">
        <f>SUMIF('OD 01-24'!A:A,A160,'OD 01-24'!D:D)</f>
        <v>0</v>
      </c>
      <c r="G160" s="13">
        <f>SUMIF('OD 01-24'!A:A,A160,'OD 01-24'!E:E)</f>
        <v>43186.953000000001</v>
      </c>
      <c r="H160" s="14">
        <f t="shared" si="16"/>
        <v>184048.34799999997</v>
      </c>
      <c r="I160" s="14">
        <f t="shared" si="17"/>
        <v>-64972.058000000456</v>
      </c>
      <c r="J160" s="8" t="s">
        <v>81</v>
      </c>
    </row>
    <row r="161" spans="1:10" s="9" customFormat="1" ht="11.25" x14ac:dyDescent="0.2">
      <c r="A161" s="10">
        <v>45700000</v>
      </c>
      <c r="B161" s="10" t="s">
        <v>105</v>
      </c>
      <c r="C161" s="11">
        <v>7122.9679999998771</v>
      </c>
      <c r="D161" s="11">
        <v>0</v>
      </c>
      <c r="E161" s="11">
        <v>0</v>
      </c>
      <c r="F161" s="13">
        <f>SUMIF('OD 01-24'!A:A,A161,'OD 01-24'!D:D)</f>
        <v>0</v>
      </c>
      <c r="G161" s="13">
        <f>SUMIF('OD 01-24'!A:A,A161,'OD 01-24'!E:E)</f>
        <v>0</v>
      </c>
      <c r="H161" s="14">
        <f t="shared" si="16"/>
        <v>0</v>
      </c>
      <c r="I161" s="14">
        <f t="shared" si="17"/>
        <v>7122.9679999998771</v>
      </c>
      <c r="J161" s="8" t="s">
        <v>78</v>
      </c>
    </row>
    <row r="162" spans="1:10" s="9" customFormat="1" ht="11.25" x14ac:dyDescent="0.2">
      <c r="A162" s="10">
        <v>45860000</v>
      </c>
      <c r="B162" s="10" t="s">
        <v>106</v>
      </c>
      <c r="C162" s="11">
        <v>-2131891.8360000001</v>
      </c>
      <c r="D162" s="11">
        <v>360051.31799999997</v>
      </c>
      <c r="E162" s="11">
        <v>0</v>
      </c>
      <c r="F162" s="13">
        <f>SUMIF('OD 01-24'!A:A,A162,'OD 01-24'!D:D)</f>
        <v>0</v>
      </c>
      <c r="G162" s="13">
        <f>SUMIF('OD 01-24'!A:A,A162,'OD 01-24'!E:E)</f>
        <v>401124.386</v>
      </c>
      <c r="H162" s="14">
        <f t="shared" si="16"/>
        <v>-41073.068000000028</v>
      </c>
      <c r="I162" s="14">
        <f t="shared" si="17"/>
        <v>-2172964.9040000001</v>
      </c>
      <c r="J162" s="8" t="s">
        <v>81</v>
      </c>
    </row>
    <row r="163" spans="1:10" s="9" customFormat="1" ht="11.25" x14ac:dyDescent="0.2">
      <c r="A163" s="10">
        <v>45870000</v>
      </c>
      <c r="B163" s="10" t="s">
        <v>107</v>
      </c>
      <c r="C163" s="11">
        <v>38770.517999999225</v>
      </c>
      <c r="D163" s="11">
        <v>0</v>
      </c>
      <c r="E163" s="11">
        <v>0</v>
      </c>
      <c r="F163" s="13">
        <f>SUMIF('OD 01-24'!A:A,A163,'OD 01-24'!D:D)</f>
        <v>3242.453</v>
      </c>
      <c r="G163" s="13">
        <f>SUMIF('OD 01-24'!A:A,A163,'OD 01-24'!E:E)</f>
        <v>0</v>
      </c>
      <c r="H163" s="14">
        <f t="shared" si="16"/>
        <v>3242.453</v>
      </c>
      <c r="I163" s="14">
        <f t="shared" si="17"/>
        <v>42012.970999999226</v>
      </c>
      <c r="J163" s="8" t="s">
        <v>78</v>
      </c>
    </row>
    <row r="164" spans="1:10" s="9" customFormat="1" ht="11.25" x14ac:dyDescent="0.2">
      <c r="A164" s="10">
        <v>46100000</v>
      </c>
      <c r="B164" s="10" t="s">
        <v>340</v>
      </c>
      <c r="C164" s="11">
        <v>0</v>
      </c>
      <c r="D164" s="11">
        <v>0</v>
      </c>
      <c r="E164" s="11">
        <v>0</v>
      </c>
      <c r="F164" s="13">
        <f>SUMIF('OD 01-24'!A:A,A164,'OD 01-24'!D:D)</f>
        <v>0</v>
      </c>
      <c r="G164" s="13">
        <f>SUMIF('OD 01-24'!A:A,A164,'OD 01-24'!E:E)</f>
        <v>0</v>
      </c>
      <c r="H164" s="14">
        <f t="shared" si="16"/>
        <v>0</v>
      </c>
      <c r="I164" s="14">
        <f t="shared" si="17"/>
        <v>0</v>
      </c>
      <c r="J164" s="8"/>
    </row>
    <row r="165" spans="1:10" s="9" customFormat="1" ht="11.25" x14ac:dyDescent="0.2">
      <c r="A165" s="10">
        <v>46800000</v>
      </c>
      <c r="B165" s="10" t="s">
        <v>108</v>
      </c>
      <c r="C165" s="11">
        <v>0</v>
      </c>
      <c r="D165" s="11">
        <v>0</v>
      </c>
      <c r="E165" s="11">
        <v>0</v>
      </c>
      <c r="F165" s="13">
        <f>SUMIF('OD 01-24'!A:A,A165,'OD 01-24'!D:D)</f>
        <v>0</v>
      </c>
      <c r="G165" s="13">
        <f>SUMIF('OD 01-24'!A:A,A165,'OD 01-24'!E:E)</f>
        <v>0</v>
      </c>
      <c r="H165" s="14">
        <f t="shared" si="16"/>
        <v>0</v>
      </c>
      <c r="I165" s="14">
        <f t="shared" si="17"/>
        <v>0</v>
      </c>
      <c r="J165" s="8"/>
    </row>
    <row r="166" spans="1:10" s="9" customFormat="1" ht="11.25" x14ac:dyDescent="0.2">
      <c r="A166" s="10">
        <v>47100000</v>
      </c>
      <c r="B166" s="10" t="s">
        <v>109</v>
      </c>
      <c r="C166" s="11">
        <v>319255.08584599965</v>
      </c>
      <c r="D166" s="11">
        <v>0</v>
      </c>
      <c r="E166" s="11">
        <v>29686.853999999999</v>
      </c>
      <c r="F166" s="13">
        <f>SUMIF('OD 01-24'!A:A,A166,'OD 01-24'!D:D)</f>
        <v>47237.317000000003</v>
      </c>
      <c r="G166" s="13">
        <f>SUMIF('OD 01-24'!A:A,A166,'OD 01-24'!E:E)</f>
        <v>88723.195999999996</v>
      </c>
      <c r="H166" s="14">
        <f t="shared" si="16"/>
        <v>-71172.732999999993</v>
      </c>
      <c r="I166" s="14">
        <f t="shared" si="17"/>
        <v>248082.35284599965</v>
      </c>
      <c r="J166" s="8" t="s">
        <v>78</v>
      </c>
    </row>
    <row r="167" spans="1:10" s="9" customFormat="1" ht="11.25" x14ac:dyDescent="0.2">
      <c r="A167" s="10">
        <v>47200000</v>
      </c>
      <c r="B167" s="10" t="s">
        <v>341</v>
      </c>
      <c r="C167" s="11">
        <v>0</v>
      </c>
      <c r="D167" s="11">
        <v>0</v>
      </c>
      <c r="E167" s="11">
        <v>0</v>
      </c>
      <c r="F167" s="13">
        <f>SUMIF('OD 01-24'!A:A,A167,'OD 01-24'!D:D)</f>
        <v>0</v>
      </c>
      <c r="G167" s="13">
        <f>SUMIF('OD 01-24'!A:A,A167,'OD 01-24'!E:E)</f>
        <v>0</v>
      </c>
      <c r="H167" s="14">
        <f t="shared" si="16"/>
        <v>0</v>
      </c>
      <c r="I167" s="14">
        <f t="shared" si="17"/>
        <v>0</v>
      </c>
      <c r="J167" s="8"/>
    </row>
    <row r="168" spans="1:10" s="9" customFormat="1" ht="11.25" x14ac:dyDescent="0.2">
      <c r="A168" s="10">
        <v>49100000</v>
      </c>
      <c r="B168" s="10" t="s">
        <v>110</v>
      </c>
      <c r="C168" s="11">
        <v>-457129.14999999991</v>
      </c>
      <c r="D168" s="11">
        <v>0</v>
      </c>
      <c r="E168" s="11">
        <v>0</v>
      </c>
      <c r="F168" s="13">
        <f>SUMIF('OD 01-24'!A:A,A168,'OD 01-24'!D:D)</f>
        <v>0</v>
      </c>
      <c r="G168" s="13">
        <f>SUMIF('OD 01-24'!A:A,A168,'OD 01-24'!E:E)</f>
        <v>0</v>
      </c>
      <c r="H168" s="14">
        <f t="shared" si="16"/>
        <v>0</v>
      </c>
      <c r="I168" s="14">
        <f t="shared" si="17"/>
        <v>-457129.14999999991</v>
      </c>
      <c r="J168" s="8" t="s">
        <v>111</v>
      </c>
    </row>
    <row r="169" spans="1:10" s="9" customFormat="1" ht="11.25" x14ac:dyDescent="0.2">
      <c r="A169" s="10">
        <v>49600000</v>
      </c>
      <c r="B169" s="10" t="s">
        <v>112</v>
      </c>
      <c r="C169" s="11">
        <v>-288613.68499999994</v>
      </c>
      <c r="D169" s="11">
        <v>0</v>
      </c>
      <c r="E169" s="11">
        <v>0</v>
      </c>
      <c r="F169" s="13">
        <f>SUMIF('OD 01-24'!A:A,A169,'OD 01-24'!D:D)</f>
        <v>0</v>
      </c>
      <c r="G169" s="13">
        <f>SUMIF('OD 01-24'!A:A,A169,'OD 01-24'!E:E)</f>
        <v>0</v>
      </c>
      <c r="H169" s="14">
        <f t="shared" si="16"/>
        <v>0</v>
      </c>
      <c r="I169" s="14">
        <f t="shared" si="17"/>
        <v>-288613.68499999994</v>
      </c>
      <c r="J169" s="8" t="s">
        <v>113</v>
      </c>
    </row>
    <row r="170" spans="1:10" s="9" customFormat="1" ht="11.25" x14ac:dyDescent="0.2">
      <c r="A170" s="10">
        <v>50130000</v>
      </c>
      <c r="B170" s="10" t="s">
        <v>114</v>
      </c>
      <c r="C170" s="11">
        <v>-6000000</v>
      </c>
      <c r="D170" s="11">
        <v>0</v>
      </c>
      <c r="E170" s="11">
        <v>0</v>
      </c>
      <c r="F170" s="13">
        <f>SUMIF('OD 01-24'!A:A,A170,'OD 01-24'!D:D)</f>
        <v>0</v>
      </c>
      <c r="G170" s="13">
        <f>SUMIF('OD 01-24'!A:A,A170,'OD 01-24'!E:E)</f>
        <v>0</v>
      </c>
      <c r="H170" s="14">
        <f t="shared" si="16"/>
        <v>0</v>
      </c>
      <c r="I170" s="14">
        <f t="shared" si="17"/>
        <v>-6000000</v>
      </c>
      <c r="J170" s="8" t="s">
        <v>115</v>
      </c>
    </row>
    <row r="171" spans="1:10" s="9" customFormat="1" ht="11.25" x14ac:dyDescent="0.2">
      <c r="A171" s="10">
        <v>50140000</v>
      </c>
      <c r="B171" s="10" t="s">
        <v>116</v>
      </c>
      <c r="C171" s="11">
        <v>-4000000</v>
      </c>
      <c r="D171" s="11">
        <v>0</v>
      </c>
      <c r="E171" s="11">
        <v>0</v>
      </c>
      <c r="F171" s="13">
        <f>SUMIF('OD 01-24'!A:A,A171,'OD 01-24'!D:D)</f>
        <v>0</v>
      </c>
      <c r="G171" s="13">
        <f>SUMIF('OD 01-24'!A:A,A171,'OD 01-24'!E:E)</f>
        <v>0</v>
      </c>
      <c r="H171" s="14">
        <f t="shared" si="16"/>
        <v>0</v>
      </c>
      <c r="I171" s="14">
        <f t="shared" si="17"/>
        <v>-4000000</v>
      </c>
      <c r="J171" s="8" t="s">
        <v>115</v>
      </c>
    </row>
    <row r="172" spans="1:10" s="9" customFormat="1" ht="11.25" x14ac:dyDescent="0.2">
      <c r="A172" s="10">
        <v>50500000</v>
      </c>
      <c r="B172" s="10" t="s">
        <v>117</v>
      </c>
      <c r="C172" s="11">
        <v>-4.0000025182962418E-3</v>
      </c>
      <c r="D172" s="11">
        <v>0</v>
      </c>
      <c r="E172" s="11">
        <v>0</v>
      </c>
      <c r="F172" s="13">
        <f>SUMIF('OD 01-24'!A:A,A172,'OD 01-24'!D:D)</f>
        <v>0</v>
      </c>
      <c r="G172" s="13">
        <f>SUMIF('OD 01-24'!A:A,A172,'OD 01-24'!E:E)</f>
        <v>0</v>
      </c>
      <c r="H172" s="14">
        <f t="shared" si="16"/>
        <v>0</v>
      </c>
      <c r="I172" s="14">
        <f t="shared" si="17"/>
        <v>-4.0000025182962418E-3</v>
      </c>
      <c r="J172" s="8" t="s">
        <v>115</v>
      </c>
    </row>
    <row r="173" spans="1:10" s="9" customFormat="1" ht="11.25" x14ac:dyDescent="0.2">
      <c r="A173" s="10">
        <v>50515000</v>
      </c>
      <c r="B173" s="10" t="s">
        <v>118</v>
      </c>
      <c r="C173" s="11">
        <v>-131871.57899999991</v>
      </c>
      <c r="D173" s="11">
        <v>16080.866</v>
      </c>
      <c r="E173" s="11">
        <v>0</v>
      </c>
      <c r="F173" s="13">
        <f>SUMIF('OD 01-24'!A:A,A173,'OD 01-24'!D:D)</f>
        <v>0</v>
      </c>
      <c r="G173" s="13">
        <f>SUMIF('OD 01-24'!A:A,A173,'OD 01-24'!E:E)</f>
        <v>0</v>
      </c>
      <c r="H173" s="14">
        <f t="shared" si="16"/>
        <v>16080.866</v>
      </c>
      <c r="I173" s="14">
        <f t="shared" si="17"/>
        <v>-115790.71299999992</v>
      </c>
      <c r="J173" s="8" t="s">
        <v>115</v>
      </c>
    </row>
    <row r="174" spans="1:10" s="9" customFormat="1" ht="11.25" x14ac:dyDescent="0.2">
      <c r="A174" s="10">
        <v>50610100</v>
      </c>
      <c r="B174" s="10" t="s">
        <v>342</v>
      </c>
      <c r="C174" s="11">
        <v>0</v>
      </c>
      <c r="D174" s="11">
        <v>0</v>
      </c>
      <c r="E174" s="11">
        <v>0</v>
      </c>
      <c r="F174" s="13">
        <f>SUMIF('OD 01-24'!A:A,A174,'OD 01-24'!D:D)</f>
        <v>0</v>
      </c>
      <c r="G174" s="13">
        <f>SUMIF('OD 01-24'!A:A,A174,'OD 01-24'!E:E)</f>
        <v>0</v>
      </c>
      <c r="H174" s="14">
        <f t="shared" si="16"/>
        <v>0</v>
      </c>
      <c r="I174" s="14">
        <f t="shared" si="17"/>
        <v>0</v>
      </c>
      <c r="J174" s="8"/>
    </row>
    <row r="175" spans="1:10" s="9" customFormat="1" ht="11.25" x14ac:dyDescent="0.2">
      <c r="A175" s="10">
        <v>50610900</v>
      </c>
      <c r="B175" s="10" t="s">
        <v>119</v>
      </c>
      <c r="C175" s="11">
        <v>-1347864.9606235027</v>
      </c>
      <c r="D175" s="11">
        <v>513150.52</v>
      </c>
      <c r="E175" s="11">
        <v>0</v>
      </c>
      <c r="F175" s="13">
        <f>SUMIF('OD 01-24'!A:A,A175,'OD 01-24'!D:D)</f>
        <v>0</v>
      </c>
      <c r="G175" s="13">
        <f>SUMIF('OD 01-24'!A:A,A175,'OD 01-24'!E:E)</f>
        <v>0</v>
      </c>
      <c r="H175" s="14">
        <f t="shared" si="16"/>
        <v>513150.52</v>
      </c>
      <c r="I175" s="14">
        <f t="shared" si="17"/>
        <v>-834714.44062350271</v>
      </c>
      <c r="J175" s="8" t="s">
        <v>115</v>
      </c>
    </row>
    <row r="176" spans="1:10" s="9" customFormat="1" ht="11.25" x14ac:dyDescent="0.2">
      <c r="A176" s="10">
        <v>50630000</v>
      </c>
      <c r="B176" s="10" t="s">
        <v>343</v>
      </c>
      <c r="C176" s="11">
        <v>-443000</v>
      </c>
      <c r="D176" s="11">
        <v>148000</v>
      </c>
      <c r="E176" s="11">
        <v>0</v>
      </c>
      <c r="F176" s="13">
        <f>SUMIF('OD 01-24'!A:A,A176,'OD 01-24'!D:D)</f>
        <v>0</v>
      </c>
      <c r="G176" s="13">
        <f>SUMIF('OD 01-24'!A:A,A176,'OD 01-24'!E:E)</f>
        <v>0</v>
      </c>
      <c r="H176" s="14">
        <f t="shared" si="16"/>
        <v>148000</v>
      </c>
      <c r="I176" s="14">
        <f t="shared" si="17"/>
        <v>-295000</v>
      </c>
      <c r="J176" s="8" t="s">
        <v>115</v>
      </c>
    </row>
    <row r="177" spans="1:10" s="9" customFormat="1" ht="11.25" x14ac:dyDescent="0.2">
      <c r="A177" s="10">
        <v>50800000</v>
      </c>
      <c r="B177" s="10" t="s">
        <v>344</v>
      </c>
      <c r="C177" s="11">
        <v>-31533.957000000002</v>
      </c>
      <c r="D177" s="11">
        <v>0</v>
      </c>
      <c r="E177" s="11">
        <v>0</v>
      </c>
      <c r="F177" s="13">
        <f>SUMIF('OD 01-24'!A:A,A177,'OD 01-24'!D:D)</f>
        <v>0</v>
      </c>
      <c r="G177" s="13">
        <f>SUMIF('OD 01-24'!A:A,A177,'OD 01-24'!E:E)</f>
        <v>0</v>
      </c>
      <c r="H177" s="14">
        <f t="shared" si="16"/>
        <v>0</v>
      </c>
      <c r="I177" s="14">
        <f t="shared" si="17"/>
        <v>-31533.957000000002</v>
      </c>
      <c r="J177" s="8" t="s">
        <v>115</v>
      </c>
    </row>
    <row r="178" spans="1:10" s="9" customFormat="1" ht="11.25" x14ac:dyDescent="0.2">
      <c r="A178" s="10">
        <v>52000000</v>
      </c>
      <c r="B178" s="10" t="s">
        <v>345</v>
      </c>
      <c r="C178" s="11">
        <v>0</v>
      </c>
      <c r="D178" s="11">
        <v>0</v>
      </c>
      <c r="E178" s="11">
        <v>0</v>
      </c>
      <c r="F178" s="13">
        <f>SUMIF('OD 01-24'!A:A,A178,'OD 01-24'!D:D)</f>
        <v>0</v>
      </c>
      <c r="G178" s="13">
        <f>SUMIF('OD 01-24'!A:A,A178,'OD 01-24'!E:E)</f>
        <v>0</v>
      </c>
      <c r="H178" s="14">
        <f t="shared" si="16"/>
        <v>0</v>
      </c>
      <c r="I178" s="14">
        <f t="shared" si="17"/>
        <v>0</v>
      </c>
      <c r="J178" s="8"/>
    </row>
    <row r="179" spans="1:10" s="9" customFormat="1" ht="11.25" x14ac:dyDescent="0.2">
      <c r="A179" s="10">
        <v>52001100</v>
      </c>
      <c r="B179" s="10" t="s">
        <v>346</v>
      </c>
      <c r="C179" s="11">
        <v>0</v>
      </c>
      <c r="D179" s="11">
        <v>0</v>
      </c>
      <c r="E179" s="11">
        <v>0</v>
      </c>
      <c r="F179" s="13">
        <f>SUMIF('OD 01-24'!A:A,A179,'OD 01-24'!D:D)</f>
        <v>0</v>
      </c>
      <c r="G179" s="13">
        <f>SUMIF('OD 01-24'!A:A,A179,'OD 01-24'!E:E)</f>
        <v>0</v>
      </c>
      <c r="H179" s="14">
        <f t="shared" si="16"/>
        <v>0</v>
      </c>
      <c r="I179" s="14">
        <f t="shared" si="17"/>
        <v>0</v>
      </c>
      <c r="J179" s="8"/>
    </row>
    <row r="180" spans="1:10" s="9" customFormat="1" ht="11.25" x14ac:dyDescent="0.2">
      <c r="A180" s="10">
        <v>53140000</v>
      </c>
      <c r="B180" s="10" t="s">
        <v>347</v>
      </c>
      <c r="C180" s="11">
        <v>0</v>
      </c>
      <c r="D180" s="11">
        <v>0</v>
      </c>
      <c r="E180" s="11">
        <v>0</v>
      </c>
      <c r="F180" s="13">
        <f>SUMIF('OD 01-24'!A:A,A180,'OD 01-24'!D:D)</f>
        <v>0</v>
      </c>
      <c r="G180" s="13">
        <f>SUMIF('OD 01-24'!A:A,A180,'OD 01-24'!E:E)</f>
        <v>0</v>
      </c>
      <c r="H180" s="14">
        <f t="shared" si="16"/>
        <v>0</v>
      </c>
      <c r="I180" s="14">
        <f t="shared" si="17"/>
        <v>0</v>
      </c>
      <c r="J180" s="8"/>
    </row>
    <row r="181" spans="1:10" s="9" customFormat="1" ht="11.25" x14ac:dyDescent="0.2">
      <c r="A181" s="10">
        <v>53200000</v>
      </c>
      <c r="B181" s="10" t="s">
        <v>120</v>
      </c>
      <c r="C181" s="11">
        <v>185799.56100001931</v>
      </c>
      <c r="D181" s="11">
        <v>3684000</v>
      </c>
      <c r="E181" s="11">
        <v>3730500</v>
      </c>
      <c r="F181" s="13">
        <f>SUMIF('OD 01-24'!A:A,A181,'OD 01-24'!D:D)</f>
        <v>0</v>
      </c>
      <c r="G181" s="13">
        <f>SUMIF('OD 01-24'!A:A,A181,'OD 01-24'!E:E)</f>
        <v>0</v>
      </c>
      <c r="H181" s="14">
        <f t="shared" si="16"/>
        <v>-46500</v>
      </c>
      <c r="I181" s="14">
        <f t="shared" si="17"/>
        <v>139299.56100001931</v>
      </c>
      <c r="J181" s="8" t="s">
        <v>121</v>
      </c>
    </row>
    <row r="182" spans="1:10" s="9" customFormat="1" ht="11.25" x14ac:dyDescent="0.2">
      <c r="A182" s="10">
        <v>53201000</v>
      </c>
      <c r="B182" s="10" t="s">
        <v>348</v>
      </c>
      <c r="C182" s="11">
        <v>0</v>
      </c>
      <c r="D182" s="11">
        <v>0</v>
      </c>
      <c r="E182" s="11">
        <v>0</v>
      </c>
      <c r="F182" s="13">
        <f>SUMIF('OD 01-24'!A:A,A182,'OD 01-24'!D:D)</f>
        <v>0</v>
      </c>
      <c r="G182" s="13">
        <f>SUMIF('OD 01-24'!A:A,A182,'OD 01-24'!E:E)</f>
        <v>0</v>
      </c>
      <c r="H182" s="14">
        <f t="shared" si="16"/>
        <v>0</v>
      </c>
      <c r="I182" s="14">
        <f t="shared" si="17"/>
        <v>0</v>
      </c>
      <c r="J182" s="8"/>
    </row>
    <row r="183" spans="1:10" s="9" customFormat="1" ht="11.25" x14ac:dyDescent="0.2">
      <c r="A183" s="10">
        <v>53202000</v>
      </c>
      <c r="B183" s="10" t="s">
        <v>122</v>
      </c>
      <c r="C183" s="11">
        <v>435.74199999962002</v>
      </c>
      <c r="D183" s="11">
        <v>0</v>
      </c>
      <c r="E183" s="11">
        <v>0</v>
      </c>
      <c r="F183" s="13">
        <f>SUMIF('OD 01-24'!A:A,A183,'OD 01-24'!D:D)</f>
        <v>0</v>
      </c>
      <c r="G183" s="13">
        <f>SUMIF('OD 01-24'!A:A,A183,'OD 01-24'!E:E)</f>
        <v>0</v>
      </c>
      <c r="H183" s="14">
        <f t="shared" si="16"/>
        <v>0</v>
      </c>
      <c r="I183" s="14">
        <f t="shared" si="17"/>
        <v>435.74199999962002</v>
      </c>
      <c r="J183" s="8" t="s">
        <v>121</v>
      </c>
    </row>
    <row r="184" spans="1:10" s="9" customFormat="1" ht="11.25" x14ac:dyDescent="0.2">
      <c r="A184" s="10">
        <v>53203000</v>
      </c>
      <c r="B184" s="10" t="s">
        <v>349</v>
      </c>
      <c r="C184" s="11">
        <v>159807.23199999891</v>
      </c>
      <c r="D184" s="11">
        <v>46500</v>
      </c>
      <c r="E184" s="11">
        <v>48104.180999999997</v>
      </c>
      <c r="F184" s="13">
        <f>SUMIF('OD 01-24'!A:A,A184,'OD 01-24'!D:D)</f>
        <v>0</v>
      </c>
      <c r="G184" s="13">
        <f>SUMIF('OD 01-24'!A:A,A184,'OD 01-24'!E:E)</f>
        <v>0</v>
      </c>
      <c r="H184" s="14">
        <f t="shared" si="16"/>
        <v>-1604.1809999999969</v>
      </c>
      <c r="I184" s="14">
        <f t="shared" si="17"/>
        <v>158203.05099999893</v>
      </c>
      <c r="J184" s="8" t="s">
        <v>121</v>
      </c>
    </row>
    <row r="185" spans="1:10" s="9" customFormat="1" ht="11.25" x14ac:dyDescent="0.2">
      <c r="A185" s="10">
        <v>53204000</v>
      </c>
      <c r="B185" s="10" t="s">
        <v>350</v>
      </c>
      <c r="C185" s="11">
        <v>0</v>
      </c>
      <c r="D185" s="11">
        <v>0</v>
      </c>
      <c r="E185" s="11">
        <v>0</v>
      </c>
      <c r="F185" s="13">
        <f>SUMIF('OD 01-24'!A:A,A185,'OD 01-24'!D:D)</f>
        <v>0</v>
      </c>
      <c r="G185" s="13">
        <f>SUMIF('OD 01-24'!A:A,A185,'OD 01-24'!E:E)</f>
        <v>0</v>
      </c>
      <c r="H185" s="14">
        <f t="shared" si="16"/>
        <v>0</v>
      </c>
      <c r="I185" s="14">
        <f t="shared" si="17"/>
        <v>0</v>
      </c>
      <c r="J185" s="8"/>
    </row>
    <row r="186" spans="1:10" s="9" customFormat="1" ht="11.25" x14ac:dyDescent="0.2">
      <c r="A186" s="10">
        <v>53204100</v>
      </c>
      <c r="B186" s="10" t="s">
        <v>351</v>
      </c>
      <c r="C186" s="11">
        <v>0</v>
      </c>
      <c r="D186" s="11">
        <v>0</v>
      </c>
      <c r="E186" s="11">
        <v>0</v>
      </c>
      <c r="F186" s="13">
        <f>SUMIF('OD 01-24'!A:A,A186,'OD 01-24'!D:D)</f>
        <v>0</v>
      </c>
      <c r="G186" s="13">
        <f>SUMIF('OD 01-24'!A:A,A186,'OD 01-24'!E:E)</f>
        <v>0</v>
      </c>
      <c r="H186" s="14">
        <f t="shared" si="16"/>
        <v>0</v>
      </c>
      <c r="I186" s="14">
        <f t="shared" si="17"/>
        <v>0</v>
      </c>
      <c r="J186" s="8"/>
    </row>
    <row r="187" spans="1:10" s="9" customFormat="1" ht="11.25" x14ac:dyDescent="0.2">
      <c r="A187" s="10">
        <v>53204500</v>
      </c>
      <c r="B187" s="10" t="s">
        <v>123</v>
      </c>
      <c r="C187" s="11">
        <v>5874.02</v>
      </c>
      <c r="D187" s="11">
        <v>0</v>
      </c>
      <c r="E187" s="11">
        <v>0</v>
      </c>
      <c r="F187" s="13">
        <f>SUMIF('OD 01-24'!A:A,A187,'OD 01-24'!D:D)</f>
        <v>0</v>
      </c>
      <c r="G187" s="13">
        <f>SUMIF('OD 01-24'!A:A,A187,'OD 01-24'!E:E)</f>
        <v>0</v>
      </c>
      <c r="H187" s="14">
        <f t="shared" si="16"/>
        <v>0</v>
      </c>
      <c r="I187" s="14">
        <f t="shared" si="17"/>
        <v>5874.02</v>
      </c>
      <c r="J187" s="8" t="s">
        <v>121</v>
      </c>
    </row>
    <row r="188" spans="1:10" s="9" customFormat="1" ht="11.25" x14ac:dyDescent="0.2">
      <c r="A188" s="10">
        <v>53205000</v>
      </c>
      <c r="B188" s="10" t="s">
        <v>124</v>
      </c>
      <c r="C188" s="11">
        <v>12925.083999991417</v>
      </c>
      <c r="D188" s="11">
        <v>0</v>
      </c>
      <c r="E188" s="11">
        <v>0</v>
      </c>
      <c r="F188" s="13">
        <f>SUMIF('OD 01-24'!A:A,A188,'OD 01-24'!D:D)</f>
        <v>0</v>
      </c>
      <c r="G188" s="13">
        <f>SUMIF('OD 01-24'!A:A,A188,'OD 01-24'!E:E)</f>
        <v>0</v>
      </c>
      <c r="H188" s="14">
        <f t="shared" si="16"/>
        <v>0</v>
      </c>
      <c r="I188" s="14">
        <f t="shared" si="17"/>
        <v>12925.083999991417</v>
      </c>
      <c r="J188" s="8" t="s">
        <v>121</v>
      </c>
    </row>
    <row r="189" spans="1:10" s="9" customFormat="1" ht="11.25" x14ac:dyDescent="0.2">
      <c r="A189" s="10">
        <v>53205300</v>
      </c>
      <c r="B189" s="10" t="s">
        <v>125</v>
      </c>
      <c r="C189" s="11">
        <v>0</v>
      </c>
      <c r="D189" s="11">
        <v>0</v>
      </c>
      <c r="E189" s="11">
        <v>0</v>
      </c>
      <c r="F189" s="13">
        <f>SUMIF('OD 01-24'!A:A,A189,'OD 01-24'!D:D)</f>
        <v>0</v>
      </c>
      <c r="G189" s="13">
        <f>SUMIF('OD 01-24'!A:A,A189,'OD 01-24'!E:E)</f>
        <v>0</v>
      </c>
      <c r="H189" s="14">
        <f t="shared" si="16"/>
        <v>0</v>
      </c>
      <c r="I189" s="14">
        <f t="shared" si="17"/>
        <v>0</v>
      </c>
      <c r="J189" s="8" t="s">
        <v>121</v>
      </c>
    </row>
    <row r="190" spans="1:10" s="9" customFormat="1" ht="11.25" x14ac:dyDescent="0.2">
      <c r="A190" s="10">
        <v>53205400</v>
      </c>
      <c r="B190" s="10" t="s">
        <v>126</v>
      </c>
      <c r="C190" s="11">
        <v>0</v>
      </c>
      <c r="D190" s="11">
        <v>0</v>
      </c>
      <c r="E190" s="11">
        <v>0</v>
      </c>
      <c r="F190" s="13">
        <f>SUMIF('OD 01-24'!A:A,A190,'OD 01-24'!D:D)</f>
        <v>0</v>
      </c>
      <c r="G190" s="13">
        <f>SUMIF('OD 01-24'!A:A,A190,'OD 01-24'!E:E)</f>
        <v>0</v>
      </c>
      <c r="H190" s="14">
        <f t="shared" si="16"/>
        <v>0</v>
      </c>
      <c r="I190" s="14">
        <f t="shared" si="17"/>
        <v>0</v>
      </c>
      <c r="J190" s="8"/>
    </row>
    <row r="191" spans="1:10" s="9" customFormat="1" ht="11.25" x14ac:dyDescent="0.2">
      <c r="A191" s="10">
        <v>53205500</v>
      </c>
      <c r="B191" s="10" t="s">
        <v>127</v>
      </c>
      <c r="C191" s="11">
        <v>0</v>
      </c>
      <c r="D191" s="11">
        <v>0</v>
      </c>
      <c r="E191" s="11">
        <v>0</v>
      </c>
      <c r="F191" s="13">
        <f>SUMIF('OD 01-24'!A:A,A191,'OD 01-24'!D:D)</f>
        <v>0</v>
      </c>
      <c r="G191" s="13">
        <f>SUMIF('OD 01-24'!A:A,A191,'OD 01-24'!E:E)</f>
        <v>0</v>
      </c>
      <c r="H191" s="14">
        <f t="shared" si="16"/>
        <v>0</v>
      </c>
      <c r="I191" s="14">
        <f t="shared" si="17"/>
        <v>0</v>
      </c>
      <c r="J191" s="8"/>
    </row>
    <row r="192" spans="1:10" s="9" customFormat="1" ht="11.25" x14ac:dyDescent="0.2">
      <c r="A192" s="10">
        <v>53205600</v>
      </c>
      <c r="B192" s="10" t="s">
        <v>128</v>
      </c>
      <c r="C192" s="11">
        <v>-3285395.1510000229</v>
      </c>
      <c r="D192" s="11">
        <v>3704706.2719999999</v>
      </c>
      <c r="E192" s="11">
        <v>4089091.1439999999</v>
      </c>
      <c r="F192" s="13">
        <f>SUMIF('OD 01-24'!A:A,A192,'OD 01-24'!D:D)</f>
        <v>0</v>
      </c>
      <c r="G192" s="13">
        <f>SUMIF('OD 01-24'!A:A,A192,'OD 01-24'!E:E)</f>
        <v>0</v>
      </c>
      <c r="H192" s="14">
        <f t="shared" si="16"/>
        <v>-384384.87199999997</v>
      </c>
      <c r="I192" s="14">
        <f t="shared" si="17"/>
        <v>-3669780.0230000229</v>
      </c>
      <c r="J192" s="8" t="s">
        <v>115</v>
      </c>
    </row>
    <row r="193" spans="1:10" s="9" customFormat="1" ht="11.25" x14ac:dyDescent="0.2">
      <c r="A193" s="10">
        <v>53205700</v>
      </c>
      <c r="B193" s="10" t="s">
        <v>129</v>
      </c>
      <c r="C193" s="11">
        <v>1932895.7835971937</v>
      </c>
      <c r="D193" s="11">
        <v>6007386.5420000004</v>
      </c>
      <c r="E193" s="11">
        <v>3820881.4810000001</v>
      </c>
      <c r="F193" s="13">
        <f>SUMIF('OD 01-24'!A:A,A193,'OD 01-24'!D:D)</f>
        <v>16501.161</v>
      </c>
      <c r="G193" s="13">
        <f>SUMIF('OD 01-24'!A:A,A193,'OD 01-24'!E:E)</f>
        <v>53911.612999999998</v>
      </c>
      <c r="H193" s="14">
        <f t="shared" si="16"/>
        <v>2149094.6090000006</v>
      </c>
      <c r="I193" s="14">
        <f t="shared" si="17"/>
        <v>4081990.3925971943</v>
      </c>
      <c r="J193" s="8" t="s">
        <v>121</v>
      </c>
    </row>
    <row r="194" spans="1:10" s="9" customFormat="1" ht="11.25" x14ac:dyDescent="0.2">
      <c r="A194" s="10">
        <v>53205800</v>
      </c>
      <c r="B194" s="10" t="s">
        <v>130</v>
      </c>
      <c r="C194" s="11">
        <v>86956.206000000238</v>
      </c>
      <c r="D194" s="11">
        <v>0</v>
      </c>
      <c r="E194" s="11">
        <v>29.693999999999999</v>
      </c>
      <c r="F194" s="13">
        <f>SUMIF('OD 01-24'!A:A,A194,'OD 01-24'!D:D)</f>
        <v>63.481000000000002</v>
      </c>
      <c r="G194" s="13">
        <f>SUMIF('OD 01-24'!A:A,A194,'OD 01-24'!E:E)</f>
        <v>0</v>
      </c>
      <c r="H194" s="14">
        <f t="shared" si="16"/>
        <v>33.787000000000006</v>
      </c>
      <c r="I194" s="14">
        <f t="shared" si="17"/>
        <v>86989.993000000235</v>
      </c>
      <c r="J194" s="8" t="s">
        <v>121</v>
      </c>
    </row>
    <row r="195" spans="1:10" s="9" customFormat="1" ht="11.25" x14ac:dyDescent="0.2">
      <c r="A195" s="10">
        <v>53207000</v>
      </c>
      <c r="B195" s="10" t="s">
        <v>352</v>
      </c>
      <c r="C195" s="11">
        <v>0</v>
      </c>
      <c r="D195" s="11">
        <v>0</v>
      </c>
      <c r="E195" s="11">
        <v>0</v>
      </c>
      <c r="F195" s="13">
        <f>SUMIF('OD 01-24'!A:A,A195,'OD 01-24'!D:D)</f>
        <v>0</v>
      </c>
      <c r="G195" s="13">
        <f>SUMIF('OD 01-24'!A:A,A195,'OD 01-24'!E:E)</f>
        <v>0</v>
      </c>
      <c r="H195" s="14">
        <f t="shared" si="16"/>
        <v>0</v>
      </c>
      <c r="I195" s="14">
        <f t="shared" si="17"/>
        <v>0</v>
      </c>
      <c r="J195" s="8"/>
    </row>
    <row r="196" spans="1:10" s="9" customFormat="1" ht="11.25" x14ac:dyDescent="0.2">
      <c r="A196" s="10">
        <v>53207100</v>
      </c>
      <c r="B196" s="10" t="s">
        <v>353</v>
      </c>
      <c r="C196" s="11">
        <v>0</v>
      </c>
      <c r="D196" s="11">
        <v>0</v>
      </c>
      <c r="E196" s="11">
        <v>0</v>
      </c>
      <c r="F196" s="13">
        <f>SUMIF('OD 01-24'!A:A,A196,'OD 01-24'!D:D)</f>
        <v>0</v>
      </c>
      <c r="G196" s="13">
        <f>SUMIF('OD 01-24'!A:A,A196,'OD 01-24'!E:E)</f>
        <v>0</v>
      </c>
      <c r="H196" s="14">
        <f t="shared" si="16"/>
        <v>0</v>
      </c>
      <c r="I196" s="14">
        <f t="shared" si="17"/>
        <v>0</v>
      </c>
      <c r="J196" s="8"/>
    </row>
    <row r="197" spans="1:10" s="9" customFormat="1" ht="11.25" x14ac:dyDescent="0.2">
      <c r="A197" s="10">
        <v>53207200</v>
      </c>
      <c r="B197" s="10" t="s">
        <v>354</v>
      </c>
      <c r="C197" s="11">
        <v>0</v>
      </c>
      <c r="D197" s="11">
        <v>0</v>
      </c>
      <c r="E197" s="11">
        <v>0</v>
      </c>
      <c r="F197" s="13">
        <f>SUMIF('OD 01-24'!A:A,A197,'OD 01-24'!D:D)</f>
        <v>0</v>
      </c>
      <c r="G197" s="13">
        <f>SUMIF('OD 01-24'!A:A,A197,'OD 01-24'!E:E)</f>
        <v>0</v>
      </c>
      <c r="H197" s="14">
        <f t="shared" si="16"/>
        <v>0</v>
      </c>
      <c r="I197" s="14">
        <f t="shared" si="17"/>
        <v>0</v>
      </c>
      <c r="J197" s="8"/>
    </row>
    <row r="198" spans="1:10" s="9" customFormat="1" ht="11.25" x14ac:dyDescent="0.2">
      <c r="A198" s="10">
        <v>53208000</v>
      </c>
      <c r="B198" s="10" t="s">
        <v>355</v>
      </c>
      <c r="C198" s="11">
        <v>485.66199999954551</v>
      </c>
      <c r="D198" s="11">
        <v>0</v>
      </c>
      <c r="E198" s="11">
        <v>0</v>
      </c>
      <c r="F198" s="13">
        <f>SUMIF('OD 01-24'!A:A,A198,'OD 01-24'!D:D)</f>
        <v>0</v>
      </c>
      <c r="G198" s="13">
        <f>SUMIF('OD 01-24'!A:A,A198,'OD 01-24'!E:E)</f>
        <v>0</v>
      </c>
      <c r="H198" s="14">
        <f t="shared" si="16"/>
        <v>0</v>
      </c>
      <c r="I198" s="14">
        <f t="shared" si="17"/>
        <v>485.66199999954551</v>
      </c>
      <c r="J198" s="8" t="s">
        <v>121</v>
      </c>
    </row>
    <row r="199" spans="1:10" s="9" customFormat="1" ht="11.25" x14ac:dyDescent="0.2">
      <c r="A199" s="10">
        <v>53208100</v>
      </c>
      <c r="B199" s="10" t="s">
        <v>356</v>
      </c>
      <c r="C199" s="11">
        <v>0</v>
      </c>
      <c r="D199" s="11">
        <v>0</v>
      </c>
      <c r="E199" s="11">
        <v>0</v>
      </c>
      <c r="F199" s="13">
        <f>SUMIF('OD 01-24'!A:A,A199,'OD 01-24'!D:D)</f>
        <v>0</v>
      </c>
      <c r="G199" s="13">
        <f>SUMIF('OD 01-24'!A:A,A199,'OD 01-24'!E:E)</f>
        <v>0</v>
      </c>
      <c r="H199" s="14">
        <f t="shared" si="16"/>
        <v>0</v>
      </c>
      <c r="I199" s="14">
        <f t="shared" si="17"/>
        <v>0</v>
      </c>
      <c r="J199" s="8"/>
    </row>
    <row r="200" spans="1:10" s="9" customFormat="1" ht="11.25" x14ac:dyDescent="0.2">
      <c r="A200" s="10">
        <v>53208500</v>
      </c>
      <c r="B200" s="10" t="s">
        <v>357</v>
      </c>
      <c r="C200" s="11">
        <v>0</v>
      </c>
      <c r="D200" s="11">
        <v>0</v>
      </c>
      <c r="E200" s="11">
        <v>0</v>
      </c>
      <c r="F200" s="13">
        <f>SUMIF('OD 01-24'!A:A,A200,'OD 01-24'!D:D)</f>
        <v>0</v>
      </c>
      <c r="G200" s="13">
        <f>SUMIF('OD 01-24'!A:A,A200,'OD 01-24'!E:E)</f>
        <v>0</v>
      </c>
      <c r="H200" s="14">
        <f t="shared" si="16"/>
        <v>0</v>
      </c>
      <c r="I200" s="14">
        <f t="shared" si="17"/>
        <v>0</v>
      </c>
      <c r="J200" s="8"/>
    </row>
    <row r="201" spans="1:10" s="9" customFormat="1" ht="11.25" x14ac:dyDescent="0.2">
      <c r="A201" s="10">
        <v>54000000</v>
      </c>
      <c r="B201" s="10" t="s">
        <v>358</v>
      </c>
      <c r="C201" s="11">
        <v>0</v>
      </c>
      <c r="D201" s="11">
        <v>0</v>
      </c>
      <c r="E201" s="11">
        <v>0</v>
      </c>
      <c r="F201" s="13">
        <f>SUMIF('OD 01-24'!A:A,A201,'OD 01-24'!D:D)</f>
        <v>0</v>
      </c>
      <c r="G201" s="13">
        <f>SUMIF('OD 01-24'!A:A,A201,'OD 01-24'!E:E)</f>
        <v>0</v>
      </c>
      <c r="H201" s="14">
        <f t="shared" si="16"/>
        <v>0</v>
      </c>
      <c r="I201" s="14">
        <f t="shared" si="17"/>
        <v>0</v>
      </c>
      <c r="J201" s="8"/>
    </row>
    <row r="202" spans="1:10" s="9" customFormat="1" ht="11.25" x14ac:dyDescent="0.2">
      <c r="A202" s="10">
        <v>54100000</v>
      </c>
      <c r="B202" s="10" t="s">
        <v>131</v>
      </c>
      <c r="C202" s="11">
        <v>4890.1500000000233</v>
      </c>
      <c r="D202" s="11">
        <v>8077.4560000000001</v>
      </c>
      <c r="E202" s="11">
        <v>8077.4560000000001</v>
      </c>
      <c r="F202" s="13">
        <f>SUMIF('OD 01-24'!A:A,A202,'OD 01-24'!D:D)</f>
        <v>0</v>
      </c>
      <c r="G202" s="13">
        <f>SUMIF('OD 01-24'!A:A,A202,'OD 01-24'!E:E)</f>
        <v>0</v>
      </c>
      <c r="H202" s="14">
        <f t="shared" si="16"/>
        <v>0</v>
      </c>
      <c r="I202" s="14">
        <f t="shared" si="17"/>
        <v>4890.1500000000233</v>
      </c>
      <c r="J202" s="8" t="s">
        <v>115</v>
      </c>
    </row>
    <row r="203" spans="1:10" s="9" customFormat="1" ht="11.25" x14ac:dyDescent="0.2">
      <c r="A203" s="10">
        <v>54300000</v>
      </c>
      <c r="B203" s="10" t="s">
        <v>359</v>
      </c>
      <c r="C203" s="11">
        <v>0</v>
      </c>
      <c r="D203" s="11">
        <v>0</v>
      </c>
      <c r="E203" s="11">
        <v>0</v>
      </c>
      <c r="F203" s="13">
        <f>SUMIF('OD 01-24'!A:A,A203,'OD 01-24'!D:D)</f>
        <v>0</v>
      </c>
      <c r="G203" s="13">
        <f>SUMIF('OD 01-24'!A:A,A203,'OD 01-24'!E:E)</f>
        <v>0</v>
      </c>
      <c r="H203" s="14">
        <f t="shared" ref="H203:H268" si="20">+D203+F203-E203-G203</f>
        <v>0</v>
      </c>
      <c r="I203" s="14">
        <f t="shared" ref="I203:I268" si="21">+H203+C203</f>
        <v>0</v>
      </c>
      <c r="J203" s="8"/>
    </row>
    <row r="204" spans="1:10" s="9" customFormat="1" ht="11.25" x14ac:dyDescent="0.2">
      <c r="A204" s="10">
        <v>55010000</v>
      </c>
      <c r="B204" s="10" t="s">
        <v>132</v>
      </c>
      <c r="C204" s="11">
        <v>3000</v>
      </c>
      <c r="D204" s="11">
        <v>0</v>
      </c>
      <c r="E204" s="11">
        <v>0</v>
      </c>
      <c r="F204" s="13">
        <f>SUMIF('OD 01-24'!A:A,A204,'OD 01-24'!D:D)</f>
        <v>0</v>
      </c>
      <c r="G204" s="13">
        <f>SUMIF('OD 01-24'!A:A,A204,'OD 01-24'!E:E)</f>
        <v>0</v>
      </c>
      <c r="H204" s="14">
        <f t="shared" si="20"/>
        <v>0</v>
      </c>
      <c r="I204" s="14">
        <f t="shared" si="21"/>
        <v>3000</v>
      </c>
      <c r="J204" s="8" t="s">
        <v>121</v>
      </c>
    </row>
    <row r="205" spans="1:10" s="9" customFormat="1" ht="11.25" x14ac:dyDescent="0.2">
      <c r="A205" s="10">
        <v>55011000</v>
      </c>
      <c r="B205" s="10" t="s">
        <v>133</v>
      </c>
      <c r="C205" s="11">
        <v>0</v>
      </c>
      <c r="D205" s="11">
        <v>0</v>
      </c>
      <c r="E205" s="11">
        <v>0</v>
      </c>
      <c r="F205" s="13">
        <f>SUMIF('OD 01-24'!A:A,A205,'OD 01-24'!D:D)</f>
        <v>0</v>
      </c>
      <c r="G205" s="13">
        <f>SUMIF('OD 01-24'!A:A,A205,'OD 01-24'!E:E)</f>
        <v>0</v>
      </c>
      <c r="H205" s="14">
        <f t="shared" si="20"/>
        <v>0</v>
      </c>
      <c r="I205" s="14">
        <f t="shared" si="21"/>
        <v>0</v>
      </c>
      <c r="J205" s="8" t="s">
        <v>121</v>
      </c>
    </row>
    <row r="206" spans="1:10" s="9" customFormat="1" ht="11.25" x14ac:dyDescent="0.2">
      <c r="A206" s="10">
        <v>58000000</v>
      </c>
      <c r="B206" s="10" t="s">
        <v>134</v>
      </c>
      <c r="C206" s="11">
        <v>0</v>
      </c>
      <c r="D206" s="11">
        <v>0</v>
      </c>
      <c r="E206" s="11">
        <v>0</v>
      </c>
      <c r="F206" s="13">
        <f>SUMIF('OD 01-24'!A:A,A206,'OD 01-24'!D:D)</f>
        <v>0</v>
      </c>
      <c r="G206" s="13">
        <f>SUMIF('OD 01-24'!A:A,A206,'OD 01-24'!E:E)</f>
        <v>0</v>
      </c>
      <c r="H206" s="14">
        <f t="shared" si="20"/>
        <v>0</v>
      </c>
      <c r="I206" s="14">
        <f t="shared" si="21"/>
        <v>0</v>
      </c>
      <c r="J206" s="8" t="s">
        <v>121</v>
      </c>
    </row>
    <row r="207" spans="1:10" s="9" customFormat="1" ht="11.25" x14ac:dyDescent="0.2">
      <c r="A207" s="10">
        <v>58001000</v>
      </c>
      <c r="B207" s="10" t="s">
        <v>135</v>
      </c>
      <c r="C207" s="11">
        <v>-1.9999593496322632E-4</v>
      </c>
      <c r="D207" s="11">
        <v>0</v>
      </c>
      <c r="E207" s="11">
        <v>0</v>
      </c>
      <c r="F207" s="13">
        <f>SUMIF('OD 01-24'!A:A,A207,'OD 01-24'!D:D)</f>
        <v>0</v>
      </c>
      <c r="G207" s="13">
        <f>SUMIF('OD 01-24'!A:A,A207,'OD 01-24'!E:E)</f>
        <v>0</v>
      </c>
      <c r="H207" s="14">
        <f t="shared" si="20"/>
        <v>0</v>
      </c>
      <c r="I207" s="14">
        <f t="shared" si="21"/>
        <v>-1.9999593496322632E-4</v>
      </c>
      <c r="J207" s="8"/>
    </row>
    <row r="208" spans="1:10" s="9" customFormat="1" ht="11.25" x14ac:dyDescent="0.2">
      <c r="A208" s="10">
        <v>58002000</v>
      </c>
      <c r="B208" s="10" t="s">
        <v>360</v>
      </c>
      <c r="C208" s="11">
        <v>0</v>
      </c>
      <c r="D208" s="11">
        <v>0</v>
      </c>
      <c r="E208" s="11">
        <v>0</v>
      </c>
      <c r="F208" s="13">
        <f>SUMIF('OD 01-24'!A:A,A208,'OD 01-24'!D:D)</f>
        <v>0</v>
      </c>
      <c r="G208" s="13">
        <f>SUMIF('OD 01-24'!A:A,A208,'OD 01-24'!E:E)</f>
        <v>0</v>
      </c>
      <c r="H208" s="14">
        <f t="shared" si="20"/>
        <v>0</v>
      </c>
      <c r="I208" s="14">
        <f t="shared" si="21"/>
        <v>0</v>
      </c>
      <c r="J208" s="8"/>
    </row>
    <row r="209" spans="1:11" s="9" customFormat="1" ht="11.25" x14ac:dyDescent="0.2">
      <c r="A209" s="10">
        <v>58003000</v>
      </c>
      <c r="B209" s="10" t="s">
        <v>136</v>
      </c>
      <c r="C209" s="11">
        <v>1.0100007057189941E-4</v>
      </c>
      <c r="D209" s="11">
        <v>119685.15400000001</v>
      </c>
      <c r="E209" s="11">
        <v>119685.15400000001</v>
      </c>
      <c r="F209" s="13">
        <f>SUMIF('OD 01-24'!A:A,A209,'OD 01-24'!D:D)</f>
        <v>0</v>
      </c>
      <c r="G209" s="13">
        <f>SUMIF('OD 01-24'!A:A,A209,'OD 01-24'!E:E)</f>
        <v>0</v>
      </c>
      <c r="H209" s="14">
        <f t="shared" si="20"/>
        <v>0</v>
      </c>
      <c r="I209" s="14">
        <f t="shared" si="21"/>
        <v>1.0100007057189941E-4</v>
      </c>
      <c r="J209" s="8"/>
    </row>
    <row r="210" spans="1:11" s="9" customFormat="1" ht="11.25" x14ac:dyDescent="0.2">
      <c r="A210" s="10">
        <v>58004000</v>
      </c>
      <c r="B210" s="10" t="s">
        <v>361</v>
      </c>
      <c r="C210" s="11">
        <v>0</v>
      </c>
      <c r="D210" s="11">
        <v>0</v>
      </c>
      <c r="E210" s="11">
        <v>0</v>
      </c>
      <c r="F210" s="13">
        <f>SUMIF('OD 01-24'!A:A,A210,'OD 01-24'!D:D)</f>
        <v>0</v>
      </c>
      <c r="G210" s="13">
        <f>SUMIF('OD 01-24'!A:A,A210,'OD 01-24'!E:E)</f>
        <v>0</v>
      </c>
      <c r="H210" s="14">
        <f t="shared" si="20"/>
        <v>0</v>
      </c>
      <c r="I210" s="14">
        <f t="shared" si="21"/>
        <v>0</v>
      </c>
      <c r="J210" s="8"/>
    </row>
    <row r="211" spans="1:11" s="9" customFormat="1" ht="11.25" x14ac:dyDescent="0.2">
      <c r="A211" s="10">
        <v>58005000</v>
      </c>
      <c r="B211" s="10" t="s">
        <v>362</v>
      </c>
      <c r="C211" s="11">
        <v>3.8483738899230957E-4</v>
      </c>
      <c r="D211" s="11">
        <v>1937642.9210000001</v>
      </c>
      <c r="E211" s="11">
        <v>1937642.9210000001</v>
      </c>
      <c r="F211" s="13">
        <f>SUMIF('OD 01-24'!A:A,A211,'OD 01-24'!D:D)</f>
        <v>0</v>
      </c>
      <c r="G211" s="13">
        <f>SUMIF('OD 01-24'!A:A,A211,'OD 01-24'!E:E)</f>
        <v>0</v>
      </c>
      <c r="H211" s="14">
        <f t="shared" si="20"/>
        <v>0</v>
      </c>
      <c r="I211" s="14">
        <f t="shared" si="21"/>
        <v>3.8483738899230957E-4</v>
      </c>
      <c r="J211" s="8" t="s">
        <v>121</v>
      </c>
    </row>
    <row r="212" spans="1:11" s="9" customFormat="1" ht="11.25" x14ac:dyDescent="0.2">
      <c r="A212" s="10">
        <v>60110210</v>
      </c>
      <c r="B212" s="10" t="s">
        <v>137</v>
      </c>
      <c r="C212" s="11">
        <v>0</v>
      </c>
      <c r="D212" s="11">
        <v>138288.4100685</v>
      </c>
      <c r="E212" s="11">
        <v>0</v>
      </c>
      <c r="F212" s="13">
        <f>SUMIF('OD 01-24'!A:A,A212,'OD 01-24'!D:D)</f>
        <v>0</v>
      </c>
      <c r="G212" s="13">
        <f>SUMIF('OD 01-24'!A:A,A212,'OD 01-24'!E:E)</f>
        <v>0</v>
      </c>
      <c r="H212" s="14">
        <f t="shared" si="20"/>
        <v>138288.4100685</v>
      </c>
      <c r="I212" s="14">
        <f t="shared" si="21"/>
        <v>138288.4100685</v>
      </c>
      <c r="J212" s="8" t="s">
        <v>138</v>
      </c>
      <c r="K212" s="9" t="s">
        <v>509</v>
      </c>
    </row>
    <row r="213" spans="1:11" s="9" customFormat="1" ht="11.25" x14ac:dyDescent="0.2">
      <c r="A213" s="10">
        <v>60110211</v>
      </c>
      <c r="B213" s="10" t="s">
        <v>363</v>
      </c>
      <c r="C213" s="11">
        <v>0</v>
      </c>
      <c r="D213" s="11">
        <v>2639.0803185000004</v>
      </c>
      <c r="E213" s="11">
        <v>0</v>
      </c>
      <c r="F213" s="13">
        <f>SUMIF('OD 01-24'!A:A,A213,'OD 01-24'!D:D)</f>
        <v>0</v>
      </c>
      <c r="G213" s="13">
        <f>SUMIF('OD 01-24'!A:A,A213,'OD 01-24'!E:E)</f>
        <v>0</v>
      </c>
      <c r="H213" s="14">
        <f t="shared" si="20"/>
        <v>2639.0803185000004</v>
      </c>
      <c r="I213" s="14">
        <f t="shared" si="21"/>
        <v>2639.0803185000004</v>
      </c>
      <c r="J213" s="8" t="s">
        <v>138</v>
      </c>
      <c r="K213" s="9" t="s">
        <v>509</v>
      </c>
    </row>
    <row r="214" spans="1:11" s="9" customFormat="1" ht="11.25" x14ac:dyDescent="0.2">
      <c r="A214" s="10">
        <v>60110213</v>
      </c>
      <c r="B214" s="10" t="s">
        <v>364</v>
      </c>
      <c r="C214" s="11">
        <v>0</v>
      </c>
      <c r="D214" s="11">
        <v>2787.6</v>
      </c>
      <c r="E214" s="11">
        <v>0</v>
      </c>
      <c r="F214" s="13">
        <f>SUMIF('OD 01-24'!A:A,A214,'OD 01-24'!D:D)</f>
        <v>0</v>
      </c>
      <c r="G214" s="13">
        <f>SUMIF('OD 01-24'!A:A,A214,'OD 01-24'!E:E)</f>
        <v>0</v>
      </c>
      <c r="H214" s="14">
        <f t="shared" si="20"/>
        <v>2787.6</v>
      </c>
      <c r="I214" s="14">
        <f t="shared" si="21"/>
        <v>2787.6</v>
      </c>
      <c r="J214" s="8" t="s">
        <v>138</v>
      </c>
      <c r="K214" s="9" t="s">
        <v>509</v>
      </c>
    </row>
    <row r="215" spans="1:11" s="9" customFormat="1" ht="11.25" x14ac:dyDescent="0.2">
      <c r="A215" s="10">
        <v>60110220</v>
      </c>
      <c r="B215" s="10" t="s">
        <v>139</v>
      </c>
      <c r="C215" s="11">
        <v>0</v>
      </c>
      <c r="D215" s="11">
        <v>202850.37257999997</v>
      </c>
      <c r="E215" s="11">
        <v>0</v>
      </c>
      <c r="F215" s="13">
        <f>SUMIF('OD 01-24'!A:A,A215,'OD 01-24'!D:D)</f>
        <v>0</v>
      </c>
      <c r="G215" s="13">
        <f>SUMIF('OD 01-24'!A:A,A215,'OD 01-24'!E:E)</f>
        <v>0</v>
      </c>
      <c r="H215" s="14">
        <f t="shared" si="20"/>
        <v>202850.37257999997</v>
      </c>
      <c r="I215" s="14">
        <f t="shared" si="21"/>
        <v>202850.37257999997</v>
      </c>
      <c r="J215" s="8" t="s">
        <v>138</v>
      </c>
      <c r="K215" s="9" t="s">
        <v>509</v>
      </c>
    </row>
    <row r="216" spans="1:11" s="9" customFormat="1" ht="11.25" x14ac:dyDescent="0.2">
      <c r="A216" s="10">
        <v>60110300</v>
      </c>
      <c r="B216" s="10" t="s">
        <v>140</v>
      </c>
      <c r="C216" s="11">
        <v>0</v>
      </c>
      <c r="D216" s="11">
        <v>11507.364984000002</v>
      </c>
      <c r="E216" s="11">
        <v>0</v>
      </c>
      <c r="F216" s="13">
        <f>SUMIF('OD 01-24'!A:A,A216,'OD 01-24'!D:D)</f>
        <v>0</v>
      </c>
      <c r="G216" s="13">
        <f>SUMIF('OD 01-24'!A:A,A216,'OD 01-24'!E:E)</f>
        <v>0</v>
      </c>
      <c r="H216" s="14">
        <f t="shared" si="20"/>
        <v>11507.364984000002</v>
      </c>
      <c r="I216" s="14">
        <f t="shared" si="21"/>
        <v>11507.364984000002</v>
      </c>
      <c r="J216" s="8" t="s">
        <v>138</v>
      </c>
      <c r="K216" s="9" t="s">
        <v>509</v>
      </c>
    </row>
    <row r="217" spans="1:11" s="9" customFormat="1" ht="11.25" x14ac:dyDescent="0.2">
      <c r="A217" s="10">
        <v>60110310</v>
      </c>
      <c r="B217" s="10" t="s">
        <v>141</v>
      </c>
      <c r="C217" s="11">
        <v>0</v>
      </c>
      <c r="D217" s="11">
        <v>0</v>
      </c>
      <c r="E217" s="11">
        <v>0</v>
      </c>
      <c r="F217" s="13">
        <f>SUMIF('OD 01-24'!A:A,A217,'OD 01-24'!D:D)</f>
        <v>0</v>
      </c>
      <c r="G217" s="13">
        <f>SUMIF('OD 01-24'!A:A,A217,'OD 01-24'!E:E)</f>
        <v>0</v>
      </c>
      <c r="H217" s="14">
        <f t="shared" si="20"/>
        <v>0</v>
      </c>
      <c r="I217" s="14">
        <f t="shared" si="21"/>
        <v>0</v>
      </c>
      <c r="J217" s="8" t="s">
        <v>138</v>
      </c>
      <c r="K217" s="9" t="s">
        <v>509</v>
      </c>
    </row>
    <row r="218" spans="1:11" s="9" customFormat="1" ht="11.25" x14ac:dyDescent="0.2">
      <c r="A218" s="10">
        <v>60110320</v>
      </c>
      <c r="B218" s="10" t="s">
        <v>142</v>
      </c>
      <c r="C218" s="11">
        <v>0</v>
      </c>
      <c r="D218" s="11">
        <v>11277.705238</v>
      </c>
      <c r="E218" s="11">
        <v>0</v>
      </c>
      <c r="F218" s="13">
        <f>SUMIF('OD 01-24'!A:A,A218,'OD 01-24'!D:D)</f>
        <v>0</v>
      </c>
      <c r="G218" s="13">
        <f>SUMIF('OD 01-24'!A:A,A218,'OD 01-24'!E:E)</f>
        <v>0</v>
      </c>
      <c r="H218" s="14">
        <f t="shared" ref="H218" si="22">+D218+F218-E218-G218</f>
        <v>11277.705238</v>
      </c>
      <c r="I218" s="14">
        <f t="shared" ref="I218" si="23">+H218+C218</f>
        <v>11277.705238</v>
      </c>
      <c r="J218" s="8" t="s">
        <v>138</v>
      </c>
      <c r="K218" s="9" t="s">
        <v>509</v>
      </c>
    </row>
    <row r="219" spans="1:11" s="9" customFormat="1" ht="11.25" x14ac:dyDescent="0.2">
      <c r="A219" s="10">
        <v>60110330</v>
      </c>
      <c r="B219" s="10" t="s">
        <v>143</v>
      </c>
      <c r="C219" s="11">
        <v>0</v>
      </c>
      <c r="D219" s="11">
        <v>0</v>
      </c>
      <c r="E219" s="11">
        <v>0</v>
      </c>
      <c r="F219" s="13">
        <f>SUMIF('OD 01-24'!A:A,A219,'OD 01-24'!D:D)</f>
        <v>0</v>
      </c>
      <c r="G219" s="13">
        <f>SUMIF('OD 01-24'!A:A,A219,'OD 01-24'!E:E)</f>
        <v>0</v>
      </c>
      <c r="H219" s="14">
        <f t="shared" si="20"/>
        <v>0</v>
      </c>
      <c r="I219" s="14">
        <f t="shared" si="21"/>
        <v>0</v>
      </c>
      <c r="J219" s="8" t="s">
        <v>138</v>
      </c>
      <c r="K219" s="9" t="s">
        <v>509</v>
      </c>
    </row>
    <row r="220" spans="1:11" s="9" customFormat="1" ht="11.25" x14ac:dyDescent="0.2">
      <c r="A220" s="10">
        <v>60110350</v>
      </c>
      <c r="B220" s="10" t="s">
        <v>261</v>
      </c>
      <c r="C220" s="11">
        <v>0</v>
      </c>
      <c r="D220" s="11">
        <v>0</v>
      </c>
      <c r="E220" s="11">
        <v>0</v>
      </c>
      <c r="F220" s="13">
        <f>SUMIF('OD 01-24'!A:A,A220,'OD 01-24'!D:D)</f>
        <v>0</v>
      </c>
      <c r="G220" s="13">
        <f>SUMIF('OD 01-24'!A:A,A220,'OD 01-24'!E:E)</f>
        <v>0</v>
      </c>
      <c r="H220" s="14">
        <f t="shared" si="20"/>
        <v>0</v>
      </c>
      <c r="I220" s="14">
        <f t="shared" si="21"/>
        <v>0</v>
      </c>
      <c r="J220" s="8" t="s">
        <v>138</v>
      </c>
      <c r="K220" s="9" t="s">
        <v>509</v>
      </c>
    </row>
    <row r="221" spans="1:11" s="9" customFormat="1" ht="11.25" x14ac:dyDescent="0.2">
      <c r="A221" s="10">
        <v>60110500</v>
      </c>
      <c r="B221" s="10" t="s">
        <v>144</v>
      </c>
      <c r="C221" s="11">
        <v>0</v>
      </c>
      <c r="D221" s="11">
        <v>0</v>
      </c>
      <c r="E221" s="11">
        <v>0</v>
      </c>
      <c r="F221" s="13">
        <f>SUMIF('OD 01-24'!A:A,A221,'OD 01-24'!D:D)</f>
        <v>3677.7440000000001</v>
      </c>
      <c r="G221" s="13">
        <f>SUMIF('OD 01-24'!A:A,A221,'OD 01-24'!E:E)</f>
        <v>0</v>
      </c>
      <c r="H221" s="14">
        <f t="shared" si="20"/>
        <v>3677.7440000000001</v>
      </c>
      <c r="I221" s="14">
        <f t="shared" si="21"/>
        <v>3677.7440000000001</v>
      </c>
      <c r="J221" s="8" t="s">
        <v>138</v>
      </c>
      <c r="K221" s="9" t="s">
        <v>509</v>
      </c>
    </row>
    <row r="222" spans="1:11" s="9" customFormat="1" ht="11.25" x14ac:dyDescent="0.2">
      <c r="A222" s="10">
        <v>60110600</v>
      </c>
      <c r="B222" s="10" t="s">
        <v>145</v>
      </c>
      <c r="C222" s="11">
        <v>0</v>
      </c>
      <c r="D222" s="11">
        <v>8373.5470000000005</v>
      </c>
      <c r="E222" s="11">
        <v>0</v>
      </c>
      <c r="F222" s="13">
        <f>SUMIF('OD 01-24'!A:A,A222,'OD 01-24'!D:D)</f>
        <v>0</v>
      </c>
      <c r="G222" s="13">
        <f>SUMIF('OD 01-24'!A:A,A222,'OD 01-24'!E:E)</f>
        <v>0</v>
      </c>
      <c r="H222" s="14">
        <f t="shared" si="20"/>
        <v>8373.5470000000005</v>
      </c>
      <c r="I222" s="14">
        <f t="shared" si="21"/>
        <v>8373.5470000000005</v>
      </c>
      <c r="J222" s="8" t="s">
        <v>138</v>
      </c>
      <c r="K222" s="9" t="s">
        <v>509</v>
      </c>
    </row>
    <row r="223" spans="1:11" s="9" customFormat="1" ht="11.25" x14ac:dyDescent="0.2">
      <c r="A223" s="10">
        <v>60110700</v>
      </c>
      <c r="B223" s="10" t="s">
        <v>146</v>
      </c>
      <c r="C223" s="11">
        <v>0</v>
      </c>
      <c r="D223" s="11">
        <v>0</v>
      </c>
      <c r="E223" s="11">
        <v>0</v>
      </c>
      <c r="F223" s="13">
        <f>SUMIF('OD 01-24'!A:A,A223,'OD 01-24'!D:D)</f>
        <v>0</v>
      </c>
      <c r="G223" s="13">
        <f>SUMIF('OD 01-24'!A:A,A223,'OD 01-24'!E:E)</f>
        <v>0</v>
      </c>
      <c r="H223" s="14">
        <f t="shared" si="20"/>
        <v>0</v>
      </c>
      <c r="I223" s="14">
        <f t="shared" si="21"/>
        <v>0</v>
      </c>
      <c r="J223" s="8" t="s">
        <v>138</v>
      </c>
      <c r="K223" s="9" t="s">
        <v>509</v>
      </c>
    </row>
    <row r="224" spans="1:11" s="9" customFormat="1" ht="11.25" x14ac:dyDescent="0.2">
      <c r="A224" s="10">
        <v>60110900</v>
      </c>
      <c r="B224" s="10" t="s">
        <v>147</v>
      </c>
      <c r="C224" s="11">
        <v>0</v>
      </c>
      <c r="D224" s="11">
        <v>11443.501</v>
      </c>
      <c r="E224" s="11">
        <v>0</v>
      </c>
      <c r="F224" s="13">
        <f>SUMIF('OD 01-24'!A:A,A224,'OD 01-24'!D:D)</f>
        <v>3590.55</v>
      </c>
      <c r="G224" s="13">
        <f>SUMIF('OD 01-24'!A:A,A224,'OD 01-24'!E:E)</f>
        <v>0</v>
      </c>
      <c r="H224" s="14">
        <f>+D224+F224-E224-G224</f>
        <v>15034.050999999999</v>
      </c>
      <c r="I224" s="14">
        <f>+H224+C224</f>
        <v>15034.050999999999</v>
      </c>
      <c r="J224" s="8" t="s">
        <v>138</v>
      </c>
      <c r="K224" s="9" t="s">
        <v>509</v>
      </c>
    </row>
    <row r="225" spans="1:11" s="9" customFormat="1" ht="11.25" x14ac:dyDescent="0.2">
      <c r="A225" s="10">
        <v>60110110</v>
      </c>
      <c r="B225" s="10" t="s">
        <v>403</v>
      </c>
      <c r="C225" s="11">
        <v>0</v>
      </c>
      <c r="D225" s="11">
        <v>0</v>
      </c>
      <c r="E225" s="11">
        <v>0</v>
      </c>
      <c r="F225" s="13">
        <f>SUMIF('OD 01-24'!A:A,A225,'OD 01-24'!D:D)</f>
        <v>0</v>
      </c>
      <c r="G225" s="13">
        <f>SUMIF('OD 01-24'!A:A,A225,'OD 01-24'!E:E)</f>
        <v>292718.603</v>
      </c>
      <c r="H225" s="14">
        <f>+D225+F225-E225-G225</f>
        <v>-292718.603</v>
      </c>
      <c r="I225" s="14">
        <f>+H225+C225</f>
        <v>-292718.603</v>
      </c>
      <c r="J225" s="8" t="s">
        <v>138</v>
      </c>
      <c r="K225" s="9" t="s">
        <v>509</v>
      </c>
    </row>
    <row r="226" spans="1:11" s="9" customFormat="1" ht="11.25" x14ac:dyDescent="0.2">
      <c r="A226" s="10">
        <v>60111000</v>
      </c>
      <c r="B226" s="10" t="s">
        <v>148</v>
      </c>
      <c r="C226" s="11">
        <v>0</v>
      </c>
      <c r="D226" s="11">
        <v>0</v>
      </c>
      <c r="E226" s="11">
        <v>0</v>
      </c>
      <c r="F226" s="13">
        <f>SUMIF('OD 01-24'!A:A,A226,'OD 01-24'!D:D)</f>
        <v>0</v>
      </c>
      <c r="G226" s="13">
        <f>SUMIF('OD 01-24'!A:A,A226,'OD 01-24'!E:E)</f>
        <v>0</v>
      </c>
      <c r="H226" s="14">
        <f t="shared" si="20"/>
        <v>0</v>
      </c>
      <c r="I226" s="14">
        <f t="shared" si="21"/>
        <v>0</v>
      </c>
      <c r="J226" s="8" t="s">
        <v>138</v>
      </c>
      <c r="K226" s="9" t="s">
        <v>509</v>
      </c>
    </row>
    <row r="227" spans="1:11" s="9" customFormat="1" ht="11.25" x14ac:dyDescent="0.2">
      <c r="A227" s="10">
        <v>60111010</v>
      </c>
      <c r="B227" s="10" t="s">
        <v>393</v>
      </c>
      <c r="C227" s="11">
        <v>0</v>
      </c>
      <c r="D227" s="11">
        <v>404</v>
      </c>
      <c r="E227" s="11">
        <v>0</v>
      </c>
      <c r="F227" s="13">
        <f>SUMIF('OD 01-24'!A:A,A227,'OD 01-24'!D:D)</f>
        <v>0</v>
      </c>
      <c r="G227" s="13">
        <f>SUMIF('OD 01-24'!A:A,A227,'OD 01-24'!E:E)</f>
        <v>0</v>
      </c>
      <c r="H227" s="14">
        <f t="shared" ref="H227" si="24">+D227+F227-E227-G227</f>
        <v>404</v>
      </c>
      <c r="I227" s="14">
        <f t="shared" ref="I227" si="25">+H227+C227</f>
        <v>404</v>
      </c>
      <c r="J227" s="8" t="s">
        <v>138</v>
      </c>
      <c r="K227" s="9" t="s">
        <v>509</v>
      </c>
    </row>
    <row r="228" spans="1:11" s="9" customFormat="1" ht="11.25" x14ac:dyDescent="0.2">
      <c r="A228" s="10">
        <v>60120100</v>
      </c>
      <c r="B228" s="10" t="s">
        <v>149</v>
      </c>
      <c r="C228" s="11">
        <v>0</v>
      </c>
      <c r="D228" s="11">
        <v>124638.21303499999</v>
      </c>
      <c r="E228" s="11">
        <v>0</v>
      </c>
      <c r="F228" s="13">
        <f>SUMIF('OD 01-24'!A:A,A228,'OD 01-24'!D:D)</f>
        <v>0</v>
      </c>
      <c r="G228" s="13">
        <f>SUMIF('OD 01-24'!A:A,A228,'OD 01-24'!E:E)</f>
        <v>0</v>
      </c>
      <c r="H228" s="14">
        <f t="shared" si="20"/>
        <v>124638.21303499999</v>
      </c>
      <c r="I228" s="14">
        <f t="shared" si="21"/>
        <v>124638.21303499999</v>
      </c>
      <c r="J228" s="8" t="s">
        <v>138</v>
      </c>
      <c r="K228" s="9" t="s">
        <v>509</v>
      </c>
    </row>
    <row r="229" spans="1:11" s="9" customFormat="1" ht="11.25" x14ac:dyDescent="0.2">
      <c r="A229" s="10">
        <v>60120300</v>
      </c>
      <c r="B229" s="10" t="s">
        <v>150</v>
      </c>
      <c r="C229" s="11">
        <v>0</v>
      </c>
      <c r="D229" s="11">
        <v>1118604.17</v>
      </c>
      <c r="E229" s="11">
        <v>0</v>
      </c>
      <c r="F229" s="13">
        <f>SUMIF('OD 01-24'!A:A,A229,'OD 01-24'!D:D)</f>
        <v>115187.1</v>
      </c>
      <c r="G229" s="13">
        <f>SUMIF('OD 01-24'!A:A,A229,'OD 01-24'!E:E)</f>
        <v>0</v>
      </c>
      <c r="H229" s="14">
        <f t="shared" si="20"/>
        <v>1233791.27</v>
      </c>
      <c r="I229" s="14">
        <f t="shared" si="21"/>
        <v>1233791.27</v>
      </c>
      <c r="J229" s="8" t="s">
        <v>138</v>
      </c>
      <c r="K229" s="9" t="s">
        <v>509</v>
      </c>
    </row>
    <row r="230" spans="1:11" s="9" customFormat="1" ht="11.25" x14ac:dyDescent="0.2">
      <c r="A230" s="10">
        <v>60120400</v>
      </c>
      <c r="B230" s="10" t="s">
        <v>365</v>
      </c>
      <c r="C230" s="11">
        <v>0</v>
      </c>
      <c r="D230" s="11">
        <v>21488.5</v>
      </c>
      <c r="E230" s="11">
        <v>0</v>
      </c>
      <c r="F230" s="13">
        <f>SUMIF('OD 01-24'!A:A,A230,'OD 01-24'!D:D)</f>
        <v>0</v>
      </c>
      <c r="G230" s="13">
        <f>SUMIF('OD 01-24'!A:A,A230,'OD 01-24'!E:E)</f>
        <v>0</v>
      </c>
      <c r="H230" s="14">
        <f t="shared" si="20"/>
        <v>21488.5</v>
      </c>
      <c r="I230" s="14">
        <f t="shared" si="21"/>
        <v>21488.5</v>
      </c>
      <c r="J230" s="8" t="s">
        <v>138</v>
      </c>
      <c r="K230" s="9" t="s">
        <v>509</v>
      </c>
    </row>
    <row r="231" spans="1:11" s="9" customFormat="1" ht="11.25" x14ac:dyDescent="0.2">
      <c r="A231" s="10">
        <v>60120800</v>
      </c>
      <c r="B231" s="10" t="s">
        <v>151</v>
      </c>
      <c r="C231" s="11">
        <v>0</v>
      </c>
      <c r="D231" s="11">
        <v>183006.5</v>
      </c>
      <c r="E231" s="11">
        <v>0</v>
      </c>
      <c r="F231" s="13">
        <f>SUMIF('OD 01-24'!A:A,A231,'OD 01-24'!D:D)</f>
        <v>0</v>
      </c>
      <c r="G231" s="13">
        <f>SUMIF('OD 01-24'!A:A,A231,'OD 01-24'!E:E)</f>
        <v>0</v>
      </c>
      <c r="H231" s="14">
        <f t="shared" ref="H231:H237" si="26">+D231+F231-E231-G231</f>
        <v>183006.5</v>
      </c>
      <c r="I231" s="14">
        <f t="shared" ref="I231:I237" si="27">+H231+C231</f>
        <v>183006.5</v>
      </c>
      <c r="J231" s="8" t="s">
        <v>138</v>
      </c>
      <c r="K231" s="9" t="s">
        <v>509</v>
      </c>
    </row>
    <row r="232" spans="1:11" s="9" customFormat="1" ht="11.25" x14ac:dyDescent="0.2">
      <c r="A232" s="10">
        <v>60121010</v>
      </c>
      <c r="B232" s="10" t="s">
        <v>152</v>
      </c>
      <c r="C232" s="11">
        <v>0</v>
      </c>
      <c r="D232" s="11">
        <v>519021.66572199995</v>
      </c>
      <c r="E232" s="11">
        <v>0</v>
      </c>
      <c r="F232" s="13">
        <f>SUMIF('OD 01-24'!A:A,A232,'OD 01-24'!D:D)</f>
        <v>0</v>
      </c>
      <c r="G232" s="13">
        <f>SUMIF('OD 01-24'!A:A,A232,'OD 01-24'!E:E)</f>
        <v>0</v>
      </c>
      <c r="H232" s="14">
        <f t="shared" si="26"/>
        <v>519021.66572199995</v>
      </c>
      <c r="I232" s="14">
        <f t="shared" si="27"/>
        <v>519021.66572199995</v>
      </c>
      <c r="J232" s="8" t="s">
        <v>138</v>
      </c>
      <c r="K232" s="9" t="s">
        <v>509</v>
      </c>
    </row>
    <row r="233" spans="1:11" s="9" customFormat="1" ht="11.25" x14ac:dyDescent="0.2">
      <c r="A233" s="10">
        <v>60121020</v>
      </c>
      <c r="B233" s="10" t="s">
        <v>153</v>
      </c>
      <c r="C233" s="11">
        <v>0</v>
      </c>
      <c r="D233" s="11">
        <v>4664</v>
      </c>
      <c r="E233" s="11">
        <v>4664</v>
      </c>
      <c r="F233" s="13">
        <f>SUMIF('OD 01-24'!A:A,A233,'OD 01-24'!D:D)</f>
        <v>0</v>
      </c>
      <c r="G233" s="13">
        <f>SUMIF('OD 01-24'!A:A,A233,'OD 01-24'!E:E)</f>
        <v>0</v>
      </c>
      <c r="H233" s="14">
        <f t="shared" si="26"/>
        <v>0</v>
      </c>
      <c r="I233" s="14">
        <f t="shared" si="27"/>
        <v>0</v>
      </c>
      <c r="J233" s="8" t="s">
        <v>138</v>
      </c>
      <c r="K233" s="9" t="s">
        <v>509</v>
      </c>
    </row>
    <row r="234" spans="1:11" s="9" customFormat="1" ht="11.25" x14ac:dyDescent="0.2">
      <c r="A234" s="10">
        <v>60121031</v>
      </c>
      <c r="B234" s="10" t="s">
        <v>394</v>
      </c>
      <c r="C234" s="11">
        <v>0</v>
      </c>
      <c r="D234" s="11">
        <v>18282.510000000002</v>
      </c>
      <c r="E234" s="11">
        <v>0</v>
      </c>
      <c r="F234" s="13">
        <f>SUMIF('OD 01-24'!A:A,A234,'OD 01-24'!D:D)</f>
        <v>0</v>
      </c>
      <c r="G234" s="13">
        <f>SUMIF('OD 01-24'!A:A,A234,'OD 01-24'!E:E)</f>
        <v>0</v>
      </c>
      <c r="H234" s="14">
        <f t="shared" si="26"/>
        <v>18282.510000000002</v>
      </c>
      <c r="I234" s="14">
        <f t="shared" si="27"/>
        <v>18282.510000000002</v>
      </c>
      <c r="J234" s="8" t="s">
        <v>138</v>
      </c>
      <c r="K234" s="9" t="s">
        <v>509</v>
      </c>
    </row>
    <row r="235" spans="1:11" s="9" customFormat="1" ht="11.25" x14ac:dyDescent="0.2">
      <c r="A235" s="10">
        <v>60121035</v>
      </c>
      <c r="B235" s="10" t="s">
        <v>395</v>
      </c>
      <c r="C235" s="11">
        <v>0</v>
      </c>
      <c r="D235" s="11">
        <v>726.77100000000007</v>
      </c>
      <c r="E235" s="11">
        <v>0</v>
      </c>
      <c r="F235" s="13">
        <f>SUMIF('OD 01-24'!A:A,A235,'OD 01-24'!D:D)</f>
        <v>0</v>
      </c>
      <c r="G235" s="13">
        <f>SUMIF('OD 01-24'!A:A,A235,'OD 01-24'!E:E)</f>
        <v>0</v>
      </c>
      <c r="H235" s="14">
        <f t="shared" si="26"/>
        <v>726.77100000000007</v>
      </c>
      <c r="I235" s="14">
        <f t="shared" si="27"/>
        <v>726.77100000000007</v>
      </c>
      <c r="J235" s="8" t="s">
        <v>138</v>
      </c>
      <c r="K235" s="9" t="s">
        <v>509</v>
      </c>
    </row>
    <row r="236" spans="1:11" s="9" customFormat="1" ht="11.25" x14ac:dyDescent="0.2">
      <c r="A236" s="10">
        <v>60121500</v>
      </c>
      <c r="B236" s="10" t="s">
        <v>404</v>
      </c>
      <c r="C236" s="11">
        <v>0</v>
      </c>
      <c r="D236" s="11">
        <v>0</v>
      </c>
      <c r="E236" s="11">
        <v>0</v>
      </c>
      <c r="F236" s="13">
        <f>SUMIF('OD 01-24'!A:A,A236,'OD 01-24'!D:D)</f>
        <v>43200</v>
      </c>
      <c r="G236" s="13">
        <f>SUMIF('OD 01-24'!A:A,A236,'OD 01-24'!E:E)</f>
        <v>0</v>
      </c>
      <c r="H236" s="14">
        <f t="shared" ref="H236" si="28">+D236+F236-E236-G236</f>
        <v>43200</v>
      </c>
      <c r="I236" s="14">
        <f t="shared" ref="I236" si="29">+H236+C236</f>
        <v>43200</v>
      </c>
      <c r="J236" s="8" t="s">
        <v>138</v>
      </c>
      <c r="K236" s="9" t="s">
        <v>509</v>
      </c>
    </row>
    <row r="237" spans="1:11" s="9" customFormat="1" ht="11.25" x14ac:dyDescent="0.2">
      <c r="A237" s="10">
        <v>60121600</v>
      </c>
      <c r="B237" s="10" t="s">
        <v>154</v>
      </c>
      <c r="C237" s="11">
        <v>0</v>
      </c>
      <c r="D237" s="11">
        <v>63816</v>
      </c>
      <c r="E237" s="11">
        <v>0</v>
      </c>
      <c r="F237" s="13">
        <f>SUMIF('OD 01-24'!A:A,A237,'OD 01-24'!D:D)</f>
        <v>0</v>
      </c>
      <c r="G237" s="13">
        <f>SUMIF('OD 01-24'!A:A,A237,'OD 01-24'!E:E)</f>
        <v>0</v>
      </c>
      <c r="H237" s="14">
        <f t="shared" si="26"/>
        <v>63816</v>
      </c>
      <c r="I237" s="14">
        <f t="shared" si="27"/>
        <v>63816</v>
      </c>
      <c r="J237" s="8" t="s">
        <v>138</v>
      </c>
      <c r="K237" s="9" t="s">
        <v>509</v>
      </c>
    </row>
    <row r="238" spans="1:11" s="9" customFormat="1" ht="11.25" x14ac:dyDescent="0.2">
      <c r="A238" s="10">
        <v>60122100</v>
      </c>
      <c r="B238" s="10" t="s">
        <v>155</v>
      </c>
      <c r="C238" s="11">
        <v>0</v>
      </c>
      <c r="D238" s="11">
        <v>28350</v>
      </c>
      <c r="E238" s="11">
        <v>0</v>
      </c>
      <c r="F238" s="13">
        <f>SUMIF('OD 01-24'!A:A,A238,'OD 01-24'!D:D)</f>
        <v>0</v>
      </c>
      <c r="G238" s="13">
        <f>SUMIF('OD 01-24'!A:A,A238,'OD 01-24'!E:E)</f>
        <v>0</v>
      </c>
      <c r="H238" s="14">
        <f t="shared" si="20"/>
        <v>28350</v>
      </c>
      <c r="I238" s="14">
        <f t="shared" si="21"/>
        <v>28350</v>
      </c>
      <c r="J238" s="8" t="s">
        <v>138</v>
      </c>
      <c r="K238" s="9" t="s">
        <v>509</v>
      </c>
    </row>
    <row r="239" spans="1:11" s="9" customFormat="1" ht="11.25" x14ac:dyDescent="0.2">
      <c r="A239" s="10">
        <v>60122200</v>
      </c>
      <c r="B239" s="10" t="s">
        <v>156</v>
      </c>
      <c r="C239" s="11">
        <v>0</v>
      </c>
      <c r="D239" s="11">
        <v>0</v>
      </c>
      <c r="E239" s="11">
        <v>0</v>
      </c>
      <c r="F239" s="13">
        <f>SUMIF('OD 01-24'!A:A,A239,'OD 01-24'!D:D)</f>
        <v>0</v>
      </c>
      <c r="G239" s="13">
        <f>SUMIF('OD 01-24'!A:A,A239,'OD 01-24'!E:E)</f>
        <v>0</v>
      </c>
      <c r="H239" s="14">
        <f t="shared" si="20"/>
        <v>0</v>
      </c>
      <c r="I239" s="14">
        <f t="shared" si="21"/>
        <v>0</v>
      </c>
      <c r="J239" s="8" t="s">
        <v>138</v>
      </c>
      <c r="K239" s="9" t="s">
        <v>509</v>
      </c>
    </row>
    <row r="240" spans="1:11" s="9" customFormat="1" ht="11.25" x14ac:dyDescent="0.2">
      <c r="A240" s="10">
        <v>60122410</v>
      </c>
      <c r="B240" s="10" t="s">
        <v>366</v>
      </c>
      <c r="C240" s="11">
        <v>0</v>
      </c>
      <c r="D240" s="11">
        <v>0</v>
      </c>
      <c r="E240" s="11">
        <v>0</v>
      </c>
      <c r="F240" s="13">
        <f>SUMIF('OD 01-24'!A:A,A240,'OD 01-24'!D:D)</f>
        <v>0</v>
      </c>
      <c r="G240" s="13">
        <f>SUMIF('OD 01-24'!A:A,A240,'OD 01-24'!E:E)</f>
        <v>0</v>
      </c>
      <c r="H240" s="14">
        <f t="shared" si="20"/>
        <v>0</v>
      </c>
      <c r="I240" s="14">
        <f t="shared" si="21"/>
        <v>0</v>
      </c>
      <c r="J240" s="8" t="s">
        <v>138</v>
      </c>
      <c r="K240" s="9" t="s">
        <v>509</v>
      </c>
    </row>
    <row r="241" spans="1:11" s="9" customFormat="1" ht="11.25" x14ac:dyDescent="0.2">
      <c r="A241" s="10">
        <v>60122411</v>
      </c>
      <c r="B241" s="10" t="s">
        <v>367</v>
      </c>
      <c r="C241" s="11">
        <v>0</v>
      </c>
      <c r="D241" s="11">
        <v>4748</v>
      </c>
      <c r="E241" s="11">
        <v>0</v>
      </c>
      <c r="F241" s="13">
        <f>SUMIF('OD 01-24'!A:A,A241,'OD 01-24'!D:D)</f>
        <v>474.8</v>
      </c>
      <c r="G241" s="13">
        <f>SUMIF('OD 01-24'!A:A,A241,'OD 01-24'!E:E)</f>
        <v>0</v>
      </c>
      <c r="H241" s="14">
        <f t="shared" si="20"/>
        <v>5222.8</v>
      </c>
      <c r="I241" s="14">
        <f t="shared" si="21"/>
        <v>5222.8</v>
      </c>
      <c r="J241" s="8" t="s">
        <v>138</v>
      </c>
      <c r="K241" s="9" t="s">
        <v>509</v>
      </c>
    </row>
    <row r="242" spans="1:11" s="9" customFormat="1" ht="11.25" x14ac:dyDescent="0.2">
      <c r="A242" s="10">
        <v>60122510</v>
      </c>
      <c r="B242" s="10" t="s">
        <v>368</v>
      </c>
      <c r="C242" s="11">
        <v>0</v>
      </c>
      <c r="D242" s="11">
        <v>2878.1059999999998</v>
      </c>
      <c r="E242" s="11">
        <v>0</v>
      </c>
      <c r="F242" s="13">
        <f>SUMIF('OD 01-24'!A:A,A242,'OD 01-24'!D:D)</f>
        <v>0</v>
      </c>
      <c r="G242" s="13">
        <f>SUMIF('OD 01-24'!A:A,A242,'OD 01-24'!E:E)</f>
        <v>0</v>
      </c>
      <c r="H242" s="14">
        <f t="shared" si="20"/>
        <v>2878.1059999999998</v>
      </c>
      <c r="I242" s="14">
        <f t="shared" si="21"/>
        <v>2878.1059999999998</v>
      </c>
      <c r="J242" s="8" t="s">
        <v>138</v>
      </c>
      <c r="K242" s="9" t="s">
        <v>509</v>
      </c>
    </row>
    <row r="243" spans="1:11" s="9" customFormat="1" ht="11.25" x14ac:dyDescent="0.2">
      <c r="A243" s="10">
        <v>60122520</v>
      </c>
      <c r="B243" s="10" t="s">
        <v>396</v>
      </c>
      <c r="C243" s="11">
        <v>0</v>
      </c>
      <c r="D243" s="11">
        <v>308</v>
      </c>
      <c r="E243" s="11">
        <v>0</v>
      </c>
      <c r="F243" s="13">
        <f>SUMIF('OD 01-24'!A:A,A243,'OD 01-24'!D:D)</f>
        <v>0</v>
      </c>
      <c r="G243" s="13">
        <f>SUMIF('OD 01-24'!A:A,A243,'OD 01-24'!E:E)</f>
        <v>0</v>
      </c>
      <c r="H243" s="14">
        <f t="shared" ref="H243:H244" si="30">+D243+F243-E243-G243</f>
        <v>308</v>
      </c>
      <c r="I243" s="14">
        <f t="shared" ref="I243:I244" si="31">+H243+C243</f>
        <v>308</v>
      </c>
      <c r="J243" s="8" t="s">
        <v>138</v>
      </c>
      <c r="K243" s="9" t="s">
        <v>509</v>
      </c>
    </row>
    <row r="244" spans="1:11" s="9" customFormat="1" ht="11.25" x14ac:dyDescent="0.2">
      <c r="A244" s="10">
        <v>60171000</v>
      </c>
      <c r="B244" s="10" t="s">
        <v>369</v>
      </c>
      <c r="C244" s="11">
        <v>0</v>
      </c>
      <c r="D244" s="11">
        <v>72572.615999999995</v>
      </c>
      <c r="E244" s="11">
        <v>0</v>
      </c>
      <c r="F244" s="13">
        <f>SUMIF('OD 01-24'!A:A,A244,'OD 01-24'!D:D)</f>
        <v>0</v>
      </c>
      <c r="G244" s="13">
        <f>SUMIF('OD 01-24'!A:A,A244,'OD 01-24'!E:E)</f>
        <v>0</v>
      </c>
      <c r="H244" s="14">
        <f t="shared" si="30"/>
        <v>72572.615999999995</v>
      </c>
      <c r="I244" s="14">
        <f t="shared" si="31"/>
        <v>72572.615999999995</v>
      </c>
      <c r="J244" s="8" t="s">
        <v>138</v>
      </c>
      <c r="K244" s="9" t="s">
        <v>509</v>
      </c>
    </row>
    <row r="245" spans="1:11" s="9" customFormat="1" ht="11.25" x14ac:dyDescent="0.2">
      <c r="A245" s="10">
        <v>60172000</v>
      </c>
      <c r="B245" s="10" t="s">
        <v>169</v>
      </c>
      <c r="C245" s="11">
        <v>0</v>
      </c>
      <c r="D245" s="11">
        <v>102074.925</v>
      </c>
      <c r="E245" s="11">
        <v>0</v>
      </c>
      <c r="F245" s="13">
        <f>SUMIF('OD 01-24'!A:A,A245,'OD 01-24'!D:D)</f>
        <v>0</v>
      </c>
      <c r="G245" s="13">
        <f>SUMIF('OD 01-24'!A:A,A245,'OD 01-24'!E:E)</f>
        <v>0</v>
      </c>
      <c r="H245" s="14">
        <f t="shared" si="20"/>
        <v>102074.925</v>
      </c>
      <c r="I245" s="14">
        <f t="shared" si="21"/>
        <v>102074.925</v>
      </c>
      <c r="J245" s="8" t="s">
        <v>138</v>
      </c>
      <c r="K245" s="9" t="s">
        <v>509</v>
      </c>
    </row>
    <row r="246" spans="1:11" s="9" customFormat="1" ht="11.25" x14ac:dyDescent="0.2">
      <c r="A246" s="10">
        <v>60173000</v>
      </c>
      <c r="B246" s="10" t="s">
        <v>170</v>
      </c>
      <c r="C246" s="11">
        <v>0</v>
      </c>
      <c r="D246" s="11">
        <v>8242.1450000000004</v>
      </c>
      <c r="E246" s="11">
        <v>0</v>
      </c>
      <c r="F246" s="13">
        <f>SUMIF('OD 01-24'!A:A,A246,'OD 01-24'!D:D)</f>
        <v>0</v>
      </c>
      <c r="G246" s="13">
        <f>SUMIF('OD 01-24'!A:A,A246,'OD 01-24'!E:E)</f>
        <v>0</v>
      </c>
      <c r="H246" s="14">
        <f t="shared" si="20"/>
        <v>8242.1450000000004</v>
      </c>
      <c r="I246" s="14">
        <f t="shared" si="21"/>
        <v>8242.1450000000004</v>
      </c>
      <c r="J246" s="8" t="s">
        <v>138</v>
      </c>
      <c r="K246" s="9" t="s">
        <v>509</v>
      </c>
    </row>
    <row r="247" spans="1:11" s="9" customFormat="1" ht="11.25" x14ac:dyDescent="0.2">
      <c r="A247" s="10">
        <v>60191000</v>
      </c>
      <c r="B247" s="10" t="s">
        <v>158</v>
      </c>
      <c r="C247" s="11">
        <v>0</v>
      </c>
      <c r="D247" s="11">
        <v>106287.78599999999</v>
      </c>
      <c r="E247" s="11">
        <v>0</v>
      </c>
      <c r="F247" s="13">
        <f>SUMIF('OD 01-24'!A:A,A247,'OD 01-24'!D:D)</f>
        <v>0</v>
      </c>
      <c r="G247" s="13">
        <f>SUMIF('OD 01-24'!A:A,A247,'OD 01-24'!E:E)</f>
        <v>0</v>
      </c>
      <c r="H247" s="14">
        <f t="shared" si="20"/>
        <v>106287.78599999999</v>
      </c>
      <c r="I247" s="14">
        <f t="shared" si="21"/>
        <v>106287.78599999999</v>
      </c>
      <c r="J247" s="8" t="s">
        <v>138</v>
      </c>
      <c r="K247" s="9" t="s">
        <v>509</v>
      </c>
    </row>
    <row r="248" spans="1:11" s="9" customFormat="1" ht="11.25" x14ac:dyDescent="0.2">
      <c r="A248" s="10">
        <v>60215000</v>
      </c>
      <c r="B248" s="10" t="s">
        <v>370</v>
      </c>
      <c r="C248" s="11">
        <v>0</v>
      </c>
      <c r="D248" s="11">
        <v>0</v>
      </c>
      <c r="E248" s="11">
        <v>0</v>
      </c>
      <c r="F248" s="13">
        <f>SUMIF('OD 01-24'!A:A,A248,'OD 01-24'!D:D)</f>
        <v>0</v>
      </c>
      <c r="G248" s="13">
        <f>SUMIF('OD 01-24'!A:A,A248,'OD 01-24'!E:E)</f>
        <v>0</v>
      </c>
      <c r="H248" s="14">
        <f t="shared" si="20"/>
        <v>0</v>
      </c>
      <c r="I248" s="14">
        <f t="shared" si="21"/>
        <v>0</v>
      </c>
      <c r="J248" s="8" t="s">
        <v>138</v>
      </c>
      <c r="K248" s="9" t="s">
        <v>509</v>
      </c>
    </row>
    <row r="249" spans="1:11" s="9" customFormat="1" ht="11.25" x14ac:dyDescent="0.2">
      <c r="A249" s="10">
        <v>60216000</v>
      </c>
      <c r="B249" s="10" t="s">
        <v>371</v>
      </c>
      <c r="C249" s="11">
        <v>0</v>
      </c>
      <c r="D249" s="11">
        <v>0</v>
      </c>
      <c r="E249" s="11">
        <v>0</v>
      </c>
      <c r="F249" s="13">
        <f>SUMIF('OD 01-24'!A:A,A249,'OD 01-24'!D:D)</f>
        <v>0</v>
      </c>
      <c r="G249" s="13">
        <f>SUMIF('OD 01-24'!A:A,A249,'OD 01-24'!E:E)</f>
        <v>0</v>
      </c>
      <c r="H249" s="14">
        <f t="shared" si="20"/>
        <v>0</v>
      </c>
      <c r="I249" s="14">
        <f t="shared" si="21"/>
        <v>0</v>
      </c>
      <c r="J249" s="8" t="s">
        <v>138</v>
      </c>
      <c r="K249" s="9" t="s">
        <v>509</v>
      </c>
    </row>
    <row r="250" spans="1:11" s="9" customFormat="1" ht="11.25" x14ac:dyDescent="0.2">
      <c r="A250" s="10">
        <v>60260200</v>
      </c>
      <c r="B250" s="10" t="s">
        <v>372</v>
      </c>
      <c r="C250" s="11">
        <v>0</v>
      </c>
      <c r="D250" s="11">
        <v>1859.65</v>
      </c>
      <c r="E250" s="11">
        <v>0</v>
      </c>
      <c r="F250" s="13">
        <f>SUMIF('OD 01-24'!A:A,A250,'OD 01-24'!D:D)</f>
        <v>0</v>
      </c>
      <c r="G250" s="13">
        <f>SUMIF('OD 01-24'!A:A,A250,'OD 01-24'!E:E)</f>
        <v>0</v>
      </c>
      <c r="H250" s="14">
        <f t="shared" si="20"/>
        <v>1859.65</v>
      </c>
      <c r="I250" s="14">
        <f t="shared" si="21"/>
        <v>1859.65</v>
      </c>
      <c r="J250" s="8" t="s">
        <v>138</v>
      </c>
      <c r="K250" s="9" t="s">
        <v>509</v>
      </c>
    </row>
    <row r="251" spans="1:11" s="9" customFormat="1" ht="11.25" x14ac:dyDescent="0.2">
      <c r="A251" s="10">
        <v>60260300</v>
      </c>
      <c r="B251" s="10" t="s">
        <v>160</v>
      </c>
      <c r="C251" s="11">
        <v>0</v>
      </c>
      <c r="D251" s="11">
        <v>0</v>
      </c>
      <c r="E251" s="11">
        <v>0</v>
      </c>
      <c r="F251" s="13">
        <f>SUMIF('OD 01-24'!A:A,A251,'OD 01-24'!D:D)</f>
        <v>0</v>
      </c>
      <c r="G251" s="13">
        <f>SUMIF('OD 01-24'!A:A,A251,'OD 01-24'!E:E)</f>
        <v>0</v>
      </c>
      <c r="H251" s="14">
        <f t="shared" si="20"/>
        <v>0</v>
      </c>
      <c r="I251" s="14">
        <f t="shared" si="21"/>
        <v>0</v>
      </c>
      <c r="J251" s="8" t="s">
        <v>138</v>
      </c>
      <c r="K251" s="9" t="s">
        <v>509</v>
      </c>
    </row>
    <row r="252" spans="1:11" s="9" customFormat="1" ht="11.25" x14ac:dyDescent="0.2">
      <c r="A252" s="10">
        <v>60260400</v>
      </c>
      <c r="B252" s="10" t="s">
        <v>161</v>
      </c>
      <c r="C252" s="11">
        <v>0</v>
      </c>
      <c r="D252" s="11">
        <v>6285.6</v>
      </c>
      <c r="E252" s="11">
        <v>0</v>
      </c>
      <c r="F252" s="13">
        <f>SUMIF('OD 01-24'!A:A,A252,'OD 01-24'!D:D)</f>
        <v>0</v>
      </c>
      <c r="G252" s="13">
        <f>SUMIF('OD 01-24'!A:A,A252,'OD 01-24'!E:E)</f>
        <v>0</v>
      </c>
      <c r="H252" s="14">
        <f t="shared" si="20"/>
        <v>6285.6</v>
      </c>
      <c r="I252" s="14">
        <f t="shared" si="21"/>
        <v>6285.6</v>
      </c>
      <c r="J252" s="8" t="s">
        <v>138</v>
      </c>
      <c r="K252" s="9" t="s">
        <v>509</v>
      </c>
    </row>
    <row r="253" spans="1:11" s="9" customFormat="1" ht="11.25" x14ac:dyDescent="0.2">
      <c r="A253" s="10">
        <v>60260500</v>
      </c>
      <c r="B253" s="10" t="s">
        <v>162</v>
      </c>
      <c r="C253" s="11">
        <v>0</v>
      </c>
      <c r="D253" s="11">
        <v>3549</v>
      </c>
      <c r="E253" s="11">
        <v>0</v>
      </c>
      <c r="F253" s="13">
        <f>SUMIF('OD 01-24'!A:A,A253,'OD 01-24'!D:D)</f>
        <v>0</v>
      </c>
      <c r="G253" s="13">
        <f>SUMIF('OD 01-24'!A:A,A253,'OD 01-24'!E:E)</f>
        <v>0</v>
      </c>
      <c r="H253" s="14">
        <f t="shared" si="20"/>
        <v>3549</v>
      </c>
      <c r="I253" s="14">
        <f t="shared" si="21"/>
        <v>3549</v>
      </c>
      <c r="J253" s="8" t="s">
        <v>138</v>
      </c>
      <c r="K253" s="9" t="s">
        <v>509</v>
      </c>
    </row>
    <row r="254" spans="1:11" s="9" customFormat="1" ht="11.25" x14ac:dyDescent="0.2">
      <c r="A254" s="10">
        <v>60260700</v>
      </c>
      <c r="B254" s="10" t="s">
        <v>163</v>
      </c>
      <c r="C254" s="11">
        <v>0</v>
      </c>
      <c r="D254" s="11">
        <v>12660.35</v>
      </c>
      <c r="E254" s="11">
        <v>3368.35</v>
      </c>
      <c r="F254" s="13">
        <f>SUMIF('OD 01-24'!A:A,A254,'OD 01-24'!D:D)</f>
        <v>0</v>
      </c>
      <c r="G254" s="13">
        <f>SUMIF('OD 01-24'!A:A,A254,'OD 01-24'!E:E)</f>
        <v>0</v>
      </c>
      <c r="H254" s="14">
        <f t="shared" si="20"/>
        <v>9292</v>
      </c>
      <c r="I254" s="14">
        <f t="shared" si="21"/>
        <v>9292</v>
      </c>
      <c r="J254" s="8" t="s">
        <v>138</v>
      </c>
      <c r="K254" s="9" t="s">
        <v>509</v>
      </c>
    </row>
    <row r="255" spans="1:11" s="9" customFormat="1" ht="11.25" x14ac:dyDescent="0.2">
      <c r="A255" s="10">
        <v>60262000</v>
      </c>
      <c r="B255" s="10" t="s">
        <v>164</v>
      </c>
      <c r="C255" s="11">
        <v>0</v>
      </c>
      <c r="D255" s="11">
        <v>20576.204734999999</v>
      </c>
      <c r="E255" s="11">
        <v>0</v>
      </c>
      <c r="F255" s="13">
        <f>SUMIF('OD 01-24'!A:A,A255,'OD 01-24'!D:D)</f>
        <v>2250</v>
      </c>
      <c r="G255" s="13">
        <f>SUMIF('OD 01-24'!A:A,A255,'OD 01-24'!E:E)</f>
        <v>0</v>
      </c>
      <c r="H255" s="14">
        <f t="shared" si="20"/>
        <v>22826.204734999999</v>
      </c>
      <c r="I255" s="14">
        <f t="shared" si="21"/>
        <v>22826.204734999999</v>
      </c>
      <c r="J255" s="8" t="s">
        <v>138</v>
      </c>
      <c r="K255" s="9" t="s">
        <v>509</v>
      </c>
    </row>
    <row r="256" spans="1:11" s="9" customFormat="1" ht="11.25" x14ac:dyDescent="0.2">
      <c r="A256" s="10">
        <v>60263000</v>
      </c>
      <c r="B256" s="10" t="s">
        <v>165</v>
      </c>
      <c r="C256" s="11">
        <v>0</v>
      </c>
      <c r="D256" s="11">
        <v>5106.5599999999995</v>
      </c>
      <c r="E256" s="11">
        <v>0</v>
      </c>
      <c r="F256" s="13">
        <f>SUMIF('OD 01-24'!A:A,A256,'OD 01-24'!D:D)</f>
        <v>0</v>
      </c>
      <c r="G256" s="13">
        <f>SUMIF('OD 01-24'!A:A,A256,'OD 01-24'!E:E)</f>
        <v>0</v>
      </c>
      <c r="H256" s="14">
        <f t="shared" si="20"/>
        <v>5106.5599999999995</v>
      </c>
      <c r="I256" s="14">
        <f t="shared" si="21"/>
        <v>5106.5599999999995</v>
      </c>
      <c r="J256" s="8" t="s">
        <v>138</v>
      </c>
      <c r="K256" s="9" t="s">
        <v>509</v>
      </c>
    </row>
    <row r="257" spans="1:11" s="9" customFormat="1" ht="11.25" x14ac:dyDescent="0.2">
      <c r="A257" s="10">
        <v>60310000</v>
      </c>
      <c r="B257" s="10" t="s">
        <v>265</v>
      </c>
      <c r="C257" s="11">
        <v>0</v>
      </c>
      <c r="D257" s="11">
        <v>0</v>
      </c>
      <c r="E257" s="11">
        <v>0</v>
      </c>
      <c r="F257" s="13">
        <f>SUMIF('OD 01-24'!A:A,A257,'OD 01-24'!D:D)</f>
        <v>9812793.6227000002</v>
      </c>
      <c r="G257" s="13">
        <f>SUMIF('OD 01-24'!A:A,A257,'OD 01-24'!E:E)</f>
        <v>9671178.2540000007</v>
      </c>
      <c r="H257" s="14">
        <f t="shared" si="20"/>
        <v>141615.36869999953</v>
      </c>
      <c r="I257" s="14">
        <f t="shared" si="21"/>
        <v>141615.36869999953</v>
      </c>
      <c r="J257" s="8" t="s">
        <v>138</v>
      </c>
      <c r="K257" s="9" t="s">
        <v>509</v>
      </c>
    </row>
    <row r="258" spans="1:11" s="9" customFormat="1" ht="11.25" x14ac:dyDescent="0.2">
      <c r="A258" s="10">
        <v>60330000</v>
      </c>
      <c r="B258" s="10" t="s">
        <v>266</v>
      </c>
      <c r="C258" s="11">
        <v>0</v>
      </c>
      <c r="D258" s="11">
        <v>0</v>
      </c>
      <c r="E258" s="11">
        <v>0</v>
      </c>
      <c r="F258" s="13">
        <f>SUMIF('OD 01-24'!A:A,A258,'OD 01-24'!D:D)</f>
        <v>662156.42949999997</v>
      </c>
      <c r="G258" s="13">
        <f>SUMIF('OD 01-24'!A:A,A258,'OD 01-24'!E:E)</f>
        <v>694061.88800000004</v>
      </c>
      <c r="H258" s="14">
        <f t="shared" si="20"/>
        <v>-31905.458500000066</v>
      </c>
      <c r="I258" s="14">
        <f t="shared" si="21"/>
        <v>-31905.458500000066</v>
      </c>
      <c r="J258" s="8" t="s">
        <v>157</v>
      </c>
      <c r="K258" s="9" t="s">
        <v>512</v>
      </c>
    </row>
    <row r="259" spans="1:11" s="9" customFormat="1" ht="11.25" x14ac:dyDescent="0.2">
      <c r="A259" s="10">
        <v>60401000</v>
      </c>
      <c r="B259" s="10" t="s">
        <v>166</v>
      </c>
      <c r="C259" s="11">
        <v>0</v>
      </c>
      <c r="D259" s="11">
        <v>0</v>
      </c>
      <c r="E259" s="11">
        <v>0</v>
      </c>
      <c r="F259" s="13">
        <f>SUMIF('OD 01-24'!A:A,A259,'OD 01-24'!D:D)</f>
        <v>22916.667000000001</v>
      </c>
      <c r="G259" s="13">
        <f>SUMIF('OD 01-24'!A:A,A259,'OD 01-24'!E:E)</f>
        <v>0</v>
      </c>
      <c r="H259" s="14">
        <f t="shared" ref="H259" si="32">+D259+F259-E259-G259</f>
        <v>22916.667000000001</v>
      </c>
      <c r="I259" s="14">
        <f t="shared" ref="I259" si="33">+H259+C259</f>
        <v>22916.667000000001</v>
      </c>
      <c r="J259" s="8" t="s">
        <v>157</v>
      </c>
      <c r="K259" s="9" t="s">
        <v>512</v>
      </c>
    </row>
    <row r="260" spans="1:11" s="9" customFormat="1" ht="11.25" x14ac:dyDescent="0.2">
      <c r="A260" s="10">
        <v>60502000</v>
      </c>
      <c r="B260" s="10" t="s">
        <v>167</v>
      </c>
      <c r="C260" s="11">
        <v>0</v>
      </c>
      <c r="D260" s="11">
        <v>36084.827999999994</v>
      </c>
      <c r="E260" s="11">
        <v>24737.612999999998</v>
      </c>
      <c r="F260" s="13">
        <f>SUMIF('OD 01-24'!A:A,A260,'OD 01-24'!D:D)</f>
        <v>14236.486999999999</v>
      </c>
      <c r="G260" s="13">
        <f>SUMIF('OD 01-24'!A:A,A260,'OD 01-24'!E:E)</f>
        <v>0</v>
      </c>
      <c r="H260" s="14">
        <f t="shared" ref="H260:H263" si="34">+D260+F260-E260-G260</f>
        <v>25583.701999999997</v>
      </c>
      <c r="I260" s="14">
        <f t="shared" ref="I260:I263" si="35">+H260+C260</f>
        <v>25583.701999999997</v>
      </c>
      <c r="J260" s="8" t="s">
        <v>157</v>
      </c>
      <c r="K260" s="9" t="s">
        <v>512</v>
      </c>
    </row>
    <row r="261" spans="1:11" s="9" customFormat="1" ht="11.25" x14ac:dyDescent="0.2">
      <c r="A261" s="10">
        <v>60504000</v>
      </c>
      <c r="B261" s="10" t="s">
        <v>168</v>
      </c>
      <c r="C261" s="11">
        <v>0</v>
      </c>
      <c r="D261" s="11">
        <v>1360</v>
      </c>
      <c r="E261" s="11">
        <v>0</v>
      </c>
      <c r="F261" s="13">
        <f>SUMIF('OD 01-24'!A:A,A261,'OD 01-24'!D:D)</f>
        <v>0</v>
      </c>
      <c r="G261" s="13">
        <f>SUMIF('OD 01-24'!A:A,A261,'OD 01-24'!E:E)</f>
        <v>0</v>
      </c>
      <c r="H261" s="14">
        <f t="shared" si="34"/>
        <v>1360</v>
      </c>
      <c r="I261" s="14">
        <f t="shared" si="35"/>
        <v>1360</v>
      </c>
      <c r="J261" s="8" t="s">
        <v>157</v>
      </c>
      <c r="K261" s="9" t="s">
        <v>512</v>
      </c>
    </row>
    <row r="262" spans="1:11" s="9" customFormat="1" ht="11.25" x14ac:dyDescent="0.2">
      <c r="A262" s="10">
        <v>60614000</v>
      </c>
      <c r="B262" s="10" t="s">
        <v>171</v>
      </c>
      <c r="C262" s="11">
        <v>0</v>
      </c>
      <c r="D262" s="11">
        <v>23889.333999999999</v>
      </c>
      <c r="E262" s="11">
        <v>0</v>
      </c>
      <c r="F262" s="13">
        <f>SUMIF('OD 01-24'!A:A,A262,'OD 01-24'!D:D)</f>
        <v>0</v>
      </c>
      <c r="G262" s="13">
        <f>SUMIF('OD 01-24'!A:A,A262,'OD 01-24'!E:E)</f>
        <v>0</v>
      </c>
      <c r="H262" s="14">
        <f t="shared" si="34"/>
        <v>23889.333999999999</v>
      </c>
      <c r="I262" s="14">
        <f t="shared" si="35"/>
        <v>23889.333999999999</v>
      </c>
      <c r="J262" s="8" t="s">
        <v>157</v>
      </c>
      <c r="K262" s="9" t="s">
        <v>512</v>
      </c>
    </row>
    <row r="263" spans="1:11" s="9" customFormat="1" ht="11.25" x14ac:dyDescent="0.2">
      <c r="A263" s="10">
        <v>60620000</v>
      </c>
      <c r="B263" s="10" t="s">
        <v>172</v>
      </c>
      <c r="C263" s="11">
        <v>0</v>
      </c>
      <c r="D263" s="11">
        <v>3143.7040000000002</v>
      </c>
      <c r="E263" s="11">
        <v>0</v>
      </c>
      <c r="F263" s="13">
        <f>SUMIF('OD 01-24'!A:A,A263,'OD 01-24'!D:D)</f>
        <v>443</v>
      </c>
      <c r="G263" s="13">
        <f>SUMIF('OD 01-24'!A:A,A263,'OD 01-24'!E:E)</f>
        <v>0</v>
      </c>
      <c r="H263" s="14">
        <f t="shared" si="34"/>
        <v>3586.7040000000002</v>
      </c>
      <c r="I263" s="14">
        <f t="shared" si="35"/>
        <v>3586.7040000000002</v>
      </c>
      <c r="J263" s="8" t="s">
        <v>157</v>
      </c>
      <c r="K263" s="9" t="s">
        <v>512</v>
      </c>
    </row>
    <row r="264" spans="1:11" s="9" customFormat="1" ht="11.25" x14ac:dyDescent="0.2">
      <c r="A264" s="10">
        <v>60650000</v>
      </c>
      <c r="B264" s="10" t="s">
        <v>373</v>
      </c>
      <c r="C264" s="11">
        <v>0</v>
      </c>
      <c r="D264" s="11">
        <v>0</v>
      </c>
      <c r="E264" s="11">
        <v>0</v>
      </c>
      <c r="F264" s="13">
        <f>SUMIF('OD 01-24'!A:A,A264,'OD 01-24'!D:D)</f>
        <v>0</v>
      </c>
      <c r="G264" s="13">
        <f>SUMIF('OD 01-24'!A:A,A264,'OD 01-24'!E:E)</f>
        <v>0</v>
      </c>
      <c r="H264" s="14">
        <f t="shared" si="20"/>
        <v>0</v>
      </c>
      <c r="I264" s="14">
        <f t="shared" si="21"/>
        <v>0</v>
      </c>
      <c r="J264" s="8" t="s">
        <v>138</v>
      </c>
      <c r="K264" s="9" t="s">
        <v>509</v>
      </c>
    </row>
    <row r="265" spans="1:11" s="9" customFormat="1" ht="11.25" x14ac:dyDescent="0.2">
      <c r="A265" s="10">
        <v>60660000</v>
      </c>
      <c r="B265" s="10" t="s">
        <v>173</v>
      </c>
      <c r="C265" s="11">
        <v>0</v>
      </c>
      <c r="D265" s="11">
        <v>747.3</v>
      </c>
      <c r="E265" s="11">
        <v>0</v>
      </c>
      <c r="F265" s="13">
        <f>SUMIF('OD 01-24'!A:A,A265,'OD 01-24'!D:D)</f>
        <v>0</v>
      </c>
      <c r="G265" s="13">
        <f>SUMIF('OD 01-24'!A:A,A265,'OD 01-24'!E:E)</f>
        <v>0</v>
      </c>
      <c r="H265" s="14">
        <f t="shared" si="20"/>
        <v>747.3</v>
      </c>
      <c r="I265" s="14">
        <f t="shared" si="21"/>
        <v>747.3</v>
      </c>
      <c r="J265" s="8" t="s">
        <v>157</v>
      </c>
      <c r="K265" s="9" t="s">
        <v>512</v>
      </c>
    </row>
    <row r="266" spans="1:11" s="9" customFormat="1" ht="11.25" x14ac:dyDescent="0.2">
      <c r="A266" s="10">
        <v>60670000</v>
      </c>
      <c r="B266" s="10" t="s">
        <v>174</v>
      </c>
      <c r="C266" s="11">
        <v>0</v>
      </c>
      <c r="D266" s="11">
        <v>2063.7599999999998</v>
      </c>
      <c r="E266" s="11">
        <v>0</v>
      </c>
      <c r="F266" s="13">
        <f>SUMIF('OD 01-24'!A:A,A266,'OD 01-24'!D:D)</f>
        <v>0</v>
      </c>
      <c r="G266" s="13">
        <f>SUMIF('OD 01-24'!A:A,A266,'OD 01-24'!E:E)</f>
        <v>0</v>
      </c>
      <c r="H266" s="14">
        <f t="shared" si="20"/>
        <v>2063.7599999999998</v>
      </c>
      <c r="I266" s="14">
        <f t="shared" si="21"/>
        <v>2063.7599999999998</v>
      </c>
      <c r="J266" s="8" t="s">
        <v>157</v>
      </c>
      <c r="K266" s="9" t="s">
        <v>512</v>
      </c>
    </row>
    <row r="267" spans="1:11" s="9" customFormat="1" ht="11.25" x14ac:dyDescent="0.2">
      <c r="A267" s="10">
        <v>60671000</v>
      </c>
      <c r="B267" s="10" t="s">
        <v>374</v>
      </c>
      <c r="C267" s="11">
        <v>0</v>
      </c>
      <c r="D267" s="11">
        <v>25454.258999999998</v>
      </c>
      <c r="E267" s="11">
        <v>0</v>
      </c>
      <c r="F267" s="13">
        <f>SUMIF('OD 01-24'!A:A,A267,'OD 01-24'!D:D)</f>
        <v>0</v>
      </c>
      <c r="G267" s="13">
        <f>SUMIF('OD 01-24'!A:A,A267,'OD 01-24'!E:E)</f>
        <v>0</v>
      </c>
      <c r="H267" s="14">
        <f t="shared" si="20"/>
        <v>25454.258999999998</v>
      </c>
      <c r="I267" s="14">
        <f t="shared" si="21"/>
        <v>25454.258999999998</v>
      </c>
      <c r="J267" s="8" t="s">
        <v>157</v>
      </c>
      <c r="K267" s="9" t="s">
        <v>512</v>
      </c>
    </row>
    <row r="268" spans="1:11" s="9" customFormat="1" ht="11.25" x14ac:dyDescent="0.2">
      <c r="A268" s="10">
        <v>61400000</v>
      </c>
      <c r="B268" s="10" t="s">
        <v>175</v>
      </c>
      <c r="C268" s="11">
        <v>0</v>
      </c>
      <c r="D268" s="11">
        <v>2580</v>
      </c>
      <c r="E268" s="11">
        <v>0</v>
      </c>
      <c r="F268" s="13">
        <f>SUMIF('OD 01-24'!A:A,A268,'OD 01-24'!D:D)</f>
        <v>0</v>
      </c>
      <c r="G268" s="13">
        <f>SUMIF('OD 01-24'!A:A,A268,'OD 01-24'!E:E)</f>
        <v>0</v>
      </c>
      <c r="H268" s="14">
        <f t="shared" si="20"/>
        <v>2580</v>
      </c>
      <c r="I268" s="14">
        <f t="shared" si="21"/>
        <v>2580</v>
      </c>
      <c r="J268" s="8" t="s">
        <v>157</v>
      </c>
      <c r="K268" s="9" t="s">
        <v>512</v>
      </c>
    </row>
    <row r="269" spans="1:11" s="9" customFormat="1" ht="11.25" x14ac:dyDescent="0.2">
      <c r="A269" s="10">
        <v>61500000</v>
      </c>
      <c r="B269" s="10" t="s">
        <v>176</v>
      </c>
      <c r="C269" s="11">
        <v>0</v>
      </c>
      <c r="D269" s="11">
        <v>38131.117000000006</v>
      </c>
      <c r="E269" s="11">
        <v>1575.6</v>
      </c>
      <c r="F269" s="13">
        <f>SUMIF('OD 01-24'!A:A,A269,'OD 01-24'!D:D)</f>
        <v>11849.991</v>
      </c>
      <c r="G269" s="13">
        <f>SUMIF('OD 01-24'!A:A,A269,'OD 01-24'!E:E)</f>
        <v>0</v>
      </c>
      <c r="H269" s="14">
        <f t="shared" ref="H269:H285" si="36">+D269+F269-E269-G269</f>
        <v>48405.508000000009</v>
      </c>
      <c r="I269" s="14">
        <f t="shared" ref="I269:I285" si="37">+H269+C269</f>
        <v>48405.508000000009</v>
      </c>
      <c r="J269" s="8" t="s">
        <v>157</v>
      </c>
      <c r="K269" s="9" t="s">
        <v>512</v>
      </c>
    </row>
    <row r="270" spans="1:11" s="9" customFormat="1" ht="11.25" x14ac:dyDescent="0.2">
      <c r="A270" s="10">
        <v>61501000</v>
      </c>
      <c r="B270" s="10" t="s">
        <v>177</v>
      </c>
      <c r="C270" s="11">
        <v>0</v>
      </c>
      <c r="D270" s="11">
        <v>11375.592000000001</v>
      </c>
      <c r="E270" s="11">
        <v>0</v>
      </c>
      <c r="F270" s="13">
        <f>SUMIF('OD 01-24'!A:A,A270,'OD 01-24'!D:D)</f>
        <v>0</v>
      </c>
      <c r="G270" s="13">
        <f>SUMIF('OD 01-24'!A:A,A270,'OD 01-24'!E:E)</f>
        <v>0</v>
      </c>
      <c r="H270" s="14">
        <f t="shared" si="36"/>
        <v>11375.592000000001</v>
      </c>
      <c r="I270" s="14">
        <f t="shared" si="37"/>
        <v>11375.592000000001</v>
      </c>
      <c r="J270" s="8" t="s">
        <v>157</v>
      </c>
      <c r="K270" s="9" t="s">
        <v>512</v>
      </c>
    </row>
    <row r="271" spans="1:11" s="9" customFormat="1" ht="11.25" x14ac:dyDescent="0.2">
      <c r="A271" s="10">
        <v>61600000</v>
      </c>
      <c r="B271" s="10" t="s">
        <v>397</v>
      </c>
      <c r="C271" s="11">
        <v>0</v>
      </c>
      <c r="D271" s="11">
        <v>14972.4</v>
      </c>
      <c r="E271" s="11">
        <v>0</v>
      </c>
      <c r="F271" s="13">
        <f>SUMIF('OD 01-24'!A:A,A271,'OD 01-24'!D:D)</f>
        <v>1227.5999999999999</v>
      </c>
      <c r="G271" s="13">
        <f>SUMIF('OD 01-24'!A:A,A271,'OD 01-24'!E:E)</f>
        <v>0</v>
      </c>
      <c r="H271" s="14">
        <f t="shared" si="36"/>
        <v>16200</v>
      </c>
      <c r="I271" s="14">
        <f t="shared" si="37"/>
        <v>16200</v>
      </c>
      <c r="J271" s="8" t="s">
        <v>157</v>
      </c>
      <c r="K271" s="9" t="s">
        <v>512</v>
      </c>
    </row>
    <row r="272" spans="1:11" s="9" customFormat="1" ht="11.25" x14ac:dyDescent="0.2">
      <c r="A272" s="10">
        <v>61603000</v>
      </c>
      <c r="B272" s="10" t="s">
        <v>178</v>
      </c>
      <c r="C272" s="11">
        <v>0</v>
      </c>
      <c r="D272" s="11">
        <v>0</v>
      </c>
      <c r="E272" s="11">
        <v>0</v>
      </c>
      <c r="F272" s="13">
        <f>SUMIF('OD 01-24'!A:A,A272,'OD 01-24'!D:D)</f>
        <v>2359.1680000000001</v>
      </c>
      <c r="G272" s="13">
        <f>SUMIF('OD 01-24'!A:A,A272,'OD 01-24'!E:E)</f>
        <v>0</v>
      </c>
      <c r="H272" s="14">
        <f t="shared" si="36"/>
        <v>2359.1680000000001</v>
      </c>
      <c r="I272" s="14">
        <f t="shared" si="37"/>
        <v>2359.1680000000001</v>
      </c>
      <c r="J272" s="8" t="s">
        <v>157</v>
      </c>
      <c r="K272" s="9" t="s">
        <v>512</v>
      </c>
    </row>
    <row r="273" spans="1:11" s="9" customFormat="1" ht="11.25" x14ac:dyDescent="0.2">
      <c r="A273" s="10">
        <v>61607000</v>
      </c>
      <c r="B273" s="10" t="s">
        <v>179</v>
      </c>
      <c r="C273" s="11">
        <v>0</v>
      </c>
      <c r="D273" s="11">
        <v>0</v>
      </c>
      <c r="E273" s="11">
        <v>0</v>
      </c>
      <c r="F273" s="13">
        <f>SUMIF('OD 01-24'!A:A,A273,'OD 01-24'!D:D)</f>
        <v>0</v>
      </c>
      <c r="G273" s="13">
        <f>SUMIF('OD 01-24'!A:A,A273,'OD 01-24'!E:E)</f>
        <v>0</v>
      </c>
      <c r="H273" s="14">
        <f t="shared" si="36"/>
        <v>0</v>
      </c>
      <c r="I273" s="14">
        <f t="shared" si="37"/>
        <v>0</v>
      </c>
      <c r="J273" s="8" t="s">
        <v>157</v>
      </c>
      <c r="K273" s="9" t="s">
        <v>512</v>
      </c>
    </row>
    <row r="274" spans="1:11" s="9" customFormat="1" ht="11.25" x14ac:dyDescent="0.2">
      <c r="A274" s="10">
        <v>62120000</v>
      </c>
      <c r="B274" s="10" t="s">
        <v>180</v>
      </c>
      <c r="C274" s="11">
        <v>0</v>
      </c>
      <c r="D274" s="11">
        <v>5222.7800000000007</v>
      </c>
      <c r="E274" s="11">
        <v>0</v>
      </c>
      <c r="F274" s="13">
        <f>SUMIF('OD 01-24'!A:A,A274,'OD 01-24'!D:D)</f>
        <v>0</v>
      </c>
      <c r="G274" s="13">
        <f>SUMIF('OD 01-24'!A:A,A274,'OD 01-24'!E:E)</f>
        <v>0</v>
      </c>
      <c r="H274" s="14">
        <f t="shared" si="36"/>
        <v>5222.7800000000007</v>
      </c>
      <c r="I274" s="14">
        <f t="shared" si="37"/>
        <v>5222.7800000000007</v>
      </c>
      <c r="J274" s="8" t="s">
        <v>157</v>
      </c>
      <c r="K274" s="9" t="s">
        <v>512</v>
      </c>
    </row>
    <row r="275" spans="1:11" s="9" customFormat="1" ht="11.25" x14ac:dyDescent="0.2">
      <c r="A275" s="10">
        <v>62200000</v>
      </c>
      <c r="B275" s="10" t="s">
        <v>181</v>
      </c>
      <c r="C275" s="11">
        <v>0</v>
      </c>
      <c r="D275" s="11">
        <v>20529.16</v>
      </c>
      <c r="E275" s="11">
        <v>0</v>
      </c>
      <c r="F275" s="13">
        <f>SUMIF('OD 01-24'!A:A,A275,'OD 01-24'!D:D)</f>
        <v>0</v>
      </c>
      <c r="G275" s="13">
        <f>SUMIF('OD 01-24'!A:A,A275,'OD 01-24'!E:E)</f>
        <v>0</v>
      </c>
      <c r="H275" s="14">
        <f t="shared" si="36"/>
        <v>20529.16</v>
      </c>
      <c r="I275" s="14">
        <f t="shared" si="37"/>
        <v>20529.16</v>
      </c>
      <c r="J275" s="8" t="s">
        <v>157</v>
      </c>
      <c r="K275" s="9" t="s">
        <v>512</v>
      </c>
    </row>
    <row r="276" spans="1:11" s="9" customFormat="1" ht="11.25" x14ac:dyDescent="0.2">
      <c r="A276" s="10">
        <v>62210000</v>
      </c>
      <c r="B276" s="10" t="s">
        <v>398</v>
      </c>
      <c r="C276" s="11">
        <v>0</v>
      </c>
      <c r="D276" s="11">
        <v>7600</v>
      </c>
      <c r="E276" s="11">
        <v>0</v>
      </c>
      <c r="F276" s="13">
        <f>SUMIF('OD 01-24'!A:A,A276,'OD 01-24'!D:D)</f>
        <v>0</v>
      </c>
      <c r="G276" s="13">
        <f>SUMIF('OD 01-24'!A:A,A276,'OD 01-24'!E:E)</f>
        <v>0</v>
      </c>
      <c r="H276" s="14">
        <f t="shared" si="36"/>
        <v>7600</v>
      </c>
      <c r="I276" s="14">
        <f t="shared" si="37"/>
        <v>7600</v>
      </c>
      <c r="J276" s="8" t="s">
        <v>157</v>
      </c>
      <c r="K276" s="9" t="s">
        <v>512</v>
      </c>
    </row>
    <row r="277" spans="1:11" s="9" customFormat="1" ht="11.25" x14ac:dyDescent="0.2">
      <c r="A277" s="10">
        <v>62230000</v>
      </c>
      <c r="B277" s="10" t="s">
        <v>375</v>
      </c>
      <c r="C277" s="11">
        <v>0</v>
      </c>
      <c r="D277" s="11">
        <v>2629.6</v>
      </c>
      <c r="E277" s="11">
        <v>0</v>
      </c>
      <c r="F277" s="13">
        <f>SUMIF('OD 01-24'!A:A,A277,'OD 01-24'!D:D)</f>
        <v>0</v>
      </c>
      <c r="G277" s="13">
        <f>SUMIF('OD 01-24'!A:A,A277,'OD 01-24'!E:E)</f>
        <v>0</v>
      </c>
      <c r="H277" s="14">
        <f t="shared" si="36"/>
        <v>2629.6</v>
      </c>
      <c r="I277" s="14">
        <f t="shared" si="37"/>
        <v>2629.6</v>
      </c>
      <c r="J277" s="8" t="s">
        <v>157</v>
      </c>
      <c r="K277" s="9" t="s">
        <v>512</v>
      </c>
    </row>
    <row r="278" spans="1:11" s="9" customFormat="1" ht="11.25" x14ac:dyDescent="0.2">
      <c r="A278" s="10">
        <v>62240000</v>
      </c>
      <c r="B278" s="10" t="s">
        <v>267</v>
      </c>
      <c r="C278" s="11">
        <v>0</v>
      </c>
      <c r="D278" s="11">
        <v>48857.8</v>
      </c>
      <c r="E278" s="11">
        <v>0</v>
      </c>
      <c r="F278" s="13">
        <f>SUMIF('OD 01-24'!A:A,A278,'OD 01-24'!D:D)</f>
        <v>0</v>
      </c>
      <c r="G278" s="13">
        <f>SUMIF('OD 01-24'!A:A,A278,'OD 01-24'!E:E)</f>
        <v>42861.317000000003</v>
      </c>
      <c r="H278" s="14">
        <f t="shared" si="36"/>
        <v>5996.4830000000002</v>
      </c>
      <c r="I278" s="14">
        <f t="shared" si="37"/>
        <v>5996.4830000000002</v>
      </c>
      <c r="J278" s="8" t="s">
        <v>157</v>
      </c>
      <c r="K278" s="9" t="s">
        <v>512</v>
      </c>
    </row>
    <row r="279" spans="1:11" s="9" customFormat="1" ht="11.25" x14ac:dyDescent="0.2">
      <c r="A279" s="10">
        <v>62250000</v>
      </c>
      <c r="B279" s="10" t="s">
        <v>268</v>
      </c>
      <c r="C279" s="11">
        <v>0</v>
      </c>
      <c r="D279" s="11">
        <v>0</v>
      </c>
      <c r="E279" s="11">
        <v>0</v>
      </c>
      <c r="F279" s="13">
        <f>SUMIF('OD 01-24'!A:A,A279,'OD 01-24'!D:D)</f>
        <v>2500</v>
      </c>
      <c r="G279" s="13">
        <f>SUMIF('OD 01-24'!A:A,A279,'OD 01-24'!E:E)</f>
        <v>0</v>
      </c>
      <c r="H279" s="14">
        <f t="shared" si="36"/>
        <v>2500</v>
      </c>
      <c r="I279" s="14">
        <f t="shared" si="37"/>
        <v>2500</v>
      </c>
      <c r="J279" s="8" t="s">
        <v>157</v>
      </c>
      <c r="K279" s="9" t="s">
        <v>512</v>
      </c>
    </row>
    <row r="280" spans="1:11" s="9" customFormat="1" ht="11.25" x14ac:dyDescent="0.2">
      <c r="A280" s="10">
        <v>62270000</v>
      </c>
      <c r="B280" s="10" t="s">
        <v>399</v>
      </c>
      <c r="C280" s="11">
        <v>0</v>
      </c>
      <c r="D280" s="11">
        <v>64.486000000000004</v>
      </c>
      <c r="E280" s="11">
        <v>0</v>
      </c>
      <c r="F280" s="13">
        <f>SUMIF('OD 01-24'!A:A,A280,'OD 01-24'!D:D)</f>
        <v>0</v>
      </c>
      <c r="G280" s="13">
        <f>SUMIF('OD 01-24'!A:A,A280,'OD 01-24'!E:E)</f>
        <v>0</v>
      </c>
      <c r="H280" s="14">
        <f t="shared" si="36"/>
        <v>64.486000000000004</v>
      </c>
      <c r="I280" s="14">
        <f t="shared" si="37"/>
        <v>64.486000000000004</v>
      </c>
      <c r="J280" s="8" t="s">
        <v>157</v>
      </c>
      <c r="K280" s="9" t="s">
        <v>512</v>
      </c>
    </row>
    <row r="281" spans="1:11" s="9" customFormat="1" ht="11.25" x14ac:dyDescent="0.2">
      <c r="A281" s="10">
        <v>62300000</v>
      </c>
      <c r="B281" s="10" t="s">
        <v>182</v>
      </c>
      <c r="C281" s="11">
        <v>0</v>
      </c>
      <c r="D281" s="11">
        <v>0</v>
      </c>
      <c r="E281" s="11">
        <v>0</v>
      </c>
      <c r="F281" s="13">
        <f>SUMIF('OD 01-24'!A:A,A281,'OD 01-24'!D:D)</f>
        <v>11500</v>
      </c>
      <c r="G281" s="13">
        <f>SUMIF('OD 01-24'!A:A,A281,'OD 01-24'!E:E)</f>
        <v>0</v>
      </c>
      <c r="H281" s="14">
        <f t="shared" si="36"/>
        <v>11500</v>
      </c>
      <c r="I281" s="14">
        <f t="shared" si="37"/>
        <v>11500</v>
      </c>
      <c r="J281" s="8" t="s">
        <v>157</v>
      </c>
      <c r="K281" s="9" t="s">
        <v>512</v>
      </c>
    </row>
    <row r="282" spans="1:11" s="9" customFormat="1" ht="11.25" x14ac:dyDescent="0.2">
      <c r="A282" s="10">
        <v>62410000</v>
      </c>
      <c r="B282" s="10" t="s">
        <v>183</v>
      </c>
      <c r="C282" s="11">
        <v>0</v>
      </c>
      <c r="D282" s="11">
        <v>160</v>
      </c>
      <c r="E282" s="11">
        <v>0</v>
      </c>
      <c r="F282" s="13">
        <f>SUMIF('OD 01-24'!A:A,A282,'OD 01-24'!D:D)</f>
        <v>0</v>
      </c>
      <c r="G282" s="13">
        <f>SUMIF('OD 01-24'!A:A,A282,'OD 01-24'!E:E)</f>
        <v>0</v>
      </c>
      <c r="H282" s="14">
        <f t="shared" si="36"/>
        <v>160</v>
      </c>
      <c r="I282" s="14">
        <f t="shared" si="37"/>
        <v>160</v>
      </c>
      <c r="J282" s="8" t="s">
        <v>157</v>
      </c>
      <c r="K282" s="9" t="s">
        <v>512</v>
      </c>
    </row>
    <row r="283" spans="1:11" s="9" customFormat="1" ht="11.25" x14ac:dyDescent="0.2">
      <c r="A283" s="10">
        <v>62420000</v>
      </c>
      <c r="B283" s="10" t="s">
        <v>184</v>
      </c>
      <c r="C283" s="11">
        <v>0</v>
      </c>
      <c r="D283" s="11">
        <v>420</v>
      </c>
      <c r="E283" s="11">
        <v>0</v>
      </c>
      <c r="F283" s="13">
        <f>SUMIF('OD 01-24'!A:A,A283,'OD 01-24'!D:D)</f>
        <v>0</v>
      </c>
      <c r="G283" s="13">
        <f>SUMIF('OD 01-24'!A:A,A283,'OD 01-24'!E:E)</f>
        <v>0</v>
      </c>
      <c r="H283" s="14">
        <f t="shared" si="36"/>
        <v>420</v>
      </c>
      <c r="I283" s="14">
        <f t="shared" si="37"/>
        <v>420</v>
      </c>
      <c r="J283" s="8" t="s">
        <v>157</v>
      </c>
      <c r="K283" s="9" t="s">
        <v>512</v>
      </c>
    </row>
    <row r="284" spans="1:11" s="9" customFormat="1" ht="11.25" x14ac:dyDescent="0.2">
      <c r="A284" s="10">
        <v>62430000</v>
      </c>
      <c r="B284" s="10" t="s">
        <v>159</v>
      </c>
      <c r="C284" s="11">
        <v>0</v>
      </c>
      <c r="D284" s="11">
        <v>104670.92</v>
      </c>
      <c r="E284" s="11">
        <v>0</v>
      </c>
      <c r="F284" s="13">
        <f>SUMIF('OD 01-24'!A:A,A284,'OD 01-24'!D:D)</f>
        <v>0</v>
      </c>
      <c r="G284" s="13">
        <f>SUMIF('OD 01-24'!A:A,A284,'OD 01-24'!E:E)</f>
        <v>0</v>
      </c>
      <c r="H284" s="14">
        <f t="shared" si="36"/>
        <v>104670.92</v>
      </c>
      <c r="I284" s="14">
        <f t="shared" si="37"/>
        <v>104670.92</v>
      </c>
      <c r="J284" s="8" t="s">
        <v>157</v>
      </c>
      <c r="K284" s="9" t="s">
        <v>512</v>
      </c>
    </row>
    <row r="285" spans="1:11" s="9" customFormat="1" ht="11.25" x14ac:dyDescent="0.2">
      <c r="A285" s="10">
        <v>62500000</v>
      </c>
      <c r="B285" s="10" t="s">
        <v>185</v>
      </c>
      <c r="C285" s="11">
        <v>0</v>
      </c>
      <c r="D285" s="11">
        <v>21.2</v>
      </c>
      <c r="E285" s="11">
        <v>0</v>
      </c>
      <c r="F285" s="13">
        <f>SUMIF('OD 01-24'!A:A,A285,'OD 01-24'!D:D)</f>
        <v>0</v>
      </c>
      <c r="G285" s="13">
        <f>SUMIF('OD 01-24'!A:A,A285,'OD 01-24'!E:E)</f>
        <v>0</v>
      </c>
      <c r="H285" s="14">
        <f t="shared" si="36"/>
        <v>21.2</v>
      </c>
      <c r="I285" s="14">
        <f t="shared" si="37"/>
        <v>21.2</v>
      </c>
      <c r="J285" s="8" t="s">
        <v>157</v>
      </c>
      <c r="K285" s="9" t="s">
        <v>512</v>
      </c>
    </row>
    <row r="286" spans="1:11" s="9" customFormat="1" ht="11.25" x14ac:dyDescent="0.2">
      <c r="A286" s="10">
        <v>62570000</v>
      </c>
      <c r="B286" s="10" t="s">
        <v>186</v>
      </c>
      <c r="C286" s="11">
        <v>0</v>
      </c>
      <c r="D286" s="11">
        <v>213.46999999999997</v>
      </c>
      <c r="E286" s="11">
        <v>0</v>
      </c>
      <c r="F286" s="13">
        <f>SUMIF('OD 01-24'!A:A,A286,'OD 01-24'!D:D)</f>
        <v>0</v>
      </c>
      <c r="G286" s="13">
        <f>SUMIF('OD 01-24'!A:A,A286,'OD 01-24'!E:E)</f>
        <v>0</v>
      </c>
      <c r="H286" s="14">
        <f t="shared" ref="H286:H288" si="38">+D286+F286-E286-G286</f>
        <v>213.46999999999997</v>
      </c>
      <c r="I286" s="14">
        <f t="shared" ref="I286:I288" si="39">+H286+C286</f>
        <v>213.46999999999997</v>
      </c>
      <c r="J286" s="8" t="s">
        <v>157</v>
      </c>
      <c r="K286" s="9" t="s">
        <v>512</v>
      </c>
    </row>
    <row r="287" spans="1:11" s="9" customFormat="1" ht="11.25" x14ac:dyDescent="0.2">
      <c r="A287" s="10">
        <v>62571000</v>
      </c>
      <c r="B287" s="10" t="s">
        <v>376</v>
      </c>
      <c r="C287" s="11">
        <v>0</v>
      </c>
      <c r="D287" s="11">
        <v>2269.4</v>
      </c>
      <c r="E287" s="11">
        <v>0</v>
      </c>
      <c r="F287" s="13">
        <f>SUMIF('OD 01-24'!A:A,A287,'OD 01-24'!D:D)</f>
        <v>0</v>
      </c>
      <c r="G287" s="13">
        <f>SUMIF('OD 01-24'!A:A,A287,'OD 01-24'!E:E)</f>
        <v>0</v>
      </c>
      <c r="H287" s="14">
        <f t="shared" si="38"/>
        <v>2269.4</v>
      </c>
      <c r="I287" s="14">
        <f t="shared" si="39"/>
        <v>2269.4</v>
      </c>
      <c r="J287" s="8" t="s">
        <v>157</v>
      </c>
      <c r="K287" s="9" t="s">
        <v>512</v>
      </c>
    </row>
    <row r="288" spans="1:11" s="9" customFormat="1" ht="11.25" x14ac:dyDescent="0.2">
      <c r="A288" s="10">
        <v>62572000</v>
      </c>
      <c r="B288" s="10" t="s">
        <v>377</v>
      </c>
      <c r="C288" s="11">
        <v>0</v>
      </c>
      <c r="D288" s="11">
        <v>1843.2</v>
      </c>
      <c r="E288" s="11">
        <v>0</v>
      </c>
      <c r="F288" s="13">
        <f>SUMIF('OD 01-24'!A:A,A288,'OD 01-24'!D:D)</f>
        <v>0</v>
      </c>
      <c r="G288" s="13">
        <f>SUMIF('OD 01-24'!A:A,A288,'OD 01-24'!E:E)</f>
        <v>0</v>
      </c>
      <c r="H288" s="14">
        <f t="shared" si="38"/>
        <v>1843.2</v>
      </c>
      <c r="I288" s="14">
        <f t="shared" si="39"/>
        <v>1843.2</v>
      </c>
      <c r="J288" s="8" t="s">
        <v>157</v>
      </c>
      <c r="K288" s="9" t="s">
        <v>512</v>
      </c>
    </row>
    <row r="289" spans="1:11" s="9" customFormat="1" ht="11.25" x14ac:dyDescent="0.2">
      <c r="A289" s="10">
        <v>62573000</v>
      </c>
      <c r="B289" s="10" t="s">
        <v>378</v>
      </c>
      <c r="C289" s="11">
        <v>0</v>
      </c>
      <c r="D289" s="11">
        <v>0</v>
      </c>
      <c r="E289" s="11">
        <v>0</v>
      </c>
      <c r="F289" s="13">
        <f>SUMIF('OD 01-24'!A:A,A289,'OD 01-24'!D:D)</f>
        <v>0</v>
      </c>
      <c r="G289" s="13">
        <f>SUMIF('OD 01-24'!A:A,A289,'OD 01-24'!E:E)</f>
        <v>0</v>
      </c>
      <c r="H289" s="14">
        <f t="shared" ref="H289:H322" si="40">+D289+F289-E289-G289</f>
        <v>0</v>
      </c>
      <c r="I289" s="14">
        <f t="shared" ref="I289:I322" si="41">+H289+C289</f>
        <v>0</v>
      </c>
      <c r="J289" s="8" t="s">
        <v>157</v>
      </c>
      <c r="K289" s="9" t="s">
        <v>512</v>
      </c>
    </row>
    <row r="290" spans="1:11" s="9" customFormat="1" ht="11.25" x14ac:dyDescent="0.2">
      <c r="A290" s="10">
        <v>62580000</v>
      </c>
      <c r="B290" s="10" t="s">
        <v>187</v>
      </c>
      <c r="C290" s="11">
        <v>0</v>
      </c>
      <c r="D290" s="11">
        <v>339.7</v>
      </c>
      <c r="E290" s="11">
        <v>0</v>
      </c>
      <c r="F290" s="13">
        <f>SUMIF('OD 01-24'!A:A,A290,'OD 01-24'!D:D)</f>
        <v>0</v>
      </c>
      <c r="G290" s="13">
        <f>SUMIF('OD 01-24'!A:A,A290,'OD 01-24'!E:E)</f>
        <v>0</v>
      </c>
      <c r="H290" s="14">
        <f t="shared" si="40"/>
        <v>339.7</v>
      </c>
      <c r="I290" s="14">
        <f t="shared" si="41"/>
        <v>339.7</v>
      </c>
      <c r="J290" s="8" t="s">
        <v>157</v>
      </c>
      <c r="K290" s="9" t="s">
        <v>512</v>
      </c>
    </row>
    <row r="291" spans="1:11" s="9" customFormat="1" ht="11.25" x14ac:dyDescent="0.2">
      <c r="A291" s="10">
        <v>62600000</v>
      </c>
      <c r="B291" s="10" t="s">
        <v>188</v>
      </c>
      <c r="C291" s="11">
        <v>0</v>
      </c>
      <c r="D291" s="11">
        <v>7567.0180000000009</v>
      </c>
      <c r="E291" s="11">
        <v>0</v>
      </c>
      <c r="F291" s="13">
        <f>SUMIF('OD 01-24'!A:A,A291,'OD 01-24'!D:D)</f>
        <v>0</v>
      </c>
      <c r="G291" s="13">
        <f>SUMIF('OD 01-24'!A:A,A291,'OD 01-24'!E:E)</f>
        <v>4376</v>
      </c>
      <c r="H291" s="14">
        <f t="shared" si="40"/>
        <v>3191.0180000000009</v>
      </c>
      <c r="I291" s="14">
        <f t="shared" si="41"/>
        <v>3191.0180000000009</v>
      </c>
      <c r="J291" s="8" t="s">
        <v>157</v>
      </c>
      <c r="K291" s="9" t="s">
        <v>512</v>
      </c>
    </row>
    <row r="292" spans="1:11" s="9" customFormat="1" ht="11.25" x14ac:dyDescent="0.2">
      <c r="A292" s="10">
        <v>62780000</v>
      </c>
      <c r="B292" s="10" t="s">
        <v>189</v>
      </c>
      <c r="C292" s="11">
        <v>0</v>
      </c>
      <c r="D292" s="11">
        <v>17154.39</v>
      </c>
      <c r="E292" s="11">
        <v>1E-3</v>
      </c>
      <c r="F292" s="13">
        <f>SUMIF('OD 01-24'!A:A,A292,'OD 01-24'!D:D)</f>
        <v>8298.4580000000005</v>
      </c>
      <c r="G292" s="13">
        <f>SUMIF('OD 01-24'!A:A,A292,'OD 01-24'!E:E)</f>
        <v>0</v>
      </c>
      <c r="H292" s="14">
        <f t="shared" si="40"/>
        <v>25452.846999999998</v>
      </c>
      <c r="I292" s="14">
        <f t="shared" si="41"/>
        <v>25452.846999999998</v>
      </c>
      <c r="J292" s="8" t="s">
        <v>157</v>
      </c>
      <c r="K292" s="9" t="s">
        <v>512</v>
      </c>
    </row>
    <row r="293" spans="1:11" s="9" customFormat="1" ht="11.25" x14ac:dyDescent="0.2">
      <c r="A293" s="10">
        <v>63300000</v>
      </c>
      <c r="B293" s="10" t="s">
        <v>269</v>
      </c>
      <c r="C293" s="11">
        <v>0</v>
      </c>
      <c r="D293" s="11">
        <v>0</v>
      </c>
      <c r="E293" s="11">
        <v>0</v>
      </c>
      <c r="F293" s="13">
        <f>SUMIF('OD 01-24'!A:A,A293,'OD 01-24'!D:D)</f>
        <v>10416.666999999999</v>
      </c>
      <c r="G293" s="13">
        <f>SUMIF('OD 01-24'!A:A,A293,'OD 01-24'!E:E)</f>
        <v>0</v>
      </c>
      <c r="H293" s="14">
        <f t="shared" si="40"/>
        <v>10416.666999999999</v>
      </c>
      <c r="I293" s="14">
        <f t="shared" si="41"/>
        <v>10416.666999999999</v>
      </c>
      <c r="J293" s="8" t="s">
        <v>157</v>
      </c>
      <c r="K293" s="9" t="s">
        <v>512</v>
      </c>
    </row>
    <row r="294" spans="1:11" s="9" customFormat="1" ht="11.25" x14ac:dyDescent="0.2">
      <c r="A294" s="10">
        <v>64001000</v>
      </c>
      <c r="B294" s="10" t="s">
        <v>191</v>
      </c>
      <c r="C294" s="11">
        <v>0</v>
      </c>
      <c r="D294" s="11">
        <v>289086.19899999996</v>
      </c>
      <c r="E294" s="11">
        <v>0</v>
      </c>
      <c r="F294" s="13">
        <f>SUMIF('OD 01-24'!A:A,A294,'OD 01-24'!D:D)</f>
        <v>0</v>
      </c>
      <c r="G294" s="13">
        <f>SUMIF('OD 01-24'!A:A,A294,'OD 01-24'!E:E)</f>
        <v>0</v>
      </c>
      <c r="H294" s="14">
        <f t="shared" si="40"/>
        <v>289086.19899999996</v>
      </c>
      <c r="I294" s="14">
        <f t="shared" si="41"/>
        <v>289086.19899999996</v>
      </c>
      <c r="J294" s="8" t="s">
        <v>192</v>
      </c>
      <c r="K294" s="9" t="s">
        <v>511</v>
      </c>
    </row>
    <row r="295" spans="1:11" s="9" customFormat="1" ht="11.25" x14ac:dyDescent="0.2">
      <c r="A295" s="10">
        <v>64001100</v>
      </c>
      <c r="B295" s="10" t="s">
        <v>408</v>
      </c>
      <c r="C295" s="11">
        <v>0</v>
      </c>
      <c r="D295" s="11">
        <v>0</v>
      </c>
      <c r="E295" s="11">
        <v>0</v>
      </c>
      <c r="F295" s="13">
        <f>SUMIF('OD 01-24'!A:A,A295,'OD 01-24'!D:D)</f>
        <v>25000</v>
      </c>
      <c r="G295" s="13">
        <f>SUMIF('OD 01-24'!A:A,A295,'OD 01-24'!E:E)</f>
        <v>0</v>
      </c>
      <c r="H295" s="14">
        <f t="shared" ref="H295:H297" si="42">+D295+F295-E295-G295</f>
        <v>25000</v>
      </c>
      <c r="I295" s="14">
        <f t="shared" ref="I295:I297" si="43">+H295+C295</f>
        <v>25000</v>
      </c>
      <c r="J295" s="8" t="s">
        <v>192</v>
      </c>
      <c r="K295" s="9" t="s">
        <v>511</v>
      </c>
    </row>
    <row r="296" spans="1:11" s="9" customFormat="1" ht="11.25" x14ac:dyDescent="0.2">
      <c r="A296" s="10">
        <v>64020000</v>
      </c>
      <c r="B296" s="10" t="s">
        <v>406</v>
      </c>
      <c r="C296" s="11">
        <v>0</v>
      </c>
      <c r="D296" s="11">
        <v>0</v>
      </c>
      <c r="E296" s="11">
        <v>0</v>
      </c>
      <c r="F296" s="13">
        <f>SUMIF('OD 01-24'!A:A,A296,'OD 01-24'!D:D)</f>
        <v>82615.376999999993</v>
      </c>
      <c r="G296" s="13">
        <f>SUMIF('OD 01-24'!A:A,A296,'OD 01-24'!E:E)</f>
        <v>0</v>
      </c>
      <c r="H296" s="14">
        <f t="shared" si="42"/>
        <v>82615.376999999993</v>
      </c>
      <c r="I296" s="14">
        <f t="shared" si="43"/>
        <v>82615.376999999993</v>
      </c>
      <c r="J296" s="8" t="s">
        <v>192</v>
      </c>
      <c r="K296" s="9" t="s">
        <v>511</v>
      </c>
    </row>
    <row r="297" spans="1:11" s="9" customFormat="1" ht="11.25" x14ac:dyDescent="0.2">
      <c r="A297" s="10">
        <v>64600100</v>
      </c>
      <c r="B297" s="10" t="s">
        <v>407</v>
      </c>
      <c r="C297" s="11">
        <v>0</v>
      </c>
      <c r="D297" s="11">
        <v>0</v>
      </c>
      <c r="E297" s="11">
        <v>0</v>
      </c>
      <c r="F297" s="13">
        <f>SUMIF('OD 01-24'!A:A,A297,'OD 01-24'!D:D)</f>
        <v>254931.41399999999</v>
      </c>
      <c r="G297" s="13">
        <f>SUMIF('OD 01-24'!A:A,A297,'OD 01-24'!E:E)</f>
        <v>245931.41399999999</v>
      </c>
      <c r="H297" s="14">
        <f t="shared" si="42"/>
        <v>9000</v>
      </c>
      <c r="I297" s="14">
        <f t="shared" si="43"/>
        <v>9000</v>
      </c>
      <c r="J297" s="8" t="s">
        <v>192</v>
      </c>
      <c r="K297" s="9" t="s">
        <v>511</v>
      </c>
    </row>
    <row r="298" spans="1:11" s="9" customFormat="1" ht="11.25" x14ac:dyDescent="0.2">
      <c r="A298" s="10">
        <v>64280000</v>
      </c>
      <c r="B298" s="10" t="s">
        <v>193</v>
      </c>
      <c r="C298" s="11">
        <v>0</v>
      </c>
      <c r="D298" s="11">
        <v>14300</v>
      </c>
      <c r="E298" s="11">
        <v>14300</v>
      </c>
      <c r="F298" s="13">
        <f>SUMIF('OD 01-24'!A:A,A298,'OD 01-24'!D:D)</f>
        <v>0</v>
      </c>
      <c r="G298" s="13">
        <f>SUMIF('OD 01-24'!A:A,A298,'OD 01-24'!E:E)</f>
        <v>0</v>
      </c>
      <c r="H298" s="14">
        <f t="shared" ref="H298" si="44">+D298+F298-E298-G298</f>
        <v>0</v>
      </c>
      <c r="I298" s="14">
        <f t="shared" ref="I298" si="45">+H298+C298</f>
        <v>0</v>
      </c>
      <c r="J298" s="8" t="s">
        <v>192</v>
      </c>
      <c r="K298" s="9" t="s">
        <v>511</v>
      </c>
    </row>
    <row r="299" spans="1:11" s="9" customFormat="1" ht="11.25" x14ac:dyDescent="0.2">
      <c r="A299" s="10">
        <v>64720000</v>
      </c>
      <c r="B299" s="10" t="s">
        <v>194</v>
      </c>
      <c r="C299" s="11">
        <v>0</v>
      </c>
      <c r="D299" s="11">
        <v>0</v>
      </c>
      <c r="E299" s="11">
        <v>0</v>
      </c>
      <c r="F299" s="13">
        <f>SUMIF('OD 01-24'!A:A,A299,'OD 01-24'!D:D)</f>
        <v>43186.953000000001</v>
      </c>
      <c r="G299" s="13">
        <f>SUMIF('OD 01-24'!A:A,A299,'OD 01-24'!E:E)</f>
        <v>0</v>
      </c>
      <c r="H299" s="14">
        <f t="shared" si="40"/>
        <v>43186.953000000001</v>
      </c>
      <c r="I299" s="14">
        <f t="shared" si="41"/>
        <v>43186.953000000001</v>
      </c>
      <c r="J299" s="8" t="s">
        <v>192</v>
      </c>
      <c r="K299" s="9" t="s">
        <v>511</v>
      </c>
    </row>
    <row r="300" spans="1:11" s="9" customFormat="1" ht="11.25" x14ac:dyDescent="0.2">
      <c r="A300" s="10">
        <v>65110000</v>
      </c>
      <c r="B300" s="10" t="s">
        <v>385</v>
      </c>
      <c r="C300" s="11">
        <v>0</v>
      </c>
      <c r="D300" s="11">
        <v>8933.9600000000009</v>
      </c>
      <c r="E300" s="11">
        <v>0</v>
      </c>
      <c r="F300" s="13">
        <f>SUMIF('OD 01-24'!A:A,A300,'OD 01-24'!D:D)</f>
        <v>0</v>
      </c>
      <c r="G300" s="13">
        <f>SUMIF('OD 01-24'!A:A,A300,'OD 01-24'!E:E)</f>
        <v>0</v>
      </c>
      <c r="H300" s="14">
        <f t="shared" si="40"/>
        <v>8933.9600000000009</v>
      </c>
      <c r="I300" s="14">
        <f t="shared" si="41"/>
        <v>8933.9600000000009</v>
      </c>
      <c r="J300" s="8" t="s">
        <v>195</v>
      </c>
      <c r="K300" s="9" t="s">
        <v>517</v>
      </c>
    </row>
    <row r="301" spans="1:11" s="9" customFormat="1" ht="11.25" x14ac:dyDescent="0.2">
      <c r="A301" s="10">
        <v>65110200</v>
      </c>
      <c r="B301" s="10" t="s">
        <v>196</v>
      </c>
      <c r="C301" s="11">
        <v>0</v>
      </c>
      <c r="D301" s="11">
        <v>0</v>
      </c>
      <c r="E301" s="11">
        <v>0</v>
      </c>
      <c r="F301" s="13">
        <f>SUMIF('OD 01-24'!A:A,A301,'OD 01-24'!D:D)</f>
        <v>33921.654999999999</v>
      </c>
      <c r="G301" s="13">
        <f>SUMIF('OD 01-24'!A:A,A301,'OD 01-24'!E:E)</f>
        <v>0</v>
      </c>
      <c r="H301" s="14">
        <f t="shared" si="40"/>
        <v>33921.654999999999</v>
      </c>
      <c r="I301" s="14">
        <f t="shared" si="41"/>
        <v>33921.654999999999</v>
      </c>
      <c r="J301" s="8" t="s">
        <v>195</v>
      </c>
      <c r="K301" s="9" t="s">
        <v>517</v>
      </c>
    </row>
    <row r="302" spans="1:11" s="9" customFormat="1" ht="11.25" x14ac:dyDescent="0.2">
      <c r="A302" s="10">
        <v>65110400</v>
      </c>
      <c r="B302" s="10" t="s">
        <v>197</v>
      </c>
      <c r="C302" s="11">
        <v>0</v>
      </c>
      <c r="D302" s="12">
        <v>0</v>
      </c>
      <c r="E302" s="12">
        <v>0</v>
      </c>
      <c r="F302" s="13">
        <f>SUMIF('OD 01-24'!A:A,A302,'OD 01-24'!D:D)</f>
        <v>52188.5</v>
      </c>
      <c r="G302" s="13">
        <f>SUMIF('OD 01-24'!A:A,A302,'OD 01-24'!E:E)</f>
        <v>0</v>
      </c>
      <c r="H302" s="14">
        <f t="shared" si="40"/>
        <v>52188.5</v>
      </c>
      <c r="I302" s="14">
        <f t="shared" si="41"/>
        <v>52188.5</v>
      </c>
      <c r="J302" s="8" t="s">
        <v>195</v>
      </c>
      <c r="K302" s="9" t="s">
        <v>517</v>
      </c>
    </row>
    <row r="303" spans="1:11" s="9" customFormat="1" ht="11.25" x14ac:dyDescent="0.2">
      <c r="A303" s="10">
        <v>65115000</v>
      </c>
      <c r="B303" s="10" t="s">
        <v>379</v>
      </c>
      <c r="C303" s="11">
        <v>0</v>
      </c>
      <c r="D303" s="11">
        <v>5116.3099999999995</v>
      </c>
      <c r="E303" s="11">
        <v>0</v>
      </c>
      <c r="F303" s="13">
        <f>SUMIF('OD 01-24'!A:A,A303,'OD 01-24'!D:D)</f>
        <v>0</v>
      </c>
      <c r="G303" s="13">
        <f>SUMIF('OD 01-24'!A:A,A303,'OD 01-24'!E:E)</f>
        <v>0</v>
      </c>
      <c r="H303" s="14">
        <f t="shared" si="40"/>
        <v>5116.3099999999995</v>
      </c>
      <c r="I303" s="14">
        <f t="shared" si="41"/>
        <v>5116.3099999999995</v>
      </c>
      <c r="J303" s="8" t="s">
        <v>195</v>
      </c>
      <c r="K303" s="9" t="s">
        <v>517</v>
      </c>
    </row>
    <row r="304" spans="1:11" s="9" customFormat="1" ht="11.25" x14ac:dyDescent="0.2">
      <c r="A304" s="10">
        <v>65150000</v>
      </c>
      <c r="B304" s="10" t="s">
        <v>270</v>
      </c>
      <c r="C304" s="11">
        <v>0</v>
      </c>
      <c r="D304" s="12">
        <v>0</v>
      </c>
      <c r="E304" s="12">
        <v>0</v>
      </c>
      <c r="F304" s="13">
        <f>SUMIF('OD 01-24'!A:A,A304,'OD 01-24'!D:D)</f>
        <v>2989.5889999999999</v>
      </c>
      <c r="G304" s="13">
        <f>SUMIF('OD 01-24'!A:A,A304,'OD 01-24'!E:E)</f>
        <v>0</v>
      </c>
      <c r="H304" s="14">
        <f t="shared" si="40"/>
        <v>2989.5889999999999</v>
      </c>
      <c r="I304" s="14">
        <f t="shared" si="41"/>
        <v>2989.5889999999999</v>
      </c>
      <c r="J304" s="8" t="s">
        <v>195</v>
      </c>
      <c r="K304" s="9" t="s">
        <v>517</v>
      </c>
    </row>
    <row r="305" spans="1:11" s="9" customFormat="1" ht="11.25" x14ac:dyDescent="0.2">
      <c r="A305" s="10">
        <v>65190000</v>
      </c>
      <c r="B305" s="10" t="s">
        <v>198</v>
      </c>
      <c r="C305" s="11">
        <v>0</v>
      </c>
      <c r="D305" s="12">
        <v>0</v>
      </c>
      <c r="E305" s="12">
        <v>0</v>
      </c>
      <c r="F305" s="13">
        <f>SUMIF('OD 01-24'!A:A,A305,'OD 01-24'!D:D)</f>
        <v>29302.803</v>
      </c>
      <c r="G305" s="13">
        <f>SUMIF('OD 01-24'!A:A,A305,'OD 01-24'!E:E)</f>
        <v>0</v>
      </c>
      <c r="H305" s="14">
        <f t="shared" si="40"/>
        <v>29302.803</v>
      </c>
      <c r="I305" s="14">
        <f t="shared" si="41"/>
        <v>29302.803</v>
      </c>
      <c r="J305" s="8" t="s">
        <v>195</v>
      </c>
      <c r="K305" s="9" t="s">
        <v>517</v>
      </c>
    </row>
    <row r="306" spans="1:11" s="9" customFormat="1" ht="11.25" x14ac:dyDescent="0.2">
      <c r="A306" s="10">
        <v>65500000</v>
      </c>
      <c r="B306" s="10" t="s">
        <v>400</v>
      </c>
      <c r="C306" s="11">
        <v>0</v>
      </c>
      <c r="D306" s="12">
        <v>2857.223</v>
      </c>
      <c r="E306" s="12">
        <v>0</v>
      </c>
      <c r="F306" s="13">
        <f>SUMIF('OD 01-24'!A:A,A306,'OD 01-24'!D:D)</f>
        <v>0</v>
      </c>
      <c r="G306" s="13">
        <f>SUMIF('OD 01-24'!A:A,A306,'OD 01-24'!E:E)</f>
        <v>0</v>
      </c>
      <c r="H306" s="14">
        <f t="shared" ref="H306:H307" si="46">+D306+F306-E306-G306</f>
        <v>2857.223</v>
      </c>
      <c r="I306" s="14">
        <f t="shared" ref="I306:I307" si="47">+H306+C306</f>
        <v>2857.223</v>
      </c>
      <c r="J306" s="8" t="s">
        <v>195</v>
      </c>
      <c r="K306" s="9" t="s">
        <v>517</v>
      </c>
    </row>
    <row r="307" spans="1:11" s="9" customFormat="1" ht="11.25" x14ac:dyDescent="0.2">
      <c r="A307" s="10">
        <v>66520000</v>
      </c>
      <c r="B307" s="10" t="s">
        <v>200</v>
      </c>
      <c r="C307" s="11">
        <v>0</v>
      </c>
      <c r="D307" s="12">
        <v>0</v>
      </c>
      <c r="E307" s="12">
        <v>0</v>
      </c>
      <c r="F307" s="13">
        <f>SUMIF('OD 01-24'!A:A,A307,'OD 01-24'!D:D)</f>
        <v>8801.4259999999995</v>
      </c>
      <c r="G307" s="13">
        <f>SUMIF('OD 01-24'!A:A,A307,'OD 01-24'!E:E)</f>
        <v>0</v>
      </c>
      <c r="H307" s="14">
        <f t="shared" si="46"/>
        <v>8801.4259999999995</v>
      </c>
      <c r="I307" s="14">
        <f t="shared" si="47"/>
        <v>8801.4259999999995</v>
      </c>
      <c r="J307" s="8" t="s">
        <v>157</v>
      </c>
      <c r="K307" s="9" t="s">
        <v>512</v>
      </c>
    </row>
    <row r="308" spans="1:11" s="9" customFormat="1" ht="11.25" x14ac:dyDescent="0.2">
      <c r="A308" s="10">
        <v>66540000</v>
      </c>
      <c r="B308" s="10" t="s">
        <v>201</v>
      </c>
      <c r="C308" s="11">
        <v>0</v>
      </c>
      <c r="D308" s="11">
        <v>1616.3700000000001</v>
      </c>
      <c r="E308" s="11">
        <v>0</v>
      </c>
      <c r="F308" s="13">
        <f>SUMIF('OD 01-24'!A:A,A308,'OD 01-24'!D:D)</f>
        <v>0</v>
      </c>
      <c r="G308" s="13">
        <f>SUMIF('OD 01-24'!A:A,A308,'OD 01-24'!E:E)</f>
        <v>0</v>
      </c>
      <c r="H308" s="14">
        <f t="shared" si="40"/>
        <v>1616.3700000000001</v>
      </c>
      <c r="I308" s="14">
        <f t="shared" si="41"/>
        <v>1616.3700000000001</v>
      </c>
      <c r="J308" s="8" t="s">
        <v>157</v>
      </c>
      <c r="K308" s="9" t="s">
        <v>512</v>
      </c>
    </row>
    <row r="309" spans="1:11" s="9" customFormat="1" ht="11.25" x14ac:dyDescent="0.2">
      <c r="A309" s="10">
        <v>66550000</v>
      </c>
      <c r="B309" s="10" t="s">
        <v>202</v>
      </c>
      <c r="C309" s="11">
        <v>0</v>
      </c>
      <c r="D309" s="11">
        <v>13480</v>
      </c>
      <c r="E309" s="11">
        <v>0</v>
      </c>
      <c r="F309" s="13">
        <f>SUMIF('OD 01-24'!A:A,A309,'OD 01-24'!D:D)</f>
        <v>900</v>
      </c>
      <c r="G309" s="13">
        <f>SUMIF('OD 01-24'!A:A,A309,'OD 01-24'!E:E)</f>
        <v>0</v>
      </c>
      <c r="H309" s="14">
        <f t="shared" si="40"/>
        <v>14380</v>
      </c>
      <c r="I309" s="14">
        <f t="shared" si="41"/>
        <v>14380</v>
      </c>
      <c r="J309" s="8" t="s">
        <v>157</v>
      </c>
      <c r="K309" s="9" t="s">
        <v>512</v>
      </c>
    </row>
    <row r="310" spans="1:11" s="9" customFormat="1" ht="11.25" x14ac:dyDescent="0.2">
      <c r="A310" s="10">
        <v>68112000</v>
      </c>
      <c r="B310" s="10" t="s">
        <v>271</v>
      </c>
      <c r="C310" s="11">
        <v>0</v>
      </c>
      <c r="D310" s="12">
        <v>0</v>
      </c>
      <c r="E310" s="12">
        <v>0</v>
      </c>
      <c r="F310" s="13">
        <f>SUMIF('OD 01-24'!A:A,A310,'OD 01-24'!D:D)</f>
        <v>221656.4</v>
      </c>
      <c r="G310" s="13">
        <f>SUMIF('OD 01-24'!A:A,A310,'OD 01-24'!E:E)</f>
        <v>0</v>
      </c>
      <c r="H310" s="14">
        <f t="shared" si="40"/>
        <v>221656.4</v>
      </c>
      <c r="I310" s="14">
        <f t="shared" si="41"/>
        <v>221656.4</v>
      </c>
      <c r="J310" s="8" t="s">
        <v>203</v>
      </c>
      <c r="K310" s="9" t="s">
        <v>515</v>
      </c>
    </row>
    <row r="311" spans="1:11" s="9" customFormat="1" ht="11.25" x14ac:dyDescent="0.2">
      <c r="A311" s="10">
        <v>70000000</v>
      </c>
      <c r="B311" s="10" t="s">
        <v>205</v>
      </c>
      <c r="C311" s="11">
        <v>0</v>
      </c>
      <c r="D311" s="11">
        <v>817472.99199999997</v>
      </c>
      <c r="E311" s="11">
        <v>3079026.548</v>
      </c>
      <c r="F311" s="13">
        <f>SUMIF('OD 01-24'!A:A,A311,'OD 01-24'!D:D)</f>
        <v>0</v>
      </c>
      <c r="G311" s="13">
        <f>SUMIF('OD 01-24'!A:A,A311,'OD 01-24'!E:E)</f>
        <v>0</v>
      </c>
      <c r="H311" s="14">
        <f t="shared" si="40"/>
        <v>-2261553.5559999999</v>
      </c>
      <c r="I311" s="14">
        <f t="shared" si="41"/>
        <v>-2261553.5559999999</v>
      </c>
      <c r="J311" s="8" t="s">
        <v>206</v>
      </c>
      <c r="K311" s="9" t="s">
        <v>505</v>
      </c>
    </row>
    <row r="312" spans="1:11" s="9" customFormat="1" ht="11.25" x14ac:dyDescent="0.2">
      <c r="A312" s="10">
        <v>70102000</v>
      </c>
      <c r="B312" s="10" t="s">
        <v>207</v>
      </c>
      <c r="C312" s="11">
        <v>0</v>
      </c>
      <c r="D312" s="11">
        <v>0</v>
      </c>
      <c r="E312" s="11">
        <v>3005659.4960000003</v>
      </c>
      <c r="F312" s="13">
        <f>SUMIF('OD 01-24'!A:A,A312,'OD 01-24'!D:D)</f>
        <v>733464.06099999999</v>
      </c>
      <c r="G312" s="13">
        <f>SUMIF('OD 01-24'!A:A,A312,'OD 01-24'!E:E)</f>
        <v>1007937.9080000001</v>
      </c>
      <c r="H312" s="14">
        <f t="shared" si="40"/>
        <v>-3280133.3430000003</v>
      </c>
      <c r="I312" s="14">
        <f t="shared" si="41"/>
        <v>-3280133.3430000003</v>
      </c>
      <c r="J312" s="8" t="s">
        <v>227</v>
      </c>
      <c r="K312" s="9" t="s">
        <v>504</v>
      </c>
    </row>
    <row r="313" spans="1:11" s="9" customFormat="1" ht="11.25" x14ac:dyDescent="0.2">
      <c r="A313" s="10">
        <v>70103000</v>
      </c>
      <c r="B313" s="10" t="s">
        <v>380</v>
      </c>
      <c r="C313" s="11">
        <v>0</v>
      </c>
      <c r="D313" s="11">
        <v>0</v>
      </c>
      <c r="E313" s="11">
        <v>3180</v>
      </c>
      <c r="F313" s="13">
        <f>SUMIF('OD 01-24'!A:A,A313,'OD 01-24'!D:D)</f>
        <v>0</v>
      </c>
      <c r="G313" s="13">
        <f>SUMIF('OD 01-24'!A:A,A313,'OD 01-24'!E:E)</f>
        <v>0</v>
      </c>
      <c r="H313" s="14">
        <f t="shared" si="40"/>
        <v>-3180</v>
      </c>
      <c r="I313" s="14">
        <f t="shared" si="41"/>
        <v>-3180</v>
      </c>
      <c r="J313" s="8" t="s">
        <v>206</v>
      </c>
      <c r="K313" s="9" t="s">
        <v>505</v>
      </c>
    </row>
    <row r="314" spans="1:11" s="9" customFormat="1" ht="11.25" x14ac:dyDescent="0.2">
      <c r="A314" s="10">
        <v>70600000</v>
      </c>
      <c r="B314" s="10" t="s">
        <v>381</v>
      </c>
      <c r="C314" s="11">
        <v>0</v>
      </c>
      <c r="D314" s="11">
        <v>0</v>
      </c>
      <c r="E314" s="11">
        <v>0</v>
      </c>
      <c r="F314" s="13">
        <f>SUMIF('OD 01-24'!A:A,A314,'OD 01-24'!D:D)</f>
        <v>0</v>
      </c>
      <c r="G314" s="13">
        <f>SUMIF('OD 01-24'!A:A,A314,'OD 01-24'!E:E)</f>
        <v>0</v>
      </c>
      <c r="H314" s="14">
        <f t="shared" si="40"/>
        <v>0</v>
      </c>
      <c r="I314" s="14">
        <f t="shared" si="41"/>
        <v>0</v>
      </c>
      <c r="J314" s="8" t="s">
        <v>206</v>
      </c>
      <c r="K314" s="9" t="s">
        <v>505</v>
      </c>
    </row>
    <row r="315" spans="1:11" s="9" customFormat="1" ht="11.25" x14ac:dyDescent="0.2">
      <c r="A315" s="10">
        <v>70600500</v>
      </c>
      <c r="B315" s="10" t="s">
        <v>208</v>
      </c>
      <c r="C315" s="11">
        <v>0</v>
      </c>
      <c r="D315" s="12">
        <v>0</v>
      </c>
      <c r="E315" s="12">
        <v>0</v>
      </c>
      <c r="F315" s="13">
        <f>SUMIF('OD 01-24'!A:A,A315,'OD 01-24'!D:D)</f>
        <v>0</v>
      </c>
      <c r="G315" s="13">
        <f>SUMIF('OD 01-24'!A:A,A315,'OD 01-24'!E:E)</f>
        <v>3242.453</v>
      </c>
      <c r="H315" s="14">
        <f t="shared" si="40"/>
        <v>-3242.453</v>
      </c>
      <c r="I315" s="14">
        <f t="shared" si="41"/>
        <v>-3242.453</v>
      </c>
      <c r="J315" s="8" t="s">
        <v>206</v>
      </c>
      <c r="K315" s="9" t="s">
        <v>506</v>
      </c>
    </row>
    <row r="316" spans="1:11" s="9" customFormat="1" ht="11.25" x14ac:dyDescent="0.2">
      <c r="A316" s="10">
        <v>71340000</v>
      </c>
      <c r="B316" s="10" t="s">
        <v>382</v>
      </c>
      <c r="C316" s="11">
        <v>0</v>
      </c>
      <c r="D316" s="11">
        <v>0</v>
      </c>
      <c r="E316" s="11">
        <v>0</v>
      </c>
      <c r="F316" s="13">
        <f>SUMIF('OD 01-24'!A:A,A316,'OD 01-24'!D:D)</f>
        <v>744393.83600000001</v>
      </c>
      <c r="G316" s="13">
        <f>SUMIF('OD 01-24'!A:A,A316,'OD 01-24'!E:E)</f>
        <v>0</v>
      </c>
      <c r="H316" s="14">
        <f t="shared" si="40"/>
        <v>744393.83600000001</v>
      </c>
      <c r="I316" s="14">
        <f t="shared" si="41"/>
        <v>744393.83600000001</v>
      </c>
      <c r="J316" s="8" t="s">
        <v>210</v>
      </c>
      <c r="K316" s="9" t="s">
        <v>508</v>
      </c>
    </row>
    <row r="317" spans="1:11" s="9" customFormat="1" ht="11.25" x14ac:dyDescent="0.2">
      <c r="A317" s="10">
        <v>71350000</v>
      </c>
      <c r="B317" s="10" t="s">
        <v>209</v>
      </c>
      <c r="C317" s="11">
        <v>0</v>
      </c>
      <c r="D317" s="12">
        <v>0</v>
      </c>
      <c r="E317" s="12">
        <v>0</v>
      </c>
      <c r="F317" s="13">
        <f>SUMIF('OD 01-24'!A:A,A317,'OD 01-24'!D:D)</f>
        <v>5109884.3075999999</v>
      </c>
      <c r="G317" s="13">
        <f>SUMIF('OD 01-24'!A:A,A317,'OD 01-24'!E:E)</f>
        <v>5119434.9890000001</v>
      </c>
      <c r="H317" s="14">
        <f t="shared" si="40"/>
        <v>-9550.6814000001177</v>
      </c>
      <c r="I317" s="14">
        <f t="shared" si="41"/>
        <v>-9550.6814000001177</v>
      </c>
      <c r="J317" s="8" t="s">
        <v>210</v>
      </c>
      <c r="K317" s="9" t="s">
        <v>508</v>
      </c>
    </row>
    <row r="318" spans="1:11" s="9" customFormat="1" ht="11.25" x14ac:dyDescent="0.2">
      <c r="A318" s="10">
        <v>73601000</v>
      </c>
      <c r="B318" s="8" t="s">
        <v>211</v>
      </c>
      <c r="C318" s="11">
        <v>0</v>
      </c>
      <c r="D318" s="12">
        <v>0</v>
      </c>
      <c r="E318" s="12">
        <v>0</v>
      </c>
      <c r="F318" s="13">
        <f>SUMIF('OD 01-24'!A:A,A318,'OD 01-24'!D:D)</f>
        <v>0</v>
      </c>
      <c r="G318" s="13">
        <f>SUMIF('OD 01-24'!A:A,A318,'OD 01-24'!E:E)</f>
        <v>0</v>
      </c>
      <c r="H318" s="14">
        <f t="shared" ref="H318" si="48">+D318+F318-E318-G318</f>
        <v>0</v>
      </c>
      <c r="I318" s="14">
        <f t="shared" ref="I318" si="49">+H318+C318</f>
        <v>0</v>
      </c>
      <c r="J318" s="8" t="s">
        <v>214</v>
      </c>
      <c r="K318" s="9" t="s">
        <v>518</v>
      </c>
    </row>
    <row r="319" spans="1:11" s="9" customFormat="1" ht="11.25" x14ac:dyDescent="0.2">
      <c r="A319" s="10">
        <v>73900000</v>
      </c>
      <c r="B319" s="10" t="s">
        <v>213</v>
      </c>
      <c r="C319" s="11">
        <v>0</v>
      </c>
      <c r="D319" s="12">
        <v>0</v>
      </c>
      <c r="E319" s="12">
        <v>0</v>
      </c>
      <c r="F319" s="13">
        <f>SUMIF('OD 01-24'!A:A,A319,'OD 01-24'!D:D)</f>
        <v>0</v>
      </c>
      <c r="G319" s="13">
        <f>SUMIF('OD 01-24'!A:A,A319,'OD 01-24'!E:E)</f>
        <v>20282.419000000002</v>
      </c>
      <c r="H319" s="14">
        <f t="shared" si="40"/>
        <v>-20282.419000000002</v>
      </c>
      <c r="I319" s="14">
        <f t="shared" si="41"/>
        <v>-20282.419000000002</v>
      </c>
      <c r="J319" s="8" t="s">
        <v>214</v>
      </c>
      <c r="K319" s="9" t="s">
        <v>506</v>
      </c>
    </row>
    <row r="320" spans="1:11" s="9" customFormat="1" ht="11.25" x14ac:dyDescent="0.2">
      <c r="A320" s="10">
        <v>75600000</v>
      </c>
      <c r="B320" s="10" t="s">
        <v>215</v>
      </c>
      <c r="C320" s="11">
        <v>0</v>
      </c>
      <c r="D320" s="12">
        <v>0</v>
      </c>
      <c r="E320" s="12">
        <v>0</v>
      </c>
      <c r="F320" s="13">
        <f>SUMIF('OD 01-24'!A:A,A320,'OD 01-24'!D:D)</f>
        <v>0</v>
      </c>
      <c r="G320" s="13">
        <f>SUMIF('OD 01-24'!A:A,A320,'OD 01-24'!E:E)</f>
        <v>16564.642</v>
      </c>
      <c r="H320" s="14">
        <f t="shared" ref="H320" si="50">+D320+F320-E320-G320</f>
        <v>-16564.642</v>
      </c>
      <c r="I320" s="14">
        <f t="shared" ref="I320" si="51">+H320+C320</f>
        <v>-16564.642</v>
      </c>
      <c r="J320" s="8" t="s">
        <v>195</v>
      </c>
      <c r="K320" s="9" t="s">
        <v>517</v>
      </c>
    </row>
    <row r="321" spans="1:11" s="9" customFormat="1" ht="11.25" x14ac:dyDescent="0.2">
      <c r="A321" s="10">
        <v>77000000</v>
      </c>
      <c r="B321" s="10" t="s">
        <v>216</v>
      </c>
      <c r="C321" s="11">
        <v>0</v>
      </c>
      <c r="D321" s="11">
        <v>0</v>
      </c>
      <c r="E321" s="11">
        <v>0</v>
      </c>
      <c r="F321" s="13">
        <f>SUMIF('OD 01-24'!A:A,A321,'OD 01-24'!D:D)</f>
        <v>0</v>
      </c>
      <c r="G321" s="13">
        <f>SUMIF('OD 01-24'!A:A,A321,'OD 01-24'!E:E)</f>
        <v>0</v>
      </c>
      <c r="H321" s="14">
        <f t="shared" si="40"/>
        <v>0</v>
      </c>
      <c r="I321" s="14">
        <f t="shared" si="41"/>
        <v>0</v>
      </c>
      <c r="J321" s="8" t="s">
        <v>212</v>
      </c>
      <c r="K321" s="9" t="s">
        <v>518</v>
      </c>
    </row>
    <row r="322" spans="1:11" s="9" customFormat="1" ht="11.25" x14ac:dyDescent="0.2">
      <c r="A322" s="10">
        <v>79999999</v>
      </c>
      <c r="B322" s="10" t="s">
        <v>383</v>
      </c>
      <c r="C322" s="11">
        <v>-2.6040943339467049E-4</v>
      </c>
      <c r="D322" s="11">
        <v>0</v>
      </c>
      <c r="E322" s="11">
        <v>0</v>
      </c>
      <c r="F322" s="13">
        <f>SUMIF('OD 01-24'!A:A,A322,'OD 01-24'!D:D)</f>
        <v>0</v>
      </c>
      <c r="G322" s="13">
        <f>SUMIF('OD 01-24'!A:A,A322,'OD 01-24'!E:E)</f>
        <v>0</v>
      </c>
      <c r="H322" s="14">
        <f t="shared" si="40"/>
        <v>0</v>
      </c>
      <c r="I322" s="14">
        <f t="shared" si="41"/>
        <v>-2.6040943339467049E-4</v>
      </c>
      <c r="J322" s="8"/>
    </row>
    <row r="323" spans="1:11" x14ac:dyDescent="0.25">
      <c r="C323" s="5">
        <f>SUM(C3:C322)</f>
        <v>1.296517439186573E-6</v>
      </c>
      <c r="D323" s="5">
        <f t="shared" ref="D323:I323" si="52">SUM(D3:D322)</f>
        <v>36877866.042680994</v>
      </c>
      <c r="E323" s="5">
        <f t="shared" si="52"/>
        <v>36877866.042681001</v>
      </c>
      <c r="F323" s="5">
        <f t="shared" si="52"/>
        <v>35244816.10580001</v>
      </c>
      <c r="G323" s="5">
        <f t="shared" si="52"/>
        <v>35244816.105800003</v>
      </c>
      <c r="H323" s="5">
        <f t="shared" si="52"/>
        <v>-5.9662852436304092E-10</v>
      </c>
      <c r="I323" s="5">
        <f t="shared" si="52"/>
        <v>1.2972013792023063E-6</v>
      </c>
    </row>
    <row r="325" spans="1:11" x14ac:dyDescent="0.25">
      <c r="I325" s="4"/>
    </row>
  </sheetData>
  <autoFilter ref="A2:K323" xr:uid="{00000000-0009-0000-0000-000003000000}"/>
  <sortState xmlns:xlrd2="http://schemas.microsoft.com/office/spreadsheetml/2017/richdata2" ref="A2:K289">
    <sortCondition ref="A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3958"/>
  <sheetViews>
    <sheetView workbookViewId="0">
      <selection activeCell="D16" sqref="D16"/>
    </sheetView>
  </sheetViews>
  <sheetFormatPr baseColWidth="10" defaultColWidth="11.42578125" defaultRowHeight="15" x14ac:dyDescent="0.25"/>
  <cols>
    <col min="1" max="1" width="5.42578125" customWidth="1"/>
    <col min="2" max="2" width="8.5703125" bestFit="1" customWidth="1"/>
    <col min="3" max="3" width="20.5703125" bestFit="1" customWidth="1"/>
    <col min="4" max="4" width="55.42578125" bestFit="1" customWidth="1"/>
    <col min="5" max="5" width="9.5703125" customWidth="1"/>
    <col min="6" max="6" width="19.42578125" style="187" customWidth="1"/>
    <col min="7" max="7" width="12.7109375" style="187" customWidth="1"/>
    <col min="8" max="8" width="13.85546875" bestFit="1" customWidth="1"/>
    <col min="9" max="9" width="20.85546875" customWidth="1"/>
    <col min="12" max="12" width="13.140625" bestFit="1" customWidth="1"/>
    <col min="13" max="13" width="20" customWidth="1"/>
  </cols>
  <sheetData>
    <row r="1" spans="1:13" x14ac:dyDescent="0.25">
      <c r="F1" s="186"/>
      <c r="H1" s="186">
        <f>+SUBTOTAL(9,H4:H3958)</f>
        <v>15484675.132189536</v>
      </c>
      <c r="J1" s="188"/>
      <c r="K1" s="188"/>
    </row>
    <row r="2" spans="1:13" x14ac:dyDescent="0.25">
      <c r="D2" s="188"/>
    </row>
    <row r="3" spans="1:13" x14ac:dyDescent="0.25">
      <c r="A3" s="189" t="s">
        <v>524</v>
      </c>
      <c r="B3" s="189" t="s">
        <v>525</v>
      </c>
      <c r="C3" s="189" t="s">
        <v>526</v>
      </c>
      <c r="D3" s="189" t="s">
        <v>527</v>
      </c>
      <c r="E3" s="189" t="s">
        <v>528</v>
      </c>
      <c r="F3" s="190" t="s">
        <v>529</v>
      </c>
      <c r="G3" s="191" t="s">
        <v>530</v>
      </c>
      <c r="H3" s="191" t="s">
        <v>531</v>
      </c>
      <c r="I3" s="189" t="s">
        <v>7385</v>
      </c>
    </row>
    <row r="4" spans="1:13" x14ac:dyDescent="0.25">
      <c r="A4" s="192" t="s">
        <v>220</v>
      </c>
      <c r="B4" s="193" t="s">
        <v>532</v>
      </c>
      <c r="C4" s="193" t="s">
        <v>533</v>
      </c>
      <c r="D4" s="193" t="s">
        <v>534</v>
      </c>
      <c r="E4" s="193" t="s">
        <v>535</v>
      </c>
      <c r="F4" s="194">
        <v>16007</v>
      </c>
      <c r="G4" s="194">
        <v>6.8020808742562293</v>
      </c>
      <c r="H4" s="195">
        <f>+F4*G4</f>
        <v>108880.90855421947</v>
      </c>
      <c r="I4" s="193" t="s">
        <v>536</v>
      </c>
      <c r="L4" s="298" t="s">
        <v>7386</v>
      </c>
      <c r="M4" t="s">
        <v>7388</v>
      </c>
    </row>
    <row r="5" spans="1:13" x14ac:dyDescent="0.25">
      <c r="A5" s="192" t="s">
        <v>220</v>
      </c>
      <c r="B5" s="193" t="s">
        <v>532</v>
      </c>
      <c r="C5" s="193" t="s">
        <v>537</v>
      </c>
      <c r="D5" s="193" t="s">
        <v>538</v>
      </c>
      <c r="E5" s="193" t="s">
        <v>535</v>
      </c>
      <c r="F5" s="194">
        <v>7088</v>
      </c>
      <c r="G5" s="194">
        <v>6.8542391322811929</v>
      </c>
      <c r="H5" s="195">
        <f t="shared" ref="H5:H68" si="0">+F5*G5</f>
        <v>48582.846969609098</v>
      </c>
      <c r="I5" s="193" t="s">
        <v>536</v>
      </c>
      <c r="L5" s="225" t="s">
        <v>1911</v>
      </c>
      <c r="M5" s="299">
        <v>1579856.7533607385</v>
      </c>
    </row>
    <row r="6" spans="1:13" x14ac:dyDescent="0.25">
      <c r="A6" s="192" t="s">
        <v>220</v>
      </c>
      <c r="B6" s="193" t="s">
        <v>532</v>
      </c>
      <c r="C6" s="193" t="s">
        <v>539</v>
      </c>
      <c r="D6" s="193" t="s">
        <v>540</v>
      </c>
      <c r="E6" s="193" t="s">
        <v>535</v>
      </c>
      <c r="F6" s="194">
        <v>4000</v>
      </c>
      <c r="G6" s="194">
        <v>5.6104583436708264</v>
      </c>
      <c r="H6" s="195">
        <f t="shared" si="0"/>
        <v>22441.833374683305</v>
      </c>
      <c r="I6" s="193" t="s">
        <v>541</v>
      </c>
      <c r="L6" s="225" t="s">
        <v>541</v>
      </c>
      <c r="M6" s="299">
        <v>9671178.2542691492</v>
      </c>
    </row>
    <row r="7" spans="1:13" x14ac:dyDescent="0.25">
      <c r="A7" s="192" t="s">
        <v>220</v>
      </c>
      <c r="B7" s="193" t="s">
        <v>542</v>
      </c>
      <c r="C7" s="193" t="s">
        <v>543</v>
      </c>
      <c r="D7" s="193" t="s">
        <v>544</v>
      </c>
      <c r="E7" s="193" t="s">
        <v>545</v>
      </c>
      <c r="F7" s="195">
        <v>3</v>
      </c>
      <c r="G7" s="194">
        <v>99.29119211967523</v>
      </c>
      <c r="H7" s="195">
        <f t="shared" si="0"/>
        <v>297.87357635902572</v>
      </c>
      <c r="I7" s="193" t="s">
        <v>541</v>
      </c>
      <c r="L7" s="225" t="s">
        <v>2354</v>
      </c>
      <c r="M7" s="299">
        <v>694061.88805139344</v>
      </c>
    </row>
    <row r="8" spans="1:13" x14ac:dyDescent="0.25">
      <c r="A8" s="192" t="s">
        <v>220</v>
      </c>
      <c r="B8" s="193" t="s">
        <v>542</v>
      </c>
      <c r="C8" s="193" t="s">
        <v>546</v>
      </c>
      <c r="D8" s="193" t="s">
        <v>547</v>
      </c>
      <c r="E8" s="193" t="s">
        <v>545</v>
      </c>
      <c r="F8" s="195">
        <v>23</v>
      </c>
      <c r="G8" s="194">
        <v>87.996377211356702</v>
      </c>
      <c r="H8" s="195">
        <f t="shared" si="0"/>
        <v>2023.9166758612041</v>
      </c>
      <c r="I8" s="193" t="s">
        <v>541</v>
      </c>
      <c r="L8" s="225" t="s">
        <v>536</v>
      </c>
      <c r="M8" s="299">
        <v>3539578.2365082363</v>
      </c>
    </row>
    <row r="9" spans="1:13" x14ac:dyDescent="0.25">
      <c r="A9" s="192" t="s">
        <v>220</v>
      </c>
      <c r="B9" s="193" t="s">
        <v>542</v>
      </c>
      <c r="C9" s="193" t="s">
        <v>548</v>
      </c>
      <c r="D9" s="193" t="s">
        <v>549</v>
      </c>
      <c r="E9" s="193" t="s">
        <v>545</v>
      </c>
      <c r="F9" s="195">
        <v>12</v>
      </c>
      <c r="G9" s="194">
        <v>78.216827776772078</v>
      </c>
      <c r="H9" s="195">
        <f t="shared" si="0"/>
        <v>938.60193332126494</v>
      </c>
      <c r="I9" s="193" t="s">
        <v>541</v>
      </c>
      <c r="L9" s="225" t="s">
        <v>7387</v>
      </c>
      <c r="M9" s="299">
        <v>15484675.132189516</v>
      </c>
    </row>
    <row r="10" spans="1:13" x14ac:dyDescent="0.25">
      <c r="A10" s="192" t="s">
        <v>220</v>
      </c>
      <c r="B10" s="193" t="s">
        <v>542</v>
      </c>
      <c r="C10" s="193" t="s">
        <v>550</v>
      </c>
      <c r="D10" s="193" t="s">
        <v>551</v>
      </c>
      <c r="E10" s="193" t="s">
        <v>545</v>
      </c>
      <c r="F10" s="195">
        <v>10</v>
      </c>
      <c r="G10" s="194">
        <v>106.00520214225064</v>
      </c>
      <c r="H10" s="195">
        <f t="shared" si="0"/>
        <v>1060.0520214225064</v>
      </c>
      <c r="I10" s="193" t="s">
        <v>541</v>
      </c>
    </row>
    <row r="11" spans="1:13" x14ac:dyDescent="0.25">
      <c r="A11" s="192" t="s">
        <v>220</v>
      </c>
      <c r="B11" s="193" t="s">
        <v>542</v>
      </c>
      <c r="C11" s="193" t="s">
        <v>552</v>
      </c>
      <c r="D11" s="193" t="s">
        <v>553</v>
      </c>
      <c r="E11" s="193" t="s">
        <v>545</v>
      </c>
      <c r="F11" s="195">
        <v>3</v>
      </c>
      <c r="G11" s="194">
        <v>200</v>
      </c>
      <c r="H11" s="195">
        <f t="shared" si="0"/>
        <v>600</v>
      </c>
      <c r="I11" s="193" t="s">
        <v>541</v>
      </c>
    </row>
    <row r="12" spans="1:13" x14ac:dyDescent="0.25">
      <c r="A12" s="192" t="s">
        <v>220</v>
      </c>
      <c r="B12" s="193" t="s">
        <v>542</v>
      </c>
      <c r="C12" s="193" t="s">
        <v>554</v>
      </c>
      <c r="D12" s="193" t="s">
        <v>555</v>
      </c>
      <c r="E12" s="193" t="s">
        <v>545</v>
      </c>
      <c r="F12" s="195">
        <v>9</v>
      </c>
      <c r="G12" s="194">
        <v>78.140734266829696</v>
      </c>
      <c r="H12" s="195">
        <f t="shared" si="0"/>
        <v>703.26660840146724</v>
      </c>
      <c r="I12" s="193" t="s">
        <v>541</v>
      </c>
    </row>
    <row r="13" spans="1:13" x14ac:dyDescent="0.25">
      <c r="A13" s="192" t="s">
        <v>220</v>
      </c>
      <c r="B13" s="193" t="s">
        <v>542</v>
      </c>
      <c r="C13" s="193" t="s">
        <v>556</v>
      </c>
      <c r="D13" s="193" t="s">
        <v>557</v>
      </c>
      <c r="E13" s="193" t="s">
        <v>545</v>
      </c>
      <c r="F13" s="195">
        <v>9</v>
      </c>
      <c r="G13" s="194">
        <v>109.42274478352326</v>
      </c>
      <c r="H13" s="195">
        <f t="shared" si="0"/>
        <v>984.80470305170934</v>
      </c>
      <c r="I13" s="193" t="s">
        <v>541</v>
      </c>
    </row>
    <row r="14" spans="1:13" x14ac:dyDescent="0.25">
      <c r="A14" s="192" t="s">
        <v>220</v>
      </c>
      <c r="B14" s="193" t="s">
        <v>542</v>
      </c>
      <c r="C14" s="193" t="s">
        <v>558</v>
      </c>
      <c r="D14" s="193" t="s">
        <v>559</v>
      </c>
      <c r="E14" s="193" t="s">
        <v>545</v>
      </c>
      <c r="F14" s="195">
        <v>29</v>
      </c>
      <c r="G14" s="194">
        <v>136.9265116977792</v>
      </c>
      <c r="H14" s="195">
        <f t="shared" si="0"/>
        <v>3970.8688392355971</v>
      </c>
      <c r="I14" s="193" t="s">
        <v>541</v>
      </c>
    </row>
    <row r="15" spans="1:13" x14ac:dyDescent="0.25">
      <c r="A15" s="192" t="s">
        <v>220</v>
      </c>
      <c r="B15" s="193" t="s">
        <v>542</v>
      </c>
      <c r="C15" s="193" t="s">
        <v>560</v>
      </c>
      <c r="D15" s="193" t="s">
        <v>561</v>
      </c>
      <c r="E15" s="193" t="s">
        <v>545</v>
      </c>
      <c r="F15" s="195">
        <v>17</v>
      </c>
      <c r="G15" s="194">
        <v>63.717676332803727</v>
      </c>
      <c r="H15" s="195">
        <f t="shared" si="0"/>
        <v>1083.2004976576634</v>
      </c>
      <c r="I15" s="193" t="s">
        <v>541</v>
      </c>
    </row>
    <row r="16" spans="1:13" x14ac:dyDescent="0.25">
      <c r="A16" s="192" t="s">
        <v>220</v>
      </c>
      <c r="B16" s="193" t="s">
        <v>542</v>
      </c>
      <c r="C16" s="193" t="s">
        <v>562</v>
      </c>
      <c r="D16" s="193" t="s">
        <v>563</v>
      </c>
      <c r="E16" s="193" t="s">
        <v>545</v>
      </c>
      <c r="F16" s="195">
        <v>23</v>
      </c>
      <c r="G16" s="194">
        <v>65.632972530598181</v>
      </c>
      <c r="H16" s="195">
        <f t="shared" si="0"/>
        <v>1509.5583682037582</v>
      </c>
      <c r="I16" s="193" t="s">
        <v>541</v>
      </c>
    </row>
    <row r="17" spans="1:9" x14ac:dyDescent="0.25">
      <c r="A17" s="192" t="s">
        <v>220</v>
      </c>
      <c r="B17" s="193" t="s">
        <v>542</v>
      </c>
      <c r="C17" s="193" t="s">
        <v>564</v>
      </c>
      <c r="D17" s="193" t="s">
        <v>565</v>
      </c>
      <c r="E17" s="193" t="s">
        <v>545</v>
      </c>
      <c r="F17" s="195">
        <v>10</v>
      </c>
      <c r="G17" s="194">
        <v>113.74499703670401</v>
      </c>
      <c r="H17" s="195">
        <f t="shared" si="0"/>
        <v>1137.4499703670401</v>
      </c>
      <c r="I17" s="193" t="s">
        <v>541</v>
      </c>
    </row>
    <row r="18" spans="1:9" x14ac:dyDescent="0.25">
      <c r="A18" s="192" t="s">
        <v>220</v>
      </c>
      <c r="B18" s="193" t="s">
        <v>542</v>
      </c>
      <c r="C18" s="193" t="s">
        <v>566</v>
      </c>
      <c r="D18" s="193" t="s">
        <v>567</v>
      </c>
      <c r="E18" s="193" t="s">
        <v>545</v>
      </c>
      <c r="F18" s="195">
        <v>2</v>
      </c>
      <c r="G18" s="194">
        <v>137.56191368150289</v>
      </c>
      <c r="H18" s="195">
        <f t="shared" si="0"/>
        <v>275.12382736300577</v>
      </c>
      <c r="I18" s="193" t="s">
        <v>541</v>
      </c>
    </row>
    <row r="19" spans="1:9" x14ac:dyDescent="0.25">
      <c r="A19" s="192" t="s">
        <v>220</v>
      </c>
      <c r="B19" s="193" t="s">
        <v>542</v>
      </c>
      <c r="C19" s="193" t="s">
        <v>568</v>
      </c>
      <c r="D19" s="193" t="s">
        <v>569</v>
      </c>
      <c r="E19" s="193" t="s">
        <v>545</v>
      </c>
      <c r="F19" s="195">
        <v>4</v>
      </c>
      <c r="G19" s="194">
        <v>63.592549742519729</v>
      </c>
      <c r="H19" s="195">
        <f t="shared" si="0"/>
        <v>254.37019897007892</v>
      </c>
      <c r="I19" s="193" t="s">
        <v>541</v>
      </c>
    </row>
    <row r="20" spans="1:9" x14ac:dyDescent="0.25">
      <c r="A20" s="192" t="s">
        <v>220</v>
      </c>
      <c r="B20" s="193" t="s">
        <v>542</v>
      </c>
      <c r="C20" s="193" t="s">
        <v>570</v>
      </c>
      <c r="D20" s="193" t="s">
        <v>571</v>
      </c>
      <c r="E20" s="193" t="s">
        <v>545</v>
      </c>
      <c r="F20" s="195">
        <v>11</v>
      </c>
      <c r="G20" s="194">
        <v>94.482638309521434</v>
      </c>
      <c r="H20" s="195">
        <f t="shared" si="0"/>
        <v>1039.3090214047359</v>
      </c>
      <c r="I20" s="193" t="s">
        <v>541</v>
      </c>
    </row>
    <row r="21" spans="1:9" x14ac:dyDescent="0.25">
      <c r="A21" s="192" t="s">
        <v>220</v>
      </c>
      <c r="B21" s="193" t="s">
        <v>542</v>
      </c>
      <c r="C21" s="193" t="s">
        <v>572</v>
      </c>
      <c r="D21" s="193" t="s">
        <v>573</v>
      </c>
      <c r="E21" s="193" t="s">
        <v>545</v>
      </c>
      <c r="F21" s="195">
        <v>7</v>
      </c>
      <c r="G21" s="194">
        <v>107.94312813062928</v>
      </c>
      <c r="H21" s="195">
        <f t="shared" si="0"/>
        <v>755.60189691440496</v>
      </c>
      <c r="I21" s="193" t="s">
        <v>541</v>
      </c>
    </row>
    <row r="22" spans="1:9" x14ac:dyDescent="0.25">
      <c r="A22" s="192" t="s">
        <v>220</v>
      </c>
      <c r="B22" s="193" t="s">
        <v>542</v>
      </c>
      <c r="C22" s="193" t="s">
        <v>574</v>
      </c>
      <c r="D22" s="193" t="s">
        <v>575</v>
      </c>
      <c r="E22" s="193" t="s">
        <v>545</v>
      </c>
      <c r="F22" s="195">
        <v>5</v>
      </c>
      <c r="G22" s="194">
        <v>128.46247618390638</v>
      </c>
      <c r="H22" s="195">
        <f t="shared" si="0"/>
        <v>642.31238091953185</v>
      </c>
      <c r="I22" s="193" t="s">
        <v>541</v>
      </c>
    </row>
    <row r="23" spans="1:9" x14ac:dyDescent="0.25">
      <c r="A23" s="192" t="s">
        <v>220</v>
      </c>
      <c r="B23" s="193" t="s">
        <v>542</v>
      </c>
      <c r="C23" s="193" t="s">
        <v>576</v>
      </c>
      <c r="D23" s="193" t="s">
        <v>577</v>
      </c>
      <c r="E23" s="193" t="s">
        <v>545</v>
      </c>
      <c r="F23" s="195">
        <v>15</v>
      </c>
      <c r="G23" s="194">
        <v>189.94826078955131</v>
      </c>
      <c r="H23" s="195">
        <f t="shared" si="0"/>
        <v>2849.2239118432699</v>
      </c>
      <c r="I23" s="193" t="s">
        <v>541</v>
      </c>
    </row>
    <row r="24" spans="1:9" x14ac:dyDescent="0.25">
      <c r="A24" s="192" t="s">
        <v>220</v>
      </c>
      <c r="B24" s="193" t="s">
        <v>542</v>
      </c>
      <c r="C24" s="193" t="s">
        <v>578</v>
      </c>
      <c r="D24" s="193" t="s">
        <v>579</v>
      </c>
      <c r="E24" s="193" t="s">
        <v>545</v>
      </c>
      <c r="F24" s="195">
        <v>5</v>
      </c>
      <c r="G24" s="194">
        <v>150</v>
      </c>
      <c r="H24" s="195">
        <f t="shared" si="0"/>
        <v>750</v>
      </c>
      <c r="I24" s="193" t="s">
        <v>541</v>
      </c>
    </row>
    <row r="25" spans="1:9" x14ac:dyDescent="0.25">
      <c r="A25" s="192" t="s">
        <v>220</v>
      </c>
      <c r="B25" s="193" t="s">
        <v>542</v>
      </c>
      <c r="C25" s="193" t="s">
        <v>580</v>
      </c>
      <c r="D25" s="193" t="s">
        <v>581</v>
      </c>
      <c r="E25" s="193" t="s">
        <v>545</v>
      </c>
      <c r="F25" s="195">
        <v>3</v>
      </c>
      <c r="G25" s="194">
        <v>109.93111322585349</v>
      </c>
      <c r="H25" s="195">
        <f t="shared" si="0"/>
        <v>329.79333967756048</v>
      </c>
      <c r="I25" s="193" t="s">
        <v>541</v>
      </c>
    </row>
    <row r="26" spans="1:9" x14ac:dyDescent="0.25">
      <c r="A26" s="192" t="s">
        <v>220</v>
      </c>
      <c r="B26" s="193" t="s">
        <v>582</v>
      </c>
      <c r="C26" s="193" t="s">
        <v>583</v>
      </c>
      <c r="D26" s="193" t="s">
        <v>584</v>
      </c>
      <c r="E26" s="193" t="s">
        <v>545</v>
      </c>
      <c r="F26" s="195">
        <v>6</v>
      </c>
      <c r="G26" s="194">
        <v>95.841116629064643</v>
      </c>
      <c r="H26" s="195">
        <f t="shared" si="0"/>
        <v>575.04669977438789</v>
      </c>
      <c r="I26" s="193" t="s">
        <v>541</v>
      </c>
    </row>
    <row r="27" spans="1:9" x14ac:dyDescent="0.25">
      <c r="A27" s="192" t="s">
        <v>220</v>
      </c>
      <c r="B27" s="193" t="s">
        <v>582</v>
      </c>
      <c r="C27" s="193" t="s">
        <v>585</v>
      </c>
      <c r="D27" s="193" t="s">
        <v>586</v>
      </c>
      <c r="E27" s="193" t="s">
        <v>545</v>
      </c>
      <c r="F27" s="195">
        <v>5</v>
      </c>
      <c r="G27" s="194">
        <v>88.779786180633138</v>
      </c>
      <c r="H27" s="195">
        <f t="shared" si="0"/>
        <v>443.89893090316571</v>
      </c>
      <c r="I27" s="193" t="s">
        <v>541</v>
      </c>
    </row>
    <row r="28" spans="1:9" x14ac:dyDescent="0.25">
      <c r="A28" s="193" t="s">
        <v>587</v>
      </c>
      <c r="B28" s="193" t="s">
        <v>588</v>
      </c>
      <c r="C28" s="193" t="s">
        <v>589</v>
      </c>
      <c r="D28" s="193" t="s">
        <v>590</v>
      </c>
      <c r="E28" s="193" t="s">
        <v>535</v>
      </c>
      <c r="F28" s="196">
        <v>125</v>
      </c>
      <c r="G28" s="194">
        <v>12.59525825408878</v>
      </c>
      <c r="H28" s="195">
        <f t="shared" si="0"/>
        <v>1574.4072817610975</v>
      </c>
      <c r="I28" s="193" t="s">
        <v>541</v>
      </c>
    </row>
    <row r="29" spans="1:9" x14ac:dyDescent="0.25">
      <c r="A29" s="193" t="s">
        <v>587</v>
      </c>
      <c r="B29" s="193" t="s">
        <v>591</v>
      </c>
      <c r="C29" s="193" t="s">
        <v>592</v>
      </c>
      <c r="D29" s="193" t="s">
        <v>593</v>
      </c>
      <c r="E29" s="193" t="s">
        <v>535</v>
      </c>
      <c r="F29" s="196">
        <v>1099</v>
      </c>
      <c r="G29" s="194">
        <v>6.9041202636019259</v>
      </c>
      <c r="H29" s="195">
        <f t="shared" si="0"/>
        <v>7587.6281696985161</v>
      </c>
      <c r="I29" s="193" t="s">
        <v>541</v>
      </c>
    </row>
    <row r="30" spans="1:9" x14ac:dyDescent="0.25">
      <c r="A30" s="193" t="s">
        <v>587</v>
      </c>
      <c r="B30" s="193" t="s">
        <v>591</v>
      </c>
      <c r="C30" s="193" t="s">
        <v>594</v>
      </c>
      <c r="D30" s="193" t="s">
        <v>595</v>
      </c>
      <c r="E30" s="193" t="s">
        <v>535</v>
      </c>
      <c r="F30" s="196">
        <v>238</v>
      </c>
      <c r="G30" s="194">
        <v>6.8663267071618215</v>
      </c>
      <c r="H30" s="195">
        <f t="shared" si="0"/>
        <v>1634.1857563045135</v>
      </c>
      <c r="I30" s="193" t="s">
        <v>541</v>
      </c>
    </row>
    <row r="31" spans="1:9" x14ac:dyDescent="0.25">
      <c r="A31" s="193" t="s">
        <v>587</v>
      </c>
      <c r="B31" s="193" t="s">
        <v>591</v>
      </c>
      <c r="C31" s="193" t="s">
        <v>596</v>
      </c>
      <c r="D31" s="193" t="s">
        <v>597</v>
      </c>
      <c r="E31" s="193" t="s">
        <v>535</v>
      </c>
      <c r="F31" s="196">
        <v>182</v>
      </c>
      <c r="G31" s="194">
        <v>7.0286889224747169</v>
      </c>
      <c r="H31" s="195">
        <f t="shared" si="0"/>
        <v>1279.2213838903986</v>
      </c>
      <c r="I31" s="193" t="s">
        <v>541</v>
      </c>
    </row>
    <row r="32" spans="1:9" x14ac:dyDescent="0.25">
      <c r="A32" s="193" t="s">
        <v>587</v>
      </c>
      <c r="B32" s="193" t="s">
        <v>591</v>
      </c>
      <c r="C32" s="193" t="s">
        <v>598</v>
      </c>
      <c r="D32" s="193" t="s">
        <v>599</v>
      </c>
      <c r="E32" s="193" t="s">
        <v>535</v>
      </c>
      <c r="F32" s="196">
        <v>4860</v>
      </c>
      <c r="G32" s="194">
        <v>7.3343057120014175</v>
      </c>
      <c r="H32" s="195">
        <f t="shared" si="0"/>
        <v>35644.725760326888</v>
      </c>
      <c r="I32" s="193" t="s">
        <v>541</v>
      </c>
    </row>
    <row r="33" spans="1:9" x14ac:dyDescent="0.25">
      <c r="A33" s="193" t="s">
        <v>587</v>
      </c>
      <c r="B33" s="193" t="s">
        <v>591</v>
      </c>
      <c r="C33" s="193" t="s">
        <v>600</v>
      </c>
      <c r="D33" s="193" t="s">
        <v>601</v>
      </c>
      <c r="E33" s="193" t="s">
        <v>535</v>
      </c>
      <c r="F33" s="196">
        <f>560*0.474</f>
        <v>265.44</v>
      </c>
      <c r="G33" s="194">
        <v>7.0506304738667156</v>
      </c>
      <c r="H33" s="195">
        <f t="shared" si="0"/>
        <v>1871.5193529831811</v>
      </c>
      <c r="I33" s="193" t="s">
        <v>536</v>
      </c>
    </row>
    <row r="34" spans="1:9" x14ac:dyDescent="0.25">
      <c r="A34" s="193" t="s">
        <v>587</v>
      </c>
      <c r="B34" s="193" t="s">
        <v>591</v>
      </c>
      <c r="C34" s="193" t="s">
        <v>602</v>
      </c>
      <c r="D34" s="193" t="s">
        <v>603</v>
      </c>
      <c r="E34" s="193" t="s">
        <v>535</v>
      </c>
      <c r="F34" s="196">
        <f>174*0.484</f>
        <v>84.215999999999994</v>
      </c>
      <c r="G34" s="194">
        <v>7.6650690415057579</v>
      </c>
      <c r="H34" s="195">
        <f t="shared" si="0"/>
        <v>645.52145439944888</v>
      </c>
      <c r="I34" s="193" t="s">
        <v>536</v>
      </c>
    </row>
    <row r="35" spans="1:9" x14ac:dyDescent="0.25">
      <c r="A35" s="193" t="s">
        <v>587</v>
      </c>
      <c r="B35" s="193" t="s">
        <v>591</v>
      </c>
      <c r="C35" s="193" t="s">
        <v>604</v>
      </c>
      <c r="D35" s="193" t="s">
        <v>605</v>
      </c>
      <c r="E35" s="193" t="s">
        <v>535</v>
      </c>
      <c r="F35" s="196">
        <f>407*0.82</f>
        <v>333.73999999999995</v>
      </c>
      <c r="G35" s="194">
        <v>7.4361530964440723</v>
      </c>
      <c r="H35" s="195">
        <f t="shared" si="0"/>
        <v>2481.7417344072442</v>
      </c>
      <c r="I35" s="193" t="s">
        <v>536</v>
      </c>
    </row>
    <row r="36" spans="1:9" x14ac:dyDescent="0.25">
      <c r="A36" s="193" t="s">
        <v>587</v>
      </c>
      <c r="B36" s="193" t="s">
        <v>591</v>
      </c>
      <c r="C36" s="193" t="s">
        <v>606</v>
      </c>
      <c r="D36" s="193" t="s">
        <v>607</v>
      </c>
      <c r="E36" s="193" t="s">
        <v>535</v>
      </c>
      <c r="F36" s="196">
        <f>937*0.878</f>
        <v>822.68600000000004</v>
      </c>
      <c r="G36" s="194">
        <v>7.7544167830568647</v>
      </c>
      <c r="H36" s="195">
        <f t="shared" si="0"/>
        <v>6379.4501255859204</v>
      </c>
      <c r="I36" s="193" t="s">
        <v>536</v>
      </c>
    </row>
    <row r="37" spans="1:9" x14ac:dyDescent="0.25">
      <c r="A37" s="193" t="s">
        <v>587</v>
      </c>
      <c r="B37" s="193" t="s">
        <v>591</v>
      </c>
      <c r="C37" s="193" t="s">
        <v>608</v>
      </c>
      <c r="D37" s="193" t="s">
        <v>609</v>
      </c>
      <c r="E37" s="193" t="s">
        <v>535</v>
      </c>
      <c r="F37" s="196">
        <f>200*1.01</f>
        <v>202</v>
      </c>
      <c r="G37" s="194">
        <v>8.4769598691220054</v>
      </c>
      <c r="H37" s="195">
        <f t="shared" si="0"/>
        <v>1712.3458935626452</v>
      </c>
      <c r="I37" s="193" t="s">
        <v>536</v>
      </c>
    </row>
    <row r="38" spans="1:9" x14ac:dyDescent="0.25">
      <c r="A38" s="193" t="s">
        <v>587</v>
      </c>
      <c r="B38" s="193" t="s">
        <v>591</v>
      </c>
      <c r="C38" s="193" t="s">
        <v>610</v>
      </c>
      <c r="D38" s="193" t="s">
        <v>611</v>
      </c>
      <c r="E38" s="193" t="s">
        <v>535</v>
      </c>
      <c r="F38" s="196">
        <f>899*1.194</f>
        <v>1073.4059999999999</v>
      </c>
      <c r="G38" s="194">
        <v>8.5028180959957549</v>
      </c>
      <c r="H38" s="195">
        <f t="shared" si="0"/>
        <v>9126.9759611504196</v>
      </c>
      <c r="I38" s="193" t="s">
        <v>536</v>
      </c>
    </row>
    <row r="39" spans="1:9" x14ac:dyDescent="0.25">
      <c r="A39" s="193" t="s">
        <v>587</v>
      </c>
      <c r="B39" s="193" t="s">
        <v>591</v>
      </c>
      <c r="C39" s="193" t="s">
        <v>612</v>
      </c>
      <c r="D39" s="193" t="s">
        <v>613</v>
      </c>
      <c r="E39" s="193" t="s">
        <v>535</v>
      </c>
      <c r="F39" s="196">
        <f>76*1.294</f>
        <v>98.344000000000008</v>
      </c>
      <c r="G39" s="194">
        <v>8.832298905597483</v>
      </c>
      <c r="H39" s="195">
        <f t="shared" si="0"/>
        <v>868.6036035720789</v>
      </c>
      <c r="I39" s="193" t="s">
        <v>536</v>
      </c>
    </row>
    <row r="40" spans="1:9" x14ac:dyDescent="0.25">
      <c r="A40" s="193" t="s">
        <v>587</v>
      </c>
      <c r="B40" s="193" t="s">
        <v>591</v>
      </c>
      <c r="C40" s="193" t="s">
        <v>614</v>
      </c>
      <c r="D40" s="193" t="s">
        <v>615</v>
      </c>
      <c r="E40" s="193" t="s">
        <v>535</v>
      </c>
      <c r="F40" s="196">
        <f>670*1.603</f>
        <v>1074.01</v>
      </c>
      <c r="G40" s="194">
        <v>8.8391259371829669</v>
      </c>
      <c r="H40" s="195">
        <f t="shared" si="0"/>
        <v>9493.309647793878</v>
      </c>
      <c r="I40" s="193" t="s">
        <v>536</v>
      </c>
    </row>
    <row r="41" spans="1:9" x14ac:dyDescent="0.25">
      <c r="A41" s="193" t="s">
        <v>587</v>
      </c>
      <c r="B41" s="193" t="s">
        <v>591</v>
      </c>
      <c r="C41" s="193" t="s">
        <v>616</v>
      </c>
      <c r="D41" s="193" t="s">
        <v>617</v>
      </c>
      <c r="E41" s="193" t="s">
        <v>535</v>
      </c>
      <c r="F41" s="196">
        <f>153*0.96</f>
        <v>146.88</v>
      </c>
      <c r="G41" s="194">
        <v>8.0921512644837961</v>
      </c>
      <c r="H41" s="195">
        <f t="shared" si="0"/>
        <v>1188.5751777273799</v>
      </c>
      <c r="I41" s="193" t="s">
        <v>536</v>
      </c>
    </row>
    <row r="42" spans="1:9" x14ac:dyDescent="0.25">
      <c r="A42" s="193" t="s">
        <v>587</v>
      </c>
      <c r="B42" s="193" t="s">
        <v>591</v>
      </c>
      <c r="C42" s="193" t="s">
        <v>618</v>
      </c>
      <c r="D42" s="193" t="s">
        <v>619</v>
      </c>
      <c r="E42" s="193" t="s">
        <v>535</v>
      </c>
      <c r="F42" s="196">
        <f>58*1.27</f>
        <v>73.66</v>
      </c>
      <c r="G42" s="194">
        <v>7.4283869622155629</v>
      </c>
      <c r="H42" s="195">
        <f t="shared" si="0"/>
        <v>547.17498363679829</v>
      </c>
      <c r="I42" s="193" t="s">
        <v>536</v>
      </c>
    </row>
    <row r="43" spans="1:9" x14ac:dyDescent="0.25">
      <c r="A43" s="193" t="s">
        <v>587</v>
      </c>
      <c r="B43" s="193" t="s">
        <v>591</v>
      </c>
      <c r="C43" s="193" t="s">
        <v>620</v>
      </c>
      <c r="D43" s="193" t="s">
        <v>621</v>
      </c>
      <c r="E43" s="193" t="s">
        <v>535</v>
      </c>
      <c r="F43" s="196">
        <f>393*1.345</f>
        <v>528.58500000000004</v>
      </c>
      <c r="G43" s="194">
        <v>7.7544167830568647</v>
      </c>
      <c r="H43" s="195">
        <f t="shared" si="0"/>
        <v>4098.868395272113</v>
      </c>
      <c r="I43" s="193" t="s">
        <v>536</v>
      </c>
    </row>
    <row r="44" spans="1:9" x14ac:dyDescent="0.25">
      <c r="A44" s="193" t="s">
        <v>587</v>
      </c>
      <c r="B44" s="193" t="s">
        <v>591</v>
      </c>
      <c r="C44" s="193" t="s">
        <v>622</v>
      </c>
      <c r="D44" s="193" t="s">
        <v>623</v>
      </c>
      <c r="E44" s="193" t="s">
        <v>535</v>
      </c>
      <c r="F44" s="196">
        <f>494*1.8</f>
        <v>889.2</v>
      </c>
      <c r="G44" s="194">
        <v>7.3772161732989794</v>
      </c>
      <c r="H44" s="195">
        <f t="shared" si="0"/>
        <v>6559.8206212974528</v>
      </c>
      <c r="I44" s="193" t="s">
        <v>536</v>
      </c>
    </row>
    <row r="45" spans="1:9" x14ac:dyDescent="0.25">
      <c r="A45" s="193" t="s">
        <v>587</v>
      </c>
      <c r="B45" s="193" t="s">
        <v>591</v>
      </c>
      <c r="C45" s="193" t="s">
        <v>624</v>
      </c>
      <c r="D45" s="193" t="s">
        <v>625</v>
      </c>
      <c r="E45" s="193" t="s">
        <v>535</v>
      </c>
      <c r="F45" s="196">
        <f>532*1.98</f>
        <v>1053.3599999999999</v>
      </c>
      <c r="G45" s="194">
        <v>8.7299647277285519</v>
      </c>
      <c r="H45" s="195">
        <f t="shared" si="0"/>
        <v>9195.7956456001466</v>
      </c>
      <c r="I45" s="193" t="s">
        <v>536</v>
      </c>
    </row>
    <row r="46" spans="1:9" x14ac:dyDescent="0.25">
      <c r="A46" s="193" t="s">
        <v>587</v>
      </c>
      <c r="B46" s="193" t="s">
        <v>591</v>
      </c>
      <c r="C46" s="193" t="s">
        <v>626</v>
      </c>
      <c r="D46" s="193" t="s">
        <v>627</v>
      </c>
      <c r="E46" s="193" t="s">
        <v>535</v>
      </c>
      <c r="F46" s="196">
        <f>310*2.415</f>
        <v>748.65</v>
      </c>
      <c r="G46" s="194">
        <v>8.6902090225683519</v>
      </c>
      <c r="H46" s="195">
        <f t="shared" si="0"/>
        <v>6505.9249847457968</v>
      </c>
      <c r="I46" s="193" t="s">
        <v>536</v>
      </c>
    </row>
    <row r="47" spans="1:9" x14ac:dyDescent="0.25">
      <c r="A47" s="193" t="s">
        <v>587</v>
      </c>
      <c r="B47" s="193" t="s">
        <v>591</v>
      </c>
      <c r="C47" s="193" t="s">
        <v>628</v>
      </c>
      <c r="D47" s="193" t="s">
        <v>629</v>
      </c>
      <c r="E47" s="193" t="s">
        <v>535</v>
      </c>
      <c r="F47" s="196">
        <f>52*1.49</f>
        <v>77.48</v>
      </c>
      <c r="G47" s="194">
        <v>6.8178738539770114</v>
      </c>
      <c r="H47" s="195">
        <f t="shared" si="0"/>
        <v>528.24886620613881</v>
      </c>
      <c r="I47" s="193" t="s">
        <v>536</v>
      </c>
    </row>
    <row r="48" spans="1:9" x14ac:dyDescent="0.25">
      <c r="A48" s="193" t="s">
        <v>587</v>
      </c>
      <c r="B48" s="193" t="s">
        <v>591</v>
      </c>
      <c r="C48" s="193" t="s">
        <v>630</v>
      </c>
      <c r="D48" s="193" t="s">
        <v>631</v>
      </c>
      <c r="E48" s="193" t="s">
        <v>535</v>
      </c>
      <c r="F48" s="196">
        <f>23*1.74</f>
        <v>40.020000000000003</v>
      </c>
      <c r="G48" s="194">
        <v>6.8589529357986541</v>
      </c>
      <c r="H48" s="195">
        <f t="shared" si="0"/>
        <v>274.49529649066216</v>
      </c>
      <c r="I48" s="193" t="s">
        <v>536</v>
      </c>
    </row>
    <row r="49" spans="1:9" x14ac:dyDescent="0.25">
      <c r="A49" s="193" t="s">
        <v>587</v>
      </c>
      <c r="B49" s="193" t="s">
        <v>591</v>
      </c>
      <c r="C49" s="193" t="s">
        <v>632</v>
      </c>
      <c r="D49" s="193" t="s">
        <v>633</v>
      </c>
      <c r="E49" s="193" t="s">
        <v>535</v>
      </c>
      <c r="F49" s="196">
        <f>82*2.212</f>
        <v>181.38400000000001</v>
      </c>
      <c r="G49" s="194">
        <v>6.5569278975198806</v>
      </c>
      <c r="H49" s="195">
        <f t="shared" si="0"/>
        <v>1189.3218097637462</v>
      </c>
      <c r="I49" s="193" t="s">
        <v>536</v>
      </c>
    </row>
    <row r="50" spans="1:9" x14ac:dyDescent="0.25">
      <c r="A50" s="193" t="s">
        <v>587</v>
      </c>
      <c r="B50" s="193" t="s">
        <v>591</v>
      </c>
      <c r="C50" s="193" t="s">
        <v>634</v>
      </c>
      <c r="D50" s="193" t="s">
        <v>635</v>
      </c>
      <c r="E50" s="193" t="s">
        <v>535</v>
      </c>
      <c r="F50" s="196">
        <f>156*2.71</f>
        <v>422.76</v>
      </c>
      <c r="G50" s="194">
        <v>6.2847301690408353</v>
      </c>
      <c r="H50" s="195">
        <f t="shared" si="0"/>
        <v>2656.9325262637035</v>
      </c>
      <c r="I50" s="193" t="s">
        <v>536</v>
      </c>
    </row>
    <row r="51" spans="1:9" x14ac:dyDescent="0.25">
      <c r="A51" s="193" t="s">
        <v>587</v>
      </c>
      <c r="B51" s="193" t="s">
        <v>591</v>
      </c>
      <c r="C51" s="193" t="s">
        <v>537</v>
      </c>
      <c r="D51" s="193" t="s">
        <v>636</v>
      </c>
      <c r="E51" s="193" t="s">
        <v>545</v>
      </c>
      <c r="F51" s="196">
        <v>23588</v>
      </c>
      <c r="G51" s="194">
        <v>6.8542391322811929</v>
      </c>
      <c r="H51" s="195">
        <f t="shared" si="0"/>
        <v>161677.79265224878</v>
      </c>
      <c r="I51" s="193" t="s">
        <v>536</v>
      </c>
    </row>
    <row r="52" spans="1:9" x14ac:dyDescent="0.25">
      <c r="A52" s="193" t="s">
        <v>587</v>
      </c>
      <c r="B52" s="193" t="s">
        <v>588</v>
      </c>
      <c r="C52" s="193" t="s">
        <v>637</v>
      </c>
      <c r="D52" s="193" t="s">
        <v>638</v>
      </c>
      <c r="E52" s="193" t="s">
        <v>639</v>
      </c>
      <c r="F52" s="196">
        <v>162400</v>
      </c>
      <c r="G52" s="194">
        <v>0.16125131554631233</v>
      </c>
      <c r="H52" s="195">
        <f t="shared" si="0"/>
        <v>26187.213644721123</v>
      </c>
      <c r="I52" s="193" t="s">
        <v>541</v>
      </c>
    </row>
    <row r="53" spans="1:9" x14ac:dyDescent="0.25">
      <c r="A53" s="193" t="s">
        <v>587</v>
      </c>
      <c r="B53" s="193" t="s">
        <v>588</v>
      </c>
      <c r="C53" s="193" t="s">
        <v>640</v>
      </c>
      <c r="D53" s="193" t="s">
        <v>641</v>
      </c>
      <c r="E53" s="193" t="s">
        <v>639</v>
      </c>
      <c r="F53" s="196">
        <v>162480</v>
      </c>
      <c r="G53" s="194">
        <v>0.17487530736052098</v>
      </c>
      <c r="H53" s="195">
        <f t="shared" si="0"/>
        <v>28413.739939937448</v>
      </c>
      <c r="I53" s="193" t="s">
        <v>541</v>
      </c>
    </row>
    <row r="54" spans="1:9" x14ac:dyDescent="0.25">
      <c r="A54" s="193" t="s">
        <v>587</v>
      </c>
      <c r="B54" s="193" t="s">
        <v>588</v>
      </c>
      <c r="C54" s="193" t="s">
        <v>642</v>
      </c>
      <c r="D54" s="193" t="s">
        <v>643</v>
      </c>
      <c r="E54" s="193" t="s">
        <v>639</v>
      </c>
      <c r="F54" s="196">
        <v>37360</v>
      </c>
      <c r="G54" s="194">
        <v>0.17960028418424487</v>
      </c>
      <c r="H54" s="195">
        <f t="shared" si="0"/>
        <v>6709.8666171233881</v>
      </c>
      <c r="I54" s="193" t="s">
        <v>541</v>
      </c>
    </row>
    <row r="55" spans="1:9" x14ac:dyDescent="0.25">
      <c r="A55" s="193" t="s">
        <v>587</v>
      </c>
      <c r="B55" s="193" t="s">
        <v>588</v>
      </c>
      <c r="C55" s="193" t="s">
        <v>644</v>
      </c>
      <c r="D55" s="193" t="s">
        <v>645</v>
      </c>
      <c r="E55" s="193" t="s">
        <v>545</v>
      </c>
      <c r="F55" s="196">
        <v>4454</v>
      </c>
      <c r="G55" s="194">
        <v>0.9110590188837957</v>
      </c>
      <c r="H55" s="195">
        <f t="shared" si="0"/>
        <v>4057.8568701084259</v>
      </c>
      <c r="I55" s="193" t="s">
        <v>541</v>
      </c>
    </row>
    <row r="56" spans="1:9" x14ac:dyDescent="0.25">
      <c r="A56" s="193" t="s">
        <v>587</v>
      </c>
      <c r="B56" s="193" t="s">
        <v>588</v>
      </c>
      <c r="C56" s="193" t="s">
        <v>646</v>
      </c>
      <c r="D56" s="193" t="s">
        <v>647</v>
      </c>
      <c r="E56" s="193" t="s">
        <v>545</v>
      </c>
      <c r="F56" s="196">
        <v>3020</v>
      </c>
      <c r="G56" s="194">
        <v>1.2732299853104208</v>
      </c>
      <c r="H56" s="195">
        <f t="shared" si="0"/>
        <v>3845.1545556374708</v>
      </c>
      <c r="I56" s="193" t="s">
        <v>541</v>
      </c>
    </row>
    <row r="57" spans="1:9" x14ac:dyDescent="0.25">
      <c r="A57" s="193" t="s">
        <v>587</v>
      </c>
      <c r="B57" s="193" t="s">
        <v>588</v>
      </c>
      <c r="C57" s="193" t="s">
        <v>648</v>
      </c>
      <c r="D57" s="193" t="s">
        <v>649</v>
      </c>
      <c r="E57" s="193" t="s">
        <v>545</v>
      </c>
      <c r="F57" s="196">
        <v>5642</v>
      </c>
      <c r="G57" s="194">
        <v>1.1599999999999999</v>
      </c>
      <c r="H57" s="195">
        <f t="shared" si="0"/>
        <v>6544.7199999999993</v>
      </c>
      <c r="I57" s="193" t="s">
        <v>541</v>
      </c>
    </row>
    <row r="58" spans="1:9" x14ac:dyDescent="0.25">
      <c r="A58" s="193" t="s">
        <v>587</v>
      </c>
      <c r="B58" s="193" t="s">
        <v>588</v>
      </c>
      <c r="C58" s="193" t="s">
        <v>650</v>
      </c>
      <c r="D58" s="193" t="s">
        <v>651</v>
      </c>
      <c r="E58" s="193" t="s">
        <v>545</v>
      </c>
      <c r="F58" s="196">
        <v>4173</v>
      </c>
      <c r="G58" s="194">
        <v>1.5528073028453109</v>
      </c>
      <c r="H58" s="195">
        <f t="shared" si="0"/>
        <v>6479.8648747734824</v>
      </c>
      <c r="I58" s="193" t="s">
        <v>541</v>
      </c>
    </row>
    <row r="59" spans="1:9" x14ac:dyDescent="0.25">
      <c r="A59" s="193" t="s">
        <v>587</v>
      </c>
      <c r="B59" s="193" t="s">
        <v>588</v>
      </c>
      <c r="C59" s="193" t="s">
        <v>652</v>
      </c>
      <c r="D59" s="193" t="s">
        <v>653</v>
      </c>
      <c r="E59" s="193" t="s">
        <v>545</v>
      </c>
      <c r="F59" s="196">
        <v>13202</v>
      </c>
      <c r="G59" s="194">
        <v>2.0020728508573535</v>
      </c>
      <c r="H59" s="195">
        <f t="shared" si="0"/>
        <v>26431.365777018782</v>
      </c>
      <c r="I59" s="193" t="s">
        <v>541</v>
      </c>
    </row>
    <row r="60" spans="1:9" x14ac:dyDescent="0.25">
      <c r="A60" s="193" t="s">
        <v>587</v>
      </c>
      <c r="B60" s="193" t="s">
        <v>588</v>
      </c>
      <c r="C60" s="193" t="s">
        <v>654</v>
      </c>
      <c r="D60" s="193" t="s">
        <v>655</v>
      </c>
      <c r="E60" s="193" t="s">
        <v>545</v>
      </c>
      <c r="F60" s="196">
        <v>6850</v>
      </c>
      <c r="G60" s="194">
        <v>2.0513940839436202</v>
      </c>
      <c r="H60" s="195">
        <f t="shared" si="0"/>
        <v>14052.049475013799</v>
      </c>
      <c r="I60" s="193" t="s">
        <v>541</v>
      </c>
    </row>
    <row r="61" spans="1:9" x14ac:dyDescent="0.25">
      <c r="A61" s="193" t="s">
        <v>587</v>
      </c>
      <c r="B61" s="193" t="s">
        <v>588</v>
      </c>
      <c r="C61" s="193" t="s">
        <v>656</v>
      </c>
      <c r="D61" s="193" t="s">
        <v>657</v>
      </c>
      <c r="E61" s="193" t="s">
        <v>545</v>
      </c>
      <c r="F61" s="196">
        <v>6522</v>
      </c>
      <c r="G61" s="194">
        <v>2.4307877683110286</v>
      </c>
      <c r="H61" s="195">
        <f t="shared" si="0"/>
        <v>15853.597824924529</v>
      </c>
      <c r="I61" s="193" t="s">
        <v>541</v>
      </c>
    </row>
    <row r="62" spans="1:9" x14ac:dyDescent="0.25">
      <c r="A62" s="193" t="s">
        <v>587</v>
      </c>
      <c r="B62" s="193" t="s">
        <v>588</v>
      </c>
      <c r="C62" s="193" t="s">
        <v>658</v>
      </c>
      <c r="D62" s="193" t="s">
        <v>659</v>
      </c>
      <c r="E62" s="193" t="s">
        <v>545</v>
      </c>
      <c r="F62" s="196">
        <v>1500</v>
      </c>
      <c r="G62" s="194">
        <v>0.16930875675675675</v>
      </c>
      <c r="H62" s="195">
        <f t="shared" si="0"/>
        <v>253.9631351351351</v>
      </c>
      <c r="I62" s="193" t="s">
        <v>541</v>
      </c>
    </row>
    <row r="63" spans="1:9" x14ac:dyDescent="0.25">
      <c r="A63" s="193" t="s">
        <v>587</v>
      </c>
      <c r="B63" s="193" t="s">
        <v>588</v>
      </c>
      <c r="C63" s="193" t="s">
        <v>660</v>
      </c>
      <c r="D63" s="193" t="s">
        <v>661</v>
      </c>
      <c r="E63" s="193" t="s">
        <v>545</v>
      </c>
      <c r="F63" s="196">
        <v>6000</v>
      </c>
      <c r="G63" s="194">
        <v>0.20156250000000001</v>
      </c>
      <c r="H63" s="195">
        <f t="shared" si="0"/>
        <v>1209.375</v>
      </c>
      <c r="I63" s="193" t="s">
        <v>541</v>
      </c>
    </row>
    <row r="64" spans="1:9" x14ac:dyDescent="0.25">
      <c r="A64" s="193" t="s">
        <v>587</v>
      </c>
      <c r="B64" s="193" t="s">
        <v>588</v>
      </c>
      <c r="C64" s="193" t="s">
        <v>662</v>
      </c>
      <c r="D64" s="193" t="s">
        <v>663</v>
      </c>
      <c r="E64" s="193" t="s">
        <v>535</v>
      </c>
      <c r="F64" s="196">
        <v>43</v>
      </c>
      <c r="G64" s="194">
        <v>4.9119230518542043</v>
      </c>
      <c r="H64" s="195">
        <f t="shared" si="0"/>
        <v>211.21269122973078</v>
      </c>
      <c r="I64" s="193" t="s">
        <v>541</v>
      </c>
    </row>
    <row r="65" spans="1:9" x14ac:dyDescent="0.25">
      <c r="A65" s="193" t="s">
        <v>587</v>
      </c>
      <c r="B65" s="193" t="s">
        <v>588</v>
      </c>
      <c r="C65" s="193" t="s">
        <v>664</v>
      </c>
      <c r="D65" s="193" t="s">
        <v>665</v>
      </c>
      <c r="E65" s="193" t="s">
        <v>545</v>
      </c>
      <c r="F65" s="196">
        <v>140</v>
      </c>
      <c r="G65" s="194">
        <v>3.2312791788981139</v>
      </c>
      <c r="H65" s="195">
        <f t="shared" si="0"/>
        <v>452.37908504573596</v>
      </c>
      <c r="I65" s="193" t="s">
        <v>541</v>
      </c>
    </row>
    <row r="66" spans="1:9" x14ac:dyDescent="0.25">
      <c r="A66" s="193" t="s">
        <v>587</v>
      </c>
      <c r="B66" s="193" t="s">
        <v>588</v>
      </c>
      <c r="C66" s="193" t="s">
        <v>666</v>
      </c>
      <c r="D66" s="193" t="s">
        <v>667</v>
      </c>
      <c r="E66" s="193" t="s">
        <v>535</v>
      </c>
      <c r="F66" s="196">
        <v>160</v>
      </c>
      <c r="G66" s="194">
        <v>14.447026627672727</v>
      </c>
      <c r="H66" s="195">
        <f t="shared" si="0"/>
        <v>2311.5242604276364</v>
      </c>
      <c r="I66" s="193" t="s">
        <v>541</v>
      </c>
    </row>
    <row r="67" spans="1:9" x14ac:dyDescent="0.25">
      <c r="A67" s="193" t="s">
        <v>587</v>
      </c>
      <c r="B67" s="193" t="s">
        <v>588</v>
      </c>
      <c r="C67" s="193" t="s">
        <v>668</v>
      </c>
      <c r="D67" s="193" t="s">
        <v>669</v>
      </c>
      <c r="E67" s="193" t="s">
        <v>535</v>
      </c>
      <c r="F67" s="196">
        <v>640</v>
      </c>
      <c r="G67" s="194">
        <v>13.541652250000002</v>
      </c>
      <c r="H67" s="195">
        <f t="shared" si="0"/>
        <v>8666.6574400000009</v>
      </c>
      <c r="I67" s="193" t="s">
        <v>541</v>
      </c>
    </row>
    <row r="68" spans="1:9" x14ac:dyDescent="0.25">
      <c r="A68" s="193" t="s">
        <v>587</v>
      </c>
      <c r="B68" s="193" t="s">
        <v>588</v>
      </c>
      <c r="C68" s="193" t="s">
        <v>670</v>
      </c>
      <c r="D68" s="193" t="s">
        <v>671</v>
      </c>
      <c r="E68" s="193" t="s">
        <v>535</v>
      </c>
      <c r="F68" s="196">
        <v>75</v>
      </c>
      <c r="G68" s="194">
        <v>23</v>
      </c>
      <c r="H68" s="195">
        <f t="shared" si="0"/>
        <v>1725</v>
      </c>
      <c r="I68" s="193" t="s">
        <v>541</v>
      </c>
    </row>
    <row r="69" spans="1:9" x14ac:dyDescent="0.25">
      <c r="A69" s="193" t="s">
        <v>587</v>
      </c>
      <c r="B69" s="193" t="s">
        <v>591</v>
      </c>
      <c r="C69" s="193" t="s">
        <v>672</v>
      </c>
      <c r="D69" s="193" t="s">
        <v>673</v>
      </c>
      <c r="E69" s="193" t="s">
        <v>535</v>
      </c>
      <c r="F69" s="196">
        <v>3500</v>
      </c>
      <c r="G69" s="194">
        <v>5.5880182149105089</v>
      </c>
      <c r="H69" s="195">
        <f t="shared" ref="H69:H132" si="1">+F69*G69</f>
        <v>19558.063752186779</v>
      </c>
      <c r="I69" s="193" t="s">
        <v>541</v>
      </c>
    </row>
    <row r="70" spans="1:9" x14ac:dyDescent="0.25">
      <c r="A70" s="193" t="s">
        <v>587</v>
      </c>
      <c r="B70" s="193" t="s">
        <v>591</v>
      </c>
      <c r="C70" s="193" t="s">
        <v>539</v>
      </c>
      <c r="D70" s="193" t="s">
        <v>674</v>
      </c>
      <c r="E70" s="193" t="s">
        <v>535</v>
      </c>
      <c r="F70" s="196">
        <v>5400</v>
      </c>
      <c r="G70" s="194">
        <v>5.6104583436708264</v>
      </c>
      <c r="H70" s="195">
        <f t="shared" si="1"/>
        <v>30296.475055822462</v>
      </c>
      <c r="I70" s="193" t="s">
        <v>541</v>
      </c>
    </row>
    <row r="71" spans="1:9" x14ac:dyDescent="0.25">
      <c r="A71" s="193" t="s">
        <v>587</v>
      </c>
      <c r="B71" s="193" t="s">
        <v>591</v>
      </c>
      <c r="C71" s="193" t="s">
        <v>675</v>
      </c>
      <c r="D71" s="193" t="s">
        <v>676</v>
      </c>
      <c r="E71" s="193" t="s">
        <v>535</v>
      </c>
      <c r="F71" s="196">
        <f>12000+2730</f>
        <v>14730</v>
      </c>
      <c r="G71" s="194">
        <v>5.9448965406431897</v>
      </c>
      <c r="H71" s="195">
        <f t="shared" si="1"/>
        <v>87568.326043674184</v>
      </c>
      <c r="I71" s="193" t="s">
        <v>541</v>
      </c>
    </row>
    <row r="72" spans="1:9" x14ac:dyDescent="0.25">
      <c r="A72" s="193" t="s">
        <v>587</v>
      </c>
      <c r="B72" s="193" t="s">
        <v>591</v>
      </c>
      <c r="C72" s="193" t="s">
        <v>677</v>
      </c>
      <c r="D72" s="193" t="s">
        <v>678</v>
      </c>
      <c r="E72" s="193" t="s">
        <v>535</v>
      </c>
      <c r="F72" s="196">
        <v>15000</v>
      </c>
      <c r="G72" s="194">
        <v>5.5939631280173145</v>
      </c>
      <c r="H72" s="195">
        <f t="shared" si="1"/>
        <v>83909.446920259725</v>
      </c>
      <c r="I72" s="193" t="s">
        <v>541</v>
      </c>
    </row>
    <row r="73" spans="1:9" x14ac:dyDescent="0.25">
      <c r="A73" s="193" t="s">
        <v>587</v>
      </c>
      <c r="B73" s="193" t="s">
        <v>591</v>
      </c>
      <c r="C73" s="193" t="s">
        <v>677</v>
      </c>
      <c r="D73" s="193" t="s">
        <v>679</v>
      </c>
      <c r="E73" s="193" t="s">
        <v>535</v>
      </c>
      <c r="F73" s="196">
        <v>1302</v>
      </c>
      <c r="G73" s="194">
        <v>5.5939631280173145</v>
      </c>
      <c r="H73" s="195">
        <f t="shared" si="1"/>
        <v>7283.3399926785432</v>
      </c>
      <c r="I73" s="193" t="s">
        <v>541</v>
      </c>
    </row>
    <row r="74" spans="1:9" x14ac:dyDescent="0.25">
      <c r="A74" s="193" t="s">
        <v>587</v>
      </c>
      <c r="B74" s="193" t="s">
        <v>588</v>
      </c>
      <c r="C74" s="193" t="s">
        <v>680</v>
      </c>
      <c r="D74" s="193" t="s">
        <v>681</v>
      </c>
      <c r="E74" s="193" t="s">
        <v>545</v>
      </c>
      <c r="F74" s="196">
        <v>33</v>
      </c>
      <c r="G74" s="194">
        <v>5.4087843099460295</v>
      </c>
      <c r="H74" s="195">
        <f t="shared" si="1"/>
        <v>178.48988222821899</v>
      </c>
      <c r="I74" s="193" t="s">
        <v>541</v>
      </c>
    </row>
    <row r="75" spans="1:9" x14ac:dyDescent="0.25">
      <c r="A75" s="193" t="s">
        <v>587</v>
      </c>
      <c r="B75" s="193" t="s">
        <v>588</v>
      </c>
      <c r="C75" s="193" t="s">
        <v>682</v>
      </c>
      <c r="D75" s="193" t="s">
        <v>683</v>
      </c>
      <c r="E75" s="193" t="s">
        <v>545</v>
      </c>
      <c r="F75" s="196">
        <v>1500</v>
      </c>
      <c r="G75" s="194">
        <v>0.20200000000000001</v>
      </c>
      <c r="H75" s="195">
        <f t="shared" si="1"/>
        <v>303</v>
      </c>
      <c r="I75" s="193" t="s">
        <v>541</v>
      </c>
    </row>
    <row r="76" spans="1:9" x14ac:dyDescent="0.25">
      <c r="A76" s="193" t="s">
        <v>587</v>
      </c>
      <c r="B76" s="193" t="s">
        <v>588</v>
      </c>
      <c r="C76" s="193" t="s">
        <v>684</v>
      </c>
      <c r="D76" s="193" t="s">
        <v>685</v>
      </c>
      <c r="E76" s="193" t="s">
        <v>545</v>
      </c>
      <c r="F76" s="196">
        <v>500</v>
      </c>
      <c r="G76" s="194">
        <v>0.35349999999999998</v>
      </c>
      <c r="H76" s="195">
        <f t="shared" si="1"/>
        <v>176.75</v>
      </c>
      <c r="I76" s="193" t="s">
        <v>541</v>
      </c>
    </row>
    <row r="77" spans="1:9" x14ac:dyDescent="0.25">
      <c r="A77" s="193" t="s">
        <v>587</v>
      </c>
      <c r="B77" s="193" t="s">
        <v>588</v>
      </c>
      <c r="C77" s="193" t="s">
        <v>686</v>
      </c>
      <c r="D77" s="193" t="s">
        <v>687</v>
      </c>
      <c r="E77" s="193" t="s">
        <v>545</v>
      </c>
      <c r="F77" s="196">
        <v>500</v>
      </c>
      <c r="G77" s="194">
        <v>0.35349999999999998</v>
      </c>
      <c r="H77" s="195">
        <f t="shared" si="1"/>
        <v>176.75</v>
      </c>
      <c r="I77" s="193" t="s">
        <v>541</v>
      </c>
    </row>
    <row r="78" spans="1:9" x14ac:dyDescent="0.25">
      <c r="A78" s="193" t="s">
        <v>587</v>
      </c>
      <c r="B78" s="193" t="s">
        <v>588</v>
      </c>
      <c r="C78" s="193" t="s">
        <v>688</v>
      </c>
      <c r="D78" s="193" t="s">
        <v>689</v>
      </c>
      <c r="E78" s="193" t="s">
        <v>545</v>
      </c>
      <c r="F78" s="196">
        <v>9</v>
      </c>
      <c r="G78" s="194">
        <v>352.43900000000002</v>
      </c>
      <c r="H78" s="195">
        <f t="shared" si="1"/>
        <v>3171.951</v>
      </c>
      <c r="I78" s="193" t="s">
        <v>541</v>
      </c>
    </row>
    <row r="79" spans="1:9" x14ac:dyDescent="0.25">
      <c r="A79" s="193" t="s">
        <v>587</v>
      </c>
      <c r="B79" s="193" t="s">
        <v>591</v>
      </c>
      <c r="C79" s="193" t="s">
        <v>690</v>
      </c>
      <c r="D79" s="193" t="s">
        <v>691</v>
      </c>
      <c r="E79" s="193" t="s">
        <v>535</v>
      </c>
      <c r="F79" s="196">
        <f>213*2.34</f>
        <v>498.41999999999996</v>
      </c>
      <c r="G79" s="194">
        <v>6.3979047810123637</v>
      </c>
      <c r="H79" s="195">
        <f t="shared" si="1"/>
        <v>3188.8437009521822</v>
      </c>
      <c r="I79" s="193" t="s">
        <v>536</v>
      </c>
    </row>
    <row r="80" spans="1:9" x14ac:dyDescent="0.25">
      <c r="A80" s="193" t="s">
        <v>587</v>
      </c>
      <c r="B80" s="193" t="s">
        <v>591</v>
      </c>
      <c r="C80" s="193" t="s">
        <v>692</v>
      </c>
      <c r="D80" s="193" t="s">
        <v>693</v>
      </c>
      <c r="E80" s="193" t="s">
        <v>535</v>
      </c>
      <c r="F80" s="196">
        <v>904</v>
      </c>
      <c r="G80" s="194">
        <v>6.8663267071618215</v>
      </c>
      <c r="H80" s="195">
        <f t="shared" si="1"/>
        <v>6207.1593432742866</v>
      </c>
      <c r="I80" s="193" t="s">
        <v>536</v>
      </c>
    </row>
    <row r="81" spans="1:9" x14ac:dyDescent="0.25">
      <c r="A81" s="193" t="s">
        <v>587</v>
      </c>
      <c r="B81" s="193" t="s">
        <v>591</v>
      </c>
      <c r="C81" s="193" t="s">
        <v>694</v>
      </c>
      <c r="D81" s="193" t="s">
        <v>695</v>
      </c>
      <c r="E81" s="193" t="s">
        <v>535</v>
      </c>
      <c r="F81" s="196">
        <v>178</v>
      </c>
      <c r="G81" s="194">
        <v>6.8987045098292814</v>
      </c>
      <c r="H81" s="195">
        <f t="shared" si="1"/>
        <v>1227.9694027496121</v>
      </c>
      <c r="I81" s="193" t="s">
        <v>536</v>
      </c>
    </row>
    <row r="82" spans="1:9" x14ac:dyDescent="0.25">
      <c r="A82" s="193" t="s">
        <v>587</v>
      </c>
      <c r="B82" s="193" t="s">
        <v>591</v>
      </c>
      <c r="C82" s="193" t="s">
        <v>696</v>
      </c>
      <c r="D82" s="193" t="s">
        <v>697</v>
      </c>
      <c r="E82" s="193" t="s">
        <v>535</v>
      </c>
      <c r="F82" s="196">
        <v>132</v>
      </c>
      <c r="G82" s="194">
        <v>6.9313281354440477</v>
      </c>
      <c r="H82" s="195">
        <f t="shared" si="1"/>
        <v>914.93531387861435</v>
      </c>
      <c r="I82" s="193" t="s">
        <v>536</v>
      </c>
    </row>
    <row r="83" spans="1:9" x14ac:dyDescent="0.25">
      <c r="A83" s="193" t="s">
        <v>587</v>
      </c>
      <c r="B83" s="193" t="s">
        <v>591</v>
      </c>
      <c r="C83" s="193" t="s">
        <v>698</v>
      </c>
      <c r="D83" s="193" t="s">
        <v>699</v>
      </c>
      <c r="E83" s="193" t="s">
        <v>535</v>
      </c>
      <c r="F83" s="196">
        <f>1700*0.202</f>
        <v>343.40000000000003</v>
      </c>
      <c r="G83" s="194">
        <v>6.8663267071618224</v>
      </c>
      <c r="H83" s="195">
        <f t="shared" si="1"/>
        <v>2357.8965912393701</v>
      </c>
      <c r="I83" s="193" t="s">
        <v>536</v>
      </c>
    </row>
    <row r="84" spans="1:9" x14ac:dyDescent="0.25">
      <c r="A84" s="193" t="s">
        <v>587</v>
      </c>
      <c r="B84" s="193" t="s">
        <v>588</v>
      </c>
      <c r="C84" s="193" t="s">
        <v>700</v>
      </c>
      <c r="D84" s="193" t="s">
        <v>701</v>
      </c>
      <c r="E84" s="193" t="s">
        <v>545</v>
      </c>
      <c r="F84" s="196">
        <v>2</v>
      </c>
      <c r="G84" s="194">
        <v>30.505706430295458</v>
      </c>
      <c r="H84" s="195">
        <f t="shared" si="1"/>
        <v>61.011412860590916</v>
      </c>
      <c r="I84" s="193" t="s">
        <v>541</v>
      </c>
    </row>
    <row r="85" spans="1:9" x14ac:dyDescent="0.25">
      <c r="A85" s="192" t="s">
        <v>220</v>
      </c>
      <c r="B85" s="193" t="s">
        <v>702</v>
      </c>
      <c r="C85" s="193" t="s">
        <v>703</v>
      </c>
      <c r="D85" s="193" t="s">
        <v>704</v>
      </c>
      <c r="E85" s="193" t="s">
        <v>535</v>
      </c>
      <c r="F85" s="196">
        <v>69880</v>
      </c>
      <c r="G85" s="194">
        <v>0.60148039894786609</v>
      </c>
      <c r="H85" s="195">
        <f t="shared" si="1"/>
        <v>42031.450278476885</v>
      </c>
      <c r="I85" s="193" t="s">
        <v>541</v>
      </c>
    </row>
    <row r="86" spans="1:9" x14ac:dyDescent="0.25">
      <c r="A86" s="192" t="s">
        <v>220</v>
      </c>
      <c r="B86" s="193" t="s">
        <v>702</v>
      </c>
      <c r="C86" s="193" t="s">
        <v>705</v>
      </c>
      <c r="D86" s="193" t="s">
        <v>706</v>
      </c>
      <c r="E86" s="193" t="s">
        <v>535</v>
      </c>
      <c r="F86" s="196">
        <v>300</v>
      </c>
      <c r="G86" s="194">
        <v>2.8988715896651813</v>
      </c>
      <c r="H86" s="195">
        <f t="shared" si="1"/>
        <v>869.66147689955437</v>
      </c>
      <c r="I86" s="193" t="s">
        <v>541</v>
      </c>
    </row>
    <row r="87" spans="1:9" x14ac:dyDescent="0.25">
      <c r="A87" s="192" t="s">
        <v>220</v>
      </c>
      <c r="B87" s="193" t="s">
        <v>702</v>
      </c>
      <c r="C87" s="193" t="s">
        <v>707</v>
      </c>
      <c r="D87" s="193" t="s">
        <v>373</v>
      </c>
      <c r="E87" s="193" t="s">
        <v>535</v>
      </c>
      <c r="F87" s="196">
        <v>775</v>
      </c>
      <c r="G87" s="194">
        <v>1.35</v>
      </c>
      <c r="H87" s="195">
        <f t="shared" si="1"/>
        <v>1046.25</v>
      </c>
      <c r="I87" s="193" t="s">
        <v>541</v>
      </c>
    </row>
    <row r="88" spans="1:9" x14ac:dyDescent="0.25">
      <c r="A88" s="192" t="s">
        <v>220</v>
      </c>
      <c r="B88" s="193" t="s">
        <v>702</v>
      </c>
      <c r="C88" s="193"/>
      <c r="D88" s="193" t="s">
        <v>708</v>
      </c>
      <c r="E88" s="193" t="s">
        <v>535</v>
      </c>
      <c r="F88" s="196">
        <v>22000</v>
      </c>
      <c r="G88" s="194">
        <v>0.20898112965805649</v>
      </c>
      <c r="H88" s="195">
        <f t="shared" si="1"/>
        <v>4597.5848524772427</v>
      </c>
      <c r="I88" s="193" t="s">
        <v>541</v>
      </c>
    </row>
    <row r="89" spans="1:9" x14ac:dyDescent="0.25">
      <c r="A89" s="192" t="s">
        <v>220</v>
      </c>
      <c r="B89" s="193" t="s">
        <v>702</v>
      </c>
      <c r="C89" s="193"/>
      <c r="D89" s="193" t="s">
        <v>709</v>
      </c>
      <c r="E89" s="193" t="s">
        <v>535</v>
      </c>
      <c r="F89" s="196">
        <v>5000</v>
      </c>
      <c r="G89" s="194">
        <v>0.20898112965805649</v>
      </c>
      <c r="H89" s="195">
        <f t="shared" si="1"/>
        <v>1044.9056482902824</v>
      </c>
      <c r="I89" s="193" t="s">
        <v>541</v>
      </c>
    </row>
    <row r="90" spans="1:9" x14ac:dyDescent="0.25">
      <c r="A90" s="192" t="s">
        <v>220</v>
      </c>
      <c r="B90" s="193" t="s">
        <v>702</v>
      </c>
      <c r="C90" s="193"/>
      <c r="D90" s="193" t="s">
        <v>710</v>
      </c>
      <c r="E90" s="193" t="s">
        <v>535</v>
      </c>
      <c r="F90" s="196">
        <v>4000</v>
      </c>
      <c r="G90" s="194">
        <v>0.20898112965805649</v>
      </c>
      <c r="H90" s="195">
        <f t="shared" si="1"/>
        <v>835.92451863222595</v>
      </c>
      <c r="I90" s="193" t="s">
        <v>541</v>
      </c>
    </row>
    <row r="91" spans="1:9" x14ac:dyDescent="0.25">
      <c r="A91" s="192" t="s">
        <v>220</v>
      </c>
      <c r="B91" s="193" t="s">
        <v>702</v>
      </c>
      <c r="C91" s="193"/>
      <c r="D91" s="193" t="s">
        <v>711</v>
      </c>
      <c r="E91" s="193" t="s">
        <v>535</v>
      </c>
      <c r="F91" s="196">
        <v>18000</v>
      </c>
      <c r="G91" s="194">
        <v>0.2</v>
      </c>
      <c r="H91" s="195">
        <f t="shared" si="1"/>
        <v>3600</v>
      </c>
      <c r="I91" s="193" t="s">
        <v>541</v>
      </c>
    </row>
    <row r="92" spans="1:9" x14ac:dyDescent="0.25">
      <c r="A92" s="192" t="s">
        <v>220</v>
      </c>
      <c r="B92" s="193" t="s">
        <v>702</v>
      </c>
      <c r="C92" s="193"/>
      <c r="D92" s="193" t="s">
        <v>712</v>
      </c>
      <c r="E92" s="193" t="s">
        <v>535</v>
      </c>
      <c r="F92" s="196">
        <v>775</v>
      </c>
      <c r="G92" s="194">
        <v>1.25</v>
      </c>
      <c r="H92" s="195">
        <f t="shared" si="1"/>
        <v>968.75</v>
      </c>
      <c r="I92" s="193" t="s">
        <v>541</v>
      </c>
    </row>
    <row r="93" spans="1:9" x14ac:dyDescent="0.25">
      <c r="A93" s="193" t="s">
        <v>587</v>
      </c>
      <c r="B93" s="193" t="s">
        <v>588</v>
      </c>
      <c r="C93" s="193" t="s">
        <v>713</v>
      </c>
      <c r="D93" s="193" t="s">
        <v>714</v>
      </c>
      <c r="E93" s="193" t="s">
        <v>639</v>
      </c>
      <c r="F93" s="196">
        <v>52320</v>
      </c>
      <c r="G93" s="194">
        <v>0.15580064491637435</v>
      </c>
      <c r="H93" s="195">
        <f t="shared" si="1"/>
        <v>8151.4897420247062</v>
      </c>
      <c r="I93" s="193" t="s">
        <v>541</v>
      </c>
    </row>
    <row r="94" spans="1:9" x14ac:dyDescent="0.25">
      <c r="A94" s="193" t="s">
        <v>587</v>
      </c>
      <c r="B94" s="193" t="s">
        <v>588</v>
      </c>
      <c r="C94" s="193" t="s">
        <v>715</v>
      </c>
      <c r="D94" s="193" t="s">
        <v>716</v>
      </c>
      <c r="E94" s="193" t="s">
        <v>639</v>
      </c>
      <c r="F94" s="196">
        <v>23968</v>
      </c>
      <c r="G94" s="194">
        <v>1.1673196483156583</v>
      </c>
      <c r="H94" s="195">
        <f t="shared" si="1"/>
        <v>27978.317330829697</v>
      </c>
      <c r="I94" s="193" t="s">
        <v>541</v>
      </c>
    </row>
    <row r="95" spans="1:9" x14ac:dyDescent="0.25">
      <c r="A95" s="193" t="s">
        <v>587</v>
      </c>
      <c r="B95" s="193" t="s">
        <v>588</v>
      </c>
      <c r="C95" s="193" t="s">
        <v>717</v>
      </c>
      <c r="D95" s="193" t="s">
        <v>718</v>
      </c>
      <c r="E95" s="193" t="s">
        <v>639</v>
      </c>
      <c r="F95" s="196">
        <v>36948</v>
      </c>
      <c r="G95" s="194">
        <v>1.1673196483156583</v>
      </c>
      <c r="H95" s="195">
        <f t="shared" si="1"/>
        <v>43130.126365966942</v>
      </c>
      <c r="I95" s="193" t="s">
        <v>541</v>
      </c>
    </row>
    <row r="96" spans="1:9" x14ac:dyDescent="0.25">
      <c r="A96" s="193" t="s">
        <v>587</v>
      </c>
      <c r="B96" s="193" t="s">
        <v>588</v>
      </c>
      <c r="C96" s="193" t="s">
        <v>719</v>
      </c>
      <c r="D96" s="193" t="s">
        <v>720</v>
      </c>
      <c r="E96" s="193" t="s">
        <v>545</v>
      </c>
      <c r="F96" s="196">
        <v>166400</v>
      </c>
      <c r="G96" s="194">
        <v>0.21457018061935432</v>
      </c>
      <c r="H96" s="195">
        <f t="shared" si="1"/>
        <v>35704.478055060557</v>
      </c>
      <c r="I96" s="193" t="s">
        <v>541</v>
      </c>
    </row>
    <row r="97" spans="1:9" x14ac:dyDescent="0.25">
      <c r="A97" s="193" t="s">
        <v>587</v>
      </c>
      <c r="B97" s="193" t="s">
        <v>588</v>
      </c>
      <c r="C97" s="193" t="s">
        <v>721</v>
      </c>
      <c r="D97" s="193" t="s">
        <v>722</v>
      </c>
      <c r="E97" s="193" t="s">
        <v>535</v>
      </c>
      <c r="F97" s="196">
        <v>1400</v>
      </c>
      <c r="G97" s="194">
        <v>15.400714025036519</v>
      </c>
      <c r="H97" s="195">
        <f t="shared" si="1"/>
        <v>21560.999635051128</v>
      </c>
      <c r="I97" s="193" t="s">
        <v>541</v>
      </c>
    </row>
    <row r="98" spans="1:9" x14ac:dyDescent="0.25">
      <c r="A98" s="193" t="s">
        <v>587</v>
      </c>
      <c r="B98" s="193" t="s">
        <v>588</v>
      </c>
      <c r="C98" s="193" t="s">
        <v>723</v>
      </c>
      <c r="D98" s="193" t="s">
        <v>724</v>
      </c>
      <c r="E98" s="193" t="s">
        <v>535</v>
      </c>
      <c r="F98" s="196">
        <v>20</v>
      </c>
      <c r="G98" s="194">
        <v>26.512264150943395</v>
      </c>
      <c r="H98" s="195">
        <f t="shared" si="1"/>
        <v>530.24528301886789</v>
      </c>
      <c r="I98" s="193" t="s">
        <v>541</v>
      </c>
    </row>
    <row r="99" spans="1:9" x14ac:dyDescent="0.25">
      <c r="A99" s="193" t="s">
        <v>587</v>
      </c>
      <c r="B99" s="193" t="s">
        <v>588</v>
      </c>
      <c r="C99" s="193" t="s">
        <v>725</v>
      </c>
      <c r="D99" s="193" t="s">
        <v>726</v>
      </c>
      <c r="E99" s="193" t="s">
        <v>535</v>
      </c>
      <c r="F99" s="196">
        <v>3426</v>
      </c>
      <c r="G99" s="194">
        <v>14.987247296727341</v>
      </c>
      <c r="H99" s="195">
        <f t="shared" si="1"/>
        <v>51346.30923858787</v>
      </c>
      <c r="I99" s="193" t="s">
        <v>541</v>
      </c>
    </row>
    <row r="100" spans="1:9" x14ac:dyDescent="0.25">
      <c r="A100" s="193" t="s">
        <v>587</v>
      </c>
      <c r="B100" s="193" t="s">
        <v>588</v>
      </c>
      <c r="C100" s="193" t="s">
        <v>727</v>
      </c>
      <c r="D100" s="193" t="s">
        <v>728</v>
      </c>
      <c r="E100" s="193" t="s">
        <v>535</v>
      </c>
      <c r="F100" s="196">
        <v>3100</v>
      </c>
      <c r="G100" s="194">
        <v>13.827783737305175</v>
      </c>
      <c r="H100" s="195">
        <f t="shared" si="1"/>
        <v>42866.129585646042</v>
      </c>
      <c r="I100" s="193" t="s">
        <v>541</v>
      </c>
    </row>
    <row r="101" spans="1:9" x14ac:dyDescent="0.25">
      <c r="A101" s="193" t="s">
        <v>587</v>
      </c>
      <c r="B101" s="193" t="s">
        <v>588</v>
      </c>
      <c r="C101" s="193" t="s">
        <v>729</v>
      </c>
      <c r="D101" s="193" t="s">
        <v>730</v>
      </c>
      <c r="E101" s="193" t="s">
        <v>545</v>
      </c>
      <c r="F101" s="196">
        <v>100</v>
      </c>
      <c r="G101" s="194">
        <v>109.33333333333331</v>
      </c>
      <c r="H101" s="195">
        <f t="shared" si="1"/>
        <v>10933.333333333332</v>
      </c>
      <c r="I101" s="193" t="s">
        <v>541</v>
      </c>
    </row>
    <row r="102" spans="1:9" x14ac:dyDescent="0.25">
      <c r="A102" s="193" t="s">
        <v>587</v>
      </c>
      <c r="B102" s="193" t="s">
        <v>588</v>
      </c>
      <c r="C102" s="193" t="s">
        <v>731</v>
      </c>
      <c r="D102" s="193" t="s">
        <v>732</v>
      </c>
      <c r="E102" s="193" t="s">
        <v>545</v>
      </c>
      <c r="F102" s="196">
        <v>1</v>
      </c>
      <c r="G102" s="194">
        <v>145</v>
      </c>
      <c r="H102" s="195">
        <f t="shared" si="1"/>
        <v>145</v>
      </c>
      <c r="I102" s="193" t="s">
        <v>541</v>
      </c>
    </row>
    <row r="103" spans="1:9" x14ac:dyDescent="0.25">
      <c r="A103" s="193" t="s">
        <v>587</v>
      </c>
      <c r="B103" s="193" t="s">
        <v>588</v>
      </c>
      <c r="C103" s="193"/>
      <c r="D103" s="193" t="s">
        <v>733</v>
      </c>
      <c r="E103" s="193" t="s">
        <v>535</v>
      </c>
      <c r="F103" s="196">
        <v>150</v>
      </c>
      <c r="G103" s="194">
        <v>56.12799583333333</v>
      </c>
      <c r="H103" s="195">
        <f t="shared" si="1"/>
        <v>8419.1993750000001</v>
      </c>
      <c r="I103" s="193" t="s">
        <v>541</v>
      </c>
    </row>
    <row r="104" spans="1:9" x14ac:dyDescent="0.25">
      <c r="A104" s="193" t="s">
        <v>587</v>
      </c>
      <c r="B104" s="193" t="s">
        <v>588</v>
      </c>
      <c r="C104" s="193" t="s">
        <v>734</v>
      </c>
      <c r="D104" s="193" t="s">
        <v>735</v>
      </c>
      <c r="E104" s="193" t="s">
        <v>545</v>
      </c>
      <c r="F104" s="196">
        <v>200</v>
      </c>
      <c r="G104" s="194">
        <v>0.2525</v>
      </c>
      <c r="H104" s="195">
        <f t="shared" si="1"/>
        <v>50.5</v>
      </c>
      <c r="I104" s="193" t="s">
        <v>541</v>
      </c>
    </row>
    <row r="105" spans="1:9" x14ac:dyDescent="0.25">
      <c r="A105" s="193" t="s">
        <v>587</v>
      </c>
      <c r="B105" s="193" t="s">
        <v>588</v>
      </c>
      <c r="C105" s="193" t="s">
        <v>736</v>
      </c>
      <c r="D105" s="193" t="s">
        <v>737</v>
      </c>
      <c r="E105" s="193" t="s">
        <v>639</v>
      </c>
      <c r="F105" s="196">
        <v>79296</v>
      </c>
      <c r="G105" s="194">
        <v>0.13900000000000001</v>
      </c>
      <c r="H105" s="195">
        <f t="shared" si="1"/>
        <v>11022.144</v>
      </c>
      <c r="I105" s="193" t="s">
        <v>541</v>
      </c>
    </row>
    <row r="106" spans="1:9" x14ac:dyDescent="0.25">
      <c r="A106" s="193" t="s">
        <v>587</v>
      </c>
      <c r="B106" s="193" t="s">
        <v>588</v>
      </c>
      <c r="C106" s="193"/>
      <c r="D106" s="193" t="s">
        <v>738</v>
      </c>
      <c r="E106" s="193" t="s">
        <v>535</v>
      </c>
      <c r="F106" s="196">
        <v>2087</v>
      </c>
      <c r="G106" s="194">
        <v>14.987247296727341</v>
      </c>
      <c r="H106" s="195">
        <f t="shared" si="1"/>
        <v>31278.385108269962</v>
      </c>
      <c r="I106" s="193" t="s">
        <v>541</v>
      </c>
    </row>
    <row r="107" spans="1:9" x14ac:dyDescent="0.25">
      <c r="A107" s="193" t="s">
        <v>587</v>
      </c>
      <c r="B107" s="193" t="s">
        <v>588</v>
      </c>
      <c r="C107" s="193" t="s">
        <v>739</v>
      </c>
      <c r="D107" s="193" t="s">
        <v>740</v>
      </c>
      <c r="E107" s="193" t="s">
        <v>545</v>
      </c>
      <c r="F107" s="197">
        <v>2302</v>
      </c>
      <c r="G107" s="194">
        <v>1.0793751893085692</v>
      </c>
      <c r="H107" s="195">
        <f t="shared" si="1"/>
        <v>2484.7216857883263</v>
      </c>
      <c r="I107" s="193" t="s">
        <v>541</v>
      </c>
    </row>
    <row r="108" spans="1:9" x14ac:dyDescent="0.25">
      <c r="A108" s="193" t="s">
        <v>587</v>
      </c>
      <c r="B108" s="193" t="s">
        <v>588</v>
      </c>
      <c r="C108" s="193" t="s">
        <v>741</v>
      </c>
      <c r="D108" s="193" t="s">
        <v>742</v>
      </c>
      <c r="E108" s="193" t="s">
        <v>545</v>
      </c>
      <c r="F108" s="196">
        <v>1842</v>
      </c>
      <c r="G108" s="194">
        <v>1.5132252167621694</v>
      </c>
      <c r="H108" s="195">
        <f t="shared" si="1"/>
        <v>2787.3608492759158</v>
      </c>
      <c r="I108" s="193" t="s">
        <v>541</v>
      </c>
    </row>
    <row r="109" spans="1:9" x14ac:dyDescent="0.25">
      <c r="A109" s="193" t="s">
        <v>587</v>
      </c>
      <c r="B109" s="193" t="s">
        <v>588</v>
      </c>
      <c r="C109" s="193" t="s">
        <v>743</v>
      </c>
      <c r="D109" s="193" t="s">
        <v>744</v>
      </c>
      <c r="E109" s="193" t="s">
        <v>545</v>
      </c>
      <c r="F109" s="198">
        <v>3163</v>
      </c>
      <c r="G109" s="194">
        <v>0.56883332117009466</v>
      </c>
      <c r="H109" s="195">
        <f t="shared" si="1"/>
        <v>1799.2197948610094</v>
      </c>
      <c r="I109" s="193" t="s">
        <v>541</v>
      </c>
    </row>
    <row r="110" spans="1:9" x14ac:dyDescent="0.25">
      <c r="A110" s="193" t="s">
        <v>587</v>
      </c>
      <c r="B110" s="193" t="s">
        <v>588</v>
      </c>
      <c r="C110" s="193" t="s">
        <v>745</v>
      </c>
      <c r="D110" s="193" t="s">
        <v>746</v>
      </c>
      <c r="E110" s="193" t="s">
        <v>545</v>
      </c>
      <c r="F110" s="196">
        <v>1950</v>
      </c>
      <c r="G110" s="194">
        <v>0.64329877412327052</v>
      </c>
      <c r="H110" s="195">
        <f t="shared" si="1"/>
        <v>1254.4326095403776</v>
      </c>
      <c r="I110" s="193" t="s">
        <v>541</v>
      </c>
    </row>
    <row r="111" spans="1:9" x14ac:dyDescent="0.25">
      <c r="A111" s="193" t="s">
        <v>747</v>
      </c>
      <c r="B111" s="193" t="s">
        <v>748</v>
      </c>
      <c r="C111" s="193" t="s">
        <v>539</v>
      </c>
      <c r="D111" s="193" t="s">
        <v>749</v>
      </c>
      <c r="E111" s="193" t="s">
        <v>535</v>
      </c>
      <c r="F111" s="196">
        <v>3903</v>
      </c>
      <c r="G111" s="199">
        <v>5.6104583436708264</v>
      </c>
      <c r="H111" s="195">
        <f t="shared" si="1"/>
        <v>21897.618915347237</v>
      </c>
      <c r="I111" s="193" t="s">
        <v>541</v>
      </c>
    </row>
    <row r="112" spans="1:9" x14ac:dyDescent="0.25">
      <c r="A112" s="193" t="s">
        <v>747</v>
      </c>
      <c r="B112" s="193" t="s">
        <v>748</v>
      </c>
      <c r="C112" s="193" t="s">
        <v>539</v>
      </c>
      <c r="D112" s="193" t="s">
        <v>750</v>
      </c>
      <c r="E112" s="193" t="s">
        <v>535</v>
      </c>
      <c r="F112" s="196">
        <v>957</v>
      </c>
      <c r="G112" s="199">
        <v>5.6104583436708264</v>
      </c>
      <c r="H112" s="195">
        <f t="shared" si="1"/>
        <v>5369.2086348929806</v>
      </c>
      <c r="I112" s="193" t="s">
        <v>541</v>
      </c>
    </row>
    <row r="113" spans="1:9" x14ac:dyDescent="0.25">
      <c r="A113" s="193" t="s">
        <v>747</v>
      </c>
      <c r="B113" s="193" t="s">
        <v>748</v>
      </c>
      <c r="C113" s="193" t="s">
        <v>751</v>
      </c>
      <c r="D113" s="193" t="s">
        <v>752</v>
      </c>
      <c r="E113" s="193" t="s">
        <v>535</v>
      </c>
      <c r="F113" s="196">
        <v>172</v>
      </c>
      <c r="G113" s="199">
        <v>35.734415246466412</v>
      </c>
      <c r="H113" s="195">
        <f t="shared" si="1"/>
        <v>6146.3194223922228</v>
      </c>
      <c r="I113" s="193" t="s">
        <v>541</v>
      </c>
    </row>
    <row r="114" spans="1:9" x14ac:dyDescent="0.25">
      <c r="A114" s="193" t="s">
        <v>747</v>
      </c>
      <c r="B114" s="193" t="s">
        <v>748</v>
      </c>
      <c r="C114" s="193" t="s">
        <v>753</v>
      </c>
      <c r="D114" s="193" t="s">
        <v>754</v>
      </c>
      <c r="E114" s="193" t="s">
        <v>535</v>
      </c>
      <c r="F114" s="196">
        <v>11000</v>
      </c>
      <c r="G114" s="199">
        <v>1.7293944785196564</v>
      </c>
      <c r="H114" s="195">
        <f t="shared" si="1"/>
        <v>19023.339263716221</v>
      </c>
      <c r="I114" s="193" t="s">
        <v>541</v>
      </c>
    </row>
    <row r="115" spans="1:9" x14ac:dyDescent="0.25">
      <c r="A115" s="193" t="s">
        <v>747</v>
      </c>
      <c r="B115" s="193" t="s">
        <v>748</v>
      </c>
      <c r="C115" s="193" t="s">
        <v>755</v>
      </c>
      <c r="D115" s="193" t="s">
        <v>756</v>
      </c>
      <c r="E115" s="193" t="s">
        <v>535</v>
      </c>
      <c r="F115" s="196">
        <v>13000</v>
      </c>
      <c r="G115" s="199">
        <v>4.649969091542248</v>
      </c>
      <c r="H115" s="195">
        <f t="shared" si="1"/>
        <v>60449.598190049226</v>
      </c>
      <c r="I115" s="193" t="s">
        <v>541</v>
      </c>
    </row>
    <row r="116" spans="1:9" x14ac:dyDescent="0.25">
      <c r="A116" s="193" t="s">
        <v>747</v>
      </c>
      <c r="B116" s="193" t="s">
        <v>748</v>
      </c>
      <c r="C116" s="193" t="s">
        <v>757</v>
      </c>
      <c r="D116" s="193" t="s">
        <v>758</v>
      </c>
      <c r="E116" s="193" t="s">
        <v>535</v>
      </c>
      <c r="F116" s="196">
        <v>350</v>
      </c>
      <c r="G116" s="199">
        <v>17.880161480494536</v>
      </c>
      <c r="H116" s="195">
        <f t="shared" si="1"/>
        <v>6258.0565181730872</v>
      </c>
      <c r="I116" s="193" t="s">
        <v>541</v>
      </c>
    </row>
    <row r="117" spans="1:9" x14ac:dyDescent="0.25">
      <c r="A117" s="193" t="s">
        <v>747</v>
      </c>
      <c r="B117" s="193" t="s">
        <v>748</v>
      </c>
      <c r="C117" s="193" t="s">
        <v>759</v>
      </c>
      <c r="D117" s="193" t="s">
        <v>760</v>
      </c>
      <c r="E117" s="193" t="s">
        <v>535</v>
      </c>
      <c r="F117" s="196">
        <v>25</v>
      </c>
      <c r="G117" s="199">
        <v>197.21741898134346</v>
      </c>
      <c r="H117" s="195">
        <f t="shared" si="1"/>
        <v>4930.4354745335868</v>
      </c>
      <c r="I117" s="193" t="s">
        <v>541</v>
      </c>
    </row>
    <row r="118" spans="1:9" x14ac:dyDescent="0.25">
      <c r="A118" s="193" t="s">
        <v>747</v>
      </c>
      <c r="B118" s="193" t="s">
        <v>748</v>
      </c>
      <c r="C118" s="193" t="s">
        <v>761</v>
      </c>
      <c r="D118" s="193" t="s">
        <v>762</v>
      </c>
      <c r="E118" s="193" t="s">
        <v>535</v>
      </c>
      <c r="F118" s="196">
        <v>312</v>
      </c>
      <c r="G118" s="199">
        <v>74.515419847328246</v>
      </c>
      <c r="H118" s="195">
        <f t="shared" si="1"/>
        <v>23248.810992366412</v>
      </c>
      <c r="I118" s="193" t="s">
        <v>541</v>
      </c>
    </row>
    <row r="119" spans="1:9" x14ac:dyDescent="0.25">
      <c r="A119" s="193" t="s">
        <v>747</v>
      </c>
      <c r="B119" s="193" t="s">
        <v>748</v>
      </c>
      <c r="C119" s="193" t="s">
        <v>763</v>
      </c>
      <c r="D119" s="193" t="s">
        <v>764</v>
      </c>
      <c r="E119" s="193" t="s">
        <v>535</v>
      </c>
      <c r="F119" s="196">
        <v>1189</v>
      </c>
      <c r="G119" s="199">
        <v>49.65731251956079</v>
      </c>
      <c r="H119" s="195">
        <f t="shared" si="1"/>
        <v>59042.54458575778</v>
      </c>
      <c r="I119" s="193" t="s">
        <v>541</v>
      </c>
    </row>
    <row r="120" spans="1:9" x14ac:dyDescent="0.25">
      <c r="A120" s="193" t="s">
        <v>747</v>
      </c>
      <c r="B120" s="193" t="s">
        <v>748</v>
      </c>
      <c r="C120" s="193" t="s">
        <v>765</v>
      </c>
      <c r="D120" s="193" t="s">
        <v>766</v>
      </c>
      <c r="E120" s="193" t="s">
        <v>535</v>
      </c>
      <c r="F120" s="196">
        <v>66300</v>
      </c>
      <c r="G120" s="199">
        <v>0.10853554818637101</v>
      </c>
      <c r="H120" s="195">
        <f t="shared" si="1"/>
        <v>7195.9068447563977</v>
      </c>
      <c r="I120" s="193" t="s">
        <v>541</v>
      </c>
    </row>
    <row r="121" spans="1:9" x14ac:dyDescent="0.25">
      <c r="A121" s="193" t="s">
        <v>747</v>
      </c>
      <c r="B121" s="193" t="s">
        <v>748</v>
      </c>
      <c r="C121" s="193" t="s">
        <v>767</v>
      </c>
      <c r="D121" s="193" t="s">
        <v>768</v>
      </c>
      <c r="E121" s="193" t="s">
        <v>535</v>
      </c>
      <c r="F121" s="196">
        <v>31740</v>
      </c>
      <c r="G121" s="199">
        <v>1.4931377491061697</v>
      </c>
      <c r="H121" s="195">
        <f t="shared" si="1"/>
        <v>47392.192156629826</v>
      </c>
      <c r="I121" s="193" t="s">
        <v>541</v>
      </c>
    </row>
    <row r="122" spans="1:9" x14ac:dyDescent="0.25">
      <c r="A122" s="193" t="s">
        <v>747</v>
      </c>
      <c r="B122" s="193" t="s">
        <v>748</v>
      </c>
      <c r="C122" s="193" t="s">
        <v>769</v>
      </c>
      <c r="D122" s="193" t="s">
        <v>770</v>
      </c>
      <c r="E122" s="193" t="s">
        <v>535</v>
      </c>
      <c r="F122" s="196">
        <v>1740</v>
      </c>
      <c r="G122" s="199">
        <v>54.277015258012213</v>
      </c>
      <c r="H122" s="195">
        <f t="shared" si="1"/>
        <v>94442.006548941252</v>
      </c>
      <c r="I122" s="193" t="s">
        <v>541</v>
      </c>
    </row>
    <row r="123" spans="1:9" x14ac:dyDescent="0.25">
      <c r="A123" s="193" t="s">
        <v>747</v>
      </c>
      <c r="B123" s="193" t="s">
        <v>748</v>
      </c>
      <c r="C123" s="193" t="s">
        <v>771</v>
      </c>
      <c r="D123" s="193" t="s">
        <v>772</v>
      </c>
      <c r="E123" s="193" t="s">
        <v>535</v>
      </c>
      <c r="F123" s="196">
        <v>3011</v>
      </c>
      <c r="G123" s="199">
        <v>46.676453028263801</v>
      </c>
      <c r="H123" s="195">
        <f t="shared" si="1"/>
        <v>140542.80006810231</v>
      </c>
      <c r="I123" s="193" t="s">
        <v>541</v>
      </c>
    </row>
    <row r="124" spans="1:9" x14ac:dyDescent="0.25">
      <c r="A124" s="193" t="s">
        <v>747</v>
      </c>
      <c r="B124" s="193" t="s">
        <v>748</v>
      </c>
      <c r="C124" s="193" t="s">
        <v>773</v>
      </c>
      <c r="D124" s="193" t="s">
        <v>774</v>
      </c>
      <c r="E124" s="193" t="s">
        <v>535</v>
      </c>
      <c r="F124" s="196">
        <v>3082</v>
      </c>
      <c r="G124" s="199">
        <v>49.937318465304863</v>
      </c>
      <c r="H124" s="195">
        <f t="shared" si="1"/>
        <v>153906.81551006957</v>
      </c>
      <c r="I124" s="193" t="s">
        <v>541</v>
      </c>
    </row>
    <row r="125" spans="1:9" x14ac:dyDescent="0.25">
      <c r="A125" s="193" t="s">
        <v>747</v>
      </c>
      <c r="B125" s="193" t="s">
        <v>748</v>
      </c>
      <c r="C125" s="193" t="s">
        <v>775</v>
      </c>
      <c r="D125" s="193" t="s">
        <v>776</v>
      </c>
      <c r="E125" s="193" t="s">
        <v>535</v>
      </c>
      <c r="F125" s="196">
        <v>9425</v>
      </c>
      <c r="G125" s="199">
        <v>2.9749817670186536</v>
      </c>
      <c r="H125" s="195">
        <f t="shared" si="1"/>
        <v>28039.203154150811</v>
      </c>
      <c r="I125" s="193" t="s">
        <v>541</v>
      </c>
    </row>
    <row r="126" spans="1:9" x14ac:dyDescent="0.25">
      <c r="A126" s="193" t="s">
        <v>747</v>
      </c>
      <c r="B126" s="193" t="s">
        <v>748</v>
      </c>
      <c r="C126" s="193" t="s">
        <v>675</v>
      </c>
      <c r="D126" s="193" t="s">
        <v>777</v>
      </c>
      <c r="E126" s="193" t="s">
        <v>535</v>
      </c>
      <c r="F126" s="196">
        <v>1302</v>
      </c>
      <c r="G126" s="199">
        <v>5.9448965406431897</v>
      </c>
      <c r="H126" s="195">
        <f t="shared" si="1"/>
        <v>7740.2552959174327</v>
      </c>
      <c r="I126" s="193" t="s">
        <v>541</v>
      </c>
    </row>
    <row r="127" spans="1:9" x14ac:dyDescent="0.25">
      <c r="A127" s="193" t="s">
        <v>747</v>
      </c>
      <c r="B127" s="193" t="s">
        <v>748</v>
      </c>
      <c r="C127" s="193" t="s">
        <v>778</v>
      </c>
      <c r="D127" s="193" t="s">
        <v>779</v>
      </c>
      <c r="E127" s="193" t="s">
        <v>535</v>
      </c>
      <c r="F127" s="196">
        <v>570</v>
      </c>
      <c r="G127" s="199">
        <v>35.734415246466412</v>
      </c>
      <c r="H127" s="195">
        <f t="shared" si="1"/>
        <v>20368.616690485855</v>
      </c>
      <c r="I127" s="193" t="s">
        <v>541</v>
      </c>
    </row>
    <row r="128" spans="1:9" x14ac:dyDescent="0.25">
      <c r="A128" s="193" t="s">
        <v>747</v>
      </c>
      <c r="B128" s="193" t="s">
        <v>748</v>
      </c>
      <c r="C128" s="193" t="s">
        <v>539</v>
      </c>
      <c r="D128" s="193" t="s">
        <v>780</v>
      </c>
      <c r="E128" s="193" t="s">
        <v>535</v>
      </c>
      <c r="F128" s="196">
        <v>8241</v>
      </c>
      <c r="G128" s="199">
        <v>5.6104583436708264</v>
      </c>
      <c r="H128" s="195">
        <f t="shared" si="1"/>
        <v>46235.78721019128</v>
      </c>
      <c r="I128" s="193" t="s">
        <v>541</v>
      </c>
    </row>
    <row r="129" spans="1:9" x14ac:dyDescent="0.25">
      <c r="A129" s="193" t="s">
        <v>747</v>
      </c>
      <c r="B129" s="193" t="s">
        <v>781</v>
      </c>
      <c r="C129" s="193" t="s">
        <v>782</v>
      </c>
      <c r="D129" s="193" t="s">
        <v>783</v>
      </c>
      <c r="E129" s="193" t="s">
        <v>535</v>
      </c>
      <c r="F129" s="200">
        <v>52711</v>
      </c>
      <c r="G129" s="199">
        <v>2.1692502929778552</v>
      </c>
      <c r="H129" s="195">
        <f t="shared" si="1"/>
        <v>114343.35219315572</v>
      </c>
      <c r="I129" s="193" t="s">
        <v>541</v>
      </c>
    </row>
    <row r="130" spans="1:9" x14ac:dyDescent="0.25">
      <c r="A130" s="193" t="s">
        <v>747</v>
      </c>
      <c r="B130" s="193" t="s">
        <v>781</v>
      </c>
      <c r="C130" s="193" t="s">
        <v>784</v>
      </c>
      <c r="D130" s="193" t="s">
        <v>785</v>
      </c>
      <c r="E130" s="193" t="s">
        <v>535</v>
      </c>
      <c r="F130" s="200">
        <v>69597</v>
      </c>
      <c r="G130" s="199">
        <v>3.2122536430439368</v>
      </c>
      <c r="H130" s="195">
        <f t="shared" si="1"/>
        <v>223563.21679492886</v>
      </c>
      <c r="I130" s="193" t="s">
        <v>541</v>
      </c>
    </row>
    <row r="131" spans="1:9" x14ac:dyDescent="0.25">
      <c r="A131" s="193" t="s">
        <v>747</v>
      </c>
      <c r="B131" s="193" t="s">
        <v>781</v>
      </c>
      <c r="C131" s="193"/>
      <c r="D131" s="193" t="s">
        <v>786</v>
      </c>
      <c r="E131" s="193" t="s">
        <v>535</v>
      </c>
      <c r="F131" s="200">
        <v>542049</v>
      </c>
      <c r="G131" s="199">
        <v>2.1095288883837413</v>
      </c>
      <c r="H131" s="195">
        <f t="shared" si="1"/>
        <v>1143468.0244195187</v>
      </c>
      <c r="I131" s="193" t="s">
        <v>541</v>
      </c>
    </row>
    <row r="132" spans="1:9" x14ac:dyDescent="0.25">
      <c r="A132" s="193" t="s">
        <v>747</v>
      </c>
      <c r="B132" s="193" t="s">
        <v>781</v>
      </c>
      <c r="C132" s="193"/>
      <c r="D132" s="193" t="s">
        <v>787</v>
      </c>
      <c r="E132" s="193" t="s">
        <v>535</v>
      </c>
      <c r="F132" s="200">
        <v>3718078</v>
      </c>
      <c r="G132" s="199">
        <v>0.75</v>
      </c>
      <c r="H132" s="195">
        <f t="shared" si="1"/>
        <v>2788558.5</v>
      </c>
      <c r="I132" s="193" t="s">
        <v>541</v>
      </c>
    </row>
    <row r="133" spans="1:9" x14ac:dyDescent="0.25">
      <c r="A133" s="193" t="s">
        <v>747</v>
      </c>
      <c r="B133" s="193" t="s">
        <v>781</v>
      </c>
      <c r="C133" s="193" t="s">
        <v>788</v>
      </c>
      <c r="D133" s="193" t="s">
        <v>789</v>
      </c>
      <c r="E133" s="193" t="s">
        <v>535</v>
      </c>
      <c r="F133" s="200">
        <v>10000</v>
      </c>
      <c r="G133" s="199">
        <v>3.4721050875476722</v>
      </c>
      <c r="H133" s="195">
        <f t="shared" ref="H133:H196" si="2">+F133*G133</f>
        <v>34721.050875476722</v>
      </c>
      <c r="I133" s="193" t="s">
        <v>541</v>
      </c>
    </row>
    <row r="134" spans="1:9" x14ac:dyDescent="0.25">
      <c r="A134" s="193" t="s">
        <v>747</v>
      </c>
      <c r="B134" s="193" t="s">
        <v>781</v>
      </c>
      <c r="C134" s="193" t="s">
        <v>790</v>
      </c>
      <c r="D134" s="193" t="s">
        <v>791</v>
      </c>
      <c r="E134" s="193" t="s">
        <v>535</v>
      </c>
      <c r="F134" s="200">
        <v>21180</v>
      </c>
      <c r="G134" s="199">
        <v>2.4203166331921486</v>
      </c>
      <c r="H134" s="195">
        <f t="shared" si="2"/>
        <v>51262.306291009707</v>
      </c>
      <c r="I134" s="193" t="s">
        <v>541</v>
      </c>
    </row>
    <row r="135" spans="1:9" x14ac:dyDescent="0.25">
      <c r="A135" s="193" t="s">
        <v>747</v>
      </c>
      <c r="B135" s="193" t="s">
        <v>781</v>
      </c>
      <c r="C135" s="193" t="s">
        <v>753</v>
      </c>
      <c r="D135" s="193" t="s">
        <v>754</v>
      </c>
      <c r="E135" s="193" t="s">
        <v>535</v>
      </c>
      <c r="F135" s="200">
        <v>1325</v>
      </c>
      <c r="G135" s="199">
        <v>1.7293944785196564</v>
      </c>
      <c r="H135" s="195">
        <f t="shared" si="2"/>
        <v>2291.4476840385446</v>
      </c>
      <c r="I135" s="193" t="s">
        <v>541</v>
      </c>
    </row>
    <row r="136" spans="1:9" x14ac:dyDescent="0.25">
      <c r="A136" s="193" t="s">
        <v>747</v>
      </c>
      <c r="B136" s="193" t="s">
        <v>781</v>
      </c>
      <c r="C136" s="193" t="s">
        <v>755</v>
      </c>
      <c r="D136" s="193" t="s">
        <v>756</v>
      </c>
      <c r="E136" s="193" t="s">
        <v>535</v>
      </c>
      <c r="F136" s="200">
        <v>1650</v>
      </c>
      <c r="G136" s="199">
        <v>4.649969091542248</v>
      </c>
      <c r="H136" s="195">
        <f t="shared" si="2"/>
        <v>7672.4490010447089</v>
      </c>
      <c r="I136" s="193" t="s">
        <v>541</v>
      </c>
    </row>
    <row r="137" spans="1:9" x14ac:dyDescent="0.25">
      <c r="A137" s="193" t="s">
        <v>747</v>
      </c>
      <c r="B137" s="193" t="s">
        <v>781</v>
      </c>
      <c r="C137" s="193" t="s">
        <v>757</v>
      </c>
      <c r="D137" s="193" t="s">
        <v>758</v>
      </c>
      <c r="E137" s="193" t="s">
        <v>535</v>
      </c>
      <c r="F137" s="200">
        <v>24</v>
      </c>
      <c r="G137" s="199">
        <v>17.880161480494536</v>
      </c>
      <c r="H137" s="195">
        <f t="shared" si="2"/>
        <v>429.12387553186886</v>
      </c>
      <c r="I137" s="193" t="s">
        <v>541</v>
      </c>
    </row>
    <row r="138" spans="1:9" x14ac:dyDescent="0.25">
      <c r="A138" s="193" t="s">
        <v>747</v>
      </c>
      <c r="B138" s="193" t="s">
        <v>781</v>
      </c>
      <c r="C138" s="193" t="s">
        <v>759</v>
      </c>
      <c r="D138" s="193" t="s">
        <v>760</v>
      </c>
      <c r="E138" s="193" t="s">
        <v>535</v>
      </c>
      <c r="F138" s="200">
        <v>1.3</v>
      </c>
      <c r="G138" s="199">
        <v>197.21741898134346</v>
      </c>
      <c r="H138" s="195">
        <f t="shared" si="2"/>
        <v>256.38264467574652</v>
      </c>
      <c r="I138" s="193" t="s">
        <v>541</v>
      </c>
    </row>
    <row r="139" spans="1:9" x14ac:dyDescent="0.25">
      <c r="A139" s="193" t="s">
        <v>747</v>
      </c>
      <c r="B139" s="193" t="s">
        <v>781</v>
      </c>
      <c r="C139" s="193" t="s">
        <v>705</v>
      </c>
      <c r="D139" s="193" t="s">
        <v>792</v>
      </c>
      <c r="E139" s="193" t="s">
        <v>535</v>
      </c>
      <c r="F139" s="200">
        <v>25</v>
      </c>
      <c r="G139" s="199">
        <v>2.8988715896651813</v>
      </c>
      <c r="H139" s="195">
        <f t="shared" si="2"/>
        <v>72.471789741629536</v>
      </c>
      <c r="I139" s="193" t="s">
        <v>541</v>
      </c>
    </row>
    <row r="140" spans="1:9" x14ac:dyDescent="0.25">
      <c r="A140" s="193" t="s">
        <v>747</v>
      </c>
      <c r="B140" s="193" t="s">
        <v>781</v>
      </c>
      <c r="C140" s="193" t="s">
        <v>775</v>
      </c>
      <c r="D140" s="193" t="s">
        <v>793</v>
      </c>
      <c r="E140" s="193" t="s">
        <v>535</v>
      </c>
      <c r="F140" s="200">
        <v>1200</v>
      </c>
      <c r="G140" s="199">
        <v>2.9749817670186536</v>
      </c>
      <c r="H140" s="195">
        <f t="shared" si="2"/>
        <v>3569.9781204223841</v>
      </c>
      <c r="I140" s="193" t="s">
        <v>541</v>
      </c>
    </row>
    <row r="141" spans="1:9" x14ac:dyDescent="0.25">
      <c r="A141" s="193" t="s">
        <v>747</v>
      </c>
      <c r="B141" s="193" t="s">
        <v>781</v>
      </c>
      <c r="C141" s="193" t="s">
        <v>794</v>
      </c>
      <c r="D141" s="193" t="s">
        <v>795</v>
      </c>
      <c r="E141" s="193" t="s">
        <v>535</v>
      </c>
      <c r="F141" s="200">
        <v>1476</v>
      </c>
      <c r="G141" s="199">
        <v>3.9913046639999994</v>
      </c>
      <c r="H141" s="195">
        <f t="shared" si="2"/>
        <v>5891.1656840639989</v>
      </c>
      <c r="I141" s="193" t="s">
        <v>541</v>
      </c>
    </row>
    <row r="142" spans="1:9" x14ac:dyDescent="0.25">
      <c r="A142" s="193" t="s">
        <v>747</v>
      </c>
      <c r="B142" s="193" t="s">
        <v>781</v>
      </c>
      <c r="C142" s="193" t="s">
        <v>751</v>
      </c>
      <c r="D142" s="193" t="s">
        <v>796</v>
      </c>
      <c r="E142" s="193" t="s">
        <v>535</v>
      </c>
      <c r="F142" s="200">
        <v>1.8</v>
      </c>
      <c r="G142" s="199">
        <v>35.734415246466412</v>
      </c>
      <c r="H142" s="195">
        <f t="shared" si="2"/>
        <v>64.321947443639544</v>
      </c>
      <c r="I142" s="193" t="s">
        <v>541</v>
      </c>
    </row>
    <row r="143" spans="1:9" x14ac:dyDescent="0.25">
      <c r="A143" s="193" t="s">
        <v>747</v>
      </c>
      <c r="B143" s="193" t="s">
        <v>781</v>
      </c>
      <c r="C143" s="193" t="s">
        <v>797</v>
      </c>
      <c r="D143" s="193" t="s">
        <v>798</v>
      </c>
      <c r="E143" s="193" t="s">
        <v>535</v>
      </c>
      <c r="F143" s="200">
        <v>74</v>
      </c>
      <c r="G143" s="199">
        <v>36</v>
      </c>
      <c r="H143" s="195">
        <f t="shared" si="2"/>
        <v>2664</v>
      </c>
      <c r="I143" s="193" t="s">
        <v>541</v>
      </c>
    </row>
    <row r="144" spans="1:9" x14ac:dyDescent="0.25">
      <c r="A144" s="193" t="s">
        <v>747</v>
      </c>
      <c r="B144" s="193" t="s">
        <v>781</v>
      </c>
      <c r="C144" s="193" t="s">
        <v>799</v>
      </c>
      <c r="D144" s="193" t="s">
        <v>800</v>
      </c>
      <c r="E144" s="193" t="s">
        <v>535</v>
      </c>
      <c r="F144" s="200">
        <v>35000</v>
      </c>
      <c r="G144" s="199">
        <v>4.5619011476117679</v>
      </c>
      <c r="H144" s="195">
        <f t="shared" si="2"/>
        <v>159666.54016641187</v>
      </c>
      <c r="I144" s="193" t="s">
        <v>541</v>
      </c>
    </row>
    <row r="145" spans="1:9" x14ac:dyDescent="0.25">
      <c r="A145" s="193" t="s">
        <v>747</v>
      </c>
      <c r="B145" s="193" t="s">
        <v>781</v>
      </c>
      <c r="C145" s="193"/>
      <c r="D145" s="193" t="s">
        <v>801</v>
      </c>
      <c r="E145" s="193" t="s">
        <v>535</v>
      </c>
      <c r="F145" s="200">
        <v>660</v>
      </c>
      <c r="G145" s="199">
        <v>5.4148896250374703</v>
      </c>
      <c r="H145" s="195">
        <f t="shared" si="2"/>
        <v>3573.8271525247305</v>
      </c>
      <c r="I145" s="193" t="s">
        <v>541</v>
      </c>
    </row>
    <row r="146" spans="1:9" x14ac:dyDescent="0.25">
      <c r="A146" s="192" t="s">
        <v>220</v>
      </c>
      <c r="B146" s="201" t="s">
        <v>802</v>
      </c>
      <c r="C146" s="193" t="s">
        <v>803</v>
      </c>
      <c r="D146" s="193" t="s">
        <v>804</v>
      </c>
      <c r="E146" s="201" t="s">
        <v>535</v>
      </c>
      <c r="F146" s="196">
        <v>979.19999999999993</v>
      </c>
      <c r="G146" s="202">
        <v>7.6153615529949921</v>
      </c>
      <c r="H146" s="195">
        <f t="shared" si="2"/>
        <v>7456.9620326926961</v>
      </c>
      <c r="I146" s="201" t="s">
        <v>541</v>
      </c>
    </row>
    <row r="147" spans="1:9" x14ac:dyDescent="0.25">
      <c r="A147" s="192" t="s">
        <v>220</v>
      </c>
      <c r="B147" s="201" t="s">
        <v>802</v>
      </c>
      <c r="C147" s="193" t="s">
        <v>537</v>
      </c>
      <c r="D147" s="193" t="s">
        <v>805</v>
      </c>
      <c r="E147" s="201" t="s">
        <v>535</v>
      </c>
      <c r="F147" s="196"/>
      <c r="G147" s="202">
        <v>7.5901038522837361</v>
      </c>
      <c r="H147" s="195">
        <f t="shared" si="2"/>
        <v>0</v>
      </c>
      <c r="I147" s="201" t="s">
        <v>541</v>
      </c>
    </row>
    <row r="148" spans="1:9" x14ac:dyDescent="0.25">
      <c r="A148" s="192" t="s">
        <v>220</v>
      </c>
      <c r="B148" s="201" t="s">
        <v>802</v>
      </c>
      <c r="C148" s="193" t="s">
        <v>533</v>
      </c>
      <c r="D148" s="193" t="s">
        <v>806</v>
      </c>
      <c r="E148" s="201" t="s">
        <v>535</v>
      </c>
      <c r="F148" s="196"/>
      <c r="G148" s="202">
        <v>7.6685003636461024</v>
      </c>
      <c r="H148" s="195">
        <f t="shared" si="2"/>
        <v>0</v>
      </c>
      <c r="I148" s="201" t="s">
        <v>541</v>
      </c>
    </row>
    <row r="149" spans="1:9" x14ac:dyDescent="0.25">
      <c r="A149" s="192" t="s">
        <v>220</v>
      </c>
      <c r="B149" s="201" t="s">
        <v>802</v>
      </c>
      <c r="C149" s="193" t="s">
        <v>807</v>
      </c>
      <c r="D149" s="193" t="s">
        <v>808</v>
      </c>
      <c r="E149" s="201" t="s">
        <v>535</v>
      </c>
      <c r="F149" s="196">
        <v>3024</v>
      </c>
      <c r="G149" s="202">
        <v>7.7243830647258251</v>
      </c>
      <c r="H149" s="195">
        <f t="shared" si="2"/>
        <v>23358.534387730895</v>
      </c>
      <c r="I149" s="201" t="s">
        <v>541</v>
      </c>
    </row>
    <row r="150" spans="1:9" x14ac:dyDescent="0.25">
      <c r="A150" s="192" t="s">
        <v>220</v>
      </c>
      <c r="B150" s="201" t="s">
        <v>802</v>
      </c>
      <c r="C150" s="193" t="s">
        <v>809</v>
      </c>
      <c r="D150" s="193" t="s">
        <v>810</v>
      </c>
      <c r="E150" s="201" t="s">
        <v>535</v>
      </c>
      <c r="F150" s="196"/>
      <c r="G150" s="202">
        <v>7.6797368946243285</v>
      </c>
      <c r="H150" s="195">
        <f t="shared" si="2"/>
        <v>0</v>
      </c>
      <c r="I150" s="201" t="s">
        <v>541</v>
      </c>
    </row>
    <row r="151" spans="1:9" x14ac:dyDescent="0.25">
      <c r="A151" s="192" t="s">
        <v>220</v>
      </c>
      <c r="B151" s="201" t="s">
        <v>802</v>
      </c>
      <c r="C151" s="193" t="s">
        <v>811</v>
      </c>
      <c r="D151" s="193" t="s">
        <v>812</v>
      </c>
      <c r="E151" s="193" t="s">
        <v>535</v>
      </c>
      <c r="F151" s="196"/>
      <c r="G151" s="202">
        <v>7.6360781385029899</v>
      </c>
      <c r="H151" s="195">
        <f t="shared" si="2"/>
        <v>0</v>
      </c>
      <c r="I151" s="193" t="s">
        <v>541</v>
      </c>
    </row>
    <row r="152" spans="1:9" x14ac:dyDescent="0.25">
      <c r="A152" s="192" t="s">
        <v>220</v>
      </c>
      <c r="B152" s="201" t="s">
        <v>532</v>
      </c>
      <c r="C152" s="193" t="s">
        <v>813</v>
      </c>
      <c r="D152" s="193" t="s">
        <v>814</v>
      </c>
      <c r="E152" s="201" t="s">
        <v>545</v>
      </c>
      <c r="F152" s="196">
        <v>480</v>
      </c>
      <c r="G152" s="194">
        <v>8.3328387556776438</v>
      </c>
      <c r="H152" s="195">
        <f t="shared" si="2"/>
        <v>3999.7626027252691</v>
      </c>
      <c r="I152" s="201" t="s">
        <v>541</v>
      </c>
    </row>
    <row r="153" spans="1:9" x14ac:dyDescent="0.25">
      <c r="A153" s="192" t="s">
        <v>220</v>
      </c>
      <c r="B153" s="201" t="s">
        <v>532</v>
      </c>
      <c r="C153" s="201" t="s">
        <v>815</v>
      </c>
      <c r="D153" s="201" t="s">
        <v>816</v>
      </c>
      <c r="E153" s="201" t="s">
        <v>545</v>
      </c>
      <c r="F153" s="196">
        <v>400</v>
      </c>
      <c r="G153" s="194">
        <v>6.1149815513045471</v>
      </c>
      <c r="H153" s="195">
        <f t="shared" si="2"/>
        <v>2445.9926205218189</v>
      </c>
      <c r="I153" s="201" t="s">
        <v>541</v>
      </c>
    </row>
    <row r="154" spans="1:9" x14ac:dyDescent="0.25">
      <c r="A154" s="192" t="s">
        <v>220</v>
      </c>
      <c r="B154" s="201" t="s">
        <v>532</v>
      </c>
      <c r="C154" s="201" t="s">
        <v>817</v>
      </c>
      <c r="D154" s="201" t="s">
        <v>818</v>
      </c>
      <c r="E154" s="201" t="s">
        <v>545</v>
      </c>
      <c r="F154" s="196">
        <v>500</v>
      </c>
      <c r="G154" s="194">
        <v>7.9040076645121999</v>
      </c>
      <c r="H154" s="195">
        <f t="shared" si="2"/>
        <v>3952.0038322560999</v>
      </c>
      <c r="I154" s="201" t="s">
        <v>541</v>
      </c>
    </row>
    <row r="155" spans="1:9" x14ac:dyDescent="0.25">
      <c r="A155" s="192" t="s">
        <v>220</v>
      </c>
      <c r="B155" s="201" t="s">
        <v>532</v>
      </c>
      <c r="C155" s="201" t="s">
        <v>819</v>
      </c>
      <c r="D155" s="201" t="s">
        <v>820</v>
      </c>
      <c r="E155" s="201" t="s">
        <v>545</v>
      </c>
      <c r="F155" s="196">
        <v>560</v>
      </c>
      <c r="G155" s="194">
        <v>3.1402019961046164</v>
      </c>
      <c r="H155" s="195">
        <f t="shared" si="2"/>
        <v>1758.5131178185852</v>
      </c>
      <c r="I155" s="201" t="s">
        <v>541</v>
      </c>
    </row>
    <row r="156" spans="1:9" x14ac:dyDescent="0.25">
      <c r="A156" s="192" t="s">
        <v>220</v>
      </c>
      <c r="B156" s="201" t="s">
        <v>532</v>
      </c>
      <c r="C156" s="193" t="s">
        <v>821</v>
      </c>
      <c r="D156" s="193" t="s">
        <v>822</v>
      </c>
      <c r="E156" s="201" t="s">
        <v>545</v>
      </c>
      <c r="F156" s="196">
        <v>80</v>
      </c>
      <c r="G156" s="194">
        <v>89.94746759559122</v>
      </c>
      <c r="H156" s="195">
        <f t="shared" si="2"/>
        <v>7195.7974076472974</v>
      </c>
      <c r="I156" s="201" t="s">
        <v>536</v>
      </c>
    </row>
    <row r="157" spans="1:9" x14ac:dyDescent="0.25">
      <c r="A157" s="193" t="s">
        <v>747</v>
      </c>
      <c r="B157" s="193" t="s">
        <v>781</v>
      </c>
      <c r="C157" s="193" t="s">
        <v>823</v>
      </c>
      <c r="D157" s="193" t="s">
        <v>824</v>
      </c>
      <c r="E157" s="193" t="s">
        <v>535</v>
      </c>
      <c r="F157" s="200">
        <v>3907</v>
      </c>
      <c r="G157" s="199">
        <v>5.3658935406675319</v>
      </c>
      <c r="H157" s="195">
        <f t="shared" si="2"/>
        <v>20964.546063388047</v>
      </c>
      <c r="I157" s="193" t="s">
        <v>541</v>
      </c>
    </row>
    <row r="158" spans="1:9" x14ac:dyDescent="0.25">
      <c r="A158" s="193" t="s">
        <v>220</v>
      </c>
      <c r="B158" s="193" t="s">
        <v>588</v>
      </c>
      <c r="C158" s="193" t="s">
        <v>825</v>
      </c>
      <c r="D158" s="193" t="s">
        <v>826</v>
      </c>
      <c r="E158" s="193" t="s">
        <v>545</v>
      </c>
      <c r="F158" s="196">
        <v>861</v>
      </c>
      <c r="G158" s="194">
        <v>12.373890012648957</v>
      </c>
      <c r="H158" s="195">
        <f t="shared" si="2"/>
        <v>10653.919300890751</v>
      </c>
      <c r="I158" s="193" t="s">
        <v>541</v>
      </c>
    </row>
    <row r="159" spans="1:9" x14ac:dyDescent="0.25">
      <c r="A159" s="193" t="s">
        <v>220</v>
      </c>
      <c r="B159" s="193" t="s">
        <v>588</v>
      </c>
      <c r="C159" s="193" t="s">
        <v>827</v>
      </c>
      <c r="D159" s="193" t="s">
        <v>828</v>
      </c>
      <c r="E159" s="193" t="s">
        <v>545</v>
      </c>
      <c r="F159" s="196">
        <v>325</v>
      </c>
      <c r="G159" s="194">
        <v>7.9457692462815741</v>
      </c>
      <c r="H159" s="195">
        <f t="shared" si="2"/>
        <v>2582.3750050415115</v>
      </c>
      <c r="I159" s="193" t="s">
        <v>541</v>
      </c>
    </row>
    <row r="160" spans="1:9" x14ac:dyDescent="0.25">
      <c r="A160" s="193" t="s">
        <v>220</v>
      </c>
      <c r="B160" s="193" t="s">
        <v>588</v>
      </c>
      <c r="C160" s="193" t="s">
        <v>829</v>
      </c>
      <c r="D160" s="193" t="s">
        <v>830</v>
      </c>
      <c r="E160" s="193" t="s">
        <v>545</v>
      </c>
      <c r="F160" s="196">
        <v>5646</v>
      </c>
      <c r="G160" s="194">
        <v>7.9462486792276872</v>
      </c>
      <c r="H160" s="195">
        <f t="shared" si="2"/>
        <v>44864.520042919525</v>
      </c>
      <c r="I160" s="193" t="s">
        <v>541</v>
      </c>
    </row>
    <row r="161" spans="1:9" x14ac:dyDescent="0.25">
      <c r="A161" s="193" t="s">
        <v>220</v>
      </c>
      <c r="B161" s="193" t="s">
        <v>588</v>
      </c>
      <c r="C161" s="193" t="s">
        <v>831</v>
      </c>
      <c r="D161" s="193" t="s">
        <v>832</v>
      </c>
      <c r="E161" s="193" t="s">
        <v>545</v>
      </c>
      <c r="F161" s="196">
        <v>4310</v>
      </c>
      <c r="G161" s="194">
        <v>5.3909308724328993</v>
      </c>
      <c r="H161" s="195">
        <f t="shared" si="2"/>
        <v>23234.912060185798</v>
      </c>
      <c r="I161" s="193" t="s">
        <v>541</v>
      </c>
    </row>
    <row r="162" spans="1:9" x14ac:dyDescent="0.25">
      <c r="A162" s="193" t="s">
        <v>220</v>
      </c>
      <c r="B162" s="193" t="s">
        <v>588</v>
      </c>
      <c r="C162" s="193" t="s">
        <v>833</v>
      </c>
      <c r="D162" s="193" t="s">
        <v>834</v>
      </c>
      <c r="E162" s="193" t="s">
        <v>545</v>
      </c>
      <c r="F162" s="196">
        <v>556</v>
      </c>
      <c r="G162" s="194">
        <v>5.8978684019301877</v>
      </c>
      <c r="H162" s="195">
        <f t="shared" si="2"/>
        <v>3279.2148314731844</v>
      </c>
      <c r="I162" s="193" t="s">
        <v>541</v>
      </c>
    </row>
    <row r="163" spans="1:9" x14ac:dyDescent="0.25">
      <c r="A163" s="193" t="s">
        <v>220</v>
      </c>
      <c r="B163" s="193" t="s">
        <v>588</v>
      </c>
      <c r="C163" s="193" t="s">
        <v>835</v>
      </c>
      <c r="D163" s="193" t="s">
        <v>836</v>
      </c>
      <c r="E163" s="193" t="s">
        <v>545</v>
      </c>
      <c r="F163" s="196">
        <v>1120</v>
      </c>
      <c r="G163" s="194">
        <v>4.2500357223489855</v>
      </c>
      <c r="H163" s="195">
        <f t="shared" si="2"/>
        <v>4760.040009030864</v>
      </c>
      <c r="I163" s="193" t="s">
        <v>541</v>
      </c>
    </row>
    <row r="164" spans="1:9" x14ac:dyDescent="0.25">
      <c r="A164" s="193" t="s">
        <v>220</v>
      </c>
      <c r="B164" s="193" t="s">
        <v>588</v>
      </c>
      <c r="C164" s="193" t="s">
        <v>837</v>
      </c>
      <c r="D164" s="193" t="s">
        <v>838</v>
      </c>
      <c r="E164" s="193" t="s">
        <v>545</v>
      </c>
      <c r="F164" s="196">
        <v>2998</v>
      </c>
      <c r="G164" s="194">
        <v>5.2467793515841628</v>
      </c>
      <c r="H164" s="195">
        <f t="shared" si="2"/>
        <v>15729.84449604932</v>
      </c>
      <c r="I164" s="193" t="s">
        <v>541</v>
      </c>
    </row>
    <row r="165" spans="1:9" x14ac:dyDescent="0.25">
      <c r="A165" s="193" t="s">
        <v>220</v>
      </c>
      <c r="B165" s="193" t="s">
        <v>588</v>
      </c>
      <c r="C165" s="193" t="s">
        <v>839</v>
      </c>
      <c r="D165" s="193" t="s">
        <v>840</v>
      </c>
      <c r="E165" s="193" t="s">
        <v>545</v>
      </c>
      <c r="F165" s="196">
        <v>3841</v>
      </c>
      <c r="G165" s="194">
        <v>5.4413322199389604</v>
      </c>
      <c r="H165" s="195">
        <f t="shared" si="2"/>
        <v>20900.157056785549</v>
      </c>
      <c r="I165" s="193" t="s">
        <v>541</v>
      </c>
    </row>
    <row r="166" spans="1:9" x14ac:dyDescent="0.25">
      <c r="A166" s="193" t="s">
        <v>220</v>
      </c>
      <c r="B166" s="193" t="s">
        <v>588</v>
      </c>
      <c r="C166" s="193" t="s">
        <v>841</v>
      </c>
      <c r="D166" s="193" t="s">
        <v>842</v>
      </c>
      <c r="E166" s="193" t="s">
        <v>545</v>
      </c>
      <c r="F166" s="196">
        <v>2925</v>
      </c>
      <c r="G166" s="194">
        <v>4.1249721771996413</v>
      </c>
      <c r="H166" s="195">
        <f t="shared" si="2"/>
        <v>12065.543618308951</v>
      </c>
      <c r="I166" s="193" t="s">
        <v>541</v>
      </c>
    </row>
    <row r="167" spans="1:9" x14ac:dyDescent="0.25">
      <c r="A167" s="193" t="s">
        <v>220</v>
      </c>
      <c r="B167" s="193" t="s">
        <v>588</v>
      </c>
      <c r="C167" s="193" t="s">
        <v>843</v>
      </c>
      <c r="D167" s="193" t="s">
        <v>844</v>
      </c>
      <c r="E167" s="193" t="s">
        <v>545</v>
      </c>
      <c r="F167" s="196">
        <v>6320</v>
      </c>
      <c r="G167" s="194">
        <v>5.9648175593552235</v>
      </c>
      <c r="H167" s="195">
        <f t="shared" si="2"/>
        <v>37697.646975125012</v>
      </c>
      <c r="I167" s="193" t="s">
        <v>541</v>
      </c>
    </row>
    <row r="168" spans="1:9" x14ac:dyDescent="0.25">
      <c r="A168" s="193" t="s">
        <v>220</v>
      </c>
      <c r="B168" s="193" t="s">
        <v>588</v>
      </c>
      <c r="C168" s="193" t="s">
        <v>845</v>
      </c>
      <c r="D168" s="193" t="s">
        <v>846</v>
      </c>
      <c r="E168" s="193" t="s">
        <v>545</v>
      </c>
      <c r="F168" s="196">
        <v>990</v>
      </c>
      <c r="G168" s="194">
        <v>5.6453024753020058</v>
      </c>
      <c r="H168" s="195">
        <f t="shared" si="2"/>
        <v>5588.8494505489862</v>
      </c>
      <c r="I168" s="193" t="s">
        <v>541</v>
      </c>
    </row>
    <row r="169" spans="1:9" x14ac:dyDescent="0.25">
      <c r="A169" s="193" t="s">
        <v>220</v>
      </c>
      <c r="B169" s="193" t="s">
        <v>588</v>
      </c>
      <c r="C169" s="193" t="s">
        <v>847</v>
      </c>
      <c r="D169" s="193" t="s">
        <v>848</v>
      </c>
      <c r="E169" s="193" t="s">
        <v>545</v>
      </c>
      <c r="F169" s="196">
        <v>2807</v>
      </c>
      <c r="G169" s="194">
        <v>5.7323337064227609</v>
      </c>
      <c r="H169" s="195">
        <f t="shared" si="2"/>
        <v>16090.66071392869</v>
      </c>
      <c r="I169" s="193" t="s">
        <v>541</v>
      </c>
    </row>
    <row r="170" spans="1:9" x14ac:dyDescent="0.25">
      <c r="A170" s="193" t="s">
        <v>220</v>
      </c>
      <c r="B170" s="193" t="s">
        <v>588</v>
      </c>
      <c r="C170" s="193" t="s">
        <v>849</v>
      </c>
      <c r="D170" s="193" t="s">
        <v>850</v>
      </c>
      <c r="E170" s="193" t="s">
        <v>545</v>
      </c>
      <c r="F170" s="196">
        <v>432</v>
      </c>
      <c r="G170" s="194">
        <v>4.3059139447251029</v>
      </c>
      <c r="H170" s="195">
        <f t="shared" si="2"/>
        <v>1860.1548241212445</v>
      </c>
      <c r="I170" s="193" t="s">
        <v>541</v>
      </c>
    </row>
    <row r="171" spans="1:9" x14ac:dyDescent="0.25">
      <c r="A171" s="193" t="s">
        <v>220</v>
      </c>
      <c r="B171" s="193" t="s">
        <v>588</v>
      </c>
      <c r="C171" s="193" t="s">
        <v>851</v>
      </c>
      <c r="D171" s="193" t="s">
        <v>852</v>
      </c>
      <c r="E171" s="193" t="s">
        <v>545</v>
      </c>
      <c r="F171" s="196">
        <v>10158</v>
      </c>
      <c r="G171" s="194">
        <v>5.4782695444978593</v>
      </c>
      <c r="H171" s="195">
        <f t="shared" si="2"/>
        <v>55648.262033009254</v>
      </c>
      <c r="I171" s="193" t="s">
        <v>541</v>
      </c>
    </row>
    <row r="172" spans="1:9" x14ac:dyDescent="0.25">
      <c r="A172" s="193" t="s">
        <v>220</v>
      </c>
      <c r="B172" s="193" t="s">
        <v>588</v>
      </c>
      <c r="C172" s="193" t="s">
        <v>853</v>
      </c>
      <c r="D172" s="193" t="s">
        <v>854</v>
      </c>
      <c r="E172" s="193" t="s">
        <v>545</v>
      </c>
      <c r="F172" s="196">
        <v>7062</v>
      </c>
      <c r="G172" s="194">
        <v>6.5069026234189895</v>
      </c>
      <c r="H172" s="195">
        <f t="shared" si="2"/>
        <v>45951.746326584907</v>
      </c>
      <c r="I172" s="193" t="s">
        <v>541</v>
      </c>
    </row>
    <row r="173" spans="1:9" x14ac:dyDescent="0.25">
      <c r="A173" s="193" t="s">
        <v>220</v>
      </c>
      <c r="B173" s="193" t="s">
        <v>588</v>
      </c>
      <c r="C173" s="193" t="s">
        <v>855</v>
      </c>
      <c r="D173" s="193" t="s">
        <v>856</v>
      </c>
      <c r="E173" s="193" t="s">
        <v>545</v>
      </c>
      <c r="F173" s="196">
        <v>2019</v>
      </c>
      <c r="G173" s="194">
        <v>3.5545831049279544</v>
      </c>
      <c r="H173" s="195">
        <f t="shared" si="2"/>
        <v>7176.7032888495396</v>
      </c>
      <c r="I173" s="193" t="s">
        <v>541</v>
      </c>
    </row>
    <row r="174" spans="1:9" x14ac:dyDescent="0.25">
      <c r="A174" s="193" t="s">
        <v>220</v>
      </c>
      <c r="B174" s="193" t="s">
        <v>588</v>
      </c>
      <c r="C174" s="193" t="s">
        <v>857</v>
      </c>
      <c r="D174" s="193" t="s">
        <v>858</v>
      </c>
      <c r="E174" s="193" t="s">
        <v>545</v>
      </c>
      <c r="F174" s="196">
        <v>5259</v>
      </c>
      <c r="G174" s="194">
        <v>5.9468506015183964</v>
      </c>
      <c r="H174" s="195">
        <f t="shared" si="2"/>
        <v>31274.487313385245</v>
      </c>
      <c r="I174" s="193" t="s">
        <v>541</v>
      </c>
    </row>
    <row r="175" spans="1:9" x14ac:dyDescent="0.25">
      <c r="A175" s="193" t="s">
        <v>220</v>
      </c>
      <c r="B175" s="193" t="s">
        <v>588</v>
      </c>
      <c r="C175" s="193" t="s">
        <v>859</v>
      </c>
      <c r="D175" s="193" t="s">
        <v>860</v>
      </c>
      <c r="E175" s="193" t="s">
        <v>545</v>
      </c>
      <c r="F175" s="196">
        <v>4886</v>
      </c>
      <c r="G175" s="194">
        <v>6.0477779713082231</v>
      </c>
      <c r="H175" s="195">
        <f t="shared" si="2"/>
        <v>29549.44316781198</v>
      </c>
      <c r="I175" s="193" t="s">
        <v>541</v>
      </c>
    </row>
    <row r="176" spans="1:9" x14ac:dyDescent="0.25">
      <c r="A176" s="193" t="s">
        <v>220</v>
      </c>
      <c r="B176" s="193" t="s">
        <v>588</v>
      </c>
      <c r="C176" s="193" t="s">
        <v>861</v>
      </c>
      <c r="D176" s="193" t="s">
        <v>862</v>
      </c>
      <c r="E176" s="193" t="s">
        <v>545</v>
      </c>
      <c r="F176" s="196">
        <v>842</v>
      </c>
      <c r="G176" s="194">
        <v>5.9680923504620749</v>
      </c>
      <c r="H176" s="195">
        <f t="shared" si="2"/>
        <v>5025.1337590890671</v>
      </c>
      <c r="I176" s="193" t="s">
        <v>541</v>
      </c>
    </row>
    <row r="177" spans="1:9" x14ac:dyDescent="0.25">
      <c r="A177" s="193" t="s">
        <v>220</v>
      </c>
      <c r="B177" s="193" t="s">
        <v>588</v>
      </c>
      <c r="C177" s="193" t="s">
        <v>863</v>
      </c>
      <c r="D177" s="193" t="s">
        <v>864</v>
      </c>
      <c r="E177" s="193" t="s">
        <v>545</v>
      </c>
      <c r="F177" s="196">
        <v>66</v>
      </c>
      <c r="G177" s="194">
        <v>3.4771593863103991</v>
      </c>
      <c r="H177" s="195">
        <f t="shared" si="2"/>
        <v>229.49251949648635</v>
      </c>
      <c r="I177" s="193" t="s">
        <v>541</v>
      </c>
    </row>
    <row r="178" spans="1:9" x14ac:dyDescent="0.25">
      <c r="A178" s="193" t="s">
        <v>220</v>
      </c>
      <c r="B178" s="193" t="s">
        <v>588</v>
      </c>
      <c r="C178" s="193" t="s">
        <v>865</v>
      </c>
      <c r="D178" s="193" t="s">
        <v>866</v>
      </c>
      <c r="E178" s="193" t="s">
        <v>545</v>
      </c>
      <c r="F178" s="196">
        <v>3588</v>
      </c>
      <c r="G178" s="194">
        <v>6.3368180094906368</v>
      </c>
      <c r="H178" s="195">
        <f t="shared" si="2"/>
        <v>22736.503018052405</v>
      </c>
      <c r="I178" s="193" t="s">
        <v>541</v>
      </c>
    </row>
    <row r="179" spans="1:9" x14ac:dyDescent="0.25">
      <c r="A179" s="193" t="s">
        <v>220</v>
      </c>
      <c r="B179" s="193" t="s">
        <v>588</v>
      </c>
      <c r="C179" s="193" t="s">
        <v>867</v>
      </c>
      <c r="D179" s="193" t="s">
        <v>868</v>
      </c>
      <c r="E179" s="193" t="s">
        <v>545</v>
      </c>
      <c r="F179" s="196">
        <v>122</v>
      </c>
      <c r="G179" s="194">
        <v>4.346584430574163</v>
      </c>
      <c r="H179" s="195">
        <f t="shared" si="2"/>
        <v>530.28330053004788</v>
      </c>
      <c r="I179" s="193" t="s">
        <v>541</v>
      </c>
    </row>
    <row r="180" spans="1:9" x14ac:dyDescent="0.25">
      <c r="A180" s="193" t="s">
        <v>220</v>
      </c>
      <c r="B180" s="193" t="s">
        <v>588</v>
      </c>
      <c r="C180" s="193" t="s">
        <v>869</v>
      </c>
      <c r="D180" s="193" t="s">
        <v>870</v>
      </c>
      <c r="E180" s="193" t="s">
        <v>545</v>
      </c>
      <c r="F180" s="196">
        <v>905</v>
      </c>
      <c r="G180" s="194">
        <v>8.535108410318708</v>
      </c>
      <c r="H180" s="195">
        <f t="shared" si="2"/>
        <v>7724.2731113384307</v>
      </c>
      <c r="I180" s="193" t="s">
        <v>541</v>
      </c>
    </row>
    <row r="181" spans="1:9" x14ac:dyDescent="0.25">
      <c r="A181" s="193" t="s">
        <v>220</v>
      </c>
      <c r="B181" s="193" t="s">
        <v>588</v>
      </c>
      <c r="C181" s="193" t="s">
        <v>871</v>
      </c>
      <c r="D181" s="193" t="s">
        <v>872</v>
      </c>
      <c r="E181" s="193" t="s">
        <v>545</v>
      </c>
      <c r="F181" s="196">
        <v>2609</v>
      </c>
      <c r="G181" s="194">
        <v>6.357308778341916</v>
      </c>
      <c r="H181" s="195">
        <f t="shared" si="2"/>
        <v>16586.218602694058</v>
      </c>
      <c r="I181" s="193" t="s">
        <v>541</v>
      </c>
    </row>
    <row r="182" spans="1:9" x14ac:dyDescent="0.25">
      <c r="A182" s="193" t="s">
        <v>220</v>
      </c>
      <c r="B182" s="193" t="s">
        <v>588</v>
      </c>
      <c r="C182" s="193" t="s">
        <v>873</v>
      </c>
      <c r="D182" s="193" t="s">
        <v>874</v>
      </c>
      <c r="E182" s="193" t="s">
        <v>545</v>
      </c>
      <c r="F182" s="196">
        <v>33</v>
      </c>
      <c r="G182" s="194">
        <v>6.6805025161624272</v>
      </c>
      <c r="H182" s="195">
        <f t="shared" si="2"/>
        <v>220.45658303336009</v>
      </c>
      <c r="I182" s="193" t="s">
        <v>541</v>
      </c>
    </row>
    <row r="183" spans="1:9" x14ac:dyDescent="0.25">
      <c r="A183" s="193" t="s">
        <v>220</v>
      </c>
      <c r="B183" s="193" t="s">
        <v>588</v>
      </c>
      <c r="C183" s="193" t="s">
        <v>817</v>
      </c>
      <c r="D183" s="193" t="s">
        <v>875</v>
      </c>
      <c r="E183" s="193" t="s">
        <v>545</v>
      </c>
      <c r="F183" s="196">
        <v>6578</v>
      </c>
      <c r="G183" s="194">
        <v>7.9040076645121999</v>
      </c>
      <c r="H183" s="195">
        <f t="shared" si="2"/>
        <v>51992.562417161251</v>
      </c>
      <c r="I183" s="193" t="s">
        <v>541</v>
      </c>
    </row>
    <row r="184" spans="1:9" x14ac:dyDescent="0.25">
      <c r="A184" s="193" t="s">
        <v>220</v>
      </c>
      <c r="B184" s="193" t="s">
        <v>588</v>
      </c>
      <c r="C184" s="193" t="s">
        <v>876</v>
      </c>
      <c r="D184" s="193" t="s">
        <v>877</v>
      </c>
      <c r="E184" s="193" t="s">
        <v>545</v>
      </c>
      <c r="F184" s="196">
        <v>2669</v>
      </c>
      <c r="G184" s="194">
        <v>8.053227749015468</v>
      </c>
      <c r="H184" s="195">
        <f t="shared" si="2"/>
        <v>21494.064862122283</v>
      </c>
      <c r="I184" s="193" t="s">
        <v>541</v>
      </c>
    </row>
    <row r="185" spans="1:9" x14ac:dyDescent="0.25">
      <c r="A185" s="193" t="s">
        <v>220</v>
      </c>
      <c r="B185" s="193" t="s">
        <v>588</v>
      </c>
      <c r="C185" s="193" t="s">
        <v>878</v>
      </c>
      <c r="D185" s="193" t="s">
        <v>879</v>
      </c>
      <c r="E185" s="193" t="s">
        <v>545</v>
      </c>
      <c r="F185" s="196">
        <v>2124</v>
      </c>
      <c r="G185" s="194">
        <v>10.024608813199761</v>
      </c>
      <c r="H185" s="195">
        <f t="shared" si="2"/>
        <v>21292.269119236291</v>
      </c>
      <c r="I185" s="193" t="s">
        <v>541</v>
      </c>
    </row>
    <row r="186" spans="1:9" x14ac:dyDescent="0.25">
      <c r="A186" s="193" t="s">
        <v>220</v>
      </c>
      <c r="B186" s="193" t="s">
        <v>588</v>
      </c>
      <c r="C186" s="193" t="s">
        <v>880</v>
      </c>
      <c r="D186" s="193" t="s">
        <v>881</v>
      </c>
      <c r="E186" s="193" t="s">
        <v>545</v>
      </c>
      <c r="F186" s="196">
        <v>1993</v>
      </c>
      <c r="G186" s="194">
        <v>16.999470853681405</v>
      </c>
      <c r="H186" s="195">
        <f t="shared" si="2"/>
        <v>33879.945411387038</v>
      </c>
      <c r="I186" s="193" t="s">
        <v>541</v>
      </c>
    </row>
    <row r="187" spans="1:9" x14ac:dyDescent="0.25">
      <c r="A187" s="193" t="s">
        <v>220</v>
      </c>
      <c r="B187" s="193" t="s">
        <v>588</v>
      </c>
      <c r="C187" s="193" t="s">
        <v>882</v>
      </c>
      <c r="D187" s="193" t="s">
        <v>883</v>
      </c>
      <c r="E187" s="193" t="s">
        <v>545</v>
      </c>
      <c r="F187" s="196">
        <v>1317</v>
      </c>
      <c r="G187" s="194">
        <v>13.114255649661915</v>
      </c>
      <c r="H187" s="195">
        <f t="shared" si="2"/>
        <v>17271.474690604744</v>
      </c>
      <c r="I187" s="193" t="s">
        <v>541</v>
      </c>
    </row>
    <row r="188" spans="1:9" x14ac:dyDescent="0.25">
      <c r="A188" s="193" t="s">
        <v>220</v>
      </c>
      <c r="B188" s="193" t="s">
        <v>588</v>
      </c>
      <c r="C188" s="193" t="s">
        <v>884</v>
      </c>
      <c r="D188" s="193" t="s">
        <v>885</v>
      </c>
      <c r="E188" s="193" t="s">
        <v>545</v>
      </c>
      <c r="F188" s="196">
        <v>140</v>
      </c>
      <c r="G188" s="194">
        <v>9.0982141647888408</v>
      </c>
      <c r="H188" s="195">
        <f t="shared" si="2"/>
        <v>1273.7499830704378</v>
      </c>
      <c r="I188" s="193" t="s">
        <v>541</v>
      </c>
    </row>
    <row r="189" spans="1:9" x14ac:dyDescent="0.25">
      <c r="A189" s="193" t="s">
        <v>220</v>
      </c>
      <c r="B189" s="193" t="s">
        <v>588</v>
      </c>
      <c r="C189" s="193" t="s">
        <v>886</v>
      </c>
      <c r="D189" s="193" t="s">
        <v>887</v>
      </c>
      <c r="E189" s="193" t="s">
        <v>545</v>
      </c>
      <c r="F189" s="196">
        <v>2603</v>
      </c>
      <c r="G189" s="194">
        <v>17.839552188080578</v>
      </c>
      <c r="H189" s="195">
        <f t="shared" si="2"/>
        <v>46436.354345573745</v>
      </c>
      <c r="I189" s="193" t="s">
        <v>541</v>
      </c>
    </row>
    <row r="190" spans="1:9" x14ac:dyDescent="0.25">
      <c r="A190" s="193" t="s">
        <v>220</v>
      </c>
      <c r="B190" s="193" t="s">
        <v>588</v>
      </c>
      <c r="C190" s="193" t="s">
        <v>888</v>
      </c>
      <c r="D190" s="193" t="s">
        <v>889</v>
      </c>
      <c r="E190" s="193" t="s">
        <v>545</v>
      </c>
      <c r="F190" s="196">
        <v>1584</v>
      </c>
      <c r="G190" s="203">
        <v>15.734751544370877</v>
      </c>
      <c r="H190" s="195">
        <f t="shared" si="2"/>
        <v>24923.846446283467</v>
      </c>
      <c r="I190" s="193" t="s">
        <v>541</v>
      </c>
    </row>
    <row r="191" spans="1:9" x14ac:dyDescent="0.25">
      <c r="A191" s="193" t="s">
        <v>220</v>
      </c>
      <c r="B191" s="193" t="s">
        <v>588</v>
      </c>
      <c r="C191" s="193" t="s">
        <v>890</v>
      </c>
      <c r="D191" s="193" t="s">
        <v>891</v>
      </c>
      <c r="E191" s="193" t="s">
        <v>545</v>
      </c>
      <c r="F191" s="196">
        <v>198</v>
      </c>
      <c r="G191" s="194">
        <v>16.100236678529633</v>
      </c>
      <c r="H191" s="195">
        <f t="shared" si="2"/>
        <v>3187.8468623488675</v>
      </c>
      <c r="I191" s="193" t="s">
        <v>541</v>
      </c>
    </row>
    <row r="192" spans="1:9" x14ac:dyDescent="0.25">
      <c r="A192" s="193" t="s">
        <v>220</v>
      </c>
      <c r="B192" s="193" t="s">
        <v>588</v>
      </c>
      <c r="C192" s="193" t="s">
        <v>892</v>
      </c>
      <c r="D192" s="193" t="s">
        <v>893</v>
      </c>
      <c r="E192" s="193" t="s">
        <v>545</v>
      </c>
      <c r="F192" s="196">
        <v>120</v>
      </c>
      <c r="G192" s="194">
        <v>9.478747837080391</v>
      </c>
      <c r="H192" s="195">
        <f t="shared" si="2"/>
        <v>1137.4497404496469</v>
      </c>
      <c r="I192" s="193" t="s">
        <v>541</v>
      </c>
    </row>
    <row r="193" spans="1:9" x14ac:dyDescent="0.25">
      <c r="A193" s="193" t="s">
        <v>220</v>
      </c>
      <c r="B193" s="193" t="s">
        <v>588</v>
      </c>
      <c r="C193" s="193" t="s">
        <v>894</v>
      </c>
      <c r="D193" s="193" t="s">
        <v>895</v>
      </c>
      <c r="E193" s="193" t="s">
        <v>545</v>
      </c>
      <c r="F193" s="196">
        <v>577</v>
      </c>
      <c r="G193" s="194">
        <v>23.127588104431553</v>
      </c>
      <c r="H193" s="195">
        <f t="shared" si="2"/>
        <v>13344.618336257006</v>
      </c>
      <c r="I193" s="193" t="s">
        <v>541</v>
      </c>
    </row>
    <row r="194" spans="1:9" x14ac:dyDescent="0.25">
      <c r="A194" s="193" t="s">
        <v>220</v>
      </c>
      <c r="B194" s="193" t="s">
        <v>588</v>
      </c>
      <c r="C194" s="193" t="s">
        <v>896</v>
      </c>
      <c r="D194" s="193" t="s">
        <v>897</v>
      </c>
      <c r="E194" s="193" t="s">
        <v>545</v>
      </c>
      <c r="F194" s="196">
        <v>712</v>
      </c>
      <c r="G194" s="194">
        <v>18.647961786293347</v>
      </c>
      <c r="H194" s="195">
        <f t="shared" si="2"/>
        <v>13277.348791840863</v>
      </c>
      <c r="I194" s="193" t="s">
        <v>541</v>
      </c>
    </row>
    <row r="195" spans="1:9" x14ac:dyDescent="0.25">
      <c r="A195" s="193" t="s">
        <v>220</v>
      </c>
      <c r="B195" s="193" t="s">
        <v>588</v>
      </c>
      <c r="C195" s="193" t="s">
        <v>898</v>
      </c>
      <c r="D195" s="193" t="s">
        <v>899</v>
      </c>
      <c r="E195" s="193" t="s">
        <v>545</v>
      </c>
      <c r="F195" s="196">
        <v>60</v>
      </c>
      <c r="G195" s="194">
        <v>14.21146013360571</v>
      </c>
      <c r="H195" s="195">
        <f t="shared" si="2"/>
        <v>852.68760801634266</v>
      </c>
      <c r="I195" s="193" t="s">
        <v>541</v>
      </c>
    </row>
    <row r="196" spans="1:9" x14ac:dyDescent="0.25">
      <c r="A196" s="193" t="s">
        <v>220</v>
      </c>
      <c r="B196" s="193" t="s">
        <v>588</v>
      </c>
      <c r="C196" s="193" t="s">
        <v>900</v>
      </c>
      <c r="D196" s="193" t="s">
        <v>901</v>
      </c>
      <c r="E196" s="193" t="s">
        <v>545</v>
      </c>
      <c r="F196" s="196">
        <v>100</v>
      </c>
      <c r="G196" s="194">
        <v>12.246265453746195</v>
      </c>
      <c r="H196" s="195">
        <f t="shared" si="2"/>
        <v>1224.6265453746196</v>
      </c>
      <c r="I196" s="193" t="s">
        <v>541</v>
      </c>
    </row>
    <row r="197" spans="1:9" x14ac:dyDescent="0.25">
      <c r="A197" s="193" t="s">
        <v>220</v>
      </c>
      <c r="B197" s="193" t="s">
        <v>588</v>
      </c>
      <c r="C197" s="193" t="s">
        <v>902</v>
      </c>
      <c r="D197" s="193" t="s">
        <v>903</v>
      </c>
      <c r="E197" s="193" t="s">
        <v>545</v>
      </c>
      <c r="F197" s="196">
        <v>3861</v>
      </c>
      <c r="G197" s="194">
        <v>8.2255219304087159</v>
      </c>
      <c r="H197" s="195">
        <f t="shared" ref="H197:H260" si="3">+F197*G197</f>
        <v>31758.740173308051</v>
      </c>
      <c r="I197" s="193" t="s">
        <v>541</v>
      </c>
    </row>
    <row r="198" spans="1:9" x14ac:dyDescent="0.25">
      <c r="A198" s="193" t="s">
        <v>220</v>
      </c>
      <c r="B198" s="193" t="s">
        <v>588</v>
      </c>
      <c r="C198" s="193" t="s">
        <v>813</v>
      </c>
      <c r="D198" s="193" t="s">
        <v>904</v>
      </c>
      <c r="E198" s="193" t="s">
        <v>545</v>
      </c>
      <c r="F198" s="196">
        <v>3471</v>
      </c>
      <c r="G198" s="194">
        <v>8.3328387556776438</v>
      </c>
      <c r="H198" s="195">
        <f t="shared" si="3"/>
        <v>28923.2833209571</v>
      </c>
      <c r="I198" s="193" t="s">
        <v>541</v>
      </c>
    </row>
    <row r="199" spans="1:9" x14ac:dyDescent="0.25">
      <c r="A199" s="193" t="s">
        <v>220</v>
      </c>
      <c r="B199" s="193" t="s">
        <v>588</v>
      </c>
      <c r="C199" s="193" t="s">
        <v>905</v>
      </c>
      <c r="D199" s="193" t="s">
        <v>906</v>
      </c>
      <c r="E199" s="193" t="s">
        <v>545</v>
      </c>
      <c r="F199" s="196">
        <v>384</v>
      </c>
      <c r="G199" s="194">
        <v>6.8624613913190524</v>
      </c>
      <c r="H199" s="195">
        <f t="shared" si="3"/>
        <v>2635.1851742665162</v>
      </c>
      <c r="I199" s="193" t="s">
        <v>541</v>
      </c>
    </row>
    <row r="200" spans="1:9" x14ac:dyDescent="0.25">
      <c r="A200" s="193" t="s">
        <v>220</v>
      </c>
      <c r="B200" s="193" t="s">
        <v>588</v>
      </c>
      <c r="C200" s="193" t="s">
        <v>907</v>
      </c>
      <c r="D200" s="193" t="s">
        <v>908</v>
      </c>
      <c r="E200" s="193" t="s">
        <v>545</v>
      </c>
      <c r="F200" s="196">
        <v>104</v>
      </c>
      <c r="G200" s="194">
        <v>36.09955101660929</v>
      </c>
      <c r="H200" s="195">
        <f t="shared" si="3"/>
        <v>3754.3533057273662</v>
      </c>
      <c r="I200" s="193" t="s">
        <v>541</v>
      </c>
    </row>
    <row r="201" spans="1:9" x14ac:dyDescent="0.25">
      <c r="A201" s="193" t="s">
        <v>220</v>
      </c>
      <c r="B201" s="193" t="s">
        <v>588</v>
      </c>
      <c r="C201" s="193" t="s">
        <v>909</v>
      </c>
      <c r="D201" s="193" t="s">
        <v>910</v>
      </c>
      <c r="E201" s="193" t="s">
        <v>545</v>
      </c>
      <c r="F201" s="196">
        <v>800</v>
      </c>
      <c r="G201" s="194">
        <v>5.2865873581565594</v>
      </c>
      <c r="H201" s="195">
        <f t="shared" si="3"/>
        <v>4229.2698865252478</v>
      </c>
      <c r="I201" s="193" t="s">
        <v>541</v>
      </c>
    </row>
    <row r="202" spans="1:9" x14ac:dyDescent="0.25">
      <c r="A202" s="193" t="s">
        <v>220</v>
      </c>
      <c r="B202" s="193" t="s">
        <v>588</v>
      </c>
      <c r="C202" s="193" t="s">
        <v>911</v>
      </c>
      <c r="D202" s="193" t="s">
        <v>912</v>
      </c>
      <c r="E202" s="193" t="s">
        <v>545</v>
      </c>
      <c r="F202" s="196">
        <v>3000</v>
      </c>
      <c r="G202" s="194">
        <v>5.6790230360969103</v>
      </c>
      <c r="H202" s="195">
        <f t="shared" si="3"/>
        <v>17037.069108290732</v>
      </c>
      <c r="I202" s="193" t="s">
        <v>541</v>
      </c>
    </row>
    <row r="203" spans="1:9" x14ac:dyDescent="0.25">
      <c r="A203" s="193" t="s">
        <v>220</v>
      </c>
      <c r="B203" s="193" t="s">
        <v>588</v>
      </c>
      <c r="C203" s="193" t="s">
        <v>913</v>
      </c>
      <c r="D203" s="193" t="s">
        <v>914</v>
      </c>
      <c r="E203" s="193" t="s">
        <v>545</v>
      </c>
      <c r="F203" s="196">
        <v>1991</v>
      </c>
      <c r="G203" s="194">
        <v>5.854190761007608</v>
      </c>
      <c r="H203" s="195">
        <f t="shared" si="3"/>
        <v>11655.693805166147</v>
      </c>
      <c r="I203" s="193" t="s">
        <v>541</v>
      </c>
    </row>
    <row r="204" spans="1:9" x14ac:dyDescent="0.25">
      <c r="A204" s="193" t="s">
        <v>220</v>
      </c>
      <c r="B204" s="193" t="s">
        <v>588</v>
      </c>
      <c r="C204" s="193" t="s">
        <v>915</v>
      </c>
      <c r="D204" s="193" t="s">
        <v>916</v>
      </c>
      <c r="E204" s="193" t="s">
        <v>545</v>
      </c>
      <c r="F204" s="196">
        <v>268</v>
      </c>
      <c r="G204" s="194">
        <v>7.1624044123330366</v>
      </c>
      <c r="H204" s="195">
        <f t="shared" si="3"/>
        <v>1919.5243825052537</v>
      </c>
      <c r="I204" s="193" t="s">
        <v>541</v>
      </c>
    </row>
    <row r="205" spans="1:9" x14ac:dyDescent="0.25">
      <c r="A205" s="193" t="s">
        <v>220</v>
      </c>
      <c r="B205" s="193" t="s">
        <v>588</v>
      </c>
      <c r="C205" s="193" t="s">
        <v>917</v>
      </c>
      <c r="D205" s="193" t="s">
        <v>918</v>
      </c>
      <c r="E205" s="193" t="s">
        <v>545</v>
      </c>
      <c r="F205" s="196">
        <v>229</v>
      </c>
      <c r="G205" s="194">
        <v>4.5909629006197479</v>
      </c>
      <c r="H205" s="195">
        <f t="shared" si="3"/>
        <v>1051.3305042419222</v>
      </c>
      <c r="I205" s="193" t="s">
        <v>541</v>
      </c>
    </row>
    <row r="206" spans="1:9" x14ac:dyDescent="0.25">
      <c r="A206" s="193" t="s">
        <v>220</v>
      </c>
      <c r="B206" s="193" t="s">
        <v>588</v>
      </c>
      <c r="C206" s="193" t="s">
        <v>919</v>
      </c>
      <c r="D206" s="193" t="s">
        <v>920</v>
      </c>
      <c r="E206" s="193" t="s">
        <v>545</v>
      </c>
      <c r="F206" s="196">
        <v>4000</v>
      </c>
      <c r="G206" s="194">
        <v>4.4719410869346516</v>
      </c>
      <c r="H206" s="195">
        <f t="shared" si="3"/>
        <v>17887.764347738608</v>
      </c>
      <c r="I206" s="193" t="s">
        <v>541</v>
      </c>
    </row>
    <row r="207" spans="1:9" x14ac:dyDescent="0.25">
      <c r="A207" s="193" t="s">
        <v>220</v>
      </c>
      <c r="B207" s="193" t="s">
        <v>588</v>
      </c>
      <c r="C207" s="193" t="s">
        <v>921</v>
      </c>
      <c r="D207" s="193" t="s">
        <v>922</v>
      </c>
      <c r="E207" s="193" t="s">
        <v>545</v>
      </c>
      <c r="F207" s="196">
        <v>2502</v>
      </c>
      <c r="G207" s="194">
        <v>4.4514939447333353</v>
      </c>
      <c r="H207" s="195">
        <f t="shared" si="3"/>
        <v>11137.637849722805</v>
      </c>
      <c r="I207" s="193" t="s">
        <v>541</v>
      </c>
    </row>
    <row r="208" spans="1:9" x14ac:dyDescent="0.25">
      <c r="A208" s="193" t="s">
        <v>220</v>
      </c>
      <c r="B208" s="193" t="s">
        <v>588</v>
      </c>
      <c r="C208" s="193" t="s">
        <v>923</v>
      </c>
      <c r="D208" s="193" t="s">
        <v>924</v>
      </c>
      <c r="E208" s="193" t="s">
        <v>545</v>
      </c>
      <c r="F208" s="196">
        <v>33</v>
      </c>
      <c r="G208" s="194">
        <v>1.8058866423822733</v>
      </c>
      <c r="H208" s="195">
        <f t="shared" si="3"/>
        <v>59.594259198615021</v>
      </c>
      <c r="I208" s="193" t="s">
        <v>541</v>
      </c>
    </row>
    <row r="209" spans="1:9" x14ac:dyDescent="0.25">
      <c r="A209" s="193" t="s">
        <v>220</v>
      </c>
      <c r="B209" s="193" t="s">
        <v>588</v>
      </c>
      <c r="C209" s="193" t="s">
        <v>925</v>
      </c>
      <c r="D209" s="193" t="s">
        <v>926</v>
      </c>
      <c r="E209" s="193" t="s">
        <v>545</v>
      </c>
      <c r="F209" s="196">
        <v>100</v>
      </c>
      <c r="G209" s="194">
        <v>1.6838572466932886</v>
      </c>
      <c r="H209" s="195">
        <f t="shared" si="3"/>
        <v>168.38572466932885</v>
      </c>
      <c r="I209" s="193" t="s">
        <v>541</v>
      </c>
    </row>
    <row r="210" spans="1:9" x14ac:dyDescent="0.25">
      <c r="A210" s="193" t="s">
        <v>220</v>
      </c>
      <c r="B210" s="193" t="s">
        <v>588</v>
      </c>
      <c r="C210" s="193" t="s">
        <v>927</v>
      </c>
      <c r="D210" s="193" t="s">
        <v>928</v>
      </c>
      <c r="E210" s="193" t="s">
        <v>545</v>
      </c>
      <c r="F210" s="196">
        <v>166</v>
      </c>
      <c r="G210" s="194">
        <v>1.7375056995890412</v>
      </c>
      <c r="H210" s="195">
        <f t="shared" si="3"/>
        <v>288.42594613178085</v>
      </c>
      <c r="I210" s="193" t="s">
        <v>541</v>
      </c>
    </row>
    <row r="211" spans="1:9" x14ac:dyDescent="0.25">
      <c r="A211" s="193" t="s">
        <v>220</v>
      </c>
      <c r="B211" s="193" t="s">
        <v>588</v>
      </c>
      <c r="C211" s="193" t="s">
        <v>929</v>
      </c>
      <c r="D211" s="193" t="s">
        <v>930</v>
      </c>
      <c r="E211" s="193" t="s">
        <v>545</v>
      </c>
      <c r="F211" s="196">
        <v>2400</v>
      </c>
      <c r="G211" s="194">
        <v>3.1509544104832674</v>
      </c>
      <c r="H211" s="195">
        <f t="shared" si="3"/>
        <v>7562.2905851598416</v>
      </c>
      <c r="I211" s="193" t="s">
        <v>541</v>
      </c>
    </row>
    <row r="212" spans="1:9" x14ac:dyDescent="0.25">
      <c r="A212" s="193" t="s">
        <v>220</v>
      </c>
      <c r="B212" s="193" t="s">
        <v>588</v>
      </c>
      <c r="C212" s="193" t="s">
        <v>931</v>
      </c>
      <c r="D212" s="193" t="s">
        <v>932</v>
      </c>
      <c r="E212" s="193" t="s">
        <v>545</v>
      </c>
      <c r="F212" s="196">
        <v>600</v>
      </c>
      <c r="G212" s="194">
        <v>3.1509544104832674</v>
      </c>
      <c r="H212" s="195">
        <f t="shared" si="3"/>
        <v>1890.5726462899604</v>
      </c>
      <c r="I212" s="193" t="s">
        <v>541</v>
      </c>
    </row>
    <row r="213" spans="1:9" x14ac:dyDescent="0.25">
      <c r="A213" s="193" t="s">
        <v>220</v>
      </c>
      <c r="B213" s="193" t="s">
        <v>588</v>
      </c>
      <c r="C213" s="193" t="s">
        <v>933</v>
      </c>
      <c r="D213" s="193" t="s">
        <v>934</v>
      </c>
      <c r="E213" s="193" t="s">
        <v>545</v>
      </c>
      <c r="F213" s="196">
        <v>126</v>
      </c>
      <c r="G213" s="194">
        <v>3.587914531954393</v>
      </c>
      <c r="H213" s="195">
        <f t="shared" si="3"/>
        <v>452.07723102625351</v>
      </c>
      <c r="I213" s="193" t="s">
        <v>541</v>
      </c>
    </row>
    <row r="214" spans="1:9" x14ac:dyDescent="0.25">
      <c r="A214" s="193" t="s">
        <v>220</v>
      </c>
      <c r="B214" s="193" t="s">
        <v>588</v>
      </c>
      <c r="C214" s="193" t="s">
        <v>935</v>
      </c>
      <c r="D214" s="193" t="s">
        <v>936</v>
      </c>
      <c r="E214" s="193" t="s">
        <v>545</v>
      </c>
      <c r="F214" s="196">
        <v>112</v>
      </c>
      <c r="G214" s="194">
        <v>3.6576161250341985</v>
      </c>
      <c r="H214" s="195">
        <f t="shared" si="3"/>
        <v>409.65300600383023</v>
      </c>
      <c r="I214" s="193" t="s">
        <v>541</v>
      </c>
    </row>
    <row r="215" spans="1:9" x14ac:dyDescent="0.25">
      <c r="A215" s="193" t="s">
        <v>220</v>
      </c>
      <c r="B215" s="193" t="s">
        <v>588</v>
      </c>
      <c r="C215" s="193" t="s">
        <v>937</v>
      </c>
      <c r="D215" s="193" t="s">
        <v>938</v>
      </c>
      <c r="E215" s="193" t="s">
        <v>545</v>
      </c>
      <c r="F215" s="196">
        <v>7493</v>
      </c>
      <c r="G215" s="194">
        <v>4.0436779169907302</v>
      </c>
      <c r="H215" s="195">
        <f t="shared" si="3"/>
        <v>30299.278632011541</v>
      </c>
      <c r="I215" s="193" t="s">
        <v>541</v>
      </c>
    </row>
    <row r="216" spans="1:9" x14ac:dyDescent="0.25">
      <c r="A216" s="193" t="s">
        <v>220</v>
      </c>
      <c r="B216" s="193" t="s">
        <v>588</v>
      </c>
      <c r="C216" s="193" t="s">
        <v>939</v>
      </c>
      <c r="D216" s="193" t="s">
        <v>940</v>
      </c>
      <c r="E216" s="193" t="s">
        <v>545</v>
      </c>
      <c r="F216" s="196">
        <v>5208</v>
      </c>
      <c r="G216" s="194">
        <v>4.0455078400798747</v>
      </c>
      <c r="H216" s="195">
        <f t="shared" si="3"/>
        <v>21069.004831135986</v>
      </c>
      <c r="I216" s="193" t="s">
        <v>541</v>
      </c>
    </row>
    <row r="217" spans="1:9" x14ac:dyDescent="0.25">
      <c r="A217" s="193" t="s">
        <v>220</v>
      </c>
      <c r="B217" s="193" t="s">
        <v>588</v>
      </c>
      <c r="C217" s="193" t="s">
        <v>941</v>
      </c>
      <c r="D217" s="193" t="s">
        <v>942</v>
      </c>
      <c r="E217" s="193" t="s">
        <v>545</v>
      </c>
      <c r="F217" s="196">
        <v>182</v>
      </c>
      <c r="G217" s="194">
        <v>0.24200000000000002</v>
      </c>
      <c r="H217" s="195">
        <f t="shared" si="3"/>
        <v>44.044000000000004</v>
      </c>
      <c r="I217" s="193" t="s">
        <v>541</v>
      </c>
    </row>
    <row r="218" spans="1:9" x14ac:dyDescent="0.25">
      <c r="A218" s="193" t="s">
        <v>220</v>
      </c>
      <c r="B218" s="193" t="s">
        <v>588</v>
      </c>
      <c r="C218" s="193" t="s">
        <v>943</v>
      </c>
      <c r="D218" s="193" t="s">
        <v>944</v>
      </c>
      <c r="E218" s="193" t="s">
        <v>545</v>
      </c>
      <c r="F218" s="196">
        <v>414</v>
      </c>
      <c r="G218" s="194">
        <v>4.8445442390232882</v>
      </c>
      <c r="H218" s="195">
        <f t="shared" si="3"/>
        <v>2005.6413149556413</v>
      </c>
      <c r="I218" s="193" t="s">
        <v>541</v>
      </c>
    </row>
    <row r="219" spans="1:9" x14ac:dyDescent="0.25">
      <c r="A219" s="193" t="s">
        <v>220</v>
      </c>
      <c r="B219" s="193" t="s">
        <v>588</v>
      </c>
      <c r="C219" s="193" t="s">
        <v>945</v>
      </c>
      <c r="D219" s="193" t="s">
        <v>946</v>
      </c>
      <c r="E219" s="193" t="s">
        <v>545</v>
      </c>
      <c r="F219" s="196">
        <v>774</v>
      </c>
      <c r="G219" s="194">
        <v>4.07</v>
      </c>
      <c r="H219" s="195">
        <f t="shared" si="3"/>
        <v>3150.1800000000003</v>
      </c>
      <c r="I219" s="193" t="s">
        <v>541</v>
      </c>
    </row>
    <row r="220" spans="1:9" x14ac:dyDescent="0.25">
      <c r="A220" s="193" t="s">
        <v>220</v>
      </c>
      <c r="B220" s="193" t="s">
        <v>588</v>
      </c>
      <c r="C220" s="193" t="s">
        <v>947</v>
      </c>
      <c r="D220" s="193" t="s">
        <v>948</v>
      </c>
      <c r="E220" s="193" t="s">
        <v>545</v>
      </c>
      <c r="F220" s="196">
        <v>51</v>
      </c>
      <c r="G220" s="194">
        <v>5.2794782884201883</v>
      </c>
      <c r="H220" s="195">
        <f t="shared" si="3"/>
        <v>269.25339270942959</v>
      </c>
      <c r="I220" s="193" t="s">
        <v>541</v>
      </c>
    </row>
    <row r="221" spans="1:9" x14ac:dyDescent="0.25">
      <c r="A221" s="193" t="s">
        <v>220</v>
      </c>
      <c r="B221" s="193" t="s">
        <v>588</v>
      </c>
      <c r="C221" s="193" t="s">
        <v>949</v>
      </c>
      <c r="D221" s="193" t="s">
        <v>950</v>
      </c>
      <c r="E221" s="193" t="s">
        <v>545</v>
      </c>
      <c r="F221" s="196">
        <v>2560</v>
      </c>
      <c r="G221" s="194">
        <v>4.6089807827158351</v>
      </c>
      <c r="H221" s="195">
        <f t="shared" si="3"/>
        <v>11798.990803752538</v>
      </c>
      <c r="I221" s="193" t="s">
        <v>541</v>
      </c>
    </row>
    <row r="222" spans="1:9" x14ac:dyDescent="0.25">
      <c r="A222" s="193" t="s">
        <v>220</v>
      </c>
      <c r="B222" s="193" t="s">
        <v>588</v>
      </c>
      <c r="C222" s="193" t="s">
        <v>951</v>
      </c>
      <c r="D222" s="193" t="s">
        <v>952</v>
      </c>
      <c r="E222" s="193" t="s">
        <v>545</v>
      </c>
      <c r="F222" s="196">
        <v>449</v>
      </c>
      <c r="G222" s="194">
        <v>4.803858124576502</v>
      </c>
      <c r="H222" s="195">
        <f t="shared" si="3"/>
        <v>2156.9322979348494</v>
      </c>
      <c r="I222" s="193" t="s">
        <v>541</v>
      </c>
    </row>
    <row r="223" spans="1:9" x14ac:dyDescent="0.25">
      <c r="A223" s="193" t="s">
        <v>220</v>
      </c>
      <c r="B223" s="193" t="s">
        <v>588</v>
      </c>
      <c r="C223" s="193" t="s">
        <v>953</v>
      </c>
      <c r="D223" s="193" t="s">
        <v>954</v>
      </c>
      <c r="E223" s="193" t="s">
        <v>545</v>
      </c>
      <c r="F223" s="196">
        <v>3911</v>
      </c>
      <c r="G223" s="194">
        <v>4.4099669915444535</v>
      </c>
      <c r="H223" s="195">
        <f t="shared" si="3"/>
        <v>17247.380903930356</v>
      </c>
      <c r="I223" s="193" t="s">
        <v>541</v>
      </c>
    </row>
    <row r="224" spans="1:9" x14ac:dyDescent="0.25">
      <c r="A224" s="193" t="s">
        <v>220</v>
      </c>
      <c r="B224" s="193" t="s">
        <v>588</v>
      </c>
      <c r="C224" s="193" t="s">
        <v>955</v>
      </c>
      <c r="D224" s="193" t="s">
        <v>956</v>
      </c>
      <c r="E224" s="193" t="s">
        <v>545</v>
      </c>
      <c r="F224" s="196">
        <v>6432</v>
      </c>
      <c r="G224" s="194">
        <v>4.3893574056383295</v>
      </c>
      <c r="H224" s="195">
        <f t="shared" si="3"/>
        <v>28232.346833065734</v>
      </c>
      <c r="I224" s="193" t="s">
        <v>541</v>
      </c>
    </row>
    <row r="225" spans="1:9" x14ac:dyDescent="0.25">
      <c r="A225" s="193" t="s">
        <v>220</v>
      </c>
      <c r="B225" s="193" t="s">
        <v>588</v>
      </c>
      <c r="C225" s="193" t="s">
        <v>957</v>
      </c>
      <c r="D225" s="193" t="s">
        <v>958</v>
      </c>
      <c r="E225" s="193" t="s">
        <v>545</v>
      </c>
      <c r="F225" s="196">
        <v>2751</v>
      </c>
      <c r="G225" s="194">
        <v>4.3222877881831794</v>
      </c>
      <c r="H225" s="195">
        <f t="shared" si="3"/>
        <v>11890.613705291926</v>
      </c>
      <c r="I225" s="193" t="s">
        <v>541</v>
      </c>
    </row>
    <row r="226" spans="1:9" x14ac:dyDescent="0.25">
      <c r="A226" s="193" t="s">
        <v>220</v>
      </c>
      <c r="B226" s="193" t="s">
        <v>588</v>
      </c>
      <c r="C226" s="193" t="s">
        <v>959</v>
      </c>
      <c r="D226" s="193" t="s">
        <v>960</v>
      </c>
      <c r="E226" s="193" t="s">
        <v>545</v>
      </c>
      <c r="F226" s="196">
        <v>9126</v>
      </c>
      <c r="G226" s="194">
        <v>4.3236851050961489</v>
      </c>
      <c r="H226" s="195">
        <f t="shared" si="3"/>
        <v>39457.950269107452</v>
      </c>
      <c r="I226" s="193" t="s">
        <v>541</v>
      </c>
    </row>
    <row r="227" spans="1:9" x14ac:dyDescent="0.25">
      <c r="A227" s="193" t="s">
        <v>220</v>
      </c>
      <c r="B227" s="193" t="s">
        <v>588</v>
      </c>
      <c r="C227" s="193" t="s">
        <v>961</v>
      </c>
      <c r="D227" s="193" t="s">
        <v>962</v>
      </c>
      <c r="E227" s="193" t="s">
        <v>545</v>
      </c>
      <c r="F227" s="196">
        <v>271</v>
      </c>
      <c r="G227" s="194">
        <v>4.9036150838996004</v>
      </c>
      <c r="H227" s="195">
        <f t="shared" si="3"/>
        <v>1328.8796877367918</v>
      </c>
      <c r="I227" s="193" t="s">
        <v>541</v>
      </c>
    </row>
    <row r="228" spans="1:9" x14ac:dyDescent="0.25">
      <c r="A228" s="193" t="s">
        <v>220</v>
      </c>
      <c r="B228" s="193" t="s">
        <v>588</v>
      </c>
      <c r="C228" s="193" t="s">
        <v>963</v>
      </c>
      <c r="D228" s="193" t="s">
        <v>964</v>
      </c>
      <c r="E228" s="193" t="s">
        <v>545</v>
      </c>
      <c r="F228" s="196">
        <v>1435</v>
      </c>
      <c r="G228" s="194">
        <v>3.2293108743729602</v>
      </c>
      <c r="H228" s="195">
        <f t="shared" si="3"/>
        <v>4634.0611047251978</v>
      </c>
      <c r="I228" s="193" t="s">
        <v>541</v>
      </c>
    </row>
    <row r="229" spans="1:9" x14ac:dyDescent="0.25">
      <c r="A229" s="193" t="s">
        <v>220</v>
      </c>
      <c r="B229" s="193" t="s">
        <v>588</v>
      </c>
      <c r="C229" s="193" t="s">
        <v>965</v>
      </c>
      <c r="D229" s="193" t="s">
        <v>966</v>
      </c>
      <c r="E229" s="193" t="s">
        <v>545</v>
      </c>
      <c r="F229" s="196">
        <v>384</v>
      </c>
      <c r="G229" s="194">
        <v>5.5569070193330568</v>
      </c>
      <c r="H229" s="195">
        <f t="shared" si="3"/>
        <v>2133.8522954238938</v>
      </c>
      <c r="I229" s="193" t="s">
        <v>541</v>
      </c>
    </row>
    <row r="230" spans="1:9" x14ac:dyDescent="0.25">
      <c r="A230" s="193" t="s">
        <v>220</v>
      </c>
      <c r="B230" s="193" t="s">
        <v>588</v>
      </c>
      <c r="C230" s="193" t="s">
        <v>967</v>
      </c>
      <c r="D230" s="193" t="s">
        <v>968</v>
      </c>
      <c r="E230" s="193" t="s">
        <v>545</v>
      </c>
      <c r="F230" s="196">
        <v>3500</v>
      </c>
      <c r="G230" s="194">
        <v>4.8250600596433681</v>
      </c>
      <c r="H230" s="195">
        <f t="shared" si="3"/>
        <v>16887.710208751789</v>
      </c>
      <c r="I230" s="193" t="s">
        <v>541</v>
      </c>
    </row>
    <row r="231" spans="1:9" x14ac:dyDescent="0.25">
      <c r="A231" s="193" t="s">
        <v>220</v>
      </c>
      <c r="B231" s="193" t="s">
        <v>588</v>
      </c>
      <c r="C231" s="193" t="s">
        <v>969</v>
      </c>
      <c r="D231" s="193" t="s">
        <v>970</v>
      </c>
      <c r="E231" s="193" t="s">
        <v>545</v>
      </c>
      <c r="F231" s="196">
        <v>13167</v>
      </c>
      <c r="G231" s="194">
        <v>4.535083835994218</v>
      </c>
      <c r="H231" s="195">
        <f t="shared" si="3"/>
        <v>59713.448868535866</v>
      </c>
      <c r="I231" s="193" t="s">
        <v>541</v>
      </c>
    </row>
    <row r="232" spans="1:9" x14ac:dyDescent="0.25">
      <c r="A232" s="193" t="s">
        <v>220</v>
      </c>
      <c r="B232" s="193" t="s">
        <v>588</v>
      </c>
      <c r="C232" s="193" t="s">
        <v>971</v>
      </c>
      <c r="D232" s="193" t="s">
        <v>972</v>
      </c>
      <c r="E232" s="193" t="s">
        <v>545</v>
      </c>
      <c r="F232" s="196">
        <v>14366</v>
      </c>
      <c r="G232" s="194">
        <v>5.1094136548213882</v>
      </c>
      <c r="H232" s="195">
        <f t="shared" si="3"/>
        <v>73401.836565164063</v>
      </c>
      <c r="I232" s="193" t="s">
        <v>541</v>
      </c>
    </row>
    <row r="233" spans="1:9" x14ac:dyDescent="0.25">
      <c r="A233" s="193" t="s">
        <v>220</v>
      </c>
      <c r="B233" s="193" t="s">
        <v>588</v>
      </c>
      <c r="C233" s="193" t="s">
        <v>973</v>
      </c>
      <c r="D233" s="193" t="s">
        <v>974</v>
      </c>
      <c r="E233" s="193" t="s">
        <v>545</v>
      </c>
      <c r="F233" s="196">
        <v>35</v>
      </c>
      <c r="G233" s="194">
        <v>6.2201157594826944</v>
      </c>
      <c r="H233" s="195">
        <f t="shared" si="3"/>
        <v>217.7040515818943</v>
      </c>
      <c r="I233" s="193" t="s">
        <v>541</v>
      </c>
    </row>
    <row r="234" spans="1:9" x14ac:dyDescent="0.25">
      <c r="A234" s="193" t="s">
        <v>220</v>
      </c>
      <c r="B234" s="193" t="s">
        <v>588</v>
      </c>
      <c r="C234" s="193" t="s">
        <v>975</v>
      </c>
      <c r="D234" s="193" t="s">
        <v>976</v>
      </c>
      <c r="E234" s="193" t="s">
        <v>545</v>
      </c>
      <c r="F234" s="196">
        <v>29</v>
      </c>
      <c r="G234" s="194">
        <v>5.5717188019478296</v>
      </c>
      <c r="H234" s="195">
        <f t="shared" si="3"/>
        <v>161.57984525648706</v>
      </c>
      <c r="I234" s="193" t="s">
        <v>541</v>
      </c>
    </row>
    <row r="235" spans="1:9" x14ac:dyDescent="0.25">
      <c r="A235" s="193" t="s">
        <v>220</v>
      </c>
      <c r="B235" s="193" t="s">
        <v>588</v>
      </c>
      <c r="C235" s="193" t="s">
        <v>977</v>
      </c>
      <c r="D235" s="193" t="s">
        <v>978</v>
      </c>
      <c r="E235" s="193" t="s">
        <v>545</v>
      </c>
      <c r="F235" s="196">
        <v>44</v>
      </c>
      <c r="G235" s="194">
        <v>6.8493448357360753</v>
      </c>
      <c r="H235" s="195">
        <f t="shared" si="3"/>
        <v>301.3711727723873</v>
      </c>
      <c r="I235" s="193" t="s">
        <v>541</v>
      </c>
    </row>
    <row r="236" spans="1:9" x14ac:dyDescent="0.25">
      <c r="A236" s="193" t="s">
        <v>220</v>
      </c>
      <c r="B236" s="193" t="s">
        <v>588</v>
      </c>
      <c r="C236" s="193" t="s">
        <v>979</v>
      </c>
      <c r="D236" s="193" t="s">
        <v>980</v>
      </c>
      <c r="E236" s="193" t="s">
        <v>545</v>
      </c>
      <c r="F236" s="196">
        <v>2740</v>
      </c>
      <c r="G236" s="194">
        <v>5.0414773035907157</v>
      </c>
      <c r="H236" s="195">
        <f t="shared" si="3"/>
        <v>13813.64781183856</v>
      </c>
      <c r="I236" s="193" t="s">
        <v>541</v>
      </c>
    </row>
    <row r="237" spans="1:9" x14ac:dyDescent="0.25">
      <c r="A237" s="193" t="s">
        <v>220</v>
      </c>
      <c r="B237" s="193" t="s">
        <v>588</v>
      </c>
      <c r="C237" s="193" t="s">
        <v>981</v>
      </c>
      <c r="D237" s="193" t="s">
        <v>982</v>
      </c>
      <c r="E237" s="193" t="s">
        <v>545</v>
      </c>
      <c r="F237" s="196">
        <v>2629</v>
      </c>
      <c r="G237" s="194">
        <v>4.689254383144843</v>
      </c>
      <c r="H237" s="195">
        <f t="shared" si="3"/>
        <v>12328.049773287792</v>
      </c>
      <c r="I237" s="193" t="s">
        <v>541</v>
      </c>
    </row>
    <row r="238" spans="1:9" x14ac:dyDescent="0.25">
      <c r="A238" s="193" t="s">
        <v>220</v>
      </c>
      <c r="B238" s="193" t="s">
        <v>588</v>
      </c>
      <c r="C238" s="193" t="s">
        <v>983</v>
      </c>
      <c r="D238" s="193" t="s">
        <v>984</v>
      </c>
      <c r="E238" s="193" t="s">
        <v>545</v>
      </c>
      <c r="F238" s="196">
        <v>1520</v>
      </c>
      <c r="G238" s="194">
        <v>5.9459098552887735</v>
      </c>
      <c r="H238" s="195">
        <f t="shared" si="3"/>
        <v>9037.7829800389354</v>
      </c>
      <c r="I238" s="193" t="s">
        <v>541</v>
      </c>
    </row>
    <row r="239" spans="1:9" x14ac:dyDescent="0.25">
      <c r="A239" s="193" t="s">
        <v>220</v>
      </c>
      <c r="B239" s="193" t="s">
        <v>588</v>
      </c>
      <c r="C239" s="193" t="s">
        <v>985</v>
      </c>
      <c r="D239" s="193" t="s">
        <v>986</v>
      </c>
      <c r="E239" s="193" t="s">
        <v>545</v>
      </c>
      <c r="F239" s="196">
        <v>320</v>
      </c>
      <c r="G239" s="194">
        <v>5.2384684435120272</v>
      </c>
      <c r="H239" s="195">
        <f t="shared" si="3"/>
        <v>1676.3099019238487</v>
      </c>
      <c r="I239" s="193" t="s">
        <v>541</v>
      </c>
    </row>
    <row r="240" spans="1:9" x14ac:dyDescent="0.25">
      <c r="A240" s="193" t="s">
        <v>220</v>
      </c>
      <c r="B240" s="193" t="s">
        <v>588</v>
      </c>
      <c r="C240" s="193" t="s">
        <v>987</v>
      </c>
      <c r="D240" s="193" t="s">
        <v>988</v>
      </c>
      <c r="E240" s="193" t="s">
        <v>545</v>
      </c>
      <c r="F240" s="196">
        <v>699</v>
      </c>
      <c r="G240" s="194">
        <v>0.45100000000000001</v>
      </c>
      <c r="H240" s="195">
        <f t="shared" si="3"/>
        <v>315.24900000000002</v>
      </c>
      <c r="I240" s="193" t="s">
        <v>541</v>
      </c>
    </row>
    <row r="241" spans="1:9" x14ac:dyDescent="0.25">
      <c r="A241" s="193" t="s">
        <v>220</v>
      </c>
      <c r="B241" s="193" t="s">
        <v>588</v>
      </c>
      <c r="C241" s="193" t="s">
        <v>989</v>
      </c>
      <c r="D241" s="193" t="s">
        <v>990</v>
      </c>
      <c r="E241" s="193" t="s">
        <v>545</v>
      </c>
      <c r="F241" s="196">
        <v>27</v>
      </c>
      <c r="G241" s="194">
        <v>6.4735627942378278</v>
      </c>
      <c r="H241" s="195">
        <f t="shared" si="3"/>
        <v>174.78619544442134</v>
      </c>
      <c r="I241" s="193" t="s">
        <v>541</v>
      </c>
    </row>
    <row r="242" spans="1:9" x14ac:dyDescent="0.25">
      <c r="A242" s="193" t="s">
        <v>220</v>
      </c>
      <c r="B242" s="193" t="s">
        <v>588</v>
      </c>
      <c r="C242" s="193" t="s">
        <v>991</v>
      </c>
      <c r="D242" s="193" t="s">
        <v>992</v>
      </c>
      <c r="E242" s="193" t="s">
        <v>545</v>
      </c>
      <c r="F242" s="196">
        <v>862</v>
      </c>
      <c r="G242" s="194">
        <v>4.2218079140908236</v>
      </c>
      <c r="H242" s="195">
        <f t="shared" si="3"/>
        <v>3639.1984219462897</v>
      </c>
      <c r="I242" s="193" t="s">
        <v>541</v>
      </c>
    </row>
    <row r="243" spans="1:9" x14ac:dyDescent="0.25">
      <c r="A243" s="193" t="s">
        <v>220</v>
      </c>
      <c r="B243" s="193" t="s">
        <v>588</v>
      </c>
      <c r="C243" s="193" t="s">
        <v>993</v>
      </c>
      <c r="D243" s="193" t="s">
        <v>994</v>
      </c>
      <c r="E243" s="193" t="s">
        <v>545</v>
      </c>
      <c r="F243" s="196">
        <v>127</v>
      </c>
      <c r="G243" s="194">
        <v>3.6604320471050991</v>
      </c>
      <c r="H243" s="195">
        <f t="shared" si="3"/>
        <v>464.8748699823476</v>
      </c>
      <c r="I243" s="193" t="s">
        <v>541</v>
      </c>
    </row>
    <row r="244" spans="1:9" x14ac:dyDescent="0.25">
      <c r="A244" s="193" t="s">
        <v>220</v>
      </c>
      <c r="B244" s="193" t="s">
        <v>588</v>
      </c>
      <c r="C244" s="193" t="s">
        <v>995</v>
      </c>
      <c r="D244" s="193" t="s">
        <v>996</v>
      </c>
      <c r="E244" s="193" t="s">
        <v>545</v>
      </c>
      <c r="F244" s="196">
        <v>918</v>
      </c>
      <c r="G244" s="194">
        <v>5.0516859086628108</v>
      </c>
      <c r="H244" s="195">
        <f t="shared" si="3"/>
        <v>4637.4476641524607</v>
      </c>
      <c r="I244" s="193" t="s">
        <v>541</v>
      </c>
    </row>
    <row r="245" spans="1:9" x14ac:dyDescent="0.25">
      <c r="A245" s="193" t="s">
        <v>220</v>
      </c>
      <c r="B245" s="193" t="s">
        <v>588</v>
      </c>
      <c r="C245" s="193" t="s">
        <v>997</v>
      </c>
      <c r="D245" s="193" t="s">
        <v>998</v>
      </c>
      <c r="E245" s="193" t="s">
        <v>545</v>
      </c>
      <c r="F245" s="196">
        <v>996</v>
      </c>
      <c r="G245" s="194">
        <v>5.3911014135882356</v>
      </c>
      <c r="H245" s="195">
        <f t="shared" si="3"/>
        <v>5369.5370079338827</v>
      </c>
      <c r="I245" s="193" t="s">
        <v>541</v>
      </c>
    </row>
    <row r="246" spans="1:9" x14ac:dyDescent="0.25">
      <c r="A246" s="193" t="s">
        <v>220</v>
      </c>
      <c r="B246" s="193" t="s">
        <v>588</v>
      </c>
      <c r="C246" s="193" t="s">
        <v>999</v>
      </c>
      <c r="D246" s="193" t="s">
        <v>1000</v>
      </c>
      <c r="E246" s="193" t="s">
        <v>545</v>
      </c>
      <c r="F246" s="196">
        <v>1782</v>
      </c>
      <c r="G246" s="194">
        <v>5.0558064198649921</v>
      </c>
      <c r="H246" s="195">
        <f t="shared" si="3"/>
        <v>9009.4470401994167</v>
      </c>
      <c r="I246" s="193" t="s">
        <v>541</v>
      </c>
    </row>
    <row r="247" spans="1:9" x14ac:dyDescent="0.25">
      <c r="A247" s="193" t="s">
        <v>220</v>
      </c>
      <c r="B247" s="193" t="s">
        <v>588</v>
      </c>
      <c r="C247" s="193" t="s">
        <v>1001</v>
      </c>
      <c r="D247" s="193" t="s">
        <v>1002</v>
      </c>
      <c r="E247" s="193" t="s">
        <v>545</v>
      </c>
      <c r="F247" s="196">
        <v>32</v>
      </c>
      <c r="G247" s="194">
        <v>9.0035729357088083</v>
      </c>
      <c r="H247" s="195">
        <f t="shared" si="3"/>
        <v>288.11433394268187</v>
      </c>
      <c r="I247" s="193" t="s">
        <v>541</v>
      </c>
    </row>
    <row r="248" spans="1:9" x14ac:dyDescent="0.25">
      <c r="A248" s="193" t="s">
        <v>220</v>
      </c>
      <c r="B248" s="193" t="s">
        <v>588</v>
      </c>
      <c r="C248" s="193" t="s">
        <v>819</v>
      </c>
      <c r="D248" s="193" t="s">
        <v>820</v>
      </c>
      <c r="E248" s="193" t="s">
        <v>545</v>
      </c>
      <c r="F248" s="196">
        <v>7840</v>
      </c>
      <c r="G248" s="194">
        <v>3.1402019961046164</v>
      </c>
      <c r="H248" s="195">
        <f t="shared" si="3"/>
        <v>24619.183649460192</v>
      </c>
      <c r="I248" s="193" t="s">
        <v>541</v>
      </c>
    </row>
    <row r="249" spans="1:9" x14ac:dyDescent="0.25">
      <c r="A249" s="193" t="s">
        <v>220</v>
      </c>
      <c r="B249" s="193" t="s">
        <v>588</v>
      </c>
      <c r="C249" s="193" t="s">
        <v>1003</v>
      </c>
      <c r="D249" s="193" t="s">
        <v>1004</v>
      </c>
      <c r="E249" s="193" t="s">
        <v>545</v>
      </c>
      <c r="F249" s="196">
        <v>241</v>
      </c>
      <c r="G249" s="194">
        <v>4.0065036896362285</v>
      </c>
      <c r="H249" s="195">
        <f t="shared" si="3"/>
        <v>965.56738920233101</v>
      </c>
      <c r="I249" s="193" t="s">
        <v>541</v>
      </c>
    </row>
    <row r="250" spans="1:9" x14ac:dyDescent="0.25">
      <c r="A250" s="193" t="s">
        <v>220</v>
      </c>
      <c r="B250" s="193" t="s">
        <v>588</v>
      </c>
      <c r="C250" s="193" t="s">
        <v>1005</v>
      </c>
      <c r="D250" s="193" t="s">
        <v>1006</v>
      </c>
      <c r="E250" s="193" t="s">
        <v>545</v>
      </c>
      <c r="F250" s="196">
        <v>758</v>
      </c>
      <c r="G250" s="194">
        <v>3.0321303557388903</v>
      </c>
      <c r="H250" s="195">
        <f t="shared" si="3"/>
        <v>2298.354809650079</v>
      </c>
      <c r="I250" s="193" t="s">
        <v>541</v>
      </c>
    </row>
    <row r="251" spans="1:9" x14ac:dyDescent="0.25">
      <c r="A251" s="193" t="s">
        <v>220</v>
      </c>
      <c r="B251" s="193" t="s">
        <v>588</v>
      </c>
      <c r="C251" s="193" t="s">
        <v>1007</v>
      </c>
      <c r="D251" s="193" t="s">
        <v>1008</v>
      </c>
      <c r="E251" s="193" t="s">
        <v>545</v>
      </c>
      <c r="F251" s="196">
        <v>355</v>
      </c>
      <c r="G251" s="194">
        <v>7.0411855665611025</v>
      </c>
      <c r="H251" s="195">
        <f t="shared" si="3"/>
        <v>2499.6208761291914</v>
      </c>
      <c r="I251" s="193" t="s">
        <v>541</v>
      </c>
    </row>
    <row r="252" spans="1:9" x14ac:dyDescent="0.25">
      <c r="A252" s="193" t="s">
        <v>220</v>
      </c>
      <c r="B252" s="193" t="s">
        <v>588</v>
      </c>
      <c r="C252" s="193" t="s">
        <v>1009</v>
      </c>
      <c r="D252" s="193" t="s">
        <v>1010</v>
      </c>
      <c r="E252" s="193" t="s">
        <v>545</v>
      </c>
      <c r="F252" s="196">
        <v>105</v>
      </c>
      <c r="G252" s="194">
        <v>7.1245275922579561</v>
      </c>
      <c r="H252" s="195">
        <f t="shared" si="3"/>
        <v>748.0753971870854</v>
      </c>
      <c r="I252" s="193" t="s">
        <v>541</v>
      </c>
    </row>
    <row r="253" spans="1:9" x14ac:dyDescent="0.25">
      <c r="A253" s="193" t="s">
        <v>220</v>
      </c>
      <c r="B253" s="193" t="s">
        <v>588</v>
      </c>
      <c r="C253" s="193" t="s">
        <v>1011</v>
      </c>
      <c r="D253" s="193" t="s">
        <v>1012</v>
      </c>
      <c r="E253" s="193" t="s">
        <v>545</v>
      </c>
      <c r="F253" s="196">
        <v>3977</v>
      </c>
      <c r="G253" s="194">
        <v>3.7932290595826137</v>
      </c>
      <c r="H253" s="195">
        <f t="shared" si="3"/>
        <v>15085.671969960054</v>
      </c>
      <c r="I253" s="193" t="s">
        <v>541</v>
      </c>
    </row>
    <row r="254" spans="1:9" x14ac:dyDescent="0.25">
      <c r="A254" s="193" t="s">
        <v>220</v>
      </c>
      <c r="B254" s="193" t="s">
        <v>588</v>
      </c>
      <c r="C254" s="193" t="s">
        <v>1013</v>
      </c>
      <c r="D254" s="193" t="s">
        <v>1014</v>
      </c>
      <c r="E254" s="193" t="s">
        <v>545</v>
      </c>
      <c r="F254" s="196">
        <v>1790</v>
      </c>
      <c r="G254" s="194">
        <v>3.8291108592534551</v>
      </c>
      <c r="H254" s="195">
        <f t="shared" si="3"/>
        <v>6854.1084380636848</v>
      </c>
      <c r="I254" s="193" t="s">
        <v>541</v>
      </c>
    </row>
    <row r="255" spans="1:9" x14ac:dyDescent="0.25">
      <c r="A255" s="193" t="s">
        <v>220</v>
      </c>
      <c r="B255" s="193" t="s">
        <v>588</v>
      </c>
      <c r="C255" s="193" t="s">
        <v>1015</v>
      </c>
      <c r="D255" s="193" t="s">
        <v>1016</v>
      </c>
      <c r="E255" s="193" t="s">
        <v>545</v>
      </c>
      <c r="F255" s="196">
        <v>394</v>
      </c>
      <c r="G255" s="194">
        <v>4.0292730848688931</v>
      </c>
      <c r="H255" s="195">
        <f t="shared" si="3"/>
        <v>1587.5335954383438</v>
      </c>
      <c r="I255" s="193" t="s">
        <v>541</v>
      </c>
    </row>
    <row r="256" spans="1:9" x14ac:dyDescent="0.25">
      <c r="A256" s="193" t="s">
        <v>220</v>
      </c>
      <c r="B256" s="193" t="s">
        <v>588</v>
      </c>
      <c r="C256" s="193" t="s">
        <v>1017</v>
      </c>
      <c r="D256" s="193" t="s">
        <v>1018</v>
      </c>
      <c r="E256" s="193" t="s">
        <v>545</v>
      </c>
      <c r="F256" s="196">
        <v>2446</v>
      </c>
      <c r="G256" s="194">
        <v>5.4119601166528746</v>
      </c>
      <c r="H256" s="195">
        <f t="shared" si="3"/>
        <v>13237.654445332932</v>
      </c>
      <c r="I256" s="193" t="s">
        <v>541</v>
      </c>
    </row>
    <row r="257" spans="1:9" x14ac:dyDescent="0.25">
      <c r="A257" s="193" t="s">
        <v>220</v>
      </c>
      <c r="B257" s="193" t="s">
        <v>588</v>
      </c>
      <c r="C257" s="193" t="s">
        <v>1019</v>
      </c>
      <c r="D257" s="193" t="s">
        <v>1020</v>
      </c>
      <c r="E257" s="193" t="s">
        <v>545</v>
      </c>
      <c r="F257" s="196">
        <v>61</v>
      </c>
      <c r="G257" s="194">
        <v>3.799210713387116</v>
      </c>
      <c r="H257" s="195">
        <f t="shared" si="3"/>
        <v>231.75185351661409</v>
      </c>
      <c r="I257" s="193" t="s">
        <v>541</v>
      </c>
    </row>
    <row r="258" spans="1:9" x14ac:dyDescent="0.25">
      <c r="A258" s="193" t="s">
        <v>220</v>
      </c>
      <c r="B258" s="193" t="s">
        <v>588</v>
      </c>
      <c r="C258" s="193" t="s">
        <v>1021</v>
      </c>
      <c r="D258" s="193" t="s">
        <v>1022</v>
      </c>
      <c r="E258" s="193" t="s">
        <v>545</v>
      </c>
      <c r="F258" s="196">
        <v>139</v>
      </c>
      <c r="G258" s="194">
        <v>4.3210521017805297</v>
      </c>
      <c r="H258" s="195">
        <f t="shared" si="3"/>
        <v>600.6262421474936</v>
      </c>
      <c r="I258" s="193" t="s">
        <v>541</v>
      </c>
    </row>
    <row r="259" spans="1:9" x14ac:dyDescent="0.25">
      <c r="A259" s="193" t="s">
        <v>220</v>
      </c>
      <c r="B259" s="193" t="s">
        <v>588</v>
      </c>
      <c r="C259" s="193" t="s">
        <v>1023</v>
      </c>
      <c r="D259" s="193" t="s">
        <v>1024</v>
      </c>
      <c r="E259" s="193" t="s">
        <v>545</v>
      </c>
      <c r="F259" s="196">
        <v>65</v>
      </c>
      <c r="G259" s="194">
        <v>4.6381336790317551</v>
      </c>
      <c r="H259" s="195">
        <f t="shared" si="3"/>
        <v>301.47868913706407</v>
      </c>
      <c r="I259" s="193" t="s">
        <v>541</v>
      </c>
    </row>
    <row r="260" spans="1:9" x14ac:dyDescent="0.25">
      <c r="A260" s="193" t="s">
        <v>220</v>
      </c>
      <c r="B260" s="193" t="s">
        <v>588</v>
      </c>
      <c r="C260" s="193" t="s">
        <v>1025</v>
      </c>
      <c r="D260" s="193" t="s">
        <v>1026</v>
      </c>
      <c r="E260" s="193" t="s">
        <v>545</v>
      </c>
      <c r="F260" s="196">
        <v>2278</v>
      </c>
      <c r="G260" s="194">
        <v>7.0219269199166785</v>
      </c>
      <c r="H260" s="195">
        <f t="shared" si="3"/>
        <v>15995.949523570194</v>
      </c>
      <c r="I260" s="193" t="s">
        <v>541</v>
      </c>
    </row>
    <row r="261" spans="1:9" x14ac:dyDescent="0.25">
      <c r="A261" s="193" t="s">
        <v>220</v>
      </c>
      <c r="B261" s="193" t="s">
        <v>588</v>
      </c>
      <c r="C261" s="193" t="s">
        <v>1027</v>
      </c>
      <c r="D261" s="193" t="s">
        <v>1028</v>
      </c>
      <c r="E261" s="193" t="s">
        <v>545</v>
      </c>
      <c r="F261" s="196">
        <v>877</v>
      </c>
      <c r="G261" s="194">
        <v>10.890478945301657</v>
      </c>
      <c r="H261" s="195">
        <f t="shared" ref="H261:H324" si="4">+F261*G261</f>
        <v>9550.950035029553</v>
      </c>
      <c r="I261" s="193" t="s">
        <v>541</v>
      </c>
    </row>
    <row r="262" spans="1:9" x14ac:dyDescent="0.25">
      <c r="A262" s="193" t="s">
        <v>220</v>
      </c>
      <c r="B262" s="193" t="s">
        <v>588</v>
      </c>
      <c r="C262" s="193" t="s">
        <v>1029</v>
      </c>
      <c r="D262" s="193" t="s">
        <v>1030</v>
      </c>
      <c r="E262" s="193" t="s">
        <v>545</v>
      </c>
      <c r="F262" s="196">
        <v>140</v>
      </c>
      <c r="G262" s="194">
        <v>4.4280281866652915</v>
      </c>
      <c r="H262" s="195">
        <f t="shared" si="4"/>
        <v>619.92394613314082</v>
      </c>
      <c r="I262" s="193" t="s">
        <v>541</v>
      </c>
    </row>
    <row r="263" spans="1:9" x14ac:dyDescent="0.25">
      <c r="A263" s="193" t="s">
        <v>220</v>
      </c>
      <c r="B263" s="193" t="s">
        <v>588</v>
      </c>
      <c r="C263" s="193" t="s">
        <v>1031</v>
      </c>
      <c r="D263" s="193" t="s">
        <v>1032</v>
      </c>
      <c r="E263" s="193" t="s">
        <v>545</v>
      </c>
      <c r="F263" s="196">
        <v>1664</v>
      </c>
      <c r="G263" s="194">
        <v>6.5543579342593912</v>
      </c>
      <c r="H263" s="195">
        <f t="shared" si="4"/>
        <v>10906.451602607627</v>
      </c>
      <c r="I263" s="193" t="s">
        <v>541</v>
      </c>
    </row>
    <row r="264" spans="1:9" x14ac:dyDescent="0.25">
      <c r="A264" s="193" t="s">
        <v>220</v>
      </c>
      <c r="B264" s="193" t="s">
        <v>588</v>
      </c>
      <c r="C264" s="193" t="s">
        <v>1033</v>
      </c>
      <c r="D264" s="193" t="s">
        <v>1034</v>
      </c>
      <c r="E264" s="193" t="s">
        <v>545</v>
      </c>
      <c r="F264" s="196">
        <v>32</v>
      </c>
      <c r="G264" s="194">
        <v>3.4670000000000001</v>
      </c>
      <c r="H264" s="195">
        <f t="shared" si="4"/>
        <v>110.944</v>
      </c>
      <c r="I264" s="193" t="s">
        <v>541</v>
      </c>
    </row>
    <row r="265" spans="1:9" x14ac:dyDescent="0.25">
      <c r="A265" s="193" t="s">
        <v>220</v>
      </c>
      <c r="B265" s="193" t="s">
        <v>588</v>
      </c>
      <c r="C265" s="193" t="s">
        <v>1035</v>
      </c>
      <c r="D265" s="193" t="s">
        <v>1036</v>
      </c>
      <c r="E265" s="193" t="s">
        <v>545</v>
      </c>
      <c r="F265" s="196">
        <v>1582</v>
      </c>
      <c r="G265" s="194">
        <v>7.48506167831078</v>
      </c>
      <c r="H265" s="195">
        <f t="shared" si="4"/>
        <v>11841.367575087654</v>
      </c>
      <c r="I265" s="193" t="s">
        <v>541</v>
      </c>
    </row>
    <row r="266" spans="1:9" x14ac:dyDescent="0.25">
      <c r="A266" s="193" t="s">
        <v>220</v>
      </c>
      <c r="B266" s="193" t="s">
        <v>588</v>
      </c>
      <c r="C266" s="193" t="s">
        <v>1037</v>
      </c>
      <c r="D266" s="193" t="s">
        <v>1038</v>
      </c>
      <c r="E266" s="193" t="s">
        <v>545</v>
      </c>
      <c r="F266" s="196">
        <v>163</v>
      </c>
      <c r="G266" s="194">
        <v>8.9541844410378246</v>
      </c>
      <c r="H266" s="195">
        <f t="shared" si="4"/>
        <v>1459.5320638891653</v>
      </c>
      <c r="I266" s="193" t="s">
        <v>541</v>
      </c>
    </row>
    <row r="267" spans="1:9" x14ac:dyDescent="0.25">
      <c r="A267" s="193" t="s">
        <v>220</v>
      </c>
      <c r="B267" s="193" t="s">
        <v>588</v>
      </c>
      <c r="C267" s="193" t="s">
        <v>1039</v>
      </c>
      <c r="D267" s="193" t="s">
        <v>1040</v>
      </c>
      <c r="E267" s="193" t="s">
        <v>545</v>
      </c>
      <c r="F267" s="196">
        <v>49</v>
      </c>
      <c r="G267" s="194">
        <v>12.199833565124555</v>
      </c>
      <c r="H267" s="195">
        <f t="shared" si="4"/>
        <v>597.79184469110317</v>
      </c>
      <c r="I267" s="193" t="s">
        <v>541</v>
      </c>
    </row>
    <row r="268" spans="1:9" x14ac:dyDescent="0.25">
      <c r="A268" s="193" t="s">
        <v>220</v>
      </c>
      <c r="B268" s="193" t="s">
        <v>588</v>
      </c>
      <c r="C268" s="193" t="s">
        <v>1041</v>
      </c>
      <c r="D268" s="193" t="s">
        <v>1042</v>
      </c>
      <c r="E268" s="193" t="s">
        <v>545</v>
      </c>
      <c r="F268" s="196">
        <v>120</v>
      </c>
      <c r="G268" s="194">
        <v>4.8431558291651617</v>
      </c>
      <c r="H268" s="195">
        <f t="shared" si="4"/>
        <v>581.17869949981946</v>
      </c>
      <c r="I268" s="193" t="s">
        <v>541</v>
      </c>
    </row>
    <row r="269" spans="1:9" x14ac:dyDescent="0.25">
      <c r="A269" s="193" t="s">
        <v>220</v>
      </c>
      <c r="B269" s="193" t="s">
        <v>588</v>
      </c>
      <c r="C269" s="193" t="s">
        <v>1043</v>
      </c>
      <c r="D269" s="193" t="s">
        <v>1044</v>
      </c>
      <c r="E269" s="193" t="s">
        <v>545</v>
      </c>
      <c r="F269" s="196">
        <v>1448</v>
      </c>
      <c r="G269" s="194">
        <v>7.6451385138131265</v>
      </c>
      <c r="H269" s="195">
        <f t="shared" si="4"/>
        <v>11070.160568001407</v>
      </c>
      <c r="I269" s="193" t="s">
        <v>541</v>
      </c>
    </row>
    <row r="270" spans="1:9" x14ac:dyDescent="0.25">
      <c r="A270" s="193" t="s">
        <v>220</v>
      </c>
      <c r="B270" s="193" t="s">
        <v>588</v>
      </c>
      <c r="C270" s="193" t="s">
        <v>1045</v>
      </c>
      <c r="D270" s="193" t="s">
        <v>1046</v>
      </c>
      <c r="E270" s="193" t="s">
        <v>545</v>
      </c>
      <c r="F270" s="196">
        <v>92</v>
      </c>
      <c r="G270" s="194">
        <v>4.8170351583590918</v>
      </c>
      <c r="H270" s="195">
        <f t="shared" si="4"/>
        <v>443.16723456903645</v>
      </c>
      <c r="I270" s="193" t="s">
        <v>541</v>
      </c>
    </row>
    <row r="271" spans="1:9" x14ac:dyDescent="0.25">
      <c r="A271" s="193" t="s">
        <v>220</v>
      </c>
      <c r="B271" s="193" t="s">
        <v>588</v>
      </c>
      <c r="C271" s="193" t="s">
        <v>1047</v>
      </c>
      <c r="D271" s="193" t="s">
        <v>1048</v>
      </c>
      <c r="E271" s="193" t="s">
        <v>545</v>
      </c>
      <c r="F271" s="196">
        <v>692</v>
      </c>
      <c r="G271" s="194">
        <v>8.5418546470319363</v>
      </c>
      <c r="H271" s="195">
        <f t="shared" si="4"/>
        <v>5910.9634157460996</v>
      </c>
      <c r="I271" s="193" t="s">
        <v>541</v>
      </c>
    </row>
    <row r="272" spans="1:9" x14ac:dyDescent="0.25">
      <c r="A272" s="193" t="s">
        <v>220</v>
      </c>
      <c r="B272" s="193" t="s">
        <v>588</v>
      </c>
      <c r="C272" s="193" t="s">
        <v>1049</v>
      </c>
      <c r="D272" s="193" t="s">
        <v>1050</v>
      </c>
      <c r="E272" s="193" t="s">
        <v>545</v>
      </c>
      <c r="F272" s="196">
        <v>326</v>
      </c>
      <c r="G272" s="194">
        <v>7.1065880653533515</v>
      </c>
      <c r="H272" s="195">
        <f t="shared" si="4"/>
        <v>2316.7477093051925</v>
      </c>
      <c r="I272" s="193" t="s">
        <v>541</v>
      </c>
    </row>
    <row r="273" spans="1:9" x14ac:dyDescent="0.25">
      <c r="A273" s="193" t="s">
        <v>220</v>
      </c>
      <c r="B273" s="193" t="s">
        <v>588</v>
      </c>
      <c r="C273" s="193" t="s">
        <v>1051</v>
      </c>
      <c r="D273" s="193" t="s">
        <v>1052</v>
      </c>
      <c r="E273" s="193" t="s">
        <v>545</v>
      </c>
      <c r="F273" s="196">
        <v>752</v>
      </c>
      <c r="G273" s="194">
        <v>12.9869196015842</v>
      </c>
      <c r="H273" s="195">
        <f t="shared" si="4"/>
        <v>9766.1635403913187</v>
      </c>
      <c r="I273" s="193" t="s">
        <v>541</v>
      </c>
    </row>
    <row r="274" spans="1:9" x14ac:dyDescent="0.25">
      <c r="A274" s="193" t="s">
        <v>220</v>
      </c>
      <c r="B274" s="193" t="s">
        <v>588</v>
      </c>
      <c r="C274" s="193" t="s">
        <v>1053</v>
      </c>
      <c r="D274" s="193" t="s">
        <v>1054</v>
      </c>
      <c r="E274" s="193" t="s">
        <v>545</v>
      </c>
      <c r="F274" s="196">
        <v>100</v>
      </c>
      <c r="G274" s="194">
        <v>5.5004412631232924</v>
      </c>
      <c r="H274" s="195">
        <f t="shared" si="4"/>
        <v>550.04412631232924</v>
      </c>
      <c r="I274" s="193" t="s">
        <v>541</v>
      </c>
    </row>
    <row r="275" spans="1:9" x14ac:dyDescent="0.25">
      <c r="A275" s="193" t="s">
        <v>220</v>
      </c>
      <c r="B275" s="193" t="s">
        <v>588</v>
      </c>
      <c r="C275" s="193" t="s">
        <v>1055</v>
      </c>
      <c r="D275" s="193" t="s">
        <v>1056</v>
      </c>
      <c r="E275" s="193" t="s">
        <v>545</v>
      </c>
      <c r="F275" s="196">
        <v>134</v>
      </c>
      <c r="G275" s="194">
        <v>5.3951399315746089</v>
      </c>
      <c r="H275" s="195">
        <f t="shared" si="4"/>
        <v>722.9487508309976</v>
      </c>
      <c r="I275" s="193" t="s">
        <v>541</v>
      </c>
    </row>
    <row r="276" spans="1:9" x14ac:dyDescent="0.25">
      <c r="A276" s="193" t="s">
        <v>220</v>
      </c>
      <c r="B276" s="193" t="s">
        <v>588</v>
      </c>
      <c r="C276" s="193" t="s">
        <v>1057</v>
      </c>
      <c r="D276" s="193" t="s">
        <v>1058</v>
      </c>
      <c r="E276" s="193" t="s">
        <v>545</v>
      </c>
      <c r="F276" s="196">
        <v>640</v>
      </c>
      <c r="G276" s="194">
        <v>6.390525900598095</v>
      </c>
      <c r="H276" s="195">
        <f t="shared" si="4"/>
        <v>4089.9365763827809</v>
      </c>
      <c r="I276" s="193" t="s">
        <v>541</v>
      </c>
    </row>
    <row r="277" spans="1:9" x14ac:dyDescent="0.25">
      <c r="A277" s="193" t="s">
        <v>220</v>
      </c>
      <c r="B277" s="193" t="s">
        <v>588</v>
      </c>
      <c r="C277" s="193" t="s">
        <v>1059</v>
      </c>
      <c r="D277" s="193" t="s">
        <v>1060</v>
      </c>
      <c r="E277" s="193" t="s">
        <v>545</v>
      </c>
      <c r="F277" s="196">
        <v>484</v>
      </c>
      <c r="G277" s="194">
        <v>3.2336327000489491</v>
      </c>
      <c r="H277" s="195">
        <f t="shared" si="4"/>
        <v>1565.0782268236915</v>
      </c>
      <c r="I277" s="193" t="s">
        <v>541</v>
      </c>
    </row>
    <row r="278" spans="1:9" x14ac:dyDescent="0.25">
      <c r="A278" s="193" t="s">
        <v>220</v>
      </c>
      <c r="B278" s="193" t="s">
        <v>588</v>
      </c>
      <c r="C278" s="193" t="s">
        <v>1061</v>
      </c>
      <c r="D278" s="193" t="s">
        <v>1062</v>
      </c>
      <c r="E278" s="193" t="s">
        <v>545</v>
      </c>
      <c r="F278" s="196">
        <v>169</v>
      </c>
      <c r="G278" s="194">
        <v>2.9343711995187785</v>
      </c>
      <c r="H278" s="195">
        <f t="shared" si="4"/>
        <v>495.90873271867355</v>
      </c>
      <c r="I278" s="193" t="s">
        <v>541</v>
      </c>
    </row>
    <row r="279" spans="1:9" x14ac:dyDescent="0.25">
      <c r="A279" s="193" t="s">
        <v>220</v>
      </c>
      <c r="B279" s="193" t="s">
        <v>588</v>
      </c>
      <c r="C279" s="193" t="s">
        <v>1063</v>
      </c>
      <c r="D279" s="193" t="s">
        <v>1064</v>
      </c>
      <c r="E279" s="193" t="s">
        <v>545</v>
      </c>
      <c r="F279" s="196">
        <v>69</v>
      </c>
      <c r="G279" s="194">
        <v>2.934371199518778</v>
      </c>
      <c r="H279" s="195">
        <f t="shared" si="4"/>
        <v>202.47161276679569</v>
      </c>
      <c r="I279" s="193" t="s">
        <v>541</v>
      </c>
    </row>
    <row r="280" spans="1:9" x14ac:dyDescent="0.25">
      <c r="A280" s="193" t="s">
        <v>220</v>
      </c>
      <c r="B280" s="193" t="s">
        <v>588</v>
      </c>
      <c r="C280" s="193" t="s">
        <v>1065</v>
      </c>
      <c r="D280" s="193" t="s">
        <v>1066</v>
      </c>
      <c r="E280" s="193" t="s">
        <v>545</v>
      </c>
      <c r="F280" s="196">
        <v>340</v>
      </c>
      <c r="G280" s="194">
        <v>4.7065467692809513</v>
      </c>
      <c r="H280" s="195">
        <f t="shared" si="4"/>
        <v>1600.2259015555235</v>
      </c>
      <c r="I280" s="193" t="s">
        <v>541</v>
      </c>
    </row>
    <row r="281" spans="1:9" x14ac:dyDescent="0.25">
      <c r="A281" s="193" t="s">
        <v>220</v>
      </c>
      <c r="B281" s="193" t="s">
        <v>588</v>
      </c>
      <c r="C281" s="193" t="s">
        <v>1067</v>
      </c>
      <c r="D281" s="193" t="s">
        <v>1068</v>
      </c>
      <c r="E281" s="193" t="s">
        <v>545</v>
      </c>
      <c r="F281" s="196">
        <v>3474</v>
      </c>
      <c r="G281" s="194">
        <v>4.4630730216745906</v>
      </c>
      <c r="H281" s="195">
        <f t="shared" si="4"/>
        <v>15504.715677297529</v>
      </c>
      <c r="I281" s="193" t="s">
        <v>541</v>
      </c>
    </row>
    <row r="282" spans="1:9" x14ac:dyDescent="0.25">
      <c r="A282" s="193" t="s">
        <v>220</v>
      </c>
      <c r="B282" s="193" t="s">
        <v>588</v>
      </c>
      <c r="C282" s="193" t="s">
        <v>1069</v>
      </c>
      <c r="D282" s="193" t="s">
        <v>1070</v>
      </c>
      <c r="E282" s="193" t="s">
        <v>545</v>
      </c>
      <c r="F282" s="196">
        <v>1579</v>
      </c>
      <c r="G282" s="194">
        <v>4.4968846514170711</v>
      </c>
      <c r="H282" s="195">
        <f t="shared" si="4"/>
        <v>7100.580864587555</v>
      </c>
      <c r="I282" s="193" t="s">
        <v>541</v>
      </c>
    </row>
    <row r="283" spans="1:9" x14ac:dyDescent="0.25">
      <c r="A283" s="193" t="s">
        <v>220</v>
      </c>
      <c r="B283" s="193" t="s">
        <v>588</v>
      </c>
      <c r="C283" s="193" t="s">
        <v>1071</v>
      </c>
      <c r="D283" s="193" t="s">
        <v>1072</v>
      </c>
      <c r="E283" s="193" t="s">
        <v>545</v>
      </c>
      <c r="F283" s="196">
        <v>2160</v>
      </c>
      <c r="G283" s="194">
        <v>4.6824795990752524</v>
      </c>
      <c r="H283" s="195">
        <f t="shared" si="4"/>
        <v>10114.155934002545</v>
      </c>
      <c r="I283" s="193" t="s">
        <v>541</v>
      </c>
    </row>
    <row r="284" spans="1:9" x14ac:dyDescent="0.25">
      <c r="A284" s="193" t="s">
        <v>220</v>
      </c>
      <c r="B284" s="193" t="s">
        <v>588</v>
      </c>
      <c r="C284" s="193" t="s">
        <v>1073</v>
      </c>
      <c r="D284" s="193" t="s">
        <v>1074</v>
      </c>
      <c r="E284" s="193" t="s">
        <v>545</v>
      </c>
      <c r="F284" s="196">
        <v>1581</v>
      </c>
      <c r="G284" s="194">
        <v>4.6826123881533972</v>
      </c>
      <c r="H284" s="195">
        <f t="shared" si="4"/>
        <v>7403.2101856705212</v>
      </c>
      <c r="I284" s="193" t="s">
        <v>541</v>
      </c>
    </row>
    <row r="285" spans="1:9" x14ac:dyDescent="0.25">
      <c r="A285" s="193" t="s">
        <v>220</v>
      </c>
      <c r="B285" s="193" t="s">
        <v>588</v>
      </c>
      <c r="C285" s="193" t="s">
        <v>1075</v>
      </c>
      <c r="D285" s="193" t="s">
        <v>1076</v>
      </c>
      <c r="E285" s="193" t="s">
        <v>545</v>
      </c>
      <c r="F285" s="196">
        <v>252</v>
      </c>
      <c r="G285" s="194">
        <v>3.7557741381350422</v>
      </c>
      <c r="H285" s="195">
        <f t="shared" si="4"/>
        <v>946.4550828100306</v>
      </c>
      <c r="I285" s="193" t="s">
        <v>541</v>
      </c>
    </row>
    <row r="286" spans="1:9" x14ac:dyDescent="0.25">
      <c r="A286" s="193" t="s">
        <v>220</v>
      </c>
      <c r="B286" s="193" t="s">
        <v>588</v>
      </c>
      <c r="C286" s="193" t="s">
        <v>1077</v>
      </c>
      <c r="D286" s="193" t="s">
        <v>1078</v>
      </c>
      <c r="E286" s="193" t="s">
        <v>545</v>
      </c>
      <c r="F286" s="196">
        <v>220</v>
      </c>
      <c r="G286" s="194">
        <v>3.7910068628949665</v>
      </c>
      <c r="H286" s="195">
        <f t="shared" si="4"/>
        <v>834.02150983689262</v>
      </c>
      <c r="I286" s="193" t="s">
        <v>541</v>
      </c>
    </row>
    <row r="287" spans="1:9" x14ac:dyDescent="0.25">
      <c r="A287" s="193" t="s">
        <v>220</v>
      </c>
      <c r="B287" s="193" t="s">
        <v>588</v>
      </c>
      <c r="C287" s="193" t="s">
        <v>1079</v>
      </c>
      <c r="D287" s="193" t="s">
        <v>1080</v>
      </c>
      <c r="E287" s="193" t="s">
        <v>545</v>
      </c>
      <c r="F287" s="196">
        <v>416</v>
      </c>
      <c r="G287" s="194">
        <v>3.5997570689072611</v>
      </c>
      <c r="H287" s="195">
        <f t="shared" si="4"/>
        <v>1497.4989406654206</v>
      </c>
      <c r="I287" s="193" t="s">
        <v>541</v>
      </c>
    </row>
    <row r="288" spans="1:9" x14ac:dyDescent="0.25">
      <c r="A288" s="193" t="s">
        <v>220</v>
      </c>
      <c r="B288" s="193" t="s">
        <v>588</v>
      </c>
      <c r="C288" s="193" t="s">
        <v>1081</v>
      </c>
      <c r="D288" s="193" t="s">
        <v>1082</v>
      </c>
      <c r="E288" s="193" t="s">
        <v>545</v>
      </c>
      <c r="F288" s="196">
        <v>258</v>
      </c>
      <c r="G288" s="194">
        <v>3.6825427709029004</v>
      </c>
      <c r="H288" s="195">
        <f t="shared" si="4"/>
        <v>950.0960348929483</v>
      </c>
      <c r="I288" s="193" t="s">
        <v>541</v>
      </c>
    </row>
    <row r="289" spans="1:9" x14ac:dyDescent="0.25">
      <c r="A289" s="193" t="s">
        <v>220</v>
      </c>
      <c r="B289" s="193" t="s">
        <v>588</v>
      </c>
      <c r="C289" s="193" t="s">
        <v>1083</v>
      </c>
      <c r="D289" s="193" t="s">
        <v>1084</v>
      </c>
      <c r="E289" s="193" t="s">
        <v>545</v>
      </c>
      <c r="F289" s="196">
        <v>110</v>
      </c>
      <c r="G289" s="194">
        <v>14.521924566237061</v>
      </c>
      <c r="H289" s="195">
        <f t="shared" si="4"/>
        <v>1597.4117022860767</v>
      </c>
      <c r="I289" s="193" t="s">
        <v>541</v>
      </c>
    </row>
    <row r="290" spans="1:9" x14ac:dyDescent="0.25">
      <c r="A290" s="193" t="s">
        <v>220</v>
      </c>
      <c r="B290" s="193" t="s">
        <v>588</v>
      </c>
      <c r="C290" s="193" t="s">
        <v>1085</v>
      </c>
      <c r="D290" s="193" t="s">
        <v>1086</v>
      </c>
      <c r="E290" s="193" t="s">
        <v>545</v>
      </c>
      <c r="F290" s="196">
        <v>201</v>
      </c>
      <c r="G290" s="194">
        <v>5.5481160630178872</v>
      </c>
      <c r="H290" s="195">
        <f t="shared" si="4"/>
        <v>1115.1713286665954</v>
      </c>
      <c r="I290" s="193" t="s">
        <v>541</v>
      </c>
    </row>
    <row r="291" spans="1:9" x14ac:dyDescent="0.25">
      <c r="A291" s="193" t="s">
        <v>220</v>
      </c>
      <c r="B291" s="193" t="s">
        <v>588</v>
      </c>
      <c r="C291" s="193" t="s">
        <v>1087</v>
      </c>
      <c r="D291" s="193" t="s">
        <v>1088</v>
      </c>
      <c r="E291" s="193" t="s">
        <v>545</v>
      </c>
      <c r="F291" s="196">
        <v>1208</v>
      </c>
      <c r="G291" s="194">
        <v>6.061147378368406</v>
      </c>
      <c r="H291" s="195">
        <f t="shared" si="4"/>
        <v>7321.8660330690345</v>
      </c>
      <c r="I291" s="193" t="s">
        <v>541</v>
      </c>
    </row>
    <row r="292" spans="1:9" x14ac:dyDescent="0.25">
      <c r="A292" s="193" t="s">
        <v>220</v>
      </c>
      <c r="B292" s="193" t="s">
        <v>588</v>
      </c>
      <c r="C292" s="193" t="s">
        <v>1089</v>
      </c>
      <c r="D292" s="193" t="s">
        <v>1090</v>
      </c>
      <c r="E292" s="193" t="s">
        <v>545</v>
      </c>
      <c r="F292" s="196">
        <v>1497</v>
      </c>
      <c r="G292" s="194">
        <v>6.1706129697112155</v>
      </c>
      <c r="H292" s="195">
        <f t="shared" si="4"/>
        <v>9237.4076156576903</v>
      </c>
      <c r="I292" s="193" t="s">
        <v>541</v>
      </c>
    </row>
    <row r="293" spans="1:9" x14ac:dyDescent="0.25">
      <c r="A293" s="193" t="s">
        <v>220</v>
      </c>
      <c r="B293" s="193" t="s">
        <v>588</v>
      </c>
      <c r="C293" s="193" t="s">
        <v>1091</v>
      </c>
      <c r="D293" s="193" t="s">
        <v>1092</v>
      </c>
      <c r="E293" s="193" t="s">
        <v>545</v>
      </c>
      <c r="F293" s="196">
        <v>112</v>
      </c>
      <c r="G293" s="194">
        <v>5.9537973873009085</v>
      </c>
      <c r="H293" s="195">
        <f t="shared" si="4"/>
        <v>666.82530737770173</v>
      </c>
      <c r="I293" s="193" t="s">
        <v>541</v>
      </c>
    </row>
    <row r="294" spans="1:9" x14ac:dyDescent="0.25">
      <c r="A294" s="193" t="s">
        <v>220</v>
      </c>
      <c r="B294" s="193" t="s">
        <v>588</v>
      </c>
      <c r="C294" s="193" t="s">
        <v>1093</v>
      </c>
      <c r="D294" s="193" t="s">
        <v>1094</v>
      </c>
      <c r="E294" s="193" t="s">
        <v>545</v>
      </c>
      <c r="F294" s="196">
        <v>3314</v>
      </c>
      <c r="G294" s="194">
        <v>3.7243101293343202</v>
      </c>
      <c r="H294" s="195">
        <f t="shared" si="4"/>
        <v>12342.363768613937</v>
      </c>
      <c r="I294" s="193" t="s">
        <v>541</v>
      </c>
    </row>
    <row r="295" spans="1:9" x14ac:dyDescent="0.25">
      <c r="A295" s="193" t="s">
        <v>220</v>
      </c>
      <c r="B295" s="193" t="s">
        <v>588</v>
      </c>
      <c r="C295" s="193" t="s">
        <v>1095</v>
      </c>
      <c r="D295" s="193" t="s">
        <v>1096</v>
      </c>
      <c r="E295" s="193" t="s">
        <v>545</v>
      </c>
      <c r="F295" s="196">
        <v>816</v>
      </c>
      <c r="G295" s="194">
        <v>3.7259121124582602</v>
      </c>
      <c r="H295" s="195">
        <f t="shared" si="4"/>
        <v>3040.3442837659404</v>
      </c>
      <c r="I295" s="193" t="s">
        <v>541</v>
      </c>
    </row>
    <row r="296" spans="1:9" x14ac:dyDescent="0.25">
      <c r="A296" s="193" t="s">
        <v>220</v>
      </c>
      <c r="B296" s="193" t="s">
        <v>588</v>
      </c>
      <c r="C296" s="193" t="s">
        <v>1097</v>
      </c>
      <c r="D296" s="193" t="s">
        <v>1098</v>
      </c>
      <c r="E296" s="193" t="s">
        <v>545</v>
      </c>
      <c r="F296" s="196">
        <v>794</v>
      </c>
      <c r="G296" s="194">
        <v>6.4336815331759523</v>
      </c>
      <c r="H296" s="195">
        <f t="shared" si="4"/>
        <v>5108.3431373417061</v>
      </c>
      <c r="I296" s="193" t="s">
        <v>541</v>
      </c>
    </row>
    <row r="297" spans="1:9" x14ac:dyDescent="0.25">
      <c r="A297" s="193" t="s">
        <v>220</v>
      </c>
      <c r="B297" s="193" t="s">
        <v>588</v>
      </c>
      <c r="C297" s="193" t="s">
        <v>1099</v>
      </c>
      <c r="D297" s="193" t="s">
        <v>1100</v>
      </c>
      <c r="E297" s="193" t="s">
        <v>545</v>
      </c>
      <c r="F297" s="196">
        <v>560</v>
      </c>
      <c r="G297" s="194">
        <v>6.5476639429128749</v>
      </c>
      <c r="H297" s="195">
        <f t="shared" si="4"/>
        <v>3666.6918080312098</v>
      </c>
      <c r="I297" s="193" t="s">
        <v>541</v>
      </c>
    </row>
    <row r="298" spans="1:9" x14ac:dyDescent="0.25">
      <c r="A298" s="193" t="s">
        <v>220</v>
      </c>
      <c r="B298" s="193" t="s">
        <v>588</v>
      </c>
      <c r="C298" s="193" t="s">
        <v>1101</v>
      </c>
      <c r="D298" s="193" t="s">
        <v>1102</v>
      </c>
      <c r="E298" s="193" t="s">
        <v>545</v>
      </c>
      <c r="F298" s="196">
        <v>980</v>
      </c>
      <c r="G298" s="194">
        <v>4.1031072880323141</v>
      </c>
      <c r="H298" s="195">
        <f t="shared" si="4"/>
        <v>4021.0451422716678</v>
      </c>
      <c r="I298" s="193" t="s">
        <v>541</v>
      </c>
    </row>
    <row r="299" spans="1:9" x14ac:dyDescent="0.25">
      <c r="A299" s="193" t="s">
        <v>220</v>
      </c>
      <c r="B299" s="193" t="s">
        <v>588</v>
      </c>
      <c r="C299" s="193" t="s">
        <v>1103</v>
      </c>
      <c r="D299" s="193" t="s">
        <v>1104</v>
      </c>
      <c r="E299" s="193" t="s">
        <v>545</v>
      </c>
      <c r="F299" s="196">
        <v>1092</v>
      </c>
      <c r="G299" s="194">
        <v>3.9785766482005323</v>
      </c>
      <c r="H299" s="195">
        <f t="shared" si="4"/>
        <v>4344.6056998349814</v>
      </c>
      <c r="I299" s="193" t="s">
        <v>541</v>
      </c>
    </row>
    <row r="300" spans="1:9" x14ac:dyDescent="0.25">
      <c r="A300" s="193" t="s">
        <v>220</v>
      </c>
      <c r="B300" s="193" t="s">
        <v>588</v>
      </c>
      <c r="C300" s="193" t="s">
        <v>1105</v>
      </c>
      <c r="D300" s="193" t="s">
        <v>1106</v>
      </c>
      <c r="E300" s="193" t="s">
        <v>545</v>
      </c>
      <c r="F300" s="196">
        <v>1550</v>
      </c>
      <c r="G300" s="194">
        <v>3.976761247413934</v>
      </c>
      <c r="H300" s="195">
        <f t="shared" si="4"/>
        <v>6163.9799334915979</v>
      </c>
      <c r="I300" s="193" t="s">
        <v>541</v>
      </c>
    </row>
    <row r="301" spans="1:9" x14ac:dyDescent="0.25">
      <c r="A301" s="193" t="s">
        <v>220</v>
      </c>
      <c r="B301" s="193" t="s">
        <v>588</v>
      </c>
      <c r="C301" s="193" t="s">
        <v>1107</v>
      </c>
      <c r="D301" s="193" t="s">
        <v>1108</v>
      </c>
      <c r="E301" s="193" t="s">
        <v>639</v>
      </c>
      <c r="F301" s="196">
        <v>9842</v>
      </c>
      <c r="G301" s="194">
        <v>3.1653547978026202</v>
      </c>
      <c r="H301" s="195">
        <f t="shared" si="4"/>
        <v>31153.421919973389</v>
      </c>
      <c r="I301" s="193" t="s">
        <v>541</v>
      </c>
    </row>
    <row r="302" spans="1:9" x14ac:dyDescent="0.25">
      <c r="A302" s="193" t="s">
        <v>220</v>
      </c>
      <c r="B302" s="193" t="s">
        <v>588</v>
      </c>
      <c r="C302" s="193" t="s">
        <v>1109</v>
      </c>
      <c r="D302" s="193" t="s">
        <v>1110</v>
      </c>
      <c r="E302" s="193" t="s">
        <v>639</v>
      </c>
      <c r="F302" s="196">
        <v>2229</v>
      </c>
      <c r="G302" s="194">
        <v>6.8234158705656993</v>
      </c>
      <c r="H302" s="195">
        <f t="shared" si="4"/>
        <v>15209.393975490944</v>
      </c>
      <c r="I302" s="193" t="s">
        <v>541</v>
      </c>
    </row>
    <row r="303" spans="1:9" x14ac:dyDescent="0.25">
      <c r="A303" s="193" t="s">
        <v>220</v>
      </c>
      <c r="B303" s="193" t="s">
        <v>588</v>
      </c>
      <c r="C303" s="193" t="s">
        <v>1111</v>
      </c>
      <c r="D303" s="193" t="s">
        <v>1112</v>
      </c>
      <c r="E303" s="193" t="s">
        <v>639</v>
      </c>
      <c r="F303" s="196">
        <v>30446</v>
      </c>
      <c r="G303" s="194">
        <v>2.3766446035550297</v>
      </c>
      <c r="H303" s="195">
        <f t="shared" si="4"/>
        <v>72359.321599836432</v>
      </c>
      <c r="I303" s="193" t="s">
        <v>541</v>
      </c>
    </row>
    <row r="304" spans="1:9" x14ac:dyDescent="0.25">
      <c r="A304" s="193" t="s">
        <v>220</v>
      </c>
      <c r="B304" s="193" t="s">
        <v>588</v>
      </c>
      <c r="C304" s="193" t="s">
        <v>1113</v>
      </c>
      <c r="D304" s="193" t="s">
        <v>1114</v>
      </c>
      <c r="E304" s="193" t="s">
        <v>639</v>
      </c>
      <c r="F304" s="196">
        <v>115620</v>
      </c>
      <c r="G304" s="194">
        <v>2.5499392853000642</v>
      </c>
      <c r="H304" s="195">
        <f t="shared" si="4"/>
        <v>294823.98016639345</v>
      </c>
      <c r="I304" s="193" t="s">
        <v>541</v>
      </c>
    </row>
    <row r="305" spans="1:9" x14ac:dyDescent="0.25">
      <c r="A305" s="193" t="s">
        <v>220</v>
      </c>
      <c r="B305" s="193" t="s">
        <v>588</v>
      </c>
      <c r="C305" s="193" t="s">
        <v>1115</v>
      </c>
      <c r="D305" s="193" t="s">
        <v>1116</v>
      </c>
      <c r="E305" s="193" t="s">
        <v>639</v>
      </c>
      <c r="F305" s="196">
        <v>13779</v>
      </c>
      <c r="G305" s="194">
        <v>3.0112839398343723</v>
      </c>
      <c r="H305" s="195">
        <f t="shared" si="4"/>
        <v>41492.481406977815</v>
      </c>
      <c r="I305" s="193" t="s">
        <v>541</v>
      </c>
    </row>
    <row r="306" spans="1:9" x14ac:dyDescent="0.25">
      <c r="A306" s="193" t="s">
        <v>220</v>
      </c>
      <c r="B306" s="193" t="s">
        <v>588</v>
      </c>
      <c r="C306" s="193" t="s">
        <v>1117</v>
      </c>
      <c r="D306" s="193" t="s">
        <v>1118</v>
      </c>
      <c r="E306" s="193" t="s">
        <v>545</v>
      </c>
      <c r="F306" s="196">
        <v>3325</v>
      </c>
      <c r="G306" s="194">
        <v>0.67534447642341611</v>
      </c>
      <c r="H306" s="195">
        <f t="shared" si="4"/>
        <v>2245.5203841078587</v>
      </c>
      <c r="I306" s="193" t="s">
        <v>541</v>
      </c>
    </row>
    <row r="307" spans="1:9" x14ac:dyDescent="0.25">
      <c r="A307" s="193" t="s">
        <v>220</v>
      </c>
      <c r="B307" s="193" t="s">
        <v>588</v>
      </c>
      <c r="C307" s="193" t="s">
        <v>739</v>
      </c>
      <c r="D307" s="193" t="s">
        <v>1119</v>
      </c>
      <c r="E307" s="193" t="s">
        <v>545</v>
      </c>
      <c r="F307" s="196">
        <v>5264</v>
      </c>
      <c r="G307" s="194">
        <v>1.0793751893085692</v>
      </c>
      <c r="H307" s="195">
        <f t="shared" si="4"/>
        <v>5681.8309965203089</v>
      </c>
      <c r="I307" s="193" t="s">
        <v>541</v>
      </c>
    </row>
    <row r="308" spans="1:9" x14ac:dyDescent="0.25">
      <c r="A308" s="193" t="s">
        <v>220</v>
      </c>
      <c r="B308" s="193" t="s">
        <v>588</v>
      </c>
      <c r="C308" s="193" t="s">
        <v>1120</v>
      </c>
      <c r="D308" s="193" t="s">
        <v>1121</v>
      </c>
      <c r="E308" s="193" t="s">
        <v>545</v>
      </c>
      <c r="F308" s="196">
        <v>3684</v>
      </c>
      <c r="G308" s="194">
        <v>1.5132252167621694</v>
      </c>
      <c r="H308" s="195">
        <f t="shared" si="4"/>
        <v>5574.7216985518317</v>
      </c>
      <c r="I308" s="193" t="s">
        <v>541</v>
      </c>
    </row>
    <row r="309" spans="1:9" x14ac:dyDescent="0.25">
      <c r="A309" s="193" t="s">
        <v>220</v>
      </c>
      <c r="B309" s="193" t="s">
        <v>588</v>
      </c>
      <c r="C309" s="193" t="s">
        <v>1122</v>
      </c>
      <c r="D309" s="193" t="s">
        <v>1123</v>
      </c>
      <c r="E309" s="193" t="s">
        <v>545</v>
      </c>
      <c r="F309" s="196">
        <v>2000</v>
      </c>
      <c r="G309" s="194">
        <v>0.74569773950216922</v>
      </c>
      <c r="H309" s="195">
        <f t="shared" si="4"/>
        <v>1491.3954790043385</v>
      </c>
      <c r="I309" s="193" t="s">
        <v>541</v>
      </c>
    </row>
    <row r="310" spans="1:9" x14ac:dyDescent="0.25">
      <c r="A310" s="193" t="s">
        <v>220</v>
      </c>
      <c r="B310" s="193" t="s">
        <v>588</v>
      </c>
      <c r="C310" s="193" t="s">
        <v>1124</v>
      </c>
      <c r="D310" s="193" t="s">
        <v>1125</v>
      </c>
      <c r="E310" s="193" t="s">
        <v>545</v>
      </c>
      <c r="F310" s="196">
        <v>5000</v>
      </c>
      <c r="G310" s="194">
        <v>0.16800000000000001</v>
      </c>
      <c r="H310" s="195">
        <f t="shared" si="4"/>
        <v>840</v>
      </c>
      <c r="I310" s="193" t="s">
        <v>541</v>
      </c>
    </row>
    <row r="311" spans="1:9" x14ac:dyDescent="0.25">
      <c r="A311" s="193" t="s">
        <v>220</v>
      </c>
      <c r="B311" s="193" t="s">
        <v>588</v>
      </c>
      <c r="C311" s="193" t="s">
        <v>1126</v>
      </c>
      <c r="D311" s="193" t="s">
        <v>1127</v>
      </c>
      <c r="E311" s="193" t="s">
        <v>545</v>
      </c>
      <c r="F311" s="196">
        <v>2800</v>
      </c>
      <c r="G311" s="194">
        <v>0.17177000000000001</v>
      </c>
      <c r="H311" s="195">
        <f t="shared" si="4"/>
        <v>480.95600000000002</v>
      </c>
      <c r="I311" s="193" t="s">
        <v>541</v>
      </c>
    </row>
    <row r="312" spans="1:9" x14ac:dyDescent="0.25">
      <c r="A312" s="193" t="s">
        <v>220</v>
      </c>
      <c r="B312" s="193" t="s">
        <v>588</v>
      </c>
      <c r="C312" s="193" t="s">
        <v>1128</v>
      </c>
      <c r="D312" s="193" t="s">
        <v>1129</v>
      </c>
      <c r="E312" s="193" t="s">
        <v>545</v>
      </c>
      <c r="F312" s="196">
        <v>13000</v>
      </c>
      <c r="G312" s="194">
        <v>0.45423024232466941</v>
      </c>
      <c r="H312" s="195">
        <f t="shared" si="4"/>
        <v>5904.9931502207019</v>
      </c>
      <c r="I312" s="193" t="s">
        <v>541</v>
      </c>
    </row>
    <row r="313" spans="1:9" x14ac:dyDescent="0.25">
      <c r="A313" s="193" t="s">
        <v>220</v>
      </c>
      <c r="B313" s="193" t="s">
        <v>588</v>
      </c>
      <c r="C313" s="193" t="s">
        <v>1130</v>
      </c>
      <c r="D313" s="193" t="s">
        <v>1131</v>
      </c>
      <c r="E313" s="193" t="s">
        <v>545</v>
      </c>
      <c r="F313" s="196">
        <v>14000</v>
      </c>
      <c r="G313" s="194">
        <v>4.2423225523259056E-2</v>
      </c>
      <c r="H313" s="195">
        <f t="shared" si="4"/>
        <v>593.92515732562674</v>
      </c>
      <c r="I313" s="193" t="s">
        <v>541</v>
      </c>
    </row>
    <row r="314" spans="1:9" x14ac:dyDescent="0.25">
      <c r="A314" s="193" t="s">
        <v>220</v>
      </c>
      <c r="B314" s="193" t="s">
        <v>588</v>
      </c>
      <c r="C314" s="193" t="s">
        <v>1132</v>
      </c>
      <c r="D314" s="193" t="s">
        <v>1133</v>
      </c>
      <c r="E314" s="193" t="s">
        <v>545</v>
      </c>
      <c r="F314" s="196">
        <v>550</v>
      </c>
      <c r="G314" s="194">
        <v>0.26982530896707219</v>
      </c>
      <c r="H314" s="195">
        <f t="shared" si="4"/>
        <v>148.4039199318897</v>
      </c>
      <c r="I314" s="193" t="s">
        <v>541</v>
      </c>
    </row>
    <row r="315" spans="1:9" x14ac:dyDescent="0.25">
      <c r="A315" s="193" t="s">
        <v>220</v>
      </c>
      <c r="B315" s="193" t="s">
        <v>588</v>
      </c>
      <c r="C315" s="193" t="s">
        <v>1134</v>
      </c>
      <c r="D315" s="193" t="s">
        <v>1135</v>
      </c>
      <c r="E315" s="193" t="s">
        <v>545</v>
      </c>
      <c r="F315" s="196">
        <v>8000</v>
      </c>
      <c r="G315" s="194">
        <v>7.2081642607498053E-2</v>
      </c>
      <c r="H315" s="195">
        <f t="shared" si="4"/>
        <v>576.65314085998443</v>
      </c>
      <c r="I315" s="193" t="s">
        <v>541</v>
      </c>
    </row>
    <row r="316" spans="1:9" x14ac:dyDescent="0.25">
      <c r="A316" s="193" t="s">
        <v>220</v>
      </c>
      <c r="B316" s="193" t="s">
        <v>588</v>
      </c>
      <c r="C316" s="193" t="s">
        <v>1136</v>
      </c>
      <c r="D316" s="193" t="s">
        <v>1137</v>
      </c>
      <c r="E316" s="193" t="s">
        <v>545</v>
      </c>
      <c r="F316" s="196">
        <v>27800</v>
      </c>
      <c r="G316" s="194">
        <v>0.12586663453850466</v>
      </c>
      <c r="H316" s="195">
        <f t="shared" si="4"/>
        <v>3499.0924401704297</v>
      </c>
      <c r="I316" s="193" t="s">
        <v>541</v>
      </c>
    </row>
    <row r="317" spans="1:9" x14ac:dyDescent="0.25">
      <c r="A317" s="193" t="s">
        <v>220</v>
      </c>
      <c r="B317" s="193" t="s">
        <v>588</v>
      </c>
      <c r="C317" s="193" t="s">
        <v>1138</v>
      </c>
      <c r="D317" s="193" t="s">
        <v>1139</v>
      </c>
      <c r="E317" s="193" t="s">
        <v>545</v>
      </c>
      <c r="F317" s="196">
        <v>126000</v>
      </c>
      <c r="G317" s="194">
        <v>0.12030651236000431</v>
      </c>
      <c r="H317" s="195">
        <f t="shared" si="4"/>
        <v>15158.620557360542</v>
      </c>
      <c r="I317" s="193" t="s">
        <v>541</v>
      </c>
    </row>
    <row r="318" spans="1:9" x14ac:dyDescent="0.25">
      <c r="A318" s="193" t="s">
        <v>220</v>
      </c>
      <c r="B318" s="193" t="s">
        <v>588</v>
      </c>
      <c r="C318" s="193" t="s">
        <v>1140</v>
      </c>
      <c r="D318" s="193" t="s">
        <v>1141</v>
      </c>
      <c r="E318" s="193" t="s">
        <v>545</v>
      </c>
      <c r="F318" s="196">
        <v>36000</v>
      </c>
      <c r="G318" s="194">
        <v>9.9137774151080577E-2</v>
      </c>
      <c r="H318" s="195">
        <f t="shared" si="4"/>
        <v>3568.9598694389006</v>
      </c>
      <c r="I318" s="193" t="s">
        <v>541</v>
      </c>
    </row>
    <row r="319" spans="1:9" x14ac:dyDescent="0.25">
      <c r="A319" s="193" t="s">
        <v>220</v>
      </c>
      <c r="B319" s="193" t="s">
        <v>588</v>
      </c>
      <c r="C319" s="193" t="s">
        <v>1142</v>
      </c>
      <c r="D319" s="193" t="s">
        <v>1143</v>
      </c>
      <c r="E319" s="193" t="s">
        <v>545</v>
      </c>
      <c r="F319" s="196">
        <v>52000</v>
      </c>
      <c r="G319" s="194">
        <v>0.11538675798219111</v>
      </c>
      <c r="H319" s="195">
        <f t="shared" si="4"/>
        <v>6000.1114150739377</v>
      </c>
      <c r="I319" s="193" t="s">
        <v>541</v>
      </c>
    </row>
    <row r="320" spans="1:9" x14ac:dyDescent="0.25">
      <c r="A320" s="193" t="s">
        <v>220</v>
      </c>
      <c r="B320" s="193" t="s">
        <v>588</v>
      </c>
      <c r="C320" s="193" t="s">
        <v>1144</v>
      </c>
      <c r="D320" s="193" t="s">
        <v>1145</v>
      </c>
      <c r="E320" s="193" t="s">
        <v>545</v>
      </c>
      <c r="F320" s="196">
        <v>8200</v>
      </c>
      <c r="G320" s="194">
        <v>6.2E-2</v>
      </c>
      <c r="H320" s="195">
        <f t="shared" si="4"/>
        <v>508.4</v>
      </c>
      <c r="I320" s="193" t="s">
        <v>541</v>
      </c>
    </row>
    <row r="321" spans="1:9" x14ac:dyDescent="0.25">
      <c r="A321" s="193" t="s">
        <v>220</v>
      </c>
      <c r="B321" s="193" t="s">
        <v>588</v>
      </c>
      <c r="C321" s="193" t="s">
        <v>1146</v>
      </c>
      <c r="D321" s="193" t="s">
        <v>1147</v>
      </c>
      <c r="E321" s="193" t="s">
        <v>545</v>
      </c>
      <c r="F321" s="196">
        <v>1100</v>
      </c>
      <c r="G321" s="194">
        <v>0.04</v>
      </c>
      <c r="H321" s="195">
        <f t="shared" si="4"/>
        <v>44</v>
      </c>
      <c r="I321" s="193" t="s">
        <v>541</v>
      </c>
    </row>
    <row r="322" spans="1:9" x14ac:dyDescent="0.25">
      <c r="A322" s="193" t="s">
        <v>220</v>
      </c>
      <c r="B322" s="193" t="s">
        <v>588</v>
      </c>
      <c r="C322" s="193" t="s">
        <v>1148</v>
      </c>
      <c r="D322" s="193" t="s">
        <v>1149</v>
      </c>
      <c r="E322" s="193" t="s">
        <v>545</v>
      </c>
      <c r="F322" s="196">
        <v>104000</v>
      </c>
      <c r="G322" s="194">
        <v>0.12182541520774003</v>
      </c>
      <c r="H322" s="195">
        <f t="shared" si="4"/>
        <v>12669.843181604963</v>
      </c>
      <c r="I322" s="193" t="s">
        <v>541</v>
      </c>
    </row>
    <row r="323" spans="1:9" x14ac:dyDescent="0.25">
      <c r="A323" s="193" t="s">
        <v>220</v>
      </c>
      <c r="B323" s="193" t="s">
        <v>588</v>
      </c>
      <c r="C323" s="193" t="s">
        <v>1150</v>
      </c>
      <c r="D323" s="193" t="s">
        <v>1151</v>
      </c>
      <c r="E323" s="193" t="s">
        <v>545</v>
      </c>
      <c r="F323" s="196">
        <v>39000</v>
      </c>
      <c r="G323" s="194">
        <v>9.294162627161931E-2</v>
      </c>
      <c r="H323" s="195">
        <f t="shared" si="4"/>
        <v>3624.7234245931531</v>
      </c>
      <c r="I323" s="193" t="s">
        <v>541</v>
      </c>
    </row>
    <row r="324" spans="1:9" x14ac:dyDescent="0.25">
      <c r="A324" s="193" t="s">
        <v>220</v>
      </c>
      <c r="B324" s="193" t="s">
        <v>588</v>
      </c>
      <c r="C324" s="193" t="s">
        <v>1152</v>
      </c>
      <c r="D324" s="193" t="s">
        <v>1153</v>
      </c>
      <c r="E324" s="193" t="s">
        <v>545</v>
      </c>
      <c r="F324" s="196">
        <v>13000</v>
      </c>
      <c r="G324" s="194">
        <v>0.45058882505142306</v>
      </c>
      <c r="H324" s="195">
        <f t="shared" si="4"/>
        <v>5857.6547256684999</v>
      </c>
      <c r="I324" s="193" t="s">
        <v>541</v>
      </c>
    </row>
    <row r="325" spans="1:9" x14ac:dyDescent="0.25">
      <c r="A325" s="193" t="s">
        <v>220</v>
      </c>
      <c r="B325" s="193" t="s">
        <v>588</v>
      </c>
      <c r="C325" s="193" t="s">
        <v>1154</v>
      </c>
      <c r="D325" s="193" t="s">
        <v>1155</v>
      </c>
      <c r="E325" s="193" t="s">
        <v>545</v>
      </c>
      <c r="F325" s="196">
        <v>4000</v>
      </c>
      <c r="G325" s="194">
        <v>0.45058882505142306</v>
      </c>
      <c r="H325" s="195">
        <f t="shared" ref="H325:H388" si="5">+F325*G325</f>
        <v>1802.3553002056922</v>
      </c>
      <c r="I325" s="193" t="s">
        <v>541</v>
      </c>
    </row>
    <row r="326" spans="1:9" x14ac:dyDescent="0.25">
      <c r="A326" s="193" t="s">
        <v>220</v>
      </c>
      <c r="B326" s="193" t="s">
        <v>588</v>
      </c>
      <c r="C326" s="193" t="s">
        <v>1156</v>
      </c>
      <c r="D326" s="193" t="s">
        <v>1157</v>
      </c>
      <c r="E326" s="193" t="s">
        <v>545</v>
      </c>
      <c r="F326" s="196">
        <v>71500</v>
      </c>
      <c r="G326" s="194">
        <v>0.20857667735914859</v>
      </c>
      <c r="H326" s="195">
        <f t="shared" si="5"/>
        <v>14913.232431179124</v>
      </c>
      <c r="I326" s="193" t="s">
        <v>541</v>
      </c>
    </row>
    <row r="327" spans="1:9" x14ac:dyDescent="0.25">
      <c r="A327" s="193" t="s">
        <v>220</v>
      </c>
      <c r="B327" s="193" t="s">
        <v>588</v>
      </c>
      <c r="C327" s="193" t="s">
        <v>1158</v>
      </c>
      <c r="D327" s="193" t="s">
        <v>1159</v>
      </c>
      <c r="E327" s="193" t="s">
        <v>545</v>
      </c>
      <c r="F327" s="196">
        <v>36960</v>
      </c>
      <c r="G327" s="194">
        <v>1.0299507058430681</v>
      </c>
      <c r="H327" s="195">
        <f t="shared" si="5"/>
        <v>38066.978087959797</v>
      </c>
      <c r="I327" s="193" t="s">
        <v>541</v>
      </c>
    </row>
    <row r="328" spans="1:9" x14ac:dyDescent="0.25">
      <c r="A328" s="193" t="s">
        <v>220</v>
      </c>
      <c r="B328" s="193" t="s">
        <v>588</v>
      </c>
      <c r="C328" s="193" t="s">
        <v>1160</v>
      </c>
      <c r="D328" s="193" t="s">
        <v>1161</v>
      </c>
      <c r="E328" s="193" t="s">
        <v>545</v>
      </c>
      <c r="F328" s="196">
        <v>6000</v>
      </c>
      <c r="G328" s="194">
        <v>7.2081642607498053E-2</v>
      </c>
      <c r="H328" s="195">
        <f t="shared" si="5"/>
        <v>432.48985564498832</v>
      </c>
      <c r="I328" s="193" t="s">
        <v>541</v>
      </c>
    </row>
    <row r="329" spans="1:9" x14ac:dyDescent="0.25">
      <c r="A329" s="193" t="s">
        <v>220</v>
      </c>
      <c r="B329" s="193" t="s">
        <v>588</v>
      </c>
      <c r="C329" s="193" t="s">
        <v>1162</v>
      </c>
      <c r="D329" s="193" t="s">
        <v>1163</v>
      </c>
      <c r="E329" s="193" t="s">
        <v>545</v>
      </c>
      <c r="F329" s="196">
        <v>230500</v>
      </c>
      <c r="G329" s="194">
        <v>0.11979794529420783</v>
      </c>
      <c r="H329" s="195">
        <f t="shared" si="5"/>
        <v>27613.426390314904</v>
      </c>
      <c r="I329" s="193" t="s">
        <v>541</v>
      </c>
    </row>
    <row r="330" spans="1:9" x14ac:dyDescent="0.25">
      <c r="A330" s="193" t="s">
        <v>220</v>
      </c>
      <c r="B330" s="193" t="s">
        <v>588</v>
      </c>
      <c r="C330" s="193" t="s">
        <v>1164</v>
      </c>
      <c r="D330" s="193" t="s">
        <v>1165</v>
      </c>
      <c r="E330" s="193" t="s">
        <v>545</v>
      </c>
      <c r="F330" s="196">
        <v>40000</v>
      </c>
      <c r="G330" s="194">
        <v>1.2058452589383868</v>
      </c>
      <c r="H330" s="195">
        <f t="shared" si="5"/>
        <v>48233.810357535469</v>
      </c>
      <c r="I330" s="193" t="s">
        <v>541</v>
      </c>
    </row>
    <row r="331" spans="1:9" x14ac:dyDescent="0.25">
      <c r="A331" s="193" t="s">
        <v>220</v>
      </c>
      <c r="B331" s="193" t="s">
        <v>588</v>
      </c>
      <c r="C331" s="193" t="s">
        <v>1166</v>
      </c>
      <c r="D331" s="193" t="s">
        <v>1167</v>
      </c>
      <c r="E331" s="193" t="s">
        <v>545</v>
      </c>
      <c r="F331" s="196">
        <v>82500</v>
      </c>
      <c r="G331" s="194">
        <v>0.3353815087095105</v>
      </c>
      <c r="H331" s="195">
        <f t="shared" si="5"/>
        <v>27668.974468534616</v>
      </c>
      <c r="I331" s="193" t="s">
        <v>541</v>
      </c>
    </row>
    <row r="332" spans="1:9" x14ac:dyDescent="0.25">
      <c r="A332" s="193" t="s">
        <v>220</v>
      </c>
      <c r="B332" s="193" t="s">
        <v>588</v>
      </c>
      <c r="C332" s="193" t="s">
        <v>1168</v>
      </c>
      <c r="D332" s="193" t="s">
        <v>1169</v>
      </c>
      <c r="E332" s="193" t="s">
        <v>545</v>
      </c>
      <c r="F332" s="196">
        <v>104000</v>
      </c>
      <c r="G332" s="194">
        <v>0.12701501758475559</v>
      </c>
      <c r="H332" s="195">
        <f t="shared" si="5"/>
        <v>13209.561828814582</v>
      </c>
      <c r="I332" s="193" t="s">
        <v>541</v>
      </c>
    </row>
    <row r="333" spans="1:9" x14ac:dyDescent="0.25">
      <c r="A333" s="193" t="s">
        <v>220</v>
      </c>
      <c r="B333" s="193" t="s">
        <v>588</v>
      </c>
      <c r="C333" s="193" t="s">
        <v>1170</v>
      </c>
      <c r="D333" s="193" t="s">
        <v>1171</v>
      </c>
      <c r="E333" s="193" t="s">
        <v>545</v>
      </c>
      <c r="F333" s="196">
        <v>2300</v>
      </c>
      <c r="G333" s="194">
        <v>0.93449681548994601</v>
      </c>
      <c r="H333" s="195">
        <f t="shared" si="5"/>
        <v>2149.3426756268759</v>
      </c>
      <c r="I333" s="193" t="s">
        <v>541</v>
      </c>
    </row>
    <row r="334" spans="1:9" x14ac:dyDescent="0.25">
      <c r="A334" s="193" t="s">
        <v>220</v>
      </c>
      <c r="B334" s="193" t="s">
        <v>588</v>
      </c>
      <c r="C334" s="193" t="s">
        <v>1172</v>
      </c>
      <c r="D334" s="193" t="s">
        <v>1173</v>
      </c>
      <c r="E334" s="193" t="s">
        <v>545</v>
      </c>
      <c r="F334" s="196">
        <v>17000</v>
      </c>
      <c r="G334" s="194">
        <v>0.45292966504642573</v>
      </c>
      <c r="H334" s="195">
        <f t="shared" si="5"/>
        <v>7699.8043057892373</v>
      </c>
      <c r="I334" s="193" t="s">
        <v>541</v>
      </c>
    </row>
    <row r="335" spans="1:9" x14ac:dyDescent="0.25">
      <c r="A335" s="193" t="s">
        <v>220</v>
      </c>
      <c r="B335" s="193" t="s">
        <v>588</v>
      </c>
      <c r="C335" s="193" t="s">
        <v>1174</v>
      </c>
      <c r="D335" s="193" t="s">
        <v>1175</v>
      </c>
      <c r="E335" s="193" t="s">
        <v>545</v>
      </c>
      <c r="F335" s="196">
        <v>6000</v>
      </c>
      <c r="G335" s="194">
        <v>0.43461986317072959</v>
      </c>
      <c r="H335" s="195">
        <f t="shared" si="5"/>
        <v>2607.7191790243774</v>
      </c>
      <c r="I335" s="193" t="s">
        <v>541</v>
      </c>
    </row>
    <row r="336" spans="1:9" x14ac:dyDescent="0.25">
      <c r="A336" s="193" t="s">
        <v>220</v>
      </c>
      <c r="B336" s="193" t="s">
        <v>588</v>
      </c>
      <c r="C336" s="193" t="s">
        <v>1176</v>
      </c>
      <c r="D336" s="193" t="s">
        <v>1177</v>
      </c>
      <c r="E336" s="193" t="s">
        <v>545</v>
      </c>
      <c r="F336" s="196">
        <v>10500</v>
      </c>
      <c r="G336" s="194">
        <v>0.50005156797129557</v>
      </c>
      <c r="H336" s="195">
        <f t="shared" si="5"/>
        <v>5250.5414636986034</v>
      </c>
      <c r="I336" s="193" t="s">
        <v>541</v>
      </c>
    </row>
    <row r="337" spans="1:9" x14ac:dyDescent="0.25">
      <c r="A337" s="193" t="s">
        <v>220</v>
      </c>
      <c r="B337" s="193" t="s">
        <v>588</v>
      </c>
      <c r="C337" s="193" t="s">
        <v>1178</v>
      </c>
      <c r="D337" s="193" t="s">
        <v>1179</v>
      </c>
      <c r="E337" s="193" t="s">
        <v>545</v>
      </c>
      <c r="F337" s="196">
        <v>152500</v>
      </c>
      <c r="G337" s="194">
        <v>9.7537290075823582E-2</v>
      </c>
      <c r="H337" s="195">
        <f t="shared" si="5"/>
        <v>14874.436736563097</v>
      </c>
      <c r="I337" s="193" t="s">
        <v>541</v>
      </c>
    </row>
    <row r="338" spans="1:9" x14ac:dyDescent="0.25">
      <c r="A338" s="193" t="s">
        <v>220</v>
      </c>
      <c r="B338" s="193" t="s">
        <v>588</v>
      </c>
      <c r="C338" s="193" t="s">
        <v>1180</v>
      </c>
      <c r="D338" s="193" t="s">
        <v>1181</v>
      </c>
      <c r="E338" s="193" t="s">
        <v>545</v>
      </c>
      <c r="F338" s="196">
        <v>53000</v>
      </c>
      <c r="G338" s="194">
        <v>8.9777293041835862E-2</v>
      </c>
      <c r="H338" s="195">
        <f t="shared" si="5"/>
        <v>4758.1965312173006</v>
      </c>
      <c r="I338" s="193" t="s">
        <v>541</v>
      </c>
    </row>
    <row r="339" spans="1:9" x14ac:dyDescent="0.25">
      <c r="A339" s="193" t="s">
        <v>220</v>
      </c>
      <c r="B339" s="193" t="s">
        <v>588</v>
      </c>
      <c r="C339" s="193" t="s">
        <v>1182</v>
      </c>
      <c r="D339" s="193" t="s">
        <v>1183</v>
      </c>
      <c r="E339" s="193" t="s">
        <v>545</v>
      </c>
      <c r="F339" s="196">
        <v>8000</v>
      </c>
      <c r="G339" s="194">
        <v>5.0160191444765453E-2</v>
      </c>
      <c r="H339" s="195">
        <f t="shared" si="5"/>
        <v>401.28153155812362</v>
      </c>
      <c r="I339" s="193" t="s">
        <v>541</v>
      </c>
    </row>
    <row r="340" spans="1:9" x14ac:dyDescent="0.25">
      <c r="A340" s="193" t="s">
        <v>220</v>
      </c>
      <c r="B340" s="193" t="s">
        <v>588</v>
      </c>
      <c r="C340" s="193" t="s">
        <v>1184</v>
      </c>
      <c r="D340" s="193" t="s">
        <v>1185</v>
      </c>
      <c r="E340" s="193" t="s">
        <v>545</v>
      </c>
      <c r="F340" s="196">
        <v>9000</v>
      </c>
      <c r="G340" s="194">
        <v>5.8254564271935781E-2</v>
      </c>
      <c r="H340" s="195">
        <f t="shared" si="5"/>
        <v>524.29107844742202</v>
      </c>
      <c r="I340" s="193" t="s">
        <v>541</v>
      </c>
    </row>
    <row r="341" spans="1:9" x14ac:dyDescent="0.25">
      <c r="A341" s="193" t="s">
        <v>220</v>
      </c>
      <c r="B341" s="193" t="s">
        <v>588</v>
      </c>
      <c r="C341" s="193" t="s">
        <v>1186</v>
      </c>
      <c r="D341" s="193" t="s">
        <v>1187</v>
      </c>
      <c r="E341" s="193" t="s">
        <v>545</v>
      </c>
      <c r="F341" s="196">
        <v>27000</v>
      </c>
      <c r="G341" s="194">
        <v>0.17441023280505299</v>
      </c>
      <c r="H341" s="195">
        <f t="shared" si="5"/>
        <v>4709.0762857364307</v>
      </c>
      <c r="I341" s="193" t="s">
        <v>541</v>
      </c>
    </row>
    <row r="342" spans="1:9" x14ac:dyDescent="0.25">
      <c r="A342" s="193" t="s">
        <v>220</v>
      </c>
      <c r="B342" s="193" t="s">
        <v>588</v>
      </c>
      <c r="C342" s="193" t="s">
        <v>1188</v>
      </c>
      <c r="D342" s="193" t="s">
        <v>1189</v>
      </c>
      <c r="E342" s="193" t="s">
        <v>545</v>
      </c>
      <c r="F342" s="196">
        <v>51000</v>
      </c>
      <c r="G342" s="194">
        <v>0.11390237598642186</v>
      </c>
      <c r="H342" s="195">
        <f t="shared" si="5"/>
        <v>5809.0211753075146</v>
      </c>
      <c r="I342" s="193" t="s">
        <v>541</v>
      </c>
    </row>
    <row r="343" spans="1:9" x14ac:dyDescent="0.25">
      <c r="A343" s="193" t="s">
        <v>220</v>
      </c>
      <c r="B343" s="193" t="s">
        <v>588</v>
      </c>
      <c r="C343" s="193" t="s">
        <v>1190</v>
      </c>
      <c r="D343" s="193" t="s">
        <v>1191</v>
      </c>
      <c r="E343" s="193" t="s">
        <v>545</v>
      </c>
      <c r="F343" s="196">
        <v>3000</v>
      </c>
      <c r="G343" s="194">
        <v>0.12113679143797371</v>
      </c>
      <c r="H343" s="195">
        <f t="shared" si="5"/>
        <v>363.41037431392112</v>
      </c>
      <c r="I343" s="193" t="s">
        <v>541</v>
      </c>
    </row>
    <row r="344" spans="1:9" x14ac:dyDescent="0.25">
      <c r="A344" s="193" t="s">
        <v>220</v>
      </c>
      <c r="B344" s="193" t="s">
        <v>588</v>
      </c>
      <c r="C344" s="193" t="s">
        <v>1192</v>
      </c>
      <c r="D344" s="193" t="s">
        <v>1193</v>
      </c>
      <c r="E344" s="193" t="s">
        <v>545</v>
      </c>
      <c r="F344" s="196">
        <v>1500</v>
      </c>
      <c r="G344" s="194">
        <v>1.5958152173460487</v>
      </c>
      <c r="H344" s="195">
        <f t="shared" si="5"/>
        <v>2393.7228260190732</v>
      </c>
      <c r="I344" s="193" t="s">
        <v>541</v>
      </c>
    </row>
    <row r="345" spans="1:9" x14ac:dyDescent="0.25">
      <c r="A345" s="193" t="s">
        <v>220</v>
      </c>
      <c r="B345" s="193" t="s">
        <v>588</v>
      </c>
      <c r="C345" s="193" t="s">
        <v>1194</v>
      </c>
      <c r="D345" s="193" t="s">
        <v>1195</v>
      </c>
      <c r="E345" s="193" t="s">
        <v>545</v>
      </c>
      <c r="F345" s="196">
        <v>1500</v>
      </c>
      <c r="G345" s="194">
        <v>1.5899074534561188</v>
      </c>
      <c r="H345" s="195">
        <f t="shared" si="5"/>
        <v>2384.8611801841785</v>
      </c>
      <c r="I345" s="193" t="s">
        <v>541</v>
      </c>
    </row>
    <row r="346" spans="1:9" x14ac:dyDescent="0.25">
      <c r="A346" s="193" t="s">
        <v>220</v>
      </c>
      <c r="B346" s="193" t="s">
        <v>588</v>
      </c>
      <c r="C346" s="193" t="s">
        <v>1196</v>
      </c>
      <c r="D346" s="193" t="s">
        <v>1197</v>
      </c>
      <c r="E346" s="193" t="s">
        <v>545</v>
      </c>
      <c r="F346" s="196">
        <v>4400</v>
      </c>
      <c r="G346" s="194">
        <v>0.30656946187705758</v>
      </c>
      <c r="H346" s="195">
        <f t="shared" si="5"/>
        <v>1348.9056322590534</v>
      </c>
      <c r="I346" s="193" t="s">
        <v>541</v>
      </c>
    </row>
    <row r="347" spans="1:9" x14ac:dyDescent="0.25">
      <c r="A347" s="193" t="s">
        <v>220</v>
      </c>
      <c r="B347" s="193" t="s">
        <v>588</v>
      </c>
      <c r="C347" s="193" t="s">
        <v>1198</v>
      </c>
      <c r="D347" s="193" t="s">
        <v>1199</v>
      </c>
      <c r="E347" s="193" t="s">
        <v>545</v>
      </c>
      <c r="F347" s="196">
        <v>4500</v>
      </c>
      <c r="G347" s="194">
        <v>0.31121829529102618</v>
      </c>
      <c r="H347" s="195">
        <f t="shared" si="5"/>
        <v>1400.4823288096179</v>
      </c>
      <c r="I347" s="193" t="s">
        <v>541</v>
      </c>
    </row>
    <row r="348" spans="1:9" x14ac:dyDescent="0.25">
      <c r="A348" s="193" t="s">
        <v>220</v>
      </c>
      <c r="B348" s="193" t="s">
        <v>588</v>
      </c>
      <c r="C348" s="193" t="s">
        <v>1200</v>
      </c>
      <c r="D348" s="193" t="s">
        <v>1201</v>
      </c>
      <c r="E348" s="193" t="s">
        <v>545</v>
      </c>
      <c r="F348" s="196">
        <v>1650</v>
      </c>
      <c r="G348" s="194">
        <v>0.19247513901472693</v>
      </c>
      <c r="H348" s="195">
        <f t="shared" si="5"/>
        <v>317.58397937429942</v>
      </c>
      <c r="I348" s="193" t="s">
        <v>541</v>
      </c>
    </row>
    <row r="349" spans="1:9" x14ac:dyDescent="0.25">
      <c r="A349" s="193" t="s">
        <v>220</v>
      </c>
      <c r="B349" s="193" t="s">
        <v>588</v>
      </c>
      <c r="C349" s="193" t="s">
        <v>1202</v>
      </c>
      <c r="D349" s="193" t="s">
        <v>1203</v>
      </c>
      <c r="E349" s="193" t="s">
        <v>545</v>
      </c>
      <c r="F349" s="196">
        <v>550</v>
      </c>
      <c r="G349" s="194">
        <v>0.19247513901472693</v>
      </c>
      <c r="H349" s="195">
        <f t="shared" si="5"/>
        <v>105.86132645809981</v>
      </c>
      <c r="I349" s="193" t="s">
        <v>541</v>
      </c>
    </row>
    <row r="350" spans="1:9" x14ac:dyDescent="0.25">
      <c r="A350" s="193" t="s">
        <v>220</v>
      </c>
      <c r="B350" s="193" t="s">
        <v>588</v>
      </c>
      <c r="C350" s="193" t="s">
        <v>1204</v>
      </c>
      <c r="D350" s="193" t="s">
        <v>1205</v>
      </c>
      <c r="E350" s="193" t="s">
        <v>545</v>
      </c>
      <c r="F350" s="196">
        <v>38500</v>
      </c>
      <c r="G350" s="194">
        <v>3.894817091860367E-2</v>
      </c>
      <c r="H350" s="195">
        <f t="shared" si="5"/>
        <v>1499.5045803662413</v>
      </c>
      <c r="I350" s="193" t="s">
        <v>541</v>
      </c>
    </row>
    <row r="351" spans="1:9" x14ac:dyDescent="0.25">
      <c r="A351" s="193" t="s">
        <v>220</v>
      </c>
      <c r="B351" s="193" t="s">
        <v>588</v>
      </c>
      <c r="C351" s="193" t="s">
        <v>1206</v>
      </c>
      <c r="D351" s="193" t="s">
        <v>1207</v>
      </c>
      <c r="E351" s="193" t="s">
        <v>545</v>
      </c>
      <c r="F351" s="196">
        <v>21000</v>
      </c>
      <c r="G351" s="194">
        <v>2.9152998195158684E-2</v>
      </c>
      <c r="H351" s="195">
        <f t="shared" si="5"/>
        <v>612.21296209833235</v>
      </c>
      <c r="I351" s="193" t="s">
        <v>541</v>
      </c>
    </row>
    <row r="352" spans="1:9" x14ac:dyDescent="0.25">
      <c r="A352" s="193" t="s">
        <v>220</v>
      </c>
      <c r="B352" s="193" t="s">
        <v>588</v>
      </c>
      <c r="C352" s="193" t="s">
        <v>1208</v>
      </c>
      <c r="D352" s="193" t="s">
        <v>1209</v>
      </c>
      <c r="E352" s="193" t="s">
        <v>545</v>
      </c>
      <c r="F352" s="196">
        <v>3500</v>
      </c>
      <c r="G352" s="194">
        <v>6.8229999999999999E-2</v>
      </c>
      <c r="H352" s="195">
        <f t="shared" si="5"/>
        <v>238.80500000000001</v>
      </c>
      <c r="I352" s="193" t="s">
        <v>541</v>
      </c>
    </row>
    <row r="353" spans="1:9" x14ac:dyDescent="0.25">
      <c r="A353" s="193" t="s">
        <v>220</v>
      </c>
      <c r="B353" s="193" t="s">
        <v>588</v>
      </c>
      <c r="C353" s="193" t="s">
        <v>1210</v>
      </c>
      <c r="D353" s="193" t="s">
        <v>1211</v>
      </c>
      <c r="E353" s="193" t="s">
        <v>545</v>
      </c>
      <c r="F353" s="196">
        <v>3500</v>
      </c>
      <c r="G353" s="194">
        <v>7.4069999999999997E-2</v>
      </c>
      <c r="H353" s="195">
        <f t="shared" si="5"/>
        <v>259.245</v>
      </c>
      <c r="I353" s="193" t="s">
        <v>541</v>
      </c>
    </row>
    <row r="354" spans="1:9" x14ac:dyDescent="0.25">
      <c r="A354" s="193" t="s">
        <v>220</v>
      </c>
      <c r="B354" s="193" t="s">
        <v>588</v>
      </c>
      <c r="C354" s="193" t="s">
        <v>1212</v>
      </c>
      <c r="D354" s="193" t="s">
        <v>1213</v>
      </c>
      <c r="E354" s="193" t="s">
        <v>545</v>
      </c>
      <c r="F354" s="196">
        <v>31500</v>
      </c>
      <c r="G354" s="194">
        <v>0.02</v>
      </c>
      <c r="H354" s="195">
        <f t="shared" si="5"/>
        <v>630</v>
      </c>
      <c r="I354" s="193" t="s">
        <v>541</v>
      </c>
    </row>
    <row r="355" spans="1:9" x14ac:dyDescent="0.25">
      <c r="A355" s="193" t="s">
        <v>220</v>
      </c>
      <c r="B355" s="193" t="s">
        <v>588</v>
      </c>
      <c r="C355" s="193" t="s">
        <v>1214</v>
      </c>
      <c r="D355" s="193" t="s">
        <v>1215</v>
      </c>
      <c r="E355" s="193" t="s">
        <v>545</v>
      </c>
      <c r="F355" s="196">
        <v>35000</v>
      </c>
      <c r="G355" s="194">
        <v>2.9920898765432101E-2</v>
      </c>
      <c r="H355" s="195">
        <f t="shared" si="5"/>
        <v>1047.2314567901235</v>
      </c>
      <c r="I355" s="193" t="s">
        <v>541</v>
      </c>
    </row>
    <row r="356" spans="1:9" x14ac:dyDescent="0.25">
      <c r="A356" s="193" t="s">
        <v>220</v>
      </c>
      <c r="B356" s="193" t="s">
        <v>588</v>
      </c>
      <c r="C356" s="193" t="s">
        <v>1216</v>
      </c>
      <c r="D356" s="193" t="s">
        <v>1217</v>
      </c>
      <c r="E356" s="193" t="s">
        <v>545</v>
      </c>
      <c r="F356" s="196">
        <v>11500</v>
      </c>
      <c r="G356" s="194">
        <v>0.20321989343556637</v>
      </c>
      <c r="H356" s="195">
        <f t="shared" si="5"/>
        <v>2337.0287745090131</v>
      </c>
      <c r="I356" s="193" t="s">
        <v>541</v>
      </c>
    </row>
    <row r="357" spans="1:9" x14ac:dyDescent="0.25">
      <c r="A357" s="193" t="s">
        <v>220</v>
      </c>
      <c r="B357" s="193" t="s">
        <v>588</v>
      </c>
      <c r="C357" s="193" t="s">
        <v>1218</v>
      </c>
      <c r="D357" s="193" t="s">
        <v>1219</v>
      </c>
      <c r="E357" s="193" t="s">
        <v>545</v>
      </c>
      <c r="F357" s="196">
        <v>12000</v>
      </c>
      <c r="G357" s="194">
        <v>0.20230847523194981</v>
      </c>
      <c r="H357" s="195">
        <f t="shared" si="5"/>
        <v>2427.7017027833976</v>
      </c>
      <c r="I357" s="193" t="s">
        <v>541</v>
      </c>
    </row>
    <row r="358" spans="1:9" x14ac:dyDescent="0.25">
      <c r="A358" s="193" t="s">
        <v>220</v>
      </c>
      <c r="B358" s="193" t="s">
        <v>588</v>
      </c>
      <c r="C358" s="193" t="s">
        <v>1220</v>
      </c>
      <c r="D358" s="193" t="s">
        <v>1221</v>
      </c>
      <c r="E358" s="193" t="s">
        <v>545</v>
      </c>
      <c r="F358" s="196">
        <v>3500</v>
      </c>
      <c r="G358" s="194">
        <v>0.5534376468067399</v>
      </c>
      <c r="H358" s="195">
        <f t="shared" si="5"/>
        <v>1937.0317638235897</v>
      </c>
      <c r="I358" s="193" t="s">
        <v>541</v>
      </c>
    </row>
    <row r="359" spans="1:9" x14ac:dyDescent="0.25">
      <c r="A359" s="193" t="s">
        <v>220</v>
      </c>
      <c r="B359" s="193" t="s">
        <v>588</v>
      </c>
      <c r="C359" s="193" t="s">
        <v>1222</v>
      </c>
      <c r="D359" s="193" t="s">
        <v>1223</v>
      </c>
      <c r="E359" s="193" t="s">
        <v>545</v>
      </c>
      <c r="F359" s="196">
        <v>5500</v>
      </c>
      <c r="G359" s="194">
        <v>0.54982663805230358</v>
      </c>
      <c r="H359" s="195">
        <f t="shared" si="5"/>
        <v>3024.0465092876698</v>
      </c>
      <c r="I359" s="193" t="s">
        <v>541</v>
      </c>
    </row>
    <row r="360" spans="1:9" x14ac:dyDescent="0.25">
      <c r="A360" s="193" t="s">
        <v>220</v>
      </c>
      <c r="B360" s="193" t="s">
        <v>588</v>
      </c>
      <c r="C360" s="193" t="s">
        <v>1224</v>
      </c>
      <c r="D360" s="193" t="s">
        <v>1225</v>
      </c>
      <c r="E360" s="193" t="s">
        <v>545</v>
      </c>
      <c r="F360" s="196">
        <v>1000</v>
      </c>
      <c r="G360" s="194">
        <v>0.76890957509608171</v>
      </c>
      <c r="H360" s="195">
        <f t="shared" si="5"/>
        <v>768.90957509608165</v>
      </c>
      <c r="I360" s="193" t="s">
        <v>541</v>
      </c>
    </row>
    <row r="361" spans="1:9" x14ac:dyDescent="0.25">
      <c r="A361" s="193" t="s">
        <v>220</v>
      </c>
      <c r="B361" s="193" t="s">
        <v>588</v>
      </c>
      <c r="C361" s="193" t="s">
        <v>1226</v>
      </c>
      <c r="D361" s="193" t="s">
        <v>1227</v>
      </c>
      <c r="E361" s="193" t="s">
        <v>545</v>
      </c>
      <c r="F361" s="196">
        <v>1500</v>
      </c>
      <c r="G361" s="194">
        <v>0.7630457642971944</v>
      </c>
      <c r="H361" s="195">
        <f t="shared" si="5"/>
        <v>1144.5686464457915</v>
      </c>
      <c r="I361" s="193" t="s">
        <v>541</v>
      </c>
    </row>
    <row r="362" spans="1:9" x14ac:dyDescent="0.25">
      <c r="A362" s="193" t="s">
        <v>220</v>
      </c>
      <c r="B362" s="193" t="s">
        <v>588</v>
      </c>
      <c r="C362" s="193" t="s">
        <v>1228</v>
      </c>
      <c r="D362" s="193" t="s">
        <v>1229</v>
      </c>
      <c r="E362" s="193" t="s">
        <v>545</v>
      </c>
      <c r="F362" s="196">
        <v>22000</v>
      </c>
      <c r="G362" s="194">
        <v>0.16297568959053735</v>
      </c>
      <c r="H362" s="195">
        <f t="shared" si="5"/>
        <v>3585.4651709918217</v>
      </c>
      <c r="I362" s="193" t="s">
        <v>541</v>
      </c>
    </row>
    <row r="363" spans="1:9" x14ac:dyDescent="0.25">
      <c r="A363" s="193" t="s">
        <v>220</v>
      </c>
      <c r="B363" s="193" t="s">
        <v>588</v>
      </c>
      <c r="C363" s="193" t="s">
        <v>1230</v>
      </c>
      <c r="D363" s="193" t="s">
        <v>1231</v>
      </c>
      <c r="E363" s="193" t="s">
        <v>545</v>
      </c>
      <c r="F363" s="196">
        <v>11000</v>
      </c>
      <c r="G363" s="194">
        <v>0.1882655995028247</v>
      </c>
      <c r="H363" s="195">
        <f t="shared" si="5"/>
        <v>2070.9215945310716</v>
      </c>
      <c r="I363" s="193" t="s">
        <v>541</v>
      </c>
    </row>
    <row r="364" spans="1:9" x14ac:dyDescent="0.25">
      <c r="A364" s="193" t="s">
        <v>220</v>
      </c>
      <c r="B364" s="193" t="s">
        <v>588</v>
      </c>
      <c r="C364" s="193" t="s">
        <v>1232</v>
      </c>
      <c r="D364" s="193" t="s">
        <v>1233</v>
      </c>
      <c r="E364" s="193" t="s">
        <v>545</v>
      </c>
      <c r="F364" s="196">
        <v>11000</v>
      </c>
      <c r="G364" s="194">
        <v>0.20633450960964342</v>
      </c>
      <c r="H364" s="195">
        <f t="shared" si="5"/>
        <v>2269.6796057060774</v>
      </c>
      <c r="I364" s="193" t="s">
        <v>541</v>
      </c>
    </row>
    <row r="365" spans="1:9" x14ac:dyDescent="0.25">
      <c r="A365" s="193" t="s">
        <v>220</v>
      </c>
      <c r="B365" s="193" t="s">
        <v>588</v>
      </c>
      <c r="C365" s="193" t="s">
        <v>1234</v>
      </c>
      <c r="D365" s="193" t="s">
        <v>1235</v>
      </c>
      <c r="E365" s="193" t="s">
        <v>545</v>
      </c>
      <c r="F365" s="196">
        <v>17400</v>
      </c>
      <c r="G365" s="194">
        <v>6.8861855497382204E-2</v>
      </c>
      <c r="H365" s="195">
        <f t="shared" si="5"/>
        <v>1198.1962856544503</v>
      </c>
      <c r="I365" s="193" t="s">
        <v>541</v>
      </c>
    </row>
    <row r="366" spans="1:9" x14ac:dyDescent="0.25">
      <c r="A366" s="193" t="s">
        <v>220</v>
      </c>
      <c r="B366" s="193" t="s">
        <v>588</v>
      </c>
      <c r="C366" s="193" t="s">
        <v>1236</v>
      </c>
      <c r="D366" s="193" t="s">
        <v>1237</v>
      </c>
      <c r="E366" s="193" t="s">
        <v>545</v>
      </c>
      <c r="F366" s="196">
        <v>700</v>
      </c>
      <c r="G366" s="194">
        <v>0.11899999999999998</v>
      </c>
      <c r="H366" s="195">
        <f t="shared" si="5"/>
        <v>83.299999999999983</v>
      </c>
      <c r="I366" s="193" t="s">
        <v>541</v>
      </c>
    </row>
    <row r="367" spans="1:9" x14ac:dyDescent="0.25">
      <c r="A367" s="193" t="s">
        <v>220</v>
      </c>
      <c r="B367" s="193" t="s">
        <v>588</v>
      </c>
      <c r="C367" s="193" t="s">
        <v>1238</v>
      </c>
      <c r="D367" s="193" t="s">
        <v>1239</v>
      </c>
      <c r="E367" s="193" t="s">
        <v>545</v>
      </c>
      <c r="F367" s="196">
        <v>40300</v>
      </c>
      <c r="G367" s="194">
        <v>0.21493302998837036</v>
      </c>
      <c r="H367" s="195">
        <f t="shared" si="5"/>
        <v>8661.8011085313246</v>
      </c>
      <c r="I367" s="193" t="s">
        <v>541</v>
      </c>
    </row>
    <row r="368" spans="1:9" x14ac:dyDescent="0.25">
      <c r="A368" s="193" t="s">
        <v>220</v>
      </c>
      <c r="B368" s="193" t="s">
        <v>588</v>
      </c>
      <c r="C368" s="193" t="s">
        <v>1240</v>
      </c>
      <c r="D368" s="193" t="s">
        <v>1241</v>
      </c>
      <c r="E368" s="193" t="s">
        <v>545</v>
      </c>
      <c r="F368" s="196">
        <v>14500</v>
      </c>
      <c r="G368" s="194">
        <v>0.24174015750057906</v>
      </c>
      <c r="H368" s="195">
        <f t="shared" si="5"/>
        <v>3505.2322837583965</v>
      </c>
      <c r="I368" s="193" t="s">
        <v>541</v>
      </c>
    </row>
    <row r="369" spans="1:9" x14ac:dyDescent="0.25">
      <c r="A369" s="193" t="s">
        <v>220</v>
      </c>
      <c r="B369" s="193" t="s">
        <v>588</v>
      </c>
      <c r="C369" s="193" t="s">
        <v>1242</v>
      </c>
      <c r="D369" s="193" t="s">
        <v>1243</v>
      </c>
      <c r="E369" s="193" t="s">
        <v>545</v>
      </c>
      <c r="F369" s="196">
        <v>7750</v>
      </c>
      <c r="G369" s="194">
        <v>0.15</v>
      </c>
      <c r="H369" s="195">
        <f t="shared" si="5"/>
        <v>1162.5</v>
      </c>
      <c r="I369" s="193" t="s">
        <v>541</v>
      </c>
    </row>
    <row r="370" spans="1:9" x14ac:dyDescent="0.25">
      <c r="A370" s="193" t="s">
        <v>220</v>
      </c>
      <c r="B370" s="193" t="s">
        <v>588</v>
      </c>
      <c r="C370" s="193" t="s">
        <v>1244</v>
      </c>
      <c r="D370" s="193" t="s">
        <v>1245</v>
      </c>
      <c r="E370" s="193" t="s">
        <v>545</v>
      </c>
      <c r="F370" s="196">
        <v>39000</v>
      </c>
      <c r="G370" s="194">
        <v>0.27298834526912963</v>
      </c>
      <c r="H370" s="195">
        <f t="shared" si="5"/>
        <v>10646.545465496056</v>
      </c>
      <c r="I370" s="193" t="s">
        <v>541</v>
      </c>
    </row>
    <row r="371" spans="1:9" x14ac:dyDescent="0.25">
      <c r="A371" s="193" t="s">
        <v>220</v>
      </c>
      <c r="B371" s="193" t="s">
        <v>588</v>
      </c>
      <c r="C371" s="193" t="s">
        <v>1246</v>
      </c>
      <c r="D371" s="193" t="s">
        <v>1247</v>
      </c>
      <c r="E371" s="193" t="s">
        <v>545</v>
      </c>
      <c r="F371" s="196">
        <v>25000</v>
      </c>
      <c r="G371" s="194">
        <v>0.27468642448940533</v>
      </c>
      <c r="H371" s="195">
        <f t="shared" si="5"/>
        <v>6867.1606122351332</v>
      </c>
      <c r="I371" s="193" t="s">
        <v>541</v>
      </c>
    </row>
    <row r="372" spans="1:9" x14ac:dyDescent="0.25">
      <c r="A372" s="193" t="s">
        <v>220</v>
      </c>
      <c r="B372" s="193" t="s">
        <v>588</v>
      </c>
      <c r="C372" s="193" t="s">
        <v>1248</v>
      </c>
      <c r="D372" s="193" t="s">
        <v>1249</v>
      </c>
      <c r="E372" s="193" t="s">
        <v>545</v>
      </c>
      <c r="F372" s="196">
        <v>300</v>
      </c>
      <c r="G372" s="194">
        <v>0.3805336722915485</v>
      </c>
      <c r="H372" s="195">
        <f t="shared" si="5"/>
        <v>114.16010168746455</v>
      </c>
      <c r="I372" s="193" t="s">
        <v>541</v>
      </c>
    </row>
    <row r="373" spans="1:9" x14ac:dyDescent="0.25">
      <c r="A373" s="193" t="s">
        <v>220</v>
      </c>
      <c r="B373" s="193" t="s">
        <v>588</v>
      </c>
      <c r="C373" s="193" t="s">
        <v>1250</v>
      </c>
      <c r="D373" s="193" t="s">
        <v>1251</v>
      </c>
      <c r="E373" s="193" t="s">
        <v>545</v>
      </c>
      <c r="F373" s="196">
        <v>300</v>
      </c>
      <c r="G373" s="194">
        <v>0.44972161270819377</v>
      </c>
      <c r="H373" s="195">
        <f t="shared" si="5"/>
        <v>134.91648381245813</v>
      </c>
      <c r="I373" s="193" t="s">
        <v>541</v>
      </c>
    </row>
    <row r="374" spans="1:9" x14ac:dyDescent="0.25">
      <c r="A374" s="193" t="s">
        <v>220</v>
      </c>
      <c r="B374" s="193" t="s">
        <v>588</v>
      </c>
      <c r="C374" s="193" t="s">
        <v>1252</v>
      </c>
      <c r="D374" s="193" t="s">
        <v>1253</v>
      </c>
      <c r="E374" s="193" t="s">
        <v>545</v>
      </c>
      <c r="F374" s="196">
        <v>300</v>
      </c>
      <c r="G374" s="194">
        <v>0.48431558291651633</v>
      </c>
      <c r="H374" s="195">
        <f t="shared" si="5"/>
        <v>145.29467487495489</v>
      </c>
      <c r="I374" s="193" t="s">
        <v>541</v>
      </c>
    </row>
    <row r="375" spans="1:9" x14ac:dyDescent="0.25">
      <c r="A375" s="193" t="s">
        <v>220</v>
      </c>
      <c r="B375" s="193" t="s">
        <v>588</v>
      </c>
      <c r="C375" s="193" t="s">
        <v>1254</v>
      </c>
      <c r="D375" s="193" t="s">
        <v>1255</v>
      </c>
      <c r="E375" s="193" t="s">
        <v>545</v>
      </c>
      <c r="F375" s="196">
        <v>300</v>
      </c>
      <c r="G375" s="194">
        <v>0.51890955312483877</v>
      </c>
      <c r="H375" s="195">
        <f t="shared" si="5"/>
        <v>155.67286593745163</v>
      </c>
      <c r="I375" s="193" t="s">
        <v>541</v>
      </c>
    </row>
    <row r="376" spans="1:9" x14ac:dyDescent="0.25">
      <c r="A376" s="193" t="s">
        <v>220</v>
      </c>
      <c r="B376" s="193" t="s">
        <v>588</v>
      </c>
      <c r="C376" s="193" t="s">
        <v>1256</v>
      </c>
      <c r="D376" s="193" t="s">
        <v>1257</v>
      </c>
      <c r="E376" s="193" t="s">
        <v>545</v>
      </c>
      <c r="F376" s="196">
        <v>300</v>
      </c>
      <c r="G376" s="194">
        <v>0.51890955312483877</v>
      </c>
      <c r="H376" s="195">
        <f t="shared" si="5"/>
        <v>155.67286593745163</v>
      </c>
      <c r="I376" s="193" t="s">
        <v>541</v>
      </c>
    </row>
    <row r="377" spans="1:9" x14ac:dyDescent="0.25">
      <c r="A377" s="193" t="s">
        <v>220</v>
      </c>
      <c r="B377" s="193" t="s">
        <v>588</v>
      </c>
      <c r="C377" s="193" t="s">
        <v>1258</v>
      </c>
      <c r="D377" s="193" t="s">
        <v>1259</v>
      </c>
      <c r="E377" s="193" t="s">
        <v>545</v>
      </c>
      <c r="F377" s="196">
        <v>300</v>
      </c>
      <c r="G377" s="194">
        <v>0.41512764249987105</v>
      </c>
      <c r="H377" s="195">
        <f t="shared" si="5"/>
        <v>124.53829274996131</v>
      </c>
      <c r="I377" s="193" t="s">
        <v>541</v>
      </c>
    </row>
    <row r="378" spans="1:9" x14ac:dyDescent="0.25">
      <c r="A378" s="193" t="s">
        <v>220</v>
      </c>
      <c r="B378" s="193" t="s">
        <v>588</v>
      </c>
      <c r="C378" s="193" t="s">
        <v>1260</v>
      </c>
      <c r="D378" s="193" t="s">
        <v>1261</v>
      </c>
      <c r="E378" s="193" t="s">
        <v>545</v>
      </c>
      <c r="F378" s="196">
        <v>300</v>
      </c>
      <c r="G378" s="194">
        <v>0.65728543395812911</v>
      </c>
      <c r="H378" s="195">
        <f t="shared" si="5"/>
        <v>197.18563018743873</v>
      </c>
      <c r="I378" s="193" t="s">
        <v>541</v>
      </c>
    </row>
    <row r="379" spans="1:9" x14ac:dyDescent="0.25">
      <c r="A379" s="193" t="s">
        <v>220</v>
      </c>
      <c r="B379" s="193" t="s">
        <v>588</v>
      </c>
      <c r="C379" s="193" t="s">
        <v>1262</v>
      </c>
      <c r="D379" s="193" t="s">
        <v>1263</v>
      </c>
      <c r="E379" s="193" t="s">
        <v>545</v>
      </c>
      <c r="F379" s="196">
        <v>25000</v>
      </c>
      <c r="G379" s="194">
        <v>5.2999999999999999E-2</v>
      </c>
      <c r="H379" s="195">
        <f t="shared" si="5"/>
        <v>1325</v>
      </c>
      <c r="I379" s="193" t="s">
        <v>541</v>
      </c>
    </row>
    <row r="380" spans="1:9" x14ac:dyDescent="0.25">
      <c r="A380" s="193" t="s">
        <v>220</v>
      </c>
      <c r="B380" s="193" t="s">
        <v>588</v>
      </c>
      <c r="C380" s="193" t="s">
        <v>1264</v>
      </c>
      <c r="D380" s="193" t="s">
        <v>1265</v>
      </c>
      <c r="E380" s="193" t="s">
        <v>545</v>
      </c>
      <c r="F380" s="196">
        <v>31000</v>
      </c>
      <c r="G380" s="194">
        <v>5.6416434286875206E-2</v>
      </c>
      <c r="H380" s="195">
        <f t="shared" si="5"/>
        <v>1748.9094628931314</v>
      </c>
      <c r="I380" s="193" t="s">
        <v>541</v>
      </c>
    </row>
    <row r="381" spans="1:9" x14ac:dyDescent="0.25">
      <c r="A381" s="193" t="s">
        <v>220</v>
      </c>
      <c r="B381" s="193" t="s">
        <v>588</v>
      </c>
      <c r="C381" s="193" t="s">
        <v>1266</v>
      </c>
      <c r="D381" s="193" t="s">
        <v>1267</v>
      </c>
      <c r="E381" s="193" t="s">
        <v>545</v>
      </c>
      <c r="F381" s="196">
        <v>28800</v>
      </c>
      <c r="G381" s="194">
        <v>2.7019999999999995E-2</v>
      </c>
      <c r="H381" s="195">
        <f t="shared" si="5"/>
        <v>778.17599999999982</v>
      </c>
      <c r="I381" s="193" t="s">
        <v>541</v>
      </c>
    </row>
    <row r="382" spans="1:9" x14ac:dyDescent="0.25">
      <c r="A382" s="193" t="s">
        <v>220</v>
      </c>
      <c r="B382" s="193" t="s">
        <v>588</v>
      </c>
      <c r="C382" s="193" t="s">
        <v>1268</v>
      </c>
      <c r="D382" s="193" t="s">
        <v>1269</v>
      </c>
      <c r="E382" s="193" t="s">
        <v>545</v>
      </c>
      <c r="F382" s="196">
        <v>14500</v>
      </c>
      <c r="G382" s="194">
        <v>2.6958747617727846E-2</v>
      </c>
      <c r="H382" s="195">
        <f t="shared" si="5"/>
        <v>390.90184045705377</v>
      </c>
      <c r="I382" s="193" t="s">
        <v>541</v>
      </c>
    </row>
    <row r="383" spans="1:9" x14ac:dyDescent="0.25">
      <c r="A383" s="193" t="s">
        <v>220</v>
      </c>
      <c r="B383" s="193" t="s">
        <v>588</v>
      </c>
      <c r="C383" s="193" t="s">
        <v>1270</v>
      </c>
      <c r="D383" s="193" t="s">
        <v>1271</v>
      </c>
      <c r="E383" s="193" t="s">
        <v>545</v>
      </c>
      <c r="F383" s="196">
        <v>15000</v>
      </c>
      <c r="G383" s="194">
        <v>2.728495119508461E-2</v>
      </c>
      <c r="H383" s="195">
        <f t="shared" si="5"/>
        <v>409.27426792626915</v>
      </c>
      <c r="I383" s="193" t="s">
        <v>541</v>
      </c>
    </row>
    <row r="384" spans="1:9" x14ac:dyDescent="0.25">
      <c r="A384" s="193" t="s">
        <v>220</v>
      </c>
      <c r="B384" s="193" t="s">
        <v>588</v>
      </c>
      <c r="C384" s="193" t="s">
        <v>1272</v>
      </c>
      <c r="D384" s="193" t="s">
        <v>1273</v>
      </c>
      <c r="E384" s="193" t="s">
        <v>545</v>
      </c>
      <c r="F384" s="196">
        <v>13500</v>
      </c>
      <c r="G384" s="194">
        <v>1.3510000000000001E-2</v>
      </c>
      <c r="H384" s="195">
        <f t="shared" si="5"/>
        <v>182.38500000000002</v>
      </c>
      <c r="I384" s="193" t="s">
        <v>541</v>
      </c>
    </row>
    <row r="385" spans="1:9" x14ac:dyDescent="0.25">
      <c r="A385" s="193" t="s">
        <v>220</v>
      </c>
      <c r="B385" s="193" t="s">
        <v>588</v>
      </c>
      <c r="C385" s="193" t="s">
        <v>1274</v>
      </c>
      <c r="D385" s="193" t="s">
        <v>1275</v>
      </c>
      <c r="E385" s="193" t="s">
        <v>545</v>
      </c>
      <c r="F385" s="196">
        <v>8000</v>
      </c>
      <c r="G385" s="194">
        <v>7.3099999999999998E-2</v>
      </c>
      <c r="H385" s="195">
        <f t="shared" si="5"/>
        <v>584.79999999999995</v>
      </c>
      <c r="I385" s="193" t="s">
        <v>541</v>
      </c>
    </row>
    <row r="386" spans="1:9" x14ac:dyDescent="0.25">
      <c r="A386" s="193" t="s">
        <v>220</v>
      </c>
      <c r="B386" s="193" t="s">
        <v>588</v>
      </c>
      <c r="C386" s="193" t="s">
        <v>1276</v>
      </c>
      <c r="D386" s="193" t="s">
        <v>1277</v>
      </c>
      <c r="E386" s="193" t="s">
        <v>545</v>
      </c>
      <c r="F386" s="196">
        <v>8000</v>
      </c>
      <c r="G386" s="194">
        <v>7.0514705882352938E-2</v>
      </c>
      <c r="H386" s="195">
        <f t="shared" si="5"/>
        <v>564.11764705882354</v>
      </c>
      <c r="I386" s="193" t="s">
        <v>541</v>
      </c>
    </row>
    <row r="387" spans="1:9" x14ac:dyDescent="0.25">
      <c r="A387" s="193" t="s">
        <v>220</v>
      </c>
      <c r="B387" s="193" t="s">
        <v>588</v>
      </c>
      <c r="C387" s="193" t="s">
        <v>1278</v>
      </c>
      <c r="D387" s="193" t="s">
        <v>1279</v>
      </c>
      <c r="E387" s="193" t="s">
        <v>545</v>
      </c>
      <c r="F387" s="196">
        <v>7200</v>
      </c>
      <c r="G387" s="194">
        <v>1.7624734881306676</v>
      </c>
      <c r="H387" s="195">
        <f t="shared" si="5"/>
        <v>12689.809114540807</v>
      </c>
      <c r="I387" s="193" t="s">
        <v>541</v>
      </c>
    </row>
    <row r="388" spans="1:9" x14ac:dyDescent="0.25">
      <c r="A388" s="193" t="s">
        <v>220</v>
      </c>
      <c r="B388" s="193" t="s">
        <v>588</v>
      </c>
      <c r="C388" s="193" t="s">
        <v>1280</v>
      </c>
      <c r="D388" s="193" t="s">
        <v>1281</v>
      </c>
      <c r="E388" s="193" t="s">
        <v>545</v>
      </c>
      <c r="F388" s="196">
        <v>5760</v>
      </c>
      <c r="G388" s="194">
        <v>1.815099252541148</v>
      </c>
      <c r="H388" s="195">
        <f t="shared" si="5"/>
        <v>10454.971694637012</v>
      </c>
      <c r="I388" s="193" t="s">
        <v>541</v>
      </c>
    </row>
    <row r="389" spans="1:9" x14ac:dyDescent="0.25">
      <c r="A389" s="193" t="s">
        <v>220</v>
      </c>
      <c r="B389" s="193" t="s">
        <v>588</v>
      </c>
      <c r="C389" s="193" t="s">
        <v>1282</v>
      </c>
      <c r="D389" s="193" t="s">
        <v>1283</v>
      </c>
      <c r="E389" s="193" t="s">
        <v>545</v>
      </c>
      <c r="F389" s="196">
        <v>5760</v>
      </c>
      <c r="G389" s="194">
        <v>1.9190203489271771</v>
      </c>
      <c r="H389" s="195">
        <f t="shared" ref="H389:H452" si="6">+F389*G389</f>
        <v>11053.557209820539</v>
      </c>
      <c r="I389" s="193" t="s">
        <v>541</v>
      </c>
    </row>
    <row r="390" spans="1:9" x14ac:dyDescent="0.25">
      <c r="A390" s="193" t="s">
        <v>220</v>
      </c>
      <c r="B390" s="193" t="s">
        <v>588</v>
      </c>
      <c r="C390" s="193" t="s">
        <v>1284</v>
      </c>
      <c r="D390" s="193" t="s">
        <v>1285</v>
      </c>
      <c r="E390" s="193" t="s">
        <v>545</v>
      </c>
      <c r="F390" s="196">
        <v>9240</v>
      </c>
      <c r="G390" s="194">
        <v>1.4268611588435918</v>
      </c>
      <c r="H390" s="195">
        <f t="shared" si="6"/>
        <v>13184.197107714788</v>
      </c>
      <c r="I390" s="193" t="s">
        <v>541</v>
      </c>
    </row>
    <row r="391" spans="1:9" x14ac:dyDescent="0.25">
      <c r="A391" s="193" t="s">
        <v>220</v>
      </c>
      <c r="B391" s="193" t="s">
        <v>588</v>
      </c>
      <c r="C391" s="193" t="s">
        <v>1286</v>
      </c>
      <c r="D391" s="193" t="s">
        <v>1287</v>
      </c>
      <c r="E391" s="193" t="s">
        <v>545</v>
      </c>
      <c r="F391" s="196">
        <v>3264</v>
      </c>
      <c r="G391" s="194">
        <v>1.4450582455291476</v>
      </c>
      <c r="H391" s="195">
        <f t="shared" si="6"/>
        <v>4716.6701134071382</v>
      </c>
      <c r="I391" s="193" t="s">
        <v>541</v>
      </c>
    </row>
    <row r="392" spans="1:9" x14ac:dyDescent="0.25">
      <c r="A392" s="193" t="s">
        <v>220</v>
      </c>
      <c r="B392" s="193" t="s">
        <v>588</v>
      </c>
      <c r="C392" s="193" t="s">
        <v>1288</v>
      </c>
      <c r="D392" s="193" t="s">
        <v>1289</v>
      </c>
      <c r="E392" s="193" t="s">
        <v>545</v>
      </c>
      <c r="F392" s="196">
        <v>15004</v>
      </c>
      <c r="G392" s="194">
        <v>1.5153198858058068</v>
      </c>
      <c r="H392" s="195">
        <f t="shared" si="6"/>
        <v>22735.859566630326</v>
      </c>
      <c r="I392" s="193" t="s">
        <v>541</v>
      </c>
    </row>
    <row r="393" spans="1:9" x14ac:dyDescent="0.25">
      <c r="A393" s="193" t="s">
        <v>220</v>
      </c>
      <c r="B393" s="193" t="s">
        <v>588</v>
      </c>
      <c r="C393" s="193" t="s">
        <v>1290</v>
      </c>
      <c r="D393" s="193" t="s">
        <v>1291</v>
      </c>
      <c r="E393" s="193" t="s">
        <v>545</v>
      </c>
      <c r="F393" s="196">
        <v>2880</v>
      </c>
      <c r="G393" s="194">
        <v>1.58534255930487</v>
      </c>
      <c r="H393" s="195">
        <f t="shared" si="6"/>
        <v>4565.7865707980254</v>
      </c>
      <c r="I393" s="193" t="s">
        <v>541</v>
      </c>
    </row>
    <row r="394" spans="1:9" x14ac:dyDescent="0.25">
      <c r="A394" s="193" t="s">
        <v>220</v>
      </c>
      <c r="B394" s="193" t="s">
        <v>588</v>
      </c>
      <c r="C394" s="193" t="s">
        <v>1292</v>
      </c>
      <c r="D394" s="193" t="s">
        <v>1293</v>
      </c>
      <c r="E394" s="193" t="s">
        <v>545</v>
      </c>
      <c r="F394" s="196">
        <v>5280</v>
      </c>
      <c r="G394" s="194">
        <v>1.5693694467420258</v>
      </c>
      <c r="H394" s="195">
        <f t="shared" si="6"/>
        <v>8286.2706787978968</v>
      </c>
      <c r="I394" s="193" t="s">
        <v>541</v>
      </c>
    </row>
    <row r="395" spans="1:9" x14ac:dyDescent="0.25">
      <c r="A395" s="193" t="s">
        <v>220</v>
      </c>
      <c r="B395" s="193" t="s">
        <v>588</v>
      </c>
      <c r="C395" s="193" t="s">
        <v>1294</v>
      </c>
      <c r="D395" s="193" t="s">
        <v>1295</v>
      </c>
      <c r="E395" s="193" t="s">
        <v>545</v>
      </c>
      <c r="F395" s="196">
        <v>3024</v>
      </c>
      <c r="G395" s="194">
        <v>1.7999036584262238</v>
      </c>
      <c r="H395" s="195">
        <f t="shared" si="6"/>
        <v>5442.9086630809006</v>
      </c>
      <c r="I395" s="193" t="s">
        <v>541</v>
      </c>
    </row>
    <row r="396" spans="1:9" x14ac:dyDescent="0.25">
      <c r="A396" s="193" t="s">
        <v>220</v>
      </c>
      <c r="B396" s="193" t="s">
        <v>588</v>
      </c>
      <c r="C396" s="193" t="s">
        <v>1296</v>
      </c>
      <c r="D396" s="193" t="s">
        <v>1297</v>
      </c>
      <c r="E396" s="193" t="s">
        <v>545</v>
      </c>
      <c r="F396" s="196">
        <v>3872</v>
      </c>
      <c r="G396" s="194">
        <v>1.7344485239482599</v>
      </c>
      <c r="H396" s="195">
        <f t="shared" si="6"/>
        <v>6715.7846847276624</v>
      </c>
      <c r="I396" s="193" t="s">
        <v>541</v>
      </c>
    </row>
    <row r="397" spans="1:9" x14ac:dyDescent="0.25">
      <c r="A397" s="193" t="s">
        <v>220</v>
      </c>
      <c r="B397" s="193" t="s">
        <v>588</v>
      </c>
      <c r="C397" s="193" t="s">
        <v>1298</v>
      </c>
      <c r="D397" s="193" t="s">
        <v>1299</v>
      </c>
      <c r="E397" s="193" t="s">
        <v>545</v>
      </c>
      <c r="F397" s="196">
        <v>864</v>
      </c>
      <c r="G397" s="194">
        <v>1.9057951727128553</v>
      </c>
      <c r="H397" s="195">
        <f t="shared" si="6"/>
        <v>1646.6070292239069</v>
      </c>
      <c r="I397" s="193" t="s">
        <v>541</v>
      </c>
    </row>
    <row r="398" spans="1:9" x14ac:dyDescent="0.25">
      <c r="A398" s="193" t="s">
        <v>220</v>
      </c>
      <c r="B398" s="193" t="s">
        <v>588</v>
      </c>
      <c r="C398" s="193" t="s">
        <v>1300</v>
      </c>
      <c r="D398" s="193" t="s">
        <v>1301</v>
      </c>
      <c r="E398" s="193" t="s">
        <v>545</v>
      </c>
      <c r="F398" s="196">
        <v>3120</v>
      </c>
      <c r="G398" s="194">
        <v>1.5295158137805818</v>
      </c>
      <c r="H398" s="195">
        <f t="shared" si="6"/>
        <v>4772.0893389954153</v>
      </c>
      <c r="I398" s="193" t="s">
        <v>541</v>
      </c>
    </row>
    <row r="399" spans="1:9" x14ac:dyDescent="0.25">
      <c r="A399" s="193" t="s">
        <v>220</v>
      </c>
      <c r="B399" s="193" t="s">
        <v>588</v>
      </c>
      <c r="C399" s="193" t="s">
        <v>1302</v>
      </c>
      <c r="D399" s="193" t="s">
        <v>1303</v>
      </c>
      <c r="E399" s="193" t="s">
        <v>545</v>
      </c>
      <c r="F399" s="196">
        <v>3168</v>
      </c>
      <c r="G399" s="194">
        <v>1.6556066175490081</v>
      </c>
      <c r="H399" s="195">
        <f t="shared" si="6"/>
        <v>5244.9617643952579</v>
      </c>
      <c r="I399" s="193" t="s">
        <v>541</v>
      </c>
    </row>
    <row r="400" spans="1:9" x14ac:dyDescent="0.25">
      <c r="A400" s="193" t="s">
        <v>220</v>
      </c>
      <c r="B400" s="193" t="s">
        <v>588</v>
      </c>
      <c r="C400" s="193" t="s">
        <v>743</v>
      </c>
      <c r="D400" s="193" t="s">
        <v>1304</v>
      </c>
      <c r="E400" s="193" t="s">
        <v>545</v>
      </c>
      <c r="F400" s="196">
        <v>3325</v>
      </c>
      <c r="G400" s="194">
        <v>0.56883332117009466</v>
      </c>
      <c r="H400" s="195">
        <f t="shared" si="6"/>
        <v>1891.3707928905646</v>
      </c>
      <c r="I400" s="193" t="s">
        <v>541</v>
      </c>
    </row>
    <row r="401" spans="1:9" x14ac:dyDescent="0.25">
      <c r="A401" s="193" t="s">
        <v>220</v>
      </c>
      <c r="B401" s="193" t="s">
        <v>588</v>
      </c>
      <c r="C401" s="193" t="s">
        <v>745</v>
      </c>
      <c r="D401" s="193" t="s">
        <v>1305</v>
      </c>
      <c r="E401" s="193" t="s">
        <v>545</v>
      </c>
      <c r="F401" s="196">
        <v>9000</v>
      </c>
      <c r="G401" s="194">
        <v>0.64329877412327052</v>
      </c>
      <c r="H401" s="195">
        <f t="shared" si="6"/>
        <v>5789.688967109435</v>
      </c>
      <c r="I401" s="193" t="s">
        <v>541</v>
      </c>
    </row>
    <row r="402" spans="1:9" x14ac:dyDescent="0.25">
      <c r="A402" s="193" t="s">
        <v>220</v>
      </c>
      <c r="B402" s="193" t="s">
        <v>588</v>
      </c>
      <c r="C402" s="193" t="s">
        <v>1306</v>
      </c>
      <c r="D402" s="193" t="s">
        <v>1307</v>
      </c>
      <c r="E402" s="193" t="s">
        <v>545</v>
      </c>
      <c r="F402" s="196">
        <v>1000</v>
      </c>
      <c r="G402" s="194">
        <v>0.30528988899645421</v>
      </c>
      <c r="H402" s="195">
        <f t="shared" si="6"/>
        <v>305.28988899645418</v>
      </c>
      <c r="I402" s="193" t="s">
        <v>541</v>
      </c>
    </row>
    <row r="403" spans="1:9" x14ac:dyDescent="0.25">
      <c r="A403" s="193" t="s">
        <v>220</v>
      </c>
      <c r="B403" s="193" t="s">
        <v>588</v>
      </c>
      <c r="C403" s="193" t="s">
        <v>1308</v>
      </c>
      <c r="D403" s="193" t="s">
        <v>1309</v>
      </c>
      <c r="E403" s="193" t="s">
        <v>545</v>
      </c>
      <c r="F403" s="196">
        <v>2000</v>
      </c>
      <c r="G403" s="194">
        <v>0.54727052307402646</v>
      </c>
      <c r="H403" s="195">
        <f t="shared" si="6"/>
        <v>1094.5410461480528</v>
      </c>
      <c r="I403" s="193" t="s">
        <v>541</v>
      </c>
    </row>
    <row r="404" spans="1:9" x14ac:dyDescent="0.25">
      <c r="A404" s="193" t="s">
        <v>220</v>
      </c>
      <c r="B404" s="193" t="s">
        <v>588</v>
      </c>
      <c r="C404" s="193" t="s">
        <v>1310</v>
      </c>
      <c r="D404" s="193" t="s">
        <v>1311</v>
      </c>
      <c r="E404" s="193" t="s">
        <v>545</v>
      </c>
      <c r="F404" s="196">
        <v>470</v>
      </c>
      <c r="G404" s="194">
        <v>1.3230641258607909</v>
      </c>
      <c r="H404" s="195">
        <f t="shared" si="6"/>
        <v>621.84013915457172</v>
      </c>
      <c r="I404" s="193" t="s">
        <v>541</v>
      </c>
    </row>
    <row r="405" spans="1:9" x14ac:dyDescent="0.25">
      <c r="A405" s="193" t="s">
        <v>220</v>
      </c>
      <c r="B405" s="193" t="s">
        <v>588</v>
      </c>
      <c r="C405" s="193" t="s">
        <v>1312</v>
      </c>
      <c r="D405" s="193" t="s">
        <v>1313</v>
      </c>
      <c r="E405" s="193" t="s">
        <v>545</v>
      </c>
      <c r="F405" s="196">
        <v>500</v>
      </c>
      <c r="G405" s="194">
        <v>0.22800000000000001</v>
      </c>
      <c r="H405" s="195">
        <f t="shared" si="6"/>
        <v>114</v>
      </c>
      <c r="I405" s="193" t="s">
        <v>541</v>
      </c>
    </row>
    <row r="406" spans="1:9" x14ac:dyDescent="0.25">
      <c r="A406" s="193" t="s">
        <v>220</v>
      </c>
      <c r="B406" s="193" t="s">
        <v>588</v>
      </c>
      <c r="C406" s="193" t="s">
        <v>1314</v>
      </c>
      <c r="D406" s="193" t="s">
        <v>1315</v>
      </c>
      <c r="E406" s="193" t="s">
        <v>545</v>
      </c>
      <c r="F406" s="196">
        <v>500</v>
      </c>
      <c r="G406" s="194">
        <v>0.28799999999999998</v>
      </c>
      <c r="H406" s="195">
        <f t="shared" si="6"/>
        <v>144</v>
      </c>
      <c r="I406" s="193" t="s">
        <v>541</v>
      </c>
    </row>
    <row r="407" spans="1:9" x14ac:dyDescent="0.25">
      <c r="A407" s="193" t="s">
        <v>220</v>
      </c>
      <c r="B407" s="193" t="s">
        <v>588</v>
      </c>
      <c r="C407" s="193" t="s">
        <v>1316</v>
      </c>
      <c r="D407" s="193" t="s">
        <v>1317</v>
      </c>
      <c r="E407" s="193" t="s">
        <v>545</v>
      </c>
      <c r="F407" s="196">
        <v>2500</v>
      </c>
      <c r="G407" s="194">
        <v>0.55041091954022991</v>
      </c>
      <c r="H407" s="195">
        <f t="shared" si="6"/>
        <v>1376.0272988505749</v>
      </c>
      <c r="I407" s="193" t="s">
        <v>541</v>
      </c>
    </row>
    <row r="408" spans="1:9" x14ac:dyDescent="0.25">
      <c r="A408" s="193" t="s">
        <v>220</v>
      </c>
      <c r="B408" s="193" t="s">
        <v>588</v>
      </c>
      <c r="C408" s="193" t="s">
        <v>1318</v>
      </c>
      <c r="D408" s="193" t="s">
        <v>1319</v>
      </c>
      <c r="E408" s="193" t="s">
        <v>545</v>
      </c>
      <c r="F408" s="196">
        <v>600</v>
      </c>
      <c r="G408" s="194">
        <v>0.60599999999999998</v>
      </c>
      <c r="H408" s="195">
        <f t="shared" si="6"/>
        <v>363.59999999999997</v>
      </c>
      <c r="I408" s="193" t="s">
        <v>541</v>
      </c>
    </row>
    <row r="409" spans="1:9" x14ac:dyDescent="0.25">
      <c r="A409" s="193" t="s">
        <v>220</v>
      </c>
      <c r="B409" s="193" t="s">
        <v>588</v>
      </c>
      <c r="C409" s="193" t="s">
        <v>1320</v>
      </c>
      <c r="D409" s="193" t="s">
        <v>1321</v>
      </c>
      <c r="E409" s="193" t="s">
        <v>545</v>
      </c>
      <c r="F409" s="196">
        <v>1200</v>
      </c>
      <c r="G409" s="194">
        <v>0.37369999999999998</v>
      </c>
      <c r="H409" s="195">
        <f t="shared" si="6"/>
        <v>448.44</v>
      </c>
      <c r="I409" s="193" t="s">
        <v>541</v>
      </c>
    </row>
    <row r="410" spans="1:9" x14ac:dyDescent="0.25">
      <c r="A410" s="193" t="s">
        <v>220</v>
      </c>
      <c r="B410" s="193" t="s">
        <v>588</v>
      </c>
      <c r="C410" s="193" t="s">
        <v>1322</v>
      </c>
      <c r="D410" s="193" t="s">
        <v>1323</v>
      </c>
      <c r="E410" s="193" t="s">
        <v>545</v>
      </c>
      <c r="F410" s="196">
        <v>2500</v>
      </c>
      <c r="G410" s="194">
        <v>0.62975590861764652</v>
      </c>
      <c r="H410" s="195">
        <f t="shared" si="6"/>
        <v>1574.3897715441162</v>
      </c>
      <c r="I410" s="193" t="s">
        <v>541</v>
      </c>
    </row>
    <row r="411" spans="1:9" x14ac:dyDescent="0.25">
      <c r="A411" s="193" t="s">
        <v>220</v>
      </c>
      <c r="B411" s="193" t="s">
        <v>588</v>
      </c>
      <c r="C411" s="193" t="s">
        <v>1324</v>
      </c>
      <c r="D411" s="193" t="s">
        <v>1325</v>
      </c>
      <c r="E411" s="193" t="s">
        <v>545</v>
      </c>
      <c r="F411" s="196">
        <v>1000</v>
      </c>
      <c r="G411" s="194">
        <v>0.63034323522701341</v>
      </c>
      <c r="H411" s="195">
        <f t="shared" si="6"/>
        <v>630.34323522701345</v>
      </c>
      <c r="I411" s="193" t="s">
        <v>541</v>
      </c>
    </row>
    <row r="412" spans="1:9" x14ac:dyDescent="0.25">
      <c r="A412" s="193" t="s">
        <v>220</v>
      </c>
      <c r="B412" s="193" t="s">
        <v>588</v>
      </c>
      <c r="C412" s="193" t="s">
        <v>1326</v>
      </c>
      <c r="D412" s="193" t="s">
        <v>1327</v>
      </c>
      <c r="E412" s="193" t="s">
        <v>545</v>
      </c>
      <c r="F412" s="196">
        <v>500</v>
      </c>
      <c r="G412" s="194">
        <v>0.43934999999999996</v>
      </c>
      <c r="H412" s="195">
        <f t="shared" si="6"/>
        <v>219.67499999999998</v>
      </c>
      <c r="I412" s="193" t="s">
        <v>541</v>
      </c>
    </row>
    <row r="413" spans="1:9" x14ac:dyDescent="0.25">
      <c r="A413" s="193" t="s">
        <v>220</v>
      </c>
      <c r="B413" s="193" t="s">
        <v>588</v>
      </c>
      <c r="C413" s="193" t="s">
        <v>1328</v>
      </c>
      <c r="D413" s="193" t="s">
        <v>1329</v>
      </c>
      <c r="E413" s="193" t="s">
        <v>545</v>
      </c>
      <c r="F413" s="196">
        <v>3000</v>
      </c>
      <c r="G413" s="194">
        <v>0.45070999999999994</v>
      </c>
      <c r="H413" s="195">
        <f t="shared" si="6"/>
        <v>1352.1299999999999</v>
      </c>
      <c r="I413" s="193" t="s">
        <v>541</v>
      </c>
    </row>
    <row r="414" spans="1:9" x14ac:dyDescent="0.25">
      <c r="A414" s="193" t="s">
        <v>220</v>
      </c>
      <c r="B414" s="193" t="s">
        <v>588</v>
      </c>
      <c r="C414" s="193" t="s">
        <v>1330</v>
      </c>
      <c r="D414" s="193" t="s">
        <v>1331</v>
      </c>
      <c r="E414" s="193" t="s">
        <v>545</v>
      </c>
      <c r="F414" s="196">
        <v>3700</v>
      </c>
      <c r="G414" s="194">
        <v>0.34292948456921724</v>
      </c>
      <c r="H414" s="195">
        <f t="shared" si="6"/>
        <v>1268.8390929061038</v>
      </c>
      <c r="I414" s="193" t="s">
        <v>541</v>
      </c>
    </row>
    <row r="415" spans="1:9" x14ac:dyDescent="0.25">
      <c r="A415" s="193" t="s">
        <v>220</v>
      </c>
      <c r="B415" s="193" t="s">
        <v>588</v>
      </c>
      <c r="C415" s="193" t="s">
        <v>1332</v>
      </c>
      <c r="D415" s="193" t="s">
        <v>1333</v>
      </c>
      <c r="E415" s="193" t="s">
        <v>545</v>
      </c>
      <c r="F415" s="196">
        <v>2700</v>
      </c>
      <c r="G415" s="194">
        <v>0.33050791018468506</v>
      </c>
      <c r="H415" s="195">
        <f t="shared" si="6"/>
        <v>892.37135749864967</v>
      </c>
      <c r="I415" s="193" t="s">
        <v>541</v>
      </c>
    </row>
    <row r="416" spans="1:9" x14ac:dyDescent="0.25">
      <c r="A416" s="193" t="s">
        <v>220</v>
      </c>
      <c r="B416" s="193" t="s">
        <v>588</v>
      </c>
      <c r="C416" s="193" t="s">
        <v>1334</v>
      </c>
      <c r="D416" s="193" t="s">
        <v>1335</v>
      </c>
      <c r="E416" s="193" t="s">
        <v>545</v>
      </c>
      <c r="F416" s="196">
        <v>4400</v>
      </c>
      <c r="G416" s="194">
        <v>0.46855693910358942</v>
      </c>
      <c r="H416" s="195">
        <f t="shared" si="6"/>
        <v>2061.6505320557935</v>
      </c>
      <c r="I416" s="193" t="s">
        <v>541</v>
      </c>
    </row>
    <row r="417" spans="1:9" x14ac:dyDescent="0.25">
      <c r="A417" s="193" t="s">
        <v>220</v>
      </c>
      <c r="B417" s="193" t="s">
        <v>588</v>
      </c>
      <c r="C417" s="193" t="s">
        <v>1336</v>
      </c>
      <c r="D417" s="193" t="s">
        <v>1337</v>
      </c>
      <c r="E417" s="193" t="s">
        <v>545</v>
      </c>
      <c r="F417" s="196">
        <v>930</v>
      </c>
      <c r="G417" s="194">
        <v>0.5909333333333332</v>
      </c>
      <c r="H417" s="195">
        <f t="shared" si="6"/>
        <v>549.56799999999987</v>
      </c>
      <c r="I417" s="193" t="s">
        <v>541</v>
      </c>
    </row>
    <row r="418" spans="1:9" x14ac:dyDescent="0.25">
      <c r="A418" s="193" t="s">
        <v>220</v>
      </c>
      <c r="B418" s="193" t="s">
        <v>588</v>
      </c>
      <c r="C418" s="193" t="s">
        <v>1338</v>
      </c>
      <c r="D418" s="193" t="s">
        <v>1339</v>
      </c>
      <c r="E418" s="193" t="s">
        <v>545</v>
      </c>
      <c r="F418" s="196">
        <v>5330</v>
      </c>
      <c r="G418" s="194">
        <v>0.58967420262664161</v>
      </c>
      <c r="H418" s="195">
        <f t="shared" si="6"/>
        <v>3142.9634999999998</v>
      </c>
      <c r="I418" s="193" t="s">
        <v>541</v>
      </c>
    </row>
    <row r="419" spans="1:9" x14ac:dyDescent="0.25">
      <c r="A419" s="193" t="s">
        <v>220</v>
      </c>
      <c r="B419" s="193" t="s">
        <v>588</v>
      </c>
      <c r="C419" s="193" t="s">
        <v>1340</v>
      </c>
      <c r="D419" s="193" t="s">
        <v>1341</v>
      </c>
      <c r="E419" s="193" t="s">
        <v>545</v>
      </c>
      <c r="F419" s="196">
        <v>3000</v>
      </c>
      <c r="G419" s="194">
        <v>0.45421295335219619</v>
      </c>
      <c r="H419" s="195">
        <f t="shared" si="6"/>
        <v>1362.6388600565886</v>
      </c>
      <c r="I419" s="193" t="s">
        <v>541</v>
      </c>
    </row>
    <row r="420" spans="1:9" x14ac:dyDescent="0.25">
      <c r="A420" s="193" t="s">
        <v>220</v>
      </c>
      <c r="B420" s="193" t="s">
        <v>588</v>
      </c>
      <c r="C420" s="193" t="s">
        <v>1342</v>
      </c>
      <c r="D420" s="193" t="s">
        <v>1343</v>
      </c>
      <c r="E420" s="193" t="s">
        <v>545</v>
      </c>
      <c r="F420" s="196">
        <v>740</v>
      </c>
      <c r="G420" s="194">
        <v>0.45388112745098042</v>
      </c>
      <c r="H420" s="195">
        <f t="shared" si="6"/>
        <v>335.87203431372552</v>
      </c>
      <c r="I420" s="193" t="s">
        <v>541</v>
      </c>
    </row>
    <row r="421" spans="1:9" x14ac:dyDescent="0.25">
      <c r="A421" s="193" t="s">
        <v>220</v>
      </c>
      <c r="B421" s="193" t="s">
        <v>588</v>
      </c>
      <c r="C421" s="193" t="s">
        <v>1344</v>
      </c>
      <c r="D421" s="193" t="s">
        <v>1345</v>
      </c>
      <c r="E421" s="193" t="s">
        <v>545</v>
      </c>
      <c r="F421" s="196">
        <v>500</v>
      </c>
      <c r="G421" s="194">
        <v>0.57672191917554938</v>
      </c>
      <c r="H421" s="195">
        <f t="shared" si="6"/>
        <v>288.36095958777469</v>
      </c>
      <c r="I421" s="193" t="s">
        <v>541</v>
      </c>
    </row>
    <row r="422" spans="1:9" x14ac:dyDescent="0.25">
      <c r="A422" s="193" t="s">
        <v>220</v>
      </c>
      <c r="B422" s="193" t="s">
        <v>588</v>
      </c>
      <c r="C422" s="193" t="s">
        <v>1346</v>
      </c>
      <c r="D422" s="193" t="s">
        <v>1347</v>
      </c>
      <c r="E422" s="193" t="s">
        <v>545</v>
      </c>
      <c r="F422" s="196">
        <v>8000</v>
      </c>
      <c r="G422" s="194">
        <v>0.48544954806954338</v>
      </c>
      <c r="H422" s="195">
        <f t="shared" si="6"/>
        <v>3883.5963845563469</v>
      </c>
      <c r="I422" s="193" t="s">
        <v>541</v>
      </c>
    </row>
    <row r="423" spans="1:9" x14ac:dyDescent="0.25">
      <c r="A423" s="193" t="s">
        <v>220</v>
      </c>
      <c r="B423" s="193" t="s">
        <v>588</v>
      </c>
      <c r="C423" s="193" t="s">
        <v>1348</v>
      </c>
      <c r="D423" s="193" t="s">
        <v>1349</v>
      </c>
      <c r="E423" s="193" t="s">
        <v>545</v>
      </c>
      <c r="F423" s="196">
        <v>1000</v>
      </c>
      <c r="G423" s="194">
        <v>0.45685666666666674</v>
      </c>
      <c r="H423" s="195">
        <f t="shared" si="6"/>
        <v>456.85666666666674</v>
      </c>
      <c r="I423" s="193" t="s">
        <v>541</v>
      </c>
    </row>
    <row r="424" spans="1:9" x14ac:dyDescent="0.25">
      <c r="A424" s="193" t="s">
        <v>220</v>
      </c>
      <c r="B424" s="193" t="s">
        <v>588</v>
      </c>
      <c r="C424" s="193" t="s">
        <v>1350</v>
      </c>
      <c r="D424" s="193" t="s">
        <v>1351</v>
      </c>
      <c r="E424" s="193" t="s">
        <v>545</v>
      </c>
      <c r="F424" s="196">
        <v>1770</v>
      </c>
      <c r="G424" s="194">
        <v>0.64144036697247697</v>
      </c>
      <c r="H424" s="195">
        <f t="shared" si="6"/>
        <v>1135.3494495412842</v>
      </c>
      <c r="I424" s="193" t="s">
        <v>541</v>
      </c>
    </row>
    <row r="425" spans="1:9" x14ac:dyDescent="0.25">
      <c r="A425" s="193" t="s">
        <v>220</v>
      </c>
      <c r="B425" s="193" t="s">
        <v>588</v>
      </c>
      <c r="C425" s="193" t="s">
        <v>1352</v>
      </c>
      <c r="D425" s="193" t="s">
        <v>1353</v>
      </c>
      <c r="E425" s="193" t="s">
        <v>545</v>
      </c>
      <c r="F425" s="196">
        <v>3280</v>
      </c>
      <c r="G425" s="194">
        <v>0.25519348880166237</v>
      </c>
      <c r="H425" s="195">
        <f t="shared" si="6"/>
        <v>837.03464326945254</v>
      </c>
      <c r="I425" s="193" t="s">
        <v>541</v>
      </c>
    </row>
    <row r="426" spans="1:9" x14ac:dyDescent="0.25">
      <c r="A426" s="193" t="s">
        <v>220</v>
      </c>
      <c r="B426" s="193" t="s">
        <v>588</v>
      </c>
      <c r="C426" s="193" t="s">
        <v>1354</v>
      </c>
      <c r="D426" s="193" t="s">
        <v>1355</v>
      </c>
      <c r="E426" s="193" t="s">
        <v>545</v>
      </c>
      <c r="F426" s="196">
        <v>3000</v>
      </c>
      <c r="G426" s="194">
        <v>0.32320000000000004</v>
      </c>
      <c r="H426" s="195">
        <f t="shared" si="6"/>
        <v>969.60000000000014</v>
      </c>
      <c r="I426" s="193" t="s">
        <v>541</v>
      </c>
    </row>
    <row r="427" spans="1:9" x14ac:dyDescent="0.25">
      <c r="A427" s="193" t="s">
        <v>220</v>
      </c>
      <c r="B427" s="193" t="s">
        <v>588</v>
      </c>
      <c r="C427" s="193" t="s">
        <v>1356</v>
      </c>
      <c r="D427" s="193" t="s">
        <v>1357</v>
      </c>
      <c r="E427" s="193" t="s">
        <v>545</v>
      </c>
      <c r="F427" s="196">
        <v>1000</v>
      </c>
      <c r="G427" s="194">
        <v>0.42831967295734025</v>
      </c>
      <c r="H427" s="195">
        <f t="shared" si="6"/>
        <v>428.31967295734023</v>
      </c>
      <c r="I427" s="193" t="s">
        <v>541</v>
      </c>
    </row>
    <row r="428" spans="1:9" x14ac:dyDescent="0.25">
      <c r="A428" s="193" t="s">
        <v>220</v>
      </c>
      <c r="B428" s="193" t="s">
        <v>588</v>
      </c>
      <c r="C428" s="193" t="s">
        <v>1358</v>
      </c>
      <c r="D428" s="193" t="s">
        <v>1359</v>
      </c>
      <c r="E428" s="193" t="s">
        <v>545</v>
      </c>
      <c r="F428" s="196">
        <v>2030</v>
      </c>
      <c r="G428" s="194">
        <v>0.60015503738685561</v>
      </c>
      <c r="H428" s="195">
        <f t="shared" si="6"/>
        <v>1218.3147258953168</v>
      </c>
      <c r="I428" s="193" t="s">
        <v>541</v>
      </c>
    </row>
    <row r="429" spans="1:9" x14ac:dyDescent="0.25">
      <c r="A429" s="193" t="s">
        <v>220</v>
      </c>
      <c r="B429" s="193" t="s">
        <v>588</v>
      </c>
      <c r="C429" s="193" t="s">
        <v>1360</v>
      </c>
      <c r="D429" s="193" t="s">
        <v>1361</v>
      </c>
      <c r="E429" s="193" t="s">
        <v>545</v>
      </c>
      <c r="F429" s="196">
        <v>4400</v>
      </c>
      <c r="G429" s="194">
        <v>0.34496445386064029</v>
      </c>
      <c r="H429" s="195">
        <f t="shared" si="6"/>
        <v>1517.8435969868171</v>
      </c>
      <c r="I429" s="193" t="s">
        <v>541</v>
      </c>
    </row>
    <row r="430" spans="1:9" x14ac:dyDescent="0.25">
      <c r="A430" s="193" t="s">
        <v>220</v>
      </c>
      <c r="B430" s="193" t="s">
        <v>588</v>
      </c>
      <c r="C430" s="193" t="s">
        <v>1362</v>
      </c>
      <c r="D430" s="193" t="s">
        <v>1363</v>
      </c>
      <c r="E430" s="193" t="s">
        <v>545</v>
      </c>
      <c r="F430" s="196">
        <v>1580</v>
      </c>
      <c r="G430" s="194">
        <v>0.38379999999999992</v>
      </c>
      <c r="H430" s="195">
        <f t="shared" si="6"/>
        <v>606.40399999999988</v>
      </c>
      <c r="I430" s="193" t="s">
        <v>541</v>
      </c>
    </row>
    <row r="431" spans="1:9" x14ac:dyDescent="0.25">
      <c r="A431" s="193" t="s">
        <v>220</v>
      </c>
      <c r="B431" s="193" t="s">
        <v>588</v>
      </c>
      <c r="C431" s="193" t="s">
        <v>1364</v>
      </c>
      <c r="D431" s="193" t="s">
        <v>1365</v>
      </c>
      <c r="E431" s="193" t="s">
        <v>545</v>
      </c>
      <c r="F431" s="196">
        <v>5070</v>
      </c>
      <c r="G431" s="194">
        <v>0.38379999999999997</v>
      </c>
      <c r="H431" s="195">
        <f t="shared" si="6"/>
        <v>1945.8659999999998</v>
      </c>
      <c r="I431" s="193" t="s">
        <v>541</v>
      </c>
    </row>
    <row r="432" spans="1:9" x14ac:dyDescent="0.25">
      <c r="A432" s="193" t="s">
        <v>220</v>
      </c>
      <c r="B432" s="193" t="s">
        <v>588</v>
      </c>
      <c r="C432" s="193" t="s">
        <v>1366</v>
      </c>
      <c r="D432" s="193" t="s">
        <v>1367</v>
      </c>
      <c r="E432" s="193" t="s">
        <v>545</v>
      </c>
      <c r="F432" s="196">
        <v>3086</v>
      </c>
      <c r="G432" s="194">
        <v>0.45450000000000002</v>
      </c>
      <c r="H432" s="195">
        <f t="shared" si="6"/>
        <v>1402.587</v>
      </c>
      <c r="I432" s="193" t="s">
        <v>541</v>
      </c>
    </row>
    <row r="433" spans="1:9" x14ac:dyDescent="0.25">
      <c r="A433" s="193" t="s">
        <v>220</v>
      </c>
      <c r="B433" s="193" t="s">
        <v>588</v>
      </c>
      <c r="C433" s="193" t="s">
        <v>1368</v>
      </c>
      <c r="D433" s="193" t="s">
        <v>1369</v>
      </c>
      <c r="E433" s="193" t="s">
        <v>545</v>
      </c>
      <c r="F433" s="196">
        <v>3730</v>
      </c>
      <c r="G433" s="194">
        <v>0.42420000000000002</v>
      </c>
      <c r="H433" s="195">
        <f t="shared" si="6"/>
        <v>1582.2660000000001</v>
      </c>
      <c r="I433" s="193" t="s">
        <v>541</v>
      </c>
    </row>
    <row r="434" spans="1:9" x14ac:dyDescent="0.25">
      <c r="A434" s="193" t="s">
        <v>220</v>
      </c>
      <c r="B434" s="193" t="s">
        <v>588</v>
      </c>
      <c r="C434" s="193" t="s">
        <v>1370</v>
      </c>
      <c r="D434" s="193" t="s">
        <v>1371</v>
      </c>
      <c r="E434" s="193" t="s">
        <v>545</v>
      </c>
      <c r="F434" s="196">
        <v>1000</v>
      </c>
      <c r="G434" s="194">
        <v>0.37874999999999998</v>
      </c>
      <c r="H434" s="195">
        <f t="shared" si="6"/>
        <v>378.75</v>
      </c>
      <c r="I434" s="193" t="s">
        <v>541</v>
      </c>
    </row>
    <row r="435" spans="1:9" x14ac:dyDescent="0.25">
      <c r="A435" s="193" t="s">
        <v>220</v>
      </c>
      <c r="B435" s="193" t="s">
        <v>588</v>
      </c>
      <c r="C435" s="193" t="s">
        <v>1372</v>
      </c>
      <c r="D435" s="193" t="s">
        <v>1373</v>
      </c>
      <c r="E435" s="193" t="s">
        <v>545</v>
      </c>
      <c r="F435" s="196">
        <v>5600</v>
      </c>
      <c r="G435" s="194">
        <v>0.37369999999999998</v>
      </c>
      <c r="H435" s="195">
        <f t="shared" si="6"/>
        <v>2092.7199999999998</v>
      </c>
      <c r="I435" s="193" t="s">
        <v>541</v>
      </c>
    </row>
    <row r="436" spans="1:9" x14ac:dyDescent="0.25">
      <c r="A436" s="193" t="s">
        <v>220</v>
      </c>
      <c r="B436" s="193" t="s">
        <v>588</v>
      </c>
      <c r="C436" s="193" t="s">
        <v>1374</v>
      </c>
      <c r="D436" s="193" t="s">
        <v>1375</v>
      </c>
      <c r="E436" s="193" t="s">
        <v>545</v>
      </c>
      <c r="F436" s="196">
        <v>3000</v>
      </c>
      <c r="G436" s="194">
        <v>0.45450000000000002</v>
      </c>
      <c r="H436" s="195">
        <f t="shared" si="6"/>
        <v>1363.5</v>
      </c>
      <c r="I436" s="193" t="s">
        <v>541</v>
      </c>
    </row>
    <row r="437" spans="1:9" x14ac:dyDescent="0.25">
      <c r="A437" s="193" t="s">
        <v>220</v>
      </c>
      <c r="B437" s="193" t="s">
        <v>588</v>
      </c>
      <c r="C437" s="193" t="s">
        <v>1376</v>
      </c>
      <c r="D437" s="193" t="s">
        <v>1377</v>
      </c>
      <c r="E437" s="193" t="s">
        <v>545</v>
      </c>
      <c r="F437" s="196">
        <v>2720</v>
      </c>
      <c r="G437" s="194">
        <v>0.42420000000000002</v>
      </c>
      <c r="H437" s="195">
        <f t="shared" si="6"/>
        <v>1153.8240000000001</v>
      </c>
      <c r="I437" s="193" t="s">
        <v>541</v>
      </c>
    </row>
    <row r="438" spans="1:9" x14ac:dyDescent="0.25">
      <c r="A438" s="193" t="s">
        <v>220</v>
      </c>
      <c r="B438" s="193" t="s">
        <v>588</v>
      </c>
      <c r="C438" s="193" t="s">
        <v>1378</v>
      </c>
      <c r="D438" s="193" t="s">
        <v>1379</v>
      </c>
      <c r="E438" s="193" t="s">
        <v>545</v>
      </c>
      <c r="F438" s="196">
        <v>4000</v>
      </c>
      <c r="G438" s="194">
        <v>0.37369999999999992</v>
      </c>
      <c r="H438" s="195">
        <f t="shared" si="6"/>
        <v>1494.7999999999997</v>
      </c>
      <c r="I438" s="193" t="s">
        <v>541</v>
      </c>
    </row>
    <row r="439" spans="1:9" x14ac:dyDescent="0.25">
      <c r="A439" s="193" t="s">
        <v>220</v>
      </c>
      <c r="B439" s="193" t="s">
        <v>588</v>
      </c>
      <c r="C439" s="193" t="s">
        <v>1380</v>
      </c>
      <c r="D439" s="193" t="s">
        <v>1381</v>
      </c>
      <c r="E439" s="193" t="s">
        <v>545</v>
      </c>
      <c r="F439" s="196">
        <v>3600</v>
      </c>
      <c r="G439" s="194">
        <v>0.47470000000000001</v>
      </c>
      <c r="H439" s="195">
        <f t="shared" si="6"/>
        <v>1708.92</v>
      </c>
      <c r="I439" s="193" t="s">
        <v>541</v>
      </c>
    </row>
    <row r="440" spans="1:9" x14ac:dyDescent="0.25">
      <c r="A440" s="193" t="s">
        <v>220</v>
      </c>
      <c r="B440" s="193" t="s">
        <v>588</v>
      </c>
      <c r="C440" s="193" t="s">
        <v>1382</v>
      </c>
      <c r="D440" s="193" t="s">
        <v>1383</v>
      </c>
      <c r="E440" s="193" t="s">
        <v>545</v>
      </c>
      <c r="F440" s="196">
        <v>1100</v>
      </c>
      <c r="G440" s="194">
        <v>0.70699999999999985</v>
      </c>
      <c r="H440" s="195">
        <f t="shared" si="6"/>
        <v>777.69999999999982</v>
      </c>
      <c r="I440" s="193" t="s">
        <v>541</v>
      </c>
    </row>
    <row r="441" spans="1:9" x14ac:dyDescent="0.25">
      <c r="A441" s="193" t="s">
        <v>220</v>
      </c>
      <c r="B441" s="193" t="s">
        <v>588</v>
      </c>
      <c r="C441" s="193" t="s">
        <v>1384</v>
      </c>
      <c r="D441" s="193" t="s">
        <v>1385</v>
      </c>
      <c r="E441" s="193" t="s">
        <v>545</v>
      </c>
      <c r="F441" s="196">
        <v>900</v>
      </c>
      <c r="G441" s="194">
        <v>0.79285000000000005</v>
      </c>
      <c r="H441" s="195">
        <f t="shared" si="6"/>
        <v>713.56500000000005</v>
      </c>
      <c r="I441" s="193" t="s">
        <v>541</v>
      </c>
    </row>
    <row r="442" spans="1:9" x14ac:dyDescent="0.25">
      <c r="A442" s="193" t="s">
        <v>220</v>
      </c>
      <c r="B442" s="193" t="s">
        <v>588</v>
      </c>
      <c r="C442" s="193" t="s">
        <v>1386</v>
      </c>
      <c r="D442" s="193" t="s">
        <v>1387</v>
      </c>
      <c r="E442" s="193" t="s">
        <v>545</v>
      </c>
      <c r="F442" s="196">
        <v>700</v>
      </c>
      <c r="G442" s="194">
        <v>0.79285000000000005</v>
      </c>
      <c r="H442" s="195">
        <f t="shared" si="6"/>
        <v>554.995</v>
      </c>
      <c r="I442" s="193" t="s">
        <v>541</v>
      </c>
    </row>
    <row r="443" spans="1:9" x14ac:dyDescent="0.25">
      <c r="A443" s="193" t="s">
        <v>220</v>
      </c>
      <c r="B443" s="193" t="s">
        <v>588</v>
      </c>
      <c r="C443" s="193" t="s">
        <v>1388</v>
      </c>
      <c r="D443" s="193" t="s">
        <v>1389</v>
      </c>
      <c r="E443" s="193" t="s">
        <v>545</v>
      </c>
      <c r="F443" s="196">
        <v>3500</v>
      </c>
      <c r="G443" s="194">
        <v>9.1999999999999998E-2</v>
      </c>
      <c r="H443" s="195">
        <f t="shared" si="6"/>
        <v>322</v>
      </c>
      <c r="I443" s="193" t="s">
        <v>541</v>
      </c>
    </row>
    <row r="444" spans="1:9" x14ac:dyDescent="0.25">
      <c r="A444" s="193" t="s">
        <v>220</v>
      </c>
      <c r="B444" s="193" t="s">
        <v>588</v>
      </c>
      <c r="C444" s="193" t="s">
        <v>1390</v>
      </c>
      <c r="D444" s="193" t="s">
        <v>1391</v>
      </c>
      <c r="E444" s="193" t="s">
        <v>545</v>
      </c>
      <c r="F444" s="196">
        <v>1400</v>
      </c>
      <c r="G444" s="194">
        <v>9.2000000000000012E-2</v>
      </c>
      <c r="H444" s="195">
        <f t="shared" si="6"/>
        <v>128.80000000000001</v>
      </c>
      <c r="I444" s="193" t="s">
        <v>541</v>
      </c>
    </row>
    <row r="445" spans="1:9" x14ac:dyDescent="0.25">
      <c r="A445" s="193" t="s">
        <v>220</v>
      </c>
      <c r="B445" s="193" t="s">
        <v>588</v>
      </c>
      <c r="C445" s="193" t="s">
        <v>1392</v>
      </c>
      <c r="D445" s="193" t="s">
        <v>1393</v>
      </c>
      <c r="E445" s="193" t="s">
        <v>545</v>
      </c>
      <c r="F445" s="196">
        <v>9500</v>
      </c>
      <c r="G445" s="194">
        <v>0.30073257356344602</v>
      </c>
      <c r="H445" s="195">
        <f t="shared" si="6"/>
        <v>2856.9594488527373</v>
      </c>
      <c r="I445" s="193" t="s">
        <v>541</v>
      </c>
    </row>
    <row r="446" spans="1:9" x14ac:dyDescent="0.25">
      <c r="A446" s="193" t="s">
        <v>220</v>
      </c>
      <c r="B446" s="193" t="s">
        <v>588</v>
      </c>
      <c r="C446" s="193" t="s">
        <v>1394</v>
      </c>
      <c r="D446" s="193" t="s">
        <v>1395</v>
      </c>
      <c r="E446" s="193" t="s">
        <v>545</v>
      </c>
      <c r="F446" s="196">
        <v>1400</v>
      </c>
      <c r="G446" s="194">
        <v>0.27</v>
      </c>
      <c r="H446" s="195">
        <f t="shared" si="6"/>
        <v>378</v>
      </c>
      <c r="I446" s="193" t="s">
        <v>541</v>
      </c>
    </row>
    <row r="447" spans="1:9" x14ac:dyDescent="0.25">
      <c r="A447" s="193" t="s">
        <v>220</v>
      </c>
      <c r="B447" s="193" t="s">
        <v>588</v>
      </c>
      <c r="C447" s="193" t="s">
        <v>1396</v>
      </c>
      <c r="D447" s="193" t="s">
        <v>1397</v>
      </c>
      <c r="E447" s="193" t="s">
        <v>545</v>
      </c>
      <c r="F447" s="196">
        <v>2600</v>
      </c>
      <c r="G447" s="194">
        <v>0.42</v>
      </c>
      <c r="H447" s="195">
        <f t="shared" si="6"/>
        <v>1092</v>
      </c>
      <c r="I447" s="193" t="s">
        <v>541</v>
      </c>
    </row>
    <row r="448" spans="1:9" x14ac:dyDescent="0.25">
      <c r="A448" s="193" t="s">
        <v>220</v>
      </c>
      <c r="B448" s="193" t="s">
        <v>588</v>
      </c>
      <c r="C448" s="193" t="s">
        <v>1398</v>
      </c>
      <c r="D448" s="193" t="s">
        <v>1399</v>
      </c>
      <c r="E448" s="193" t="s">
        <v>545</v>
      </c>
      <c r="F448" s="197">
        <v>1500</v>
      </c>
      <c r="G448" s="194">
        <v>0.23643</v>
      </c>
      <c r="H448" s="195">
        <f t="shared" si="6"/>
        <v>354.64499999999998</v>
      </c>
      <c r="I448" s="193" t="s">
        <v>541</v>
      </c>
    </row>
    <row r="449" spans="1:9" x14ac:dyDescent="0.25">
      <c r="A449" s="193" t="s">
        <v>220</v>
      </c>
      <c r="B449" s="193" t="s">
        <v>588</v>
      </c>
      <c r="C449" s="193" t="s">
        <v>1400</v>
      </c>
      <c r="D449" s="193" t="s">
        <v>1401</v>
      </c>
      <c r="E449" s="193" t="s">
        <v>545</v>
      </c>
      <c r="F449" s="196">
        <v>8700</v>
      </c>
      <c r="G449" s="194">
        <v>0.30131539823084258</v>
      </c>
      <c r="H449" s="195">
        <f t="shared" si="6"/>
        <v>2621.4439646083306</v>
      </c>
      <c r="I449" s="193" t="s">
        <v>541</v>
      </c>
    </row>
    <row r="450" spans="1:9" x14ac:dyDescent="0.25">
      <c r="A450" s="193" t="s">
        <v>220</v>
      </c>
      <c r="B450" s="193" t="s">
        <v>588</v>
      </c>
      <c r="C450" s="193" t="s">
        <v>1402</v>
      </c>
      <c r="D450" s="193" t="s">
        <v>1403</v>
      </c>
      <c r="E450" s="193" t="s">
        <v>545</v>
      </c>
      <c r="F450" s="198">
        <v>2500</v>
      </c>
      <c r="G450" s="194">
        <v>0.28905333333333333</v>
      </c>
      <c r="H450" s="195">
        <f t="shared" si="6"/>
        <v>722.63333333333333</v>
      </c>
      <c r="I450" s="193" t="s">
        <v>541</v>
      </c>
    </row>
    <row r="451" spans="1:9" x14ac:dyDescent="0.25">
      <c r="A451" s="193" t="s">
        <v>220</v>
      </c>
      <c r="B451" s="193" t="s">
        <v>588</v>
      </c>
      <c r="C451" s="193" t="s">
        <v>1404</v>
      </c>
      <c r="D451" s="193" t="s">
        <v>1405</v>
      </c>
      <c r="E451" s="193" t="s">
        <v>545</v>
      </c>
      <c r="F451" s="196">
        <v>2500</v>
      </c>
      <c r="G451" s="194">
        <v>0.42</v>
      </c>
      <c r="H451" s="195">
        <f t="shared" si="6"/>
        <v>1050</v>
      </c>
      <c r="I451" s="193" t="s">
        <v>541</v>
      </c>
    </row>
    <row r="452" spans="1:9" x14ac:dyDescent="0.25">
      <c r="A452" s="193" t="s">
        <v>220</v>
      </c>
      <c r="B452" s="193" t="s">
        <v>588</v>
      </c>
      <c r="C452" s="193" t="s">
        <v>1406</v>
      </c>
      <c r="D452" s="193" t="s">
        <v>1407</v>
      </c>
      <c r="E452" s="193" t="s">
        <v>545</v>
      </c>
      <c r="F452" s="196">
        <v>1500</v>
      </c>
      <c r="G452" s="194">
        <v>0.2727</v>
      </c>
      <c r="H452" s="195">
        <f t="shared" si="6"/>
        <v>409.05</v>
      </c>
      <c r="I452" s="193" t="s">
        <v>541</v>
      </c>
    </row>
    <row r="453" spans="1:9" x14ac:dyDescent="0.25">
      <c r="A453" s="193" t="s">
        <v>220</v>
      </c>
      <c r="B453" s="193" t="s">
        <v>588</v>
      </c>
      <c r="C453" s="193" t="s">
        <v>1408</v>
      </c>
      <c r="D453" s="193" t="s">
        <v>1409</v>
      </c>
      <c r="E453" s="193" t="s">
        <v>545</v>
      </c>
      <c r="F453" s="196">
        <v>3000</v>
      </c>
      <c r="G453" s="194">
        <v>0.29794999999999999</v>
      </c>
      <c r="H453" s="195">
        <f t="shared" ref="H453:H516" si="7">+F453*G453</f>
        <v>893.85</v>
      </c>
      <c r="I453" s="193" t="s">
        <v>541</v>
      </c>
    </row>
    <row r="454" spans="1:9" x14ac:dyDescent="0.25">
      <c r="A454" s="193" t="s">
        <v>220</v>
      </c>
      <c r="B454" s="193" t="s">
        <v>588</v>
      </c>
      <c r="C454" s="193" t="s">
        <v>1410</v>
      </c>
      <c r="D454" s="193" t="s">
        <v>1411</v>
      </c>
      <c r="E454" s="193" t="s">
        <v>545</v>
      </c>
      <c r="F454" s="196">
        <v>2300</v>
      </c>
      <c r="G454" s="194">
        <v>0.2727</v>
      </c>
      <c r="H454" s="195">
        <f t="shared" si="7"/>
        <v>627.21</v>
      </c>
      <c r="I454" s="193" t="s">
        <v>541</v>
      </c>
    </row>
    <row r="455" spans="1:9" x14ac:dyDescent="0.25">
      <c r="A455" s="193" t="s">
        <v>220</v>
      </c>
      <c r="B455" s="193" t="s">
        <v>588</v>
      </c>
      <c r="C455" s="193" t="s">
        <v>1412</v>
      </c>
      <c r="D455" s="193" t="s">
        <v>1413</v>
      </c>
      <c r="E455" s="193" t="s">
        <v>545</v>
      </c>
      <c r="F455" s="196">
        <v>2500</v>
      </c>
      <c r="G455" s="194">
        <v>0.29794999999999999</v>
      </c>
      <c r="H455" s="195">
        <f t="shared" si="7"/>
        <v>744.875</v>
      </c>
      <c r="I455" s="193" t="s">
        <v>541</v>
      </c>
    </row>
    <row r="456" spans="1:9" x14ac:dyDescent="0.25">
      <c r="A456" s="193" t="s">
        <v>220</v>
      </c>
      <c r="B456" s="193" t="s">
        <v>588</v>
      </c>
      <c r="C456" s="193" t="s">
        <v>1414</v>
      </c>
      <c r="D456" s="193" t="s">
        <v>1415</v>
      </c>
      <c r="E456" s="193" t="s">
        <v>545</v>
      </c>
      <c r="F456" s="196">
        <v>5000</v>
      </c>
      <c r="G456" s="194">
        <v>0.33835000000000004</v>
      </c>
      <c r="H456" s="195">
        <f t="shared" si="7"/>
        <v>1691.7500000000002</v>
      </c>
      <c r="I456" s="193" t="s">
        <v>541</v>
      </c>
    </row>
    <row r="457" spans="1:9" x14ac:dyDescent="0.25">
      <c r="A457" s="193" t="s">
        <v>220</v>
      </c>
      <c r="B457" s="193" t="s">
        <v>588</v>
      </c>
      <c r="C457" s="193" t="s">
        <v>1416</v>
      </c>
      <c r="D457" s="193" t="s">
        <v>1417</v>
      </c>
      <c r="E457" s="193" t="s">
        <v>545</v>
      </c>
      <c r="F457" s="196">
        <v>5100</v>
      </c>
      <c r="G457" s="194">
        <v>0.5252</v>
      </c>
      <c r="H457" s="195">
        <f t="shared" si="7"/>
        <v>2678.52</v>
      </c>
      <c r="I457" s="193" t="s">
        <v>541</v>
      </c>
    </row>
    <row r="458" spans="1:9" x14ac:dyDescent="0.25">
      <c r="A458" s="193" t="s">
        <v>220</v>
      </c>
      <c r="B458" s="193" t="s">
        <v>588</v>
      </c>
      <c r="C458" s="193" t="s">
        <v>1418</v>
      </c>
      <c r="D458" s="193" t="s">
        <v>1419</v>
      </c>
      <c r="E458" s="193" t="s">
        <v>545</v>
      </c>
      <c r="F458" s="196">
        <v>5000</v>
      </c>
      <c r="G458" s="194">
        <v>0.18179999999999999</v>
      </c>
      <c r="H458" s="195">
        <f t="shared" si="7"/>
        <v>909</v>
      </c>
      <c r="I458" s="193" t="s">
        <v>541</v>
      </c>
    </row>
    <row r="459" spans="1:9" x14ac:dyDescent="0.25">
      <c r="A459" s="193" t="s">
        <v>220</v>
      </c>
      <c r="B459" s="193" t="s">
        <v>588</v>
      </c>
      <c r="C459" s="193" t="s">
        <v>1420</v>
      </c>
      <c r="D459" s="193" t="s">
        <v>1421</v>
      </c>
      <c r="E459" s="193" t="s">
        <v>545</v>
      </c>
      <c r="F459" s="196">
        <v>2080</v>
      </c>
      <c r="G459" s="194">
        <v>0.37874999999999998</v>
      </c>
      <c r="H459" s="195">
        <f t="shared" si="7"/>
        <v>787.8</v>
      </c>
      <c r="I459" s="193" t="s">
        <v>541</v>
      </c>
    </row>
    <row r="460" spans="1:9" x14ac:dyDescent="0.25">
      <c r="A460" s="193" t="s">
        <v>220</v>
      </c>
      <c r="B460" s="193" t="s">
        <v>588</v>
      </c>
      <c r="C460" s="193" t="s">
        <v>1422</v>
      </c>
      <c r="D460" s="193" t="s">
        <v>1423</v>
      </c>
      <c r="E460" s="193" t="s">
        <v>545</v>
      </c>
      <c r="F460" s="196">
        <v>2000</v>
      </c>
      <c r="G460" s="194">
        <v>0.45450000000000002</v>
      </c>
      <c r="H460" s="195">
        <f t="shared" si="7"/>
        <v>909</v>
      </c>
      <c r="I460" s="193" t="s">
        <v>541</v>
      </c>
    </row>
    <row r="461" spans="1:9" x14ac:dyDescent="0.25">
      <c r="A461" s="193" t="s">
        <v>220</v>
      </c>
      <c r="B461" s="193" t="s">
        <v>588</v>
      </c>
      <c r="C461" s="193" t="s">
        <v>1424</v>
      </c>
      <c r="D461" s="193" t="s">
        <v>1425</v>
      </c>
      <c r="E461" s="193" t="s">
        <v>545</v>
      </c>
      <c r="F461" s="196">
        <v>2000</v>
      </c>
      <c r="G461" s="194">
        <v>0.46925649350649351</v>
      </c>
      <c r="H461" s="195">
        <f t="shared" si="7"/>
        <v>938.51298701298697</v>
      </c>
      <c r="I461" s="193" t="s">
        <v>541</v>
      </c>
    </row>
    <row r="462" spans="1:9" x14ac:dyDescent="0.25">
      <c r="A462" s="193" t="s">
        <v>220</v>
      </c>
      <c r="B462" s="193" t="s">
        <v>588</v>
      </c>
      <c r="C462" s="193" t="s">
        <v>1426</v>
      </c>
      <c r="D462" s="193" t="s">
        <v>1427</v>
      </c>
      <c r="E462" s="193" t="s">
        <v>545</v>
      </c>
      <c r="F462" s="196">
        <v>2500</v>
      </c>
      <c r="G462" s="194">
        <v>0.65649999999999997</v>
      </c>
      <c r="H462" s="195">
        <f t="shared" si="7"/>
        <v>1641.25</v>
      </c>
      <c r="I462" s="193" t="s">
        <v>541</v>
      </c>
    </row>
    <row r="463" spans="1:9" x14ac:dyDescent="0.25">
      <c r="A463" s="193" t="s">
        <v>220</v>
      </c>
      <c r="B463" s="193" t="s">
        <v>588</v>
      </c>
      <c r="C463" s="193" t="s">
        <v>1428</v>
      </c>
      <c r="D463" s="193" t="s">
        <v>1429</v>
      </c>
      <c r="E463" s="193" t="s">
        <v>545</v>
      </c>
      <c r="F463" s="196">
        <v>3000</v>
      </c>
      <c r="G463" s="194">
        <v>0.39777166666666669</v>
      </c>
      <c r="H463" s="195">
        <f t="shared" si="7"/>
        <v>1193.3150000000001</v>
      </c>
      <c r="I463" s="193" t="s">
        <v>541</v>
      </c>
    </row>
    <row r="464" spans="1:9" x14ac:dyDescent="0.25">
      <c r="A464" s="193" t="s">
        <v>220</v>
      </c>
      <c r="B464" s="193" t="s">
        <v>588</v>
      </c>
      <c r="C464" s="193" t="s">
        <v>1430</v>
      </c>
      <c r="D464" s="193" t="s">
        <v>1431</v>
      </c>
      <c r="E464" s="193" t="s">
        <v>545</v>
      </c>
      <c r="F464" s="196">
        <v>1000</v>
      </c>
      <c r="G464" s="194">
        <v>0.35469657378740971</v>
      </c>
      <c r="H464" s="195">
        <f t="shared" si="7"/>
        <v>354.6965737874097</v>
      </c>
      <c r="I464" s="193" t="s">
        <v>541</v>
      </c>
    </row>
    <row r="465" spans="1:9" x14ac:dyDescent="0.25">
      <c r="A465" s="193" t="s">
        <v>220</v>
      </c>
      <c r="B465" s="193" t="s">
        <v>588</v>
      </c>
      <c r="C465" s="193" t="s">
        <v>1432</v>
      </c>
      <c r="D465" s="193" t="s">
        <v>1433</v>
      </c>
      <c r="E465" s="193" t="s">
        <v>545</v>
      </c>
      <c r="F465" s="196">
        <v>3000</v>
      </c>
      <c r="G465" s="194">
        <v>0.47470000000000007</v>
      </c>
      <c r="H465" s="195">
        <f t="shared" si="7"/>
        <v>1424.1000000000001</v>
      </c>
      <c r="I465" s="193" t="s">
        <v>541</v>
      </c>
    </row>
    <row r="466" spans="1:9" x14ac:dyDescent="0.25">
      <c r="A466" s="193" t="s">
        <v>220</v>
      </c>
      <c r="B466" s="193" t="s">
        <v>588</v>
      </c>
      <c r="C466" s="193" t="s">
        <v>1434</v>
      </c>
      <c r="D466" s="193" t="s">
        <v>1435</v>
      </c>
      <c r="E466" s="193" t="s">
        <v>545</v>
      </c>
      <c r="F466" s="196">
        <v>3000</v>
      </c>
      <c r="G466" s="194">
        <v>0.48984999999999995</v>
      </c>
      <c r="H466" s="195">
        <f t="shared" si="7"/>
        <v>1469.55</v>
      </c>
      <c r="I466" s="193" t="s">
        <v>541</v>
      </c>
    </row>
    <row r="467" spans="1:9" x14ac:dyDescent="0.25">
      <c r="A467" s="193" t="s">
        <v>220</v>
      </c>
      <c r="B467" s="193" t="s">
        <v>588</v>
      </c>
      <c r="C467" s="193" t="s">
        <v>1436</v>
      </c>
      <c r="D467" s="193" t="s">
        <v>1437</v>
      </c>
      <c r="E467" s="193" t="s">
        <v>545</v>
      </c>
      <c r="F467" s="196">
        <v>3500</v>
      </c>
      <c r="G467" s="194">
        <v>0.63629999999999998</v>
      </c>
      <c r="H467" s="195">
        <f t="shared" si="7"/>
        <v>2227.0499999999997</v>
      </c>
      <c r="I467" s="193" t="s">
        <v>541</v>
      </c>
    </row>
    <row r="468" spans="1:9" x14ac:dyDescent="0.25">
      <c r="A468" s="193" t="s">
        <v>220</v>
      </c>
      <c r="B468" s="193" t="s">
        <v>588</v>
      </c>
      <c r="C468" s="193" t="s">
        <v>1438</v>
      </c>
      <c r="D468" s="193" t="s">
        <v>1439</v>
      </c>
      <c r="E468" s="193" t="s">
        <v>545</v>
      </c>
      <c r="F468" s="196">
        <v>2000</v>
      </c>
      <c r="G468" s="194">
        <v>0.33827199965200749</v>
      </c>
      <c r="H468" s="195">
        <f t="shared" si="7"/>
        <v>676.54399930401496</v>
      </c>
      <c r="I468" s="193" t="s">
        <v>541</v>
      </c>
    </row>
    <row r="469" spans="1:9" x14ac:dyDescent="0.25">
      <c r="A469" s="193" t="s">
        <v>220</v>
      </c>
      <c r="B469" s="193" t="s">
        <v>588</v>
      </c>
      <c r="C469" s="193" t="s">
        <v>1440</v>
      </c>
      <c r="D469" s="193" t="s">
        <v>1441</v>
      </c>
      <c r="E469" s="193" t="s">
        <v>545</v>
      </c>
      <c r="F469" s="196">
        <v>870</v>
      </c>
      <c r="G469" s="194">
        <v>0.89385000000000003</v>
      </c>
      <c r="H469" s="195">
        <f t="shared" si="7"/>
        <v>777.64949999999999</v>
      </c>
      <c r="I469" s="193" t="s">
        <v>541</v>
      </c>
    </row>
    <row r="470" spans="1:9" x14ac:dyDescent="0.25">
      <c r="A470" s="193" t="s">
        <v>220</v>
      </c>
      <c r="B470" s="193" t="s">
        <v>588</v>
      </c>
      <c r="C470" s="193" t="s">
        <v>1442</v>
      </c>
      <c r="D470" s="193" t="s">
        <v>1443</v>
      </c>
      <c r="E470" s="193" t="s">
        <v>545</v>
      </c>
      <c r="F470" s="196">
        <v>2980</v>
      </c>
      <c r="G470" s="194">
        <v>0.36098745437956203</v>
      </c>
      <c r="H470" s="195">
        <f t="shared" si="7"/>
        <v>1075.742614051095</v>
      </c>
      <c r="I470" s="193" t="s">
        <v>541</v>
      </c>
    </row>
    <row r="471" spans="1:9" x14ac:dyDescent="0.25">
      <c r="A471" s="193" t="s">
        <v>220</v>
      </c>
      <c r="B471" s="193" t="s">
        <v>588</v>
      </c>
      <c r="C471" s="193" t="s">
        <v>1444</v>
      </c>
      <c r="D471" s="193" t="s">
        <v>1445</v>
      </c>
      <c r="E471" s="193" t="s">
        <v>545</v>
      </c>
      <c r="F471" s="196">
        <v>810</v>
      </c>
      <c r="G471" s="194">
        <v>0.221</v>
      </c>
      <c r="H471" s="195">
        <f t="shared" si="7"/>
        <v>179.01</v>
      </c>
      <c r="I471" s="193" t="s">
        <v>541</v>
      </c>
    </row>
    <row r="472" spans="1:9" x14ac:dyDescent="0.25">
      <c r="A472" s="193" t="s">
        <v>220</v>
      </c>
      <c r="B472" s="193" t="s">
        <v>588</v>
      </c>
      <c r="C472" s="193" t="s">
        <v>1446</v>
      </c>
      <c r="D472" s="193" t="s">
        <v>1447</v>
      </c>
      <c r="E472" s="193" t="s">
        <v>545</v>
      </c>
      <c r="F472" s="196">
        <v>1100</v>
      </c>
      <c r="G472" s="194">
        <v>0.70699999999999985</v>
      </c>
      <c r="H472" s="195">
        <f t="shared" si="7"/>
        <v>777.69999999999982</v>
      </c>
      <c r="I472" s="193" t="s">
        <v>541</v>
      </c>
    </row>
    <row r="473" spans="1:9" x14ac:dyDescent="0.25">
      <c r="A473" s="193" t="s">
        <v>220</v>
      </c>
      <c r="B473" s="193" t="s">
        <v>588</v>
      </c>
      <c r="C473" s="193" t="s">
        <v>1448</v>
      </c>
      <c r="D473" s="193" t="s">
        <v>1449</v>
      </c>
      <c r="E473" s="193" t="s">
        <v>545</v>
      </c>
      <c r="F473" s="196">
        <v>1000</v>
      </c>
      <c r="G473" s="194">
        <v>8.0985849056603762E-2</v>
      </c>
      <c r="H473" s="195">
        <f t="shared" si="7"/>
        <v>80.985849056603769</v>
      </c>
      <c r="I473" s="193" t="s">
        <v>541</v>
      </c>
    </row>
    <row r="474" spans="1:9" x14ac:dyDescent="0.25">
      <c r="A474" s="193" t="s">
        <v>220</v>
      </c>
      <c r="B474" s="193" t="s">
        <v>588</v>
      </c>
      <c r="C474" s="193" t="s">
        <v>1450</v>
      </c>
      <c r="D474" s="193" t="s">
        <v>1451</v>
      </c>
      <c r="E474" s="193" t="s">
        <v>545</v>
      </c>
      <c r="F474" s="196">
        <v>3810</v>
      </c>
      <c r="G474" s="194">
        <v>0.16139539099174807</v>
      </c>
      <c r="H474" s="195">
        <f t="shared" si="7"/>
        <v>614.91643967856021</v>
      </c>
      <c r="I474" s="193" t="s">
        <v>541</v>
      </c>
    </row>
    <row r="475" spans="1:9" x14ac:dyDescent="0.25">
      <c r="A475" s="193" t="s">
        <v>220</v>
      </c>
      <c r="B475" s="193" t="s">
        <v>588</v>
      </c>
      <c r="C475" s="193" t="s">
        <v>1452</v>
      </c>
      <c r="D475" s="193" t="s">
        <v>1453</v>
      </c>
      <c r="E475" s="193" t="s">
        <v>545</v>
      </c>
      <c r="F475" s="196">
        <v>5040</v>
      </c>
      <c r="G475" s="194">
        <v>0.16159999999999999</v>
      </c>
      <c r="H475" s="195">
        <f t="shared" si="7"/>
        <v>814.46399999999994</v>
      </c>
      <c r="I475" s="193" t="s">
        <v>541</v>
      </c>
    </row>
    <row r="476" spans="1:9" x14ac:dyDescent="0.25">
      <c r="A476" s="193" t="s">
        <v>220</v>
      </c>
      <c r="B476" s="193" t="s">
        <v>588</v>
      </c>
      <c r="C476" s="193" t="s">
        <v>1454</v>
      </c>
      <c r="D476" s="193" t="s">
        <v>1455</v>
      </c>
      <c r="E476" s="193" t="s">
        <v>545</v>
      </c>
      <c r="F476" s="196">
        <v>1000</v>
      </c>
      <c r="G476" s="194">
        <v>7.5999999999999998E-2</v>
      </c>
      <c r="H476" s="195">
        <f t="shared" si="7"/>
        <v>76</v>
      </c>
      <c r="I476" s="193" t="s">
        <v>541</v>
      </c>
    </row>
    <row r="477" spans="1:9" x14ac:dyDescent="0.25">
      <c r="A477" s="193" t="s">
        <v>220</v>
      </c>
      <c r="B477" s="193" t="s">
        <v>588</v>
      </c>
      <c r="C477" s="193" t="s">
        <v>1456</v>
      </c>
      <c r="D477" s="193" t="s">
        <v>1457</v>
      </c>
      <c r="E477" s="193" t="s">
        <v>545</v>
      </c>
      <c r="F477" s="196">
        <v>4610</v>
      </c>
      <c r="G477" s="194">
        <v>0.16137312971566267</v>
      </c>
      <c r="H477" s="195">
        <f t="shared" si="7"/>
        <v>743.93012798920495</v>
      </c>
      <c r="I477" s="193" t="s">
        <v>541</v>
      </c>
    </row>
    <row r="478" spans="1:9" x14ac:dyDescent="0.25">
      <c r="A478" s="193" t="s">
        <v>220</v>
      </c>
      <c r="B478" s="193" t="s">
        <v>588</v>
      </c>
      <c r="C478" s="193" t="s">
        <v>1458</v>
      </c>
      <c r="D478" s="193" t="s">
        <v>1459</v>
      </c>
      <c r="E478" s="193" t="s">
        <v>545</v>
      </c>
      <c r="F478" s="196">
        <v>2500</v>
      </c>
      <c r="G478" s="194">
        <v>0.16159999999999999</v>
      </c>
      <c r="H478" s="195">
        <f t="shared" si="7"/>
        <v>404</v>
      </c>
      <c r="I478" s="193" t="s">
        <v>541</v>
      </c>
    </row>
    <row r="479" spans="1:9" x14ac:dyDescent="0.25">
      <c r="A479" s="193" t="s">
        <v>220</v>
      </c>
      <c r="B479" s="193" t="s">
        <v>588</v>
      </c>
      <c r="C479" s="193" t="s">
        <v>1460</v>
      </c>
      <c r="D479" s="193" t="s">
        <v>1461</v>
      </c>
      <c r="E479" s="193" t="s">
        <v>545</v>
      </c>
      <c r="F479" s="196">
        <v>3400</v>
      </c>
      <c r="G479" s="194">
        <v>0.27448235294117646</v>
      </c>
      <c r="H479" s="195">
        <f t="shared" si="7"/>
        <v>933.2399999999999</v>
      </c>
      <c r="I479" s="193" t="s">
        <v>541</v>
      </c>
    </row>
    <row r="480" spans="1:9" x14ac:dyDescent="0.25">
      <c r="A480" s="193" t="s">
        <v>220</v>
      </c>
      <c r="B480" s="193" t="s">
        <v>588</v>
      </c>
      <c r="C480" s="193" t="s">
        <v>1462</v>
      </c>
      <c r="D480" s="193" t="s">
        <v>1463</v>
      </c>
      <c r="E480" s="193" t="s">
        <v>545</v>
      </c>
      <c r="F480" s="196">
        <v>1330</v>
      </c>
      <c r="G480" s="194">
        <v>0.27430750750750749</v>
      </c>
      <c r="H480" s="195">
        <f t="shared" si="7"/>
        <v>364.82898498498497</v>
      </c>
      <c r="I480" s="193" t="s">
        <v>541</v>
      </c>
    </row>
    <row r="481" spans="1:9" x14ac:dyDescent="0.25">
      <c r="A481" s="193" t="s">
        <v>220</v>
      </c>
      <c r="B481" s="193" t="s">
        <v>588</v>
      </c>
      <c r="C481" s="193" t="s">
        <v>1464</v>
      </c>
      <c r="D481" s="193" t="s">
        <v>1465</v>
      </c>
      <c r="E481" s="193" t="s">
        <v>545</v>
      </c>
      <c r="F481" s="196">
        <v>1700</v>
      </c>
      <c r="G481" s="194">
        <v>0.35282579715072854</v>
      </c>
      <c r="H481" s="195">
        <f t="shared" si="7"/>
        <v>599.80385515623857</v>
      </c>
      <c r="I481" s="193" t="s">
        <v>541</v>
      </c>
    </row>
    <row r="482" spans="1:9" x14ac:dyDescent="0.25">
      <c r="A482" s="193" t="s">
        <v>220</v>
      </c>
      <c r="B482" s="193" t="s">
        <v>588</v>
      </c>
      <c r="C482" s="193" t="s">
        <v>1466</v>
      </c>
      <c r="D482" s="193" t="s">
        <v>1467</v>
      </c>
      <c r="E482" s="193" t="s">
        <v>545</v>
      </c>
      <c r="F482" s="196">
        <v>5500</v>
      </c>
      <c r="G482" s="194">
        <v>0.35207445392388215</v>
      </c>
      <c r="H482" s="195">
        <f t="shared" si="7"/>
        <v>1936.4094965813517</v>
      </c>
      <c r="I482" s="193" t="s">
        <v>541</v>
      </c>
    </row>
    <row r="483" spans="1:9" x14ac:dyDescent="0.25">
      <c r="A483" s="193" t="s">
        <v>220</v>
      </c>
      <c r="B483" s="193" t="s">
        <v>588</v>
      </c>
      <c r="C483" s="193" t="s">
        <v>1468</v>
      </c>
      <c r="D483" s="193" t="s">
        <v>1469</v>
      </c>
      <c r="E483" s="193" t="s">
        <v>545</v>
      </c>
      <c r="F483" s="196">
        <v>2800</v>
      </c>
      <c r="G483" s="194">
        <v>0.26841498652291107</v>
      </c>
      <c r="H483" s="195">
        <f t="shared" si="7"/>
        <v>751.56196226415102</v>
      </c>
      <c r="I483" s="193" t="s">
        <v>541</v>
      </c>
    </row>
    <row r="484" spans="1:9" x14ac:dyDescent="0.25">
      <c r="A484" s="193" t="s">
        <v>220</v>
      </c>
      <c r="B484" s="193" t="s">
        <v>588</v>
      </c>
      <c r="C484" s="193" t="s">
        <v>1470</v>
      </c>
      <c r="D484" s="193" t="s">
        <v>1471</v>
      </c>
      <c r="E484" s="193" t="s">
        <v>545</v>
      </c>
      <c r="F484" s="196">
        <v>3880</v>
      </c>
      <c r="G484" s="194">
        <v>0.32753402061855674</v>
      </c>
      <c r="H484" s="195">
        <f t="shared" si="7"/>
        <v>1270.8320000000001</v>
      </c>
      <c r="I484" s="193" t="s">
        <v>541</v>
      </c>
    </row>
    <row r="485" spans="1:9" x14ac:dyDescent="0.25">
      <c r="A485" s="193" t="s">
        <v>220</v>
      </c>
      <c r="B485" s="193" t="s">
        <v>588</v>
      </c>
      <c r="C485" s="193" t="s">
        <v>1472</v>
      </c>
      <c r="D485" s="193" t="s">
        <v>1473</v>
      </c>
      <c r="E485" s="193" t="s">
        <v>545</v>
      </c>
      <c r="F485" s="196">
        <v>1800</v>
      </c>
      <c r="G485" s="194">
        <v>0.35140092058335409</v>
      </c>
      <c r="H485" s="195">
        <f t="shared" si="7"/>
        <v>632.52165705003733</v>
      </c>
      <c r="I485" s="193" t="s">
        <v>541</v>
      </c>
    </row>
    <row r="486" spans="1:9" x14ac:dyDescent="0.25">
      <c r="A486" s="193" t="s">
        <v>220</v>
      </c>
      <c r="B486" s="193" t="s">
        <v>588</v>
      </c>
      <c r="C486" s="193" t="s">
        <v>1474</v>
      </c>
      <c r="D486" s="193" t="s">
        <v>1475</v>
      </c>
      <c r="E486" s="193" t="s">
        <v>545</v>
      </c>
      <c r="F486" s="196">
        <v>3500</v>
      </c>
      <c r="G486" s="194">
        <v>0.35350000000000004</v>
      </c>
      <c r="H486" s="195">
        <f t="shared" si="7"/>
        <v>1237.2500000000002</v>
      </c>
      <c r="I486" s="193" t="s">
        <v>541</v>
      </c>
    </row>
    <row r="487" spans="1:9" x14ac:dyDescent="0.25">
      <c r="A487" s="193" t="s">
        <v>220</v>
      </c>
      <c r="B487" s="193" t="s">
        <v>588</v>
      </c>
      <c r="C487" s="193" t="s">
        <v>1476</v>
      </c>
      <c r="D487" s="193" t="s">
        <v>1477</v>
      </c>
      <c r="E487" s="193" t="s">
        <v>545</v>
      </c>
      <c r="F487" s="196">
        <v>7430</v>
      </c>
      <c r="G487" s="194">
        <v>0.35803067599660765</v>
      </c>
      <c r="H487" s="195">
        <f t="shared" si="7"/>
        <v>2660.1679226547949</v>
      </c>
      <c r="I487" s="193" t="s">
        <v>541</v>
      </c>
    </row>
    <row r="488" spans="1:9" x14ac:dyDescent="0.25">
      <c r="A488" s="193" t="s">
        <v>220</v>
      </c>
      <c r="B488" s="193" t="s">
        <v>588</v>
      </c>
      <c r="C488" s="193" t="s">
        <v>1478</v>
      </c>
      <c r="D488" s="193" t="s">
        <v>1479</v>
      </c>
      <c r="E488" s="193" t="s">
        <v>545</v>
      </c>
      <c r="F488" s="196">
        <v>2600</v>
      </c>
      <c r="G488" s="194">
        <v>0.25755</v>
      </c>
      <c r="H488" s="195">
        <f t="shared" si="7"/>
        <v>669.63</v>
      </c>
      <c r="I488" s="193" t="s">
        <v>541</v>
      </c>
    </row>
    <row r="489" spans="1:9" x14ac:dyDescent="0.25">
      <c r="A489" s="193" t="s">
        <v>220</v>
      </c>
      <c r="B489" s="193" t="s">
        <v>588</v>
      </c>
      <c r="C489" s="193" t="s">
        <v>1480</v>
      </c>
      <c r="D489" s="193" t="s">
        <v>1481</v>
      </c>
      <c r="E489" s="193" t="s">
        <v>545</v>
      </c>
      <c r="F489" s="196">
        <v>3000</v>
      </c>
      <c r="G489" s="194">
        <v>0.30804999999999999</v>
      </c>
      <c r="H489" s="195">
        <f t="shared" si="7"/>
        <v>924.15</v>
      </c>
      <c r="I489" s="193" t="s">
        <v>541</v>
      </c>
    </row>
    <row r="490" spans="1:9" x14ac:dyDescent="0.25">
      <c r="A490" s="193" t="s">
        <v>220</v>
      </c>
      <c r="B490" s="193" t="s">
        <v>588</v>
      </c>
      <c r="C490" s="193" t="s">
        <v>1482</v>
      </c>
      <c r="D490" s="193" t="s">
        <v>1483</v>
      </c>
      <c r="E490" s="193" t="s">
        <v>545</v>
      </c>
      <c r="F490" s="196">
        <v>2720</v>
      </c>
      <c r="G490" s="194">
        <v>0.42419999999999997</v>
      </c>
      <c r="H490" s="195">
        <f t="shared" si="7"/>
        <v>1153.8239999999998</v>
      </c>
      <c r="I490" s="193" t="s">
        <v>541</v>
      </c>
    </row>
    <row r="491" spans="1:9" x14ac:dyDescent="0.25">
      <c r="A491" s="193" t="s">
        <v>220</v>
      </c>
      <c r="B491" s="193" t="s">
        <v>588</v>
      </c>
      <c r="C491" s="193" t="s">
        <v>1484</v>
      </c>
      <c r="D491" s="193" t="s">
        <v>1485</v>
      </c>
      <c r="E491" s="193" t="s">
        <v>545</v>
      </c>
      <c r="F491" s="196">
        <v>3000</v>
      </c>
      <c r="G491" s="194">
        <v>0.2828</v>
      </c>
      <c r="H491" s="195">
        <f t="shared" si="7"/>
        <v>848.4</v>
      </c>
      <c r="I491" s="193" t="s">
        <v>541</v>
      </c>
    </row>
    <row r="492" spans="1:9" x14ac:dyDescent="0.25">
      <c r="A492" s="193" t="s">
        <v>220</v>
      </c>
      <c r="B492" s="193" t="s">
        <v>588</v>
      </c>
      <c r="C492" s="193" t="s">
        <v>1486</v>
      </c>
      <c r="D492" s="193" t="s">
        <v>1487</v>
      </c>
      <c r="E492" s="193" t="s">
        <v>545</v>
      </c>
      <c r="F492" s="196">
        <v>9100</v>
      </c>
      <c r="G492" s="194">
        <v>0.2828</v>
      </c>
      <c r="H492" s="195">
        <f t="shared" si="7"/>
        <v>2573.48</v>
      </c>
      <c r="I492" s="193" t="s">
        <v>541</v>
      </c>
    </row>
    <row r="493" spans="1:9" x14ac:dyDescent="0.25">
      <c r="A493" s="193" t="s">
        <v>220</v>
      </c>
      <c r="B493" s="193" t="s">
        <v>588</v>
      </c>
      <c r="C493" s="193" t="s">
        <v>1488</v>
      </c>
      <c r="D493" s="193" t="s">
        <v>1489</v>
      </c>
      <c r="E493" s="193" t="s">
        <v>545</v>
      </c>
      <c r="F493" s="196">
        <v>4000</v>
      </c>
      <c r="G493" s="194">
        <v>0.35349999999999998</v>
      </c>
      <c r="H493" s="195">
        <f t="shared" si="7"/>
        <v>1414</v>
      </c>
      <c r="I493" s="193" t="s">
        <v>541</v>
      </c>
    </row>
    <row r="494" spans="1:9" x14ac:dyDescent="0.25">
      <c r="A494" s="193" t="s">
        <v>220</v>
      </c>
      <c r="B494" s="193" t="s">
        <v>588</v>
      </c>
      <c r="C494" s="193" t="s">
        <v>1490</v>
      </c>
      <c r="D494" s="193" t="s">
        <v>1491</v>
      </c>
      <c r="E494" s="193" t="s">
        <v>545</v>
      </c>
      <c r="F494" s="196">
        <v>5500</v>
      </c>
      <c r="G494" s="194">
        <v>0.35349999999999998</v>
      </c>
      <c r="H494" s="195">
        <f t="shared" si="7"/>
        <v>1944.25</v>
      </c>
      <c r="I494" s="193" t="s">
        <v>541</v>
      </c>
    </row>
    <row r="495" spans="1:9" x14ac:dyDescent="0.25">
      <c r="A495" s="193" t="s">
        <v>220</v>
      </c>
      <c r="B495" s="193" t="s">
        <v>588</v>
      </c>
      <c r="C495" s="193" t="s">
        <v>1492</v>
      </c>
      <c r="D495" s="193" t="s">
        <v>1493</v>
      </c>
      <c r="E495" s="193" t="s">
        <v>545</v>
      </c>
      <c r="F495" s="196">
        <v>7100</v>
      </c>
      <c r="G495" s="194">
        <v>0.38380000000000003</v>
      </c>
      <c r="H495" s="195">
        <f t="shared" si="7"/>
        <v>2724.98</v>
      </c>
      <c r="I495" s="193" t="s">
        <v>541</v>
      </c>
    </row>
    <row r="496" spans="1:9" x14ac:dyDescent="0.25">
      <c r="A496" s="193" t="s">
        <v>220</v>
      </c>
      <c r="B496" s="193" t="s">
        <v>588</v>
      </c>
      <c r="C496" s="193" t="s">
        <v>1494</v>
      </c>
      <c r="D496" s="193" t="s">
        <v>1495</v>
      </c>
      <c r="E496" s="193" t="s">
        <v>545</v>
      </c>
      <c r="F496" s="196">
        <v>7580</v>
      </c>
      <c r="G496" s="194">
        <v>0.38379999999999997</v>
      </c>
      <c r="H496" s="195">
        <f t="shared" si="7"/>
        <v>2909.2039999999997</v>
      </c>
      <c r="I496" s="193" t="s">
        <v>541</v>
      </c>
    </row>
    <row r="497" spans="1:9" x14ac:dyDescent="0.25">
      <c r="A497" s="193" t="s">
        <v>220</v>
      </c>
      <c r="B497" s="193" t="s">
        <v>588</v>
      </c>
      <c r="C497" s="193" t="s">
        <v>1496</v>
      </c>
      <c r="D497" s="193" t="s">
        <v>1497</v>
      </c>
      <c r="E497" s="193" t="s">
        <v>545</v>
      </c>
      <c r="F497" s="196">
        <v>2080</v>
      </c>
      <c r="G497" s="194">
        <v>0.42420000000000008</v>
      </c>
      <c r="H497" s="195">
        <f t="shared" si="7"/>
        <v>882.33600000000013</v>
      </c>
      <c r="I497" s="193" t="s">
        <v>541</v>
      </c>
    </row>
    <row r="498" spans="1:9" x14ac:dyDescent="0.25">
      <c r="A498" s="193" t="s">
        <v>220</v>
      </c>
      <c r="B498" s="193" t="s">
        <v>588</v>
      </c>
      <c r="C498" s="193" t="s">
        <v>1498</v>
      </c>
      <c r="D498" s="193" t="s">
        <v>1499</v>
      </c>
      <c r="E498" s="193" t="s">
        <v>545</v>
      </c>
      <c r="F498" s="196">
        <v>1000</v>
      </c>
      <c r="G498" s="194">
        <v>0.30299999999999999</v>
      </c>
      <c r="H498" s="195">
        <f t="shared" si="7"/>
        <v>303</v>
      </c>
      <c r="I498" s="193" t="s">
        <v>541</v>
      </c>
    </row>
    <row r="499" spans="1:9" x14ac:dyDescent="0.25">
      <c r="A499" s="193" t="s">
        <v>220</v>
      </c>
      <c r="B499" s="193" t="s">
        <v>588</v>
      </c>
      <c r="C499" s="193" t="s">
        <v>1500</v>
      </c>
      <c r="D499" s="193" t="s">
        <v>1501</v>
      </c>
      <c r="E499" s="193" t="s">
        <v>545</v>
      </c>
      <c r="F499" s="196">
        <v>1000</v>
      </c>
      <c r="G499" s="194">
        <v>0.32319999999999999</v>
      </c>
      <c r="H499" s="195">
        <f t="shared" si="7"/>
        <v>323.2</v>
      </c>
      <c r="I499" s="193" t="s">
        <v>541</v>
      </c>
    </row>
    <row r="500" spans="1:9" x14ac:dyDescent="0.25">
      <c r="A500" s="193" t="s">
        <v>220</v>
      </c>
      <c r="B500" s="193" t="s">
        <v>588</v>
      </c>
      <c r="C500" s="193" t="s">
        <v>1502</v>
      </c>
      <c r="D500" s="193" t="s">
        <v>1503</v>
      </c>
      <c r="E500" s="193" t="s">
        <v>545</v>
      </c>
      <c r="F500" s="196">
        <v>3000</v>
      </c>
      <c r="G500" s="194">
        <v>0.26259999999999994</v>
      </c>
      <c r="H500" s="195">
        <f t="shared" si="7"/>
        <v>787.79999999999984</v>
      </c>
      <c r="I500" s="193" t="s">
        <v>541</v>
      </c>
    </row>
    <row r="501" spans="1:9" x14ac:dyDescent="0.25">
      <c r="A501" s="193" t="s">
        <v>220</v>
      </c>
      <c r="B501" s="193" t="s">
        <v>588</v>
      </c>
      <c r="C501" s="193" t="s">
        <v>1504</v>
      </c>
      <c r="D501" s="193" t="s">
        <v>1505</v>
      </c>
      <c r="E501" s="193" t="s">
        <v>545</v>
      </c>
      <c r="F501" s="196">
        <v>200</v>
      </c>
      <c r="G501" s="194">
        <v>0.30071575047882365</v>
      </c>
      <c r="H501" s="195">
        <f t="shared" si="7"/>
        <v>60.143150095764732</v>
      </c>
      <c r="I501" s="193" t="s">
        <v>541</v>
      </c>
    </row>
    <row r="502" spans="1:9" x14ac:dyDescent="0.25">
      <c r="A502" s="193" t="s">
        <v>220</v>
      </c>
      <c r="B502" s="193" t="s">
        <v>588</v>
      </c>
      <c r="C502" s="193" t="s">
        <v>1506</v>
      </c>
      <c r="D502" s="193" t="s">
        <v>1507</v>
      </c>
      <c r="E502" s="193" t="s">
        <v>545</v>
      </c>
      <c r="F502" s="196">
        <v>10980</v>
      </c>
      <c r="G502" s="194">
        <v>0.33811545234426588</v>
      </c>
      <c r="H502" s="195">
        <f t="shared" si="7"/>
        <v>3712.5076667400394</v>
      </c>
      <c r="I502" s="193" t="s">
        <v>541</v>
      </c>
    </row>
    <row r="503" spans="1:9" x14ac:dyDescent="0.25">
      <c r="A503" s="193" t="s">
        <v>220</v>
      </c>
      <c r="B503" s="193" t="s">
        <v>588</v>
      </c>
      <c r="C503" s="193" t="s">
        <v>1508</v>
      </c>
      <c r="D503" s="193" t="s">
        <v>1509</v>
      </c>
      <c r="E503" s="193" t="s">
        <v>545</v>
      </c>
      <c r="F503" s="196">
        <v>4000</v>
      </c>
      <c r="G503" s="194">
        <v>0.30299999999999999</v>
      </c>
      <c r="H503" s="195">
        <f t="shared" si="7"/>
        <v>1212</v>
      </c>
      <c r="I503" s="193" t="s">
        <v>541</v>
      </c>
    </row>
    <row r="504" spans="1:9" x14ac:dyDescent="0.25">
      <c r="A504" s="193" t="s">
        <v>220</v>
      </c>
      <c r="B504" s="193" t="s">
        <v>588</v>
      </c>
      <c r="C504" s="193" t="s">
        <v>1510</v>
      </c>
      <c r="D504" s="193" t="s">
        <v>1511</v>
      </c>
      <c r="E504" s="193" t="s">
        <v>545</v>
      </c>
      <c r="F504" s="196">
        <v>1000</v>
      </c>
      <c r="G504" s="194">
        <v>0.42420000000000002</v>
      </c>
      <c r="H504" s="195">
        <f t="shared" si="7"/>
        <v>424.20000000000005</v>
      </c>
      <c r="I504" s="193" t="s">
        <v>541</v>
      </c>
    </row>
    <row r="505" spans="1:9" x14ac:dyDescent="0.25">
      <c r="A505" s="193" t="s">
        <v>220</v>
      </c>
      <c r="B505" s="193" t="s">
        <v>588</v>
      </c>
      <c r="C505" s="193" t="s">
        <v>1512</v>
      </c>
      <c r="D505" s="193" t="s">
        <v>1513</v>
      </c>
      <c r="E505" s="193" t="s">
        <v>545</v>
      </c>
      <c r="F505" s="196">
        <v>2000</v>
      </c>
      <c r="G505" s="194">
        <v>0.26480555555555563</v>
      </c>
      <c r="H505" s="195">
        <f t="shared" si="7"/>
        <v>529.6111111111112</v>
      </c>
      <c r="I505" s="193" t="s">
        <v>541</v>
      </c>
    </row>
    <row r="506" spans="1:9" x14ac:dyDescent="0.25">
      <c r="A506" s="193" t="s">
        <v>220</v>
      </c>
      <c r="B506" s="193" t="s">
        <v>588</v>
      </c>
      <c r="C506" s="193" t="s">
        <v>1514</v>
      </c>
      <c r="D506" s="193" t="s">
        <v>1515</v>
      </c>
      <c r="E506" s="193" t="s">
        <v>545</v>
      </c>
      <c r="F506" s="196">
        <v>1400</v>
      </c>
      <c r="G506" s="194">
        <v>0.32319999999999999</v>
      </c>
      <c r="H506" s="195">
        <f t="shared" si="7"/>
        <v>452.47999999999996</v>
      </c>
      <c r="I506" s="193" t="s">
        <v>541</v>
      </c>
    </row>
    <row r="507" spans="1:9" x14ac:dyDescent="0.25">
      <c r="A507" s="193" t="s">
        <v>220</v>
      </c>
      <c r="B507" s="193" t="s">
        <v>588</v>
      </c>
      <c r="C507" s="193" t="s">
        <v>1516</v>
      </c>
      <c r="D507" s="193" t="s">
        <v>1517</v>
      </c>
      <c r="E507" s="193" t="s">
        <v>545</v>
      </c>
      <c r="F507" s="196">
        <v>2250</v>
      </c>
      <c r="G507" s="194">
        <v>0.35295722527875129</v>
      </c>
      <c r="H507" s="195">
        <f t="shared" si="7"/>
        <v>794.1537568771904</v>
      </c>
      <c r="I507" s="193" t="s">
        <v>541</v>
      </c>
    </row>
    <row r="508" spans="1:9" x14ac:dyDescent="0.25">
      <c r="A508" s="193" t="s">
        <v>220</v>
      </c>
      <c r="B508" s="193" t="s">
        <v>588</v>
      </c>
      <c r="C508" s="193" t="s">
        <v>1518</v>
      </c>
      <c r="D508" s="193" t="s">
        <v>1519</v>
      </c>
      <c r="E508" s="193" t="s">
        <v>545</v>
      </c>
      <c r="F508" s="196">
        <v>2000</v>
      </c>
      <c r="G508" s="194">
        <v>0.23626010935804323</v>
      </c>
      <c r="H508" s="195">
        <f t="shared" si="7"/>
        <v>472.52021871608645</v>
      </c>
      <c r="I508" s="193" t="s">
        <v>541</v>
      </c>
    </row>
    <row r="509" spans="1:9" x14ac:dyDescent="0.25">
      <c r="A509" s="193" t="s">
        <v>220</v>
      </c>
      <c r="B509" s="193" t="s">
        <v>588</v>
      </c>
      <c r="C509" s="193" t="s">
        <v>1520</v>
      </c>
      <c r="D509" s="193" t="s">
        <v>1521</v>
      </c>
      <c r="E509" s="193" t="s">
        <v>545</v>
      </c>
      <c r="F509" s="196">
        <v>115</v>
      </c>
      <c r="G509" s="194">
        <v>19.461406375192606</v>
      </c>
      <c r="H509" s="195">
        <f t="shared" si="7"/>
        <v>2238.0617331471499</v>
      </c>
      <c r="I509" s="193" t="s">
        <v>541</v>
      </c>
    </row>
    <row r="510" spans="1:9" x14ac:dyDescent="0.25">
      <c r="A510" s="193" t="s">
        <v>220</v>
      </c>
      <c r="B510" s="193" t="s">
        <v>588</v>
      </c>
      <c r="C510" s="193" t="s">
        <v>1522</v>
      </c>
      <c r="D510" s="193" t="s">
        <v>1523</v>
      </c>
      <c r="E510" s="193" t="s">
        <v>545</v>
      </c>
      <c r="F510" s="196">
        <v>43000</v>
      </c>
      <c r="G510" s="194">
        <v>9.356662383270245E-2</v>
      </c>
      <c r="H510" s="195">
        <f t="shared" si="7"/>
        <v>4023.3648248062054</v>
      </c>
      <c r="I510" s="193" t="s">
        <v>541</v>
      </c>
    </row>
    <row r="511" spans="1:9" x14ac:dyDescent="0.25">
      <c r="A511" s="193" t="s">
        <v>220</v>
      </c>
      <c r="B511" s="193" t="s">
        <v>588</v>
      </c>
      <c r="C511" s="193" t="s">
        <v>1524</v>
      </c>
      <c r="D511" s="193" t="s">
        <v>1525</v>
      </c>
      <c r="E511" s="193" t="s">
        <v>545</v>
      </c>
      <c r="F511" s="196">
        <v>5250</v>
      </c>
      <c r="G511" s="194">
        <v>0.20200000000000001</v>
      </c>
      <c r="H511" s="195">
        <f t="shared" si="7"/>
        <v>1060.5</v>
      </c>
      <c r="I511" s="193" t="s">
        <v>541</v>
      </c>
    </row>
    <row r="512" spans="1:9" x14ac:dyDescent="0.25">
      <c r="A512" s="193" t="s">
        <v>220</v>
      </c>
      <c r="B512" s="193" t="s">
        <v>588</v>
      </c>
      <c r="C512" s="193" t="s">
        <v>1526</v>
      </c>
      <c r="D512" s="193" t="s">
        <v>1527</v>
      </c>
      <c r="E512" s="193" t="s">
        <v>545</v>
      </c>
      <c r="F512" s="196">
        <v>1000</v>
      </c>
      <c r="G512" s="194">
        <v>0.45450000000000002</v>
      </c>
      <c r="H512" s="195">
        <f t="shared" si="7"/>
        <v>454.5</v>
      </c>
      <c r="I512" s="193" t="s">
        <v>541</v>
      </c>
    </row>
    <row r="513" spans="1:9" x14ac:dyDescent="0.25">
      <c r="A513" s="193" t="s">
        <v>220</v>
      </c>
      <c r="B513" s="193" t="s">
        <v>588</v>
      </c>
      <c r="C513" s="193" t="s">
        <v>1528</v>
      </c>
      <c r="D513" s="193" t="s">
        <v>1529</v>
      </c>
      <c r="E513" s="193" t="s">
        <v>545</v>
      </c>
      <c r="F513" s="196">
        <v>5000</v>
      </c>
      <c r="G513" s="194">
        <v>8.0799999999999997E-2</v>
      </c>
      <c r="H513" s="195">
        <f t="shared" si="7"/>
        <v>404</v>
      </c>
      <c r="I513" s="193" t="s">
        <v>541</v>
      </c>
    </row>
    <row r="514" spans="1:9" x14ac:dyDescent="0.25">
      <c r="A514" s="193" t="s">
        <v>220</v>
      </c>
      <c r="B514" s="193" t="s">
        <v>588</v>
      </c>
      <c r="C514" s="193" t="s">
        <v>1530</v>
      </c>
      <c r="D514" s="193" t="s">
        <v>1531</v>
      </c>
      <c r="E514" s="193" t="s">
        <v>545</v>
      </c>
      <c r="F514" s="196">
        <v>16500</v>
      </c>
      <c r="G514" s="194">
        <v>8.9890000000000012E-2</v>
      </c>
      <c r="H514" s="195">
        <f t="shared" si="7"/>
        <v>1483.1850000000002</v>
      </c>
      <c r="I514" s="193" t="s">
        <v>541</v>
      </c>
    </row>
    <row r="515" spans="1:9" x14ac:dyDescent="0.25">
      <c r="A515" s="193" t="s">
        <v>220</v>
      </c>
      <c r="B515" s="193" t="s">
        <v>588</v>
      </c>
      <c r="C515" s="193" t="s">
        <v>658</v>
      </c>
      <c r="D515" s="193" t="s">
        <v>1532</v>
      </c>
      <c r="E515" s="193" t="s">
        <v>545</v>
      </c>
      <c r="F515" s="196">
        <v>1000</v>
      </c>
      <c r="G515" s="194">
        <v>0.16930875675675675</v>
      </c>
      <c r="H515" s="195">
        <f t="shared" si="7"/>
        <v>169.30875675675674</v>
      </c>
      <c r="I515" s="193" t="s">
        <v>541</v>
      </c>
    </row>
    <row r="516" spans="1:9" x14ac:dyDescent="0.25">
      <c r="A516" s="193" t="s">
        <v>220</v>
      </c>
      <c r="B516" s="193" t="s">
        <v>588</v>
      </c>
      <c r="C516" s="193" t="s">
        <v>682</v>
      </c>
      <c r="D516" s="193" t="s">
        <v>683</v>
      </c>
      <c r="E516" s="193" t="s">
        <v>545</v>
      </c>
      <c r="F516" s="196">
        <v>1500</v>
      </c>
      <c r="G516" s="194">
        <v>0.20200000000000001</v>
      </c>
      <c r="H516" s="195">
        <f t="shared" si="7"/>
        <v>303</v>
      </c>
      <c r="I516" s="193" t="s">
        <v>541</v>
      </c>
    </row>
    <row r="517" spans="1:9" x14ac:dyDescent="0.25">
      <c r="A517" s="193" t="s">
        <v>220</v>
      </c>
      <c r="B517" s="193" t="s">
        <v>588</v>
      </c>
      <c r="C517" s="193" t="s">
        <v>660</v>
      </c>
      <c r="D517" s="193" t="s">
        <v>661</v>
      </c>
      <c r="E517" s="193" t="s">
        <v>545</v>
      </c>
      <c r="F517" s="196">
        <v>2000</v>
      </c>
      <c r="G517" s="194">
        <v>0.20156250000000001</v>
      </c>
      <c r="H517" s="195">
        <f t="shared" ref="H517:H580" si="8">+F517*G517</f>
        <v>403.125</v>
      </c>
      <c r="I517" s="193" t="s">
        <v>541</v>
      </c>
    </row>
    <row r="518" spans="1:9" x14ac:dyDescent="0.25">
      <c r="A518" s="193" t="s">
        <v>220</v>
      </c>
      <c r="B518" s="193" t="s">
        <v>588</v>
      </c>
      <c r="C518" s="193" t="s">
        <v>684</v>
      </c>
      <c r="D518" s="193" t="s">
        <v>685</v>
      </c>
      <c r="E518" s="193" t="s">
        <v>545</v>
      </c>
      <c r="F518" s="196">
        <v>500</v>
      </c>
      <c r="G518" s="194">
        <v>0.35349999999999998</v>
      </c>
      <c r="H518" s="195">
        <f t="shared" si="8"/>
        <v>176.75</v>
      </c>
      <c r="I518" s="193" t="s">
        <v>541</v>
      </c>
    </row>
    <row r="519" spans="1:9" x14ac:dyDescent="0.25">
      <c r="A519" s="193" t="s">
        <v>220</v>
      </c>
      <c r="B519" s="193" t="s">
        <v>588</v>
      </c>
      <c r="C519" s="193" t="s">
        <v>686</v>
      </c>
      <c r="D519" s="193" t="s">
        <v>687</v>
      </c>
      <c r="E519" s="193" t="s">
        <v>545</v>
      </c>
      <c r="F519" s="196">
        <v>500</v>
      </c>
      <c r="G519" s="194">
        <v>0.35349999999999998</v>
      </c>
      <c r="H519" s="195">
        <f t="shared" si="8"/>
        <v>176.75</v>
      </c>
      <c r="I519" s="193" t="s">
        <v>541</v>
      </c>
    </row>
    <row r="520" spans="1:9" x14ac:dyDescent="0.25">
      <c r="A520" s="193" t="s">
        <v>220</v>
      </c>
      <c r="B520" s="193" t="s">
        <v>588</v>
      </c>
      <c r="C520" s="193" t="s">
        <v>1533</v>
      </c>
      <c r="D520" s="193" t="s">
        <v>1534</v>
      </c>
      <c r="E520" s="193" t="s">
        <v>545</v>
      </c>
      <c r="F520" s="196">
        <v>750</v>
      </c>
      <c r="G520" s="194">
        <v>0.2</v>
      </c>
      <c r="H520" s="195">
        <f t="shared" si="8"/>
        <v>150</v>
      </c>
      <c r="I520" s="193" t="s">
        <v>541</v>
      </c>
    </row>
    <row r="521" spans="1:9" x14ac:dyDescent="0.25">
      <c r="A521" s="193" t="s">
        <v>220</v>
      </c>
      <c r="B521" s="193" t="s">
        <v>588</v>
      </c>
      <c r="C521" s="193" t="s">
        <v>1535</v>
      </c>
      <c r="D521" s="193" t="s">
        <v>1536</v>
      </c>
      <c r="E521" s="193" t="s">
        <v>545</v>
      </c>
      <c r="F521" s="196">
        <v>4000</v>
      </c>
      <c r="G521" s="194">
        <v>7.8508288043478272E-2</v>
      </c>
      <c r="H521" s="195">
        <f t="shared" si="8"/>
        <v>314.03315217391309</v>
      </c>
      <c r="I521" s="193" t="s">
        <v>541</v>
      </c>
    </row>
    <row r="522" spans="1:9" x14ac:dyDescent="0.25">
      <c r="A522" s="193" t="s">
        <v>220</v>
      </c>
      <c r="B522" s="193" t="s">
        <v>588</v>
      </c>
      <c r="C522" s="193" t="s">
        <v>1537</v>
      </c>
      <c r="D522" s="193" t="s">
        <v>1538</v>
      </c>
      <c r="E522" s="193" t="s">
        <v>545</v>
      </c>
      <c r="F522" s="196">
        <v>16900</v>
      </c>
      <c r="G522" s="194">
        <v>0.19714046669937446</v>
      </c>
      <c r="H522" s="195">
        <f t="shared" si="8"/>
        <v>3331.6738872194283</v>
      </c>
      <c r="I522" s="193" t="s">
        <v>541</v>
      </c>
    </row>
    <row r="523" spans="1:9" x14ac:dyDescent="0.25">
      <c r="A523" s="193" t="s">
        <v>220</v>
      </c>
      <c r="B523" s="193" t="s">
        <v>588</v>
      </c>
      <c r="C523" s="193" t="s">
        <v>1539</v>
      </c>
      <c r="D523" s="193" t="s">
        <v>1540</v>
      </c>
      <c r="E523" s="193" t="s">
        <v>545</v>
      </c>
      <c r="F523" s="196">
        <v>17500</v>
      </c>
      <c r="G523" s="194">
        <v>0.11109840089016103</v>
      </c>
      <c r="H523" s="195">
        <f t="shared" si="8"/>
        <v>1944.222015577818</v>
      </c>
      <c r="I523" s="193" t="s">
        <v>541</v>
      </c>
    </row>
    <row r="524" spans="1:9" x14ac:dyDescent="0.25">
      <c r="A524" s="193" t="s">
        <v>220</v>
      </c>
      <c r="B524" s="193" t="s">
        <v>588</v>
      </c>
      <c r="C524" s="193" t="s">
        <v>1541</v>
      </c>
      <c r="D524" s="193" t="s">
        <v>1542</v>
      </c>
      <c r="E524" s="193" t="s">
        <v>545</v>
      </c>
      <c r="F524" s="196">
        <v>5400</v>
      </c>
      <c r="G524" s="194">
        <v>0.13101716436710481</v>
      </c>
      <c r="H524" s="195">
        <f t="shared" si="8"/>
        <v>707.49268758236599</v>
      </c>
      <c r="I524" s="193" t="s">
        <v>541</v>
      </c>
    </row>
    <row r="525" spans="1:9" x14ac:dyDescent="0.25">
      <c r="A525" s="193" t="s">
        <v>220</v>
      </c>
      <c r="B525" s="193" t="s">
        <v>588</v>
      </c>
      <c r="C525" s="193" t="s">
        <v>1543</v>
      </c>
      <c r="D525" s="193" t="s">
        <v>1544</v>
      </c>
      <c r="E525" s="193" t="s">
        <v>545</v>
      </c>
      <c r="F525" s="196">
        <v>37000</v>
      </c>
      <c r="G525" s="194">
        <v>2.5748804833685576E-2</v>
      </c>
      <c r="H525" s="195">
        <f t="shared" si="8"/>
        <v>952.70577884636634</v>
      </c>
      <c r="I525" s="193" t="s">
        <v>541</v>
      </c>
    </row>
    <row r="526" spans="1:9" x14ac:dyDescent="0.25">
      <c r="A526" s="193" t="s">
        <v>220</v>
      </c>
      <c r="B526" s="193" t="s">
        <v>588</v>
      </c>
      <c r="C526" s="193" t="s">
        <v>1545</v>
      </c>
      <c r="D526" s="193" t="s">
        <v>1546</v>
      </c>
      <c r="E526" s="193" t="s">
        <v>545</v>
      </c>
      <c r="F526" s="196">
        <v>10500</v>
      </c>
      <c r="G526" s="194">
        <v>0.10309115209053761</v>
      </c>
      <c r="H526" s="195">
        <f t="shared" si="8"/>
        <v>1082.4570969506449</v>
      </c>
      <c r="I526" s="193" t="s">
        <v>541</v>
      </c>
    </row>
    <row r="527" spans="1:9" x14ac:dyDescent="0.25">
      <c r="A527" s="193" t="s">
        <v>220</v>
      </c>
      <c r="B527" s="193" t="s">
        <v>588</v>
      </c>
      <c r="C527" s="193" t="s">
        <v>1547</v>
      </c>
      <c r="D527" s="193" t="s">
        <v>1548</v>
      </c>
      <c r="E527" s="193" t="s">
        <v>545</v>
      </c>
      <c r="F527" s="196">
        <v>2000</v>
      </c>
      <c r="G527" s="194">
        <v>0.22</v>
      </c>
      <c r="H527" s="195">
        <f t="shared" si="8"/>
        <v>440</v>
      </c>
      <c r="I527" s="193" t="s">
        <v>541</v>
      </c>
    </row>
    <row r="528" spans="1:9" x14ac:dyDescent="0.25">
      <c r="A528" s="193" t="s">
        <v>220</v>
      </c>
      <c r="B528" s="193" t="s">
        <v>588</v>
      </c>
      <c r="C528" s="193" t="s">
        <v>1549</v>
      </c>
      <c r="D528" s="193" t="s">
        <v>1550</v>
      </c>
      <c r="E528" s="193" t="s">
        <v>545</v>
      </c>
      <c r="F528" s="196">
        <v>1000</v>
      </c>
      <c r="G528" s="194">
        <v>0.22</v>
      </c>
      <c r="H528" s="195">
        <f t="shared" si="8"/>
        <v>220</v>
      </c>
      <c r="I528" s="193" t="s">
        <v>541</v>
      </c>
    </row>
    <row r="529" spans="1:9" x14ac:dyDescent="0.25">
      <c r="A529" s="193" t="s">
        <v>220</v>
      </c>
      <c r="B529" s="193" t="s">
        <v>588</v>
      </c>
      <c r="C529" s="193" t="s">
        <v>1551</v>
      </c>
      <c r="D529" s="193" t="s">
        <v>1552</v>
      </c>
      <c r="E529" s="193" t="s">
        <v>545</v>
      </c>
      <c r="F529" s="196">
        <v>8000</v>
      </c>
      <c r="G529" s="194">
        <v>0.22</v>
      </c>
      <c r="H529" s="195">
        <f t="shared" si="8"/>
        <v>1760</v>
      </c>
      <c r="I529" s="193" t="s">
        <v>541</v>
      </c>
    </row>
    <row r="530" spans="1:9" x14ac:dyDescent="0.25">
      <c r="A530" s="193" t="s">
        <v>220</v>
      </c>
      <c r="B530" s="193" t="s">
        <v>588</v>
      </c>
      <c r="C530" s="193" t="s">
        <v>1553</v>
      </c>
      <c r="D530" s="193" t="s">
        <v>1554</v>
      </c>
      <c r="E530" s="193" t="s">
        <v>545</v>
      </c>
      <c r="F530" s="196">
        <v>13000</v>
      </c>
      <c r="G530" s="194">
        <v>0.18271721810827421</v>
      </c>
      <c r="H530" s="195">
        <f t="shared" si="8"/>
        <v>2375.3238354075647</v>
      </c>
      <c r="I530" s="193" t="s">
        <v>541</v>
      </c>
    </row>
    <row r="531" spans="1:9" x14ac:dyDescent="0.25">
      <c r="A531" s="193" t="s">
        <v>220</v>
      </c>
      <c r="B531" s="193" t="s">
        <v>588</v>
      </c>
      <c r="C531" s="193" t="s">
        <v>1555</v>
      </c>
      <c r="D531" s="193" t="s">
        <v>1556</v>
      </c>
      <c r="E531" s="193" t="s">
        <v>545</v>
      </c>
      <c r="F531" s="196">
        <v>1000</v>
      </c>
      <c r="G531" s="194">
        <v>4.632E-2</v>
      </c>
      <c r="H531" s="195">
        <f t="shared" si="8"/>
        <v>46.32</v>
      </c>
      <c r="I531" s="193" t="s">
        <v>541</v>
      </c>
    </row>
    <row r="532" spans="1:9" x14ac:dyDescent="0.25">
      <c r="A532" s="193" t="s">
        <v>220</v>
      </c>
      <c r="B532" s="193" t="s">
        <v>588</v>
      </c>
      <c r="C532" s="193" t="s">
        <v>1557</v>
      </c>
      <c r="D532" s="193" t="s">
        <v>1558</v>
      </c>
      <c r="E532" s="193" t="s">
        <v>545</v>
      </c>
      <c r="F532" s="196">
        <v>3800</v>
      </c>
      <c r="G532" s="194">
        <v>0.04</v>
      </c>
      <c r="H532" s="195">
        <f t="shared" si="8"/>
        <v>152</v>
      </c>
      <c r="I532" s="193" t="s">
        <v>541</v>
      </c>
    </row>
    <row r="533" spans="1:9" x14ac:dyDescent="0.25">
      <c r="A533" s="193" t="s">
        <v>220</v>
      </c>
      <c r="B533" s="193" t="s">
        <v>588</v>
      </c>
      <c r="C533" s="193" t="s">
        <v>1559</v>
      </c>
      <c r="D533" s="193" t="s">
        <v>1560</v>
      </c>
      <c r="E533" s="193" t="s">
        <v>545</v>
      </c>
      <c r="F533" s="196">
        <v>4000</v>
      </c>
      <c r="G533" s="194">
        <v>9.6970161290322585E-2</v>
      </c>
      <c r="H533" s="195">
        <f t="shared" si="8"/>
        <v>387.88064516129032</v>
      </c>
      <c r="I533" s="193" t="s">
        <v>541</v>
      </c>
    </row>
    <row r="534" spans="1:9" x14ac:dyDescent="0.25">
      <c r="A534" s="193" t="s">
        <v>220</v>
      </c>
      <c r="B534" s="193" t="s">
        <v>588</v>
      </c>
      <c r="C534" s="193" t="s">
        <v>1561</v>
      </c>
      <c r="D534" s="193" t="s">
        <v>1562</v>
      </c>
      <c r="E534" s="193" t="s">
        <v>545</v>
      </c>
      <c r="F534" s="196">
        <v>6000</v>
      </c>
      <c r="G534" s="194">
        <v>0.04</v>
      </c>
      <c r="H534" s="195">
        <f t="shared" si="8"/>
        <v>240</v>
      </c>
      <c r="I534" s="193" t="s">
        <v>541</v>
      </c>
    </row>
    <row r="535" spans="1:9" x14ac:dyDescent="0.25">
      <c r="A535" s="193" t="s">
        <v>220</v>
      </c>
      <c r="B535" s="193" t="s">
        <v>588</v>
      </c>
      <c r="C535" s="193" t="s">
        <v>1563</v>
      </c>
      <c r="D535" s="193" t="s">
        <v>1564</v>
      </c>
      <c r="E535" s="193" t="s">
        <v>545</v>
      </c>
      <c r="F535" s="196">
        <v>3000</v>
      </c>
      <c r="G535" s="194">
        <v>3.7999999999999999E-2</v>
      </c>
      <c r="H535" s="195">
        <f t="shared" si="8"/>
        <v>114</v>
      </c>
      <c r="I535" s="193" t="s">
        <v>541</v>
      </c>
    </row>
    <row r="536" spans="1:9" x14ac:dyDescent="0.25">
      <c r="A536" s="193" t="s">
        <v>220</v>
      </c>
      <c r="B536" s="193" t="s">
        <v>588</v>
      </c>
      <c r="C536" s="193" t="s">
        <v>1565</v>
      </c>
      <c r="D536" s="193" t="s">
        <v>1566</v>
      </c>
      <c r="E536" s="193" t="s">
        <v>545</v>
      </c>
      <c r="F536" s="196">
        <v>2800</v>
      </c>
      <c r="G536" s="194">
        <v>0.04</v>
      </c>
      <c r="H536" s="195">
        <f t="shared" si="8"/>
        <v>112</v>
      </c>
      <c r="I536" s="193" t="s">
        <v>541</v>
      </c>
    </row>
    <row r="537" spans="1:9" x14ac:dyDescent="0.25">
      <c r="A537" s="193" t="s">
        <v>220</v>
      </c>
      <c r="B537" s="193" t="s">
        <v>588</v>
      </c>
      <c r="C537" s="193" t="s">
        <v>1567</v>
      </c>
      <c r="D537" s="193" t="s">
        <v>1568</v>
      </c>
      <c r="E537" s="193" t="s">
        <v>545</v>
      </c>
      <c r="F537" s="196">
        <v>2200</v>
      </c>
      <c r="G537" s="194">
        <v>8.5849999999999996E-2</v>
      </c>
      <c r="H537" s="195">
        <f t="shared" si="8"/>
        <v>188.87</v>
      </c>
      <c r="I537" s="193" t="s">
        <v>541</v>
      </c>
    </row>
    <row r="538" spans="1:9" x14ac:dyDescent="0.25">
      <c r="A538" s="193" t="s">
        <v>220</v>
      </c>
      <c r="B538" s="193" t="s">
        <v>588</v>
      </c>
      <c r="C538" s="193" t="s">
        <v>1569</v>
      </c>
      <c r="D538" s="193" t="s">
        <v>1570</v>
      </c>
      <c r="E538" s="193" t="s">
        <v>545</v>
      </c>
      <c r="F538" s="196">
        <v>3500</v>
      </c>
      <c r="G538" s="194">
        <v>4.632E-2</v>
      </c>
      <c r="H538" s="195">
        <f t="shared" si="8"/>
        <v>162.12</v>
      </c>
      <c r="I538" s="193" t="s">
        <v>541</v>
      </c>
    </row>
    <row r="539" spans="1:9" x14ac:dyDescent="0.25">
      <c r="A539" s="193" t="s">
        <v>220</v>
      </c>
      <c r="B539" s="193" t="s">
        <v>588</v>
      </c>
      <c r="C539" s="193" t="s">
        <v>1571</v>
      </c>
      <c r="D539" s="193" t="s">
        <v>1572</v>
      </c>
      <c r="E539" s="193" t="s">
        <v>545</v>
      </c>
      <c r="F539" s="196">
        <v>1500</v>
      </c>
      <c r="G539" s="194">
        <v>0.1</v>
      </c>
      <c r="H539" s="195">
        <f t="shared" si="8"/>
        <v>150</v>
      </c>
      <c r="I539" s="193" t="s">
        <v>541</v>
      </c>
    </row>
    <row r="540" spans="1:9" x14ac:dyDescent="0.25">
      <c r="A540" s="193" t="s">
        <v>220</v>
      </c>
      <c r="B540" s="193" t="s">
        <v>588</v>
      </c>
      <c r="C540" s="193" t="s">
        <v>1573</v>
      </c>
      <c r="D540" s="193" t="s">
        <v>1574</v>
      </c>
      <c r="E540" s="193" t="s">
        <v>545</v>
      </c>
      <c r="F540" s="196">
        <v>2000</v>
      </c>
      <c r="G540" s="194">
        <v>0.04</v>
      </c>
      <c r="H540" s="195">
        <f t="shared" si="8"/>
        <v>80</v>
      </c>
      <c r="I540" s="193" t="s">
        <v>541</v>
      </c>
    </row>
    <row r="541" spans="1:9" x14ac:dyDescent="0.25">
      <c r="A541" s="193" t="s">
        <v>220</v>
      </c>
      <c r="B541" s="193" t="s">
        <v>588</v>
      </c>
      <c r="C541" s="193" t="s">
        <v>1575</v>
      </c>
      <c r="D541" s="193" t="s">
        <v>1576</v>
      </c>
      <c r="E541" s="193" t="s">
        <v>545</v>
      </c>
      <c r="F541" s="196">
        <v>2000</v>
      </c>
      <c r="G541" s="194">
        <v>0.04</v>
      </c>
      <c r="H541" s="195">
        <f t="shared" si="8"/>
        <v>80</v>
      </c>
      <c r="I541" s="193" t="s">
        <v>541</v>
      </c>
    </row>
    <row r="542" spans="1:9" x14ac:dyDescent="0.25">
      <c r="A542" s="193" t="s">
        <v>220</v>
      </c>
      <c r="B542" s="193" t="s">
        <v>588</v>
      </c>
      <c r="C542" s="193" t="s">
        <v>1577</v>
      </c>
      <c r="D542" s="193" t="s">
        <v>1578</v>
      </c>
      <c r="E542" s="193" t="s">
        <v>545</v>
      </c>
      <c r="F542" s="196">
        <v>475</v>
      </c>
      <c r="G542" s="194">
        <v>0.02</v>
      </c>
      <c r="H542" s="195">
        <f t="shared" si="8"/>
        <v>9.5</v>
      </c>
      <c r="I542" s="193" t="s">
        <v>541</v>
      </c>
    </row>
    <row r="543" spans="1:9" x14ac:dyDescent="0.25">
      <c r="A543" s="193" t="s">
        <v>220</v>
      </c>
      <c r="B543" s="193" t="s">
        <v>588</v>
      </c>
      <c r="C543" s="193" t="s">
        <v>1579</v>
      </c>
      <c r="D543" s="193" t="s">
        <v>1580</v>
      </c>
      <c r="E543" s="193" t="s">
        <v>545</v>
      </c>
      <c r="F543" s="196">
        <v>700</v>
      </c>
      <c r="G543" s="194">
        <v>0.02</v>
      </c>
      <c r="H543" s="195">
        <f t="shared" si="8"/>
        <v>14</v>
      </c>
      <c r="I543" s="193" t="s">
        <v>541</v>
      </c>
    </row>
    <row r="544" spans="1:9" x14ac:dyDescent="0.25">
      <c r="A544" s="193" t="s">
        <v>220</v>
      </c>
      <c r="B544" s="193" t="s">
        <v>588</v>
      </c>
      <c r="C544" s="193" t="s">
        <v>1581</v>
      </c>
      <c r="D544" s="193" t="s">
        <v>1582</v>
      </c>
      <c r="E544" s="193" t="s">
        <v>545</v>
      </c>
      <c r="F544" s="196">
        <v>1500</v>
      </c>
      <c r="G544" s="194">
        <v>0.1</v>
      </c>
      <c r="H544" s="195">
        <f t="shared" si="8"/>
        <v>150</v>
      </c>
      <c r="I544" s="193" t="s">
        <v>541</v>
      </c>
    </row>
    <row r="545" spans="1:9" x14ac:dyDescent="0.25">
      <c r="A545" s="193" t="s">
        <v>220</v>
      </c>
      <c r="B545" s="193" t="s">
        <v>588</v>
      </c>
      <c r="C545" s="193" t="s">
        <v>1583</v>
      </c>
      <c r="D545" s="193" t="s">
        <v>1584</v>
      </c>
      <c r="E545" s="193" t="s">
        <v>545</v>
      </c>
      <c r="F545" s="196">
        <v>800</v>
      </c>
      <c r="G545" s="194">
        <v>0.5</v>
      </c>
      <c r="H545" s="195">
        <f t="shared" si="8"/>
        <v>400</v>
      </c>
      <c r="I545" s="193" t="s">
        <v>541</v>
      </c>
    </row>
    <row r="546" spans="1:9" x14ac:dyDescent="0.25">
      <c r="A546" s="193" t="s">
        <v>220</v>
      </c>
      <c r="B546" s="193" t="s">
        <v>588</v>
      </c>
      <c r="C546" s="193" t="s">
        <v>1585</v>
      </c>
      <c r="D546" s="193" t="s">
        <v>1586</v>
      </c>
      <c r="E546" s="193" t="s">
        <v>545</v>
      </c>
      <c r="F546" s="196">
        <v>500</v>
      </c>
      <c r="G546" s="194">
        <v>7.3804819277108427E-2</v>
      </c>
      <c r="H546" s="195">
        <f t="shared" si="8"/>
        <v>36.902409638554211</v>
      </c>
      <c r="I546" s="193" t="s">
        <v>541</v>
      </c>
    </row>
    <row r="547" spans="1:9" x14ac:dyDescent="0.25">
      <c r="A547" s="193" t="s">
        <v>220</v>
      </c>
      <c r="B547" s="193" t="s">
        <v>588</v>
      </c>
      <c r="C547" s="193" t="s">
        <v>1587</v>
      </c>
      <c r="D547" s="193" t="s">
        <v>1588</v>
      </c>
      <c r="E547" s="193" t="s">
        <v>545</v>
      </c>
      <c r="F547" s="196">
        <v>2000</v>
      </c>
      <c r="G547" s="194">
        <v>0.19261557329462989</v>
      </c>
      <c r="H547" s="195">
        <f t="shared" si="8"/>
        <v>385.23114658925977</v>
      </c>
      <c r="I547" s="193" t="s">
        <v>541</v>
      </c>
    </row>
    <row r="548" spans="1:9" x14ac:dyDescent="0.25">
      <c r="A548" s="193" t="s">
        <v>220</v>
      </c>
      <c r="B548" s="193" t="s">
        <v>588</v>
      </c>
      <c r="C548" s="193" t="s">
        <v>1589</v>
      </c>
      <c r="D548" s="193" t="s">
        <v>1590</v>
      </c>
      <c r="E548" s="193" t="s">
        <v>545</v>
      </c>
      <c r="F548" s="196">
        <v>3700</v>
      </c>
      <c r="G548" s="194">
        <v>0.16409220779220779</v>
      </c>
      <c r="H548" s="195">
        <f t="shared" si="8"/>
        <v>607.14116883116878</v>
      </c>
      <c r="I548" s="193" t="s">
        <v>541</v>
      </c>
    </row>
    <row r="549" spans="1:9" x14ac:dyDescent="0.25">
      <c r="A549" s="193" t="s">
        <v>220</v>
      </c>
      <c r="B549" s="193" t="s">
        <v>588</v>
      </c>
      <c r="C549" s="193" t="s">
        <v>1591</v>
      </c>
      <c r="D549" s="193" t="s">
        <v>1592</v>
      </c>
      <c r="E549" s="193" t="s">
        <v>545</v>
      </c>
      <c r="F549" s="196">
        <v>2500</v>
      </c>
      <c r="G549" s="194">
        <v>6.239999999999999E-2</v>
      </c>
      <c r="H549" s="195">
        <f t="shared" si="8"/>
        <v>155.99999999999997</v>
      </c>
      <c r="I549" s="193" t="s">
        <v>541</v>
      </c>
    </row>
    <row r="550" spans="1:9" x14ac:dyDescent="0.25">
      <c r="A550" s="193" t="s">
        <v>220</v>
      </c>
      <c r="B550" s="193" t="s">
        <v>588</v>
      </c>
      <c r="C550" s="193" t="s">
        <v>1593</v>
      </c>
      <c r="D550" s="193" t="s">
        <v>1594</v>
      </c>
      <c r="E550" s="193" t="s">
        <v>545</v>
      </c>
      <c r="F550" s="196">
        <v>7700</v>
      </c>
      <c r="G550" s="194">
        <v>0.14368813320825516</v>
      </c>
      <c r="H550" s="195">
        <f t="shared" si="8"/>
        <v>1106.3986257035647</v>
      </c>
      <c r="I550" s="193" t="s">
        <v>541</v>
      </c>
    </row>
    <row r="551" spans="1:9" x14ac:dyDescent="0.25">
      <c r="A551" s="193" t="s">
        <v>220</v>
      </c>
      <c r="B551" s="193" t="s">
        <v>588</v>
      </c>
      <c r="C551" s="193" t="s">
        <v>1595</v>
      </c>
      <c r="D551" s="193" t="s">
        <v>1596</v>
      </c>
      <c r="E551" s="193" t="s">
        <v>545</v>
      </c>
      <c r="F551" s="196">
        <v>2000</v>
      </c>
      <c r="G551" s="194">
        <v>0.18179999999999999</v>
      </c>
      <c r="H551" s="195">
        <f t="shared" si="8"/>
        <v>363.59999999999997</v>
      </c>
      <c r="I551" s="193" t="s">
        <v>541</v>
      </c>
    </row>
    <row r="552" spans="1:9" x14ac:dyDescent="0.25">
      <c r="A552" s="193" t="s">
        <v>220</v>
      </c>
      <c r="B552" s="193" t="s">
        <v>588</v>
      </c>
      <c r="C552" s="193" t="s">
        <v>1597</v>
      </c>
      <c r="D552" s="193" t="s">
        <v>1598</v>
      </c>
      <c r="E552" s="193" t="s">
        <v>545</v>
      </c>
      <c r="F552" s="196">
        <v>2000</v>
      </c>
      <c r="G552" s="194">
        <v>7.648421052631578E-2</v>
      </c>
      <c r="H552" s="195">
        <f t="shared" si="8"/>
        <v>152.96842105263156</v>
      </c>
      <c r="I552" s="193" t="s">
        <v>541</v>
      </c>
    </row>
    <row r="553" spans="1:9" x14ac:dyDescent="0.25">
      <c r="A553" s="193" t="s">
        <v>220</v>
      </c>
      <c r="B553" s="193" t="s">
        <v>588</v>
      </c>
      <c r="C553" s="193" t="s">
        <v>1599</v>
      </c>
      <c r="D553" s="193" t="s">
        <v>1600</v>
      </c>
      <c r="E553" s="193" t="s">
        <v>545</v>
      </c>
      <c r="F553" s="196">
        <v>1000</v>
      </c>
      <c r="G553" s="194">
        <v>3.6799999999999999E-2</v>
      </c>
      <c r="H553" s="195">
        <f t="shared" si="8"/>
        <v>36.799999999999997</v>
      </c>
      <c r="I553" s="193" t="s">
        <v>541</v>
      </c>
    </row>
    <row r="554" spans="1:9" x14ac:dyDescent="0.25">
      <c r="A554" s="193" t="s">
        <v>220</v>
      </c>
      <c r="B554" s="193" t="s">
        <v>588</v>
      </c>
      <c r="C554" s="193" t="s">
        <v>1601</v>
      </c>
      <c r="D554" s="193" t="s">
        <v>1602</v>
      </c>
      <c r="E554" s="193" t="s">
        <v>545</v>
      </c>
      <c r="F554" s="196">
        <v>3000</v>
      </c>
      <c r="G554" s="194">
        <v>0.24112265193370169</v>
      </c>
      <c r="H554" s="195">
        <f t="shared" si="8"/>
        <v>723.36795580110504</v>
      </c>
      <c r="I554" s="193" t="s">
        <v>541</v>
      </c>
    </row>
    <row r="555" spans="1:9" x14ac:dyDescent="0.25">
      <c r="A555" s="193" t="s">
        <v>220</v>
      </c>
      <c r="B555" s="193" t="s">
        <v>588</v>
      </c>
      <c r="C555" s="193" t="s">
        <v>1603</v>
      </c>
      <c r="D555" s="193" t="s">
        <v>1604</v>
      </c>
      <c r="E555" s="193" t="s">
        <v>545</v>
      </c>
      <c r="F555" s="196">
        <v>1500</v>
      </c>
      <c r="G555" s="194">
        <v>0.217</v>
      </c>
      <c r="H555" s="195">
        <f t="shared" si="8"/>
        <v>325.5</v>
      </c>
      <c r="I555" s="193" t="s">
        <v>541</v>
      </c>
    </row>
    <row r="556" spans="1:9" x14ac:dyDescent="0.25">
      <c r="A556" s="193" t="s">
        <v>220</v>
      </c>
      <c r="B556" s="193" t="s">
        <v>588</v>
      </c>
      <c r="C556" s="193" t="s">
        <v>1605</v>
      </c>
      <c r="D556" s="193" t="s">
        <v>1606</v>
      </c>
      <c r="E556" s="193" t="s">
        <v>545</v>
      </c>
      <c r="F556" s="196">
        <v>3700</v>
      </c>
      <c r="G556" s="194">
        <v>0.24612894736842103</v>
      </c>
      <c r="H556" s="195">
        <f t="shared" si="8"/>
        <v>910.67710526315784</v>
      </c>
      <c r="I556" s="193" t="s">
        <v>541</v>
      </c>
    </row>
    <row r="557" spans="1:9" x14ac:dyDescent="0.25">
      <c r="A557" s="193" t="s">
        <v>220</v>
      </c>
      <c r="B557" s="193" t="s">
        <v>588</v>
      </c>
      <c r="C557" s="193" t="s">
        <v>1607</v>
      </c>
      <c r="D557" s="193" t="s">
        <v>1608</v>
      </c>
      <c r="E557" s="193" t="s">
        <v>545</v>
      </c>
      <c r="F557" s="196">
        <v>500</v>
      </c>
      <c r="G557" s="194">
        <v>0.221</v>
      </c>
      <c r="H557" s="195">
        <f t="shared" si="8"/>
        <v>110.5</v>
      </c>
      <c r="I557" s="193" t="s">
        <v>541</v>
      </c>
    </row>
    <row r="558" spans="1:9" x14ac:dyDescent="0.25">
      <c r="A558" s="193" t="s">
        <v>220</v>
      </c>
      <c r="B558" s="193" t="s">
        <v>588</v>
      </c>
      <c r="C558" s="193" t="s">
        <v>1609</v>
      </c>
      <c r="D558" s="193" t="s">
        <v>1610</v>
      </c>
      <c r="E558" s="193" t="s">
        <v>545</v>
      </c>
      <c r="F558" s="196">
        <v>3000</v>
      </c>
      <c r="G558" s="194">
        <v>0.15185128205128204</v>
      </c>
      <c r="H558" s="195">
        <f t="shared" si="8"/>
        <v>455.55384615384611</v>
      </c>
      <c r="I558" s="193" t="s">
        <v>541</v>
      </c>
    </row>
    <row r="559" spans="1:9" x14ac:dyDescent="0.25">
      <c r="A559" s="193" t="s">
        <v>220</v>
      </c>
      <c r="B559" s="193" t="s">
        <v>588</v>
      </c>
      <c r="C559" s="193" t="s">
        <v>1611</v>
      </c>
      <c r="D559" s="193" t="s">
        <v>1612</v>
      </c>
      <c r="E559" s="193" t="s">
        <v>545</v>
      </c>
      <c r="F559" s="196">
        <v>1000</v>
      </c>
      <c r="G559" s="194">
        <v>0.5</v>
      </c>
      <c r="H559" s="195">
        <f t="shared" si="8"/>
        <v>500</v>
      </c>
      <c r="I559" s="193" t="s">
        <v>541</v>
      </c>
    </row>
    <row r="560" spans="1:9" x14ac:dyDescent="0.25">
      <c r="A560" s="193" t="s">
        <v>220</v>
      </c>
      <c r="B560" s="193" t="s">
        <v>588</v>
      </c>
      <c r="C560" s="193" t="s">
        <v>1613</v>
      </c>
      <c r="D560" s="193" t="s">
        <v>1614</v>
      </c>
      <c r="E560" s="193" t="s">
        <v>545</v>
      </c>
      <c r="F560" s="196">
        <v>5200</v>
      </c>
      <c r="G560" s="194">
        <v>0.15802043257091605</v>
      </c>
      <c r="H560" s="195">
        <f t="shared" si="8"/>
        <v>821.70624936876345</v>
      </c>
      <c r="I560" s="193" t="s">
        <v>541</v>
      </c>
    </row>
    <row r="561" spans="1:9" x14ac:dyDescent="0.25">
      <c r="A561" s="193" t="s">
        <v>220</v>
      </c>
      <c r="B561" s="193" t="s">
        <v>588</v>
      </c>
      <c r="C561" s="193" t="s">
        <v>1615</v>
      </c>
      <c r="D561" s="193" t="s">
        <v>1616</v>
      </c>
      <c r="E561" s="193" t="s">
        <v>545</v>
      </c>
      <c r="F561" s="196">
        <v>9600</v>
      </c>
      <c r="G561" s="194">
        <v>0.159</v>
      </c>
      <c r="H561" s="195">
        <f t="shared" si="8"/>
        <v>1526.4</v>
      </c>
      <c r="I561" s="193" t="s">
        <v>541</v>
      </c>
    </row>
    <row r="562" spans="1:9" x14ac:dyDescent="0.25">
      <c r="A562" s="193" t="s">
        <v>220</v>
      </c>
      <c r="B562" s="193" t="s">
        <v>588</v>
      </c>
      <c r="C562" s="193" t="s">
        <v>1617</v>
      </c>
      <c r="D562" s="193" t="s">
        <v>1618</v>
      </c>
      <c r="E562" s="193" t="s">
        <v>545</v>
      </c>
      <c r="F562" s="196">
        <v>3200</v>
      </c>
      <c r="G562" s="194">
        <v>0.18179999999999999</v>
      </c>
      <c r="H562" s="195">
        <f t="shared" si="8"/>
        <v>581.76</v>
      </c>
      <c r="I562" s="193" t="s">
        <v>541</v>
      </c>
    </row>
    <row r="563" spans="1:9" x14ac:dyDescent="0.25">
      <c r="A563" s="193" t="s">
        <v>220</v>
      </c>
      <c r="B563" s="193" t="s">
        <v>588</v>
      </c>
      <c r="C563" s="193" t="s">
        <v>1619</v>
      </c>
      <c r="D563" s="193" t="s">
        <v>1620</v>
      </c>
      <c r="E563" s="193" t="s">
        <v>545</v>
      </c>
      <c r="F563" s="196">
        <v>7000</v>
      </c>
      <c r="G563" s="194">
        <v>6.565E-2</v>
      </c>
      <c r="H563" s="195">
        <f t="shared" si="8"/>
        <v>459.55</v>
      </c>
      <c r="I563" s="193" t="s">
        <v>541</v>
      </c>
    </row>
    <row r="564" spans="1:9" x14ac:dyDescent="0.25">
      <c r="A564" s="193" t="s">
        <v>220</v>
      </c>
      <c r="B564" s="193" t="s">
        <v>588</v>
      </c>
      <c r="C564" s="193" t="s">
        <v>1621</v>
      </c>
      <c r="D564" s="193" t="s">
        <v>1622</v>
      </c>
      <c r="E564" s="193" t="s">
        <v>545</v>
      </c>
      <c r="F564" s="196">
        <v>1000</v>
      </c>
      <c r="G564" s="194">
        <v>0.2224008620689655</v>
      </c>
      <c r="H564" s="195">
        <f t="shared" si="8"/>
        <v>222.40086206896549</v>
      </c>
      <c r="I564" s="193" t="s">
        <v>541</v>
      </c>
    </row>
    <row r="565" spans="1:9" x14ac:dyDescent="0.25">
      <c r="A565" s="193" t="s">
        <v>220</v>
      </c>
      <c r="B565" s="193" t="s">
        <v>588</v>
      </c>
      <c r="C565" s="193" t="s">
        <v>1623</v>
      </c>
      <c r="D565" s="193" t="s">
        <v>1624</v>
      </c>
      <c r="E565" s="193" t="s">
        <v>545</v>
      </c>
      <c r="F565" s="196">
        <v>1000</v>
      </c>
      <c r="G565" s="194">
        <v>0.221</v>
      </c>
      <c r="H565" s="195">
        <f t="shared" si="8"/>
        <v>221</v>
      </c>
      <c r="I565" s="193" t="s">
        <v>541</v>
      </c>
    </row>
    <row r="566" spans="1:9" x14ac:dyDescent="0.25">
      <c r="A566" s="193" t="s">
        <v>220</v>
      </c>
      <c r="B566" s="193" t="s">
        <v>588</v>
      </c>
      <c r="C566" s="193" t="s">
        <v>1625</v>
      </c>
      <c r="D566" s="193" t="s">
        <v>1626</v>
      </c>
      <c r="E566" s="193" t="s">
        <v>545</v>
      </c>
      <c r="F566" s="196">
        <v>2100</v>
      </c>
      <c r="G566" s="194">
        <v>0.22500000000000001</v>
      </c>
      <c r="H566" s="195">
        <f t="shared" si="8"/>
        <v>472.5</v>
      </c>
      <c r="I566" s="193" t="s">
        <v>541</v>
      </c>
    </row>
    <row r="567" spans="1:9" x14ac:dyDescent="0.25">
      <c r="A567" s="193" t="s">
        <v>220</v>
      </c>
      <c r="B567" s="193" t="s">
        <v>588</v>
      </c>
      <c r="C567" s="193" t="s">
        <v>1627</v>
      </c>
      <c r="D567" s="193" t="s">
        <v>1628</v>
      </c>
      <c r="E567" s="193" t="s">
        <v>545</v>
      </c>
      <c r="F567" s="196">
        <v>3500</v>
      </c>
      <c r="G567" s="194">
        <v>0.24947</v>
      </c>
      <c r="H567" s="195">
        <f t="shared" si="8"/>
        <v>873.14499999999998</v>
      </c>
      <c r="I567" s="193" t="s">
        <v>541</v>
      </c>
    </row>
    <row r="568" spans="1:9" x14ac:dyDescent="0.25">
      <c r="A568" s="193" t="s">
        <v>220</v>
      </c>
      <c r="B568" s="193" t="s">
        <v>588</v>
      </c>
      <c r="C568" s="193" t="s">
        <v>1629</v>
      </c>
      <c r="D568" s="193" t="s">
        <v>1630</v>
      </c>
      <c r="E568" s="193" t="s">
        <v>545</v>
      </c>
      <c r="F568" s="196">
        <v>500</v>
      </c>
      <c r="G568" s="194">
        <v>5.8000000000000003E-2</v>
      </c>
      <c r="H568" s="195">
        <f t="shared" si="8"/>
        <v>29</v>
      </c>
      <c r="I568" s="193" t="s">
        <v>541</v>
      </c>
    </row>
    <row r="569" spans="1:9" x14ac:dyDescent="0.25">
      <c r="A569" s="193" t="s">
        <v>220</v>
      </c>
      <c r="B569" s="193" t="s">
        <v>588</v>
      </c>
      <c r="C569" s="193" t="s">
        <v>1631</v>
      </c>
      <c r="D569" s="193" t="s">
        <v>1632</v>
      </c>
      <c r="E569" s="193" t="s">
        <v>545</v>
      </c>
      <c r="F569" s="196">
        <v>2200</v>
      </c>
      <c r="G569" s="194">
        <v>9.6559444444444448E-2</v>
      </c>
      <c r="H569" s="195">
        <f t="shared" si="8"/>
        <v>212.43077777777779</v>
      </c>
      <c r="I569" s="193" t="s">
        <v>541</v>
      </c>
    </row>
    <row r="570" spans="1:9" x14ac:dyDescent="0.25">
      <c r="A570" s="193" t="s">
        <v>220</v>
      </c>
      <c r="B570" s="193" t="s">
        <v>588</v>
      </c>
      <c r="C570" s="193" t="s">
        <v>1633</v>
      </c>
      <c r="D570" s="193" t="s">
        <v>1634</v>
      </c>
      <c r="E570" s="193" t="s">
        <v>545</v>
      </c>
      <c r="F570" s="196">
        <v>2000</v>
      </c>
      <c r="G570" s="194">
        <v>0.18596489361702126</v>
      </c>
      <c r="H570" s="195">
        <f t="shared" si="8"/>
        <v>371.92978723404252</v>
      </c>
      <c r="I570" s="193" t="s">
        <v>541</v>
      </c>
    </row>
    <row r="571" spans="1:9" x14ac:dyDescent="0.25">
      <c r="A571" s="193" t="s">
        <v>220</v>
      </c>
      <c r="B571" s="193" t="s">
        <v>588</v>
      </c>
      <c r="C571" s="193" t="s">
        <v>1635</v>
      </c>
      <c r="D571" s="193" t="s">
        <v>1636</v>
      </c>
      <c r="E571" s="193" t="s">
        <v>545</v>
      </c>
      <c r="F571" s="196">
        <v>2000</v>
      </c>
      <c r="G571" s="194">
        <v>0.22049999999999997</v>
      </c>
      <c r="H571" s="195">
        <f t="shared" si="8"/>
        <v>440.99999999999994</v>
      </c>
      <c r="I571" s="193" t="s">
        <v>541</v>
      </c>
    </row>
    <row r="572" spans="1:9" x14ac:dyDescent="0.25">
      <c r="A572" s="193" t="s">
        <v>220</v>
      </c>
      <c r="B572" s="193" t="s">
        <v>588</v>
      </c>
      <c r="C572" s="193" t="s">
        <v>1637</v>
      </c>
      <c r="D572" s="193" t="s">
        <v>1638</v>
      </c>
      <c r="E572" s="193" t="s">
        <v>545</v>
      </c>
      <c r="F572" s="196">
        <v>3500</v>
      </c>
      <c r="G572" s="194">
        <v>0.21712999999999993</v>
      </c>
      <c r="H572" s="195">
        <f t="shared" si="8"/>
        <v>759.95499999999981</v>
      </c>
      <c r="I572" s="193" t="s">
        <v>541</v>
      </c>
    </row>
    <row r="573" spans="1:9" x14ac:dyDescent="0.25">
      <c r="A573" s="193" t="s">
        <v>220</v>
      </c>
      <c r="B573" s="193" t="s">
        <v>588</v>
      </c>
      <c r="C573" s="193" t="s">
        <v>1639</v>
      </c>
      <c r="D573" s="193" t="s">
        <v>1640</v>
      </c>
      <c r="E573" s="193" t="s">
        <v>545</v>
      </c>
      <c r="F573" s="196">
        <v>2000</v>
      </c>
      <c r="G573" s="194">
        <v>0.10500000000000001</v>
      </c>
      <c r="H573" s="195">
        <f t="shared" si="8"/>
        <v>210.00000000000003</v>
      </c>
      <c r="I573" s="193" t="s">
        <v>541</v>
      </c>
    </row>
    <row r="574" spans="1:9" x14ac:dyDescent="0.25">
      <c r="A574" s="193" t="s">
        <v>220</v>
      </c>
      <c r="B574" s="193" t="s">
        <v>588</v>
      </c>
      <c r="C574" s="193" t="s">
        <v>1641</v>
      </c>
      <c r="D574" s="193" t="s">
        <v>1642</v>
      </c>
      <c r="E574" s="193" t="s">
        <v>545</v>
      </c>
      <c r="F574" s="196">
        <v>2500</v>
      </c>
      <c r="G574" s="194">
        <v>0.21358551020408162</v>
      </c>
      <c r="H574" s="195">
        <f t="shared" si="8"/>
        <v>533.96377551020407</v>
      </c>
      <c r="I574" s="193" t="s">
        <v>541</v>
      </c>
    </row>
    <row r="575" spans="1:9" x14ac:dyDescent="0.25">
      <c r="A575" s="193" t="s">
        <v>220</v>
      </c>
      <c r="B575" s="193" t="s">
        <v>588</v>
      </c>
      <c r="C575" s="193" t="s">
        <v>1643</v>
      </c>
      <c r="D575" s="193" t="s">
        <v>1644</v>
      </c>
      <c r="E575" s="193" t="s">
        <v>545</v>
      </c>
      <c r="F575" s="196">
        <v>2000</v>
      </c>
      <c r="G575" s="194">
        <v>0.155</v>
      </c>
      <c r="H575" s="195">
        <f t="shared" si="8"/>
        <v>310</v>
      </c>
      <c r="I575" s="193" t="s">
        <v>541</v>
      </c>
    </row>
    <row r="576" spans="1:9" x14ac:dyDescent="0.25">
      <c r="A576" s="193" t="s">
        <v>220</v>
      </c>
      <c r="B576" s="193" t="s">
        <v>588</v>
      </c>
      <c r="C576" s="193" t="s">
        <v>1645</v>
      </c>
      <c r="D576" s="193" t="s">
        <v>1646</v>
      </c>
      <c r="E576" s="193" t="s">
        <v>545</v>
      </c>
      <c r="F576" s="196">
        <v>500</v>
      </c>
      <c r="G576" s="194">
        <v>6.720000000000001E-2</v>
      </c>
      <c r="H576" s="195">
        <f t="shared" si="8"/>
        <v>33.6</v>
      </c>
      <c r="I576" s="193" t="s">
        <v>541</v>
      </c>
    </row>
    <row r="577" spans="1:9" x14ac:dyDescent="0.25">
      <c r="A577" s="193" t="s">
        <v>220</v>
      </c>
      <c r="B577" s="193" t="s">
        <v>588</v>
      </c>
      <c r="C577" s="193" t="s">
        <v>1647</v>
      </c>
      <c r="D577" s="193" t="s">
        <v>1648</v>
      </c>
      <c r="E577" s="193" t="s">
        <v>545</v>
      </c>
      <c r="F577" s="196">
        <v>3000</v>
      </c>
      <c r="G577" s="194">
        <v>3.0720000000000004E-2</v>
      </c>
      <c r="H577" s="195">
        <f t="shared" si="8"/>
        <v>92.160000000000011</v>
      </c>
      <c r="I577" s="193" t="s">
        <v>541</v>
      </c>
    </row>
    <row r="578" spans="1:9" x14ac:dyDescent="0.25">
      <c r="A578" s="193" t="s">
        <v>220</v>
      </c>
      <c r="B578" s="193" t="s">
        <v>588</v>
      </c>
      <c r="C578" s="193" t="s">
        <v>1649</v>
      </c>
      <c r="D578" s="193" t="s">
        <v>1650</v>
      </c>
      <c r="E578" s="193" t="s">
        <v>545</v>
      </c>
      <c r="F578" s="196">
        <v>1000</v>
      </c>
      <c r="G578" s="194">
        <v>3.5000000000000003E-2</v>
      </c>
      <c r="H578" s="195">
        <f t="shared" si="8"/>
        <v>35</v>
      </c>
      <c r="I578" s="193" t="s">
        <v>541</v>
      </c>
    </row>
    <row r="579" spans="1:9" x14ac:dyDescent="0.25">
      <c r="A579" s="193" t="s">
        <v>220</v>
      </c>
      <c r="B579" s="193" t="s">
        <v>588</v>
      </c>
      <c r="C579" s="193" t="s">
        <v>1651</v>
      </c>
      <c r="D579" s="193" t="s">
        <v>1652</v>
      </c>
      <c r="E579" s="193" t="s">
        <v>545</v>
      </c>
      <c r="F579" s="196">
        <v>3000</v>
      </c>
      <c r="G579" s="194">
        <v>6.720000000000001E-2</v>
      </c>
      <c r="H579" s="195">
        <f t="shared" si="8"/>
        <v>201.60000000000002</v>
      </c>
      <c r="I579" s="193" t="s">
        <v>541</v>
      </c>
    </row>
    <row r="580" spans="1:9" x14ac:dyDescent="0.25">
      <c r="A580" s="193" t="s">
        <v>220</v>
      </c>
      <c r="B580" s="193" t="s">
        <v>588</v>
      </c>
      <c r="C580" s="193" t="s">
        <v>1653</v>
      </c>
      <c r="D580" s="193" t="s">
        <v>1654</v>
      </c>
      <c r="E580" s="193" t="s">
        <v>545</v>
      </c>
      <c r="F580" s="196">
        <v>4000</v>
      </c>
      <c r="G580" s="194">
        <v>0.228495</v>
      </c>
      <c r="H580" s="195">
        <f t="shared" si="8"/>
        <v>913.98</v>
      </c>
      <c r="I580" s="193" t="s">
        <v>541</v>
      </c>
    </row>
    <row r="581" spans="1:9" x14ac:dyDescent="0.25">
      <c r="A581" s="193" t="s">
        <v>220</v>
      </c>
      <c r="B581" s="193" t="s">
        <v>588</v>
      </c>
      <c r="C581" s="193" t="s">
        <v>1655</v>
      </c>
      <c r="D581" s="193" t="s">
        <v>1656</v>
      </c>
      <c r="E581" s="193" t="s">
        <v>545</v>
      </c>
      <c r="F581" s="196">
        <v>1000</v>
      </c>
      <c r="G581" s="194">
        <v>0.14879999999999999</v>
      </c>
      <c r="H581" s="195">
        <f t="shared" ref="H581:H644" si="9">+F581*G581</f>
        <v>148.79999999999998</v>
      </c>
      <c r="I581" s="193" t="s">
        <v>541</v>
      </c>
    </row>
    <row r="582" spans="1:9" x14ac:dyDescent="0.25">
      <c r="A582" s="193" t="s">
        <v>220</v>
      </c>
      <c r="B582" s="193" t="s">
        <v>588</v>
      </c>
      <c r="C582" s="193" t="s">
        <v>1657</v>
      </c>
      <c r="D582" s="193" t="s">
        <v>1658</v>
      </c>
      <c r="E582" s="193" t="s">
        <v>545</v>
      </c>
      <c r="F582" s="196">
        <v>3300</v>
      </c>
      <c r="G582" s="194">
        <v>0.1515</v>
      </c>
      <c r="H582" s="195">
        <f t="shared" si="9"/>
        <v>499.95</v>
      </c>
      <c r="I582" s="193" t="s">
        <v>541</v>
      </c>
    </row>
    <row r="583" spans="1:9" x14ac:dyDescent="0.25">
      <c r="A583" s="193" t="s">
        <v>220</v>
      </c>
      <c r="B583" s="193" t="s">
        <v>588</v>
      </c>
      <c r="C583" s="193" t="s">
        <v>1659</v>
      </c>
      <c r="D583" s="193" t="s">
        <v>1660</v>
      </c>
      <c r="E583" s="193" t="s">
        <v>545</v>
      </c>
      <c r="F583" s="196">
        <v>1500</v>
      </c>
      <c r="G583" s="194">
        <v>3.3600000000000005E-2</v>
      </c>
      <c r="H583" s="195">
        <f t="shared" si="9"/>
        <v>50.400000000000006</v>
      </c>
      <c r="I583" s="193" t="s">
        <v>541</v>
      </c>
    </row>
    <row r="584" spans="1:9" x14ac:dyDescent="0.25">
      <c r="A584" s="193" t="s">
        <v>220</v>
      </c>
      <c r="B584" s="193" t="s">
        <v>588</v>
      </c>
      <c r="C584" s="193" t="s">
        <v>1661</v>
      </c>
      <c r="D584" s="193" t="s">
        <v>1662</v>
      </c>
      <c r="E584" s="193" t="s">
        <v>545</v>
      </c>
      <c r="F584" s="196">
        <v>1000</v>
      </c>
      <c r="G584" s="194">
        <v>0.20316491228070174</v>
      </c>
      <c r="H584" s="195">
        <f t="shared" si="9"/>
        <v>203.16491228070174</v>
      </c>
      <c r="I584" s="193" t="s">
        <v>541</v>
      </c>
    </row>
    <row r="585" spans="1:9" x14ac:dyDescent="0.25">
      <c r="A585" s="193" t="s">
        <v>220</v>
      </c>
      <c r="B585" s="193" t="s">
        <v>588</v>
      </c>
      <c r="C585" s="193" t="s">
        <v>1663</v>
      </c>
      <c r="D585" s="193" t="s">
        <v>1664</v>
      </c>
      <c r="E585" s="193" t="s">
        <v>545</v>
      </c>
      <c r="F585" s="196">
        <v>3400</v>
      </c>
      <c r="G585" s="194">
        <v>9.6687558107738575E-2</v>
      </c>
      <c r="H585" s="195">
        <f t="shared" si="9"/>
        <v>328.73769756631117</v>
      </c>
      <c r="I585" s="193" t="s">
        <v>541</v>
      </c>
    </row>
    <row r="586" spans="1:9" x14ac:dyDescent="0.25">
      <c r="A586" s="193" t="s">
        <v>220</v>
      </c>
      <c r="B586" s="193" t="s">
        <v>588</v>
      </c>
      <c r="C586" s="193" t="s">
        <v>1665</v>
      </c>
      <c r="D586" s="193" t="s">
        <v>1666</v>
      </c>
      <c r="E586" s="193" t="s">
        <v>545</v>
      </c>
      <c r="F586" s="196">
        <v>2500</v>
      </c>
      <c r="G586" s="194">
        <v>0.216</v>
      </c>
      <c r="H586" s="195">
        <f t="shared" si="9"/>
        <v>540</v>
      </c>
      <c r="I586" s="193" t="s">
        <v>541</v>
      </c>
    </row>
    <row r="587" spans="1:9" x14ac:dyDescent="0.25">
      <c r="A587" s="193" t="s">
        <v>220</v>
      </c>
      <c r="B587" s="193" t="s">
        <v>588</v>
      </c>
      <c r="C587" s="193" t="s">
        <v>1667</v>
      </c>
      <c r="D587" s="193" t="s">
        <v>1668</v>
      </c>
      <c r="E587" s="193" t="s">
        <v>545</v>
      </c>
      <c r="F587" s="196">
        <v>3500</v>
      </c>
      <c r="G587" s="194">
        <v>0.25755</v>
      </c>
      <c r="H587" s="195">
        <f t="shared" si="9"/>
        <v>901.42499999999995</v>
      </c>
      <c r="I587" s="193" t="s">
        <v>541</v>
      </c>
    </row>
    <row r="588" spans="1:9" x14ac:dyDescent="0.25">
      <c r="A588" s="193" t="s">
        <v>220</v>
      </c>
      <c r="B588" s="193" t="s">
        <v>588</v>
      </c>
      <c r="C588" s="193" t="s">
        <v>1669</v>
      </c>
      <c r="D588" s="193" t="s">
        <v>1670</v>
      </c>
      <c r="E588" s="193" t="s">
        <v>545</v>
      </c>
      <c r="F588" s="196">
        <v>3300</v>
      </c>
      <c r="G588" s="194">
        <v>0.29289999999999999</v>
      </c>
      <c r="H588" s="195">
        <f t="shared" si="9"/>
        <v>966.56999999999994</v>
      </c>
      <c r="I588" s="193" t="s">
        <v>541</v>
      </c>
    </row>
    <row r="589" spans="1:9" x14ac:dyDescent="0.25">
      <c r="A589" s="193" t="s">
        <v>220</v>
      </c>
      <c r="B589" s="193" t="s">
        <v>588</v>
      </c>
      <c r="C589" s="193" t="s">
        <v>1671</v>
      </c>
      <c r="D589" s="193" t="s">
        <v>1672</v>
      </c>
      <c r="E589" s="193" t="s">
        <v>545</v>
      </c>
      <c r="F589" s="196">
        <v>2500</v>
      </c>
      <c r="G589" s="194">
        <v>0.25755</v>
      </c>
      <c r="H589" s="195">
        <f t="shared" si="9"/>
        <v>643.875</v>
      </c>
      <c r="I589" s="193" t="s">
        <v>541</v>
      </c>
    </row>
    <row r="590" spans="1:9" x14ac:dyDescent="0.25">
      <c r="A590" s="193" t="s">
        <v>220</v>
      </c>
      <c r="B590" s="193" t="s">
        <v>588</v>
      </c>
      <c r="C590" s="193" t="s">
        <v>1673</v>
      </c>
      <c r="D590" s="193" t="s">
        <v>1674</v>
      </c>
      <c r="E590" s="193" t="s">
        <v>545</v>
      </c>
      <c r="F590" s="196">
        <v>3000</v>
      </c>
      <c r="G590" s="194">
        <v>0.29289999999999999</v>
      </c>
      <c r="H590" s="195">
        <f t="shared" si="9"/>
        <v>878.69999999999993</v>
      </c>
      <c r="I590" s="193" t="s">
        <v>541</v>
      </c>
    </row>
    <row r="591" spans="1:9" x14ac:dyDescent="0.25">
      <c r="A591" s="193" t="s">
        <v>220</v>
      </c>
      <c r="B591" s="193" t="s">
        <v>588</v>
      </c>
      <c r="C591" s="193" t="s">
        <v>1675</v>
      </c>
      <c r="D591" s="193" t="s">
        <v>1676</v>
      </c>
      <c r="E591" s="193" t="s">
        <v>545</v>
      </c>
      <c r="F591" s="196">
        <v>2000</v>
      </c>
      <c r="G591" s="194">
        <v>0.20705000000000004</v>
      </c>
      <c r="H591" s="195">
        <f t="shared" si="9"/>
        <v>414.10000000000008</v>
      </c>
      <c r="I591" s="193" t="s">
        <v>541</v>
      </c>
    </row>
    <row r="592" spans="1:9" x14ac:dyDescent="0.25">
      <c r="A592" s="193" t="s">
        <v>220</v>
      </c>
      <c r="B592" s="193" t="s">
        <v>588</v>
      </c>
      <c r="C592" s="193" t="s">
        <v>1677</v>
      </c>
      <c r="D592" s="193" t="s">
        <v>1678</v>
      </c>
      <c r="E592" s="193" t="s">
        <v>545</v>
      </c>
      <c r="F592" s="196">
        <v>3000</v>
      </c>
      <c r="G592" s="194">
        <v>0.21210000000000001</v>
      </c>
      <c r="H592" s="195">
        <f t="shared" si="9"/>
        <v>636.30000000000007</v>
      </c>
      <c r="I592" s="193" t="s">
        <v>541</v>
      </c>
    </row>
    <row r="593" spans="1:9" x14ac:dyDescent="0.25">
      <c r="A593" s="193" t="s">
        <v>220</v>
      </c>
      <c r="B593" s="193" t="s">
        <v>588</v>
      </c>
      <c r="C593" s="193" t="s">
        <v>1679</v>
      </c>
      <c r="D593" s="193" t="s">
        <v>1680</v>
      </c>
      <c r="E593" s="193" t="s">
        <v>545</v>
      </c>
      <c r="F593" s="196">
        <v>3700</v>
      </c>
      <c r="G593" s="194">
        <v>0.20891192341166234</v>
      </c>
      <c r="H593" s="195">
        <f t="shared" si="9"/>
        <v>772.97411662315062</v>
      </c>
      <c r="I593" s="193" t="s">
        <v>541</v>
      </c>
    </row>
    <row r="594" spans="1:9" x14ac:dyDescent="0.25">
      <c r="A594" s="193" t="s">
        <v>220</v>
      </c>
      <c r="B594" s="193" t="s">
        <v>588</v>
      </c>
      <c r="C594" s="193" t="s">
        <v>1681</v>
      </c>
      <c r="D594" s="193" t="s">
        <v>1682</v>
      </c>
      <c r="E594" s="193" t="s">
        <v>545</v>
      </c>
      <c r="F594" s="196">
        <v>2220</v>
      </c>
      <c r="G594" s="194">
        <v>0.20388062827225134</v>
      </c>
      <c r="H594" s="195">
        <f t="shared" si="9"/>
        <v>452.61499476439798</v>
      </c>
      <c r="I594" s="193" t="s">
        <v>541</v>
      </c>
    </row>
    <row r="595" spans="1:9" x14ac:dyDescent="0.25">
      <c r="A595" s="193" t="s">
        <v>220</v>
      </c>
      <c r="B595" s="193" t="s">
        <v>588</v>
      </c>
      <c r="C595" s="193" t="s">
        <v>1683</v>
      </c>
      <c r="D595" s="193" t="s">
        <v>1684</v>
      </c>
      <c r="E595" s="193" t="s">
        <v>545</v>
      </c>
      <c r="F595" s="196">
        <v>3820</v>
      </c>
      <c r="G595" s="194">
        <v>0.18387219917012451</v>
      </c>
      <c r="H595" s="195">
        <f t="shared" si="9"/>
        <v>702.39180082987559</v>
      </c>
      <c r="I595" s="193" t="s">
        <v>541</v>
      </c>
    </row>
    <row r="596" spans="1:9" x14ac:dyDescent="0.25">
      <c r="A596" s="193" t="s">
        <v>220</v>
      </c>
      <c r="B596" s="193" t="s">
        <v>588</v>
      </c>
      <c r="C596" s="193" t="s">
        <v>1685</v>
      </c>
      <c r="D596" s="193" t="s">
        <v>1686</v>
      </c>
      <c r="E596" s="193" t="s">
        <v>545</v>
      </c>
      <c r="F596" s="196">
        <v>21000</v>
      </c>
      <c r="G596" s="194">
        <v>0.1816888681204569</v>
      </c>
      <c r="H596" s="195">
        <f t="shared" si="9"/>
        <v>3815.4662305295947</v>
      </c>
      <c r="I596" s="193" t="s">
        <v>541</v>
      </c>
    </row>
    <row r="597" spans="1:9" x14ac:dyDescent="0.25">
      <c r="A597" s="193" t="s">
        <v>220</v>
      </c>
      <c r="B597" s="193" t="s">
        <v>588</v>
      </c>
      <c r="C597" s="193" t="s">
        <v>1687</v>
      </c>
      <c r="D597" s="193" t="s">
        <v>1688</v>
      </c>
      <c r="E597" s="193" t="s">
        <v>545</v>
      </c>
      <c r="F597" s="196">
        <v>2850</v>
      </c>
      <c r="G597" s="194">
        <v>0.21210000000000001</v>
      </c>
      <c r="H597" s="195">
        <f t="shared" si="9"/>
        <v>604.48500000000001</v>
      </c>
      <c r="I597" s="193" t="s">
        <v>541</v>
      </c>
    </row>
    <row r="598" spans="1:9" x14ac:dyDescent="0.25">
      <c r="A598" s="193" t="s">
        <v>220</v>
      </c>
      <c r="B598" s="193" t="s">
        <v>588</v>
      </c>
      <c r="C598" s="193" t="s">
        <v>1689</v>
      </c>
      <c r="D598" s="193" t="s">
        <v>1690</v>
      </c>
      <c r="E598" s="193" t="s">
        <v>545</v>
      </c>
      <c r="F598" s="196">
        <v>2850</v>
      </c>
      <c r="G598" s="194">
        <v>0.2828</v>
      </c>
      <c r="H598" s="195">
        <f t="shared" si="9"/>
        <v>805.98</v>
      </c>
      <c r="I598" s="193" t="s">
        <v>541</v>
      </c>
    </row>
    <row r="599" spans="1:9" x14ac:dyDescent="0.25">
      <c r="A599" s="193" t="s">
        <v>220</v>
      </c>
      <c r="B599" s="193" t="s">
        <v>588</v>
      </c>
      <c r="C599" s="193" t="s">
        <v>1691</v>
      </c>
      <c r="D599" s="193" t="s">
        <v>1692</v>
      </c>
      <c r="E599" s="193" t="s">
        <v>545</v>
      </c>
      <c r="F599" s="196">
        <v>2850</v>
      </c>
      <c r="G599" s="194">
        <v>0.21210000000000001</v>
      </c>
      <c r="H599" s="195">
        <f t="shared" si="9"/>
        <v>604.48500000000001</v>
      </c>
      <c r="I599" s="193" t="s">
        <v>541</v>
      </c>
    </row>
    <row r="600" spans="1:9" x14ac:dyDescent="0.25">
      <c r="A600" s="193" t="s">
        <v>220</v>
      </c>
      <c r="B600" s="193" t="s">
        <v>588</v>
      </c>
      <c r="C600" s="193" t="s">
        <v>1693</v>
      </c>
      <c r="D600" s="193" t="s">
        <v>1694</v>
      </c>
      <c r="E600" s="193" t="s">
        <v>545</v>
      </c>
      <c r="F600" s="196">
        <v>2850</v>
      </c>
      <c r="G600" s="194">
        <v>0.30299999999999999</v>
      </c>
      <c r="H600" s="195">
        <f t="shared" si="9"/>
        <v>863.55</v>
      </c>
      <c r="I600" s="193" t="s">
        <v>541</v>
      </c>
    </row>
    <row r="601" spans="1:9" x14ac:dyDescent="0.25">
      <c r="A601" s="193" t="s">
        <v>220</v>
      </c>
      <c r="B601" s="193" t="s">
        <v>588</v>
      </c>
      <c r="C601" s="193" t="s">
        <v>1695</v>
      </c>
      <c r="D601" s="193" t="s">
        <v>1696</v>
      </c>
      <c r="E601" s="193" t="s">
        <v>545</v>
      </c>
      <c r="F601" s="196">
        <v>2850</v>
      </c>
      <c r="G601" s="194">
        <v>0.21210000000000001</v>
      </c>
      <c r="H601" s="195">
        <f t="shared" si="9"/>
        <v>604.48500000000001</v>
      </c>
      <c r="I601" s="193" t="s">
        <v>541</v>
      </c>
    </row>
    <row r="602" spans="1:9" x14ac:dyDescent="0.25">
      <c r="A602" s="193" t="s">
        <v>220</v>
      </c>
      <c r="B602" s="193" t="s">
        <v>588</v>
      </c>
      <c r="C602" s="193" t="s">
        <v>1697</v>
      </c>
      <c r="D602" s="193" t="s">
        <v>1698</v>
      </c>
      <c r="E602" s="193" t="s">
        <v>545</v>
      </c>
      <c r="F602" s="196">
        <v>2850</v>
      </c>
      <c r="G602" s="194">
        <v>0.30299999999999999</v>
      </c>
      <c r="H602" s="195">
        <f t="shared" si="9"/>
        <v>863.55</v>
      </c>
      <c r="I602" s="193" t="s">
        <v>541</v>
      </c>
    </row>
    <row r="603" spans="1:9" x14ac:dyDescent="0.25">
      <c r="A603" s="193" t="s">
        <v>220</v>
      </c>
      <c r="B603" s="193" t="s">
        <v>588</v>
      </c>
      <c r="C603" s="193" t="s">
        <v>1699</v>
      </c>
      <c r="D603" s="193" t="s">
        <v>1700</v>
      </c>
      <c r="E603" s="193" t="s">
        <v>545</v>
      </c>
      <c r="F603" s="196">
        <v>2200</v>
      </c>
      <c r="G603" s="194">
        <v>0.2828</v>
      </c>
      <c r="H603" s="195">
        <f t="shared" si="9"/>
        <v>622.16</v>
      </c>
      <c r="I603" s="193" t="s">
        <v>541</v>
      </c>
    </row>
    <row r="604" spans="1:9" x14ac:dyDescent="0.25">
      <c r="A604" s="193" t="s">
        <v>220</v>
      </c>
      <c r="B604" s="193" t="s">
        <v>588</v>
      </c>
      <c r="C604" s="193" t="s">
        <v>1701</v>
      </c>
      <c r="D604" s="193" t="s">
        <v>1702</v>
      </c>
      <c r="E604" s="193" t="s">
        <v>545</v>
      </c>
      <c r="F604" s="196">
        <v>2200</v>
      </c>
      <c r="G604" s="194">
        <v>0.2828</v>
      </c>
      <c r="H604" s="195">
        <f t="shared" si="9"/>
        <v>622.16</v>
      </c>
      <c r="I604" s="193" t="s">
        <v>541</v>
      </c>
    </row>
    <row r="605" spans="1:9" x14ac:dyDescent="0.25">
      <c r="A605" s="193" t="s">
        <v>220</v>
      </c>
      <c r="B605" s="193" t="s">
        <v>588</v>
      </c>
      <c r="C605" s="193" t="s">
        <v>1703</v>
      </c>
      <c r="D605" s="193" t="s">
        <v>1704</v>
      </c>
      <c r="E605" s="193" t="s">
        <v>545</v>
      </c>
      <c r="F605" s="196">
        <v>2500</v>
      </c>
      <c r="G605" s="194">
        <v>0.34945999999999999</v>
      </c>
      <c r="H605" s="195">
        <f t="shared" si="9"/>
        <v>873.65</v>
      </c>
      <c r="I605" s="193" t="s">
        <v>541</v>
      </c>
    </row>
    <row r="606" spans="1:9" x14ac:dyDescent="0.25">
      <c r="A606" s="193" t="s">
        <v>220</v>
      </c>
      <c r="B606" s="193" t="s">
        <v>588</v>
      </c>
      <c r="C606" s="193" t="s">
        <v>1705</v>
      </c>
      <c r="D606" s="193" t="s">
        <v>1706</v>
      </c>
      <c r="E606" s="193" t="s">
        <v>545</v>
      </c>
      <c r="F606" s="196">
        <v>2500</v>
      </c>
      <c r="G606" s="194">
        <v>0.34945999999999999</v>
      </c>
      <c r="H606" s="195">
        <f t="shared" si="9"/>
        <v>873.65</v>
      </c>
      <c r="I606" s="193" t="s">
        <v>541</v>
      </c>
    </row>
    <row r="607" spans="1:9" x14ac:dyDescent="0.25">
      <c r="A607" s="193" t="s">
        <v>220</v>
      </c>
      <c r="B607" s="193" t="s">
        <v>588</v>
      </c>
      <c r="C607" s="193" t="s">
        <v>1707</v>
      </c>
      <c r="D607" s="193" t="s">
        <v>1708</v>
      </c>
      <c r="E607" s="193" t="s">
        <v>545</v>
      </c>
      <c r="F607" s="196">
        <v>2250</v>
      </c>
      <c r="G607" s="194">
        <v>0.40400000000000003</v>
      </c>
      <c r="H607" s="195">
        <f t="shared" si="9"/>
        <v>909.00000000000011</v>
      </c>
      <c r="I607" s="193" t="s">
        <v>541</v>
      </c>
    </row>
    <row r="608" spans="1:9" x14ac:dyDescent="0.25">
      <c r="A608" s="193" t="s">
        <v>220</v>
      </c>
      <c r="B608" s="193" t="s">
        <v>588</v>
      </c>
      <c r="C608" s="193" t="s">
        <v>1709</v>
      </c>
      <c r="D608" s="193" t="s">
        <v>1710</v>
      </c>
      <c r="E608" s="193" t="s">
        <v>545</v>
      </c>
      <c r="F608" s="196">
        <v>2370</v>
      </c>
      <c r="G608" s="194">
        <v>0.40400000000000003</v>
      </c>
      <c r="H608" s="195">
        <f t="shared" si="9"/>
        <v>957.48</v>
      </c>
      <c r="I608" s="193" t="s">
        <v>541</v>
      </c>
    </row>
    <row r="609" spans="1:9" x14ac:dyDescent="0.25">
      <c r="A609" s="193" t="s">
        <v>220</v>
      </c>
      <c r="B609" s="193" t="s">
        <v>588</v>
      </c>
      <c r="C609" s="193" t="s">
        <v>1711</v>
      </c>
      <c r="D609" s="193" t="s">
        <v>1712</v>
      </c>
      <c r="E609" s="193" t="s">
        <v>545</v>
      </c>
      <c r="F609" s="196">
        <v>1870</v>
      </c>
      <c r="G609" s="194">
        <v>0.45449999999999996</v>
      </c>
      <c r="H609" s="195">
        <f t="shared" si="9"/>
        <v>849.91499999999996</v>
      </c>
      <c r="I609" s="193" t="s">
        <v>541</v>
      </c>
    </row>
    <row r="610" spans="1:9" x14ac:dyDescent="0.25">
      <c r="A610" s="193" t="s">
        <v>220</v>
      </c>
      <c r="B610" s="193" t="s">
        <v>588</v>
      </c>
      <c r="C610" s="193" t="s">
        <v>1713</v>
      </c>
      <c r="D610" s="193" t="s">
        <v>1714</v>
      </c>
      <c r="E610" s="193" t="s">
        <v>545</v>
      </c>
      <c r="F610" s="196">
        <v>2370</v>
      </c>
      <c r="G610" s="194">
        <v>0.55549999999999999</v>
      </c>
      <c r="H610" s="195">
        <f t="shared" si="9"/>
        <v>1316.5350000000001</v>
      </c>
      <c r="I610" s="193" t="s">
        <v>541</v>
      </c>
    </row>
    <row r="611" spans="1:9" x14ac:dyDescent="0.25">
      <c r="A611" s="193" t="s">
        <v>220</v>
      </c>
      <c r="B611" s="193" t="s">
        <v>588</v>
      </c>
      <c r="C611" s="193" t="s">
        <v>1715</v>
      </c>
      <c r="D611" s="193" t="s">
        <v>1716</v>
      </c>
      <c r="E611" s="193" t="s">
        <v>545</v>
      </c>
      <c r="F611" s="196">
        <v>1000</v>
      </c>
      <c r="G611" s="194">
        <v>0.21210000000000001</v>
      </c>
      <c r="H611" s="195">
        <f t="shared" si="9"/>
        <v>212.10000000000002</v>
      </c>
      <c r="I611" s="193" t="s">
        <v>541</v>
      </c>
    </row>
    <row r="612" spans="1:9" x14ac:dyDescent="0.25">
      <c r="A612" s="193" t="s">
        <v>220</v>
      </c>
      <c r="B612" s="193" t="s">
        <v>588</v>
      </c>
      <c r="C612" s="193" t="s">
        <v>1717</v>
      </c>
      <c r="D612" s="193" t="s">
        <v>1718</v>
      </c>
      <c r="E612" s="193" t="s">
        <v>545</v>
      </c>
      <c r="F612" s="196">
        <v>1000</v>
      </c>
      <c r="G612" s="194">
        <v>0.35349999999999998</v>
      </c>
      <c r="H612" s="195">
        <f t="shared" si="9"/>
        <v>353.5</v>
      </c>
      <c r="I612" s="193" t="s">
        <v>541</v>
      </c>
    </row>
    <row r="613" spans="1:9" x14ac:dyDescent="0.25">
      <c r="A613" s="193" t="s">
        <v>220</v>
      </c>
      <c r="B613" s="193" t="s">
        <v>588</v>
      </c>
      <c r="C613" s="193" t="s">
        <v>1719</v>
      </c>
      <c r="D613" s="193" t="s">
        <v>1720</v>
      </c>
      <c r="E613" s="193" t="s">
        <v>545</v>
      </c>
      <c r="F613" s="196">
        <v>1250</v>
      </c>
      <c r="G613" s="194">
        <v>0.2525</v>
      </c>
      <c r="H613" s="195">
        <f t="shared" si="9"/>
        <v>315.625</v>
      </c>
      <c r="I613" s="193" t="s">
        <v>541</v>
      </c>
    </row>
    <row r="614" spans="1:9" x14ac:dyDescent="0.25">
      <c r="A614" s="193" t="s">
        <v>220</v>
      </c>
      <c r="B614" s="193" t="s">
        <v>588</v>
      </c>
      <c r="C614" s="193" t="s">
        <v>1721</v>
      </c>
      <c r="D614" s="193" t="s">
        <v>1722</v>
      </c>
      <c r="E614" s="193" t="s">
        <v>545</v>
      </c>
      <c r="F614" s="196">
        <v>1250</v>
      </c>
      <c r="G614" s="194">
        <v>0.43935000000000002</v>
      </c>
      <c r="H614" s="195">
        <f t="shared" si="9"/>
        <v>549.1875</v>
      </c>
      <c r="I614" s="193" t="s">
        <v>541</v>
      </c>
    </row>
    <row r="615" spans="1:9" x14ac:dyDescent="0.25">
      <c r="A615" s="193" t="s">
        <v>220</v>
      </c>
      <c r="B615" s="193" t="s">
        <v>588</v>
      </c>
      <c r="C615" s="193" t="s">
        <v>1723</v>
      </c>
      <c r="D615" s="193" t="s">
        <v>1724</v>
      </c>
      <c r="E615" s="193" t="s">
        <v>545</v>
      </c>
      <c r="F615" s="196">
        <v>1500</v>
      </c>
      <c r="G615" s="194">
        <v>0.2525</v>
      </c>
      <c r="H615" s="195">
        <f t="shared" si="9"/>
        <v>378.75</v>
      </c>
      <c r="I615" s="193" t="s">
        <v>541</v>
      </c>
    </row>
    <row r="616" spans="1:9" x14ac:dyDescent="0.25">
      <c r="A616" s="193" t="s">
        <v>220</v>
      </c>
      <c r="B616" s="193" t="s">
        <v>588</v>
      </c>
      <c r="C616" s="193" t="s">
        <v>1725</v>
      </c>
      <c r="D616" s="193" t="s">
        <v>1726</v>
      </c>
      <c r="E616" s="193" t="s">
        <v>545</v>
      </c>
      <c r="F616" s="196">
        <v>1500</v>
      </c>
      <c r="G616" s="194">
        <v>0.43934999999999996</v>
      </c>
      <c r="H616" s="195">
        <f t="shared" si="9"/>
        <v>659.02499999999998</v>
      </c>
      <c r="I616" s="193" t="s">
        <v>541</v>
      </c>
    </row>
    <row r="617" spans="1:9" x14ac:dyDescent="0.25">
      <c r="A617" s="193" t="s">
        <v>220</v>
      </c>
      <c r="B617" s="193" t="s">
        <v>588</v>
      </c>
      <c r="C617" s="193" t="s">
        <v>1727</v>
      </c>
      <c r="D617" s="193" t="s">
        <v>1728</v>
      </c>
      <c r="E617" s="193" t="s">
        <v>545</v>
      </c>
      <c r="F617" s="196">
        <v>2000</v>
      </c>
      <c r="G617" s="194">
        <v>0.42925000000000002</v>
      </c>
      <c r="H617" s="195">
        <f t="shared" si="9"/>
        <v>858.5</v>
      </c>
      <c r="I617" s="193" t="s">
        <v>541</v>
      </c>
    </row>
    <row r="618" spans="1:9" x14ac:dyDescent="0.25">
      <c r="A618" s="193" t="s">
        <v>220</v>
      </c>
      <c r="B618" s="193" t="s">
        <v>588</v>
      </c>
      <c r="C618" s="193" t="s">
        <v>1729</v>
      </c>
      <c r="D618" s="193" t="s">
        <v>1730</v>
      </c>
      <c r="E618" s="193" t="s">
        <v>545</v>
      </c>
      <c r="F618" s="196">
        <v>2000</v>
      </c>
      <c r="G618" s="194">
        <v>0.42925000000000002</v>
      </c>
      <c r="H618" s="195">
        <f t="shared" si="9"/>
        <v>858.5</v>
      </c>
      <c r="I618" s="193" t="s">
        <v>541</v>
      </c>
    </row>
    <row r="619" spans="1:9" x14ac:dyDescent="0.25">
      <c r="A619" s="193" t="s">
        <v>220</v>
      </c>
      <c r="B619" s="193" t="s">
        <v>588</v>
      </c>
      <c r="C619" s="193" t="s">
        <v>1731</v>
      </c>
      <c r="D619" s="193" t="s">
        <v>1732</v>
      </c>
      <c r="E619" s="193" t="s">
        <v>545</v>
      </c>
      <c r="F619" s="196">
        <v>1550</v>
      </c>
      <c r="G619" s="194">
        <v>0.42499999999999999</v>
      </c>
      <c r="H619" s="195">
        <f t="shared" si="9"/>
        <v>658.75</v>
      </c>
      <c r="I619" s="193" t="s">
        <v>541</v>
      </c>
    </row>
    <row r="620" spans="1:9" x14ac:dyDescent="0.25">
      <c r="A620" s="193" t="s">
        <v>220</v>
      </c>
      <c r="B620" s="193" t="s">
        <v>588</v>
      </c>
      <c r="C620" s="193" t="s">
        <v>1733</v>
      </c>
      <c r="D620" s="193" t="s">
        <v>1734</v>
      </c>
      <c r="E620" s="193" t="s">
        <v>545</v>
      </c>
      <c r="F620" s="196">
        <v>1550</v>
      </c>
      <c r="G620" s="194">
        <v>0.42924999999999996</v>
      </c>
      <c r="H620" s="195">
        <f t="shared" si="9"/>
        <v>665.33749999999998</v>
      </c>
      <c r="I620" s="193" t="s">
        <v>541</v>
      </c>
    </row>
    <row r="621" spans="1:9" x14ac:dyDescent="0.25">
      <c r="A621" s="193" t="s">
        <v>220</v>
      </c>
      <c r="B621" s="193" t="s">
        <v>588</v>
      </c>
      <c r="C621" s="193" t="s">
        <v>1735</v>
      </c>
      <c r="D621" s="193" t="s">
        <v>1736</v>
      </c>
      <c r="E621" s="193" t="s">
        <v>545</v>
      </c>
      <c r="F621" s="196">
        <v>1750</v>
      </c>
      <c r="G621" s="194">
        <v>0.47975000000000001</v>
      </c>
      <c r="H621" s="195">
        <f t="shared" si="9"/>
        <v>839.5625</v>
      </c>
      <c r="I621" s="193" t="s">
        <v>541</v>
      </c>
    </row>
    <row r="622" spans="1:9" x14ac:dyDescent="0.25">
      <c r="A622" s="193" t="s">
        <v>220</v>
      </c>
      <c r="B622" s="193" t="s">
        <v>588</v>
      </c>
      <c r="C622" s="193" t="s">
        <v>1737</v>
      </c>
      <c r="D622" s="193" t="s">
        <v>1738</v>
      </c>
      <c r="E622" s="193" t="s">
        <v>545</v>
      </c>
      <c r="F622" s="196">
        <v>1500</v>
      </c>
      <c r="G622" s="194">
        <v>0.47975000000000001</v>
      </c>
      <c r="H622" s="195">
        <f t="shared" si="9"/>
        <v>719.625</v>
      </c>
      <c r="I622" s="193" t="s">
        <v>541</v>
      </c>
    </row>
    <row r="623" spans="1:9" x14ac:dyDescent="0.25">
      <c r="A623" s="193" t="s">
        <v>220</v>
      </c>
      <c r="B623" s="193" t="s">
        <v>588</v>
      </c>
      <c r="C623" s="193" t="s">
        <v>1739</v>
      </c>
      <c r="D623" s="193" t="s">
        <v>1740</v>
      </c>
      <c r="E623" s="193" t="s">
        <v>545</v>
      </c>
      <c r="F623" s="196">
        <v>2250</v>
      </c>
      <c r="G623" s="194">
        <v>0.47975000000000001</v>
      </c>
      <c r="H623" s="195">
        <f t="shared" si="9"/>
        <v>1079.4375</v>
      </c>
      <c r="I623" s="193" t="s">
        <v>541</v>
      </c>
    </row>
    <row r="624" spans="1:9" x14ac:dyDescent="0.25">
      <c r="A624" s="193" t="s">
        <v>220</v>
      </c>
      <c r="B624" s="193" t="s">
        <v>588</v>
      </c>
      <c r="C624" s="193" t="s">
        <v>1741</v>
      </c>
      <c r="D624" s="193" t="s">
        <v>1742</v>
      </c>
      <c r="E624" s="193" t="s">
        <v>545</v>
      </c>
      <c r="F624" s="196">
        <v>2000</v>
      </c>
      <c r="G624" s="194">
        <v>0.47975000000000001</v>
      </c>
      <c r="H624" s="195">
        <f t="shared" si="9"/>
        <v>959.5</v>
      </c>
      <c r="I624" s="193" t="s">
        <v>541</v>
      </c>
    </row>
    <row r="625" spans="1:9" x14ac:dyDescent="0.25">
      <c r="A625" s="193" t="s">
        <v>220</v>
      </c>
      <c r="B625" s="193" t="s">
        <v>588</v>
      </c>
      <c r="C625" s="193" t="s">
        <v>1743</v>
      </c>
      <c r="D625" s="193" t="s">
        <v>1744</v>
      </c>
      <c r="E625" s="193" t="s">
        <v>545</v>
      </c>
      <c r="F625" s="196">
        <v>3500</v>
      </c>
      <c r="G625" s="194">
        <v>0.60398000000000007</v>
      </c>
      <c r="H625" s="195">
        <f t="shared" si="9"/>
        <v>2113.9300000000003</v>
      </c>
      <c r="I625" s="193" t="s">
        <v>541</v>
      </c>
    </row>
    <row r="626" spans="1:9" x14ac:dyDescent="0.25">
      <c r="A626" s="193" t="s">
        <v>220</v>
      </c>
      <c r="B626" s="193" t="s">
        <v>588</v>
      </c>
      <c r="C626" s="193" t="s">
        <v>1745</v>
      </c>
      <c r="D626" s="193" t="s">
        <v>1746</v>
      </c>
      <c r="E626" s="193" t="s">
        <v>545</v>
      </c>
      <c r="F626" s="196">
        <v>3500</v>
      </c>
      <c r="G626" s="194">
        <v>0.61609999999999998</v>
      </c>
      <c r="H626" s="195">
        <f t="shared" si="9"/>
        <v>2156.35</v>
      </c>
      <c r="I626" s="193" t="s">
        <v>541</v>
      </c>
    </row>
    <row r="627" spans="1:9" x14ac:dyDescent="0.25">
      <c r="A627" s="193" t="s">
        <v>220</v>
      </c>
      <c r="B627" s="193" t="s">
        <v>588</v>
      </c>
      <c r="C627" s="193" t="s">
        <v>1747</v>
      </c>
      <c r="D627" s="193" t="s">
        <v>1748</v>
      </c>
      <c r="E627" s="193" t="s">
        <v>545</v>
      </c>
      <c r="F627" s="196">
        <v>1500</v>
      </c>
      <c r="G627" s="194">
        <v>0.61609999999999998</v>
      </c>
      <c r="H627" s="195">
        <f t="shared" si="9"/>
        <v>924.15</v>
      </c>
      <c r="I627" s="193" t="s">
        <v>541</v>
      </c>
    </row>
    <row r="628" spans="1:9" x14ac:dyDescent="0.25">
      <c r="A628" s="193" t="s">
        <v>220</v>
      </c>
      <c r="B628" s="193" t="s">
        <v>588</v>
      </c>
      <c r="C628" s="193" t="s">
        <v>1749</v>
      </c>
      <c r="D628" s="193" t="s">
        <v>1750</v>
      </c>
      <c r="E628" s="193" t="s">
        <v>545</v>
      </c>
      <c r="F628" s="196">
        <v>2000</v>
      </c>
      <c r="G628" s="194">
        <v>0.66154999999999997</v>
      </c>
      <c r="H628" s="195">
        <f t="shared" si="9"/>
        <v>1323.1</v>
      </c>
      <c r="I628" s="193" t="s">
        <v>541</v>
      </c>
    </row>
    <row r="629" spans="1:9" x14ac:dyDescent="0.25">
      <c r="A629" s="193" t="s">
        <v>220</v>
      </c>
      <c r="B629" s="193" t="s">
        <v>588</v>
      </c>
      <c r="C629" s="193" t="s">
        <v>1751</v>
      </c>
      <c r="D629" s="193" t="s">
        <v>1752</v>
      </c>
      <c r="E629" s="193" t="s">
        <v>545</v>
      </c>
      <c r="F629" s="196">
        <v>500</v>
      </c>
      <c r="G629" s="194">
        <v>0.66155000000000008</v>
      </c>
      <c r="H629" s="195">
        <f t="shared" si="9"/>
        <v>330.77500000000003</v>
      </c>
      <c r="I629" s="193" t="s">
        <v>541</v>
      </c>
    </row>
    <row r="630" spans="1:9" x14ac:dyDescent="0.25">
      <c r="A630" s="193" t="s">
        <v>220</v>
      </c>
      <c r="B630" s="193" t="s">
        <v>588</v>
      </c>
      <c r="C630" s="193" t="s">
        <v>1753</v>
      </c>
      <c r="D630" s="193" t="s">
        <v>1754</v>
      </c>
      <c r="E630" s="193" t="s">
        <v>545</v>
      </c>
      <c r="F630" s="196">
        <v>1500</v>
      </c>
      <c r="G630" s="194">
        <v>0.70194999999999996</v>
      </c>
      <c r="H630" s="195">
        <f t="shared" si="9"/>
        <v>1052.925</v>
      </c>
      <c r="I630" s="193" t="s">
        <v>541</v>
      </c>
    </row>
    <row r="631" spans="1:9" x14ac:dyDescent="0.25">
      <c r="A631" s="193" t="s">
        <v>220</v>
      </c>
      <c r="B631" s="193" t="s">
        <v>588</v>
      </c>
      <c r="C631" s="193" t="s">
        <v>1755</v>
      </c>
      <c r="D631" s="193" t="s">
        <v>1756</v>
      </c>
      <c r="E631" s="193" t="s">
        <v>545</v>
      </c>
      <c r="F631" s="196">
        <v>1500</v>
      </c>
      <c r="G631" s="194">
        <v>0.70194999999999996</v>
      </c>
      <c r="H631" s="195">
        <f t="shared" si="9"/>
        <v>1052.925</v>
      </c>
      <c r="I631" s="193" t="s">
        <v>541</v>
      </c>
    </row>
    <row r="632" spans="1:9" x14ac:dyDescent="0.25">
      <c r="A632" s="193" t="s">
        <v>220</v>
      </c>
      <c r="B632" s="193" t="s">
        <v>588</v>
      </c>
      <c r="C632" s="193" t="s">
        <v>1757</v>
      </c>
      <c r="D632" s="193" t="s">
        <v>1758</v>
      </c>
      <c r="E632" s="193" t="s">
        <v>545</v>
      </c>
      <c r="F632" s="196">
        <v>1500</v>
      </c>
      <c r="G632" s="194">
        <v>0.70194999999999996</v>
      </c>
      <c r="H632" s="195">
        <f t="shared" si="9"/>
        <v>1052.925</v>
      </c>
      <c r="I632" s="193" t="s">
        <v>541</v>
      </c>
    </row>
    <row r="633" spans="1:9" x14ac:dyDescent="0.25">
      <c r="A633" s="193" t="s">
        <v>220</v>
      </c>
      <c r="B633" s="193" t="s">
        <v>588</v>
      </c>
      <c r="C633" s="193" t="s">
        <v>1759</v>
      </c>
      <c r="D633" s="193" t="s">
        <v>1760</v>
      </c>
      <c r="E633" s="193" t="s">
        <v>545</v>
      </c>
      <c r="F633" s="196">
        <v>1000</v>
      </c>
      <c r="G633" s="194">
        <v>0.31025851613783012</v>
      </c>
      <c r="H633" s="195">
        <f t="shared" si="9"/>
        <v>310.2585161378301</v>
      </c>
      <c r="I633" s="193" t="s">
        <v>541</v>
      </c>
    </row>
    <row r="634" spans="1:9" x14ac:dyDescent="0.25">
      <c r="A634" s="193" t="s">
        <v>220</v>
      </c>
      <c r="B634" s="193" t="s">
        <v>588</v>
      </c>
      <c r="C634" s="193" t="s">
        <v>1761</v>
      </c>
      <c r="D634" s="193" t="s">
        <v>1762</v>
      </c>
      <c r="E634" s="193" t="s">
        <v>545</v>
      </c>
      <c r="F634" s="196">
        <v>3500</v>
      </c>
      <c r="G634" s="194">
        <v>0.48080313646980316</v>
      </c>
      <c r="H634" s="195">
        <f t="shared" si="9"/>
        <v>1682.8109776443112</v>
      </c>
      <c r="I634" s="193" t="s">
        <v>541</v>
      </c>
    </row>
    <row r="635" spans="1:9" x14ac:dyDescent="0.25">
      <c r="A635" s="193" t="s">
        <v>220</v>
      </c>
      <c r="B635" s="193" t="s">
        <v>588</v>
      </c>
      <c r="C635" s="193" t="s">
        <v>1763</v>
      </c>
      <c r="D635" s="193" t="s">
        <v>1764</v>
      </c>
      <c r="E635" s="193" t="s">
        <v>545</v>
      </c>
      <c r="F635" s="196">
        <v>1000</v>
      </c>
      <c r="G635" s="194">
        <v>0.48318024083196498</v>
      </c>
      <c r="H635" s="195">
        <f t="shared" si="9"/>
        <v>483.18024083196497</v>
      </c>
      <c r="I635" s="193" t="s">
        <v>541</v>
      </c>
    </row>
    <row r="636" spans="1:9" x14ac:dyDescent="0.25">
      <c r="A636" s="193" t="s">
        <v>220</v>
      </c>
      <c r="B636" s="193" t="s">
        <v>588</v>
      </c>
      <c r="C636" s="193" t="s">
        <v>1765</v>
      </c>
      <c r="D636" s="193" t="s">
        <v>1766</v>
      </c>
      <c r="E636" s="193" t="s">
        <v>545</v>
      </c>
      <c r="F636" s="196">
        <v>2500</v>
      </c>
      <c r="G636" s="194">
        <v>0.52519999999999989</v>
      </c>
      <c r="H636" s="195">
        <f t="shared" si="9"/>
        <v>1312.9999999999998</v>
      </c>
      <c r="I636" s="193" t="s">
        <v>541</v>
      </c>
    </row>
    <row r="637" spans="1:9" x14ac:dyDescent="0.25">
      <c r="A637" s="193" t="s">
        <v>220</v>
      </c>
      <c r="B637" s="193" t="s">
        <v>588</v>
      </c>
      <c r="C637" s="193" t="s">
        <v>1767</v>
      </c>
      <c r="D637" s="193" t="s">
        <v>1768</v>
      </c>
      <c r="E637" s="193" t="s">
        <v>545</v>
      </c>
      <c r="F637" s="196">
        <v>2500</v>
      </c>
      <c r="G637" s="194">
        <v>0.50384074051075545</v>
      </c>
      <c r="H637" s="195">
        <f t="shared" si="9"/>
        <v>1259.6018512768885</v>
      </c>
      <c r="I637" s="193" t="s">
        <v>541</v>
      </c>
    </row>
    <row r="638" spans="1:9" x14ac:dyDescent="0.25">
      <c r="A638" s="193" t="s">
        <v>220</v>
      </c>
      <c r="B638" s="193" t="s">
        <v>588</v>
      </c>
      <c r="C638" s="193" t="s">
        <v>1769</v>
      </c>
      <c r="D638" s="193" t="s">
        <v>1770</v>
      </c>
      <c r="E638" s="193" t="s">
        <v>545</v>
      </c>
      <c r="F638" s="196">
        <v>3500</v>
      </c>
      <c r="G638" s="194">
        <v>0.68174999999999997</v>
      </c>
      <c r="H638" s="195">
        <f t="shared" si="9"/>
        <v>2386.125</v>
      </c>
      <c r="I638" s="193" t="s">
        <v>541</v>
      </c>
    </row>
    <row r="639" spans="1:9" x14ac:dyDescent="0.25">
      <c r="A639" s="193" t="s">
        <v>220</v>
      </c>
      <c r="B639" s="193" t="s">
        <v>588</v>
      </c>
      <c r="C639" s="193" t="s">
        <v>1771</v>
      </c>
      <c r="D639" s="193" t="s">
        <v>1772</v>
      </c>
      <c r="E639" s="193" t="s">
        <v>545</v>
      </c>
      <c r="F639" s="196">
        <v>4200</v>
      </c>
      <c r="G639" s="194">
        <v>0.39895000000000008</v>
      </c>
      <c r="H639" s="195">
        <f t="shared" si="9"/>
        <v>1675.5900000000004</v>
      </c>
      <c r="I639" s="193" t="s">
        <v>541</v>
      </c>
    </row>
    <row r="640" spans="1:9" x14ac:dyDescent="0.25">
      <c r="A640" s="193" t="s">
        <v>220</v>
      </c>
      <c r="B640" s="193" t="s">
        <v>588</v>
      </c>
      <c r="C640" s="193" t="s">
        <v>1773</v>
      </c>
      <c r="D640" s="193" t="s">
        <v>1774</v>
      </c>
      <c r="E640" s="193" t="s">
        <v>545</v>
      </c>
      <c r="F640" s="196">
        <v>7498</v>
      </c>
      <c r="G640" s="194">
        <v>0.47469999999999996</v>
      </c>
      <c r="H640" s="195">
        <f t="shared" si="9"/>
        <v>3559.3005999999996</v>
      </c>
      <c r="I640" s="193" t="s">
        <v>541</v>
      </c>
    </row>
    <row r="641" spans="1:9" x14ac:dyDescent="0.25">
      <c r="A641" s="193" t="s">
        <v>220</v>
      </c>
      <c r="B641" s="193" t="s">
        <v>588</v>
      </c>
      <c r="C641" s="193" t="s">
        <v>1775</v>
      </c>
      <c r="D641" s="193" t="s">
        <v>1776</v>
      </c>
      <c r="E641" s="193" t="s">
        <v>545</v>
      </c>
      <c r="F641" s="196">
        <v>3730</v>
      </c>
      <c r="G641" s="194">
        <v>0.505</v>
      </c>
      <c r="H641" s="195">
        <f t="shared" si="9"/>
        <v>1883.65</v>
      </c>
      <c r="I641" s="193" t="s">
        <v>541</v>
      </c>
    </row>
    <row r="642" spans="1:9" x14ac:dyDescent="0.25">
      <c r="A642" s="193" t="s">
        <v>220</v>
      </c>
      <c r="B642" s="193" t="s">
        <v>588</v>
      </c>
      <c r="C642" s="193" t="s">
        <v>1777</v>
      </c>
      <c r="D642" s="193" t="s">
        <v>1778</v>
      </c>
      <c r="E642" s="193" t="s">
        <v>545</v>
      </c>
      <c r="F642" s="196">
        <v>6930</v>
      </c>
      <c r="G642" s="194">
        <v>0.57569999999999999</v>
      </c>
      <c r="H642" s="195">
        <f t="shared" si="9"/>
        <v>3989.6010000000001</v>
      </c>
      <c r="I642" s="193" t="s">
        <v>541</v>
      </c>
    </row>
    <row r="643" spans="1:9" x14ac:dyDescent="0.25">
      <c r="A643" s="193" t="s">
        <v>220</v>
      </c>
      <c r="B643" s="193" t="s">
        <v>588</v>
      </c>
      <c r="C643" s="193" t="s">
        <v>1779</v>
      </c>
      <c r="D643" s="193" t="s">
        <v>1780</v>
      </c>
      <c r="E643" s="193" t="s">
        <v>545</v>
      </c>
      <c r="F643" s="196">
        <v>3145</v>
      </c>
      <c r="G643" s="194">
        <v>0.55044999999999999</v>
      </c>
      <c r="H643" s="195">
        <f t="shared" si="9"/>
        <v>1731.16525</v>
      </c>
      <c r="I643" s="193" t="s">
        <v>541</v>
      </c>
    </row>
    <row r="644" spans="1:9" x14ac:dyDescent="0.25">
      <c r="A644" s="193" t="s">
        <v>220</v>
      </c>
      <c r="B644" s="193" t="s">
        <v>588</v>
      </c>
      <c r="C644" s="193" t="s">
        <v>1781</v>
      </c>
      <c r="D644" s="193" t="s">
        <v>1782</v>
      </c>
      <c r="E644" s="193" t="s">
        <v>545</v>
      </c>
      <c r="F644" s="196">
        <v>3835</v>
      </c>
      <c r="G644" s="194">
        <v>0.68679999999999997</v>
      </c>
      <c r="H644" s="195">
        <f t="shared" si="9"/>
        <v>2633.8779999999997</v>
      </c>
      <c r="I644" s="193" t="s">
        <v>541</v>
      </c>
    </row>
    <row r="645" spans="1:9" x14ac:dyDescent="0.25">
      <c r="A645" s="193" t="s">
        <v>220</v>
      </c>
      <c r="B645" s="193" t="s">
        <v>588</v>
      </c>
      <c r="C645" s="193" t="s">
        <v>1783</v>
      </c>
      <c r="D645" s="193" t="s">
        <v>1784</v>
      </c>
      <c r="E645" s="193" t="s">
        <v>545</v>
      </c>
      <c r="F645" s="196">
        <v>2080</v>
      </c>
      <c r="G645" s="194">
        <v>0.22219999999999998</v>
      </c>
      <c r="H645" s="195">
        <f t="shared" ref="H645:H708" si="10">+F645*G645</f>
        <v>462.17599999999999</v>
      </c>
      <c r="I645" s="193" t="s">
        <v>541</v>
      </c>
    </row>
    <row r="646" spans="1:9" x14ac:dyDescent="0.25">
      <c r="A646" s="193" t="s">
        <v>220</v>
      </c>
      <c r="B646" s="193" t="s">
        <v>588</v>
      </c>
      <c r="C646" s="193" t="s">
        <v>1785</v>
      </c>
      <c r="D646" s="193" t="s">
        <v>1786</v>
      </c>
      <c r="E646" s="193" t="s">
        <v>545</v>
      </c>
      <c r="F646" s="196">
        <v>2860</v>
      </c>
      <c r="G646" s="194">
        <v>0.38379999999999997</v>
      </c>
      <c r="H646" s="195">
        <f t="shared" si="10"/>
        <v>1097.6679999999999</v>
      </c>
      <c r="I646" s="193" t="s">
        <v>541</v>
      </c>
    </row>
    <row r="647" spans="1:9" x14ac:dyDescent="0.25">
      <c r="A647" s="193" t="s">
        <v>220</v>
      </c>
      <c r="B647" s="193" t="s">
        <v>588</v>
      </c>
      <c r="C647" s="193" t="s">
        <v>1787</v>
      </c>
      <c r="D647" s="193" t="s">
        <v>1788</v>
      </c>
      <c r="E647" s="193" t="s">
        <v>545</v>
      </c>
      <c r="F647" s="196">
        <v>3480</v>
      </c>
      <c r="G647" s="194">
        <v>0.38379999999999992</v>
      </c>
      <c r="H647" s="195">
        <f t="shared" si="10"/>
        <v>1335.6239999999998</v>
      </c>
      <c r="I647" s="193" t="s">
        <v>541</v>
      </c>
    </row>
    <row r="648" spans="1:9" x14ac:dyDescent="0.25">
      <c r="A648" s="193" t="s">
        <v>220</v>
      </c>
      <c r="B648" s="193" t="s">
        <v>588</v>
      </c>
      <c r="C648" s="193" t="s">
        <v>1789</v>
      </c>
      <c r="D648" s="193" t="s">
        <v>1790</v>
      </c>
      <c r="E648" s="193" t="s">
        <v>545</v>
      </c>
      <c r="F648" s="196">
        <v>18200</v>
      </c>
      <c r="G648" s="194">
        <v>0.11613982249557735</v>
      </c>
      <c r="H648" s="195">
        <f t="shared" si="10"/>
        <v>2113.7447694195075</v>
      </c>
      <c r="I648" s="193" t="s">
        <v>541</v>
      </c>
    </row>
    <row r="649" spans="1:9" x14ac:dyDescent="0.25">
      <c r="A649" s="193" t="s">
        <v>220</v>
      </c>
      <c r="B649" s="193" t="s">
        <v>588</v>
      </c>
      <c r="C649" s="193" t="s">
        <v>1791</v>
      </c>
      <c r="D649" s="193" t="s">
        <v>1792</v>
      </c>
      <c r="E649" s="193" t="s">
        <v>545</v>
      </c>
      <c r="F649" s="196">
        <v>8200</v>
      </c>
      <c r="G649" s="194">
        <v>0.11615</v>
      </c>
      <c r="H649" s="195">
        <f t="shared" si="10"/>
        <v>952.43000000000006</v>
      </c>
      <c r="I649" s="193" t="s">
        <v>541</v>
      </c>
    </row>
    <row r="650" spans="1:9" x14ac:dyDescent="0.25">
      <c r="A650" s="193" t="s">
        <v>220</v>
      </c>
      <c r="B650" s="193" t="s">
        <v>588</v>
      </c>
      <c r="C650" s="193" t="s">
        <v>1793</v>
      </c>
      <c r="D650" s="193" t="s">
        <v>1794</v>
      </c>
      <c r="E650" s="193" t="s">
        <v>545</v>
      </c>
      <c r="F650" s="196">
        <v>7500</v>
      </c>
      <c r="G650" s="194">
        <v>0.1313</v>
      </c>
      <c r="H650" s="195">
        <f t="shared" si="10"/>
        <v>984.75</v>
      </c>
      <c r="I650" s="193" t="s">
        <v>541</v>
      </c>
    </row>
    <row r="651" spans="1:9" x14ac:dyDescent="0.25">
      <c r="A651" s="193" t="s">
        <v>220</v>
      </c>
      <c r="B651" s="193" t="s">
        <v>588</v>
      </c>
      <c r="C651" s="193" t="s">
        <v>1795</v>
      </c>
      <c r="D651" s="193" t="s">
        <v>1796</v>
      </c>
      <c r="E651" s="193" t="s">
        <v>545</v>
      </c>
      <c r="F651" s="196">
        <v>900</v>
      </c>
      <c r="G651" s="194">
        <v>0.1212</v>
      </c>
      <c r="H651" s="195">
        <f t="shared" si="10"/>
        <v>109.08</v>
      </c>
      <c r="I651" s="193" t="s">
        <v>541</v>
      </c>
    </row>
    <row r="652" spans="1:9" x14ac:dyDescent="0.25">
      <c r="A652" s="193" t="s">
        <v>220</v>
      </c>
      <c r="B652" s="193" t="s">
        <v>588</v>
      </c>
      <c r="C652" s="193" t="s">
        <v>1797</v>
      </c>
      <c r="D652" s="193" t="s">
        <v>1798</v>
      </c>
      <c r="E652" s="193" t="s">
        <v>545</v>
      </c>
      <c r="F652" s="196">
        <v>3600</v>
      </c>
      <c r="G652" s="194">
        <v>11.607676243473144</v>
      </c>
      <c r="H652" s="195">
        <f t="shared" si="10"/>
        <v>41787.634476503314</v>
      </c>
      <c r="I652" s="193" t="s">
        <v>541</v>
      </c>
    </row>
    <row r="653" spans="1:9" x14ac:dyDescent="0.25">
      <c r="A653" s="193" t="s">
        <v>220</v>
      </c>
      <c r="B653" s="193" t="s">
        <v>588</v>
      </c>
      <c r="C653" s="193" t="s">
        <v>1799</v>
      </c>
      <c r="D653" s="193" t="s">
        <v>1800</v>
      </c>
      <c r="E653" s="193" t="s">
        <v>545</v>
      </c>
      <c r="F653" s="196">
        <v>1380</v>
      </c>
      <c r="G653" s="194">
        <v>0.51462629309645624</v>
      </c>
      <c r="H653" s="195">
        <f t="shared" si="10"/>
        <v>710.18428447310964</v>
      </c>
      <c r="I653" s="193" t="s">
        <v>541</v>
      </c>
    </row>
    <row r="654" spans="1:9" x14ac:dyDescent="0.25">
      <c r="A654" s="193" t="s">
        <v>220</v>
      </c>
      <c r="B654" s="193" t="s">
        <v>588</v>
      </c>
      <c r="C654" s="193" t="s">
        <v>1801</v>
      </c>
      <c r="D654" s="193" t="s">
        <v>1802</v>
      </c>
      <c r="E654" s="193" t="s">
        <v>545</v>
      </c>
      <c r="F654" s="196">
        <v>57</v>
      </c>
      <c r="G654" s="194">
        <v>0.22000000000000003</v>
      </c>
      <c r="H654" s="195">
        <f t="shared" si="10"/>
        <v>12.540000000000001</v>
      </c>
      <c r="I654" s="193" t="s">
        <v>541</v>
      </c>
    </row>
    <row r="655" spans="1:9" x14ac:dyDescent="0.25">
      <c r="A655" s="193" t="s">
        <v>220</v>
      </c>
      <c r="B655" s="193" t="s">
        <v>588</v>
      </c>
      <c r="C655" s="193" t="s">
        <v>1803</v>
      </c>
      <c r="D655" s="193" t="s">
        <v>1804</v>
      </c>
      <c r="E655" s="193" t="s">
        <v>545</v>
      </c>
      <c r="F655" s="196">
        <v>230</v>
      </c>
      <c r="G655" s="194">
        <v>0.253</v>
      </c>
      <c r="H655" s="195">
        <f t="shared" si="10"/>
        <v>58.19</v>
      </c>
      <c r="I655" s="193" t="s">
        <v>541</v>
      </c>
    </row>
    <row r="656" spans="1:9" x14ac:dyDescent="0.25">
      <c r="A656" s="193" t="s">
        <v>220</v>
      </c>
      <c r="B656" s="193" t="s">
        <v>588</v>
      </c>
      <c r="C656" s="193" t="s">
        <v>1805</v>
      </c>
      <c r="D656" s="193" t="s">
        <v>1806</v>
      </c>
      <c r="E656" s="193" t="s">
        <v>545</v>
      </c>
      <c r="F656" s="196">
        <v>35</v>
      </c>
      <c r="G656" s="194">
        <v>0.29099999999999998</v>
      </c>
      <c r="H656" s="195">
        <f t="shared" si="10"/>
        <v>10.184999999999999</v>
      </c>
      <c r="I656" s="193" t="s">
        <v>541</v>
      </c>
    </row>
    <row r="657" spans="1:9" x14ac:dyDescent="0.25">
      <c r="A657" s="193" t="s">
        <v>220</v>
      </c>
      <c r="B657" s="193" t="s">
        <v>588</v>
      </c>
      <c r="C657" s="193" t="s">
        <v>1807</v>
      </c>
      <c r="D657" s="193" t="s">
        <v>1808</v>
      </c>
      <c r="E657" s="193" t="s">
        <v>545</v>
      </c>
      <c r="F657" s="196">
        <v>168</v>
      </c>
      <c r="G657" s="194">
        <v>0.10925000000000001</v>
      </c>
      <c r="H657" s="195">
        <f t="shared" si="10"/>
        <v>18.354000000000003</v>
      </c>
      <c r="I657" s="193" t="s">
        <v>541</v>
      </c>
    </row>
    <row r="658" spans="1:9" x14ac:dyDescent="0.25">
      <c r="A658" s="193" t="s">
        <v>220</v>
      </c>
      <c r="B658" s="193" t="s">
        <v>588</v>
      </c>
      <c r="C658" s="193" t="s">
        <v>1809</v>
      </c>
      <c r="D658" s="193" t="s">
        <v>1810</v>
      </c>
      <c r="E658" s="193" t="s">
        <v>545</v>
      </c>
      <c r="F658" s="196">
        <v>340</v>
      </c>
      <c r="G658" s="194">
        <v>0.13355081967213117</v>
      </c>
      <c r="H658" s="195">
        <f t="shared" si="10"/>
        <v>45.407278688524599</v>
      </c>
      <c r="I658" s="193" t="s">
        <v>541</v>
      </c>
    </row>
    <row r="659" spans="1:9" x14ac:dyDescent="0.25">
      <c r="A659" s="193" t="s">
        <v>220</v>
      </c>
      <c r="B659" s="193" t="s">
        <v>588</v>
      </c>
      <c r="C659" s="193" t="s">
        <v>1811</v>
      </c>
      <c r="D659" s="193" t="s">
        <v>1812</v>
      </c>
      <c r="E659" s="193" t="s">
        <v>545</v>
      </c>
      <c r="F659" s="196">
        <v>103</v>
      </c>
      <c r="G659" s="194">
        <v>0.152</v>
      </c>
      <c r="H659" s="195">
        <f t="shared" si="10"/>
        <v>15.655999999999999</v>
      </c>
      <c r="I659" s="193" t="s">
        <v>541</v>
      </c>
    </row>
    <row r="660" spans="1:9" x14ac:dyDescent="0.25">
      <c r="A660" s="193" t="s">
        <v>220</v>
      </c>
      <c r="B660" s="193" t="s">
        <v>588</v>
      </c>
      <c r="C660" s="193" t="s">
        <v>1813</v>
      </c>
      <c r="D660" s="193" t="s">
        <v>1814</v>
      </c>
      <c r="E660" s="193" t="s">
        <v>545</v>
      </c>
      <c r="F660" s="196">
        <v>653</v>
      </c>
      <c r="G660" s="194">
        <v>0.19</v>
      </c>
      <c r="H660" s="195">
        <f t="shared" si="10"/>
        <v>124.07000000000001</v>
      </c>
      <c r="I660" s="193" t="s">
        <v>541</v>
      </c>
    </row>
    <row r="661" spans="1:9" x14ac:dyDescent="0.25">
      <c r="A661" s="193" t="s">
        <v>220</v>
      </c>
      <c r="B661" s="193" t="s">
        <v>588</v>
      </c>
      <c r="C661" s="193" t="s">
        <v>1815</v>
      </c>
      <c r="D661" s="193" t="s">
        <v>1816</v>
      </c>
      <c r="E661" s="193" t="s">
        <v>545</v>
      </c>
      <c r="F661" s="196">
        <v>14</v>
      </c>
      <c r="G661" s="194">
        <v>0.11</v>
      </c>
      <c r="H661" s="195">
        <f t="shared" si="10"/>
        <v>1.54</v>
      </c>
      <c r="I661" s="193" t="s">
        <v>541</v>
      </c>
    </row>
    <row r="662" spans="1:9" x14ac:dyDescent="0.25">
      <c r="A662" s="193" t="s">
        <v>220</v>
      </c>
      <c r="B662" s="193" t="s">
        <v>588</v>
      </c>
      <c r="C662" s="193" t="s">
        <v>1817</v>
      </c>
      <c r="D662" s="193" t="s">
        <v>1818</v>
      </c>
      <c r="E662" s="193" t="s">
        <v>545</v>
      </c>
      <c r="F662" s="196">
        <v>267</v>
      </c>
      <c r="G662" s="194">
        <v>0.12654081632653061</v>
      </c>
      <c r="H662" s="195">
        <f t="shared" si="10"/>
        <v>33.786397959183674</v>
      </c>
      <c r="I662" s="193" t="s">
        <v>541</v>
      </c>
    </row>
    <row r="663" spans="1:9" x14ac:dyDescent="0.25">
      <c r="A663" s="193" t="s">
        <v>220</v>
      </c>
      <c r="B663" s="193" t="s">
        <v>588</v>
      </c>
      <c r="C663" s="193" t="s">
        <v>1819</v>
      </c>
      <c r="D663" s="193" t="s">
        <v>1820</v>
      </c>
      <c r="E663" s="193" t="s">
        <v>545</v>
      </c>
      <c r="F663" s="196">
        <v>1000</v>
      </c>
      <c r="G663" s="194">
        <v>0.14552119499394428</v>
      </c>
      <c r="H663" s="195">
        <f t="shared" si="10"/>
        <v>145.52119499394428</v>
      </c>
      <c r="I663" s="193" t="s">
        <v>541</v>
      </c>
    </row>
    <row r="664" spans="1:9" x14ac:dyDescent="0.25">
      <c r="A664" s="193" t="s">
        <v>220</v>
      </c>
      <c r="B664" s="193" t="s">
        <v>588</v>
      </c>
      <c r="C664" s="193" t="s">
        <v>1821</v>
      </c>
      <c r="D664" s="193" t="s">
        <v>1822</v>
      </c>
      <c r="E664" s="193" t="s">
        <v>545</v>
      </c>
      <c r="F664" s="196">
        <v>829</v>
      </c>
      <c r="G664" s="194">
        <v>5.3529999999999998</v>
      </c>
      <c r="H664" s="195">
        <f t="shared" si="10"/>
        <v>4437.6369999999997</v>
      </c>
      <c r="I664" s="193" t="s">
        <v>541</v>
      </c>
    </row>
    <row r="665" spans="1:9" x14ac:dyDescent="0.25">
      <c r="A665" s="193" t="s">
        <v>220</v>
      </c>
      <c r="B665" s="193" t="s">
        <v>588</v>
      </c>
      <c r="C665" s="193" t="s">
        <v>1823</v>
      </c>
      <c r="D665" s="193" t="s">
        <v>1824</v>
      </c>
      <c r="E665" s="193" t="s">
        <v>545</v>
      </c>
      <c r="F665" s="196">
        <v>720</v>
      </c>
      <c r="G665" s="194">
        <v>5.5549999999999997</v>
      </c>
      <c r="H665" s="195">
        <f t="shared" si="10"/>
        <v>3999.6</v>
      </c>
      <c r="I665" s="193" t="s">
        <v>541</v>
      </c>
    </row>
    <row r="666" spans="1:9" x14ac:dyDescent="0.25">
      <c r="A666" s="193" t="s">
        <v>220</v>
      </c>
      <c r="B666" s="193" t="s">
        <v>588</v>
      </c>
      <c r="C666" s="193" t="s">
        <v>1825</v>
      </c>
      <c r="D666" s="193" t="s">
        <v>1826</v>
      </c>
      <c r="E666" s="193" t="s">
        <v>545</v>
      </c>
      <c r="F666" s="196">
        <v>895</v>
      </c>
      <c r="G666" s="194">
        <v>4.8479999999999999</v>
      </c>
      <c r="H666" s="195">
        <f t="shared" si="10"/>
        <v>4338.96</v>
      </c>
      <c r="I666" s="193" t="s">
        <v>541</v>
      </c>
    </row>
    <row r="667" spans="1:9" x14ac:dyDescent="0.25">
      <c r="A667" s="193" t="s">
        <v>220</v>
      </c>
      <c r="B667" s="193" t="s">
        <v>588</v>
      </c>
      <c r="C667" s="193" t="s">
        <v>1827</v>
      </c>
      <c r="D667" s="193" t="s">
        <v>1828</v>
      </c>
      <c r="E667" s="193" t="s">
        <v>545</v>
      </c>
      <c r="F667" s="196">
        <v>953</v>
      </c>
      <c r="G667" s="194">
        <v>7.3730000000000002</v>
      </c>
      <c r="H667" s="195">
        <f t="shared" si="10"/>
        <v>7026.4690000000001</v>
      </c>
      <c r="I667" s="193" t="s">
        <v>541</v>
      </c>
    </row>
    <row r="668" spans="1:9" x14ac:dyDescent="0.25">
      <c r="A668" s="193" t="s">
        <v>220</v>
      </c>
      <c r="B668" s="193" t="s">
        <v>588</v>
      </c>
      <c r="C668" s="193" t="s">
        <v>1829</v>
      </c>
      <c r="D668" s="193" t="s">
        <v>1830</v>
      </c>
      <c r="E668" s="193" t="s">
        <v>545</v>
      </c>
      <c r="F668" s="196">
        <v>880</v>
      </c>
      <c r="G668" s="194">
        <v>5.05</v>
      </c>
      <c r="H668" s="195">
        <f t="shared" si="10"/>
        <v>4444</v>
      </c>
      <c r="I668" s="193" t="s">
        <v>541</v>
      </c>
    </row>
    <row r="669" spans="1:9" x14ac:dyDescent="0.25">
      <c r="A669" s="193" t="s">
        <v>220</v>
      </c>
      <c r="B669" s="193" t="s">
        <v>588</v>
      </c>
      <c r="C669" s="193" t="s">
        <v>1831</v>
      </c>
      <c r="D669" s="193" t="s">
        <v>1832</v>
      </c>
      <c r="E669" s="193" t="s">
        <v>545</v>
      </c>
      <c r="F669" s="196">
        <v>840</v>
      </c>
      <c r="G669" s="194">
        <v>5.9589999999999996</v>
      </c>
      <c r="H669" s="195">
        <f t="shared" si="10"/>
        <v>5005.5599999999995</v>
      </c>
      <c r="I669" s="193" t="s">
        <v>541</v>
      </c>
    </row>
    <row r="670" spans="1:9" x14ac:dyDescent="0.25">
      <c r="A670" s="193" t="s">
        <v>220</v>
      </c>
      <c r="B670" s="193" t="s">
        <v>588</v>
      </c>
      <c r="C670" s="193" t="s">
        <v>1833</v>
      </c>
      <c r="D670" s="193" t="s">
        <v>1834</v>
      </c>
      <c r="E670" s="193" t="s">
        <v>545</v>
      </c>
      <c r="F670" s="196">
        <v>831</v>
      </c>
      <c r="G670" s="194">
        <v>6.3630000000000004</v>
      </c>
      <c r="H670" s="195">
        <f t="shared" si="10"/>
        <v>5287.6530000000002</v>
      </c>
      <c r="I670" s="193" t="s">
        <v>541</v>
      </c>
    </row>
    <row r="671" spans="1:9" x14ac:dyDescent="0.25">
      <c r="A671" s="193" t="s">
        <v>220</v>
      </c>
      <c r="B671" s="193" t="s">
        <v>588</v>
      </c>
      <c r="C671" s="193" t="s">
        <v>1835</v>
      </c>
      <c r="D671" s="193" t="s">
        <v>1836</v>
      </c>
      <c r="E671" s="193" t="s">
        <v>545</v>
      </c>
      <c r="F671" s="196">
        <v>1040</v>
      </c>
      <c r="G671" s="194">
        <v>7.676000000000001</v>
      </c>
      <c r="H671" s="195">
        <f t="shared" si="10"/>
        <v>7983.0400000000009</v>
      </c>
      <c r="I671" s="193" t="s">
        <v>541</v>
      </c>
    </row>
    <row r="672" spans="1:9" x14ac:dyDescent="0.25">
      <c r="A672" s="193" t="s">
        <v>220</v>
      </c>
      <c r="B672" s="193" t="s">
        <v>588</v>
      </c>
      <c r="C672" s="193" t="s">
        <v>1837</v>
      </c>
      <c r="D672" s="193" t="s">
        <v>1838</v>
      </c>
      <c r="E672" s="193" t="s">
        <v>545</v>
      </c>
      <c r="F672" s="196">
        <v>1034</v>
      </c>
      <c r="G672" s="194">
        <v>5.3529999999999998</v>
      </c>
      <c r="H672" s="195">
        <f t="shared" si="10"/>
        <v>5535.0019999999995</v>
      </c>
      <c r="I672" s="193" t="s">
        <v>541</v>
      </c>
    </row>
    <row r="673" spans="1:9" x14ac:dyDescent="0.25">
      <c r="A673" s="193" t="s">
        <v>220</v>
      </c>
      <c r="B673" s="193" t="s">
        <v>588</v>
      </c>
      <c r="C673" s="193" t="s">
        <v>1839</v>
      </c>
      <c r="D673" s="193" t="s">
        <v>1840</v>
      </c>
      <c r="E673" s="193" t="s">
        <v>545</v>
      </c>
      <c r="F673" s="196">
        <v>355</v>
      </c>
      <c r="G673" s="194">
        <v>5.5549999999999997</v>
      </c>
      <c r="H673" s="195">
        <f t="shared" si="10"/>
        <v>1972.0249999999999</v>
      </c>
      <c r="I673" s="193" t="s">
        <v>541</v>
      </c>
    </row>
    <row r="674" spans="1:9" x14ac:dyDescent="0.25">
      <c r="A674" s="193" t="s">
        <v>220</v>
      </c>
      <c r="B674" s="193" t="s">
        <v>588</v>
      </c>
      <c r="C674" s="193" t="s">
        <v>1841</v>
      </c>
      <c r="D674" s="193" t="s">
        <v>1842</v>
      </c>
      <c r="E674" s="193" t="s">
        <v>545</v>
      </c>
      <c r="F674" s="196">
        <v>750</v>
      </c>
      <c r="G674" s="194">
        <v>7.3730000000000002</v>
      </c>
      <c r="H674" s="195">
        <f t="shared" si="10"/>
        <v>5529.75</v>
      </c>
      <c r="I674" s="193" t="s">
        <v>541</v>
      </c>
    </row>
    <row r="675" spans="1:9" x14ac:dyDescent="0.25">
      <c r="A675" s="193" t="s">
        <v>220</v>
      </c>
      <c r="B675" s="193" t="s">
        <v>588</v>
      </c>
      <c r="C675" s="193" t="s">
        <v>1843</v>
      </c>
      <c r="D675" s="193" t="s">
        <v>1844</v>
      </c>
      <c r="E675" s="193" t="s">
        <v>545</v>
      </c>
      <c r="F675" s="196">
        <v>965</v>
      </c>
      <c r="G675" s="194">
        <v>7.3730000000000002</v>
      </c>
      <c r="H675" s="195">
        <f t="shared" si="10"/>
        <v>7114.9450000000006</v>
      </c>
      <c r="I675" s="193" t="s">
        <v>541</v>
      </c>
    </row>
    <row r="676" spans="1:9" x14ac:dyDescent="0.25">
      <c r="A676" s="193" t="s">
        <v>220</v>
      </c>
      <c r="B676" s="193" t="s">
        <v>588</v>
      </c>
      <c r="C676" s="193" t="s">
        <v>1845</v>
      </c>
      <c r="D676" s="193" t="s">
        <v>1846</v>
      </c>
      <c r="E676" s="193" t="s">
        <v>545</v>
      </c>
      <c r="F676" s="196">
        <v>2775</v>
      </c>
      <c r="G676" s="194">
        <v>4.8985000000000003</v>
      </c>
      <c r="H676" s="195">
        <f t="shared" si="10"/>
        <v>13593.337500000001</v>
      </c>
      <c r="I676" s="193" t="s">
        <v>541</v>
      </c>
    </row>
    <row r="677" spans="1:9" x14ac:dyDescent="0.25">
      <c r="A677" s="193" t="s">
        <v>220</v>
      </c>
      <c r="B677" s="193" t="s">
        <v>588</v>
      </c>
      <c r="C677" s="193" t="s">
        <v>1847</v>
      </c>
      <c r="D677" s="193" t="s">
        <v>1846</v>
      </c>
      <c r="E677" s="193" t="s">
        <v>545</v>
      </c>
      <c r="F677" s="196">
        <v>1225</v>
      </c>
      <c r="G677" s="194">
        <v>4.964672413793104</v>
      </c>
      <c r="H677" s="195">
        <f t="shared" si="10"/>
        <v>6081.7237068965524</v>
      </c>
      <c r="I677" s="193" t="s">
        <v>541</v>
      </c>
    </row>
    <row r="678" spans="1:9" x14ac:dyDescent="0.25">
      <c r="A678" s="193" t="s">
        <v>220</v>
      </c>
      <c r="B678" s="193" t="s">
        <v>588</v>
      </c>
      <c r="C678" s="193" t="s">
        <v>1848</v>
      </c>
      <c r="D678" s="193" t="s">
        <v>1849</v>
      </c>
      <c r="E678" s="193" t="s">
        <v>545</v>
      </c>
      <c r="F678" s="196">
        <v>245</v>
      </c>
      <c r="G678" s="194">
        <v>5.7569999999999997</v>
      </c>
      <c r="H678" s="195">
        <f t="shared" si="10"/>
        <v>1410.4649999999999</v>
      </c>
      <c r="I678" s="193" t="s">
        <v>541</v>
      </c>
    </row>
    <row r="679" spans="1:9" x14ac:dyDescent="0.25">
      <c r="A679" s="193" t="s">
        <v>220</v>
      </c>
      <c r="B679" s="193" t="s">
        <v>588</v>
      </c>
      <c r="C679" s="193" t="s">
        <v>1850</v>
      </c>
      <c r="D679" s="193" t="s">
        <v>1851</v>
      </c>
      <c r="E679" s="193" t="s">
        <v>545</v>
      </c>
      <c r="F679" s="196">
        <v>680</v>
      </c>
      <c r="G679" s="194">
        <v>5.9589999999999996</v>
      </c>
      <c r="H679" s="195">
        <f t="shared" si="10"/>
        <v>4052.12</v>
      </c>
      <c r="I679" s="193" t="s">
        <v>541</v>
      </c>
    </row>
    <row r="680" spans="1:9" x14ac:dyDescent="0.25">
      <c r="A680" s="193" t="s">
        <v>220</v>
      </c>
      <c r="B680" s="193" t="s">
        <v>588</v>
      </c>
      <c r="C680" s="193" t="s">
        <v>1852</v>
      </c>
      <c r="D680" s="193" t="s">
        <v>1853</v>
      </c>
      <c r="E680" s="193" t="s">
        <v>545</v>
      </c>
      <c r="F680" s="196">
        <v>750</v>
      </c>
      <c r="G680" s="194">
        <v>6.1609999999999996</v>
      </c>
      <c r="H680" s="195">
        <f t="shared" si="10"/>
        <v>4620.75</v>
      </c>
      <c r="I680" s="193" t="s">
        <v>541</v>
      </c>
    </row>
    <row r="681" spans="1:9" x14ac:dyDescent="0.25">
      <c r="A681" s="193" t="s">
        <v>220</v>
      </c>
      <c r="B681" s="193" t="s">
        <v>588</v>
      </c>
      <c r="C681" s="193" t="s">
        <v>1854</v>
      </c>
      <c r="D681" s="193" t="s">
        <v>1855</v>
      </c>
      <c r="E681" s="193" t="s">
        <v>545</v>
      </c>
      <c r="F681" s="196">
        <v>825</v>
      </c>
      <c r="G681" s="194">
        <v>6.3630000000000004</v>
      </c>
      <c r="H681" s="195">
        <f t="shared" si="10"/>
        <v>5249.4750000000004</v>
      </c>
      <c r="I681" s="193" t="s">
        <v>541</v>
      </c>
    </row>
    <row r="682" spans="1:9" x14ac:dyDescent="0.25">
      <c r="A682" s="193" t="s">
        <v>220</v>
      </c>
      <c r="B682" s="193" t="s">
        <v>588</v>
      </c>
      <c r="C682" s="193" t="s">
        <v>1856</v>
      </c>
      <c r="D682" s="193" t="s">
        <v>1857</v>
      </c>
      <c r="E682" s="193" t="s">
        <v>545</v>
      </c>
      <c r="F682" s="196">
        <v>700</v>
      </c>
      <c r="G682" s="194">
        <v>6.3630000000000004</v>
      </c>
      <c r="H682" s="195">
        <f t="shared" si="10"/>
        <v>4454.1000000000004</v>
      </c>
      <c r="I682" s="193" t="s">
        <v>541</v>
      </c>
    </row>
    <row r="683" spans="1:9" x14ac:dyDescent="0.25">
      <c r="A683" s="193" t="s">
        <v>220</v>
      </c>
      <c r="B683" s="193" t="s">
        <v>588</v>
      </c>
      <c r="C683" s="193" t="s">
        <v>1858</v>
      </c>
      <c r="D683" s="193" t="s">
        <v>1859</v>
      </c>
      <c r="E683" s="193" t="s">
        <v>545</v>
      </c>
      <c r="F683" s="196">
        <v>590</v>
      </c>
      <c r="G683" s="194">
        <v>7.6760000000000019</v>
      </c>
      <c r="H683" s="195">
        <f t="shared" si="10"/>
        <v>4528.8400000000011</v>
      </c>
      <c r="I683" s="193" t="s">
        <v>541</v>
      </c>
    </row>
    <row r="684" spans="1:9" x14ac:dyDescent="0.25">
      <c r="A684" s="193" t="s">
        <v>220</v>
      </c>
      <c r="B684" s="193" t="s">
        <v>588</v>
      </c>
      <c r="C684" s="193" t="s">
        <v>1860</v>
      </c>
      <c r="D684" s="193" t="s">
        <v>1861</v>
      </c>
      <c r="E684" s="193" t="s">
        <v>545</v>
      </c>
      <c r="F684" s="196">
        <v>295</v>
      </c>
      <c r="G684" s="194">
        <v>7.6760000000000002</v>
      </c>
      <c r="H684" s="195">
        <f t="shared" si="10"/>
        <v>2264.42</v>
      </c>
      <c r="I684" s="193" t="s">
        <v>541</v>
      </c>
    </row>
    <row r="685" spans="1:9" x14ac:dyDescent="0.25">
      <c r="A685" s="193" t="s">
        <v>220</v>
      </c>
      <c r="B685" s="193" t="s">
        <v>588</v>
      </c>
      <c r="C685" s="193" t="s">
        <v>1862</v>
      </c>
      <c r="D685" s="193" t="s">
        <v>1863</v>
      </c>
      <c r="E685" s="193" t="s">
        <v>545</v>
      </c>
      <c r="F685" s="196">
        <v>420</v>
      </c>
      <c r="G685" s="194">
        <v>7.6760000000000002</v>
      </c>
      <c r="H685" s="195">
        <f t="shared" si="10"/>
        <v>3223.92</v>
      </c>
      <c r="I685" s="193" t="s">
        <v>541</v>
      </c>
    </row>
    <row r="686" spans="1:9" x14ac:dyDescent="0.25">
      <c r="A686" s="193" t="s">
        <v>220</v>
      </c>
      <c r="B686" s="193" t="s">
        <v>588</v>
      </c>
      <c r="C686" s="193" t="s">
        <v>1864</v>
      </c>
      <c r="D686" s="193" t="s">
        <v>1865</v>
      </c>
      <c r="E686" s="193" t="s">
        <v>545</v>
      </c>
      <c r="F686" s="196">
        <v>80</v>
      </c>
      <c r="G686" s="194">
        <v>0.52629617977528087</v>
      </c>
      <c r="H686" s="195">
        <f t="shared" si="10"/>
        <v>42.103694382022468</v>
      </c>
      <c r="I686" s="193" t="s">
        <v>541</v>
      </c>
    </row>
    <row r="687" spans="1:9" x14ac:dyDescent="0.25">
      <c r="A687" s="193" t="s">
        <v>220</v>
      </c>
      <c r="B687" s="193" t="s">
        <v>588</v>
      </c>
      <c r="C687" s="193" t="s">
        <v>662</v>
      </c>
      <c r="D687" s="193" t="s">
        <v>1866</v>
      </c>
      <c r="E687" s="193" t="s">
        <v>535</v>
      </c>
      <c r="F687" s="196">
        <v>864</v>
      </c>
      <c r="G687" s="194">
        <v>4.9119230518542043</v>
      </c>
      <c r="H687" s="195">
        <f t="shared" si="10"/>
        <v>4243.9015168020323</v>
      </c>
      <c r="I687" s="193" t="s">
        <v>541</v>
      </c>
    </row>
    <row r="688" spans="1:9" x14ac:dyDescent="0.25">
      <c r="A688" s="193" t="s">
        <v>220</v>
      </c>
      <c r="B688" s="193" t="s">
        <v>588</v>
      </c>
      <c r="C688" s="193" t="s">
        <v>1867</v>
      </c>
      <c r="D688" s="193" t="s">
        <v>1868</v>
      </c>
      <c r="E688" s="193" t="s">
        <v>535</v>
      </c>
      <c r="F688" s="196">
        <v>224</v>
      </c>
      <c r="G688" s="194">
        <v>5.573250291004328</v>
      </c>
      <c r="H688" s="195">
        <f t="shared" si="10"/>
        <v>1248.4080651849695</v>
      </c>
      <c r="I688" s="193" t="s">
        <v>541</v>
      </c>
    </row>
    <row r="689" spans="1:9" x14ac:dyDescent="0.25">
      <c r="A689" s="193" t="s">
        <v>220</v>
      </c>
      <c r="B689" s="193" t="s">
        <v>588</v>
      </c>
      <c r="C689" s="193" t="s">
        <v>1869</v>
      </c>
      <c r="D689" s="193" t="s">
        <v>1870</v>
      </c>
      <c r="E689" s="193" t="s">
        <v>535</v>
      </c>
      <c r="F689" s="196">
        <v>343.4</v>
      </c>
      <c r="G689" s="194">
        <v>7.0251807777721247</v>
      </c>
      <c r="H689" s="195">
        <f t="shared" si="10"/>
        <v>2412.4470790869473</v>
      </c>
      <c r="I689" s="193" t="s">
        <v>541</v>
      </c>
    </row>
    <row r="690" spans="1:9" x14ac:dyDescent="0.25">
      <c r="A690" s="193" t="s">
        <v>220</v>
      </c>
      <c r="B690" s="193" t="s">
        <v>588</v>
      </c>
      <c r="C690" s="193" t="s">
        <v>1871</v>
      </c>
      <c r="D690" s="193" t="s">
        <v>1872</v>
      </c>
      <c r="E690" s="193" t="s">
        <v>535</v>
      </c>
      <c r="F690" s="196">
        <v>990.3</v>
      </c>
      <c r="G690" s="194">
        <v>6.9762636401470353</v>
      </c>
      <c r="H690" s="195">
        <f t="shared" si="10"/>
        <v>6908.5938828376084</v>
      </c>
      <c r="I690" s="193" t="s">
        <v>541</v>
      </c>
    </row>
    <row r="691" spans="1:9" x14ac:dyDescent="0.25">
      <c r="A691" s="193" t="s">
        <v>220</v>
      </c>
      <c r="B691" s="193" t="s">
        <v>588</v>
      </c>
      <c r="C691" s="193" t="s">
        <v>1873</v>
      </c>
      <c r="D691" s="193" t="s">
        <v>1874</v>
      </c>
      <c r="E691" s="193" t="s">
        <v>535</v>
      </c>
      <c r="F691" s="196">
        <v>923.4</v>
      </c>
      <c r="G691" s="194">
        <v>4.8500000000000005</v>
      </c>
      <c r="H691" s="195">
        <f t="shared" si="10"/>
        <v>4478.4900000000007</v>
      </c>
      <c r="I691" s="193" t="s">
        <v>541</v>
      </c>
    </row>
    <row r="692" spans="1:9" x14ac:dyDescent="0.25">
      <c r="A692" s="193" t="s">
        <v>220</v>
      </c>
      <c r="B692" s="193" t="s">
        <v>588</v>
      </c>
      <c r="C692" s="193" t="s">
        <v>1875</v>
      </c>
      <c r="D692" s="193" t="s">
        <v>1876</v>
      </c>
      <c r="E692" s="193" t="s">
        <v>535</v>
      </c>
      <c r="F692" s="196">
        <v>532</v>
      </c>
      <c r="G692" s="194">
        <v>6.9067564842611908</v>
      </c>
      <c r="H692" s="195">
        <f t="shared" si="10"/>
        <v>3674.3944496269537</v>
      </c>
      <c r="I692" s="193" t="s">
        <v>541</v>
      </c>
    </row>
    <row r="693" spans="1:9" x14ac:dyDescent="0.25">
      <c r="A693" s="193" t="s">
        <v>220</v>
      </c>
      <c r="B693" s="193" t="s">
        <v>588</v>
      </c>
      <c r="C693" s="193" t="s">
        <v>1877</v>
      </c>
      <c r="D693" s="193" t="s">
        <v>1878</v>
      </c>
      <c r="E693" s="193" t="s">
        <v>535</v>
      </c>
      <c r="F693" s="196">
        <v>776</v>
      </c>
      <c r="G693" s="194">
        <v>7.0987832461235545</v>
      </c>
      <c r="H693" s="195">
        <f t="shared" si="10"/>
        <v>5508.6557989918783</v>
      </c>
      <c r="I693" s="193" t="s">
        <v>541</v>
      </c>
    </row>
    <row r="694" spans="1:9" x14ac:dyDescent="0.25">
      <c r="A694" s="193" t="s">
        <v>220</v>
      </c>
      <c r="B694" s="193" t="s">
        <v>588</v>
      </c>
      <c r="C694" s="193" t="s">
        <v>1879</v>
      </c>
      <c r="D694" s="193" t="s">
        <v>1880</v>
      </c>
      <c r="E694" s="193" t="s">
        <v>545</v>
      </c>
      <c r="F694" s="196">
        <v>378</v>
      </c>
      <c r="G694" s="194">
        <v>6.0440149045179323</v>
      </c>
      <c r="H694" s="195">
        <f t="shared" si="10"/>
        <v>2284.6376339077783</v>
      </c>
      <c r="I694" s="193" t="s">
        <v>541</v>
      </c>
    </row>
    <row r="695" spans="1:9" x14ac:dyDescent="0.25">
      <c r="A695" s="193" t="s">
        <v>220</v>
      </c>
      <c r="B695" s="193" t="s">
        <v>588</v>
      </c>
      <c r="C695" s="193" t="s">
        <v>1881</v>
      </c>
      <c r="D695" s="193" t="s">
        <v>1882</v>
      </c>
      <c r="E695" s="193" t="s">
        <v>545</v>
      </c>
      <c r="F695" s="196">
        <v>983</v>
      </c>
      <c r="G695" s="194">
        <v>33.26469736219822</v>
      </c>
      <c r="H695" s="195">
        <f t="shared" si="10"/>
        <v>32699.197507040852</v>
      </c>
      <c r="I695" s="193" t="s">
        <v>541</v>
      </c>
    </row>
    <row r="696" spans="1:9" x14ac:dyDescent="0.25">
      <c r="A696" s="193" t="s">
        <v>220</v>
      </c>
      <c r="B696" s="193" t="s">
        <v>588</v>
      </c>
      <c r="C696" s="193" t="s">
        <v>1883</v>
      </c>
      <c r="D696" s="193" t="s">
        <v>1884</v>
      </c>
      <c r="E696" s="193" t="s">
        <v>545</v>
      </c>
      <c r="F696" s="196">
        <v>151</v>
      </c>
      <c r="G696" s="194">
        <v>17.112072879693891</v>
      </c>
      <c r="H696" s="195">
        <f t="shared" si="10"/>
        <v>2583.9230048337777</v>
      </c>
      <c r="I696" s="193" t="s">
        <v>541</v>
      </c>
    </row>
    <row r="697" spans="1:9" x14ac:dyDescent="0.25">
      <c r="A697" s="193" t="s">
        <v>220</v>
      </c>
      <c r="B697" s="193" t="s">
        <v>588</v>
      </c>
      <c r="C697" s="193" t="s">
        <v>1885</v>
      </c>
      <c r="D697" s="193" t="s">
        <v>1886</v>
      </c>
      <c r="E697" s="193" t="s">
        <v>545</v>
      </c>
      <c r="F697" s="196">
        <v>17</v>
      </c>
      <c r="G697" s="194">
        <v>17</v>
      </c>
      <c r="H697" s="195">
        <f t="shared" si="10"/>
        <v>289</v>
      </c>
      <c r="I697" s="193" t="s">
        <v>541</v>
      </c>
    </row>
    <row r="698" spans="1:9" x14ac:dyDescent="0.25">
      <c r="A698" s="193" t="s">
        <v>220</v>
      </c>
      <c r="B698" s="193" t="s">
        <v>588</v>
      </c>
      <c r="C698" s="193" t="s">
        <v>1887</v>
      </c>
      <c r="D698" s="193" t="s">
        <v>1888</v>
      </c>
      <c r="E698" s="193" t="s">
        <v>545</v>
      </c>
      <c r="F698" s="196">
        <v>119</v>
      </c>
      <c r="G698" s="194">
        <v>27</v>
      </c>
      <c r="H698" s="195">
        <f t="shared" si="10"/>
        <v>3213</v>
      </c>
      <c r="I698" s="193" t="s">
        <v>541</v>
      </c>
    </row>
    <row r="699" spans="1:9" x14ac:dyDescent="0.25">
      <c r="A699" s="193" t="s">
        <v>220</v>
      </c>
      <c r="B699" s="193" t="s">
        <v>588</v>
      </c>
      <c r="C699" s="193" t="s">
        <v>1889</v>
      </c>
      <c r="D699" s="193" t="s">
        <v>1890</v>
      </c>
      <c r="E699" s="193" t="s">
        <v>545</v>
      </c>
      <c r="F699" s="196">
        <v>800</v>
      </c>
      <c r="G699" s="194">
        <v>28</v>
      </c>
      <c r="H699" s="195">
        <f t="shared" si="10"/>
        <v>22400</v>
      </c>
      <c r="I699" s="193" t="s">
        <v>541</v>
      </c>
    </row>
    <row r="700" spans="1:9" x14ac:dyDescent="0.25">
      <c r="A700" s="193" t="s">
        <v>220</v>
      </c>
      <c r="B700" s="193" t="s">
        <v>588</v>
      </c>
      <c r="C700" s="193" t="s">
        <v>664</v>
      </c>
      <c r="D700" s="193" t="s">
        <v>1891</v>
      </c>
      <c r="E700" s="193" t="s">
        <v>545</v>
      </c>
      <c r="F700" s="196">
        <v>1340</v>
      </c>
      <c r="G700" s="194">
        <v>3.2312791788981139</v>
      </c>
      <c r="H700" s="195">
        <f t="shared" si="10"/>
        <v>4329.9140997234726</v>
      </c>
      <c r="I700" s="193" t="s">
        <v>541</v>
      </c>
    </row>
    <row r="701" spans="1:9" x14ac:dyDescent="0.25">
      <c r="A701" s="193" t="s">
        <v>220</v>
      </c>
      <c r="B701" s="193" t="s">
        <v>588</v>
      </c>
      <c r="C701" s="193" t="s">
        <v>1892</v>
      </c>
      <c r="D701" s="193" t="s">
        <v>1893</v>
      </c>
      <c r="E701" s="193" t="s">
        <v>1894</v>
      </c>
      <c r="F701" s="196">
        <v>160</v>
      </c>
      <c r="G701" s="194">
        <v>3.0348837209302326</v>
      </c>
      <c r="H701" s="195">
        <f t="shared" si="10"/>
        <v>485.58139534883719</v>
      </c>
      <c r="I701" s="193" t="s">
        <v>541</v>
      </c>
    </row>
    <row r="702" spans="1:9" x14ac:dyDescent="0.25">
      <c r="A702" s="193" t="s">
        <v>220</v>
      </c>
      <c r="B702" s="193" t="s">
        <v>588</v>
      </c>
      <c r="C702" s="193" t="s">
        <v>1895</v>
      </c>
      <c r="D702" s="193" t="s">
        <v>1896</v>
      </c>
      <c r="E702" s="193" t="s">
        <v>1894</v>
      </c>
      <c r="F702" s="196">
        <v>220</v>
      </c>
      <c r="G702" s="202">
        <v>0</v>
      </c>
      <c r="H702" s="195">
        <f t="shared" si="10"/>
        <v>0</v>
      </c>
      <c r="I702" s="193" t="s">
        <v>541</v>
      </c>
    </row>
    <row r="703" spans="1:9" x14ac:dyDescent="0.25">
      <c r="A703" s="193" t="s">
        <v>220</v>
      </c>
      <c r="B703" s="193" t="s">
        <v>588</v>
      </c>
      <c r="C703" s="193" t="s">
        <v>539</v>
      </c>
      <c r="D703" s="193" t="s">
        <v>540</v>
      </c>
      <c r="E703" s="193" t="s">
        <v>535</v>
      </c>
      <c r="F703" s="196">
        <v>14374</v>
      </c>
      <c r="G703" s="194">
        <v>5.6104583436708264</v>
      </c>
      <c r="H703" s="195">
        <f t="shared" si="10"/>
        <v>80644.728231924455</v>
      </c>
      <c r="I703" s="193" t="s">
        <v>541</v>
      </c>
    </row>
    <row r="704" spans="1:9" x14ac:dyDescent="0.25">
      <c r="A704" s="193" t="s">
        <v>220</v>
      </c>
      <c r="B704" s="193" t="s">
        <v>588</v>
      </c>
      <c r="C704" s="193" t="s">
        <v>1897</v>
      </c>
      <c r="D704" s="193" t="s">
        <v>1898</v>
      </c>
      <c r="E704" s="193" t="s">
        <v>535</v>
      </c>
      <c r="F704" s="196">
        <v>220</v>
      </c>
      <c r="G704" s="194">
        <v>55.001795704000003</v>
      </c>
      <c r="H704" s="195">
        <f t="shared" si="10"/>
        <v>12100.39505488</v>
      </c>
      <c r="I704" s="193" t="s">
        <v>541</v>
      </c>
    </row>
    <row r="705" spans="1:9" x14ac:dyDescent="0.25">
      <c r="A705" s="193" t="s">
        <v>220</v>
      </c>
      <c r="B705" s="193" t="s">
        <v>588</v>
      </c>
      <c r="C705" s="193" t="s">
        <v>707</v>
      </c>
      <c r="D705" s="193" t="s">
        <v>373</v>
      </c>
      <c r="E705" s="193" t="s">
        <v>535</v>
      </c>
      <c r="F705" s="196">
        <v>975</v>
      </c>
      <c r="G705" s="194">
        <v>1.35</v>
      </c>
      <c r="H705" s="195">
        <f t="shared" si="10"/>
        <v>1316.25</v>
      </c>
      <c r="I705" s="193" t="s">
        <v>541</v>
      </c>
    </row>
    <row r="706" spans="1:9" x14ac:dyDescent="0.25">
      <c r="A706" s="193" t="s">
        <v>220</v>
      </c>
      <c r="B706" s="193" t="s">
        <v>588</v>
      </c>
      <c r="C706" s="193" t="s">
        <v>700</v>
      </c>
      <c r="D706" s="193" t="s">
        <v>701</v>
      </c>
      <c r="E706" s="193" t="s">
        <v>545</v>
      </c>
      <c r="F706" s="196">
        <v>111</v>
      </c>
      <c r="G706" s="194">
        <v>30.505706430295458</v>
      </c>
      <c r="H706" s="195">
        <f t="shared" si="10"/>
        <v>3386.133413762796</v>
      </c>
      <c r="I706" s="193" t="s">
        <v>541</v>
      </c>
    </row>
    <row r="707" spans="1:9" x14ac:dyDescent="0.25">
      <c r="A707" s="193" t="s">
        <v>220</v>
      </c>
      <c r="B707" s="193" t="s">
        <v>588</v>
      </c>
      <c r="C707" s="193" t="s">
        <v>1899</v>
      </c>
      <c r="D707" s="193" t="s">
        <v>1900</v>
      </c>
      <c r="E707" s="193" t="s">
        <v>535</v>
      </c>
      <c r="F707" s="196">
        <v>315</v>
      </c>
      <c r="G707" s="194">
        <v>19.719606724089637</v>
      </c>
      <c r="H707" s="195">
        <f t="shared" si="10"/>
        <v>6211.6761180882359</v>
      </c>
      <c r="I707" s="193" t="s">
        <v>541</v>
      </c>
    </row>
    <row r="708" spans="1:9" x14ac:dyDescent="0.25">
      <c r="A708" s="193" t="s">
        <v>220</v>
      </c>
      <c r="B708" s="193" t="s">
        <v>588</v>
      </c>
      <c r="C708" s="193" t="s">
        <v>1901</v>
      </c>
      <c r="D708" s="193" t="s">
        <v>1902</v>
      </c>
      <c r="E708" s="193" t="s">
        <v>1894</v>
      </c>
      <c r="F708" s="196">
        <v>120</v>
      </c>
      <c r="G708" s="194">
        <v>36.402450000000002</v>
      </c>
      <c r="H708" s="195">
        <f t="shared" si="10"/>
        <v>4368.2939999999999</v>
      </c>
      <c r="I708" s="193" t="s">
        <v>541</v>
      </c>
    </row>
    <row r="709" spans="1:9" x14ac:dyDescent="0.25">
      <c r="A709" s="193" t="s">
        <v>220</v>
      </c>
      <c r="B709" s="193" t="s">
        <v>588</v>
      </c>
      <c r="C709" s="193" t="s">
        <v>731</v>
      </c>
      <c r="D709" s="193" t="s">
        <v>1903</v>
      </c>
      <c r="E709" s="193" t="s">
        <v>545</v>
      </c>
      <c r="F709" s="196">
        <v>1</v>
      </c>
      <c r="G709" s="194">
        <v>145</v>
      </c>
      <c r="H709" s="195">
        <f t="shared" ref="H709:H772" si="11">+F709*G709</f>
        <v>145</v>
      </c>
      <c r="I709" s="193" t="s">
        <v>541</v>
      </c>
    </row>
    <row r="710" spans="1:9" x14ac:dyDescent="0.25">
      <c r="A710" s="193" t="s">
        <v>220</v>
      </c>
      <c r="B710" s="193" t="s">
        <v>588</v>
      </c>
      <c r="C710" s="193" t="s">
        <v>1904</v>
      </c>
      <c r="D710" s="193" t="s">
        <v>1905</v>
      </c>
      <c r="E710" s="193" t="s">
        <v>545</v>
      </c>
      <c r="F710" s="196">
        <v>2</v>
      </c>
      <c r="G710" s="194">
        <v>48.329666666666668</v>
      </c>
      <c r="H710" s="195">
        <f t="shared" si="11"/>
        <v>96.659333333333336</v>
      </c>
      <c r="I710" s="193" t="s">
        <v>541</v>
      </c>
    </row>
    <row r="711" spans="1:9" x14ac:dyDescent="0.25">
      <c r="A711" s="193" t="s">
        <v>220</v>
      </c>
      <c r="B711" s="193" t="s">
        <v>588</v>
      </c>
      <c r="C711" s="193" t="s">
        <v>1906</v>
      </c>
      <c r="D711" s="193" t="s">
        <v>1907</v>
      </c>
      <c r="E711" s="193" t="s">
        <v>545</v>
      </c>
      <c r="F711" s="196">
        <v>16</v>
      </c>
      <c r="G711" s="194">
        <v>92.91</v>
      </c>
      <c r="H711" s="195">
        <f t="shared" si="11"/>
        <v>1486.56</v>
      </c>
      <c r="I711" s="193" t="s">
        <v>541</v>
      </c>
    </row>
    <row r="712" spans="1:9" x14ac:dyDescent="0.25">
      <c r="A712" s="193" t="s">
        <v>220</v>
      </c>
      <c r="B712" s="193" t="s">
        <v>1908</v>
      </c>
      <c r="C712" s="193" t="s">
        <v>1909</v>
      </c>
      <c r="D712" s="193" t="s">
        <v>1910</v>
      </c>
      <c r="E712" s="193" t="s">
        <v>545</v>
      </c>
      <c r="F712" s="196">
        <v>993</v>
      </c>
      <c r="G712" s="194">
        <v>72.685741473669125</v>
      </c>
      <c r="H712" s="195">
        <f t="shared" si="11"/>
        <v>72176.941283353444</v>
      </c>
      <c r="I712" s="193" t="s">
        <v>1911</v>
      </c>
    </row>
    <row r="713" spans="1:9" x14ac:dyDescent="0.25">
      <c r="A713" s="193" t="s">
        <v>220</v>
      </c>
      <c r="B713" s="193" t="s">
        <v>1908</v>
      </c>
      <c r="C713" s="193" t="s">
        <v>1912</v>
      </c>
      <c r="D713" s="193" t="s">
        <v>1913</v>
      </c>
      <c r="E713" s="193" t="s">
        <v>545</v>
      </c>
      <c r="F713" s="196">
        <v>214</v>
      </c>
      <c r="G713" s="194">
        <v>83.18852910446428</v>
      </c>
      <c r="H713" s="195">
        <f t="shared" si="11"/>
        <v>17802.345228355356</v>
      </c>
      <c r="I713" s="193" t="s">
        <v>1911</v>
      </c>
    </row>
    <row r="714" spans="1:9" x14ac:dyDescent="0.25">
      <c r="A714" s="193" t="s">
        <v>220</v>
      </c>
      <c r="B714" s="193" t="s">
        <v>1908</v>
      </c>
      <c r="C714" s="193" t="s">
        <v>1914</v>
      </c>
      <c r="D714" s="193" t="s">
        <v>1915</v>
      </c>
      <c r="E714" s="193" t="s">
        <v>545</v>
      </c>
      <c r="F714" s="196">
        <v>1075</v>
      </c>
      <c r="G714" s="194">
        <v>93.656713247244056</v>
      </c>
      <c r="H714" s="195">
        <f t="shared" si="11"/>
        <v>100680.96674078736</v>
      </c>
      <c r="I714" s="193" t="s">
        <v>1911</v>
      </c>
    </row>
    <row r="715" spans="1:9" x14ac:dyDescent="0.25">
      <c r="A715" s="193" t="s">
        <v>220</v>
      </c>
      <c r="B715" s="193" t="s">
        <v>1908</v>
      </c>
      <c r="C715" s="193" t="s">
        <v>1916</v>
      </c>
      <c r="D715" s="193" t="s">
        <v>1917</v>
      </c>
      <c r="E715" s="193" t="s">
        <v>545</v>
      </c>
      <c r="F715" s="196">
        <v>9</v>
      </c>
      <c r="G715" s="194">
        <v>126.58860491485309</v>
      </c>
      <c r="H715" s="195">
        <f t="shared" si="11"/>
        <v>1139.2974442336779</v>
      </c>
      <c r="I715" s="193" t="s">
        <v>1911</v>
      </c>
    </row>
    <row r="716" spans="1:9" x14ac:dyDescent="0.25">
      <c r="A716" s="193" t="s">
        <v>220</v>
      </c>
      <c r="B716" s="193" t="s">
        <v>1908</v>
      </c>
      <c r="C716" s="193" t="s">
        <v>1918</v>
      </c>
      <c r="D716" s="193" t="s">
        <v>1919</v>
      </c>
      <c r="E716" s="193" t="s">
        <v>545</v>
      </c>
      <c r="F716" s="196">
        <v>35</v>
      </c>
      <c r="G716" s="194">
        <v>67.217032061213288</v>
      </c>
      <c r="H716" s="195">
        <f t="shared" si="11"/>
        <v>2352.596122142465</v>
      </c>
      <c r="I716" s="193" t="s">
        <v>1911</v>
      </c>
    </row>
    <row r="717" spans="1:9" x14ac:dyDescent="0.25">
      <c r="A717" s="193" t="s">
        <v>220</v>
      </c>
      <c r="B717" s="193" t="s">
        <v>1908</v>
      </c>
      <c r="C717" s="193" t="s">
        <v>1920</v>
      </c>
      <c r="D717" s="193" t="s">
        <v>1921</v>
      </c>
      <c r="E717" s="193" t="s">
        <v>545</v>
      </c>
      <c r="F717" s="196">
        <v>584</v>
      </c>
      <c r="G717" s="194">
        <v>71.131130145126761</v>
      </c>
      <c r="H717" s="195">
        <f t="shared" si="11"/>
        <v>41540.580004754025</v>
      </c>
      <c r="I717" s="193" t="s">
        <v>1911</v>
      </c>
    </row>
    <row r="718" spans="1:9" x14ac:dyDescent="0.25">
      <c r="A718" s="193" t="s">
        <v>220</v>
      </c>
      <c r="B718" s="193" t="s">
        <v>1908</v>
      </c>
      <c r="C718" s="193" t="s">
        <v>1922</v>
      </c>
      <c r="D718" s="193" t="s">
        <v>1923</v>
      </c>
      <c r="E718" s="193" t="s">
        <v>545</v>
      </c>
      <c r="F718" s="196">
        <v>50</v>
      </c>
      <c r="G718" s="194">
        <v>60.187428599986745</v>
      </c>
      <c r="H718" s="195">
        <f t="shared" si="11"/>
        <v>3009.3714299993371</v>
      </c>
      <c r="I718" s="193" t="s">
        <v>1911</v>
      </c>
    </row>
    <row r="719" spans="1:9" x14ac:dyDescent="0.25">
      <c r="A719" s="193" t="s">
        <v>220</v>
      </c>
      <c r="B719" s="193" t="s">
        <v>1908</v>
      </c>
      <c r="C719" s="193" t="s">
        <v>1924</v>
      </c>
      <c r="D719" s="193" t="s">
        <v>1925</v>
      </c>
      <c r="E719" s="193" t="s">
        <v>545</v>
      </c>
      <c r="F719" s="196">
        <v>34</v>
      </c>
      <c r="G719" s="194">
        <v>78.019203624395047</v>
      </c>
      <c r="H719" s="195">
        <f t="shared" si="11"/>
        <v>2652.6529232294315</v>
      </c>
      <c r="I719" s="193" t="s">
        <v>1911</v>
      </c>
    </row>
    <row r="720" spans="1:9" x14ac:dyDescent="0.25">
      <c r="A720" s="193" t="s">
        <v>220</v>
      </c>
      <c r="B720" s="193" t="s">
        <v>1908</v>
      </c>
      <c r="C720" s="193" t="s">
        <v>1926</v>
      </c>
      <c r="D720" s="193" t="s">
        <v>1927</v>
      </c>
      <c r="E720" s="193" t="s">
        <v>545</v>
      </c>
      <c r="F720" s="196">
        <v>746</v>
      </c>
      <c r="G720" s="194">
        <v>77.164095976740441</v>
      </c>
      <c r="H720" s="195">
        <f t="shared" si="11"/>
        <v>57564.415598648367</v>
      </c>
      <c r="I720" s="193" t="s">
        <v>1911</v>
      </c>
    </row>
    <row r="721" spans="1:9" x14ac:dyDescent="0.25">
      <c r="A721" s="193" t="s">
        <v>220</v>
      </c>
      <c r="B721" s="193" t="s">
        <v>1908</v>
      </c>
      <c r="C721" s="193" t="s">
        <v>1928</v>
      </c>
      <c r="D721" s="193" t="s">
        <v>1929</v>
      </c>
      <c r="E721" s="193" t="s">
        <v>545</v>
      </c>
      <c r="F721" s="196">
        <v>169</v>
      </c>
      <c r="G721" s="194">
        <v>90.283204096625596</v>
      </c>
      <c r="H721" s="195">
        <f t="shared" si="11"/>
        <v>15257.861492329726</v>
      </c>
      <c r="I721" s="193" t="s">
        <v>1911</v>
      </c>
    </row>
    <row r="722" spans="1:9" x14ac:dyDescent="0.25">
      <c r="A722" s="193" t="s">
        <v>220</v>
      </c>
      <c r="B722" s="193" t="s">
        <v>1908</v>
      </c>
      <c r="C722" s="193" t="s">
        <v>1930</v>
      </c>
      <c r="D722" s="193" t="s">
        <v>1931</v>
      </c>
      <c r="E722" s="193" t="s">
        <v>545</v>
      </c>
      <c r="F722" s="196">
        <v>175</v>
      </c>
      <c r="G722" s="194">
        <v>88.779786180633138</v>
      </c>
      <c r="H722" s="195">
        <f t="shared" si="11"/>
        <v>15536.4625816108</v>
      </c>
      <c r="I722" s="193" t="s">
        <v>1911</v>
      </c>
    </row>
    <row r="723" spans="1:9" x14ac:dyDescent="0.25">
      <c r="A723" s="193" t="s">
        <v>220</v>
      </c>
      <c r="B723" s="193" t="s">
        <v>1908</v>
      </c>
      <c r="C723" s="193" t="s">
        <v>1932</v>
      </c>
      <c r="D723" s="193" t="s">
        <v>1933</v>
      </c>
      <c r="E723" s="193" t="s">
        <v>545</v>
      </c>
      <c r="F723" s="196">
        <v>1</v>
      </c>
      <c r="G723" s="194">
        <v>58.941708747640163</v>
      </c>
      <c r="H723" s="195">
        <f t="shared" si="11"/>
        <v>58.941708747640163</v>
      </c>
      <c r="I723" s="193" t="s">
        <v>1911</v>
      </c>
    </row>
    <row r="724" spans="1:9" x14ac:dyDescent="0.25">
      <c r="A724" s="193" t="s">
        <v>220</v>
      </c>
      <c r="B724" s="193" t="s">
        <v>1908</v>
      </c>
      <c r="C724" s="193" t="s">
        <v>1934</v>
      </c>
      <c r="D724" s="193" t="s">
        <v>1935</v>
      </c>
      <c r="E724" s="193" t="s">
        <v>545</v>
      </c>
      <c r="F724" s="196">
        <v>4</v>
      </c>
      <c r="G724" s="194">
        <v>63.176862929853229</v>
      </c>
      <c r="H724" s="195">
        <f t="shared" si="11"/>
        <v>252.70745171941292</v>
      </c>
      <c r="I724" s="193" t="s">
        <v>1911</v>
      </c>
    </row>
    <row r="725" spans="1:9" x14ac:dyDescent="0.25">
      <c r="A725" s="193" t="s">
        <v>220</v>
      </c>
      <c r="B725" s="193" t="s">
        <v>1908</v>
      </c>
      <c r="C725" s="193" t="s">
        <v>1936</v>
      </c>
      <c r="D725" s="193" t="s">
        <v>1937</v>
      </c>
      <c r="E725" s="193" t="s">
        <v>545</v>
      </c>
      <c r="F725" s="196">
        <v>3</v>
      </c>
      <c r="G725" s="194">
        <v>74.372386813765175</v>
      </c>
      <c r="H725" s="195">
        <f t="shared" si="11"/>
        <v>223.11716044129554</v>
      </c>
      <c r="I725" s="193" t="s">
        <v>1911</v>
      </c>
    </row>
    <row r="726" spans="1:9" x14ac:dyDescent="0.25">
      <c r="A726" s="193" t="s">
        <v>220</v>
      </c>
      <c r="B726" s="193" t="s">
        <v>1908</v>
      </c>
      <c r="C726" s="193" t="s">
        <v>1938</v>
      </c>
      <c r="D726" s="193" t="s">
        <v>1939</v>
      </c>
      <c r="E726" s="193" t="s">
        <v>545</v>
      </c>
      <c r="F726" s="196">
        <v>146</v>
      </c>
      <c r="G726" s="194">
        <v>104.83021388353322</v>
      </c>
      <c r="H726" s="195">
        <f t="shared" si="11"/>
        <v>15305.211226995851</v>
      </c>
      <c r="I726" s="193" t="s">
        <v>1911</v>
      </c>
    </row>
    <row r="727" spans="1:9" x14ac:dyDescent="0.25">
      <c r="A727" s="193" t="s">
        <v>220</v>
      </c>
      <c r="B727" s="193" t="s">
        <v>1908</v>
      </c>
      <c r="C727" s="193" t="s">
        <v>1940</v>
      </c>
      <c r="D727" s="193" t="s">
        <v>1941</v>
      </c>
      <c r="E727" s="193" t="s">
        <v>545</v>
      </c>
      <c r="F727" s="196">
        <v>255</v>
      </c>
      <c r="G727" s="194">
        <v>110.47926111267003</v>
      </c>
      <c r="H727" s="195">
        <f t="shared" si="11"/>
        <v>28172.211583730859</v>
      </c>
      <c r="I727" s="193" t="s">
        <v>1911</v>
      </c>
    </row>
    <row r="728" spans="1:9" x14ac:dyDescent="0.25">
      <c r="A728" s="193" t="s">
        <v>220</v>
      </c>
      <c r="B728" s="193" t="s">
        <v>1908</v>
      </c>
      <c r="C728" s="193" t="s">
        <v>1942</v>
      </c>
      <c r="D728" s="193" t="s">
        <v>1943</v>
      </c>
      <c r="E728" s="193" t="s">
        <v>545</v>
      </c>
      <c r="F728" s="196">
        <v>38</v>
      </c>
      <c r="G728" s="194">
        <v>113.67016699885335</v>
      </c>
      <c r="H728" s="195">
        <f t="shared" si="11"/>
        <v>4319.4663459564272</v>
      </c>
      <c r="I728" s="193" t="s">
        <v>1911</v>
      </c>
    </row>
    <row r="729" spans="1:9" x14ac:dyDescent="0.25">
      <c r="A729" s="193" t="s">
        <v>220</v>
      </c>
      <c r="B729" s="193" t="s">
        <v>1908</v>
      </c>
      <c r="C729" s="193" t="s">
        <v>1944</v>
      </c>
      <c r="D729" s="193" t="s">
        <v>1945</v>
      </c>
      <c r="E729" s="193" t="s">
        <v>545</v>
      </c>
      <c r="F729" s="196">
        <v>85</v>
      </c>
      <c r="G729" s="194">
        <v>108.50455003875163</v>
      </c>
      <c r="H729" s="195">
        <f t="shared" si="11"/>
        <v>9222.8867532938893</v>
      </c>
      <c r="I729" s="193" t="s">
        <v>1911</v>
      </c>
    </row>
    <row r="730" spans="1:9" x14ac:dyDescent="0.25">
      <c r="A730" s="193" t="s">
        <v>220</v>
      </c>
      <c r="B730" s="193" t="s">
        <v>1908</v>
      </c>
      <c r="C730" s="193" t="s">
        <v>1946</v>
      </c>
      <c r="D730" s="193" t="s">
        <v>1947</v>
      </c>
      <c r="E730" s="193" t="s">
        <v>545</v>
      </c>
      <c r="F730" s="196">
        <v>15</v>
      </c>
      <c r="G730" s="194">
        <v>129.13387861005873</v>
      </c>
      <c r="H730" s="195">
        <f t="shared" si="11"/>
        <v>1937.008179150881</v>
      </c>
      <c r="I730" s="193" t="s">
        <v>1911</v>
      </c>
    </row>
    <row r="731" spans="1:9" x14ac:dyDescent="0.25">
      <c r="A731" s="193" t="s">
        <v>220</v>
      </c>
      <c r="B731" s="193" t="s">
        <v>1908</v>
      </c>
      <c r="C731" s="193" t="s">
        <v>1948</v>
      </c>
      <c r="D731" s="193" t="s">
        <v>1949</v>
      </c>
      <c r="E731" s="193" t="s">
        <v>545</v>
      </c>
      <c r="F731" s="196">
        <v>560</v>
      </c>
      <c r="G731" s="194">
        <v>67.465775052437905</v>
      </c>
      <c r="H731" s="195">
        <f t="shared" si="11"/>
        <v>37780.834029365229</v>
      </c>
      <c r="I731" s="193" t="s">
        <v>1911</v>
      </c>
    </row>
    <row r="732" spans="1:9" x14ac:dyDescent="0.25">
      <c r="A732" s="193" t="s">
        <v>220</v>
      </c>
      <c r="B732" s="193" t="s">
        <v>1908</v>
      </c>
      <c r="C732" s="193" t="s">
        <v>1950</v>
      </c>
      <c r="D732" s="193" t="s">
        <v>1951</v>
      </c>
      <c r="E732" s="193" t="s">
        <v>545</v>
      </c>
      <c r="F732" s="196">
        <v>271</v>
      </c>
      <c r="G732" s="194">
        <v>77.632283680213334</v>
      </c>
      <c r="H732" s="195">
        <f t="shared" si="11"/>
        <v>21038.348877337812</v>
      </c>
      <c r="I732" s="193" t="s">
        <v>1911</v>
      </c>
    </row>
    <row r="733" spans="1:9" x14ac:dyDescent="0.25">
      <c r="A733" s="193" t="s">
        <v>220</v>
      </c>
      <c r="B733" s="193" t="s">
        <v>1908</v>
      </c>
      <c r="C733" s="193" t="s">
        <v>1952</v>
      </c>
      <c r="D733" s="193" t="s">
        <v>1953</v>
      </c>
      <c r="E733" s="193" t="s">
        <v>545</v>
      </c>
      <c r="F733" s="196">
        <v>734</v>
      </c>
      <c r="G733" s="194">
        <v>93.268688780299371</v>
      </c>
      <c r="H733" s="195">
        <f t="shared" si="11"/>
        <v>68459.217564739738</v>
      </c>
      <c r="I733" s="193" t="s">
        <v>1911</v>
      </c>
    </row>
    <row r="734" spans="1:9" x14ac:dyDescent="0.25">
      <c r="A734" s="193" t="s">
        <v>220</v>
      </c>
      <c r="B734" s="193" t="s">
        <v>1908</v>
      </c>
      <c r="C734" s="193" t="s">
        <v>1954</v>
      </c>
      <c r="D734" s="193" t="s">
        <v>1955</v>
      </c>
      <c r="E734" s="193" t="s">
        <v>545</v>
      </c>
      <c r="F734" s="196">
        <v>1</v>
      </c>
      <c r="G734" s="194">
        <v>86.46395960833172</v>
      </c>
      <c r="H734" s="195">
        <f t="shared" si="11"/>
        <v>86.46395960833172</v>
      </c>
      <c r="I734" s="193" t="s">
        <v>1911</v>
      </c>
    </row>
    <row r="735" spans="1:9" x14ac:dyDescent="0.25">
      <c r="A735" s="193" t="s">
        <v>220</v>
      </c>
      <c r="B735" s="193" t="s">
        <v>1908</v>
      </c>
      <c r="C735" s="193" t="s">
        <v>1956</v>
      </c>
      <c r="D735" s="193" t="s">
        <v>1957</v>
      </c>
      <c r="E735" s="193" t="s">
        <v>545</v>
      </c>
      <c r="F735" s="196">
        <v>85</v>
      </c>
      <c r="G735" s="194">
        <v>108.2019760944152</v>
      </c>
      <c r="H735" s="195">
        <f t="shared" si="11"/>
        <v>9197.1679680252928</v>
      </c>
      <c r="I735" s="193" t="s">
        <v>1911</v>
      </c>
    </row>
    <row r="736" spans="1:9" x14ac:dyDescent="0.25">
      <c r="A736" s="193" t="s">
        <v>220</v>
      </c>
      <c r="B736" s="193" t="s">
        <v>1908</v>
      </c>
      <c r="C736" s="193" t="s">
        <v>1958</v>
      </c>
      <c r="D736" s="193" t="s">
        <v>1959</v>
      </c>
      <c r="E736" s="193" t="s">
        <v>545</v>
      </c>
      <c r="F736" s="196">
        <v>4</v>
      </c>
      <c r="G736" s="194">
        <v>155.10987712536115</v>
      </c>
      <c r="H736" s="195">
        <f t="shared" si="11"/>
        <v>620.43950850144461</v>
      </c>
      <c r="I736" s="193" t="s">
        <v>1911</v>
      </c>
    </row>
    <row r="737" spans="1:9" x14ac:dyDescent="0.25">
      <c r="A737" s="193" t="s">
        <v>220</v>
      </c>
      <c r="B737" s="193" t="s">
        <v>1908</v>
      </c>
      <c r="C737" s="193" t="s">
        <v>1960</v>
      </c>
      <c r="D737" s="193" t="s">
        <v>1961</v>
      </c>
      <c r="E737" s="193" t="s">
        <v>545</v>
      </c>
      <c r="F737" s="196">
        <v>128</v>
      </c>
      <c r="G737" s="194">
        <v>88.159978085742637</v>
      </c>
      <c r="H737" s="195">
        <f t="shared" si="11"/>
        <v>11284.477194975058</v>
      </c>
      <c r="I737" s="193" t="s">
        <v>1911</v>
      </c>
    </row>
    <row r="738" spans="1:9" x14ac:dyDescent="0.25">
      <c r="A738" s="193" t="s">
        <v>220</v>
      </c>
      <c r="B738" s="193" t="s">
        <v>1908</v>
      </c>
      <c r="C738" s="193" t="s">
        <v>1962</v>
      </c>
      <c r="D738" s="193" t="s">
        <v>1963</v>
      </c>
      <c r="E738" s="193" t="s">
        <v>545</v>
      </c>
      <c r="F738" s="196">
        <v>270</v>
      </c>
      <c r="G738" s="194">
        <v>97.468596265010717</v>
      </c>
      <c r="H738" s="195">
        <f t="shared" si="11"/>
        <v>26316.520991552894</v>
      </c>
      <c r="I738" s="193" t="s">
        <v>1911</v>
      </c>
    </row>
    <row r="739" spans="1:9" x14ac:dyDescent="0.25">
      <c r="A739" s="193" t="s">
        <v>220</v>
      </c>
      <c r="B739" s="193" t="s">
        <v>1908</v>
      </c>
      <c r="C739" s="193" t="s">
        <v>1964</v>
      </c>
      <c r="D739" s="193" t="s">
        <v>1965</v>
      </c>
      <c r="E739" s="193" t="s">
        <v>545</v>
      </c>
      <c r="F739" s="196">
        <v>857</v>
      </c>
      <c r="G739" s="194">
        <v>136.47822356969888</v>
      </c>
      <c r="H739" s="195">
        <f t="shared" si="11"/>
        <v>116961.83759923195</v>
      </c>
      <c r="I739" s="193" t="s">
        <v>1911</v>
      </c>
    </row>
    <row r="740" spans="1:9" x14ac:dyDescent="0.25">
      <c r="A740" s="193" t="s">
        <v>220</v>
      </c>
      <c r="B740" s="193" t="s">
        <v>1908</v>
      </c>
      <c r="C740" s="193" t="s">
        <v>1966</v>
      </c>
      <c r="D740" s="193" t="s">
        <v>1967</v>
      </c>
      <c r="E740" s="193" t="s">
        <v>545</v>
      </c>
      <c r="F740" s="196">
        <v>122</v>
      </c>
      <c r="G740" s="194">
        <v>129.06362574974258</v>
      </c>
      <c r="H740" s="195">
        <f t="shared" si="11"/>
        <v>15745.762341468595</v>
      </c>
      <c r="I740" s="193" t="s">
        <v>1911</v>
      </c>
    </row>
    <row r="741" spans="1:9" x14ac:dyDescent="0.25">
      <c r="A741" s="193" t="s">
        <v>220</v>
      </c>
      <c r="B741" s="193" t="s">
        <v>1908</v>
      </c>
      <c r="C741" s="193" t="s">
        <v>1968</v>
      </c>
      <c r="D741" s="193" t="s">
        <v>1969</v>
      </c>
      <c r="E741" s="193" t="s">
        <v>545</v>
      </c>
      <c r="F741" s="196">
        <v>89</v>
      </c>
      <c r="G741" s="194">
        <v>134.41722296813123</v>
      </c>
      <c r="H741" s="195">
        <f t="shared" si="11"/>
        <v>11963.13284416368</v>
      </c>
      <c r="I741" s="193" t="s">
        <v>1911</v>
      </c>
    </row>
    <row r="742" spans="1:9" x14ac:dyDescent="0.25">
      <c r="A742" s="193" t="s">
        <v>220</v>
      </c>
      <c r="B742" s="193" t="s">
        <v>1908</v>
      </c>
      <c r="C742" s="193" t="s">
        <v>1970</v>
      </c>
      <c r="D742" s="193" t="s">
        <v>1971</v>
      </c>
      <c r="E742" s="193" t="s">
        <v>545</v>
      </c>
      <c r="F742" s="196">
        <v>18</v>
      </c>
      <c r="G742" s="194">
        <v>124.64288361726786</v>
      </c>
      <c r="H742" s="195">
        <f t="shared" si="11"/>
        <v>2243.5719051108213</v>
      </c>
      <c r="I742" s="193" t="s">
        <v>1911</v>
      </c>
    </row>
    <row r="743" spans="1:9" x14ac:dyDescent="0.25">
      <c r="A743" s="193" t="s">
        <v>220</v>
      </c>
      <c r="B743" s="193" t="s">
        <v>1908</v>
      </c>
      <c r="C743" s="193" t="s">
        <v>1972</v>
      </c>
      <c r="D743" s="193" t="s">
        <v>1973</v>
      </c>
      <c r="E743" s="193" t="s">
        <v>545</v>
      </c>
      <c r="F743" s="196">
        <v>9</v>
      </c>
      <c r="G743" s="194">
        <v>142.31511267353068</v>
      </c>
      <c r="H743" s="195">
        <f t="shared" si="11"/>
        <v>1280.836014061776</v>
      </c>
      <c r="I743" s="193" t="s">
        <v>1911</v>
      </c>
    </row>
    <row r="744" spans="1:9" x14ac:dyDescent="0.25">
      <c r="A744" s="193" t="s">
        <v>220</v>
      </c>
      <c r="B744" s="193" t="s">
        <v>1908</v>
      </c>
      <c r="C744" s="193" t="s">
        <v>1974</v>
      </c>
      <c r="D744" s="193" t="s">
        <v>1975</v>
      </c>
      <c r="E744" s="193" t="s">
        <v>545</v>
      </c>
      <c r="F744" s="196">
        <v>18</v>
      </c>
      <c r="G744" s="194">
        <v>160.50202787217594</v>
      </c>
      <c r="H744" s="195">
        <f t="shared" si="11"/>
        <v>2889.0365016991668</v>
      </c>
      <c r="I744" s="193" t="s">
        <v>1911</v>
      </c>
    </row>
    <row r="745" spans="1:9" x14ac:dyDescent="0.25">
      <c r="A745" s="193" t="s">
        <v>220</v>
      </c>
      <c r="B745" s="193" t="s">
        <v>1908</v>
      </c>
      <c r="C745" s="193" t="s">
        <v>1976</v>
      </c>
      <c r="D745" s="193" t="s">
        <v>1977</v>
      </c>
      <c r="E745" s="193" t="s">
        <v>545</v>
      </c>
      <c r="F745" s="196">
        <v>27</v>
      </c>
      <c r="G745" s="194">
        <v>286.52274291242145</v>
      </c>
      <c r="H745" s="195">
        <f t="shared" si="11"/>
        <v>7736.1140586353795</v>
      </c>
      <c r="I745" s="193" t="s">
        <v>1911</v>
      </c>
    </row>
    <row r="746" spans="1:9" x14ac:dyDescent="0.25">
      <c r="A746" s="193" t="s">
        <v>220</v>
      </c>
      <c r="B746" s="193" t="s">
        <v>1908</v>
      </c>
      <c r="C746" s="193" t="s">
        <v>1978</v>
      </c>
      <c r="D746" s="193" t="s">
        <v>1979</v>
      </c>
      <c r="E746" s="193" t="s">
        <v>545</v>
      </c>
      <c r="F746" s="196">
        <v>34</v>
      </c>
      <c r="G746" s="194">
        <v>171.04008668587466</v>
      </c>
      <c r="H746" s="195">
        <f t="shared" si="11"/>
        <v>5815.3629473197379</v>
      </c>
      <c r="I746" s="193" t="s">
        <v>1911</v>
      </c>
    </row>
    <row r="747" spans="1:9" x14ac:dyDescent="0.25">
      <c r="A747" s="193" t="s">
        <v>220</v>
      </c>
      <c r="B747" s="193" t="s">
        <v>1908</v>
      </c>
      <c r="C747" s="193" t="s">
        <v>1980</v>
      </c>
      <c r="D747" s="193" t="s">
        <v>1981</v>
      </c>
      <c r="E747" s="193" t="s">
        <v>545</v>
      </c>
      <c r="F747" s="196">
        <v>146</v>
      </c>
      <c r="G747" s="194">
        <v>199.77070244438534</v>
      </c>
      <c r="H747" s="195">
        <f t="shared" si="11"/>
        <v>29166.52255688026</v>
      </c>
      <c r="I747" s="193" t="s">
        <v>1911</v>
      </c>
    </row>
    <row r="748" spans="1:9" x14ac:dyDescent="0.25">
      <c r="A748" s="193" t="s">
        <v>220</v>
      </c>
      <c r="B748" s="193" t="s">
        <v>1908</v>
      </c>
      <c r="C748" s="193" t="s">
        <v>1982</v>
      </c>
      <c r="D748" s="193" t="s">
        <v>1983</v>
      </c>
      <c r="E748" s="193" t="s">
        <v>545</v>
      </c>
      <c r="F748" s="196">
        <v>29</v>
      </c>
      <c r="G748" s="194">
        <v>207.89764223832998</v>
      </c>
      <c r="H748" s="195">
        <f t="shared" si="11"/>
        <v>6029.0316249115695</v>
      </c>
      <c r="I748" s="193" t="s">
        <v>1911</v>
      </c>
    </row>
    <row r="749" spans="1:9" x14ac:dyDescent="0.25">
      <c r="A749" s="193" t="s">
        <v>220</v>
      </c>
      <c r="B749" s="193" t="s">
        <v>1908</v>
      </c>
      <c r="C749" s="193" t="s">
        <v>1984</v>
      </c>
      <c r="D749" s="193" t="s">
        <v>1985</v>
      </c>
      <c r="E749" s="193" t="s">
        <v>545</v>
      </c>
      <c r="F749" s="196">
        <v>54</v>
      </c>
      <c r="G749" s="194">
        <v>228.32164206822068</v>
      </c>
      <c r="H749" s="195">
        <f t="shared" si="11"/>
        <v>12329.368671683917</v>
      </c>
      <c r="I749" s="193" t="s">
        <v>1911</v>
      </c>
    </row>
    <row r="750" spans="1:9" x14ac:dyDescent="0.25">
      <c r="A750" s="193" t="s">
        <v>220</v>
      </c>
      <c r="B750" s="193" t="s">
        <v>1908</v>
      </c>
      <c r="C750" s="193" t="s">
        <v>1986</v>
      </c>
      <c r="D750" s="193" t="s">
        <v>1987</v>
      </c>
      <c r="E750" s="193" t="s">
        <v>545</v>
      </c>
      <c r="F750" s="196">
        <v>10</v>
      </c>
      <c r="G750" s="194">
        <v>94.482638309521448</v>
      </c>
      <c r="H750" s="195">
        <f t="shared" si="11"/>
        <v>944.82638309521451</v>
      </c>
      <c r="I750" s="193" t="s">
        <v>1911</v>
      </c>
    </row>
    <row r="751" spans="1:9" x14ac:dyDescent="0.25">
      <c r="A751" s="193" t="s">
        <v>220</v>
      </c>
      <c r="B751" s="193" t="s">
        <v>1908</v>
      </c>
      <c r="C751" s="193" t="s">
        <v>1988</v>
      </c>
      <c r="D751" s="193" t="s">
        <v>1989</v>
      </c>
      <c r="E751" s="193" t="s">
        <v>545</v>
      </c>
      <c r="F751" s="196">
        <v>16</v>
      </c>
      <c r="G751" s="194">
        <v>154.21426812681023</v>
      </c>
      <c r="H751" s="195">
        <f t="shared" si="11"/>
        <v>2467.4282900289636</v>
      </c>
      <c r="I751" s="193" t="s">
        <v>1911</v>
      </c>
    </row>
    <row r="752" spans="1:9" x14ac:dyDescent="0.25">
      <c r="A752" s="193" t="s">
        <v>220</v>
      </c>
      <c r="B752" s="193" t="s">
        <v>1908</v>
      </c>
      <c r="C752" s="193" t="s">
        <v>1990</v>
      </c>
      <c r="D752" s="193" t="s">
        <v>1991</v>
      </c>
      <c r="E752" s="193" t="s">
        <v>545</v>
      </c>
      <c r="F752" s="196">
        <v>3</v>
      </c>
      <c r="G752" s="194">
        <v>107.9431281306293</v>
      </c>
      <c r="H752" s="195">
        <f t="shared" si="11"/>
        <v>323.82938439188791</v>
      </c>
      <c r="I752" s="193" t="s">
        <v>1911</v>
      </c>
    </row>
    <row r="753" spans="1:9" x14ac:dyDescent="0.25">
      <c r="A753" s="193" t="s">
        <v>220</v>
      </c>
      <c r="B753" s="193" t="s">
        <v>1908</v>
      </c>
      <c r="C753" s="193" t="s">
        <v>1992</v>
      </c>
      <c r="D753" s="193" t="s">
        <v>1993</v>
      </c>
      <c r="E753" s="193" t="s">
        <v>545</v>
      </c>
      <c r="F753" s="196">
        <v>19</v>
      </c>
      <c r="G753" s="194">
        <v>120.58793453639527</v>
      </c>
      <c r="H753" s="195">
        <f t="shared" si="11"/>
        <v>2291.17075619151</v>
      </c>
      <c r="I753" s="193" t="s">
        <v>1911</v>
      </c>
    </row>
    <row r="754" spans="1:9" x14ac:dyDescent="0.25">
      <c r="A754" s="193" t="s">
        <v>220</v>
      </c>
      <c r="B754" s="193" t="s">
        <v>1908</v>
      </c>
      <c r="C754" s="193" t="s">
        <v>1994</v>
      </c>
      <c r="D754" s="193" t="s">
        <v>1995</v>
      </c>
      <c r="E754" s="193" t="s">
        <v>545</v>
      </c>
      <c r="F754" s="196">
        <v>5</v>
      </c>
      <c r="G754" s="194">
        <v>53.361335118244675</v>
      </c>
      <c r="H754" s="195">
        <f t="shared" si="11"/>
        <v>266.80667559122338</v>
      </c>
      <c r="I754" s="193" t="s">
        <v>1911</v>
      </c>
    </row>
    <row r="755" spans="1:9" x14ac:dyDescent="0.25">
      <c r="A755" s="193" t="s">
        <v>220</v>
      </c>
      <c r="B755" s="193" t="s">
        <v>1908</v>
      </c>
      <c r="C755" s="193" t="s">
        <v>1996</v>
      </c>
      <c r="D755" s="193" t="s">
        <v>1997</v>
      </c>
      <c r="E755" s="193" t="s">
        <v>545</v>
      </c>
      <c r="F755" s="196">
        <v>25</v>
      </c>
      <c r="G755" s="194">
        <v>55.742218378629929</v>
      </c>
      <c r="H755" s="195">
        <f t="shared" si="11"/>
        <v>1393.5554594657483</v>
      </c>
      <c r="I755" s="193" t="s">
        <v>1911</v>
      </c>
    </row>
    <row r="756" spans="1:9" x14ac:dyDescent="0.25">
      <c r="A756" s="193" t="s">
        <v>220</v>
      </c>
      <c r="B756" s="193" t="s">
        <v>1908</v>
      </c>
      <c r="C756" s="193" t="s">
        <v>1998</v>
      </c>
      <c r="D756" s="193" t="s">
        <v>1998</v>
      </c>
      <c r="E756" s="193" t="s">
        <v>545</v>
      </c>
      <c r="F756" s="196">
        <v>4</v>
      </c>
      <c r="G756" s="194">
        <v>69.796520753384939</v>
      </c>
      <c r="H756" s="195">
        <f t="shared" si="11"/>
        <v>279.18608301353976</v>
      </c>
      <c r="I756" s="193" t="s">
        <v>1911</v>
      </c>
    </row>
    <row r="757" spans="1:9" x14ac:dyDescent="0.25">
      <c r="A757" s="193" t="s">
        <v>220</v>
      </c>
      <c r="B757" s="193" t="s">
        <v>1908</v>
      </c>
      <c r="C757" s="193" t="s">
        <v>1999</v>
      </c>
      <c r="D757" s="193" t="s">
        <v>2000</v>
      </c>
      <c r="E757" s="193" t="s">
        <v>545</v>
      </c>
      <c r="F757" s="196">
        <v>1</v>
      </c>
      <c r="G757" s="194">
        <v>77.821653094955408</v>
      </c>
      <c r="H757" s="195">
        <f t="shared" si="11"/>
        <v>77.821653094955408</v>
      </c>
      <c r="I757" s="193" t="s">
        <v>1911</v>
      </c>
    </row>
    <row r="758" spans="1:9" x14ac:dyDescent="0.25">
      <c r="A758" s="193" t="s">
        <v>220</v>
      </c>
      <c r="B758" s="193" t="s">
        <v>1908</v>
      </c>
      <c r="C758" s="193" t="s">
        <v>2001</v>
      </c>
      <c r="D758" s="193" t="s">
        <v>2002</v>
      </c>
      <c r="E758" s="193" t="s">
        <v>545</v>
      </c>
      <c r="F758" s="196">
        <v>1</v>
      </c>
      <c r="G758" s="194">
        <v>95.590047136637295</v>
      </c>
      <c r="H758" s="195">
        <f t="shared" si="11"/>
        <v>95.590047136637295</v>
      </c>
      <c r="I758" s="193" t="s">
        <v>1911</v>
      </c>
    </row>
    <row r="759" spans="1:9" x14ac:dyDescent="0.25">
      <c r="A759" s="193" t="s">
        <v>220</v>
      </c>
      <c r="B759" s="193" t="s">
        <v>1908</v>
      </c>
      <c r="C759" s="193" t="s">
        <v>2003</v>
      </c>
      <c r="D759" s="193" t="s">
        <v>2004</v>
      </c>
      <c r="E759" s="193" t="s">
        <v>545</v>
      </c>
      <c r="F759" s="196">
        <v>5</v>
      </c>
      <c r="G759" s="194">
        <v>163.73729882871604</v>
      </c>
      <c r="H759" s="195">
        <f t="shared" si="11"/>
        <v>818.68649414358015</v>
      </c>
      <c r="I759" s="193" t="s">
        <v>1911</v>
      </c>
    </row>
    <row r="760" spans="1:9" x14ac:dyDescent="0.25">
      <c r="A760" s="193" t="s">
        <v>220</v>
      </c>
      <c r="B760" s="193" t="s">
        <v>1908</v>
      </c>
      <c r="C760" s="193" t="s">
        <v>2005</v>
      </c>
      <c r="D760" s="193" t="s">
        <v>2006</v>
      </c>
      <c r="E760" s="193" t="s">
        <v>545</v>
      </c>
      <c r="F760" s="196">
        <v>4</v>
      </c>
      <c r="G760" s="194">
        <v>213.446854510154</v>
      </c>
      <c r="H760" s="195">
        <f t="shared" si="11"/>
        <v>853.78741804061599</v>
      </c>
      <c r="I760" s="193" t="s">
        <v>1911</v>
      </c>
    </row>
    <row r="761" spans="1:9" x14ac:dyDescent="0.25">
      <c r="A761" s="193" t="s">
        <v>220</v>
      </c>
      <c r="B761" s="193" t="s">
        <v>1908</v>
      </c>
      <c r="C761" s="193" t="s">
        <v>2005</v>
      </c>
      <c r="D761" s="193" t="s">
        <v>2006</v>
      </c>
      <c r="E761" s="193" t="s">
        <v>545</v>
      </c>
      <c r="F761" s="196">
        <v>4</v>
      </c>
      <c r="G761" s="194">
        <v>213.446854510154</v>
      </c>
      <c r="H761" s="195">
        <f t="shared" si="11"/>
        <v>853.78741804061599</v>
      </c>
      <c r="I761" s="193" t="s">
        <v>1911</v>
      </c>
    </row>
    <row r="762" spans="1:9" x14ac:dyDescent="0.25">
      <c r="A762" s="193" t="s">
        <v>220</v>
      </c>
      <c r="B762" s="193" t="s">
        <v>1908</v>
      </c>
      <c r="C762" s="193" t="s">
        <v>2007</v>
      </c>
      <c r="D762" s="193" t="s">
        <v>2007</v>
      </c>
      <c r="E762" s="193" t="s">
        <v>545</v>
      </c>
      <c r="F762" s="196">
        <v>84</v>
      </c>
      <c r="G762" s="194">
        <v>120.1</v>
      </c>
      <c r="H762" s="195">
        <f t="shared" si="11"/>
        <v>10088.4</v>
      </c>
      <c r="I762" s="193" t="s">
        <v>1911</v>
      </c>
    </row>
    <row r="763" spans="1:9" x14ac:dyDescent="0.25">
      <c r="A763" s="193" t="s">
        <v>220</v>
      </c>
      <c r="B763" s="193" t="s">
        <v>1908</v>
      </c>
      <c r="C763" s="193" t="s">
        <v>2008</v>
      </c>
      <c r="D763" s="193" t="s">
        <v>2008</v>
      </c>
      <c r="E763" s="193" t="s">
        <v>545</v>
      </c>
      <c r="F763" s="196">
        <v>71</v>
      </c>
      <c r="G763" s="194">
        <v>120.1</v>
      </c>
      <c r="H763" s="195">
        <f t="shared" si="11"/>
        <v>8527.1</v>
      </c>
      <c r="I763" s="193" t="s">
        <v>1911</v>
      </c>
    </row>
    <row r="764" spans="1:9" x14ac:dyDescent="0.25">
      <c r="A764" s="193" t="s">
        <v>220</v>
      </c>
      <c r="B764" s="193" t="s">
        <v>1908</v>
      </c>
      <c r="C764" s="193" t="s">
        <v>2009</v>
      </c>
      <c r="D764" s="193" t="s">
        <v>2010</v>
      </c>
      <c r="E764" s="193" t="s">
        <v>545</v>
      </c>
      <c r="F764" s="196">
        <v>66</v>
      </c>
      <c r="G764" s="194">
        <v>49.133017753918679</v>
      </c>
      <c r="H764" s="195">
        <f t="shared" si="11"/>
        <v>3242.7791717586329</v>
      </c>
      <c r="I764" s="193" t="s">
        <v>1911</v>
      </c>
    </row>
    <row r="765" spans="1:9" x14ac:dyDescent="0.25">
      <c r="A765" s="193" t="s">
        <v>220</v>
      </c>
      <c r="B765" s="193" t="s">
        <v>1908</v>
      </c>
      <c r="C765" s="193" t="s">
        <v>2011</v>
      </c>
      <c r="D765" s="193" t="s">
        <v>2012</v>
      </c>
      <c r="E765" s="193" t="s">
        <v>545</v>
      </c>
      <c r="F765" s="196">
        <v>105</v>
      </c>
      <c r="G765" s="194">
        <v>55.742218378629929</v>
      </c>
      <c r="H765" s="195">
        <f t="shared" si="11"/>
        <v>5852.9329297561426</v>
      </c>
      <c r="I765" s="193" t="s">
        <v>1911</v>
      </c>
    </row>
    <row r="766" spans="1:9" x14ac:dyDescent="0.25">
      <c r="A766" s="193" t="s">
        <v>220</v>
      </c>
      <c r="B766" s="193" t="s">
        <v>1908</v>
      </c>
      <c r="C766" s="193" t="s">
        <v>2013</v>
      </c>
      <c r="D766" s="193" t="s">
        <v>2014</v>
      </c>
      <c r="E766" s="193" t="s">
        <v>545</v>
      </c>
      <c r="F766" s="196">
        <v>26</v>
      </c>
      <c r="G766" s="194">
        <v>55.742218378629929</v>
      </c>
      <c r="H766" s="195">
        <f t="shared" si="11"/>
        <v>1449.2976778443781</v>
      </c>
      <c r="I766" s="193" t="s">
        <v>1911</v>
      </c>
    </row>
    <row r="767" spans="1:9" x14ac:dyDescent="0.25">
      <c r="A767" s="193" t="s">
        <v>220</v>
      </c>
      <c r="B767" s="193" t="s">
        <v>1908</v>
      </c>
      <c r="C767" s="193" t="s">
        <v>2015</v>
      </c>
      <c r="D767" s="193" t="s">
        <v>2016</v>
      </c>
      <c r="E767" s="193" t="s">
        <v>545</v>
      </c>
      <c r="F767" s="196">
        <v>55</v>
      </c>
      <c r="G767" s="194">
        <v>72.44792068894715</v>
      </c>
      <c r="H767" s="195">
        <f t="shared" si="11"/>
        <v>3984.6356378920932</v>
      </c>
      <c r="I767" s="193" t="s">
        <v>1911</v>
      </c>
    </row>
    <row r="768" spans="1:9" x14ac:dyDescent="0.25">
      <c r="A768" s="193" t="s">
        <v>220</v>
      </c>
      <c r="B768" s="193" t="s">
        <v>1908</v>
      </c>
      <c r="C768" s="193" t="s">
        <v>1909</v>
      </c>
      <c r="D768" s="193" t="s">
        <v>1910</v>
      </c>
      <c r="E768" s="193" t="s">
        <v>545</v>
      </c>
      <c r="F768" s="196">
        <v>216</v>
      </c>
      <c r="G768" s="194">
        <v>72.685741473669125</v>
      </c>
      <c r="H768" s="195">
        <f t="shared" si="11"/>
        <v>15700.120158312531</v>
      </c>
      <c r="I768" s="193" t="s">
        <v>1911</v>
      </c>
    </row>
    <row r="769" spans="1:9" x14ac:dyDescent="0.25">
      <c r="A769" s="193" t="s">
        <v>220</v>
      </c>
      <c r="B769" s="193" t="s">
        <v>1908</v>
      </c>
      <c r="C769" s="193" t="s">
        <v>2017</v>
      </c>
      <c r="D769" s="193" t="s">
        <v>2018</v>
      </c>
      <c r="E769" s="193" t="s">
        <v>545</v>
      </c>
      <c r="F769" s="196">
        <v>19</v>
      </c>
      <c r="G769" s="194">
        <v>75.595781157578614</v>
      </c>
      <c r="H769" s="195">
        <f t="shared" si="11"/>
        <v>1436.3198419939936</v>
      </c>
      <c r="I769" s="193" t="s">
        <v>1911</v>
      </c>
    </row>
    <row r="770" spans="1:9" x14ac:dyDescent="0.25">
      <c r="A770" s="193" t="s">
        <v>220</v>
      </c>
      <c r="B770" s="193" t="s">
        <v>1908</v>
      </c>
      <c r="C770" s="193" t="s">
        <v>1912</v>
      </c>
      <c r="D770" s="193" t="s">
        <v>1913</v>
      </c>
      <c r="E770" s="193" t="s">
        <v>545</v>
      </c>
      <c r="F770" s="196">
        <v>457</v>
      </c>
      <c r="G770" s="194">
        <v>83.18852910446428</v>
      </c>
      <c r="H770" s="195">
        <f t="shared" si="11"/>
        <v>38017.157800740177</v>
      </c>
      <c r="I770" s="193" t="s">
        <v>1911</v>
      </c>
    </row>
    <row r="771" spans="1:9" x14ac:dyDescent="0.25">
      <c r="A771" s="193" t="s">
        <v>220</v>
      </c>
      <c r="B771" s="193" t="s">
        <v>1908</v>
      </c>
      <c r="C771" s="193" t="s">
        <v>2019</v>
      </c>
      <c r="D771" s="193" t="s">
        <v>2020</v>
      </c>
      <c r="E771" s="193" t="s">
        <v>545</v>
      </c>
      <c r="F771" s="196">
        <v>53</v>
      </c>
      <c r="G771" s="194">
        <v>87.272045424390939</v>
      </c>
      <c r="H771" s="195">
        <f t="shared" si="11"/>
        <v>4625.4184074927198</v>
      </c>
      <c r="I771" s="193" t="s">
        <v>1911</v>
      </c>
    </row>
    <row r="772" spans="1:9" x14ac:dyDescent="0.25">
      <c r="A772" s="193" t="s">
        <v>220</v>
      </c>
      <c r="B772" s="193" t="s">
        <v>1908</v>
      </c>
      <c r="C772" s="193" t="s">
        <v>1914</v>
      </c>
      <c r="D772" s="193" t="s">
        <v>1915</v>
      </c>
      <c r="E772" s="193" t="s">
        <v>545</v>
      </c>
      <c r="F772" s="196">
        <v>730</v>
      </c>
      <c r="G772" s="194">
        <v>93.656713247244056</v>
      </c>
      <c r="H772" s="195">
        <f t="shared" si="11"/>
        <v>68369.400670488161</v>
      </c>
      <c r="I772" s="193" t="s">
        <v>1911</v>
      </c>
    </row>
    <row r="773" spans="1:9" x14ac:dyDescent="0.25">
      <c r="A773" s="193" t="s">
        <v>220</v>
      </c>
      <c r="B773" s="193" t="s">
        <v>1908</v>
      </c>
      <c r="C773" s="193" t="s">
        <v>2021</v>
      </c>
      <c r="D773" s="193" t="s">
        <v>2022</v>
      </c>
      <c r="E773" s="193" t="s">
        <v>545</v>
      </c>
      <c r="F773" s="196">
        <v>98</v>
      </c>
      <c r="G773" s="194">
        <v>93.598755060087385</v>
      </c>
      <c r="H773" s="195">
        <f t="shared" ref="H773:H836" si="12">+F773*G773</f>
        <v>9172.6779958885636</v>
      </c>
      <c r="I773" s="193" t="s">
        <v>1911</v>
      </c>
    </row>
    <row r="774" spans="1:9" x14ac:dyDescent="0.25">
      <c r="A774" s="193" t="s">
        <v>220</v>
      </c>
      <c r="B774" s="193" t="s">
        <v>1908</v>
      </c>
      <c r="C774" s="193" t="s">
        <v>1916</v>
      </c>
      <c r="D774" s="193" t="s">
        <v>1917</v>
      </c>
      <c r="E774" s="193" t="s">
        <v>545</v>
      </c>
      <c r="F774" s="196">
        <v>47</v>
      </c>
      <c r="G774" s="194">
        <v>126.58860491485309</v>
      </c>
      <c r="H774" s="195">
        <f t="shared" si="12"/>
        <v>5949.6644309980957</v>
      </c>
      <c r="I774" s="193" t="s">
        <v>1911</v>
      </c>
    </row>
    <row r="775" spans="1:9" x14ac:dyDescent="0.25">
      <c r="A775" s="193" t="s">
        <v>220</v>
      </c>
      <c r="B775" s="193" t="s">
        <v>1908</v>
      </c>
      <c r="C775" s="193" t="s">
        <v>1920</v>
      </c>
      <c r="D775" s="193" t="s">
        <v>2023</v>
      </c>
      <c r="E775" s="193" t="s">
        <v>545</v>
      </c>
      <c r="F775" s="196">
        <v>16</v>
      </c>
      <c r="G775" s="194">
        <v>71.131130145126761</v>
      </c>
      <c r="H775" s="195">
        <f t="shared" si="12"/>
        <v>1138.0980823220282</v>
      </c>
      <c r="I775" s="193" t="s">
        <v>1911</v>
      </c>
    </row>
    <row r="776" spans="1:9" x14ac:dyDescent="0.25">
      <c r="A776" s="193" t="s">
        <v>220</v>
      </c>
      <c r="B776" s="193" t="s">
        <v>1908</v>
      </c>
      <c r="C776" s="193" t="s">
        <v>1924</v>
      </c>
      <c r="D776" s="193" t="s">
        <v>1925</v>
      </c>
      <c r="E776" s="193" t="s">
        <v>545</v>
      </c>
      <c r="F776" s="196">
        <v>311</v>
      </c>
      <c r="G776" s="194">
        <v>78.019203624395047</v>
      </c>
      <c r="H776" s="195">
        <f t="shared" si="12"/>
        <v>24263.972327186861</v>
      </c>
      <c r="I776" s="193" t="s">
        <v>1911</v>
      </c>
    </row>
    <row r="777" spans="1:9" x14ac:dyDescent="0.25">
      <c r="A777" s="193" t="s">
        <v>220</v>
      </c>
      <c r="B777" s="193" t="s">
        <v>1908</v>
      </c>
      <c r="C777" s="193" t="s">
        <v>1928</v>
      </c>
      <c r="D777" s="193" t="s">
        <v>1929</v>
      </c>
      <c r="E777" s="193" t="s">
        <v>545</v>
      </c>
      <c r="F777" s="196">
        <v>430</v>
      </c>
      <c r="G777" s="194">
        <v>90.283204096625596</v>
      </c>
      <c r="H777" s="195">
        <f t="shared" si="12"/>
        <v>38821.777761549005</v>
      </c>
      <c r="I777" s="193" t="s">
        <v>1911</v>
      </c>
    </row>
    <row r="778" spans="1:9" x14ac:dyDescent="0.25">
      <c r="A778" s="193" t="s">
        <v>220</v>
      </c>
      <c r="B778" s="193" t="s">
        <v>1908</v>
      </c>
      <c r="C778" s="193" t="s">
        <v>1930</v>
      </c>
      <c r="D778" s="193" t="s">
        <v>1931</v>
      </c>
      <c r="E778" s="193" t="s">
        <v>545</v>
      </c>
      <c r="F778" s="196">
        <v>161</v>
      </c>
      <c r="G778" s="194">
        <v>88.779786180633138</v>
      </c>
      <c r="H778" s="195">
        <f t="shared" si="12"/>
        <v>14293.545575081935</v>
      </c>
      <c r="I778" s="193" t="s">
        <v>1911</v>
      </c>
    </row>
    <row r="779" spans="1:9" x14ac:dyDescent="0.25">
      <c r="A779" s="193" t="s">
        <v>220</v>
      </c>
      <c r="B779" s="193" t="s">
        <v>1908</v>
      </c>
      <c r="C779" s="193" t="s">
        <v>2024</v>
      </c>
      <c r="D779" s="193" t="s">
        <v>2025</v>
      </c>
      <c r="E779" s="193" t="s">
        <v>545</v>
      </c>
      <c r="F779" s="196">
        <v>1</v>
      </c>
      <c r="G779" s="194">
        <v>128.63333770081582</v>
      </c>
      <c r="H779" s="195">
        <f t="shared" si="12"/>
        <v>128.63333770081582</v>
      </c>
      <c r="I779" s="193" t="s">
        <v>1911</v>
      </c>
    </row>
    <row r="780" spans="1:9" x14ac:dyDescent="0.25">
      <c r="A780" s="193" t="s">
        <v>220</v>
      </c>
      <c r="B780" s="193" t="s">
        <v>1908</v>
      </c>
      <c r="C780" s="193" t="s">
        <v>1936</v>
      </c>
      <c r="D780" s="193" t="s">
        <v>2026</v>
      </c>
      <c r="E780" s="193" t="s">
        <v>545</v>
      </c>
      <c r="F780" s="196">
        <v>16</v>
      </c>
      <c r="G780" s="194">
        <v>74.372386813765175</v>
      </c>
      <c r="H780" s="195">
        <f t="shared" si="12"/>
        <v>1189.9581890202428</v>
      </c>
      <c r="I780" s="193" t="s">
        <v>1911</v>
      </c>
    </row>
    <row r="781" spans="1:9" x14ac:dyDescent="0.25">
      <c r="A781" s="193" t="s">
        <v>220</v>
      </c>
      <c r="B781" s="193" t="s">
        <v>1908</v>
      </c>
      <c r="C781" s="193" t="s">
        <v>2027</v>
      </c>
      <c r="D781" s="193" t="s">
        <v>2028</v>
      </c>
      <c r="E781" s="193" t="s">
        <v>545</v>
      </c>
      <c r="F781" s="196">
        <v>8</v>
      </c>
      <c r="G781" s="194">
        <v>91.295004755193148</v>
      </c>
      <c r="H781" s="195">
        <f t="shared" si="12"/>
        <v>730.36003804154518</v>
      </c>
      <c r="I781" s="193" t="s">
        <v>1911</v>
      </c>
    </row>
    <row r="782" spans="1:9" x14ac:dyDescent="0.25">
      <c r="A782" s="193" t="s">
        <v>220</v>
      </c>
      <c r="B782" s="193" t="s">
        <v>1908</v>
      </c>
      <c r="C782" s="193" t="s">
        <v>1944</v>
      </c>
      <c r="D782" s="193" t="s">
        <v>1945</v>
      </c>
      <c r="E782" s="193" t="s">
        <v>545</v>
      </c>
      <c r="F782" s="196">
        <v>16</v>
      </c>
      <c r="G782" s="194">
        <v>108.50455003875163</v>
      </c>
      <c r="H782" s="195">
        <f t="shared" si="12"/>
        <v>1736.0728006200261</v>
      </c>
      <c r="I782" s="193" t="s">
        <v>1911</v>
      </c>
    </row>
    <row r="783" spans="1:9" x14ac:dyDescent="0.25">
      <c r="A783" s="193" t="s">
        <v>220</v>
      </c>
      <c r="B783" s="193" t="s">
        <v>1908</v>
      </c>
      <c r="C783" s="193" t="s">
        <v>1946</v>
      </c>
      <c r="D783" s="193" t="s">
        <v>1947</v>
      </c>
      <c r="E783" s="193" t="s">
        <v>545</v>
      </c>
      <c r="F783" s="196">
        <v>48</v>
      </c>
      <c r="G783" s="194">
        <v>129.13387861005873</v>
      </c>
      <c r="H783" s="195">
        <f t="shared" si="12"/>
        <v>6198.426173282819</v>
      </c>
      <c r="I783" s="193" t="s">
        <v>1911</v>
      </c>
    </row>
    <row r="784" spans="1:9" x14ac:dyDescent="0.25">
      <c r="A784" s="193" t="s">
        <v>220</v>
      </c>
      <c r="B784" s="193" t="s">
        <v>1908</v>
      </c>
      <c r="C784" s="193" t="s">
        <v>2029</v>
      </c>
      <c r="D784" s="193" t="s">
        <v>2030</v>
      </c>
      <c r="E784" s="193" t="s">
        <v>545</v>
      </c>
      <c r="F784" s="196">
        <v>3</v>
      </c>
      <c r="G784" s="194">
        <v>55.079538929631518</v>
      </c>
      <c r="H784" s="195">
        <f t="shared" si="12"/>
        <v>165.23861678889455</v>
      </c>
      <c r="I784" s="193" t="s">
        <v>1911</v>
      </c>
    </row>
    <row r="785" spans="1:9" x14ac:dyDescent="0.25">
      <c r="A785" s="193" t="s">
        <v>220</v>
      </c>
      <c r="B785" s="193" t="s">
        <v>1908</v>
      </c>
      <c r="C785" s="193" t="s">
        <v>2031</v>
      </c>
      <c r="D785" s="193" t="s">
        <v>2032</v>
      </c>
      <c r="E785" s="193" t="s">
        <v>545</v>
      </c>
      <c r="F785" s="196">
        <v>232</v>
      </c>
      <c r="G785" s="194">
        <v>66.960379734822865</v>
      </c>
      <c r="H785" s="195">
        <f t="shared" si="12"/>
        <v>15534.808098478905</v>
      </c>
      <c r="I785" s="193" t="s">
        <v>1911</v>
      </c>
    </row>
    <row r="786" spans="1:9" x14ac:dyDescent="0.25">
      <c r="A786" s="193" t="s">
        <v>220</v>
      </c>
      <c r="B786" s="193" t="s">
        <v>1908</v>
      </c>
      <c r="C786" s="193" t="s">
        <v>2033</v>
      </c>
      <c r="D786" s="193" t="s">
        <v>2034</v>
      </c>
      <c r="E786" s="193" t="s">
        <v>545</v>
      </c>
      <c r="F786" s="196">
        <v>288</v>
      </c>
      <c r="G786" s="194">
        <v>61.380324619661941</v>
      </c>
      <c r="H786" s="195">
        <f t="shared" si="12"/>
        <v>17677.53349046264</v>
      </c>
      <c r="I786" s="193" t="s">
        <v>1911</v>
      </c>
    </row>
    <row r="787" spans="1:9" x14ac:dyDescent="0.25">
      <c r="A787" s="193" t="s">
        <v>220</v>
      </c>
      <c r="B787" s="193" t="s">
        <v>1908</v>
      </c>
      <c r="C787" s="193" t="s">
        <v>2035</v>
      </c>
      <c r="D787" s="193" t="s">
        <v>2036</v>
      </c>
      <c r="E787" s="193" t="s">
        <v>545</v>
      </c>
      <c r="F787" s="196">
        <v>199</v>
      </c>
      <c r="G787" s="194">
        <v>66.134554018222957</v>
      </c>
      <c r="H787" s="195">
        <f t="shared" si="12"/>
        <v>13160.776249626368</v>
      </c>
      <c r="I787" s="193" t="s">
        <v>1911</v>
      </c>
    </row>
    <row r="788" spans="1:9" x14ac:dyDescent="0.25">
      <c r="A788" s="193" t="s">
        <v>220</v>
      </c>
      <c r="B788" s="193" t="s">
        <v>1908</v>
      </c>
      <c r="C788" s="193" t="s">
        <v>2037</v>
      </c>
      <c r="D788" s="193" t="s">
        <v>2038</v>
      </c>
      <c r="E788" s="193" t="s">
        <v>545</v>
      </c>
      <c r="F788" s="196">
        <v>82</v>
      </c>
      <c r="G788" s="194">
        <v>66.041264241858556</v>
      </c>
      <c r="H788" s="195">
        <f t="shared" si="12"/>
        <v>5415.3836678324014</v>
      </c>
      <c r="I788" s="193" t="s">
        <v>1911</v>
      </c>
    </row>
    <row r="789" spans="1:9" x14ac:dyDescent="0.25">
      <c r="A789" s="193" t="s">
        <v>220</v>
      </c>
      <c r="B789" s="193" t="s">
        <v>1908</v>
      </c>
      <c r="C789" s="193" t="s">
        <v>1950</v>
      </c>
      <c r="D789" s="193" t="s">
        <v>2039</v>
      </c>
      <c r="E789" s="193" t="s">
        <v>545</v>
      </c>
      <c r="F789" s="196">
        <v>2877</v>
      </c>
      <c r="G789" s="194">
        <v>77.632283680213334</v>
      </c>
      <c r="H789" s="195">
        <f t="shared" si="12"/>
        <v>223348.08014797376</v>
      </c>
      <c r="I789" s="193" t="s">
        <v>1911</v>
      </c>
    </row>
    <row r="790" spans="1:9" x14ac:dyDescent="0.25">
      <c r="A790" s="193" t="s">
        <v>220</v>
      </c>
      <c r="B790" s="193" t="s">
        <v>1908</v>
      </c>
      <c r="C790" s="193" t="s">
        <v>2040</v>
      </c>
      <c r="D790" s="193" t="s">
        <v>2041</v>
      </c>
      <c r="E790" s="193" t="s">
        <v>545</v>
      </c>
      <c r="F790" s="196">
        <v>189</v>
      </c>
      <c r="G790" s="194">
        <v>80.424642980995117</v>
      </c>
      <c r="H790" s="195">
        <f t="shared" si="12"/>
        <v>15200.257523408078</v>
      </c>
      <c r="I790" s="193" t="s">
        <v>1911</v>
      </c>
    </row>
    <row r="791" spans="1:9" x14ac:dyDescent="0.25">
      <c r="A791" s="193" t="s">
        <v>220</v>
      </c>
      <c r="B791" s="193" t="s">
        <v>1908</v>
      </c>
      <c r="C791" s="193" t="s">
        <v>2042</v>
      </c>
      <c r="D791" s="193" t="s">
        <v>2043</v>
      </c>
      <c r="E791" s="193" t="s">
        <v>545</v>
      </c>
      <c r="F791" s="196">
        <v>132</v>
      </c>
      <c r="G791" s="194">
        <v>76.30927148045626</v>
      </c>
      <c r="H791" s="195">
        <f t="shared" si="12"/>
        <v>10072.823835420226</v>
      </c>
      <c r="I791" s="193" t="s">
        <v>1911</v>
      </c>
    </row>
    <row r="792" spans="1:9" x14ac:dyDescent="0.25">
      <c r="A792" s="193" t="s">
        <v>220</v>
      </c>
      <c r="B792" s="193" t="s">
        <v>1908</v>
      </c>
      <c r="C792" s="193" t="s">
        <v>2044</v>
      </c>
      <c r="D792" s="193" t="s">
        <v>2045</v>
      </c>
      <c r="E792" s="193" t="s">
        <v>545</v>
      </c>
      <c r="F792" s="196">
        <v>81</v>
      </c>
      <c r="G792" s="194">
        <v>88.471908571918888</v>
      </c>
      <c r="H792" s="195">
        <f t="shared" si="12"/>
        <v>7166.2245943254302</v>
      </c>
      <c r="I792" s="193" t="s">
        <v>1911</v>
      </c>
    </row>
    <row r="793" spans="1:9" x14ac:dyDescent="0.25">
      <c r="A793" s="193" t="s">
        <v>220</v>
      </c>
      <c r="B793" s="193" t="s">
        <v>1908</v>
      </c>
      <c r="C793" s="193" t="s">
        <v>2046</v>
      </c>
      <c r="D793" s="193" t="s">
        <v>2047</v>
      </c>
      <c r="E793" s="193" t="s">
        <v>545</v>
      </c>
      <c r="F793" s="196">
        <v>164</v>
      </c>
      <c r="G793" s="194">
        <v>93.006158414542284</v>
      </c>
      <c r="H793" s="195">
        <f t="shared" si="12"/>
        <v>15253.009979984934</v>
      </c>
      <c r="I793" s="193" t="s">
        <v>1911</v>
      </c>
    </row>
    <row r="794" spans="1:9" x14ac:dyDescent="0.25">
      <c r="A794" s="193" t="s">
        <v>220</v>
      </c>
      <c r="B794" s="193" t="s">
        <v>1908</v>
      </c>
      <c r="C794" s="193" t="s">
        <v>1956</v>
      </c>
      <c r="D794" s="193" t="s">
        <v>2048</v>
      </c>
      <c r="E794" s="193" t="s">
        <v>545</v>
      </c>
      <c r="F794" s="196">
        <v>108</v>
      </c>
      <c r="G794" s="194">
        <v>108.2019760944152</v>
      </c>
      <c r="H794" s="195">
        <f t="shared" si="12"/>
        <v>11685.813418196842</v>
      </c>
      <c r="I794" s="193" t="s">
        <v>1911</v>
      </c>
    </row>
    <row r="795" spans="1:9" x14ac:dyDescent="0.25">
      <c r="A795" s="193" t="s">
        <v>220</v>
      </c>
      <c r="B795" s="193" t="s">
        <v>1908</v>
      </c>
      <c r="C795" s="193" t="s">
        <v>2049</v>
      </c>
      <c r="D795" s="193" t="s">
        <v>2050</v>
      </c>
      <c r="E795" s="193" t="s">
        <v>545</v>
      </c>
      <c r="F795" s="196">
        <v>1408</v>
      </c>
      <c r="G795" s="194">
        <v>119.49145785962052</v>
      </c>
      <c r="H795" s="195">
        <f t="shared" si="12"/>
        <v>168243.97266634571</v>
      </c>
      <c r="I795" s="193" t="s">
        <v>1911</v>
      </c>
    </row>
    <row r="796" spans="1:9" x14ac:dyDescent="0.25">
      <c r="A796" s="193" t="s">
        <v>220</v>
      </c>
      <c r="B796" s="193" t="s">
        <v>1908</v>
      </c>
      <c r="C796" s="193" t="s">
        <v>2051</v>
      </c>
      <c r="D796" s="193" t="s">
        <v>2052</v>
      </c>
      <c r="E796" s="193" t="s">
        <v>545</v>
      </c>
      <c r="F796" s="196">
        <v>4</v>
      </c>
      <c r="G796" s="194">
        <v>68.015238052007305</v>
      </c>
      <c r="H796" s="195">
        <f t="shared" si="12"/>
        <v>272.06095220802922</v>
      </c>
      <c r="I796" s="193" t="s">
        <v>1911</v>
      </c>
    </row>
    <row r="797" spans="1:9" x14ac:dyDescent="0.25">
      <c r="A797" s="193" t="s">
        <v>220</v>
      </c>
      <c r="B797" s="193" t="s">
        <v>1908</v>
      </c>
      <c r="C797" s="193" t="s">
        <v>2053</v>
      </c>
      <c r="D797" s="193" t="s">
        <v>2054</v>
      </c>
      <c r="E797" s="193" t="s">
        <v>545</v>
      </c>
      <c r="F797" s="196">
        <v>42</v>
      </c>
      <c r="G797" s="194">
        <v>86.56512100181402</v>
      </c>
      <c r="H797" s="195">
        <f t="shared" si="12"/>
        <v>3635.735082076189</v>
      </c>
      <c r="I797" s="193" t="s">
        <v>1911</v>
      </c>
    </row>
    <row r="798" spans="1:9" x14ac:dyDescent="0.25">
      <c r="A798" s="193" t="s">
        <v>220</v>
      </c>
      <c r="B798" s="193" t="s">
        <v>1908</v>
      </c>
      <c r="C798" s="193" t="s">
        <v>2055</v>
      </c>
      <c r="D798" s="193" t="s">
        <v>2056</v>
      </c>
      <c r="E798" s="193" t="s">
        <v>545</v>
      </c>
      <c r="F798" s="196">
        <v>191</v>
      </c>
      <c r="G798" s="194">
        <v>87.148678417598987</v>
      </c>
      <c r="H798" s="195">
        <f t="shared" si="12"/>
        <v>16645.397577761407</v>
      </c>
      <c r="I798" s="193" t="s">
        <v>1911</v>
      </c>
    </row>
    <row r="799" spans="1:9" x14ac:dyDescent="0.25">
      <c r="A799" s="193" t="s">
        <v>220</v>
      </c>
      <c r="B799" s="193" t="s">
        <v>1908</v>
      </c>
      <c r="C799" s="193" t="s">
        <v>2057</v>
      </c>
      <c r="D799" s="193" t="s">
        <v>2058</v>
      </c>
      <c r="E799" s="193" t="s">
        <v>545</v>
      </c>
      <c r="F799" s="196">
        <v>36</v>
      </c>
      <c r="G799" s="194">
        <v>108.50455003875163</v>
      </c>
      <c r="H799" s="195">
        <f t="shared" si="12"/>
        <v>3906.1638013950587</v>
      </c>
      <c r="I799" s="193" t="s">
        <v>1911</v>
      </c>
    </row>
    <row r="800" spans="1:9" x14ac:dyDescent="0.25">
      <c r="A800" s="193" t="s">
        <v>220</v>
      </c>
      <c r="B800" s="193" t="s">
        <v>1908</v>
      </c>
      <c r="C800" s="193" t="s">
        <v>2059</v>
      </c>
      <c r="D800" s="193" t="s">
        <v>2060</v>
      </c>
      <c r="E800" s="193" t="s">
        <v>545</v>
      </c>
      <c r="F800" s="196">
        <v>2</v>
      </c>
      <c r="G800" s="194">
        <v>108.50455003875163</v>
      </c>
      <c r="H800" s="195">
        <f t="shared" si="12"/>
        <v>217.00910007750326</v>
      </c>
      <c r="I800" s="193" t="s">
        <v>1911</v>
      </c>
    </row>
    <row r="801" spans="1:9" x14ac:dyDescent="0.25">
      <c r="A801" s="193" t="s">
        <v>220</v>
      </c>
      <c r="B801" s="193" t="s">
        <v>1908</v>
      </c>
      <c r="C801" s="193" t="s">
        <v>2061</v>
      </c>
      <c r="D801" s="193" t="s">
        <v>2062</v>
      </c>
      <c r="E801" s="193" t="s">
        <v>545</v>
      </c>
      <c r="F801" s="196">
        <v>5</v>
      </c>
      <c r="G801" s="194">
        <v>104.83021388353322</v>
      </c>
      <c r="H801" s="195">
        <f t="shared" si="12"/>
        <v>524.15106941766612</v>
      </c>
      <c r="I801" s="193" t="s">
        <v>1911</v>
      </c>
    </row>
    <row r="802" spans="1:9" x14ac:dyDescent="0.25">
      <c r="A802" s="193" t="s">
        <v>220</v>
      </c>
      <c r="B802" s="193" t="s">
        <v>2063</v>
      </c>
      <c r="C802" s="193" t="s">
        <v>2064</v>
      </c>
      <c r="D802" s="193" t="s">
        <v>1910</v>
      </c>
      <c r="E802" s="193" t="s">
        <v>545</v>
      </c>
      <c r="F802" s="196">
        <v>1970</v>
      </c>
      <c r="G802" s="194">
        <v>66.134554018222957</v>
      </c>
      <c r="H802" s="195">
        <f t="shared" si="12"/>
        <v>130285.07141589922</v>
      </c>
      <c r="I802" s="193" t="s">
        <v>536</v>
      </c>
    </row>
    <row r="803" spans="1:9" x14ac:dyDescent="0.25">
      <c r="A803" s="193" t="s">
        <v>220</v>
      </c>
      <c r="B803" s="193" t="s">
        <v>2063</v>
      </c>
      <c r="C803" s="193" t="s">
        <v>2065</v>
      </c>
      <c r="D803" s="193" t="s">
        <v>1913</v>
      </c>
      <c r="E803" s="193" t="s">
        <v>545</v>
      </c>
      <c r="F803" s="196">
        <v>1468</v>
      </c>
      <c r="G803" s="194">
        <v>75.595781157578614</v>
      </c>
      <c r="H803" s="195">
        <f t="shared" si="12"/>
        <v>110974.60673932541</v>
      </c>
      <c r="I803" s="193" t="s">
        <v>536</v>
      </c>
    </row>
    <row r="804" spans="1:9" x14ac:dyDescent="0.25">
      <c r="A804" s="193" t="s">
        <v>220</v>
      </c>
      <c r="B804" s="193" t="s">
        <v>2063</v>
      </c>
      <c r="C804" s="193" t="s">
        <v>2066</v>
      </c>
      <c r="D804" s="193" t="s">
        <v>1915</v>
      </c>
      <c r="E804" s="193" t="s">
        <v>545</v>
      </c>
      <c r="F804" s="196">
        <v>1596</v>
      </c>
      <c r="G804" s="194">
        <v>85.110514865913331</v>
      </c>
      <c r="H804" s="195">
        <f t="shared" si="12"/>
        <v>135836.38172599766</v>
      </c>
      <c r="I804" s="193" t="s">
        <v>536</v>
      </c>
    </row>
    <row r="805" spans="1:9" x14ac:dyDescent="0.25">
      <c r="A805" s="193" t="s">
        <v>220</v>
      </c>
      <c r="B805" s="193" t="s">
        <v>2063</v>
      </c>
      <c r="C805" s="193" t="s">
        <v>2067</v>
      </c>
      <c r="D805" s="193" t="s">
        <v>1917</v>
      </c>
      <c r="E805" s="193" t="s">
        <v>545</v>
      </c>
      <c r="F805" s="196">
        <v>904</v>
      </c>
      <c r="G805" s="194">
        <v>114.58126160421584</v>
      </c>
      <c r="H805" s="195">
        <f t="shared" si="12"/>
        <v>103581.46049021112</v>
      </c>
      <c r="I805" s="193" t="s">
        <v>536</v>
      </c>
    </row>
    <row r="806" spans="1:9" x14ac:dyDescent="0.25">
      <c r="A806" s="193" t="s">
        <v>220</v>
      </c>
      <c r="B806" s="193" t="s">
        <v>2063</v>
      </c>
      <c r="C806" s="193" t="s">
        <v>2068</v>
      </c>
      <c r="D806" s="193" t="s">
        <v>1919</v>
      </c>
      <c r="E806" s="193" t="s">
        <v>545</v>
      </c>
      <c r="F806" s="196">
        <v>531</v>
      </c>
      <c r="G806" s="194">
        <v>60.033893899112869</v>
      </c>
      <c r="H806" s="195">
        <f t="shared" si="12"/>
        <v>31877.997660428933</v>
      </c>
      <c r="I806" s="193" t="s">
        <v>536</v>
      </c>
    </row>
    <row r="807" spans="1:9" x14ac:dyDescent="0.25">
      <c r="A807" s="193" t="s">
        <v>220</v>
      </c>
      <c r="B807" s="193" t="s">
        <v>2063</v>
      </c>
      <c r="C807" s="193" t="s">
        <v>2069</v>
      </c>
      <c r="D807" s="193" t="s">
        <v>1921</v>
      </c>
      <c r="E807" s="193" t="s">
        <v>545</v>
      </c>
      <c r="F807" s="196">
        <v>625</v>
      </c>
      <c r="G807" s="194">
        <v>60.869963071693689</v>
      </c>
      <c r="H807" s="195">
        <f t="shared" si="12"/>
        <v>38043.726919808556</v>
      </c>
      <c r="I807" s="193" t="s">
        <v>536</v>
      </c>
    </row>
    <row r="808" spans="1:9" x14ac:dyDescent="0.25">
      <c r="A808" s="193" t="s">
        <v>220</v>
      </c>
      <c r="B808" s="193" t="s">
        <v>2063</v>
      </c>
      <c r="C808" s="193" t="s">
        <v>2070</v>
      </c>
      <c r="D808" s="193" t="s">
        <v>1923</v>
      </c>
      <c r="E808" s="193" t="s">
        <v>545</v>
      </c>
      <c r="F808" s="196">
        <v>525</v>
      </c>
      <c r="G808" s="194">
        <v>54.410420181950983</v>
      </c>
      <c r="H808" s="195">
        <f t="shared" si="12"/>
        <v>28565.470595524264</v>
      </c>
      <c r="I808" s="193" t="s">
        <v>536</v>
      </c>
    </row>
    <row r="809" spans="1:9" x14ac:dyDescent="0.25">
      <c r="A809" s="193" t="s">
        <v>220</v>
      </c>
      <c r="B809" s="193" t="s">
        <v>2063</v>
      </c>
      <c r="C809" s="193" t="s">
        <v>2071</v>
      </c>
      <c r="D809" s="193" t="s">
        <v>1927</v>
      </c>
      <c r="E809" s="193" t="s">
        <v>545</v>
      </c>
      <c r="F809" s="196">
        <v>123</v>
      </c>
      <c r="G809" s="194">
        <v>81.580203449969304</v>
      </c>
      <c r="H809" s="195">
        <f t="shared" si="12"/>
        <v>10034.365024346225</v>
      </c>
      <c r="I809" s="193" t="s">
        <v>536</v>
      </c>
    </row>
    <row r="810" spans="1:9" x14ac:dyDescent="0.25">
      <c r="A810" s="193" t="s">
        <v>220</v>
      </c>
      <c r="B810" s="193" t="s">
        <v>2063</v>
      </c>
      <c r="C810" s="193" t="s">
        <v>2072</v>
      </c>
      <c r="D810" s="193" t="s">
        <v>1931</v>
      </c>
      <c r="E810" s="193" t="s">
        <v>545</v>
      </c>
      <c r="F810" s="196">
        <v>642</v>
      </c>
      <c r="G810" s="194">
        <v>80.823564648000257</v>
      </c>
      <c r="H810" s="195">
        <f t="shared" si="12"/>
        <v>51888.728504016166</v>
      </c>
      <c r="I810" s="193" t="s">
        <v>536</v>
      </c>
    </row>
    <row r="811" spans="1:9" x14ac:dyDescent="0.25">
      <c r="A811" s="193" t="s">
        <v>220</v>
      </c>
      <c r="B811" s="193" t="s">
        <v>2063</v>
      </c>
      <c r="C811" s="193" t="s">
        <v>2073</v>
      </c>
      <c r="D811" s="193" t="s">
        <v>1933</v>
      </c>
      <c r="E811" s="193" t="s">
        <v>545</v>
      </c>
      <c r="F811" s="196">
        <v>2</v>
      </c>
      <c r="G811" s="194">
        <v>53.399175760128202</v>
      </c>
      <c r="H811" s="195">
        <f t="shared" si="12"/>
        <v>106.7983515202564</v>
      </c>
      <c r="I811" s="193" t="s">
        <v>536</v>
      </c>
    </row>
    <row r="812" spans="1:9" x14ac:dyDescent="0.25">
      <c r="A812" s="193" t="s">
        <v>220</v>
      </c>
      <c r="B812" s="193" t="s">
        <v>2063</v>
      </c>
      <c r="C812" s="193" t="s">
        <v>2074</v>
      </c>
      <c r="D812" s="193" t="s">
        <v>1935</v>
      </c>
      <c r="E812" s="193" t="s">
        <v>545</v>
      </c>
      <c r="F812" s="196">
        <v>197</v>
      </c>
      <c r="G812" s="194">
        <v>57.605556537142398</v>
      </c>
      <c r="H812" s="195">
        <f t="shared" si="12"/>
        <v>11348.294637817053</v>
      </c>
      <c r="I812" s="193" t="s">
        <v>536</v>
      </c>
    </row>
    <row r="813" spans="1:9" x14ac:dyDescent="0.25">
      <c r="A813" s="193" t="s">
        <v>220</v>
      </c>
      <c r="B813" s="193" t="s">
        <v>2063</v>
      </c>
      <c r="C813" s="193" t="s">
        <v>2075</v>
      </c>
      <c r="D813" s="193" t="s">
        <v>1937</v>
      </c>
      <c r="E813" s="193" t="s">
        <v>545</v>
      </c>
      <c r="F813" s="196">
        <v>3</v>
      </c>
      <c r="G813" s="194">
        <v>68.015238052007305</v>
      </c>
      <c r="H813" s="195">
        <f t="shared" si="12"/>
        <v>204.04571415602192</v>
      </c>
      <c r="I813" s="193" t="s">
        <v>536</v>
      </c>
    </row>
    <row r="814" spans="1:9" x14ac:dyDescent="0.25">
      <c r="A814" s="193" t="s">
        <v>220</v>
      </c>
      <c r="B814" s="193" t="s">
        <v>2063</v>
      </c>
      <c r="C814" s="193" t="s">
        <v>2076</v>
      </c>
      <c r="D814" s="193" t="s">
        <v>1939</v>
      </c>
      <c r="E814" s="193" t="s">
        <v>545</v>
      </c>
      <c r="F814" s="196">
        <v>84</v>
      </c>
      <c r="G814" s="194">
        <v>91.295004755193148</v>
      </c>
      <c r="H814" s="195">
        <f t="shared" si="12"/>
        <v>7668.7803994362248</v>
      </c>
      <c r="I814" s="193" t="s">
        <v>536</v>
      </c>
    </row>
    <row r="815" spans="1:9" x14ac:dyDescent="0.25">
      <c r="A815" s="193" t="s">
        <v>220</v>
      </c>
      <c r="B815" s="193" t="s">
        <v>2063</v>
      </c>
      <c r="C815" s="193" t="s">
        <v>2077</v>
      </c>
      <c r="D815" s="193" t="s">
        <v>1941</v>
      </c>
      <c r="E815" s="193" t="s">
        <v>545</v>
      </c>
      <c r="F815" s="196">
        <v>278</v>
      </c>
      <c r="G815" s="194">
        <v>96.938008737320715</v>
      </c>
      <c r="H815" s="195">
        <f t="shared" si="12"/>
        <v>26948.766428975159</v>
      </c>
      <c r="I815" s="193" t="s">
        <v>536</v>
      </c>
    </row>
    <row r="816" spans="1:9" x14ac:dyDescent="0.25">
      <c r="A816" s="193" t="s">
        <v>220</v>
      </c>
      <c r="B816" s="193" t="s">
        <v>2063</v>
      </c>
      <c r="C816" s="193" t="s">
        <v>2078</v>
      </c>
      <c r="D816" s="193" t="s">
        <v>1943</v>
      </c>
      <c r="E816" s="193" t="s">
        <v>545</v>
      </c>
      <c r="F816" s="196">
        <v>263</v>
      </c>
      <c r="G816" s="194">
        <v>102.65399824172911</v>
      </c>
      <c r="H816" s="195">
        <f t="shared" si="12"/>
        <v>26998.001537574757</v>
      </c>
      <c r="I816" s="193" t="s">
        <v>536</v>
      </c>
    </row>
    <row r="817" spans="1:9" x14ac:dyDescent="0.25">
      <c r="A817" s="193" t="s">
        <v>220</v>
      </c>
      <c r="B817" s="193" t="s">
        <v>2063</v>
      </c>
      <c r="C817" s="193" t="s">
        <v>1944</v>
      </c>
      <c r="D817" s="193" t="s">
        <v>1945</v>
      </c>
      <c r="E817" s="193" t="s">
        <v>545</v>
      </c>
      <c r="F817" s="196">
        <v>362</v>
      </c>
      <c r="G817" s="194">
        <v>108.50455003875163</v>
      </c>
      <c r="H817" s="195">
        <f t="shared" si="12"/>
        <v>39278.647114028092</v>
      </c>
      <c r="I817" s="193" t="s">
        <v>536</v>
      </c>
    </row>
    <row r="818" spans="1:9" x14ac:dyDescent="0.25">
      <c r="A818" s="193" t="s">
        <v>220</v>
      </c>
      <c r="B818" s="193" t="s">
        <v>2063</v>
      </c>
      <c r="C818" s="193" t="s">
        <v>1946</v>
      </c>
      <c r="D818" s="193" t="s">
        <v>1947</v>
      </c>
      <c r="E818" s="193" t="s">
        <v>545</v>
      </c>
      <c r="F818" s="196">
        <v>411</v>
      </c>
      <c r="G818" s="194">
        <v>129.13387861005873</v>
      </c>
      <c r="H818" s="195">
        <f t="shared" si="12"/>
        <v>53074.024108734135</v>
      </c>
      <c r="I818" s="193" t="s">
        <v>536</v>
      </c>
    </row>
    <row r="819" spans="1:9" x14ac:dyDescent="0.25">
      <c r="A819" s="193" t="s">
        <v>220</v>
      </c>
      <c r="B819" s="193" t="s">
        <v>2063</v>
      </c>
      <c r="C819" s="193" t="s">
        <v>2079</v>
      </c>
      <c r="D819" s="193" t="s">
        <v>1949</v>
      </c>
      <c r="E819" s="193" t="s">
        <v>545</v>
      </c>
      <c r="F819" s="196">
        <v>246</v>
      </c>
      <c r="G819" s="194">
        <v>57.044280562793176</v>
      </c>
      <c r="H819" s="195">
        <f t="shared" si="12"/>
        <v>14032.893018447121</v>
      </c>
      <c r="I819" s="193" t="s">
        <v>536</v>
      </c>
    </row>
    <row r="820" spans="1:9" x14ac:dyDescent="0.25">
      <c r="A820" s="193" t="s">
        <v>220</v>
      </c>
      <c r="B820" s="193" t="s">
        <v>2063</v>
      </c>
      <c r="C820" s="193" t="s">
        <v>2080</v>
      </c>
      <c r="D820" s="193" t="s">
        <v>2081</v>
      </c>
      <c r="E820" s="193" t="s">
        <v>545</v>
      </c>
      <c r="F820" s="196">
        <v>78</v>
      </c>
      <c r="G820" s="194">
        <v>57.044280562793176</v>
      </c>
      <c r="H820" s="195">
        <f t="shared" si="12"/>
        <v>4449.4538838978679</v>
      </c>
      <c r="I820" s="193" t="s">
        <v>536</v>
      </c>
    </row>
    <row r="821" spans="1:9" x14ac:dyDescent="0.25">
      <c r="A821" s="193" t="s">
        <v>220</v>
      </c>
      <c r="B821" s="193" t="s">
        <v>2063</v>
      </c>
      <c r="C821" s="193" t="s">
        <v>2082</v>
      </c>
      <c r="D821" s="193" t="s">
        <v>1951</v>
      </c>
      <c r="E821" s="193" t="s">
        <v>545</v>
      </c>
      <c r="F821" s="196">
        <v>587</v>
      </c>
      <c r="G821" s="194">
        <v>66.041264241858556</v>
      </c>
      <c r="H821" s="195">
        <f t="shared" si="12"/>
        <v>38766.222109970971</v>
      </c>
      <c r="I821" s="193" t="s">
        <v>536</v>
      </c>
    </row>
    <row r="822" spans="1:9" x14ac:dyDescent="0.25">
      <c r="A822" s="193" t="s">
        <v>220</v>
      </c>
      <c r="B822" s="193" t="s">
        <v>2063</v>
      </c>
      <c r="C822" s="193" t="s">
        <v>2083</v>
      </c>
      <c r="D822" s="193" t="s">
        <v>2084</v>
      </c>
      <c r="E822" s="193" t="s">
        <v>545</v>
      </c>
      <c r="F822" s="196">
        <v>35</v>
      </c>
      <c r="G822" s="194">
        <v>66.041264241858556</v>
      </c>
      <c r="H822" s="195">
        <f t="shared" si="12"/>
        <v>2311.4442484650494</v>
      </c>
      <c r="I822" s="193" t="s">
        <v>536</v>
      </c>
    </row>
    <row r="823" spans="1:9" x14ac:dyDescent="0.25">
      <c r="A823" s="193" t="s">
        <v>220</v>
      </c>
      <c r="B823" s="193" t="s">
        <v>2063</v>
      </c>
      <c r="C823" s="193" t="s">
        <v>2085</v>
      </c>
      <c r="D823" s="193" t="s">
        <v>1953</v>
      </c>
      <c r="E823" s="193" t="s">
        <v>545</v>
      </c>
      <c r="F823" s="196">
        <v>775</v>
      </c>
      <c r="G823" s="194">
        <v>80.751151849588311</v>
      </c>
      <c r="H823" s="195">
        <f t="shared" si="12"/>
        <v>62582.142683430939</v>
      </c>
      <c r="I823" s="193" t="s">
        <v>536</v>
      </c>
    </row>
    <row r="824" spans="1:9" x14ac:dyDescent="0.25">
      <c r="A824" s="193" t="s">
        <v>220</v>
      </c>
      <c r="B824" s="193" t="s">
        <v>2063</v>
      </c>
      <c r="C824" s="193" t="s">
        <v>2086</v>
      </c>
      <c r="D824" s="193" t="s">
        <v>1957</v>
      </c>
      <c r="E824" s="193" t="s">
        <v>545</v>
      </c>
      <c r="F824" s="196">
        <v>696</v>
      </c>
      <c r="G824" s="194">
        <v>101.10925669356116</v>
      </c>
      <c r="H824" s="195">
        <f t="shared" si="12"/>
        <v>70372.042658718565</v>
      </c>
      <c r="I824" s="193" t="s">
        <v>536</v>
      </c>
    </row>
    <row r="825" spans="1:9" x14ac:dyDescent="0.25">
      <c r="A825" s="193" t="s">
        <v>220</v>
      </c>
      <c r="B825" s="193" t="s">
        <v>2063</v>
      </c>
      <c r="C825" s="193" t="s">
        <v>2087</v>
      </c>
      <c r="D825" s="193" t="s">
        <v>1959</v>
      </c>
      <c r="E825" s="193" t="s">
        <v>545</v>
      </c>
      <c r="F825" s="196">
        <v>671</v>
      </c>
      <c r="G825" s="194">
        <v>137.56191368150289</v>
      </c>
      <c r="H825" s="195">
        <f t="shared" si="12"/>
        <v>92304.04408028844</v>
      </c>
      <c r="I825" s="193" t="s">
        <v>536</v>
      </c>
    </row>
    <row r="826" spans="1:9" x14ac:dyDescent="0.25">
      <c r="A826" s="193" t="s">
        <v>220</v>
      </c>
      <c r="B826" s="193" t="s">
        <v>2063</v>
      </c>
      <c r="C826" s="193" t="s">
        <v>2088</v>
      </c>
      <c r="D826" s="193" t="s">
        <v>1961</v>
      </c>
      <c r="E826" s="193" t="s">
        <v>545</v>
      </c>
      <c r="F826" s="196">
        <v>2941</v>
      </c>
      <c r="G826" s="194">
        <v>81.213788257329114</v>
      </c>
      <c r="H826" s="195">
        <f t="shared" si="12"/>
        <v>238849.75126480492</v>
      </c>
      <c r="I826" s="193" t="s">
        <v>536</v>
      </c>
    </row>
    <row r="827" spans="1:9" x14ac:dyDescent="0.25">
      <c r="A827" s="193" t="s">
        <v>220</v>
      </c>
      <c r="B827" s="193" t="s">
        <v>2063</v>
      </c>
      <c r="C827" s="193" t="s">
        <v>821</v>
      </c>
      <c r="D827" s="193" t="s">
        <v>1963</v>
      </c>
      <c r="E827" s="193" t="s">
        <v>545</v>
      </c>
      <c r="F827" s="196">
        <v>489</v>
      </c>
      <c r="G827" s="194">
        <v>89.94746759559122</v>
      </c>
      <c r="H827" s="195">
        <f t="shared" si="12"/>
        <v>43984.311654244106</v>
      </c>
      <c r="I827" s="193" t="s">
        <v>536</v>
      </c>
    </row>
    <row r="828" spans="1:9" x14ac:dyDescent="0.25">
      <c r="A828" s="193" t="s">
        <v>220</v>
      </c>
      <c r="B828" s="193" t="s">
        <v>2063</v>
      </c>
      <c r="C828" s="193" t="s">
        <v>2089</v>
      </c>
      <c r="D828" s="193" t="s">
        <v>1965</v>
      </c>
      <c r="E828" s="193" t="s">
        <v>545</v>
      </c>
      <c r="F828" s="196">
        <v>492</v>
      </c>
      <c r="G828" s="194">
        <v>115.47342806882486</v>
      </c>
      <c r="H828" s="195">
        <f t="shared" si="12"/>
        <v>56812.926609861832</v>
      </c>
      <c r="I828" s="193" t="s">
        <v>536</v>
      </c>
    </row>
    <row r="829" spans="1:9" x14ac:dyDescent="0.25">
      <c r="A829" s="193" t="s">
        <v>220</v>
      </c>
      <c r="B829" s="193" t="s">
        <v>2063</v>
      </c>
      <c r="C829" s="193" t="s">
        <v>2090</v>
      </c>
      <c r="D829" s="193" t="s">
        <v>1967</v>
      </c>
      <c r="E829" s="193" t="s">
        <v>545</v>
      </c>
      <c r="F829" s="196">
        <v>153</v>
      </c>
      <c r="G829" s="194">
        <v>119.25267938760871</v>
      </c>
      <c r="H829" s="195">
        <f t="shared" si="12"/>
        <v>18245.659946304131</v>
      </c>
      <c r="I829" s="193" t="s">
        <v>536</v>
      </c>
    </row>
    <row r="830" spans="1:9" x14ac:dyDescent="0.25">
      <c r="A830" s="193" t="s">
        <v>220</v>
      </c>
      <c r="B830" s="193" t="s">
        <v>2063</v>
      </c>
      <c r="C830" s="193" t="s">
        <v>2091</v>
      </c>
      <c r="D830" s="193" t="s">
        <v>1969</v>
      </c>
      <c r="E830" s="193" t="s">
        <v>545</v>
      </c>
      <c r="F830" s="196">
        <v>66</v>
      </c>
      <c r="G830" s="194">
        <v>124.53372295523177</v>
      </c>
      <c r="H830" s="195">
        <f t="shared" si="12"/>
        <v>8219.225715045297</v>
      </c>
      <c r="I830" s="193" t="s">
        <v>536</v>
      </c>
    </row>
    <row r="831" spans="1:9" x14ac:dyDescent="0.25">
      <c r="A831" s="193" t="s">
        <v>220</v>
      </c>
      <c r="B831" s="193" t="s">
        <v>2063</v>
      </c>
      <c r="C831" s="193" t="s">
        <v>2092</v>
      </c>
      <c r="D831" s="193" t="s">
        <v>1971</v>
      </c>
      <c r="E831" s="193" t="s">
        <v>545</v>
      </c>
      <c r="F831" s="196">
        <v>108</v>
      </c>
      <c r="G831" s="194">
        <v>114.83228081032046</v>
      </c>
      <c r="H831" s="195">
        <f t="shared" si="12"/>
        <v>12401.886327514609</v>
      </c>
      <c r="I831" s="193" t="s">
        <v>536</v>
      </c>
    </row>
    <row r="832" spans="1:9" x14ac:dyDescent="0.25">
      <c r="A832" s="193" t="s">
        <v>220</v>
      </c>
      <c r="B832" s="193" t="s">
        <v>2063</v>
      </c>
      <c r="C832" s="193" t="s">
        <v>2093</v>
      </c>
      <c r="D832" s="193" t="s">
        <v>1973</v>
      </c>
      <c r="E832" s="193" t="s">
        <v>545</v>
      </c>
      <c r="F832" s="196">
        <v>46</v>
      </c>
      <c r="G832" s="194">
        <v>129.11692918865256</v>
      </c>
      <c r="H832" s="195">
        <f t="shared" si="12"/>
        <v>5939.3787426780182</v>
      </c>
      <c r="I832" s="193" t="s">
        <v>536</v>
      </c>
    </row>
    <row r="833" spans="1:9" x14ac:dyDescent="0.25">
      <c r="A833" s="193" t="s">
        <v>220</v>
      </c>
      <c r="B833" s="193" t="s">
        <v>2063</v>
      </c>
      <c r="C833" s="193" t="s">
        <v>2094</v>
      </c>
      <c r="D833" s="193" t="s">
        <v>1975</v>
      </c>
      <c r="E833" s="193" t="s">
        <v>545</v>
      </c>
      <c r="F833" s="196">
        <v>402</v>
      </c>
      <c r="G833" s="194">
        <v>148.47895189180289</v>
      </c>
      <c r="H833" s="195">
        <f t="shared" si="12"/>
        <v>59688.538660504761</v>
      </c>
      <c r="I833" s="193" t="s">
        <v>536</v>
      </c>
    </row>
    <row r="834" spans="1:9" x14ac:dyDescent="0.25">
      <c r="A834" s="193" t="s">
        <v>220</v>
      </c>
      <c r="B834" s="193" t="s">
        <v>2063</v>
      </c>
      <c r="C834" s="193" t="s">
        <v>2095</v>
      </c>
      <c r="D834" s="193" t="s">
        <v>1977</v>
      </c>
      <c r="E834" s="193" t="s">
        <v>545</v>
      </c>
      <c r="F834" s="196">
        <v>145</v>
      </c>
      <c r="G834" s="194">
        <v>286.52274291242145</v>
      </c>
      <c r="H834" s="195">
        <f t="shared" si="12"/>
        <v>41545.797722301111</v>
      </c>
      <c r="I834" s="193" t="s">
        <v>536</v>
      </c>
    </row>
    <row r="835" spans="1:9" x14ac:dyDescent="0.25">
      <c r="A835" s="193" t="s">
        <v>220</v>
      </c>
      <c r="B835" s="193" t="s">
        <v>2063</v>
      </c>
      <c r="C835" s="193" t="s">
        <v>2096</v>
      </c>
      <c r="D835" s="193" t="s">
        <v>1979</v>
      </c>
      <c r="E835" s="193" t="s">
        <v>545</v>
      </c>
      <c r="F835" s="196">
        <v>10</v>
      </c>
      <c r="G835" s="194">
        <v>157.86791085795375</v>
      </c>
      <c r="H835" s="195">
        <f t="shared" si="12"/>
        <v>1578.6791085795376</v>
      </c>
      <c r="I835" s="193" t="s">
        <v>536</v>
      </c>
    </row>
    <row r="836" spans="1:9" x14ac:dyDescent="0.25">
      <c r="A836" s="193" t="s">
        <v>220</v>
      </c>
      <c r="B836" s="193" t="s">
        <v>2063</v>
      </c>
      <c r="C836" s="193" t="s">
        <v>2097</v>
      </c>
      <c r="D836" s="193" t="s">
        <v>1981</v>
      </c>
      <c r="E836" s="193" t="s">
        <v>545</v>
      </c>
      <c r="F836" s="196">
        <v>501</v>
      </c>
      <c r="G836" s="194">
        <v>184.86021851776422</v>
      </c>
      <c r="H836" s="195">
        <f t="shared" si="12"/>
        <v>92614.969477399878</v>
      </c>
      <c r="I836" s="193" t="s">
        <v>536</v>
      </c>
    </row>
    <row r="837" spans="1:9" x14ac:dyDescent="0.25">
      <c r="A837" s="193" t="s">
        <v>220</v>
      </c>
      <c r="B837" s="193" t="s">
        <v>2063</v>
      </c>
      <c r="C837" s="193" t="s">
        <v>1982</v>
      </c>
      <c r="D837" s="193" t="s">
        <v>1983</v>
      </c>
      <c r="E837" s="193" t="s">
        <v>545</v>
      </c>
      <c r="F837" s="196">
        <v>329</v>
      </c>
      <c r="G837" s="194">
        <v>207.89764223832998</v>
      </c>
      <c r="H837" s="195">
        <f t="shared" ref="H837:H900" si="13">+F837*G837</f>
        <v>68398.324296410559</v>
      </c>
      <c r="I837" s="193" t="s">
        <v>536</v>
      </c>
    </row>
    <row r="838" spans="1:9" x14ac:dyDescent="0.25">
      <c r="A838" s="193" t="s">
        <v>220</v>
      </c>
      <c r="B838" s="193" t="s">
        <v>2063</v>
      </c>
      <c r="C838" s="193" t="s">
        <v>2098</v>
      </c>
      <c r="D838" s="193" t="s">
        <v>1985</v>
      </c>
      <c r="E838" s="193" t="s">
        <v>545</v>
      </c>
      <c r="F838" s="196">
        <v>244</v>
      </c>
      <c r="G838" s="194">
        <v>211.2142103114667</v>
      </c>
      <c r="H838" s="195">
        <f t="shared" si="13"/>
        <v>51536.267315997873</v>
      </c>
      <c r="I838" s="193" t="s">
        <v>536</v>
      </c>
    </row>
    <row r="839" spans="1:9" x14ac:dyDescent="0.25">
      <c r="A839" s="193" t="s">
        <v>220</v>
      </c>
      <c r="B839" s="193" t="s">
        <v>2063</v>
      </c>
      <c r="C839" s="193" t="s">
        <v>2099</v>
      </c>
      <c r="D839" s="193" t="s">
        <v>2100</v>
      </c>
      <c r="E839" s="193" t="s">
        <v>545</v>
      </c>
      <c r="F839" s="196">
        <v>8</v>
      </c>
      <c r="G839" s="194">
        <v>204.74763125696805</v>
      </c>
      <c r="H839" s="195">
        <f t="shared" si="13"/>
        <v>1637.9810500557444</v>
      </c>
      <c r="I839" s="193" t="s">
        <v>536</v>
      </c>
    </row>
    <row r="840" spans="1:9" x14ac:dyDescent="0.25">
      <c r="A840" s="193" t="s">
        <v>220</v>
      </c>
      <c r="B840" s="193" t="s">
        <v>2063</v>
      </c>
      <c r="C840" s="193" t="s">
        <v>2101</v>
      </c>
      <c r="D840" s="193" t="s">
        <v>2102</v>
      </c>
      <c r="E840" s="193" t="s">
        <v>545</v>
      </c>
      <c r="F840" s="196">
        <v>44</v>
      </c>
      <c r="G840" s="194">
        <v>96.8183545413969</v>
      </c>
      <c r="H840" s="195">
        <f t="shared" si="13"/>
        <v>4260.0075998214634</v>
      </c>
      <c r="I840" s="193" t="s">
        <v>536</v>
      </c>
    </row>
    <row r="841" spans="1:9" x14ac:dyDescent="0.25">
      <c r="A841" s="193" t="s">
        <v>220</v>
      </c>
      <c r="B841" s="193" t="s">
        <v>2063</v>
      </c>
      <c r="C841" s="193" t="s">
        <v>1986</v>
      </c>
      <c r="D841" s="193" t="s">
        <v>1987</v>
      </c>
      <c r="E841" s="193" t="s">
        <v>545</v>
      </c>
      <c r="F841" s="196">
        <v>103</v>
      </c>
      <c r="G841" s="194">
        <v>94.482638309521448</v>
      </c>
      <c r="H841" s="195">
        <f t="shared" si="13"/>
        <v>9731.7117458807097</v>
      </c>
      <c r="I841" s="193" t="s">
        <v>536</v>
      </c>
    </row>
    <row r="842" spans="1:9" x14ac:dyDescent="0.25">
      <c r="A842" s="193" t="s">
        <v>220</v>
      </c>
      <c r="B842" s="193" t="s">
        <v>2063</v>
      </c>
      <c r="C842" s="193" t="s">
        <v>1989</v>
      </c>
      <c r="D842" s="193" t="s">
        <v>1989</v>
      </c>
      <c r="E842" s="193" t="s">
        <v>545</v>
      </c>
      <c r="F842" s="196">
        <v>128</v>
      </c>
      <c r="G842" s="194">
        <v>154.21426812681023</v>
      </c>
      <c r="H842" s="195">
        <f t="shared" si="13"/>
        <v>19739.426320231709</v>
      </c>
      <c r="I842" s="193" t="s">
        <v>536</v>
      </c>
    </row>
    <row r="843" spans="1:9" x14ac:dyDescent="0.25">
      <c r="A843" s="193" t="s">
        <v>220</v>
      </c>
      <c r="B843" s="193" t="s">
        <v>2063</v>
      </c>
      <c r="C843" s="193" t="s">
        <v>2103</v>
      </c>
      <c r="D843" s="193" t="s">
        <v>2103</v>
      </c>
      <c r="E843" s="193" t="s">
        <v>545</v>
      </c>
      <c r="F843" s="196">
        <v>239</v>
      </c>
      <c r="G843" s="194">
        <v>200.0903661965707</v>
      </c>
      <c r="H843" s="195">
        <f t="shared" si="13"/>
        <v>47821.597520980395</v>
      </c>
      <c r="I843" s="193" t="s">
        <v>536</v>
      </c>
    </row>
    <row r="844" spans="1:9" x14ac:dyDescent="0.25">
      <c r="A844" s="193" t="s">
        <v>220</v>
      </c>
      <c r="B844" s="193" t="s">
        <v>2063</v>
      </c>
      <c r="C844" s="193" t="s">
        <v>2104</v>
      </c>
      <c r="D844" s="193" t="s">
        <v>2105</v>
      </c>
      <c r="E844" s="193" t="s">
        <v>545</v>
      </c>
      <c r="F844" s="196">
        <v>64</v>
      </c>
      <c r="G844" s="194">
        <v>230.53827233818353</v>
      </c>
      <c r="H844" s="195">
        <f t="shared" si="13"/>
        <v>14754.449429643746</v>
      </c>
      <c r="I844" s="193" t="s">
        <v>536</v>
      </c>
    </row>
    <row r="845" spans="1:9" x14ac:dyDescent="0.25">
      <c r="A845" s="193" t="s">
        <v>220</v>
      </c>
      <c r="B845" s="193" t="s">
        <v>2063</v>
      </c>
      <c r="C845" s="193" t="s">
        <v>2106</v>
      </c>
      <c r="D845" s="193" t="s">
        <v>2106</v>
      </c>
      <c r="E845" s="193" t="s">
        <v>545</v>
      </c>
      <c r="F845" s="196">
        <v>302</v>
      </c>
      <c r="G845" s="194">
        <v>159.59694941386559</v>
      </c>
      <c r="H845" s="195">
        <f t="shared" si="13"/>
        <v>48198.278722987408</v>
      </c>
      <c r="I845" s="193" t="s">
        <v>536</v>
      </c>
    </row>
    <row r="846" spans="1:9" x14ac:dyDescent="0.25">
      <c r="A846" s="193" t="s">
        <v>220</v>
      </c>
      <c r="B846" s="193" t="s">
        <v>2063</v>
      </c>
      <c r="C846" s="193" t="s">
        <v>2107</v>
      </c>
      <c r="D846" s="193" t="s">
        <v>2107</v>
      </c>
      <c r="E846" s="193" t="s">
        <v>545</v>
      </c>
      <c r="F846" s="196">
        <v>197</v>
      </c>
      <c r="G846" s="194">
        <v>160.10382203415</v>
      </c>
      <c r="H846" s="195">
        <f t="shared" si="13"/>
        <v>31540.452940727551</v>
      </c>
      <c r="I846" s="193" t="s">
        <v>536</v>
      </c>
    </row>
    <row r="847" spans="1:9" x14ac:dyDescent="0.25">
      <c r="A847" s="193" t="s">
        <v>220</v>
      </c>
      <c r="B847" s="193" t="s">
        <v>2063</v>
      </c>
      <c r="C847" s="193" t="s">
        <v>2108</v>
      </c>
      <c r="D847" s="193" t="s">
        <v>2109</v>
      </c>
      <c r="E847" s="193" t="s">
        <v>545</v>
      </c>
      <c r="F847" s="196">
        <v>72</v>
      </c>
      <c r="G847" s="194">
        <v>108.50455003875163</v>
      </c>
      <c r="H847" s="195">
        <f t="shared" si="13"/>
        <v>7812.3276027901175</v>
      </c>
      <c r="I847" s="193" t="s">
        <v>536</v>
      </c>
    </row>
    <row r="848" spans="1:9" x14ac:dyDescent="0.25">
      <c r="A848" s="193" t="s">
        <v>220</v>
      </c>
      <c r="B848" s="193" t="s">
        <v>2063</v>
      </c>
      <c r="C848" s="193" t="s">
        <v>2110</v>
      </c>
      <c r="D848" s="193" t="s">
        <v>2111</v>
      </c>
      <c r="E848" s="193" t="s">
        <v>545</v>
      </c>
      <c r="F848" s="196">
        <v>51</v>
      </c>
      <c r="G848" s="194">
        <v>81.213788257329114</v>
      </c>
      <c r="H848" s="195">
        <f t="shared" si="13"/>
        <v>4141.903201123785</v>
      </c>
      <c r="I848" s="193" t="s">
        <v>536</v>
      </c>
    </row>
    <row r="849" spans="1:9" x14ac:dyDescent="0.25">
      <c r="A849" s="193" t="s">
        <v>220</v>
      </c>
      <c r="B849" s="193" t="s">
        <v>2063</v>
      </c>
      <c r="C849" s="193" t="s">
        <v>2112</v>
      </c>
      <c r="D849" s="193" t="s">
        <v>2113</v>
      </c>
      <c r="E849" s="193" t="s">
        <v>545</v>
      </c>
      <c r="F849" s="196">
        <v>66</v>
      </c>
      <c r="G849" s="194">
        <v>107.9431281306293</v>
      </c>
      <c r="H849" s="195">
        <f t="shared" si="13"/>
        <v>7124.246456621534</v>
      </c>
      <c r="I849" s="193" t="s">
        <v>536</v>
      </c>
    </row>
    <row r="850" spans="1:9" x14ac:dyDescent="0.25">
      <c r="A850" s="193" t="s">
        <v>220</v>
      </c>
      <c r="B850" s="193" t="s">
        <v>2063</v>
      </c>
      <c r="C850" s="193" t="s">
        <v>2114</v>
      </c>
      <c r="D850" s="193" t="s">
        <v>1991</v>
      </c>
      <c r="E850" s="193" t="s">
        <v>545</v>
      </c>
      <c r="F850" s="196">
        <v>219</v>
      </c>
      <c r="G850" s="194">
        <v>107.9431281306293</v>
      </c>
      <c r="H850" s="195">
        <f t="shared" si="13"/>
        <v>23639.545060607819</v>
      </c>
      <c r="I850" s="193" t="s">
        <v>536</v>
      </c>
    </row>
    <row r="851" spans="1:9" x14ac:dyDescent="0.25">
      <c r="A851" s="193" t="s">
        <v>220</v>
      </c>
      <c r="B851" s="193" t="s">
        <v>2063</v>
      </c>
      <c r="C851" s="193" t="s">
        <v>2115</v>
      </c>
      <c r="D851" s="193" t="s">
        <v>1993</v>
      </c>
      <c r="E851" s="193" t="s">
        <v>545</v>
      </c>
      <c r="F851" s="196">
        <v>106</v>
      </c>
      <c r="G851" s="194">
        <v>120.58793453639527</v>
      </c>
      <c r="H851" s="195">
        <f t="shared" si="13"/>
        <v>12782.321060857897</v>
      </c>
      <c r="I851" s="193" t="s">
        <v>536</v>
      </c>
    </row>
    <row r="852" spans="1:9" x14ac:dyDescent="0.25">
      <c r="A852" s="193" t="s">
        <v>220</v>
      </c>
      <c r="B852" s="193" t="s">
        <v>2063</v>
      </c>
      <c r="C852" s="193" t="s">
        <v>2116</v>
      </c>
      <c r="D852" s="193" t="s">
        <v>1995</v>
      </c>
      <c r="E852" s="193" t="s">
        <v>545</v>
      </c>
      <c r="F852" s="196">
        <v>60</v>
      </c>
      <c r="G852" s="194">
        <v>65.466482910695433</v>
      </c>
      <c r="H852" s="195">
        <f t="shared" si="13"/>
        <v>3927.9889746417261</v>
      </c>
      <c r="I852" s="193" t="s">
        <v>536</v>
      </c>
    </row>
    <row r="853" spans="1:9" x14ac:dyDescent="0.25">
      <c r="A853" s="193" t="s">
        <v>220</v>
      </c>
      <c r="B853" s="193" t="s">
        <v>2063</v>
      </c>
      <c r="C853" s="193" t="s">
        <v>2117</v>
      </c>
      <c r="D853" s="193" t="s">
        <v>2118</v>
      </c>
      <c r="E853" s="193" t="s">
        <v>545</v>
      </c>
      <c r="F853" s="196">
        <v>8</v>
      </c>
      <c r="G853" s="194">
        <v>53.361335118244675</v>
      </c>
      <c r="H853" s="195">
        <f t="shared" si="13"/>
        <v>426.8906809459574</v>
      </c>
      <c r="I853" s="193" t="s">
        <v>536</v>
      </c>
    </row>
    <row r="854" spans="1:9" x14ac:dyDescent="0.25">
      <c r="A854" s="193" t="s">
        <v>220</v>
      </c>
      <c r="B854" s="193" t="s">
        <v>2063</v>
      </c>
      <c r="C854" s="193" t="s">
        <v>2119</v>
      </c>
      <c r="D854" s="193" t="s">
        <v>2120</v>
      </c>
      <c r="E854" s="193" t="s">
        <v>545</v>
      </c>
      <c r="F854" s="196">
        <v>76</v>
      </c>
      <c r="G854" s="194">
        <v>65.466482910695433</v>
      </c>
      <c r="H854" s="195">
        <f t="shared" si="13"/>
        <v>4975.4527012128528</v>
      </c>
      <c r="I854" s="193" t="s">
        <v>536</v>
      </c>
    </row>
    <row r="855" spans="1:9" x14ac:dyDescent="0.25">
      <c r="A855" s="193" t="s">
        <v>220</v>
      </c>
      <c r="B855" s="193" t="s">
        <v>2063</v>
      </c>
      <c r="C855" s="193" t="s">
        <v>2121</v>
      </c>
      <c r="D855" s="193" t="s">
        <v>2122</v>
      </c>
      <c r="E855" s="193" t="s">
        <v>545</v>
      </c>
      <c r="F855" s="196">
        <v>68</v>
      </c>
      <c r="G855" s="194">
        <v>59.140007179103414</v>
      </c>
      <c r="H855" s="195">
        <f t="shared" si="13"/>
        <v>4021.5204881790323</v>
      </c>
      <c r="I855" s="193" t="s">
        <v>536</v>
      </c>
    </row>
    <row r="856" spans="1:9" x14ac:dyDescent="0.25">
      <c r="A856" s="193" t="s">
        <v>220</v>
      </c>
      <c r="B856" s="193" t="s">
        <v>2063</v>
      </c>
      <c r="C856" s="193" t="s">
        <v>1998</v>
      </c>
      <c r="D856" s="193" t="s">
        <v>1998</v>
      </c>
      <c r="E856" s="193" t="s">
        <v>545</v>
      </c>
      <c r="F856" s="196">
        <v>22</v>
      </c>
      <c r="G856" s="194">
        <v>69.796520753384939</v>
      </c>
      <c r="H856" s="195">
        <f t="shared" si="13"/>
        <v>1535.5234565744686</v>
      </c>
      <c r="I856" s="193" t="s">
        <v>536</v>
      </c>
    </row>
    <row r="857" spans="1:9" x14ac:dyDescent="0.25">
      <c r="A857" s="193" t="s">
        <v>220</v>
      </c>
      <c r="B857" s="193" t="s">
        <v>2063</v>
      </c>
      <c r="C857" s="193" t="s">
        <v>2123</v>
      </c>
      <c r="D857" s="193" t="s">
        <v>2002</v>
      </c>
      <c r="E857" s="193" t="s">
        <v>545</v>
      </c>
      <c r="F857" s="196">
        <v>19</v>
      </c>
      <c r="G857" s="194">
        <v>87.635225844616713</v>
      </c>
      <c r="H857" s="195">
        <f t="shared" si="13"/>
        <v>1665.0692910477176</v>
      </c>
      <c r="I857" s="193" t="s">
        <v>536</v>
      </c>
    </row>
    <row r="858" spans="1:9" x14ac:dyDescent="0.25">
      <c r="A858" s="193" t="s">
        <v>220</v>
      </c>
      <c r="B858" s="193" t="s">
        <v>2063</v>
      </c>
      <c r="C858" s="193" t="s">
        <v>2003</v>
      </c>
      <c r="D858" s="193" t="s">
        <v>2004</v>
      </c>
      <c r="E858" s="193" t="s">
        <v>545</v>
      </c>
      <c r="F858" s="196">
        <v>27</v>
      </c>
      <c r="G858" s="194">
        <v>163.73729882871604</v>
      </c>
      <c r="H858" s="195">
        <f t="shared" si="13"/>
        <v>4420.9070683753325</v>
      </c>
      <c r="I858" s="193" t="s">
        <v>536</v>
      </c>
    </row>
    <row r="859" spans="1:9" x14ac:dyDescent="0.25">
      <c r="A859" s="193" t="s">
        <v>220</v>
      </c>
      <c r="B859" s="193" t="s">
        <v>2063</v>
      </c>
      <c r="C859" s="193" t="s">
        <v>2124</v>
      </c>
      <c r="D859" s="193" t="s">
        <v>2125</v>
      </c>
      <c r="E859" s="193" t="s">
        <v>545</v>
      </c>
      <c r="F859" s="196">
        <v>35</v>
      </c>
      <c r="G859" s="194">
        <v>113.54666218316778</v>
      </c>
      <c r="H859" s="195">
        <f t="shared" si="13"/>
        <v>3974.1331764108722</v>
      </c>
      <c r="I859" s="193" t="s">
        <v>536</v>
      </c>
    </row>
    <row r="860" spans="1:9" x14ac:dyDescent="0.25">
      <c r="A860" s="193" t="s">
        <v>220</v>
      </c>
      <c r="B860" s="193" t="s">
        <v>2063</v>
      </c>
      <c r="C860" s="193" t="s">
        <v>2126</v>
      </c>
      <c r="D860" s="193" t="s">
        <v>2127</v>
      </c>
      <c r="E860" s="193" t="s">
        <v>545</v>
      </c>
      <c r="F860" s="196">
        <v>3</v>
      </c>
      <c r="G860" s="194">
        <v>66.416543235031568</v>
      </c>
      <c r="H860" s="195">
        <f t="shared" si="13"/>
        <v>199.24962970509472</v>
      </c>
      <c r="I860" s="193" t="s">
        <v>536</v>
      </c>
    </row>
    <row r="861" spans="1:9" x14ac:dyDescent="0.25">
      <c r="A861" s="193" t="s">
        <v>220</v>
      </c>
      <c r="B861" s="193" t="s">
        <v>2063</v>
      </c>
      <c r="C861" s="193" t="s">
        <v>2009</v>
      </c>
      <c r="D861" s="193" t="s">
        <v>2010</v>
      </c>
      <c r="E861" s="193" t="s">
        <v>545</v>
      </c>
      <c r="F861" s="196">
        <v>200</v>
      </c>
      <c r="G861" s="194">
        <v>49.133017753918679</v>
      </c>
      <c r="H861" s="195">
        <f t="shared" si="13"/>
        <v>9826.603550783735</v>
      </c>
      <c r="I861" s="193" t="s">
        <v>536</v>
      </c>
    </row>
    <row r="862" spans="1:9" x14ac:dyDescent="0.25">
      <c r="A862" s="193" t="s">
        <v>220</v>
      </c>
      <c r="B862" s="193" t="s">
        <v>2063</v>
      </c>
      <c r="C862" s="193" t="s">
        <v>2128</v>
      </c>
      <c r="D862" s="193" t="s">
        <v>2012</v>
      </c>
      <c r="E862" s="193" t="s">
        <v>545</v>
      </c>
      <c r="F862" s="196">
        <v>54</v>
      </c>
      <c r="G862" s="194">
        <v>50.343119318817088</v>
      </c>
      <c r="H862" s="195">
        <f t="shared" si="13"/>
        <v>2718.5284432161229</v>
      </c>
      <c r="I862" s="193" t="s">
        <v>536</v>
      </c>
    </row>
    <row r="863" spans="1:9" x14ac:dyDescent="0.25">
      <c r="A863" s="193" t="s">
        <v>220</v>
      </c>
      <c r="B863" s="193" t="s">
        <v>2063</v>
      </c>
      <c r="C863" s="193" t="s">
        <v>2129</v>
      </c>
      <c r="D863" s="193" t="s">
        <v>2016</v>
      </c>
      <c r="E863" s="193" t="s">
        <v>545</v>
      </c>
      <c r="F863" s="196">
        <v>96</v>
      </c>
      <c r="G863" s="194">
        <v>61.597563352671095</v>
      </c>
      <c r="H863" s="195">
        <f t="shared" si="13"/>
        <v>5913.3660818564249</v>
      </c>
      <c r="I863" s="193" t="s">
        <v>536</v>
      </c>
    </row>
    <row r="864" spans="1:9" x14ac:dyDescent="0.25">
      <c r="A864" s="193" t="s">
        <v>220</v>
      </c>
      <c r="B864" s="193" t="s">
        <v>2063</v>
      </c>
      <c r="C864" s="193" t="s">
        <v>2130</v>
      </c>
      <c r="D864" s="193" t="s">
        <v>2131</v>
      </c>
      <c r="E864" s="193" t="s">
        <v>545</v>
      </c>
      <c r="F864" s="196">
        <v>87</v>
      </c>
      <c r="G864" s="194">
        <v>66.134554018222957</v>
      </c>
      <c r="H864" s="195">
        <f t="shared" si="13"/>
        <v>5753.7061995853974</v>
      </c>
      <c r="I864" s="193" t="s">
        <v>536</v>
      </c>
    </row>
    <row r="865" spans="1:9" x14ac:dyDescent="0.25">
      <c r="A865" s="193" t="s">
        <v>220</v>
      </c>
      <c r="B865" s="193" t="s">
        <v>2063</v>
      </c>
      <c r="C865" s="193" t="s">
        <v>2064</v>
      </c>
      <c r="D865" s="193" t="s">
        <v>1910</v>
      </c>
      <c r="E865" s="193" t="s">
        <v>545</v>
      </c>
      <c r="F865" s="196">
        <v>228</v>
      </c>
      <c r="G865" s="194">
        <v>66.134554018222957</v>
      </c>
      <c r="H865" s="195">
        <f t="shared" si="13"/>
        <v>15078.678316154834</v>
      </c>
      <c r="I865" s="193" t="s">
        <v>536</v>
      </c>
    </row>
    <row r="866" spans="1:9" x14ac:dyDescent="0.25">
      <c r="A866" s="193" t="s">
        <v>220</v>
      </c>
      <c r="B866" s="193" t="s">
        <v>2063</v>
      </c>
      <c r="C866" s="193" t="s">
        <v>2132</v>
      </c>
      <c r="D866" s="193" t="s">
        <v>2018</v>
      </c>
      <c r="E866" s="193" t="s">
        <v>545</v>
      </c>
      <c r="F866" s="196">
        <v>30</v>
      </c>
      <c r="G866" s="194">
        <v>75.595781157578614</v>
      </c>
      <c r="H866" s="195">
        <f t="shared" si="13"/>
        <v>2267.8734347273585</v>
      </c>
      <c r="I866" s="193" t="s">
        <v>536</v>
      </c>
    </row>
    <row r="867" spans="1:9" x14ac:dyDescent="0.25">
      <c r="A867" s="193" t="s">
        <v>220</v>
      </c>
      <c r="B867" s="193" t="s">
        <v>2063</v>
      </c>
      <c r="C867" s="193" t="s">
        <v>2133</v>
      </c>
      <c r="D867" s="193" t="s">
        <v>2020</v>
      </c>
      <c r="E867" s="193" t="s">
        <v>545</v>
      </c>
      <c r="F867" s="196">
        <v>19</v>
      </c>
      <c r="G867" s="194">
        <v>87.272045424390939</v>
      </c>
      <c r="H867" s="195">
        <f t="shared" si="13"/>
        <v>1658.1688630634278</v>
      </c>
      <c r="I867" s="193" t="s">
        <v>536</v>
      </c>
    </row>
    <row r="868" spans="1:9" x14ac:dyDescent="0.25">
      <c r="A868" s="193" t="s">
        <v>220</v>
      </c>
      <c r="B868" s="193" t="s">
        <v>2063</v>
      </c>
      <c r="C868" s="193" t="s">
        <v>2066</v>
      </c>
      <c r="D868" s="193" t="s">
        <v>1915</v>
      </c>
      <c r="E868" s="193" t="s">
        <v>545</v>
      </c>
      <c r="F868" s="196">
        <v>33</v>
      </c>
      <c r="G868" s="194">
        <v>85.110514865913331</v>
      </c>
      <c r="H868" s="195">
        <f t="shared" si="13"/>
        <v>2808.6469905751401</v>
      </c>
      <c r="I868" s="193" t="s">
        <v>536</v>
      </c>
    </row>
    <row r="869" spans="1:9" x14ac:dyDescent="0.25">
      <c r="A869" s="193" t="s">
        <v>220</v>
      </c>
      <c r="B869" s="193" t="s">
        <v>2063</v>
      </c>
      <c r="C869" s="193" t="s">
        <v>2066</v>
      </c>
      <c r="D869" s="193" t="s">
        <v>2022</v>
      </c>
      <c r="E869" s="193" t="s">
        <v>545</v>
      </c>
      <c r="F869" s="196">
        <v>5</v>
      </c>
      <c r="G869" s="194">
        <v>85.110514865913331</v>
      </c>
      <c r="H869" s="195">
        <f t="shared" si="13"/>
        <v>425.55257432956665</v>
      </c>
      <c r="I869" s="193" t="s">
        <v>536</v>
      </c>
    </row>
    <row r="870" spans="1:9" x14ac:dyDescent="0.25">
      <c r="A870" s="193" t="s">
        <v>220</v>
      </c>
      <c r="B870" s="193" t="s">
        <v>2063</v>
      </c>
      <c r="C870" s="193" t="s">
        <v>2067</v>
      </c>
      <c r="D870" s="193" t="s">
        <v>1917</v>
      </c>
      <c r="E870" s="193" t="s">
        <v>545</v>
      </c>
      <c r="F870" s="196">
        <v>227</v>
      </c>
      <c r="G870" s="194">
        <v>114.58126160421584</v>
      </c>
      <c r="H870" s="195">
        <f t="shared" si="13"/>
        <v>26009.946384156996</v>
      </c>
      <c r="I870" s="193" t="s">
        <v>536</v>
      </c>
    </row>
    <row r="871" spans="1:9" x14ac:dyDescent="0.25">
      <c r="A871" s="193" t="s">
        <v>220</v>
      </c>
      <c r="B871" s="193" t="s">
        <v>2063</v>
      </c>
      <c r="C871" s="193" t="s">
        <v>2068</v>
      </c>
      <c r="D871" s="193" t="s">
        <v>1919</v>
      </c>
      <c r="E871" s="193" t="s">
        <v>545</v>
      </c>
      <c r="F871" s="196">
        <v>1493</v>
      </c>
      <c r="G871" s="194">
        <v>60.033893899112869</v>
      </c>
      <c r="H871" s="195">
        <f t="shared" si="13"/>
        <v>89630.603591375519</v>
      </c>
      <c r="I871" s="193" t="s">
        <v>536</v>
      </c>
    </row>
    <row r="872" spans="1:9" x14ac:dyDescent="0.25">
      <c r="A872" s="193" t="s">
        <v>220</v>
      </c>
      <c r="B872" s="193" t="s">
        <v>2063</v>
      </c>
      <c r="C872" s="193" t="s">
        <v>2134</v>
      </c>
      <c r="D872" s="193" t="s">
        <v>1925</v>
      </c>
      <c r="E872" s="193" t="s">
        <v>545</v>
      </c>
      <c r="F872" s="196">
        <v>342</v>
      </c>
      <c r="G872" s="194">
        <v>70.04604098953196</v>
      </c>
      <c r="H872" s="195">
        <f t="shared" si="13"/>
        <v>23955.74601841993</v>
      </c>
      <c r="I872" s="193" t="s">
        <v>536</v>
      </c>
    </row>
    <row r="873" spans="1:9" x14ac:dyDescent="0.25">
      <c r="A873" s="193" t="s">
        <v>220</v>
      </c>
      <c r="B873" s="193" t="s">
        <v>2063</v>
      </c>
      <c r="C873" s="193" t="s">
        <v>2071</v>
      </c>
      <c r="D873" s="193" t="s">
        <v>1927</v>
      </c>
      <c r="E873" s="193" t="s">
        <v>545</v>
      </c>
      <c r="F873" s="196">
        <v>408</v>
      </c>
      <c r="G873" s="194">
        <v>81.580203449969304</v>
      </c>
      <c r="H873" s="195">
        <f t="shared" si="13"/>
        <v>33284.723007587476</v>
      </c>
      <c r="I873" s="193" t="s">
        <v>536</v>
      </c>
    </row>
    <row r="874" spans="1:9" x14ac:dyDescent="0.25">
      <c r="A874" s="193" t="s">
        <v>220</v>
      </c>
      <c r="B874" s="193" t="s">
        <v>2063</v>
      </c>
      <c r="C874" s="193" t="s">
        <v>2135</v>
      </c>
      <c r="D874" s="193" t="s">
        <v>1929</v>
      </c>
      <c r="E874" s="193" t="s">
        <v>545</v>
      </c>
      <c r="F874" s="196">
        <v>271</v>
      </c>
      <c r="G874" s="194">
        <v>81.580203449969304</v>
      </c>
      <c r="H874" s="195">
        <f t="shared" si="13"/>
        <v>22108.235134941682</v>
      </c>
      <c r="I874" s="193" t="s">
        <v>536</v>
      </c>
    </row>
    <row r="875" spans="1:9" x14ac:dyDescent="0.25">
      <c r="A875" s="193" t="s">
        <v>220</v>
      </c>
      <c r="B875" s="193" t="s">
        <v>2063</v>
      </c>
      <c r="C875" s="193" t="s">
        <v>2072</v>
      </c>
      <c r="D875" s="193" t="s">
        <v>1931</v>
      </c>
      <c r="E875" s="193" t="s">
        <v>545</v>
      </c>
      <c r="F875" s="196">
        <v>1164</v>
      </c>
      <c r="G875" s="194">
        <v>80.823564648000257</v>
      </c>
      <c r="H875" s="195">
        <f t="shared" si="13"/>
        <v>94078.629250272294</v>
      </c>
      <c r="I875" s="193" t="s">
        <v>536</v>
      </c>
    </row>
    <row r="876" spans="1:9" x14ac:dyDescent="0.25">
      <c r="A876" s="193" t="s">
        <v>220</v>
      </c>
      <c r="B876" s="193" t="s">
        <v>2063</v>
      </c>
      <c r="C876" s="193" t="s">
        <v>2136</v>
      </c>
      <c r="D876" s="193" t="s">
        <v>2025</v>
      </c>
      <c r="E876" s="193" t="s">
        <v>545</v>
      </c>
      <c r="F876" s="196">
        <v>150</v>
      </c>
      <c r="G876" s="194">
        <v>101.59952688767287</v>
      </c>
      <c r="H876" s="195">
        <f t="shared" si="13"/>
        <v>15239.929033150929</v>
      </c>
      <c r="I876" s="193" t="s">
        <v>536</v>
      </c>
    </row>
    <row r="877" spans="1:9" x14ac:dyDescent="0.25">
      <c r="A877" s="193" t="s">
        <v>220</v>
      </c>
      <c r="B877" s="193" t="s">
        <v>2063</v>
      </c>
      <c r="C877" s="193" t="s">
        <v>2075</v>
      </c>
      <c r="D877" s="193" t="s">
        <v>2026</v>
      </c>
      <c r="E877" s="193" t="s">
        <v>545</v>
      </c>
      <c r="F877" s="196">
        <v>459</v>
      </c>
      <c r="G877" s="194">
        <v>68.015238052007305</v>
      </c>
      <c r="H877" s="195">
        <f t="shared" si="13"/>
        <v>31218.994265871352</v>
      </c>
      <c r="I877" s="193" t="s">
        <v>536</v>
      </c>
    </row>
    <row r="878" spans="1:9" x14ac:dyDescent="0.25">
      <c r="A878" s="193" t="s">
        <v>220</v>
      </c>
      <c r="B878" s="193" t="s">
        <v>2063</v>
      </c>
      <c r="C878" s="193" t="s">
        <v>2027</v>
      </c>
      <c r="D878" s="193" t="s">
        <v>2028</v>
      </c>
      <c r="E878" s="193" t="s">
        <v>545</v>
      </c>
      <c r="F878" s="196">
        <v>30</v>
      </c>
      <c r="G878" s="194">
        <v>91.295004755193148</v>
      </c>
      <c r="H878" s="195">
        <f t="shared" si="13"/>
        <v>2738.8501426557946</v>
      </c>
      <c r="I878" s="193" t="s">
        <v>536</v>
      </c>
    </row>
    <row r="879" spans="1:9" x14ac:dyDescent="0.25">
      <c r="A879" s="193" t="s">
        <v>220</v>
      </c>
      <c r="B879" s="193" t="s">
        <v>2063</v>
      </c>
      <c r="C879" s="193" t="s">
        <v>2076</v>
      </c>
      <c r="D879" s="193" t="s">
        <v>1939</v>
      </c>
      <c r="E879" s="193" t="s">
        <v>545</v>
      </c>
      <c r="F879" s="196">
        <v>99</v>
      </c>
      <c r="G879" s="194">
        <v>91.295004755193148</v>
      </c>
      <c r="H879" s="195">
        <f t="shared" si="13"/>
        <v>9038.2054707641219</v>
      </c>
      <c r="I879" s="193" t="s">
        <v>536</v>
      </c>
    </row>
    <row r="880" spans="1:9" x14ac:dyDescent="0.25">
      <c r="A880" s="193" t="s">
        <v>220</v>
      </c>
      <c r="B880" s="193" t="s">
        <v>2063</v>
      </c>
      <c r="C880" s="193" t="s">
        <v>1944</v>
      </c>
      <c r="D880" s="193" t="s">
        <v>1945</v>
      </c>
      <c r="E880" s="193" t="s">
        <v>545</v>
      </c>
      <c r="F880" s="196">
        <v>204</v>
      </c>
      <c r="G880" s="194">
        <v>108.50455003875163</v>
      </c>
      <c r="H880" s="195">
        <f t="shared" si="13"/>
        <v>22134.928207905334</v>
      </c>
      <c r="I880" s="193" t="s">
        <v>536</v>
      </c>
    </row>
    <row r="881" spans="1:9" x14ac:dyDescent="0.25">
      <c r="A881" s="193" t="s">
        <v>220</v>
      </c>
      <c r="B881" s="193" t="s">
        <v>2063</v>
      </c>
      <c r="C881" s="193" t="s">
        <v>1946</v>
      </c>
      <c r="D881" s="193" t="s">
        <v>1947</v>
      </c>
      <c r="E881" s="193" t="s">
        <v>545</v>
      </c>
      <c r="F881" s="196">
        <v>216</v>
      </c>
      <c r="G881" s="194">
        <v>129.13387861005873</v>
      </c>
      <c r="H881" s="195">
        <f t="shared" si="13"/>
        <v>27892.917779772684</v>
      </c>
      <c r="I881" s="193" t="s">
        <v>536</v>
      </c>
    </row>
    <row r="882" spans="1:9" x14ac:dyDescent="0.25">
      <c r="A882" s="193" t="s">
        <v>220</v>
      </c>
      <c r="B882" s="193" t="s">
        <v>2063</v>
      </c>
      <c r="C882" s="193" t="s">
        <v>1944</v>
      </c>
      <c r="D882" s="193" t="s">
        <v>1945</v>
      </c>
      <c r="E882" s="193" t="s">
        <v>545</v>
      </c>
      <c r="F882" s="196">
        <v>250</v>
      </c>
      <c r="G882" s="194">
        <v>108.50455003875163</v>
      </c>
      <c r="H882" s="195">
        <f t="shared" si="13"/>
        <v>27126.137509687909</v>
      </c>
      <c r="I882" s="193" t="s">
        <v>536</v>
      </c>
    </row>
    <row r="883" spans="1:9" x14ac:dyDescent="0.25">
      <c r="A883" s="193" t="s">
        <v>220</v>
      </c>
      <c r="B883" s="193" t="s">
        <v>2063</v>
      </c>
      <c r="C883" s="193" t="s">
        <v>2137</v>
      </c>
      <c r="D883" s="193" t="s">
        <v>2030</v>
      </c>
      <c r="E883" s="193" t="s">
        <v>545</v>
      </c>
      <c r="F883" s="196">
        <v>21</v>
      </c>
      <c r="G883" s="194">
        <v>55.079538929631518</v>
      </c>
      <c r="H883" s="195">
        <f t="shared" si="13"/>
        <v>1156.6703175222619</v>
      </c>
      <c r="I883" s="193" t="s">
        <v>536</v>
      </c>
    </row>
    <row r="884" spans="1:9" x14ac:dyDescent="0.25">
      <c r="A884" s="193" t="s">
        <v>220</v>
      </c>
      <c r="B884" s="193" t="s">
        <v>2063</v>
      </c>
      <c r="C884" s="193" t="s">
        <v>2138</v>
      </c>
      <c r="D884" s="193" t="s">
        <v>2032</v>
      </c>
      <c r="E884" s="193" t="s">
        <v>545</v>
      </c>
      <c r="F884" s="196">
        <v>31</v>
      </c>
      <c r="G884" s="194">
        <v>55.079538929631518</v>
      </c>
      <c r="H884" s="195">
        <f t="shared" si="13"/>
        <v>1707.465706818577</v>
      </c>
      <c r="I884" s="193" t="s">
        <v>536</v>
      </c>
    </row>
    <row r="885" spans="1:9" x14ac:dyDescent="0.25">
      <c r="A885" s="193" t="s">
        <v>220</v>
      </c>
      <c r="B885" s="193" t="s">
        <v>2063</v>
      </c>
      <c r="C885" s="193" t="s">
        <v>2033</v>
      </c>
      <c r="D885" s="193" t="s">
        <v>2034</v>
      </c>
      <c r="E885" s="193" t="s">
        <v>545</v>
      </c>
      <c r="F885" s="196">
        <v>300</v>
      </c>
      <c r="G885" s="194">
        <v>61.380324619661941</v>
      </c>
      <c r="H885" s="195">
        <f t="shared" si="13"/>
        <v>18414.097385898582</v>
      </c>
      <c r="I885" s="193" t="s">
        <v>536</v>
      </c>
    </row>
    <row r="886" spans="1:9" x14ac:dyDescent="0.25">
      <c r="A886" s="193" t="s">
        <v>220</v>
      </c>
      <c r="B886" s="193" t="s">
        <v>2063</v>
      </c>
      <c r="C886" s="193" t="s">
        <v>2035</v>
      </c>
      <c r="D886" s="193" t="s">
        <v>2036</v>
      </c>
      <c r="E886" s="193" t="s">
        <v>545</v>
      </c>
      <c r="F886" s="196">
        <v>52</v>
      </c>
      <c r="G886" s="194">
        <v>66.134554018222957</v>
      </c>
      <c r="H886" s="195">
        <f t="shared" si="13"/>
        <v>3438.9968089475938</v>
      </c>
      <c r="I886" s="193" t="s">
        <v>536</v>
      </c>
    </row>
    <row r="887" spans="1:9" x14ac:dyDescent="0.25">
      <c r="A887" s="193" t="s">
        <v>220</v>
      </c>
      <c r="B887" s="193" t="s">
        <v>2063</v>
      </c>
      <c r="C887" s="193" t="s">
        <v>2139</v>
      </c>
      <c r="D887" s="193" t="s">
        <v>2140</v>
      </c>
      <c r="E887" s="193" t="s">
        <v>545</v>
      </c>
      <c r="F887" s="196">
        <v>207</v>
      </c>
      <c r="G887" s="194">
        <v>70.04604098953196</v>
      </c>
      <c r="H887" s="195">
        <f t="shared" si="13"/>
        <v>14499.530484833116</v>
      </c>
      <c r="I887" s="193" t="s">
        <v>536</v>
      </c>
    </row>
    <row r="888" spans="1:9" x14ac:dyDescent="0.25">
      <c r="A888" s="193" t="s">
        <v>220</v>
      </c>
      <c r="B888" s="193" t="s">
        <v>2063</v>
      </c>
      <c r="C888" s="193" t="s">
        <v>2141</v>
      </c>
      <c r="D888" s="193" t="s">
        <v>2038</v>
      </c>
      <c r="E888" s="193" t="s">
        <v>545</v>
      </c>
      <c r="F888" s="196">
        <v>74</v>
      </c>
      <c r="G888" s="194">
        <v>69.796520753384939</v>
      </c>
      <c r="H888" s="195">
        <f t="shared" si="13"/>
        <v>5164.9425357504851</v>
      </c>
      <c r="I888" s="193" t="s">
        <v>536</v>
      </c>
    </row>
    <row r="889" spans="1:9" x14ac:dyDescent="0.25">
      <c r="A889" s="193" t="s">
        <v>220</v>
      </c>
      <c r="B889" s="193" t="s">
        <v>2063</v>
      </c>
      <c r="C889" s="193" t="s">
        <v>2082</v>
      </c>
      <c r="D889" s="193" t="s">
        <v>2039</v>
      </c>
      <c r="E889" s="193" t="s">
        <v>545</v>
      </c>
      <c r="F889" s="196">
        <v>323</v>
      </c>
      <c r="G889" s="194">
        <v>66.041264241858556</v>
      </c>
      <c r="H889" s="195">
        <f t="shared" si="13"/>
        <v>21331.328350120315</v>
      </c>
      <c r="I889" s="193" t="s">
        <v>536</v>
      </c>
    </row>
    <row r="890" spans="1:9" x14ac:dyDescent="0.25">
      <c r="A890" s="193" t="s">
        <v>220</v>
      </c>
      <c r="B890" s="193" t="s">
        <v>2063</v>
      </c>
      <c r="C890" s="193" t="s">
        <v>2141</v>
      </c>
      <c r="D890" s="193" t="s">
        <v>2041</v>
      </c>
      <c r="E890" s="193" t="s">
        <v>545</v>
      </c>
      <c r="F890" s="196">
        <v>33</v>
      </c>
      <c r="G890" s="194">
        <v>69.796520753384939</v>
      </c>
      <c r="H890" s="195">
        <f t="shared" si="13"/>
        <v>2303.2851848617029</v>
      </c>
      <c r="I890" s="193" t="s">
        <v>536</v>
      </c>
    </row>
    <row r="891" spans="1:9" x14ac:dyDescent="0.25">
      <c r="A891" s="193" t="s">
        <v>220</v>
      </c>
      <c r="B891" s="193" t="s">
        <v>2063</v>
      </c>
      <c r="C891" s="193" t="s">
        <v>2042</v>
      </c>
      <c r="D891" s="193" t="s">
        <v>2043</v>
      </c>
      <c r="E891" s="193" t="s">
        <v>545</v>
      </c>
      <c r="F891" s="196">
        <v>25</v>
      </c>
      <c r="G891" s="194">
        <v>76.30927148045626</v>
      </c>
      <c r="H891" s="195">
        <f t="shared" si="13"/>
        <v>1907.7317870114066</v>
      </c>
      <c r="I891" s="193" t="s">
        <v>536</v>
      </c>
    </row>
    <row r="892" spans="1:9" x14ac:dyDescent="0.25">
      <c r="A892" s="193" t="s">
        <v>220</v>
      </c>
      <c r="B892" s="193" t="s">
        <v>2063</v>
      </c>
      <c r="C892" s="193" t="s">
        <v>2142</v>
      </c>
      <c r="D892" s="193" t="s">
        <v>2143</v>
      </c>
      <c r="E892" s="193" t="s">
        <v>545</v>
      </c>
      <c r="F892" s="196">
        <v>184</v>
      </c>
      <c r="G892" s="194">
        <v>76.30927148045626</v>
      </c>
      <c r="H892" s="195">
        <f t="shared" si="13"/>
        <v>14040.905952403951</v>
      </c>
      <c r="I892" s="193" t="s">
        <v>536</v>
      </c>
    </row>
    <row r="893" spans="1:9" x14ac:dyDescent="0.25">
      <c r="A893" s="193" t="s">
        <v>220</v>
      </c>
      <c r="B893" s="193" t="s">
        <v>2063</v>
      </c>
      <c r="C893" s="193" t="s">
        <v>2044</v>
      </c>
      <c r="D893" s="193" t="s">
        <v>2045</v>
      </c>
      <c r="E893" s="193" t="s">
        <v>545</v>
      </c>
      <c r="F893" s="196">
        <v>143</v>
      </c>
      <c r="G893" s="194">
        <v>88.471908571918888</v>
      </c>
      <c r="H893" s="195">
        <f t="shared" si="13"/>
        <v>12651.482925784401</v>
      </c>
      <c r="I893" s="193" t="s">
        <v>536</v>
      </c>
    </row>
    <row r="894" spans="1:9" x14ac:dyDescent="0.25">
      <c r="A894" s="193" t="s">
        <v>220</v>
      </c>
      <c r="B894" s="193" t="s">
        <v>2063</v>
      </c>
      <c r="C894" s="193" t="s">
        <v>2144</v>
      </c>
      <c r="D894" s="193" t="s">
        <v>2145</v>
      </c>
      <c r="E894" s="193" t="s">
        <v>545</v>
      </c>
      <c r="F894" s="196">
        <v>31</v>
      </c>
      <c r="G894" s="194">
        <v>80.751151849588311</v>
      </c>
      <c r="H894" s="195">
        <f t="shared" si="13"/>
        <v>2503.2857073372375</v>
      </c>
      <c r="I894" s="193" t="s">
        <v>536</v>
      </c>
    </row>
    <row r="895" spans="1:9" x14ac:dyDescent="0.25">
      <c r="A895" s="193" t="s">
        <v>220</v>
      </c>
      <c r="B895" s="193" t="s">
        <v>2063</v>
      </c>
      <c r="C895" s="193" t="s">
        <v>2085</v>
      </c>
      <c r="D895" s="193" t="s">
        <v>2146</v>
      </c>
      <c r="E895" s="193" t="s">
        <v>545</v>
      </c>
      <c r="F895" s="196">
        <v>100</v>
      </c>
      <c r="G895" s="194">
        <v>80.751151849588311</v>
      </c>
      <c r="H895" s="195">
        <f t="shared" si="13"/>
        <v>8075.1151849588314</v>
      </c>
      <c r="I895" s="193" t="s">
        <v>536</v>
      </c>
    </row>
    <row r="896" spans="1:9" x14ac:dyDescent="0.25">
      <c r="A896" s="193" t="s">
        <v>220</v>
      </c>
      <c r="B896" s="193" t="s">
        <v>2063</v>
      </c>
      <c r="C896" s="193" t="s">
        <v>2046</v>
      </c>
      <c r="D896" s="193" t="s">
        <v>2047</v>
      </c>
      <c r="E896" s="193" t="s">
        <v>545</v>
      </c>
      <c r="F896" s="196">
        <v>462</v>
      </c>
      <c r="G896" s="194">
        <v>93.006158414542284</v>
      </c>
      <c r="H896" s="195">
        <f t="shared" si="13"/>
        <v>42968.845187518535</v>
      </c>
      <c r="I896" s="193" t="s">
        <v>536</v>
      </c>
    </row>
    <row r="897" spans="1:9" x14ac:dyDescent="0.25">
      <c r="A897" s="193" t="s">
        <v>220</v>
      </c>
      <c r="B897" s="193" t="s">
        <v>2063</v>
      </c>
      <c r="C897" s="193" t="s">
        <v>2147</v>
      </c>
      <c r="D897" s="193" t="s">
        <v>2148</v>
      </c>
      <c r="E897" s="193" t="s">
        <v>545</v>
      </c>
      <c r="F897" s="196">
        <v>1023</v>
      </c>
      <c r="G897" s="194">
        <v>95.707268276369589</v>
      </c>
      <c r="H897" s="195">
        <f t="shared" si="13"/>
        <v>97908.535446726091</v>
      </c>
      <c r="I897" s="193" t="s">
        <v>536</v>
      </c>
    </row>
    <row r="898" spans="1:9" x14ac:dyDescent="0.25">
      <c r="A898" s="193" t="s">
        <v>220</v>
      </c>
      <c r="B898" s="193" t="s">
        <v>2063</v>
      </c>
      <c r="C898" s="193" t="s">
        <v>2086</v>
      </c>
      <c r="D898" s="193" t="s">
        <v>2048</v>
      </c>
      <c r="E898" s="193" t="s">
        <v>545</v>
      </c>
      <c r="F898" s="196">
        <v>3</v>
      </c>
      <c r="G898" s="194">
        <v>101.10925669356116</v>
      </c>
      <c r="H898" s="195">
        <f t="shared" si="13"/>
        <v>303.32777008068348</v>
      </c>
      <c r="I898" s="193" t="s">
        <v>536</v>
      </c>
    </row>
    <row r="899" spans="1:9" x14ac:dyDescent="0.25">
      <c r="A899" s="193" t="s">
        <v>220</v>
      </c>
      <c r="B899" s="193" t="s">
        <v>2063</v>
      </c>
      <c r="C899" s="193" t="s">
        <v>2049</v>
      </c>
      <c r="D899" s="193" t="s">
        <v>2050</v>
      </c>
      <c r="E899" s="193" t="s">
        <v>545</v>
      </c>
      <c r="F899" s="196">
        <v>1875</v>
      </c>
      <c r="G899" s="194">
        <v>119.49145785962052</v>
      </c>
      <c r="H899" s="195">
        <f t="shared" si="13"/>
        <v>224046.48348678849</v>
      </c>
      <c r="I899" s="193" t="s">
        <v>536</v>
      </c>
    </row>
    <row r="900" spans="1:9" x14ac:dyDescent="0.25">
      <c r="A900" s="193" t="s">
        <v>220</v>
      </c>
      <c r="B900" s="193" t="s">
        <v>2063</v>
      </c>
      <c r="C900" s="193" t="s">
        <v>2149</v>
      </c>
      <c r="D900" s="193" t="s">
        <v>2052</v>
      </c>
      <c r="E900" s="193" t="s">
        <v>545</v>
      </c>
      <c r="F900" s="197">
        <v>39</v>
      </c>
      <c r="G900" s="194">
        <v>68.015238052007305</v>
      </c>
      <c r="H900" s="195">
        <f t="shared" si="13"/>
        <v>2652.5942840282851</v>
      </c>
      <c r="I900" s="193" t="s">
        <v>536</v>
      </c>
    </row>
    <row r="901" spans="1:9" x14ac:dyDescent="0.25">
      <c r="A901" s="193" t="s">
        <v>220</v>
      </c>
      <c r="B901" s="193" t="s">
        <v>2063</v>
      </c>
      <c r="C901" s="193" t="s">
        <v>2150</v>
      </c>
      <c r="D901" s="193" t="s">
        <v>2054</v>
      </c>
      <c r="E901" s="193" t="s">
        <v>545</v>
      </c>
      <c r="F901" s="196">
        <v>106</v>
      </c>
      <c r="G901" s="194">
        <v>86.56512100181402</v>
      </c>
      <c r="H901" s="195">
        <f t="shared" ref="H901:H964" si="14">+F901*G901</f>
        <v>9175.9028261922867</v>
      </c>
      <c r="I901" s="193" t="s">
        <v>536</v>
      </c>
    </row>
    <row r="902" spans="1:9" x14ac:dyDescent="0.25">
      <c r="A902" s="193" t="s">
        <v>220</v>
      </c>
      <c r="B902" s="193" t="s">
        <v>2063</v>
      </c>
      <c r="C902" s="193" t="s">
        <v>2150</v>
      </c>
      <c r="D902" s="193" t="s">
        <v>2056</v>
      </c>
      <c r="E902" s="193" t="s">
        <v>545</v>
      </c>
      <c r="F902" s="198">
        <v>114</v>
      </c>
      <c r="G902" s="194">
        <v>86.56512100181402</v>
      </c>
      <c r="H902" s="195">
        <f t="shared" si="14"/>
        <v>9868.4237942067975</v>
      </c>
      <c r="I902" s="193" t="s">
        <v>536</v>
      </c>
    </row>
    <row r="903" spans="1:9" x14ac:dyDescent="0.25">
      <c r="A903" s="193" t="s">
        <v>220</v>
      </c>
      <c r="B903" s="193" t="s">
        <v>2063</v>
      </c>
      <c r="C903" s="193" t="s">
        <v>2151</v>
      </c>
      <c r="D903" s="193" t="s">
        <v>2058</v>
      </c>
      <c r="E903" s="193" t="s">
        <v>545</v>
      </c>
      <c r="F903" s="196">
        <v>101</v>
      </c>
      <c r="G903" s="194">
        <v>108.50455003875163</v>
      </c>
      <c r="H903" s="195">
        <f t="shared" si="14"/>
        <v>10958.959553913915</v>
      </c>
      <c r="I903" s="193" t="s">
        <v>536</v>
      </c>
    </row>
    <row r="904" spans="1:9" x14ac:dyDescent="0.25">
      <c r="A904" s="193" t="s">
        <v>220</v>
      </c>
      <c r="B904" s="193" t="s">
        <v>2063</v>
      </c>
      <c r="C904" s="193" t="s">
        <v>2151</v>
      </c>
      <c r="D904" s="193" t="s">
        <v>2060</v>
      </c>
      <c r="E904" s="193" t="s">
        <v>545</v>
      </c>
      <c r="F904" s="196">
        <v>97</v>
      </c>
      <c r="G904" s="194">
        <v>108.50455003875163</v>
      </c>
      <c r="H904" s="195">
        <f t="shared" si="14"/>
        <v>10524.941353758908</v>
      </c>
      <c r="I904" s="193" t="s">
        <v>536</v>
      </c>
    </row>
    <row r="905" spans="1:9" x14ac:dyDescent="0.25">
      <c r="A905" s="193" t="s">
        <v>220</v>
      </c>
      <c r="B905" s="193" t="s">
        <v>2152</v>
      </c>
      <c r="C905" s="204" t="s">
        <v>827</v>
      </c>
      <c r="D905" s="193" t="s">
        <v>828</v>
      </c>
      <c r="E905" s="193" t="s">
        <v>545</v>
      </c>
      <c r="F905" s="196">
        <v>283</v>
      </c>
      <c r="G905" s="194">
        <v>7.9457692462815741</v>
      </c>
      <c r="H905" s="195">
        <f t="shared" si="14"/>
        <v>2248.6526966976853</v>
      </c>
      <c r="I905" s="193" t="s">
        <v>541</v>
      </c>
    </row>
    <row r="906" spans="1:9" x14ac:dyDescent="0.25">
      <c r="A906" s="193" t="s">
        <v>220</v>
      </c>
      <c r="B906" s="193" t="s">
        <v>2152</v>
      </c>
      <c r="C906" s="204" t="s">
        <v>851</v>
      </c>
      <c r="D906" s="193" t="s">
        <v>852</v>
      </c>
      <c r="E906" s="193" t="s">
        <v>545</v>
      </c>
      <c r="F906" s="196">
        <v>216</v>
      </c>
      <c r="G906" s="194">
        <v>5.4782695444978593</v>
      </c>
      <c r="H906" s="195">
        <f t="shared" si="14"/>
        <v>1183.3062216115377</v>
      </c>
      <c r="I906" s="193" t="s">
        <v>541</v>
      </c>
    </row>
    <row r="907" spans="1:9" x14ac:dyDescent="0.25">
      <c r="A907" s="193" t="s">
        <v>220</v>
      </c>
      <c r="B907" s="193" t="s">
        <v>2152</v>
      </c>
      <c r="C907" s="204" t="s">
        <v>857</v>
      </c>
      <c r="D907" s="193" t="s">
        <v>858</v>
      </c>
      <c r="E907" s="193" t="s">
        <v>545</v>
      </c>
      <c r="F907" s="196">
        <v>123</v>
      </c>
      <c r="G907" s="194">
        <v>5.9468506015183964</v>
      </c>
      <c r="H907" s="195">
        <f t="shared" si="14"/>
        <v>731.46262398676276</v>
      </c>
      <c r="I907" s="193" t="s">
        <v>541</v>
      </c>
    </row>
    <row r="908" spans="1:9" x14ac:dyDescent="0.25">
      <c r="A908" s="193" t="s">
        <v>220</v>
      </c>
      <c r="B908" s="193" t="s">
        <v>2152</v>
      </c>
      <c r="C908" s="204" t="s">
        <v>2153</v>
      </c>
      <c r="D908" s="193" t="s">
        <v>2154</v>
      </c>
      <c r="E908" s="193" t="s">
        <v>545</v>
      </c>
      <c r="F908" s="196">
        <v>211</v>
      </c>
      <c r="G908" s="194">
        <v>9.7258153946003176</v>
      </c>
      <c r="H908" s="195">
        <f t="shared" si="14"/>
        <v>2052.1470482606669</v>
      </c>
      <c r="I908" s="193" t="s">
        <v>541</v>
      </c>
    </row>
    <row r="909" spans="1:9" x14ac:dyDescent="0.25">
      <c r="A909" s="193" t="s">
        <v>220</v>
      </c>
      <c r="B909" s="193" t="s">
        <v>2152</v>
      </c>
      <c r="C909" s="204" t="s">
        <v>876</v>
      </c>
      <c r="D909" s="193" t="s">
        <v>877</v>
      </c>
      <c r="E909" s="193" t="s">
        <v>545</v>
      </c>
      <c r="F909" s="196">
        <v>103</v>
      </c>
      <c r="G909" s="194">
        <v>8.053227749015468</v>
      </c>
      <c r="H909" s="195">
        <f t="shared" si="14"/>
        <v>829.4824581485932</v>
      </c>
      <c r="I909" s="193" t="s">
        <v>541</v>
      </c>
    </row>
    <row r="910" spans="1:9" x14ac:dyDescent="0.25">
      <c r="A910" s="193" t="s">
        <v>220</v>
      </c>
      <c r="B910" s="193" t="s">
        <v>2152</v>
      </c>
      <c r="C910" s="204" t="s">
        <v>894</v>
      </c>
      <c r="D910" s="193" t="s">
        <v>895</v>
      </c>
      <c r="E910" s="193" t="s">
        <v>545</v>
      </c>
      <c r="F910" s="196">
        <v>19</v>
      </c>
      <c r="G910" s="194">
        <v>23.127588104431553</v>
      </c>
      <c r="H910" s="195">
        <f t="shared" si="14"/>
        <v>439.42417398419951</v>
      </c>
      <c r="I910" s="193" t="s">
        <v>541</v>
      </c>
    </row>
    <row r="911" spans="1:9" x14ac:dyDescent="0.25">
      <c r="A911" s="193" t="s">
        <v>220</v>
      </c>
      <c r="B911" s="193" t="s">
        <v>2152</v>
      </c>
      <c r="C911" s="204" t="s">
        <v>2155</v>
      </c>
      <c r="D911" s="193" t="s">
        <v>2156</v>
      </c>
      <c r="E911" s="193" t="s">
        <v>545</v>
      </c>
      <c r="F911" s="196">
        <v>736</v>
      </c>
      <c r="G911" s="194">
        <v>7.5318441523671078</v>
      </c>
      <c r="H911" s="195">
        <f t="shared" si="14"/>
        <v>5543.4372961421914</v>
      </c>
      <c r="I911" s="193" t="s">
        <v>541</v>
      </c>
    </row>
    <row r="912" spans="1:9" x14ac:dyDescent="0.25">
      <c r="A912" s="193" t="s">
        <v>220</v>
      </c>
      <c r="B912" s="193" t="s">
        <v>2152</v>
      </c>
      <c r="C912" s="204" t="s">
        <v>909</v>
      </c>
      <c r="D912" s="193" t="s">
        <v>2157</v>
      </c>
      <c r="E912" s="193" t="s">
        <v>545</v>
      </c>
      <c r="F912" s="196">
        <v>360</v>
      </c>
      <c r="G912" s="194">
        <v>5.2865873581565594</v>
      </c>
      <c r="H912" s="195">
        <f t="shared" si="14"/>
        <v>1903.1714489363615</v>
      </c>
      <c r="I912" s="193" t="s">
        <v>541</v>
      </c>
    </row>
    <row r="913" spans="1:9" x14ac:dyDescent="0.25">
      <c r="A913" s="193" t="s">
        <v>220</v>
      </c>
      <c r="B913" s="193" t="s">
        <v>2152</v>
      </c>
      <c r="C913" s="204" t="s">
        <v>911</v>
      </c>
      <c r="D913" s="193" t="s">
        <v>2158</v>
      </c>
      <c r="E913" s="193" t="s">
        <v>545</v>
      </c>
      <c r="F913" s="196">
        <v>770</v>
      </c>
      <c r="G913" s="194">
        <v>5.6790230360969103</v>
      </c>
      <c r="H913" s="195">
        <f t="shared" si="14"/>
        <v>4372.847737794621</v>
      </c>
      <c r="I913" s="193" t="s">
        <v>541</v>
      </c>
    </row>
    <row r="914" spans="1:9" x14ac:dyDescent="0.25">
      <c r="A914" s="193" t="s">
        <v>220</v>
      </c>
      <c r="B914" s="193" t="s">
        <v>2152</v>
      </c>
      <c r="C914" s="204" t="s">
        <v>913</v>
      </c>
      <c r="D914" s="193" t="s">
        <v>2159</v>
      </c>
      <c r="E914" s="193" t="s">
        <v>545</v>
      </c>
      <c r="F914" s="196">
        <v>1370</v>
      </c>
      <c r="G914" s="194">
        <v>5.854190761007608</v>
      </c>
      <c r="H914" s="195">
        <f t="shared" si="14"/>
        <v>8020.2413425804234</v>
      </c>
      <c r="I914" s="193" t="s">
        <v>541</v>
      </c>
    </row>
    <row r="915" spans="1:9" x14ac:dyDescent="0.25">
      <c r="A915" s="193" t="s">
        <v>220</v>
      </c>
      <c r="B915" s="193" t="s">
        <v>2152</v>
      </c>
      <c r="C915" s="204" t="s">
        <v>937</v>
      </c>
      <c r="D915" s="193" t="s">
        <v>2160</v>
      </c>
      <c r="E915" s="193" t="s">
        <v>545</v>
      </c>
      <c r="F915" s="196">
        <v>1908</v>
      </c>
      <c r="G915" s="194">
        <v>4.0436779169907302</v>
      </c>
      <c r="H915" s="195">
        <f t="shared" si="14"/>
        <v>7715.3374656183132</v>
      </c>
      <c r="I915" s="193" t="s">
        <v>541</v>
      </c>
    </row>
    <row r="916" spans="1:9" x14ac:dyDescent="0.25">
      <c r="A916" s="193" t="s">
        <v>220</v>
      </c>
      <c r="B916" s="193" t="s">
        <v>2152</v>
      </c>
      <c r="C916" s="204" t="s">
        <v>957</v>
      </c>
      <c r="D916" s="193" t="s">
        <v>958</v>
      </c>
      <c r="E916" s="193" t="s">
        <v>545</v>
      </c>
      <c r="F916" s="196">
        <v>650</v>
      </c>
      <c r="G916" s="194">
        <v>4.3222877881831794</v>
      </c>
      <c r="H916" s="195">
        <f t="shared" si="14"/>
        <v>2809.4870623190668</v>
      </c>
      <c r="I916" s="193" t="s">
        <v>541</v>
      </c>
    </row>
    <row r="917" spans="1:9" x14ac:dyDescent="0.25">
      <c r="A917" s="193" t="s">
        <v>220</v>
      </c>
      <c r="B917" s="193" t="s">
        <v>2152</v>
      </c>
      <c r="C917" s="204" t="s">
        <v>959</v>
      </c>
      <c r="D917" s="193" t="s">
        <v>2161</v>
      </c>
      <c r="E917" s="193" t="s">
        <v>545</v>
      </c>
      <c r="F917" s="196">
        <v>3941</v>
      </c>
      <c r="G917" s="194">
        <v>4.3236851050961489</v>
      </c>
      <c r="H917" s="195">
        <f t="shared" si="14"/>
        <v>17039.642999183921</v>
      </c>
      <c r="I917" s="193" t="s">
        <v>541</v>
      </c>
    </row>
    <row r="918" spans="1:9" x14ac:dyDescent="0.25">
      <c r="A918" s="193" t="s">
        <v>220</v>
      </c>
      <c r="B918" s="193" t="s">
        <v>2152</v>
      </c>
      <c r="C918" s="204" t="s">
        <v>971</v>
      </c>
      <c r="D918" s="193" t="s">
        <v>2162</v>
      </c>
      <c r="E918" s="193" t="s">
        <v>545</v>
      </c>
      <c r="F918" s="196">
        <v>2199</v>
      </c>
      <c r="G918" s="194">
        <v>5.1094136548213882</v>
      </c>
      <c r="H918" s="195">
        <f t="shared" si="14"/>
        <v>11235.600626952233</v>
      </c>
      <c r="I918" s="193" t="s">
        <v>541</v>
      </c>
    </row>
    <row r="919" spans="1:9" x14ac:dyDescent="0.25">
      <c r="A919" s="193" t="s">
        <v>220</v>
      </c>
      <c r="B919" s="193" t="s">
        <v>2152</v>
      </c>
      <c r="C919" s="204" t="s">
        <v>985</v>
      </c>
      <c r="D919" s="193" t="s">
        <v>2163</v>
      </c>
      <c r="E919" s="193" t="s">
        <v>545</v>
      </c>
      <c r="F919" s="196">
        <v>5808</v>
      </c>
      <c r="G919" s="194">
        <v>5.2384684435120272</v>
      </c>
      <c r="H919" s="195">
        <f t="shared" si="14"/>
        <v>30425.024719917856</v>
      </c>
      <c r="I919" s="193" t="s">
        <v>541</v>
      </c>
    </row>
    <row r="920" spans="1:9" x14ac:dyDescent="0.25">
      <c r="A920" s="193" t="s">
        <v>220</v>
      </c>
      <c r="B920" s="193" t="s">
        <v>2152</v>
      </c>
      <c r="C920" s="204" t="s">
        <v>1007</v>
      </c>
      <c r="D920" s="193" t="s">
        <v>2164</v>
      </c>
      <c r="E920" s="193" t="s">
        <v>545</v>
      </c>
      <c r="F920" s="196">
        <v>306</v>
      </c>
      <c r="G920" s="194">
        <v>7.0411855665611025</v>
      </c>
      <c r="H920" s="195">
        <f t="shared" si="14"/>
        <v>2154.6027833676972</v>
      </c>
      <c r="I920" s="193" t="s">
        <v>541</v>
      </c>
    </row>
    <row r="921" spans="1:9" x14ac:dyDescent="0.25">
      <c r="A921" s="193" t="s">
        <v>220</v>
      </c>
      <c r="B921" s="193" t="s">
        <v>2152</v>
      </c>
      <c r="C921" s="204" t="s">
        <v>1009</v>
      </c>
      <c r="D921" s="193" t="s">
        <v>2165</v>
      </c>
      <c r="E921" s="193" t="s">
        <v>545</v>
      </c>
      <c r="F921" s="196">
        <v>105</v>
      </c>
      <c r="G921" s="194">
        <v>7.1245275922579561</v>
      </c>
      <c r="H921" s="195">
        <f t="shared" si="14"/>
        <v>748.0753971870854</v>
      </c>
      <c r="I921" s="193" t="s">
        <v>541</v>
      </c>
    </row>
    <row r="922" spans="1:9" x14ac:dyDescent="0.25">
      <c r="A922" s="193" t="s">
        <v>220</v>
      </c>
      <c r="B922" s="193" t="s">
        <v>2152</v>
      </c>
      <c r="C922" s="204" t="s">
        <v>2166</v>
      </c>
      <c r="D922" s="193" t="s">
        <v>2167</v>
      </c>
      <c r="E922" s="193" t="s">
        <v>545</v>
      </c>
      <c r="F922" s="196">
        <v>1164</v>
      </c>
      <c r="G922" s="194">
        <v>7.6764845528992485</v>
      </c>
      <c r="H922" s="195">
        <f t="shared" si="14"/>
        <v>8935.4280195747251</v>
      </c>
      <c r="I922" s="193" t="s">
        <v>541</v>
      </c>
    </row>
    <row r="923" spans="1:9" x14ac:dyDescent="0.25">
      <c r="A923" s="193" t="s">
        <v>220</v>
      </c>
      <c r="B923" s="193" t="s">
        <v>2152</v>
      </c>
      <c r="C923" s="204" t="s">
        <v>2168</v>
      </c>
      <c r="D923" s="193" t="s">
        <v>2169</v>
      </c>
      <c r="E923" s="193" t="s">
        <v>545</v>
      </c>
      <c r="F923" s="196">
        <v>455</v>
      </c>
      <c r="G923" s="194">
        <v>7.560044501699501</v>
      </c>
      <c r="H923" s="195">
        <f t="shared" si="14"/>
        <v>3439.8202482732731</v>
      </c>
      <c r="I923" s="193" t="s">
        <v>541</v>
      </c>
    </row>
    <row r="924" spans="1:9" x14ac:dyDescent="0.25">
      <c r="A924" s="193" t="s">
        <v>220</v>
      </c>
      <c r="B924" s="193" t="s">
        <v>2152</v>
      </c>
      <c r="C924" s="204" t="s">
        <v>1146</v>
      </c>
      <c r="D924" s="193" t="s">
        <v>2170</v>
      </c>
      <c r="E924" s="193" t="s">
        <v>545</v>
      </c>
      <c r="F924" s="196">
        <v>1400</v>
      </c>
      <c r="G924" s="194">
        <v>0.04</v>
      </c>
      <c r="H924" s="195">
        <f t="shared" si="14"/>
        <v>56</v>
      </c>
      <c r="I924" s="193" t="s">
        <v>541</v>
      </c>
    </row>
    <row r="925" spans="1:9" x14ac:dyDescent="0.25">
      <c r="A925" s="193" t="s">
        <v>220</v>
      </c>
      <c r="B925" s="193" t="s">
        <v>2152</v>
      </c>
      <c r="C925" s="204" t="s">
        <v>2171</v>
      </c>
      <c r="D925" s="193" t="s">
        <v>2172</v>
      </c>
      <c r="E925" s="193" t="s">
        <v>545</v>
      </c>
      <c r="F925" s="196">
        <v>2670</v>
      </c>
      <c r="G925" s="194">
        <v>0.27994328621908127</v>
      </c>
      <c r="H925" s="195">
        <f t="shared" si="14"/>
        <v>747.44857420494702</v>
      </c>
      <c r="I925" s="193" t="s">
        <v>541</v>
      </c>
    </row>
    <row r="926" spans="1:9" x14ac:dyDescent="0.25">
      <c r="A926" s="193" t="s">
        <v>220</v>
      </c>
      <c r="B926" s="193" t="s">
        <v>2152</v>
      </c>
      <c r="C926" s="204" t="s">
        <v>2173</v>
      </c>
      <c r="D926" s="193" t="s">
        <v>2174</v>
      </c>
      <c r="E926" s="193" t="s">
        <v>545</v>
      </c>
      <c r="F926" s="196">
        <v>1500</v>
      </c>
      <c r="G926" s="194">
        <v>0.21687358490566039</v>
      </c>
      <c r="H926" s="195">
        <f t="shared" si="14"/>
        <v>325.3103773584906</v>
      </c>
      <c r="I926" s="193" t="s">
        <v>541</v>
      </c>
    </row>
    <row r="927" spans="1:9" x14ac:dyDescent="0.25">
      <c r="A927" s="193" t="s">
        <v>220</v>
      </c>
      <c r="B927" s="193" t="s">
        <v>2152</v>
      </c>
      <c r="C927" s="204" t="s">
        <v>2175</v>
      </c>
      <c r="D927" s="193" t="s">
        <v>2176</v>
      </c>
      <c r="E927" s="193" t="s">
        <v>545</v>
      </c>
      <c r="F927" s="196">
        <v>400</v>
      </c>
      <c r="G927" s="194">
        <v>0.13</v>
      </c>
      <c r="H927" s="195">
        <f t="shared" si="14"/>
        <v>52</v>
      </c>
      <c r="I927" s="193" t="s">
        <v>541</v>
      </c>
    </row>
    <row r="928" spans="1:9" x14ac:dyDescent="0.25">
      <c r="A928" s="193" t="s">
        <v>220</v>
      </c>
      <c r="B928" s="193" t="s">
        <v>2152</v>
      </c>
      <c r="C928" s="204" t="s">
        <v>2177</v>
      </c>
      <c r="D928" s="193" t="s">
        <v>2178</v>
      </c>
      <c r="E928" s="193" t="s">
        <v>545</v>
      </c>
      <c r="F928" s="196">
        <v>150</v>
      </c>
      <c r="G928" s="194">
        <v>2.9794999999999998</v>
      </c>
      <c r="H928" s="195">
        <f t="shared" si="14"/>
        <v>446.92499999999995</v>
      </c>
      <c r="I928" s="193" t="s">
        <v>541</v>
      </c>
    </row>
    <row r="929" spans="1:9" x14ac:dyDescent="0.25">
      <c r="A929" s="193" t="s">
        <v>220</v>
      </c>
      <c r="B929" s="193" t="s">
        <v>2152</v>
      </c>
      <c r="C929" s="204" t="s">
        <v>2179</v>
      </c>
      <c r="D929" s="193" t="s">
        <v>2180</v>
      </c>
      <c r="E929" s="193" t="s">
        <v>545</v>
      </c>
      <c r="F929" s="196">
        <v>1500</v>
      </c>
      <c r="G929" s="194">
        <v>0.25755</v>
      </c>
      <c r="H929" s="195">
        <f t="shared" si="14"/>
        <v>386.32499999999999</v>
      </c>
      <c r="I929" s="193" t="s">
        <v>541</v>
      </c>
    </row>
    <row r="930" spans="1:9" x14ac:dyDescent="0.25">
      <c r="A930" s="193" t="s">
        <v>220</v>
      </c>
      <c r="B930" s="193" t="s">
        <v>2152</v>
      </c>
      <c r="C930" s="204" t="s">
        <v>2181</v>
      </c>
      <c r="D930" s="193" t="s">
        <v>2182</v>
      </c>
      <c r="E930" s="193" t="s">
        <v>545</v>
      </c>
      <c r="F930" s="196">
        <v>1500</v>
      </c>
      <c r="G930" s="194">
        <v>0.31655998148353298</v>
      </c>
      <c r="H930" s="195">
        <f t="shared" si="14"/>
        <v>474.83997222529945</v>
      </c>
      <c r="I930" s="193" t="s">
        <v>541</v>
      </c>
    </row>
    <row r="931" spans="1:9" x14ac:dyDescent="0.25">
      <c r="A931" s="193" t="s">
        <v>220</v>
      </c>
      <c r="B931" s="193" t="s">
        <v>2152</v>
      </c>
      <c r="C931" s="204" t="s">
        <v>2183</v>
      </c>
      <c r="D931" s="193" t="s">
        <v>2184</v>
      </c>
      <c r="E931" s="193" t="s">
        <v>545</v>
      </c>
      <c r="F931" s="196">
        <v>1000</v>
      </c>
      <c r="G931" s="194">
        <v>0.24745</v>
      </c>
      <c r="H931" s="195">
        <f t="shared" si="14"/>
        <v>247.45000000000002</v>
      </c>
      <c r="I931" s="193" t="s">
        <v>541</v>
      </c>
    </row>
    <row r="932" spans="1:9" x14ac:dyDescent="0.25">
      <c r="A932" s="193" t="s">
        <v>220</v>
      </c>
      <c r="B932" s="193" t="s">
        <v>2152</v>
      </c>
      <c r="C932" s="204" t="s">
        <v>2185</v>
      </c>
      <c r="D932" s="193" t="s">
        <v>2186</v>
      </c>
      <c r="E932" s="193" t="s">
        <v>545</v>
      </c>
      <c r="F932" s="196">
        <v>1000</v>
      </c>
      <c r="G932" s="194">
        <v>0.38031635542247016</v>
      </c>
      <c r="H932" s="195">
        <f t="shared" si="14"/>
        <v>380.31635542247017</v>
      </c>
      <c r="I932" s="193" t="s">
        <v>541</v>
      </c>
    </row>
    <row r="933" spans="1:9" x14ac:dyDescent="0.25">
      <c r="A933" s="193" t="s">
        <v>220</v>
      </c>
      <c r="B933" s="193" t="s">
        <v>2152</v>
      </c>
      <c r="C933" s="204" t="s">
        <v>2187</v>
      </c>
      <c r="D933" s="193" t="s">
        <v>2188</v>
      </c>
      <c r="E933" s="193" t="s">
        <v>545</v>
      </c>
      <c r="F933" s="196">
        <v>2500</v>
      </c>
      <c r="G933" s="194">
        <v>0.34593227430373091</v>
      </c>
      <c r="H933" s="195">
        <f t="shared" si="14"/>
        <v>864.83068575932725</v>
      </c>
      <c r="I933" s="193" t="s">
        <v>541</v>
      </c>
    </row>
    <row r="934" spans="1:9" x14ac:dyDescent="0.25">
      <c r="A934" s="193" t="s">
        <v>220</v>
      </c>
      <c r="B934" s="193" t="s">
        <v>2152</v>
      </c>
      <c r="C934" s="204" t="s">
        <v>2189</v>
      </c>
      <c r="D934" s="193" t="s">
        <v>2190</v>
      </c>
      <c r="E934" s="193" t="s">
        <v>545</v>
      </c>
      <c r="F934" s="196">
        <v>3000</v>
      </c>
      <c r="G934" s="194">
        <v>0.52613787528868361</v>
      </c>
      <c r="H934" s="195">
        <f t="shared" si="14"/>
        <v>1578.4136258660508</v>
      </c>
      <c r="I934" s="193" t="s">
        <v>541</v>
      </c>
    </row>
    <row r="935" spans="1:9" x14ac:dyDescent="0.25">
      <c r="A935" s="193" t="s">
        <v>220</v>
      </c>
      <c r="B935" s="193" t="s">
        <v>2152</v>
      </c>
      <c r="C935" s="204" t="s">
        <v>2191</v>
      </c>
      <c r="D935" s="193" t="s">
        <v>2192</v>
      </c>
      <c r="E935" s="193" t="s">
        <v>545</v>
      </c>
      <c r="F935" s="196">
        <v>2000</v>
      </c>
      <c r="G935" s="194">
        <v>0.25755</v>
      </c>
      <c r="H935" s="195">
        <f t="shared" si="14"/>
        <v>515.1</v>
      </c>
      <c r="I935" s="193" t="s">
        <v>541</v>
      </c>
    </row>
    <row r="936" spans="1:9" x14ac:dyDescent="0.25">
      <c r="A936" s="193" t="s">
        <v>220</v>
      </c>
      <c r="B936" s="193" t="s">
        <v>2152</v>
      </c>
      <c r="C936" s="204" t="s">
        <v>2193</v>
      </c>
      <c r="D936" s="193" t="s">
        <v>2194</v>
      </c>
      <c r="E936" s="193" t="s">
        <v>545</v>
      </c>
      <c r="F936" s="196">
        <v>3000</v>
      </c>
      <c r="G936" s="194">
        <v>0.23520000000000002</v>
      </c>
      <c r="H936" s="195">
        <f t="shared" si="14"/>
        <v>705.6</v>
      </c>
      <c r="I936" s="193" t="s">
        <v>541</v>
      </c>
    </row>
    <row r="937" spans="1:9" x14ac:dyDescent="0.25">
      <c r="A937" s="193" t="s">
        <v>220</v>
      </c>
      <c r="B937" s="193" t="s">
        <v>2152</v>
      </c>
      <c r="C937" s="204" t="s">
        <v>2195</v>
      </c>
      <c r="D937" s="193" t="s">
        <v>2196</v>
      </c>
      <c r="E937" s="193" t="s">
        <v>545</v>
      </c>
      <c r="F937" s="196">
        <v>500</v>
      </c>
      <c r="G937" s="194">
        <v>0.24</v>
      </c>
      <c r="H937" s="195">
        <f t="shared" si="14"/>
        <v>120</v>
      </c>
      <c r="I937" s="193" t="s">
        <v>541</v>
      </c>
    </row>
    <row r="938" spans="1:9" x14ac:dyDescent="0.25">
      <c r="A938" s="193" t="s">
        <v>220</v>
      </c>
      <c r="B938" s="193" t="s">
        <v>2152</v>
      </c>
      <c r="C938" s="204" t="s">
        <v>2197</v>
      </c>
      <c r="D938" s="193" t="s">
        <v>2198</v>
      </c>
      <c r="E938" s="193" t="s">
        <v>545</v>
      </c>
      <c r="F938" s="196">
        <v>3100</v>
      </c>
      <c r="G938" s="194">
        <v>0.27929999999999999</v>
      </c>
      <c r="H938" s="195">
        <f t="shared" si="14"/>
        <v>865.82999999999993</v>
      </c>
      <c r="I938" s="193" t="s">
        <v>541</v>
      </c>
    </row>
    <row r="939" spans="1:9" x14ac:dyDescent="0.25">
      <c r="A939" s="193" t="s">
        <v>220</v>
      </c>
      <c r="B939" s="193" t="s">
        <v>2152</v>
      </c>
      <c r="C939" s="204" t="s">
        <v>1306</v>
      </c>
      <c r="D939" s="193" t="s">
        <v>1307</v>
      </c>
      <c r="E939" s="193" t="s">
        <v>545</v>
      </c>
      <c r="F939" s="196">
        <v>1500</v>
      </c>
      <c r="G939" s="194">
        <v>0.30528988899645421</v>
      </c>
      <c r="H939" s="195">
        <f t="shared" si="14"/>
        <v>457.9348334946813</v>
      </c>
      <c r="I939" s="193" t="s">
        <v>541</v>
      </c>
    </row>
    <row r="940" spans="1:9" x14ac:dyDescent="0.25">
      <c r="A940" s="193" t="s">
        <v>220</v>
      </c>
      <c r="B940" s="193" t="s">
        <v>2152</v>
      </c>
      <c r="C940" s="204" t="s">
        <v>1308</v>
      </c>
      <c r="D940" s="193" t="s">
        <v>1309</v>
      </c>
      <c r="E940" s="193" t="s">
        <v>545</v>
      </c>
      <c r="F940" s="196">
        <v>2500</v>
      </c>
      <c r="G940" s="194">
        <v>0.54727052307402646</v>
      </c>
      <c r="H940" s="195">
        <f t="shared" si="14"/>
        <v>1368.1763076850661</v>
      </c>
      <c r="I940" s="193" t="s">
        <v>541</v>
      </c>
    </row>
    <row r="941" spans="1:9" x14ac:dyDescent="0.25">
      <c r="A941" s="193" t="s">
        <v>220</v>
      </c>
      <c r="B941" s="193" t="s">
        <v>2152</v>
      </c>
      <c r="C941" s="204" t="s">
        <v>2199</v>
      </c>
      <c r="D941" s="193" t="s">
        <v>2200</v>
      </c>
      <c r="E941" s="193" t="s">
        <v>545</v>
      </c>
      <c r="F941" s="196">
        <v>4512</v>
      </c>
      <c r="G941" s="194">
        <v>0.5179883361683012</v>
      </c>
      <c r="H941" s="195">
        <f t="shared" si="14"/>
        <v>2337.163372791375</v>
      </c>
      <c r="I941" s="193" t="s">
        <v>541</v>
      </c>
    </row>
    <row r="942" spans="1:9" x14ac:dyDescent="0.25">
      <c r="A942" s="193" t="s">
        <v>220</v>
      </c>
      <c r="B942" s="193" t="s">
        <v>2152</v>
      </c>
      <c r="C942" s="204" t="s">
        <v>1310</v>
      </c>
      <c r="D942" s="193" t="s">
        <v>1311</v>
      </c>
      <c r="E942" s="193" t="s">
        <v>545</v>
      </c>
      <c r="F942" s="196">
        <v>400</v>
      </c>
      <c r="G942" s="194">
        <v>1.3230641258607909</v>
      </c>
      <c r="H942" s="195">
        <f t="shared" si="14"/>
        <v>529.22565034431636</v>
      </c>
      <c r="I942" s="193" t="s">
        <v>541</v>
      </c>
    </row>
    <row r="943" spans="1:9" x14ac:dyDescent="0.25">
      <c r="A943" s="193" t="s">
        <v>220</v>
      </c>
      <c r="B943" s="193" t="s">
        <v>2152</v>
      </c>
      <c r="C943" s="204" t="s">
        <v>2201</v>
      </c>
      <c r="D943" s="193" t="s">
        <v>2202</v>
      </c>
      <c r="E943" s="193" t="s">
        <v>545</v>
      </c>
      <c r="F943" s="196">
        <v>1700</v>
      </c>
      <c r="G943" s="194">
        <v>0.5252</v>
      </c>
      <c r="H943" s="195">
        <f t="shared" si="14"/>
        <v>892.84</v>
      </c>
      <c r="I943" s="193" t="s">
        <v>541</v>
      </c>
    </row>
    <row r="944" spans="1:9" x14ac:dyDescent="0.25">
      <c r="A944" s="193" t="s">
        <v>220</v>
      </c>
      <c r="B944" s="193" t="s">
        <v>2152</v>
      </c>
      <c r="C944" s="204" t="s">
        <v>2203</v>
      </c>
      <c r="D944" s="193" t="s">
        <v>2204</v>
      </c>
      <c r="E944" s="193" t="s">
        <v>545</v>
      </c>
      <c r="F944" s="196">
        <v>2922</v>
      </c>
      <c r="G944" s="194">
        <v>0.43394054054054054</v>
      </c>
      <c r="H944" s="195">
        <f t="shared" si="14"/>
        <v>1267.9742594594595</v>
      </c>
      <c r="I944" s="193" t="s">
        <v>541</v>
      </c>
    </row>
    <row r="945" spans="1:9" x14ac:dyDescent="0.25">
      <c r="A945" s="193" t="s">
        <v>220</v>
      </c>
      <c r="B945" s="193" t="s">
        <v>2152</v>
      </c>
      <c r="C945" s="204" t="s">
        <v>2205</v>
      </c>
      <c r="D945" s="193" t="s">
        <v>2206</v>
      </c>
      <c r="E945" s="193" t="s">
        <v>545</v>
      </c>
      <c r="F945" s="196">
        <v>500</v>
      </c>
      <c r="G945" s="194">
        <v>0.30804999999999999</v>
      </c>
      <c r="H945" s="195">
        <f t="shared" si="14"/>
        <v>154.02500000000001</v>
      </c>
      <c r="I945" s="193" t="s">
        <v>541</v>
      </c>
    </row>
    <row r="946" spans="1:9" x14ac:dyDescent="0.25">
      <c r="A946" s="193" t="s">
        <v>220</v>
      </c>
      <c r="B946" s="193" t="s">
        <v>2152</v>
      </c>
      <c r="C946" s="204" t="s">
        <v>2207</v>
      </c>
      <c r="D946" s="193" t="s">
        <v>2208</v>
      </c>
      <c r="E946" s="193" t="s">
        <v>545</v>
      </c>
      <c r="F946" s="196">
        <v>1000</v>
      </c>
      <c r="G946" s="194">
        <v>0.38887059473350172</v>
      </c>
      <c r="H946" s="195">
        <f t="shared" si="14"/>
        <v>388.87059473350172</v>
      </c>
      <c r="I946" s="193" t="s">
        <v>541</v>
      </c>
    </row>
    <row r="947" spans="1:9" x14ac:dyDescent="0.25">
      <c r="A947" s="193" t="s">
        <v>220</v>
      </c>
      <c r="B947" s="193" t="s">
        <v>2152</v>
      </c>
      <c r="C947" s="204" t="s">
        <v>2209</v>
      </c>
      <c r="D947" s="193" t="s">
        <v>2210</v>
      </c>
      <c r="E947" s="193" t="s">
        <v>545</v>
      </c>
      <c r="F947" s="196">
        <v>1500</v>
      </c>
      <c r="G947" s="194">
        <v>0.27777639182522906</v>
      </c>
      <c r="H947" s="195">
        <f t="shared" si="14"/>
        <v>416.66458773784359</v>
      </c>
      <c r="I947" s="193" t="s">
        <v>541</v>
      </c>
    </row>
    <row r="948" spans="1:9" x14ac:dyDescent="0.25">
      <c r="A948" s="193" t="s">
        <v>220</v>
      </c>
      <c r="B948" s="193" t="s">
        <v>2152</v>
      </c>
      <c r="C948" s="204" t="s">
        <v>2211</v>
      </c>
      <c r="D948" s="193" t="s">
        <v>2212</v>
      </c>
      <c r="E948" s="193" t="s">
        <v>545</v>
      </c>
      <c r="F948" s="196">
        <v>2000</v>
      </c>
      <c r="G948" s="194">
        <v>0.5252</v>
      </c>
      <c r="H948" s="195">
        <f t="shared" si="14"/>
        <v>1050.4000000000001</v>
      </c>
      <c r="I948" s="193" t="s">
        <v>541</v>
      </c>
    </row>
    <row r="949" spans="1:9" x14ac:dyDescent="0.25">
      <c r="A949" s="193" t="s">
        <v>220</v>
      </c>
      <c r="B949" s="193" t="s">
        <v>2152</v>
      </c>
      <c r="C949" s="204" t="s">
        <v>2213</v>
      </c>
      <c r="D949" s="193" t="s">
        <v>2214</v>
      </c>
      <c r="E949" s="193" t="s">
        <v>545</v>
      </c>
      <c r="F949" s="196">
        <v>1000</v>
      </c>
      <c r="G949" s="194">
        <v>0.17728474576271186</v>
      </c>
      <c r="H949" s="195">
        <f t="shared" si="14"/>
        <v>177.28474576271185</v>
      </c>
      <c r="I949" s="193" t="s">
        <v>541</v>
      </c>
    </row>
    <row r="950" spans="1:9" x14ac:dyDescent="0.25">
      <c r="A950" s="193" t="s">
        <v>220</v>
      </c>
      <c r="B950" s="193" t="s">
        <v>2152</v>
      </c>
      <c r="C950" s="204" t="s">
        <v>2215</v>
      </c>
      <c r="D950" s="193" t="s">
        <v>2216</v>
      </c>
      <c r="E950" s="193" t="s">
        <v>545</v>
      </c>
      <c r="F950" s="196">
        <v>2600</v>
      </c>
      <c r="G950" s="194">
        <v>0.2643177602198557</v>
      </c>
      <c r="H950" s="195">
        <f t="shared" si="14"/>
        <v>687.22617657162482</v>
      </c>
      <c r="I950" s="193" t="s">
        <v>541</v>
      </c>
    </row>
    <row r="951" spans="1:9" x14ac:dyDescent="0.25">
      <c r="A951" s="193" t="s">
        <v>220</v>
      </c>
      <c r="B951" s="193" t="s">
        <v>2152</v>
      </c>
      <c r="C951" s="204" t="s">
        <v>2217</v>
      </c>
      <c r="D951" s="193" t="s">
        <v>2218</v>
      </c>
      <c r="E951" s="193" t="s">
        <v>545</v>
      </c>
      <c r="F951" s="196">
        <v>2000</v>
      </c>
      <c r="G951" s="194">
        <v>0.21210000000000001</v>
      </c>
      <c r="H951" s="195">
        <f t="shared" si="14"/>
        <v>424.20000000000005</v>
      </c>
      <c r="I951" s="193" t="s">
        <v>541</v>
      </c>
    </row>
    <row r="952" spans="1:9" x14ac:dyDescent="0.25">
      <c r="A952" s="193" t="s">
        <v>220</v>
      </c>
      <c r="B952" s="193" t="s">
        <v>2152</v>
      </c>
      <c r="C952" s="204" t="s">
        <v>2219</v>
      </c>
      <c r="D952" s="193" t="s">
        <v>2220</v>
      </c>
      <c r="E952" s="193" t="s">
        <v>545</v>
      </c>
      <c r="F952" s="196">
        <v>1100</v>
      </c>
      <c r="G952" s="194">
        <v>0.31303508531644125</v>
      </c>
      <c r="H952" s="195">
        <f t="shared" si="14"/>
        <v>344.3385938480854</v>
      </c>
      <c r="I952" s="193" t="s">
        <v>541</v>
      </c>
    </row>
    <row r="953" spans="1:9" x14ac:dyDescent="0.25">
      <c r="A953" s="193" t="s">
        <v>220</v>
      </c>
      <c r="B953" s="193" t="s">
        <v>2152</v>
      </c>
      <c r="C953" s="204" t="s">
        <v>2221</v>
      </c>
      <c r="D953" s="193" t="s">
        <v>2222</v>
      </c>
      <c r="E953" s="193" t="s">
        <v>545</v>
      </c>
      <c r="F953" s="196">
        <v>2100</v>
      </c>
      <c r="G953" s="194">
        <v>0.36359999999999998</v>
      </c>
      <c r="H953" s="195">
        <f t="shared" si="14"/>
        <v>763.56</v>
      </c>
      <c r="I953" s="193" t="s">
        <v>541</v>
      </c>
    </row>
    <row r="954" spans="1:9" x14ac:dyDescent="0.25">
      <c r="A954" s="193" t="s">
        <v>220</v>
      </c>
      <c r="B954" s="193" t="s">
        <v>2152</v>
      </c>
      <c r="C954" s="204" t="s">
        <v>2223</v>
      </c>
      <c r="D954" s="193" t="s">
        <v>2224</v>
      </c>
      <c r="E954" s="193" t="s">
        <v>545</v>
      </c>
      <c r="F954" s="196">
        <v>1000</v>
      </c>
      <c r="G954" s="194">
        <v>0.2727</v>
      </c>
      <c r="H954" s="195">
        <f t="shared" si="14"/>
        <v>272.7</v>
      </c>
      <c r="I954" s="193" t="s">
        <v>541</v>
      </c>
    </row>
    <row r="955" spans="1:9" x14ac:dyDescent="0.25">
      <c r="A955" s="193" t="s">
        <v>220</v>
      </c>
      <c r="B955" s="193" t="s">
        <v>2152</v>
      </c>
      <c r="C955" s="204" t="s">
        <v>2225</v>
      </c>
      <c r="D955" s="193" t="s">
        <v>2226</v>
      </c>
      <c r="E955" s="193" t="s">
        <v>545</v>
      </c>
      <c r="F955" s="196">
        <v>500</v>
      </c>
      <c r="G955" s="194">
        <v>0.30804999999999999</v>
      </c>
      <c r="H955" s="195">
        <f t="shared" si="14"/>
        <v>154.02500000000001</v>
      </c>
      <c r="I955" s="193" t="s">
        <v>541</v>
      </c>
    </row>
    <row r="956" spans="1:9" x14ac:dyDescent="0.25">
      <c r="A956" s="193" t="s">
        <v>220</v>
      </c>
      <c r="B956" s="193" t="s">
        <v>2152</v>
      </c>
      <c r="C956" s="204" t="s">
        <v>2227</v>
      </c>
      <c r="D956" s="193" t="s">
        <v>2228</v>
      </c>
      <c r="E956" s="193" t="s">
        <v>545</v>
      </c>
      <c r="F956" s="196">
        <v>1000</v>
      </c>
      <c r="G956" s="194">
        <v>0.60599999999999998</v>
      </c>
      <c r="H956" s="195">
        <f t="shared" si="14"/>
        <v>606</v>
      </c>
      <c r="I956" s="193" t="s">
        <v>541</v>
      </c>
    </row>
    <row r="957" spans="1:9" x14ac:dyDescent="0.25">
      <c r="A957" s="193" t="s">
        <v>220</v>
      </c>
      <c r="B957" s="193" t="s">
        <v>2152</v>
      </c>
      <c r="C957" s="204" t="s">
        <v>2229</v>
      </c>
      <c r="D957" s="193" t="s">
        <v>2230</v>
      </c>
      <c r="E957" s="193" t="s">
        <v>545</v>
      </c>
      <c r="F957" s="196">
        <v>2000</v>
      </c>
      <c r="G957" s="194">
        <v>0.23786557377049181</v>
      </c>
      <c r="H957" s="195">
        <f t="shared" si="14"/>
        <v>475.73114754098361</v>
      </c>
      <c r="I957" s="193" t="s">
        <v>541</v>
      </c>
    </row>
    <row r="958" spans="1:9" x14ac:dyDescent="0.25">
      <c r="A958" s="193" t="s">
        <v>220</v>
      </c>
      <c r="B958" s="193" t="s">
        <v>2152</v>
      </c>
      <c r="C958" s="204" t="s">
        <v>2231</v>
      </c>
      <c r="D958" s="193" t="s">
        <v>2232</v>
      </c>
      <c r="E958" s="193" t="s">
        <v>545</v>
      </c>
      <c r="F958" s="196">
        <v>2000</v>
      </c>
      <c r="G958" s="194">
        <v>0.29795000000000005</v>
      </c>
      <c r="H958" s="195">
        <f t="shared" si="14"/>
        <v>595.90000000000009</v>
      </c>
      <c r="I958" s="193" t="s">
        <v>541</v>
      </c>
    </row>
    <row r="959" spans="1:9" x14ac:dyDescent="0.25">
      <c r="A959" s="193" t="s">
        <v>220</v>
      </c>
      <c r="B959" s="193" t="s">
        <v>2152</v>
      </c>
      <c r="C959" s="204" t="s">
        <v>2233</v>
      </c>
      <c r="D959" s="193" t="s">
        <v>2234</v>
      </c>
      <c r="E959" s="193" t="s">
        <v>545</v>
      </c>
      <c r="F959" s="196">
        <v>4130</v>
      </c>
      <c r="G959" s="194">
        <v>0.36605889272446068</v>
      </c>
      <c r="H959" s="195">
        <f t="shared" si="14"/>
        <v>1511.8232269520227</v>
      </c>
      <c r="I959" s="193" t="s">
        <v>541</v>
      </c>
    </row>
    <row r="960" spans="1:9" x14ac:dyDescent="0.25">
      <c r="A960" s="193" t="s">
        <v>220</v>
      </c>
      <c r="B960" s="193" t="s">
        <v>2152</v>
      </c>
      <c r="C960" s="204" t="s">
        <v>1428</v>
      </c>
      <c r="D960" s="193" t="s">
        <v>1429</v>
      </c>
      <c r="E960" s="193" t="s">
        <v>545</v>
      </c>
      <c r="F960" s="196">
        <v>3000</v>
      </c>
      <c r="G960" s="194">
        <v>0.39777166666666669</v>
      </c>
      <c r="H960" s="195">
        <f t="shared" si="14"/>
        <v>1193.3150000000001</v>
      </c>
      <c r="I960" s="193" t="s">
        <v>541</v>
      </c>
    </row>
    <row r="961" spans="1:9" x14ac:dyDescent="0.25">
      <c r="A961" s="193" t="s">
        <v>220</v>
      </c>
      <c r="B961" s="193" t="s">
        <v>2152</v>
      </c>
      <c r="C961" s="204" t="s">
        <v>1430</v>
      </c>
      <c r="D961" s="193" t="s">
        <v>1431</v>
      </c>
      <c r="E961" s="193" t="s">
        <v>545</v>
      </c>
      <c r="F961" s="196">
        <v>5000</v>
      </c>
      <c r="G961" s="194">
        <v>0.35469657378740971</v>
      </c>
      <c r="H961" s="195">
        <f t="shared" si="14"/>
        <v>1773.4828689370486</v>
      </c>
      <c r="I961" s="193" t="s">
        <v>541</v>
      </c>
    </row>
    <row r="962" spans="1:9" x14ac:dyDescent="0.25">
      <c r="A962" s="193" t="s">
        <v>220</v>
      </c>
      <c r="B962" s="193" t="s">
        <v>2152</v>
      </c>
      <c r="C962" s="204" t="s">
        <v>1432</v>
      </c>
      <c r="D962" s="193" t="s">
        <v>1433</v>
      </c>
      <c r="E962" s="193" t="s">
        <v>545</v>
      </c>
      <c r="F962" s="196">
        <v>3050</v>
      </c>
      <c r="G962" s="194">
        <v>0.47470000000000007</v>
      </c>
      <c r="H962" s="195">
        <f t="shared" si="14"/>
        <v>1447.8350000000003</v>
      </c>
      <c r="I962" s="193" t="s">
        <v>541</v>
      </c>
    </row>
    <row r="963" spans="1:9" x14ac:dyDescent="0.25">
      <c r="A963" s="193" t="s">
        <v>220</v>
      </c>
      <c r="B963" s="193" t="s">
        <v>2152</v>
      </c>
      <c r="C963" s="204" t="s">
        <v>1434</v>
      </c>
      <c r="D963" s="193" t="s">
        <v>1435</v>
      </c>
      <c r="E963" s="193" t="s">
        <v>545</v>
      </c>
      <c r="F963" s="196">
        <v>3096</v>
      </c>
      <c r="G963" s="194">
        <v>0.48984999999999995</v>
      </c>
      <c r="H963" s="195">
        <f t="shared" si="14"/>
        <v>1516.5755999999999</v>
      </c>
      <c r="I963" s="193" t="s">
        <v>541</v>
      </c>
    </row>
    <row r="964" spans="1:9" x14ac:dyDescent="0.25">
      <c r="A964" s="193" t="s">
        <v>220</v>
      </c>
      <c r="B964" s="193" t="s">
        <v>2152</v>
      </c>
      <c r="C964" s="204" t="s">
        <v>2235</v>
      </c>
      <c r="D964" s="193" t="s">
        <v>1437</v>
      </c>
      <c r="E964" s="193" t="s">
        <v>545</v>
      </c>
      <c r="F964" s="196">
        <v>1000</v>
      </c>
      <c r="G964" s="194">
        <v>0.63629999999999998</v>
      </c>
      <c r="H964" s="195">
        <f t="shared" si="14"/>
        <v>636.29999999999995</v>
      </c>
      <c r="I964" s="193" t="s">
        <v>541</v>
      </c>
    </row>
    <row r="965" spans="1:9" x14ac:dyDescent="0.25">
      <c r="A965" s="193" t="s">
        <v>220</v>
      </c>
      <c r="B965" s="193" t="s">
        <v>2152</v>
      </c>
      <c r="C965" s="204" t="s">
        <v>2236</v>
      </c>
      <c r="D965" s="193" t="s">
        <v>2237</v>
      </c>
      <c r="E965" s="193" t="s">
        <v>545</v>
      </c>
      <c r="F965" s="196">
        <v>3000</v>
      </c>
      <c r="G965" s="194">
        <v>0.1</v>
      </c>
      <c r="H965" s="195">
        <f t="shared" ref="H965:H1028" si="15">+F965*G965</f>
        <v>300</v>
      </c>
      <c r="I965" s="193" t="s">
        <v>541</v>
      </c>
    </row>
    <row r="966" spans="1:9" x14ac:dyDescent="0.25">
      <c r="A966" s="193" t="s">
        <v>220</v>
      </c>
      <c r="B966" s="193" t="s">
        <v>2152</v>
      </c>
      <c r="C966" s="204" t="s">
        <v>2238</v>
      </c>
      <c r="D966" s="193" t="s">
        <v>2239</v>
      </c>
      <c r="E966" s="193" t="s">
        <v>545</v>
      </c>
      <c r="F966" s="196">
        <v>2500</v>
      </c>
      <c r="G966" s="194">
        <v>0.06</v>
      </c>
      <c r="H966" s="195">
        <f t="shared" si="15"/>
        <v>150</v>
      </c>
      <c r="I966" s="193" t="s">
        <v>541</v>
      </c>
    </row>
    <row r="967" spans="1:9" x14ac:dyDescent="0.25">
      <c r="A967" s="193" t="s">
        <v>220</v>
      </c>
      <c r="B967" s="193" t="s">
        <v>2152</v>
      </c>
      <c r="C967" s="204" t="s">
        <v>2240</v>
      </c>
      <c r="D967" s="193" t="s">
        <v>2241</v>
      </c>
      <c r="E967" s="193" t="s">
        <v>545</v>
      </c>
      <c r="F967" s="196">
        <v>2500</v>
      </c>
      <c r="G967" s="194">
        <v>0.2518296529968454</v>
      </c>
      <c r="H967" s="195">
        <f t="shared" si="15"/>
        <v>629.57413249211345</v>
      </c>
      <c r="I967" s="193" t="s">
        <v>541</v>
      </c>
    </row>
    <row r="968" spans="1:9" x14ac:dyDescent="0.25">
      <c r="A968" s="193" t="s">
        <v>220</v>
      </c>
      <c r="B968" s="193" t="s">
        <v>2152</v>
      </c>
      <c r="C968" s="204" t="s">
        <v>2242</v>
      </c>
      <c r="D968" s="193" t="s">
        <v>2243</v>
      </c>
      <c r="E968" s="193" t="s">
        <v>545</v>
      </c>
      <c r="F968" s="196">
        <v>2000</v>
      </c>
      <c r="G968" s="194">
        <v>0.22724999999999995</v>
      </c>
      <c r="H968" s="195">
        <f t="shared" si="15"/>
        <v>454.49999999999989</v>
      </c>
      <c r="I968" s="193" t="s">
        <v>541</v>
      </c>
    </row>
    <row r="969" spans="1:9" x14ac:dyDescent="0.25">
      <c r="A969" s="193" t="s">
        <v>220</v>
      </c>
      <c r="B969" s="193" t="s">
        <v>2152</v>
      </c>
      <c r="C969" s="204" t="s">
        <v>2244</v>
      </c>
      <c r="D969" s="193" t="s">
        <v>2245</v>
      </c>
      <c r="E969" s="193" t="s">
        <v>545</v>
      </c>
      <c r="F969" s="196">
        <v>1500</v>
      </c>
      <c r="G969" s="194">
        <v>0.27659480063693587</v>
      </c>
      <c r="H969" s="195">
        <f t="shared" si="15"/>
        <v>414.89220095540378</v>
      </c>
      <c r="I969" s="193" t="s">
        <v>541</v>
      </c>
    </row>
    <row r="970" spans="1:9" x14ac:dyDescent="0.25">
      <c r="A970" s="193" t="s">
        <v>220</v>
      </c>
      <c r="B970" s="193" t="s">
        <v>2152</v>
      </c>
      <c r="C970" s="204" t="s">
        <v>2246</v>
      </c>
      <c r="D970" s="193" t="s">
        <v>2247</v>
      </c>
      <c r="E970" s="193" t="s">
        <v>545</v>
      </c>
      <c r="F970" s="196">
        <v>2200</v>
      </c>
      <c r="G970" s="194">
        <v>0.30299999999999999</v>
      </c>
      <c r="H970" s="195">
        <f t="shared" si="15"/>
        <v>666.6</v>
      </c>
      <c r="I970" s="193" t="s">
        <v>541</v>
      </c>
    </row>
    <row r="971" spans="1:9" x14ac:dyDescent="0.25">
      <c r="A971" s="193" t="s">
        <v>220</v>
      </c>
      <c r="B971" s="193" t="s">
        <v>2152</v>
      </c>
      <c r="C971" s="204" t="s">
        <v>2248</v>
      </c>
      <c r="D971" s="193" t="s">
        <v>2249</v>
      </c>
      <c r="E971" s="193" t="s">
        <v>545</v>
      </c>
      <c r="F971" s="196">
        <v>2200</v>
      </c>
      <c r="G971" s="194">
        <v>0.30299999999999999</v>
      </c>
      <c r="H971" s="195">
        <f t="shared" si="15"/>
        <v>666.6</v>
      </c>
      <c r="I971" s="193" t="s">
        <v>541</v>
      </c>
    </row>
    <row r="972" spans="1:9" x14ac:dyDescent="0.25">
      <c r="A972" s="193" t="s">
        <v>220</v>
      </c>
      <c r="B972" s="193" t="s">
        <v>2152</v>
      </c>
      <c r="C972" s="204" t="s">
        <v>2250</v>
      </c>
      <c r="D972" s="193" t="s">
        <v>2251</v>
      </c>
      <c r="E972" s="193" t="s">
        <v>545</v>
      </c>
      <c r="F972" s="196">
        <v>3000</v>
      </c>
      <c r="G972" s="194">
        <v>0.37010515374331554</v>
      </c>
      <c r="H972" s="195">
        <f t="shared" si="15"/>
        <v>1110.3154612299465</v>
      </c>
      <c r="I972" s="193" t="s">
        <v>541</v>
      </c>
    </row>
    <row r="973" spans="1:9" x14ac:dyDescent="0.25">
      <c r="A973" s="193" t="s">
        <v>220</v>
      </c>
      <c r="B973" s="193" t="s">
        <v>2152</v>
      </c>
      <c r="C973" s="204" t="s">
        <v>2252</v>
      </c>
      <c r="D973" s="193" t="s">
        <v>2253</v>
      </c>
      <c r="E973" s="193" t="s">
        <v>545</v>
      </c>
      <c r="F973" s="196">
        <v>1000</v>
      </c>
      <c r="G973" s="194">
        <v>0.82820000000000005</v>
      </c>
      <c r="H973" s="195">
        <f t="shared" si="15"/>
        <v>828.2</v>
      </c>
      <c r="I973" s="193" t="s">
        <v>541</v>
      </c>
    </row>
    <row r="974" spans="1:9" x14ac:dyDescent="0.25">
      <c r="A974" s="193" t="s">
        <v>220</v>
      </c>
      <c r="B974" s="193" t="s">
        <v>2152</v>
      </c>
      <c r="C974" s="204" t="s">
        <v>2254</v>
      </c>
      <c r="D974" s="193" t="s">
        <v>2255</v>
      </c>
      <c r="E974" s="193" t="s">
        <v>545</v>
      </c>
      <c r="F974" s="196">
        <v>2300</v>
      </c>
      <c r="G974" s="194">
        <v>0.1340995507705729</v>
      </c>
      <c r="H974" s="195">
        <f t="shared" si="15"/>
        <v>308.42896677231766</v>
      </c>
      <c r="I974" s="193" t="s">
        <v>541</v>
      </c>
    </row>
    <row r="975" spans="1:9" x14ac:dyDescent="0.25">
      <c r="A975" s="193" t="s">
        <v>220</v>
      </c>
      <c r="B975" s="193" t="s">
        <v>2152</v>
      </c>
      <c r="C975" s="204" t="s">
        <v>2256</v>
      </c>
      <c r="D975" s="193" t="s">
        <v>2257</v>
      </c>
      <c r="E975" s="193" t="s">
        <v>545</v>
      </c>
      <c r="F975" s="196">
        <v>500</v>
      </c>
      <c r="G975" s="194">
        <v>7.5999999999999998E-2</v>
      </c>
      <c r="H975" s="195">
        <f t="shared" si="15"/>
        <v>38</v>
      </c>
      <c r="I975" s="193" t="s">
        <v>541</v>
      </c>
    </row>
    <row r="976" spans="1:9" x14ac:dyDescent="0.25">
      <c r="A976" s="193" t="s">
        <v>220</v>
      </c>
      <c r="B976" s="193" t="s">
        <v>2152</v>
      </c>
      <c r="C976" s="204" t="s">
        <v>2258</v>
      </c>
      <c r="D976" s="193" t="s">
        <v>2259</v>
      </c>
      <c r="E976" s="193" t="s">
        <v>545</v>
      </c>
      <c r="F976" s="196">
        <v>1000</v>
      </c>
      <c r="G976" s="194">
        <v>0.10545201249132548</v>
      </c>
      <c r="H976" s="195">
        <f t="shared" si="15"/>
        <v>105.45201249132548</v>
      </c>
      <c r="I976" s="193" t="s">
        <v>541</v>
      </c>
    </row>
    <row r="977" spans="1:9" x14ac:dyDescent="0.25">
      <c r="A977" s="193" t="s">
        <v>220</v>
      </c>
      <c r="B977" s="193" t="s">
        <v>2152</v>
      </c>
      <c r="C977" s="204" t="s">
        <v>2260</v>
      </c>
      <c r="D977" s="193" t="s">
        <v>2261</v>
      </c>
      <c r="E977" s="193" t="s">
        <v>545</v>
      </c>
      <c r="F977" s="196">
        <v>2400</v>
      </c>
      <c r="G977" s="194">
        <v>0.30299999999999999</v>
      </c>
      <c r="H977" s="195">
        <f t="shared" si="15"/>
        <v>727.19999999999993</v>
      </c>
      <c r="I977" s="193" t="s">
        <v>541</v>
      </c>
    </row>
    <row r="978" spans="1:9" x14ac:dyDescent="0.25">
      <c r="A978" s="193" t="s">
        <v>220</v>
      </c>
      <c r="B978" s="193" t="s">
        <v>2152</v>
      </c>
      <c r="C978" s="204" t="s">
        <v>2262</v>
      </c>
      <c r="D978" s="193" t="s">
        <v>2263</v>
      </c>
      <c r="E978" s="193" t="s">
        <v>545</v>
      </c>
      <c r="F978" s="196">
        <v>2000</v>
      </c>
      <c r="G978" s="194">
        <v>0.26722962706336201</v>
      </c>
      <c r="H978" s="195">
        <f t="shared" si="15"/>
        <v>534.45925412672398</v>
      </c>
      <c r="I978" s="193" t="s">
        <v>541</v>
      </c>
    </row>
    <row r="979" spans="1:9" x14ac:dyDescent="0.25">
      <c r="A979" s="193" t="s">
        <v>220</v>
      </c>
      <c r="B979" s="193" t="s">
        <v>2152</v>
      </c>
      <c r="C979" s="204" t="s">
        <v>1476</v>
      </c>
      <c r="D979" s="193" t="s">
        <v>1477</v>
      </c>
      <c r="E979" s="193" t="s">
        <v>545</v>
      </c>
      <c r="F979" s="196">
        <v>1500</v>
      </c>
      <c r="G979" s="194">
        <v>0.35803067599660765</v>
      </c>
      <c r="H979" s="195">
        <f t="shared" si="15"/>
        <v>537.0460139949115</v>
      </c>
      <c r="I979" s="193" t="s">
        <v>541</v>
      </c>
    </row>
    <row r="980" spans="1:9" x14ac:dyDescent="0.25">
      <c r="A980" s="193" t="s">
        <v>220</v>
      </c>
      <c r="B980" s="193" t="s">
        <v>2152</v>
      </c>
      <c r="C980" s="204" t="s">
        <v>2264</v>
      </c>
      <c r="D980" s="193" t="s">
        <v>2265</v>
      </c>
      <c r="E980" s="193" t="s">
        <v>545</v>
      </c>
      <c r="F980" s="196">
        <v>1830</v>
      </c>
      <c r="G980" s="194">
        <v>0.344665</v>
      </c>
      <c r="H980" s="195">
        <f t="shared" si="15"/>
        <v>630.73694999999998</v>
      </c>
      <c r="I980" s="193" t="s">
        <v>541</v>
      </c>
    </row>
    <row r="981" spans="1:9" x14ac:dyDescent="0.25">
      <c r="A981" s="193" t="s">
        <v>220</v>
      </c>
      <c r="B981" s="193" t="s">
        <v>2152</v>
      </c>
      <c r="C981" s="204" t="s">
        <v>2266</v>
      </c>
      <c r="D981" s="193" t="s">
        <v>2267</v>
      </c>
      <c r="E981" s="193" t="s">
        <v>545</v>
      </c>
      <c r="F981" s="196">
        <v>2000</v>
      </c>
      <c r="G981" s="194">
        <v>0.29289999999999999</v>
      </c>
      <c r="H981" s="195">
        <f t="shared" si="15"/>
        <v>585.79999999999995</v>
      </c>
      <c r="I981" s="193" t="s">
        <v>541</v>
      </c>
    </row>
    <row r="982" spans="1:9" x14ac:dyDescent="0.25">
      <c r="A982" s="193" t="s">
        <v>220</v>
      </c>
      <c r="B982" s="193" t="s">
        <v>2152</v>
      </c>
      <c r="C982" s="204" t="s">
        <v>2268</v>
      </c>
      <c r="D982" s="193" t="s">
        <v>2269</v>
      </c>
      <c r="E982" s="193" t="s">
        <v>545</v>
      </c>
      <c r="F982" s="196">
        <v>2500</v>
      </c>
      <c r="G982" s="194">
        <v>0.14661583064481437</v>
      </c>
      <c r="H982" s="195">
        <f t="shared" si="15"/>
        <v>366.53957661203594</v>
      </c>
      <c r="I982" s="193" t="s">
        <v>541</v>
      </c>
    </row>
    <row r="983" spans="1:9" x14ac:dyDescent="0.25">
      <c r="A983" s="193" t="s">
        <v>220</v>
      </c>
      <c r="B983" s="193" t="s">
        <v>2152</v>
      </c>
      <c r="C983" s="204" t="s">
        <v>2270</v>
      </c>
      <c r="D983" s="193" t="s">
        <v>2271</v>
      </c>
      <c r="E983" s="193" t="s">
        <v>545</v>
      </c>
      <c r="F983" s="196">
        <v>1000</v>
      </c>
      <c r="G983" s="194">
        <v>0.18640952380952377</v>
      </c>
      <c r="H983" s="195">
        <f t="shared" si="15"/>
        <v>186.40952380952376</v>
      </c>
      <c r="I983" s="193" t="s">
        <v>541</v>
      </c>
    </row>
    <row r="984" spans="1:9" x14ac:dyDescent="0.25">
      <c r="A984" s="193" t="s">
        <v>220</v>
      </c>
      <c r="B984" s="193" t="s">
        <v>2152</v>
      </c>
      <c r="C984" s="204" t="s">
        <v>2272</v>
      </c>
      <c r="D984" s="193" t="s">
        <v>2273</v>
      </c>
      <c r="E984" s="193" t="s">
        <v>545</v>
      </c>
      <c r="F984" s="196">
        <v>1000</v>
      </c>
      <c r="G984" s="194">
        <v>0.20049655340859748</v>
      </c>
      <c r="H984" s="195">
        <f t="shared" si="15"/>
        <v>200.49655340859749</v>
      </c>
      <c r="I984" s="193" t="s">
        <v>541</v>
      </c>
    </row>
    <row r="985" spans="1:9" x14ac:dyDescent="0.25">
      <c r="A985" s="193" t="s">
        <v>220</v>
      </c>
      <c r="B985" s="193" t="s">
        <v>2152</v>
      </c>
      <c r="C985" s="204" t="s">
        <v>2274</v>
      </c>
      <c r="D985" s="193" t="s">
        <v>2275</v>
      </c>
      <c r="E985" s="193" t="s">
        <v>545</v>
      </c>
      <c r="F985" s="196">
        <v>2000</v>
      </c>
      <c r="G985" s="194">
        <v>8.0799999999999997E-2</v>
      </c>
      <c r="H985" s="195">
        <f t="shared" si="15"/>
        <v>161.6</v>
      </c>
      <c r="I985" s="193" t="s">
        <v>541</v>
      </c>
    </row>
    <row r="986" spans="1:9" x14ac:dyDescent="0.25">
      <c r="A986" s="193" t="s">
        <v>220</v>
      </c>
      <c r="B986" s="193" t="s">
        <v>2152</v>
      </c>
      <c r="C986" s="204" t="s">
        <v>2276</v>
      </c>
      <c r="D986" s="193" t="s">
        <v>2277</v>
      </c>
      <c r="E986" s="193" t="s">
        <v>545</v>
      </c>
      <c r="F986" s="196">
        <v>700</v>
      </c>
      <c r="G986" s="194">
        <v>0.22219999999999998</v>
      </c>
      <c r="H986" s="195">
        <f t="shared" si="15"/>
        <v>155.54</v>
      </c>
      <c r="I986" s="193" t="s">
        <v>541</v>
      </c>
    </row>
    <row r="987" spans="1:9" x14ac:dyDescent="0.25">
      <c r="A987" s="193" t="s">
        <v>220</v>
      </c>
      <c r="B987" s="193" t="s">
        <v>2152</v>
      </c>
      <c r="C987" s="204" t="s">
        <v>2278</v>
      </c>
      <c r="D987" s="193" t="s">
        <v>2279</v>
      </c>
      <c r="E987" s="193" t="s">
        <v>545</v>
      </c>
      <c r="F987" s="196">
        <v>1000</v>
      </c>
      <c r="G987" s="194">
        <v>0.27158617327144191</v>
      </c>
      <c r="H987" s="195">
        <f t="shared" si="15"/>
        <v>271.58617327144191</v>
      </c>
      <c r="I987" s="193" t="s">
        <v>541</v>
      </c>
    </row>
    <row r="988" spans="1:9" x14ac:dyDescent="0.25">
      <c r="A988" s="193" t="s">
        <v>220</v>
      </c>
      <c r="B988" s="193" t="s">
        <v>2152</v>
      </c>
      <c r="C988" s="204" t="s">
        <v>2280</v>
      </c>
      <c r="D988" s="193" t="s">
        <v>2281</v>
      </c>
      <c r="E988" s="193" t="s">
        <v>545</v>
      </c>
      <c r="F988" s="196">
        <v>1700</v>
      </c>
      <c r="G988" s="194">
        <v>0.25646241902594008</v>
      </c>
      <c r="H988" s="195">
        <f t="shared" si="15"/>
        <v>435.98611234409816</v>
      </c>
      <c r="I988" s="193" t="s">
        <v>541</v>
      </c>
    </row>
    <row r="989" spans="1:9" x14ac:dyDescent="0.25">
      <c r="A989" s="193" t="s">
        <v>220</v>
      </c>
      <c r="B989" s="193" t="s">
        <v>2152</v>
      </c>
      <c r="C989" s="204" t="s">
        <v>2282</v>
      </c>
      <c r="D989" s="193" t="s">
        <v>2283</v>
      </c>
      <c r="E989" s="193" t="s">
        <v>545</v>
      </c>
      <c r="F989" s="196">
        <v>1000</v>
      </c>
      <c r="G989" s="194">
        <v>0.24569383034335271</v>
      </c>
      <c r="H989" s="195">
        <f t="shared" si="15"/>
        <v>245.69383034335272</v>
      </c>
      <c r="I989" s="193" t="s">
        <v>541</v>
      </c>
    </row>
    <row r="990" spans="1:9" x14ac:dyDescent="0.25">
      <c r="A990" s="193" t="s">
        <v>220</v>
      </c>
      <c r="B990" s="193" t="s">
        <v>2152</v>
      </c>
      <c r="C990" s="204" t="s">
        <v>2284</v>
      </c>
      <c r="D990" s="193" t="s">
        <v>2285</v>
      </c>
      <c r="E990" s="193" t="s">
        <v>545</v>
      </c>
      <c r="F990" s="196">
        <v>2000</v>
      </c>
      <c r="G990" s="194">
        <v>0.17410476190476185</v>
      </c>
      <c r="H990" s="195">
        <f t="shared" si="15"/>
        <v>348.20952380952372</v>
      </c>
      <c r="I990" s="193" t="s">
        <v>541</v>
      </c>
    </row>
    <row r="991" spans="1:9" x14ac:dyDescent="0.25">
      <c r="A991" s="193" t="s">
        <v>220</v>
      </c>
      <c r="B991" s="193" t="s">
        <v>2152</v>
      </c>
      <c r="C991" s="204" t="s">
        <v>2286</v>
      </c>
      <c r="D991" s="193" t="s">
        <v>2287</v>
      </c>
      <c r="E991" s="193" t="s">
        <v>545</v>
      </c>
      <c r="F991" s="196">
        <v>2000</v>
      </c>
      <c r="G991" s="194">
        <v>0.2525</v>
      </c>
      <c r="H991" s="195">
        <f t="shared" si="15"/>
        <v>505</v>
      </c>
      <c r="I991" s="193" t="s">
        <v>541</v>
      </c>
    </row>
    <row r="992" spans="1:9" x14ac:dyDescent="0.25">
      <c r="A992" s="193" t="s">
        <v>220</v>
      </c>
      <c r="B992" s="193" t="s">
        <v>2152</v>
      </c>
      <c r="C992" s="204" t="s">
        <v>2288</v>
      </c>
      <c r="D992" s="193" t="s">
        <v>2289</v>
      </c>
      <c r="E992" s="193" t="s">
        <v>545</v>
      </c>
      <c r="F992" s="196">
        <v>2000</v>
      </c>
      <c r="G992" s="194">
        <v>0.26352316456834513</v>
      </c>
      <c r="H992" s="195">
        <f t="shared" si="15"/>
        <v>527.04632913669025</v>
      </c>
      <c r="I992" s="193" t="s">
        <v>541</v>
      </c>
    </row>
    <row r="993" spans="1:9" x14ac:dyDescent="0.25">
      <c r="A993" s="193" t="s">
        <v>220</v>
      </c>
      <c r="B993" s="193" t="s">
        <v>2152</v>
      </c>
      <c r="C993" s="204" t="s">
        <v>2290</v>
      </c>
      <c r="D993" s="193" t="s">
        <v>2291</v>
      </c>
      <c r="E993" s="193" t="s">
        <v>545</v>
      </c>
      <c r="F993" s="196">
        <v>1900</v>
      </c>
      <c r="G993" s="194">
        <v>0.10610834090417477</v>
      </c>
      <c r="H993" s="195">
        <f t="shared" si="15"/>
        <v>201.60584771793208</v>
      </c>
      <c r="I993" s="193" t="s">
        <v>541</v>
      </c>
    </row>
    <row r="994" spans="1:9" x14ac:dyDescent="0.25">
      <c r="A994" s="193" t="s">
        <v>220</v>
      </c>
      <c r="B994" s="193" t="s">
        <v>2152</v>
      </c>
      <c r="C994" s="204" t="s">
        <v>1504</v>
      </c>
      <c r="D994" s="193" t="s">
        <v>1505</v>
      </c>
      <c r="E994" s="193" t="s">
        <v>545</v>
      </c>
      <c r="F994" s="196">
        <v>460</v>
      </c>
      <c r="G994" s="194">
        <v>0.30071575047882365</v>
      </c>
      <c r="H994" s="195">
        <f t="shared" si="15"/>
        <v>138.32924522025888</v>
      </c>
      <c r="I994" s="193" t="s">
        <v>541</v>
      </c>
    </row>
    <row r="995" spans="1:9" x14ac:dyDescent="0.25">
      <c r="A995" s="193" t="s">
        <v>220</v>
      </c>
      <c r="B995" s="193" t="s">
        <v>2152</v>
      </c>
      <c r="C995" s="204" t="s">
        <v>2292</v>
      </c>
      <c r="D995" s="193" t="s">
        <v>2293</v>
      </c>
      <c r="E995" s="193" t="s">
        <v>545</v>
      </c>
      <c r="F995" s="196">
        <v>3500</v>
      </c>
      <c r="G995" s="194">
        <v>0.125</v>
      </c>
      <c r="H995" s="195">
        <f t="shared" si="15"/>
        <v>437.5</v>
      </c>
      <c r="I995" s="193" t="s">
        <v>541</v>
      </c>
    </row>
    <row r="996" spans="1:9" x14ac:dyDescent="0.25">
      <c r="A996" s="193" t="s">
        <v>220</v>
      </c>
      <c r="B996" s="193" t="s">
        <v>2152</v>
      </c>
      <c r="C996" s="204" t="s">
        <v>2294</v>
      </c>
      <c r="D996" s="193" t="s">
        <v>2295</v>
      </c>
      <c r="E996" s="193" t="s">
        <v>545</v>
      </c>
      <c r="F996" s="196">
        <v>1000</v>
      </c>
      <c r="G996" s="194">
        <v>3.3489166387679951E-2</v>
      </c>
      <c r="H996" s="195">
        <f t="shared" si="15"/>
        <v>33.489166387679951</v>
      </c>
      <c r="I996" s="193" t="s">
        <v>541</v>
      </c>
    </row>
    <row r="997" spans="1:9" x14ac:dyDescent="0.25">
      <c r="A997" s="193" t="s">
        <v>220</v>
      </c>
      <c r="B997" s="193" t="s">
        <v>2152</v>
      </c>
      <c r="C997" s="204" t="s">
        <v>2296</v>
      </c>
      <c r="D997" s="193" t="s">
        <v>2297</v>
      </c>
      <c r="E997" s="193" t="s">
        <v>545</v>
      </c>
      <c r="F997" s="196">
        <v>1000</v>
      </c>
      <c r="G997" s="194">
        <v>0.15866131221719457</v>
      </c>
      <c r="H997" s="195">
        <f t="shared" si="15"/>
        <v>158.66131221719456</v>
      </c>
      <c r="I997" s="193" t="s">
        <v>541</v>
      </c>
    </row>
    <row r="998" spans="1:9" x14ac:dyDescent="0.25">
      <c r="A998" s="193" t="s">
        <v>220</v>
      </c>
      <c r="B998" s="193" t="s">
        <v>2152</v>
      </c>
      <c r="C998" s="204" t="s">
        <v>2298</v>
      </c>
      <c r="D998" s="193" t="s">
        <v>2299</v>
      </c>
      <c r="E998" s="193" t="s">
        <v>545</v>
      </c>
      <c r="F998" s="196">
        <v>3400</v>
      </c>
      <c r="G998" s="194">
        <v>0.17169999999999999</v>
      </c>
      <c r="H998" s="195">
        <f t="shared" si="15"/>
        <v>583.78</v>
      </c>
      <c r="I998" s="193" t="s">
        <v>541</v>
      </c>
    </row>
    <row r="999" spans="1:9" x14ac:dyDescent="0.25">
      <c r="A999" s="193" t="s">
        <v>220</v>
      </c>
      <c r="B999" s="193" t="s">
        <v>2152</v>
      </c>
      <c r="C999" s="204" t="s">
        <v>2300</v>
      </c>
      <c r="D999" s="193" t="s">
        <v>2301</v>
      </c>
      <c r="E999" s="193" t="s">
        <v>545</v>
      </c>
      <c r="F999" s="196">
        <v>5000</v>
      </c>
      <c r="G999" s="194">
        <v>0.17729165545879538</v>
      </c>
      <c r="H999" s="195">
        <f t="shared" si="15"/>
        <v>886.45827729397695</v>
      </c>
      <c r="I999" s="193" t="s">
        <v>541</v>
      </c>
    </row>
    <row r="1000" spans="1:9" x14ac:dyDescent="0.25">
      <c r="A1000" s="193" t="s">
        <v>220</v>
      </c>
      <c r="B1000" s="193" t="s">
        <v>2152</v>
      </c>
      <c r="C1000" s="204" t="s">
        <v>2302</v>
      </c>
      <c r="D1000" s="193" t="s">
        <v>2303</v>
      </c>
      <c r="E1000" s="193" t="s">
        <v>545</v>
      </c>
      <c r="F1000" s="196">
        <v>3463</v>
      </c>
      <c r="G1000" s="194">
        <v>0.20228623237993706</v>
      </c>
      <c r="H1000" s="195">
        <f t="shared" si="15"/>
        <v>700.51722273172209</v>
      </c>
      <c r="I1000" s="193" t="s">
        <v>541</v>
      </c>
    </row>
    <row r="1001" spans="1:9" x14ac:dyDescent="0.25">
      <c r="A1001" s="193" t="s">
        <v>220</v>
      </c>
      <c r="B1001" s="193" t="s">
        <v>2152</v>
      </c>
      <c r="C1001" s="204" t="s">
        <v>1516</v>
      </c>
      <c r="D1001" s="193" t="s">
        <v>1517</v>
      </c>
      <c r="E1001" s="193" t="s">
        <v>545</v>
      </c>
      <c r="F1001" s="196">
        <v>2600</v>
      </c>
      <c r="G1001" s="194">
        <v>0.35295722527875129</v>
      </c>
      <c r="H1001" s="195">
        <f t="shared" si="15"/>
        <v>917.6887857247533</v>
      </c>
      <c r="I1001" s="193" t="s">
        <v>541</v>
      </c>
    </row>
    <row r="1002" spans="1:9" x14ac:dyDescent="0.25">
      <c r="A1002" s="193" t="s">
        <v>220</v>
      </c>
      <c r="B1002" s="193" t="s">
        <v>2152</v>
      </c>
      <c r="C1002" s="204" t="s">
        <v>2304</v>
      </c>
      <c r="D1002" s="193" t="s">
        <v>2305</v>
      </c>
      <c r="E1002" s="193" t="s">
        <v>545</v>
      </c>
      <c r="F1002" s="196">
        <v>2000</v>
      </c>
      <c r="G1002" s="194">
        <v>0.12548780487804878</v>
      </c>
      <c r="H1002" s="195">
        <f t="shared" si="15"/>
        <v>250.97560975609755</v>
      </c>
      <c r="I1002" s="193" t="s">
        <v>541</v>
      </c>
    </row>
    <row r="1003" spans="1:9" x14ac:dyDescent="0.25">
      <c r="A1003" s="193" t="s">
        <v>220</v>
      </c>
      <c r="B1003" s="193" t="s">
        <v>2152</v>
      </c>
      <c r="C1003" s="204" t="s">
        <v>2306</v>
      </c>
      <c r="D1003" s="193" t="s">
        <v>2307</v>
      </c>
      <c r="E1003" s="193" t="s">
        <v>545</v>
      </c>
      <c r="F1003" s="196">
        <v>6400</v>
      </c>
      <c r="G1003" s="194">
        <v>0.24233607594936707</v>
      </c>
      <c r="H1003" s="195">
        <f t="shared" si="15"/>
        <v>1550.9508860759493</v>
      </c>
      <c r="I1003" s="193" t="s">
        <v>541</v>
      </c>
    </row>
    <row r="1004" spans="1:9" x14ac:dyDescent="0.25">
      <c r="A1004" s="193" t="s">
        <v>220</v>
      </c>
      <c r="B1004" s="193" t="s">
        <v>2152</v>
      </c>
      <c r="C1004" s="204" t="s">
        <v>1518</v>
      </c>
      <c r="D1004" s="193" t="s">
        <v>1519</v>
      </c>
      <c r="E1004" s="193" t="s">
        <v>545</v>
      </c>
      <c r="F1004" s="196">
        <v>3100</v>
      </c>
      <c r="G1004" s="194">
        <v>0.23626010935804323</v>
      </c>
      <c r="H1004" s="195">
        <f t="shared" si="15"/>
        <v>732.40633900993396</v>
      </c>
      <c r="I1004" s="193" t="s">
        <v>541</v>
      </c>
    </row>
    <row r="1005" spans="1:9" x14ac:dyDescent="0.25">
      <c r="A1005" s="193" t="s">
        <v>220</v>
      </c>
      <c r="B1005" s="193" t="s">
        <v>2152</v>
      </c>
      <c r="C1005" s="204" t="s">
        <v>2308</v>
      </c>
      <c r="D1005" s="193" t="s">
        <v>2309</v>
      </c>
      <c r="E1005" s="193" t="s">
        <v>545</v>
      </c>
      <c r="F1005" s="196">
        <v>6000</v>
      </c>
      <c r="G1005" s="194">
        <v>7.0699999999999999E-2</v>
      </c>
      <c r="H1005" s="195">
        <f t="shared" si="15"/>
        <v>424.2</v>
      </c>
      <c r="I1005" s="193" t="s">
        <v>541</v>
      </c>
    </row>
    <row r="1006" spans="1:9" x14ac:dyDescent="0.25">
      <c r="A1006" s="193" t="s">
        <v>220</v>
      </c>
      <c r="B1006" s="193" t="s">
        <v>2152</v>
      </c>
      <c r="C1006" s="204" t="s">
        <v>1553</v>
      </c>
      <c r="D1006" s="193" t="s">
        <v>1554</v>
      </c>
      <c r="E1006" s="193" t="s">
        <v>545</v>
      </c>
      <c r="F1006" s="196">
        <v>32600</v>
      </c>
      <c r="G1006" s="194">
        <v>0.18271721810827421</v>
      </c>
      <c r="H1006" s="195">
        <f t="shared" si="15"/>
        <v>5956.5813103297396</v>
      </c>
      <c r="I1006" s="193" t="s">
        <v>541</v>
      </c>
    </row>
    <row r="1007" spans="1:9" x14ac:dyDescent="0.25">
      <c r="A1007" s="193" t="s">
        <v>220</v>
      </c>
      <c r="B1007" s="193" t="s">
        <v>2152</v>
      </c>
      <c r="C1007" s="204" t="s">
        <v>2310</v>
      </c>
      <c r="D1007" s="193" t="s">
        <v>2311</v>
      </c>
      <c r="E1007" s="193" t="s">
        <v>545</v>
      </c>
      <c r="F1007" s="196">
        <v>1000</v>
      </c>
      <c r="G1007" s="194">
        <v>0.25987967479674801</v>
      </c>
      <c r="H1007" s="195">
        <f t="shared" si="15"/>
        <v>259.87967479674802</v>
      </c>
      <c r="I1007" s="193" t="s">
        <v>541</v>
      </c>
    </row>
    <row r="1008" spans="1:9" x14ac:dyDescent="0.25">
      <c r="A1008" s="193" t="s">
        <v>220</v>
      </c>
      <c r="B1008" s="193" t="s">
        <v>2152</v>
      </c>
      <c r="C1008" s="204" t="s">
        <v>2312</v>
      </c>
      <c r="D1008" s="193" t="s">
        <v>2313</v>
      </c>
      <c r="E1008" s="193" t="s">
        <v>545</v>
      </c>
      <c r="F1008" s="196">
        <v>2500</v>
      </c>
      <c r="G1008" s="194">
        <v>0.33096666666666663</v>
      </c>
      <c r="H1008" s="195">
        <f t="shared" si="15"/>
        <v>827.41666666666663</v>
      </c>
      <c r="I1008" s="193" t="s">
        <v>541</v>
      </c>
    </row>
    <row r="1009" spans="1:9" x14ac:dyDescent="0.25">
      <c r="A1009" s="193" t="s">
        <v>220</v>
      </c>
      <c r="B1009" s="193" t="s">
        <v>2152</v>
      </c>
      <c r="C1009" s="204" t="s">
        <v>2314</v>
      </c>
      <c r="D1009" s="193" t="s">
        <v>2315</v>
      </c>
      <c r="E1009" s="193" t="s">
        <v>545</v>
      </c>
      <c r="F1009" s="196">
        <v>3500</v>
      </c>
      <c r="G1009" s="194">
        <v>0.13561250000000002</v>
      </c>
      <c r="H1009" s="195">
        <f t="shared" si="15"/>
        <v>474.64375000000007</v>
      </c>
      <c r="I1009" s="193" t="s">
        <v>541</v>
      </c>
    </row>
    <row r="1010" spans="1:9" x14ac:dyDescent="0.25">
      <c r="A1010" s="193" t="s">
        <v>220</v>
      </c>
      <c r="B1010" s="193" t="s">
        <v>2152</v>
      </c>
      <c r="C1010" s="204" t="s">
        <v>2316</v>
      </c>
      <c r="D1010" s="193" t="s">
        <v>2317</v>
      </c>
      <c r="E1010" s="193" t="s">
        <v>545</v>
      </c>
      <c r="F1010" s="196">
        <v>2000</v>
      </c>
      <c r="G1010" s="194">
        <v>0.22847999999999999</v>
      </c>
      <c r="H1010" s="195">
        <f t="shared" si="15"/>
        <v>456.96</v>
      </c>
      <c r="I1010" s="193" t="s">
        <v>541</v>
      </c>
    </row>
    <row r="1011" spans="1:9" x14ac:dyDescent="0.25">
      <c r="A1011" s="193" t="s">
        <v>220</v>
      </c>
      <c r="B1011" s="193" t="s">
        <v>2152</v>
      </c>
      <c r="C1011" s="204" t="s">
        <v>2318</v>
      </c>
      <c r="D1011" s="193" t="s">
        <v>2319</v>
      </c>
      <c r="E1011" s="193" t="s">
        <v>545</v>
      </c>
      <c r="F1011" s="196">
        <v>2500</v>
      </c>
      <c r="G1011" s="194">
        <v>6.4000000000000001E-2</v>
      </c>
      <c r="H1011" s="195">
        <f t="shared" si="15"/>
        <v>160</v>
      </c>
      <c r="I1011" s="193" t="s">
        <v>541</v>
      </c>
    </row>
    <row r="1012" spans="1:9" x14ac:dyDescent="0.25">
      <c r="A1012" s="193" t="s">
        <v>220</v>
      </c>
      <c r="B1012" s="193" t="s">
        <v>2152</v>
      </c>
      <c r="C1012" s="204" t="s">
        <v>1663</v>
      </c>
      <c r="D1012" s="193" t="s">
        <v>1664</v>
      </c>
      <c r="E1012" s="193" t="s">
        <v>545</v>
      </c>
      <c r="F1012" s="196">
        <v>3500</v>
      </c>
      <c r="G1012" s="194">
        <v>9.6687558107738575E-2</v>
      </c>
      <c r="H1012" s="195">
        <f t="shared" si="15"/>
        <v>338.40645337708503</v>
      </c>
      <c r="I1012" s="193" t="s">
        <v>541</v>
      </c>
    </row>
    <row r="1013" spans="1:9" x14ac:dyDescent="0.25">
      <c r="A1013" s="193" t="s">
        <v>220</v>
      </c>
      <c r="B1013" s="193" t="s">
        <v>2152</v>
      </c>
      <c r="C1013" s="204" t="s">
        <v>2320</v>
      </c>
      <c r="D1013" s="193" t="s">
        <v>2321</v>
      </c>
      <c r="E1013" s="193" t="s">
        <v>545</v>
      </c>
      <c r="F1013" s="196">
        <v>3000</v>
      </c>
      <c r="G1013" s="194">
        <v>0.185</v>
      </c>
      <c r="H1013" s="195">
        <f t="shared" si="15"/>
        <v>555</v>
      </c>
      <c r="I1013" s="193" t="s">
        <v>541</v>
      </c>
    </row>
    <row r="1014" spans="1:9" x14ac:dyDescent="0.25">
      <c r="A1014" s="193" t="s">
        <v>220</v>
      </c>
      <c r="B1014" s="193" t="s">
        <v>2152</v>
      </c>
      <c r="C1014" s="204" t="s">
        <v>2322</v>
      </c>
      <c r="D1014" s="193" t="s">
        <v>2323</v>
      </c>
      <c r="E1014" s="193" t="s">
        <v>545</v>
      </c>
      <c r="F1014" s="196">
        <v>2500</v>
      </c>
      <c r="G1014" s="194">
        <v>0.185</v>
      </c>
      <c r="H1014" s="195">
        <f t="shared" si="15"/>
        <v>462.5</v>
      </c>
      <c r="I1014" s="193" t="s">
        <v>541</v>
      </c>
    </row>
    <row r="1015" spans="1:9" x14ac:dyDescent="0.25">
      <c r="A1015" s="193" t="s">
        <v>220</v>
      </c>
      <c r="B1015" s="193" t="s">
        <v>2152</v>
      </c>
      <c r="C1015" s="204" t="s">
        <v>2324</v>
      </c>
      <c r="D1015" s="193" t="s">
        <v>2325</v>
      </c>
      <c r="E1015" s="193" t="s">
        <v>545</v>
      </c>
      <c r="F1015" s="196">
        <v>3000</v>
      </c>
      <c r="G1015" s="194">
        <v>0.16160000000000002</v>
      </c>
      <c r="H1015" s="195">
        <f t="shared" si="15"/>
        <v>484.80000000000007</v>
      </c>
      <c r="I1015" s="193" t="s">
        <v>541</v>
      </c>
    </row>
    <row r="1016" spans="1:9" x14ac:dyDescent="0.25">
      <c r="A1016" s="193" t="s">
        <v>220</v>
      </c>
      <c r="B1016" s="193" t="s">
        <v>2152</v>
      </c>
      <c r="C1016" s="204" t="s">
        <v>2326</v>
      </c>
      <c r="D1016" s="193" t="s">
        <v>2327</v>
      </c>
      <c r="E1016" s="193" t="s">
        <v>545</v>
      </c>
      <c r="F1016" s="196">
        <v>1000</v>
      </c>
      <c r="G1016" s="194">
        <v>0.16159999999999999</v>
      </c>
      <c r="H1016" s="195">
        <f t="shared" si="15"/>
        <v>161.6</v>
      </c>
      <c r="I1016" s="193" t="s">
        <v>541</v>
      </c>
    </row>
    <row r="1017" spans="1:9" x14ac:dyDescent="0.25">
      <c r="A1017" s="193" t="s">
        <v>220</v>
      </c>
      <c r="B1017" s="193" t="s">
        <v>2152</v>
      </c>
      <c r="C1017" s="204" t="s">
        <v>2328</v>
      </c>
      <c r="D1017" s="193" t="s">
        <v>1760</v>
      </c>
      <c r="E1017" s="193" t="s">
        <v>545</v>
      </c>
      <c r="F1017" s="196">
        <v>5130</v>
      </c>
      <c r="G1017" s="202">
        <v>0.31025851613783012</v>
      </c>
      <c r="H1017" s="195">
        <f t="shared" si="15"/>
        <v>1591.6261877870686</v>
      </c>
      <c r="I1017" s="193" t="s">
        <v>541</v>
      </c>
    </row>
    <row r="1018" spans="1:9" x14ac:dyDescent="0.25">
      <c r="A1018" s="193" t="s">
        <v>220</v>
      </c>
      <c r="B1018" s="193" t="s">
        <v>2152</v>
      </c>
      <c r="C1018" s="204" t="s">
        <v>2329</v>
      </c>
      <c r="D1018" s="193" t="s">
        <v>1762</v>
      </c>
      <c r="E1018" s="193" t="s">
        <v>545</v>
      </c>
      <c r="F1018" s="196">
        <v>3900</v>
      </c>
      <c r="G1018" s="194">
        <v>0.48080313646980316</v>
      </c>
      <c r="H1018" s="195">
        <f t="shared" si="15"/>
        <v>1875.1322322322324</v>
      </c>
      <c r="I1018" s="193" t="s">
        <v>541</v>
      </c>
    </row>
    <row r="1019" spans="1:9" x14ac:dyDescent="0.25">
      <c r="A1019" s="193" t="s">
        <v>220</v>
      </c>
      <c r="B1019" s="193" t="s">
        <v>2152</v>
      </c>
      <c r="C1019" s="204" t="s">
        <v>2330</v>
      </c>
      <c r="D1019" s="193" t="s">
        <v>1764</v>
      </c>
      <c r="E1019" s="193" t="s">
        <v>545</v>
      </c>
      <c r="F1019" s="196">
        <v>6750</v>
      </c>
      <c r="G1019" s="194">
        <v>0.48318024083196498</v>
      </c>
      <c r="H1019" s="195">
        <f t="shared" si="15"/>
        <v>3261.4666256157634</v>
      </c>
      <c r="I1019" s="193" t="s">
        <v>541</v>
      </c>
    </row>
    <row r="1020" spans="1:9" x14ac:dyDescent="0.25">
      <c r="A1020" s="193" t="s">
        <v>220</v>
      </c>
      <c r="B1020" s="193" t="s">
        <v>2152</v>
      </c>
      <c r="C1020" s="204" t="s">
        <v>2331</v>
      </c>
      <c r="D1020" s="193" t="s">
        <v>1766</v>
      </c>
      <c r="E1020" s="193" t="s">
        <v>545</v>
      </c>
      <c r="F1020" s="196">
        <v>2370</v>
      </c>
      <c r="G1020" s="194">
        <v>0.52519999999999989</v>
      </c>
      <c r="H1020" s="195">
        <f t="shared" si="15"/>
        <v>1244.7239999999997</v>
      </c>
      <c r="I1020" s="193" t="s">
        <v>541</v>
      </c>
    </row>
    <row r="1021" spans="1:9" x14ac:dyDescent="0.25">
      <c r="A1021" s="193" t="s">
        <v>220</v>
      </c>
      <c r="B1021" s="193" t="s">
        <v>2152</v>
      </c>
      <c r="C1021" s="204" t="s">
        <v>1767</v>
      </c>
      <c r="D1021" s="193" t="s">
        <v>1768</v>
      </c>
      <c r="E1021" s="193" t="s">
        <v>545</v>
      </c>
      <c r="F1021" s="196">
        <v>2596</v>
      </c>
      <c r="G1021" s="194">
        <v>0.50384074051075545</v>
      </c>
      <c r="H1021" s="195">
        <f t="shared" si="15"/>
        <v>1307.9705623659211</v>
      </c>
      <c r="I1021" s="193" t="s">
        <v>541</v>
      </c>
    </row>
    <row r="1022" spans="1:9" x14ac:dyDescent="0.25">
      <c r="B1022" s="205" t="s">
        <v>2152</v>
      </c>
      <c r="C1022" s="206" t="s">
        <v>1769</v>
      </c>
      <c r="D1022" s="205" t="s">
        <v>1770</v>
      </c>
      <c r="E1022" s="205" t="s">
        <v>545</v>
      </c>
      <c r="F1022" s="198">
        <v>2500</v>
      </c>
      <c r="G1022" s="207">
        <v>0.68174999999999997</v>
      </c>
      <c r="H1022" s="208">
        <f t="shared" si="15"/>
        <v>1704.375</v>
      </c>
      <c r="I1022" s="205" t="s">
        <v>541</v>
      </c>
    </row>
    <row r="1023" spans="1:9" x14ac:dyDescent="0.25">
      <c r="A1023" s="193" t="s">
        <v>220</v>
      </c>
      <c r="B1023" s="193" t="s">
        <v>2152</v>
      </c>
      <c r="C1023" s="204" t="s">
        <v>2332</v>
      </c>
      <c r="D1023" s="193" t="s">
        <v>2333</v>
      </c>
      <c r="E1023" s="193" t="s">
        <v>545</v>
      </c>
      <c r="F1023" s="196">
        <v>1397</v>
      </c>
      <c r="G1023" s="194">
        <v>3.0804999999999998</v>
      </c>
      <c r="H1023" s="195">
        <f t="shared" si="15"/>
        <v>4303.4584999999997</v>
      </c>
      <c r="I1023" s="193" t="s">
        <v>541</v>
      </c>
    </row>
    <row r="1024" spans="1:9" x14ac:dyDescent="0.25">
      <c r="A1024" s="193" t="s">
        <v>220</v>
      </c>
      <c r="B1024" s="193" t="s">
        <v>2152</v>
      </c>
      <c r="C1024" s="204" t="s">
        <v>2334</v>
      </c>
      <c r="D1024" s="193" t="s">
        <v>2335</v>
      </c>
      <c r="E1024" s="193" t="s">
        <v>545</v>
      </c>
      <c r="F1024" s="196">
        <v>1255</v>
      </c>
      <c r="G1024" s="194">
        <v>3.0804999999999998</v>
      </c>
      <c r="H1024" s="195">
        <f t="shared" si="15"/>
        <v>3866.0274999999997</v>
      </c>
      <c r="I1024" s="193" t="s">
        <v>541</v>
      </c>
    </row>
    <row r="1025" spans="1:9" x14ac:dyDescent="0.25">
      <c r="A1025" s="193" t="s">
        <v>220</v>
      </c>
      <c r="B1025" s="193" t="s">
        <v>2152</v>
      </c>
      <c r="C1025" s="204" t="s">
        <v>1899</v>
      </c>
      <c r="D1025" s="193" t="s">
        <v>1900</v>
      </c>
      <c r="E1025" s="193" t="s">
        <v>535</v>
      </c>
      <c r="F1025" s="196">
        <v>2260</v>
      </c>
      <c r="G1025" s="194">
        <v>19.719606724089637</v>
      </c>
      <c r="H1025" s="195">
        <f t="shared" si="15"/>
        <v>44566.311196442577</v>
      </c>
      <c r="I1025" s="193" t="s">
        <v>541</v>
      </c>
    </row>
    <row r="1026" spans="1:9" x14ac:dyDescent="0.25">
      <c r="A1026" s="193" t="s">
        <v>587</v>
      </c>
      <c r="B1026" s="193" t="s">
        <v>591</v>
      </c>
      <c r="C1026" s="201" t="s">
        <v>2336</v>
      </c>
      <c r="D1026" s="193" t="s">
        <v>2337</v>
      </c>
      <c r="E1026" s="201" t="s">
        <v>535</v>
      </c>
      <c r="F1026" s="196">
        <v>3602</v>
      </c>
      <c r="G1026" s="202">
        <v>6.9445853837014928</v>
      </c>
      <c r="H1026" s="195">
        <f t="shared" si="15"/>
        <v>25014.396552092778</v>
      </c>
      <c r="I1026" s="201" t="s">
        <v>541</v>
      </c>
    </row>
    <row r="1027" spans="1:9" x14ac:dyDescent="0.25">
      <c r="A1027" s="193" t="s">
        <v>587</v>
      </c>
      <c r="B1027" s="193" t="s">
        <v>591</v>
      </c>
      <c r="C1027" s="201" t="s">
        <v>2338</v>
      </c>
      <c r="D1027" s="193" t="s">
        <v>2339</v>
      </c>
      <c r="E1027" s="201" t="s">
        <v>535</v>
      </c>
      <c r="F1027" s="196">
        <v>3680</v>
      </c>
      <c r="G1027" s="202">
        <v>7.3343057120014175</v>
      </c>
      <c r="H1027" s="195">
        <f t="shared" si="15"/>
        <v>26990.245020165217</v>
      </c>
      <c r="I1027" s="201" t="s">
        <v>541</v>
      </c>
    </row>
    <row r="1028" spans="1:9" x14ac:dyDescent="0.25">
      <c r="A1028" s="193" t="s">
        <v>587</v>
      </c>
      <c r="B1028" s="193" t="s">
        <v>781</v>
      </c>
      <c r="C1028" s="193" t="s">
        <v>2340</v>
      </c>
      <c r="D1028" s="193" t="s">
        <v>2341</v>
      </c>
      <c r="E1028" s="201" t="s">
        <v>535</v>
      </c>
      <c r="F1028" s="196">
        <v>6678</v>
      </c>
      <c r="G1028" s="202">
        <v>6.9445853837014901</v>
      </c>
      <c r="H1028" s="195">
        <f t="shared" si="15"/>
        <v>46375.94119235855</v>
      </c>
      <c r="I1028" s="201" t="s">
        <v>541</v>
      </c>
    </row>
    <row r="1029" spans="1:9" x14ac:dyDescent="0.25">
      <c r="A1029" s="193" t="s">
        <v>587</v>
      </c>
      <c r="B1029" s="193" t="s">
        <v>591</v>
      </c>
      <c r="C1029" s="193"/>
      <c r="D1029" s="193" t="s">
        <v>2342</v>
      </c>
      <c r="E1029" s="201" t="s">
        <v>535</v>
      </c>
      <c r="F1029" s="196">
        <v>224</v>
      </c>
      <c r="G1029" s="194">
        <v>6.8663267071618233</v>
      </c>
      <c r="H1029" s="195">
        <f t="shared" ref="H1029:H1092" si="16">+F1029*G1029</f>
        <v>1538.0571824042484</v>
      </c>
      <c r="I1029" s="201" t="s">
        <v>541</v>
      </c>
    </row>
    <row r="1030" spans="1:9" x14ac:dyDescent="0.25">
      <c r="A1030" s="193" t="s">
        <v>587</v>
      </c>
      <c r="B1030" s="193" t="s">
        <v>591</v>
      </c>
      <c r="C1030" s="193"/>
      <c r="D1030" s="193" t="s">
        <v>2343</v>
      </c>
      <c r="E1030" s="201" t="s">
        <v>535</v>
      </c>
      <c r="F1030" s="196">
        <v>223</v>
      </c>
      <c r="G1030" s="194">
        <v>6.8663267071618233</v>
      </c>
      <c r="H1030" s="195">
        <f t="shared" si="16"/>
        <v>1531.1908556970866</v>
      </c>
      <c r="I1030" s="201" t="s">
        <v>541</v>
      </c>
    </row>
    <row r="1031" spans="1:9" x14ac:dyDescent="0.25">
      <c r="A1031" s="193" t="s">
        <v>587</v>
      </c>
      <c r="B1031" s="193" t="s">
        <v>591</v>
      </c>
      <c r="C1031" s="193"/>
      <c r="D1031" s="193" t="s">
        <v>2344</v>
      </c>
      <c r="E1031" s="201" t="s">
        <v>535</v>
      </c>
      <c r="F1031" s="196">
        <v>341</v>
      </c>
      <c r="G1031" s="194">
        <v>6.8663267071618233</v>
      </c>
      <c r="H1031" s="195">
        <f t="shared" si="16"/>
        <v>2341.4174071421817</v>
      </c>
      <c r="I1031" s="201" t="s">
        <v>541</v>
      </c>
    </row>
    <row r="1032" spans="1:9" x14ac:dyDescent="0.25">
      <c r="A1032" s="193" t="s">
        <v>587</v>
      </c>
      <c r="B1032" s="193" t="s">
        <v>591</v>
      </c>
      <c r="C1032" s="193"/>
      <c r="D1032" s="193" t="s">
        <v>2345</v>
      </c>
      <c r="E1032" s="193" t="s">
        <v>535</v>
      </c>
      <c r="F1032" s="196">
        <v>491</v>
      </c>
      <c r="G1032" s="202"/>
      <c r="H1032" s="195">
        <f t="shared" si="16"/>
        <v>0</v>
      </c>
      <c r="I1032" s="193" t="s">
        <v>541</v>
      </c>
    </row>
    <row r="1033" spans="1:9" x14ac:dyDescent="0.25">
      <c r="A1033" s="193" t="s">
        <v>587</v>
      </c>
      <c r="B1033" s="193" t="s">
        <v>591</v>
      </c>
      <c r="C1033" s="193" t="s">
        <v>533</v>
      </c>
      <c r="D1033" s="193" t="s">
        <v>534</v>
      </c>
      <c r="E1033" s="193" t="s">
        <v>535</v>
      </c>
      <c r="F1033" s="196">
        <v>14382</v>
      </c>
      <c r="G1033" s="194">
        <v>6.8020808742562293</v>
      </c>
      <c r="H1033" s="195">
        <f t="shared" si="16"/>
        <v>97827.527133553085</v>
      </c>
      <c r="I1033" s="193" t="s">
        <v>536</v>
      </c>
    </row>
    <row r="1034" spans="1:9" x14ac:dyDescent="0.25">
      <c r="A1034" s="193" t="s">
        <v>587</v>
      </c>
      <c r="B1034" s="193" t="s">
        <v>591</v>
      </c>
      <c r="C1034" s="193" t="s">
        <v>807</v>
      </c>
      <c r="D1034" s="193" t="s">
        <v>808</v>
      </c>
      <c r="E1034" s="201" t="s">
        <v>535</v>
      </c>
      <c r="F1034" s="196">
        <v>14616</v>
      </c>
      <c r="G1034" s="194">
        <v>7.7243830647258251</v>
      </c>
      <c r="H1034" s="195">
        <f t="shared" si="16"/>
        <v>112899.58287403265</v>
      </c>
      <c r="I1034" s="201" t="s">
        <v>541</v>
      </c>
    </row>
    <row r="1035" spans="1:9" x14ac:dyDescent="0.25">
      <c r="A1035" s="193" t="s">
        <v>587</v>
      </c>
      <c r="B1035" s="193" t="s">
        <v>588</v>
      </c>
      <c r="C1035" s="193"/>
      <c r="D1035" s="193" t="s">
        <v>2346</v>
      </c>
      <c r="E1035" s="193" t="s">
        <v>535</v>
      </c>
      <c r="F1035" s="195">
        <v>225</v>
      </c>
      <c r="G1035" s="202">
        <v>0</v>
      </c>
      <c r="H1035" s="195">
        <f t="shared" si="16"/>
        <v>0</v>
      </c>
      <c r="I1035" s="193" t="s">
        <v>541</v>
      </c>
    </row>
    <row r="1036" spans="1:9" x14ac:dyDescent="0.25">
      <c r="A1036" s="193" t="s">
        <v>587</v>
      </c>
      <c r="B1036" s="193" t="s">
        <v>588</v>
      </c>
      <c r="C1036" s="193"/>
      <c r="D1036" s="193" t="s">
        <v>2347</v>
      </c>
      <c r="E1036" s="193" t="s">
        <v>545</v>
      </c>
      <c r="F1036" s="195">
        <v>1000</v>
      </c>
      <c r="G1036" s="194">
        <v>0.16113594594594594</v>
      </c>
      <c r="H1036" s="195">
        <f t="shared" si="16"/>
        <v>161.13594594594593</v>
      </c>
      <c r="I1036" s="193" t="s">
        <v>541</v>
      </c>
    </row>
    <row r="1037" spans="1:9" x14ac:dyDescent="0.25">
      <c r="A1037" s="193" t="s">
        <v>747</v>
      </c>
      <c r="B1037" s="193" t="s">
        <v>781</v>
      </c>
      <c r="C1037" s="193" t="s">
        <v>767</v>
      </c>
      <c r="D1037" s="193" t="s">
        <v>768</v>
      </c>
      <c r="E1037" s="193" t="s">
        <v>535</v>
      </c>
      <c r="F1037" s="200">
        <v>1050</v>
      </c>
      <c r="G1037" s="199">
        <v>1.4931377491061697</v>
      </c>
      <c r="H1037" s="195">
        <f t="shared" si="16"/>
        <v>1567.7946365614782</v>
      </c>
      <c r="I1037" s="193" t="s">
        <v>541</v>
      </c>
    </row>
    <row r="1038" spans="1:9" x14ac:dyDescent="0.25">
      <c r="A1038" s="193" t="s">
        <v>747</v>
      </c>
      <c r="B1038" s="193" t="s">
        <v>781</v>
      </c>
      <c r="C1038" s="193" t="s">
        <v>773</v>
      </c>
      <c r="D1038" s="193" t="s">
        <v>774</v>
      </c>
      <c r="E1038" s="193" t="s">
        <v>535</v>
      </c>
      <c r="F1038" s="209">
        <v>10.039999999999999</v>
      </c>
      <c r="G1038" s="199">
        <v>49.937318465304863</v>
      </c>
      <c r="H1038" s="195">
        <f t="shared" si="16"/>
        <v>501.37067739166076</v>
      </c>
      <c r="I1038" s="193" t="s">
        <v>541</v>
      </c>
    </row>
    <row r="1039" spans="1:9" x14ac:dyDescent="0.25">
      <c r="A1039" s="193" t="s">
        <v>747</v>
      </c>
      <c r="B1039" s="193" t="s">
        <v>781</v>
      </c>
      <c r="C1039" s="193"/>
      <c r="D1039" s="193" t="s">
        <v>2348</v>
      </c>
      <c r="E1039" s="193" t="s">
        <v>535</v>
      </c>
      <c r="F1039" s="195">
        <v>1200</v>
      </c>
      <c r="G1039" s="199">
        <v>3.9913046639999994</v>
      </c>
      <c r="H1039" s="195">
        <f t="shared" si="16"/>
        <v>4789.5655967999992</v>
      </c>
      <c r="I1039" s="193" t="s">
        <v>541</v>
      </c>
    </row>
    <row r="1040" spans="1:9" x14ac:dyDescent="0.25">
      <c r="A1040" s="193" t="s">
        <v>747</v>
      </c>
      <c r="B1040" s="193" t="s">
        <v>781</v>
      </c>
      <c r="C1040" s="193"/>
      <c r="D1040" s="193" t="s">
        <v>2349</v>
      </c>
      <c r="E1040" s="193" t="s">
        <v>535</v>
      </c>
      <c r="F1040" s="195">
        <v>1476</v>
      </c>
      <c r="G1040" s="199">
        <v>3.9913046639999994</v>
      </c>
      <c r="H1040" s="195">
        <f t="shared" si="16"/>
        <v>5891.1656840639989</v>
      </c>
      <c r="I1040" s="193" t="s">
        <v>541</v>
      </c>
    </row>
    <row r="1041" spans="1:9" x14ac:dyDescent="0.25">
      <c r="A1041" s="193" t="s">
        <v>587</v>
      </c>
      <c r="B1041" s="193" t="s">
        <v>781</v>
      </c>
      <c r="C1041" s="193"/>
      <c r="D1041" s="193" t="s">
        <v>2350</v>
      </c>
      <c r="E1041" s="201" t="s">
        <v>535</v>
      </c>
      <c r="F1041" s="210">
        <v>648</v>
      </c>
      <c r="G1041" s="194">
        <v>6.911999040750473</v>
      </c>
      <c r="H1041" s="195">
        <f t="shared" si="16"/>
        <v>4478.9753784063068</v>
      </c>
      <c r="I1041" s="201" t="s">
        <v>541</v>
      </c>
    </row>
    <row r="1042" spans="1:9" x14ac:dyDescent="0.25">
      <c r="A1042" s="193" t="s">
        <v>220</v>
      </c>
      <c r="B1042" s="193" t="s">
        <v>2351</v>
      </c>
      <c r="C1042" s="211" t="s">
        <v>2352</v>
      </c>
      <c r="D1042" s="205" t="s">
        <v>2353</v>
      </c>
      <c r="E1042" s="212" t="s">
        <v>545</v>
      </c>
      <c r="F1042" s="213">
        <v>6</v>
      </c>
      <c r="G1042" s="194">
        <v>168.64</v>
      </c>
      <c r="H1042" s="195">
        <f t="shared" si="16"/>
        <v>1011.8399999999999</v>
      </c>
      <c r="I1042" s="212" t="s">
        <v>2354</v>
      </c>
    </row>
    <row r="1043" spans="1:9" x14ac:dyDescent="0.25">
      <c r="A1043" s="193" t="s">
        <v>220</v>
      </c>
      <c r="B1043" s="193" t="s">
        <v>2351</v>
      </c>
      <c r="C1043" s="214"/>
      <c r="D1043" s="193" t="s">
        <v>2355</v>
      </c>
      <c r="E1043" s="212" t="s">
        <v>545</v>
      </c>
      <c r="F1043" s="213">
        <v>8</v>
      </c>
      <c r="G1043" s="194">
        <v>9.7360000000000007</v>
      </c>
      <c r="H1043" s="195">
        <f t="shared" si="16"/>
        <v>77.888000000000005</v>
      </c>
      <c r="I1043" s="212" t="s">
        <v>2354</v>
      </c>
    </row>
    <row r="1044" spans="1:9" x14ac:dyDescent="0.25">
      <c r="A1044" s="193" t="s">
        <v>220</v>
      </c>
      <c r="B1044" s="193" t="s">
        <v>2351</v>
      </c>
      <c r="C1044" s="214"/>
      <c r="D1044" s="193" t="s">
        <v>2356</v>
      </c>
      <c r="E1044" s="212" t="s">
        <v>545</v>
      </c>
      <c r="F1044" s="213">
        <v>8</v>
      </c>
      <c r="G1044" s="194">
        <v>1.107</v>
      </c>
      <c r="H1044" s="195">
        <f t="shared" si="16"/>
        <v>8.8559999999999999</v>
      </c>
      <c r="I1044" s="212" t="s">
        <v>2354</v>
      </c>
    </row>
    <row r="1045" spans="1:9" x14ac:dyDescent="0.25">
      <c r="A1045" s="193" t="s">
        <v>220</v>
      </c>
      <c r="B1045" s="193" t="s">
        <v>2351</v>
      </c>
      <c r="C1045" s="214"/>
      <c r="D1045" s="193" t="s">
        <v>2357</v>
      </c>
      <c r="E1045" s="212" t="s">
        <v>545</v>
      </c>
      <c r="F1045" s="213">
        <v>10</v>
      </c>
      <c r="G1045" s="194">
        <v>3.9660000000000002</v>
      </c>
      <c r="H1045" s="195">
        <f t="shared" si="16"/>
        <v>39.660000000000004</v>
      </c>
      <c r="I1045" s="212" t="s">
        <v>2354</v>
      </c>
    </row>
    <row r="1046" spans="1:9" x14ac:dyDescent="0.25">
      <c r="A1046" s="193" t="s">
        <v>220</v>
      </c>
      <c r="B1046" s="193" t="s">
        <v>2351</v>
      </c>
      <c r="C1046" s="214"/>
      <c r="D1046" s="193" t="s">
        <v>2358</v>
      </c>
      <c r="E1046" s="212" t="s">
        <v>545</v>
      </c>
      <c r="F1046" s="213">
        <v>1</v>
      </c>
      <c r="G1046" s="194">
        <v>3.4860000000000002</v>
      </c>
      <c r="H1046" s="195">
        <f t="shared" si="16"/>
        <v>3.4860000000000002</v>
      </c>
      <c r="I1046" s="212" t="s">
        <v>2354</v>
      </c>
    </row>
    <row r="1047" spans="1:9" x14ac:dyDescent="0.25">
      <c r="A1047" s="193" t="s">
        <v>220</v>
      </c>
      <c r="B1047" s="193" t="s">
        <v>2351</v>
      </c>
      <c r="C1047" s="214"/>
      <c r="D1047" s="193" t="s">
        <v>2359</v>
      </c>
      <c r="E1047" s="212" t="s">
        <v>545</v>
      </c>
      <c r="F1047" s="213">
        <v>4</v>
      </c>
      <c r="G1047" s="194">
        <v>6.2939999999999996</v>
      </c>
      <c r="H1047" s="195">
        <f t="shared" si="16"/>
        <v>25.175999999999998</v>
      </c>
      <c r="I1047" s="212" t="s">
        <v>2354</v>
      </c>
    </row>
    <row r="1048" spans="1:9" x14ac:dyDescent="0.25">
      <c r="A1048" s="193" t="s">
        <v>220</v>
      </c>
      <c r="B1048" s="193" t="s">
        <v>2351</v>
      </c>
      <c r="C1048" s="214"/>
      <c r="D1048" s="193" t="s">
        <v>2360</v>
      </c>
      <c r="E1048" s="212" t="s">
        <v>545</v>
      </c>
      <c r="F1048" s="213">
        <v>2</v>
      </c>
      <c r="G1048" s="194">
        <v>15.882</v>
      </c>
      <c r="H1048" s="195">
        <f t="shared" si="16"/>
        <v>31.763999999999999</v>
      </c>
      <c r="I1048" s="212" t="s">
        <v>2354</v>
      </c>
    </row>
    <row r="1049" spans="1:9" x14ac:dyDescent="0.25">
      <c r="A1049" s="193" t="s">
        <v>220</v>
      </c>
      <c r="B1049" s="193" t="s">
        <v>2351</v>
      </c>
      <c r="C1049" s="214"/>
      <c r="D1049" s="193" t="s">
        <v>2361</v>
      </c>
      <c r="E1049" s="212" t="s">
        <v>545</v>
      </c>
      <c r="F1049" s="213">
        <v>2</v>
      </c>
      <c r="G1049" s="194">
        <v>116.679</v>
      </c>
      <c r="H1049" s="195">
        <f t="shared" si="16"/>
        <v>233.358</v>
      </c>
      <c r="I1049" s="212" t="s">
        <v>2354</v>
      </c>
    </row>
    <row r="1050" spans="1:9" x14ac:dyDescent="0.25">
      <c r="A1050" s="193" t="s">
        <v>220</v>
      </c>
      <c r="B1050" s="193" t="s">
        <v>2351</v>
      </c>
      <c r="C1050" s="214" t="s">
        <v>2362</v>
      </c>
      <c r="D1050" s="193" t="s">
        <v>2363</v>
      </c>
      <c r="E1050" s="212" t="s">
        <v>545</v>
      </c>
      <c r="F1050" s="213">
        <v>2</v>
      </c>
      <c r="G1050" s="194">
        <v>252</v>
      </c>
      <c r="H1050" s="195">
        <f t="shared" si="16"/>
        <v>504</v>
      </c>
      <c r="I1050" s="212" t="s">
        <v>2354</v>
      </c>
    </row>
    <row r="1051" spans="1:9" x14ac:dyDescent="0.25">
      <c r="A1051" s="193" t="s">
        <v>220</v>
      </c>
      <c r="B1051" s="193" t="s">
        <v>2351</v>
      </c>
      <c r="C1051" s="214"/>
      <c r="D1051" s="193" t="s">
        <v>2364</v>
      </c>
      <c r="E1051" s="212" t="s">
        <v>545</v>
      </c>
      <c r="F1051" s="213">
        <v>1</v>
      </c>
      <c r="G1051" s="194">
        <v>47.624000000000002</v>
      </c>
      <c r="H1051" s="195">
        <f t="shared" si="16"/>
        <v>47.624000000000002</v>
      </c>
      <c r="I1051" s="212" t="s">
        <v>2354</v>
      </c>
    </row>
    <row r="1052" spans="1:9" x14ac:dyDescent="0.25">
      <c r="A1052" s="193" t="s">
        <v>220</v>
      </c>
      <c r="B1052" s="193" t="s">
        <v>2351</v>
      </c>
      <c r="C1052" s="214" t="s">
        <v>2365</v>
      </c>
      <c r="D1052" s="193" t="s">
        <v>2366</v>
      </c>
      <c r="E1052" s="212" t="s">
        <v>545</v>
      </c>
      <c r="F1052" s="215">
        <v>2</v>
      </c>
      <c r="G1052" s="194">
        <v>16.256</v>
      </c>
      <c r="H1052" s="195">
        <f t="shared" si="16"/>
        <v>32.512</v>
      </c>
      <c r="I1052" s="212" t="s">
        <v>2354</v>
      </c>
    </row>
    <row r="1053" spans="1:9" x14ac:dyDescent="0.25">
      <c r="A1053" s="193" t="s">
        <v>220</v>
      </c>
      <c r="B1053" s="193" t="s">
        <v>2351</v>
      </c>
      <c r="C1053" s="214" t="s">
        <v>2367</v>
      </c>
      <c r="D1053" s="193" t="s">
        <v>2368</v>
      </c>
      <c r="E1053" s="212" t="s">
        <v>545</v>
      </c>
      <c r="F1053" s="213">
        <v>6</v>
      </c>
      <c r="G1053" s="194">
        <v>1.78</v>
      </c>
      <c r="H1053" s="195">
        <f t="shared" si="16"/>
        <v>10.68</v>
      </c>
      <c r="I1053" s="212" t="s">
        <v>2354</v>
      </c>
    </row>
    <row r="1054" spans="1:9" x14ac:dyDescent="0.25">
      <c r="A1054" s="193" t="s">
        <v>220</v>
      </c>
      <c r="B1054" s="193" t="s">
        <v>2351</v>
      </c>
      <c r="C1054" s="214" t="s">
        <v>2369</v>
      </c>
      <c r="D1054" s="193" t="s">
        <v>2370</v>
      </c>
      <c r="E1054" s="212" t="s">
        <v>545</v>
      </c>
      <c r="F1054" s="213">
        <v>2</v>
      </c>
      <c r="G1054" s="194">
        <v>671.37300000000005</v>
      </c>
      <c r="H1054" s="195">
        <f t="shared" si="16"/>
        <v>1342.7460000000001</v>
      </c>
      <c r="I1054" s="212" t="s">
        <v>2354</v>
      </c>
    </row>
    <row r="1055" spans="1:9" x14ac:dyDescent="0.25">
      <c r="A1055" s="193" t="s">
        <v>220</v>
      </c>
      <c r="B1055" s="193" t="s">
        <v>2351</v>
      </c>
      <c r="C1055" s="214" t="s">
        <v>2371</v>
      </c>
      <c r="D1055" s="193" t="s">
        <v>2372</v>
      </c>
      <c r="E1055" s="212" t="s">
        <v>545</v>
      </c>
      <c r="F1055" s="213">
        <v>2</v>
      </c>
      <c r="G1055" s="194">
        <v>24.335000000000001</v>
      </c>
      <c r="H1055" s="195">
        <f t="shared" si="16"/>
        <v>48.67</v>
      </c>
      <c r="I1055" s="212" t="s">
        <v>2354</v>
      </c>
    </row>
    <row r="1056" spans="1:9" x14ac:dyDescent="0.25">
      <c r="A1056" s="193" t="s">
        <v>220</v>
      </c>
      <c r="B1056" s="193" t="s">
        <v>2351</v>
      </c>
      <c r="C1056" s="214" t="s">
        <v>2373</v>
      </c>
      <c r="D1056" s="193" t="s">
        <v>2374</v>
      </c>
      <c r="E1056" s="212" t="s">
        <v>545</v>
      </c>
      <c r="F1056" s="213">
        <v>2</v>
      </c>
      <c r="G1056" s="194">
        <v>9.9749999999999996</v>
      </c>
      <c r="H1056" s="195">
        <f t="shared" si="16"/>
        <v>19.95</v>
      </c>
      <c r="I1056" s="212" t="s">
        <v>2354</v>
      </c>
    </row>
    <row r="1057" spans="1:9" x14ac:dyDescent="0.25">
      <c r="A1057" s="193" t="s">
        <v>220</v>
      </c>
      <c r="B1057" s="193" t="s">
        <v>2351</v>
      </c>
      <c r="C1057" s="214" t="s">
        <v>2375</v>
      </c>
      <c r="D1057" s="193" t="s">
        <v>2376</v>
      </c>
      <c r="E1057" s="212" t="s">
        <v>545</v>
      </c>
      <c r="F1057" s="213">
        <v>2</v>
      </c>
      <c r="G1057" s="194">
        <v>25.957999999999998</v>
      </c>
      <c r="H1057" s="195">
        <f t="shared" si="16"/>
        <v>51.915999999999997</v>
      </c>
      <c r="I1057" s="212" t="s">
        <v>2354</v>
      </c>
    </row>
    <row r="1058" spans="1:9" x14ac:dyDescent="0.25">
      <c r="A1058" s="193" t="s">
        <v>220</v>
      </c>
      <c r="B1058" s="193" t="s">
        <v>2351</v>
      </c>
      <c r="C1058" s="214" t="s">
        <v>2377</v>
      </c>
      <c r="D1058" s="193" t="s">
        <v>2378</v>
      </c>
      <c r="E1058" s="212" t="s">
        <v>545</v>
      </c>
      <c r="F1058" s="213">
        <v>18.545999999999999</v>
      </c>
      <c r="G1058" s="194">
        <v>110</v>
      </c>
      <c r="H1058" s="195">
        <f t="shared" si="16"/>
        <v>2040.06</v>
      </c>
      <c r="I1058" s="212" t="s">
        <v>2354</v>
      </c>
    </row>
    <row r="1059" spans="1:9" x14ac:dyDescent="0.25">
      <c r="A1059" s="193" t="s">
        <v>220</v>
      </c>
      <c r="B1059" s="193" t="s">
        <v>2351</v>
      </c>
      <c r="C1059" s="214" t="s">
        <v>2379</v>
      </c>
      <c r="D1059" s="193" t="s">
        <v>2380</v>
      </c>
      <c r="E1059" s="212" t="s">
        <v>545</v>
      </c>
      <c r="F1059" s="213">
        <v>10</v>
      </c>
      <c r="G1059" s="194">
        <v>10.143000000000001</v>
      </c>
      <c r="H1059" s="195">
        <f t="shared" si="16"/>
        <v>101.43</v>
      </c>
      <c r="I1059" s="212" t="s">
        <v>2354</v>
      </c>
    </row>
    <row r="1060" spans="1:9" x14ac:dyDescent="0.25">
      <c r="A1060" s="193" t="s">
        <v>220</v>
      </c>
      <c r="B1060" s="193" t="s">
        <v>2351</v>
      </c>
      <c r="C1060" s="214" t="s">
        <v>2381</v>
      </c>
      <c r="D1060" s="193" t="s">
        <v>2382</v>
      </c>
      <c r="E1060" s="212" t="s">
        <v>545</v>
      </c>
      <c r="F1060" s="213">
        <v>12</v>
      </c>
      <c r="G1060" s="194">
        <v>6.8110285714285723</v>
      </c>
      <c r="H1060" s="195">
        <f t="shared" si="16"/>
        <v>81.732342857142868</v>
      </c>
      <c r="I1060" s="212" t="s">
        <v>2354</v>
      </c>
    </row>
    <row r="1061" spans="1:9" x14ac:dyDescent="0.25">
      <c r="A1061" s="193" t="s">
        <v>220</v>
      </c>
      <c r="B1061" s="193" t="s">
        <v>2351</v>
      </c>
      <c r="C1061" s="214" t="s">
        <v>2383</v>
      </c>
      <c r="D1061" s="193" t="s">
        <v>2384</v>
      </c>
      <c r="E1061" s="212" t="s">
        <v>545</v>
      </c>
      <c r="F1061" s="213">
        <v>7</v>
      </c>
      <c r="G1061" s="194">
        <v>21.7224</v>
      </c>
      <c r="H1061" s="195">
        <f t="shared" si="16"/>
        <v>152.05680000000001</v>
      </c>
      <c r="I1061" s="212" t="s">
        <v>2354</v>
      </c>
    </row>
    <row r="1062" spans="1:9" x14ac:dyDescent="0.25">
      <c r="A1062" s="193" t="s">
        <v>220</v>
      </c>
      <c r="B1062" s="193" t="s">
        <v>2351</v>
      </c>
      <c r="C1062" s="214" t="s">
        <v>2385</v>
      </c>
      <c r="D1062" s="193" t="s">
        <v>2386</v>
      </c>
      <c r="E1062" s="212" t="s">
        <v>2387</v>
      </c>
      <c r="F1062" s="213">
        <v>8</v>
      </c>
      <c r="G1062" s="194">
        <v>56.1</v>
      </c>
      <c r="H1062" s="195">
        <f t="shared" si="16"/>
        <v>448.8</v>
      </c>
      <c r="I1062" s="212" t="s">
        <v>2354</v>
      </c>
    </row>
    <row r="1063" spans="1:9" x14ac:dyDescent="0.25">
      <c r="A1063" s="193" t="s">
        <v>220</v>
      </c>
      <c r="B1063" s="193" t="s">
        <v>2351</v>
      </c>
      <c r="C1063" s="214"/>
      <c r="D1063" s="193" t="s">
        <v>2388</v>
      </c>
      <c r="E1063" s="212" t="s">
        <v>545</v>
      </c>
      <c r="F1063" s="213">
        <v>100</v>
      </c>
      <c r="G1063" s="194">
        <v>7.739E-2</v>
      </c>
      <c r="H1063" s="195">
        <f t="shared" si="16"/>
        <v>7.7389999999999999</v>
      </c>
      <c r="I1063" s="212" t="s">
        <v>2354</v>
      </c>
    </row>
    <row r="1064" spans="1:9" x14ac:dyDescent="0.25">
      <c r="A1064" s="193" t="s">
        <v>220</v>
      </c>
      <c r="B1064" s="193" t="s">
        <v>2351</v>
      </c>
      <c r="C1064" s="214"/>
      <c r="D1064" s="193" t="s">
        <v>2389</v>
      </c>
      <c r="E1064" s="212" t="s">
        <v>545</v>
      </c>
      <c r="F1064" s="213">
        <v>100</v>
      </c>
      <c r="G1064" s="194">
        <v>9.5459999999999989E-2</v>
      </c>
      <c r="H1064" s="195">
        <f t="shared" si="16"/>
        <v>9.5459999999999994</v>
      </c>
      <c r="I1064" s="212" t="s">
        <v>2354</v>
      </c>
    </row>
    <row r="1065" spans="1:9" x14ac:dyDescent="0.25">
      <c r="A1065" s="193" t="s">
        <v>220</v>
      </c>
      <c r="B1065" s="193" t="s">
        <v>2351</v>
      </c>
      <c r="C1065" s="214"/>
      <c r="D1065" s="193" t="s">
        <v>2390</v>
      </c>
      <c r="E1065" s="212" t="s">
        <v>545</v>
      </c>
      <c r="F1065" s="213">
        <v>100</v>
      </c>
      <c r="G1065" s="194">
        <v>0.1061</v>
      </c>
      <c r="H1065" s="195">
        <f t="shared" si="16"/>
        <v>10.61</v>
      </c>
      <c r="I1065" s="212" t="s">
        <v>2354</v>
      </c>
    </row>
    <row r="1066" spans="1:9" x14ac:dyDescent="0.25">
      <c r="A1066" s="193" t="s">
        <v>220</v>
      </c>
      <c r="B1066" s="193" t="s">
        <v>2351</v>
      </c>
      <c r="C1066" s="214"/>
      <c r="D1066" s="193" t="s">
        <v>2391</v>
      </c>
      <c r="E1066" s="212" t="s">
        <v>545</v>
      </c>
      <c r="F1066" s="213">
        <v>100</v>
      </c>
      <c r="G1066" s="194">
        <v>7.4270000000000003E-2</v>
      </c>
      <c r="H1066" s="195">
        <f t="shared" si="16"/>
        <v>7.4270000000000005</v>
      </c>
      <c r="I1066" s="212" t="s">
        <v>2354</v>
      </c>
    </row>
    <row r="1067" spans="1:9" x14ac:dyDescent="0.25">
      <c r="A1067" s="193" t="s">
        <v>220</v>
      </c>
      <c r="B1067" s="193" t="s">
        <v>2351</v>
      </c>
      <c r="C1067" s="214"/>
      <c r="D1067" s="193" t="s">
        <v>2392</v>
      </c>
      <c r="E1067" s="212" t="s">
        <v>545</v>
      </c>
      <c r="F1067" s="213">
        <v>20</v>
      </c>
      <c r="G1067" s="194">
        <v>0.66600000000000004</v>
      </c>
      <c r="H1067" s="195">
        <f t="shared" si="16"/>
        <v>13.32</v>
      </c>
      <c r="I1067" s="212" t="s">
        <v>2354</v>
      </c>
    </row>
    <row r="1068" spans="1:9" x14ac:dyDescent="0.25">
      <c r="A1068" s="193" t="s">
        <v>220</v>
      </c>
      <c r="B1068" s="193" t="s">
        <v>2351</v>
      </c>
      <c r="C1068" s="214"/>
      <c r="D1068" s="193" t="s">
        <v>2393</v>
      </c>
      <c r="E1068" s="212" t="s">
        <v>545</v>
      </c>
      <c r="F1068" s="213">
        <v>20</v>
      </c>
      <c r="G1068" s="194">
        <v>1.3320000000000001</v>
      </c>
      <c r="H1068" s="195">
        <f t="shared" si="16"/>
        <v>26.64</v>
      </c>
      <c r="I1068" s="212" t="s">
        <v>2354</v>
      </c>
    </row>
    <row r="1069" spans="1:9" x14ac:dyDescent="0.25">
      <c r="A1069" s="193" t="s">
        <v>220</v>
      </c>
      <c r="B1069" s="193" t="s">
        <v>2351</v>
      </c>
      <c r="C1069" s="214"/>
      <c r="D1069" s="193" t="s">
        <v>2394</v>
      </c>
      <c r="E1069" s="212" t="s">
        <v>545</v>
      </c>
      <c r="F1069" s="213">
        <v>20</v>
      </c>
      <c r="G1069" s="194">
        <v>2.1019999999999999</v>
      </c>
      <c r="H1069" s="195">
        <f t="shared" si="16"/>
        <v>42.04</v>
      </c>
      <c r="I1069" s="212" t="s">
        <v>2354</v>
      </c>
    </row>
    <row r="1070" spans="1:9" x14ac:dyDescent="0.25">
      <c r="A1070" s="193" t="s">
        <v>220</v>
      </c>
      <c r="B1070" s="193" t="s">
        <v>2351</v>
      </c>
      <c r="C1070" s="214"/>
      <c r="D1070" s="193" t="s">
        <v>2395</v>
      </c>
      <c r="E1070" s="212" t="s">
        <v>545</v>
      </c>
      <c r="F1070" s="213">
        <v>5</v>
      </c>
      <c r="G1070" s="194">
        <v>4.5789999999999997</v>
      </c>
      <c r="H1070" s="195">
        <f t="shared" si="16"/>
        <v>22.895</v>
      </c>
      <c r="I1070" s="212" t="s">
        <v>2354</v>
      </c>
    </row>
    <row r="1071" spans="1:9" x14ac:dyDescent="0.25">
      <c r="A1071" s="193" t="s">
        <v>220</v>
      </c>
      <c r="B1071" s="193" t="s">
        <v>2351</v>
      </c>
      <c r="C1071" s="214"/>
      <c r="D1071" s="193" t="s">
        <v>2396</v>
      </c>
      <c r="E1071" s="212" t="s">
        <v>545</v>
      </c>
      <c r="F1071" s="213">
        <v>50</v>
      </c>
      <c r="G1071" s="194">
        <v>1.4990000000000001</v>
      </c>
      <c r="H1071" s="195">
        <f t="shared" si="16"/>
        <v>74.95</v>
      </c>
      <c r="I1071" s="212" t="s">
        <v>2354</v>
      </c>
    </row>
    <row r="1072" spans="1:9" x14ac:dyDescent="0.25">
      <c r="A1072" s="193" t="s">
        <v>220</v>
      </c>
      <c r="B1072" s="193" t="s">
        <v>2351</v>
      </c>
      <c r="C1072" s="214"/>
      <c r="D1072" s="193" t="s">
        <v>2397</v>
      </c>
      <c r="E1072" s="212" t="s">
        <v>545</v>
      </c>
      <c r="F1072" s="213">
        <v>20</v>
      </c>
      <c r="G1072" s="194">
        <v>2.5550000000000002</v>
      </c>
      <c r="H1072" s="195">
        <f t="shared" si="16"/>
        <v>51.1</v>
      </c>
      <c r="I1072" s="212" t="s">
        <v>2354</v>
      </c>
    </row>
    <row r="1073" spans="1:9" x14ac:dyDescent="0.25">
      <c r="A1073" s="193" t="s">
        <v>220</v>
      </c>
      <c r="B1073" s="193" t="s">
        <v>2351</v>
      </c>
      <c r="C1073" s="214"/>
      <c r="D1073" s="193" t="s">
        <v>2398</v>
      </c>
      <c r="E1073" s="212" t="s">
        <v>545</v>
      </c>
      <c r="F1073" s="213">
        <v>36</v>
      </c>
      <c r="G1073" s="194">
        <v>11.939</v>
      </c>
      <c r="H1073" s="195">
        <f t="shared" si="16"/>
        <v>429.80399999999997</v>
      </c>
      <c r="I1073" s="212" t="s">
        <v>2354</v>
      </c>
    </row>
    <row r="1074" spans="1:9" x14ac:dyDescent="0.25">
      <c r="A1074" s="193" t="s">
        <v>220</v>
      </c>
      <c r="B1074" s="193" t="s">
        <v>2351</v>
      </c>
      <c r="C1074" s="214"/>
      <c r="D1074" s="193" t="s">
        <v>2399</v>
      </c>
      <c r="E1074" s="212" t="s">
        <v>545</v>
      </c>
      <c r="F1074" s="213">
        <v>5</v>
      </c>
      <c r="G1074" s="194">
        <v>0.85499999999999998</v>
      </c>
      <c r="H1074" s="195">
        <f t="shared" si="16"/>
        <v>4.2750000000000004</v>
      </c>
      <c r="I1074" s="212" t="s">
        <v>2354</v>
      </c>
    </row>
    <row r="1075" spans="1:9" x14ac:dyDescent="0.25">
      <c r="A1075" s="193" t="s">
        <v>220</v>
      </c>
      <c r="B1075" s="193" t="s">
        <v>2351</v>
      </c>
      <c r="C1075" s="214"/>
      <c r="D1075" s="193" t="s">
        <v>2400</v>
      </c>
      <c r="E1075" s="212" t="s">
        <v>545</v>
      </c>
      <c r="F1075" s="213">
        <v>50</v>
      </c>
      <c r="G1075" s="194">
        <v>0.48</v>
      </c>
      <c r="H1075" s="195">
        <f t="shared" si="16"/>
        <v>24</v>
      </c>
      <c r="I1075" s="212" t="s">
        <v>2354</v>
      </c>
    </row>
    <row r="1076" spans="1:9" x14ac:dyDescent="0.25">
      <c r="A1076" s="193" t="s">
        <v>220</v>
      </c>
      <c r="B1076" s="193" t="s">
        <v>2351</v>
      </c>
      <c r="C1076" s="214"/>
      <c r="D1076" s="193" t="s">
        <v>2401</v>
      </c>
      <c r="E1076" s="212" t="s">
        <v>545</v>
      </c>
      <c r="F1076" s="213">
        <v>5</v>
      </c>
      <c r="G1076" s="194">
        <v>1.619</v>
      </c>
      <c r="H1076" s="195">
        <f t="shared" si="16"/>
        <v>8.0950000000000006</v>
      </c>
      <c r="I1076" s="212" t="s">
        <v>2354</v>
      </c>
    </row>
    <row r="1077" spans="1:9" x14ac:dyDescent="0.25">
      <c r="A1077" s="193" t="s">
        <v>220</v>
      </c>
      <c r="B1077" s="193" t="s">
        <v>2351</v>
      </c>
      <c r="C1077" s="214"/>
      <c r="D1077" s="193" t="s">
        <v>2402</v>
      </c>
      <c r="E1077" s="212" t="s">
        <v>545</v>
      </c>
      <c r="F1077" s="213">
        <v>20</v>
      </c>
      <c r="G1077" s="194">
        <v>2.2999999999999998</v>
      </c>
      <c r="H1077" s="195">
        <f t="shared" si="16"/>
        <v>46</v>
      </c>
      <c r="I1077" s="212" t="s">
        <v>2354</v>
      </c>
    </row>
    <row r="1078" spans="1:9" x14ac:dyDescent="0.25">
      <c r="A1078" s="193" t="s">
        <v>220</v>
      </c>
      <c r="B1078" s="193" t="s">
        <v>2351</v>
      </c>
      <c r="C1078" s="214"/>
      <c r="D1078" s="193" t="s">
        <v>2403</v>
      </c>
      <c r="E1078" s="212" t="s">
        <v>545</v>
      </c>
      <c r="F1078" s="213">
        <v>3</v>
      </c>
      <c r="G1078" s="194">
        <v>7.5110000000000001</v>
      </c>
      <c r="H1078" s="195">
        <f t="shared" si="16"/>
        <v>22.533000000000001</v>
      </c>
      <c r="I1078" s="212" t="s">
        <v>2354</v>
      </c>
    </row>
    <row r="1079" spans="1:9" x14ac:dyDescent="0.25">
      <c r="A1079" s="193" t="s">
        <v>220</v>
      </c>
      <c r="B1079" s="193" t="s">
        <v>2351</v>
      </c>
      <c r="C1079" s="214" t="s">
        <v>2404</v>
      </c>
      <c r="D1079" s="193" t="s">
        <v>2405</v>
      </c>
      <c r="E1079" s="212" t="s">
        <v>545</v>
      </c>
      <c r="F1079" s="213">
        <v>10</v>
      </c>
      <c r="G1079" s="194">
        <v>13.53</v>
      </c>
      <c r="H1079" s="195">
        <f t="shared" si="16"/>
        <v>135.29999999999998</v>
      </c>
      <c r="I1079" s="212" t="s">
        <v>2354</v>
      </c>
    </row>
    <row r="1080" spans="1:9" x14ac:dyDescent="0.25">
      <c r="A1080" s="193" t="s">
        <v>220</v>
      </c>
      <c r="B1080" s="193" t="s">
        <v>2351</v>
      </c>
      <c r="C1080" s="214"/>
      <c r="D1080" s="193" t="s">
        <v>2406</v>
      </c>
      <c r="E1080" s="212" t="s">
        <v>545</v>
      </c>
      <c r="F1080" s="213">
        <v>10</v>
      </c>
      <c r="G1080" s="194">
        <v>14.94</v>
      </c>
      <c r="H1080" s="195">
        <f t="shared" si="16"/>
        <v>149.4</v>
      </c>
      <c r="I1080" s="212" t="s">
        <v>2354</v>
      </c>
    </row>
    <row r="1081" spans="1:9" x14ac:dyDescent="0.25">
      <c r="A1081" s="193" t="s">
        <v>220</v>
      </c>
      <c r="B1081" s="193" t="s">
        <v>2351</v>
      </c>
      <c r="C1081" s="214" t="s">
        <v>2407</v>
      </c>
      <c r="D1081" s="193" t="s">
        <v>2408</v>
      </c>
      <c r="E1081" s="212" t="s">
        <v>545</v>
      </c>
      <c r="F1081" s="215">
        <v>17</v>
      </c>
      <c r="G1081" s="194">
        <v>19.8</v>
      </c>
      <c r="H1081" s="195">
        <f t="shared" si="16"/>
        <v>336.6</v>
      </c>
      <c r="I1081" s="212" t="s">
        <v>2354</v>
      </c>
    </row>
    <row r="1082" spans="1:9" x14ac:dyDescent="0.25">
      <c r="A1082" s="193" t="s">
        <v>220</v>
      </c>
      <c r="B1082" s="193" t="s">
        <v>2351</v>
      </c>
      <c r="C1082" s="214" t="s">
        <v>2409</v>
      </c>
      <c r="D1082" s="193" t="s">
        <v>2410</v>
      </c>
      <c r="E1082" s="212" t="s">
        <v>545</v>
      </c>
      <c r="F1082" s="215">
        <v>24</v>
      </c>
      <c r="G1082" s="194">
        <v>1.802</v>
      </c>
      <c r="H1082" s="195">
        <f t="shared" si="16"/>
        <v>43.248000000000005</v>
      </c>
      <c r="I1082" s="212" t="s">
        <v>2354</v>
      </c>
    </row>
    <row r="1083" spans="1:9" x14ac:dyDescent="0.25">
      <c r="A1083" s="193" t="s">
        <v>220</v>
      </c>
      <c r="B1083" s="193" t="s">
        <v>2351</v>
      </c>
      <c r="C1083" s="214" t="s">
        <v>2411</v>
      </c>
      <c r="D1083" s="193" t="s">
        <v>2412</v>
      </c>
      <c r="E1083" s="212" t="s">
        <v>545</v>
      </c>
      <c r="F1083" s="215">
        <v>9</v>
      </c>
      <c r="G1083" s="194">
        <v>2.88</v>
      </c>
      <c r="H1083" s="195">
        <f t="shared" si="16"/>
        <v>25.919999999999998</v>
      </c>
      <c r="I1083" s="212" t="s">
        <v>2354</v>
      </c>
    </row>
    <row r="1084" spans="1:9" x14ac:dyDescent="0.25">
      <c r="A1084" s="193" t="s">
        <v>220</v>
      </c>
      <c r="B1084" s="193" t="s">
        <v>2351</v>
      </c>
      <c r="C1084" s="214" t="s">
        <v>2413</v>
      </c>
      <c r="D1084" s="193" t="s">
        <v>2414</v>
      </c>
      <c r="E1084" s="212" t="s">
        <v>545</v>
      </c>
      <c r="F1084" s="213">
        <v>20</v>
      </c>
      <c r="G1084" s="194">
        <v>5.85</v>
      </c>
      <c r="H1084" s="195">
        <f t="shared" si="16"/>
        <v>117</v>
      </c>
      <c r="I1084" s="212" t="s">
        <v>2354</v>
      </c>
    </row>
    <row r="1085" spans="1:9" x14ac:dyDescent="0.25">
      <c r="A1085" s="193" t="s">
        <v>220</v>
      </c>
      <c r="B1085" s="193" t="s">
        <v>2351</v>
      </c>
      <c r="C1085" s="214" t="s">
        <v>2415</v>
      </c>
      <c r="D1085" s="193" t="s">
        <v>2416</v>
      </c>
      <c r="E1085" s="212" t="s">
        <v>545</v>
      </c>
      <c r="F1085" s="213">
        <v>10</v>
      </c>
      <c r="G1085" s="194">
        <v>3.84</v>
      </c>
      <c r="H1085" s="195">
        <f t="shared" si="16"/>
        <v>38.4</v>
      </c>
      <c r="I1085" s="212" t="s">
        <v>2354</v>
      </c>
    </row>
    <row r="1086" spans="1:9" x14ac:dyDescent="0.25">
      <c r="A1086" s="193" t="s">
        <v>220</v>
      </c>
      <c r="B1086" s="193" t="s">
        <v>2351</v>
      </c>
      <c r="C1086" s="214" t="s">
        <v>2417</v>
      </c>
      <c r="D1086" s="193" t="s">
        <v>2418</v>
      </c>
      <c r="E1086" s="212" t="s">
        <v>545</v>
      </c>
      <c r="F1086" s="213">
        <v>10</v>
      </c>
      <c r="G1086" s="194">
        <v>29.63</v>
      </c>
      <c r="H1086" s="195">
        <f t="shared" si="16"/>
        <v>296.3</v>
      </c>
      <c r="I1086" s="212" t="s">
        <v>2354</v>
      </c>
    </row>
    <row r="1087" spans="1:9" x14ac:dyDescent="0.25">
      <c r="A1087" s="193" t="s">
        <v>220</v>
      </c>
      <c r="B1087" s="193" t="s">
        <v>2351</v>
      </c>
      <c r="C1087" s="214" t="s">
        <v>2419</v>
      </c>
      <c r="D1087" s="193" t="s">
        <v>2420</v>
      </c>
      <c r="E1087" s="212" t="s">
        <v>545</v>
      </c>
      <c r="F1087" s="215">
        <v>13</v>
      </c>
      <c r="G1087" s="194">
        <v>12.07</v>
      </c>
      <c r="H1087" s="195">
        <f t="shared" si="16"/>
        <v>156.91</v>
      </c>
      <c r="I1087" s="212" t="s">
        <v>2354</v>
      </c>
    </row>
    <row r="1088" spans="1:9" x14ac:dyDescent="0.25">
      <c r="A1088" s="193" t="s">
        <v>220</v>
      </c>
      <c r="B1088" s="193" t="s">
        <v>2351</v>
      </c>
      <c r="C1088" s="214" t="s">
        <v>2421</v>
      </c>
      <c r="D1088" s="193" t="s">
        <v>2422</v>
      </c>
      <c r="E1088" s="212" t="s">
        <v>545</v>
      </c>
      <c r="F1088" s="215">
        <v>15</v>
      </c>
      <c r="G1088" s="194">
        <v>21.785499999999999</v>
      </c>
      <c r="H1088" s="195">
        <f t="shared" si="16"/>
        <v>326.78249999999997</v>
      </c>
      <c r="I1088" s="212" t="s">
        <v>2354</v>
      </c>
    </row>
    <row r="1089" spans="1:9" x14ac:dyDescent="0.25">
      <c r="A1089" s="193" t="s">
        <v>220</v>
      </c>
      <c r="B1089" s="193" t="s">
        <v>2351</v>
      </c>
      <c r="C1089" s="214" t="s">
        <v>2423</v>
      </c>
      <c r="D1089" s="193" t="s">
        <v>2424</v>
      </c>
      <c r="E1089" s="212" t="s">
        <v>545</v>
      </c>
      <c r="F1089" s="213">
        <v>20</v>
      </c>
      <c r="G1089" s="194">
        <v>24.63</v>
      </c>
      <c r="H1089" s="195">
        <f t="shared" si="16"/>
        <v>492.59999999999997</v>
      </c>
      <c r="I1089" s="212" t="s">
        <v>2354</v>
      </c>
    </row>
    <row r="1090" spans="1:9" x14ac:dyDescent="0.25">
      <c r="A1090" s="193" t="s">
        <v>220</v>
      </c>
      <c r="B1090" s="193" t="s">
        <v>2351</v>
      </c>
      <c r="C1090" s="214" t="s">
        <v>2425</v>
      </c>
      <c r="D1090" s="193" t="s">
        <v>2426</v>
      </c>
      <c r="E1090" s="212" t="s">
        <v>545</v>
      </c>
      <c r="F1090" s="213">
        <v>10</v>
      </c>
      <c r="G1090" s="194">
        <v>3.92</v>
      </c>
      <c r="H1090" s="195">
        <f t="shared" si="16"/>
        <v>39.200000000000003</v>
      </c>
      <c r="I1090" s="212" t="s">
        <v>2354</v>
      </c>
    </row>
    <row r="1091" spans="1:9" x14ac:dyDescent="0.25">
      <c r="A1091" s="193" t="s">
        <v>220</v>
      </c>
      <c r="B1091" s="193" t="s">
        <v>2351</v>
      </c>
      <c r="C1091" s="214" t="s">
        <v>2427</v>
      </c>
      <c r="D1091" s="193" t="s">
        <v>2428</v>
      </c>
      <c r="E1091" s="212" t="s">
        <v>545</v>
      </c>
      <c r="F1091" s="213">
        <v>10</v>
      </c>
      <c r="G1091" s="194">
        <v>5.37</v>
      </c>
      <c r="H1091" s="195">
        <f t="shared" si="16"/>
        <v>53.7</v>
      </c>
      <c r="I1091" s="212" t="s">
        <v>2354</v>
      </c>
    </row>
    <row r="1092" spans="1:9" x14ac:dyDescent="0.25">
      <c r="A1092" s="193" t="s">
        <v>220</v>
      </c>
      <c r="B1092" s="193" t="s">
        <v>2351</v>
      </c>
      <c r="C1092" s="214" t="s">
        <v>2417</v>
      </c>
      <c r="D1092" s="193" t="s">
        <v>2429</v>
      </c>
      <c r="E1092" s="212" t="s">
        <v>545</v>
      </c>
      <c r="F1092" s="213">
        <v>10</v>
      </c>
      <c r="G1092" s="194">
        <v>18.16</v>
      </c>
      <c r="H1092" s="195">
        <f t="shared" si="16"/>
        <v>181.6</v>
      </c>
      <c r="I1092" s="212" t="s">
        <v>2354</v>
      </c>
    </row>
    <row r="1093" spans="1:9" x14ac:dyDescent="0.25">
      <c r="A1093" s="193" t="s">
        <v>220</v>
      </c>
      <c r="B1093" s="193" t="s">
        <v>2351</v>
      </c>
      <c r="C1093" s="214" t="s">
        <v>2417</v>
      </c>
      <c r="D1093" s="193" t="s">
        <v>2430</v>
      </c>
      <c r="E1093" s="212" t="s">
        <v>545</v>
      </c>
      <c r="F1093" s="213">
        <v>10</v>
      </c>
      <c r="G1093" s="194">
        <v>16.22</v>
      </c>
      <c r="H1093" s="195">
        <f t="shared" ref="H1093:H1156" si="17">+F1093*G1093</f>
        <v>162.19999999999999</v>
      </c>
      <c r="I1093" s="212" t="s">
        <v>2354</v>
      </c>
    </row>
    <row r="1094" spans="1:9" x14ac:dyDescent="0.25">
      <c r="A1094" s="193" t="s">
        <v>220</v>
      </c>
      <c r="B1094" s="193" t="s">
        <v>2351</v>
      </c>
      <c r="C1094" s="214" t="s">
        <v>2431</v>
      </c>
      <c r="D1094" s="193" t="s">
        <v>2432</v>
      </c>
      <c r="E1094" s="212" t="s">
        <v>545</v>
      </c>
      <c r="F1094" s="213">
        <v>10</v>
      </c>
      <c r="G1094" s="194">
        <v>4.5599999999999996</v>
      </c>
      <c r="H1094" s="195">
        <f t="shared" si="17"/>
        <v>45.599999999999994</v>
      </c>
      <c r="I1094" s="212" t="s">
        <v>2354</v>
      </c>
    </row>
    <row r="1095" spans="1:9" x14ac:dyDescent="0.25">
      <c r="A1095" s="193" t="s">
        <v>220</v>
      </c>
      <c r="B1095" s="193" t="s">
        <v>2351</v>
      </c>
      <c r="C1095" s="214" t="s">
        <v>2433</v>
      </c>
      <c r="D1095" s="193" t="s">
        <v>2434</v>
      </c>
      <c r="E1095" s="212" t="s">
        <v>545</v>
      </c>
      <c r="F1095" s="215">
        <v>23</v>
      </c>
      <c r="G1095" s="194">
        <v>5.5419999999999998</v>
      </c>
      <c r="H1095" s="195">
        <f t="shared" si="17"/>
        <v>127.46599999999999</v>
      </c>
      <c r="I1095" s="212" t="s">
        <v>2354</v>
      </c>
    </row>
    <row r="1096" spans="1:9" x14ac:dyDescent="0.25">
      <c r="A1096" s="193" t="s">
        <v>220</v>
      </c>
      <c r="B1096" s="193" t="s">
        <v>2351</v>
      </c>
      <c r="C1096" s="214" t="s">
        <v>2435</v>
      </c>
      <c r="D1096" s="193" t="s">
        <v>2436</v>
      </c>
      <c r="E1096" s="212" t="s">
        <v>545</v>
      </c>
      <c r="F1096" s="213">
        <v>10</v>
      </c>
      <c r="G1096" s="194">
        <v>6.4550000000000001</v>
      </c>
      <c r="H1096" s="195">
        <f t="shared" si="17"/>
        <v>64.55</v>
      </c>
      <c r="I1096" s="212" t="s">
        <v>2354</v>
      </c>
    </row>
    <row r="1097" spans="1:9" x14ac:dyDescent="0.25">
      <c r="A1097" s="193" t="s">
        <v>220</v>
      </c>
      <c r="B1097" s="193" t="s">
        <v>2351</v>
      </c>
      <c r="C1097" s="214" t="s">
        <v>2417</v>
      </c>
      <c r="D1097" s="193" t="s">
        <v>2437</v>
      </c>
      <c r="E1097" s="212" t="s">
        <v>545</v>
      </c>
      <c r="F1097" s="213">
        <v>10</v>
      </c>
      <c r="G1097" s="194">
        <v>6.78</v>
      </c>
      <c r="H1097" s="195">
        <f t="shared" si="17"/>
        <v>67.8</v>
      </c>
      <c r="I1097" s="212" t="s">
        <v>2354</v>
      </c>
    </row>
    <row r="1098" spans="1:9" x14ac:dyDescent="0.25">
      <c r="A1098" s="193" t="s">
        <v>220</v>
      </c>
      <c r="B1098" s="193" t="s">
        <v>2351</v>
      </c>
      <c r="C1098" s="214" t="s">
        <v>2417</v>
      </c>
      <c r="D1098" s="193" t="s">
        <v>2438</v>
      </c>
      <c r="E1098" s="212" t="s">
        <v>545</v>
      </c>
      <c r="F1098" s="213">
        <v>10</v>
      </c>
      <c r="G1098" s="194">
        <v>7.23</v>
      </c>
      <c r="H1098" s="195">
        <f t="shared" si="17"/>
        <v>72.300000000000011</v>
      </c>
      <c r="I1098" s="212" t="s">
        <v>2354</v>
      </c>
    </row>
    <row r="1099" spans="1:9" x14ac:dyDescent="0.25">
      <c r="A1099" s="193" t="s">
        <v>220</v>
      </c>
      <c r="B1099" s="193" t="s">
        <v>2351</v>
      </c>
      <c r="C1099" s="214" t="s">
        <v>2417</v>
      </c>
      <c r="D1099" s="193" t="s">
        <v>2439</v>
      </c>
      <c r="E1099" s="212" t="s">
        <v>545</v>
      </c>
      <c r="F1099" s="213">
        <v>10</v>
      </c>
      <c r="G1099" s="194">
        <v>2.2000000000000002</v>
      </c>
      <c r="H1099" s="195">
        <f t="shared" si="17"/>
        <v>22</v>
      </c>
      <c r="I1099" s="212" t="s">
        <v>2354</v>
      </c>
    </row>
    <row r="1100" spans="1:9" x14ac:dyDescent="0.25">
      <c r="A1100" s="193" t="s">
        <v>220</v>
      </c>
      <c r="B1100" s="193" t="s">
        <v>2351</v>
      </c>
      <c r="C1100" s="214" t="s">
        <v>2440</v>
      </c>
      <c r="D1100" s="193" t="s">
        <v>2441</v>
      </c>
      <c r="E1100" s="212" t="s">
        <v>545</v>
      </c>
      <c r="F1100" s="215">
        <v>12</v>
      </c>
      <c r="G1100" s="194">
        <v>2.6179999999999999</v>
      </c>
      <c r="H1100" s="195">
        <f t="shared" si="17"/>
        <v>31.415999999999997</v>
      </c>
      <c r="I1100" s="212" t="s">
        <v>2354</v>
      </c>
    </row>
    <row r="1101" spans="1:9" x14ac:dyDescent="0.25">
      <c r="A1101" s="193" t="s">
        <v>220</v>
      </c>
      <c r="B1101" s="193" t="s">
        <v>2351</v>
      </c>
      <c r="C1101" s="214" t="s">
        <v>2417</v>
      </c>
      <c r="D1101" s="193" t="s">
        <v>2442</v>
      </c>
      <c r="E1101" s="212" t="s">
        <v>545</v>
      </c>
      <c r="F1101" s="213">
        <v>10</v>
      </c>
      <c r="G1101" s="194">
        <v>4.8</v>
      </c>
      <c r="H1101" s="195">
        <f t="shared" si="17"/>
        <v>48</v>
      </c>
      <c r="I1101" s="212" t="s">
        <v>2354</v>
      </c>
    </row>
    <row r="1102" spans="1:9" x14ac:dyDescent="0.25">
      <c r="A1102" s="193" t="s">
        <v>220</v>
      </c>
      <c r="B1102" s="193" t="s">
        <v>2351</v>
      </c>
      <c r="C1102" s="214"/>
      <c r="D1102" s="193" t="s">
        <v>2443</v>
      </c>
      <c r="E1102" s="212" t="s">
        <v>545</v>
      </c>
      <c r="F1102" s="213">
        <v>4</v>
      </c>
      <c r="G1102" s="194">
        <v>215.5</v>
      </c>
      <c r="H1102" s="195">
        <f t="shared" si="17"/>
        <v>862</v>
      </c>
      <c r="I1102" s="212" t="s">
        <v>2354</v>
      </c>
    </row>
    <row r="1103" spans="1:9" x14ac:dyDescent="0.25">
      <c r="A1103" s="193" t="s">
        <v>220</v>
      </c>
      <c r="B1103" s="193" t="s">
        <v>2351</v>
      </c>
      <c r="C1103" s="214"/>
      <c r="D1103" s="193" t="s">
        <v>2444</v>
      </c>
      <c r="E1103" s="212" t="s">
        <v>545</v>
      </c>
      <c r="F1103" s="213">
        <v>2</v>
      </c>
      <c r="G1103" s="194">
        <v>193.5</v>
      </c>
      <c r="H1103" s="195">
        <f t="shared" si="17"/>
        <v>387</v>
      </c>
      <c r="I1103" s="212" t="s">
        <v>2354</v>
      </c>
    </row>
    <row r="1104" spans="1:9" x14ac:dyDescent="0.25">
      <c r="A1104" s="193" t="s">
        <v>220</v>
      </c>
      <c r="B1104" s="193" t="s">
        <v>2351</v>
      </c>
      <c r="C1104" s="214"/>
      <c r="D1104" s="193" t="s">
        <v>2443</v>
      </c>
      <c r="E1104" s="212" t="s">
        <v>545</v>
      </c>
      <c r="F1104" s="210">
        <v>1</v>
      </c>
      <c r="G1104" s="194">
        <v>215.5</v>
      </c>
      <c r="H1104" s="195">
        <f t="shared" si="17"/>
        <v>215.5</v>
      </c>
      <c r="I1104" s="212" t="s">
        <v>2354</v>
      </c>
    </row>
    <row r="1105" spans="1:9" x14ac:dyDescent="0.25">
      <c r="A1105" s="193" t="s">
        <v>220</v>
      </c>
      <c r="B1105" s="193" t="s">
        <v>2351</v>
      </c>
      <c r="C1105" s="214" t="s">
        <v>2445</v>
      </c>
      <c r="D1105" s="193" t="s">
        <v>2446</v>
      </c>
      <c r="E1105" s="212" t="s">
        <v>545</v>
      </c>
      <c r="F1105" s="213">
        <v>4</v>
      </c>
      <c r="G1105" s="194">
        <v>687.14539500000001</v>
      </c>
      <c r="H1105" s="195">
        <f t="shared" si="17"/>
        <v>2748.58158</v>
      </c>
      <c r="I1105" s="212" t="s">
        <v>2354</v>
      </c>
    </row>
    <row r="1106" spans="1:9" x14ac:dyDescent="0.25">
      <c r="A1106" s="193" t="s">
        <v>220</v>
      </c>
      <c r="B1106" s="193" t="s">
        <v>2351</v>
      </c>
      <c r="C1106" s="214" t="s">
        <v>2447</v>
      </c>
      <c r="D1106" s="193" t="s">
        <v>2448</v>
      </c>
      <c r="E1106" s="212" t="s">
        <v>545</v>
      </c>
      <c r="F1106" s="215">
        <v>6</v>
      </c>
      <c r="G1106" s="194">
        <v>30.778500000000001</v>
      </c>
      <c r="H1106" s="195">
        <f t="shared" si="17"/>
        <v>184.67099999999999</v>
      </c>
      <c r="I1106" s="212" t="s">
        <v>2354</v>
      </c>
    </row>
    <row r="1107" spans="1:9" x14ac:dyDescent="0.25">
      <c r="A1107" s="193" t="s">
        <v>220</v>
      </c>
      <c r="B1107" s="193" t="s">
        <v>2351</v>
      </c>
      <c r="C1107" s="214" t="s">
        <v>2449</v>
      </c>
      <c r="D1107" s="193" t="s">
        <v>2450</v>
      </c>
      <c r="E1107" s="212" t="s">
        <v>545</v>
      </c>
      <c r="F1107" s="215">
        <v>2</v>
      </c>
      <c r="G1107" s="194">
        <v>71.400999999999996</v>
      </c>
      <c r="H1107" s="195">
        <f t="shared" si="17"/>
        <v>142.80199999999999</v>
      </c>
      <c r="I1107" s="212" t="s">
        <v>2354</v>
      </c>
    </row>
    <row r="1108" spans="1:9" x14ac:dyDescent="0.25">
      <c r="A1108" s="193" t="s">
        <v>220</v>
      </c>
      <c r="B1108" s="193" t="s">
        <v>2351</v>
      </c>
      <c r="C1108" s="214" t="s">
        <v>2451</v>
      </c>
      <c r="D1108" s="193" t="s">
        <v>2452</v>
      </c>
      <c r="E1108" s="212" t="s">
        <v>545</v>
      </c>
      <c r="F1108" s="215">
        <v>0</v>
      </c>
      <c r="G1108" s="194">
        <v>231.54599999999999</v>
      </c>
      <c r="H1108" s="195">
        <f t="shared" si="17"/>
        <v>0</v>
      </c>
      <c r="I1108" s="212" t="s">
        <v>2354</v>
      </c>
    </row>
    <row r="1109" spans="1:9" x14ac:dyDescent="0.25">
      <c r="A1109" s="193" t="s">
        <v>220</v>
      </c>
      <c r="B1109" s="193" t="s">
        <v>2351</v>
      </c>
      <c r="C1109" s="214" t="s">
        <v>2453</v>
      </c>
      <c r="D1109" s="193" t="s">
        <v>2454</v>
      </c>
      <c r="E1109" s="212" t="s">
        <v>545</v>
      </c>
      <c r="F1109" s="215">
        <v>3</v>
      </c>
      <c r="G1109" s="194">
        <v>270.31871000000001</v>
      </c>
      <c r="H1109" s="195">
        <f t="shared" si="17"/>
        <v>810.95613000000003</v>
      </c>
      <c r="I1109" s="212" t="s">
        <v>2354</v>
      </c>
    </row>
    <row r="1110" spans="1:9" x14ac:dyDescent="0.25">
      <c r="A1110" s="193" t="s">
        <v>220</v>
      </c>
      <c r="B1110" s="193" t="s">
        <v>2351</v>
      </c>
      <c r="C1110" s="214" t="s">
        <v>2455</v>
      </c>
      <c r="D1110" s="193" t="s">
        <v>2456</v>
      </c>
      <c r="E1110" s="212" t="s">
        <v>545</v>
      </c>
      <c r="F1110" s="215">
        <v>2</v>
      </c>
      <c r="G1110" s="194">
        <v>111.956</v>
      </c>
      <c r="H1110" s="195">
        <f t="shared" si="17"/>
        <v>223.91200000000001</v>
      </c>
      <c r="I1110" s="212" t="s">
        <v>2354</v>
      </c>
    </row>
    <row r="1111" spans="1:9" x14ac:dyDescent="0.25">
      <c r="A1111" s="193" t="s">
        <v>220</v>
      </c>
      <c r="B1111" s="193" t="s">
        <v>2351</v>
      </c>
      <c r="C1111" s="214" t="s">
        <v>2457</v>
      </c>
      <c r="D1111" s="193" t="s">
        <v>2458</v>
      </c>
      <c r="E1111" s="212" t="s">
        <v>545</v>
      </c>
      <c r="F1111" s="215">
        <v>4</v>
      </c>
      <c r="G1111" s="194">
        <v>10</v>
      </c>
      <c r="H1111" s="195">
        <f t="shared" si="17"/>
        <v>40</v>
      </c>
      <c r="I1111" s="212" t="s">
        <v>2354</v>
      </c>
    </row>
    <row r="1112" spans="1:9" x14ac:dyDescent="0.25">
      <c r="A1112" s="193" t="s">
        <v>220</v>
      </c>
      <c r="B1112" s="193" t="s">
        <v>2351</v>
      </c>
      <c r="C1112" s="214" t="s">
        <v>2459</v>
      </c>
      <c r="D1112" s="193" t="s">
        <v>2460</v>
      </c>
      <c r="E1112" s="212" t="s">
        <v>545</v>
      </c>
      <c r="F1112" s="215">
        <v>4</v>
      </c>
      <c r="G1112" s="194">
        <v>143.422346</v>
      </c>
      <c r="H1112" s="195">
        <f t="shared" si="17"/>
        <v>573.68938400000002</v>
      </c>
      <c r="I1112" s="212" t="s">
        <v>2354</v>
      </c>
    </row>
    <row r="1113" spans="1:9" x14ac:dyDescent="0.25">
      <c r="A1113" s="193" t="s">
        <v>220</v>
      </c>
      <c r="B1113" s="193" t="s">
        <v>2351</v>
      </c>
      <c r="C1113" s="214" t="s">
        <v>2461</v>
      </c>
      <c r="D1113" s="193" t="s">
        <v>2462</v>
      </c>
      <c r="E1113" s="212" t="s">
        <v>545</v>
      </c>
      <c r="F1113" s="215">
        <v>5</v>
      </c>
      <c r="G1113" s="194">
        <v>193.55086499999999</v>
      </c>
      <c r="H1113" s="195">
        <f t="shared" si="17"/>
        <v>967.75432499999988</v>
      </c>
      <c r="I1113" s="212" t="s">
        <v>2354</v>
      </c>
    </row>
    <row r="1114" spans="1:9" x14ac:dyDescent="0.25">
      <c r="A1114" s="193" t="s">
        <v>220</v>
      </c>
      <c r="B1114" s="193" t="s">
        <v>2351</v>
      </c>
      <c r="C1114" s="214" t="s">
        <v>2463</v>
      </c>
      <c r="D1114" s="193" t="s">
        <v>2464</v>
      </c>
      <c r="E1114" s="212" t="s">
        <v>545</v>
      </c>
      <c r="F1114" s="213">
        <v>5</v>
      </c>
      <c r="G1114" s="194">
        <v>1997.393</v>
      </c>
      <c r="H1114" s="195">
        <f t="shared" si="17"/>
        <v>9986.9650000000001</v>
      </c>
      <c r="I1114" s="212" t="s">
        <v>2354</v>
      </c>
    </row>
    <row r="1115" spans="1:9" x14ac:dyDescent="0.25">
      <c r="A1115" s="193" t="s">
        <v>220</v>
      </c>
      <c r="B1115" s="193" t="s">
        <v>2351</v>
      </c>
      <c r="C1115" s="214" t="s">
        <v>2465</v>
      </c>
      <c r="D1115" s="193" t="s">
        <v>2466</v>
      </c>
      <c r="E1115" s="212" t="s">
        <v>545</v>
      </c>
      <c r="F1115" s="215">
        <v>5</v>
      </c>
      <c r="G1115" s="194">
        <v>59.334000000000003</v>
      </c>
      <c r="H1115" s="195">
        <f t="shared" si="17"/>
        <v>296.67</v>
      </c>
      <c r="I1115" s="212" t="s">
        <v>2354</v>
      </c>
    </row>
    <row r="1116" spans="1:9" x14ac:dyDescent="0.25">
      <c r="A1116" s="193" t="s">
        <v>220</v>
      </c>
      <c r="B1116" s="193" t="s">
        <v>2351</v>
      </c>
      <c r="C1116" s="214" t="s">
        <v>2467</v>
      </c>
      <c r="D1116" s="193" t="s">
        <v>2468</v>
      </c>
      <c r="E1116" s="212" t="s">
        <v>545</v>
      </c>
      <c r="F1116" s="215">
        <v>2</v>
      </c>
      <c r="G1116" s="194">
        <v>201.67599999999999</v>
      </c>
      <c r="H1116" s="195">
        <f t="shared" si="17"/>
        <v>403.35199999999998</v>
      </c>
      <c r="I1116" s="212" t="s">
        <v>2354</v>
      </c>
    </row>
    <row r="1117" spans="1:9" x14ac:dyDescent="0.25">
      <c r="A1117" s="193" t="s">
        <v>220</v>
      </c>
      <c r="B1117" s="193" t="s">
        <v>2351</v>
      </c>
      <c r="C1117" s="214" t="s">
        <v>2469</v>
      </c>
      <c r="D1117" s="193" t="s">
        <v>2470</v>
      </c>
      <c r="E1117" s="212" t="s">
        <v>545</v>
      </c>
      <c r="F1117" s="215">
        <v>6</v>
      </c>
      <c r="G1117" s="194">
        <v>223.798</v>
      </c>
      <c r="H1117" s="195">
        <f t="shared" si="17"/>
        <v>1342.788</v>
      </c>
      <c r="I1117" s="212" t="s">
        <v>2354</v>
      </c>
    </row>
    <row r="1118" spans="1:9" x14ac:dyDescent="0.25">
      <c r="A1118" s="193" t="s">
        <v>220</v>
      </c>
      <c r="B1118" s="193" t="s">
        <v>2351</v>
      </c>
      <c r="C1118" s="214" t="s">
        <v>2471</v>
      </c>
      <c r="D1118" s="193" t="s">
        <v>2472</v>
      </c>
      <c r="E1118" s="212" t="s">
        <v>2473</v>
      </c>
      <c r="F1118" s="215">
        <v>8</v>
      </c>
      <c r="G1118" s="194">
        <v>168.00120000000001</v>
      </c>
      <c r="H1118" s="195">
        <f t="shared" si="17"/>
        <v>1344.0096000000001</v>
      </c>
      <c r="I1118" s="212" t="s">
        <v>2354</v>
      </c>
    </row>
    <row r="1119" spans="1:9" x14ac:dyDescent="0.25">
      <c r="A1119" s="193" t="s">
        <v>220</v>
      </c>
      <c r="B1119" s="193" t="s">
        <v>2351</v>
      </c>
      <c r="C1119" s="214" t="s">
        <v>2474</v>
      </c>
      <c r="D1119" s="193" t="s">
        <v>2475</v>
      </c>
      <c r="E1119" s="212" t="s">
        <v>545</v>
      </c>
      <c r="F1119" s="215">
        <v>3</v>
      </c>
      <c r="G1119" s="194">
        <v>189.6858</v>
      </c>
      <c r="H1119" s="195">
        <f t="shared" si="17"/>
        <v>569.05740000000003</v>
      </c>
      <c r="I1119" s="212" t="s">
        <v>2354</v>
      </c>
    </row>
    <row r="1120" spans="1:9" x14ac:dyDescent="0.25">
      <c r="A1120" s="193" t="s">
        <v>220</v>
      </c>
      <c r="B1120" s="193" t="s">
        <v>2351</v>
      </c>
      <c r="C1120" s="214" t="s">
        <v>2476</v>
      </c>
      <c r="D1120" s="193" t="s">
        <v>2477</v>
      </c>
      <c r="E1120" s="212" t="s">
        <v>545</v>
      </c>
      <c r="F1120" s="215">
        <v>6</v>
      </c>
      <c r="G1120" s="194">
        <v>258.3</v>
      </c>
      <c r="H1120" s="195">
        <f t="shared" si="17"/>
        <v>1549.8000000000002</v>
      </c>
      <c r="I1120" s="212" t="s">
        <v>2354</v>
      </c>
    </row>
    <row r="1121" spans="1:9" x14ac:dyDescent="0.25">
      <c r="A1121" s="193" t="s">
        <v>220</v>
      </c>
      <c r="B1121" s="193" t="s">
        <v>2351</v>
      </c>
      <c r="C1121" s="214" t="s">
        <v>2478</v>
      </c>
      <c r="D1121" s="193" t="s">
        <v>2479</v>
      </c>
      <c r="E1121" s="212" t="s">
        <v>545</v>
      </c>
      <c r="F1121" s="215">
        <v>6</v>
      </c>
      <c r="G1121" s="194">
        <v>42.722999999999999</v>
      </c>
      <c r="H1121" s="195">
        <f t="shared" si="17"/>
        <v>256.33799999999997</v>
      </c>
      <c r="I1121" s="212" t="s">
        <v>2354</v>
      </c>
    </row>
    <row r="1122" spans="1:9" x14ac:dyDescent="0.25">
      <c r="A1122" s="193" t="s">
        <v>220</v>
      </c>
      <c r="B1122" s="193" t="s">
        <v>2351</v>
      </c>
      <c r="C1122" s="214" t="s">
        <v>2480</v>
      </c>
      <c r="D1122" s="193" t="s">
        <v>2481</v>
      </c>
      <c r="E1122" s="212" t="s">
        <v>545</v>
      </c>
      <c r="F1122" s="215">
        <v>4</v>
      </c>
      <c r="G1122" s="194">
        <v>42</v>
      </c>
      <c r="H1122" s="195">
        <f t="shared" si="17"/>
        <v>168</v>
      </c>
      <c r="I1122" s="212" t="s">
        <v>2354</v>
      </c>
    </row>
    <row r="1123" spans="1:9" x14ac:dyDescent="0.25">
      <c r="A1123" s="193" t="s">
        <v>220</v>
      </c>
      <c r="B1123" s="193" t="s">
        <v>2351</v>
      </c>
      <c r="C1123" s="214" t="s">
        <v>2482</v>
      </c>
      <c r="D1123" s="193" t="s">
        <v>2483</v>
      </c>
      <c r="E1123" s="212" t="s">
        <v>545</v>
      </c>
      <c r="F1123" s="215">
        <v>1</v>
      </c>
      <c r="G1123" s="194">
        <v>209.34899999999999</v>
      </c>
      <c r="H1123" s="195">
        <f t="shared" si="17"/>
        <v>209.34899999999999</v>
      </c>
      <c r="I1123" s="212" t="s">
        <v>2354</v>
      </c>
    </row>
    <row r="1124" spans="1:9" x14ac:dyDescent="0.25">
      <c r="A1124" s="193" t="s">
        <v>220</v>
      </c>
      <c r="B1124" s="193" t="s">
        <v>2351</v>
      </c>
      <c r="C1124" s="214" t="s">
        <v>2484</v>
      </c>
      <c r="D1124" s="193" t="s">
        <v>2485</v>
      </c>
      <c r="E1124" s="212" t="s">
        <v>545</v>
      </c>
      <c r="F1124" s="215">
        <v>3</v>
      </c>
      <c r="G1124" s="194">
        <v>68.174999999999997</v>
      </c>
      <c r="H1124" s="195">
        <f t="shared" si="17"/>
        <v>204.52499999999998</v>
      </c>
      <c r="I1124" s="212" t="s">
        <v>2354</v>
      </c>
    </row>
    <row r="1125" spans="1:9" x14ac:dyDescent="0.25">
      <c r="A1125" s="193" t="s">
        <v>220</v>
      </c>
      <c r="B1125" s="193" t="s">
        <v>2351</v>
      </c>
      <c r="C1125" s="214" t="s">
        <v>2486</v>
      </c>
      <c r="D1125" s="193" t="s">
        <v>2487</v>
      </c>
      <c r="E1125" s="212" t="s">
        <v>545</v>
      </c>
      <c r="F1125" s="215">
        <v>1</v>
      </c>
      <c r="G1125" s="194">
        <v>100.8</v>
      </c>
      <c r="H1125" s="195">
        <f t="shared" si="17"/>
        <v>100.8</v>
      </c>
      <c r="I1125" s="212" t="s">
        <v>2354</v>
      </c>
    </row>
    <row r="1126" spans="1:9" x14ac:dyDescent="0.25">
      <c r="A1126" s="193" t="s">
        <v>220</v>
      </c>
      <c r="B1126" s="193" t="s">
        <v>2351</v>
      </c>
      <c r="C1126" s="214" t="s">
        <v>2488</v>
      </c>
      <c r="D1126" s="193" t="s">
        <v>2489</v>
      </c>
      <c r="E1126" s="212" t="s">
        <v>545</v>
      </c>
      <c r="F1126" s="215">
        <v>1</v>
      </c>
      <c r="G1126" s="194">
        <v>80.519000000000005</v>
      </c>
      <c r="H1126" s="195">
        <f t="shared" si="17"/>
        <v>80.519000000000005</v>
      </c>
      <c r="I1126" s="212" t="s">
        <v>2354</v>
      </c>
    </row>
    <row r="1127" spans="1:9" x14ac:dyDescent="0.25">
      <c r="A1127" s="193" t="s">
        <v>220</v>
      </c>
      <c r="B1127" s="193" t="s">
        <v>2351</v>
      </c>
      <c r="C1127" s="214" t="s">
        <v>2490</v>
      </c>
      <c r="D1127" s="193" t="s">
        <v>2491</v>
      </c>
      <c r="E1127" s="212" t="s">
        <v>545</v>
      </c>
      <c r="F1127" s="215">
        <v>42</v>
      </c>
      <c r="G1127" s="194">
        <v>46.293731220461453</v>
      </c>
      <c r="H1127" s="195">
        <f t="shared" si="17"/>
        <v>1944.336711259381</v>
      </c>
      <c r="I1127" s="212" t="s">
        <v>2354</v>
      </c>
    </row>
    <row r="1128" spans="1:9" x14ac:dyDescent="0.25">
      <c r="A1128" s="193" t="s">
        <v>220</v>
      </c>
      <c r="B1128" s="193" t="s">
        <v>2351</v>
      </c>
      <c r="C1128" s="214" t="s">
        <v>2492</v>
      </c>
      <c r="D1128" s="193" t="s">
        <v>2493</v>
      </c>
      <c r="E1128" s="212" t="s">
        <v>545</v>
      </c>
      <c r="F1128" s="215">
        <v>1</v>
      </c>
      <c r="G1128" s="194">
        <v>1016.727809</v>
      </c>
      <c r="H1128" s="195">
        <f t="shared" si="17"/>
        <v>1016.727809</v>
      </c>
      <c r="I1128" s="212" t="s">
        <v>2354</v>
      </c>
    </row>
    <row r="1129" spans="1:9" x14ac:dyDescent="0.25">
      <c r="A1129" s="193" t="s">
        <v>220</v>
      </c>
      <c r="B1129" s="193" t="s">
        <v>2351</v>
      </c>
      <c r="C1129" s="214" t="s">
        <v>2494</v>
      </c>
      <c r="D1129" s="193" t="s">
        <v>2495</v>
      </c>
      <c r="E1129" s="212" t="s">
        <v>545</v>
      </c>
      <c r="F1129" s="215">
        <v>6</v>
      </c>
      <c r="G1129" s="194">
        <v>389.41789859126379</v>
      </c>
      <c r="H1129" s="195">
        <f t="shared" si="17"/>
        <v>2336.5073915475828</v>
      </c>
      <c r="I1129" s="212" t="s">
        <v>2354</v>
      </c>
    </row>
    <row r="1130" spans="1:9" x14ac:dyDescent="0.25">
      <c r="A1130" s="193" t="s">
        <v>220</v>
      </c>
      <c r="B1130" s="193" t="s">
        <v>2351</v>
      </c>
      <c r="C1130" s="214" t="s">
        <v>2496</v>
      </c>
      <c r="D1130" s="193" t="s">
        <v>2497</v>
      </c>
      <c r="E1130" s="212" t="s">
        <v>545</v>
      </c>
      <c r="F1130" s="215">
        <v>262</v>
      </c>
      <c r="G1130" s="194">
        <v>2.5506016440962149</v>
      </c>
      <c r="H1130" s="195">
        <f t="shared" si="17"/>
        <v>668.25763075320833</v>
      </c>
      <c r="I1130" s="212" t="s">
        <v>2354</v>
      </c>
    </row>
    <row r="1131" spans="1:9" x14ac:dyDescent="0.25">
      <c r="A1131" s="193" t="s">
        <v>220</v>
      </c>
      <c r="B1131" s="193" t="s">
        <v>2351</v>
      </c>
      <c r="C1131" s="214" t="s">
        <v>2498</v>
      </c>
      <c r="D1131" s="193" t="s">
        <v>2499</v>
      </c>
      <c r="E1131" s="212" t="s">
        <v>545</v>
      </c>
      <c r="F1131" s="213">
        <v>145</v>
      </c>
      <c r="G1131" s="194">
        <v>30.827600000000004</v>
      </c>
      <c r="H1131" s="195">
        <f t="shared" si="17"/>
        <v>4470.0020000000004</v>
      </c>
      <c r="I1131" s="212" t="s">
        <v>2354</v>
      </c>
    </row>
    <row r="1132" spans="1:9" x14ac:dyDescent="0.25">
      <c r="A1132" s="193" t="s">
        <v>220</v>
      </c>
      <c r="B1132" s="193" t="s">
        <v>2351</v>
      </c>
      <c r="C1132" s="214" t="s">
        <v>2500</v>
      </c>
      <c r="D1132" s="193" t="s">
        <v>2501</v>
      </c>
      <c r="E1132" s="212" t="s">
        <v>545</v>
      </c>
      <c r="F1132" s="215">
        <v>4</v>
      </c>
      <c r="G1132" s="194">
        <v>383.8</v>
      </c>
      <c r="H1132" s="195">
        <f t="shared" si="17"/>
        <v>1535.2</v>
      </c>
      <c r="I1132" s="212" t="s">
        <v>2354</v>
      </c>
    </row>
    <row r="1133" spans="1:9" x14ac:dyDescent="0.25">
      <c r="A1133" s="193" t="s">
        <v>220</v>
      </c>
      <c r="B1133" s="193" t="s">
        <v>2351</v>
      </c>
      <c r="C1133" s="214" t="s">
        <v>2502</v>
      </c>
      <c r="D1133" s="193" t="s">
        <v>2503</v>
      </c>
      <c r="E1133" s="212" t="s">
        <v>545</v>
      </c>
      <c r="F1133" s="215">
        <v>3</v>
      </c>
      <c r="G1133" s="194">
        <v>95.95</v>
      </c>
      <c r="H1133" s="195">
        <f t="shared" si="17"/>
        <v>287.85000000000002</v>
      </c>
      <c r="I1133" s="212" t="s">
        <v>2354</v>
      </c>
    </row>
    <row r="1134" spans="1:9" x14ac:dyDescent="0.25">
      <c r="A1134" s="193" t="s">
        <v>220</v>
      </c>
      <c r="B1134" s="193" t="s">
        <v>2351</v>
      </c>
      <c r="C1134" s="214" t="s">
        <v>2504</v>
      </c>
      <c r="D1134" s="193" t="s">
        <v>2505</v>
      </c>
      <c r="E1134" s="212" t="s">
        <v>545</v>
      </c>
      <c r="F1134" s="215">
        <v>1</v>
      </c>
      <c r="G1134" s="194">
        <v>90.9</v>
      </c>
      <c r="H1134" s="195">
        <f t="shared" si="17"/>
        <v>90.9</v>
      </c>
      <c r="I1134" s="212" t="s">
        <v>2354</v>
      </c>
    </row>
    <row r="1135" spans="1:9" x14ac:dyDescent="0.25">
      <c r="A1135" s="193" t="s">
        <v>220</v>
      </c>
      <c r="B1135" s="193" t="s">
        <v>2351</v>
      </c>
      <c r="C1135" s="214" t="s">
        <v>2506</v>
      </c>
      <c r="D1135" s="193" t="s">
        <v>2507</v>
      </c>
      <c r="E1135" s="212" t="s">
        <v>545</v>
      </c>
      <c r="F1135" s="213">
        <v>142</v>
      </c>
      <c r="G1135" s="194">
        <v>27.400289999999998</v>
      </c>
      <c r="H1135" s="195">
        <f t="shared" si="17"/>
        <v>3890.8411799999999</v>
      </c>
      <c r="I1135" s="212" t="s">
        <v>2354</v>
      </c>
    </row>
    <row r="1136" spans="1:9" x14ac:dyDescent="0.25">
      <c r="A1136" s="193" t="s">
        <v>220</v>
      </c>
      <c r="B1136" s="193" t="s">
        <v>2351</v>
      </c>
      <c r="C1136" s="214" t="s">
        <v>2508</v>
      </c>
      <c r="D1136" s="193" t="s">
        <v>2509</v>
      </c>
      <c r="E1136" s="212" t="s">
        <v>545</v>
      </c>
      <c r="F1136" s="215">
        <v>3</v>
      </c>
      <c r="G1136" s="194">
        <v>383.8</v>
      </c>
      <c r="H1136" s="195">
        <f t="shared" si="17"/>
        <v>1151.4000000000001</v>
      </c>
      <c r="I1136" s="212" t="s">
        <v>2354</v>
      </c>
    </row>
    <row r="1137" spans="1:9" x14ac:dyDescent="0.25">
      <c r="A1137" s="193" t="s">
        <v>220</v>
      </c>
      <c r="B1137" s="193" t="s">
        <v>2351</v>
      </c>
      <c r="C1137" s="214" t="s">
        <v>2510</v>
      </c>
      <c r="D1137" s="193" t="s">
        <v>2511</v>
      </c>
      <c r="E1137" s="212" t="s">
        <v>545</v>
      </c>
      <c r="F1137" s="213">
        <v>263</v>
      </c>
      <c r="G1137" s="194">
        <v>27.400289999999998</v>
      </c>
      <c r="H1137" s="195">
        <f t="shared" si="17"/>
        <v>7206.2762699999994</v>
      </c>
      <c r="I1137" s="212" t="s">
        <v>2354</v>
      </c>
    </row>
    <row r="1138" spans="1:9" x14ac:dyDescent="0.25">
      <c r="A1138" s="193" t="s">
        <v>220</v>
      </c>
      <c r="B1138" s="193" t="s">
        <v>2351</v>
      </c>
      <c r="C1138" s="214" t="s">
        <v>2512</v>
      </c>
      <c r="D1138" s="193" t="s">
        <v>2513</v>
      </c>
      <c r="E1138" s="212" t="s">
        <v>545</v>
      </c>
      <c r="F1138" s="215">
        <v>2</v>
      </c>
      <c r="G1138" s="194">
        <v>50</v>
      </c>
      <c r="H1138" s="195">
        <f t="shared" si="17"/>
        <v>100</v>
      </c>
      <c r="I1138" s="212" t="s">
        <v>2354</v>
      </c>
    </row>
    <row r="1139" spans="1:9" x14ac:dyDescent="0.25">
      <c r="A1139" s="193" t="s">
        <v>220</v>
      </c>
      <c r="B1139" s="193" t="s">
        <v>2351</v>
      </c>
      <c r="C1139" s="214" t="s">
        <v>2514</v>
      </c>
      <c r="D1139" s="193" t="s">
        <v>2515</v>
      </c>
      <c r="E1139" s="212" t="s">
        <v>545</v>
      </c>
      <c r="F1139" s="215">
        <v>1</v>
      </c>
      <c r="G1139" s="194">
        <v>1203.9933554960826</v>
      </c>
      <c r="H1139" s="195">
        <f t="shared" si="17"/>
        <v>1203.9933554960826</v>
      </c>
      <c r="I1139" s="212" t="s">
        <v>2354</v>
      </c>
    </row>
    <row r="1140" spans="1:9" x14ac:dyDescent="0.25">
      <c r="A1140" s="193" t="s">
        <v>220</v>
      </c>
      <c r="B1140" s="193" t="s">
        <v>2351</v>
      </c>
      <c r="C1140" s="214" t="s">
        <v>2516</v>
      </c>
      <c r="D1140" s="193" t="s">
        <v>2517</v>
      </c>
      <c r="E1140" s="212" t="s">
        <v>545</v>
      </c>
      <c r="F1140" s="215">
        <v>0</v>
      </c>
      <c r="G1140" s="194">
        <v>87.207000000000008</v>
      </c>
      <c r="H1140" s="195">
        <f t="shared" si="17"/>
        <v>0</v>
      </c>
      <c r="I1140" s="212" t="s">
        <v>2354</v>
      </c>
    </row>
    <row r="1141" spans="1:9" x14ac:dyDescent="0.25">
      <c r="A1141" s="193" t="s">
        <v>220</v>
      </c>
      <c r="B1141" s="193" t="s">
        <v>2351</v>
      </c>
      <c r="C1141" s="214" t="s">
        <v>2518</v>
      </c>
      <c r="D1141" s="193" t="s">
        <v>2519</v>
      </c>
      <c r="E1141" s="212" t="s">
        <v>545</v>
      </c>
      <c r="F1141" s="215">
        <v>1</v>
      </c>
      <c r="G1141" s="194">
        <v>4.59</v>
      </c>
      <c r="H1141" s="195">
        <f t="shared" si="17"/>
        <v>4.59</v>
      </c>
      <c r="I1141" s="212" t="s">
        <v>2354</v>
      </c>
    </row>
    <row r="1142" spans="1:9" x14ac:dyDescent="0.25">
      <c r="A1142" s="193" t="s">
        <v>220</v>
      </c>
      <c r="B1142" s="193" t="s">
        <v>2351</v>
      </c>
      <c r="C1142" s="214" t="s">
        <v>2520</v>
      </c>
      <c r="D1142" s="193" t="s">
        <v>2521</v>
      </c>
      <c r="E1142" s="212" t="s">
        <v>545</v>
      </c>
      <c r="F1142" s="215">
        <v>3</v>
      </c>
      <c r="G1142" s="194">
        <v>20.2761</v>
      </c>
      <c r="H1142" s="195">
        <f t="shared" si="17"/>
        <v>60.828299999999999</v>
      </c>
      <c r="I1142" s="212" t="s">
        <v>2354</v>
      </c>
    </row>
    <row r="1143" spans="1:9" x14ac:dyDescent="0.25">
      <c r="A1143" s="193" t="s">
        <v>220</v>
      </c>
      <c r="B1143" s="193" t="s">
        <v>2351</v>
      </c>
      <c r="C1143" s="214" t="s">
        <v>2522</v>
      </c>
      <c r="D1143" s="193" t="s">
        <v>2523</v>
      </c>
      <c r="E1143" s="212" t="s">
        <v>545</v>
      </c>
      <c r="F1143" s="215">
        <v>7</v>
      </c>
      <c r="G1143" s="194">
        <v>40.910499999999999</v>
      </c>
      <c r="H1143" s="195">
        <f t="shared" si="17"/>
        <v>286.37349999999998</v>
      </c>
      <c r="I1143" s="212" t="s">
        <v>2354</v>
      </c>
    </row>
    <row r="1144" spans="1:9" x14ac:dyDescent="0.25">
      <c r="A1144" s="193" t="s">
        <v>220</v>
      </c>
      <c r="B1144" s="193" t="s">
        <v>2351</v>
      </c>
      <c r="C1144" s="214" t="s">
        <v>2524</v>
      </c>
      <c r="D1144" s="193" t="s">
        <v>2525</v>
      </c>
      <c r="E1144" s="212" t="s">
        <v>545</v>
      </c>
      <c r="F1144" s="215">
        <v>6</v>
      </c>
      <c r="G1144" s="194">
        <v>245.34055181576011</v>
      </c>
      <c r="H1144" s="195">
        <f t="shared" si="17"/>
        <v>1472.0433108945606</v>
      </c>
      <c r="I1144" s="212" t="s">
        <v>2354</v>
      </c>
    </row>
    <row r="1145" spans="1:9" x14ac:dyDescent="0.25">
      <c r="A1145" s="193" t="s">
        <v>220</v>
      </c>
      <c r="B1145" s="193" t="s">
        <v>2351</v>
      </c>
      <c r="C1145" s="214" t="s">
        <v>2526</v>
      </c>
      <c r="D1145" s="193" t="s">
        <v>2527</v>
      </c>
      <c r="E1145" s="212" t="s">
        <v>545</v>
      </c>
      <c r="F1145" s="215">
        <v>6</v>
      </c>
      <c r="G1145" s="194">
        <v>330.52017303815018</v>
      </c>
      <c r="H1145" s="195">
        <f t="shared" si="17"/>
        <v>1983.1210382289009</v>
      </c>
      <c r="I1145" s="212" t="s">
        <v>2354</v>
      </c>
    </row>
    <row r="1146" spans="1:9" x14ac:dyDescent="0.25">
      <c r="A1146" s="193" t="s">
        <v>220</v>
      </c>
      <c r="B1146" s="193" t="s">
        <v>2351</v>
      </c>
      <c r="C1146" s="214" t="s">
        <v>2528</v>
      </c>
      <c r="D1146" s="193" t="s">
        <v>2529</v>
      </c>
      <c r="E1146" s="212" t="s">
        <v>545</v>
      </c>
      <c r="F1146" s="215">
        <v>8</v>
      </c>
      <c r="G1146" s="194">
        <v>17.052</v>
      </c>
      <c r="H1146" s="195">
        <f t="shared" si="17"/>
        <v>136.416</v>
      </c>
      <c r="I1146" s="212" t="s">
        <v>2354</v>
      </c>
    </row>
    <row r="1147" spans="1:9" x14ac:dyDescent="0.25">
      <c r="A1147" s="193" t="s">
        <v>220</v>
      </c>
      <c r="B1147" s="193" t="s">
        <v>2351</v>
      </c>
      <c r="C1147" s="214" t="s">
        <v>2530</v>
      </c>
      <c r="D1147" s="193" t="s">
        <v>2531</v>
      </c>
      <c r="E1147" s="212" t="s">
        <v>545</v>
      </c>
      <c r="F1147" s="215">
        <v>35</v>
      </c>
      <c r="G1147" s="194">
        <v>33.313431199999997</v>
      </c>
      <c r="H1147" s="195">
        <f t="shared" si="17"/>
        <v>1165.9700919999998</v>
      </c>
      <c r="I1147" s="212" t="s">
        <v>2354</v>
      </c>
    </row>
    <row r="1148" spans="1:9" x14ac:dyDescent="0.25">
      <c r="A1148" s="193" t="s">
        <v>220</v>
      </c>
      <c r="B1148" s="193" t="s">
        <v>2351</v>
      </c>
      <c r="C1148" s="214" t="s">
        <v>2532</v>
      </c>
      <c r="D1148" s="193" t="s">
        <v>2533</v>
      </c>
      <c r="E1148" s="212" t="s">
        <v>545</v>
      </c>
      <c r="F1148" s="215">
        <v>1</v>
      </c>
      <c r="G1148" s="194">
        <v>695</v>
      </c>
      <c r="H1148" s="195">
        <f t="shared" si="17"/>
        <v>695</v>
      </c>
      <c r="I1148" s="212" t="s">
        <v>2354</v>
      </c>
    </row>
    <row r="1149" spans="1:9" x14ac:dyDescent="0.25">
      <c r="A1149" s="193" t="s">
        <v>220</v>
      </c>
      <c r="B1149" s="193" t="s">
        <v>2351</v>
      </c>
      <c r="C1149" s="214" t="s">
        <v>2534</v>
      </c>
      <c r="D1149" s="193" t="s">
        <v>2535</v>
      </c>
      <c r="E1149" s="212" t="s">
        <v>545</v>
      </c>
      <c r="F1149" s="215">
        <v>1</v>
      </c>
      <c r="G1149" s="194">
        <v>44.625</v>
      </c>
      <c r="H1149" s="195">
        <f t="shared" si="17"/>
        <v>44.625</v>
      </c>
      <c r="I1149" s="212" t="s">
        <v>2354</v>
      </c>
    </row>
    <row r="1150" spans="1:9" x14ac:dyDescent="0.25">
      <c r="A1150" s="193" t="s">
        <v>220</v>
      </c>
      <c r="B1150" s="193" t="s">
        <v>2351</v>
      </c>
      <c r="C1150" s="214" t="s">
        <v>2536</v>
      </c>
      <c r="D1150" s="193" t="s">
        <v>2537</v>
      </c>
      <c r="E1150" s="212" t="s">
        <v>545</v>
      </c>
      <c r="F1150" s="215">
        <v>8</v>
      </c>
      <c r="G1150" s="194">
        <v>35</v>
      </c>
      <c r="H1150" s="195">
        <f t="shared" si="17"/>
        <v>280</v>
      </c>
      <c r="I1150" s="212" t="s">
        <v>2354</v>
      </c>
    </row>
    <row r="1151" spans="1:9" x14ac:dyDescent="0.25">
      <c r="A1151" s="193" t="s">
        <v>220</v>
      </c>
      <c r="B1151" s="193" t="s">
        <v>2351</v>
      </c>
      <c r="C1151" s="214" t="s">
        <v>2538</v>
      </c>
      <c r="D1151" s="193" t="s">
        <v>2539</v>
      </c>
      <c r="E1151" s="212" t="s">
        <v>545</v>
      </c>
      <c r="F1151" s="215">
        <v>1</v>
      </c>
      <c r="G1151" s="194">
        <v>1025.271</v>
      </c>
      <c r="H1151" s="195">
        <f t="shared" si="17"/>
        <v>1025.271</v>
      </c>
      <c r="I1151" s="212" t="s">
        <v>2354</v>
      </c>
    </row>
    <row r="1152" spans="1:9" x14ac:dyDescent="0.25">
      <c r="A1152" s="193" t="s">
        <v>220</v>
      </c>
      <c r="B1152" s="193" t="s">
        <v>2351</v>
      </c>
      <c r="C1152" s="214" t="s">
        <v>2540</v>
      </c>
      <c r="D1152" s="193" t="s">
        <v>2541</v>
      </c>
      <c r="E1152" s="212" t="s">
        <v>545</v>
      </c>
      <c r="F1152" s="215">
        <v>2</v>
      </c>
      <c r="G1152" s="194">
        <v>41.491050000000001</v>
      </c>
      <c r="H1152" s="195">
        <f t="shared" si="17"/>
        <v>82.982100000000003</v>
      </c>
      <c r="I1152" s="212" t="s">
        <v>2354</v>
      </c>
    </row>
    <row r="1153" spans="1:9" x14ac:dyDescent="0.25">
      <c r="A1153" s="193" t="s">
        <v>220</v>
      </c>
      <c r="B1153" s="193" t="s">
        <v>2351</v>
      </c>
      <c r="C1153" s="214" t="s">
        <v>2542</v>
      </c>
      <c r="D1153" s="193" t="s">
        <v>2543</v>
      </c>
      <c r="E1153" s="212" t="s">
        <v>545</v>
      </c>
      <c r="F1153" s="215">
        <v>6</v>
      </c>
      <c r="G1153" s="194">
        <v>199.49700000000001</v>
      </c>
      <c r="H1153" s="195">
        <f t="shared" si="17"/>
        <v>1196.982</v>
      </c>
      <c r="I1153" s="212" t="s">
        <v>2354</v>
      </c>
    </row>
    <row r="1154" spans="1:9" x14ac:dyDescent="0.25">
      <c r="A1154" s="193" t="s">
        <v>220</v>
      </c>
      <c r="B1154" s="193" t="s">
        <v>2351</v>
      </c>
      <c r="C1154" s="214" t="s">
        <v>2544</v>
      </c>
      <c r="D1154" s="193" t="s">
        <v>2545</v>
      </c>
      <c r="E1154" s="212" t="s">
        <v>545</v>
      </c>
      <c r="F1154" s="215">
        <v>4</v>
      </c>
      <c r="G1154" s="194">
        <v>554.62175999999999</v>
      </c>
      <c r="H1154" s="195">
        <f t="shared" si="17"/>
        <v>2218.48704</v>
      </c>
      <c r="I1154" s="212" t="s">
        <v>2354</v>
      </c>
    </row>
    <row r="1155" spans="1:9" x14ac:dyDescent="0.25">
      <c r="A1155" s="193" t="s">
        <v>220</v>
      </c>
      <c r="B1155" s="193" t="s">
        <v>2351</v>
      </c>
      <c r="C1155" s="214" t="s">
        <v>2546</v>
      </c>
      <c r="D1155" s="193" t="s">
        <v>2547</v>
      </c>
      <c r="E1155" s="212" t="s">
        <v>545</v>
      </c>
      <c r="F1155" s="215">
        <v>21</v>
      </c>
      <c r="G1155" s="194">
        <v>12.441599999999999</v>
      </c>
      <c r="H1155" s="195">
        <f t="shared" si="17"/>
        <v>261.27359999999999</v>
      </c>
      <c r="I1155" s="212" t="s">
        <v>2354</v>
      </c>
    </row>
    <row r="1156" spans="1:9" x14ac:dyDescent="0.25">
      <c r="A1156" s="193" t="s">
        <v>220</v>
      </c>
      <c r="B1156" s="193" t="s">
        <v>2351</v>
      </c>
      <c r="C1156" s="214" t="s">
        <v>2548</v>
      </c>
      <c r="D1156" s="193" t="s">
        <v>2549</v>
      </c>
      <c r="E1156" s="212" t="s">
        <v>545</v>
      </c>
      <c r="F1156" s="213">
        <v>130</v>
      </c>
      <c r="G1156" s="194">
        <v>70.7</v>
      </c>
      <c r="H1156" s="195">
        <f t="shared" si="17"/>
        <v>9191</v>
      </c>
      <c r="I1156" s="212" t="s">
        <v>2354</v>
      </c>
    </row>
    <row r="1157" spans="1:9" x14ac:dyDescent="0.25">
      <c r="A1157" s="193" t="s">
        <v>220</v>
      </c>
      <c r="B1157" s="193" t="s">
        <v>2351</v>
      </c>
      <c r="C1157" s="214" t="s">
        <v>2550</v>
      </c>
      <c r="D1157" s="193" t="s">
        <v>2551</v>
      </c>
      <c r="E1157" s="212" t="s">
        <v>545</v>
      </c>
      <c r="F1157" s="215">
        <v>1</v>
      </c>
      <c r="G1157" s="194">
        <v>80.75</v>
      </c>
      <c r="H1157" s="195">
        <f t="shared" ref="H1157:H1220" si="18">+F1157*G1157</f>
        <v>80.75</v>
      </c>
      <c r="I1157" s="212" t="s">
        <v>2354</v>
      </c>
    </row>
    <row r="1158" spans="1:9" x14ac:dyDescent="0.25">
      <c r="A1158" s="193" t="s">
        <v>220</v>
      </c>
      <c r="B1158" s="193" t="s">
        <v>2351</v>
      </c>
      <c r="C1158" s="214" t="s">
        <v>2552</v>
      </c>
      <c r="D1158" s="193" t="s">
        <v>2553</v>
      </c>
      <c r="E1158" s="212" t="s">
        <v>545</v>
      </c>
      <c r="F1158" s="215">
        <v>1</v>
      </c>
      <c r="G1158" s="194">
        <v>80.75</v>
      </c>
      <c r="H1158" s="195">
        <f t="shared" si="18"/>
        <v>80.75</v>
      </c>
      <c r="I1158" s="212" t="s">
        <v>2354</v>
      </c>
    </row>
    <row r="1159" spans="1:9" x14ac:dyDescent="0.25">
      <c r="A1159" s="193" t="s">
        <v>220</v>
      </c>
      <c r="B1159" s="193" t="s">
        <v>2351</v>
      </c>
      <c r="C1159" s="214" t="s">
        <v>2554</v>
      </c>
      <c r="D1159" s="193" t="s">
        <v>2555</v>
      </c>
      <c r="E1159" s="212" t="s">
        <v>545</v>
      </c>
      <c r="F1159" s="215">
        <v>2</v>
      </c>
      <c r="G1159" s="194">
        <v>52</v>
      </c>
      <c r="H1159" s="195">
        <f t="shared" si="18"/>
        <v>104</v>
      </c>
      <c r="I1159" s="212" t="s">
        <v>2354</v>
      </c>
    </row>
    <row r="1160" spans="1:9" x14ac:dyDescent="0.25">
      <c r="A1160" s="193" t="s">
        <v>220</v>
      </c>
      <c r="B1160" s="193" t="s">
        <v>2351</v>
      </c>
      <c r="C1160" s="214" t="s">
        <v>2556</v>
      </c>
      <c r="D1160" s="193" t="s">
        <v>2557</v>
      </c>
      <c r="E1160" s="212" t="s">
        <v>545</v>
      </c>
      <c r="F1160" s="215">
        <v>6</v>
      </c>
      <c r="G1160" s="194">
        <v>60</v>
      </c>
      <c r="H1160" s="195">
        <f t="shared" si="18"/>
        <v>360</v>
      </c>
      <c r="I1160" s="212" t="s">
        <v>2354</v>
      </c>
    </row>
    <row r="1161" spans="1:9" x14ac:dyDescent="0.25">
      <c r="A1161" s="193" t="s">
        <v>220</v>
      </c>
      <c r="B1161" s="193" t="s">
        <v>2351</v>
      </c>
      <c r="C1161" s="214" t="s">
        <v>2558</v>
      </c>
      <c r="D1161" s="193" t="s">
        <v>2559</v>
      </c>
      <c r="E1161" s="212" t="s">
        <v>545</v>
      </c>
      <c r="F1161" s="213">
        <v>700</v>
      </c>
      <c r="G1161" s="194">
        <v>14.6965</v>
      </c>
      <c r="H1161" s="195">
        <f t="shared" si="18"/>
        <v>10287.550000000001</v>
      </c>
      <c r="I1161" s="212" t="s">
        <v>2354</v>
      </c>
    </row>
    <row r="1162" spans="1:9" x14ac:dyDescent="0.25">
      <c r="A1162" s="193" t="s">
        <v>220</v>
      </c>
      <c r="B1162" s="193" t="s">
        <v>2351</v>
      </c>
      <c r="C1162" s="214" t="s">
        <v>2560</v>
      </c>
      <c r="D1162" s="193" t="s">
        <v>2561</v>
      </c>
      <c r="E1162" s="212" t="s">
        <v>545</v>
      </c>
      <c r="F1162" s="215">
        <v>93</v>
      </c>
      <c r="G1162" s="194">
        <v>24.99952</v>
      </c>
      <c r="H1162" s="195">
        <f t="shared" si="18"/>
        <v>2324.9553599999999</v>
      </c>
      <c r="I1162" s="212" t="s">
        <v>2354</v>
      </c>
    </row>
    <row r="1163" spans="1:9" x14ac:dyDescent="0.25">
      <c r="A1163" s="193" t="s">
        <v>220</v>
      </c>
      <c r="B1163" s="193" t="s">
        <v>2351</v>
      </c>
      <c r="C1163" s="214" t="s">
        <v>2562</v>
      </c>
      <c r="D1163" s="193" t="s">
        <v>2563</v>
      </c>
      <c r="E1163" s="212" t="s">
        <v>545</v>
      </c>
      <c r="F1163" s="215">
        <v>42</v>
      </c>
      <c r="G1163" s="194">
        <v>2.6299000000000001</v>
      </c>
      <c r="H1163" s="195">
        <f t="shared" si="18"/>
        <v>110.45580000000001</v>
      </c>
      <c r="I1163" s="212" t="s">
        <v>2354</v>
      </c>
    </row>
    <row r="1164" spans="1:9" x14ac:dyDescent="0.25">
      <c r="A1164" s="193" t="s">
        <v>220</v>
      </c>
      <c r="B1164" s="193" t="s">
        <v>2351</v>
      </c>
      <c r="C1164" s="214" t="s">
        <v>2564</v>
      </c>
      <c r="D1164" s="193" t="s">
        <v>2565</v>
      </c>
      <c r="E1164" s="212" t="s">
        <v>545</v>
      </c>
      <c r="F1164" s="215">
        <v>1</v>
      </c>
      <c r="G1164" s="194">
        <v>233.07</v>
      </c>
      <c r="H1164" s="195">
        <f t="shared" si="18"/>
        <v>233.07</v>
      </c>
      <c r="I1164" s="212" t="s">
        <v>2354</v>
      </c>
    </row>
    <row r="1165" spans="1:9" x14ac:dyDescent="0.25">
      <c r="A1165" s="193" t="s">
        <v>220</v>
      </c>
      <c r="B1165" s="193" t="s">
        <v>2351</v>
      </c>
      <c r="C1165" s="214" t="s">
        <v>2566</v>
      </c>
      <c r="D1165" s="193" t="s">
        <v>2567</v>
      </c>
      <c r="E1165" s="212" t="s">
        <v>545</v>
      </c>
      <c r="F1165" s="215">
        <v>1</v>
      </c>
      <c r="G1165" s="194">
        <v>110.17700000000001</v>
      </c>
      <c r="H1165" s="195">
        <f t="shared" si="18"/>
        <v>110.17700000000001</v>
      </c>
      <c r="I1165" s="212" t="s">
        <v>2354</v>
      </c>
    </row>
    <row r="1166" spans="1:9" x14ac:dyDescent="0.25">
      <c r="A1166" s="193" t="s">
        <v>220</v>
      </c>
      <c r="B1166" s="193" t="s">
        <v>2351</v>
      </c>
      <c r="C1166" s="214" t="s">
        <v>2568</v>
      </c>
      <c r="D1166" s="193" t="s">
        <v>2569</v>
      </c>
      <c r="E1166" s="212" t="s">
        <v>545</v>
      </c>
      <c r="F1166" s="215">
        <v>1</v>
      </c>
      <c r="G1166" s="194">
        <v>0</v>
      </c>
      <c r="H1166" s="195">
        <f t="shared" si="18"/>
        <v>0</v>
      </c>
      <c r="I1166" s="212" t="s">
        <v>2354</v>
      </c>
    </row>
    <row r="1167" spans="1:9" x14ac:dyDescent="0.25">
      <c r="A1167" s="193" t="s">
        <v>220</v>
      </c>
      <c r="B1167" s="193" t="s">
        <v>2351</v>
      </c>
      <c r="C1167" s="214" t="s">
        <v>2570</v>
      </c>
      <c r="D1167" s="193" t="s">
        <v>2571</v>
      </c>
      <c r="E1167" s="212" t="s">
        <v>545</v>
      </c>
      <c r="F1167" s="215">
        <v>1</v>
      </c>
      <c r="G1167" s="194">
        <v>104.61317</v>
      </c>
      <c r="H1167" s="195">
        <f t="shared" si="18"/>
        <v>104.61317</v>
      </c>
      <c r="I1167" s="212" t="s">
        <v>2354</v>
      </c>
    </row>
    <row r="1168" spans="1:9" x14ac:dyDescent="0.25">
      <c r="A1168" s="193" t="s">
        <v>220</v>
      </c>
      <c r="B1168" s="193" t="s">
        <v>2351</v>
      </c>
      <c r="C1168" s="214" t="s">
        <v>2572</v>
      </c>
      <c r="D1168" s="193" t="s">
        <v>2573</v>
      </c>
      <c r="E1168" s="212" t="s">
        <v>545</v>
      </c>
      <c r="F1168" s="215">
        <v>1</v>
      </c>
      <c r="G1168" s="194">
        <v>125.27179599999999</v>
      </c>
      <c r="H1168" s="195">
        <f t="shared" si="18"/>
        <v>125.27179599999999</v>
      </c>
      <c r="I1168" s="212" t="s">
        <v>2354</v>
      </c>
    </row>
    <row r="1169" spans="1:9" x14ac:dyDescent="0.25">
      <c r="A1169" s="193" t="s">
        <v>220</v>
      </c>
      <c r="B1169" s="193" t="s">
        <v>2351</v>
      </c>
      <c r="C1169" s="214" t="s">
        <v>2574</v>
      </c>
      <c r="D1169" s="193" t="s">
        <v>2575</v>
      </c>
      <c r="E1169" s="212" t="s">
        <v>545</v>
      </c>
      <c r="F1169" s="215">
        <v>5</v>
      </c>
      <c r="G1169" s="194">
        <v>323.07979</v>
      </c>
      <c r="H1169" s="195">
        <f t="shared" si="18"/>
        <v>1615.39895</v>
      </c>
      <c r="I1169" s="212" t="s">
        <v>2354</v>
      </c>
    </row>
    <row r="1170" spans="1:9" x14ac:dyDescent="0.25">
      <c r="A1170" s="193" t="s">
        <v>220</v>
      </c>
      <c r="B1170" s="193" t="s">
        <v>2351</v>
      </c>
      <c r="C1170" s="214" t="s">
        <v>2576</v>
      </c>
      <c r="D1170" s="193" t="s">
        <v>2577</v>
      </c>
      <c r="E1170" s="212" t="s">
        <v>545</v>
      </c>
      <c r="F1170" s="213">
        <v>10</v>
      </c>
      <c r="G1170" s="194">
        <v>489.173</v>
      </c>
      <c r="H1170" s="195">
        <f t="shared" si="18"/>
        <v>4891.7299999999996</v>
      </c>
      <c r="I1170" s="212" t="s">
        <v>2354</v>
      </c>
    </row>
    <row r="1171" spans="1:9" x14ac:dyDescent="0.25">
      <c r="A1171" s="193" t="s">
        <v>220</v>
      </c>
      <c r="B1171" s="193" t="s">
        <v>2351</v>
      </c>
      <c r="C1171" s="214" t="s">
        <v>2578</v>
      </c>
      <c r="D1171" s="193" t="s">
        <v>2579</v>
      </c>
      <c r="E1171" s="212" t="s">
        <v>545</v>
      </c>
      <c r="F1171" s="213">
        <v>1</v>
      </c>
      <c r="G1171" s="194">
        <v>6687.1639999999998</v>
      </c>
      <c r="H1171" s="195">
        <f t="shared" si="18"/>
        <v>6687.1639999999998</v>
      </c>
      <c r="I1171" s="212" t="s">
        <v>2354</v>
      </c>
    </row>
    <row r="1172" spans="1:9" x14ac:dyDescent="0.25">
      <c r="A1172" s="193" t="s">
        <v>220</v>
      </c>
      <c r="B1172" s="193" t="s">
        <v>2351</v>
      </c>
      <c r="C1172" s="214" t="s">
        <v>2580</v>
      </c>
      <c r="D1172" s="193" t="s">
        <v>2581</v>
      </c>
      <c r="E1172" s="212" t="s">
        <v>545</v>
      </c>
      <c r="F1172" s="215">
        <v>1</v>
      </c>
      <c r="G1172" s="194">
        <v>936.24</v>
      </c>
      <c r="H1172" s="195">
        <f t="shared" si="18"/>
        <v>936.24</v>
      </c>
      <c r="I1172" s="212" t="s">
        <v>2354</v>
      </c>
    </row>
    <row r="1173" spans="1:9" x14ac:dyDescent="0.25">
      <c r="A1173" s="193" t="s">
        <v>220</v>
      </c>
      <c r="B1173" s="193" t="s">
        <v>2351</v>
      </c>
      <c r="C1173" s="214" t="s">
        <v>2582</v>
      </c>
      <c r="D1173" s="193" t="s">
        <v>2583</v>
      </c>
      <c r="E1173" s="212" t="s">
        <v>545</v>
      </c>
      <c r="F1173" s="215">
        <v>6</v>
      </c>
      <c r="G1173" s="194">
        <v>282.38877000000002</v>
      </c>
      <c r="H1173" s="195">
        <f t="shared" si="18"/>
        <v>1694.3326200000001</v>
      </c>
      <c r="I1173" s="212" t="s">
        <v>2354</v>
      </c>
    </row>
    <row r="1174" spans="1:9" x14ac:dyDescent="0.25">
      <c r="A1174" s="193" t="s">
        <v>220</v>
      </c>
      <c r="B1174" s="193" t="s">
        <v>2351</v>
      </c>
      <c r="C1174" s="214" t="s">
        <v>2584</v>
      </c>
      <c r="D1174" s="193" t="s">
        <v>2585</v>
      </c>
      <c r="E1174" s="212" t="s">
        <v>545</v>
      </c>
      <c r="F1174" s="213">
        <v>1</v>
      </c>
      <c r="G1174" s="194">
        <v>4433.3729999999996</v>
      </c>
      <c r="H1174" s="195">
        <f t="shared" si="18"/>
        <v>4433.3729999999996</v>
      </c>
      <c r="I1174" s="212" t="s">
        <v>2354</v>
      </c>
    </row>
    <row r="1175" spans="1:9" x14ac:dyDescent="0.25">
      <c r="A1175" s="193" t="s">
        <v>220</v>
      </c>
      <c r="B1175" s="193" t="s">
        <v>2351</v>
      </c>
      <c r="C1175" s="214" t="s">
        <v>2586</v>
      </c>
      <c r="D1175" s="193" t="s">
        <v>2587</v>
      </c>
      <c r="E1175" s="212" t="s">
        <v>545</v>
      </c>
      <c r="F1175" s="215">
        <v>3</v>
      </c>
      <c r="G1175" s="194">
        <v>277.1277</v>
      </c>
      <c r="H1175" s="195">
        <f t="shared" si="18"/>
        <v>831.38310000000001</v>
      </c>
      <c r="I1175" s="212" t="s">
        <v>2354</v>
      </c>
    </row>
    <row r="1176" spans="1:9" x14ac:dyDescent="0.25">
      <c r="A1176" s="193" t="s">
        <v>220</v>
      </c>
      <c r="B1176" s="193" t="s">
        <v>2351</v>
      </c>
      <c r="C1176" s="214" t="s">
        <v>2588</v>
      </c>
      <c r="D1176" s="193" t="s">
        <v>2589</v>
      </c>
      <c r="E1176" s="212" t="s">
        <v>545</v>
      </c>
      <c r="F1176" s="215">
        <v>3</v>
      </c>
      <c r="G1176" s="194">
        <v>277.1277</v>
      </c>
      <c r="H1176" s="195">
        <f t="shared" si="18"/>
        <v>831.38310000000001</v>
      </c>
      <c r="I1176" s="212" t="s">
        <v>2354</v>
      </c>
    </row>
    <row r="1177" spans="1:9" x14ac:dyDescent="0.25">
      <c r="A1177" s="193" t="s">
        <v>220</v>
      </c>
      <c r="B1177" s="193" t="s">
        <v>2351</v>
      </c>
      <c r="C1177" s="214" t="s">
        <v>2590</v>
      </c>
      <c r="D1177" s="193" t="s">
        <v>2591</v>
      </c>
      <c r="E1177" s="212" t="s">
        <v>545</v>
      </c>
      <c r="F1177" s="213">
        <v>9</v>
      </c>
      <c r="G1177" s="194">
        <v>283.80860000000001</v>
      </c>
      <c r="H1177" s="195">
        <f t="shared" si="18"/>
        <v>2554.2773999999999</v>
      </c>
      <c r="I1177" s="212" t="s">
        <v>2354</v>
      </c>
    </row>
    <row r="1178" spans="1:9" x14ac:dyDescent="0.25">
      <c r="A1178" s="193" t="s">
        <v>220</v>
      </c>
      <c r="B1178" s="193" t="s">
        <v>2351</v>
      </c>
      <c r="C1178" s="214" t="s">
        <v>2592</v>
      </c>
      <c r="D1178" s="193" t="s">
        <v>2593</v>
      </c>
      <c r="E1178" s="212" t="s">
        <v>545</v>
      </c>
      <c r="F1178" s="213">
        <v>6</v>
      </c>
      <c r="G1178" s="194">
        <v>589.06785000000002</v>
      </c>
      <c r="H1178" s="195">
        <f t="shared" si="18"/>
        <v>3534.4071000000004</v>
      </c>
      <c r="I1178" s="212" t="s">
        <v>2354</v>
      </c>
    </row>
    <row r="1179" spans="1:9" x14ac:dyDescent="0.25">
      <c r="A1179" s="193" t="s">
        <v>220</v>
      </c>
      <c r="B1179" s="193" t="s">
        <v>2351</v>
      </c>
      <c r="C1179" s="214" t="s">
        <v>2594</v>
      </c>
      <c r="D1179" s="193" t="s">
        <v>2595</v>
      </c>
      <c r="E1179" s="212" t="s">
        <v>545</v>
      </c>
      <c r="F1179" s="215">
        <v>1</v>
      </c>
      <c r="G1179" s="194">
        <v>1441.8788999999999</v>
      </c>
      <c r="H1179" s="195">
        <f t="shared" si="18"/>
        <v>1441.8788999999999</v>
      </c>
      <c r="I1179" s="212" t="s">
        <v>2354</v>
      </c>
    </row>
    <row r="1180" spans="1:9" x14ac:dyDescent="0.25">
      <c r="A1180" s="193" t="s">
        <v>220</v>
      </c>
      <c r="B1180" s="193" t="s">
        <v>2351</v>
      </c>
      <c r="C1180" s="214" t="s">
        <v>2596</v>
      </c>
      <c r="D1180" s="193" t="s">
        <v>2597</v>
      </c>
      <c r="E1180" s="212" t="s">
        <v>545</v>
      </c>
      <c r="F1180" s="215">
        <v>4</v>
      </c>
      <c r="G1180" s="194">
        <v>29.407765445340271</v>
      </c>
      <c r="H1180" s="195">
        <f t="shared" si="18"/>
        <v>117.63106178136108</v>
      </c>
      <c r="I1180" s="212" t="s">
        <v>2354</v>
      </c>
    </row>
    <row r="1181" spans="1:9" x14ac:dyDescent="0.25">
      <c r="A1181" s="193" t="s">
        <v>220</v>
      </c>
      <c r="B1181" s="193" t="s">
        <v>2351</v>
      </c>
      <c r="C1181" s="214" t="s">
        <v>2598</v>
      </c>
      <c r="D1181" s="193" t="s">
        <v>2599</v>
      </c>
      <c r="E1181" s="212" t="s">
        <v>545</v>
      </c>
      <c r="F1181" s="215">
        <v>4</v>
      </c>
      <c r="G1181" s="194">
        <v>30.045605106825956</v>
      </c>
      <c r="H1181" s="195">
        <f t="shared" si="18"/>
        <v>120.18242042730382</v>
      </c>
      <c r="I1181" s="212" t="s">
        <v>2354</v>
      </c>
    </row>
    <row r="1182" spans="1:9" x14ac:dyDescent="0.25">
      <c r="A1182" s="193" t="s">
        <v>220</v>
      </c>
      <c r="B1182" s="193" t="s">
        <v>2351</v>
      </c>
      <c r="C1182" s="214" t="s">
        <v>2600</v>
      </c>
      <c r="D1182" s="193" t="s">
        <v>2601</v>
      </c>
      <c r="E1182" s="212" t="s">
        <v>545</v>
      </c>
      <c r="F1182" s="215">
        <v>2</v>
      </c>
      <c r="G1182" s="194">
        <v>90.438949896971096</v>
      </c>
      <c r="H1182" s="195">
        <f t="shared" si="18"/>
        <v>180.87789979394219</v>
      </c>
      <c r="I1182" s="212" t="s">
        <v>2354</v>
      </c>
    </row>
    <row r="1183" spans="1:9" x14ac:dyDescent="0.25">
      <c r="A1183" s="193" t="s">
        <v>220</v>
      </c>
      <c r="B1183" s="193" t="s">
        <v>2351</v>
      </c>
      <c r="C1183" s="214" t="s">
        <v>2602</v>
      </c>
      <c r="D1183" s="193" t="s">
        <v>2603</v>
      </c>
      <c r="E1183" s="212" t="s">
        <v>545</v>
      </c>
      <c r="F1183" s="215">
        <v>2</v>
      </c>
      <c r="G1183" s="194">
        <v>94.803116001873192</v>
      </c>
      <c r="H1183" s="195">
        <f t="shared" si="18"/>
        <v>189.60623200374638</v>
      </c>
      <c r="I1183" s="212" t="s">
        <v>2354</v>
      </c>
    </row>
    <row r="1184" spans="1:9" x14ac:dyDescent="0.25">
      <c r="A1184" s="193" t="s">
        <v>220</v>
      </c>
      <c r="B1184" s="193" t="s">
        <v>2351</v>
      </c>
      <c r="C1184" s="214" t="s">
        <v>2604</v>
      </c>
      <c r="D1184" s="193" t="s">
        <v>2605</v>
      </c>
      <c r="E1184" s="212" t="s">
        <v>545</v>
      </c>
      <c r="F1184" s="215">
        <v>2</v>
      </c>
      <c r="G1184" s="194">
        <v>246.74323746946459</v>
      </c>
      <c r="H1184" s="195">
        <f t="shared" si="18"/>
        <v>493.48647493892918</v>
      </c>
      <c r="I1184" s="212" t="s">
        <v>2354</v>
      </c>
    </row>
    <row r="1185" spans="1:9" x14ac:dyDescent="0.25">
      <c r="A1185" s="193" t="s">
        <v>220</v>
      </c>
      <c r="B1185" s="193" t="s">
        <v>2351</v>
      </c>
      <c r="C1185" s="214" t="s">
        <v>2606</v>
      </c>
      <c r="D1185" s="193" t="s">
        <v>2607</v>
      </c>
      <c r="E1185" s="212" t="s">
        <v>545</v>
      </c>
      <c r="F1185" s="215">
        <v>2</v>
      </c>
      <c r="G1185" s="194">
        <v>352.49033924209226</v>
      </c>
      <c r="H1185" s="195">
        <f t="shared" si="18"/>
        <v>704.98067848418452</v>
      </c>
      <c r="I1185" s="212" t="s">
        <v>2354</v>
      </c>
    </row>
    <row r="1186" spans="1:9" x14ac:dyDescent="0.25">
      <c r="A1186" s="193" t="s">
        <v>220</v>
      </c>
      <c r="B1186" s="193" t="s">
        <v>2351</v>
      </c>
      <c r="C1186" s="214" t="s">
        <v>2608</v>
      </c>
      <c r="D1186" s="193" t="s">
        <v>2609</v>
      </c>
      <c r="E1186" s="212" t="s">
        <v>545</v>
      </c>
      <c r="F1186" s="215">
        <v>2</v>
      </c>
      <c r="G1186" s="194">
        <v>276.65456054229355</v>
      </c>
      <c r="H1186" s="195">
        <f t="shared" si="18"/>
        <v>553.3091210845871</v>
      </c>
      <c r="I1186" s="212" t="s">
        <v>2354</v>
      </c>
    </row>
    <row r="1187" spans="1:9" x14ac:dyDescent="0.25">
      <c r="A1187" s="193" t="s">
        <v>220</v>
      </c>
      <c r="B1187" s="193" t="s">
        <v>2351</v>
      </c>
      <c r="C1187" s="214" t="s">
        <v>2610</v>
      </c>
      <c r="D1187" s="193" t="s">
        <v>2611</v>
      </c>
      <c r="E1187" s="212" t="s">
        <v>545</v>
      </c>
      <c r="F1187" s="213">
        <v>12</v>
      </c>
      <c r="G1187" s="194">
        <v>276.28528494880186</v>
      </c>
      <c r="H1187" s="195">
        <f t="shared" si="18"/>
        <v>3315.4234193856223</v>
      </c>
      <c r="I1187" s="212" t="s">
        <v>2354</v>
      </c>
    </row>
    <row r="1188" spans="1:9" x14ac:dyDescent="0.25">
      <c r="A1188" s="193" t="s">
        <v>220</v>
      </c>
      <c r="B1188" s="193" t="s">
        <v>2351</v>
      </c>
      <c r="C1188" s="214" t="s">
        <v>2612</v>
      </c>
      <c r="D1188" s="193" t="s">
        <v>2613</v>
      </c>
      <c r="E1188" s="212" t="s">
        <v>545</v>
      </c>
      <c r="F1188" s="215">
        <v>1</v>
      </c>
      <c r="G1188" s="194">
        <v>220.79249999999999</v>
      </c>
      <c r="H1188" s="195">
        <f t="shared" si="18"/>
        <v>220.79249999999999</v>
      </c>
      <c r="I1188" s="212" t="s">
        <v>2354</v>
      </c>
    </row>
    <row r="1189" spans="1:9" x14ac:dyDescent="0.25">
      <c r="A1189" s="193" t="s">
        <v>220</v>
      </c>
      <c r="B1189" s="193" t="s">
        <v>2351</v>
      </c>
      <c r="C1189" s="214" t="s">
        <v>2614</v>
      </c>
      <c r="D1189" s="193" t="s">
        <v>2615</v>
      </c>
      <c r="E1189" s="212" t="s">
        <v>545</v>
      </c>
      <c r="F1189" s="215">
        <v>1</v>
      </c>
      <c r="G1189" s="194">
        <v>270</v>
      </c>
      <c r="H1189" s="195">
        <f t="shared" si="18"/>
        <v>270</v>
      </c>
      <c r="I1189" s="212" t="s">
        <v>2354</v>
      </c>
    </row>
    <row r="1190" spans="1:9" x14ac:dyDescent="0.25">
      <c r="A1190" s="193" t="s">
        <v>220</v>
      </c>
      <c r="B1190" s="193" t="s">
        <v>2351</v>
      </c>
      <c r="C1190" s="214" t="s">
        <v>2616</v>
      </c>
      <c r="D1190" s="193" t="s">
        <v>2617</v>
      </c>
      <c r="E1190" s="212" t="s">
        <v>545</v>
      </c>
      <c r="F1190" s="215">
        <v>4</v>
      </c>
      <c r="G1190" s="194">
        <v>145.90799999999999</v>
      </c>
      <c r="H1190" s="195">
        <f t="shared" si="18"/>
        <v>583.63199999999995</v>
      </c>
      <c r="I1190" s="212" t="s">
        <v>2354</v>
      </c>
    </row>
    <row r="1191" spans="1:9" x14ac:dyDescent="0.25">
      <c r="A1191" s="193" t="s">
        <v>220</v>
      </c>
      <c r="B1191" s="193" t="s">
        <v>2351</v>
      </c>
      <c r="C1191" s="214" t="s">
        <v>2618</v>
      </c>
      <c r="D1191" s="193" t="s">
        <v>2619</v>
      </c>
      <c r="E1191" s="212" t="s">
        <v>545</v>
      </c>
      <c r="F1191" s="215">
        <v>2</v>
      </c>
      <c r="G1191" s="194">
        <v>871.07100000000003</v>
      </c>
      <c r="H1191" s="195">
        <f t="shared" si="18"/>
        <v>1742.1420000000001</v>
      </c>
      <c r="I1191" s="212" t="s">
        <v>2354</v>
      </c>
    </row>
    <row r="1192" spans="1:9" x14ac:dyDescent="0.25">
      <c r="A1192" s="193" t="s">
        <v>220</v>
      </c>
      <c r="B1192" s="193" t="s">
        <v>2351</v>
      </c>
      <c r="C1192" s="214" t="s">
        <v>2620</v>
      </c>
      <c r="D1192" s="193" t="s">
        <v>2621</v>
      </c>
      <c r="E1192" s="212" t="s">
        <v>545</v>
      </c>
      <c r="F1192" s="213">
        <v>4</v>
      </c>
      <c r="G1192" s="194">
        <v>831.07399999999996</v>
      </c>
      <c r="H1192" s="195">
        <f t="shared" si="18"/>
        <v>3324.2959999999998</v>
      </c>
      <c r="I1192" s="212" t="s">
        <v>2354</v>
      </c>
    </row>
    <row r="1193" spans="1:9" x14ac:dyDescent="0.25">
      <c r="A1193" s="193" t="s">
        <v>220</v>
      </c>
      <c r="B1193" s="193" t="s">
        <v>2351</v>
      </c>
      <c r="C1193" s="214" t="s">
        <v>2622</v>
      </c>
      <c r="D1193" s="193" t="s">
        <v>2623</v>
      </c>
      <c r="E1193" s="212" t="s">
        <v>545</v>
      </c>
      <c r="F1193" s="215">
        <v>4</v>
      </c>
      <c r="G1193" s="194">
        <v>619.70500000000004</v>
      </c>
      <c r="H1193" s="195">
        <f t="shared" si="18"/>
        <v>2478.8200000000002</v>
      </c>
      <c r="I1193" s="212" t="s">
        <v>2354</v>
      </c>
    </row>
    <row r="1194" spans="1:9" x14ac:dyDescent="0.25">
      <c r="A1194" s="193" t="s">
        <v>220</v>
      </c>
      <c r="B1194" s="193" t="s">
        <v>2351</v>
      </c>
      <c r="C1194" s="214" t="s">
        <v>2624</v>
      </c>
      <c r="D1194" s="193" t="s">
        <v>2625</v>
      </c>
      <c r="E1194" s="212" t="s">
        <v>545</v>
      </c>
      <c r="F1194" s="215">
        <v>2</v>
      </c>
      <c r="G1194" s="194">
        <v>463.22199999999998</v>
      </c>
      <c r="H1194" s="195">
        <f t="shared" si="18"/>
        <v>926.44399999999996</v>
      </c>
      <c r="I1194" s="212" t="s">
        <v>2354</v>
      </c>
    </row>
    <row r="1195" spans="1:9" x14ac:dyDescent="0.25">
      <c r="A1195" s="193" t="s">
        <v>220</v>
      </c>
      <c r="B1195" s="193" t="s">
        <v>2351</v>
      </c>
      <c r="C1195" s="214" t="s">
        <v>2626</v>
      </c>
      <c r="D1195" s="193" t="s">
        <v>2627</v>
      </c>
      <c r="E1195" s="212" t="s">
        <v>545</v>
      </c>
      <c r="F1195" s="215">
        <v>6</v>
      </c>
      <c r="G1195" s="194">
        <v>178.626</v>
      </c>
      <c r="H1195" s="195">
        <f t="shared" si="18"/>
        <v>1071.7560000000001</v>
      </c>
      <c r="I1195" s="212" t="s">
        <v>2354</v>
      </c>
    </row>
    <row r="1196" spans="1:9" x14ac:dyDescent="0.25">
      <c r="A1196" s="193" t="s">
        <v>220</v>
      </c>
      <c r="B1196" s="193" t="s">
        <v>2351</v>
      </c>
      <c r="C1196" s="214" t="s">
        <v>2628</v>
      </c>
      <c r="D1196" s="193" t="s">
        <v>2629</v>
      </c>
      <c r="E1196" s="212" t="s">
        <v>545</v>
      </c>
      <c r="F1196" s="215">
        <v>1</v>
      </c>
      <c r="G1196" s="194">
        <v>310</v>
      </c>
      <c r="H1196" s="195">
        <f t="shared" si="18"/>
        <v>310</v>
      </c>
      <c r="I1196" s="212" t="s">
        <v>2354</v>
      </c>
    </row>
    <row r="1197" spans="1:9" x14ac:dyDescent="0.25">
      <c r="A1197" s="193" t="s">
        <v>220</v>
      </c>
      <c r="B1197" s="193" t="s">
        <v>2351</v>
      </c>
      <c r="C1197" s="214" t="s">
        <v>2630</v>
      </c>
      <c r="D1197" s="193" t="s">
        <v>2631</v>
      </c>
      <c r="E1197" s="212" t="s">
        <v>545</v>
      </c>
      <c r="F1197" s="215">
        <v>5</v>
      </c>
      <c r="G1197" s="194">
        <v>95.142960000000002</v>
      </c>
      <c r="H1197" s="195">
        <f t="shared" si="18"/>
        <v>475.71480000000003</v>
      </c>
      <c r="I1197" s="212" t="s">
        <v>2354</v>
      </c>
    </row>
    <row r="1198" spans="1:9" x14ac:dyDescent="0.25">
      <c r="A1198" s="193" t="s">
        <v>220</v>
      </c>
      <c r="B1198" s="193" t="s">
        <v>2351</v>
      </c>
      <c r="C1198" s="214" t="s">
        <v>2632</v>
      </c>
      <c r="D1198" s="193" t="s">
        <v>2633</v>
      </c>
      <c r="E1198" s="212" t="s">
        <v>545</v>
      </c>
      <c r="F1198" s="215">
        <v>25</v>
      </c>
      <c r="G1198" s="194">
        <v>19.234739999999999</v>
      </c>
      <c r="H1198" s="195">
        <f t="shared" si="18"/>
        <v>480.86849999999998</v>
      </c>
      <c r="I1198" s="212" t="s">
        <v>2354</v>
      </c>
    </row>
    <row r="1199" spans="1:9" x14ac:dyDescent="0.25">
      <c r="A1199" s="193" t="s">
        <v>220</v>
      </c>
      <c r="B1199" s="193" t="s">
        <v>2351</v>
      </c>
      <c r="C1199" s="214" t="s">
        <v>2634</v>
      </c>
      <c r="D1199" s="193" t="s">
        <v>2635</v>
      </c>
      <c r="E1199" s="212" t="s">
        <v>545</v>
      </c>
      <c r="F1199" s="215">
        <v>1</v>
      </c>
      <c r="G1199" s="194">
        <v>26.443999999999999</v>
      </c>
      <c r="H1199" s="195">
        <f t="shared" si="18"/>
        <v>26.443999999999999</v>
      </c>
      <c r="I1199" s="212" t="s">
        <v>2354</v>
      </c>
    </row>
    <row r="1200" spans="1:9" x14ac:dyDescent="0.25">
      <c r="A1200" s="193" t="s">
        <v>220</v>
      </c>
      <c r="B1200" s="193" t="s">
        <v>2351</v>
      </c>
      <c r="C1200" s="214" t="s">
        <v>2636</v>
      </c>
      <c r="D1200" s="193" t="s">
        <v>2637</v>
      </c>
      <c r="E1200" s="212" t="s">
        <v>545</v>
      </c>
      <c r="F1200" s="215">
        <v>8</v>
      </c>
      <c r="G1200" s="194">
        <v>6.5</v>
      </c>
      <c r="H1200" s="195">
        <f t="shared" si="18"/>
        <v>52</v>
      </c>
      <c r="I1200" s="212" t="s">
        <v>2354</v>
      </c>
    </row>
    <row r="1201" spans="1:9" x14ac:dyDescent="0.25">
      <c r="A1201" s="193" t="s">
        <v>220</v>
      </c>
      <c r="B1201" s="193" t="s">
        <v>2351</v>
      </c>
      <c r="C1201" s="214" t="s">
        <v>2638</v>
      </c>
      <c r="D1201" s="193" t="s">
        <v>2639</v>
      </c>
      <c r="E1201" s="212" t="s">
        <v>545</v>
      </c>
      <c r="F1201" s="215">
        <v>11</v>
      </c>
      <c r="G1201" s="194">
        <v>40</v>
      </c>
      <c r="H1201" s="195">
        <f t="shared" si="18"/>
        <v>440</v>
      </c>
      <c r="I1201" s="212" t="s">
        <v>2354</v>
      </c>
    </row>
    <row r="1202" spans="1:9" x14ac:dyDescent="0.25">
      <c r="A1202" s="193" t="s">
        <v>220</v>
      </c>
      <c r="B1202" s="193" t="s">
        <v>2351</v>
      </c>
      <c r="C1202" s="214" t="s">
        <v>2640</v>
      </c>
      <c r="D1202" s="193" t="s">
        <v>2641</v>
      </c>
      <c r="E1202" s="212" t="s">
        <v>545</v>
      </c>
      <c r="F1202" s="213">
        <v>71</v>
      </c>
      <c r="G1202" s="194">
        <v>36.671672408360124</v>
      </c>
      <c r="H1202" s="195">
        <f t="shared" si="18"/>
        <v>2603.6887409935689</v>
      </c>
      <c r="I1202" s="212" t="s">
        <v>2354</v>
      </c>
    </row>
    <row r="1203" spans="1:9" x14ac:dyDescent="0.25">
      <c r="A1203" s="193" t="s">
        <v>220</v>
      </c>
      <c r="B1203" s="193" t="s">
        <v>2351</v>
      </c>
      <c r="C1203" s="214" t="s">
        <v>2642</v>
      </c>
      <c r="D1203" s="193" t="s">
        <v>2643</v>
      </c>
      <c r="E1203" s="212" t="s">
        <v>545</v>
      </c>
      <c r="F1203" s="213">
        <v>2</v>
      </c>
      <c r="G1203" s="194">
        <v>4184.5267999999996</v>
      </c>
      <c r="H1203" s="195">
        <f t="shared" si="18"/>
        <v>8369.0535999999993</v>
      </c>
      <c r="I1203" s="212" t="s">
        <v>2354</v>
      </c>
    </row>
    <row r="1204" spans="1:9" x14ac:dyDescent="0.25">
      <c r="A1204" s="193" t="s">
        <v>220</v>
      </c>
      <c r="B1204" s="193" t="s">
        <v>2351</v>
      </c>
      <c r="C1204" s="214" t="s">
        <v>2644</v>
      </c>
      <c r="D1204" s="193" t="s">
        <v>2645</v>
      </c>
      <c r="E1204" s="212" t="s">
        <v>545</v>
      </c>
      <c r="F1204" s="215">
        <v>1</v>
      </c>
      <c r="G1204" s="194">
        <v>1815.0550000000001</v>
      </c>
      <c r="H1204" s="195">
        <f t="shared" si="18"/>
        <v>1815.0550000000001</v>
      </c>
      <c r="I1204" s="212" t="s">
        <v>2354</v>
      </c>
    </row>
    <row r="1205" spans="1:9" x14ac:dyDescent="0.25">
      <c r="A1205" s="193" t="s">
        <v>220</v>
      </c>
      <c r="B1205" s="193" t="s">
        <v>2351</v>
      </c>
      <c r="C1205" s="214" t="s">
        <v>2646</v>
      </c>
      <c r="D1205" s="193" t="s">
        <v>2647</v>
      </c>
      <c r="E1205" s="212" t="s">
        <v>545</v>
      </c>
      <c r="F1205" s="215">
        <v>1</v>
      </c>
      <c r="G1205" s="194">
        <v>0</v>
      </c>
      <c r="H1205" s="195">
        <f t="shared" si="18"/>
        <v>0</v>
      </c>
      <c r="I1205" s="212" t="s">
        <v>2354</v>
      </c>
    </row>
    <row r="1206" spans="1:9" x14ac:dyDescent="0.25">
      <c r="A1206" s="193" t="s">
        <v>220</v>
      </c>
      <c r="B1206" s="193" t="s">
        <v>2351</v>
      </c>
      <c r="C1206" s="214" t="s">
        <v>2648</v>
      </c>
      <c r="D1206" s="193" t="s">
        <v>2649</v>
      </c>
      <c r="E1206" s="212" t="s">
        <v>545</v>
      </c>
      <c r="F1206" s="215">
        <v>11</v>
      </c>
      <c r="G1206" s="194">
        <v>109.60791918399352</v>
      </c>
      <c r="H1206" s="195">
        <f t="shared" si="18"/>
        <v>1205.6871110239288</v>
      </c>
      <c r="I1206" s="212" t="s">
        <v>2354</v>
      </c>
    </row>
    <row r="1207" spans="1:9" x14ac:dyDescent="0.25">
      <c r="A1207" s="193" t="s">
        <v>220</v>
      </c>
      <c r="B1207" s="193" t="s">
        <v>2351</v>
      </c>
      <c r="C1207" s="214" t="s">
        <v>2650</v>
      </c>
      <c r="D1207" s="193" t="s">
        <v>2651</v>
      </c>
      <c r="E1207" s="212" t="s">
        <v>545</v>
      </c>
      <c r="F1207" s="213">
        <v>3</v>
      </c>
      <c r="G1207" s="194">
        <v>1531.5229705830191</v>
      </c>
      <c r="H1207" s="195">
        <f t="shared" si="18"/>
        <v>4594.5689117490574</v>
      </c>
      <c r="I1207" s="212" t="s">
        <v>2354</v>
      </c>
    </row>
    <row r="1208" spans="1:9" x14ac:dyDescent="0.25">
      <c r="A1208" s="193" t="s">
        <v>220</v>
      </c>
      <c r="B1208" s="193" t="s">
        <v>2351</v>
      </c>
      <c r="C1208" s="214" t="s">
        <v>2652</v>
      </c>
      <c r="D1208" s="193" t="s">
        <v>2653</v>
      </c>
      <c r="E1208" s="212" t="s">
        <v>545</v>
      </c>
      <c r="F1208" s="215">
        <v>6</v>
      </c>
      <c r="G1208" s="194">
        <v>53.511945895962043</v>
      </c>
      <c r="H1208" s="195">
        <f t="shared" si="18"/>
        <v>321.07167537577226</v>
      </c>
      <c r="I1208" s="212" t="s">
        <v>2354</v>
      </c>
    </row>
    <row r="1209" spans="1:9" x14ac:dyDescent="0.25">
      <c r="A1209" s="193" t="s">
        <v>220</v>
      </c>
      <c r="B1209" s="193" t="s">
        <v>2351</v>
      </c>
      <c r="C1209" s="214" t="s">
        <v>2654</v>
      </c>
      <c r="D1209" s="193" t="s">
        <v>2655</v>
      </c>
      <c r="E1209" s="212" t="s">
        <v>545</v>
      </c>
      <c r="F1209" s="213">
        <v>2</v>
      </c>
      <c r="G1209" s="194">
        <v>1681.9459999999999</v>
      </c>
      <c r="H1209" s="195">
        <f t="shared" si="18"/>
        <v>3363.8919999999998</v>
      </c>
      <c r="I1209" s="212" t="s">
        <v>2354</v>
      </c>
    </row>
    <row r="1210" spans="1:9" x14ac:dyDescent="0.25">
      <c r="A1210" s="193" t="s">
        <v>220</v>
      </c>
      <c r="B1210" s="193" t="s">
        <v>2351</v>
      </c>
      <c r="C1210" s="214" t="s">
        <v>2656</v>
      </c>
      <c r="D1210" s="193" t="s">
        <v>2657</v>
      </c>
      <c r="E1210" s="212" t="s">
        <v>545</v>
      </c>
      <c r="F1210" s="213">
        <v>6</v>
      </c>
      <c r="G1210" s="194">
        <v>518.80799999999999</v>
      </c>
      <c r="H1210" s="195">
        <f t="shared" si="18"/>
        <v>3112.848</v>
      </c>
      <c r="I1210" s="212" t="s">
        <v>2354</v>
      </c>
    </row>
    <row r="1211" spans="1:9" x14ac:dyDescent="0.25">
      <c r="A1211" s="193" t="s">
        <v>220</v>
      </c>
      <c r="B1211" s="193" t="s">
        <v>2351</v>
      </c>
      <c r="C1211" s="214" t="s">
        <v>2658</v>
      </c>
      <c r="D1211" s="193" t="s">
        <v>2659</v>
      </c>
      <c r="E1211" s="212" t="s">
        <v>545</v>
      </c>
      <c r="F1211" s="215">
        <v>1</v>
      </c>
      <c r="G1211" s="194">
        <v>345.00528830814346</v>
      </c>
      <c r="H1211" s="195">
        <f t="shared" si="18"/>
        <v>345.00528830814346</v>
      </c>
      <c r="I1211" s="212" t="s">
        <v>2354</v>
      </c>
    </row>
    <row r="1212" spans="1:9" x14ac:dyDescent="0.25">
      <c r="A1212" s="193" t="s">
        <v>220</v>
      </c>
      <c r="B1212" s="193" t="s">
        <v>2351</v>
      </c>
      <c r="C1212" s="214" t="s">
        <v>2660</v>
      </c>
      <c r="D1212" s="193" t="s">
        <v>2661</v>
      </c>
      <c r="E1212" s="212" t="s">
        <v>545</v>
      </c>
      <c r="F1212" s="213">
        <v>19</v>
      </c>
      <c r="G1212" s="194">
        <v>237.4927355969989</v>
      </c>
      <c r="H1212" s="195">
        <f t="shared" si="18"/>
        <v>4512.3619763429788</v>
      </c>
      <c r="I1212" s="212" t="s">
        <v>2354</v>
      </c>
    </row>
    <row r="1213" spans="1:9" x14ac:dyDescent="0.25">
      <c r="A1213" s="193" t="s">
        <v>220</v>
      </c>
      <c r="B1213" s="193" t="s">
        <v>2351</v>
      </c>
      <c r="C1213" s="214" t="s">
        <v>2662</v>
      </c>
      <c r="D1213" s="193" t="s">
        <v>2663</v>
      </c>
      <c r="E1213" s="212" t="s">
        <v>545</v>
      </c>
      <c r="F1213" s="215">
        <v>1</v>
      </c>
      <c r="G1213" s="194">
        <v>245.23500000000001</v>
      </c>
      <c r="H1213" s="195">
        <f t="shared" si="18"/>
        <v>245.23500000000001</v>
      </c>
      <c r="I1213" s="212" t="s">
        <v>2354</v>
      </c>
    </row>
    <row r="1214" spans="1:9" x14ac:dyDescent="0.25">
      <c r="A1214" s="193" t="s">
        <v>220</v>
      </c>
      <c r="B1214" s="193" t="s">
        <v>2351</v>
      </c>
      <c r="C1214" s="214" t="s">
        <v>2664</v>
      </c>
      <c r="D1214" s="193" t="s">
        <v>2665</v>
      </c>
      <c r="E1214" s="212" t="s">
        <v>545</v>
      </c>
      <c r="F1214" s="215">
        <v>1</v>
      </c>
      <c r="G1214" s="194">
        <v>8.8000000000000007</v>
      </c>
      <c r="H1214" s="195">
        <f t="shared" si="18"/>
        <v>8.8000000000000007</v>
      </c>
      <c r="I1214" s="212" t="s">
        <v>2354</v>
      </c>
    </row>
    <row r="1215" spans="1:9" x14ac:dyDescent="0.25">
      <c r="A1215" s="193" t="s">
        <v>220</v>
      </c>
      <c r="B1215" s="193" t="s">
        <v>2351</v>
      </c>
      <c r="C1215" s="214" t="s">
        <v>2666</v>
      </c>
      <c r="D1215" s="193" t="s">
        <v>2667</v>
      </c>
      <c r="E1215" s="212" t="s">
        <v>545</v>
      </c>
      <c r="F1215" s="215">
        <v>4</v>
      </c>
      <c r="G1215" s="194">
        <v>7.1189999999999998</v>
      </c>
      <c r="H1215" s="195">
        <f t="shared" si="18"/>
        <v>28.475999999999999</v>
      </c>
      <c r="I1215" s="212" t="s">
        <v>2354</v>
      </c>
    </row>
    <row r="1216" spans="1:9" x14ac:dyDescent="0.25">
      <c r="A1216" s="193" t="s">
        <v>220</v>
      </c>
      <c r="B1216" s="193" t="s">
        <v>2351</v>
      </c>
      <c r="C1216" s="214" t="s">
        <v>2668</v>
      </c>
      <c r="D1216" s="193" t="s">
        <v>2669</v>
      </c>
      <c r="E1216" s="212" t="s">
        <v>545</v>
      </c>
      <c r="F1216" s="215">
        <v>4</v>
      </c>
      <c r="G1216" s="194">
        <v>7.1189999999999998</v>
      </c>
      <c r="H1216" s="195">
        <f t="shared" si="18"/>
        <v>28.475999999999999</v>
      </c>
      <c r="I1216" s="212" t="s">
        <v>2354</v>
      </c>
    </row>
    <row r="1217" spans="1:9" x14ac:dyDescent="0.25">
      <c r="A1217" s="193" t="s">
        <v>220</v>
      </c>
      <c r="B1217" s="193" t="s">
        <v>2351</v>
      </c>
      <c r="C1217" s="214" t="s">
        <v>2670</v>
      </c>
      <c r="D1217" s="193" t="s">
        <v>2671</v>
      </c>
      <c r="E1217" s="212" t="s">
        <v>545</v>
      </c>
      <c r="F1217" s="215">
        <v>1</v>
      </c>
      <c r="G1217" s="194">
        <v>0</v>
      </c>
      <c r="H1217" s="195">
        <f t="shared" si="18"/>
        <v>0</v>
      </c>
      <c r="I1217" s="212" t="s">
        <v>2354</v>
      </c>
    </row>
    <row r="1218" spans="1:9" x14ac:dyDescent="0.25">
      <c r="A1218" s="193" t="s">
        <v>220</v>
      </c>
      <c r="B1218" s="193" t="s">
        <v>2351</v>
      </c>
      <c r="C1218" s="214" t="s">
        <v>2672</v>
      </c>
      <c r="D1218" s="193" t="s">
        <v>2673</v>
      </c>
      <c r="E1218" s="212" t="s">
        <v>545</v>
      </c>
      <c r="F1218" s="215">
        <v>5</v>
      </c>
      <c r="G1218" s="194">
        <v>155.71190461741426</v>
      </c>
      <c r="H1218" s="195">
        <f t="shared" si="18"/>
        <v>778.55952308707128</v>
      </c>
      <c r="I1218" s="212" t="s">
        <v>2354</v>
      </c>
    </row>
    <row r="1219" spans="1:9" x14ac:dyDescent="0.25">
      <c r="A1219" s="193" t="s">
        <v>220</v>
      </c>
      <c r="B1219" s="193" t="s">
        <v>2351</v>
      </c>
      <c r="C1219" s="214" t="s">
        <v>2674</v>
      </c>
      <c r="D1219" s="193" t="s">
        <v>2675</v>
      </c>
      <c r="E1219" s="212" t="s">
        <v>545</v>
      </c>
      <c r="F1219" s="215">
        <v>1</v>
      </c>
      <c r="G1219" s="194">
        <v>30.3</v>
      </c>
      <c r="H1219" s="195">
        <f t="shared" si="18"/>
        <v>30.3</v>
      </c>
      <c r="I1219" s="212" t="s">
        <v>2354</v>
      </c>
    </row>
    <row r="1220" spans="1:9" x14ac:dyDescent="0.25">
      <c r="A1220" s="193" t="s">
        <v>220</v>
      </c>
      <c r="B1220" s="193" t="s">
        <v>2351</v>
      </c>
      <c r="C1220" s="214" t="s">
        <v>2676</v>
      </c>
      <c r="D1220" s="193" t="s">
        <v>2677</v>
      </c>
      <c r="E1220" s="212" t="s">
        <v>545</v>
      </c>
      <c r="F1220" s="215">
        <v>4</v>
      </c>
      <c r="G1220" s="194">
        <v>87.26812402038496</v>
      </c>
      <c r="H1220" s="195">
        <f t="shared" si="18"/>
        <v>349.07249608153984</v>
      </c>
      <c r="I1220" s="212" t="s">
        <v>2354</v>
      </c>
    </row>
    <row r="1221" spans="1:9" x14ac:dyDescent="0.25">
      <c r="A1221" s="193" t="s">
        <v>220</v>
      </c>
      <c r="B1221" s="193" t="s">
        <v>2351</v>
      </c>
      <c r="C1221" s="214" t="s">
        <v>2678</v>
      </c>
      <c r="D1221" s="193" t="s">
        <v>2679</v>
      </c>
      <c r="E1221" s="212" t="s">
        <v>545</v>
      </c>
      <c r="F1221" s="215">
        <v>2</v>
      </c>
      <c r="G1221" s="194">
        <v>138.80796000000001</v>
      </c>
      <c r="H1221" s="195">
        <f t="shared" ref="H1221:H1284" si="19">+F1221*G1221</f>
        <v>277.61592000000002</v>
      </c>
      <c r="I1221" s="212" t="s">
        <v>2354</v>
      </c>
    </row>
    <row r="1222" spans="1:9" x14ac:dyDescent="0.25">
      <c r="A1222" s="193" t="s">
        <v>220</v>
      </c>
      <c r="B1222" s="193" t="s">
        <v>2351</v>
      </c>
      <c r="C1222" s="214" t="s">
        <v>2680</v>
      </c>
      <c r="D1222" s="193" t="s">
        <v>2681</v>
      </c>
      <c r="E1222" s="212" t="s">
        <v>545</v>
      </c>
      <c r="F1222" s="215">
        <v>1</v>
      </c>
      <c r="G1222" s="194">
        <v>110</v>
      </c>
      <c r="H1222" s="195">
        <f t="shared" si="19"/>
        <v>110</v>
      </c>
      <c r="I1222" s="212" t="s">
        <v>2354</v>
      </c>
    </row>
    <row r="1223" spans="1:9" x14ac:dyDescent="0.25">
      <c r="A1223" s="193" t="s">
        <v>220</v>
      </c>
      <c r="B1223" s="193" t="s">
        <v>2351</v>
      </c>
      <c r="C1223" s="214" t="s">
        <v>2682</v>
      </c>
      <c r="D1223" s="193" t="s">
        <v>2683</v>
      </c>
      <c r="E1223" s="212" t="s">
        <v>545</v>
      </c>
      <c r="F1223" s="215">
        <v>4</v>
      </c>
      <c r="G1223" s="194">
        <v>124.7</v>
      </c>
      <c r="H1223" s="195">
        <f t="shared" si="19"/>
        <v>498.8</v>
      </c>
      <c r="I1223" s="212" t="s">
        <v>2354</v>
      </c>
    </row>
    <row r="1224" spans="1:9" x14ac:dyDescent="0.25">
      <c r="A1224" s="193" t="s">
        <v>220</v>
      </c>
      <c r="B1224" s="193" t="s">
        <v>2351</v>
      </c>
      <c r="C1224" s="214" t="s">
        <v>2684</v>
      </c>
      <c r="D1224" s="193" t="s">
        <v>2685</v>
      </c>
      <c r="E1224" s="212" t="s">
        <v>545</v>
      </c>
      <c r="F1224" s="215">
        <v>1</v>
      </c>
      <c r="G1224" s="194">
        <v>520</v>
      </c>
      <c r="H1224" s="195">
        <f t="shared" si="19"/>
        <v>520</v>
      </c>
      <c r="I1224" s="212" t="s">
        <v>2354</v>
      </c>
    </row>
    <row r="1225" spans="1:9" x14ac:dyDescent="0.25">
      <c r="A1225" s="193" t="s">
        <v>220</v>
      </c>
      <c r="B1225" s="193" t="s">
        <v>2351</v>
      </c>
      <c r="C1225" s="214" t="s">
        <v>2686</v>
      </c>
      <c r="D1225" s="193" t="s">
        <v>2687</v>
      </c>
      <c r="E1225" s="212" t="s">
        <v>545</v>
      </c>
      <c r="F1225" s="215">
        <v>2</v>
      </c>
      <c r="G1225" s="194">
        <v>108</v>
      </c>
      <c r="H1225" s="195">
        <f t="shared" si="19"/>
        <v>216</v>
      </c>
      <c r="I1225" s="212" t="s">
        <v>2354</v>
      </c>
    </row>
    <row r="1226" spans="1:9" x14ac:dyDescent="0.25">
      <c r="A1226" s="193" t="s">
        <v>220</v>
      </c>
      <c r="B1226" s="193" t="s">
        <v>2351</v>
      </c>
      <c r="C1226" s="214" t="s">
        <v>2688</v>
      </c>
      <c r="D1226" s="193" t="s">
        <v>2689</v>
      </c>
      <c r="E1226" s="212" t="s">
        <v>545</v>
      </c>
      <c r="F1226" s="215">
        <v>1</v>
      </c>
      <c r="G1226" s="194">
        <v>520</v>
      </c>
      <c r="H1226" s="195">
        <f t="shared" si="19"/>
        <v>520</v>
      </c>
      <c r="I1226" s="212" t="s">
        <v>2354</v>
      </c>
    </row>
    <row r="1227" spans="1:9" x14ac:dyDescent="0.25">
      <c r="A1227" s="193" t="s">
        <v>220</v>
      </c>
      <c r="B1227" s="193" t="s">
        <v>2351</v>
      </c>
      <c r="C1227" s="214" t="s">
        <v>2690</v>
      </c>
      <c r="D1227" s="193" t="s">
        <v>2691</v>
      </c>
      <c r="E1227" s="212" t="s">
        <v>545</v>
      </c>
      <c r="F1227" s="215">
        <v>1</v>
      </c>
      <c r="G1227" s="194">
        <v>411</v>
      </c>
      <c r="H1227" s="195">
        <f t="shared" si="19"/>
        <v>411</v>
      </c>
      <c r="I1227" s="212" t="s">
        <v>2354</v>
      </c>
    </row>
    <row r="1228" spans="1:9" x14ac:dyDescent="0.25">
      <c r="A1228" s="193" t="s">
        <v>220</v>
      </c>
      <c r="B1228" s="193" t="s">
        <v>2351</v>
      </c>
      <c r="C1228" s="214" t="s">
        <v>2692</v>
      </c>
      <c r="D1228" s="193" t="s">
        <v>2693</v>
      </c>
      <c r="E1228" s="212" t="s">
        <v>545</v>
      </c>
      <c r="F1228" s="215">
        <v>1</v>
      </c>
      <c r="G1228" s="194">
        <v>40</v>
      </c>
      <c r="H1228" s="195">
        <f t="shared" si="19"/>
        <v>40</v>
      </c>
      <c r="I1228" s="212" t="s">
        <v>2354</v>
      </c>
    </row>
    <row r="1229" spans="1:9" x14ac:dyDescent="0.25">
      <c r="A1229" s="193" t="s">
        <v>220</v>
      </c>
      <c r="B1229" s="193" t="s">
        <v>2351</v>
      </c>
      <c r="C1229" s="214" t="s">
        <v>2694</v>
      </c>
      <c r="D1229" s="193" t="s">
        <v>2695</v>
      </c>
      <c r="E1229" s="212" t="s">
        <v>545</v>
      </c>
      <c r="F1229" s="215">
        <v>1</v>
      </c>
      <c r="G1229" s="194">
        <v>217</v>
      </c>
      <c r="H1229" s="195">
        <f t="shared" si="19"/>
        <v>217</v>
      </c>
      <c r="I1229" s="212" t="s">
        <v>2354</v>
      </c>
    </row>
    <row r="1230" spans="1:9" x14ac:dyDescent="0.25">
      <c r="A1230" s="193" t="s">
        <v>220</v>
      </c>
      <c r="B1230" s="193" t="s">
        <v>2351</v>
      </c>
      <c r="C1230" s="214" t="s">
        <v>2696</v>
      </c>
      <c r="D1230" s="193" t="s">
        <v>2697</v>
      </c>
      <c r="E1230" s="212" t="s">
        <v>1894</v>
      </c>
      <c r="F1230" s="215">
        <v>40</v>
      </c>
      <c r="G1230" s="194">
        <v>49.45</v>
      </c>
      <c r="H1230" s="195">
        <f t="shared" si="19"/>
        <v>1978</v>
      </c>
      <c r="I1230" s="212" t="s">
        <v>2354</v>
      </c>
    </row>
    <row r="1231" spans="1:9" x14ac:dyDescent="0.25">
      <c r="A1231" s="193" t="s">
        <v>220</v>
      </c>
      <c r="B1231" s="193" t="s">
        <v>2351</v>
      </c>
      <c r="C1231" s="214" t="s">
        <v>2698</v>
      </c>
      <c r="D1231" s="193" t="s">
        <v>2699</v>
      </c>
      <c r="E1231" s="212" t="s">
        <v>545</v>
      </c>
      <c r="F1231" s="215">
        <v>1</v>
      </c>
      <c r="G1231" s="194">
        <v>194.99600000000001</v>
      </c>
      <c r="H1231" s="195">
        <f t="shared" si="19"/>
        <v>194.99600000000001</v>
      </c>
      <c r="I1231" s="212" t="s">
        <v>2354</v>
      </c>
    </row>
    <row r="1232" spans="1:9" x14ac:dyDescent="0.25">
      <c r="A1232" s="193" t="s">
        <v>220</v>
      </c>
      <c r="B1232" s="193" t="s">
        <v>2351</v>
      </c>
      <c r="C1232" s="214" t="s">
        <v>2700</v>
      </c>
      <c r="D1232" s="193" t="s">
        <v>2701</v>
      </c>
      <c r="E1232" s="212" t="s">
        <v>545</v>
      </c>
      <c r="F1232" s="215">
        <v>1</v>
      </c>
      <c r="G1232" s="194">
        <v>185.31899999999999</v>
      </c>
      <c r="H1232" s="195">
        <f t="shared" si="19"/>
        <v>185.31899999999999</v>
      </c>
      <c r="I1232" s="212" t="s">
        <v>2354</v>
      </c>
    </row>
    <row r="1233" spans="1:9" x14ac:dyDescent="0.25">
      <c r="A1233" s="193" t="s">
        <v>220</v>
      </c>
      <c r="B1233" s="193" t="s">
        <v>2351</v>
      </c>
      <c r="C1233" s="214" t="s">
        <v>2702</v>
      </c>
      <c r="D1233" s="193" t="s">
        <v>2703</v>
      </c>
      <c r="E1233" s="212" t="s">
        <v>545</v>
      </c>
      <c r="F1233" s="215">
        <v>1</v>
      </c>
      <c r="G1233" s="194">
        <v>316.17720000000003</v>
      </c>
      <c r="H1233" s="195">
        <f t="shared" si="19"/>
        <v>316.17720000000003</v>
      </c>
      <c r="I1233" s="212" t="s">
        <v>2354</v>
      </c>
    </row>
    <row r="1234" spans="1:9" x14ac:dyDescent="0.25">
      <c r="A1234" s="193" t="s">
        <v>220</v>
      </c>
      <c r="B1234" s="193" t="s">
        <v>2351</v>
      </c>
      <c r="C1234" s="214" t="s">
        <v>2704</v>
      </c>
      <c r="D1234" s="193" t="s">
        <v>2705</v>
      </c>
      <c r="E1234" s="212" t="s">
        <v>545</v>
      </c>
      <c r="F1234" s="215">
        <v>1</v>
      </c>
      <c r="G1234" s="194">
        <v>492.89</v>
      </c>
      <c r="H1234" s="195">
        <f t="shared" si="19"/>
        <v>492.89</v>
      </c>
      <c r="I1234" s="212" t="s">
        <v>2354</v>
      </c>
    </row>
    <row r="1235" spans="1:9" x14ac:dyDescent="0.25">
      <c r="A1235" s="193" t="s">
        <v>220</v>
      </c>
      <c r="B1235" s="193" t="s">
        <v>2351</v>
      </c>
      <c r="C1235" s="214" t="s">
        <v>2706</v>
      </c>
      <c r="D1235" s="193" t="s">
        <v>2707</v>
      </c>
      <c r="E1235" s="212" t="s">
        <v>2387</v>
      </c>
      <c r="F1235" s="215">
        <v>4</v>
      </c>
      <c r="G1235" s="194">
        <v>46.8</v>
      </c>
      <c r="H1235" s="195">
        <f t="shared" si="19"/>
        <v>187.2</v>
      </c>
      <c r="I1235" s="212" t="s">
        <v>2354</v>
      </c>
    </row>
    <row r="1236" spans="1:9" x14ac:dyDescent="0.25">
      <c r="A1236" s="193" t="s">
        <v>220</v>
      </c>
      <c r="B1236" s="193" t="s">
        <v>2351</v>
      </c>
      <c r="C1236" s="214" t="s">
        <v>2708</v>
      </c>
      <c r="D1236" s="193" t="s">
        <v>2709</v>
      </c>
      <c r="E1236" s="212" t="s">
        <v>2387</v>
      </c>
      <c r="F1236" s="215">
        <v>5</v>
      </c>
      <c r="G1236" s="194">
        <v>11.939399999999999</v>
      </c>
      <c r="H1236" s="195">
        <f t="shared" si="19"/>
        <v>59.696999999999996</v>
      </c>
      <c r="I1236" s="212" t="s">
        <v>2354</v>
      </c>
    </row>
    <row r="1237" spans="1:9" x14ac:dyDescent="0.25">
      <c r="A1237" s="193" t="s">
        <v>220</v>
      </c>
      <c r="B1237" s="193" t="s">
        <v>2351</v>
      </c>
      <c r="C1237" s="214" t="s">
        <v>2710</v>
      </c>
      <c r="D1237" s="193" t="s">
        <v>2711</v>
      </c>
      <c r="E1237" s="212" t="s">
        <v>2387</v>
      </c>
      <c r="F1237" s="215">
        <v>9</v>
      </c>
      <c r="G1237" s="194">
        <v>31.05</v>
      </c>
      <c r="H1237" s="195">
        <f t="shared" si="19"/>
        <v>279.45</v>
      </c>
      <c r="I1237" s="212" t="s">
        <v>2354</v>
      </c>
    </row>
    <row r="1238" spans="1:9" x14ac:dyDescent="0.25">
      <c r="A1238" s="193" t="s">
        <v>220</v>
      </c>
      <c r="B1238" s="193" t="s">
        <v>2351</v>
      </c>
      <c r="C1238" s="214" t="s">
        <v>2712</v>
      </c>
      <c r="D1238" s="193" t="s">
        <v>2713</v>
      </c>
      <c r="E1238" s="212" t="s">
        <v>7558</v>
      </c>
      <c r="F1238" s="215">
        <v>1.2</v>
      </c>
      <c r="G1238" s="194">
        <v>30.113999999999997</v>
      </c>
      <c r="H1238" s="195">
        <f t="shared" si="19"/>
        <v>36.136799999999994</v>
      </c>
      <c r="I1238" s="212" t="s">
        <v>2354</v>
      </c>
    </row>
    <row r="1239" spans="1:9" x14ac:dyDescent="0.25">
      <c r="A1239" s="193" t="s">
        <v>220</v>
      </c>
      <c r="B1239" s="193" t="s">
        <v>2351</v>
      </c>
      <c r="C1239" s="214" t="s">
        <v>2714</v>
      </c>
      <c r="D1239" s="193" t="s">
        <v>2715</v>
      </c>
      <c r="E1239" s="212" t="s">
        <v>7558</v>
      </c>
      <c r="F1239" s="215">
        <v>4.5</v>
      </c>
      <c r="G1239" s="194">
        <v>20.655000000000001</v>
      </c>
      <c r="H1239" s="195">
        <f t="shared" si="19"/>
        <v>92.947500000000005</v>
      </c>
      <c r="I1239" s="212" t="s">
        <v>2354</v>
      </c>
    </row>
    <row r="1240" spans="1:9" x14ac:dyDescent="0.25">
      <c r="A1240" s="193" t="s">
        <v>220</v>
      </c>
      <c r="B1240" s="193" t="s">
        <v>2351</v>
      </c>
      <c r="C1240" s="214" t="s">
        <v>2716</v>
      </c>
      <c r="D1240" s="193" t="s">
        <v>2717</v>
      </c>
      <c r="E1240" s="212" t="s">
        <v>7558</v>
      </c>
      <c r="F1240" s="215">
        <v>5</v>
      </c>
      <c r="G1240" s="194">
        <v>18.18</v>
      </c>
      <c r="H1240" s="195">
        <f t="shared" si="19"/>
        <v>90.9</v>
      </c>
      <c r="I1240" s="212" t="s">
        <v>2354</v>
      </c>
    </row>
    <row r="1241" spans="1:9" x14ac:dyDescent="0.25">
      <c r="A1241" s="193" t="s">
        <v>220</v>
      </c>
      <c r="B1241" s="193" t="s">
        <v>2351</v>
      </c>
      <c r="C1241" s="214" t="s">
        <v>2718</v>
      </c>
      <c r="D1241" s="193" t="s">
        <v>2719</v>
      </c>
      <c r="E1241" s="212" t="s">
        <v>7558</v>
      </c>
      <c r="F1241" s="215">
        <v>5</v>
      </c>
      <c r="G1241" s="194">
        <v>21.285</v>
      </c>
      <c r="H1241" s="195">
        <f t="shared" si="19"/>
        <v>106.425</v>
      </c>
      <c r="I1241" s="212" t="s">
        <v>2354</v>
      </c>
    </row>
    <row r="1242" spans="1:9" x14ac:dyDescent="0.25">
      <c r="A1242" s="193" t="s">
        <v>220</v>
      </c>
      <c r="B1242" s="193" t="s">
        <v>2351</v>
      </c>
      <c r="C1242" s="214" t="s">
        <v>2720</v>
      </c>
      <c r="D1242" s="193" t="s">
        <v>2721</v>
      </c>
      <c r="E1242" s="212" t="s">
        <v>7558</v>
      </c>
      <c r="F1242" s="215">
        <v>10</v>
      </c>
      <c r="G1242" s="194">
        <v>27</v>
      </c>
      <c r="H1242" s="195">
        <f t="shared" si="19"/>
        <v>270</v>
      </c>
      <c r="I1242" s="212" t="s">
        <v>2354</v>
      </c>
    </row>
    <row r="1243" spans="1:9" x14ac:dyDescent="0.25">
      <c r="A1243" s="193" t="s">
        <v>220</v>
      </c>
      <c r="B1243" s="193" t="s">
        <v>2351</v>
      </c>
      <c r="C1243" s="214" t="s">
        <v>2722</v>
      </c>
      <c r="D1243" s="193" t="s">
        <v>2723</v>
      </c>
      <c r="E1243" s="212" t="s">
        <v>7558</v>
      </c>
      <c r="F1243" s="215">
        <v>14</v>
      </c>
      <c r="G1243" s="194">
        <v>15.222000000000001</v>
      </c>
      <c r="H1243" s="195">
        <f t="shared" si="19"/>
        <v>213.108</v>
      </c>
      <c r="I1243" s="212" t="s">
        <v>2354</v>
      </c>
    </row>
    <row r="1244" spans="1:9" x14ac:dyDescent="0.25">
      <c r="A1244" s="193" t="s">
        <v>220</v>
      </c>
      <c r="B1244" s="193" t="s">
        <v>2351</v>
      </c>
      <c r="C1244" s="214" t="s">
        <v>2724</v>
      </c>
      <c r="D1244" s="193" t="s">
        <v>2725</v>
      </c>
      <c r="E1244" s="212" t="s">
        <v>7558</v>
      </c>
      <c r="F1244" s="215">
        <v>10</v>
      </c>
      <c r="G1244" s="194">
        <v>25.861049999999999</v>
      </c>
      <c r="H1244" s="195">
        <f t="shared" si="19"/>
        <v>258.6105</v>
      </c>
      <c r="I1244" s="212" t="s">
        <v>2354</v>
      </c>
    </row>
    <row r="1245" spans="1:9" x14ac:dyDescent="0.25">
      <c r="A1245" s="193" t="s">
        <v>220</v>
      </c>
      <c r="B1245" s="193" t="s">
        <v>2351</v>
      </c>
      <c r="C1245" s="214" t="s">
        <v>2726</v>
      </c>
      <c r="D1245" s="193" t="s">
        <v>2727</v>
      </c>
      <c r="E1245" s="212" t="s">
        <v>2387</v>
      </c>
      <c r="F1245" s="215">
        <v>4</v>
      </c>
      <c r="G1245" s="194">
        <v>42.3</v>
      </c>
      <c r="H1245" s="195">
        <f t="shared" si="19"/>
        <v>169.2</v>
      </c>
      <c r="I1245" s="212" t="s">
        <v>2354</v>
      </c>
    </row>
    <row r="1246" spans="1:9" x14ac:dyDescent="0.25">
      <c r="A1246" s="193" t="s">
        <v>220</v>
      </c>
      <c r="B1246" s="193" t="s">
        <v>2351</v>
      </c>
      <c r="C1246" s="214" t="s">
        <v>2728</v>
      </c>
      <c r="D1246" s="193" t="s">
        <v>2729</v>
      </c>
      <c r="E1246" s="212" t="s">
        <v>545</v>
      </c>
      <c r="F1246" s="215">
        <v>2</v>
      </c>
      <c r="G1246" s="194">
        <v>5.1738</v>
      </c>
      <c r="H1246" s="195">
        <f t="shared" si="19"/>
        <v>10.3476</v>
      </c>
      <c r="I1246" s="212" t="s">
        <v>2354</v>
      </c>
    </row>
    <row r="1247" spans="1:9" x14ac:dyDescent="0.25">
      <c r="A1247" s="193" t="s">
        <v>220</v>
      </c>
      <c r="B1247" s="193" t="s">
        <v>2351</v>
      </c>
      <c r="C1247" s="214" t="s">
        <v>2730</v>
      </c>
      <c r="D1247" s="193" t="s">
        <v>2731</v>
      </c>
      <c r="E1247" s="212" t="s">
        <v>545</v>
      </c>
      <c r="F1247" s="215">
        <v>6</v>
      </c>
      <c r="G1247" s="194">
        <v>7.7606999999999999</v>
      </c>
      <c r="H1247" s="195">
        <f t="shared" si="19"/>
        <v>46.5642</v>
      </c>
      <c r="I1247" s="212" t="s">
        <v>2354</v>
      </c>
    </row>
    <row r="1248" spans="1:9" x14ac:dyDescent="0.25">
      <c r="A1248" s="193" t="s">
        <v>220</v>
      </c>
      <c r="B1248" s="193" t="s">
        <v>2351</v>
      </c>
      <c r="C1248" s="214" t="s">
        <v>2732</v>
      </c>
      <c r="D1248" s="193" t="s">
        <v>2733</v>
      </c>
      <c r="E1248" s="212" t="s">
        <v>545</v>
      </c>
      <c r="F1248" s="215">
        <v>1</v>
      </c>
      <c r="G1248" s="194">
        <v>7.7606999999999999</v>
      </c>
      <c r="H1248" s="195">
        <f t="shared" si="19"/>
        <v>7.7606999999999999</v>
      </c>
      <c r="I1248" s="212" t="s">
        <v>2354</v>
      </c>
    </row>
    <row r="1249" spans="1:9" x14ac:dyDescent="0.25">
      <c r="A1249" s="193" t="s">
        <v>220</v>
      </c>
      <c r="B1249" s="193" t="s">
        <v>2351</v>
      </c>
      <c r="C1249" s="214" t="s">
        <v>2734</v>
      </c>
      <c r="D1249" s="193" t="s">
        <v>2735</v>
      </c>
      <c r="E1249" s="212" t="s">
        <v>545</v>
      </c>
      <c r="F1249" s="213">
        <v>1</v>
      </c>
      <c r="G1249" s="194">
        <v>2656.2089999999998</v>
      </c>
      <c r="H1249" s="195">
        <f t="shared" si="19"/>
        <v>2656.2089999999998</v>
      </c>
      <c r="I1249" s="212" t="s">
        <v>2354</v>
      </c>
    </row>
    <row r="1250" spans="1:9" x14ac:dyDescent="0.25">
      <c r="A1250" s="193" t="s">
        <v>220</v>
      </c>
      <c r="B1250" s="193" t="s">
        <v>2351</v>
      </c>
      <c r="C1250" s="214" t="s">
        <v>2736</v>
      </c>
      <c r="D1250" s="193" t="s">
        <v>2737</v>
      </c>
      <c r="E1250" s="212" t="s">
        <v>545</v>
      </c>
      <c r="F1250" s="215">
        <v>2</v>
      </c>
      <c r="G1250" s="194">
        <v>339.3</v>
      </c>
      <c r="H1250" s="195">
        <f t="shared" si="19"/>
        <v>678.6</v>
      </c>
      <c r="I1250" s="212" t="s">
        <v>2354</v>
      </c>
    </row>
    <row r="1251" spans="1:9" x14ac:dyDescent="0.25">
      <c r="A1251" s="193" t="s">
        <v>220</v>
      </c>
      <c r="B1251" s="193" t="s">
        <v>2351</v>
      </c>
      <c r="C1251" s="214" t="s">
        <v>2738</v>
      </c>
      <c r="D1251" s="193" t="s">
        <v>2739</v>
      </c>
      <c r="E1251" s="212" t="s">
        <v>545</v>
      </c>
      <c r="F1251" s="215">
        <v>1</v>
      </c>
      <c r="G1251" s="194">
        <v>26.3916</v>
      </c>
      <c r="H1251" s="195">
        <f t="shared" si="19"/>
        <v>26.3916</v>
      </c>
      <c r="I1251" s="212" t="s">
        <v>2354</v>
      </c>
    </row>
    <row r="1252" spans="1:9" x14ac:dyDescent="0.25">
      <c r="A1252" s="193" t="s">
        <v>220</v>
      </c>
      <c r="B1252" s="193" t="s">
        <v>2351</v>
      </c>
      <c r="C1252" s="214" t="s">
        <v>2740</v>
      </c>
      <c r="D1252" s="193" t="s">
        <v>2741</v>
      </c>
      <c r="E1252" s="212" t="s">
        <v>545</v>
      </c>
      <c r="F1252" s="215">
        <v>5</v>
      </c>
      <c r="G1252" s="194">
        <v>10.101692307692307</v>
      </c>
      <c r="H1252" s="195">
        <f t="shared" si="19"/>
        <v>50.508461538461532</v>
      </c>
      <c r="I1252" s="212" t="s">
        <v>2354</v>
      </c>
    </row>
    <row r="1253" spans="1:9" x14ac:dyDescent="0.25">
      <c r="A1253" s="193" t="s">
        <v>220</v>
      </c>
      <c r="B1253" s="193" t="s">
        <v>2351</v>
      </c>
      <c r="C1253" s="214" t="s">
        <v>2742</v>
      </c>
      <c r="D1253" s="193" t="s">
        <v>2743</v>
      </c>
      <c r="E1253" s="212" t="s">
        <v>545</v>
      </c>
      <c r="F1253" s="215">
        <v>5</v>
      </c>
      <c r="G1253" s="194">
        <v>12.044</v>
      </c>
      <c r="H1253" s="195">
        <f t="shared" si="19"/>
        <v>60.22</v>
      </c>
      <c r="I1253" s="212" t="s">
        <v>2354</v>
      </c>
    </row>
    <row r="1254" spans="1:9" x14ac:dyDescent="0.25">
      <c r="A1254" s="193" t="s">
        <v>220</v>
      </c>
      <c r="B1254" s="193" t="s">
        <v>2351</v>
      </c>
      <c r="C1254" s="214" t="s">
        <v>2744</v>
      </c>
      <c r="D1254" s="193" t="s">
        <v>2745</v>
      </c>
      <c r="E1254" s="212" t="s">
        <v>545</v>
      </c>
      <c r="F1254" s="215">
        <v>3</v>
      </c>
      <c r="G1254" s="194">
        <v>24.9255</v>
      </c>
      <c r="H1254" s="195">
        <f t="shared" si="19"/>
        <v>74.776499999999999</v>
      </c>
      <c r="I1254" s="212" t="s">
        <v>2354</v>
      </c>
    </row>
    <row r="1255" spans="1:9" x14ac:dyDescent="0.25">
      <c r="A1255" s="193" t="s">
        <v>220</v>
      </c>
      <c r="B1255" s="193" t="s">
        <v>2351</v>
      </c>
      <c r="C1255" s="214" t="s">
        <v>2746</v>
      </c>
      <c r="D1255" s="193" t="s">
        <v>2747</v>
      </c>
      <c r="E1255" s="212" t="s">
        <v>545</v>
      </c>
      <c r="F1255" s="215">
        <v>3</v>
      </c>
      <c r="G1255" s="194">
        <v>18.611999999999998</v>
      </c>
      <c r="H1255" s="195">
        <f t="shared" si="19"/>
        <v>55.835999999999999</v>
      </c>
      <c r="I1255" s="212" t="s">
        <v>2354</v>
      </c>
    </row>
    <row r="1256" spans="1:9" x14ac:dyDescent="0.25">
      <c r="A1256" s="193" t="s">
        <v>220</v>
      </c>
      <c r="B1256" s="193" t="s">
        <v>2351</v>
      </c>
      <c r="C1256" s="214" t="s">
        <v>2748</v>
      </c>
      <c r="D1256" s="193" t="s">
        <v>2749</v>
      </c>
      <c r="E1256" s="212" t="s">
        <v>545</v>
      </c>
      <c r="F1256" s="215">
        <v>3</v>
      </c>
      <c r="G1256" s="194">
        <v>16.72</v>
      </c>
      <c r="H1256" s="195">
        <f t="shared" si="19"/>
        <v>50.16</v>
      </c>
      <c r="I1256" s="212" t="s">
        <v>2354</v>
      </c>
    </row>
    <row r="1257" spans="1:9" x14ac:dyDescent="0.25">
      <c r="A1257" s="193" t="s">
        <v>220</v>
      </c>
      <c r="B1257" s="193" t="s">
        <v>2351</v>
      </c>
      <c r="C1257" s="214" t="s">
        <v>2750</v>
      </c>
      <c r="D1257" s="193" t="s">
        <v>2751</v>
      </c>
      <c r="E1257" s="212" t="s">
        <v>545</v>
      </c>
      <c r="F1257" s="215">
        <v>7</v>
      </c>
      <c r="G1257" s="194">
        <v>0</v>
      </c>
      <c r="H1257" s="195">
        <f t="shared" si="19"/>
        <v>0</v>
      </c>
      <c r="I1257" s="212" t="s">
        <v>2354</v>
      </c>
    </row>
    <row r="1258" spans="1:9" x14ac:dyDescent="0.25">
      <c r="A1258" s="193" t="s">
        <v>220</v>
      </c>
      <c r="B1258" s="193" t="s">
        <v>2351</v>
      </c>
      <c r="C1258" s="214" t="s">
        <v>2752</v>
      </c>
      <c r="D1258" s="193" t="s">
        <v>2753</v>
      </c>
      <c r="E1258" s="212" t="s">
        <v>545</v>
      </c>
      <c r="F1258" s="215">
        <v>1</v>
      </c>
      <c r="G1258" s="194">
        <v>0</v>
      </c>
      <c r="H1258" s="195">
        <f t="shared" si="19"/>
        <v>0</v>
      </c>
      <c r="I1258" s="212" t="s">
        <v>2354</v>
      </c>
    </row>
    <row r="1259" spans="1:9" x14ac:dyDescent="0.25">
      <c r="A1259" s="193" t="s">
        <v>220</v>
      </c>
      <c r="B1259" s="193" t="s">
        <v>2351</v>
      </c>
      <c r="C1259" s="214" t="s">
        <v>2754</v>
      </c>
      <c r="D1259" s="193" t="s">
        <v>2755</v>
      </c>
      <c r="E1259" s="212" t="s">
        <v>545</v>
      </c>
      <c r="F1259" s="215">
        <v>1</v>
      </c>
      <c r="G1259" s="194">
        <v>0</v>
      </c>
      <c r="H1259" s="195">
        <f t="shared" si="19"/>
        <v>0</v>
      </c>
      <c r="I1259" s="212" t="s">
        <v>2354</v>
      </c>
    </row>
    <row r="1260" spans="1:9" x14ac:dyDescent="0.25">
      <c r="A1260" s="193" t="s">
        <v>220</v>
      </c>
      <c r="B1260" s="193" t="s">
        <v>2351</v>
      </c>
      <c r="C1260" s="214" t="s">
        <v>2756</v>
      </c>
      <c r="D1260" s="193" t="s">
        <v>2757</v>
      </c>
      <c r="E1260" s="212" t="s">
        <v>545</v>
      </c>
      <c r="F1260" s="215">
        <v>1</v>
      </c>
      <c r="G1260" s="194">
        <v>0</v>
      </c>
      <c r="H1260" s="195">
        <f t="shared" si="19"/>
        <v>0</v>
      </c>
      <c r="I1260" s="212" t="s">
        <v>2354</v>
      </c>
    </row>
    <row r="1261" spans="1:9" x14ac:dyDescent="0.25">
      <c r="A1261" s="193" t="s">
        <v>220</v>
      </c>
      <c r="B1261" s="193" t="s">
        <v>2351</v>
      </c>
      <c r="C1261" s="214" t="s">
        <v>2758</v>
      </c>
      <c r="D1261" s="193" t="s">
        <v>2759</v>
      </c>
      <c r="E1261" s="212" t="s">
        <v>545</v>
      </c>
      <c r="F1261" s="215">
        <v>2</v>
      </c>
      <c r="G1261" s="194">
        <v>0</v>
      </c>
      <c r="H1261" s="195">
        <f t="shared" si="19"/>
        <v>0</v>
      </c>
      <c r="I1261" s="212" t="s">
        <v>2354</v>
      </c>
    </row>
    <row r="1262" spans="1:9" x14ac:dyDescent="0.25">
      <c r="A1262" s="193" t="s">
        <v>220</v>
      </c>
      <c r="B1262" s="193" t="s">
        <v>2351</v>
      </c>
      <c r="C1262" s="214" t="s">
        <v>2760</v>
      </c>
      <c r="D1262" s="193" t="s">
        <v>2761</v>
      </c>
      <c r="E1262" s="212" t="s">
        <v>545</v>
      </c>
      <c r="F1262" s="215">
        <v>1</v>
      </c>
      <c r="G1262" s="194">
        <v>0</v>
      </c>
      <c r="H1262" s="195">
        <f t="shared" si="19"/>
        <v>0</v>
      </c>
      <c r="I1262" s="212" t="s">
        <v>2354</v>
      </c>
    </row>
    <row r="1263" spans="1:9" x14ac:dyDescent="0.25">
      <c r="A1263" s="193" t="s">
        <v>220</v>
      </c>
      <c r="B1263" s="193" t="s">
        <v>2351</v>
      </c>
      <c r="C1263" s="214" t="s">
        <v>2762</v>
      </c>
      <c r="D1263" s="193" t="s">
        <v>2763</v>
      </c>
      <c r="E1263" s="212" t="s">
        <v>545</v>
      </c>
      <c r="F1263" s="215">
        <v>5</v>
      </c>
      <c r="G1263" s="194">
        <v>11.16</v>
      </c>
      <c r="H1263" s="195">
        <f t="shared" si="19"/>
        <v>55.8</v>
      </c>
      <c r="I1263" s="212" t="s">
        <v>2354</v>
      </c>
    </row>
    <row r="1264" spans="1:9" x14ac:dyDescent="0.25">
      <c r="A1264" s="193" t="s">
        <v>220</v>
      </c>
      <c r="B1264" s="193" t="s">
        <v>2351</v>
      </c>
      <c r="C1264" s="214" t="s">
        <v>2764</v>
      </c>
      <c r="D1264" s="193" t="s">
        <v>2765</v>
      </c>
      <c r="E1264" s="212" t="s">
        <v>545</v>
      </c>
      <c r="F1264" s="215">
        <v>4</v>
      </c>
      <c r="G1264" s="194">
        <v>0</v>
      </c>
      <c r="H1264" s="195">
        <f t="shared" si="19"/>
        <v>0</v>
      </c>
      <c r="I1264" s="212" t="s">
        <v>2354</v>
      </c>
    </row>
    <row r="1265" spans="1:9" x14ac:dyDescent="0.25">
      <c r="A1265" s="193" t="s">
        <v>220</v>
      </c>
      <c r="B1265" s="193" t="s">
        <v>2351</v>
      </c>
      <c r="C1265" s="214" t="s">
        <v>2766</v>
      </c>
      <c r="D1265" s="193" t="s">
        <v>2767</v>
      </c>
      <c r="E1265" s="212" t="s">
        <v>545</v>
      </c>
      <c r="F1265" s="215">
        <v>8</v>
      </c>
      <c r="G1265" s="194">
        <v>14.476000000000001</v>
      </c>
      <c r="H1265" s="195">
        <f t="shared" si="19"/>
        <v>115.80800000000001</v>
      </c>
      <c r="I1265" s="212" t="s">
        <v>2354</v>
      </c>
    </row>
    <row r="1266" spans="1:9" x14ac:dyDescent="0.25">
      <c r="A1266" s="193" t="s">
        <v>220</v>
      </c>
      <c r="B1266" s="193" t="s">
        <v>2351</v>
      </c>
      <c r="C1266" s="214" t="s">
        <v>2768</v>
      </c>
      <c r="D1266" s="193" t="s">
        <v>2769</v>
      </c>
      <c r="E1266" s="212" t="s">
        <v>545</v>
      </c>
      <c r="F1266" s="215">
        <v>2</v>
      </c>
      <c r="G1266" s="194">
        <v>46.54936</v>
      </c>
      <c r="H1266" s="195">
        <f t="shared" si="19"/>
        <v>93.09872</v>
      </c>
      <c r="I1266" s="212" t="s">
        <v>2354</v>
      </c>
    </row>
    <row r="1267" spans="1:9" x14ac:dyDescent="0.25">
      <c r="A1267" s="193" t="s">
        <v>220</v>
      </c>
      <c r="B1267" s="193" t="s">
        <v>2351</v>
      </c>
      <c r="C1267" s="214" t="s">
        <v>2770</v>
      </c>
      <c r="D1267" s="193" t="s">
        <v>2771</v>
      </c>
      <c r="E1267" s="212" t="s">
        <v>545</v>
      </c>
      <c r="F1267" s="215">
        <v>4</v>
      </c>
      <c r="G1267" s="194">
        <v>4.5530999999999997</v>
      </c>
      <c r="H1267" s="195">
        <f t="shared" si="19"/>
        <v>18.212399999999999</v>
      </c>
      <c r="I1267" s="212" t="s">
        <v>2354</v>
      </c>
    </row>
    <row r="1268" spans="1:9" x14ac:dyDescent="0.25">
      <c r="A1268" s="193" t="s">
        <v>220</v>
      </c>
      <c r="B1268" s="193" t="s">
        <v>2351</v>
      </c>
      <c r="C1268" s="214" t="s">
        <v>2772</v>
      </c>
      <c r="D1268" s="193" t="s">
        <v>2773</v>
      </c>
      <c r="E1268" s="212" t="s">
        <v>545</v>
      </c>
      <c r="F1268" s="215">
        <v>2</v>
      </c>
      <c r="G1268" s="194">
        <v>0</v>
      </c>
      <c r="H1268" s="195">
        <f t="shared" si="19"/>
        <v>0</v>
      </c>
      <c r="I1268" s="212" t="s">
        <v>2354</v>
      </c>
    </row>
    <row r="1269" spans="1:9" x14ac:dyDescent="0.25">
      <c r="A1269" s="193" t="s">
        <v>220</v>
      </c>
      <c r="B1269" s="193" t="s">
        <v>2351</v>
      </c>
      <c r="C1269" s="214" t="s">
        <v>2774</v>
      </c>
      <c r="D1269" s="193" t="s">
        <v>2775</v>
      </c>
      <c r="E1269" s="212" t="s">
        <v>545</v>
      </c>
      <c r="F1269" s="215">
        <v>2</v>
      </c>
      <c r="G1269" s="194">
        <v>13.4361</v>
      </c>
      <c r="H1269" s="195">
        <f t="shared" si="19"/>
        <v>26.872199999999999</v>
      </c>
      <c r="I1269" s="212" t="s">
        <v>2354</v>
      </c>
    </row>
    <row r="1270" spans="1:9" x14ac:dyDescent="0.25">
      <c r="A1270" s="193" t="s">
        <v>220</v>
      </c>
      <c r="B1270" s="193" t="s">
        <v>2351</v>
      </c>
      <c r="C1270" s="214" t="s">
        <v>2776</v>
      </c>
      <c r="D1270" s="193" t="s">
        <v>2777</v>
      </c>
      <c r="E1270" s="212" t="s">
        <v>545</v>
      </c>
      <c r="F1270" s="215">
        <v>16</v>
      </c>
      <c r="G1270" s="194">
        <v>8.5500000000000007</v>
      </c>
      <c r="H1270" s="195">
        <f t="shared" si="19"/>
        <v>136.80000000000001</v>
      </c>
      <c r="I1270" s="212" t="s">
        <v>2354</v>
      </c>
    </row>
    <row r="1271" spans="1:9" x14ac:dyDescent="0.25">
      <c r="A1271" s="193" t="s">
        <v>220</v>
      </c>
      <c r="B1271" s="193" t="s">
        <v>2351</v>
      </c>
      <c r="C1271" s="214" t="s">
        <v>2778</v>
      </c>
      <c r="D1271" s="193" t="s">
        <v>2779</v>
      </c>
      <c r="E1271" s="212" t="s">
        <v>545</v>
      </c>
      <c r="F1271" s="215">
        <v>5</v>
      </c>
      <c r="G1271" s="194">
        <v>10.35</v>
      </c>
      <c r="H1271" s="195">
        <f t="shared" si="19"/>
        <v>51.75</v>
      </c>
      <c r="I1271" s="212" t="s">
        <v>2354</v>
      </c>
    </row>
    <row r="1272" spans="1:9" x14ac:dyDescent="0.25">
      <c r="A1272" s="193" t="s">
        <v>220</v>
      </c>
      <c r="B1272" s="193" t="s">
        <v>2351</v>
      </c>
      <c r="C1272" s="214" t="s">
        <v>2780</v>
      </c>
      <c r="D1272" s="193" t="s">
        <v>2781</v>
      </c>
      <c r="E1272" s="212" t="s">
        <v>545</v>
      </c>
      <c r="F1272" s="215">
        <v>1</v>
      </c>
      <c r="G1272" s="194">
        <v>31.95</v>
      </c>
      <c r="H1272" s="195">
        <f t="shared" si="19"/>
        <v>31.95</v>
      </c>
      <c r="I1272" s="212" t="s">
        <v>2354</v>
      </c>
    </row>
    <row r="1273" spans="1:9" x14ac:dyDescent="0.25">
      <c r="A1273" s="193" t="s">
        <v>220</v>
      </c>
      <c r="B1273" s="193" t="s">
        <v>2351</v>
      </c>
      <c r="C1273" s="214" t="s">
        <v>2782</v>
      </c>
      <c r="D1273" s="193" t="s">
        <v>2783</v>
      </c>
      <c r="E1273" s="212" t="s">
        <v>545</v>
      </c>
      <c r="F1273" s="215">
        <v>8</v>
      </c>
      <c r="G1273" s="194">
        <v>9.9930000000000003</v>
      </c>
      <c r="H1273" s="195">
        <f t="shared" si="19"/>
        <v>79.944000000000003</v>
      </c>
      <c r="I1273" s="212" t="s">
        <v>2354</v>
      </c>
    </row>
    <row r="1274" spans="1:9" x14ac:dyDescent="0.25">
      <c r="A1274" s="193" t="s">
        <v>220</v>
      </c>
      <c r="B1274" s="193" t="s">
        <v>2351</v>
      </c>
      <c r="C1274" s="214" t="s">
        <v>2784</v>
      </c>
      <c r="D1274" s="193" t="s">
        <v>2785</v>
      </c>
      <c r="E1274" s="212" t="s">
        <v>545</v>
      </c>
      <c r="F1274" s="215">
        <v>2</v>
      </c>
      <c r="G1274" s="194">
        <v>36.359099999999998</v>
      </c>
      <c r="H1274" s="195">
        <f t="shared" si="19"/>
        <v>72.718199999999996</v>
      </c>
      <c r="I1274" s="212" t="s">
        <v>2354</v>
      </c>
    </row>
    <row r="1275" spans="1:9" x14ac:dyDescent="0.25">
      <c r="A1275" s="193" t="s">
        <v>220</v>
      </c>
      <c r="B1275" s="193" t="s">
        <v>2351</v>
      </c>
      <c r="C1275" s="214" t="s">
        <v>2786</v>
      </c>
      <c r="D1275" s="193" t="s">
        <v>2787</v>
      </c>
      <c r="E1275" s="212" t="s">
        <v>545</v>
      </c>
      <c r="F1275" s="215">
        <v>2</v>
      </c>
      <c r="G1275" s="194">
        <v>19.299600000000002</v>
      </c>
      <c r="H1275" s="195">
        <f t="shared" si="19"/>
        <v>38.599200000000003</v>
      </c>
      <c r="I1275" s="212" t="s">
        <v>2354</v>
      </c>
    </row>
    <row r="1276" spans="1:9" x14ac:dyDescent="0.25">
      <c r="A1276" s="193" t="s">
        <v>220</v>
      </c>
      <c r="B1276" s="193" t="s">
        <v>2351</v>
      </c>
      <c r="C1276" s="214" t="s">
        <v>2788</v>
      </c>
      <c r="D1276" s="193" t="s">
        <v>2789</v>
      </c>
      <c r="E1276" s="212" t="s">
        <v>545</v>
      </c>
      <c r="F1276" s="215">
        <v>4</v>
      </c>
      <c r="G1276" s="194">
        <v>49.68</v>
      </c>
      <c r="H1276" s="195">
        <f t="shared" si="19"/>
        <v>198.72</v>
      </c>
      <c r="I1276" s="212" t="s">
        <v>2354</v>
      </c>
    </row>
    <row r="1277" spans="1:9" x14ac:dyDescent="0.25">
      <c r="A1277" s="193" t="s">
        <v>220</v>
      </c>
      <c r="B1277" s="193" t="s">
        <v>2351</v>
      </c>
      <c r="C1277" s="214" t="s">
        <v>2790</v>
      </c>
      <c r="D1277" s="193" t="s">
        <v>2791</v>
      </c>
      <c r="E1277" s="212" t="s">
        <v>545</v>
      </c>
      <c r="F1277" s="215">
        <v>3</v>
      </c>
      <c r="G1277" s="194">
        <v>11.0115</v>
      </c>
      <c r="H1277" s="195">
        <f t="shared" si="19"/>
        <v>33.034500000000001</v>
      </c>
      <c r="I1277" s="212" t="s">
        <v>2354</v>
      </c>
    </row>
    <row r="1278" spans="1:9" x14ac:dyDescent="0.25">
      <c r="A1278" s="193" t="s">
        <v>220</v>
      </c>
      <c r="B1278" s="193" t="s">
        <v>2351</v>
      </c>
      <c r="C1278" s="214" t="s">
        <v>2792</v>
      </c>
      <c r="D1278" s="193" t="s">
        <v>2793</v>
      </c>
      <c r="E1278" s="212" t="s">
        <v>545</v>
      </c>
      <c r="F1278" s="215">
        <v>0</v>
      </c>
      <c r="G1278" s="194">
        <v>19.25</v>
      </c>
      <c r="H1278" s="195">
        <f t="shared" si="19"/>
        <v>0</v>
      </c>
      <c r="I1278" s="212" t="s">
        <v>2354</v>
      </c>
    </row>
    <row r="1279" spans="1:9" x14ac:dyDescent="0.25">
      <c r="A1279" s="193" t="s">
        <v>220</v>
      </c>
      <c r="B1279" s="193" t="s">
        <v>2351</v>
      </c>
      <c r="C1279" s="214" t="s">
        <v>2794</v>
      </c>
      <c r="D1279" s="193" t="s">
        <v>2795</v>
      </c>
      <c r="E1279" s="212" t="s">
        <v>545</v>
      </c>
      <c r="F1279" s="215">
        <v>1</v>
      </c>
      <c r="G1279" s="194">
        <v>10.35</v>
      </c>
      <c r="H1279" s="195">
        <f t="shared" si="19"/>
        <v>10.35</v>
      </c>
      <c r="I1279" s="212" t="s">
        <v>2354</v>
      </c>
    </row>
    <row r="1280" spans="1:9" x14ac:dyDescent="0.25">
      <c r="A1280" s="193" t="s">
        <v>220</v>
      </c>
      <c r="B1280" s="193" t="s">
        <v>2351</v>
      </c>
      <c r="C1280" s="214" t="s">
        <v>2796</v>
      </c>
      <c r="D1280" s="193" t="s">
        <v>2797</v>
      </c>
      <c r="E1280" s="212" t="s">
        <v>545</v>
      </c>
      <c r="F1280" s="215">
        <v>1</v>
      </c>
      <c r="G1280" s="194">
        <v>10.35</v>
      </c>
      <c r="H1280" s="195">
        <f t="shared" si="19"/>
        <v>10.35</v>
      </c>
      <c r="I1280" s="212" t="s">
        <v>2354</v>
      </c>
    </row>
    <row r="1281" spans="1:9" x14ac:dyDescent="0.25">
      <c r="A1281" s="193" t="s">
        <v>220</v>
      </c>
      <c r="B1281" s="193" t="s">
        <v>2351</v>
      </c>
      <c r="C1281" s="214" t="s">
        <v>2798</v>
      </c>
      <c r="D1281" s="193" t="s">
        <v>2799</v>
      </c>
      <c r="E1281" s="212" t="s">
        <v>545</v>
      </c>
      <c r="F1281" s="215">
        <v>9</v>
      </c>
      <c r="G1281" s="194">
        <v>10.35</v>
      </c>
      <c r="H1281" s="195">
        <f t="shared" si="19"/>
        <v>93.149999999999991</v>
      </c>
      <c r="I1281" s="212" t="s">
        <v>2354</v>
      </c>
    </row>
    <row r="1282" spans="1:9" x14ac:dyDescent="0.25">
      <c r="A1282" s="193" t="s">
        <v>220</v>
      </c>
      <c r="B1282" s="193" t="s">
        <v>2351</v>
      </c>
      <c r="C1282" s="214" t="s">
        <v>2800</v>
      </c>
      <c r="D1282" s="193" t="s">
        <v>2801</v>
      </c>
      <c r="E1282" s="212" t="s">
        <v>545</v>
      </c>
      <c r="F1282" s="215">
        <v>1</v>
      </c>
      <c r="G1282" s="194">
        <v>10.35</v>
      </c>
      <c r="H1282" s="195">
        <f t="shared" si="19"/>
        <v>10.35</v>
      </c>
      <c r="I1282" s="212" t="s">
        <v>2354</v>
      </c>
    </row>
    <row r="1283" spans="1:9" x14ac:dyDescent="0.25">
      <c r="A1283" s="193" t="s">
        <v>220</v>
      </c>
      <c r="B1283" s="193" t="s">
        <v>2351</v>
      </c>
      <c r="C1283" s="214" t="s">
        <v>2802</v>
      </c>
      <c r="D1283" s="193" t="s">
        <v>2803</v>
      </c>
      <c r="E1283" s="212" t="s">
        <v>545</v>
      </c>
      <c r="F1283" s="215">
        <v>9</v>
      </c>
      <c r="G1283" s="194">
        <v>22.5</v>
      </c>
      <c r="H1283" s="195">
        <f t="shared" si="19"/>
        <v>202.5</v>
      </c>
      <c r="I1283" s="212" t="s">
        <v>2354</v>
      </c>
    </row>
    <row r="1284" spans="1:9" x14ac:dyDescent="0.25">
      <c r="A1284" s="193" t="s">
        <v>220</v>
      </c>
      <c r="B1284" s="193" t="s">
        <v>2351</v>
      </c>
      <c r="C1284" s="214" t="s">
        <v>2804</v>
      </c>
      <c r="D1284" s="193" t="s">
        <v>2805</v>
      </c>
      <c r="E1284" s="212" t="s">
        <v>545</v>
      </c>
      <c r="F1284" s="215">
        <v>2</v>
      </c>
      <c r="G1284" s="194">
        <v>29.7</v>
      </c>
      <c r="H1284" s="195">
        <f t="shared" si="19"/>
        <v>59.4</v>
      </c>
      <c r="I1284" s="212" t="s">
        <v>2354</v>
      </c>
    </row>
    <row r="1285" spans="1:9" x14ac:dyDescent="0.25">
      <c r="A1285" s="193" t="s">
        <v>220</v>
      </c>
      <c r="B1285" s="193" t="s">
        <v>2351</v>
      </c>
      <c r="C1285" s="214" t="s">
        <v>2806</v>
      </c>
      <c r="D1285" s="193" t="s">
        <v>2807</v>
      </c>
      <c r="E1285" s="212" t="s">
        <v>545</v>
      </c>
      <c r="F1285" s="215">
        <v>6</v>
      </c>
      <c r="G1285" s="194">
        <v>10.35</v>
      </c>
      <c r="H1285" s="195">
        <f t="shared" ref="H1285:H1348" si="20">+F1285*G1285</f>
        <v>62.099999999999994</v>
      </c>
      <c r="I1285" s="212" t="s">
        <v>2354</v>
      </c>
    </row>
    <row r="1286" spans="1:9" x14ac:dyDescent="0.25">
      <c r="A1286" s="193" t="s">
        <v>220</v>
      </c>
      <c r="B1286" s="193" t="s">
        <v>2351</v>
      </c>
      <c r="C1286" s="214" t="s">
        <v>2808</v>
      </c>
      <c r="D1286" s="193" t="s">
        <v>2809</v>
      </c>
      <c r="E1286" s="212" t="s">
        <v>545</v>
      </c>
      <c r="F1286" s="215">
        <v>3</v>
      </c>
      <c r="G1286" s="194">
        <v>10.35</v>
      </c>
      <c r="H1286" s="195">
        <f t="shared" si="20"/>
        <v>31.049999999999997</v>
      </c>
      <c r="I1286" s="212" t="s">
        <v>2354</v>
      </c>
    </row>
    <row r="1287" spans="1:9" x14ac:dyDescent="0.25">
      <c r="A1287" s="193" t="s">
        <v>220</v>
      </c>
      <c r="B1287" s="193" t="s">
        <v>2351</v>
      </c>
      <c r="C1287" s="214" t="s">
        <v>2810</v>
      </c>
      <c r="D1287" s="193" t="s">
        <v>2811</v>
      </c>
      <c r="E1287" s="212" t="s">
        <v>545</v>
      </c>
      <c r="F1287" s="215">
        <v>5</v>
      </c>
      <c r="G1287" s="194">
        <v>25.007400000000001</v>
      </c>
      <c r="H1287" s="195">
        <f t="shared" si="20"/>
        <v>125.03700000000001</v>
      </c>
      <c r="I1287" s="212" t="s">
        <v>2354</v>
      </c>
    </row>
    <row r="1288" spans="1:9" x14ac:dyDescent="0.25">
      <c r="A1288" s="193" t="s">
        <v>220</v>
      </c>
      <c r="B1288" s="193" t="s">
        <v>2351</v>
      </c>
      <c r="C1288" s="214" t="s">
        <v>2812</v>
      </c>
      <c r="D1288" s="193" t="s">
        <v>2813</v>
      </c>
      <c r="E1288" s="212" t="s">
        <v>545</v>
      </c>
      <c r="F1288" s="215">
        <v>4</v>
      </c>
      <c r="G1288" s="194">
        <v>176.27939999999998</v>
      </c>
      <c r="H1288" s="195">
        <f t="shared" si="20"/>
        <v>705.11759999999992</v>
      </c>
      <c r="I1288" s="212" t="s">
        <v>2354</v>
      </c>
    </row>
    <row r="1289" spans="1:9" x14ac:dyDescent="0.25">
      <c r="A1289" s="193" t="s">
        <v>220</v>
      </c>
      <c r="B1289" s="193" t="s">
        <v>2351</v>
      </c>
      <c r="C1289" s="214" t="s">
        <v>2814</v>
      </c>
      <c r="D1289" s="193" t="s">
        <v>2815</v>
      </c>
      <c r="E1289" s="212" t="s">
        <v>545</v>
      </c>
      <c r="F1289" s="215">
        <v>1</v>
      </c>
      <c r="G1289" s="194">
        <v>144.81</v>
      </c>
      <c r="H1289" s="195">
        <f t="shared" si="20"/>
        <v>144.81</v>
      </c>
      <c r="I1289" s="212" t="s">
        <v>2354</v>
      </c>
    </row>
    <row r="1290" spans="1:9" x14ac:dyDescent="0.25">
      <c r="A1290" s="193" t="s">
        <v>220</v>
      </c>
      <c r="B1290" s="193" t="s">
        <v>2351</v>
      </c>
      <c r="C1290" s="214" t="s">
        <v>2816</v>
      </c>
      <c r="D1290" s="193" t="s">
        <v>2817</v>
      </c>
      <c r="E1290" s="212" t="s">
        <v>545</v>
      </c>
      <c r="F1290" s="215">
        <v>8</v>
      </c>
      <c r="G1290" s="194">
        <v>3.7124999999999999</v>
      </c>
      <c r="H1290" s="195">
        <f t="shared" si="20"/>
        <v>29.7</v>
      </c>
      <c r="I1290" s="212" t="s">
        <v>2354</v>
      </c>
    </row>
    <row r="1291" spans="1:9" x14ac:dyDescent="0.25">
      <c r="A1291" s="193" t="s">
        <v>220</v>
      </c>
      <c r="B1291" s="193" t="s">
        <v>2351</v>
      </c>
      <c r="C1291" s="214" t="s">
        <v>2818</v>
      </c>
      <c r="D1291" s="193" t="s">
        <v>2819</v>
      </c>
      <c r="E1291" s="212" t="s">
        <v>545</v>
      </c>
      <c r="F1291" s="215">
        <v>9</v>
      </c>
      <c r="G1291" s="194">
        <v>3.7124999999999999</v>
      </c>
      <c r="H1291" s="195">
        <f t="shared" si="20"/>
        <v>33.412500000000001</v>
      </c>
      <c r="I1291" s="212" t="s">
        <v>2354</v>
      </c>
    </row>
    <row r="1292" spans="1:9" x14ac:dyDescent="0.25">
      <c r="A1292" s="193" t="s">
        <v>220</v>
      </c>
      <c r="B1292" s="193" t="s">
        <v>2351</v>
      </c>
      <c r="C1292" s="214" t="s">
        <v>2820</v>
      </c>
      <c r="D1292" s="193" t="s">
        <v>2821</v>
      </c>
      <c r="E1292" s="212" t="s">
        <v>545</v>
      </c>
      <c r="F1292" s="215">
        <v>2</v>
      </c>
      <c r="G1292" s="194">
        <v>21.08</v>
      </c>
      <c r="H1292" s="195">
        <f t="shared" si="20"/>
        <v>42.16</v>
      </c>
      <c r="I1292" s="212" t="s">
        <v>2354</v>
      </c>
    </row>
    <row r="1293" spans="1:9" x14ac:dyDescent="0.25">
      <c r="A1293" s="193" t="s">
        <v>220</v>
      </c>
      <c r="B1293" s="193" t="s">
        <v>2351</v>
      </c>
      <c r="C1293" s="214" t="s">
        <v>2822</v>
      </c>
      <c r="D1293" s="193" t="s">
        <v>2823</v>
      </c>
      <c r="E1293" s="212" t="s">
        <v>545</v>
      </c>
      <c r="F1293" s="215">
        <v>2</v>
      </c>
      <c r="G1293" s="194">
        <v>21.08</v>
      </c>
      <c r="H1293" s="195">
        <f t="shared" si="20"/>
        <v>42.16</v>
      </c>
      <c r="I1293" s="212" t="s">
        <v>2354</v>
      </c>
    </row>
    <row r="1294" spans="1:9" x14ac:dyDescent="0.25">
      <c r="A1294" s="193" t="s">
        <v>220</v>
      </c>
      <c r="B1294" s="193" t="s">
        <v>2351</v>
      </c>
      <c r="C1294" s="214" t="s">
        <v>2824</v>
      </c>
      <c r="D1294" s="193" t="s">
        <v>2825</v>
      </c>
      <c r="E1294" s="212" t="s">
        <v>545</v>
      </c>
      <c r="F1294" s="215">
        <v>1</v>
      </c>
      <c r="G1294" s="194">
        <v>144.92500000000001</v>
      </c>
      <c r="H1294" s="195">
        <f t="shared" si="20"/>
        <v>144.92500000000001</v>
      </c>
      <c r="I1294" s="212" t="s">
        <v>2354</v>
      </c>
    </row>
    <row r="1295" spans="1:9" x14ac:dyDescent="0.25">
      <c r="A1295" s="193" t="s">
        <v>220</v>
      </c>
      <c r="B1295" s="193" t="s">
        <v>2351</v>
      </c>
      <c r="C1295" s="214" t="s">
        <v>2826</v>
      </c>
      <c r="D1295" s="193" t="s">
        <v>2827</v>
      </c>
      <c r="E1295" s="212" t="s">
        <v>545</v>
      </c>
      <c r="F1295" s="215">
        <v>1</v>
      </c>
      <c r="G1295" s="194">
        <v>153.595</v>
      </c>
      <c r="H1295" s="195">
        <f t="shared" si="20"/>
        <v>153.595</v>
      </c>
      <c r="I1295" s="212" t="s">
        <v>2354</v>
      </c>
    </row>
    <row r="1296" spans="1:9" x14ac:dyDescent="0.25">
      <c r="A1296" s="193" t="s">
        <v>220</v>
      </c>
      <c r="B1296" s="193" t="s">
        <v>2351</v>
      </c>
      <c r="C1296" s="214" t="s">
        <v>2828</v>
      </c>
      <c r="D1296" s="193" t="s">
        <v>2829</v>
      </c>
      <c r="E1296" s="212" t="s">
        <v>545</v>
      </c>
      <c r="F1296" s="215">
        <v>1</v>
      </c>
      <c r="G1296" s="194">
        <v>175.21</v>
      </c>
      <c r="H1296" s="195">
        <f t="shared" si="20"/>
        <v>175.21</v>
      </c>
      <c r="I1296" s="212" t="s">
        <v>2354</v>
      </c>
    </row>
    <row r="1297" spans="1:9" x14ac:dyDescent="0.25">
      <c r="A1297" s="193" t="s">
        <v>220</v>
      </c>
      <c r="B1297" s="193" t="s">
        <v>2351</v>
      </c>
      <c r="C1297" s="214" t="s">
        <v>2830</v>
      </c>
      <c r="D1297" s="193" t="s">
        <v>2831</v>
      </c>
      <c r="E1297" s="212" t="s">
        <v>545</v>
      </c>
      <c r="F1297" s="215">
        <v>1</v>
      </c>
      <c r="G1297" s="194">
        <v>214.98965000000001</v>
      </c>
      <c r="H1297" s="195">
        <f t="shared" si="20"/>
        <v>214.98965000000001</v>
      </c>
      <c r="I1297" s="212" t="s">
        <v>2354</v>
      </c>
    </row>
    <row r="1298" spans="1:9" x14ac:dyDescent="0.25">
      <c r="A1298" s="193" t="s">
        <v>220</v>
      </c>
      <c r="B1298" s="193" t="s">
        <v>2351</v>
      </c>
      <c r="C1298" s="214" t="s">
        <v>2832</v>
      </c>
      <c r="D1298" s="193" t="s">
        <v>2833</v>
      </c>
      <c r="E1298" s="212" t="s">
        <v>545</v>
      </c>
      <c r="F1298" s="215">
        <v>2</v>
      </c>
      <c r="G1298" s="194">
        <v>0</v>
      </c>
      <c r="H1298" s="195">
        <f t="shared" si="20"/>
        <v>0</v>
      </c>
      <c r="I1298" s="212" t="s">
        <v>2354</v>
      </c>
    </row>
    <row r="1299" spans="1:9" x14ac:dyDescent="0.25">
      <c r="A1299" s="193" t="s">
        <v>220</v>
      </c>
      <c r="B1299" s="193" t="s">
        <v>2351</v>
      </c>
      <c r="C1299" s="214" t="s">
        <v>2834</v>
      </c>
      <c r="D1299" s="193" t="s">
        <v>2835</v>
      </c>
      <c r="E1299" s="212" t="s">
        <v>545</v>
      </c>
      <c r="F1299" s="215">
        <v>4</v>
      </c>
      <c r="G1299" s="194">
        <v>16.881</v>
      </c>
      <c r="H1299" s="195">
        <f t="shared" si="20"/>
        <v>67.524000000000001</v>
      </c>
      <c r="I1299" s="212" t="s">
        <v>2354</v>
      </c>
    </row>
    <row r="1300" spans="1:9" x14ac:dyDescent="0.25">
      <c r="A1300" s="193" t="s">
        <v>220</v>
      </c>
      <c r="B1300" s="193" t="s">
        <v>2351</v>
      </c>
      <c r="C1300" s="214" t="s">
        <v>2836</v>
      </c>
      <c r="D1300" s="193" t="s">
        <v>2837</v>
      </c>
      <c r="E1300" s="212" t="s">
        <v>545</v>
      </c>
      <c r="F1300" s="215">
        <v>1</v>
      </c>
      <c r="G1300" s="194">
        <v>19.5</v>
      </c>
      <c r="H1300" s="195">
        <f t="shared" si="20"/>
        <v>19.5</v>
      </c>
      <c r="I1300" s="212" t="s">
        <v>2354</v>
      </c>
    </row>
    <row r="1301" spans="1:9" x14ac:dyDescent="0.25">
      <c r="A1301" s="193" t="s">
        <v>220</v>
      </c>
      <c r="B1301" s="193" t="s">
        <v>2351</v>
      </c>
      <c r="C1301" s="214" t="s">
        <v>2838</v>
      </c>
      <c r="D1301" s="193" t="s">
        <v>2839</v>
      </c>
      <c r="E1301" s="212" t="s">
        <v>545</v>
      </c>
      <c r="F1301" s="215">
        <v>1</v>
      </c>
      <c r="G1301" s="194">
        <v>199.98500000000001</v>
      </c>
      <c r="H1301" s="195">
        <f t="shared" si="20"/>
        <v>199.98500000000001</v>
      </c>
      <c r="I1301" s="212" t="s">
        <v>2354</v>
      </c>
    </row>
    <row r="1302" spans="1:9" x14ac:dyDescent="0.25">
      <c r="A1302" s="193" t="s">
        <v>220</v>
      </c>
      <c r="B1302" s="193" t="s">
        <v>2351</v>
      </c>
      <c r="C1302" s="214" t="s">
        <v>2840</v>
      </c>
      <c r="D1302" s="193" t="s">
        <v>2841</v>
      </c>
      <c r="E1302" s="212" t="s">
        <v>545</v>
      </c>
      <c r="F1302" s="215">
        <v>1</v>
      </c>
      <c r="G1302" s="194">
        <v>63.444000000000003</v>
      </c>
      <c r="H1302" s="195">
        <f t="shared" si="20"/>
        <v>63.444000000000003</v>
      </c>
      <c r="I1302" s="212" t="s">
        <v>2354</v>
      </c>
    </row>
    <row r="1303" spans="1:9" x14ac:dyDescent="0.25">
      <c r="A1303" s="193" t="s">
        <v>220</v>
      </c>
      <c r="B1303" s="193" t="s">
        <v>2351</v>
      </c>
      <c r="C1303" s="214" t="s">
        <v>2842</v>
      </c>
      <c r="D1303" s="193" t="s">
        <v>2843</v>
      </c>
      <c r="E1303" s="212" t="s">
        <v>545</v>
      </c>
      <c r="F1303" s="215">
        <v>3</v>
      </c>
      <c r="G1303" s="194">
        <v>21.59</v>
      </c>
      <c r="H1303" s="195">
        <f t="shared" si="20"/>
        <v>64.77</v>
      </c>
      <c r="I1303" s="212" t="s">
        <v>2354</v>
      </c>
    </row>
    <row r="1304" spans="1:9" x14ac:dyDescent="0.25">
      <c r="A1304" s="193" t="s">
        <v>220</v>
      </c>
      <c r="B1304" s="193" t="s">
        <v>2351</v>
      </c>
      <c r="C1304" s="214" t="s">
        <v>2844</v>
      </c>
      <c r="D1304" s="193" t="s">
        <v>2845</v>
      </c>
      <c r="E1304" s="212" t="s">
        <v>545</v>
      </c>
      <c r="F1304" s="215">
        <v>6</v>
      </c>
      <c r="G1304" s="194">
        <v>54.701999999999998</v>
      </c>
      <c r="H1304" s="195">
        <f t="shared" si="20"/>
        <v>328.21199999999999</v>
      </c>
      <c r="I1304" s="212" t="s">
        <v>2354</v>
      </c>
    </row>
    <row r="1305" spans="1:9" x14ac:dyDescent="0.25">
      <c r="A1305" s="193" t="s">
        <v>220</v>
      </c>
      <c r="B1305" s="193" t="s">
        <v>2351</v>
      </c>
      <c r="C1305" s="214" t="s">
        <v>2846</v>
      </c>
      <c r="D1305" s="193" t="s">
        <v>2847</v>
      </c>
      <c r="E1305" s="212" t="s">
        <v>545</v>
      </c>
      <c r="F1305" s="215">
        <v>2</v>
      </c>
      <c r="G1305" s="194">
        <v>42.953400000000002</v>
      </c>
      <c r="H1305" s="195">
        <f t="shared" si="20"/>
        <v>85.906800000000004</v>
      </c>
      <c r="I1305" s="212" t="s">
        <v>2354</v>
      </c>
    </row>
    <row r="1306" spans="1:9" x14ac:dyDescent="0.25">
      <c r="A1306" s="193" t="s">
        <v>220</v>
      </c>
      <c r="B1306" s="193" t="s">
        <v>2351</v>
      </c>
      <c r="C1306" s="214" t="s">
        <v>2848</v>
      </c>
      <c r="D1306" s="193" t="s">
        <v>2849</v>
      </c>
      <c r="E1306" s="212" t="s">
        <v>545</v>
      </c>
      <c r="F1306" s="215">
        <v>4</v>
      </c>
      <c r="G1306" s="194">
        <v>49.3596</v>
      </c>
      <c r="H1306" s="195">
        <f t="shared" si="20"/>
        <v>197.4384</v>
      </c>
      <c r="I1306" s="212" t="s">
        <v>2354</v>
      </c>
    </row>
    <row r="1307" spans="1:9" x14ac:dyDescent="0.25">
      <c r="A1307" s="193" t="s">
        <v>220</v>
      </c>
      <c r="B1307" s="193" t="s">
        <v>2351</v>
      </c>
      <c r="C1307" s="214" t="s">
        <v>2850</v>
      </c>
      <c r="D1307" s="193" t="s">
        <v>2851</v>
      </c>
      <c r="E1307" s="212" t="s">
        <v>545</v>
      </c>
      <c r="F1307" s="215">
        <v>2</v>
      </c>
      <c r="G1307" s="194">
        <v>92.7</v>
      </c>
      <c r="H1307" s="195">
        <f t="shared" si="20"/>
        <v>185.4</v>
      </c>
      <c r="I1307" s="212" t="s">
        <v>2354</v>
      </c>
    </row>
    <row r="1308" spans="1:9" x14ac:dyDescent="0.25">
      <c r="A1308" s="193" t="s">
        <v>220</v>
      </c>
      <c r="B1308" s="193" t="s">
        <v>2351</v>
      </c>
      <c r="C1308" s="214" t="s">
        <v>2852</v>
      </c>
      <c r="D1308" s="193" t="s">
        <v>2853</v>
      </c>
      <c r="E1308" s="212" t="s">
        <v>545</v>
      </c>
      <c r="F1308" s="215">
        <v>4</v>
      </c>
      <c r="G1308" s="194">
        <v>55.125</v>
      </c>
      <c r="H1308" s="195">
        <f t="shared" si="20"/>
        <v>220.5</v>
      </c>
      <c r="I1308" s="212" t="s">
        <v>2354</v>
      </c>
    </row>
    <row r="1309" spans="1:9" x14ac:dyDescent="0.25">
      <c r="A1309" s="193" t="s">
        <v>220</v>
      </c>
      <c r="B1309" s="193" t="s">
        <v>2351</v>
      </c>
      <c r="C1309" s="214" t="s">
        <v>2854</v>
      </c>
      <c r="D1309" s="193" t="s">
        <v>2855</v>
      </c>
      <c r="E1309" s="212" t="s">
        <v>545</v>
      </c>
      <c r="F1309" s="215">
        <v>5</v>
      </c>
      <c r="G1309" s="194">
        <v>34.961849999999998</v>
      </c>
      <c r="H1309" s="195">
        <f t="shared" si="20"/>
        <v>174.80924999999999</v>
      </c>
      <c r="I1309" s="212" t="s">
        <v>2354</v>
      </c>
    </row>
    <row r="1310" spans="1:9" x14ac:dyDescent="0.25">
      <c r="A1310" s="193" t="s">
        <v>220</v>
      </c>
      <c r="B1310" s="193" t="s">
        <v>2351</v>
      </c>
      <c r="C1310" s="214" t="s">
        <v>2856</v>
      </c>
      <c r="D1310" s="193" t="s">
        <v>2857</v>
      </c>
      <c r="E1310" s="212" t="s">
        <v>545</v>
      </c>
      <c r="F1310" s="215">
        <v>3</v>
      </c>
      <c r="G1310" s="194">
        <v>33.125</v>
      </c>
      <c r="H1310" s="195">
        <f t="shared" si="20"/>
        <v>99.375</v>
      </c>
      <c r="I1310" s="212" t="s">
        <v>2354</v>
      </c>
    </row>
    <row r="1311" spans="1:9" x14ac:dyDescent="0.25">
      <c r="A1311" s="193" t="s">
        <v>220</v>
      </c>
      <c r="B1311" s="193" t="s">
        <v>2351</v>
      </c>
      <c r="C1311" s="214" t="s">
        <v>2858</v>
      </c>
      <c r="D1311" s="193" t="s">
        <v>2859</v>
      </c>
      <c r="E1311" s="212" t="s">
        <v>545</v>
      </c>
      <c r="F1311" s="215">
        <v>1</v>
      </c>
      <c r="G1311" s="194">
        <v>18.982800000000001</v>
      </c>
      <c r="H1311" s="195">
        <f t="shared" si="20"/>
        <v>18.982800000000001</v>
      </c>
      <c r="I1311" s="212" t="s">
        <v>2354</v>
      </c>
    </row>
    <row r="1312" spans="1:9" x14ac:dyDescent="0.25">
      <c r="A1312" s="193" t="s">
        <v>220</v>
      </c>
      <c r="B1312" s="193" t="s">
        <v>2351</v>
      </c>
      <c r="C1312" s="214" t="s">
        <v>2860</v>
      </c>
      <c r="D1312" s="193" t="s">
        <v>2861</v>
      </c>
      <c r="E1312" s="212" t="s">
        <v>545</v>
      </c>
      <c r="F1312" s="215">
        <v>4</v>
      </c>
      <c r="G1312" s="194">
        <v>39.761099999999999</v>
      </c>
      <c r="H1312" s="195">
        <f t="shared" si="20"/>
        <v>159.0444</v>
      </c>
      <c r="I1312" s="212" t="s">
        <v>2354</v>
      </c>
    </row>
    <row r="1313" spans="1:9" x14ac:dyDescent="0.25">
      <c r="A1313" s="193" t="s">
        <v>220</v>
      </c>
      <c r="B1313" s="193" t="s">
        <v>2351</v>
      </c>
      <c r="C1313" s="214" t="s">
        <v>2862</v>
      </c>
      <c r="D1313" s="193" t="s">
        <v>2863</v>
      </c>
      <c r="E1313" s="212" t="s">
        <v>545</v>
      </c>
      <c r="F1313" s="215">
        <v>6</v>
      </c>
      <c r="G1313" s="194">
        <v>38.228760000000001</v>
      </c>
      <c r="H1313" s="195">
        <f t="shared" si="20"/>
        <v>229.37256000000002</v>
      </c>
      <c r="I1313" s="212" t="s">
        <v>2354</v>
      </c>
    </row>
    <row r="1314" spans="1:9" x14ac:dyDescent="0.25">
      <c r="A1314" s="193" t="s">
        <v>220</v>
      </c>
      <c r="B1314" s="193" t="s">
        <v>2351</v>
      </c>
      <c r="C1314" s="214" t="s">
        <v>2864</v>
      </c>
      <c r="D1314" s="193" t="s">
        <v>2865</v>
      </c>
      <c r="E1314" s="212" t="s">
        <v>545</v>
      </c>
      <c r="F1314" s="215">
        <v>11</v>
      </c>
      <c r="G1314" s="194">
        <v>22.929201680672268</v>
      </c>
      <c r="H1314" s="195">
        <f t="shared" si="20"/>
        <v>252.22121848739494</v>
      </c>
      <c r="I1314" s="212" t="s">
        <v>2354</v>
      </c>
    </row>
    <row r="1315" spans="1:9" x14ac:dyDescent="0.25">
      <c r="A1315" s="193" t="s">
        <v>220</v>
      </c>
      <c r="B1315" s="193" t="s">
        <v>2351</v>
      </c>
      <c r="C1315" s="214" t="s">
        <v>2866</v>
      </c>
      <c r="D1315" s="193" t="s">
        <v>2867</v>
      </c>
      <c r="E1315" s="212" t="s">
        <v>545</v>
      </c>
      <c r="F1315" s="215">
        <v>2</v>
      </c>
      <c r="G1315" s="194">
        <v>56.713500000000003</v>
      </c>
      <c r="H1315" s="195">
        <f t="shared" si="20"/>
        <v>113.42700000000001</v>
      </c>
      <c r="I1315" s="212" t="s">
        <v>2354</v>
      </c>
    </row>
    <row r="1316" spans="1:9" x14ac:dyDescent="0.25">
      <c r="A1316" s="193" t="s">
        <v>220</v>
      </c>
      <c r="B1316" s="193" t="s">
        <v>2351</v>
      </c>
      <c r="C1316" s="214" t="s">
        <v>2868</v>
      </c>
      <c r="D1316" s="193" t="s">
        <v>2869</v>
      </c>
      <c r="E1316" s="212" t="s">
        <v>545</v>
      </c>
      <c r="F1316" s="215">
        <v>1</v>
      </c>
      <c r="G1316" s="194">
        <v>56.713500000000003</v>
      </c>
      <c r="H1316" s="195">
        <f t="shared" si="20"/>
        <v>56.713500000000003</v>
      </c>
      <c r="I1316" s="212" t="s">
        <v>2354</v>
      </c>
    </row>
    <row r="1317" spans="1:9" x14ac:dyDescent="0.25">
      <c r="A1317" s="193" t="s">
        <v>220</v>
      </c>
      <c r="B1317" s="193" t="s">
        <v>2351</v>
      </c>
      <c r="C1317" s="214" t="s">
        <v>2870</v>
      </c>
      <c r="D1317" s="193" t="s">
        <v>2871</v>
      </c>
      <c r="E1317" s="212" t="s">
        <v>545</v>
      </c>
      <c r="F1317" s="215">
        <v>4</v>
      </c>
      <c r="G1317" s="194">
        <v>36.2331</v>
      </c>
      <c r="H1317" s="195">
        <f t="shared" si="20"/>
        <v>144.9324</v>
      </c>
      <c r="I1317" s="212" t="s">
        <v>2354</v>
      </c>
    </row>
    <row r="1318" spans="1:9" x14ac:dyDescent="0.25">
      <c r="A1318" s="193" t="s">
        <v>220</v>
      </c>
      <c r="B1318" s="193" t="s">
        <v>2351</v>
      </c>
      <c r="C1318" s="214" t="s">
        <v>2872</v>
      </c>
      <c r="D1318" s="193" t="s">
        <v>2873</v>
      </c>
      <c r="E1318" s="212" t="s">
        <v>545</v>
      </c>
      <c r="F1318" s="215">
        <v>1</v>
      </c>
      <c r="G1318" s="194">
        <v>10.143000000000001</v>
      </c>
      <c r="H1318" s="195">
        <f t="shared" si="20"/>
        <v>10.143000000000001</v>
      </c>
      <c r="I1318" s="212" t="s">
        <v>2354</v>
      </c>
    </row>
    <row r="1319" spans="1:9" x14ac:dyDescent="0.25">
      <c r="A1319" s="193" t="s">
        <v>220</v>
      </c>
      <c r="B1319" s="193" t="s">
        <v>2351</v>
      </c>
      <c r="C1319" s="214" t="s">
        <v>2874</v>
      </c>
      <c r="D1319" s="193" t="s">
        <v>2875</v>
      </c>
      <c r="E1319" s="212" t="s">
        <v>545</v>
      </c>
      <c r="F1319" s="215">
        <v>2</v>
      </c>
      <c r="G1319" s="194">
        <v>0</v>
      </c>
      <c r="H1319" s="195">
        <f t="shared" si="20"/>
        <v>0</v>
      </c>
      <c r="I1319" s="212" t="s">
        <v>2354</v>
      </c>
    </row>
    <row r="1320" spans="1:9" x14ac:dyDescent="0.25">
      <c r="A1320" s="193" t="s">
        <v>220</v>
      </c>
      <c r="B1320" s="193" t="s">
        <v>2351</v>
      </c>
      <c r="C1320" s="214" t="s">
        <v>2876</v>
      </c>
      <c r="D1320" s="193" t="s">
        <v>2877</v>
      </c>
      <c r="E1320" s="212" t="s">
        <v>545</v>
      </c>
      <c r="F1320" s="215">
        <v>3</v>
      </c>
      <c r="G1320" s="194">
        <v>32.4</v>
      </c>
      <c r="H1320" s="195">
        <f t="shared" si="20"/>
        <v>97.199999999999989</v>
      </c>
      <c r="I1320" s="212" t="s">
        <v>2354</v>
      </c>
    </row>
    <row r="1321" spans="1:9" x14ac:dyDescent="0.25">
      <c r="A1321" s="193" t="s">
        <v>220</v>
      </c>
      <c r="B1321" s="193" t="s">
        <v>2351</v>
      </c>
      <c r="C1321" s="214" t="s">
        <v>2878</v>
      </c>
      <c r="D1321" s="193" t="s">
        <v>2879</v>
      </c>
      <c r="E1321" s="212" t="s">
        <v>545</v>
      </c>
      <c r="F1321" s="215">
        <v>2</v>
      </c>
      <c r="G1321" s="194">
        <v>1.9826999999999999</v>
      </c>
      <c r="H1321" s="195">
        <f t="shared" si="20"/>
        <v>3.9653999999999998</v>
      </c>
      <c r="I1321" s="212" t="s">
        <v>2354</v>
      </c>
    </row>
    <row r="1322" spans="1:9" x14ac:dyDescent="0.25">
      <c r="A1322" s="193" t="s">
        <v>220</v>
      </c>
      <c r="B1322" s="193" t="s">
        <v>2351</v>
      </c>
      <c r="C1322" s="214" t="s">
        <v>2880</v>
      </c>
      <c r="D1322" s="193" t="s">
        <v>2881</v>
      </c>
      <c r="E1322" s="212" t="s">
        <v>545</v>
      </c>
      <c r="F1322" s="215">
        <v>4</v>
      </c>
      <c r="G1322" s="194">
        <v>4.923</v>
      </c>
      <c r="H1322" s="195">
        <f t="shared" si="20"/>
        <v>19.692</v>
      </c>
      <c r="I1322" s="212" t="s">
        <v>2354</v>
      </c>
    </row>
    <row r="1323" spans="1:9" x14ac:dyDescent="0.25">
      <c r="A1323" s="193" t="s">
        <v>220</v>
      </c>
      <c r="B1323" s="193" t="s">
        <v>2351</v>
      </c>
      <c r="C1323" s="214" t="s">
        <v>2882</v>
      </c>
      <c r="D1323" s="193" t="s">
        <v>2883</v>
      </c>
      <c r="E1323" s="212" t="s">
        <v>545</v>
      </c>
      <c r="F1323" s="215">
        <v>4</v>
      </c>
      <c r="G1323" s="194">
        <v>4.1420000000000003</v>
      </c>
      <c r="H1323" s="195">
        <f t="shared" si="20"/>
        <v>16.568000000000001</v>
      </c>
      <c r="I1323" s="212" t="s">
        <v>2354</v>
      </c>
    </row>
    <row r="1324" spans="1:9" x14ac:dyDescent="0.25">
      <c r="A1324" s="193" t="s">
        <v>220</v>
      </c>
      <c r="B1324" s="193" t="s">
        <v>2351</v>
      </c>
      <c r="C1324" s="214" t="s">
        <v>2884</v>
      </c>
      <c r="D1324" s="193" t="s">
        <v>2885</v>
      </c>
      <c r="E1324" s="212" t="s">
        <v>545</v>
      </c>
      <c r="F1324" s="215">
        <v>10</v>
      </c>
      <c r="G1324" s="194">
        <v>0</v>
      </c>
      <c r="H1324" s="195">
        <f t="shared" si="20"/>
        <v>0</v>
      </c>
      <c r="I1324" s="212" t="s">
        <v>2354</v>
      </c>
    </row>
    <row r="1325" spans="1:9" x14ac:dyDescent="0.25">
      <c r="A1325" s="193" t="s">
        <v>220</v>
      </c>
      <c r="B1325" s="193" t="s">
        <v>2351</v>
      </c>
      <c r="C1325" s="214" t="s">
        <v>2886</v>
      </c>
      <c r="D1325" s="193" t="s">
        <v>2887</v>
      </c>
      <c r="E1325" s="212" t="s">
        <v>545</v>
      </c>
      <c r="F1325" s="215">
        <v>3</v>
      </c>
      <c r="G1325" s="194">
        <v>4.6890000000000001</v>
      </c>
      <c r="H1325" s="195">
        <f t="shared" si="20"/>
        <v>14.067</v>
      </c>
      <c r="I1325" s="212" t="s">
        <v>2354</v>
      </c>
    </row>
    <row r="1326" spans="1:9" x14ac:dyDescent="0.25">
      <c r="A1326" s="193" t="s">
        <v>220</v>
      </c>
      <c r="B1326" s="193" t="s">
        <v>2351</v>
      </c>
      <c r="C1326" s="214" t="s">
        <v>2888</v>
      </c>
      <c r="D1326" s="193" t="s">
        <v>2889</v>
      </c>
      <c r="E1326" s="212" t="s">
        <v>545</v>
      </c>
      <c r="F1326" s="215">
        <v>3</v>
      </c>
      <c r="G1326" s="194">
        <v>10.941000000000001</v>
      </c>
      <c r="H1326" s="195">
        <f t="shared" si="20"/>
        <v>32.823</v>
      </c>
      <c r="I1326" s="212" t="s">
        <v>2354</v>
      </c>
    </row>
    <row r="1327" spans="1:9" x14ac:dyDescent="0.25">
      <c r="A1327" s="193" t="s">
        <v>220</v>
      </c>
      <c r="B1327" s="193" t="s">
        <v>2351</v>
      </c>
      <c r="C1327" s="214" t="s">
        <v>2890</v>
      </c>
      <c r="D1327" s="193" t="s">
        <v>2891</v>
      </c>
      <c r="E1327" s="212" t="s">
        <v>545</v>
      </c>
      <c r="F1327" s="215">
        <v>2</v>
      </c>
      <c r="G1327" s="194">
        <v>10.941000000000001</v>
      </c>
      <c r="H1327" s="195">
        <f t="shared" si="20"/>
        <v>21.882000000000001</v>
      </c>
      <c r="I1327" s="212" t="s">
        <v>2354</v>
      </c>
    </row>
    <row r="1328" spans="1:9" x14ac:dyDescent="0.25">
      <c r="A1328" s="193" t="s">
        <v>220</v>
      </c>
      <c r="B1328" s="193" t="s">
        <v>2351</v>
      </c>
      <c r="C1328" s="214" t="s">
        <v>2892</v>
      </c>
      <c r="D1328" s="193" t="s">
        <v>2893</v>
      </c>
      <c r="E1328" s="212" t="s">
        <v>545</v>
      </c>
      <c r="F1328" s="215">
        <v>4</v>
      </c>
      <c r="G1328" s="194">
        <v>10.143000000000001</v>
      </c>
      <c r="H1328" s="195">
        <f t="shared" si="20"/>
        <v>40.572000000000003</v>
      </c>
      <c r="I1328" s="212" t="s">
        <v>2354</v>
      </c>
    </row>
    <row r="1329" spans="1:9" x14ac:dyDescent="0.25">
      <c r="A1329" s="193" t="s">
        <v>220</v>
      </c>
      <c r="B1329" s="193" t="s">
        <v>2351</v>
      </c>
      <c r="C1329" s="214" t="s">
        <v>2894</v>
      </c>
      <c r="D1329" s="193" t="s">
        <v>2895</v>
      </c>
      <c r="E1329" s="212" t="s">
        <v>545</v>
      </c>
      <c r="F1329" s="215">
        <v>3</v>
      </c>
      <c r="G1329" s="194">
        <v>10.143000000000001</v>
      </c>
      <c r="H1329" s="195">
        <f t="shared" si="20"/>
        <v>30.429000000000002</v>
      </c>
      <c r="I1329" s="212" t="s">
        <v>2354</v>
      </c>
    </row>
    <row r="1330" spans="1:9" x14ac:dyDescent="0.25">
      <c r="A1330" s="193" t="s">
        <v>220</v>
      </c>
      <c r="B1330" s="193" t="s">
        <v>2351</v>
      </c>
      <c r="C1330" s="214" t="s">
        <v>2896</v>
      </c>
      <c r="D1330" s="193" t="s">
        <v>2897</v>
      </c>
      <c r="E1330" s="212" t="s">
        <v>545</v>
      </c>
      <c r="F1330" s="215">
        <v>10</v>
      </c>
      <c r="G1330" s="194">
        <v>10.143000000000001</v>
      </c>
      <c r="H1330" s="195">
        <f t="shared" si="20"/>
        <v>101.43</v>
      </c>
      <c r="I1330" s="212" t="s">
        <v>2354</v>
      </c>
    </row>
    <row r="1331" spans="1:9" x14ac:dyDescent="0.25">
      <c r="A1331" s="193" t="s">
        <v>220</v>
      </c>
      <c r="B1331" s="193" t="s">
        <v>2351</v>
      </c>
      <c r="C1331" s="214" t="s">
        <v>2898</v>
      </c>
      <c r="D1331" s="193" t="s">
        <v>2899</v>
      </c>
      <c r="E1331" s="212" t="s">
        <v>545</v>
      </c>
      <c r="F1331" s="215">
        <v>4</v>
      </c>
      <c r="G1331" s="194">
        <v>10.143000000000001</v>
      </c>
      <c r="H1331" s="195">
        <f t="shared" si="20"/>
        <v>40.572000000000003</v>
      </c>
      <c r="I1331" s="212" t="s">
        <v>2354</v>
      </c>
    </row>
    <row r="1332" spans="1:9" x14ac:dyDescent="0.25">
      <c r="A1332" s="193" t="s">
        <v>220</v>
      </c>
      <c r="B1332" s="193" t="s">
        <v>2351</v>
      </c>
      <c r="C1332" s="214" t="s">
        <v>2900</v>
      </c>
      <c r="D1332" s="193" t="s">
        <v>2901</v>
      </c>
      <c r="E1332" s="212" t="s">
        <v>545</v>
      </c>
      <c r="F1332" s="215">
        <v>6</v>
      </c>
      <c r="G1332" s="194">
        <v>10.143000000000001</v>
      </c>
      <c r="H1332" s="195">
        <f t="shared" si="20"/>
        <v>60.858000000000004</v>
      </c>
      <c r="I1332" s="212" t="s">
        <v>2354</v>
      </c>
    </row>
    <row r="1333" spans="1:9" x14ac:dyDescent="0.25">
      <c r="A1333" s="193" t="s">
        <v>220</v>
      </c>
      <c r="B1333" s="193" t="s">
        <v>2351</v>
      </c>
      <c r="C1333" s="214" t="s">
        <v>2902</v>
      </c>
      <c r="D1333" s="193" t="s">
        <v>2903</v>
      </c>
      <c r="E1333" s="212" t="s">
        <v>545</v>
      </c>
      <c r="F1333" s="215">
        <v>6</v>
      </c>
      <c r="G1333" s="194">
        <v>5.4503999999999992</v>
      </c>
      <c r="H1333" s="195">
        <f t="shared" si="20"/>
        <v>32.702399999999997</v>
      </c>
      <c r="I1333" s="212" t="s">
        <v>2354</v>
      </c>
    </row>
    <row r="1334" spans="1:9" x14ac:dyDescent="0.25">
      <c r="A1334" s="193" t="s">
        <v>220</v>
      </c>
      <c r="B1334" s="193" t="s">
        <v>2351</v>
      </c>
      <c r="C1334" s="214" t="s">
        <v>2904</v>
      </c>
      <c r="D1334" s="193" t="s">
        <v>2905</v>
      </c>
      <c r="E1334" s="212" t="s">
        <v>545</v>
      </c>
      <c r="F1334" s="215">
        <v>8</v>
      </c>
      <c r="G1334" s="194">
        <v>13.374000000000001</v>
      </c>
      <c r="H1334" s="195">
        <f t="shared" si="20"/>
        <v>106.992</v>
      </c>
      <c r="I1334" s="212" t="s">
        <v>2354</v>
      </c>
    </row>
    <row r="1335" spans="1:9" x14ac:dyDescent="0.25">
      <c r="A1335" s="193" t="s">
        <v>220</v>
      </c>
      <c r="B1335" s="193" t="s">
        <v>2351</v>
      </c>
      <c r="C1335" s="214" t="s">
        <v>2906</v>
      </c>
      <c r="D1335" s="193" t="s">
        <v>2907</v>
      </c>
      <c r="E1335" s="212" t="s">
        <v>545</v>
      </c>
      <c r="F1335" s="215">
        <v>4</v>
      </c>
      <c r="G1335" s="194">
        <v>7.1639999999999988</v>
      </c>
      <c r="H1335" s="195">
        <f t="shared" si="20"/>
        <v>28.655999999999995</v>
      </c>
      <c r="I1335" s="212" t="s">
        <v>2354</v>
      </c>
    </row>
    <row r="1336" spans="1:9" x14ac:dyDescent="0.25">
      <c r="A1336" s="193" t="s">
        <v>220</v>
      </c>
      <c r="B1336" s="193" t="s">
        <v>2351</v>
      </c>
      <c r="C1336" s="214" t="s">
        <v>2908</v>
      </c>
      <c r="D1336" s="193" t="s">
        <v>2909</v>
      </c>
      <c r="E1336" s="212" t="s">
        <v>545</v>
      </c>
      <c r="F1336" s="215">
        <v>9</v>
      </c>
      <c r="G1336" s="194">
        <v>10.143000000000001</v>
      </c>
      <c r="H1336" s="195">
        <f t="shared" si="20"/>
        <v>91.287000000000006</v>
      </c>
      <c r="I1336" s="212" t="s">
        <v>2354</v>
      </c>
    </row>
    <row r="1337" spans="1:9" x14ac:dyDescent="0.25">
      <c r="A1337" s="193" t="s">
        <v>220</v>
      </c>
      <c r="B1337" s="193" t="s">
        <v>2351</v>
      </c>
      <c r="C1337" s="214" t="s">
        <v>2910</v>
      </c>
      <c r="D1337" s="193" t="s">
        <v>2911</v>
      </c>
      <c r="E1337" s="212" t="s">
        <v>545</v>
      </c>
      <c r="F1337" s="215">
        <v>2</v>
      </c>
      <c r="G1337" s="194">
        <v>10.143000000000001</v>
      </c>
      <c r="H1337" s="195">
        <f t="shared" si="20"/>
        <v>20.286000000000001</v>
      </c>
      <c r="I1337" s="212" t="s">
        <v>2354</v>
      </c>
    </row>
    <row r="1338" spans="1:9" x14ac:dyDescent="0.25">
      <c r="A1338" s="193" t="s">
        <v>220</v>
      </c>
      <c r="B1338" s="193" t="s">
        <v>2351</v>
      </c>
      <c r="C1338" s="214" t="s">
        <v>2912</v>
      </c>
      <c r="D1338" s="193" t="s">
        <v>2913</v>
      </c>
      <c r="E1338" s="212" t="s">
        <v>545</v>
      </c>
      <c r="F1338" s="215">
        <v>10</v>
      </c>
      <c r="G1338" s="194">
        <v>10.143000000000001</v>
      </c>
      <c r="H1338" s="195">
        <f t="shared" si="20"/>
        <v>101.43</v>
      </c>
      <c r="I1338" s="212" t="s">
        <v>2354</v>
      </c>
    </row>
    <row r="1339" spans="1:9" x14ac:dyDescent="0.25">
      <c r="A1339" s="193" t="s">
        <v>220</v>
      </c>
      <c r="B1339" s="193" t="s">
        <v>2351</v>
      </c>
      <c r="C1339" s="214" t="s">
        <v>2914</v>
      </c>
      <c r="D1339" s="193" t="s">
        <v>2915</v>
      </c>
      <c r="E1339" s="212" t="s">
        <v>545</v>
      </c>
      <c r="F1339" s="215">
        <v>3</v>
      </c>
      <c r="G1339" s="194">
        <v>10.143000000000001</v>
      </c>
      <c r="H1339" s="195">
        <f t="shared" si="20"/>
        <v>30.429000000000002</v>
      </c>
      <c r="I1339" s="212" t="s">
        <v>2354</v>
      </c>
    </row>
    <row r="1340" spans="1:9" x14ac:dyDescent="0.25">
      <c r="A1340" s="193" t="s">
        <v>220</v>
      </c>
      <c r="B1340" s="193" t="s">
        <v>2351</v>
      </c>
      <c r="C1340" s="214" t="s">
        <v>2916</v>
      </c>
      <c r="D1340" s="193" t="s">
        <v>2917</v>
      </c>
      <c r="E1340" s="212" t="s">
        <v>545</v>
      </c>
      <c r="F1340" s="215">
        <v>3</v>
      </c>
      <c r="G1340" s="194">
        <v>12.473999999999998</v>
      </c>
      <c r="H1340" s="195">
        <f t="shared" si="20"/>
        <v>37.421999999999997</v>
      </c>
      <c r="I1340" s="212" t="s">
        <v>2354</v>
      </c>
    </row>
    <row r="1341" spans="1:9" x14ac:dyDescent="0.25">
      <c r="A1341" s="193" t="s">
        <v>220</v>
      </c>
      <c r="B1341" s="193" t="s">
        <v>2351</v>
      </c>
      <c r="C1341" s="214" t="s">
        <v>2918</v>
      </c>
      <c r="D1341" s="193" t="s">
        <v>2919</v>
      </c>
      <c r="E1341" s="212" t="s">
        <v>545</v>
      </c>
      <c r="F1341" s="215">
        <v>4</v>
      </c>
      <c r="G1341" s="194">
        <v>10.143000000000001</v>
      </c>
      <c r="H1341" s="195">
        <f t="shared" si="20"/>
        <v>40.572000000000003</v>
      </c>
      <c r="I1341" s="212" t="s">
        <v>2354</v>
      </c>
    </row>
    <row r="1342" spans="1:9" x14ac:dyDescent="0.25">
      <c r="A1342" s="193" t="s">
        <v>220</v>
      </c>
      <c r="B1342" s="193" t="s">
        <v>2351</v>
      </c>
      <c r="C1342" s="214" t="s">
        <v>2920</v>
      </c>
      <c r="D1342" s="193" t="s">
        <v>2921</v>
      </c>
      <c r="E1342" s="212" t="s">
        <v>545</v>
      </c>
      <c r="F1342" s="215">
        <v>4</v>
      </c>
      <c r="G1342" s="194">
        <v>10.143000000000001</v>
      </c>
      <c r="H1342" s="195">
        <f t="shared" si="20"/>
        <v>40.572000000000003</v>
      </c>
      <c r="I1342" s="212" t="s">
        <v>2354</v>
      </c>
    </row>
    <row r="1343" spans="1:9" x14ac:dyDescent="0.25">
      <c r="A1343" s="193" t="s">
        <v>220</v>
      </c>
      <c r="B1343" s="193" t="s">
        <v>2351</v>
      </c>
      <c r="C1343" s="214" t="s">
        <v>2922</v>
      </c>
      <c r="D1343" s="193" t="s">
        <v>2923</v>
      </c>
      <c r="E1343" s="212" t="s">
        <v>545</v>
      </c>
      <c r="F1343" s="215">
        <v>10</v>
      </c>
      <c r="G1343" s="194">
        <v>10.143000000000001</v>
      </c>
      <c r="H1343" s="195">
        <f t="shared" si="20"/>
        <v>101.43</v>
      </c>
      <c r="I1343" s="212" t="s">
        <v>2354</v>
      </c>
    </row>
    <row r="1344" spans="1:9" x14ac:dyDescent="0.25">
      <c r="A1344" s="193" t="s">
        <v>220</v>
      </c>
      <c r="B1344" s="193" t="s">
        <v>2351</v>
      </c>
      <c r="C1344" s="214" t="s">
        <v>2924</v>
      </c>
      <c r="D1344" s="193" t="s">
        <v>2925</v>
      </c>
      <c r="E1344" s="212" t="s">
        <v>545</v>
      </c>
      <c r="F1344" s="215">
        <v>4</v>
      </c>
      <c r="G1344" s="194">
        <v>10.143000000000001</v>
      </c>
      <c r="H1344" s="195">
        <f t="shared" si="20"/>
        <v>40.572000000000003</v>
      </c>
      <c r="I1344" s="212" t="s">
        <v>2354</v>
      </c>
    </row>
    <row r="1345" spans="1:9" x14ac:dyDescent="0.25">
      <c r="A1345" s="193" t="s">
        <v>220</v>
      </c>
      <c r="B1345" s="193" t="s">
        <v>2351</v>
      </c>
      <c r="C1345" s="214" t="s">
        <v>2926</v>
      </c>
      <c r="D1345" s="193" t="s">
        <v>2927</v>
      </c>
      <c r="E1345" s="212" t="s">
        <v>545</v>
      </c>
      <c r="F1345" s="215">
        <v>2</v>
      </c>
      <c r="G1345" s="194">
        <v>7.9001999999999999</v>
      </c>
      <c r="H1345" s="195">
        <f t="shared" si="20"/>
        <v>15.8004</v>
      </c>
      <c r="I1345" s="212" t="s">
        <v>2354</v>
      </c>
    </row>
    <row r="1346" spans="1:9" x14ac:dyDescent="0.25">
      <c r="A1346" s="193" t="s">
        <v>220</v>
      </c>
      <c r="B1346" s="193" t="s">
        <v>2351</v>
      </c>
      <c r="C1346" s="214" t="s">
        <v>2928</v>
      </c>
      <c r="D1346" s="193" t="s">
        <v>2929</v>
      </c>
      <c r="E1346" s="212" t="s">
        <v>545</v>
      </c>
      <c r="F1346" s="215">
        <v>2</v>
      </c>
      <c r="G1346" s="194">
        <v>10.143000000000001</v>
      </c>
      <c r="H1346" s="195">
        <f t="shared" si="20"/>
        <v>20.286000000000001</v>
      </c>
      <c r="I1346" s="212" t="s">
        <v>2354</v>
      </c>
    </row>
    <row r="1347" spans="1:9" x14ac:dyDescent="0.25">
      <c r="A1347" s="193" t="s">
        <v>220</v>
      </c>
      <c r="B1347" s="193" t="s">
        <v>2351</v>
      </c>
      <c r="C1347" s="214" t="s">
        <v>2930</v>
      </c>
      <c r="D1347" s="193" t="s">
        <v>2931</v>
      </c>
      <c r="E1347" s="212" t="s">
        <v>545</v>
      </c>
      <c r="F1347" s="215">
        <v>5</v>
      </c>
      <c r="G1347" s="194">
        <v>10.143000000000001</v>
      </c>
      <c r="H1347" s="195">
        <f t="shared" si="20"/>
        <v>50.715000000000003</v>
      </c>
      <c r="I1347" s="212" t="s">
        <v>2354</v>
      </c>
    </row>
    <row r="1348" spans="1:9" x14ac:dyDescent="0.25">
      <c r="A1348" s="193" t="s">
        <v>220</v>
      </c>
      <c r="B1348" s="193" t="s">
        <v>2351</v>
      </c>
      <c r="C1348" s="214" t="s">
        <v>2932</v>
      </c>
      <c r="D1348" s="193" t="s">
        <v>2933</v>
      </c>
      <c r="E1348" s="212" t="s">
        <v>545</v>
      </c>
      <c r="F1348" s="215">
        <v>6</v>
      </c>
      <c r="G1348" s="194">
        <v>7.1459999999999999</v>
      </c>
      <c r="H1348" s="195">
        <f t="shared" si="20"/>
        <v>42.875999999999998</v>
      </c>
      <c r="I1348" s="212" t="s">
        <v>2354</v>
      </c>
    </row>
    <row r="1349" spans="1:9" x14ac:dyDescent="0.25">
      <c r="A1349" s="193" t="s">
        <v>220</v>
      </c>
      <c r="B1349" s="193" t="s">
        <v>2351</v>
      </c>
      <c r="C1349" s="214" t="s">
        <v>2934</v>
      </c>
      <c r="D1349" s="193" t="s">
        <v>2935</v>
      </c>
      <c r="E1349" s="212" t="s">
        <v>545</v>
      </c>
      <c r="F1349" s="215">
        <v>8</v>
      </c>
      <c r="G1349" s="194">
        <v>38.568600000000004</v>
      </c>
      <c r="H1349" s="195">
        <f t="shared" ref="H1349:H1412" si="21">+F1349*G1349</f>
        <v>308.54880000000003</v>
      </c>
      <c r="I1349" s="212" t="s">
        <v>2354</v>
      </c>
    </row>
    <row r="1350" spans="1:9" x14ac:dyDescent="0.25">
      <c r="A1350" s="193" t="s">
        <v>220</v>
      </c>
      <c r="B1350" s="193" t="s">
        <v>2351</v>
      </c>
      <c r="C1350" s="214" t="s">
        <v>2936</v>
      </c>
      <c r="D1350" s="193" t="s">
        <v>2937</v>
      </c>
      <c r="E1350" s="212" t="s">
        <v>545</v>
      </c>
      <c r="F1350" s="215">
        <v>5</v>
      </c>
      <c r="G1350" s="194">
        <v>10.143000000000001</v>
      </c>
      <c r="H1350" s="195">
        <f t="shared" si="21"/>
        <v>50.715000000000003</v>
      </c>
      <c r="I1350" s="212" t="s">
        <v>2354</v>
      </c>
    </row>
    <row r="1351" spans="1:9" x14ac:dyDescent="0.25">
      <c r="A1351" s="193" t="s">
        <v>220</v>
      </c>
      <c r="B1351" s="193" t="s">
        <v>2351</v>
      </c>
      <c r="C1351" s="214" t="s">
        <v>2938</v>
      </c>
      <c r="D1351" s="193" t="s">
        <v>2939</v>
      </c>
      <c r="E1351" s="212" t="s">
        <v>545</v>
      </c>
      <c r="F1351" s="215">
        <v>3</v>
      </c>
      <c r="G1351" s="194">
        <v>1.9431</v>
      </c>
      <c r="H1351" s="195">
        <f t="shared" si="21"/>
        <v>5.8292999999999999</v>
      </c>
      <c r="I1351" s="212" t="s">
        <v>2354</v>
      </c>
    </row>
    <row r="1352" spans="1:9" x14ac:dyDescent="0.25">
      <c r="A1352" s="193" t="s">
        <v>220</v>
      </c>
      <c r="B1352" s="193" t="s">
        <v>2351</v>
      </c>
      <c r="C1352" s="214" t="s">
        <v>2940</v>
      </c>
      <c r="D1352" s="193" t="s">
        <v>2941</v>
      </c>
      <c r="E1352" s="212" t="s">
        <v>545</v>
      </c>
      <c r="F1352" s="215">
        <v>3</v>
      </c>
      <c r="G1352" s="194">
        <v>10.143000000000001</v>
      </c>
      <c r="H1352" s="195">
        <f t="shared" si="21"/>
        <v>30.429000000000002</v>
      </c>
      <c r="I1352" s="212" t="s">
        <v>2354</v>
      </c>
    </row>
    <row r="1353" spans="1:9" x14ac:dyDescent="0.25">
      <c r="A1353" s="193" t="s">
        <v>220</v>
      </c>
      <c r="B1353" s="193" t="s">
        <v>2351</v>
      </c>
      <c r="C1353" s="214" t="s">
        <v>2942</v>
      </c>
      <c r="D1353" s="193" t="s">
        <v>2943</v>
      </c>
      <c r="E1353" s="212" t="s">
        <v>545</v>
      </c>
      <c r="F1353" s="215">
        <v>4</v>
      </c>
      <c r="G1353" s="194">
        <v>10.6488</v>
      </c>
      <c r="H1353" s="195">
        <f t="shared" si="21"/>
        <v>42.595199999999998</v>
      </c>
      <c r="I1353" s="212" t="s">
        <v>2354</v>
      </c>
    </row>
    <row r="1354" spans="1:9" x14ac:dyDescent="0.25">
      <c r="A1354" s="193" t="s">
        <v>220</v>
      </c>
      <c r="B1354" s="193" t="s">
        <v>2351</v>
      </c>
      <c r="C1354" s="214" t="s">
        <v>2944</v>
      </c>
      <c r="D1354" s="193" t="s">
        <v>2945</v>
      </c>
      <c r="E1354" s="212" t="s">
        <v>545</v>
      </c>
      <c r="F1354" s="215">
        <v>1</v>
      </c>
      <c r="G1354" s="194">
        <v>34.503300000000003</v>
      </c>
      <c r="H1354" s="195">
        <f t="shared" si="21"/>
        <v>34.503300000000003</v>
      </c>
      <c r="I1354" s="212" t="s">
        <v>2354</v>
      </c>
    </row>
    <row r="1355" spans="1:9" x14ac:dyDescent="0.25">
      <c r="A1355" s="193" t="s">
        <v>220</v>
      </c>
      <c r="B1355" s="193" t="s">
        <v>2351</v>
      </c>
      <c r="C1355" s="214" t="s">
        <v>2946</v>
      </c>
      <c r="D1355" s="193" t="s">
        <v>2947</v>
      </c>
      <c r="E1355" s="212" t="s">
        <v>545</v>
      </c>
      <c r="F1355" s="215">
        <v>5</v>
      </c>
      <c r="G1355" s="194">
        <v>10.6488</v>
      </c>
      <c r="H1355" s="195">
        <f t="shared" si="21"/>
        <v>53.244</v>
      </c>
      <c r="I1355" s="212" t="s">
        <v>2354</v>
      </c>
    </row>
    <row r="1356" spans="1:9" x14ac:dyDescent="0.25">
      <c r="A1356" s="193" t="s">
        <v>220</v>
      </c>
      <c r="B1356" s="193" t="s">
        <v>2351</v>
      </c>
      <c r="C1356" s="214" t="s">
        <v>2948</v>
      </c>
      <c r="D1356" s="193" t="s">
        <v>2949</v>
      </c>
      <c r="E1356" s="212" t="s">
        <v>545</v>
      </c>
      <c r="F1356" s="215">
        <v>2</v>
      </c>
      <c r="G1356" s="194">
        <v>45.642600000000002</v>
      </c>
      <c r="H1356" s="195">
        <f t="shared" si="21"/>
        <v>91.285200000000003</v>
      </c>
      <c r="I1356" s="212" t="s">
        <v>2354</v>
      </c>
    </row>
    <row r="1357" spans="1:9" x14ac:dyDescent="0.25">
      <c r="A1357" s="193" t="s">
        <v>220</v>
      </c>
      <c r="B1357" s="193" t="s">
        <v>2351</v>
      </c>
      <c r="C1357" s="214" t="s">
        <v>2950</v>
      </c>
      <c r="D1357" s="193" t="s">
        <v>2951</v>
      </c>
      <c r="E1357" s="212" t="s">
        <v>545</v>
      </c>
      <c r="F1357" s="215">
        <v>4</v>
      </c>
      <c r="G1357" s="194">
        <v>31.013999999999999</v>
      </c>
      <c r="H1357" s="195">
        <f t="shared" si="21"/>
        <v>124.056</v>
      </c>
      <c r="I1357" s="212" t="s">
        <v>2354</v>
      </c>
    </row>
    <row r="1358" spans="1:9" x14ac:dyDescent="0.25">
      <c r="A1358" s="193" t="s">
        <v>220</v>
      </c>
      <c r="B1358" s="193" t="s">
        <v>2351</v>
      </c>
      <c r="C1358" s="214" t="s">
        <v>2952</v>
      </c>
      <c r="D1358" s="193" t="s">
        <v>2953</v>
      </c>
      <c r="E1358" s="212" t="s">
        <v>545</v>
      </c>
      <c r="F1358" s="215">
        <v>2</v>
      </c>
      <c r="G1358" s="194">
        <v>10.6488</v>
      </c>
      <c r="H1358" s="195">
        <f t="shared" si="21"/>
        <v>21.297599999999999</v>
      </c>
      <c r="I1358" s="212" t="s">
        <v>2354</v>
      </c>
    </row>
    <row r="1359" spans="1:9" x14ac:dyDescent="0.25">
      <c r="A1359" s="193" t="s">
        <v>220</v>
      </c>
      <c r="B1359" s="193" t="s">
        <v>2351</v>
      </c>
      <c r="C1359" s="214" t="s">
        <v>2954</v>
      </c>
      <c r="D1359" s="193" t="s">
        <v>2955</v>
      </c>
      <c r="E1359" s="212" t="s">
        <v>545</v>
      </c>
      <c r="F1359" s="215">
        <v>1</v>
      </c>
      <c r="G1359" s="194">
        <v>123.33333333333333</v>
      </c>
      <c r="H1359" s="195">
        <f t="shared" si="21"/>
        <v>123.33333333333333</v>
      </c>
      <c r="I1359" s="212" t="s">
        <v>2354</v>
      </c>
    </row>
    <row r="1360" spans="1:9" x14ac:dyDescent="0.25">
      <c r="A1360" s="193" t="s">
        <v>220</v>
      </c>
      <c r="B1360" s="193" t="s">
        <v>2351</v>
      </c>
      <c r="C1360" s="214" t="s">
        <v>2956</v>
      </c>
      <c r="D1360" s="193" t="s">
        <v>2957</v>
      </c>
      <c r="E1360" s="212" t="s">
        <v>545</v>
      </c>
      <c r="F1360" s="215">
        <v>4</v>
      </c>
      <c r="G1360" s="194">
        <v>33.344999999999999</v>
      </c>
      <c r="H1360" s="195">
        <f t="shared" si="21"/>
        <v>133.38</v>
      </c>
      <c r="I1360" s="212" t="s">
        <v>2354</v>
      </c>
    </row>
    <row r="1361" spans="1:9" x14ac:dyDescent="0.25">
      <c r="A1361" s="193" t="s">
        <v>220</v>
      </c>
      <c r="B1361" s="193" t="s">
        <v>2351</v>
      </c>
      <c r="C1361" s="214" t="s">
        <v>2958</v>
      </c>
      <c r="D1361" s="193" t="s">
        <v>2959</v>
      </c>
      <c r="E1361" s="212" t="s">
        <v>545</v>
      </c>
      <c r="F1361" s="215">
        <v>3</v>
      </c>
      <c r="G1361" s="194">
        <v>25.794</v>
      </c>
      <c r="H1361" s="195">
        <f t="shared" si="21"/>
        <v>77.382000000000005</v>
      </c>
      <c r="I1361" s="212" t="s">
        <v>2354</v>
      </c>
    </row>
    <row r="1362" spans="1:9" x14ac:dyDescent="0.25">
      <c r="A1362" s="193" t="s">
        <v>220</v>
      </c>
      <c r="B1362" s="193" t="s">
        <v>2351</v>
      </c>
      <c r="C1362" s="214" t="s">
        <v>2960</v>
      </c>
      <c r="D1362" s="193" t="s">
        <v>2961</v>
      </c>
      <c r="E1362" s="212" t="s">
        <v>545</v>
      </c>
      <c r="F1362" s="215">
        <v>3</v>
      </c>
      <c r="G1362" s="194">
        <v>22.878</v>
      </c>
      <c r="H1362" s="195">
        <f t="shared" si="21"/>
        <v>68.634</v>
      </c>
      <c r="I1362" s="212" t="s">
        <v>2354</v>
      </c>
    </row>
    <row r="1363" spans="1:9" x14ac:dyDescent="0.25">
      <c r="A1363" s="193" t="s">
        <v>220</v>
      </c>
      <c r="B1363" s="193" t="s">
        <v>2351</v>
      </c>
      <c r="C1363" s="214" t="s">
        <v>2962</v>
      </c>
      <c r="D1363" s="193" t="s">
        <v>2963</v>
      </c>
      <c r="E1363" s="212" t="s">
        <v>545</v>
      </c>
      <c r="F1363" s="215">
        <v>2</v>
      </c>
      <c r="G1363" s="194">
        <v>22.878</v>
      </c>
      <c r="H1363" s="195">
        <f t="shared" si="21"/>
        <v>45.756</v>
      </c>
      <c r="I1363" s="212" t="s">
        <v>2354</v>
      </c>
    </row>
    <row r="1364" spans="1:9" x14ac:dyDescent="0.25">
      <c r="A1364" s="193" t="s">
        <v>220</v>
      </c>
      <c r="B1364" s="193" t="s">
        <v>2351</v>
      </c>
      <c r="C1364" s="214" t="s">
        <v>2964</v>
      </c>
      <c r="D1364" s="193" t="s">
        <v>2965</v>
      </c>
      <c r="E1364" s="212" t="s">
        <v>545</v>
      </c>
      <c r="F1364" s="215">
        <v>11</v>
      </c>
      <c r="G1364" s="194">
        <v>10.89</v>
      </c>
      <c r="H1364" s="195">
        <f t="shared" si="21"/>
        <v>119.79</v>
      </c>
      <c r="I1364" s="212" t="s">
        <v>2354</v>
      </c>
    </row>
    <row r="1365" spans="1:9" x14ac:dyDescent="0.25">
      <c r="A1365" s="193" t="s">
        <v>220</v>
      </c>
      <c r="B1365" s="193" t="s">
        <v>2351</v>
      </c>
      <c r="C1365" s="214" t="s">
        <v>2966</v>
      </c>
      <c r="D1365" s="193" t="s">
        <v>2967</v>
      </c>
      <c r="E1365" s="212" t="s">
        <v>545</v>
      </c>
      <c r="F1365" s="215">
        <v>3</v>
      </c>
      <c r="G1365" s="194">
        <v>20.930399999999999</v>
      </c>
      <c r="H1365" s="195">
        <f t="shared" si="21"/>
        <v>62.791199999999996</v>
      </c>
      <c r="I1365" s="212" t="s">
        <v>2354</v>
      </c>
    </row>
    <row r="1366" spans="1:9" x14ac:dyDescent="0.25">
      <c r="A1366" s="193" t="s">
        <v>220</v>
      </c>
      <c r="B1366" s="193" t="s">
        <v>2351</v>
      </c>
      <c r="C1366" s="214" t="s">
        <v>2968</v>
      </c>
      <c r="D1366" s="193" t="s">
        <v>2969</v>
      </c>
      <c r="E1366" s="212" t="s">
        <v>545</v>
      </c>
      <c r="F1366" s="215">
        <v>2</v>
      </c>
      <c r="G1366" s="194">
        <v>13.855049999999999</v>
      </c>
      <c r="H1366" s="195">
        <f t="shared" si="21"/>
        <v>27.710099999999997</v>
      </c>
      <c r="I1366" s="212" t="s">
        <v>2354</v>
      </c>
    </row>
    <row r="1367" spans="1:9" x14ac:dyDescent="0.25">
      <c r="A1367" s="193" t="s">
        <v>220</v>
      </c>
      <c r="B1367" s="193" t="s">
        <v>2351</v>
      </c>
      <c r="C1367" s="214" t="s">
        <v>2970</v>
      </c>
      <c r="D1367" s="193" t="s">
        <v>2971</v>
      </c>
      <c r="E1367" s="212" t="s">
        <v>545</v>
      </c>
      <c r="F1367" s="215">
        <v>8</v>
      </c>
      <c r="G1367" s="194">
        <v>14.31</v>
      </c>
      <c r="H1367" s="195">
        <f t="shared" si="21"/>
        <v>114.48</v>
      </c>
      <c r="I1367" s="212" t="s">
        <v>2354</v>
      </c>
    </row>
    <row r="1368" spans="1:9" x14ac:dyDescent="0.25">
      <c r="A1368" s="193" t="s">
        <v>220</v>
      </c>
      <c r="B1368" s="193" t="s">
        <v>2351</v>
      </c>
      <c r="C1368" s="214" t="s">
        <v>2972</v>
      </c>
      <c r="D1368" s="193" t="s">
        <v>2973</v>
      </c>
      <c r="E1368" s="212" t="s">
        <v>545</v>
      </c>
      <c r="F1368" s="215">
        <v>1</v>
      </c>
      <c r="G1368" s="194">
        <v>0</v>
      </c>
      <c r="H1368" s="195">
        <f t="shared" si="21"/>
        <v>0</v>
      </c>
      <c r="I1368" s="212" t="s">
        <v>2354</v>
      </c>
    </row>
    <row r="1369" spans="1:9" x14ac:dyDescent="0.25">
      <c r="A1369" s="193" t="s">
        <v>220</v>
      </c>
      <c r="B1369" s="193" t="s">
        <v>2351</v>
      </c>
      <c r="C1369" s="214" t="s">
        <v>2974</v>
      </c>
      <c r="D1369" s="193" t="s">
        <v>2975</v>
      </c>
      <c r="E1369" s="212" t="s">
        <v>545</v>
      </c>
      <c r="F1369" s="215">
        <v>1</v>
      </c>
      <c r="G1369" s="194">
        <v>3.33</v>
      </c>
      <c r="H1369" s="195">
        <f t="shared" si="21"/>
        <v>3.33</v>
      </c>
      <c r="I1369" s="212" t="s">
        <v>2354</v>
      </c>
    </row>
    <row r="1370" spans="1:9" x14ac:dyDescent="0.25">
      <c r="A1370" s="193" t="s">
        <v>220</v>
      </c>
      <c r="B1370" s="193" t="s">
        <v>2351</v>
      </c>
      <c r="C1370" s="214" t="s">
        <v>2976</v>
      </c>
      <c r="D1370" s="193" t="s">
        <v>2977</v>
      </c>
      <c r="E1370" s="212" t="s">
        <v>545</v>
      </c>
      <c r="F1370" s="215">
        <v>2</v>
      </c>
      <c r="G1370" s="194">
        <v>115</v>
      </c>
      <c r="H1370" s="195">
        <f t="shared" si="21"/>
        <v>230</v>
      </c>
      <c r="I1370" s="212" t="s">
        <v>2354</v>
      </c>
    </row>
    <row r="1371" spans="1:9" x14ac:dyDescent="0.25">
      <c r="A1371" s="193" t="s">
        <v>220</v>
      </c>
      <c r="B1371" s="193" t="s">
        <v>2351</v>
      </c>
      <c r="C1371" s="214" t="s">
        <v>2978</v>
      </c>
      <c r="D1371" s="193" t="s">
        <v>2979</v>
      </c>
      <c r="E1371" s="212" t="s">
        <v>545</v>
      </c>
      <c r="F1371" s="215">
        <v>2</v>
      </c>
      <c r="G1371" s="194">
        <v>0</v>
      </c>
      <c r="H1371" s="195">
        <f t="shared" si="21"/>
        <v>0</v>
      </c>
      <c r="I1371" s="212" t="s">
        <v>2354</v>
      </c>
    </row>
    <row r="1372" spans="1:9" x14ac:dyDescent="0.25">
      <c r="A1372" s="193" t="s">
        <v>220</v>
      </c>
      <c r="B1372" s="193" t="s">
        <v>2351</v>
      </c>
      <c r="C1372" s="214" t="s">
        <v>2980</v>
      </c>
      <c r="D1372" s="193" t="s">
        <v>2981</v>
      </c>
      <c r="E1372" s="212" t="s">
        <v>545</v>
      </c>
      <c r="F1372" s="215">
        <v>22</v>
      </c>
      <c r="G1372" s="194">
        <v>0</v>
      </c>
      <c r="H1372" s="195">
        <f t="shared" si="21"/>
        <v>0</v>
      </c>
      <c r="I1372" s="212" t="s">
        <v>2354</v>
      </c>
    </row>
    <row r="1373" spans="1:9" x14ac:dyDescent="0.25">
      <c r="A1373" s="193" t="s">
        <v>220</v>
      </c>
      <c r="B1373" s="193" t="s">
        <v>2351</v>
      </c>
      <c r="C1373" s="214" t="s">
        <v>2982</v>
      </c>
      <c r="D1373" s="193" t="s">
        <v>2983</v>
      </c>
      <c r="E1373" s="212" t="s">
        <v>545</v>
      </c>
      <c r="F1373" s="215">
        <v>2</v>
      </c>
      <c r="G1373" s="194">
        <v>0</v>
      </c>
      <c r="H1373" s="195">
        <f t="shared" si="21"/>
        <v>0</v>
      </c>
      <c r="I1373" s="212" t="s">
        <v>2354</v>
      </c>
    </row>
    <row r="1374" spans="1:9" x14ac:dyDescent="0.25">
      <c r="A1374" s="193" t="s">
        <v>220</v>
      </c>
      <c r="B1374" s="193" t="s">
        <v>2351</v>
      </c>
      <c r="C1374" s="214" t="s">
        <v>2984</v>
      </c>
      <c r="D1374" s="193" t="s">
        <v>2985</v>
      </c>
      <c r="E1374" s="212" t="s">
        <v>545</v>
      </c>
      <c r="F1374" s="215">
        <v>6</v>
      </c>
      <c r="G1374" s="194">
        <v>14.706</v>
      </c>
      <c r="H1374" s="195">
        <f t="shared" si="21"/>
        <v>88.23599999999999</v>
      </c>
      <c r="I1374" s="212" t="s">
        <v>2354</v>
      </c>
    </row>
    <row r="1375" spans="1:9" x14ac:dyDescent="0.25">
      <c r="A1375" s="193" t="s">
        <v>220</v>
      </c>
      <c r="B1375" s="193" t="s">
        <v>2351</v>
      </c>
      <c r="C1375" s="214" t="s">
        <v>2986</v>
      </c>
      <c r="D1375" s="193" t="s">
        <v>2987</v>
      </c>
      <c r="E1375" s="212" t="s">
        <v>545</v>
      </c>
      <c r="F1375" s="215">
        <v>1</v>
      </c>
      <c r="G1375" s="194">
        <v>487.8</v>
      </c>
      <c r="H1375" s="195">
        <f t="shared" si="21"/>
        <v>487.8</v>
      </c>
      <c r="I1375" s="212" t="s">
        <v>2354</v>
      </c>
    </row>
    <row r="1376" spans="1:9" x14ac:dyDescent="0.25">
      <c r="A1376" s="193" t="s">
        <v>220</v>
      </c>
      <c r="B1376" s="193" t="s">
        <v>2351</v>
      </c>
      <c r="C1376" s="214" t="s">
        <v>2988</v>
      </c>
      <c r="D1376" s="193" t="s">
        <v>2989</v>
      </c>
      <c r="E1376" s="212" t="s">
        <v>545</v>
      </c>
      <c r="F1376" s="215">
        <v>1</v>
      </c>
      <c r="G1376" s="194">
        <v>158.904</v>
      </c>
      <c r="H1376" s="195">
        <f t="shared" si="21"/>
        <v>158.904</v>
      </c>
      <c r="I1376" s="212" t="s">
        <v>2354</v>
      </c>
    </row>
    <row r="1377" spans="1:9" x14ac:dyDescent="0.25">
      <c r="A1377" s="193" t="s">
        <v>220</v>
      </c>
      <c r="B1377" s="193" t="s">
        <v>2351</v>
      </c>
      <c r="C1377" s="214" t="s">
        <v>2990</v>
      </c>
      <c r="D1377" s="193" t="s">
        <v>2991</v>
      </c>
      <c r="E1377" s="212" t="s">
        <v>545</v>
      </c>
      <c r="F1377" s="215">
        <v>1</v>
      </c>
      <c r="G1377" s="194">
        <v>203.67</v>
      </c>
      <c r="H1377" s="195">
        <f t="shared" si="21"/>
        <v>203.67</v>
      </c>
      <c r="I1377" s="212" t="s">
        <v>2354</v>
      </c>
    </row>
    <row r="1378" spans="1:9" x14ac:dyDescent="0.25">
      <c r="A1378" s="193" t="s">
        <v>220</v>
      </c>
      <c r="B1378" s="193" t="s">
        <v>2351</v>
      </c>
      <c r="C1378" s="214" t="s">
        <v>2992</v>
      </c>
      <c r="D1378" s="193" t="s">
        <v>2993</v>
      </c>
      <c r="E1378" s="212" t="s">
        <v>545</v>
      </c>
      <c r="F1378" s="215">
        <v>1</v>
      </c>
      <c r="G1378" s="194">
        <v>254.67189999999999</v>
      </c>
      <c r="H1378" s="195">
        <f t="shared" si="21"/>
        <v>254.67189999999999</v>
      </c>
      <c r="I1378" s="212" t="s">
        <v>2354</v>
      </c>
    </row>
    <row r="1379" spans="1:9" x14ac:dyDescent="0.25">
      <c r="A1379" s="193" t="s">
        <v>220</v>
      </c>
      <c r="B1379" s="193" t="s">
        <v>2351</v>
      </c>
      <c r="C1379" s="214" t="s">
        <v>2994</v>
      </c>
      <c r="D1379" s="193" t="s">
        <v>2995</v>
      </c>
      <c r="E1379" s="212" t="s">
        <v>545</v>
      </c>
      <c r="F1379" s="215">
        <v>8</v>
      </c>
      <c r="G1379" s="194">
        <v>79.137</v>
      </c>
      <c r="H1379" s="195">
        <f t="shared" si="21"/>
        <v>633.096</v>
      </c>
      <c r="I1379" s="212" t="s">
        <v>2354</v>
      </c>
    </row>
    <row r="1380" spans="1:9" x14ac:dyDescent="0.25">
      <c r="A1380" s="193" t="s">
        <v>220</v>
      </c>
      <c r="B1380" s="193" t="s">
        <v>2351</v>
      </c>
      <c r="C1380" s="214" t="s">
        <v>2996</v>
      </c>
      <c r="D1380" s="193" t="s">
        <v>2997</v>
      </c>
      <c r="E1380" s="212" t="s">
        <v>545</v>
      </c>
      <c r="F1380" s="215">
        <v>11</v>
      </c>
      <c r="G1380" s="194">
        <v>9.4616999999999987</v>
      </c>
      <c r="H1380" s="195">
        <f t="shared" si="21"/>
        <v>104.07869999999998</v>
      </c>
      <c r="I1380" s="212" t="s">
        <v>2354</v>
      </c>
    </row>
    <row r="1381" spans="1:9" x14ac:dyDescent="0.25">
      <c r="A1381" s="193" t="s">
        <v>220</v>
      </c>
      <c r="B1381" s="193" t="s">
        <v>2351</v>
      </c>
      <c r="C1381" s="214" t="s">
        <v>2998</v>
      </c>
      <c r="D1381" s="193" t="s">
        <v>2999</v>
      </c>
      <c r="E1381" s="212" t="s">
        <v>545</v>
      </c>
      <c r="F1381" s="215">
        <v>4</v>
      </c>
      <c r="G1381" s="194">
        <v>39.055500000000002</v>
      </c>
      <c r="H1381" s="195">
        <f t="shared" si="21"/>
        <v>156.22200000000001</v>
      </c>
      <c r="I1381" s="212" t="s">
        <v>2354</v>
      </c>
    </row>
    <row r="1382" spans="1:9" x14ac:dyDescent="0.25">
      <c r="A1382" s="193" t="s">
        <v>220</v>
      </c>
      <c r="B1382" s="193" t="s">
        <v>2351</v>
      </c>
      <c r="C1382" s="214" t="s">
        <v>3000</v>
      </c>
      <c r="D1382" s="193" t="s">
        <v>3001</v>
      </c>
      <c r="E1382" s="212" t="s">
        <v>545</v>
      </c>
      <c r="F1382" s="215">
        <v>1</v>
      </c>
      <c r="G1382" s="194">
        <v>96.079499999999996</v>
      </c>
      <c r="H1382" s="195">
        <f t="shared" si="21"/>
        <v>96.079499999999996</v>
      </c>
      <c r="I1382" s="212" t="s">
        <v>2354</v>
      </c>
    </row>
    <row r="1383" spans="1:9" x14ac:dyDescent="0.25">
      <c r="A1383" s="193" t="s">
        <v>220</v>
      </c>
      <c r="B1383" s="193" t="s">
        <v>2351</v>
      </c>
      <c r="C1383" s="214" t="s">
        <v>3002</v>
      </c>
      <c r="D1383" s="193" t="s">
        <v>3003</v>
      </c>
      <c r="E1383" s="212" t="s">
        <v>545</v>
      </c>
      <c r="F1383" s="215">
        <v>10</v>
      </c>
      <c r="G1383" s="194">
        <v>47.56</v>
      </c>
      <c r="H1383" s="195">
        <f t="shared" si="21"/>
        <v>475.6</v>
      </c>
      <c r="I1383" s="212" t="s">
        <v>2354</v>
      </c>
    </row>
    <row r="1384" spans="1:9" x14ac:dyDescent="0.25">
      <c r="A1384" s="193" t="s">
        <v>220</v>
      </c>
      <c r="B1384" s="193" t="s">
        <v>2351</v>
      </c>
      <c r="C1384" s="214" t="s">
        <v>3004</v>
      </c>
      <c r="D1384" s="193" t="s">
        <v>3005</v>
      </c>
      <c r="E1384" s="212" t="s">
        <v>545</v>
      </c>
      <c r="F1384" s="215">
        <v>6</v>
      </c>
      <c r="G1384" s="194">
        <v>103.2625</v>
      </c>
      <c r="H1384" s="195">
        <f t="shared" si="21"/>
        <v>619.57500000000005</v>
      </c>
      <c r="I1384" s="212" t="s">
        <v>2354</v>
      </c>
    </row>
    <row r="1385" spans="1:9" x14ac:dyDescent="0.25">
      <c r="A1385" s="193" t="s">
        <v>220</v>
      </c>
      <c r="B1385" s="193" t="s">
        <v>2351</v>
      </c>
      <c r="C1385" s="214" t="s">
        <v>3006</v>
      </c>
      <c r="D1385" s="193" t="s">
        <v>3007</v>
      </c>
      <c r="E1385" s="212" t="s">
        <v>545</v>
      </c>
      <c r="F1385" s="215">
        <v>10</v>
      </c>
      <c r="G1385" s="194">
        <v>7.92</v>
      </c>
      <c r="H1385" s="195">
        <f t="shared" si="21"/>
        <v>79.2</v>
      </c>
      <c r="I1385" s="212" t="s">
        <v>2354</v>
      </c>
    </row>
    <row r="1386" spans="1:9" x14ac:dyDescent="0.25">
      <c r="A1386" s="193" t="s">
        <v>220</v>
      </c>
      <c r="B1386" s="193" t="s">
        <v>2351</v>
      </c>
      <c r="C1386" s="214" t="s">
        <v>3008</v>
      </c>
      <c r="D1386" s="193" t="s">
        <v>3009</v>
      </c>
      <c r="E1386" s="212" t="s">
        <v>545</v>
      </c>
      <c r="F1386" s="215">
        <v>15</v>
      </c>
      <c r="G1386" s="194">
        <v>12.2445</v>
      </c>
      <c r="H1386" s="195">
        <f t="shared" si="21"/>
        <v>183.66750000000002</v>
      </c>
      <c r="I1386" s="212" t="s">
        <v>2354</v>
      </c>
    </row>
    <row r="1387" spans="1:9" x14ac:dyDescent="0.25">
      <c r="A1387" s="193" t="s">
        <v>220</v>
      </c>
      <c r="B1387" s="193" t="s">
        <v>2351</v>
      </c>
      <c r="C1387" s="214" t="s">
        <v>3010</v>
      </c>
      <c r="D1387" s="193" t="s">
        <v>3011</v>
      </c>
      <c r="E1387" s="212" t="s">
        <v>545</v>
      </c>
      <c r="F1387" s="215">
        <v>9</v>
      </c>
      <c r="G1387" s="194">
        <v>12.5</v>
      </c>
      <c r="H1387" s="195">
        <f t="shared" si="21"/>
        <v>112.5</v>
      </c>
      <c r="I1387" s="212" t="s">
        <v>2354</v>
      </c>
    </row>
    <row r="1388" spans="1:9" x14ac:dyDescent="0.25">
      <c r="A1388" s="193" t="s">
        <v>220</v>
      </c>
      <c r="B1388" s="193" t="s">
        <v>2351</v>
      </c>
      <c r="C1388" s="214" t="s">
        <v>3012</v>
      </c>
      <c r="D1388" s="193" t="s">
        <v>3013</v>
      </c>
      <c r="E1388" s="212" t="s">
        <v>545</v>
      </c>
      <c r="F1388" s="215">
        <v>5</v>
      </c>
      <c r="G1388" s="194">
        <v>14.4</v>
      </c>
      <c r="H1388" s="195">
        <f t="shared" si="21"/>
        <v>72</v>
      </c>
      <c r="I1388" s="212" t="s">
        <v>2354</v>
      </c>
    </row>
    <row r="1389" spans="1:9" x14ac:dyDescent="0.25">
      <c r="A1389" s="193" t="s">
        <v>220</v>
      </c>
      <c r="B1389" s="193" t="s">
        <v>2351</v>
      </c>
      <c r="C1389" s="214" t="s">
        <v>3014</v>
      </c>
      <c r="D1389" s="193" t="s">
        <v>3015</v>
      </c>
      <c r="E1389" s="212" t="s">
        <v>545</v>
      </c>
      <c r="F1389" s="215">
        <v>8</v>
      </c>
      <c r="G1389" s="194">
        <v>8.1</v>
      </c>
      <c r="H1389" s="195">
        <f t="shared" si="21"/>
        <v>64.8</v>
      </c>
      <c r="I1389" s="212" t="s">
        <v>2354</v>
      </c>
    </row>
    <row r="1390" spans="1:9" x14ac:dyDescent="0.25">
      <c r="A1390" s="193" t="s">
        <v>220</v>
      </c>
      <c r="B1390" s="193" t="s">
        <v>2351</v>
      </c>
      <c r="C1390" s="214" t="s">
        <v>3016</v>
      </c>
      <c r="D1390" s="193" t="s">
        <v>3017</v>
      </c>
      <c r="E1390" s="212" t="s">
        <v>545</v>
      </c>
      <c r="F1390" s="215">
        <v>19</v>
      </c>
      <c r="G1390" s="194">
        <v>10.744199999999999</v>
      </c>
      <c r="H1390" s="195">
        <f t="shared" si="21"/>
        <v>204.13979999999998</v>
      </c>
      <c r="I1390" s="212" t="s">
        <v>2354</v>
      </c>
    </row>
    <row r="1391" spans="1:9" x14ac:dyDescent="0.25">
      <c r="A1391" s="193" t="s">
        <v>220</v>
      </c>
      <c r="B1391" s="193" t="s">
        <v>2351</v>
      </c>
      <c r="C1391" s="214" t="s">
        <v>3018</v>
      </c>
      <c r="D1391" s="193" t="s">
        <v>3019</v>
      </c>
      <c r="E1391" s="212" t="s">
        <v>545</v>
      </c>
      <c r="F1391" s="215">
        <v>11</v>
      </c>
      <c r="G1391" s="194">
        <v>11.7</v>
      </c>
      <c r="H1391" s="195">
        <f t="shared" si="21"/>
        <v>128.69999999999999</v>
      </c>
      <c r="I1391" s="212" t="s">
        <v>2354</v>
      </c>
    </row>
    <row r="1392" spans="1:9" x14ac:dyDescent="0.25">
      <c r="A1392" s="193" t="s">
        <v>220</v>
      </c>
      <c r="B1392" s="193" t="s">
        <v>2351</v>
      </c>
      <c r="C1392" s="214" t="s">
        <v>3020</v>
      </c>
      <c r="D1392" s="193" t="s">
        <v>3021</v>
      </c>
      <c r="E1392" s="212" t="s">
        <v>545</v>
      </c>
      <c r="F1392" s="215">
        <v>4</v>
      </c>
      <c r="G1392" s="194">
        <v>10.8</v>
      </c>
      <c r="H1392" s="195">
        <f t="shared" si="21"/>
        <v>43.2</v>
      </c>
      <c r="I1392" s="212" t="s">
        <v>2354</v>
      </c>
    </row>
    <row r="1393" spans="1:9" x14ac:dyDescent="0.25">
      <c r="A1393" s="193" t="s">
        <v>220</v>
      </c>
      <c r="B1393" s="193" t="s">
        <v>2351</v>
      </c>
      <c r="C1393" s="214" t="s">
        <v>3022</v>
      </c>
      <c r="D1393" s="193" t="s">
        <v>3023</v>
      </c>
      <c r="E1393" s="212" t="s">
        <v>545</v>
      </c>
      <c r="F1393" s="215">
        <v>6</v>
      </c>
      <c r="G1393" s="194">
        <v>16.02</v>
      </c>
      <c r="H1393" s="195">
        <f t="shared" si="21"/>
        <v>96.12</v>
      </c>
      <c r="I1393" s="212" t="s">
        <v>2354</v>
      </c>
    </row>
    <row r="1394" spans="1:9" x14ac:dyDescent="0.25">
      <c r="A1394" s="193" t="s">
        <v>220</v>
      </c>
      <c r="B1394" s="193" t="s">
        <v>2351</v>
      </c>
      <c r="C1394" s="214" t="s">
        <v>3024</v>
      </c>
      <c r="D1394" s="193" t="s">
        <v>3025</v>
      </c>
      <c r="E1394" s="212" t="s">
        <v>545</v>
      </c>
      <c r="F1394" s="215">
        <v>12</v>
      </c>
      <c r="G1394" s="194">
        <v>21.105126666666667</v>
      </c>
      <c r="H1394" s="195">
        <f t="shared" si="21"/>
        <v>253.26152000000002</v>
      </c>
      <c r="I1394" s="212" t="s">
        <v>2354</v>
      </c>
    </row>
    <row r="1395" spans="1:9" x14ac:dyDescent="0.25">
      <c r="A1395" s="193" t="s">
        <v>220</v>
      </c>
      <c r="B1395" s="193" t="s">
        <v>2351</v>
      </c>
      <c r="C1395" s="214" t="s">
        <v>3026</v>
      </c>
      <c r="D1395" s="193" t="s">
        <v>3027</v>
      </c>
      <c r="E1395" s="212" t="s">
        <v>545</v>
      </c>
      <c r="F1395" s="215">
        <v>8</v>
      </c>
      <c r="G1395" s="194">
        <v>10.098000000000001</v>
      </c>
      <c r="H1395" s="195">
        <f t="shared" si="21"/>
        <v>80.784000000000006</v>
      </c>
      <c r="I1395" s="212" t="s">
        <v>2354</v>
      </c>
    </row>
    <row r="1396" spans="1:9" x14ac:dyDescent="0.25">
      <c r="A1396" s="193" t="s">
        <v>220</v>
      </c>
      <c r="B1396" s="193" t="s">
        <v>2351</v>
      </c>
      <c r="C1396" s="214" t="s">
        <v>3028</v>
      </c>
      <c r="D1396" s="193" t="s">
        <v>3029</v>
      </c>
      <c r="E1396" s="212" t="s">
        <v>545</v>
      </c>
      <c r="F1396" s="215">
        <v>8</v>
      </c>
      <c r="G1396" s="194">
        <v>11.944315384615383</v>
      </c>
      <c r="H1396" s="195">
        <f t="shared" si="21"/>
        <v>95.554523076923061</v>
      </c>
      <c r="I1396" s="212" t="s">
        <v>2354</v>
      </c>
    </row>
    <row r="1397" spans="1:9" x14ac:dyDescent="0.25">
      <c r="A1397" s="193" t="s">
        <v>220</v>
      </c>
      <c r="B1397" s="193" t="s">
        <v>2351</v>
      </c>
      <c r="C1397" s="214" t="s">
        <v>3030</v>
      </c>
      <c r="D1397" s="193" t="s">
        <v>3031</v>
      </c>
      <c r="E1397" s="212" t="s">
        <v>545</v>
      </c>
      <c r="F1397" s="215">
        <v>7</v>
      </c>
      <c r="G1397" s="194">
        <v>15.205641046831957</v>
      </c>
      <c r="H1397" s="195">
        <f t="shared" si="21"/>
        <v>106.4394873278237</v>
      </c>
      <c r="I1397" s="212" t="s">
        <v>2354</v>
      </c>
    </row>
    <row r="1398" spans="1:9" x14ac:dyDescent="0.25">
      <c r="A1398" s="193" t="s">
        <v>220</v>
      </c>
      <c r="B1398" s="193" t="s">
        <v>2351</v>
      </c>
      <c r="C1398" s="214" t="s">
        <v>3032</v>
      </c>
      <c r="D1398" s="193" t="s">
        <v>3033</v>
      </c>
      <c r="E1398" s="212" t="s">
        <v>545</v>
      </c>
      <c r="F1398" s="215">
        <v>8</v>
      </c>
      <c r="G1398" s="194">
        <v>41.399099999999997</v>
      </c>
      <c r="H1398" s="195">
        <f t="shared" si="21"/>
        <v>331.19279999999998</v>
      </c>
      <c r="I1398" s="212" t="s">
        <v>2354</v>
      </c>
    </row>
    <row r="1399" spans="1:9" x14ac:dyDescent="0.25">
      <c r="A1399" s="193" t="s">
        <v>220</v>
      </c>
      <c r="B1399" s="193" t="s">
        <v>2351</v>
      </c>
      <c r="C1399" s="214" t="s">
        <v>3034</v>
      </c>
      <c r="D1399" s="193" t="s">
        <v>3035</v>
      </c>
      <c r="E1399" s="212" t="s">
        <v>545</v>
      </c>
      <c r="F1399" s="215">
        <v>9</v>
      </c>
      <c r="G1399" s="194">
        <v>18.839700000000001</v>
      </c>
      <c r="H1399" s="195">
        <f t="shared" si="21"/>
        <v>169.5573</v>
      </c>
      <c r="I1399" s="212" t="s">
        <v>2354</v>
      </c>
    </row>
    <row r="1400" spans="1:9" x14ac:dyDescent="0.25">
      <c r="A1400" s="193" t="s">
        <v>220</v>
      </c>
      <c r="B1400" s="193" t="s">
        <v>2351</v>
      </c>
      <c r="C1400" s="214" t="s">
        <v>3036</v>
      </c>
      <c r="D1400" s="193" t="s">
        <v>3037</v>
      </c>
      <c r="E1400" s="212" t="s">
        <v>545</v>
      </c>
      <c r="F1400" s="215">
        <v>4</v>
      </c>
      <c r="G1400" s="194">
        <v>0</v>
      </c>
      <c r="H1400" s="195">
        <f t="shared" si="21"/>
        <v>0</v>
      </c>
      <c r="I1400" s="212" t="s">
        <v>2354</v>
      </c>
    </row>
    <row r="1401" spans="1:9" x14ac:dyDescent="0.25">
      <c r="A1401" s="193" t="s">
        <v>220</v>
      </c>
      <c r="B1401" s="193" t="s">
        <v>2351</v>
      </c>
      <c r="C1401" s="214" t="s">
        <v>3038</v>
      </c>
      <c r="D1401" s="193" t="s">
        <v>3039</v>
      </c>
      <c r="E1401" s="212" t="s">
        <v>545</v>
      </c>
      <c r="F1401" s="215">
        <v>2</v>
      </c>
      <c r="G1401" s="194">
        <v>19.727550000000001</v>
      </c>
      <c r="H1401" s="195">
        <f t="shared" si="21"/>
        <v>39.455100000000002</v>
      </c>
      <c r="I1401" s="212" t="s">
        <v>2354</v>
      </c>
    </row>
    <row r="1402" spans="1:9" x14ac:dyDescent="0.25">
      <c r="A1402" s="193" t="s">
        <v>220</v>
      </c>
      <c r="B1402" s="193" t="s">
        <v>2351</v>
      </c>
      <c r="C1402" s="214" t="s">
        <v>3040</v>
      </c>
      <c r="D1402" s="193" t="s">
        <v>3041</v>
      </c>
      <c r="E1402" s="212" t="s">
        <v>545</v>
      </c>
      <c r="F1402" s="215">
        <v>7</v>
      </c>
      <c r="G1402" s="194">
        <v>3.7953000000000001</v>
      </c>
      <c r="H1402" s="195">
        <f t="shared" si="21"/>
        <v>26.5671</v>
      </c>
      <c r="I1402" s="212" t="s">
        <v>2354</v>
      </c>
    </row>
    <row r="1403" spans="1:9" x14ac:dyDescent="0.25">
      <c r="A1403" s="193" t="s">
        <v>220</v>
      </c>
      <c r="B1403" s="193" t="s">
        <v>2351</v>
      </c>
      <c r="C1403" s="214" t="s">
        <v>3042</v>
      </c>
      <c r="D1403" s="193" t="s">
        <v>3043</v>
      </c>
      <c r="E1403" s="212" t="s">
        <v>545</v>
      </c>
      <c r="F1403" s="215">
        <v>10</v>
      </c>
      <c r="G1403" s="194">
        <v>40.950000000000003</v>
      </c>
      <c r="H1403" s="195">
        <f t="shared" si="21"/>
        <v>409.5</v>
      </c>
      <c r="I1403" s="212" t="s">
        <v>2354</v>
      </c>
    </row>
    <row r="1404" spans="1:9" x14ac:dyDescent="0.25">
      <c r="A1404" s="193" t="s">
        <v>220</v>
      </c>
      <c r="B1404" s="193" t="s">
        <v>2351</v>
      </c>
      <c r="C1404" s="214" t="s">
        <v>3044</v>
      </c>
      <c r="D1404" s="193" t="s">
        <v>3045</v>
      </c>
      <c r="E1404" s="212" t="s">
        <v>545</v>
      </c>
      <c r="F1404" s="215">
        <v>8</v>
      </c>
      <c r="G1404" s="194">
        <v>48.572099999999999</v>
      </c>
      <c r="H1404" s="195">
        <f t="shared" si="21"/>
        <v>388.57679999999999</v>
      </c>
      <c r="I1404" s="212" t="s">
        <v>2354</v>
      </c>
    </row>
    <row r="1405" spans="1:9" x14ac:dyDescent="0.25">
      <c r="A1405" s="193" t="s">
        <v>220</v>
      </c>
      <c r="B1405" s="193" t="s">
        <v>2351</v>
      </c>
      <c r="C1405" s="214" t="s">
        <v>3046</v>
      </c>
      <c r="D1405" s="193" t="s">
        <v>3047</v>
      </c>
      <c r="E1405" s="212" t="s">
        <v>545</v>
      </c>
      <c r="F1405" s="215">
        <v>9</v>
      </c>
      <c r="G1405" s="194">
        <v>50.233499999999999</v>
      </c>
      <c r="H1405" s="195">
        <f t="shared" si="21"/>
        <v>452.10149999999999</v>
      </c>
      <c r="I1405" s="212" t="s">
        <v>2354</v>
      </c>
    </row>
    <row r="1406" spans="1:9" x14ac:dyDescent="0.25">
      <c r="A1406" s="193" t="s">
        <v>220</v>
      </c>
      <c r="B1406" s="193" t="s">
        <v>2351</v>
      </c>
      <c r="C1406" s="214" t="s">
        <v>3048</v>
      </c>
      <c r="D1406" s="193" t="s">
        <v>3049</v>
      </c>
      <c r="E1406" s="212" t="s">
        <v>545</v>
      </c>
      <c r="F1406" s="215">
        <v>19</v>
      </c>
      <c r="G1406" s="194">
        <v>9</v>
      </c>
      <c r="H1406" s="195">
        <f t="shared" si="21"/>
        <v>171</v>
      </c>
      <c r="I1406" s="212" t="s">
        <v>2354</v>
      </c>
    </row>
    <row r="1407" spans="1:9" x14ac:dyDescent="0.25">
      <c r="A1407" s="193" t="s">
        <v>220</v>
      </c>
      <c r="B1407" s="193" t="s">
        <v>2351</v>
      </c>
      <c r="C1407" s="214" t="s">
        <v>3050</v>
      </c>
      <c r="D1407" s="193" t="s">
        <v>3051</v>
      </c>
      <c r="E1407" s="212" t="s">
        <v>545</v>
      </c>
      <c r="F1407" s="215">
        <v>11</v>
      </c>
      <c r="G1407" s="194">
        <v>9.2178000000000004</v>
      </c>
      <c r="H1407" s="195">
        <f t="shared" si="21"/>
        <v>101.39580000000001</v>
      </c>
      <c r="I1407" s="212" t="s">
        <v>2354</v>
      </c>
    </row>
    <row r="1408" spans="1:9" x14ac:dyDescent="0.25">
      <c r="A1408" s="193" t="s">
        <v>220</v>
      </c>
      <c r="B1408" s="193" t="s">
        <v>2351</v>
      </c>
      <c r="C1408" s="214" t="s">
        <v>3052</v>
      </c>
      <c r="D1408" s="193" t="s">
        <v>3053</v>
      </c>
      <c r="E1408" s="212" t="s">
        <v>545</v>
      </c>
      <c r="F1408" s="215">
        <v>8</v>
      </c>
      <c r="G1408" s="194">
        <v>8.2926000000000002</v>
      </c>
      <c r="H1408" s="195">
        <f t="shared" si="21"/>
        <v>66.340800000000002</v>
      </c>
      <c r="I1408" s="212" t="s">
        <v>2354</v>
      </c>
    </row>
    <row r="1409" spans="1:9" x14ac:dyDescent="0.25">
      <c r="A1409" s="193" t="s">
        <v>220</v>
      </c>
      <c r="B1409" s="193" t="s">
        <v>2351</v>
      </c>
      <c r="C1409" s="214" t="s">
        <v>3054</v>
      </c>
      <c r="D1409" s="193" t="s">
        <v>3055</v>
      </c>
      <c r="E1409" s="212" t="s">
        <v>545</v>
      </c>
      <c r="F1409" s="215">
        <v>4</v>
      </c>
      <c r="G1409" s="194">
        <v>32.31</v>
      </c>
      <c r="H1409" s="195">
        <f t="shared" si="21"/>
        <v>129.24</v>
      </c>
      <c r="I1409" s="212" t="s">
        <v>2354</v>
      </c>
    </row>
    <row r="1410" spans="1:9" x14ac:dyDescent="0.25">
      <c r="A1410" s="193" t="s">
        <v>220</v>
      </c>
      <c r="B1410" s="193" t="s">
        <v>2351</v>
      </c>
      <c r="C1410" s="214" t="s">
        <v>3056</v>
      </c>
      <c r="D1410" s="193" t="s">
        <v>3057</v>
      </c>
      <c r="E1410" s="212" t="s">
        <v>545</v>
      </c>
      <c r="F1410" s="215">
        <v>2</v>
      </c>
      <c r="G1410" s="194">
        <v>32.58</v>
      </c>
      <c r="H1410" s="195">
        <f t="shared" si="21"/>
        <v>65.16</v>
      </c>
      <c r="I1410" s="212" t="s">
        <v>2354</v>
      </c>
    </row>
    <row r="1411" spans="1:9" x14ac:dyDescent="0.25">
      <c r="A1411" s="193" t="s">
        <v>220</v>
      </c>
      <c r="B1411" s="193" t="s">
        <v>2351</v>
      </c>
      <c r="C1411" s="214" t="s">
        <v>3058</v>
      </c>
      <c r="D1411" s="193" t="s">
        <v>3057</v>
      </c>
      <c r="E1411" s="212" t="s">
        <v>545</v>
      </c>
      <c r="F1411" s="215">
        <v>4</v>
      </c>
      <c r="G1411" s="194">
        <v>61.728299999999997</v>
      </c>
      <c r="H1411" s="195">
        <f t="shared" si="21"/>
        <v>246.91319999999999</v>
      </c>
      <c r="I1411" s="212" t="s">
        <v>2354</v>
      </c>
    </row>
    <row r="1412" spans="1:9" x14ac:dyDescent="0.25">
      <c r="A1412" s="193" t="s">
        <v>220</v>
      </c>
      <c r="B1412" s="193" t="s">
        <v>2351</v>
      </c>
      <c r="C1412" s="214" t="s">
        <v>3059</v>
      </c>
      <c r="D1412" s="193" t="s">
        <v>3060</v>
      </c>
      <c r="E1412" s="212" t="s">
        <v>545</v>
      </c>
      <c r="F1412" s="215">
        <v>1</v>
      </c>
      <c r="G1412" s="194">
        <v>284.39999999999998</v>
      </c>
      <c r="H1412" s="195">
        <f t="shared" si="21"/>
        <v>284.39999999999998</v>
      </c>
      <c r="I1412" s="212" t="s">
        <v>2354</v>
      </c>
    </row>
    <row r="1413" spans="1:9" x14ac:dyDescent="0.25">
      <c r="A1413" s="193" t="s">
        <v>220</v>
      </c>
      <c r="B1413" s="193" t="s">
        <v>2351</v>
      </c>
      <c r="C1413" s="214" t="s">
        <v>3061</v>
      </c>
      <c r="D1413" s="193" t="s">
        <v>3062</v>
      </c>
      <c r="E1413" s="212" t="s">
        <v>545</v>
      </c>
      <c r="F1413" s="215">
        <v>1</v>
      </c>
      <c r="G1413" s="194">
        <v>10.7127</v>
      </c>
      <c r="H1413" s="195">
        <f t="shared" ref="H1413:H1476" si="22">+F1413*G1413</f>
        <v>10.7127</v>
      </c>
      <c r="I1413" s="212" t="s">
        <v>2354</v>
      </c>
    </row>
    <row r="1414" spans="1:9" x14ac:dyDescent="0.25">
      <c r="A1414" s="193" t="s">
        <v>220</v>
      </c>
      <c r="B1414" s="193" t="s">
        <v>2351</v>
      </c>
      <c r="C1414" s="214" t="s">
        <v>3063</v>
      </c>
      <c r="D1414" s="193" t="s">
        <v>3064</v>
      </c>
      <c r="E1414" s="212" t="s">
        <v>545</v>
      </c>
      <c r="F1414" s="215">
        <v>1</v>
      </c>
      <c r="G1414" s="194">
        <v>697.5</v>
      </c>
      <c r="H1414" s="195">
        <f t="shared" si="22"/>
        <v>697.5</v>
      </c>
      <c r="I1414" s="212" t="s">
        <v>2354</v>
      </c>
    </row>
    <row r="1415" spans="1:9" x14ac:dyDescent="0.25">
      <c r="A1415" s="193" t="s">
        <v>220</v>
      </c>
      <c r="B1415" s="193" t="s">
        <v>2351</v>
      </c>
      <c r="C1415" s="214" t="s">
        <v>3065</v>
      </c>
      <c r="D1415" s="193" t="s">
        <v>3066</v>
      </c>
      <c r="E1415" s="212" t="s">
        <v>545</v>
      </c>
      <c r="F1415" s="215">
        <v>1</v>
      </c>
      <c r="G1415" s="194">
        <v>115.65</v>
      </c>
      <c r="H1415" s="195">
        <f t="shared" si="22"/>
        <v>115.65</v>
      </c>
      <c r="I1415" s="212" t="s">
        <v>2354</v>
      </c>
    </row>
    <row r="1416" spans="1:9" x14ac:dyDescent="0.25">
      <c r="A1416" s="193" t="s">
        <v>220</v>
      </c>
      <c r="B1416" s="193" t="s">
        <v>2351</v>
      </c>
      <c r="C1416" s="214" t="s">
        <v>3067</v>
      </c>
      <c r="D1416" s="193" t="s">
        <v>3068</v>
      </c>
      <c r="E1416" s="212" t="s">
        <v>545</v>
      </c>
      <c r="F1416" s="215">
        <v>1</v>
      </c>
      <c r="G1416" s="194">
        <v>61.728299999999997</v>
      </c>
      <c r="H1416" s="195">
        <f t="shared" si="22"/>
        <v>61.728299999999997</v>
      </c>
      <c r="I1416" s="212" t="s">
        <v>2354</v>
      </c>
    </row>
    <row r="1417" spans="1:9" x14ac:dyDescent="0.25">
      <c r="A1417" s="193" t="s">
        <v>220</v>
      </c>
      <c r="B1417" s="193" t="s">
        <v>2351</v>
      </c>
      <c r="C1417" s="214" t="s">
        <v>3069</v>
      </c>
      <c r="D1417" s="193" t="s">
        <v>3070</v>
      </c>
      <c r="E1417" s="212" t="s">
        <v>545</v>
      </c>
      <c r="F1417" s="215">
        <v>5</v>
      </c>
      <c r="G1417" s="194">
        <v>68.31</v>
      </c>
      <c r="H1417" s="195">
        <f t="shared" si="22"/>
        <v>341.55</v>
      </c>
      <c r="I1417" s="212" t="s">
        <v>2354</v>
      </c>
    </row>
    <row r="1418" spans="1:9" x14ac:dyDescent="0.25">
      <c r="A1418" s="193" t="s">
        <v>220</v>
      </c>
      <c r="B1418" s="193" t="s">
        <v>2351</v>
      </c>
      <c r="C1418" s="214" t="s">
        <v>3071</v>
      </c>
      <c r="D1418" s="193" t="s">
        <v>3072</v>
      </c>
      <c r="E1418" s="212" t="s">
        <v>545</v>
      </c>
      <c r="F1418" s="215">
        <v>6</v>
      </c>
      <c r="G1418" s="194">
        <v>10.17</v>
      </c>
      <c r="H1418" s="195">
        <f t="shared" si="22"/>
        <v>61.019999999999996</v>
      </c>
      <c r="I1418" s="212" t="s">
        <v>2354</v>
      </c>
    </row>
    <row r="1419" spans="1:9" x14ac:dyDescent="0.25">
      <c r="A1419" s="193" t="s">
        <v>220</v>
      </c>
      <c r="B1419" s="193" t="s">
        <v>2351</v>
      </c>
      <c r="C1419" s="214" t="s">
        <v>3073</v>
      </c>
      <c r="D1419" s="193" t="s">
        <v>3074</v>
      </c>
      <c r="E1419" s="212" t="s">
        <v>545</v>
      </c>
      <c r="F1419" s="215">
        <v>6</v>
      </c>
      <c r="G1419" s="194">
        <v>35.276062499999995</v>
      </c>
      <c r="H1419" s="195">
        <f t="shared" si="22"/>
        <v>211.65637499999997</v>
      </c>
      <c r="I1419" s="212" t="s">
        <v>2354</v>
      </c>
    </row>
    <row r="1420" spans="1:9" x14ac:dyDescent="0.25">
      <c r="A1420" s="193" t="s">
        <v>220</v>
      </c>
      <c r="B1420" s="193" t="s">
        <v>2351</v>
      </c>
      <c r="C1420" s="214" t="s">
        <v>3075</v>
      </c>
      <c r="D1420" s="193" t="s">
        <v>3076</v>
      </c>
      <c r="E1420" s="212" t="s">
        <v>545</v>
      </c>
      <c r="F1420" s="215">
        <v>3</v>
      </c>
      <c r="G1420" s="194">
        <v>14.2668</v>
      </c>
      <c r="H1420" s="195">
        <f t="shared" si="22"/>
        <v>42.800399999999996</v>
      </c>
      <c r="I1420" s="212" t="s">
        <v>2354</v>
      </c>
    </row>
    <row r="1421" spans="1:9" x14ac:dyDescent="0.25">
      <c r="A1421" s="193" t="s">
        <v>220</v>
      </c>
      <c r="B1421" s="193" t="s">
        <v>2351</v>
      </c>
      <c r="C1421" s="214" t="s">
        <v>3077</v>
      </c>
      <c r="D1421" s="193" t="s">
        <v>3078</v>
      </c>
      <c r="E1421" s="212" t="s">
        <v>545</v>
      </c>
      <c r="F1421" s="215">
        <v>2</v>
      </c>
      <c r="G1421" s="194">
        <v>18.998248275862071</v>
      </c>
      <c r="H1421" s="195">
        <f t="shared" si="22"/>
        <v>37.996496551724142</v>
      </c>
      <c r="I1421" s="212" t="s">
        <v>2354</v>
      </c>
    </row>
    <row r="1422" spans="1:9" x14ac:dyDescent="0.25">
      <c r="A1422" s="193" t="s">
        <v>220</v>
      </c>
      <c r="B1422" s="193" t="s">
        <v>2351</v>
      </c>
      <c r="C1422" s="214" t="s">
        <v>3079</v>
      </c>
      <c r="D1422" s="193" t="s">
        <v>3080</v>
      </c>
      <c r="E1422" s="212" t="s">
        <v>545</v>
      </c>
      <c r="F1422" s="215">
        <v>12</v>
      </c>
      <c r="G1422" s="194">
        <v>24.1128</v>
      </c>
      <c r="H1422" s="195">
        <f t="shared" si="22"/>
        <v>289.35360000000003</v>
      </c>
      <c r="I1422" s="212" t="s">
        <v>2354</v>
      </c>
    </row>
    <row r="1423" spans="1:9" x14ac:dyDescent="0.25">
      <c r="A1423" s="193" t="s">
        <v>220</v>
      </c>
      <c r="B1423" s="193" t="s">
        <v>2351</v>
      </c>
      <c r="C1423" s="214" t="s">
        <v>3081</v>
      </c>
      <c r="D1423" s="193" t="s">
        <v>3082</v>
      </c>
      <c r="E1423" s="212" t="s">
        <v>545</v>
      </c>
      <c r="F1423" s="215">
        <v>5</v>
      </c>
      <c r="G1423" s="194">
        <v>9.9668571428571422</v>
      </c>
      <c r="H1423" s="195">
        <f t="shared" si="22"/>
        <v>49.834285714285713</v>
      </c>
      <c r="I1423" s="212" t="s">
        <v>2354</v>
      </c>
    </row>
    <row r="1424" spans="1:9" x14ac:dyDescent="0.25">
      <c r="A1424" s="193" t="s">
        <v>220</v>
      </c>
      <c r="B1424" s="193" t="s">
        <v>2351</v>
      </c>
      <c r="C1424" s="214" t="s">
        <v>3083</v>
      </c>
      <c r="D1424" s="193" t="s">
        <v>3084</v>
      </c>
      <c r="E1424" s="212" t="s">
        <v>545</v>
      </c>
      <c r="F1424" s="215">
        <v>4</v>
      </c>
      <c r="G1424" s="194">
        <v>27</v>
      </c>
      <c r="H1424" s="195">
        <f t="shared" si="22"/>
        <v>108</v>
      </c>
      <c r="I1424" s="212" t="s">
        <v>2354</v>
      </c>
    </row>
    <row r="1425" spans="1:9" x14ac:dyDescent="0.25">
      <c r="A1425" s="193" t="s">
        <v>220</v>
      </c>
      <c r="B1425" s="193" t="s">
        <v>2351</v>
      </c>
      <c r="C1425" s="214" t="s">
        <v>3085</v>
      </c>
      <c r="D1425" s="193" t="s">
        <v>3086</v>
      </c>
      <c r="E1425" s="212" t="s">
        <v>545</v>
      </c>
      <c r="F1425" s="215">
        <v>7</v>
      </c>
      <c r="G1425" s="194">
        <v>43.400700000000001</v>
      </c>
      <c r="H1425" s="195">
        <f t="shared" si="22"/>
        <v>303.80489999999998</v>
      </c>
      <c r="I1425" s="212" t="s">
        <v>2354</v>
      </c>
    </row>
    <row r="1426" spans="1:9" x14ac:dyDescent="0.25">
      <c r="A1426" s="193" t="s">
        <v>220</v>
      </c>
      <c r="B1426" s="193" t="s">
        <v>2351</v>
      </c>
      <c r="C1426" s="214" t="s">
        <v>3087</v>
      </c>
      <c r="D1426" s="193" t="s">
        <v>3088</v>
      </c>
      <c r="E1426" s="212" t="s">
        <v>545</v>
      </c>
      <c r="F1426" s="215">
        <v>6</v>
      </c>
      <c r="G1426" s="194">
        <v>31.5945</v>
      </c>
      <c r="H1426" s="195">
        <f t="shared" si="22"/>
        <v>189.56700000000001</v>
      </c>
      <c r="I1426" s="212" t="s">
        <v>2354</v>
      </c>
    </row>
    <row r="1427" spans="1:9" x14ac:dyDescent="0.25">
      <c r="A1427" s="193" t="s">
        <v>220</v>
      </c>
      <c r="B1427" s="193" t="s">
        <v>2351</v>
      </c>
      <c r="C1427" s="214" t="s">
        <v>3089</v>
      </c>
      <c r="D1427" s="193" t="s">
        <v>3090</v>
      </c>
      <c r="E1427" s="212" t="s">
        <v>545</v>
      </c>
      <c r="F1427" s="215">
        <v>5</v>
      </c>
      <c r="G1427" s="194">
        <v>10.829699999999999</v>
      </c>
      <c r="H1427" s="195">
        <f t="shared" si="22"/>
        <v>54.148499999999999</v>
      </c>
      <c r="I1427" s="212" t="s">
        <v>2354</v>
      </c>
    </row>
    <row r="1428" spans="1:9" x14ac:dyDescent="0.25">
      <c r="A1428" s="193" t="s">
        <v>220</v>
      </c>
      <c r="B1428" s="193" t="s">
        <v>2351</v>
      </c>
      <c r="C1428" s="214" t="s">
        <v>3091</v>
      </c>
      <c r="D1428" s="193" t="s">
        <v>3092</v>
      </c>
      <c r="E1428" s="212" t="s">
        <v>545</v>
      </c>
      <c r="F1428" s="215">
        <v>2</v>
      </c>
      <c r="G1428" s="194">
        <v>95.915700000000001</v>
      </c>
      <c r="H1428" s="195">
        <f t="shared" si="22"/>
        <v>191.8314</v>
      </c>
      <c r="I1428" s="212" t="s">
        <v>2354</v>
      </c>
    </row>
    <row r="1429" spans="1:9" x14ac:dyDescent="0.25">
      <c r="A1429" s="193" t="s">
        <v>220</v>
      </c>
      <c r="B1429" s="193" t="s">
        <v>2351</v>
      </c>
      <c r="C1429" s="214" t="s">
        <v>3093</v>
      </c>
      <c r="D1429" s="193" t="s">
        <v>3094</v>
      </c>
      <c r="E1429" s="212" t="s">
        <v>545</v>
      </c>
      <c r="F1429" s="215">
        <v>4</v>
      </c>
      <c r="G1429" s="194">
        <v>94.6845</v>
      </c>
      <c r="H1429" s="195">
        <f t="shared" si="22"/>
        <v>378.738</v>
      </c>
      <c r="I1429" s="212" t="s">
        <v>2354</v>
      </c>
    </row>
    <row r="1430" spans="1:9" x14ac:dyDescent="0.25">
      <c r="A1430" s="193" t="s">
        <v>220</v>
      </c>
      <c r="B1430" s="193" t="s">
        <v>2351</v>
      </c>
      <c r="C1430" s="214" t="s">
        <v>3095</v>
      </c>
      <c r="D1430" s="193" t="s">
        <v>3096</v>
      </c>
      <c r="E1430" s="212" t="s">
        <v>545</v>
      </c>
      <c r="F1430" s="215">
        <v>1</v>
      </c>
      <c r="G1430" s="194">
        <v>230.4855</v>
      </c>
      <c r="H1430" s="195">
        <f t="shared" si="22"/>
        <v>230.4855</v>
      </c>
      <c r="I1430" s="212" t="s">
        <v>2354</v>
      </c>
    </row>
    <row r="1431" spans="1:9" x14ac:dyDescent="0.25">
      <c r="A1431" s="193" t="s">
        <v>220</v>
      </c>
      <c r="B1431" s="193" t="s">
        <v>2351</v>
      </c>
      <c r="C1431" s="214" t="s">
        <v>3097</v>
      </c>
      <c r="D1431" s="193" t="s">
        <v>3098</v>
      </c>
      <c r="E1431" s="212" t="s">
        <v>545</v>
      </c>
      <c r="F1431" s="215">
        <v>1</v>
      </c>
      <c r="G1431" s="194">
        <v>0</v>
      </c>
      <c r="H1431" s="195">
        <f t="shared" si="22"/>
        <v>0</v>
      </c>
      <c r="I1431" s="212" t="s">
        <v>2354</v>
      </c>
    </row>
    <row r="1432" spans="1:9" x14ac:dyDescent="0.25">
      <c r="A1432" s="193" t="s">
        <v>220</v>
      </c>
      <c r="B1432" s="193" t="s">
        <v>2351</v>
      </c>
      <c r="C1432" s="214" t="s">
        <v>3099</v>
      </c>
      <c r="D1432" s="193" t="s">
        <v>3100</v>
      </c>
      <c r="E1432" s="212" t="s">
        <v>545</v>
      </c>
      <c r="F1432" s="215">
        <v>7</v>
      </c>
      <c r="G1432" s="194">
        <v>113.2002</v>
      </c>
      <c r="H1432" s="195">
        <f t="shared" si="22"/>
        <v>792.40139999999997</v>
      </c>
      <c r="I1432" s="212" t="s">
        <v>2354</v>
      </c>
    </row>
    <row r="1433" spans="1:9" x14ac:dyDescent="0.25">
      <c r="A1433" s="193" t="s">
        <v>220</v>
      </c>
      <c r="B1433" s="193" t="s">
        <v>2351</v>
      </c>
      <c r="C1433" s="214" t="s">
        <v>3101</v>
      </c>
      <c r="D1433" s="193" t="s">
        <v>3102</v>
      </c>
      <c r="E1433" s="212" t="s">
        <v>545</v>
      </c>
      <c r="F1433" s="215">
        <v>8</v>
      </c>
      <c r="G1433" s="194">
        <v>12.132</v>
      </c>
      <c r="H1433" s="195">
        <f t="shared" si="22"/>
        <v>97.055999999999997</v>
      </c>
      <c r="I1433" s="212" t="s">
        <v>2354</v>
      </c>
    </row>
    <row r="1434" spans="1:9" x14ac:dyDescent="0.25">
      <c r="A1434" s="193" t="s">
        <v>220</v>
      </c>
      <c r="B1434" s="193" t="s">
        <v>2351</v>
      </c>
      <c r="C1434" s="214" t="s">
        <v>3103</v>
      </c>
      <c r="D1434" s="193" t="s">
        <v>3104</v>
      </c>
      <c r="E1434" s="212" t="s">
        <v>545</v>
      </c>
      <c r="F1434" s="215">
        <v>8</v>
      </c>
      <c r="G1434" s="194">
        <v>0</v>
      </c>
      <c r="H1434" s="195">
        <f t="shared" si="22"/>
        <v>0</v>
      </c>
      <c r="I1434" s="212" t="s">
        <v>2354</v>
      </c>
    </row>
    <row r="1435" spans="1:9" x14ac:dyDescent="0.25">
      <c r="A1435" s="193" t="s">
        <v>220</v>
      </c>
      <c r="B1435" s="193" t="s">
        <v>2351</v>
      </c>
      <c r="C1435" s="214" t="s">
        <v>3105</v>
      </c>
      <c r="D1435" s="193" t="s">
        <v>3106</v>
      </c>
      <c r="E1435" s="212" t="s">
        <v>545</v>
      </c>
      <c r="F1435" s="215">
        <v>6</v>
      </c>
      <c r="G1435" s="194">
        <v>0</v>
      </c>
      <c r="H1435" s="195">
        <f t="shared" si="22"/>
        <v>0</v>
      </c>
      <c r="I1435" s="212" t="s">
        <v>2354</v>
      </c>
    </row>
    <row r="1436" spans="1:9" x14ac:dyDescent="0.25">
      <c r="A1436" s="193" t="s">
        <v>220</v>
      </c>
      <c r="B1436" s="193" t="s">
        <v>2351</v>
      </c>
      <c r="C1436" s="214" t="s">
        <v>3107</v>
      </c>
      <c r="D1436" s="193" t="s">
        <v>3108</v>
      </c>
      <c r="E1436" s="212" t="s">
        <v>545</v>
      </c>
      <c r="F1436" s="215">
        <v>2</v>
      </c>
      <c r="G1436" s="194">
        <v>0</v>
      </c>
      <c r="H1436" s="195">
        <f t="shared" si="22"/>
        <v>0</v>
      </c>
      <c r="I1436" s="212" t="s">
        <v>2354</v>
      </c>
    </row>
    <row r="1437" spans="1:9" x14ac:dyDescent="0.25">
      <c r="A1437" s="193" t="s">
        <v>220</v>
      </c>
      <c r="B1437" s="193" t="s">
        <v>2351</v>
      </c>
      <c r="C1437" s="214" t="s">
        <v>3109</v>
      </c>
      <c r="D1437" s="193" t="s">
        <v>3110</v>
      </c>
      <c r="E1437" s="212" t="s">
        <v>545</v>
      </c>
      <c r="F1437" s="215">
        <v>1</v>
      </c>
      <c r="G1437" s="194">
        <v>0</v>
      </c>
      <c r="H1437" s="195">
        <f t="shared" si="22"/>
        <v>0</v>
      </c>
      <c r="I1437" s="212" t="s">
        <v>2354</v>
      </c>
    </row>
    <row r="1438" spans="1:9" x14ac:dyDescent="0.25">
      <c r="A1438" s="193" t="s">
        <v>220</v>
      </c>
      <c r="B1438" s="193" t="s">
        <v>2351</v>
      </c>
      <c r="C1438" s="214" t="s">
        <v>3111</v>
      </c>
      <c r="D1438" s="193" t="s">
        <v>3112</v>
      </c>
      <c r="E1438" s="212" t="s">
        <v>545</v>
      </c>
      <c r="F1438" s="215">
        <v>2</v>
      </c>
      <c r="G1438" s="194">
        <v>71.819999999999993</v>
      </c>
      <c r="H1438" s="195">
        <f t="shared" si="22"/>
        <v>143.63999999999999</v>
      </c>
      <c r="I1438" s="212" t="s">
        <v>2354</v>
      </c>
    </row>
    <row r="1439" spans="1:9" x14ac:dyDescent="0.25">
      <c r="A1439" s="193" t="s">
        <v>220</v>
      </c>
      <c r="B1439" s="193" t="s">
        <v>2351</v>
      </c>
      <c r="C1439" s="214" t="s">
        <v>3113</v>
      </c>
      <c r="D1439" s="193" t="s">
        <v>3114</v>
      </c>
      <c r="E1439" s="212" t="s">
        <v>545</v>
      </c>
      <c r="F1439" s="215">
        <v>1</v>
      </c>
      <c r="G1439" s="194">
        <v>174.6</v>
      </c>
      <c r="H1439" s="195">
        <f t="shared" si="22"/>
        <v>174.6</v>
      </c>
      <c r="I1439" s="212" t="s">
        <v>2354</v>
      </c>
    </row>
    <row r="1440" spans="1:9" x14ac:dyDescent="0.25">
      <c r="A1440" s="193" t="s">
        <v>220</v>
      </c>
      <c r="B1440" s="193" t="s">
        <v>2351</v>
      </c>
      <c r="C1440" s="214" t="s">
        <v>3115</v>
      </c>
      <c r="D1440" s="193" t="s">
        <v>3116</v>
      </c>
      <c r="E1440" s="212" t="s">
        <v>545</v>
      </c>
      <c r="F1440" s="215">
        <v>2</v>
      </c>
      <c r="G1440" s="194">
        <v>161.76424</v>
      </c>
      <c r="H1440" s="195">
        <f t="shared" si="22"/>
        <v>323.52848</v>
      </c>
      <c r="I1440" s="212" t="s">
        <v>2354</v>
      </c>
    </row>
    <row r="1441" spans="1:9" x14ac:dyDescent="0.25">
      <c r="A1441" s="193" t="s">
        <v>220</v>
      </c>
      <c r="B1441" s="193" t="s">
        <v>2351</v>
      </c>
      <c r="C1441" s="214" t="s">
        <v>3117</v>
      </c>
      <c r="D1441" s="193" t="s">
        <v>3118</v>
      </c>
      <c r="E1441" s="212" t="s">
        <v>545</v>
      </c>
      <c r="F1441" s="215">
        <v>1</v>
      </c>
      <c r="G1441" s="194">
        <v>0</v>
      </c>
      <c r="H1441" s="195">
        <f t="shared" si="22"/>
        <v>0</v>
      </c>
      <c r="I1441" s="212" t="s">
        <v>2354</v>
      </c>
    </row>
    <row r="1442" spans="1:9" x14ac:dyDescent="0.25">
      <c r="A1442" s="193" t="s">
        <v>220</v>
      </c>
      <c r="B1442" s="193" t="s">
        <v>2351</v>
      </c>
      <c r="C1442" s="214" t="s">
        <v>3119</v>
      </c>
      <c r="D1442" s="193" t="s">
        <v>3120</v>
      </c>
      <c r="E1442" s="212" t="s">
        <v>545</v>
      </c>
      <c r="F1442" s="215">
        <v>1</v>
      </c>
      <c r="G1442" s="194">
        <v>0</v>
      </c>
      <c r="H1442" s="195">
        <f t="shared" si="22"/>
        <v>0</v>
      </c>
      <c r="I1442" s="212" t="s">
        <v>2354</v>
      </c>
    </row>
    <row r="1443" spans="1:9" x14ac:dyDescent="0.25">
      <c r="A1443" s="193" t="s">
        <v>220</v>
      </c>
      <c r="B1443" s="193" t="s">
        <v>2351</v>
      </c>
      <c r="C1443" s="214" t="s">
        <v>3121</v>
      </c>
      <c r="D1443" s="193" t="s">
        <v>3122</v>
      </c>
      <c r="E1443" s="212" t="s">
        <v>545</v>
      </c>
      <c r="F1443" s="215">
        <v>2</v>
      </c>
      <c r="G1443" s="194">
        <v>71.7</v>
      </c>
      <c r="H1443" s="195">
        <f t="shared" si="22"/>
        <v>143.4</v>
      </c>
      <c r="I1443" s="212" t="s">
        <v>2354</v>
      </c>
    </row>
    <row r="1444" spans="1:9" x14ac:dyDescent="0.25">
      <c r="A1444" s="193" t="s">
        <v>220</v>
      </c>
      <c r="B1444" s="193" t="s">
        <v>2351</v>
      </c>
      <c r="C1444" s="214" t="s">
        <v>3123</v>
      </c>
      <c r="D1444" s="193" t="s">
        <v>3124</v>
      </c>
      <c r="E1444" s="212" t="s">
        <v>545</v>
      </c>
      <c r="F1444" s="215">
        <v>2</v>
      </c>
      <c r="G1444" s="194">
        <v>153.9</v>
      </c>
      <c r="H1444" s="195">
        <f t="shared" si="22"/>
        <v>307.8</v>
      </c>
      <c r="I1444" s="212" t="s">
        <v>2354</v>
      </c>
    </row>
    <row r="1445" spans="1:9" x14ac:dyDescent="0.25">
      <c r="A1445" s="193" t="s">
        <v>220</v>
      </c>
      <c r="B1445" s="193" t="s">
        <v>2351</v>
      </c>
      <c r="C1445" s="214" t="s">
        <v>3125</v>
      </c>
      <c r="D1445" s="193" t="s">
        <v>3126</v>
      </c>
      <c r="E1445" s="212" t="s">
        <v>545</v>
      </c>
      <c r="F1445" s="215">
        <v>1</v>
      </c>
      <c r="G1445" s="194">
        <v>77.400000000000006</v>
      </c>
      <c r="H1445" s="195">
        <f t="shared" si="22"/>
        <v>77.400000000000006</v>
      </c>
      <c r="I1445" s="212" t="s">
        <v>2354</v>
      </c>
    </row>
    <row r="1446" spans="1:9" x14ac:dyDescent="0.25">
      <c r="A1446" s="193" t="s">
        <v>220</v>
      </c>
      <c r="B1446" s="193" t="s">
        <v>2351</v>
      </c>
      <c r="C1446" s="214" t="s">
        <v>3127</v>
      </c>
      <c r="D1446" s="193" t="s">
        <v>3128</v>
      </c>
      <c r="E1446" s="212" t="s">
        <v>545</v>
      </c>
      <c r="F1446" s="215">
        <v>1</v>
      </c>
      <c r="G1446" s="194">
        <v>311.39800000000002</v>
      </c>
      <c r="H1446" s="195">
        <f t="shared" si="22"/>
        <v>311.39800000000002</v>
      </c>
      <c r="I1446" s="212" t="s">
        <v>2354</v>
      </c>
    </row>
    <row r="1447" spans="1:9" x14ac:dyDescent="0.25">
      <c r="A1447" s="193" t="s">
        <v>220</v>
      </c>
      <c r="B1447" s="193" t="s">
        <v>2351</v>
      </c>
      <c r="C1447" s="214" t="s">
        <v>3129</v>
      </c>
      <c r="D1447" s="193" t="s">
        <v>3130</v>
      </c>
      <c r="E1447" s="212" t="s">
        <v>545</v>
      </c>
      <c r="F1447" s="215">
        <v>4</v>
      </c>
      <c r="G1447" s="194">
        <v>95.421000000000006</v>
      </c>
      <c r="H1447" s="195">
        <f t="shared" si="22"/>
        <v>381.68400000000003</v>
      </c>
      <c r="I1447" s="212" t="s">
        <v>2354</v>
      </c>
    </row>
    <row r="1448" spans="1:9" x14ac:dyDescent="0.25">
      <c r="A1448" s="193" t="s">
        <v>220</v>
      </c>
      <c r="B1448" s="193" t="s">
        <v>2351</v>
      </c>
      <c r="C1448" s="214" t="s">
        <v>3131</v>
      </c>
      <c r="D1448" s="193" t="s">
        <v>3132</v>
      </c>
      <c r="E1448" s="212" t="s">
        <v>545</v>
      </c>
      <c r="F1448" s="215">
        <v>6</v>
      </c>
      <c r="G1448" s="194">
        <v>102.55249999999999</v>
      </c>
      <c r="H1448" s="195">
        <f t="shared" si="22"/>
        <v>615.31499999999994</v>
      </c>
      <c r="I1448" s="212" t="s">
        <v>2354</v>
      </c>
    </row>
    <row r="1449" spans="1:9" x14ac:dyDescent="0.25">
      <c r="A1449" s="193" t="s">
        <v>220</v>
      </c>
      <c r="B1449" s="193" t="s">
        <v>2351</v>
      </c>
      <c r="C1449" s="214" t="s">
        <v>3133</v>
      </c>
      <c r="D1449" s="193" t="s">
        <v>3134</v>
      </c>
      <c r="E1449" s="212" t="s">
        <v>545</v>
      </c>
      <c r="F1449" s="215">
        <v>8</v>
      </c>
      <c r="G1449" s="194">
        <v>31.801500000000001</v>
      </c>
      <c r="H1449" s="195">
        <f t="shared" si="22"/>
        <v>254.41200000000001</v>
      </c>
      <c r="I1449" s="212" t="s">
        <v>2354</v>
      </c>
    </row>
    <row r="1450" spans="1:9" x14ac:dyDescent="0.25">
      <c r="A1450" s="193" t="s">
        <v>220</v>
      </c>
      <c r="B1450" s="193" t="s">
        <v>2351</v>
      </c>
      <c r="C1450" s="214" t="s">
        <v>3135</v>
      </c>
      <c r="D1450" s="193" t="s">
        <v>3136</v>
      </c>
      <c r="E1450" s="212" t="s">
        <v>535</v>
      </c>
      <c r="F1450" s="215">
        <v>50</v>
      </c>
      <c r="G1450" s="194">
        <v>21.45</v>
      </c>
      <c r="H1450" s="195">
        <f t="shared" si="22"/>
        <v>1072.5</v>
      </c>
      <c r="I1450" s="212" t="s">
        <v>2354</v>
      </c>
    </row>
    <row r="1451" spans="1:9" x14ac:dyDescent="0.25">
      <c r="A1451" s="193" t="s">
        <v>220</v>
      </c>
      <c r="B1451" s="193" t="s">
        <v>2351</v>
      </c>
      <c r="C1451" s="214" t="s">
        <v>3137</v>
      </c>
      <c r="D1451" s="193" t="s">
        <v>3138</v>
      </c>
      <c r="E1451" s="212" t="s">
        <v>545</v>
      </c>
      <c r="F1451" s="215">
        <v>7</v>
      </c>
      <c r="G1451" s="194">
        <v>0.52715999999999996</v>
      </c>
      <c r="H1451" s="195">
        <f t="shared" si="22"/>
        <v>3.6901199999999998</v>
      </c>
      <c r="I1451" s="212" t="s">
        <v>2354</v>
      </c>
    </row>
    <row r="1452" spans="1:9" x14ac:dyDescent="0.25">
      <c r="A1452" s="193" t="s">
        <v>220</v>
      </c>
      <c r="B1452" s="193" t="s">
        <v>2351</v>
      </c>
      <c r="C1452" s="214" t="s">
        <v>3139</v>
      </c>
      <c r="D1452" s="193" t="s">
        <v>3140</v>
      </c>
      <c r="E1452" s="212" t="s">
        <v>545</v>
      </c>
      <c r="F1452" s="215">
        <v>2</v>
      </c>
      <c r="G1452" s="194">
        <v>20.484000000000002</v>
      </c>
      <c r="H1452" s="195">
        <f t="shared" si="22"/>
        <v>40.968000000000004</v>
      </c>
      <c r="I1452" s="212" t="s">
        <v>2354</v>
      </c>
    </row>
    <row r="1453" spans="1:9" x14ac:dyDescent="0.25">
      <c r="A1453" s="193" t="s">
        <v>220</v>
      </c>
      <c r="B1453" s="193" t="s">
        <v>2351</v>
      </c>
      <c r="C1453" s="214" t="s">
        <v>3141</v>
      </c>
      <c r="D1453" s="193" t="s">
        <v>3142</v>
      </c>
      <c r="E1453" s="212" t="s">
        <v>2387</v>
      </c>
      <c r="F1453" s="215">
        <v>24</v>
      </c>
      <c r="G1453" s="194">
        <v>14.612</v>
      </c>
      <c r="H1453" s="195">
        <f t="shared" si="22"/>
        <v>350.68799999999999</v>
      </c>
      <c r="I1453" s="212" t="s">
        <v>2354</v>
      </c>
    </row>
    <row r="1454" spans="1:9" x14ac:dyDescent="0.25">
      <c r="A1454" s="193" t="s">
        <v>220</v>
      </c>
      <c r="B1454" s="193" t="s">
        <v>2351</v>
      </c>
      <c r="C1454" s="214" t="s">
        <v>3143</v>
      </c>
      <c r="D1454" s="193" t="s">
        <v>3144</v>
      </c>
      <c r="E1454" s="212" t="s">
        <v>545</v>
      </c>
      <c r="F1454" s="215">
        <v>52</v>
      </c>
      <c r="G1454" s="194">
        <v>2.0583</v>
      </c>
      <c r="H1454" s="195">
        <f t="shared" si="22"/>
        <v>107.0316</v>
      </c>
      <c r="I1454" s="212" t="s">
        <v>2354</v>
      </c>
    </row>
    <row r="1455" spans="1:9" x14ac:dyDescent="0.25">
      <c r="A1455" s="193" t="s">
        <v>220</v>
      </c>
      <c r="B1455" s="193" t="s">
        <v>2351</v>
      </c>
      <c r="C1455" s="214" t="s">
        <v>3145</v>
      </c>
      <c r="D1455" s="193" t="s">
        <v>3146</v>
      </c>
      <c r="E1455" s="212" t="s">
        <v>545</v>
      </c>
      <c r="F1455" s="215">
        <v>24</v>
      </c>
      <c r="G1455" s="194">
        <v>3.3993000000000002</v>
      </c>
      <c r="H1455" s="195">
        <f t="shared" si="22"/>
        <v>81.583200000000005</v>
      </c>
      <c r="I1455" s="212" t="s">
        <v>2354</v>
      </c>
    </row>
    <row r="1456" spans="1:9" x14ac:dyDescent="0.25">
      <c r="A1456" s="193" t="s">
        <v>220</v>
      </c>
      <c r="B1456" s="193" t="s">
        <v>2351</v>
      </c>
      <c r="C1456" s="214" t="s">
        <v>3147</v>
      </c>
      <c r="D1456" s="193" t="s">
        <v>3148</v>
      </c>
      <c r="E1456" s="212" t="s">
        <v>545</v>
      </c>
      <c r="F1456" s="215">
        <v>23</v>
      </c>
      <c r="G1456" s="194">
        <v>2.6747999999999998</v>
      </c>
      <c r="H1456" s="195">
        <f t="shared" si="22"/>
        <v>61.520399999999995</v>
      </c>
      <c r="I1456" s="212" t="s">
        <v>2354</v>
      </c>
    </row>
    <row r="1457" spans="1:9" x14ac:dyDescent="0.25">
      <c r="A1457" s="193" t="s">
        <v>220</v>
      </c>
      <c r="B1457" s="193" t="s">
        <v>2351</v>
      </c>
      <c r="C1457" s="214" t="s">
        <v>3149</v>
      </c>
      <c r="D1457" s="193" t="s">
        <v>3150</v>
      </c>
      <c r="E1457" s="212" t="s">
        <v>545</v>
      </c>
      <c r="F1457" s="215">
        <v>21</v>
      </c>
      <c r="G1457" s="194">
        <v>1.1348999999999998</v>
      </c>
      <c r="H1457" s="195">
        <f t="shared" si="22"/>
        <v>23.832899999999995</v>
      </c>
      <c r="I1457" s="212" t="s">
        <v>2354</v>
      </c>
    </row>
    <row r="1458" spans="1:9" x14ac:dyDescent="0.25">
      <c r="A1458" s="193" t="s">
        <v>220</v>
      </c>
      <c r="B1458" s="193" t="s">
        <v>2351</v>
      </c>
      <c r="C1458" s="214" t="s">
        <v>3151</v>
      </c>
      <c r="D1458" s="193" t="s">
        <v>3152</v>
      </c>
      <c r="E1458" s="212" t="s">
        <v>545</v>
      </c>
      <c r="F1458" s="215">
        <v>1</v>
      </c>
      <c r="G1458" s="194">
        <v>162</v>
      </c>
      <c r="H1458" s="195">
        <f t="shared" si="22"/>
        <v>162</v>
      </c>
      <c r="I1458" s="212" t="s">
        <v>2354</v>
      </c>
    </row>
    <row r="1459" spans="1:9" x14ac:dyDescent="0.25">
      <c r="A1459" s="193" t="s">
        <v>220</v>
      </c>
      <c r="B1459" s="193" t="s">
        <v>2351</v>
      </c>
      <c r="C1459" s="214" t="s">
        <v>3153</v>
      </c>
      <c r="D1459" s="193" t="s">
        <v>3154</v>
      </c>
      <c r="E1459" s="212" t="s">
        <v>545</v>
      </c>
      <c r="F1459" s="215">
        <v>1</v>
      </c>
      <c r="G1459" s="194">
        <v>3.5459999999999998</v>
      </c>
      <c r="H1459" s="195">
        <f t="shared" si="22"/>
        <v>3.5459999999999998</v>
      </c>
      <c r="I1459" s="212" t="s">
        <v>2354</v>
      </c>
    </row>
    <row r="1460" spans="1:9" x14ac:dyDescent="0.25">
      <c r="A1460" s="193" t="s">
        <v>220</v>
      </c>
      <c r="B1460" s="193" t="s">
        <v>2351</v>
      </c>
      <c r="C1460" s="214" t="s">
        <v>3155</v>
      </c>
      <c r="D1460" s="193" t="s">
        <v>3156</v>
      </c>
      <c r="E1460" s="212" t="s">
        <v>545</v>
      </c>
      <c r="F1460" s="215">
        <v>8</v>
      </c>
      <c r="G1460" s="194">
        <v>226.54079999999999</v>
      </c>
      <c r="H1460" s="195">
        <f t="shared" si="22"/>
        <v>1812.3263999999999</v>
      </c>
      <c r="I1460" s="212" t="s">
        <v>2354</v>
      </c>
    </row>
    <row r="1461" spans="1:9" x14ac:dyDescent="0.25">
      <c r="A1461" s="193" t="s">
        <v>220</v>
      </c>
      <c r="B1461" s="193" t="s">
        <v>2351</v>
      </c>
      <c r="C1461" s="214" t="s">
        <v>3157</v>
      </c>
      <c r="D1461" s="193" t="s">
        <v>3158</v>
      </c>
      <c r="E1461" s="212" t="s">
        <v>545</v>
      </c>
      <c r="F1461" s="215">
        <v>1</v>
      </c>
      <c r="G1461" s="194">
        <v>44.155799999999999</v>
      </c>
      <c r="H1461" s="195">
        <f t="shared" si="22"/>
        <v>44.155799999999999</v>
      </c>
      <c r="I1461" s="212" t="s">
        <v>2354</v>
      </c>
    </row>
    <row r="1462" spans="1:9" x14ac:dyDescent="0.25">
      <c r="A1462" s="193" t="s">
        <v>220</v>
      </c>
      <c r="B1462" s="193" t="s">
        <v>2351</v>
      </c>
      <c r="C1462" s="214" t="s">
        <v>3159</v>
      </c>
      <c r="D1462" s="193" t="s">
        <v>3160</v>
      </c>
      <c r="E1462" s="212" t="s">
        <v>545</v>
      </c>
      <c r="F1462" s="215">
        <v>1</v>
      </c>
      <c r="G1462" s="194">
        <v>284.26499999999999</v>
      </c>
      <c r="H1462" s="195">
        <f t="shared" si="22"/>
        <v>284.26499999999999</v>
      </c>
      <c r="I1462" s="212" t="s">
        <v>2354</v>
      </c>
    </row>
    <row r="1463" spans="1:9" x14ac:dyDescent="0.25">
      <c r="A1463" s="193" t="s">
        <v>220</v>
      </c>
      <c r="B1463" s="193" t="s">
        <v>2351</v>
      </c>
      <c r="C1463" s="214" t="s">
        <v>3161</v>
      </c>
      <c r="D1463" s="193" t="s">
        <v>3162</v>
      </c>
      <c r="E1463" s="212" t="s">
        <v>545</v>
      </c>
      <c r="F1463" s="215">
        <v>14</v>
      </c>
      <c r="G1463" s="194">
        <v>0</v>
      </c>
      <c r="H1463" s="195">
        <f t="shared" si="22"/>
        <v>0</v>
      </c>
      <c r="I1463" s="212" t="s">
        <v>2354</v>
      </c>
    </row>
    <row r="1464" spans="1:9" x14ac:dyDescent="0.25">
      <c r="A1464" s="193" t="s">
        <v>220</v>
      </c>
      <c r="B1464" s="193" t="s">
        <v>2351</v>
      </c>
      <c r="C1464" s="214" t="s">
        <v>3163</v>
      </c>
      <c r="D1464" s="193" t="s">
        <v>3164</v>
      </c>
      <c r="E1464" s="212" t="s">
        <v>545</v>
      </c>
      <c r="F1464" s="215">
        <v>10</v>
      </c>
      <c r="G1464" s="194">
        <v>11.16</v>
      </c>
      <c r="H1464" s="195">
        <f t="shared" si="22"/>
        <v>111.6</v>
      </c>
      <c r="I1464" s="212" t="s">
        <v>2354</v>
      </c>
    </row>
    <row r="1465" spans="1:9" x14ac:dyDescent="0.25">
      <c r="A1465" s="193" t="s">
        <v>220</v>
      </c>
      <c r="B1465" s="193" t="s">
        <v>2351</v>
      </c>
      <c r="C1465" s="214" t="s">
        <v>3165</v>
      </c>
      <c r="D1465" s="193" t="s">
        <v>3166</v>
      </c>
      <c r="E1465" s="212" t="s">
        <v>1894</v>
      </c>
      <c r="F1465" s="215">
        <v>6</v>
      </c>
      <c r="G1465" s="194">
        <v>0.67500000000000004</v>
      </c>
      <c r="H1465" s="195">
        <f t="shared" si="22"/>
        <v>4.0500000000000007</v>
      </c>
      <c r="I1465" s="212" t="s">
        <v>2354</v>
      </c>
    </row>
    <row r="1466" spans="1:9" x14ac:dyDescent="0.25">
      <c r="A1466" s="193" t="s">
        <v>220</v>
      </c>
      <c r="B1466" s="193" t="s">
        <v>2351</v>
      </c>
      <c r="C1466" s="214" t="s">
        <v>3167</v>
      </c>
      <c r="D1466" s="193" t="s">
        <v>3168</v>
      </c>
      <c r="E1466" s="212" t="s">
        <v>545</v>
      </c>
      <c r="F1466" s="215">
        <v>1</v>
      </c>
      <c r="G1466" s="194">
        <v>35.167949999999998</v>
      </c>
      <c r="H1466" s="195">
        <f t="shared" si="22"/>
        <v>35.167949999999998</v>
      </c>
      <c r="I1466" s="212" t="s">
        <v>2354</v>
      </c>
    </row>
    <row r="1467" spans="1:9" x14ac:dyDescent="0.25">
      <c r="A1467" s="193" t="s">
        <v>220</v>
      </c>
      <c r="B1467" s="193" t="s">
        <v>2351</v>
      </c>
      <c r="C1467" s="214" t="s">
        <v>3169</v>
      </c>
      <c r="D1467" s="193" t="s">
        <v>3170</v>
      </c>
      <c r="E1467" s="212" t="s">
        <v>2387</v>
      </c>
      <c r="F1467" s="215">
        <v>2</v>
      </c>
      <c r="G1467" s="194">
        <v>0</v>
      </c>
      <c r="H1467" s="195">
        <f t="shared" si="22"/>
        <v>0</v>
      </c>
      <c r="I1467" s="212" t="s">
        <v>2354</v>
      </c>
    </row>
    <row r="1468" spans="1:9" x14ac:dyDescent="0.25">
      <c r="A1468" s="193" t="s">
        <v>220</v>
      </c>
      <c r="B1468" s="193" t="s">
        <v>2351</v>
      </c>
      <c r="C1468" s="214" t="s">
        <v>3171</v>
      </c>
      <c r="D1468" s="193" t="s">
        <v>3172</v>
      </c>
      <c r="E1468" s="212" t="s">
        <v>545</v>
      </c>
      <c r="F1468" s="215">
        <v>382</v>
      </c>
      <c r="G1468" s="194">
        <v>4.4244199999999996</v>
      </c>
      <c r="H1468" s="195">
        <f t="shared" si="22"/>
        <v>1690.1284399999997</v>
      </c>
      <c r="I1468" s="212" t="s">
        <v>2354</v>
      </c>
    </row>
    <row r="1469" spans="1:9" x14ac:dyDescent="0.25">
      <c r="A1469" s="193" t="s">
        <v>220</v>
      </c>
      <c r="B1469" s="193" t="s">
        <v>2351</v>
      </c>
      <c r="C1469" s="214" t="s">
        <v>3173</v>
      </c>
      <c r="D1469" s="193" t="s">
        <v>3174</v>
      </c>
      <c r="E1469" s="212" t="s">
        <v>545</v>
      </c>
      <c r="F1469" s="215">
        <v>159</v>
      </c>
      <c r="G1469" s="194">
        <v>13.242319999999999</v>
      </c>
      <c r="H1469" s="195">
        <f t="shared" si="22"/>
        <v>2105.5288799999998</v>
      </c>
      <c r="I1469" s="212" t="s">
        <v>2354</v>
      </c>
    </row>
    <row r="1470" spans="1:9" x14ac:dyDescent="0.25">
      <c r="A1470" s="193" t="s">
        <v>220</v>
      </c>
      <c r="B1470" s="193" t="s">
        <v>2351</v>
      </c>
      <c r="C1470" s="214" t="s">
        <v>3175</v>
      </c>
      <c r="D1470" s="193" t="s">
        <v>3176</v>
      </c>
      <c r="E1470" s="212" t="s">
        <v>2387</v>
      </c>
      <c r="F1470" s="215">
        <v>2</v>
      </c>
      <c r="G1470" s="194">
        <v>0</v>
      </c>
      <c r="H1470" s="195">
        <f t="shared" si="22"/>
        <v>0</v>
      </c>
      <c r="I1470" s="212" t="s">
        <v>2354</v>
      </c>
    </row>
    <row r="1471" spans="1:9" x14ac:dyDescent="0.25">
      <c r="A1471" s="193" t="s">
        <v>220</v>
      </c>
      <c r="B1471" s="193" t="s">
        <v>2351</v>
      </c>
      <c r="C1471" s="214" t="s">
        <v>3177</v>
      </c>
      <c r="D1471" s="193" t="s">
        <v>3178</v>
      </c>
      <c r="E1471" s="212" t="s">
        <v>545</v>
      </c>
      <c r="F1471" s="215">
        <v>5</v>
      </c>
      <c r="G1471" s="194">
        <v>0</v>
      </c>
      <c r="H1471" s="195">
        <f t="shared" si="22"/>
        <v>0</v>
      </c>
      <c r="I1471" s="212" t="s">
        <v>2354</v>
      </c>
    </row>
    <row r="1472" spans="1:9" x14ac:dyDescent="0.25">
      <c r="A1472" s="193" t="s">
        <v>220</v>
      </c>
      <c r="B1472" s="193" t="s">
        <v>2351</v>
      </c>
      <c r="C1472" s="214" t="s">
        <v>3179</v>
      </c>
      <c r="D1472" s="193" t="s">
        <v>3180</v>
      </c>
      <c r="E1472" s="212" t="s">
        <v>545</v>
      </c>
      <c r="F1472" s="215">
        <v>4</v>
      </c>
      <c r="G1472" s="194">
        <v>0</v>
      </c>
      <c r="H1472" s="195">
        <f t="shared" si="22"/>
        <v>0</v>
      </c>
      <c r="I1472" s="212" t="s">
        <v>2354</v>
      </c>
    </row>
    <row r="1473" spans="1:9" x14ac:dyDescent="0.25">
      <c r="A1473" s="193" t="s">
        <v>220</v>
      </c>
      <c r="B1473" s="193" t="s">
        <v>2351</v>
      </c>
      <c r="C1473" s="214" t="s">
        <v>3181</v>
      </c>
      <c r="D1473" s="193" t="s">
        <v>3182</v>
      </c>
      <c r="E1473" s="212" t="s">
        <v>545</v>
      </c>
      <c r="F1473" s="215">
        <v>8</v>
      </c>
      <c r="G1473" s="194">
        <v>0</v>
      </c>
      <c r="H1473" s="195">
        <f t="shared" si="22"/>
        <v>0</v>
      </c>
      <c r="I1473" s="212" t="s">
        <v>2354</v>
      </c>
    </row>
    <row r="1474" spans="1:9" x14ac:dyDescent="0.25">
      <c r="A1474" s="193" t="s">
        <v>220</v>
      </c>
      <c r="B1474" s="193" t="s">
        <v>2351</v>
      </c>
      <c r="C1474" s="214" t="s">
        <v>3183</v>
      </c>
      <c r="D1474" s="193" t="s">
        <v>3184</v>
      </c>
      <c r="E1474" s="212" t="s">
        <v>545</v>
      </c>
      <c r="F1474" s="215">
        <v>11</v>
      </c>
      <c r="G1474" s="194">
        <v>0.38900000000000001</v>
      </c>
      <c r="H1474" s="195">
        <f t="shared" si="22"/>
        <v>4.2789999999999999</v>
      </c>
      <c r="I1474" s="212" t="s">
        <v>2354</v>
      </c>
    </row>
    <row r="1475" spans="1:9" x14ac:dyDescent="0.25">
      <c r="A1475" s="193" t="s">
        <v>220</v>
      </c>
      <c r="B1475" s="193" t="s">
        <v>2351</v>
      </c>
      <c r="C1475" s="214" t="s">
        <v>3185</v>
      </c>
      <c r="D1475" s="193" t="s">
        <v>3186</v>
      </c>
      <c r="E1475" s="212" t="s">
        <v>545</v>
      </c>
      <c r="F1475" s="215">
        <v>11</v>
      </c>
      <c r="G1475" s="194">
        <v>0.22900000000000001</v>
      </c>
      <c r="H1475" s="195">
        <f t="shared" si="22"/>
        <v>2.5190000000000001</v>
      </c>
      <c r="I1475" s="212" t="s">
        <v>2354</v>
      </c>
    </row>
    <row r="1476" spans="1:9" x14ac:dyDescent="0.25">
      <c r="A1476" s="193" t="s">
        <v>220</v>
      </c>
      <c r="B1476" s="193" t="s">
        <v>2351</v>
      </c>
      <c r="C1476" s="214" t="s">
        <v>3187</v>
      </c>
      <c r="D1476" s="193" t="s">
        <v>3188</v>
      </c>
      <c r="E1476" s="212" t="s">
        <v>545</v>
      </c>
      <c r="F1476" s="215">
        <v>15</v>
      </c>
      <c r="G1476" s="194">
        <v>0.114</v>
      </c>
      <c r="H1476" s="195">
        <f t="shared" si="22"/>
        <v>1.71</v>
      </c>
      <c r="I1476" s="212" t="s">
        <v>2354</v>
      </c>
    </row>
    <row r="1477" spans="1:9" x14ac:dyDescent="0.25">
      <c r="A1477" s="193" t="s">
        <v>220</v>
      </c>
      <c r="B1477" s="193" t="s">
        <v>2351</v>
      </c>
      <c r="C1477" s="214" t="s">
        <v>3189</v>
      </c>
      <c r="D1477" s="193" t="s">
        <v>3190</v>
      </c>
      <c r="E1477" s="212" t="s">
        <v>545</v>
      </c>
      <c r="F1477" s="215">
        <v>10</v>
      </c>
      <c r="G1477" s="194">
        <v>1.681</v>
      </c>
      <c r="H1477" s="195">
        <f t="shared" ref="H1477:H1540" si="23">+F1477*G1477</f>
        <v>16.810000000000002</v>
      </c>
      <c r="I1477" s="212" t="s">
        <v>2354</v>
      </c>
    </row>
    <row r="1478" spans="1:9" x14ac:dyDescent="0.25">
      <c r="A1478" s="193" t="s">
        <v>220</v>
      </c>
      <c r="B1478" s="193" t="s">
        <v>2351</v>
      </c>
      <c r="C1478" s="214" t="s">
        <v>3191</v>
      </c>
      <c r="D1478" s="193" t="s">
        <v>3192</v>
      </c>
      <c r="E1478" s="212" t="s">
        <v>545</v>
      </c>
      <c r="F1478" s="215">
        <v>10</v>
      </c>
      <c r="G1478" s="194">
        <v>2.2610000000000001</v>
      </c>
      <c r="H1478" s="195">
        <f t="shared" si="23"/>
        <v>22.61</v>
      </c>
      <c r="I1478" s="212" t="s">
        <v>2354</v>
      </c>
    </row>
    <row r="1479" spans="1:9" x14ac:dyDescent="0.25">
      <c r="A1479" s="193" t="s">
        <v>220</v>
      </c>
      <c r="B1479" s="193" t="s">
        <v>2351</v>
      </c>
      <c r="C1479" s="214" t="s">
        <v>3193</v>
      </c>
      <c r="D1479" s="193" t="s">
        <v>3194</v>
      </c>
      <c r="E1479" s="212" t="s">
        <v>545</v>
      </c>
      <c r="F1479" s="215">
        <v>10</v>
      </c>
      <c r="G1479" s="194">
        <v>0.42</v>
      </c>
      <c r="H1479" s="195">
        <f t="shared" si="23"/>
        <v>4.2</v>
      </c>
      <c r="I1479" s="212" t="s">
        <v>2354</v>
      </c>
    </row>
    <row r="1480" spans="1:9" x14ac:dyDescent="0.25">
      <c r="A1480" s="193" t="s">
        <v>220</v>
      </c>
      <c r="B1480" s="193" t="s">
        <v>2351</v>
      </c>
      <c r="C1480" s="214" t="s">
        <v>3195</v>
      </c>
      <c r="D1480" s="193" t="s">
        <v>3196</v>
      </c>
      <c r="E1480" s="212" t="s">
        <v>545</v>
      </c>
      <c r="F1480" s="215">
        <v>1</v>
      </c>
      <c r="G1480" s="194">
        <v>13.99</v>
      </c>
      <c r="H1480" s="195">
        <f t="shared" si="23"/>
        <v>13.99</v>
      </c>
      <c r="I1480" s="212" t="s">
        <v>2354</v>
      </c>
    </row>
    <row r="1481" spans="1:9" x14ac:dyDescent="0.25">
      <c r="A1481" s="193" t="s">
        <v>220</v>
      </c>
      <c r="B1481" s="193" t="s">
        <v>2351</v>
      </c>
      <c r="C1481" s="214" t="s">
        <v>3197</v>
      </c>
      <c r="D1481" s="193" t="s">
        <v>3198</v>
      </c>
      <c r="E1481" s="212" t="s">
        <v>545</v>
      </c>
      <c r="F1481" s="215">
        <v>1</v>
      </c>
      <c r="G1481" s="194">
        <v>16.638999999999999</v>
      </c>
      <c r="H1481" s="195">
        <f t="shared" si="23"/>
        <v>16.638999999999999</v>
      </c>
      <c r="I1481" s="212" t="s">
        <v>2354</v>
      </c>
    </row>
    <row r="1482" spans="1:9" x14ac:dyDescent="0.25">
      <c r="A1482" s="193" t="s">
        <v>220</v>
      </c>
      <c r="B1482" s="193" t="s">
        <v>2351</v>
      </c>
      <c r="C1482" s="214" t="s">
        <v>3199</v>
      </c>
      <c r="D1482" s="193" t="s">
        <v>3200</v>
      </c>
      <c r="E1482" s="212" t="s">
        <v>545</v>
      </c>
      <c r="F1482" s="215">
        <v>30</v>
      </c>
      <c r="G1482" s="194">
        <v>1.89</v>
      </c>
      <c r="H1482" s="195">
        <f t="shared" si="23"/>
        <v>56.699999999999996</v>
      </c>
      <c r="I1482" s="212" t="s">
        <v>2354</v>
      </c>
    </row>
    <row r="1483" spans="1:9" x14ac:dyDescent="0.25">
      <c r="A1483" s="193" t="s">
        <v>220</v>
      </c>
      <c r="B1483" s="193" t="s">
        <v>2351</v>
      </c>
      <c r="C1483" s="214" t="s">
        <v>3201</v>
      </c>
      <c r="D1483" s="193" t="s">
        <v>3202</v>
      </c>
      <c r="E1483" s="212" t="s">
        <v>545</v>
      </c>
      <c r="F1483" s="215">
        <v>11</v>
      </c>
      <c r="G1483" s="194">
        <v>0.93149999999999999</v>
      </c>
      <c r="H1483" s="195">
        <f t="shared" si="23"/>
        <v>10.246499999999999</v>
      </c>
      <c r="I1483" s="212" t="s">
        <v>2354</v>
      </c>
    </row>
    <row r="1484" spans="1:9" x14ac:dyDescent="0.25">
      <c r="A1484" s="193" t="s">
        <v>220</v>
      </c>
      <c r="B1484" s="193" t="s">
        <v>2351</v>
      </c>
      <c r="C1484" s="214" t="s">
        <v>3203</v>
      </c>
      <c r="D1484" s="193" t="s">
        <v>3204</v>
      </c>
      <c r="E1484" s="212" t="s">
        <v>545</v>
      </c>
      <c r="F1484" s="215">
        <v>24</v>
      </c>
      <c r="G1484" s="194">
        <v>0.58096363636363624</v>
      </c>
      <c r="H1484" s="195">
        <f t="shared" si="23"/>
        <v>13.943127272727271</v>
      </c>
      <c r="I1484" s="212" t="s">
        <v>2354</v>
      </c>
    </row>
    <row r="1485" spans="1:9" x14ac:dyDescent="0.25">
      <c r="A1485" s="193" t="s">
        <v>220</v>
      </c>
      <c r="B1485" s="193" t="s">
        <v>2351</v>
      </c>
      <c r="C1485" s="214" t="s">
        <v>3205</v>
      </c>
      <c r="D1485" s="193" t="s">
        <v>3206</v>
      </c>
      <c r="E1485" s="212" t="s">
        <v>545</v>
      </c>
      <c r="F1485" s="215">
        <v>17</v>
      </c>
      <c r="G1485" s="194">
        <v>1.08</v>
      </c>
      <c r="H1485" s="195">
        <f t="shared" si="23"/>
        <v>18.36</v>
      </c>
      <c r="I1485" s="212" t="s">
        <v>2354</v>
      </c>
    </row>
    <row r="1486" spans="1:9" x14ac:dyDescent="0.25">
      <c r="A1486" s="193" t="s">
        <v>220</v>
      </c>
      <c r="B1486" s="193" t="s">
        <v>2351</v>
      </c>
      <c r="C1486" s="214" t="s">
        <v>3207</v>
      </c>
      <c r="D1486" s="193" t="s">
        <v>3208</v>
      </c>
      <c r="E1486" s="212" t="s">
        <v>545</v>
      </c>
      <c r="F1486" s="215">
        <v>21</v>
      </c>
      <c r="G1486" s="194">
        <v>1.9525128964059197</v>
      </c>
      <c r="H1486" s="195">
        <f t="shared" si="23"/>
        <v>41.002770824524312</v>
      </c>
      <c r="I1486" s="212" t="s">
        <v>2354</v>
      </c>
    </row>
    <row r="1487" spans="1:9" x14ac:dyDescent="0.25">
      <c r="A1487" s="193" t="s">
        <v>220</v>
      </c>
      <c r="B1487" s="193" t="s">
        <v>2351</v>
      </c>
      <c r="C1487" s="214" t="s">
        <v>3209</v>
      </c>
      <c r="D1487" s="193" t="s">
        <v>3210</v>
      </c>
      <c r="E1487" s="212" t="s">
        <v>545</v>
      </c>
      <c r="F1487" s="215">
        <v>1</v>
      </c>
      <c r="G1487" s="194">
        <v>3.5928</v>
      </c>
      <c r="H1487" s="195">
        <f t="shared" si="23"/>
        <v>3.5928</v>
      </c>
      <c r="I1487" s="212" t="s">
        <v>2354</v>
      </c>
    </row>
    <row r="1488" spans="1:9" x14ac:dyDescent="0.25">
      <c r="A1488" s="193" t="s">
        <v>220</v>
      </c>
      <c r="B1488" s="193" t="s">
        <v>2351</v>
      </c>
      <c r="C1488" s="214" t="s">
        <v>3211</v>
      </c>
      <c r="D1488" s="193" t="s">
        <v>3212</v>
      </c>
      <c r="E1488" s="212" t="s">
        <v>545</v>
      </c>
      <c r="F1488" s="215">
        <v>36</v>
      </c>
      <c r="G1488" s="194">
        <v>0.41129999999999994</v>
      </c>
      <c r="H1488" s="195">
        <f t="shared" si="23"/>
        <v>14.806799999999997</v>
      </c>
      <c r="I1488" s="212" t="s">
        <v>2354</v>
      </c>
    </row>
    <row r="1489" spans="1:9" x14ac:dyDescent="0.25">
      <c r="A1489" s="193" t="s">
        <v>220</v>
      </c>
      <c r="B1489" s="193" t="s">
        <v>2351</v>
      </c>
      <c r="C1489" s="214" t="s">
        <v>3213</v>
      </c>
      <c r="D1489" s="193" t="s">
        <v>3214</v>
      </c>
      <c r="E1489" s="212" t="s">
        <v>545</v>
      </c>
      <c r="F1489" s="215">
        <v>31</v>
      </c>
      <c r="G1489" s="194">
        <v>0.70656967213114763</v>
      </c>
      <c r="H1489" s="195">
        <f t="shared" si="23"/>
        <v>21.903659836065575</v>
      </c>
      <c r="I1489" s="212" t="s">
        <v>2354</v>
      </c>
    </row>
    <row r="1490" spans="1:9" x14ac:dyDescent="0.25">
      <c r="A1490" s="193" t="s">
        <v>220</v>
      </c>
      <c r="B1490" s="193" t="s">
        <v>2351</v>
      </c>
      <c r="C1490" s="214" t="s">
        <v>3215</v>
      </c>
      <c r="D1490" s="193" t="s">
        <v>3216</v>
      </c>
      <c r="E1490" s="212" t="s">
        <v>545</v>
      </c>
      <c r="F1490" s="215">
        <v>20</v>
      </c>
      <c r="G1490" s="194">
        <v>0.89190000000000003</v>
      </c>
      <c r="H1490" s="195">
        <f t="shared" si="23"/>
        <v>17.838000000000001</v>
      </c>
      <c r="I1490" s="212" t="s">
        <v>2354</v>
      </c>
    </row>
    <row r="1491" spans="1:9" x14ac:dyDescent="0.25">
      <c r="A1491" s="193" t="s">
        <v>220</v>
      </c>
      <c r="B1491" s="193" t="s">
        <v>2351</v>
      </c>
      <c r="C1491" s="214" t="s">
        <v>3217</v>
      </c>
      <c r="D1491" s="193" t="s">
        <v>3218</v>
      </c>
      <c r="E1491" s="212" t="s">
        <v>545</v>
      </c>
      <c r="F1491" s="215">
        <v>29</v>
      </c>
      <c r="G1491" s="194">
        <v>0.89190000000000003</v>
      </c>
      <c r="H1491" s="195">
        <f t="shared" si="23"/>
        <v>25.865100000000002</v>
      </c>
      <c r="I1491" s="212" t="s">
        <v>2354</v>
      </c>
    </row>
    <row r="1492" spans="1:9" x14ac:dyDescent="0.25">
      <c r="A1492" s="193" t="s">
        <v>220</v>
      </c>
      <c r="B1492" s="193" t="s">
        <v>2351</v>
      </c>
      <c r="C1492" s="214" t="s">
        <v>3219</v>
      </c>
      <c r="D1492" s="193" t="s">
        <v>3220</v>
      </c>
      <c r="E1492" s="212" t="s">
        <v>545</v>
      </c>
      <c r="F1492" s="215">
        <v>20</v>
      </c>
      <c r="G1492" s="194">
        <v>0.89190000000000003</v>
      </c>
      <c r="H1492" s="195">
        <f t="shared" si="23"/>
        <v>17.838000000000001</v>
      </c>
      <c r="I1492" s="212" t="s">
        <v>2354</v>
      </c>
    </row>
    <row r="1493" spans="1:9" x14ac:dyDescent="0.25">
      <c r="A1493" s="193" t="s">
        <v>220</v>
      </c>
      <c r="B1493" s="193" t="s">
        <v>2351</v>
      </c>
      <c r="C1493" s="214" t="s">
        <v>3221</v>
      </c>
      <c r="D1493" s="193" t="s">
        <v>3222</v>
      </c>
      <c r="E1493" s="212" t="s">
        <v>545</v>
      </c>
      <c r="F1493" s="215">
        <v>2</v>
      </c>
      <c r="G1493" s="194">
        <v>0</v>
      </c>
      <c r="H1493" s="195">
        <f t="shared" si="23"/>
        <v>0</v>
      </c>
      <c r="I1493" s="212" t="s">
        <v>2354</v>
      </c>
    </row>
    <row r="1494" spans="1:9" x14ac:dyDescent="0.25">
      <c r="A1494" s="193" t="s">
        <v>220</v>
      </c>
      <c r="B1494" s="193" t="s">
        <v>2351</v>
      </c>
      <c r="C1494" s="214" t="s">
        <v>3223</v>
      </c>
      <c r="D1494" s="193" t="s">
        <v>3224</v>
      </c>
      <c r="E1494" s="212" t="s">
        <v>545</v>
      </c>
      <c r="F1494" s="215">
        <v>7</v>
      </c>
      <c r="G1494" s="194">
        <v>1.5</v>
      </c>
      <c r="H1494" s="195">
        <f t="shared" si="23"/>
        <v>10.5</v>
      </c>
      <c r="I1494" s="212" t="s">
        <v>2354</v>
      </c>
    </row>
    <row r="1495" spans="1:9" x14ac:dyDescent="0.25">
      <c r="A1495" s="193" t="s">
        <v>220</v>
      </c>
      <c r="B1495" s="193" t="s">
        <v>2351</v>
      </c>
      <c r="C1495" s="214" t="s">
        <v>3225</v>
      </c>
      <c r="D1495" s="193" t="s">
        <v>3226</v>
      </c>
      <c r="E1495" s="212" t="s">
        <v>545</v>
      </c>
      <c r="F1495" s="215">
        <v>19</v>
      </c>
      <c r="G1495" s="194">
        <v>1.3130999999999999</v>
      </c>
      <c r="H1495" s="195">
        <f t="shared" si="23"/>
        <v>24.948899999999998</v>
      </c>
      <c r="I1495" s="212" t="s">
        <v>2354</v>
      </c>
    </row>
    <row r="1496" spans="1:9" x14ac:dyDescent="0.25">
      <c r="A1496" s="193" t="s">
        <v>220</v>
      </c>
      <c r="B1496" s="193" t="s">
        <v>2351</v>
      </c>
      <c r="C1496" s="214" t="s">
        <v>3227</v>
      </c>
      <c r="D1496" s="193" t="s">
        <v>3228</v>
      </c>
      <c r="E1496" s="212" t="s">
        <v>545</v>
      </c>
      <c r="F1496" s="215">
        <v>5</v>
      </c>
      <c r="G1496" s="194">
        <v>2.3380000000000001</v>
      </c>
      <c r="H1496" s="195">
        <f t="shared" si="23"/>
        <v>11.690000000000001</v>
      </c>
      <c r="I1496" s="212" t="s">
        <v>2354</v>
      </c>
    </row>
    <row r="1497" spans="1:9" x14ac:dyDescent="0.25">
      <c r="A1497" s="193" t="s">
        <v>220</v>
      </c>
      <c r="B1497" s="193" t="s">
        <v>2351</v>
      </c>
      <c r="C1497" s="214" t="s">
        <v>3229</v>
      </c>
      <c r="D1497" s="193" t="s">
        <v>3230</v>
      </c>
      <c r="E1497" s="212" t="s">
        <v>545</v>
      </c>
      <c r="F1497" s="215">
        <v>5</v>
      </c>
      <c r="G1497" s="194">
        <v>0.88700000000000001</v>
      </c>
      <c r="H1497" s="195">
        <f t="shared" si="23"/>
        <v>4.4350000000000005</v>
      </c>
      <c r="I1497" s="212" t="s">
        <v>2354</v>
      </c>
    </row>
    <row r="1498" spans="1:9" x14ac:dyDescent="0.25">
      <c r="A1498" s="193" t="s">
        <v>220</v>
      </c>
      <c r="B1498" s="193" t="s">
        <v>2351</v>
      </c>
      <c r="C1498" s="214" t="s">
        <v>3231</v>
      </c>
      <c r="D1498" s="193" t="s">
        <v>3232</v>
      </c>
      <c r="E1498" s="212" t="s">
        <v>545</v>
      </c>
      <c r="F1498" s="215">
        <v>9</v>
      </c>
      <c r="G1498" s="194">
        <v>2.1303000000000001</v>
      </c>
      <c r="H1498" s="195">
        <f t="shared" si="23"/>
        <v>19.172699999999999</v>
      </c>
      <c r="I1498" s="212" t="s">
        <v>2354</v>
      </c>
    </row>
    <row r="1499" spans="1:9" x14ac:dyDescent="0.25">
      <c r="A1499" s="193" t="s">
        <v>220</v>
      </c>
      <c r="B1499" s="193" t="s">
        <v>2351</v>
      </c>
      <c r="C1499" s="214" t="s">
        <v>3233</v>
      </c>
      <c r="D1499" s="193" t="s">
        <v>3234</v>
      </c>
      <c r="E1499" s="212" t="s">
        <v>545</v>
      </c>
      <c r="F1499" s="215">
        <v>3</v>
      </c>
      <c r="G1499" s="194">
        <v>3.5009999999999999</v>
      </c>
      <c r="H1499" s="195">
        <f t="shared" si="23"/>
        <v>10.503</v>
      </c>
      <c r="I1499" s="212" t="s">
        <v>2354</v>
      </c>
    </row>
    <row r="1500" spans="1:9" x14ac:dyDescent="0.25">
      <c r="A1500" s="193" t="s">
        <v>220</v>
      </c>
      <c r="B1500" s="193" t="s">
        <v>2351</v>
      </c>
      <c r="C1500" s="214" t="s">
        <v>3235</v>
      </c>
      <c r="D1500" s="193" t="s">
        <v>3236</v>
      </c>
      <c r="E1500" s="212" t="s">
        <v>545</v>
      </c>
      <c r="F1500" s="215">
        <v>2</v>
      </c>
      <c r="G1500" s="194">
        <v>8.9250000000000007</v>
      </c>
      <c r="H1500" s="195">
        <f t="shared" si="23"/>
        <v>17.850000000000001</v>
      </c>
      <c r="I1500" s="212" t="s">
        <v>2354</v>
      </c>
    </row>
    <row r="1501" spans="1:9" x14ac:dyDescent="0.25">
      <c r="A1501" s="193" t="s">
        <v>220</v>
      </c>
      <c r="B1501" s="193" t="s">
        <v>2351</v>
      </c>
      <c r="C1501" s="214" t="s">
        <v>3237</v>
      </c>
      <c r="D1501" s="193" t="s">
        <v>3238</v>
      </c>
      <c r="E1501" s="212" t="s">
        <v>545</v>
      </c>
      <c r="F1501" s="215">
        <v>6</v>
      </c>
      <c r="G1501" s="194">
        <v>45.576999999999998</v>
      </c>
      <c r="H1501" s="195">
        <f t="shared" si="23"/>
        <v>273.46199999999999</v>
      </c>
      <c r="I1501" s="212" t="s">
        <v>2354</v>
      </c>
    </row>
    <row r="1502" spans="1:9" x14ac:dyDescent="0.25">
      <c r="A1502" s="193" t="s">
        <v>220</v>
      </c>
      <c r="B1502" s="193" t="s">
        <v>2351</v>
      </c>
      <c r="C1502" s="214" t="s">
        <v>3239</v>
      </c>
      <c r="D1502" s="193" t="s">
        <v>3240</v>
      </c>
      <c r="E1502" s="212" t="s">
        <v>545</v>
      </c>
      <c r="F1502" s="215">
        <v>1</v>
      </c>
      <c r="G1502" s="194">
        <v>88.346874999999983</v>
      </c>
      <c r="H1502" s="195">
        <f t="shared" si="23"/>
        <v>88.346874999999983</v>
      </c>
      <c r="I1502" s="212" t="s">
        <v>2354</v>
      </c>
    </row>
    <row r="1503" spans="1:9" x14ac:dyDescent="0.25">
      <c r="A1503" s="193" t="s">
        <v>220</v>
      </c>
      <c r="B1503" s="193" t="s">
        <v>2351</v>
      </c>
      <c r="C1503" s="214" t="s">
        <v>3241</v>
      </c>
      <c r="D1503" s="193" t="s">
        <v>3242</v>
      </c>
      <c r="E1503" s="212" t="s">
        <v>545</v>
      </c>
      <c r="F1503" s="215">
        <v>2</v>
      </c>
      <c r="G1503" s="194">
        <v>84.96</v>
      </c>
      <c r="H1503" s="195">
        <f t="shared" si="23"/>
        <v>169.92</v>
      </c>
      <c r="I1503" s="212" t="s">
        <v>2354</v>
      </c>
    </row>
    <row r="1504" spans="1:9" x14ac:dyDescent="0.25">
      <c r="A1504" s="193" t="s">
        <v>220</v>
      </c>
      <c r="B1504" s="193" t="s">
        <v>2351</v>
      </c>
      <c r="C1504" s="214" t="s">
        <v>3243</v>
      </c>
      <c r="D1504" s="193" t="s">
        <v>3244</v>
      </c>
      <c r="E1504" s="212" t="s">
        <v>545</v>
      </c>
      <c r="F1504" s="215">
        <v>1</v>
      </c>
      <c r="G1504" s="194">
        <v>38.771999999999998</v>
      </c>
      <c r="H1504" s="195">
        <f t="shared" si="23"/>
        <v>38.771999999999998</v>
      </c>
      <c r="I1504" s="212" t="s">
        <v>2354</v>
      </c>
    </row>
    <row r="1505" spans="1:9" x14ac:dyDescent="0.25">
      <c r="A1505" s="193" t="s">
        <v>220</v>
      </c>
      <c r="B1505" s="193" t="s">
        <v>2351</v>
      </c>
      <c r="C1505" s="214" t="s">
        <v>3245</v>
      </c>
      <c r="D1505" s="193" t="s">
        <v>3246</v>
      </c>
      <c r="E1505" s="212" t="s">
        <v>545</v>
      </c>
      <c r="F1505" s="215">
        <v>6</v>
      </c>
      <c r="G1505" s="194">
        <v>15.0642</v>
      </c>
      <c r="H1505" s="195">
        <f t="shared" si="23"/>
        <v>90.385199999999998</v>
      </c>
      <c r="I1505" s="212" t="s">
        <v>2354</v>
      </c>
    </row>
    <row r="1506" spans="1:9" x14ac:dyDescent="0.25">
      <c r="A1506" s="193" t="s">
        <v>220</v>
      </c>
      <c r="B1506" s="193" t="s">
        <v>2351</v>
      </c>
      <c r="C1506" s="214" t="s">
        <v>3247</v>
      </c>
      <c r="D1506" s="193" t="s">
        <v>3248</v>
      </c>
      <c r="E1506" s="212" t="s">
        <v>545</v>
      </c>
      <c r="F1506" s="215">
        <v>2</v>
      </c>
      <c r="G1506" s="194">
        <v>23.836500000000001</v>
      </c>
      <c r="H1506" s="195">
        <f t="shared" si="23"/>
        <v>47.673000000000002</v>
      </c>
      <c r="I1506" s="212" t="s">
        <v>2354</v>
      </c>
    </row>
    <row r="1507" spans="1:9" x14ac:dyDescent="0.25">
      <c r="A1507" s="193" t="s">
        <v>220</v>
      </c>
      <c r="B1507" s="193" t="s">
        <v>2351</v>
      </c>
      <c r="C1507" s="214" t="s">
        <v>3249</v>
      </c>
      <c r="D1507" s="193" t="s">
        <v>3250</v>
      </c>
      <c r="E1507" s="212" t="s">
        <v>545</v>
      </c>
      <c r="F1507" s="215">
        <v>5</v>
      </c>
      <c r="G1507" s="194">
        <v>5.4981</v>
      </c>
      <c r="H1507" s="195">
        <f t="shared" si="23"/>
        <v>27.490500000000001</v>
      </c>
      <c r="I1507" s="212" t="s">
        <v>2354</v>
      </c>
    </row>
    <row r="1508" spans="1:9" x14ac:dyDescent="0.25">
      <c r="A1508" s="193" t="s">
        <v>220</v>
      </c>
      <c r="B1508" s="193" t="s">
        <v>2351</v>
      </c>
      <c r="C1508" s="214" t="s">
        <v>3251</v>
      </c>
      <c r="D1508" s="193" t="s">
        <v>3252</v>
      </c>
      <c r="E1508" s="212" t="s">
        <v>545</v>
      </c>
      <c r="F1508" s="215">
        <v>7</v>
      </c>
      <c r="G1508" s="194">
        <v>3.3184</v>
      </c>
      <c r="H1508" s="195">
        <f t="shared" si="23"/>
        <v>23.2288</v>
      </c>
      <c r="I1508" s="212" t="s">
        <v>2354</v>
      </c>
    </row>
    <row r="1509" spans="1:9" x14ac:dyDescent="0.25">
      <c r="A1509" s="193" t="s">
        <v>220</v>
      </c>
      <c r="B1509" s="193" t="s">
        <v>2351</v>
      </c>
      <c r="C1509" s="214" t="s">
        <v>3253</v>
      </c>
      <c r="D1509" s="193" t="s">
        <v>3254</v>
      </c>
      <c r="E1509" s="212" t="s">
        <v>545</v>
      </c>
      <c r="F1509" s="215">
        <v>40</v>
      </c>
      <c r="G1509" s="194">
        <v>0.58650000000000002</v>
      </c>
      <c r="H1509" s="195">
        <f t="shared" si="23"/>
        <v>23.46</v>
      </c>
      <c r="I1509" s="212" t="s">
        <v>2354</v>
      </c>
    </row>
    <row r="1510" spans="1:9" x14ac:dyDescent="0.25">
      <c r="A1510" s="193" t="s">
        <v>220</v>
      </c>
      <c r="B1510" s="193" t="s">
        <v>2351</v>
      </c>
      <c r="C1510" s="214" t="s">
        <v>3255</v>
      </c>
      <c r="D1510" s="193" t="s">
        <v>3256</v>
      </c>
      <c r="E1510" s="212" t="s">
        <v>545</v>
      </c>
      <c r="F1510" s="215">
        <v>2</v>
      </c>
      <c r="G1510" s="194">
        <v>6.6790000000000003</v>
      </c>
      <c r="H1510" s="195">
        <f t="shared" si="23"/>
        <v>13.358000000000001</v>
      </c>
      <c r="I1510" s="212" t="s">
        <v>2354</v>
      </c>
    </row>
    <row r="1511" spans="1:9" x14ac:dyDescent="0.25">
      <c r="A1511" s="193" t="s">
        <v>220</v>
      </c>
      <c r="B1511" s="193" t="s">
        <v>2351</v>
      </c>
      <c r="C1511" s="214" t="s">
        <v>3257</v>
      </c>
      <c r="D1511" s="193" t="s">
        <v>3258</v>
      </c>
      <c r="E1511" s="212" t="s">
        <v>545</v>
      </c>
      <c r="F1511" s="215">
        <v>2</v>
      </c>
      <c r="G1511" s="194">
        <v>13.855</v>
      </c>
      <c r="H1511" s="195">
        <f t="shared" si="23"/>
        <v>27.71</v>
      </c>
      <c r="I1511" s="212" t="s">
        <v>2354</v>
      </c>
    </row>
    <row r="1512" spans="1:9" x14ac:dyDescent="0.25">
      <c r="A1512" s="193" t="s">
        <v>220</v>
      </c>
      <c r="B1512" s="193" t="s">
        <v>2351</v>
      </c>
      <c r="C1512" s="214" t="s">
        <v>3259</v>
      </c>
      <c r="D1512" s="193" t="s">
        <v>3260</v>
      </c>
      <c r="E1512" s="212" t="s">
        <v>545</v>
      </c>
      <c r="F1512" s="215">
        <v>2</v>
      </c>
      <c r="G1512" s="194">
        <v>22.513499999999997</v>
      </c>
      <c r="H1512" s="195">
        <f t="shared" si="23"/>
        <v>45.026999999999994</v>
      </c>
      <c r="I1512" s="212" t="s">
        <v>2354</v>
      </c>
    </row>
    <row r="1513" spans="1:9" x14ac:dyDescent="0.25">
      <c r="A1513" s="193" t="s">
        <v>220</v>
      </c>
      <c r="B1513" s="193" t="s">
        <v>2351</v>
      </c>
      <c r="C1513" s="214" t="s">
        <v>3261</v>
      </c>
      <c r="D1513" s="193" t="s">
        <v>3262</v>
      </c>
      <c r="E1513" s="212" t="s">
        <v>545</v>
      </c>
      <c r="F1513" s="215">
        <v>14</v>
      </c>
      <c r="G1513" s="194">
        <v>3.7618799999999997</v>
      </c>
      <c r="H1513" s="195">
        <f t="shared" si="23"/>
        <v>52.666319999999999</v>
      </c>
      <c r="I1513" s="212" t="s">
        <v>2354</v>
      </c>
    </row>
    <row r="1514" spans="1:9" x14ac:dyDescent="0.25">
      <c r="A1514" s="193" t="s">
        <v>220</v>
      </c>
      <c r="B1514" s="193" t="s">
        <v>2351</v>
      </c>
      <c r="C1514" s="214" t="s">
        <v>3263</v>
      </c>
      <c r="D1514" s="193" t="s">
        <v>3264</v>
      </c>
      <c r="E1514" s="212" t="s">
        <v>545</v>
      </c>
      <c r="F1514" s="215">
        <v>1</v>
      </c>
      <c r="G1514" s="194">
        <v>26.308</v>
      </c>
      <c r="H1514" s="195">
        <f t="shared" si="23"/>
        <v>26.308</v>
      </c>
      <c r="I1514" s="212" t="s">
        <v>2354</v>
      </c>
    </row>
    <row r="1515" spans="1:9" x14ac:dyDescent="0.25">
      <c r="A1515" s="193" t="s">
        <v>220</v>
      </c>
      <c r="B1515" s="193" t="s">
        <v>2351</v>
      </c>
      <c r="C1515" s="214" t="s">
        <v>3265</v>
      </c>
      <c r="D1515" s="193" t="s">
        <v>3266</v>
      </c>
      <c r="E1515" s="212" t="s">
        <v>545</v>
      </c>
      <c r="F1515" s="215">
        <v>7</v>
      </c>
      <c r="G1515" s="194">
        <v>44.594999999999999</v>
      </c>
      <c r="H1515" s="195">
        <f t="shared" si="23"/>
        <v>312.16499999999996</v>
      </c>
      <c r="I1515" s="212" t="s">
        <v>2354</v>
      </c>
    </row>
    <row r="1516" spans="1:9" x14ac:dyDescent="0.25">
      <c r="A1516" s="193" t="s">
        <v>220</v>
      </c>
      <c r="B1516" s="193" t="s">
        <v>2351</v>
      </c>
      <c r="C1516" s="214" t="s">
        <v>3267</v>
      </c>
      <c r="D1516" s="193" t="s">
        <v>3268</v>
      </c>
      <c r="E1516" s="212" t="s">
        <v>545</v>
      </c>
      <c r="F1516" s="215">
        <v>2</v>
      </c>
      <c r="G1516" s="194">
        <v>16.214741666666665</v>
      </c>
      <c r="H1516" s="195">
        <f t="shared" si="23"/>
        <v>32.42948333333333</v>
      </c>
      <c r="I1516" s="212" t="s">
        <v>2354</v>
      </c>
    </row>
    <row r="1517" spans="1:9" x14ac:dyDescent="0.25">
      <c r="A1517" s="193" t="s">
        <v>220</v>
      </c>
      <c r="B1517" s="193" t="s">
        <v>2351</v>
      </c>
      <c r="C1517" s="214" t="s">
        <v>3269</v>
      </c>
      <c r="D1517" s="193" t="s">
        <v>3270</v>
      </c>
      <c r="E1517" s="212" t="s">
        <v>545</v>
      </c>
      <c r="F1517" s="215">
        <v>6</v>
      </c>
      <c r="G1517" s="194">
        <v>12.332700000000001</v>
      </c>
      <c r="H1517" s="195">
        <f t="shared" si="23"/>
        <v>73.996200000000002</v>
      </c>
      <c r="I1517" s="212" t="s">
        <v>2354</v>
      </c>
    </row>
    <row r="1518" spans="1:9" x14ac:dyDescent="0.25">
      <c r="A1518" s="193" t="s">
        <v>220</v>
      </c>
      <c r="B1518" s="193" t="s">
        <v>2351</v>
      </c>
      <c r="C1518" s="214" t="s">
        <v>3271</v>
      </c>
      <c r="D1518" s="193" t="s">
        <v>3272</v>
      </c>
      <c r="E1518" s="212" t="s">
        <v>545</v>
      </c>
      <c r="F1518" s="215">
        <v>2</v>
      </c>
      <c r="G1518" s="194">
        <v>44.965000000000003</v>
      </c>
      <c r="H1518" s="195">
        <f t="shared" si="23"/>
        <v>89.93</v>
      </c>
      <c r="I1518" s="212" t="s">
        <v>2354</v>
      </c>
    </row>
    <row r="1519" spans="1:9" x14ac:dyDescent="0.25">
      <c r="A1519" s="193" t="s">
        <v>220</v>
      </c>
      <c r="B1519" s="193" t="s">
        <v>2351</v>
      </c>
      <c r="C1519" s="214" t="s">
        <v>3273</v>
      </c>
      <c r="D1519" s="193" t="s">
        <v>3274</v>
      </c>
      <c r="E1519" s="212" t="s">
        <v>545</v>
      </c>
      <c r="F1519" s="215">
        <v>20</v>
      </c>
      <c r="G1519" s="194">
        <v>5.9912121212121212</v>
      </c>
      <c r="H1519" s="195">
        <f t="shared" si="23"/>
        <v>119.82424242424243</v>
      </c>
      <c r="I1519" s="212" t="s">
        <v>2354</v>
      </c>
    </row>
    <row r="1520" spans="1:9" x14ac:dyDescent="0.25">
      <c r="A1520" s="193" t="s">
        <v>220</v>
      </c>
      <c r="B1520" s="193" t="s">
        <v>2351</v>
      </c>
      <c r="C1520" s="214" t="s">
        <v>3275</v>
      </c>
      <c r="D1520" s="193" t="s">
        <v>3276</v>
      </c>
      <c r="E1520" s="212" t="s">
        <v>545</v>
      </c>
      <c r="F1520" s="215">
        <v>15</v>
      </c>
      <c r="G1520" s="194">
        <v>0.83979999999999999</v>
      </c>
      <c r="H1520" s="195">
        <f t="shared" si="23"/>
        <v>12.597</v>
      </c>
      <c r="I1520" s="212" t="s">
        <v>2354</v>
      </c>
    </row>
    <row r="1521" spans="1:9" x14ac:dyDescent="0.25">
      <c r="A1521" s="193" t="s">
        <v>220</v>
      </c>
      <c r="B1521" s="193" t="s">
        <v>2351</v>
      </c>
      <c r="C1521" s="214" t="s">
        <v>3277</v>
      </c>
      <c r="D1521" s="193" t="s">
        <v>3278</v>
      </c>
      <c r="E1521" s="212" t="s">
        <v>545</v>
      </c>
      <c r="F1521" s="215">
        <v>5</v>
      </c>
      <c r="G1521" s="194">
        <v>1.048</v>
      </c>
      <c r="H1521" s="195">
        <f t="shared" si="23"/>
        <v>5.24</v>
      </c>
      <c r="I1521" s="212" t="s">
        <v>2354</v>
      </c>
    </row>
    <row r="1522" spans="1:9" x14ac:dyDescent="0.25">
      <c r="A1522" s="193" t="s">
        <v>220</v>
      </c>
      <c r="B1522" s="193" t="s">
        <v>2351</v>
      </c>
      <c r="C1522" s="214" t="s">
        <v>3279</v>
      </c>
      <c r="D1522" s="193" t="s">
        <v>3280</v>
      </c>
      <c r="E1522" s="212" t="s">
        <v>545</v>
      </c>
      <c r="F1522" s="215">
        <v>5</v>
      </c>
      <c r="G1522" s="194">
        <v>2.6389999999999998</v>
      </c>
      <c r="H1522" s="195">
        <f t="shared" si="23"/>
        <v>13.194999999999999</v>
      </c>
      <c r="I1522" s="212" t="s">
        <v>2354</v>
      </c>
    </row>
    <row r="1523" spans="1:9" x14ac:dyDescent="0.25">
      <c r="A1523" s="193" t="s">
        <v>220</v>
      </c>
      <c r="B1523" s="193" t="s">
        <v>2351</v>
      </c>
      <c r="C1523" s="214" t="s">
        <v>3281</v>
      </c>
      <c r="D1523" s="193" t="s">
        <v>3282</v>
      </c>
      <c r="E1523" s="212" t="s">
        <v>545</v>
      </c>
      <c r="F1523" s="215">
        <v>2</v>
      </c>
      <c r="G1523" s="194">
        <v>4.6609999999999996</v>
      </c>
      <c r="H1523" s="195">
        <f t="shared" si="23"/>
        <v>9.3219999999999992</v>
      </c>
      <c r="I1523" s="212" t="s">
        <v>2354</v>
      </c>
    </row>
    <row r="1524" spans="1:9" x14ac:dyDescent="0.25">
      <c r="A1524" s="193" t="s">
        <v>220</v>
      </c>
      <c r="B1524" s="193" t="s">
        <v>2351</v>
      </c>
      <c r="C1524" s="214" t="s">
        <v>3283</v>
      </c>
      <c r="D1524" s="193" t="s">
        <v>3284</v>
      </c>
      <c r="E1524" s="212" t="s">
        <v>545</v>
      </c>
      <c r="F1524" s="215">
        <v>4</v>
      </c>
      <c r="G1524" s="194">
        <v>4.1541066666666673</v>
      </c>
      <c r="H1524" s="195">
        <f t="shared" si="23"/>
        <v>16.616426666666669</v>
      </c>
      <c r="I1524" s="212" t="s">
        <v>2354</v>
      </c>
    </row>
    <row r="1525" spans="1:9" x14ac:dyDescent="0.25">
      <c r="A1525" s="193" t="s">
        <v>220</v>
      </c>
      <c r="B1525" s="193" t="s">
        <v>2351</v>
      </c>
      <c r="C1525" s="214" t="s">
        <v>3285</v>
      </c>
      <c r="D1525" s="193" t="s">
        <v>3286</v>
      </c>
      <c r="E1525" s="212" t="s">
        <v>545</v>
      </c>
      <c r="F1525" s="215">
        <v>15</v>
      </c>
      <c r="G1525" s="194">
        <v>11.2506</v>
      </c>
      <c r="H1525" s="195">
        <f t="shared" si="23"/>
        <v>168.75900000000001</v>
      </c>
      <c r="I1525" s="212" t="s">
        <v>2354</v>
      </c>
    </row>
    <row r="1526" spans="1:9" x14ac:dyDescent="0.25">
      <c r="A1526" s="193" t="s">
        <v>220</v>
      </c>
      <c r="B1526" s="193" t="s">
        <v>2351</v>
      </c>
      <c r="C1526" s="214" t="s">
        <v>3287</v>
      </c>
      <c r="D1526" s="193" t="s">
        <v>3288</v>
      </c>
      <c r="E1526" s="212" t="s">
        <v>545</v>
      </c>
      <c r="F1526" s="215">
        <v>5</v>
      </c>
      <c r="G1526" s="194">
        <v>9.2750000000000004</v>
      </c>
      <c r="H1526" s="195">
        <f t="shared" si="23"/>
        <v>46.375</v>
      </c>
      <c r="I1526" s="212" t="s">
        <v>2354</v>
      </c>
    </row>
    <row r="1527" spans="1:9" x14ac:dyDescent="0.25">
      <c r="A1527" s="193" t="s">
        <v>220</v>
      </c>
      <c r="B1527" s="193" t="s">
        <v>2351</v>
      </c>
      <c r="C1527" s="214" t="s">
        <v>3289</v>
      </c>
      <c r="D1527" s="193" t="s">
        <v>3290</v>
      </c>
      <c r="E1527" s="212" t="s">
        <v>545</v>
      </c>
      <c r="F1527" s="215">
        <v>20</v>
      </c>
      <c r="G1527" s="194">
        <v>2.0020000000000002</v>
      </c>
      <c r="H1527" s="195">
        <f t="shared" si="23"/>
        <v>40.040000000000006</v>
      </c>
      <c r="I1527" s="212" t="s">
        <v>2354</v>
      </c>
    </row>
    <row r="1528" spans="1:9" x14ac:dyDescent="0.25">
      <c r="A1528" s="193" t="s">
        <v>220</v>
      </c>
      <c r="B1528" s="193" t="s">
        <v>2351</v>
      </c>
      <c r="C1528" s="214" t="s">
        <v>3291</v>
      </c>
      <c r="D1528" s="193" t="s">
        <v>3292</v>
      </c>
      <c r="E1528" s="212" t="s">
        <v>545</v>
      </c>
      <c r="F1528" s="215">
        <v>1</v>
      </c>
      <c r="G1528" s="194">
        <v>4.2069999999999999</v>
      </c>
      <c r="H1528" s="195">
        <f t="shared" si="23"/>
        <v>4.2069999999999999</v>
      </c>
      <c r="I1528" s="212" t="s">
        <v>2354</v>
      </c>
    </row>
    <row r="1529" spans="1:9" x14ac:dyDescent="0.25">
      <c r="A1529" s="193" t="s">
        <v>220</v>
      </c>
      <c r="B1529" s="193" t="s">
        <v>2351</v>
      </c>
      <c r="C1529" s="214" t="s">
        <v>3293</v>
      </c>
      <c r="D1529" s="193" t="s">
        <v>3294</v>
      </c>
      <c r="E1529" s="212" t="s">
        <v>545</v>
      </c>
      <c r="F1529" s="215">
        <v>13</v>
      </c>
      <c r="G1529" s="194">
        <v>1.105</v>
      </c>
      <c r="H1529" s="195">
        <f t="shared" si="23"/>
        <v>14.365</v>
      </c>
      <c r="I1529" s="212" t="s">
        <v>2354</v>
      </c>
    </row>
    <row r="1530" spans="1:9" x14ac:dyDescent="0.25">
      <c r="A1530" s="193" t="s">
        <v>220</v>
      </c>
      <c r="B1530" s="193" t="s">
        <v>2351</v>
      </c>
      <c r="C1530" s="214" t="s">
        <v>3295</v>
      </c>
      <c r="D1530" s="193" t="s">
        <v>3296</v>
      </c>
      <c r="E1530" s="212" t="s">
        <v>545</v>
      </c>
      <c r="F1530" s="215">
        <v>6</v>
      </c>
      <c r="G1530" s="194">
        <v>3.3797142857142854</v>
      </c>
      <c r="H1530" s="195">
        <f t="shared" si="23"/>
        <v>20.278285714285712</v>
      </c>
      <c r="I1530" s="212" t="s">
        <v>2354</v>
      </c>
    </row>
    <row r="1531" spans="1:9" x14ac:dyDescent="0.25">
      <c r="A1531" s="193" t="s">
        <v>220</v>
      </c>
      <c r="B1531" s="193" t="s">
        <v>2351</v>
      </c>
      <c r="C1531" s="214" t="s">
        <v>3297</v>
      </c>
      <c r="D1531" s="193" t="s">
        <v>3298</v>
      </c>
      <c r="E1531" s="212" t="s">
        <v>545</v>
      </c>
      <c r="F1531" s="215">
        <v>2</v>
      </c>
      <c r="G1531" s="194">
        <v>2.3119999999999998</v>
      </c>
      <c r="H1531" s="195">
        <f t="shared" si="23"/>
        <v>4.6239999999999997</v>
      </c>
      <c r="I1531" s="212" t="s">
        <v>2354</v>
      </c>
    </row>
    <row r="1532" spans="1:9" x14ac:dyDescent="0.25">
      <c r="A1532" s="193" t="s">
        <v>220</v>
      </c>
      <c r="B1532" s="193" t="s">
        <v>2351</v>
      </c>
      <c r="C1532" s="214" t="s">
        <v>3299</v>
      </c>
      <c r="D1532" s="193" t="s">
        <v>3300</v>
      </c>
      <c r="E1532" s="212" t="s">
        <v>545</v>
      </c>
      <c r="F1532" s="215">
        <v>3</v>
      </c>
      <c r="G1532" s="194">
        <v>14.5512</v>
      </c>
      <c r="H1532" s="195">
        <f t="shared" si="23"/>
        <v>43.653599999999997</v>
      </c>
      <c r="I1532" s="212" t="s">
        <v>2354</v>
      </c>
    </row>
    <row r="1533" spans="1:9" x14ac:dyDescent="0.25">
      <c r="A1533" s="193" t="s">
        <v>220</v>
      </c>
      <c r="B1533" s="193" t="s">
        <v>2351</v>
      </c>
      <c r="C1533" s="214" t="s">
        <v>3301</v>
      </c>
      <c r="D1533" s="193" t="s">
        <v>3302</v>
      </c>
      <c r="E1533" s="212" t="s">
        <v>545</v>
      </c>
      <c r="F1533" s="215">
        <v>4</v>
      </c>
      <c r="G1533" s="194">
        <v>20.162183333333335</v>
      </c>
      <c r="H1533" s="195">
        <f t="shared" si="23"/>
        <v>80.64873333333334</v>
      </c>
      <c r="I1533" s="212" t="s">
        <v>2354</v>
      </c>
    </row>
    <row r="1534" spans="1:9" x14ac:dyDescent="0.25">
      <c r="A1534" s="193" t="s">
        <v>220</v>
      </c>
      <c r="B1534" s="193" t="s">
        <v>2351</v>
      </c>
      <c r="C1534" s="214" t="s">
        <v>3303</v>
      </c>
      <c r="D1534" s="193" t="s">
        <v>3304</v>
      </c>
      <c r="E1534" s="212" t="s">
        <v>545</v>
      </c>
      <c r="F1534" s="215">
        <v>5</v>
      </c>
      <c r="G1534" s="194">
        <v>6.5119999999999996</v>
      </c>
      <c r="H1534" s="195">
        <f t="shared" si="23"/>
        <v>32.559999999999995</v>
      </c>
      <c r="I1534" s="212" t="s">
        <v>2354</v>
      </c>
    </row>
    <row r="1535" spans="1:9" x14ac:dyDescent="0.25">
      <c r="A1535" s="193" t="s">
        <v>220</v>
      </c>
      <c r="B1535" s="193" t="s">
        <v>2351</v>
      </c>
      <c r="C1535" s="214" t="s">
        <v>3305</v>
      </c>
      <c r="D1535" s="193" t="s">
        <v>3306</v>
      </c>
      <c r="E1535" s="212" t="s">
        <v>545</v>
      </c>
      <c r="F1535" s="215">
        <v>4</v>
      </c>
      <c r="G1535" s="194">
        <v>4.9580000000000002</v>
      </c>
      <c r="H1535" s="195">
        <f t="shared" si="23"/>
        <v>19.832000000000001</v>
      </c>
      <c r="I1535" s="212" t="s">
        <v>2354</v>
      </c>
    </row>
    <row r="1536" spans="1:9" x14ac:dyDescent="0.25">
      <c r="A1536" s="193" t="s">
        <v>220</v>
      </c>
      <c r="B1536" s="193" t="s">
        <v>2351</v>
      </c>
      <c r="C1536" s="214" t="s">
        <v>3307</v>
      </c>
      <c r="D1536" s="193" t="s">
        <v>3308</v>
      </c>
      <c r="E1536" s="212" t="s">
        <v>545</v>
      </c>
      <c r="F1536" s="215">
        <v>1</v>
      </c>
      <c r="G1536" s="194">
        <v>4.6580000000000004</v>
      </c>
      <c r="H1536" s="195">
        <f t="shared" si="23"/>
        <v>4.6580000000000004</v>
      </c>
      <c r="I1536" s="212" t="s">
        <v>2354</v>
      </c>
    </row>
    <row r="1537" spans="1:9" x14ac:dyDescent="0.25">
      <c r="A1537" s="193" t="s">
        <v>220</v>
      </c>
      <c r="B1537" s="193" t="s">
        <v>2351</v>
      </c>
      <c r="C1537" s="214" t="s">
        <v>3309</v>
      </c>
      <c r="D1537" s="193" t="s">
        <v>3310</v>
      </c>
      <c r="E1537" s="212" t="s">
        <v>545</v>
      </c>
      <c r="F1537" s="215">
        <v>4</v>
      </c>
      <c r="G1537" s="194">
        <v>31.043700000000001</v>
      </c>
      <c r="H1537" s="195">
        <f t="shared" si="23"/>
        <v>124.1748</v>
      </c>
      <c r="I1537" s="212" t="s">
        <v>2354</v>
      </c>
    </row>
    <row r="1538" spans="1:9" x14ac:dyDescent="0.25">
      <c r="A1538" s="193" t="s">
        <v>220</v>
      </c>
      <c r="B1538" s="193" t="s">
        <v>2351</v>
      </c>
      <c r="C1538" s="214" t="s">
        <v>3311</v>
      </c>
      <c r="D1538" s="193" t="s">
        <v>3312</v>
      </c>
      <c r="E1538" s="212" t="s">
        <v>545</v>
      </c>
      <c r="F1538" s="215">
        <v>2</v>
      </c>
      <c r="G1538" s="194">
        <v>19.089300000000001</v>
      </c>
      <c r="H1538" s="195">
        <f t="shared" si="23"/>
        <v>38.178600000000003</v>
      </c>
      <c r="I1538" s="212" t="s">
        <v>2354</v>
      </c>
    </row>
    <row r="1539" spans="1:9" x14ac:dyDescent="0.25">
      <c r="A1539" s="193" t="s">
        <v>220</v>
      </c>
      <c r="B1539" s="193" t="s">
        <v>2351</v>
      </c>
      <c r="C1539" s="214" t="s">
        <v>3313</v>
      </c>
      <c r="D1539" s="193" t="s">
        <v>3314</v>
      </c>
      <c r="E1539" s="212" t="s">
        <v>545</v>
      </c>
      <c r="F1539" s="215">
        <v>3</v>
      </c>
      <c r="G1539" s="194">
        <v>2.75</v>
      </c>
      <c r="H1539" s="195">
        <f t="shared" si="23"/>
        <v>8.25</v>
      </c>
      <c r="I1539" s="212" t="s">
        <v>2354</v>
      </c>
    </row>
    <row r="1540" spans="1:9" x14ac:dyDescent="0.25">
      <c r="A1540" s="193" t="s">
        <v>220</v>
      </c>
      <c r="B1540" s="193" t="s">
        <v>2351</v>
      </c>
      <c r="C1540" s="214" t="s">
        <v>3315</v>
      </c>
      <c r="D1540" s="193" t="s">
        <v>3316</v>
      </c>
      <c r="E1540" s="212" t="s">
        <v>545</v>
      </c>
      <c r="F1540" s="215">
        <v>5</v>
      </c>
      <c r="G1540" s="194">
        <v>4.1684000000000001</v>
      </c>
      <c r="H1540" s="195">
        <f t="shared" si="23"/>
        <v>20.841999999999999</v>
      </c>
      <c r="I1540" s="212" t="s">
        <v>2354</v>
      </c>
    </row>
    <row r="1541" spans="1:9" x14ac:dyDescent="0.25">
      <c r="A1541" s="193" t="s">
        <v>220</v>
      </c>
      <c r="B1541" s="193" t="s">
        <v>2351</v>
      </c>
      <c r="C1541" s="214" t="s">
        <v>3317</v>
      </c>
      <c r="D1541" s="193" t="s">
        <v>3318</v>
      </c>
      <c r="E1541" s="212" t="s">
        <v>545</v>
      </c>
      <c r="F1541" s="215">
        <v>3</v>
      </c>
      <c r="G1541" s="194">
        <v>1.464</v>
      </c>
      <c r="H1541" s="195">
        <f t="shared" ref="H1541:H1604" si="24">+F1541*G1541</f>
        <v>4.3919999999999995</v>
      </c>
      <c r="I1541" s="212" t="s">
        <v>2354</v>
      </c>
    </row>
    <row r="1542" spans="1:9" x14ac:dyDescent="0.25">
      <c r="A1542" s="193" t="s">
        <v>220</v>
      </c>
      <c r="B1542" s="193" t="s">
        <v>2351</v>
      </c>
      <c r="C1542" s="214" t="s">
        <v>3319</v>
      </c>
      <c r="D1542" s="193" t="s">
        <v>3320</v>
      </c>
      <c r="E1542" s="212" t="s">
        <v>545</v>
      </c>
      <c r="F1542" s="215">
        <v>8</v>
      </c>
      <c r="G1542" s="194">
        <v>1.171</v>
      </c>
      <c r="H1542" s="195">
        <f t="shared" si="24"/>
        <v>9.3680000000000003</v>
      </c>
      <c r="I1542" s="212" t="s">
        <v>2354</v>
      </c>
    </row>
    <row r="1543" spans="1:9" x14ac:dyDescent="0.25">
      <c r="A1543" s="193" t="s">
        <v>220</v>
      </c>
      <c r="B1543" s="193" t="s">
        <v>2351</v>
      </c>
      <c r="C1543" s="214" t="s">
        <v>3321</v>
      </c>
      <c r="D1543" s="193" t="s">
        <v>3322</v>
      </c>
      <c r="E1543" s="212" t="s">
        <v>545</v>
      </c>
      <c r="F1543" s="215">
        <v>80</v>
      </c>
      <c r="G1543" s="194">
        <v>0.18990909090909092</v>
      </c>
      <c r="H1543" s="195">
        <f t="shared" si="24"/>
        <v>15.192727272727273</v>
      </c>
      <c r="I1543" s="212" t="s">
        <v>2354</v>
      </c>
    </row>
    <row r="1544" spans="1:9" x14ac:dyDescent="0.25">
      <c r="A1544" s="193" t="s">
        <v>220</v>
      </c>
      <c r="B1544" s="193" t="s">
        <v>2351</v>
      </c>
      <c r="C1544" s="214" t="s">
        <v>3323</v>
      </c>
      <c r="D1544" s="193" t="s">
        <v>3324</v>
      </c>
      <c r="E1544" s="212" t="s">
        <v>545</v>
      </c>
      <c r="F1544" s="215">
        <v>7</v>
      </c>
      <c r="G1544" s="194">
        <v>0.53843333333333332</v>
      </c>
      <c r="H1544" s="195">
        <f t="shared" si="24"/>
        <v>3.7690333333333332</v>
      </c>
      <c r="I1544" s="212" t="s">
        <v>2354</v>
      </c>
    </row>
    <row r="1545" spans="1:9" x14ac:dyDescent="0.25">
      <c r="A1545" s="193" t="s">
        <v>220</v>
      </c>
      <c r="B1545" s="193" t="s">
        <v>2351</v>
      </c>
      <c r="C1545" s="214" t="s">
        <v>3325</v>
      </c>
      <c r="D1545" s="193" t="s">
        <v>3326</v>
      </c>
      <c r="E1545" s="212" t="s">
        <v>545</v>
      </c>
      <c r="F1545" s="215">
        <v>67</v>
      </c>
      <c r="G1545" s="194">
        <v>0.28736</v>
      </c>
      <c r="H1545" s="195">
        <f t="shared" si="24"/>
        <v>19.253119999999999</v>
      </c>
      <c r="I1545" s="212" t="s">
        <v>2354</v>
      </c>
    </row>
    <row r="1546" spans="1:9" x14ac:dyDescent="0.25">
      <c r="A1546" s="193" t="s">
        <v>220</v>
      </c>
      <c r="B1546" s="193" t="s">
        <v>2351</v>
      </c>
      <c r="C1546" s="214" t="s">
        <v>3327</v>
      </c>
      <c r="D1546" s="193" t="s">
        <v>3328</v>
      </c>
      <c r="E1546" s="212" t="s">
        <v>545</v>
      </c>
      <c r="F1546" s="215">
        <v>6</v>
      </c>
      <c r="G1546" s="194">
        <v>2.6346666666666665</v>
      </c>
      <c r="H1546" s="195">
        <f t="shared" si="24"/>
        <v>15.808</v>
      </c>
      <c r="I1546" s="212" t="s">
        <v>2354</v>
      </c>
    </row>
    <row r="1547" spans="1:9" x14ac:dyDescent="0.25">
      <c r="A1547" s="193" t="s">
        <v>220</v>
      </c>
      <c r="B1547" s="193" t="s">
        <v>2351</v>
      </c>
      <c r="C1547" s="214" t="s">
        <v>3329</v>
      </c>
      <c r="D1547" s="193" t="s">
        <v>3330</v>
      </c>
      <c r="E1547" s="212" t="s">
        <v>545</v>
      </c>
      <c r="F1547" s="215">
        <v>20</v>
      </c>
      <c r="G1547" s="194">
        <v>0.65705000000000002</v>
      </c>
      <c r="H1547" s="195">
        <f t="shared" si="24"/>
        <v>13.141</v>
      </c>
      <c r="I1547" s="212" t="s">
        <v>2354</v>
      </c>
    </row>
    <row r="1548" spans="1:9" x14ac:dyDescent="0.25">
      <c r="A1548" s="193" t="s">
        <v>220</v>
      </c>
      <c r="B1548" s="193" t="s">
        <v>2351</v>
      </c>
      <c r="C1548" s="214" t="s">
        <v>3331</v>
      </c>
      <c r="D1548" s="193" t="s">
        <v>3332</v>
      </c>
      <c r="E1548" s="212" t="s">
        <v>545</v>
      </c>
      <c r="F1548" s="215">
        <v>4</v>
      </c>
      <c r="G1548" s="194">
        <v>3.9</v>
      </c>
      <c r="H1548" s="195">
        <f t="shared" si="24"/>
        <v>15.6</v>
      </c>
      <c r="I1548" s="212" t="s">
        <v>2354</v>
      </c>
    </row>
    <row r="1549" spans="1:9" x14ac:dyDescent="0.25">
      <c r="A1549" s="193" t="s">
        <v>220</v>
      </c>
      <c r="B1549" s="193" t="s">
        <v>2351</v>
      </c>
      <c r="C1549" s="214" t="s">
        <v>3333</v>
      </c>
      <c r="D1549" s="193" t="s">
        <v>3334</v>
      </c>
      <c r="E1549" s="212" t="s">
        <v>545</v>
      </c>
      <c r="F1549" s="215">
        <v>1</v>
      </c>
      <c r="G1549" s="194">
        <v>5.4702000000000002</v>
      </c>
      <c r="H1549" s="195">
        <f t="shared" si="24"/>
        <v>5.4702000000000002</v>
      </c>
      <c r="I1549" s="212" t="s">
        <v>2354</v>
      </c>
    </row>
    <row r="1550" spans="1:9" x14ac:dyDescent="0.25">
      <c r="A1550" s="193" t="s">
        <v>220</v>
      </c>
      <c r="B1550" s="193" t="s">
        <v>2351</v>
      </c>
      <c r="C1550" s="214" t="s">
        <v>3335</v>
      </c>
      <c r="D1550" s="193" t="s">
        <v>3336</v>
      </c>
      <c r="E1550" s="212" t="s">
        <v>545</v>
      </c>
      <c r="F1550" s="215">
        <v>21</v>
      </c>
      <c r="G1550" s="194">
        <v>0.30199999999999999</v>
      </c>
      <c r="H1550" s="195">
        <f t="shared" si="24"/>
        <v>6.3419999999999996</v>
      </c>
      <c r="I1550" s="212" t="s">
        <v>2354</v>
      </c>
    </row>
    <row r="1551" spans="1:9" x14ac:dyDescent="0.25">
      <c r="A1551" s="193" t="s">
        <v>220</v>
      </c>
      <c r="B1551" s="193" t="s">
        <v>2351</v>
      </c>
      <c r="C1551" s="214" t="s">
        <v>3337</v>
      </c>
      <c r="D1551" s="193" t="s">
        <v>3338</v>
      </c>
      <c r="E1551" s="212" t="s">
        <v>545</v>
      </c>
      <c r="F1551" s="215">
        <v>6</v>
      </c>
      <c r="G1551" s="194">
        <v>1.4450000000000001</v>
      </c>
      <c r="H1551" s="195">
        <f t="shared" si="24"/>
        <v>8.67</v>
      </c>
      <c r="I1551" s="212" t="s">
        <v>2354</v>
      </c>
    </row>
    <row r="1552" spans="1:9" x14ac:dyDescent="0.25">
      <c r="A1552" s="193" t="s">
        <v>220</v>
      </c>
      <c r="B1552" s="193" t="s">
        <v>2351</v>
      </c>
      <c r="C1552" s="214" t="s">
        <v>3339</v>
      </c>
      <c r="D1552" s="193" t="s">
        <v>3340</v>
      </c>
      <c r="E1552" s="212" t="s">
        <v>545</v>
      </c>
      <c r="F1552" s="215">
        <v>50</v>
      </c>
      <c r="G1552" s="194">
        <v>1.5419375000000002</v>
      </c>
      <c r="H1552" s="195">
        <f t="shared" si="24"/>
        <v>77.096875000000011</v>
      </c>
      <c r="I1552" s="212" t="s">
        <v>2354</v>
      </c>
    </row>
    <row r="1553" spans="1:9" x14ac:dyDescent="0.25">
      <c r="A1553" s="193" t="s">
        <v>220</v>
      </c>
      <c r="B1553" s="193" t="s">
        <v>2351</v>
      </c>
      <c r="C1553" s="214" t="s">
        <v>3341</v>
      </c>
      <c r="D1553" s="193" t="s">
        <v>3342</v>
      </c>
      <c r="E1553" s="212" t="s">
        <v>545</v>
      </c>
      <c r="F1553" s="215">
        <v>21</v>
      </c>
      <c r="G1553" s="194">
        <v>1.5614499999999998</v>
      </c>
      <c r="H1553" s="195">
        <f t="shared" si="24"/>
        <v>32.790449999999993</v>
      </c>
      <c r="I1553" s="212" t="s">
        <v>2354</v>
      </c>
    </row>
    <row r="1554" spans="1:9" x14ac:dyDescent="0.25">
      <c r="A1554" s="193" t="s">
        <v>220</v>
      </c>
      <c r="B1554" s="193" t="s">
        <v>2351</v>
      </c>
      <c r="C1554" s="214" t="s">
        <v>3343</v>
      </c>
      <c r="D1554" s="193" t="s">
        <v>3344</v>
      </c>
      <c r="E1554" s="212" t="s">
        <v>545</v>
      </c>
      <c r="F1554" s="215">
        <v>110</v>
      </c>
      <c r="G1554" s="194">
        <v>0.13932</v>
      </c>
      <c r="H1554" s="195">
        <f t="shared" si="24"/>
        <v>15.325200000000001</v>
      </c>
      <c r="I1554" s="212" t="s">
        <v>2354</v>
      </c>
    </row>
    <row r="1555" spans="1:9" x14ac:dyDescent="0.25">
      <c r="A1555" s="193" t="s">
        <v>220</v>
      </c>
      <c r="B1555" s="193" t="s">
        <v>2351</v>
      </c>
      <c r="C1555" s="214" t="s">
        <v>3345</v>
      </c>
      <c r="D1555" s="193" t="s">
        <v>3346</v>
      </c>
      <c r="E1555" s="212" t="s">
        <v>545</v>
      </c>
      <c r="F1555" s="215">
        <v>150</v>
      </c>
      <c r="G1555" s="194">
        <v>1.2929999999999999</v>
      </c>
      <c r="H1555" s="195">
        <f t="shared" si="24"/>
        <v>193.95</v>
      </c>
      <c r="I1555" s="212" t="s">
        <v>2354</v>
      </c>
    </row>
    <row r="1556" spans="1:9" x14ac:dyDescent="0.25">
      <c r="A1556" s="193" t="s">
        <v>220</v>
      </c>
      <c r="B1556" s="193" t="s">
        <v>2351</v>
      </c>
      <c r="C1556" s="214" t="s">
        <v>3347</v>
      </c>
      <c r="D1556" s="193" t="s">
        <v>3348</v>
      </c>
      <c r="E1556" s="212" t="s">
        <v>545</v>
      </c>
      <c r="F1556" s="215">
        <v>2</v>
      </c>
      <c r="G1556" s="194">
        <v>4.0986000000000002</v>
      </c>
      <c r="H1556" s="195">
        <f t="shared" si="24"/>
        <v>8.1972000000000005</v>
      </c>
      <c r="I1556" s="212" t="s">
        <v>2354</v>
      </c>
    </row>
    <row r="1557" spans="1:9" x14ac:dyDescent="0.25">
      <c r="A1557" s="193" t="s">
        <v>220</v>
      </c>
      <c r="B1557" s="193" t="s">
        <v>2351</v>
      </c>
      <c r="C1557" s="214" t="s">
        <v>3349</v>
      </c>
      <c r="D1557" s="193" t="s">
        <v>3350</v>
      </c>
      <c r="E1557" s="212" t="s">
        <v>545</v>
      </c>
      <c r="F1557" s="215">
        <v>28</v>
      </c>
      <c r="G1557" s="194">
        <v>1.7324999999999997</v>
      </c>
      <c r="H1557" s="195">
        <f t="shared" si="24"/>
        <v>48.509999999999991</v>
      </c>
      <c r="I1557" s="212" t="s">
        <v>2354</v>
      </c>
    </row>
    <row r="1558" spans="1:9" x14ac:dyDescent="0.25">
      <c r="A1558" s="193" t="s">
        <v>220</v>
      </c>
      <c r="B1558" s="193" t="s">
        <v>2351</v>
      </c>
      <c r="C1558" s="214" t="s">
        <v>3351</v>
      </c>
      <c r="D1558" s="193" t="s">
        <v>3352</v>
      </c>
      <c r="E1558" s="212" t="s">
        <v>545</v>
      </c>
      <c r="F1558" s="215">
        <v>4</v>
      </c>
      <c r="G1558" s="194">
        <v>10.1304</v>
      </c>
      <c r="H1558" s="195">
        <f t="shared" si="24"/>
        <v>40.521599999999999</v>
      </c>
      <c r="I1558" s="212" t="s">
        <v>2354</v>
      </c>
    </row>
    <row r="1559" spans="1:9" x14ac:dyDescent="0.25">
      <c r="A1559" s="193" t="s">
        <v>220</v>
      </c>
      <c r="B1559" s="193" t="s">
        <v>2351</v>
      </c>
      <c r="C1559" s="214" t="s">
        <v>3353</v>
      </c>
      <c r="D1559" s="193" t="s">
        <v>3354</v>
      </c>
      <c r="E1559" s="212" t="s">
        <v>545</v>
      </c>
      <c r="F1559" s="215">
        <v>3</v>
      </c>
      <c r="G1559" s="194">
        <v>10.134</v>
      </c>
      <c r="H1559" s="195">
        <f t="shared" si="24"/>
        <v>30.402000000000001</v>
      </c>
      <c r="I1559" s="212" t="s">
        <v>2354</v>
      </c>
    </row>
    <row r="1560" spans="1:9" x14ac:dyDescent="0.25">
      <c r="A1560" s="193" t="s">
        <v>220</v>
      </c>
      <c r="B1560" s="193" t="s">
        <v>2351</v>
      </c>
      <c r="C1560" s="214" t="s">
        <v>3355</v>
      </c>
      <c r="D1560" s="193" t="s">
        <v>3356</v>
      </c>
      <c r="E1560" s="212" t="s">
        <v>545</v>
      </c>
      <c r="F1560" s="215">
        <v>20</v>
      </c>
      <c r="G1560" s="194">
        <v>3.6414</v>
      </c>
      <c r="H1560" s="195">
        <f t="shared" si="24"/>
        <v>72.828000000000003</v>
      </c>
      <c r="I1560" s="212" t="s">
        <v>2354</v>
      </c>
    </row>
    <row r="1561" spans="1:9" x14ac:dyDescent="0.25">
      <c r="A1561" s="193" t="s">
        <v>220</v>
      </c>
      <c r="B1561" s="193" t="s">
        <v>2351</v>
      </c>
      <c r="C1561" s="214" t="s">
        <v>3357</v>
      </c>
      <c r="D1561" s="193" t="s">
        <v>3358</v>
      </c>
      <c r="E1561" s="212" t="s">
        <v>545</v>
      </c>
      <c r="F1561" s="215">
        <v>28</v>
      </c>
      <c r="G1561" s="194">
        <v>0.36099999999999999</v>
      </c>
      <c r="H1561" s="195">
        <f t="shared" si="24"/>
        <v>10.108000000000001</v>
      </c>
      <c r="I1561" s="212" t="s">
        <v>2354</v>
      </c>
    </row>
    <row r="1562" spans="1:9" x14ac:dyDescent="0.25">
      <c r="A1562" s="193" t="s">
        <v>220</v>
      </c>
      <c r="B1562" s="193" t="s">
        <v>2351</v>
      </c>
      <c r="C1562" s="214" t="s">
        <v>3359</v>
      </c>
      <c r="D1562" s="193" t="s">
        <v>3360</v>
      </c>
      <c r="E1562" s="212" t="s">
        <v>545</v>
      </c>
      <c r="F1562" s="215">
        <v>90</v>
      </c>
      <c r="G1562" s="194">
        <v>0.10199999999999999</v>
      </c>
      <c r="H1562" s="195">
        <f t="shared" si="24"/>
        <v>9.18</v>
      </c>
      <c r="I1562" s="212" t="s">
        <v>2354</v>
      </c>
    </row>
    <row r="1563" spans="1:9" x14ac:dyDescent="0.25">
      <c r="A1563" s="193" t="s">
        <v>220</v>
      </c>
      <c r="B1563" s="193" t="s">
        <v>2351</v>
      </c>
      <c r="C1563" s="214" t="s">
        <v>3361</v>
      </c>
      <c r="D1563" s="193" t="s">
        <v>3362</v>
      </c>
      <c r="E1563" s="212" t="s">
        <v>545</v>
      </c>
      <c r="F1563" s="215">
        <v>68</v>
      </c>
      <c r="G1563" s="194">
        <v>6.2471578947368425</v>
      </c>
      <c r="H1563" s="195">
        <f t="shared" si="24"/>
        <v>424.80673684210529</v>
      </c>
      <c r="I1563" s="212" t="s">
        <v>2354</v>
      </c>
    </row>
    <row r="1564" spans="1:9" x14ac:dyDescent="0.25">
      <c r="A1564" s="193" t="s">
        <v>220</v>
      </c>
      <c r="B1564" s="193" t="s">
        <v>2351</v>
      </c>
      <c r="C1564" s="214" t="s">
        <v>3363</v>
      </c>
      <c r="D1564" s="193" t="s">
        <v>3364</v>
      </c>
      <c r="E1564" s="212" t="s">
        <v>545</v>
      </c>
      <c r="F1564" s="215">
        <v>80</v>
      </c>
      <c r="G1564" s="194">
        <v>1.8508579999999999</v>
      </c>
      <c r="H1564" s="195">
        <f t="shared" si="24"/>
        <v>148.06863999999999</v>
      </c>
      <c r="I1564" s="212" t="s">
        <v>2354</v>
      </c>
    </row>
    <row r="1565" spans="1:9" x14ac:dyDescent="0.25">
      <c r="A1565" s="193" t="s">
        <v>220</v>
      </c>
      <c r="B1565" s="193" t="s">
        <v>2351</v>
      </c>
      <c r="C1565" s="214" t="s">
        <v>3365</v>
      </c>
      <c r="D1565" s="193" t="s">
        <v>3366</v>
      </c>
      <c r="E1565" s="212" t="s">
        <v>545</v>
      </c>
      <c r="F1565" s="215">
        <v>1</v>
      </c>
      <c r="G1565" s="194">
        <v>45.823</v>
      </c>
      <c r="H1565" s="195">
        <f t="shared" si="24"/>
        <v>45.823</v>
      </c>
      <c r="I1565" s="212" t="s">
        <v>2354</v>
      </c>
    </row>
    <row r="1566" spans="1:9" x14ac:dyDescent="0.25">
      <c r="A1566" s="193" t="s">
        <v>220</v>
      </c>
      <c r="B1566" s="193" t="s">
        <v>2351</v>
      </c>
      <c r="C1566" s="214" t="s">
        <v>3367</v>
      </c>
      <c r="D1566" s="193" t="s">
        <v>3368</v>
      </c>
      <c r="E1566" s="212" t="s">
        <v>545</v>
      </c>
      <c r="F1566" s="215">
        <v>6</v>
      </c>
      <c r="G1566" s="194">
        <v>7.95</v>
      </c>
      <c r="H1566" s="195">
        <f t="shared" si="24"/>
        <v>47.7</v>
      </c>
      <c r="I1566" s="212" t="s">
        <v>2354</v>
      </c>
    </row>
    <row r="1567" spans="1:9" x14ac:dyDescent="0.25">
      <c r="A1567" s="193" t="s">
        <v>220</v>
      </c>
      <c r="B1567" s="193" t="s">
        <v>2351</v>
      </c>
      <c r="C1567" s="214" t="s">
        <v>3369</v>
      </c>
      <c r="D1567" s="193" t="s">
        <v>3370</v>
      </c>
      <c r="E1567" s="212" t="s">
        <v>545</v>
      </c>
      <c r="F1567" s="215">
        <v>4</v>
      </c>
      <c r="G1567" s="194">
        <v>100.2546</v>
      </c>
      <c r="H1567" s="195">
        <f t="shared" si="24"/>
        <v>401.01839999999999</v>
      </c>
      <c r="I1567" s="212" t="s">
        <v>2354</v>
      </c>
    </row>
    <row r="1568" spans="1:9" x14ac:dyDescent="0.25">
      <c r="A1568" s="193" t="s">
        <v>220</v>
      </c>
      <c r="B1568" s="193" t="s">
        <v>2351</v>
      </c>
      <c r="C1568" s="214" t="s">
        <v>3371</v>
      </c>
      <c r="D1568" s="193" t="s">
        <v>3372</v>
      </c>
      <c r="E1568" s="212" t="s">
        <v>545</v>
      </c>
      <c r="F1568" s="215">
        <v>8</v>
      </c>
      <c r="G1568" s="194">
        <v>166.08</v>
      </c>
      <c r="H1568" s="195">
        <f t="shared" si="24"/>
        <v>1328.64</v>
      </c>
      <c r="I1568" s="212" t="s">
        <v>2354</v>
      </c>
    </row>
    <row r="1569" spans="1:9" x14ac:dyDescent="0.25">
      <c r="A1569" s="193" t="s">
        <v>220</v>
      </c>
      <c r="B1569" s="193" t="s">
        <v>2351</v>
      </c>
      <c r="C1569" s="214" t="s">
        <v>3373</v>
      </c>
      <c r="D1569" s="193" t="s">
        <v>3374</v>
      </c>
      <c r="E1569" s="212" t="s">
        <v>545</v>
      </c>
      <c r="F1569" s="215">
        <v>1</v>
      </c>
      <c r="G1569" s="194">
        <v>625.05600000000004</v>
      </c>
      <c r="H1569" s="195">
        <f t="shared" si="24"/>
        <v>625.05600000000004</v>
      </c>
      <c r="I1569" s="212" t="s">
        <v>2354</v>
      </c>
    </row>
    <row r="1570" spans="1:9" x14ac:dyDescent="0.25">
      <c r="A1570" s="193" t="s">
        <v>220</v>
      </c>
      <c r="B1570" s="193" t="s">
        <v>2351</v>
      </c>
      <c r="C1570" s="214" t="s">
        <v>3375</v>
      </c>
      <c r="D1570" s="193" t="s">
        <v>3376</v>
      </c>
      <c r="E1570" s="212" t="s">
        <v>545</v>
      </c>
      <c r="F1570" s="215">
        <v>3</v>
      </c>
      <c r="G1570" s="194">
        <v>172.39200000000002</v>
      </c>
      <c r="H1570" s="195">
        <f t="shared" si="24"/>
        <v>517.17600000000004</v>
      </c>
      <c r="I1570" s="212" t="s">
        <v>2354</v>
      </c>
    </row>
    <row r="1571" spans="1:9" x14ac:dyDescent="0.25">
      <c r="A1571" s="193" t="s">
        <v>220</v>
      </c>
      <c r="B1571" s="193" t="s">
        <v>2351</v>
      </c>
      <c r="C1571" s="214" t="s">
        <v>3377</v>
      </c>
      <c r="D1571" s="193" t="s">
        <v>3378</v>
      </c>
      <c r="E1571" s="212" t="s">
        <v>545</v>
      </c>
      <c r="F1571" s="215">
        <v>6</v>
      </c>
      <c r="G1571" s="194">
        <v>177.88499999999999</v>
      </c>
      <c r="H1571" s="195">
        <f t="shared" si="24"/>
        <v>1067.31</v>
      </c>
      <c r="I1571" s="212" t="s">
        <v>2354</v>
      </c>
    </row>
    <row r="1572" spans="1:9" x14ac:dyDescent="0.25">
      <c r="A1572" s="193" t="s">
        <v>220</v>
      </c>
      <c r="B1572" s="193" t="s">
        <v>2351</v>
      </c>
      <c r="C1572" s="214" t="s">
        <v>3379</v>
      </c>
      <c r="D1572" s="193" t="s">
        <v>3380</v>
      </c>
      <c r="E1572" s="212" t="s">
        <v>545</v>
      </c>
      <c r="F1572" s="215">
        <v>4</v>
      </c>
      <c r="G1572" s="194">
        <v>198</v>
      </c>
      <c r="H1572" s="195">
        <f t="shared" si="24"/>
        <v>792</v>
      </c>
      <c r="I1572" s="212" t="s">
        <v>2354</v>
      </c>
    </row>
    <row r="1573" spans="1:9" x14ac:dyDescent="0.25">
      <c r="A1573" s="193" t="s">
        <v>220</v>
      </c>
      <c r="B1573" s="193" t="s">
        <v>2351</v>
      </c>
      <c r="C1573" s="214" t="s">
        <v>3381</v>
      </c>
      <c r="D1573" s="193" t="s">
        <v>3382</v>
      </c>
      <c r="E1573" s="212" t="s">
        <v>545</v>
      </c>
      <c r="F1573" s="215">
        <v>6</v>
      </c>
      <c r="G1573" s="194">
        <v>2.3374999999999999</v>
      </c>
      <c r="H1573" s="195">
        <f t="shared" si="24"/>
        <v>14.024999999999999</v>
      </c>
      <c r="I1573" s="212" t="s">
        <v>2354</v>
      </c>
    </row>
    <row r="1574" spans="1:9" x14ac:dyDescent="0.25">
      <c r="A1574" s="193" t="s">
        <v>220</v>
      </c>
      <c r="B1574" s="193" t="s">
        <v>2351</v>
      </c>
      <c r="C1574" s="214" t="s">
        <v>3383</v>
      </c>
      <c r="D1574" s="193" t="s">
        <v>3384</v>
      </c>
      <c r="E1574" s="212" t="s">
        <v>545</v>
      </c>
      <c r="F1574" s="215">
        <v>1</v>
      </c>
      <c r="G1574" s="194">
        <v>4.8330000000000002</v>
      </c>
      <c r="H1574" s="195">
        <f t="shared" si="24"/>
        <v>4.8330000000000002</v>
      </c>
      <c r="I1574" s="212" t="s">
        <v>2354</v>
      </c>
    </row>
    <row r="1575" spans="1:9" x14ac:dyDescent="0.25">
      <c r="A1575" s="193" t="s">
        <v>220</v>
      </c>
      <c r="B1575" s="193" t="s">
        <v>2351</v>
      </c>
      <c r="C1575" s="214" t="s">
        <v>3385</v>
      </c>
      <c r="D1575" s="193" t="s">
        <v>3386</v>
      </c>
      <c r="E1575" s="212" t="s">
        <v>545</v>
      </c>
      <c r="F1575" s="215">
        <v>12</v>
      </c>
      <c r="G1575" s="194">
        <v>6.3577166666666658</v>
      </c>
      <c r="H1575" s="195">
        <f t="shared" si="24"/>
        <v>76.292599999999993</v>
      </c>
      <c r="I1575" s="212" t="s">
        <v>2354</v>
      </c>
    </row>
    <row r="1576" spans="1:9" x14ac:dyDescent="0.25">
      <c r="A1576" s="193" t="s">
        <v>220</v>
      </c>
      <c r="B1576" s="193" t="s">
        <v>2351</v>
      </c>
      <c r="C1576" s="214" t="s">
        <v>3387</v>
      </c>
      <c r="D1576" s="193" t="s">
        <v>3388</v>
      </c>
      <c r="E1576" s="212" t="s">
        <v>545</v>
      </c>
      <c r="F1576" s="215">
        <v>5</v>
      </c>
      <c r="G1576" s="194">
        <v>8.1259999999999994</v>
      </c>
      <c r="H1576" s="195">
        <f t="shared" si="24"/>
        <v>40.629999999999995</v>
      </c>
      <c r="I1576" s="212" t="s">
        <v>2354</v>
      </c>
    </row>
    <row r="1577" spans="1:9" x14ac:dyDescent="0.25">
      <c r="A1577" s="193" t="s">
        <v>220</v>
      </c>
      <c r="B1577" s="193" t="s">
        <v>2351</v>
      </c>
      <c r="C1577" s="214" t="s">
        <v>3389</v>
      </c>
      <c r="D1577" s="193" t="s">
        <v>3390</v>
      </c>
      <c r="E1577" s="212" t="s">
        <v>545</v>
      </c>
      <c r="F1577" s="215">
        <v>2</v>
      </c>
      <c r="G1577" s="194">
        <v>68.424999999999997</v>
      </c>
      <c r="H1577" s="195">
        <f t="shared" si="24"/>
        <v>136.85</v>
      </c>
      <c r="I1577" s="212" t="s">
        <v>2354</v>
      </c>
    </row>
    <row r="1578" spans="1:9" x14ac:dyDescent="0.25">
      <c r="A1578" s="193" t="s">
        <v>220</v>
      </c>
      <c r="B1578" s="193" t="s">
        <v>2351</v>
      </c>
      <c r="C1578" s="214" t="s">
        <v>3391</v>
      </c>
      <c r="D1578" s="193" t="s">
        <v>3392</v>
      </c>
      <c r="E1578" s="212" t="s">
        <v>545</v>
      </c>
      <c r="F1578" s="215">
        <v>2</v>
      </c>
      <c r="G1578" s="194">
        <v>72.25</v>
      </c>
      <c r="H1578" s="195">
        <f t="shared" si="24"/>
        <v>144.5</v>
      </c>
      <c r="I1578" s="212" t="s">
        <v>2354</v>
      </c>
    </row>
    <row r="1579" spans="1:9" x14ac:dyDescent="0.25">
      <c r="A1579" s="193" t="s">
        <v>220</v>
      </c>
      <c r="B1579" s="193" t="s">
        <v>2351</v>
      </c>
      <c r="C1579" s="214" t="s">
        <v>3393</v>
      </c>
      <c r="D1579" s="193" t="s">
        <v>3394</v>
      </c>
      <c r="E1579" s="212" t="s">
        <v>545</v>
      </c>
      <c r="F1579" s="215">
        <v>2</v>
      </c>
      <c r="G1579" s="194">
        <v>3.3359999999999999</v>
      </c>
      <c r="H1579" s="195">
        <f t="shared" si="24"/>
        <v>6.6719999999999997</v>
      </c>
      <c r="I1579" s="212" t="s">
        <v>2354</v>
      </c>
    </row>
    <row r="1580" spans="1:9" x14ac:dyDescent="0.25">
      <c r="A1580" s="193" t="s">
        <v>220</v>
      </c>
      <c r="B1580" s="193" t="s">
        <v>2351</v>
      </c>
      <c r="C1580" s="214" t="s">
        <v>3395</v>
      </c>
      <c r="D1580" s="193" t="s">
        <v>3396</v>
      </c>
      <c r="E1580" s="212" t="s">
        <v>2473</v>
      </c>
      <c r="F1580" s="215">
        <v>10</v>
      </c>
      <c r="G1580" s="194">
        <v>3.2725</v>
      </c>
      <c r="H1580" s="195">
        <f t="shared" si="24"/>
        <v>32.725000000000001</v>
      </c>
      <c r="I1580" s="212" t="s">
        <v>2354</v>
      </c>
    </row>
    <row r="1581" spans="1:9" x14ac:dyDescent="0.25">
      <c r="A1581" s="193" t="s">
        <v>220</v>
      </c>
      <c r="B1581" s="193" t="s">
        <v>2351</v>
      </c>
      <c r="C1581" s="214" t="s">
        <v>3397</v>
      </c>
      <c r="D1581" s="193" t="s">
        <v>3398</v>
      </c>
      <c r="E1581" s="212" t="s">
        <v>545</v>
      </c>
      <c r="F1581" s="215">
        <v>7</v>
      </c>
      <c r="G1581" s="194">
        <v>2.6760000000000002</v>
      </c>
      <c r="H1581" s="195">
        <f t="shared" si="24"/>
        <v>18.731999999999999</v>
      </c>
      <c r="I1581" s="212" t="s">
        <v>2354</v>
      </c>
    </row>
    <row r="1582" spans="1:9" x14ac:dyDescent="0.25">
      <c r="A1582" s="193" t="s">
        <v>220</v>
      </c>
      <c r="B1582" s="193" t="s">
        <v>2351</v>
      </c>
      <c r="C1582" s="214" t="s">
        <v>3399</v>
      </c>
      <c r="D1582" s="193" t="s">
        <v>3400</v>
      </c>
      <c r="E1582" s="212" t="s">
        <v>545</v>
      </c>
      <c r="F1582" s="215">
        <v>2</v>
      </c>
      <c r="G1582" s="194">
        <v>1.4670000000000001</v>
      </c>
      <c r="H1582" s="195">
        <f t="shared" si="24"/>
        <v>2.9340000000000002</v>
      </c>
      <c r="I1582" s="212" t="s">
        <v>2354</v>
      </c>
    </row>
    <row r="1583" spans="1:9" x14ac:dyDescent="0.25">
      <c r="A1583" s="193" t="s">
        <v>220</v>
      </c>
      <c r="B1583" s="193" t="s">
        <v>2351</v>
      </c>
      <c r="C1583" s="214" t="s">
        <v>3401</v>
      </c>
      <c r="D1583" s="193" t="s">
        <v>3402</v>
      </c>
      <c r="E1583" s="212" t="s">
        <v>545</v>
      </c>
      <c r="F1583" s="215">
        <v>6</v>
      </c>
      <c r="G1583" s="194">
        <v>2.7233999999999998</v>
      </c>
      <c r="H1583" s="195">
        <f t="shared" si="24"/>
        <v>16.340399999999999</v>
      </c>
      <c r="I1583" s="212" t="s">
        <v>2354</v>
      </c>
    </row>
    <row r="1584" spans="1:9" x14ac:dyDescent="0.25">
      <c r="A1584" s="193" t="s">
        <v>220</v>
      </c>
      <c r="B1584" s="193" t="s">
        <v>2351</v>
      </c>
      <c r="C1584" s="214" t="s">
        <v>3403</v>
      </c>
      <c r="D1584" s="193" t="s">
        <v>3404</v>
      </c>
      <c r="E1584" s="212" t="s">
        <v>545</v>
      </c>
      <c r="F1584" s="215">
        <v>5</v>
      </c>
      <c r="G1584" s="194">
        <v>6.593</v>
      </c>
      <c r="H1584" s="195">
        <f t="shared" si="24"/>
        <v>32.965000000000003</v>
      </c>
      <c r="I1584" s="212" t="s">
        <v>2354</v>
      </c>
    </row>
    <row r="1585" spans="1:9" x14ac:dyDescent="0.25">
      <c r="A1585" s="193" t="s">
        <v>220</v>
      </c>
      <c r="B1585" s="193" t="s">
        <v>2351</v>
      </c>
      <c r="C1585" s="214" t="s">
        <v>3405</v>
      </c>
      <c r="D1585" s="193" t="s">
        <v>3406</v>
      </c>
      <c r="E1585" s="212" t="s">
        <v>545</v>
      </c>
      <c r="F1585" s="215">
        <v>9</v>
      </c>
      <c r="G1585" s="194">
        <v>5.2919999999999989</v>
      </c>
      <c r="H1585" s="195">
        <f t="shared" si="24"/>
        <v>47.627999999999993</v>
      </c>
      <c r="I1585" s="212" t="s">
        <v>2354</v>
      </c>
    </row>
    <row r="1586" spans="1:9" x14ac:dyDescent="0.25">
      <c r="A1586" s="193" t="s">
        <v>220</v>
      </c>
      <c r="B1586" s="193" t="s">
        <v>2351</v>
      </c>
      <c r="C1586" s="214" t="s">
        <v>3407</v>
      </c>
      <c r="D1586" s="193" t="s">
        <v>3408</v>
      </c>
      <c r="E1586" s="212" t="s">
        <v>545</v>
      </c>
      <c r="F1586" s="215">
        <v>39</v>
      </c>
      <c r="G1586" s="194">
        <v>5.0084999999999997</v>
      </c>
      <c r="H1586" s="195">
        <f t="shared" si="24"/>
        <v>195.33149999999998</v>
      </c>
      <c r="I1586" s="212" t="s">
        <v>2354</v>
      </c>
    </row>
    <row r="1587" spans="1:9" x14ac:dyDescent="0.25">
      <c r="A1587" s="193" t="s">
        <v>220</v>
      </c>
      <c r="B1587" s="193" t="s">
        <v>2351</v>
      </c>
      <c r="C1587" s="214" t="s">
        <v>3409</v>
      </c>
      <c r="D1587" s="193" t="s">
        <v>3410</v>
      </c>
      <c r="E1587" s="212" t="s">
        <v>545</v>
      </c>
      <c r="F1587" s="215">
        <v>4</v>
      </c>
      <c r="G1587" s="194">
        <v>165.3</v>
      </c>
      <c r="H1587" s="195">
        <f t="shared" si="24"/>
        <v>661.2</v>
      </c>
      <c r="I1587" s="212" t="s">
        <v>2354</v>
      </c>
    </row>
    <row r="1588" spans="1:9" x14ac:dyDescent="0.25">
      <c r="A1588" s="193" t="s">
        <v>220</v>
      </c>
      <c r="B1588" s="193" t="s">
        <v>2351</v>
      </c>
      <c r="C1588" s="214" t="s">
        <v>3411</v>
      </c>
      <c r="D1588" s="193" t="s">
        <v>3412</v>
      </c>
      <c r="E1588" s="212" t="s">
        <v>545</v>
      </c>
      <c r="F1588" s="215">
        <v>2</v>
      </c>
      <c r="G1588" s="194">
        <v>14.178599999999999</v>
      </c>
      <c r="H1588" s="195">
        <f t="shared" si="24"/>
        <v>28.357199999999999</v>
      </c>
      <c r="I1588" s="212" t="s">
        <v>2354</v>
      </c>
    </row>
    <row r="1589" spans="1:9" x14ac:dyDescent="0.25">
      <c r="A1589" s="193" t="s">
        <v>220</v>
      </c>
      <c r="B1589" s="193" t="s">
        <v>2351</v>
      </c>
      <c r="C1589" s="214" t="s">
        <v>3413</v>
      </c>
      <c r="D1589" s="193" t="s">
        <v>3414</v>
      </c>
      <c r="E1589" s="212" t="s">
        <v>545</v>
      </c>
      <c r="F1589" s="215">
        <v>4</v>
      </c>
      <c r="G1589" s="194">
        <v>12.701700000000001</v>
      </c>
      <c r="H1589" s="195">
        <f t="shared" si="24"/>
        <v>50.806800000000003</v>
      </c>
      <c r="I1589" s="212" t="s">
        <v>2354</v>
      </c>
    </row>
    <row r="1590" spans="1:9" x14ac:dyDescent="0.25">
      <c r="A1590" s="193" t="s">
        <v>220</v>
      </c>
      <c r="B1590" s="193" t="s">
        <v>2351</v>
      </c>
      <c r="C1590" s="214" t="s">
        <v>3415</v>
      </c>
      <c r="D1590" s="193" t="s">
        <v>3416</v>
      </c>
      <c r="E1590" s="212" t="s">
        <v>545</v>
      </c>
      <c r="F1590" s="215">
        <v>2</v>
      </c>
      <c r="G1590" s="194">
        <v>119.6001</v>
      </c>
      <c r="H1590" s="195">
        <f t="shared" si="24"/>
        <v>239.2002</v>
      </c>
      <c r="I1590" s="212" t="s">
        <v>2354</v>
      </c>
    </row>
    <row r="1591" spans="1:9" x14ac:dyDescent="0.25">
      <c r="A1591" s="193" t="s">
        <v>220</v>
      </c>
      <c r="B1591" s="193" t="s">
        <v>2351</v>
      </c>
      <c r="C1591" s="214" t="s">
        <v>3417</v>
      </c>
      <c r="D1591" s="193" t="s">
        <v>3418</v>
      </c>
      <c r="E1591" s="212" t="s">
        <v>545</v>
      </c>
      <c r="F1591" s="215">
        <v>1</v>
      </c>
      <c r="G1591" s="194">
        <v>489.53530000000001</v>
      </c>
      <c r="H1591" s="195">
        <f t="shared" si="24"/>
        <v>489.53530000000001</v>
      </c>
      <c r="I1591" s="212" t="s">
        <v>2354</v>
      </c>
    </row>
    <row r="1592" spans="1:9" x14ac:dyDescent="0.25">
      <c r="A1592" s="193" t="s">
        <v>220</v>
      </c>
      <c r="B1592" s="193" t="s">
        <v>2351</v>
      </c>
      <c r="C1592" s="214" t="s">
        <v>3419</v>
      </c>
      <c r="D1592" s="193" t="s">
        <v>3420</v>
      </c>
      <c r="E1592" s="212" t="s">
        <v>545</v>
      </c>
      <c r="F1592" s="215">
        <v>4</v>
      </c>
      <c r="G1592" s="194">
        <v>138</v>
      </c>
      <c r="H1592" s="195">
        <f t="shared" si="24"/>
        <v>552</v>
      </c>
      <c r="I1592" s="212" t="s">
        <v>2354</v>
      </c>
    </row>
    <row r="1593" spans="1:9" x14ac:dyDescent="0.25">
      <c r="A1593" s="193" t="s">
        <v>220</v>
      </c>
      <c r="B1593" s="193" t="s">
        <v>2351</v>
      </c>
      <c r="C1593" s="214" t="s">
        <v>3421</v>
      </c>
      <c r="D1593" s="193" t="s">
        <v>3422</v>
      </c>
      <c r="E1593" s="212" t="s">
        <v>545</v>
      </c>
      <c r="F1593" s="215">
        <v>32</v>
      </c>
      <c r="G1593" s="194">
        <v>14</v>
      </c>
      <c r="H1593" s="195">
        <f t="shared" si="24"/>
        <v>448</v>
      </c>
      <c r="I1593" s="212" t="s">
        <v>2354</v>
      </c>
    </row>
    <row r="1594" spans="1:9" x14ac:dyDescent="0.25">
      <c r="A1594" s="193" t="s">
        <v>220</v>
      </c>
      <c r="B1594" s="193" t="s">
        <v>2351</v>
      </c>
      <c r="C1594" s="214" t="s">
        <v>3423</v>
      </c>
      <c r="D1594" s="193" t="s">
        <v>3424</v>
      </c>
      <c r="E1594" s="212" t="s">
        <v>545</v>
      </c>
      <c r="F1594" s="215">
        <v>3</v>
      </c>
      <c r="G1594" s="194">
        <v>589.88173333333327</v>
      </c>
      <c r="H1594" s="195">
        <f t="shared" si="24"/>
        <v>1769.6451999999999</v>
      </c>
      <c r="I1594" s="212" t="s">
        <v>2354</v>
      </c>
    </row>
    <row r="1595" spans="1:9" x14ac:dyDescent="0.25">
      <c r="A1595" s="193" t="s">
        <v>220</v>
      </c>
      <c r="B1595" s="193" t="s">
        <v>2351</v>
      </c>
      <c r="C1595" s="214" t="s">
        <v>3425</v>
      </c>
      <c r="D1595" s="193" t="s">
        <v>3426</v>
      </c>
      <c r="E1595" s="212" t="s">
        <v>545</v>
      </c>
      <c r="F1595" s="215">
        <v>1</v>
      </c>
      <c r="G1595" s="194">
        <v>133.62</v>
      </c>
      <c r="H1595" s="195">
        <f t="shared" si="24"/>
        <v>133.62</v>
      </c>
      <c r="I1595" s="212" t="s">
        <v>2354</v>
      </c>
    </row>
    <row r="1596" spans="1:9" x14ac:dyDescent="0.25">
      <c r="A1596" s="193" t="s">
        <v>220</v>
      </c>
      <c r="B1596" s="193" t="s">
        <v>2351</v>
      </c>
      <c r="C1596" s="214" t="s">
        <v>3427</v>
      </c>
      <c r="D1596" s="193" t="s">
        <v>3428</v>
      </c>
      <c r="E1596" s="212" t="s">
        <v>545</v>
      </c>
      <c r="F1596" s="215">
        <v>3</v>
      </c>
      <c r="G1596" s="194">
        <v>589.88173333333327</v>
      </c>
      <c r="H1596" s="195">
        <f t="shared" si="24"/>
        <v>1769.6451999999999</v>
      </c>
      <c r="I1596" s="212" t="s">
        <v>2354</v>
      </c>
    </row>
    <row r="1597" spans="1:9" x14ac:dyDescent="0.25">
      <c r="A1597" s="193" t="s">
        <v>220</v>
      </c>
      <c r="B1597" s="193" t="s">
        <v>2351</v>
      </c>
      <c r="C1597" s="214" t="s">
        <v>3429</v>
      </c>
      <c r="D1597" s="193" t="s">
        <v>3430</v>
      </c>
      <c r="E1597" s="212" t="s">
        <v>2387</v>
      </c>
      <c r="F1597" s="215">
        <v>3</v>
      </c>
      <c r="G1597" s="194">
        <v>2.7591000000000001</v>
      </c>
      <c r="H1597" s="195">
        <f t="shared" si="24"/>
        <v>8.2773000000000003</v>
      </c>
      <c r="I1597" s="212" t="s">
        <v>2354</v>
      </c>
    </row>
    <row r="1598" spans="1:9" x14ac:dyDescent="0.25">
      <c r="A1598" s="193" t="s">
        <v>220</v>
      </c>
      <c r="B1598" s="193" t="s">
        <v>2351</v>
      </c>
      <c r="C1598" s="214" t="s">
        <v>3431</v>
      </c>
      <c r="D1598" s="193" t="s">
        <v>3432</v>
      </c>
      <c r="E1598" s="212" t="s">
        <v>545</v>
      </c>
      <c r="F1598" s="215">
        <v>3</v>
      </c>
      <c r="G1598" s="194">
        <v>50.4</v>
      </c>
      <c r="H1598" s="195">
        <f t="shared" si="24"/>
        <v>151.19999999999999</v>
      </c>
      <c r="I1598" s="212" t="s">
        <v>2354</v>
      </c>
    </row>
    <row r="1599" spans="1:9" x14ac:dyDescent="0.25">
      <c r="A1599" s="193" t="s">
        <v>220</v>
      </c>
      <c r="B1599" s="193" t="s">
        <v>2351</v>
      </c>
      <c r="C1599" s="214" t="s">
        <v>3433</v>
      </c>
      <c r="D1599" s="193" t="s">
        <v>3434</v>
      </c>
      <c r="E1599" s="212" t="s">
        <v>2387</v>
      </c>
      <c r="F1599" s="215">
        <v>10</v>
      </c>
      <c r="G1599" s="194">
        <v>3.7944000000000004</v>
      </c>
      <c r="H1599" s="195">
        <f t="shared" si="24"/>
        <v>37.944000000000003</v>
      </c>
      <c r="I1599" s="212" t="s">
        <v>2354</v>
      </c>
    </row>
    <row r="1600" spans="1:9" x14ac:dyDescent="0.25">
      <c r="A1600" s="193" t="s">
        <v>220</v>
      </c>
      <c r="B1600" s="193" t="s">
        <v>2351</v>
      </c>
      <c r="C1600" s="214" t="s">
        <v>3435</v>
      </c>
      <c r="D1600" s="193" t="s">
        <v>3436</v>
      </c>
      <c r="E1600" s="212" t="s">
        <v>2387</v>
      </c>
      <c r="F1600" s="215">
        <v>16</v>
      </c>
      <c r="G1600" s="194">
        <v>3.4856285714285713</v>
      </c>
      <c r="H1600" s="195">
        <f t="shared" si="24"/>
        <v>55.770057142857141</v>
      </c>
      <c r="I1600" s="212" t="s">
        <v>2354</v>
      </c>
    </row>
    <row r="1601" spans="1:9" x14ac:dyDescent="0.25">
      <c r="A1601" s="193" t="s">
        <v>220</v>
      </c>
      <c r="B1601" s="193" t="s">
        <v>2351</v>
      </c>
      <c r="C1601" s="214" t="s">
        <v>3437</v>
      </c>
      <c r="D1601" s="193" t="s">
        <v>3438</v>
      </c>
      <c r="E1601" s="212" t="s">
        <v>2387</v>
      </c>
      <c r="F1601" s="215">
        <v>36</v>
      </c>
      <c r="G1601" s="194">
        <v>4.5476999999999999</v>
      </c>
      <c r="H1601" s="195">
        <f t="shared" si="24"/>
        <v>163.71719999999999</v>
      </c>
      <c r="I1601" s="212" t="s">
        <v>2354</v>
      </c>
    </row>
    <row r="1602" spans="1:9" x14ac:dyDescent="0.25">
      <c r="A1602" s="193" t="s">
        <v>220</v>
      </c>
      <c r="B1602" s="193" t="s">
        <v>2351</v>
      </c>
      <c r="C1602" s="214" t="s">
        <v>3439</v>
      </c>
      <c r="D1602" s="193" t="s">
        <v>3440</v>
      </c>
      <c r="E1602" s="212" t="s">
        <v>545</v>
      </c>
      <c r="F1602" s="215">
        <v>13</v>
      </c>
      <c r="G1602" s="194">
        <v>34.704000000000001</v>
      </c>
      <c r="H1602" s="195">
        <f t="shared" si="24"/>
        <v>451.15199999999999</v>
      </c>
      <c r="I1602" s="212" t="s">
        <v>2354</v>
      </c>
    </row>
    <row r="1603" spans="1:9" x14ac:dyDescent="0.25">
      <c r="A1603" s="193" t="s">
        <v>220</v>
      </c>
      <c r="B1603" s="193" t="s">
        <v>2351</v>
      </c>
      <c r="C1603" s="214" t="s">
        <v>3441</v>
      </c>
      <c r="D1603" s="193" t="s">
        <v>3442</v>
      </c>
      <c r="E1603" s="212" t="s">
        <v>545</v>
      </c>
      <c r="F1603" s="215">
        <v>1</v>
      </c>
      <c r="G1603" s="194">
        <v>53.76</v>
      </c>
      <c r="H1603" s="195">
        <f t="shared" si="24"/>
        <v>53.76</v>
      </c>
      <c r="I1603" s="212" t="s">
        <v>2354</v>
      </c>
    </row>
    <row r="1604" spans="1:9" x14ac:dyDescent="0.25">
      <c r="A1604" s="193" t="s">
        <v>220</v>
      </c>
      <c r="B1604" s="193" t="s">
        <v>2351</v>
      </c>
      <c r="C1604" s="214" t="s">
        <v>3443</v>
      </c>
      <c r="D1604" s="193" t="s">
        <v>3444</v>
      </c>
      <c r="E1604" s="212" t="s">
        <v>545</v>
      </c>
      <c r="F1604" s="215">
        <v>2</v>
      </c>
      <c r="G1604" s="194">
        <v>24.678000000000001</v>
      </c>
      <c r="H1604" s="195">
        <f t="shared" si="24"/>
        <v>49.356000000000002</v>
      </c>
      <c r="I1604" s="212" t="s">
        <v>2354</v>
      </c>
    </row>
    <row r="1605" spans="1:9" x14ac:dyDescent="0.25">
      <c r="A1605" s="193" t="s">
        <v>220</v>
      </c>
      <c r="B1605" s="193" t="s">
        <v>2351</v>
      </c>
      <c r="C1605" s="214" t="s">
        <v>3445</v>
      </c>
      <c r="D1605" s="193" t="s">
        <v>3446</v>
      </c>
      <c r="E1605" s="212" t="s">
        <v>545</v>
      </c>
      <c r="F1605" s="215">
        <v>1</v>
      </c>
      <c r="G1605" s="194">
        <v>62.092799999999997</v>
      </c>
      <c r="H1605" s="195">
        <f t="shared" ref="H1605:H1668" si="25">+F1605*G1605</f>
        <v>62.092799999999997</v>
      </c>
      <c r="I1605" s="212" t="s">
        <v>2354</v>
      </c>
    </row>
    <row r="1606" spans="1:9" x14ac:dyDescent="0.25">
      <c r="A1606" s="193" t="s">
        <v>220</v>
      </c>
      <c r="B1606" s="193" t="s">
        <v>2351</v>
      </c>
      <c r="C1606" s="214" t="s">
        <v>3447</v>
      </c>
      <c r="D1606" s="193" t="s">
        <v>3448</v>
      </c>
      <c r="E1606" s="212" t="s">
        <v>545</v>
      </c>
      <c r="F1606" s="215">
        <v>1</v>
      </c>
      <c r="G1606" s="194">
        <v>46.98</v>
      </c>
      <c r="H1606" s="195">
        <f t="shared" si="25"/>
        <v>46.98</v>
      </c>
      <c r="I1606" s="212" t="s">
        <v>2354</v>
      </c>
    </row>
    <row r="1607" spans="1:9" x14ac:dyDescent="0.25">
      <c r="A1607" s="193" t="s">
        <v>220</v>
      </c>
      <c r="B1607" s="193" t="s">
        <v>2351</v>
      </c>
      <c r="C1607" s="214" t="s">
        <v>3449</v>
      </c>
      <c r="D1607" s="193" t="s">
        <v>3450</v>
      </c>
      <c r="E1607" s="212" t="s">
        <v>2387</v>
      </c>
      <c r="F1607" s="215">
        <v>8</v>
      </c>
      <c r="G1607" s="194">
        <v>3.0779999999999998</v>
      </c>
      <c r="H1607" s="195">
        <f t="shared" si="25"/>
        <v>24.623999999999999</v>
      </c>
      <c r="I1607" s="212" t="s">
        <v>2354</v>
      </c>
    </row>
    <row r="1608" spans="1:9" x14ac:dyDescent="0.25">
      <c r="A1608" s="193" t="s">
        <v>220</v>
      </c>
      <c r="B1608" s="193" t="s">
        <v>2351</v>
      </c>
      <c r="C1608" s="214" t="s">
        <v>3451</v>
      </c>
      <c r="D1608" s="193" t="s">
        <v>3452</v>
      </c>
      <c r="E1608" s="212" t="s">
        <v>2387</v>
      </c>
      <c r="F1608" s="215">
        <v>9</v>
      </c>
      <c r="G1608" s="194">
        <v>14.076000000000001</v>
      </c>
      <c r="H1608" s="195">
        <f t="shared" si="25"/>
        <v>126.684</v>
      </c>
      <c r="I1608" s="212" t="s">
        <v>2354</v>
      </c>
    </row>
    <row r="1609" spans="1:9" x14ac:dyDescent="0.25">
      <c r="A1609" s="193" t="s">
        <v>220</v>
      </c>
      <c r="B1609" s="193" t="s">
        <v>2351</v>
      </c>
      <c r="C1609" s="214" t="s">
        <v>3453</v>
      </c>
      <c r="D1609" s="193" t="s">
        <v>3454</v>
      </c>
      <c r="E1609" s="212" t="s">
        <v>545</v>
      </c>
      <c r="F1609" s="215">
        <v>170</v>
      </c>
      <c r="G1609" s="194">
        <v>1.1475</v>
      </c>
      <c r="H1609" s="195">
        <f t="shared" si="25"/>
        <v>195.07499999999999</v>
      </c>
      <c r="I1609" s="212" t="s">
        <v>2354</v>
      </c>
    </row>
    <row r="1610" spans="1:9" x14ac:dyDescent="0.25">
      <c r="A1610" s="193" t="s">
        <v>220</v>
      </c>
      <c r="B1610" s="193" t="s">
        <v>2351</v>
      </c>
      <c r="C1610" s="214" t="s">
        <v>3455</v>
      </c>
      <c r="D1610" s="193" t="s">
        <v>3456</v>
      </c>
      <c r="E1610" s="212" t="s">
        <v>2387</v>
      </c>
      <c r="F1610" s="215">
        <v>194</v>
      </c>
      <c r="G1610" s="194">
        <v>1.6575</v>
      </c>
      <c r="H1610" s="195">
        <f t="shared" si="25"/>
        <v>321.55500000000001</v>
      </c>
      <c r="I1610" s="212" t="s">
        <v>2354</v>
      </c>
    </row>
    <row r="1611" spans="1:9" x14ac:dyDescent="0.25">
      <c r="A1611" s="193" t="s">
        <v>220</v>
      </c>
      <c r="B1611" s="193" t="s">
        <v>2351</v>
      </c>
      <c r="C1611" s="214" t="s">
        <v>3457</v>
      </c>
      <c r="D1611" s="193" t="s">
        <v>3458</v>
      </c>
      <c r="E1611" s="212" t="s">
        <v>2387</v>
      </c>
      <c r="F1611" s="215">
        <v>173</v>
      </c>
      <c r="G1611" s="194">
        <v>1.1511</v>
      </c>
      <c r="H1611" s="195">
        <f t="shared" si="25"/>
        <v>199.1403</v>
      </c>
      <c r="I1611" s="212" t="s">
        <v>2354</v>
      </c>
    </row>
    <row r="1612" spans="1:9" x14ac:dyDescent="0.25">
      <c r="A1612" s="193" t="s">
        <v>220</v>
      </c>
      <c r="B1612" s="193" t="s">
        <v>2351</v>
      </c>
      <c r="C1612" s="214" t="s">
        <v>3459</v>
      </c>
      <c r="D1612" s="193" t="s">
        <v>3460</v>
      </c>
      <c r="E1612" s="212" t="s">
        <v>2387</v>
      </c>
      <c r="F1612" s="215">
        <v>150</v>
      </c>
      <c r="G1612" s="194">
        <v>2.5245000000000002</v>
      </c>
      <c r="H1612" s="195">
        <f t="shared" si="25"/>
        <v>378.67500000000001</v>
      </c>
      <c r="I1612" s="212" t="s">
        <v>2354</v>
      </c>
    </row>
    <row r="1613" spans="1:9" x14ac:dyDescent="0.25">
      <c r="A1613" s="193" t="s">
        <v>220</v>
      </c>
      <c r="B1613" s="193" t="s">
        <v>2351</v>
      </c>
      <c r="C1613" s="214" t="s">
        <v>3461</v>
      </c>
      <c r="D1613" s="193" t="s">
        <v>3462</v>
      </c>
      <c r="E1613" s="212" t="s">
        <v>545</v>
      </c>
      <c r="F1613" s="215">
        <v>50</v>
      </c>
      <c r="G1613" s="194">
        <v>3.33</v>
      </c>
      <c r="H1613" s="195">
        <f t="shared" si="25"/>
        <v>166.5</v>
      </c>
      <c r="I1613" s="212" t="s">
        <v>2354</v>
      </c>
    </row>
    <row r="1614" spans="1:9" x14ac:dyDescent="0.25">
      <c r="A1614" s="193" t="s">
        <v>220</v>
      </c>
      <c r="B1614" s="193" t="s">
        <v>2351</v>
      </c>
      <c r="C1614" s="214" t="s">
        <v>3463</v>
      </c>
      <c r="D1614" s="193" t="s">
        <v>3464</v>
      </c>
      <c r="E1614" s="212" t="s">
        <v>2387</v>
      </c>
      <c r="F1614" s="215">
        <v>16</v>
      </c>
      <c r="G1614" s="194">
        <v>2.2701799999999999</v>
      </c>
      <c r="H1614" s="195">
        <f t="shared" si="25"/>
        <v>36.322879999999998</v>
      </c>
      <c r="I1614" s="212" t="s">
        <v>2354</v>
      </c>
    </row>
    <row r="1615" spans="1:9" x14ac:dyDescent="0.25">
      <c r="A1615" s="193" t="s">
        <v>220</v>
      </c>
      <c r="B1615" s="193" t="s">
        <v>2351</v>
      </c>
      <c r="C1615" s="214" t="s">
        <v>3465</v>
      </c>
      <c r="D1615" s="193" t="s">
        <v>3466</v>
      </c>
      <c r="E1615" s="212" t="s">
        <v>545</v>
      </c>
      <c r="F1615" s="215">
        <v>11</v>
      </c>
      <c r="G1615" s="194">
        <v>8.0640000000000001</v>
      </c>
      <c r="H1615" s="195">
        <f t="shared" si="25"/>
        <v>88.704000000000008</v>
      </c>
      <c r="I1615" s="212" t="s">
        <v>2354</v>
      </c>
    </row>
    <row r="1616" spans="1:9" x14ac:dyDescent="0.25">
      <c r="A1616" s="193" t="s">
        <v>220</v>
      </c>
      <c r="B1616" s="193" t="s">
        <v>2351</v>
      </c>
      <c r="C1616" s="214" t="s">
        <v>3467</v>
      </c>
      <c r="D1616" s="193" t="s">
        <v>3468</v>
      </c>
      <c r="E1616" s="212" t="s">
        <v>545</v>
      </c>
      <c r="F1616" s="215">
        <v>20</v>
      </c>
      <c r="G1616" s="194">
        <v>2.0994999999999999</v>
      </c>
      <c r="H1616" s="195">
        <f t="shared" si="25"/>
        <v>41.989999999999995</v>
      </c>
      <c r="I1616" s="212" t="s">
        <v>2354</v>
      </c>
    </row>
    <row r="1617" spans="1:9" x14ac:dyDescent="0.25">
      <c r="A1617" s="193" t="s">
        <v>220</v>
      </c>
      <c r="B1617" s="193" t="s">
        <v>2351</v>
      </c>
      <c r="C1617" s="214" t="s">
        <v>3469</v>
      </c>
      <c r="D1617" s="193" t="s">
        <v>3470</v>
      </c>
      <c r="E1617" s="212" t="s">
        <v>545</v>
      </c>
      <c r="F1617" s="215">
        <v>7</v>
      </c>
      <c r="G1617" s="194">
        <v>3.2949999999999999</v>
      </c>
      <c r="H1617" s="195">
        <f t="shared" si="25"/>
        <v>23.064999999999998</v>
      </c>
      <c r="I1617" s="212" t="s">
        <v>2354</v>
      </c>
    </row>
    <row r="1618" spans="1:9" x14ac:dyDescent="0.25">
      <c r="A1618" s="193" t="s">
        <v>220</v>
      </c>
      <c r="B1618" s="193" t="s">
        <v>2351</v>
      </c>
      <c r="C1618" s="214" t="s">
        <v>3471</v>
      </c>
      <c r="D1618" s="193" t="s">
        <v>3472</v>
      </c>
      <c r="E1618" s="212" t="s">
        <v>545</v>
      </c>
      <c r="F1618" s="215">
        <v>2</v>
      </c>
      <c r="G1618" s="194">
        <v>6.8440500000000002</v>
      </c>
      <c r="H1618" s="195">
        <f t="shared" si="25"/>
        <v>13.6881</v>
      </c>
      <c r="I1618" s="212" t="s">
        <v>2354</v>
      </c>
    </row>
    <row r="1619" spans="1:9" x14ac:dyDescent="0.25">
      <c r="A1619" s="193" t="s">
        <v>220</v>
      </c>
      <c r="B1619" s="193" t="s">
        <v>2351</v>
      </c>
      <c r="C1619" s="214" t="s">
        <v>3473</v>
      </c>
      <c r="D1619" s="193" t="s">
        <v>3474</v>
      </c>
      <c r="E1619" s="212" t="s">
        <v>545</v>
      </c>
      <c r="F1619" s="215">
        <v>5</v>
      </c>
      <c r="G1619" s="194">
        <v>8.8757999999999999</v>
      </c>
      <c r="H1619" s="195">
        <f t="shared" si="25"/>
        <v>44.378999999999998</v>
      </c>
      <c r="I1619" s="212" t="s">
        <v>2354</v>
      </c>
    </row>
    <row r="1620" spans="1:9" x14ac:dyDescent="0.25">
      <c r="A1620" s="193" t="s">
        <v>220</v>
      </c>
      <c r="B1620" s="193" t="s">
        <v>2351</v>
      </c>
      <c r="C1620" s="214" t="s">
        <v>3475</v>
      </c>
      <c r="D1620" s="193" t="s">
        <v>3476</v>
      </c>
      <c r="E1620" s="212" t="s">
        <v>545</v>
      </c>
      <c r="F1620" s="215">
        <v>9</v>
      </c>
      <c r="G1620" s="194">
        <v>1.9379999999999999</v>
      </c>
      <c r="H1620" s="195">
        <f t="shared" si="25"/>
        <v>17.442</v>
      </c>
      <c r="I1620" s="212" t="s">
        <v>2354</v>
      </c>
    </row>
    <row r="1621" spans="1:9" x14ac:dyDescent="0.25">
      <c r="A1621" s="193" t="s">
        <v>220</v>
      </c>
      <c r="B1621" s="193" t="s">
        <v>2351</v>
      </c>
      <c r="C1621" s="214" t="s">
        <v>3477</v>
      </c>
      <c r="D1621" s="193" t="s">
        <v>3478</v>
      </c>
      <c r="E1621" s="212" t="s">
        <v>545</v>
      </c>
      <c r="F1621" s="215">
        <v>1</v>
      </c>
      <c r="G1621" s="194">
        <v>9.4499999999999993</v>
      </c>
      <c r="H1621" s="195">
        <f t="shared" si="25"/>
        <v>9.4499999999999993</v>
      </c>
      <c r="I1621" s="212" t="s">
        <v>2354</v>
      </c>
    </row>
    <row r="1622" spans="1:9" x14ac:dyDescent="0.25">
      <c r="A1622" s="193" t="s">
        <v>220</v>
      </c>
      <c r="B1622" s="193" t="s">
        <v>2351</v>
      </c>
      <c r="C1622" s="214" t="s">
        <v>3479</v>
      </c>
      <c r="D1622" s="193" t="s">
        <v>3480</v>
      </c>
      <c r="E1622" s="212" t="s">
        <v>545</v>
      </c>
      <c r="F1622" s="215">
        <v>9</v>
      </c>
      <c r="G1622" s="194">
        <v>2.5865999999999998</v>
      </c>
      <c r="H1622" s="195">
        <f t="shared" si="25"/>
        <v>23.279399999999999</v>
      </c>
      <c r="I1622" s="212" t="s">
        <v>2354</v>
      </c>
    </row>
    <row r="1623" spans="1:9" x14ac:dyDescent="0.25">
      <c r="A1623" s="193" t="s">
        <v>220</v>
      </c>
      <c r="B1623" s="193" t="s">
        <v>2351</v>
      </c>
      <c r="C1623" s="214" t="s">
        <v>3481</v>
      </c>
      <c r="D1623" s="193" t="s">
        <v>3482</v>
      </c>
      <c r="E1623" s="212" t="s">
        <v>545</v>
      </c>
      <c r="F1623" s="215">
        <v>3</v>
      </c>
      <c r="G1623" s="194">
        <v>16.520399999999999</v>
      </c>
      <c r="H1623" s="195">
        <f t="shared" si="25"/>
        <v>49.561199999999999</v>
      </c>
      <c r="I1623" s="212" t="s">
        <v>2354</v>
      </c>
    </row>
    <row r="1624" spans="1:9" x14ac:dyDescent="0.25">
      <c r="A1624" s="193" t="s">
        <v>220</v>
      </c>
      <c r="B1624" s="193" t="s">
        <v>2351</v>
      </c>
      <c r="C1624" s="214" t="s">
        <v>3483</v>
      </c>
      <c r="D1624" s="193" t="s">
        <v>3484</v>
      </c>
      <c r="E1624" s="212" t="s">
        <v>545</v>
      </c>
      <c r="F1624" s="215">
        <v>3</v>
      </c>
      <c r="G1624" s="194">
        <v>4.3019999999999996</v>
      </c>
      <c r="H1624" s="195">
        <f t="shared" si="25"/>
        <v>12.905999999999999</v>
      </c>
      <c r="I1624" s="212" t="s">
        <v>2354</v>
      </c>
    </row>
    <row r="1625" spans="1:9" x14ac:dyDescent="0.25">
      <c r="A1625" s="193" t="s">
        <v>220</v>
      </c>
      <c r="B1625" s="193" t="s">
        <v>2351</v>
      </c>
      <c r="C1625" s="214" t="s">
        <v>3485</v>
      </c>
      <c r="D1625" s="193" t="s">
        <v>3486</v>
      </c>
      <c r="E1625" s="212" t="s">
        <v>545</v>
      </c>
      <c r="F1625" s="215">
        <v>4</v>
      </c>
      <c r="G1625" s="194">
        <v>16.832000000000001</v>
      </c>
      <c r="H1625" s="195">
        <f t="shared" si="25"/>
        <v>67.328000000000003</v>
      </c>
      <c r="I1625" s="212" t="s">
        <v>2354</v>
      </c>
    </row>
    <row r="1626" spans="1:9" x14ac:dyDescent="0.25">
      <c r="A1626" s="193" t="s">
        <v>220</v>
      </c>
      <c r="B1626" s="193" t="s">
        <v>2351</v>
      </c>
      <c r="C1626" s="214" t="s">
        <v>3487</v>
      </c>
      <c r="D1626" s="193" t="s">
        <v>3488</v>
      </c>
      <c r="E1626" s="212" t="s">
        <v>545</v>
      </c>
      <c r="F1626" s="215">
        <v>1</v>
      </c>
      <c r="G1626" s="194">
        <v>15.4819</v>
      </c>
      <c r="H1626" s="195">
        <f t="shared" si="25"/>
        <v>15.4819</v>
      </c>
      <c r="I1626" s="212" t="s">
        <v>2354</v>
      </c>
    </row>
    <row r="1627" spans="1:9" x14ac:dyDescent="0.25">
      <c r="A1627" s="193" t="s">
        <v>220</v>
      </c>
      <c r="B1627" s="193" t="s">
        <v>2351</v>
      </c>
      <c r="C1627" s="214" t="s">
        <v>3489</v>
      </c>
      <c r="D1627" s="193" t="s">
        <v>3490</v>
      </c>
      <c r="E1627" s="212" t="s">
        <v>545</v>
      </c>
      <c r="F1627" s="215">
        <v>2</v>
      </c>
      <c r="G1627" s="194">
        <v>0.81430000000000002</v>
      </c>
      <c r="H1627" s="195">
        <f t="shared" si="25"/>
        <v>1.6286</v>
      </c>
      <c r="I1627" s="212" t="s">
        <v>2354</v>
      </c>
    </row>
    <row r="1628" spans="1:9" x14ac:dyDescent="0.25">
      <c r="A1628" s="193" t="s">
        <v>220</v>
      </c>
      <c r="B1628" s="193" t="s">
        <v>2351</v>
      </c>
      <c r="C1628" s="214" t="s">
        <v>3491</v>
      </c>
      <c r="D1628" s="193" t="s">
        <v>3492</v>
      </c>
      <c r="E1628" s="212" t="s">
        <v>545</v>
      </c>
      <c r="F1628" s="215">
        <v>2</v>
      </c>
      <c r="G1628" s="194">
        <v>11.490237762237765</v>
      </c>
      <c r="H1628" s="195">
        <f t="shared" si="25"/>
        <v>22.98047552447553</v>
      </c>
      <c r="I1628" s="212" t="s">
        <v>2354</v>
      </c>
    </row>
    <row r="1629" spans="1:9" x14ac:dyDescent="0.25">
      <c r="A1629" s="193" t="s">
        <v>220</v>
      </c>
      <c r="B1629" s="193" t="s">
        <v>2351</v>
      </c>
      <c r="C1629" s="214" t="s">
        <v>3493</v>
      </c>
      <c r="D1629" s="193" t="s">
        <v>3494</v>
      </c>
      <c r="E1629" s="212" t="s">
        <v>545</v>
      </c>
      <c r="F1629" s="215">
        <v>1</v>
      </c>
      <c r="G1629" s="194">
        <v>24.4375</v>
      </c>
      <c r="H1629" s="195">
        <f t="shared" si="25"/>
        <v>24.4375</v>
      </c>
      <c r="I1629" s="212" t="s">
        <v>2354</v>
      </c>
    </row>
    <row r="1630" spans="1:9" x14ac:dyDescent="0.25">
      <c r="A1630" s="193" t="s">
        <v>220</v>
      </c>
      <c r="B1630" s="193" t="s">
        <v>2351</v>
      </c>
      <c r="C1630" s="214" t="s">
        <v>3495</v>
      </c>
      <c r="D1630" s="193" t="s">
        <v>3496</v>
      </c>
      <c r="E1630" s="212" t="s">
        <v>545</v>
      </c>
      <c r="F1630" s="215">
        <v>18</v>
      </c>
      <c r="G1630" s="194">
        <v>2.3460000000000001</v>
      </c>
      <c r="H1630" s="195">
        <f t="shared" si="25"/>
        <v>42.228000000000002</v>
      </c>
      <c r="I1630" s="212" t="s">
        <v>2354</v>
      </c>
    </row>
    <row r="1631" spans="1:9" x14ac:dyDescent="0.25">
      <c r="A1631" s="193" t="s">
        <v>220</v>
      </c>
      <c r="B1631" s="193" t="s">
        <v>2351</v>
      </c>
      <c r="C1631" s="214" t="s">
        <v>3497</v>
      </c>
      <c r="D1631" s="193" t="s">
        <v>3498</v>
      </c>
      <c r="E1631" s="212" t="s">
        <v>545</v>
      </c>
      <c r="F1631" s="215">
        <v>2</v>
      </c>
      <c r="G1631" s="194">
        <v>8.5</v>
      </c>
      <c r="H1631" s="195">
        <f t="shared" si="25"/>
        <v>17</v>
      </c>
      <c r="I1631" s="212" t="s">
        <v>2354</v>
      </c>
    </row>
    <row r="1632" spans="1:9" x14ac:dyDescent="0.25">
      <c r="A1632" s="193" t="s">
        <v>220</v>
      </c>
      <c r="B1632" s="193" t="s">
        <v>2351</v>
      </c>
      <c r="C1632" s="214" t="s">
        <v>3499</v>
      </c>
      <c r="D1632" s="193" t="s">
        <v>3500</v>
      </c>
      <c r="E1632" s="212" t="s">
        <v>545</v>
      </c>
      <c r="F1632" s="215">
        <v>5</v>
      </c>
      <c r="G1632" s="194">
        <v>3.7376999999999998</v>
      </c>
      <c r="H1632" s="195">
        <f t="shared" si="25"/>
        <v>18.688499999999998</v>
      </c>
      <c r="I1632" s="212" t="s">
        <v>2354</v>
      </c>
    </row>
    <row r="1633" spans="1:9" x14ac:dyDescent="0.25">
      <c r="A1633" s="193" t="s">
        <v>220</v>
      </c>
      <c r="B1633" s="193" t="s">
        <v>2351</v>
      </c>
      <c r="C1633" s="214" t="s">
        <v>3501</v>
      </c>
      <c r="D1633" s="193" t="s">
        <v>3502</v>
      </c>
      <c r="E1633" s="212" t="s">
        <v>545</v>
      </c>
      <c r="F1633" s="215">
        <v>3</v>
      </c>
      <c r="G1633" s="194">
        <v>2.9015151515151514</v>
      </c>
      <c r="H1633" s="195">
        <f t="shared" si="25"/>
        <v>8.7045454545454533</v>
      </c>
      <c r="I1633" s="212" t="s">
        <v>2354</v>
      </c>
    </row>
    <row r="1634" spans="1:9" x14ac:dyDescent="0.25">
      <c r="A1634" s="193" t="s">
        <v>220</v>
      </c>
      <c r="B1634" s="193" t="s">
        <v>2351</v>
      </c>
      <c r="C1634" s="214" t="s">
        <v>3503</v>
      </c>
      <c r="D1634" s="193" t="s">
        <v>3504</v>
      </c>
      <c r="E1634" s="212" t="s">
        <v>545</v>
      </c>
      <c r="F1634" s="215">
        <v>10</v>
      </c>
      <c r="G1634" s="194">
        <v>2.448</v>
      </c>
      <c r="H1634" s="195">
        <f t="shared" si="25"/>
        <v>24.48</v>
      </c>
      <c r="I1634" s="212" t="s">
        <v>2354</v>
      </c>
    </row>
    <row r="1635" spans="1:9" x14ac:dyDescent="0.25">
      <c r="A1635" s="193" t="s">
        <v>220</v>
      </c>
      <c r="B1635" s="193" t="s">
        <v>2351</v>
      </c>
      <c r="C1635" s="214" t="s">
        <v>3505</v>
      </c>
      <c r="D1635" s="193" t="s">
        <v>3506</v>
      </c>
      <c r="E1635" s="212" t="s">
        <v>545</v>
      </c>
      <c r="F1635" s="215">
        <v>1</v>
      </c>
      <c r="G1635" s="194">
        <v>11.22</v>
      </c>
      <c r="H1635" s="195">
        <f t="shared" si="25"/>
        <v>11.22</v>
      </c>
      <c r="I1635" s="212" t="s">
        <v>2354</v>
      </c>
    </row>
    <row r="1636" spans="1:9" x14ac:dyDescent="0.25">
      <c r="A1636" s="193" t="s">
        <v>220</v>
      </c>
      <c r="B1636" s="193" t="s">
        <v>2351</v>
      </c>
      <c r="C1636" s="214" t="s">
        <v>3507</v>
      </c>
      <c r="D1636" s="193" t="s">
        <v>3508</v>
      </c>
      <c r="E1636" s="212" t="s">
        <v>545</v>
      </c>
      <c r="F1636" s="215">
        <v>2</v>
      </c>
      <c r="G1636" s="194">
        <v>8.8308</v>
      </c>
      <c r="H1636" s="195">
        <f t="shared" si="25"/>
        <v>17.6616</v>
      </c>
      <c r="I1636" s="212" t="s">
        <v>2354</v>
      </c>
    </row>
    <row r="1637" spans="1:9" x14ac:dyDescent="0.25">
      <c r="A1637" s="193" t="s">
        <v>220</v>
      </c>
      <c r="B1637" s="193" t="s">
        <v>2351</v>
      </c>
      <c r="C1637" s="214" t="s">
        <v>3509</v>
      </c>
      <c r="D1637" s="193" t="s">
        <v>3510</v>
      </c>
      <c r="E1637" s="212" t="s">
        <v>545</v>
      </c>
      <c r="F1637" s="215">
        <v>1</v>
      </c>
      <c r="G1637" s="194">
        <v>37.822742857142863</v>
      </c>
      <c r="H1637" s="195">
        <f t="shared" si="25"/>
        <v>37.822742857142863</v>
      </c>
      <c r="I1637" s="212" t="s">
        <v>2354</v>
      </c>
    </row>
    <row r="1638" spans="1:9" x14ac:dyDescent="0.25">
      <c r="A1638" s="193" t="s">
        <v>220</v>
      </c>
      <c r="B1638" s="193" t="s">
        <v>2351</v>
      </c>
      <c r="C1638" s="214" t="s">
        <v>3511</v>
      </c>
      <c r="D1638" s="193" t="s">
        <v>3512</v>
      </c>
      <c r="E1638" s="212" t="s">
        <v>545</v>
      </c>
      <c r="F1638" s="215">
        <v>1</v>
      </c>
      <c r="G1638" s="194">
        <v>40.950000000000003</v>
      </c>
      <c r="H1638" s="195">
        <f t="shared" si="25"/>
        <v>40.950000000000003</v>
      </c>
      <c r="I1638" s="212" t="s">
        <v>2354</v>
      </c>
    </row>
    <row r="1639" spans="1:9" x14ac:dyDescent="0.25">
      <c r="A1639" s="193" t="s">
        <v>220</v>
      </c>
      <c r="B1639" s="193" t="s">
        <v>2351</v>
      </c>
      <c r="C1639" s="214" t="s">
        <v>3513</v>
      </c>
      <c r="D1639" s="193" t="s">
        <v>3514</v>
      </c>
      <c r="E1639" s="212" t="s">
        <v>545</v>
      </c>
      <c r="F1639" s="215">
        <v>2</v>
      </c>
      <c r="G1639" s="194">
        <v>2.7709999999999999</v>
      </c>
      <c r="H1639" s="195">
        <f t="shared" si="25"/>
        <v>5.5419999999999998</v>
      </c>
      <c r="I1639" s="212" t="s">
        <v>2354</v>
      </c>
    </row>
    <row r="1640" spans="1:9" x14ac:dyDescent="0.25">
      <c r="A1640" s="193" t="s">
        <v>220</v>
      </c>
      <c r="B1640" s="193" t="s">
        <v>2351</v>
      </c>
      <c r="C1640" s="214" t="s">
        <v>3515</v>
      </c>
      <c r="D1640" s="193" t="s">
        <v>3516</v>
      </c>
      <c r="E1640" s="212" t="s">
        <v>545</v>
      </c>
      <c r="F1640" s="215">
        <v>2</v>
      </c>
      <c r="G1640" s="194">
        <v>16.531649999999999</v>
      </c>
      <c r="H1640" s="195">
        <f t="shared" si="25"/>
        <v>33.063299999999998</v>
      </c>
      <c r="I1640" s="212" t="s">
        <v>2354</v>
      </c>
    </row>
    <row r="1641" spans="1:9" x14ac:dyDescent="0.25">
      <c r="A1641" s="193" t="s">
        <v>220</v>
      </c>
      <c r="B1641" s="193" t="s">
        <v>2351</v>
      </c>
      <c r="C1641" s="214" t="s">
        <v>3517</v>
      </c>
      <c r="D1641" s="193" t="s">
        <v>3518</v>
      </c>
      <c r="E1641" s="212" t="s">
        <v>545</v>
      </c>
      <c r="F1641" s="215">
        <v>10</v>
      </c>
      <c r="G1641" s="194">
        <v>2.0655000000000001</v>
      </c>
      <c r="H1641" s="195">
        <f t="shared" si="25"/>
        <v>20.655000000000001</v>
      </c>
      <c r="I1641" s="212" t="s">
        <v>2354</v>
      </c>
    </row>
    <row r="1642" spans="1:9" x14ac:dyDescent="0.25">
      <c r="A1642" s="193" t="s">
        <v>220</v>
      </c>
      <c r="B1642" s="193" t="s">
        <v>2351</v>
      </c>
      <c r="C1642" s="214" t="s">
        <v>3519</v>
      </c>
      <c r="D1642" s="193" t="s">
        <v>3520</v>
      </c>
      <c r="E1642" s="212" t="s">
        <v>545</v>
      </c>
      <c r="F1642" s="215">
        <v>2</v>
      </c>
      <c r="G1642" s="194">
        <v>2.1383999999999999</v>
      </c>
      <c r="H1642" s="195">
        <f t="shared" si="25"/>
        <v>4.2767999999999997</v>
      </c>
      <c r="I1642" s="212" t="s">
        <v>2354</v>
      </c>
    </row>
    <row r="1643" spans="1:9" x14ac:dyDescent="0.25">
      <c r="A1643" s="193" t="s">
        <v>220</v>
      </c>
      <c r="B1643" s="193" t="s">
        <v>2351</v>
      </c>
      <c r="C1643" s="214" t="s">
        <v>3521</v>
      </c>
      <c r="D1643" s="193" t="s">
        <v>3522</v>
      </c>
      <c r="E1643" s="212" t="s">
        <v>545</v>
      </c>
      <c r="F1643" s="215">
        <v>9</v>
      </c>
      <c r="G1643" s="194">
        <v>4.0460000000000003</v>
      </c>
      <c r="H1643" s="195">
        <f t="shared" si="25"/>
        <v>36.414000000000001</v>
      </c>
      <c r="I1643" s="212" t="s">
        <v>2354</v>
      </c>
    </row>
    <row r="1644" spans="1:9" x14ac:dyDescent="0.25">
      <c r="A1644" s="193" t="s">
        <v>220</v>
      </c>
      <c r="B1644" s="193" t="s">
        <v>2351</v>
      </c>
      <c r="C1644" s="214" t="s">
        <v>3523</v>
      </c>
      <c r="D1644" s="193" t="s">
        <v>3524</v>
      </c>
      <c r="E1644" s="212" t="s">
        <v>545</v>
      </c>
      <c r="F1644" s="215">
        <v>16</v>
      </c>
      <c r="G1644" s="194">
        <v>1.153</v>
      </c>
      <c r="H1644" s="195">
        <f t="shared" si="25"/>
        <v>18.448</v>
      </c>
      <c r="I1644" s="212" t="s">
        <v>2354</v>
      </c>
    </row>
    <row r="1645" spans="1:9" x14ac:dyDescent="0.25">
      <c r="A1645" s="193" t="s">
        <v>220</v>
      </c>
      <c r="B1645" s="193" t="s">
        <v>2351</v>
      </c>
      <c r="C1645" s="214" t="s">
        <v>3525</v>
      </c>
      <c r="D1645" s="193" t="s">
        <v>3526</v>
      </c>
      <c r="E1645" s="212" t="s">
        <v>545</v>
      </c>
      <c r="F1645" s="215">
        <v>7</v>
      </c>
      <c r="G1645" s="194">
        <v>0.8075</v>
      </c>
      <c r="H1645" s="195">
        <f t="shared" si="25"/>
        <v>5.6524999999999999</v>
      </c>
      <c r="I1645" s="212" t="s">
        <v>2354</v>
      </c>
    </row>
    <row r="1646" spans="1:9" x14ac:dyDescent="0.25">
      <c r="A1646" s="193" t="s">
        <v>220</v>
      </c>
      <c r="B1646" s="193" t="s">
        <v>2351</v>
      </c>
      <c r="C1646" s="214" t="s">
        <v>3527</v>
      </c>
      <c r="D1646" s="193" t="s">
        <v>3528</v>
      </c>
      <c r="E1646" s="212" t="s">
        <v>545</v>
      </c>
      <c r="F1646" s="215">
        <v>2</v>
      </c>
      <c r="G1646" s="194">
        <v>1.0250999999999999</v>
      </c>
      <c r="H1646" s="195">
        <f t="shared" si="25"/>
        <v>2.0501999999999998</v>
      </c>
      <c r="I1646" s="212" t="s">
        <v>2354</v>
      </c>
    </row>
    <row r="1647" spans="1:9" x14ac:dyDescent="0.25">
      <c r="A1647" s="193" t="s">
        <v>220</v>
      </c>
      <c r="B1647" s="193" t="s">
        <v>2351</v>
      </c>
      <c r="C1647" s="214" t="s">
        <v>3529</v>
      </c>
      <c r="D1647" s="193" t="s">
        <v>3530</v>
      </c>
      <c r="E1647" s="212" t="s">
        <v>545</v>
      </c>
      <c r="F1647" s="215">
        <v>6</v>
      </c>
      <c r="G1647" s="194">
        <v>3.103017857142857</v>
      </c>
      <c r="H1647" s="195">
        <f t="shared" si="25"/>
        <v>18.618107142857141</v>
      </c>
      <c r="I1647" s="212" t="s">
        <v>2354</v>
      </c>
    </row>
    <row r="1648" spans="1:9" x14ac:dyDescent="0.25">
      <c r="A1648" s="193" t="s">
        <v>220</v>
      </c>
      <c r="B1648" s="193" t="s">
        <v>2351</v>
      </c>
      <c r="C1648" s="214" t="s">
        <v>3531</v>
      </c>
      <c r="D1648" s="193" t="s">
        <v>3532</v>
      </c>
      <c r="E1648" s="212" t="s">
        <v>545</v>
      </c>
      <c r="F1648" s="215">
        <v>39</v>
      </c>
      <c r="G1648" s="194">
        <v>0.63154999999999994</v>
      </c>
      <c r="H1648" s="195">
        <f t="shared" si="25"/>
        <v>24.630449999999996</v>
      </c>
      <c r="I1648" s="212" t="s">
        <v>2354</v>
      </c>
    </row>
    <row r="1649" spans="1:9" x14ac:dyDescent="0.25">
      <c r="A1649" s="193" t="s">
        <v>220</v>
      </c>
      <c r="B1649" s="193" t="s">
        <v>2351</v>
      </c>
      <c r="C1649" s="214" t="s">
        <v>3533</v>
      </c>
      <c r="D1649" s="193" t="s">
        <v>3534</v>
      </c>
      <c r="E1649" s="212" t="s">
        <v>545</v>
      </c>
      <c r="F1649" s="215">
        <v>13</v>
      </c>
      <c r="G1649" s="194">
        <v>2.3913333333333338</v>
      </c>
      <c r="H1649" s="195">
        <f t="shared" si="25"/>
        <v>31.087333333333341</v>
      </c>
      <c r="I1649" s="212" t="s">
        <v>2354</v>
      </c>
    </row>
    <row r="1650" spans="1:9" x14ac:dyDescent="0.25">
      <c r="A1650" s="193" t="s">
        <v>220</v>
      </c>
      <c r="B1650" s="193" t="s">
        <v>2351</v>
      </c>
      <c r="C1650" s="214" t="s">
        <v>3535</v>
      </c>
      <c r="D1650" s="193" t="s">
        <v>3536</v>
      </c>
      <c r="E1650" s="212" t="s">
        <v>545</v>
      </c>
      <c r="F1650" s="215">
        <v>34</v>
      </c>
      <c r="G1650" s="194">
        <v>6.7829999999999995</v>
      </c>
      <c r="H1650" s="195">
        <f t="shared" si="25"/>
        <v>230.62199999999999</v>
      </c>
      <c r="I1650" s="212" t="s">
        <v>2354</v>
      </c>
    </row>
    <row r="1651" spans="1:9" x14ac:dyDescent="0.25">
      <c r="A1651" s="193" t="s">
        <v>220</v>
      </c>
      <c r="B1651" s="193" t="s">
        <v>2351</v>
      </c>
      <c r="C1651" s="214" t="s">
        <v>3537</v>
      </c>
      <c r="D1651" s="193" t="s">
        <v>3538</v>
      </c>
      <c r="E1651" s="212" t="s">
        <v>545</v>
      </c>
      <c r="F1651" s="215">
        <v>2</v>
      </c>
      <c r="G1651" s="194">
        <v>9.9719999999999995</v>
      </c>
      <c r="H1651" s="195">
        <f t="shared" si="25"/>
        <v>19.943999999999999</v>
      </c>
      <c r="I1651" s="212" t="s">
        <v>2354</v>
      </c>
    </row>
    <row r="1652" spans="1:9" x14ac:dyDescent="0.25">
      <c r="A1652" s="193" t="s">
        <v>220</v>
      </c>
      <c r="B1652" s="193" t="s">
        <v>2351</v>
      </c>
      <c r="C1652" s="214" t="s">
        <v>3539</v>
      </c>
      <c r="D1652" s="193" t="s">
        <v>3540</v>
      </c>
      <c r="E1652" s="212" t="s">
        <v>545</v>
      </c>
      <c r="F1652" s="215">
        <v>5</v>
      </c>
      <c r="G1652" s="194">
        <v>11.917</v>
      </c>
      <c r="H1652" s="195">
        <f t="shared" si="25"/>
        <v>59.585000000000001</v>
      </c>
      <c r="I1652" s="212" t="s">
        <v>2354</v>
      </c>
    </row>
    <row r="1653" spans="1:9" x14ac:dyDescent="0.25">
      <c r="A1653" s="193" t="s">
        <v>220</v>
      </c>
      <c r="B1653" s="193" t="s">
        <v>2351</v>
      </c>
      <c r="C1653" s="214" t="s">
        <v>3541</v>
      </c>
      <c r="D1653" s="193" t="s">
        <v>3542</v>
      </c>
      <c r="E1653" s="212" t="s">
        <v>545</v>
      </c>
      <c r="F1653" s="215">
        <v>4</v>
      </c>
      <c r="G1653" s="194">
        <v>3.2937500000000002</v>
      </c>
      <c r="H1653" s="195">
        <f t="shared" si="25"/>
        <v>13.175000000000001</v>
      </c>
      <c r="I1653" s="212" t="s">
        <v>2354</v>
      </c>
    </row>
    <row r="1654" spans="1:9" x14ac:dyDescent="0.25">
      <c r="A1654" s="193" t="s">
        <v>220</v>
      </c>
      <c r="B1654" s="193" t="s">
        <v>2351</v>
      </c>
      <c r="C1654" s="214" t="s">
        <v>3543</v>
      </c>
      <c r="D1654" s="193" t="s">
        <v>3544</v>
      </c>
      <c r="E1654" s="212" t="s">
        <v>545</v>
      </c>
      <c r="F1654" s="215">
        <v>25</v>
      </c>
      <c r="G1654" s="194">
        <v>6.85</v>
      </c>
      <c r="H1654" s="195">
        <f t="shared" si="25"/>
        <v>171.25</v>
      </c>
      <c r="I1654" s="212" t="s">
        <v>2354</v>
      </c>
    </row>
    <row r="1655" spans="1:9" x14ac:dyDescent="0.25">
      <c r="A1655" s="193" t="s">
        <v>220</v>
      </c>
      <c r="B1655" s="193" t="s">
        <v>2351</v>
      </c>
      <c r="C1655" s="214" t="s">
        <v>3545</v>
      </c>
      <c r="D1655" s="193" t="s">
        <v>3546</v>
      </c>
      <c r="E1655" s="212" t="s">
        <v>545</v>
      </c>
      <c r="F1655" s="215">
        <v>7</v>
      </c>
      <c r="G1655" s="194">
        <v>2.7899999999999996</v>
      </c>
      <c r="H1655" s="195">
        <f t="shared" si="25"/>
        <v>19.529999999999998</v>
      </c>
      <c r="I1655" s="212" t="s">
        <v>2354</v>
      </c>
    </row>
    <row r="1656" spans="1:9" x14ac:dyDescent="0.25">
      <c r="A1656" s="193" t="s">
        <v>220</v>
      </c>
      <c r="B1656" s="193" t="s">
        <v>2351</v>
      </c>
      <c r="C1656" s="214" t="s">
        <v>3547</v>
      </c>
      <c r="D1656" s="193" t="s">
        <v>3548</v>
      </c>
      <c r="E1656" s="212" t="s">
        <v>545</v>
      </c>
      <c r="F1656" s="215">
        <v>37</v>
      </c>
      <c r="G1656" s="194">
        <v>3.8079999999999998</v>
      </c>
      <c r="H1656" s="195">
        <f t="shared" si="25"/>
        <v>140.89599999999999</v>
      </c>
      <c r="I1656" s="212" t="s">
        <v>2354</v>
      </c>
    </row>
    <row r="1657" spans="1:9" x14ac:dyDescent="0.25">
      <c r="A1657" s="193" t="s">
        <v>220</v>
      </c>
      <c r="B1657" s="193" t="s">
        <v>2351</v>
      </c>
      <c r="C1657" s="214" t="s">
        <v>3549</v>
      </c>
      <c r="D1657" s="193" t="s">
        <v>3550</v>
      </c>
      <c r="E1657" s="212" t="s">
        <v>545</v>
      </c>
      <c r="F1657" s="215">
        <v>5</v>
      </c>
      <c r="G1657" s="194">
        <v>8.264325358851675</v>
      </c>
      <c r="H1657" s="195">
        <f t="shared" si="25"/>
        <v>41.321626794258378</v>
      </c>
      <c r="I1657" s="212" t="s">
        <v>2354</v>
      </c>
    </row>
    <row r="1658" spans="1:9" x14ac:dyDescent="0.25">
      <c r="A1658" s="193" t="s">
        <v>220</v>
      </c>
      <c r="B1658" s="193" t="s">
        <v>2351</v>
      </c>
      <c r="C1658" s="214" t="s">
        <v>3551</v>
      </c>
      <c r="D1658" s="193" t="s">
        <v>3552</v>
      </c>
      <c r="E1658" s="212" t="s">
        <v>545</v>
      </c>
      <c r="F1658" s="215">
        <v>25</v>
      </c>
      <c r="G1658" s="194">
        <v>3.3299999999999996</v>
      </c>
      <c r="H1658" s="195">
        <f t="shared" si="25"/>
        <v>83.249999999999986</v>
      </c>
      <c r="I1658" s="212" t="s">
        <v>2354</v>
      </c>
    </row>
    <row r="1659" spans="1:9" x14ac:dyDescent="0.25">
      <c r="A1659" s="193" t="s">
        <v>220</v>
      </c>
      <c r="B1659" s="193" t="s">
        <v>2351</v>
      </c>
      <c r="C1659" s="214" t="s">
        <v>3553</v>
      </c>
      <c r="D1659" s="193" t="s">
        <v>3554</v>
      </c>
      <c r="E1659" s="212" t="s">
        <v>545</v>
      </c>
      <c r="F1659" s="215">
        <v>40</v>
      </c>
      <c r="G1659" s="194">
        <v>3.298</v>
      </c>
      <c r="H1659" s="195">
        <f t="shared" si="25"/>
        <v>131.92000000000002</v>
      </c>
      <c r="I1659" s="212" t="s">
        <v>2354</v>
      </c>
    </row>
    <row r="1660" spans="1:9" x14ac:dyDescent="0.25">
      <c r="A1660" s="193" t="s">
        <v>220</v>
      </c>
      <c r="B1660" s="193" t="s">
        <v>2351</v>
      </c>
      <c r="C1660" s="214" t="s">
        <v>3555</v>
      </c>
      <c r="D1660" s="193" t="s">
        <v>3556</v>
      </c>
      <c r="E1660" s="212" t="s">
        <v>545</v>
      </c>
      <c r="F1660" s="215">
        <v>43</v>
      </c>
      <c r="G1660" s="194">
        <v>4.0205000000000002</v>
      </c>
      <c r="H1660" s="195">
        <f t="shared" si="25"/>
        <v>172.88150000000002</v>
      </c>
      <c r="I1660" s="212" t="s">
        <v>2354</v>
      </c>
    </row>
    <row r="1661" spans="1:9" x14ac:dyDescent="0.25">
      <c r="A1661" s="193" t="s">
        <v>220</v>
      </c>
      <c r="B1661" s="193" t="s">
        <v>2351</v>
      </c>
      <c r="C1661" s="214" t="s">
        <v>3557</v>
      </c>
      <c r="D1661" s="193" t="s">
        <v>3558</v>
      </c>
      <c r="E1661" s="212" t="s">
        <v>545</v>
      </c>
      <c r="F1661" s="215">
        <v>27</v>
      </c>
      <c r="G1661" s="194">
        <v>2.6549999999999998</v>
      </c>
      <c r="H1661" s="195">
        <f t="shared" si="25"/>
        <v>71.684999999999988</v>
      </c>
      <c r="I1661" s="212" t="s">
        <v>2354</v>
      </c>
    </row>
    <row r="1662" spans="1:9" x14ac:dyDescent="0.25">
      <c r="A1662" s="193" t="s">
        <v>220</v>
      </c>
      <c r="B1662" s="193" t="s">
        <v>2351</v>
      </c>
      <c r="C1662" s="214" t="s">
        <v>3559</v>
      </c>
      <c r="D1662" s="193" t="s">
        <v>3560</v>
      </c>
      <c r="E1662" s="212" t="s">
        <v>545</v>
      </c>
      <c r="F1662" s="215">
        <v>70</v>
      </c>
      <c r="G1662" s="194">
        <v>4.8150000000000004</v>
      </c>
      <c r="H1662" s="195">
        <f t="shared" si="25"/>
        <v>337.05</v>
      </c>
      <c r="I1662" s="212" t="s">
        <v>2354</v>
      </c>
    </row>
    <row r="1663" spans="1:9" x14ac:dyDescent="0.25">
      <c r="A1663" s="193" t="s">
        <v>220</v>
      </c>
      <c r="B1663" s="193" t="s">
        <v>2351</v>
      </c>
      <c r="C1663" s="214" t="s">
        <v>3561</v>
      </c>
      <c r="D1663" s="193" t="s">
        <v>3562</v>
      </c>
      <c r="E1663" s="212" t="s">
        <v>545</v>
      </c>
      <c r="F1663" s="215">
        <v>51</v>
      </c>
      <c r="G1663" s="194">
        <v>1.7100000000000002</v>
      </c>
      <c r="H1663" s="195">
        <f t="shared" si="25"/>
        <v>87.210000000000008</v>
      </c>
      <c r="I1663" s="212" t="s">
        <v>2354</v>
      </c>
    </row>
    <row r="1664" spans="1:9" x14ac:dyDescent="0.25">
      <c r="A1664" s="193" t="s">
        <v>220</v>
      </c>
      <c r="B1664" s="193" t="s">
        <v>2351</v>
      </c>
      <c r="C1664" s="214" t="s">
        <v>3563</v>
      </c>
      <c r="D1664" s="193" t="s">
        <v>3564</v>
      </c>
      <c r="E1664" s="212" t="s">
        <v>545</v>
      </c>
      <c r="F1664" s="215">
        <v>28</v>
      </c>
      <c r="G1664" s="194">
        <v>1.7100000000000002</v>
      </c>
      <c r="H1664" s="195">
        <f t="shared" si="25"/>
        <v>47.88</v>
      </c>
      <c r="I1664" s="212" t="s">
        <v>2354</v>
      </c>
    </row>
    <row r="1665" spans="1:9" x14ac:dyDescent="0.25">
      <c r="A1665" s="193" t="s">
        <v>220</v>
      </c>
      <c r="B1665" s="193" t="s">
        <v>2351</v>
      </c>
      <c r="C1665" s="214" t="s">
        <v>3565</v>
      </c>
      <c r="D1665" s="193" t="s">
        <v>3566</v>
      </c>
      <c r="E1665" s="212" t="s">
        <v>545</v>
      </c>
      <c r="F1665" s="215">
        <v>55</v>
      </c>
      <c r="G1665" s="194">
        <v>2.7879999999999998</v>
      </c>
      <c r="H1665" s="195">
        <f t="shared" si="25"/>
        <v>153.34</v>
      </c>
      <c r="I1665" s="212" t="s">
        <v>2354</v>
      </c>
    </row>
    <row r="1666" spans="1:9" x14ac:dyDescent="0.25">
      <c r="A1666" s="193" t="s">
        <v>220</v>
      </c>
      <c r="B1666" s="193" t="s">
        <v>2351</v>
      </c>
      <c r="C1666" s="214" t="s">
        <v>3567</v>
      </c>
      <c r="D1666" s="193" t="s">
        <v>3568</v>
      </c>
      <c r="E1666" s="212" t="s">
        <v>545</v>
      </c>
      <c r="F1666" s="215">
        <v>10</v>
      </c>
      <c r="G1666" s="194">
        <v>7.2479626957759846</v>
      </c>
      <c r="H1666" s="195">
        <f t="shared" si="25"/>
        <v>72.479626957759848</v>
      </c>
      <c r="I1666" s="212" t="s">
        <v>2354</v>
      </c>
    </row>
    <row r="1667" spans="1:9" x14ac:dyDescent="0.25">
      <c r="A1667" s="193" t="s">
        <v>220</v>
      </c>
      <c r="B1667" s="193" t="s">
        <v>2351</v>
      </c>
      <c r="C1667" s="214" t="s">
        <v>3569</v>
      </c>
      <c r="D1667" s="193" t="s">
        <v>3570</v>
      </c>
      <c r="E1667" s="212" t="s">
        <v>545</v>
      </c>
      <c r="F1667" s="215">
        <v>12</v>
      </c>
      <c r="G1667" s="194">
        <v>1.5299999999999998</v>
      </c>
      <c r="H1667" s="195">
        <f t="shared" si="25"/>
        <v>18.36</v>
      </c>
      <c r="I1667" s="212" t="s">
        <v>2354</v>
      </c>
    </row>
    <row r="1668" spans="1:9" x14ac:dyDescent="0.25">
      <c r="A1668" s="193" t="s">
        <v>220</v>
      </c>
      <c r="B1668" s="193" t="s">
        <v>2351</v>
      </c>
      <c r="C1668" s="214" t="s">
        <v>3571</v>
      </c>
      <c r="D1668" s="193" t="s">
        <v>3572</v>
      </c>
      <c r="E1668" s="212" t="s">
        <v>545</v>
      </c>
      <c r="F1668" s="215">
        <v>7</v>
      </c>
      <c r="G1668" s="194">
        <v>13.428499999999998</v>
      </c>
      <c r="H1668" s="195">
        <f t="shared" si="25"/>
        <v>93.999499999999983</v>
      </c>
      <c r="I1668" s="212" t="s">
        <v>2354</v>
      </c>
    </row>
    <row r="1669" spans="1:9" x14ac:dyDescent="0.25">
      <c r="A1669" s="193" t="s">
        <v>220</v>
      </c>
      <c r="B1669" s="193" t="s">
        <v>2351</v>
      </c>
      <c r="C1669" s="214" t="s">
        <v>3573</v>
      </c>
      <c r="D1669" s="193" t="s">
        <v>3574</v>
      </c>
      <c r="E1669" s="212" t="s">
        <v>545</v>
      </c>
      <c r="F1669" s="215">
        <v>17</v>
      </c>
      <c r="G1669" s="194">
        <v>5.5250000000000004</v>
      </c>
      <c r="H1669" s="195">
        <f t="shared" ref="H1669:H1732" si="26">+F1669*G1669</f>
        <v>93.925000000000011</v>
      </c>
      <c r="I1669" s="212" t="s">
        <v>2354</v>
      </c>
    </row>
    <row r="1670" spans="1:9" x14ac:dyDescent="0.25">
      <c r="A1670" s="193" t="s">
        <v>220</v>
      </c>
      <c r="B1670" s="193" t="s">
        <v>2351</v>
      </c>
      <c r="C1670" s="214" t="s">
        <v>3575</v>
      </c>
      <c r="D1670" s="193" t="s">
        <v>3576</v>
      </c>
      <c r="E1670" s="212" t="s">
        <v>545</v>
      </c>
      <c r="F1670" s="215">
        <v>19</v>
      </c>
      <c r="G1670" s="194">
        <v>2.3111666666666668</v>
      </c>
      <c r="H1670" s="195">
        <f t="shared" si="26"/>
        <v>43.912166666666671</v>
      </c>
      <c r="I1670" s="212" t="s">
        <v>2354</v>
      </c>
    </row>
    <row r="1671" spans="1:9" x14ac:dyDescent="0.25">
      <c r="A1671" s="193" t="s">
        <v>220</v>
      </c>
      <c r="B1671" s="193" t="s">
        <v>2351</v>
      </c>
      <c r="C1671" s="214" t="s">
        <v>3577</v>
      </c>
      <c r="D1671" s="193" t="s">
        <v>3578</v>
      </c>
      <c r="E1671" s="212" t="s">
        <v>545</v>
      </c>
      <c r="F1671" s="215">
        <v>3</v>
      </c>
      <c r="G1671" s="194">
        <v>11.475</v>
      </c>
      <c r="H1671" s="195">
        <f t="shared" si="26"/>
        <v>34.424999999999997</v>
      </c>
      <c r="I1671" s="212" t="s">
        <v>2354</v>
      </c>
    </row>
    <row r="1672" spans="1:9" x14ac:dyDescent="0.25">
      <c r="A1672" s="193" t="s">
        <v>220</v>
      </c>
      <c r="B1672" s="193" t="s">
        <v>2351</v>
      </c>
      <c r="C1672" s="214" t="s">
        <v>3579</v>
      </c>
      <c r="D1672" s="193" t="s">
        <v>3580</v>
      </c>
      <c r="E1672" s="212" t="s">
        <v>545</v>
      </c>
      <c r="F1672" s="215">
        <v>36</v>
      </c>
      <c r="G1672" s="194">
        <v>2.7454999999999998</v>
      </c>
      <c r="H1672" s="195">
        <f t="shared" si="26"/>
        <v>98.837999999999994</v>
      </c>
      <c r="I1672" s="212" t="s">
        <v>2354</v>
      </c>
    </row>
    <row r="1673" spans="1:9" x14ac:dyDescent="0.25">
      <c r="A1673" s="193" t="s">
        <v>220</v>
      </c>
      <c r="B1673" s="193" t="s">
        <v>2351</v>
      </c>
      <c r="C1673" s="214" t="s">
        <v>3581</v>
      </c>
      <c r="D1673" s="193" t="s">
        <v>3582</v>
      </c>
      <c r="E1673" s="212" t="s">
        <v>545</v>
      </c>
      <c r="F1673" s="215">
        <v>44</v>
      </c>
      <c r="G1673" s="194">
        <v>2.7879999999999998</v>
      </c>
      <c r="H1673" s="195">
        <f t="shared" si="26"/>
        <v>122.672</v>
      </c>
      <c r="I1673" s="212" t="s">
        <v>2354</v>
      </c>
    </row>
    <row r="1674" spans="1:9" x14ac:dyDescent="0.25">
      <c r="A1674" s="193" t="s">
        <v>220</v>
      </c>
      <c r="B1674" s="193" t="s">
        <v>2351</v>
      </c>
      <c r="C1674" s="214" t="s">
        <v>3583</v>
      </c>
      <c r="D1674" s="193" t="s">
        <v>3584</v>
      </c>
      <c r="E1674" s="212" t="s">
        <v>545</v>
      </c>
      <c r="F1674" s="215">
        <v>38</v>
      </c>
      <c r="G1674" s="194">
        <v>2.7</v>
      </c>
      <c r="H1674" s="195">
        <f t="shared" si="26"/>
        <v>102.60000000000001</v>
      </c>
      <c r="I1674" s="212" t="s">
        <v>2354</v>
      </c>
    </row>
    <row r="1675" spans="1:9" x14ac:dyDescent="0.25">
      <c r="A1675" s="193" t="s">
        <v>220</v>
      </c>
      <c r="B1675" s="193" t="s">
        <v>2351</v>
      </c>
      <c r="C1675" s="214" t="s">
        <v>3585</v>
      </c>
      <c r="D1675" s="193" t="s">
        <v>3586</v>
      </c>
      <c r="E1675" s="212" t="s">
        <v>545</v>
      </c>
      <c r="F1675" s="215">
        <v>44</v>
      </c>
      <c r="G1675" s="194">
        <v>2.8220000000000001</v>
      </c>
      <c r="H1675" s="195">
        <f t="shared" si="26"/>
        <v>124.16800000000001</v>
      </c>
      <c r="I1675" s="212" t="s">
        <v>2354</v>
      </c>
    </row>
    <row r="1676" spans="1:9" x14ac:dyDescent="0.25">
      <c r="A1676" s="193" t="s">
        <v>220</v>
      </c>
      <c r="B1676" s="193" t="s">
        <v>2351</v>
      </c>
      <c r="C1676" s="214" t="s">
        <v>3587</v>
      </c>
      <c r="D1676" s="193" t="s">
        <v>3588</v>
      </c>
      <c r="E1676" s="212" t="s">
        <v>545</v>
      </c>
      <c r="F1676" s="215">
        <v>38</v>
      </c>
      <c r="G1676" s="194">
        <v>2.61</v>
      </c>
      <c r="H1676" s="195">
        <f t="shared" si="26"/>
        <v>99.179999999999993</v>
      </c>
      <c r="I1676" s="212" t="s">
        <v>2354</v>
      </c>
    </row>
    <row r="1677" spans="1:9" x14ac:dyDescent="0.25">
      <c r="A1677" s="193" t="s">
        <v>220</v>
      </c>
      <c r="B1677" s="193" t="s">
        <v>2351</v>
      </c>
      <c r="C1677" s="214" t="s">
        <v>3589</v>
      </c>
      <c r="D1677" s="193" t="s">
        <v>3590</v>
      </c>
      <c r="E1677" s="212" t="s">
        <v>545</v>
      </c>
      <c r="F1677" s="215">
        <v>5</v>
      </c>
      <c r="G1677" s="194">
        <v>3.0855000000000001</v>
      </c>
      <c r="H1677" s="195">
        <f t="shared" si="26"/>
        <v>15.4275</v>
      </c>
      <c r="I1677" s="212" t="s">
        <v>2354</v>
      </c>
    </row>
    <row r="1678" spans="1:9" x14ac:dyDescent="0.25">
      <c r="A1678" s="193" t="s">
        <v>220</v>
      </c>
      <c r="B1678" s="193" t="s">
        <v>2351</v>
      </c>
      <c r="C1678" s="214" t="s">
        <v>3591</v>
      </c>
      <c r="D1678" s="193" t="s">
        <v>3592</v>
      </c>
      <c r="E1678" s="212" t="s">
        <v>545</v>
      </c>
      <c r="F1678" s="215">
        <v>32</v>
      </c>
      <c r="G1678" s="194">
        <v>2.7029999999999998</v>
      </c>
      <c r="H1678" s="195">
        <f t="shared" si="26"/>
        <v>86.495999999999995</v>
      </c>
      <c r="I1678" s="212" t="s">
        <v>2354</v>
      </c>
    </row>
    <row r="1679" spans="1:9" x14ac:dyDescent="0.25">
      <c r="A1679" s="193" t="s">
        <v>220</v>
      </c>
      <c r="B1679" s="193" t="s">
        <v>2351</v>
      </c>
      <c r="C1679" s="214" t="s">
        <v>3593</v>
      </c>
      <c r="D1679" s="193" t="s">
        <v>3594</v>
      </c>
      <c r="E1679" s="212" t="s">
        <v>545</v>
      </c>
      <c r="F1679" s="215">
        <v>20</v>
      </c>
      <c r="G1679" s="194">
        <v>3.383</v>
      </c>
      <c r="H1679" s="195">
        <f t="shared" si="26"/>
        <v>67.66</v>
      </c>
      <c r="I1679" s="212" t="s">
        <v>2354</v>
      </c>
    </row>
    <row r="1680" spans="1:9" x14ac:dyDescent="0.25">
      <c r="A1680" s="193" t="s">
        <v>220</v>
      </c>
      <c r="B1680" s="193" t="s">
        <v>2351</v>
      </c>
      <c r="C1680" s="214" t="s">
        <v>3595</v>
      </c>
      <c r="D1680" s="193" t="s">
        <v>3596</v>
      </c>
      <c r="E1680" s="212" t="s">
        <v>545</v>
      </c>
      <c r="F1680" s="215">
        <v>34</v>
      </c>
      <c r="G1680" s="194">
        <v>3.2980000000000005</v>
      </c>
      <c r="H1680" s="195">
        <f t="shared" si="26"/>
        <v>112.13200000000002</v>
      </c>
      <c r="I1680" s="212" t="s">
        <v>2354</v>
      </c>
    </row>
    <row r="1681" spans="1:9" x14ac:dyDescent="0.25">
      <c r="A1681" s="193" t="s">
        <v>220</v>
      </c>
      <c r="B1681" s="193" t="s">
        <v>2351</v>
      </c>
      <c r="C1681" s="214" t="s">
        <v>3597</v>
      </c>
      <c r="D1681" s="193" t="s">
        <v>3598</v>
      </c>
      <c r="E1681" s="212" t="s">
        <v>545</v>
      </c>
      <c r="F1681" s="215">
        <v>54</v>
      </c>
      <c r="G1681" s="194">
        <v>3.077</v>
      </c>
      <c r="H1681" s="195">
        <f t="shared" si="26"/>
        <v>166.15799999999999</v>
      </c>
      <c r="I1681" s="212" t="s">
        <v>2354</v>
      </c>
    </row>
    <row r="1682" spans="1:9" x14ac:dyDescent="0.25">
      <c r="A1682" s="193" t="s">
        <v>220</v>
      </c>
      <c r="B1682" s="193" t="s">
        <v>2351</v>
      </c>
      <c r="C1682" s="214" t="s">
        <v>3599</v>
      </c>
      <c r="D1682" s="193" t="s">
        <v>3600</v>
      </c>
      <c r="E1682" s="212" t="s">
        <v>545</v>
      </c>
      <c r="F1682" s="215">
        <v>2</v>
      </c>
      <c r="G1682" s="194">
        <v>3.57</v>
      </c>
      <c r="H1682" s="195">
        <f t="shared" si="26"/>
        <v>7.14</v>
      </c>
      <c r="I1682" s="212" t="s">
        <v>2354</v>
      </c>
    </row>
    <row r="1683" spans="1:9" x14ac:dyDescent="0.25">
      <c r="A1683" s="193" t="s">
        <v>220</v>
      </c>
      <c r="B1683" s="193" t="s">
        <v>2351</v>
      </c>
      <c r="C1683" s="214" t="s">
        <v>3601</v>
      </c>
      <c r="D1683" s="193" t="s">
        <v>3602</v>
      </c>
      <c r="E1683" s="212" t="s">
        <v>545</v>
      </c>
      <c r="F1683" s="215">
        <v>2</v>
      </c>
      <c r="G1683" s="194">
        <v>8.75</v>
      </c>
      <c r="H1683" s="195">
        <f t="shared" si="26"/>
        <v>17.5</v>
      </c>
      <c r="I1683" s="212" t="s">
        <v>2354</v>
      </c>
    </row>
    <row r="1684" spans="1:9" x14ac:dyDescent="0.25">
      <c r="A1684" s="193" t="s">
        <v>220</v>
      </c>
      <c r="B1684" s="193" t="s">
        <v>2351</v>
      </c>
      <c r="C1684" s="214" t="s">
        <v>3603</v>
      </c>
      <c r="D1684" s="193" t="s">
        <v>3604</v>
      </c>
      <c r="E1684" s="212" t="s">
        <v>545</v>
      </c>
      <c r="F1684" s="215">
        <v>5</v>
      </c>
      <c r="G1684" s="194">
        <v>0</v>
      </c>
      <c r="H1684" s="195">
        <f t="shared" si="26"/>
        <v>0</v>
      </c>
      <c r="I1684" s="212" t="s">
        <v>2354</v>
      </c>
    </row>
    <row r="1685" spans="1:9" x14ac:dyDescent="0.25">
      <c r="A1685" s="193" t="s">
        <v>220</v>
      </c>
      <c r="B1685" s="193" t="s">
        <v>2351</v>
      </c>
      <c r="C1685" s="214" t="s">
        <v>3605</v>
      </c>
      <c r="D1685" s="193" t="s">
        <v>3606</v>
      </c>
      <c r="E1685" s="212" t="s">
        <v>545</v>
      </c>
      <c r="F1685" s="215">
        <v>43</v>
      </c>
      <c r="G1685" s="194">
        <v>4.5</v>
      </c>
      <c r="H1685" s="195">
        <f t="shared" si="26"/>
        <v>193.5</v>
      </c>
      <c r="I1685" s="212" t="s">
        <v>2354</v>
      </c>
    </row>
    <row r="1686" spans="1:9" x14ac:dyDescent="0.25">
      <c r="A1686" s="193" t="s">
        <v>220</v>
      </c>
      <c r="B1686" s="193" t="s">
        <v>2351</v>
      </c>
      <c r="C1686" s="214" t="s">
        <v>3607</v>
      </c>
      <c r="D1686" s="193" t="s">
        <v>3608</v>
      </c>
      <c r="E1686" s="212" t="s">
        <v>545</v>
      </c>
      <c r="F1686" s="215">
        <v>6</v>
      </c>
      <c r="G1686" s="194">
        <v>14.757300000000001</v>
      </c>
      <c r="H1686" s="195">
        <f t="shared" si="26"/>
        <v>88.543800000000005</v>
      </c>
      <c r="I1686" s="212" t="s">
        <v>2354</v>
      </c>
    </row>
    <row r="1687" spans="1:9" x14ac:dyDescent="0.25">
      <c r="A1687" s="193" t="s">
        <v>220</v>
      </c>
      <c r="B1687" s="193" t="s">
        <v>2351</v>
      </c>
      <c r="C1687" s="214" t="s">
        <v>3609</v>
      </c>
      <c r="D1687" s="193" t="s">
        <v>3610</v>
      </c>
      <c r="E1687" s="212" t="s">
        <v>545</v>
      </c>
      <c r="F1687" s="215">
        <v>18</v>
      </c>
      <c r="G1687" s="194">
        <v>7.4969999999999999</v>
      </c>
      <c r="H1687" s="195">
        <f t="shared" si="26"/>
        <v>134.946</v>
      </c>
      <c r="I1687" s="212" t="s">
        <v>2354</v>
      </c>
    </row>
    <row r="1688" spans="1:9" x14ac:dyDescent="0.25">
      <c r="A1688" s="193" t="s">
        <v>220</v>
      </c>
      <c r="B1688" s="193" t="s">
        <v>2351</v>
      </c>
      <c r="C1688" s="214" t="s">
        <v>3611</v>
      </c>
      <c r="D1688" s="193" t="s">
        <v>3612</v>
      </c>
      <c r="E1688" s="212" t="s">
        <v>545</v>
      </c>
      <c r="F1688" s="215">
        <v>5</v>
      </c>
      <c r="G1688" s="194">
        <v>15.581</v>
      </c>
      <c r="H1688" s="195">
        <f t="shared" si="26"/>
        <v>77.905000000000001</v>
      </c>
      <c r="I1688" s="212" t="s">
        <v>2354</v>
      </c>
    </row>
    <row r="1689" spans="1:9" x14ac:dyDescent="0.25">
      <c r="A1689" s="193" t="s">
        <v>220</v>
      </c>
      <c r="B1689" s="193" t="s">
        <v>2351</v>
      </c>
      <c r="C1689" s="214" t="s">
        <v>3613</v>
      </c>
      <c r="D1689" s="193" t="s">
        <v>3614</v>
      </c>
      <c r="E1689" s="212" t="s">
        <v>545</v>
      </c>
      <c r="F1689" s="215">
        <v>21</v>
      </c>
      <c r="G1689" s="194">
        <v>2.61</v>
      </c>
      <c r="H1689" s="195">
        <f t="shared" si="26"/>
        <v>54.809999999999995</v>
      </c>
      <c r="I1689" s="212" t="s">
        <v>2354</v>
      </c>
    </row>
    <row r="1690" spans="1:9" x14ac:dyDescent="0.25">
      <c r="A1690" s="193" t="s">
        <v>220</v>
      </c>
      <c r="B1690" s="193" t="s">
        <v>2351</v>
      </c>
      <c r="C1690" s="214" t="s">
        <v>3615</v>
      </c>
      <c r="D1690" s="193" t="s">
        <v>3616</v>
      </c>
      <c r="E1690" s="212" t="s">
        <v>545</v>
      </c>
      <c r="F1690" s="215">
        <v>23</v>
      </c>
      <c r="G1690" s="194">
        <v>8.2278000000000002</v>
      </c>
      <c r="H1690" s="195">
        <f t="shared" si="26"/>
        <v>189.23940000000002</v>
      </c>
      <c r="I1690" s="212" t="s">
        <v>2354</v>
      </c>
    </row>
    <row r="1691" spans="1:9" x14ac:dyDescent="0.25">
      <c r="A1691" s="193" t="s">
        <v>220</v>
      </c>
      <c r="B1691" s="193" t="s">
        <v>2351</v>
      </c>
      <c r="C1691" s="214" t="s">
        <v>3617</v>
      </c>
      <c r="D1691" s="193" t="s">
        <v>3618</v>
      </c>
      <c r="E1691" s="212" t="s">
        <v>545</v>
      </c>
      <c r="F1691" s="215">
        <v>8</v>
      </c>
      <c r="G1691" s="194">
        <v>2.7040000000000002</v>
      </c>
      <c r="H1691" s="195">
        <f t="shared" si="26"/>
        <v>21.632000000000001</v>
      </c>
      <c r="I1691" s="212" t="s">
        <v>2354</v>
      </c>
    </row>
    <row r="1692" spans="1:9" x14ac:dyDescent="0.25">
      <c r="A1692" s="193" t="s">
        <v>220</v>
      </c>
      <c r="B1692" s="193" t="s">
        <v>2351</v>
      </c>
      <c r="C1692" s="214" t="s">
        <v>3619</v>
      </c>
      <c r="D1692" s="193" t="s">
        <v>3620</v>
      </c>
      <c r="E1692" s="212" t="s">
        <v>545</v>
      </c>
      <c r="F1692" s="215">
        <v>4</v>
      </c>
      <c r="G1692" s="194">
        <v>11.699999999999998</v>
      </c>
      <c r="H1692" s="195">
        <f t="shared" si="26"/>
        <v>46.79999999999999</v>
      </c>
      <c r="I1692" s="212" t="s">
        <v>2354</v>
      </c>
    </row>
    <row r="1693" spans="1:9" x14ac:dyDescent="0.25">
      <c r="A1693" s="193" t="s">
        <v>220</v>
      </c>
      <c r="B1693" s="193" t="s">
        <v>2351</v>
      </c>
      <c r="C1693" s="214" t="s">
        <v>3621</v>
      </c>
      <c r="D1693" s="193" t="s">
        <v>3622</v>
      </c>
      <c r="E1693" s="212" t="s">
        <v>545</v>
      </c>
      <c r="F1693" s="215">
        <v>26</v>
      </c>
      <c r="G1693" s="194">
        <v>3.0179999999999998</v>
      </c>
      <c r="H1693" s="195">
        <f t="shared" si="26"/>
        <v>78.467999999999989</v>
      </c>
      <c r="I1693" s="212" t="s">
        <v>2354</v>
      </c>
    </row>
    <row r="1694" spans="1:9" x14ac:dyDescent="0.25">
      <c r="A1694" s="193" t="s">
        <v>220</v>
      </c>
      <c r="B1694" s="193" t="s">
        <v>2351</v>
      </c>
      <c r="C1694" s="214" t="s">
        <v>3623</v>
      </c>
      <c r="D1694" s="193" t="s">
        <v>3624</v>
      </c>
      <c r="E1694" s="212" t="s">
        <v>545</v>
      </c>
      <c r="F1694" s="215">
        <v>15</v>
      </c>
      <c r="G1694" s="194">
        <v>4.08</v>
      </c>
      <c r="H1694" s="195">
        <f t="shared" si="26"/>
        <v>61.2</v>
      </c>
      <c r="I1694" s="212" t="s">
        <v>2354</v>
      </c>
    </row>
    <row r="1695" spans="1:9" x14ac:dyDescent="0.25">
      <c r="A1695" s="193" t="s">
        <v>220</v>
      </c>
      <c r="B1695" s="193" t="s">
        <v>2351</v>
      </c>
      <c r="C1695" s="214" t="s">
        <v>3625</v>
      </c>
      <c r="D1695" s="193" t="s">
        <v>3626</v>
      </c>
      <c r="E1695" s="212" t="s">
        <v>545</v>
      </c>
      <c r="F1695" s="215">
        <v>1</v>
      </c>
      <c r="G1695" s="194">
        <v>7.2249999999999996</v>
      </c>
      <c r="H1695" s="195">
        <f t="shared" si="26"/>
        <v>7.2249999999999996</v>
      </c>
      <c r="I1695" s="212" t="s">
        <v>2354</v>
      </c>
    </row>
    <row r="1696" spans="1:9" x14ac:dyDescent="0.25">
      <c r="A1696" s="193" t="s">
        <v>220</v>
      </c>
      <c r="B1696" s="193" t="s">
        <v>2351</v>
      </c>
      <c r="C1696" s="214" t="s">
        <v>3627</v>
      </c>
      <c r="D1696" s="193" t="s">
        <v>3628</v>
      </c>
      <c r="E1696" s="212" t="s">
        <v>545</v>
      </c>
      <c r="F1696" s="215">
        <v>17</v>
      </c>
      <c r="G1696" s="194">
        <v>1.679</v>
      </c>
      <c r="H1696" s="195">
        <f t="shared" si="26"/>
        <v>28.542999999999999</v>
      </c>
      <c r="I1696" s="212" t="s">
        <v>2354</v>
      </c>
    </row>
    <row r="1697" spans="1:9" x14ac:dyDescent="0.25">
      <c r="A1697" s="193" t="s">
        <v>220</v>
      </c>
      <c r="B1697" s="193" t="s">
        <v>2351</v>
      </c>
      <c r="C1697" s="214" t="s">
        <v>3629</v>
      </c>
      <c r="D1697" s="193" t="s">
        <v>3630</v>
      </c>
      <c r="E1697" s="212" t="s">
        <v>545</v>
      </c>
      <c r="F1697" s="215">
        <v>29</v>
      </c>
      <c r="G1697" s="194">
        <v>1.1729999999999998</v>
      </c>
      <c r="H1697" s="195">
        <f t="shared" si="26"/>
        <v>34.016999999999996</v>
      </c>
      <c r="I1697" s="212" t="s">
        <v>2354</v>
      </c>
    </row>
    <row r="1698" spans="1:9" x14ac:dyDescent="0.25">
      <c r="A1698" s="193" t="s">
        <v>220</v>
      </c>
      <c r="B1698" s="193" t="s">
        <v>2351</v>
      </c>
      <c r="C1698" s="214" t="s">
        <v>3631</v>
      </c>
      <c r="D1698" s="193" t="s">
        <v>3632</v>
      </c>
      <c r="E1698" s="212" t="s">
        <v>545</v>
      </c>
      <c r="F1698" s="215">
        <v>30</v>
      </c>
      <c r="G1698" s="194">
        <v>1.6872499999999999</v>
      </c>
      <c r="H1698" s="195">
        <f t="shared" si="26"/>
        <v>50.6175</v>
      </c>
      <c r="I1698" s="212" t="s">
        <v>2354</v>
      </c>
    </row>
    <row r="1699" spans="1:9" x14ac:dyDescent="0.25">
      <c r="A1699" s="193" t="s">
        <v>220</v>
      </c>
      <c r="B1699" s="193" t="s">
        <v>2351</v>
      </c>
      <c r="C1699" s="214" t="s">
        <v>3633</v>
      </c>
      <c r="D1699" s="193" t="s">
        <v>3634</v>
      </c>
      <c r="E1699" s="212" t="s">
        <v>545</v>
      </c>
      <c r="F1699" s="215">
        <v>15</v>
      </c>
      <c r="G1699" s="194">
        <v>14.025</v>
      </c>
      <c r="H1699" s="195">
        <f t="shared" si="26"/>
        <v>210.375</v>
      </c>
      <c r="I1699" s="212" t="s">
        <v>2354</v>
      </c>
    </row>
    <row r="1700" spans="1:9" x14ac:dyDescent="0.25">
      <c r="A1700" s="193" t="s">
        <v>220</v>
      </c>
      <c r="B1700" s="193" t="s">
        <v>2351</v>
      </c>
      <c r="C1700" s="214" t="s">
        <v>3635</v>
      </c>
      <c r="D1700" s="193" t="s">
        <v>3636</v>
      </c>
      <c r="E1700" s="212" t="s">
        <v>545</v>
      </c>
      <c r="F1700" s="215">
        <v>6</v>
      </c>
      <c r="G1700" s="194">
        <v>15.3</v>
      </c>
      <c r="H1700" s="195">
        <f t="shared" si="26"/>
        <v>91.800000000000011</v>
      </c>
      <c r="I1700" s="212" t="s">
        <v>2354</v>
      </c>
    </row>
    <row r="1701" spans="1:9" x14ac:dyDescent="0.25">
      <c r="A1701" s="193" t="s">
        <v>220</v>
      </c>
      <c r="B1701" s="193" t="s">
        <v>2351</v>
      </c>
      <c r="C1701" s="214" t="s">
        <v>3637</v>
      </c>
      <c r="D1701" s="193" t="s">
        <v>3638</v>
      </c>
      <c r="E1701" s="212" t="s">
        <v>545</v>
      </c>
      <c r="F1701" s="215">
        <v>34</v>
      </c>
      <c r="G1701" s="194">
        <v>1.6830000000000001</v>
      </c>
      <c r="H1701" s="195">
        <f t="shared" si="26"/>
        <v>57.222000000000001</v>
      </c>
      <c r="I1701" s="212" t="s">
        <v>2354</v>
      </c>
    </row>
    <row r="1702" spans="1:9" x14ac:dyDescent="0.25">
      <c r="A1702" s="193" t="s">
        <v>220</v>
      </c>
      <c r="B1702" s="193" t="s">
        <v>2351</v>
      </c>
      <c r="C1702" s="214" t="s">
        <v>3639</v>
      </c>
      <c r="D1702" s="193" t="s">
        <v>3640</v>
      </c>
      <c r="E1702" s="212" t="s">
        <v>545</v>
      </c>
      <c r="F1702" s="215">
        <v>87</v>
      </c>
      <c r="G1702" s="194">
        <v>1.9935000000000003</v>
      </c>
      <c r="H1702" s="195">
        <f t="shared" si="26"/>
        <v>173.43450000000001</v>
      </c>
      <c r="I1702" s="212" t="s">
        <v>2354</v>
      </c>
    </row>
    <row r="1703" spans="1:9" x14ac:dyDescent="0.25">
      <c r="A1703" s="193" t="s">
        <v>220</v>
      </c>
      <c r="B1703" s="193" t="s">
        <v>2351</v>
      </c>
      <c r="C1703" s="214" t="s">
        <v>3641</v>
      </c>
      <c r="D1703" s="193" t="s">
        <v>3642</v>
      </c>
      <c r="E1703" s="212" t="s">
        <v>545</v>
      </c>
      <c r="F1703" s="215">
        <v>27</v>
      </c>
      <c r="G1703" s="194">
        <v>2.8834363636363638</v>
      </c>
      <c r="H1703" s="195">
        <f t="shared" si="26"/>
        <v>77.852781818181825</v>
      </c>
      <c r="I1703" s="212" t="s">
        <v>2354</v>
      </c>
    </row>
    <row r="1704" spans="1:9" x14ac:dyDescent="0.25">
      <c r="A1704" s="193" t="s">
        <v>220</v>
      </c>
      <c r="B1704" s="193" t="s">
        <v>2351</v>
      </c>
      <c r="C1704" s="214" t="s">
        <v>3643</v>
      </c>
      <c r="D1704" s="193" t="s">
        <v>3644</v>
      </c>
      <c r="E1704" s="212" t="s">
        <v>545</v>
      </c>
      <c r="F1704" s="215">
        <v>17</v>
      </c>
      <c r="G1704" s="194">
        <v>5.4660000000000002</v>
      </c>
      <c r="H1704" s="195">
        <f t="shared" si="26"/>
        <v>92.921999999999997</v>
      </c>
      <c r="I1704" s="212" t="s">
        <v>2354</v>
      </c>
    </row>
    <row r="1705" spans="1:9" x14ac:dyDescent="0.25">
      <c r="A1705" s="193" t="s">
        <v>220</v>
      </c>
      <c r="B1705" s="193" t="s">
        <v>2351</v>
      </c>
      <c r="C1705" s="214" t="s">
        <v>3645</v>
      </c>
      <c r="D1705" s="193" t="s">
        <v>3646</v>
      </c>
      <c r="E1705" s="212" t="s">
        <v>545</v>
      </c>
      <c r="F1705" s="215">
        <v>5</v>
      </c>
      <c r="G1705" s="194">
        <v>4.5022500000000001</v>
      </c>
      <c r="H1705" s="195">
        <f t="shared" si="26"/>
        <v>22.51125</v>
      </c>
      <c r="I1705" s="212" t="s">
        <v>2354</v>
      </c>
    </row>
    <row r="1706" spans="1:9" x14ac:dyDescent="0.25">
      <c r="A1706" s="193" t="s">
        <v>220</v>
      </c>
      <c r="B1706" s="193" t="s">
        <v>2351</v>
      </c>
      <c r="C1706" s="214" t="s">
        <v>3647</v>
      </c>
      <c r="D1706" s="193" t="s">
        <v>3648</v>
      </c>
      <c r="E1706" s="212" t="s">
        <v>545</v>
      </c>
      <c r="F1706" s="215">
        <v>4</v>
      </c>
      <c r="G1706" s="194">
        <v>9.7188999999999997</v>
      </c>
      <c r="H1706" s="195">
        <f t="shared" si="26"/>
        <v>38.875599999999999</v>
      </c>
      <c r="I1706" s="212" t="s">
        <v>2354</v>
      </c>
    </row>
    <row r="1707" spans="1:9" x14ac:dyDescent="0.25">
      <c r="A1707" s="193" t="s">
        <v>220</v>
      </c>
      <c r="B1707" s="193" t="s">
        <v>2351</v>
      </c>
      <c r="C1707" s="214" t="s">
        <v>3649</v>
      </c>
      <c r="D1707" s="193" t="s">
        <v>3650</v>
      </c>
      <c r="E1707" s="212" t="s">
        <v>545</v>
      </c>
      <c r="F1707" s="215">
        <v>24</v>
      </c>
      <c r="G1707" s="194">
        <v>4.93</v>
      </c>
      <c r="H1707" s="195">
        <f t="shared" si="26"/>
        <v>118.32</v>
      </c>
      <c r="I1707" s="212" t="s">
        <v>2354</v>
      </c>
    </row>
    <row r="1708" spans="1:9" x14ac:dyDescent="0.25">
      <c r="A1708" s="193" t="s">
        <v>220</v>
      </c>
      <c r="B1708" s="193" t="s">
        <v>2351</v>
      </c>
      <c r="C1708" s="214" t="s">
        <v>3651</v>
      </c>
      <c r="D1708" s="193" t="s">
        <v>3652</v>
      </c>
      <c r="E1708" s="212" t="s">
        <v>545</v>
      </c>
      <c r="F1708" s="215">
        <v>39</v>
      </c>
      <c r="G1708" s="194">
        <v>1.848857142857143</v>
      </c>
      <c r="H1708" s="195">
        <f t="shared" si="26"/>
        <v>72.105428571428575</v>
      </c>
      <c r="I1708" s="212" t="s">
        <v>2354</v>
      </c>
    </row>
    <row r="1709" spans="1:9" x14ac:dyDescent="0.25">
      <c r="A1709" s="193" t="s">
        <v>220</v>
      </c>
      <c r="B1709" s="193" t="s">
        <v>2351</v>
      </c>
      <c r="C1709" s="214" t="s">
        <v>3653</v>
      </c>
      <c r="D1709" s="193" t="s">
        <v>3654</v>
      </c>
      <c r="E1709" s="212" t="s">
        <v>545</v>
      </c>
      <c r="F1709" s="215">
        <v>19</v>
      </c>
      <c r="G1709" s="194">
        <v>2.2440000000000002</v>
      </c>
      <c r="H1709" s="195">
        <f t="shared" si="26"/>
        <v>42.636000000000003</v>
      </c>
      <c r="I1709" s="212" t="s">
        <v>2354</v>
      </c>
    </row>
    <row r="1710" spans="1:9" x14ac:dyDescent="0.25">
      <c r="A1710" s="193" t="s">
        <v>220</v>
      </c>
      <c r="B1710" s="193" t="s">
        <v>2351</v>
      </c>
      <c r="C1710" s="214" t="s">
        <v>3655</v>
      </c>
      <c r="D1710" s="193" t="s">
        <v>3656</v>
      </c>
      <c r="E1710" s="212" t="s">
        <v>545</v>
      </c>
      <c r="F1710" s="215">
        <v>39</v>
      </c>
      <c r="G1710" s="194">
        <v>3.6</v>
      </c>
      <c r="H1710" s="195">
        <f t="shared" si="26"/>
        <v>140.4</v>
      </c>
      <c r="I1710" s="212" t="s">
        <v>2354</v>
      </c>
    </row>
    <row r="1711" spans="1:9" x14ac:dyDescent="0.25">
      <c r="A1711" s="193" t="s">
        <v>220</v>
      </c>
      <c r="B1711" s="193" t="s">
        <v>2351</v>
      </c>
      <c r="C1711" s="214" t="s">
        <v>3657</v>
      </c>
      <c r="D1711" s="193" t="s">
        <v>3658</v>
      </c>
      <c r="E1711" s="212" t="s">
        <v>545</v>
      </c>
      <c r="F1711" s="215">
        <v>1</v>
      </c>
      <c r="G1711" s="194">
        <v>6.2409999999999997</v>
      </c>
      <c r="H1711" s="195">
        <f t="shared" si="26"/>
        <v>6.2409999999999997</v>
      </c>
      <c r="I1711" s="212" t="s">
        <v>2354</v>
      </c>
    </row>
    <row r="1712" spans="1:9" x14ac:dyDescent="0.25">
      <c r="A1712" s="193" t="s">
        <v>220</v>
      </c>
      <c r="B1712" s="193" t="s">
        <v>2351</v>
      </c>
      <c r="C1712" s="214" t="s">
        <v>3659</v>
      </c>
      <c r="D1712" s="193" t="s">
        <v>3660</v>
      </c>
      <c r="E1712" s="212" t="s">
        <v>545</v>
      </c>
      <c r="F1712" s="215">
        <v>6</v>
      </c>
      <c r="G1712" s="194">
        <v>3.032</v>
      </c>
      <c r="H1712" s="195">
        <f t="shared" si="26"/>
        <v>18.192</v>
      </c>
      <c r="I1712" s="212" t="s">
        <v>2354</v>
      </c>
    </row>
    <row r="1713" spans="1:9" x14ac:dyDescent="0.25">
      <c r="A1713" s="193" t="s">
        <v>220</v>
      </c>
      <c r="B1713" s="193" t="s">
        <v>2351</v>
      </c>
      <c r="C1713" s="214" t="s">
        <v>3661</v>
      </c>
      <c r="D1713" s="193" t="s">
        <v>3662</v>
      </c>
      <c r="E1713" s="212" t="s">
        <v>545</v>
      </c>
      <c r="F1713" s="215">
        <v>1</v>
      </c>
      <c r="G1713" s="194">
        <v>2.9</v>
      </c>
      <c r="H1713" s="195">
        <f t="shared" si="26"/>
        <v>2.9</v>
      </c>
      <c r="I1713" s="212" t="s">
        <v>2354</v>
      </c>
    </row>
    <row r="1714" spans="1:9" x14ac:dyDescent="0.25">
      <c r="A1714" s="193" t="s">
        <v>220</v>
      </c>
      <c r="B1714" s="193" t="s">
        <v>2351</v>
      </c>
      <c r="C1714" s="214" t="s">
        <v>3663</v>
      </c>
      <c r="D1714" s="193" t="s">
        <v>3664</v>
      </c>
      <c r="E1714" s="212" t="s">
        <v>545</v>
      </c>
      <c r="F1714" s="215">
        <v>1</v>
      </c>
      <c r="G1714" s="194">
        <v>2.17</v>
      </c>
      <c r="H1714" s="195">
        <f t="shared" si="26"/>
        <v>2.17</v>
      </c>
      <c r="I1714" s="212" t="s">
        <v>2354</v>
      </c>
    </row>
    <row r="1715" spans="1:9" x14ac:dyDescent="0.25">
      <c r="A1715" s="193" t="s">
        <v>220</v>
      </c>
      <c r="B1715" s="193" t="s">
        <v>2351</v>
      </c>
      <c r="C1715" s="214" t="s">
        <v>3665</v>
      </c>
      <c r="D1715" s="193" t="s">
        <v>3666</v>
      </c>
      <c r="E1715" s="212" t="s">
        <v>545</v>
      </c>
      <c r="F1715" s="215">
        <v>5</v>
      </c>
      <c r="G1715" s="194">
        <v>1.83</v>
      </c>
      <c r="H1715" s="195">
        <f t="shared" si="26"/>
        <v>9.15</v>
      </c>
      <c r="I1715" s="212" t="s">
        <v>2354</v>
      </c>
    </row>
    <row r="1716" spans="1:9" x14ac:dyDescent="0.25">
      <c r="A1716" s="193" t="s">
        <v>220</v>
      </c>
      <c r="B1716" s="193" t="s">
        <v>2351</v>
      </c>
      <c r="C1716" s="214" t="s">
        <v>3667</v>
      </c>
      <c r="D1716" s="193" t="s">
        <v>3668</v>
      </c>
      <c r="E1716" s="212" t="s">
        <v>545</v>
      </c>
      <c r="F1716" s="215">
        <v>9</v>
      </c>
      <c r="G1716" s="194">
        <v>1.472</v>
      </c>
      <c r="H1716" s="195">
        <f t="shared" si="26"/>
        <v>13.247999999999999</v>
      </c>
      <c r="I1716" s="212" t="s">
        <v>2354</v>
      </c>
    </row>
    <row r="1717" spans="1:9" x14ac:dyDescent="0.25">
      <c r="A1717" s="193" t="s">
        <v>220</v>
      </c>
      <c r="B1717" s="193" t="s">
        <v>2351</v>
      </c>
      <c r="C1717" s="214" t="s">
        <v>3669</v>
      </c>
      <c r="D1717" s="193" t="s">
        <v>3670</v>
      </c>
      <c r="E1717" s="212" t="s">
        <v>545</v>
      </c>
      <c r="F1717" s="215">
        <v>8</v>
      </c>
      <c r="G1717" s="194">
        <v>1.2078500000000001</v>
      </c>
      <c r="H1717" s="195">
        <f t="shared" si="26"/>
        <v>9.6628000000000007</v>
      </c>
      <c r="I1717" s="212" t="s">
        <v>2354</v>
      </c>
    </row>
    <row r="1718" spans="1:9" x14ac:dyDescent="0.25">
      <c r="A1718" s="193" t="s">
        <v>220</v>
      </c>
      <c r="B1718" s="193" t="s">
        <v>2351</v>
      </c>
      <c r="C1718" s="214" t="s">
        <v>3671</v>
      </c>
      <c r="D1718" s="193" t="s">
        <v>3672</v>
      </c>
      <c r="E1718" s="212" t="s">
        <v>545</v>
      </c>
      <c r="F1718" s="215">
        <v>2</v>
      </c>
      <c r="G1718" s="194">
        <v>10.659000000000001</v>
      </c>
      <c r="H1718" s="195">
        <f t="shared" si="26"/>
        <v>21.318000000000001</v>
      </c>
      <c r="I1718" s="212" t="s">
        <v>2354</v>
      </c>
    </row>
    <row r="1719" spans="1:9" x14ac:dyDescent="0.25">
      <c r="A1719" s="193" t="s">
        <v>220</v>
      </c>
      <c r="B1719" s="193" t="s">
        <v>2351</v>
      </c>
      <c r="C1719" s="214" t="s">
        <v>3673</v>
      </c>
      <c r="D1719" s="193" t="s">
        <v>3674</v>
      </c>
      <c r="E1719" s="212" t="s">
        <v>545</v>
      </c>
      <c r="F1719" s="215">
        <v>12</v>
      </c>
      <c r="G1719" s="194">
        <v>11.33095</v>
      </c>
      <c r="H1719" s="195">
        <f t="shared" si="26"/>
        <v>135.97139999999999</v>
      </c>
      <c r="I1719" s="212" t="s">
        <v>2354</v>
      </c>
    </row>
    <row r="1720" spans="1:9" x14ac:dyDescent="0.25">
      <c r="A1720" s="193" t="s">
        <v>220</v>
      </c>
      <c r="B1720" s="193" t="s">
        <v>2351</v>
      </c>
      <c r="C1720" s="214" t="s">
        <v>3675</v>
      </c>
      <c r="D1720" s="193" t="s">
        <v>3676</v>
      </c>
      <c r="E1720" s="212" t="s">
        <v>545</v>
      </c>
      <c r="F1720" s="215">
        <v>1</v>
      </c>
      <c r="G1720" s="194">
        <v>8.9250000000000007</v>
      </c>
      <c r="H1720" s="195">
        <f t="shared" si="26"/>
        <v>8.9250000000000007</v>
      </c>
      <c r="I1720" s="212" t="s">
        <v>2354</v>
      </c>
    </row>
    <row r="1721" spans="1:9" x14ac:dyDescent="0.25">
      <c r="A1721" s="193" t="s">
        <v>220</v>
      </c>
      <c r="B1721" s="193" t="s">
        <v>2351</v>
      </c>
      <c r="C1721" s="214" t="s">
        <v>3677</v>
      </c>
      <c r="D1721" s="193" t="s">
        <v>3678</v>
      </c>
      <c r="E1721" s="212" t="s">
        <v>545</v>
      </c>
      <c r="F1721" s="215">
        <v>99</v>
      </c>
      <c r="G1721" s="194">
        <v>2.2440000000000002</v>
      </c>
      <c r="H1721" s="195">
        <f t="shared" si="26"/>
        <v>222.15600000000003</v>
      </c>
      <c r="I1721" s="212" t="s">
        <v>2354</v>
      </c>
    </row>
    <row r="1722" spans="1:9" x14ac:dyDescent="0.25">
      <c r="A1722" s="193" t="s">
        <v>220</v>
      </c>
      <c r="B1722" s="193" t="s">
        <v>2351</v>
      </c>
      <c r="C1722" s="214" t="s">
        <v>3679</v>
      </c>
      <c r="D1722" s="193" t="s">
        <v>3680</v>
      </c>
      <c r="E1722" s="212" t="s">
        <v>545</v>
      </c>
      <c r="F1722" s="215">
        <v>9</v>
      </c>
      <c r="G1722" s="194">
        <v>3.927</v>
      </c>
      <c r="H1722" s="195">
        <f t="shared" si="26"/>
        <v>35.343000000000004</v>
      </c>
      <c r="I1722" s="212" t="s">
        <v>2354</v>
      </c>
    </row>
    <row r="1723" spans="1:9" x14ac:dyDescent="0.25">
      <c r="A1723" s="193" t="s">
        <v>220</v>
      </c>
      <c r="B1723" s="193" t="s">
        <v>2351</v>
      </c>
      <c r="C1723" s="214" t="s">
        <v>3681</v>
      </c>
      <c r="D1723" s="193" t="s">
        <v>3682</v>
      </c>
      <c r="E1723" s="212" t="s">
        <v>545</v>
      </c>
      <c r="F1723" s="215">
        <v>16</v>
      </c>
      <c r="G1723" s="194">
        <v>3.5829</v>
      </c>
      <c r="H1723" s="195">
        <f t="shared" si="26"/>
        <v>57.3264</v>
      </c>
      <c r="I1723" s="212" t="s">
        <v>2354</v>
      </c>
    </row>
    <row r="1724" spans="1:9" x14ac:dyDescent="0.25">
      <c r="A1724" s="193" t="s">
        <v>220</v>
      </c>
      <c r="B1724" s="193" t="s">
        <v>2351</v>
      </c>
      <c r="C1724" s="214" t="s">
        <v>3683</v>
      </c>
      <c r="D1724" s="193" t="s">
        <v>3684</v>
      </c>
      <c r="E1724" s="212" t="s">
        <v>545</v>
      </c>
      <c r="F1724" s="215">
        <v>2</v>
      </c>
      <c r="G1724" s="194">
        <v>2.0278500000000004</v>
      </c>
      <c r="H1724" s="195">
        <f t="shared" si="26"/>
        <v>4.0557000000000007</v>
      </c>
      <c r="I1724" s="212" t="s">
        <v>2354</v>
      </c>
    </row>
    <row r="1725" spans="1:9" x14ac:dyDescent="0.25">
      <c r="A1725" s="193" t="s">
        <v>220</v>
      </c>
      <c r="B1725" s="193" t="s">
        <v>2351</v>
      </c>
      <c r="C1725" s="214" t="s">
        <v>3685</v>
      </c>
      <c r="D1725" s="193" t="s">
        <v>3686</v>
      </c>
      <c r="E1725" s="212" t="s">
        <v>545</v>
      </c>
      <c r="F1725" s="215">
        <v>5</v>
      </c>
      <c r="G1725" s="194">
        <v>0.42499999999999999</v>
      </c>
      <c r="H1725" s="195">
        <f t="shared" si="26"/>
        <v>2.125</v>
      </c>
      <c r="I1725" s="212" t="s">
        <v>2354</v>
      </c>
    </row>
    <row r="1726" spans="1:9" x14ac:dyDescent="0.25">
      <c r="A1726" s="193" t="s">
        <v>220</v>
      </c>
      <c r="B1726" s="193" t="s">
        <v>2351</v>
      </c>
      <c r="C1726" s="214" t="s">
        <v>3687</v>
      </c>
      <c r="D1726" s="193" t="s">
        <v>3688</v>
      </c>
      <c r="E1726" s="212" t="s">
        <v>545</v>
      </c>
      <c r="F1726" s="215">
        <v>8</v>
      </c>
      <c r="G1726" s="194">
        <v>1.852153846153846</v>
      </c>
      <c r="H1726" s="195">
        <f t="shared" si="26"/>
        <v>14.817230769230768</v>
      </c>
      <c r="I1726" s="212" t="s">
        <v>2354</v>
      </c>
    </row>
    <row r="1727" spans="1:9" x14ac:dyDescent="0.25">
      <c r="A1727" s="193" t="s">
        <v>220</v>
      </c>
      <c r="B1727" s="193" t="s">
        <v>2351</v>
      </c>
      <c r="C1727" s="214" t="s">
        <v>3689</v>
      </c>
      <c r="D1727" s="193" t="s">
        <v>3690</v>
      </c>
      <c r="E1727" s="212" t="s">
        <v>545</v>
      </c>
      <c r="F1727" s="215">
        <v>7</v>
      </c>
      <c r="G1727" s="194">
        <v>1.4553636363636364</v>
      </c>
      <c r="H1727" s="195">
        <f t="shared" si="26"/>
        <v>10.187545454545456</v>
      </c>
      <c r="I1727" s="212" t="s">
        <v>2354</v>
      </c>
    </row>
    <row r="1728" spans="1:9" x14ac:dyDescent="0.25">
      <c r="A1728" s="193" t="s">
        <v>220</v>
      </c>
      <c r="B1728" s="193" t="s">
        <v>2351</v>
      </c>
      <c r="C1728" s="214" t="s">
        <v>3691</v>
      </c>
      <c r="D1728" s="193" t="s">
        <v>3692</v>
      </c>
      <c r="E1728" s="212" t="s">
        <v>545</v>
      </c>
      <c r="F1728" s="215">
        <v>7</v>
      </c>
      <c r="G1728" s="194">
        <v>0.97240000000000004</v>
      </c>
      <c r="H1728" s="195">
        <f t="shared" si="26"/>
        <v>6.8068</v>
      </c>
      <c r="I1728" s="212" t="s">
        <v>2354</v>
      </c>
    </row>
    <row r="1729" spans="1:9" x14ac:dyDescent="0.25">
      <c r="A1729" s="193" t="s">
        <v>220</v>
      </c>
      <c r="B1729" s="193" t="s">
        <v>2351</v>
      </c>
      <c r="C1729" s="214" t="s">
        <v>3693</v>
      </c>
      <c r="D1729" s="193" t="s">
        <v>3694</v>
      </c>
      <c r="E1729" s="212" t="s">
        <v>545</v>
      </c>
      <c r="F1729" s="215">
        <v>8</v>
      </c>
      <c r="G1729" s="194">
        <v>2.7130000000000001</v>
      </c>
      <c r="H1729" s="195">
        <f t="shared" si="26"/>
        <v>21.704000000000001</v>
      </c>
      <c r="I1729" s="212" t="s">
        <v>2354</v>
      </c>
    </row>
    <row r="1730" spans="1:9" x14ac:dyDescent="0.25">
      <c r="A1730" s="193" t="s">
        <v>220</v>
      </c>
      <c r="B1730" s="193" t="s">
        <v>2351</v>
      </c>
      <c r="C1730" s="214" t="s">
        <v>3695</v>
      </c>
      <c r="D1730" s="193" t="s">
        <v>3696</v>
      </c>
      <c r="E1730" s="212" t="s">
        <v>545</v>
      </c>
      <c r="F1730" s="215">
        <v>3</v>
      </c>
      <c r="G1730" s="194">
        <v>0.42499999999999999</v>
      </c>
      <c r="H1730" s="195">
        <f t="shared" si="26"/>
        <v>1.2749999999999999</v>
      </c>
      <c r="I1730" s="212" t="s">
        <v>2354</v>
      </c>
    </row>
    <row r="1731" spans="1:9" x14ac:dyDescent="0.25">
      <c r="A1731" s="193" t="s">
        <v>220</v>
      </c>
      <c r="B1731" s="193" t="s">
        <v>2351</v>
      </c>
      <c r="C1731" s="214" t="s">
        <v>3697</v>
      </c>
      <c r="D1731" s="193" t="s">
        <v>3698</v>
      </c>
      <c r="E1731" s="212" t="s">
        <v>545</v>
      </c>
      <c r="F1731" s="215">
        <v>3</v>
      </c>
      <c r="G1731" s="194">
        <v>4.0999999999999996</v>
      </c>
      <c r="H1731" s="195">
        <f t="shared" si="26"/>
        <v>12.299999999999999</v>
      </c>
      <c r="I1731" s="212" t="s">
        <v>2354</v>
      </c>
    </row>
    <row r="1732" spans="1:9" x14ac:dyDescent="0.25">
      <c r="A1732" s="193" t="s">
        <v>220</v>
      </c>
      <c r="B1732" s="193" t="s">
        <v>2351</v>
      </c>
      <c r="C1732" s="214" t="s">
        <v>3699</v>
      </c>
      <c r="D1732" s="193" t="s">
        <v>3700</v>
      </c>
      <c r="E1732" s="212" t="s">
        <v>545</v>
      </c>
      <c r="F1732" s="215">
        <v>17</v>
      </c>
      <c r="G1732" s="194">
        <v>3.5</v>
      </c>
      <c r="H1732" s="195">
        <f t="shared" si="26"/>
        <v>59.5</v>
      </c>
      <c r="I1732" s="212" t="s">
        <v>2354</v>
      </c>
    </row>
    <row r="1733" spans="1:9" x14ac:dyDescent="0.25">
      <c r="A1733" s="193" t="s">
        <v>220</v>
      </c>
      <c r="B1733" s="193" t="s">
        <v>2351</v>
      </c>
      <c r="C1733" s="214" t="s">
        <v>3701</v>
      </c>
      <c r="D1733" s="193" t="s">
        <v>3702</v>
      </c>
      <c r="E1733" s="212" t="s">
        <v>545</v>
      </c>
      <c r="F1733" s="215">
        <v>4</v>
      </c>
      <c r="G1733" s="194">
        <v>3.0479482142857139</v>
      </c>
      <c r="H1733" s="195">
        <f t="shared" ref="H1733:H1796" si="27">+F1733*G1733</f>
        <v>12.191792857142856</v>
      </c>
      <c r="I1733" s="212" t="s">
        <v>2354</v>
      </c>
    </row>
    <row r="1734" spans="1:9" x14ac:dyDescent="0.25">
      <c r="A1734" s="193" t="s">
        <v>220</v>
      </c>
      <c r="B1734" s="193" t="s">
        <v>2351</v>
      </c>
      <c r="C1734" s="214" t="s">
        <v>3703</v>
      </c>
      <c r="D1734" s="193" t="s">
        <v>3704</v>
      </c>
      <c r="E1734" s="212" t="s">
        <v>545</v>
      </c>
      <c r="F1734" s="215">
        <v>9</v>
      </c>
      <c r="G1734" s="194">
        <v>1.6575</v>
      </c>
      <c r="H1734" s="195">
        <f t="shared" si="27"/>
        <v>14.9175</v>
      </c>
      <c r="I1734" s="212" t="s">
        <v>2354</v>
      </c>
    </row>
    <row r="1735" spans="1:9" x14ac:dyDescent="0.25">
      <c r="A1735" s="193" t="s">
        <v>220</v>
      </c>
      <c r="B1735" s="193" t="s">
        <v>2351</v>
      </c>
      <c r="C1735" s="214" t="s">
        <v>3705</v>
      </c>
      <c r="D1735" s="193" t="s">
        <v>3706</v>
      </c>
      <c r="E1735" s="212" t="s">
        <v>545</v>
      </c>
      <c r="F1735" s="215">
        <v>6</v>
      </c>
      <c r="G1735" s="194">
        <v>4.375</v>
      </c>
      <c r="H1735" s="195">
        <f t="shared" si="27"/>
        <v>26.25</v>
      </c>
      <c r="I1735" s="212" t="s">
        <v>2354</v>
      </c>
    </row>
    <row r="1736" spans="1:9" x14ac:dyDescent="0.25">
      <c r="A1736" s="193" t="s">
        <v>220</v>
      </c>
      <c r="B1736" s="193" t="s">
        <v>2351</v>
      </c>
      <c r="C1736" s="214" t="s">
        <v>3707</v>
      </c>
      <c r="D1736" s="193" t="s">
        <v>3708</v>
      </c>
      <c r="E1736" s="212" t="s">
        <v>545</v>
      </c>
      <c r="F1736" s="215">
        <v>4</v>
      </c>
      <c r="G1736" s="194">
        <v>15.5799</v>
      </c>
      <c r="H1736" s="195">
        <f t="shared" si="27"/>
        <v>62.319600000000001</v>
      </c>
      <c r="I1736" s="212" t="s">
        <v>2354</v>
      </c>
    </row>
    <row r="1737" spans="1:9" x14ac:dyDescent="0.25">
      <c r="A1737" s="193" t="s">
        <v>220</v>
      </c>
      <c r="B1737" s="193" t="s">
        <v>2351</v>
      </c>
      <c r="C1737" s="214" t="s">
        <v>3709</v>
      </c>
      <c r="D1737" s="193" t="s">
        <v>3710</v>
      </c>
      <c r="E1737" s="212" t="s">
        <v>545</v>
      </c>
      <c r="F1737" s="215">
        <v>1</v>
      </c>
      <c r="G1737" s="194">
        <v>4.6154999999999999</v>
      </c>
      <c r="H1737" s="195">
        <f t="shared" si="27"/>
        <v>4.6154999999999999</v>
      </c>
      <c r="I1737" s="212" t="s">
        <v>2354</v>
      </c>
    </row>
    <row r="1738" spans="1:9" x14ac:dyDescent="0.25">
      <c r="A1738" s="193" t="s">
        <v>220</v>
      </c>
      <c r="B1738" s="193" t="s">
        <v>2351</v>
      </c>
      <c r="C1738" s="214" t="s">
        <v>3711</v>
      </c>
      <c r="D1738" s="193" t="s">
        <v>3712</v>
      </c>
      <c r="E1738" s="212" t="s">
        <v>545</v>
      </c>
      <c r="F1738" s="215">
        <v>1</v>
      </c>
      <c r="G1738" s="194">
        <v>1.6575</v>
      </c>
      <c r="H1738" s="195">
        <f t="shared" si="27"/>
        <v>1.6575</v>
      </c>
      <c r="I1738" s="212" t="s">
        <v>2354</v>
      </c>
    </row>
    <row r="1739" spans="1:9" x14ac:dyDescent="0.25">
      <c r="A1739" s="193" t="s">
        <v>220</v>
      </c>
      <c r="B1739" s="193" t="s">
        <v>2351</v>
      </c>
      <c r="C1739" s="214" t="s">
        <v>3713</v>
      </c>
      <c r="D1739" s="193" t="s">
        <v>3714</v>
      </c>
      <c r="E1739" s="212" t="s">
        <v>545</v>
      </c>
      <c r="F1739" s="215">
        <v>14</v>
      </c>
      <c r="G1739" s="194">
        <v>33.090700000000005</v>
      </c>
      <c r="H1739" s="195">
        <f t="shared" si="27"/>
        <v>463.26980000000009</v>
      </c>
      <c r="I1739" s="212" t="s">
        <v>2354</v>
      </c>
    </row>
    <row r="1740" spans="1:9" x14ac:dyDescent="0.25">
      <c r="A1740" s="193" t="s">
        <v>220</v>
      </c>
      <c r="B1740" s="193" t="s">
        <v>2351</v>
      </c>
      <c r="C1740" s="214" t="s">
        <v>3715</v>
      </c>
      <c r="D1740" s="193" t="s">
        <v>3716</v>
      </c>
      <c r="E1740" s="212" t="s">
        <v>545</v>
      </c>
      <c r="F1740" s="215">
        <v>9</v>
      </c>
      <c r="G1740" s="194">
        <v>1.742</v>
      </c>
      <c r="H1740" s="195">
        <f t="shared" si="27"/>
        <v>15.678000000000001</v>
      </c>
      <c r="I1740" s="212" t="s">
        <v>2354</v>
      </c>
    </row>
    <row r="1741" spans="1:9" x14ac:dyDescent="0.25">
      <c r="A1741" s="193" t="s">
        <v>220</v>
      </c>
      <c r="B1741" s="193" t="s">
        <v>2351</v>
      </c>
      <c r="C1741" s="214" t="s">
        <v>3717</v>
      </c>
      <c r="D1741" s="193" t="s">
        <v>3718</v>
      </c>
      <c r="E1741" s="212" t="s">
        <v>545</v>
      </c>
      <c r="F1741" s="215">
        <v>1</v>
      </c>
      <c r="G1741" s="194">
        <v>15.028</v>
      </c>
      <c r="H1741" s="195">
        <f t="shared" si="27"/>
        <v>15.028</v>
      </c>
      <c r="I1741" s="212" t="s">
        <v>2354</v>
      </c>
    </row>
    <row r="1742" spans="1:9" x14ac:dyDescent="0.25">
      <c r="A1742" s="193" t="s">
        <v>220</v>
      </c>
      <c r="B1742" s="193" t="s">
        <v>2351</v>
      </c>
      <c r="C1742" s="214" t="s">
        <v>3719</v>
      </c>
      <c r="D1742" s="193" t="s">
        <v>3720</v>
      </c>
      <c r="E1742" s="212" t="s">
        <v>545</v>
      </c>
      <c r="F1742" s="215">
        <v>4</v>
      </c>
      <c r="G1742" s="194">
        <v>24.788016666666664</v>
      </c>
      <c r="H1742" s="195">
        <f t="shared" si="27"/>
        <v>99.152066666666656</v>
      </c>
      <c r="I1742" s="212" t="s">
        <v>2354</v>
      </c>
    </row>
    <row r="1743" spans="1:9" x14ac:dyDescent="0.25">
      <c r="A1743" s="193" t="s">
        <v>220</v>
      </c>
      <c r="B1743" s="193" t="s">
        <v>2351</v>
      </c>
      <c r="C1743" s="214" t="s">
        <v>3721</v>
      </c>
      <c r="D1743" s="193" t="s">
        <v>3722</v>
      </c>
      <c r="E1743" s="212" t="s">
        <v>545</v>
      </c>
      <c r="F1743" s="215">
        <v>1</v>
      </c>
      <c r="G1743" s="194">
        <v>68.781999999999996</v>
      </c>
      <c r="H1743" s="195">
        <f t="shared" si="27"/>
        <v>68.781999999999996</v>
      </c>
      <c r="I1743" s="212" t="s">
        <v>2354</v>
      </c>
    </row>
    <row r="1744" spans="1:9" x14ac:dyDescent="0.25">
      <c r="A1744" s="193" t="s">
        <v>220</v>
      </c>
      <c r="B1744" s="193" t="s">
        <v>2351</v>
      </c>
      <c r="C1744" s="214" t="s">
        <v>3723</v>
      </c>
      <c r="D1744" s="193" t="s">
        <v>3724</v>
      </c>
      <c r="E1744" s="212" t="s">
        <v>545</v>
      </c>
      <c r="F1744" s="215">
        <v>1</v>
      </c>
      <c r="G1744" s="194">
        <v>6.0804</v>
      </c>
      <c r="H1744" s="195">
        <f t="shared" si="27"/>
        <v>6.0804</v>
      </c>
      <c r="I1744" s="212" t="s">
        <v>2354</v>
      </c>
    </row>
    <row r="1745" spans="1:9" x14ac:dyDescent="0.25">
      <c r="A1745" s="193" t="s">
        <v>220</v>
      </c>
      <c r="B1745" s="193" t="s">
        <v>2351</v>
      </c>
      <c r="C1745" s="214" t="s">
        <v>3725</v>
      </c>
      <c r="D1745" s="193" t="s">
        <v>3726</v>
      </c>
      <c r="E1745" s="212" t="s">
        <v>545</v>
      </c>
      <c r="F1745" s="215">
        <v>1</v>
      </c>
      <c r="G1745" s="194">
        <v>8.9250000000000007</v>
      </c>
      <c r="H1745" s="195">
        <f t="shared" si="27"/>
        <v>8.9250000000000007</v>
      </c>
      <c r="I1745" s="212" t="s">
        <v>2354</v>
      </c>
    </row>
    <row r="1746" spans="1:9" x14ac:dyDescent="0.25">
      <c r="A1746" s="193" t="s">
        <v>220</v>
      </c>
      <c r="B1746" s="193" t="s">
        <v>2351</v>
      </c>
      <c r="C1746" s="214" t="s">
        <v>3727</v>
      </c>
      <c r="D1746" s="193" t="s">
        <v>3728</v>
      </c>
      <c r="E1746" s="212" t="s">
        <v>545</v>
      </c>
      <c r="F1746" s="215">
        <v>13</v>
      </c>
      <c r="G1746" s="194">
        <v>5.1802306451612896</v>
      </c>
      <c r="H1746" s="195">
        <f t="shared" si="27"/>
        <v>67.34299838709677</v>
      </c>
      <c r="I1746" s="212" t="s">
        <v>2354</v>
      </c>
    </row>
    <row r="1747" spans="1:9" x14ac:dyDescent="0.25">
      <c r="A1747" s="193" t="s">
        <v>220</v>
      </c>
      <c r="B1747" s="193" t="s">
        <v>2351</v>
      </c>
      <c r="C1747" s="214" t="s">
        <v>3729</v>
      </c>
      <c r="D1747" s="193" t="s">
        <v>3730</v>
      </c>
      <c r="E1747" s="212" t="s">
        <v>545</v>
      </c>
      <c r="F1747" s="215">
        <v>95</v>
      </c>
      <c r="G1747" s="194">
        <v>2.7116999999999996</v>
      </c>
      <c r="H1747" s="195">
        <f t="shared" si="27"/>
        <v>257.61149999999998</v>
      </c>
      <c r="I1747" s="212" t="s">
        <v>2354</v>
      </c>
    </row>
    <row r="1748" spans="1:9" x14ac:dyDescent="0.25">
      <c r="A1748" s="193" t="s">
        <v>220</v>
      </c>
      <c r="B1748" s="193" t="s">
        <v>2351</v>
      </c>
      <c r="C1748" s="214" t="s">
        <v>3731</v>
      </c>
      <c r="D1748" s="193" t="s">
        <v>3732</v>
      </c>
      <c r="E1748" s="212" t="s">
        <v>545</v>
      </c>
      <c r="F1748" s="215">
        <v>50</v>
      </c>
      <c r="G1748" s="194">
        <v>2.3933750000000003</v>
      </c>
      <c r="H1748" s="195">
        <f t="shared" si="27"/>
        <v>119.66875000000002</v>
      </c>
      <c r="I1748" s="212" t="s">
        <v>2354</v>
      </c>
    </row>
    <row r="1749" spans="1:9" x14ac:dyDescent="0.25">
      <c r="A1749" s="193" t="s">
        <v>220</v>
      </c>
      <c r="B1749" s="193" t="s">
        <v>2351</v>
      </c>
      <c r="C1749" s="214" t="s">
        <v>3733</v>
      </c>
      <c r="D1749" s="193" t="s">
        <v>3734</v>
      </c>
      <c r="E1749" s="212" t="s">
        <v>545</v>
      </c>
      <c r="F1749" s="215">
        <v>12</v>
      </c>
      <c r="G1749" s="194">
        <v>5.2429499999999996</v>
      </c>
      <c r="H1749" s="195">
        <f t="shared" si="27"/>
        <v>62.915399999999991</v>
      </c>
      <c r="I1749" s="212" t="s">
        <v>2354</v>
      </c>
    </row>
    <row r="1750" spans="1:9" x14ac:dyDescent="0.25">
      <c r="A1750" s="193" t="s">
        <v>220</v>
      </c>
      <c r="B1750" s="193" t="s">
        <v>2351</v>
      </c>
      <c r="C1750" s="214" t="s">
        <v>3735</v>
      </c>
      <c r="D1750" s="193" t="s">
        <v>3736</v>
      </c>
      <c r="E1750" s="212" t="s">
        <v>545</v>
      </c>
      <c r="F1750" s="215">
        <v>12</v>
      </c>
      <c r="G1750" s="194">
        <v>8.2799999999999994</v>
      </c>
      <c r="H1750" s="195">
        <f t="shared" si="27"/>
        <v>99.359999999999985</v>
      </c>
      <c r="I1750" s="212" t="s">
        <v>2354</v>
      </c>
    </row>
    <row r="1751" spans="1:9" x14ac:dyDescent="0.25">
      <c r="A1751" s="193" t="s">
        <v>220</v>
      </c>
      <c r="B1751" s="193" t="s">
        <v>2351</v>
      </c>
      <c r="C1751" s="214" t="s">
        <v>3737</v>
      </c>
      <c r="D1751" s="193" t="s">
        <v>3738</v>
      </c>
      <c r="E1751" s="212" t="s">
        <v>545</v>
      </c>
      <c r="F1751" s="215">
        <v>2</v>
      </c>
      <c r="G1751" s="194">
        <v>4.8340857142857141</v>
      </c>
      <c r="H1751" s="195">
        <f t="shared" si="27"/>
        <v>9.6681714285714282</v>
      </c>
      <c r="I1751" s="212" t="s">
        <v>2354</v>
      </c>
    </row>
    <row r="1752" spans="1:9" x14ac:dyDescent="0.25">
      <c r="A1752" s="193" t="s">
        <v>220</v>
      </c>
      <c r="B1752" s="193" t="s">
        <v>2351</v>
      </c>
      <c r="C1752" s="214" t="s">
        <v>3739</v>
      </c>
      <c r="D1752" s="193" t="s">
        <v>3740</v>
      </c>
      <c r="E1752" s="212" t="s">
        <v>545</v>
      </c>
      <c r="F1752" s="215">
        <v>2</v>
      </c>
      <c r="G1752" s="194">
        <v>3.044</v>
      </c>
      <c r="H1752" s="195">
        <f t="shared" si="27"/>
        <v>6.0880000000000001</v>
      </c>
      <c r="I1752" s="212" t="s">
        <v>2354</v>
      </c>
    </row>
    <row r="1753" spans="1:9" x14ac:dyDescent="0.25">
      <c r="A1753" s="193" t="s">
        <v>220</v>
      </c>
      <c r="B1753" s="193" t="s">
        <v>2351</v>
      </c>
      <c r="C1753" s="214" t="s">
        <v>3741</v>
      </c>
      <c r="D1753" s="193" t="s">
        <v>3742</v>
      </c>
      <c r="E1753" s="212" t="s">
        <v>545</v>
      </c>
      <c r="F1753" s="215">
        <v>9</v>
      </c>
      <c r="G1753" s="194">
        <v>2.4782999999999999</v>
      </c>
      <c r="H1753" s="195">
        <f t="shared" si="27"/>
        <v>22.3047</v>
      </c>
      <c r="I1753" s="212" t="s">
        <v>2354</v>
      </c>
    </row>
    <row r="1754" spans="1:9" x14ac:dyDescent="0.25">
      <c r="A1754" s="193" t="s">
        <v>220</v>
      </c>
      <c r="B1754" s="193" t="s">
        <v>2351</v>
      </c>
      <c r="C1754" s="214" t="s">
        <v>3743</v>
      </c>
      <c r="D1754" s="193" t="s">
        <v>3744</v>
      </c>
      <c r="E1754" s="212" t="s">
        <v>545</v>
      </c>
      <c r="F1754" s="215">
        <v>38</v>
      </c>
      <c r="G1754" s="194">
        <v>11.231999999999999</v>
      </c>
      <c r="H1754" s="195">
        <f t="shared" si="27"/>
        <v>426.81599999999997</v>
      </c>
      <c r="I1754" s="212" t="s">
        <v>2354</v>
      </c>
    </row>
    <row r="1755" spans="1:9" x14ac:dyDescent="0.25">
      <c r="A1755" s="193" t="s">
        <v>220</v>
      </c>
      <c r="B1755" s="193" t="s">
        <v>2351</v>
      </c>
      <c r="C1755" s="214" t="s">
        <v>3745</v>
      </c>
      <c r="D1755" s="193" t="s">
        <v>3746</v>
      </c>
      <c r="E1755" s="212" t="s">
        <v>2387</v>
      </c>
      <c r="F1755" s="215">
        <v>40</v>
      </c>
      <c r="G1755" s="194">
        <v>4.2410595238095237</v>
      </c>
      <c r="H1755" s="195">
        <f t="shared" si="27"/>
        <v>169.64238095238096</v>
      </c>
      <c r="I1755" s="212" t="s">
        <v>2354</v>
      </c>
    </row>
    <row r="1756" spans="1:9" x14ac:dyDescent="0.25">
      <c r="A1756" s="193" t="s">
        <v>220</v>
      </c>
      <c r="B1756" s="193" t="s">
        <v>2351</v>
      </c>
      <c r="C1756" s="214" t="s">
        <v>3747</v>
      </c>
      <c r="D1756" s="193" t="s">
        <v>3748</v>
      </c>
      <c r="E1756" s="212" t="s">
        <v>2387</v>
      </c>
      <c r="F1756" s="215">
        <v>20</v>
      </c>
      <c r="G1756" s="194">
        <v>6.8849999999999998</v>
      </c>
      <c r="H1756" s="195">
        <f t="shared" si="27"/>
        <v>137.69999999999999</v>
      </c>
      <c r="I1756" s="212" t="s">
        <v>2354</v>
      </c>
    </row>
    <row r="1757" spans="1:9" x14ac:dyDescent="0.25">
      <c r="A1757" s="193" t="s">
        <v>220</v>
      </c>
      <c r="B1757" s="193" t="s">
        <v>2351</v>
      </c>
      <c r="C1757" s="214" t="s">
        <v>3749</v>
      </c>
      <c r="D1757" s="193" t="s">
        <v>3750</v>
      </c>
      <c r="E1757" s="212" t="s">
        <v>2387</v>
      </c>
      <c r="F1757" s="215">
        <v>135</v>
      </c>
      <c r="G1757" s="194">
        <v>0.91969999999999996</v>
      </c>
      <c r="H1757" s="195">
        <f t="shared" si="27"/>
        <v>124.15949999999999</v>
      </c>
      <c r="I1757" s="212" t="s">
        <v>2354</v>
      </c>
    </row>
    <row r="1758" spans="1:9" x14ac:dyDescent="0.25">
      <c r="A1758" s="193" t="s">
        <v>220</v>
      </c>
      <c r="B1758" s="193" t="s">
        <v>2351</v>
      </c>
      <c r="C1758" s="214" t="s">
        <v>3751</v>
      </c>
      <c r="D1758" s="193" t="s">
        <v>3752</v>
      </c>
      <c r="E1758" s="212" t="s">
        <v>2387</v>
      </c>
      <c r="F1758" s="215">
        <v>6</v>
      </c>
      <c r="G1758" s="194">
        <v>42.075000000000003</v>
      </c>
      <c r="H1758" s="195">
        <f t="shared" si="27"/>
        <v>252.45000000000002</v>
      </c>
      <c r="I1758" s="212" t="s">
        <v>2354</v>
      </c>
    </row>
    <row r="1759" spans="1:9" x14ac:dyDescent="0.25">
      <c r="A1759" s="193" t="s">
        <v>220</v>
      </c>
      <c r="B1759" s="193" t="s">
        <v>2351</v>
      </c>
      <c r="C1759" s="214" t="s">
        <v>3753</v>
      </c>
      <c r="D1759" s="193" t="s">
        <v>3754</v>
      </c>
      <c r="E1759" s="212" t="s">
        <v>2387</v>
      </c>
      <c r="F1759" s="215">
        <v>10</v>
      </c>
      <c r="G1759" s="194">
        <v>34.17</v>
      </c>
      <c r="H1759" s="195">
        <f t="shared" si="27"/>
        <v>341.70000000000005</v>
      </c>
      <c r="I1759" s="212" t="s">
        <v>2354</v>
      </c>
    </row>
    <row r="1760" spans="1:9" x14ac:dyDescent="0.25">
      <c r="A1760" s="193" t="s">
        <v>220</v>
      </c>
      <c r="B1760" s="193" t="s">
        <v>2351</v>
      </c>
      <c r="C1760" s="214" t="s">
        <v>3755</v>
      </c>
      <c r="D1760" s="193" t="s">
        <v>3756</v>
      </c>
      <c r="E1760" s="212" t="s">
        <v>2387</v>
      </c>
      <c r="F1760" s="215">
        <v>6</v>
      </c>
      <c r="G1760" s="194">
        <v>112.5</v>
      </c>
      <c r="H1760" s="195">
        <f t="shared" si="27"/>
        <v>675</v>
      </c>
      <c r="I1760" s="212" t="s">
        <v>2354</v>
      </c>
    </row>
    <row r="1761" spans="1:9" x14ac:dyDescent="0.25">
      <c r="A1761" s="193" t="s">
        <v>220</v>
      </c>
      <c r="B1761" s="193" t="s">
        <v>2351</v>
      </c>
      <c r="C1761" s="214" t="s">
        <v>3757</v>
      </c>
      <c r="D1761" s="193" t="s">
        <v>3758</v>
      </c>
      <c r="E1761" s="212" t="s">
        <v>2387</v>
      </c>
      <c r="F1761" s="215">
        <v>18</v>
      </c>
      <c r="G1761" s="194">
        <v>31.024999999999999</v>
      </c>
      <c r="H1761" s="195">
        <f t="shared" si="27"/>
        <v>558.44999999999993</v>
      </c>
      <c r="I1761" s="212" t="s">
        <v>2354</v>
      </c>
    </row>
    <row r="1762" spans="1:9" x14ac:dyDescent="0.25">
      <c r="A1762" s="193" t="s">
        <v>220</v>
      </c>
      <c r="B1762" s="193" t="s">
        <v>2351</v>
      </c>
      <c r="C1762" s="214" t="s">
        <v>3759</v>
      </c>
      <c r="D1762" s="193" t="s">
        <v>3760</v>
      </c>
      <c r="E1762" s="212" t="s">
        <v>2387</v>
      </c>
      <c r="F1762" s="215">
        <v>81</v>
      </c>
      <c r="G1762" s="194">
        <v>0.32900000000000001</v>
      </c>
      <c r="H1762" s="195">
        <f t="shared" si="27"/>
        <v>26.649000000000001</v>
      </c>
      <c r="I1762" s="212" t="s">
        <v>2354</v>
      </c>
    </row>
    <row r="1763" spans="1:9" x14ac:dyDescent="0.25">
      <c r="A1763" s="193" t="s">
        <v>220</v>
      </c>
      <c r="B1763" s="193" t="s">
        <v>2351</v>
      </c>
      <c r="C1763" s="214" t="s">
        <v>3761</v>
      </c>
      <c r="D1763" s="193" t="s">
        <v>3762</v>
      </c>
      <c r="E1763" s="212" t="s">
        <v>2387</v>
      </c>
      <c r="F1763" s="215">
        <v>75</v>
      </c>
      <c r="G1763" s="194">
        <v>0.74250000000000005</v>
      </c>
      <c r="H1763" s="195">
        <f t="shared" si="27"/>
        <v>55.687500000000007</v>
      </c>
      <c r="I1763" s="212" t="s">
        <v>2354</v>
      </c>
    </row>
    <row r="1764" spans="1:9" x14ac:dyDescent="0.25">
      <c r="A1764" s="193" t="s">
        <v>220</v>
      </c>
      <c r="B1764" s="193" t="s">
        <v>2351</v>
      </c>
      <c r="C1764" s="214" t="s">
        <v>3763</v>
      </c>
      <c r="D1764" s="193" t="s">
        <v>3764</v>
      </c>
      <c r="E1764" s="212" t="s">
        <v>2387</v>
      </c>
      <c r="F1764" s="215">
        <v>4</v>
      </c>
      <c r="G1764" s="194">
        <v>34.953000000000003</v>
      </c>
      <c r="H1764" s="195">
        <f t="shared" si="27"/>
        <v>139.81200000000001</v>
      </c>
      <c r="I1764" s="212" t="s">
        <v>2354</v>
      </c>
    </row>
    <row r="1765" spans="1:9" x14ac:dyDescent="0.25">
      <c r="A1765" s="193" t="s">
        <v>220</v>
      </c>
      <c r="B1765" s="193" t="s">
        <v>2351</v>
      </c>
      <c r="C1765" s="214" t="s">
        <v>3765</v>
      </c>
      <c r="D1765" s="193" t="s">
        <v>3766</v>
      </c>
      <c r="E1765" s="212" t="s">
        <v>2387</v>
      </c>
      <c r="F1765" s="215">
        <v>3</v>
      </c>
      <c r="G1765" s="194">
        <v>10.336499999999999</v>
      </c>
      <c r="H1765" s="195">
        <f t="shared" si="27"/>
        <v>31.009499999999996</v>
      </c>
      <c r="I1765" s="212" t="s">
        <v>2354</v>
      </c>
    </row>
    <row r="1766" spans="1:9" x14ac:dyDescent="0.25">
      <c r="A1766" s="193" t="s">
        <v>220</v>
      </c>
      <c r="B1766" s="193" t="s">
        <v>2351</v>
      </c>
      <c r="C1766" s="214" t="s">
        <v>3767</v>
      </c>
      <c r="D1766" s="193" t="s">
        <v>3768</v>
      </c>
      <c r="E1766" s="212" t="s">
        <v>2387</v>
      </c>
      <c r="F1766" s="215">
        <v>2</v>
      </c>
      <c r="G1766" s="194">
        <v>119.779</v>
      </c>
      <c r="H1766" s="195">
        <f t="shared" si="27"/>
        <v>239.55799999999999</v>
      </c>
      <c r="I1766" s="212" t="s">
        <v>2354</v>
      </c>
    </row>
    <row r="1767" spans="1:9" x14ac:dyDescent="0.25">
      <c r="A1767" s="193" t="s">
        <v>220</v>
      </c>
      <c r="B1767" s="193" t="s">
        <v>2351</v>
      </c>
      <c r="C1767" s="214" t="s">
        <v>3769</v>
      </c>
      <c r="D1767" s="193" t="s">
        <v>3770</v>
      </c>
      <c r="E1767" s="212" t="s">
        <v>545</v>
      </c>
      <c r="F1767" s="215">
        <v>4</v>
      </c>
      <c r="G1767" s="194">
        <v>16.4358</v>
      </c>
      <c r="H1767" s="195">
        <f t="shared" si="27"/>
        <v>65.743200000000002</v>
      </c>
      <c r="I1767" s="212" t="s">
        <v>2354</v>
      </c>
    </row>
    <row r="1768" spans="1:9" x14ac:dyDescent="0.25">
      <c r="A1768" s="193" t="s">
        <v>220</v>
      </c>
      <c r="B1768" s="193" t="s">
        <v>2351</v>
      </c>
      <c r="C1768" s="214" t="s">
        <v>3771</v>
      </c>
      <c r="D1768" s="193" t="s">
        <v>3772</v>
      </c>
      <c r="E1768" s="212" t="s">
        <v>545</v>
      </c>
      <c r="F1768" s="215">
        <v>5</v>
      </c>
      <c r="G1768" s="194">
        <v>10.246</v>
      </c>
      <c r="H1768" s="195">
        <f t="shared" si="27"/>
        <v>51.230000000000004</v>
      </c>
      <c r="I1768" s="212" t="s">
        <v>2354</v>
      </c>
    </row>
    <row r="1769" spans="1:9" x14ac:dyDescent="0.25">
      <c r="A1769" s="193" t="s">
        <v>220</v>
      </c>
      <c r="B1769" s="193" t="s">
        <v>2351</v>
      </c>
      <c r="C1769" s="214" t="s">
        <v>3773</v>
      </c>
      <c r="D1769" s="193" t="s">
        <v>3774</v>
      </c>
      <c r="E1769" s="212" t="s">
        <v>545</v>
      </c>
      <c r="F1769" s="215">
        <v>6</v>
      </c>
      <c r="G1769" s="194">
        <v>12.023999999999999</v>
      </c>
      <c r="H1769" s="195">
        <f t="shared" si="27"/>
        <v>72.143999999999991</v>
      </c>
      <c r="I1769" s="212" t="s">
        <v>2354</v>
      </c>
    </row>
    <row r="1770" spans="1:9" x14ac:dyDescent="0.25">
      <c r="A1770" s="193" t="s">
        <v>220</v>
      </c>
      <c r="B1770" s="193" t="s">
        <v>2351</v>
      </c>
      <c r="C1770" s="214" t="s">
        <v>3775</v>
      </c>
      <c r="D1770" s="193" t="s">
        <v>3776</v>
      </c>
      <c r="E1770" s="212" t="s">
        <v>545</v>
      </c>
      <c r="F1770" s="215">
        <v>8</v>
      </c>
      <c r="G1770" s="194">
        <v>42.075000000000003</v>
      </c>
      <c r="H1770" s="195">
        <f t="shared" si="27"/>
        <v>336.6</v>
      </c>
      <c r="I1770" s="212" t="s">
        <v>2354</v>
      </c>
    </row>
    <row r="1771" spans="1:9" x14ac:dyDescent="0.25">
      <c r="A1771" s="193" t="s">
        <v>220</v>
      </c>
      <c r="B1771" s="193" t="s">
        <v>2351</v>
      </c>
      <c r="C1771" s="214" t="s">
        <v>3777</v>
      </c>
      <c r="D1771" s="193" t="s">
        <v>3778</v>
      </c>
      <c r="E1771" s="212" t="s">
        <v>545</v>
      </c>
      <c r="F1771" s="215">
        <v>10</v>
      </c>
      <c r="G1771" s="194">
        <v>13.922000000000001</v>
      </c>
      <c r="H1771" s="195">
        <f t="shared" si="27"/>
        <v>139.22</v>
      </c>
      <c r="I1771" s="212" t="s">
        <v>2354</v>
      </c>
    </row>
    <row r="1772" spans="1:9" x14ac:dyDescent="0.25">
      <c r="A1772" s="193" t="s">
        <v>220</v>
      </c>
      <c r="B1772" s="193" t="s">
        <v>2351</v>
      </c>
      <c r="C1772" s="214" t="s">
        <v>3779</v>
      </c>
      <c r="D1772" s="193" t="s">
        <v>3780</v>
      </c>
      <c r="E1772" s="212" t="s">
        <v>545</v>
      </c>
      <c r="F1772" s="215">
        <v>3</v>
      </c>
      <c r="G1772" s="194">
        <v>30.245999999999999</v>
      </c>
      <c r="H1772" s="195">
        <f t="shared" si="27"/>
        <v>90.738</v>
      </c>
      <c r="I1772" s="212" t="s">
        <v>2354</v>
      </c>
    </row>
    <row r="1773" spans="1:9" x14ac:dyDescent="0.25">
      <c r="A1773" s="193" t="s">
        <v>220</v>
      </c>
      <c r="B1773" s="193" t="s">
        <v>2351</v>
      </c>
      <c r="C1773" s="214" t="s">
        <v>3781</v>
      </c>
      <c r="D1773" s="193" t="s">
        <v>3782</v>
      </c>
      <c r="E1773" s="212" t="s">
        <v>545</v>
      </c>
      <c r="F1773" s="215">
        <v>5</v>
      </c>
      <c r="G1773" s="194">
        <v>31.045999999999999</v>
      </c>
      <c r="H1773" s="195">
        <f t="shared" si="27"/>
        <v>155.22999999999999</v>
      </c>
      <c r="I1773" s="212" t="s">
        <v>2354</v>
      </c>
    </row>
    <row r="1774" spans="1:9" x14ac:dyDescent="0.25">
      <c r="A1774" s="193" t="s">
        <v>220</v>
      </c>
      <c r="B1774" s="193" t="s">
        <v>2351</v>
      </c>
      <c r="C1774" s="214" t="s">
        <v>3783</v>
      </c>
      <c r="D1774" s="193" t="s">
        <v>3784</v>
      </c>
      <c r="E1774" s="212" t="s">
        <v>545</v>
      </c>
      <c r="F1774" s="215">
        <v>6</v>
      </c>
      <c r="G1774" s="194">
        <v>72.319342105263146</v>
      </c>
      <c r="H1774" s="195">
        <f t="shared" si="27"/>
        <v>433.91605263157885</v>
      </c>
      <c r="I1774" s="212" t="s">
        <v>2354</v>
      </c>
    </row>
    <row r="1775" spans="1:9" x14ac:dyDescent="0.25">
      <c r="A1775" s="193" t="s">
        <v>220</v>
      </c>
      <c r="B1775" s="193" t="s">
        <v>2351</v>
      </c>
      <c r="C1775" s="214" t="s">
        <v>3785</v>
      </c>
      <c r="D1775" s="193" t="s">
        <v>3786</v>
      </c>
      <c r="E1775" s="212" t="s">
        <v>545</v>
      </c>
      <c r="F1775" s="215">
        <v>1</v>
      </c>
      <c r="G1775" s="194">
        <v>6.1020500000000002</v>
      </c>
      <c r="H1775" s="195">
        <f t="shared" si="27"/>
        <v>6.1020500000000002</v>
      </c>
      <c r="I1775" s="212" t="s">
        <v>2354</v>
      </c>
    </row>
    <row r="1776" spans="1:9" x14ac:dyDescent="0.25">
      <c r="A1776" s="193" t="s">
        <v>220</v>
      </c>
      <c r="B1776" s="193" t="s">
        <v>2351</v>
      </c>
      <c r="C1776" s="214" t="s">
        <v>3787</v>
      </c>
      <c r="D1776" s="193" t="s">
        <v>3788</v>
      </c>
      <c r="E1776" s="212" t="s">
        <v>545</v>
      </c>
      <c r="F1776" s="215">
        <v>6</v>
      </c>
      <c r="G1776" s="194">
        <v>27.2</v>
      </c>
      <c r="H1776" s="195">
        <f t="shared" si="27"/>
        <v>163.19999999999999</v>
      </c>
      <c r="I1776" s="212" t="s">
        <v>2354</v>
      </c>
    </row>
    <row r="1777" spans="1:9" x14ac:dyDescent="0.25">
      <c r="A1777" s="193" t="s">
        <v>220</v>
      </c>
      <c r="B1777" s="193" t="s">
        <v>2351</v>
      </c>
      <c r="C1777" s="214" t="s">
        <v>3789</v>
      </c>
      <c r="D1777" s="193" t="s">
        <v>3790</v>
      </c>
      <c r="E1777" s="212" t="s">
        <v>545</v>
      </c>
      <c r="F1777" s="215">
        <v>3</v>
      </c>
      <c r="G1777" s="194">
        <v>28.732500000000005</v>
      </c>
      <c r="H1777" s="195">
        <f t="shared" si="27"/>
        <v>86.197500000000019</v>
      </c>
      <c r="I1777" s="212" t="s">
        <v>2354</v>
      </c>
    </row>
    <row r="1778" spans="1:9" x14ac:dyDescent="0.25">
      <c r="A1778" s="193" t="s">
        <v>220</v>
      </c>
      <c r="B1778" s="193" t="s">
        <v>2351</v>
      </c>
      <c r="C1778" s="214" t="s">
        <v>3791</v>
      </c>
      <c r="D1778" s="193" t="s">
        <v>3792</v>
      </c>
      <c r="E1778" s="212" t="s">
        <v>545</v>
      </c>
      <c r="F1778" s="215">
        <v>6</v>
      </c>
      <c r="G1778" s="194">
        <v>35.191000000000003</v>
      </c>
      <c r="H1778" s="195">
        <f t="shared" si="27"/>
        <v>211.14600000000002</v>
      </c>
      <c r="I1778" s="212" t="s">
        <v>2354</v>
      </c>
    </row>
    <row r="1779" spans="1:9" x14ac:dyDescent="0.25">
      <c r="A1779" s="193" t="s">
        <v>220</v>
      </c>
      <c r="B1779" s="193" t="s">
        <v>2351</v>
      </c>
      <c r="C1779" s="214" t="s">
        <v>3793</v>
      </c>
      <c r="D1779" s="193" t="s">
        <v>3794</v>
      </c>
      <c r="E1779" s="212" t="s">
        <v>545</v>
      </c>
      <c r="F1779" s="215">
        <v>2</v>
      </c>
      <c r="G1779" s="194">
        <v>110.37883333333333</v>
      </c>
      <c r="H1779" s="195">
        <f t="shared" si="27"/>
        <v>220.75766666666667</v>
      </c>
      <c r="I1779" s="212" t="s">
        <v>2354</v>
      </c>
    </row>
    <row r="1780" spans="1:9" x14ac:dyDescent="0.25">
      <c r="A1780" s="193" t="s">
        <v>220</v>
      </c>
      <c r="B1780" s="193" t="s">
        <v>2351</v>
      </c>
      <c r="C1780" s="214" t="s">
        <v>3795</v>
      </c>
      <c r="D1780" s="193" t="s">
        <v>3796</v>
      </c>
      <c r="E1780" s="212" t="s">
        <v>545</v>
      </c>
      <c r="F1780" s="215">
        <v>6</v>
      </c>
      <c r="G1780" s="194">
        <v>141.57864000000001</v>
      </c>
      <c r="H1780" s="195">
        <f t="shared" si="27"/>
        <v>849.47184000000004</v>
      </c>
      <c r="I1780" s="212" t="s">
        <v>2354</v>
      </c>
    </row>
    <row r="1781" spans="1:9" x14ac:dyDescent="0.25">
      <c r="A1781" s="193" t="s">
        <v>220</v>
      </c>
      <c r="B1781" s="193" t="s">
        <v>2351</v>
      </c>
      <c r="C1781" s="214" t="s">
        <v>3797</v>
      </c>
      <c r="D1781" s="193" t="s">
        <v>3798</v>
      </c>
      <c r="E1781" s="212" t="s">
        <v>545</v>
      </c>
      <c r="F1781" s="215">
        <v>10</v>
      </c>
      <c r="G1781" s="194">
        <v>102.2805</v>
      </c>
      <c r="H1781" s="195">
        <f t="shared" si="27"/>
        <v>1022.8050000000001</v>
      </c>
      <c r="I1781" s="212" t="s">
        <v>2354</v>
      </c>
    </row>
    <row r="1782" spans="1:9" x14ac:dyDescent="0.25">
      <c r="A1782" s="193" t="s">
        <v>220</v>
      </c>
      <c r="B1782" s="193" t="s">
        <v>2351</v>
      </c>
      <c r="C1782" s="214" t="s">
        <v>3799</v>
      </c>
      <c r="D1782" s="193" t="s">
        <v>3800</v>
      </c>
      <c r="E1782" s="212" t="s">
        <v>545</v>
      </c>
      <c r="F1782" s="213">
        <v>6</v>
      </c>
      <c r="G1782" s="194">
        <v>346.16480000000001</v>
      </c>
      <c r="H1782" s="195">
        <f t="shared" si="27"/>
        <v>2076.9888000000001</v>
      </c>
      <c r="I1782" s="212" t="s">
        <v>2354</v>
      </c>
    </row>
    <row r="1783" spans="1:9" x14ac:dyDescent="0.25">
      <c r="A1783" s="193" t="s">
        <v>220</v>
      </c>
      <c r="B1783" s="193" t="s">
        <v>2351</v>
      </c>
      <c r="C1783" s="214" t="s">
        <v>3801</v>
      </c>
      <c r="D1783" s="193" t="s">
        <v>3802</v>
      </c>
      <c r="E1783" s="212" t="s">
        <v>545</v>
      </c>
      <c r="F1783" s="215">
        <v>6</v>
      </c>
      <c r="G1783" s="194">
        <v>145</v>
      </c>
      <c r="H1783" s="195">
        <f t="shared" si="27"/>
        <v>870</v>
      </c>
      <c r="I1783" s="212" t="s">
        <v>2354</v>
      </c>
    </row>
    <row r="1784" spans="1:9" x14ac:dyDescent="0.25">
      <c r="A1784" s="193" t="s">
        <v>220</v>
      </c>
      <c r="B1784" s="193" t="s">
        <v>2351</v>
      </c>
      <c r="C1784" s="214" t="s">
        <v>3803</v>
      </c>
      <c r="D1784" s="193" t="s">
        <v>3804</v>
      </c>
      <c r="E1784" s="212" t="s">
        <v>545</v>
      </c>
      <c r="F1784" s="215">
        <v>3</v>
      </c>
      <c r="G1784" s="194">
        <v>181.62799999999999</v>
      </c>
      <c r="H1784" s="195">
        <f t="shared" si="27"/>
        <v>544.88400000000001</v>
      </c>
      <c r="I1784" s="212" t="s">
        <v>2354</v>
      </c>
    </row>
    <row r="1785" spans="1:9" x14ac:dyDescent="0.25">
      <c r="A1785" s="193" t="s">
        <v>220</v>
      </c>
      <c r="B1785" s="193" t="s">
        <v>2351</v>
      </c>
      <c r="C1785" s="214" t="s">
        <v>3805</v>
      </c>
      <c r="D1785" s="193" t="s">
        <v>3806</v>
      </c>
      <c r="E1785" s="212" t="s">
        <v>545</v>
      </c>
      <c r="F1785" s="215">
        <v>2</v>
      </c>
      <c r="G1785" s="194">
        <v>127.00620000000001</v>
      </c>
      <c r="H1785" s="195">
        <f t="shared" si="27"/>
        <v>254.01240000000001</v>
      </c>
      <c r="I1785" s="212" t="s">
        <v>2354</v>
      </c>
    </row>
    <row r="1786" spans="1:9" x14ac:dyDescent="0.25">
      <c r="A1786" s="193" t="s">
        <v>220</v>
      </c>
      <c r="B1786" s="193" t="s">
        <v>2351</v>
      </c>
      <c r="C1786" s="214" t="s">
        <v>3807</v>
      </c>
      <c r="D1786" s="193" t="s">
        <v>3808</v>
      </c>
      <c r="E1786" s="212" t="s">
        <v>545</v>
      </c>
      <c r="F1786" s="215">
        <v>2</v>
      </c>
      <c r="G1786" s="194">
        <v>93.975999999999999</v>
      </c>
      <c r="H1786" s="195">
        <f t="shared" si="27"/>
        <v>187.952</v>
      </c>
      <c r="I1786" s="212" t="s">
        <v>2354</v>
      </c>
    </row>
    <row r="1787" spans="1:9" x14ac:dyDescent="0.25">
      <c r="A1787" s="193" t="s">
        <v>220</v>
      </c>
      <c r="B1787" s="193" t="s">
        <v>2351</v>
      </c>
      <c r="C1787" s="214" t="s">
        <v>3809</v>
      </c>
      <c r="D1787" s="193" t="s">
        <v>3810</v>
      </c>
      <c r="E1787" s="212" t="s">
        <v>545</v>
      </c>
      <c r="F1787" s="215">
        <v>1</v>
      </c>
      <c r="G1787" s="194">
        <v>64.261530000000008</v>
      </c>
      <c r="H1787" s="195">
        <f t="shared" si="27"/>
        <v>64.261530000000008</v>
      </c>
      <c r="I1787" s="212" t="s">
        <v>2354</v>
      </c>
    </row>
    <row r="1788" spans="1:9" x14ac:dyDescent="0.25">
      <c r="A1788" s="193" t="s">
        <v>220</v>
      </c>
      <c r="B1788" s="193" t="s">
        <v>2351</v>
      </c>
      <c r="C1788" s="214" t="s">
        <v>3811</v>
      </c>
      <c r="D1788" s="193" t="s">
        <v>3812</v>
      </c>
      <c r="E1788" s="212" t="s">
        <v>545</v>
      </c>
      <c r="F1788" s="215">
        <v>2</v>
      </c>
      <c r="G1788" s="194">
        <v>89.798400000000001</v>
      </c>
      <c r="H1788" s="195">
        <f t="shared" si="27"/>
        <v>179.5968</v>
      </c>
      <c r="I1788" s="212" t="s">
        <v>2354</v>
      </c>
    </row>
    <row r="1789" spans="1:9" x14ac:dyDescent="0.25">
      <c r="A1789" s="193" t="s">
        <v>220</v>
      </c>
      <c r="B1789" s="193" t="s">
        <v>2351</v>
      </c>
      <c r="C1789" s="214" t="s">
        <v>3813</v>
      </c>
      <c r="D1789" s="193" t="s">
        <v>3814</v>
      </c>
      <c r="E1789" s="212" t="s">
        <v>545</v>
      </c>
      <c r="F1789" s="215">
        <v>5</v>
      </c>
      <c r="G1789" s="194">
        <v>176.84310000000002</v>
      </c>
      <c r="H1789" s="195">
        <f t="shared" si="27"/>
        <v>884.21550000000013</v>
      </c>
      <c r="I1789" s="212" t="s">
        <v>2354</v>
      </c>
    </row>
    <row r="1790" spans="1:9" x14ac:dyDescent="0.25">
      <c r="A1790" s="193" t="s">
        <v>220</v>
      </c>
      <c r="B1790" s="193" t="s">
        <v>2351</v>
      </c>
      <c r="C1790" s="214" t="s">
        <v>3815</v>
      </c>
      <c r="D1790" s="193" t="s">
        <v>3816</v>
      </c>
      <c r="E1790" s="212" t="s">
        <v>545</v>
      </c>
      <c r="F1790" s="215">
        <v>1</v>
      </c>
      <c r="G1790" s="194">
        <v>44.763299999999994</v>
      </c>
      <c r="H1790" s="195">
        <f t="shared" si="27"/>
        <v>44.763299999999994</v>
      </c>
      <c r="I1790" s="212" t="s">
        <v>2354</v>
      </c>
    </row>
    <row r="1791" spans="1:9" x14ac:dyDescent="0.25">
      <c r="A1791" s="193" t="s">
        <v>220</v>
      </c>
      <c r="B1791" s="193" t="s">
        <v>2351</v>
      </c>
      <c r="C1791" s="214" t="s">
        <v>3817</v>
      </c>
      <c r="D1791" s="193" t="s">
        <v>3818</v>
      </c>
      <c r="E1791" s="212" t="s">
        <v>545</v>
      </c>
      <c r="F1791" s="213">
        <v>1</v>
      </c>
      <c r="G1791" s="194">
        <v>1330.4114999999999</v>
      </c>
      <c r="H1791" s="195">
        <f t="shared" si="27"/>
        <v>1330.4114999999999</v>
      </c>
      <c r="I1791" s="212" t="s">
        <v>2354</v>
      </c>
    </row>
    <row r="1792" spans="1:9" x14ac:dyDescent="0.25">
      <c r="A1792" s="193" t="s">
        <v>220</v>
      </c>
      <c r="B1792" s="193" t="s">
        <v>2351</v>
      </c>
      <c r="C1792" s="214" t="s">
        <v>3819</v>
      </c>
      <c r="D1792" s="193" t="s">
        <v>3820</v>
      </c>
      <c r="E1792" s="212" t="s">
        <v>545</v>
      </c>
      <c r="F1792" s="215">
        <v>7</v>
      </c>
      <c r="G1792" s="194">
        <v>129.67784999999998</v>
      </c>
      <c r="H1792" s="195">
        <f t="shared" si="27"/>
        <v>907.74494999999979</v>
      </c>
      <c r="I1792" s="212" t="s">
        <v>2354</v>
      </c>
    </row>
    <row r="1793" spans="1:9" x14ac:dyDescent="0.25">
      <c r="A1793" s="193" t="s">
        <v>220</v>
      </c>
      <c r="B1793" s="193" t="s">
        <v>2351</v>
      </c>
      <c r="C1793" s="214" t="s">
        <v>3821</v>
      </c>
      <c r="D1793" s="193" t="s">
        <v>3822</v>
      </c>
      <c r="E1793" s="212" t="s">
        <v>545</v>
      </c>
      <c r="F1793" s="215">
        <v>1</v>
      </c>
      <c r="G1793" s="194">
        <v>382.89949999999999</v>
      </c>
      <c r="H1793" s="195">
        <f t="shared" si="27"/>
        <v>382.89949999999999</v>
      </c>
      <c r="I1793" s="212" t="s">
        <v>2354</v>
      </c>
    </row>
    <row r="1794" spans="1:9" x14ac:dyDescent="0.25">
      <c r="A1794" s="193" t="s">
        <v>220</v>
      </c>
      <c r="B1794" s="193" t="s">
        <v>2351</v>
      </c>
      <c r="C1794" s="214" t="s">
        <v>3823</v>
      </c>
      <c r="D1794" s="193" t="s">
        <v>3824</v>
      </c>
      <c r="E1794" s="212" t="s">
        <v>545</v>
      </c>
      <c r="F1794" s="215">
        <v>6</v>
      </c>
      <c r="G1794" s="194">
        <v>0</v>
      </c>
      <c r="H1794" s="195">
        <f t="shared" si="27"/>
        <v>0</v>
      </c>
      <c r="I1794" s="212" t="s">
        <v>2354</v>
      </c>
    </row>
    <row r="1795" spans="1:9" x14ac:dyDescent="0.25">
      <c r="A1795" s="193" t="s">
        <v>220</v>
      </c>
      <c r="B1795" s="193" t="s">
        <v>2351</v>
      </c>
      <c r="C1795" s="214" t="s">
        <v>3825</v>
      </c>
      <c r="D1795" s="193" t="s">
        <v>3826</v>
      </c>
      <c r="E1795" s="212" t="s">
        <v>545</v>
      </c>
      <c r="F1795" s="215">
        <v>2</v>
      </c>
      <c r="G1795" s="194">
        <v>150.75</v>
      </c>
      <c r="H1795" s="195">
        <f t="shared" si="27"/>
        <v>301.5</v>
      </c>
      <c r="I1795" s="212" t="s">
        <v>2354</v>
      </c>
    </row>
    <row r="1796" spans="1:9" x14ac:dyDescent="0.25">
      <c r="A1796" s="193" t="s">
        <v>220</v>
      </c>
      <c r="B1796" s="193" t="s">
        <v>2351</v>
      </c>
      <c r="C1796" s="214" t="s">
        <v>3827</v>
      </c>
      <c r="D1796" s="193" t="s">
        <v>3828</v>
      </c>
      <c r="E1796" s="212" t="s">
        <v>545</v>
      </c>
      <c r="F1796" s="215">
        <v>2</v>
      </c>
      <c r="G1796" s="194">
        <v>100.2</v>
      </c>
      <c r="H1796" s="195">
        <f t="shared" si="27"/>
        <v>200.4</v>
      </c>
      <c r="I1796" s="212" t="s">
        <v>2354</v>
      </c>
    </row>
    <row r="1797" spans="1:9" x14ac:dyDescent="0.25">
      <c r="A1797" s="193" t="s">
        <v>220</v>
      </c>
      <c r="B1797" s="193" t="s">
        <v>2351</v>
      </c>
      <c r="C1797" s="214" t="s">
        <v>3829</v>
      </c>
      <c r="D1797" s="193" t="s">
        <v>3830</v>
      </c>
      <c r="E1797" s="212" t="s">
        <v>545</v>
      </c>
      <c r="F1797" s="215">
        <v>4</v>
      </c>
      <c r="G1797" s="194">
        <v>6.9550000000000001</v>
      </c>
      <c r="H1797" s="195">
        <f t="shared" ref="H1797:H1860" si="28">+F1797*G1797</f>
        <v>27.82</v>
      </c>
      <c r="I1797" s="212" t="s">
        <v>2354</v>
      </c>
    </row>
    <row r="1798" spans="1:9" x14ac:dyDescent="0.25">
      <c r="A1798" s="193" t="s">
        <v>220</v>
      </c>
      <c r="B1798" s="193" t="s">
        <v>2351</v>
      </c>
      <c r="C1798" s="214" t="s">
        <v>3831</v>
      </c>
      <c r="D1798" s="193" t="s">
        <v>3832</v>
      </c>
      <c r="E1798" s="212" t="s">
        <v>545</v>
      </c>
      <c r="F1798" s="215">
        <v>2</v>
      </c>
      <c r="G1798" s="194">
        <v>20.553999999999998</v>
      </c>
      <c r="H1798" s="195">
        <f t="shared" si="28"/>
        <v>41.107999999999997</v>
      </c>
      <c r="I1798" s="212" t="s">
        <v>2354</v>
      </c>
    </row>
    <row r="1799" spans="1:9" x14ac:dyDescent="0.25">
      <c r="A1799" s="193" t="s">
        <v>220</v>
      </c>
      <c r="B1799" s="193" t="s">
        <v>2351</v>
      </c>
      <c r="C1799" s="214" t="s">
        <v>3833</v>
      </c>
      <c r="D1799" s="193" t="s">
        <v>3834</v>
      </c>
      <c r="E1799" s="212" t="s">
        <v>545</v>
      </c>
      <c r="F1799" s="215">
        <v>8</v>
      </c>
      <c r="G1799" s="194">
        <v>1.173</v>
      </c>
      <c r="H1799" s="195">
        <f t="shared" si="28"/>
        <v>9.3840000000000003</v>
      </c>
      <c r="I1799" s="212" t="s">
        <v>2354</v>
      </c>
    </row>
    <row r="1800" spans="1:9" x14ac:dyDescent="0.25">
      <c r="A1800" s="193" t="s">
        <v>220</v>
      </c>
      <c r="B1800" s="193" t="s">
        <v>2351</v>
      </c>
      <c r="C1800" s="214" t="s">
        <v>3835</v>
      </c>
      <c r="D1800" s="193" t="s">
        <v>3836</v>
      </c>
      <c r="E1800" s="212" t="s">
        <v>545</v>
      </c>
      <c r="F1800" s="215">
        <v>4</v>
      </c>
      <c r="G1800" s="194">
        <v>25.009</v>
      </c>
      <c r="H1800" s="195">
        <f t="shared" si="28"/>
        <v>100.036</v>
      </c>
      <c r="I1800" s="212" t="s">
        <v>2354</v>
      </c>
    </row>
    <row r="1801" spans="1:9" x14ac:dyDescent="0.25">
      <c r="A1801" s="193" t="s">
        <v>220</v>
      </c>
      <c r="B1801" s="193" t="s">
        <v>2351</v>
      </c>
      <c r="C1801" s="214" t="s">
        <v>3837</v>
      </c>
      <c r="D1801" s="193" t="s">
        <v>3838</v>
      </c>
      <c r="E1801" s="212" t="s">
        <v>545</v>
      </c>
      <c r="F1801" s="215">
        <v>4</v>
      </c>
      <c r="G1801" s="194">
        <v>0.17199999999999999</v>
      </c>
      <c r="H1801" s="195">
        <f t="shared" si="28"/>
        <v>0.68799999999999994</v>
      </c>
      <c r="I1801" s="212" t="s">
        <v>2354</v>
      </c>
    </row>
    <row r="1802" spans="1:9" x14ac:dyDescent="0.25">
      <c r="A1802" s="193" t="s">
        <v>220</v>
      </c>
      <c r="B1802" s="193" t="s">
        <v>2351</v>
      </c>
      <c r="C1802" s="214" t="s">
        <v>3839</v>
      </c>
      <c r="D1802" s="193" t="s">
        <v>3840</v>
      </c>
      <c r="E1802" s="212" t="s">
        <v>545</v>
      </c>
      <c r="F1802" s="215">
        <v>10</v>
      </c>
      <c r="G1802" s="194">
        <v>130.82400000000001</v>
      </c>
      <c r="H1802" s="195">
        <f t="shared" si="28"/>
        <v>1308.2400000000002</v>
      </c>
      <c r="I1802" s="212" t="s">
        <v>2354</v>
      </c>
    </row>
    <row r="1803" spans="1:9" x14ac:dyDescent="0.25">
      <c r="A1803" s="193" t="s">
        <v>220</v>
      </c>
      <c r="B1803" s="193" t="s">
        <v>2351</v>
      </c>
      <c r="C1803" s="214" t="s">
        <v>3841</v>
      </c>
      <c r="D1803" s="193" t="s">
        <v>3842</v>
      </c>
      <c r="E1803" s="212" t="s">
        <v>545</v>
      </c>
      <c r="F1803" s="215">
        <v>2</v>
      </c>
      <c r="G1803" s="194">
        <v>27.27</v>
      </c>
      <c r="H1803" s="195">
        <f t="shared" si="28"/>
        <v>54.54</v>
      </c>
      <c r="I1803" s="212" t="s">
        <v>2354</v>
      </c>
    </row>
    <row r="1804" spans="1:9" x14ac:dyDescent="0.25">
      <c r="A1804" s="193" t="s">
        <v>220</v>
      </c>
      <c r="B1804" s="193" t="s">
        <v>2351</v>
      </c>
      <c r="C1804" s="214" t="s">
        <v>3843</v>
      </c>
      <c r="D1804" s="193" t="s">
        <v>3844</v>
      </c>
      <c r="E1804" s="212" t="s">
        <v>545</v>
      </c>
      <c r="F1804" s="215">
        <v>2</v>
      </c>
      <c r="G1804" s="194">
        <v>364.49275</v>
      </c>
      <c r="H1804" s="195">
        <f t="shared" si="28"/>
        <v>728.9855</v>
      </c>
      <c r="I1804" s="212" t="s">
        <v>2354</v>
      </c>
    </row>
    <row r="1805" spans="1:9" x14ac:dyDescent="0.25">
      <c r="A1805" s="193" t="s">
        <v>220</v>
      </c>
      <c r="B1805" s="193" t="s">
        <v>2351</v>
      </c>
      <c r="C1805" s="214" t="s">
        <v>3845</v>
      </c>
      <c r="D1805" s="193" t="s">
        <v>3846</v>
      </c>
      <c r="E1805" s="212" t="s">
        <v>545</v>
      </c>
      <c r="F1805" s="215">
        <v>12</v>
      </c>
      <c r="G1805" s="194">
        <v>133.94300000000001</v>
      </c>
      <c r="H1805" s="195">
        <f t="shared" si="28"/>
        <v>1607.3160000000003</v>
      </c>
      <c r="I1805" s="212" t="s">
        <v>2354</v>
      </c>
    </row>
    <row r="1806" spans="1:9" x14ac:dyDescent="0.25">
      <c r="A1806" s="193" t="s">
        <v>220</v>
      </c>
      <c r="B1806" s="193" t="s">
        <v>2351</v>
      </c>
      <c r="C1806" s="214" t="s">
        <v>3847</v>
      </c>
      <c r="D1806" s="193" t="s">
        <v>3848</v>
      </c>
      <c r="E1806" s="212" t="s">
        <v>545</v>
      </c>
      <c r="F1806" s="215">
        <v>2</v>
      </c>
      <c r="G1806" s="194">
        <v>19.800999999999998</v>
      </c>
      <c r="H1806" s="195">
        <f t="shared" si="28"/>
        <v>39.601999999999997</v>
      </c>
      <c r="I1806" s="212" t="s">
        <v>2354</v>
      </c>
    </row>
    <row r="1807" spans="1:9" x14ac:dyDescent="0.25">
      <c r="A1807" s="193" t="s">
        <v>220</v>
      </c>
      <c r="B1807" s="193" t="s">
        <v>2351</v>
      </c>
      <c r="C1807" s="214" t="s">
        <v>3849</v>
      </c>
      <c r="D1807" s="193" t="s">
        <v>3850</v>
      </c>
      <c r="E1807" s="212" t="s">
        <v>545</v>
      </c>
      <c r="F1807" s="215">
        <v>7</v>
      </c>
      <c r="G1807" s="194">
        <v>9.9990000000000006</v>
      </c>
      <c r="H1807" s="195">
        <f t="shared" si="28"/>
        <v>69.993000000000009</v>
      </c>
      <c r="I1807" s="212" t="s">
        <v>2354</v>
      </c>
    </row>
    <row r="1808" spans="1:9" x14ac:dyDescent="0.25">
      <c r="A1808" s="193" t="s">
        <v>220</v>
      </c>
      <c r="B1808" s="193" t="s">
        <v>2351</v>
      </c>
      <c r="C1808" s="214" t="s">
        <v>3851</v>
      </c>
      <c r="D1808" s="193" t="s">
        <v>3852</v>
      </c>
      <c r="E1808" s="212" t="s">
        <v>545</v>
      </c>
      <c r="F1808" s="215">
        <v>6</v>
      </c>
      <c r="G1808" s="194">
        <v>1.7955000000000001</v>
      </c>
      <c r="H1808" s="195">
        <f t="shared" si="28"/>
        <v>10.773</v>
      </c>
      <c r="I1808" s="212" t="s">
        <v>2354</v>
      </c>
    </row>
    <row r="1809" spans="1:9" x14ac:dyDescent="0.25">
      <c r="A1809" s="193" t="s">
        <v>220</v>
      </c>
      <c r="B1809" s="193" t="s">
        <v>2351</v>
      </c>
      <c r="C1809" s="214" t="s">
        <v>3853</v>
      </c>
      <c r="D1809" s="193" t="s">
        <v>3854</v>
      </c>
      <c r="E1809" s="212" t="s">
        <v>545</v>
      </c>
      <c r="F1809" s="215">
        <v>8</v>
      </c>
      <c r="G1809" s="194">
        <v>1.5498000000000001</v>
      </c>
      <c r="H1809" s="195">
        <f t="shared" si="28"/>
        <v>12.398400000000001</v>
      </c>
      <c r="I1809" s="212" t="s">
        <v>2354</v>
      </c>
    </row>
    <row r="1810" spans="1:9" x14ac:dyDescent="0.25">
      <c r="A1810" s="193" t="s">
        <v>220</v>
      </c>
      <c r="B1810" s="193" t="s">
        <v>2351</v>
      </c>
      <c r="C1810" s="214" t="s">
        <v>3855</v>
      </c>
      <c r="D1810" s="193" t="s">
        <v>3856</v>
      </c>
      <c r="E1810" s="212" t="s">
        <v>545</v>
      </c>
      <c r="F1810" s="215">
        <v>1</v>
      </c>
      <c r="G1810" s="194">
        <v>327.488</v>
      </c>
      <c r="H1810" s="195">
        <f t="shared" si="28"/>
        <v>327.488</v>
      </c>
      <c r="I1810" s="212" t="s">
        <v>2354</v>
      </c>
    </row>
    <row r="1811" spans="1:9" x14ac:dyDescent="0.25">
      <c r="A1811" s="193" t="s">
        <v>220</v>
      </c>
      <c r="B1811" s="193" t="s">
        <v>2351</v>
      </c>
      <c r="C1811" s="214" t="s">
        <v>3857</v>
      </c>
      <c r="D1811" s="193" t="s">
        <v>3858</v>
      </c>
      <c r="E1811" s="212" t="s">
        <v>545</v>
      </c>
      <c r="F1811" s="215">
        <v>2</v>
      </c>
      <c r="G1811" s="194">
        <v>407.12400000000002</v>
      </c>
      <c r="H1811" s="195">
        <f t="shared" si="28"/>
        <v>814.24800000000005</v>
      </c>
      <c r="I1811" s="212" t="s">
        <v>2354</v>
      </c>
    </row>
    <row r="1812" spans="1:9" x14ac:dyDescent="0.25">
      <c r="A1812" s="193" t="s">
        <v>220</v>
      </c>
      <c r="B1812" s="193" t="s">
        <v>2351</v>
      </c>
      <c r="C1812" s="214" t="s">
        <v>3859</v>
      </c>
      <c r="D1812" s="193" t="s">
        <v>3860</v>
      </c>
      <c r="E1812" s="212" t="s">
        <v>545</v>
      </c>
      <c r="F1812" s="215">
        <v>2</v>
      </c>
      <c r="G1812" s="194">
        <v>248.01400000000001</v>
      </c>
      <c r="H1812" s="195">
        <f t="shared" si="28"/>
        <v>496.02800000000002</v>
      </c>
      <c r="I1812" s="212" t="s">
        <v>2354</v>
      </c>
    </row>
    <row r="1813" spans="1:9" x14ac:dyDescent="0.25">
      <c r="A1813" s="193" t="s">
        <v>220</v>
      </c>
      <c r="B1813" s="193" t="s">
        <v>2351</v>
      </c>
      <c r="C1813" s="214" t="s">
        <v>3861</v>
      </c>
      <c r="D1813" s="193" t="s">
        <v>3862</v>
      </c>
      <c r="E1813" s="212" t="s">
        <v>545</v>
      </c>
      <c r="F1813" s="215">
        <v>1</v>
      </c>
      <c r="G1813" s="194">
        <v>588.6</v>
      </c>
      <c r="H1813" s="195">
        <f t="shared" si="28"/>
        <v>588.6</v>
      </c>
      <c r="I1813" s="212" t="s">
        <v>2354</v>
      </c>
    </row>
    <row r="1814" spans="1:9" x14ac:dyDescent="0.25">
      <c r="A1814" s="193" t="s">
        <v>220</v>
      </c>
      <c r="B1814" s="193" t="s">
        <v>2351</v>
      </c>
      <c r="C1814" s="214" t="s">
        <v>3863</v>
      </c>
      <c r="D1814" s="193" t="s">
        <v>3864</v>
      </c>
      <c r="E1814" s="212" t="s">
        <v>545</v>
      </c>
      <c r="F1814" s="215">
        <v>2</v>
      </c>
      <c r="G1814" s="194">
        <v>281.60500000000002</v>
      </c>
      <c r="H1814" s="195">
        <f t="shared" si="28"/>
        <v>563.21</v>
      </c>
      <c r="I1814" s="212" t="s">
        <v>2354</v>
      </c>
    </row>
    <row r="1815" spans="1:9" x14ac:dyDescent="0.25">
      <c r="A1815" s="193" t="s">
        <v>220</v>
      </c>
      <c r="B1815" s="193" t="s">
        <v>2351</v>
      </c>
      <c r="C1815" s="214" t="s">
        <v>3865</v>
      </c>
      <c r="D1815" s="193" t="s">
        <v>3866</v>
      </c>
      <c r="E1815" s="212" t="s">
        <v>545</v>
      </c>
      <c r="F1815" s="215">
        <v>30</v>
      </c>
      <c r="G1815" s="194">
        <v>12</v>
      </c>
      <c r="H1815" s="195">
        <f t="shared" si="28"/>
        <v>360</v>
      </c>
      <c r="I1815" s="212" t="s">
        <v>2354</v>
      </c>
    </row>
    <row r="1816" spans="1:9" x14ac:dyDescent="0.25">
      <c r="A1816" s="193" t="s">
        <v>220</v>
      </c>
      <c r="B1816" s="193" t="s">
        <v>2351</v>
      </c>
      <c r="C1816" s="214" t="s">
        <v>3867</v>
      </c>
      <c r="D1816" s="193" t="s">
        <v>3868</v>
      </c>
      <c r="E1816" s="212" t="s">
        <v>545</v>
      </c>
      <c r="F1816" s="215">
        <v>2</v>
      </c>
      <c r="G1816" s="194">
        <v>38.106999999999999</v>
      </c>
      <c r="H1816" s="195">
        <f t="shared" si="28"/>
        <v>76.213999999999999</v>
      </c>
      <c r="I1816" s="212" t="s">
        <v>2354</v>
      </c>
    </row>
    <row r="1817" spans="1:9" x14ac:dyDescent="0.25">
      <c r="A1817" s="193" t="s">
        <v>220</v>
      </c>
      <c r="B1817" s="193" t="s">
        <v>2351</v>
      </c>
      <c r="C1817" s="214" t="s">
        <v>3869</v>
      </c>
      <c r="D1817" s="193" t="s">
        <v>3870</v>
      </c>
      <c r="E1817" s="212" t="s">
        <v>545</v>
      </c>
      <c r="F1817" s="215">
        <v>1</v>
      </c>
      <c r="G1817" s="194">
        <v>193.8015</v>
      </c>
      <c r="H1817" s="195">
        <f t="shared" si="28"/>
        <v>193.8015</v>
      </c>
      <c r="I1817" s="212" t="s">
        <v>2354</v>
      </c>
    </row>
    <row r="1818" spans="1:9" x14ac:dyDescent="0.25">
      <c r="A1818" s="193" t="s">
        <v>220</v>
      </c>
      <c r="B1818" s="193" t="s">
        <v>2351</v>
      </c>
      <c r="C1818" s="214" t="s">
        <v>3871</v>
      </c>
      <c r="D1818" s="193" t="s">
        <v>3872</v>
      </c>
      <c r="E1818" s="212" t="s">
        <v>545</v>
      </c>
      <c r="F1818" s="215">
        <v>3</v>
      </c>
      <c r="G1818" s="194">
        <v>44.978400000000001</v>
      </c>
      <c r="H1818" s="195">
        <f t="shared" si="28"/>
        <v>134.93520000000001</v>
      </c>
      <c r="I1818" s="212" t="s">
        <v>2354</v>
      </c>
    </row>
    <row r="1819" spans="1:9" x14ac:dyDescent="0.25">
      <c r="A1819" s="193" t="s">
        <v>220</v>
      </c>
      <c r="B1819" s="193" t="s">
        <v>2351</v>
      </c>
      <c r="C1819" s="214" t="s">
        <v>3873</v>
      </c>
      <c r="D1819" s="193" t="s">
        <v>3874</v>
      </c>
      <c r="E1819" s="212" t="s">
        <v>545</v>
      </c>
      <c r="F1819" s="215">
        <v>2</v>
      </c>
      <c r="G1819" s="194">
        <v>24.84</v>
      </c>
      <c r="H1819" s="195">
        <f t="shared" si="28"/>
        <v>49.68</v>
      </c>
      <c r="I1819" s="212" t="s">
        <v>2354</v>
      </c>
    </row>
    <row r="1820" spans="1:9" x14ac:dyDescent="0.25">
      <c r="A1820" s="193" t="s">
        <v>220</v>
      </c>
      <c r="B1820" s="193" t="s">
        <v>2351</v>
      </c>
      <c r="C1820" s="214" t="s">
        <v>3875</v>
      </c>
      <c r="D1820" s="193" t="s">
        <v>3876</v>
      </c>
      <c r="E1820" s="212" t="s">
        <v>545</v>
      </c>
      <c r="F1820" s="215">
        <v>3</v>
      </c>
      <c r="G1820" s="194">
        <v>11</v>
      </c>
      <c r="H1820" s="195">
        <f t="shared" si="28"/>
        <v>33</v>
      </c>
      <c r="I1820" s="212" t="s">
        <v>2354</v>
      </c>
    </row>
    <row r="1821" spans="1:9" x14ac:dyDescent="0.25">
      <c r="A1821" s="193" t="s">
        <v>220</v>
      </c>
      <c r="B1821" s="193" t="s">
        <v>2351</v>
      </c>
      <c r="C1821" s="214" t="s">
        <v>3877</v>
      </c>
      <c r="D1821" s="193" t="s">
        <v>3878</v>
      </c>
      <c r="E1821" s="212" t="s">
        <v>545</v>
      </c>
      <c r="F1821" s="215">
        <v>4</v>
      </c>
      <c r="G1821" s="194">
        <v>126.23679999999999</v>
      </c>
      <c r="H1821" s="195">
        <f t="shared" si="28"/>
        <v>504.94719999999995</v>
      </c>
      <c r="I1821" s="212" t="s">
        <v>2354</v>
      </c>
    </row>
    <row r="1822" spans="1:9" x14ac:dyDescent="0.25">
      <c r="A1822" s="193" t="s">
        <v>220</v>
      </c>
      <c r="B1822" s="193" t="s">
        <v>2351</v>
      </c>
      <c r="C1822" s="214" t="s">
        <v>3879</v>
      </c>
      <c r="D1822" s="193" t="s">
        <v>3880</v>
      </c>
      <c r="E1822" s="212" t="s">
        <v>545</v>
      </c>
      <c r="F1822" s="215">
        <v>2</v>
      </c>
      <c r="G1822" s="194">
        <v>0</v>
      </c>
      <c r="H1822" s="195">
        <f t="shared" si="28"/>
        <v>0</v>
      </c>
      <c r="I1822" s="212" t="s">
        <v>2354</v>
      </c>
    </row>
    <row r="1823" spans="1:9" x14ac:dyDescent="0.25">
      <c r="A1823" s="193" t="s">
        <v>220</v>
      </c>
      <c r="B1823" s="193" t="s">
        <v>2351</v>
      </c>
      <c r="C1823" s="214" t="s">
        <v>3881</v>
      </c>
      <c r="D1823" s="193" t="s">
        <v>3882</v>
      </c>
      <c r="E1823" s="212" t="s">
        <v>545</v>
      </c>
      <c r="F1823" s="213">
        <v>0</v>
      </c>
      <c r="G1823" s="194">
        <v>2418.25</v>
      </c>
      <c r="H1823" s="195">
        <f t="shared" si="28"/>
        <v>0</v>
      </c>
      <c r="I1823" s="212" t="s">
        <v>2354</v>
      </c>
    </row>
    <row r="1824" spans="1:9" x14ac:dyDescent="0.25">
      <c r="A1824" s="193" t="s">
        <v>220</v>
      </c>
      <c r="B1824" s="193" t="s">
        <v>2351</v>
      </c>
      <c r="C1824" s="214" t="s">
        <v>3883</v>
      </c>
      <c r="D1824" s="193" t="s">
        <v>3884</v>
      </c>
      <c r="E1824" s="212" t="s">
        <v>545</v>
      </c>
      <c r="F1824" s="215">
        <v>4</v>
      </c>
      <c r="G1824" s="194">
        <v>293.471</v>
      </c>
      <c r="H1824" s="195">
        <f t="shared" si="28"/>
        <v>1173.884</v>
      </c>
      <c r="I1824" s="212" t="s">
        <v>2354</v>
      </c>
    </row>
    <row r="1825" spans="1:9" x14ac:dyDescent="0.25">
      <c r="A1825" s="193" t="s">
        <v>220</v>
      </c>
      <c r="B1825" s="193" t="s">
        <v>2351</v>
      </c>
      <c r="C1825" s="214" t="s">
        <v>3885</v>
      </c>
      <c r="D1825" s="193" t="s">
        <v>3886</v>
      </c>
      <c r="E1825" s="212" t="s">
        <v>545</v>
      </c>
      <c r="F1825" s="215">
        <v>10</v>
      </c>
      <c r="G1825" s="194">
        <v>146.642</v>
      </c>
      <c r="H1825" s="195">
        <f t="shared" si="28"/>
        <v>1466.42</v>
      </c>
      <c r="I1825" s="212" t="s">
        <v>2354</v>
      </c>
    </row>
    <row r="1826" spans="1:9" x14ac:dyDescent="0.25">
      <c r="A1826" s="193" t="s">
        <v>220</v>
      </c>
      <c r="B1826" s="193" t="s">
        <v>2351</v>
      </c>
      <c r="C1826" s="214" t="s">
        <v>3887</v>
      </c>
      <c r="D1826" s="193" t="s">
        <v>3888</v>
      </c>
      <c r="E1826" s="212" t="s">
        <v>545</v>
      </c>
      <c r="F1826" s="215">
        <v>4</v>
      </c>
      <c r="G1826" s="194">
        <v>277.35500000000002</v>
      </c>
      <c r="H1826" s="195">
        <f t="shared" si="28"/>
        <v>1109.42</v>
      </c>
      <c r="I1826" s="212" t="s">
        <v>2354</v>
      </c>
    </row>
    <row r="1827" spans="1:9" x14ac:dyDescent="0.25">
      <c r="A1827" s="193" t="s">
        <v>220</v>
      </c>
      <c r="B1827" s="193" t="s">
        <v>2351</v>
      </c>
      <c r="C1827" s="214" t="s">
        <v>3889</v>
      </c>
      <c r="D1827" s="193" t="s">
        <v>3890</v>
      </c>
      <c r="E1827" s="212" t="s">
        <v>545</v>
      </c>
      <c r="F1827" s="215">
        <v>6</v>
      </c>
      <c r="G1827" s="194">
        <v>168.19800000000001</v>
      </c>
      <c r="H1827" s="195">
        <f t="shared" si="28"/>
        <v>1009.1880000000001</v>
      </c>
      <c r="I1827" s="212" t="s">
        <v>2354</v>
      </c>
    </row>
    <row r="1828" spans="1:9" x14ac:dyDescent="0.25">
      <c r="A1828" s="193" t="s">
        <v>220</v>
      </c>
      <c r="B1828" s="193" t="s">
        <v>2351</v>
      </c>
      <c r="C1828" s="214" t="s">
        <v>3891</v>
      </c>
      <c r="D1828" s="193" t="s">
        <v>3892</v>
      </c>
      <c r="E1828" s="212" t="s">
        <v>545</v>
      </c>
      <c r="F1828" s="215">
        <v>3</v>
      </c>
      <c r="G1828" s="194">
        <v>378.55599999999998</v>
      </c>
      <c r="H1828" s="195">
        <f t="shared" si="28"/>
        <v>1135.6679999999999</v>
      </c>
      <c r="I1828" s="212" t="s">
        <v>2354</v>
      </c>
    </row>
    <row r="1829" spans="1:9" x14ac:dyDescent="0.25">
      <c r="A1829" s="193" t="s">
        <v>220</v>
      </c>
      <c r="B1829" s="193" t="s">
        <v>2351</v>
      </c>
      <c r="C1829" s="214" t="s">
        <v>3893</v>
      </c>
      <c r="D1829" s="193" t="s">
        <v>3894</v>
      </c>
      <c r="E1829" s="212" t="s">
        <v>545</v>
      </c>
      <c r="F1829" s="215">
        <v>4</v>
      </c>
      <c r="G1829" s="194">
        <v>140.06299999999999</v>
      </c>
      <c r="H1829" s="195">
        <f t="shared" si="28"/>
        <v>560.25199999999995</v>
      </c>
      <c r="I1829" s="212" t="s">
        <v>2354</v>
      </c>
    </row>
    <row r="1830" spans="1:9" x14ac:dyDescent="0.25">
      <c r="A1830" s="193" t="s">
        <v>220</v>
      </c>
      <c r="B1830" s="193" t="s">
        <v>2351</v>
      </c>
      <c r="C1830" s="214" t="s">
        <v>3895</v>
      </c>
      <c r="D1830" s="193" t="s">
        <v>3896</v>
      </c>
      <c r="E1830" s="212" t="s">
        <v>545</v>
      </c>
      <c r="F1830" s="215">
        <v>1</v>
      </c>
      <c r="G1830" s="194">
        <v>75.921300000000002</v>
      </c>
      <c r="H1830" s="195">
        <f t="shared" si="28"/>
        <v>75.921300000000002</v>
      </c>
      <c r="I1830" s="212" t="s">
        <v>2354</v>
      </c>
    </row>
    <row r="1831" spans="1:9" x14ac:dyDescent="0.25">
      <c r="A1831" s="193" t="s">
        <v>220</v>
      </c>
      <c r="B1831" s="193" t="s">
        <v>2351</v>
      </c>
      <c r="C1831" s="214" t="s">
        <v>3897</v>
      </c>
      <c r="D1831" s="193" t="s">
        <v>3898</v>
      </c>
      <c r="E1831" s="212" t="s">
        <v>545</v>
      </c>
      <c r="F1831" s="215">
        <v>138</v>
      </c>
      <c r="G1831" s="194">
        <v>6.8629499999999997</v>
      </c>
      <c r="H1831" s="195">
        <f t="shared" si="28"/>
        <v>947.08709999999996</v>
      </c>
      <c r="I1831" s="212" t="s">
        <v>2354</v>
      </c>
    </row>
    <row r="1832" spans="1:9" x14ac:dyDescent="0.25">
      <c r="A1832" s="193" t="s">
        <v>220</v>
      </c>
      <c r="B1832" s="193" t="s">
        <v>2351</v>
      </c>
      <c r="C1832" s="214" t="s">
        <v>3899</v>
      </c>
      <c r="D1832" s="193" t="s">
        <v>3900</v>
      </c>
      <c r="E1832" s="212" t="s">
        <v>545</v>
      </c>
      <c r="F1832" s="215">
        <v>30</v>
      </c>
      <c r="G1832" s="194">
        <v>5.7948750000000002</v>
      </c>
      <c r="H1832" s="195">
        <f t="shared" si="28"/>
        <v>173.84625</v>
      </c>
      <c r="I1832" s="212" t="s">
        <v>2354</v>
      </c>
    </row>
    <row r="1833" spans="1:9" x14ac:dyDescent="0.25">
      <c r="A1833" s="193" t="s">
        <v>220</v>
      </c>
      <c r="B1833" s="193" t="s">
        <v>2351</v>
      </c>
      <c r="C1833" s="214" t="s">
        <v>3901</v>
      </c>
      <c r="D1833" s="193" t="s">
        <v>3902</v>
      </c>
      <c r="E1833" s="212" t="s">
        <v>545</v>
      </c>
      <c r="F1833" s="215">
        <v>177</v>
      </c>
      <c r="G1833" s="194">
        <v>7.5750000000000002</v>
      </c>
      <c r="H1833" s="195">
        <f t="shared" si="28"/>
        <v>1340.7750000000001</v>
      </c>
      <c r="I1833" s="212" t="s">
        <v>2354</v>
      </c>
    </row>
    <row r="1834" spans="1:9" x14ac:dyDescent="0.25">
      <c r="A1834" s="193" t="s">
        <v>220</v>
      </c>
      <c r="B1834" s="193" t="s">
        <v>2351</v>
      </c>
      <c r="C1834" s="214" t="s">
        <v>3903</v>
      </c>
      <c r="D1834" s="193" t="s">
        <v>3904</v>
      </c>
      <c r="E1834" s="212" t="s">
        <v>545</v>
      </c>
      <c r="F1834" s="215">
        <v>21</v>
      </c>
      <c r="G1834" s="194">
        <v>6.1554726368159205</v>
      </c>
      <c r="H1834" s="195">
        <f t="shared" si="28"/>
        <v>129.26492537313433</v>
      </c>
      <c r="I1834" s="212" t="s">
        <v>2354</v>
      </c>
    </row>
    <row r="1835" spans="1:9" x14ac:dyDescent="0.25">
      <c r="A1835" s="193" t="s">
        <v>220</v>
      </c>
      <c r="B1835" s="193" t="s">
        <v>2351</v>
      </c>
      <c r="C1835" s="214" t="s">
        <v>3905</v>
      </c>
      <c r="D1835" s="193" t="s">
        <v>3906</v>
      </c>
      <c r="E1835" s="212" t="s">
        <v>2387</v>
      </c>
      <c r="F1835" s="215">
        <v>7</v>
      </c>
      <c r="G1835" s="194">
        <v>24.5</v>
      </c>
      <c r="H1835" s="195">
        <f t="shared" si="28"/>
        <v>171.5</v>
      </c>
      <c r="I1835" s="212" t="s">
        <v>2354</v>
      </c>
    </row>
    <row r="1836" spans="1:9" x14ac:dyDescent="0.25">
      <c r="A1836" s="193" t="s">
        <v>220</v>
      </c>
      <c r="B1836" s="193" t="s">
        <v>2351</v>
      </c>
      <c r="C1836" s="214" t="s">
        <v>3907</v>
      </c>
      <c r="D1836" s="193" t="s">
        <v>3908</v>
      </c>
      <c r="E1836" s="212" t="s">
        <v>545</v>
      </c>
      <c r="F1836" s="215">
        <v>3</v>
      </c>
      <c r="G1836" s="194">
        <v>5.4678875000000007</v>
      </c>
      <c r="H1836" s="195">
        <f t="shared" si="28"/>
        <v>16.403662500000003</v>
      </c>
      <c r="I1836" s="212" t="s">
        <v>2354</v>
      </c>
    </row>
    <row r="1837" spans="1:9" x14ac:dyDescent="0.25">
      <c r="A1837" s="193" t="s">
        <v>220</v>
      </c>
      <c r="B1837" s="193" t="s">
        <v>2351</v>
      </c>
      <c r="C1837" s="214" t="s">
        <v>3909</v>
      </c>
      <c r="D1837" s="193" t="s">
        <v>3910</v>
      </c>
      <c r="E1837" s="212" t="s">
        <v>545</v>
      </c>
      <c r="F1837" s="213">
        <v>1375</v>
      </c>
      <c r="G1837" s="194">
        <v>4.103131067961165</v>
      </c>
      <c r="H1837" s="195">
        <f t="shared" si="28"/>
        <v>5641.8052184466014</v>
      </c>
      <c r="I1837" s="212" t="s">
        <v>2354</v>
      </c>
    </row>
    <row r="1838" spans="1:9" x14ac:dyDescent="0.25">
      <c r="A1838" s="193" t="s">
        <v>220</v>
      </c>
      <c r="B1838" s="193" t="s">
        <v>2351</v>
      </c>
      <c r="C1838" s="214" t="s">
        <v>3911</v>
      </c>
      <c r="D1838" s="193" t="s">
        <v>3912</v>
      </c>
      <c r="E1838" s="212" t="s">
        <v>545</v>
      </c>
      <c r="F1838" s="215">
        <v>85</v>
      </c>
      <c r="G1838" s="194">
        <v>3.7033333333333331</v>
      </c>
      <c r="H1838" s="195">
        <f t="shared" si="28"/>
        <v>314.7833333333333</v>
      </c>
      <c r="I1838" s="212" t="s">
        <v>2354</v>
      </c>
    </row>
    <row r="1839" spans="1:9" x14ac:dyDescent="0.25">
      <c r="A1839" s="193" t="s">
        <v>220</v>
      </c>
      <c r="B1839" s="193" t="s">
        <v>2351</v>
      </c>
      <c r="C1839" s="214" t="s">
        <v>3913</v>
      </c>
      <c r="D1839" s="193" t="s">
        <v>3914</v>
      </c>
      <c r="E1839" s="212" t="s">
        <v>2387</v>
      </c>
      <c r="F1839" s="215">
        <v>96</v>
      </c>
      <c r="G1839" s="194">
        <v>6.6429900000000002</v>
      </c>
      <c r="H1839" s="195">
        <f t="shared" si="28"/>
        <v>637.72703999999999</v>
      </c>
      <c r="I1839" s="212" t="s">
        <v>2354</v>
      </c>
    </row>
    <row r="1840" spans="1:9" x14ac:dyDescent="0.25">
      <c r="A1840" s="193" t="s">
        <v>220</v>
      </c>
      <c r="B1840" s="193" t="s">
        <v>2351</v>
      </c>
      <c r="C1840" s="214" t="s">
        <v>3915</v>
      </c>
      <c r="D1840" s="193" t="s">
        <v>3916</v>
      </c>
      <c r="E1840" s="212" t="s">
        <v>545</v>
      </c>
      <c r="F1840" s="215">
        <v>6</v>
      </c>
      <c r="G1840" s="194">
        <v>0</v>
      </c>
      <c r="H1840" s="195">
        <f t="shared" si="28"/>
        <v>0</v>
      </c>
      <c r="I1840" s="212" t="s">
        <v>2354</v>
      </c>
    </row>
    <row r="1841" spans="1:9" x14ac:dyDescent="0.25">
      <c r="A1841" s="193" t="s">
        <v>220</v>
      </c>
      <c r="B1841" s="193" t="s">
        <v>2351</v>
      </c>
      <c r="C1841" s="214" t="s">
        <v>3917</v>
      </c>
      <c r="D1841" s="193" t="s">
        <v>3918</v>
      </c>
      <c r="E1841" s="212" t="s">
        <v>545</v>
      </c>
      <c r="F1841" s="215">
        <v>10</v>
      </c>
      <c r="G1841" s="194">
        <v>0</v>
      </c>
      <c r="H1841" s="195">
        <f t="shared" si="28"/>
        <v>0</v>
      </c>
      <c r="I1841" s="212" t="s">
        <v>2354</v>
      </c>
    </row>
    <row r="1842" spans="1:9" x14ac:dyDescent="0.25">
      <c r="A1842" s="193" t="s">
        <v>220</v>
      </c>
      <c r="B1842" s="193" t="s">
        <v>2351</v>
      </c>
      <c r="C1842" s="214" t="s">
        <v>3919</v>
      </c>
      <c r="D1842" s="193" t="s">
        <v>3920</v>
      </c>
      <c r="E1842" s="212" t="s">
        <v>545</v>
      </c>
      <c r="F1842" s="215">
        <v>12</v>
      </c>
      <c r="G1842" s="194">
        <v>0</v>
      </c>
      <c r="H1842" s="195">
        <f t="shared" si="28"/>
        <v>0</v>
      </c>
      <c r="I1842" s="212" t="s">
        <v>2354</v>
      </c>
    </row>
    <row r="1843" spans="1:9" x14ac:dyDescent="0.25">
      <c r="A1843" s="193" t="s">
        <v>220</v>
      </c>
      <c r="B1843" s="193" t="s">
        <v>2351</v>
      </c>
      <c r="C1843" s="214" t="s">
        <v>3921</v>
      </c>
      <c r="D1843" s="193" t="s">
        <v>3922</v>
      </c>
      <c r="E1843" s="212" t="s">
        <v>545</v>
      </c>
      <c r="F1843" s="215">
        <v>12</v>
      </c>
      <c r="G1843" s="194">
        <v>0.127</v>
      </c>
      <c r="H1843" s="195">
        <f t="shared" si="28"/>
        <v>1.524</v>
      </c>
      <c r="I1843" s="212" t="s">
        <v>2354</v>
      </c>
    </row>
    <row r="1844" spans="1:9" x14ac:dyDescent="0.25">
      <c r="A1844" s="193" t="s">
        <v>220</v>
      </c>
      <c r="B1844" s="193" t="s">
        <v>2351</v>
      </c>
      <c r="C1844" s="214" t="s">
        <v>3923</v>
      </c>
      <c r="D1844" s="193" t="s">
        <v>3924</v>
      </c>
      <c r="E1844" s="212" t="s">
        <v>2387</v>
      </c>
      <c r="F1844" s="215">
        <v>90</v>
      </c>
      <c r="G1844" s="194">
        <v>6.7904999999999998</v>
      </c>
      <c r="H1844" s="195">
        <f t="shared" si="28"/>
        <v>611.14499999999998</v>
      </c>
      <c r="I1844" s="212" t="s">
        <v>2354</v>
      </c>
    </row>
    <row r="1845" spans="1:9" x14ac:dyDescent="0.25">
      <c r="A1845" s="193" t="s">
        <v>220</v>
      </c>
      <c r="B1845" s="193" t="s">
        <v>2351</v>
      </c>
      <c r="C1845" s="214" t="s">
        <v>3925</v>
      </c>
      <c r="D1845" s="193" t="s">
        <v>3926</v>
      </c>
      <c r="E1845" s="212" t="s">
        <v>545</v>
      </c>
      <c r="F1845" s="215">
        <v>40</v>
      </c>
      <c r="G1845" s="194">
        <v>19.908000000000001</v>
      </c>
      <c r="H1845" s="195">
        <f t="shared" si="28"/>
        <v>796.32</v>
      </c>
      <c r="I1845" s="212" t="s">
        <v>2354</v>
      </c>
    </row>
    <row r="1846" spans="1:9" x14ac:dyDescent="0.25">
      <c r="A1846" s="193" t="s">
        <v>220</v>
      </c>
      <c r="B1846" s="193" t="s">
        <v>2351</v>
      </c>
      <c r="C1846" s="214" t="s">
        <v>3927</v>
      </c>
      <c r="D1846" s="193" t="s">
        <v>3928</v>
      </c>
      <c r="E1846" s="212" t="s">
        <v>545</v>
      </c>
      <c r="F1846" s="215">
        <v>2</v>
      </c>
      <c r="G1846" s="194">
        <v>63.58</v>
      </c>
      <c r="H1846" s="195">
        <f t="shared" si="28"/>
        <v>127.16</v>
      </c>
      <c r="I1846" s="212" t="s">
        <v>2354</v>
      </c>
    </row>
    <row r="1847" spans="1:9" x14ac:dyDescent="0.25">
      <c r="A1847" s="193" t="s">
        <v>220</v>
      </c>
      <c r="B1847" s="193" t="s">
        <v>2351</v>
      </c>
      <c r="C1847" s="214" t="s">
        <v>3929</v>
      </c>
      <c r="D1847" s="193" t="s">
        <v>3930</v>
      </c>
      <c r="E1847" s="212" t="s">
        <v>545</v>
      </c>
      <c r="F1847" s="215">
        <v>2</v>
      </c>
      <c r="G1847" s="194">
        <v>15</v>
      </c>
      <c r="H1847" s="195">
        <f t="shared" si="28"/>
        <v>30</v>
      </c>
      <c r="I1847" s="212" t="s">
        <v>2354</v>
      </c>
    </row>
    <row r="1848" spans="1:9" x14ac:dyDescent="0.25">
      <c r="A1848" s="193" t="s">
        <v>220</v>
      </c>
      <c r="B1848" s="193" t="s">
        <v>2351</v>
      </c>
      <c r="C1848" s="214" t="s">
        <v>3931</v>
      </c>
      <c r="D1848" s="193" t="s">
        <v>3932</v>
      </c>
      <c r="E1848" s="212" t="s">
        <v>545</v>
      </c>
      <c r="F1848" s="215">
        <v>2</v>
      </c>
      <c r="G1848" s="194">
        <v>16</v>
      </c>
      <c r="H1848" s="195">
        <f t="shared" si="28"/>
        <v>32</v>
      </c>
      <c r="I1848" s="212" t="s">
        <v>2354</v>
      </c>
    </row>
    <row r="1849" spans="1:9" x14ac:dyDescent="0.25">
      <c r="A1849" s="193" t="s">
        <v>220</v>
      </c>
      <c r="B1849" s="193" t="s">
        <v>2351</v>
      </c>
      <c r="C1849" s="214" t="s">
        <v>3933</v>
      </c>
      <c r="D1849" s="193" t="s">
        <v>3934</v>
      </c>
      <c r="E1849" s="212" t="s">
        <v>545</v>
      </c>
      <c r="F1849" s="215">
        <v>2</v>
      </c>
      <c r="G1849" s="194">
        <v>200</v>
      </c>
      <c r="H1849" s="195">
        <f t="shared" si="28"/>
        <v>400</v>
      </c>
      <c r="I1849" s="212" t="s">
        <v>2354</v>
      </c>
    </row>
    <row r="1850" spans="1:9" x14ac:dyDescent="0.25">
      <c r="A1850" s="193" t="s">
        <v>220</v>
      </c>
      <c r="B1850" s="193" t="s">
        <v>2351</v>
      </c>
      <c r="C1850" s="214" t="s">
        <v>3935</v>
      </c>
      <c r="D1850" s="193" t="s">
        <v>3936</v>
      </c>
      <c r="E1850" s="212" t="s">
        <v>545</v>
      </c>
      <c r="F1850" s="215">
        <v>2</v>
      </c>
      <c r="G1850" s="194">
        <v>21.29194</v>
      </c>
      <c r="H1850" s="195">
        <f t="shared" si="28"/>
        <v>42.583880000000001</v>
      </c>
      <c r="I1850" s="212" t="s">
        <v>2354</v>
      </c>
    </row>
    <row r="1851" spans="1:9" x14ac:dyDescent="0.25">
      <c r="A1851" s="193" t="s">
        <v>220</v>
      </c>
      <c r="B1851" s="193" t="s">
        <v>2351</v>
      </c>
      <c r="C1851" s="214" t="s">
        <v>3937</v>
      </c>
      <c r="D1851" s="193" t="s">
        <v>3938</v>
      </c>
      <c r="E1851" s="212" t="s">
        <v>2387</v>
      </c>
      <c r="F1851" s="215">
        <v>50</v>
      </c>
      <c r="G1851" s="194">
        <v>2.3929999999999998</v>
      </c>
      <c r="H1851" s="195">
        <f t="shared" si="28"/>
        <v>119.64999999999999</v>
      </c>
      <c r="I1851" s="212" t="s">
        <v>2354</v>
      </c>
    </row>
    <row r="1852" spans="1:9" x14ac:dyDescent="0.25">
      <c r="A1852" s="193" t="s">
        <v>220</v>
      </c>
      <c r="B1852" s="193" t="s">
        <v>2351</v>
      </c>
      <c r="C1852" s="214" t="s">
        <v>3939</v>
      </c>
      <c r="D1852" s="193" t="s">
        <v>3940</v>
      </c>
      <c r="E1852" s="212" t="s">
        <v>545</v>
      </c>
      <c r="F1852" s="215">
        <v>1</v>
      </c>
      <c r="G1852" s="194">
        <v>25.228000000000002</v>
      </c>
      <c r="H1852" s="195">
        <f t="shared" si="28"/>
        <v>25.228000000000002</v>
      </c>
      <c r="I1852" s="212" t="s">
        <v>2354</v>
      </c>
    </row>
    <row r="1853" spans="1:9" x14ac:dyDescent="0.25">
      <c r="A1853" s="193" t="s">
        <v>220</v>
      </c>
      <c r="B1853" s="193" t="s">
        <v>2351</v>
      </c>
      <c r="C1853" s="214" t="s">
        <v>3941</v>
      </c>
      <c r="D1853" s="193" t="s">
        <v>3942</v>
      </c>
      <c r="E1853" s="212" t="s">
        <v>545</v>
      </c>
      <c r="F1853" s="215">
        <v>7</v>
      </c>
      <c r="G1853" s="194">
        <v>4.5789999999999997</v>
      </c>
      <c r="H1853" s="195">
        <f t="shared" si="28"/>
        <v>32.052999999999997</v>
      </c>
      <c r="I1853" s="212" t="s">
        <v>2354</v>
      </c>
    </row>
    <row r="1854" spans="1:9" x14ac:dyDescent="0.25">
      <c r="A1854" s="193" t="s">
        <v>220</v>
      </c>
      <c r="B1854" s="193" t="s">
        <v>2351</v>
      </c>
      <c r="C1854" s="214" t="s">
        <v>3943</v>
      </c>
      <c r="D1854" s="193" t="s">
        <v>3944</v>
      </c>
      <c r="E1854" s="212" t="s">
        <v>545</v>
      </c>
      <c r="F1854" s="215">
        <v>3</v>
      </c>
      <c r="G1854" s="194">
        <v>1.7869999999999999</v>
      </c>
      <c r="H1854" s="195">
        <f t="shared" si="28"/>
        <v>5.3609999999999998</v>
      </c>
      <c r="I1854" s="212" t="s">
        <v>2354</v>
      </c>
    </row>
    <row r="1855" spans="1:9" x14ac:dyDescent="0.25">
      <c r="A1855" s="193" t="s">
        <v>220</v>
      </c>
      <c r="B1855" s="193" t="s">
        <v>2351</v>
      </c>
      <c r="C1855" s="214" t="s">
        <v>3945</v>
      </c>
      <c r="D1855" s="193" t="s">
        <v>3946</v>
      </c>
      <c r="E1855" s="212" t="s">
        <v>545</v>
      </c>
      <c r="F1855" s="215">
        <v>2</v>
      </c>
      <c r="G1855" s="194">
        <v>181.35</v>
      </c>
      <c r="H1855" s="195">
        <f t="shared" si="28"/>
        <v>362.7</v>
      </c>
      <c r="I1855" s="212" t="s">
        <v>2354</v>
      </c>
    </row>
    <row r="1856" spans="1:9" x14ac:dyDescent="0.25">
      <c r="A1856" s="193" t="s">
        <v>220</v>
      </c>
      <c r="B1856" s="193" t="s">
        <v>2351</v>
      </c>
      <c r="C1856" s="214" t="s">
        <v>3947</v>
      </c>
      <c r="D1856" s="193" t="s">
        <v>3948</v>
      </c>
      <c r="E1856" s="212" t="s">
        <v>545</v>
      </c>
      <c r="F1856" s="215">
        <v>8</v>
      </c>
      <c r="G1856" s="194">
        <v>17.599772727272729</v>
      </c>
      <c r="H1856" s="195">
        <f t="shared" si="28"/>
        <v>140.79818181818183</v>
      </c>
      <c r="I1856" s="212" t="s">
        <v>2354</v>
      </c>
    </row>
    <row r="1857" spans="1:9" x14ac:dyDescent="0.25">
      <c r="A1857" s="193" t="s">
        <v>220</v>
      </c>
      <c r="B1857" s="193" t="s">
        <v>2351</v>
      </c>
      <c r="C1857" s="214" t="s">
        <v>3949</v>
      </c>
      <c r="D1857" s="193" t="s">
        <v>3950</v>
      </c>
      <c r="E1857" s="212" t="s">
        <v>545</v>
      </c>
      <c r="F1857" s="215">
        <v>5</v>
      </c>
      <c r="G1857" s="194">
        <v>21.861000000000001</v>
      </c>
      <c r="H1857" s="195">
        <f t="shared" si="28"/>
        <v>109.30500000000001</v>
      </c>
      <c r="I1857" s="212" t="s">
        <v>2354</v>
      </c>
    </row>
    <row r="1858" spans="1:9" x14ac:dyDescent="0.25">
      <c r="A1858" s="193" t="s">
        <v>220</v>
      </c>
      <c r="B1858" s="193" t="s">
        <v>2351</v>
      </c>
      <c r="C1858" s="214" t="s">
        <v>3951</v>
      </c>
      <c r="D1858" s="193" t="s">
        <v>3952</v>
      </c>
      <c r="E1858" s="212" t="s">
        <v>545</v>
      </c>
      <c r="F1858" s="215">
        <v>14</v>
      </c>
      <c r="G1858" s="194">
        <v>21.861000000000001</v>
      </c>
      <c r="H1858" s="195">
        <f t="shared" si="28"/>
        <v>306.05400000000003</v>
      </c>
      <c r="I1858" s="212" t="s">
        <v>2354</v>
      </c>
    </row>
    <row r="1859" spans="1:9" x14ac:dyDescent="0.25">
      <c r="A1859" s="193" t="s">
        <v>220</v>
      </c>
      <c r="B1859" s="193" t="s">
        <v>2351</v>
      </c>
      <c r="C1859" s="214" t="s">
        <v>3953</v>
      </c>
      <c r="D1859" s="193" t="s">
        <v>3954</v>
      </c>
      <c r="E1859" s="212" t="s">
        <v>545</v>
      </c>
      <c r="F1859" s="215">
        <v>2</v>
      </c>
      <c r="G1859" s="194">
        <v>14.273999999999999</v>
      </c>
      <c r="H1859" s="195">
        <f t="shared" si="28"/>
        <v>28.547999999999998</v>
      </c>
      <c r="I1859" s="212" t="s">
        <v>2354</v>
      </c>
    </row>
    <row r="1860" spans="1:9" x14ac:dyDescent="0.25">
      <c r="A1860" s="193" t="s">
        <v>220</v>
      </c>
      <c r="B1860" s="193" t="s">
        <v>2351</v>
      </c>
      <c r="C1860" s="214" t="s">
        <v>3955</v>
      </c>
      <c r="D1860" s="193" t="s">
        <v>3956</v>
      </c>
      <c r="E1860" s="212" t="s">
        <v>545</v>
      </c>
      <c r="F1860" s="215">
        <v>3</v>
      </c>
      <c r="G1860" s="194">
        <v>83.718000000000004</v>
      </c>
      <c r="H1860" s="195">
        <f t="shared" si="28"/>
        <v>251.154</v>
      </c>
      <c r="I1860" s="212" t="s">
        <v>2354</v>
      </c>
    </row>
    <row r="1861" spans="1:9" x14ac:dyDescent="0.25">
      <c r="A1861" s="193" t="s">
        <v>220</v>
      </c>
      <c r="B1861" s="193" t="s">
        <v>2351</v>
      </c>
      <c r="C1861" s="214" t="s">
        <v>3957</v>
      </c>
      <c r="D1861" s="193" t="s">
        <v>3958</v>
      </c>
      <c r="E1861" s="212" t="s">
        <v>545</v>
      </c>
      <c r="F1861" s="215">
        <v>20</v>
      </c>
      <c r="G1861" s="194">
        <v>80.75</v>
      </c>
      <c r="H1861" s="195">
        <f t="shared" ref="H1861:H1924" si="29">+F1861*G1861</f>
        <v>1615</v>
      </c>
      <c r="I1861" s="212" t="s">
        <v>2354</v>
      </c>
    </row>
    <row r="1862" spans="1:9" x14ac:dyDescent="0.25">
      <c r="A1862" s="193" t="s">
        <v>220</v>
      </c>
      <c r="B1862" s="193" t="s">
        <v>2351</v>
      </c>
      <c r="C1862" s="214" t="s">
        <v>3959</v>
      </c>
      <c r="D1862" s="193" t="s">
        <v>3960</v>
      </c>
      <c r="E1862" s="212" t="s">
        <v>2387</v>
      </c>
      <c r="F1862" s="215">
        <v>60</v>
      </c>
      <c r="G1862" s="194">
        <v>0.31363636363636366</v>
      </c>
      <c r="H1862" s="195">
        <f t="shared" si="29"/>
        <v>18.81818181818182</v>
      </c>
      <c r="I1862" s="212" t="s">
        <v>2354</v>
      </c>
    </row>
    <row r="1863" spans="1:9" x14ac:dyDescent="0.25">
      <c r="A1863" s="193" t="s">
        <v>220</v>
      </c>
      <c r="B1863" s="193" t="s">
        <v>2351</v>
      </c>
      <c r="C1863" s="214" t="s">
        <v>3961</v>
      </c>
      <c r="D1863" s="193" t="s">
        <v>3962</v>
      </c>
      <c r="E1863" s="212" t="s">
        <v>2387</v>
      </c>
      <c r="F1863" s="215">
        <v>110</v>
      </c>
      <c r="G1863" s="194">
        <v>0.96513000000000004</v>
      </c>
      <c r="H1863" s="195">
        <f t="shared" si="29"/>
        <v>106.16430000000001</v>
      </c>
      <c r="I1863" s="212" t="s">
        <v>2354</v>
      </c>
    </row>
    <row r="1864" spans="1:9" x14ac:dyDescent="0.25">
      <c r="A1864" s="193" t="s">
        <v>220</v>
      </c>
      <c r="B1864" s="193" t="s">
        <v>2351</v>
      </c>
      <c r="C1864" s="214" t="s">
        <v>3963</v>
      </c>
      <c r="D1864" s="193" t="s">
        <v>3964</v>
      </c>
      <c r="E1864" s="212" t="s">
        <v>2387</v>
      </c>
      <c r="F1864" s="215">
        <v>130</v>
      </c>
      <c r="G1864" s="194">
        <v>1.1257200000000001</v>
      </c>
      <c r="H1864" s="195">
        <f t="shared" si="29"/>
        <v>146.34360000000001</v>
      </c>
      <c r="I1864" s="212" t="s">
        <v>2354</v>
      </c>
    </row>
    <row r="1865" spans="1:9" x14ac:dyDescent="0.25">
      <c r="A1865" s="193" t="s">
        <v>220</v>
      </c>
      <c r="B1865" s="193" t="s">
        <v>2351</v>
      </c>
      <c r="C1865" s="214" t="s">
        <v>3965</v>
      </c>
      <c r="D1865" s="193" t="s">
        <v>3966</v>
      </c>
      <c r="E1865" s="212" t="s">
        <v>2387</v>
      </c>
      <c r="F1865" s="215">
        <v>180</v>
      </c>
      <c r="G1865" s="194">
        <v>0.34026000000000001</v>
      </c>
      <c r="H1865" s="195">
        <f t="shared" si="29"/>
        <v>61.2468</v>
      </c>
      <c r="I1865" s="212" t="s">
        <v>2354</v>
      </c>
    </row>
    <row r="1866" spans="1:9" x14ac:dyDescent="0.25">
      <c r="A1866" s="193" t="s">
        <v>220</v>
      </c>
      <c r="B1866" s="193" t="s">
        <v>2351</v>
      </c>
      <c r="C1866" s="214" t="s">
        <v>3967</v>
      </c>
      <c r="D1866" s="193" t="s">
        <v>3968</v>
      </c>
      <c r="E1866" s="212" t="s">
        <v>2387</v>
      </c>
      <c r="F1866" s="215">
        <v>140</v>
      </c>
      <c r="G1866" s="194">
        <v>0.61002999999999996</v>
      </c>
      <c r="H1866" s="195">
        <f t="shared" si="29"/>
        <v>85.404199999999989</v>
      </c>
      <c r="I1866" s="212" t="s">
        <v>2354</v>
      </c>
    </row>
    <row r="1867" spans="1:9" x14ac:dyDescent="0.25">
      <c r="A1867" s="193" t="s">
        <v>220</v>
      </c>
      <c r="B1867" s="193" t="s">
        <v>2351</v>
      </c>
      <c r="C1867" s="214" t="s">
        <v>3969</v>
      </c>
      <c r="D1867" s="193" t="s">
        <v>3970</v>
      </c>
      <c r="E1867" s="212" t="s">
        <v>2387</v>
      </c>
      <c r="F1867" s="215">
        <v>45</v>
      </c>
      <c r="G1867" s="194">
        <v>2.85615</v>
      </c>
      <c r="H1867" s="195">
        <f t="shared" si="29"/>
        <v>128.52674999999999</v>
      </c>
      <c r="I1867" s="212" t="s">
        <v>2354</v>
      </c>
    </row>
    <row r="1868" spans="1:9" x14ac:dyDescent="0.25">
      <c r="A1868" s="193" t="s">
        <v>220</v>
      </c>
      <c r="B1868" s="193" t="s">
        <v>2351</v>
      </c>
      <c r="C1868" s="214" t="s">
        <v>3971</v>
      </c>
      <c r="D1868" s="193" t="s">
        <v>3972</v>
      </c>
      <c r="E1868" s="212" t="s">
        <v>2387</v>
      </c>
      <c r="F1868" s="215">
        <v>55</v>
      </c>
      <c r="G1868" s="194">
        <v>8.6093200000000003</v>
      </c>
      <c r="H1868" s="195">
        <f t="shared" si="29"/>
        <v>473.51260000000002</v>
      </c>
      <c r="I1868" s="212" t="s">
        <v>2354</v>
      </c>
    </row>
    <row r="1869" spans="1:9" x14ac:dyDescent="0.25">
      <c r="A1869" s="193" t="s">
        <v>220</v>
      </c>
      <c r="B1869" s="193" t="s">
        <v>2351</v>
      </c>
      <c r="C1869" s="214" t="s">
        <v>3973</v>
      </c>
      <c r="D1869" s="193" t="s">
        <v>3974</v>
      </c>
      <c r="E1869" s="212" t="s">
        <v>2387</v>
      </c>
      <c r="F1869" s="215">
        <v>20</v>
      </c>
      <c r="G1869" s="194">
        <v>19.754000000000001</v>
      </c>
      <c r="H1869" s="195">
        <f t="shared" si="29"/>
        <v>395.08000000000004</v>
      </c>
      <c r="I1869" s="212" t="s">
        <v>2354</v>
      </c>
    </row>
    <row r="1870" spans="1:9" x14ac:dyDescent="0.25">
      <c r="A1870" s="193" t="s">
        <v>220</v>
      </c>
      <c r="B1870" s="193" t="s">
        <v>2351</v>
      </c>
      <c r="C1870" s="214" t="s">
        <v>3975</v>
      </c>
      <c r="D1870" s="193" t="s">
        <v>3976</v>
      </c>
      <c r="E1870" s="212" t="s">
        <v>545</v>
      </c>
      <c r="F1870" s="215">
        <v>65</v>
      </c>
      <c r="G1870" s="194">
        <v>1.6037999999999999</v>
      </c>
      <c r="H1870" s="195">
        <f t="shared" si="29"/>
        <v>104.247</v>
      </c>
      <c r="I1870" s="212" t="s">
        <v>2354</v>
      </c>
    </row>
    <row r="1871" spans="1:9" x14ac:dyDescent="0.25">
      <c r="A1871" s="193" t="s">
        <v>220</v>
      </c>
      <c r="B1871" s="193" t="s">
        <v>2351</v>
      </c>
      <c r="C1871" s="214" t="s">
        <v>3977</v>
      </c>
      <c r="D1871" s="193" t="s">
        <v>3978</v>
      </c>
      <c r="E1871" s="212" t="s">
        <v>545</v>
      </c>
      <c r="F1871" s="215">
        <v>85</v>
      </c>
      <c r="G1871" s="194">
        <v>3.0068999999999999</v>
      </c>
      <c r="H1871" s="195">
        <f t="shared" si="29"/>
        <v>255.5865</v>
      </c>
      <c r="I1871" s="212" t="s">
        <v>2354</v>
      </c>
    </row>
    <row r="1872" spans="1:9" x14ac:dyDescent="0.25">
      <c r="A1872" s="193" t="s">
        <v>220</v>
      </c>
      <c r="B1872" s="193" t="s">
        <v>2351</v>
      </c>
      <c r="C1872" s="214" t="s">
        <v>3979</v>
      </c>
      <c r="D1872" s="193" t="s">
        <v>3980</v>
      </c>
      <c r="E1872" s="212" t="s">
        <v>545</v>
      </c>
      <c r="F1872" s="215">
        <v>4</v>
      </c>
      <c r="G1872" s="194">
        <v>4.0301999999999998</v>
      </c>
      <c r="H1872" s="195">
        <f t="shared" si="29"/>
        <v>16.120799999999999</v>
      </c>
      <c r="I1872" s="212" t="s">
        <v>2354</v>
      </c>
    </row>
    <row r="1873" spans="1:9" x14ac:dyDescent="0.25">
      <c r="A1873" s="193" t="s">
        <v>220</v>
      </c>
      <c r="B1873" s="193" t="s">
        <v>2351</v>
      </c>
      <c r="C1873" s="214" t="s">
        <v>3981</v>
      </c>
      <c r="D1873" s="193" t="s">
        <v>3982</v>
      </c>
      <c r="E1873" s="212" t="s">
        <v>545</v>
      </c>
      <c r="F1873" s="215">
        <v>80</v>
      </c>
      <c r="G1873" s="194">
        <v>5.67</v>
      </c>
      <c r="H1873" s="195">
        <f t="shared" si="29"/>
        <v>453.6</v>
      </c>
      <c r="I1873" s="212" t="s">
        <v>2354</v>
      </c>
    </row>
    <row r="1874" spans="1:9" x14ac:dyDescent="0.25">
      <c r="A1874" s="193" t="s">
        <v>220</v>
      </c>
      <c r="B1874" s="193" t="s">
        <v>2351</v>
      </c>
      <c r="C1874" s="214" t="s">
        <v>3983</v>
      </c>
      <c r="D1874" s="193" t="s">
        <v>3984</v>
      </c>
      <c r="E1874" s="212" t="s">
        <v>2387</v>
      </c>
      <c r="F1874" s="215">
        <v>40</v>
      </c>
      <c r="G1874" s="194">
        <v>0.61426999999999998</v>
      </c>
      <c r="H1874" s="195">
        <f t="shared" si="29"/>
        <v>24.570799999999998</v>
      </c>
      <c r="I1874" s="212" t="s">
        <v>2354</v>
      </c>
    </row>
    <row r="1875" spans="1:9" x14ac:dyDescent="0.25">
      <c r="A1875" s="193" t="s">
        <v>220</v>
      </c>
      <c r="B1875" s="193" t="s">
        <v>2351</v>
      </c>
      <c r="C1875" s="214" t="s">
        <v>3985</v>
      </c>
      <c r="D1875" s="193" t="s">
        <v>3986</v>
      </c>
      <c r="E1875" s="212" t="s">
        <v>545</v>
      </c>
      <c r="F1875" s="215">
        <v>160</v>
      </c>
      <c r="G1875" s="194">
        <v>2.782</v>
      </c>
      <c r="H1875" s="195">
        <f t="shared" si="29"/>
        <v>445.12</v>
      </c>
      <c r="I1875" s="212" t="s">
        <v>2354</v>
      </c>
    </row>
    <row r="1876" spans="1:9" x14ac:dyDescent="0.25">
      <c r="A1876" s="193" t="s">
        <v>220</v>
      </c>
      <c r="B1876" s="193" t="s">
        <v>2351</v>
      </c>
      <c r="C1876" s="214" t="s">
        <v>3987</v>
      </c>
      <c r="D1876" s="193" t="s">
        <v>3988</v>
      </c>
      <c r="E1876" s="212" t="s">
        <v>545</v>
      </c>
      <c r="F1876" s="215">
        <v>37</v>
      </c>
      <c r="G1876" s="194">
        <v>4.0857700000000001</v>
      </c>
      <c r="H1876" s="195">
        <f t="shared" si="29"/>
        <v>151.17349000000002</v>
      </c>
      <c r="I1876" s="212" t="s">
        <v>2354</v>
      </c>
    </row>
    <row r="1877" spans="1:9" x14ac:dyDescent="0.25">
      <c r="A1877" s="193" t="s">
        <v>220</v>
      </c>
      <c r="B1877" s="193" t="s">
        <v>2351</v>
      </c>
      <c r="C1877" s="214" t="s">
        <v>3989</v>
      </c>
      <c r="D1877" s="193" t="s">
        <v>3990</v>
      </c>
      <c r="E1877" s="212" t="s">
        <v>545</v>
      </c>
      <c r="F1877" s="215">
        <v>4</v>
      </c>
      <c r="G1877" s="194">
        <v>80.531999999999996</v>
      </c>
      <c r="H1877" s="195">
        <f t="shared" si="29"/>
        <v>322.12799999999999</v>
      </c>
      <c r="I1877" s="212" t="s">
        <v>2354</v>
      </c>
    </row>
    <row r="1878" spans="1:9" x14ac:dyDescent="0.25">
      <c r="A1878" s="193" t="s">
        <v>220</v>
      </c>
      <c r="B1878" s="193" t="s">
        <v>2351</v>
      </c>
      <c r="C1878" s="214" t="s">
        <v>3991</v>
      </c>
      <c r="D1878" s="193" t="s">
        <v>3992</v>
      </c>
      <c r="E1878" s="212" t="s">
        <v>545</v>
      </c>
      <c r="F1878" s="215">
        <v>1</v>
      </c>
      <c r="G1878" s="194">
        <v>109.34143583333334</v>
      </c>
      <c r="H1878" s="195">
        <f t="shared" si="29"/>
        <v>109.34143583333334</v>
      </c>
      <c r="I1878" s="212" t="s">
        <v>2354</v>
      </c>
    </row>
    <row r="1879" spans="1:9" x14ac:dyDescent="0.25">
      <c r="A1879" s="193" t="s">
        <v>220</v>
      </c>
      <c r="B1879" s="193" t="s">
        <v>2351</v>
      </c>
      <c r="C1879" s="214" t="s">
        <v>3993</v>
      </c>
      <c r="D1879" s="193" t="s">
        <v>3994</v>
      </c>
      <c r="E1879" s="212" t="s">
        <v>545</v>
      </c>
      <c r="F1879" s="215">
        <v>2</v>
      </c>
      <c r="G1879" s="194">
        <v>83.674999999999997</v>
      </c>
      <c r="H1879" s="195">
        <f t="shared" si="29"/>
        <v>167.35</v>
      </c>
      <c r="I1879" s="212" t="s">
        <v>2354</v>
      </c>
    </row>
    <row r="1880" spans="1:9" x14ac:dyDescent="0.25">
      <c r="A1880" s="193" t="s">
        <v>220</v>
      </c>
      <c r="B1880" s="193" t="s">
        <v>2351</v>
      </c>
      <c r="C1880" s="214" t="s">
        <v>3995</v>
      </c>
      <c r="D1880" s="193" t="s">
        <v>3996</v>
      </c>
      <c r="E1880" s="212" t="s">
        <v>545</v>
      </c>
      <c r="F1880" s="215">
        <v>2</v>
      </c>
      <c r="G1880" s="194">
        <v>70.52</v>
      </c>
      <c r="H1880" s="195">
        <f t="shared" si="29"/>
        <v>141.04</v>
      </c>
      <c r="I1880" s="212" t="s">
        <v>2354</v>
      </c>
    </row>
    <row r="1881" spans="1:9" x14ac:dyDescent="0.25">
      <c r="A1881" s="193" t="s">
        <v>220</v>
      </c>
      <c r="B1881" s="193" t="s">
        <v>2351</v>
      </c>
      <c r="C1881" s="214" t="s">
        <v>3997</v>
      </c>
      <c r="D1881" s="193" t="s">
        <v>3998</v>
      </c>
      <c r="E1881" s="212" t="s">
        <v>545</v>
      </c>
      <c r="F1881" s="215">
        <v>1</v>
      </c>
      <c r="G1881" s="194">
        <v>84.272999999999996</v>
      </c>
      <c r="H1881" s="195">
        <f t="shared" si="29"/>
        <v>84.272999999999996</v>
      </c>
      <c r="I1881" s="212" t="s">
        <v>2354</v>
      </c>
    </row>
    <row r="1882" spans="1:9" x14ac:dyDescent="0.25">
      <c r="A1882" s="193" t="s">
        <v>220</v>
      </c>
      <c r="B1882" s="193" t="s">
        <v>2351</v>
      </c>
      <c r="C1882" s="214" t="s">
        <v>3999</v>
      </c>
      <c r="D1882" s="193" t="s">
        <v>4000</v>
      </c>
      <c r="E1882" s="212" t="s">
        <v>545</v>
      </c>
      <c r="F1882" s="215">
        <v>10</v>
      </c>
      <c r="G1882" s="194">
        <v>8</v>
      </c>
      <c r="H1882" s="195">
        <f t="shared" si="29"/>
        <v>80</v>
      </c>
      <c r="I1882" s="212" t="s">
        <v>2354</v>
      </c>
    </row>
    <row r="1883" spans="1:9" x14ac:dyDescent="0.25">
      <c r="A1883" s="193" t="s">
        <v>220</v>
      </c>
      <c r="B1883" s="193" t="s">
        <v>2351</v>
      </c>
      <c r="C1883" s="214" t="s">
        <v>4001</v>
      </c>
      <c r="D1883" s="193" t="s">
        <v>4002</v>
      </c>
      <c r="E1883" s="212" t="s">
        <v>545</v>
      </c>
      <c r="F1883" s="215">
        <v>4</v>
      </c>
      <c r="G1883" s="194">
        <v>13.5</v>
      </c>
      <c r="H1883" s="195">
        <f t="shared" si="29"/>
        <v>54</v>
      </c>
      <c r="I1883" s="212" t="s">
        <v>2354</v>
      </c>
    </row>
    <row r="1884" spans="1:9" x14ac:dyDescent="0.25">
      <c r="A1884" s="193" t="s">
        <v>220</v>
      </c>
      <c r="B1884" s="193" t="s">
        <v>2351</v>
      </c>
      <c r="C1884" s="214" t="s">
        <v>4003</v>
      </c>
      <c r="D1884" s="193" t="s">
        <v>4004</v>
      </c>
      <c r="E1884" s="212" t="s">
        <v>545</v>
      </c>
      <c r="F1884" s="215">
        <v>1</v>
      </c>
      <c r="G1884" s="194">
        <v>0</v>
      </c>
      <c r="H1884" s="195">
        <f t="shared" si="29"/>
        <v>0</v>
      </c>
      <c r="I1884" s="212" t="s">
        <v>2354</v>
      </c>
    </row>
    <row r="1885" spans="1:9" x14ac:dyDescent="0.25">
      <c r="A1885" s="193" t="s">
        <v>220</v>
      </c>
      <c r="B1885" s="193" t="s">
        <v>2351</v>
      </c>
      <c r="C1885" s="214" t="s">
        <v>4005</v>
      </c>
      <c r="D1885" s="193" t="s">
        <v>4006</v>
      </c>
      <c r="E1885" s="212" t="s">
        <v>545</v>
      </c>
      <c r="F1885" s="215">
        <v>4</v>
      </c>
      <c r="G1885" s="194">
        <v>0</v>
      </c>
      <c r="H1885" s="195">
        <f t="shared" si="29"/>
        <v>0</v>
      </c>
      <c r="I1885" s="212" t="s">
        <v>2354</v>
      </c>
    </row>
    <row r="1886" spans="1:9" x14ac:dyDescent="0.25">
      <c r="A1886" s="193" t="s">
        <v>220</v>
      </c>
      <c r="B1886" s="193" t="s">
        <v>2351</v>
      </c>
      <c r="C1886" s="214" t="s">
        <v>4007</v>
      </c>
      <c r="D1886" s="193" t="s">
        <v>4008</v>
      </c>
      <c r="E1886" s="212" t="s">
        <v>545</v>
      </c>
      <c r="F1886" s="215">
        <v>7</v>
      </c>
      <c r="G1886" s="194">
        <v>0</v>
      </c>
      <c r="H1886" s="195">
        <f t="shared" si="29"/>
        <v>0</v>
      </c>
      <c r="I1886" s="212" t="s">
        <v>2354</v>
      </c>
    </row>
    <row r="1887" spans="1:9" x14ac:dyDescent="0.25">
      <c r="A1887" s="193" t="s">
        <v>220</v>
      </c>
      <c r="B1887" s="193" t="s">
        <v>2351</v>
      </c>
      <c r="C1887" s="214" t="s">
        <v>4009</v>
      </c>
      <c r="D1887" s="193" t="s">
        <v>4010</v>
      </c>
      <c r="E1887" s="212" t="s">
        <v>545</v>
      </c>
      <c r="F1887" s="215">
        <v>10</v>
      </c>
      <c r="G1887" s="194">
        <v>10.089499999999999</v>
      </c>
      <c r="H1887" s="195">
        <f t="shared" si="29"/>
        <v>100.895</v>
      </c>
      <c r="I1887" s="212" t="s">
        <v>2354</v>
      </c>
    </row>
    <row r="1888" spans="1:9" x14ac:dyDescent="0.25">
      <c r="A1888" s="193" t="s">
        <v>220</v>
      </c>
      <c r="B1888" s="193" t="s">
        <v>2351</v>
      </c>
      <c r="C1888" s="214" t="s">
        <v>4011</v>
      </c>
      <c r="D1888" s="193" t="s">
        <v>4012</v>
      </c>
      <c r="E1888" s="212" t="s">
        <v>545</v>
      </c>
      <c r="F1888" s="215">
        <v>9</v>
      </c>
      <c r="G1888" s="194">
        <v>10.3955</v>
      </c>
      <c r="H1888" s="195">
        <f t="shared" si="29"/>
        <v>93.5595</v>
      </c>
      <c r="I1888" s="212" t="s">
        <v>2354</v>
      </c>
    </row>
    <row r="1889" spans="1:9" x14ac:dyDescent="0.25">
      <c r="A1889" s="193" t="s">
        <v>220</v>
      </c>
      <c r="B1889" s="193" t="s">
        <v>2351</v>
      </c>
      <c r="C1889" s="214" t="s">
        <v>4013</v>
      </c>
      <c r="D1889" s="193" t="s">
        <v>4014</v>
      </c>
      <c r="E1889" s="212" t="s">
        <v>545</v>
      </c>
      <c r="F1889" s="215">
        <v>4</v>
      </c>
      <c r="G1889" s="194">
        <v>0</v>
      </c>
      <c r="H1889" s="195">
        <f t="shared" si="29"/>
        <v>0</v>
      </c>
      <c r="I1889" s="212" t="s">
        <v>2354</v>
      </c>
    </row>
    <row r="1890" spans="1:9" x14ac:dyDescent="0.25">
      <c r="A1890" s="193" t="s">
        <v>220</v>
      </c>
      <c r="B1890" s="193" t="s">
        <v>2351</v>
      </c>
      <c r="C1890" s="214" t="s">
        <v>4015</v>
      </c>
      <c r="D1890" s="193" t="s">
        <v>4016</v>
      </c>
      <c r="E1890" s="212" t="s">
        <v>545</v>
      </c>
      <c r="F1890" s="215">
        <v>8</v>
      </c>
      <c r="G1890" s="194">
        <v>37</v>
      </c>
      <c r="H1890" s="195">
        <f t="shared" si="29"/>
        <v>296</v>
      </c>
      <c r="I1890" s="212" t="s">
        <v>2354</v>
      </c>
    </row>
    <row r="1891" spans="1:9" x14ac:dyDescent="0.25">
      <c r="A1891" s="193" t="s">
        <v>220</v>
      </c>
      <c r="B1891" s="193" t="s">
        <v>2351</v>
      </c>
      <c r="C1891" s="214" t="s">
        <v>4017</v>
      </c>
      <c r="D1891" s="193" t="s">
        <v>4018</v>
      </c>
      <c r="E1891" s="212" t="s">
        <v>545</v>
      </c>
      <c r="F1891" s="215">
        <v>8</v>
      </c>
      <c r="G1891" s="194">
        <v>59.5</v>
      </c>
      <c r="H1891" s="195">
        <f t="shared" si="29"/>
        <v>476</v>
      </c>
      <c r="I1891" s="212" t="s">
        <v>2354</v>
      </c>
    </row>
    <row r="1892" spans="1:9" x14ac:dyDescent="0.25">
      <c r="A1892" s="193" t="s">
        <v>220</v>
      </c>
      <c r="B1892" s="193" t="s">
        <v>2351</v>
      </c>
      <c r="C1892" s="214" t="s">
        <v>4019</v>
      </c>
      <c r="D1892" s="193" t="s">
        <v>4020</v>
      </c>
      <c r="E1892" s="212" t="s">
        <v>545</v>
      </c>
      <c r="F1892" s="215">
        <v>1</v>
      </c>
      <c r="G1892" s="194">
        <v>213.28200000000001</v>
      </c>
      <c r="H1892" s="195">
        <f t="shared" si="29"/>
        <v>213.28200000000001</v>
      </c>
      <c r="I1892" s="212" t="s">
        <v>2354</v>
      </c>
    </row>
    <row r="1893" spans="1:9" x14ac:dyDescent="0.25">
      <c r="A1893" s="193" t="s">
        <v>220</v>
      </c>
      <c r="B1893" s="193" t="s">
        <v>2351</v>
      </c>
      <c r="C1893" s="214" t="s">
        <v>4021</v>
      </c>
      <c r="D1893" s="193" t="s">
        <v>4022</v>
      </c>
      <c r="E1893" s="212" t="s">
        <v>545</v>
      </c>
      <c r="F1893" s="215">
        <v>6</v>
      </c>
      <c r="G1893" s="194">
        <v>115</v>
      </c>
      <c r="H1893" s="195">
        <f t="shared" si="29"/>
        <v>690</v>
      </c>
      <c r="I1893" s="212" t="s">
        <v>2354</v>
      </c>
    </row>
    <row r="1894" spans="1:9" x14ac:dyDescent="0.25">
      <c r="A1894" s="193" t="s">
        <v>220</v>
      </c>
      <c r="B1894" s="193" t="s">
        <v>2351</v>
      </c>
      <c r="C1894" s="214" t="s">
        <v>4023</v>
      </c>
      <c r="D1894" s="193" t="s">
        <v>4024</v>
      </c>
      <c r="E1894" s="212" t="s">
        <v>545</v>
      </c>
      <c r="F1894" s="215">
        <v>24</v>
      </c>
      <c r="G1894" s="194">
        <v>25</v>
      </c>
      <c r="H1894" s="195">
        <f t="shared" si="29"/>
        <v>600</v>
      </c>
      <c r="I1894" s="212" t="s">
        <v>2354</v>
      </c>
    </row>
    <row r="1895" spans="1:9" x14ac:dyDescent="0.25">
      <c r="A1895" s="193" t="s">
        <v>220</v>
      </c>
      <c r="B1895" s="193" t="s">
        <v>2351</v>
      </c>
      <c r="C1895" s="214" t="s">
        <v>4025</v>
      </c>
      <c r="D1895" s="193" t="s">
        <v>4026</v>
      </c>
      <c r="E1895" s="212" t="s">
        <v>545</v>
      </c>
      <c r="F1895" s="215">
        <v>1</v>
      </c>
      <c r="G1895" s="194">
        <v>841.5</v>
      </c>
      <c r="H1895" s="195">
        <f t="shared" si="29"/>
        <v>841.5</v>
      </c>
      <c r="I1895" s="212" t="s">
        <v>2354</v>
      </c>
    </row>
    <row r="1896" spans="1:9" x14ac:dyDescent="0.25">
      <c r="A1896" s="193" t="s">
        <v>220</v>
      </c>
      <c r="B1896" s="193" t="s">
        <v>2351</v>
      </c>
      <c r="C1896" s="214" t="s">
        <v>4027</v>
      </c>
      <c r="D1896" s="193" t="s">
        <v>4028</v>
      </c>
      <c r="E1896" s="212" t="s">
        <v>545</v>
      </c>
      <c r="F1896" s="215">
        <v>1</v>
      </c>
      <c r="G1896" s="194">
        <v>52.543959999999998</v>
      </c>
      <c r="H1896" s="195">
        <f t="shared" si="29"/>
        <v>52.543959999999998</v>
      </c>
      <c r="I1896" s="212" t="s">
        <v>2354</v>
      </c>
    </row>
    <row r="1897" spans="1:9" x14ac:dyDescent="0.25">
      <c r="A1897" s="193" t="s">
        <v>220</v>
      </c>
      <c r="B1897" s="193" t="s">
        <v>2351</v>
      </c>
      <c r="C1897" s="214" t="s">
        <v>4029</v>
      </c>
      <c r="D1897" s="193" t="s">
        <v>4030</v>
      </c>
      <c r="E1897" s="212" t="s">
        <v>545</v>
      </c>
      <c r="F1897" s="215">
        <v>3</v>
      </c>
      <c r="G1897" s="194">
        <v>20.962800000000001</v>
      </c>
      <c r="H1897" s="195">
        <f t="shared" si="29"/>
        <v>62.888400000000004</v>
      </c>
      <c r="I1897" s="212" t="s">
        <v>2354</v>
      </c>
    </row>
    <row r="1898" spans="1:9" x14ac:dyDescent="0.25">
      <c r="A1898" s="193" t="s">
        <v>220</v>
      </c>
      <c r="B1898" s="193" t="s">
        <v>2351</v>
      </c>
      <c r="C1898" s="214" t="s">
        <v>4031</v>
      </c>
      <c r="D1898" s="193" t="s">
        <v>4032</v>
      </c>
      <c r="E1898" s="212" t="s">
        <v>545</v>
      </c>
      <c r="F1898" s="215">
        <v>2</v>
      </c>
      <c r="G1898" s="194">
        <v>141.928</v>
      </c>
      <c r="H1898" s="195">
        <f t="shared" si="29"/>
        <v>283.85599999999999</v>
      </c>
      <c r="I1898" s="212" t="s">
        <v>2354</v>
      </c>
    </row>
    <row r="1899" spans="1:9" x14ac:dyDescent="0.25">
      <c r="A1899" s="193" t="s">
        <v>220</v>
      </c>
      <c r="B1899" s="193" t="s">
        <v>2351</v>
      </c>
      <c r="C1899" s="214" t="s">
        <v>4033</v>
      </c>
      <c r="D1899" s="193" t="s">
        <v>4034</v>
      </c>
      <c r="E1899" s="212" t="s">
        <v>545</v>
      </c>
      <c r="F1899" s="215">
        <v>3</v>
      </c>
      <c r="G1899" s="194">
        <v>157.5</v>
      </c>
      <c r="H1899" s="195">
        <f t="shared" si="29"/>
        <v>472.5</v>
      </c>
      <c r="I1899" s="212" t="s">
        <v>2354</v>
      </c>
    </row>
    <row r="1900" spans="1:9" x14ac:dyDescent="0.25">
      <c r="A1900" s="193" t="s">
        <v>220</v>
      </c>
      <c r="B1900" s="193" t="s">
        <v>2351</v>
      </c>
      <c r="C1900" s="214" t="s">
        <v>4035</v>
      </c>
      <c r="D1900" s="193" t="s">
        <v>4036</v>
      </c>
      <c r="E1900" s="212" t="s">
        <v>545</v>
      </c>
      <c r="F1900" s="215">
        <v>1</v>
      </c>
      <c r="G1900" s="194">
        <v>49.832999999999998</v>
      </c>
      <c r="H1900" s="195">
        <f t="shared" si="29"/>
        <v>49.832999999999998</v>
      </c>
      <c r="I1900" s="212" t="s">
        <v>2354</v>
      </c>
    </row>
    <row r="1901" spans="1:9" x14ac:dyDescent="0.25">
      <c r="A1901" s="193" t="s">
        <v>220</v>
      </c>
      <c r="B1901" s="193" t="s">
        <v>2351</v>
      </c>
      <c r="C1901" s="214" t="s">
        <v>4037</v>
      </c>
      <c r="D1901" s="193" t="s">
        <v>4038</v>
      </c>
      <c r="E1901" s="212" t="s">
        <v>545</v>
      </c>
      <c r="F1901" s="215">
        <v>4</v>
      </c>
      <c r="G1901" s="194">
        <v>22.55</v>
      </c>
      <c r="H1901" s="195">
        <f t="shared" si="29"/>
        <v>90.2</v>
      </c>
      <c r="I1901" s="212" t="s">
        <v>2354</v>
      </c>
    </row>
    <row r="1902" spans="1:9" x14ac:dyDescent="0.25">
      <c r="A1902" s="193" t="s">
        <v>220</v>
      </c>
      <c r="B1902" s="193" t="s">
        <v>2351</v>
      </c>
      <c r="C1902" s="214" t="s">
        <v>4039</v>
      </c>
      <c r="D1902" s="193" t="s">
        <v>4040</v>
      </c>
      <c r="E1902" s="212" t="s">
        <v>545</v>
      </c>
      <c r="F1902" s="215">
        <v>1</v>
      </c>
      <c r="G1902" s="194">
        <v>69.92</v>
      </c>
      <c r="H1902" s="195">
        <f t="shared" si="29"/>
        <v>69.92</v>
      </c>
      <c r="I1902" s="212" t="s">
        <v>2354</v>
      </c>
    </row>
    <row r="1903" spans="1:9" x14ac:dyDescent="0.25">
      <c r="A1903" s="193" t="s">
        <v>220</v>
      </c>
      <c r="B1903" s="193" t="s">
        <v>2351</v>
      </c>
      <c r="C1903" s="214" t="s">
        <v>4041</v>
      </c>
      <c r="D1903" s="193" t="s">
        <v>4042</v>
      </c>
      <c r="E1903" s="212" t="s">
        <v>545</v>
      </c>
      <c r="F1903" s="215">
        <v>2</v>
      </c>
      <c r="G1903" s="194">
        <v>90.56</v>
      </c>
      <c r="H1903" s="195">
        <f t="shared" si="29"/>
        <v>181.12</v>
      </c>
      <c r="I1903" s="212" t="s">
        <v>2354</v>
      </c>
    </row>
    <row r="1904" spans="1:9" x14ac:dyDescent="0.25">
      <c r="A1904" s="193" t="s">
        <v>220</v>
      </c>
      <c r="B1904" s="193" t="s">
        <v>2351</v>
      </c>
      <c r="C1904" s="214" t="s">
        <v>4043</v>
      </c>
      <c r="D1904" s="193" t="s">
        <v>4044</v>
      </c>
      <c r="E1904" s="212" t="s">
        <v>545</v>
      </c>
      <c r="F1904" s="215">
        <v>3</v>
      </c>
      <c r="G1904" s="194">
        <v>90.4</v>
      </c>
      <c r="H1904" s="195">
        <f t="shared" si="29"/>
        <v>271.20000000000005</v>
      </c>
      <c r="I1904" s="212" t="s">
        <v>2354</v>
      </c>
    </row>
    <row r="1905" spans="1:9" x14ac:dyDescent="0.25">
      <c r="A1905" s="193" t="s">
        <v>220</v>
      </c>
      <c r="B1905" s="193" t="s">
        <v>2351</v>
      </c>
      <c r="C1905" s="214" t="s">
        <v>4045</v>
      </c>
      <c r="D1905" s="193" t="s">
        <v>4046</v>
      </c>
      <c r="E1905" s="212" t="s">
        <v>545</v>
      </c>
      <c r="F1905" s="215">
        <v>1</v>
      </c>
      <c r="G1905" s="194">
        <v>141.928</v>
      </c>
      <c r="H1905" s="195">
        <f t="shared" si="29"/>
        <v>141.928</v>
      </c>
      <c r="I1905" s="212" t="s">
        <v>2354</v>
      </c>
    </row>
    <row r="1906" spans="1:9" x14ac:dyDescent="0.25">
      <c r="A1906" s="193" t="s">
        <v>220</v>
      </c>
      <c r="B1906" s="193" t="s">
        <v>2351</v>
      </c>
      <c r="C1906" s="214" t="s">
        <v>4047</v>
      </c>
      <c r="D1906" s="193" t="s">
        <v>4048</v>
      </c>
      <c r="E1906" s="212" t="s">
        <v>545</v>
      </c>
      <c r="F1906" s="215">
        <v>1</v>
      </c>
      <c r="G1906" s="194">
        <v>181.9</v>
      </c>
      <c r="H1906" s="195">
        <f t="shared" si="29"/>
        <v>181.9</v>
      </c>
      <c r="I1906" s="212" t="s">
        <v>2354</v>
      </c>
    </row>
    <row r="1907" spans="1:9" x14ac:dyDescent="0.25">
      <c r="A1907" s="193" t="s">
        <v>220</v>
      </c>
      <c r="B1907" s="193" t="s">
        <v>2351</v>
      </c>
      <c r="C1907" s="214" t="s">
        <v>4049</v>
      </c>
      <c r="D1907" s="193" t="s">
        <v>4050</v>
      </c>
      <c r="E1907" s="212" t="s">
        <v>545</v>
      </c>
      <c r="F1907" s="215">
        <v>200</v>
      </c>
      <c r="G1907" s="194">
        <v>0.68720000000000003</v>
      </c>
      <c r="H1907" s="195">
        <f t="shared" si="29"/>
        <v>137.44</v>
      </c>
      <c r="I1907" s="212" t="s">
        <v>2354</v>
      </c>
    </row>
    <row r="1908" spans="1:9" x14ac:dyDescent="0.25">
      <c r="A1908" s="193" t="s">
        <v>220</v>
      </c>
      <c r="B1908" s="193" t="s">
        <v>2351</v>
      </c>
      <c r="C1908" s="214" t="s">
        <v>4051</v>
      </c>
      <c r="D1908" s="193" t="s">
        <v>4052</v>
      </c>
      <c r="E1908" s="212" t="s">
        <v>545</v>
      </c>
      <c r="F1908" s="215">
        <v>7</v>
      </c>
      <c r="G1908" s="194">
        <v>1.3051500000000003</v>
      </c>
      <c r="H1908" s="195">
        <f t="shared" si="29"/>
        <v>9.1360500000000009</v>
      </c>
      <c r="I1908" s="212" t="s">
        <v>2354</v>
      </c>
    </row>
    <row r="1909" spans="1:9" x14ac:dyDescent="0.25">
      <c r="A1909" s="193" t="s">
        <v>220</v>
      </c>
      <c r="B1909" s="193" t="s">
        <v>2351</v>
      </c>
      <c r="C1909" s="214" t="s">
        <v>4053</v>
      </c>
      <c r="D1909" s="193" t="s">
        <v>4054</v>
      </c>
      <c r="E1909" s="212" t="s">
        <v>545</v>
      </c>
      <c r="F1909" s="215">
        <v>12</v>
      </c>
      <c r="G1909" s="194">
        <v>1.6960000000000002</v>
      </c>
      <c r="H1909" s="195">
        <f t="shared" si="29"/>
        <v>20.352000000000004</v>
      </c>
      <c r="I1909" s="212" t="s">
        <v>2354</v>
      </c>
    </row>
    <row r="1910" spans="1:9" x14ac:dyDescent="0.25">
      <c r="A1910" s="193" t="s">
        <v>220</v>
      </c>
      <c r="B1910" s="193" t="s">
        <v>2351</v>
      </c>
      <c r="C1910" s="214" t="s">
        <v>4055</v>
      </c>
      <c r="D1910" s="193" t="s">
        <v>4056</v>
      </c>
      <c r="E1910" s="212" t="s">
        <v>545</v>
      </c>
      <c r="F1910" s="215">
        <v>15</v>
      </c>
      <c r="G1910" s="194">
        <v>3.9119999999999999</v>
      </c>
      <c r="H1910" s="195">
        <f t="shared" si="29"/>
        <v>58.68</v>
      </c>
      <c r="I1910" s="212" t="s">
        <v>2354</v>
      </c>
    </row>
    <row r="1911" spans="1:9" x14ac:dyDescent="0.25">
      <c r="A1911" s="193" t="s">
        <v>220</v>
      </c>
      <c r="B1911" s="193" t="s">
        <v>2351</v>
      </c>
      <c r="C1911" s="214" t="s">
        <v>4057</v>
      </c>
      <c r="D1911" s="193" t="s">
        <v>4058</v>
      </c>
      <c r="E1911" s="212" t="s">
        <v>545</v>
      </c>
      <c r="F1911" s="215">
        <v>16</v>
      </c>
      <c r="G1911" s="194">
        <v>15.1264</v>
      </c>
      <c r="H1911" s="195">
        <f t="shared" si="29"/>
        <v>242.0224</v>
      </c>
      <c r="I1911" s="212" t="s">
        <v>2354</v>
      </c>
    </row>
    <row r="1912" spans="1:9" x14ac:dyDescent="0.25">
      <c r="A1912" s="193" t="s">
        <v>220</v>
      </c>
      <c r="B1912" s="193" t="s">
        <v>2351</v>
      </c>
      <c r="C1912" s="214" t="s">
        <v>4059</v>
      </c>
      <c r="D1912" s="193" t="s">
        <v>4060</v>
      </c>
      <c r="E1912" s="212" t="s">
        <v>545</v>
      </c>
      <c r="F1912" s="215">
        <v>50</v>
      </c>
      <c r="G1912" s="194">
        <v>0.59075</v>
      </c>
      <c r="H1912" s="195">
        <f t="shared" si="29"/>
        <v>29.537500000000001</v>
      </c>
      <c r="I1912" s="212" t="s">
        <v>2354</v>
      </c>
    </row>
    <row r="1913" spans="1:9" x14ac:dyDescent="0.25">
      <c r="A1913" s="193" t="s">
        <v>220</v>
      </c>
      <c r="B1913" s="193" t="s">
        <v>2351</v>
      </c>
      <c r="C1913" s="214" t="s">
        <v>4061</v>
      </c>
      <c r="D1913" s="193" t="s">
        <v>4062</v>
      </c>
      <c r="E1913" s="212" t="s">
        <v>545</v>
      </c>
      <c r="F1913" s="215">
        <v>150</v>
      </c>
      <c r="G1913" s="194">
        <v>7.4999999999999997E-2</v>
      </c>
      <c r="H1913" s="195">
        <f t="shared" si="29"/>
        <v>11.25</v>
      </c>
      <c r="I1913" s="212" t="s">
        <v>2354</v>
      </c>
    </row>
    <row r="1914" spans="1:9" x14ac:dyDescent="0.25">
      <c r="A1914" s="193" t="s">
        <v>220</v>
      </c>
      <c r="B1914" s="193" t="s">
        <v>2351</v>
      </c>
      <c r="C1914" s="214" t="s">
        <v>4063</v>
      </c>
      <c r="D1914" s="193" t="s">
        <v>4064</v>
      </c>
      <c r="E1914" s="212" t="s">
        <v>545</v>
      </c>
      <c r="F1914" s="215">
        <v>92</v>
      </c>
      <c r="G1914" s="194">
        <v>7.4999999999999997E-2</v>
      </c>
      <c r="H1914" s="195">
        <f t="shared" si="29"/>
        <v>6.8999999999999995</v>
      </c>
      <c r="I1914" s="212" t="s">
        <v>2354</v>
      </c>
    </row>
    <row r="1915" spans="1:9" x14ac:dyDescent="0.25">
      <c r="A1915" s="193" t="s">
        <v>220</v>
      </c>
      <c r="B1915" s="193" t="s">
        <v>2351</v>
      </c>
      <c r="C1915" s="214" t="s">
        <v>4065</v>
      </c>
      <c r="D1915" s="193" t="s">
        <v>4066</v>
      </c>
      <c r="E1915" s="212" t="s">
        <v>545</v>
      </c>
      <c r="F1915" s="215">
        <v>71</v>
      </c>
      <c r="G1915" s="194">
        <v>0.22196666666666667</v>
      </c>
      <c r="H1915" s="195">
        <f t="shared" si="29"/>
        <v>15.759633333333333</v>
      </c>
      <c r="I1915" s="212" t="s">
        <v>2354</v>
      </c>
    </row>
    <row r="1916" spans="1:9" x14ac:dyDescent="0.25">
      <c r="A1916" s="193" t="s">
        <v>220</v>
      </c>
      <c r="B1916" s="193" t="s">
        <v>2351</v>
      </c>
      <c r="C1916" s="214" t="s">
        <v>4067</v>
      </c>
      <c r="D1916" s="193" t="s">
        <v>4068</v>
      </c>
      <c r="E1916" s="212" t="s">
        <v>545</v>
      </c>
      <c r="F1916" s="215">
        <v>56</v>
      </c>
      <c r="G1916" s="194">
        <v>0.19326999999999997</v>
      </c>
      <c r="H1916" s="195">
        <f t="shared" si="29"/>
        <v>10.823119999999998</v>
      </c>
      <c r="I1916" s="212" t="s">
        <v>2354</v>
      </c>
    </row>
    <row r="1917" spans="1:9" x14ac:dyDescent="0.25">
      <c r="A1917" s="193" t="s">
        <v>220</v>
      </c>
      <c r="B1917" s="193" t="s">
        <v>2351</v>
      </c>
      <c r="C1917" s="214" t="s">
        <v>4069</v>
      </c>
      <c r="D1917" s="193" t="s">
        <v>4070</v>
      </c>
      <c r="E1917" s="212" t="s">
        <v>545</v>
      </c>
      <c r="F1917" s="215">
        <v>45</v>
      </c>
      <c r="G1917" s="194">
        <v>7.2999999999999995E-2</v>
      </c>
      <c r="H1917" s="195">
        <f t="shared" si="29"/>
        <v>3.2849999999999997</v>
      </c>
      <c r="I1917" s="212" t="s">
        <v>2354</v>
      </c>
    </row>
    <row r="1918" spans="1:9" x14ac:dyDescent="0.25">
      <c r="A1918" s="193" t="s">
        <v>220</v>
      </c>
      <c r="B1918" s="193" t="s">
        <v>2351</v>
      </c>
      <c r="C1918" s="214" t="s">
        <v>4071</v>
      </c>
      <c r="D1918" s="193" t="s">
        <v>4072</v>
      </c>
      <c r="E1918" s="212" t="s">
        <v>2473</v>
      </c>
      <c r="F1918" s="215">
        <v>78</v>
      </c>
      <c r="G1918" s="194">
        <v>0.11814</v>
      </c>
      <c r="H1918" s="195">
        <f t="shared" si="29"/>
        <v>9.2149199999999993</v>
      </c>
      <c r="I1918" s="212" t="s">
        <v>2354</v>
      </c>
    </row>
    <row r="1919" spans="1:9" x14ac:dyDescent="0.25">
      <c r="A1919" s="193" t="s">
        <v>220</v>
      </c>
      <c r="B1919" s="193" t="s">
        <v>2351</v>
      </c>
      <c r="C1919" s="214" t="s">
        <v>4073</v>
      </c>
      <c r="D1919" s="193" t="s">
        <v>4074</v>
      </c>
      <c r="E1919" s="212" t="s">
        <v>2473</v>
      </c>
      <c r="F1919" s="215">
        <v>500</v>
      </c>
      <c r="G1919" s="194">
        <v>0.87570000000000003</v>
      </c>
      <c r="H1919" s="195">
        <f t="shared" si="29"/>
        <v>437.85</v>
      </c>
      <c r="I1919" s="212" t="s">
        <v>2354</v>
      </c>
    </row>
    <row r="1920" spans="1:9" x14ac:dyDescent="0.25">
      <c r="A1920" s="193" t="s">
        <v>220</v>
      </c>
      <c r="B1920" s="193" t="s">
        <v>2351</v>
      </c>
      <c r="C1920" s="214" t="s">
        <v>4075</v>
      </c>
      <c r="D1920" s="193" t="s">
        <v>4076</v>
      </c>
      <c r="E1920" s="212" t="s">
        <v>545</v>
      </c>
      <c r="F1920" s="215">
        <v>23</v>
      </c>
      <c r="G1920" s="194">
        <v>0.77371794871794874</v>
      </c>
      <c r="H1920" s="195">
        <f t="shared" si="29"/>
        <v>17.795512820512823</v>
      </c>
      <c r="I1920" s="212" t="s">
        <v>2354</v>
      </c>
    </row>
    <row r="1921" spans="1:9" x14ac:dyDescent="0.25">
      <c r="A1921" s="193" t="s">
        <v>220</v>
      </c>
      <c r="B1921" s="193" t="s">
        <v>2351</v>
      </c>
      <c r="C1921" s="214" t="s">
        <v>4077</v>
      </c>
      <c r="D1921" s="193" t="s">
        <v>4078</v>
      </c>
      <c r="E1921" s="212" t="s">
        <v>545</v>
      </c>
      <c r="F1921" s="215">
        <v>2</v>
      </c>
      <c r="G1921" s="194">
        <v>89.503</v>
      </c>
      <c r="H1921" s="195">
        <f t="shared" si="29"/>
        <v>179.006</v>
      </c>
      <c r="I1921" s="212" t="s">
        <v>2354</v>
      </c>
    </row>
    <row r="1922" spans="1:9" x14ac:dyDescent="0.25">
      <c r="A1922" s="193" t="s">
        <v>220</v>
      </c>
      <c r="B1922" s="193" t="s">
        <v>2351</v>
      </c>
      <c r="C1922" s="214" t="s">
        <v>4079</v>
      </c>
      <c r="D1922" s="193" t="s">
        <v>4080</v>
      </c>
      <c r="E1922" s="212" t="s">
        <v>545</v>
      </c>
      <c r="F1922" s="215">
        <v>2</v>
      </c>
      <c r="G1922" s="194">
        <v>87.93</v>
      </c>
      <c r="H1922" s="195">
        <f t="shared" si="29"/>
        <v>175.86</v>
      </c>
      <c r="I1922" s="212" t="s">
        <v>2354</v>
      </c>
    </row>
    <row r="1923" spans="1:9" x14ac:dyDescent="0.25">
      <c r="A1923" s="193" t="s">
        <v>220</v>
      </c>
      <c r="B1923" s="193" t="s">
        <v>2351</v>
      </c>
      <c r="C1923" s="214" t="s">
        <v>4081</v>
      </c>
      <c r="D1923" s="193" t="s">
        <v>4082</v>
      </c>
      <c r="E1923" s="212" t="s">
        <v>545</v>
      </c>
      <c r="F1923" s="215">
        <v>3</v>
      </c>
      <c r="G1923" s="194">
        <v>82.48</v>
      </c>
      <c r="H1923" s="195">
        <f t="shared" si="29"/>
        <v>247.44</v>
      </c>
      <c r="I1923" s="212" t="s">
        <v>2354</v>
      </c>
    </row>
    <row r="1924" spans="1:9" x14ac:dyDescent="0.25">
      <c r="A1924" s="193" t="s">
        <v>220</v>
      </c>
      <c r="B1924" s="193" t="s">
        <v>2351</v>
      </c>
      <c r="C1924" s="214" t="s">
        <v>4083</v>
      </c>
      <c r="D1924" s="193" t="s">
        <v>4084</v>
      </c>
      <c r="E1924" s="212" t="s">
        <v>545</v>
      </c>
      <c r="F1924" s="215">
        <v>2</v>
      </c>
      <c r="G1924" s="194">
        <v>67.41</v>
      </c>
      <c r="H1924" s="195">
        <f t="shared" si="29"/>
        <v>134.82</v>
      </c>
      <c r="I1924" s="212" t="s">
        <v>2354</v>
      </c>
    </row>
    <row r="1925" spans="1:9" x14ac:dyDescent="0.25">
      <c r="A1925" s="193" t="s">
        <v>220</v>
      </c>
      <c r="B1925" s="193" t="s">
        <v>2351</v>
      </c>
      <c r="C1925" s="214" t="s">
        <v>4085</v>
      </c>
      <c r="D1925" s="193" t="s">
        <v>4086</v>
      </c>
      <c r="E1925" s="212" t="s">
        <v>545</v>
      </c>
      <c r="F1925" s="215">
        <v>1</v>
      </c>
      <c r="G1925" s="194">
        <v>142.03710000000001</v>
      </c>
      <c r="H1925" s="195">
        <f t="shared" ref="H1925:H1988" si="30">+F1925*G1925</f>
        <v>142.03710000000001</v>
      </c>
      <c r="I1925" s="212" t="s">
        <v>2354</v>
      </c>
    </row>
    <row r="1926" spans="1:9" x14ac:dyDescent="0.25">
      <c r="A1926" s="193" t="s">
        <v>220</v>
      </c>
      <c r="B1926" s="193" t="s">
        <v>2351</v>
      </c>
      <c r="C1926" s="214" t="s">
        <v>4087</v>
      </c>
      <c r="D1926" s="193" t="s">
        <v>4088</v>
      </c>
      <c r="E1926" s="212" t="s">
        <v>545</v>
      </c>
      <c r="F1926" s="215">
        <v>2</v>
      </c>
      <c r="G1926" s="194">
        <v>18.45</v>
      </c>
      <c r="H1926" s="195">
        <f t="shared" si="30"/>
        <v>36.9</v>
      </c>
      <c r="I1926" s="212" t="s">
        <v>2354</v>
      </c>
    </row>
    <row r="1927" spans="1:9" x14ac:dyDescent="0.25">
      <c r="A1927" s="193" t="s">
        <v>220</v>
      </c>
      <c r="B1927" s="193" t="s">
        <v>2351</v>
      </c>
      <c r="C1927" s="214" t="s">
        <v>4089</v>
      </c>
      <c r="D1927" s="193" t="s">
        <v>4090</v>
      </c>
      <c r="E1927" s="212" t="s">
        <v>545</v>
      </c>
      <c r="F1927" s="215">
        <v>3</v>
      </c>
      <c r="G1927" s="194">
        <v>20.211300000000001</v>
      </c>
      <c r="H1927" s="195">
        <f t="shared" si="30"/>
        <v>60.633900000000004</v>
      </c>
      <c r="I1927" s="212" t="s">
        <v>2354</v>
      </c>
    </row>
    <row r="1928" spans="1:9" x14ac:dyDescent="0.25">
      <c r="A1928" s="193" t="s">
        <v>220</v>
      </c>
      <c r="B1928" s="193" t="s">
        <v>2351</v>
      </c>
      <c r="C1928" s="214" t="s">
        <v>4091</v>
      </c>
      <c r="D1928" s="193" t="s">
        <v>4092</v>
      </c>
      <c r="E1928" s="212" t="s">
        <v>545</v>
      </c>
      <c r="F1928" s="215">
        <v>2</v>
      </c>
      <c r="G1928" s="194">
        <v>52.5</v>
      </c>
      <c r="H1928" s="195">
        <f t="shared" si="30"/>
        <v>105</v>
      </c>
      <c r="I1928" s="212" t="s">
        <v>2354</v>
      </c>
    </row>
    <row r="1929" spans="1:9" x14ac:dyDescent="0.25">
      <c r="A1929" s="193" t="s">
        <v>220</v>
      </c>
      <c r="B1929" s="193" t="s">
        <v>2351</v>
      </c>
      <c r="C1929" s="214" t="s">
        <v>4093</v>
      </c>
      <c r="D1929" s="193" t="s">
        <v>4094</v>
      </c>
      <c r="E1929" s="212" t="s">
        <v>545</v>
      </c>
      <c r="F1929" s="215">
        <v>4</v>
      </c>
      <c r="G1929" s="194">
        <v>20.862400000000001</v>
      </c>
      <c r="H1929" s="195">
        <f t="shared" si="30"/>
        <v>83.449600000000004</v>
      </c>
      <c r="I1929" s="212" t="s">
        <v>2354</v>
      </c>
    </row>
    <row r="1930" spans="1:9" x14ac:dyDescent="0.25">
      <c r="A1930" s="193" t="s">
        <v>220</v>
      </c>
      <c r="B1930" s="193" t="s">
        <v>2351</v>
      </c>
      <c r="C1930" s="214" t="s">
        <v>4095</v>
      </c>
      <c r="D1930" s="193" t="s">
        <v>4096</v>
      </c>
      <c r="E1930" s="212" t="s">
        <v>545</v>
      </c>
      <c r="F1930" s="215">
        <v>0</v>
      </c>
      <c r="G1930" s="194">
        <v>8.7240000000000002</v>
      </c>
      <c r="H1930" s="195">
        <f t="shared" si="30"/>
        <v>0</v>
      </c>
      <c r="I1930" s="212" t="s">
        <v>2354</v>
      </c>
    </row>
    <row r="1931" spans="1:9" x14ac:dyDescent="0.25">
      <c r="A1931" s="193" t="s">
        <v>220</v>
      </c>
      <c r="B1931" s="193" t="s">
        <v>2351</v>
      </c>
      <c r="C1931" s="214" t="s">
        <v>4097</v>
      </c>
      <c r="D1931" s="193" t="s">
        <v>4098</v>
      </c>
      <c r="E1931" s="212" t="s">
        <v>545</v>
      </c>
      <c r="F1931" s="215">
        <v>2</v>
      </c>
      <c r="G1931" s="194">
        <v>8.7240000000000002</v>
      </c>
      <c r="H1931" s="195">
        <f t="shared" si="30"/>
        <v>17.448</v>
      </c>
      <c r="I1931" s="212" t="s">
        <v>2354</v>
      </c>
    </row>
    <row r="1932" spans="1:9" x14ac:dyDescent="0.25">
      <c r="A1932" s="193" t="s">
        <v>220</v>
      </c>
      <c r="B1932" s="193" t="s">
        <v>2351</v>
      </c>
      <c r="C1932" s="214" t="s">
        <v>4099</v>
      </c>
      <c r="D1932" s="193" t="s">
        <v>4100</v>
      </c>
      <c r="E1932" s="212" t="s">
        <v>545</v>
      </c>
      <c r="F1932" s="215">
        <v>2</v>
      </c>
      <c r="G1932" s="194">
        <v>34.598399999999998</v>
      </c>
      <c r="H1932" s="195">
        <f t="shared" si="30"/>
        <v>69.196799999999996</v>
      </c>
      <c r="I1932" s="212" t="s">
        <v>2354</v>
      </c>
    </row>
    <row r="1933" spans="1:9" x14ac:dyDescent="0.25">
      <c r="A1933" s="193" t="s">
        <v>220</v>
      </c>
      <c r="B1933" s="193" t="s">
        <v>2351</v>
      </c>
      <c r="C1933" s="214" t="s">
        <v>4101</v>
      </c>
      <c r="D1933" s="193" t="s">
        <v>4102</v>
      </c>
      <c r="E1933" s="212" t="s">
        <v>545</v>
      </c>
      <c r="F1933" s="215">
        <v>2</v>
      </c>
      <c r="G1933" s="194">
        <v>95.715333333333319</v>
      </c>
      <c r="H1933" s="195">
        <f t="shared" si="30"/>
        <v>191.43066666666664</v>
      </c>
      <c r="I1933" s="212" t="s">
        <v>2354</v>
      </c>
    </row>
    <row r="1934" spans="1:9" x14ac:dyDescent="0.25">
      <c r="A1934" s="193" t="s">
        <v>220</v>
      </c>
      <c r="B1934" s="193" t="s">
        <v>2351</v>
      </c>
      <c r="C1934" s="214" t="s">
        <v>4103</v>
      </c>
      <c r="D1934" s="193" t="s">
        <v>4104</v>
      </c>
      <c r="E1934" s="212" t="s">
        <v>545</v>
      </c>
      <c r="F1934" s="215">
        <v>2</v>
      </c>
      <c r="G1934" s="194">
        <v>11.548999999999999</v>
      </c>
      <c r="H1934" s="195">
        <f t="shared" si="30"/>
        <v>23.097999999999999</v>
      </c>
      <c r="I1934" s="212" t="s">
        <v>2354</v>
      </c>
    </row>
    <row r="1935" spans="1:9" x14ac:dyDescent="0.25">
      <c r="A1935" s="193" t="s">
        <v>220</v>
      </c>
      <c r="B1935" s="193" t="s">
        <v>2351</v>
      </c>
      <c r="C1935" s="214" t="s">
        <v>4105</v>
      </c>
      <c r="D1935" s="193" t="s">
        <v>4106</v>
      </c>
      <c r="E1935" s="212" t="s">
        <v>545</v>
      </c>
      <c r="F1935" s="215">
        <v>1</v>
      </c>
      <c r="G1935" s="194">
        <v>137.6</v>
      </c>
      <c r="H1935" s="195">
        <f t="shared" si="30"/>
        <v>137.6</v>
      </c>
      <c r="I1935" s="212" t="s">
        <v>2354</v>
      </c>
    </row>
    <row r="1936" spans="1:9" x14ac:dyDescent="0.25">
      <c r="A1936" s="193" t="s">
        <v>220</v>
      </c>
      <c r="B1936" s="193" t="s">
        <v>2351</v>
      </c>
      <c r="C1936" s="214" t="s">
        <v>4107</v>
      </c>
      <c r="D1936" s="193" t="s">
        <v>4108</v>
      </c>
      <c r="E1936" s="212" t="s">
        <v>545</v>
      </c>
      <c r="F1936" s="215">
        <v>2</v>
      </c>
      <c r="G1936" s="194">
        <v>104.83199999999999</v>
      </c>
      <c r="H1936" s="195">
        <f t="shared" si="30"/>
        <v>209.66399999999999</v>
      </c>
      <c r="I1936" s="212" t="s">
        <v>2354</v>
      </c>
    </row>
    <row r="1937" spans="1:9" x14ac:dyDescent="0.25">
      <c r="A1937" s="193" t="s">
        <v>220</v>
      </c>
      <c r="B1937" s="193" t="s">
        <v>2351</v>
      </c>
      <c r="C1937" s="214" t="s">
        <v>4109</v>
      </c>
      <c r="D1937" s="193" t="s">
        <v>4110</v>
      </c>
      <c r="E1937" s="212" t="s">
        <v>545</v>
      </c>
      <c r="F1937" s="215">
        <v>2</v>
      </c>
      <c r="G1937" s="194">
        <v>80.91</v>
      </c>
      <c r="H1937" s="195">
        <f t="shared" si="30"/>
        <v>161.82</v>
      </c>
      <c r="I1937" s="212" t="s">
        <v>2354</v>
      </c>
    </row>
    <row r="1938" spans="1:9" x14ac:dyDescent="0.25">
      <c r="A1938" s="193" t="s">
        <v>220</v>
      </c>
      <c r="B1938" s="193" t="s">
        <v>2351</v>
      </c>
      <c r="C1938" s="214" t="s">
        <v>4111</v>
      </c>
      <c r="D1938" s="193" t="s">
        <v>4112</v>
      </c>
      <c r="E1938" s="212" t="s">
        <v>545</v>
      </c>
      <c r="F1938" s="215">
        <v>1</v>
      </c>
      <c r="G1938" s="194">
        <v>0</v>
      </c>
      <c r="H1938" s="195">
        <f t="shared" si="30"/>
        <v>0</v>
      </c>
      <c r="I1938" s="212" t="s">
        <v>2354</v>
      </c>
    </row>
    <row r="1939" spans="1:9" x14ac:dyDescent="0.25">
      <c r="A1939" s="193" t="s">
        <v>220</v>
      </c>
      <c r="B1939" s="193" t="s">
        <v>2351</v>
      </c>
      <c r="C1939" s="214" t="s">
        <v>4113</v>
      </c>
      <c r="D1939" s="193" t="s">
        <v>4114</v>
      </c>
      <c r="E1939" s="212" t="s">
        <v>545</v>
      </c>
      <c r="F1939" s="215">
        <v>1</v>
      </c>
      <c r="G1939" s="194">
        <v>0</v>
      </c>
      <c r="H1939" s="195">
        <f t="shared" si="30"/>
        <v>0</v>
      </c>
      <c r="I1939" s="212" t="s">
        <v>2354</v>
      </c>
    </row>
    <row r="1940" spans="1:9" x14ac:dyDescent="0.25">
      <c r="A1940" s="193" t="s">
        <v>220</v>
      </c>
      <c r="B1940" s="193" t="s">
        <v>2351</v>
      </c>
      <c r="C1940" s="214" t="s">
        <v>4115</v>
      </c>
      <c r="D1940" s="193" t="s">
        <v>4116</v>
      </c>
      <c r="E1940" s="212" t="s">
        <v>545</v>
      </c>
      <c r="F1940" s="215">
        <v>2</v>
      </c>
      <c r="G1940" s="194">
        <v>273.79950000000002</v>
      </c>
      <c r="H1940" s="195">
        <f t="shared" si="30"/>
        <v>547.59900000000005</v>
      </c>
      <c r="I1940" s="212" t="s">
        <v>2354</v>
      </c>
    </row>
    <row r="1941" spans="1:9" x14ac:dyDescent="0.25">
      <c r="A1941" s="193" t="s">
        <v>220</v>
      </c>
      <c r="B1941" s="193" t="s">
        <v>2351</v>
      </c>
      <c r="C1941" s="214" t="s">
        <v>4117</v>
      </c>
      <c r="D1941" s="193" t="s">
        <v>4118</v>
      </c>
      <c r="E1941" s="212" t="s">
        <v>545</v>
      </c>
      <c r="F1941" s="215">
        <v>1</v>
      </c>
      <c r="G1941" s="194">
        <v>439.7835</v>
      </c>
      <c r="H1941" s="195">
        <f t="shared" si="30"/>
        <v>439.7835</v>
      </c>
      <c r="I1941" s="212" t="s">
        <v>2354</v>
      </c>
    </row>
    <row r="1942" spans="1:9" x14ac:dyDescent="0.25">
      <c r="A1942" s="193" t="s">
        <v>220</v>
      </c>
      <c r="B1942" s="193" t="s">
        <v>2351</v>
      </c>
      <c r="C1942" s="214" t="s">
        <v>4119</v>
      </c>
      <c r="D1942" s="193" t="s">
        <v>4120</v>
      </c>
      <c r="E1942" s="212" t="s">
        <v>545</v>
      </c>
      <c r="F1942" s="215">
        <v>1</v>
      </c>
      <c r="G1942" s="194">
        <v>656.72973000000002</v>
      </c>
      <c r="H1942" s="195">
        <f t="shared" si="30"/>
        <v>656.72973000000002</v>
      </c>
      <c r="I1942" s="212" t="s">
        <v>2354</v>
      </c>
    </row>
    <row r="1943" spans="1:9" x14ac:dyDescent="0.25">
      <c r="A1943" s="193" t="s">
        <v>220</v>
      </c>
      <c r="B1943" s="193" t="s">
        <v>2351</v>
      </c>
      <c r="C1943" s="214" t="s">
        <v>4121</v>
      </c>
      <c r="D1943" s="193" t="s">
        <v>4122</v>
      </c>
      <c r="E1943" s="212" t="s">
        <v>545</v>
      </c>
      <c r="F1943" s="215">
        <v>1</v>
      </c>
      <c r="G1943" s="194">
        <v>137.33535000000001</v>
      </c>
      <c r="H1943" s="195">
        <f t="shared" si="30"/>
        <v>137.33535000000001</v>
      </c>
      <c r="I1943" s="212" t="s">
        <v>2354</v>
      </c>
    </row>
    <row r="1944" spans="1:9" x14ac:dyDescent="0.25">
      <c r="A1944" s="193" t="s">
        <v>220</v>
      </c>
      <c r="B1944" s="193" t="s">
        <v>2351</v>
      </c>
      <c r="C1944" s="214" t="s">
        <v>4123</v>
      </c>
      <c r="D1944" s="193" t="s">
        <v>4124</v>
      </c>
      <c r="E1944" s="212" t="s">
        <v>545</v>
      </c>
      <c r="F1944" s="215">
        <v>1</v>
      </c>
      <c r="G1944" s="194">
        <v>204.05269999999999</v>
      </c>
      <c r="H1944" s="195">
        <f t="shared" si="30"/>
        <v>204.05269999999999</v>
      </c>
      <c r="I1944" s="212" t="s">
        <v>2354</v>
      </c>
    </row>
    <row r="1945" spans="1:9" x14ac:dyDescent="0.25">
      <c r="A1945" s="193" t="s">
        <v>220</v>
      </c>
      <c r="B1945" s="193" t="s">
        <v>2351</v>
      </c>
      <c r="C1945" s="214" t="s">
        <v>4125</v>
      </c>
      <c r="D1945" s="193" t="s">
        <v>4126</v>
      </c>
      <c r="E1945" s="212" t="s">
        <v>545</v>
      </c>
      <c r="F1945" s="215">
        <v>1</v>
      </c>
      <c r="G1945" s="194">
        <v>0</v>
      </c>
      <c r="H1945" s="195">
        <f t="shared" si="30"/>
        <v>0</v>
      </c>
      <c r="I1945" s="212" t="s">
        <v>2354</v>
      </c>
    </row>
    <row r="1946" spans="1:9" x14ac:dyDescent="0.25">
      <c r="A1946" s="193" t="s">
        <v>220</v>
      </c>
      <c r="B1946" s="193" t="s">
        <v>2351</v>
      </c>
      <c r="C1946" s="214" t="s">
        <v>4127</v>
      </c>
      <c r="D1946" s="193" t="s">
        <v>4128</v>
      </c>
      <c r="E1946" s="212" t="s">
        <v>545</v>
      </c>
      <c r="F1946" s="215">
        <v>0</v>
      </c>
      <c r="G1946" s="194">
        <v>1050</v>
      </c>
      <c r="H1946" s="195">
        <f t="shared" si="30"/>
        <v>0</v>
      </c>
      <c r="I1946" s="212" t="s">
        <v>2354</v>
      </c>
    </row>
    <row r="1947" spans="1:9" x14ac:dyDescent="0.25">
      <c r="A1947" s="193" t="s">
        <v>220</v>
      </c>
      <c r="B1947" s="193" t="s">
        <v>2351</v>
      </c>
      <c r="C1947" s="214" t="s">
        <v>4129</v>
      </c>
      <c r="D1947" s="193" t="s">
        <v>4130</v>
      </c>
      <c r="E1947" s="212" t="s">
        <v>545</v>
      </c>
      <c r="F1947" s="215">
        <v>1</v>
      </c>
      <c r="G1947" s="194">
        <v>152.15</v>
      </c>
      <c r="H1947" s="195">
        <f t="shared" si="30"/>
        <v>152.15</v>
      </c>
      <c r="I1947" s="212" t="s">
        <v>2354</v>
      </c>
    </row>
    <row r="1948" spans="1:9" x14ac:dyDescent="0.25">
      <c r="A1948" s="193" t="s">
        <v>220</v>
      </c>
      <c r="B1948" s="193" t="s">
        <v>2351</v>
      </c>
      <c r="C1948" s="214" t="s">
        <v>4131</v>
      </c>
      <c r="D1948" s="193" t="s">
        <v>4132</v>
      </c>
      <c r="E1948" s="212" t="s">
        <v>545</v>
      </c>
      <c r="F1948" s="215">
        <v>1</v>
      </c>
      <c r="G1948" s="194">
        <v>45.05</v>
      </c>
      <c r="H1948" s="195">
        <f t="shared" si="30"/>
        <v>45.05</v>
      </c>
      <c r="I1948" s="212" t="s">
        <v>2354</v>
      </c>
    </row>
    <row r="1949" spans="1:9" x14ac:dyDescent="0.25">
      <c r="A1949" s="193" t="s">
        <v>220</v>
      </c>
      <c r="B1949" s="193" t="s">
        <v>2351</v>
      </c>
      <c r="C1949" s="214" t="s">
        <v>4133</v>
      </c>
      <c r="D1949" s="193" t="s">
        <v>4134</v>
      </c>
      <c r="E1949" s="212" t="s">
        <v>545</v>
      </c>
      <c r="F1949" s="215">
        <v>3</v>
      </c>
      <c r="G1949" s="194">
        <v>125.46</v>
      </c>
      <c r="H1949" s="195">
        <f t="shared" si="30"/>
        <v>376.38</v>
      </c>
      <c r="I1949" s="212" t="s">
        <v>2354</v>
      </c>
    </row>
    <row r="1950" spans="1:9" x14ac:dyDescent="0.25">
      <c r="A1950" s="193" t="s">
        <v>220</v>
      </c>
      <c r="B1950" s="193" t="s">
        <v>2351</v>
      </c>
      <c r="C1950" s="214" t="s">
        <v>4135</v>
      </c>
      <c r="D1950" s="193" t="s">
        <v>4136</v>
      </c>
      <c r="E1950" s="212" t="s">
        <v>545</v>
      </c>
      <c r="F1950" s="215">
        <v>14</v>
      </c>
      <c r="G1950" s="194">
        <v>0.92300000000000004</v>
      </c>
      <c r="H1950" s="195">
        <f t="shared" si="30"/>
        <v>12.922000000000001</v>
      </c>
      <c r="I1950" s="212" t="s">
        <v>2354</v>
      </c>
    </row>
    <row r="1951" spans="1:9" x14ac:dyDescent="0.25">
      <c r="A1951" s="193" t="s">
        <v>220</v>
      </c>
      <c r="B1951" s="193" t="s">
        <v>2351</v>
      </c>
      <c r="C1951" s="214" t="s">
        <v>4137</v>
      </c>
      <c r="D1951" s="193" t="s">
        <v>4138</v>
      </c>
      <c r="E1951" s="212" t="s">
        <v>545</v>
      </c>
      <c r="F1951" s="215">
        <v>25</v>
      </c>
      <c r="G1951" s="194">
        <v>0.96711999999999987</v>
      </c>
      <c r="H1951" s="195">
        <f t="shared" si="30"/>
        <v>24.177999999999997</v>
      </c>
      <c r="I1951" s="212" t="s">
        <v>2354</v>
      </c>
    </row>
    <row r="1952" spans="1:9" x14ac:dyDescent="0.25">
      <c r="A1952" s="193" t="s">
        <v>220</v>
      </c>
      <c r="B1952" s="193" t="s">
        <v>2351</v>
      </c>
      <c r="C1952" s="214" t="s">
        <v>4139</v>
      </c>
      <c r="D1952" s="193" t="s">
        <v>4140</v>
      </c>
      <c r="E1952" s="212" t="s">
        <v>545</v>
      </c>
      <c r="F1952" s="215">
        <v>17</v>
      </c>
      <c r="G1952" s="194">
        <v>1.4933333333333334</v>
      </c>
      <c r="H1952" s="195">
        <f t="shared" si="30"/>
        <v>25.386666666666667</v>
      </c>
      <c r="I1952" s="212" t="s">
        <v>2354</v>
      </c>
    </row>
    <row r="1953" spans="1:9" x14ac:dyDescent="0.25">
      <c r="A1953" s="193" t="s">
        <v>220</v>
      </c>
      <c r="B1953" s="193" t="s">
        <v>2351</v>
      </c>
      <c r="C1953" s="214" t="s">
        <v>4141</v>
      </c>
      <c r="D1953" s="193" t="s">
        <v>4142</v>
      </c>
      <c r="E1953" s="212" t="s">
        <v>545</v>
      </c>
      <c r="F1953" s="215">
        <v>18</v>
      </c>
      <c r="G1953" s="194">
        <v>0.47970000000000007</v>
      </c>
      <c r="H1953" s="195">
        <f t="shared" si="30"/>
        <v>8.6346000000000007</v>
      </c>
      <c r="I1953" s="212" t="s">
        <v>2354</v>
      </c>
    </row>
    <row r="1954" spans="1:9" x14ac:dyDescent="0.25">
      <c r="A1954" s="193" t="s">
        <v>220</v>
      </c>
      <c r="B1954" s="193" t="s">
        <v>2351</v>
      </c>
      <c r="C1954" s="214" t="s">
        <v>4143</v>
      </c>
      <c r="D1954" s="193" t="s">
        <v>4144</v>
      </c>
      <c r="E1954" s="212" t="s">
        <v>545</v>
      </c>
      <c r="F1954" s="215">
        <v>23</v>
      </c>
      <c r="G1954" s="194">
        <v>5</v>
      </c>
      <c r="H1954" s="195">
        <f t="shared" si="30"/>
        <v>115</v>
      </c>
      <c r="I1954" s="212" t="s">
        <v>2354</v>
      </c>
    </row>
    <row r="1955" spans="1:9" x14ac:dyDescent="0.25">
      <c r="A1955" s="193" t="s">
        <v>220</v>
      </c>
      <c r="B1955" s="193" t="s">
        <v>2351</v>
      </c>
      <c r="C1955" s="214" t="s">
        <v>4145</v>
      </c>
      <c r="D1955" s="193" t="s">
        <v>4146</v>
      </c>
      <c r="E1955" s="212" t="s">
        <v>545</v>
      </c>
      <c r="F1955" s="215">
        <v>28</v>
      </c>
      <c r="G1955" s="194">
        <v>0.26371428571428573</v>
      </c>
      <c r="H1955" s="195">
        <f t="shared" si="30"/>
        <v>7.3840000000000003</v>
      </c>
      <c r="I1955" s="212" t="s">
        <v>2354</v>
      </c>
    </row>
    <row r="1956" spans="1:9" x14ac:dyDescent="0.25">
      <c r="A1956" s="193" t="s">
        <v>220</v>
      </c>
      <c r="B1956" s="193" t="s">
        <v>2351</v>
      </c>
      <c r="C1956" s="214" t="s">
        <v>4147</v>
      </c>
      <c r="D1956" s="193" t="s">
        <v>4148</v>
      </c>
      <c r="E1956" s="212" t="s">
        <v>545</v>
      </c>
      <c r="F1956" s="215">
        <v>33</v>
      </c>
      <c r="G1956" s="194">
        <v>1.067278911564626</v>
      </c>
      <c r="H1956" s="195">
        <f t="shared" si="30"/>
        <v>35.220204081632659</v>
      </c>
      <c r="I1956" s="212" t="s">
        <v>2354</v>
      </c>
    </row>
    <row r="1957" spans="1:9" x14ac:dyDescent="0.25">
      <c r="A1957" s="193" t="s">
        <v>220</v>
      </c>
      <c r="B1957" s="193" t="s">
        <v>2351</v>
      </c>
      <c r="C1957" s="214" t="s">
        <v>4149</v>
      </c>
      <c r="D1957" s="193" t="s">
        <v>4150</v>
      </c>
      <c r="E1957" s="212" t="s">
        <v>545</v>
      </c>
      <c r="F1957" s="215">
        <v>24</v>
      </c>
      <c r="G1957" s="194">
        <v>1.116077922077922</v>
      </c>
      <c r="H1957" s="195">
        <f t="shared" si="30"/>
        <v>26.785870129870126</v>
      </c>
      <c r="I1957" s="212" t="s">
        <v>2354</v>
      </c>
    </row>
    <row r="1958" spans="1:9" x14ac:dyDescent="0.25">
      <c r="A1958" s="193" t="s">
        <v>220</v>
      </c>
      <c r="B1958" s="193" t="s">
        <v>2351</v>
      </c>
      <c r="C1958" s="214" t="s">
        <v>4151</v>
      </c>
      <c r="D1958" s="193" t="s">
        <v>4152</v>
      </c>
      <c r="E1958" s="212" t="s">
        <v>545</v>
      </c>
      <c r="F1958" s="215">
        <v>58</v>
      </c>
      <c r="G1958" s="194">
        <v>1.72</v>
      </c>
      <c r="H1958" s="195">
        <f t="shared" si="30"/>
        <v>99.76</v>
      </c>
      <c r="I1958" s="212" t="s">
        <v>2354</v>
      </c>
    </row>
    <row r="1959" spans="1:9" x14ac:dyDescent="0.25">
      <c r="A1959" s="193" t="s">
        <v>220</v>
      </c>
      <c r="B1959" s="193" t="s">
        <v>2351</v>
      </c>
      <c r="C1959" s="214" t="s">
        <v>4153</v>
      </c>
      <c r="D1959" s="193" t="s">
        <v>4154</v>
      </c>
      <c r="E1959" s="212" t="s">
        <v>545</v>
      </c>
      <c r="F1959" s="215">
        <v>3</v>
      </c>
      <c r="G1959" s="194">
        <v>15.270860000000003</v>
      </c>
      <c r="H1959" s="195">
        <f t="shared" si="30"/>
        <v>45.812580000000011</v>
      </c>
      <c r="I1959" s="212" t="s">
        <v>2354</v>
      </c>
    </row>
    <row r="1960" spans="1:9" x14ac:dyDescent="0.25">
      <c r="A1960" s="193" t="s">
        <v>220</v>
      </c>
      <c r="B1960" s="193" t="s">
        <v>2351</v>
      </c>
      <c r="C1960" s="214" t="s">
        <v>4155</v>
      </c>
      <c r="D1960" s="193" t="s">
        <v>4156</v>
      </c>
      <c r="E1960" s="212" t="s">
        <v>545</v>
      </c>
      <c r="F1960" s="215">
        <v>15</v>
      </c>
      <c r="G1960" s="194">
        <v>1.2300627272727274</v>
      </c>
      <c r="H1960" s="195">
        <f t="shared" si="30"/>
        <v>18.45094090909091</v>
      </c>
      <c r="I1960" s="212" t="s">
        <v>2354</v>
      </c>
    </row>
    <row r="1961" spans="1:9" x14ac:dyDescent="0.25">
      <c r="A1961" s="193" t="s">
        <v>220</v>
      </c>
      <c r="B1961" s="193" t="s">
        <v>2351</v>
      </c>
      <c r="C1961" s="214" t="s">
        <v>4157</v>
      </c>
      <c r="D1961" s="193" t="s">
        <v>4158</v>
      </c>
      <c r="E1961" s="212" t="s">
        <v>545</v>
      </c>
      <c r="F1961" s="215">
        <v>9</v>
      </c>
      <c r="G1961" s="194">
        <v>1.69939</v>
      </c>
      <c r="H1961" s="195">
        <f t="shared" si="30"/>
        <v>15.294509999999999</v>
      </c>
      <c r="I1961" s="212" t="s">
        <v>2354</v>
      </c>
    </row>
    <row r="1962" spans="1:9" x14ac:dyDescent="0.25">
      <c r="A1962" s="193" t="s">
        <v>220</v>
      </c>
      <c r="B1962" s="193" t="s">
        <v>2351</v>
      </c>
      <c r="C1962" s="214" t="s">
        <v>4159</v>
      </c>
      <c r="D1962" s="193" t="s">
        <v>4160</v>
      </c>
      <c r="E1962" s="212" t="s">
        <v>545</v>
      </c>
      <c r="F1962" s="215">
        <v>32</v>
      </c>
      <c r="G1962" s="194">
        <v>0.24224999999999997</v>
      </c>
      <c r="H1962" s="195">
        <f t="shared" si="30"/>
        <v>7.7519999999999989</v>
      </c>
      <c r="I1962" s="212" t="s">
        <v>2354</v>
      </c>
    </row>
    <row r="1963" spans="1:9" x14ac:dyDescent="0.25">
      <c r="A1963" s="193" t="s">
        <v>220</v>
      </c>
      <c r="B1963" s="193" t="s">
        <v>2351</v>
      </c>
      <c r="C1963" s="214" t="s">
        <v>4161</v>
      </c>
      <c r="D1963" s="193" t="s">
        <v>4162</v>
      </c>
      <c r="E1963" s="212" t="s">
        <v>545</v>
      </c>
      <c r="F1963" s="215">
        <v>16</v>
      </c>
      <c r="G1963" s="194">
        <v>1.0888</v>
      </c>
      <c r="H1963" s="195">
        <f t="shared" si="30"/>
        <v>17.4208</v>
      </c>
      <c r="I1963" s="212" t="s">
        <v>2354</v>
      </c>
    </row>
    <row r="1964" spans="1:9" x14ac:dyDescent="0.25">
      <c r="A1964" s="193" t="s">
        <v>220</v>
      </c>
      <c r="B1964" s="193" t="s">
        <v>2351</v>
      </c>
      <c r="C1964" s="214" t="s">
        <v>4163</v>
      </c>
      <c r="D1964" s="193" t="s">
        <v>4164</v>
      </c>
      <c r="E1964" s="212" t="s">
        <v>545</v>
      </c>
      <c r="F1964" s="215">
        <v>2</v>
      </c>
      <c r="G1964" s="194">
        <v>50.750999999999998</v>
      </c>
      <c r="H1964" s="195">
        <f t="shared" si="30"/>
        <v>101.502</v>
      </c>
      <c r="I1964" s="212" t="s">
        <v>2354</v>
      </c>
    </row>
    <row r="1965" spans="1:9" x14ac:dyDescent="0.25">
      <c r="A1965" s="193" t="s">
        <v>220</v>
      </c>
      <c r="B1965" s="193" t="s">
        <v>2351</v>
      </c>
      <c r="C1965" s="214" t="s">
        <v>4165</v>
      </c>
      <c r="D1965" s="193" t="s">
        <v>4166</v>
      </c>
      <c r="E1965" s="212" t="s">
        <v>545</v>
      </c>
      <c r="F1965" s="215">
        <v>1</v>
      </c>
      <c r="G1965" s="194">
        <v>77.048000000000002</v>
      </c>
      <c r="H1965" s="195">
        <f t="shared" si="30"/>
        <v>77.048000000000002</v>
      </c>
      <c r="I1965" s="212" t="s">
        <v>2354</v>
      </c>
    </row>
    <row r="1966" spans="1:9" x14ac:dyDescent="0.25">
      <c r="A1966" s="193" t="s">
        <v>220</v>
      </c>
      <c r="B1966" s="193" t="s">
        <v>2351</v>
      </c>
      <c r="C1966" s="214" t="s">
        <v>4167</v>
      </c>
      <c r="D1966" s="193" t="s">
        <v>4168</v>
      </c>
      <c r="E1966" s="212" t="s">
        <v>545</v>
      </c>
      <c r="F1966" s="215">
        <v>4</v>
      </c>
      <c r="G1966" s="194">
        <v>83.283000000000001</v>
      </c>
      <c r="H1966" s="195">
        <f t="shared" si="30"/>
        <v>333.13200000000001</v>
      </c>
      <c r="I1966" s="212" t="s">
        <v>2354</v>
      </c>
    </row>
    <row r="1967" spans="1:9" x14ac:dyDescent="0.25">
      <c r="A1967" s="193" t="s">
        <v>220</v>
      </c>
      <c r="B1967" s="193" t="s">
        <v>2351</v>
      </c>
      <c r="C1967" s="214" t="s">
        <v>4169</v>
      </c>
      <c r="D1967" s="193" t="s">
        <v>4170</v>
      </c>
      <c r="E1967" s="212" t="s">
        <v>545</v>
      </c>
      <c r="F1967" s="215">
        <v>14</v>
      </c>
      <c r="G1967" s="194">
        <v>2.2328999999999999</v>
      </c>
      <c r="H1967" s="195">
        <f t="shared" si="30"/>
        <v>31.260599999999997</v>
      </c>
      <c r="I1967" s="212" t="s">
        <v>2354</v>
      </c>
    </row>
    <row r="1968" spans="1:9" x14ac:dyDescent="0.25">
      <c r="A1968" s="193" t="s">
        <v>220</v>
      </c>
      <c r="B1968" s="193" t="s">
        <v>2351</v>
      </c>
      <c r="C1968" s="214" t="s">
        <v>4171</v>
      </c>
      <c r="D1968" s="193" t="s">
        <v>4172</v>
      </c>
      <c r="E1968" s="212" t="s">
        <v>545</v>
      </c>
      <c r="F1968" s="215">
        <v>1</v>
      </c>
      <c r="G1968" s="194">
        <v>0</v>
      </c>
      <c r="H1968" s="195">
        <f t="shared" si="30"/>
        <v>0</v>
      </c>
      <c r="I1968" s="212" t="s">
        <v>2354</v>
      </c>
    </row>
    <row r="1969" spans="1:9" x14ac:dyDescent="0.25">
      <c r="A1969" s="193" t="s">
        <v>220</v>
      </c>
      <c r="B1969" s="193" t="s">
        <v>2351</v>
      </c>
      <c r="C1969" s="214" t="s">
        <v>4173</v>
      </c>
      <c r="D1969" s="193" t="s">
        <v>4174</v>
      </c>
      <c r="E1969" s="212" t="s">
        <v>545</v>
      </c>
      <c r="F1969" s="215">
        <v>4</v>
      </c>
      <c r="G1969" s="194">
        <v>13</v>
      </c>
      <c r="H1969" s="195">
        <f t="shared" si="30"/>
        <v>52</v>
      </c>
      <c r="I1969" s="212" t="s">
        <v>2354</v>
      </c>
    </row>
    <row r="1970" spans="1:9" x14ac:dyDescent="0.25">
      <c r="A1970" s="193" t="s">
        <v>220</v>
      </c>
      <c r="B1970" s="193" t="s">
        <v>2351</v>
      </c>
      <c r="C1970" s="214" t="s">
        <v>4175</v>
      </c>
      <c r="D1970" s="193" t="s">
        <v>4176</v>
      </c>
      <c r="E1970" s="212" t="s">
        <v>545</v>
      </c>
      <c r="F1970" s="215">
        <v>9</v>
      </c>
      <c r="G1970" s="194">
        <v>1.9125000000000001</v>
      </c>
      <c r="H1970" s="195">
        <f t="shared" si="30"/>
        <v>17.212500000000002</v>
      </c>
      <c r="I1970" s="212" t="s">
        <v>2354</v>
      </c>
    </row>
    <row r="1971" spans="1:9" x14ac:dyDescent="0.25">
      <c r="A1971" s="193" t="s">
        <v>220</v>
      </c>
      <c r="B1971" s="193" t="s">
        <v>2351</v>
      </c>
      <c r="C1971" s="214" t="s">
        <v>4177</v>
      </c>
      <c r="D1971" s="193" t="s">
        <v>4178</v>
      </c>
      <c r="E1971" s="212" t="s">
        <v>545</v>
      </c>
      <c r="F1971" s="215">
        <v>2</v>
      </c>
      <c r="G1971" s="194">
        <v>9.6</v>
      </c>
      <c r="H1971" s="195">
        <f t="shared" si="30"/>
        <v>19.2</v>
      </c>
      <c r="I1971" s="212" t="s">
        <v>2354</v>
      </c>
    </row>
    <row r="1972" spans="1:9" x14ac:dyDescent="0.25">
      <c r="A1972" s="193" t="s">
        <v>220</v>
      </c>
      <c r="B1972" s="193" t="s">
        <v>2351</v>
      </c>
      <c r="C1972" s="214" t="s">
        <v>4179</v>
      </c>
      <c r="D1972" s="193" t="s">
        <v>4180</v>
      </c>
      <c r="E1972" s="212" t="s">
        <v>545</v>
      </c>
      <c r="F1972" s="215">
        <v>14</v>
      </c>
      <c r="G1972" s="194">
        <v>0.2475</v>
      </c>
      <c r="H1972" s="195">
        <f t="shared" si="30"/>
        <v>3.4649999999999999</v>
      </c>
      <c r="I1972" s="212" t="s">
        <v>2354</v>
      </c>
    </row>
    <row r="1973" spans="1:9" x14ac:dyDescent="0.25">
      <c r="A1973" s="193" t="s">
        <v>220</v>
      </c>
      <c r="B1973" s="193" t="s">
        <v>2351</v>
      </c>
      <c r="C1973" s="214" t="s">
        <v>4181</v>
      </c>
      <c r="D1973" s="193" t="s">
        <v>4182</v>
      </c>
      <c r="E1973" s="212" t="s">
        <v>545</v>
      </c>
      <c r="F1973" s="215">
        <v>34</v>
      </c>
      <c r="G1973" s="194">
        <v>0.5214545454545455</v>
      </c>
      <c r="H1973" s="195">
        <f t="shared" si="30"/>
        <v>17.729454545454548</v>
      </c>
      <c r="I1973" s="212" t="s">
        <v>2354</v>
      </c>
    </row>
    <row r="1974" spans="1:9" x14ac:dyDescent="0.25">
      <c r="A1974" s="193" t="s">
        <v>220</v>
      </c>
      <c r="B1974" s="193" t="s">
        <v>2351</v>
      </c>
      <c r="C1974" s="214" t="s">
        <v>4183</v>
      </c>
      <c r="D1974" s="193" t="s">
        <v>4184</v>
      </c>
      <c r="E1974" s="212" t="s">
        <v>545</v>
      </c>
      <c r="F1974" s="215">
        <v>30</v>
      </c>
      <c r="G1974" s="194">
        <v>1.0245283018867923</v>
      </c>
      <c r="H1974" s="195">
        <f t="shared" si="30"/>
        <v>30.735849056603769</v>
      </c>
      <c r="I1974" s="212" t="s">
        <v>2354</v>
      </c>
    </row>
    <row r="1975" spans="1:9" x14ac:dyDescent="0.25">
      <c r="A1975" s="193" t="s">
        <v>220</v>
      </c>
      <c r="B1975" s="193" t="s">
        <v>2351</v>
      </c>
      <c r="C1975" s="214" t="s">
        <v>4185</v>
      </c>
      <c r="D1975" s="193" t="s">
        <v>4186</v>
      </c>
      <c r="E1975" s="212" t="s">
        <v>545</v>
      </c>
      <c r="F1975" s="215">
        <v>6</v>
      </c>
      <c r="G1975" s="194">
        <v>0.63749999999999996</v>
      </c>
      <c r="H1975" s="195">
        <f t="shared" si="30"/>
        <v>3.8249999999999997</v>
      </c>
      <c r="I1975" s="212" t="s">
        <v>2354</v>
      </c>
    </row>
    <row r="1976" spans="1:9" x14ac:dyDescent="0.25">
      <c r="A1976" s="193" t="s">
        <v>220</v>
      </c>
      <c r="B1976" s="193" t="s">
        <v>2351</v>
      </c>
      <c r="C1976" s="214" t="s">
        <v>4187</v>
      </c>
      <c r="D1976" s="193" t="s">
        <v>4188</v>
      </c>
      <c r="E1976" s="212" t="s">
        <v>545</v>
      </c>
      <c r="F1976" s="215">
        <v>6</v>
      </c>
      <c r="G1976" s="194">
        <v>0.52025434782608682</v>
      </c>
      <c r="H1976" s="195">
        <f t="shared" si="30"/>
        <v>3.1215260869565209</v>
      </c>
      <c r="I1976" s="212" t="s">
        <v>2354</v>
      </c>
    </row>
    <row r="1977" spans="1:9" x14ac:dyDescent="0.25">
      <c r="A1977" s="193" t="s">
        <v>220</v>
      </c>
      <c r="B1977" s="193" t="s">
        <v>2351</v>
      </c>
      <c r="C1977" s="214" t="s">
        <v>4189</v>
      </c>
      <c r="D1977" s="193" t="s">
        <v>4190</v>
      </c>
      <c r="E1977" s="212" t="s">
        <v>545</v>
      </c>
      <c r="F1977" s="215">
        <v>16</v>
      </c>
      <c r="G1977" s="194">
        <v>0.184</v>
      </c>
      <c r="H1977" s="195">
        <f t="shared" si="30"/>
        <v>2.944</v>
      </c>
      <c r="I1977" s="212" t="s">
        <v>2354</v>
      </c>
    </row>
    <row r="1978" spans="1:9" x14ac:dyDescent="0.25">
      <c r="A1978" s="193" t="s">
        <v>220</v>
      </c>
      <c r="B1978" s="193" t="s">
        <v>2351</v>
      </c>
      <c r="C1978" s="214" t="s">
        <v>4191</v>
      </c>
      <c r="D1978" s="193" t="s">
        <v>4192</v>
      </c>
      <c r="E1978" s="212" t="s">
        <v>545</v>
      </c>
      <c r="F1978" s="215">
        <v>16</v>
      </c>
      <c r="G1978" s="194">
        <v>0.42415254237288136</v>
      </c>
      <c r="H1978" s="195">
        <f t="shared" si="30"/>
        <v>6.7864406779661017</v>
      </c>
      <c r="I1978" s="212" t="s">
        <v>2354</v>
      </c>
    </row>
    <row r="1979" spans="1:9" x14ac:dyDescent="0.25">
      <c r="A1979" s="193" t="s">
        <v>220</v>
      </c>
      <c r="B1979" s="193" t="s">
        <v>2351</v>
      </c>
      <c r="C1979" s="214" t="s">
        <v>4193</v>
      </c>
      <c r="D1979" s="193" t="s">
        <v>4194</v>
      </c>
      <c r="E1979" s="212" t="s">
        <v>2387</v>
      </c>
      <c r="F1979" s="215">
        <v>15</v>
      </c>
      <c r="G1979" s="194">
        <v>20.988800000000001</v>
      </c>
      <c r="H1979" s="195">
        <f t="shared" si="30"/>
        <v>314.83199999999999</v>
      </c>
      <c r="I1979" s="212" t="s">
        <v>2354</v>
      </c>
    </row>
    <row r="1980" spans="1:9" x14ac:dyDescent="0.25">
      <c r="A1980" s="193" t="s">
        <v>220</v>
      </c>
      <c r="B1980" s="193" t="s">
        <v>2351</v>
      </c>
      <c r="C1980" s="214" t="s">
        <v>4195</v>
      </c>
      <c r="D1980" s="193" t="s">
        <v>4196</v>
      </c>
      <c r="E1980" s="212" t="s">
        <v>2387</v>
      </c>
      <c r="F1980" s="215">
        <v>8</v>
      </c>
      <c r="G1980" s="194">
        <v>5.3904857142857141</v>
      </c>
      <c r="H1980" s="195">
        <f t="shared" si="30"/>
        <v>43.123885714285713</v>
      </c>
      <c r="I1980" s="212" t="s">
        <v>2354</v>
      </c>
    </row>
    <row r="1981" spans="1:9" x14ac:dyDescent="0.25">
      <c r="A1981" s="193" t="s">
        <v>220</v>
      </c>
      <c r="B1981" s="193" t="s">
        <v>2351</v>
      </c>
      <c r="C1981" s="214" t="s">
        <v>4197</v>
      </c>
      <c r="D1981" s="193" t="s">
        <v>4198</v>
      </c>
      <c r="E1981" s="212" t="s">
        <v>2387</v>
      </c>
      <c r="F1981" s="215">
        <v>9</v>
      </c>
      <c r="G1981" s="194">
        <v>1.2709999999999999</v>
      </c>
      <c r="H1981" s="195">
        <f t="shared" si="30"/>
        <v>11.439</v>
      </c>
      <c r="I1981" s="212" t="s">
        <v>2354</v>
      </c>
    </row>
    <row r="1982" spans="1:9" x14ac:dyDescent="0.25">
      <c r="A1982" s="193" t="s">
        <v>220</v>
      </c>
      <c r="B1982" s="193" t="s">
        <v>2351</v>
      </c>
      <c r="C1982" s="214" t="s">
        <v>4199</v>
      </c>
      <c r="D1982" s="193" t="s">
        <v>4200</v>
      </c>
      <c r="E1982" s="212" t="s">
        <v>2387</v>
      </c>
      <c r="F1982" s="215">
        <v>12</v>
      </c>
      <c r="G1982" s="194">
        <v>5.2329999999999997</v>
      </c>
      <c r="H1982" s="195">
        <f t="shared" si="30"/>
        <v>62.795999999999992</v>
      </c>
      <c r="I1982" s="212" t="s">
        <v>2354</v>
      </c>
    </row>
    <row r="1983" spans="1:9" x14ac:dyDescent="0.25">
      <c r="A1983" s="193" t="s">
        <v>220</v>
      </c>
      <c r="B1983" s="193" t="s">
        <v>2351</v>
      </c>
      <c r="C1983" s="214" t="s">
        <v>4201</v>
      </c>
      <c r="D1983" s="193" t="s">
        <v>4202</v>
      </c>
      <c r="E1983" s="212" t="s">
        <v>545</v>
      </c>
      <c r="F1983" s="215">
        <v>30</v>
      </c>
      <c r="G1983" s="194">
        <v>3.4649999999999999</v>
      </c>
      <c r="H1983" s="195">
        <f t="shared" si="30"/>
        <v>103.94999999999999</v>
      </c>
      <c r="I1983" s="212" t="s">
        <v>2354</v>
      </c>
    </row>
    <row r="1984" spans="1:9" x14ac:dyDescent="0.25">
      <c r="A1984" s="193" t="s">
        <v>220</v>
      </c>
      <c r="B1984" s="193" t="s">
        <v>2351</v>
      </c>
      <c r="C1984" s="214" t="s">
        <v>4203</v>
      </c>
      <c r="D1984" s="193" t="s">
        <v>4204</v>
      </c>
      <c r="E1984" s="212" t="s">
        <v>545</v>
      </c>
      <c r="F1984" s="215">
        <v>205</v>
      </c>
      <c r="G1984" s="194">
        <v>5.4135</v>
      </c>
      <c r="H1984" s="195">
        <f t="shared" si="30"/>
        <v>1109.7674999999999</v>
      </c>
      <c r="I1984" s="212" t="s">
        <v>2354</v>
      </c>
    </row>
    <row r="1985" spans="1:9" x14ac:dyDescent="0.25">
      <c r="A1985" s="193" t="s">
        <v>220</v>
      </c>
      <c r="B1985" s="193" t="s">
        <v>2351</v>
      </c>
      <c r="C1985" s="214" t="s">
        <v>4205</v>
      </c>
      <c r="D1985" s="193" t="s">
        <v>4206</v>
      </c>
      <c r="E1985" s="212" t="s">
        <v>545</v>
      </c>
      <c r="F1985" s="215">
        <v>2</v>
      </c>
      <c r="G1985" s="194">
        <v>2.0790000000000002</v>
      </c>
      <c r="H1985" s="195">
        <f t="shared" si="30"/>
        <v>4.1580000000000004</v>
      </c>
      <c r="I1985" s="212" t="s">
        <v>2354</v>
      </c>
    </row>
    <row r="1986" spans="1:9" x14ac:dyDescent="0.25">
      <c r="A1986" s="193" t="s">
        <v>220</v>
      </c>
      <c r="B1986" s="193" t="s">
        <v>2351</v>
      </c>
      <c r="C1986" s="214" t="s">
        <v>4207</v>
      </c>
      <c r="D1986" s="193" t="s">
        <v>4208</v>
      </c>
      <c r="E1986" s="212" t="s">
        <v>545</v>
      </c>
      <c r="F1986" s="215">
        <v>12</v>
      </c>
      <c r="G1986" s="194">
        <v>2.7423000000000002</v>
      </c>
      <c r="H1986" s="195">
        <f t="shared" si="30"/>
        <v>32.907600000000002</v>
      </c>
      <c r="I1986" s="212" t="s">
        <v>2354</v>
      </c>
    </row>
    <row r="1987" spans="1:9" x14ac:dyDescent="0.25">
      <c r="A1987" s="193" t="s">
        <v>220</v>
      </c>
      <c r="B1987" s="193" t="s">
        <v>2351</v>
      </c>
      <c r="C1987" s="214" t="s">
        <v>4209</v>
      </c>
      <c r="D1987" s="193" t="s">
        <v>4210</v>
      </c>
      <c r="E1987" s="212" t="s">
        <v>545</v>
      </c>
      <c r="F1987" s="215">
        <v>20</v>
      </c>
      <c r="G1987" s="194">
        <v>4.5233999999999996</v>
      </c>
      <c r="H1987" s="195">
        <f t="shared" si="30"/>
        <v>90.467999999999989</v>
      </c>
      <c r="I1987" s="212" t="s">
        <v>2354</v>
      </c>
    </row>
    <row r="1988" spans="1:9" x14ac:dyDescent="0.25">
      <c r="A1988" s="193" t="s">
        <v>220</v>
      </c>
      <c r="B1988" s="193" t="s">
        <v>2351</v>
      </c>
      <c r="C1988" s="214" t="s">
        <v>4211</v>
      </c>
      <c r="D1988" s="193" t="s">
        <v>4212</v>
      </c>
      <c r="E1988" s="212" t="s">
        <v>545</v>
      </c>
      <c r="F1988" s="215">
        <v>38</v>
      </c>
      <c r="G1988" s="194">
        <v>0.47260000000000002</v>
      </c>
      <c r="H1988" s="195">
        <f t="shared" si="30"/>
        <v>17.9588</v>
      </c>
      <c r="I1988" s="212" t="s">
        <v>2354</v>
      </c>
    </row>
    <row r="1989" spans="1:9" x14ac:dyDescent="0.25">
      <c r="A1989" s="193" t="s">
        <v>220</v>
      </c>
      <c r="B1989" s="193" t="s">
        <v>2351</v>
      </c>
      <c r="C1989" s="214" t="s">
        <v>4213</v>
      </c>
      <c r="D1989" s="193" t="s">
        <v>4214</v>
      </c>
      <c r="E1989" s="212" t="s">
        <v>545</v>
      </c>
      <c r="F1989" s="215">
        <v>58</v>
      </c>
      <c r="G1989" s="194">
        <v>1.1661585365853659</v>
      </c>
      <c r="H1989" s="195">
        <f t="shared" ref="H1989:H2052" si="31">+F1989*G1989</f>
        <v>67.637195121951223</v>
      </c>
      <c r="I1989" s="212" t="s">
        <v>2354</v>
      </c>
    </row>
    <row r="1990" spans="1:9" x14ac:dyDescent="0.25">
      <c r="A1990" s="193" t="s">
        <v>220</v>
      </c>
      <c r="B1990" s="193" t="s">
        <v>2351</v>
      </c>
      <c r="C1990" s="214" t="s">
        <v>4215</v>
      </c>
      <c r="D1990" s="193" t="s">
        <v>4216</v>
      </c>
      <c r="E1990" s="212" t="s">
        <v>545</v>
      </c>
      <c r="F1990" s="215">
        <v>40</v>
      </c>
      <c r="G1990" s="194">
        <v>1.0157499999999999</v>
      </c>
      <c r="H1990" s="195">
        <f t="shared" si="31"/>
        <v>40.629999999999995</v>
      </c>
      <c r="I1990" s="212" t="s">
        <v>2354</v>
      </c>
    </row>
    <row r="1991" spans="1:9" x14ac:dyDescent="0.25">
      <c r="A1991" s="193" t="s">
        <v>220</v>
      </c>
      <c r="B1991" s="193" t="s">
        <v>2351</v>
      </c>
      <c r="C1991" s="214" t="s">
        <v>4217</v>
      </c>
      <c r="D1991" s="193" t="s">
        <v>4218</v>
      </c>
      <c r="E1991" s="212" t="s">
        <v>545</v>
      </c>
      <c r="F1991" s="215">
        <v>38</v>
      </c>
      <c r="G1991" s="194">
        <v>0.28150974025974029</v>
      </c>
      <c r="H1991" s="195">
        <f t="shared" si="31"/>
        <v>10.697370129870132</v>
      </c>
      <c r="I1991" s="212" t="s">
        <v>2354</v>
      </c>
    </row>
    <row r="1992" spans="1:9" x14ac:dyDescent="0.25">
      <c r="A1992" s="193" t="s">
        <v>220</v>
      </c>
      <c r="B1992" s="193" t="s">
        <v>2351</v>
      </c>
      <c r="C1992" s="214" t="s">
        <v>4219</v>
      </c>
      <c r="D1992" s="193" t="s">
        <v>4220</v>
      </c>
      <c r="E1992" s="212" t="s">
        <v>545</v>
      </c>
      <c r="F1992" s="215">
        <v>16</v>
      </c>
      <c r="G1992" s="194">
        <v>47.956999999999994</v>
      </c>
      <c r="H1992" s="195">
        <f t="shared" si="31"/>
        <v>767.3119999999999</v>
      </c>
      <c r="I1992" s="212" t="s">
        <v>2354</v>
      </c>
    </row>
    <row r="1993" spans="1:9" x14ac:dyDescent="0.25">
      <c r="A1993" s="193" t="s">
        <v>220</v>
      </c>
      <c r="B1993" s="193" t="s">
        <v>2351</v>
      </c>
      <c r="C1993" s="214" t="s">
        <v>4221</v>
      </c>
      <c r="D1993" s="193" t="s">
        <v>4222</v>
      </c>
      <c r="E1993" s="212" t="s">
        <v>545</v>
      </c>
      <c r="F1993" s="215">
        <v>1</v>
      </c>
      <c r="G1993" s="194">
        <v>785.86199999999997</v>
      </c>
      <c r="H1993" s="195">
        <f t="shared" si="31"/>
        <v>785.86199999999997</v>
      </c>
      <c r="I1993" s="212" t="s">
        <v>2354</v>
      </c>
    </row>
    <row r="1994" spans="1:9" x14ac:dyDescent="0.25">
      <c r="A1994" s="193" t="s">
        <v>220</v>
      </c>
      <c r="B1994" s="193" t="s">
        <v>2351</v>
      </c>
      <c r="C1994" s="214" t="s">
        <v>4223</v>
      </c>
      <c r="D1994" s="193" t="s">
        <v>4224</v>
      </c>
      <c r="E1994" s="212" t="s">
        <v>545</v>
      </c>
      <c r="F1994" s="215">
        <v>4</v>
      </c>
      <c r="G1994" s="194">
        <v>277.66694999999999</v>
      </c>
      <c r="H1994" s="195">
        <f t="shared" si="31"/>
        <v>1110.6677999999999</v>
      </c>
      <c r="I1994" s="212" t="s">
        <v>2354</v>
      </c>
    </row>
    <row r="1995" spans="1:9" x14ac:dyDescent="0.25">
      <c r="A1995" s="193" t="s">
        <v>220</v>
      </c>
      <c r="B1995" s="193" t="s">
        <v>2351</v>
      </c>
      <c r="C1995" s="214" t="s">
        <v>4225</v>
      </c>
      <c r="D1995" s="193" t="s">
        <v>4226</v>
      </c>
      <c r="E1995" s="212" t="s">
        <v>545</v>
      </c>
      <c r="F1995" s="215">
        <v>3</v>
      </c>
      <c r="G1995" s="194">
        <v>261.63</v>
      </c>
      <c r="H1995" s="195">
        <f t="shared" si="31"/>
        <v>784.89</v>
      </c>
      <c r="I1995" s="212" t="s">
        <v>2354</v>
      </c>
    </row>
    <row r="1996" spans="1:9" x14ac:dyDescent="0.25">
      <c r="A1996" s="193" t="s">
        <v>220</v>
      </c>
      <c r="B1996" s="193" t="s">
        <v>2351</v>
      </c>
      <c r="C1996" s="214" t="s">
        <v>4227</v>
      </c>
      <c r="D1996" s="193" t="s">
        <v>4228</v>
      </c>
      <c r="E1996" s="212" t="s">
        <v>545</v>
      </c>
      <c r="F1996" s="215">
        <v>2</v>
      </c>
      <c r="G1996" s="194">
        <v>280</v>
      </c>
      <c r="H1996" s="195">
        <f t="shared" si="31"/>
        <v>560</v>
      </c>
      <c r="I1996" s="212" t="s">
        <v>2354</v>
      </c>
    </row>
    <row r="1997" spans="1:9" x14ac:dyDescent="0.25">
      <c r="A1997" s="193" t="s">
        <v>220</v>
      </c>
      <c r="B1997" s="193" t="s">
        <v>2351</v>
      </c>
      <c r="C1997" s="214" t="s">
        <v>4229</v>
      </c>
      <c r="D1997" s="193" t="s">
        <v>4230</v>
      </c>
      <c r="E1997" s="212" t="s">
        <v>545</v>
      </c>
      <c r="F1997" s="215">
        <v>3</v>
      </c>
      <c r="G1997" s="194">
        <v>596.73599999999999</v>
      </c>
      <c r="H1997" s="195">
        <f t="shared" si="31"/>
        <v>1790.2080000000001</v>
      </c>
      <c r="I1997" s="212" t="s">
        <v>2354</v>
      </c>
    </row>
    <row r="1998" spans="1:9" x14ac:dyDescent="0.25">
      <c r="A1998" s="193" t="s">
        <v>220</v>
      </c>
      <c r="B1998" s="193" t="s">
        <v>2351</v>
      </c>
      <c r="C1998" s="214" t="s">
        <v>4231</v>
      </c>
      <c r="D1998" s="193" t="s">
        <v>4232</v>
      </c>
      <c r="E1998" s="212" t="s">
        <v>545</v>
      </c>
      <c r="F1998" s="215">
        <v>1</v>
      </c>
      <c r="G1998" s="194">
        <v>596.73599999999999</v>
      </c>
      <c r="H1998" s="195">
        <f t="shared" si="31"/>
        <v>596.73599999999999</v>
      </c>
      <c r="I1998" s="212" t="s">
        <v>2354</v>
      </c>
    </row>
    <row r="1999" spans="1:9" x14ac:dyDescent="0.25">
      <c r="A1999" s="193" t="s">
        <v>220</v>
      </c>
      <c r="B1999" s="193" t="s">
        <v>2351</v>
      </c>
      <c r="C1999" s="214" t="s">
        <v>4233</v>
      </c>
      <c r="D1999" s="193" t="s">
        <v>4234</v>
      </c>
      <c r="E1999" s="212" t="s">
        <v>545</v>
      </c>
      <c r="F1999" s="215">
        <v>2</v>
      </c>
      <c r="G1999" s="194">
        <v>54.978000000000002</v>
      </c>
      <c r="H1999" s="195">
        <f t="shared" si="31"/>
        <v>109.956</v>
      </c>
      <c r="I1999" s="212" t="s">
        <v>2354</v>
      </c>
    </row>
    <row r="2000" spans="1:9" x14ac:dyDescent="0.25">
      <c r="A2000" s="193" t="s">
        <v>220</v>
      </c>
      <c r="B2000" s="193" t="s">
        <v>2351</v>
      </c>
      <c r="C2000" s="214" t="s">
        <v>4235</v>
      </c>
      <c r="D2000" s="193" t="s">
        <v>4236</v>
      </c>
      <c r="E2000" s="212" t="s">
        <v>2387</v>
      </c>
      <c r="F2000" s="215">
        <v>2</v>
      </c>
      <c r="G2000" s="194">
        <v>7.0107999999999997</v>
      </c>
      <c r="H2000" s="195">
        <f t="shared" si="31"/>
        <v>14.021599999999999</v>
      </c>
      <c r="I2000" s="212" t="s">
        <v>2354</v>
      </c>
    </row>
    <row r="2001" spans="1:9" x14ac:dyDescent="0.25">
      <c r="A2001" s="193" t="s">
        <v>220</v>
      </c>
      <c r="B2001" s="193" t="s">
        <v>2351</v>
      </c>
      <c r="C2001" s="214" t="s">
        <v>4237</v>
      </c>
      <c r="D2001" s="193" t="s">
        <v>4238</v>
      </c>
      <c r="E2001" s="212" t="s">
        <v>545</v>
      </c>
      <c r="F2001" s="215">
        <v>4</v>
      </c>
      <c r="G2001" s="194">
        <v>181.5617</v>
      </c>
      <c r="H2001" s="195">
        <f t="shared" si="31"/>
        <v>726.24680000000001</v>
      </c>
      <c r="I2001" s="212" t="s">
        <v>2354</v>
      </c>
    </row>
    <row r="2002" spans="1:9" x14ac:dyDescent="0.25">
      <c r="A2002" s="193" t="s">
        <v>220</v>
      </c>
      <c r="B2002" s="193" t="s">
        <v>2351</v>
      </c>
      <c r="C2002" s="214" t="s">
        <v>4239</v>
      </c>
      <c r="D2002" s="193" t="s">
        <v>4240</v>
      </c>
      <c r="E2002" s="212" t="s">
        <v>545</v>
      </c>
      <c r="F2002" s="215">
        <v>1</v>
      </c>
      <c r="G2002" s="194">
        <v>22.1464</v>
      </c>
      <c r="H2002" s="195">
        <f t="shared" si="31"/>
        <v>22.1464</v>
      </c>
      <c r="I2002" s="212" t="s">
        <v>2354</v>
      </c>
    </row>
    <row r="2003" spans="1:9" x14ac:dyDescent="0.25">
      <c r="A2003" s="193" t="s">
        <v>220</v>
      </c>
      <c r="B2003" s="193" t="s">
        <v>2351</v>
      </c>
      <c r="C2003" s="214" t="s">
        <v>4241</v>
      </c>
      <c r="D2003" s="193" t="s">
        <v>4242</v>
      </c>
      <c r="E2003" s="212" t="s">
        <v>545</v>
      </c>
      <c r="F2003" s="215">
        <v>1</v>
      </c>
      <c r="G2003" s="194">
        <v>140.69019</v>
      </c>
      <c r="H2003" s="195">
        <f t="shared" si="31"/>
        <v>140.69019</v>
      </c>
      <c r="I2003" s="212" t="s">
        <v>2354</v>
      </c>
    </row>
    <row r="2004" spans="1:9" x14ac:dyDescent="0.25">
      <c r="A2004" s="193" t="s">
        <v>220</v>
      </c>
      <c r="B2004" s="193" t="s">
        <v>2351</v>
      </c>
      <c r="C2004" s="214" t="s">
        <v>4243</v>
      </c>
      <c r="D2004" s="193" t="s">
        <v>4244</v>
      </c>
      <c r="E2004" s="212" t="s">
        <v>545</v>
      </c>
      <c r="F2004" s="215">
        <v>3</v>
      </c>
      <c r="G2004" s="194">
        <v>87.75</v>
      </c>
      <c r="H2004" s="195">
        <f t="shared" si="31"/>
        <v>263.25</v>
      </c>
      <c r="I2004" s="212" t="s">
        <v>2354</v>
      </c>
    </row>
    <row r="2005" spans="1:9" x14ac:dyDescent="0.25">
      <c r="A2005" s="193" t="s">
        <v>220</v>
      </c>
      <c r="B2005" s="193" t="s">
        <v>2351</v>
      </c>
      <c r="C2005" s="214" t="s">
        <v>4245</v>
      </c>
      <c r="D2005" s="193" t="s">
        <v>4246</v>
      </c>
      <c r="E2005" s="212" t="s">
        <v>545</v>
      </c>
      <c r="F2005" s="215">
        <v>9</v>
      </c>
      <c r="G2005" s="194">
        <v>17.094903703703704</v>
      </c>
      <c r="H2005" s="195">
        <f t="shared" si="31"/>
        <v>153.85413333333332</v>
      </c>
      <c r="I2005" s="212" t="s">
        <v>2354</v>
      </c>
    </row>
    <row r="2006" spans="1:9" x14ac:dyDescent="0.25">
      <c r="A2006" s="193" t="s">
        <v>220</v>
      </c>
      <c r="B2006" s="193" t="s">
        <v>2351</v>
      </c>
      <c r="C2006" s="214" t="s">
        <v>4247</v>
      </c>
      <c r="D2006" s="193" t="s">
        <v>4248</v>
      </c>
      <c r="E2006" s="212" t="s">
        <v>545</v>
      </c>
      <c r="F2006" s="215">
        <v>1</v>
      </c>
      <c r="G2006" s="194">
        <v>82.8</v>
      </c>
      <c r="H2006" s="195">
        <f t="shared" si="31"/>
        <v>82.8</v>
      </c>
      <c r="I2006" s="212" t="s">
        <v>2354</v>
      </c>
    </row>
    <row r="2007" spans="1:9" x14ac:dyDescent="0.25">
      <c r="A2007" s="193" t="s">
        <v>220</v>
      </c>
      <c r="B2007" s="193" t="s">
        <v>2351</v>
      </c>
      <c r="C2007" s="214" t="s">
        <v>4249</v>
      </c>
      <c r="D2007" s="193" t="s">
        <v>4250</v>
      </c>
      <c r="E2007" s="212" t="s">
        <v>545</v>
      </c>
      <c r="F2007" s="215">
        <v>2</v>
      </c>
      <c r="G2007" s="194">
        <v>76.388249999999999</v>
      </c>
      <c r="H2007" s="195">
        <f t="shared" si="31"/>
        <v>152.7765</v>
      </c>
      <c r="I2007" s="212" t="s">
        <v>2354</v>
      </c>
    </row>
    <row r="2008" spans="1:9" x14ac:dyDescent="0.25">
      <c r="A2008" s="193" t="s">
        <v>220</v>
      </c>
      <c r="B2008" s="193" t="s">
        <v>2351</v>
      </c>
      <c r="C2008" s="214" t="s">
        <v>4251</v>
      </c>
      <c r="D2008" s="193" t="s">
        <v>4252</v>
      </c>
      <c r="E2008" s="212" t="s">
        <v>545</v>
      </c>
      <c r="F2008" s="215">
        <v>12</v>
      </c>
      <c r="G2008" s="194">
        <v>10.78735</v>
      </c>
      <c r="H2008" s="195">
        <f t="shared" si="31"/>
        <v>129.44819999999999</v>
      </c>
      <c r="I2008" s="212" t="s">
        <v>2354</v>
      </c>
    </row>
    <row r="2009" spans="1:9" x14ac:dyDescent="0.25">
      <c r="A2009" s="193" t="s">
        <v>220</v>
      </c>
      <c r="B2009" s="193" t="s">
        <v>2351</v>
      </c>
      <c r="C2009" s="214" t="s">
        <v>4253</v>
      </c>
      <c r="D2009" s="193" t="s">
        <v>4254</v>
      </c>
      <c r="E2009" s="212" t="s">
        <v>545</v>
      </c>
      <c r="F2009" s="215">
        <v>5</v>
      </c>
      <c r="G2009" s="194">
        <v>10.228899999999999</v>
      </c>
      <c r="H2009" s="195">
        <f t="shared" si="31"/>
        <v>51.144499999999994</v>
      </c>
      <c r="I2009" s="212" t="s">
        <v>2354</v>
      </c>
    </row>
    <row r="2010" spans="1:9" x14ac:dyDescent="0.25">
      <c r="A2010" s="193" t="s">
        <v>220</v>
      </c>
      <c r="B2010" s="193" t="s">
        <v>2351</v>
      </c>
      <c r="C2010" s="214" t="s">
        <v>4255</v>
      </c>
      <c r="D2010" s="193" t="s">
        <v>4256</v>
      </c>
      <c r="E2010" s="212" t="s">
        <v>545</v>
      </c>
      <c r="F2010" s="215">
        <v>2</v>
      </c>
      <c r="G2010" s="194">
        <v>357.93360000000001</v>
      </c>
      <c r="H2010" s="195">
        <f t="shared" si="31"/>
        <v>715.86720000000003</v>
      </c>
      <c r="I2010" s="212" t="s">
        <v>2354</v>
      </c>
    </row>
    <row r="2011" spans="1:9" x14ac:dyDescent="0.25">
      <c r="A2011" s="193" t="s">
        <v>220</v>
      </c>
      <c r="B2011" s="193" t="s">
        <v>2351</v>
      </c>
      <c r="C2011" s="214" t="s">
        <v>4257</v>
      </c>
      <c r="D2011" s="193" t="s">
        <v>4258</v>
      </c>
      <c r="E2011" s="212" t="s">
        <v>545</v>
      </c>
      <c r="F2011" s="215">
        <v>1</v>
      </c>
      <c r="G2011" s="194">
        <v>60.252000000000002</v>
      </c>
      <c r="H2011" s="195">
        <f t="shared" si="31"/>
        <v>60.252000000000002</v>
      </c>
      <c r="I2011" s="212" t="s">
        <v>2354</v>
      </c>
    </row>
    <row r="2012" spans="1:9" x14ac:dyDescent="0.25">
      <c r="A2012" s="193" t="s">
        <v>220</v>
      </c>
      <c r="B2012" s="193" t="s">
        <v>2351</v>
      </c>
      <c r="C2012" s="214" t="s">
        <v>4259</v>
      </c>
      <c r="D2012" s="193" t="s">
        <v>4260</v>
      </c>
      <c r="E2012" s="212" t="s">
        <v>545</v>
      </c>
      <c r="F2012" s="215">
        <v>9</v>
      </c>
      <c r="G2012" s="194">
        <v>10.932</v>
      </c>
      <c r="H2012" s="195">
        <f t="shared" si="31"/>
        <v>98.388000000000005</v>
      </c>
      <c r="I2012" s="212" t="s">
        <v>2354</v>
      </c>
    </row>
    <row r="2013" spans="1:9" x14ac:dyDescent="0.25">
      <c r="A2013" s="193" t="s">
        <v>220</v>
      </c>
      <c r="B2013" s="193" t="s">
        <v>2351</v>
      </c>
      <c r="C2013" s="214" t="s">
        <v>4261</v>
      </c>
      <c r="D2013" s="193" t="s">
        <v>4262</v>
      </c>
      <c r="E2013" s="212" t="s">
        <v>545</v>
      </c>
      <c r="F2013" s="215">
        <v>2</v>
      </c>
      <c r="G2013" s="194">
        <v>90</v>
      </c>
      <c r="H2013" s="195">
        <f t="shared" si="31"/>
        <v>180</v>
      </c>
      <c r="I2013" s="212" t="s">
        <v>2354</v>
      </c>
    </row>
    <row r="2014" spans="1:9" x14ac:dyDescent="0.25">
      <c r="A2014" s="193" t="s">
        <v>220</v>
      </c>
      <c r="B2014" s="193" t="s">
        <v>2351</v>
      </c>
      <c r="C2014" s="214" t="s">
        <v>4263</v>
      </c>
      <c r="D2014" s="193" t="s">
        <v>4264</v>
      </c>
      <c r="E2014" s="212" t="s">
        <v>545</v>
      </c>
      <c r="F2014" s="215">
        <v>5</v>
      </c>
      <c r="G2014" s="194">
        <v>16.715250000000001</v>
      </c>
      <c r="H2014" s="195">
        <f t="shared" si="31"/>
        <v>83.576250000000002</v>
      </c>
      <c r="I2014" s="212" t="s">
        <v>2354</v>
      </c>
    </row>
    <row r="2015" spans="1:9" x14ac:dyDescent="0.25">
      <c r="A2015" s="193" t="s">
        <v>220</v>
      </c>
      <c r="B2015" s="193" t="s">
        <v>2351</v>
      </c>
      <c r="C2015" s="214" t="s">
        <v>4265</v>
      </c>
      <c r="D2015" s="193" t="s">
        <v>4266</v>
      </c>
      <c r="E2015" s="212" t="s">
        <v>545</v>
      </c>
      <c r="F2015" s="215">
        <v>9</v>
      </c>
      <c r="G2015" s="194">
        <v>16.091349999999998</v>
      </c>
      <c r="H2015" s="195">
        <f t="shared" si="31"/>
        <v>144.82214999999999</v>
      </c>
      <c r="I2015" s="212" t="s">
        <v>2354</v>
      </c>
    </row>
    <row r="2016" spans="1:9" x14ac:dyDescent="0.25">
      <c r="A2016" s="193" t="s">
        <v>220</v>
      </c>
      <c r="B2016" s="193" t="s">
        <v>2351</v>
      </c>
      <c r="C2016" s="214" t="s">
        <v>4267</v>
      </c>
      <c r="D2016" s="193" t="s">
        <v>4268</v>
      </c>
      <c r="E2016" s="212" t="s">
        <v>545</v>
      </c>
      <c r="F2016" s="215">
        <v>1</v>
      </c>
      <c r="G2016" s="194">
        <v>30.50395</v>
      </c>
      <c r="H2016" s="195">
        <f t="shared" si="31"/>
        <v>30.50395</v>
      </c>
      <c r="I2016" s="212" t="s">
        <v>2354</v>
      </c>
    </row>
    <row r="2017" spans="1:9" x14ac:dyDescent="0.25">
      <c r="A2017" s="193" t="s">
        <v>220</v>
      </c>
      <c r="B2017" s="193" t="s">
        <v>2351</v>
      </c>
      <c r="C2017" s="214" t="s">
        <v>4269</v>
      </c>
      <c r="D2017" s="193" t="s">
        <v>4270</v>
      </c>
      <c r="E2017" s="212" t="s">
        <v>545</v>
      </c>
      <c r="F2017" s="215">
        <v>3</v>
      </c>
      <c r="G2017" s="194">
        <v>12.166</v>
      </c>
      <c r="H2017" s="195">
        <f t="shared" si="31"/>
        <v>36.498000000000005</v>
      </c>
      <c r="I2017" s="212" t="s">
        <v>2354</v>
      </c>
    </row>
    <row r="2018" spans="1:9" x14ac:dyDescent="0.25">
      <c r="A2018" s="193" t="s">
        <v>220</v>
      </c>
      <c r="B2018" s="193" t="s">
        <v>2351</v>
      </c>
      <c r="C2018" s="214" t="s">
        <v>4271</v>
      </c>
      <c r="D2018" s="193" t="s">
        <v>4272</v>
      </c>
      <c r="E2018" s="212" t="s">
        <v>545</v>
      </c>
      <c r="F2018" s="215">
        <v>9</v>
      </c>
      <c r="G2018" s="194">
        <v>7.5906599999999997</v>
      </c>
      <c r="H2018" s="195">
        <f t="shared" si="31"/>
        <v>68.315939999999998</v>
      </c>
      <c r="I2018" s="212" t="s">
        <v>2354</v>
      </c>
    </row>
    <row r="2019" spans="1:9" x14ac:dyDescent="0.25">
      <c r="A2019" s="193" t="s">
        <v>220</v>
      </c>
      <c r="B2019" s="193" t="s">
        <v>2351</v>
      </c>
      <c r="C2019" s="214" t="s">
        <v>4273</v>
      </c>
      <c r="D2019" s="193" t="s">
        <v>4274</v>
      </c>
      <c r="E2019" s="212" t="s">
        <v>545</v>
      </c>
      <c r="F2019" s="215">
        <v>2</v>
      </c>
      <c r="G2019" s="194">
        <v>12.6</v>
      </c>
      <c r="H2019" s="195">
        <f t="shared" si="31"/>
        <v>25.2</v>
      </c>
      <c r="I2019" s="212" t="s">
        <v>2354</v>
      </c>
    </row>
    <row r="2020" spans="1:9" x14ac:dyDescent="0.25">
      <c r="A2020" s="193" t="s">
        <v>220</v>
      </c>
      <c r="B2020" s="193" t="s">
        <v>2351</v>
      </c>
      <c r="C2020" s="214" t="s">
        <v>4275</v>
      </c>
      <c r="D2020" s="193" t="s">
        <v>4276</v>
      </c>
      <c r="E2020" s="212" t="s">
        <v>545</v>
      </c>
      <c r="F2020" s="215">
        <v>3</v>
      </c>
      <c r="G2020" s="194">
        <v>85.5</v>
      </c>
      <c r="H2020" s="195">
        <f t="shared" si="31"/>
        <v>256.5</v>
      </c>
      <c r="I2020" s="212" t="s">
        <v>2354</v>
      </c>
    </row>
    <row r="2021" spans="1:9" x14ac:dyDescent="0.25">
      <c r="A2021" s="193" t="s">
        <v>220</v>
      </c>
      <c r="B2021" s="193" t="s">
        <v>2351</v>
      </c>
      <c r="C2021" s="214" t="s">
        <v>4277</v>
      </c>
      <c r="D2021" s="193" t="s">
        <v>4278</v>
      </c>
      <c r="E2021" s="212" t="s">
        <v>545</v>
      </c>
      <c r="F2021" s="215">
        <v>1</v>
      </c>
      <c r="G2021" s="194">
        <v>87.75</v>
      </c>
      <c r="H2021" s="195">
        <f t="shared" si="31"/>
        <v>87.75</v>
      </c>
      <c r="I2021" s="212" t="s">
        <v>2354</v>
      </c>
    </row>
    <row r="2022" spans="1:9" x14ac:dyDescent="0.25">
      <c r="A2022" s="193" t="s">
        <v>220</v>
      </c>
      <c r="B2022" s="193" t="s">
        <v>2351</v>
      </c>
      <c r="C2022" s="214" t="s">
        <v>4279</v>
      </c>
      <c r="D2022" s="193" t="s">
        <v>4280</v>
      </c>
      <c r="E2022" s="212" t="s">
        <v>545</v>
      </c>
      <c r="F2022" s="215">
        <v>3</v>
      </c>
      <c r="G2022" s="194">
        <v>92.377600000000001</v>
      </c>
      <c r="H2022" s="195">
        <f t="shared" si="31"/>
        <v>277.13279999999997</v>
      </c>
      <c r="I2022" s="212" t="s">
        <v>2354</v>
      </c>
    </row>
    <row r="2023" spans="1:9" x14ac:dyDescent="0.25">
      <c r="A2023" s="193" t="s">
        <v>220</v>
      </c>
      <c r="B2023" s="193" t="s">
        <v>2351</v>
      </c>
      <c r="C2023" s="214" t="s">
        <v>4281</v>
      </c>
      <c r="D2023" s="193" t="s">
        <v>4282</v>
      </c>
      <c r="E2023" s="212" t="s">
        <v>545</v>
      </c>
      <c r="F2023" s="215">
        <v>4</v>
      </c>
      <c r="G2023" s="194">
        <v>129</v>
      </c>
      <c r="H2023" s="195">
        <f t="shared" si="31"/>
        <v>516</v>
      </c>
      <c r="I2023" s="212" t="s">
        <v>2354</v>
      </c>
    </row>
    <row r="2024" spans="1:9" x14ac:dyDescent="0.25">
      <c r="A2024" s="193" t="s">
        <v>220</v>
      </c>
      <c r="B2024" s="193" t="s">
        <v>2351</v>
      </c>
      <c r="C2024" s="214" t="s">
        <v>4283</v>
      </c>
      <c r="D2024" s="193" t="s">
        <v>4284</v>
      </c>
      <c r="E2024" s="212" t="s">
        <v>545</v>
      </c>
      <c r="F2024" s="215">
        <v>2</v>
      </c>
      <c r="G2024" s="194">
        <v>108.5376</v>
      </c>
      <c r="H2024" s="195">
        <f t="shared" si="31"/>
        <v>217.0752</v>
      </c>
      <c r="I2024" s="212" t="s">
        <v>2354</v>
      </c>
    </row>
    <row r="2025" spans="1:9" x14ac:dyDescent="0.25">
      <c r="A2025" s="193" t="s">
        <v>220</v>
      </c>
      <c r="B2025" s="193" t="s">
        <v>2351</v>
      </c>
      <c r="C2025" s="214" t="s">
        <v>4285</v>
      </c>
      <c r="D2025" s="193" t="s">
        <v>4286</v>
      </c>
      <c r="E2025" s="212" t="s">
        <v>545</v>
      </c>
      <c r="F2025" s="215">
        <v>1</v>
      </c>
      <c r="G2025" s="194">
        <v>77.400000000000006</v>
      </c>
      <c r="H2025" s="195">
        <f t="shared" si="31"/>
        <v>77.400000000000006</v>
      </c>
      <c r="I2025" s="212" t="s">
        <v>2354</v>
      </c>
    </row>
    <row r="2026" spans="1:9" x14ac:dyDescent="0.25">
      <c r="A2026" s="193" t="s">
        <v>220</v>
      </c>
      <c r="B2026" s="193" t="s">
        <v>2351</v>
      </c>
      <c r="C2026" s="214" t="s">
        <v>4287</v>
      </c>
      <c r="D2026" s="193" t="s">
        <v>4288</v>
      </c>
      <c r="E2026" s="212" t="s">
        <v>545</v>
      </c>
      <c r="F2026" s="215">
        <v>3</v>
      </c>
      <c r="G2026" s="194">
        <v>81.575175000000002</v>
      </c>
      <c r="H2026" s="195">
        <f t="shared" si="31"/>
        <v>244.725525</v>
      </c>
      <c r="I2026" s="212" t="s">
        <v>2354</v>
      </c>
    </row>
    <row r="2027" spans="1:9" x14ac:dyDescent="0.25">
      <c r="A2027" s="193" t="s">
        <v>220</v>
      </c>
      <c r="B2027" s="193" t="s">
        <v>2351</v>
      </c>
      <c r="C2027" s="214" t="s">
        <v>4289</v>
      </c>
      <c r="D2027" s="193" t="s">
        <v>4290</v>
      </c>
      <c r="E2027" s="212" t="s">
        <v>545</v>
      </c>
      <c r="F2027" s="215">
        <v>1</v>
      </c>
      <c r="G2027" s="194">
        <v>130.5</v>
      </c>
      <c r="H2027" s="195">
        <f t="shared" si="31"/>
        <v>130.5</v>
      </c>
      <c r="I2027" s="212" t="s">
        <v>2354</v>
      </c>
    </row>
    <row r="2028" spans="1:9" x14ac:dyDescent="0.25">
      <c r="A2028" s="193" t="s">
        <v>220</v>
      </c>
      <c r="B2028" s="193" t="s">
        <v>2351</v>
      </c>
      <c r="C2028" s="214" t="s">
        <v>4291</v>
      </c>
      <c r="D2028" s="193" t="s">
        <v>4292</v>
      </c>
      <c r="E2028" s="212" t="s">
        <v>545</v>
      </c>
      <c r="F2028" s="215">
        <v>6</v>
      </c>
      <c r="G2028" s="194">
        <v>127.7907</v>
      </c>
      <c r="H2028" s="195">
        <f t="shared" si="31"/>
        <v>766.74419999999998</v>
      </c>
      <c r="I2028" s="212" t="s">
        <v>2354</v>
      </c>
    </row>
    <row r="2029" spans="1:9" x14ac:dyDescent="0.25">
      <c r="A2029" s="193" t="s">
        <v>220</v>
      </c>
      <c r="B2029" s="193" t="s">
        <v>2351</v>
      </c>
      <c r="C2029" s="214" t="s">
        <v>4293</v>
      </c>
      <c r="D2029" s="193" t="s">
        <v>4294</v>
      </c>
      <c r="E2029" s="212" t="s">
        <v>545</v>
      </c>
      <c r="F2029" s="215">
        <v>2</v>
      </c>
      <c r="G2029" s="194">
        <v>85.5</v>
      </c>
      <c r="H2029" s="195">
        <f t="shared" si="31"/>
        <v>171</v>
      </c>
      <c r="I2029" s="212" t="s">
        <v>2354</v>
      </c>
    </row>
    <row r="2030" spans="1:9" x14ac:dyDescent="0.25">
      <c r="A2030" s="193" t="s">
        <v>220</v>
      </c>
      <c r="B2030" s="193" t="s">
        <v>2351</v>
      </c>
      <c r="C2030" s="214" t="s">
        <v>4295</v>
      </c>
      <c r="D2030" s="193" t="s">
        <v>4296</v>
      </c>
      <c r="E2030" s="212" t="s">
        <v>545</v>
      </c>
      <c r="F2030" s="215">
        <v>7</v>
      </c>
      <c r="G2030" s="194">
        <v>85.5</v>
      </c>
      <c r="H2030" s="195">
        <f t="shared" si="31"/>
        <v>598.5</v>
      </c>
      <c r="I2030" s="212" t="s">
        <v>2354</v>
      </c>
    </row>
    <row r="2031" spans="1:9" x14ac:dyDescent="0.25">
      <c r="A2031" s="193" t="s">
        <v>220</v>
      </c>
      <c r="B2031" s="193" t="s">
        <v>2351</v>
      </c>
      <c r="C2031" s="214" t="s">
        <v>4297</v>
      </c>
      <c r="D2031" s="193" t="s">
        <v>4298</v>
      </c>
      <c r="E2031" s="212" t="s">
        <v>545</v>
      </c>
      <c r="F2031" s="215">
        <v>1</v>
      </c>
      <c r="G2031" s="194">
        <v>113.22</v>
      </c>
      <c r="H2031" s="195">
        <f t="shared" si="31"/>
        <v>113.22</v>
      </c>
      <c r="I2031" s="212" t="s">
        <v>2354</v>
      </c>
    </row>
    <row r="2032" spans="1:9" x14ac:dyDescent="0.25">
      <c r="A2032" s="193" t="s">
        <v>220</v>
      </c>
      <c r="B2032" s="193" t="s">
        <v>2351</v>
      </c>
      <c r="C2032" s="214" t="s">
        <v>4299</v>
      </c>
      <c r="D2032" s="193" t="s">
        <v>4300</v>
      </c>
      <c r="E2032" s="212" t="s">
        <v>545</v>
      </c>
      <c r="F2032" s="215">
        <v>11</v>
      </c>
      <c r="G2032" s="194">
        <v>128.89876666666666</v>
      </c>
      <c r="H2032" s="195">
        <f t="shared" si="31"/>
        <v>1417.8864333333333</v>
      </c>
      <c r="I2032" s="212" t="s">
        <v>2354</v>
      </c>
    </row>
    <row r="2033" spans="1:9" x14ac:dyDescent="0.25">
      <c r="A2033" s="193" t="s">
        <v>220</v>
      </c>
      <c r="B2033" s="193" t="s">
        <v>2351</v>
      </c>
      <c r="C2033" s="214" t="s">
        <v>4301</v>
      </c>
      <c r="D2033" s="193" t="s">
        <v>4302</v>
      </c>
      <c r="E2033" s="212" t="s">
        <v>545</v>
      </c>
      <c r="F2033" s="215">
        <v>3</v>
      </c>
      <c r="G2033" s="194">
        <v>162.44999999999999</v>
      </c>
      <c r="H2033" s="195">
        <f t="shared" si="31"/>
        <v>487.34999999999997</v>
      </c>
      <c r="I2033" s="212" t="s">
        <v>2354</v>
      </c>
    </row>
    <row r="2034" spans="1:9" x14ac:dyDescent="0.25">
      <c r="A2034" s="193" t="s">
        <v>220</v>
      </c>
      <c r="B2034" s="193" t="s">
        <v>2351</v>
      </c>
      <c r="C2034" s="214" t="s">
        <v>4303</v>
      </c>
      <c r="D2034" s="193" t="s">
        <v>4304</v>
      </c>
      <c r="E2034" s="212" t="s">
        <v>545</v>
      </c>
      <c r="F2034" s="215">
        <v>2</v>
      </c>
      <c r="G2034" s="194">
        <v>85.5</v>
      </c>
      <c r="H2034" s="195">
        <f t="shared" si="31"/>
        <v>171</v>
      </c>
      <c r="I2034" s="212" t="s">
        <v>2354</v>
      </c>
    </row>
    <row r="2035" spans="1:9" x14ac:dyDescent="0.25">
      <c r="A2035" s="193" t="s">
        <v>220</v>
      </c>
      <c r="B2035" s="193" t="s">
        <v>2351</v>
      </c>
      <c r="C2035" s="214" t="s">
        <v>4305</v>
      </c>
      <c r="D2035" s="193" t="s">
        <v>4306</v>
      </c>
      <c r="E2035" s="212" t="s">
        <v>545</v>
      </c>
      <c r="F2035" s="215">
        <v>2</v>
      </c>
      <c r="G2035" s="194">
        <v>52.7624</v>
      </c>
      <c r="H2035" s="195">
        <f t="shared" si="31"/>
        <v>105.5248</v>
      </c>
      <c r="I2035" s="212" t="s">
        <v>2354</v>
      </c>
    </row>
    <row r="2036" spans="1:9" x14ac:dyDescent="0.25">
      <c r="A2036" s="193" t="s">
        <v>220</v>
      </c>
      <c r="B2036" s="193" t="s">
        <v>2351</v>
      </c>
      <c r="C2036" s="214" t="s">
        <v>4307</v>
      </c>
      <c r="D2036" s="193" t="s">
        <v>4308</v>
      </c>
      <c r="E2036" s="212" t="s">
        <v>545</v>
      </c>
      <c r="F2036" s="215">
        <v>3</v>
      </c>
      <c r="G2036" s="194">
        <v>94.5</v>
      </c>
      <c r="H2036" s="195">
        <f t="shared" si="31"/>
        <v>283.5</v>
      </c>
      <c r="I2036" s="212" t="s">
        <v>2354</v>
      </c>
    </row>
    <row r="2037" spans="1:9" x14ac:dyDescent="0.25">
      <c r="A2037" s="193" t="s">
        <v>220</v>
      </c>
      <c r="B2037" s="193" t="s">
        <v>2351</v>
      </c>
      <c r="C2037" s="214" t="s">
        <v>4309</v>
      </c>
      <c r="D2037" s="193" t="s">
        <v>4310</v>
      </c>
      <c r="E2037" s="212" t="s">
        <v>545</v>
      </c>
      <c r="F2037" s="215">
        <v>10</v>
      </c>
      <c r="G2037" s="194">
        <v>202.61458000000002</v>
      </c>
      <c r="H2037" s="195">
        <f t="shared" si="31"/>
        <v>2026.1458000000002</v>
      </c>
      <c r="I2037" s="212" t="s">
        <v>2354</v>
      </c>
    </row>
    <row r="2038" spans="1:9" x14ac:dyDescent="0.25">
      <c r="A2038" s="193" t="s">
        <v>220</v>
      </c>
      <c r="B2038" s="193" t="s">
        <v>2351</v>
      </c>
      <c r="C2038" s="214" t="s">
        <v>4311</v>
      </c>
      <c r="D2038" s="193" t="s">
        <v>4312</v>
      </c>
      <c r="E2038" s="212" t="s">
        <v>545</v>
      </c>
      <c r="F2038" s="215">
        <v>10</v>
      </c>
      <c r="G2038" s="194">
        <v>0</v>
      </c>
      <c r="H2038" s="195">
        <f t="shared" si="31"/>
        <v>0</v>
      </c>
      <c r="I2038" s="212" t="s">
        <v>2354</v>
      </c>
    </row>
    <row r="2039" spans="1:9" x14ac:dyDescent="0.25">
      <c r="A2039" s="193" t="s">
        <v>220</v>
      </c>
      <c r="B2039" s="193" t="s">
        <v>2351</v>
      </c>
      <c r="C2039" s="214" t="s">
        <v>4313</v>
      </c>
      <c r="D2039" s="193" t="s">
        <v>4314</v>
      </c>
      <c r="E2039" s="212" t="s">
        <v>545</v>
      </c>
      <c r="F2039" s="213">
        <v>28</v>
      </c>
      <c r="G2039" s="194">
        <v>193.09365</v>
      </c>
      <c r="H2039" s="195">
        <f t="shared" si="31"/>
        <v>5406.6221999999998</v>
      </c>
      <c r="I2039" s="212" t="s">
        <v>2354</v>
      </c>
    </row>
    <row r="2040" spans="1:9" x14ac:dyDescent="0.25">
      <c r="A2040" s="193" t="s">
        <v>220</v>
      </c>
      <c r="B2040" s="193" t="s">
        <v>2351</v>
      </c>
      <c r="C2040" s="214" t="s">
        <v>4315</v>
      </c>
      <c r="D2040" s="193" t="s">
        <v>4316</v>
      </c>
      <c r="E2040" s="212" t="s">
        <v>545</v>
      </c>
      <c r="F2040" s="215">
        <v>16</v>
      </c>
      <c r="G2040" s="194">
        <v>78.825450000000004</v>
      </c>
      <c r="H2040" s="195">
        <f t="shared" si="31"/>
        <v>1261.2072000000001</v>
      </c>
      <c r="I2040" s="212" t="s">
        <v>2354</v>
      </c>
    </row>
    <row r="2041" spans="1:9" x14ac:dyDescent="0.25">
      <c r="A2041" s="193" t="s">
        <v>220</v>
      </c>
      <c r="B2041" s="193" t="s">
        <v>2351</v>
      </c>
      <c r="C2041" s="214" t="s">
        <v>4317</v>
      </c>
      <c r="D2041" s="193" t="s">
        <v>4318</v>
      </c>
      <c r="E2041" s="212" t="s">
        <v>545</v>
      </c>
      <c r="F2041" s="213">
        <v>24</v>
      </c>
      <c r="G2041" s="194">
        <v>195.41329999999999</v>
      </c>
      <c r="H2041" s="195">
        <f t="shared" si="31"/>
        <v>4689.9192000000003</v>
      </c>
      <c r="I2041" s="212" t="s">
        <v>2354</v>
      </c>
    </row>
    <row r="2042" spans="1:9" x14ac:dyDescent="0.25">
      <c r="A2042" s="193" t="s">
        <v>220</v>
      </c>
      <c r="B2042" s="193" t="s">
        <v>2351</v>
      </c>
      <c r="C2042" s="214" t="s">
        <v>4319</v>
      </c>
      <c r="D2042" s="193" t="s">
        <v>4320</v>
      </c>
      <c r="E2042" s="212" t="s">
        <v>545</v>
      </c>
      <c r="F2042" s="215">
        <v>4</v>
      </c>
      <c r="G2042" s="194">
        <v>241.45999</v>
      </c>
      <c r="H2042" s="195">
        <f t="shared" si="31"/>
        <v>965.83996000000002</v>
      </c>
      <c r="I2042" s="212" t="s">
        <v>2354</v>
      </c>
    </row>
    <row r="2043" spans="1:9" x14ac:dyDescent="0.25">
      <c r="A2043" s="193" t="s">
        <v>220</v>
      </c>
      <c r="B2043" s="193" t="s">
        <v>2351</v>
      </c>
      <c r="C2043" s="214" t="s">
        <v>4321</v>
      </c>
      <c r="D2043" s="193" t="s">
        <v>4322</v>
      </c>
      <c r="E2043" s="212" t="s">
        <v>545</v>
      </c>
      <c r="F2043" s="215">
        <v>9</v>
      </c>
      <c r="G2043" s="194">
        <v>95.04</v>
      </c>
      <c r="H2043" s="195">
        <f t="shared" si="31"/>
        <v>855.36</v>
      </c>
      <c r="I2043" s="212" t="s">
        <v>2354</v>
      </c>
    </row>
    <row r="2044" spans="1:9" x14ac:dyDescent="0.25">
      <c r="A2044" s="193" t="s">
        <v>220</v>
      </c>
      <c r="B2044" s="193" t="s">
        <v>2351</v>
      </c>
      <c r="C2044" s="214" t="s">
        <v>4323</v>
      </c>
      <c r="D2044" s="193" t="s">
        <v>4324</v>
      </c>
      <c r="E2044" s="212" t="s">
        <v>545</v>
      </c>
      <c r="F2044" s="215">
        <v>5</v>
      </c>
      <c r="G2044" s="194">
        <v>75.246250000000003</v>
      </c>
      <c r="H2044" s="195">
        <f t="shared" si="31"/>
        <v>376.23125000000005</v>
      </c>
      <c r="I2044" s="212" t="s">
        <v>2354</v>
      </c>
    </row>
    <row r="2045" spans="1:9" x14ac:dyDescent="0.25">
      <c r="A2045" s="193" t="s">
        <v>220</v>
      </c>
      <c r="B2045" s="193" t="s">
        <v>2351</v>
      </c>
      <c r="C2045" s="214" t="s">
        <v>4325</v>
      </c>
      <c r="D2045" s="193" t="s">
        <v>4326</v>
      </c>
      <c r="E2045" s="212" t="s">
        <v>545</v>
      </c>
      <c r="F2045" s="215">
        <v>6</v>
      </c>
      <c r="G2045" s="194">
        <v>122.26655</v>
      </c>
      <c r="H2045" s="195">
        <f t="shared" si="31"/>
        <v>733.59929999999997</v>
      </c>
      <c r="I2045" s="212" t="s">
        <v>2354</v>
      </c>
    </row>
    <row r="2046" spans="1:9" x14ac:dyDescent="0.25">
      <c r="A2046" s="193" t="s">
        <v>220</v>
      </c>
      <c r="B2046" s="193" t="s">
        <v>2351</v>
      </c>
      <c r="C2046" s="214" t="s">
        <v>4327</v>
      </c>
      <c r="D2046" s="193" t="s">
        <v>4328</v>
      </c>
      <c r="E2046" s="212" t="s">
        <v>545</v>
      </c>
      <c r="F2046" s="215">
        <v>2</v>
      </c>
      <c r="G2046" s="194">
        <v>113.22</v>
      </c>
      <c r="H2046" s="195">
        <f t="shared" si="31"/>
        <v>226.44</v>
      </c>
      <c r="I2046" s="212" t="s">
        <v>2354</v>
      </c>
    </row>
    <row r="2047" spans="1:9" x14ac:dyDescent="0.25">
      <c r="A2047" s="193" t="s">
        <v>220</v>
      </c>
      <c r="B2047" s="193" t="s">
        <v>2351</v>
      </c>
      <c r="C2047" s="214" t="s">
        <v>4329</v>
      </c>
      <c r="D2047" s="193" t="s">
        <v>4330</v>
      </c>
      <c r="E2047" s="212" t="s">
        <v>545</v>
      </c>
      <c r="F2047" s="215">
        <v>2</v>
      </c>
      <c r="G2047" s="194">
        <v>75.246250000000003</v>
      </c>
      <c r="H2047" s="195">
        <f t="shared" si="31"/>
        <v>150.49250000000001</v>
      </c>
      <c r="I2047" s="212" t="s">
        <v>2354</v>
      </c>
    </row>
    <row r="2048" spans="1:9" x14ac:dyDescent="0.25">
      <c r="A2048" s="193" t="s">
        <v>220</v>
      </c>
      <c r="B2048" s="193" t="s">
        <v>2351</v>
      </c>
      <c r="C2048" s="214" t="s">
        <v>4331</v>
      </c>
      <c r="D2048" s="193" t="s">
        <v>4332</v>
      </c>
      <c r="E2048" s="212" t="s">
        <v>545</v>
      </c>
      <c r="F2048" s="215">
        <v>8</v>
      </c>
      <c r="G2048" s="194">
        <v>97.2</v>
      </c>
      <c r="H2048" s="195">
        <f t="shared" si="31"/>
        <v>777.6</v>
      </c>
      <c r="I2048" s="212" t="s">
        <v>2354</v>
      </c>
    </row>
    <row r="2049" spans="1:9" x14ac:dyDescent="0.25">
      <c r="A2049" s="193" t="s">
        <v>220</v>
      </c>
      <c r="B2049" s="193" t="s">
        <v>2351</v>
      </c>
      <c r="C2049" s="214" t="s">
        <v>4333</v>
      </c>
      <c r="D2049" s="193" t="s">
        <v>4334</v>
      </c>
      <c r="E2049" s="212" t="s">
        <v>545</v>
      </c>
      <c r="F2049" s="215">
        <v>2</v>
      </c>
      <c r="G2049" s="194">
        <v>399.42399</v>
      </c>
      <c r="H2049" s="195">
        <f t="shared" si="31"/>
        <v>798.84798000000001</v>
      </c>
      <c r="I2049" s="212" t="s">
        <v>2354</v>
      </c>
    </row>
    <row r="2050" spans="1:9" x14ac:dyDescent="0.25">
      <c r="A2050" s="193" t="s">
        <v>220</v>
      </c>
      <c r="B2050" s="193" t="s">
        <v>2351</v>
      </c>
      <c r="C2050" s="214" t="s">
        <v>4335</v>
      </c>
      <c r="D2050" s="193" t="s">
        <v>4336</v>
      </c>
      <c r="E2050" s="212" t="s">
        <v>545</v>
      </c>
      <c r="F2050" s="215">
        <v>18</v>
      </c>
      <c r="G2050" s="194">
        <v>107.1</v>
      </c>
      <c r="H2050" s="195">
        <f t="shared" si="31"/>
        <v>1927.8</v>
      </c>
      <c r="I2050" s="212" t="s">
        <v>2354</v>
      </c>
    </row>
    <row r="2051" spans="1:9" x14ac:dyDescent="0.25">
      <c r="A2051" s="193" t="s">
        <v>220</v>
      </c>
      <c r="B2051" s="193" t="s">
        <v>2351</v>
      </c>
      <c r="C2051" s="214" t="s">
        <v>4337</v>
      </c>
      <c r="D2051" s="193" t="s">
        <v>4338</v>
      </c>
      <c r="E2051" s="212" t="s">
        <v>545</v>
      </c>
      <c r="F2051" s="215">
        <v>1</v>
      </c>
      <c r="G2051" s="194">
        <v>30.424499999999998</v>
      </c>
      <c r="H2051" s="195">
        <f t="shared" si="31"/>
        <v>30.424499999999998</v>
      </c>
      <c r="I2051" s="212" t="s">
        <v>2354</v>
      </c>
    </row>
    <row r="2052" spans="1:9" x14ac:dyDescent="0.25">
      <c r="A2052" s="193" t="s">
        <v>220</v>
      </c>
      <c r="B2052" s="193" t="s">
        <v>2351</v>
      </c>
      <c r="C2052" s="214" t="s">
        <v>4339</v>
      </c>
      <c r="D2052" s="193" t="s">
        <v>4340</v>
      </c>
      <c r="E2052" s="212" t="s">
        <v>545</v>
      </c>
      <c r="F2052" s="215">
        <v>6</v>
      </c>
      <c r="G2052" s="194">
        <v>22.395800000000001</v>
      </c>
      <c r="H2052" s="195">
        <f t="shared" si="31"/>
        <v>134.37479999999999</v>
      </c>
      <c r="I2052" s="212" t="s">
        <v>2354</v>
      </c>
    </row>
    <row r="2053" spans="1:9" x14ac:dyDescent="0.25">
      <c r="A2053" s="193" t="s">
        <v>220</v>
      </c>
      <c r="B2053" s="193" t="s">
        <v>2351</v>
      </c>
      <c r="C2053" s="214" t="s">
        <v>4341</v>
      </c>
      <c r="D2053" s="193" t="s">
        <v>4342</v>
      </c>
      <c r="E2053" s="212" t="s">
        <v>545</v>
      </c>
      <c r="F2053" s="215">
        <v>4</v>
      </c>
      <c r="G2053" s="194">
        <v>17.2958</v>
      </c>
      <c r="H2053" s="195">
        <f t="shared" ref="H2053:H2116" si="32">+F2053*G2053</f>
        <v>69.183199999999999</v>
      </c>
      <c r="I2053" s="212" t="s">
        <v>2354</v>
      </c>
    </row>
    <row r="2054" spans="1:9" x14ac:dyDescent="0.25">
      <c r="A2054" s="193" t="s">
        <v>220</v>
      </c>
      <c r="B2054" s="193" t="s">
        <v>2351</v>
      </c>
      <c r="C2054" s="214" t="s">
        <v>4343</v>
      </c>
      <c r="D2054" s="193" t="s">
        <v>4344</v>
      </c>
      <c r="E2054" s="212" t="s">
        <v>545</v>
      </c>
      <c r="F2054" s="215">
        <v>25</v>
      </c>
      <c r="G2054" s="194">
        <v>1.615</v>
      </c>
      <c r="H2054" s="195">
        <f t="shared" si="32"/>
        <v>40.375</v>
      </c>
      <c r="I2054" s="212" t="s">
        <v>2354</v>
      </c>
    </row>
    <row r="2055" spans="1:9" x14ac:dyDescent="0.25">
      <c r="A2055" s="193" t="s">
        <v>220</v>
      </c>
      <c r="B2055" s="193" t="s">
        <v>2351</v>
      </c>
      <c r="C2055" s="214" t="s">
        <v>4345</v>
      </c>
      <c r="D2055" s="193" t="s">
        <v>4346</v>
      </c>
      <c r="E2055" s="212" t="s">
        <v>545</v>
      </c>
      <c r="F2055" s="215">
        <v>3</v>
      </c>
      <c r="G2055" s="194">
        <v>381.78</v>
      </c>
      <c r="H2055" s="195">
        <f t="shared" si="32"/>
        <v>1145.3399999999999</v>
      </c>
      <c r="I2055" s="212" t="s">
        <v>2354</v>
      </c>
    </row>
    <row r="2056" spans="1:9" x14ac:dyDescent="0.25">
      <c r="A2056" s="193" t="s">
        <v>220</v>
      </c>
      <c r="B2056" s="193" t="s">
        <v>2351</v>
      </c>
      <c r="C2056" s="214" t="s">
        <v>4347</v>
      </c>
      <c r="D2056" s="193" t="s">
        <v>4348</v>
      </c>
      <c r="E2056" s="212" t="s">
        <v>545</v>
      </c>
      <c r="F2056" s="213">
        <v>3</v>
      </c>
      <c r="G2056" s="194">
        <v>1510.4934000000001</v>
      </c>
      <c r="H2056" s="195">
        <f t="shared" si="32"/>
        <v>4531.4802</v>
      </c>
      <c r="I2056" s="212" t="s">
        <v>2354</v>
      </c>
    </row>
    <row r="2057" spans="1:9" x14ac:dyDescent="0.25">
      <c r="A2057" s="193" t="s">
        <v>220</v>
      </c>
      <c r="B2057" s="193" t="s">
        <v>2351</v>
      </c>
      <c r="C2057" s="214" t="s">
        <v>4349</v>
      </c>
      <c r="D2057" s="193" t="s">
        <v>4350</v>
      </c>
      <c r="E2057" s="212" t="s">
        <v>545</v>
      </c>
      <c r="F2057" s="215">
        <v>4</v>
      </c>
      <c r="G2057" s="194">
        <v>3.8250000000000002</v>
      </c>
      <c r="H2057" s="195">
        <f t="shared" si="32"/>
        <v>15.3</v>
      </c>
      <c r="I2057" s="212" t="s">
        <v>2354</v>
      </c>
    </row>
    <row r="2058" spans="1:9" x14ac:dyDescent="0.25">
      <c r="A2058" s="193" t="s">
        <v>220</v>
      </c>
      <c r="B2058" s="193" t="s">
        <v>2351</v>
      </c>
      <c r="C2058" s="214" t="s">
        <v>4351</v>
      </c>
      <c r="D2058" s="193" t="s">
        <v>4352</v>
      </c>
      <c r="E2058" s="212" t="s">
        <v>545</v>
      </c>
      <c r="F2058" s="215">
        <v>4</v>
      </c>
      <c r="G2058" s="194">
        <v>2.6530475206611572</v>
      </c>
      <c r="H2058" s="195">
        <f t="shared" si="32"/>
        <v>10.612190082644629</v>
      </c>
      <c r="I2058" s="212" t="s">
        <v>2354</v>
      </c>
    </row>
    <row r="2059" spans="1:9" x14ac:dyDescent="0.25">
      <c r="A2059" s="193" t="s">
        <v>220</v>
      </c>
      <c r="B2059" s="193" t="s">
        <v>2351</v>
      </c>
      <c r="C2059" s="214" t="s">
        <v>4353</v>
      </c>
      <c r="D2059" s="193" t="s">
        <v>4354</v>
      </c>
      <c r="E2059" s="212" t="s">
        <v>545</v>
      </c>
      <c r="F2059" s="215">
        <v>3</v>
      </c>
      <c r="G2059" s="194">
        <v>2.666122159090909</v>
      </c>
      <c r="H2059" s="195">
        <f t="shared" si="32"/>
        <v>7.998366477272727</v>
      </c>
      <c r="I2059" s="212" t="s">
        <v>2354</v>
      </c>
    </row>
    <row r="2060" spans="1:9" x14ac:dyDescent="0.25">
      <c r="A2060" s="193" t="s">
        <v>220</v>
      </c>
      <c r="B2060" s="193" t="s">
        <v>2351</v>
      </c>
      <c r="C2060" s="214" t="s">
        <v>4355</v>
      </c>
      <c r="D2060" s="193" t="s">
        <v>4356</v>
      </c>
      <c r="E2060" s="212" t="s">
        <v>545</v>
      </c>
      <c r="F2060" s="215">
        <v>3</v>
      </c>
      <c r="G2060" s="194">
        <v>3.8250000000000002</v>
      </c>
      <c r="H2060" s="195">
        <f t="shared" si="32"/>
        <v>11.475000000000001</v>
      </c>
      <c r="I2060" s="212" t="s">
        <v>2354</v>
      </c>
    </row>
    <row r="2061" spans="1:9" x14ac:dyDescent="0.25">
      <c r="A2061" s="193" t="s">
        <v>220</v>
      </c>
      <c r="B2061" s="193" t="s">
        <v>2351</v>
      </c>
      <c r="C2061" s="214" t="s">
        <v>4357</v>
      </c>
      <c r="D2061" s="193" t="s">
        <v>4358</v>
      </c>
      <c r="E2061" s="212" t="s">
        <v>545</v>
      </c>
      <c r="F2061" s="215">
        <v>6</v>
      </c>
      <c r="G2061" s="194">
        <v>3.8250000000000002</v>
      </c>
      <c r="H2061" s="195">
        <f t="shared" si="32"/>
        <v>22.950000000000003</v>
      </c>
      <c r="I2061" s="212" t="s">
        <v>2354</v>
      </c>
    </row>
    <row r="2062" spans="1:9" x14ac:dyDescent="0.25">
      <c r="A2062" s="193" t="s">
        <v>220</v>
      </c>
      <c r="B2062" s="193" t="s">
        <v>2351</v>
      </c>
      <c r="C2062" s="214" t="s">
        <v>4359</v>
      </c>
      <c r="D2062" s="193" t="s">
        <v>4360</v>
      </c>
      <c r="E2062" s="212" t="s">
        <v>545</v>
      </c>
      <c r="F2062" s="215">
        <v>4</v>
      </c>
      <c r="G2062" s="194">
        <v>2.6100000000000003</v>
      </c>
      <c r="H2062" s="195">
        <f t="shared" si="32"/>
        <v>10.440000000000001</v>
      </c>
      <c r="I2062" s="212" t="s">
        <v>2354</v>
      </c>
    </row>
    <row r="2063" spans="1:9" x14ac:dyDescent="0.25">
      <c r="A2063" s="193" t="s">
        <v>220</v>
      </c>
      <c r="B2063" s="193" t="s">
        <v>2351</v>
      </c>
      <c r="C2063" s="214" t="s">
        <v>4361</v>
      </c>
      <c r="D2063" s="193" t="s">
        <v>4362</v>
      </c>
      <c r="E2063" s="212" t="s">
        <v>545</v>
      </c>
      <c r="F2063" s="215">
        <v>4</v>
      </c>
      <c r="G2063" s="194">
        <v>74</v>
      </c>
      <c r="H2063" s="195">
        <f t="shared" si="32"/>
        <v>296</v>
      </c>
      <c r="I2063" s="212" t="s">
        <v>2354</v>
      </c>
    </row>
    <row r="2064" spans="1:9" x14ac:dyDescent="0.25">
      <c r="A2064" s="193" t="s">
        <v>220</v>
      </c>
      <c r="B2064" s="193" t="s">
        <v>2351</v>
      </c>
      <c r="C2064" s="214" t="s">
        <v>4363</v>
      </c>
      <c r="D2064" s="193" t="s">
        <v>4364</v>
      </c>
      <c r="E2064" s="212" t="s">
        <v>545</v>
      </c>
      <c r="F2064" s="215">
        <v>4</v>
      </c>
      <c r="G2064" s="194">
        <v>94</v>
      </c>
      <c r="H2064" s="195">
        <f t="shared" si="32"/>
        <v>376</v>
      </c>
      <c r="I2064" s="212" t="s">
        <v>2354</v>
      </c>
    </row>
    <row r="2065" spans="1:9" x14ac:dyDescent="0.25">
      <c r="A2065" s="193" t="s">
        <v>220</v>
      </c>
      <c r="B2065" s="193" t="s">
        <v>2351</v>
      </c>
      <c r="C2065" s="214" t="s">
        <v>4365</v>
      </c>
      <c r="D2065" s="193" t="s">
        <v>4366</v>
      </c>
      <c r="E2065" s="212" t="s">
        <v>545</v>
      </c>
      <c r="F2065" s="215">
        <v>17</v>
      </c>
      <c r="G2065" s="194">
        <v>18</v>
      </c>
      <c r="H2065" s="195">
        <f t="shared" si="32"/>
        <v>306</v>
      </c>
      <c r="I2065" s="212" t="s">
        <v>2354</v>
      </c>
    </row>
    <row r="2066" spans="1:9" x14ac:dyDescent="0.25">
      <c r="A2066" s="193" t="s">
        <v>220</v>
      </c>
      <c r="B2066" s="193" t="s">
        <v>2351</v>
      </c>
      <c r="C2066" s="214" t="s">
        <v>4367</v>
      </c>
      <c r="D2066" s="193" t="s">
        <v>4368</v>
      </c>
      <c r="E2066" s="212" t="s">
        <v>545</v>
      </c>
      <c r="F2066" s="215">
        <v>4</v>
      </c>
      <c r="G2066" s="194">
        <v>80</v>
      </c>
      <c r="H2066" s="195">
        <f t="shared" si="32"/>
        <v>320</v>
      </c>
      <c r="I2066" s="212" t="s">
        <v>2354</v>
      </c>
    </row>
    <row r="2067" spans="1:9" x14ac:dyDescent="0.25">
      <c r="A2067" s="193" t="s">
        <v>220</v>
      </c>
      <c r="B2067" s="193" t="s">
        <v>2351</v>
      </c>
      <c r="C2067" s="214" t="s">
        <v>4369</v>
      </c>
      <c r="D2067" s="193" t="s">
        <v>4370</v>
      </c>
      <c r="E2067" s="212" t="s">
        <v>545</v>
      </c>
      <c r="F2067" s="215">
        <v>10</v>
      </c>
      <c r="G2067" s="194">
        <v>8.9827999999999992</v>
      </c>
      <c r="H2067" s="195">
        <f t="shared" si="32"/>
        <v>89.827999999999989</v>
      </c>
      <c r="I2067" s="212" t="s">
        <v>2354</v>
      </c>
    </row>
    <row r="2068" spans="1:9" x14ac:dyDescent="0.25">
      <c r="A2068" s="193" t="s">
        <v>220</v>
      </c>
      <c r="B2068" s="193" t="s">
        <v>2351</v>
      </c>
      <c r="C2068" s="214" t="s">
        <v>4371</v>
      </c>
      <c r="D2068" s="193" t="s">
        <v>4372</v>
      </c>
      <c r="E2068" s="212" t="s">
        <v>545</v>
      </c>
      <c r="F2068" s="215">
        <v>96</v>
      </c>
      <c r="G2068" s="194">
        <v>2.15</v>
      </c>
      <c r="H2068" s="195">
        <f t="shared" si="32"/>
        <v>206.39999999999998</v>
      </c>
      <c r="I2068" s="212" t="s">
        <v>2354</v>
      </c>
    </row>
    <row r="2069" spans="1:9" x14ac:dyDescent="0.25">
      <c r="A2069" s="193" t="s">
        <v>220</v>
      </c>
      <c r="B2069" s="193" t="s">
        <v>2351</v>
      </c>
      <c r="C2069" s="214" t="s">
        <v>4373</v>
      </c>
      <c r="D2069" s="193" t="s">
        <v>4374</v>
      </c>
      <c r="E2069" s="212" t="s">
        <v>545</v>
      </c>
      <c r="F2069" s="215">
        <v>2</v>
      </c>
      <c r="G2069" s="194">
        <v>0</v>
      </c>
      <c r="H2069" s="195">
        <f t="shared" si="32"/>
        <v>0</v>
      </c>
      <c r="I2069" s="212" t="s">
        <v>2354</v>
      </c>
    </row>
    <row r="2070" spans="1:9" x14ac:dyDescent="0.25">
      <c r="A2070" s="193" t="s">
        <v>220</v>
      </c>
      <c r="B2070" s="193" t="s">
        <v>2351</v>
      </c>
      <c r="C2070" s="214" t="s">
        <v>4375</v>
      </c>
      <c r="D2070" s="193" t="s">
        <v>4376</v>
      </c>
      <c r="E2070" s="212" t="s">
        <v>545</v>
      </c>
      <c r="F2070" s="215">
        <v>150</v>
      </c>
      <c r="G2070" s="194">
        <v>0.66420000000000001</v>
      </c>
      <c r="H2070" s="195">
        <f t="shared" si="32"/>
        <v>99.63</v>
      </c>
      <c r="I2070" s="212" t="s">
        <v>2354</v>
      </c>
    </row>
    <row r="2071" spans="1:9" x14ac:dyDescent="0.25">
      <c r="A2071" s="193" t="s">
        <v>220</v>
      </c>
      <c r="B2071" s="193" t="s">
        <v>2351</v>
      </c>
      <c r="C2071" s="214" t="s">
        <v>4377</v>
      </c>
      <c r="D2071" s="193" t="s">
        <v>4378</v>
      </c>
      <c r="E2071" s="212" t="s">
        <v>545</v>
      </c>
      <c r="F2071" s="215">
        <v>12</v>
      </c>
      <c r="G2071" s="194">
        <v>2.2103999999999999</v>
      </c>
      <c r="H2071" s="195">
        <f t="shared" si="32"/>
        <v>26.524799999999999</v>
      </c>
      <c r="I2071" s="212" t="s">
        <v>2354</v>
      </c>
    </row>
    <row r="2072" spans="1:9" x14ac:dyDescent="0.25">
      <c r="A2072" s="193" t="s">
        <v>220</v>
      </c>
      <c r="B2072" s="193" t="s">
        <v>2351</v>
      </c>
      <c r="C2072" s="214" t="s">
        <v>4379</v>
      </c>
      <c r="D2072" s="193" t="s">
        <v>4380</v>
      </c>
      <c r="E2072" s="212" t="s">
        <v>545</v>
      </c>
      <c r="F2072" s="215">
        <v>3</v>
      </c>
      <c r="G2072" s="194">
        <v>8.2176739999999988</v>
      </c>
      <c r="H2072" s="195">
        <f t="shared" si="32"/>
        <v>24.653021999999996</v>
      </c>
      <c r="I2072" s="212" t="s">
        <v>2354</v>
      </c>
    </row>
    <row r="2073" spans="1:9" x14ac:dyDescent="0.25">
      <c r="A2073" s="193" t="s">
        <v>220</v>
      </c>
      <c r="B2073" s="193" t="s">
        <v>2351</v>
      </c>
      <c r="C2073" s="214" t="s">
        <v>4381</v>
      </c>
      <c r="D2073" s="193" t="s">
        <v>4382</v>
      </c>
      <c r="E2073" s="212" t="s">
        <v>545</v>
      </c>
      <c r="F2073" s="215">
        <v>2</v>
      </c>
      <c r="G2073" s="194">
        <v>11.684100000000001</v>
      </c>
      <c r="H2073" s="195">
        <f t="shared" si="32"/>
        <v>23.368200000000002</v>
      </c>
      <c r="I2073" s="212" t="s">
        <v>2354</v>
      </c>
    </row>
    <row r="2074" spans="1:9" x14ac:dyDescent="0.25">
      <c r="A2074" s="193" t="s">
        <v>220</v>
      </c>
      <c r="B2074" s="193" t="s">
        <v>2351</v>
      </c>
      <c r="C2074" s="214" t="s">
        <v>4383</v>
      </c>
      <c r="D2074" s="193" t="s">
        <v>4384</v>
      </c>
      <c r="E2074" s="212" t="s">
        <v>545</v>
      </c>
      <c r="F2074" s="215">
        <v>1</v>
      </c>
      <c r="G2074" s="194">
        <v>169</v>
      </c>
      <c r="H2074" s="195">
        <f t="shared" si="32"/>
        <v>169</v>
      </c>
      <c r="I2074" s="212" t="s">
        <v>2354</v>
      </c>
    </row>
    <row r="2075" spans="1:9" x14ac:dyDescent="0.25">
      <c r="A2075" s="193" t="s">
        <v>220</v>
      </c>
      <c r="B2075" s="193" t="s">
        <v>2351</v>
      </c>
      <c r="C2075" s="214" t="s">
        <v>4385</v>
      </c>
      <c r="D2075" s="193" t="s">
        <v>4386</v>
      </c>
      <c r="E2075" s="212" t="s">
        <v>535</v>
      </c>
      <c r="F2075" s="215">
        <v>50</v>
      </c>
      <c r="G2075" s="194">
        <v>1.27</v>
      </c>
      <c r="H2075" s="195">
        <f t="shared" si="32"/>
        <v>63.5</v>
      </c>
      <c r="I2075" s="212" t="s">
        <v>2354</v>
      </c>
    </row>
    <row r="2076" spans="1:9" x14ac:dyDescent="0.25">
      <c r="A2076" s="193" t="s">
        <v>220</v>
      </c>
      <c r="B2076" s="193" t="s">
        <v>2351</v>
      </c>
      <c r="C2076" s="214" t="s">
        <v>4387</v>
      </c>
      <c r="D2076" s="193" t="s">
        <v>4388</v>
      </c>
      <c r="E2076" s="212" t="s">
        <v>545</v>
      </c>
      <c r="F2076" s="215">
        <v>1</v>
      </c>
      <c r="G2076" s="194">
        <v>375.78199999999998</v>
      </c>
      <c r="H2076" s="195">
        <f t="shared" si="32"/>
        <v>375.78199999999998</v>
      </c>
      <c r="I2076" s="212" t="s">
        <v>2354</v>
      </c>
    </row>
    <row r="2077" spans="1:9" x14ac:dyDescent="0.25">
      <c r="A2077" s="193" t="s">
        <v>220</v>
      </c>
      <c r="B2077" s="193" t="s">
        <v>2351</v>
      </c>
      <c r="C2077" s="214" t="s">
        <v>4389</v>
      </c>
      <c r="D2077" s="193" t="s">
        <v>4390</v>
      </c>
      <c r="E2077" s="212" t="s">
        <v>545</v>
      </c>
      <c r="F2077" s="215">
        <v>5</v>
      </c>
      <c r="G2077" s="194">
        <v>43.74</v>
      </c>
      <c r="H2077" s="195">
        <f t="shared" si="32"/>
        <v>218.70000000000002</v>
      </c>
      <c r="I2077" s="212" t="s">
        <v>2354</v>
      </c>
    </row>
    <row r="2078" spans="1:9" x14ac:dyDescent="0.25">
      <c r="A2078" s="193" t="s">
        <v>220</v>
      </c>
      <c r="B2078" s="193" t="s">
        <v>2351</v>
      </c>
      <c r="C2078" s="214" t="s">
        <v>4391</v>
      </c>
      <c r="D2078" s="193" t="s">
        <v>4392</v>
      </c>
      <c r="E2078" s="212" t="s">
        <v>545</v>
      </c>
      <c r="F2078" s="215">
        <v>7</v>
      </c>
      <c r="G2078" s="194">
        <v>104.83199999999999</v>
      </c>
      <c r="H2078" s="195">
        <f t="shared" si="32"/>
        <v>733.82399999999996</v>
      </c>
      <c r="I2078" s="212" t="s">
        <v>2354</v>
      </c>
    </row>
    <row r="2079" spans="1:9" x14ac:dyDescent="0.25">
      <c r="A2079" s="193" t="s">
        <v>220</v>
      </c>
      <c r="B2079" s="193" t="s">
        <v>2351</v>
      </c>
      <c r="C2079" s="214" t="s">
        <v>4393</v>
      </c>
      <c r="D2079" s="193" t="s">
        <v>4394</v>
      </c>
      <c r="E2079" s="212" t="s">
        <v>545</v>
      </c>
      <c r="F2079" s="215">
        <v>7</v>
      </c>
      <c r="G2079" s="194">
        <v>8.6487499999999997</v>
      </c>
      <c r="H2079" s="195">
        <f t="shared" si="32"/>
        <v>60.541249999999998</v>
      </c>
      <c r="I2079" s="212" t="s">
        <v>2354</v>
      </c>
    </row>
    <row r="2080" spans="1:9" x14ac:dyDescent="0.25">
      <c r="A2080" s="193" t="s">
        <v>220</v>
      </c>
      <c r="B2080" s="193" t="s">
        <v>2351</v>
      </c>
      <c r="C2080" s="214" t="s">
        <v>4395</v>
      </c>
      <c r="D2080" s="193" t="s">
        <v>4396</v>
      </c>
      <c r="E2080" s="212" t="s">
        <v>545</v>
      </c>
      <c r="F2080" s="215">
        <v>10</v>
      </c>
      <c r="G2080" s="194">
        <v>6.8080000000000007</v>
      </c>
      <c r="H2080" s="195">
        <f t="shared" si="32"/>
        <v>68.080000000000013</v>
      </c>
      <c r="I2080" s="212" t="s">
        <v>2354</v>
      </c>
    </row>
    <row r="2081" spans="1:9" x14ac:dyDescent="0.25">
      <c r="A2081" s="193" t="s">
        <v>220</v>
      </c>
      <c r="B2081" s="193" t="s">
        <v>2351</v>
      </c>
      <c r="C2081" s="214" t="s">
        <v>4397</v>
      </c>
      <c r="D2081" s="193" t="s">
        <v>4398</v>
      </c>
      <c r="E2081" s="212" t="s">
        <v>545</v>
      </c>
      <c r="F2081" s="215">
        <v>9</v>
      </c>
      <c r="G2081" s="194">
        <v>10.78735</v>
      </c>
      <c r="H2081" s="195">
        <f t="shared" si="32"/>
        <v>97.086150000000004</v>
      </c>
      <c r="I2081" s="212" t="s">
        <v>2354</v>
      </c>
    </row>
    <row r="2082" spans="1:9" x14ac:dyDescent="0.25">
      <c r="A2082" s="193" t="s">
        <v>220</v>
      </c>
      <c r="B2082" s="193" t="s">
        <v>2351</v>
      </c>
      <c r="C2082" s="214" t="s">
        <v>4399</v>
      </c>
      <c r="D2082" s="193" t="s">
        <v>4400</v>
      </c>
      <c r="E2082" s="212" t="s">
        <v>545</v>
      </c>
      <c r="F2082" s="215">
        <v>26</v>
      </c>
      <c r="G2082" s="194">
        <v>21.9725</v>
      </c>
      <c r="H2082" s="195">
        <f t="shared" si="32"/>
        <v>571.28499999999997</v>
      </c>
      <c r="I2082" s="212" t="s">
        <v>2354</v>
      </c>
    </row>
    <row r="2083" spans="1:9" x14ac:dyDescent="0.25">
      <c r="A2083" s="193" t="s">
        <v>220</v>
      </c>
      <c r="B2083" s="193" t="s">
        <v>2351</v>
      </c>
      <c r="C2083" s="214" t="s">
        <v>4401</v>
      </c>
      <c r="D2083" s="193" t="s">
        <v>4402</v>
      </c>
      <c r="E2083" s="212" t="s">
        <v>545</v>
      </c>
      <c r="F2083" s="215">
        <v>1</v>
      </c>
      <c r="G2083" s="194">
        <v>36</v>
      </c>
      <c r="H2083" s="195">
        <f t="shared" si="32"/>
        <v>36</v>
      </c>
      <c r="I2083" s="212" t="s">
        <v>2354</v>
      </c>
    </row>
    <row r="2084" spans="1:9" x14ac:dyDescent="0.25">
      <c r="A2084" s="193" t="s">
        <v>220</v>
      </c>
      <c r="B2084" s="193" t="s">
        <v>2351</v>
      </c>
      <c r="C2084" s="214" t="s">
        <v>4403</v>
      </c>
      <c r="D2084" s="193" t="s">
        <v>4404</v>
      </c>
      <c r="E2084" s="212" t="s">
        <v>545</v>
      </c>
      <c r="F2084" s="215">
        <v>15</v>
      </c>
      <c r="G2084" s="194">
        <v>0.91877982456140361</v>
      </c>
      <c r="H2084" s="195">
        <f t="shared" si="32"/>
        <v>13.781697368421055</v>
      </c>
      <c r="I2084" s="212" t="s">
        <v>2354</v>
      </c>
    </row>
    <row r="2085" spans="1:9" x14ac:dyDescent="0.25">
      <c r="A2085" s="193" t="s">
        <v>220</v>
      </c>
      <c r="B2085" s="193" t="s">
        <v>2351</v>
      </c>
      <c r="C2085" s="214" t="s">
        <v>4405</v>
      </c>
      <c r="D2085" s="193" t="s">
        <v>4406</v>
      </c>
      <c r="E2085" s="212" t="s">
        <v>545</v>
      </c>
      <c r="F2085" s="215">
        <v>10</v>
      </c>
      <c r="G2085" s="194">
        <v>1.1486666666666665</v>
      </c>
      <c r="H2085" s="195">
        <f t="shared" si="32"/>
        <v>11.486666666666665</v>
      </c>
      <c r="I2085" s="212" t="s">
        <v>2354</v>
      </c>
    </row>
    <row r="2086" spans="1:9" x14ac:dyDescent="0.25">
      <c r="A2086" s="193" t="s">
        <v>220</v>
      </c>
      <c r="B2086" s="193" t="s">
        <v>2351</v>
      </c>
      <c r="C2086" s="214" t="s">
        <v>4407</v>
      </c>
      <c r="D2086" s="193" t="s">
        <v>4408</v>
      </c>
      <c r="E2086" s="212" t="s">
        <v>545</v>
      </c>
      <c r="F2086" s="215">
        <v>13</v>
      </c>
      <c r="G2086" s="194">
        <v>45.45</v>
      </c>
      <c r="H2086" s="195">
        <f t="shared" si="32"/>
        <v>590.85</v>
      </c>
      <c r="I2086" s="212" t="s">
        <v>2354</v>
      </c>
    </row>
    <row r="2087" spans="1:9" x14ac:dyDescent="0.25">
      <c r="A2087" s="193" t="s">
        <v>220</v>
      </c>
      <c r="B2087" s="193" t="s">
        <v>2351</v>
      </c>
      <c r="C2087" s="214" t="s">
        <v>4409</v>
      </c>
      <c r="D2087" s="193" t="s">
        <v>4410</v>
      </c>
      <c r="E2087" s="212" t="s">
        <v>545</v>
      </c>
      <c r="F2087" s="215">
        <v>1</v>
      </c>
      <c r="G2087" s="194">
        <v>8.2170000000000005</v>
      </c>
      <c r="H2087" s="195">
        <f t="shared" si="32"/>
        <v>8.2170000000000005</v>
      </c>
      <c r="I2087" s="212" t="s">
        <v>2354</v>
      </c>
    </row>
    <row r="2088" spans="1:9" x14ac:dyDescent="0.25">
      <c r="A2088" s="193" t="s">
        <v>220</v>
      </c>
      <c r="B2088" s="193" t="s">
        <v>2351</v>
      </c>
      <c r="C2088" s="214" t="s">
        <v>4411</v>
      </c>
      <c r="D2088" s="193" t="s">
        <v>4412</v>
      </c>
      <c r="E2088" s="212" t="s">
        <v>545</v>
      </c>
      <c r="F2088" s="215">
        <v>1</v>
      </c>
      <c r="G2088" s="194">
        <v>10.6236</v>
      </c>
      <c r="H2088" s="195">
        <f t="shared" si="32"/>
        <v>10.6236</v>
      </c>
      <c r="I2088" s="212" t="s">
        <v>2354</v>
      </c>
    </row>
    <row r="2089" spans="1:9" x14ac:dyDescent="0.25">
      <c r="A2089" s="193" t="s">
        <v>220</v>
      </c>
      <c r="B2089" s="193" t="s">
        <v>2351</v>
      </c>
      <c r="C2089" s="214" t="s">
        <v>4413</v>
      </c>
      <c r="D2089" s="193" t="s">
        <v>4414</v>
      </c>
      <c r="E2089" s="212" t="s">
        <v>545</v>
      </c>
      <c r="F2089" s="215">
        <v>1</v>
      </c>
      <c r="G2089" s="194">
        <v>3.6972</v>
      </c>
      <c r="H2089" s="195">
        <f t="shared" si="32"/>
        <v>3.6972</v>
      </c>
      <c r="I2089" s="212" t="s">
        <v>2354</v>
      </c>
    </row>
    <row r="2090" spans="1:9" x14ac:dyDescent="0.25">
      <c r="A2090" s="193" t="s">
        <v>220</v>
      </c>
      <c r="B2090" s="193" t="s">
        <v>2351</v>
      </c>
      <c r="C2090" s="214" t="s">
        <v>4415</v>
      </c>
      <c r="D2090" s="193" t="s">
        <v>4416</v>
      </c>
      <c r="E2090" s="212" t="s">
        <v>545</v>
      </c>
      <c r="F2090" s="215">
        <v>10</v>
      </c>
      <c r="G2090" s="194">
        <v>2.3380714285714284</v>
      </c>
      <c r="H2090" s="195">
        <f t="shared" si="32"/>
        <v>23.380714285714284</v>
      </c>
      <c r="I2090" s="212" t="s">
        <v>2354</v>
      </c>
    </row>
    <row r="2091" spans="1:9" x14ac:dyDescent="0.25">
      <c r="A2091" s="193" t="s">
        <v>220</v>
      </c>
      <c r="B2091" s="193" t="s">
        <v>2351</v>
      </c>
      <c r="C2091" s="214" t="s">
        <v>4417</v>
      </c>
      <c r="D2091" s="193" t="s">
        <v>4418</v>
      </c>
      <c r="E2091" s="212" t="s">
        <v>545</v>
      </c>
      <c r="F2091" s="215">
        <v>5</v>
      </c>
      <c r="G2091" s="194">
        <v>8</v>
      </c>
      <c r="H2091" s="195">
        <f t="shared" si="32"/>
        <v>40</v>
      </c>
      <c r="I2091" s="212" t="s">
        <v>2354</v>
      </c>
    </row>
    <row r="2092" spans="1:9" x14ac:dyDescent="0.25">
      <c r="A2092" s="193" t="s">
        <v>220</v>
      </c>
      <c r="B2092" s="193" t="s">
        <v>2351</v>
      </c>
      <c r="C2092" s="214" t="s">
        <v>4419</v>
      </c>
      <c r="D2092" s="193" t="s">
        <v>4420</v>
      </c>
      <c r="E2092" s="212" t="s">
        <v>2473</v>
      </c>
      <c r="F2092" s="215">
        <v>9</v>
      </c>
      <c r="G2092" s="194">
        <v>3.5</v>
      </c>
      <c r="H2092" s="195">
        <f t="shared" si="32"/>
        <v>31.5</v>
      </c>
      <c r="I2092" s="212" t="s">
        <v>2354</v>
      </c>
    </row>
    <row r="2093" spans="1:9" x14ac:dyDescent="0.25">
      <c r="A2093" s="193" t="s">
        <v>220</v>
      </c>
      <c r="B2093" s="193" t="s">
        <v>2351</v>
      </c>
      <c r="C2093" s="214" t="s">
        <v>4421</v>
      </c>
      <c r="D2093" s="193" t="s">
        <v>4422</v>
      </c>
      <c r="E2093" s="212" t="s">
        <v>545</v>
      </c>
      <c r="F2093" s="215">
        <v>2</v>
      </c>
      <c r="G2093" s="194">
        <v>33.919199999999996</v>
      </c>
      <c r="H2093" s="195">
        <f t="shared" si="32"/>
        <v>67.838399999999993</v>
      </c>
      <c r="I2093" s="212" t="s">
        <v>2354</v>
      </c>
    </row>
    <row r="2094" spans="1:9" x14ac:dyDescent="0.25">
      <c r="A2094" s="193" t="s">
        <v>220</v>
      </c>
      <c r="B2094" s="193" t="s">
        <v>2351</v>
      </c>
      <c r="C2094" s="214" t="s">
        <v>4423</v>
      </c>
      <c r="D2094" s="193" t="s">
        <v>4424</v>
      </c>
      <c r="E2094" s="212" t="s">
        <v>2387</v>
      </c>
      <c r="F2094" s="215">
        <v>50</v>
      </c>
      <c r="G2094" s="194">
        <v>10.614599999999999</v>
      </c>
      <c r="H2094" s="195">
        <f t="shared" si="32"/>
        <v>530.73</v>
      </c>
      <c r="I2094" s="212" t="s">
        <v>2354</v>
      </c>
    </row>
    <row r="2095" spans="1:9" x14ac:dyDescent="0.25">
      <c r="A2095" s="193" t="s">
        <v>220</v>
      </c>
      <c r="B2095" s="193" t="s">
        <v>2351</v>
      </c>
      <c r="C2095" s="214" t="s">
        <v>4425</v>
      </c>
      <c r="D2095" s="193" t="s">
        <v>2402</v>
      </c>
      <c r="E2095" s="212" t="s">
        <v>545</v>
      </c>
      <c r="F2095" s="215">
        <v>18</v>
      </c>
      <c r="G2095" s="194">
        <v>2.2999999999999998</v>
      </c>
      <c r="H2095" s="195">
        <f t="shared" si="32"/>
        <v>41.4</v>
      </c>
      <c r="I2095" s="212" t="s">
        <v>2354</v>
      </c>
    </row>
    <row r="2096" spans="1:9" x14ac:dyDescent="0.25">
      <c r="A2096" s="193" t="s">
        <v>220</v>
      </c>
      <c r="B2096" s="193" t="s">
        <v>2351</v>
      </c>
      <c r="C2096" s="214" t="s">
        <v>4426</v>
      </c>
      <c r="D2096" s="193" t="s">
        <v>4427</v>
      </c>
      <c r="E2096" s="212" t="s">
        <v>545</v>
      </c>
      <c r="F2096" s="215">
        <v>6</v>
      </c>
      <c r="G2096" s="194">
        <v>7.021221052631577</v>
      </c>
      <c r="H2096" s="195">
        <f t="shared" si="32"/>
        <v>42.12732631578946</v>
      </c>
      <c r="I2096" s="212" t="s">
        <v>2354</v>
      </c>
    </row>
    <row r="2097" spans="1:9" x14ac:dyDescent="0.25">
      <c r="A2097" s="193" t="s">
        <v>220</v>
      </c>
      <c r="B2097" s="193" t="s">
        <v>2351</v>
      </c>
      <c r="C2097" s="214" t="s">
        <v>4428</v>
      </c>
      <c r="D2097" s="193" t="s">
        <v>4429</v>
      </c>
      <c r="E2097" s="212" t="s">
        <v>2387</v>
      </c>
      <c r="F2097" s="215">
        <v>22</v>
      </c>
      <c r="G2097" s="194">
        <v>29.7</v>
      </c>
      <c r="H2097" s="195">
        <f t="shared" si="32"/>
        <v>653.4</v>
      </c>
      <c r="I2097" s="212" t="s">
        <v>2354</v>
      </c>
    </row>
    <row r="2098" spans="1:9" x14ac:dyDescent="0.25">
      <c r="A2098" s="193" t="s">
        <v>220</v>
      </c>
      <c r="B2098" s="193" t="s">
        <v>2351</v>
      </c>
      <c r="C2098" s="214" t="s">
        <v>4430</v>
      </c>
      <c r="D2098" s="193" t="s">
        <v>4431</v>
      </c>
      <c r="E2098" s="212" t="s">
        <v>545</v>
      </c>
      <c r="F2098" s="215">
        <v>20</v>
      </c>
      <c r="G2098" s="194">
        <v>0.81200000000000006</v>
      </c>
      <c r="H2098" s="195">
        <f t="shared" si="32"/>
        <v>16.240000000000002</v>
      </c>
      <c r="I2098" s="212" t="s">
        <v>2354</v>
      </c>
    </row>
    <row r="2099" spans="1:9" x14ac:dyDescent="0.25">
      <c r="A2099" s="193" t="s">
        <v>220</v>
      </c>
      <c r="B2099" s="193" t="s">
        <v>2351</v>
      </c>
      <c r="C2099" s="214" t="s">
        <v>4432</v>
      </c>
      <c r="D2099" s="193" t="s">
        <v>4433</v>
      </c>
      <c r="E2099" s="212" t="s">
        <v>545</v>
      </c>
      <c r="F2099" s="215">
        <v>20</v>
      </c>
      <c r="G2099" s="194">
        <v>4.8</v>
      </c>
      <c r="H2099" s="195">
        <f t="shared" si="32"/>
        <v>96</v>
      </c>
      <c r="I2099" s="212" t="s">
        <v>2354</v>
      </c>
    </row>
    <row r="2100" spans="1:9" x14ac:dyDescent="0.25">
      <c r="A2100" s="193" t="s">
        <v>220</v>
      </c>
      <c r="B2100" s="193" t="s">
        <v>2351</v>
      </c>
      <c r="C2100" s="214" t="s">
        <v>4434</v>
      </c>
      <c r="D2100" s="193" t="s">
        <v>4435</v>
      </c>
      <c r="E2100" s="212" t="s">
        <v>545</v>
      </c>
      <c r="F2100" s="215">
        <v>5</v>
      </c>
      <c r="G2100" s="194">
        <v>49.5</v>
      </c>
      <c r="H2100" s="195">
        <f t="shared" si="32"/>
        <v>247.5</v>
      </c>
      <c r="I2100" s="212" t="s">
        <v>2354</v>
      </c>
    </row>
    <row r="2101" spans="1:9" x14ac:dyDescent="0.25">
      <c r="A2101" s="193" t="s">
        <v>220</v>
      </c>
      <c r="B2101" s="193" t="s">
        <v>2351</v>
      </c>
      <c r="C2101" s="214" t="s">
        <v>4436</v>
      </c>
      <c r="D2101" s="193" t="s">
        <v>4437</v>
      </c>
      <c r="E2101" s="212" t="s">
        <v>2387</v>
      </c>
      <c r="F2101" s="215">
        <v>5</v>
      </c>
      <c r="G2101" s="194">
        <v>20.257575757575758</v>
      </c>
      <c r="H2101" s="195">
        <f t="shared" si="32"/>
        <v>101.28787878787878</v>
      </c>
      <c r="I2101" s="212" t="s">
        <v>2354</v>
      </c>
    </row>
    <row r="2102" spans="1:9" x14ac:dyDescent="0.25">
      <c r="A2102" s="193" t="s">
        <v>220</v>
      </c>
      <c r="B2102" s="193" t="s">
        <v>2351</v>
      </c>
      <c r="C2102" s="214" t="s">
        <v>4438</v>
      </c>
      <c r="D2102" s="193" t="s">
        <v>4439</v>
      </c>
      <c r="E2102" s="212" t="s">
        <v>545</v>
      </c>
      <c r="F2102" s="215">
        <v>9</v>
      </c>
      <c r="G2102" s="194">
        <v>8.1437333333333335</v>
      </c>
      <c r="H2102" s="195">
        <f t="shared" si="32"/>
        <v>73.293599999999998</v>
      </c>
      <c r="I2102" s="212" t="s">
        <v>2354</v>
      </c>
    </row>
    <row r="2103" spans="1:9" x14ac:dyDescent="0.25">
      <c r="A2103" s="193" t="s">
        <v>220</v>
      </c>
      <c r="B2103" s="193" t="s">
        <v>2351</v>
      </c>
      <c r="C2103" s="214" t="s">
        <v>4440</v>
      </c>
      <c r="D2103" s="193" t="s">
        <v>4441</v>
      </c>
      <c r="E2103" s="212" t="s">
        <v>545</v>
      </c>
      <c r="F2103" s="215">
        <v>150</v>
      </c>
      <c r="G2103" s="194">
        <v>1.439E-2</v>
      </c>
      <c r="H2103" s="195">
        <f t="shared" si="32"/>
        <v>2.1585000000000001</v>
      </c>
      <c r="I2103" s="212" t="s">
        <v>2354</v>
      </c>
    </row>
    <row r="2104" spans="1:9" x14ac:dyDescent="0.25">
      <c r="A2104" s="193" t="s">
        <v>220</v>
      </c>
      <c r="B2104" s="193" t="s">
        <v>2351</v>
      </c>
      <c r="C2104" s="214" t="s">
        <v>4442</v>
      </c>
      <c r="D2104" s="193" t="s">
        <v>4443</v>
      </c>
      <c r="E2104" s="212" t="s">
        <v>545</v>
      </c>
      <c r="F2104" s="215">
        <v>25</v>
      </c>
      <c r="G2104" s="194">
        <v>0.23452000000000001</v>
      </c>
      <c r="H2104" s="195">
        <f t="shared" si="32"/>
        <v>5.8630000000000004</v>
      </c>
      <c r="I2104" s="212" t="s">
        <v>2354</v>
      </c>
    </row>
    <row r="2105" spans="1:9" x14ac:dyDescent="0.25">
      <c r="A2105" s="193" t="s">
        <v>220</v>
      </c>
      <c r="B2105" s="193" t="s">
        <v>2351</v>
      </c>
      <c r="C2105" s="214" t="s">
        <v>4444</v>
      </c>
      <c r="D2105" s="193" t="s">
        <v>4445</v>
      </c>
      <c r="E2105" s="212" t="s">
        <v>545</v>
      </c>
      <c r="F2105" s="215">
        <v>25</v>
      </c>
      <c r="G2105" s="194">
        <v>0.252</v>
      </c>
      <c r="H2105" s="195">
        <f t="shared" si="32"/>
        <v>6.3</v>
      </c>
      <c r="I2105" s="212" t="s">
        <v>2354</v>
      </c>
    </row>
    <row r="2106" spans="1:9" x14ac:dyDescent="0.25">
      <c r="A2106" s="193" t="s">
        <v>220</v>
      </c>
      <c r="B2106" s="193" t="s">
        <v>2351</v>
      </c>
      <c r="C2106" s="214" t="s">
        <v>4446</v>
      </c>
      <c r="D2106" s="193" t="s">
        <v>4447</v>
      </c>
      <c r="E2106" s="212" t="s">
        <v>545</v>
      </c>
      <c r="F2106" s="215">
        <v>14</v>
      </c>
      <c r="G2106" s="194">
        <v>0.37309999999999999</v>
      </c>
      <c r="H2106" s="195">
        <f t="shared" si="32"/>
        <v>5.2233999999999998</v>
      </c>
      <c r="I2106" s="212" t="s">
        <v>2354</v>
      </c>
    </row>
    <row r="2107" spans="1:9" x14ac:dyDescent="0.25">
      <c r="A2107" s="193" t="s">
        <v>220</v>
      </c>
      <c r="B2107" s="193" t="s">
        <v>2351</v>
      </c>
      <c r="C2107" s="214" t="s">
        <v>4448</v>
      </c>
      <c r="D2107" s="193" t="s">
        <v>4449</v>
      </c>
      <c r="E2107" s="212" t="s">
        <v>545</v>
      </c>
      <c r="F2107" s="215">
        <v>38</v>
      </c>
      <c r="G2107" s="194">
        <v>0.79300000000000004</v>
      </c>
      <c r="H2107" s="195">
        <f t="shared" si="32"/>
        <v>30.134</v>
      </c>
      <c r="I2107" s="212" t="s">
        <v>2354</v>
      </c>
    </row>
    <row r="2108" spans="1:9" x14ac:dyDescent="0.25">
      <c r="A2108" s="193" t="s">
        <v>220</v>
      </c>
      <c r="B2108" s="193" t="s">
        <v>2351</v>
      </c>
      <c r="C2108" s="214" t="s">
        <v>4450</v>
      </c>
      <c r="D2108" s="193" t="s">
        <v>4451</v>
      </c>
      <c r="E2108" s="212" t="s">
        <v>545</v>
      </c>
      <c r="F2108" s="215">
        <v>5</v>
      </c>
      <c r="G2108" s="194">
        <v>1.0857000000000001</v>
      </c>
      <c r="H2108" s="195">
        <f t="shared" si="32"/>
        <v>5.4285000000000005</v>
      </c>
      <c r="I2108" s="212" t="s">
        <v>2354</v>
      </c>
    </row>
    <row r="2109" spans="1:9" x14ac:dyDescent="0.25">
      <c r="A2109" s="193" t="s">
        <v>220</v>
      </c>
      <c r="B2109" s="193" t="s">
        <v>2351</v>
      </c>
      <c r="C2109" s="214" t="s">
        <v>4452</v>
      </c>
      <c r="D2109" s="193" t="s">
        <v>4453</v>
      </c>
      <c r="E2109" s="212" t="s">
        <v>545</v>
      </c>
      <c r="F2109" s="215">
        <v>44</v>
      </c>
      <c r="G2109" s="194">
        <v>0.73072999999999999</v>
      </c>
      <c r="H2109" s="195">
        <f t="shared" si="32"/>
        <v>32.152119999999996</v>
      </c>
      <c r="I2109" s="212" t="s">
        <v>2354</v>
      </c>
    </row>
    <row r="2110" spans="1:9" x14ac:dyDescent="0.25">
      <c r="A2110" s="193" t="s">
        <v>220</v>
      </c>
      <c r="B2110" s="193" t="s">
        <v>2351</v>
      </c>
      <c r="C2110" s="214" t="s">
        <v>4454</v>
      </c>
      <c r="D2110" s="193" t="s">
        <v>4455</v>
      </c>
      <c r="E2110" s="212" t="s">
        <v>545</v>
      </c>
      <c r="F2110" s="215">
        <v>90</v>
      </c>
      <c r="G2110" s="194">
        <v>0.40589999999999998</v>
      </c>
      <c r="H2110" s="195">
        <f t="shared" si="32"/>
        <v>36.530999999999999</v>
      </c>
      <c r="I2110" s="212" t="s">
        <v>2354</v>
      </c>
    </row>
    <row r="2111" spans="1:9" x14ac:dyDescent="0.25">
      <c r="A2111" s="193" t="s">
        <v>220</v>
      </c>
      <c r="B2111" s="193" t="s">
        <v>2351</v>
      </c>
      <c r="C2111" s="214" t="s">
        <v>4456</v>
      </c>
      <c r="D2111" s="193" t="s">
        <v>4457</v>
      </c>
      <c r="E2111" s="212" t="s">
        <v>545</v>
      </c>
      <c r="F2111" s="215">
        <v>190</v>
      </c>
      <c r="G2111" s="194">
        <v>6.3960000000000003E-2</v>
      </c>
      <c r="H2111" s="195">
        <f t="shared" si="32"/>
        <v>12.1524</v>
      </c>
      <c r="I2111" s="212" t="s">
        <v>2354</v>
      </c>
    </row>
    <row r="2112" spans="1:9" x14ac:dyDescent="0.25">
      <c r="A2112" s="193" t="s">
        <v>220</v>
      </c>
      <c r="B2112" s="193" t="s">
        <v>2351</v>
      </c>
      <c r="C2112" s="214" t="s">
        <v>4458</v>
      </c>
      <c r="D2112" s="193" t="s">
        <v>4459</v>
      </c>
      <c r="E2112" s="212" t="s">
        <v>545</v>
      </c>
      <c r="F2112" s="215">
        <v>98</v>
      </c>
      <c r="G2112" s="194">
        <v>6.3960000000000003E-2</v>
      </c>
      <c r="H2112" s="195">
        <f t="shared" si="32"/>
        <v>6.2680800000000003</v>
      </c>
      <c r="I2112" s="212" t="s">
        <v>2354</v>
      </c>
    </row>
    <row r="2113" spans="1:9" x14ac:dyDescent="0.25">
      <c r="A2113" s="193" t="s">
        <v>220</v>
      </c>
      <c r="B2113" s="193" t="s">
        <v>2351</v>
      </c>
      <c r="C2113" s="214" t="s">
        <v>4460</v>
      </c>
      <c r="D2113" s="193" t="s">
        <v>4461</v>
      </c>
      <c r="E2113" s="212" t="s">
        <v>545</v>
      </c>
      <c r="F2113" s="215">
        <v>88</v>
      </c>
      <c r="G2113" s="194">
        <v>6.3960000000000003E-2</v>
      </c>
      <c r="H2113" s="195">
        <f t="shared" si="32"/>
        <v>5.6284800000000006</v>
      </c>
      <c r="I2113" s="212" t="s">
        <v>2354</v>
      </c>
    </row>
    <row r="2114" spans="1:9" x14ac:dyDescent="0.25">
      <c r="A2114" s="193" t="s">
        <v>220</v>
      </c>
      <c r="B2114" s="193" t="s">
        <v>2351</v>
      </c>
      <c r="C2114" s="214" t="s">
        <v>4462</v>
      </c>
      <c r="D2114" s="193" t="s">
        <v>4463</v>
      </c>
      <c r="E2114" s="212" t="s">
        <v>545</v>
      </c>
      <c r="F2114" s="215">
        <v>98</v>
      </c>
      <c r="G2114" s="194">
        <v>6.3960000000000003E-2</v>
      </c>
      <c r="H2114" s="195">
        <f t="shared" si="32"/>
        <v>6.2680800000000003</v>
      </c>
      <c r="I2114" s="212" t="s">
        <v>2354</v>
      </c>
    </row>
    <row r="2115" spans="1:9" x14ac:dyDescent="0.25">
      <c r="A2115" s="193" t="s">
        <v>220</v>
      </c>
      <c r="B2115" s="193" t="s">
        <v>2351</v>
      </c>
      <c r="C2115" s="214" t="s">
        <v>4464</v>
      </c>
      <c r="D2115" s="193" t="s">
        <v>4465</v>
      </c>
      <c r="E2115" s="212" t="s">
        <v>545</v>
      </c>
      <c r="F2115" s="215">
        <v>86</v>
      </c>
      <c r="G2115" s="194">
        <v>6.3960000000000003E-2</v>
      </c>
      <c r="H2115" s="195">
        <f t="shared" si="32"/>
        <v>5.5005600000000001</v>
      </c>
      <c r="I2115" s="212" t="s">
        <v>2354</v>
      </c>
    </row>
    <row r="2116" spans="1:9" x14ac:dyDescent="0.25">
      <c r="A2116" s="193" t="s">
        <v>220</v>
      </c>
      <c r="B2116" s="193" t="s">
        <v>2351</v>
      </c>
      <c r="C2116" s="214" t="s">
        <v>4466</v>
      </c>
      <c r="D2116" s="193" t="s">
        <v>4467</v>
      </c>
      <c r="E2116" s="212" t="s">
        <v>545</v>
      </c>
      <c r="F2116" s="215">
        <v>100</v>
      </c>
      <c r="G2116" s="194">
        <v>6.3960000000000003E-2</v>
      </c>
      <c r="H2116" s="195">
        <f t="shared" si="32"/>
        <v>6.3959999999999999</v>
      </c>
      <c r="I2116" s="212" t="s">
        <v>2354</v>
      </c>
    </row>
    <row r="2117" spans="1:9" x14ac:dyDescent="0.25">
      <c r="A2117" s="193" t="s">
        <v>220</v>
      </c>
      <c r="B2117" s="193" t="s">
        <v>2351</v>
      </c>
      <c r="C2117" s="214" t="s">
        <v>4468</v>
      </c>
      <c r="D2117" s="193" t="s">
        <v>4469</v>
      </c>
      <c r="E2117" s="212" t="s">
        <v>545</v>
      </c>
      <c r="F2117" s="215">
        <v>100</v>
      </c>
      <c r="G2117" s="194">
        <v>6.3960000000000003E-2</v>
      </c>
      <c r="H2117" s="195">
        <f t="shared" ref="H2117:H2180" si="33">+F2117*G2117</f>
        <v>6.3959999999999999</v>
      </c>
      <c r="I2117" s="212" t="s">
        <v>2354</v>
      </c>
    </row>
    <row r="2118" spans="1:9" x14ac:dyDescent="0.25">
      <c r="A2118" s="193" t="s">
        <v>220</v>
      </c>
      <c r="B2118" s="193" t="s">
        <v>2351</v>
      </c>
      <c r="C2118" s="214" t="s">
        <v>4470</v>
      </c>
      <c r="D2118" s="193" t="s">
        <v>4471</v>
      </c>
      <c r="E2118" s="212" t="s">
        <v>545</v>
      </c>
      <c r="F2118" s="215">
        <v>100</v>
      </c>
      <c r="G2118" s="194">
        <v>6.3960000000000003E-2</v>
      </c>
      <c r="H2118" s="195">
        <f t="shared" si="33"/>
        <v>6.3959999999999999</v>
      </c>
      <c r="I2118" s="212" t="s">
        <v>2354</v>
      </c>
    </row>
    <row r="2119" spans="1:9" x14ac:dyDescent="0.25">
      <c r="A2119" s="193" t="s">
        <v>220</v>
      </c>
      <c r="B2119" s="193" t="s">
        <v>2351</v>
      </c>
      <c r="C2119" s="214" t="s">
        <v>4472</v>
      </c>
      <c r="D2119" s="193" t="s">
        <v>4473</v>
      </c>
      <c r="E2119" s="212" t="s">
        <v>545</v>
      </c>
      <c r="F2119" s="215">
        <v>50</v>
      </c>
      <c r="G2119" s="194">
        <v>7.4620000000000006E-2</v>
      </c>
      <c r="H2119" s="195">
        <f t="shared" si="33"/>
        <v>3.7310000000000003</v>
      </c>
      <c r="I2119" s="212" t="s">
        <v>2354</v>
      </c>
    </row>
    <row r="2120" spans="1:9" x14ac:dyDescent="0.25">
      <c r="A2120" s="193" t="s">
        <v>220</v>
      </c>
      <c r="B2120" s="193" t="s">
        <v>2351</v>
      </c>
      <c r="C2120" s="214" t="s">
        <v>4474</v>
      </c>
      <c r="D2120" s="193" t="s">
        <v>4475</v>
      </c>
      <c r="E2120" s="212" t="s">
        <v>545</v>
      </c>
      <c r="F2120" s="215">
        <v>50</v>
      </c>
      <c r="G2120" s="194">
        <v>7.4620000000000006E-2</v>
      </c>
      <c r="H2120" s="195">
        <f t="shared" si="33"/>
        <v>3.7310000000000003</v>
      </c>
      <c r="I2120" s="212" t="s">
        <v>2354</v>
      </c>
    </row>
    <row r="2121" spans="1:9" x14ac:dyDescent="0.25">
      <c r="A2121" s="193" t="s">
        <v>220</v>
      </c>
      <c r="B2121" s="193" t="s">
        <v>2351</v>
      </c>
      <c r="C2121" s="214" t="s">
        <v>4476</v>
      </c>
      <c r="D2121" s="193" t="s">
        <v>4477</v>
      </c>
      <c r="E2121" s="212" t="s">
        <v>545</v>
      </c>
      <c r="F2121" s="215">
        <v>50</v>
      </c>
      <c r="G2121" s="194">
        <v>7.4620000000000006E-2</v>
      </c>
      <c r="H2121" s="195">
        <f t="shared" si="33"/>
        <v>3.7310000000000003</v>
      </c>
      <c r="I2121" s="212" t="s">
        <v>2354</v>
      </c>
    </row>
    <row r="2122" spans="1:9" x14ac:dyDescent="0.25">
      <c r="A2122" s="193" t="s">
        <v>220</v>
      </c>
      <c r="B2122" s="193" t="s">
        <v>2351</v>
      </c>
      <c r="C2122" s="214" t="s">
        <v>4478</v>
      </c>
      <c r="D2122" s="193" t="s">
        <v>4479</v>
      </c>
      <c r="E2122" s="212" t="s">
        <v>545</v>
      </c>
      <c r="F2122" s="215">
        <v>50</v>
      </c>
      <c r="G2122" s="194">
        <v>7.4620000000000006E-2</v>
      </c>
      <c r="H2122" s="195">
        <f t="shared" si="33"/>
        <v>3.7310000000000003</v>
      </c>
      <c r="I2122" s="212" t="s">
        <v>2354</v>
      </c>
    </row>
    <row r="2123" spans="1:9" x14ac:dyDescent="0.25">
      <c r="A2123" s="193" t="s">
        <v>220</v>
      </c>
      <c r="B2123" s="193" t="s">
        <v>2351</v>
      </c>
      <c r="C2123" s="214" t="s">
        <v>4480</v>
      </c>
      <c r="D2123" s="193" t="s">
        <v>4481</v>
      </c>
      <c r="E2123" s="212" t="s">
        <v>545</v>
      </c>
      <c r="F2123" s="215">
        <v>50</v>
      </c>
      <c r="G2123" s="194">
        <v>7.4620000000000006E-2</v>
      </c>
      <c r="H2123" s="195">
        <f t="shared" si="33"/>
        <v>3.7310000000000003</v>
      </c>
      <c r="I2123" s="212" t="s">
        <v>2354</v>
      </c>
    </row>
    <row r="2124" spans="1:9" x14ac:dyDescent="0.25">
      <c r="A2124" s="193" t="s">
        <v>220</v>
      </c>
      <c r="B2124" s="193" t="s">
        <v>2351</v>
      </c>
      <c r="C2124" s="214" t="s">
        <v>4482</v>
      </c>
      <c r="D2124" s="193" t="s">
        <v>4483</v>
      </c>
      <c r="E2124" s="212" t="s">
        <v>545</v>
      </c>
      <c r="F2124" s="215">
        <v>50</v>
      </c>
      <c r="G2124" s="194">
        <v>7.4620000000000006E-2</v>
      </c>
      <c r="H2124" s="195">
        <f t="shared" si="33"/>
        <v>3.7310000000000003</v>
      </c>
      <c r="I2124" s="212" t="s">
        <v>2354</v>
      </c>
    </row>
    <row r="2125" spans="1:9" x14ac:dyDescent="0.25">
      <c r="A2125" s="193" t="s">
        <v>220</v>
      </c>
      <c r="B2125" s="193" t="s">
        <v>2351</v>
      </c>
      <c r="C2125" s="214" t="s">
        <v>4484</v>
      </c>
      <c r="D2125" s="193" t="s">
        <v>4485</v>
      </c>
      <c r="E2125" s="212" t="s">
        <v>545</v>
      </c>
      <c r="F2125" s="215">
        <v>50</v>
      </c>
      <c r="G2125" s="194">
        <v>7.4620000000000006E-2</v>
      </c>
      <c r="H2125" s="195">
        <f t="shared" si="33"/>
        <v>3.7310000000000003</v>
      </c>
      <c r="I2125" s="212" t="s">
        <v>2354</v>
      </c>
    </row>
    <row r="2126" spans="1:9" x14ac:dyDescent="0.25">
      <c r="A2126" s="193" t="s">
        <v>220</v>
      </c>
      <c r="B2126" s="193" t="s">
        <v>2351</v>
      </c>
      <c r="C2126" s="214" t="s">
        <v>4486</v>
      </c>
      <c r="D2126" s="193" t="s">
        <v>4487</v>
      </c>
      <c r="E2126" s="212" t="s">
        <v>545</v>
      </c>
      <c r="F2126" s="215">
        <v>50</v>
      </c>
      <c r="G2126" s="194">
        <v>7.4620000000000006E-2</v>
      </c>
      <c r="H2126" s="195">
        <f t="shared" si="33"/>
        <v>3.7310000000000003</v>
      </c>
      <c r="I2126" s="212" t="s">
        <v>2354</v>
      </c>
    </row>
    <row r="2127" spans="1:9" x14ac:dyDescent="0.25">
      <c r="A2127" s="193" t="s">
        <v>220</v>
      </c>
      <c r="B2127" s="193" t="s">
        <v>2351</v>
      </c>
      <c r="C2127" s="214" t="s">
        <v>4488</v>
      </c>
      <c r="D2127" s="193" t="s">
        <v>4489</v>
      </c>
      <c r="E2127" s="212" t="s">
        <v>545</v>
      </c>
      <c r="F2127" s="215">
        <v>1</v>
      </c>
      <c r="G2127" s="194">
        <v>19.065777777777775</v>
      </c>
      <c r="H2127" s="195">
        <f t="shared" si="33"/>
        <v>19.065777777777775</v>
      </c>
      <c r="I2127" s="212" t="s">
        <v>2354</v>
      </c>
    </row>
    <row r="2128" spans="1:9" x14ac:dyDescent="0.25">
      <c r="A2128" s="193" t="s">
        <v>220</v>
      </c>
      <c r="B2128" s="193" t="s">
        <v>2351</v>
      </c>
      <c r="C2128" s="214" t="s">
        <v>4490</v>
      </c>
      <c r="D2128" s="193" t="s">
        <v>4491</v>
      </c>
      <c r="E2128" s="212" t="s">
        <v>545</v>
      </c>
      <c r="F2128" s="215">
        <v>110</v>
      </c>
      <c r="G2128" s="194">
        <v>0.75768000000000002</v>
      </c>
      <c r="H2128" s="195">
        <f t="shared" si="33"/>
        <v>83.344800000000006</v>
      </c>
      <c r="I2128" s="212" t="s">
        <v>2354</v>
      </c>
    </row>
    <row r="2129" spans="1:9" x14ac:dyDescent="0.25">
      <c r="A2129" s="193" t="s">
        <v>220</v>
      </c>
      <c r="B2129" s="193" t="s">
        <v>2351</v>
      </c>
      <c r="C2129" s="214" t="s">
        <v>4492</v>
      </c>
      <c r="D2129" s="193" t="s">
        <v>4493</v>
      </c>
      <c r="E2129" s="212" t="s">
        <v>545</v>
      </c>
      <c r="F2129" s="215">
        <v>10</v>
      </c>
      <c r="G2129" s="194">
        <v>12.4</v>
      </c>
      <c r="H2129" s="195">
        <f t="shared" si="33"/>
        <v>124</v>
      </c>
      <c r="I2129" s="212" t="s">
        <v>2354</v>
      </c>
    </row>
    <row r="2130" spans="1:9" x14ac:dyDescent="0.25">
      <c r="A2130" s="193" t="s">
        <v>220</v>
      </c>
      <c r="B2130" s="193" t="s">
        <v>2351</v>
      </c>
      <c r="C2130" s="214" t="s">
        <v>4494</v>
      </c>
      <c r="D2130" s="193" t="s">
        <v>4495</v>
      </c>
      <c r="E2130" s="212" t="s">
        <v>545</v>
      </c>
      <c r="F2130" s="215">
        <v>17</v>
      </c>
      <c r="G2130" s="194">
        <v>12.4</v>
      </c>
      <c r="H2130" s="195">
        <f t="shared" si="33"/>
        <v>210.8</v>
      </c>
      <c r="I2130" s="212" t="s">
        <v>2354</v>
      </c>
    </row>
    <row r="2131" spans="1:9" x14ac:dyDescent="0.25">
      <c r="A2131" s="193" t="s">
        <v>220</v>
      </c>
      <c r="B2131" s="193" t="s">
        <v>2351</v>
      </c>
      <c r="C2131" s="214" t="s">
        <v>4496</v>
      </c>
      <c r="D2131" s="193" t="s">
        <v>4497</v>
      </c>
      <c r="E2131" s="212" t="s">
        <v>545</v>
      </c>
      <c r="F2131" s="215">
        <v>1</v>
      </c>
      <c r="G2131" s="194">
        <v>13.175000000000001</v>
      </c>
      <c r="H2131" s="195">
        <f t="shared" si="33"/>
        <v>13.175000000000001</v>
      </c>
      <c r="I2131" s="212" t="s">
        <v>2354</v>
      </c>
    </row>
    <row r="2132" spans="1:9" x14ac:dyDescent="0.25">
      <c r="A2132" s="193" t="s">
        <v>220</v>
      </c>
      <c r="B2132" s="193" t="s">
        <v>2351</v>
      </c>
      <c r="C2132" s="214" t="s">
        <v>4498</v>
      </c>
      <c r="D2132" s="193" t="s">
        <v>4499</v>
      </c>
      <c r="E2132" s="212" t="s">
        <v>545</v>
      </c>
      <c r="F2132" s="215">
        <v>2</v>
      </c>
      <c r="G2132" s="194">
        <v>3.2899526066350711</v>
      </c>
      <c r="H2132" s="195">
        <f t="shared" si="33"/>
        <v>6.5799052132701421</v>
      </c>
      <c r="I2132" s="212" t="s">
        <v>2354</v>
      </c>
    </row>
    <row r="2133" spans="1:9" x14ac:dyDescent="0.25">
      <c r="A2133" s="193" t="s">
        <v>220</v>
      </c>
      <c r="B2133" s="193" t="s">
        <v>2351</v>
      </c>
      <c r="C2133" s="214" t="s">
        <v>4500</v>
      </c>
      <c r="D2133" s="193" t="s">
        <v>4501</v>
      </c>
      <c r="E2133" s="212" t="s">
        <v>545</v>
      </c>
      <c r="F2133" s="215">
        <v>6</v>
      </c>
      <c r="G2133" s="194">
        <v>4.0911764705882359</v>
      </c>
      <c r="H2133" s="195">
        <f t="shared" si="33"/>
        <v>24.547058823529415</v>
      </c>
      <c r="I2133" s="212" t="s">
        <v>2354</v>
      </c>
    </row>
    <row r="2134" spans="1:9" x14ac:dyDescent="0.25">
      <c r="A2134" s="193" t="s">
        <v>220</v>
      </c>
      <c r="B2134" s="193" t="s">
        <v>2351</v>
      </c>
      <c r="C2134" s="214" t="s">
        <v>4502</v>
      </c>
      <c r="D2134" s="193" t="s">
        <v>4503</v>
      </c>
      <c r="E2134" s="212" t="s">
        <v>545</v>
      </c>
      <c r="F2134" s="215">
        <v>5</v>
      </c>
      <c r="G2134" s="194">
        <v>16.380179999999999</v>
      </c>
      <c r="H2134" s="195">
        <f t="shared" si="33"/>
        <v>81.900899999999993</v>
      </c>
      <c r="I2134" s="212" t="s">
        <v>2354</v>
      </c>
    </row>
    <row r="2135" spans="1:9" x14ac:dyDescent="0.25">
      <c r="A2135" s="193" t="s">
        <v>220</v>
      </c>
      <c r="B2135" s="193" t="s">
        <v>2351</v>
      </c>
      <c r="C2135" s="214" t="s">
        <v>4504</v>
      </c>
      <c r="D2135" s="193" t="s">
        <v>4505</v>
      </c>
      <c r="E2135" s="212" t="s">
        <v>545</v>
      </c>
      <c r="F2135" s="215">
        <v>2</v>
      </c>
      <c r="G2135" s="194">
        <v>12.260434210526316</v>
      </c>
      <c r="H2135" s="195">
        <f t="shared" si="33"/>
        <v>24.520868421052633</v>
      </c>
      <c r="I2135" s="212" t="s">
        <v>2354</v>
      </c>
    </row>
    <row r="2136" spans="1:9" x14ac:dyDescent="0.25">
      <c r="A2136" s="193" t="s">
        <v>220</v>
      </c>
      <c r="B2136" s="193" t="s">
        <v>2351</v>
      </c>
      <c r="C2136" s="214" t="s">
        <v>4506</v>
      </c>
      <c r="D2136" s="193" t="s">
        <v>4507</v>
      </c>
      <c r="E2136" s="212" t="s">
        <v>545</v>
      </c>
      <c r="F2136" s="215">
        <v>1</v>
      </c>
      <c r="G2136" s="194">
        <v>55.295999999999999</v>
      </c>
      <c r="H2136" s="195">
        <f t="shared" si="33"/>
        <v>55.295999999999999</v>
      </c>
      <c r="I2136" s="212" t="s">
        <v>2354</v>
      </c>
    </row>
    <row r="2137" spans="1:9" x14ac:dyDescent="0.25">
      <c r="A2137" s="193" t="s">
        <v>220</v>
      </c>
      <c r="B2137" s="193" t="s">
        <v>2351</v>
      </c>
      <c r="C2137" s="214" t="s">
        <v>4508</v>
      </c>
      <c r="D2137" s="193" t="s">
        <v>4509</v>
      </c>
      <c r="E2137" s="212" t="s">
        <v>2387</v>
      </c>
      <c r="F2137" s="215">
        <v>3</v>
      </c>
      <c r="G2137" s="194">
        <v>18.416368421052635</v>
      </c>
      <c r="H2137" s="195">
        <f t="shared" si="33"/>
        <v>55.249105263157901</v>
      </c>
      <c r="I2137" s="212" t="s">
        <v>2354</v>
      </c>
    </row>
    <row r="2138" spans="1:9" x14ac:dyDescent="0.25">
      <c r="A2138" s="193" t="s">
        <v>220</v>
      </c>
      <c r="B2138" s="193" t="s">
        <v>2351</v>
      </c>
      <c r="C2138" s="214" t="s">
        <v>4510</v>
      </c>
      <c r="D2138" s="193" t="s">
        <v>4511</v>
      </c>
      <c r="E2138" s="212" t="s">
        <v>545</v>
      </c>
      <c r="F2138" s="215">
        <v>10</v>
      </c>
      <c r="G2138" s="194">
        <v>7.541785714285715</v>
      </c>
      <c r="H2138" s="195">
        <f t="shared" si="33"/>
        <v>75.417857142857144</v>
      </c>
      <c r="I2138" s="212" t="s">
        <v>2354</v>
      </c>
    </row>
    <row r="2139" spans="1:9" x14ac:dyDescent="0.25">
      <c r="A2139" s="193" t="s">
        <v>220</v>
      </c>
      <c r="B2139" s="193" t="s">
        <v>2351</v>
      </c>
      <c r="C2139" s="214" t="s">
        <v>4512</v>
      </c>
      <c r="D2139" s="193" t="s">
        <v>4513</v>
      </c>
      <c r="E2139" s="212" t="s">
        <v>545</v>
      </c>
      <c r="F2139" s="215">
        <v>10</v>
      </c>
      <c r="G2139" s="194">
        <v>9.8819999999999997</v>
      </c>
      <c r="H2139" s="195">
        <f t="shared" si="33"/>
        <v>98.82</v>
      </c>
      <c r="I2139" s="212" t="s">
        <v>2354</v>
      </c>
    </row>
    <row r="2140" spans="1:9" x14ac:dyDescent="0.25">
      <c r="A2140" s="193" t="s">
        <v>220</v>
      </c>
      <c r="B2140" s="193" t="s">
        <v>2351</v>
      </c>
      <c r="C2140" s="214" t="s">
        <v>4514</v>
      </c>
      <c r="D2140" s="193" t="s">
        <v>4515</v>
      </c>
      <c r="E2140" s="212" t="s">
        <v>545</v>
      </c>
      <c r="F2140" s="215">
        <v>47</v>
      </c>
      <c r="G2140" s="194">
        <v>2.4390000000000001</v>
      </c>
      <c r="H2140" s="195">
        <f t="shared" si="33"/>
        <v>114.63300000000001</v>
      </c>
      <c r="I2140" s="212" t="s">
        <v>2354</v>
      </c>
    </row>
    <row r="2141" spans="1:9" x14ac:dyDescent="0.25">
      <c r="A2141" s="193" t="s">
        <v>220</v>
      </c>
      <c r="B2141" s="193" t="s">
        <v>2351</v>
      </c>
      <c r="C2141" s="214" t="s">
        <v>4516</v>
      </c>
      <c r="D2141" s="193" t="s">
        <v>4517</v>
      </c>
      <c r="E2141" s="212" t="s">
        <v>545</v>
      </c>
      <c r="F2141" s="215">
        <v>28</v>
      </c>
      <c r="G2141" s="194">
        <v>3.4286498632010942</v>
      </c>
      <c r="H2141" s="195">
        <f t="shared" si="33"/>
        <v>96.002196169630636</v>
      </c>
      <c r="I2141" s="212" t="s">
        <v>2354</v>
      </c>
    </row>
    <row r="2142" spans="1:9" x14ac:dyDescent="0.25">
      <c r="A2142" s="193" t="s">
        <v>220</v>
      </c>
      <c r="B2142" s="193" t="s">
        <v>2351</v>
      </c>
      <c r="C2142" s="214" t="s">
        <v>4518</v>
      </c>
      <c r="D2142" s="193" t="s">
        <v>4519</v>
      </c>
      <c r="E2142" s="212" t="s">
        <v>545</v>
      </c>
      <c r="F2142" s="215">
        <v>88</v>
      </c>
      <c r="G2142" s="194">
        <v>6.48</v>
      </c>
      <c r="H2142" s="195">
        <f t="shared" si="33"/>
        <v>570.24</v>
      </c>
      <c r="I2142" s="212" t="s">
        <v>2354</v>
      </c>
    </row>
    <row r="2143" spans="1:9" x14ac:dyDescent="0.25">
      <c r="A2143" s="193" t="s">
        <v>220</v>
      </c>
      <c r="B2143" s="193" t="s">
        <v>2351</v>
      </c>
      <c r="C2143" s="214" t="s">
        <v>4520</v>
      </c>
      <c r="D2143" s="193" t="s">
        <v>4521</v>
      </c>
      <c r="E2143" s="212" t="s">
        <v>545</v>
      </c>
      <c r="F2143" s="215">
        <v>40</v>
      </c>
      <c r="G2143" s="194">
        <v>8.1062130909090904</v>
      </c>
      <c r="H2143" s="195">
        <f t="shared" si="33"/>
        <v>324.24852363636364</v>
      </c>
      <c r="I2143" s="212" t="s">
        <v>2354</v>
      </c>
    </row>
    <row r="2144" spans="1:9" x14ac:dyDescent="0.25">
      <c r="A2144" s="193" t="s">
        <v>220</v>
      </c>
      <c r="B2144" s="193" t="s">
        <v>2351</v>
      </c>
      <c r="C2144" s="214" t="s">
        <v>4522</v>
      </c>
      <c r="D2144" s="193" t="s">
        <v>4523</v>
      </c>
      <c r="E2144" s="212" t="s">
        <v>545</v>
      </c>
      <c r="F2144" s="215">
        <v>6</v>
      </c>
      <c r="G2144" s="194">
        <v>10.9215</v>
      </c>
      <c r="H2144" s="195">
        <f t="shared" si="33"/>
        <v>65.528999999999996</v>
      </c>
      <c r="I2144" s="212" t="s">
        <v>2354</v>
      </c>
    </row>
    <row r="2145" spans="1:9" x14ac:dyDescent="0.25">
      <c r="A2145" s="193" t="s">
        <v>220</v>
      </c>
      <c r="B2145" s="193" t="s">
        <v>2351</v>
      </c>
      <c r="C2145" s="214" t="s">
        <v>4524</v>
      </c>
      <c r="D2145" s="193" t="s">
        <v>4525</v>
      </c>
      <c r="E2145" s="212" t="s">
        <v>545</v>
      </c>
      <c r="F2145" s="215">
        <v>1</v>
      </c>
      <c r="G2145" s="194">
        <v>296.73200000000003</v>
      </c>
      <c r="H2145" s="195">
        <f t="shared" si="33"/>
        <v>296.73200000000003</v>
      </c>
      <c r="I2145" s="212" t="s">
        <v>2354</v>
      </c>
    </row>
    <row r="2146" spans="1:9" x14ac:dyDescent="0.25">
      <c r="A2146" s="193" t="s">
        <v>220</v>
      </c>
      <c r="B2146" s="193" t="s">
        <v>2351</v>
      </c>
      <c r="C2146" s="214" t="s">
        <v>4526</v>
      </c>
      <c r="D2146" s="193" t="s">
        <v>4527</v>
      </c>
      <c r="E2146" s="212" t="s">
        <v>545</v>
      </c>
      <c r="F2146" s="215">
        <v>8</v>
      </c>
      <c r="G2146" s="194">
        <v>28.6</v>
      </c>
      <c r="H2146" s="195">
        <f t="shared" si="33"/>
        <v>228.8</v>
      </c>
      <c r="I2146" s="212" t="s">
        <v>2354</v>
      </c>
    </row>
    <row r="2147" spans="1:9" x14ac:dyDescent="0.25">
      <c r="A2147" s="193" t="s">
        <v>220</v>
      </c>
      <c r="B2147" s="193" t="s">
        <v>2351</v>
      </c>
      <c r="C2147" s="214" t="s">
        <v>4528</v>
      </c>
      <c r="D2147" s="193" t="s">
        <v>4529</v>
      </c>
      <c r="E2147" s="212" t="s">
        <v>545</v>
      </c>
      <c r="F2147" s="215">
        <v>6</v>
      </c>
      <c r="G2147" s="194">
        <v>92.860799999999998</v>
      </c>
      <c r="H2147" s="195">
        <f t="shared" si="33"/>
        <v>557.16480000000001</v>
      </c>
      <c r="I2147" s="212" t="s">
        <v>2354</v>
      </c>
    </row>
    <row r="2148" spans="1:9" x14ac:dyDescent="0.25">
      <c r="A2148" s="193" t="s">
        <v>220</v>
      </c>
      <c r="B2148" s="193" t="s">
        <v>2351</v>
      </c>
      <c r="C2148" s="214" t="s">
        <v>4530</v>
      </c>
      <c r="D2148" s="193" t="s">
        <v>4531</v>
      </c>
      <c r="E2148" s="212" t="s">
        <v>545</v>
      </c>
      <c r="F2148" s="215">
        <v>7</v>
      </c>
      <c r="G2148" s="194">
        <v>11.583</v>
      </c>
      <c r="H2148" s="195">
        <f t="shared" si="33"/>
        <v>81.081000000000003</v>
      </c>
      <c r="I2148" s="212" t="s">
        <v>2354</v>
      </c>
    </row>
    <row r="2149" spans="1:9" x14ac:dyDescent="0.25">
      <c r="A2149" s="193" t="s">
        <v>220</v>
      </c>
      <c r="B2149" s="193" t="s">
        <v>2351</v>
      </c>
      <c r="C2149" s="214" t="s">
        <v>4532</v>
      </c>
      <c r="D2149" s="193" t="s">
        <v>4533</v>
      </c>
      <c r="E2149" s="212" t="s">
        <v>545</v>
      </c>
      <c r="F2149" s="215">
        <v>2</v>
      </c>
      <c r="G2149" s="194">
        <v>51.488999999999997</v>
      </c>
      <c r="H2149" s="195">
        <f t="shared" si="33"/>
        <v>102.97799999999999</v>
      </c>
      <c r="I2149" s="212" t="s">
        <v>2354</v>
      </c>
    </row>
    <row r="2150" spans="1:9" x14ac:dyDescent="0.25">
      <c r="A2150" s="193" t="s">
        <v>220</v>
      </c>
      <c r="B2150" s="193" t="s">
        <v>2351</v>
      </c>
      <c r="C2150" s="214" t="s">
        <v>4534</v>
      </c>
      <c r="D2150" s="193" t="s">
        <v>4535</v>
      </c>
      <c r="E2150" s="212" t="s">
        <v>545</v>
      </c>
      <c r="F2150" s="215">
        <v>42</v>
      </c>
      <c r="G2150" s="194">
        <v>5.85</v>
      </c>
      <c r="H2150" s="195">
        <f t="shared" si="33"/>
        <v>245.7</v>
      </c>
      <c r="I2150" s="212" t="s">
        <v>2354</v>
      </c>
    </row>
    <row r="2151" spans="1:9" x14ac:dyDescent="0.25">
      <c r="A2151" s="193" t="s">
        <v>220</v>
      </c>
      <c r="B2151" s="193" t="s">
        <v>2351</v>
      </c>
      <c r="C2151" s="214" t="s">
        <v>4536</v>
      </c>
      <c r="D2151" s="193" t="s">
        <v>4537</v>
      </c>
      <c r="E2151" s="212" t="s">
        <v>545</v>
      </c>
      <c r="F2151" s="215">
        <v>20</v>
      </c>
      <c r="G2151" s="194">
        <v>9.8103999999999996</v>
      </c>
      <c r="H2151" s="195">
        <f t="shared" si="33"/>
        <v>196.208</v>
      </c>
      <c r="I2151" s="212" t="s">
        <v>2354</v>
      </c>
    </row>
    <row r="2152" spans="1:9" x14ac:dyDescent="0.25">
      <c r="A2152" s="193" t="s">
        <v>220</v>
      </c>
      <c r="B2152" s="193" t="s">
        <v>2351</v>
      </c>
      <c r="C2152" s="214" t="s">
        <v>4538</v>
      </c>
      <c r="D2152" s="193" t="s">
        <v>4539</v>
      </c>
      <c r="E2152" s="212" t="s">
        <v>545</v>
      </c>
      <c r="F2152" s="215">
        <v>5</v>
      </c>
      <c r="G2152" s="194">
        <v>3.4620000000000002</v>
      </c>
      <c r="H2152" s="195">
        <f t="shared" si="33"/>
        <v>17.310000000000002</v>
      </c>
      <c r="I2152" s="212" t="s">
        <v>2354</v>
      </c>
    </row>
    <row r="2153" spans="1:9" x14ac:dyDescent="0.25">
      <c r="A2153" s="193" t="s">
        <v>220</v>
      </c>
      <c r="B2153" s="193" t="s">
        <v>2351</v>
      </c>
      <c r="C2153" s="214" t="s">
        <v>4540</v>
      </c>
      <c r="D2153" s="193" t="s">
        <v>4541</v>
      </c>
      <c r="E2153" s="212" t="s">
        <v>545</v>
      </c>
      <c r="F2153" s="215">
        <v>1</v>
      </c>
      <c r="G2153" s="194">
        <v>5.49</v>
      </c>
      <c r="H2153" s="195">
        <f t="shared" si="33"/>
        <v>5.49</v>
      </c>
      <c r="I2153" s="212" t="s">
        <v>2354</v>
      </c>
    </row>
    <row r="2154" spans="1:9" x14ac:dyDescent="0.25">
      <c r="A2154" s="193" t="s">
        <v>220</v>
      </c>
      <c r="B2154" s="193" t="s">
        <v>2351</v>
      </c>
      <c r="C2154" s="214" t="s">
        <v>4542</v>
      </c>
      <c r="D2154" s="193" t="s">
        <v>4543</v>
      </c>
      <c r="E2154" s="212" t="s">
        <v>545</v>
      </c>
      <c r="F2154" s="215">
        <v>8</v>
      </c>
      <c r="G2154" s="194">
        <v>23.315999999999999</v>
      </c>
      <c r="H2154" s="195">
        <f t="shared" si="33"/>
        <v>186.52799999999999</v>
      </c>
      <c r="I2154" s="212" t="s">
        <v>2354</v>
      </c>
    </row>
    <row r="2155" spans="1:9" x14ac:dyDescent="0.25">
      <c r="A2155" s="193" t="s">
        <v>220</v>
      </c>
      <c r="B2155" s="193" t="s">
        <v>2351</v>
      </c>
      <c r="C2155" s="214" t="s">
        <v>4544</v>
      </c>
      <c r="D2155" s="193" t="s">
        <v>4545</v>
      </c>
      <c r="E2155" s="212" t="s">
        <v>545</v>
      </c>
      <c r="F2155" s="215">
        <v>5</v>
      </c>
      <c r="G2155" s="194">
        <v>34.799999999999997</v>
      </c>
      <c r="H2155" s="195">
        <f t="shared" si="33"/>
        <v>174</v>
      </c>
      <c r="I2155" s="212" t="s">
        <v>2354</v>
      </c>
    </row>
    <row r="2156" spans="1:9" x14ac:dyDescent="0.25">
      <c r="A2156" s="193" t="s">
        <v>220</v>
      </c>
      <c r="B2156" s="193" t="s">
        <v>2351</v>
      </c>
      <c r="C2156" s="214" t="s">
        <v>4546</v>
      </c>
      <c r="D2156" s="193" t="s">
        <v>4547</v>
      </c>
      <c r="E2156" s="212" t="s">
        <v>545</v>
      </c>
      <c r="F2156" s="215">
        <v>20</v>
      </c>
      <c r="G2156" s="194">
        <v>10.228899999999999</v>
      </c>
      <c r="H2156" s="195">
        <f t="shared" si="33"/>
        <v>204.57799999999997</v>
      </c>
      <c r="I2156" s="212" t="s">
        <v>2354</v>
      </c>
    </row>
    <row r="2157" spans="1:9" x14ac:dyDescent="0.25">
      <c r="A2157" s="193" t="s">
        <v>220</v>
      </c>
      <c r="B2157" s="193" t="s">
        <v>2351</v>
      </c>
      <c r="C2157" s="214" t="s">
        <v>4548</v>
      </c>
      <c r="D2157" s="193" t="s">
        <v>4549</v>
      </c>
      <c r="E2157" s="212" t="s">
        <v>545</v>
      </c>
      <c r="F2157" s="215">
        <v>11</v>
      </c>
      <c r="G2157" s="194">
        <v>1.1833238095238097</v>
      </c>
      <c r="H2157" s="195">
        <f t="shared" si="33"/>
        <v>13.016561904761906</v>
      </c>
      <c r="I2157" s="212" t="s">
        <v>2354</v>
      </c>
    </row>
    <row r="2158" spans="1:9" x14ac:dyDescent="0.25">
      <c r="A2158" s="193" t="s">
        <v>220</v>
      </c>
      <c r="B2158" s="193" t="s">
        <v>2351</v>
      </c>
      <c r="C2158" s="214" t="s">
        <v>4550</v>
      </c>
      <c r="D2158" s="193" t="s">
        <v>4551</v>
      </c>
      <c r="E2158" s="212" t="s">
        <v>545</v>
      </c>
      <c r="F2158" s="215">
        <v>8</v>
      </c>
      <c r="G2158" s="194">
        <v>11.237</v>
      </c>
      <c r="H2158" s="195">
        <f t="shared" si="33"/>
        <v>89.896000000000001</v>
      </c>
      <c r="I2158" s="212" t="s">
        <v>2354</v>
      </c>
    </row>
    <row r="2159" spans="1:9" x14ac:dyDescent="0.25">
      <c r="A2159" s="193" t="s">
        <v>220</v>
      </c>
      <c r="B2159" s="193" t="s">
        <v>2351</v>
      </c>
      <c r="C2159" s="214" t="s">
        <v>4552</v>
      </c>
      <c r="D2159" s="193" t="s">
        <v>4553</v>
      </c>
      <c r="E2159" s="212" t="s">
        <v>545</v>
      </c>
      <c r="F2159" s="215">
        <v>26</v>
      </c>
      <c r="G2159" s="194">
        <v>1.165</v>
      </c>
      <c r="H2159" s="195">
        <f t="shared" si="33"/>
        <v>30.29</v>
      </c>
      <c r="I2159" s="212" t="s">
        <v>2354</v>
      </c>
    </row>
    <row r="2160" spans="1:9" x14ac:dyDescent="0.25">
      <c r="A2160" s="193" t="s">
        <v>220</v>
      </c>
      <c r="B2160" s="193" t="s">
        <v>2351</v>
      </c>
      <c r="C2160" s="214" t="s">
        <v>4554</v>
      </c>
      <c r="D2160" s="193" t="s">
        <v>4555</v>
      </c>
      <c r="E2160" s="212" t="s">
        <v>545</v>
      </c>
      <c r="F2160" s="215">
        <v>4</v>
      </c>
      <c r="G2160" s="194">
        <v>11.423999999999999</v>
      </c>
      <c r="H2160" s="195">
        <f t="shared" si="33"/>
        <v>45.695999999999998</v>
      </c>
      <c r="I2160" s="212" t="s">
        <v>2354</v>
      </c>
    </row>
    <row r="2161" spans="1:9" x14ac:dyDescent="0.25">
      <c r="A2161" s="193" t="s">
        <v>220</v>
      </c>
      <c r="B2161" s="193" t="s">
        <v>2351</v>
      </c>
      <c r="C2161" s="214" t="s">
        <v>4556</v>
      </c>
      <c r="D2161" s="193" t="s">
        <v>4557</v>
      </c>
      <c r="E2161" s="212" t="s">
        <v>545</v>
      </c>
      <c r="F2161" s="215">
        <v>9</v>
      </c>
      <c r="G2161" s="194">
        <v>22.429345098039217</v>
      </c>
      <c r="H2161" s="195">
        <f t="shared" si="33"/>
        <v>201.86410588235296</v>
      </c>
      <c r="I2161" s="212" t="s">
        <v>2354</v>
      </c>
    </row>
    <row r="2162" spans="1:9" x14ac:dyDescent="0.25">
      <c r="A2162" s="193" t="s">
        <v>220</v>
      </c>
      <c r="B2162" s="193" t="s">
        <v>2351</v>
      </c>
      <c r="C2162" s="214" t="s">
        <v>4558</v>
      </c>
      <c r="D2162" s="193" t="s">
        <v>4559</v>
      </c>
      <c r="E2162" s="212" t="s">
        <v>545</v>
      </c>
      <c r="F2162" s="215">
        <v>24</v>
      </c>
      <c r="G2162" s="194">
        <v>0.435</v>
      </c>
      <c r="H2162" s="195">
        <f t="shared" si="33"/>
        <v>10.44</v>
      </c>
      <c r="I2162" s="212" t="s">
        <v>2354</v>
      </c>
    </row>
    <row r="2163" spans="1:9" x14ac:dyDescent="0.25">
      <c r="A2163" s="193" t="s">
        <v>220</v>
      </c>
      <c r="B2163" s="193" t="s">
        <v>2351</v>
      </c>
      <c r="C2163" s="214" t="s">
        <v>4560</v>
      </c>
      <c r="D2163" s="193" t="s">
        <v>4561</v>
      </c>
      <c r="E2163" s="212" t="s">
        <v>545</v>
      </c>
      <c r="F2163" s="215">
        <v>5</v>
      </c>
      <c r="G2163" s="194">
        <v>7.3049999999999997</v>
      </c>
      <c r="H2163" s="195">
        <f t="shared" si="33"/>
        <v>36.524999999999999</v>
      </c>
      <c r="I2163" s="212" t="s">
        <v>2354</v>
      </c>
    </row>
    <row r="2164" spans="1:9" x14ac:dyDescent="0.25">
      <c r="A2164" s="193" t="s">
        <v>220</v>
      </c>
      <c r="B2164" s="193" t="s">
        <v>2351</v>
      </c>
      <c r="C2164" s="214" t="s">
        <v>4562</v>
      </c>
      <c r="D2164" s="193" t="s">
        <v>4563</v>
      </c>
      <c r="E2164" s="212" t="s">
        <v>545</v>
      </c>
      <c r="F2164" s="215">
        <v>2</v>
      </c>
      <c r="G2164" s="194">
        <v>8.0749999999999993</v>
      </c>
      <c r="H2164" s="195">
        <f t="shared" si="33"/>
        <v>16.149999999999999</v>
      </c>
      <c r="I2164" s="212" t="s">
        <v>2354</v>
      </c>
    </row>
    <row r="2165" spans="1:9" x14ac:dyDescent="0.25">
      <c r="A2165" s="193" t="s">
        <v>220</v>
      </c>
      <c r="B2165" s="193" t="s">
        <v>2351</v>
      </c>
      <c r="C2165" s="214" t="s">
        <v>4564</v>
      </c>
      <c r="D2165" s="193" t="s">
        <v>4565</v>
      </c>
      <c r="E2165" s="212" t="s">
        <v>545</v>
      </c>
      <c r="F2165" s="215">
        <v>5</v>
      </c>
      <c r="G2165" s="194">
        <v>23.204999999999998</v>
      </c>
      <c r="H2165" s="195">
        <f t="shared" si="33"/>
        <v>116.02499999999999</v>
      </c>
      <c r="I2165" s="212" t="s">
        <v>2354</v>
      </c>
    </row>
    <row r="2166" spans="1:9" x14ac:dyDescent="0.25">
      <c r="A2166" s="193" t="s">
        <v>220</v>
      </c>
      <c r="B2166" s="193" t="s">
        <v>2351</v>
      </c>
      <c r="C2166" s="214" t="s">
        <v>4566</v>
      </c>
      <c r="D2166" s="193" t="s">
        <v>4567</v>
      </c>
      <c r="E2166" s="212" t="s">
        <v>545</v>
      </c>
      <c r="F2166" s="215">
        <v>2</v>
      </c>
      <c r="G2166" s="194">
        <v>17.434999999999999</v>
      </c>
      <c r="H2166" s="195">
        <f t="shared" si="33"/>
        <v>34.869999999999997</v>
      </c>
      <c r="I2166" s="212" t="s">
        <v>2354</v>
      </c>
    </row>
    <row r="2167" spans="1:9" x14ac:dyDescent="0.25">
      <c r="A2167" s="193" t="s">
        <v>220</v>
      </c>
      <c r="B2167" s="193" t="s">
        <v>2351</v>
      </c>
      <c r="C2167" s="214" t="s">
        <v>4568</v>
      </c>
      <c r="D2167" s="193" t="s">
        <v>4569</v>
      </c>
      <c r="E2167" s="212" t="s">
        <v>545</v>
      </c>
      <c r="F2167" s="215">
        <v>4</v>
      </c>
      <c r="G2167" s="194">
        <v>4.5599999999999996</v>
      </c>
      <c r="H2167" s="195">
        <f t="shared" si="33"/>
        <v>18.239999999999998</v>
      </c>
      <c r="I2167" s="212" t="s">
        <v>2354</v>
      </c>
    </row>
    <row r="2168" spans="1:9" x14ac:dyDescent="0.25">
      <c r="A2168" s="193" t="s">
        <v>220</v>
      </c>
      <c r="B2168" s="193" t="s">
        <v>2351</v>
      </c>
      <c r="C2168" s="214" t="s">
        <v>4570</v>
      </c>
      <c r="D2168" s="193" t="s">
        <v>4571</v>
      </c>
      <c r="E2168" s="212" t="s">
        <v>545</v>
      </c>
      <c r="F2168" s="215">
        <v>2</v>
      </c>
      <c r="G2168" s="194">
        <v>12.852</v>
      </c>
      <c r="H2168" s="195">
        <f t="shared" si="33"/>
        <v>25.704000000000001</v>
      </c>
      <c r="I2168" s="212" t="s">
        <v>2354</v>
      </c>
    </row>
    <row r="2169" spans="1:9" x14ac:dyDescent="0.25">
      <c r="A2169" s="193" t="s">
        <v>220</v>
      </c>
      <c r="B2169" s="193" t="s">
        <v>2351</v>
      </c>
      <c r="C2169" s="214" t="s">
        <v>4572</v>
      </c>
      <c r="D2169" s="193" t="s">
        <v>4573</v>
      </c>
      <c r="E2169" s="212" t="s">
        <v>545</v>
      </c>
      <c r="F2169" s="215">
        <v>45</v>
      </c>
      <c r="G2169" s="194">
        <v>9.9314999999999998</v>
      </c>
      <c r="H2169" s="195">
        <f t="shared" si="33"/>
        <v>446.91750000000002</v>
      </c>
      <c r="I2169" s="212" t="s">
        <v>2354</v>
      </c>
    </row>
    <row r="2170" spans="1:9" x14ac:dyDescent="0.25">
      <c r="A2170" s="193" t="s">
        <v>220</v>
      </c>
      <c r="B2170" s="193" t="s">
        <v>2351</v>
      </c>
      <c r="C2170" s="214" t="s">
        <v>4574</v>
      </c>
      <c r="D2170" s="193" t="s">
        <v>4575</v>
      </c>
      <c r="E2170" s="212" t="s">
        <v>545</v>
      </c>
      <c r="F2170" s="215">
        <v>6</v>
      </c>
      <c r="G2170" s="194">
        <v>1.3748181818181817</v>
      </c>
      <c r="H2170" s="195">
        <f t="shared" si="33"/>
        <v>8.2489090909090912</v>
      </c>
      <c r="I2170" s="212" t="s">
        <v>2354</v>
      </c>
    </row>
    <row r="2171" spans="1:9" x14ac:dyDescent="0.25">
      <c r="A2171" s="193" t="s">
        <v>220</v>
      </c>
      <c r="B2171" s="193" t="s">
        <v>2351</v>
      </c>
      <c r="C2171" s="214" t="s">
        <v>4576</v>
      </c>
      <c r="D2171" s="193" t="s">
        <v>4577</v>
      </c>
      <c r="E2171" s="212" t="s">
        <v>2473</v>
      </c>
      <c r="F2171" s="215">
        <v>2</v>
      </c>
      <c r="G2171" s="194">
        <v>0</v>
      </c>
      <c r="H2171" s="195">
        <f t="shared" si="33"/>
        <v>0</v>
      </c>
      <c r="I2171" s="212" t="s">
        <v>2354</v>
      </c>
    </row>
    <row r="2172" spans="1:9" x14ac:dyDescent="0.25">
      <c r="A2172" s="193" t="s">
        <v>220</v>
      </c>
      <c r="B2172" s="193" t="s">
        <v>2351</v>
      </c>
      <c r="C2172" s="214" t="s">
        <v>4578</v>
      </c>
      <c r="D2172" s="193" t="s">
        <v>4579</v>
      </c>
      <c r="E2172" s="212" t="s">
        <v>2387</v>
      </c>
      <c r="F2172" s="215">
        <v>2</v>
      </c>
      <c r="G2172" s="194">
        <v>0</v>
      </c>
      <c r="H2172" s="195">
        <f t="shared" si="33"/>
        <v>0</v>
      </c>
      <c r="I2172" s="212" t="s">
        <v>2354</v>
      </c>
    </row>
    <row r="2173" spans="1:9" x14ac:dyDescent="0.25">
      <c r="A2173" s="193" t="s">
        <v>220</v>
      </c>
      <c r="B2173" s="193" t="s">
        <v>2351</v>
      </c>
      <c r="C2173" s="214" t="s">
        <v>4580</v>
      </c>
      <c r="D2173" s="193" t="s">
        <v>4581</v>
      </c>
      <c r="E2173" s="212" t="s">
        <v>2473</v>
      </c>
      <c r="F2173" s="215">
        <v>4</v>
      </c>
      <c r="G2173" s="194">
        <v>46.904000000000003</v>
      </c>
      <c r="H2173" s="195">
        <f t="shared" si="33"/>
        <v>187.61600000000001</v>
      </c>
      <c r="I2173" s="212" t="s">
        <v>2354</v>
      </c>
    </row>
    <row r="2174" spans="1:9" x14ac:dyDescent="0.25">
      <c r="A2174" s="193" t="s">
        <v>220</v>
      </c>
      <c r="B2174" s="193" t="s">
        <v>2351</v>
      </c>
      <c r="C2174" s="214" t="s">
        <v>4582</v>
      </c>
      <c r="D2174" s="193" t="s">
        <v>4583</v>
      </c>
      <c r="E2174" s="212" t="s">
        <v>545</v>
      </c>
      <c r="F2174" s="215">
        <v>4</v>
      </c>
      <c r="G2174" s="194">
        <v>4.8380000000000001</v>
      </c>
      <c r="H2174" s="195">
        <f t="shared" si="33"/>
        <v>19.352</v>
      </c>
      <c r="I2174" s="212" t="s">
        <v>2354</v>
      </c>
    </row>
    <row r="2175" spans="1:9" x14ac:dyDescent="0.25">
      <c r="A2175" s="193" t="s">
        <v>220</v>
      </c>
      <c r="B2175" s="193" t="s">
        <v>2351</v>
      </c>
      <c r="C2175" s="214" t="s">
        <v>4584</v>
      </c>
      <c r="D2175" s="193" t="s">
        <v>4585</v>
      </c>
      <c r="E2175" s="212" t="s">
        <v>2387</v>
      </c>
      <c r="F2175" s="215">
        <v>2</v>
      </c>
      <c r="G2175" s="194">
        <v>13.311999999999999</v>
      </c>
      <c r="H2175" s="195">
        <f t="shared" si="33"/>
        <v>26.623999999999999</v>
      </c>
      <c r="I2175" s="212" t="s">
        <v>2354</v>
      </c>
    </row>
    <row r="2176" spans="1:9" x14ac:dyDescent="0.25">
      <c r="A2176" s="193" t="s">
        <v>220</v>
      </c>
      <c r="B2176" s="193" t="s">
        <v>2351</v>
      </c>
      <c r="C2176" s="214" t="s">
        <v>4586</v>
      </c>
      <c r="D2176" s="193" t="s">
        <v>4587</v>
      </c>
      <c r="E2176" s="212" t="s">
        <v>2387</v>
      </c>
      <c r="F2176" s="215">
        <v>1</v>
      </c>
      <c r="G2176" s="194">
        <v>7.84</v>
      </c>
      <c r="H2176" s="195">
        <f t="shared" si="33"/>
        <v>7.84</v>
      </c>
      <c r="I2176" s="212" t="s">
        <v>2354</v>
      </c>
    </row>
    <row r="2177" spans="1:9" x14ac:dyDescent="0.25">
      <c r="A2177" s="193" t="s">
        <v>220</v>
      </c>
      <c r="B2177" s="193" t="s">
        <v>2351</v>
      </c>
      <c r="C2177" s="214" t="s">
        <v>4588</v>
      </c>
      <c r="D2177" s="193" t="s">
        <v>4589</v>
      </c>
      <c r="E2177" s="212" t="s">
        <v>545</v>
      </c>
      <c r="F2177" s="215">
        <v>30</v>
      </c>
      <c r="G2177" s="194">
        <v>0.58499999999999996</v>
      </c>
      <c r="H2177" s="195">
        <f t="shared" si="33"/>
        <v>17.549999999999997</v>
      </c>
      <c r="I2177" s="212" t="s">
        <v>2354</v>
      </c>
    </row>
    <row r="2178" spans="1:9" x14ac:dyDescent="0.25">
      <c r="A2178" s="193" t="s">
        <v>220</v>
      </c>
      <c r="B2178" s="193" t="s">
        <v>2351</v>
      </c>
      <c r="C2178" s="214" t="s">
        <v>4590</v>
      </c>
      <c r="D2178" s="193" t="s">
        <v>4591</v>
      </c>
      <c r="E2178" s="212" t="s">
        <v>545</v>
      </c>
      <c r="F2178" s="215">
        <v>43</v>
      </c>
      <c r="G2178" s="194">
        <v>0.56200000000000006</v>
      </c>
      <c r="H2178" s="195">
        <f t="shared" si="33"/>
        <v>24.166000000000004</v>
      </c>
      <c r="I2178" s="212" t="s">
        <v>2354</v>
      </c>
    </row>
    <row r="2179" spans="1:9" x14ac:dyDescent="0.25">
      <c r="A2179" s="193" t="s">
        <v>220</v>
      </c>
      <c r="B2179" s="193" t="s">
        <v>2351</v>
      </c>
      <c r="C2179" s="214" t="s">
        <v>4592</v>
      </c>
      <c r="D2179" s="193" t="s">
        <v>4593</v>
      </c>
      <c r="E2179" s="212" t="s">
        <v>2473</v>
      </c>
      <c r="F2179" s="215">
        <v>63</v>
      </c>
      <c r="G2179" s="194">
        <v>0.68579999999999997</v>
      </c>
      <c r="H2179" s="195">
        <f t="shared" si="33"/>
        <v>43.205399999999997</v>
      </c>
      <c r="I2179" s="212" t="s">
        <v>2354</v>
      </c>
    </row>
    <row r="2180" spans="1:9" x14ac:dyDescent="0.25">
      <c r="A2180" s="193" t="s">
        <v>220</v>
      </c>
      <c r="B2180" s="193" t="s">
        <v>2351</v>
      </c>
      <c r="C2180" s="214" t="s">
        <v>4594</v>
      </c>
      <c r="D2180" s="193" t="s">
        <v>4595</v>
      </c>
      <c r="E2180" s="212" t="s">
        <v>545</v>
      </c>
      <c r="F2180" s="215">
        <v>2</v>
      </c>
      <c r="G2180" s="194">
        <v>21.941099999999999</v>
      </c>
      <c r="H2180" s="195">
        <f t="shared" si="33"/>
        <v>43.882199999999997</v>
      </c>
      <c r="I2180" s="212" t="s">
        <v>2354</v>
      </c>
    </row>
    <row r="2181" spans="1:9" x14ac:dyDescent="0.25">
      <c r="A2181" s="193" t="s">
        <v>220</v>
      </c>
      <c r="B2181" s="193" t="s">
        <v>2351</v>
      </c>
      <c r="C2181" s="214" t="s">
        <v>4596</v>
      </c>
      <c r="D2181" s="193" t="s">
        <v>4597</v>
      </c>
      <c r="E2181" s="212" t="s">
        <v>545</v>
      </c>
      <c r="F2181" s="215">
        <v>2</v>
      </c>
      <c r="G2181" s="194">
        <v>2.5151500000000002</v>
      </c>
      <c r="H2181" s="195">
        <f t="shared" ref="H2181:H2244" si="34">+F2181*G2181</f>
        <v>5.0303000000000004</v>
      </c>
      <c r="I2181" s="212" t="s">
        <v>2354</v>
      </c>
    </row>
    <row r="2182" spans="1:9" x14ac:dyDescent="0.25">
      <c r="A2182" s="193" t="s">
        <v>220</v>
      </c>
      <c r="B2182" s="193" t="s">
        <v>2351</v>
      </c>
      <c r="C2182" s="214" t="s">
        <v>4598</v>
      </c>
      <c r="D2182" s="193" t="s">
        <v>4599</v>
      </c>
      <c r="E2182" s="212" t="s">
        <v>545</v>
      </c>
      <c r="F2182" s="215">
        <v>2</v>
      </c>
      <c r="G2182" s="194">
        <v>3.3580000000000001</v>
      </c>
      <c r="H2182" s="195">
        <f t="shared" si="34"/>
        <v>6.7160000000000002</v>
      </c>
      <c r="I2182" s="212" t="s">
        <v>2354</v>
      </c>
    </row>
    <row r="2183" spans="1:9" x14ac:dyDescent="0.25">
      <c r="A2183" s="193" t="s">
        <v>220</v>
      </c>
      <c r="B2183" s="193" t="s">
        <v>2351</v>
      </c>
      <c r="C2183" s="214" t="s">
        <v>4600</v>
      </c>
      <c r="D2183" s="193" t="s">
        <v>4601</v>
      </c>
      <c r="E2183" s="212" t="s">
        <v>545</v>
      </c>
      <c r="F2183" s="215">
        <v>1</v>
      </c>
      <c r="G2183" s="194">
        <v>58.65</v>
      </c>
      <c r="H2183" s="195">
        <f t="shared" si="34"/>
        <v>58.65</v>
      </c>
      <c r="I2183" s="212" t="s">
        <v>2354</v>
      </c>
    </row>
    <row r="2184" spans="1:9" x14ac:dyDescent="0.25">
      <c r="A2184" s="193" t="s">
        <v>220</v>
      </c>
      <c r="B2184" s="193" t="s">
        <v>2351</v>
      </c>
      <c r="C2184" s="214" t="s">
        <v>4602</v>
      </c>
      <c r="D2184" s="193" t="s">
        <v>4603</v>
      </c>
      <c r="E2184" s="212" t="s">
        <v>545</v>
      </c>
      <c r="F2184" s="215">
        <v>60</v>
      </c>
      <c r="G2184" s="194">
        <v>4.9809999999999999</v>
      </c>
      <c r="H2184" s="195">
        <f t="shared" si="34"/>
        <v>298.86</v>
      </c>
      <c r="I2184" s="212" t="s">
        <v>2354</v>
      </c>
    </row>
    <row r="2185" spans="1:9" x14ac:dyDescent="0.25">
      <c r="A2185" s="193" t="s">
        <v>220</v>
      </c>
      <c r="B2185" s="193" t="s">
        <v>2351</v>
      </c>
      <c r="C2185" s="214" t="s">
        <v>4604</v>
      </c>
      <c r="D2185" s="193" t="s">
        <v>4605</v>
      </c>
      <c r="E2185" s="212" t="s">
        <v>545</v>
      </c>
      <c r="F2185" s="215">
        <v>42</v>
      </c>
      <c r="G2185" s="194">
        <v>2.1</v>
      </c>
      <c r="H2185" s="195">
        <f t="shared" si="34"/>
        <v>88.2</v>
      </c>
      <c r="I2185" s="212" t="s">
        <v>2354</v>
      </c>
    </row>
    <row r="2186" spans="1:9" x14ac:dyDescent="0.25">
      <c r="A2186" s="193" t="s">
        <v>220</v>
      </c>
      <c r="B2186" s="193" t="s">
        <v>2351</v>
      </c>
      <c r="C2186" s="214" t="s">
        <v>4606</v>
      </c>
      <c r="D2186" s="193" t="s">
        <v>4607</v>
      </c>
      <c r="E2186" s="212" t="s">
        <v>545</v>
      </c>
      <c r="F2186" s="215">
        <v>33</v>
      </c>
      <c r="G2186" s="194">
        <v>6.8979999999999997</v>
      </c>
      <c r="H2186" s="195">
        <f t="shared" si="34"/>
        <v>227.63399999999999</v>
      </c>
      <c r="I2186" s="212" t="s">
        <v>2354</v>
      </c>
    </row>
    <row r="2187" spans="1:9" x14ac:dyDescent="0.25">
      <c r="A2187" s="193" t="s">
        <v>220</v>
      </c>
      <c r="B2187" s="193" t="s">
        <v>2351</v>
      </c>
      <c r="C2187" s="214" t="s">
        <v>4608</v>
      </c>
      <c r="D2187" s="193" t="s">
        <v>4609</v>
      </c>
      <c r="E2187" s="212" t="s">
        <v>545</v>
      </c>
      <c r="F2187" s="215">
        <v>14</v>
      </c>
      <c r="G2187" s="194">
        <v>3.024</v>
      </c>
      <c r="H2187" s="195">
        <f t="shared" si="34"/>
        <v>42.335999999999999</v>
      </c>
      <c r="I2187" s="212" t="s">
        <v>2354</v>
      </c>
    </row>
    <row r="2188" spans="1:9" x14ac:dyDescent="0.25">
      <c r="A2188" s="193" t="s">
        <v>220</v>
      </c>
      <c r="B2188" s="193" t="s">
        <v>2351</v>
      </c>
      <c r="C2188" s="214" t="s">
        <v>4610</v>
      </c>
      <c r="D2188" s="193" t="s">
        <v>4611</v>
      </c>
      <c r="E2188" s="212" t="s">
        <v>545</v>
      </c>
      <c r="F2188" s="215">
        <v>18</v>
      </c>
      <c r="G2188" s="194">
        <v>2.9224888888888887</v>
      </c>
      <c r="H2188" s="195">
        <f t="shared" si="34"/>
        <v>52.604799999999997</v>
      </c>
      <c r="I2188" s="212" t="s">
        <v>2354</v>
      </c>
    </row>
    <row r="2189" spans="1:9" x14ac:dyDescent="0.25">
      <c r="A2189" s="193" t="s">
        <v>220</v>
      </c>
      <c r="B2189" s="193" t="s">
        <v>2351</v>
      </c>
      <c r="C2189" s="214" t="s">
        <v>4612</v>
      </c>
      <c r="D2189" s="193" t="s">
        <v>4613</v>
      </c>
      <c r="E2189" s="212" t="s">
        <v>545</v>
      </c>
      <c r="F2189" s="215">
        <v>17</v>
      </c>
      <c r="G2189" s="194">
        <v>2.9186999999999999</v>
      </c>
      <c r="H2189" s="195">
        <f t="shared" si="34"/>
        <v>49.617899999999999</v>
      </c>
      <c r="I2189" s="212" t="s">
        <v>2354</v>
      </c>
    </row>
    <row r="2190" spans="1:9" x14ac:dyDescent="0.25">
      <c r="A2190" s="193" t="s">
        <v>220</v>
      </c>
      <c r="B2190" s="193" t="s">
        <v>2351</v>
      </c>
      <c r="C2190" s="214" t="s">
        <v>4614</v>
      </c>
      <c r="D2190" s="193" t="s">
        <v>4615</v>
      </c>
      <c r="E2190" s="212" t="s">
        <v>545</v>
      </c>
      <c r="F2190" s="215">
        <v>9</v>
      </c>
      <c r="G2190" s="194">
        <v>3.3929999999999998</v>
      </c>
      <c r="H2190" s="195">
        <f t="shared" si="34"/>
        <v>30.536999999999999</v>
      </c>
      <c r="I2190" s="212" t="s">
        <v>2354</v>
      </c>
    </row>
    <row r="2191" spans="1:9" x14ac:dyDescent="0.25">
      <c r="A2191" s="193" t="s">
        <v>220</v>
      </c>
      <c r="B2191" s="193" t="s">
        <v>2351</v>
      </c>
      <c r="C2191" s="214" t="s">
        <v>4616</v>
      </c>
      <c r="D2191" s="193" t="s">
        <v>4617</v>
      </c>
      <c r="E2191" s="212" t="s">
        <v>545</v>
      </c>
      <c r="F2191" s="215">
        <v>25</v>
      </c>
      <c r="G2191" s="194">
        <v>1.4990000000000001</v>
      </c>
      <c r="H2191" s="195">
        <f t="shared" si="34"/>
        <v>37.475000000000001</v>
      </c>
      <c r="I2191" s="212" t="s">
        <v>2354</v>
      </c>
    </row>
    <row r="2192" spans="1:9" x14ac:dyDescent="0.25">
      <c r="A2192" s="193" t="s">
        <v>220</v>
      </c>
      <c r="B2192" s="193" t="s">
        <v>2351</v>
      </c>
      <c r="C2192" s="214" t="s">
        <v>4618</v>
      </c>
      <c r="D2192" s="193" t="s">
        <v>4619</v>
      </c>
      <c r="E2192" s="212" t="s">
        <v>545</v>
      </c>
      <c r="F2192" s="215">
        <v>4</v>
      </c>
      <c r="G2192" s="194">
        <v>22.452000000000002</v>
      </c>
      <c r="H2192" s="195">
        <f t="shared" si="34"/>
        <v>89.808000000000007</v>
      </c>
      <c r="I2192" s="212" t="s">
        <v>2354</v>
      </c>
    </row>
    <row r="2193" spans="1:9" x14ac:dyDescent="0.25">
      <c r="A2193" s="193" t="s">
        <v>220</v>
      </c>
      <c r="B2193" s="193" t="s">
        <v>2351</v>
      </c>
      <c r="C2193" s="214" t="s">
        <v>4620</v>
      </c>
      <c r="D2193" s="193" t="s">
        <v>4621</v>
      </c>
      <c r="E2193" s="212" t="s">
        <v>545</v>
      </c>
      <c r="F2193" s="215">
        <v>95</v>
      </c>
      <c r="G2193" s="194">
        <v>0.39600000000000002</v>
      </c>
      <c r="H2193" s="195">
        <f t="shared" si="34"/>
        <v>37.620000000000005</v>
      </c>
      <c r="I2193" s="212" t="s">
        <v>2354</v>
      </c>
    </row>
    <row r="2194" spans="1:9" x14ac:dyDescent="0.25">
      <c r="A2194" s="193" t="s">
        <v>220</v>
      </c>
      <c r="B2194" s="193" t="s">
        <v>2351</v>
      </c>
      <c r="C2194" s="214" t="s">
        <v>4622</v>
      </c>
      <c r="D2194" s="193" t="s">
        <v>4623</v>
      </c>
      <c r="E2194" s="212" t="s">
        <v>545</v>
      </c>
      <c r="F2194" s="215">
        <v>15</v>
      </c>
      <c r="G2194" s="194">
        <v>2.3290000000000002</v>
      </c>
      <c r="H2194" s="195">
        <f t="shared" si="34"/>
        <v>34.935000000000002</v>
      </c>
      <c r="I2194" s="212" t="s">
        <v>2354</v>
      </c>
    </row>
    <row r="2195" spans="1:9" x14ac:dyDescent="0.25">
      <c r="A2195" s="193" t="s">
        <v>220</v>
      </c>
      <c r="B2195" s="193" t="s">
        <v>2351</v>
      </c>
      <c r="C2195" s="214" t="s">
        <v>4624</v>
      </c>
      <c r="D2195" s="193" t="s">
        <v>4625</v>
      </c>
      <c r="E2195" s="212" t="s">
        <v>545</v>
      </c>
      <c r="F2195" s="215">
        <v>1</v>
      </c>
      <c r="G2195" s="194">
        <v>849.87800000000004</v>
      </c>
      <c r="H2195" s="195">
        <f t="shared" si="34"/>
        <v>849.87800000000004</v>
      </c>
      <c r="I2195" s="212" t="s">
        <v>2354</v>
      </c>
    </row>
    <row r="2196" spans="1:9" x14ac:dyDescent="0.25">
      <c r="A2196" s="193" t="s">
        <v>220</v>
      </c>
      <c r="B2196" s="193" t="s">
        <v>2351</v>
      </c>
      <c r="C2196" s="214" t="s">
        <v>4626</v>
      </c>
      <c r="D2196" s="193" t="s">
        <v>4627</v>
      </c>
      <c r="E2196" s="212" t="s">
        <v>545</v>
      </c>
      <c r="F2196" s="215">
        <v>0</v>
      </c>
      <c r="G2196" s="194">
        <v>5659.5</v>
      </c>
      <c r="H2196" s="195">
        <f t="shared" si="34"/>
        <v>0</v>
      </c>
      <c r="I2196" s="212" t="s">
        <v>2354</v>
      </c>
    </row>
    <row r="2197" spans="1:9" x14ac:dyDescent="0.25">
      <c r="A2197" s="193" t="s">
        <v>220</v>
      </c>
      <c r="B2197" s="193" t="s">
        <v>2351</v>
      </c>
      <c r="C2197" s="214" t="s">
        <v>4628</v>
      </c>
      <c r="D2197" s="193" t="s">
        <v>4629</v>
      </c>
      <c r="E2197" s="212" t="s">
        <v>545</v>
      </c>
      <c r="F2197" s="215">
        <v>1</v>
      </c>
      <c r="G2197" s="194">
        <v>122.95</v>
      </c>
      <c r="H2197" s="195">
        <f t="shared" si="34"/>
        <v>122.95</v>
      </c>
      <c r="I2197" s="212" t="s">
        <v>2354</v>
      </c>
    </row>
    <row r="2198" spans="1:9" x14ac:dyDescent="0.25">
      <c r="A2198" s="193" t="s">
        <v>220</v>
      </c>
      <c r="B2198" s="193" t="s">
        <v>2351</v>
      </c>
      <c r="C2198" s="214" t="s">
        <v>4630</v>
      </c>
      <c r="D2198" s="193" t="s">
        <v>4631</v>
      </c>
      <c r="E2198" s="212" t="s">
        <v>545</v>
      </c>
      <c r="F2198" s="215">
        <v>2</v>
      </c>
      <c r="G2198" s="194">
        <v>47.65</v>
      </c>
      <c r="H2198" s="195">
        <f t="shared" si="34"/>
        <v>95.3</v>
      </c>
      <c r="I2198" s="212" t="s">
        <v>2354</v>
      </c>
    </row>
    <row r="2199" spans="1:9" x14ac:dyDescent="0.25">
      <c r="A2199" s="193" t="s">
        <v>220</v>
      </c>
      <c r="B2199" s="193" t="s">
        <v>2351</v>
      </c>
      <c r="C2199" s="214" t="s">
        <v>4632</v>
      </c>
      <c r="D2199" s="193" t="s">
        <v>4633</v>
      </c>
      <c r="E2199" s="212" t="s">
        <v>545</v>
      </c>
      <c r="F2199" s="215">
        <v>1</v>
      </c>
      <c r="G2199" s="194">
        <v>0</v>
      </c>
      <c r="H2199" s="195">
        <f t="shared" si="34"/>
        <v>0</v>
      </c>
      <c r="I2199" s="212" t="s">
        <v>2354</v>
      </c>
    </row>
    <row r="2200" spans="1:9" x14ac:dyDescent="0.25">
      <c r="A2200" s="193" t="s">
        <v>220</v>
      </c>
      <c r="B2200" s="193" t="s">
        <v>2351</v>
      </c>
      <c r="C2200" s="214" t="s">
        <v>4634</v>
      </c>
      <c r="D2200" s="193" t="s">
        <v>4635</v>
      </c>
      <c r="E2200" s="212" t="s">
        <v>545</v>
      </c>
      <c r="F2200" s="215">
        <v>2</v>
      </c>
      <c r="G2200" s="194">
        <v>396.15</v>
      </c>
      <c r="H2200" s="195">
        <f t="shared" si="34"/>
        <v>792.3</v>
      </c>
      <c r="I2200" s="212" t="s">
        <v>2354</v>
      </c>
    </row>
    <row r="2201" spans="1:9" x14ac:dyDescent="0.25">
      <c r="A2201" s="193" t="s">
        <v>220</v>
      </c>
      <c r="B2201" s="193" t="s">
        <v>2351</v>
      </c>
      <c r="C2201" s="214" t="s">
        <v>4636</v>
      </c>
      <c r="D2201" s="193" t="s">
        <v>4637</v>
      </c>
      <c r="E2201" s="212" t="s">
        <v>545</v>
      </c>
      <c r="F2201" s="215">
        <v>20</v>
      </c>
      <c r="G2201" s="194">
        <v>0.19656000000000001</v>
      </c>
      <c r="H2201" s="195">
        <f t="shared" si="34"/>
        <v>3.9312000000000005</v>
      </c>
      <c r="I2201" s="212" t="s">
        <v>2354</v>
      </c>
    </row>
    <row r="2202" spans="1:9" x14ac:dyDescent="0.25">
      <c r="A2202" s="193" t="s">
        <v>220</v>
      </c>
      <c r="B2202" s="193" t="s">
        <v>2351</v>
      </c>
      <c r="C2202" s="214" t="s">
        <v>4638</v>
      </c>
      <c r="D2202" s="193" t="s">
        <v>4639</v>
      </c>
      <c r="E2202" s="212" t="s">
        <v>2387</v>
      </c>
      <c r="F2202" s="215">
        <v>23.75</v>
      </c>
      <c r="G2202" s="194">
        <v>4.5495000000000001</v>
      </c>
      <c r="H2202" s="195">
        <f t="shared" si="34"/>
        <v>108.050625</v>
      </c>
      <c r="I2202" s="212" t="s">
        <v>2354</v>
      </c>
    </row>
    <row r="2203" spans="1:9" x14ac:dyDescent="0.25">
      <c r="A2203" s="193" t="s">
        <v>220</v>
      </c>
      <c r="B2203" s="193" t="s">
        <v>2351</v>
      </c>
      <c r="C2203" s="214" t="s">
        <v>4640</v>
      </c>
      <c r="D2203" s="193" t="s">
        <v>4641</v>
      </c>
      <c r="E2203" s="212" t="s">
        <v>545</v>
      </c>
      <c r="F2203" s="215">
        <v>13</v>
      </c>
      <c r="G2203" s="194">
        <v>0.82499999999999996</v>
      </c>
      <c r="H2203" s="195">
        <f t="shared" si="34"/>
        <v>10.725</v>
      </c>
      <c r="I2203" s="212" t="s">
        <v>2354</v>
      </c>
    </row>
    <row r="2204" spans="1:9" x14ac:dyDescent="0.25">
      <c r="A2204" s="193" t="s">
        <v>220</v>
      </c>
      <c r="B2204" s="193" t="s">
        <v>2351</v>
      </c>
      <c r="C2204" s="214" t="s">
        <v>4642</v>
      </c>
      <c r="D2204" s="193" t="s">
        <v>4643</v>
      </c>
      <c r="E2204" s="212" t="s">
        <v>545</v>
      </c>
      <c r="F2204" s="215">
        <v>129</v>
      </c>
      <c r="G2204" s="194">
        <v>0.46500000000000002</v>
      </c>
      <c r="H2204" s="195">
        <f t="shared" si="34"/>
        <v>59.985000000000007</v>
      </c>
      <c r="I2204" s="212" t="s">
        <v>2354</v>
      </c>
    </row>
    <row r="2205" spans="1:9" x14ac:dyDescent="0.25">
      <c r="A2205" s="193" t="s">
        <v>220</v>
      </c>
      <c r="B2205" s="193" t="s">
        <v>2351</v>
      </c>
      <c r="C2205" s="214" t="s">
        <v>4644</v>
      </c>
      <c r="D2205" s="193" t="s">
        <v>4645</v>
      </c>
      <c r="E2205" s="212" t="s">
        <v>545</v>
      </c>
      <c r="F2205" s="215">
        <v>22</v>
      </c>
      <c r="G2205" s="194">
        <v>0.37094660194174761</v>
      </c>
      <c r="H2205" s="195">
        <f t="shared" si="34"/>
        <v>8.1608252427184471</v>
      </c>
      <c r="I2205" s="212" t="s">
        <v>2354</v>
      </c>
    </row>
    <row r="2206" spans="1:9" x14ac:dyDescent="0.25">
      <c r="A2206" s="193" t="s">
        <v>220</v>
      </c>
      <c r="B2206" s="193" t="s">
        <v>2351</v>
      </c>
      <c r="C2206" s="214" t="s">
        <v>4646</v>
      </c>
      <c r="D2206" s="193" t="s">
        <v>4647</v>
      </c>
      <c r="E2206" s="212" t="s">
        <v>2473</v>
      </c>
      <c r="F2206" s="215">
        <v>316</v>
      </c>
      <c r="G2206" s="194">
        <v>0.16726573619631901</v>
      </c>
      <c r="H2206" s="195">
        <f t="shared" si="34"/>
        <v>52.85597263803681</v>
      </c>
      <c r="I2206" s="212" t="s">
        <v>2354</v>
      </c>
    </row>
    <row r="2207" spans="1:9" x14ac:dyDescent="0.25">
      <c r="A2207" s="193" t="s">
        <v>220</v>
      </c>
      <c r="B2207" s="193" t="s">
        <v>2351</v>
      </c>
      <c r="C2207" s="214" t="s">
        <v>4648</v>
      </c>
      <c r="D2207" s="193" t="s">
        <v>4649</v>
      </c>
      <c r="E2207" s="212" t="s">
        <v>545</v>
      </c>
      <c r="F2207" s="215">
        <v>180</v>
      </c>
      <c r="G2207" s="194">
        <v>0.125</v>
      </c>
      <c r="H2207" s="195">
        <f t="shared" si="34"/>
        <v>22.5</v>
      </c>
      <c r="I2207" s="212" t="s">
        <v>2354</v>
      </c>
    </row>
    <row r="2208" spans="1:9" x14ac:dyDescent="0.25">
      <c r="A2208" s="193" t="s">
        <v>220</v>
      </c>
      <c r="B2208" s="193" t="s">
        <v>2351</v>
      </c>
      <c r="C2208" s="214" t="s">
        <v>4650</v>
      </c>
      <c r="D2208" s="193" t="s">
        <v>4651</v>
      </c>
      <c r="E2208" s="212" t="s">
        <v>545</v>
      </c>
      <c r="F2208" s="215">
        <v>95</v>
      </c>
      <c r="G2208" s="194">
        <v>0.31014000000000003</v>
      </c>
      <c r="H2208" s="195">
        <f t="shared" si="34"/>
        <v>29.463300000000004</v>
      </c>
      <c r="I2208" s="212" t="s">
        <v>2354</v>
      </c>
    </row>
    <row r="2209" spans="1:9" x14ac:dyDescent="0.25">
      <c r="A2209" s="193" t="s">
        <v>220</v>
      </c>
      <c r="B2209" s="193" t="s">
        <v>2351</v>
      </c>
      <c r="C2209" s="214" t="s">
        <v>4652</v>
      </c>
      <c r="D2209" s="193" t="s">
        <v>4653</v>
      </c>
      <c r="E2209" s="212" t="s">
        <v>545</v>
      </c>
      <c r="F2209" s="215">
        <v>15</v>
      </c>
      <c r="G2209" s="194">
        <v>1.8105</v>
      </c>
      <c r="H2209" s="195">
        <f t="shared" si="34"/>
        <v>27.157499999999999</v>
      </c>
      <c r="I2209" s="212" t="s">
        <v>2354</v>
      </c>
    </row>
    <row r="2210" spans="1:9" x14ac:dyDescent="0.25">
      <c r="A2210" s="193" t="s">
        <v>220</v>
      </c>
      <c r="B2210" s="193" t="s">
        <v>2351</v>
      </c>
      <c r="C2210" s="214" t="s">
        <v>4654</v>
      </c>
      <c r="D2210" s="193" t="s">
        <v>4655</v>
      </c>
      <c r="E2210" s="212" t="s">
        <v>545</v>
      </c>
      <c r="F2210" s="215">
        <v>101</v>
      </c>
      <c r="G2210" s="194">
        <v>7.2</v>
      </c>
      <c r="H2210" s="195">
        <f t="shared" si="34"/>
        <v>727.2</v>
      </c>
      <c r="I2210" s="212" t="s">
        <v>2354</v>
      </c>
    </row>
    <row r="2211" spans="1:9" x14ac:dyDescent="0.25">
      <c r="A2211" s="193" t="s">
        <v>220</v>
      </c>
      <c r="B2211" s="193" t="s">
        <v>2351</v>
      </c>
      <c r="C2211" s="214" t="s">
        <v>4656</v>
      </c>
      <c r="D2211" s="193" t="s">
        <v>4657</v>
      </c>
      <c r="E2211" s="212" t="s">
        <v>545</v>
      </c>
      <c r="F2211" s="215">
        <v>302</v>
      </c>
      <c r="G2211" s="194">
        <v>0.19486187845303865</v>
      </c>
      <c r="H2211" s="195">
        <f t="shared" si="34"/>
        <v>58.848287292817673</v>
      </c>
      <c r="I2211" s="212" t="s">
        <v>2354</v>
      </c>
    </row>
    <row r="2212" spans="1:9" x14ac:dyDescent="0.25">
      <c r="A2212" s="193" t="s">
        <v>220</v>
      </c>
      <c r="B2212" s="193" t="s">
        <v>2351</v>
      </c>
      <c r="C2212" s="214" t="s">
        <v>4658</v>
      </c>
      <c r="D2212" s="193" t="s">
        <v>4659</v>
      </c>
      <c r="E2212" s="212" t="s">
        <v>545</v>
      </c>
      <c r="F2212" s="215">
        <v>318</v>
      </c>
      <c r="G2212" s="194">
        <v>0.21568278894472359</v>
      </c>
      <c r="H2212" s="195">
        <f t="shared" si="34"/>
        <v>68.587126884422105</v>
      </c>
      <c r="I2212" s="212" t="s">
        <v>2354</v>
      </c>
    </row>
    <row r="2213" spans="1:9" x14ac:dyDescent="0.25">
      <c r="A2213" s="193" t="s">
        <v>220</v>
      </c>
      <c r="B2213" s="193" t="s">
        <v>2351</v>
      </c>
      <c r="C2213" s="214" t="s">
        <v>4660</v>
      </c>
      <c r="D2213" s="193" t="s">
        <v>4661</v>
      </c>
      <c r="E2213" s="212" t="s">
        <v>545</v>
      </c>
      <c r="F2213" s="215">
        <v>558</v>
      </c>
      <c r="G2213" s="194">
        <v>9.35E-2</v>
      </c>
      <c r="H2213" s="195">
        <f t="shared" si="34"/>
        <v>52.173000000000002</v>
      </c>
      <c r="I2213" s="212" t="s">
        <v>2354</v>
      </c>
    </row>
    <row r="2214" spans="1:9" x14ac:dyDescent="0.25">
      <c r="A2214" s="193" t="s">
        <v>220</v>
      </c>
      <c r="B2214" s="193" t="s">
        <v>2351</v>
      </c>
      <c r="C2214" s="214" t="s">
        <v>4662</v>
      </c>
      <c r="D2214" s="193" t="s">
        <v>4663</v>
      </c>
      <c r="E2214" s="212" t="s">
        <v>545</v>
      </c>
      <c r="F2214" s="215">
        <v>532</v>
      </c>
      <c r="G2214" s="194">
        <v>0.21</v>
      </c>
      <c r="H2214" s="195">
        <f t="shared" si="34"/>
        <v>111.72</v>
      </c>
      <c r="I2214" s="212" t="s">
        <v>2354</v>
      </c>
    </row>
    <row r="2215" spans="1:9" x14ac:dyDescent="0.25">
      <c r="A2215" s="193" t="s">
        <v>220</v>
      </c>
      <c r="B2215" s="193" t="s">
        <v>2351</v>
      </c>
      <c r="C2215" s="214" t="s">
        <v>4664</v>
      </c>
      <c r="D2215" s="193" t="s">
        <v>4665</v>
      </c>
      <c r="E2215" s="212" t="s">
        <v>545</v>
      </c>
      <c r="F2215" s="215">
        <v>230</v>
      </c>
      <c r="G2215" s="194">
        <v>0.28599999999999998</v>
      </c>
      <c r="H2215" s="195">
        <f t="shared" si="34"/>
        <v>65.78</v>
      </c>
      <c r="I2215" s="212" t="s">
        <v>2354</v>
      </c>
    </row>
    <row r="2216" spans="1:9" x14ac:dyDescent="0.25">
      <c r="A2216" s="193" t="s">
        <v>220</v>
      </c>
      <c r="B2216" s="193" t="s">
        <v>2351</v>
      </c>
      <c r="C2216" s="214" t="s">
        <v>4666</v>
      </c>
      <c r="D2216" s="193" t="s">
        <v>4667</v>
      </c>
      <c r="E2216" s="212" t="s">
        <v>545</v>
      </c>
      <c r="F2216" s="215">
        <v>49</v>
      </c>
      <c r="G2216" s="194">
        <v>0.315</v>
      </c>
      <c r="H2216" s="195">
        <f t="shared" si="34"/>
        <v>15.435</v>
      </c>
      <c r="I2216" s="212" t="s">
        <v>2354</v>
      </c>
    </row>
    <row r="2217" spans="1:9" x14ac:dyDescent="0.25">
      <c r="A2217" s="193" t="s">
        <v>220</v>
      </c>
      <c r="B2217" s="193" t="s">
        <v>2351</v>
      </c>
      <c r="C2217" s="214" t="s">
        <v>4668</v>
      </c>
      <c r="D2217" s="193" t="s">
        <v>4669</v>
      </c>
      <c r="E2217" s="212" t="s">
        <v>545</v>
      </c>
      <c r="F2217" s="215">
        <v>50</v>
      </c>
      <c r="G2217" s="194">
        <v>1.0674870607734805</v>
      </c>
      <c r="H2217" s="195">
        <f t="shared" si="34"/>
        <v>53.37435303867403</v>
      </c>
      <c r="I2217" s="212" t="s">
        <v>2354</v>
      </c>
    </row>
    <row r="2218" spans="1:9" x14ac:dyDescent="0.25">
      <c r="A2218" s="193" t="s">
        <v>220</v>
      </c>
      <c r="B2218" s="193" t="s">
        <v>2351</v>
      </c>
      <c r="C2218" s="214" t="s">
        <v>4670</v>
      </c>
      <c r="D2218" s="193" t="s">
        <v>4671</v>
      </c>
      <c r="E2218" s="212" t="s">
        <v>545</v>
      </c>
      <c r="F2218" s="215">
        <v>208</v>
      </c>
      <c r="G2218" s="194">
        <v>0.48299999999999998</v>
      </c>
      <c r="H2218" s="195">
        <f t="shared" si="34"/>
        <v>100.464</v>
      </c>
      <c r="I2218" s="212" t="s">
        <v>2354</v>
      </c>
    </row>
    <row r="2219" spans="1:9" x14ac:dyDescent="0.25">
      <c r="A2219" s="193" t="s">
        <v>220</v>
      </c>
      <c r="B2219" s="193" t="s">
        <v>2351</v>
      </c>
      <c r="C2219" s="214" t="s">
        <v>4672</v>
      </c>
      <c r="D2219" s="193" t="s">
        <v>4673</v>
      </c>
      <c r="E2219" s="212" t="s">
        <v>545</v>
      </c>
      <c r="F2219" s="215">
        <v>45</v>
      </c>
      <c r="G2219" s="194">
        <v>1.1539999999999999</v>
      </c>
      <c r="H2219" s="195">
        <f t="shared" si="34"/>
        <v>51.929999999999993</v>
      </c>
      <c r="I2219" s="212" t="s">
        <v>2354</v>
      </c>
    </row>
    <row r="2220" spans="1:9" x14ac:dyDescent="0.25">
      <c r="A2220" s="193" t="s">
        <v>220</v>
      </c>
      <c r="B2220" s="193" t="s">
        <v>2351</v>
      </c>
      <c r="C2220" s="214" t="s">
        <v>4674</v>
      </c>
      <c r="D2220" s="193" t="s">
        <v>4675</v>
      </c>
      <c r="E2220" s="212" t="s">
        <v>545</v>
      </c>
      <c r="F2220" s="215">
        <v>89</v>
      </c>
      <c r="G2220" s="194">
        <v>1.5189999999999999</v>
      </c>
      <c r="H2220" s="195">
        <f t="shared" si="34"/>
        <v>135.191</v>
      </c>
      <c r="I2220" s="212" t="s">
        <v>2354</v>
      </c>
    </row>
    <row r="2221" spans="1:9" x14ac:dyDescent="0.25">
      <c r="A2221" s="193" t="s">
        <v>220</v>
      </c>
      <c r="B2221" s="193" t="s">
        <v>2351</v>
      </c>
      <c r="C2221" s="214" t="s">
        <v>4676</v>
      </c>
      <c r="D2221" s="193" t="s">
        <v>4677</v>
      </c>
      <c r="E2221" s="212" t="s">
        <v>545</v>
      </c>
      <c r="F2221" s="215">
        <v>15</v>
      </c>
      <c r="G2221" s="194">
        <v>1.8360000000000001</v>
      </c>
      <c r="H2221" s="195">
        <f t="shared" si="34"/>
        <v>27.540000000000003</v>
      </c>
      <c r="I2221" s="212" t="s">
        <v>2354</v>
      </c>
    </row>
    <row r="2222" spans="1:9" x14ac:dyDescent="0.25">
      <c r="A2222" s="193" t="s">
        <v>220</v>
      </c>
      <c r="B2222" s="193" t="s">
        <v>2351</v>
      </c>
      <c r="C2222" s="214" t="s">
        <v>4678</v>
      </c>
      <c r="D2222" s="193" t="s">
        <v>4679</v>
      </c>
      <c r="E2222" s="212" t="s">
        <v>545</v>
      </c>
      <c r="F2222" s="215">
        <v>250</v>
      </c>
      <c r="G2222" s="194">
        <v>0.48481246339775336</v>
      </c>
      <c r="H2222" s="195">
        <f t="shared" si="34"/>
        <v>121.20311584943833</v>
      </c>
      <c r="I2222" s="212" t="s">
        <v>2354</v>
      </c>
    </row>
    <row r="2223" spans="1:9" x14ac:dyDescent="0.25">
      <c r="A2223" s="193" t="s">
        <v>220</v>
      </c>
      <c r="B2223" s="193" t="s">
        <v>2351</v>
      </c>
      <c r="C2223" s="214" t="s">
        <v>4680</v>
      </c>
      <c r="D2223" s="193" t="s">
        <v>4681</v>
      </c>
      <c r="E2223" s="212" t="s">
        <v>545</v>
      </c>
      <c r="F2223" s="215">
        <v>41</v>
      </c>
      <c r="G2223" s="194">
        <v>0.46</v>
      </c>
      <c r="H2223" s="195">
        <f t="shared" si="34"/>
        <v>18.86</v>
      </c>
      <c r="I2223" s="212" t="s">
        <v>2354</v>
      </c>
    </row>
    <row r="2224" spans="1:9" x14ac:dyDescent="0.25">
      <c r="A2224" s="193" t="s">
        <v>220</v>
      </c>
      <c r="B2224" s="193" t="s">
        <v>2351</v>
      </c>
      <c r="C2224" s="214" t="s">
        <v>4682</v>
      </c>
      <c r="D2224" s="193" t="s">
        <v>4683</v>
      </c>
      <c r="E2224" s="212" t="s">
        <v>545</v>
      </c>
      <c r="F2224" s="215">
        <v>15</v>
      </c>
      <c r="G2224" s="194">
        <v>0.90400000000000003</v>
      </c>
      <c r="H2224" s="195">
        <f t="shared" si="34"/>
        <v>13.56</v>
      </c>
      <c r="I2224" s="212" t="s">
        <v>2354</v>
      </c>
    </row>
    <row r="2225" spans="1:9" x14ac:dyDescent="0.25">
      <c r="A2225" s="193" t="s">
        <v>220</v>
      </c>
      <c r="B2225" s="193" t="s">
        <v>2351</v>
      </c>
      <c r="C2225" s="214" t="s">
        <v>4684</v>
      </c>
      <c r="D2225" s="193" t="s">
        <v>4685</v>
      </c>
      <c r="E2225" s="212" t="s">
        <v>545</v>
      </c>
      <c r="F2225" s="215">
        <v>8.25</v>
      </c>
      <c r="G2225" s="194">
        <v>11.813000000000001</v>
      </c>
      <c r="H2225" s="195">
        <f t="shared" si="34"/>
        <v>97.457250000000002</v>
      </c>
      <c r="I2225" s="212" t="s">
        <v>2354</v>
      </c>
    </row>
    <row r="2226" spans="1:9" x14ac:dyDescent="0.25">
      <c r="A2226" s="193" t="s">
        <v>220</v>
      </c>
      <c r="B2226" s="193" t="s">
        <v>2351</v>
      </c>
      <c r="C2226" s="214" t="s">
        <v>4686</v>
      </c>
      <c r="D2226" s="193" t="s">
        <v>4687</v>
      </c>
      <c r="E2226" s="212" t="s">
        <v>545</v>
      </c>
      <c r="F2226" s="215">
        <v>144</v>
      </c>
      <c r="G2226" s="194">
        <v>0.33638000000000001</v>
      </c>
      <c r="H2226" s="195">
        <f t="shared" si="34"/>
        <v>48.438720000000004</v>
      </c>
      <c r="I2226" s="212" t="s">
        <v>2354</v>
      </c>
    </row>
    <row r="2227" spans="1:9" x14ac:dyDescent="0.25">
      <c r="A2227" s="193" t="s">
        <v>220</v>
      </c>
      <c r="B2227" s="193" t="s">
        <v>2351</v>
      </c>
      <c r="C2227" s="214" t="s">
        <v>4688</v>
      </c>
      <c r="D2227" s="193" t="s">
        <v>4689</v>
      </c>
      <c r="E2227" s="212" t="s">
        <v>545</v>
      </c>
      <c r="F2227" s="215">
        <v>78</v>
      </c>
      <c r="G2227" s="194">
        <v>0.84150000000000003</v>
      </c>
      <c r="H2227" s="195">
        <f t="shared" si="34"/>
        <v>65.637</v>
      </c>
      <c r="I2227" s="212" t="s">
        <v>2354</v>
      </c>
    </row>
    <row r="2228" spans="1:9" x14ac:dyDescent="0.25">
      <c r="A2228" s="193" t="s">
        <v>220</v>
      </c>
      <c r="B2228" s="193" t="s">
        <v>2351</v>
      </c>
      <c r="C2228" s="214" t="s">
        <v>4690</v>
      </c>
      <c r="D2228" s="193" t="s">
        <v>4691</v>
      </c>
      <c r="E2228" s="212" t="s">
        <v>545</v>
      </c>
      <c r="F2228" s="215">
        <v>25</v>
      </c>
      <c r="G2228" s="194">
        <v>0.62900999999999996</v>
      </c>
      <c r="H2228" s="195">
        <f t="shared" si="34"/>
        <v>15.725249999999999</v>
      </c>
      <c r="I2228" s="212" t="s">
        <v>2354</v>
      </c>
    </row>
    <row r="2229" spans="1:9" x14ac:dyDescent="0.25">
      <c r="A2229" s="193" t="s">
        <v>220</v>
      </c>
      <c r="B2229" s="193" t="s">
        <v>2351</v>
      </c>
      <c r="C2229" s="214" t="s">
        <v>4692</v>
      </c>
      <c r="D2229" s="193" t="s">
        <v>4693</v>
      </c>
      <c r="E2229" s="212" t="s">
        <v>545</v>
      </c>
      <c r="F2229" s="215">
        <v>25</v>
      </c>
      <c r="G2229" s="194">
        <v>0.2465</v>
      </c>
      <c r="H2229" s="195">
        <f t="shared" si="34"/>
        <v>6.1624999999999996</v>
      </c>
      <c r="I2229" s="212" t="s">
        <v>2354</v>
      </c>
    </row>
    <row r="2230" spans="1:9" x14ac:dyDescent="0.25">
      <c r="A2230" s="193" t="s">
        <v>220</v>
      </c>
      <c r="B2230" s="193" t="s">
        <v>2351</v>
      </c>
      <c r="C2230" s="214" t="s">
        <v>4694</v>
      </c>
      <c r="D2230" s="193" t="s">
        <v>4695</v>
      </c>
      <c r="E2230" s="212" t="s">
        <v>545</v>
      </c>
      <c r="F2230" s="215">
        <v>5</v>
      </c>
      <c r="G2230" s="194">
        <v>3.4</v>
      </c>
      <c r="H2230" s="195">
        <f t="shared" si="34"/>
        <v>17</v>
      </c>
      <c r="I2230" s="212" t="s">
        <v>2354</v>
      </c>
    </row>
    <row r="2231" spans="1:9" x14ac:dyDescent="0.25">
      <c r="A2231" s="193" t="s">
        <v>220</v>
      </c>
      <c r="B2231" s="193" t="s">
        <v>2351</v>
      </c>
      <c r="C2231" s="214" t="s">
        <v>4696</v>
      </c>
      <c r="D2231" s="193" t="s">
        <v>4697</v>
      </c>
      <c r="E2231" s="212" t="s">
        <v>545</v>
      </c>
      <c r="F2231" s="215">
        <v>136</v>
      </c>
      <c r="G2231" s="194">
        <v>1.0529999999999999</v>
      </c>
      <c r="H2231" s="195">
        <f t="shared" si="34"/>
        <v>143.208</v>
      </c>
      <c r="I2231" s="212" t="s">
        <v>2354</v>
      </c>
    </row>
    <row r="2232" spans="1:9" x14ac:dyDescent="0.25">
      <c r="A2232" s="193" t="s">
        <v>220</v>
      </c>
      <c r="B2232" s="193" t="s">
        <v>2351</v>
      </c>
      <c r="C2232" s="214" t="s">
        <v>4698</v>
      </c>
      <c r="D2232" s="193" t="s">
        <v>4699</v>
      </c>
      <c r="E2232" s="212" t="s">
        <v>545</v>
      </c>
      <c r="F2232" s="215">
        <v>140</v>
      </c>
      <c r="G2232" s="194">
        <v>0.998</v>
      </c>
      <c r="H2232" s="195">
        <f t="shared" si="34"/>
        <v>139.72</v>
      </c>
      <c r="I2232" s="212" t="s">
        <v>2354</v>
      </c>
    </row>
    <row r="2233" spans="1:9" x14ac:dyDescent="0.25">
      <c r="A2233" s="193" t="s">
        <v>220</v>
      </c>
      <c r="B2233" s="193" t="s">
        <v>2351</v>
      </c>
      <c r="C2233" s="214" t="s">
        <v>4700</v>
      </c>
      <c r="D2233" s="193" t="s">
        <v>4701</v>
      </c>
      <c r="E2233" s="212" t="s">
        <v>545</v>
      </c>
      <c r="F2233" s="215">
        <v>133</v>
      </c>
      <c r="G2233" s="194">
        <v>2.5437308868501526E-2</v>
      </c>
      <c r="H2233" s="195">
        <f t="shared" si="34"/>
        <v>3.3831620795107029</v>
      </c>
      <c r="I2233" s="212" t="s">
        <v>2354</v>
      </c>
    </row>
    <row r="2234" spans="1:9" x14ac:dyDescent="0.25">
      <c r="A2234" s="193" t="s">
        <v>220</v>
      </c>
      <c r="B2234" s="193" t="s">
        <v>2351</v>
      </c>
      <c r="C2234" s="214" t="s">
        <v>4702</v>
      </c>
      <c r="D2234" s="193" t="s">
        <v>4703</v>
      </c>
      <c r="E2234" s="212" t="s">
        <v>545</v>
      </c>
      <c r="F2234" s="215">
        <v>140</v>
      </c>
      <c r="G2234" s="194">
        <v>0.12065255813953489</v>
      </c>
      <c r="H2234" s="195">
        <f t="shared" si="34"/>
        <v>16.891358139534884</v>
      </c>
      <c r="I2234" s="212" t="s">
        <v>2354</v>
      </c>
    </row>
    <row r="2235" spans="1:9" x14ac:dyDescent="0.25">
      <c r="A2235" s="193" t="s">
        <v>220</v>
      </c>
      <c r="B2235" s="193" t="s">
        <v>2351</v>
      </c>
      <c r="C2235" s="214" t="s">
        <v>4704</v>
      </c>
      <c r="D2235" s="193" t="s">
        <v>4705</v>
      </c>
      <c r="E2235" s="212" t="s">
        <v>545</v>
      </c>
      <c r="F2235" s="215">
        <v>3</v>
      </c>
      <c r="G2235" s="194">
        <v>0.94299999999999995</v>
      </c>
      <c r="H2235" s="195">
        <f t="shared" si="34"/>
        <v>2.8289999999999997</v>
      </c>
      <c r="I2235" s="212" t="s">
        <v>2354</v>
      </c>
    </row>
    <row r="2236" spans="1:9" x14ac:dyDescent="0.25">
      <c r="A2236" s="193" t="s">
        <v>220</v>
      </c>
      <c r="B2236" s="193" t="s">
        <v>2351</v>
      </c>
      <c r="C2236" s="214" t="s">
        <v>4706</v>
      </c>
      <c r="D2236" s="193" t="s">
        <v>4707</v>
      </c>
      <c r="E2236" s="212" t="s">
        <v>545</v>
      </c>
      <c r="F2236" s="215">
        <v>1</v>
      </c>
      <c r="G2236" s="194">
        <v>30.809699999999999</v>
      </c>
      <c r="H2236" s="195">
        <f t="shared" si="34"/>
        <v>30.809699999999999</v>
      </c>
      <c r="I2236" s="212" t="s">
        <v>2354</v>
      </c>
    </row>
    <row r="2237" spans="1:9" x14ac:dyDescent="0.25">
      <c r="A2237" s="193" t="s">
        <v>220</v>
      </c>
      <c r="B2237" s="193" t="s">
        <v>2351</v>
      </c>
      <c r="C2237" s="214" t="s">
        <v>4708</v>
      </c>
      <c r="D2237" s="193" t="s">
        <v>4709</v>
      </c>
      <c r="E2237" s="212" t="s">
        <v>545</v>
      </c>
      <c r="F2237" s="215">
        <v>104</v>
      </c>
      <c r="G2237" s="194">
        <v>0.30499999999999999</v>
      </c>
      <c r="H2237" s="195">
        <f t="shared" si="34"/>
        <v>31.72</v>
      </c>
      <c r="I2237" s="212" t="s">
        <v>2354</v>
      </c>
    </row>
    <row r="2238" spans="1:9" x14ac:dyDescent="0.25">
      <c r="A2238" s="193" t="s">
        <v>220</v>
      </c>
      <c r="B2238" s="193" t="s">
        <v>2351</v>
      </c>
      <c r="C2238" s="214" t="s">
        <v>4710</v>
      </c>
      <c r="D2238" s="193" t="s">
        <v>4711</v>
      </c>
      <c r="E2238" s="212" t="s">
        <v>545</v>
      </c>
      <c r="F2238" s="215">
        <v>40</v>
      </c>
      <c r="G2238" s="194">
        <v>0.38613999999999998</v>
      </c>
      <c r="H2238" s="195">
        <f t="shared" si="34"/>
        <v>15.445599999999999</v>
      </c>
      <c r="I2238" s="212" t="s">
        <v>2354</v>
      </c>
    </row>
    <row r="2239" spans="1:9" x14ac:dyDescent="0.25">
      <c r="A2239" s="193" t="s">
        <v>220</v>
      </c>
      <c r="B2239" s="193" t="s">
        <v>2351</v>
      </c>
      <c r="C2239" s="214" t="s">
        <v>4712</v>
      </c>
      <c r="D2239" s="193" t="s">
        <v>4713</v>
      </c>
      <c r="E2239" s="212" t="s">
        <v>545</v>
      </c>
      <c r="F2239" s="215">
        <v>28</v>
      </c>
      <c r="G2239" s="194">
        <v>1.0506</v>
      </c>
      <c r="H2239" s="195">
        <f t="shared" si="34"/>
        <v>29.416799999999999</v>
      </c>
      <c r="I2239" s="212" t="s">
        <v>2354</v>
      </c>
    </row>
    <row r="2240" spans="1:9" x14ac:dyDescent="0.25">
      <c r="A2240" s="193" t="s">
        <v>220</v>
      </c>
      <c r="B2240" s="193" t="s">
        <v>2351</v>
      </c>
      <c r="C2240" s="214" t="s">
        <v>4714</v>
      </c>
      <c r="D2240" s="193" t="s">
        <v>4715</v>
      </c>
      <c r="E2240" s="212" t="s">
        <v>545</v>
      </c>
      <c r="F2240" s="215">
        <v>320</v>
      </c>
      <c r="G2240" s="194">
        <v>0.32140750000000007</v>
      </c>
      <c r="H2240" s="195">
        <f t="shared" si="34"/>
        <v>102.85040000000002</v>
      </c>
      <c r="I2240" s="212" t="s">
        <v>2354</v>
      </c>
    </row>
    <row r="2241" spans="1:9" x14ac:dyDescent="0.25">
      <c r="A2241" s="193" t="s">
        <v>220</v>
      </c>
      <c r="B2241" s="193" t="s">
        <v>2351</v>
      </c>
      <c r="C2241" s="214" t="s">
        <v>4716</v>
      </c>
      <c r="D2241" s="193" t="s">
        <v>4717</v>
      </c>
      <c r="E2241" s="212" t="s">
        <v>545</v>
      </c>
      <c r="F2241" s="215">
        <v>25</v>
      </c>
      <c r="G2241" s="194">
        <v>0.25700000000000001</v>
      </c>
      <c r="H2241" s="195">
        <f t="shared" si="34"/>
        <v>6.4249999999999998</v>
      </c>
      <c r="I2241" s="212" t="s">
        <v>2354</v>
      </c>
    </row>
    <row r="2242" spans="1:9" x14ac:dyDescent="0.25">
      <c r="A2242" s="193" t="s">
        <v>220</v>
      </c>
      <c r="B2242" s="193" t="s">
        <v>2351</v>
      </c>
      <c r="C2242" s="214" t="s">
        <v>4718</v>
      </c>
      <c r="D2242" s="193" t="s">
        <v>4719</v>
      </c>
      <c r="E2242" s="212" t="s">
        <v>545</v>
      </c>
      <c r="F2242" s="215">
        <v>24</v>
      </c>
      <c r="G2242" s="194">
        <v>0.51200000000000001</v>
      </c>
      <c r="H2242" s="195">
        <f t="shared" si="34"/>
        <v>12.288</v>
      </c>
      <c r="I2242" s="212" t="s">
        <v>2354</v>
      </c>
    </row>
    <row r="2243" spans="1:9" x14ac:dyDescent="0.25">
      <c r="A2243" s="193" t="s">
        <v>220</v>
      </c>
      <c r="B2243" s="193" t="s">
        <v>2351</v>
      </c>
      <c r="C2243" s="214" t="s">
        <v>4720</v>
      </c>
      <c r="D2243" s="193" t="s">
        <v>4721</v>
      </c>
      <c r="E2243" s="212" t="s">
        <v>545</v>
      </c>
      <c r="F2243" s="215">
        <v>27</v>
      </c>
      <c r="G2243" s="194">
        <v>0.44900000000000007</v>
      </c>
      <c r="H2243" s="195">
        <f t="shared" si="34"/>
        <v>12.123000000000001</v>
      </c>
      <c r="I2243" s="212" t="s">
        <v>2354</v>
      </c>
    </row>
    <row r="2244" spans="1:9" x14ac:dyDescent="0.25">
      <c r="A2244" s="193" t="s">
        <v>220</v>
      </c>
      <c r="B2244" s="193" t="s">
        <v>2351</v>
      </c>
      <c r="C2244" s="214" t="s">
        <v>4722</v>
      </c>
      <c r="D2244" s="193" t="s">
        <v>4723</v>
      </c>
      <c r="E2244" s="212" t="s">
        <v>545</v>
      </c>
      <c r="F2244" s="215">
        <v>260</v>
      </c>
      <c r="G2244" s="194">
        <v>9.5399999999999985E-2</v>
      </c>
      <c r="H2244" s="195">
        <f t="shared" si="34"/>
        <v>24.803999999999995</v>
      </c>
      <c r="I2244" s="212" t="s">
        <v>2354</v>
      </c>
    </row>
    <row r="2245" spans="1:9" x14ac:dyDescent="0.25">
      <c r="A2245" s="193" t="s">
        <v>220</v>
      </c>
      <c r="B2245" s="193" t="s">
        <v>2351</v>
      </c>
      <c r="C2245" s="214" t="s">
        <v>4724</v>
      </c>
      <c r="D2245" s="193" t="s">
        <v>4725</v>
      </c>
      <c r="E2245" s="212" t="s">
        <v>545</v>
      </c>
      <c r="F2245" s="215">
        <v>40</v>
      </c>
      <c r="G2245" s="194">
        <v>0.42159999999999997</v>
      </c>
      <c r="H2245" s="195">
        <f t="shared" ref="H2245:H2308" si="35">+F2245*G2245</f>
        <v>16.863999999999997</v>
      </c>
      <c r="I2245" s="212" t="s">
        <v>2354</v>
      </c>
    </row>
    <row r="2246" spans="1:9" x14ac:dyDescent="0.25">
      <c r="A2246" s="193" t="s">
        <v>220</v>
      </c>
      <c r="B2246" s="193" t="s">
        <v>2351</v>
      </c>
      <c r="C2246" s="214" t="s">
        <v>4726</v>
      </c>
      <c r="D2246" s="193" t="s">
        <v>4727</v>
      </c>
      <c r="E2246" s="212" t="s">
        <v>545</v>
      </c>
      <c r="F2246" s="215">
        <v>140</v>
      </c>
      <c r="G2246" s="194">
        <v>0.65800000000000003</v>
      </c>
      <c r="H2246" s="195">
        <f t="shared" si="35"/>
        <v>92.12</v>
      </c>
      <c r="I2246" s="212" t="s">
        <v>2354</v>
      </c>
    </row>
    <row r="2247" spans="1:9" x14ac:dyDescent="0.25">
      <c r="A2247" s="193" t="s">
        <v>220</v>
      </c>
      <c r="B2247" s="193" t="s">
        <v>2351</v>
      </c>
      <c r="C2247" s="214" t="s">
        <v>4728</v>
      </c>
      <c r="D2247" s="193" t="s">
        <v>4729</v>
      </c>
      <c r="E2247" s="212" t="s">
        <v>545</v>
      </c>
      <c r="F2247" s="215">
        <v>120</v>
      </c>
      <c r="G2247" s="194">
        <v>4.6519578313253014</v>
      </c>
      <c r="H2247" s="195">
        <f t="shared" si="35"/>
        <v>558.23493975903614</v>
      </c>
      <c r="I2247" s="212" t="s">
        <v>2354</v>
      </c>
    </row>
    <row r="2248" spans="1:9" x14ac:dyDescent="0.25">
      <c r="A2248" s="193" t="s">
        <v>220</v>
      </c>
      <c r="B2248" s="193" t="s">
        <v>2351</v>
      </c>
      <c r="C2248" s="214" t="s">
        <v>4730</v>
      </c>
      <c r="D2248" s="193" t="s">
        <v>4731</v>
      </c>
      <c r="E2248" s="212" t="s">
        <v>545</v>
      </c>
      <c r="F2248" s="215">
        <v>10</v>
      </c>
      <c r="G2248" s="194">
        <v>3.15</v>
      </c>
      <c r="H2248" s="195">
        <f t="shared" si="35"/>
        <v>31.5</v>
      </c>
      <c r="I2248" s="212" t="s">
        <v>2354</v>
      </c>
    </row>
    <row r="2249" spans="1:9" x14ac:dyDescent="0.25">
      <c r="A2249" s="193" t="s">
        <v>220</v>
      </c>
      <c r="B2249" s="193" t="s">
        <v>2351</v>
      </c>
      <c r="C2249" s="214" t="s">
        <v>4732</v>
      </c>
      <c r="D2249" s="193" t="s">
        <v>4733</v>
      </c>
      <c r="E2249" s="212" t="s">
        <v>545</v>
      </c>
      <c r="F2249" s="215">
        <v>162</v>
      </c>
      <c r="G2249" s="194">
        <v>0.13600000000000001</v>
      </c>
      <c r="H2249" s="195">
        <f t="shared" si="35"/>
        <v>22.032</v>
      </c>
      <c r="I2249" s="212" t="s">
        <v>2354</v>
      </c>
    </row>
    <row r="2250" spans="1:9" x14ac:dyDescent="0.25">
      <c r="A2250" s="193" t="s">
        <v>220</v>
      </c>
      <c r="B2250" s="193" t="s">
        <v>2351</v>
      </c>
      <c r="C2250" s="214" t="s">
        <v>4734</v>
      </c>
      <c r="D2250" s="193" t="s">
        <v>4735</v>
      </c>
      <c r="E2250" s="212" t="s">
        <v>545</v>
      </c>
      <c r="F2250" s="215">
        <v>133</v>
      </c>
      <c r="G2250" s="194">
        <v>5.317887086092715</v>
      </c>
      <c r="H2250" s="195">
        <f t="shared" si="35"/>
        <v>707.27898245033111</v>
      </c>
      <c r="I2250" s="212" t="s">
        <v>2354</v>
      </c>
    </row>
    <row r="2251" spans="1:9" x14ac:dyDescent="0.25">
      <c r="A2251" s="193" t="s">
        <v>220</v>
      </c>
      <c r="B2251" s="193" t="s">
        <v>2351</v>
      </c>
      <c r="C2251" s="214" t="s">
        <v>4736</v>
      </c>
      <c r="D2251" s="193" t="s">
        <v>4737</v>
      </c>
      <c r="E2251" s="212" t="s">
        <v>2473</v>
      </c>
      <c r="F2251" s="215">
        <v>79</v>
      </c>
      <c r="G2251" s="194">
        <v>24.328700000000001</v>
      </c>
      <c r="H2251" s="195">
        <f t="shared" si="35"/>
        <v>1921.9673</v>
      </c>
      <c r="I2251" s="212" t="s">
        <v>2354</v>
      </c>
    </row>
    <row r="2252" spans="1:9" x14ac:dyDescent="0.25">
      <c r="A2252" s="193" t="s">
        <v>220</v>
      </c>
      <c r="B2252" s="193" t="s">
        <v>2351</v>
      </c>
      <c r="C2252" s="214" t="s">
        <v>4738</v>
      </c>
      <c r="D2252" s="193" t="s">
        <v>4739</v>
      </c>
      <c r="E2252" s="212" t="s">
        <v>545</v>
      </c>
      <c r="F2252" s="215">
        <v>102</v>
      </c>
      <c r="G2252" s="194">
        <v>0.2328625924314919</v>
      </c>
      <c r="H2252" s="195">
        <f t="shared" si="35"/>
        <v>23.751984428012175</v>
      </c>
      <c r="I2252" s="212" t="s">
        <v>2354</v>
      </c>
    </row>
    <row r="2253" spans="1:9" x14ac:dyDescent="0.25">
      <c r="A2253" s="193" t="s">
        <v>220</v>
      </c>
      <c r="B2253" s="193" t="s">
        <v>2351</v>
      </c>
      <c r="C2253" s="214" t="s">
        <v>4740</v>
      </c>
      <c r="D2253" s="193" t="s">
        <v>4741</v>
      </c>
      <c r="E2253" s="212" t="s">
        <v>545</v>
      </c>
      <c r="F2253" s="215">
        <v>3</v>
      </c>
      <c r="G2253" s="194">
        <v>23.007999999999999</v>
      </c>
      <c r="H2253" s="195">
        <f t="shared" si="35"/>
        <v>69.024000000000001</v>
      </c>
      <c r="I2253" s="212" t="s">
        <v>2354</v>
      </c>
    </row>
    <row r="2254" spans="1:9" x14ac:dyDescent="0.25">
      <c r="A2254" s="193" t="s">
        <v>220</v>
      </c>
      <c r="B2254" s="193" t="s">
        <v>2351</v>
      </c>
      <c r="C2254" s="214" t="s">
        <v>4742</v>
      </c>
      <c r="D2254" s="193" t="s">
        <v>4743</v>
      </c>
      <c r="E2254" s="212" t="s">
        <v>545</v>
      </c>
      <c r="F2254" s="215">
        <v>2</v>
      </c>
      <c r="G2254" s="194">
        <v>36.194000000000003</v>
      </c>
      <c r="H2254" s="195">
        <f t="shared" si="35"/>
        <v>72.388000000000005</v>
      </c>
      <c r="I2254" s="212" t="s">
        <v>2354</v>
      </c>
    </row>
    <row r="2255" spans="1:9" x14ac:dyDescent="0.25">
      <c r="A2255" s="193" t="s">
        <v>220</v>
      </c>
      <c r="B2255" s="193" t="s">
        <v>2351</v>
      </c>
      <c r="C2255" s="214" t="s">
        <v>4744</v>
      </c>
      <c r="D2255" s="193" t="s">
        <v>4745</v>
      </c>
      <c r="E2255" s="212" t="s">
        <v>545</v>
      </c>
      <c r="F2255" s="213">
        <v>120</v>
      </c>
      <c r="G2255" s="194">
        <v>30.584700000000002</v>
      </c>
      <c r="H2255" s="195">
        <f t="shared" si="35"/>
        <v>3670.1640000000002</v>
      </c>
      <c r="I2255" s="212" t="s">
        <v>2354</v>
      </c>
    </row>
    <row r="2256" spans="1:9" x14ac:dyDescent="0.25">
      <c r="A2256" s="193" t="s">
        <v>220</v>
      </c>
      <c r="B2256" s="193" t="s">
        <v>2351</v>
      </c>
      <c r="C2256" s="214" t="s">
        <v>4746</v>
      </c>
      <c r="D2256" s="193" t="s">
        <v>4747</v>
      </c>
      <c r="E2256" s="212" t="s">
        <v>545</v>
      </c>
      <c r="F2256" s="215">
        <v>1</v>
      </c>
      <c r="G2256" s="194">
        <v>8.3166666666666664</v>
      </c>
      <c r="H2256" s="195">
        <f t="shared" si="35"/>
        <v>8.3166666666666664</v>
      </c>
      <c r="I2256" s="212" t="s">
        <v>2354</v>
      </c>
    </row>
    <row r="2257" spans="1:9" x14ac:dyDescent="0.25">
      <c r="A2257" s="193" t="s">
        <v>220</v>
      </c>
      <c r="B2257" s="193" t="s">
        <v>2351</v>
      </c>
      <c r="C2257" s="214" t="s">
        <v>4748</v>
      </c>
      <c r="D2257" s="193" t="s">
        <v>4749</v>
      </c>
      <c r="E2257" s="212" t="s">
        <v>545</v>
      </c>
      <c r="F2257" s="215">
        <v>18</v>
      </c>
      <c r="G2257" s="194">
        <v>0.39</v>
      </c>
      <c r="H2257" s="195">
        <f t="shared" si="35"/>
        <v>7.0200000000000005</v>
      </c>
      <c r="I2257" s="212" t="s">
        <v>2354</v>
      </c>
    </row>
    <row r="2258" spans="1:9" x14ac:dyDescent="0.25">
      <c r="A2258" s="193" t="s">
        <v>220</v>
      </c>
      <c r="B2258" s="193" t="s">
        <v>2351</v>
      </c>
      <c r="C2258" s="214" t="s">
        <v>4750</v>
      </c>
      <c r="D2258" s="193" t="s">
        <v>4751</v>
      </c>
      <c r="E2258" s="212" t="s">
        <v>545</v>
      </c>
      <c r="F2258" s="215">
        <v>8</v>
      </c>
      <c r="G2258" s="194">
        <v>7.6760000000000002</v>
      </c>
      <c r="H2258" s="195">
        <f t="shared" si="35"/>
        <v>61.408000000000001</v>
      </c>
      <c r="I2258" s="212" t="s">
        <v>2354</v>
      </c>
    </row>
    <row r="2259" spans="1:9" x14ac:dyDescent="0.25">
      <c r="A2259" s="193" t="s">
        <v>220</v>
      </c>
      <c r="B2259" s="193" t="s">
        <v>2351</v>
      </c>
      <c r="C2259" s="214" t="s">
        <v>4752</v>
      </c>
      <c r="D2259" s="193" t="s">
        <v>4753</v>
      </c>
      <c r="E2259" s="212" t="s">
        <v>545</v>
      </c>
      <c r="F2259" s="215">
        <v>36</v>
      </c>
      <c r="G2259" s="194">
        <v>5.5488</v>
      </c>
      <c r="H2259" s="195">
        <f t="shared" si="35"/>
        <v>199.7568</v>
      </c>
      <c r="I2259" s="212" t="s">
        <v>2354</v>
      </c>
    </row>
    <row r="2260" spans="1:9" x14ac:dyDescent="0.25">
      <c r="A2260" s="193" t="s">
        <v>220</v>
      </c>
      <c r="B2260" s="193" t="s">
        <v>2351</v>
      </c>
      <c r="C2260" s="214" t="s">
        <v>4754</v>
      </c>
      <c r="D2260" s="193" t="s">
        <v>4755</v>
      </c>
      <c r="E2260" s="212" t="s">
        <v>545</v>
      </c>
      <c r="F2260" s="215">
        <v>203</v>
      </c>
      <c r="G2260" s="194">
        <v>9.3700000000000006E-2</v>
      </c>
      <c r="H2260" s="195">
        <f t="shared" si="35"/>
        <v>19.021100000000001</v>
      </c>
      <c r="I2260" s="212" t="s">
        <v>2354</v>
      </c>
    </row>
    <row r="2261" spans="1:9" x14ac:dyDescent="0.25">
      <c r="A2261" s="193" t="s">
        <v>220</v>
      </c>
      <c r="B2261" s="193" t="s">
        <v>2351</v>
      </c>
      <c r="C2261" s="214" t="s">
        <v>4756</v>
      </c>
      <c r="D2261" s="193" t="s">
        <v>4757</v>
      </c>
      <c r="E2261" s="212" t="s">
        <v>545</v>
      </c>
      <c r="F2261" s="215">
        <v>328</v>
      </c>
      <c r="G2261" s="194">
        <v>8.4000000000000005E-2</v>
      </c>
      <c r="H2261" s="195">
        <f t="shared" si="35"/>
        <v>27.552000000000003</v>
      </c>
      <c r="I2261" s="212" t="s">
        <v>2354</v>
      </c>
    </row>
    <row r="2262" spans="1:9" x14ac:dyDescent="0.25">
      <c r="A2262" s="193" t="s">
        <v>220</v>
      </c>
      <c r="B2262" s="193" t="s">
        <v>2351</v>
      </c>
      <c r="C2262" s="214" t="s">
        <v>4758</v>
      </c>
      <c r="D2262" s="193" t="s">
        <v>4759</v>
      </c>
      <c r="E2262" s="212" t="s">
        <v>545</v>
      </c>
      <c r="F2262" s="215">
        <v>102</v>
      </c>
      <c r="G2262" s="194">
        <v>5.8009999999999999E-2</v>
      </c>
      <c r="H2262" s="195">
        <f t="shared" si="35"/>
        <v>5.9170199999999999</v>
      </c>
      <c r="I2262" s="212" t="s">
        <v>2354</v>
      </c>
    </row>
    <row r="2263" spans="1:9" x14ac:dyDescent="0.25">
      <c r="A2263" s="193" t="s">
        <v>220</v>
      </c>
      <c r="B2263" s="193" t="s">
        <v>2351</v>
      </c>
      <c r="C2263" s="214" t="s">
        <v>4760</v>
      </c>
      <c r="D2263" s="193" t="s">
        <v>4761</v>
      </c>
      <c r="E2263" s="212" t="s">
        <v>545</v>
      </c>
      <c r="F2263" s="215">
        <v>348</v>
      </c>
      <c r="G2263" s="194">
        <v>0.127</v>
      </c>
      <c r="H2263" s="195">
        <f t="shared" si="35"/>
        <v>44.195999999999998</v>
      </c>
      <c r="I2263" s="212" t="s">
        <v>2354</v>
      </c>
    </row>
    <row r="2264" spans="1:9" x14ac:dyDescent="0.25">
      <c r="A2264" s="193" t="s">
        <v>220</v>
      </c>
      <c r="B2264" s="193" t="s">
        <v>2351</v>
      </c>
      <c r="C2264" s="214" t="s">
        <v>4762</v>
      </c>
      <c r="D2264" s="193" t="s">
        <v>4763</v>
      </c>
      <c r="E2264" s="212" t="s">
        <v>545</v>
      </c>
      <c r="F2264" s="215">
        <v>30</v>
      </c>
      <c r="G2264" s="194">
        <v>0.96389999999999998</v>
      </c>
      <c r="H2264" s="195">
        <f t="shared" si="35"/>
        <v>28.916999999999998</v>
      </c>
      <c r="I2264" s="212" t="s">
        <v>2354</v>
      </c>
    </row>
    <row r="2265" spans="1:9" x14ac:dyDescent="0.25">
      <c r="A2265" s="193" t="s">
        <v>220</v>
      </c>
      <c r="B2265" s="193" t="s">
        <v>2351</v>
      </c>
      <c r="C2265" s="214" t="s">
        <v>4764</v>
      </c>
      <c r="D2265" s="193" t="s">
        <v>4765</v>
      </c>
      <c r="E2265" s="212" t="s">
        <v>545</v>
      </c>
      <c r="F2265" s="215">
        <v>501</v>
      </c>
      <c r="G2265" s="194">
        <v>3.3000000000000002E-2</v>
      </c>
      <c r="H2265" s="195">
        <f t="shared" si="35"/>
        <v>16.533000000000001</v>
      </c>
      <c r="I2265" s="212" t="s">
        <v>2354</v>
      </c>
    </row>
    <row r="2266" spans="1:9" x14ac:dyDescent="0.25">
      <c r="A2266" s="193" t="s">
        <v>220</v>
      </c>
      <c r="B2266" s="193" t="s">
        <v>2351</v>
      </c>
      <c r="C2266" s="214" t="s">
        <v>4766</v>
      </c>
      <c r="D2266" s="193" t="s">
        <v>4767</v>
      </c>
      <c r="E2266" s="212" t="s">
        <v>545</v>
      </c>
      <c r="F2266" s="215">
        <v>30</v>
      </c>
      <c r="G2266" s="194">
        <v>0.05</v>
      </c>
      <c r="H2266" s="195">
        <f t="shared" si="35"/>
        <v>1.5</v>
      </c>
      <c r="I2266" s="212" t="s">
        <v>2354</v>
      </c>
    </row>
    <row r="2267" spans="1:9" x14ac:dyDescent="0.25">
      <c r="A2267" s="193" t="s">
        <v>220</v>
      </c>
      <c r="B2267" s="193" t="s">
        <v>2351</v>
      </c>
      <c r="C2267" s="214" t="s">
        <v>4768</v>
      </c>
      <c r="D2267" s="193" t="s">
        <v>4769</v>
      </c>
      <c r="E2267" s="212" t="s">
        <v>545</v>
      </c>
      <c r="F2267" s="215">
        <v>13</v>
      </c>
      <c r="G2267" s="194">
        <v>0.89280000000000004</v>
      </c>
      <c r="H2267" s="195">
        <f t="shared" si="35"/>
        <v>11.606400000000001</v>
      </c>
      <c r="I2267" s="212" t="s">
        <v>2354</v>
      </c>
    </row>
    <row r="2268" spans="1:9" x14ac:dyDescent="0.25">
      <c r="A2268" s="193" t="s">
        <v>220</v>
      </c>
      <c r="B2268" s="193" t="s">
        <v>2351</v>
      </c>
      <c r="C2268" s="214" t="s">
        <v>4770</v>
      </c>
      <c r="D2268" s="193" t="s">
        <v>4771</v>
      </c>
      <c r="E2268" s="212" t="s">
        <v>545</v>
      </c>
      <c r="F2268" s="215">
        <v>25</v>
      </c>
      <c r="G2268" s="194">
        <v>3.6360000000000001</v>
      </c>
      <c r="H2268" s="195">
        <f t="shared" si="35"/>
        <v>90.9</v>
      </c>
      <c r="I2268" s="212" t="s">
        <v>2354</v>
      </c>
    </row>
    <row r="2269" spans="1:9" x14ac:dyDescent="0.25">
      <c r="A2269" s="193" t="s">
        <v>220</v>
      </c>
      <c r="B2269" s="193" t="s">
        <v>2351</v>
      </c>
      <c r="C2269" s="214" t="s">
        <v>4772</v>
      </c>
      <c r="D2269" s="193" t="s">
        <v>4773</v>
      </c>
      <c r="E2269" s="212" t="s">
        <v>545</v>
      </c>
      <c r="F2269" s="215">
        <v>140</v>
      </c>
      <c r="G2269" s="194">
        <v>0.26774999999999999</v>
      </c>
      <c r="H2269" s="195">
        <f t="shared" si="35"/>
        <v>37.484999999999999</v>
      </c>
      <c r="I2269" s="212" t="s">
        <v>2354</v>
      </c>
    </row>
    <row r="2270" spans="1:9" x14ac:dyDescent="0.25">
      <c r="A2270" s="193" t="s">
        <v>220</v>
      </c>
      <c r="B2270" s="193" t="s">
        <v>2351</v>
      </c>
      <c r="C2270" s="214" t="s">
        <v>4774</v>
      </c>
      <c r="D2270" s="193" t="s">
        <v>4775</v>
      </c>
      <c r="E2270" s="212" t="s">
        <v>545</v>
      </c>
      <c r="F2270" s="215">
        <v>260</v>
      </c>
      <c r="G2270" s="194">
        <v>1.1559999999999999</v>
      </c>
      <c r="H2270" s="195">
        <f t="shared" si="35"/>
        <v>300.56</v>
      </c>
      <c r="I2270" s="212" t="s">
        <v>2354</v>
      </c>
    </row>
    <row r="2271" spans="1:9" x14ac:dyDescent="0.25">
      <c r="A2271" s="193" t="s">
        <v>220</v>
      </c>
      <c r="B2271" s="193" t="s">
        <v>2351</v>
      </c>
      <c r="C2271" s="214" t="s">
        <v>4776</v>
      </c>
      <c r="D2271" s="193" t="s">
        <v>4777</v>
      </c>
      <c r="E2271" s="212" t="s">
        <v>545</v>
      </c>
      <c r="F2271" s="215">
        <v>15</v>
      </c>
      <c r="G2271" s="194">
        <v>7.5666666666666664</v>
      </c>
      <c r="H2271" s="195">
        <f t="shared" si="35"/>
        <v>113.5</v>
      </c>
      <c r="I2271" s="212" t="s">
        <v>2354</v>
      </c>
    </row>
    <row r="2272" spans="1:9" x14ac:dyDescent="0.25">
      <c r="A2272" s="193" t="s">
        <v>220</v>
      </c>
      <c r="B2272" s="193" t="s">
        <v>2351</v>
      </c>
      <c r="C2272" s="214" t="s">
        <v>4778</v>
      </c>
      <c r="D2272" s="193" t="s">
        <v>4779</v>
      </c>
      <c r="E2272" s="212" t="s">
        <v>545</v>
      </c>
      <c r="F2272" s="215">
        <v>45</v>
      </c>
      <c r="G2272" s="194">
        <v>6.06</v>
      </c>
      <c r="H2272" s="195">
        <f t="shared" si="35"/>
        <v>272.7</v>
      </c>
      <c r="I2272" s="212" t="s">
        <v>2354</v>
      </c>
    </row>
    <row r="2273" spans="1:9" x14ac:dyDescent="0.25">
      <c r="A2273" s="193" t="s">
        <v>220</v>
      </c>
      <c r="B2273" s="193" t="s">
        <v>2351</v>
      </c>
      <c r="C2273" s="214" t="s">
        <v>4780</v>
      </c>
      <c r="D2273" s="193" t="s">
        <v>4781</v>
      </c>
      <c r="E2273" s="212" t="s">
        <v>545</v>
      </c>
      <c r="F2273" s="215">
        <v>102</v>
      </c>
      <c r="G2273" s="194">
        <v>0.122</v>
      </c>
      <c r="H2273" s="195">
        <f t="shared" si="35"/>
        <v>12.443999999999999</v>
      </c>
      <c r="I2273" s="212" t="s">
        <v>2354</v>
      </c>
    </row>
    <row r="2274" spans="1:9" x14ac:dyDescent="0.25">
      <c r="A2274" s="193" t="s">
        <v>220</v>
      </c>
      <c r="B2274" s="193" t="s">
        <v>2351</v>
      </c>
      <c r="C2274" s="214" t="s">
        <v>4782</v>
      </c>
      <c r="D2274" s="193" t="s">
        <v>4783</v>
      </c>
      <c r="E2274" s="212" t="s">
        <v>545</v>
      </c>
      <c r="F2274" s="215">
        <v>38</v>
      </c>
      <c r="G2274" s="194">
        <v>0.17199999999999999</v>
      </c>
      <c r="H2274" s="195">
        <f t="shared" si="35"/>
        <v>6.5359999999999996</v>
      </c>
      <c r="I2274" s="212" t="s">
        <v>2354</v>
      </c>
    </row>
    <row r="2275" spans="1:9" x14ac:dyDescent="0.25">
      <c r="A2275" s="193" t="s">
        <v>220</v>
      </c>
      <c r="B2275" s="193" t="s">
        <v>2351</v>
      </c>
      <c r="C2275" s="214" t="s">
        <v>4784</v>
      </c>
      <c r="D2275" s="193" t="s">
        <v>4785</v>
      </c>
      <c r="E2275" s="212" t="s">
        <v>545</v>
      </c>
      <c r="F2275" s="215">
        <v>35</v>
      </c>
      <c r="G2275" s="194">
        <v>0.20699999999999999</v>
      </c>
      <c r="H2275" s="195">
        <f t="shared" si="35"/>
        <v>7.2449999999999992</v>
      </c>
      <c r="I2275" s="212" t="s">
        <v>2354</v>
      </c>
    </row>
    <row r="2276" spans="1:9" x14ac:dyDescent="0.25">
      <c r="A2276" s="193" t="s">
        <v>220</v>
      </c>
      <c r="B2276" s="193" t="s">
        <v>2351</v>
      </c>
      <c r="C2276" s="214" t="s">
        <v>4786</v>
      </c>
      <c r="D2276" s="193" t="s">
        <v>4787</v>
      </c>
      <c r="E2276" s="212" t="s">
        <v>545</v>
      </c>
      <c r="F2276" s="215">
        <v>55</v>
      </c>
      <c r="G2276" s="194">
        <v>0.23599999999999999</v>
      </c>
      <c r="H2276" s="195">
        <f t="shared" si="35"/>
        <v>12.979999999999999</v>
      </c>
      <c r="I2276" s="212" t="s">
        <v>2354</v>
      </c>
    </row>
    <row r="2277" spans="1:9" x14ac:dyDescent="0.25">
      <c r="A2277" s="193" t="s">
        <v>220</v>
      </c>
      <c r="B2277" s="193" t="s">
        <v>2351</v>
      </c>
      <c r="C2277" s="214" t="s">
        <v>4788</v>
      </c>
      <c r="D2277" s="193" t="s">
        <v>4789</v>
      </c>
      <c r="E2277" s="212" t="s">
        <v>2473</v>
      </c>
      <c r="F2277" s="215">
        <v>378</v>
      </c>
      <c r="G2277" s="194">
        <v>0.12</v>
      </c>
      <c r="H2277" s="195">
        <f t="shared" si="35"/>
        <v>45.36</v>
      </c>
      <c r="I2277" s="212" t="s">
        <v>2354</v>
      </c>
    </row>
    <row r="2278" spans="1:9" x14ac:dyDescent="0.25">
      <c r="A2278" s="193" t="s">
        <v>220</v>
      </c>
      <c r="B2278" s="193" t="s">
        <v>2351</v>
      </c>
      <c r="C2278" s="214" t="s">
        <v>4790</v>
      </c>
      <c r="D2278" s="193" t="s">
        <v>4791</v>
      </c>
      <c r="E2278" s="212" t="s">
        <v>545</v>
      </c>
      <c r="F2278" s="215">
        <v>15</v>
      </c>
      <c r="G2278" s="194">
        <v>5.7065000000000001</v>
      </c>
      <c r="H2278" s="195">
        <f t="shared" si="35"/>
        <v>85.597499999999997</v>
      </c>
      <c r="I2278" s="212" t="s">
        <v>2354</v>
      </c>
    </row>
    <row r="2279" spans="1:9" x14ac:dyDescent="0.25">
      <c r="A2279" s="193" t="s">
        <v>220</v>
      </c>
      <c r="B2279" s="193" t="s">
        <v>2351</v>
      </c>
      <c r="C2279" s="214" t="s">
        <v>4792</v>
      </c>
      <c r="D2279" s="193" t="s">
        <v>4793</v>
      </c>
      <c r="E2279" s="212" t="s">
        <v>545</v>
      </c>
      <c r="F2279" s="215">
        <v>2</v>
      </c>
      <c r="G2279" s="194">
        <v>9.5030999999999999</v>
      </c>
      <c r="H2279" s="195">
        <f t="shared" si="35"/>
        <v>19.0062</v>
      </c>
      <c r="I2279" s="212" t="s">
        <v>2354</v>
      </c>
    </row>
    <row r="2280" spans="1:9" x14ac:dyDescent="0.25">
      <c r="A2280" s="193" t="s">
        <v>220</v>
      </c>
      <c r="B2280" s="193" t="s">
        <v>2351</v>
      </c>
      <c r="C2280" s="214" t="s">
        <v>4794</v>
      </c>
      <c r="D2280" s="193" t="s">
        <v>4795</v>
      </c>
      <c r="E2280" s="212" t="s">
        <v>545</v>
      </c>
      <c r="F2280" s="215">
        <v>104</v>
      </c>
      <c r="G2280" s="194">
        <v>5.058E-2</v>
      </c>
      <c r="H2280" s="195">
        <f t="shared" si="35"/>
        <v>5.2603200000000001</v>
      </c>
      <c r="I2280" s="212" t="s">
        <v>2354</v>
      </c>
    </row>
    <row r="2281" spans="1:9" x14ac:dyDescent="0.25">
      <c r="A2281" s="193" t="s">
        <v>220</v>
      </c>
      <c r="B2281" s="193" t="s">
        <v>2351</v>
      </c>
      <c r="C2281" s="214" t="s">
        <v>4796</v>
      </c>
      <c r="D2281" s="193" t="s">
        <v>4797</v>
      </c>
      <c r="E2281" s="212" t="s">
        <v>545</v>
      </c>
      <c r="F2281" s="215">
        <v>387</v>
      </c>
      <c r="G2281" s="194">
        <v>0</v>
      </c>
      <c r="H2281" s="195">
        <f t="shared" si="35"/>
        <v>0</v>
      </c>
      <c r="I2281" s="212" t="s">
        <v>2354</v>
      </c>
    </row>
    <row r="2282" spans="1:9" x14ac:dyDescent="0.25">
      <c r="A2282" s="193" t="s">
        <v>220</v>
      </c>
      <c r="B2282" s="193" t="s">
        <v>2351</v>
      </c>
      <c r="C2282" s="214" t="s">
        <v>4798</v>
      </c>
      <c r="D2282" s="193" t="s">
        <v>4799</v>
      </c>
      <c r="E2282" s="212" t="s">
        <v>545</v>
      </c>
      <c r="F2282" s="215">
        <v>654</v>
      </c>
      <c r="G2282" s="194">
        <v>3.78E-2</v>
      </c>
      <c r="H2282" s="195">
        <f t="shared" si="35"/>
        <v>24.7212</v>
      </c>
      <c r="I2282" s="212" t="s">
        <v>2354</v>
      </c>
    </row>
    <row r="2283" spans="1:9" x14ac:dyDescent="0.25">
      <c r="A2283" s="193" t="s">
        <v>220</v>
      </c>
      <c r="B2283" s="193" t="s">
        <v>2351</v>
      </c>
      <c r="C2283" s="214" t="s">
        <v>4800</v>
      </c>
      <c r="D2283" s="193" t="s">
        <v>4801</v>
      </c>
      <c r="E2283" s="212" t="s">
        <v>545</v>
      </c>
      <c r="F2283" s="215">
        <v>334</v>
      </c>
      <c r="G2283" s="194">
        <v>0.13755999999999999</v>
      </c>
      <c r="H2283" s="195">
        <f t="shared" si="35"/>
        <v>45.945039999999999</v>
      </c>
      <c r="I2283" s="212" t="s">
        <v>2354</v>
      </c>
    </row>
    <row r="2284" spans="1:9" x14ac:dyDescent="0.25">
      <c r="A2284" s="193" t="s">
        <v>220</v>
      </c>
      <c r="B2284" s="193" t="s">
        <v>2351</v>
      </c>
      <c r="C2284" s="214" t="s">
        <v>4802</v>
      </c>
      <c r="D2284" s="193" t="s">
        <v>4803</v>
      </c>
      <c r="E2284" s="212" t="s">
        <v>545</v>
      </c>
      <c r="F2284" s="215">
        <v>507</v>
      </c>
      <c r="G2284" s="194">
        <v>0.05</v>
      </c>
      <c r="H2284" s="195">
        <f t="shared" si="35"/>
        <v>25.35</v>
      </c>
      <c r="I2284" s="212" t="s">
        <v>2354</v>
      </c>
    </row>
    <row r="2285" spans="1:9" x14ac:dyDescent="0.25">
      <c r="A2285" s="193" t="s">
        <v>220</v>
      </c>
      <c r="B2285" s="193" t="s">
        <v>2351</v>
      </c>
      <c r="C2285" s="214" t="s">
        <v>4804</v>
      </c>
      <c r="D2285" s="193" t="s">
        <v>4805</v>
      </c>
      <c r="E2285" s="212" t="s">
        <v>545</v>
      </c>
      <c r="F2285" s="215">
        <v>450</v>
      </c>
      <c r="G2285" s="194">
        <v>0.10620000000000002</v>
      </c>
      <c r="H2285" s="195">
        <f t="shared" si="35"/>
        <v>47.790000000000006</v>
      </c>
      <c r="I2285" s="212" t="s">
        <v>2354</v>
      </c>
    </row>
    <row r="2286" spans="1:9" x14ac:dyDescent="0.25">
      <c r="A2286" s="193" t="s">
        <v>220</v>
      </c>
      <c r="B2286" s="193" t="s">
        <v>2351</v>
      </c>
      <c r="C2286" s="214" t="s">
        <v>4806</v>
      </c>
      <c r="D2286" s="193" t="s">
        <v>4807</v>
      </c>
      <c r="E2286" s="212" t="s">
        <v>545</v>
      </c>
      <c r="F2286" s="215">
        <v>352</v>
      </c>
      <c r="G2286" s="194">
        <v>9.1999999999999998E-2</v>
      </c>
      <c r="H2286" s="195">
        <f t="shared" si="35"/>
        <v>32.384</v>
      </c>
      <c r="I2286" s="212" t="s">
        <v>2354</v>
      </c>
    </row>
    <row r="2287" spans="1:9" x14ac:dyDescent="0.25">
      <c r="A2287" s="193" t="s">
        <v>220</v>
      </c>
      <c r="B2287" s="193" t="s">
        <v>2351</v>
      </c>
      <c r="C2287" s="214" t="s">
        <v>4808</v>
      </c>
      <c r="D2287" s="193" t="s">
        <v>4809</v>
      </c>
      <c r="E2287" s="212" t="s">
        <v>545</v>
      </c>
      <c r="F2287" s="215">
        <v>136</v>
      </c>
      <c r="G2287" s="194">
        <v>0.183</v>
      </c>
      <c r="H2287" s="195">
        <f t="shared" si="35"/>
        <v>24.887999999999998</v>
      </c>
      <c r="I2287" s="212" t="s">
        <v>2354</v>
      </c>
    </row>
    <row r="2288" spans="1:9" x14ac:dyDescent="0.25">
      <c r="A2288" s="193" t="s">
        <v>220</v>
      </c>
      <c r="B2288" s="193" t="s">
        <v>2351</v>
      </c>
      <c r="C2288" s="214" t="s">
        <v>4810</v>
      </c>
      <c r="D2288" s="193" t="s">
        <v>4811</v>
      </c>
      <c r="E2288" s="212" t="s">
        <v>545</v>
      </c>
      <c r="F2288" s="215">
        <v>63</v>
      </c>
      <c r="G2288" s="194">
        <v>0.19</v>
      </c>
      <c r="H2288" s="195">
        <f t="shared" si="35"/>
        <v>11.97</v>
      </c>
      <c r="I2288" s="212" t="s">
        <v>2354</v>
      </c>
    </row>
    <row r="2289" spans="1:9" x14ac:dyDescent="0.25">
      <c r="A2289" s="193" t="s">
        <v>220</v>
      </c>
      <c r="B2289" s="193" t="s">
        <v>2351</v>
      </c>
      <c r="C2289" s="214" t="s">
        <v>4812</v>
      </c>
      <c r="D2289" s="193" t="s">
        <v>4813</v>
      </c>
      <c r="E2289" s="212" t="s">
        <v>545</v>
      </c>
      <c r="F2289" s="215">
        <v>364</v>
      </c>
      <c r="G2289" s="194">
        <v>0.49</v>
      </c>
      <c r="H2289" s="195">
        <f t="shared" si="35"/>
        <v>178.35999999999999</v>
      </c>
      <c r="I2289" s="212" t="s">
        <v>2354</v>
      </c>
    </row>
    <row r="2290" spans="1:9" x14ac:dyDescent="0.25">
      <c r="A2290" s="193" t="s">
        <v>220</v>
      </c>
      <c r="B2290" s="193" t="s">
        <v>2351</v>
      </c>
      <c r="C2290" s="214" t="s">
        <v>4814</v>
      </c>
      <c r="D2290" s="193" t="s">
        <v>4815</v>
      </c>
      <c r="E2290" s="212" t="s">
        <v>545</v>
      </c>
      <c r="F2290" s="215">
        <v>146</v>
      </c>
      <c r="G2290" s="194">
        <v>0.16076999999999997</v>
      </c>
      <c r="H2290" s="195">
        <f t="shared" si="35"/>
        <v>23.472419999999996</v>
      </c>
      <c r="I2290" s="212" t="s">
        <v>2354</v>
      </c>
    </row>
    <row r="2291" spans="1:9" x14ac:dyDescent="0.25">
      <c r="A2291" s="193" t="s">
        <v>220</v>
      </c>
      <c r="B2291" s="193" t="s">
        <v>2351</v>
      </c>
      <c r="C2291" s="214" t="s">
        <v>4816</v>
      </c>
      <c r="D2291" s="193" t="s">
        <v>4817</v>
      </c>
      <c r="E2291" s="212" t="s">
        <v>545</v>
      </c>
      <c r="F2291" s="215">
        <v>147</v>
      </c>
      <c r="G2291" s="194">
        <v>0.28799999999999998</v>
      </c>
      <c r="H2291" s="195">
        <f t="shared" si="35"/>
        <v>42.335999999999999</v>
      </c>
      <c r="I2291" s="212" t="s">
        <v>2354</v>
      </c>
    </row>
    <row r="2292" spans="1:9" x14ac:dyDescent="0.25">
      <c r="A2292" s="193" t="s">
        <v>220</v>
      </c>
      <c r="B2292" s="193" t="s">
        <v>2351</v>
      </c>
      <c r="C2292" s="214" t="s">
        <v>4818</v>
      </c>
      <c r="D2292" s="193" t="s">
        <v>4819</v>
      </c>
      <c r="E2292" s="212" t="s">
        <v>545</v>
      </c>
      <c r="F2292" s="215">
        <v>527</v>
      </c>
      <c r="G2292" s="194">
        <v>0.46300000000000002</v>
      </c>
      <c r="H2292" s="195">
        <f t="shared" si="35"/>
        <v>244.001</v>
      </c>
      <c r="I2292" s="212" t="s">
        <v>2354</v>
      </c>
    </row>
    <row r="2293" spans="1:9" x14ac:dyDescent="0.25">
      <c r="A2293" s="193" t="s">
        <v>220</v>
      </c>
      <c r="B2293" s="193" t="s">
        <v>2351</v>
      </c>
      <c r="C2293" s="214" t="s">
        <v>4820</v>
      </c>
      <c r="D2293" s="193" t="s">
        <v>4821</v>
      </c>
      <c r="E2293" s="212" t="s">
        <v>545</v>
      </c>
      <c r="F2293" s="215">
        <v>96</v>
      </c>
      <c r="G2293" s="194">
        <v>0.29199999999999998</v>
      </c>
      <c r="H2293" s="195">
        <f t="shared" si="35"/>
        <v>28.031999999999996</v>
      </c>
      <c r="I2293" s="212" t="s">
        <v>2354</v>
      </c>
    </row>
    <row r="2294" spans="1:9" x14ac:dyDescent="0.25">
      <c r="A2294" s="193" t="s">
        <v>220</v>
      </c>
      <c r="B2294" s="193" t="s">
        <v>2351</v>
      </c>
      <c r="C2294" s="214" t="s">
        <v>4822</v>
      </c>
      <c r="D2294" s="193" t="s">
        <v>4823</v>
      </c>
      <c r="E2294" s="212" t="s">
        <v>545</v>
      </c>
      <c r="F2294" s="215">
        <v>350</v>
      </c>
      <c r="G2294" s="194">
        <v>0.44600000000000001</v>
      </c>
      <c r="H2294" s="195">
        <f t="shared" si="35"/>
        <v>156.1</v>
      </c>
      <c r="I2294" s="212" t="s">
        <v>2354</v>
      </c>
    </row>
    <row r="2295" spans="1:9" x14ac:dyDescent="0.25">
      <c r="A2295" s="193" t="s">
        <v>220</v>
      </c>
      <c r="B2295" s="193" t="s">
        <v>2351</v>
      </c>
      <c r="C2295" s="214" t="s">
        <v>4824</v>
      </c>
      <c r="D2295" s="193" t="s">
        <v>4825</v>
      </c>
      <c r="E2295" s="212" t="s">
        <v>545</v>
      </c>
      <c r="F2295" s="215">
        <v>284</v>
      </c>
      <c r="G2295" s="194">
        <v>0.59</v>
      </c>
      <c r="H2295" s="195">
        <f t="shared" si="35"/>
        <v>167.56</v>
      </c>
      <c r="I2295" s="212" t="s">
        <v>2354</v>
      </c>
    </row>
    <row r="2296" spans="1:9" x14ac:dyDescent="0.25">
      <c r="A2296" s="193" t="s">
        <v>220</v>
      </c>
      <c r="B2296" s="193" t="s">
        <v>2351</v>
      </c>
      <c r="C2296" s="214" t="s">
        <v>4826</v>
      </c>
      <c r="D2296" s="193" t="s">
        <v>4827</v>
      </c>
      <c r="E2296" s="212" t="s">
        <v>545</v>
      </c>
      <c r="F2296" s="215">
        <v>9</v>
      </c>
      <c r="G2296" s="194">
        <v>1.1100000000000001</v>
      </c>
      <c r="H2296" s="195">
        <f t="shared" si="35"/>
        <v>9.99</v>
      </c>
      <c r="I2296" s="212" t="s">
        <v>2354</v>
      </c>
    </row>
    <row r="2297" spans="1:9" x14ac:dyDescent="0.25">
      <c r="A2297" s="193" t="s">
        <v>220</v>
      </c>
      <c r="B2297" s="193" t="s">
        <v>2351</v>
      </c>
      <c r="C2297" s="214" t="s">
        <v>4828</v>
      </c>
      <c r="D2297" s="193" t="s">
        <v>4829</v>
      </c>
      <c r="E2297" s="212" t="s">
        <v>545</v>
      </c>
      <c r="F2297" s="215">
        <v>39</v>
      </c>
      <c r="G2297" s="194">
        <v>0.16116</v>
      </c>
      <c r="H2297" s="195">
        <f t="shared" si="35"/>
        <v>6.2852399999999999</v>
      </c>
      <c r="I2297" s="212" t="s">
        <v>2354</v>
      </c>
    </row>
    <row r="2298" spans="1:9" x14ac:dyDescent="0.25">
      <c r="A2298" s="193" t="s">
        <v>220</v>
      </c>
      <c r="B2298" s="193" t="s">
        <v>2351</v>
      </c>
      <c r="C2298" s="214" t="s">
        <v>4830</v>
      </c>
      <c r="D2298" s="193" t="s">
        <v>4831</v>
      </c>
      <c r="E2298" s="212" t="s">
        <v>545</v>
      </c>
      <c r="F2298" s="215">
        <v>158</v>
      </c>
      <c r="G2298" s="194">
        <v>9.799999999999999E-2</v>
      </c>
      <c r="H2298" s="195">
        <f t="shared" si="35"/>
        <v>15.483999999999998</v>
      </c>
      <c r="I2298" s="212" t="s">
        <v>2354</v>
      </c>
    </row>
    <row r="2299" spans="1:9" x14ac:dyDescent="0.25">
      <c r="A2299" s="193" t="s">
        <v>220</v>
      </c>
      <c r="B2299" s="193" t="s">
        <v>2351</v>
      </c>
      <c r="C2299" s="214" t="s">
        <v>4832</v>
      </c>
      <c r="D2299" s="193" t="s">
        <v>4833</v>
      </c>
      <c r="E2299" s="212" t="s">
        <v>545</v>
      </c>
      <c r="F2299" s="215">
        <v>236</v>
      </c>
      <c r="G2299" s="194">
        <v>5.9033281409406252E-2</v>
      </c>
      <c r="H2299" s="195">
        <f t="shared" si="35"/>
        <v>13.931854412619876</v>
      </c>
      <c r="I2299" s="212" t="s">
        <v>2354</v>
      </c>
    </row>
    <row r="2300" spans="1:9" x14ac:dyDescent="0.25">
      <c r="A2300" s="193" t="s">
        <v>220</v>
      </c>
      <c r="B2300" s="193" t="s">
        <v>2351</v>
      </c>
      <c r="C2300" s="214" t="s">
        <v>4834</v>
      </c>
      <c r="D2300" s="193" t="s">
        <v>4835</v>
      </c>
      <c r="E2300" s="212" t="s">
        <v>545</v>
      </c>
      <c r="F2300" s="215">
        <v>228</v>
      </c>
      <c r="G2300" s="194">
        <v>0.06</v>
      </c>
      <c r="H2300" s="195">
        <f t="shared" si="35"/>
        <v>13.68</v>
      </c>
      <c r="I2300" s="212" t="s">
        <v>2354</v>
      </c>
    </row>
    <row r="2301" spans="1:9" x14ac:dyDescent="0.25">
      <c r="A2301" s="193" t="s">
        <v>220</v>
      </c>
      <c r="B2301" s="193" t="s">
        <v>2351</v>
      </c>
      <c r="C2301" s="214" t="s">
        <v>4836</v>
      </c>
      <c r="D2301" s="193" t="s">
        <v>4837</v>
      </c>
      <c r="E2301" s="212" t="s">
        <v>545</v>
      </c>
      <c r="F2301" s="215">
        <v>120</v>
      </c>
      <c r="G2301" s="194">
        <v>0.58602392565597661</v>
      </c>
      <c r="H2301" s="195">
        <f t="shared" si="35"/>
        <v>70.322871078717199</v>
      </c>
      <c r="I2301" s="212" t="s">
        <v>2354</v>
      </c>
    </row>
    <row r="2302" spans="1:9" x14ac:dyDescent="0.25">
      <c r="A2302" s="193" t="s">
        <v>220</v>
      </c>
      <c r="B2302" s="193" t="s">
        <v>2351</v>
      </c>
      <c r="C2302" s="214" t="s">
        <v>4838</v>
      </c>
      <c r="D2302" s="193" t="s">
        <v>4839</v>
      </c>
      <c r="E2302" s="212" t="s">
        <v>545</v>
      </c>
      <c r="F2302" s="215">
        <v>35</v>
      </c>
      <c r="G2302" s="194">
        <v>0.68090066225165569</v>
      </c>
      <c r="H2302" s="195">
        <f t="shared" si="35"/>
        <v>23.831523178807949</v>
      </c>
      <c r="I2302" s="212" t="s">
        <v>2354</v>
      </c>
    </row>
    <row r="2303" spans="1:9" x14ac:dyDescent="0.25">
      <c r="A2303" s="193" t="s">
        <v>220</v>
      </c>
      <c r="B2303" s="193" t="s">
        <v>2351</v>
      </c>
      <c r="C2303" s="214" t="s">
        <v>4840</v>
      </c>
      <c r="D2303" s="193" t="s">
        <v>4841</v>
      </c>
      <c r="E2303" s="212" t="s">
        <v>545</v>
      </c>
      <c r="F2303" s="215">
        <v>325</v>
      </c>
      <c r="G2303" s="194">
        <v>0.40460000000000002</v>
      </c>
      <c r="H2303" s="195">
        <f t="shared" si="35"/>
        <v>131.495</v>
      </c>
      <c r="I2303" s="212" t="s">
        <v>2354</v>
      </c>
    </row>
    <row r="2304" spans="1:9" x14ac:dyDescent="0.25">
      <c r="A2304" s="193" t="s">
        <v>220</v>
      </c>
      <c r="B2304" s="193" t="s">
        <v>2351</v>
      </c>
      <c r="C2304" s="214" t="s">
        <v>4842</v>
      </c>
      <c r="D2304" s="193" t="s">
        <v>4843</v>
      </c>
      <c r="E2304" s="212" t="s">
        <v>545</v>
      </c>
      <c r="F2304" s="215">
        <v>361</v>
      </c>
      <c r="G2304" s="194">
        <v>0.10833</v>
      </c>
      <c r="H2304" s="195">
        <f t="shared" si="35"/>
        <v>39.107129999999998</v>
      </c>
      <c r="I2304" s="212" t="s">
        <v>2354</v>
      </c>
    </row>
    <row r="2305" spans="1:9" x14ac:dyDescent="0.25">
      <c r="A2305" s="193" t="s">
        <v>220</v>
      </c>
      <c r="B2305" s="193" t="s">
        <v>2351</v>
      </c>
      <c r="C2305" s="214" t="s">
        <v>4844</v>
      </c>
      <c r="D2305" s="193" t="s">
        <v>4845</v>
      </c>
      <c r="E2305" s="212" t="s">
        <v>545</v>
      </c>
      <c r="F2305" s="215">
        <v>394</v>
      </c>
      <c r="G2305" s="194">
        <v>7.2249999999999995E-2</v>
      </c>
      <c r="H2305" s="195">
        <f t="shared" si="35"/>
        <v>28.466499999999996</v>
      </c>
      <c r="I2305" s="212" t="s">
        <v>2354</v>
      </c>
    </row>
    <row r="2306" spans="1:9" x14ac:dyDescent="0.25">
      <c r="A2306" s="193" t="s">
        <v>220</v>
      </c>
      <c r="B2306" s="193" t="s">
        <v>2351</v>
      </c>
      <c r="C2306" s="214" t="s">
        <v>4846</v>
      </c>
      <c r="D2306" s="193" t="s">
        <v>4847</v>
      </c>
      <c r="E2306" s="212" t="s">
        <v>545</v>
      </c>
      <c r="F2306" s="215">
        <v>310</v>
      </c>
      <c r="G2306" s="194">
        <v>6.8000000000000005E-2</v>
      </c>
      <c r="H2306" s="195">
        <f t="shared" si="35"/>
        <v>21.080000000000002</v>
      </c>
      <c r="I2306" s="212" t="s">
        <v>2354</v>
      </c>
    </row>
    <row r="2307" spans="1:9" x14ac:dyDescent="0.25">
      <c r="A2307" s="193" t="s">
        <v>220</v>
      </c>
      <c r="B2307" s="193" t="s">
        <v>2351</v>
      </c>
      <c r="C2307" s="214" t="s">
        <v>4848</v>
      </c>
      <c r="D2307" s="193" t="s">
        <v>4849</v>
      </c>
      <c r="E2307" s="212" t="s">
        <v>545</v>
      </c>
      <c r="F2307" s="215">
        <v>538</v>
      </c>
      <c r="G2307" s="194">
        <v>8.6999999999999994E-2</v>
      </c>
      <c r="H2307" s="195">
        <f t="shared" si="35"/>
        <v>46.805999999999997</v>
      </c>
      <c r="I2307" s="212" t="s">
        <v>2354</v>
      </c>
    </row>
    <row r="2308" spans="1:9" x14ac:dyDescent="0.25">
      <c r="A2308" s="193" t="s">
        <v>220</v>
      </c>
      <c r="B2308" s="193" t="s">
        <v>2351</v>
      </c>
      <c r="C2308" s="214" t="s">
        <v>4850</v>
      </c>
      <c r="D2308" s="193" t="s">
        <v>4851</v>
      </c>
      <c r="E2308" s="212" t="s">
        <v>545</v>
      </c>
      <c r="F2308" s="215">
        <v>105</v>
      </c>
      <c r="G2308" s="194">
        <v>0.12358</v>
      </c>
      <c r="H2308" s="195">
        <f t="shared" si="35"/>
        <v>12.975899999999999</v>
      </c>
      <c r="I2308" s="212" t="s">
        <v>2354</v>
      </c>
    </row>
    <row r="2309" spans="1:9" x14ac:dyDescent="0.25">
      <c r="A2309" s="193" t="s">
        <v>220</v>
      </c>
      <c r="B2309" s="193" t="s">
        <v>2351</v>
      </c>
      <c r="C2309" s="214" t="s">
        <v>4852</v>
      </c>
      <c r="D2309" s="193" t="s">
        <v>4853</v>
      </c>
      <c r="E2309" s="212" t="s">
        <v>545</v>
      </c>
      <c r="F2309" s="215">
        <v>414</v>
      </c>
      <c r="G2309" s="194">
        <v>0.19259000000000001</v>
      </c>
      <c r="H2309" s="195">
        <f t="shared" ref="H2309:H2372" si="36">+F2309*G2309</f>
        <v>79.732260000000011</v>
      </c>
      <c r="I2309" s="212" t="s">
        <v>2354</v>
      </c>
    </row>
    <row r="2310" spans="1:9" x14ac:dyDescent="0.25">
      <c r="A2310" s="193" t="s">
        <v>220</v>
      </c>
      <c r="B2310" s="193" t="s">
        <v>2351</v>
      </c>
      <c r="C2310" s="214" t="s">
        <v>4854</v>
      </c>
      <c r="D2310" s="193" t="s">
        <v>4855</v>
      </c>
      <c r="E2310" s="212" t="s">
        <v>545</v>
      </c>
      <c r="F2310" s="215">
        <v>536</v>
      </c>
      <c r="G2310" s="194">
        <v>0.186</v>
      </c>
      <c r="H2310" s="195">
        <f t="shared" si="36"/>
        <v>99.695999999999998</v>
      </c>
      <c r="I2310" s="212" t="s">
        <v>2354</v>
      </c>
    </row>
    <row r="2311" spans="1:9" x14ac:dyDescent="0.25">
      <c r="A2311" s="193" t="s">
        <v>220</v>
      </c>
      <c r="B2311" s="193" t="s">
        <v>2351</v>
      </c>
      <c r="C2311" s="214" t="s">
        <v>4856</v>
      </c>
      <c r="D2311" s="193" t="s">
        <v>4857</v>
      </c>
      <c r="E2311" s="212" t="s">
        <v>545</v>
      </c>
      <c r="F2311" s="215">
        <v>176</v>
      </c>
      <c r="G2311" s="194">
        <v>0.29599999999999999</v>
      </c>
      <c r="H2311" s="195">
        <f t="shared" si="36"/>
        <v>52.095999999999997</v>
      </c>
      <c r="I2311" s="212" t="s">
        <v>2354</v>
      </c>
    </row>
    <row r="2312" spans="1:9" x14ac:dyDescent="0.25">
      <c r="A2312" s="193" t="s">
        <v>220</v>
      </c>
      <c r="B2312" s="193" t="s">
        <v>2351</v>
      </c>
      <c r="C2312" s="214" t="s">
        <v>4858</v>
      </c>
      <c r="D2312" s="193" t="s">
        <v>4859</v>
      </c>
      <c r="E2312" s="212" t="s">
        <v>545</v>
      </c>
      <c r="F2312" s="215">
        <v>365</v>
      </c>
      <c r="G2312" s="194">
        <v>0.442</v>
      </c>
      <c r="H2312" s="195">
        <f t="shared" si="36"/>
        <v>161.33000000000001</v>
      </c>
      <c r="I2312" s="212" t="s">
        <v>2354</v>
      </c>
    </row>
    <row r="2313" spans="1:9" x14ac:dyDescent="0.25">
      <c r="A2313" s="193" t="s">
        <v>220</v>
      </c>
      <c r="B2313" s="193" t="s">
        <v>2351</v>
      </c>
      <c r="C2313" s="214" t="s">
        <v>4860</v>
      </c>
      <c r="D2313" s="193" t="s">
        <v>4861</v>
      </c>
      <c r="E2313" s="212" t="s">
        <v>545</v>
      </c>
      <c r="F2313" s="215">
        <v>345</v>
      </c>
      <c r="G2313" s="194">
        <v>0.44700000000000001</v>
      </c>
      <c r="H2313" s="195">
        <f t="shared" si="36"/>
        <v>154.215</v>
      </c>
      <c r="I2313" s="212" t="s">
        <v>2354</v>
      </c>
    </row>
    <row r="2314" spans="1:9" x14ac:dyDescent="0.25">
      <c r="A2314" s="193" t="s">
        <v>220</v>
      </c>
      <c r="B2314" s="193" t="s">
        <v>2351</v>
      </c>
      <c r="C2314" s="214" t="s">
        <v>4862</v>
      </c>
      <c r="D2314" s="193" t="s">
        <v>4841</v>
      </c>
      <c r="E2314" s="212" t="s">
        <v>545</v>
      </c>
      <c r="F2314" s="215">
        <v>168</v>
      </c>
      <c r="G2314" s="194">
        <v>0.19515999999999997</v>
      </c>
      <c r="H2314" s="195">
        <f t="shared" si="36"/>
        <v>32.786879999999996</v>
      </c>
      <c r="I2314" s="212" t="s">
        <v>2354</v>
      </c>
    </row>
    <row r="2315" spans="1:9" x14ac:dyDescent="0.25">
      <c r="A2315" s="193" t="s">
        <v>220</v>
      </c>
      <c r="B2315" s="193" t="s">
        <v>2351</v>
      </c>
      <c r="C2315" s="214" t="s">
        <v>4863</v>
      </c>
      <c r="D2315" s="193" t="s">
        <v>4864</v>
      </c>
      <c r="E2315" s="212" t="s">
        <v>545</v>
      </c>
      <c r="F2315" s="215">
        <v>93</v>
      </c>
      <c r="G2315" s="194">
        <v>0.43010585751978891</v>
      </c>
      <c r="H2315" s="195">
        <f t="shared" si="36"/>
        <v>39.999844749340369</v>
      </c>
      <c r="I2315" s="212" t="s">
        <v>2354</v>
      </c>
    </row>
    <row r="2316" spans="1:9" x14ac:dyDescent="0.25">
      <c r="A2316" s="193" t="s">
        <v>220</v>
      </c>
      <c r="B2316" s="193" t="s">
        <v>2351</v>
      </c>
      <c r="C2316" s="214" t="s">
        <v>4865</v>
      </c>
      <c r="D2316" s="193" t="s">
        <v>4866</v>
      </c>
      <c r="E2316" s="212" t="s">
        <v>545</v>
      </c>
      <c r="F2316" s="215">
        <v>336</v>
      </c>
      <c r="G2316" s="194">
        <v>0.51533571428571434</v>
      </c>
      <c r="H2316" s="195">
        <f t="shared" si="36"/>
        <v>173.15280000000001</v>
      </c>
      <c r="I2316" s="212" t="s">
        <v>2354</v>
      </c>
    </row>
    <row r="2317" spans="1:9" x14ac:dyDescent="0.25">
      <c r="A2317" s="193" t="s">
        <v>220</v>
      </c>
      <c r="B2317" s="193" t="s">
        <v>2351</v>
      </c>
      <c r="C2317" s="214" t="s">
        <v>4867</v>
      </c>
      <c r="D2317" s="193" t="s">
        <v>4868</v>
      </c>
      <c r="E2317" s="212" t="s">
        <v>545</v>
      </c>
      <c r="F2317" s="215">
        <v>181</v>
      </c>
      <c r="G2317" s="194">
        <v>0.69750999999999985</v>
      </c>
      <c r="H2317" s="195">
        <f t="shared" si="36"/>
        <v>126.24930999999998</v>
      </c>
      <c r="I2317" s="212" t="s">
        <v>2354</v>
      </c>
    </row>
    <row r="2318" spans="1:9" x14ac:dyDescent="0.25">
      <c r="A2318" s="193" t="s">
        <v>220</v>
      </c>
      <c r="B2318" s="193" t="s">
        <v>2351</v>
      </c>
      <c r="C2318" s="214" t="s">
        <v>4869</v>
      </c>
      <c r="D2318" s="193" t="s">
        <v>4870</v>
      </c>
      <c r="E2318" s="212" t="s">
        <v>545</v>
      </c>
      <c r="F2318" s="215">
        <v>72</v>
      </c>
      <c r="G2318" s="194">
        <v>0.83717239130434784</v>
      </c>
      <c r="H2318" s="195">
        <f t="shared" si="36"/>
        <v>60.276412173913045</v>
      </c>
      <c r="I2318" s="212" t="s">
        <v>2354</v>
      </c>
    </row>
    <row r="2319" spans="1:9" x14ac:dyDescent="0.25">
      <c r="A2319" s="193" t="s">
        <v>220</v>
      </c>
      <c r="B2319" s="193" t="s">
        <v>2351</v>
      </c>
      <c r="C2319" s="214" t="s">
        <v>4871</v>
      </c>
      <c r="D2319" s="193" t="s">
        <v>4872</v>
      </c>
      <c r="E2319" s="212" t="s">
        <v>545</v>
      </c>
      <c r="F2319" s="215">
        <v>104</v>
      </c>
      <c r="G2319" s="194">
        <v>1.0309999999999999</v>
      </c>
      <c r="H2319" s="195">
        <f t="shared" si="36"/>
        <v>107.22399999999999</v>
      </c>
      <c r="I2319" s="212" t="s">
        <v>2354</v>
      </c>
    </row>
    <row r="2320" spans="1:9" x14ac:dyDescent="0.25">
      <c r="A2320" s="193" t="s">
        <v>220</v>
      </c>
      <c r="B2320" s="193" t="s">
        <v>2351</v>
      </c>
      <c r="C2320" s="214" t="s">
        <v>4873</v>
      </c>
      <c r="D2320" s="193" t="s">
        <v>4874</v>
      </c>
      <c r="E2320" s="212" t="s">
        <v>545</v>
      </c>
      <c r="F2320" s="215">
        <v>70</v>
      </c>
      <c r="G2320" s="194">
        <v>0.63500000000000001</v>
      </c>
      <c r="H2320" s="195">
        <f t="shared" si="36"/>
        <v>44.45</v>
      </c>
      <c r="I2320" s="212" t="s">
        <v>2354</v>
      </c>
    </row>
    <row r="2321" spans="1:9" x14ac:dyDescent="0.25">
      <c r="A2321" s="193" t="s">
        <v>220</v>
      </c>
      <c r="B2321" s="193" t="s">
        <v>2351</v>
      </c>
      <c r="C2321" s="214" t="s">
        <v>4875</v>
      </c>
      <c r="D2321" s="193" t="s">
        <v>4876</v>
      </c>
      <c r="E2321" s="212" t="s">
        <v>545</v>
      </c>
      <c r="F2321" s="215">
        <v>104</v>
      </c>
      <c r="G2321" s="194">
        <v>1.078997948051948</v>
      </c>
      <c r="H2321" s="195">
        <f t="shared" si="36"/>
        <v>112.2157865974026</v>
      </c>
      <c r="I2321" s="212" t="s">
        <v>2354</v>
      </c>
    </row>
    <row r="2322" spans="1:9" x14ac:dyDescent="0.25">
      <c r="A2322" s="193" t="s">
        <v>220</v>
      </c>
      <c r="B2322" s="193" t="s">
        <v>2351</v>
      </c>
      <c r="C2322" s="214" t="s">
        <v>4877</v>
      </c>
      <c r="D2322" s="193" t="s">
        <v>4878</v>
      </c>
      <c r="E2322" s="212" t="s">
        <v>545</v>
      </c>
      <c r="F2322" s="215">
        <v>123</v>
      </c>
      <c r="G2322" s="194">
        <v>1.0269999999999999</v>
      </c>
      <c r="H2322" s="195">
        <f t="shared" si="36"/>
        <v>126.32099999999998</v>
      </c>
      <c r="I2322" s="212" t="s">
        <v>2354</v>
      </c>
    </row>
    <row r="2323" spans="1:9" x14ac:dyDescent="0.25">
      <c r="A2323" s="193" t="s">
        <v>220</v>
      </c>
      <c r="B2323" s="193" t="s">
        <v>2351</v>
      </c>
      <c r="C2323" s="214" t="s">
        <v>4879</v>
      </c>
      <c r="D2323" s="193" t="s">
        <v>4880</v>
      </c>
      <c r="E2323" s="212" t="s">
        <v>545</v>
      </c>
      <c r="F2323" s="215">
        <v>180</v>
      </c>
      <c r="G2323" s="194">
        <v>0</v>
      </c>
      <c r="H2323" s="195">
        <f t="shared" si="36"/>
        <v>0</v>
      </c>
      <c r="I2323" s="212" t="s">
        <v>2354</v>
      </c>
    </row>
    <row r="2324" spans="1:9" x14ac:dyDescent="0.25">
      <c r="A2324" s="193" t="s">
        <v>220</v>
      </c>
      <c r="B2324" s="193" t="s">
        <v>2351</v>
      </c>
      <c r="C2324" s="214" t="s">
        <v>4881</v>
      </c>
      <c r="D2324" s="193" t="s">
        <v>4882</v>
      </c>
      <c r="E2324" s="212" t="s">
        <v>545</v>
      </c>
      <c r="F2324" s="215">
        <v>140</v>
      </c>
      <c r="G2324" s="194">
        <v>0.224</v>
      </c>
      <c r="H2324" s="195">
        <f t="shared" si="36"/>
        <v>31.36</v>
      </c>
      <c r="I2324" s="212" t="s">
        <v>2354</v>
      </c>
    </row>
    <row r="2325" spans="1:9" x14ac:dyDescent="0.25">
      <c r="A2325" s="193" t="s">
        <v>220</v>
      </c>
      <c r="B2325" s="193" t="s">
        <v>2351</v>
      </c>
      <c r="C2325" s="214" t="s">
        <v>4883</v>
      </c>
      <c r="D2325" s="193" t="s">
        <v>4884</v>
      </c>
      <c r="E2325" s="212" t="s">
        <v>545</v>
      </c>
      <c r="F2325" s="215">
        <v>200</v>
      </c>
      <c r="G2325" s="194">
        <v>0.29299999999999998</v>
      </c>
      <c r="H2325" s="195">
        <f t="shared" si="36"/>
        <v>58.599999999999994</v>
      </c>
      <c r="I2325" s="212" t="s">
        <v>2354</v>
      </c>
    </row>
    <row r="2326" spans="1:9" x14ac:dyDescent="0.25">
      <c r="A2326" s="193" t="s">
        <v>220</v>
      </c>
      <c r="B2326" s="193" t="s">
        <v>2351</v>
      </c>
      <c r="C2326" s="214" t="s">
        <v>4885</v>
      </c>
      <c r="D2326" s="193" t="s">
        <v>4886</v>
      </c>
      <c r="E2326" s="212" t="s">
        <v>545</v>
      </c>
      <c r="F2326" s="215">
        <v>120</v>
      </c>
      <c r="G2326" s="194">
        <v>0.49233774696707111</v>
      </c>
      <c r="H2326" s="195">
        <f t="shared" si="36"/>
        <v>59.080529636048531</v>
      </c>
      <c r="I2326" s="212" t="s">
        <v>2354</v>
      </c>
    </row>
    <row r="2327" spans="1:9" x14ac:dyDescent="0.25">
      <c r="A2327" s="193" t="s">
        <v>220</v>
      </c>
      <c r="B2327" s="193" t="s">
        <v>2351</v>
      </c>
      <c r="C2327" s="214" t="s">
        <v>4887</v>
      </c>
      <c r="D2327" s="193" t="s">
        <v>4888</v>
      </c>
      <c r="E2327" s="212" t="s">
        <v>545</v>
      </c>
      <c r="F2327" s="215">
        <v>140</v>
      </c>
      <c r="G2327" s="194">
        <v>0.71399999999999997</v>
      </c>
      <c r="H2327" s="195">
        <f t="shared" si="36"/>
        <v>99.96</v>
      </c>
      <c r="I2327" s="212" t="s">
        <v>2354</v>
      </c>
    </row>
    <row r="2328" spans="1:9" x14ac:dyDescent="0.25">
      <c r="A2328" s="193" t="s">
        <v>220</v>
      </c>
      <c r="B2328" s="193" t="s">
        <v>2351</v>
      </c>
      <c r="C2328" s="214" t="s">
        <v>4889</v>
      </c>
      <c r="D2328" s="193" t="s">
        <v>4890</v>
      </c>
      <c r="E2328" s="212" t="s">
        <v>545</v>
      </c>
      <c r="F2328" s="215">
        <v>20</v>
      </c>
      <c r="G2328" s="194">
        <v>0.78539999999999988</v>
      </c>
      <c r="H2328" s="195">
        <f t="shared" si="36"/>
        <v>15.707999999999998</v>
      </c>
      <c r="I2328" s="212" t="s">
        <v>2354</v>
      </c>
    </row>
    <row r="2329" spans="1:9" x14ac:dyDescent="0.25">
      <c r="A2329" s="193" t="s">
        <v>220</v>
      </c>
      <c r="B2329" s="193" t="s">
        <v>2351</v>
      </c>
      <c r="C2329" s="214" t="s">
        <v>4891</v>
      </c>
      <c r="D2329" s="193" t="s">
        <v>4892</v>
      </c>
      <c r="E2329" s="212" t="s">
        <v>545</v>
      </c>
      <c r="F2329" s="215">
        <v>100</v>
      </c>
      <c r="G2329" s="194">
        <v>0.82448999999999995</v>
      </c>
      <c r="H2329" s="195">
        <f t="shared" si="36"/>
        <v>82.448999999999998</v>
      </c>
      <c r="I2329" s="212" t="s">
        <v>2354</v>
      </c>
    </row>
    <row r="2330" spans="1:9" x14ac:dyDescent="0.25">
      <c r="A2330" s="193" t="s">
        <v>220</v>
      </c>
      <c r="B2330" s="193" t="s">
        <v>2351</v>
      </c>
      <c r="C2330" s="214" t="s">
        <v>4893</v>
      </c>
      <c r="D2330" s="193" t="s">
        <v>4894</v>
      </c>
      <c r="E2330" s="212" t="s">
        <v>545</v>
      </c>
      <c r="F2330" s="215">
        <v>150</v>
      </c>
      <c r="G2330" s="194">
        <v>1.3174999999999999</v>
      </c>
      <c r="H2330" s="195">
        <f t="shared" si="36"/>
        <v>197.62499999999997</v>
      </c>
      <c r="I2330" s="212" t="s">
        <v>2354</v>
      </c>
    </row>
    <row r="2331" spans="1:9" x14ac:dyDescent="0.25">
      <c r="A2331" s="193" t="s">
        <v>220</v>
      </c>
      <c r="B2331" s="193" t="s">
        <v>2351</v>
      </c>
      <c r="C2331" s="214" t="s">
        <v>4895</v>
      </c>
      <c r="D2331" s="193" t="s">
        <v>4896</v>
      </c>
      <c r="E2331" s="212" t="s">
        <v>545</v>
      </c>
      <c r="F2331" s="215">
        <v>85</v>
      </c>
      <c r="G2331" s="194">
        <v>0.82450000000000001</v>
      </c>
      <c r="H2331" s="195">
        <f t="shared" si="36"/>
        <v>70.082499999999996</v>
      </c>
      <c r="I2331" s="212" t="s">
        <v>2354</v>
      </c>
    </row>
    <row r="2332" spans="1:9" x14ac:dyDescent="0.25">
      <c r="A2332" s="193" t="s">
        <v>220</v>
      </c>
      <c r="B2332" s="193" t="s">
        <v>2351</v>
      </c>
      <c r="C2332" s="214" t="s">
        <v>4897</v>
      </c>
      <c r="D2332" s="193" t="s">
        <v>4898</v>
      </c>
      <c r="E2332" s="212" t="s">
        <v>545</v>
      </c>
      <c r="F2332" s="215">
        <v>130</v>
      </c>
      <c r="G2332" s="194">
        <v>1.9635</v>
      </c>
      <c r="H2332" s="195">
        <f t="shared" si="36"/>
        <v>255.255</v>
      </c>
      <c r="I2332" s="212" t="s">
        <v>2354</v>
      </c>
    </row>
    <row r="2333" spans="1:9" x14ac:dyDescent="0.25">
      <c r="A2333" s="193" t="s">
        <v>220</v>
      </c>
      <c r="B2333" s="193" t="s">
        <v>2351</v>
      </c>
      <c r="C2333" s="214" t="s">
        <v>4899</v>
      </c>
      <c r="D2333" s="193" t="s">
        <v>4900</v>
      </c>
      <c r="E2333" s="212" t="s">
        <v>545</v>
      </c>
      <c r="F2333" s="215">
        <v>60</v>
      </c>
      <c r="G2333" s="194">
        <v>2.2949999999999999</v>
      </c>
      <c r="H2333" s="195">
        <f t="shared" si="36"/>
        <v>137.69999999999999</v>
      </c>
      <c r="I2333" s="212" t="s">
        <v>2354</v>
      </c>
    </row>
    <row r="2334" spans="1:9" x14ac:dyDescent="0.25">
      <c r="A2334" s="193" t="s">
        <v>220</v>
      </c>
      <c r="B2334" s="193" t="s">
        <v>2351</v>
      </c>
      <c r="C2334" s="214" t="s">
        <v>4901</v>
      </c>
      <c r="D2334" s="193" t="s">
        <v>4902</v>
      </c>
      <c r="E2334" s="212" t="s">
        <v>545</v>
      </c>
      <c r="F2334" s="215">
        <v>20</v>
      </c>
      <c r="G2334" s="194">
        <v>0.21</v>
      </c>
      <c r="H2334" s="195">
        <f t="shared" si="36"/>
        <v>4.2</v>
      </c>
      <c r="I2334" s="212" t="s">
        <v>2354</v>
      </c>
    </row>
    <row r="2335" spans="1:9" x14ac:dyDescent="0.25">
      <c r="A2335" s="193" t="s">
        <v>220</v>
      </c>
      <c r="B2335" s="193" t="s">
        <v>2351</v>
      </c>
      <c r="C2335" s="214" t="s">
        <v>4903</v>
      </c>
      <c r="D2335" s="193" t="s">
        <v>4904</v>
      </c>
      <c r="E2335" s="212" t="s">
        <v>545</v>
      </c>
      <c r="F2335" s="215">
        <v>88</v>
      </c>
      <c r="G2335" s="194">
        <v>0.31818000000000002</v>
      </c>
      <c r="H2335" s="195">
        <f t="shared" si="36"/>
        <v>27.999840000000003</v>
      </c>
      <c r="I2335" s="212" t="s">
        <v>2354</v>
      </c>
    </row>
    <row r="2336" spans="1:9" x14ac:dyDescent="0.25">
      <c r="A2336" s="193" t="s">
        <v>220</v>
      </c>
      <c r="B2336" s="193" t="s">
        <v>2351</v>
      </c>
      <c r="C2336" s="214" t="s">
        <v>4905</v>
      </c>
      <c r="D2336" s="193" t="s">
        <v>4906</v>
      </c>
      <c r="E2336" s="212" t="s">
        <v>545</v>
      </c>
      <c r="F2336" s="215">
        <v>170</v>
      </c>
      <c r="G2336" s="194">
        <v>0.44500000000000001</v>
      </c>
      <c r="H2336" s="195">
        <f t="shared" si="36"/>
        <v>75.650000000000006</v>
      </c>
      <c r="I2336" s="212" t="s">
        <v>2354</v>
      </c>
    </row>
    <row r="2337" spans="1:9" x14ac:dyDescent="0.25">
      <c r="A2337" s="193" t="s">
        <v>220</v>
      </c>
      <c r="B2337" s="193" t="s">
        <v>2351</v>
      </c>
      <c r="C2337" s="214" t="s">
        <v>4907</v>
      </c>
      <c r="D2337" s="193" t="s">
        <v>4908</v>
      </c>
      <c r="E2337" s="212" t="s">
        <v>545</v>
      </c>
      <c r="F2337" s="215">
        <v>32</v>
      </c>
      <c r="G2337" s="194">
        <v>0.58799999999999997</v>
      </c>
      <c r="H2337" s="195">
        <f t="shared" si="36"/>
        <v>18.815999999999999</v>
      </c>
      <c r="I2337" s="212" t="s">
        <v>2354</v>
      </c>
    </row>
    <row r="2338" spans="1:9" x14ac:dyDescent="0.25">
      <c r="A2338" s="193" t="s">
        <v>220</v>
      </c>
      <c r="B2338" s="193" t="s">
        <v>2351</v>
      </c>
      <c r="C2338" s="214" t="s">
        <v>4909</v>
      </c>
      <c r="D2338" s="193" t="s">
        <v>4910</v>
      </c>
      <c r="E2338" s="212" t="s">
        <v>545</v>
      </c>
      <c r="F2338" s="215">
        <v>91</v>
      </c>
      <c r="G2338" s="194">
        <v>0.67300000000000004</v>
      </c>
      <c r="H2338" s="195">
        <f t="shared" si="36"/>
        <v>61.243000000000002</v>
      </c>
      <c r="I2338" s="212" t="s">
        <v>2354</v>
      </c>
    </row>
    <row r="2339" spans="1:9" x14ac:dyDescent="0.25">
      <c r="A2339" s="193" t="s">
        <v>220</v>
      </c>
      <c r="B2339" s="193" t="s">
        <v>2351</v>
      </c>
      <c r="C2339" s="214" t="s">
        <v>4911</v>
      </c>
      <c r="D2339" s="193" t="s">
        <v>4912</v>
      </c>
      <c r="E2339" s="212" t="s">
        <v>545</v>
      </c>
      <c r="F2339" s="215">
        <v>40</v>
      </c>
      <c r="G2339" s="194">
        <v>0.69615000000000005</v>
      </c>
      <c r="H2339" s="195">
        <f t="shared" si="36"/>
        <v>27.846000000000004</v>
      </c>
      <c r="I2339" s="212" t="s">
        <v>2354</v>
      </c>
    </row>
    <row r="2340" spans="1:9" x14ac:dyDescent="0.25">
      <c r="A2340" s="193" t="s">
        <v>220</v>
      </c>
      <c r="B2340" s="193" t="s">
        <v>2351</v>
      </c>
      <c r="C2340" s="214" t="s">
        <v>4913</v>
      </c>
      <c r="D2340" s="193" t="s">
        <v>4914</v>
      </c>
      <c r="E2340" s="212" t="s">
        <v>545</v>
      </c>
      <c r="F2340" s="215">
        <v>100</v>
      </c>
      <c r="G2340" s="194">
        <v>1.071</v>
      </c>
      <c r="H2340" s="195">
        <f t="shared" si="36"/>
        <v>107.1</v>
      </c>
      <c r="I2340" s="212" t="s">
        <v>2354</v>
      </c>
    </row>
    <row r="2341" spans="1:9" x14ac:dyDescent="0.25">
      <c r="A2341" s="193" t="s">
        <v>220</v>
      </c>
      <c r="B2341" s="193" t="s">
        <v>2351</v>
      </c>
      <c r="C2341" s="214" t="s">
        <v>4915</v>
      </c>
      <c r="D2341" s="193" t="s">
        <v>4916</v>
      </c>
      <c r="E2341" s="212" t="s">
        <v>545</v>
      </c>
      <c r="F2341" s="215">
        <v>80</v>
      </c>
      <c r="G2341" s="194">
        <v>1.5776000000000001</v>
      </c>
      <c r="H2341" s="195">
        <f t="shared" si="36"/>
        <v>126.20800000000001</v>
      </c>
      <c r="I2341" s="212" t="s">
        <v>2354</v>
      </c>
    </row>
    <row r="2342" spans="1:9" x14ac:dyDescent="0.25">
      <c r="A2342" s="193" t="s">
        <v>220</v>
      </c>
      <c r="B2342" s="193" t="s">
        <v>2351</v>
      </c>
      <c r="C2342" s="214" t="s">
        <v>4917</v>
      </c>
      <c r="D2342" s="193" t="s">
        <v>4918</v>
      </c>
      <c r="E2342" s="212" t="s">
        <v>545</v>
      </c>
      <c r="F2342" s="215">
        <v>51</v>
      </c>
      <c r="G2342" s="194">
        <v>1.069E-2</v>
      </c>
      <c r="H2342" s="195">
        <f t="shared" si="36"/>
        <v>0.54518999999999995</v>
      </c>
      <c r="I2342" s="212" t="s">
        <v>2354</v>
      </c>
    </row>
    <row r="2343" spans="1:9" x14ac:dyDescent="0.25">
      <c r="A2343" s="193" t="s">
        <v>220</v>
      </c>
      <c r="B2343" s="193" t="s">
        <v>2351</v>
      </c>
      <c r="C2343" s="214" t="s">
        <v>4919</v>
      </c>
      <c r="D2343" s="193" t="s">
        <v>4920</v>
      </c>
      <c r="E2343" s="212" t="s">
        <v>545</v>
      </c>
      <c r="F2343" s="215">
        <v>603</v>
      </c>
      <c r="G2343" s="194">
        <v>1.4279999999999999E-2</v>
      </c>
      <c r="H2343" s="195">
        <f t="shared" si="36"/>
        <v>8.6108399999999996</v>
      </c>
      <c r="I2343" s="212" t="s">
        <v>2354</v>
      </c>
    </row>
    <row r="2344" spans="1:9" x14ac:dyDescent="0.25">
      <c r="A2344" s="193" t="s">
        <v>220</v>
      </c>
      <c r="B2344" s="193" t="s">
        <v>2351</v>
      </c>
      <c r="C2344" s="214" t="s">
        <v>4921</v>
      </c>
      <c r="D2344" s="193" t="s">
        <v>4922</v>
      </c>
      <c r="E2344" s="212" t="s">
        <v>545</v>
      </c>
      <c r="F2344" s="215">
        <v>423</v>
      </c>
      <c r="G2344" s="194">
        <v>2.3E-2</v>
      </c>
      <c r="H2344" s="195">
        <f t="shared" si="36"/>
        <v>9.7289999999999992</v>
      </c>
      <c r="I2344" s="212" t="s">
        <v>2354</v>
      </c>
    </row>
    <row r="2345" spans="1:9" x14ac:dyDescent="0.25">
      <c r="A2345" s="193" t="s">
        <v>220</v>
      </c>
      <c r="B2345" s="193" t="s">
        <v>2351</v>
      </c>
      <c r="C2345" s="214" t="s">
        <v>4923</v>
      </c>
      <c r="D2345" s="193" t="s">
        <v>4924</v>
      </c>
      <c r="E2345" s="212" t="s">
        <v>545</v>
      </c>
      <c r="F2345" s="215">
        <v>649</v>
      </c>
      <c r="G2345" s="194">
        <v>5.6169999999999998E-2</v>
      </c>
      <c r="H2345" s="195">
        <f t="shared" si="36"/>
        <v>36.454329999999999</v>
      </c>
      <c r="I2345" s="212" t="s">
        <v>2354</v>
      </c>
    </row>
    <row r="2346" spans="1:9" x14ac:dyDescent="0.25">
      <c r="A2346" s="193" t="s">
        <v>220</v>
      </c>
      <c r="B2346" s="193" t="s">
        <v>2351</v>
      </c>
      <c r="C2346" s="214" t="s">
        <v>4925</v>
      </c>
      <c r="D2346" s="193" t="s">
        <v>4926</v>
      </c>
      <c r="E2346" s="212" t="s">
        <v>545</v>
      </c>
      <c r="F2346" s="215">
        <v>742</v>
      </c>
      <c r="G2346" s="194">
        <v>0.11</v>
      </c>
      <c r="H2346" s="195">
        <f t="shared" si="36"/>
        <v>81.62</v>
      </c>
      <c r="I2346" s="212" t="s">
        <v>2354</v>
      </c>
    </row>
    <row r="2347" spans="1:9" x14ac:dyDescent="0.25">
      <c r="A2347" s="193" t="s">
        <v>220</v>
      </c>
      <c r="B2347" s="193" t="s">
        <v>2351</v>
      </c>
      <c r="C2347" s="214" t="s">
        <v>4927</v>
      </c>
      <c r="D2347" s="193" t="s">
        <v>4928</v>
      </c>
      <c r="E2347" s="212" t="s">
        <v>545</v>
      </c>
      <c r="F2347" s="215">
        <v>380</v>
      </c>
      <c r="G2347" s="194">
        <v>0.127</v>
      </c>
      <c r="H2347" s="195">
        <f t="shared" si="36"/>
        <v>48.26</v>
      </c>
      <c r="I2347" s="212" t="s">
        <v>2354</v>
      </c>
    </row>
    <row r="2348" spans="1:9" x14ac:dyDescent="0.25">
      <c r="A2348" s="193" t="s">
        <v>220</v>
      </c>
      <c r="B2348" s="193" t="s">
        <v>2351</v>
      </c>
      <c r="C2348" s="214" t="s">
        <v>4929</v>
      </c>
      <c r="D2348" s="193" t="s">
        <v>4930</v>
      </c>
      <c r="E2348" s="212" t="s">
        <v>545</v>
      </c>
      <c r="F2348" s="215">
        <v>534</v>
      </c>
      <c r="G2348" s="194">
        <v>0.30299999999999999</v>
      </c>
      <c r="H2348" s="195">
        <f t="shared" si="36"/>
        <v>161.80199999999999</v>
      </c>
      <c r="I2348" s="212" t="s">
        <v>2354</v>
      </c>
    </row>
    <row r="2349" spans="1:9" x14ac:dyDescent="0.25">
      <c r="A2349" s="193" t="s">
        <v>220</v>
      </c>
      <c r="B2349" s="193" t="s">
        <v>2351</v>
      </c>
      <c r="C2349" s="214" t="s">
        <v>4931</v>
      </c>
      <c r="D2349" s="193" t="s">
        <v>4932</v>
      </c>
      <c r="E2349" s="212" t="s">
        <v>545</v>
      </c>
      <c r="F2349" s="215">
        <v>210</v>
      </c>
      <c r="G2349" s="194">
        <v>7.8E-2</v>
      </c>
      <c r="H2349" s="195">
        <f t="shared" si="36"/>
        <v>16.38</v>
      </c>
      <c r="I2349" s="212" t="s">
        <v>2354</v>
      </c>
    </row>
    <row r="2350" spans="1:9" x14ac:dyDescent="0.25">
      <c r="A2350" s="193" t="s">
        <v>220</v>
      </c>
      <c r="B2350" s="193" t="s">
        <v>2351</v>
      </c>
      <c r="C2350" s="214" t="s">
        <v>4933</v>
      </c>
      <c r="D2350" s="193" t="s">
        <v>4934</v>
      </c>
      <c r="E2350" s="212" t="s">
        <v>545</v>
      </c>
      <c r="F2350" s="215">
        <v>369</v>
      </c>
      <c r="G2350" s="194">
        <v>7.1999999999999995E-2</v>
      </c>
      <c r="H2350" s="195">
        <f t="shared" si="36"/>
        <v>26.567999999999998</v>
      </c>
      <c r="I2350" s="212" t="s">
        <v>2354</v>
      </c>
    </row>
    <row r="2351" spans="1:9" x14ac:dyDescent="0.25">
      <c r="A2351" s="193" t="s">
        <v>220</v>
      </c>
      <c r="B2351" s="193" t="s">
        <v>2351</v>
      </c>
      <c r="C2351" s="214" t="s">
        <v>4935</v>
      </c>
      <c r="D2351" s="193" t="s">
        <v>4936</v>
      </c>
      <c r="E2351" s="212" t="s">
        <v>545</v>
      </c>
      <c r="F2351" s="215">
        <v>500</v>
      </c>
      <c r="G2351" s="194">
        <v>8.2000000000000003E-2</v>
      </c>
      <c r="H2351" s="195">
        <f t="shared" si="36"/>
        <v>41</v>
      </c>
      <c r="I2351" s="212" t="s">
        <v>2354</v>
      </c>
    </row>
    <row r="2352" spans="1:9" x14ac:dyDescent="0.25">
      <c r="A2352" s="193" t="s">
        <v>220</v>
      </c>
      <c r="B2352" s="193" t="s">
        <v>2351</v>
      </c>
      <c r="C2352" s="214" t="s">
        <v>4937</v>
      </c>
      <c r="D2352" s="193" t="s">
        <v>4938</v>
      </c>
      <c r="E2352" s="212" t="s">
        <v>545</v>
      </c>
      <c r="F2352" s="215">
        <v>428</v>
      </c>
      <c r="G2352" s="194">
        <v>0.15327726708074535</v>
      </c>
      <c r="H2352" s="195">
        <f t="shared" si="36"/>
        <v>65.602670310559006</v>
      </c>
      <c r="I2352" s="212" t="s">
        <v>2354</v>
      </c>
    </row>
    <row r="2353" spans="1:9" x14ac:dyDescent="0.25">
      <c r="A2353" s="193" t="s">
        <v>220</v>
      </c>
      <c r="B2353" s="193" t="s">
        <v>2351</v>
      </c>
      <c r="C2353" s="214" t="s">
        <v>4939</v>
      </c>
      <c r="D2353" s="193" t="s">
        <v>4940</v>
      </c>
      <c r="E2353" s="212" t="s">
        <v>545</v>
      </c>
      <c r="F2353" s="215">
        <v>208</v>
      </c>
      <c r="G2353" s="194">
        <v>0.27565000000000001</v>
      </c>
      <c r="H2353" s="195">
        <f t="shared" si="36"/>
        <v>57.3352</v>
      </c>
      <c r="I2353" s="212" t="s">
        <v>2354</v>
      </c>
    </row>
    <row r="2354" spans="1:9" x14ac:dyDescent="0.25">
      <c r="A2354" s="193" t="s">
        <v>220</v>
      </c>
      <c r="B2354" s="193" t="s">
        <v>2351</v>
      </c>
      <c r="C2354" s="214" t="s">
        <v>4941</v>
      </c>
      <c r="D2354" s="193" t="s">
        <v>4942</v>
      </c>
      <c r="E2354" s="212" t="s">
        <v>545</v>
      </c>
      <c r="F2354" s="215">
        <v>408</v>
      </c>
      <c r="G2354" s="194">
        <v>0.41649999999999998</v>
      </c>
      <c r="H2354" s="195">
        <f t="shared" si="36"/>
        <v>169.93199999999999</v>
      </c>
      <c r="I2354" s="212" t="s">
        <v>2354</v>
      </c>
    </row>
    <row r="2355" spans="1:9" x14ac:dyDescent="0.25">
      <c r="A2355" s="193" t="s">
        <v>220</v>
      </c>
      <c r="B2355" s="193" t="s">
        <v>2351</v>
      </c>
      <c r="C2355" s="214" t="s">
        <v>4943</v>
      </c>
      <c r="D2355" s="193" t="s">
        <v>4944</v>
      </c>
      <c r="E2355" s="212" t="s">
        <v>545</v>
      </c>
      <c r="F2355" s="215">
        <v>101</v>
      </c>
      <c r="G2355" s="194">
        <v>3.7376999999999998</v>
      </c>
      <c r="H2355" s="195">
        <f t="shared" si="36"/>
        <v>377.5077</v>
      </c>
      <c r="I2355" s="212" t="s">
        <v>2354</v>
      </c>
    </row>
    <row r="2356" spans="1:9" x14ac:dyDescent="0.25">
      <c r="A2356" s="193" t="s">
        <v>220</v>
      </c>
      <c r="B2356" s="193" t="s">
        <v>2351</v>
      </c>
      <c r="C2356" s="214" t="s">
        <v>4945</v>
      </c>
      <c r="D2356" s="193" t="s">
        <v>4946</v>
      </c>
      <c r="E2356" s="212" t="s">
        <v>545</v>
      </c>
      <c r="F2356" s="215">
        <v>170</v>
      </c>
      <c r="G2356" s="194">
        <v>0.16788</v>
      </c>
      <c r="H2356" s="195">
        <f t="shared" si="36"/>
        <v>28.5396</v>
      </c>
      <c r="I2356" s="212" t="s">
        <v>2354</v>
      </c>
    </row>
    <row r="2357" spans="1:9" x14ac:dyDescent="0.25">
      <c r="A2357" s="193" t="s">
        <v>220</v>
      </c>
      <c r="B2357" s="193" t="s">
        <v>2351</v>
      </c>
      <c r="C2357" s="214" t="s">
        <v>4947</v>
      </c>
      <c r="D2357" s="193" t="s">
        <v>4948</v>
      </c>
      <c r="E2357" s="212" t="s">
        <v>545</v>
      </c>
      <c r="F2357" s="215">
        <v>285</v>
      </c>
      <c r="G2357" s="194">
        <v>0.08</v>
      </c>
      <c r="H2357" s="195">
        <f t="shared" si="36"/>
        <v>22.8</v>
      </c>
      <c r="I2357" s="212" t="s">
        <v>2354</v>
      </c>
    </row>
    <row r="2358" spans="1:9" x14ac:dyDescent="0.25">
      <c r="A2358" s="193" t="s">
        <v>220</v>
      </c>
      <c r="B2358" s="193" t="s">
        <v>2351</v>
      </c>
      <c r="C2358" s="214" t="s">
        <v>4949</v>
      </c>
      <c r="D2358" s="193" t="s">
        <v>4950</v>
      </c>
      <c r="E2358" s="212" t="s">
        <v>545</v>
      </c>
      <c r="F2358" s="215">
        <v>365</v>
      </c>
      <c r="G2358" s="194">
        <v>0.18895999999999999</v>
      </c>
      <c r="H2358" s="195">
        <f t="shared" si="36"/>
        <v>68.970399999999998</v>
      </c>
      <c r="I2358" s="212" t="s">
        <v>2354</v>
      </c>
    </row>
    <row r="2359" spans="1:9" x14ac:dyDescent="0.25">
      <c r="A2359" s="193" t="s">
        <v>220</v>
      </c>
      <c r="B2359" s="193" t="s">
        <v>2351</v>
      </c>
      <c r="C2359" s="214" t="s">
        <v>4951</v>
      </c>
      <c r="D2359" s="193" t="s">
        <v>4952</v>
      </c>
      <c r="E2359" s="212" t="s">
        <v>545</v>
      </c>
      <c r="F2359" s="215">
        <v>48</v>
      </c>
      <c r="G2359" s="194">
        <v>0.189</v>
      </c>
      <c r="H2359" s="195">
        <f t="shared" si="36"/>
        <v>9.0719999999999992</v>
      </c>
      <c r="I2359" s="212" t="s">
        <v>2354</v>
      </c>
    </row>
    <row r="2360" spans="1:9" x14ac:dyDescent="0.25">
      <c r="A2360" s="193" t="s">
        <v>220</v>
      </c>
      <c r="B2360" s="193" t="s">
        <v>2351</v>
      </c>
      <c r="C2360" s="214" t="s">
        <v>4953</v>
      </c>
      <c r="D2360" s="193" t="s">
        <v>4954</v>
      </c>
      <c r="E2360" s="212" t="s">
        <v>545</v>
      </c>
      <c r="F2360" s="215">
        <v>58</v>
      </c>
      <c r="G2360" s="194">
        <v>0.124</v>
      </c>
      <c r="H2360" s="195">
        <f t="shared" si="36"/>
        <v>7.1920000000000002</v>
      </c>
      <c r="I2360" s="212" t="s">
        <v>2354</v>
      </c>
    </row>
    <row r="2361" spans="1:9" x14ac:dyDescent="0.25">
      <c r="A2361" s="193" t="s">
        <v>220</v>
      </c>
      <c r="B2361" s="193" t="s">
        <v>2351</v>
      </c>
      <c r="C2361" s="214" t="s">
        <v>4955</v>
      </c>
      <c r="D2361" s="193" t="s">
        <v>4956</v>
      </c>
      <c r="E2361" s="212" t="s">
        <v>545</v>
      </c>
      <c r="F2361" s="215">
        <v>200</v>
      </c>
      <c r="G2361" s="194">
        <v>0.128</v>
      </c>
      <c r="H2361" s="195">
        <f t="shared" si="36"/>
        <v>25.6</v>
      </c>
      <c r="I2361" s="212" t="s">
        <v>2354</v>
      </c>
    </row>
    <row r="2362" spans="1:9" x14ac:dyDescent="0.25">
      <c r="A2362" s="193" t="s">
        <v>220</v>
      </c>
      <c r="B2362" s="193" t="s">
        <v>2351</v>
      </c>
      <c r="C2362" s="214" t="s">
        <v>4957</v>
      </c>
      <c r="D2362" s="193" t="s">
        <v>4958</v>
      </c>
      <c r="E2362" s="212" t="s">
        <v>545</v>
      </c>
      <c r="F2362" s="215">
        <v>65</v>
      </c>
      <c r="G2362" s="194">
        <v>0.152</v>
      </c>
      <c r="H2362" s="195">
        <f t="shared" si="36"/>
        <v>9.879999999999999</v>
      </c>
      <c r="I2362" s="212" t="s">
        <v>2354</v>
      </c>
    </row>
    <row r="2363" spans="1:9" x14ac:dyDescent="0.25">
      <c r="A2363" s="193" t="s">
        <v>220</v>
      </c>
      <c r="B2363" s="193" t="s">
        <v>2351</v>
      </c>
      <c r="C2363" s="214" t="s">
        <v>4959</v>
      </c>
      <c r="D2363" s="193" t="s">
        <v>4960</v>
      </c>
      <c r="E2363" s="212" t="s">
        <v>545</v>
      </c>
      <c r="F2363" s="215">
        <v>72</v>
      </c>
      <c r="G2363" s="194">
        <v>0.28334745762711866</v>
      </c>
      <c r="H2363" s="195">
        <f t="shared" si="36"/>
        <v>20.401016949152542</v>
      </c>
      <c r="I2363" s="212" t="s">
        <v>2354</v>
      </c>
    </row>
    <row r="2364" spans="1:9" x14ac:dyDescent="0.25">
      <c r="A2364" s="193" t="s">
        <v>220</v>
      </c>
      <c r="B2364" s="193" t="s">
        <v>2351</v>
      </c>
      <c r="C2364" s="214" t="s">
        <v>4961</v>
      </c>
      <c r="D2364" s="193" t="s">
        <v>4962</v>
      </c>
      <c r="E2364" s="212" t="s">
        <v>545</v>
      </c>
      <c r="F2364" s="215">
        <v>6</v>
      </c>
      <c r="G2364" s="194">
        <v>1.3260000000000001</v>
      </c>
      <c r="H2364" s="195">
        <f t="shared" si="36"/>
        <v>7.9560000000000004</v>
      </c>
      <c r="I2364" s="212" t="s">
        <v>2354</v>
      </c>
    </row>
    <row r="2365" spans="1:9" x14ac:dyDescent="0.25">
      <c r="A2365" s="193" t="s">
        <v>220</v>
      </c>
      <c r="B2365" s="193" t="s">
        <v>2351</v>
      </c>
      <c r="C2365" s="214" t="s">
        <v>4963</v>
      </c>
      <c r="D2365" s="193" t="s">
        <v>4964</v>
      </c>
      <c r="E2365" s="212" t="s">
        <v>545</v>
      </c>
      <c r="F2365" s="215">
        <v>5.25</v>
      </c>
      <c r="G2365" s="194">
        <v>2.2429999999999999</v>
      </c>
      <c r="H2365" s="195">
        <f t="shared" si="36"/>
        <v>11.775749999999999</v>
      </c>
      <c r="I2365" s="212" t="s">
        <v>2354</v>
      </c>
    </row>
    <row r="2366" spans="1:9" x14ac:dyDescent="0.25">
      <c r="A2366" s="193" t="s">
        <v>220</v>
      </c>
      <c r="B2366" s="193" t="s">
        <v>2351</v>
      </c>
      <c r="C2366" s="214" t="s">
        <v>4965</v>
      </c>
      <c r="D2366" s="193" t="s">
        <v>4966</v>
      </c>
      <c r="E2366" s="212" t="s">
        <v>545</v>
      </c>
      <c r="F2366" s="215">
        <v>5</v>
      </c>
      <c r="G2366" s="194">
        <v>3.2429999999999999</v>
      </c>
      <c r="H2366" s="195">
        <f t="shared" si="36"/>
        <v>16.215</v>
      </c>
      <c r="I2366" s="212" t="s">
        <v>2354</v>
      </c>
    </row>
    <row r="2367" spans="1:9" x14ac:dyDescent="0.25">
      <c r="A2367" s="193" t="s">
        <v>220</v>
      </c>
      <c r="B2367" s="193" t="s">
        <v>2351</v>
      </c>
      <c r="C2367" s="214" t="s">
        <v>4967</v>
      </c>
      <c r="D2367" s="193" t="s">
        <v>4968</v>
      </c>
      <c r="E2367" s="212" t="s">
        <v>545</v>
      </c>
      <c r="F2367" s="215">
        <v>2</v>
      </c>
      <c r="G2367" s="194">
        <v>4.4850000000000003</v>
      </c>
      <c r="H2367" s="195">
        <f t="shared" si="36"/>
        <v>8.9700000000000006</v>
      </c>
      <c r="I2367" s="212" t="s">
        <v>2354</v>
      </c>
    </row>
    <row r="2368" spans="1:9" x14ac:dyDescent="0.25">
      <c r="A2368" s="193" t="s">
        <v>220</v>
      </c>
      <c r="B2368" s="193" t="s">
        <v>2351</v>
      </c>
      <c r="C2368" s="214" t="s">
        <v>4969</v>
      </c>
      <c r="D2368" s="193" t="s">
        <v>4970</v>
      </c>
      <c r="E2368" s="212" t="s">
        <v>545</v>
      </c>
      <c r="F2368" s="215">
        <v>4</v>
      </c>
      <c r="G2368" s="194">
        <v>4.3360000000000003</v>
      </c>
      <c r="H2368" s="195">
        <f t="shared" si="36"/>
        <v>17.344000000000001</v>
      </c>
      <c r="I2368" s="212" t="s">
        <v>2354</v>
      </c>
    </row>
    <row r="2369" spans="1:9" x14ac:dyDescent="0.25">
      <c r="A2369" s="193" t="s">
        <v>220</v>
      </c>
      <c r="B2369" s="193" t="s">
        <v>2351</v>
      </c>
      <c r="C2369" s="214" t="s">
        <v>4971</v>
      </c>
      <c r="D2369" s="193" t="s">
        <v>4972</v>
      </c>
      <c r="E2369" s="212" t="s">
        <v>545</v>
      </c>
      <c r="F2369" s="215">
        <v>4</v>
      </c>
      <c r="G2369" s="194">
        <v>8.4700000000000006</v>
      </c>
      <c r="H2369" s="195">
        <f t="shared" si="36"/>
        <v>33.880000000000003</v>
      </c>
      <c r="I2369" s="212" t="s">
        <v>2354</v>
      </c>
    </row>
    <row r="2370" spans="1:9" x14ac:dyDescent="0.25">
      <c r="A2370" s="193" t="s">
        <v>220</v>
      </c>
      <c r="B2370" s="193" t="s">
        <v>2351</v>
      </c>
      <c r="C2370" s="214" t="s">
        <v>4973</v>
      </c>
      <c r="D2370" s="193" t="s">
        <v>4974</v>
      </c>
      <c r="E2370" s="212" t="s">
        <v>545</v>
      </c>
      <c r="F2370" s="215">
        <v>317</v>
      </c>
      <c r="G2370" s="194">
        <v>6.1900000000000002E-3</v>
      </c>
      <c r="H2370" s="195">
        <f t="shared" si="36"/>
        <v>1.9622300000000001</v>
      </c>
      <c r="I2370" s="212" t="s">
        <v>2354</v>
      </c>
    </row>
    <row r="2371" spans="1:9" x14ac:dyDescent="0.25">
      <c r="A2371" s="193" t="s">
        <v>220</v>
      </c>
      <c r="B2371" s="193" t="s">
        <v>2351</v>
      </c>
      <c r="C2371" s="214" t="s">
        <v>4975</v>
      </c>
      <c r="D2371" s="193" t="s">
        <v>4976</v>
      </c>
      <c r="E2371" s="212" t="s">
        <v>545</v>
      </c>
      <c r="F2371" s="215">
        <v>214</v>
      </c>
      <c r="G2371" s="194">
        <v>7.6499999999999999E-2</v>
      </c>
      <c r="H2371" s="195">
        <f t="shared" si="36"/>
        <v>16.370999999999999</v>
      </c>
      <c r="I2371" s="212" t="s">
        <v>2354</v>
      </c>
    </row>
    <row r="2372" spans="1:9" x14ac:dyDescent="0.25">
      <c r="A2372" s="193" t="s">
        <v>220</v>
      </c>
      <c r="B2372" s="193" t="s">
        <v>2351</v>
      </c>
      <c r="C2372" s="214" t="s">
        <v>4977</v>
      </c>
      <c r="D2372" s="193" t="s">
        <v>4978</v>
      </c>
      <c r="E2372" s="212" t="s">
        <v>545</v>
      </c>
      <c r="F2372" s="215">
        <v>637</v>
      </c>
      <c r="G2372" s="194">
        <v>4.2750000000000003E-2</v>
      </c>
      <c r="H2372" s="195">
        <f t="shared" si="36"/>
        <v>27.231750000000002</v>
      </c>
      <c r="I2372" s="212" t="s">
        <v>2354</v>
      </c>
    </row>
    <row r="2373" spans="1:9" x14ac:dyDescent="0.25">
      <c r="A2373" s="193" t="s">
        <v>220</v>
      </c>
      <c r="B2373" s="193" t="s">
        <v>2351</v>
      </c>
      <c r="C2373" s="214" t="s">
        <v>4979</v>
      </c>
      <c r="D2373" s="193" t="s">
        <v>4980</v>
      </c>
      <c r="E2373" s="212" t="s">
        <v>545</v>
      </c>
      <c r="F2373" s="215">
        <v>480</v>
      </c>
      <c r="G2373" s="194">
        <v>2.826E-2</v>
      </c>
      <c r="H2373" s="195">
        <f t="shared" ref="H2373:H2436" si="37">+F2373*G2373</f>
        <v>13.5648</v>
      </c>
      <c r="I2373" s="212" t="s">
        <v>2354</v>
      </c>
    </row>
    <row r="2374" spans="1:9" x14ac:dyDescent="0.25">
      <c r="A2374" s="193" t="s">
        <v>220</v>
      </c>
      <c r="B2374" s="193" t="s">
        <v>2351</v>
      </c>
      <c r="C2374" s="214" t="s">
        <v>4981</v>
      </c>
      <c r="D2374" s="193" t="s">
        <v>4982</v>
      </c>
      <c r="E2374" s="212" t="s">
        <v>545</v>
      </c>
      <c r="F2374" s="215">
        <v>238</v>
      </c>
      <c r="G2374" s="194">
        <v>8.1000000000000003E-2</v>
      </c>
      <c r="H2374" s="195">
        <f t="shared" si="37"/>
        <v>19.278000000000002</v>
      </c>
      <c r="I2374" s="212" t="s">
        <v>2354</v>
      </c>
    </row>
    <row r="2375" spans="1:9" x14ac:dyDescent="0.25">
      <c r="A2375" s="193" t="s">
        <v>220</v>
      </c>
      <c r="B2375" s="193" t="s">
        <v>2351</v>
      </c>
      <c r="C2375" s="214" t="s">
        <v>4983</v>
      </c>
      <c r="D2375" s="193" t="s">
        <v>4984</v>
      </c>
      <c r="E2375" s="212" t="s">
        <v>545</v>
      </c>
      <c r="F2375" s="215">
        <v>400</v>
      </c>
      <c r="G2375" s="194">
        <v>0.14147000000000001</v>
      </c>
      <c r="H2375" s="195">
        <f t="shared" si="37"/>
        <v>56.588000000000008</v>
      </c>
      <c r="I2375" s="212" t="s">
        <v>2354</v>
      </c>
    </row>
    <row r="2376" spans="1:9" x14ac:dyDescent="0.25">
      <c r="A2376" s="193" t="s">
        <v>220</v>
      </c>
      <c r="B2376" s="193" t="s">
        <v>2351</v>
      </c>
      <c r="C2376" s="214" t="s">
        <v>4985</v>
      </c>
      <c r="D2376" s="193" t="s">
        <v>4986</v>
      </c>
      <c r="E2376" s="212" t="s">
        <v>545</v>
      </c>
      <c r="F2376" s="215">
        <v>302</v>
      </c>
      <c r="G2376" s="194">
        <v>0.26100000000000001</v>
      </c>
      <c r="H2376" s="195">
        <f t="shared" si="37"/>
        <v>78.822000000000003</v>
      </c>
      <c r="I2376" s="212" t="s">
        <v>2354</v>
      </c>
    </row>
    <row r="2377" spans="1:9" x14ac:dyDescent="0.25">
      <c r="A2377" s="193" t="s">
        <v>220</v>
      </c>
      <c r="B2377" s="193" t="s">
        <v>2351</v>
      </c>
      <c r="C2377" s="214" t="s">
        <v>4987</v>
      </c>
      <c r="D2377" s="193" t="s">
        <v>4988</v>
      </c>
      <c r="E2377" s="212" t="s">
        <v>545</v>
      </c>
      <c r="F2377" s="215">
        <v>215</v>
      </c>
      <c r="G2377" s="194">
        <v>5.1999999999999998E-2</v>
      </c>
      <c r="H2377" s="195">
        <f t="shared" si="37"/>
        <v>11.18</v>
      </c>
      <c r="I2377" s="212" t="s">
        <v>2354</v>
      </c>
    </row>
    <row r="2378" spans="1:9" x14ac:dyDescent="0.25">
      <c r="A2378" s="193" t="s">
        <v>220</v>
      </c>
      <c r="B2378" s="193" t="s">
        <v>2351</v>
      </c>
      <c r="C2378" s="214" t="s">
        <v>4989</v>
      </c>
      <c r="D2378" s="193" t="s">
        <v>4990</v>
      </c>
      <c r="E2378" s="212" t="s">
        <v>545</v>
      </c>
      <c r="F2378" s="215">
        <v>312</v>
      </c>
      <c r="G2378" s="194">
        <v>0.16500000000000001</v>
      </c>
      <c r="H2378" s="195">
        <f t="shared" si="37"/>
        <v>51.480000000000004</v>
      </c>
      <c r="I2378" s="212" t="s">
        <v>2354</v>
      </c>
    </row>
    <row r="2379" spans="1:9" x14ac:dyDescent="0.25">
      <c r="A2379" s="193" t="s">
        <v>220</v>
      </c>
      <c r="B2379" s="193" t="s">
        <v>2351</v>
      </c>
      <c r="C2379" s="214" t="s">
        <v>4991</v>
      </c>
      <c r="D2379" s="193" t="s">
        <v>4992</v>
      </c>
      <c r="E2379" s="212" t="s">
        <v>545</v>
      </c>
      <c r="F2379" s="215">
        <v>325</v>
      </c>
      <c r="G2379" s="194">
        <v>0.01</v>
      </c>
      <c r="H2379" s="195">
        <f t="shared" si="37"/>
        <v>3.25</v>
      </c>
      <c r="I2379" s="212" t="s">
        <v>2354</v>
      </c>
    </row>
    <row r="2380" spans="1:9" x14ac:dyDescent="0.25">
      <c r="A2380" s="193" t="s">
        <v>220</v>
      </c>
      <c r="B2380" s="193" t="s">
        <v>2351</v>
      </c>
      <c r="C2380" s="214" t="s">
        <v>4993</v>
      </c>
      <c r="D2380" s="193" t="s">
        <v>4994</v>
      </c>
      <c r="E2380" s="212" t="s">
        <v>545</v>
      </c>
      <c r="F2380" s="215">
        <v>53</v>
      </c>
      <c r="G2380" s="194">
        <v>1.9E-2</v>
      </c>
      <c r="H2380" s="195">
        <f t="shared" si="37"/>
        <v>1.0069999999999999</v>
      </c>
      <c r="I2380" s="212" t="s">
        <v>2354</v>
      </c>
    </row>
    <row r="2381" spans="1:9" x14ac:dyDescent="0.25">
      <c r="A2381" s="193" t="s">
        <v>220</v>
      </c>
      <c r="B2381" s="193" t="s">
        <v>2351</v>
      </c>
      <c r="C2381" s="214" t="s">
        <v>4995</v>
      </c>
      <c r="D2381" s="193" t="s">
        <v>4996</v>
      </c>
      <c r="E2381" s="212" t="s">
        <v>545</v>
      </c>
      <c r="F2381" s="215">
        <v>78</v>
      </c>
      <c r="G2381" s="194">
        <v>3.04725</v>
      </c>
      <c r="H2381" s="195">
        <f t="shared" si="37"/>
        <v>237.68549999999999</v>
      </c>
      <c r="I2381" s="212" t="s">
        <v>2354</v>
      </c>
    </row>
    <row r="2382" spans="1:9" x14ac:dyDescent="0.25">
      <c r="A2382" s="193" t="s">
        <v>220</v>
      </c>
      <c r="B2382" s="193" t="s">
        <v>2351</v>
      </c>
      <c r="C2382" s="214" t="s">
        <v>4997</v>
      </c>
      <c r="D2382" s="193" t="s">
        <v>4998</v>
      </c>
      <c r="E2382" s="212" t="s">
        <v>545</v>
      </c>
      <c r="F2382" s="215">
        <v>102</v>
      </c>
      <c r="G2382" s="194">
        <v>4.6214500000000003</v>
      </c>
      <c r="H2382" s="195">
        <f t="shared" si="37"/>
        <v>471.3879</v>
      </c>
      <c r="I2382" s="212" t="s">
        <v>2354</v>
      </c>
    </row>
    <row r="2383" spans="1:9" x14ac:dyDescent="0.25">
      <c r="A2383" s="193" t="s">
        <v>220</v>
      </c>
      <c r="B2383" s="193" t="s">
        <v>2351</v>
      </c>
      <c r="C2383" s="214" t="s">
        <v>4999</v>
      </c>
      <c r="D2383" s="193" t="s">
        <v>5000</v>
      </c>
      <c r="E2383" s="212" t="s">
        <v>545</v>
      </c>
      <c r="F2383" s="215">
        <v>54</v>
      </c>
      <c r="G2383" s="216">
        <v>6.0000000000000001E-3</v>
      </c>
      <c r="H2383" s="217">
        <f t="shared" si="37"/>
        <v>0.32400000000000001</v>
      </c>
      <c r="I2383" s="212" t="s">
        <v>2354</v>
      </c>
    </row>
    <row r="2384" spans="1:9" x14ac:dyDescent="0.25">
      <c r="A2384" s="193" t="s">
        <v>220</v>
      </c>
      <c r="B2384" s="193" t="s">
        <v>2351</v>
      </c>
      <c r="C2384" s="214" t="s">
        <v>5001</v>
      </c>
      <c r="D2384" s="193" t="s">
        <v>4994</v>
      </c>
      <c r="E2384" s="212" t="s">
        <v>545</v>
      </c>
      <c r="F2384" s="215">
        <v>78</v>
      </c>
      <c r="G2384" s="194">
        <v>2.1999999999999999E-2</v>
      </c>
      <c r="H2384" s="195">
        <f t="shared" si="37"/>
        <v>1.716</v>
      </c>
      <c r="I2384" s="212" t="s">
        <v>2354</v>
      </c>
    </row>
    <row r="2385" spans="1:9" x14ac:dyDescent="0.25">
      <c r="A2385" s="193" t="s">
        <v>220</v>
      </c>
      <c r="B2385" s="193" t="s">
        <v>2351</v>
      </c>
      <c r="C2385" s="214" t="s">
        <v>5002</v>
      </c>
      <c r="D2385" s="193" t="s">
        <v>5003</v>
      </c>
      <c r="E2385" s="212" t="s">
        <v>545</v>
      </c>
      <c r="F2385" s="215">
        <v>102</v>
      </c>
      <c r="G2385" s="194">
        <v>0.17</v>
      </c>
      <c r="H2385" s="195">
        <f t="shared" si="37"/>
        <v>17.34</v>
      </c>
      <c r="I2385" s="212" t="s">
        <v>2354</v>
      </c>
    </row>
    <row r="2386" spans="1:9" x14ac:dyDescent="0.25">
      <c r="A2386" s="193" t="s">
        <v>220</v>
      </c>
      <c r="B2386" s="193" t="s">
        <v>2351</v>
      </c>
      <c r="C2386" s="214" t="s">
        <v>5004</v>
      </c>
      <c r="D2386" s="193" t="s">
        <v>5005</v>
      </c>
      <c r="E2386" s="212" t="s">
        <v>545</v>
      </c>
      <c r="F2386" s="215">
        <v>222</v>
      </c>
      <c r="G2386" s="194">
        <v>0.12189999999999999</v>
      </c>
      <c r="H2386" s="195">
        <f t="shared" si="37"/>
        <v>27.061799999999998</v>
      </c>
      <c r="I2386" s="212" t="s">
        <v>2354</v>
      </c>
    </row>
    <row r="2387" spans="1:9" x14ac:dyDescent="0.25">
      <c r="A2387" s="193" t="s">
        <v>220</v>
      </c>
      <c r="B2387" s="193" t="s">
        <v>2351</v>
      </c>
      <c r="C2387" s="214" t="s">
        <v>5006</v>
      </c>
      <c r="D2387" s="193" t="s">
        <v>5007</v>
      </c>
      <c r="E2387" s="212" t="s">
        <v>545</v>
      </c>
      <c r="F2387" s="215">
        <v>38</v>
      </c>
      <c r="G2387" s="194">
        <v>0.25141999999999998</v>
      </c>
      <c r="H2387" s="195">
        <f t="shared" si="37"/>
        <v>9.55396</v>
      </c>
      <c r="I2387" s="212" t="s">
        <v>2354</v>
      </c>
    </row>
    <row r="2388" spans="1:9" x14ac:dyDescent="0.25">
      <c r="A2388" s="193" t="s">
        <v>220</v>
      </c>
      <c r="B2388" s="193" t="s">
        <v>2351</v>
      </c>
      <c r="C2388" s="214" t="s">
        <v>5008</v>
      </c>
      <c r="D2388" s="193" t="s">
        <v>5009</v>
      </c>
      <c r="E2388" s="212" t="s">
        <v>545</v>
      </c>
      <c r="F2388" s="215">
        <v>65</v>
      </c>
      <c r="G2388" s="194">
        <v>0.34588000000000002</v>
      </c>
      <c r="H2388" s="195">
        <f t="shared" si="37"/>
        <v>22.482200000000002</v>
      </c>
      <c r="I2388" s="212" t="s">
        <v>2354</v>
      </c>
    </row>
    <row r="2389" spans="1:9" x14ac:dyDescent="0.25">
      <c r="A2389" s="193" t="s">
        <v>220</v>
      </c>
      <c r="B2389" s="193" t="s">
        <v>2351</v>
      </c>
      <c r="C2389" s="214" t="s">
        <v>5010</v>
      </c>
      <c r="D2389" s="193" t="s">
        <v>5011</v>
      </c>
      <c r="E2389" s="212" t="s">
        <v>545</v>
      </c>
      <c r="F2389" s="215">
        <v>230</v>
      </c>
      <c r="G2389" s="194">
        <v>0.39360000000000001</v>
      </c>
      <c r="H2389" s="195">
        <f t="shared" si="37"/>
        <v>90.528000000000006</v>
      </c>
      <c r="I2389" s="212" t="s">
        <v>2354</v>
      </c>
    </row>
    <row r="2390" spans="1:9" x14ac:dyDescent="0.25">
      <c r="A2390" s="193" t="s">
        <v>220</v>
      </c>
      <c r="B2390" s="193" t="s">
        <v>2351</v>
      </c>
      <c r="C2390" s="214" t="s">
        <v>5012</v>
      </c>
      <c r="D2390" s="193" t="s">
        <v>5013</v>
      </c>
      <c r="E2390" s="212" t="s">
        <v>545</v>
      </c>
      <c r="F2390" s="215">
        <v>70</v>
      </c>
      <c r="G2390" s="194">
        <v>5.04E-2</v>
      </c>
      <c r="H2390" s="195">
        <f t="shared" si="37"/>
        <v>3.528</v>
      </c>
      <c r="I2390" s="212" t="s">
        <v>2354</v>
      </c>
    </row>
    <row r="2391" spans="1:9" x14ac:dyDescent="0.25">
      <c r="A2391" s="193" t="s">
        <v>220</v>
      </c>
      <c r="B2391" s="193" t="s">
        <v>2351</v>
      </c>
      <c r="C2391" s="214" t="s">
        <v>5014</v>
      </c>
      <c r="D2391" s="193" t="s">
        <v>5015</v>
      </c>
      <c r="E2391" s="212" t="s">
        <v>545</v>
      </c>
      <c r="F2391" s="215">
        <v>239</v>
      </c>
      <c r="G2391" s="194">
        <v>3.9600000000000003E-2</v>
      </c>
      <c r="H2391" s="195">
        <f t="shared" si="37"/>
        <v>9.4644000000000013</v>
      </c>
      <c r="I2391" s="212" t="s">
        <v>2354</v>
      </c>
    </row>
    <row r="2392" spans="1:9" x14ac:dyDescent="0.25">
      <c r="A2392" s="193" t="s">
        <v>220</v>
      </c>
      <c r="B2392" s="193" t="s">
        <v>2351</v>
      </c>
      <c r="C2392" s="214" t="s">
        <v>5016</v>
      </c>
      <c r="D2392" s="193" t="s">
        <v>5017</v>
      </c>
      <c r="E2392" s="212" t="s">
        <v>545</v>
      </c>
      <c r="F2392" s="215">
        <v>106</v>
      </c>
      <c r="G2392" s="194">
        <v>2.6100000000000002E-2</v>
      </c>
      <c r="H2392" s="195">
        <f t="shared" si="37"/>
        <v>2.7666000000000004</v>
      </c>
      <c r="I2392" s="212" t="s">
        <v>2354</v>
      </c>
    </row>
    <row r="2393" spans="1:9" x14ac:dyDescent="0.25">
      <c r="A2393" s="193" t="s">
        <v>220</v>
      </c>
      <c r="B2393" s="193" t="s">
        <v>2351</v>
      </c>
      <c r="C2393" s="214" t="s">
        <v>5018</v>
      </c>
      <c r="D2393" s="193" t="s">
        <v>5019</v>
      </c>
      <c r="E2393" s="212" t="s">
        <v>545</v>
      </c>
      <c r="F2393" s="215">
        <v>425</v>
      </c>
      <c r="G2393" s="194">
        <v>0.16</v>
      </c>
      <c r="H2393" s="195">
        <f t="shared" si="37"/>
        <v>68</v>
      </c>
      <c r="I2393" s="212" t="s">
        <v>2354</v>
      </c>
    </row>
    <row r="2394" spans="1:9" x14ac:dyDescent="0.25">
      <c r="A2394" s="193" t="s">
        <v>220</v>
      </c>
      <c r="B2394" s="193" t="s">
        <v>2351</v>
      </c>
      <c r="C2394" s="214" t="s">
        <v>5020</v>
      </c>
      <c r="D2394" s="193" t="s">
        <v>5021</v>
      </c>
      <c r="E2394" s="212" t="s">
        <v>545</v>
      </c>
      <c r="F2394" s="215">
        <v>358</v>
      </c>
      <c r="G2394" s="194">
        <v>9.5479999999999995E-2</v>
      </c>
      <c r="H2394" s="195">
        <f t="shared" si="37"/>
        <v>34.181840000000001</v>
      </c>
      <c r="I2394" s="212" t="s">
        <v>2354</v>
      </c>
    </row>
    <row r="2395" spans="1:9" x14ac:dyDescent="0.25">
      <c r="A2395" s="193" t="s">
        <v>220</v>
      </c>
      <c r="B2395" s="193" t="s">
        <v>2351</v>
      </c>
      <c r="C2395" s="214" t="s">
        <v>5022</v>
      </c>
      <c r="D2395" s="193" t="s">
        <v>5023</v>
      </c>
      <c r="E2395" s="212" t="s">
        <v>545</v>
      </c>
      <c r="F2395" s="215">
        <v>217</v>
      </c>
      <c r="G2395" s="194">
        <v>0.12583357142857141</v>
      </c>
      <c r="H2395" s="195">
        <f t="shared" si="37"/>
        <v>27.305884999999996</v>
      </c>
      <c r="I2395" s="212" t="s">
        <v>2354</v>
      </c>
    </row>
    <row r="2396" spans="1:9" x14ac:dyDescent="0.25">
      <c r="A2396" s="193" t="s">
        <v>220</v>
      </c>
      <c r="B2396" s="193" t="s">
        <v>2351</v>
      </c>
      <c r="C2396" s="214" t="s">
        <v>5024</v>
      </c>
      <c r="D2396" s="193" t="s">
        <v>5025</v>
      </c>
      <c r="E2396" s="212" t="s">
        <v>545</v>
      </c>
      <c r="F2396" s="215">
        <v>750</v>
      </c>
      <c r="G2396" s="194">
        <v>0.16415917431192659</v>
      </c>
      <c r="H2396" s="195">
        <f t="shared" si="37"/>
        <v>123.11938073394494</v>
      </c>
      <c r="I2396" s="212" t="s">
        <v>2354</v>
      </c>
    </row>
    <row r="2397" spans="1:9" x14ac:dyDescent="0.25">
      <c r="A2397" s="193" t="s">
        <v>220</v>
      </c>
      <c r="B2397" s="193" t="s">
        <v>2351</v>
      </c>
      <c r="C2397" s="214" t="s">
        <v>5026</v>
      </c>
      <c r="D2397" s="193" t="s">
        <v>5027</v>
      </c>
      <c r="E2397" s="212" t="s">
        <v>545</v>
      </c>
      <c r="F2397" s="215">
        <v>231</v>
      </c>
      <c r="G2397" s="194">
        <v>0.12038892950391644</v>
      </c>
      <c r="H2397" s="195">
        <f t="shared" si="37"/>
        <v>27.809842715404699</v>
      </c>
      <c r="I2397" s="212" t="s">
        <v>2354</v>
      </c>
    </row>
    <row r="2398" spans="1:9" x14ac:dyDescent="0.25">
      <c r="A2398" s="193" t="s">
        <v>220</v>
      </c>
      <c r="B2398" s="193" t="s">
        <v>2351</v>
      </c>
      <c r="C2398" s="214" t="s">
        <v>5028</v>
      </c>
      <c r="D2398" s="193" t="s">
        <v>5029</v>
      </c>
      <c r="E2398" s="212" t="s">
        <v>545</v>
      </c>
      <c r="F2398" s="215">
        <v>352</v>
      </c>
      <c r="G2398" s="194">
        <v>0.20159195979899497</v>
      </c>
      <c r="H2398" s="195">
        <f t="shared" si="37"/>
        <v>70.960369849246234</v>
      </c>
      <c r="I2398" s="212" t="s">
        <v>2354</v>
      </c>
    </row>
    <row r="2399" spans="1:9" x14ac:dyDescent="0.25">
      <c r="A2399" s="193" t="s">
        <v>220</v>
      </c>
      <c r="B2399" s="193" t="s">
        <v>2351</v>
      </c>
      <c r="C2399" s="214" t="s">
        <v>5030</v>
      </c>
      <c r="D2399" s="193" t="s">
        <v>5031</v>
      </c>
      <c r="E2399" s="212" t="s">
        <v>545</v>
      </c>
      <c r="F2399" s="215">
        <v>148</v>
      </c>
      <c r="G2399" s="194">
        <v>0.22642666666666666</v>
      </c>
      <c r="H2399" s="195">
        <f t="shared" si="37"/>
        <v>33.511146666666669</v>
      </c>
      <c r="I2399" s="212" t="s">
        <v>2354</v>
      </c>
    </row>
    <row r="2400" spans="1:9" x14ac:dyDescent="0.25">
      <c r="A2400" s="193" t="s">
        <v>220</v>
      </c>
      <c r="B2400" s="193" t="s">
        <v>2351</v>
      </c>
      <c r="C2400" s="214" t="s">
        <v>5032</v>
      </c>
      <c r="D2400" s="193" t="s">
        <v>5033</v>
      </c>
      <c r="E2400" s="212" t="s">
        <v>545</v>
      </c>
      <c r="F2400" s="215">
        <v>320</v>
      </c>
      <c r="G2400" s="194">
        <v>0.22222028985507247</v>
      </c>
      <c r="H2400" s="195">
        <f t="shared" si="37"/>
        <v>71.110492753623191</v>
      </c>
      <c r="I2400" s="212" t="s">
        <v>2354</v>
      </c>
    </row>
    <row r="2401" spans="1:9" x14ac:dyDescent="0.25">
      <c r="A2401" s="193" t="s">
        <v>220</v>
      </c>
      <c r="B2401" s="193" t="s">
        <v>2351</v>
      </c>
      <c r="C2401" s="214" t="s">
        <v>5034</v>
      </c>
      <c r="D2401" s="193" t="s">
        <v>5035</v>
      </c>
      <c r="E2401" s="212" t="s">
        <v>545</v>
      </c>
      <c r="F2401" s="215">
        <v>248</v>
      </c>
      <c r="G2401" s="194">
        <v>0.42921793885552634</v>
      </c>
      <c r="H2401" s="195">
        <f t="shared" si="37"/>
        <v>106.44604883617053</v>
      </c>
      <c r="I2401" s="212" t="s">
        <v>2354</v>
      </c>
    </row>
    <row r="2402" spans="1:9" x14ac:dyDescent="0.25">
      <c r="A2402" s="193" t="s">
        <v>220</v>
      </c>
      <c r="B2402" s="193" t="s">
        <v>2351</v>
      </c>
      <c r="C2402" s="214" t="s">
        <v>5036</v>
      </c>
      <c r="D2402" s="193" t="s">
        <v>5037</v>
      </c>
      <c r="E2402" s="212" t="s">
        <v>545</v>
      </c>
      <c r="F2402" s="215">
        <v>250</v>
      </c>
      <c r="G2402" s="194">
        <v>0.37153573650785487</v>
      </c>
      <c r="H2402" s="195">
        <f t="shared" si="37"/>
        <v>92.883934126963723</v>
      </c>
      <c r="I2402" s="212" t="s">
        <v>2354</v>
      </c>
    </row>
    <row r="2403" spans="1:9" x14ac:dyDescent="0.25">
      <c r="A2403" s="193" t="s">
        <v>220</v>
      </c>
      <c r="B2403" s="193" t="s">
        <v>2351</v>
      </c>
      <c r="C2403" s="214" t="s">
        <v>5038</v>
      </c>
      <c r="D2403" s="193" t="s">
        <v>5039</v>
      </c>
      <c r="E2403" s="212" t="s">
        <v>545</v>
      </c>
      <c r="F2403" s="215">
        <v>351</v>
      </c>
      <c r="G2403" s="194">
        <v>0.224</v>
      </c>
      <c r="H2403" s="195">
        <f t="shared" si="37"/>
        <v>78.623999999999995</v>
      </c>
      <c r="I2403" s="212" t="s">
        <v>2354</v>
      </c>
    </row>
    <row r="2404" spans="1:9" x14ac:dyDescent="0.25">
      <c r="A2404" s="193" t="s">
        <v>220</v>
      </c>
      <c r="B2404" s="193" t="s">
        <v>2351</v>
      </c>
      <c r="C2404" s="214" t="s">
        <v>5040</v>
      </c>
      <c r="D2404" s="193" t="s">
        <v>5041</v>
      </c>
      <c r="E2404" s="212" t="s">
        <v>545</v>
      </c>
      <c r="F2404" s="215">
        <v>268</v>
      </c>
      <c r="G2404" s="194">
        <v>0.28100000000000003</v>
      </c>
      <c r="H2404" s="195">
        <f t="shared" si="37"/>
        <v>75.308000000000007</v>
      </c>
      <c r="I2404" s="212" t="s">
        <v>2354</v>
      </c>
    </row>
    <row r="2405" spans="1:9" x14ac:dyDescent="0.25">
      <c r="A2405" s="193" t="s">
        <v>220</v>
      </c>
      <c r="B2405" s="193" t="s">
        <v>2351</v>
      </c>
      <c r="C2405" s="214" t="s">
        <v>5042</v>
      </c>
      <c r="D2405" s="193" t="s">
        <v>5043</v>
      </c>
      <c r="E2405" s="212" t="s">
        <v>545</v>
      </c>
      <c r="F2405" s="215">
        <v>150</v>
      </c>
      <c r="G2405" s="194">
        <v>0.20992</v>
      </c>
      <c r="H2405" s="195">
        <f t="shared" si="37"/>
        <v>31.488</v>
      </c>
      <c r="I2405" s="212" t="s">
        <v>2354</v>
      </c>
    </row>
    <row r="2406" spans="1:9" x14ac:dyDescent="0.25">
      <c r="A2406" s="193" t="s">
        <v>220</v>
      </c>
      <c r="B2406" s="193" t="s">
        <v>2351</v>
      </c>
      <c r="C2406" s="214" t="s">
        <v>5044</v>
      </c>
      <c r="D2406" s="193" t="s">
        <v>5045</v>
      </c>
      <c r="E2406" s="212" t="s">
        <v>545</v>
      </c>
      <c r="F2406" s="215">
        <v>48</v>
      </c>
      <c r="G2406" s="194">
        <v>0</v>
      </c>
      <c r="H2406" s="195">
        <f t="shared" si="37"/>
        <v>0</v>
      </c>
      <c r="I2406" s="212" t="s">
        <v>2354</v>
      </c>
    </row>
    <row r="2407" spans="1:9" x14ac:dyDescent="0.25">
      <c r="A2407" s="193" t="s">
        <v>220</v>
      </c>
      <c r="B2407" s="193" t="s">
        <v>2351</v>
      </c>
      <c r="C2407" s="214" t="s">
        <v>5046</v>
      </c>
      <c r="D2407" s="193" t="s">
        <v>5047</v>
      </c>
      <c r="E2407" s="212" t="s">
        <v>545</v>
      </c>
      <c r="F2407" s="215">
        <v>781</v>
      </c>
      <c r="G2407" s="194">
        <v>0.23749999999999999</v>
      </c>
      <c r="H2407" s="195">
        <f t="shared" si="37"/>
        <v>185.48749999999998</v>
      </c>
      <c r="I2407" s="212" t="s">
        <v>2354</v>
      </c>
    </row>
    <row r="2408" spans="1:9" x14ac:dyDescent="0.25">
      <c r="A2408" s="193" t="s">
        <v>220</v>
      </c>
      <c r="B2408" s="193" t="s">
        <v>2351</v>
      </c>
      <c r="C2408" s="214" t="s">
        <v>5048</v>
      </c>
      <c r="D2408" s="193" t="s">
        <v>5049</v>
      </c>
      <c r="E2408" s="212" t="s">
        <v>545</v>
      </c>
      <c r="F2408" s="215">
        <v>20</v>
      </c>
      <c r="G2408" s="194">
        <v>0.50349999999999995</v>
      </c>
      <c r="H2408" s="195">
        <f t="shared" si="37"/>
        <v>10.069999999999999</v>
      </c>
      <c r="I2408" s="212" t="s">
        <v>2354</v>
      </c>
    </row>
    <row r="2409" spans="1:9" x14ac:dyDescent="0.25">
      <c r="A2409" s="193" t="s">
        <v>220</v>
      </c>
      <c r="B2409" s="193" t="s">
        <v>2351</v>
      </c>
      <c r="C2409" s="214" t="s">
        <v>5050</v>
      </c>
      <c r="D2409" s="193" t="s">
        <v>5051</v>
      </c>
      <c r="E2409" s="212" t="s">
        <v>545</v>
      </c>
      <c r="F2409" s="215">
        <v>14.5</v>
      </c>
      <c r="G2409" s="194">
        <v>1.35</v>
      </c>
      <c r="H2409" s="195">
        <f t="shared" si="37"/>
        <v>19.575000000000003</v>
      </c>
      <c r="I2409" s="212" t="s">
        <v>2354</v>
      </c>
    </row>
    <row r="2410" spans="1:9" x14ac:dyDescent="0.25">
      <c r="A2410" s="193" t="s">
        <v>220</v>
      </c>
      <c r="B2410" s="193" t="s">
        <v>2351</v>
      </c>
      <c r="C2410" s="214" t="s">
        <v>5052</v>
      </c>
      <c r="D2410" s="193" t="s">
        <v>5053</v>
      </c>
      <c r="E2410" s="212" t="s">
        <v>545</v>
      </c>
      <c r="F2410" s="215">
        <v>38</v>
      </c>
      <c r="G2410" s="194">
        <v>0.50349999999999995</v>
      </c>
      <c r="H2410" s="195">
        <f t="shared" si="37"/>
        <v>19.132999999999999</v>
      </c>
      <c r="I2410" s="212" t="s">
        <v>2354</v>
      </c>
    </row>
    <row r="2411" spans="1:9" x14ac:dyDescent="0.25">
      <c r="A2411" s="193" t="s">
        <v>220</v>
      </c>
      <c r="B2411" s="193" t="s">
        <v>2351</v>
      </c>
      <c r="C2411" s="214" t="s">
        <v>5054</v>
      </c>
      <c r="D2411" s="193" t="s">
        <v>5055</v>
      </c>
      <c r="E2411" s="212" t="s">
        <v>545</v>
      </c>
      <c r="F2411" s="215">
        <v>15</v>
      </c>
      <c r="G2411" s="194">
        <v>0.16800000000000001</v>
      </c>
      <c r="H2411" s="195">
        <f t="shared" si="37"/>
        <v>2.52</v>
      </c>
      <c r="I2411" s="212" t="s">
        <v>2354</v>
      </c>
    </row>
    <row r="2412" spans="1:9" x14ac:dyDescent="0.25">
      <c r="A2412" s="193" t="s">
        <v>220</v>
      </c>
      <c r="B2412" s="193" t="s">
        <v>2351</v>
      </c>
      <c r="C2412" s="214" t="s">
        <v>5056</v>
      </c>
      <c r="D2412" s="193" t="s">
        <v>5057</v>
      </c>
      <c r="E2412" s="212" t="s">
        <v>545</v>
      </c>
      <c r="F2412" s="215">
        <v>9</v>
      </c>
      <c r="G2412" s="194">
        <v>1.1126499999999999</v>
      </c>
      <c r="H2412" s="195">
        <f t="shared" si="37"/>
        <v>10.01385</v>
      </c>
      <c r="I2412" s="212" t="s">
        <v>2354</v>
      </c>
    </row>
    <row r="2413" spans="1:9" x14ac:dyDescent="0.25">
      <c r="A2413" s="193" t="s">
        <v>220</v>
      </c>
      <c r="B2413" s="193" t="s">
        <v>2351</v>
      </c>
      <c r="C2413" s="214" t="s">
        <v>5058</v>
      </c>
      <c r="D2413" s="193" t="s">
        <v>5059</v>
      </c>
      <c r="E2413" s="212" t="s">
        <v>545</v>
      </c>
      <c r="F2413" s="215">
        <v>780</v>
      </c>
      <c r="G2413" s="194">
        <v>2.282</v>
      </c>
      <c r="H2413" s="195">
        <f t="shared" si="37"/>
        <v>1779.96</v>
      </c>
      <c r="I2413" s="212" t="s">
        <v>2354</v>
      </c>
    </row>
    <row r="2414" spans="1:9" x14ac:dyDescent="0.25">
      <c r="A2414" s="193" t="s">
        <v>220</v>
      </c>
      <c r="B2414" s="193" t="s">
        <v>2351</v>
      </c>
      <c r="C2414" s="214" t="s">
        <v>5060</v>
      </c>
      <c r="D2414" s="193" t="s">
        <v>5061</v>
      </c>
      <c r="E2414" s="212" t="s">
        <v>545</v>
      </c>
      <c r="F2414" s="215">
        <v>18</v>
      </c>
      <c r="G2414" s="194">
        <v>2.1949999999999998</v>
      </c>
      <c r="H2414" s="195">
        <f t="shared" si="37"/>
        <v>39.51</v>
      </c>
      <c r="I2414" s="212" t="s">
        <v>2354</v>
      </c>
    </row>
    <row r="2415" spans="1:9" x14ac:dyDescent="0.25">
      <c r="A2415" s="193" t="s">
        <v>220</v>
      </c>
      <c r="B2415" s="193" t="s">
        <v>2351</v>
      </c>
      <c r="C2415" s="214" t="s">
        <v>5062</v>
      </c>
      <c r="D2415" s="193" t="s">
        <v>5063</v>
      </c>
      <c r="E2415" s="212" t="s">
        <v>545</v>
      </c>
      <c r="F2415" s="215">
        <v>150</v>
      </c>
      <c r="G2415" s="194">
        <v>3.8250000000000002</v>
      </c>
      <c r="H2415" s="195">
        <f t="shared" si="37"/>
        <v>573.75</v>
      </c>
      <c r="I2415" s="212" t="s">
        <v>2354</v>
      </c>
    </row>
    <row r="2416" spans="1:9" x14ac:dyDescent="0.25">
      <c r="A2416" s="193" t="s">
        <v>220</v>
      </c>
      <c r="B2416" s="193" t="s">
        <v>2351</v>
      </c>
      <c r="C2416" s="214" t="s">
        <v>5064</v>
      </c>
      <c r="D2416" s="193" t="s">
        <v>5065</v>
      </c>
      <c r="E2416" s="212" t="s">
        <v>545</v>
      </c>
      <c r="F2416" s="215">
        <v>9</v>
      </c>
      <c r="G2416" s="194">
        <v>0.15972500000000001</v>
      </c>
      <c r="H2416" s="195">
        <f t="shared" si="37"/>
        <v>1.4375249999999999</v>
      </c>
      <c r="I2416" s="212" t="s">
        <v>2354</v>
      </c>
    </row>
    <row r="2417" spans="1:9" x14ac:dyDescent="0.25">
      <c r="A2417" s="193" t="s">
        <v>220</v>
      </c>
      <c r="B2417" s="193" t="s">
        <v>2351</v>
      </c>
      <c r="C2417" s="214" t="s">
        <v>5066</v>
      </c>
      <c r="D2417" s="193" t="s">
        <v>5067</v>
      </c>
      <c r="E2417" s="212" t="s">
        <v>545</v>
      </c>
      <c r="F2417" s="215">
        <v>43</v>
      </c>
      <c r="G2417" s="194">
        <v>0.32200000000000001</v>
      </c>
      <c r="H2417" s="195">
        <f t="shared" si="37"/>
        <v>13.846</v>
      </c>
      <c r="I2417" s="212" t="s">
        <v>2354</v>
      </c>
    </row>
    <row r="2418" spans="1:9" x14ac:dyDescent="0.25">
      <c r="A2418" s="193" t="s">
        <v>220</v>
      </c>
      <c r="B2418" s="193" t="s">
        <v>2351</v>
      </c>
      <c r="C2418" s="214" t="s">
        <v>5068</v>
      </c>
      <c r="D2418" s="193" t="s">
        <v>5069</v>
      </c>
      <c r="E2418" s="212" t="s">
        <v>545</v>
      </c>
      <c r="F2418" s="215">
        <v>6</v>
      </c>
      <c r="G2418" s="194">
        <v>0.13950000000000001</v>
      </c>
      <c r="H2418" s="195">
        <f t="shared" si="37"/>
        <v>0.83700000000000008</v>
      </c>
      <c r="I2418" s="212" t="s">
        <v>2354</v>
      </c>
    </row>
    <row r="2419" spans="1:9" x14ac:dyDescent="0.25">
      <c r="A2419" s="193" t="s">
        <v>220</v>
      </c>
      <c r="B2419" s="193" t="s">
        <v>2351</v>
      </c>
      <c r="C2419" s="214" t="s">
        <v>5070</v>
      </c>
      <c r="D2419" s="193" t="s">
        <v>5071</v>
      </c>
      <c r="E2419" s="212" t="s">
        <v>545</v>
      </c>
      <c r="F2419" s="215">
        <v>14</v>
      </c>
      <c r="G2419" s="194">
        <v>0.18</v>
      </c>
      <c r="H2419" s="195">
        <f t="shared" si="37"/>
        <v>2.52</v>
      </c>
      <c r="I2419" s="212" t="s">
        <v>2354</v>
      </c>
    </row>
    <row r="2420" spans="1:9" x14ac:dyDescent="0.25">
      <c r="A2420" s="193" t="s">
        <v>220</v>
      </c>
      <c r="B2420" s="193" t="s">
        <v>2351</v>
      </c>
      <c r="C2420" s="214" t="s">
        <v>5072</v>
      </c>
      <c r="D2420" s="193" t="s">
        <v>5073</v>
      </c>
      <c r="E2420" s="212" t="s">
        <v>545</v>
      </c>
      <c r="F2420" s="215">
        <v>32</v>
      </c>
      <c r="G2420" s="194">
        <v>0.19800000000000001</v>
      </c>
      <c r="H2420" s="195">
        <f t="shared" si="37"/>
        <v>6.3360000000000003</v>
      </c>
      <c r="I2420" s="212" t="s">
        <v>2354</v>
      </c>
    </row>
    <row r="2421" spans="1:9" x14ac:dyDescent="0.25">
      <c r="A2421" s="193" t="s">
        <v>220</v>
      </c>
      <c r="B2421" s="193" t="s">
        <v>2351</v>
      </c>
      <c r="C2421" s="214" t="s">
        <v>5074</v>
      </c>
      <c r="D2421" s="193" t="s">
        <v>5075</v>
      </c>
      <c r="E2421" s="212" t="s">
        <v>545</v>
      </c>
      <c r="F2421" s="215">
        <v>5</v>
      </c>
      <c r="G2421" s="194">
        <v>0.25740000000000002</v>
      </c>
      <c r="H2421" s="195">
        <f t="shared" si="37"/>
        <v>1.2870000000000001</v>
      </c>
      <c r="I2421" s="212" t="s">
        <v>2354</v>
      </c>
    </row>
    <row r="2422" spans="1:9" x14ac:dyDescent="0.25">
      <c r="A2422" s="193" t="s">
        <v>220</v>
      </c>
      <c r="B2422" s="193" t="s">
        <v>2351</v>
      </c>
      <c r="C2422" s="214" t="s">
        <v>5076</v>
      </c>
      <c r="D2422" s="193" t="s">
        <v>5077</v>
      </c>
      <c r="E2422" s="212" t="s">
        <v>545</v>
      </c>
      <c r="F2422" s="215">
        <v>23</v>
      </c>
      <c r="G2422" s="194">
        <v>0.38159999999999999</v>
      </c>
      <c r="H2422" s="195">
        <f t="shared" si="37"/>
        <v>8.7767999999999997</v>
      </c>
      <c r="I2422" s="212" t="s">
        <v>2354</v>
      </c>
    </row>
    <row r="2423" spans="1:9" x14ac:dyDescent="0.25">
      <c r="A2423" s="193" t="s">
        <v>220</v>
      </c>
      <c r="B2423" s="193" t="s">
        <v>2351</v>
      </c>
      <c r="C2423" s="214" t="s">
        <v>5078</v>
      </c>
      <c r="D2423" s="193" t="s">
        <v>5079</v>
      </c>
      <c r="E2423" s="212" t="s">
        <v>545</v>
      </c>
      <c r="F2423" s="215">
        <v>12</v>
      </c>
      <c r="G2423" s="194">
        <v>0.33750000000000002</v>
      </c>
      <c r="H2423" s="195">
        <f t="shared" si="37"/>
        <v>4.0500000000000007</v>
      </c>
      <c r="I2423" s="212" t="s">
        <v>2354</v>
      </c>
    </row>
    <row r="2424" spans="1:9" x14ac:dyDescent="0.25">
      <c r="A2424" s="193" t="s">
        <v>220</v>
      </c>
      <c r="B2424" s="193" t="s">
        <v>2351</v>
      </c>
      <c r="C2424" s="214" t="s">
        <v>5080</v>
      </c>
      <c r="D2424" s="193" t="s">
        <v>5081</v>
      </c>
      <c r="E2424" s="212" t="s">
        <v>545</v>
      </c>
      <c r="F2424" s="215">
        <v>69</v>
      </c>
      <c r="G2424" s="194">
        <v>17.193000000000001</v>
      </c>
      <c r="H2424" s="195">
        <f t="shared" si="37"/>
        <v>1186.317</v>
      </c>
      <c r="I2424" s="212" t="s">
        <v>2354</v>
      </c>
    </row>
    <row r="2425" spans="1:9" x14ac:dyDescent="0.25">
      <c r="A2425" s="193" t="s">
        <v>220</v>
      </c>
      <c r="B2425" s="193" t="s">
        <v>2351</v>
      </c>
      <c r="C2425" s="214" t="s">
        <v>5082</v>
      </c>
      <c r="D2425" s="193" t="s">
        <v>5083</v>
      </c>
      <c r="E2425" s="212" t="s">
        <v>545</v>
      </c>
      <c r="F2425" s="213">
        <v>5</v>
      </c>
      <c r="G2425" s="194">
        <v>22.925000000000001</v>
      </c>
      <c r="H2425" s="195">
        <f t="shared" si="37"/>
        <v>114.625</v>
      </c>
      <c r="I2425" s="212" t="s">
        <v>2354</v>
      </c>
    </row>
    <row r="2426" spans="1:9" x14ac:dyDescent="0.25">
      <c r="A2426" s="193" t="s">
        <v>220</v>
      </c>
      <c r="B2426" s="193" t="s">
        <v>2351</v>
      </c>
      <c r="C2426" s="214" t="s">
        <v>5084</v>
      </c>
      <c r="D2426" s="193" t="s">
        <v>5085</v>
      </c>
      <c r="E2426" s="212" t="s">
        <v>2387</v>
      </c>
      <c r="F2426" s="215">
        <v>145</v>
      </c>
      <c r="G2426" s="194">
        <v>0.57757000000000003</v>
      </c>
      <c r="H2426" s="195">
        <f t="shared" si="37"/>
        <v>83.747650000000007</v>
      </c>
      <c r="I2426" s="212" t="s">
        <v>2354</v>
      </c>
    </row>
    <row r="2427" spans="1:9" x14ac:dyDescent="0.25">
      <c r="A2427" s="193" t="s">
        <v>220</v>
      </c>
      <c r="B2427" s="193" t="s">
        <v>2351</v>
      </c>
      <c r="C2427" s="214" t="s">
        <v>5086</v>
      </c>
      <c r="D2427" s="193" t="s">
        <v>5087</v>
      </c>
      <c r="E2427" s="212" t="s">
        <v>545</v>
      </c>
      <c r="F2427" s="215">
        <v>59</v>
      </c>
      <c r="G2427" s="194">
        <v>8.5980000000000001E-2</v>
      </c>
      <c r="H2427" s="195">
        <f t="shared" si="37"/>
        <v>5.0728200000000001</v>
      </c>
      <c r="I2427" s="212" t="s">
        <v>2354</v>
      </c>
    </row>
    <row r="2428" spans="1:9" x14ac:dyDescent="0.25">
      <c r="A2428" s="193" t="s">
        <v>220</v>
      </c>
      <c r="B2428" s="193" t="s">
        <v>2351</v>
      </c>
      <c r="C2428" s="214" t="s">
        <v>5088</v>
      </c>
      <c r="D2428" s="193" t="s">
        <v>5089</v>
      </c>
      <c r="E2428" s="212" t="s">
        <v>545</v>
      </c>
      <c r="F2428" s="215">
        <v>84</v>
      </c>
      <c r="G2428" s="194">
        <v>4.7600000000000003E-2</v>
      </c>
      <c r="H2428" s="195">
        <f t="shared" si="37"/>
        <v>3.9984000000000002</v>
      </c>
      <c r="I2428" s="212" t="s">
        <v>2354</v>
      </c>
    </row>
    <row r="2429" spans="1:9" x14ac:dyDescent="0.25">
      <c r="A2429" s="193" t="s">
        <v>220</v>
      </c>
      <c r="B2429" s="193" t="s">
        <v>2351</v>
      </c>
      <c r="C2429" s="214" t="s">
        <v>5090</v>
      </c>
      <c r="D2429" s="193" t="s">
        <v>5091</v>
      </c>
      <c r="E2429" s="212" t="s">
        <v>545</v>
      </c>
      <c r="F2429" s="215">
        <v>1</v>
      </c>
      <c r="G2429" s="194">
        <v>31.395</v>
      </c>
      <c r="H2429" s="195">
        <f t="shared" si="37"/>
        <v>31.395</v>
      </c>
      <c r="I2429" s="212" t="s">
        <v>2354</v>
      </c>
    </row>
    <row r="2430" spans="1:9" x14ac:dyDescent="0.25">
      <c r="A2430" s="193" t="s">
        <v>220</v>
      </c>
      <c r="B2430" s="193" t="s">
        <v>2351</v>
      </c>
      <c r="C2430" s="214" t="s">
        <v>5092</v>
      </c>
      <c r="D2430" s="193" t="s">
        <v>5093</v>
      </c>
      <c r="E2430" s="212" t="s">
        <v>545</v>
      </c>
      <c r="F2430" s="215">
        <v>6</v>
      </c>
      <c r="G2430" s="194">
        <v>6.63</v>
      </c>
      <c r="H2430" s="195">
        <f t="shared" si="37"/>
        <v>39.78</v>
      </c>
      <c r="I2430" s="212" t="s">
        <v>2354</v>
      </c>
    </row>
    <row r="2431" spans="1:9" x14ac:dyDescent="0.25">
      <c r="A2431" s="193" t="s">
        <v>220</v>
      </c>
      <c r="B2431" s="193" t="s">
        <v>2351</v>
      </c>
      <c r="C2431" s="214" t="s">
        <v>5094</v>
      </c>
      <c r="D2431" s="193" t="s">
        <v>5095</v>
      </c>
      <c r="E2431" s="212" t="s">
        <v>545</v>
      </c>
      <c r="F2431" s="215">
        <v>14</v>
      </c>
      <c r="G2431" s="194">
        <v>0.85746000000000011</v>
      </c>
      <c r="H2431" s="195">
        <f t="shared" si="37"/>
        <v>12.004440000000002</v>
      </c>
      <c r="I2431" s="212" t="s">
        <v>2354</v>
      </c>
    </row>
    <row r="2432" spans="1:9" x14ac:dyDescent="0.25">
      <c r="A2432" s="193" t="s">
        <v>220</v>
      </c>
      <c r="B2432" s="193" t="s">
        <v>2351</v>
      </c>
      <c r="C2432" s="214" t="s">
        <v>5096</v>
      </c>
      <c r="D2432" s="193" t="s">
        <v>5097</v>
      </c>
      <c r="E2432" s="212" t="s">
        <v>545</v>
      </c>
      <c r="F2432" s="215">
        <v>153</v>
      </c>
      <c r="G2432" s="194">
        <v>5.9085000000000001</v>
      </c>
      <c r="H2432" s="195">
        <f t="shared" si="37"/>
        <v>904.00049999999999</v>
      </c>
      <c r="I2432" s="212" t="s">
        <v>2354</v>
      </c>
    </row>
    <row r="2433" spans="1:9" x14ac:dyDescent="0.25">
      <c r="A2433" s="193" t="s">
        <v>220</v>
      </c>
      <c r="B2433" s="193" t="s">
        <v>2351</v>
      </c>
      <c r="C2433" s="214" t="s">
        <v>5098</v>
      </c>
      <c r="D2433" s="193" t="s">
        <v>5099</v>
      </c>
      <c r="E2433" s="212" t="s">
        <v>545</v>
      </c>
      <c r="F2433" s="213">
        <v>2</v>
      </c>
      <c r="G2433" s="194">
        <v>163.8657</v>
      </c>
      <c r="H2433" s="195">
        <f t="shared" si="37"/>
        <v>327.73140000000001</v>
      </c>
      <c r="I2433" s="212" t="s">
        <v>2354</v>
      </c>
    </row>
    <row r="2434" spans="1:9" x14ac:dyDescent="0.25">
      <c r="A2434" s="193" t="s">
        <v>220</v>
      </c>
      <c r="B2434" s="193" t="s">
        <v>2351</v>
      </c>
      <c r="C2434" s="214" t="s">
        <v>5100</v>
      </c>
      <c r="D2434" s="193" t="s">
        <v>5101</v>
      </c>
      <c r="E2434" s="212" t="s">
        <v>545</v>
      </c>
      <c r="F2434" s="215">
        <v>1</v>
      </c>
      <c r="G2434" s="194">
        <v>0.51600000000000001</v>
      </c>
      <c r="H2434" s="195">
        <f t="shared" si="37"/>
        <v>0.51600000000000001</v>
      </c>
      <c r="I2434" s="212" t="s">
        <v>2354</v>
      </c>
    </row>
    <row r="2435" spans="1:9" x14ac:dyDescent="0.25">
      <c r="A2435" s="193" t="s">
        <v>220</v>
      </c>
      <c r="B2435" s="193" t="s">
        <v>2351</v>
      </c>
      <c r="C2435" s="214" t="s">
        <v>5102</v>
      </c>
      <c r="D2435" s="193" t="s">
        <v>5103</v>
      </c>
      <c r="E2435" s="212" t="s">
        <v>545</v>
      </c>
      <c r="F2435" s="215">
        <v>24</v>
      </c>
      <c r="G2435" s="194">
        <v>0.26656000000000002</v>
      </c>
      <c r="H2435" s="195">
        <f t="shared" si="37"/>
        <v>6.3974400000000005</v>
      </c>
      <c r="I2435" s="212" t="s">
        <v>2354</v>
      </c>
    </row>
    <row r="2436" spans="1:9" x14ac:dyDescent="0.25">
      <c r="A2436" s="193" t="s">
        <v>220</v>
      </c>
      <c r="B2436" s="193" t="s">
        <v>2351</v>
      </c>
      <c r="C2436" s="214" t="s">
        <v>5104</v>
      </c>
      <c r="D2436" s="193" t="s">
        <v>5105</v>
      </c>
      <c r="E2436" s="212" t="s">
        <v>545</v>
      </c>
      <c r="F2436" s="215">
        <v>1</v>
      </c>
      <c r="G2436" s="194">
        <v>0.72352000000000005</v>
      </c>
      <c r="H2436" s="195">
        <f t="shared" si="37"/>
        <v>0.72352000000000005</v>
      </c>
      <c r="I2436" s="212" t="s">
        <v>2354</v>
      </c>
    </row>
    <row r="2437" spans="1:9" x14ac:dyDescent="0.25">
      <c r="A2437" s="193" t="s">
        <v>220</v>
      </c>
      <c r="B2437" s="193" t="s">
        <v>2351</v>
      </c>
      <c r="C2437" s="214" t="s">
        <v>5106</v>
      </c>
      <c r="D2437" s="193" t="s">
        <v>5107</v>
      </c>
      <c r="E2437" s="212" t="s">
        <v>545</v>
      </c>
      <c r="F2437" s="215">
        <v>139</v>
      </c>
      <c r="G2437" s="194">
        <v>1.00674</v>
      </c>
      <c r="H2437" s="195">
        <f t="shared" ref="H2437:H2500" si="38">+F2437*G2437</f>
        <v>139.93686</v>
      </c>
      <c r="I2437" s="212" t="s">
        <v>2354</v>
      </c>
    </row>
    <row r="2438" spans="1:9" x14ac:dyDescent="0.25">
      <c r="A2438" s="193" t="s">
        <v>220</v>
      </c>
      <c r="B2438" s="193" t="s">
        <v>2351</v>
      </c>
      <c r="C2438" s="214" t="s">
        <v>5108</v>
      </c>
      <c r="D2438" s="193" t="s">
        <v>5109</v>
      </c>
      <c r="E2438" s="212" t="s">
        <v>545</v>
      </c>
      <c r="F2438" s="215">
        <v>20</v>
      </c>
      <c r="G2438" s="194">
        <v>0</v>
      </c>
      <c r="H2438" s="195">
        <f t="shared" si="38"/>
        <v>0</v>
      </c>
      <c r="I2438" s="212" t="s">
        <v>2354</v>
      </c>
    </row>
    <row r="2439" spans="1:9" x14ac:dyDescent="0.25">
      <c r="A2439" s="193" t="s">
        <v>220</v>
      </c>
      <c r="B2439" s="193" t="s">
        <v>2351</v>
      </c>
      <c r="C2439" s="214" t="s">
        <v>5110</v>
      </c>
      <c r="D2439" s="193" t="s">
        <v>5111</v>
      </c>
      <c r="E2439" s="212" t="s">
        <v>545</v>
      </c>
      <c r="F2439" s="215">
        <v>16</v>
      </c>
      <c r="G2439" s="194">
        <v>0.4</v>
      </c>
      <c r="H2439" s="195">
        <f t="shared" si="38"/>
        <v>6.4</v>
      </c>
      <c r="I2439" s="212" t="s">
        <v>2354</v>
      </c>
    </row>
    <row r="2440" spans="1:9" x14ac:dyDescent="0.25">
      <c r="A2440" s="193" t="s">
        <v>220</v>
      </c>
      <c r="B2440" s="193" t="s">
        <v>2351</v>
      </c>
      <c r="C2440" s="214" t="s">
        <v>5112</v>
      </c>
      <c r="D2440" s="193" t="s">
        <v>5113</v>
      </c>
      <c r="E2440" s="212" t="s">
        <v>545</v>
      </c>
      <c r="F2440" s="215">
        <v>4</v>
      </c>
      <c r="G2440" s="194">
        <v>0</v>
      </c>
      <c r="H2440" s="195">
        <f t="shared" si="38"/>
        <v>0</v>
      </c>
      <c r="I2440" s="212" t="s">
        <v>2354</v>
      </c>
    </row>
    <row r="2441" spans="1:9" x14ac:dyDescent="0.25">
      <c r="A2441" s="193" t="s">
        <v>220</v>
      </c>
      <c r="B2441" s="193" t="s">
        <v>2351</v>
      </c>
      <c r="C2441" s="214" t="s">
        <v>5114</v>
      </c>
      <c r="D2441" s="193" t="s">
        <v>5115</v>
      </c>
      <c r="E2441" s="212" t="s">
        <v>545</v>
      </c>
      <c r="F2441" s="215">
        <v>400</v>
      </c>
      <c r="G2441" s="194">
        <v>0</v>
      </c>
      <c r="H2441" s="195">
        <f t="shared" si="38"/>
        <v>0</v>
      </c>
      <c r="I2441" s="212" t="s">
        <v>2354</v>
      </c>
    </row>
    <row r="2442" spans="1:9" x14ac:dyDescent="0.25">
      <c r="A2442" s="193" t="s">
        <v>220</v>
      </c>
      <c r="B2442" s="193" t="s">
        <v>2351</v>
      </c>
      <c r="C2442" s="214" t="s">
        <v>5116</v>
      </c>
      <c r="D2442" s="193" t="s">
        <v>5117</v>
      </c>
      <c r="E2442" s="212" t="s">
        <v>545</v>
      </c>
      <c r="F2442" s="215">
        <v>31</v>
      </c>
      <c r="G2442" s="194">
        <v>5.1999999999999998E-2</v>
      </c>
      <c r="H2442" s="195">
        <f t="shared" si="38"/>
        <v>1.6119999999999999</v>
      </c>
      <c r="I2442" s="212" t="s">
        <v>2354</v>
      </c>
    </row>
    <row r="2443" spans="1:9" x14ac:dyDescent="0.25">
      <c r="A2443" s="193" t="s">
        <v>220</v>
      </c>
      <c r="B2443" s="193" t="s">
        <v>2351</v>
      </c>
      <c r="C2443" s="214" t="s">
        <v>5118</v>
      </c>
      <c r="D2443" s="193" t="s">
        <v>5119</v>
      </c>
      <c r="E2443" s="212" t="s">
        <v>545</v>
      </c>
      <c r="F2443" s="215">
        <v>3</v>
      </c>
      <c r="G2443" s="194">
        <v>34.384999999999998</v>
      </c>
      <c r="H2443" s="195">
        <f t="shared" si="38"/>
        <v>103.155</v>
      </c>
      <c r="I2443" s="212" t="s">
        <v>2354</v>
      </c>
    </row>
    <row r="2444" spans="1:9" x14ac:dyDescent="0.25">
      <c r="A2444" s="193" t="s">
        <v>220</v>
      </c>
      <c r="B2444" s="193" t="s">
        <v>2351</v>
      </c>
      <c r="C2444" s="214" t="s">
        <v>5120</v>
      </c>
      <c r="D2444" s="193" t="s">
        <v>5121</v>
      </c>
      <c r="E2444" s="212" t="s">
        <v>545</v>
      </c>
      <c r="F2444" s="215">
        <v>480</v>
      </c>
      <c r="G2444" s="194">
        <v>0.19800000000000001</v>
      </c>
      <c r="H2444" s="195">
        <f t="shared" si="38"/>
        <v>95.04</v>
      </c>
      <c r="I2444" s="212" t="s">
        <v>2354</v>
      </c>
    </row>
    <row r="2445" spans="1:9" x14ac:dyDescent="0.25">
      <c r="A2445" s="193" t="s">
        <v>220</v>
      </c>
      <c r="B2445" s="193" t="s">
        <v>2351</v>
      </c>
      <c r="C2445" s="214" t="s">
        <v>5122</v>
      </c>
      <c r="D2445" s="193" t="s">
        <v>5123</v>
      </c>
      <c r="E2445" s="212" t="s">
        <v>545</v>
      </c>
      <c r="F2445" s="215">
        <v>2</v>
      </c>
      <c r="G2445" s="194">
        <v>0.63200000000000001</v>
      </c>
      <c r="H2445" s="195">
        <f t="shared" si="38"/>
        <v>1.264</v>
      </c>
      <c r="I2445" s="212" t="s">
        <v>2354</v>
      </c>
    </row>
    <row r="2446" spans="1:9" x14ac:dyDescent="0.25">
      <c r="A2446" s="193" t="s">
        <v>220</v>
      </c>
      <c r="B2446" s="193" t="s">
        <v>2351</v>
      </c>
      <c r="C2446" s="214" t="s">
        <v>5124</v>
      </c>
      <c r="D2446" s="193" t="s">
        <v>5125</v>
      </c>
      <c r="E2446" s="212" t="s">
        <v>545</v>
      </c>
      <c r="F2446" s="215">
        <v>81</v>
      </c>
      <c r="G2446" s="194">
        <v>0.40799999999999997</v>
      </c>
      <c r="H2446" s="195">
        <f t="shared" si="38"/>
        <v>33.047999999999995</v>
      </c>
      <c r="I2446" s="212" t="s">
        <v>2354</v>
      </c>
    </row>
    <row r="2447" spans="1:9" x14ac:dyDescent="0.25">
      <c r="A2447" s="193" t="s">
        <v>220</v>
      </c>
      <c r="B2447" s="193" t="s">
        <v>2351</v>
      </c>
      <c r="C2447" s="214" t="s">
        <v>5126</v>
      </c>
      <c r="D2447" s="193" t="s">
        <v>5127</v>
      </c>
      <c r="E2447" s="212" t="s">
        <v>545</v>
      </c>
      <c r="F2447" s="215">
        <v>83</v>
      </c>
      <c r="G2447" s="194">
        <v>1.633</v>
      </c>
      <c r="H2447" s="195">
        <f t="shared" si="38"/>
        <v>135.53899999999999</v>
      </c>
      <c r="I2447" s="212" t="s">
        <v>2354</v>
      </c>
    </row>
    <row r="2448" spans="1:9" x14ac:dyDescent="0.25">
      <c r="A2448" s="193" t="s">
        <v>220</v>
      </c>
      <c r="B2448" s="193" t="s">
        <v>2351</v>
      </c>
      <c r="C2448" s="214" t="s">
        <v>5128</v>
      </c>
      <c r="D2448" s="193" t="s">
        <v>5129</v>
      </c>
      <c r="E2448" s="212" t="s">
        <v>545</v>
      </c>
      <c r="F2448" s="215">
        <v>87</v>
      </c>
      <c r="G2448" s="194">
        <v>0.61599999999999999</v>
      </c>
      <c r="H2448" s="195">
        <f t="shared" si="38"/>
        <v>53.591999999999999</v>
      </c>
      <c r="I2448" s="212" t="s">
        <v>2354</v>
      </c>
    </row>
    <row r="2449" spans="1:9" x14ac:dyDescent="0.25">
      <c r="A2449" s="193" t="s">
        <v>220</v>
      </c>
      <c r="B2449" s="193" t="s">
        <v>2351</v>
      </c>
      <c r="C2449" s="214" t="s">
        <v>5130</v>
      </c>
      <c r="D2449" s="193" t="s">
        <v>5131</v>
      </c>
      <c r="E2449" s="212" t="s">
        <v>545</v>
      </c>
      <c r="F2449" s="215">
        <v>93</v>
      </c>
      <c r="G2449" s="194">
        <v>1.0429999999999999</v>
      </c>
      <c r="H2449" s="195">
        <f t="shared" si="38"/>
        <v>96.998999999999995</v>
      </c>
      <c r="I2449" s="212" t="s">
        <v>2354</v>
      </c>
    </row>
    <row r="2450" spans="1:9" x14ac:dyDescent="0.25">
      <c r="A2450" s="193" t="s">
        <v>220</v>
      </c>
      <c r="B2450" s="193" t="s">
        <v>2351</v>
      </c>
      <c r="C2450" s="214" t="s">
        <v>5132</v>
      </c>
      <c r="D2450" s="193" t="s">
        <v>5133</v>
      </c>
      <c r="E2450" s="212" t="s">
        <v>545</v>
      </c>
      <c r="F2450" s="215">
        <v>4</v>
      </c>
      <c r="G2450" s="194">
        <v>0.13600000000000001</v>
      </c>
      <c r="H2450" s="195">
        <f t="shared" si="38"/>
        <v>0.54400000000000004</v>
      </c>
      <c r="I2450" s="212" t="s">
        <v>2354</v>
      </c>
    </row>
    <row r="2451" spans="1:9" x14ac:dyDescent="0.25">
      <c r="A2451" s="193" t="s">
        <v>220</v>
      </c>
      <c r="B2451" s="193" t="s">
        <v>2351</v>
      </c>
      <c r="C2451" s="214" t="s">
        <v>5134</v>
      </c>
      <c r="D2451" s="193" t="s">
        <v>5135</v>
      </c>
      <c r="E2451" s="212" t="s">
        <v>545</v>
      </c>
      <c r="F2451" s="215">
        <v>93</v>
      </c>
      <c r="G2451" s="194">
        <v>0</v>
      </c>
      <c r="H2451" s="195">
        <f t="shared" si="38"/>
        <v>0</v>
      </c>
      <c r="I2451" s="212" t="s">
        <v>2354</v>
      </c>
    </row>
    <row r="2452" spans="1:9" x14ac:dyDescent="0.25">
      <c r="A2452" s="193" t="s">
        <v>220</v>
      </c>
      <c r="B2452" s="193" t="s">
        <v>2351</v>
      </c>
      <c r="C2452" s="214" t="s">
        <v>5136</v>
      </c>
      <c r="D2452" s="193" t="s">
        <v>5137</v>
      </c>
      <c r="E2452" s="212" t="s">
        <v>545</v>
      </c>
      <c r="F2452" s="215">
        <v>82</v>
      </c>
      <c r="G2452" s="194">
        <v>0.96084849999999999</v>
      </c>
      <c r="H2452" s="195">
        <f t="shared" si="38"/>
        <v>78.789576999999994</v>
      </c>
      <c r="I2452" s="212" t="s">
        <v>2354</v>
      </c>
    </row>
    <row r="2453" spans="1:9" x14ac:dyDescent="0.25">
      <c r="A2453" s="193" t="s">
        <v>220</v>
      </c>
      <c r="B2453" s="193" t="s">
        <v>2351</v>
      </c>
      <c r="C2453" s="214" t="s">
        <v>5138</v>
      </c>
      <c r="D2453" s="193" t="s">
        <v>5139</v>
      </c>
      <c r="E2453" s="212" t="s">
        <v>545</v>
      </c>
      <c r="F2453" s="215">
        <v>179</v>
      </c>
      <c r="G2453" s="194">
        <v>0.10878985088138404</v>
      </c>
      <c r="H2453" s="195">
        <f t="shared" si="38"/>
        <v>19.473383307767744</v>
      </c>
      <c r="I2453" s="212" t="s">
        <v>2354</v>
      </c>
    </row>
    <row r="2454" spans="1:9" x14ac:dyDescent="0.25">
      <c r="A2454" s="193" t="s">
        <v>220</v>
      </c>
      <c r="B2454" s="193" t="s">
        <v>2351</v>
      </c>
      <c r="C2454" s="214" t="s">
        <v>5140</v>
      </c>
      <c r="D2454" s="193" t="s">
        <v>5141</v>
      </c>
      <c r="E2454" s="212" t="s">
        <v>545</v>
      </c>
      <c r="F2454" s="215">
        <v>314</v>
      </c>
      <c r="G2454" s="194">
        <v>0.34900939226519334</v>
      </c>
      <c r="H2454" s="195">
        <f t="shared" si="38"/>
        <v>109.58894917127071</v>
      </c>
      <c r="I2454" s="212" t="s">
        <v>2354</v>
      </c>
    </row>
    <row r="2455" spans="1:9" x14ac:dyDescent="0.25">
      <c r="A2455" s="193" t="s">
        <v>220</v>
      </c>
      <c r="B2455" s="193" t="s">
        <v>2351</v>
      </c>
      <c r="C2455" s="214" t="s">
        <v>5142</v>
      </c>
      <c r="D2455" s="193" t="s">
        <v>5143</v>
      </c>
      <c r="E2455" s="212" t="s">
        <v>545</v>
      </c>
      <c r="F2455" s="215">
        <v>202</v>
      </c>
      <c r="G2455" s="194">
        <v>0.46400000000000002</v>
      </c>
      <c r="H2455" s="195">
        <f t="shared" si="38"/>
        <v>93.728000000000009</v>
      </c>
      <c r="I2455" s="212" t="s">
        <v>2354</v>
      </c>
    </row>
    <row r="2456" spans="1:9" x14ac:dyDescent="0.25">
      <c r="A2456" s="193" t="s">
        <v>220</v>
      </c>
      <c r="B2456" s="193" t="s">
        <v>2351</v>
      </c>
      <c r="C2456" s="214" t="s">
        <v>5144</v>
      </c>
      <c r="D2456" s="193" t="s">
        <v>5145</v>
      </c>
      <c r="E2456" s="212" t="s">
        <v>545</v>
      </c>
      <c r="F2456" s="215">
        <v>14</v>
      </c>
      <c r="G2456" s="194">
        <v>0.77500000000000002</v>
      </c>
      <c r="H2456" s="195">
        <f t="shared" si="38"/>
        <v>10.85</v>
      </c>
      <c r="I2456" s="212" t="s">
        <v>2354</v>
      </c>
    </row>
    <row r="2457" spans="1:9" x14ac:dyDescent="0.25">
      <c r="A2457" s="193" t="s">
        <v>220</v>
      </c>
      <c r="B2457" s="193" t="s">
        <v>2351</v>
      </c>
      <c r="C2457" s="214" t="s">
        <v>5146</v>
      </c>
      <c r="D2457" s="193" t="s">
        <v>5147</v>
      </c>
      <c r="E2457" s="212" t="s">
        <v>545</v>
      </c>
      <c r="F2457" s="215">
        <v>50</v>
      </c>
      <c r="G2457" s="194">
        <v>1.0395066666666666</v>
      </c>
      <c r="H2457" s="195">
        <f t="shared" si="38"/>
        <v>51.975333333333332</v>
      </c>
      <c r="I2457" s="212" t="s">
        <v>2354</v>
      </c>
    </row>
    <row r="2458" spans="1:9" x14ac:dyDescent="0.25">
      <c r="A2458" s="193" t="s">
        <v>220</v>
      </c>
      <c r="B2458" s="193" t="s">
        <v>2351</v>
      </c>
      <c r="C2458" s="214" t="s">
        <v>5148</v>
      </c>
      <c r="D2458" s="193" t="s">
        <v>5149</v>
      </c>
      <c r="E2458" s="212" t="s">
        <v>545</v>
      </c>
      <c r="F2458" s="215">
        <v>4</v>
      </c>
      <c r="G2458" s="194">
        <v>0.129</v>
      </c>
      <c r="H2458" s="195">
        <f t="shared" si="38"/>
        <v>0.51600000000000001</v>
      </c>
      <c r="I2458" s="212" t="s">
        <v>2354</v>
      </c>
    </row>
    <row r="2459" spans="1:9" x14ac:dyDescent="0.25">
      <c r="A2459" s="193" t="s">
        <v>220</v>
      </c>
      <c r="B2459" s="193" t="s">
        <v>2351</v>
      </c>
      <c r="C2459" s="214" t="s">
        <v>5150</v>
      </c>
      <c r="D2459" s="193" t="s">
        <v>5151</v>
      </c>
      <c r="E2459" s="212" t="s">
        <v>545</v>
      </c>
      <c r="F2459" s="215">
        <v>2</v>
      </c>
      <c r="G2459" s="194">
        <v>0.57779999999999998</v>
      </c>
      <c r="H2459" s="195">
        <f t="shared" si="38"/>
        <v>1.1556</v>
      </c>
      <c r="I2459" s="212" t="s">
        <v>2354</v>
      </c>
    </row>
    <row r="2460" spans="1:9" x14ac:dyDescent="0.25">
      <c r="A2460" s="193" t="s">
        <v>220</v>
      </c>
      <c r="B2460" s="193" t="s">
        <v>2351</v>
      </c>
      <c r="C2460" s="214" t="s">
        <v>5152</v>
      </c>
      <c r="D2460" s="193" t="s">
        <v>5153</v>
      </c>
      <c r="E2460" s="212" t="s">
        <v>545</v>
      </c>
      <c r="F2460" s="215">
        <v>14</v>
      </c>
      <c r="G2460" s="194">
        <v>0.39100000000000001</v>
      </c>
      <c r="H2460" s="195">
        <f t="shared" si="38"/>
        <v>5.4740000000000002</v>
      </c>
      <c r="I2460" s="212" t="s">
        <v>2354</v>
      </c>
    </row>
    <row r="2461" spans="1:9" x14ac:dyDescent="0.25">
      <c r="A2461" s="193" t="s">
        <v>220</v>
      </c>
      <c r="B2461" s="193" t="s">
        <v>2351</v>
      </c>
      <c r="C2461" s="214" t="s">
        <v>5154</v>
      </c>
      <c r="D2461" s="193" t="s">
        <v>5155</v>
      </c>
      <c r="E2461" s="212" t="s">
        <v>545</v>
      </c>
      <c r="F2461" s="215">
        <v>34</v>
      </c>
      <c r="G2461" s="194">
        <v>6.2240000000000002</v>
      </c>
      <c r="H2461" s="195">
        <f t="shared" si="38"/>
        <v>211.61600000000001</v>
      </c>
      <c r="I2461" s="212" t="s">
        <v>2354</v>
      </c>
    </row>
    <row r="2462" spans="1:9" x14ac:dyDescent="0.25">
      <c r="A2462" s="193" t="s">
        <v>220</v>
      </c>
      <c r="B2462" s="193" t="s">
        <v>2351</v>
      </c>
      <c r="C2462" s="214" t="s">
        <v>5156</v>
      </c>
      <c r="D2462" s="193" t="s">
        <v>5157</v>
      </c>
      <c r="E2462" s="212" t="s">
        <v>545</v>
      </c>
      <c r="F2462" s="215">
        <v>5</v>
      </c>
      <c r="G2462" s="194">
        <v>47.84</v>
      </c>
      <c r="H2462" s="195">
        <f t="shared" si="38"/>
        <v>239.20000000000002</v>
      </c>
      <c r="I2462" s="212" t="s">
        <v>2354</v>
      </c>
    </row>
    <row r="2463" spans="1:9" x14ac:dyDescent="0.25">
      <c r="A2463" s="193" t="s">
        <v>220</v>
      </c>
      <c r="B2463" s="193" t="s">
        <v>2351</v>
      </c>
      <c r="C2463" s="214" t="s">
        <v>5158</v>
      </c>
      <c r="D2463" s="193" t="s">
        <v>5159</v>
      </c>
      <c r="E2463" s="212" t="s">
        <v>545</v>
      </c>
      <c r="F2463" s="215">
        <v>101</v>
      </c>
      <c r="G2463" s="194">
        <v>0.54700000000000004</v>
      </c>
      <c r="H2463" s="195">
        <f t="shared" si="38"/>
        <v>55.247000000000007</v>
      </c>
      <c r="I2463" s="212" t="s">
        <v>2354</v>
      </c>
    </row>
    <row r="2464" spans="1:9" x14ac:dyDescent="0.25">
      <c r="A2464" s="193" t="s">
        <v>220</v>
      </c>
      <c r="B2464" s="193" t="s">
        <v>2351</v>
      </c>
      <c r="C2464" s="214" t="s">
        <v>5160</v>
      </c>
      <c r="D2464" s="193" t="s">
        <v>5161</v>
      </c>
      <c r="E2464" s="212" t="s">
        <v>545</v>
      </c>
      <c r="F2464" s="215">
        <v>4</v>
      </c>
      <c r="G2464" s="194">
        <v>6.7910000000000004</v>
      </c>
      <c r="H2464" s="195">
        <f t="shared" si="38"/>
        <v>27.164000000000001</v>
      </c>
      <c r="I2464" s="212" t="s">
        <v>2354</v>
      </c>
    </row>
    <row r="2465" spans="1:9" x14ac:dyDescent="0.25">
      <c r="A2465" s="193" t="s">
        <v>220</v>
      </c>
      <c r="B2465" s="193" t="s">
        <v>2351</v>
      </c>
      <c r="C2465" s="214" t="s">
        <v>5162</v>
      </c>
      <c r="D2465" s="193" t="s">
        <v>5163</v>
      </c>
      <c r="E2465" s="212" t="s">
        <v>545</v>
      </c>
      <c r="F2465" s="215">
        <v>5</v>
      </c>
      <c r="G2465" s="194">
        <v>10.92</v>
      </c>
      <c r="H2465" s="195">
        <f t="shared" si="38"/>
        <v>54.6</v>
      </c>
      <c r="I2465" s="212" t="s">
        <v>2354</v>
      </c>
    </row>
    <row r="2466" spans="1:9" x14ac:dyDescent="0.25">
      <c r="A2466" s="193" t="s">
        <v>220</v>
      </c>
      <c r="B2466" s="193" t="s">
        <v>2351</v>
      </c>
      <c r="C2466" s="214" t="s">
        <v>5164</v>
      </c>
      <c r="D2466" s="193" t="s">
        <v>5165</v>
      </c>
      <c r="E2466" s="212" t="s">
        <v>545</v>
      </c>
      <c r="F2466" s="215">
        <v>6</v>
      </c>
      <c r="G2466" s="194">
        <v>15.81</v>
      </c>
      <c r="H2466" s="195">
        <f t="shared" si="38"/>
        <v>94.86</v>
      </c>
      <c r="I2466" s="212" t="s">
        <v>2354</v>
      </c>
    </row>
    <row r="2467" spans="1:9" x14ac:dyDescent="0.25">
      <c r="A2467" s="193" t="s">
        <v>220</v>
      </c>
      <c r="B2467" s="193" t="s">
        <v>2351</v>
      </c>
      <c r="C2467" s="214" t="s">
        <v>5166</v>
      </c>
      <c r="D2467" s="193" t="s">
        <v>5167</v>
      </c>
      <c r="E2467" s="212" t="s">
        <v>545</v>
      </c>
      <c r="F2467" s="215">
        <v>4</v>
      </c>
      <c r="G2467" s="194">
        <v>6.593</v>
      </c>
      <c r="H2467" s="195">
        <f t="shared" si="38"/>
        <v>26.372</v>
      </c>
      <c r="I2467" s="212" t="s">
        <v>2354</v>
      </c>
    </row>
    <row r="2468" spans="1:9" x14ac:dyDescent="0.25">
      <c r="A2468" s="193" t="s">
        <v>220</v>
      </c>
      <c r="B2468" s="193" t="s">
        <v>2351</v>
      </c>
      <c r="C2468" s="214" t="s">
        <v>5168</v>
      </c>
      <c r="D2468" s="193" t="s">
        <v>5169</v>
      </c>
      <c r="E2468" s="212" t="s">
        <v>545</v>
      </c>
      <c r="F2468" s="215">
        <v>1</v>
      </c>
      <c r="G2468" s="194">
        <v>20.259</v>
      </c>
      <c r="H2468" s="195">
        <f t="shared" si="38"/>
        <v>20.259</v>
      </c>
      <c r="I2468" s="212" t="s">
        <v>2354</v>
      </c>
    </row>
    <row r="2469" spans="1:9" x14ac:dyDescent="0.25">
      <c r="A2469" s="193" t="s">
        <v>220</v>
      </c>
      <c r="B2469" s="193" t="s">
        <v>2351</v>
      </c>
      <c r="C2469" s="214" t="s">
        <v>5170</v>
      </c>
      <c r="D2469" s="193" t="s">
        <v>5171</v>
      </c>
      <c r="E2469" s="212" t="s">
        <v>545</v>
      </c>
      <c r="F2469" s="215">
        <v>4</v>
      </c>
      <c r="G2469" s="194">
        <v>8.6292000000000009</v>
      </c>
      <c r="H2469" s="195">
        <f t="shared" si="38"/>
        <v>34.516800000000003</v>
      </c>
      <c r="I2469" s="212" t="s">
        <v>2354</v>
      </c>
    </row>
    <row r="2470" spans="1:9" x14ac:dyDescent="0.25">
      <c r="A2470" s="193" t="s">
        <v>220</v>
      </c>
      <c r="B2470" s="193" t="s">
        <v>2351</v>
      </c>
      <c r="C2470" s="214" t="s">
        <v>5172</v>
      </c>
      <c r="D2470" s="193" t="s">
        <v>5173</v>
      </c>
      <c r="E2470" s="212" t="s">
        <v>545</v>
      </c>
      <c r="F2470" s="215">
        <v>1</v>
      </c>
      <c r="G2470" s="194">
        <v>1.63</v>
      </c>
      <c r="H2470" s="195">
        <f t="shared" si="38"/>
        <v>1.63</v>
      </c>
      <c r="I2470" s="212" t="s">
        <v>2354</v>
      </c>
    </row>
    <row r="2471" spans="1:9" x14ac:dyDescent="0.25">
      <c r="A2471" s="193" t="s">
        <v>220</v>
      </c>
      <c r="B2471" s="193" t="s">
        <v>2351</v>
      </c>
      <c r="C2471" s="214" t="s">
        <v>5174</v>
      </c>
      <c r="D2471" s="193" t="s">
        <v>5175</v>
      </c>
      <c r="E2471" s="212" t="s">
        <v>545</v>
      </c>
      <c r="F2471" s="215">
        <v>1</v>
      </c>
      <c r="G2471" s="194">
        <v>2.512</v>
      </c>
      <c r="H2471" s="195">
        <f t="shared" si="38"/>
        <v>2.512</v>
      </c>
      <c r="I2471" s="212" t="s">
        <v>2354</v>
      </c>
    </row>
    <row r="2472" spans="1:9" x14ac:dyDescent="0.25">
      <c r="A2472" s="193" t="s">
        <v>220</v>
      </c>
      <c r="B2472" s="193" t="s">
        <v>2351</v>
      </c>
      <c r="C2472" s="214" t="s">
        <v>5176</v>
      </c>
      <c r="D2472" s="193" t="s">
        <v>5177</v>
      </c>
      <c r="E2472" s="212" t="s">
        <v>545</v>
      </c>
      <c r="F2472" s="215">
        <v>3</v>
      </c>
      <c r="G2472" s="194">
        <v>3.0259999999999998</v>
      </c>
      <c r="H2472" s="195">
        <f t="shared" si="38"/>
        <v>9.0779999999999994</v>
      </c>
      <c r="I2472" s="212" t="s">
        <v>2354</v>
      </c>
    </row>
    <row r="2473" spans="1:9" x14ac:dyDescent="0.25">
      <c r="A2473" s="193" t="s">
        <v>220</v>
      </c>
      <c r="B2473" s="193" t="s">
        <v>2351</v>
      </c>
      <c r="C2473" s="214" t="s">
        <v>5178</v>
      </c>
      <c r="D2473" s="193" t="s">
        <v>5179</v>
      </c>
      <c r="E2473" s="212" t="s">
        <v>545</v>
      </c>
      <c r="F2473" s="215">
        <v>2</v>
      </c>
      <c r="G2473" s="194">
        <v>4.5625526315789475</v>
      </c>
      <c r="H2473" s="195">
        <f t="shared" si="38"/>
        <v>9.1251052631578951</v>
      </c>
      <c r="I2473" s="212" t="s">
        <v>2354</v>
      </c>
    </row>
    <row r="2474" spans="1:9" x14ac:dyDescent="0.25">
      <c r="A2474" s="193" t="s">
        <v>220</v>
      </c>
      <c r="B2474" s="193" t="s">
        <v>2351</v>
      </c>
      <c r="C2474" s="214" t="s">
        <v>5180</v>
      </c>
      <c r="D2474" s="193" t="s">
        <v>5181</v>
      </c>
      <c r="E2474" s="212" t="s">
        <v>545</v>
      </c>
      <c r="F2474" s="215">
        <v>4</v>
      </c>
      <c r="G2474" s="194">
        <v>14.04</v>
      </c>
      <c r="H2474" s="195">
        <f t="shared" si="38"/>
        <v>56.16</v>
      </c>
      <c r="I2474" s="212" t="s">
        <v>2354</v>
      </c>
    </row>
    <row r="2475" spans="1:9" x14ac:dyDescent="0.25">
      <c r="A2475" s="193" t="s">
        <v>220</v>
      </c>
      <c r="B2475" s="193" t="s">
        <v>2351</v>
      </c>
      <c r="C2475" s="214" t="s">
        <v>5182</v>
      </c>
      <c r="D2475" s="193" t="s">
        <v>5183</v>
      </c>
      <c r="E2475" s="212" t="s">
        <v>545</v>
      </c>
      <c r="F2475" s="215">
        <v>8</v>
      </c>
      <c r="G2475" s="194">
        <v>13.026249999999999</v>
      </c>
      <c r="H2475" s="195">
        <f t="shared" si="38"/>
        <v>104.21</v>
      </c>
      <c r="I2475" s="212" t="s">
        <v>2354</v>
      </c>
    </row>
    <row r="2476" spans="1:9" x14ac:dyDescent="0.25">
      <c r="A2476" s="193" t="s">
        <v>220</v>
      </c>
      <c r="B2476" s="193" t="s">
        <v>2351</v>
      </c>
      <c r="C2476" s="214" t="s">
        <v>5184</v>
      </c>
      <c r="D2476" s="193" t="s">
        <v>5185</v>
      </c>
      <c r="E2476" s="212" t="s">
        <v>545</v>
      </c>
      <c r="F2476" s="215">
        <v>10</v>
      </c>
      <c r="G2476" s="194">
        <v>8.6880000000000006</v>
      </c>
      <c r="H2476" s="195">
        <f t="shared" si="38"/>
        <v>86.88000000000001</v>
      </c>
      <c r="I2476" s="212" t="s">
        <v>2354</v>
      </c>
    </row>
    <row r="2477" spans="1:9" x14ac:dyDescent="0.25">
      <c r="A2477" s="193" t="s">
        <v>220</v>
      </c>
      <c r="B2477" s="193" t="s">
        <v>2351</v>
      </c>
      <c r="C2477" s="214" t="s">
        <v>5186</v>
      </c>
      <c r="D2477" s="193" t="s">
        <v>5187</v>
      </c>
      <c r="E2477" s="212" t="s">
        <v>545</v>
      </c>
      <c r="F2477" s="215">
        <v>4</v>
      </c>
      <c r="G2477" s="194">
        <v>1.1559999999999999</v>
      </c>
      <c r="H2477" s="195">
        <f t="shared" si="38"/>
        <v>4.6239999999999997</v>
      </c>
      <c r="I2477" s="212" t="s">
        <v>2354</v>
      </c>
    </row>
    <row r="2478" spans="1:9" x14ac:dyDescent="0.25">
      <c r="A2478" s="193" t="s">
        <v>220</v>
      </c>
      <c r="B2478" s="193" t="s">
        <v>2351</v>
      </c>
      <c r="C2478" s="214" t="s">
        <v>5188</v>
      </c>
      <c r="D2478" s="193" t="s">
        <v>5189</v>
      </c>
      <c r="E2478" s="212" t="s">
        <v>545</v>
      </c>
      <c r="F2478" s="215">
        <v>2</v>
      </c>
      <c r="G2478" s="194">
        <v>4.6139999999999999</v>
      </c>
      <c r="H2478" s="195">
        <f t="shared" si="38"/>
        <v>9.2279999999999998</v>
      </c>
      <c r="I2478" s="212" t="s">
        <v>2354</v>
      </c>
    </row>
    <row r="2479" spans="1:9" x14ac:dyDescent="0.25">
      <c r="A2479" s="193" t="s">
        <v>220</v>
      </c>
      <c r="B2479" s="193" t="s">
        <v>2351</v>
      </c>
      <c r="C2479" s="214" t="s">
        <v>5190</v>
      </c>
      <c r="D2479" s="193" t="s">
        <v>5191</v>
      </c>
      <c r="E2479" s="212" t="s">
        <v>545</v>
      </c>
      <c r="F2479" s="215">
        <v>5</v>
      </c>
      <c r="G2479" s="194">
        <v>0.33700000000000002</v>
      </c>
      <c r="H2479" s="195">
        <f t="shared" si="38"/>
        <v>1.6850000000000001</v>
      </c>
      <c r="I2479" s="212" t="s">
        <v>2354</v>
      </c>
    </row>
    <row r="2480" spans="1:9" x14ac:dyDescent="0.25">
      <c r="A2480" s="193" t="s">
        <v>220</v>
      </c>
      <c r="B2480" s="193" t="s">
        <v>2351</v>
      </c>
      <c r="C2480" s="214" t="s">
        <v>5192</v>
      </c>
      <c r="D2480" s="193" t="s">
        <v>5193</v>
      </c>
      <c r="E2480" s="212" t="s">
        <v>545</v>
      </c>
      <c r="F2480" s="215">
        <v>6</v>
      </c>
      <c r="G2480" s="194">
        <v>5.3070000000000004</v>
      </c>
      <c r="H2480" s="195">
        <f t="shared" si="38"/>
        <v>31.842000000000002</v>
      </c>
      <c r="I2480" s="212" t="s">
        <v>2354</v>
      </c>
    </row>
    <row r="2481" spans="1:9" x14ac:dyDescent="0.25">
      <c r="A2481" s="193" t="s">
        <v>220</v>
      </c>
      <c r="B2481" s="193" t="s">
        <v>2351</v>
      </c>
      <c r="C2481" s="214" t="s">
        <v>5194</v>
      </c>
      <c r="D2481" s="193" t="s">
        <v>5195</v>
      </c>
      <c r="E2481" s="212" t="s">
        <v>545</v>
      </c>
      <c r="F2481" s="215">
        <v>4</v>
      </c>
      <c r="G2481" s="194">
        <v>0.46500000000000002</v>
      </c>
      <c r="H2481" s="195">
        <f t="shared" si="38"/>
        <v>1.86</v>
      </c>
      <c r="I2481" s="212" t="s">
        <v>2354</v>
      </c>
    </row>
    <row r="2482" spans="1:9" x14ac:dyDescent="0.25">
      <c r="A2482" s="193" t="s">
        <v>220</v>
      </c>
      <c r="B2482" s="193" t="s">
        <v>2351</v>
      </c>
      <c r="C2482" s="214" t="s">
        <v>5196</v>
      </c>
      <c r="D2482" s="193" t="s">
        <v>5197</v>
      </c>
      <c r="E2482" s="212" t="s">
        <v>545</v>
      </c>
      <c r="F2482" s="215">
        <v>9</v>
      </c>
      <c r="G2482" s="194">
        <v>0.112</v>
      </c>
      <c r="H2482" s="195">
        <f t="shared" si="38"/>
        <v>1.008</v>
      </c>
      <c r="I2482" s="212" t="s">
        <v>2354</v>
      </c>
    </row>
    <row r="2483" spans="1:9" x14ac:dyDescent="0.25">
      <c r="A2483" s="193" t="s">
        <v>220</v>
      </c>
      <c r="B2483" s="193" t="s">
        <v>2351</v>
      </c>
      <c r="C2483" s="214" t="s">
        <v>5198</v>
      </c>
      <c r="D2483" s="193" t="s">
        <v>5199</v>
      </c>
      <c r="E2483" s="212" t="s">
        <v>545</v>
      </c>
      <c r="F2483" s="215">
        <v>6</v>
      </c>
      <c r="G2483" s="194">
        <v>1.0025999999999999</v>
      </c>
      <c r="H2483" s="195">
        <f t="shared" si="38"/>
        <v>6.0155999999999992</v>
      </c>
      <c r="I2483" s="212" t="s">
        <v>2354</v>
      </c>
    </row>
    <row r="2484" spans="1:9" x14ac:dyDescent="0.25">
      <c r="A2484" s="193" t="s">
        <v>220</v>
      </c>
      <c r="B2484" s="193" t="s">
        <v>2351</v>
      </c>
      <c r="C2484" s="214" t="s">
        <v>5200</v>
      </c>
      <c r="D2484" s="193" t="s">
        <v>5201</v>
      </c>
      <c r="E2484" s="212" t="s">
        <v>545</v>
      </c>
      <c r="F2484" s="215">
        <v>6</v>
      </c>
      <c r="G2484" s="194">
        <v>0.33700000000000002</v>
      </c>
      <c r="H2484" s="195">
        <f t="shared" si="38"/>
        <v>2.0220000000000002</v>
      </c>
      <c r="I2484" s="212" t="s">
        <v>2354</v>
      </c>
    </row>
    <row r="2485" spans="1:9" x14ac:dyDescent="0.25">
      <c r="A2485" s="193" t="s">
        <v>220</v>
      </c>
      <c r="B2485" s="193" t="s">
        <v>2351</v>
      </c>
      <c r="C2485" s="214" t="s">
        <v>5202</v>
      </c>
      <c r="D2485" s="193" t="s">
        <v>5203</v>
      </c>
      <c r="E2485" s="212" t="s">
        <v>545</v>
      </c>
      <c r="F2485" s="215">
        <v>8</v>
      </c>
      <c r="G2485" s="194">
        <v>0.75700000000000001</v>
      </c>
      <c r="H2485" s="195">
        <f t="shared" si="38"/>
        <v>6.056</v>
      </c>
      <c r="I2485" s="212" t="s">
        <v>2354</v>
      </c>
    </row>
    <row r="2486" spans="1:9" x14ac:dyDescent="0.25">
      <c r="A2486" s="193" t="s">
        <v>220</v>
      </c>
      <c r="B2486" s="193" t="s">
        <v>2351</v>
      </c>
      <c r="C2486" s="214" t="s">
        <v>5204</v>
      </c>
      <c r="D2486" s="193" t="s">
        <v>5205</v>
      </c>
      <c r="E2486" s="212" t="s">
        <v>545</v>
      </c>
      <c r="F2486" s="215">
        <v>8</v>
      </c>
      <c r="G2486" s="194">
        <v>1.1952</v>
      </c>
      <c r="H2486" s="195">
        <f t="shared" si="38"/>
        <v>9.5616000000000003</v>
      </c>
      <c r="I2486" s="212" t="s">
        <v>2354</v>
      </c>
    </row>
    <row r="2487" spans="1:9" x14ac:dyDescent="0.25">
      <c r="A2487" s="193" t="s">
        <v>220</v>
      </c>
      <c r="B2487" s="193" t="s">
        <v>2351</v>
      </c>
      <c r="C2487" s="214" t="s">
        <v>5206</v>
      </c>
      <c r="D2487" s="193" t="s">
        <v>5207</v>
      </c>
      <c r="E2487" s="212" t="s">
        <v>545</v>
      </c>
      <c r="F2487" s="215">
        <v>10</v>
      </c>
      <c r="G2487" s="194">
        <v>1.0109999999999999</v>
      </c>
      <c r="H2487" s="195">
        <f t="shared" si="38"/>
        <v>10.11</v>
      </c>
      <c r="I2487" s="212" t="s">
        <v>2354</v>
      </c>
    </row>
    <row r="2488" spans="1:9" x14ac:dyDescent="0.25">
      <c r="A2488" s="193" t="s">
        <v>220</v>
      </c>
      <c r="B2488" s="193" t="s">
        <v>2351</v>
      </c>
      <c r="C2488" s="214" t="s">
        <v>5208</v>
      </c>
      <c r="D2488" s="193" t="s">
        <v>5209</v>
      </c>
      <c r="E2488" s="212" t="s">
        <v>545</v>
      </c>
      <c r="F2488" s="215">
        <v>3</v>
      </c>
      <c r="G2488" s="194">
        <v>1.304</v>
      </c>
      <c r="H2488" s="195">
        <f t="shared" si="38"/>
        <v>3.9119999999999999</v>
      </c>
      <c r="I2488" s="212" t="s">
        <v>2354</v>
      </c>
    </row>
    <row r="2489" spans="1:9" x14ac:dyDescent="0.25">
      <c r="A2489" s="193" t="s">
        <v>220</v>
      </c>
      <c r="B2489" s="193" t="s">
        <v>2351</v>
      </c>
      <c r="C2489" s="214" t="s">
        <v>5210</v>
      </c>
      <c r="D2489" s="193" t="s">
        <v>5211</v>
      </c>
      <c r="E2489" s="212" t="s">
        <v>545</v>
      </c>
      <c r="F2489" s="215">
        <v>3</v>
      </c>
      <c r="G2489" s="194">
        <v>1.4</v>
      </c>
      <c r="H2489" s="195">
        <f t="shared" si="38"/>
        <v>4.1999999999999993</v>
      </c>
      <c r="I2489" s="212" t="s">
        <v>2354</v>
      </c>
    </row>
    <row r="2490" spans="1:9" x14ac:dyDescent="0.25">
      <c r="A2490" s="193" t="s">
        <v>220</v>
      </c>
      <c r="B2490" s="193" t="s">
        <v>2351</v>
      </c>
      <c r="C2490" s="214" t="s">
        <v>5212</v>
      </c>
      <c r="D2490" s="193" t="s">
        <v>5213</v>
      </c>
      <c r="E2490" s="212" t="s">
        <v>545</v>
      </c>
      <c r="F2490" s="215">
        <v>1</v>
      </c>
      <c r="G2490" s="194">
        <v>2.6070000000000002</v>
      </c>
      <c r="H2490" s="195">
        <f t="shared" si="38"/>
        <v>2.6070000000000002</v>
      </c>
      <c r="I2490" s="212" t="s">
        <v>2354</v>
      </c>
    </row>
    <row r="2491" spans="1:9" x14ac:dyDescent="0.25">
      <c r="A2491" s="193" t="s">
        <v>220</v>
      </c>
      <c r="B2491" s="193" t="s">
        <v>2351</v>
      </c>
      <c r="C2491" s="214" t="s">
        <v>5214</v>
      </c>
      <c r="D2491" s="193" t="s">
        <v>5215</v>
      </c>
      <c r="E2491" s="212" t="s">
        <v>545</v>
      </c>
      <c r="F2491" s="215">
        <v>5</v>
      </c>
      <c r="G2491" s="194">
        <v>2.1909999999999998</v>
      </c>
      <c r="H2491" s="195">
        <f t="shared" si="38"/>
        <v>10.954999999999998</v>
      </c>
      <c r="I2491" s="212" t="s">
        <v>2354</v>
      </c>
    </row>
    <row r="2492" spans="1:9" x14ac:dyDescent="0.25">
      <c r="A2492" s="193" t="s">
        <v>220</v>
      </c>
      <c r="B2492" s="193" t="s">
        <v>2351</v>
      </c>
      <c r="C2492" s="214" t="s">
        <v>5216</v>
      </c>
      <c r="D2492" s="193" t="s">
        <v>5217</v>
      </c>
      <c r="E2492" s="212" t="s">
        <v>545</v>
      </c>
      <c r="F2492" s="215">
        <v>7</v>
      </c>
      <c r="G2492" s="194">
        <v>3.71</v>
      </c>
      <c r="H2492" s="195">
        <f t="shared" si="38"/>
        <v>25.97</v>
      </c>
      <c r="I2492" s="212" t="s">
        <v>2354</v>
      </c>
    </row>
    <row r="2493" spans="1:9" x14ac:dyDescent="0.25">
      <c r="A2493" s="193" t="s">
        <v>220</v>
      </c>
      <c r="B2493" s="193" t="s">
        <v>2351</v>
      </c>
      <c r="C2493" s="214" t="s">
        <v>5218</v>
      </c>
      <c r="D2493" s="193" t="s">
        <v>5219</v>
      </c>
      <c r="E2493" s="212" t="s">
        <v>545</v>
      </c>
      <c r="F2493" s="215">
        <v>1</v>
      </c>
      <c r="G2493" s="194">
        <v>6.718</v>
      </c>
      <c r="H2493" s="195">
        <f t="shared" si="38"/>
        <v>6.718</v>
      </c>
      <c r="I2493" s="212" t="s">
        <v>2354</v>
      </c>
    </row>
    <row r="2494" spans="1:9" x14ac:dyDescent="0.25">
      <c r="A2494" s="193" t="s">
        <v>220</v>
      </c>
      <c r="B2494" s="193" t="s">
        <v>2351</v>
      </c>
      <c r="C2494" s="214" t="s">
        <v>5220</v>
      </c>
      <c r="D2494" s="193" t="s">
        <v>5221</v>
      </c>
      <c r="E2494" s="212" t="s">
        <v>545</v>
      </c>
      <c r="F2494" s="215">
        <v>1</v>
      </c>
      <c r="G2494" s="194">
        <v>9.0962999999999994</v>
      </c>
      <c r="H2494" s="195">
        <f t="shared" si="38"/>
        <v>9.0962999999999994</v>
      </c>
      <c r="I2494" s="212" t="s">
        <v>2354</v>
      </c>
    </row>
    <row r="2495" spans="1:9" x14ac:dyDescent="0.25">
      <c r="A2495" s="193" t="s">
        <v>220</v>
      </c>
      <c r="B2495" s="193" t="s">
        <v>2351</v>
      </c>
      <c r="C2495" s="214" t="s">
        <v>5222</v>
      </c>
      <c r="D2495" s="193" t="s">
        <v>5223</v>
      </c>
      <c r="E2495" s="212" t="s">
        <v>545</v>
      </c>
      <c r="F2495" s="215">
        <v>1</v>
      </c>
      <c r="G2495" s="194">
        <v>11.511900000000001</v>
      </c>
      <c r="H2495" s="195">
        <f t="shared" si="38"/>
        <v>11.511900000000001</v>
      </c>
      <c r="I2495" s="212" t="s">
        <v>2354</v>
      </c>
    </row>
    <row r="2496" spans="1:9" x14ac:dyDescent="0.25">
      <c r="A2496" s="193" t="s">
        <v>220</v>
      </c>
      <c r="B2496" s="193" t="s">
        <v>2351</v>
      </c>
      <c r="C2496" s="214" t="s">
        <v>5224</v>
      </c>
      <c r="D2496" s="193" t="s">
        <v>5225</v>
      </c>
      <c r="E2496" s="212" t="s">
        <v>545</v>
      </c>
      <c r="F2496" s="215">
        <v>1</v>
      </c>
      <c r="G2496" s="194">
        <v>71.757000000000005</v>
      </c>
      <c r="H2496" s="195">
        <f t="shared" si="38"/>
        <v>71.757000000000005</v>
      </c>
      <c r="I2496" s="212" t="s">
        <v>2354</v>
      </c>
    </row>
    <row r="2497" spans="1:9" x14ac:dyDescent="0.25">
      <c r="A2497" s="193" t="s">
        <v>220</v>
      </c>
      <c r="B2497" s="193" t="s">
        <v>2351</v>
      </c>
      <c r="C2497" s="214" t="s">
        <v>5226</v>
      </c>
      <c r="D2497" s="193" t="s">
        <v>5227</v>
      </c>
      <c r="E2497" s="212" t="s">
        <v>545</v>
      </c>
      <c r="F2497" s="215">
        <v>2</v>
      </c>
      <c r="G2497" s="194">
        <v>9.0953999999999997</v>
      </c>
      <c r="H2497" s="195">
        <f t="shared" si="38"/>
        <v>18.190799999999999</v>
      </c>
      <c r="I2497" s="212" t="s">
        <v>2354</v>
      </c>
    </row>
    <row r="2498" spans="1:9" x14ac:dyDescent="0.25">
      <c r="A2498" s="193" t="s">
        <v>220</v>
      </c>
      <c r="B2498" s="193" t="s">
        <v>2351</v>
      </c>
      <c r="C2498" s="214" t="s">
        <v>5228</v>
      </c>
      <c r="D2498" s="193" t="s">
        <v>5229</v>
      </c>
      <c r="E2498" s="212" t="s">
        <v>545</v>
      </c>
      <c r="F2498" s="215">
        <v>13</v>
      </c>
      <c r="G2498" s="194">
        <v>11.5</v>
      </c>
      <c r="H2498" s="195">
        <f t="shared" si="38"/>
        <v>149.5</v>
      </c>
      <c r="I2498" s="212" t="s">
        <v>2354</v>
      </c>
    </row>
    <row r="2499" spans="1:9" x14ac:dyDescent="0.25">
      <c r="A2499" s="193" t="s">
        <v>220</v>
      </c>
      <c r="B2499" s="193" t="s">
        <v>2351</v>
      </c>
      <c r="C2499" s="214" t="s">
        <v>5230</v>
      </c>
      <c r="D2499" s="193" t="s">
        <v>5231</v>
      </c>
      <c r="E2499" s="212" t="s">
        <v>535</v>
      </c>
      <c r="F2499" s="215">
        <v>2</v>
      </c>
      <c r="G2499" s="194">
        <v>4.5199999999999996</v>
      </c>
      <c r="H2499" s="195">
        <f t="shared" si="38"/>
        <v>9.0399999999999991</v>
      </c>
      <c r="I2499" s="212" t="s">
        <v>2354</v>
      </c>
    </row>
    <row r="2500" spans="1:9" x14ac:dyDescent="0.25">
      <c r="A2500" s="193" t="s">
        <v>220</v>
      </c>
      <c r="B2500" s="193" t="s">
        <v>2351</v>
      </c>
      <c r="C2500" s="214" t="s">
        <v>5232</v>
      </c>
      <c r="D2500" s="193" t="s">
        <v>5233</v>
      </c>
      <c r="E2500" s="212" t="s">
        <v>2387</v>
      </c>
      <c r="F2500" s="215">
        <v>4</v>
      </c>
      <c r="G2500" s="194">
        <v>28.95882352941177</v>
      </c>
      <c r="H2500" s="195">
        <f t="shared" si="38"/>
        <v>115.83529411764708</v>
      </c>
      <c r="I2500" s="212" t="s">
        <v>2354</v>
      </c>
    </row>
    <row r="2501" spans="1:9" x14ac:dyDescent="0.25">
      <c r="A2501" s="193" t="s">
        <v>220</v>
      </c>
      <c r="B2501" s="193" t="s">
        <v>2351</v>
      </c>
      <c r="C2501" s="214" t="s">
        <v>5234</v>
      </c>
      <c r="D2501" s="193" t="s">
        <v>5235</v>
      </c>
      <c r="E2501" s="212" t="s">
        <v>545</v>
      </c>
      <c r="F2501" s="215">
        <v>1</v>
      </c>
      <c r="G2501" s="194">
        <v>17.940000000000001</v>
      </c>
      <c r="H2501" s="195">
        <f t="shared" ref="H2501:H2564" si="39">+F2501*G2501</f>
        <v>17.940000000000001</v>
      </c>
      <c r="I2501" s="212" t="s">
        <v>2354</v>
      </c>
    </row>
    <row r="2502" spans="1:9" x14ac:dyDescent="0.25">
      <c r="A2502" s="193" t="s">
        <v>220</v>
      </c>
      <c r="B2502" s="193" t="s">
        <v>2351</v>
      </c>
      <c r="C2502" s="214" t="s">
        <v>5236</v>
      </c>
      <c r="D2502" s="193" t="s">
        <v>5237</v>
      </c>
      <c r="E2502" s="212" t="s">
        <v>545</v>
      </c>
      <c r="F2502" s="215">
        <v>1</v>
      </c>
      <c r="G2502" s="194">
        <v>158.625</v>
      </c>
      <c r="H2502" s="195">
        <f t="shared" si="39"/>
        <v>158.625</v>
      </c>
      <c r="I2502" s="212" t="s">
        <v>2354</v>
      </c>
    </row>
    <row r="2503" spans="1:9" x14ac:dyDescent="0.25">
      <c r="A2503" s="193" t="s">
        <v>220</v>
      </c>
      <c r="B2503" s="193" t="s">
        <v>2351</v>
      </c>
      <c r="C2503" s="214" t="s">
        <v>5238</v>
      </c>
      <c r="D2503" s="193" t="s">
        <v>5239</v>
      </c>
      <c r="E2503" s="212" t="s">
        <v>2387</v>
      </c>
      <c r="F2503" s="215">
        <v>8</v>
      </c>
      <c r="G2503" s="194">
        <v>1.6893</v>
      </c>
      <c r="H2503" s="195">
        <f t="shared" si="39"/>
        <v>13.5144</v>
      </c>
      <c r="I2503" s="212" t="s">
        <v>2354</v>
      </c>
    </row>
    <row r="2504" spans="1:9" x14ac:dyDescent="0.25">
      <c r="A2504" s="193" t="s">
        <v>220</v>
      </c>
      <c r="B2504" s="193" t="s">
        <v>2351</v>
      </c>
      <c r="C2504" s="214" t="s">
        <v>5240</v>
      </c>
      <c r="D2504" s="193" t="s">
        <v>5241</v>
      </c>
      <c r="E2504" s="212" t="s">
        <v>2473</v>
      </c>
      <c r="F2504" s="215">
        <v>180</v>
      </c>
      <c r="G2504" s="194">
        <v>0.14899999999999999</v>
      </c>
      <c r="H2504" s="195">
        <f t="shared" si="39"/>
        <v>26.82</v>
      </c>
      <c r="I2504" s="212" t="s">
        <v>2354</v>
      </c>
    </row>
    <row r="2505" spans="1:9" x14ac:dyDescent="0.25">
      <c r="A2505" s="193" t="s">
        <v>220</v>
      </c>
      <c r="B2505" s="193" t="s">
        <v>2351</v>
      </c>
      <c r="C2505" s="214" t="s">
        <v>5242</v>
      </c>
      <c r="D2505" s="193" t="s">
        <v>5243</v>
      </c>
      <c r="E2505" s="212" t="s">
        <v>545</v>
      </c>
      <c r="F2505" s="215">
        <v>2</v>
      </c>
      <c r="G2505" s="194">
        <v>25.6464</v>
      </c>
      <c r="H2505" s="195">
        <f t="shared" si="39"/>
        <v>51.2928</v>
      </c>
      <c r="I2505" s="212" t="s">
        <v>2354</v>
      </c>
    </row>
    <row r="2506" spans="1:9" x14ac:dyDescent="0.25">
      <c r="A2506" s="193" t="s">
        <v>220</v>
      </c>
      <c r="B2506" s="193" t="s">
        <v>2351</v>
      </c>
      <c r="C2506" s="214" t="s">
        <v>5244</v>
      </c>
      <c r="D2506" s="193" t="s">
        <v>5245</v>
      </c>
      <c r="E2506" s="212" t="s">
        <v>545</v>
      </c>
      <c r="F2506" s="215">
        <v>12</v>
      </c>
      <c r="G2506" s="194">
        <v>11.8512</v>
      </c>
      <c r="H2506" s="195">
        <f t="shared" si="39"/>
        <v>142.21440000000001</v>
      </c>
      <c r="I2506" s="212" t="s">
        <v>2354</v>
      </c>
    </row>
    <row r="2507" spans="1:9" x14ac:dyDescent="0.25">
      <c r="A2507" s="193" t="s">
        <v>220</v>
      </c>
      <c r="B2507" s="193" t="s">
        <v>2351</v>
      </c>
      <c r="C2507" s="214" t="s">
        <v>5246</v>
      </c>
      <c r="D2507" s="193" t="s">
        <v>5247</v>
      </c>
      <c r="E2507" s="212" t="s">
        <v>545</v>
      </c>
      <c r="F2507" s="215">
        <v>20</v>
      </c>
      <c r="G2507" s="194">
        <v>0.1953</v>
      </c>
      <c r="H2507" s="195">
        <f t="shared" si="39"/>
        <v>3.9060000000000001</v>
      </c>
      <c r="I2507" s="212" t="s">
        <v>2354</v>
      </c>
    </row>
    <row r="2508" spans="1:9" x14ac:dyDescent="0.25">
      <c r="A2508" s="193" t="s">
        <v>220</v>
      </c>
      <c r="B2508" s="193" t="s">
        <v>2351</v>
      </c>
      <c r="C2508" s="214" t="s">
        <v>5248</v>
      </c>
      <c r="D2508" s="193" t="s">
        <v>5249</v>
      </c>
      <c r="E2508" s="212" t="s">
        <v>545</v>
      </c>
      <c r="F2508" s="215">
        <v>17</v>
      </c>
      <c r="G2508" s="194">
        <v>0.4788</v>
      </c>
      <c r="H2508" s="195">
        <f t="shared" si="39"/>
        <v>8.1395999999999997</v>
      </c>
      <c r="I2508" s="212" t="s">
        <v>2354</v>
      </c>
    </row>
    <row r="2509" spans="1:9" x14ac:dyDescent="0.25">
      <c r="A2509" s="193" t="s">
        <v>220</v>
      </c>
      <c r="B2509" s="193" t="s">
        <v>2351</v>
      </c>
      <c r="C2509" s="214" t="s">
        <v>5250</v>
      </c>
      <c r="D2509" s="193" t="s">
        <v>5251</v>
      </c>
      <c r="E2509" s="212" t="s">
        <v>545</v>
      </c>
      <c r="F2509" s="215">
        <v>4</v>
      </c>
      <c r="G2509" s="194">
        <v>23.079599999999999</v>
      </c>
      <c r="H2509" s="195">
        <f t="shared" si="39"/>
        <v>92.318399999999997</v>
      </c>
      <c r="I2509" s="212" t="s">
        <v>2354</v>
      </c>
    </row>
    <row r="2510" spans="1:9" x14ac:dyDescent="0.25">
      <c r="A2510" s="193" t="s">
        <v>220</v>
      </c>
      <c r="B2510" s="193" t="s">
        <v>2351</v>
      </c>
      <c r="C2510" s="214" t="s">
        <v>5252</v>
      </c>
      <c r="D2510" s="193" t="s">
        <v>5253</v>
      </c>
      <c r="E2510" s="212" t="s">
        <v>545</v>
      </c>
      <c r="F2510" s="215">
        <v>1</v>
      </c>
      <c r="G2510" s="194">
        <v>75.494450000000001</v>
      </c>
      <c r="H2510" s="195">
        <f t="shared" si="39"/>
        <v>75.494450000000001</v>
      </c>
      <c r="I2510" s="212" t="s">
        <v>2354</v>
      </c>
    </row>
    <row r="2511" spans="1:9" x14ac:dyDescent="0.25">
      <c r="A2511" s="193" t="s">
        <v>220</v>
      </c>
      <c r="B2511" s="193" t="s">
        <v>2351</v>
      </c>
      <c r="C2511" s="214" t="s">
        <v>5254</v>
      </c>
      <c r="D2511" s="193" t="s">
        <v>5255</v>
      </c>
      <c r="E2511" s="212" t="s">
        <v>545</v>
      </c>
      <c r="F2511" s="215">
        <v>10</v>
      </c>
      <c r="G2511" s="194">
        <v>4.6749999999999998</v>
      </c>
      <c r="H2511" s="195">
        <f t="shared" si="39"/>
        <v>46.75</v>
      </c>
      <c r="I2511" s="212" t="s">
        <v>2354</v>
      </c>
    </row>
    <row r="2512" spans="1:9" x14ac:dyDescent="0.25">
      <c r="A2512" s="193" t="s">
        <v>220</v>
      </c>
      <c r="B2512" s="193" t="s">
        <v>2351</v>
      </c>
      <c r="C2512" s="214" t="s">
        <v>5256</v>
      </c>
      <c r="D2512" s="193" t="s">
        <v>5257</v>
      </c>
      <c r="E2512" s="212" t="s">
        <v>2387</v>
      </c>
      <c r="F2512" s="215">
        <v>10</v>
      </c>
      <c r="G2512" s="194">
        <v>7.2249999999999996</v>
      </c>
      <c r="H2512" s="195">
        <f t="shared" si="39"/>
        <v>72.25</v>
      </c>
      <c r="I2512" s="212" t="s">
        <v>2354</v>
      </c>
    </row>
    <row r="2513" spans="1:9" x14ac:dyDescent="0.25">
      <c r="A2513" s="193" t="s">
        <v>220</v>
      </c>
      <c r="B2513" s="193" t="s">
        <v>2351</v>
      </c>
      <c r="C2513" s="214" t="s">
        <v>5258</v>
      </c>
      <c r="D2513" s="193" t="s">
        <v>5259</v>
      </c>
      <c r="E2513" s="212" t="s">
        <v>545</v>
      </c>
      <c r="F2513" s="215">
        <v>3</v>
      </c>
      <c r="G2513" s="194">
        <v>13</v>
      </c>
      <c r="H2513" s="195">
        <f t="shared" si="39"/>
        <v>39</v>
      </c>
      <c r="I2513" s="212" t="s">
        <v>2354</v>
      </c>
    </row>
    <row r="2514" spans="1:9" x14ac:dyDescent="0.25">
      <c r="A2514" s="193" t="s">
        <v>220</v>
      </c>
      <c r="B2514" s="193" t="s">
        <v>2351</v>
      </c>
      <c r="C2514" s="214" t="s">
        <v>5260</v>
      </c>
      <c r="D2514" s="193" t="s">
        <v>5261</v>
      </c>
      <c r="E2514" s="212" t="s">
        <v>2473</v>
      </c>
      <c r="F2514" s="215">
        <v>1</v>
      </c>
      <c r="G2514" s="194">
        <v>1305.875</v>
      </c>
      <c r="H2514" s="195">
        <f t="shared" si="39"/>
        <v>1305.875</v>
      </c>
      <c r="I2514" s="212" t="s">
        <v>2354</v>
      </c>
    </row>
    <row r="2515" spans="1:9" x14ac:dyDescent="0.25">
      <c r="A2515" s="193" t="s">
        <v>220</v>
      </c>
      <c r="B2515" s="193" t="s">
        <v>2351</v>
      </c>
      <c r="C2515" s="214" t="s">
        <v>5262</v>
      </c>
      <c r="D2515" s="193" t="s">
        <v>5263</v>
      </c>
      <c r="E2515" s="212" t="s">
        <v>2473</v>
      </c>
      <c r="F2515" s="215">
        <v>1</v>
      </c>
      <c r="G2515" s="194">
        <v>687.38800000000003</v>
      </c>
      <c r="H2515" s="195">
        <f t="shared" si="39"/>
        <v>687.38800000000003</v>
      </c>
      <c r="I2515" s="212" t="s">
        <v>2354</v>
      </c>
    </row>
    <row r="2516" spans="1:9" x14ac:dyDescent="0.25">
      <c r="A2516" s="193" t="s">
        <v>220</v>
      </c>
      <c r="B2516" s="193" t="s">
        <v>2351</v>
      </c>
      <c r="C2516" s="214" t="s">
        <v>5264</v>
      </c>
      <c r="D2516" s="193" t="s">
        <v>5265</v>
      </c>
      <c r="E2516" s="212" t="s">
        <v>545</v>
      </c>
      <c r="F2516" s="213">
        <v>1</v>
      </c>
      <c r="G2516" s="194">
        <v>2788</v>
      </c>
      <c r="H2516" s="195">
        <f t="shared" si="39"/>
        <v>2788</v>
      </c>
      <c r="I2516" s="212" t="s">
        <v>2354</v>
      </c>
    </row>
    <row r="2517" spans="1:9" x14ac:dyDescent="0.25">
      <c r="A2517" s="193" t="s">
        <v>220</v>
      </c>
      <c r="B2517" s="193" t="s">
        <v>2351</v>
      </c>
      <c r="C2517" s="214" t="s">
        <v>5266</v>
      </c>
      <c r="D2517" s="193" t="s">
        <v>5267</v>
      </c>
      <c r="E2517" s="212" t="s">
        <v>545</v>
      </c>
      <c r="F2517" s="215">
        <v>4</v>
      </c>
      <c r="G2517" s="194">
        <v>12.478999999999999</v>
      </c>
      <c r="H2517" s="195">
        <f t="shared" si="39"/>
        <v>49.915999999999997</v>
      </c>
      <c r="I2517" s="212" t="s">
        <v>2354</v>
      </c>
    </row>
    <row r="2518" spans="1:9" x14ac:dyDescent="0.25">
      <c r="A2518" s="193" t="s">
        <v>220</v>
      </c>
      <c r="B2518" s="193" t="s">
        <v>2351</v>
      </c>
      <c r="C2518" s="214" t="s">
        <v>5268</v>
      </c>
      <c r="D2518" s="193" t="s">
        <v>5269</v>
      </c>
      <c r="E2518" s="212" t="s">
        <v>2387</v>
      </c>
      <c r="F2518" s="215">
        <v>2</v>
      </c>
      <c r="G2518" s="194">
        <v>120</v>
      </c>
      <c r="H2518" s="195">
        <f t="shared" si="39"/>
        <v>240</v>
      </c>
      <c r="I2518" s="212" t="s">
        <v>2354</v>
      </c>
    </row>
    <row r="2519" spans="1:9" x14ac:dyDescent="0.25">
      <c r="A2519" s="193" t="s">
        <v>220</v>
      </c>
      <c r="B2519" s="193" t="s">
        <v>2351</v>
      </c>
      <c r="C2519" s="214" t="s">
        <v>5270</v>
      </c>
      <c r="D2519" s="193" t="s">
        <v>5271</v>
      </c>
      <c r="E2519" s="212" t="s">
        <v>535</v>
      </c>
      <c r="F2519" s="215">
        <v>1</v>
      </c>
      <c r="G2519" s="194">
        <v>59.975999999999999</v>
      </c>
      <c r="H2519" s="195">
        <f t="shared" si="39"/>
        <v>59.975999999999999</v>
      </c>
      <c r="I2519" s="212" t="s">
        <v>2354</v>
      </c>
    </row>
    <row r="2520" spans="1:9" x14ac:dyDescent="0.25">
      <c r="A2520" s="193" t="s">
        <v>220</v>
      </c>
      <c r="B2520" s="193" t="s">
        <v>2351</v>
      </c>
      <c r="C2520" s="214" t="s">
        <v>5272</v>
      </c>
      <c r="D2520" s="193" t="s">
        <v>5273</v>
      </c>
      <c r="E2520" s="212" t="s">
        <v>545</v>
      </c>
      <c r="F2520" s="215">
        <v>2</v>
      </c>
      <c r="G2520" s="194">
        <v>1.619</v>
      </c>
      <c r="H2520" s="195">
        <f t="shared" si="39"/>
        <v>3.238</v>
      </c>
      <c r="I2520" s="212" t="s">
        <v>2354</v>
      </c>
    </row>
    <row r="2521" spans="1:9" x14ac:dyDescent="0.25">
      <c r="A2521" s="193" t="s">
        <v>220</v>
      </c>
      <c r="B2521" s="193" t="s">
        <v>2351</v>
      </c>
      <c r="C2521" s="214" t="s">
        <v>5274</v>
      </c>
      <c r="D2521" s="193" t="s">
        <v>5275</v>
      </c>
      <c r="E2521" s="212" t="s">
        <v>545</v>
      </c>
      <c r="F2521" s="215">
        <v>4</v>
      </c>
      <c r="G2521" s="194">
        <v>7.5750000000000002</v>
      </c>
      <c r="H2521" s="195">
        <f t="shared" si="39"/>
        <v>30.3</v>
      </c>
      <c r="I2521" s="212" t="s">
        <v>2354</v>
      </c>
    </row>
    <row r="2522" spans="1:9" x14ac:dyDescent="0.25">
      <c r="A2522" s="193" t="s">
        <v>220</v>
      </c>
      <c r="B2522" s="193" t="s">
        <v>2351</v>
      </c>
      <c r="C2522" s="214" t="s">
        <v>5276</v>
      </c>
      <c r="D2522" s="193" t="s">
        <v>5277</v>
      </c>
      <c r="E2522" s="212" t="s">
        <v>545</v>
      </c>
      <c r="F2522" s="215">
        <v>3</v>
      </c>
      <c r="G2522" s="194">
        <v>6.5650000000000004</v>
      </c>
      <c r="H2522" s="195">
        <f t="shared" si="39"/>
        <v>19.695</v>
      </c>
      <c r="I2522" s="212" t="s">
        <v>2354</v>
      </c>
    </row>
    <row r="2523" spans="1:9" x14ac:dyDescent="0.25">
      <c r="A2523" s="193" t="s">
        <v>220</v>
      </c>
      <c r="B2523" s="193" t="s">
        <v>2351</v>
      </c>
      <c r="C2523" s="214" t="s">
        <v>5278</v>
      </c>
      <c r="D2523" s="193" t="s">
        <v>5279</v>
      </c>
      <c r="E2523" s="212" t="s">
        <v>545</v>
      </c>
      <c r="F2523" s="215">
        <v>25</v>
      </c>
      <c r="G2523" s="194">
        <v>7.7345831325301209</v>
      </c>
      <c r="H2523" s="195">
        <f t="shared" si="39"/>
        <v>193.36457831325302</v>
      </c>
      <c r="I2523" s="212" t="s">
        <v>2354</v>
      </c>
    </row>
    <row r="2524" spans="1:9" x14ac:dyDescent="0.25">
      <c r="A2524" s="193" t="s">
        <v>220</v>
      </c>
      <c r="B2524" s="193" t="s">
        <v>2351</v>
      </c>
      <c r="C2524" s="214" t="s">
        <v>5280</v>
      </c>
      <c r="D2524" s="193" t="s">
        <v>5281</v>
      </c>
      <c r="E2524" s="212" t="s">
        <v>545</v>
      </c>
      <c r="F2524" s="215">
        <v>20</v>
      </c>
      <c r="G2524" s="194">
        <v>7</v>
      </c>
      <c r="H2524" s="195">
        <f t="shared" si="39"/>
        <v>140</v>
      </c>
      <c r="I2524" s="212" t="s">
        <v>2354</v>
      </c>
    </row>
    <row r="2525" spans="1:9" x14ac:dyDescent="0.25">
      <c r="A2525" s="193" t="s">
        <v>220</v>
      </c>
      <c r="B2525" s="193" t="s">
        <v>2351</v>
      </c>
      <c r="C2525" s="214" t="s">
        <v>5282</v>
      </c>
      <c r="D2525" s="193" t="s">
        <v>5283</v>
      </c>
      <c r="E2525" s="212" t="s">
        <v>545</v>
      </c>
      <c r="F2525" s="215">
        <v>2</v>
      </c>
      <c r="G2525" s="194">
        <v>35.293999999999997</v>
      </c>
      <c r="H2525" s="195">
        <f t="shared" si="39"/>
        <v>70.587999999999994</v>
      </c>
      <c r="I2525" s="212" t="s">
        <v>2354</v>
      </c>
    </row>
    <row r="2526" spans="1:9" x14ac:dyDescent="0.25">
      <c r="A2526" s="193" t="s">
        <v>220</v>
      </c>
      <c r="B2526" s="193" t="s">
        <v>2351</v>
      </c>
      <c r="C2526" s="214" t="s">
        <v>5284</v>
      </c>
      <c r="D2526" s="193" t="s">
        <v>5285</v>
      </c>
      <c r="E2526" s="212" t="s">
        <v>545</v>
      </c>
      <c r="F2526" s="215">
        <v>2</v>
      </c>
      <c r="G2526" s="194">
        <v>35.561700000000002</v>
      </c>
      <c r="H2526" s="195">
        <f t="shared" si="39"/>
        <v>71.123400000000004</v>
      </c>
      <c r="I2526" s="212" t="s">
        <v>2354</v>
      </c>
    </row>
    <row r="2527" spans="1:9" x14ac:dyDescent="0.25">
      <c r="A2527" s="193" t="s">
        <v>220</v>
      </c>
      <c r="B2527" s="193" t="s">
        <v>2351</v>
      </c>
      <c r="C2527" s="214" t="s">
        <v>5286</v>
      </c>
      <c r="D2527" s="193" t="s">
        <v>5287</v>
      </c>
      <c r="E2527" s="212" t="s">
        <v>545</v>
      </c>
      <c r="F2527" s="215">
        <v>0</v>
      </c>
      <c r="G2527" s="194">
        <v>9.4553999999999991</v>
      </c>
      <c r="H2527" s="195">
        <f t="shared" si="39"/>
        <v>0</v>
      </c>
      <c r="I2527" s="212" t="s">
        <v>2354</v>
      </c>
    </row>
    <row r="2528" spans="1:9" x14ac:dyDescent="0.25">
      <c r="A2528" s="193" t="s">
        <v>220</v>
      </c>
      <c r="B2528" s="193" t="s">
        <v>2351</v>
      </c>
      <c r="C2528" s="214" t="s">
        <v>5288</v>
      </c>
      <c r="D2528" s="193" t="s">
        <v>5289</v>
      </c>
      <c r="E2528" s="212" t="s">
        <v>535</v>
      </c>
      <c r="F2528" s="215">
        <v>2</v>
      </c>
      <c r="G2528" s="194">
        <v>8.1310333333333329</v>
      </c>
      <c r="H2528" s="195">
        <f t="shared" si="39"/>
        <v>16.262066666666666</v>
      </c>
      <c r="I2528" s="212" t="s">
        <v>2354</v>
      </c>
    </row>
    <row r="2529" spans="1:9" x14ac:dyDescent="0.25">
      <c r="A2529" s="193" t="s">
        <v>220</v>
      </c>
      <c r="B2529" s="193" t="s">
        <v>2351</v>
      </c>
      <c r="C2529" s="214" t="s">
        <v>5290</v>
      </c>
      <c r="D2529" s="193" t="s">
        <v>5291</v>
      </c>
      <c r="E2529" s="212" t="s">
        <v>545</v>
      </c>
      <c r="F2529" s="215">
        <v>1</v>
      </c>
      <c r="G2529" s="194">
        <v>9.8927999999999994</v>
      </c>
      <c r="H2529" s="195">
        <f t="shared" si="39"/>
        <v>9.8927999999999994</v>
      </c>
      <c r="I2529" s="212" t="s">
        <v>2354</v>
      </c>
    </row>
    <row r="2530" spans="1:9" x14ac:dyDescent="0.25">
      <c r="A2530" s="193" t="s">
        <v>220</v>
      </c>
      <c r="B2530" s="193" t="s">
        <v>2351</v>
      </c>
      <c r="C2530" s="214" t="s">
        <v>5292</v>
      </c>
      <c r="D2530" s="193" t="s">
        <v>5293</v>
      </c>
      <c r="E2530" s="212" t="s">
        <v>545</v>
      </c>
      <c r="F2530" s="215">
        <v>2</v>
      </c>
      <c r="G2530" s="194">
        <v>204.1592</v>
      </c>
      <c r="H2530" s="195">
        <f t="shared" si="39"/>
        <v>408.3184</v>
      </c>
      <c r="I2530" s="212" t="s">
        <v>2354</v>
      </c>
    </row>
    <row r="2531" spans="1:9" x14ac:dyDescent="0.25">
      <c r="A2531" s="193" t="s">
        <v>220</v>
      </c>
      <c r="B2531" s="193" t="s">
        <v>2351</v>
      </c>
      <c r="C2531" s="214" t="s">
        <v>5294</v>
      </c>
      <c r="D2531" s="193" t="s">
        <v>5295</v>
      </c>
      <c r="E2531" s="212" t="s">
        <v>545</v>
      </c>
      <c r="F2531" s="215">
        <v>1</v>
      </c>
      <c r="G2531" s="194">
        <v>10.160780000000001</v>
      </c>
      <c r="H2531" s="195">
        <f t="shared" si="39"/>
        <v>10.160780000000001</v>
      </c>
      <c r="I2531" s="212" t="s">
        <v>2354</v>
      </c>
    </row>
    <row r="2532" spans="1:9" x14ac:dyDescent="0.25">
      <c r="A2532" s="193" t="s">
        <v>220</v>
      </c>
      <c r="B2532" s="193" t="s">
        <v>2351</v>
      </c>
      <c r="C2532" s="214" t="s">
        <v>5296</v>
      </c>
      <c r="D2532" s="193" t="s">
        <v>2392</v>
      </c>
      <c r="E2532" s="212" t="s">
        <v>545</v>
      </c>
      <c r="F2532" s="215">
        <v>2</v>
      </c>
      <c r="G2532" s="194">
        <v>0.59940000000000004</v>
      </c>
      <c r="H2532" s="195">
        <f t="shared" si="39"/>
        <v>1.1988000000000001</v>
      </c>
      <c r="I2532" s="212" t="s">
        <v>2354</v>
      </c>
    </row>
    <row r="2533" spans="1:9" x14ac:dyDescent="0.25">
      <c r="A2533" s="193" t="s">
        <v>220</v>
      </c>
      <c r="B2533" s="193" t="s">
        <v>2351</v>
      </c>
      <c r="C2533" s="214" t="s">
        <v>5297</v>
      </c>
      <c r="D2533" s="193" t="s">
        <v>5298</v>
      </c>
      <c r="E2533" s="212" t="s">
        <v>545</v>
      </c>
      <c r="F2533" s="215">
        <v>4</v>
      </c>
      <c r="G2533" s="194">
        <v>1.5021</v>
      </c>
      <c r="H2533" s="195">
        <f t="shared" si="39"/>
        <v>6.0084</v>
      </c>
      <c r="I2533" s="212" t="s">
        <v>2354</v>
      </c>
    </row>
    <row r="2534" spans="1:9" x14ac:dyDescent="0.25">
      <c r="A2534" s="193" t="s">
        <v>220</v>
      </c>
      <c r="B2534" s="193" t="s">
        <v>2351</v>
      </c>
      <c r="C2534" s="214" t="s">
        <v>5299</v>
      </c>
      <c r="D2534" s="193" t="s">
        <v>2394</v>
      </c>
      <c r="E2534" s="212" t="s">
        <v>545</v>
      </c>
      <c r="F2534" s="215">
        <v>0</v>
      </c>
      <c r="G2534" s="194">
        <v>1.8917999999999999</v>
      </c>
      <c r="H2534" s="195">
        <f t="shared" si="39"/>
        <v>0</v>
      </c>
      <c r="I2534" s="212" t="s">
        <v>2354</v>
      </c>
    </row>
    <row r="2535" spans="1:9" x14ac:dyDescent="0.25">
      <c r="A2535" s="193" t="s">
        <v>220</v>
      </c>
      <c r="B2535" s="193" t="s">
        <v>2351</v>
      </c>
      <c r="C2535" s="214" t="s">
        <v>5300</v>
      </c>
      <c r="D2535" s="193" t="s">
        <v>2393</v>
      </c>
      <c r="E2535" s="212" t="s">
        <v>545</v>
      </c>
      <c r="F2535" s="215">
        <v>2</v>
      </c>
      <c r="G2535" s="194">
        <v>2.7349999999999999</v>
      </c>
      <c r="H2535" s="195">
        <f t="shared" si="39"/>
        <v>5.47</v>
      </c>
      <c r="I2535" s="212" t="s">
        <v>2354</v>
      </c>
    </row>
    <row r="2536" spans="1:9" x14ac:dyDescent="0.25">
      <c r="A2536" s="193" t="s">
        <v>220</v>
      </c>
      <c r="B2536" s="193" t="s">
        <v>2351</v>
      </c>
      <c r="C2536" s="214" t="s">
        <v>5301</v>
      </c>
      <c r="D2536" s="193" t="s">
        <v>5302</v>
      </c>
      <c r="E2536" s="212" t="s">
        <v>545</v>
      </c>
      <c r="F2536" s="213">
        <v>3</v>
      </c>
      <c r="G2536" s="194">
        <v>8.7498000000000005</v>
      </c>
      <c r="H2536" s="195">
        <f t="shared" si="39"/>
        <v>26.249400000000001</v>
      </c>
      <c r="I2536" s="212" t="s">
        <v>2354</v>
      </c>
    </row>
    <row r="2537" spans="1:9" x14ac:dyDescent="0.25">
      <c r="A2537" s="193" t="s">
        <v>220</v>
      </c>
      <c r="B2537" s="193" t="s">
        <v>2351</v>
      </c>
      <c r="C2537" s="214" t="s">
        <v>5303</v>
      </c>
      <c r="D2537" s="193" t="s">
        <v>5304</v>
      </c>
      <c r="E2537" s="212" t="s">
        <v>545</v>
      </c>
      <c r="F2537" s="215">
        <v>2</v>
      </c>
      <c r="G2537" s="194">
        <v>429.23430000000002</v>
      </c>
      <c r="H2537" s="195">
        <f t="shared" si="39"/>
        <v>858.46860000000004</v>
      </c>
      <c r="I2537" s="212" t="s">
        <v>2354</v>
      </c>
    </row>
    <row r="2538" spans="1:9" x14ac:dyDescent="0.25">
      <c r="A2538" s="193" t="s">
        <v>220</v>
      </c>
      <c r="B2538" s="193" t="s">
        <v>2351</v>
      </c>
      <c r="C2538" s="214" t="s">
        <v>5305</v>
      </c>
      <c r="D2538" s="193" t="s">
        <v>5306</v>
      </c>
      <c r="E2538" s="212" t="s">
        <v>545</v>
      </c>
      <c r="F2538" s="215">
        <v>1</v>
      </c>
      <c r="G2538" s="194">
        <v>529.20000000000005</v>
      </c>
      <c r="H2538" s="195">
        <f t="shared" si="39"/>
        <v>529.20000000000005</v>
      </c>
      <c r="I2538" s="212" t="s">
        <v>2354</v>
      </c>
    </row>
    <row r="2539" spans="1:9" x14ac:dyDescent="0.25">
      <c r="A2539" s="193" t="s">
        <v>220</v>
      </c>
      <c r="B2539" s="193" t="s">
        <v>2351</v>
      </c>
      <c r="C2539" s="214" t="s">
        <v>5307</v>
      </c>
      <c r="D2539" s="193" t="s">
        <v>5308</v>
      </c>
      <c r="E2539" s="212" t="s">
        <v>545</v>
      </c>
      <c r="F2539" s="215">
        <v>1</v>
      </c>
      <c r="G2539" s="194">
        <v>38.48715</v>
      </c>
      <c r="H2539" s="195">
        <f t="shared" si="39"/>
        <v>38.48715</v>
      </c>
      <c r="I2539" s="212" t="s">
        <v>2354</v>
      </c>
    </row>
    <row r="2540" spans="1:9" x14ac:dyDescent="0.25">
      <c r="A2540" s="193" t="s">
        <v>220</v>
      </c>
      <c r="B2540" s="193" t="s">
        <v>2351</v>
      </c>
      <c r="C2540" s="214" t="s">
        <v>5309</v>
      </c>
      <c r="D2540" s="193" t="s">
        <v>5310</v>
      </c>
      <c r="E2540" s="212" t="s">
        <v>545</v>
      </c>
      <c r="F2540" s="215">
        <v>1</v>
      </c>
      <c r="G2540" s="194">
        <v>0</v>
      </c>
      <c r="H2540" s="195">
        <f t="shared" si="39"/>
        <v>0</v>
      </c>
      <c r="I2540" s="212" t="s">
        <v>2354</v>
      </c>
    </row>
    <row r="2541" spans="1:9" x14ac:dyDescent="0.25">
      <c r="A2541" s="193" t="s">
        <v>220</v>
      </c>
      <c r="B2541" s="193" t="s">
        <v>2351</v>
      </c>
      <c r="C2541" s="214" t="s">
        <v>5311</v>
      </c>
      <c r="D2541" s="193" t="s">
        <v>5312</v>
      </c>
      <c r="E2541" s="212" t="s">
        <v>545</v>
      </c>
      <c r="F2541" s="215">
        <v>1</v>
      </c>
      <c r="G2541" s="194">
        <v>0</v>
      </c>
      <c r="H2541" s="195">
        <f t="shared" si="39"/>
        <v>0</v>
      </c>
      <c r="I2541" s="212" t="s">
        <v>2354</v>
      </c>
    </row>
    <row r="2542" spans="1:9" x14ac:dyDescent="0.25">
      <c r="A2542" s="193" t="s">
        <v>220</v>
      </c>
      <c r="B2542" s="193" t="s">
        <v>2351</v>
      </c>
      <c r="C2542" s="214" t="s">
        <v>3127</v>
      </c>
      <c r="D2542" s="193" t="s">
        <v>5313</v>
      </c>
      <c r="E2542" s="212" t="s">
        <v>545</v>
      </c>
      <c r="F2542" s="215">
        <v>2</v>
      </c>
      <c r="G2542" s="194">
        <v>311.39800000000002</v>
      </c>
      <c r="H2542" s="195">
        <f t="shared" si="39"/>
        <v>622.79600000000005</v>
      </c>
      <c r="I2542" s="212" t="s">
        <v>2354</v>
      </c>
    </row>
    <row r="2543" spans="1:9" x14ac:dyDescent="0.25">
      <c r="A2543" s="193" t="s">
        <v>220</v>
      </c>
      <c r="B2543" s="193" t="s">
        <v>2351</v>
      </c>
      <c r="C2543" s="214"/>
      <c r="D2543" s="193" t="s">
        <v>5314</v>
      </c>
      <c r="E2543" s="212" t="s">
        <v>545</v>
      </c>
      <c r="F2543" s="215">
        <v>5</v>
      </c>
      <c r="G2543" s="194">
        <v>0</v>
      </c>
      <c r="H2543" s="195">
        <f t="shared" si="39"/>
        <v>0</v>
      </c>
      <c r="I2543" s="212" t="s">
        <v>2354</v>
      </c>
    </row>
    <row r="2544" spans="1:9" x14ac:dyDescent="0.25">
      <c r="A2544" s="193" t="s">
        <v>220</v>
      </c>
      <c r="B2544" s="193" t="s">
        <v>2351</v>
      </c>
      <c r="C2544" s="214" t="s">
        <v>5315</v>
      </c>
      <c r="D2544" s="193" t="s">
        <v>5316</v>
      </c>
      <c r="E2544" s="212" t="s">
        <v>545</v>
      </c>
      <c r="F2544" s="215">
        <v>6</v>
      </c>
      <c r="G2544" s="194">
        <v>102.55249999999999</v>
      </c>
      <c r="H2544" s="195">
        <f t="shared" si="39"/>
        <v>615.31499999999994</v>
      </c>
      <c r="I2544" s="212" t="s">
        <v>2354</v>
      </c>
    </row>
    <row r="2545" spans="1:9" x14ac:dyDescent="0.25">
      <c r="A2545" s="193" t="s">
        <v>220</v>
      </c>
      <c r="B2545" s="193" t="s">
        <v>2351</v>
      </c>
      <c r="C2545" s="214" t="s">
        <v>5317</v>
      </c>
      <c r="D2545" s="193" t="s">
        <v>5318</v>
      </c>
      <c r="E2545" s="212" t="s">
        <v>545</v>
      </c>
      <c r="F2545" s="215">
        <v>1</v>
      </c>
      <c r="G2545" s="194">
        <v>0</v>
      </c>
      <c r="H2545" s="195">
        <f t="shared" si="39"/>
        <v>0</v>
      </c>
      <c r="I2545" s="212" t="s">
        <v>2354</v>
      </c>
    </row>
    <row r="2546" spans="1:9" x14ac:dyDescent="0.25">
      <c r="A2546" s="193" t="s">
        <v>220</v>
      </c>
      <c r="B2546" s="193" t="s">
        <v>2351</v>
      </c>
      <c r="C2546" s="214" t="s">
        <v>5319</v>
      </c>
      <c r="D2546" s="193" t="s">
        <v>5320</v>
      </c>
      <c r="E2546" s="212" t="s">
        <v>545</v>
      </c>
      <c r="F2546" s="215">
        <v>2</v>
      </c>
      <c r="G2546" s="194">
        <v>0</v>
      </c>
      <c r="H2546" s="195">
        <f t="shared" si="39"/>
        <v>0</v>
      </c>
      <c r="I2546" s="212" t="s">
        <v>2354</v>
      </c>
    </row>
    <row r="2547" spans="1:9" x14ac:dyDescent="0.25">
      <c r="A2547" s="193" t="s">
        <v>220</v>
      </c>
      <c r="B2547" s="193" t="s">
        <v>2351</v>
      </c>
      <c r="C2547" s="214" t="s">
        <v>5321</v>
      </c>
      <c r="D2547" s="193" t="s">
        <v>5322</v>
      </c>
      <c r="E2547" s="212" t="s">
        <v>545</v>
      </c>
      <c r="F2547" s="215">
        <v>1</v>
      </c>
      <c r="G2547" s="194">
        <v>0</v>
      </c>
      <c r="H2547" s="195">
        <f t="shared" si="39"/>
        <v>0</v>
      </c>
      <c r="I2547" s="212" t="s">
        <v>2354</v>
      </c>
    </row>
    <row r="2548" spans="1:9" x14ac:dyDescent="0.25">
      <c r="A2548" s="193" t="s">
        <v>220</v>
      </c>
      <c r="B2548" s="193" t="s">
        <v>2351</v>
      </c>
      <c r="C2548" s="214" t="s">
        <v>5323</v>
      </c>
      <c r="D2548" s="193" t="s">
        <v>5324</v>
      </c>
      <c r="E2548" s="212" t="s">
        <v>545</v>
      </c>
      <c r="F2548" s="215">
        <v>2</v>
      </c>
      <c r="G2548" s="194">
        <v>0</v>
      </c>
      <c r="H2548" s="195">
        <f t="shared" si="39"/>
        <v>0</v>
      </c>
      <c r="I2548" s="212" t="s">
        <v>2354</v>
      </c>
    </row>
    <row r="2549" spans="1:9" x14ac:dyDescent="0.25">
      <c r="A2549" s="193" t="s">
        <v>220</v>
      </c>
      <c r="B2549" s="193" t="s">
        <v>2351</v>
      </c>
      <c r="C2549" s="214" t="s">
        <v>5325</v>
      </c>
      <c r="D2549" s="193" t="s">
        <v>5326</v>
      </c>
      <c r="E2549" s="212" t="s">
        <v>545</v>
      </c>
      <c r="F2549" s="215">
        <v>4</v>
      </c>
      <c r="G2549" s="194">
        <v>0</v>
      </c>
      <c r="H2549" s="195">
        <f t="shared" si="39"/>
        <v>0</v>
      </c>
      <c r="I2549" s="212" t="s">
        <v>2354</v>
      </c>
    </row>
    <row r="2550" spans="1:9" x14ac:dyDescent="0.25">
      <c r="A2550" s="193" t="s">
        <v>220</v>
      </c>
      <c r="B2550" s="193" t="s">
        <v>2351</v>
      </c>
      <c r="C2550" s="214" t="s">
        <v>5327</v>
      </c>
      <c r="D2550" s="193" t="s">
        <v>5328</v>
      </c>
      <c r="E2550" s="212" t="s">
        <v>545</v>
      </c>
      <c r="F2550" s="215">
        <v>3</v>
      </c>
      <c r="G2550" s="194">
        <v>0</v>
      </c>
      <c r="H2550" s="195">
        <f t="shared" si="39"/>
        <v>0</v>
      </c>
      <c r="I2550" s="212" t="s">
        <v>2354</v>
      </c>
    </row>
    <row r="2551" spans="1:9" x14ac:dyDescent="0.25">
      <c r="A2551" s="193" t="s">
        <v>220</v>
      </c>
      <c r="B2551" s="193" t="s">
        <v>2351</v>
      </c>
      <c r="C2551" s="214" t="s">
        <v>5329</v>
      </c>
      <c r="D2551" s="193" t="s">
        <v>5330</v>
      </c>
      <c r="E2551" s="212" t="s">
        <v>545</v>
      </c>
      <c r="F2551" s="215">
        <v>20</v>
      </c>
      <c r="G2551" s="194">
        <v>0</v>
      </c>
      <c r="H2551" s="195">
        <f t="shared" si="39"/>
        <v>0</v>
      </c>
      <c r="I2551" s="212" t="s">
        <v>2354</v>
      </c>
    </row>
    <row r="2552" spans="1:9" x14ac:dyDescent="0.25">
      <c r="A2552" s="193" t="s">
        <v>220</v>
      </c>
      <c r="B2552" s="193" t="s">
        <v>2351</v>
      </c>
      <c r="C2552" s="214" t="s">
        <v>4079</v>
      </c>
      <c r="D2552" s="193" t="s">
        <v>5331</v>
      </c>
      <c r="E2552" s="212" t="s">
        <v>545</v>
      </c>
      <c r="F2552" s="215">
        <v>20</v>
      </c>
      <c r="G2552" s="194">
        <v>87.93</v>
      </c>
      <c r="H2552" s="195">
        <f t="shared" si="39"/>
        <v>1758.6000000000001</v>
      </c>
      <c r="I2552" s="212" t="s">
        <v>2354</v>
      </c>
    </row>
    <row r="2553" spans="1:9" x14ac:dyDescent="0.25">
      <c r="A2553" s="193" t="s">
        <v>220</v>
      </c>
      <c r="B2553" s="193" t="s">
        <v>2351</v>
      </c>
      <c r="C2553" s="214" t="s">
        <v>5332</v>
      </c>
      <c r="D2553" s="193" t="s">
        <v>5333</v>
      </c>
      <c r="E2553" s="212" t="s">
        <v>545</v>
      </c>
      <c r="F2553" s="215">
        <v>3</v>
      </c>
      <c r="G2553" s="194">
        <v>0</v>
      </c>
      <c r="H2553" s="195">
        <f t="shared" si="39"/>
        <v>0</v>
      </c>
      <c r="I2553" s="212" t="s">
        <v>2354</v>
      </c>
    </row>
    <row r="2554" spans="1:9" x14ac:dyDescent="0.25">
      <c r="A2554" s="193" t="s">
        <v>220</v>
      </c>
      <c r="B2554" s="193" t="s">
        <v>2351</v>
      </c>
      <c r="C2554" s="214" t="s">
        <v>3243</v>
      </c>
      <c r="D2554" s="193" t="s">
        <v>5334</v>
      </c>
      <c r="E2554" s="212" t="s">
        <v>545</v>
      </c>
      <c r="F2554" s="215">
        <v>2</v>
      </c>
      <c r="G2554" s="194">
        <v>38.771999999999998</v>
      </c>
      <c r="H2554" s="195">
        <f t="shared" si="39"/>
        <v>77.543999999999997</v>
      </c>
      <c r="I2554" s="212" t="s">
        <v>2354</v>
      </c>
    </row>
    <row r="2555" spans="1:9" x14ac:dyDescent="0.25">
      <c r="A2555" s="193" t="s">
        <v>220</v>
      </c>
      <c r="B2555" s="193" t="s">
        <v>2351</v>
      </c>
      <c r="C2555" s="214" t="s">
        <v>5335</v>
      </c>
      <c r="D2555" s="193" t="s">
        <v>5336</v>
      </c>
      <c r="E2555" s="212" t="s">
        <v>545</v>
      </c>
      <c r="F2555" s="215">
        <v>2</v>
      </c>
      <c r="G2555" s="194">
        <v>0</v>
      </c>
      <c r="H2555" s="195">
        <f t="shared" si="39"/>
        <v>0</v>
      </c>
      <c r="I2555" s="212" t="s">
        <v>2354</v>
      </c>
    </row>
    <row r="2556" spans="1:9" x14ac:dyDescent="0.25">
      <c r="A2556" s="193" t="s">
        <v>220</v>
      </c>
      <c r="B2556" s="193" t="s">
        <v>2351</v>
      </c>
      <c r="C2556" s="214" t="s">
        <v>5337</v>
      </c>
      <c r="D2556" s="193" t="s">
        <v>5338</v>
      </c>
      <c r="E2556" s="212" t="s">
        <v>545</v>
      </c>
      <c r="F2556" s="215">
        <v>6</v>
      </c>
      <c r="G2556" s="194">
        <v>2.75</v>
      </c>
      <c r="H2556" s="195">
        <f t="shared" si="39"/>
        <v>16.5</v>
      </c>
      <c r="I2556" s="212" t="s">
        <v>2354</v>
      </c>
    </row>
    <row r="2557" spans="1:9" x14ac:dyDescent="0.25">
      <c r="A2557" s="193" t="s">
        <v>220</v>
      </c>
      <c r="B2557" s="193" t="s">
        <v>2351</v>
      </c>
      <c r="C2557" s="214" t="s">
        <v>5339</v>
      </c>
      <c r="D2557" s="193" t="s">
        <v>5340</v>
      </c>
      <c r="E2557" s="212" t="s">
        <v>545</v>
      </c>
      <c r="F2557" s="215">
        <v>2</v>
      </c>
      <c r="G2557" s="194">
        <v>1.464</v>
      </c>
      <c r="H2557" s="195">
        <f t="shared" si="39"/>
        <v>2.9279999999999999</v>
      </c>
      <c r="I2557" s="212" t="s">
        <v>2354</v>
      </c>
    </row>
    <row r="2558" spans="1:9" x14ac:dyDescent="0.25">
      <c r="A2558" s="193" t="s">
        <v>220</v>
      </c>
      <c r="B2558" s="193" t="s">
        <v>2351</v>
      </c>
      <c r="C2558" s="214" t="s">
        <v>5341</v>
      </c>
      <c r="D2558" s="193" t="s">
        <v>5342</v>
      </c>
      <c r="E2558" s="212" t="s">
        <v>545</v>
      </c>
      <c r="F2558" s="215">
        <v>7</v>
      </c>
      <c r="G2558" s="194">
        <v>0</v>
      </c>
      <c r="H2558" s="195">
        <f t="shared" si="39"/>
        <v>0</v>
      </c>
      <c r="I2558" s="212" t="s">
        <v>2354</v>
      </c>
    </row>
    <row r="2559" spans="1:9" x14ac:dyDescent="0.25">
      <c r="A2559" s="193" t="s">
        <v>220</v>
      </c>
      <c r="B2559" s="193" t="s">
        <v>2351</v>
      </c>
      <c r="C2559" s="214" t="s">
        <v>5343</v>
      </c>
      <c r="D2559" s="193" t="s">
        <v>5344</v>
      </c>
      <c r="E2559" s="212" t="s">
        <v>545</v>
      </c>
      <c r="F2559" s="215">
        <v>1</v>
      </c>
      <c r="G2559" s="194">
        <v>25.4711</v>
      </c>
      <c r="H2559" s="195">
        <f t="shared" si="39"/>
        <v>25.4711</v>
      </c>
      <c r="I2559" s="212" t="s">
        <v>2354</v>
      </c>
    </row>
    <row r="2560" spans="1:9" x14ac:dyDescent="0.25">
      <c r="A2560" s="193" t="s">
        <v>220</v>
      </c>
      <c r="B2560" s="193" t="s">
        <v>2351</v>
      </c>
      <c r="C2560" s="214" t="s">
        <v>5345</v>
      </c>
      <c r="D2560" s="193" t="s">
        <v>5346</v>
      </c>
      <c r="E2560" s="212" t="s">
        <v>545</v>
      </c>
      <c r="F2560" s="215">
        <v>4</v>
      </c>
      <c r="G2560" s="194">
        <v>1.2050000000000001</v>
      </c>
      <c r="H2560" s="195">
        <f t="shared" si="39"/>
        <v>4.82</v>
      </c>
      <c r="I2560" s="212" t="s">
        <v>2354</v>
      </c>
    </row>
    <row r="2561" spans="1:9" x14ac:dyDescent="0.25">
      <c r="A2561" s="193" t="s">
        <v>220</v>
      </c>
      <c r="B2561" s="193" t="s">
        <v>2351</v>
      </c>
      <c r="C2561" s="214" t="s">
        <v>3725</v>
      </c>
      <c r="D2561" s="193" t="s">
        <v>5347</v>
      </c>
      <c r="E2561" s="212" t="s">
        <v>545</v>
      </c>
      <c r="F2561" s="215">
        <v>1</v>
      </c>
      <c r="G2561" s="194">
        <v>8.9250000000000007</v>
      </c>
      <c r="H2561" s="195">
        <f t="shared" si="39"/>
        <v>8.9250000000000007</v>
      </c>
      <c r="I2561" s="212" t="s">
        <v>2354</v>
      </c>
    </row>
    <row r="2562" spans="1:9" x14ac:dyDescent="0.25">
      <c r="A2562" s="193" t="s">
        <v>220</v>
      </c>
      <c r="B2562" s="193" t="s">
        <v>2351</v>
      </c>
      <c r="C2562" s="214" t="s">
        <v>5348</v>
      </c>
      <c r="D2562" s="193" t="s">
        <v>5349</v>
      </c>
      <c r="E2562" s="212" t="s">
        <v>545</v>
      </c>
      <c r="F2562" s="215">
        <v>2</v>
      </c>
      <c r="G2562" s="194">
        <v>0</v>
      </c>
      <c r="H2562" s="195">
        <f t="shared" si="39"/>
        <v>0</v>
      </c>
      <c r="I2562" s="212" t="s">
        <v>2354</v>
      </c>
    </row>
    <row r="2563" spans="1:9" x14ac:dyDescent="0.25">
      <c r="A2563" s="193" t="s">
        <v>220</v>
      </c>
      <c r="B2563" s="193" t="s">
        <v>2351</v>
      </c>
      <c r="C2563" s="214" t="s">
        <v>5350</v>
      </c>
      <c r="D2563" s="193" t="s">
        <v>5351</v>
      </c>
      <c r="E2563" s="212" t="s">
        <v>545</v>
      </c>
      <c r="F2563" s="215">
        <v>2</v>
      </c>
      <c r="G2563" s="194">
        <v>0</v>
      </c>
      <c r="H2563" s="195">
        <f t="shared" si="39"/>
        <v>0</v>
      </c>
      <c r="I2563" s="212" t="s">
        <v>2354</v>
      </c>
    </row>
    <row r="2564" spans="1:9" x14ac:dyDescent="0.25">
      <c r="A2564" s="193" t="s">
        <v>220</v>
      </c>
      <c r="B2564" s="193" t="s">
        <v>2351</v>
      </c>
      <c r="C2564" s="214" t="s">
        <v>5352</v>
      </c>
      <c r="D2564" s="193" t="s">
        <v>5353</v>
      </c>
      <c r="E2564" s="212" t="s">
        <v>545</v>
      </c>
      <c r="F2564" s="215">
        <v>2</v>
      </c>
      <c r="G2564" s="194">
        <v>0</v>
      </c>
      <c r="H2564" s="195">
        <f t="shared" si="39"/>
        <v>0</v>
      </c>
      <c r="I2564" s="212" t="s">
        <v>2354</v>
      </c>
    </row>
    <row r="2565" spans="1:9" x14ac:dyDescent="0.25">
      <c r="A2565" s="193" t="s">
        <v>220</v>
      </c>
      <c r="B2565" s="193" t="s">
        <v>2351</v>
      </c>
      <c r="C2565" s="214" t="s">
        <v>3491</v>
      </c>
      <c r="D2565" s="193" t="s">
        <v>5354</v>
      </c>
      <c r="E2565" s="212" t="s">
        <v>545</v>
      </c>
      <c r="F2565" s="215">
        <v>3</v>
      </c>
      <c r="G2565" s="194">
        <v>11.490237762237765</v>
      </c>
      <c r="H2565" s="195">
        <f t="shared" ref="H2565:H2628" si="40">+F2565*G2565</f>
        <v>34.470713286713291</v>
      </c>
      <c r="I2565" s="212" t="s">
        <v>2354</v>
      </c>
    </row>
    <row r="2566" spans="1:9" x14ac:dyDescent="0.25">
      <c r="A2566" s="193" t="s">
        <v>220</v>
      </c>
      <c r="B2566" s="193" t="s">
        <v>2351</v>
      </c>
      <c r="C2566" s="214"/>
      <c r="D2566" s="193" t="s">
        <v>5355</v>
      </c>
      <c r="E2566" s="212" t="s">
        <v>545</v>
      </c>
      <c r="F2566" s="215">
        <v>1</v>
      </c>
      <c r="G2566" s="194">
        <v>0</v>
      </c>
      <c r="H2566" s="195">
        <f t="shared" si="40"/>
        <v>0</v>
      </c>
      <c r="I2566" s="212" t="s">
        <v>2354</v>
      </c>
    </row>
    <row r="2567" spans="1:9" x14ac:dyDescent="0.25">
      <c r="A2567" s="193" t="s">
        <v>220</v>
      </c>
      <c r="B2567" s="193" t="s">
        <v>2351</v>
      </c>
      <c r="C2567" s="214" t="s">
        <v>5356</v>
      </c>
      <c r="D2567" s="193" t="s">
        <v>5357</v>
      </c>
      <c r="E2567" s="212" t="s">
        <v>545</v>
      </c>
      <c r="F2567" s="213">
        <v>1</v>
      </c>
      <c r="G2567" s="194">
        <v>7.7145999999999999</v>
      </c>
      <c r="H2567" s="195">
        <f t="shared" si="40"/>
        <v>7.7145999999999999</v>
      </c>
      <c r="I2567" s="212" t="s">
        <v>2354</v>
      </c>
    </row>
    <row r="2568" spans="1:9" x14ac:dyDescent="0.25">
      <c r="A2568" s="193" t="s">
        <v>220</v>
      </c>
      <c r="B2568" s="193" t="s">
        <v>2351</v>
      </c>
      <c r="C2568" s="214" t="s">
        <v>5358</v>
      </c>
      <c r="D2568" s="193" t="s">
        <v>5359</v>
      </c>
      <c r="E2568" s="212" t="s">
        <v>545</v>
      </c>
      <c r="F2568" s="215">
        <v>2</v>
      </c>
      <c r="G2568" s="194">
        <v>0</v>
      </c>
      <c r="H2568" s="195">
        <f t="shared" si="40"/>
        <v>0</v>
      </c>
      <c r="I2568" s="212" t="s">
        <v>2354</v>
      </c>
    </row>
    <row r="2569" spans="1:9" x14ac:dyDescent="0.25">
      <c r="A2569" s="193" t="s">
        <v>220</v>
      </c>
      <c r="B2569" s="193" t="s">
        <v>2351</v>
      </c>
      <c r="C2569" s="214" t="s">
        <v>5360</v>
      </c>
      <c r="D2569" s="193" t="s">
        <v>5361</v>
      </c>
      <c r="E2569" s="212" t="s">
        <v>545</v>
      </c>
      <c r="F2569" s="215">
        <v>5</v>
      </c>
      <c r="G2569" s="194">
        <v>0</v>
      </c>
      <c r="H2569" s="195">
        <f t="shared" si="40"/>
        <v>0</v>
      </c>
      <c r="I2569" s="212" t="s">
        <v>2354</v>
      </c>
    </row>
    <row r="2570" spans="1:9" x14ac:dyDescent="0.25">
      <c r="A2570" s="193" t="s">
        <v>220</v>
      </c>
      <c r="B2570" s="193" t="s">
        <v>2351</v>
      </c>
      <c r="C2570" s="214" t="s">
        <v>5362</v>
      </c>
      <c r="D2570" s="193" t="s">
        <v>5363</v>
      </c>
      <c r="E2570" s="212" t="s">
        <v>545</v>
      </c>
      <c r="F2570" s="215">
        <v>2</v>
      </c>
      <c r="G2570" s="194">
        <v>0</v>
      </c>
      <c r="H2570" s="195">
        <f t="shared" si="40"/>
        <v>0</v>
      </c>
      <c r="I2570" s="212" t="s">
        <v>2354</v>
      </c>
    </row>
    <row r="2571" spans="1:9" x14ac:dyDescent="0.25">
      <c r="A2571" s="193" t="s">
        <v>220</v>
      </c>
      <c r="B2571" s="193" t="s">
        <v>2351</v>
      </c>
      <c r="C2571" s="214" t="s">
        <v>5364</v>
      </c>
      <c r="D2571" s="193" t="s">
        <v>5365</v>
      </c>
      <c r="E2571" s="212" t="s">
        <v>545</v>
      </c>
      <c r="F2571" s="213">
        <v>1</v>
      </c>
      <c r="G2571" s="194">
        <v>0</v>
      </c>
      <c r="H2571" s="195">
        <f t="shared" si="40"/>
        <v>0</v>
      </c>
      <c r="I2571" s="212" t="s">
        <v>2354</v>
      </c>
    </row>
    <row r="2572" spans="1:9" x14ac:dyDescent="0.25">
      <c r="A2572" s="193" t="s">
        <v>220</v>
      </c>
      <c r="B2572" s="193" t="s">
        <v>2351</v>
      </c>
      <c r="C2572" s="214" t="s">
        <v>5366</v>
      </c>
      <c r="D2572" s="193" t="s">
        <v>5367</v>
      </c>
      <c r="E2572" s="212" t="s">
        <v>545</v>
      </c>
      <c r="F2572" s="215">
        <v>2</v>
      </c>
      <c r="G2572" s="194">
        <v>0</v>
      </c>
      <c r="H2572" s="195">
        <f t="shared" si="40"/>
        <v>0</v>
      </c>
      <c r="I2572" s="212" t="s">
        <v>2354</v>
      </c>
    </row>
    <row r="2573" spans="1:9" x14ac:dyDescent="0.25">
      <c r="A2573" s="193" t="s">
        <v>220</v>
      </c>
      <c r="B2573" s="193" t="s">
        <v>2351</v>
      </c>
      <c r="C2573" s="214" t="s">
        <v>5368</v>
      </c>
      <c r="D2573" s="193" t="s">
        <v>5369</v>
      </c>
      <c r="E2573" s="212" t="s">
        <v>545</v>
      </c>
      <c r="F2573" s="213">
        <v>2</v>
      </c>
      <c r="G2573" s="194">
        <v>0</v>
      </c>
      <c r="H2573" s="195">
        <f t="shared" si="40"/>
        <v>0</v>
      </c>
      <c r="I2573" s="212" t="s">
        <v>2354</v>
      </c>
    </row>
    <row r="2574" spans="1:9" x14ac:dyDescent="0.25">
      <c r="A2574" s="193" t="s">
        <v>220</v>
      </c>
      <c r="B2574" s="193" t="s">
        <v>2351</v>
      </c>
      <c r="C2574" s="193" t="s">
        <v>5370</v>
      </c>
      <c r="D2574" s="193" t="s">
        <v>5371</v>
      </c>
      <c r="E2574" s="212" t="s">
        <v>545</v>
      </c>
      <c r="F2574" s="213">
        <v>11</v>
      </c>
      <c r="G2574" s="194">
        <v>11.25</v>
      </c>
      <c r="H2574" s="195">
        <f t="shared" si="40"/>
        <v>123.75</v>
      </c>
      <c r="I2574" s="212" t="s">
        <v>2354</v>
      </c>
    </row>
    <row r="2575" spans="1:9" x14ac:dyDescent="0.25">
      <c r="A2575" s="193" t="s">
        <v>220</v>
      </c>
      <c r="B2575" s="193" t="s">
        <v>2351</v>
      </c>
      <c r="C2575" s="193" t="s">
        <v>5372</v>
      </c>
      <c r="D2575" s="193" t="s">
        <v>5373</v>
      </c>
      <c r="E2575" s="212" t="s">
        <v>545</v>
      </c>
      <c r="F2575" s="215">
        <v>40</v>
      </c>
      <c r="G2575" s="194">
        <v>0.69479999999999997</v>
      </c>
      <c r="H2575" s="195">
        <f t="shared" si="40"/>
        <v>27.791999999999998</v>
      </c>
      <c r="I2575" s="212" t="s">
        <v>2354</v>
      </c>
    </row>
    <row r="2576" spans="1:9" x14ac:dyDescent="0.25">
      <c r="A2576" s="193" t="s">
        <v>220</v>
      </c>
      <c r="B2576" s="193" t="s">
        <v>2351</v>
      </c>
      <c r="C2576" s="193" t="s">
        <v>5374</v>
      </c>
      <c r="D2576" s="193" t="s">
        <v>5375</v>
      </c>
      <c r="E2576" s="212" t="s">
        <v>545</v>
      </c>
      <c r="F2576" s="213">
        <v>222</v>
      </c>
      <c r="G2576" s="194">
        <v>2.8799999999999999E-2</v>
      </c>
      <c r="H2576" s="195">
        <f t="shared" si="40"/>
        <v>6.3936000000000002</v>
      </c>
      <c r="I2576" s="212" t="s">
        <v>2354</v>
      </c>
    </row>
    <row r="2577" spans="1:9" x14ac:dyDescent="0.25">
      <c r="A2577" s="193" t="s">
        <v>220</v>
      </c>
      <c r="B2577" s="193" t="s">
        <v>2351</v>
      </c>
      <c r="C2577" s="193" t="s">
        <v>5376</v>
      </c>
      <c r="D2577" s="193" t="s">
        <v>5377</v>
      </c>
      <c r="E2577" s="212" t="s">
        <v>2387</v>
      </c>
      <c r="F2577" s="213">
        <v>34</v>
      </c>
      <c r="G2577" s="194">
        <v>1.3653</v>
      </c>
      <c r="H2577" s="195">
        <f t="shared" si="40"/>
        <v>46.420200000000001</v>
      </c>
      <c r="I2577" s="212" t="s">
        <v>2354</v>
      </c>
    </row>
    <row r="2578" spans="1:9" x14ac:dyDescent="0.25">
      <c r="A2578" s="193" t="s">
        <v>220</v>
      </c>
      <c r="B2578" s="193" t="s">
        <v>2351</v>
      </c>
      <c r="C2578" s="193" t="s">
        <v>5378</v>
      </c>
      <c r="D2578" s="193" t="s">
        <v>5379</v>
      </c>
      <c r="E2578" s="212" t="s">
        <v>545</v>
      </c>
      <c r="F2578" s="215">
        <v>32</v>
      </c>
      <c r="G2578" s="194">
        <v>0</v>
      </c>
      <c r="H2578" s="195">
        <f t="shared" si="40"/>
        <v>0</v>
      </c>
      <c r="I2578" s="212" t="s">
        <v>2354</v>
      </c>
    </row>
    <row r="2579" spans="1:9" x14ac:dyDescent="0.25">
      <c r="A2579" s="193" t="s">
        <v>220</v>
      </c>
      <c r="B2579" s="193" t="s">
        <v>2351</v>
      </c>
      <c r="C2579" s="193" t="s">
        <v>5380</v>
      </c>
      <c r="D2579" s="193" t="s">
        <v>5381</v>
      </c>
      <c r="E2579" s="212" t="s">
        <v>545</v>
      </c>
      <c r="F2579" s="215">
        <v>1</v>
      </c>
      <c r="G2579" s="194">
        <v>0</v>
      </c>
      <c r="H2579" s="195">
        <f t="shared" si="40"/>
        <v>0</v>
      </c>
      <c r="I2579" s="212" t="s">
        <v>2354</v>
      </c>
    </row>
    <row r="2580" spans="1:9" x14ac:dyDescent="0.25">
      <c r="A2580" s="193" t="s">
        <v>220</v>
      </c>
      <c r="B2580" s="193" t="s">
        <v>2351</v>
      </c>
      <c r="C2580" s="193" t="s">
        <v>5382</v>
      </c>
      <c r="D2580" s="193" t="s">
        <v>5383</v>
      </c>
      <c r="E2580" s="212" t="s">
        <v>545</v>
      </c>
      <c r="F2580" s="215">
        <v>5</v>
      </c>
      <c r="G2580" s="194">
        <v>0.45100000000000001</v>
      </c>
      <c r="H2580" s="195">
        <f t="shared" si="40"/>
        <v>2.2549999999999999</v>
      </c>
      <c r="I2580" s="212" t="s">
        <v>2354</v>
      </c>
    </row>
    <row r="2581" spans="1:9" x14ac:dyDescent="0.25">
      <c r="A2581" s="193" t="s">
        <v>220</v>
      </c>
      <c r="B2581" s="193" t="s">
        <v>2351</v>
      </c>
      <c r="C2581" s="193" t="s">
        <v>5384</v>
      </c>
      <c r="D2581" s="193" t="s">
        <v>5385</v>
      </c>
      <c r="E2581" s="212" t="s">
        <v>545</v>
      </c>
      <c r="F2581" s="215">
        <v>92</v>
      </c>
      <c r="G2581" s="194">
        <v>0.53974999999999995</v>
      </c>
      <c r="H2581" s="195">
        <f t="shared" si="40"/>
        <v>49.656999999999996</v>
      </c>
      <c r="I2581" s="212" t="s">
        <v>2354</v>
      </c>
    </row>
    <row r="2582" spans="1:9" x14ac:dyDescent="0.25">
      <c r="A2582" s="193" t="s">
        <v>220</v>
      </c>
      <c r="B2582" s="193" t="s">
        <v>2351</v>
      </c>
      <c r="C2582" s="193" t="s">
        <v>5386</v>
      </c>
      <c r="D2582" s="193" t="s">
        <v>5387</v>
      </c>
      <c r="E2582" s="212" t="s">
        <v>545</v>
      </c>
      <c r="F2582" s="215">
        <v>173</v>
      </c>
      <c r="G2582" s="194">
        <v>4.505E-2</v>
      </c>
      <c r="H2582" s="195">
        <f t="shared" si="40"/>
        <v>7.7936499999999995</v>
      </c>
      <c r="I2582" s="212" t="s">
        <v>2354</v>
      </c>
    </row>
    <row r="2583" spans="1:9" x14ac:dyDescent="0.25">
      <c r="A2583" s="193" t="s">
        <v>220</v>
      </c>
      <c r="B2583" s="193" t="s">
        <v>2351</v>
      </c>
      <c r="C2583" s="193" t="s">
        <v>5388</v>
      </c>
      <c r="D2583" s="193" t="s">
        <v>5389</v>
      </c>
      <c r="E2583" s="212" t="s">
        <v>545</v>
      </c>
      <c r="F2583" s="215">
        <v>323</v>
      </c>
      <c r="G2583" s="194">
        <v>4.8576666666666671E-2</v>
      </c>
      <c r="H2583" s="195">
        <f t="shared" si="40"/>
        <v>15.690263333333334</v>
      </c>
      <c r="I2583" s="212" t="s">
        <v>2354</v>
      </c>
    </row>
    <row r="2584" spans="1:9" x14ac:dyDescent="0.25">
      <c r="A2584" s="193" t="s">
        <v>220</v>
      </c>
      <c r="B2584" s="193" t="s">
        <v>2351</v>
      </c>
      <c r="C2584" s="193" t="s">
        <v>5390</v>
      </c>
      <c r="D2584" s="193" t="s">
        <v>5391</v>
      </c>
      <c r="E2584" s="212" t="s">
        <v>545</v>
      </c>
      <c r="F2584" s="215">
        <v>25</v>
      </c>
      <c r="G2584" s="194">
        <v>14.3</v>
      </c>
      <c r="H2584" s="195">
        <f t="shared" si="40"/>
        <v>357.5</v>
      </c>
      <c r="I2584" s="212" t="s">
        <v>2354</v>
      </c>
    </row>
    <row r="2585" spans="1:9" x14ac:dyDescent="0.25">
      <c r="A2585" s="193" t="s">
        <v>220</v>
      </c>
      <c r="B2585" s="193" t="s">
        <v>2351</v>
      </c>
      <c r="C2585" s="193" t="s">
        <v>5392</v>
      </c>
      <c r="D2585" s="193" t="s">
        <v>5393</v>
      </c>
      <c r="E2585" s="212" t="s">
        <v>545</v>
      </c>
      <c r="F2585" s="215">
        <v>6</v>
      </c>
      <c r="G2585" s="194">
        <v>3.2562000000000002</v>
      </c>
      <c r="H2585" s="195">
        <f t="shared" si="40"/>
        <v>19.537200000000002</v>
      </c>
      <c r="I2585" s="212" t="s">
        <v>2354</v>
      </c>
    </row>
    <row r="2586" spans="1:9" x14ac:dyDescent="0.25">
      <c r="A2586" s="193" t="s">
        <v>220</v>
      </c>
      <c r="B2586" s="193" t="s">
        <v>2351</v>
      </c>
      <c r="C2586" s="193" t="s">
        <v>5394</v>
      </c>
      <c r="D2586" s="193" t="s">
        <v>5395</v>
      </c>
      <c r="E2586" s="212" t="s">
        <v>545</v>
      </c>
      <c r="F2586" s="215">
        <v>16</v>
      </c>
      <c r="G2586" s="194">
        <v>4.2229999999999999</v>
      </c>
      <c r="H2586" s="195">
        <f t="shared" si="40"/>
        <v>67.567999999999998</v>
      </c>
      <c r="I2586" s="212" t="s">
        <v>2354</v>
      </c>
    </row>
    <row r="2587" spans="1:9" x14ac:dyDescent="0.25">
      <c r="A2587" s="193" t="s">
        <v>220</v>
      </c>
      <c r="B2587" s="193" t="s">
        <v>2351</v>
      </c>
      <c r="C2587" s="193" t="s">
        <v>5396</v>
      </c>
      <c r="D2587" s="193" t="s">
        <v>5397</v>
      </c>
      <c r="E2587" s="212" t="s">
        <v>545</v>
      </c>
      <c r="F2587" s="215">
        <v>9</v>
      </c>
      <c r="G2587" s="194">
        <v>59.585000000000001</v>
      </c>
      <c r="H2587" s="195">
        <f t="shared" si="40"/>
        <v>536.26499999999999</v>
      </c>
      <c r="I2587" s="212" t="s">
        <v>2354</v>
      </c>
    </row>
    <row r="2588" spans="1:9" x14ac:dyDescent="0.25">
      <c r="A2588" s="193" t="s">
        <v>220</v>
      </c>
      <c r="B2588" s="193" t="s">
        <v>2351</v>
      </c>
      <c r="C2588" s="193" t="s">
        <v>5398</v>
      </c>
      <c r="D2588" s="193" t="s">
        <v>5399</v>
      </c>
      <c r="E2588" s="212" t="s">
        <v>545</v>
      </c>
      <c r="F2588" s="195">
        <v>12</v>
      </c>
      <c r="G2588" s="194">
        <v>32.843699999999998</v>
      </c>
      <c r="H2588" s="195">
        <f t="shared" si="40"/>
        <v>394.12439999999998</v>
      </c>
      <c r="I2588" s="212" t="s">
        <v>2354</v>
      </c>
    </row>
    <row r="2589" spans="1:9" x14ac:dyDescent="0.25">
      <c r="A2589" s="193" t="s">
        <v>220</v>
      </c>
      <c r="B2589" s="193" t="s">
        <v>2351</v>
      </c>
      <c r="C2589" s="193" t="s">
        <v>5400</v>
      </c>
      <c r="D2589" s="193" t="s">
        <v>5401</v>
      </c>
      <c r="E2589" s="212" t="s">
        <v>545</v>
      </c>
      <c r="F2589" s="195">
        <v>12</v>
      </c>
      <c r="G2589" s="194">
        <v>8.0970707070707064</v>
      </c>
      <c r="H2589" s="195">
        <f t="shared" si="40"/>
        <v>97.164848484848477</v>
      </c>
      <c r="I2589" s="212" t="s">
        <v>2354</v>
      </c>
    </row>
    <row r="2590" spans="1:9" x14ac:dyDescent="0.25">
      <c r="A2590" s="193" t="s">
        <v>220</v>
      </c>
      <c r="B2590" s="193" t="s">
        <v>2351</v>
      </c>
      <c r="C2590" s="193" t="s">
        <v>5402</v>
      </c>
      <c r="D2590" s="193" t="s">
        <v>5403</v>
      </c>
      <c r="E2590" s="212" t="s">
        <v>545</v>
      </c>
      <c r="F2590" s="195">
        <v>10</v>
      </c>
      <c r="G2590" s="194">
        <v>3.8759999999999999</v>
      </c>
      <c r="H2590" s="195">
        <f t="shared" si="40"/>
        <v>38.76</v>
      </c>
      <c r="I2590" s="212" t="s">
        <v>2354</v>
      </c>
    </row>
    <row r="2591" spans="1:9" x14ac:dyDescent="0.25">
      <c r="A2591" s="193" t="s">
        <v>220</v>
      </c>
      <c r="B2591" s="193" t="s">
        <v>2351</v>
      </c>
      <c r="C2591" s="193" t="s">
        <v>5404</v>
      </c>
      <c r="D2591" s="193" t="s">
        <v>5405</v>
      </c>
      <c r="E2591" s="212" t="s">
        <v>545</v>
      </c>
      <c r="F2591" s="195">
        <v>1</v>
      </c>
      <c r="G2591" s="194">
        <v>612</v>
      </c>
      <c r="H2591" s="195">
        <f t="shared" si="40"/>
        <v>612</v>
      </c>
      <c r="I2591" s="212" t="s">
        <v>2354</v>
      </c>
    </row>
    <row r="2592" spans="1:9" x14ac:dyDescent="0.25">
      <c r="A2592" s="193" t="s">
        <v>220</v>
      </c>
      <c r="B2592" s="193" t="s">
        <v>2351</v>
      </c>
      <c r="C2592" s="193" t="s">
        <v>5406</v>
      </c>
      <c r="D2592" s="193" t="s">
        <v>5407</v>
      </c>
      <c r="E2592" s="212" t="s">
        <v>545</v>
      </c>
      <c r="F2592" s="195">
        <v>2</v>
      </c>
      <c r="G2592" s="194">
        <v>166.898</v>
      </c>
      <c r="H2592" s="195">
        <f t="shared" si="40"/>
        <v>333.79599999999999</v>
      </c>
      <c r="I2592" s="212" t="s">
        <v>2354</v>
      </c>
    </row>
    <row r="2593" spans="1:9" x14ac:dyDescent="0.25">
      <c r="A2593" s="193" t="s">
        <v>220</v>
      </c>
      <c r="B2593" s="193" t="s">
        <v>2351</v>
      </c>
      <c r="C2593" s="193" t="s">
        <v>5408</v>
      </c>
      <c r="D2593" s="193" t="s">
        <v>5409</v>
      </c>
      <c r="E2593" s="212" t="s">
        <v>545</v>
      </c>
      <c r="F2593" s="195">
        <v>2</v>
      </c>
      <c r="G2593" s="194">
        <v>63.63</v>
      </c>
      <c r="H2593" s="195">
        <f t="shared" si="40"/>
        <v>127.26</v>
      </c>
      <c r="I2593" s="212" t="s">
        <v>2354</v>
      </c>
    </row>
    <row r="2594" spans="1:9" x14ac:dyDescent="0.25">
      <c r="A2594" s="193" t="s">
        <v>220</v>
      </c>
      <c r="B2594" s="193" t="s">
        <v>2351</v>
      </c>
      <c r="C2594" s="193" t="s">
        <v>5410</v>
      </c>
      <c r="D2594" s="193" t="s">
        <v>5411</v>
      </c>
      <c r="E2594" s="212" t="s">
        <v>545</v>
      </c>
      <c r="F2594" s="195">
        <v>10</v>
      </c>
      <c r="G2594" s="194">
        <v>0</v>
      </c>
      <c r="H2594" s="195">
        <f t="shared" si="40"/>
        <v>0</v>
      </c>
      <c r="I2594" s="212" t="s">
        <v>2354</v>
      </c>
    </row>
    <row r="2595" spans="1:9" x14ac:dyDescent="0.25">
      <c r="A2595" s="193" t="s">
        <v>220</v>
      </c>
      <c r="B2595" s="193" t="s">
        <v>2351</v>
      </c>
      <c r="C2595" s="193" t="s">
        <v>5412</v>
      </c>
      <c r="D2595" s="193" t="s">
        <v>5413</v>
      </c>
      <c r="E2595" s="212" t="s">
        <v>545</v>
      </c>
      <c r="F2595" s="195">
        <v>2</v>
      </c>
      <c r="G2595" s="194">
        <v>692.66700000000003</v>
      </c>
      <c r="H2595" s="195">
        <f t="shared" si="40"/>
        <v>1385.3340000000001</v>
      </c>
      <c r="I2595" s="212" t="s">
        <v>2354</v>
      </c>
    </row>
    <row r="2596" spans="1:9" x14ac:dyDescent="0.25">
      <c r="A2596" s="294" t="s">
        <v>220</v>
      </c>
      <c r="B2596" s="294" t="s">
        <v>2351</v>
      </c>
      <c r="C2596" s="294" t="s">
        <v>5414</v>
      </c>
      <c r="D2596" s="294" t="s">
        <v>5415</v>
      </c>
      <c r="E2596" s="295" t="s">
        <v>545</v>
      </c>
      <c r="F2596" s="296">
        <v>0</v>
      </c>
      <c r="G2596" s="297">
        <v>56.356000000000002</v>
      </c>
      <c r="H2596" s="296">
        <f t="shared" si="40"/>
        <v>0</v>
      </c>
      <c r="I2596" s="295" t="s">
        <v>2354</v>
      </c>
    </row>
    <row r="2597" spans="1:9" x14ac:dyDescent="0.25">
      <c r="A2597" s="193" t="s">
        <v>220</v>
      </c>
      <c r="B2597" s="193" t="s">
        <v>2351</v>
      </c>
      <c r="C2597" s="193" t="s">
        <v>5416</v>
      </c>
      <c r="D2597" s="193" t="s">
        <v>5417</v>
      </c>
      <c r="E2597" s="212" t="s">
        <v>545</v>
      </c>
      <c r="F2597" s="195">
        <v>3</v>
      </c>
      <c r="G2597" s="194">
        <v>208.40500000000003</v>
      </c>
      <c r="H2597" s="195">
        <f t="shared" si="40"/>
        <v>625.21500000000015</v>
      </c>
      <c r="I2597" s="212" t="s">
        <v>2354</v>
      </c>
    </row>
    <row r="2598" spans="1:9" x14ac:dyDescent="0.25">
      <c r="A2598" s="193" t="s">
        <v>220</v>
      </c>
      <c r="B2598" s="193" t="s">
        <v>2351</v>
      </c>
      <c r="C2598" s="193" t="s">
        <v>5418</v>
      </c>
      <c r="D2598" s="193" t="s">
        <v>5419</v>
      </c>
      <c r="E2598" s="212" t="s">
        <v>545</v>
      </c>
      <c r="F2598" s="195">
        <v>682</v>
      </c>
      <c r="G2598" s="194">
        <v>7.3000000000000007</v>
      </c>
      <c r="H2598" s="195">
        <f t="shared" si="40"/>
        <v>4978.6000000000004</v>
      </c>
      <c r="I2598" s="212" t="s">
        <v>2354</v>
      </c>
    </row>
    <row r="2599" spans="1:9" x14ac:dyDescent="0.25">
      <c r="A2599" s="193" t="s">
        <v>220</v>
      </c>
      <c r="B2599" s="193" t="s">
        <v>2351</v>
      </c>
      <c r="C2599" s="193" t="s">
        <v>5420</v>
      </c>
      <c r="D2599" s="193" t="s">
        <v>5421</v>
      </c>
      <c r="E2599" s="212" t="s">
        <v>545</v>
      </c>
      <c r="F2599" s="195">
        <v>58</v>
      </c>
      <c r="G2599" s="194">
        <v>6.2</v>
      </c>
      <c r="H2599" s="195">
        <f t="shared" si="40"/>
        <v>359.6</v>
      </c>
      <c r="I2599" s="212" t="s">
        <v>2354</v>
      </c>
    </row>
    <row r="2600" spans="1:9" x14ac:dyDescent="0.25">
      <c r="A2600" s="193" t="s">
        <v>220</v>
      </c>
      <c r="B2600" s="193" t="s">
        <v>2351</v>
      </c>
      <c r="C2600" s="193" t="s">
        <v>5422</v>
      </c>
      <c r="D2600" s="193" t="s">
        <v>5423</v>
      </c>
      <c r="E2600" s="212" t="s">
        <v>545</v>
      </c>
      <c r="F2600" s="195">
        <v>2750</v>
      </c>
      <c r="G2600" s="194">
        <v>3.1</v>
      </c>
      <c r="H2600" s="195">
        <f t="shared" si="40"/>
        <v>8525</v>
      </c>
      <c r="I2600" s="212" t="s">
        <v>2354</v>
      </c>
    </row>
    <row r="2601" spans="1:9" x14ac:dyDescent="0.25">
      <c r="A2601" s="193" t="s">
        <v>220</v>
      </c>
      <c r="B2601" s="193" t="s">
        <v>2351</v>
      </c>
      <c r="C2601" s="193" t="s">
        <v>5424</v>
      </c>
      <c r="D2601" s="193" t="s">
        <v>5425</v>
      </c>
      <c r="E2601" s="212" t="s">
        <v>545</v>
      </c>
      <c r="F2601" s="195">
        <v>150</v>
      </c>
      <c r="G2601" s="194">
        <v>4.7</v>
      </c>
      <c r="H2601" s="195">
        <f t="shared" si="40"/>
        <v>705</v>
      </c>
      <c r="I2601" s="212" t="s">
        <v>2354</v>
      </c>
    </row>
    <row r="2602" spans="1:9" x14ac:dyDescent="0.25">
      <c r="A2602" s="193" t="s">
        <v>220</v>
      </c>
      <c r="B2602" s="193" t="s">
        <v>2351</v>
      </c>
      <c r="C2602" s="193" t="s">
        <v>5426</v>
      </c>
      <c r="D2602" s="193" t="s">
        <v>5427</v>
      </c>
      <c r="E2602" s="212" t="s">
        <v>545</v>
      </c>
      <c r="F2602" s="195">
        <v>850</v>
      </c>
      <c r="G2602" s="194">
        <v>2.5</v>
      </c>
      <c r="H2602" s="195">
        <f t="shared" si="40"/>
        <v>2125</v>
      </c>
      <c r="I2602" s="212" t="s">
        <v>2354</v>
      </c>
    </row>
    <row r="2603" spans="1:9" x14ac:dyDescent="0.25">
      <c r="A2603" s="193" t="s">
        <v>220</v>
      </c>
      <c r="B2603" s="193" t="s">
        <v>2351</v>
      </c>
      <c r="C2603" s="193" t="s">
        <v>5428</v>
      </c>
      <c r="D2603" s="193" t="s">
        <v>5429</v>
      </c>
      <c r="E2603" s="212" t="s">
        <v>545</v>
      </c>
      <c r="F2603" s="195">
        <v>64</v>
      </c>
      <c r="G2603" s="194">
        <v>18.5</v>
      </c>
      <c r="H2603" s="195">
        <f t="shared" si="40"/>
        <v>1184</v>
      </c>
      <c r="I2603" s="212" t="s">
        <v>2354</v>
      </c>
    </row>
    <row r="2604" spans="1:9" x14ac:dyDescent="0.25">
      <c r="A2604" s="218" t="s">
        <v>220</v>
      </c>
      <c r="B2604" s="218" t="s">
        <v>5430</v>
      </c>
      <c r="C2604" s="219" t="s">
        <v>5431</v>
      </c>
      <c r="D2604" s="212" t="s">
        <v>5432</v>
      </c>
      <c r="E2604" s="212" t="s">
        <v>545</v>
      </c>
      <c r="F2604" s="213">
        <v>2</v>
      </c>
      <c r="G2604" s="213">
        <v>0</v>
      </c>
      <c r="H2604" s="195">
        <f t="shared" si="40"/>
        <v>0</v>
      </c>
      <c r="I2604" s="212" t="s">
        <v>2354</v>
      </c>
    </row>
    <row r="2605" spans="1:9" x14ac:dyDescent="0.25">
      <c r="A2605" s="218" t="s">
        <v>220</v>
      </c>
      <c r="B2605" s="218" t="s">
        <v>5430</v>
      </c>
      <c r="C2605" s="219" t="s">
        <v>5433</v>
      </c>
      <c r="D2605" s="212" t="s">
        <v>5434</v>
      </c>
      <c r="E2605" s="212" t="s">
        <v>545</v>
      </c>
      <c r="F2605" s="213">
        <v>7</v>
      </c>
      <c r="G2605" s="213">
        <v>54.09</v>
      </c>
      <c r="H2605" s="195">
        <f t="shared" si="40"/>
        <v>378.63</v>
      </c>
      <c r="I2605" s="212" t="s">
        <v>2354</v>
      </c>
    </row>
    <row r="2606" spans="1:9" x14ac:dyDescent="0.25">
      <c r="A2606" s="218" t="s">
        <v>220</v>
      </c>
      <c r="B2606" s="218" t="s">
        <v>5430</v>
      </c>
      <c r="C2606" s="219"/>
      <c r="D2606" s="212" t="s">
        <v>5435</v>
      </c>
      <c r="E2606" s="212" t="s">
        <v>545</v>
      </c>
      <c r="F2606" s="213">
        <v>4</v>
      </c>
      <c r="G2606" s="194">
        <v>26.5</v>
      </c>
      <c r="H2606" s="195">
        <f t="shared" si="40"/>
        <v>106</v>
      </c>
      <c r="I2606" s="212" t="s">
        <v>2354</v>
      </c>
    </row>
    <row r="2607" spans="1:9" x14ac:dyDescent="0.25">
      <c r="A2607" s="218" t="s">
        <v>220</v>
      </c>
      <c r="B2607" s="218" t="s">
        <v>5430</v>
      </c>
      <c r="C2607" s="219" t="s">
        <v>5436</v>
      </c>
      <c r="D2607" s="212" t="s">
        <v>5437</v>
      </c>
      <c r="E2607" s="212" t="s">
        <v>545</v>
      </c>
      <c r="F2607" s="213">
        <v>10</v>
      </c>
      <c r="G2607" s="194">
        <v>94.5</v>
      </c>
      <c r="H2607" s="195">
        <f t="shared" si="40"/>
        <v>945</v>
      </c>
      <c r="I2607" s="212" t="s">
        <v>2354</v>
      </c>
    </row>
    <row r="2608" spans="1:9" x14ac:dyDescent="0.25">
      <c r="A2608" s="218" t="s">
        <v>220</v>
      </c>
      <c r="B2608" s="218" t="s">
        <v>5430</v>
      </c>
      <c r="C2608" s="219" t="s">
        <v>5438</v>
      </c>
      <c r="D2608" s="212" t="s">
        <v>5439</v>
      </c>
      <c r="E2608" s="212" t="s">
        <v>545</v>
      </c>
      <c r="F2608" s="213">
        <v>4</v>
      </c>
      <c r="G2608" s="194">
        <v>195</v>
      </c>
      <c r="H2608" s="195">
        <f t="shared" si="40"/>
        <v>780</v>
      </c>
      <c r="I2608" s="212" t="s">
        <v>2354</v>
      </c>
    </row>
    <row r="2609" spans="1:9" x14ac:dyDescent="0.25">
      <c r="A2609" s="218" t="s">
        <v>220</v>
      </c>
      <c r="B2609" s="218" t="s">
        <v>5430</v>
      </c>
      <c r="C2609" s="219" t="s">
        <v>5440</v>
      </c>
      <c r="D2609" s="212" t="s">
        <v>5441</v>
      </c>
      <c r="E2609" s="212" t="s">
        <v>545</v>
      </c>
      <c r="F2609" s="213">
        <v>50</v>
      </c>
      <c r="G2609" s="213">
        <v>1.7869999999999999</v>
      </c>
      <c r="H2609" s="195">
        <f t="shared" si="40"/>
        <v>89.35</v>
      </c>
      <c r="I2609" s="212" t="s">
        <v>2354</v>
      </c>
    </row>
    <row r="2610" spans="1:9" x14ac:dyDescent="0.25">
      <c r="A2610" s="218" t="s">
        <v>220</v>
      </c>
      <c r="B2610" s="218" t="s">
        <v>5430</v>
      </c>
      <c r="C2610" s="219" t="s">
        <v>5442</v>
      </c>
      <c r="D2610" s="212" t="s">
        <v>5443</v>
      </c>
      <c r="E2610" s="212" t="s">
        <v>545</v>
      </c>
      <c r="F2610" s="213">
        <v>2</v>
      </c>
      <c r="G2610" s="194">
        <v>397.86</v>
      </c>
      <c r="H2610" s="195">
        <f t="shared" si="40"/>
        <v>795.72</v>
      </c>
      <c r="I2610" s="212" t="s">
        <v>2354</v>
      </c>
    </row>
    <row r="2611" spans="1:9" x14ac:dyDescent="0.25">
      <c r="A2611" s="218" t="s">
        <v>220</v>
      </c>
      <c r="B2611" s="218" t="s">
        <v>5430</v>
      </c>
      <c r="C2611" s="219" t="s">
        <v>5444</v>
      </c>
      <c r="D2611" s="212" t="s">
        <v>5445</v>
      </c>
      <c r="E2611" s="212" t="s">
        <v>545</v>
      </c>
      <c r="F2611" s="213">
        <v>155</v>
      </c>
      <c r="G2611" s="213">
        <v>4.0895999999999999</v>
      </c>
      <c r="H2611" s="195">
        <f t="shared" si="40"/>
        <v>633.88800000000003</v>
      </c>
      <c r="I2611" s="212" t="s">
        <v>2354</v>
      </c>
    </row>
    <row r="2612" spans="1:9" x14ac:dyDescent="0.25">
      <c r="A2612" s="218" t="s">
        <v>220</v>
      </c>
      <c r="B2612" s="218" t="s">
        <v>5430</v>
      </c>
      <c r="C2612" s="219" t="s">
        <v>3987</v>
      </c>
      <c r="D2612" s="212" t="s">
        <v>5446</v>
      </c>
      <c r="E2612" s="212" t="s">
        <v>545</v>
      </c>
      <c r="F2612" s="213">
        <v>155</v>
      </c>
      <c r="G2612" s="213">
        <v>4.0857700000000001</v>
      </c>
      <c r="H2612" s="195">
        <f t="shared" si="40"/>
        <v>633.29435000000001</v>
      </c>
      <c r="I2612" s="212" t="s">
        <v>2354</v>
      </c>
    </row>
    <row r="2613" spans="1:9" x14ac:dyDescent="0.25">
      <c r="A2613" s="218" t="s">
        <v>220</v>
      </c>
      <c r="B2613" s="218" t="s">
        <v>5430</v>
      </c>
      <c r="C2613" s="219" t="s">
        <v>5447</v>
      </c>
      <c r="D2613" s="212" t="s">
        <v>5448</v>
      </c>
      <c r="E2613" s="212" t="s">
        <v>545</v>
      </c>
      <c r="F2613" s="213">
        <v>4</v>
      </c>
      <c r="G2613" s="213">
        <v>173.93219999999999</v>
      </c>
      <c r="H2613" s="195">
        <f t="shared" si="40"/>
        <v>695.72879999999998</v>
      </c>
      <c r="I2613" s="212" t="s">
        <v>2354</v>
      </c>
    </row>
    <row r="2614" spans="1:9" x14ac:dyDescent="0.25">
      <c r="A2614" s="218" t="s">
        <v>220</v>
      </c>
      <c r="B2614" s="218" t="s">
        <v>5430</v>
      </c>
      <c r="C2614" s="219" t="s">
        <v>5449</v>
      </c>
      <c r="D2614" s="212" t="s">
        <v>5450</v>
      </c>
      <c r="E2614" s="212" t="s">
        <v>545</v>
      </c>
      <c r="F2614" s="213">
        <v>10</v>
      </c>
      <c r="G2614" s="194">
        <v>38.6</v>
      </c>
      <c r="H2614" s="195">
        <f t="shared" si="40"/>
        <v>386</v>
      </c>
      <c r="I2614" s="212" t="s">
        <v>2354</v>
      </c>
    </row>
    <row r="2615" spans="1:9" x14ac:dyDescent="0.25">
      <c r="A2615" s="218" t="s">
        <v>220</v>
      </c>
      <c r="B2615" s="218" t="s">
        <v>5430</v>
      </c>
      <c r="C2615" s="219"/>
      <c r="D2615" s="212" t="s">
        <v>5451</v>
      </c>
      <c r="E2615" s="212" t="s">
        <v>545</v>
      </c>
      <c r="F2615" s="213">
        <v>2</v>
      </c>
      <c r="G2615" s="194">
        <v>10</v>
      </c>
      <c r="H2615" s="195">
        <f t="shared" si="40"/>
        <v>20</v>
      </c>
      <c r="I2615" s="212" t="s">
        <v>2354</v>
      </c>
    </row>
    <row r="2616" spans="1:9" x14ac:dyDescent="0.25">
      <c r="A2616" s="218" t="s">
        <v>220</v>
      </c>
      <c r="B2616" s="218" t="s">
        <v>5430</v>
      </c>
      <c r="C2616" s="219" t="s">
        <v>5452</v>
      </c>
      <c r="D2616" s="212" t="s">
        <v>5453</v>
      </c>
      <c r="E2616" s="212" t="s">
        <v>545</v>
      </c>
      <c r="F2616" s="213">
        <v>4</v>
      </c>
      <c r="G2616" s="194">
        <v>1.484</v>
      </c>
      <c r="H2616" s="195">
        <f t="shared" si="40"/>
        <v>5.9359999999999999</v>
      </c>
      <c r="I2616" s="212" t="s">
        <v>2354</v>
      </c>
    </row>
    <row r="2617" spans="1:9" x14ac:dyDescent="0.25">
      <c r="A2617" s="218" t="s">
        <v>220</v>
      </c>
      <c r="B2617" s="218" t="s">
        <v>5430</v>
      </c>
      <c r="C2617" s="219" t="s">
        <v>5454</v>
      </c>
      <c r="D2617" s="212" t="s">
        <v>5455</v>
      </c>
      <c r="E2617" s="212" t="s">
        <v>545</v>
      </c>
      <c r="F2617" s="213">
        <v>2</v>
      </c>
      <c r="G2617" s="194">
        <v>12.456</v>
      </c>
      <c r="H2617" s="195">
        <f t="shared" si="40"/>
        <v>24.911999999999999</v>
      </c>
      <c r="I2617" s="212" t="s">
        <v>2354</v>
      </c>
    </row>
    <row r="2618" spans="1:9" x14ac:dyDescent="0.25">
      <c r="A2618" s="218" t="s">
        <v>220</v>
      </c>
      <c r="B2618" s="218" t="s">
        <v>5430</v>
      </c>
      <c r="C2618" s="219" t="s">
        <v>5456</v>
      </c>
      <c r="D2618" s="212" t="s">
        <v>5457</v>
      </c>
      <c r="E2618" s="212" t="s">
        <v>2387</v>
      </c>
      <c r="F2618" s="213">
        <v>10.025</v>
      </c>
      <c r="G2618" s="213">
        <v>3.6225000000000001</v>
      </c>
      <c r="H2618" s="195">
        <f t="shared" si="40"/>
        <v>36.315562499999999</v>
      </c>
      <c r="I2618" s="212" t="s">
        <v>2354</v>
      </c>
    </row>
    <row r="2619" spans="1:9" x14ac:dyDescent="0.25">
      <c r="A2619" s="218" t="s">
        <v>220</v>
      </c>
      <c r="B2619" s="218" t="s">
        <v>5430</v>
      </c>
      <c r="C2619" s="219"/>
      <c r="D2619" s="212" t="s">
        <v>5458</v>
      </c>
      <c r="E2619" s="212" t="s">
        <v>545</v>
      </c>
      <c r="F2619" s="213">
        <v>2</v>
      </c>
      <c r="G2619" s="194">
        <v>13.526999999999999</v>
      </c>
      <c r="H2619" s="195">
        <f t="shared" si="40"/>
        <v>27.053999999999998</v>
      </c>
      <c r="I2619" s="212" t="s">
        <v>2354</v>
      </c>
    </row>
    <row r="2620" spans="1:9" x14ac:dyDescent="0.25">
      <c r="A2620" s="218" t="s">
        <v>220</v>
      </c>
      <c r="B2620" s="218" t="s">
        <v>5430</v>
      </c>
      <c r="C2620" s="219" t="s">
        <v>5459</v>
      </c>
      <c r="D2620" s="212" t="s">
        <v>5460</v>
      </c>
      <c r="E2620" s="212" t="s">
        <v>545</v>
      </c>
      <c r="F2620" s="213">
        <v>10</v>
      </c>
      <c r="G2620" s="194">
        <v>94.662000000000006</v>
      </c>
      <c r="H2620" s="195">
        <f t="shared" si="40"/>
        <v>946.62000000000012</v>
      </c>
      <c r="I2620" s="212" t="s">
        <v>2354</v>
      </c>
    </row>
    <row r="2621" spans="1:9" x14ac:dyDescent="0.25">
      <c r="A2621" s="218" t="s">
        <v>220</v>
      </c>
      <c r="B2621" s="218" t="s">
        <v>5430</v>
      </c>
      <c r="C2621" s="219" t="s">
        <v>4339</v>
      </c>
      <c r="D2621" s="212" t="s">
        <v>5461</v>
      </c>
      <c r="E2621" s="212" t="s">
        <v>545</v>
      </c>
      <c r="F2621" s="213">
        <v>9</v>
      </c>
      <c r="G2621" s="213">
        <v>22.395800000000001</v>
      </c>
      <c r="H2621" s="195">
        <f t="shared" si="40"/>
        <v>201.56220000000002</v>
      </c>
      <c r="I2621" s="212" t="s">
        <v>2354</v>
      </c>
    </row>
    <row r="2622" spans="1:9" x14ac:dyDescent="0.25">
      <c r="A2622" s="218" t="s">
        <v>220</v>
      </c>
      <c r="B2622" s="218" t="s">
        <v>5430</v>
      </c>
      <c r="C2622" s="219" t="s">
        <v>4377</v>
      </c>
      <c r="D2622" s="212" t="s">
        <v>5462</v>
      </c>
      <c r="E2622" s="212" t="s">
        <v>545</v>
      </c>
      <c r="F2622" s="213">
        <v>47</v>
      </c>
      <c r="G2622" s="213">
        <v>2.2103999999999999</v>
      </c>
      <c r="H2622" s="195">
        <f t="shared" si="40"/>
        <v>103.8888</v>
      </c>
      <c r="I2622" s="212" t="s">
        <v>2354</v>
      </c>
    </row>
    <row r="2623" spans="1:9" x14ac:dyDescent="0.25">
      <c r="A2623" s="218" t="s">
        <v>220</v>
      </c>
      <c r="B2623" s="218" t="s">
        <v>5430</v>
      </c>
      <c r="C2623" s="219" t="s">
        <v>3209</v>
      </c>
      <c r="D2623" s="212" t="s">
        <v>3210</v>
      </c>
      <c r="E2623" s="212" t="s">
        <v>545</v>
      </c>
      <c r="F2623" s="213">
        <v>25</v>
      </c>
      <c r="G2623" s="213">
        <v>3.5928</v>
      </c>
      <c r="H2623" s="195">
        <f t="shared" si="40"/>
        <v>89.82</v>
      </c>
      <c r="I2623" s="212" t="s">
        <v>2354</v>
      </c>
    </row>
    <row r="2624" spans="1:9" x14ac:dyDescent="0.25">
      <c r="A2624" s="218" t="s">
        <v>220</v>
      </c>
      <c r="B2624" s="218" t="s">
        <v>5430</v>
      </c>
      <c r="C2624" s="219" t="s">
        <v>5463</v>
      </c>
      <c r="D2624" s="212" t="s">
        <v>5464</v>
      </c>
      <c r="E2624" s="212" t="s">
        <v>535</v>
      </c>
      <c r="F2624" s="213">
        <v>130</v>
      </c>
      <c r="G2624" s="213">
        <v>1.2222</v>
      </c>
      <c r="H2624" s="195">
        <f t="shared" si="40"/>
        <v>158.886</v>
      </c>
      <c r="I2624" s="212" t="s">
        <v>2354</v>
      </c>
    </row>
    <row r="2625" spans="1:9" x14ac:dyDescent="0.25">
      <c r="A2625" s="218" t="s">
        <v>220</v>
      </c>
      <c r="B2625" s="218" t="s">
        <v>5430</v>
      </c>
      <c r="C2625" s="219" t="s">
        <v>5465</v>
      </c>
      <c r="D2625" s="212" t="s">
        <v>2401</v>
      </c>
      <c r="E2625" s="212" t="s">
        <v>545</v>
      </c>
      <c r="F2625" s="210">
        <v>20</v>
      </c>
      <c r="G2625" s="194">
        <v>1.619</v>
      </c>
      <c r="H2625" s="195">
        <f t="shared" si="40"/>
        <v>32.380000000000003</v>
      </c>
      <c r="I2625" s="212" t="s">
        <v>2354</v>
      </c>
    </row>
    <row r="2626" spans="1:9" x14ac:dyDescent="0.25">
      <c r="A2626" s="218" t="s">
        <v>220</v>
      </c>
      <c r="B2626" s="218" t="s">
        <v>5430</v>
      </c>
      <c r="C2626" s="219"/>
      <c r="D2626" s="212" t="s">
        <v>5466</v>
      </c>
      <c r="E2626" s="212" t="s">
        <v>545</v>
      </c>
      <c r="F2626" s="213">
        <v>4</v>
      </c>
      <c r="G2626" s="194">
        <v>675</v>
      </c>
      <c r="H2626" s="195">
        <f t="shared" si="40"/>
        <v>2700</v>
      </c>
      <c r="I2626" s="212" t="s">
        <v>2354</v>
      </c>
    </row>
    <row r="2627" spans="1:9" x14ac:dyDescent="0.25">
      <c r="A2627" s="218" t="s">
        <v>220</v>
      </c>
      <c r="B2627" s="218" t="s">
        <v>5430</v>
      </c>
      <c r="C2627" s="219"/>
      <c r="D2627" s="212" t="s">
        <v>5467</v>
      </c>
      <c r="E2627" s="212" t="s">
        <v>545</v>
      </c>
      <c r="F2627" s="220">
        <v>1</v>
      </c>
      <c r="G2627" s="194">
        <v>385</v>
      </c>
      <c r="H2627" s="195">
        <f t="shared" si="40"/>
        <v>385</v>
      </c>
      <c r="I2627" s="212" t="s">
        <v>2354</v>
      </c>
    </row>
    <row r="2628" spans="1:9" x14ac:dyDescent="0.25">
      <c r="A2628" s="218" t="s">
        <v>220</v>
      </c>
      <c r="B2628" s="218" t="s">
        <v>5430</v>
      </c>
      <c r="C2628" s="219"/>
      <c r="D2628" s="212" t="s">
        <v>5468</v>
      </c>
      <c r="E2628" s="212" t="s">
        <v>2387</v>
      </c>
      <c r="F2628" s="213">
        <v>20</v>
      </c>
      <c r="G2628" s="194">
        <v>0</v>
      </c>
      <c r="H2628" s="195">
        <f t="shared" si="40"/>
        <v>0</v>
      </c>
      <c r="I2628" s="212" t="s">
        <v>2354</v>
      </c>
    </row>
    <row r="2629" spans="1:9" x14ac:dyDescent="0.25">
      <c r="A2629" s="218" t="s">
        <v>220</v>
      </c>
      <c r="B2629" s="218" t="s">
        <v>5430</v>
      </c>
      <c r="C2629" s="219"/>
      <c r="D2629" s="212" t="s">
        <v>5469</v>
      </c>
      <c r="E2629" s="212" t="s">
        <v>2387</v>
      </c>
      <c r="F2629" s="213">
        <v>20</v>
      </c>
      <c r="G2629" s="194">
        <v>0</v>
      </c>
      <c r="H2629" s="195">
        <f t="shared" ref="H2629:H2692" si="41">+F2629*G2629</f>
        <v>0</v>
      </c>
      <c r="I2629" s="212" t="s">
        <v>2354</v>
      </c>
    </row>
    <row r="2630" spans="1:9" x14ac:dyDescent="0.25">
      <c r="A2630" s="218" t="s">
        <v>220</v>
      </c>
      <c r="B2630" s="218" t="s">
        <v>5430</v>
      </c>
      <c r="C2630" s="219"/>
      <c r="D2630" s="212" t="s">
        <v>5470</v>
      </c>
      <c r="E2630" s="212" t="s">
        <v>545</v>
      </c>
      <c r="F2630" s="213">
        <v>20</v>
      </c>
      <c r="G2630" s="194">
        <v>0</v>
      </c>
      <c r="H2630" s="195">
        <f t="shared" si="41"/>
        <v>0</v>
      </c>
      <c r="I2630" s="212" t="s">
        <v>2354</v>
      </c>
    </row>
    <row r="2631" spans="1:9" x14ac:dyDescent="0.25">
      <c r="A2631" s="218" t="s">
        <v>220</v>
      </c>
      <c r="B2631" s="218" t="s">
        <v>5430</v>
      </c>
      <c r="C2631" s="219"/>
      <c r="D2631" s="212" t="s">
        <v>5471</v>
      </c>
      <c r="E2631" s="212" t="s">
        <v>545</v>
      </c>
      <c r="F2631" s="213">
        <v>5</v>
      </c>
      <c r="G2631" s="194">
        <v>6.6680000000000001</v>
      </c>
      <c r="H2631" s="195">
        <f t="shared" si="41"/>
        <v>33.340000000000003</v>
      </c>
      <c r="I2631" s="212" t="s">
        <v>2354</v>
      </c>
    </row>
    <row r="2632" spans="1:9" x14ac:dyDescent="0.25">
      <c r="A2632" s="218" t="s">
        <v>220</v>
      </c>
      <c r="B2632" s="218" t="s">
        <v>5430</v>
      </c>
      <c r="C2632" s="219"/>
      <c r="D2632" s="212" t="s">
        <v>5472</v>
      </c>
      <c r="E2632" s="212" t="s">
        <v>545</v>
      </c>
      <c r="F2632" s="213">
        <v>1</v>
      </c>
      <c r="G2632" s="194">
        <v>41.048999999999999</v>
      </c>
      <c r="H2632" s="195">
        <f t="shared" si="41"/>
        <v>41.048999999999999</v>
      </c>
      <c r="I2632" s="212" t="s">
        <v>2354</v>
      </c>
    </row>
    <row r="2633" spans="1:9" x14ac:dyDescent="0.25">
      <c r="A2633" s="218" t="s">
        <v>220</v>
      </c>
      <c r="B2633" s="218" t="s">
        <v>5430</v>
      </c>
      <c r="C2633" s="219"/>
      <c r="D2633" s="212" t="s">
        <v>5473</v>
      </c>
      <c r="E2633" s="212" t="s">
        <v>545</v>
      </c>
      <c r="F2633" s="213">
        <v>2</v>
      </c>
      <c r="G2633" s="194">
        <v>7.0430000000000001</v>
      </c>
      <c r="H2633" s="195">
        <f t="shared" si="41"/>
        <v>14.086</v>
      </c>
      <c r="I2633" s="212" t="s">
        <v>2354</v>
      </c>
    </row>
    <row r="2634" spans="1:9" x14ac:dyDescent="0.25">
      <c r="A2634" s="218" t="s">
        <v>220</v>
      </c>
      <c r="B2634" s="218" t="s">
        <v>5430</v>
      </c>
      <c r="C2634" s="219"/>
      <c r="D2634" s="212" t="s">
        <v>5474</v>
      </c>
      <c r="E2634" s="212" t="s">
        <v>545</v>
      </c>
      <c r="F2634" s="213">
        <v>100</v>
      </c>
      <c r="G2634" s="194">
        <v>0.72499999999999998</v>
      </c>
      <c r="H2634" s="195">
        <f t="shared" si="41"/>
        <v>72.5</v>
      </c>
      <c r="I2634" s="212" t="s">
        <v>2354</v>
      </c>
    </row>
    <row r="2635" spans="1:9" x14ac:dyDescent="0.25">
      <c r="A2635" s="218" t="s">
        <v>220</v>
      </c>
      <c r="B2635" s="218" t="s">
        <v>5430</v>
      </c>
      <c r="C2635" s="219"/>
      <c r="D2635" s="212" t="s">
        <v>5475</v>
      </c>
      <c r="E2635" s="212" t="s">
        <v>2387</v>
      </c>
      <c r="F2635" s="213">
        <v>200</v>
      </c>
      <c r="G2635" s="194">
        <v>4.1109999999999998</v>
      </c>
      <c r="H2635" s="195">
        <f t="shared" si="41"/>
        <v>822.19999999999993</v>
      </c>
      <c r="I2635" s="212" t="s">
        <v>2354</v>
      </c>
    </row>
    <row r="2636" spans="1:9" x14ac:dyDescent="0.25">
      <c r="A2636" s="218" t="s">
        <v>220</v>
      </c>
      <c r="B2636" s="218" t="s">
        <v>5430</v>
      </c>
      <c r="C2636" s="219"/>
      <c r="D2636" s="212" t="s">
        <v>5476</v>
      </c>
      <c r="E2636" s="212" t="s">
        <v>545</v>
      </c>
      <c r="F2636" s="213">
        <v>1</v>
      </c>
      <c r="G2636" s="194">
        <v>159.499</v>
      </c>
      <c r="H2636" s="195">
        <f t="shared" si="41"/>
        <v>159.499</v>
      </c>
      <c r="I2636" s="212" t="s">
        <v>2354</v>
      </c>
    </row>
    <row r="2637" spans="1:9" x14ac:dyDescent="0.25">
      <c r="A2637" s="218" t="s">
        <v>220</v>
      </c>
      <c r="B2637" s="218" t="s">
        <v>5430</v>
      </c>
      <c r="C2637" s="219"/>
      <c r="D2637" s="212" t="s">
        <v>5477</v>
      </c>
      <c r="E2637" s="212" t="s">
        <v>545</v>
      </c>
      <c r="F2637" s="213">
        <v>3</v>
      </c>
      <c r="G2637" s="194">
        <v>200.446</v>
      </c>
      <c r="H2637" s="195">
        <f t="shared" si="41"/>
        <v>601.33799999999997</v>
      </c>
      <c r="I2637" s="212" t="s">
        <v>2354</v>
      </c>
    </row>
    <row r="2638" spans="1:9" x14ac:dyDescent="0.25">
      <c r="A2638" s="218" t="s">
        <v>220</v>
      </c>
      <c r="B2638" s="218" t="s">
        <v>5430</v>
      </c>
      <c r="C2638" s="219"/>
      <c r="D2638" s="212" t="s">
        <v>5478</v>
      </c>
      <c r="E2638" s="212" t="s">
        <v>545</v>
      </c>
      <c r="F2638" s="213">
        <v>5</v>
      </c>
      <c r="G2638" s="194">
        <v>34.200000000000003</v>
      </c>
      <c r="H2638" s="195">
        <f t="shared" si="41"/>
        <v>171</v>
      </c>
      <c r="I2638" s="212" t="s">
        <v>2354</v>
      </c>
    </row>
    <row r="2639" spans="1:9" x14ac:dyDescent="0.25">
      <c r="A2639" s="218" t="s">
        <v>220</v>
      </c>
      <c r="B2639" s="218" t="s">
        <v>5430</v>
      </c>
      <c r="C2639" s="219"/>
      <c r="D2639" s="212" t="s">
        <v>5479</v>
      </c>
      <c r="E2639" s="212" t="s">
        <v>545</v>
      </c>
      <c r="F2639" s="213">
        <v>5</v>
      </c>
      <c r="G2639" s="194">
        <v>52.5</v>
      </c>
      <c r="H2639" s="195">
        <f t="shared" si="41"/>
        <v>262.5</v>
      </c>
      <c r="I2639" s="212" t="s">
        <v>2354</v>
      </c>
    </row>
    <row r="2640" spans="1:9" x14ac:dyDescent="0.25">
      <c r="A2640" s="218" t="s">
        <v>220</v>
      </c>
      <c r="B2640" s="218" t="s">
        <v>5430</v>
      </c>
      <c r="C2640" s="219"/>
      <c r="D2640" s="212" t="s">
        <v>5480</v>
      </c>
      <c r="E2640" s="212" t="s">
        <v>545</v>
      </c>
      <c r="F2640" s="213">
        <v>1</v>
      </c>
      <c r="G2640" s="194">
        <v>90</v>
      </c>
      <c r="H2640" s="195">
        <f t="shared" si="41"/>
        <v>90</v>
      </c>
      <c r="I2640" s="212" t="s">
        <v>2354</v>
      </c>
    </row>
    <row r="2641" spans="1:9" x14ac:dyDescent="0.25">
      <c r="A2641" s="218" t="s">
        <v>220</v>
      </c>
      <c r="B2641" s="218" t="s">
        <v>5430</v>
      </c>
      <c r="C2641" s="219"/>
      <c r="D2641" s="212" t="s">
        <v>5481</v>
      </c>
      <c r="E2641" s="212" t="s">
        <v>545</v>
      </c>
      <c r="F2641" s="213">
        <v>5</v>
      </c>
      <c r="G2641" s="194">
        <v>48.85</v>
      </c>
      <c r="H2641" s="195">
        <f t="shared" si="41"/>
        <v>244.25</v>
      </c>
      <c r="I2641" s="212" t="s">
        <v>2354</v>
      </c>
    </row>
    <row r="2642" spans="1:9" x14ac:dyDescent="0.25">
      <c r="A2642" s="218" t="s">
        <v>220</v>
      </c>
      <c r="B2642" s="218" t="s">
        <v>5430</v>
      </c>
      <c r="C2642" s="219"/>
      <c r="D2642" s="212" t="s">
        <v>5482</v>
      </c>
      <c r="E2642" s="212" t="s">
        <v>545</v>
      </c>
      <c r="F2642" s="213">
        <v>1</v>
      </c>
      <c r="G2642" s="194">
        <v>367.65</v>
      </c>
      <c r="H2642" s="195">
        <f t="shared" si="41"/>
        <v>367.65</v>
      </c>
      <c r="I2642" s="212" t="s">
        <v>2354</v>
      </c>
    </row>
    <row r="2643" spans="1:9" x14ac:dyDescent="0.25">
      <c r="A2643" s="218" t="s">
        <v>220</v>
      </c>
      <c r="B2643" s="218" t="s">
        <v>5430</v>
      </c>
      <c r="C2643" s="219"/>
      <c r="D2643" s="212" t="s">
        <v>5483</v>
      </c>
      <c r="E2643" s="212" t="s">
        <v>545</v>
      </c>
      <c r="F2643" s="213">
        <v>4</v>
      </c>
      <c r="G2643" s="194">
        <v>135.5</v>
      </c>
      <c r="H2643" s="195">
        <f t="shared" si="41"/>
        <v>542</v>
      </c>
      <c r="I2643" s="212" t="s">
        <v>2354</v>
      </c>
    </row>
    <row r="2644" spans="1:9" x14ac:dyDescent="0.25">
      <c r="A2644" s="218" t="s">
        <v>220</v>
      </c>
      <c r="B2644" s="218" t="s">
        <v>5430</v>
      </c>
      <c r="C2644" s="219"/>
      <c r="D2644" s="212" t="s">
        <v>5484</v>
      </c>
      <c r="E2644" s="212" t="s">
        <v>545</v>
      </c>
      <c r="F2644" s="213">
        <v>4</v>
      </c>
      <c r="G2644" s="194">
        <v>288.66000000000003</v>
      </c>
      <c r="H2644" s="195">
        <f t="shared" si="41"/>
        <v>1154.6400000000001</v>
      </c>
      <c r="I2644" s="212" t="s">
        <v>2354</v>
      </c>
    </row>
    <row r="2645" spans="1:9" x14ac:dyDescent="0.25">
      <c r="A2645" s="218" t="s">
        <v>220</v>
      </c>
      <c r="B2645" s="218" t="s">
        <v>5430</v>
      </c>
      <c r="C2645" s="219" t="s">
        <v>4001</v>
      </c>
      <c r="D2645" s="212" t="s">
        <v>5485</v>
      </c>
      <c r="E2645" s="212" t="s">
        <v>545</v>
      </c>
      <c r="F2645" s="213">
        <v>20</v>
      </c>
      <c r="G2645" s="213">
        <v>13.5</v>
      </c>
      <c r="H2645" s="195">
        <f t="shared" si="41"/>
        <v>270</v>
      </c>
      <c r="I2645" s="212" t="s">
        <v>2354</v>
      </c>
    </row>
    <row r="2646" spans="1:9" x14ac:dyDescent="0.25">
      <c r="A2646" s="218" t="s">
        <v>220</v>
      </c>
      <c r="B2646" s="218" t="s">
        <v>5430</v>
      </c>
      <c r="C2646" s="219"/>
      <c r="D2646" s="212" t="s">
        <v>5486</v>
      </c>
      <c r="E2646" s="212" t="s">
        <v>545</v>
      </c>
      <c r="F2646" s="213">
        <v>30</v>
      </c>
      <c r="G2646" s="194">
        <v>33.22</v>
      </c>
      <c r="H2646" s="195">
        <f t="shared" si="41"/>
        <v>996.59999999999991</v>
      </c>
      <c r="I2646" s="212" t="s">
        <v>2354</v>
      </c>
    </row>
    <row r="2647" spans="1:9" x14ac:dyDescent="0.25">
      <c r="A2647" s="218" t="s">
        <v>220</v>
      </c>
      <c r="B2647" s="218" t="s">
        <v>5430</v>
      </c>
      <c r="C2647" s="219"/>
      <c r="D2647" s="212" t="s">
        <v>5487</v>
      </c>
      <c r="E2647" s="212" t="s">
        <v>2387</v>
      </c>
      <c r="F2647" s="213">
        <v>0.33</v>
      </c>
      <c r="G2647" s="194">
        <v>55</v>
      </c>
      <c r="H2647" s="195">
        <f t="shared" si="41"/>
        <v>18.150000000000002</v>
      </c>
      <c r="I2647" s="212" t="s">
        <v>2354</v>
      </c>
    </row>
    <row r="2648" spans="1:9" x14ac:dyDescent="0.25">
      <c r="A2648" s="218" t="s">
        <v>220</v>
      </c>
      <c r="B2648" s="218" t="s">
        <v>5430</v>
      </c>
      <c r="C2648" s="219"/>
      <c r="D2648" s="212" t="s">
        <v>5488</v>
      </c>
      <c r="E2648" s="212" t="s">
        <v>2387</v>
      </c>
      <c r="F2648" s="213">
        <v>1</v>
      </c>
      <c r="G2648" s="194">
        <v>32</v>
      </c>
      <c r="H2648" s="195">
        <f t="shared" si="41"/>
        <v>32</v>
      </c>
      <c r="I2648" s="212" t="s">
        <v>2354</v>
      </c>
    </row>
    <row r="2649" spans="1:9" x14ac:dyDescent="0.25">
      <c r="A2649" s="218" t="s">
        <v>220</v>
      </c>
      <c r="B2649" s="218" t="s">
        <v>5430</v>
      </c>
      <c r="C2649" s="219" t="s">
        <v>1901</v>
      </c>
      <c r="D2649" s="212" t="s">
        <v>1902</v>
      </c>
      <c r="E2649" s="212" t="s">
        <v>1894</v>
      </c>
      <c r="F2649" s="213">
        <v>50</v>
      </c>
      <c r="G2649" s="213">
        <v>36.402450000000002</v>
      </c>
      <c r="H2649" s="195">
        <f t="shared" si="41"/>
        <v>1820.1225000000002</v>
      </c>
      <c r="I2649" s="212" t="s">
        <v>2354</v>
      </c>
    </row>
    <row r="2650" spans="1:9" x14ac:dyDescent="0.25">
      <c r="A2650" s="218" t="s">
        <v>220</v>
      </c>
      <c r="B2650" s="218" t="s">
        <v>5430</v>
      </c>
      <c r="C2650" s="219" t="s">
        <v>5489</v>
      </c>
      <c r="D2650" s="212" t="s">
        <v>5490</v>
      </c>
      <c r="E2650" s="212" t="s">
        <v>545</v>
      </c>
      <c r="F2650" s="213">
        <v>1</v>
      </c>
      <c r="G2650" s="213">
        <v>464.49900000000002</v>
      </c>
      <c r="H2650" s="195">
        <f t="shared" si="41"/>
        <v>464.49900000000002</v>
      </c>
      <c r="I2650" s="212" t="s">
        <v>2354</v>
      </c>
    </row>
    <row r="2651" spans="1:9" x14ac:dyDescent="0.25">
      <c r="A2651" s="218" t="s">
        <v>220</v>
      </c>
      <c r="B2651" s="218" t="s">
        <v>5430</v>
      </c>
      <c r="C2651" s="219" t="s">
        <v>5491</v>
      </c>
      <c r="D2651" s="212" t="s">
        <v>2448</v>
      </c>
      <c r="E2651" s="212" t="s">
        <v>545</v>
      </c>
      <c r="F2651" s="213">
        <v>6</v>
      </c>
      <c r="G2651" s="213">
        <v>30.778500000000001</v>
      </c>
      <c r="H2651" s="195">
        <f t="shared" si="41"/>
        <v>184.67099999999999</v>
      </c>
      <c r="I2651" s="212" t="s">
        <v>2354</v>
      </c>
    </row>
    <row r="2652" spans="1:9" x14ac:dyDescent="0.25">
      <c r="A2652" s="218" t="s">
        <v>220</v>
      </c>
      <c r="B2652" s="218" t="s">
        <v>5430</v>
      </c>
      <c r="C2652" s="219" t="s">
        <v>5492</v>
      </c>
      <c r="D2652" s="212" t="s">
        <v>5493</v>
      </c>
      <c r="E2652" s="212" t="s">
        <v>545</v>
      </c>
      <c r="F2652" s="210">
        <v>1</v>
      </c>
      <c r="G2652" s="213">
        <v>0</v>
      </c>
      <c r="H2652" s="195">
        <f t="shared" si="41"/>
        <v>0</v>
      </c>
      <c r="I2652" s="212" t="s">
        <v>2354</v>
      </c>
    </row>
    <row r="2653" spans="1:9" x14ac:dyDescent="0.25">
      <c r="A2653" s="218" t="s">
        <v>220</v>
      </c>
      <c r="B2653" s="218" t="s">
        <v>5430</v>
      </c>
      <c r="C2653" s="219" t="s">
        <v>5494</v>
      </c>
      <c r="D2653" s="212" t="s">
        <v>5495</v>
      </c>
      <c r="E2653" s="212" t="s">
        <v>545</v>
      </c>
      <c r="F2653" s="213">
        <v>2</v>
      </c>
      <c r="G2653" s="213">
        <v>1618.162</v>
      </c>
      <c r="H2653" s="195">
        <f t="shared" si="41"/>
        <v>3236.3240000000001</v>
      </c>
      <c r="I2653" s="212" t="s">
        <v>2354</v>
      </c>
    </row>
    <row r="2654" spans="1:9" x14ac:dyDescent="0.25">
      <c r="A2654" s="218" t="s">
        <v>220</v>
      </c>
      <c r="B2654" s="218" t="s">
        <v>5430</v>
      </c>
      <c r="C2654" s="219" t="s">
        <v>5496</v>
      </c>
      <c r="D2654" s="212" t="s">
        <v>5497</v>
      </c>
      <c r="E2654" s="212" t="s">
        <v>545</v>
      </c>
      <c r="F2654" s="213">
        <v>2</v>
      </c>
      <c r="G2654" s="213">
        <v>1763.58</v>
      </c>
      <c r="H2654" s="195">
        <f t="shared" si="41"/>
        <v>3527.16</v>
      </c>
      <c r="I2654" s="212" t="s">
        <v>2354</v>
      </c>
    </row>
    <row r="2655" spans="1:9" x14ac:dyDescent="0.25">
      <c r="A2655" s="218" t="s">
        <v>220</v>
      </c>
      <c r="B2655" s="218" t="s">
        <v>5430</v>
      </c>
      <c r="C2655" s="219" t="s">
        <v>5498</v>
      </c>
      <c r="D2655" s="212" t="s">
        <v>5499</v>
      </c>
      <c r="E2655" s="212" t="s">
        <v>545</v>
      </c>
      <c r="F2655" s="220">
        <v>2</v>
      </c>
      <c r="G2655" s="213">
        <v>258.3</v>
      </c>
      <c r="H2655" s="195">
        <f t="shared" si="41"/>
        <v>516.6</v>
      </c>
      <c r="I2655" s="212" t="s">
        <v>2354</v>
      </c>
    </row>
    <row r="2656" spans="1:9" x14ac:dyDescent="0.25">
      <c r="A2656" s="218" t="s">
        <v>220</v>
      </c>
      <c r="B2656" s="218" t="s">
        <v>5430</v>
      </c>
      <c r="C2656" s="219" t="s">
        <v>5500</v>
      </c>
      <c r="D2656" s="212" t="s">
        <v>5501</v>
      </c>
      <c r="E2656" s="212" t="s">
        <v>545</v>
      </c>
      <c r="F2656" s="213">
        <v>1</v>
      </c>
      <c r="G2656" s="213">
        <v>542.64599999999996</v>
      </c>
      <c r="H2656" s="195">
        <f t="shared" si="41"/>
        <v>542.64599999999996</v>
      </c>
      <c r="I2656" s="212" t="s">
        <v>2354</v>
      </c>
    </row>
    <row r="2657" spans="1:9" x14ac:dyDescent="0.25">
      <c r="A2657" s="218" t="s">
        <v>220</v>
      </c>
      <c r="B2657" s="218" t="s">
        <v>5430</v>
      </c>
      <c r="C2657" s="219" t="s">
        <v>5502</v>
      </c>
      <c r="D2657" s="212" t="s">
        <v>5503</v>
      </c>
      <c r="E2657" s="212" t="s">
        <v>545</v>
      </c>
      <c r="F2657" s="213">
        <v>5</v>
      </c>
      <c r="G2657" s="213">
        <v>177.255</v>
      </c>
      <c r="H2657" s="195">
        <f t="shared" si="41"/>
        <v>886.27499999999998</v>
      </c>
      <c r="I2657" s="212" t="s">
        <v>2354</v>
      </c>
    </row>
    <row r="2658" spans="1:9" x14ac:dyDescent="0.25">
      <c r="A2658" s="218" t="s">
        <v>220</v>
      </c>
      <c r="B2658" s="218" t="s">
        <v>5430</v>
      </c>
      <c r="C2658" s="219" t="s">
        <v>5504</v>
      </c>
      <c r="D2658" s="212" t="s">
        <v>5505</v>
      </c>
      <c r="E2658" s="212" t="s">
        <v>545</v>
      </c>
      <c r="F2658" s="213">
        <v>2</v>
      </c>
      <c r="G2658" s="213">
        <v>149.98500000000001</v>
      </c>
      <c r="H2658" s="195">
        <f t="shared" si="41"/>
        <v>299.97000000000003</v>
      </c>
      <c r="I2658" s="212" t="s">
        <v>2354</v>
      </c>
    </row>
    <row r="2659" spans="1:9" x14ac:dyDescent="0.25">
      <c r="A2659" s="218" t="s">
        <v>220</v>
      </c>
      <c r="B2659" s="218" t="s">
        <v>5430</v>
      </c>
      <c r="C2659" s="219" t="s">
        <v>5506</v>
      </c>
      <c r="D2659" s="212" t="s">
        <v>5507</v>
      </c>
      <c r="E2659" s="212" t="s">
        <v>545</v>
      </c>
      <c r="F2659" s="213">
        <v>5</v>
      </c>
      <c r="G2659" s="213">
        <v>162.51405</v>
      </c>
      <c r="H2659" s="195">
        <f t="shared" si="41"/>
        <v>812.57024999999999</v>
      </c>
      <c r="I2659" s="212" t="s">
        <v>2354</v>
      </c>
    </row>
    <row r="2660" spans="1:9" x14ac:dyDescent="0.25">
      <c r="A2660" s="218" t="s">
        <v>220</v>
      </c>
      <c r="B2660" s="218" t="s">
        <v>5430</v>
      </c>
      <c r="C2660" s="219" t="s">
        <v>5508</v>
      </c>
      <c r="D2660" s="212" t="s">
        <v>5509</v>
      </c>
      <c r="E2660" s="212" t="s">
        <v>545</v>
      </c>
      <c r="F2660" s="213">
        <v>4</v>
      </c>
      <c r="G2660" s="213">
        <v>51.516010000000001</v>
      </c>
      <c r="H2660" s="195">
        <f t="shared" si="41"/>
        <v>206.06404000000001</v>
      </c>
      <c r="I2660" s="212" t="s">
        <v>2354</v>
      </c>
    </row>
    <row r="2661" spans="1:9" x14ac:dyDescent="0.25">
      <c r="A2661" s="218" t="s">
        <v>220</v>
      </c>
      <c r="B2661" s="218" t="s">
        <v>5430</v>
      </c>
      <c r="C2661" s="219" t="s">
        <v>5510</v>
      </c>
      <c r="D2661" s="212" t="s">
        <v>5511</v>
      </c>
      <c r="E2661" s="212" t="s">
        <v>545</v>
      </c>
      <c r="F2661" s="213">
        <v>1</v>
      </c>
      <c r="G2661" s="213">
        <v>109.11535000000001</v>
      </c>
      <c r="H2661" s="195">
        <f t="shared" si="41"/>
        <v>109.11535000000001</v>
      </c>
      <c r="I2661" s="212" t="s">
        <v>2354</v>
      </c>
    </row>
    <row r="2662" spans="1:9" x14ac:dyDescent="0.25">
      <c r="A2662" s="218" t="s">
        <v>220</v>
      </c>
      <c r="B2662" s="218" t="s">
        <v>5430</v>
      </c>
      <c r="C2662" s="219" t="s">
        <v>5512</v>
      </c>
      <c r="D2662" s="212" t="s">
        <v>5513</v>
      </c>
      <c r="E2662" s="212" t="s">
        <v>545</v>
      </c>
      <c r="F2662" s="213">
        <v>3</v>
      </c>
      <c r="G2662" s="213">
        <v>149.98500000000001</v>
      </c>
      <c r="H2662" s="195">
        <f t="shared" si="41"/>
        <v>449.95500000000004</v>
      </c>
      <c r="I2662" s="212" t="s">
        <v>2354</v>
      </c>
    </row>
    <row r="2663" spans="1:9" x14ac:dyDescent="0.25">
      <c r="A2663" s="218" t="s">
        <v>220</v>
      </c>
      <c r="B2663" s="218" t="s">
        <v>5430</v>
      </c>
      <c r="C2663" s="219" t="s">
        <v>5514</v>
      </c>
      <c r="D2663" s="212" t="s">
        <v>5515</v>
      </c>
      <c r="E2663" s="212" t="s">
        <v>545</v>
      </c>
      <c r="F2663" s="213">
        <v>1</v>
      </c>
      <c r="G2663" s="213">
        <v>0</v>
      </c>
      <c r="H2663" s="195">
        <f t="shared" si="41"/>
        <v>0</v>
      </c>
      <c r="I2663" s="212" t="s">
        <v>2354</v>
      </c>
    </row>
    <row r="2664" spans="1:9" x14ac:dyDescent="0.25">
      <c r="A2664" s="218" t="s">
        <v>220</v>
      </c>
      <c r="B2664" s="218" t="s">
        <v>5430</v>
      </c>
      <c r="C2664" s="219" t="s">
        <v>5516</v>
      </c>
      <c r="D2664" s="212" t="s">
        <v>5517</v>
      </c>
      <c r="E2664" s="212" t="s">
        <v>545</v>
      </c>
      <c r="F2664" s="213">
        <v>2</v>
      </c>
      <c r="G2664" s="213">
        <v>0</v>
      </c>
      <c r="H2664" s="195">
        <f t="shared" si="41"/>
        <v>0</v>
      </c>
      <c r="I2664" s="212" t="s">
        <v>2354</v>
      </c>
    </row>
    <row r="2665" spans="1:9" x14ac:dyDescent="0.25">
      <c r="A2665" s="218" t="s">
        <v>220</v>
      </c>
      <c r="B2665" s="218" t="s">
        <v>5430</v>
      </c>
      <c r="C2665" s="219" t="s">
        <v>5518</v>
      </c>
      <c r="D2665" s="212" t="s">
        <v>5519</v>
      </c>
      <c r="E2665" s="212" t="s">
        <v>545</v>
      </c>
      <c r="F2665" s="213">
        <v>4</v>
      </c>
      <c r="G2665" s="213">
        <v>0</v>
      </c>
      <c r="H2665" s="195">
        <f t="shared" si="41"/>
        <v>0</v>
      </c>
      <c r="I2665" s="212" t="s">
        <v>2354</v>
      </c>
    </row>
    <row r="2666" spans="1:9" x14ac:dyDescent="0.25">
      <c r="A2666" s="218" t="s">
        <v>220</v>
      </c>
      <c r="B2666" s="218" t="s">
        <v>5430</v>
      </c>
      <c r="C2666" s="219" t="s">
        <v>5520</v>
      </c>
      <c r="D2666" s="212" t="s">
        <v>5521</v>
      </c>
      <c r="E2666" s="212" t="s">
        <v>545</v>
      </c>
      <c r="F2666" s="213">
        <v>1</v>
      </c>
      <c r="G2666" s="213">
        <v>0</v>
      </c>
      <c r="H2666" s="195">
        <f t="shared" si="41"/>
        <v>0</v>
      </c>
      <c r="I2666" s="212" t="s">
        <v>2354</v>
      </c>
    </row>
    <row r="2667" spans="1:9" x14ac:dyDescent="0.25">
      <c r="A2667" s="218" t="s">
        <v>220</v>
      </c>
      <c r="B2667" s="218" t="s">
        <v>5430</v>
      </c>
      <c r="C2667" s="219" t="s">
        <v>5522</v>
      </c>
      <c r="D2667" s="212" t="s">
        <v>5523</v>
      </c>
      <c r="E2667" s="212" t="s">
        <v>545</v>
      </c>
      <c r="F2667" s="213">
        <v>2</v>
      </c>
      <c r="G2667" s="213">
        <v>93.740625000000009</v>
      </c>
      <c r="H2667" s="195">
        <f t="shared" si="41"/>
        <v>187.48125000000002</v>
      </c>
      <c r="I2667" s="212" t="s">
        <v>2354</v>
      </c>
    </row>
    <row r="2668" spans="1:9" x14ac:dyDescent="0.25">
      <c r="A2668" s="218" t="s">
        <v>220</v>
      </c>
      <c r="B2668" s="218" t="s">
        <v>5430</v>
      </c>
      <c r="C2668" s="219" t="s">
        <v>5524</v>
      </c>
      <c r="D2668" s="212" t="s">
        <v>5525</v>
      </c>
      <c r="E2668" s="212" t="s">
        <v>545</v>
      </c>
      <c r="F2668" s="213">
        <v>2</v>
      </c>
      <c r="G2668" s="213">
        <v>357.96015999999997</v>
      </c>
      <c r="H2668" s="195">
        <f t="shared" si="41"/>
        <v>715.92031999999995</v>
      </c>
      <c r="I2668" s="212" t="s">
        <v>2354</v>
      </c>
    </row>
    <row r="2669" spans="1:9" x14ac:dyDescent="0.25">
      <c r="A2669" s="218" t="s">
        <v>220</v>
      </c>
      <c r="B2669" s="218" t="s">
        <v>5430</v>
      </c>
      <c r="C2669" s="219" t="s">
        <v>5526</v>
      </c>
      <c r="D2669" s="212" t="s">
        <v>5527</v>
      </c>
      <c r="E2669" s="212" t="s">
        <v>545</v>
      </c>
      <c r="F2669" s="213">
        <v>1</v>
      </c>
      <c r="G2669" s="213">
        <v>76.664050000000003</v>
      </c>
      <c r="H2669" s="195">
        <f t="shared" si="41"/>
        <v>76.664050000000003</v>
      </c>
      <c r="I2669" s="212" t="s">
        <v>2354</v>
      </c>
    </row>
    <row r="2670" spans="1:9" x14ac:dyDescent="0.25">
      <c r="A2670" s="218" t="s">
        <v>220</v>
      </c>
      <c r="B2670" s="218" t="s">
        <v>5430</v>
      </c>
      <c r="C2670" s="219" t="s">
        <v>5528</v>
      </c>
      <c r="D2670" s="212" t="s">
        <v>5529</v>
      </c>
      <c r="E2670" s="212" t="s">
        <v>545</v>
      </c>
      <c r="F2670" s="213">
        <v>1</v>
      </c>
      <c r="G2670" s="213">
        <v>42.724110000000003</v>
      </c>
      <c r="H2670" s="195">
        <f t="shared" si="41"/>
        <v>42.724110000000003</v>
      </c>
      <c r="I2670" s="212" t="s">
        <v>2354</v>
      </c>
    </row>
    <row r="2671" spans="1:9" x14ac:dyDescent="0.25">
      <c r="A2671" s="218" t="s">
        <v>220</v>
      </c>
      <c r="B2671" s="218" t="s">
        <v>5430</v>
      </c>
      <c r="C2671" s="219" t="s">
        <v>5530</v>
      </c>
      <c r="D2671" s="212" t="s">
        <v>5531</v>
      </c>
      <c r="E2671" s="212" t="s">
        <v>545</v>
      </c>
      <c r="F2671" s="213">
        <v>1</v>
      </c>
      <c r="G2671" s="213">
        <v>66.018649999999994</v>
      </c>
      <c r="H2671" s="195">
        <f t="shared" si="41"/>
        <v>66.018649999999994</v>
      </c>
      <c r="I2671" s="212" t="s">
        <v>2354</v>
      </c>
    </row>
    <row r="2672" spans="1:9" x14ac:dyDescent="0.25">
      <c r="A2672" s="218" t="s">
        <v>220</v>
      </c>
      <c r="B2672" s="218" t="s">
        <v>5430</v>
      </c>
      <c r="C2672" s="219" t="s">
        <v>5532</v>
      </c>
      <c r="D2672" s="212" t="s">
        <v>5533</v>
      </c>
      <c r="E2672" s="212" t="s">
        <v>545</v>
      </c>
      <c r="F2672" s="213">
        <v>4</v>
      </c>
      <c r="G2672" s="213">
        <v>42.722999999999999</v>
      </c>
      <c r="H2672" s="195">
        <f t="shared" si="41"/>
        <v>170.892</v>
      </c>
      <c r="I2672" s="212" t="s">
        <v>2354</v>
      </c>
    </row>
    <row r="2673" spans="1:9" x14ac:dyDescent="0.25">
      <c r="A2673" s="218" t="s">
        <v>220</v>
      </c>
      <c r="B2673" s="218" t="s">
        <v>5430</v>
      </c>
      <c r="C2673" s="219" t="s">
        <v>5534</v>
      </c>
      <c r="D2673" s="212" t="s">
        <v>5535</v>
      </c>
      <c r="E2673" s="212" t="s">
        <v>545</v>
      </c>
      <c r="F2673" s="213">
        <v>1</v>
      </c>
      <c r="G2673" s="213">
        <v>0</v>
      </c>
      <c r="H2673" s="195">
        <f t="shared" si="41"/>
        <v>0</v>
      </c>
      <c r="I2673" s="212" t="s">
        <v>2354</v>
      </c>
    </row>
    <row r="2674" spans="1:9" x14ac:dyDescent="0.25">
      <c r="A2674" s="218" t="s">
        <v>220</v>
      </c>
      <c r="B2674" s="218" t="s">
        <v>5430</v>
      </c>
      <c r="C2674" s="219" t="s">
        <v>5536</v>
      </c>
      <c r="D2674" s="212" t="s">
        <v>5537</v>
      </c>
      <c r="E2674" s="212" t="s">
        <v>545</v>
      </c>
      <c r="F2674" s="213">
        <v>1</v>
      </c>
      <c r="G2674" s="213">
        <v>0</v>
      </c>
      <c r="H2674" s="195">
        <f t="shared" si="41"/>
        <v>0</v>
      </c>
      <c r="I2674" s="212" t="s">
        <v>2354</v>
      </c>
    </row>
    <row r="2675" spans="1:9" x14ac:dyDescent="0.25">
      <c r="A2675" s="218" t="s">
        <v>220</v>
      </c>
      <c r="B2675" s="218" t="s">
        <v>5430</v>
      </c>
      <c r="C2675" s="219" t="s">
        <v>5538</v>
      </c>
      <c r="D2675" s="212" t="s">
        <v>5539</v>
      </c>
      <c r="E2675" s="212" t="s">
        <v>545</v>
      </c>
      <c r="F2675" s="213">
        <v>5</v>
      </c>
      <c r="G2675" s="213">
        <v>136.35</v>
      </c>
      <c r="H2675" s="195">
        <f t="shared" si="41"/>
        <v>681.75</v>
      </c>
      <c r="I2675" s="212" t="s">
        <v>2354</v>
      </c>
    </row>
    <row r="2676" spans="1:9" x14ac:dyDescent="0.25">
      <c r="A2676" s="218" t="s">
        <v>220</v>
      </c>
      <c r="B2676" s="218" t="s">
        <v>5430</v>
      </c>
      <c r="C2676" s="219" t="s">
        <v>5540</v>
      </c>
      <c r="D2676" s="212" t="s">
        <v>5541</v>
      </c>
      <c r="E2676" s="212" t="s">
        <v>545</v>
      </c>
      <c r="F2676" s="213">
        <v>1</v>
      </c>
      <c r="G2676" s="213">
        <v>1208.9567500000001</v>
      </c>
      <c r="H2676" s="195">
        <f t="shared" si="41"/>
        <v>1208.9567500000001</v>
      </c>
      <c r="I2676" s="212" t="s">
        <v>2354</v>
      </c>
    </row>
    <row r="2677" spans="1:9" x14ac:dyDescent="0.25">
      <c r="A2677" s="218" t="s">
        <v>220</v>
      </c>
      <c r="B2677" s="218" t="s">
        <v>5430</v>
      </c>
      <c r="C2677" s="219" t="s">
        <v>5542</v>
      </c>
      <c r="D2677" s="212" t="s">
        <v>5543</v>
      </c>
      <c r="E2677" s="212" t="s">
        <v>545</v>
      </c>
      <c r="F2677" s="213">
        <v>1</v>
      </c>
      <c r="G2677" s="213">
        <v>292.69799999999998</v>
      </c>
      <c r="H2677" s="195">
        <f t="shared" si="41"/>
        <v>292.69799999999998</v>
      </c>
      <c r="I2677" s="212" t="s">
        <v>2354</v>
      </c>
    </row>
    <row r="2678" spans="1:9" x14ac:dyDescent="0.25">
      <c r="A2678" s="218" t="s">
        <v>220</v>
      </c>
      <c r="B2678" s="218" t="s">
        <v>5430</v>
      </c>
      <c r="C2678" s="219" t="s">
        <v>5544</v>
      </c>
      <c r="D2678" s="212" t="s">
        <v>5545</v>
      </c>
      <c r="E2678" s="212" t="s">
        <v>545</v>
      </c>
      <c r="F2678" s="213">
        <v>5</v>
      </c>
      <c r="G2678" s="213">
        <v>0</v>
      </c>
      <c r="H2678" s="195">
        <f t="shared" si="41"/>
        <v>0</v>
      </c>
      <c r="I2678" s="212" t="s">
        <v>2354</v>
      </c>
    </row>
    <row r="2679" spans="1:9" x14ac:dyDescent="0.25">
      <c r="A2679" s="218" t="s">
        <v>220</v>
      </c>
      <c r="B2679" s="218" t="s">
        <v>5430</v>
      </c>
      <c r="C2679" s="219" t="s">
        <v>5546</v>
      </c>
      <c r="D2679" s="212" t="s">
        <v>5547</v>
      </c>
      <c r="E2679" s="212" t="s">
        <v>545</v>
      </c>
      <c r="F2679" s="213">
        <v>2</v>
      </c>
      <c r="G2679" s="213">
        <v>724.51649999999995</v>
      </c>
      <c r="H2679" s="195">
        <f t="shared" si="41"/>
        <v>1449.0329999999999</v>
      </c>
      <c r="I2679" s="212" t="s">
        <v>2354</v>
      </c>
    </row>
    <row r="2680" spans="1:9" x14ac:dyDescent="0.25">
      <c r="A2680" s="218" t="s">
        <v>220</v>
      </c>
      <c r="B2680" s="218" t="s">
        <v>5430</v>
      </c>
      <c r="C2680" s="219" t="s">
        <v>5548</v>
      </c>
      <c r="D2680" s="212" t="s">
        <v>5549</v>
      </c>
      <c r="E2680" s="212" t="s">
        <v>545</v>
      </c>
      <c r="F2680" s="213">
        <v>2</v>
      </c>
      <c r="G2680" s="213">
        <v>20.55725</v>
      </c>
      <c r="H2680" s="195">
        <f t="shared" si="41"/>
        <v>41.1145</v>
      </c>
      <c r="I2680" s="212" t="s">
        <v>2354</v>
      </c>
    </row>
    <row r="2681" spans="1:9" x14ac:dyDescent="0.25">
      <c r="A2681" s="218" t="s">
        <v>220</v>
      </c>
      <c r="B2681" s="218" t="s">
        <v>5430</v>
      </c>
      <c r="C2681" s="219" t="s">
        <v>5550</v>
      </c>
      <c r="D2681" s="212" t="s">
        <v>5551</v>
      </c>
      <c r="E2681" s="212" t="s">
        <v>545</v>
      </c>
      <c r="F2681" s="213">
        <v>2</v>
      </c>
      <c r="G2681" s="213">
        <v>0</v>
      </c>
      <c r="H2681" s="195">
        <f t="shared" si="41"/>
        <v>0</v>
      </c>
      <c r="I2681" s="212" t="s">
        <v>2354</v>
      </c>
    </row>
    <row r="2682" spans="1:9" x14ac:dyDescent="0.25">
      <c r="A2682" s="218" t="s">
        <v>220</v>
      </c>
      <c r="B2682" s="218" t="s">
        <v>5430</v>
      </c>
      <c r="C2682" s="219" t="s">
        <v>5552</v>
      </c>
      <c r="D2682" s="212" t="s">
        <v>5553</v>
      </c>
      <c r="E2682" s="212" t="s">
        <v>545</v>
      </c>
      <c r="F2682" s="213">
        <v>4</v>
      </c>
      <c r="G2682" s="213">
        <v>430.26</v>
      </c>
      <c r="H2682" s="195">
        <f t="shared" si="41"/>
        <v>1721.04</v>
      </c>
      <c r="I2682" s="212" t="s">
        <v>2354</v>
      </c>
    </row>
    <row r="2683" spans="1:9" x14ac:dyDescent="0.25">
      <c r="A2683" s="218" t="s">
        <v>220</v>
      </c>
      <c r="B2683" s="218" t="s">
        <v>5430</v>
      </c>
      <c r="C2683" s="219" t="s">
        <v>5554</v>
      </c>
      <c r="D2683" s="212" t="s">
        <v>5555</v>
      </c>
      <c r="E2683" s="212" t="s">
        <v>545</v>
      </c>
      <c r="F2683" s="213">
        <v>4</v>
      </c>
      <c r="G2683" s="213">
        <v>101.85850000000001</v>
      </c>
      <c r="H2683" s="195">
        <f t="shared" si="41"/>
        <v>407.43400000000003</v>
      </c>
      <c r="I2683" s="212" t="s">
        <v>2354</v>
      </c>
    </row>
    <row r="2684" spans="1:9" x14ac:dyDescent="0.25">
      <c r="A2684" s="218" t="s">
        <v>220</v>
      </c>
      <c r="B2684" s="218" t="s">
        <v>5430</v>
      </c>
      <c r="C2684" s="219" t="s">
        <v>5556</v>
      </c>
      <c r="D2684" s="212" t="s">
        <v>5557</v>
      </c>
      <c r="E2684" s="212" t="s">
        <v>545</v>
      </c>
      <c r="F2684" s="213">
        <v>14</v>
      </c>
      <c r="G2684" s="213">
        <v>24.24</v>
      </c>
      <c r="H2684" s="195">
        <f t="shared" si="41"/>
        <v>339.35999999999996</v>
      </c>
      <c r="I2684" s="212" t="s">
        <v>2354</v>
      </c>
    </row>
    <row r="2685" spans="1:9" x14ac:dyDescent="0.25">
      <c r="A2685" s="218" t="s">
        <v>220</v>
      </c>
      <c r="B2685" s="218" t="s">
        <v>5430</v>
      </c>
      <c r="C2685" s="219" t="s">
        <v>5558</v>
      </c>
      <c r="D2685" s="212" t="s">
        <v>5559</v>
      </c>
      <c r="E2685" s="212" t="s">
        <v>545</v>
      </c>
      <c r="F2685" s="210">
        <v>16</v>
      </c>
      <c r="G2685" s="213">
        <v>27.774999999999999</v>
      </c>
      <c r="H2685" s="195">
        <f t="shared" si="41"/>
        <v>444.4</v>
      </c>
      <c r="I2685" s="212" t="s">
        <v>2354</v>
      </c>
    </row>
    <row r="2686" spans="1:9" x14ac:dyDescent="0.25">
      <c r="A2686" s="218" t="s">
        <v>220</v>
      </c>
      <c r="B2686" s="218" t="s">
        <v>5430</v>
      </c>
      <c r="C2686" s="219" t="s">
        <v>5560</v>
      </c>
      <c r="D2686" s="212" t="s">
        <v>5561</v>
      </c>
      <c r="E2686" s="212" t="s">
        <v>545</v>
      </c>
      <c r="F2686" s="213">
        <v>15</v>
      </c>
      <c r="G2686" s="213">
        <v>589.88173333333327</v>
      </c>
      <c r="H2686" s="195">
        <f t="shared" si="41"/>
        <v>8848.2259999999987</v>
      </c>
      <c r="I2686" s="212" t="s">
        <v>2354</v>
      </c>
    </row>
    <row r="2687" spans="1:9" x14ac:dyDescent="0.25">
      <c r="A2687" s="218" t="s">
        <v>220</v>
      </c>
      <c r="B2687" s="218" t="s">
        <v>5430</v>
      </c>
      <c r="C2687" s="219" t="s">
        <v>5562</v>
      </c>
      <c r="D2687" s="212" t="s">
        <v>5563</v>
      </c>
      <c r="E2687" s="212" t="s">
        <v>545</v>
      </c>
      <c r="F2687" s="213">
        <v>100</v>
      </c>
      <c r="G2687" s="213">
        <v>111.1</v>
      </c>
      <c r="H2687" s="195">
        <f t="shared" si="41"/>
        <v>11110</v>
      </c>
      <c r="I2687" s="212" t="s">
        <v>2354</v>
      </c>
    </row>
    <row r="2688" spans="1:9" x14ac:dyDescent="0.25">
      <c r="A2688" s="218" t="s">
        <v>220</v>
      </c>
      <c r="B2688" s="218" t="s">
        <v>5430</v>
      </c>
      <c r="C2688" s="219" t="s">
        <v>5564</v>
      </c>
      <c r="D2688" s="212" t="s">
        <v>5565</v>
      </c>
      <c r="E2688" s="212" t="s">
        <v>545</v>
      </c>
      <c r="F2688" s="220">
        <v>25</v>
      </c>
      <c r="G2688" s="213">
        <v>50.5</v>
      </c>
      <c r="H2688" s="195">
        <f t="shared" si="41"/>
        <v>1262.5</v>
      </c>
      <c r="I2688" s="212" t="s">
        <v>2354</v>
      </c>
    </row>
    <row r="2689" spans="1:9" x14ac:dyDescent="0.25">
      <c r="A2689" s="218" t="s">
        <v>220</v>
      </c>
      <c r="B2689" s="218" t="s">
        <v>5430</v>
      </c>
      <c r="C2689" s="219" t="s">
        <v>5566</v>
      </c>
      <c r="D2689" s="212" t="s">
        <v>5567</v>
      </c>
      <c r="E2689" s="212" t="s">
        <v>545</v>
      </c>
      <c r="F2689" s="213">
        <v>5</v>
      </c>
      <c r="G2689" s="213">
        <v>360.34687318846187</v>
      </c>
      <c r="H2689" s="195">
        <f t="shared" si="41"/>
        <v>1801.7343659423093</v>
      </c>
      <c r="I2689" s="212" t="s">
        <v>2354</v>
      </c>
    </row>
    <row r="2690" spans="1:9" x14ac:dyDescent="0.25">
      <c r="A2690" s="218" t="s">
        <v>220</v>
      </c>
      <c r="B2690" s="218" t="s">
        <v>5430</v>
      </c>
      <c r="C2690" s="219" t="s">
        <v>5568</v>
      </c>
      <c r="D2690" s="212" t="s">
        <v>5569</v>
      </c>
      <c r="E2690" s="212" t="s">
        <v>545</v>
      </c>
      <c r="F2690" s="213">
        <v>0</v>
      </c>
      <c r="G2690" s="213">
        <v>5564.7579999999998</v>
      </c>
      <c r="H2690" s="195">
        <f t="shared" si="41"/>
        <v>0</v>
      </c>
      <c r="I2690" s="212" t="s">
        <v>2354</v>
      </c>
    </row>
    <row r="2691" spans="1:9" x14ac:dyDescent="0.25">
      <c r="A2691" s="218" t="s">
        <v>220</v>
      </c>
      <c r="B2691" s="218" t="s">
        <v>5430</v>
      </c>
      <c r="C2691" s="219" t="s">
        <v>5570</v>
      </c>
      <c r="D2691" s="212" t="s">
        <v>5571</v>
      </c>
      <c r="E2691" s="212" t="s">
        <v>545</v>
      </c>
      <c r="F2691" s="213">
        <v>2</v>
      </c>
      <c r="G2691" s="213">
        <v>150.30000000000001</v>
      </c>
      <c r="H2691" s="195">
        <f t="shared" si="41"/>
        <v>300.60000000000002</v>
      </c>
      <c r="I2691" s="212" t="s">
        <v>2354</v>
      </c>
    </row>
    <row r="2692" spans="1:9" x14ac:dyDescent="0.25">
      <c r="A2692" s="218" t="s">
        <v>220</v>
      </c>
      <c r="B2692" s="218" t="s">
        <v>5430</v>
      </c>
      <c r="C2692" s="219" t="s">
        <v>5572</v>
      </c>
      <c r="D2692" s="212" t="s">
        <v>5573</v>
      </c>
      <c r="E2692" s="212" t="s">
        <v>545</v>
      </c>
      <c r="F2692" s="210">
        <v>3</v>
      </c>
      <c r="G2692" s="213">
        <v>126.90000000000002</v>
      </c>
      <c r="H2692" s="195">
        <f t="shared" si="41"/>
        <v>380.70000000000005</v>
      </c>
      <c r="I2692" s="212" t="s">
        <v>2354</v>
      </c>
    </row>
    <row r="2693" spans="1:9" x14ac:dyDescent="0.25">
      <c r="A2693" s="218" t="s">
        <v>220</v>
      </c>
      <c r="B2693" s="218" t="s">
        <v>5430</v>
      </c>
      <c r="C2693" s="219" t="s">
        <v>5574</v>
      </c>
      <c r="D2693" s="212" t="s">
        <v>5575</v>
      </c>
      <c r="E2693" s="212" t="s">
        <v>545</v>
      </c>
      <c r="F2693" s="213">
        <v>1</v>
      </c>
      <c r="G2693" s="213">
        <v>7550.1865399999997</v>
      </c>
      <c r="H2693" s="195">
        <f t="shared" ref="H2693:H2756" si="42">+F2693*G2693</f>
        <v>7550.1865399999997</v>
      </c>
      <c r="I2693" s="212" t="s">
        <v>2354</v>
      </c>
    </row>
    <row r="2694" spans="1:9" x14ac:dyDescent="0.25">
      <c r="A2694" s="218" t="s">
        <v>220</v>
      </c>
      <c r="B2694" s="218" t="s">
        <v>5430</v>
      </c>
      <c r="C2694" s="219" t="s">
        <v>5576</v>
      </c>
      <c r="D2694" s="212" t="s">
        <v>5577</v>
      </c>
      <c r="E2694" s="212" t="s">
        <v>545</v>
      </c>
      <c r="F2694" s="220">
        <v>1</v>
      </c>
      <c r="G2694" s="213">
        <v>919.81967999999995</v>
      </c>
      <c r="H2694" s="195">
        <f t="shared" si="42"/>
        <v>919.81967999999995</v>
      </c>
      <c r="I2694" s="212" t="s">
        <v>2354</v>
      </c>
    </row>
    <row r="2695" spans="1:9" x14ac:dyDescent="0.25">
      <c r="A2695" s="218" t="s">
        <v>220</v>
      </c>
      <c r="B2695" s="218" t="s">
        <v>5430</v>
      </c>
      <c r="C2695" s="219" t="s">
        <v>5578</v>
      </c>
      <c r="D2695" s="212" t="s">
        <v>5579</v>
      </c>
      <c r="E2695" s="212" t="s">
        <v>545</v>
      </c>
      <c r="F2695" s="213">
        <v>1</v>
      </c>
      <c r="G2695" s="213">
        <v>478.08156500000001</v>
      </c>
      <c r="H2695" s="195">
        <f t="shared" si="42"/>
        <v>478.08156500000001</v>
      </c>
      <c r="I2695" s="212" t="s">
        <v>2354</v>
      </c>
    </row>
    <row r="2696" spans="1:9" x14ac:dyDescent="0.25">
      <c r="A2696" s="218" t="s">
        <v>220</v>
      </c>
      <c r="B2696" s="218" t="s">
        <v>5430</v>
      </c>
      <c r="C2696" s="219" t="s">
        <v>5580</v>
      </c>
      <c r="D2696" s="212" t="s">
        <v>5581</v>
      </c>
      <c r="E2696" s="212" t="s">
        <v>545</v>
      </c>
      <c r="F2696" s="213">
        <v>1</v>
      </c>
      <c r="G2696" s="213">
        <v>365.74726500000003</v>
      </c>
      <c r="H2696" s="195">
        <f t="shared" si="42"/>
        <v>365.74726500000003</v>
      </c>
      <c r="I2696" s="212" t="s">
        <v>2354</v>
      </c>
    </row>
    <row r="2697" spans="1:9" x14ac:dyDescent="0.25">
      <c r="A2697" s="218" t="s">
        <v>220</v>
      </c>
      <c r="B2697" s="218" t="s">
        <v>5430</v>
      </c>
      <c r="C2697" s="219" t="s">
        <v>5582</v>
      </c>
      <c r="D2697" s="212" t="s">
        <v>5583</v>
      </c>
      <c r="E2697" s="212" t="s">
        <v>545</v>
      </c>
      <c r="F2697" s="213">
        <v>1</v>
      </c>
      <c r="G2697" s="213">
        <v>651.53894000000003</v>
      </c>
      <c r="H2697" s="195">
        <f t="shared" si="42"/>
        <v>651.53894000000003</v>
      </c>
      <c r="I2697" s="212" t="s">
        <v>2354</v>
      </c>
    </row>
    <row r="2698" spans="1:9" x14ac:dyDescent="0.25">
      <c r="A2698" s="218" t="s">
        <v>220</v>
      </c>
      <c r="B2698" s="218" t="s">
        <v>5430</v>
      </c>
      <c r="C2698" s="219" t="s">
        <v>5584</v>
      </c>
      <c r="D2698" s="212" t="s">
        <v>5585</v>
      </c>
      <c r="E2698" s="212" t="s">
        <v>545</v>
      </c>
      <c r="F2698" s="213">
        <v>1</v>
      </c>
      <c r="G2698" s="213">
        <v>63.435839999999999</v>
      </c>
      <c r="H2698" s="195">
        <f t="shared" si="42"/>
        <v>63.435839999999999</v>
      </c>
      <c r="I2698" s="212" t="s">
        <v>2354</v>
      </c>
    </row>
    <row r="2699" spans="1:9" x14ac:dyDescent="0.25">
      <c r="A2699" s="218" t="s">
        <v>220</v>
      </c>
      <c r="B2699" s="218" t="s">
        <v>5430</v>
      </c>
      <c r="C2699" s="219" t="s">
        <v>5586</v>
      </c>
      <c r="D2699" s="212" t="s">
        <v>5587</v>
      </c>
      <c r="E2699" s="212" t="s">
        <v>545</v>
      </c>
      <c r="F2699" s="213">
        <v>1</v>
      </c>
      <c r="G2699" s="213">
        <v>1791.7320850000001</v>
      </c>
      <c r="H2699" s="195">
        <f t="shared" si="42"/>
        <v>1791.7320850000001</v>
      </c>
      <c r="I2699" s="212" t="s">
        <v>2354</v>
      </c>
    </row>
    <row r="2700" spans="1:9" x14ac:dyDescent="0.25">
      <c r="A2700" s="218" t="s">
        <v>220</v>
      </c>
      <c r="B2700" s="218" t="s">
        <v>5430</v>
      </c>
      <c r="C2700" s="219" t="s">
        <v>5588</v>
      </c>
      <c r="D2700" s="212" t="s">
        <v>5589</v>
      </c>
      <c r="E2700" s="212" t="s">
        <v>545</v>
      </c>
      <c r="F2700" s="213">
        <v>6</v>
      </c>
      <c r="G2700" s="213">
        <v>0</v>
      </c>
      <c r="H2700" s="195">
        <f t="shared" si="42"/>
        <v>0</v>
      </c>
      <c r="I2700" s="212" t="s">
        <v>2354</v>
      </c>
    </row>
    <row r="2701" spans="1:9" x14ac:dyDescent="0.25">
      <c r="A2701" s="218" t="s">
        <v>220</v>
      </c>
      <c r="B2701" s="218" t="s">
        <v>5430</v>
      </c>
      <c r="C2701" s="219" t="s">
        <v>5590</v>
      </c>
      <c r="D2701" s="212" t="s">
        <v>5591</v>
      </c>
      <c r="E2701" s="212" t="s">
        <v>545</v>
      </c>
      <c r="F2701" s="213">
        <v>1</v>
      </c>
      <c r="G2701" s="213">
        <v>0</v>
      </c>
      <c r="H2701" s="195">
        <f t="shared" si="42"/>
        <v>0</v>
      </c>
      <c r="I2701" s="212" t="s">
        <v>2354</v>
      </c>
    </row>
    <row r="2702" spans="1:9" x14ac:dyDescent="0.25">
      <c r="A2702" s="218" t="s">
        <v>220</v>
      </c>
      <c r="B2702" s="218" t="s">
        <v>5430</v>
      </c>
      <c r="C2702" s="219" t="s">
        <v>5592</v>
      </c>
      <c r="D2702" s="212" t="s">
        <v>5593</v>
      </c>
      <c r="E2702" s="212" t="s">
        <v>545</v>
      </c>
      <c r="F2702" s="213">
        <v>2</v>
      </c>
      <c r="G2702" s="213">
        <v>0</v>
      </c>
      <c r="H2702" s="195">
        <f t="shared" si="42"/>
        <v>0</v>
      </c>
      <c r="I2702" s="212" t="s">
        <v>2354</v>
      </c>
    </row>
    <row r="2703" spans="1:9" x14ac:dyDescent="0.25">
      <c r="A2703" s="218" t="s">
        <v>220</v>
      </c>
      <c r="B2703" s="218" t="s">
        <v>5430</v>
      </c>
      <c r="C2703" s="219" t="s">
        <v>5594</v>
      </c>
      <c r="D2703" s="212" t="s">
        <v>5595</v>
      </c>
      <c r="E2703" s="212" t="s">
        <v>545</v>
      </c>
      <c r="F2703" s="213">
        <v>1</v>
      </c>
      <c r="G2703" s="213">
        <v>0</v>
      </c>
      <c r="H2703" s="195">
        <f t="shared" si="42"/>
        <v>0</v>
      </c>
      <c r="I2703" s="212" t="s">
        <v>2354</v>
      </c>
    </row>
    <row r="2704" spans="1:9" x14ac:dyDescent="0.25">
      <c r="A2704" s="218" t="s">
        <v>220</v>
      </c>
      <c r="B2704" s="218" t="s">
        <v>5430</v>
      </c>
      <c r="C2704" s="219" t="s">
        <v>5596</v>
      </c>
      <c r="D2704" s="212" t="s">
        <v>5597</v>
      </c>
      <c r="E2704" s="212" t="s">
        <v>545</v>
      </c>
      <c r="F2704" s="213">
        <v>2</v>
      </c>
      <c r="G2704" s="213">
        <v>0</v>
      </c>
      <c r="H2704" s="195">
        <f t="shared" si="42"/>
        <v>0</v>
      </c>
      <c r="I2704" s="212" t="s">
        <v>2354</v>
      </c>
    </row>
    <row r="2705" spans="1:9" x14ac:dyDescent="0.25">
      <c r="A2705" s="218" t="s">
        <v>220</v>
      </c>
      <c r="B2705" s="218" t="s">
        <v>5430</v>
      </c>
      <c r="C2705" s="219" t="s">
        <v>5598</v>
      </c>
      <c r="D2705" s="212" t="s">
        <v>5599</v>
      </c>
      <c r="E2705" s="212" t="s">
        <v>545</v>
      </c>
      <c r="F2705" s="213">
        <v>1</v>
      </c>
      <c r="G2705" s="213">
        <v>0</v>
      </c>
      <c r="H2705" s="195">
        <f t="shared" si="42"/>
        <v>0</v>
      </c>
      <c r="I2705" s="212" t="s">
        <v>2354</v>
      </c>
    </row>
    <row r="2706" spans="1:9" x14ac:dyDescent="0.25">
      <c r="A2706" s="218" t="s">
        <v>220</v>
      </c>
      <c r="B2706" s="218" t="s">
        <v>5430</v>
      </c>
      <c r="C2706" s="219" t="s">
        <v>5600</v>
      </c>
      <c r="D2706" s="212" t="s">
        <v>5599</v>
      </c>
      <c r="E2706" s="212" t="s">
        <v>545</v>
      </c>
      <c r="F2706" s="213">
        <v>1</v>
      </c>
      <c r="G2706" s="213">
        <v>0</v>
      </c>
      <c r="H2706" s="195">
        <f t="shared" si="42"/>
        <v>0</v>
      </c>
      <c r="I2706" s="212" t="s">
        <v>2354</v>
      </c>
    </row>
    <row r="2707" spans="1:9" x14ac:dyDescent="0.25">
      <c r="A2707" s="218" t="s">
        <v>220</v>
      </c>
      <c r="B2707" s="218" t="s">
        <v>5430</v>
      </c>
      <c r="C2707" s="219" t="s">
        <v>5601</v>
      </c>
      <c r="D2707" s="212" t="s">
        <v>5602</v>
      </c>
      <c r="E2707" s="212" t="s">
        <v>545</v>
      </c>
      <c r="F2707" s="213">
        <v>2</v>
      </c>
      <c r="G2707" s="213">
        <v>0</v>
      </c>
      <c r="H2707" s="195">
        <f t="shared" si="42"/>
        <v>0</v>
      </c>
      <c r="I2707" s="212" t="s">
        <v>2354</v>
      </c>
    </row>
    <row r="2708" spans="1:9" x14ac:dyDescent="0.25">
      <c r="A2708" s="218" t="s">
        <v>220</v>
      </c>
      <c r="B2708" s="218" t="s">
        <v>5430</v>
      </c>
      <c r="C2708" s="219" t="s">
        <v>5603</v>
      </c>
      <c r="D2708" s="212" t="s">
        <v>5604</v>
      </c>
      <c r="E2708" s="212" t="s">
        <v>545</v>
      </c>
      <c r="F2708" s="213">
        <v>3</v>
      </c>
      <c r="G2708" s="213">
        <v>0</v>
      </c>
      <c r="H2708" s="195">
        <f t="shared" si="42"/>
        <v>0</v>
      </c>
      <c r="I2708" s="212" t="s">
        <v>2354</v>
      </c>
    </row>
    <row r="2709" spans="1:9" x14ac:dyDescent="0.25">
      <c r="A2709" s="218" t="s">
        <v>220</v>
      </c>
      <c r="B2709" s="218" t="s">
        <v>5430</v>
      </c>
      <c r="C2709" s="219" t="s">
        <v>5605</v>
      </c>
      <c r="D2709" s="212" t="s">
        <v>5606</v>
      </c>
      <c r="E2709" s="212" t="s">
        <v>545</v>
      </c>
      <c r="F2709" s="213">
        <v>2</v>
      </c>
      <c r="G2709" s="213">
        <v>0</v>
      </c>
      <c r="H2709" s="195">
        <f t="shared" si="42"/>
        <v>0</v>
      </c>
      <c r="I2709" s="212" t="s">
        <v>2354</v>
      </c>
    </row>
    <row r="2710" spans="1:9" x14ac:dyDescent="0.25">
      <c r="A2710" s="218" t="s">
        <v>220</v>
      </c>
      <c r="B2710" s="218" t="s">
        <v>5430</v>
      </c>
      <c r="C2710" s="219" t="s">
        <v>5607</v>
      </c>
      <c r="D2710" s="212" t="s">
        <v>5608</v>
      </c>
      <c r="E2710" s="212" t="s">
        <v>545</v>
      </c>
      <c r="F2710" s="213">
        <v>1</v>
      </c>
      <c r="G2710" s="213">
        <v>0</v>
      </c>
      <c r="H2710" s="195">
        <f t="shared" si="42"/>
        <v>0</v>
      </c>
      <c r="I2710" s="212" t="s">
        <v>2354</v>
      </c>
    </row>
    <row r="2711" spans="1:9" x14ac:dyDescent="0.25">
      <c r="A2711" s="218" t="s">
        <v>220</v>
      </c>
      <c r="B2711" s="218" t="s">
        <v>5430</v>
      </c>
      <c r="C2711" s="219" t="s">
        <v>5609</v>
      </c>
      <c r="D2711" s="212" t="s">
        <v>5610</v>
      </c>
      <c r="E2711" s="212" t="s">
        <v>545</v>
      </c>
      <c r="F2711" s="213">
        <v>1</v>
      </c>
      <c r="G2711" s="213">
        <v>0</v>
      </c>
      <c r="H2711" s="195">
        <f t="shared" si="42"/>
        <v>0</v>
      </c>
      <c r="I2711" s="212" t="s">
        <v>2354</v>
      </c>
    </row>
    <row r="2712" spans="1:9" x14ac:dyDescent="0.25">
      <c r="A2712" s="218" t="s">
        <v>220</v>
      </c>
      <c r="B2712" s="218" t="s">
        <v>5430</v>
      </c>
      <c r="C2712" s="219" t="s">
        <v>5611</v>
      </c>
      <c r="D2712" s="212" t="s">
        <v>5612</v>
      </c>
      <c r="E2712" s="212" t="s">
        <v>545</v>
      </c>
      <c r="F2712" s="213">
        <v>1</v>
      </c>
      <c r="G2712" s="213">
        <v>0</v>
      </c>
      <c r="H2712" s="195">
        <f t="shared" si="42"/>
        <v>0</v>
      </c>
      <c r="I2712" s="212" t="s">
        <v>2354</v>
      </c>
    </row>
    <row r="2713" spans="1:9" x14ac:dyDescent="0.25">
      <c r="A2713" s="218" t="s">
        <v>220</v>
      </c>
      <c r="B2713" s="218" t="s">
        <v>5430</v>
      </c>
      <c r="C2713" s="219" t="s">
        <v>5613</v>
      </c>
      <c r="D2713" s="212" t="s">
        <v>5614</v>
      </c>
      <c r="E2713" s="212" t="s">
        <v>545</v>
      </c>
      <c r="F2713" s="213">
        <v>1</v>
      </c>
      <c r="G2713" s="213">
        <v>0</v>
      </c>
      <c r="H2713" s="195">
        <f t="shared" si="42"/>
        <v>0</v>
      </c>
      <c r="I2713" s="212" t="s">
        <v>2354</v>
      </c>
    </row>
    <row r="2714" spans="1:9" x14ac:dyDescent="0.25">
      <c r="A2714" s="218" t="s">
        <v>220</v>
      </c>
      <c r="B2714" s="218" t="s">
        <v>5430</v>
      </c>
      <c r="C2714" s="219" t="s">
        <v>5615</v>
      </c>
      <c r="D2714" s="212" t="s">
        <v>5616</v>
      </c>
      <c r="E2714" s="212" t="s">
        <v>545</v>
      </c>
      <c r="F2714" s="213">
        <v>2</v>
      </c>
      <c r="G2714" s="213">
        <v>0</v>
      </c>
      <c r="H2714" s="195">
        <f t="shared" si="42"/>
        <v>0</v>
      </c>
      <c r="I2714" s="212" t="s">
        <v>2354</v>
      </c>
    </row>
    <row r="2715" spans="1:9" x14ac:dyDescent="0.25">
      <c r="A2715" s="218" t="s">
        <v>220</v>
      </c>
      <c r="B2715" s="218" t="s">
        <v>5430</v>
      </c>
      <c r="C2715" s="219" t="s">
        <v>5617</v>
      </c>
      <c r="D2715" s="212" t="s">
        <v>5618</v>
      </c>
      <c r="E2715" s="212" t="s">
        <v>545</v>
      </c>
      <c r="F2715" s="213">
        <v>1</v>
      </c>
      <c r="G2715" s="213">
        <v>0</v>
      </c>
      <c r="H2715" s="195">
        <f t="shared" si="42"/>
        <v>0</v>
      </c>
      <c r="I2715" s="212" t="s">
        <v>2354</v>
      </c>
    </row>
    <row r="2716" spans="1:9" x14ac:dyDescent="0.25">
      <c r="A2716" s="218" t="s">
        <v>220</v>
      </c>
      <c r="B2716" s="218" t="s">
        <v>5430</v>
      </c>
      <c r="C2716" s="219" t="s">
        <v>5619</v>
      </c>
      <c r="D2716" s="212" t="s">
        <v>5620</v>
      </c>
      <c r="E2716" s="212" t="s">
        <v>545</v>
      </c>
      <c r="F2716" s="213">
        <v>1</v>
      </c>
      <c r="G2716" s="213">
        <v>0</v>
      </c>
      <c r="H2716" s="195">
        <f t="shared" si="42"/>
        <v>0</v>
      </c>
      <c r="I2716" s="212" t="s">
        <v>2354</v>
      </c>
    </row>
    <row r="2717" spans="1:9" x14ac:dyDescent="0.25">
      <c r="A2717" s="218" t="s">
        <v>220</v>
      </c>
      <c r="B2717" s="218" t="s">
        <v>5430</v>
      </c>
      <c r="C2717" s="219" t="s">
        <v>5621</v>
      </c>
      <c r="D2717" s="212" t="s">
        <v>5622</v>
      </c>
      <c r="E2717" s="212" t="s">
        <v>545</v>
      </c>
      <c r="F2717" s="213">
        <v>1</v>
      </c>
      <c r="G2717" s="213">
        <v>0</v>
      </c>
      <c r="H2717" s="195">
        <f t="shared" si="42"/>
        <v>0</v>
      </c>
      <c r="I2717" s="212" t="s">
        <v>2354</v>
      </c>
    </row>
    <row r="2718" spans="1:9" x14ac:dyDescent="0.25">
      <c r="A2718" s="218" t="s">
        <v>220</v>
      </c>
      <c r="B2718" s="218" t="s">
        <v>5430</v>
      </c>
      <c r="C2718" s="219" t="s">
        <v>5623</v>
      </c>
      <c r="D2718" s="212" t="s">
        <v>5624</v>
      </c>
      <c r="E2718" s="212" t="s">
        <v>545</v>
      </c>
      <c r="F2718" s="213">
        <v>1</v>
      </c>
      <c r="G2718" s="213">
        <v>0</v>
      </c>
      <c r="H2718" s="195">
        <f t="shared" si="42"/>
        <v>0</v>
      </c>
      <c r="I2718" s="212" t="s">
        <v>2354</v>
      </c>
    </row>
    <row r="2719" spans="1:9" x14ac:dyDescent="0.25">
      <c r="A2719" s="218" t="s">
        <v>220</v>
      </c>
      <c r="B2719" s="218" t="s">
        <v>5430</v>
      </c>
      <c r="C2719" s="219" t="s">
        <v>5625</v>
      </c>
      <c r="D2719" s="212" t="s">
        <v>5626</v>
      </c>
      <c r="E2719" s="212" t="s">
        <v>545</v>
      </c>
      <c r="F2719" s="213">
        <v>1</v>
      </c>
      <c r="G2719" s="213">
        <v>0</v>
      </c>
      <c r="H2719" s="195">
        <f t="shared" si="42"/>
        <v>0</v>
      </c>
      <c r="I2719" s="212" t="s">
        <v>2354</v>
      </c>
    </row>
    <row r="2720" spans="1:9" x14ac:dyDescent="0.25">
      <c r="A2720" s="218" t="s">
        <v>220</v>
      </c>
      <c r="B2720" s="218" t="s">
        <v>5430</v>
      </c>
      <c r="C2720" s="219" t="s">
        <v>5627</v>
      </c>
      <c r="D2720" s="212" t="s">
        <v>5628</v>
      </c>
      <c r="E2720" s="212" t="s">
        <v>545</v>
      </c>
      <c r="F2720" s="213">
        <v>2</v>
      </c>
      <c r="G2720" s="213">
        <v>0</v>
      </c>
      <c r="H2720" s="195">
        <f t="shared" si="42"/>
        <v>0</v>
      </c>
      <c r="I2720" s="212" t="s">
        <v>2354</v>
      </c>
    </row>
    <row r="2721" spans="1:9" x14ac:dyDescent="0.25">
      <c r="A2721" s="218" t="s">
        <v>220</v>
      </c>
      <c r="B2721" s="218" t="s">
        <v>5430</v>
      </c>
      <c r="C2721" s="219" t="s">
        <v>5629</v>
      </c>
      <c r="D2721" s="212" t="s">
        <v>5630</v>
      </c>
      <c r="E2721" s="212" t="s">
        <v>545</v>
      </c>
      <c r="F2721" s="210">
        <v>1</v>
      </c>
      <c r="G2721" s="213">
        <v>1834.2945475713532</v>
      </c>
      <c r="H2721" s="195">
        <f t="shared" si="42"/>
        <v>1834.2945475713532</v>
      </c>
      <c r="I2721" s="212" t="s">
        <v>2354</v>
      </c>
    </row>
    <row r="2722" spans="1:9" x14ac:dyDescent="0.25">
      <c r="A2722" s="218" t="s">
        <v>220</v>
      </c>
      <c r="B2722" s="218" t="s">
        <v>5430</v>
      </c>
      <c r="C2722" s="219" t="s">
        <v>5631</v>
      </c>
      <c r="D2722" s="212" t="s">
        <v>5632</v>
      </c>
      <c r="E2722" s="212" t="s">
        <v>545</v>
      </c>
      <c r="F2722" s="213">
        <v>7</v>
      </c>
      <c r="G2722" s="213">
        <v>600</v>
      </c>
      <c r="H2722" s="195">
        <f t="shared" si="42"/>
        <v>4200</v>
      </c>
      <c r="I2722" s="212" t="s">
        <v>2354</v>
      </c>
    </row>
    <row r="2723" spans="1:9" x14ac:dyDescent="0.25">
      <c r="A2723" s="218" t="s">
        <v>220</v>
      </c>
      <c r="B2723" s="218" t="s">
        <v>5430</v>
      </c>
      <c r="C2723" s="219" t="s">
        <v>5633</v>
      </c>
      <c r="D2723" s="212" t="s">
        <v>5634</v>
      </c>
      <c r="E2723" s="212" t="s">
        <v>545</v>
      </c>
      <c r="F2723" s="220">
        <v>3</v>
      </c>
      <c r="G2723" s="213">
        <v>0</v>
      </c>
      <c r="H2723" s="195">
        <f t="shared" si="42"/>
        <v>0</v>
      </c>
      <c r="I2723" s="212" t="s">
        <v>2354</v>
      </c>
    </row>
    <row r="2724" spans="1:9" x14ac:dyDescent="0.25">
      <c r="A2724" s="218" t="s">
        <v>220</v>
      </c>
      <c r="B2724" s="218" t="s">
        <v>5430</v>
      </c>
      <c r="C2724" s="219" t="s">
        <v>5635</v>
      </c>
      <c r="D2724" s="212" t="s">
        <v>5636</v>
      </c>
      <c r="E2724" s="212" t="s">
        <v>545</v>
      </c>
      <c r="F2724" s="213">
        <v>4</v>
      </c>
      <c r="G2724" s="213">
        <v>0</v>
      </c>
      <c r="H2724" s="195">
        <f t="shared" si="42"/>
        <v>0</v>
      </c>
      <c r="I2724" s="212" t="s">
        <v>2354</v>
      </c>
    </row>
    <row r="2725" spans="1:9" x14ac:dyDescent="0.25">
      <c r="A2725" s="218" t="s">
        <v>220</v>
      </c>
      <c r="B2725" s="218" t="s">
        <v>5430</v>
      </c>
      <c r="C2725" s="219" t="s">
        <v>5637</v>
      </c>
      <c r="D2725" s="212" t="s">
        <v>5638</v>
      </c>
      <c r="E2725" s="212" t="s">
        <v>545</v>
      </c>
      <c r="F2725" s="213">
        <v>2</v>
      </c>
      <c r="G2725" s="213">
        <v>120.39981269751891</v>
      </c>
      <c r="H2725" s="195">
        <f t="shared" si="42"/>
        <v>240.79962539503782</v>
      </c>
      <c r="I2725" s="212" t="s">
        <v>2354</v>
      </c>
    </row>
    <row r="2726" spans="1:9" x14ac:dyDescent="0.25">
      <c r="A2726" s="218" t="s">
        <v>220</v>
      </c>
      <c r="B2726" s="218" t="s">
        <v>5430</v>
      </c>
      <c r="C2726" s="219" t="s">
        <v>5639</v>
      </c>
      <c r="D2726" s="212" t="s">
        <v>5640</v>
      </c>
      <c r="E2726" s="212" t="s">
        <v>545</v>
      </c>
      <c r="F2726" s="213">
        <v>2</v>
      </c>
      <c r="G2726" s="213">
        <v>1028.194</v>
      </c>
      <c r="H2726" s="195">
        <f t="shared" si="42"/>
        <v>2056.3879999999999</v>
      </c>
      <c r="I2726" s="212" t="s">
        <v>2354</v>
      </c>
    </row>
    <row r="2727" spans="1:9" x14ac:dyDescent="0.25">
      <c r="A2727" s="218" t="s">
        <v>220</v>
      </c>
      <c r="B2727" s="218" t="s">
        <v>5430</v>
      </c>
      <c r="C2727" s="219" t="s">
        <v>5641</v>
      </c>
      <c r="D2727" s="212" t="s">
        <v>5642</v>
      </c>
      <c r="E2727" s="212" t="s">
        <v>545</v>
      </c>
      <c r="F2727" s="213">
        <v>2</v>
      </c>
      <c r="G2727" s="213">
        <v>0</v>
      </c>
      <c r="H2727" s="195">
        <f t="shared" si="42"/>
        <v>0</v>
      </c>
      <c r="I2727" s="212" t="s">
        <v>2354</v>
      </c>
    </row>
    <row r="2728" spans="1:9" x14ac:dyDescent="0.25">
      <c r="A2728" s="218" t="s">
        <v>220</v>
      </c>
      <c r="B2728" s="218" t="s">
        <v>5430</v>
      </c>
      <c r="C2728" s="219" t="s">
        <v>5643</v>
      </c>
      <c r="D2728" s="212" t="s">
        <v>5644</v>
      </c>
      <c r="E2728" s="212" t="s">
        <v>545</v>
      </c>
      <c r="F2728" s="213">
        <v>24</v>
      </c>
      <c r="G2728" s="213">
        <v>29.393000000000001</v>
      </c>
      <c r="H2728" s="195">
        <f t="shared" si="42"/>
        <v>705.43200000000002</v>
      </c>
      <c r="I2728" s="212" t="s">
        <v>2354</v>
      </c>
    </row>
    <row r="2729" spans="1:9" x14ac:dyDescent="0.25">
      <c r="A2729" s="218" t="s">
        <v>220</v>
      </c>
      <c r="B2729" s="218" t="s">
        <v>5430</v>
      </c>
      <c r="C2729" s="219" t="s">
        <v>5645</v>
      </c>
      <c r="D2729" s="212" t="s">
        <v>5646</v>
      </c>
      <c r="E2729" s="212" t="s">
        <v>545</v>
      </c>
      <c r="F2729" s="213">
        <v>12</v>
      </c>
      <c r="G2729" s="213">
        <v>41.150199999999998</v>
      </c>
      <c r="H2729" s="195">
        <f t="shared" si="42"/>
        <v>493.80239999999998</v>
      </c>
      <c r="I2729" s="212" t="s">
        <v>2354</v>
      </c>
    </row>
    <row r="2730" spans="1:9" x14ac:dyDescent="0.25">
      <c r="A2730" s="218" t="s">
        <v>220</v>
      </c>
      <c r="B2730" s="218" t="s">
        <v>5430</v>
      </c>
      <c r="C2730" s="219" t="s">
        <v>5647</v>
      </c>
      <c r="D2730" s="212" t="s">
        <v>5648</v>
      </c>
      <c r="E2730" s="212" t="s">
        <v>545</v>
      </c>
      <c r="F2730" s="213">
        <v>8</v>
      </c>
      <c r="G2730" s="213">
        <v>49.9681</v>
      </c>
      <c r="H2730" s="195">
        <f t="shared" si="42"/>
        <v>399.7448</v>
      </c>
      <c r="I2730" s="212" t="s">
        <v>2354</v>
      </c>
    </row>
    <row r="2731" spans="1:9" x14ac:dyDescent="0.25">
      <c r="A2731" s="218" t="s">
        <v>220</v>
      </c>
      <c r="B2731" s="218" t="s">
        <v>5430</v>
      </c>
      <c r="C2731" s="219" t="s">
        <v>5649</v>
      </c>
      <c r="D2731" s="212" t="s">
        <v>5650</v>
      </c>
      <c r="E2731" s="212" t="s">
        <v>545</v>
      </c>
      <c r="F2731" s="213">
        <v>24</v>
      </c>
      <c r="G2731" s="213">
        <v>29.393000000000001</v>
      </c>
      <c r="H2731" s="195">
        <f t="shared" si="42"/>
        <v>705.43200000000002</v>
      </c>
      <c r="I2731" s="212" t="s">
        <v>2354</v>
      </c>
    </row>
    <row r="2732" spans="1:9" x14ac:dyDescent="0.25">
      <c r="A2732" s="218" t="s">
        <v>220</v>
      </c>
      <c r="B2732" s="218" t="s">
        <v>5430</v>
      </c>
      <c r="C2732" s="219" t="s">
        <v>5651</v>
      </c>
      <c r="D2732" s="212" t="s">
        <v>5652</v>
      </c>
      <c r="E2732" s="212" t="s">
        <v>545</v>
      </c>
      <c r="F2732" s="213">
        <v>4</v>
      </c>
      <c r="G2732" s="213">
        <v>38.210900000000002</v>
      </c>
      <c r="H2732" s="195">
        <f t="shared" si="42"/>
        <v>152.84360000000001</v>
      </c>
      <c r="I2732" s="212" t="s">
        <v>2354</v>
      </c>
    </row>
    <row r="2733" spans="1:9" x14ac:dyDescent="0.25">
      <c r="A2733" s="218" t="s">
        <v>220</v>
      </c>
      <c r="B2733" s="218" t="s">
        <v>5430</v>
      </c>
      <c r="C2733" s="219" t="s">
        <v>5653</v>
      </c>
      <c r="D2733" s="212" t="s">
        <v>5654</v>
      </c>
      <c r="E2733" s="212" t="s">
        <v>545</v>
      </c>
      <c r="F2733" s="213">
        <v>16</v>
      </c>
      <c r="G2733" s="213">
        <v>44.089500000000001</v>
      </c>
      <c r="H2733" s="195">
        <f t="shared" si="42"/>
        <v>705.43200000000002</v>
      </c>
      <c r="I2733" s="212" t="s">
        <v>2354</v>
      </c>
    </row>
    <row r="2734" spans="1:9" x14ac:dyDescent="0.25">
      <c r="A2734" s="218" t="s">
        <v>220</v>
      </c>
      <c r="B2734" s="218" t="s">
        <v>5430</v>
      </c>
      <c r="C2734" s="219" t="s">
        <v>5655</v>
      </c>
      <c r="D2734" s="212" t="s">
        <v>2589</v>
      </c>
      <c r="E2734" s="212" t="s">
        <v>545</v>
      </c>
      <c r="F2734" s="213">
        <v>2</v>
      </c>
      <c r="G2734" s="213">
        <v>277.1277</v>
      </c>
      <c r="H2734" s="195">
        <f t="shared" si="42"/>
        <v>554.25540000000001</v>
      </c>
      <c r="I2734" s="212" t="s">
        <v>2354</v>
      </c>
    </row>
    <row r="2735" spans="1:9" x14ac:dyDescent="0.25">
      <c r="A2735" s="218" t="s">
        <v>220</v>
      </c>
      <c r="B2735" s="218" t="s">
        <v>5430</v>
      </c>
      <c r="C2735" s="219" t="s">
        <v>5656</v>
      </c>
      <c r="D2735" s="212" t="s">
        <v>5657</v>
      </c>
      <c r="E2735" s="212" t="s">
        <v>545</v>
      </c>
      <c r="F2735" s="213">
        <v>1</v>
      </c>
      <c r="G2735" s="213">
        <v>294.72045000000003</v>
      </c>
      <c r="H2735" s="195">
        <f t="shared" si="42"/>
        <v>294.72045000000003</v>
      </c>
      <c r="I2735" s="212" t="s">
        <v>2354</v>
      </c>
    </row>
    <row r="2736" spans="1:9" x14ac:dyDescent="0.25">
      <c r="A2736" s="218" t="s">
        <v>220</v>
      </c>
      <c r="B2736" s="218" t="s">
        <v>5430</v>
      </c>
      <c r="C2736" s="219" t="s">
        <v>2638</v>
      </c>
      <c r="D2736" s="212" t="s">
        <v>2639</v>
      </c>
      <c r="E2736" s="212" t="s">
        <v>545</v>
      </c>
      <c r="F2736" s="213">
        <v>1</v>
      </c>
      <c r="G2736" s="213">
        <v>40</v>
      </c>
      <c r="H2736" s="195">
        <f t="shared" si="42"/>
        <v>40</v>
      </c>
      <c r="I2736" s="212" t="s">
        <v>2354</v>
      </c>
    </row>
    <row r="2737" spans="1:9" x14ac:dyDescent="0.25">
      <c r="A2737" s="218" t="s">
        <v>220</v>
      </c>
      <c r="B2737" s="218" t="s">
        <v>5430</v>
      </c>
      <c r="C2737" s="219" t="s">
        <v>5658</v>
      </c>
      <c r="D2737" s="212" t="s">
        <v>5659</v>
      </c>
      <c r="E2737" s="212" t="s">
        <v>545</v>
      </c>
      <c r="F2737" s="213">
        <v>1</v>
      </c>
      <c r="G2737" s="213">
        <v>61.205999999999996</v>
      </c>
      <c r="H2737" s="195">
        <f t="shared" si="42"/>
        <v>61.205999999999996</v>
      </c>
      <c r="I2737" s="212" t="s">
        <v>2354</v>
      </c>
    </row>
    <row r="2738" spans="1:9" x14ac:dyDescent="0.25">
      <c r="A2738" s="218" t="s">
        <v>220</v>
      </c>
      <c r="B2738" s="218" t="s">
        <v>5430</v>
      </c>
      <c r="C2738" s="219" t="s">
        <v>5660</v>
      </c>
      <c r="D2738" s="212" t="s">
        <v>5661</v>
      </c>
      <c r="E2738" s="212" t="s">
        <v>545</v>
      </c>
      <c r="F2738" s="213">
        <v>1</v>
      </c>
      <c r="G2738" s="213">
        <v>0</v>
      </c>
      <c r="H2738" s="195">
        <f t="shared" si="42"/>
        <v>0</v>
      </c>
      <c r="I2738" s="212" t="s">
        <v>2354</v>
      </c>
    </row>
    <row r="2739" spans="1:9" x14ac:dyDescent="0.25">
      <c r="A2739" s="218" t="s">
        <v>220</v>
      </c>
      <c r="B2739" s="218" t="s">
        <v>5430</v>
      </c>
      <c r="C2739" s="219" t="s">
        <v>5662</v>
      </c>
      <c r="D2739" s="212" t="s">
        <v>5663</v>
      </c>
      <c r="E2739" s="212" t="s">
        <v>545</v>
      </c>
      <c r="F2739" s="213">
        <v>1</v>
      </c>
      <c r="G2739" s="213">
        <v>230.4</v>
      </c>
      <c r="H2739" s="195">
        <f t="shared" si="42"/>
        <v>230.4</v>
      </c>
      <c r="I2739" s="212" t="s">
        <v>2354</v>
      </c>
    </row>
    <row r="2740" spans="1:9" x14ac:dyDescent="0.25">
      <c r="A2740" s="218" t="s">
        <v>220</v>
      </c>
      <c r="B2740" s="218" t="s">
        <v>5430</v>
      </c>
      <c r="C2740" s="219" t="s">
        <v>5664</v>
      </c>
      <c r="D2740" s="212" t="s">
        <v>5665</v>
      </c>
      <c r="E2740" s="212" t="s">
        <v>1894</v>
      </c>
      <c r="F2740" s="210">
        <v>20</v>
      </c>
      <c r="G2740" s="213">
        <v>32.4</v>
      </c>
      <c r="H2740" s="195">
        <f t="shared" si="42"/>
        <v>648</v>
      </c>
      <c r="I2740" s="212" t="s">
        <v>2354</v>
      </c>
    </row>
    <row r="2741" spans="1:9" x14ac:dyDescent="0.25">
      <c r="A2741" s="218" t="s">
        <v>220</v>
      </c>
      <c r="B2741" s="218" t="s">
        <v>5430</v>
      </c>
      <c r="C2741" s="219" t="s">
        <v>5666</v>
      </c>
      <c r="D2741" s="212" t="s">
        <v>5667</v>
      </c>
      <c r="E2741" s="212" t="s">
        <v>545</v>
      </c>
      <c r="F2741" s="213">
        <v>1</v>
      </c>
      <c r="G2741" s="213">
        <v>7068.2111999999997</v>
      </c>
      <c r="H2741" s="195">
        <f t="shared" si="42"/>
        <v>7068.2111999999997</v>
      </c>
      <c r="I2741" s="212" t="s">
        <v>2354</v>
      </c>
    </row>
    <row r="2742" spans="1:9" x14ac:dyDescent="0.25">
      <c r="A2742" s="218" t="s">
        <v>220</v>
      </c>
      <c r="B2742" s="218" t="s">
        <v>5430</v>
      </c>
      <c r="C2742" s="219" t="s">
        <v>5668</v>
      </c>
      <c r="D2742" s="212" t="s">
        <v>5669</v>
      </c>
      <c r="E2742" s="212" t="s">
        <v>545</v>
      </c>
      <c r="F2742" s="220">
        <v>1</v>
      </c>
      <c r="G2742" s="213">
        <v>1077.481675</v>
      </c>
      <c r="H2742" s="195">
        <f t="shared" si="42"/>
        <v>1077.481675</v>
      </c>
      <c r="I2742" s="212" t="s">
        <v>2354</v>
      </c>
    </row>
    <row r="2743" spans="1:9" x14ac:dyDescent="0.25">
      <c r="A2743" s="218" t="s">
        <v>220</v>
      </c>
      <c r="B2743" s="218" t="s">
        <v>5430</v>
      </c>
      <c r="C2743" s="219" t="s">
        <v>5670</v>
      </c>
      <c r="D2743" s="212" t="s">
        <v>5671</v>
      </c>
      <c r="E2743" s="212" t="s">
        <v>545</v>
      </c>
      <c r="F2743" s="213">
        <v>2</v>
      </c>
      <c r="G2743" s="213">
        <v>179.48175000000001</v>
      </c>
      <c r="H2743" s="195">
        <f t="shared" si="42"/>
        <v>358.96350000000001</v>
      </c>
      <c r="I2743" s="212" t="s">
        <v>2354</v>
      </c>
    </row>
    <row r="2744" spans="1:9" x14ac:dyDescent="0.25">
      <c r="A2744" s="218" t="s">
        <v>220</v>
      </c>
      <c r="B2744" s="218" t="s">
        <v>5430</v>
      </c>
      <c r="C2744" s="219" t="s">
        <v>5672</v>
      </c>
      <c r="D2744" s="212" t="s">
        <v>5673</v>
      </c>
      <c r="E2744" s="212" t="s">
        <v>545</v>
      </c>
      <c r="F2744" s="210">
        <v>1</v>
      </c>
      <c r="G2744" s="213">
        <v>604.39700000000005</v>
      </c>
      <c r="H2744" s="195">
        <f t="shared" si="42"/>
        <v>604.39700000000005</v>
      </c>
      <c r="I2744" s="212" t="s">
        <v>2354</v>
      </c>
    </row>
    <row r="2745" spans="1:9" x14ac:dyDescent="0.25">
      <c r="A2745" s="218" t="s">
        <v>220</v>
      </c>
      <c r="B2745" s="218" t="s">
        <v>5430</v>
      </c>
      <c r="C2745" s="219" t="s">
        <v>5674</v>
      </c>
      <c r="D2745" s="212" t="s">
        <v>5675</v>
      </c>
      <c r="E2745" s="212" t="s">
        <v>545</v>
      </c>
      <c r="F2745" s="213">
        <v>8</v>
      </c>
      <c r="G2745" s="213">
        <v>327.63240000000002</v>
      </c>
      <c r="H2745" s="195">
        <f t="shared" si="42"/>
        <v>2621.0592000000001</v>
      </c>
      <c r="I2745" s="212" t="s">
        <v>2354</v>
      </c>
    </row>
    <row r="2746" spans="1:9" x14ac:dyDescent="0.25">
      <c r="A2746" s="218" t="s">
        <v>220</v>
      </c>
      <c r="B2746" s="218" t="s">
        <v>5430</v>
      </c>
      <c r="C2746" s="219" t="s">
        <v>5676</v>
      </c>
      <c r="D2746" s="212" t="s">
        <v>5677</v>
      </c>
      <c r="E2746" s="212" t="s">
        <v>545</v>
      </c>
      <c r="F2746" s="220">
        <v>2</v>
      </c>
      <c r="G2746" s="213">
        <v>79.11</v>
      </c>
      <c r="H2746" s="195">
        <f t="shared" si="42"/>
        <v>158.22</v>
      </c>
      <c r="I2746" s="212" t="s">
        <v>2354</v>
      </c>
    </row>
    <row r="2747" spans="1:9" x14ac:dyDescent="0.25">
      <c r="A2747" s="218" t="s">
        <v>220</v>
      </c>
      <c r="B2747" s="218" t="s">
        <v>5430</v>
      </c>
      <c r="C2747" s="219" t="s">
        <v>5678</v>
      </c>
      <c r="D2747" s="212" t="s">
        <v>5679</v>
      </c>
      <c r="E2747" s="212" t="s">
        <v>2387</v>
      </c>
      <c r="F2747" s="213">
        <v>14</v>
      </c>
      <c r="G2747" s="213">
        <v>117.19889999999999</v>
      </c>
      <c r="H2747" s="195">
        <f t="shared" si="42"/>
        <v>1640.7846</v>
      </c>
      <c r="I2747" s="212" t="s">
        <v>2354</v>
      </c>
    </row>
    <row r="2748" spans="1:9" x14ac:dyDescent="0.25">
      <c r="A2748" s="218" t="s">
        <v>220</v>
      </c>
      <c r="B2748" s="218" t="s">
        <v>5430</v>
      </c>
      <c r="C2748" s="219" t="s">
        <v>5680</v>
      </c>
      <c r="D2748" s="212" t="s">
        <v>5681</v>
      </c>
      <c r="E2748" s="212" t="s">
        <v>545</v>
      </c>
      <c r="F2748" s="213">
        <v>15</v>
      </c>
      <c r="G2748" s="213">
        <v>8.8109999999999999</v>
      </c>
      <c r="H2748" s="195">
        <f t="shared" si="42"/>
        <v>132.16499999999999</v>
      </c>
      <c r="I2748" s="212" t="s">
        <v>2354</v>
      </c>
    </row>
    <row r="2749" spans="1:9" x14ac:dyDescent="0.25">
      <c r="A2749" s="218" t="s">
        <v>220</v>
      </c>
      <c r="B2749" s="218" t="s">
        <v>5430</v>
      </c>
      <c r="C2749" s="219" t="s">
        <v>2706</v>
      </c>
      <c r="D2749" s="212" t="s">
        <v>2707</v>
      </c>
      <c r="E2749" s="212" t="s">
        <v>2387</v>
      </c>
      <c r="F2749" s="213">
        <v>12</v>
      </c>
      <c r="G2749" s="213">
        <v>46.8</v>
      </c>
      <c r="H2749" s="195">
        <f t="shared" si="42"/>
        <v>561.59999999999991</v>
      </c>
      <c r="I2749" s="212" t="s">
        <v>2354</v>
      </c>
    </row>
    <row r="2750" spans="1:9" x14ac:dyDescent="0.25">
      <c r="A2750" s="218" t="s">
        <v>220</v>
      </c>
      <c r="B2750" s="218" t="s">
        <v>5430</v>
      </c>
      <c r="C2750" s="219" t="s">
        <v>5682</v>
      </c>
      <c r="D2750" s="212" t="s">
        <v>5683</v>
      </c>
      <c r="E2750" s="212" t="s">
        <v>7558</v>
      </c>
      <c r="F2750" s="213">
        <v>6</v>
      </c>
      <c r="G2750" s="213">
        <v>34.887184615384612</v>
      </c>
      <c r="H2750" s="195">
        <f t="shared" si="42"/>
        <v>209.32310769230767</v>
      </c>
      <c r="I2750" s="212" t="s">
        <v>2354</v>
      </c>
    </row>
    <row r="2751" spans="1:9" x14ac:dyDescent="0.25">
      <c r="A2751" s="218" t="s">
        <v>220</v>
      </c>
      <c r="B2751" s="218" t="s">
        <v>5430</v>
      </c>
      <c r="C2751" s="219" t="s">
        <v>2712</v>
      </c>
      <c r="D2751" s="212" t="s">
        <v>2713</v>
      </c>
      <c r="E2751" s="212" t="s">
        <v>7558</v>
      </c>
      <c r="F2751" s="213">
        <v>18</v>
      </c>
      <c r="G2751" s="213">
        <v>30.113999999999997</v>
      </c>
      <c r="H2751" s="195">
        <f t="shared" si="42"/>
        <v>542.05199999999991</v>
      </c>
      <c r="I2751" s="212" t="s">
        <v>2354</v>
      </c>
    </row>
    <row r="2752" spans="1:9" x14ac:dyDescent="0.25">
      <c r="A2752" s="218" t="s">
        <v>220</v>
      </c>
      <c r="B2752" s="218" t="s">
        <v>5430</v>
      </c>
      <c r="C2752" s="219" t="s">
        <v>5684</v>
      </c>
      <c r="D2752" s="212" t="s">
        <v>5685</v>
      </c>
      <c r="E2752" s="212" t="s">
        <v>7558</v>
      </c>
      <c r="F2752" s="213">
        <v>10</v>
      </c>
      <c r="G2752" s="213">
        <v>26.1</v>
      </c>
      <c r="H2752" s="195">
        <f t="shared" si="42"/>
        <v>261</v>
      </c>
      <c r="I2752" s="212" t="s">
        <v>2354</v>
      </c>
    </row>
    <row r="2753" spans="1:9" x14ac:dyDescent="0.25">
      <c r="A2753" s="218" t="s">
        <v>220</v>
      </c>
      <c r="B2753" s="218" t="s">
        <v>5430</v>
      </c>
      <c r="C2753" s="219" t="s">
        <v>2716</v>
      </c>
      <c r="D2753" s="212" t="s">
        <v>2717</v>
      </c>
      <c r="E2753" s="212" t="s">
        <v>7558</v>
      </c>
      <c r="F2753" s="213">
        <v>14</v>
      </c>
      <c r="G2753" s="213">
        <v>18.18</v>
      </c>
      <c r="H2753" s="195">
        <f t="shared" si="42"/>
        <v>254.51999999999998</v>
      </c>
      <c r="I2753" s="212" t="s">
        <v>2354</v>
      </c>
    </row>
    <row r="2754" spans="1:9" x14ac:dyDescent="0.25">
      <c r="A2754" s="218" t="s">
        <v>220</v>
      </c>
      <c r="B2754" s="218" t="s">
        <v>5430</v>
      </c>
      <c r="C2754" s="219" t="s">
        <v>2718</v>
      </c>
      <c r="D2754" s="212" t="s">
        <v>2719</v>
      </c>
      <c r="E2754" s="212" t="s">
        <v>7558</v>
      </c>
      <c r="F2754" s="213">
        <v>15</v>
      </c>
      <c r="G2754" s="213">
        <v>21.285</v>
      </c>
      <c r="H2754" s="195">
        <f t="shared" si="42"/>
        <v>319.27499999999998</v>
      </c>
      <c r="I2754" s="212" t="s">
        <v>2354</v>
      </c>
    </row>
    <row r="2755" spans="1:9" x14ac:dyDescent="0.25">
      <c r="A2755" s="218" t="s">
        <v>220</v>
      </c>
      <c r="B2755" s="218" t="s">
        <v>5430</v>
      </c>
      <c r="C2755" s="219" t="s">
        <v>5686</v>
      </c>
      <c r="D2755" s="212" t="s">
        <v>2721</v>
      </c>
      <c r="E2755" s="212" t="s">
        <v>7558</v>
      </c>
      <c r="F2755" s="213">
        <v>14</v>
      </c>
      <c r="G2755" s="213">
        <v>27</v>
      </c>
      <c r="H2755" s="195">
        <f t="shared" si="42"/>
        <v>378</v>
      </c>
      <c r="I2755" s="212" t="s">
        <v>2354</v>
      </c>
    </row>
    <row r="2756" spans="1:9" x14ac:dyDescent="0.25">
      <c r="A2756" s="218" t="s">
        <v>220</v>
      </c>
      <c r="B2756" s="218" t="s">
        <v>5430</v>
      </c>
      <c r="C2756" s="219" t="s">
        <v>2722</v>
      </c>
      <c r="D2756" s="212" t="s">
        <v>2723</v>
      </c>
      <c r="E2756" s="212" t="s">
        <v>7558</v>
      </c>
      <c r="F2756" s="213">
        <v>10</v>
      </c>
      <c r="G2756" s="213">
        <v>15.222000000000001</v>
      </c>
      <c r="H2756" s="195">
        <f t="shared" si="42"/>
        <v>152.22000000000003</v>
      </c>
      <c r="I2756" s="212" t="s">
        <v>2354</v>
      </c>
    </row>
    <row r="2757" spans="1:9" x14ac:dyDescent="0.25">
      <c r="A2757" s="218" t="s">
        <v>220</v>
      </c>
      <c r="B2757" s="218" t="s">
        <v>5430</v>
      </c>
      <c r="C2757" s="219" t="s">
        <v>2724</v>
      </c>
      <c r="D2757" s="212" t="s">
        <v>2725</v>
      </c>
      <c r="E2757" s="212" t="s">
        <v>7558</v>
      </c>
      <c r="F2757" s="213">
        <v>4</v>
      </c>
      <c r="G2757" s="213">
        <v>25.861049999999999</v>
      </c>
      <c r="H2757" s="195">
        <f t="shared" ref="H2757:H2820" si="43">+F2757*G2757</f>
        <v>103.4442</v>
      </c>
      <c r="I2757" s="212" t="s">
        <v>2354</v>
      </c>
    </row>
    <row r="2758" spans="1:9" x14ac:dyDescent="0.25">
      <c r="A2758" s="218" t="s">
        <v>220</v>
      </c>
      <c r="B2758" s="218" t="s">
        <v>5430</v>
      </c>
      <c r="C2758" s="219" t="s">
        <v>2726</v>
      </c>
      <c r="D2758" s="212" t="s">
        <v>2727</v>
      </c>
      <c r="E2758" s="212" t="s">
        <v>2387</v>
      </c>
      <c r="F2758" s="213">
        <v>3</v>
      </c>
      <c r="G2758" s="213">
        <v>42.3</v>
      </c>
      <c r="H2758" s="195">
        <f t="shared" si="43"/>
        <v>126.89999999999999</v>
      </c>
      <c r="I2758" s="212" t="s">
        <v>2354</v>
      </c>
    </row>
    <row r="2759" spans="1:9" x14ac:dyDescent="0.25">
      <c r="A2759" s="218" t="s">
        <v>220</v>
      </c>
      <c r="B2759" s="218" t="s">
        <v>5430</v>
      </c>
      <c r="C2759" s="219" t="s">
        <v>2740</v>
      </c>
      <c r="D2759" s="212" t="s">
        <v>2741</v>
      </c>
      <c r="E2759" s="212" t="s">
        <v>545</v>
      </c>
      <c r="F2759" s="213">
        <v>3</v>
      </c>
      <c r="G2759" s="213">
        <v>10.101692307692307</v>
      </c>
      <c r="H2759" s="195">
        <f t="shared" si="43"/>
        <v>30.305076923076921</v>
      </c>
      <c r="I2759" s="212" t="s">
        <v>2354</v>
      </c>
    </row>
    <row r="2760" spans="1:9" x14ac:dyDescent="0.25">
      <c r="A2760" s="218" t="s">
        <v>220</v>
      </c>
      <c r="B2760" s="218" t="s">
        <v>5430</v>
      </c>
      <c r="C2760" s="219" t="s">
        <v>5687</v>
      </c>
      <c r="D2760" s="212" t="s">
        <v>5688</v>
      </c>
      <c r="E2760" s="212" t="s">
        <v>545</v>
      </c>
      <c r="F2760" s="213">
        <v>6</v>
      </c>
      <c r="G2760" s="213">
        <v>28.229260000000004</v>
      </c>
      <c r="H2760" s="195">
        <f t="shared" si="43"/>
        <v>169.37556000000001</v>
      </c>
      <c r="I2760" s="212" t="s">
        <v>2354</v>
      </c>
    </row>
    <row r="2761" spans="1:9" x14ac:dyDescent="0.25">
      <c r="A2761" s="218" t="s">
        <v>220</v>
      </c>
      <c r="B2761" s="218" t="s">
        <v>5430</v>
      </c>
      <c r="C2761" s="219" t="s">
        <v>5689</v>
      </c>
      <c r="D2761" s="212" t="s">
        <v>5690</v>
      </c>
      <c r="E2761" s="212" t="s">
        <v>545</v>
      </c>
      <c r="F2761" s="213">
        <v>5</v>
      </c>
      <c r="G2761" s="213">
        <v>26.079000000000001</v>
      </c>
      <c r="H2761" s="195">
        <f t="shared" si="43"/>
        <v>130.39500000000001</v>
      </c>
      <c r="I2761" s="212" t="s">
        <v>2354</v>
      </c>
    </row>
    <row r="2762" spans="1:9" x14ac:dyDescent="0.25">
      <c r="A2762" s="218" t="s">
        <v>220</v>
      </c>
      <c r="B2762" s="218" t="s">
        <v>5430</v>
      </c>
      <c r="C2762" s="219" t="s">
        <v>5691</v>
      </c>
      <c r="D2762" s="212" t="s">
        <v>5692</v>
      </c>
      <c r="E2762" s="212" t="s">
        <v>545</v>
      </c>
      <c r="F2762" s="213">
        <v>3</v>
      </c>
      <c r="G2762" s="213">
        <v>46.35</v>
      </c>
      <c r="H2762" s="195">
        <f t="shared" si="43"/>
        <v>139.05000000000001</v>
      </c>
      <c r="I2762" s="212" t="s">
        <v>2354</v>
      </c>
    </row>
    <row r="2763" spans="1:9" x14ac:dyDescent="0.25">
      <c r="A2763" s="218" t="s">
        <v>220</v>
      </c>
      <c r="B2763" s="218" t="s">
        <v>5430</v>
      </c>
      <c r="C2763" s="219" t="s">
        <v>5693</v>
      </c>
      <c r="D2763" s="212" t="s">
        <v>5694</v>
      </c>
      <c r="E2763" s="212" t="s">
        <v>545</v>
      </c>
      <c r="F2763" s="213">
        <v>12</v>
      </c>
      <c r="G2763" s="213">
        <v>18.3933</v>
      </c>
      <c r="H2763" s="195">
        <f t="shared" si="43"/>
        <v>220.71960000000001</v>
      </c>
      <c r="I2763" s="212" t="s">
        <v>2354</v>
      </c>
    </row>
    <row r="2764" spans="1:9" x14ac:dyDescent="0.25">
      <c r="A2764" s="218" t="s">
        <v>220</v>
      </c>
      <c r="B2764" s="218" t="s">
        <v>5430</v>
      </c>
      <c r="C2764" s="219" t="s">
        <v>5695</v>
      </c>
      <c r="D2764" s="212" t="s">
        <v>5696</v>
      </c>
      <c r="E2764" s="212" t="s">
        <v>545</v>
      </c>
      <c r="F2764" s="213">
        <v>1</v>
      </c>
      <c r="G2764" s="213">
        <v>275.67</v>
      </c>
      <c r="H2764" s="195">
        <f t="shared" si="43"/>
        <v>275.67</v>
      </c>
      <c r="I2764" s="212" t="s">
        <v>2354</v>
      </c>
    </row>
    <row r="2765" spans="1:9" x14ac:dyDescent="0.25">
      <c r="A2765" s="218" t="s">
        <v>220</v>
      </c>
      <c r="B2765" s="218" t="s">
        <v>5430</v>
      </c>
      <c r="C2765" s="219" t="s">
        <v>5697</v>
      </c>
      <c r="D2765" s="212" t="s">
        <v>5698</v>
      </c>
      <c r="E2765" s="212" t="s">
        <v>545</v>
      </c>
      <c r="F2765" s="213">
        <v>1</v>
      </c>
      <c r="G2765" s="213">
        <v>93.42</v>
      </c>
      <c r="H2765" s="195">
        <f t="shared" si="43"/>
        <v>93.42</v>
      </c>
      <c r="I2765" s="212" t="s">
        <v>2354</v>
      </c>
    </row>
    <row r="2766" spans="1:9" x14ac:dyDescent="0.25">
      <c r="A2766" s="218" t="s">
        <v>220</v>
      </c>
      <c r="B2766" s="218" t="s">
        <v>5430</v>
      </c>
      <c r="C2766" s="219" t="s">
        <v>5699</v>
      </c>
      <c r="D2766" s="212" t="s">
        <v>5700</v>
      </c>
      <c r="E2766" s="212" t="s">
        <v>545</v>
      </c>
      <c r="F2766" s="213">
        <v>7</v>
      </c>
      <c r="G2766" s="213">
        <v>45.747749999999996</v>
      </c>
      <c r="H2766" s="195">
        <f t="shared" si="43"/>
        <v>320.23424999999997</v>
      </c>
      <c r="I2766" s="212" t="s">
        <v>2354</v>
      </c>
    </row>
    <row r="2767" spans="1:9" x14ac:dyDescent="0.25">
      <c r="A2767" s="218" t="s">
        <v>220</v>
      </c>
      <c r="B2767" s="218" t="s">
        <v>5430</v>
      </c>
      <c r="C2767" s="219" t="s">
        <v>5701</v>
      </c>
      <c r="D2767" s="212" t="s">
        <v>5702</v>
      </c>
      <c r="E2767" s="212" t="s">
        <v>545</v>
      </c>
      <c r="F2767" s="213">
        <v>4</v>
      </c>
      <c r="G2767" s="213">
        <v>6.7949999999999999</v>
      </c>
      <c r="H2767" s="195">
        <f t="shared" si="43"/>
        <v>27.18</v>
      </c>
      <c r="I2767" s="212" t="s">
        <v>2354</v>
      </c>
    </row>
    <row r="2768" spans="1:9" x14ac:dyDescent="0.25">
      <c r="A2768" s="218" t="s">
        <v>220</v>
      </c>
      <c r="B2768" s="218" t="s">
        <v>5430</v>
      </c>
      <c r="C2768" s="219" t="s">
        <v>5703</v>
      </c>
      <c r="D2768" s="212" t="s">
        <v>5704</v>
      </c>
      <c r="E2768" s="212" t="s">
        <v>545</v>
      </c>
      <c r="F2768" s="213">
        <v>2</v>
      </c>
      <c r="G2768" s="213">
        <v>0</v>
      </c>
      <c r="H2768" s="195">
        <f t="shared" si="43"/>
        <v>0</v>
      </c>
      <c r="I2768" s="212" t="s">
        <v>2354</v>
      </c>
    </row>
    <row r="2769" spans="1:9" x14ac:dyDescent="0.25">
      <c r="A2769" s="218" t="s">
        <v>220</v>
      </c>
      <c r="B2769" s="218" t="s">
        <v>5430</v>
      </c>
      <c r="C2769" s="219" t="s">
        <v>5705</v>
      </c>
      <c r="D2769" s="212" t="s">
        <v>5706</v>
      </c>
      <c r="E2769" s="212" t="s">
        <v>545</v>
      </c>
      <c r="F2769" s="213">
        <v>2</v>
      </c>
      <c r="G2769" s="213">
        <v>0</v>
      </c>
      <c r="H2769" s="195">
        <f t="shared" si="43"/>
        <v>0</v>
      </c>
      <c r="I2769" s="212" t="s">
        <v>2354</v>
      </c>
    </row>
    <row r="2770" spans="1:9" x14ac:dyDescent="0.25">
      <c r="A2770" s="218" t="s">
        <v>220</v>
      </c>
      <c r="B2770" s="218" t="s">
        <v>5430</v>
      </c>
      <c r="C2770" s="219" t="s">
        <v>5707</v>
      </c>
      <c r="D2770" s="212" t="s">
        <v>5708</v>
      </c>
      <c r="E2770" s="212" t="s">
        <v>545</v>
      </c>
      <c r="F2770" s="213">
        <v>1</v>
      </c>
      <c r="G2770" s="213">
        <v>0</v>
      </c>
      <c r="H2770" s="195">
        <f t="shared" si="43"/>
        <v>0</v>
      </c>
      <c r="I2770" s="212" t="s">
        <v>2354</v>
      </c>
    </row>
    <row r="2771" spans="1:9" x14ac:dyDescent="0.25">
      <c r="A2771" s="218" t="s">
        <v>220</v>
      </c>
      <c r="B2771" s="218" t="s">
        <v>5430</v>
      </c>
      <c r="C2771" s="219" t="s">
        <v>5709</v>
      </c>
      <c r="D2771" s="212" t="s">
        <v>5710</v>
      </c>
      <c r="E2771" s="212" t="s">
        <v>545</v>
      </c>
      <c r="F2771" s="213">
        <v>2</v>
      </c>
      <c r="G2771" s="213">
        <v>0</v>
      </c>
      <c r="H2771" s="195">
        <f t="shared" si="43"/>
        <v>0</v>
      </c>
      <c r="I2771" s="212" t="s">
        <v>2354</v>
      </c>
    </row>
    <row r="2772" spans="1:9" x14ac:dyDescent="0.25">
      <c r="A2772" s="218" t="s">
        <v>220</v>
      </c>
      <c r="B2772" s="218" t="s">
        <v>5430</v>
      </c>
      <c r="C2772" s="219" t="s">
        <v>5711</v>
      </c>
      <c r="D2772" s="212" t="s">
        <v>5712</v>
      </c>
      <c r="E2772" s="212" t="s">
        <v>545</v>
      </c>
      <c r="F2772" s="213">
        <v>5</v>
      </c>
      <c r="G2772" s="213">
        <v>31.806000000000001</v>
      </c>
      <c r="H2772" s="195">
        <f t="shared" si="43"/>
        <v>159.03</v>
      </c>
      <c r="I2772" s="212" t="s">
        <v>2354</v>
      </c>
    </row>
    <row r="2773" spans="1:9" x14ac:dyDescent="0.25">
      <c r="A2773" s="218" t="s">
        <v>220</v>
      </c>
      <c r="B2773" s="218" t="s">
        <v>5430</v>
      </c>
      <c r="C2773" s="219" t="s">
        <v>5713</v>
      </c>
      <c r="D2773" s="212" t="s">
        <v>5714</v>
      </c>
      <c r="E2773" s="212" t="s">
        <v>545</v>
      </c>
      <c r="F2773" s="213">
        <v>5</v>
      </c>
      <c r="G2773" s="213">
        <v>39.33</v>
      </c>
      <c r="H2773" s="195">
        <f t="shared" si="43"/>
        <v>196.64999999999998</v>
      </c>
      <c r="I2773" s="212" t="s">
        <v>2354</v>
      </c>
    </row>
    <row r="2774" spans="1:9" x14ac:dyDescent="0.25">
      <c r="A2774" s="218" t="s">
        <v>220</v>
      </c>
      <c r="B2774" s="218" t="s">
        <v>5430</v>
      </c>
      <c r="C2774" s="219" t="s">
        <v>5715</v>
      </c>
      <c r="D2774" s="212" t="s">
        <v>5716</v>
      </c>
      <c r="E2774" s="212" t="s">
        <v>545</v>
      </c>
      <c r="F2774" s="213">
        <v>1</v>
      </c>
      <c r="G2774" s="213">
        <v>37.08</v>
      </c>
      <c r="H2774" s="195">
        <f t="shared" si="43"/>
        <v>37.08</v>
      </c>
      <c r="I2774" s="212" t="s">
        <v>2354</v>
      </c>
    </row>
    <row r="2775" spans="1:9" x14ac:dyDescent="0.25">
      <c r="A2775" s="218" t="s">
        <v>220</v>
      </c>
      <c r="B2775" s="218" t="s">
        <v>5430</v>
      </c>
      <c r="C2775" s="219" t="s">
        <v>5717</v>
      </c>
      <c r="D2775" s="212" t="s">
        <v>5718</v>
      </c>
      <c r="E2775" s="212" t="s">
        <v>545</v>
      </c>
      <c r="F2775" s="213">
        <v>4</v>
      </c>
      <c r="G2775" s="213">
        <v>19.8</v>
      </c>
      <c r="H2775" s="195">
        <f t="shared" si="43"/>
        <v>79.2</v>
      </c>
      <c r="I2775" s="212" t="s">
        <v>2354</v>
      </c>
    </row>
    <row r="2776" spans="1:9" x14ac:dyDescent="0.25">
      <c r="A2776" s="218" t="s">
        <v>220</v>
      </c>
      <c r="B2776" s="218" t="s">
        <v>5430</v>
      </c>
      <c r="C2776" s="219" t="s">
        <v>5719</v>
      </c>
      <c r="D2776" s="212" t="s">
        <v>5720</v>
      </c>
      <c r="E2776" s="212" t="s">
        <v>545</v>
      </c>
      <c r="F2776" s="213">
        <v>1</v>
      </c>
      <c r="G2776" s="213">
        <v>29.7</v>
      </c>
      <c r="H2776" s="195">
        <f t="shared" si="43"/>
        <v>29.7</v>
      </c>
      <c r="I2776" s="212" t="s">
        <v>2354</v>
      </c>
    </row>
    <row r="2777" spans="1:9" x14ac:dyDescent="0.25">
      <c r="A2777" s="218" t="s">
        <v>220</v>
      </c>
      <c r="B2777" s="218" t="s">
        <v>5430</v>
      </c>
      <c r="C2777" s="219" t="s">
        <v>5721</v>
      </c>
      <c r="D2777" s="212" t="s">
        <v>5722</v>
      </c>
      <c r="E2777" s="212" t="s">
        <v>545</v>
      </c>
      <c r="F2777" s="213">
        <v>1</v>
      </c>
      <c r="G2777" s="213">
        <v>29.7</v>
      </c>
      <c r="H2777" s="195">
        <f t="shared" si="43"/>
        <v>29.7</v>
      </c>
      <c r="I2777" s="212" t="s">
        <v>2354</v>
      </c>
    </row>
    <row r="2778" spans="1:9" x14ac:dyDescent="0.25">
      <c r="A2778" s="218" t="s">
        <v>220</v>
      </c>
      <c r="B2778" s="218" t="s">
        <v>5430</v>
      </c>
      <c r="C2778" s="219" t="s">
        <v>5723</v>
      </c>
      <c r="D2778" s="212" t="s">
        <v>5724</v>
      </c>
      <c r="E2778" s="212" t="s">
        <v>545</v>
      </c>
      <c r="F2778" s="213">
        <v>1</v>
      </c>
      <c r="G2778" s="213">
        <v>29.7</v>
      </c>
      <c r="H2778" s="195">
        <f t="shared" si="43"/>
        <v>29.7</v>
      </c>
      <c r="I2778" s="212" t="s">
        <v>2354</v>
      </c>
    </row>
    <row r="2779" spans="1:9" x14ac:dyDescent="0.25">
      <c r="A2779" s="218" t="s">
        <v>220</v>
      </c>
      <c r="B2779" s="218" t="s">
        <v>5430</v>
      </c>
      <c r="C2779" s="219" t="s">
        <v>5725</v>
      </c>
      <c r="D2779" s="212" t="s">
        <v>5726</v>
      </c>
      <c r="E2779" s="212" t="s">
        <v>545</v>
      </c>
      <c r="F2779" s="213">
        <v>6</v>
      </c>
      <c r="G2779" s="213">
        <v>29.7</v>
      </c>
      <c r="H2779" s="195">
        <f t="shared" si="43"/>
        <v>178.2</v>
      </c>
      <c r="I2779" s="212" t="s">
        <v>2354</v>
      </c>
    </row>
    <row r="2780" spans="1:9" x14ac:dyDescent="0.25">
      <c r="A2780" s="218" t="s">
        <v>220</v>
      </c>
      <c r="B2780" s="218" t="s">
        <v>5430</v>
      </c>
      <c r="C2780" s="219" t="s">
        <v>5727</v>
      </c>
      <c r="D2780" s="212" t="s">
        <v>5728</v>
      </c>
      <c r="E2780" s="212" t="s">
        <v>545</v>
      </c>
      <c r="F2780" s="213">
        <v>4</v>
      </c>
      <c r="G2780" s="213">
        <v>19.8</v>
      </c>
      <c r="H2780" s="195">
        <f t="shared" si="43"/>
        <v>79.2</v>
      </c>
      <c r="I2780" s="212" t="s">
        <v>2354</v>
      </c>
    </row>
    <row r="2781" spans="1:9" x14ac:dyDescent="0.25">
      <c r="A2781" s="218" t="s">
        <v>220</v>
      </c>
      <c r="B2781" s="218" t="s">
        <v>5430</v>
      </c>
      <c r="C2781" s="219" t="s">
        <v>5729</v>
      </c>
      <c r="D2781" s="212" t="s">
        <v>5730</v>
      </c>
      <c r="E2781" s="212" t="s">
        <v>545</v>
      </c>
      <c r="F2781" s="213">
        <v>9</v>
      </c>
      <c r="G2781" s="213">
        <v>45.21</v>
      </c>
      <c r="H2781" s="195">
        <f t="shared" si="43"/>
        <v>406.89</v>
      </c>
      <c r="I2781" s="212" t="s">
        <v>2354</v>
      </c>
    </row>
    <row r="2782" spans="1:9" x14ac:dyDescent="0.25">
      <c r="A2782" s="218" t="s">
        <v>220</v>
      </c>
      <c r="B2782" s="218" t="s">
        <v>5430</v>
      </c>
      <c r="C2782" s="219" t="s">
        <v>5731</v>
      </c>
      <c r="D2782" s="212" t="s">
        <v>5732</v>
      </c>
      <c r="E2782" s="212" t="s">
        <v>545</v>
      </c>
      <c r="F2782" s="213">
        <v>1</v>
      </c>
      <c r="G2782" s="213">
        <v>21.790800000000001</v>
      </c>
      <c r="H2782" s="195">
        <f t="shared" si="43"/>
        <v>21.790800000000001</v>
      </c>
      <c r="I2782" s="212" t="s">
        <v>2354</v>
      </c>
    </row>
    <row r="2783" spans="1:9" x14ac:dyDescent="0.25">
      <c r="A2783" s="218" t="s">
        <v>220</v>
      </c>
      <c r="B2783" s="218" t="s">
        <v>5430</v>
      </c>
      <c r="C2783" s="219" t="s">
        <v>5733</v>
      </c>
      <c r="D2783" s="212" t="s">
        <v>5734</v>
      </c>
      <c r="E2783" s="212" t="s">
        <v>545</v>
      </c>
      <c r="F2783" s="213">
        <v>1</v>
      </c>
      <c r="G2783" s="213">
        <v>12.4992</v>
      </c>
      <c r="H2783" s="195">
        <f t="shared" si="43"/>
        <v>12.4992</v>
      </c>
      <c r="I2783" s="212" t="s">
        <v>2354</v>
      </c>
    </row>
    <row r="2784" spans="1:9" x14ac:dyDescent="0.25">
      <c r="A2784" s="218" t="s">
        <v>220</v>
      </c>
      <c r="B2784" s="218" t="s">
        <v>5430</v>
      </c>
      <c r="C2784" s="219" t="s">
        <v>5735</v>
      </c>
      <c r="D2784" s="212" t="s">
        <v>5736</v>
      </c>
      <c r="E2784" s="212" t="s">
        <v>545</v>
      </c>
      <c r="F2784" s="213">
        <v>1</v>
      </c>
      <c r="G2784" s="213">
        <v>135.33029999999999</v>
      </c>
      <c r="H2784" s="195">
        <f t="shared" si="43"/>
        <v>135.33029999999999</v>
      </c>
      <c r="I2784" s="212" t="s">
        <v>2354</v>
      </c>
    </row>
    <row r="2785" spans="1:9" x14ac:dyDescent="0.25">
      <c r="A2785" s="218" t="s">
        <v>220</v>
      </c>
      <c r="B2785" s="218" t="s">
        <v>5430</v>
      </c>
      <c r="C2785" s="219" t="s">
        <v>5737</v>
      </c>
      <c r="D2785" s="212" t="s">
        <v>5738</v>
      </c>
      <c r="E2785" s="212" t="s">
        <v>545</v>
      </c>
      <c r="F2785" s="213">
        <v>6</v>
      </c>
      <c r="G2785" s="213">
        <v>85.32</v>
      </c>
      <c r="H2785" s="195">
        <f t="shared" si="43"/>
        <v>511.91999999999996</v>
      </c>
      <c r="I2785" s="212" t="s">
        <v>2354</v>
      </c>
    </row>
    <row r="2786" spans="1:9" x14ac:dyDescent="0.25">
      <c r="A2786" s="218" t="s">
        <v>220</v>
      </c>
      <c r="B2786" s="218" t="s">
        <v>5430</v>
      </c>
      <c r="C2786" s="219" t="s">
        <v>5739</v>
      </c>
      <c r="D2786" s="212" t="s">
        <v>5740</v>
      </c>
      <c r="E2786" s="212" t="s">
        <v>545</v>
      </c>
      <c r="F2786" s="213">
        <v>4</v>
      </c>
      <c r="G2786" s="213">
        <v>19.170000000000002</v>
      </c>
      <c r="H2786" s="195">
        <f t="shared" si="43"/>
        <v>76.680000000000007</v>
      </c>
      <c r="I2786" s="212" t="s">
        <v>2354</v>
      </c>
    </row>
    <row r="2787" spans="1:9" x14ac:dyDescent="0.25">
      <c r="A2787" s="218" t="s">
        <v>220</v>
      </c>
      <c r="B2787" s="218" t="s">
        <v>5430</v>
      </c>
      <c r="C2787" s="219" t="s">
        <v>5741</v>
      </c>
      <c r="D2787" s="212" t="s">
        <v>5742</v>
      </c>
      <c r="E2787" s="212" t="s">
        <v>545</v>
      </c>
      <c r="F2787" s="213">
        <v>2</v>
      </c>
      <c r="G2787" s="213">
        <v>14.327999999999999</v>
      </c>
      <c r="H2787" s="195">
        <f t="shared" si="43"/>
        <v>28.655999999999999</v>
      </c>
      <c r="I2787" s="212" t="s">
        <v>2354</v>
      </c>
    </row>
    <row r="2788" spans="1:9" x14ac:dyDescent="0.25">
      <c r="A2788" s="218" t="s">
        <v>220</v>
      </c>
      <c r="B2788" s="218" t="s">
        <v>5430</v>
      </c>
      <c r="C2788" s="219" t="s">
        <v>5743</v>
      </c>
      <c r="D2788" s="212" t="s">
        <v>5744</v>
      </c>
      <c r="E2788" s="212" t="s">
        <v>545</v>
      </c>
      <c r="F2788" s="213">
        <v>4</v>
      </c>
      <c r="G2788" s="213">
        <v>42.3</v>
      </c>
      <c r="H2788" s="195">
        <f t="shared" si="43"/>
        <v>169.2</v>
      </c>
      <c r="I2788" s="212" t="s">
        <v>2354</v>
      </c>
    </row>
    <row r="2789" spans="1:9" x14ac:dyDescent="0.25">
      <c r="A2789" s="218" t="s">
        <v>220</v>
      </c>
      <c r="B2789" s="218" t="s">
        <v>5430</v>
      </c>
      <c r="C2789" s="219" t="s">
        <v>5745</v>
      </c>
      <c r="D2789" s="212" t="s">
        <v>5746</v>
      </c>
      <c r="E2789" s="212" t="s">
        <v>7558</v>
      </c>
      <c r="F2789" s="213">
        <v>10</v>
      </c>
      <c r="G2789" s="213">
        <v>53.241300000000003</v>
      </c>
      <c r="H2789" s="195">
        <f t="shared" si="43"/>
        <v>532.41300000000001</v>
      </c>
      <c r="I2789" s="212" t="s">
        <v>2354</v>
      </c>
    </row>
    <row r="2790" spans="1:9" x14ac:dyDescent="0.25">
      <c r="A2790" s="218" t="s">
        <v>220</v>
      </c>
      <c r="B2790" s="218" t="s">
        <v>5430</v>
      </c>
      <c r="C2790" s="219" t="s">
        <v>5747</v>
      </c>
      <c r="D2790" s="212" t="s">
        <v>5748</v>
      </c>
      <c r="E2790" s="212" t="s">
        <v>545</v>
      </c>
      <c r="F2790" s="213">
        <v>1</v>
      </c>
      <c r="G2790" s="213">
        <v>130.05000000000001</v>
      </c>
      <c r="H2790" s="195">
        <f t="shared" si="43"/>
        <v>130.05000000000001</v>
      </c>
      <c r="I2790" s="212" t="s">
        <v>2354</v>
      </c>
    </row>
    <row r="2791" spans="1:9" x14ac:dyDescent="0.25">
      <c r="A2791" s="218" t="s">
        <v>220</v>
      </c>
      <c r="B2791" s="218" t="s">
        <v>5430</v>
      </c>
      <c r="C2791" s="219" t="s">
        <v>5749</v>
      </c>
      <c r="D2791" s="212" t="s">
        <v>5750</v>
      </c>
      <c r="E2791" s="212" t="s">
        <v>545</v>
      </c>
      <c r="F2791" s="213">
        <v>5</v>
      </c>
      <c r="G2791" s="213">
        <v>38.130400000000002</v>
      </c>
      <c r="H2791" s="195">
        <f t="shared" si="43"/>
        <v>190.65200000000002</v>
      </c>
      <c r="I2791" s="212" t="s">
        <v>2354</v>
      </c>
    </row>
    <row r="2792" spans="1:9" x14ac:dyDescent="0.25">
      <c r="A2792" s="218" t="s">
        <v>220</v>
      </c>
      <c r="B2792" s="218" t="s">
        <v>5430</v>
      </c>
      <c r="C2792" s="219" t="s">
        <v>5751</v>
      </c>
      <c r="D2792" s="212" t="s">
        <v>5752</v>
      </c>
      <c r="E2792" s="212" t="s">
        <v>545</v>
      </c>
      <c r="F2792" s="213">
        <v>3</v>
      </c>
      <c r="G2792" s="213">
        <v>28.116879999999998</v>
      </c>
      <c r="H2792" s="195">
        <f t="shared" si="43"/>
        <v>84.350639999999999</v>
      </c>
      <c r="I2792" s="212" t="s">
        <v>2354</v>
      </c>
    </row>
    <row r="2793" spans="1:9" x14ac:dyDescent="0.25">
      <c r="A2793" s="218" t="s">
        <v>220</v>
      </c>
      <c r="B2793" s="218" t="s">
        <v>5430</v>
      </c>
      <c r="C2793" s="219" t="s">
        <v>5753</v>
      </c>
      <c r="D2793" s="212" t="s">
        <v>5754</v>
      </c>
      <c r="E2793" s="212" t="s">
        <v>545</v>
      </c>
      <c r="F2793" s="213">
        <v>5</v>
      </c>
      <c r="G2793" s="213">
        <v>0</v>
      </c>
      <c r="H2793" s="195">
        <f t="shared" si="43"/>
        <v>0</v>
      </c>
      <c r="I2793" s="212" t="s">
        <v>2354</v>
      </c>
    </row>
    <row r="2794" spans="1:9" x14ac:dyDescent="0.25">
      <c r="A2794" s="218" t="s">
        <v>220</v>
      </c>
      <c r="B2794" s="218" t="s">
        <v>5430</v>
      </c>
      <c r="C2794" s="219" t="s">
        <v>2774</v>
      </c>
      <c r="D2794" s="212" t="s">
        <v>2775</v>
      </c>
      <c r="E2794" s="212" t="s">
        <v>545</v>
      </c>
      <c r="F2794" s="213">
        <v>2</v>
      </c>
      <c r="G2794" s="213">
        <v>13.4361</v>
      </c>
      <c r="H2794" s="195">
        <f t="shared" si="43"/>
        <v>26.872199999999999</v>
      </c>
      <c r="I2794" s="212" t="s">
        <v>2354</v>
      </c>
    </row>
    <row r="2795" spans="1:9" x14ac:dyDescent="0.25">
      <c r="A2795" s="218" t="s">
        <v>220</v>
      </c>
      <c r="B2795" s="218" t="s">
        <v>5430</v>
      </c>
      <c r="C2795" s="219" t="s">
        <v>5755</v>
      </c>
      <c r="D2795" s="212" t="s">
        <v>5756</v>
      </c>
      <c r="E2795" s="212" t="s">
        <v>545</v>
      </c>
      <c r="F2795" s="213">
        <v>1</v>
      </c>
      <c r="G2795" s="213">
        <v>47.0565</v>
      </c>
      <c r="H2795" s="195">
        <f t="shared" si="43"/>
        <v>47.0565</v>
      </c>
      <c r="I2795" s="212" t="s">
        <v>2354</v>
      </c>
    </row>
    <row r="2796" spans="1:9" x14ac:dyDescent="0.25">
      <c r="A2796" s="218" t="s">
        <v>220</v>
      </c>
      <c r="B2796" s="218" t="s">
        <v>5430</v>
      </c>
      <c r="C2796" s="219" t="s">
        <v>5757</v>
      </c>
      <c r="D2796" s="212" t="s">
        <v>5758</v>
      </c>
      <c r="E2796" s="212" t="s">
        <v>545</v>
      </c>
      <c r="F2796" s="213">
        <v>5</v>
      </c>
      <c r="G2796" s="213">
        <v>20.771999999999998</v>
      </c>
      <c r="H2796" s="195">
        <f t="shared" si="43"/>
        <v>103.85999999999999</v>
      </c>
      <c r="I2796" s="212" t="s">
        <v>2354</v>
      </c>
    </row>
    <row r="2797" spans="1:9" x14ac:dyDescent="0.25">
      <c r="A2797" s="218" t="s">
        <v>220</v>
      </c>
      <c r="B2797" s="218" t="s">
        <v>5430</v>
      </c>
      <c r="C2797" s="219" t="s">
        <v>5759</v>
      </c>
      <c r="D2797" s="212" t="s">
        <v>5760</v>
      </c>
      <c r="E2797" s="212" t="s">
        <v>545</v>
      </c>
      <c r="F2797" s="213">
        <v>3</v>
      </c>
      <c r="G2797" s="213">
        <v>31.5</v>
      </c>
      <c r="H2797" s="195">
        <f t="shared" si="43"/>
        <v>94.5</v>
      </c>
      <c r="I2797" s="212" t="s">
        <v>2354</v>
      </c>
    </row>
    <row r="2798" spans="1:9" x14ac:dyDescent="0.25">
      <c r="A2798" s="218" t="s">
        <v>220</v>
      </c>
      <c r="B2798" s="218" t="s">
        <v>5430</v>
      </c>
      <c r="C2798" s="219" t="s">
        <v>5761</v>
      </c>
      <c r="D2798" s="212" t="s">
        <v>5762</v>
      </c>
      <c r="E2798" s="212" t="s">
        <v>545</v>
      </c>
      <c r="F2798" s="213">
        <v>1</v>
      </c>
      <c r="G2798" s="213">
        <v>122.31</v>
      </c>
      <c r="H2798" s="195">
        <f t="shared" si="43"/>
        <v>122.31</v>
      </c>
      <c r="I2798" s="212" t="s">
        <v>2354</v>
      </c>
    </row>
    <row r="2799" spans="1:9" x14ac:dyDescent="0.25">
      <c r="A2799" s="218" t="s">
        <v>220</v>
      </c>
      <c r="B2799" s="218" t="s">
        <v>5430</v>
      </c>
      <c r="C2799" s="219" t="s">
        <v>5763</v>
      </c>
      <c r="D2799" s="212" t="s">
        <v>5764</v>
      </c>
      <c r="E2799" s="212" t="s">
        <v>545</v>
      </c>
      <c r="F2799" s="213">
        <v>3</v>
      </c>
      <c r="G2799" s="213">
        <v>22.105</v>
      </c>
      <c r="H2799" s="195">
        <f t="shared" si="43"/>
        <v>66.314999999999998</v>
      </c>
      <c r="I2799" s="212" t="s">
        <v>2354</v>
      </c>
    </row>
    <row r="2800" spans="1:9" x14ac:dyDescent="0.25">
      <c r="A2800" s="218" t="s">
        <v>220</v>
      </c>
      <c r="B2800" s="218" t="s">
        <v>5430</v>
      </c>
      <c r="C2800" s="219" t="s">
        <v>5765</v>
      </c>
      <c r="D2800" s="212" t="s">
        <v>5766</v>
      </c>
      <c r="E2800" s="212" t="s">
        <v>545</v>
      </c>
      <c r="F2800" s="213">
        <v>1</v>
      </c>
      <c r="G2800" s="213">
        <v>10.35</v>
      </c>
      <c r="H2800" s="195">
        <f t="shared" si="43"/>
        <v>10.35</v>
      </c>
      <c r="I2800" s="212" t="s">
        <v>2354</v>
      </c>
    </row>
    <row r="2801" spans="1:9" x14ac:dyDescent="0.25">
      <c r="A2801" s="218" t="s">
        <v>220</v>
      </c>
      <c r="B2801" s="218" t="s">
        <v>5430</v>
      </c>
      <c r="C2801" s="219" t="s">
        <v>5767</v>
      </c>
      <c r="D2801" s="212" t="s">
        <v>5768</v>
      </c>
      <c r="E2801" s="212" t="s">
        <v>545</v>
      </c>
      <c r="F2801" s="213">
        <v>1</v>
      </c>
      <c r="G2801" s="213">
        <v>10.35</v>
      </c>
      <c r="H2801" s="195">
        <f t="shared" si="43"/>
        <v>10.35</v>
      </c>
      <c r="I2801" s="212" t="s">
        <v>2354</v>
      </c>
    </row>
    <row r="2802" spans="1:9" x14ac:dyDescent="0.25">
      <c r="A2802" s="218" t="s">
        <v>220</v>
      </c>
      <c r="B2802" s="218" t="s">
        <v>5430</v>
      </c>
      <c r="C2802" s="219" t="s">
        <v>5769</v>
      </c>
      <c r="D2802" s="212" t="s">
        <v>5770</v>
      </c>
      <c r="E2802" s="212" t="s">
        <v>545</v>
      </c>
      <c r="F2802" s="213">
        <v>1</v>
      </c>
      <c r="G2802" s="213">
        <v>10.35</v>
      </c>
      <c r="H2802" s="195">
        <f t="shared" si="43"/>
        <v>10.35</v>
      </c>
      <c r="I2802" s="212" t="s">
        <v>2354</v>
      </c>
    </row>
    <row r="2803" spans="1:9" x14ac:dyDescent="0.25">
      <c r="A2803" s="218" t="s">
        <v>220</v>
      </c>
      <c r="B2803" s="218" t="s">
        <v>5430</v>
      </c>
      <c r="C2803" s="219" t="s">
        <v>2796</v>
      </c>
      <c r="D2803" s="212" t="s">
        <v>2797</v>
      </c>
      <c r="E2803" s="212" t="s">
        <v>545</v>
      </c>
      <c r="F2803" s="213">
        <v>2</v>
      </c>
      <c r="G2803" s="213">
        <v>10.35</v>
      </c>
      <c r="H2803" s="195">
        <f t="shared" si="43"/>
        <v>20.7</v>
      </c>
      <c r="I2803" s="212" t="s">
        <v>2354</v>
      </c>
    </row>
    <row r="2804" spans="1:9" x14ac:dyDescent="0.25">
      <c r="A2804" s="218" t="s">
        <v>220</v>
      </c>
      <c r="B2804" s="218" t="s">
        <v>5430</v>
      </c>
      <c r="C2804" s="219" t="s">
        <v>5771</v>
      </c>
      <c r="D2804" s="212" t="s">
        <v>5772</v>
      </c>
      <c r="E2804" s="212" t="s">
        <v>545</v>
      </c>
      <c r="F2804" s="213">
        <v>2</v>
      </c>
      <c r="G2804" s="213">
        <v>114.4008</v>
      </c>
      <c r="H2804" s="195">
        <f t="shared" si="43"/>
        <v>228.80160000000001</v>
      </c>
      <c r="I2804" s="212" t="s">
        <v>2354</v>
      </c>
    </row>
    <row r="2805" spans="1:9" x14ac:dyDescent="0.25">
      <c r="A2805" s="218" t="s">
        <v>220</v>
      </c>
      <c r="B2805" s="218" t="s">
        <v>5430</v>
      </c>
      <c r="C2805" s="219" t="s">
        <v>5773</v>
      </c>
      <c r="D2805" s="212" t="s">
        <v>5774</v>
      </c>
      <c r="E2805" s="212" t="s">
        <v>545</v>
      </c>
      <c r="F2805" s="213">
        <v>2</v>
      </c>
      <c r="G2805" s="213">
        <v>114.4008</v>
      </c>
      <c r="H2805" s="195">
        <f t="shared" si="43"/>
        <v>228.80160000000001</v>
      </c>
      <c r="I2805" s="212" t="s">
        <v>2354</v>
      </c>
    </row>
    <row r="2806" spans="1:9" x14ac:dyDescent="0.25">
      <c r="A2806" s="218" t="s">
        <v>220</v>
      </c>
      <c r="B2806" s="218" t="s">
        <v>5430</v>
      </c>
      <c r="C2806" s="219" t="s">
        <v>5775</v>
      </c>
      <c r="D2806" s="212" t="s">
        <v>5776</v>
      </c>
      <c r="E2806" s="212" t="s">
        <v>545</v>
      </c>
      <c r="F2806" s="213">
        <v>2</v>
      </c>
      <c r="G2806" s="213">
        <v>19.8</v>
      </c>
      <c r="H2806" s="195">
        <f t="shared" si="43"/>
        <v>39.6</v>
      </c>
      <c r="I2806" s="212" t="s">
        <v>2354</v>
      </c>
    </row>
    <row r="2807" spans="1:9" x14ac:dyDescent="0.25">
      <c r="A2807" s="218" t="s">
        <v>220</v>
      </c>
      <c r="B2807" s="218" t="s">
        <v>5430</v>
      </c>
      <c r="C2807" s="219" t="s">
        <v>5777</v>
      </c>
      <c r="D2807" s="212" t="s">
        <v>5778</v>
      </c>
      <c r="E2807" s="212" t="s">
        <v>545</v>
      </c>
      <c r="F2807" s="213">
        <v>2</v>
      </c>
      <c r="G2807" s="213">
        <v>19.8</v>
      </c>
      <c r="H2807" s="195">
        <f t="shared" si="43"/>
        <v>39.6</v>
      </c>
      <c r="I2807" s="212" t="s">
        <v>2354</v>
      </c>
    </row>
    <row r="2808" spans="1:9" x14ac:dyDescent="0.25">
      <c r="A2808" s="218" t="s">
        <v>220</v>
      </c>
      <c r="B2808" s="218" t="s">
        <v>5430</v>
      </c>
      <c r="C2808" s="219" t="s">
        <v>5779</v>
      </c>
      <c r="D2808" s="212" t="s">
        <v>5780</v>
      </c>
      <c r="E2808" s="212" t="s">
        <v>545</v>
      </c>
      <c r="F2808" s="213">
        <v>2</v>
      </c>
      <c r="G2808" s="213">
        <v>81.62</v>
      </c>
      <c r="H2808" s="195">
        <f t="shared" si="43"/>
        <v>163.24</v>
      </c>
      <c r="I2808" s="212" t="s">
        <v>2354</v>
      </c>
    </row>
    <row r="2809" spans="1:9" x14ac:dyDescent="0.25">
      <c r="A2809" s="218" t="s">
        <v>220</v>
      </c>
      <c r="B2809" s="218" t="s">
        <v>5430</v>
      </c>
      <c r="C2809" s="219" t="s">
        <v>5781</v>
      </c>
      <c r="D2809" s="212" t="s">
        <v>5782</v>
      </c>
      <c r="E2809" s="212" t="s">
        <v>545</v>
      </c>
      <c r="F2809" s="213">
        <v>2</v>
      </c>
      <c r="G2809" s="213">
        <v>91.003500000000003</v>
      </c>
      <c r="H2809" s="195">
        <f t="shared" si="43"/>
        <v>182.00700000000001</v>
      </c>
      <c r="I2809" s="212" t="s">
        <v>2354</v>
      </c>
    </row>
    <row r="2810" spans="1:9" x14ac:dyDescent="0.25">
      <c r="A2810" s="218" t="s">
        <v>220</v>
      </c>
      <c r="B2810" s="218" t="s">
        <v>5430</v>
      </c>
      <c r="C2810" s="219" t="s">
        <v>5783</v>
      </c>
      <c r="D2810" s="212" t="s">
        <v>5784</v>
      </c>
      <c r="E2810" s="212" t="s">
        <v>545</v>
      </c>
      <c r="F2810" s="213">
        <v>2</v>
      </c>
      <c r="G2810" s="213">
        <v>53.739899999999999</v>
      </c>
      <c r="H2810" s="195">
        <f t="shared" si="43"/>
        <v>107.4798</v>
      </c>
      <c r="I2810" s="212" t="s">
        <v>2354</v>
      </c>
    </row>
    <row r="2811" spans="1:9" x14ac:dyDescent="0.25">
      <c r="A2811" s="218" t="s">
        <v>220</v>
      </c>
      <c r="B2811" s="218" t="s">
        <v>5430</v>
      </c>
      <c r="C2811" s="219" t="s">
        <v>5785</v>
      </c>
      <c r="D2811" s="212" t="s">
        <v>5786</v>
      </c>
      <c r="E2811" s="212" t="s">
        <v>545</v>
      </c>
      <c r="F2811" s="213">
        <v>4</v>
      </c>
      <c r="G2811" s="213">
        <v>124.32869999999998</v>
      </c>
      <c r="H2811" s="195">
        <f t="shared" si="43"/>
        <v>497.31479999999993</v>
      </c>
      <c r="I2811" s="212" t="s">
        <v>2354</v>
      </c>
    </row>
    <row r="2812" spans="1:9" x14ac:dyDescent="0.25">
      <c r="A2812" s="218" t="s">
        <v>220</v>
      </c>
      <c r="B2812" s="218" t="s">
        <v>5430</v>
      </c>
      <c r="C2812" s="219" t="s">
        <v>5787</v>
      </c>
      <c r="D2812" s="212" t="s">
        <v>5788</v>
      </c>
      <c r="E2812" s="212" t="s">
        <v>545</v>
      </c>
      <c r="F2812" s="213">
        <v>88</v>
      </c>
      <c r="G2812" s="213">
        <v>2.0499999999999998</v>
      </c>
      <c r="H2812" s="195">
        <f t="shared" si="43"/>
        <v>180.39999999999998</v>
      </c>
      <c r="I2812" s="212" t="s">
        <v>2354</v>
      </c>
    </row>
    <row r="2813" spans="1:9" x14ac:dyDescent="0.25">
      <c r="A2813" s="218" t="s">
        <v>220</v>
      </c>
      <c r="B2813" s="218" t="s">
        <v>5430</v>
      </c>
      <c r="C2813" s="219" t="s">
        <v>5789</v>
      </c>
      <c r="D2813" s="212" t="s">
        <v>5790</v>
      </c>
      <c r="E2813" s="212" t="s">
        <v>545</v>
      </c>
      <c r="F2813" s="213">
        <v>1</v>
      </c>
      <c r="G2813" s="213">
        <v>23.5</v>
      </c>
      <c r="H2813" s="195">
        <f t="shared" si="43"/>
        <v>23.5</v>
      </c>
      <c r="I2813" s="212" t="s">
        <v>2354</v>
      </c>
    </row>
    <row r="2814" spans="1:9" x14ac:dyDescent="0.25">
      <c r="A2814" s="218" t="s">
        <v>220</v>
      </c>
      <c r="B2814" s="218" t="s">
        <v>5430</v>
      </c>
      <c r="C2814" s="219" t="s">
        <v>5791</v>
      </c>
      <c r="D2814" s="212" t="s">
        <v>2825</v>
      </c>
      <c r="E2814" s="212" t="s">
        <v>545</v>
      </c>
      <c r="F2814" s="213">
        <v>1</v>
      </c>
      <c r="G2814" s="213">
        <v>144.92500000000001</v>
      </c>
      <c r="H2814" s="195">
        <f t="shared" si="43"/>
        <v>144.92500000000001</v>
      </c>
      <c r="I2814" s="212" t="s">
        <v>2354</v>
      </c>
    </row>
    <row r="2815" spans="1:9" x14ac:dyDescent="0.25">
      <c r="A2815" s="218" t="s">
        <v>220</v>
      </c>
      <c r="B2815" s="218" t="s">
        <v>5430</v>
      </c>
      <c r="C2815" s="219" t="s">
        <v>5792</v>
      </c>
      <c r="D2815" s="212" t="s">
        <v>5793</v>
      </c>
      <c r="E2815" s="212" t="s">
        <v>545</v>
      </c>
      <c r="F2815" s="213">
        <v>1</v>
      </c>
      <c r="G2815" s="213">
        <v>149.43</v>
      </c>
      <c r="H2815" s="195">
        <f t="shared" si="43"/>
        <v>149.43</v>
      </c>
      <c r="I2815" s="212" t="s">
        <v>2354</v>
      </c>
    </row>
    <row r="2816" spans="1:9" x14ac:dyDescent="0.25">
      <c r="A2816" s="218" t="s">
        <v>220</v>
      </c>
      <c r="B2816" s="218" t="s">
        <v>5430</v>
      </c>
      <c r="C2816" s="219" t="s">
        <v>2830</v>
      </c>
      <c r="D2816" s="212" t="s">
        <v>2831</v>
      </c>
      <c r="E2816" s="212" t="s">
        <v>545</v>
      </c>
      <c r="F2816" s="213">
        <v>1</v>
      </c>
      <c r="G2816" s="213">
        <v>214.98965000000001</v>
      </c>
      <c r="H2816" s="195">
        <f t="shared" si="43"/>
        <v>214.98965000000001</v>
      </c>
      <c r="I2816" s="212" t="s">
        <v>2354</v>
      </c>
    </row>
    <row r="2817" spans="1:9" x14ac:dyDescent="0.25">
      <c r="A2817" s="218" t="s">
        <v>220</v>
      </c>
      <c r="B2817" s="218" t="s">
        <v>5430</v>
      </c>
      <c r="C2817" s="219" t="s">
        <v>5794</v>
      </c>
      <c r="D2817" s="212" t="s">
        <v>2843</v>
      </c>
      <c r="E2817" s="212" t="s">
        <v>545</v>
      </c>
      <c r="F2817" s="213">
        <v>3</v>
      </c>
      <c r="G2817" s="213">
        <v>21.59</v>
      </c>
      <c r="H2817" s="195">
        <f t="shared" si="43"/>
        <v>64.77</v>
      </c>
      <c r="I2817" s="212" t="s">
        <v>2354</v>
      </c>
    </row>
    <row r="2818" spans="1:9" x14ac:dyDescent="0.25">
      <c r="A2818" s="218" t="s">
        <v>220</v>
      </c>
      <c r="B2818" s="218" t="s">
        <v>5430</v>
      </c>
      <c r="C2818" s="219" t="s">
        <v>5795</v>
      </c>
      <c r="D2818" s="212" t="s">
        <v>5796</v>
      </c>
      <c r="E2818" s="212" t="s">
        <v>545</v>
      </c>
      <c r="F2818" s="213">
        <v>4</v>
      </c>
      <c r="G2818" s="213">
        <v>46.194749999999999</v>
      </c>
      <c r="H2818" s="195">
        <f t="shared" si="43"/>
        <v>184.779</v>
      </c>
      <c r="I2818" s="212" t="s">
        <v>2354</v>
      </c>
    </row>
    <row r="2819" spans="1:9" x14ac:dyDescent="0.25">
      <c r="A2819" s="218" t="s">
        <v>220</v>
      </c>
      <c r="B2819" s="218" t="s">
        <v>5430</v>
      </c>
      <c r="C2819" s="219" t="s">
        <v>5797</v>
      </c>
      <c r="D2819" s="212" t="s">
        <v>5798</v>
      </c>
      <c r="E2819" s="212" t="s">
        <v>545</v>
      </c>
      <c r="F2819" s="213">
        <v>1</v>
      </c>
      <c r="G2819" s="213">
        <v>0</v>
      </c>
      <c r="H2819" s="195">
        <f t="shared" si="43"/>
        <v>0</v>
      </c>
      <c r="I2819" s="212" t="s">
        <v>2354</v>
      </c>
    </row>
    <row r="2820" spans="1:9" x14ac:dyDescent="0.25">
      <c r="A2820" s="218" t="s">
        <v>220</v>
      </c>
      <c r="B2820" s="218" t="s">
        <v>5430</v>
      </c>
      <c r="C2820" s="219" t="s">
        <v>5799</v>
      </c>
      <c r="D2820" s="212" t="s">
        <v>5800</v>
      </c>
      <c r="E2820" s="212" t="s">
        <v>545</v>
      </c>
      <c r="F2820" s="213">
        <v>2</v>
      </c>
      <c r="G2820" s="213">
        <v>0</v>
      </c>
      <c r="H2820" s="195">
        <f t="shared" si="43"/>
        <v>0</v>
      </c>
      <c r="I2820" s="212" t="s">
        <v>2354</v>
      </c>
    </row>
    <row r="2821" spans="1:9" x14ac:dyDescent="0.25">
      <c r="A2821" s="218" t="s">
        <v>220</v>
      </c>
      <c r="B2821" s="218" t="s">
        <v>5430</v>
      </c>
      <c r="C2821" s="219" t="s">
        <v>5801</v>
      </c>
      <c r="D2821" s="212" t="s">
        <v>5802</v>
      </c>
      <c r="E2821" s="212" t="s">
        <v>545</v>
      </c>
      <c r="F2821" s="213">
        <v>5</v>
      </c>
      <c r="G2821" s="213">
        <v>60.75</v>
      </c>
      <c r="H2821" s="195">
        <f t="shared" ref="H2821:H2884" si="44">+F2821*G2821</f>
        <v>303.75</v>
      </c>
      <c r="I2821" s="212" t="s">
        <v>2354</v>
      </c>
    </row>
    <row r="2822" spans="1:9" x14ac:dyDescent="0.25">
      <c r="A2822" s="218" t="s">
        <v>220</v>
      </c>
      <c r="B2822" s="218" t="s">
        <v>5430</v>
      </c>
      <c r="C2822" s="219" t="s">
        <v>5803</v>
      </c>
      <c r="D2822" s="212" t="s">
        <v>5804</v>
      </c>
      <c r="E2822" s="212" t="s">
        <v>545</v>
      </c>
      <c r="F2822" s="213">
        <v>3</v>
      </c>
      <c r="G2822" s="213">
        <v>51.75</v>
      </c>
      <c r="H2822" s="195">
        <f t="shared" si="44"/>
        <v>155.25</v>
      </c>
      <c r="I2822" s="212" t="s">
        <v>2354</v>
      </c>
    </row>
    <row r="2823" spans="1:9" x14ac:dyDescent="0.25">
      <c r="A2823" s="218" t="s">
        <v>220</v>
      </c>
      <c r="B2823" s="218" t="s">
        <v>5430</v>
      </c>
      <c r="C2823" s="219" t="s">
        <v>5805</v>
      </c>
      <c r="D2823" s="212" t="s">
        <v>5806</v>
      </c>
      <c r="E2823" s="212" t="s">
        <v>545</v>
      </c>
      <c r="F2823" s="213">
        <v>3</v>
      </c>
      <c r="G2823" s="213">
        <v>150.33840000000001</v>
      </c>
      <c r="H2823" s="195">
        <f t="shared" si="44"/>
        <v>451.01520000000005</v>
      </c>
      <c r="I2823" s="212" t="s">
        <v>2354</v>
      </c>
    </row>
    <row r="2824" spans="1:9" x14ac:dyDescent="0.25">
      <c r="A2824" s="218" t="s">
        <v>220</v>
      </c>
      <c r="B2824" s="218" t="s">
        <v>5430</v>
      </c>
      <c r="C2824" s="219" t="s">
        <v>5807</v>
      </c>
      <c r="D2824" s="212" t="s">
        <v>5808</v>
      </c>
      <c r="E2824" s="212" t="s">
        <v>545</v>
      </c>
      <c r="F2824" s="213">
        <v>2</v>
      </c>
      <c r="G2824" s="213">
        <v>114.1674</v>
      </c>
      <c r="H2824" s="195">
        <f t="shared" si="44"/>
        <v>228.3348</v>
      </c>
      <c r="I2824" s="212" t="s">
        <v>2354</v>
      </c>
    </row>
    <row r="2825" spans="1:9" x14ac:dyDescent="0.25">
      <c r="A2825" s="218" t="s">
        <v>220</v>
      </c>
      <c r="B2825" s="218" t="s">
        <v>5430</v>
      </c>
      <c r="C2825" s="219" t="s">
        <v>5809</v>
      </c>
      <c r="D2825" s="212" t="s">
        <v>5810</v>
      </c>
      <c r="E2825" s="212" t="s">
        <v>545</v>
      </c>
      <c r="F2825" s="213">
        <v>1</v>
      </c>
      <c r="G2825" s="213">
        <v>55.7622</v>
      </c>
      <c r="H2825" s="195">
        <f t="shared" si="44"/>
        <v>55.7622</v>
      </c>
      <c r="I2825" s="212" t="s">
        <v>2354</v>
      </c>
    </row>
    <row r="2826" spans="1:9" x14ac:dyDescent="0.25">
      <c r="A2826" s="218" t="s">
        <v>220</v>
      </c>
      <c r="B2826" s="218" t="s">
        <v>5430</v>
      </c>
      <c r="C2826" s="219" t="s">
        <v>5811</v>
      </c>
      <c r="D2826" s="212" t="s">
        <v>5812</v>
      </c>
      <c r="E2826" s="212" t="s">
        <v>545</v>
      </c>
      <c r="F2826" s="213">
        <v>3</v>
      </c>
      <c r="G2826" s="213">
        <v>36.459000000000003</v>
      </c>
      <c r="H2826" s="195">
        <f t="shared" si="44"/>
        <v>109.37700000000001</v>
      </c>
      <c r="I2826" s="212" t="s">
        <v>2354</v>
      </c>
    </row>
    <row r="2827" spans="1:9" x14ac:dyDescent="0.25">
      <c r="A2827" s="218" t="s">
        <v>220</v>
      </c>
      <c r="B2827" s="218" t="s">
        <v>5430</v>
      </c>
      <c r="C2827" s="219" t="s">
        <v>5813</v>
      </c>
      <c r="D2827" s="212" t="s">
        <v>5814</v>
      </c>
      <c r="E2827" s="212" t="s">
        <v>545</v>
      </c>
      <c r="F2827" s="213">
        <v>3</v>
      </c>
      <c r="G2827" s="213">
        <v>49.68</v>
      </c>
      <c r="H2827" s="195">
        <f t="shared" si="44"/>
        <v>149.04</v>
      </c>
      <c r="I2827" s="212" t="s">
        <v>2354</v>
      </c>
    </row>
    <row r="2828" spans="1:9" x14ac:dyDescent="0.25">
      <c r="A2828" s="218" t="s">
        <v>220</v>
      </c>
      <c r="B2828" s="218" t="s">
        <v>5430</v>
      </c>
      <c r="C2828" s="219" t="s">
        <v>5815</v>
      </c>
      <c r="D2828" s="212" t="s">
        <v>5816</v>
      </c>
      <c r="E2828" s="212" t="s">
        <v>545</v>
      </c>
      <c r="F2828" s="213">
        <v>1</v>
      </c>
      <c r="G2828" s="213">
        <v>33.125</v>
      </c>
      <c r="H2828" s="195">
        <f t="shared" si="44"/>
        <v>33.125</v>
      </c>
      <c r="I2828" s="212" t="s">
        <v>2354</v>
      </c>
    </row>
    <row r="2829" spans="1:9" x14ac:dyDescent="0.25">
      <c r="A2829" s="218" t="s">
        <v>220</v>
      </c>
      <c r="B2829" s="218" t="s">
        <v>5430</v>
      </c>
      <c r="C2829" s="219" t="s">
        <v>5817</v>
      </c>
      <c r="D2829" s="212" t="s">
        <v>5818</v>
      </c>
      <c r="E2829" s="212" t="s">
        <v>545</v>
      </c>
      <c r="F2829" s="213">
        <v>2</v>
      </c>
      <c r="G2829" s="213">
        <v>144</v>
      </c>
      <c r="H2829" s="195">
        <f t="shared" si="44"/>
        <v>288</v>
      </c>
      <c r="I2829" s="212" t="s">
        <v>2354</v>
      </c>
    </row>
    <row r="2830" spans="1:9" x14ac:dyDescent="0.25">
      <c r="A2830" s="218" t="s">
        <v>220</v>
      </c>
      <c r="B2830" s="218" t="s">
        <v>5430</v>
      </c>
      <c r="C2830" s="219" t="s">
        <v>5819</v>
      </c>
      <c r="D2830" s="212" t="s">
        <v>5820</v>
      </c>
      <c r="E2830" s="212" t="s">
        <v>545</v>
      </c>
      <c r="F2830" s="213">
        <v>1</v>
      </c>
      <c r="G2830" s="213">
        <v>121.18680000000001</v>
      </c>
      <c r="H2830" s="195">
        <f t="shared" si="44"/>
        <v>121.18680000000001</v>
      </c>
      <c r="I2830" s="212" t="s">
        <v>2354</v>
      </c>
    </row>
    <row r="2831" spans="1:9" x14ac:dyDescent="0.25">
      <c r="A2831" s="218" t="s">
        <v>220</v>
      </c>
      <c r="B2831" s="218" t="s">
        <v>5430</v>
      </c>
      <c r="C2831" s="219" t="s">
        <v>5821</v>
      </c>
      <c r="D2831" s="212" t="s">
        <v>5822</v>
      </c>
      <c r="E2831" s="212" t="s">
        <v>545</v>
      </c>
      <c r="F2831" s="213">
        <v>1</v>
      </c>
      <c r="G2831" s="213">
        <v>33.125</v>
      </c>
      <c r="H2831" s="195">
        <f t="shared" si="44"/>
        <v>33.125</v>
      </c>
      <c r="I2831" s="212" t="s">
        <v>2354</v>
      </c>
    </row>
    <row r="2832" spans="1:9" x14ac:dyDescent="0.25">
      <c r="A2832" s="218" t="s">
        <v>220</v>
      </c>
      <c r="B2832" s="218" t="s">
        <v>5430</v>
      </c>
      <c r="C2832" s="219" t="s">
        <v>5823</v>
      </c>
      <c r="D2832" s="212" t="s">
        <v>5824</v>
      </c>
      <c r="E2832" s="212" t="s">
        <v>545</v>
      </c>
      <c r="F2832" s="213">
        <v>1</v>
      </c>
      <c r="G2832" s="213">
        <v>73.2834</v>
      </c>
      <c r="H2832" s="195">
        <f t="shared" si="44"/>
        <v>73.2834</v>
      </c>
      <c r="I2832" s="212" t="s">
        <v>2354</v>
      </c>
    </row>
    <row r="2833" spans="1:9" x14ac:dyDescent="0.25">
      <c r="A2833" s="218" t="s">
        <v>220</v>
      </c>
      <c r="B2833" s="218" t="s">
        <v>5430</v>
      </c>
      <c r="C2833" s="219" t="s">
        <v>5825</v>
      </c>
      <c r="D2833" s="212" t="s">
        <v>5826</v>
      </c>
      <c r="E2833" s="212" t="s">
        <v>545</v>
      </c>
      <c r="F2833" s="213">
        <v>2</v>
      </c>
      <c r="G2833" s="213">
        <v>0</v>
      </c>
      <c r="H2833" s="195">
        <f t="shared" si="44"/>
        <v>0</v>
      </c>
      <c r="I2833" s="212" t="s">
        <v>2354</v>
      </c>
    </row>
    <row r="2834" spans="1:9" x14ac:dyDescent="0.25">
      <c r="A2834" s="218" t="s">
        <v>220</v>
      </c>
      <c r="B2834" s="218" t="s">
        <v>5430</v>
      </c>
      <c r="C2834" s="219" t="s">
        <v>5827</v>
      </c>
      <c r="D2834" s="212" t="s">
        <v>5828</v>
      </c>
      <c r="E2834" s="212" t="s">
        <v>545</v>
      </c>
      <c r="F2834" s="213">
        <v>1</v>
      </c>
      <c r="G2834" s="213">
        <v>32.4</v>
      </c>
      <c r="H2834" s="195">
        <f t="shared" si="44"/>
        <v>32.4</v>
      </c>
      <c r="I2834" s="212" t="s">
        <v>2354</v>
      </c>
    </row>
    <row r="2835" spans="1:9" x14ac:dyDescent="0.25">
      <c r="A2835" s="218" t="s">
        <v>220</v>
      </c>
      <c r="B2835" s="218" t="s">
        <v>5430</v>
      </c>
      <c r="C2835" s="219" t="s">
        <v>5829</v>
      </c>
      <c r="D2835" s="212" t="s">
        <v>5830</v>
      </c>
      <c r="E2835" s="212" t="s">
        <v>545</v>
      </c>
      <c r="F2835" s="213">
        <v>1</v>
      </c>
      <c r="G2835" s="213">
        <v>70.148700000000005</v>
      </c>
      <c r="H2835" s="195">
        <f t="shared" si="44"/>
        <v>70.148700000000005</v>
      </c>
      <c r="I2835" s="212" t="s">
        <v>2354</v>
      </c>
    </row>
    <row r="2836" spans="1:9" x14ac:dyDescent="0.25">
      <c r="A2836" s="218" t="s">
        <v>220</v>
      </c>
      <c r="B2836" s="218" t="s">
        <v>5430</v>
      </c>
      <c r="C2836" s="219" t="s">
        <v>5831</v>
      </c>
      <c r="D2836" s="212" t="s">
        <v>5832</v>
      </c>
      <c r="E2836" s="212" t="s">
        <v>545</v>
      </c>
      <c r="F2836" s="213">
        <v>4</v>
      </c>
      <c r="G2836" s="213">
        <v>63.991</v>
      </c>
      <c r="H2836" s="195">
        <f t="shared" si="44"/>
        <v>255.964</v>
      </c>
      <c r="I2836" s="212" t="s">
        <v>2354</v>
      </c>
    </row>
    <row r="2837" spans="1:9" x14ac:dyDescent="0.25">
      <c r="A2837" s="218" t="s">
        <v>220</v>
      </c>
      <c r="B2837" s="218" t="s">
        <v>5430</v>
      </c>
      <c r="C2837" s="219" t="s">
        <v>5833</v>
      </c>
      <c r="D2837" s="212" t="s">
        <v>2855</v>
      </c>
      <c r="E2837" s="212" t="s">
        <v>545</v>
      </c>
      <c r="F2837" s="213">
        <v>2</v>
      </c>
      <c r="G2837" s="213">
        <v>34.961849999999998</v>
      </c>
      <c r="H2837" s="195">
        <f t="shared" si="44"/>
        <v>69.923699999999997</v>
      </c>
      <c r="I2837" s="212" t="s">
        <v>2354</v>
      </c>
    </row>
    <row r="2838" spans="1:9" x14ac:dyDescent="0.25">
      <c r="A2838" s="218" t="s">
        <v>220</v>
      </c>
      <c r="B2838" s="218" t="s">
        <v>5430</v>
      </c>
      <c r="C2838" s="219" t="s">
        <v>5834</v>
      </c>
      <c r="D2838" s="212" t="s">
        <v>5835</v>
      </c>
      <c r="E2838" s="212" t="s">
        <v>545</v>
      </c>
      <c r="F2838" s="213">
        <v>3</v>
      </c>
      <c r="G2838" s="213">
        <v>86.208299999999994</v>
      </c>
      <c r="H2838" s="195">
        <f t="shared" si="44"/>
        <v>258.62489999999997</v>
      </c>
      <c r="I2838" s="212" t="s">
        <v>2354</v>
      </c>
    </row>
    <row r="2839" spans="1:9" x14ac:dyDescent="0.25">
      <c r="A2839" s="218" t="s">
        <v>220</v>
      </c>
      <c r="B2839" s="218" t="s">
        <v>5430</v>
      </c>
      <c r="C2839" s="219" t="s">
        <v>5836</v>
      </c>
      <c r="D2839" s="212" t="s">
        <v>5837</v>
      </c>
      <c r="E2839" s="212" t="s">
        <v>545</v>
      </c>
      <c r="F2839" s="213">
        <v>2</v>
      </c>
      <c r="G2839" s="213">
        <v>164.8143</v>
      </c>
      <c r="H2839" s="195">
        <f t="shared" si="44"/>
        <v>329.62860000000001</v>
      </c>
      <c r="I2839" s="212" t="s">
        <v>2354</v>
      </c>
    </row>
    <row r="2840" spans="1:9" x14ac:dyDescent="0.25">
      <c r="A2840" s="218" t="s">
        <v>220</v>
      </c>
      <c r="B2840" s="218" t="s">
        <v>5430</v>
      </c>
      <c r="C2840" s="219" t="s">
        <v>5838</v>
      </c>
      <c r="D2840" s="212" t="s">
        <v>5839</v>
      </c>
      <c r="E2840" s="212" t="s">
        <v>545</v>
      </c>
      <c r="F2840" s="213">
        <v>5</v>
      </c>
      <c r="G2840" s="213">
        <v>0</v>
      </c>
      <c r="H2840" s="195">
        <f t="shared" si="44"/>
        <v>0</v>
      </c>
      <c r="I2840" s="212" t="s">
        <v>2354</v>
      </c>
    </row>
    <row r="2841" spans="1:9" x14ac:dyDescent="0.25">
      <c r="A2841" s="218" t="s">
        <v>220</v>
      </c>
      <c r="B2841" s="218" t="s">
        <v>5430</v>
      </c>
      <c r="C2841" s="219" t="s">
        <v>5840</v>
      </c>
      <c r="D2841" s="212" t="s">
        <v>5841</v>
      </c>
      <c r="E2841" s="212" t="s">
        <v>545</v>
      </c>
      <c r="F2841" s="213">
        <v>4</v>
      </c>
      <c r="G2841" s="213">
        <v>4.1580000000000004</v>
      </c>
      <c r="H2841" s="195">
        <f t="shared" si="44"/>
        <v>16.632000000000001</v>
      </c>
      <c r="I2841" s="212" t="s">
        <v>2354</v>
      </c>
    </row>
    <row r="2842" spans="1:9" x14ac:dyDescent="0.25">
      <c r="A2842" s="218" t="s">
        <v>220</v>
      </c>
      <c r="B2842" s="218" t="s">
        <v>5430</v>
      </c>
      <c r="C2842" s="219" t="s">
        <v>5842</v>
      </c>
      <c r="D2842" s="212" t="s">
        <v>5843</v>
      </c>
      <c r="E2842" s="212" t="s">
        <v>545</v>
      </c>
      <c r="F2842" s="213">
        <v>8</v>
      </c>
      <c r="G2842" s="213">
        <v>21.231987428571426</v>
      </c>
      <c r="H2842" s="195">
        <f t="shared" si="44"/>
        <v>169.8558994285714</v>
      </c>
      <c r="I2842" s="212" t="s">
        <v>2354</v>
      </c>
    </row>
    <row r="2843" spans="1:9" x14ac:dyDescent="0.25">
      <c r="A2843" s="218" t="s">
        <v>220</v>
      </c>
      <c r="B2843" s="218" t="s">
        <v>5430</v>
      </c>
      <c r="C2843" s="219" t="s">
        <v>5844</v>
      </c>
      <c r="D2843" s="212" t="s">
        <v>5845</v>
      </c>
      <c r="E2843" s="212" t="s">
        <v>545</v>
      </c>
      <c r="F2843" s="213">
        <v>9</v>
      </c>
      <c r="G2843" s="213">
        <v>9.0347249999999999</v>
      </c>
      <c r="H2843" s="195">
        <f t="shared" si="44"/>
        <v>81.312524999999994</v>
      </c>
      <c r="I2843" s="212" t="s">
        <v>2354</v>
      </c>
    </row>
    <row r="2844" spans="1:9" x14ac:dyDescent="0.25">
      <c r="A2844" s="218" t="s">
        <v>220</v>
      </c>
      <c r="B2844" s="218" t="s">
        <v>5430</v>
      </c>
      <c r="C2844" s="219" t="s">
        <v>5846</v>
      </c>
      <c r="D2844" s="212" t="s">
        <v>5847</v>
      </c>
      <c r="E2844" s="212" t="s">
        <v>545</v>
      </c>
      <c r="F2844" s="213">
        <v>4</v>
      </c>
      <c r="G2844" s="213">
        <v>10.143000000000001</v>
      </c>
      <c r="H2844" s="195">
        <f t="shared" si="44"/>
        <v>40.572000000000003</v>
      </c>
      <c r="I2844" s="212" t="s">
        <v>2354</v>
      </c>
    </row>
    <row r="2845" spans="1:9" x14ac:dyDescent="0.25">
      <c r="A2845" s="218" t="s">
        <v>220</v>
      </c>
      <c r="B2845" s="218" t="s">
        <v>5430</v>
      </c>
      <c r="C2845" s="219" t="s">
        <v>5848</v>
      </c>
      <c r="D2845" s="212" t="s">
        <v>5849</v>
      </c>
      <c r="E2845" s="212" t="s">
        <v>545</v>
      </c>
      <c r="F2845" s="213">
        <v>3</v>
      </c>
      <c r="G2845" s="213">
        <v>10.143000000000001</v>
      </c>
      <c r="H2845" s="195">
        <f t="shared" si="44"/>
        <v>30.429000000000002</v>
      </c>
      <c r="I2845" s="212" t="s">
        <v>2354</v>
      </c>
    </row>
    <row r="2846" spans="1:9" x14ac:dyDescent="0.25">
      <c r="A2846" s="218" t="s">
        <v>220</v>
      </c>
      <c r="B2846" s="218" t="s">
        <v>5430</v>
      </c>
      <c r="C2846" s="219" t="s">
        <v>5850</v>
      </c>
      <c r="D2846" s="212" t="s">
        <v>5851</v>
      </c>
      <c r="E2846" s="212" t="s">
        <v>545</v>
      </c>
      <c r="F2846" s="213">
        <v>4</v>
      </c>
      <c r="G2846" s="213">
        <v>9.3437999999999999</v>
      </c>
      <c r="H2846" s="195">
        <f t="shared" si="44"/>
        <v>37.3752</v>
      </c>
      <c r="I2846" s="212" t="s">
        <v>2354</v>
      </c>
    </row>
    <row r="2847" spans="1:9" x14ac:dyDescent="0.25">
      <c r="A2847" s="218" t="s">
        <v>220</v>
      </c>
      <c r="B2847" s="218" t="s">
        <v>5430</v>
      </c>
      <c r="C2847" s="219" t="s">
        <v>5852</v>
      </c>
      <c r="D2847" s="212" t="s">
        <v>5853</v>
      </c>
      <c r="E2847" s="212" t="s">
        <v>545</v>
      </c>
      <c r="F2847" s="213">
        <v>9</v>
      </c>
      <c r="G2847" s="213">
        <v>4.0095000000000001</v>
      </c>
      <c r="H2847" s="195">
        <f t="shared" si="44"/>
        <v>36.085500000000003</v>
      </c>
      <c r="I2847" s="212" t="s">
        <v>2354</v>
      </c>
    </row>
    <row r="2848" spans="1:9" x14ac:dyDescent="0.25">
      <c r="A2848" s="218" t="s">
        <v>220</v>
      </c>
      <c r="B2848" s="218" t="s">
        <v>5430</v>
      </c>
      <c r="C2848" s="219" t="s">
        <v>5854</v>
      </c>
      <c r="D2848" s="212" t="s">
        <v>5855</v>
      </c>
      <c r="E2848" s="212" t="s">
        <v>545</v>
      </c>
      <c r="F2848" s="213">
        <v>8</v>
      </c>
      <c r="G2848" s="213">
        <v>24.5016</v>
      </c>
      <c r="H2848" s="195">
        <f t="shared" si="44"/>
        <v>196.0128</v>
      </c>
      <c r="I2848" s="212" t="s">
        <v>2354</v>
      </c>
    </row>
    <row r="2849" spans="1:9" x14ac:dyDescent="0.25">
      <c r="A2849" s="218" t="s">
        <v>220</v>
      </c>
      <c r="B2849" s="218" t="s">
        <v>5430</v>
      </c>
      <c r="C2849" s="219" t="s">
        <v>5856</v>
      </c>
      <c r="D2849" s="212" t="s">
        <v>5857</v>
      </c>
      <c r="E2849" s="212" t="s">
        <v>545</v>
      </c>
      <c r="F2849" s="213">
        <v>1</v>
      </c>
      <c r="G2849" s="213">
        <v>10.143000000000001</v>
      </c>
      <c r="H2849" s="195">
        <f t="shared" si="44"/>
        <v>10.143000000000001</v>
      </c>
      <c r="I2849" s="212" t="s">
        <v>2354</v>
      </c>
    </row>
    <row r="2850" spans="1:9" x14ac:dyDescent="0.25">
      <c r="A2850" s="218" t="s">
        <v>220</v>
      </c>
      <c r="B2850" s="218" t="s">
        <v>5430</v>
      </c>
      <c r="C2850" s="219" t="s">
        <v>5858</v>
      </c>
      <c r="D2850" s="212" t="s">
        <v>5859</v>
      </c>
      <c r="E2850" s="212" t="s">
        <v>545</v>
      </c>
      <c r="F2850" s="213">
        <v>2</v>
      </c>
      <c r="G2850" s="213">
        <v>10.143000000000001</v>
      </c>
      <c r="H2850" s="195">
        <f t="shared" si="44"/>
        <v>20.286000000000001</v>
      </c>
      <c r="I2850" s="212" t="s">
        <v>2354</v>
      </c>
    </row>
    <row r="2851" spans="1:9" x14ac:dyDescent="0.25">
      <c r="A2851" s="218" t="s">
        <v>220</v>
      </c>
      <c r="B2851" s="218" t="s">
        <v>5430</v>
      </c>
      <c r="C2851" s="219" t="s">
        <v>5860</v>
      </c>
      <c r="D2851" s="212" t="s">
        <v>5861</v>
      </c>
      <c r="E2851" s="212" t="s">
        <v>545</v>
      </c>
      <c r="F2851" s="213">
        <v>5</v>
      </c>
      <c r="G2851" s="213">
        <v>7.3349999999999991</v>
      </c>
      <c r="H2851" s="195">
        <f t="shared" si="44"/>
        <v>36.674999999999997</v>
      </c>
      <c r="I2851" s="212" t="s">
        <v>2354</v>
      </c>
    </row>
    <row r="2852" spans="1:9" x14ac:dyDescent="0.25">
      <c r="A2852" s="218" t="s">
        <v>220</v>
      </c>
      <c r="B2852" s="218" t="s">
        <v>5430</v>
      </c>
      <c r="C2852" s="219" t="s">
        <v>5862</v>
      </c>
      <c r="D2852" s="212" t="s">
        <v>5863</v>
      </c>
      <c r="E2852" s="212" t="s">
        <v>545</v>
      </c>
      <c r="F2852" s="213">
        <v>1</v>
      </c>
      <c r="G2852" s="213">
        <v>0</v>
      </c>
      <c r="H2852" s="195">
        <f t="shared" si="44"/>
        <v>0</v>
      </c>
      <c r="I2852" s="212" t="s">
        <v>2354</v>
      </c>
    </row>
    <row r="2853" spans="1:9" x14ac:dyDescent="0.25">
      <c r="A2853" s="218" t="s">
        <v>220</v>
      </c>
      <c r="B2853" s="218" t="s">
        <v>5430</v>
      </c>
      <c r="C2853" s="219" t="s">
        <v>2379</v>
      </c>
      <c r="D2853" s="212" t="s">
        <v>5864</v>
      </c>
      <c r="E2853" s="212" t="s">
        <v>545</v>
      </c>
      <c r="F2853" s="213">
        <v>5</v>
      </c>
      <c r="G2853" s="213">
        <v>10.143000000000001</v>
      </c>
      <c r="H2853" s="195">
        <f t="shared" si="44"/>
        <v>50.715000000000003</v>
      </c>
      <c r="I2853" s="212" t="s">
        <v>2354</v>
      </c>
    </row>
    <row r="2854" spans="1:9" x14ac:dyDescent="0.25">
      <c r="A2854" s="218" t="s">
        <v>220</v>
      </c>
      <c r="B2854" s="218" t="s">
        <v>5430</v>
      </c>
      <c r="C2854" s="219" t="s">
        <v>5865</v>
      </c>
      <c r="D2854" s="212" t="s">
        <v>5866</v>
      </c>
      <c r="E2854" s="212" t="s">
        <v>545</v>
      </c>
      <c r="F2854" s="213">
        <v>5</v>
      </c>
      <c r="G2854" s="213">
        <v>10.143000000000001</v>
      </c>
      <c r="H2854" s="195">
        <f t="shared" si="44"/>
        <v>50.715000000000003</v>
      </c>
      <c r="I2854" s="212" t="s">
        <v>2354</v>
      </c>
    </row>
    <row r="2855" spans="1:9" x14ac:dyDescent="0.25">
      <c r="A2855" s="218" t="s">
        <v>220</v>
      </c>
      <c r="B2855" s="218" t="s">
        <v>5430</v>
      </c>
      <c r="C2855" s="219" t="s">
        <v>2872</v>
      </c>
      <c r="D2855" s="212" t="s">
        <v>2873</v>
      </c>
      <c r="E2855" s="212" t="s">
        <v>545</v>
      </c>
      <c r="F2855" s="213">
        <v>3</v>
      </c>
      <c r="G2855" s="213">
        <v>10.143000000000001</v>
      </c>
      <c r="H2855" s="195">
        <f t="shared" si="44"/>
        <v>30.429000000000002</v>
      </c>
      <c r="I2855" s="212" t="s">
        <v>2354</v>
      </c>
    </row>
    <row r="2856" spans="1:9" x14ac:dyDescent="0.25">
      <c r="A2856" s="218" t="s">
        <v>220</v>
      </c>
      <c r="B2856" s="218" t="s">
        <v>5430</v>
      </c>
      <c r="C2856" s="219" t="s">
        <v>5867</v>
      </c>
      <c r="D2856" s="212" t="s">
        <v>5868</v>
      </c>
      <c r="E2856" s="212" t="s">
        <v>545</v>
      </c>
      <c r="F2856" s="213">
        <v>5</v>
      </c>
      <c r="G2856" s="213">
        <v>3.4289999999999998</v>
      </c>
      <c r="H2856" s="195">
        <f t="shared" si="44"/>
        <v>17.145</v>
      </c>
      <c r="I2856" s="212" t="s">
        <v>2354</v>
      </c>
    </row>
    <row r="2857" spans="1:9" x14ac:dyDescent="0.25">
      <c r="A2857" s="218" t="s">
        <v>220</v>
      </c>
      <c r="B2857" s="218" t="s">
        <v>5430</v>
      </c>
      <c r="C2857" s="219" t="s">
        <v>5869</v>
      </c>
      <c r="D2857" s="212" t="s">
        <v>5870</v>
      </c>
      <c r="E2857" s="212" t="s">
        <v>545</v>
      </c>
      <c r="F2857" s="213">
        <v>1</v>
      </c>
      <c r="G2857" s="213">
        <v>4.9490999999999996</v>
      </c>
      <c r="H2857" s="195">
        <f t="shared" si="44"/>
        <v>4.9490999999999996</v>
      </c>
      <c r="I2857" s="212" t="s">
        <v>2354</v>
      </c>
    </row>
    <row r="2858" spans="1:9" x14ac:dyDescent="0.25">
      <c r="A2858" s="218" t="s">
        <v>220</v>
      </c>
      <c r="B2858" s="218" t="s">
        <v>5430</v>
      </c>
      <c r="C2858" s="219" t="s">
        <v>5871</v>
      </c>
      <c r="D2858" s="212" t="s">
        <v>5872</v>
      </c>
      <c r="E2858" s="212" t="s">
        <v>545</v>
      </c>
      <c r="F2858" s="213">
        <v>2</v>
      </c>
      <c r="G2858" s="213">
        <v>4.3019999999999996</v>
      </c>
      <c r="H2858" s="195">
        <f t="shared" si="44"/>
        <v>8.6039999999999992</v>
      </c>
      <c r="I2858" s="212" t="s">
        <v>2354</v>
      </c>
    </row>
    <row r="2859" spans="1:9" x14ac:dyDescent="0.25">
      <c r="A2859" s="218" t="s">
        <v>220</v>
      </c>
      <c r="B2859" s="218" t="s">
        <v>5430</v>
      </c>
      <c r="C2859" s="219" t="s">
        <v>5873</v>
      </c>
      <c r="D2859" s="212" t="s">
        <v>5874</v>
      </c>
      <c r="E2859" s="212" t="s">
        <v>545</v>
      </c>
      <c r="F2859" s="213">
        <v>8</v>
      </c>
      <c r="G2859" s="213">
        <v>30.2148</v>
      </c>
      <c r="H2859" s="195">
        <f t="shared" si="44"/>
        <v>241.7184</v>
      </c>
      <c r="I2859" s="212" t="s">
        <v>2354</v>
      </c>
    </row>
    <row r="2860" spans="1:9" x14ac:dyDescent="0.25">
      <c r="A2860" s="218" t="s">
        <v>220</v>
      </c>
      <c r="B2860" s="218" t="s">
        <v>5430</v>
      </c>
      <c r="C2860" s="219" t="s">
        <v>5875</v>
      </c>
      <c r="D2860" s="212" t="s">
        <v>5876</v>
      </c>
      <c r="E2860" s="212" t="s">
        <v>545</v>
      </c>
      <c r="F2860" s="213">
        <v>4</v>
      </c>
      <c r="G2860" s="213">
        <v>4.0823999999999998</v>
      </c>
      <c r="H2860" s="195">
        <f t="shared" si="44"/>
        <v>16.329599999999999</v>
      </c>
      <c r="I2860" s="212" t="s">
        <v>2354</v>
      </c>
    </row>
    <row r="2861" spans="1:9" x14ac:dyDescent="0.25">
      <c r="A2861" s="218" t="s">
        <v>220</v>
      </c>
      <c r="B2861" s="218" t="s">
        <v>5430</v>
      </c>
      <c r="C2861" s="219" t="s">
        <v>5877</v>
      </c>
      <c r="D2861" s="212" t="s">
        <v>5878</v>
      </c>
      <c r="E2861" s="212" t="s">
        <v>545</v>
      </c>
      <c r="F2861" s="213">
        <v>4</v>
      </c>
      <c r="G2861" s="213">
        <v>3.06</v>
      </c>
      <c r="H2861" s="195">
        <f t="shared" si="44"/>
        <v>12.24</v>
      </c>
      <c r="I2861" s="212" t="s">
        <v>2354</v>
      </c>
    </row>
    <row r="2862" spans="1:9" x14ac:dyDescent="0.25">
      <c r="A2862" s="218" t="s">
        <v>220</v>
      </c>
      <c r="B2862" s="218" t="s">
        <v>5430</v>
      </c>
      <c r="C2862" s="219" t="s">
        <v>5879</v>
      </c>
      <c r="D2862" s="212" t="s">
        <v>5880</v>
      </c>
      <c r="E2862" s="212" t="s">
        <v>545</v>
      </c>
      <c r="F2862" s="213">
        <v>2</v>
      </c>
      <c r="G2862" s="213">
        <v>3.4695</v>
      </c>
      <c r="H2862" s="195">
        <f t="shared" si="44"/>
        <v>6.9390000000000001</v>
      </c>
      <c r="I2862" s="212" t="s">
        <v>2354</v>
      </c>
    </row>
    <row r="2863" spans="1:9" x14ac:dyDescent="0.25">
      <c r="A2863" s="218" t="s">
        <v>220</v>
      </c>
      <c r="B2863" s="218" t="s">
        <v>5430</v>
      </c>
      <c r="C2863" s="219" t="s">
        <v>5881</v>
      </c>
      <c r="D2863" s="212" t="s">
        <v>5882</v>
      </c>
      <c r="E2863" s="212" t="s">
        <v>545</v>
      </c>
      <c r="F2863" s="213">
        <v>3</v>
      </c>
      <c r="G2863" s="213">
        <v>2.1429</v>
      </c>
      <c r="H2863" s="195">
        <f t="shared" si="44"/>
        <v>6.4287000000000001</v>
      </c>
      <c r="I2863" s="212" t="s">
        <v>2354</v>
      </c>
    </row>
    <row r="2864" spans="1:9" x14ac:dyDescent="0.25">
      <c r="A2864" s="218" t="s">
        <v>220</v>
      </c>
      <c r="B2864" s="218" t="s">
        <v>5430</v>
      </c>
      <c r="C2864" s="219" t="s">
        <v>5883</v>
      </c>
      <c r="D2864" s="212" t="s">
        <v>5884</v>
      </c>
      <c r="E2864" s="212" t="s">
        <v>545</v>
      </c>
      <c r="F2864" s="213">
        <v>1</v>
      </c>
      <c r="G2864" s="213">
        <v>117.227</v>
      </c>
      <c r="H2864" s="195">
        <f t="shared" si="44"/>
        <v>117.227</v>
      </c>
      <c r="I2864" s="212" t="s">
        <v>2354</v>
      </c>
    </row>
    <row r="2865" spans="1:9" x14ac:dyDescent="0.25">
      <c r="A2865" s="218" t="s">
        <v>220</v>
      </c>
      <c r="B2865" s="218" t="s">
        <v>5430</v>
      </c>
      <c r="C2865" s="219" t="s">
        <v>5885</v>
      </c>
      <c r="D2865" s="212" t="s">
        <v>5886</v>
      </c>
      <c r="E2865" s="212" t="s">
        <v>545</v>
      </c>
      <c r="F2865" s="213">
        <v>6</v>
      </c>
      <c r="G2865" s="213">
        <v>7.2</v>
      </c>
      <c r="H2865" s="195">
        <f t="shared" si="44"/>
        <v>43.2</v>
      </c>
      <c r="I2865" s="212" t="s">
        <v>2354</v>
      </c>
    </row>
    <row r="2866" spans="1:9" x14ac:dyDescent="0.25">
      <c r="A2866" s="218" t="s">
        <v>220</v>
      </c>
      <c r="B2866" s="218" t="s">
        <v>5430</v>
      </c>
      <c r="C2866" s="219" t="s">
        <v>5887</v>
      </c>
      <c r="D2866" s="212" t="s">
        <v>5888</v>
      </c>
      <c r="E2866" s="212" t="s">
        <v>545</v>
      </c>
      <c r="F2866" s="213">
        <v>2</v>
      </c>
      <c r="G2866" s="213">
        <v>3.2309999999999999</v>
      </c>
      <c r="H2866" s="195">
        <f t="shared" si="44"/>
        <v>6.4619999999999997</v>
      </c>
      <c r="I2866" s="212" t="s">
        <v>2354</v>
      </c>
    </row>
    <row r="2867" spans="1:9" x14ac:dyDescent="0.25">
      <c r="A2867" s="218" t="s">
        <v>220</v>
      </c>
      <c r="B2867" s="218" t="s">
        <v>5430</v>
      </c>
      <c r="C2867" s="219" t="s">
        <v>5889</v>
      </c>
      <c r="D2867" s="212" t="s">
        <v>5890</v>
      </c>
      <c r="E2867" s="212" t="s">
        <v>545</v>
      </c>
      <c r="F2867" s="213">
        <v>5</v>
      </c>
      <c r="G2867" s="213">
        <v>8.1647999999999996</v>
      </c>
      <c r="H2867" s="195">
        <f t="shared" si="44"/>
        <v>40.823999999999998</v>
      </c>
      <c r="I2867" s="212" t="s">
        <v>2354</v>
      </c>
    </row>
    <row r="2868" spans="1:9" x14ac:dyDescent="0.25">
      <c r="A2868" s="218" t="s">
        <v>220</v>
      </c>
      <c r="B2868" s="218" t="s">
        <v>5430</v>
      </c>
      <c r="C2868" s="219" t="s">
        <v>2896</v>
      </c>
      <c r="D2868" s="212" t="s">
        <v>2897</v>
      </c>
      <c r="E2868" s="212" t="s">
        <v>545</v>
      </c>
      <c r="F2868" s="213">
        <v>4</v>
      </c>
      <c r="G2868" s="213">
        <v>10.143000000000001</v>
      </c>
      <c r="H2868" s="195">
        <f t="shared" si="44"/>
        <v>40.572000000000003</v>
      </c>
      <c r="I2868" s="212" t="s">
        <v>2354</v>
      </c>
    </row>
    <row r="2869" spans="1:9" x14ac:dyDescent="0.25">
      <c r="A2869" s="218" t="s">
        <v>220</v>
      </c>
      <c r="B2869" s="218" t="s">
        <v>5430</v>
      </c>
      <c r="C2869" s="219" t="s">
        <v>2900</v>
      </c>
      <c r="D2869" s="212" t="s">
        <v>2901</v>
      </c>
      <c r="E2869" s="212" t="s">
        <v>545</v>
      </c>
      <c r="F2869" s="213">
        <v>2</v>
      </c>
      <c r="G2869" s="213">
        <v>10.143000000000001</v>
      </c>
      <c r="H2869" s="195">
        <f t="shared" si="44"/>
        <v>20.286000000000001</v>
      </c>
      <c r="I2869" s="212" t="s">
        <v>2354</v>
      </c>
    </row>
    <row r="2870" spans="1:9" x14ac:dyDescent="0.25">
      <c r="A2870" s="218" t="s">
        <v>220</v>
      </c>
      <c r="B2870" s="218" t="s">
        <v>5430</v>
      </c>
      <c r="C2870" s="219" t="s">
        <v>5891</v>
      </c>
      <c r="D2870" s="212" t="s">
        <v>5892</v>
      </c>
      <c r="E2870" s="212" t="s">
        <v>545</v>
      </c>
      <c r="F2870" s="213">
        <v>5</v>
      </c>
      <c r="G2870" s="213">
        <v>13.4262</v>
      </c>
      <c r="H2870" s="195">
        <f t="shared" si="44"/>
        <v>67.131</v>
      </c>
      <c r="I2870" s="212" t="s">
        <v>2354</v>
      </c>
    </row>
    <row r="2871" spans="1:9" x14ac:dyDescent="0.25">
      <c r="A2871" s="218" t="s">
        <v>220</v>
      </c>
      <c r="B2871" s="218" t="s">
        <v>5430</v>
      </c>
      <c r="C2871" s="219" t="s">
        <v>5893</v>
      </c>
      <c r="D2871" s="212" t="s">
        <v>5894</v>
      </c>
      <c r="E2871" s="212" t="s">
        <v>545</v>
      </c>
      <c r="F2871" s="213">
        <v>6</v>
      </c>
      <c r="G2871" s="213">
        <v>15.36651</v>
      </c>
      <c r="H2871" s="195">
        <f t="shared" si="44"/>
        <v>92.199060000000003</v>
      </c>
      <c r="I2871" s="212" t="s">
        <v>2354</v>
      </c>
    </row>
    <row r="2872" spans="1:9" x14ac:dyDescent="0.25">
      <c r="A2872" s="218" t="s">
        <v>220</v>
      </c>
      <c r="B2872" s="218" t="s">
        <v>5430</v>
      </c>
      <c r="C2872" s="219" t="s">
        <v>2906</v>
      </c>
      <c r="D2872" s="212" t="s">
        <v>2907</v>
      </c>
      <c r="E2872" s="212" t="s">
        <v>545</v>
      </c>
      <c r="F2872" s="213">
        <v>6</v>
      </c>
      <c r="G2872" s="213">
        <v>7.1639999999999988</v>
      </c>
      <c r="H2872" s="195">
        <f t="shared" si="44"/>
        <v>42.983999999999995</v>
      </c>
      <c r="I2872" s="212" t="s">
        <v>2354</v>
      </c>
    </row>
    <row r="2873" spans="1:9" x14ac:dyDescent="0.25">
      <c r="A2873" s="218" t="s">
        <v>220</v>
      </c>
      <c r="B2873" s="218" t="s">
        <v>5430</v>
      </c>
      <c r="C2873" s="219" t="s">
        <v>5895</v>
      </c>
      <c r="D2873" s="212" t="s">
        <v>5896</v>
      </c>
      <c r="E2873" s="212" t="s">
        <v>545</v>
      </c>
      <c r="F2873" s="213">
        <v>3</v>
      </c>
      <c r="G2873" s="213">
        <v>3.1560000000000001</v>
      </c>
      <c r="H2873" s="195">
        <f t="shared" si="44"/>
        <v>9.468</v>
      </c>
      <c r="I2873" s="212" t="s">
        <v>2354</v>
      </c>
    </row>
    <row r="2874" spans="1:9" x14ac:dyDescent="0.25">
      <c r="A2874" s="218" t="s">
        <v>220</v>
      </c>
      <c r="B2874" s="218" t="s">
        <v>5430</v>
      </c>
      <c r="C2874" s="219" t="s">
        <v>5897</v>
      </c>
      <c r="D2874" s="212" t="s">
        <v>5898</v>
      </c>
      <c r="E2874" s="212" t="s">
        <v>545</v>
      </c>
      <c r="F2874" s="213">
        <v>6</v>
      </c>
      <c r="G2874" s="213">
        <v>10.143000000000001</v>
      </c>
      <c r="H2874" s="195">
        <f t="shared" si="44"/>
        <v>60.858000000000004</v>
      </c>
      <c r="I2874" s="212" t="s">
        <v>2354</v>
      </c>
    </row>
    <row r="2875" spans="1:9" x14ac:dyDescent="0.25">
      <c r="A2875" s="218" t="s">
        <v>220</v>
      </c>
      <c r="B2875" s="218" t="s">
        <v>5430</v>
      </c>
      <c r="C2875" s="219" t="s">
        <v>5899</v>
      </c>
      <c r="D2875" s="212" t="s">
        <v>5900</v>
      </c>
      <c r="E2875" s="212" t="s">
        <v>545</v>
      </c>
      <c r="F2875" s="213">
        <v>5</v>
      </c>
      <c r="G2875" s="213">
        <v>6.75</v>
      </c>
      <c r="H2875" s="195">
        <f t="shared" si="44"/>
        <v>33.75</v>
      </c>
      <c r="I2875" s="212" t="s">
        <v>2354</v>
      </c>
    </row>
    <row r="2876" spans="1:9" x14ac:dyDescent="0.25">
      <c r="A2876" s="218" t="s">
        <v>220</v>
      </c>
      <c r="B2876" s="218" t="s">
        <v>5430</v>
      </c>
      <c r="C2876" s="219" t="s">
        <v>5901</v>
      </c>
      <c r="D2876" s="212" t="s">
        <v>5902</v>
      </c>
      <c r="E2876" s="212" t="s">
        <v>545</v>
      </c>
      <c r="F2876" s="213">
        <v>6</v>
      </c>
      <c r="G2876" s="213">
        <v>15.587999999999999</v>
      </c>
      <c r="H2876" s="195">
        <f t="shared" si="44"/>
        <v>93.527999999999992</v>
      </c>
      <c r="I2876" s="212" t="s">
        <v>2354</v>
      </c>
    </row>
    <row r="2877" spans="1:9" x14ac:dyDescent="0.25">
      <c r="A2877" s="218" t="s">
        <v>220</v>
      </c>
      <c r="B2877" s="218" t="s">
        <v>5430</v>
      </c>
      <c r="C2877" s="219" t="s">
        <v>5903</v>
      </c>
      <c r="D2877" s="212" t="s">
        <v>5904</v>
      </c>
      <c r="E2877" s="212" t="s">
        <v>545</v>
      </c>
      <c r="F2877" s="213">
        <v>21</v>
      </c>
      <c r="G2877" s="213">
        <v>10.143000000000001</v>
      </c>
      <c r="H2877" s="195">
        <f t="shared" si="44"/>
        <v>213.00300000000001</v>
      </c>
      <c r="I2877" s="212" t="s">
        <v>2354</v>
      </c>
    </row>
    <row r="2878" spans="1:9" x14ac:dyDescent="0.25">
      <c r="A2878" s="218" t="s">
        <v>220</v>
      </c>
      <c r="B2878" s="218" t="s">
        <v>5430</v>
      </c>
      <c r="C2878" s="219" t="s">
        <v>2926</v>
      </c>
      <c r="D2878" s="212" t="s">
        <v>2927</v>
      </c>
      <c r="E2878" s="212" t="s">
        <v>545</v>
      </c>
      <c r="F2878" s="213">
        <v>1</v>
      </c>
      <c r="G2878" s="213">
        <v>7.9001999999999999</v>
      </c>
      <c r="H2878" s="195">
        <f t="shared" si="44"/>
        <v>7.9001999999999999</v>
      </c>
      <c r="I2878" s="212" t="s">
        <v>2354</v>
      </c>
    </row>
    <row r="2879" spans="1:9" x14ac:dyDescent="0.25">
      <c r="A2879" s="218" t="s">
        <v>220</v>
      </c>
      <c r="B2879" s="218" t="s">
        <v>5430</v>
      </c>
      <c r="C2879" s="219" t="s">
        <v>5905</v>
      </c>
      <c r="D2879" s="212" t="s">
        <v>5906</v>
      </c>
      <c r="E2879" s="212" t="s">
        <v>545</v>
      </c>
      <c r="F2879" s="213">
        <v>4</v>
      </c>
      <c r="G2879" s="213">
        <v>6.4124999999999996</v>
      </c>
      <c r="H2879" s="195">
        <f t="shared" si="44"/>
        <v>25.65</v>
      </c>
      <c r="I2879" s="212" t="s">
        <v>2354</v>
      </c>
    </row>
    <row r="2880" spans="1:9" x14ac:dyDescent="0.25">
      <c r="A2880" s="218" t="s">
        <v>220</v>
      </c>
      <c r="B2880" s="218" t="s">
        <v>5430</v>
      </c>
      <c r="C2880" s="219" t="s">
        <v>2934</v>
      </c>
      <c r="D2880" s="212" t="s">
        <v>2935</v>
      </c>
      <c r="E2880" s="212" t="s">
        <v>545</v>
      </c>
      <c r="F2880" s="213">
        <v>3</v>
      </c>
      <c r="G2880" s="213">
        <v>38.568600000000004</v>
      </c>
      <c r="H2880" s="195">
        <f t="shared" si="44"/>
        <v>115.70580000000001</v>
      </c>
      <c r="I2880" s="212" t="s">
        <v>2354</v>
      </c>
    </row>
    <row r="2881" spans="1:9" x14ac:dyDescent="0.25">
      <c r="A2881" s="218" t="s">
        <v>220</v>
      </c>
      <c r="B2881" s="218" t="s">
        <v>5430</v>
      </c>
      <c r="C2881" s="219" t="s">
        <v>5907</v>
      </c>
      <c r="D2881" s="212" t="s">
        <v>5908</v>
      </c>
      <c r="E2881" s="212" t="s">
        <v>545</v>
      </c>
      <c r="F2881" s="213">
        <v>3</v>
      </c>
      <c r="G2881" s="213">
        <v>10.143000000000001</v>
      </c>
      <c r="H2881" s="195">
        <f t="shared" si="44"/>
        <v>30.429000000000002</v>
      </c>
      <c r="I2881" s="212" t="s">
        <v>2354</v>
      </c>
    </row>
    <row r="2882" spans="1:9" x14ac:dyDescent="0.25">
      <c r="A2882" s="218" t="s">
        <v>220</v>
      </c>
      <c r="B2882" s="218" t="s">
        <v>5430</v>
      </c>
      <c r="C2882" s="219" t="s">
        <v>5909</v>
      </c>
      <c r="D2882" s="212" t="s">
        <v>5910</v>
      </c>
      <c r="E2882" s="212" t="s">
        <v>545</v>
      </c>
      <c r="F2882" s="213">
        <v>2</v>
      </c>
      <c r="G2882" s="213">
        <v>10.143000000000001</v>
      </c>
      <c r="H2882" s="195">
        <f t="shared" si="44"/>
        <v>20.286000000000001</v>
      </c>
      <c r="I2882" s="212" t="s">
        <v>2354</v>
      </c>
    </row>
    <row r="2883" spans="1:9" x14ac:dyDescent="0.25">
      <c r="A2883" s="218" t="s">
        <v>220</v>
      </c>
      <c r="B2883" s="218" t="s">
        <v>5430</v>
      </c>
      <c r="C2883" s="219" t="s">
        <v>5911</v>
      </c>
      <c r="D2883" s="212" t="s">
        <v>5912</v>
      </c>
      <c r="E2883" s="212" t="s">
        <v>545</v>
      </c>
      <c r="F2883" s="213">
        <v>6</v>
      </c>
      <c r="G2883" s="213">
        <v>29.336232857142853</v>
      </c>
      <c r="H2883" s="195">
        <f t="shared" si="44"/>
        <v>176.01739714285713</v>
      </c>
      <c r="I2883" s="212" t="s">
        <v>2354</v>
      </c>
    </row>
    <row r="2884" spans="1:9" x14ac:dyDescent="0.25">
      <c r="A2884" s="218" t="s">
        <v>220</v>
      </c>
      <c r="B2884" s="218" t="s">
        <v>5430</v>
      </c>
      <c r="C2884" s="219" t="s">
        <v>5913</v>
      </c>
      <c r="D2884" s="212" t="s">
        <v>5914</v>
      </c>
      <c r="E2884" s="212" t="s">
        <v>545</v>
      </c>
      <c r="F2884" s="213">
        <v>3</v>
      </c>
      <c r="G2884" s="213">
        <v>26.959499999999998</v>
      </c>
      <c r="H2884" s="195">
        <f t="shared" si="44"/>
        <v>80.878500000000003</v>
      </c>
      <c r="I2884" s="212" t="s">
        <v>2354</v>
      </c>
    </row>
    <row r="2885" spans="1:9" x14ac:dyDescent="0.25">
      <c r="A2885" s="218" t="s">
        <v>220</v>
      </c>
      <c r="B2885" s="218" t="s">
        <v>5430</v>
      </c>
      <c r="C2885" s="219" t="s">
        <v>5915</v>
      </c>
      <c r="D2885" s="212" t="s">
        <v>5916</v>
      </c>
      <c r="E2885" s="212" t="s">
        <v>545</v>
      </c>
      <c r="F2885" s="213">
        <v>1</v>
      </c>
      <c r="G2885" s="213">
        <v>5.7366000000000001</v>
      </c>
      <c r="H2885" s="195">
        <f t="shared" ref="H2885:H2948" si="45">+F2885*G2885</f>
        <v>5.7366000000000001</v>
      </c>
      <c r="I2885" s="212" t="s">
        <v>2354</v>
      </c>
    </row>
    <row r="2886" spans="1:9" x14ac:dyDescent="0.25">
      <c r="A2886" s="218" t="s">
        <v>220</v>
      </c>
      <c r="B2886" s="218" t="s">
        <v>5430</v>
      </c>
      <c r="C2886" s="219" t="s">
        <v>5917</v>
      </c>
      <c r="D2886" s="212" t="s">
        <v>5918</v>
      </c>
      <c r="E2886" s="212" t="s">
        <v>545</v>
      </c>
      <c r="F2886" s="213">
        <v>1</v>
      </c>
      <c r="G2886" s="213">
        <v>5.58</v>
      </c>
      <c r="H2886" s="195">
        <f t="shared" si="45"/>
        <v>5.58</v>
      </c>
      <c r="I2886" s="212" t="s">
        <v>2354</v>
      </c>
    </row>
    <row r="2887" spans="1:9" x14ac:dyDescent="0.25">
      <c r="A2887" s="218" t="s">
        <v>220</v>
      </c>
      <c r="B2887" s="218" t="s">
        <v>5430</v>
      </c>
      <c r="C2887" s="219" t="s">
        <v>5919</v>
      </c>
      <c r="D2887" s="212" t="s">
        <v>5920</v>
      </c>
      <c r="E2887" s="212" t="s">
        <v>545</v>
      </c>
      <c r="F2887" s="213">
        <v>4</v>
      </c>
      <c r="G2887" s="213">
        <v>9.4499999999999993</v>
      </c>
      <c r="H2887" s="195">
        <f t="shared" si="45"/>
        <v>37.799999999999997</v>
      </c>
      <c r="I2887" s="212" t="s">
        <v>2354</v>
      </c>
    </row>
    <row r="2888" spans="1:9" x14ac:dyDescent="0.25">
      <c r="A2888" s="218" t="s">
        <v>220</v>
      </c>
      <c r="B2888" s="218" t="s">
        <v>5430</v>
      </c>
      <c r="C2888" s="219" t="s">
        <v>5921</v>
      </c>
      <c r="D2888" s="212" t="s">
        <v>5922</v>
      </c>
      <c r="E2888" s="212" t="s">
        <v>545</v>
      </c>
      <c r="F2888" s="213">
        <v>1</v>
      </c>
      <c r="G2888" s="213">
        <v>0</v>
      </c>
      <c r="H2888" s="195">
        <f t="shared" si="45"/>
        <v>0</v>
      </c>
      <c r="I2888" s="212" t="s">
        <v>2354</v>
      </c>
    </row>
    <row r="2889" spans="1:9" x14ac:dyDescent="0.25">
      <c r="A2889" s="218" t="s">
        <v>220</v>
      </c>
      <c r="B2889" s="218" t="s">
        <v>5430</v>
      </c>
      <c r="C2889" s="219" t="s">
        <v>5923</v>
      </c>
      <c r="D2889" s="212" t="s">
        <v>5924</v>
      </c>
      <c r="E2889" s="212" t="s">
        <v>545</v>
      </c>
      <c r="F2889" s="213">
        <v>3</v>
      </c>
      <c r="G2889" s="213">
        <v>4.1040000000000001</v>
      </c>
      <c r="H2889" s="195">
        <f t="shared" si="45"/>
        <v>12.312000000000001</v>
      </c>
      <c r="I2889" s="212" t="s">
        <v>2354</v>
      </c>
    </row>
    <row r="2890" spans="1:9" x14ac:dyDescent="0.25">
      <c r="A2890" s="218" t="s">
        <v>220</v>
      </c>
      <c r="B2890" s="218" t="s">
        <v>5430</v>
      </c>
      <c r="C2890" s="219" t="s">
        <v>5925</v>
      </c>
      <c r="D2890" s="212" t="s">
        <v>5926</v>
      </c>
      <c r="E2890" s="212" t="s">
        <v>545</v>
      </c>
      <c r="F2890" s="213">
        <v>3</v>
      </c>
      <c r="G2890" s="213">
        <v>6.9992999999999999</v>
      </c>
      <c r="H2890" s="195">
        <f t="shared" si="45"/>
        <v>20.997900000000001</v>
      </c>
      <c r="I2890" s="212" t="s">
        <v>2354</v>
      </c>
    </row>
    <row r="2891" spans="1:9" x14ac:dyDescent="0.25">
      <c r="A2891" s="218" t="s">
        <v>220</v>
      </c>
      <c r="B2891" s="218" t="s">
        <v>5430</v>
      </c>
      <c r="C2891" s="219" t="s">
        <v>5927</v>
      </c>
      <c r="D2891" s="212" t="s">
        <v>5928</v>
      </c>
      <c r="E2891" s="212" t="s">
        <v>545</v>
      </c>
      <c r="F2891" s="213">
        <v>4</v>
      </c>
      <c r="G2891" s="213">
        <v>51.232500000000002</v>
      </c>
      <c r="H2891" s="195">
        <f t="shared" si="45"/>
        <v>204.93</v>
      </c>
      <c r="I2891" s="212" t="s">
        <v>2354</v>
      </c>
    </row>
    <row r="2892" spans="1:9" x14ac:dyDescent="0.25">
      <c r="A2892" s="218" t="s">
        <v>220</v>
      </c>
      <c r="B2892" s="218" t="s">
        <v>5430</v>
      </c>
      <c r="C2892" s="219" t="s">
        <v>5929</v>
      </c>
      <c r="D2892" s="212" t="s">
        <v>5930</v>
      </c>
      <c r="E2892" s="212" t="s">
        <v>545</v>
      </c>
      <c r="F2892" s="213">
        <v>5</v>
      </c>
      <c r="G2892" s="213">
        <v>3.7530000000000001</v>
      </c>
      <c r="H2892" s="195">
        <f t="shared" si="45"/>
        <v>18.765000000000001</v>
      </c>
      <c r="I2892" s="212" t="s">
        <v>2354</v>
      </c>
    </row>
    <row r="2893" spans="1:9" x14ac:dyDescent="0.25">
      <c r="A2893" s="218" t="s">
        <v>220</v>
      </c>
      <c r="B2893" s="218" t="s">
        <v>5430</v>
      </c>
      <c r="C2893" s="219" t="s">
        <v>5931</v>
      </c>
      <c r="D2893" s="212" t="s">
        <v>5932</v>
      </c>
      <c r="E2893" s="212" t="s">
        <v>545</v>
      </c>
      <c r="F2893" s="213">
        <v>5</v>
      </c>
      <c r="G2893" s="213">
        <v>14.265000000000001</v>
      </c>
      <c r="H2893" s="195">
        <f t="shared" si="45"/>
        <v>71.325000000000003</v>
      </c>
      <c r="I2893" s="212" t="s">
        <v>2354</v>
      </c>
    </row>
    <row r="2894" spans="1:9" x14ac:dyDescent="0.25">
      <c r="A2894" s="218" t="s">
        <v>220</v>
      </c>
      <c r="B2894" s="218" t="s">
        <v>5430</v>
      </c>
      <c r="C2894" s="219" t="s">
        <v>5933</v>
      </c>
      <c r="D2894" s="212" t="s">
        <v>5934</v>
      </c>
      <c r="E2894" s="212" t="s">
        <v>545</v>
      </c>
      <c r="F2894" s="213">
        <v>5</v>
      </c>
      <c r="G2894" s="213">
        <v>11.79</v>
      </c>
      <c r="H2894" s="195">
        <f t="shared" si="45"/>
        <v>58.949999999999996</v>
      </c>
      <c r="I2894" s="212" t="s">
        <v>2354</v>
      </c>
    </row>
    <row r="2895" spans="1:9" x14ac:dyDescent="0.25">
      <c r="A2895" s="218" t="s">
        <v>220</v>
      </c>
      <c r="B2895" s="218" t="s">
        <v>5430</v>
      </c>
      <c r="C2895" s="219" t="s">
        <v>5935</v>
      </c>
      <c r="D2895" s="212" t="s">
        <v>5936</v>
      </c>
      <c r="E2895" s="212" t="s">
        <v>545</v>
      </c>
      <c r="F2895" s="213">
        <v>8</v>
      </c>
      <c r="G2895" s="213">
        <v>7.8840000000000003</v>
      </c>
      <c r="H2895" s="195">
        <f t="shared" si="45"/>
        <v>63.072000000000003</v>
      </c>
      <c r="I2895" s="212" t="s">
        <v>2354</v>
      </c>
    </row>
    <row r="2896" spans="1:9" x14ac:dyDescent="0.25">
      <c r="A2896" s="218" t="s">
        <v>220</v>
      </c>
      <c r="B2896" s="218" t="s">
        <v>5430</v>
      </c>
      <c r="C2896" s="219" t="s">
        <v>5937</v>
      </c>
      <c r="D2896" s="212" t="s">
        <v>5938</v>
      </c>
      <c r="E2896" s="212" t="s">
        <v>545</v>
      </c>
      <c r="F2896" s="213">
        <v>2</v>
      </c>
      <c r="G2896" s="213">
        <v>4.05</v>
      </c>
      <c r="H2896" s="195">
        <f t="shared" si="45"/>
        <v>8.1</v>
      </c>
      <c r="I2896" s="212" t="s">
        <v>2354</v>
      </c>
    </row>
    <row r="2897" spans="1:9" x14ac:dyDescent="0.25">
      <c r="A2897" s="218" t="s">
        <v>220</v>
      </c>
      <c r="B2897" s="218" t="s">
        <v>5430</v>
      </c>
      <c r="C2897" s="219" t="s">
        <v>5939</v>
      </c>
      <c r="D2897" s="212" t="s">
        <v>5940</v>
      </c>
      <c r="E2897" s="212" t="s">
        <v>545</v>
      </c>
      <c r="F2897" s="213">
        <v>3</v>
      </c>
      <c r="G2897" s="213">
        <v>20.411999999999999</v>
      </c>
      <c r="H2897" s="195">
        <f t="shared" si="45"/>
        <v>61.235999999999997</v>
      </c>
      <c r="I2897" s="212" t="s">
        <v>2354</v>
      </c>
    </row>
    <row r="2898" spans="1:9" x14ac:dyDescent="0.25">
      <c r="A2898" s="218" t="s">
        <v>220</v>
      </c>
      <c r="B2898" s="218" t="s">
        <v>5430</v>
      </c>
      <c r="C2898" s="219" t="s">
        <v>5941</v>
      </c>
      <c r="D2898" s="212" t="s">
        <v>5942</v>
      </c>
      <c r="E2898" s="212" t="s">
        <v>545</v>
      </c>
      <c r="F2898" s="213">
        <v>2</v>
      </c>
      <c r="G2898" s="213">
        <v>3.9266999999999994</v>
      </c>
      <c r="H2898" s="195">
        <f t="shared" si="45"/>
        <v>7.8533999999999988</v>
      </c>
      <c r="I2898" s="212" t="s">
        <v>2354</v>
      </c>
    </row>
    <row r="2899" spans="1:9" x14ac:dyDescent="0.25">
      <c r="A2899" s="218" t="s">
        <v>220</v>
      </c>
      <c r="B2899" s="218" t="s">
        <v>5430</v>
      </c>
      <c r="C2899" s="219" t="s">
        <v>5943</v>
      </c>
      <c r="D2899" s="212" t="s">
        <v>5944</v>
      </c>
      <c r="E2899" s="212" t="s">
        <v>545</v>
      </c>
      <c r="F2899" s="213">
        <v>12</v>
      </c>
      <c r="G2899" s="213">
        <v>15.1434</v>
      </c>
      <c r="H2899" s="195">
        <f t="shared" si="45"/>
        <v>181.7208</v>
      </c>
      <c r="I2899" s="212" t="s">
        <v>2354</v>
      </c>
    </row>
    <row r="2900" spans="1:9" x14ac:dyDescent="0.25">
      <c r="A2900" s="218" t="s">
        <v>220</v>
      </c>
      <c r="B2900" s="218" t="s">
        <v>5430</v>
      </c>
      <c r="C2900" s="219" t="s">
        <v>5945</v>
      </c>
      <c r="D2900" s="212" t="s">
        <v>5946</v>
      </c>
      <c r="E2900" s="212" t="s">
        <v>545</v>
      </c>
      <c r="F2900" s="213">
        <v>6</v>
      </c>
      <c r="G2900" s="213">
        <v>31.013999999999999</v>
      </c>
      <c r="H2900" s="195">
        <f t="shared" si="45"/>
        <v>186.084</v>
      </c>
      <c r="I2900" s="212" t="s">
        <v>2354</v>
      </c>
    </row>
    <row r="2901" spans="1:9" x14ac:dyDescent="0.25">
      <c r="A2901" s="218" t="s">
        <v>220</v>
      </c>
      <c r="B2901" s="218" t="s">
        <v>5430</v>
      </c>
      <c r="C2901" s="219" t="s">
        <v>2956</v>
      </c>
      <c r="D2901" s="212" t="s">
        <v>2957</v>
      </c>
      <c r="E2901" s="212" t="s">
        <v>545</v>
      </c>
      <c r="F2901" s="213">
        <v>1</v>
      </c>
      <c r="G2901" s="213">
        <v>33.344999999999999</v>
      </c>
      <c r="H2901" s="195">
        <f t="shared" si="45"/>
        <v>33.344999999999999</v>
      </c>
      <c r="I2901" s="212" t="s">
        <v>2354</v>
      </c>
    </row>
    <row r="2902" spans="1:9" x14ac:dyDescent="0.25">
      <c r="A2902" s="218" t="s">
        <v>220</v>
      </c>
      <c r="B2902" s="218" t="s">
        <v>5430</v>
      </c>
      <c r="C2902" s="219" t="s">
        <v>5947</v>
      </c>
      <c r="D2902" s="212" t="s">
        <v>5948</v>
      </c>
      <c r="E2902" s="212" t="s">
        <v>545</v>
      </c>
      <c r="F2902" s="213">
        <v>2</v>
      </c>
      <c r="G2902" s="213">
        <v>59.1648</v>
      </c>
      <c r="H2902" s="195">
        <f t="shared" si="45"/>
        <v>118.3296</v>
      </c>
      <c r="I2902" s="212" t="s">
        <v>2354</v>
      </c>
    </row>
    <row r="2903" spans="1:9" x14ac:dyDescent="0.25">
      <c r="A2903" s="218" t="s">
        <v>220</v>
      </c>
      <c r="B2903" s="218" t="s">
        <v>5430</v>
      </c>
      <c r="C2903" s="219" t="s">
        <v>5949</v>
      </c>
      <c r="D2903" s="212" t="s">
        <v>5950</v>
      </c>
      <c r="E2903" s="212" t="s">
        <v>545</v>
      </c>
      <c r="F2903" s="213">
        <v>11</v>
      </c>
      <c r="G2903" s="213">
        <v>23.895</v>
      </c>
      <c r="H2903" s="195">
        <f t="shared" si="45"/>
        <v>262.84499999999997</v>
      </c>
      <c r="I2903" s="212" t="s">
        <v>2354</v>
      </c>
    </row>
    <row r="2904" spans="1:9" x14ac:dyDescent="0.25">
      <c r="A2904" s="218" t="s">
        <v>220</v>
      </c>
      <c r="B2904" s="218" t="s">
        <v>5430</v>
      </c>
      <c r="C2904" s="219" t="s">
        <v>5951</v>
      </c>
      <c r="D2904" s="212" t="s">
        <v>5952</v>
      </c>
      <c r="E2904" s="212" t="s">
        <v>545</v>
      </c>
      <c r="F2904" s="213">
        <v>1</v>
      </c>
      <c r="G2904" s="213">
        <v>10.6488</v>
      </c>
      <c r="H2904" s="195">
        <f t="shared" si="45"/>
        <v>10.6488</v>
      </c>
      <c r="I2904" s="212" t="s">
        <v>2354</v>
      </c>
    </row>
    <row r="2905" spans="1:9" x14ac:dyDescent="0.25">
      <c r="A2905" s="218" t="s">
        <v>220</v>
      </c>
      <c r="B2905" s="218" t="s">
        <v>5430</v>
      </c>
      <c r="C2905" s="219" t="s">
        <v>5953</v>
      </c>
      <c r="D2905" s="212" t="s">
        <v>5954</v>
      </c>
      <c r="E2905" s="212" t="s">
        <v>545</v>
      </c>
      <c r="F2905" s="213">
        <v>3</v>
      </c>
      <c r="G2905" s="213">
        <v>13.379200000000001</v>
      </c>
      <c r="H2905" s="195">
        <f t="shared" si="45"/>
        <v>40.137600000000006</v>
      </c>
      <c r="I2905" s="212" t="s">
        <v>2354</v>
      </c>
    </row>
    <row r="2906" spans="1:9" x14ac:dyDescent="0.25">
      <c r="A2906" s="218" t="s">
        <v>220</v>
      </c>
      <c r="B2906" s="218" t="s">
        <v>5430</v>
      </c>
      <c r="C2906" s="219" t="s">
        <v>5955</v>
      </c>
      <c r="D2906" s="212" t="s">
        <v>5956</v>
      </c>
      <c r="E2906" s="212" t="s">
        <v>545</v>
      </c>
      <c r="F2906" s="213">
        <v>4</v>
      </c>
      <c r="G2906" s="213">
        <v>0</v>
      </c>
      <c r="H2906" s="195">
        <f t="shared" si="45"/>
        <v>0</v>
      </c>
      <c r="I2906" s="212" t="s">
        <v>2354</v>
      </c>
    </row>
    <row r="2907" spans="1:9" x14ac:dyDescent="0.25">
      <c r="A2907" s="218" t="s">
        <v>220</v>
      </c>
      <c r="B2907" s="218" t="s">
        <v>5430</v>
      </c>
      <c r="C2907" s="219" t="s">
        <v>5957</v>
      </c>
      <c r="D2907" s="212" t="s">
        <v>5958</v>
      </c>
      <c r="E2907" s="212" t="s">
        <v>545</v>
      </c>
      <c r="F2907" s="213">
        <v>3</v>
      </c>
      <c r="G2907" s="213">
        <v>0</v>
      </c>
      <c r="H2907" s="195">
        <f t="shared" si="45"/>
        <v>0</v>
      </c>
      <c r="I2907" s="212" t="s">
        <v>2354</v>
      </c>
    </row>
    <row r="2908" spans="1:9" x14ac:dyDescent="0.25">
      <c r="A2908" s="218" t="s">
        <v>220</v>
      </c>
      <c r="B2908" s="218" t="s">
        <v>5430</v>
      </c>
      <c r="C2908" s="219" t="s">
        <v>5959</v>
      </c>
      <c r="D2908" s="212" t="s">
        <v>5960</v>
      </c>
      <c r="E2908" s="212" t="s">
        <v>545</v>
      </c>
      <c r="F2908" s="213">
        <v>6</v>
      </c>
      <c r="G2908" s="213">
        <v>0</v>
      </c>
      <c r="H2908" s="195">
        <f t="shared" si="45"/>
        <v>0</v>
      </c>
      <c r="I2908" s="212" t="s">
        <v>2354</v>
      </c>
    </row>
    <row r="2909" spans="1:9" x14ac:dyDescent="0.25">
      <c r="A2909" s="218" t="s">
        <v>220</v>
      </c>
      <c r="B2909" s="218" t="s">
        <v>5430</v>
      </c>
      <c r="C2909" s="219" t="s">
        <v>5961</v>
      </c>
      <c r="D2909" s="212" t="s">
        <v>5962</v>
      </c>
      <c r="E2909" s="212" t="s">
        <v>545</v>
      </c>
      <c r="F2909" s="213">
        <v>4</v>
      </c>
      <c r="G2909" s="213">
        <v>0</v>
      </c>
      <c r="H2909" s="195">
        <f t="shared" si="45"/>
        <v>0</v>
      </c>
      <c r="I2909" s="212" t="s">
        <v>2354</v>
      </c>
    </row>
    <row r="2910" spans="1:9" x14ac:dyDescent="0.25">
      <c r="A2910" s="218" t="s">
        <v>220</v>
      </c>
      <c r="B2910" s="218" t="s">
        <v>5430</v>
      </c>
      <c r="C2910" s="219" t="s">
        <v>5963</v>
      </c>
      <c r="D2910" s="212" t="s">
        <v>5964</v>
      </c>
      <c r="E2910" s="212" t="s">
        <v>545</v>
      </c>
      <c r="F2910" s="213">
        <v>3</v>
      </c>
      <c r="G2910" s="213">
        <v>25.974</v>
      </c>
      <c r="H2910" s="195">
        <f t="shared" si="45"/>
        <v>77.921999999999997</v>
      </c>
      <c r="I2910" s="212" t="s">
        <v>2354</v>
      </c>
    </row>
    <row r="2911" spans="1:9" x14ac:dyDescent="0.25">
      <c r="A2911" s="218" t="s">
        <v>220</v>
      </c>
      <c r="B2911" s="218" t="s">
        <v>5430</v>
      </c>
      <c r="C2911" s="219" t="s">
        <v>5965</v>
      </c>
      <c r="D2911" s="212" t="s">
        <v>5966</v>
      </c>
      <c r="E2911" s="212" t="s">
        <v>545</v>
      </c>
      <c r="F2911" s="213">
        <v>6</v>
      </c>
      <c r="G2911" s="213">
        <v>36.090000000000003</v>
      </c>
      <c r="H2911" s="195">
        <f t="shared" si="45"/>
        <v>216.54000000000002</v>
      </c>
      <c r="I2911" s="212" t="s">
        <v>2354</v>
      </c>
    </row>
    <row r="2912" spans="1:9" x14ac:dyDescent="0.25">
      <c r="A2912" s="218" t="s">
        <v>220</v>
      </c>
      <c r="B2912" s="218" t="s">
        <v>5430</v>
      </c>
      <c r="C2912" s="219" t="s">
        <v>5967</v>
      </c>
      <c r="D2912" s="212" t="s">
        <v>5968</v>
      </c>
      <c r="E2912" s="212" t="s">
        <v>545</v>
      </c>
      <c r="F2912" s="213">
        <v>2</v>
      </c>
      <c r="G2912" s="213">
        <v>0</v>
      </c>
      <c r="H2912" s="195">
        <f t="shared" si="45"/>
        <v>0</v>
      </c>
      <c r="I2912" s="212" t="s">
        <v>2354</v>
      </c>
    </row>
    <row r="2913" spans="1:9" x14ac:dyDescent="0.25">
      <c r="A2913" s="218" t="s">
        <v>220</v>
      </c>
      <c r="B2913" s="218" t="s">
        <v>5430</v>
      </c>
      <c r="C2913" s="219" t="s">
        <v>5969</v>
      </c>
      <c r="D2913" s="212" t="s">
        <v>5970</v>
      </c>
      <c r="E2913" s="212" t="s">
        <v>545</v>
      </c>
      <c r="F2913" s="213">
        <v>4</v>
      </c>
      <c r="G2913" s="213">
        <v>27.607500000000002</v>
      </c>
      <c r="H2913" s="195">
        <f t="shared" si="45"/>
        <v>110.43</v>
      </c>
      <c r="I2913" s="212" t="s">
        <v>2354</v>
      </c>
    </row>
    <row r="2914" spans="1:9" x14ac:dyDescent="0.25">
      <c r="A2914" s="218" t="s">
        <v>220</v>
      </c>
      <c r="B2914" s="218" t="s">
        <v>5430</v>
      </c>
      <c r="C2914" s="219" t="s">
        <v>5971</v>
      </c>
      <c r="D2914" s="212" t="s">
        <v>5972</v>
      </c>
      <c r="E2914" s="212" t="s">
        <v>545</v>
      </c>
      <c r="F2914" s="213">
        <v>3</v>
      </c>
      <c r="G2914" s="213">
        <v>16.086600000000001</v>
      </c>
      <c r="H2914" s="195">
        <f t="shared" si="45"/>
        <v>48.259799999999998</v>
      </c>
      <c r="I2914" s="212" t="s">
        <v>2354</v>
      </c>
    </row>
    <row r="2915" spans="1:9" x14ac:dyDescent="0.25">
      <c r="A2915" s="218" t="s">
        <v>220</v>
      </c>
      <c r="B2915" s="218" t="s">
        <v>5430</v>
      </c>
      <c r="C2915" s="219" t="s">
        <v>5973</v>
      </c>
      <c r="D2915" s="212" t="s">
        <v>5974</v>
      </c>
      <c r="E2915" s="212" t="s">
        <v>545</v>
      </c>
      <c r="F2915" s="213">
        <v>3</v>
      </c>
      <c r="G2915" s="213">
        <v>43.100099999999998</v>
      </c>
      <c r="H2915" s="195">
        <f t="shared" si="45"/>
        <v>129.30029999999999</v>
      </c>
      <c r="I2915" s="212" t="s">
        <v>2354</v>
      </c>
    </row>
    <row r="2916" spans="1:9" x14ac:dyDescent="0.25">
      <c r="A2916" s="218" t="s">
        <v>220</v>
      </c>
      <c r="B2916" s="218" t="s">
        <v>5430</v>
      </c>
      <c r="C2916" s="219" t="s">
        <v>5975</v>
      </c>
      <c r="D2916" s="212" t="s">
        <v>5976</v>
      </c>
      <c r="E2916" s="212" t="s">
        <v>545</v>
      </c>
      <c r="F2916" s="213">
        <v>5</v>
      </c>
      <c r="G2916" s="213">
        <v>38.300400000000003</v>
      </c>
      <c r="H2916" s="195">
        <f t="shared" si="45"/>
        <v>191.50200000000001</v>
      </c>
      <c r="I2916" s="212" t="s">
        <v>2354</v>
      </c>
    </row>
    <row r="2917" spans="1:9" x14ac:dyDescent="0.25">
      <c r="A2917" s="218" t="s">
        <v>220</v>
      </c>
      <c r="B2917" s="218" t="s">
        <v>5430</v>
      </c>
      <c r="C2917" s="219" t="s">
        <v>5977</v>
      </c>
      <c r="D2917" s="212" t="s">
        <v>5978</v>
      </c>
      <c r="E2917" s="212" t="s">
        <v>545</v>
      </c>
      <c r="F2917" s="213">
        <v>2</v>
      </c>
      <c r="G2917" s="213">
        <v>42.730200000000004</v>
      </c>
      <c r="H2917" s="195">
        <f t="shared" si="45"/>
        <v>85.460400000000007</v>
      </c>
      <c r="I2917" s="212" t="s">
        <v>2354</v>
      </c>
    </row>
    <row r="2918" spans="1:9" x14ac:dyDescent="0.25">
      <c r="A2918" s="218" t="s">
        <v>220</v>
      </c>
      <c r="B2918" s="218" t="s">
        <v>5430</v>
      </c>
      <c r="C2918" s="219" t="s">
        <v>5979</v>
      </c>
      <c r="D2918" s="212" t="s">
        <v>5980</v>
      </c>
      <c r="E2918" s="212" t="s">
        <v>545</v>
      </c>
      <c r="F2918" s="213">
        <v>2</v>
      </c>
      <c r="G2918" s="213">
        <v>54.818100000000001</v>
      </c>
      <c r="H2918" s="195">
        <f t="shared" si="45"/>
        <v>109.6362</v>
      </c>
      <c r="I2918" s="212" t="s">
        <v>2354</v>
      </c>
    </row>
    <row r="2919" spans="1:9" x14ac:dyDescent="0.25">
      <c r="A2919" s="218" t="s">
        <v>220</v>
      </c>
      <c r="B2919" s="218" t="s">
        <v>5430</v>
      </c>
      <c r="C2919" s="219" t="s">
        <v>5981</v>
      </c>
      <c r="D2919" s="212" t="s">
        <v>5982</v>
      </c>
      <c r="E2919" s="212" t="s">
        <v>545</v>
      </c>
      <c r="F2919" s="213">
        <v>3</v>
      </c>
      <c r="G2919" s="213">
        <v>64.062899999999999</v>
      </c>
      <c r="H2919" s="195">
        <f t="shared" si="45"/>
        <v>192.18869999999998</v>
      </c>
      <c r="I2919" s="212" t="s">
        <v>2354</v>
      </c>
    </row>
    <row r="2920" spans="1:9" x14ac:dyDescent="0.25">
      <c r="A2920" s="218" t="s">
        <v>220</v>
      </c>
      <c r="B2920" s="218" t="s">
        <v>5430</v>
      </c>
      <c r="C2920" s="219" t="s">
        <v>5983</v>
      </c>
      <c r="D2920" s="212" t="s">
        <v>5984</v>
      </c>
      <c r="E2920" s="212" t="s">
        <v>545</v>
      </c>
      <c r="F2920" s="213">
        <v>4</v>
      </c>
      <c r="G2920" s="213">
        <v>26.139600000000002</v>
      </c>
      <c r="H2920" s="195">
        <f t="shared" si="45"/>
        <v>104.55840000000001</v>
      </c>
      <c r="I2920" s="212" t="s">
        <v>2354</v>
      </c>
    </row>
    <row r="2921" spans="1:9" x14ac:dyDescent="0.25">
      <c r="A2921" s="218" t="s">
        <v>220</v>
      </c>
      <c r="B2921" s="218" t="s">
        <v>5430</v>
      </c>
      <c r="C2921" s="219" t="s">
        <v>5985</v>
      </c>
      <c r="D2921" s="212" t="s">
        <v>5986</v>
      </c>
      <c r="E2921" s="212" t="s">
        <v>545</v>
      </c>
      <c r="F2921" s="213">
        <v>4</v>
      </c>
      <c r="G2921" s="213">
        <v>23.4</v>
      </c>
      <c r="H2921" s="195">
        <f t="shared" si="45"/>
        <v>93.6</v>
      </c>
      <c r="I2921" s="212" t="s">
        <v>2354</v>
      </c>
    </row>
    <row r="2922" spans="1:9" x14ac:dyDescent="0.25">
      <c r="A2922" s="218" t="s">
        <v>220</v>
      </c>
      <c r="B2922" s="218" t="s">
        <v>5430</v>
      </c>
      <c r="C2922" s="219" t="s">
        <v>5987</v>
      </c>
      <c r="D2922" s="212" t="s">
        <v>5988</v>
      </c>
      <c r="E2922" s="212" t="s">
        <v>545</v>
      </c>
      <c r="F2922" s="213">
        <v>2</v>
      </c>
      <c r="G2922" s="213">
        <v>37.4283</v>
      </c>
      <c r="H2922" s="195">
        <f t="shared" si="45"/>
        <v>74.8566</v>
      </c>
      <c r="I2922" s="212" t="s">
        <v>2354</v>
      </c>
    </row>
    <row r="2923" spans="1:9" x14ac:dyDescent="0.25">
      <c r="A2923" s="218" t="s">
        <v>220</v>
      </c>
      <c r="B2923" s="218" t="s">
        <v>5430</v>
      </c>
      <c r="C2923" s="219" t="s">
        <v>5989</v>
      </c>
      <c r="D2923" s="212" t="s">
        <v>5990</v>
      </c>
      <c r="E2923" s="212" t="s">
        <v>545</v>
      </c>
      <c r="F2923" s="213">
        <v>1</v>
      </c>
      <c r="G2923" s="213">
        <v>0</v>
      </c>
      <c r="H2923" s="195">
        <f t="shared" si="45"/>
        <v>0</v>
      </c>
      <c r="I2923" s="212" t="s">
        <v>2354</v>
      </c>
    </row>
    <row r="2924" spans="1:9" x14ac:dyDescent="0.25">
      <c r="A2924" s="218" t="s">
        <v>220</v>
      </c>
      <c r="B2924" s="218" t="s">
        <v>5430</v>
      </c>
      <c r="C2924" s="219" t="s">
        <v>2996</v>
      </c>
      <c r="D2924" s="212" t="s">
        <v>2997</v>
      </c>
      <c r="E2924" s="212" t="s">
        <v>545</v>
      </c>
      <c r="F2924" s="213">
        <v>2</v>
      </c>
      <c r="G2924" s="213">
        <v>9.4616999999999987</v>
      </c>
      <c r="H2924" s="195">
        <f t="shared" si="45"/>
        <v>18.923399999999997</v>
      </c>
      <c r="I2924" s="212" t="s">
        <v>2354</v>
      </c>
    </row>
    <row r="2925" spans="1:9" x14ac:dyDescent="0.25">
      <c r="A2925" s="218" t="s">
        <v>220</v>
      </c>
      <c r="B2925" s="218" t="s">
        <v>5430</v>
      </c>
      <c r="C2925" s="219" t="s">
        <v>2383</v>
      </c>
      <c r="D2925" s="212" t="s">
        <v>5991</v>
      </c>
      <c r="E2925" s="212" t="s">
        <v>545</v>
      </c>
      <c r="F2925" s="213">
        <v>2</v>
      </c>
      <c r="G2925" s="213">
        <v>21.7224</v>
      </c>
      <c r="H2925" s="195">
        <f t="shared" si="45"/>
        <v>43.444800000000001</v>
      </c>
      <c r="I2925" s="212" t="s">
        <v>2354</v>
      </c>
    </row>
    <row r="2926" spans="1:9" x14ac:dyDescent="0.25">
      <c r="A2926" s="218" t="s">
        <v>220</v>
      </c>
      <c r="B2926" s="218" t="s">
        <v>5430</v>
      </c>
      <c r="C2926" s="219" t="s">
        <v>5992</v>
      </c>
      <c r="D2926" s="212" t="s">
        <v>5993</v>
      </c>
      <c r="E2926" s="212" t="s">
        <v>545</v>
      </c>
      <c r="F2926" s="213">
        <v>5</v>
      </c>
      <c r="G2926" s="213">
        <v>78.422399999999996</v>
      </c>
      <c r="H2926" s="195">
        <f t="shared" si="45"/>
        <v>392.11199999999997</v>
      </c>
      <c r="I2926" s="212" t="s">
        <v>2354</v>
      </c>
    </row>
    <row r="2927" spans="1:9" x14ac:dyDescent="0.25">
      <c r="A2927" s="218" t="s">
        <v>220</v>
      </c>
      <c r="B2927" s="218" t="s">
        <v>5430</v>
      </c>
      <c r="C2927" s="219" t="s">
        <v>5994</v>
      </c>
      <c r="D2927" s="212" t="s">
        <v>5995</v>
      </c>
      <c r="E2927" s="212" t="s">
        <v>545</v>
      </c>
      <c r="F2927" s="213">
        <v>4</v>
      </c>
      <c r="G2927" s="213">
        <v>82.891800000000003</v>
      </c>
      <c r="H2927" s="195">
        <f t="shared" si="45"/>
        <v>331.56720000000001</v>
      </c>
      <c r="I2927" s="212" t="s">
        <v>2354</v>
      </c>
    </row>
    <row r="2928" spans="1:9" x14ac:dyDescent="0.25">
      <c r="A2928" s="218" t="s">
        <v>220</v>
      </c>
      <c r="B2928" s="218" t="s">
        <v>5430</v>
      </c>
      <c r="C2928" s="219" t="s">
        <v>5996</v>
      </c>
      <c r="D2928" s="212" t="s">
        <v>5997</v>
      </c>
      <c r="E2928" s="212" t="s">
        <v>545</v>
      </c>
      <c r="F2928" s="213">
        <v>4</v>
      </c>
      <c r="G2928" s="213">
        <v>113.58198000000002</v>
      </c>
      <c r="H2928" s="195">
        <f t="shared" si="45"/>
        <v>454.32792000000006</v>
      </c>
      <c r="I2928" s="212" t="s">
        <v>2354</v>
      </c>
    </row>
    <row r="2929" spans="1:9" x14ac:dyDescent="0.25">
      <c r="A2929" s="218" t="s">
        <v>220</v>
      </c>
      <c r="B2929" s="218" t="s">
        <v>5430</v>
      </c>
      <c r="C2929" s="219" t="s">
        <v>5998</v>
      </c>
      <c r="D2929" s="212" t="s">
        <v>5999</v>
      </c>
      <c r="E2929" s="212" t="s">
        <v>545</v>
      </c>
      <c r="F2929" s="213">
        <v>7</v>
      </c>
      <c r="G2929" s="213">
        <v>16.11</v>
      </c>
      <c r="H2929" s="195">
        <f t="shared" si="45"/>
        <v>112.77</v>
      </c>
      <c r="I2929" s="212" t="s">
        <v>2354</v>
      </c>
    </row>
    <row r="2930" spans="1:9" x14ac:dyDescent="0.25">
      <c r="A2930" s="218" t="s">
        <v>220</v>
      </c>
      <c r="B2930" s="218" t="s">
        <v>5430</v>
      </c>
      <c r="C2930" s="219" t="s">
        <v>3006</v>
      </c>
      <c r="D2930" s="212" t="s">
        <v>3007</v>
      </c>
      <c r="E2930" s="212" t="s">
        <v>545</v>
      </c>
      <c r="F2930" s="213">
        <v>9</v>
      </c>
      <c r="G2930" s="213">
        <v>7.92</v>
      </c>
      <c r="H2930" s="195">
        <f t="shared" si="45"/>
        <v>71.28</v>
      </c>
      <c r="I2930" s="212" t="s">
        <v>2354</v>
      </c>
    </row>
    <row r="2931" spans="1:9" x14ac:dyDescent="0.25">
      <c r="A2931" s="218" t="s">
        <v>220</v>
      </c>
      <c r="B2931" s="218" t="s">
        <v>5430</v>
      </c>
      <c r="C2931" s="219" t="s">
        <v>3010</v>
      </c>
      <c r="D2931" s="212" t="s">
        <v>3011</v>
      </c>
      <c r="E2931" s="212" t="s">
        <v>545</v>
      </c>
      <c r="F2931" s="213">
        <v>17</v>
      </c>
      <c r="G2931" s="213">
        <v>12.5</v>
      </c>
      <c r="H2931" s="195">
        <f t="shared" si="45"/>
        <v>212.5</v>
      </c>
      <c r="I2931" s="212" t="s">
        <v>2354</v>
      </c>
    </row>
    <row r="2932" spans="1:9" x14ac:dyDescent="0.25">
      <c r="A2932" s="218" t="s">
        <v>220</v>
      </c>
      <c r="B2932" s="218" t="s">
        <v>5430</v>
      </c>
      <c r="C2932" s="219" t="s">
        <v>6000</v>
      </c>
      <c r="D2932" s="212" t="s">
        <v>6001</v>
      </c>
      <c r="E2932" s="212" t="s">
        <v>545</v>
      </c>
      <c r="F2932" s="213">
        <v>8</v>
      </c>
      <c r="G2932" s="213">
        <v>10.71671911764706</v>
      </c>
      <c r="H2932" s="195">
        <f t="shared" si="45"/>
        <v>85.733752941176476</v>
      </c>
      <c r="I2932" s="212" t="s">
        <v>2354</v>
      </c>
    </row>
    <row r="2933" spans="1:9" x14ac:dyDescent="0.25">
      <c r="A2933" s="218" t="s">
        <v>220</v>
      </c>
      <c r="B2933" s="218" t="s">
        <v>5430</v>
      </c>
      <c r="C2933" s="219" t="s">
        <v>6002</v>
      </c>
      <c r="D2933" s="212" t="s">
        <v>6003</v>
      </c>
      <c r="E2933" s="212" t="s">
        <v>545</v>
      </c>
      <c r="F2933" s="213">
        <v>11</v>
      </c>
      <c r="G2933" s="213">
        <v>106.70399999999999</v>
      </c>
      <c r="H2933" s="195">
        <f t="shared" si="45"/>
        <v>1173.7439999999999</v>
      </c>
      <c r="I2933" s="212" t="s">
        <v>2354</v>
      </c>
    </row>
    <row r="2934" spans="1:9" x14ac:dyDescent="0.25">
      <c r="A2934" s="218" t="s">
        <v>220</v>
      </c>
      <c r="B2934" s="218" t="s">
        <v>5430</v>
      </c>
      <c r="C2934" s="219" t="s">
        <v>3012</v>
      </c>
      <c r="D2934" s="212" t="s">
        <v>3013</v>
      </c>
      <c r="E2934" s="212" t="s">
        <v>545</v>
      </c>
      <c r="F2934" s="213">
        <v>9</v>
      </c>
      <c r="G2934" s="213">
        <v>14.4</v>
      </c>
      <c r="H2934" s="195">
        <f t="shared" si="45"/>
        <v>129.6</v>
      </c>
      <c r="I2934" s="212" t="s">
        <v>2354</v>
      </c>
    </row>
    <row r="2935" spans="1:9" x14ac:dyDescent="0.25">
      <c r="A2935" s="218" t="s">
        <v>220</v>
      </c>
      <c r="B2935" s="218" t="s">
        <v>5430</v>
      </c>
      <c r="C2935" s="219" t="s">
        <v>6004</v>
      </c>
      <c r="D2935" s="212" t="s">
        <v>6005</v>
      </c>
      <c r="E2935" s="212" t="s">
        <v>545</v>
      </c>
      <c r="F2935" s="213">
        <v>6</v>
      </c>
      <c r="G2935" s="213">
        <v>21.613129646697388</v>
      </c>
      <c r="H2935" s="195">
        <f t="shared" si="45"/>
        <v>129.67877788018433</v>
      </c>
      <c r="I2935" s="212" t="s">
        <v>2354</v>
      </c>
    </row>
    <row r="2936" spans="1:9" x14ac:dyDescent="0.25">
      <c r="A2936" s="218" t="s">
        <v>220</v>
      </c>
      <c r="B2936" s="218" t="s">
        <v>5430</v>
      </c>
      <c r="C2936" s="219" t="s">
        <v>3014</v>
      </c>
      <c r="D2936" s="212" t="s">
        <v>3015</v>
      </c>
      <c r="E2936" s="212" t="s">
        <v>545</v>
      </c>
      <c r="F2936" s="213">
        <v>8</v>
      </c>
      <c r="G2936" s="213">
        <v>8.1</v>
      </c>
      <c r="H2936" s="195">
        <f t="shared" si="45"/>
        <v>64.8</v>
      </c>
      <c r="I2936" s="212" t="s">
        <v>2354</v>
      </c>
    </row>
    <row r="2937" spans="1:9" x14ac:dyDescent="0.25">
      <c r="A2937" s="218" t="s">
        <v>220</v>
      </c>
      <c r="B2937" s="218" t="s">
        <v>5430</v>
      </c>
      <c r="C2937" s="219" t="s">
        <v>2381</v>
      </c>
      <c r="D2937" s="212" t="s">
        <v>6006</v>
      </c>
      <c r="E2937" s="212" t="s">
        <v>545</v>
      </c>
      <c r="F2937" s="213">
        <v>10</v>
      </c>
      <c r="G2937" s="213">
        <v>6.8110285714285723</v>
      </c>
      <c r="H2937" s="195">
        <f t="shared" si="45"/>
        <v>68.110285714285723</v>
      </c>
      <c r="I2937" s="212" t="s">
        <v>2354</v>
      </c>
    </row>
    <row r="2938" spans="1:9" x14ac:dyDescent="0.25">
      <c r="A2938" s="218" t="s">
        <v>220</v>
      </c>
      <c r="B2938" s="218" t="s">
        <v>5430</v>
      </c>
      <c r="C2938" s="219" t="s">
        <v>3016</v>
      </c>
      <c r="D2938" s="212" t="s">
        <v>3017</v>
      </c>
      <c r="E2938" s="212" t="s">
        <v>545</v>
      </c>
      <c r="F2938" s="213">
        <v>7</v>
      </c>
      <c r="G2938" s="213">
        <v>10.744199999999999</v>
      </c>
      <c r="H2938" s="195">
        <f t="shared" si="45"/>
        <v>75.209399999999988</v>
      </c>
      <c r="I2938" s="212" t="s">
        <v>2354</v>
      </c>
    </row>
    <row r="2939" spans="1:9" x14ac:dyDescent="0.25">
      <c r="A2939" s="218" t="s">
        <v>220</v>
      </c>
      <c r="B2939" s="218" t="s">
        <v>5430</v>
      </c>
      <c r="C2939" s="219" t="s">
        <v>3018</v>
      </c>
      <c r="D2939" s="212" t="s">
        <v>3019</v>
      </c>
      <c r="E2939" s="212" t="s">
        <v>545</v>
      </c>
      <c r="F2939" s="213">
        <v>6</v>
      </c>
      <c r="G2939" s="213">
        <v>11.7</v>
      </c>
      <c r="H2939" s="195">
        <f t="shared" si="45"/>
        <v>70.199999999999989</v>
      </c>
      <c r="I2939" s="212" t="s">
        <v>2354</v>
      </c>
    </row>
    <row r="2940" spans="1:9" x14ac:dyDescent="0.25">
      <c r="A2940" s="218" t="s">
        <v>220</v>
      </c>
      <c r="B2940" s="218" t="s">
        <v>5430</v>
      </c>
      <c r="C2940" s="219" t="s">
        <v>3020</v>
      </c>
      <c r="D2940" s="212" t="s">
        <v>3021</v>
      </c>
      <c r="E2940" s="212" t="s">
        <v>545</v>
      </c>
      <c r="F2940" s="213">
        <v>8</v>
      </c>
      <c r="G2940" s="213">
        <v>10.8</v>
      </c>
      <c r="H2940" s="195">
        <f t="shared" si="45"/>
        <v>86.4</v>
      </c>
      <c r="I2940" s="212" t="s">
        <v>2354</v>
      </c>
    </row>
    <row r="2941" spans="1:9" x14ac:dyDescent="0.25">
      <c r="A2941" s="218" t="s">
        <v>220</v>
      </c>
      <c r="B2941" s="218" t="s">
        <v>5430</v>
      </c>
      <c r="C2941" s="219" t="s">
        <v>3022</v>
      </c>
      <c r="D2941" s="212" t="s">
        <v>3023</v>
      </c>
      <c r="E2941" s="212" t="s">
        <v>545</v>
      </c>
      <c r="F2941" s="213">
        <v>12</v>
      </c>
      <c r="G2941" s="213">
        <v>16.02</v>
      </c>
      <c r="H2941" s="195">
        <f t="shared" si="45"/>
        <v>192.24</v>
      </c>
      <c r="I2941" s="212" t="s">
        <v>2354</v>
      </c>
    </row>
    <row r="2942" spans="1:9" x14ac:dyDescent="0.25">
      <c r="A2942" s="218" t="s">
        <v>220</v>
      </c>
      <c r="B2942" s="218" t="s">
        <v>5430</v>
      </c>
      <c r="C2942" s="219" t="s">
        <v>3024</v>
      </c>
      <c r="D2942" s="212" t="s">
        <v>3025</v>
      </c>
      <c r="E2942" s="212" t="s">
        <v>545</v>
      </c>
      <c r="F2942" s="213">
        <v>4</v>
      </c>
      <c r="G2942" s="213">
        <v>21.105126666666667</v>
      </c>
      <c r="H2942" s="195">
        <f t="shared" si="45"/>
        <v>84.420506666666668</v>
      </c>
      <c r="I2942" s="212" t="s">
        <v>2354</v>
      </c>
    </row>
    <row r="2943" spans="1:9" x14ac:dyDescent="0.25">
      <c r="A2943" s="218" t="s">
        <v>220</v>
      </c>
      <c r="B2943" s="218" t="s">
        <v>5430</v>
      </c>
      <c r="C2943" s="219" t="s">
        <v>5398</v>
      </c>
      <c r="D2943" s="212" t="s">
        <v>5399</v>
      </c>
      <c r="E2943" s="212" t="s">
        <v>545</v>
      </c>
      <c r="F2943" s="213">
        <v>0</v>
      </c>
      <c r="G2943" s="213">
        <v>32.843699999999998</v>
      </c>
      <c r="H2943" s="195">
        <f t="shared" si="45"/>
        <v>0</v>
      </c>
      <c r="I2943" s="212" t="s">
        <v>2354</v>
      </c>
    </row>
    <row r="2944" spans="1:9" x14ac:dyDescent="0.25">
      <c r="A2944" s="218" t="s">
        <v>220</v>
      </c>
      <c r="B2944" s="218" t="s">
        <v>5430</v>
      </c>
      <c r="C2944" s="219" t="s">
        <v>6007</v>
      </c>
      <c r="D2944" s="212" t="s">
        <v>6008</v>
      </c>
      <c r="E2944" s="212" t="s">
        <v>545</v>
      </c>
      <c r="F2944" s="213">
        <v>4</v>
      </c>
      <c r="G2944" s="213">
        <v>49.515300000000003</v>
      </c>
      <c r="H2944" s="195">
        <f t="shared" si="45"/>
        <v>198.06120000000001</v>
      </c>
      <c r="I2944" s="212" t="s">
        <v>2354</v>
      </c>
    </row>
    <row r="2945" spans="1:9" x14ac:dyDescent="0.25">
      <c r="A2945" s="218" t="s">
        <v>220</v>
      </c>
      <c r="B2945" s="218" t="s">
        <v>5430</v>
      </c>
      <c r="C2945" s="219" t="s">
        <v>3026</v>
      </c>
      <c r="D2945" s="212" t="s">
        <v>3027</v>
      </c>
      <c r="E2945" s="212" t="s">
        <v>545</v>
      </c>
      <c r="F2945" s="213">
        <v>7</v>
      </c>
      <c r="G2945" s="213">
        <v>10.098000000000001</v>
      </c>
      <c r="H2945" s="195">
        <f t="shared" si="45"/>
        <v>70.686000000000007</v>
      </c>
      <c r="I2945" s="212" t="s">
        <v>2354</v>
      </c>
    </row>
    <row r="2946" spans="1:9" x14ac:dyDescent="0.25">
      <c r="A2946" s="218" t="s">
        <v>220</v>
      </c>
      <c r="B2946" s="218" t="s">
        <v>5430</v>
      </c>
      <c r="C2946" s="219" t="s">
        <v>3030</v>
      </c>
      <c r="D2946" s="212" t="s">
        <v>3031</v>
      </c>
      <c r="E2946" s="212" t="s">
        <v>545</v>
      </c>
      <c r="F2946" s="213">
        <v>9</v>
      </c>
      <c r="G2946" s="213">
        <v>15.205641046831957</v>
      </c>
      <c r="H2946" s="195">
        <f t="shared" si="45"/>
        <v>136.8507694214876</v>
      </c>
      <c r="I2946" s="212" t="s">
        <v>2354</v>
      </c>
    </row>
    <row r="2947" spans="1:9" x14ac:dyDescent="0.25">
      <c r="A2947" s="218" t="s">
        <v>220</v>
      </c>
      <c r="B2947" s="218" t="s">
        <v>5430</v>
      </c>
      <c r="C2947" s="219" t="s">
        <v>3032</v>
      </c>
      <c r="D2947" s="212" t="s">
        <v>3033</v>
      </c>
      <c r="E2947" s="212" t="s">
        <v>545</v>
      </c>
      <c r="F2947" s="213">
        <v>8</v>
      </c>
      <c r="G2947" s="213">
        <v>41.399099999999997</v>
      </c>
      <c r="H2947" s="195">
        <f t="shared" si="45"/>
        <v>331.19279999999998</v>
      </c>
      <c r="I2947" s="212" t="s">
        <v>2354</v>
      </c>
    </row>
    <row r="2948" spans="1:9" x14ac:dyDescent="0.25">
      <c r="A2948" s="218" t="s">
        <v>220</v>
      </c>
      <c r="B2948" s="218" t="s">
        <v>5430</v>
      </c>
      <c r="C2948" s="219" t="s">
        <v>6009</v>
      </c>
      <c r="D2948" s="212" t="s">
        <v>6010</v>
      </c>
      <c r="E2948" s="212" t="s">
        <v>545</v>
      </c>
      <c r="F2948" s="213">
        <v>6</v>
      </c>
      <c r="G2948" s="213">
        <v>94.973100000000002</v>
      </c>
      <c r="H2948" s="195">
        <f t="shared" si="45"/>
        <v>569.83860000000004</v>
      </c>
      <c r="I2948" s="212" t="s">
        <v>2354</v>
      </c>
    </row>
    <row r="2949" spans="1:9" x14ac:dyDescent="0.25">
      <c r="A2949" s="218" t="s">
        <v>220</v>
      </c>
      <c r="B2949" s="218" t="s">
        <v>5430</v>
      </c>
      <c r="C2949" s="219" t="s">
        <v>6011</v>
      </c>
      <c r="D2949" s="212" t="s">
        <v>6012</v>
      </c>
      <c r="E2949" s="212" t="s">
        <v>545</v>
      </c>
      <c r="F2949" s="213">
        <v>2</v>
      </c>
      <c r="G2949" s="213">
        <v>145.80000000000001</v>
      </c>
      <c r="H2949" s="195">
        <f t="shared" ref="H2949:H3012" si="46">+F2949*G2949</f>
        <v>291.60000000000002</v>
      </c>
      <c r="I2949" s="212" t="s">
        <v>2354</v>
      </c>
    </row>
    <row r="2950" spans="1:9" x14ac:dyDescent="0.25">
      <c r="A2950" s="218" t="s">
        <v>220</v>
      </c>
      <c r="B2950" s="218" t="s">
        <v>5430</v>
      </c>
      <c r="C2950" s="219" t="s">
        <v>6013</v>
      </c>
      <c r="D2950" s="212" t="s">
        <v>6014</v>
      </c>
      <c r="E2950" s="212" t="s">
        <v>545</v>
      </c>
      <c r="F2950" s="213">
        <v>4</v>
      </c>
      <c r="G2950" s="213">
        <v>115.3467</v>
      </c>
      <c r="H2950" s="195">
        <f t="shared" si="46"/>
        <v>461.38679999999999</v>
      </c>
      <c r="I2950" s="212" t="s">
        <v>2354</v>
      </c>
    </row>
    <row r="2951" spans="1:9" x14ac:dyDescent="0.25">
      <c r="A2951" s="218" t="s">
        <v>220</v>
      </c>
      <c r="B2951" s="218" t="s">
        <v>5430</v>
      </c>
      <c r="C2951" s="219" t="s">
        <v>6015</v>
      </c>
      <c r="D2951" s="212" t="s">
        <v>6016</v>
      </c>
      <c r="E2951" s="212" t="s">
        <v>545</v>
      </c>
      <c r="F2951" s="213">
        <v>13</v>
      </c>
      <c r="G2951" s="213">
        <v>23.712299999999999</v>
      </c>
      <c r="H2951" s="195">
        <f t="shared" si="46"/>
        <v>308.25990000000002</v>
      </c>
      <c r="I2951" s="212" t="s">
        <v>2354</v>
      </c>
    </row>
    <row r="2952" spans="1:9" x14ac:dyDescent="0.25">
      <c r="A2952" s="218" t="s">
        <v>220</v>
      </c>
      <c r="B2952" s="218" t="s">
        <v>5430</v>
      </c>
      <c r="C2952" s="219" t="s">
        <v>6017</v>
      </c>
      <c r="D2952" s="212" t="s">
        <v>6018</v>
      </c>
      <c r="E2952" s="212" t="s">
        <v>545</v>
      </c>
      <c r="F2952" s="213">
        <v>20</v>
      </c>
      <c r="G2952" s="213">
        <v>18.027000000000001</v>
      </c>
      <c r="H2952" s="195">
        <f t="shared" si="46"/>
        <v>360.54</v>
      </c>
      <c r="I2952" s="212" t="s">
        <v>2354</v>
      </c>
    </row>
    <row r="2953" spans="1:9" x14ac:dyDescent="0.25">
      <c r="A2953" s="218" t="s">
        <v>220</v>
      </c>
      <c r="B2953" s="218" t="s">
        <v>5430</v>
      </c>
      <c r="C2953" s="219" t="s">
        <v>6019</v>
      </c>
      <c r="D2953" s="212" t="s">
        <v>6020</v>
      </c>
      <c r="E2953" s="212" t="s">
        <v>545</v>
      </c>
      <c r="F2953" s="213">
        <v>6</v>
      </c>
      <c r="G2953" s="213">
        <v>115.12095652173913</v>
      </c>
      <c r="H2953" s="195">
        <f t="shared" si="46"/>
        <v>690.72573913043482</v>
      </c>
      <c r="I2953" s="212" t="s">
        <v>2354</v>
      </c>
    </row>
    <row r="2954" spans="1:9" x14ac:dyDescent="0.25">
      <c r="A2954" s="218" t="s">
        <v>220</v>
      </c>
      <c r="B2954" s="218" t="s">
        <v>5430</v>
      </c>
      <c r="C2954" s="219" t="s">
        <v>6021</v>
      </c>
      <c r="D2954" s="212" t="s">
        <v>6022</v>
      </c>
      <c r="E2954" s="212" t="s">
        <v>545</v>
      </c>
      <c r="F2954" s="213">
        <v>5</v>
      </c>
      <c r="G2954" s="213">
        <v>28.763999999999999</v>
      </c>
      <c r="H2954" s="195">
        <f t="shared" si="46"/>
        <v>143.82</v>
      </c>
      <c r="I2954" s="212" t="s">
        <v>2354</v>
      </c>
    </row>
    <row r="2955" spans="1:9" x14ac:dyDescent="0.25">
      <c r="A2955" s="218" t="s">
        <v>220</v>
      </c>
      <c r="B2955" s="218" t="s">
        <v>5430</v>
      </c>
      <c r="C2955" s="219" t="s">
        <v>6023</v>
      </c>
      <c r="D2955" s="212" t="s">
        <v>6024</v>
      </c>
      <c r="E2955" s="212" t="s">
        <v>545</v>
      </c>
      <c r="F2955" s="213">
        <v>4</v>
      </c>
      <c r="G2955" s="213">
        <v>10.7127</v>
      </c>
      <c r="H2955" s="195">
        <f t="shared" si="46"/>
        <v>42.8508</v>
      </c>
      <c r="I2955" s="212" t="s">
        <v>2354</v>
      </c>
    </row>
    <row r="2956" spans="1:9" x14ac:dyDescent="0.25">
      <c r="A2956" s="218" t="s">
        <v>220</v>
      </c>
      <c r="B2956" s="218" t="s">
        <v>5430</v>
      </c>
      <c r="C2956" s="219" t="s">
        <v>6025</v>
      </c>
      <c r="D2956" s="212" t="s">
        <v>3045</v>
      </c>
      <c r="E2956" s="212" t="s">
        <v>545</v>
      </c>
      <c r="F2956" s="213">
        <v>10</v>
      </c>
      <c r="G2956" s="213">
        <v>48.572099999999999</v>
      </c>
      <c r="H2956" s="195">
        <f t="shared" si="46"/>
        <v>485.721</v>
      </c>
      <c r="I2956" s="212" t="s">
        <v>2354</v>
      </c>
    </row>
    <row r="2957" spans="1:9" x14ac:dyDescent="0.25">
      <c r="A2957" s="218" t="s">
        <v>220</v>
      </c>
      <c r="B2957" s="218" t="s">
        <v>5430</v>
      </c>
      <c r="C2957" s="219" t="s">
        <v>3046</v>
      </c>
      <c r="D2957" s="212" t="s">
        <v>3047</v>
      </c>
      <c r="E2957" s="212" t="s">
        <v>545</v>
      </c>
      <c r="F2957" s="213">
        <v>0</v>
      </c>
      <c r="G2957" s="213">
        <v>50.233499999999999</v>
      </c>
      <c r="H2957" s="195">
        <f t="shared" si="46"/>
        <v>0</v>
      </c>
      <c r="I2957" s="212" t="s">
        <v>2354</v>
      </c>
    </row>
    <row r="2958" spans="1:9" x14ac:dyDescent="0.25">
      <c r="A2958" s="218" t="s">
        <v>220</v>
      </c>
      <c r="B2958" s="218" t="s">
        <v>5430</v>
      </c>
      <c r="C2958" s="219" t="s">
        <v>6026</v>
      </c>
      <c r="D2958" s="212" t="s">
        <v>6027</v>
      </c>
      <c r="E2958" s="212" t="s">
        <v>545</v>
      </c>
      <c r="F2958" s="213">
        <v>2</v>
      </c>
      <c r="G2958" s="213">
        <v>87.66</v>
      </c>
      <c r="H2958" s="195">
        <f t="shared" si="46"/>
        <v>175.32</v>
      </c>
      <c r="I2958" s="212" t="s">
        <v>2354</v>
      </c>
    </row>
    <row r="2959" spans="1:9" x14ac:dyDescent="0.25">
      <c r="A2959" s="218" t="s">
        <v>220</v>
      </c>
      <c r="B2959" s="218" t="s">
        <v>5430</v>
      </c>
      <c r="C2959" s="219" t="s">
        <v>6028</v>
      </c>
      <c r="D2959" s="212" t="s">
        <v>6029</v>
      </c>
      <c r="E2959" s="212" t="s">
        <v>545</v>
      </c>
      <c r="F2959" s="213">
        <v>12</v>
      </c>
      <c r="G2959" s="213">
        <v>62.972099999999998</v>
      </c>
      <c r="H2959" s="195">
        <f t="shared" si="46"/>
        <v>755.66519999999991</v>
      </c>
      <c r="I2959" s="212" t="s">
        <v>2354</v>
      </c>
    </row>
    <row r="2960" spans="1:9" x14ac:dyDescent="0.25">
      <c r="A2960" s="218" t="s">
        <v>220</v>
      </c>
      <c r="B2960" s="218" t="s">
        <v>5430</v>
      </c>
      <c r="C2960" s="219" t="s">
        <v>6030</v>
      </c>
      <c r="D2960" s="212" t="s">
        <v>6031</v>
      </c>
      <c r="E2960" s="212" t="s">
        <v>545</v>
      </c>
      <c r="F2960" s="213">
        <v>6</v>
      </c>
      <c r="G2960" s="213">
        <v>11.691000000000001</v>
      </c>
      <c r="H2960" s="195">
        <f t="shared" si="46"/>
        <v>70.146000000000001</v>
      </c>
      <c r="I2960" s="212" t="s">
        <v>2354</v>
      </c>
    </row>
    <row r="2961" spans="1:9" x14ac:dyDescent="0.25">
      <c r="A2961" s="218" t="s">
        <v>220</v>
      </c>
      <c r="B2961" s="218" t="s">
        <v>5430</v>
      </c>
      <c r="C2961" s="219" t="s">
        <v>6032</v>
      </c>
      <c r="D2961" s="212" t="s">
        <v>6033</v>
      </c>
      <c r="E2961" s="212" t="s">
        <v>545</v>
      </c>
      <c r="F2961" s="213">
        <v>11</v>
      </c>
      <c r="G2961" s="213">
        <v>18.153449999999999</v>
      </c>
      <c r="H2961" s="195">
        <f t="shared" si="46"/>
        <v>199.68795</v>
      </c>
      <c r="I2961" s="212" t="s">
        <v>2354</v>
      </c>
    </row>
    <row r="2962" spans="1:9" x14ac:dyDescent="0.25">
      <c r="A2962" s="218" t="s">
        <v>220</v>
      </c>
      <c r="B2962" s="218" t="s">
        <v>5430</v>
      </c>
      <c r="C2962" s="219" t="s">
        <v>6034</v>
      </c>
      <c r="D2962" s="212" t="s">
        <v>6035</v>
      </c>
      <c r="E2962" s="212" t="s">
        <v>545</v>
      </c>
      <c r="F2962" s="213">
        <v>5</v>
      </c>
      <c r="G2962" s="213">
        <v>19.350000000000001</v>
      </c>
      <c r="H2962" s="195">
        <f t="shared" si="46"/>
        <v>96.75</v>
      </c>
      <c r="I2962" s="212" t="s">
        <v>2354</v>
      </c>
    </row>
    <row r="2963" spans="1:9" x14ac:dyDescent="0.25">
      <c r="A2963" s="218" t="s">
        <v>220</v>
      </c>
      <c r="B2963" s="218" t="s">
        <v>5430</v>
      </c>
      <c r="C2963" s="219" t="s">
        <v>6036</v>
      </c>
      <c r="D2963" s="212" t="s">
        <v>6037</v>
      </c>
      <c r="E2963" s="212" t="s">
        <v>2473</v>
      </c>
      <c r="F2963" s="213">
        <v>10</v>
      </c>
      <c r="G2963" s="213">
        <v>65.412000000000006</v>
      </c>
      <c r="H2963" s="195">
        <f t="shared" si="46"/>
        <v>654.12000000000012</v>
      </c>
      <c r="I2963" s="212" t="s">
        <v>2354</v>
      </c>
    </row>
    <row r="2964" spans="1:9" x14ac:dyDescent="0.25">
      <c r="A2964" s="218" t="s">
        <v>220</v>
      </c>
      <c r="B2964" s="218" t="s">
        <v>5430</v>
      </c>
      <c r="C2964" s="219" t="s">
        <v>6038</v>
      </c>
      <c r="D2964" s="212" t="s">
        <v>6039</v>
      </c>
      <c r="E2964" s="212" t="s">
        <v>545</v>
      </c>
      <c r="F2964" s="213">
        <v>6</v>
      </c>
      <c r="G2964" s="213">
        <v>27.622640000000001</v>
      </c>
      <c r="H2964" s="195">
        <f t="shared" si="46"/>
        <v>165.73584</v>
      </c>
      <c r="I2964" s="212" t="s">
        <v>2354</v>
      </c>
    </row>
    <row r="2965" spans="1:9" x14ac:dyDescent="0.25">
      <c r="A2965" s="218" t="s">
        <v>220</v>
      </c>
      <c r="B2965" s="218" t="s">
        <v>5430</v>
      </c>
      <c r="C2965" s="219" t="s">
        <v>6040</v>
      </c>
      <c r="D2965" s="212" t="s">
        <v>6041</v>
      </c>
      <c r="E2965" s="212" t="s">
        <v>545</v>
      </c>
      <c r="F2965" s="213">
        <v>1</v>
      </c>
      <c r="G2965" s="213">
        <v>66.6126</v>
      </c>
      <c r="H2965" s="195">
        <f t="shared" si="46"/>
        <v>66.6126</v>
      </c>
      <c r="I2965" s="212" t="s">
        <v>2354</v>
      </c>
    </row>
    <row r="2966" spans="1:9" x14ac:dyDescent="0.25">
      <c r="A2966" s="218" t="s">
        <v>220</v>
      </c>
      <c r="B2966" s="218" t="s">
        <v>5430</v>
      </c>
      <c r="C2966" s="219" t="s">
        <v>6042</v>
      </c>
      <c r="D2966" s="212" t="s">
        <v>3057</v>
      </c>
      <c r="E2966" s="212" t="s">
        <v>545</v>
      </c>
      <c r="F2966" s="213">
        <v>8</v>
      </c>
      <c r="G2966" s="213">
        <v>27.728000000000002</v>
      </c>
      <c r="H2966" s="195">
        <f t="shared" si="46"/>
        <v>221.82400000000001</v>
      </c>
      <c r="I2966" s="212" t="s">
        <v>2354</v>
      </c>
    </row>
    <row r="2967" spans="1:9" x14ac:dyDescent="0.25">
      <c r="A2967" s="218" t="s">
        <v>220</v>
      </c>
      <c r="B2967" s="218" t="s">
        <v>5430</v>
      </c>
      <c r="C2967" s="219" t="s">
        <v>6043</v>
      </c>
      <c r="D2967" s="212" t="s">
        <v>6044</v>
      </c>
      <c r="E2967" s="212" t="s">
        <v>545</v>
      </c>
      <c r="F2967" s="213">
        <v>2</v>
      </c>
      <c r="G2967" s="213">
        <v>141.73997142857144</v>
      </c>
      <c r="H2967" s="195">
        <f t="shared" si="46"/>
        <v>283.47994285714287</v>
      </c>
      <c r="I2967" s="212" t="s">
        <v>2354</v>
      </c>
    </row>
    <row r="2968" spans="1:9" x14ac:dyDescent="0.25">
      <c r="A2968" s="218" t="s">
        <v>220</v>
      </c>
      <c r="B2968" s="218" t="s">
        <v>5430</v>
      </c>
      <c r="C2968" s="219" t="s">
        <v>6045</v>
      </c>
      <c r="D2968" s="212" t="s">
        <v>3057</v>
      </c>
      <c r="E2968" s="212" t="s">
        <v>545</v>
      </c>
      <c r="F2968" s="213">
        <v>4</v>
      </c>
      <c r="G2968" s="213">
        <v>89.622</v>
      </c>
      <c r="H2968" s="195">
        <f t="shared" si="46"/>
        <v>358.488</v>
      </c>
      <c r="I2968" s="212" t="s">
        <v>2354</v>
      </c>
    </row>
    <row r="2969" spans="1:9" x14ac:dyDescent="0.25">
      <c r="A2969" s="218" t="s">
        <v>220</v>
      </c>
      <c r="B2969" s="218" t="s">
        <v>5430</v>
      </c>
      <c r="C2969" s="219" t="s">
        <v>6046</v>
      </c>
      <c r="D2969" s="212" t="s">
        <v>3057</v>
      </c>
      <c r="E2969" s="212" t="s">
        <v>545</v>
      </c>
      <c r="F2969" s="213">
        <v>4</v>
      </c>
      <c r="G2969" s="213">
        <v>57.6</v>
      </c>
      <c r="H2969" s="195">
        <f t="shared" si="46"/>
        <v>230.4</v>
      </c>
      <c r="I2969" s="212" t="s">
        <v>2354</v>
      </c>
    </row>
    <row r="2970" spans="1:9" x14ac:dyDescent="0.25">
      <c r="A2970" s="218" t="s">
        <v>220</v>
      </c>
      <c r="B2970" s="218" t="s">
        <v>5430</v>
      </c>
      <c r="C2970" s="219" t="s">
        <v>5400</v>
      </c>
      <c r="D2970" s="212" t="s">
        <v>5401</v>
      </c>
      <c r="E2970" s="212" t="s">
        <v>545</v>
      </c>
      <c r="F2970" s="213">
        <v>8</v>
      </c>
      <c r="G2970" s="213">
        <v>8.0970707070707064</v>
      </c>
      <c r="H2970" s="195">
        <f t="shared" si="46"/>
        <v>64.776565656565651</v>
      </c>
      <c r="I2970" s="212" t="s">
        <v>2354</v>
      </c>
    </row>
    <row r="2971" spans="1:9" x14ac:dyDescent="0.25">
      <c r="A2971" s="218" t="s">
        <v>220</v>
      </c>
      <c r="B2971" s="218" t="s">
        <v>5430</v>
      </c>
      <c r="C2971" s="219" t="s">
        <v>6047</v>
      </c>
      <c r="D2971" s="212" t="s">
        <v>6048</v>
      </c>
      <c r="E2971" s="212" t="s">
        <v>545</v>
      </c>
      <c r="F2971" s="213">
        <v>3</v>
      </c>
      <c r="G2971" s="213">
        <v>194.59440000000004</v>
      </c>
      <c r="H2971" s="195">
        <f t="shared" si="46"/>
        <v>583.78320000000008</v>
      </c>
      <c r="I2971" s="212" t="s">
        <v>2354</v>
      </c>
    </row>
    <row r="2972" spans="1:9" x14ac:dyDescent="0.25">
      <c r="A2972" s="218" t="s">
        <v>220</v>
      </c>
      <c r="B2972" s="218" t="s">
        <v>5430</v>
      </c>
      <c r="C2972" s="219" t="s">
        <v>3065</v>
      </c>
      <c r="D2972" s="212" t="s">
        <v>3066</v>
      </c>
      <c r="E2972" s="212" t="s">
        <v>545</v>
      </c>
      <c r="F2972" s="213">
        <v>2</v>
      </c>
      <c r="G2972" s="213">
        <v>115.65</v>
      </c>
      <c r="H2972" s="195">
        <f t="shared" si="46"/>
        <v>231.3</v>
      </c>
      <c r="I2972" s="212" t="s">
        <v>2354</v>
      </c>
    </row>
    <row r="2973" spans="1:9" x14ac:dyDescent="0.25">
      <c r="A2973" s="218" t="s">
        <v>220</v>
      </c>
      <c r="B2973" s="218" t="s">
        <v>5430</v>
      </c>
      <c r="C2973" s="219" t="s">
        <v>6049</v>
      </c>
      <c r="D2973" s="212" t="s">
        <v>6050</v>
      </c>
      <c r="E2973" s="212" t="s">
        <v>545</v>
      </c>
      <c r="F2973" s="213">
        <v>3</v>
      </c>
      <c r="G2973" s="213">
        <v>332.36160000000001</v>
      </c>
      <c r="H2973" s="195">
        <f t="shared" si="46"/>
        <v>997.08480000000009</v>
      </c>
      <c r="I2973" s="212" t="s">
        <v>2354</v>
      </c>
    </row>
    <row r="2974" spans="1:9" x14ac:dyDescent="0.25">
      <c r="A2974" s="218" t="s">
        <v>220</v>
      </c>
      <c r="B2974" s="218" t="s">
        <v>5430</v>
      </c>
      <c r="C2974" s="219" t="s">
        <v>6051</v>
      </c>
      <c r="D2974" s="212" t="s">
        <v>6052</v>
      </c>
      <c r="E2974" s="212" t="s">
        <v>545</v>
      </c>
      <c r="F2974" s="213">
        <v>4</v>
      </c>
      <c r="G2974" s="213">
        <v>59.015699999999995</v>
      </c>
      <c r="H2974" s="195">
        <f t="shared" si="46"/>
        <v>236.06279999999998</v>
      </c>
      <c r="I2974" s="212" t="s">
        <v>2354</v>
      </c>
    </row>
    <row r="2975" spans="1:9" x14ac:dyDescent="0.25">
      <c r="A2975" s="218" t="s">
        <v>220</v>
      </c>
      <c r="B2975" s="218" t="s">
        <v>5430</v>
      </c>
      <c r="C2975" s="219" t="s">
        <v>3069</v>
      </c>
      <c r="D2975" s="212" t="s">
        <v>3070</v>
      </c>
      <c r="E2975" s="212" t="s">
        <v>545</v>
      </c>
      <c r="F2975" s="213">
        <v>4</v>
      </c>
      <c r="G2975" s="213">
        <v>68.31</v>
      </c>
      <c r="H2975" s="195">
        <f t="shared" si="46"/>
        <v>273.24</v>
      </c>
      <c r="I2975" s="212" t="s">
        <v>2354</v>
      </c>
    </row>
    <row r="2976" spans="1:9" x14ac:dyDescent="0.25">
      <c r="A2976" s="218" t="s">
        <v>220</v>
      </c>
      <c r="B2976" s="218" t="s">
        <v>5430</v>
      </c>
      <c r="C2976" s="219" t="s">
        <v>6053</v>
      </c>
      <c r="D2976" s="212" t="s">
        <v>6054</v>
      </c>
      <c r="E2976" s="212" t="s">
        <v>545</v>
      </c>
      <c r="F2976" s="213">
        <v>5</v>
      </c>
      <c r="G2976" s="213">
        <v>67.100399999999993</v>
      </c>
      <c r="H2976" s="195">
        <f t="shared" si="46"/>
        <v>335.50199999999995</v>
      </c>
      <c r="I2976" s="212" t="s">
        <v>2354</v>
      </c>
    </row>
    <row r="2977" spans="1:9" x14ac:dyDescent="0.25">
      <c r="A2977" s="218" t="s">
        <v>220</v>
      </c>
      <c r="B2977" s="218" t="s">
        <v>5430</v>
      </c>
      <c r="C2977" s="219" t="s">
        <v>6055</v>
      </c>
      <c r="D2977" s="212" t="s">
        <v>6056</v>
      </c>
      <c r="E2977" s="212" t="s">
        <v>2473</v>
      </c>
      <c r="F2977" s="213">
        <v>2</v>
      </c>
      <c r="G2977" s="213">
        <v>52.306199999999997</v>
      </c>
      <c r="H2977" s="195">
        <f t="shared" si="46"/>
        <v>104.61239999999999</v>
      </c>
      <c r="I2977" s="212" t="s">
        <v>2354</v>
      </c>
    </row>
    <row r="2978" spans="1:9" x14ac:dyDescent="0.25">
      <c r="A2978" s="218" t="s">
        <v>220</v>
      </c>
      <c r="B2978" s="218" t="s">
        <v>5430</v>
      </c>
      <c r="C2978" s="219" t="s">
        <v>6057</v>
      </c>
      <c r="D2978" s="212" t="s">
        <v>6058</v>
      </c>
      <c r="E2978" s="212" t="s">
        <v>545</v>
      </c>
      <c r="F2978" s="213">
        <v>3</v>
      </c>
      <c r="G2978" s="213">
        <v>73.981800000000007</v>
      </c>
      <c r="H2978" s="195">
        <f t="shared" si="46"/>
        <v>221.94540000000001</v>
      </c>
      <c r="I2978" s="212" t="s">
        <v>2354</v>
      </c>
    </row>
    <row r="2979" spans="1:9" x14ac:dyDescent="0.25">
      <c r="A2979" s="218" t="s">
        <v>220</v>
      </c>
      <c r="B2979" s="218" t="s">
        <v>5430</v>
      </c>
      <c r="C2979" s="219" t="s">
        <v>6059</v>
      </c>
      <c r="D2979" s="212" t="s">
        <v>6060</v>
      </c>
      <c r="E2979" s="212" t="s">
        <v>545</v>
      </c>
      <c r="F2979" s="213">
        <v>2</v>
      </c>
      <c r="G2979" s="213">
        <v>448.64999999999992</v>
      </c>
      <c r="H2979" s="195">
        <f t="shared" si="46"/>
        <v>897.29999999999984</v>
      </c>
      <c r="I2979" s="212" t="s">
        <v>2354</v>
      </c>
    </row>
    <row r="2980" spans="1:9" x14ac:dyDescent="0.25">
      <c r="A2980" s="218" t="s">
        <v>220</v>
      </c>
      <c r="B2980" s="218" t="s">
        <v>5430</v>
      </c>
      <c r="C2980" s="219" t="s">
        <v>6061</v>
      </c>
      <c r="D2980" s="212" t="s">
        <v>6062</v>
      </c>
      <c r="E2980" s="212" t="s">
        <v>545</v>
      </c>
      <c r="F2980" s="213">
        <v>6</v>
      </c>
      <c r="G2980" s="213">
        <v>33.57</v>
      </c>
      <c r="H2980" s="195">
        <f t="shared" si="46"/>
        <v>201.42000000000002</v>
      </c>
      <c r="I2980" s="212" t="s">
        <v>2354</v>
      </c>
    </row>
    <row r="2981" spans="1:9" x14ac:dyDescent="0.25">
      <c r="A2981" s="218" t="s">
        <v>220</v>
      </c>
      <c r="B2981" s="218" t="s">
        <v>5430</v>
      </c>
      <c r="C2981" s="219" t="s">
        <v>6063</v>
      </c>
      <c r="D2981" s="212" t="s">
        <v>6064</v>
      </c>
      <c r="E2981" s="212" t="s">
        <v>545</v>
      </c>
      <c r="F2981" s="213">
        <v>6</v>
      </c>
      <c r="G2981" s="213">
        <v>33.57</v>
      </c>
      <c r="H2981" s="195">
        <f t="shared" si="46"/>
        <v>201.42000000000002</v>
      </c>
      <c r="I2981" s="212" t="s">
        <v>2354</v>
      </c>
    </row>
    <row r="2982" spans="1:9" x14ac:dyDescent="0.25">
      <c r="A2982" s="218" t="s">
        <v>220</v>
      </c>
      <c r="B2982" s="218" t="s">
        <v>5430</v>
      </c>
      <c r="C2982" s="219" t="s">
        <v>6065</v>
      </c>
      <c r="D2982" s="212" t="s">
        <v>6066</v>
      </c>
      <c r="E2982" s="212" t="s">
        <v>545</v>
      </c>
      <c r="F2982" s="213">
        <v>2</v>
      </c>
      <c r="G2982" s="213">
        <v>33.57</v>
      </c>
      <c r="H2982" s="195">
        <f t="shared" si="46"/>
        <v>67.14</v>
      </c>
      <c r="I2982" s="212" t="s">
        <v>2354</v>
      </c>
    </row>
    <row r="2983" spans="1:9" x14ac:dyDescent="0.25">
      <c r="A2983" s="218" t="s">
        <v>220</v>
      </c>
      <c r="B2983" s="218" t="s">
        <v>5430</v>
      </c>
      <c r="C2983" s="219" t="s">
        <v>6067</v>
      </c>
      <c r="D2983" s="212" t="s">
        <v>6068</v>
      </c>
      <c r="E2983" s="212" t="s">
        <v>545</v>
      </c>
      <c r="F2983" s="213">
        <v>0</v>
      </c>
      <c r="G2983" s="213">
        <v>0</v>
      </c>
      <c r="H2983" s="195">
        <f t="shared" si="46"/>
        <v>0</v>
      </c>
      <c r="I2983" s="212" t="s">
        <v>2354</v>
      </c>
    </row>
    <row r="2984" spans="1:9" x14ac:dyDescent="0.25">
      <c r="A2984" s="218" t="s">
        <v>220</v>
      </c>
      <c r="B2984" s="218" t="s">
        <v>5430</v>
      </c>
      <c r="C2984" s="219" t="s">
        <v>6069</v>
      </c>
      <c r="D2984" s="212" t="s">
        <v>6070</v>
      </c>
      <c r="E2984" s="212" t="s">
        <v>545</v>
      </c>
      <c r="F2984" s="213">
        <v>1</v>
      </c>
      <c r="G2984" s="213">
        <v>33.57</v>
      </c>
      <c r="H2984" s="195">
        <f t="shared" si="46"/>
        <v>33.57</v>
      </c>
      <c r="I2984" s="212" t="s">
        <v>2354</v>
      </c>
    </row>
    <row r="2985" spans="1:9" x14ac:dyDescent="0.25">
      <c r="A2985" s="218" t="s">
        <v>220</v>
      </c>
      <c r="B2985" s="218" t="s">
        <v>5430</v>
      </c>
      <c r="C2985" s="219" t="s">
        <v>6071</v>
      </c>
      <c r="D2985" s="212" t="s">
        <v>6072</v>
      </c>
      <c r="E2985" s="212" t="s">
        <v>545</v>
      </c>
      <c r="F2985" s="213">
        <v>3</v>
      </c>
      <c r="G2985" s="213">
        <v>33.57</v>
      </c>
      <c r="H2985" s="195">
        <f t="shared" si="46"/>
        <v>100.71000000000001</v>
      </c>
      <c r="I2985" s="212" t="s">
        <v>2354</v>
      </c>
    </row>
    <row r="2986" spans="1:9" x14ac:dyDescent="0.25">
      <c r="A2986" s="218" t="s">
        <v>220</v>
      </c>
      <c r="B2986" s="218" t="s">
        <v>5430</v>
      </c>
      <c r="C2986" s="219" t="s">
        <v>6073</v>
      </c>
      <c r="D2986" s="212" t="s">
        <v>6074</v>
      </c>
      <c r="E2986" s="212" t="s">
        <v>545</v>
      </c>
      <c r="F2986" s="213">
        <v>1</v>
      </c>
      <c r="G2986" s="213">
        <v>33.57</v>
      </c>
      <c r="H2986" s="195">
        <f t="shared" si="46"/>
        <v>33.57</v>
      </c>
      <c r="I2986" s="212" t="s">
        <v>2354</v>
      </c>
    </row>
    <row r="2987" spans="1:9" x14ac:dyDescent="0.25">
      <c r="A2987" s="218" t="s">
        <v>220</v>
      </c>
      <c r="B2987" s="218" t="s">
        <v>5430</v>
      </c>
      <c r="C2987" s="219" t="s">
        <v>6075</v>
      </c>
      <c r="D2987" s="212" t="s">
        <v>6076</v>
      </c>
      <c r="E2987" s="212" t="s">
        <v>545</v>
      </c>
      <c r="F2987" s="213">
        <v>2</v>
      </c>
      <c r="G2987" s="213">
        <v>37.979999999999997</v>
      </c>
      <c r="H2987" s="195">
        <f t="shared" si="46"/>
        <v>75.959999999999994</v>
      </c>
      <c r="I2987" s="212" t="s">
        <v>2354</v>
      </c>
    </row>
    <row r="2988" spans="1:9" x14ac:dyDescent="0.25">
      <c r="A2988" s="218" t="s">
        <v>220</v>
      </c>
      <c r="B2988" s="218" t="s">
        <v>5430</v>
      </c>
      <c r="C2988" s="219" t="s">
        <v>6077</v>
      </c>
      <c r="D2988" s="212" t="s">
        <v>6078</v>
      </c>
      <c r="E2988" s="212" t="s">
        <v>545</v>
      </c>
      <c r="F2988" s="213">
        <v>3</v>
      </c>
      <c r="G2988" s="213">
        <v>33.57</v>
      </c>
      <c r="H2988" s="195">
        <f t="shared" si="46"/>
        <v>100.71000000000001</v>
      </c>
      <c r="I2988" s="212" t="s">
        <v>2354</v>
      </c>
    </row>
    <row r="2989" spans="1:9" x14ac:dyDescent="0.25">
      <c r="A2989" s="218" t="s">
        <v>220</v>
      </c>
      <c r="B2989" s="218" t="s">
        <v>5430</v>
      </c>
      <c r="C2989" s="219" t="s">
        <v>6079</v>
      </c>
      <c r="D2989" s="212" t="s">
        <v>6080</v>
      </c>
      <c r="E2989" s="212" t="s">
        <v>545</v>
      </c>
      <c r="F2989" s="213">
        <v>10</v>
      </c>
      <c r="G2989" s="213">
        <v>20.476800000000001</v>
      </c>
      <c r="H2989" s="195">
        <f t="shared" si="46"/>
        <v>204.768</v>
      </c>
      <c r="I2989" s="212" t="s">
        <v>2354</v>
      </c>
    </row>
    <row r="2990" spans="1:9" x14ac:dyDescent="0.25">
      <c r="A2990" s="218" t="s">
        <v>220</v>
      </c>
      <c r="B2990" s="218" t="s">
        <v>5430</v>
      </c>
      <c r="C2990" s="219" t="s">
        <v>6081</v>
      </c>
      <c r="D2990" s="212" t="s">
        <v>6082</v>
      </c>
      <c r="E2990" s="212" t="s">
        <v>545</v>
      </c>
      <c r="F2990" s="213">
        <v>4</v>
      </c>
      <c r="G2990" s="213">
        <v>27</v>
      </c>
      <c r="H2990" s="195">
        <f t="shared" si="46"/>
        <v>108</v>
      </c>
      <c r="I2990" s="212" t="s">
        <v>2354</v>
      </c>
    </row>
    <row r="2991" spans="1:9" x14ac:dyDescent="0.25">
      <c r="A2991" s="218" t="s">
        <v>220</v>
      </c>
      <c r="B2991" s="218" t="s">
        <v>5430</v>
      </c>
      <c r="C2991" s="219" t="s">
        <v>6083</v>
      </c>
      <c r="D2991" s="212" t="s">
        <v>6084</v>
      </c>
      <c r="E2991" s="212" t="s">
        <v>545</v>
      </c>
      <c r="F2991" s="213">
        <v>3</v>
      </c>
      <c r="G2991" s="213">
        <v>169.56</v>
      </c>
      <c r="H2991" s="195">
        <f t="shared" si="46"/>
        <v>508.68</v>
      </c>
      <c r="I2991" s="212" t="s">
        <v>2354</v>
      </c>
    </row>
    <row r="2992" spans="1:9" x14ac:dyDescent="0.25">
      <c r="A2992" s="218" t="s">
        <v>220</v>
      </c>
      <c r="B2992" s="218" t="s">
        <v>5430</v>
      </c>
      <c r="C2992" s="219" t="s">
        <v>3075</v>
      </c>
      <c r="D2992" s="212" t="s">
        <v>3076</v>
      </c>
      <c r="E2992" s="212" t="s">
        <v>545</v>
      </c>
      <c r="F2992" s="213">
        <v>2</v>
      </c>
      <c r="G2992" s="213">
        <v>14.2668</v>
      </c>
      <c r="H2992" s="195">
        <f t="shared" si="46"/>
        <v>28.5336</v>
      </c>
      <c r="I2992" s="212" t="s">
        <v>2354</v>
      </c>
    </row>
    <row r="2993" spans="1:9" x14ac:dyDescent="0.25">
      <c r="A2993" s="218" t="s">
        <v>220</v>
      </c>
      <c r="B2993" s="218" t="s">
        <v>5430</v>
      </c>
      <c r="C2993" s="219" t="s">
        <v>3077</v>
      </c>
      <c r="D2993" s="212" t="s">
        <v>3078</v>
      </c>
      <c r="E2993" s="212" t="s">
        <v>545</v>
      </c>
      <c r="F2993" s="213">
        <v>8</v>
      </c>
      <c r="G2993" s="213">
        <v>18.998248275862071</v>
      </c>
      <c r="H2993" s="195">
        <f t="shared" si="46"/>
        <v>151.98598620689657</v>
      </c>
      <c r="I2993" s="212" t="s">
        <v>2354</v>
      </c>
    </row>
    <row r="2994" spans="1:9" x14ac:dyDescent="0.25">
      <c r="A2994" s="218" t="s">
        <v>220</v>
      </c>
      <c r="B2994" s="218" t="s">
        <v>5430</v>
      </c>
      <c r="C2994" s="219" t="s">
        <v>6085</v>
      </c>
      <c r="D2994" s="212" t="s">
        <v>6086</v>
      </c>
      <c r="E2994" s="212" t="s">
        <v>545</v>
      </c>
      <c r="F2994" s="213">
        <v>4</v>
      </c>
      <c r="G2994" s="213">
        <v>216.6885</v>
      </c>
      <c r="H2994" s="195">
        <f t="shared" si="46"/>
        <v>866.75400000000002</v>
      </c>
      <c r="I2994" s="212" t="s">
        <v>2354</v>
      </c>
    </row>
    <row r="2995" spans="1:9" x14ac:dyDescent="0.25">
      <c r="A2995" s="218" t="s">
        <v>220</v>
      </c>
      <c r="B2995" s="218" t="s">
        <v>5430</v>
      </c>
      <c r="C2995" s="219" t="s">
        <v>6087</v>
      </c>
      <c r="D2995" s="212" t="s">
        <v>6088</v>
      </c>
      <c r="E2995" s="212" t="s">
        <v>545</v>
      </c>
      <c r="F2995" s="213">
        <v>6</v>
      </c>
      <c r="G2995" s="213">
        <v>30.443999999999999</v>
      </c>
      <c r="H2995" s="195">
        <f t="shared" si="46"/>
        <v>182.66399999999999</v>
      </c>
      <c r="I2995" s="212" t="s">
        <v>2354</v>
      </c>
    </row>
    <row r="2996" spans="1:9" x14ac:dyDescent="0.25">
      <c r="A2996" s="218" t="s">
        <v>220</v>
      </c>
      <c r="B2996" s="218" t="s">
        <v>5430</v>
      </c>
      <c r="C2996" s="219" t="s">
        <v>6089</v>
      </c>
      <c r="D2996" s="212" t="s">
        <v>6090</v>
      </c>
      <c r="E2996" s="212" t="s">
        <v>545</v>
      </c>
      <c r="F2996" s="213">
        <v>6</v>
      </c>
      <c r="G2996" s="213">
        <v>107.28</v>
      </c>
      <c r="H2996" s="195">
        <f t="shared" si="46"/>
        <v>643.68000000000006</v>
      </c>
      <c r="I2996" s="212" t="s">
        <v>2354</v>
      </c>
    </row>
    <row r="2997" spans="1:9" x14ac:dyDescent="0.25">
      <c r="A2997" s="218" t="s">
        <v>220</v>
      </c>
      <c r="B2997" s="218" t="s">
        <v>5430</v>
      </c>
      <c r="C2997" s="219" t="s">
        <v>6091</v>
      </c>
      <c r="D2997" s="212" t="s">
        <v>6092</v>
      </c>
      <c r="E2997" s="212" t="s">
        <v>545</v>
      </c>
      <c r="F2997" s="213">
        <v>1</v>
      </c>
      <c r="G2997" s="213">
        <v>20.923200000000001</v>
      </c>
      <c r="H2997" s="195">
        <f t="shared" si="46"/>
        <v>20.923200000000001</v>
      </c>
      <c r="I2997" s="212" t="s">
        <v>2354</v>
      </c>
    </row>
    <row r="2998" spans="1:9" x14ac:dyDescent="0.25">
      <c r="A2998" s="218" t="s">
        <v>220</v>
      </c>
      <c r="B2998" s="218" t="s">
        <v>5430</v>
      </c>
      <c r="C2998" s="219" t="s">
        <v>6093</v>
      </c>
      <c r="D2998" s="212" t="s">
        <v>6094</v>
      </c>
      <c r="E2998" s="212" t="s">
        <v>545</v>
      </c>
      <c r="F2998" s="213">
        <v>3</v>
      </c>
      <c r="G2998" s="213">
        <v>21.696000000000002</v>
      </c>
      <c r="H2998" s="195">
        <f t="shared" si="46"/>
        <v>65.088000000000008</v>
      </c>
      <c r="I2998" s="212" t="s">
        <v>2354</v>
      </c>
    </row>
    <row r="2999" spans="1:9" x14ac:dyDescent="0.25">
      <c r="A2999" s="218" t="s">
        <v>220</v>
      </c>
      <c r="B2999" s="218" t="s">
        <v>5430</v>
      </c>
      <c r="C2999" s="219" t="s">
        <v>6095</v>
      </c>
      <c r="D2999" s="212" t="s">
        <v>6096</v>
      </c>
      <c r="E2999" s="212" t="s">
        <v>545</v>
      </c>
      <c r="F2999" s="213">
        <v>1</v>
      </c>
      <c r="G2999" s="213">
        <v>71.455200000000005</v>
      </c>
      <c r="H2999" s="195">
        <f t="shared" si="46"/>
        <v>71.455200000000005</v>
      </c>
      <c r="I2999" s="212" t="s">
        <v>2354</v>
      </c>
    </row>
    <row r="3000" spans="1:9" x14ac:dyDescent="0.25">
      <c r="A3000" s="218" t="s">
        <v>220</v>
      </c>
      <c r="B3000" s="218" t="s">
        <v>5430</v>
      </c>
      <c r="C3000" s="219" t="s">
        <v>6097</v>
      </c>
      <c r="D3000" s="212" t="s">
        <v>6098</v>
      </c>
      <c r="E3000" s="212" t="s">
        <v>545</v>
      </c>
      <c r="F3000" s="213">
        <v>4</v>
      </c>
      <c r="G3000" s="213">
        <v>0.47770000000000001</v>
      </c>
      <c r="H3000" s="195">
        <f t="shared" si="46"/>
        <v>1.9108000000000001</v>
      </c>
      <c r="I3000" s="212" t="s">
        <v>2354</v>
      </c>
    </row>
    <row r="3001" spans="1:9" x14ac:dyDescent="0.25">
      <c r="A3001" s="218" t="s">
        <v>220</v>
      </c>
      <c r="B3001" s="218" t="s">
        <v>5430</v>
      </c>
      <c r="C3001" s="219" t="s">
        <v>6099</v>
      </c>
      <c r="D3001" s="212" t="s">
        <v>6100</v>
      </c>
      <c r="E3001" s="212" t="s">
        <v>545</v>
      </c>
      <c r="F3001" s="213">
        <v>4</v>
      </c>
      <c r="G3001" s="213">
        <v>116.01</v>
      </c>
      <c r="H3001" s="195">
        <f t="shared" si="46"/>
        <v>464.04</v>
      </c>
      <c r="I3001" s="212" t="s">
        <v>2354</v>
      </c>
    </row>
    <row r="3002" spans="1:9" x14ac:dyDescent="0.25">
      <c r="A3002" s="218" t="s">
        <v>220</v>
      </c>
      <c r="B3002" s="218" t="s">
        <v>5430</v>
      </c>
      <c r="C3002" s="219" t="s">
        <v>6101</v>
      </c>
      <c r="D3002" s="212" t="s">
        <v>6102</v>
      </c>
      <c r="E3002" s="212" t="s">
        <v>545</v>
      </c>
      <c r="F3002" s="213">
        <v>5</v>
      </c>
      <c r="G3002" s="213">
        <v>166.77</v>
      </c>
      <c r="H3002" s="195">
        <f t="shared" si="46"/>
        <v>833.85</v>
      </c>
      <c r="I3002" s="212" t="s">
        <v>2354</v>
      </c>
    </row>
    <row r="3003" spans="1:9" x14ac:dyDescent="0.25">
      <c r="A3003" s="218" t="s">
        <v>220</v>
      </c>
      <c r="B3003" s="218" t="s">
        <v>5430</v>
      </c>
      <c r="C3003" s="219" t="s">
        <v>6103</v>
      </c>
      <c r="D3003" s="212" t="s">
        <v>6104</v>
      </c>
      <c r="E3003" s="212" t="s">
        <v>545</v>
      </c>
      <c r="F3003" s="213">
        <v>11</v>
      </c>
      <c r="G3003" s="213">
        <v>136.55520000000001</v>
      </c>
      <c r="H3003" s="195">
        <f t="shared" si="46"/>
        <v>1502.1072000000001</v>
      </c>
      <c r="I3003" s="212" t="s">
        <v>2354</v>
      </c>
    </row>
    <row r="3004" spans="1:9" x14ac:dyDescent="0.25">
      <c r="A3004" s="218" t="s">
        <v>220</v>
      </c>
      <c r="B3004" s="218" t="s">
        <v>5430</v>
      </c>
      <c r="C3004" s="219" t="s">
        <v>6105</v>
      </c>
      <c r="D3004" s="212" t="s">
        <v>6106</v>
      </c>
      <c r="E3004" s="212" t="s">
        <v>545</v>
      </c>
      <c r="F3004" s="213">
        <v>4</v>
      </c>
      <c r="G3004" s="213">
        <v>115.9983</v>
      </c>
      <c r="H3004" s="195">
        <f t="shared" si="46"/>
        <v>463.9932</v>
      </c>
      <c r="I3004" s="212" t="s">
        <v>2354</v>
      </c>
    </row>
    <row r="3005" spans="1:9" x14ac:dyDescent="0.25">
      <c r="A3005" s="218" t="s">
        <v>220</v>
      </c>
      <c r="B3005" s="218" t="s">
        <v>5430</v>
      </c>
      <c r="C3005" s="219" t="s">
        <v>6107</v>
      </c>
      <c r="D3005" s="212" t="s">
        <v>6108</v>
      </c>
      <c r="E3005" s="212" t="s">
        <v>545</v>
      </c>
      <c r="F3005" s="213">
        <v>4</v>
      </c>
      <c r="G3005" s="213">
        <v>53.849699999999999</v>
      </c>
      <c r="H3005" s="195">
        <f t="shared" si="46"/>
        <v>215.39879999999999</v>
      </c>
      <c r="I3005" s="212" t="s">
        <v>2354</v>
      </c>
    </row>
    <row r="3006" spans="1:9" x14ac:dyDescent="0.25">
      <c r="A3006" s="218" t="s">
        <v>220</v>
      </c>
      <c r="B3006" s="218" t="s">
        <v>5430</v>
      </c>
      <c r="C3006" s="219" t="s">
        <v>6109</v>
      </c>
      <c r="D3006" s="212" t="s">
        <v>6110</v>
      </c>
      <c r="E3006" s="212" t="s">
        <v>545</v>
      </c>
      <c r="F3006" s="213">
        <v>1</v>
      </c>
      <c r="G3006" s="213">
        <v>192.5136</v>
      </c>
      <c r="H3006" s="195">
        <f t="shared" si="46"/>
        <v>192.5136</v>
      </c>
      <c r="I3006" s="212" t="s">
        <v>2354</v>
      </c>
    </row>
    <row r="3007" spans="1:9" x14ac:dyDescent="0.25">
      <c r="A3007" s="218" t="s">
        <v>220</v>
      </c>
      <c r="B3007" s="218" t="s">
        <v>5430</v>
      </c>
      <c r="C3007" s="219" t="s">
        <v>6111</v>
      </c>
      <c r="D3007" s="212" t="s">
        <v>6112</v>
      </c>
      <c r="E3007" s="212" t="s">
        <v>545</v>
      </c>
      <c r="F3007" s="213">
        <v>7</v>
      </c>
      <c r="G3007" s="213">
        <v>37.896999999999998</v>
      </c>
      <c r="H3007" s="195">
        <f t="shared" si="46"/>
        <v>265.279</v>
      </c>
      <c r="I3007" s="212" t="s">
        <v>2354</v>
      </c>
    </row>
    <row r="3008" spans="1:9" x14ac:dyDescent="0.25">
      <c r="A3008" s="218" t="s">
        <v>220</v>
      </c>
      <c r="B3008" s="218" t="s">
        <v>5430</v>
      </c>
      <c r="C3008" s="219" t="s">
        <v>6113</v>
      </c>
      <c r="D3008" s="212" t="s">
        <v>6114</v>
      </c>
      <c r="E3008" s="212" t="s">
        <v>545</v>
      </c>
      <c r="F3008" s="213">
        <v>2</v>
      </c>
      <c r="G3008" s="213">
        <v>102.24</v>
      </c>
      <c r="H3008" s="195">
        <f t="shared" si="46"/>
        <v>204.48</v>
      </c>
      <c r="I3008" s="212" t="s">
        <v>2354</v>
      </c>
    </row>
    <row r="3009" spans="1:9" x14ac:dyDescent="0.25">
      <c r="A3009" s="218" t="s">
        <v>220</v>
      </c>
      <c r="B3009" s="218" t="s">
        <v>5430</v>
      </c>
      <c r="C3009" s="219" t="s">
        <v>3079</v>
      </c>
      <c r="D3009" s="212" t="s">
        <v>3080</v>
      </c>
      <c r="E3009" s="212" t="s">
        <v>545</v>
      </c>
      <c r="F3009" s="213">
        <v>15</v>
      </c>
      <c r="G3009" s="213">
        <v>24.1128</v>
      </c>
      <c r="H3009" s="195">
        <f t="shared" si="46"/>
        <v>361.69200000000001</v>
      </c>
      <c r="I3009" s="212" t="s">
        <v>2354</v>
      </c>
    </row>
    <row r="3010" spans="1:9" x14ac:dyDescent="0.25">
      <c r="A3010" s="218" t="s">
        <v>220</v>
      </c>
      <c r="B3010" s="218" t="s">
        <v>5430</v>
      </c>
      <c r="C3010" s="219" t="s">
        <v>6115</v>
      </c>
      <c r="D3010" s="212" t="s">
        <v>6116</v>
      </c>
      <c r="E3010" s="212" t="s">
        <v>545</v>
      </c>
      <c r="F3010" s="213">
        <v>1</v>
      </c>
      <c r="G3010" s="213">
        <v>1642.617</v>
      </c>
      <c r="H3010" s="195">
        <f t="shared" si="46"/>
        <v>1642.617</v>
      </c>
      <c r="I3010" s="212" t="s">
        <v>2354</v>
      </c>
    </row>
    <row r="3011" spans="1:9" x14ac:dyDescent="0.25">
      <c r="A3011" s="218" t="s">
        <v>220</v>
      </c>
      <c r="B3011" s="218" t="s">
        <v>5430</v>
      </c>
      <c r="C3011" s="219" t="s">
        <v>6117</v>
      </c>
      <c r="D3011" s="212" t="s">
        <v>6118</v>
      </c>
      <c r="E3011" s="212" t="s">
        <v>545</v>
      </c>
      <c r="F3011" s="213">
        <v>2</v>
      </c>
      <c r="G3011" s="213">
        <v>0</v>
      </c>
      <c r="H3011" s="195">
        <f t="shared" si="46"/>
        <v>0</v>
      </c>
      <c r="I3011" s="212" t="s">
        <v>2354</v>
      </c>
    </row>
    <row r="3012" spans="1:9" x14ac:dyDescent="0.25">
      <c r="A3012" s="218" t="s">
        <v>220</v>
      </c>
      <c r="B3012" s="218" t="s">
        <v>5430</v>
      </c>
      <c r="C3012" s="219" t="s">
        <v>6119</v>
      </c>
      <c r="D3012" s="212" t="s">
        <v>6120</v>
      </c>
      <c r="E3012" s="212" t="s">
        <v>545</v>
      </c>
      <c r="F3012" s="213">
        <v>2</v>
      </c>
      <c r="G3012" s="213">
        <v>0</v>
      </c>
      <c r="H3012" s="195">
        <f t="shared" si="46"/>
        <v>0</v>
      </c>
      <c r="I3012" s="212" t="s">
        <v>2354</v>
      </c>
    </row>
    <row r="3013" spans="1:9" x14ac:dyDescent="0.25">
      <c r="A3013" s="218" t="s">
        <v>220</v>
      </c>
      <c r="B3013" s="218" t="s">
        <v>5430</v>
      </c>
      <c r="C3013" s="219" t="s">
        <v>6121</v>
      </c>
      <c r="D3013" s="212" t="s">
        <v>6122</v>
      </c>
      <c r="E3013" s="212" t="s">
        <v>545</v>
      </c>
      <c r="F3013" s="213">
        <v>4</v>
      </c>
      <c r="G3013" s="213">
        <v>61.728299999999997</v>
      </c>
      <c r="H3013" s="195">
        <f t="shared" ref="H3013:H3076" si="47">+F3013*G3013</f>
        <v>246.91319999999999</v>
      </c>
      <c r="I3013" s="212" t="s">
        <v>2354</v>
      </c>
    </row>
    <row r="3014" spans="1:9" x14ac:dyDescent="0.25">
      <c r="A3014" s="218" t="s">
        <v>220</v>
      </c>
      <c r="B3014" s="218" t="s">
        <v>5430</v>
      </c>
      <c r="C3014" s="219" t="s">
        <v>6123</v>
      </c>
      <c r="D3014" s="212" t="s">
        <v>6124</v>
      </c>
      <c r="E3014" s="212" t="s">
        <v>545</v>
      </c>
      <c r="F3014" s="213">
        <v>6</v>
      </c>
      <c r="G3014" s="213">
        <v>186.74549999999999</v>
      </c>
      <c r="H3014" s="195">
        <f t="shared" si="47"/>
        <v>1120.473</v>
      </c>
      <c r="I3014" s="212" t="s">
        <v>2354</v>
      </c>
    </row>
    <row r="3015" spans="1:9" x14ac:dyDescent="0.25">
      <c r="A3015" s="218" t="s">
        <v>220</v>
      </c>
      <c r="B3015" s="218" t="s">
        <v>5430</v>
      </c>
      <c r="C3015" s="219" t="s">
        <v>6125</v>
      </c>
      <c r="D3015" s="212" t="s">
        <v>6126</v>
      </c>
      <c r="E3015" s="212" t="s">
        <v>545</v>
      </c>
      <c r="F3015" s="213">
        <v>2</v>
      </c>
      <c r="G3015" s="213">
        <v>59.4</v>
      </c>
      <c r="H3015" s="195">
        <f t="shared" si="47"/>
        <v>118.8</v>
      </c>
      <c r="I3015" s="212" t="s">
        <v>2354</v>
      </c>
    </row>
    <row r="3016" spans="1:9" x14ac:dyDescent="0.25">
      <c r="A3016" s="218" t="s">
        <v>220</v>
      </c>
      <c r="B3016" s="218" t="s">
        <v>5430</v>
      </c>
      <c r="C3016" s="219" t="s">
        <v>6127</v>
      </c>
      <c r="D3016" s="212" t="s">
        <v>6128</v>
      </c>
      <c r="E3016" s="212" t="s">
        <v>545</v>
      </c>
      <c r="F3016" s="213">
        <v>7</v>
      </c>
      <c r="G3016" s="213">
        <v>72.900000000000006</v>
      </c>
      <c r="H3016" s="195">
        <f t="shared" si="47"/>
        <v>510.30000000000007</v>
      </c>
      <c r="I3016" s="212" t="s">
        <v>2354</v>
      </c>
    </row>
    <row r="3017" spans="1:9" x14ac:dyDescent="0.25">
      <c r="A3017" s="218" t="s">
        <v>220</v>
      </c>
      <c r="B3017" s="218" t="s">
        <v>5430</v>
      </c>
      <c r="C3017" s="219" t="s">
        <v>6129</v>
      </c>
      <c r="D3017" s="212" t="s">
        <v>6130</v>
      </c>
      <c r="E3017" s="212" t="s">
        <v>545</v>
      </c>
      <c r="F3017" s="213">
        <v>6</v>
      </c>
      <c r="G3017" s="213">
        <v>7.6292999999999989</v>
      </c>
      <c r="H3017" s="195">
        <f t="shared" si="47"/>
        <v>45.77579999999999</v>
      </c>
      <c r="I3017" s="212" t="s">
        <v>2354</v>
      </c>
    </row>
    <row r="3018" spans="1:9" x14ac:dyDescent="0.25">
      <c r="A3018" s="218" t="s">
        <v>220</v>
      </c>
      <c r="B3018" s="218" t="s">
        <v>5430</v>
      </c>
      <c r="C3018" s="219" t="s">
        <v>6131</v>
      </c>
      <c r="D3018" s="212" t="s">
        <v>6132</v>
      </c>
      <c r="E3018" s="212" t="s">
        <v>545</v>
      </c>
      <c r="F3018" s="213">
        <v>3</v>
      </c>
      <c r="G3018" s="213">
        <v>41.58</v>
      </c>
      <c r="H3018" s="195">
        <f t="shared" si="47"/>
        <v>124.74</v>
      </c>
      <c r="I3018" s="212" t="s">
        <v>2354</v>
      </c>
    </row>
    <row r="3019" spans="1:9" x14ac:dyDescent="0.25">
      <c r="A3019" s="218" t="s">
        <v>220</v>
      </c>
      <c r="B3019" s="218" t="s">
        <v>5430</v>
      </c>
      <c r="C3019" s="219" t="s">
        <v>6133</v>
      </c>
      <c r="D3019" s="212" t="s">
        <v>6134</v>
      </c>
      <c r="E3019" s="212" t="s">
        <v>545</v>
      </c>
      <c r="F3019" s="213">
        <v>4</v>
      </c>
      <c r="G3019" s="213">
        <v>43.556399999999996</v>
      </c>
      <c r="H3019" s="195">
        <f t="shared" si="47"/>
        <v>174.22559999999999</v>
      </c>
      <c r="I3019" s="212" t="s">
        <v>2354</v>
      </c>
    </row>
    <row r="3020" spans="1:9" x14ac:dyDescent="0.25">
      <c r="A3020" s="218" t="s">
        <v>220</v>
      </c>
      <c r="B3020" s="218" t="s">
        <v>5430</v>
      </c>
      <c r="C3020" s="219" t="s">
        <v>6135</v>
      </c>
      <c r="D3020" s="212" t="s">
        <v>6136</v>
      </c>
      <c r="E3020" s="212" t="s">
        <v>545</v>
      </c>
      <c r="F3020" s="213">
        <v>1</v>
      </c>
      <c r="G3020" s="213">
        <v>89.5428</v>
      </c>
      <c r="H3020" s="195">
        <f t="shared" si="47"/>
        <v>89.5428</v>
      </c>
      <c r="I3020" s="212" t="s">
        <v>2354</v>
      </c>
    </row>
    <row r="3021" spans="1:9" x14ac:dyDescent="0.25">
      <c r="A3021" s="218" t="s">
        <v>220</v>
      </c>
      <c r="B3021" s="218" t="s">
        <v>5430</v>
      </c>
      <c r="C3021" s="219" t="s">
        <v>6137</v>
      </c>
      <c r="D3021" s="212" t="s">
        <v>6138</v>
      </c>
      <c r="E3021" s="212" t="s">
        <v>545</v>
      </c>
      <c r="F3021" s="213">
        <v>6</v>
      </c>
      <c r="G3021" s="213">
        <v>138.08099999999999</v>
      </c>
      <c r="H3021" s="195">
        <f t="shared" si="47"/>
        <v>828.48599999999988</v>
      </c>
      <c r="I3021" s="212" t="s">
        <v>2354</v>
      </c>
    </row>
    <row r="3022" spans="1:9" x14ac:dyDescent="0.25">
      <c r="A3022" s="218" t="s">
        <v>220</v>
      </c>
      <c r="B3022" s="218" t="s">
        <v>5430</v>
      </c>
      <c r="C3022" s="219" t="s">
        <v>6139</v>
      </c>
      <c r="D3022" s="212" t="s">
        <v>6140</v>
      </c>
      <c r="E3022" s="212" t="s">
        <v>545</v>
      </c>
      <c r="F3022" s="213">
        <v>6</v>
      </c>
      <c r="G3022" s="213">
        <v>28.08</v>
      </c>
      <c r="H3022" s="195">
        <f t="shared" si="47"/>
        <v>168.48</v>
      </c>
      <c r="I3022" s="212" t="s">
        <v>2354</v>
      </c>
    </row>
    <row r="3023" spans="1:9" x14ac:dyDescent="0.25">
      <c r="A3023" s="218" t="s">
        <v>220</v>
      </c>
      <c r="B3023" s="218" t="s">
        <v>5430</v>
      </c>
      <c r="C3023" s="219" t="s">
        <v>6141</v>
      </c>
      <c r="D3023" s="212" t="s">
        <v>6142</v>
      </c>
      <c r="E3023" s="212" t="s">
        <v>545</v>
      </c>
      <c r="F3023" s="213">
        <v>6</v>
      </c>
      <c r="G3023" s="213">
        <v>38.700000000000003</v>
      </c>
      <c r="H3023" s="195">
        <f t="shared" si="47"/>
        <v>232.20000000000002</v>
      </c>
      <c r="I3023" s="212" t="s">
        <v>2354</v>
      </c>
    </row>
    <row r="3024" spans="1:9" x14ac:dyDescent="0.25">
      <c r="A3024" s="218" t="s">
        <v>220</v>
      </c>
      <c r="B3024" s="218" t="s">
        <v>5430</v>
      </c>
      <c r="C3024" s="219" t="s">
        <v>6143</v>
      </c>
      <c r="D3024" s="212" t="s">
        <v>6144</v>
      </c>
      <c r="E3024" s="212" t="s">
        <v>545</v>
      </c>
      <c r="F3024" s="213">
        <v>5</v>
      </c>
      <c r="G3024" s="213">
        <v>19.642499999999998</v>
      </c>
      <c r="H3024" s="195">
        <f t="shared" si="47"/>
        <v>98.212499999999991</v>
      </c>
      <c r="I3024" s="212" t="s">
        <v>2354</v>
      </c>
    </row>
    <row r="3025" spans="1:9" x14ac:dyDescent="0.25">
      <c r="A3025" s="218" t="s">
        <v>220</v>
      </c>
      <c r="B3025" s="218" t="s">
        <v>5430</v>
      </c>
      <c r="C3025" s="219" t="s">
        <v>6145</v>
      </c>
      <c r="D3025" s="212" t="s">
        <v>5371</v>
      </c>
      <c r="E3025" s="212" t="s">
        <v>545</v>
      </c>
      <c r="F3025" s="213">
        <v>10</v>
      </c>
      <c r="G3025" s="213">
        <v>11.25</v>
      </c>
      <c r="H3025" s="195">
        <f t="shared" si="47"/>
        <v>112.5</v>
      </c>
      <c r="I3025" s="212" t="s">
        <v>2354</v>
      </c>
    </row>
    <row r="3026" spans="1:9" x14ac:dyDescent="0.25">
      <c r="A3026" s="218" t="s">
        <v>220</v>
      </c>
      <c r="B3026" s="218" t="s">
        <v>5430</v>
      </c>
      <c r="C3026" s="219" t="s">
        <v>6146</v>
      </c>
      <c r="D3026" s="212" t="s">
        <v>6147</v>
      </c>
      <c r="E3026" s="212" t="s">
        <v>545</v>
      </c>
      <c r="F3026" s="213">
        <v>23</v>
      </c>
      <c r="G3026" s="213">
        <v>21.6</v>
      </c>
      <c r="H3026" s="195">
        <f t="shared" si="47"/>
        <v>496.8</v>
      </c>
      <c r="I3026" s="212" t="s">
        <v>2354</v>
      </c>
    </row>
    <row r="3027" spans="1:9" x14ac:dyDescent="0.25">
      <c r="A3027" s="218" t="s">
        <v>220</v>
      </c>
      <c r="B3027" s="218" t="s">
        <v>5430</v>
      </c>
      <c r="C3027" s="219" t="s">
        <v>6148</v>
      </c>
      <c r="D3027" s="212" t="s">
        <v>6149</v>
      </c>
      <c r="E3027" s="212" t="s">
        <v>545</v>
      </c>
      <c r="F3027" s="213">
        <v>1</v>
      </c>
      <c r="G3027" s="213">
        <v>23.105999999999998</v>
      </c>
      <c r="H3027" s="195">
        <f t="shared" si="47"/>
        <v>23.105999999999998</v>
      </c>
      <c r="I3027" s="212" t="s">
        <v>2354</v>
      </c>
    </row>
    <row r="3028" spans="1:9" x14ac:dyDescent="0.25">
      <c r="A3028" s="218" t="s">
        <v>220</v>
      </c>
      <c r="B3028" s="218" t="s">
        <v>5430</v>
      </c>
      <c r="C3028" s="219" t="s">
        <v>6150</v>
      </c>
      <c r="D3028" s="212" t="s">
        <v>6151</v>
      </c>
      <c r="E3028" s="212" t="s">
        <v>545</v>
      </c>
      <c r="F3028" s="213">
        <v>2</v>
      </c>
      <c r="G3028" s="213">
        <v>75.098699999999994</v>
      </c>
      <c r="H3028" s="195">
        <f t="shared" si="47"/>
        <v>150.19739999999999</v>
      </c>
      <c r="I3028" s="212" t="s">
        <v>2354</v>
      </c>
    </row>
    <row r="3029" spans="1:9" x14ac:dyDescent="0.25">
      <c r="A3029" s="218" t="s">
        <v>220</v>
      </c>
      <c r="B3029" s="218" t="s">
        <v>5430</v>
      </c>
      <c r="C3029" s="219" t="s">
        <v>6152</v>
      </c>
      <c r="D3029" s="212" t="s">
        <v>6153</v>
      </c>
      <c r="E3029" s="212" t="s">
        <v>545</v>
      </c>
      <c r="F3029" s="213">
        <v>2</v>
      </c>
      <c r="G3029" s="213">
        <v>37.705500000000001</v>
      </c>
      <c r="H3029" s="195">
        <f t="shared" si="47"/>
        <v>75.411000000000001</v>
      </c>
      <c r="I3029" s="212" t="s">
        <v>2354</v>
      </c>
    </row>
    <row r="3030" spans="1:9" x14ac:dyDescent="0.25">
      <c r="A3030" s="218" t="s">
        <v>220</v>
      </c>
      <c r="B3030" s="218" t="s">
        <v>5430</v>
      </c>
      <c r="C3030" s="219" t="s">
        <v>6154</v>
      </c>
      <c r="D3030" s="212" t="s">
        <v>6155</v>
      </c>
      <c r="E3030" s="212" t="s">
        <v>545</v>
      </c>
      <c r="F3030" s="213">
        <v>2</v>
      </c>
      <c r="G3030" s="213">
        <v>24.623999999999999</v>
      </c>
      <c r="H3030" s="195">
        <f t="shared" si="47"/>
        <v>49.247999999999998</v>
      </c>
      <c r="I3030" s="212" t="s">
        <v>2354</v>
      </c>
    </row>
    <row r="3031" spans="1:9" x14ac:dyDescent="0.25">
      <c r="A3031" s="218" t="s">
        <v>220</v>
      </c>
      <c r="B3031" s="218" t="s">
        <v>5430</v>
      </c>
      <c r="C3031" s="219" t="s">
        <v>6156</v>
      </c>
      <c r="D3031" s="212" t="s">
        <v>6157</v>
      </c>
      <c r="E3031" s="212" t="s">
        <v>545</v>
      </c>
      <c r="F3031" s="213">
        <v>5</v>
      </c>
      <c r="G3031" s="213">
        <v>42.995699999999999</v>
      </c>
      <c r="H3031" s="195">
        <f t="shared" si="47"/>
        <v>214.9785</v>
      </c>
      <c r="I3031" s="212" t="s">
        <v>2354</v>
      </c>
    </row>
    <row r="3032" spans="1:9" x14ac:dyDescent="0.25">
      <c r="A3032" s="218" t="s">
        <v>220</v>
      </c>
      <c r="B3032" s="218" t="s">
        <v>5430</v>
      </c>
      <c r="C3032" s="219" t="s">
        <v>6158</v>
      </c>
      <c r="D3032" s="212" t="s">
        <v>6159</v>
      </c>
      <c r="E3032" s="212" t="s">
        <v>545</v>
      </c>
      <c r="F3032" s="213">
        <v>1</v>
      </c>
      <c r="G3032" s="213">
        <v>0</v>
      </c>
      <c r="H3032" s="195">
        <f t="shared" si="47"/>
        <v>0</v>
      </c>
      <c r="I3032" s="212" t="s">
        <v>2354</v>
      </c>
    </row>
    <row r="3033" spans="1:9" x14ac:dyDescent="0.25">
      <c r="A3033" s="218" t="s">
        <v>220</v>
      </c>
      <c r="B3033" s="218" t="s">
        <v>5430</v>
      </c>
      <c r="C3033" s="219" t="s">
        <v>6160</v>
      </c>
      <c r="D3033" s="212" t="s">
        <v>6161</v>
      </c>
      <c r="E3033" s="212" t="s">
        <v>545</v>
      </c>
      <c r="F3033" s="213">
        <v>2</v>
      </c>
      <c r="G3033" s="213">
        <v>67.177800000000005</v>
      </c>
      <c r="H3033" s="195">
        <f t="shared" si="47"/>
        <v>134.35560000000001</v>
      </c>
      <c r="I3033" s="212" t="s">
        <v>2354</v>
      </c>
    </row>
    <row r="3034" spans="1:9" x14ac:dyDescent="0.25">
      <c r="A3034" s="218" t="s">
        <v>220</v>
      </c>
      <c r="B3034" s="218" t="s">
        <v>5430</v>
      </c>
      <c r="C3034" s="219" t="s">
        <v>6162</v>
      </c>
      <c r="D3034" s="212" t="s">
        <v>6163</v>
      </c>
      <c r="E3034" s="212" t="s">
        <v>545</v>
      </c>
      <c r="F3034" s="213">
        <v>2</v>
      </c>
      <c r="G3034" s="213">
        <v>113.4</v>
      </c>
      <c r="H3034" s="195">
        <f t="shared" si="47"/>
        <v>226.8</v>
      </c>
      <c r="I3034" s="212" t="s">
        <v>2354</v>
      </c>
    </row>
    <row r="3035" spans="1:9" x14ac:dyDescent="0.25">
      <c r="A3035" s="218" t="s">
        <v>220</v>
      </c>
      <c r="B3035" s="218" t="s">
        <v>5430</v>
      </c>
      <c r="C3035" s="219" t="s">
        <v>6164</v>
      </c>
      <c r="D3035" s="212" t="s">
        <v>6165</v>
      </c>
      <c r="E3035" s="212" t="s">
        <v>545</v>
      </c>
      <c r="F3035" s="213">
        <v>3</v>
      </c>
      <c r="G3035" s="213">
        <v>104.9967</v>
      </c>
      <c r="H3035" s="195">
        <f t="shared" si="47"/>
        <v>314.99009999999998</v>
      </c>
      <c r="I3035" s="212" t="s">
        <v>2354</v>
      </c>
    </row>
    <row r="3036" spans="1:9" x14ac:dyDescent="0.25">
      <c r="A3036" s="218" t="s">
        <v>220</v>
      </c>
      <c r="B3036" s="218" t="s">
        <v>5430</v>
      </c>
      <c r="C3036" s="219" t="s">
        <v>6166</v>
      </c>
      <c r="D3036" s="212" t="s">
        <v>6167</v>
      </c>
      <c r="E3036" s="212" t="s">
        <v>545</v>
      </c>
      <c r="F3036" s="213">
        <v>6</v>
      </c>
      <c r="G3036" s="213">
        <v>177.3</v>
      </c>
      <c r="H3036" s="195">
        <f t="shared" si="47"/>
        <v>1063.8000000000002</v>
      </c>
      <c r="I3036" s="212" t="s">
        <v>2354</v>
      </c>
    </row>
    <row r="3037" spans="1:9" x14ac:dyDescent="0.25">
      <c r="A3037" s="218" t="s">
        <v>220</v>
      </c>
      <c r="B3037" s="218" t="s">
        <v>5430</v>
      </c>
      <c r="C3037" s="219" t="s">
        <v>6168</v>
      </c>
      <c r="D3037" s="212" t="s">
        <v>6169</v>
      </c>
      <c r="E3037" s="212" t="s">
        <v>545</v>
      </c>
      <c r="F3037" s="213">
        <v>9</v>
      </c>
      <c r="G3037" s="213">
        <v>10.9062</v>
      </c>
      <c r="H3037" s="195">
        <f t="shared" si="47"/>
        <v>98.155799999999999</v>
      </c>
      <c r="I3037" s="212" t="s">
        <v>2354</v>
      </c>
    </row>
    <row r="3038" spans="1:9" x14ac:dyDescent="0.25">
      <c r="A3038" s="218" t="s">
        <v>220</v>
      </c>
      <c r="B3038" s="218" t="s">
        <v>5430</v>
      </c>
      <c r="C3038" s="219" t="s">
        <v>6170</v>
      </c>
      <c r="D3038" s="212" t="s">
        <v>6171</v>
      </c>
      <c r="E3038" s="212" t="s">
        <v>545</v>
      </c>
      <c r="F3038" s="213">
        <v>2</v>
      </c>
      <c r="G3038" s="213">
        <v>239.04</v>
      </c>
      <c r="H3038" s="195">
        <f t="shared" si="47"/>
        <v>478.08</v>
      </c>
      <c r="I3038" s="212" t="s">
        <v>2354</v>
      </c>
    </row>
    <row r="3039" spans="1:9" x14ac:dyDescent="0.25">
      <c r="A3039" s="218" t="s">
        <v>220</v>
      </c>
      <c r="B3039" s="218" t="s">
        <v>5430</v>
      </c>
      <c r="C3039" s="219" t="s">
        <v>6172</v>
      </c>
      <c r="D3039" s="212" t="s">
        <v>6173</v>
      </c>
      <c r="E3039" s="212" t="s">
        <v>545</v>
      </c>
      <c r="F3039" s="213">
        <v>2</v>
      </c>
      <c r="G3039" s="213">
        <v>47.34</v>
      </c>
      <c r="H3039" s="195">
        <f t="shared" si="47"/>
        <v>94.68</v>
      </c>
      <c r="I3039" s="212" t="s">
        <v>2354</v>
      </c>
    </row>
    <row r="3040" spans="1:9" x14ac:dyDescent="0.25">
      <c r="A3040" s="218" t="s">
        <v>220</v>
      </c>
      <c r="B3040" s="218" t="s">
        <v>5430</v>
      </c>
      <c r="C3040" s="219" t="s">
        <v>6174</v>
      </c>
      <c r="D3040" s="212" t="s">
        <v>6175</v>
      </c>
      <c r="E3040" s="212" t="s">
        <v>545</v>
      </c>
      <c r="F3040" s="213">
        <v>1</v>
      </c>
      <c r="G3040" s="213">
        <v>131.12100000000001</v>
      </c>
      <c r="H3040" s="195">
        <f t="shared" si="47"/>
        <v>131.12100000000001</v>
      </c>
      <c r="I3040" s="212" t="s">
        <v>2354</v>
      </c>
    </row>
    <row r="3041" spans="1:9" x14ac:dyDescent="0.25">
      <c r="A3041" s="218" t="s">
        <v>220</v>
      </c>
      <c r="B3041" s="218" t="s">
        <v>5430</v>
      </c>
      <c r="C3041" s="219" t="s">
        <v>6176</v>
      </c>
      <c r="D3041" s="212" t="s">
        <v>6177</v>
      </c>
      <c r="E3041" s="212" t="s">
        <v>545</v>
      </c>
      <c r="F3041" s="213">
        <v>6</v>
      </c>
      <c r="G3041" s="213">
        <v>61.875</v>
      </c>
      <c r="H3041" s="195">
        <f t="shared" si="47"/>
        <v>371.25</v>
      </c>
      <c r="I3041" s="212" t="s">
        <v>2354</v>
      </c>
    </row>
    <row r="3042" spans="1:9" x14ac:dyDescent="0.25">
      <c r="A3042" s="218" t="s">
        <v>220</v>
      </c>
      <c r="B3042" s="218" t="s">
        <v>5430</v>
      </c>
      <c r="C3042" s="219" t="s">
        <v>6178</v>
      </c>
      <c r="D3042" s="212" t="s">
        <v>6179</v>
      </c>
      <c r="E3042" s="212" t="s">
        <v>545</v>
      </c>
      <c r="F3042" s="213">
        <v>1</v>
      </c>
      <c r="G3042" s="213">
        <v>52.758000000000003</v>
      </c>
      <c r="H3042" s="195">
        <f t="shared" si="47"/>
        <v>52.758000000000003</v>
      </c>
      <c r="I3042" s="212" t="s">
        <v>2354</v>
      </c>
    </row>
    <row r="3043" spans="1:9" x14ac:dyDescent="0.25">
      <c r="A3043" s="218" t="s">
        <v>220</v>
      </c>
      <c r="B3043" s="218" t="s">
        <v>5430</v>
      </c>
      <c r="C3043" s="219" t="s">
        <v>6180</v>
      </c>
      <c r="D3043" s="212" t="s">
        <v>6181</v>
      </c>
      <c r="E3043" s="212" t="s">
        <v>545</v>
      </c>
      <c r="F3043" s="213">
        <v>1</v>
      </c>
      <c r="G3043" s="213">
        <v>278.32679999999999</v>
      </c>
      <c r="H3043" s="195">
        <f t="shared" si="47"/>
        <v>278.32679999999999</v>
      </c>
      <c r="I3043" s="212" t="s">
        <v>2354</v>
      </c>
    </row>
    <row r="3044" spans="1:9" x14ac:dyDescent="0.25">
      <c r="A3044" s="218" t="s">
        <v>220</v>
      </c>
      <c r="B3044" s="218" t="s">
        <v>5430</v>
      </c>
      <c r="C3044" s="219" t="s">
        <v>6182</v>
      </c>
      <c r="D3044" s="212" t="s">
        <v>6183</v>
      </c>
      <c r="E3044" s="212" t="s">
        <v>545</v>
      </c>
      <c r="F3044" s="213">
        <v>3</v>
      </c>
      <c r="G3044" s="213">
        <v>21.666599999999999</v>
      </c>
      <c r="H3044" s="195">
        <f t="shared" si="47"/>
        <v>64.999799999999993</v>
      </c>
      <c r="I3044" s="212" t="s">
        <v>2354</v>
      </c>
    </row>
    <row r="3045" spans="1:9" x14ac:dyDescent="0.25">
      <c r="A3045" s="218" t="s">
        <v>220</v>
      </c>
      <c r="B3045" s="218" t="s">
        <v>5430</v>
      </c>
      <c r="C3045" s="219" t="s">
        <v>6184</v>
      </c>
      <c r="D3045" s="212" t="s">
        <v>6185</v>
      </c>
      <c r="E3045" s="212" t="s">
        <v>545</v>
      </c>
      <c r="F3045" s="213">
        <v>2</v>
      </c>
      <c r="G3045" s="213">
        <v>0</v>
      </c>
      <c r="H3045" s="195">
        <f t="shared" si="47"/>
        <v>0</v>
      </c>
      <c r="I3045" s="212" t="s">
        <v>2354</v>
      </c>
    </row>
    <row r="3046" spans="1:9" x14ac:dyDescent="0.25">
      <c r="A3046" s="218" t="s">
        <v>220</v>
      </c>
      <c r="B3046" s="218" t="s">
        <v>5430</v>
      </c>
      <c r="C3046" s="219" t="s">
        <v>6186</v>
      </c>
      <c r="D3046" s="212" t="s">
        <v>6187</v>
      </c>
      <c r="E3046" s="212" t="s">
        <v>545</v>
      </c>
      <c r="F3046" s="213">
        <v>2</v>
      </c>
      <c r="G3046" s="213">
        <v>99.830249999999992</v>
      </c>
      <c r="H3046" s="195">
        <f t="shared" si="47"/>
        <v>199.66049999999998</v>
      </c>
      <c r="I3046" s="212" t="s">
        <v>2354</v>
      </c>
    </row>
    <row r="3047" spans="1:9" x14ac:dyDescent="0.25">
      <c r="A3047" s="218" t="s">
        <v>220</v>
      </c>
      <c r="B3047" s="218" t="s">
        <v>5430</v>
      </c>
      <c r="C3047" s="219" t="s">
        <v>6188</v>
      </c>
      <c r="D3047" s="212" t="s">
        <v>6189</v>
      </c>
      <c r="E3047" s="212" t="s">
        <v>545</v>
      </c>
      <c r="F3047" s="213">
        <v>1</v>
      </c>
      <c r="G3047" s="213">
        <v>12.441599999999999</v>
      </c>
      <c r="H3047" s="195">
        <f t="shared" si="47"/>
        <v>12.441599999999999</v>
      </c>
      <c r="I3047" s="212" t="s">
        <v>2354</v>
      </c>
    </row>
    <row r="3048" spans="1:9" x14ac:dyDescent="0.25">
      <c r="A3048" s="218" t="s">
        <v>220</v>
      </c>
      <c r="B3048" s="218" t="s">
        <v>5430</v>
      </c>
      <c r="C3048" s="219" t="s">
        <v>6190</v>
      </c>
      <c r="D3048" s="212" t="s">
        <v>6191</v>
      </c>
      <c r="E3048" s="212" t="s">
        <v>545</v>
      </c>
      <c r="F3048" s="213">
        <v>1</v>
      </c>
      <c r="G3048" s="213">
        <v>72.275999999999996</v>
      </c>
      <c r="H3048" s="195">
        <f t="shared" si="47"/>
        <v>72.275999999999996</v>
      </c>
      <c r="I3048" s="212" t="s">
        <v>2354</v>
      </c>
    </row>
    <row r="3049" spans="1:9" x14ac:dyDescent="0.25">
      <c r="A3049" s="218" t="s">
        <v>220</v>
      </c>
      <c r="B3049" s="218" t="s">
        <v>5430</v>
      </c>
      <c r="C3049" s="219" t="s">
        <v>6192</v>
      </c>
      <c r="D3049" s="212" t="s">
        <v>6193</v>
      </c>
      <c r="E3049" s="212" t="s">
        <v>545</v>
      </c>
      <c r="F3049" s="213">
        <v>2</v>
      </c>
      <c r="G3049" s="213">
        <v>64.346999999999994</v>
      </c>
      <c r="H3049" s="195">
        <f t="shared" si="47"/>
        <v>128.69399999999999</v>
      </c>
      <c r="I3049" s="212" t="s">
        <v>2354</v>
      </c>
    </row>
    <row r="3050" spans="1:9" x14ac:dyDescent="0.25">
      <c r="A3050" s="218" t="s">
        <v>220</v>
      </c>
      <c r="B3050" s="218" t="s">
        <v>5430</v>
      </c>
      <c r="C3050" s="219" t="s">
        <v>6194</v>
      </c>
      <c r="D3050" s="212" t="s">
        <v>6195</v>
      </c>
      <c r="E3050" s="212" t="s">
        <v>545</v>
      </c>
      <c r="F3050" s="213">
        <v>1</v>
      </c>
      <c r="G3050" s="213">
        <v>17.91</v>
      </c>
      <c r="H3050" s="195">
        <f t="shared" si="47"/>
        <v>17.91</v>
      </c>
      <c r="I3050" s="212" t="s">
        <v>2354</v>
      </c>
    </row>
    <row r="3051" spans="1:9" x14ac:dyDescent="0.25">
      <c r="A3051" s="218" t="s">
        <v>220</v>
      </c>
      <c r="B3051" s="218" t="s">
        <v>5430</v>
      </c>
      <c r="C3051" s="219" t="s">
        <v>6196</v>
      </c>
      <c r="D3051" s="212" t="s">
        <v>6197</v>
      </c>
      <c r="E3051" s="212" t="s">
        <v>545</v>
      </c>
      <c r="F3051" s="213">
        <v>4</v>
      </c>
      <c r="G3051" s="213">
        <v>226.58849999999998</v>
      </c>
      <c r="H3051" s="195">
        <f t="shared" si="47"/>
        <v>906.35399999999993</v>
      </c>
      <c r="I3051" s="212" t="s">
        <v>2354</v>
      </c>
    </row>
    <row r="3052" spans="1:9" x14ac:dyDescent="0.25">
      <c r="A3052" s="218" t="s">
        <v>220</v>
      </c>
      <c r="B3052" s="218" t="s">
        <v>5430</v>
      </c>
      <c r="C3052" s="219" t="s">
        <v>6198</v>
      </c>
      <c r="D3052" s="212" t="s">
        <v>6199</v>
      </c>
      <c r="E3052" s="212" t="s">
        <v>545</v>
      </c>
      <c r="F3052" s="213">
        <v>4</v>
      </c>
      <c r="G3052" s="213">
        <v>73.260000000000005</v>
      </c>
      <c r="H3052" s="195">
        <f t="shared" si="47"/>
        <v>293.04000000000002</v>
      </c>
      <c r="I3052" s="212" t="s">
        <v>2354</v>
      </c>
    </row>
    <row r="3053" spans="1:9" x14ac:dyDescent="0.25">
      <c r="A3053" s="218" t="s">
        <v>220</v>
      </c>
      <c r="B3053" s="218" t="s">
        <v>5430</v>
      </c>
      <c r="C3053" s="219" t="s">
        <v>6200</v>
      </c>
      <c r="D3053" s="212" t="s">
        <v>6201</v>
      </c>
      <c r="E3053" s="212" t="s">
        <v>545</v>
      </c>
      <c r="F3053" s="213">
        <v>7</v>
      </c>
      <c r="G3053" s="213">
        <v>22.859999999999996</v>
      </c>
      <c r="H3053" s="195">
        <f t="shared" si="47"/>
        <v>160.01999999999998</v>
      </c>
      <c r="I3053" s="212" t="s">
        <v>2354</v>
      </c>
    </row>
    <row r="3054" spans="1:9" x14ac:dyDescent="0.25">
      <c r="A3054" s="218" t="s">
        <v>220</v>
      </c>
      <c r="B3054" s="218" t="s">
        <v>5430</v>
      </c>
      <c r="C3054" s="219" t="s">
        <v>6202</v>
      </c>
      <c r="D3054" s="212" t="s">
        <v>6203</v>
      </c>
      <c r="E3054" s="212" t="s">
        <v>545</v>
      </c>
      <c r="F3054" s="213">
        <v>2</v>
      </c>
      <c r="G3054" s="213">
        <v>64.346999999999994</v>
      </c>
      <c r="H3054" s="195">
        <f t="shared" si="47"/>
        <v>128.69399999999999</v>
      </c>
      <c r="I3054" s="212" t="s">
        <v>2354</v>
      </c>
    </row>
    <row r="3055" spans="1:9" x14ac:dyDescent="0.25">
      <c r="A3055" s="218" t="s">
        <v>220</v>
      </c>
      <c r="B3055" s="218" t="s">
        <v>5430</v>
      </c>
      <c r="C3055" s="219" t="s">
        <v>6204</v>
      </c>
      <c r="D3055" s="212" t="s">
        <v>6205</v>
      </c>
      <c r="E3055" s="212" t="s">
        <v>545</v>
      </c>
      <c r="F3055" s="213">
        <v>1</v>
      </c>
      <c r="G3055" s="213">
        <v>0</v>
      </c>
      <c r="H3055" s="195">
        <f t="shared" si="47"/>
        <v>0</v>
      </c>
      <c r="I3055" s="212" t="s">
        <v>2354</v>
      </c>
    </row>
    <row r="3056" spans="1:9" x14ac:dyDescent="0.25">
      <c r="A3056" s="218" t="s">
        <v>220</v>
      </c>
      <c r="B3056" s="218" t="s">
        <v>5430</v>
      </c>
      <c r="C3056" s="219" t="s">
        <v>6206</v>
      </c>
      <c r="D3056" s="212" t="s">
        <v>6207</v>
      </c>
      <c r="E3056" s="212" t="s">
        <v>545</v>
      </c>
      <c r="F3056" s="213">
        <v>2</v>
      </c>
      <c r="G3056" s="213">
        <v>0</v>
      </c>
      <c r="H3056" s="195">
        <f t="shared" si="47"/>
        <v>0</v>
      </c>
      <c r="I3056" s="212" t="s">
        <v>2354</v>
      </c>
    </row>
    <row r="3057" spans="1:9" x14ac:dyDescent="0.25">
      <c r="A3057" s="218" t="s">
        <v>220</v>
      </c>
      <c r="B3057" s="218" t="s">
        <v>5430</v>
      </c>
      <c r="C3057" s="219" t="s">
        <v>6208</v>
      </c>
      <c r="D3057" s="212" t="s">
        <v>6209</v>
      </c>
      <c r="E3057" s="212" t="s">
        <v>545</v>
      </c>
      <c r="F3057" s="213">
        <v>2</v>
      </c>
      <c r="G3057" s="213">
        <v>0</v>
      </c>
      <c r="H3057" s="195">
        <f t="shared" si="47"/>
        <v>0</v>
      </c>
      <c r="I3057" s="212" t="s">
        <v>2354</v>
      </c>
    </row>
    <row r="3058" spans="1:9" x14ac:dyDescent="0.25">
      <c r="A3058" s="218" t="s">
        <v>220</v>
      </c>
      <c r="B3058" s="218" t="s">
        <v>5430</v>
      </c>
      <c r="C3058" s="219" t="s">
        <v>6210</v>
      </c>
      <c r="D3058" s="212" t="s">
        <v>6211</v>
      </c>
      <c r="E3058" s="212" t="s">
        <v>545</v>
      </c>
      <c r="F3058" s="213">
        <v>9</v>
      </c>
      <c r="G3058" s="213">
        <v>77.400000000000006</v>
      </c>
      <c r="H3058" s="195">
        <f t="shared" si="47"/>
        <v>696.6</v>
      </c>
      <c r="I3058" s="212" t="s">
        <v>2354</v>
      </c>
    </row>
    <row r="3059" spans="1:9" x14ac:dyDescent="0.25">
      <c r="A3059" s="218" t="s">
        <v>220</v>
      </c>
      <c r="B3059" s="218" t="s">
        <v>5430</v>
      </c>
      <c r="C3059" s="219" t="s">
        <v>6212</v>
      </c>
      <c r="D3059" s="212" t="s">
        <v>6213</v>
      </c>
      <c r="E3059" s="212" t="s">
        <v>545</v>
      </c>
      <c r="F3059" s="213">
        <v>1</v>
      </c>
      <c r="G3059" s="213">
        <v>405.87799999999999</v>
      </c>
      <c r="H3059" s="195">
        <f t="shared" si="47"/>
        <v>405.87799999999999</v>
      </c>
      <c r="I3059" s="212" t="s">
        <v>2354</v>
      </c>
    </row>
    <row r="3060" spans="1:9" x14ac:dyDescent="0.25">
      <c r="A3060" s="218" t="s">
        <v>220</v>
      </c>
      <c r="B3060" s="218" t="s">
        <v>5430</v>
      </c>
      <c r="C3060" s="219" t="s">
        <v>6214</v>
      </c>
      <c r="D3060" s="212" t="s">
        <v>6215</v>
      </c>
      <c r="E3060" s="212" t="s">
        <v>545</v>
      </c>
      <c r="F3060" s="213">
        <v>4</v>
      </c>
      <c r="G3060" s="213">
        <v>621.45309599999996</v>
      </c>
      <c r="H3060" s="195">
        <f t="shared" si="47"/>
        <v>2485.8123839999998</v>
      </c>
      <c r="I3060" s="212" t="s">
        <v>2354</v>
      </c>
    </row>
    <row r="3061" spans="1:9" x14ac:dyDescent="0.25">
      <c r="A3061" s="218" t="s">
        <v>220</v>
      </c>
      <c r="B3061" s="218" t="s">
        <v>5430</v>
      </c>
      <c r="C3061" s="219" t="s">
        <v>6216</v>
      </c>
      <c r="D3061" s="212" t="s">
        <v>6217</v>
      </c>
      <c r="E3061" s="212" t="s">
        <v>545</v>
      </c>
      <c r="F3061" s="213">
        <v>1</v>
      </c>
      <c r="G3061" s="213">
        <v>414</v>
      </c>
      <c r="H3061" s="195">
        <f t="shared" si="47"/>
        <v>414</v>
      </c>
      <c r="I3061" s="212" t="s">
        <v>2354</v>
      </c>
    </row>
    <row r="3062" spans="1:9" x14ac:dyDescent="0.25">
      <c r="A3062" s="218" t="s">
        <v>220</v>
      </c>
      <c r="B3062" s="218" t="s">
        <v>5430</v>
      </c>
      <c r="C3062" s="219" t="s">
        <v>6218</v>
      </c>
      <c r="D3062" s="212" t="s">
        <v>6219</v>
      </c>
      <c r="E3062" s="212" t="s">
        <v>545</v>
      </c>
      <c r="F3062" s="213">
        <v>4</v>
      </c>
      <c r="G3062" s="213">
        <v>190.8</v>
      </c>
      <c r="H3062" s="195">
        <f t="shared" si="47"/>
        <v>763.2</v>
      </c>
      <c r="I3062" s="212" t="s">
        <v>2354</v>
      </c>
    </row>
    <row r="3063" spans="1:9" x14ac:dyDescent="0.25">
      <c r="A3063" s="218" t="s">
        <v>220</v>
      </c>
      <c r="B3063" s="218" t="s">
        <v>5430</v>
      </c>
      <c r="C3063" s="219" t="s">
        <v>6220</v>
      </c>
      <c r="D3063" s="212" t="s">
        <v>6221</v>
      </c>
      <c r="E3063" s="212" t="s">
        <v>545</v>
      </c>
      <c r="F3063" s="213">
        <v>9</v>
      </c>
      <c r="G3063" s="213">
        <v>80.099999999999994</v>
      </c>
      <c r="H3063" s="195">
        <f t="shared" si="47"/>
        <v>720.9</v>
      </c>
      <c r="I3063" s="212" t="s">
        <v>2354</v>
      </c>
    </row>
    <row r="3064" spans="1:9" x14ac:dyDescent="0.25">
      <c r="A3064" s="218" t="s">
        <v>220</v>
      </c>
      <c r="B3064" s="218" t="s">
        <v>5430</v>
      </c>
      <c r="C3064" s="219" t="s">
        <v>6222</v>
      </c>
      <c r="D3064" s="212" t="s">
        <v>6223</v>
      </c>
      <c r="E3064" s="212" t="s">
        <v>545</v>
      </c>
      <c r="F3064" s="213">
        <v>2</v>
      </c>
      <c r="G3064" s="213">
        <v>124.58159999999999</v>
      </c>
      <c r="H3064" s="195">
        <f t="shared" si="47"/>
        <v>249.16319999999999</v>
      </c>
      <c r="I3064" s="212" t="s">
        <v>2354</v>
      </c>
    </row>
    <row r="3065" spans="1:9" x14ac:dyDescent="0.25">
      <c r="A3065" s="218" t="s">
        <v>220</v>
      </c>
      <c r="B3065" s="218" t="s">
        <v>5430</v>
      </c>
      <c r="C3065" s="219" t="s">
        <v>6224</v>
      </c>
      <c r="D3065" s="212" t="s">
        <v>6225</v>
      </c>
      <c r="E3065" s="212" t="s">
        <v>545</v>
      </c>
      <c r="F3065" s="213">
        <v>7</v>
      </c>
      <c r="G3065" s="213">
        <v>51.3</v>
      </c>
      <c r="H3065" s="195">
        <f t="shared" si="47"/>
        <v>359.09999999999997</v>
      </c>
      <c r="I3065" s="212" t="s">
        <v>2354</v>
      </c>
    </row>
    <row r="3066" spans="1:9" x14ac:dyDescent="0.25">
      <c r="A3066" s="218" t="s">
        <v>220</v>
      </c>
      <c r="B3066" s="218" t="s">
        <v>5430</v>
      </c>
      <c r="C3066" s="219" t="s">
        <v>6226</v>
      </c>
      <c r="D3066" s="212" t="s">
        <v>6227</v>
      </c>
      <c r="E3066" s="212" t="s">
        <v>545</v>
      </c>
      <c r="F3066" s="213">
        <v>7</v>
      </c>
      <c r="G3066" s="213">
        <v>183.6</v>
      </c>
      <c r="H3066" s="195">
        <f t="shared" si="47"/>
        <v>1285.2</v>
      </c>
      <c r="I3066" s="212" t="s">
        <v>2354</v>
      </c>
    </row>
    <row r="3067" spans="1:9" x14ac:dyDescent="0.25">
      <c r="A3067" s="218" t="s">
        <v>220</v>
      </c>
      <c r="B3067" s="218" t="s">
        <v>5430</v>
      </c>
      <c r="C3067" s="219" t="s">
        <v>6228</v>
      </c>
      <c r="D3067" s="212" t="s">
        <v>6229</v>
      </c>
      <c r="E3067" s="212" t="s">
        <v>545</v>
      </c>
      <c r="F3067" s="213">
        <v>8</v>
      </c>
      <c r="G3067" s="213">
        <v>42.772500000000001</v>
      </c>
      <c r="H3067" s="195">
        <f t="shared" si="47"/>
        <v>342.18</v>
      </c>
      <c r="I3067" s="212" t="s">
        <v>2354</v>
      </c>
    </row>
    <row r="3068" spans="1:9" x14ac:dyDescent="0.25">
      <c r="A3068" s="218" t="s">
        <v>220</v>
      </c>
      <c r="B3068" s="218" t="s">
        <v>5430</v>
      </c>
      <c r="C3068" s="219" t="s">
        <v>6230</v>
      </c>
      <c r="D3068" s="212" t="s">
        <v>6231</v>
      </c>
      <c r="E3068" s="212" t="s">
        <v>2387</v>
      </c>
      <c r="F3068" s="213">
        <v>4</v>
      </c>
      <c r="G3068" s="213">
        <v>81.088499999999996</v>
      </c>
      <c r="H3068" s="195">
        <f t="shared" si="47"/>
        <v>324.35399999999998</v>
      </c>
      <c r="I3068" s="212" t="s">
        <v>2354</v>
      </c>
    </row>
    <row r="3069" spans="1:9" x14ac:dyDescent="0.25">
      <c r="A3069" s="218" t="s">
        <v>220</v>
      </c>
      <c r="B3069" s="218" t="s">
        <v>5430</v>
      </c>
      <c r="C3069" s="219" t="s">
        <v>3139</v>
      </c>
      <c r="D3069" s="212" t="s">
        <v>3140</v>
      </c>
      <c r="E3069" s="212" t="s">
        <v>545</v>
      </c>
      <c r="F3069" s="213">
        <v>1</v>
      </c>
      <c r="G3069" s="213">
        <v>20.484000000000002</v>
      </c>
      <c r="H3069" s="195">
        <f t="shared" si="47"/>
        <v>20.484000000000002</v>
      </c>
      <c r="I3069" s="212" t="s">
        <v>2354</v>
      </c>
    </row>
    <row r="3070" spans="1:9" x14ac:dyDescent="0.25">
      <c r="A3070" s="218" t="s">
        <v>220</v>
      </c>
      <c r="B3070" s="218" t="s">
        <v>5430</v>
      </c>
      <c r="C3070" s="219" t="s">
        <v>6232</v>
      </c>
      <c r="D3070" s="212" t="s">
        <v>6233</v>
      </c>
      <c r="E3070" s="212" t="s">
        <v>545</v>
      </c>
      <c r="F3070" s="213">
        <v>1</v>
      </c>
      <c r="G3070" s="213">
        <v>515.70000000000005</v>
      </c>
      <c r="H3070" s="195">
        <f t="shared" si="47"/>
        <v>515.70000000000005</v>
      </c>
      <c r="I3070" s="212" t="s">
        <v>2354</v>
      </c>
    </row>
    <row r="3071" spans="1:9" x14ac:dyDescent="0.25">
      <c r="A3071" s="218" t="s">
        <v>220</v>
      </c>
      <c r="B3071" s="218" t="s">
        <v>5430</v>
      </c>
      <c r="C3071" s="219" t="s">
        <v>3145</v>
      </c>
      <c r="D3071" s="212" t="s">
        <v>3146</v>
      </c>
      <c r="E3071" s="212" t="s">
        <v>545</v>
      </c>
      <c r="F3071" s="213">
        <v>33</v>
      </c>
      <c r="G3071" s="213">
        <v>3.3993000000000002</v>
      </c>
      <c r="H3071" s="195">
        <f t="shared" si="47"/>
        <v>112.1769</v>
      </c>
      <c r="I3071" s="212" t="s">
        <v>2354</v>
      </c>
    </row>
    <row r="3072" spans="1:9" x14ac:dyDescent="0.25">
      <c r="A3072" s="218" t="s">
        <v>220</v>
      </c>
      <c r="B3072" s="218" t="s">
        <v>5430</v>
      </c>
      <c r="C3072" s="219" t="s">
        <v>6234</v>
      </c>
      <c r="D3072" s="212" t="s">
        <v>3148</v>
      </c>
      <c r="E3072" s="212" t="s">
        <v>545</v>
      </c>
      <c r="F3072" s="213">
        <v>28</v>
      </c>
      <c r="G3072" s="213">
        <v>2.6747999999999998</v>
      </c>
      <c r="H3072" s="195">
        <f t="shared" si="47"/>
        <v>74.89439999999999</v>
      </c>
      <c r="I3072" s="212" t="s">
        <v>2354</v>
      </c>
    </row>
    <row r="3073" spans="1:9" x14ac:dyDescent="0.25">
      <c r="A3073" s="218" t="s">
        <v>220</v>
      </c>
      <c r="B3073" s="218" t="s">
        <v>5430</v>
      </c>
      <c r="C3073" s="219" t="s">
        <v>3149</v>
      </c>
      <c r="D3073" s="212" t="s">
        <v>3150</v>
      </c>
      <c r="E3073" s="212" t="s">
        <v>545</v>
      </c>
      <c r="F3073" s="213">
        <v>48</v>
      </c>
      <c r="G3073" s="213">
        <v>1.1348999999999998</v>
      </c>
      <c r="H3073" s="195">
        <f t="shared" si="47"/>
        <v>54.475199999999987</v>
      </c>
      <c r="I3073" s="212" t="s">
        <v>2354</v>
      </c>
    </row>
    <row r="3074" spans="1:9" x14ac:dyDescent="0.25">
      <c r="A3074" s="218" t="s">
        <v>220</v>
      </c>
      <c r="B3074" s="218" t="s">
        <v>5430</v>
      </c>
      <c r="C3074" s="219" t="s">
        <v>3153</v>
      </c>
      <c r="D3074" s="212" t="s">
        <v>3154</v>
      </c>
      <c r="E3074" s="212" t="s">
        <v>545</v>
      </c>
      <c r="F3074" s="213">
        <v>22</v>
      </c>
      <c r="G3074" s="213">
        <v>3.5459999999999998</v>
      </c>
      <c r="H3074" s="195">
        <f t="shared" si="47"/>
        <v>78.012</v>
      </c>
      <c r="I3074" s="212" t="s">
        <v>2354</v>
      </c>
    </row>
    <row r="3075" spans="1:9" x14ac:dyDescent="0.25">
      <c r="A3075" s="218" t="s">
        <v>220</v>
      </c>
      <c r="B3075" s="218" t="s">
        <v>5430</v>
      </c>
      <c r="C3075" s="219" t="s">
        <v>6235</v>
      </c>
      <c r="D3075" s="212" t="s">
        <v>6236</v>
      </c>
      <c r="E3075" s="212" t="s">
        <v>545</v>
      </c>
      <c r="F3075" s="213">
        <v>1</v>
      </c>
      <c r="G3075" s="213">
        <v>8.5248000000000008</v>
      </c>
      <c r="H3075" s="195">
        <f t="shared" si="47"/>
        <v>8.5248000000000008</v>
      </c>
      <c r="I3075" s="212" t="s">
        <v>2354</v>
      </c>
    </row>
    <row r="3076" spans="1:9" x14ac:dyDescent="0.25">
      <c r="A3076" s="218" t="s">
        <v>220</v>
      </c>
      <c r="B3076" s="218" t="s">
        <v>5430</v>
      </c>
      <c r="C3076" s="219" t="s">
        <v>6237</v>
      </c>
      <c r="D3076" s="212" t="s">
        <v>6238</v>
      </c>
      <c r="E3076" s="212" t="s">
        <v>545</v>
      </c>
      <c r="F3076" s="213">
        <v>25</v>
      </c>
      <c r="G3076" s="213">
        <v>9.4841999999999995</v>
      </c>
      <c r="H3076" s="195">
        <f t="shared" si="47"/>
        <v>237.10499999999999</v>
      </c>
      <c r="I3076" s="212" t="s">
        <v>2354</v>
      </c>
    </row>
    <row r="3077" spans="1:9" x14ac:dyDescent="0.25">
      <c r="A3077" s="218" t="s">
        <v>220</v>
      </c>
      <c r="B3077" s="218" t="s">
        <v>5430</v>
      </c>
      <c r="C3077" s="219" t="s">
        <v>6239</v>
      </c>
      <c r="D3077" s="212" t="s">
        <v>6240</v>
      </c>
      <c r="E3077" s="212" t="s">
        <v>545</v>
      </c>
      <c r="F3077" s="213">
        <v>6</v>
      </c>
      <c r="G3077" s="213">
        <v>13.973400000000002</v>
      </c>
      <c r="H3077" s="195">
        <f t="shared" ref="H3077:H3140" si="48">+F3077*G3077</f>
        <v>83.840400000000017</v>
      </c>
      <c r="I3077" s="212" t="s">
        <v>2354</v>
      </c>
    </row>
    <row r="3078" spans="1:9" x14ac:dyDescent="0.25">
      <c r="A3078" s="218" t="s">
        <v>220</v>
      </c>
      <c r="B3078" s="218" t="s">
        <v>5430</v>
      </c>
      <c r="C3078" s="219" t="s">
        <v>6241</v>
      </c>
      <c r="D3078" s="212" t="s">
        <v>6242</v>
      </c>
      <c r="E3078" s="212" t="s">
        <v>545</v>
      </c>
      <c r="F3078" s="213">
        <v>15</v>
      </c>
      <c r="G3078" s="213">
        <v>5.1722380952380949</v>
      </c>
      <c r="H3078" s="195">
        <f t="shared" si="48"/>
        <v>77.583571428571418</v>
      </c>
      <c r="I3078" s="212" t="s">
        <v>2354</v>
      </c>
    </row>
    <row r="3079" spans="1:9" x14ac:dyDescent="0.25">
      <c r="A3079" s="218" t="s">
        <v>220</v>
      </c>
      <c r="B3079" s="218" t="s">
        <v>5430</v>
      </c>
      <c r="C3079" s="219" t="s">
        <v>6243</v>
      </c>
      <c r="D3079" s="212" t="s">
        <v>6244</v>
      </c>
      <c r="E3079" s="212" t="s">
        <v>545</v>
      </c>
      <c r="F3079" s="213">
        <v>3</v>
      </c>
      <c r="G3079" s="213">
        <v>1.89</v>
      </c>
      <c r="H3079" s="195">
        <f t="shared" si="48"/>
        <v>5.67</v>
      </c>
      <c r="I3079" s="212" t="s">
        <v>2354</v>
      </c>
    </row>
    <row r="3080" spans="1:9" x14ac:dyDescent="0.25">
      <c r="A3080" s="218" t="s">
        <v>220</v>
      </c>
      <c r="B3080" s="218" t="s">
        <v>5430</v>
      </c>
      <c r="C3080" s="219" t="s">
        <v>6245</v>
      </c>
      <c r="D3080" s="212" t="s">
        <v>6246</v>
      </c>
      <c r="E3080" s="212" t="s">
        <v>2387</v>
      </c>
      <c r="F3080" s="213">
        <v>7</v>
      </c>
      <c r="G3080" s="213">
        <v>28.015999999999998</v>
      </c>
      <c r="H3080" s="195">
        <f t="shared" si="48"/>
        <v>196.11199999999999</v>
      </c>
      <c r="I3080" s="212" t="s">
        <v>2354</v>
      </c>
    </row>
    <row r="3081" spans="1:9" x14ac:dyDescent="0.25">
      <c r="A3081" s="218" t="s">
        <v>220</v>
      </c>
      <c r="B3081" s="218" t="s">
        <v>5430</v>
      </c>
      <c r="C3081" s="219" t="s">
        <v>6247</v>
      </c>
      <c r="D3081" s="212" t="s">
        <v>6248</v>
      </c>
      <c r="E3081" s="212" t="s">
        <v>545</v>
      </c>
      <c r="F3081" s="213">
        <v>25</v>
      </c>
      <c r="G3081" s="213">
        <v>7.8668181818181813</v>
      </c>
      <c r="H3081" s="195">
        <f t="shared" si="48"/>
        <v>196.67045454545453</v>
      </c>
      <c r="I3081" s="212" t="s">
        <v>2354</v>
      </c>
    </row>
    <row r="3082" spans="1:9" x14ac:dyDescent="0.25">
      <c r="A3082" s="218" t="s">
        <v>220</v>
      </c>
      <c r="B3082" s="218" t="s">
        <v>5430</v>
      </c>
      <c r="C3082" s="219" t="s">
        <v>6249</v>
      </c>
      <c r="D3082" s="212" t="s">
        <v>6250</v>
      </c>
      <c r="E3082" s="212" t="s">
        <v>545</v>
      </c>
      <c r="F3082" s="213">
        <v>22</v>
      </c>
      <c r="G3082" s="213">
        <v>2.8565999999999998</v>
      </c>
      <c r="H3082" s="195">
        <f t="shared" si="48"/>
        <v>62.845199999999998</v>
      </c>
      <c r="I3082" s="212" t="s">
        <v>2354</v>
      </c>
    </row>
    <row r="3083" spans="1:9" x14ac:dyDescent="0.25">
      <c r="A3083" s="218" t="s">
        <v>220</v>
      </c>
      <c r="B3083" s="218" t="s">
        <v>5430</v>
      </c>
      <c r="C3083" s="219" t="s">
        <v>3165</v>
      </c>
      <c r="D3083" s="212" t="s">
        <v>3166</v>
      </c>
      <c r="E3083" s="212" t="s">
        <v>1894</v>
      </c>
      <c r="F3083" s="210">
        <v>33</v>
      </c>
      <c r="G3083" s="213">
        <v>0.67500000000000004</v>
      </c>
      <c r="H3083" s="195">
        <f t="shared" si="48"/>
        <v>22.275000000000002</v>
      </c>
      <c r="I3083" s="212" t="s">
        <v>2354</v>
      </c>
    </row>
    <row r="3084" spans="1:9" x14ac:dyDescent="0.25">
      <c r="A3084" s="218" t="s">
        <v>220</v>
      </c>
      <c r="B3084" s="218" t="s">
        <v>5430</v>
      </c>
      <c r="C3084" s="219" t="s">
        <v>6251</v>
      </c>
      <c r="D3084" s="212" t="s">
        <v>6252</v>
      </c>
      <c r="E3084" s="212" t="s">
        <v>545</v>
      </c>
      <c r="F3084" s="213">
        <v>101</v>
      </c>
      <c r="G3084" s="213">
        <v>27.597635400000001</v>
      </c>
      <c r="H3084" s="195">
        <f t="shared" si="48"/>
        <v>2787.3611754000003</v>
      </c>
      <c r="I3084" s="212" t="s">
        <v>2354</v>
      </c>
    </row>
    <row r="3085" spans="1:9" x14ac:dyDescent="0.25">
      <c r="A3085" s="218" t="s">
        <v>220</v>
      </c>
      <c r="B3085" s="218" t="s">
        <v>5430</v>
      </c>
      <c r="C3085" s="219" t="s">
        <v>6253</v>
      </c>
      <c r="D3085" s="212" t="s">
        <v>6254</v>
      </c>
      <c r="E3085" s="212" t="s">
        <v>545</v>
      </c>
      <c r="F3085" s="220">
        <v>1</v>
      </c>
      <c r="G3085" s="213">
        <v>35.167949999999998</v>
      </c>
      <c r="H3085" s="195">
        <f t="shared" si="48"/>
        <v>35.167949999999998</v>
      </c>
      <c r="I3085" s="212" t="s">
        <v>2354</v>
      </c>
    </row>
    <row r="3086" spans="1:9" x14ac:dyDescent="0.25">
      <c r="A3086" s="218" t="s">
        <v>220</v>
      </c>
      <c r="B3086" s="218" t="s">
        <v>5430</v>
      </c>
      <c r="C3086" s="219" t="s">
        <v>3167</v>
      </c>
      <c r="D3086" s="212" t="s">
        <v>3168</v>
      </c>
      <c r="E3086" s="212" t="s">
        <v>545</v>
      </c>
      <c r="F3086" s="213">
        <v>1</v>
      </c>
      <c r="G3086" s="213">
        <v>35.167949999999998</v>
      </c>
      <c r="H3086" s="195">
        <f t="shared" si="48"/>
        <v>35.167949999999998</v>
      </c>
      <c r="I3086" s="212" t="s">
        <v>2354</v>
      </c>
    </row>
    <row r="3087" spans="1:9" x14ac:dyDescent="0.25">
      <c r="A3087" s="218" t="s">
        <v>220</v>
      </c>
      <c r="B3087" s="218" t="s">
        <v>5430</v>
      </c>
      <c r="C3087" s="219" t="s">
        <v>6255</v>
      </c>
      <c r="D3087" s="212" t="s">
        <v>6256</v>
      </c>
      <c r="E3087" s="212" t="s">
        <v>545</v>
      </c>
      <c r="F3087" s="213">
        <v>1</v>
      </c>
      <c r="G3087" s="213">
        <v>35.167949999999998</v>
      </c>
      <c r="H3087" s="195">
        <f t="shared" si="48"/>
        <v>35.167949999999998</v>
      </c>
      <c r="I3087" s="212" t="s">
        <v>2354</v>
      </c>
    </row>
    <row r="3088" spans="1:9" x14ac:dyDescent="0.25">
      <c r="A3088" s="218" t="s">
        <v>220</v>
      </c>
      <c r="B3088" s="218" t="s">
        <v>5430</v>
      </c>
      <c r="C3088" s="219" t="s">
        <v>6257</v>
      </c>
      <c r="D3088" s="212" t="s">
        <v>6258</v>
      </c>
      <c r="E3088" s="212" t="s">
        <v>2387</v>
      </c>
      <c r="F3088" s="213">
        <v>2</v>
      </c>
      <c r="G3088" s="213">
        <v>48.454000000000001</v>
      </c>
      <c r="H3088" s="195">
        <f t="shared" si="48"/>
        <v>96.908000000000001</v>
      </c>
      <c r="I3088" s="212" t="s">
        <v>2354</v>
      </c>
    </row>
    <row r="3089" spans="1:9" x14ac:dyDescent="0.25">
      <c r="A3089" s="218" t="s">
        <v>220</v>
      </c>
      <c r="B3089" s="218" t="s">
        <v>5430</v>
      </c>
      <c r="C3089" s="219" t="s">
        <v>6259</v>
      </c>
      <c r="D3089" s="212" t="s">
        <v>6260</v>
      </c>
      <c r="E3089" s="212" t="s">
        <v>2387</v>
      </c>
      <c r="F3089" s="213">
        <v>2</v>
      </c>
      <c r="G3089" s="213">
        <v>48.454000000000001</v>
      </c>
      <c r="H3089" s="195">
        <f t="shared" si="48"/>
        <v>96.908000000000001</v>
      </c>
      <c r="I3089" s="212" t="s">
        <v>2354</v>
      </c>
    </row>
    <row r="3090" spans="1:9" x14ac:dyDescent="0.25">
      <c r="A3090" s="218" t="s">
        <v>220</v>
      </c>
      <c r="B3090" s="218" t="s">
        <v>5430</v>
      </c>
      <c r="C3090" s="219" t="s">
        <v>6261</v>
      </c>
      <c r="D3090" s="212" t="s">
        <v>6262</v>
      </c>
      <c r="E3090" s="212" t="s">
        <v>2387</v>
      </c>
      <c r="F3090" s="213">
        <v>2</v>
      </c>
      <c r="G3090" s="213">
        <v>58.637</v>
      </c>
      <c r="H3090" s="195">
        <f t="shared" si="48"/>
        <v>117.274</v>
      </c>
      <c r="I3090" s="212" t="s">
        <v>2354</v>
      </c>
    </row>
    <row r="3091" spans="1:9" x14ac:dyDescent="0.25">
      <c r="A3091" s="218" t="s">
        <v>220</v>
      </c>
      <c r="B3091" s="218" t="s">
        <v>5430</v>
      </c>
      <c r="C3091" s="219" t="s">
        <v>6263</v>
      </c>
      <c r="D3091" s="212" t="s">
        <v>6264</v>
      </c>
      <c r="E3091" s="212" t="s">
        <v>545</v>
      </c>
      <c r="F3091" s="213">
        <v>3</v>
      </c>
      <c r="G3091" s="213">
        <v>113.3991</v>
      </c>
      <c r="H3091" s="195">
        <f t="shared" si="48"/>
        <v>340.19730000000004</v>
      </c>
      <c r="I3091" s="212" t="s">
        <v>2354</v>
      </c>
    </row>
    <row r="3092" spans="1:9" x14ac:dyDescent="0.25">
      <c r="A3092" s="218" t="s">
        <v>220</v>
      </c>
      <c r="B3092" s="218" t="s">
        <v>5430</v>
      </c>
      <c r="C3092" s="219" t="s">
        <v>3203</v>
      </c>
      <c r="D3092" s="212" t="s">
        <v>3204</v>
      </c>
      <c r="E3092" s="212" t="s">
        <v>545</v>
      </c>
      <c r="F3092" s="213">
        <v>36</v>
      </c>
      <c r="G3092" s="213">
        <v>0.58096363636363624</v>
      </c>
      <c r="H3092" s="195">
        <f t="shared" si="48"/>
        <v>20.914690909090904</v>
      </c>
      <c r="I3092" s="212" t="s">
        <v>2354</v>
      </c>
    </row>
    <row r="3093" spans="1:9" x14ac:dyDescent="0.25">
      <c r="A3093" s="218" t="s">
        <v>220</v>
      </c>
      <c r="B3093" s="218" t="s">
        <v>5430</v>
      </c>
      <c r="C3093" s="219" t="s">
        <v>5372</v>
      </c>
      <c r="D3093" s="212" t="s">
        <v>5373</v>
      </c>
      <c r="E3093" s="212" t="s">
        <v>545</v>
      </c>
      <c r="F3093" s="213">
        <v>74</v>
      </c>
      <c r="G3093" s="213">
        <v>0.69479999999999997</v>
      </c>
      <c r="H3093" s="195">
        <f t="shared" si="48"/>
        <v>51.415199999999999</v>
      </c>
      <c r="I3093" s="212" t="s">
        <v>2354</v>
      </c>
    </row>
    <row r="3094" spans="1:9" x14ac:dyDescent="0.25">
      <c r="A3094" s="218" t="s">
        <v>220</v>
      </c>
      <c r="B3094" s="218" t="s">
        <v>5430</v>
      </c>
      <c r="C3094" s="219" t="s">
        <v>6265</v>
      </c>
      <c r="D3094" s="212" t="s">
        <v>6266</v>
      </c>
      <c r="E3094" s="212" t="s">
        <v>545</v>
      </c>
      <c r="F3094" s="213">
        <v>34</v>
      </c>
      <c r="G3094" s="213">
        <v>0.77400000000000002</v>
      </c>
      <c r="H3094" s="195">
        <f t="shared" si="48"/>
        <v>26.316000000000003</v>
      </c>
      <c r="I3094" s="212" t="s">
        <v>2354</v>
      </c>
    </row>
    <row r="3095" spans="1:9" x14ac:dyDescent="0.25">
      <c r="A3095" s="218" t="s">
        <v>220</v>
      </c>
      <c r="B3095" s="218" t="s">
        <v>5430</v>
      </c>
      <c r="C3095" s="219" t="s">
        <v>6267</v>
      </c>
      <c r="D3095" s="212" t="s">
        <v>3206</v>
      </c>
      <c r="E3095" s="212" t="s">
        <v>545</v>
      </c>
      <c r="F3095" s="213">
        <v>43</v>
      </c>
      <c r="G3095" s="213">
        <v>1.08</v>
      </c>
      <c r="H3095" s="195">
        <f t="shared" si="48"/>
        <v>46.440000000000005</v>
      </c>
      <c r="I3095" s="212" t="s">
        <v>2354</v>
      </c>
    </row>
    <row r="3096" spans="1:9" x14ac:dyDescent="0.25">
      <c r="A3096" s="218" t="s">
        <v>220</v>
      </c>
      <c r="B3096" s="218" t="s">
        <v>5430</v>
      </c>
      <c r="C3096" s="219" t="s">
        <v>3207</v>
      </c>
      <c r="D3096" s="212" t="s">
        <v>3208</v>
      </c>
      <c r="E3096" s="212" t="s">
        <v>545</v>
      </c>
      <c r="F3096" s="213">
        <v>48</v>
      </c>
      <c r="G3096" s="213">
        <v>1.9525128964059197</v>
      </c>
      <c r="H3096" s="195">
        <f t="shared" si="48"/>
        <v>93.720619027484148</v>
      </c>
      <c r="I3096" s="212" t="s">
        <v>2354</v>
      </c>
    </row>
    <row r="3097" spans="1:9" x14ac:dyDescent="0.25">
      <c r="A3097" s="218" t="s">
        <v>220</v>
      </c>
      <c r="B3097" s="218" t="s">
        <v>5430</v>
      </c>
      <c r="C3097" s="219" t="s">
        <v>6268</v>
      </c>
      <c r="D3097" s="212" t="s">
        <v>6269</v>
      </c>
      <c r="E3097" s="212" t="s">
        <v>545</v>
      </c>
      <c r="F3097" s="213">
        <v>22</v>
      </c>
      <c r="G3097" s="213">
        <v>9.2929999999999993</v>
      </c>
      <c r="H3097" s="195">
        <f t="shared" si="48"/>
        <v>204.44599999999997</v>
      </c>
      <c r="I3097" s="212" t="s">
        <v>2354</v>
      </c>
    </row>
    <row r="3098" spans="1:9" x14ac:dyDescent="0.25">
      <c r="A3098" s="218" t="s">
        <v>220</v>
      </c>
      <c r="B3098" s="218" t="s">
        <v>5430</v>
      </c>
      <c r="C3098" s="219" t="s">
        <v>6270</v>
      </c>
      <c r="D3098" s="212" t="s">
        <v>6271</v>
      </c>
      <c r="E3098" s="212" t="s">
        <v>1894</v>
      </c>
      <c r="F3098" s="213">
        <v>20</v>
      </c>
      <c r="G3098" s="213">
        <v>8.5922999999999998</v>
      </c>
      <c r="H3098" s="195">
        <f t="shared" si="48"/>
        <v>171.846</v>
      </c>
      <c r="I3098" s="212" t="s">
        <v>2354</v>
      </c>
    </row>
    <row r="3099" spans="1:9" x14ac:dyDescent="0.25">
      <c r="A3099" s="218" t="s">
        <v>220</v>
      </c>
      <c r="B3099" s="218" t="s">
        <v>5430</v>
      </c>
      <c r="C3099" s="219" t="s">
        <v>6272</v>
      </c>
      <c r="D3099" s="212" t="s">
        <v>6273</v>
      </c>
      <c r="E3099" s="212" t="s">
        <v>545</v>
      </c>
      <c r="F3099" s="213">
        <v>20</v>
      </c>
      <c r="G3099" s="213">
        <v>0.48166715686274514</v>
      </c>
      <c r="H3099" s="195">
        <f t="shared" si="48"/>
        <v>9.6333431372549025</v>
      </c>
      <c r="I3099" s="212" t="s">
        <v>2354</v>
      </c>
    </row>
    <row r="3100" spans="1:9" x14ac:dyDescent="0.25">
      <c r="A3100" s="218" t="s">
        <v>220</v>
      </c>
      <c r="B3100" s="218" t="s">
        <v>5430</v>
      </c>
      <c r="C3100" s="219" t="s">
        <v>3211</v>
      </c>
      <c r="D3100" s="212" t="s">
        <v>3212</v>
      </c>
      <c r="E3100" s="212" t="s">
        <v>545</v>
      </c>
      <c r="F3100" s="213">
        <v>26</v>
      </c>
      <c r="G3100" s="213">
        <v>0.41129999999999994</v>
      </c>
      <c r="H3100" s="195">
        <f t="shared" si="48"/>
        <v>10.693799999999998</v>
      </c>
      <c r="I3100" s="212" t="s">
        <v>2354</v>
      </c>
    </row>
    <row r="3101" spans="1:9" x14ac:dyDescent="0.25">
      <c r="A3101" s="218" t="s">
        <v>220</v>
      </c>
      <c r="B3101" s="218" t="s">
        <v>5430</v>
      </c>
      <c r="C3101" s="219" t="s">
        <v>3219</v>
      </c>
      <c r="D3101" s="212" t="s">
        <v>3220</v>
      </c>
      <c r="E3101" s="212" t="s">
        <v>545</v>
      </c>
      <c r="F3101" s="213">
        <v>24</v>
      </c>
      <c r="G3101" s="213">
        <v>0.89190000000000003</v>
      </c>
      <c r="H3101" s="195">
        <f t="shared" si="48"/>
        <v>21.4056</v>
      </c>
      <c r="I3101" s="212" t="s">
        <v>2354</v>
      </c>
    </row>
    <row r="3102" spans="1:9" x14ac:dyDescent="0.25">
      <c r="A3102" s="218" t="s">
        <v>220</v>
      </c>
      <c r="B3102" s="218" t="s">
        <v>5430</v>
      </c>
      <c r="C3102" s="219" t="s">
        <v>3221</v>
      </c>
      <c r="D3102" s="212" t="s">
        <v>3222</v>
      </c>
      <c r="E3102" s="212" t="s">
        <v>545</v>
      </c>
      <c r="F3102" s="213">
        <v>3</v>
      </c>
      <c r="G3102" s="213">
        <v>0</v>
      </c>
      <c r="H3102" s="195">
        <f t="shared" si="48"/>
        <v>0</v>
      </c>
      <c r="I3102" s="212" t="s">
        <v>2354</v>
      </c>
    </row>
    <row r="3103" spans="1:9" x14ac:dyDescent="0.25">
      <c r="A3103" s="218" t="s">
        <v>220</v>
      </c>
      <c r="B3103" s="218" t="s">
        <v>5430</v>
      </c>
      <c r="C3103" s="219" t="s">
        <v>3225</v>
      </c>
      <c r="D3103" s="212" t="s">
        <v>3226</v>
      </c>
      <c r="E3103" s="212" t="s">
        <v>545</v>
      </c>
      <c r="F3103" s="213">
        <v>21</v>
      </c>
      <c r="G3103" s="213">
        <v>1.3130999999999999</v>
      </c>
      <c r="H3103" s="195">
        <f t="shared" si="48"/>
        <v>27.575099999999999</v>
      </c>
      <c r="I3103" s="212" t="s">
        <v>2354</v>
      </c>
    </row>
    <row r="3104" spans="1:9" x14ac:dyDescent="0.25">
      <c r="A3104" s="218" t="s">
        <v>220</v>
      </c>
      <c r="B3104" s="218" t="s">
        <v>5430</v>
      </c>
      <c r="C3104" s="219" t="s">
        <v>6274</v>
      </c>
      <c r="D3104" s="212" t="s">
        <v>6275</v>
      </c>
      <c r="E3104" s="212" t="s">
        <v>535</v>
      </c>
      <c r="F3104" s="213">
        <v>1</v>
      </c>
      <c r="G3104" s="213">
        <v>69.417000000000002</v>
      </c>
      <c r="H3104" s="195">
        <f t="shared" si="48"/>
        <v>69.417000000000002</v>
      </c>
      <c r="I3104" s="212" t="s">
        <v>2354</v>
      </c>
    </row>
    <row r="3105" spans="1:9" x14ac:dyDescent="0.25">
      <c r="A3105" s="218" t="s">
        <v>220</v>
      </c>
      <c r="B3105" s="218" t="s">
        <v>5430</v>
      </c>
      <c r="C3105" s="219" t="s">
        <v>3229</v>
      </c>
      <c r="D3105" s="212" t="s">
        <v>3230</v>
      </c>
      <c r="E3105" s="212" t="s">
        <v>545</v>
      </c>
      <c r="F3105" s="213">
        <v>6</v>
      </c>
      <c r="G3105" s="213">
        <v>0.88700000000000001</v>
      </c>
      <c r="H3105" s="195">
        <f t="shared" si="48"/>
        <v>5.3220000000000001</v>
      </c>
      <c r="I3105" s="212" t="s">
        <v>2354</v>
      </c>
    </row>
    <row r="3106" spans="1:9" x14ac:dyDescent="0.25">
      <c r="A3106" s="218" t="s">
        <v>220</v>
      </c>
      <c r="B3106" s="218" t="s">
        <v>5430</v>
      </c>
      <c r="C3106" s="219" t="s">
        <v>6276</v>
      </c>
      <c r="D3106" s="212" t="s">
        <v>6277</v>
      </c>
      <c r="E3106" s="212" t="s">
        <v>545</v>
      </c>
      <c r="F3106" s="213">
        <v>3</v>
      </c>
      <c r="G3106" s="213">
        <v>2.25</v>
      </c>
      <c r="H3106" s="195">
        <f t="shared" si="48"/>
        <v>6.75</v>
      </c>
      <c r="I3106" s="212" t="s">
        <v>2354</v>
      </c>
    </row>
    <row r="3107" spans="1:9" x14ac:dyDescent="0.25">
      <c r="A3107" s="218" t="s">
        <v>220</v>
      </c>
      <c r="B3107" s="218" t="s">
        <v>5430</v>
      </c>
      <c r="C3107" s="219" t="s">
        <v>6278</v>
      </c>
      <c r="D3107" s="212" t="s">
        <v>6279</v>
      </c>
      <c r="E3107" s="212" t="s">
        <v>545</v>
      </c>
      <c r="F3107" s="213">
        <v>10</v>
      </c>
      <c r="G3107" s="213">
        <v>1.21</v>
      </c>
      <c r="H3107" s="195">
        <f t="shared" si="48"/>
        <v>12.1</v>
      </c>
      <c r="I3107" s="212" t="s">
        <v>2354</v>
      </c>
    </row>
    <row r="3108" spans="1:9" x14ac:dyDescent="0.25">
      <c r="A3108" s="218" t="s">
        <v>220</v>
      </c>
      <c r="B3108" s="218" t="s">
        <v>5430</v>
      </c>
      <c r="C3108" s="219" t="s">
        <v>6280</v>
      </c>
      <c r="D3108" s="212" t="s">
        <v>6281</v>
      </c>
      <c r="E3108" s="212" t="s">
        <v>545</v>
      </c>
      <c r="F3108" s="213">
        <v>1</v>
      </c>
      <c r="G3108" s="213">
        <v>3.8149999999999999</v>
      </c>
      <c r="H3108" s="195">
        <f t="shared" si="48"/>
        <v>3.8149999999999999</v>
      </c>
      <c r="I3108" s="212" t="s">
        <v>2354</v>
      </c>
    </row>
    <row r="3109" spans="1:9" x14ac:dyDescent="0.25">
      <c r="A3109" s="218" t="s">
        <v>220</v>
      </c>
      <c r="B3109" s="218" t="s">
        <v>5430</v>
      </c>
      <c r="C3109" s="219" t="s">
        <v>3249</v>
      </c>
      <c r="D3109" s="212" t="s">
        <v>3250</v>
      </c>
      <c r="E3109" s="212" t="s">
        <v>545</v>
      </c>
      <c r="F3109" s="213">
        <v>7</v>
      </c>
      <c r="G3109" s="213">
        <v>5.4981</v>
      </c>
      <c r="H3109" s="195">
        <f t="shared" si="48"/>
        <v>38.486699999999999</v>
      </c>
      <c r="I3109" s="212" t="s">
        <v>2354</v>
      </c>
    </row>
    <row r="3110" spans="1:9" x14ac:dyDescent="0.25">
      <c r="A3110" s="218" t="s">
        <v>220</v>
      </c>
      <c r="B3110" s="218" t="s">
        <v>5430</v>
      </c>
      <c r="C3110" s="219" t="s">
        <v>6282</v>
      </c>
      <c r="D3110" s="212" t="s">
        <v>6283</v>
      </c>
      <c r="E3110" s="212" t="s">
        <v>545</v>
      </c>
      <c r="F3110" s="213">
        <v>6</v>
      </c>
      <c r="G3110" s="213">
        <v>0.84</v>
      </c>
      <c r="H3110" s="195">
        <f t="shared" si="48"/>
        <v>5.04</v>
      </c>
      <c r="I3110" s="212" t="s">
        <v>2354</v>
      </c>
    </row>
    <row r="3111" spans="1:9" x14ac:dyDescent="0.25">
      <c r="A3111" s="218" t="s">
        <v>220</v>
      </c>
      <c r="B3111" s="218" t="s">
        <v>5430</v>
      </c>
      <c r="C3111" s="219" t="s">
        <v>3251</v>
      </c>
      <c r="D3111" s="212" t="s">
        <v>3252</v>
      </c>
      <c r="E3111" s="212" t="s">
        <v>545</v>
      </c>
      <c r="F3111" s="213">
        <v>5</v>
      </c>
      <c r="G3111" s="213">
        <v>3.3184</v>
      </c>
      <c r="H3111" s="195">
        <f t="shared" si="48"/>
        <v>16.591999999999999</v>
      </c>
      <c r="I3111" s="212" t="s">
        <v>2354</v>
      </c>
    </row>
    <row r="3112" spans="1:9" x14ac:dyDescent="0.25">
      <c r="A3112" s="218" t="s">
        <v>220</v>
      </c>
      <c r="B3112" s="218" t="s">
        <v>5430</v>
      </c>
      <c r="C3112" s="219" t="s">
        <v>6284</v>
      </c>
      <c r="D3112" s="212" t="s">
        <v>6285</v>
      </c>
      <c r="E3112" s="212" t="s">
        <v>545</v>
      </c>
      <c r="F3112" s="213">
        <v>6</v>
      </c>
      <c r="G3112" s="213">
        <v>0.51</v>
      </c>
      <c r="H3112" s="195">
        <f t="shared" si="48"/>
        <v>3.06</v>
      </c>
      <c r="I3112" s="212" t="s">
        <v>2354</v>
      </c>
    </row>
    <row r="3113" spans="1:9" x14ac:dyDescent="0.25">
      <c r="A3113" s="218" t="s">
        <v>220</v>
      </c>
      <c r="B3113" s="218" t="s">
        <v>5430</v>
      </c>
      <c r="C3113" s="219" t="s">
        <v>6286</v>
      </c>
      <c r="D3113" s="212" t="s">
        <v>6287</v>
      </c>
      <c r="E3113" s="212" t="s">
        <v>545</v>
      </c>
      <c r="F3113" s="213">
        <v>3</v>
      </c>
      <c r="G3113" s="213">
        <v>7.3860000000000001</v>
      </c>
      <c r="H3113" s="195">
        <f t="shared" si="48"/>
        <v>22.158000000000001</v>
      </c>
      <c r="I3113" s="212" t="s">
        <v>2354</v>
      </c>
    </row>
    <row r="3114" spans="1:9" x14ac:dyDescent="0.25">
      <c r="A3114" s="218" t="s">
        <v>220</v>
      </c>
      <c r="B3114" s="218" t="s">
        <v>5430</v>
      </c>
      <c r="C3114" s="219" t="s">
        <v>6288</v>
      </c>
      <c r="D3114" s="212" t="s">
        <v>6289</v>
      </c>
      <c r="E3114" s="212" t="s">
        <v>545</v>
      </c>
      <c r="F3114" s="213">
        <v>10</v>
      </c>
      <c r="G3114" s="213">
        <v>1.9550000000000001</v>
      </c>
      <c r="H3114" s="195">
        <f t="shared" si="48"/>
        <v>19.55</v>
      </c>
      <c r="I3114" s="212" t="s">
        <v>2354</v>
      </c>
    </row>
    <row r="3115" spans="1:9" x14ac:dyDescent="0.25">
      <c r="A3115" s="218" t="s">
        <v>220</v>
      </c>
      <c r="B3115" s="218" t="s">
        <v>5430</v>
      </c>
      <c r="C3115" s="219" t="s">
        <v>6290</v>
      </c>
      <c r="D3115" s="212" t="s">
        <v>6291</v>
      </c>
      <c r="E3115" s="212" t="s">
        <v>545</v>
      </c>
      <c r="F3115" s="213">
        <v>11</v>
      </c>
      <c r="G3115" s="213">
        <v>3.2725</v>
      </c>
      <c r="H3115" s="195">
        <f t="shared" si="48"/>
        <v>35.997500000000002</v>
      </c>
      <c r="I3115" s="212" t="s">
        <v>2354</v>
      </c>
    </row>
    <row r="3116" spans="1:9" x14ac:dyDescent="0.25">
      <c r="A3116" s="218" t="s">
        <v>220</v>
      </c>
      <c r="B3116" s="218" t="s">
        <v>5430</v>
      </c>
      <c r="C3116" s="219" t="s">
        <v>6292</v>
      </c>
      <c r="D3116" s="212" t="s">
        <v>6293</v>
      </c>
      <c r="E3116" s="212" t="s">
        <v>545</v>
      </c>
      <c r="F3116" s="213">
        <v>1</v>
      </c>
      <c r="G3116" s="213">
        <v>1.04</v>
      </c>
      <c r="H3116" s="195">
        <f t="shared" si="48"/>
        <v>1.04</v>
      </c>
      <c r="I3116" s="212" t="s">
        <v>2354</v>
      </c>
    </row>
    <row r="3117" spans="1:9" x14ac:dyDescent="0.25">
      <c r="A3117" s="218" t="s">
        <v>220</v>
      </c>
      <c r="B3117" s="218" t="s">
        <v>5430</v>
      </c>
      <c r="C3117" s="219" t="s">
        <v>6294</v>
      </c>
      <c r="D3117" s="212" t="s">
        <v>6295</v>
      </c>
      <c r="E3117" s="212" t="s">
        <v>545</v>
      </c>
      <c r="F3117" s="213">
        <v>1</v>
      </c>
      <c r="G3117" s="213">
        <v>12.3386</v>
      </c>
      <c r="H3117" s="195">
        <f t="shared" si="48"/>
        <v>12.3386</v>
      </c>
      <c r="I3117" s="212" t="s">
        <v>2354</v>
      </c>
    </row>
    <row r="3118" spans="1:9" x14ac:dyDescent="0.25">
      <c r="A3118" s="218" t="s">
        <v>220</v>
      </c>
      <c r="B3118" s="218" t="s">
        <v>5430</v>
      </c>
      <c r="C3118" s="219" t="s">
        <v>6296</v>
      </c>
      <c r="D3118" s="212" t="s">
        <v>6297</v>
      </c>
      <c r="E3118" s="212" t="s">
        <v>545</v>
      </c>
      <c r="F3118" s="213">
        <v>3</v>
      </c>
      <c r="G3118" s="213">
        <v>14.28</v>
      </c>
      <c r="H3118" s="195">
        <f t="shared" si="48"/>
        <v>42.839999999999996</v>
      </c>
      <c r="I3118" s="212" t="s">
        <v>2354</v>
      </c>
    </row>
    <row r="3119" spans="1:9" x14ac:dyDescent="0.25">
      <c r="A3119" s="218" t="s">
        <v>220</v>
      </c>
      <c r="B3119" s="218" t="s">
        <v>5430</v>
      </c>
      <c r="C3119" s="219" t="s">
        <v>6298</v>
      </c>
      <c r="D3119" s="212" t="s">
        <v>6299</v>
      </c>
      <c r="E3119" s="212" t="s">
        <v>545</v>
      </c>
      <c r="F3119" s="213">
        <v>5</v>
      </c>
      <c r="G3119" s="213">
        <v>3.5</v>
      </c>
      <c r="H3119" s="195">
        <f t="shared" si="48"/>
        <v>17.5</v>
      </c>
      <c r="I3119" s="212" t="s">
        <v>2354</v>
      </c>
    </row>
    <row r="3120" spans="1:9" x14ac:dyDescent="0.25">
      <c r="A3120" s="218" t="s">
        <v>220</v>
      </c>
      <c r="B3120" s="218" t="s">
        <v>5430</v>
      </c>
      <c r="C3120" s="219" t="s">
        <v>3257</v>
      </c>
      <c r="D3120" s="212" t="s">
        <v>3258</v>
      </c>
      <c r="E3120" s="212" t="s">
        <v>545</v>
      </c>
      <c r="F3120" s="213">
        <v>4</v>
      </c>
      <c r="G3120" s="213">
        <v>13.855</v>
      </c>
      <c r="H3120" s="195">
        <f t="shared" si="48"/>
        <v>55.42</v>
      </c>
      <c r="I3120" s="212" t="s">
        <v>2354</v>
      </c>
    </row>
    <row r="3121" spans="1:9" x14ac:dyDescent="0.25">
      <c r="A3121" s="218" t="s">
        <v>220</v>
      </c>
      <c r="B3121" s="218" t="s">
        <v>5430</v>
      </c>
      <c r="C3121" s="219" t="s">
        <v>6300</v>
      </c>
      <c r="D3121" s="212" t="s">
        <v>6301</v>
      </c>
      <c r="E3121" s="212" t="s">
        <v>545</v>
      </c>
      <c r="F3121" s="213">
        <v>6</v>
      </c>
      <c r="G3121" s="213">
        <v>16.734000000000002</v>
      </c>
      <c r="H3121" s="195">
        <f t="shared" si="48"/>
        <v>100.40400000000001</v>
      </c>
      <c r="I3121" s="212" t="s">
        <v>2354</v>
      </c>
    </row>
    <row r="3122" spans="1:9" x14ac:dyDescent="0.25">
      <c r="A3122" s="218" t="s">
        <v>220</v>
      </c>
      <c r="B3122" s="218" t="s">
        <v>5430</v>
      </c>
      <c r="C3122" s="219" t="s">
        <v>6302</v>
      </c>
      <c r="D3122" s="212" t="s">
        <v>6303</v>
      </c>
      <c r="E3122" s="212" t="s">
        <v>545</v>
      </c>
      <c r="F3122" s="213">
        <v>6</v>
      </c>
      <c r="G3122" s="213">
        <v>6.64</v>
      </c>
      <c r="H3122" s="195">
        <f t="shared" si="48"/>
        <v>39.839999999999996</v>
      </c>
      <c r="I3122" s="212" t="s">
        <v>2354</v>
      </c>
    </row>
    <row r="3123" spans="1:9" x14ac:dyDescent="0.25">
      <c r="A3123" s="218" t="s">
        <v>220</v>
      </c>
      <c r="B3123" s="218" t="s">
        <v>5430</v>
      </c>
      <c r="C3123" s="219" t="s">
        <v>6304</v>
      </c>
      <c r="D3123" s="212" t="s">
        <v>6305</v>
      </c>
      <c r="E3123" s="212" t="s">
        <v>545</v>
      </c>
      <c r="F3123" s="213">
        <v>10</v>
      </c>
      <c r="G3123" s="213">
        <v>19.2</v>
      </c>
      <c r="H3123" s="195">
        <f t="shared" si="48"/>
        <v>192</v>
      </c>
      <c r="I3123" s="212" t="s">
        <v>2354</v>
      </c>
    </row>
    <row r="3124" spans="1:9" x14ac:dyDescent="0.25">
      <c r="A3124" s="218" t="s">
        <v>220</v>
      </c>
      <c r="B3124" s="218" t="s">
        <v>5430</v>
      </c>
      <c r="C3124" s="219" t="s">
        <v>6306</v>
      </c>
      <c r="D3124" s="212" t="s">
        <v>6307</v>
      </c>
      <c r="E3124" s="212" t="s">
        <v>545</v>
      </c>
      <c r="F3124" s="213">
        <v>7</v>
      </c>
      <c r="G3124" s="213">
        <v>7.56</v>
      </c>
      <c r="H3124" s="195">
        <f t="shared" si="48"/>
        <v>52.919999999999995</v>
      </c>
      <c r="I3124" s="212" t="s">
        <v>2354</v>
      </c>
    </row>
    <row r="3125" spans="1:9" x14ac:dyDescent="0.25">
      <c r="A3125" s="218" t="s">
        <v>220</v>
      </c>
      <c r="B3125" s="218" t="s">
        <v>5430</v>
      </c>
      <c r="C3125" s="219" t="s">
        <v>3265</v>
      </c>
      <c r="D3125" s="212" t="s">
        <v>3266</v>
      </c>
      <c r="E3125" s="212" t="s">
        <v>545</v>
      </c>
      <c r="F3125" s="213">
        <v>3</v>
      </c>
      <c r="G3125" s="213">
        <v>44.594999999999999</v>
      </c>
      <c r="H3125" s="195">
        <f t="shared" si="48"/>
        <v>133.785</v>
      </c>
      <c r="I3125" s="212" t="s">
        <v>2354</v>
      </c>
    </row>
    <row r="3126" spans="1:9" x14ac:dyDescent="0.25">
      <c r="A3126" s="218" t="s">
        <v>220</v>
      </c>
      <c r="B3126" s="218" t="s">
        <v>5430</v>
      </c>
      <c r="C3126" s="219" t="s">
        <v>6308</v>
      </c>
      <c r="D3126" s="212" t="s">
        <v>6309</v>
      </c>
      <c r="E3126" s="212" t="s">
        <v>545</v>
      </c>
      <c r="F3126" s="213">
        <v>2</v>
      </c>
      <c r="G3126" s="213">
        <v>6.1227</v>
      </c>
      <c r="H3126" s="195">
        <f t="shared" si="48"/>
        <v>12.2454</v>
      </c>
      <c r="I3126" s="212" t="s">
        <v>2354</v>
      </c>
    </row>
    <row r="3127" spans="1:9" x14ac:dyDescent="0.25">
      <c r="A3127" s="218" t="s">
        <v>220</v>
      </c>
      <c r="B3127" s="218" t="s">
        <v>5430</v>
      </c>
      <c r="C3127" s="219" t="s">
        <v>6310</v>
      </c>
      <c r="D3127" s="212" t="s">
        <v>6311</v>
      </c>
      <c r="E3127" s="212" t="s">
        <v>545</v>
      </c>
      <c r="F3127" s="213">
        <v>5</v>
      </c>
      <c r="G3127" s="213">
        <v>22.92</v>
      </c>
      <c r="H3127" s="195">
        <f t="shared" si="48"/>
        <v>114.60000000000001</v>
      </c>
      <c r="I3127" s="212" t="s">
        <v>2354</v>
      </c>
    </row>
    <row r="3128" spans="1:9" x14ac:dyDescent="0.25">
      <c r="A3128" s="218" t="s">
        <v>220</v>
      </c>
      <c r="B3128" s="218" t="s">
        <v>5430</v>
      </c>
      <c r="C3128" s="219" t="s">
        <v>6312</v>
      </c>
      <c r="D3128" s="212" t="s">
        <v>6313</v>
      </c>
      <c r="E3128" s="212" t="s">
        <v>545</v>
      </c>
      <c r="F3128" s="213">
        <v>4</v>
      </c>
      <c r="G3128" s="213">
        <v>20.780999999999999</v>
      </c>
      <c r="H3128" s="195">
        <f t="shared" si="48"/>
        <v>83.123999999999995</v>
      </c>
      <c r="I3128" s="212" t="s">
        <v>2354</v>
      </c>
    </row>
    <row r="3129" spans="1:9" x14ac:dyDescent="0.25">
      <c r="A3129" s="218" t="s">
        <v>220</v>
      </c>
      <c r="B3129" s="218" t="s">
        <v>5430</v>
      </c>
      <c r="C3129" s="219" t="s">
        <v>3273</v>
      </c>
      <c r="D3129" s="212" t="s">
        <v>3274</v>
      </c>
      <c r="E3129" s="212" t="s">
        <v>545</v>
      </c>
      <c r="F3129" s="213">
        <v>5</v>
      </c>
      <c r="G3129" s="213">
        <v>5.9912121212121212</v>
      </c>
      <c r="H3129" s="195">
        <f t="shared" si="48"/>
        <v>29.956060606060607</v>
      </c>
      <c r="I3129" s="212" t="s">
        <v>2354</v>
      </c>
    </row>
    <row r="3130" spans="1:9" x14ac:dyDescent="0.25">
      <c r="A3130" s="218" t="s">
        <v>220</v>
      </c>
      <c r="B3130" s="218" t="s">
        <v>5430</v>
      </c>
      <c r="C3130" s="219" t="s">
        <v>3277</v>
      </c>
      <c r="D3130" s="212" t="s">
        <v>3278</v>
      </c>
      <c r="E3130" s="212" t="s">
        <v>545</v>
      </c>
      <c r="F3130" s="213">
        <v>10</v>
      </c>
      <c r="G3130" s="213">
        <v>1.048</v>
      </c>
      <c r="H3130" s="195">
        <f t="shared" si="48"/>
        <v>10.48</v>
      </c>
      <c r="I3130" s="212" t="s">
        <v>2354</v>
      </c>
    </row>
    <row r="3131" spans="1:9" x14ac:dyDescent="0.25">
      <c r="A3131" s="218" t="s">
        <v>220</v>
      </c>
      <c r="B3131" s="218" t="s">
        <v>5430</v>
      </c>
      <c r="C3131" s="219" t="s">
        <v>3279</v>
      </c>
      <c r="D3131" s="212" t="s">
        <v>3280</v>
      </c>
      <c r="E3131" s="212" t="s">
        <v>545</v>
      </c>
      <c r="F3131" s="213">
        <v>10</v>
      </c>
      <c r="G3131" s="213">
        <v>2.6389999999999998</v>
      </c>
      <c r="H3131" s="195">
        <f t="shared" si="48"/>
        <v>26.389999999999997</v>
      </c>
      <c r="I3131" s="212" t="s">
        <v>2354</v>
      </c>
    </row>
    <row r="3132" spans="1:9" x14ac:dyDescent="0.25">
      <c r="A3132" s="218" t="s">
        <v>220</v>
      </c>
      <c r="B3132" s="218" t="s">
        <v>5430</v>
      </c>
      <c r="C3132" s="219" t="s">
        <v>6314</v>
      </c>
      <c r="D3132" s="212" t="s">
        <v>3288</v>
      </c>
      <c r="E3132" s="212" t="s">
        <v>545</v>
      </c>
      <c r="F3132" s="213">
        <v>9</v>
      </c>
      <c r="G3132" s="213">
        <v>9.2750000000000004</v>
      </c>
      <c r="H3132" s="195">
        <f t="shared" si="48"/>
        <v>83.475000000000009</v>
      </c>
      <c r="I3132" s="212" t="s">
        <v>2354</v>
      </c>
    </row>
    <row r="3133" spans="1:9" x14ac:dyDescent="0.25">
      <c r="A3133" s="218" t="s">
        <v>220</v>
      </c>
      <c r="B3133" s="218" t="s">
        <v>5430</v>
      </c>
      <c r="C3133" s="219" t="s">
        <v>6315</v>
      </c>
      <c r="D3133" s="212" t="s">
        <v>6316</v>
      </c>
      <c r="E3133" s="212" t="s">
        <v>545</v>
      </c>
      <c r="F3133" s="213">
        <v>11</v>
      </c>
      <c r="G3133" s="213">
        <v>16</v>
      </c>
      <c r="H3133" s="195">
        <f t="shared" si="48"/>
        <v>176</v>
      </c>
      <c r="I3133" s="212" t="s">
        <v>2354</v>
      </c>
    </row>
    <row r="3134" spans="1:9" x14ac:dyDescent="0.25">
      <c r="A3134" s="218" t="s">
        <v>220</v>
      </c>
      <c r="B3134" s="218" t="s">
        <v>5430</v>
      </c>
      <c r="C3134" s="219" t="s">
        <v>3293</v>
      </c>
      <c r="D3134" s="212" t="s">
        <v>3294</v>
      </c>
      <c r="E3134" s="212" t="s">
        <v>545</v>
      </c>
      <c r="F3134" s="213">
        <v>4</v>
      </c>
      <c r="G3134" s="213">
        <v>1.105</v>
      </c>
      <c r="H3134" s="195">
        <f t="shared" si="48"/>
        <v>4.42</v>
      </c>
      <c r="I3134" s="212" t="s">
        <v>2354</v>
      </c>
    </row>
    <row r="3135" spans="1:9" x14ac:dyDescent="0.25">
      <c r="A3135" s="218" t="s">
        <v>220</v>
      </c>
      <c r="B3135" s="218" t="s">
        <v>5430</v>
      </c>
      <c r="C3135" s="219" t="s">
        <v>3295</v>
      </c>
      <c r="D3135" s="212" t="s">
        <v>3296</v>
      </c>
      <c r="E3135" s="212" t="s">
        <v>545</v>
      </c>
      <c r="F3135" s="213">
        <v>2</v>
      </c>
      <c r="G3135" s="213">
        <v>3.3797142857142854</v>
      </c>
      <c r="H3135" s="195">
        <f t="shared" si="48"/>
        <v>6.7594285714285709</v>
      </c>
      <c r="I3135" s="212" t="s">
        <v>2354</v>
      </c>
    </row>
    <row r="3136" spans="1:9" x14ac:dyDescent="0.25">
      <c r="A3136" s="218" t="s">
        <v>220</v>
      </c>
      <c r="B3136" s="218" t="s">
        <v>5430</v>
      </c>
      <c r="C3136" s="219" t="s">
        <v>6317</v>
      </c>
      <c r="D3136" s="212" t="s">
        <v>6318</v>
      </c>
      <c r="E3136" s="212" t="s">
        <v>545</v>
      </c>
      <c r="F3136" s="213">
        <v>3</v>
      </c>
      <c r="G3136" s="213">
        <v>4.7805080000000002</v>
      </c>
      <c r="H3136" s="195">
        <f t="shared" si="48"/>
        <v>14.341524</v>
      </c>
      <c r="I3136" s="212" t="s">
        <v>2354</v>
      </c>
    </row>
    <row r="3137" spans="1:9" x14ac:dyDescent="0.25">
      <c r="A3137" s="218" t="s">
        <v>220</v>
      </c>
      <c r="B3137" s="218" t="s">
        <v>5430</v>
      </c>
      <c r="C3137" s="219" t="s">
        <v>6319</v>
      </c>
      <c r="D3137" s="212" t="s">
        <v>3304</v>
      </c>
      <c r="E3137" s="212" t="s">
        <v>545</v>
      </c>
      <c r="F3137" s="213">
        <v>8</v>
      </c>
      <c r="G3137" s="213">
        <v>6.5119999999999996</v>
      </c>
      <c r="H3137" s="195">
        <f t="shared" si="48"/>
        <v>52.095999999999997</v>
      </c>
      <c r="I3137" s="212" t="s">
        <v>2354</v>
      </c>
    </row>
    <row r="3138" spans="1:9" x14ac:dyDescent="0.25">
      <c r="A3138" s="218" t="s">
        <v>220</v>
      </c>
      <c r="B3138" s="218" t="s">
        <v>5430</v>
      </c>
      <c r="C3138" s="219" t="s">
        <v>6320</v>
      </c>
      <c r="D3138" s="212" t="s">
        <v>6321</v>
      </c>
      <c r="E3138" s="212" t="s">
        <v>545</v>
      </c>
      <c r="F3138" s="213">
        <v>14</v>
      </c>
      <c r="G3138" s="213">
        <v>2.31</v>
      </c>
      <c r="H3138" s="195">
        <f t="shared" si="48"/>
        <v>32.340000000000003</v>
      </c>
      <c r="I3138" s="212" t="s">
        <v>2354</v>
      </c>
    </row>
    <row r="3139" spans="1:9" x14ac:dyDescent="0.25">
      <c r="A3139" s="218" t="s">
        <v>220</v>
      </c>
      <c r="B3139" s="218" t="s">
        <v>5430</v>
      </c>
      <c r="C3139" s="219" t="s">
        <v>6322</v>
      </c>
      <c r="D3139" s="212" t="s">
        <v>3308</v>
      </c>
      <c r="E3139" s="212" t="s">
        <v>545</v>
      </c>
      <c r="F3139" s="213">
        <v>6</v>
      </c>
      <c r="G3139" s="213">
        <v>4.6580000000000004</v>
      </c>
      <c r="H3139" s="195">
        <f t="shared" si="48"/>
        <v>27.948</v>
      </c>
      <c r="I3139" s="212" t="s">
        <v>2354</v>
      </c>
    </row>
    <row r="3140" spans="1:9" x14ac:dyDescent="0.25">
      <c r="A3140" s="218" t="s">
        <v>220</v>
      </c>
      <c r="B3140" s="218" t="s">
        <v>5430</v>
      </c>
      <c r="C3140" s="219" t="s">
        <v>6323</v>
      </c>
      <c r="D3140" s="212" t="s">
        <v>6324</v>
      </c>
      <c r="E3140" s="212" t="s">
        <v>545</v>
      </c>
      <c r="F3140" s="213">
        <v>9</v>
      </c>
      <c r="G3140" s="213">
        <v>9.9815500000000004</v>
      </c>
      <c r="H3140" s="195">
        <f t="shared" si="48"/>
        <v>89.833950000000002</v>
      </c>
      <c r="I3140" s="212" t="s">
        <v>2354</v>
      </c>
    </row>
    <row r="3141" spans="1:9" x14ac:dyDescent="0.25">
      <c r="A3141" s="218" t="s">
        <v>220</v>
      </c>
      <c r="B3141" s="218" t="s">
        <v>5430</v>
      </c>
      <c r="C3141" s="219" t="s">
        <v>3317</v>
      </c>
      <c r="D3141" s="212" t="s">
        <v>3318</v>
      </c>
      <c r="E3141" s="212" t="s">
        <v>545</v>
      </c>
      <c r="F3141" s="213">
        <v>10</v>
      </c>
      <c r="G3141" s="213">
        <v>1.464</v>
      </c>
      <c r="H3141" s="195">
        <f t="shared" ref="H3141:H3204" si="49">+F3141*G3141</f>
        <v>14.64</v>
      </c>
      <c r="I3141" s="212" t="s">
        <v>2354</v>
      </c>
    </row>
    <row r="3142" spans="1:9" x14ac:dyDescent="0.25">
      <c r="A3142" s="218" t="s">
        <v>220</v>
      </c>
      <c r="B3142" s="218" t="s">
        <v>5430</v>
      </c>
      <c r="C3142" s="219" t="s">
        <v>3319</v>
      </c>
      <c r="D3142" s="212" t="s">
        <v>3320</v>
      </c>
      <c r="E3142" s="212" t="s">
        <v>545</v>
      </c>
      <c r="F3142" s="213">
        <v>10</v>
      </c>
      <c r="G3142" s="213">
        <v>1.171</v>
      </c>
      <c r="H3142" s="195">
        <f t="shared" si="49"/>
        <v>11.71</v>
      </c>
      <c r="I3142" s="212" t="s">
        <v>2354</v>
      </c>
    </row>
    <row r="3143" spans="1:9" x14ac:dyDescent="0.25">
      <c r="A3143" s="218" t="s">
        <v>220</v>
      </c>
      <c r="B3143" s="218" t="s">
        <v>5430</v>
      </c>
      <c r="C3143" s="219" t="s">
        <v>6325</v>
      </c>
      <c r="D3143" s="212" t="s">
        <v>6326</v>
      </c>
      <c r="E3143" s="212" t="s">
        <v>545</v>
      </c>
      <c r="F3143" s="213">
        <v>2</v>
      </c>
      <c r="G3143" s="213">
        <v>5.0022000000000002</v>
      </c>
      <c r="H3143" s="195">
        <f t="shared" si="49"/>
        <v>10.0044</v>
      </c>
      <c r="I3143" s="212" t="s">
        <v>2354</v>
      </c>
    </row>
    <row r="3144" spans="1:9" x14ac:dyDescent="0.25">
      <c r="A3144" s="218" t="s">
        <v>220</v>
      </c>
      <c r="B3144" s="218" t="s">
        <v>5430</v>
      </c>
      <c r="C3144" s="219" t="s">
        <v>3321</v>
      </c>
      <c r="D3144" s="212" t="s">
        <v>3322</v>
      </c>
      <c r="E3144" s="212" t="s">
        <v>545</v>
      </c>
      <c r="F3144" s="213">
        <v>14</v>
      </c>
      <c r="G3144" s="213">
        <v>0.18990909090909092</v>
      </c>
      <c r="H3144" s="195">
        <f t="shared" si="49"/>
        <v>2.6587272727272726</v>
      </c>
      <c r="I3144" s="212" t="s">
        <v>2354</v>
      </c>
    </row>
    <row r="3145" spans="1:9" x14ac:dyDescent="0.25">
      <c r="A3145" s="218" t="s">
        <v>220</v>
      </c>
      <c r="B3145" s="218" t="s">
        <v>5430</v>
      </c>
      <c r="C3145" s="219" t="s">
        <v>3323</v>
      </c>
      <c r="D3145" s="212" t="s">
        <v>3324</v>
      </c>
      <c r="E3145" s="212" t="s">
        <v>545</v>
      </c>
      <c r="F3145" s="213">
        <v>41</v>
      </c>
      <c r="G3145" s="213">
        <v>0.53843333333333332</v>
      </c>
      <c r="H3145" s="195">
        <f t="shared" si="49"/>
        <v>22.075766666666667</v>
      </c>
      <c r="I3145" s="212" t="s">
        <v>2354</v>
      </c>
    </row>
    <row r="3146" spans="1:9" x14ac:dyDescent="0.25">
      <c r="A3146" s="218" t="s">
        <v>220</v>
      </c>
      <c r="B3146" s="218" t="s">
        <v>5430</v>
      </c>
      <c r="C3146" s="219" t="s">
        <v>6327</v>
      </c>
      <c r="D3146" s="212" t="s">
        <v>6328</v>
      </c>
      <c r="E3146" s="212" t="s">
        <v>545</v>
      </c>
      <c r="F3146" s="213">
        <v>43</v>
      </c>
      <c r="G3146" s="213">
        <v>1.0880000000000001</v>
      </c>
      <c r="H3146" s="195">
        <f t="shared" si="49"/>
        <v>46.784000000000006</v>
      </c>
      <c r="I3146" s="212" t="s">
        <v>2354</v>
      </c>
    </row>
    <row r="3147" spans="1:9" x14ac:dyDescent="0.25">
      <c r="A3147" s="218" t="s">
        <v>220</v>
      </c>
      <c r="B3147" s="218" t="s">
        <v>5430</v>
      </c>
      <c r="C3147" s="219" t="s">
        <v>3325</v>
      </c>
      <c r="D3147" s="212" t="s">
        <v>3326</v>
      </c>
      <c r="E3147" s="212" t="s">
        <v>545</v>
      </c>
      <c r="F3147" s="213">
        <v>40</v>
      </c>
      <c r="G3147" s="213">
        <v>0.28736</v>
      </c>
      <c r="H3147" s="195">
        <f t="shared" si="49"/>
        <v>11.494400000000001</v>
      </c>
      <c r="I3147" s="212" t="s">
        <v>2354</v>
      </c>
    </row>
    <row r="3148" spans="1:9" x14ac:dyDescent="0.25">
      <c r="A3148" s="218" t="s">
        <v>220</v>
      </c>
      <c r="B3148" s="218" t="s">
        <v>5430</v>
      </c>
      <c r="C3148" s="219" t="s">
        <v>6329</v>
      </c>
      <c r="D3148" s="212" t="s">
        <v>6330</v>
      </c>
      <c r="E3148" s="212" t="s">
        <v>545</v>
      </c>
      <c r="F3148" s="213">
        <v>27</v>
      </c>
      <c r="G3148" s="213">
        <v>0.61241999999999996</v>
      </c>
      <c r="H3148" s="195">
        <f t="shared" si="49"/>
        <v>16.535339999999998</v>
      </c>
      <c r="I3148" s="212" t="s">
        <v>2354</v>
      </c>
    </row>
    <row r="3149" spans="1:9" x14ac:dyDescent="0.25">
      <c r="A3149" s="218" t="s">
        <v>220</v>
      </c>
      <c r="B3149" s="218" t="s">
        <v>5430</v>
      </c>
      <c r="C3149" s="219" t="s">
        <v>6331</v>
      </c>
      <c r="D3149" s="212" t="s">
        <v>6332</v>
      </c>
      <c r="E3149" s="212" t="s">
        <v>545</v>
      </c>
      <c r="F3149" s="213">
        <v>4</v>
      </c>
      <c r="G3149" s="213">
        <v>0.73307</v>
      </c>
      <c r="H3149" s="195">
        <f t="shared" si="49"/>
        <v>2.93228</v>
      </c>
      <c r="I3149" s="212" t="s">
        <v>2354</v>
      </c>
    </row>
    <row r="3150" spans="1:9" x14ac:dyDescent="0.25">
      <c r="A3150" s="218" t="s">
        <v>220</v>
      </c>
      <c r="B3150" s="218" t="s">
        <v>5430</v>
      </c>
      <c r="C3150" s="219" t="s">
        <v>6333</v>
      </c>
      <c r="D3150" s="212" t="s">
        <v>6334</v>
      </c>
      <c r="E3150" s="212" t="s">
        <v>545</v>
      </c>
      <c r="F3150" s="213">
        <v>9</v>
      </c>
      <c r="G3150" s="213">
        <v>1.6160000000000001</v>
      </c>
      <c r="H3150" s="195">
        <f t="shared" si="49"/>
        <v>14.544</v>
      </c>
      <c r="I3150" s="212" t="s">
        <v>2354</v>
      </c>
    </row>
    <row r="3151" spans="1:9" x14ac:dyDescent="0.25">
      <c r="A3151" s="218" t="s">
        <v>220</v>
      </c>
      <c r="B3151" s="218" t="s">
        <v>5430</v>
      </c>
      <c r="C3151" s="219" t="s">
        <v>3329</v>
      </c>
      <c r="D3151" s="212" t="s">
        <v>3330</v>
      </c>
      <c r="E3151" s="212" t="s">
        <v>545</v>
      </c>
      <c r="F3151" s="213">
        <v>22</v>
      </c>
      <c r="G3151" s="213">
        <v>0.65705000000000002</v>
      </c>
      <c r="H3151" s="195">
        <f t="shared" si="49"/>
        <v>14.4551</v>
      </c>
      <c r="I3151" s="212" t="s">
        <v>2354</v>
      </c>
    </row>
    <row r="3152" spans="1:9" x14ac:dyDescent="0.25">
      <c r="A3152" s="218" t="s">
        <v>220</v>
      </c>
      <c r="B3152" s="218" t="s">
        <v>5430</v>
      </c>
      <c r="C3152" s="219" t="s">
        <v>6335</v>
      </c>
      <c r="D3152" s="212" t="s">
        <v>6336</v>
      </c>
      <c r="E3152" s="212" t="s">
        <v>545</v>
      </c>
      <c r="F3152" s="213">
        <v>50</v>
      </c>
      <c r="G3152" s="213">
        <v>0.38250000000000001</v>
      </c>
      <c r="H3152" s="195">
        <f t="shared" si="49"/>
        <v>19.125</v>
      </c>
      <c r="I3152" s="212" t="s">
        <v>2354</v>
      </c>
    </row>
    <row r="3153" spans="1:9" x14ac:dyDescent="0.25">
      <c r="A3153" s="218" t="s">
        <v>220</v>
      </c>
      <c r="B3153" s="218" t="s">
        <v>5430</v>
      </c>
      <c r="C3153" s="219" t="s">
        <v>6337</v>
      </c>
      <c r="D3153" s="212" t="s">
        <v>6338</v>
      </c>
      <c r="E3153" s="212" t="s">
        <v>2473</v>
      </c>
      <c r="F3153" s="213">
        <v>38</v>
      </c>
      <c r="G3153" s="213">
        <v>3.6720000000000002</v>
      </c>
      <c r="H3153" s="195">
        <f t="shared" si="49"/>
        <v>139.536</v>
      </c>
      <c r="I3153" s="212" t="s">
        <v>2354</v>
      </c>
    </row>
    <row r="3154" spans="1:9" x14ac:dyDescent="0.25">
      <c r="A3154" s="218" t="s">
        <v>220</v>
      </c>
      <c r="B3154" s="218" t="s">
        <v>5430</v>
      </c>
      <c r="C3154" s="219" t="s">
        <v>6339</v>
      </c>
      <c r="D3154" s="212" t="s">
        <v>6340</v>
      </c>
      <c r="E3154" s="212" t="s">
        <v>545</v>
      </c>
      <c r="F3154" s="213">
        <v>18</v>
      </c>
      <c r="G3154" s="213">
        <v>0.98299999999999998</v>
      </c>
      <c r="H3154" s="195">
        <f t="shared" si="49"/>
        <v>17.693999999999999</v>
      </c>
      <c r="I3154" s="212" t="s">
        <v>2354</v>
      </c>
    </row>
    <row r="3155" spans="1:9" x14ac:dyDescent="0.25">
      <c r="A3155" s="218" t="s">
        <v>220</v>
      </c>
      <c r="B3155" s="218" t="s">
        <v>5430</v>
      </c>
      <c r="C3155" s="219" t="s">
        <v>3337</v>
      </c>
      <c r="D3155" s="212" t="s">
        <v>3338</v>
      </c>
      <c r="E3155" s="212" t="s">
        <v>545</v>
      </c>
      <c r="F3155" s="213">
        <v>17</v>
      </c>
      <c r="G3155" s="213">
        <v>1.4450000000000001</v>
      </c>
      <c r="H3155" s="195">
        <f t="shared" si="49"/>
        <v>24.565000000000001</v>
      </c>
      <c r="I3155" s="212" t="s">
        <v>2354</v>
      </c>
    </row>
    <row r="3156" spans="1:9" x14ac:dyDescent="0.25">
      <c r="A3156" s="218" t="s">
        <v>220</v>
      </c>
      <c r="B3156" s="218" t="s">
        <v>5430</v>
      </c>
      <c r="C3156" s="219" t="s">
        <v>3339</v>
      </c>
      <c r="D3156" s="212" t="s">
        <v>3340</v>
      </c>
      <c r="E3156" s="212" t="s">
        <v>545</v>
      </c>
      <c r="F3156" s="213">
        <v>18</v>
      </c>
      <c r="G3156" s="213">
        <v>1.5419375000000002</v>
      </c>
      <c r="H3156" s="195">
        <f t="shared" si="49"/>
        <v>27.754875000000002</v>
      </c>
      <c r="I3156" s="212" t="s">
        <v>2354</v>
      </c>
    </row>
    <row r="3157" spans="1:9" x14ac:dyDescent="0.25">
      <c r="A3157" s="218" t="s">
        <v>220</v>
      </c>
      <c r="B3157" s="218" t="s">
        <v>5430</v>
      </c>
      <c r="C3157" s="219" t="s">
        <v>6341</v>
      </c>
      <c r="D3157" s="212" t="s">
        <v>6342</v>
      </c>
      <c r="E3157" s="212" t="s">
        <v>545</v>
      </c>
      <c r="F3157" s="213">
        <v>19</v>
      </c>
      <c r="G3157" s="213">
        <v>5.7290000000000001</v>
      </c>
      <c r="H3157" s="195">
        <f t="shared" si="49"/>
        <v>108.851</v>
      </c>
      <c r="I3157" s="212" t="s">
        <v>2354</v>
      </c>
    </row>
    <row r="3158" spans="1:9" x14ac:dyDescent="0.25">
      <c r="A3158" s="218" t="s">
        <v>220</v>
      </c>
      <c r="B3158" s="218" t="s">
        <v>5430</v>
      </c>
      <c r="C3158" s="219" t="s">
        <v>6343</v>
      </c>
      <c r="D3158" s="212" t="s">
        <v>6344</v>
      </c>
      <c r="E3158" s="212" t="s">
        <v>545</v>
      </c>
      <c r="F3158" s="213">
        <v>1</v>
      </c>
      <c r="G3158" s="213">
        <v>7.9390000000000001</v>
      </c>
      <c r="H3158" s="195">
        <f t="shared" si="49"/>
        <v>7.9390000000000001</v>
      </c>
      <c r="I3158" s="212" t="s">
        <v>2354</v>
      </c>
    </row>
    <row r="3159" spans="1:9" x14ac:dyDescent="0.25">
      <c r="A3159" s="218" t="s">
        <v>220</v>
      </c>
      <c r="B3159" s="218" t="s">
        <v>5430</v>
      </c>
      <c r="C3159" s="219" t="s">
        <v>3349</v>
      </c>
      <c r="D3159" s="212" t="s">
        <v>3350</v>
      </c>
      <c r="E3159" s="212" t="s">
        <v>545</v>
      </c>
      <c r="F3159" s="213">
        <v>27</v>
      </c>
      <c r="G3159" s="213">
        <v>1.7324999999999997</v>
      </c>
      <c r="H3159" s="195">
        <f t="shared" si="49"/>
        <v>46.777499999999989</v>
      </c>
      <c r="I3159" s="212" t="s">
        <v>2354</v>
      </c>
    </row>
    <row r="3160" spans="1:9" x14ac:dyDescent="0.25">
      <c r="A3160" s="218" t="s">
        <v>220</v>
      </c>
      <c r="B3160" s="218" t="s">
        <v>5430</v>
      </c>
      <c r="C3160" s="219" t="s">
        <v>6345</v>
      </c>
      <c r="D3160" s="212" t="s">
        <v>6346</v>
      </c>
      <c r="E3160" s="212" t="s">
        <v>545</v>
      </c>
      <c r="F3160" s="213">
        <v>8</v>
      </c>
      <c r="G3160" s="213">
        <v>7.0730000000000004</v>
      </c>
      <c r="H3160" s="195">
        <f t="shared" si="49"/>
        <v>56.584000000000003</v>
      </c>
      <c r="I3160" s="212" t="s">
        <v>2354</v>
      </c>
    </row>
    <row r="3161" spans="1:9" x14ac:dyDescent="0.25">
      <c r="A3161" s="218" t="s">
        <v>220</v>
      </c>
      <c r="B3161" s="218" t="s">
        <v>5430</v>
      </c>
      <c r="C3161" s="219" t="s">
        <v>6347</v>
      </c>
      <c r="D3161" s="212" t="s">
        <v>6348</v>
      </c>
      <c r="E3161" s="212" t="s">
        <v>545</v>
      </c>
      <c r="F3161" s="213">
        <v>10</v>
      </c>
      <c r="G3161" s="213">
        <v>19.4922</v>
      </c>
      <c r="H3161" s="195">
        <f t="shared" si="49"/>
        <v>194.922</v>
      </c>
      <c r="I3161" s="212" t="s">
        <v>2354</v>
      </c>
    </row>
    <row r="3162" spans="1:9" x14ac:dyDescent="0.25">
      <c r="A3162" s="218" t="s">
        <v>220</v>
      </c>
      <c r="B3162" s="218" t="s">
        <v>5430</v>
      </c>
      <c r="C3162" s="219" t="s">
        <v>6349</v>
      </c>
      <c r="D3162" s="212" t="s">
        <v>6350</v>
      </c>
      <c r="E3162" s="212" t="s">
        <v>545</v>
      </c>
      <c r="F3162" s="213">
        <v>28</v>
      </c>
      <c r="G3162" s="213">
        <v>0</v>
      </c>
      <c r="H3162" s="195">
        <f t="shared" si="49"/>
        <v>0</v>
      </c>
      <c r="I3162" s="212" t="s">
        <v>2354</v>
      </c>
    </row>
    <row r="3163" spans="1:9" x14ac:dyDescent="0.25">
      <c r="A3163" s="218" t="s">
        <v>220</v>
      </c>
      <c r="B3163" s="218" t="s">
        <v>5430</v>
      </c>
      <c r="C3163" s="219" t="s">
        <v>3361</v>
      </c>
      <c r="D3163" s="212" t="s">
        <v>3362</v>
      </c>
      <c r="E3163" s="212" t="s">
        <v>545</v>
      </c>
      <c r="F3163" s="213">
        <v>19</v>
      </c>
      <c r="G3163" s="213">
        <v>6.2471578947368425</v>
      </c>
      <c r="H3163" s="195">
        <f t="shared" si="49"/>
        <v>118.69600000000001</v>
      </c>
      <c r="I3163" s="212" t="s">
        <v>2354</v>
      </c>
    </row>
    <row r="3164" spans="1:9" x14ac:dyDescent="0.25">
      <c r="A3164" s="218" t="s">
        <v>220</v>
      </c>
      <c r="B3164" s="218" t="s">
        <v>5430</v>
      </c>
      <c r="C3164" s="219" t="s">
        <v>3363</v>
      </c>
      <c r="D3164" s="212" t="s">
        <v>3364</v>
      </c>
      <c r="E3164" s="212" t="s">
        <v>545</v>
      </c>
      <c r="F3164" s="213">
        <v>35</v>
      </c>
      <c r="G3164" s="213">
        <v>1.8508579999999999</v>
      </c>
      <c r="H3164" s="195">
        <f t="shared" si="49"/>
        <v>64.780029999999996</v>
      </c>
      <c r="I3164" s="212" t="s">
        <v>2354</v>
      </c>
    </row>
    <row r="3165" spans="1:9" x14ac:dyDescent="0.25">
      <c r="A3165" s="218" t="s">
        <v>220</v>
      </c>
      <c r="B3165" s="218" t="s">
        <v>5430</v>
      </c>
      <c r="C3165" s="219" t="s">
        <v>6351</v>
      </c>
      <c r="D3165" s="212" t="s">
        <v>6352</v>
      </c>
      <c r="E3165" s="212" t="s">
        <v>545</v>
      </c>
      <c r="F3165" s="213">
        <v>1</v>
      </c>
      <c r="G3165" s="213">
        <v>104.76</v>
      </c>
      <c r="H3165" s="195">
        <f t="shared" si="49"/>
        <v>104.76</v>
      </c>
      <c r="I3165" s="212" t="s">
        <v>2354</v>
      </c>
    </row>
    <row r="3166" spans="1:9" x14ac:dyDescent="0.25">
      <c r="A3166" s="218" t="s">
        <v>220</v>
      </c>
      <c r="B3166" s="218" t="s">
        <v>5430</v>
      </c>
      <c r="C3166" s="219" t="s">
        <v>6353</v>
      </c>
      <c r="D3166" s="212" t="s">
        <v>6354</v>
      </c>
      <c r="E3166" s="212" t="s">
        <v>545</v>
      </c>
      <c r="F3166" s="213">
        <v>4</v>
      </c>
      <c r="G3166" s="213">
        <v>198</v>
      </c>
      <c r="H3166" s="195">
        <f t="shared" si="49"/>
        <v>792</v>
      </c>
      <c r="I3166" s="212" t="s">
        <v>2354</v>
      </c>
    </row>
    <row r="3167" spans="1:9" x14ac:dyDescent="0.25">
      <c r="A3167" s="218" t="s">
        <v>220</v>
      </c>
      <c r="B3167" s="218" t="s">
        <v>5430</v>
      </c>
      <c r="C3167" s="219" t="s">
        <v>6355</v>
      </c>
      <c r="D3167" s="212" t="s">
        <v>6356</v>
      </c>
      <c r="E3167" s="212" t="s">
        <v>545</v>
      </c>
      <c r="F3167" s="213">
        <v>1</v>
      </c>
      <c r="G3167" s="213">
        <v>198</v>
      </c>
      <c r="H3167" s="195">
        <f t="shared" si="49"/>
        <v>198</v>
      </c>
      <c r="I3167" s="212" t="s">
        <v>2354</v>
      </c>
    </row>
    <row r="3168" spans="1:9" x14ac:dyDescent="0.25">
      <c r="A3168" s="218" t="s">
        <v>220</v>
      </c>
      <c r="B3168" s="218" t="s">
        <v>5430</v>
      </c>
      <c r="C3168" s="219" t="s">
        <v>6357</v>
      </c>
      <c r="D3168" s="212" t="s">
        <v>6358</v>
      </c>
      <c r="E3168" s="212" t="s">
        <v>545</v>
      </c>
      <c r="F3168" s="213">
        <v>5</v>
      </c>
      <c r="G3168" s="213">
        <v>198</v>
      </c>
      <c r="H3168" s="195">
        <f t="shared" si="49"/>
        <v>990</v>
      </c>
      <c r="I3168" s="212" t="s">
        <v>2354</v>
      </c>
    </row>
    <row r="3169" spans="1:9" x14ac:dyDescent="0.25">
      <c r="A3169" s="218" t="s">
        <v>220</v>
      </c>
      <c r="B3169" s="218" t="s">
        <v>5430</v>
      </c>
      <c r="C3169" s="219" t="s">
        <v>6359</v>
      </c>
      <c r="D3169" s="212" t="s">
        <v>6360</v>
      </c>
      <c r="E3169" s="212" t="s">
        <v>545</v>
      </c>
      <c r="F3169" s="213">
        <v>1</v>
      </c>
      <c r="G3169" s="213">
        <v>198</v>
      </c>
      <c r="H3169" s="195">
        <f t="shared" si="49"/>
        <v>198</v>
      </c>
      <c r="I3169" s="212" t="s">
        <v>2354</v>
      </c>
    </row>
    <row r="3170" spans="1:9" x14ac:dyDescent="0.25">
      <c r="A3170" s="218" t="s">
        <v>220</v>
      </c>
      <c r="B3170" s="218" t="s">
        <v>5430</v>
      </c>
      <c r="C3170" s="219" t="s">
        <v>6361</v>
      </c>
      <c r="D3170" s="212" t="s">
        <v>6362</v>
      </c>
      <c r="E3170" s="212" t="s">
        <v>545</v>
      </c>
      <c r="F3170" s="213">
        <v>3</v>
      </c>
      <c r="G3170" s="213">
        <v>268.88400000000001</v>
      </c>
      <c r="H3170" s="195">
        <f t="shared" si="49"/>
        <v>806.65200000000004</v>
      </c>
      <c r="I3170" s="212" t="s">
        <v>2354</v>
      </c>
    </row>
    <row r="3171" spans="1:9" x14ac:dyDescent="0.25">
      <c r="A3171" s="218" t="s">
        <v>220</v>
      </c>
      <c r="B3171" s="218" t="s">
        <v>5430</v>
      </c>
      <c r="C3171" s="219" t="s">
        <v>6363</v>
      </c>
      <c r="D3171" s="212" t="s">
        <v>6364</v>
      </c>
      <c r="E3171" s="212" t="s">
        <v>545</v>
      </c>
      <c r="F3171" s="213">
        <v>1</v>
      </c>
      <c r="G3171" s="213">
        <v>198</v>
      </c>
      <c r="H3171" s="195">
        <f t="shared" si="49"/>
        <v>198</v>
      </c>
      <c r="I3171" s="212" t="s">
        <v>2354</v>
      </c>
    </row>
    <row r="3172" spans="1:9" x14ac:dyDescent="0.25">
      <c r="A3172" s="218" t="s">
        <v>220</v>
      </c>
      <c r="B3172" s="218" t="s">
        <v>5430</v>
      </c>
      <c r="C3172" s="219" t="s">
        <v>6365</v>
      </c>
      <c r="D3172" s="212" t="s">
        <v>6366</v>
      </c>
      <c r="E3172" s="212" t="s">
        <v>545</v>
      </c>
      <c r="F3172" s="213">
        <v>1</v>
      </c>
      <c r="G3172" s="213">
        <v>104.76</v>
      </c>
      <c r="H3172" s="195">
        <f t="shared" si="49"/>
        <v>104.76</v>
      </c>
      <c r="I3172" s="212" t="s">
        <v>2354</v>
      </c>
    </row>
    <row r="3173" spans="1:9" x14ac:dyDescent="0.25">
      <c r="A3173" s="218" t="s">
        <v>220</v>
      </c>
      <c r="B3173" s="218" t="s">
        <v>5430</v>
      </c>
      <c r="C3173" s="219" t="s">
        <v>6367</v>
      </c>
      <c r="D3173" s="212" t="s">
        <v>6368</v>
      </c>
      <c r="E3173" s="212" t="s">
        <v>545</v>
      </c>
      <c r="F3173" s="213">
        <v>3</v>
      </c>
      <c r="G3173" s="213">
        <v>206.1</v>
      </c>
      <c r="H3173" s="195">
        <f t="shared" si="49"/>
        <v>618.29999999999995</v>
      </c>
      <c r="I3173" s="212" t="s">
        <v>2354</v>
      </c>
    </row>
    <row r="3174" spans="1:9" x14ac:dyDescent="0.25">
      <c r="A3174" s="218" t="s">
        <v>220</v>
      </c>
      <c r="B3174" s="218" t="s">
        <v>5430</v>
      </c>
      <c r="C3174" s="219" t="s">
        <v>6369</v>
      </c>
      <c r="D3174" s="212" t="s">
        <v>6370</v>
      </c>
      <c r="E3174" s="212" t="s">
        <v>545</v>
      </c>
      <c r="F3174" s="213">
        <v>1</v>
      </c>
      <c r="G3174" s="213">
        <v>0</v>
      </c>
      <c r="H3174" s="195">
        <f t="shared" si="49"/>
        <v>0</v>
      </c>
      <c r="I3174" s="212" t="s">
        <v>2354</v>
      </c>
    </row>
    <row r="3175" spans="1:9" x14ac:dyDescent="0.25">
      <c r="A3175" s="218" t="s">
        <v>220</v>
      </c>
      <c r="B3175" s="218" t="s">
        <v>5430</v>
      </c>
      <c r="C3175" s="219" t="s">
        <v>3385</v>
      </c>
      <c r="D3175" s="212" t="s">
        <v>3386</v>
      </c>
      <c r="E3175" s="212" t="s">
        <v>545</v>
      </c>
      <c r="F3175" s="213">
        <v>7</v>
      </c>
      <c r="G3175" s="213">
        <v>6.3577166666666658</v>
      </c>
      <c r="H3175" s="195">
        <f t="shared" si="49"/>
        <v>44.504016666666658</v>
      </c>
      <c r="I3175" s="212" t="s">
        <v>2354</v>
      </c>
    </row>
    <row r="3176" spans="1:9" x14ac:dyDescent="0.25">
      <c r="A3176" s="218" t="s">
        <v>220</v>
      </c>
      <c r="B3176" s="218" t="s">
        <v>5430</v>
      </c>
      <c r="C3176" s="219" t="s">
        <v>3397</v>
      </c>
      <c r="D3176" s="212" t="s">
        <v>3398</v>
      </c>
      <c r="E3176" s="212" t="s">
        <v>545</v>
      </c>
      <c r="F3176" s="213">
        <v>10</v>
      </c>
      <c r="G3176" s="213">
        <v>2.6760000000000002</v>
      </c>
      <c r="H3176" s="195">
        <f t="shared" si="49"/>
        <v>26.76</v>
      </c>
      <c r="I3176" s="212" t="s">
        <v>2354</v>
      </c>
    </row>
    <row r="3177" spans="1:9" x14ac:dyDescent="0.25">
      <c r="A3177" s="218" t="s">
        <v>220</v>
      </c>
      <c r="B3177" s="218" t="s">
        <v>5430</v>
      </c>
      <c r="C3177" s="219" t="s">
        <v>3399</v>
      </c>
      <c r="D3177" s="212" t="s">
        <v>3400</v>
      </c>
      <c r="E3177" s="212" t="s">
        <v>545</v>
      </c>
      <c r="F3177" s="213">
        <v>16</v>
      </c>
      <c r="G3177" s="213">
        <v>1.4670000000000001</v>
      </c>
      <c r="H3177" s="195">
        <f t="shared" si="49"/>
        <v>23.472000000000001</v>
      </c>
      <c r="I3177" s="212" t="s">
        <v>2354</v>
      </c>
    </row>
    <row r="3178" spans="1:9" x14ac:dyDescent="0.25">
      <c r="A3178" s="218" t="s">
        <v>220</v>
      </c>
      <c r="B3178" s="218" t="s">
        <v>5430</v>
      </c>
      <c r="C3178" s="219" t="s">
        <v>6371</v>
      </c>
      <c r="D3178" s="212" t="s">
        <v>6372</v>
      </c>
      <c r="E3178" s="212" t="s">
        <v>545</v>
      </c>
      <c r="F3178" s="213">
        <v>10</v>
      </c>
      <c r="G3178" s="213">
        <v>0.95299999999999996</v>
      </c>
      <c r="H3178" s="195">
        <f t="shared" si="49"/>
        <v>9.5299999999999994</v>
      </c>
      <c r="I3178" s="212" t="s">
        <v>2354</v>
      </c>
    </row>
    <row r="3179" spans="1:9" x14ac:dyDescent="0.25">
      <c r="A3179" s="218" t="s">
        <v>220</v>
      </c>
      <c r="B3179" s="218" t="s">
        <v>5430</v>
      </c>
      <c r="C3179" s="219" t="s">
        <v>6373</v>
      </c>
      <c r="D3179" s="212" t="s">
        <v>6374</v>
      </c>
      <c r="E3179" s="212" t="s">
        <v>545</v>
      </c>
      <c r="F3179" s="213">
        <v>14</v>
      </c>
      <c r="G3179" s="213">
        <v>125.1</v>
      </c>
      <c r="H3179" s="195">
        <f t="shared" si="49"/>
        <v>1751.3999999999999</v>
      </c>
      <c r="I3179" s="212" t="s">
        <v>2354</v>
      </c>
    </row>
    <row r="3180" spans="1:9" x14ac:dyDescent="0.25">
      <c r="A3180" s="218" t="s">
        <v>220</v>
      </c>
      <c r="B3180" s="218" t="s">
        <v>5430</v>
      </c>
      <c r="C3180" s="219" t="s">
        <v>3417</v>
      </c>
      <c r="D3180" s="212" t="s">
        <v>3418</v>
      </c>
      <c r="E3180" s="212" t="s">
        <v>545</v>
      </c>
      <c r="F3180" s="213">
        <v>1</v>
      </c>
      <c r="G3180" s="213">
        <v>489.53530000000001</v>
      </c>
      <c r="H3180" s="195">
        <f t="shared" si="49"/>
        <v>489.53530000000001</v>
      </c>
      <c r="I3180" s="212" t="s">
        <v>2354</v>
      </c>
    </row>
    <row r="3181" spans="1:9" x14ac:dyDescent="0.25">
      <c r="A3181" s="218" t="s">
        <v>220</v>
      </c>
      <c r="B3181" s="218" t="s">
        <v>5430</v>
      </c>
      <c r="C3181" s="219" t="s">
        <v>6375</v>
      </c>
      <c r="D3181" s="212" t="s">
        <v>6376</v>
      </c>
      <c r="E3181" s="212" t="s">
        <v>545</v>
      </c>
      <c r="F3181" s="213">
        <v>4</v>
      </c>
      <c r="G3181" s="213">
        <v>6.1845499999999989</v>
      </c>
      <c r="H3181" s="195">
        <f t="shared" si="49"/>
        <v>24.738199999999996</v>
      </c>
      <c r="I3181" s="212" t="s">
        <v>2354</v>
      </c>
    </row>
    <row r="3182" spans="1:9" x14ac:dyDescent="0.25">
      <c r="A3182" s="218" t="s">
        <v>220</v>
      </c>
      <c r="B3182" s="218" t="s">
        <v>5430</v>
      </c>
      <c r="C3182" s="219" t="s">
        <v>6377</v>
      </c>
      <c r="D3182" s="212" t="s">
        <v>6378</v>
      </c>
      <c r="E3182" s="212" t="s">
        <v>545</v>
      </c>
      <c r="F3182" s="213">
        <v>5</v>
      </c>
      <c r="G3182" s="213">
        <v>3.4497</v>
      </c>
      <c r="H3182" s="195">
        <f t="shared" si="49"/>
        <v>17.2485</v>
      </c>
      <c r="I3182" s="212" t="s">
        <v>2354</v>
      </c>
    </row>
    <row r="3183" spans="1:9" x14ac:dyDescent="0.25">
      <c r="A3183" s="218" t="s">
        <v>220</v>
      </c>
      <c r="B3183" s="218" t="s">
        <v>5430</v>
      </c>
      <c r="C3183" s="219" t="s">
        <v>6379</v>
      </c>
      <c r="D3183" s="212" t="s">
        <v>6380</v>
      </c>
      <c r="E3183" s="212" t="s">
        <v>545</v>
      </c>
      <c r="F3183" s="213">
        <v>1</v>
      </c>
      <c r="G3183" s="213">
        <v>39.974400000000003</v>
      </c>
      <c r="H3183" s="195">
        <f t="shared" si="49"/>
        <v>39.974400000000003</v>
      </c>
      <c r="I3183" s="212" t="s">
        <v>2354</v>
      </c>
    </row>
    <row r="3184" spans="1:9" x14ac:dyDescent="0.25">
      <c r="A3184" s="218" t="s">
        <v>220</v>
      </c>
      <c r="B3184" s="218" t="s">
        <v>5430</v>
      </c>
      <c r="C3184" s="219" t="s">
        <v>6381</v>
      </c>
      <c r="D3184" s="212" t="s">
        <v>6382</v>
      </c>
      <c r="E3184" s="212" t="s">
        <v>545</v>
      </c>
      <c r="F3184" s="213">
        <v>6</v>
      </c>
      <c r="G3184" s="213">
        <v>5.94</v>
      </c>
      <c r="H3184" s="195">
        <f t="shared" si="49"/>
        <v>35.64</v>
      </c>
      <c r="I3184" s="212" t="s">
        <v>2354</v>
      </c>
    </row>
    <row r="3185" spans="1:9" x14ac:dyDescent="0.25">
      <c r="A3185" s="218" t="s">
        <v>220</v>
      </c>
      <c r="B3185" s="218" t="s">
        <v>5430</v>
      </c>
      <c r="C3185" s="219" t="s">
        <v>6383</v>
      </c>
      <c r="D3185" s="212" t="s">
        <v>6384</v>
      </c>
      <c r="E3185" s="212" t="s">
        <v>545</v>
      </c>
      <c r="F3185" s="213">
        <v>10</v>
      </c>
      <c r="G3185" s="213">
        <v>2.5451999999999999</v>
      </c>
      <c r="H3185" s="195">
        <f t="shared" si="49"/>
        <v>25.451999999999998</v>
      </c>
      <c r="I3185" s="212" t="s">
        <v>2354</v>
      </c>
    </row>
    <row r="3186" spans="1:9" x14ac:dyDescent="0.25">
      <c r="A3186" s="218" t="s">
        <v>220</v>
      </c>
      <c r="B3186" s="218" t="s">
        <v>5430</v>
      </c>
      <c r="C3186" s="219" t="s">
        <v>6385</v>
      </c>
      <c r="D3186" s="212" t="s">
        <v>6386</v>
      </c>
      <c r="E3186" s="212" t="s">
        <v>545</v>
      </c>
      <c r="F3186" s="213">
        <v>4</v>
      </c>
      <c r="G3186" s="213">
        <v>54.843000000000004</v>
      </c>
      <c r="H3186" s="195">
        <f t="shared" si="49"/>
        <v>219.37200000000001</v>
      </c>
      <c r="I3186" s="212" t="s">
        <v>2354</v>
      </c>
    </row>
    <row r="3187" spans="1:9" x14ac:dyDescent="0.25">
      <c r="A3187" s="218" t="s">
        <v>220</v>
      </c>
      <c r="B3187" s="218" t="s">
        <v>5430</v>
      </c>
      <c r="C3187" s="219" t="s">
        <v>6387</v>
      </c>
      <c r="D3187" s="212" t="s">
        <v>6388</v>
      </c>
      <c r="E3187" s="212" t="s">
        <v>545</v>
      </c>
      <c r="F3187" s="213">
        <v>1</v>
      </c>
      <c r="G3187" s="213">
        <v>37.799999999999997</v>
      </c>
      <c r="H3187" s="195">
        <f t="shared" si="49"/>
        <v>37.799999999999997</v>
      </c>
      <c r="I3187" s="212" t="s">
        <v>2354</v>
      </c>
    </row>
    <row r="3188" spans="1:9" x14ac:dyDescent="0.25">
      <c r="A3188" s="218" t="s">
        <v>220</v>
      </c>
      <c r="B3188" s="218" t="s">
        <v>5430</v>
      </c>
      <c r="C3188" s="219" t="s">
        <v>6389</v>
      </c>
      <c r="D3188" s="212" t="s">
        <v>6390</v>
      </c>
      <c r="E3188" s="212" t="s">
        <v>545</v>
      </c>
      <c r="F3188" s="213">
        <v>1</v>
      </c>
      <c r="G3188" s="213">
        <v>43.271999999999998</v>
      </c>
      <c r="H3188" s="195">
        <f t="shared" si="49"/>
        <v>43.271999999999998</v>
      </c>
      <c r="I3188" s="212" t="s">
        <v>2354</v>
      </c>
    </row>
    <row r="3189" spans="1:9" x14ac:dyDescent="0.25">
      <c r="A3189" s="218" t="s">
        <v>220</v>
      </c>
      <c r="B3189" s="218" t="s">
        <v>5430</v>
      </c>
      <c r="C3189" s="219" t="s">
        <v>6391</v>
      </c>
      <c r="D3189" s="212" t="s">
        <v>6392</v>
      </c>
      <c r="E3189" s="212" t="s">
        <v>2387</v>
      </c>
      <c r="F3189" s="213">
        <v>28</v>
      </c>
      <c r="G3189" s="213">
        <v>3.056</v>
      </c>
      <c r="H3189" s="195">
        <f t="shared" si="49"/>
        <v>85.567999999999998</v>
      </c>
      <c r="I3189" s="212" t="s">
        <v>2354</v>
      </c>
    </row>
    <row r="3190" spans="1:9" x14ac:dyDescent="0.25">
      <c r="A3190" s="218" t="s">
        <v>220</v>
      </c>
      <c r="B3190" s="218" t="s">
        <v>5430</v>
      </c>
      <c r="C3190" s="219" t="s">
        <v>6393</v>
      </c>
      <c r="D3190" s="212" t="s">
        <v>6394</v>
      </c>
      <c r="E3190" s="212" t="s">
        <v>545</v>
      </c>
      <c r="F3190" s="213">
        <v>3</v>
      </c>
      <c r="G3190" s="213">
        <v>5.1765000000000008</v>
      </c>
      <c r="H3190" s="195">
        <f t="shared" si="49"/>
        <v>15.529500000000002</v>
      </c>
      <c r="I3190" s="212" t="s">
        <v>2354</v>
      </c>
    </row>
    <row r="3191" spans="1:9" x14ac:dyDescent="0.25">
      <c r="A3191" s="218" t="s">
        <v>220</v>
      </c>
      <c r="B3191" s="218" t="s">
        <v>5430</v>
      </c>
      <c r="C3191" s="219" t="s">
        <v>6395</v>
      </c>
      <c r="D3191" s="212" t="s">
        <v>6396</v>
      </c>
      <c r="E3191" s="212" t="s">
        <v>2473</v>
      </c>
      <c r="F3191" s="213">
        <v>1</v>
      </c>
      <c r="G3191" s="213">
        <v>3.4722499999999998</v>
      </c>
      <c r="H3191" s="195">
        <f t="shared" si="49"/>
        <v>3.4722499999999998</v>
      </c>
      <c r="I3191" s="212" t="s">
        <v>2354</v>
      </c>
    </row>
    <row r="3192" spans="1:9" x14ac:dyDescent="0.25">
      <c r="A3192" s="218" t="s">
        <v>220</v>
      </c>
      <c r="B3192" s="218" t="s">
        <v>5430</v>
      </c>
      <c r="C3192" s="219" t="s">
        <v>6397</v>
      </c>
      <c r="D3192" s="212" t="s">
        <v>6398</v>
      </c>
      <c r="E3192" s="212" t="s">
        <v>545</v>
      </c>
      <c r="F3192" s="213">
        <v>2</v>
      </c>
      <c r="G3192" s="213">
        <v>28.116</v>
      </c>
      <c r="H3192" s="195">
        <f t="shared" si="49"/>
        <v>56.231999999999999</v>
      </c>
      <c r="I3192" s="212" t="s">
        <v>2354</v>
      </c>
    </row>
    <row r="3193" spans="1:9" x14ac:dyDescent="0.25">
      <c r="A3193" s="218" t="s">
        <v>220</v>
      </c>
      <c r="B3193" s="218" t="s">
        <v>5430</v>
      </c>
      <c r="C3193" s="219" t="s">
        <v>6399</v>
      </c>
      <c r="D3193" s="212" t="s">
        <v>6400</v>
      </c>
      <c r="E3193" s="212" t="s">
        <v>545</v>
      </c>
      <c r="F3193" s="213">
        <v>20</v>
      </c>
      <c r="G3193" s="213">
        <v>4.32</v>
      </c>
      <c r="H3193" s="195">
        <f t="shared" si="49"/>
        <v>86.4</v>
      </c>
      <c r="I3193" s="212" t="s">
        <v>2354</v>
      </c>
    </row>
    <row r="3194" spans="1:9" x14ac:dyDescent="0.25">
      <c r="A3194" s="218" t="s">
        <v>220</v>
      </c>
      <c r="B3194" s="218" t="s">
        <v>5430</v>
      </c>
      <c r="C3194" s="219" t="s">
        <v>6401</v>
      </c>
      <c r="D3194" s="212" t="s">
        <v>6402</v>
      </c>
      <c r="E3194" s="212" t="s">
        <v>545</v>
      </c>
      <c r="F3194" s="213">
        <v>1</v>
      </c>
      <c r="G3194" s="213">
        <v>50.58</v>
      </c>
      <c r="H3194" s="195">
        <f t="shared" si="49"/>
        <v>50.58</v>
      </c>
      <c r="I3194" s="212" t="s">
        <v>2354</v>
      </c>
    </row>
    <row r="3195" spans="1:9" x14ac:dyDescent="0.25">
      <c r="A3195" s="218" t="s">
        <v>220</v>
      </c>
      <c r="B3195" s="218" t="s">
        <v>5430</v>
      </c>
      <c r="C3195" s="219" t="s">
        <v>6403</v>
      </c>
      <c r="D3195" s="212" t="s">
        <v>6404</v>
      </c>
      <c r="E3195" s="212" t="s">
        <v>545</v>
      </c>
      <c r="F3195" s="213">
        <v>2</v>
      </c>
      <c r="G3195" s="213">
        <v>40.701599999999999</v>
      </c>
      <c r="H3195" s="195">
        <f t="shared" si="49"/>
        <v>81.403199999999998</v>
      </c>
      <c r="I3195" s="212" t="s">
        <v>2354</v>
      </c>
    </row>
    <row r="3196" spans="1:9" x14ac:dyDescent="0.25">
      <c r="A3196" s="218" t="s">
        <v>220</v>
      </c>
      <c r="B3196" s="218" t="s">
        <v>5430</v>
      </c>
      <c r="C3196" s="219" t="s">
        <v>6405</v>
      </c>
      <c r="D3196" s="212" t="s">
        <v>6406</v>
      </c>
      <c r="E3196" s="212" t="s">
        <v>545</v>
      </c>
      <c r="F3196" s="213">
        <v>1</v>
      </c>
      <c r="G3196" s="213">
        <v>35.085599999999999</v>
      </c>
      <c r="H3196" s="195">
        <f t="shared" si="49"/>
        <v>35.085599999999999</v>
      </c>
      <c r="I3196" s="212" t="s">
        <v>2354</v>
      </c>
    </row>
    <row r="3197" spans="1:9" x14ac:dyDescent="0.25">
      <c r="A3197" s="218" t="s">
        <v>220</v>
      </c>
      <c r="B3197" s="218" t="s">
        <v>5430</v>
      </c>
      <c r="C3197" s="219" t="s">
        <v>6407</v>
      </c>
      <c r="D3197" s="212" t="s">
        <v>6408</v>
      </c>
      <c r="E3197" s="212" t="s">
        <v>545</v>
      </c>
      <c r="F3197" s="213">
        <v>1</v>
      </c>
      <c r="G3197" s="213">
        <v>42.160499999999999</v>
      </c>
      <c r="H3197" s="195">
        <f t="shared" si="49"/>
        <v>42.160499999999999</v>
      </c>
      <c r="I3197" s="212" t="s">
        <v>2354</v>
      </c>
    </row>
    <row r="3198" spans="1:9" x14ac:dyDescent="0.25">
      <c r="A3198" s="218" t="s">
        <v>220</v>
      </c>
      <c r="B3198" s="218" t="s">
        <v>5430</v>
      </c>
      <c r="C3198" s="219" t="s">
        <v>6409</v>
      </c>
      <c r="D3198" s="212" t="s">
        <v>6410</v>
      </c>
      <c r="E3198" s="212" t="s">
        <v>545</v>
      </c>
      <c r="F3198" s="213">
        <v>5</v>
      </c>
      <c r="G3198" s="213">
        <v>20.7</v>
      </c>
      <c r="H3198" s="195">
        <f t="shared" si="49"/>
        <v>103.5</v>
      </c>
      <c r="I3198" s="212" t="s">
        <v>2354</v>
      </c>
    </row>
    <row r="3199" spans="1:9" x14ac:dyDescent="0.25">
      <c r="A3199" s="218" t="s">
        <v>220</v>
      </c>
      <c r="B3199" s="218" t="s">
        <v>5430</v>
      </c>
      <c r="C3199" s="219" t="s">
        <v>6411</v>
      </c>
      <c r="D3199" s="212" t="s">
        <v>6412</v>
      </c>
      <c r="E3199" s="212" t="s">
        <v>545</v>
      </c>
      <c r="F3199" s="213">
        <v>5</v>
      </c>
      <c r="G3199" s="213">
        <v>25.2</v>
      </c>
      <c r="H3199" s="195">
        <f t="shared" si="49"/>
        <v>126</v>
      </c>
      <c r="I3199" s="212" t="s">
        <v>2354</v>
      </c>
    </row>
    <row r="3200" spans="1:9" x14ac:dyDescent="0.25">
      <c r="A3200" s="218" t="s">
        <v>220</v>
      </c>
      <c r="B3200" s="218" t="s">
        <v>5430</v>
      </c>
      <c r="C3200" s="219" t="s">
        <v>6413</v>
      </c>
      <c r="D3200" s="212" t="s">
        <v>6414</v>
      </c>
      <c r="E3200" s="212" t="s">
        <v>545</v>
      </c>
      <c r="F3200" s="213">
        <v>1</v>
      </c>
      <c r="G3200" s="213">
        <v>120.6</v>
      </c>
      <c r="H3200" s="195">
        <f t="shared" si="49"/>
        <v>120.6</v>
      </c>
      <c r="I3200" s="212" t="s">
        <v>2354</v>
      </c>
    </row>
    <row r="3201" spans="1:9" x14ac:dyDescent="0.25">
      <c r="A3201" s="218" t="s">
        <v>220</v>
      </c>
      <c r="B3201" s="218" t="s">
        <v>5430</v>
      </c>
      <c r="C3201" s="219" t="s">
        <v>6415</v>
      </c>
      <c r="D3201" s="212" t="s">
        <v>6416</v>
      </c>
      <c r="E3201" s="212" t="s">
        <v>545</v>
      </c>
      <c r="F3201" s="213">
        <v>11</v>
      </c>
      <c r="G3201" s="213">
        <v>199.80000000000004</v>
      </c>
      <c r="H3201" s="195">
        <f t="shared" si="49"/>
        <v>2197.8000000000006</v>
      </c>
      <c r="I3201" s="212" t="s">
        <v>2354</v>
      </c>
    </row>
    <row r="3202" spans="1:9" x14ac:dyDescent="0.25">
      <c r="A3202" s="218" t="s">
        <v>220</v>
      </c>
      <c r="B3202" s="218" t="s">
        <v>5430</v>
      </c>
      <c r="C3202" s="219" t="s">
        <v>6417</v>
      </c>
      <c r="D3202" s="212" t="s">
        <v>6418</v>
      </c>
      <c r="E3202" s="212" t="s">
        <v>545</v>
      </c>
      <c r="F3202" s="213">
        <v>2</v>
      </c>
      <c r="G3202" s="213">
        <v>37.646999999999998</v>
      </c>
      <c r="H3202" s="195">
        <f t="shared" si="49"/>
        <v>75.293999999999997</v>
      </c>
      <c r="I3202" s="212" t="s">
        <v>2354</v>
      </c>
    </row>
    <row r="3203" spans="1:9" x14ac:dyDescent="0.25">
      <c r="A3203" s="218" t="s">
        <v>220</v>
      </c>
      <c r="B3203" s="218" t="s">
        <v>5430</v>
      </c>
      <c r="C3203" s="219" t="s">
        <v>6419</v>
      </c>
      <c r="D3203" s="212" t="s">
        <v>6420</v>
      </c>
      <c r="E3203" s="212" t="s">
        <v>545</v>
      </c>
      <c r="F3203" s="213">
        <v>2</v>
      </c>
      <c r="G3203" s="213">
        <v>33.75</v>
      </c>
      <c r="H3203" s="195">
        <f t="shared" si="49"/>
        <v>67.5</v>
      </c>
      <c r="I3203" s="212" t="s">
        <v>2354</v>
      </c>
    </row>
    <row r="3204" spans="1:9" x14ac:dyDescent="0.25">
      <c r="A3204" s="218" t="s">
        <v>220</v>
      </c>
      <c r="B3204" s="218" t="s">
        <v>5430</v>
      </c>
      <c r="C3204" s="219" t="s">
        <v>6421</v>
      </c>
      <c r="D3204" s="212" t="s">
        <v>6422</v>
      </c>
      <c r="E3204" s="212" t="s">
        <v>545</v>
      </c>
      <c r="F3204" s="213">
        <v>4</v>
      </c>
      <c r="G3204" s="213">
        <v>102.06432</v>
      </c>
      <c r="H3204" s="195">
        <f t="shared" si="49"/>
        <v>408.25727999999998</v>
      </c>
      <c r="I3204" s="212" t="s">
        <v>2354</v>
      </c>
    </row>
    <row r="3205" spans="1:9" x14ac:dyDescent="0.25">
      <c r="A3205" s="218" t="s">
        <v>220</v>
      </c>
      <c r="B3205" s="218" t="s">
        <v>5430</v>
      </c>
      <c r="C3205" s="219" t="s">
        <v>6423</v>
      </c>
      <c r="D3205" s="212" t="s">
        <v>6424</v>
      </c>
      <c r="E3205" s="212" t="s">
        <v>545</v>
      </c>
      <c r="F3205" s="213">
        <v>2</v>
      </c>
      <c r="G3205" s="213">
        <v>28.116</v>
      </c>
      <c r="H3205" s="195">
        <f t="shared" ref="H3205:H3268" si="50">+F3205*G3205</f>
        <v>56.231999999999999</v>
      </c>
      <c r="I3205" s="212" t="s">
        <v>2354</v>
      </c>
    </row>
    <row r="3206" spans="1:9" x14ac:dyDescent="0.25">
      <c r="A3206" s="218" t="s">
        <v>220</v>
      </c>
      <c r="B3206" s="218" t="s">
        <v>5430</v>
      </c>
      <c r="C3206" s="219" t="s">
        <v>6425</v>
      </c>
      <c r="D3206" s="212" t="s">
        <v>6426</v>
      </c>
      <c r="E3206" s="212" t="s">
        <v>545</v>
      </c>
      <c r="F3206" s="213">
        <v>2</v>
      </c>
      <c r="G3206" s="213">
        <v>83.16</v>
      </c>
      <c r="H3206" s="195">
        <f t="shared" si="50"/>
        <v>166.32</v>
      </c>
      <c r="I3206" s="212" t="s">
        <v>2354</v>
      </c>
    </row>
    <row r="3207" spans="1:9" x14ac:dyDescent="0.25">
      <c r="A3207" s="218" t="s">
        <v>220</v>
      </c>
      <c r="B3207" s="218" t="s">
        <v>5430</v>
      </c>
      <c r="C3207" s="219" t="s">
        <v>6427</v>
      </c>
      <c r="D3207" s="212" t="s">
        <v>6428</v>
      </c>
      <c r="E3207" s="212" t="s">
        <v>545</v>
      </c>
      <c r="F3207" s="213">
        <v>2</v>
      </c>
      <c r="G3207" s="213">
        <v>24.803999999999998</v>
      </c>
      <c r="H3207" s="195">
        <f t="shared" si="50"/>
        <v>49.607999999999997</v>
      </c>
      <c r="I3207" s="212" t="s">
        <v>2354</v>
      </c>
    </row>
    <row r="3208" spans="1:9" x14ac:dyDescent="0.25">
      <c r="A3208" s="218" t="s">
        <v>220</v>
      </c>
      <c r="B3208" s="218" t="s">
        <v>5430</v>
      </c>
      <c r="C3208" s="219" t="s">
        <v>6429</v>
      </c>
      <c r="D3208" s="212" t="s">
        <v>6430</v>
      </c>
      <c r="E3208" s="212" t="s">
        <v>545</v>
      </c>
      <c r="F3208" s="213">
        <v>2</v>
      </c>
      <c r="G3208" s="213">
        <v>33.542099999999998</v>
      </c>
      <c r="H3208" s="195">
        <f t="shared" si="50"/>
        <v>67.084199999999996</v>
      </c>
      <c r="I3208" s="212" t="s">
        <v>2354</v>
      </c>
    </row>
    <row r="3209" spans="1:9" x14ac:dyDescent="0.25">
      <c r="A3209" s="218" t="s">
        <v>220</v>
      </c>
      <c r="B3209" s="218" t="s">
        <v>5430</v>
      </c>
      <c r="C3209" s="219" t="s">
        <v>6431</v>
      </c>
      <c r="D3209" s="212" t="s">
        <v>6432</v>
      </c>
      <c r="E3209" s="212" t="s">
        <v>545</v>
      </c>
      <c r="F3209" s="213">
        <v>1</v>
      </c>
      <c r="G3209" s="213">
        <v>58.968000000000004</v>
      </c>
      <c r="H3209" s="195">
        <f t="shared" si="50"/>
        <v>58.968000000000004</v>
      </c>
      <c r="I3209" s="212" t="s">
        <v>2354</v>
      </c>
    </row>
    <row r="3210" spans="1:9" x14ac:dyDescent="0.25">
      <c r="A3210" s="218" t="s">
        <v>220</v>
      </c>
      <c r="B3210" s="218" t="s">
        <v>5430</v>
      </c>
      <c r="C3210" s="219" t="s">
        <v>6433</v>
      </c>
      <c r="D3210" s="212" t="s">
        <v>6434</v>
      </c>
      <c r="E3210" s="212" t="s">
        <v>2473</v>
      </c>
      <c r="F3210" s="213">
        <v>3</v>
      </c>
      <c r="G3210" s="213">
        <v>227.97375</v>
      </c>
      <c r="H3210" s="195">
        <f t="shared" si="50"/>
        <v>683.92124999999999</v>
      </c>
      <c r="I3210" s="212" t="s">
        <v>2354</v>
      </c>
    </row>
    <row r="3211" spans="1:9" x14ac:dyDescent="0.25">
      <c r="A3211" s="218" t="s">
        <v>220</v>
      </c>
      <c r="B3211" s="218" t="s">
        <v>5430</v>
      </c>
      <c r="C3211" s="219" t="s">
        <v>6435</v>
      </c>
      <c r="D3211" s="212" t="s">
        <v>6436</v>
      </c>
      <c r="E3211" s="212" t="s">
        <v>545</v>
      </c>
      <c r="F3211" s="213">
        <v>2</v>
      </c>
      <c r="G3211" s="213">
        <v>77.004000000000005</v>
      </c>
      <c r="H3211" s="195">
        <f t="shared" si="50"/>
        <v>154.00800000000001</v>
      </c>
      <c r="I3211" s="212" t="s">
        <v>2354</v>
      </c>
    </row>
    <row r="3212" spans="1:9" x14ac:dyDescent="0.25">
      <c r="A3212" s="218" t="s">
        <v>220</v>
      </c>
      <c r="B3212" s="218" t="s">
        <v>5430</v>
      </c>
      <c r="C3212" s="219" t="s">
        <v>6437</v>
      </c>
      <c r="D3212" s="212" t="s">
        <v>6438</v>
      </c>
      <c r="E3212" s="212" t="s">
        <v>2473</v>
      </c>
      <c r="F3212" s="213">
        <v>2</v>
      </c>
      <c r="G3212" s="213">
        <v>76.105800000000002</v>
      </c>
      <c r="H3212" s="195">
        <f t="shared" si="50"/>
        <v>152.2116</v>
      </c>
      <c r="I3212" s="212" t="s">
        <v>2354</v>
      </c>
    </row>
    <row r="3213" spans="1:9" x14ac:dyDescent="0.25">
      <c r="A3213" s="218" t="s">
        <v>220</v>
      </c>
      <c r="B3213" s="218" t="s">
        <v>5430</v>
      </c>
      <c r="C3213" s="219" t="s">
        <v>6439</v>
      </c>
      <c r="D3213" s="212" t="s">
        <v>6440</v>
      </c>
      <c r="E3213" s="212" t="s">
        <v>545</v>
      </c>
      <c r="F3213" s="213">
        <v>2</v>
      </c>
      <c r="G3213" s="213">
        <v>78.525000000000006</v>
      </c>
      <c r="H3213" s="195">
        <f t="shared" si="50"/>
        <v>157.05000000000001</v>
      </c>
      <c r="I3213" s="212" t="s">
        <v>2354</v>
      </c>
    </row>
    <row r="3214" spans="1:9" x14ac:dyDescent="0.25">
      <c r="A3214" s="218" t="s">
        <v>220</v>
      </c>
      <c r="B3214" s="218" t="s">
        <v>5430</v>
      </c>
      <c r="C3214" s="219" t="s">
        <v>6441</v>
      </c>
      <c r="D3214" s="212" t="s">
        <v>6442</v>
      </c>
      <c r="E3214" s="212" t="s">
        <v>2473</v>
      </c>
      <c r="F3214" s="213">
        <v>2</v>
      </c>
      <c r="G3214" s="213">
        <v>131.00579999999999</v>
      </c>
      <c r="H3214" s="195">
        <f t="shared" si="50"/>
        <v>262.01159999999999</v>
      </c>
      <c r="I3214" s="212" t="s">
        <v>2354</v>
      </c>
    </row>
    <row r="3215" spans="1:9" x14ac:dyDescent="0.25">
      <c r="A3215" s="218" t="s">
        <v>220</v>
      </c>
      <c r="B3215" s="218" t="s">
        <v>5430</v>
      </c>
      <c r="C3215" s="219" t="s">
        <v>6443</v>
      </c>
      <c r="D3215" s="212" t="s">
        <v>6444</v>
      </c>
      <c r="E3215" s="212" t="s">
        <v>2473</v>
      </c>
      <c r="F3215" s="213">
        <v>2</v>
      </c>
      <c r="G3215" s="213">
        <v>131.0076</v>
      </c>
      <c r="H3215" s="195">
        <f t="shared" si="50"/>
        <v>262.01519999999999</v>
      </c>
      <c r="I3215" s="212" t="s">
        <v>2354</v>
      </c>
    </row>
    <row r="3216" spans="1:9" x14ac:dyDescent="0.25">
      <c r="A3216" s="218" t="s">
        <v>220</v>
      </c>
      <c r="B3216" s="218" t="s">
        <v>5430</v>
      </c>
      <c r="C3216" s="219" t="s">
        <v>6445</v>
      </c>
      <c r="D3216" s="212" t="s">
        <v>6446</v>
      </c>
      <c r="E3216" s="212" t="s">
        <v>2387</v>
      </c>
      <c r="F3216" s="213">
        <v>2</v>
      </c>
      <c r="G3216" s="213">
        <v>617.00580000000002</v>
      </c>
      <c r="H3216" s="195">
        <f t="shared" si="50"/>
        <v>1234.0116</v>
      </c>
      <c r="I3216" s="212" t="s">
        <v>2354</v>
      </c>
    </row>
    <row r="3217" spans="1:9" x14ac:dyDescent="0.25">
      <c r="A3217" s="218" t="s">
        <v>220</v>
      </c>
      <c r="B3217" s="218" t="s">
        <v>5430</v>
      </c>
      <c r="C3217" s="219" t="s">
        <v>6447</v>
      </c>
      <c r="D3217" s="212" t="s">
        <v>6448</v>
      </c>
      <c r="E3217" s="212" t="s">
        <v>545</v>
      </c>
      <c r="F3217" s="213">
        <v>4</v>
      </c>
      <c r="G3217" s="213">
        <v>177.80600000000001</v>
      </c>
      <c r="H3217" s="195">
        <f t="shared" si="50"/>
        <v>711.22400000000005</v>
      </c>
      <c r="I3217" s="212" t="s">
        <v>2354</v>
      </c>
    </row>
    <row r="3218" spans="1:9" x14ac:dyDescent="0.25">
      <c r="A3218" s="218" t="s">
        <v>220</v>
      </c>
      <c r="B3218" s="218" t="s">
        <v>5430</v>
      </c>
      <c r="C3218" s="219" t="s">
        <v>6449</v>
      </c>
      <c r="D3218" s="212" t="s">
        <v>6450</v>
      </c>
      <c r="E3218" s="212" t="s">
        <v>545</v>
      </c>
      <c r="F3218" s="213">
        <v>3</v>
      </c>
      <c r="G3218" s="213">
        <v>178.88</v>
      </c>
      <c r="H3218" s="195">
        <f t="shared" si="50"/>
        <v>536.64</v>
      </c>
      <c r="I3218" s="212" t="s">
        <v>2354</v>
      </c>
    </row>
    <row r="3219" spans="1:9" x14ac:dyDescent="0.25">
      <c r="A3219" s="218" t="s">
        <v>220</v>
      </c>
      <c r="B3219" s="218" t="s">
        <v>5430</v>
      </c>
      <c r="C3219" s="219" t="s">
        <v>6451</v>
      </c>
      <c r="D3219" s="212" t="s">
        <v>6452</v>
      </c>
      <c r="E3219" s="212" t="s">
        <v>545</v>
      </c>
      <c r="F3219" s="213">
        <v>3</v>
      </c>
      <c r="G3219" s="213">
        <v>17.510000000000002</v>
      </c>
      <c r="H3219" s="195">
        <f t="shared" si="50"/>
        <v>52.53</v>
      </c>
      <c r="I3219" s="212" t="s">
        <v>2354</v>
      </c>
    </row>
    <row r="3220" spans="1:9" x14ac:dyDescent="0.25">
      <c r="A3220" s="218" t="s">
        <v>220</v>
      </c>
      <c r="B3220" s="218" t="s">
        <v>5430</v>
      </c>
      <c r="C3220" s="219" t="s">
        <v>3453</v>
      </c>
      <c r="D3220" s="212" t="s">
        <v>3454</v>
      </c>
      <c r="E3220" s="212" t="s">
        <v>545</v>
      </c>
      <c r="F3220" s="213">
        <v>80</v>
      </c>
      <c r="G3220" s="213">
        <v>1.1475</v>
      </c>
      <c r="H3220" s="195">
        <f t="shared" si="50"/>
        <v>91.8</v>
      </c>
      <c r="I3220" s="212" t="s">
        <v>2354</v>
      </c>
    </row>
    <row r="3221" spans="1:9" x14ac:dyDescent="0.25">
      <c r="A3221" s="218" t="s">
        <v>220</v>
      </c>
      <c r="B3221" s="218" t="s">
        <v>5430</v>
      </c>
      <c r="C3221" s="219" t="s">
        <v>3455</v>
      </c>
      <c r="D3221" s="212" t="s">
        <v>3456</v>
      </c>
      <c r="E3221" s="212" t="s">
        <v>2387</v>
      </c>
      <c r="F3221" s="213">
        <v>30</v>
      </c>
      <c r="G3221" s="213">
        <v>1.6575</v>
      </c>
      <c r="H3221" s="195">
        <f t="shared" si="50"/>
        <v>49.725000000000001</v>
      </c>
      <c r="I3221" s="212" t="s">
        <v>2354</v>
      </c>
    </row>
    <row r="3222" spans="1:9" x14ac:dyDescent="0.25">
      <c r="A3222" s="218" t="s">
        <v>220</v>
      </c>
      <c r="B3222" s="218" t="s">
        <v>5430</v>
      </c>
      <c r="C3222" s="219" t="s">
        <v>3457</v>
      </c>
      <c r="D3222" s="212" t="s">
        <v>3458</v>
      </c>
      <c r="E3222" s="212" t="s">
        <v>2387</v>
      </c>
      <c r="F3222" s="213">
        <v>90</v>
      </c>
      <c r="G3222" s="213">
        <v>1.1511</v>
      </c>
      <c r="H3222" s="195">
        <f t="shared" si="50"/>
        <v>103.599</v>
      </c>
      <c r="I3222" s="212" t="s">
        <v>2354</v>
      </c>
    </row>
    <row r="3223" spans="1:9" x14ac:dyDescent="0.25">
      <c r="A3223" s="218" t="s">
        <v>220</v>
      </c>
      <c r="B3223" s="218" t="s">
        <v>5430</v>
      </c>
      <c r="C3223" s="219" t="s">
        <v>3461</v>
      </c>
      <c r="D3223" s="212" t="s">
        <v>3462</v>
      </c>
      <c r="E3223" s="212" t="s">
        <v>545</v>
      </c>
      <c r="F3223" s="213">
        <v>100</v>
      </c>
      <c r="G3223" s="213">
        <v>3.33</v>
      </c>
      <c r="H3223" s="195">
        <f t="shared" si="50"/>
        <v>333</v>
      </c>
      <c r="I3223" s="212" t="s">
        <v>2354</v>
      </c>
    </row>
    <row r="3224" spans="1:9" x14ac:dyDescent="0.25">
      <c r="A3224" s="218" t="s">
        <v>220</v>
      </c>
      <c r="B3224" s="218" t="s">
        <v>5430</v>
      </c>
      <c r="C3224" s="219" t="s">
        <v>3465</v>
      </c>
      <c r="D3224" s="212" t="s">
        <v>3466</v>
      </c>
      <c r="E3224" s="212" t="s">
        <v>545</v>
      </c>
      <c r="F3224" s="213">
        <v>2</v>
      </c>
      <c r="G3224" s="213">
        <v>8.0640000000000001</v>
      </c>
      <c r="H3224" s="195">
        <f t="shared" si="50"/>
        <v>16.128</v>
      </c>
      <c r="I3224" s="212" t="s">
        <v>2354</v>
      </c>
    </row>
    <row r="3225" spans="1:9" x14ac:dyDescent="0.25">
      <c r="A3225" s="218" t="s">
        <v>220</v>
      </c>
      <c r="B3225" s="218" t="s">
        <v>5430</v>
      </c>
      <c r="C3225" s="219" t="s">
        <v>6453</v>
      </c>
      <c r="D3225" s="212" t="s">
        <v>6454</v>
      </c>
      <c r="E3225" s="212" t="s">
        <v>545</v>
      </c>
      <c r="F3225" s="213">
        <v>7</v>
      </c>
      <c r="G3225" s="213">
        <v>11.196</v>
      </c>
      <c r="H3225" s="195">
        <f t="shared" si="50"/>
        <v>78.372</v>
      </c>
      <c r="I3225" s="212" t="s">
        <v>2354</v>
      </c>
    </row>
    <row r="3226" spans="1:9" x14ac:dyDescent="0.25">
      <c r="A3226" s="218" t="s">
        <v>220</v>
      </c>
      <c r="B3226" s="218" t="s">
        <v>5430</v>
      </c>
      <c r="C3226" s="219" t="s">
        <v>6455</v>
      </c>
      <c r="D3226" s="212" t="s">
        <v>6456</v>
      </c>
      <c r="E3226" s="212" t="s">
        <v>545</v>
      </c>
      <c r="F3226" s="213">
        <v>4</v>
      </c>
      <c r="G3226" s="213">
        <v>0</v>
      </c>
      <c r="H3226" s="195">
        <f t="shared" si="50"/>
        <v>0</v>
      </c>
      <c r="I3226" s="212" t="s">
        <v>2354</v>
      </c>
    </row>
    <row r="3227" spans="1:9" x14ac:dyDescent="0.25">
      <c r="A3227" s="218" t="s">
        <v>220</v>
      </c>
      <c r="B3227" s="218" t="s">
        <v>5430</v>
      </c>
      <c r="C3227" s="219" t="s">
        <v>6457</v>
      </c>
      <c r="D3227" s="212" t="s">
        <v>6458</v>
      </c>
      <c r="E3227" s="212" t="s">
        <v>545</v>
      </c>
      <c r="F3227" s="213">
        <v>19</v>
      </c>
      <c r="G3227" s="213">
        <v>1.5428333333333333</v>
      </c>
      <c r="H3227" s="195">
        <f t="shared" si="50"/>
        <v>29.313833333333331</v>
      </c>
      <c r="I3227" s="212" t="s">
        <v>2354</v>
      </c>
    </row>
    <row r="3228" spans="1:9" x14ac:dyDescent="0.25">
      <c r="A3228" s="218" t="s">
        <v>220</v>
      </c>
      <c r="B3228" s="218" t="s">
        <v>5430</v>
      </c>
      <c r="C3228" s="219" t="s">
        <v>3501</v>
      </c>
      <c r="D3228" s="212" t="s">
        <v>3502</v>
      </c>
      <c r="E3228" s="212" t="s">
        <v>545</v>
      </c>
      <c r="F3228" s="213">
        <v>5</v>
      </c>
      <c r="G3228" s="213">
        <v>2.9015151515151514</v>
      </c>
      <c r="H3228" s="195">
        <f t="shared" si="50"/>
        <v>14.507575757575758</v>
      </c>
      <c r="I3228" s="212" t="s">
        <v>2354</v>
      </c>
    </row>
    <row r="3229" spans="1:9" x14ac:dyDescent="0.25">
      <c r="A3229" s="218" t="s">
        <v>220</v>
      </c>
      <c r="B3229" s="218" t="s">
        <v>5430</v>
      </c>
      <c r="C3229" s="219" t="s">
        <v>6459</v>
      </c>
      <c r="D3229" s="212" t="s">
        <v>6460</v>
      </c>
      <c r="E3229" s="212" t="s">
        <v>545</v>
      </c>
      <c r="F3229" s="213">
        <v>10</v>
      </c>
      <c r="G3229" s="213">
        <v>0.77</v>
      </c>
      <c r="H3229" s="195">
        <f t="shared" si="50"/>
        <v>7.7</v>
      </c>
      <c r="I3229" s="212" t="s">
        <v>2354</v>
      </c>
    </row>
    <row r="3230" spans="1:9" x14ac:dyDescent="0.25">
      <c r="A3230" s="218" t="s">
        <v>220</v>
      </c>
      <c r="B3230" s="218" t="s">
        <v>5430</v>
      </c>
      <c r="C3230" s="219" t="s">
        <v>3503</v>
      </c>
      <c r="D3230" s="212" t="s">
        <v>3504</v>
      </c>
      <c r="E3230" s="212" t="s">
        <v>545</v>
      </c>
      <c r="F3230" s="213">
        <v>22</v>
      </c>
      <c r="G3230" s="213">
        <v>2.448</v>
      </c>
      <c r="H3230" s="195">
        <f t="shared" si="50"/>
        <v>53.856000000000002</v>
      </c>
      <c r="I3230" s="212" t="s">
        <v>2354</v>
      </c>
    </row>
    <row r="3231" spans="1:9" x14ac:dyDescent="0.25">
      <c r="A3231" s="218" t="s">
        <v>220</v>
      </c>
      <c r="B3231" s="218" t="s">
        <v>5430</v>
      </c>
      <c r="C3231" s="219" t="s">
        <v>6461</v>
      </c>
      <c r="D3231" s="212" t="s">
        <v>6462</v>
      </c>
      <c r="E3231" s="212" t="s">
        <v>545</v>
      </c>
      <c r="F3231" s="213">
        <v>2</v>
      </c>
      <c r="G3231" s="213">
        <v>0</v>
      </c>
      <c r="H3231" s="195">
        <f t="shared" si="50"/>
        <v>0</v>
      </c>
      <c r="I3231" s="212" t="s">
        <v>2354</v>
      </c>
    </row>
    <row r="3232" spans="1:9" x14ac:dyDescent="0.25">
      <c r="A3232" s="218" t="s">
        <v>220</v>
      </c>
      <c r="B3232" s="218" t="s">
        <v>5430</v>
      </c>
      <c r="C3232" s="219" t="s">
        <v>6463</v>
      </c>
      <c r="D3232" s="212" t="s">
        <v>6464</v>
      </c>
      <c r="E3232" s="212" t="s">
        <v>545</v>
      </c>
      <c r="F3232" s="213">
        <v>17</v>
      </c>
      <c r="G3232" s="213">
        <v>1.0608</v>
      </c>
      <c r="H3232" s="195">
        <f t="shared" si="50"/>
        <v>18.0336</v>
      </c>
      <c r="I3232" s="212" t="s">
        <v>2354</v>
      </c>
    </row>
    <row r="3233" spans="1:9" x14ac:dyDescent="0.25">
      <c r="A3233" s="218" t="s">
        <v>220</v>
      </c>
      <c r="B3233" s="218" t="s">
        <v>5430</v>
      </c>
      <c r="C3233" s="219" t="s">
        <v>3505</v>
      </c>
      <c r="D3233" s="212" t="s">
        <v>3506</v>
      </c>
      <c r="E3233" s="212" t="s">
        <v>545</v>
      </c>
      <c r="F3233" s="213">
        <v>83</v>
      </c>
      <c r="G3233" s="213">
        <v>11.22</v>
      </c>
      <c r="H3233" s="195">
        <f t="shared" si="50"/>
        <v>931.2600000000001</v>
      </c>
      <c r="I3233" s="212" t="s">
        <v>2354</v>
      </c>
    </row>
    <row r="3234" spans="1:9" x14ac:dyDescent="0.25">
      <c r="A3234" s="218" t="s">
        <v>220</v>
      </c>
      <c r="B3234" s="218" t="s">
        <v>5430</v>
      </c>
      <c r="C3234" s="219" t="s">
        <v>6465</v>
      </c>
      <c r="D3234" s="212" t="s">
        <v>3536</v>
      </c>
      <c r="E3234" s="212" t="s">
        <v>545</v>
      </c>
      <c r="F3234" s="213">
        <v>5</v>
      </c>
      <c r="G3234" s="213">
        <v>8.67</v>
      </c>
      <c r="H3234" s="195">
        <f t="shared" si="50"/>
        <v>43.35</v>
      </c>
      <c r="I3234" s="212" t="s">
        <v>2354</v>
      </c>
    </row>
    <row r="3235" spans="1:9" x14ac:dyDescent="0.25">
      <c r="A3235" s="218" t="s">
        <v>220</v>
      </c>
      <c r="B3235" s="218" t="s">
        <v>5430</v>
      </c>
      <c r="C3235" s="219" t="s">
        <v>6466</v>
      </c>
      <c r="D3235" s="212" t="s">
        <v>6467</v>
      </c>
      <c r="E3235" s="212" t="s">
        <v>545</v>
      </c>
      <c r="F3235" s="213">
        <v>10</v>
      </c>
      <c r="G3235" s="213">
        <v>2.6775000000000002</v>
      </c>
      <c r="H3235" s="195">
        <f t="shared" si="50"/>
        <v>26.775000000000002</v>
      </c>
      <c r="I3235" s="212" t="s">
        <v>2354</v>
      </c>
    </row>
    <row r="3236" spans="1:9" x14ac:dyDescent="0.25">
      <c r="A3236" s="218" t="s">
        <v>220</v>
      </c>
      <c r="B3236" s="218" t="s">
        <v>5430</v>
      </c>
      <c r="C3236" s="219" t="s">
        <v>6468</v>
      </c>
      <c r="D3236" s="212" t="s">
        <v>6469</v>
      </c>
      <c r="E3236" s="212" t="s">
        <v>545</v>
      </c>
      <c r="F3236" s="213">
        <v>1</v>
      </c>
      <c r="G3236" s="213">
        <v>4.8140999999999998</v>
      </c>
      <c r="H3236" s="195">
        <f t="shared" si="50"/>
        <v>4.8140999999999998</v>
      </c>
      <c r="I3236" s="212" t="s">
        <v>2354</v>
      </c>
    </row>
    <row r="3237" spans="1:9" x14ac:dyDescent="0.25">
      <c r="A3237" s="218" t="s">
        <v>220</v>
      </c>
      <c r="B3237" s="218" t="s">
        <v>5430</v>
      </c>
      <c r="C3237" s="219" t="s">
        <v>6470</v>
      </c>
      <c r="D3237" s="212" t="s">
        <v>6471</v>
      </c>
      <c r="E3237" s="212" t="s">
        <v>545</v>
      </c>
      <c r="F3237" s="213">
        <v>11</v>
      </c>
      <c r="G3237" s="213">
        <v>6.3074999999999992</v>
      </c>
      <c r="H3237" s="195">
        <f t="shared" si="50"/>
        <v>69.382499999999993</v>
      </c>
      <c r="I3237" s="212" t="s">
        <v>2354</v>
      </c>
    </row>
    <row r="3238" spans="1:9" x14ac:dyDescent="0.25">
      <c r="A3238" s="218" t="s">
        <v>220</v>
      </c>
      <c r="B3238" s="218" t="s">
        <v>5430</v>
      </c>
      <c r="C3238" s="219" t="s">
        <v>6472</v>
      </c>
      <c r="D3238" s="212" t="s">
        <v>6473</v>
      </c>
      <c r="E3238" s="212" t="s">
        <v>545</v>
      </c>
      <c r="F3238" s="213">
        <v>8</v>
      </c>
      <c r="G3238" s="213">
        <v>4.6749999999999998</v>
      </c>
      <c r="H3238" s="195">
        <f t="shared" si="50"/>
        <v>37.4</v>
      </c>
      <c r="I3238" s="212" t="s">
        <v>2354</v>
      </c>
    </row>
    <row r="3239" spans="1:9" x14ac:dyDescent="0.25">
      <c r="A3239" s="218" t="s">
        <v>220</v>
      </c>
      <c r="B3239" s="218" t="s">
        <v>5430</v>
      </c>
      <c r="C3239" s="219" t="s">
        <v>3521</v>
      </c>
      <c r="D3239" s="212" t="s">
        <v>3522</v>
      </c>
      <c r="E3239" s="212" t="s">
        <v>545</v>
      </c>
      <c r="F3239" s="213">
        <v>1</v>
      </c>
      <c r="G3239" s="213">
        <v>4.0460000000000003</v>
      </c>
      <c r="H3239" s="195">
        <f t="shared" si="50"/>
        <v>4.0460000000000003</v>
      </c>
      <c r="I3239" s="212" t="s">
        <v>2354</v>
      </c>
    </row>
    <row r="3240" spans="1:9" x14ac:dyDescent="0.25">
      <c r="A3240" s="218" t="s">
        <v>220</v>
      </c>
      <c r="B3240" s="218" t="s">
        <v>5430</v>
      </c>
      <c r="C3240" s="219" t="s">
        <v>3523</v>
      </c>
      <c r="D3240" s="212" t="s">
        <v>3524</v>
      </c>
      <c r="E3240" s="212" t="s">
        <v>545</v>
      </c>
      <c r="F3240" s="213">
        <v>8</v>
      </c>
      <c r="G3240" s="213">
        <v>1.153</v>
      </c>
      <c r="H3240" s="195">
        <f t="shared" si="50"/>
        <v>9.2240000000000002</v>
      </c>
      <c r="I3240" s="212" t="s">
        <v>2354</v>
      </c>
    </row>
    <row r="3241" spans="1:9" x14ac:dyDescent="0.25">
      <c r="A3241" s="218" t="s">
        <v>220</v>
      </c>
      <c r="B3241" s="218" t="s">
        <v>5430</v>
      </c>
      <c r="C3241" s="219" t="s">
        <v>3525</v>
      </c>
      <c r="D3241" s="212" t="s">
        <v>3526</v>
      </c>
      <c r="E3241" s="212" t="s">
        <v>545</v>
      </c>
      <c r="F3241" s="213">
        <v>8</v>
      </c>
      <c r="G3241" s="213">
        <v>0.8075</v>
      </c>
      <c r="H3241" s="195">
        <f t="shared" si="50"/>
        <v>6.46</v>
      </c>
      <c r="I3241" s="212" t="s">
        <v>2354</v>
      </c>
    </row>
    <row r="3242" spans="1:9" x14ac:dyDescent="0.25">
      <c r="A3242" s="218" t="s">
        <v>220</v>
      </c>
      <c r="B3242" s="218" t="s">
        <v>5430</v>
      </c>
      <c r="C3242" s="219" t="s">
        <v>3527</v>
      </c>
      <c r="D3242" s="212" t="s">
        <v>3528</v>
      </c>
      <c r="E3242" s="212" t="s">
        <v>545</v>
      </c>
      <c r="F3242" s="213">
        <v>5</v>
      </c>
      <c r="G3242" s="213">
        <v>1.0250999999999999</v>
      </c>
      <c r="H3242" s="195">
        <f t="shared" si="50"/>
        <v>5.1254999999999997</v>
      </c>
      <c r="I3242" s="212" t="s">
        <v>2354</v>
      </c>
    </row>
    <row r="3243" spans="1:9" x14ac:dyDescent="0.25">
      <c r="A3243" s="218" t="s">
        <v>220</v>
      </c>
      <c r="B3243" s="218" t="s">
        <v>5430</v>
      </c>
      <c r="C3243" s="219" t="s">
        <v>3529</v>
      </c>
      <c r="D3243" s="212" t="s">
        <v>3530</v>
      </c>
      <c r="E3243" s="212" t="s">
        <v>545</v>
      </c>
      <c r="F3243" s="213">
        <v>6</v>
      </c>
      <c r="G3243" s="213">
        <v>3.103017857142857</v>
      </c>
      <c r="H3243" s="195">
        <f t="shared" si="50"/>
        <v>18.618107142857141</v>
      </c>
      <c r="I3243" s="212" t="s">
        <v>2354</v>
      </c>
    </row>
    <row r="3244" spans="1:9" x14ac:dyDescent="0.25">
      <c r="A3244" s="218" t="s">
        <v>220</v>
      </c>
      <c r="B3244" s="218" t="s">
        <v>5430</v>
      </c>
      <c r="C3244" s="219" t="s">
        <v>3533</v>
      </c>
      <c r="D3244" s="212" t="s">
        <v>3534</v>
      </c>
      <c r="E3244" s="212" t="s">
        <v>545</v>
      </c>
      <c r="F3244" s="213">
        <v>9</v>
      </c>
      <c r="G3244" s="213">
        <v>2.3913333333333338</v>
      </c>
      <c r="H3244" s="195">
        <f t="shared" si="50"/>
        <v>21.522000000000006</v>
      </c>
      <c r="I3244" s="212" t="s">
        <v>2354</v>
      </c>
    </row>
    <row r="3245" spans="1:9" x14ac:dyDescent="0.25">
      <c r="A3245" s="218" t="s">
        <v>220</v>
      </c>
      <c r="B3245" s="218" t="s">
        <v>5430</v>
      </c>
      <c r="C3245" s="219" t="s">
        <v>6474</v>
      </c>
      <c r="D3245" s="212" t="s">
        <v>6475</v>
      </c>
      <c r="E3245" s="212" t="s">
        <v>545</v>
      </c>
      <c r="F3245" s="213">
        <v>1</v>
      </c>
      <c r="G3245" s="213">
        <v>1.9519066666666667</v>
      </c>
      <c r="H3245" s="195">
        <f t="shared" si="50"/>
        <v>1.9519066666666667</v>
      </c>
      <c r="I3245" s="212" t="s">
        <v>2354</v>
      </c>
    </row>
    <row r="3246" spans="1:9" x14ac:dyDescent="0.25">
      <c r="A3246" s="218" t="s">
        <v>220</v>
      </c>
      <c r="B3246" s="218" t="s">
        <v>5430</v>
      </c>
      <c r="C3246" s="219" t="s">
        <v>6476</v>
      </c>
      <c r="D3246" s="212" t="s">
        <v>3538</v>
      </c>
      <c r="E3246" s="212" t="s">
        <v>545</v>
      </c>
      <c r="F3246" s="213">
        <v>5</v>
      </c>
      <c r="G3246" s="213">
        <v>9.9719999999999995</v>
      </c>
      <c r="H3246" s="195">
        <f t="shared" si="50"/>
        <v>49.86</v>
      </c>
      <c r="I3246" s="212" t="s">
        <v>2354</v>
      </c>
    </row>
    <row r="3247" spans="1:9" x14ac:dyDescent="0.25">
      <c r="A3247" s="218" t="s">
        <v>220</v>
      </c>
      <c r="B3247" s="218" t="s">
        <v>5430</v>
      </c>
      <c r="C3247" s="219" t="s">
        <v>3545</v>
      </c>
      <c r="D3247" s="212" t="s">
        <v>3546</v>
      </c>
      <c r="E3247" s="212" t="s">
        <v>545</v>
      </c>
      <c r="F3247" s="213">
        <v>8</v>
      </c>
      <c r="G3247" s="213">
        <v>2.7899999999999996</v>
      </c>
      <c r="H3247" s="195">
        <f t="shared" si="50"/>
        <v>22.319999999999997</v>
      </c>
      <c r="I3247" s="212" t="s">
        <v>2354</v>
      </c>
    </row>
    <row r="3248" spans="1:9" x14ac:dyDescent="0.25">
      <c r="A3248" s="218" t="s">
        <v>220</v>
      </c>
      <c r="B3248" s="218" t="s">
        <v>5430</v>
      </c>
      <c r="C3248" s="219" t="s">
        <v>3547</v>
      </c>
      <c r="D3248" s="212" t="s">
        <v>3548</v>
      </c>
      <c r="E3248" s="212" t="s">
        <v>545</v>
      </c>
      <c r="F3248" s="213">
        <v>30</v>
      </c>
      <c r="G3248" s="213">
        <v>3.8079999999999998</v>
      </c>
      <c r="H3248" s="195">
        <f t="shared" si="50"/>
        <v>114.24</v>
      </c>
      <c r="I3248" s="212" t="s">
        <v>2354</v>
      </c>
    </row>
    <row r="3249" spans="1:9" x14ac:dyDescent="0.25">
      <c r="A3249" s="218" t="s">
        <v>220</v>
      </c>
      <c r="B3249" s="218" t="s">
        <v>5430</v>
      </c>
      <c r="C3249" s="219" t="s">
        <v>3549</v>
      </c>
      <c r="D3249" s="212" t="s">
        <v>3550</v>
      </c>
      <c r="E3249" s="212" t="s">
        <v>545</v>
      </c>
      <c r="F3249" s="213">
        <v>14</v>
      </c>
      <c r="G3249" s="213">
        <v>8.264325358851675</v>
      </c>
      <c r="H3249" s="195">
        <f t="shared" si="50"/>
        <v>115.70055502392344</v>
      </c>
      <c r="I3249" s="212" t="s">
        <v>2354</v>
      </c>
    </row>
    <row r="3250" spans="1:9" x14ac:dyDescent="0.25">
      <c r="A3250" s="218" t="s">
        <v>220</v>
      </c>
      <c r="B3250" s="218" t="s">
        <v>5430</v>
      </c>
      <c r="C3250" s="219" t="s">
        <v>3551</v>
      </c>
      <c r="D3250" s="212" t="s">
        <v>3552</v>
      </c>
      <c r="E3250" s="212" t="s">
        <v>545</v>
      </c>
      <c r="F3250" s="213">
        <v>24</v>
      </c>
      <c r="G3250" s="213">
        <v>3.3299999999999996</v>
      </c>
      <c r="H3250" s="195">
        <f t="shared" si="50"/>
        <v>79.919999999999987</v>
      </c>
      <c r="I3250" s="212" t="s">
        <v>2354</v>
      </c>
    </row>
    <row r="3251" spans="1:9" x14ac:dyDescent="0.25">
      <c r="A3251" s="218" t="s">
        <v>220</v>
      </c>
      <c r="B3251" s="218" t="s">
        <v>5430</v>
      </c>
      <c r="C3251" s="219" t="s">
        <v>6477</v>
      </c>
      <c r="D3251" s="212" t="s">
        <v>3554</v>
      </c>
      <c r="E3251" s="212" t="s">
        <v>545</v>
      </c>
      <c r="F3251" s="213">
        <v>25</v>
      </c>
      <c r="G3251" s="213">
        <v>3.298</v>
      </c>
      <c r="H3251" s="195">
        <f t="shared" si="50"/>
        <v>82.45</v>
      </c>
      <c r="I3251" s="212" t="s">
        <v>2354</v>
      </c>
    </row>
    <row r="3252" spans="1:9" x14ac:dyDescent="0.25">
      <c r="A3252" s="218" t="s">
        <v>220</v>
      </c>
      <c r="B3252" s="218" t="s">
        <v>5430</v>
      </c>
      <c r="C3252" s="219" t="s">
        <v>6478</v>
      </c>
      <c r="D3252" s="212" t="s">
        <v>3556</v>
      </c>
      <c r="E3252" s="212" t="s">
        <v>545</v>
      </c>
      <c r="F3252" s="213">
        <v>35</v>
      </c>
      <c r="G3252" s="213">
        <v>4.0205000000000002</v>
      </c>
      <c r="H3252" s="195">
        <f t="shared" si="50"/>
        <v>140.7175</v>
      </c>
      <c r="I3252" s="212" t="s">
        <v>2354</v>
      </c>
    </row>
    <row r="3253" spans="1:9" x14ac:dyDescent="0.25">
      <c r="A3253" s="218" t="s">
        <v>220</v>
      </c>
      <c r="B3253" s="218" t="s">
        <v>5430</v>
      </c>
      <c r="C3253" s="219" t="s">
        <v>3561</v>
      </c>
      <c r="D3253" s="212" t="s">
        <v>3562</v>
      </c>
      <c r="E3253" s="212" t="s">
        <v>545</v>
      </c>
      <c r="F3253" s="213">
        <v>24</v>
      </c>
      <c r="G3253" s="213">
        <v>1.7100000000000002</v>
      </c>
      <c r="H3253" s="195">
        <f t="shared" si="50"/>
        <v>41.040000000000006</v>
      </c>
      <c r="I3253" s="212" t="s">
        <v>2354</v>
      </c>
    </row>
    <row r="3254" spans="1:9" x14ac:dyDescent="0.25">
      <c r="A3254" s="218" t="s">
        <v>220</v>
      </c>
      <c r="B3254" s="218" t="s">
        <v>5430</v>
      </c>
      <c r="C3254" s="219" t="s">
        <v>3563</v>
      </c>
      <c r="D3254" s="212" t="s">
        <v>3564</v>
      </c>
      <c r="E3254" s="212" t="s">
        <v>545</v>
      </c>
      <c r="F3254" s="213">
        <v>24</v>
      </c>
      <c r="G3254" s="213">
        <v>1.7100000000000002</v>
      </c>
      <c r="H3254" s="195">
        <f t="shared" si="50"/>
        <v>41.040000000000006</v>
      </c>
      <c r="I3254" s="212" t="s">
        <v>2354</v>
      </c>
    </row>
    <row r="3255" spans="1:9" x14ac:dyDescent="0.25">
      <c r="A3255" s="218" t="s">
        <v>220</v>
      </c>
      <c r="B3255" s="218" t="s">
        <v>5430</v>
      </c>
      <c r="C3255" s="219" t="s">
        <v>3565</v>
      </c>
      <c r="D3255" s="212" t="s">
        <v>3566</v>
      </c>
      <c r="E3255" s="212" t="s">
        <v>545</v>
      </c>
      <c r="F3255" s="213">
        <v>32</v>
      </c>
      <c r="G3255" s="213">
        <v>2.7879999999999998</v>
      </c>
      <c r="H3255" s="195">
        <f t="shared" si="50"/>
        <v>89.215999999999994</v>
      </c>
      <c r="I3255" s="212" t="s">
        <v>2354</v>
      </c>
    </row>
    <row r="3256" spans="1:9" x14ac:dyDescent="0.25">
      <c r="A3256" s="218" t="s">
        <v>220</v>
      </c>
      <c r="B3256" s="218" t="s">
        <v>5430</v>
      </c>
      <c r="C3256" s="219" t="s">
        <v>3567</v>
      </c>
      <c r="D3256" s="212" t="s">
        <v>3568</v>
      </c>
      <c r="E3256" s="212" t="s">
        <v>545</v>
      </c>
      <c r="F3256" s="213">
        <v>7</v>
      </c>
      <c r="G3256" s="213">
        <v>7.2479626957759846</v>
      </c>
      <c r="H3256" s="195">
        <f t="shared" si="50"/>
        <v>50.735738870431895</v>
      </c>
      <c r="I3256" s="212" t="s">
        <v>2354</v>
      </c>
    </row>
    <row r="3257" spans="1:9" x14ac:dyDescent="0.25">
      <c r="A3257" s="218" t="s">
        <v>220</v>
      </c>
      <c r="B3257" s="218" t="s">
        <v>5430</v>
      </c>
      <c r="C3257" s="219" t="s">
        <v>3571</v>
      </c>
      <c r="D3257" s="212" t="s">
        <v>3572</v>
      </c>
      <c r="E3257" s="212" t="s">
        <v>545</v>
      </c>
      <c r="F3257" s="213">
        <v>11</v>
      </c>
      <c r="G3257" s="213">
        <v>13.428499999999998</v>
      </c>
      <c r="H3257" s="195">
        <f t="shared" si="50"/>
        <v>147.71349999999998</v>
      </c>
      <c r="I3257" s="212" t="s">
        <v>2354</v>
      </c>
    </row>
    <row r="3258" spans="1:9" x14ac:dyDescent="0.25">
      <c r="A3258" s="218" t="s">
        <v>220</v>
      </c>
      <c r="B3258" s="218" t="s">
        <v>5430</v>
      </c>
      <c r="C3258" s="219" t="s">
        <v>6479</v>
      </c>
      <c r="D3258" s="212" t="s">
        <v>6480</v>
      </c>
      <c r="E3258" s="212" t="s">
        <v>545</v>
      </c>
      <c r="F3258" s="213">
        <v>1</v>
      </c>
      <c r="G3258" s="213">
        <v>31.427100000000003</v>
      </c>
      <c r="H3258" s="195">
        <f t="shared" si="50"/>
        <v>31.427100000000003</v>
      </c>
      <c r="I3258" s="212" t="s">
        <v>2354</v>
      </c>
    </row>
    <row r="3259" spans="1:9" x14ac:dyDescent="0.25">
      <c r="A3259" s="218" t="s">
        <v>220</v>
      </c>
      <c r="B3259" s="218" t="s">
        <v>5430</v>
      </c>
      <c r="C3259" s="219" t="s">
        <v>2411</v>
      </c>
      <c r="D3259" s="212" t="s">
        <v>6481</v>
      </c>
      <c r="E3259" s="212" t="s">
        <v>545</v>
      </c>
      <c r="F3259" s="213">
        <v>42</v>
      </c>
      <c r="G3259" s="213">
        <v>2.88</v>
      </c>
      <c r="H3259" s="195">
        <f t="shared" si="50"/>
        <v>120.96</v>
      </c>
      <c r="I3259" s="212" t="s">
        <v>2354</v>
      </c>
    </row>
    <row r="3260" spans="1:9" x14ac:dyDescent="0.25">
      <c r="A3260" s="218" t="s">
        <v>220</v>
      </c>
      <c r="B3260" s="218" t="s">
        <v>5430</v>
      </c>
      <c r="C3260" s="219" t="s">
        <v>3575</v>
      </c>
      <c r="D3260" s="212" t="s">
        <v>3576</v>
      </c>
      <c r="E3260" s="212" t="s">
        <v>545</v>
      </c>
      <c r="F3260" s="213">
        <v>2</v>
      </c>
      <c r="G3260" s="213">
        <v>2.3111666666666668</v>
      </c>
      <c r="H3260" s="195">
        <f t="shared" si="50"/>
        <v>4.6223333333333336</v>
      </c>
      <c r="I3260" s="212" t="s">
        <v>2354</v>
      </c>
    </row>
    <row r="3261" spans="1:9" x14ac:dyDescent="0.25">
      <c r="A3261" s="218" t="s">
        <v>220</v>
      </c>
      <c r="B3261" s="218" t="s">
        <v>5430</v>
      </c>
      <c r="C3261" s="219" t="s">
        <v>3577</v>
      </c>
      <c r="D3261" s="212" t="s">
        <v>3578</v>
      </c>
      <c r="E3261" s="212" t="s">
        <v>545</v>
      </c>
      <c r="F3261" s="213">
        <v>12</v>
      </c>
      <c r="G3261" s="213">
        <v>11.475</v>
      </c>
      <c r="H3261" s="195">
        <f t="shared" si="50"/>
        <v>137.69999999999999</v>
      </c>
      <c r="I3261" s="212" t="s">
        <v>2354</v>
      </c>
    </row>
    <row r="3262" spans="1:9" x14ac:dyDescent="0.25">
      <c r="A3262" s="218" t="s">
        <v>220</v>
      </c>
      <c r="B3262" s="218" t="s">
        <v>5430</v>
      </c>
      <c r="C3262" s="219" t="s">
        <v>6482</v>
      </c>
      <c r="D3262" s="212" t="s">
        <v>6483</v>
      </c>
      <c r="E3262" s="212" t="s">
        <v>545</v>
      </c>
      <c r="F3262" s="213">
        <v>3</v>
      </c>
      <c r="G3262" s="213">
        <v>28.141200000000001</v>
      </c>
      <c r="H3262" s="195">
        <f t="shared" si="50"/>
        <v>84.423600000000008</v>
      </c>
      <c r="I3262" s="212" t="s">
        <v>2354</v>
      </c>
    </row>
    <row r="3263" spans="1:9" x14ac:dyDescent="0.25">
      <c r="A3263" s="218" t="s">
        <v>220</v>
      </c>
      <c r="B3263" s="218" t="s">
        <v>5430</v>
      </c>
      <c r="C3263" s="219" t="s">
        <v>6484</v>
      </c>
      <c r="D3263" s="212" t="s">
        <v>6485</v>
      </c>
      <c r="E3263" s="212" t="s">
        <v>545</v>
      </c>
      <c r="F3263" s="213">
        <v>14</v>
      </c>
      <c r="G3263" s="213">
        <v>6.687954545454545</v>
      </c>
      <c r="H3263" s="195">
        <f t="shared" si="50"/>
        <v>93.631363636363631</v>
      </c>
      <c r="I3263" s="212" t="s">
        <v>2354</v>
      </c>
    </row>
    <row r="3264" spans="1:9" x14ac:dyDescent="0.25">
      <c r="A3264" s="218" t="s">
        <v>220</v>
      </c>
      <c r="B3264" s="218" t="s">
        <v>5430</v>
      </c>
      <c r="C3264" s="219" t="s">
        <v>6486</v>
      </c>
      <c r="D3264" s="212" t="s">
        <v>6487</v>
      </c>
      <c r="E3264" s="212" t="s">
        <v>545</v>
      </c>
      <c r="F3264" s="213">
        <v>1</v>
      </c>
      <c r="G3264" s="213">
        <v>13.897500000000001</v>
      </c>
      <c r="H3264" s="195">
        <f t="shared" si="50"/>
        <v>13.897500000000001</v>
      </c>
      <c r="I3264" s="212" t="s">
        <v>2354</v>
      </c>
    </row>
    <row r="3265" spans="1:9" x14ac:dyDescent="0.25">
      <c r="A3265" s="218" t="s">
        <v>220</v>
      </c>
      <c r="B3265" s="218" t="s">
        <v>5430</v>
      </c>
      <c r="C3265" s="219" t="s">
        <v>6488</v>
      </c>
      <c r="D3265" s="212" t="s">
        <v>6489</v>
      </c>
      <c r="E3265" s="212" t="s">
        <v>545</v>
      </c>
      <c r="F3265" s="213">
        <v>4</v>
      </c>
      <c r="G3265" s="213">
        <v>7.9141538461538472</v>
      </c>
      <c r="H3265" s="195">
        <f t="shared" si="50"/>
        <v>31.656615384615389</v>
      </c>
      <c r="I3265" s="212" t="s">
        <v>2354</v>
      </c>
    </row>
    <row r="3266" spans="1:9" x14ac:dyDescent="0.25">
      <c r="A3266" s="218" t="s">
        <v>220</v>
      </c>
      <c r="B3266" s="218" t="s">
        <v>5430</v>
      </c>
      <c r="C3266" s="219" t="s">
        <v>6490</v>
      </c>
      <c r="D3266" s="212" t="s">
        <v>6491</v>
      </c>
      <c r="E3266" s="212" t="s">
        <v>545</v>
      </c>
      <c r="F3266" s="213">
        <v>9</v>
      </c>
      <c r="G3266" s="213">
        <v>6.1624999999999996</v>
      </c>
      <c r="H3266" s="195">
        <f t="shared" si="50"/>
        <v>55.462499999999999</v>
      </c>
      <c r="I3266" s="212" t="s">
        <v>2354</v>
      </c>
    </row>
    <row r="3267" spans="1:9" x14ac:dyDescent="0.25">
      <c r="A3267" s="218" t="s">
        <v>220</v>
      </c>
      <c r="B3267" s="218" t="s">
        <v>5430</v>
      </c>
      <c r="C3267" s="219" t="s">
        <v>3579</v>
      </c>
      <c r="D3267" s="212" t="s">
        <v>3580</v>
      </c>
      <c r="E3267" s="212" t="s">
        <v>545</v>
      </c>
      <c r="F3267" s="213">
        <v>45</v>
      </c>
      <c r="G3267" s="213">
        <v>2.7454999999999998</v>
      </c>
      <c r="H3267" s="195">
        <f t="shared" si="50"/>
        <v>123.54749999999999</v>
      </c>
      <c r="I3267" s="212" t="s">
        <v>2354</v>
      </c>
    </row>
    <row r="3268" spans="1:9" x14ac:dyDescent="0.25">
      <c r="A3268" s="218" t="s">
        <v>220</v>
      </c>
      <c r="B3268" s="218" t="s">
        <v>5430</v>
      </c>
      <c r="C3268" s="219" t="s">
        <v>6492</v>
      </c>
      <c r="D3268" s="212" t="s">
        <v>6493</v>
      </c>
      <c r="E3268" s="212" t="s">
        <v>545</v>
      </c>
      <c r="F3268" s="213">
        <v>2</v>
      </c>
      <c r="G3268" s="213">
        <v>4.2</v>
      </c>
      <c r="H3268" s="195">
        <f t="shared" si="50"/>
        <v>8.4</v>
      </c>
      <c r="I3268" s="212" t="s">
        <v>2354</v>
      </c>
    </row>
    <row r="3269" spans="1:9" x14ac:dyDescent="0.25">
      <c r="A3269" s="218" t="s">
        <v>220</v>
      </c>
      <c r="B3269" s="218" t="s">
        <v>5430</v>
      </c>
      <c r="C3269" s="219" t="s">
        <v>3583</v>
      </c>
      <c r="D3269" s="212" t="s">
        <v>3584</v>
      </c>
      <c r="E3269" s="212" t="s">
        <v>545</v>
      </c>
      <c r="F3269" s="213">
        <v>45</v>
      </c>
      <c r="G3269" s="213">
        <v>2.7</v>
      </c>
      <c r="H3269" s="195">
        <f t="shared" ref="H3269:H3332" si="51">+F3269*G3269</f>
        <v>121.50000000000001</v>
      </c>
      <c r="I3269" s="212" t="s">
        <v>2354</v>
      </c>
    </row>
    <row r="3270" spans="1:9" x14ac:dyDescent="0.25">
      <c r="A3270" s="218" t="s">
        <v>220</v>
      </c>
      <c r="B3270" s="218" t="s">
        <v>5430</v>
      </c>
      <c r="C3270" s="219" t="s">
        <v>6494</v>
      </c>
      <c r="D3270" s="212" t="s">
        <v>3586</v>
      </c>
      <c r="E3270" s="212" t="s">
        <v>545</v>
      </c>
      <c r="F3270" s="213">
        <v>25</v>
      </c>
      <c r="G3270" s="213">
        <v>2.8220000000000001</v>
      </c>
      <c r="H3270" s="195">
        <f t="shared" si="51"/>
        <v>70.55</v>
      </c>
      <c r="I3270" s="212" t="s">
        <v>2354</v>
      </c>
    </row>
    <row r="3271" spans="1:9" x14ac:dyDescent="0.25">
      <c r="A3271" s="218" t="s">
        <v>220</v>
      </c>
      <c r="B3271" s="218" t="s">
        <v>5430</v>
      </c>
      <c r="C3271" s="219" t="s">
        <v>3591</v>
      </c>
      <c r="D3271" s="212" t="s">
        <v>3592</v>
      </c>
      <c r="E3271" s="212" t="s">
        <v>545</v>
      </c>
      <c r="F3271" s="213">
        <v>25</v>
      </c>
      <c r="G3271" s="213">
        <v>2.7029999999999998</v>
      </c>
      <c r="H3271" s="195">
        <f t="shared" si="51"/>
        <v>67.575000000000003</v>
      </c>
      <c r="I3271" s="212" t="s">
        <v>2354</v>
      </c>
    </row>
    <row r="3272" spans="1:9" x14ac:dyDescent="0.25">
      <c r="A3272" s="218" t="s">
        <v>220</v>
      </c>
      <c r="B3272" s="218" t="s">
        <v>5430</v>
      </c>
      <c r="C3272" s="219" t="s">
        <v>3593</v>
      </c>
      <c r="D3272" s="212" t="s">
        <v>3594</v>
      </c>
      <c r="E3272" s="212" t="s">
        <v>545</v>
      </c>
      <c r="F3272" s="213">
        <v>1</v>
      </c>
      <c r="G3272" s="213">
        <v>3.383</v>
      </c>
      <c r="H3272" s="195">
        <f t="shared" si="51"/>
        <v>3.383</v>
      </c>
      <c r="I3272" s="212" t="s">
        <v>2354</v>
      </c>
    </row>
    <row r="3273" spans="1:9" x14ac:dyDescent="0.25">
      <c r="A3273" s="218" t="s">
        <v>220</v>
      </c>
      <c r="B3273" s="218" t="s">
        <v>5430</v>
      </c>
      <c r="C3273" s="219" t="s">
        <v>6495</v>
      </c>
      <c r="D3273" s="212" t="s">
        <v>6496</v>
      </c>
      <c r="E3273" s="212" t="s">
        <v>545</v>
      </c>
      <c r="F3273" s="213">
        <v>1</v>
      </c>
      <c r="G3273" s="213">
        <v>7.0054222222222222</v>
      </c>
      <c r="H3273" s="195">
        <f t="shared" si="51"/>
        <v>7.0054222222222222</v>
      </c>
      <c r="I3273" s="212" t="s">
        <v>2354</v>
      </c>
    </row>
    <row r="3274" spans="1:9" x14ac:dyDescent="0.25">
      <c r="A3274" s="218" t="s">
        <v>220</v>
      </c>
      <c r="B3274" s="218" t="s">
        <v>5430</v>
      </c>
      <c r="C3274" s="219" t="s">
        <v>6497</v>
      </c>
      <c r="D3274" s="212" t="s">
        <v>6498</v>
      </c>
      <c r="E3274" s="212" t="s">
        <v>545</v>
      </c>
      <c r="F3274" s="213">
        <v>35</v>
      </c>
      <c r="G3274" s="213">
        <v>3.2639999999999998</v>
      </c>
      <c r="H3274" s="195">
        <f t="shared" si="51"/>
        <v>114.24</v>
      </c>
      <c r="I3274" s="212" t="s">
        <v>2354</v>
      </c>
    </row>
    <row r="3275" spans="1:9" x14ac:dyDescent="0.25">
      <c r="A3275" s="218" t="s">
        <v>220</v>
      </c>
      <c r="B3275" s="218" t="s">
        <v>5430</v>
      </c>
      <c r="C3275" s="219" t="s">
        <v>6499</v>
      </c>
      <c r="D3275" s="212" t="s">
        <v>6500</v>
      </c>
      <c r="E3275" s="212" t="s">
        <v>545</v>
      </c>
      <c r="F3275" s="213">
        <v>2</v>
      </c>
      <c r="G3275" s="213">
        <v>48.705000000000005</v>
      </c>
      <c r="H3275" s="195">
        <f t="shared" si="51"/>
        <v>97.410000000000011</v>
      </c>
      <c r="I3275" s="212" t="s">
        <v>2354</v>
      </c>
    </row>
    <row r="3276" spans="1:9" x14ac:dyDescent="0.25">
      <c r="A3276" s="218" t="s">
        <v>220</v>
      </c>
      <c r="B3276" s="218" t="s">
        <v>5430</v>
      </c>
      <c r="C3276" s="219" t="s">
        <v>6501</v>
      </c>
      <c r="D3276" s="212" t="s">
        <v>6502</v>
      </c>
      <c r="E3276" s="212" t="s">
        <v>545</v>
      </c>
      <c r="F3276" s="213">
        <v>1</v>
      </c>
      <c r="G3276" s="213">
        <v>23.387</v>
      </c>
      <c r="H3276" s="195">
        <f t="shared" si="51"/>
        <v>23.387</v>
      </c>
      <c r="I3276" s="212" t="s">
        <v>2354</v>
      </c>
    </row>
    <row r="3277" spans="1:9" x14ac:dyDescent="0.25">
      <c r="A3277" s="218" t="s">
        <v>220</v>
      </c>
      <c r="B3277" s="218" t="s">
        <v>5430</v>
      </c>
      <c r="C3277" s="219" t="s">
        <v>6503</v>
      </c>
      <c r="D3277" s="212" t="s">
        <v>6504</v>
      </c>
      <c r="E3277" s="212" t="s">
        <v>545</v>
      </c>
      <c r="F3277" s="213">
        <v>7</v>
      </c>
      <c r="G3277" s="213">
        <v>2.125</v>
      </c>
      <c r="H3277" s="195">
        <f t="shared" si="51"/>
        <v>14.875</v>
      </c>
      <c r="I3277" s="212" t="s">
        <v>2354</v>
      </c>
    </row>
    <row r="3278" spans="1:9" x14ac:dyDescent="0.25">
      <c r="A3278" s="218" t="s">
        <v>220</v>
      </c>
      <c r="B3278" s="218" t="s">
        <v>5430</v>
      </c>
      <c r="C3278" s="219" t="s">
        <v>6505</v>
      </c>
      <c r="D3278" s="212" t="s">
        <v>6506</v>
      </c>
      <c r="E3278" s="212" t="s">
        <v>545</v>
      </c>
      <c r="F3278" s="213">
        <v>1</v>
      </c>
      <c r="G3278" s="213">
        <v>14.16</v>
      </c>
      <c r="H3278" s="195">
        <f t="shared" si="51"/>
        <v>14.16</v>
      </c>
      <c r="I3278" s="212" t="s">
        <v>2354</v>
      </c>
    </row>
    <row r="3279" spans="1:9" x14ac:dyDescent="0.25">
      <c r="A3279" s="218" t="s">
        <v>220</v>
      </c>
      <c r="B3279" s="218" t="s">
        <v>5430</v>
      </c>
      <c r="C3279" s="219" t="s">
        <v>6507</v>
      </c>
      <c r="D3279" s="212" t="s">
        <v>6508</v>
      </c>
      <c r="E3279" s="212" t="s">
        <v>545</v>
      </c>
      <c r="F3279" s="213">
        <v>5</v>
      </c>
      <c r="G3279" s="213">
        <v>15.05</v>
      </c>
      <c r="H3279" s="195">
        <f t="shared" si="51"/>
        <v>75.25</v>
      </c>
      <c r="I3279" s="212" t="s">
        <v>2354</v>
      </c>
    </row>
    <row r="3280" spans="1:9" x14ac:dyDescent="0.25">
      <c r="A3280" s="218" t="s">
        <v>220</v>
      </c>
      <c r="B3280" s="218" t="s">
        <v>5430</v>
      </c>
      <c r="C3280" s="219" t="s">
        <v>6509</v>
      </c>
      <c r="D3280" s="212" t="s">
        <v>6510</v>
      </c>
      <c r="E3280" s="212" t="s">
        <v>545</v>
      </c>
      <c r="F3280" s="213">
        <v>4</v>
      </c>
      <c r="G3280" s="213">
        <v>0</v>
      </c>
      <c r="H3280" s="195">
        <f t="shared" si="51"/>
        <v>0</v>
      </c>
      <c r="I3280" s="212" t="s">
        <v>2354</v>
      </c>
    </row>
    <row r="3281" spans="1:9" x14ac:dyDescent="0.25">
      <c r="A3281" s="218" t="s">
        <v>220</v>
      </c>
      <c r="B3281" s="218" t="s">
        <v>5430</v>
      </c>
      <c r="C3281" s="219" t="s">
        <v>6511</v>
      </c>
      <c r="D3281" s="212" t="s">
        <v>6512</v>
      </c>
      <c r="E3281" s="212" t="s">
        <v>2473</v>
      </c>
      <c r="F3281" s="213">
        <v>9</v>
      </c>
      <c r="G3281" s="213">
        <v>17.102</v>
      </c>
      <c r="H3281" s="195">
        <f t="shared" si="51"/>
        <v>153.91800000000001</v>
      </c>
      <c r="I3281" s="212" t="s">
        <v>2354</v>
      </c>
    </row>
    <row r="3282" spans="1:9" x14ac:dyDescent="0.25">
      <c r="A3282" s="218" t="s">
        <v>220</v>
      </c>
      <c r="B3282" s="218" t="s">
        <v>5430</v>
      </c>
      <c r="C3282" s="219" t="s">
        <v>6513</v>
      </c>
      <c r="D3282" s="212" t="s">
        <v>6514</v>
      </c>
      <c r="E3282" s="212" t="s">
        <v>545</v>
      </c>
      <c r="F3282" s="213">
        <v>2</v>
      </c>
      <c r="G3282" s="213">
        <v>24.225000000000001</v>
      </c>
      <c r="H3282" s="195">
        <f t="shared" si="51"/>
        <v>48.45</v>
      </c>
      <c r="I3282" s="212" t="s">
        <v>2354</v>
      </c>
    </row>
    <row r="3283" spans="1:9" x14ac:dyDescent="0.25">
      <c r="A3283" s="218" t="s">
        <v>220</v>
      </c>
      <c r="B3283" s="218" t="s">
        <v>5430</v>
      </c>
      <c r="C3283" s="219" t="s">
        <v>6515</v>
      </c>
      <c r="D3283" s="212" t="s">
        <v>6516</v>
      </c>
      <c r="E3283" s="212" t="s">
        <v>545</v>
      </c>
      <c r="F3283" s="213">
        <v>10</v>
      </c>
      <c r="G3283" s="213">
        <v>9.34</v>
      </c>
      <c r="H3283" s="195">
        <f t="shared" si="51"/>
        <v>93.4</v>
      </c>
      <c r="I3283" s="212" t="s">
        <v>2354</v>
      </c>
    </row>
    <row r="3284" spans="1:9" x14ac:dyDescent="0.25">
      <c r="A3284" s="218" t="s">
        <v>220</v>
      </c>
      <c r="B3284" s="218" t="s">
        <v>5430</v>
      </c>
      <c r="C3284" s="219" t="s">
        <v>3595</v>
      </c>
      <c r="D3284" s="212" t="s">
        <v>3596</v>
      </c>
      <c r="E3284" s="212" t="s">
        <v>545</v>
      </c>
      <c r="F3284" s="213">
        <v>48</v>
      </c>
      <c r="G3284" s="213">
        <v>3.2980000000000005</v>
      </c>
      <c r="H3284" s="195">
        <f t="shared" si="51"/>
        <v>158.30400000000003</v>
      </c>
      <c r="I3284" s="212" t="s">
        <v>2354</v>
      </c>
    </row>
    <row r="3285" spans="1:9" x14ac:dyDescent="0.25">
      <c r="A3285" s="218" t="s">
        <v>220</v>
      </c>
      <c r="B3285" s="218" t="s">
        <v>5430</v>
      </c>
      <c r="C3285" s="219" t="s">
        <v>6517</v>
      </c>
      <c r="D3285" s="212" t="s">
        <v>3598</v>
      </c>
      <c r="E3285" s="212" t="s">
        <v>545</v>
      </c>
      <c r="F3285" s="213">
        <v>81</v>
      </c>
      <c r="G3285" s="213">
        <v>3.077</v>
      </c>
      <c r="H3285" s="195">
        <f t="shared" si="51"/>
        <v>249.23699999999999</v>
      </c>
      <c r="I3285" s="212" t="s">
        <v>2354</v>
      </c>
    </row>
    <row r="3286" spans="1:9" x14ac:dyDescent="0.25">
      <c r="A3286" s="218" t="s">
        <v>220</v>
      </c>
      <c r="B3286" s="218" t="s">
        <v>5430</v>
      </c>
      <c r="C3286" s="219" t="s">
        <v>6518</v>
      </c>
      <c r="D3286" s="212" t="s">
        <v>3600</v>
      </c>
      <c r="E3286" s="212" t="s">
        <v>545</v>
      </c>
      <c r="F3286" s="213">
        <v>39</v>
      </c>
      <c r="G3286" s="213">
        <v>3.57</v>
      </c>
      <c r="H3286" s="195">
        <f t="shared" si="51"/>
        <v>139.22999999999999</v>
      </c>
      <c r="I3286" s="212" t="s">
        <v>2354</v>
      </c>
    </row>
    <row r="3287" spans="1:9" x14ac:dyDescent="0.25">
      <c r="A3287" s="218" t="s">
        <v>220</v>
      </c>
      <c r="B3287" s="218" t="s">
        <v>5430</v>
      </c>
      <c r="C3287" s="219" t="s">
        <v>6519</v>
      </c>
      <c r="D3287" s="212" t="s">
        <v>6520</v>
      </c>
      <c r="E3287" s="212" t="s">
        <v>545</v>
      </c>
      <c r="F3287" s="213">
        <v>4</v>
      </c>
      <c r="G3287" s="213">
        <v>0</v>
      </c>
      <c r="H3287" s="195">
        <f t="shared" si="51"/>
        <v>0</v>
      </c>
      <c r="I3287" s="212" t="s">
        <v>2354</v>
      </c>
    </row>
    <row r="3288" spans="1:9" x14ac:dyDescent="0.25">
      <c r="A3288" s="218" t="s">
        <v>220</v>
      </c>
      <c r="B3288" s="218" t="s">
        <v>5430</v>
      </c>
      <c r="C3288" s="219" t="s">
        <v>2440</v>
      </c>
      <c r="D3288" s="212" t="s">
        <v>6521</v>
      </c>
      <c r="E3288" s="212" t="s">
        <v>545</v>
      </c>
      <c r="F3288" s="213">
        <v>28</v>
      </c>
      <c r="G3288" s="213">
        <v>2.6179999999999999</v>
      </c>
      <c r="H3288" s="195">
        <f t="shared" si="51"/>
        <v>73.304000000000002</v>
      </c>
      <c r="I3288" s="212" t="s">
        <v>2354</v>
      </c>
    </row>
    <row r="3289" spans="1:9" x14ac:dyDescent="0.25">
      <c r="A3289" s="218" t="s">
        <v>220</v>
      </c>
      <c r="B3289" s="218" t="s">
        <v>5430</v>
      </c>
      <c r="C3289" s="219" t="s">
        <v>6522</v>
      </c>
      <c r="D3289" s="212" t="s">
        <v>6523</v>
      </c>
      <c r="E3289" s="212" t="s">
        <v>545</v>
      </c>
      <c r="F3289" s="213">
        <v>2</v>
      </c>
      <c r="G3289" s="213">
        <v>5.2279999999999998</v>
      </c>
      <c r="H3289" s="195">
        <f t="shared" si="51"/>
        <v>10.456</v>
      </c>
      <c r="I3289" s="212" t="s">
        <v>2354</v>
      </c>
    </row>
    <row r="3290" spans="1:9" x14ac:dyDescent="0.25">
      <c r="A3290" s="218" t="s">
        <v>220</v>
      </c>
      <c r="B3290" s="218" t="s">
        <v>5430</v>
      </c>
      <c r="C3290" s="219" t="s">
        <v>6524</v>
      </c>
      <c r="D3290" s="212" t="s">
        <v>6525</v>
      </c>
      <c r="E3290" s="212" t="s">
        <v>545</v>
      </c>
      <c r="F3290" s="213">
        <v>1</v>
      </c>
      <c r="G3290" s="213">
        <v>31.875</v>
      </c>
      <c r="H3290" s="195">
        <f t="shared" si="51"/>
        <v>31.875</v>
      </c>
      <c r="I3290" s="212" t="s">
        <v>2354</v>
      </c>
    </row>
    <row r="3291" spans="1:9" x14ac:dyDescent="0.25">
      <c r="A3291" s="218" t="s">
        <v>220</v>
      </c>
      <c r="B3291" s="218" t="s">
        <v>5430</v>
      </c>
      <c r="C3291" s="219" t="s">
        <v>6526</v>
      </c>
      <c r="D3291" s="212" t="s">
        <v>6527</v>
      </c>
      <c r="E3291" s="212" t="s">
        <v>545</v>
      </c>
      <c r="F3291" s="213">
        <v>8</v>
      </c>
      <c r="G3291" s="213">
        <v>4.25</v>
      </c>
      <c r="H3291" s="195">
        <f t="shared" si="51"/>
        <v>34</v>
      </c>
      <c r="I3291" s="212" t="s">
        <v>2354</v>
      </c>
    </row>
    <row r="3292" spans="1:9" x14ac:dyDescent="0.25">
      <c r="A3292" s="218" t="s">
        <v>220</v>
      </c>
      <c r="B3292" s="218" t="s">
        <v>5430</v>
      </c>
      <c r="C3292" s="219" t="s">
        <v>6528</v>
      </c>
      <c r="D3292" s="212" t="s">
        <v>6529</v>
      </c>
      <c r="E3292" s="212" t="s">
        <v>545</v>
      </c>
      <c r="F3292" s="213">
        <v>10</v>
      </c>
      <c r="G3292" s="213">
        <v>0</v>
      </c>
      <c r="H3292" s="195">
        <f t="shared" si="51"/>
        <v>0</v>
      </c>
      <c r="I3292" s="212" t="s">
        <v>2354</v>
      </c>
    </row>
    <row r="3293" spans="1:9" x14ac:dyDescent="0.25">
      <c r="A3293" s="218" t="s">
        <v>220</v>
      </c>
      <c r="B3293" s="218" t="s">
        <v>5430</v>
      </c>
      <c r="C3293" s="219" t="s">
        <v>6530</v>
      </c>
      <c r="D3293" s="212" t="s">
        <v>6531</v>
      </c>
      <c r="E3293" s="212" t="s">
        <v>545</v>
      </c>
      <c r="F3293" s="213">
        <v>6</v>
      </c>
      <c r="G3293" s="213">
        <v>0</v>
      </c>
      <c r="H3293" s="195">
        <f t="shared" si="51"/>
        <v>0</v>
      </c>
      <c r="I3293" s="212" t="s">
        <v>2354</v>
      </c>
    </row>
    <row r="3294" spans="1:9" x14ac:dyDescent="0.25">
      <c r="A3294" s="218" t="s">
        <v>220</v>
      </c>
      <c r="B3294" s="218" t="s">
        <v>5430</v>
      </c>
      <c r="C3294" s="219" t="s">
        <v>6532</v>
      </c>
      <c r="D3294" s="212" t="s">
        <v>6533</v>
      </c>
      <c r="E3294" s="212" t="s">
        <v>545</v>
      </c>
      <c r="F3294" s="213">
        <v>16</v>
      </c>
      <c r="G3294" s="213">
        <v>5.3125</v>
      </c>
      <c r="H3294" s="195">
        <f t="shared" si="51"/>
        <v>85</v>
      </c>
      <c r="I3294" s="212" t="s">
        <v>2354</v>
      </c>
    </row>
    <row r="3295" spans="1:9" x14ac:dyDescent="0.25">
      <c r="A3295" s="218" t="s">
        <v>220</v>
      </c>
      <c r="B3295" s="218" t="s">
        <v>5430</v>
      </c>
      <c r="C3295" s="219" t="s">
        <v>6534</v>
      </c>
      <c r="D3295" s="212" t="s">
        <v>6535</v>
      </c>
      <c r="E3295" s="212" t="s">
        <v>545</v>
      </c>
      <c r="F3295" s="213">
        <v>1</v>
      </c>
      <c r="G3295" s="213">
        <v>0</v>
      </c>
      <c r="H3295" s="195">
        <f t="shared" si="51"/>
        <v>0</v>
      </c>
      <c r="I3295" s="212" t="s">
        <v>2354</v>
      </c>
    </row>
    <row r="3296" spans="1:9" x14ac:dyDescent="0.25">
      <c r="A3296" s="218" t="s">
        <v>220</v>
      </c>
      <c r="B3296" s="218" t="s">
        <v>5430</v>
      </c>
      <c r="C3296" s="219" t="s">
        <v>2433</v>
      </c>
      <c r="D3296" s="212" t="s">
        <v>6536</v>
      </c>
      <c r="E3296" s="212" t="s">
        <v>545</v>
      </c>
      <c r="F3296" s="213">
        <v>21</v>
      </c>
      <c r="G3296" s="213">
        <v>5.5419999999999998</v>
      </c>
      <c r="H3296" s="195">
        <f t="shared" si="51"/>
        <v>116.38199999999999</v>
      </c>
      <c r="I3296" s="212" t="s">
        <v>2354</v>
      </c>
    </row>
    <row r="3297" spans="1:9" x14ac:dyDescent="0.25">
      <c r="A3297" s="218" t="s">
        <v>220</v>
      </c>
      <c r="B3297" s="218" t="s">
        <v>5430</v>
      </c>
      <c r="C3297" s="219" t="s">
        <v>6537</v>
      </c>
      <c r="D3297" s="212" t="s">
        <v>6538</v>
      </c>
      <c r="E3297" s="212" t="s">
        <v>545</v>
      </c>
      <c r="F3297" s="213">
        <v>20</v>
      </c>
      <c r="G3297" s="213">
        <v>5.52</v>
      </c>
      <c r="H3297" s="195">
        <f t="shared" si="51"/>
        <v>110.39999999999999</v>
      </c>
      <c r="I3297" s="212" t="s">
        <v>2354</v>
      </c>
    </row>
    <row r="3298" spans="1:9" x14ac:dyDescent="0.25">
      <c r="A3298" s="218" t="s">
        <v>220</v>
      </c>
      <c r="B3298" s="218" t="s">
        <v>5430</v>
      </c>
      <c r="C3298" s="219" t="s">
        <v>6539</v>
      </c>
      <c r="D3298" s="212" t="s">
        <v>6540</v>
      </c>
      <c r="E3298" s="212" t="s">
        <v>545</v>
      </c>
      <c r="F3298" s="213">
        <v>6</v>
      </c>
      <c r="G3298" s="213">
        <v>12.8</v>
      </c>
      <c r="H3298" s="195">
        <f t="shared" si="51"/>
        <v>76.800000000000011</v>
      </c>
      <c r="I3298" s="212" t="s">
        <v>2354</v>
      </c>
    </row>
    <row r="3299" spans="1:9" x14ac:dyDescent="0.25">
      <c r="A3299" s="218" t="s">
        <v>220</v>
      </c>
      <c r="B3299" s="218" t="s">
        <v>5430</v>
      </c>
      <c r="C3299" s="219" t="s">
        <v>6541</v>
      </c>
      <c r="D3299" s="212" t="s">
        <v>6542</v>
      </c>
      <c r="E3299" s="212" t="s">
        <v>545</v>
      </c>
      <c r="F3299" s="213">
        <v>3</v>
      </c>
      <c r="G3299" s="213">
        <v>25.6</v>
      </c>
      <c r="H3299" s="195">
        <f t="shared" si="51"/>
        <v>76.800000000000011</v>
      </c>
      <c r="I3299" s="212" t="s">
        <v>2354</v>
      </c>
    </row>
    <row r="3300" spans="1:9" x14ac:dyDescent="0.25">
      <c r="A3300" s="218" t="s">
        <v>220</v>
      </c>
      <c r="B3300" s="218" t="s">
        <v>5430</v>
      </c>
      <c r="C3300" s="219" t="s">
        <v>6543</v>
      </c>
      <c r="D3300" s="212" t="s">
        <v>6544</v>
      </c>
      <c r="E3300" s="212" t="s">
        <v>545</v>
      </c>
      <c r="F3300" s="213">
        <v>9</v>
      </c>
      <c r="G3300" s="213">
        <v>22.4</v>
      </c>
      <c r="H3300" s="195">
        <f t="shared" si="51"/>
        <v>201.6</v>
      </c>
      <c r="I3300" s="212" t="s">
        <v>2354</v>
      </c>
    </row>
    <row r="3301" spans="1:9" x14ac:dyDescent="0.25">
      <c r="A3301" s="218" t="s">
        <v>220</v>
      </c>
      <c r="B3301" s="218" t="s">
        <v>5430</v>
      </c>
      <c r="C3301" s="219" t="s">
        <v>6545</v>
      </c>
      <c r="D3301" s="212" t="s">
        <v>6546</v>
      </c>
      <c r="E3301" s="212" t="s">
        <v>545</v>
      </c>
      <c r="F3301" s="213">
        <v>8</v>
      </c>
      <c r="G3301" s="213">
        <v>11.2</v>
      </c>
      <c r="H3301" s="195">
        <f t="shared" si="51"/>
        <v>89.6</v>
      </c>
      <c r="I3301" s="212" t="s">
        <v>2354</v>
      </c>
    </row>
    <row r="3302" spans="1:9" x14ac:dyDescent="0.25">
      <c r="A3302" s="218" t="s">
        <v>220</v>
      </c>
      <c r="B3302" s="218" t="s">
        <v>5430</v>
      </c>
      <c r="C3302" s="219" t="s">
        <v>6547</v>
      </c>
      <c r="D3302" s="212" t="s">
        <v>6548</v>
      </c>
      <c r="E3302" s="212" t="s">
        <v>545</v>
      </c>
      <c r="F3302" s="213">
        <v>2</v>
      </c>
      <c r="G3302" s="213">
        <v>21.8</v>
      </c>
      <c r="H3302" s="195">
        <f t="shared" si="51"/>
        <v>43.6</v>
      </c>
      <c r="I3302" s="212" t="s">
        <v>2354</v>
      </c>
    </row>
    <row r="3303" spans="1:9" x14ac:dyDescent="0.25">
      <c r="A3303" s="218" t="s">
        <v>220</v>
      </c>
      <c r="B3303" s="218" t="s">
        <v>5430</v>
      </c>
      <c r="C3303" s="219" t="s">
        <v>6549</v>
      </c>
      <c r="D3303" s="212" t="s">
        <v>6550</v>
      </c>
      <c r="E3303" s="212" t="s">
        <v>545</v>
      </c>
      <c r="F3303" s="213">
        <v>8</v>
      </c>
      <c r="G3303" s="213">
        <v>1.8</v>
      </c>
      <c r="H3303" s="195">
        <f t="shared" si="51"/>
        <v>14.4</v>
      </c>
      <c r="I3303" s="212" t="s">
        <v>2354</v>
      </c>
    </row>
    <row r="3304" spans="1:9" x14ac:dyDescent="0.25">
      <c r="A3304" s="218" t="s">
        <v>220</v>
      </c>
      <c r="B3304" s="218" t="s">
        <v>5430</v>
      </c>
      <c r="C3304" s="219" t="s">
        <v>6551</v>
      </c>
      <c r="D3304" s="212" t="s">
        <v>6552</v>
      </c>
      <c r="E3304" s="212" t="s">
        <v>545</v>
      </c>
      <c r="F3304" s="213">
        <v>3</v>
      </c>
      <c r="G3304" s="213">
        <v>7.65</v>
      </c>
      <c r="H3304" s="195">
        <f t="shared" si="51"/>
        <v>22.950000000000003</v>
      </c>
      <c r="I3304" s="212" t="s">
        <v>2354</v>
      </c>
    </row>
    <row r="3305" spans="1:9" x14ac:dyDescent="0.25">
      <c r="A3305" s="218" t="s">
        <v>220</v>
      </c>
      <c r="B3305" s="218" t="s">
        <v>5430</v>
      </c>
      <c r="C3305" s="219" t="s">
        <v>6553</v>
      </c>
      <c r="D3305" s="212" t="s">
        <v>6554</v>
      </c>
      <c r="E3305" s="212" t="s">
        <v>545</v>
      </c>
      <c r="F3305" s="213">
        <v>9</v>
      </c>
      <c r="G3305" s="213">
        <v>8.6265000000000001</v>
      </c>
      <c r="H3305" s="195">
        <f t="shared" si="51"/>
        <v>77.638499999999993</v>
      </c>
      <c r="I3305" s="212" t="s">
        <v>2354</v>
      </c>
    </row>
    <row r="3306" spans="1:9" x14ac:dyDescent="0.25">
      <c r="A3306" s="218" t="s">
        <v>220</v>
      </c>
      <c r="B3306" s="218" t="s">
        <v>5430</v>
      </c>
      <c r="C3306" s="219" t="s">
        <v>6555</v>
      </c>
      <c r="D3306" s="212" t="s">
        <v>6556</v>
      </c>
      <c r="E3306" s="212" t="s">
        <v>545</v>
      </c>
      <c r="F3306" s="213">
        <v>4</v>
      </c>
      <c r="G3306" s="213">
        <v>36.269500000000001</v>
      </c>
      <c r="H3306" s="195">
        <f t="shared" si="51"/>
        <v>145.078</v>
      </c>
      <c r="I3306" s="212" t="s">
        <v>2354</v>
      </c>
    </row>
    <row r="3307" spans="1:9" x14ac:dyDescent="0.25">
      <c r="A3307" s="218" t="s">
        <v>220</v>
      </c>
      <c r="B3307" s="218" t="s">
        <v>5430</v>
      </c>
      <c r="C3307" s="219" t="s">
        <v>6557</v>
      </c>
      <c r="D3307" s="212" t="s">
        <v>6558</v>
      </c>
      <c r="E3307" s="212" t="s">
        <v>545</v>
      </c>
      <c r="F3307" s="213">
        <v>4</v>
      </c>
      <c r="G3307" s="213">
        <v>0</v>
      </c>
      <c r="H3307" s="195">
        <f t="shared" si="51"/>
        <v>0</v>
      </c>
      <c r="I3307" s="212" t="s">
        <v>2354</v>
      </c>
    </row>
    <row r="3308" spans="1:9" x14ac:dyDescent="0.25">
      <c r="A3308" s="218" t="s">
        <v>220</v>
      </c>
      <c r="B3308" s="218" t="s">
        <v>5430</v>
      </c>
      <c r="C3308" s="219" t="s">
        <v>6559</v>
      </c>
      <c r="D3308" s="212" t="s">
        <v>6560</v>
      </c>
      <c r="E3308" s="212" t="s">
        <v>545</v>
      </c>
      <c r="F3308" s="213">
        <v>2</v>
      </c>
      <c r="G3308" s="213">
        <v>13.387499999999999</v>
      </c>
      <c r="H3308" s="195">
        <f t="shared" si="51"/>
        <v>26.774999999999999</v>
      </c>
      <c r="I3308" s="212" t="s">
        <v>2354</v>
      </c>
    </row>
    <row r="3309" spans="1:9" x14ac:dyDescent="0.25">
      <c r="A3309" s="218" t="s">
        <v>220</v>
      </c>
      <c r="B3309" s="218" t="s">
        <v>5430</v>
      </c>
      <c r="C3309" s="219" t="s">
        <v>3637</v>
      </c>
      <c r="D3309" s="212" t="s">
        <v>3638</v>
      </c>
      <c r="E3309" s="212" t="s">
        <v>545</v>
      </c>
      <c r="F3309" s="213">
        <v>10</v>
      </c>
      <c r="G3309" s="213">
        <v>1.6830000000000001</v>
      </c>
      <c r="H3309" s="195">
        <f t="shared" si="51"/>
        <v>16.830000000000002</v>
      </c>
      <c r="I3309" s="212" t="s">
        <v>2354</v>
      </c>
    </row>
    <row r="3310" spans="1:9" x14ac:dyDescent="0.25">
      <c r="A3310" s="218" t="s">
        <v>220</v>
      </c>
      <c r="B3310" s="218" t="s">
        <v>5430</v>
      </c>
      <c r="C3310" s="219" t="s">
        <v>3639</v>
      </c>
      <c r="D3310" s="212" t="s">
        <v>3640</v>
      </c>
      <c r="E3310" s="212" t="s">
        <v>545</v>
      </c>
      <c r="F3310" s="213">
        <v>4</v>
      </c>
      <c r="G3310" s="213">
        <v>1.9935000000000003</v>
      </c>
      <c r="H3310" s="195">
        <f t="shared" si="51"/>
        <v>7.9740000000000011</v>
      </c>
      <c r="I3310" s="212" t="s">
        <v>2354</v>
      </c>
    </row>
    <row r="3311" spans="1:9" x14ac:dyDescent="0.25">
      <c r="A3311" s="218" t="s">
        <v>220</v>
      </c>
      <c r="B3311" s="218" t="s">
        <v>5430</v>
      </c>
      <c r="C3311" s="219" t="s">
        <v>3641</v>
      </c>
      <c r="D3311" s="212" t="s">
        <v>3642</v>
      </c>
      <c r="E3311" s="212" t="s">
        <v>545</v>
      </c>
      <c r="F3311" s="213">
        <v>8</v>
      </c>
      <c r="G3311" s="213">
        <v>2.8834363636363638</v>
      </c>
      <c r="H3311" s="195">
        <f t="shared" si="51"/>
        <v>23.06749090909091</v>
      </c>
      <c r="I3311" s="212" t="s">
        <v>2354</v>
      </c>
    </row>
    <row r="3312" spans="1:9" x14ac:dyDescent="0.25">
      <c r="A3312" s="218" t="s">
        <v>220</v>
      </c>
      <c r="B3312" s="218" t="s">
        <v>5430</v>
      </c>
      <c r="C3312" s="219" t="s">
        <v>3645</v>
      </c>
      <c r="D3312" s="212" t="s">
        <v>3646</v>
      </c>
      <c r="E3312" s="212" t="s">
        <v>545</v>
      </c>
      <c r="F3312" s="213">
        <v>10</v>
      </c>
      <c r="G3312" s="213">
        <v>4.5022500000000001</v>
      </c>
      <c r="H3312" s="195">
        <f t="shared" si="51"/>
        <v>45.022500000000001</v>
      </c>
      <c r="I3312" s="212" t="s">
        <v>2354</v>
      </c>
    </row>
    <row r="3313" spans="1:9" x14ac:dyDescent="0.25">
      <c r="A3313" s="218" t="s">
        <v>220</v>
      </c>
      <c r="B3313" s="218" t="s">
        <v>5430</v>
      </c>
      <c r="C3313" s="219" t="s">
        <v>3647</v>
      </c>
      <c r="D3313" s="212" t="s">
        <v>3648</v>
      </c>
      <c r="E3313" s="212" t="s">
        <v>545</v>
      </c>
      <c r="F3313" s="213">
        <v>4</v>
      </c>
      <c r="G3313" s="213">
        <v>9.7188999999999997</v>
      </c>
      <c r="H3313" s="195">
        <f t="shared" si="51"/>
        <v>38.875599999999999</v>
      </c>
      <c r="I3313" s="212" t="s">
        <v>2354</v>
      </c>
    </row>
    <row r="3314" spans="1:9" x14ac:dyDescent="0.25">
      <c r="A3314" s="218" t="s">
        <v>220</v>
      </c>
      <c r="B3314" s="218" t="s">
        <v>5430</v>
      </c>
      <c r="C3314" s="219" t="s">
        <v>3649</v>
      </c>
      <c r="D3314" s="212" t="s">
        <v>3650</v>
      </c>
      <c r="E3314" s="212" t="s">
        <v>545</v>
      </c>
      <c r="F3314" s="213">
        <v>7</v>
      </c>
      <c r="G3314" s="213">
        <v>4.93</v>
      </c>
      <c r="H3314" s="195">
        <f t="shared" si="51"/>
        <v>34.51</v>
      </c>
      <c r="I3314" s="212" t="s">
        <v>2354</v>
      </c>
    </row>
    <row r="3315" spans="1:9" x14ac:dyDescent="0.25">
      <c r="A3315" s="218" t="s">
        <v>220</v>
      </c>
      <c r="B3315" s="218" t="s">
        <v>5430</v>
      </c>
      <c r="C3315" s="219" t="s">
        <v>3655</v>
      </c>
      <c r="D3315" s="212" t="s">
        <v>3656</v>
      </c>
      <c r="E3315" s="212" t="s">
        <v>545</v>
      </c>
      <c r="F3315" s="213">
        <v>35</v>
      </c>
      <c r="G3315" s="213">
        <v>3.6</v>
      </c>
      <c r="H3315" s="195">
        <f t="shared" si="51"/>
        <v>126</v>
      </c>
      <c r="I3315" s="212" t="s">
        <v>2354</v>
      </c>
    </row>
    <row r="3316" spans="1:9" x14ac:dyDescent="0.25">
      <c r="A3316" s="218" t="s">
        <v>220</v>
      </c>
      <c r="B3316" s="218" t="s">
        <v>5430</v>
      </c>
      <c r="C3316" s="219" t="s">
        <v>6561</v>
      </c>
      <c r="D3316" s="212" t="s">
        <v>6562</v>
      </c>
      <c r="E3316" s="212" t="s">
        <v>545</v>
      </c>
      <c r="F3316" s="213">
        <v>2</v>
      </c>
      <c r="G3316" s="213">
        <v>1.0922499999999999</v>
      </c>
      <c r="H3316" s="195">
        <f t="shared" si="51"/>
        <v>2.1844999999999999</v>
      </c>
      <c r="I3316" s="212" t="s">
        <v>2354</v>
      </c>
    </row>
    <row r="3317" spans="1:9" x14ac:dyDescent="0.25">
      <c r="A3317" s="218" t="s">
        <v>220</v>
      </c>
      <c r="B3317" s="218" t="s">
        <v>5430</v>
      </c>
      <c r="C3317" s="219" t="s">
        <v>3657</v>
      </c>
      <c r="D3317" s="212" t="s">
        <v>3658</v>
      </c>
      <c r="E3317" s="212" t="s">
        <v>545</v>
      </c>
      <c r="F3317" s="213">
        <v>5</v>
      </c>
      <c r="G3317" s="213">
        <v>6.2409999999999997</v>
      </c>
      <c r="H3317" s="195">
        <f t="shared" si="51"/>
        <v>31.204999999999998</v>
      </c>
      <c r="I3317" s="212" t="s">
        <v>2354</v>
      </c>
    </row>
    <row r="3318" spans="1:9" x14ac:dyDescent="0.25">
      <c r="A3318" s="218" t="s">
        <v>220</v>
      </c>
      <c r="B3318" s="218" t="s">
        <v>5430</v>
      </c>
      <c r="C3318" s="219" t="s">
        <v>3663</v>
      </c>
      <c r="D3318" s="212" t="s">
        <v>3664</v>
      </c>
      <c r="E3318" s="212" t="s">
        <v>545</v>
      </c>
      <c r="F3318" s="213">
        <v>11</v>
      </c>
      <c r="G3318" s="213">
        <v>2.17</v>
      </c>
      <c r="H3318" s="195">
        <f t="shared" si="51"/>
        <v>23.869999999999997</v>
      </c>
      <c r="I3318" s="212" t="s">
        <v>2354</v>
      </c>
    </row>
    <row r="3319" spans="1:9" x14ac:dyDescent="0.25">
      <c r="A3319" s="218" t="s">
        <v>220</v>
      </c>
      <c r="B3319" s="218" t="s">
        <v>5430</v>
      </c>
      <c r="C3319" s="219" t="s">
        <v>6563</v>
      </c>
      <c r="D3319" s="212" t="s">
        <v>6564</v>
      </c>
      <c r="E3319" s="212" t="s">
        <v>545</v>
      </c>
      <c r="F3319" s="213">
        <v>1</v>
      </c>
      <c r="G3319" s="213">
        <v>1.0922499999999999</v>
      </c>
      <c r="H3319" s="195">
        <f t="shared" si="51"/>
        <v>1.0922499999999999</v>
      </c>
      <c r="I3319" s="212" t="s">
        <v>2354</v>
      </c>
    </row>
    <row r="3320" spans="1:9" x14ac:dyDescent="0.25">
      <c r="A3320" s="218" t="s">
        <v>220</v>
      </c>
      <c r="B3320" s="218" t="s">
        <v>5430</v>
      </c>
      <c r="C3320" s="219" t="s">
        <v>3667</v>
      </c>
      <c r="D3320" s="212" t="s">
        <v>3668</v>
      </c>
      <c r="E3320" s="212" t="s">
        <v>545</v>
      </c>
      <c r="F3320" s="213">
        <v>2</v>
      </c>
      <c r="G3320" s="213">
        <v>1.472</v>
      </c>
      <c r="H3320" s="195">
        <f t="shared" si="51"/>
        <v>2.944</v>
      </c>
      <c r="I3320" s="212" t="s">
        <v>2354</v>
      </c>
    </row>
    <row r="3321" spans="1:9" x14ac:dyDescent="0.25">
      <c r="A3321" s="218" t="s">
        <v>220</v>
      </c>
      <c r="B3321" s="218" t="s">
        <v>5430</v>
      </c>
      <c r="C3321" s="219" t="s">
        <v>6565</v>
      </c>
      <c r="D3321" s="212" t="s">
        <v>6566</v>
      </c>
      <c r="E3321" s="212" t="s">
        <v>545</v>
      </c>
      <c r="F3321" s="213">
        <v>2</v>
      </c>
      <c r="G3321" s="213">
        <v>7.6159999999999997</v>
      </c>
      <c r="H3321" s="195">
        <f t="shared" si="51"/>
        <v>15.231999999999999</v>
      </c>
      <c r="I3321" s="212" t="s">
        <v>2354</v>
      </c>
    </row>
    <row r="3322" spans="1:9" x14ac:dyDescent="0.25">
      <c r="A3322" s="218" t="s">
        <v>220</v>
      </c>
      <c r="B3322" s="218" t="s">
        <v>5430</v>
      </c>
      <c r="C3322" s="219" t="s">
        <v>6567</v>
      </c>
      <c r="D3322" s="212" t="s">
        <v>6568</v>
      </c>
      <c r="E3322" s="212" t="s">
        <v>545</v>
      </c>
      <c r="F3322" s="213">
        <v>6</v>
      </c>
      <c r="G3322" s="213">
        <v>1.863</v>
      </c>
      <c r="H3322" s="195">
        <f t="shared" si="51"/>
        <v>11.178000000000001</v>
      </c>
      <c r="I3322" s="212" t="s">
        <v>2354</v>
      </c>
    </row>
    <row r="3323" spans="1:9" x14ac:dyDescent="0.25">
      <c r="A3323" s="218" t="s">
        <v>220</v>
      </c>
      <c r="B3323" s="218" t="s">
        <v>5430</v>
      </c>
      <c r="C3323" s="219" t="s">
        <v>6569</v>
      </c>
      <c r="D3323" s="212" t="s">
        <v>6570</v>
      </c>
      <c r="E3323" s="212" t="s">
        <v>545</v>
      </c>
      <c r="F3323" s="213">
        <v>3</v>
      </c>
      <c r="G3323" s="213">
        <v>3.2274000000000003</v>
      </c>
      <c r="H3323" s="195">
        <f t="shared" si="51"/>
        <v>9.6822000000000017</v>
      </c>
      <c r="I3323" s="212" t="s">
        <v>2354</v>
      </c>
    </row>
    <row r="3324" spans="1:9" x14ac:dyDescent="0.25">
      <c r="A3324" s="218" t="s">
        <v>220</v>
      </c>
      <c r="B3324" s="218" t="s">
        <v>5430</v>
      </c>
      <c r="C3324" s="219" t="s">
        <v>6571</v>
      </c>
      <c r="D3324" s="212" t="s">
        <v>6572</v>
      </c>
      <c r="E3324" s="212" t="s">
        <v>545</v>
      </c>
      <c r="F3324" s="213">
        <v>3</v>
      </c>
      <c r="G3324" s="213">
        <v>1.26</v>
      </c>
      <c r="H3324" s="195">
        <f t="shared" si="51"/>
        <v>3.7800000000000002</v>
      </c>
      <c r="I3324" s="212" t="s">
        <v>2354</v>
      </c>
    </row>
    <row r="3325" spans="1:9" x14ac:dyDescent="0.25">
      <c r="A3325" s="218" t="s">
        <v>220</v>
      </c>
      <c r="B3325" s="218" t="s">
        <v>5430</v>
      </c>
      <c r="C3325" s="219" t="s">
        <v>6573</v>
      </c>
      <c r="D3325" s="212" t="s">
        <v>6574</v>
      </c>
      <c r="E3325" s="212" t="s">
        <v>545</v>
      </c>
      <c r="F3325" s="213">
        <v>28</v>
      </c>
      <c r="G3325" s="213">
        <v>0.38250000000000006</v>
      </c>
      <c r="H3325" s="195">
        <f t="shared" si="51"/>
        <v>10.71</v>
      </c>
      <c r="I3325" s="212" t="s">
        <v>2354</v>
      </c>
    </row>
    <row r="3326" spans="1:9" x14ac:dyDescent="0.25">
      <c r="A3326" s="218" t="s">
        <v>220</v>
      </c>
      <c r="B3326" s="218" t="s">
        <v>5430</v>
      </c>
      <c r="C3326" s="219" t="s">
        <v>6575</v>
      </c>
      <c r="D3326" s="212" t="s">
        <v>6576</v>
      </c>
      <c r="E3326" s="212" t="s">
        <v>545</v>
      </c>
      <c r="F3326" s="213">
        <v>2</v>
      </c>
      <c r="G3326" s="213">
        <v>2.6433</v>
      </c>
      <c r="H3326" s="195">
        <f t="shared" si="51"/>
        <v>5.2866</v>
      </c>
      <c r="I3326" s="212" t="s">
        <v>2354</v>
      </c>
    </row>
    <row r="3327" spans="1:9" x14ac:dyDescent="0.25">
      <c r="A3327" s="218" t="s">
        <v>220</v>
      </c>
      <c r="B3327" s="218" t="s">
        <v>5430</v>
      </c>
      <c r="C3327" s="219" t="s">
        <v>3683</v>
      </c>
      <c r="D3327" s="212" t="s">
        <v>3684</v>
      </c>
      <c r="E3327" s="212" t="s">
        <v>545</v>
      </c>
      <c r="F3327" s="213">
        <v>5</v>
      </c>
      <c r="G3327" s="213">
        <v>2.0278500000000004</v>
      </c>
      <c r="H3327" s="195">
        <f t="shared" si="51"/>
        <v>10.139250000000002</v>
      </c>
      <c r="I3327" s="212" t="s">
        <v>2354</v>
      </c>
    </row>
    <row r="3328" spans="1:9" x14ac:dyDescent="0.25">
      <c r="A3328" s="218" t="s">
        <v>220</v>
      </c>
      <c r="B3328" s="218" t="s">
        <v>5430</v>
      </c>
      <c r="C3328" s="219" t="s">
        <v>3687</v>
      </c>
      <c r="D3328" s="212" t="s">
        <v>3688</v>
      </c>
      <c r="E3328" s="212" t="s">
        <v>545</v>
      </c>
      <c r="F3328" s="213">
        <v>2</v>
      </c>
      <c r="G3328" s="213">
        <v>1.852153846153846</v>
      </c>
      <c r="H3328" s="195">
        <f t="shared" si="51"/>
        <v>3.7043076923076921</v>
      </c>
      <c r="I3328" s="212" t="s">
        <v>2354</v>
      </c>
    </row>
    <row r="3329" spans="1:9" x14ac:dyDescent="0.25">
      <c r="A3329" s="218" t="s">
        <v>220</v>
      </c>
      <c r="B3329" s="218" t="s">
        <v>5430</v>
      </c>
      <c r="C3329" s="219" t="s">
        <v>3689</v>
      </c>
      <c r="D3329" s="212" t="s">
        <v>3690</v>
      </c>
      <c r="E3329" s="212" t="s">
        <v>545</v>
      </c>
      <c r="F3329" s="213">
        <v>5</v>
      </c>
      <c r="G3329" s="213">
        <v>1.4553636363636364</v>
      </c>
      <c r="H3329" s="195">
        <f t="shared" si="51"/>
        <v>7.2768181818181823</v>
      </c>
      <c r="I3329" s="212" t="s">
        <v>2354</v>
      </c>
    </row>
    <row r="3330" spans="1:9" x14ac:dyDescent="0.25">
      <c r="A3330" s="218" t="s">
        <v>220</v>
      </c>
      <c r="B3330" s="218" t="s">
        <v>5430</v>
      </c>
      <c r="C3330" s="219" t="s">
        <v>3691</v>
      </c>
      <c r="D3330" s="212" t="s">
        <v>3692</v>
      </c>
      <c r="E3330" s="212" t="s">
        <v>545</v>
      </c>
      <c r="F3330" s="213">
        <v>2</v>
      </c>
      <c r="G3330" s="213">
        <v>0.97240000000000004</v>
      </c>
      <c r="H3330" s="195">
        <f t="shared" si="51"/>
        <v>1.9448000000000001</v>
      </c>
      <c r="I3330" s="212" t="s">
        <v>2354</v>
      </c>
    </row>
    <row r="3331" spans="1:9" x14ac:dyDescent="0.25">
      <c r="A3331" s="218" t="s">
        <v>220</v>
      </c>
      <c r="B3331" s="218" t="s">
        <v>5430</v>
      </c>
      <c r="C3331" s="219" t="s">
        <v>3693</v>
      </c>
      <c r="D3331" s="212" t="s">
        <v>3694</v>
      </c>
      <c r="E3331" s="212" t="s">
        <v>545</v>
      </c>
      <c r="F3331" s="213">
        <v>9</v>
      </c>
      <c r="G3331" s="213">
        <v>2.7130000000000001</v>
      </c>
      <c r="H3331" s="195">
        <f t="shared" si="51"/>
        <v>24.417000000000002</v>
      </c>
      <c r="I3331" s="212" t="s">
        <v>2354</v>
      </c>
    </row>
    <row r="3332" spans="1:9" x14ac:dyDescent="0.25">
      <c r="A3332" s="218" t="s">
        <v>220</v>
      </c>
      <c r="B3332" s="218" t="s">
        <v>5430</v>
      </c>
      <c r="C3332" s="219" t="s">
        <v>6577</v>
      </c>
      <c r="D3332" s="212" t="s">
        <v>6578</v>
      </c>
      <c r="E3332" s="212" t="s">
        <v>545</v>
      </c>
      <c r="F3332" s="213">
        <v>1</v>
      </c>
      <c r="G3332" s="213">
        <v>1.70825</v>
      </c>
      <c r="H3332" s="195">
        <f t="shared" si="51"/>
        <v>1.70825</v>
      </c>
      <c r="I3332" s="212" t="s">
        <v>2354</v>
      </c>
    </row>
    <row r="3333" spans="1:9" x14ac:dyDescent="0.25">
      <c r="A3333" s="218" t="s">
        <v>220</v>
      </c>
      <c r="B3333" s="218" t="s">
        <v>5430</v>
      </c>
      <c r="C3333" s="219" t="s">
        <v>6579</v>
      </c>
      <c r="D3333" s="212" t="s">
        <v>6580</v>
      </c>
      <c r="E3333" s="212" t="s">
        <v>545</v>
      </c>
      <c r="F3333" s="213">
        <v>2</v>
      </c>
      <c r="G3333" s="213">
        <v>4.0964999999999998</v>
      </c>
      <c r="H3333" s="195">
        <f t="shared" ref="H3333:H3396" si="52">+F3333*G3333</f>
        <v>8.1929999999999996</v>
      </c>
      <c r="I3333" s="212" t="s">
        <v>2354</v>
      </c>
    </row>
    <row r="3334" spans="1:9" x14ac:dyDescent="0.25">
      <c r="A3334" s="218" t="s">
        <v>220</v>
      </c>
      <c r="B3334" s="218" t="s">
        <v>5430</v>
      </c>
      <c r="C3334" s="219" t="s">
        <v>6581</v>
      </c>
      <c r="D3334" s="212" t="s">
        <v>6582</v>
      </c>
      <c r="E3334" s="212" t="s">
        <v>545</v>
      </c>
      <c r="F3334" s="213">
        <v>7</v>
      </c>
      <c r="G3334" s="213">
        <v>15.486149999999999</v>
      </c>
      <c r="H3334" s="195">
        <f t="shared" si="52"/>
        <v>108.40304999999999</v>
      </c>
      <c r="I3334" s="212" t="s">
        <v>2354</v>
      </c>
    </row>
    <row r="3335" spans="1:9" x14ac:dyDescent="0.25">
      <c r="A3335" s="218" t="s">
        <v>220</v>
      </c>
      <c r="B3335" s="218" t="s">
        <v>5430</v>
      </c>
      <c r="C3335" s="219" t="s">
        <v>6583</v>
      </c>
      <c r="D3335" s="212" t="s">
        <v>6584</v>
      </c>
      <c r="E3335" s="212" t="s">
        <v>545</v>
      </c>
      <c r="F3335" s="213">
        <v>9</v>
      </c>
      <c r="G3335" s="213">
        <v>3.5274999999999999</v>
      </c>
      <c r="H3335" s="195">
        <f t="shared" si="52"/>
        <v>31.747499999999999</v>
      </c>
      <c r="I3335" s="212" t="s">
        <v>2354</v>
      </c>
    </row>
    <row r="3336" spans="1:9" x14ac:dyDescent="0.25">
      <c r="A3336" s="218" t="s">
        <v>220</v>
      </c>
      <c r="B3336" s="218" t="s">
        <v>5430</v>
      </c>
      <c r="C3336" s="219" t="s">
        <v>6585</v>
      </c>
      <c r="D3336" s="212" t="s">
        <v>6586</v>
      </c>
      <c r="E3336" s="212" t="s">
        <v>545</v>
      </c>
      <c r="F3336" s="213">
        <v>3</v>
      </c>
      <c r="G3336" s="213">
        <v>0.86699999999999999</v>
      </c>
      <c r="H3336" s="195">
        <f t="shared" si="52"/>
        <v>2.601</v>
      </c>
      <c r="I3336" s="212" t="s">
        <v>2354</v>
      </c>
    </row>
    <row r="3337" spans="1:9" x14ac:dyDescent="0.25">
      <c r="A3337" s="218" t="s">
        <v>220</v>
      </c>
      <c r="B3337" s="218" t="s">
        <v>5430</v>
      </c>
      <c r="C3337" s="219" t="s">
        <v>6587</v>
      </c>
      <c r="D3337" s="212" t="s">
        <v>6588</v>
      </c>
      <c r="E3337" s="212" t="s">
        <v>545</v>
      </c>
      <c r="F3337" s="213">
        <v>30</v>
      </c>
      <c r="G3337" s="213">
        <v>0.51</v>
      </c>
      <c r="H3337" s="195">
        <f t="shared" si="52"/>
        <v>15.3</v>
      </c>
      <c r="I3337" s="212" t="s">
        <v>2354</v>
      </c>
    </row>
    <row r="3338" spans="1:9" x14ac:dyDescent="0.25">
      <c r="A3338" s="218" t="s">
        <v>220</v>
      </c>
      <c r="B3338" s="218" t="s">
        <v>5430</v>
      </c>
      <c r="C3338" s="219" t="s">
        <v>6589</v>
      </c>
      <c r="D3338" s="212" t="s">
        <v>6590</v>
      </c>
      <c r="E3338" s="212" t="s">
        <v>545</v>
      </c>
      <c r="F3338" s="213">
        <v>4</v>
      </c>
      <c r="G3338" s="213">
        <v>1.75</v>
      </c>
      <c r="H3338" s="195">
        <f t="shared" si="52"/>
        <v>7</v>
      </c>
      <c r="I3338" s="212" t="s">
        <v>2354</v>
      </c>
    </row>
    <row r="3339" spans="1:9" x14ac:dyDescent="0.25">
      <c r="A3339" s="218" t="s">
        <v>220</v>
      </c>
      <c r="B3339" s="218" t="s">
        <v>5430</v>
      </c>
      <c r="C3339" s="219" t="s">
        <v>3709</v>
      </c>
      <c r="D3339" s="212" t="s">
        <v>3710</v>
      </c>
      <c r="E3339" s="212" t="s">
        <v>545</v>
      </c>
      <c r="F3339" s="213">
        <v>8</v>
      </c>
      <c r="G3339" s="213">
        <v>4.6154999999999999</v>
      </c>
      <c r="H3339" s="195">
        <f t="shared" si="52"/>
        <v>36.923999999999999</v>
      </c>
      <c r="I3339" s="212" t="s">
        <v>2354</v>
      </c>
    </row>
    <row r="3340" spans="1:9" x14ac:dyDescent="0.25">
      <c r="A3340" s="218" t="s">
        <v>220</v>
      </c>
      <c r="B3340" s="218" t="s">
        <v>5430</v>
      </c>
      <c r="C3340" s="219" t="s">
        <v>6591</v>
      </c>
      <c r="D3340" s="212" t="s">
        <v>6592</v>
      </c>
      <c r="E3340" s="212" t="s">
        <v>545</v>
      </c>
      <c r="F3340" s="213">
        <v>9</v>
      </c>
      <c r="G3340" s="213">
        <v>7.6470000000000002</v>
      </c>
      <c r="H3340" s="195">
        <f t="shared" si="52"/>
        <v>68.823000000000008</v>
      </c>
      <c r="I3340" s="212" t="s">
        <v>2354</v>
      </c>
    </row>
    <row r="3341" spans="1:9" x14ac:dyDescent="0.25">
      <c r="A3341" s="218" t="s">
        <v>220</v>
      </c>
      <c r="B3341" s="218" t="s">
        <v>5430</v>
      </c>
      <c r="C3341" s="219" t="s">
        <v>6593</v>
      </c>
      <c r="D3341" s="212" t="s">
        <v>6594</v>
      </c>
      <c r="E3341" s="212" t="s">
        <v>545</v>
      </c>
      <c r="F3341" s="213">
        <v>1</v>
      </c>
      <c r="G3341" s="213">
        <v>7.8860000000000001</v>
      </c>
      <c r="H3341" s="195">
        <f t="shared" si="52"/>
        <v>7.8860000000000001</v>
      </c>
      <c r="I3341" s="212" t="s">
        <v>2354</v>
      </c>
    </row>
    <row r="3342" spans="1:9" x14ac:dyDescent="0.25">
      <c r="A3342" s="218" t="s">
        <v>220</v>
      </c>
      <c r="B3342" s="218" t="s">
        <v>5430</v>
      </c>
      <c r="C3342" s="219" t="s">
        <v>6595</v>
      </c>
      <c r="D3342" s="212" t="s">
        <v>6596</v>
      </c>
      <c r="E3342" s="212" t="s">
        <v>545</v>
      </c>
      <c r="F3342" s="213">
        <v>2</v>
      </c>
      <c r="G3342" s="213">
        <v>0</v>
      </c>
      <c r="H3342" s="195">
        <f t="shared" si="52"/>
        <v>0</v>
      </c>
      <c r="I3342" s="212" t="s">
        <v>2354</v>
      </c>
    </row>
    <row r="3343" spans="1:9" x14ac:dyDescent="0.25">
      <c r="A3343" s="218" t="s">
        <v>220</v>
      </c>
      <c r="B3343" s="218" t="s">
        <v>5430</v>
      </c>
      <c r="C3343" s="219" t="s">
        <v>6597</v>
      </c>
      <c r="D3343" s="212" t="s">
        <v>6598</v>
      </c>
      <c r="E3343" s="212" t="s">
        <v>545</v>
      </c>
      <c r="F3343" s="213">
        <v>2</v>
      </c>
      <c r="G3343" s="213">
        <v>5.4476500000000003</v>
      </c>
      <c r="H3343" s="195">
        <f t="shared" si="52"/>
        <v>10.895300000000001</v>
      </c>
      <c r="I3343" s="212" t="s">
        <v>2354</v>
      </c>
    </row>
    <row r="3344" spans="1:9" x14ac:dyDescent="0.25">
      <c r="A3344" s="218" t="s">
        <v>220</v>
      </c>
      <c r="B3344" s="218" t="s">
        <v>5430</v>
      </c>
      <c r="C3344" s="219" t="s">
        <v>3727</v>
      </c>
      <c r="D3344" s="212" t="s">
        <v>3728</v>
      </c>
      <c r="E3344" s="212" t="s">
        <v>545</v>
      </c>
      <c r="F3344" s="213">
        <v>35</v>
      </c>
      <c r="G3344" s="213">
        <v>5.1802306451612896</v>
      </c>
      <c r="H3344" s="195">
        <f t="shared" si="52"/>
        <v>181.30807258064513</v>
      </c>
      <c r="I3344" s="212" t="s">
        <v>2354</v>
      </c>
    </row>
    <row r="3345" spans="1:9" x14ac:dyDescent="0.25">
      <c r="A3345" s="218" t="s">
        <v>220</v>
      </c>
      <c r="B3345" s="218" t="s">
        <v>5430</v>
      </c>
      <c r="C3345" s="219" t="s">
        <v>6599</v>
      </c>
      <c r="D3345" s="212" t="s">
        <v>3730</v>
      </c>
      <c r="E3345" s="212" t="s">
        <v>545</v>
      </c>
      <c r="F3345" s="213">
        <v>15</v>
      </c>
      <c r="G3345" s="213">
        <v>2.7116999999999996</v>
      </c>
      <c r="H3345" s="195">
        <f t="shared" si="52"/>
        <v>40.675499999999992</v>
      </c>
      <c r="I3345" s="212" t="s">
        <v>2354</v>
      </c>
    </row>
    <row r="3346" spans="1:9" x14ac:dyDescent="0.25">
      <c r="A3346" s="218" t="s">
        <v>220</v>
      </c>
      <c r="B3346" s="218" t="s">
        <v>5430</v>
      </c>
      <c r="C3346" s="219" t="s">
        <v>3731</v>
      </c>
      <c r="D3346" s="212" t="s">
        <v>3732</v>
      </c>
      <c r="E3346" s="212" t="s">
        <v>545</v>
      </c>
      <c r="F3346" s="213">
        <v>12</v>
      </c>
      <c r="G3346" s="213">
        <v>2.3933750000000003</v>
      </c>
      <c r="H3346" s="195">
        <f t="shared" si="52"/>
        <v>28.720500000000001</v>
      </c>
      <c r="I3346" s="212" t="s">
        <v>2354</v>
      </c>
    </row>
    <row r="3347" spans="1:9" x14ac:dyDescent="0.25">
      <c r="A3347" s="218" t="s">
        <v>220</v>
      </c>
      <c r="B3347" s="218" t="s">
        <v>5430</v>
      </c>
      <c r="C3347" s="219" t="s">
        <v>3733</v>
      </c>
      <c r="D3347" s="212" t="s">
        <v>3734</v>
      </c>
      <c r="E3347" s="212" t="s">
        <v>545</v>
      </c>
      <c r="F3347" s="213">
        <v>10</v>
      </c>
      <c r="G3347" s="213">
        <v>5.2429499999999996</v>
      </c>
      <c r="H3347" s="195">
        <f t="shared" si="52"/>
        <v>52.429499999999997</v>
      </c>
      <c r="I3347" s="212" t="s">
        <v>2354</v>
      </c>
    </row>
    <row r="3348" spans="1:9" x14ac:dyDescent="0.25">
      <c r="A3348" s="218" t="s">
        <v>220</v>
      </c>
      <c r="B3348" s="218" t="s">
        <v>5430</v>
      </c>
      <c r="C3348" s="219" t="s">
        <v>3735</v>
      </c>
      <c r="D3348" s="212" t="s">
        <v>3736</v>
      </c>
      <c r="E3348" s="212" t="s">
        <v>545</v>
      </c>
      <c r="F3348" s="213">
        <v>9</v>
      </c>
      <c r="G3348" s="213">
        <v>8.2799999999999994</v>
      </c>
      <c r="H3348" s="195">
        <f t="shared" si="52"/>
        <v>74.52</v>
      </c>
      <c r="I3348" s="212" t="s">
        <v>2354</v>
      </c>
    </row>
    <row r="3349" spans="1:9" x14ac:dyDescent="0.25">
      <c r="A3349" s="218" t="s">
        <v>220</v>
      </c>
      <c r="B3349" s="218" t="s">
        <v>5430</v>
      </c>
      <c r="C3349" s="219" t="s">
        <v>6600</v>
      </c>
      <c r="D3349" s="212" t="s">
        <v>6601</v>
      </c>
      <c r="E3349" s="212" t="s">
        <v>545</v>
      </c>
      <c r="F3349" s="213">
        <v>2</v>
      </c>
      <c r="G3349" s="213">
        <v>5.2454052631578945</v>
      </c>
      <c r="H3349" s="195">
        <f t="shared" si="52"/>
        <v>10.490810526315789</v>
      </c>
      <c r="I3349" s="212" t="s">
        <v>2354</v>
      </c>
    </row>
    <row r="3350" spans="1:9" x14ac:dyDescent="0.25">
      <c r="A3350" s="218" t="s">
        <v>220</v>
      </c>
      <c r="B3350" s="218" t="s">
        <v>5430</v>
      </c>
      <c r="C3350" s="219" t="s">
        <v>5345</v>
      </c>
      <c r="D3350" s="212" t="s">
        <v>6602</v>
      </c>
      <c r="E3350" s="212" t="s">
        <v>545</v>
      </c>
      <c r="F3350" s="213">
        <v>9</v>
      </c>
      <c r="G3350" s="213">
        <v>1.2050000000000001</v>
      </c>
      <c r="H3350" s="195">
        <f t="shared" si="52"/>
        <v>10.845000000000001</v>
      </c>
      <c r="I3350" s="212" t="s">
        <v>2354</v>
      </c>
    </row>
    <row r="3351" spans="1:9" x14ac:dyDescent="0.25">
      <c r="A3351" s="218" t="s">
        <v>220</v>
      </c>
      <c r="B3351" s="218" t="s">
        <v>5430</v>
      </c>
      <c r="C3351" s="219" t="s">
        <v>3739</v>
      </c>
      <c r="D3351" s="212" t="s">
        <v>3740</v>
      </c>
      <c r="E3351" s="212" t="s">
        <v>545</v>
      </c>
      <c r="F3351" s="213">
        <v>6</v>
      </c>
      <c r="G3351" s="213">
        <v>3.044</v>
      </c>
      <c r="H3351" s="195">
        <f t="shared" si="52"/>
        <v>18.263999999999999</v>
      </c>
      <c r="I3351" s="212" t="s">
        <v>2354</v>
      </c>
    </row>
    <row r="3352" spans="1:9" x14ac:dyDescent="0.25">
      <c r="A3352" s="218" t="s">
        <v>220</v>
      </c>
      <c r="B3352" s="218" t="s">
        <v>5430</v>
      </c>
      <c r="C3352" s="219" t="s">
        <v>3741</v>
      </c>
      <c r="D3352" s="212" t="s">
        <v>3742</v>
      </c>
      <c r="E3352" s="212" t="s">
        <v>545</v>
      </c>
      <c r="F3352" s="213">
        <v>7</v>
      </c>
      <c r="G3352" s="213">
        <v>2.4782999999999999</v>
      </c>
      <c r="H3352" s="195">
        <f t="shared" si="52"/>
        <v>17.348099999999999</v>
      </c>
      <c r="I3352" s="212" t="s">
        <v>2354</v>
      </c>
    </row>
    <row r="3353" spans="1:9" x14ac:dyDescent="0.25">
      <c r="A3353" s="218" t="s">
        <v>220</v>
      </c>
      <c r="B3353" s="218" t="s">
        <v>5430</v>
      </c>
      <c r="C3353" s="219" t="s">
        <v>6603</v>
      </c>
      <c r="D3353" s="212" t="s">
        <v>6604</v>
      </c>
      <c r="E3353" s="212" t="s">
        <v>2387</v>
      </c>
      <c r="F3353" s="213">
        <v>40</v>
      </c>
      <c r="G3353" s="213">
        <v>11.88</v>
      </c>
      <c r="H3353" s="195">
        <f t="shared" si="52"/>
        <v>475.20000000000005</v>
      </c>
      <c r="I3353" s="212" t="s">
        <v>2354</v>
      </c>
    </row>
    <row r="3354" spans="1:9" x14ac:dyDescent="0.25">
      <c r="A3354" s="218" t="s">
        <v>220</v>
      </c>
      <c r="B3354" s="218" t="s">
        <v>5430</v>
      </c>
      <c r="C3354" s="219" t="s">
        <v>6605</v>
      </c>
      <c r="D3354" s="212" t="s">
        <v>6606</v>
      </c>
      <c r="E3354" s="212" t="s">
        <v>2387</v>
      </c>
      <c r="F3354" s="213">
        <v>18</v>
      </c>
      <c r="G3354" s="213">
        <v>40.442999999999998</v>
      </c>
      <c r="H3354" s="195">
        <f t="shared" si="52"/>
        <v>727.97399999999993</v>
      </c>
      <c r="I3354" s="212" t="s">
        <v>2354</v>
      </c>
    </row>
    <row r="3355" spans="1:9" x14ac:dyDescent="0.25">
      <c r="A3355" s="218" t="s">
        <v>220</v>
      </c>
      <c r="B3355" s="218" t="s">
        <v>5430</v>
      </c>
      <c r="C3355" s="219" t="s">
        <v>6607</v>
      </c>
      <c r="D3355" s="212" t="s">
        <v>6608</v>
      </c>
      <c r="E3355" s="212" t="s">
        <v>2387</v>
      </c>
      <c r="F3355" s="213">
        <v>10</v>
      </c>
      <c r="G3355" s="213">
        <v>2.2949999999999999</v>
      </c>
      <c r="H3355" s="195">
        <f t="shared" si="52"/>
        <v>22.95</v>
      </c>
      <c r="I3355" s="212" t="s">
        <v>2354</v>
      </c>
    </row>
    <row r="3356" spans="1:9" x14ac:dyDescent="0.25">
      <c r="A3356" s="218" t="s">
        <v>220</v>
      </c>
      <c r="B3356" s="218" t="s">
        <v>5430</v>
      </c>
      <c r="C3356" s="219" t="s">
        <v>6609</v>
      </c>
      <c r="D3356" s="212" t="s">
        <v>6610</v>
      </c>
      <c r="E3356" s="212" t="s">
        <v>2387</v>
      </c>
      <c r="F3356" s="213">
        <v>5</v>
      </c>
      <c r="G3356" s="213">
        <v>19.467633042096907</v>
      </c>
      <c r="H3356" s="195">
        <f t="shared" si="52"/>
        <v>97.338165210484533</v>
      </c>
      <c r="I3356" s="212" t="s">
        <v>2354</v>
      </c>
    </row>
    <row r="3357" spans="1:9" x14ac:dyDescent="0.25">
      <c r="A3357" s="218" t="s">
        <v>220</v>
      </c>
      <c r="B3357" s="218" t="s">
        <v>5430</v>
      </c>
      <c r="C3357" s="219" t="s">
        <v>6611</v>
      </c>
      <c r="D3357" s="212" t="s">
        <v>6612</v>
      </c>
      <c r="E3357" s="212" t="s">
        <v>2387</v>
      </c>
      <c r="F3357" s="213">
        <v>50</v>
      </c>
      <c r="G3357" s="213">
        <v>2.7134999999999998</v>
      </c>
      <c r="H3357" s="195">
        <f t="shared" si="52"/>
        <v>135.67499999999998</v>
      </c>
      <c r="I3357" s="212" t="s">
        <v>2354</v>
      </c>
    </row>
    <row r="3358" spans="1:9" x14ac:dyDescent="0.25">
      <c r="A3358" s="218" t="s">
        <v>220</v>
      </c>
      <c r="B3358" s="218" t="s">
        <v>5430</v>
      </c>
      <c r="C3358" s="219" t="s">
        <v>6613</v>
      </c>
      <c r="D3358" s="212" t="s">
        <v>6614</v>
      </c>
      <c r="E3358" s="212" t="s">
        <v>2387</v>
      </c>
      <c r="F3358" s="213">
        <v>16</v>
      </c>
      <c r="G3358" s="213">
        <v>38.347000000000001</v>
      </c>
      <c r="H3358" s="195">
        <f t="shared" si="52"/>
        <v>613.55200000000002</v>
      </c>
      <c r="I3358" s="212" t="s">
        <v>2354</v>
      </c>
    </row>
    <row r="3359" spans="1:9" x14ac:dyDescent="0.25">
      <c r="A3359" s="218" t="s">
        <v>220</v>
      </c>
      <c r="B3359" s="218" t="s">
        <v>5430</v>
      </c>
      <c r="C3359" s="219" t="s">
        <v>6615</v>
      </c>
      <c r="D3359" s="212" t="s">
        <v>6616</v>
      </c>
      <c r="E3359" s="212" t="s">
        <v>2387</v>
      </c>
      <c r="F3359" s="213">
        <v>6</v>
      </c>
      <c r="G3359" s="213">
        <v>4.41</v>
      </c>
      <c r="H3359" s="195">
        <f t="shared" si="52"/>
        <v>26.46</v>
      </c>
      <c r="I3359" s="212" t="s">
        <v>2354</v>
      </c>
    </row>
    <row r="3360" spans="1:9" x14ac:dyDescent="0.25">
      <c r="A3360" s="218" t="s">
        <v>220</v>
      </c>
      <c r="B3360" s="218" t="s">
        <v>5430</v>
      </c>
      <c r="C3360" s="219" t="s">
        <v>6617</v>
      </c>
      <c r="D3360" s="212" t="s">
        <v>6618</v>
      </c>
      <c r="E3360" s="212" t="s">
        <v>2387</v>
      </c>
      <c r="F3360" s="213">
        <v>10</v>
      </c>
      <c r="G3360" s="213">
        <v>21.675000000000001</v>
      </c>
      <c r="H3360" s="195">
        <f t="shared" si="52"/>
        <v>216.75</v>
      </c>
      <c r="I3360" s="212" t="s">
        <v>2354</v>
      </c>
    </row>
    <row r="3361" spans="1:9" x14ac:dyDescent="0.25">
      <c r="A3361" s="218" t="s">
        <v>220</v>
      </c>
      <c r="B3361" s="218" t="s">
        <v>5430</v>
      </c>
      <c r="C3361" s="219" t="s">
        <v>3769</v>
      </c>
      <c r="D3361" s="212" t="s">
        <v>3770</v>
      </c>
      <c r="E3361" s="212" t="s">
        <v>545</v>
      </c>
      <c r="F3361" s="213">
        <v>2</v>
      </c>
      <c r="G3361" s="213">
        <v>16.4358</v>
      </c>
      <c r="H3361" s="195">
        <f t="shared" si="52"/>
        <v>32.871600000000001</v>
      </c>
      <c r="I3361" s="212" t="s">
        <v>2354</v>
      </c>
    </row>
    <row r="3362" spans="1:9" x14ac:dyDescent="0.25">
      <c r="A3362" s="218" t="s">
        <v>220</v>
      </c>
      <c r="B3362" s="218" t="s">
        <v>5430</v>
      </c>
      <c r="C3362" s="219" t="s">
        <v>6619</v>
      </c>
      <c r="D3362" s="212" t="s">
        <v>6620</v>
      </c>
      <c r="E3362" s="212" t="s">
        <v>545</v>
      </c>
      <c r="F3362" s="213">
        <v>3</v>
      </c>
      <c r="G3362" s="213">
        <v>20.8611</v>
      </c>
      <c r="H3362" s="195">
        <f t="shared" si="52"/>
        <v>62.583300000000001</v>
      </c>
      <c r="I3362" s="212" t="s">
        <v>2354</v>
      </c>
    </row>
    <row r="3363" spans="1:9" x14ac:dyDescent="0.25">
      <c r="A3363" s="218" t="s">
        <v>220</v>
      </c>
      <c r="B3363" s="218" t="s">
        <v>5430</v>
      </c>
      <c r="C3363" s="219" t="s">
        <v>6621</v>
      </c>
      <c r="D3363" s="212" t="s">
        <v>6622</v>
      </c>
      <c r="E3363" s="212" t="s">
        <v>545</v>
      </c>
      <c r="F3363" s="213">
        <v>1</v>
      </c>
      <c r="G3363" s="213">
        <v>147.21100000000001</v>
      </c>
      <c r="H3363" s="195">
        <f t="shared" si="52"/>
        <v>147.21100000000001</v>
      </c>
      <c r="I3363" s="212" t="s">
        <v>2354</v>
      </c>
    </row>
    <row r="3364" spans="1:9" x14ac:dyDescent="0.25">
      <c r="A3364" s="218" t="s">
        <v>220</v>
      </c>
      <c r="B3364" s="218" t="s">
        <v>5430</v>
      </c>
      <c r="C3364" s="219" t="s">
        <v>3783</v>
      </c>
      <c r="D3364" s="212" t="s">
        <v>3784</v>
      </c>
      <c r="E3364" s="212" t="s">
        <v>545</v>
      </c>
      <c r="F3364" s="213">
        <v>1</v>
      </c>
      <c r="G3364" s="213">
        <v>72.319342105263146</v>
      </c>
      <c r="H3364" s="195">
        <f t="shared" si="52"/>
        <v>72.319342105263146</v>
      </c>
      <c r="I3364" s="212" t="s">
        <v>2354</v>
      </c>
    </row>
    <row r="3365" spans="1:9" x14ac:dyDescent="0.25">
      <c r="A3365" s="218" t="s">
        <v>220</v>
      </c>
      <c r="B3365" s="218" t="s">
        <v>5430</v>
      </c>
      <c r="C3365" s="219" t="s">
        <v>6623</v>
      </c>
      <c r="D3365" s="212" t="s">
        <v>6624</v>
      </c>
      <c r="E3365" s="212" t="s">
        <v>545</v>
      </c>
      <c r="F3365" s="213">
        <v>3</v>
      </c>
      <c r="G3365" s="213">
        <v>46.176200000000001</v>
      </c>
      <c r="H3365" s="195">
        <f t="shared" si="52"/>
        <v>138.52860000000001</v>
      </c>
      <c r="I3365" s="212" t="s">
        <v>2354</v>
      </c>
    </row>
    <row r="3366" spans="1:9" x14ac:dyDescent="0.25">
      <c r="A3366" s="218" t="s">
        <v>220</v>
      </c>
      <c r="B3366" s="218" t="s">
        <v>5430</v>
      </c>
      <c r="C3366" s="219" t="s">
        <v>6625</v>
      </c>
      <c r="D3366" s="212" t="s">
        <v>6626</v>
      </c>
      <c r="E3366" s="212" t="s">
        <v>545</v>
      </c>
      <c r="F3366" s="213">
        <v>2</v>
      </c>
      <c r="G3366" s="213">
        <v>90.241</v>
      </c>
      <c r="H3366" s="195">
        <f t="shared" si="52"/>
        <v>180.482</v>
      </c>
      <c r="I3366" s="212" t="s">
        <v>2354</v>
      </c>
    </row>
    <row r="3367" spans="1:9" x14ac:dyDescent="0.25">
      <c r="A3367" s="218" t="s">
        <v>220</v>
      </c>
      <c r="B3367" s="218" t="s">
        <v>5430</v>
      </c>
      <c r="C3367" s="219" t="s">
        <v>6627</v>
      </c>
      <c r="D3367" s="212" t="s">
        <v>3786</v>
      </c>
      <c r="E3367" s="212" t="s">
        <v>545</v>
      </c>
      <c r="F3367" s="213">
        <v>4</v>
      </c>
      <c r="G3367" s="213">
        <v>6.1020500000000002</v>
      </c>
      <c r="H3367" s="195">
        <f t="shared" si="52"/>
        <v>24.408200000000001</v>
      </c>
      <c r="I3367" s="212" t="s">
        <v>2354</v>
      </c>
    </row>
    <row r="3368" spans="1:9" x14ac:dyDescent="0.25">
      <c r="A3368" s="218" t="s">
        <v>220</v>
      </c>
      <c r="B3368" s="218" t="s">
        <v>5430</v>
      </c>
      <c r="C3368" s="219" t="s">
        <v>6628</v>
      </c>
      <c r="D3368" s="212" t="s">
        <v>6629</v>
      </c>
      <c r="E3368" s="212" t="s">
        <v>545</v>
      </c>
      <c r="F3368" s="213">
        <v>2</v>
      </c>
      <c r="G3368" s="213">
        <v>0</v>
      </c>
      <c r="H3368" s="195">
        <f t="shared" si="52"/>
        <v>0</v>
      </c>
      <c r="I3368" s="212" t="s">
        <v>2354</v>
      </c>
    </row>
    <row r="3369" spans="1:9" x14ac:dyDescent="0.25">
      <c r="A3369" s="218" t="s">
        <v>220</v>
      </c>
      <c r="B3369" s="218" t="s">
        <v>5430</v>
      </c>
      <c r="C3369" s="219" t="s">
        <v>6630</v>
      </c>
      <c r="D3369" s="212" t="s">
        <v>6631</v>
      </c>
      <c r="E3369" s="212" t="s">
        <v>545</v>
      </c>
      <c r="F3369" s="213">
        <v>8</v>
      </c>
      <c r="G3369" s="213">
        <v>23.603999999999999</v>
      </c>
      <c r="H3369" s="195">
        <f t="shared" si="52"/>
        <v>188.83199999999999</v>
      </c>
      <c r="I3369" s="212" t="s">
        <v>2354</v>
      </c>
    </row>
    <row r="3370" spans="1:9" x14ac:dyDescent="0.25">
      <c r="A3370" s="218" t="s">
        <v>220</v>
      </c>
      <c r="B3370" s="218" t="s">
        <v>5430</v>
      </c>
      <c r="C3370" s="219" t="s">
        <v>6632</v>
      </c>
      <c r="D3370" s="212" t="s">
        <v>6633</v>
      </c>
      <c r="E3370" s="212" t="s">
        <v>545</v>
      </c>
      <c r="F3370" s="213">
        <v>8</v>
      </c>
      <c r="G3370" s="213">
        <v>25.83</v>
      </c>
      <c r="H3370" s="195">
        <f t="shared" si="52"/>
        <v>206.64</v>
      </c>
      <c r="I3370" s="212" t="s">
        <v>2354</v>
      </c>
    </row>
    <row r="3371" spans="1:9" x14ac:dyDescent="0.25">
      <c r="A3371" s="218" t="s">
        <v>220</v>
      </c>
      <c r="B3371" s="218" t="s">
        <v>5430</v>
      </c>
      <c r="C3371" s="219" t="s">
        <v>3791</v>
      </c>
      <c r="D3371" s="212" t="s">
        <v>3792</v>
      </c>
      <c r="E3371" s="212" t="s">
        <v>545</v>
      </c>
      <c r="F3371" s="213">
        <v>5</v>
      </c>
      <c r="G3371" s="213">
        <v>35.191000000000003</v>
      </c>
      <c r="H3371" s="195">
        <f t="shared" si="52"/>
        <v>175.95500000000001</v>
      </c>
      <c r="I3371" s="212" t="s">
        <v>2354</v>
      </c>
    </row>
    <row r="3372" spans="1:9" x14ac:dyDescent="0.25">
      <c r="A3372" s="218" t="s">
        <v>220</v>
      </c>
      <c r="B3372" s="218" t="s">
        <v>5430</v>
      </c>
      <c r="C3372" s="219" t="s">
        <v>6634</v>
      </c>
      <c r="D3372" s="212" t="s">
        <v>6635</v>
      </c>
      <c r="E3372" s="212" t="s">
        <v>545</v>
      </c>
      <c r="F3372" s="213">
        <v>2</v>
      </c>
      <c r="G3372" s="213">
        <v>11.6478</v>
      </c>
      <c r="H3372" s="195">
        <f t="shared" si="52"/>
        <v>23.2956</v>
      </c>
      <c r="I3372" s="212" t="s">
        <v>2354</v>
      </c>
    </row>
    <row r="3373" spans="1:9" x14ac:dyDescent="0.25">
      <c r="A3373" s="218" t="s">
        <v>220</v>
      </c>
      <c r="B3373" s="218" t="s">
        <v>5430</v>
      </c>
      <c r="C3373" s="219" t="s">
        <v>6636</v>
      </c>
      <c r="D3373" s="212" t="s">
        <v>6637</v>
      </c>
      <c r="E3373" s="212" t="s">
        <v>545</v>
      </c>
      <c r="F3373" s="213">
        <v>2</v>
      </c>
      <c r="G3373" s="213">
        <v>0</v>
      </c>
      <c r="H3373" s="195">
        <f t="shared" si="52"/>
        <v>0</v>
      </c>
      <c r="I3373" s="212" t="s">
        <v>2354</v>
      </c>
    </row>
    <row r="3374" spans="1:9" x14ac:dyDescent="0.25">
      <c r="A3374" s="218" t="s">
        <v>220</v>
      </c>
      <c r="B3374" s="218" t="s">
        <v>5430</v>
      </c>
      <c r="C3374" s="219" t="s">
        <v>6638</v>
      </c>
      <c r="D3374" s="212" t="s">
        <v>6639</v>
      </c>
      <c r="E3374" s="212" t="s">
        <v>545</v>
      </c>
      <c r="F3374" s="213">
        <v>2</v>
      </c>
      <c r="G3374" s="213">
        <v>0</v>
      </c>
      <c r="H3374" s="195">
        <f t="shared" si="52"/>
        <v>0</v>
      </c>
      <c r="I3374" s="212" t="s">
        <v>2354</v>
      </c>
    </row>
    <row r="3375" spans="1:9" x14ac:dyDescent="0.25">
      <c r="A3375" s="218" t="s">
        <v>220</v>
      </c>
      <c r="B3375" s="218" t="s">
        <v>5430</v>
      </c>
      <c r="C3375" s="219" t="s">
        <v>6640</v>
      </c>
      <c r="D3375" s="212" t="s">
        <v>6641</v>
      </c>
      <c r="E3375" s="212" t="s">
        <v>545</v>
      </c>
      <c r="F3375" s="213">
        <v>1</v>
      </c>
      <c r="G3375" s="213">
        <v>376.77949999999998</v>
      </c>
      <c r="H3375" s="195">
        <f t="shared" si="52"/>
        <v>376.77949999999998</v>
      </c>
      <c r="I3375" s="212" t="s">
        <v>2354</v>
      </c>
    </row>
    <row r="3376" spans="1:9" x14ac:dyDescent="0.25">
      <c r="A3376" s="218" t="s">
        <v>220</v>
      </c>
      <c r="B3376" s="218" t="s">
        <v>5430</v>
      </c>
      <c r="C3376" s="219" t="s">
        <v>6642</v>
      </c>
      <c r="D3376" s="212" t="s">
        <v>6643</v>
      </c>
      <c r="E3376" s="212" t="s">
        <v>545</v>
      </c>
      <c r="F3376" s="213">
        <v>1</v>
      </c>
      <c r="G3376" s="213">
        <v>0</v>
      </c>
      <c r="H3376" s="195">
        <f t="shared" si="52"/>
        <v>0</v>
      </c>
      <c r="I3376" s="212" t="s">
        <v>2354</v>
      </c>
    </row>
    <row r="3377" spans="1:9" x14ac:dyDescent="0.25">
      <c r="A3377" s="218" t="s">
        <v>220</v>
      </c>
      <c r="B3377" s="218" t="s">
        <v>5430</v>
      </c>
      <c r="C3377" s="219" t="s">
        <v>6644</v>
      </c>
      <c r="D3377" s="212" t="s">
        <v>6645</v>
      </c>
      <c r="E3377" s="212" t="s">
        <v>545</v>
      </c>
      <c r="F3377" s="213">
        <v>1</v>
      </c>
      <c r="G3377" s="213">
        <v>0</v>
      </c>
      <c r="H3377" s="195">
        <f t="shared" si="52"/>
        <v>0</v>
      </c>
      <c r="I3377" s="212" t="s">
        <v>2354</v>
      </c>
    </row>
    <row r="3378" spans="1:9" x14ac:dyDescent="0.25">
      <c r="A3378" s="218" t="s">
        <v>220</v>
      </c>
      <c r="B3378" s="218" t="s">
        <v>5430</v>
      </c>
      <c r="C3378" s="219" t="s">
        <v>6646</v>
      </c>
      <c r="D3378" s="212" t="s">
        <v>6647</v>
      </c>
      <c r="E3378" s="212" t="s">
        <v>545</v>
      </c>
      <c r="F3378" s="213">
        <v>2</v>
      </c>
      <c r="G3378" s="213">
        <v>0</v>
      </c>
      <c r="H3378" s="195">
        <f t="shared" si="52"/>
        <v>0</v>
      </c>
      <c r="I3378" s="212" t="s">
        <v>2354</v>
      </c>
    </row>
    <row r="3379" spans="1:9" x14ac:dyDescent="0.25">
      <c r="A3379" s="218" t="s">
        <v>220</v>
      </c>
      <c r="B3379" s="218" t="s">
        <v>5430</v>
      </c>
      <c r="C3379" s="219" t="s">
        <v>6648</v>
      </c>
      <c r="D3379" s="212" t="s">
        <v>6649</v>
      </c>
      <c r="E3379" s="212" t="s">
        <v>545</v>
      </c>
      <c r="F3379" s="213">
        <v>1</v>
      </c>
      <c r="G3379" s="213">
        <v>0</v>
      </c>
      <c r="H3379" s="195">
        <f t="shared" si="52"/>
        <v>0</v>
      </c>
      <c r="I3379" s="212" t="s">
        <v>2354</v>
      </c>
    </row>
    <row r="3380" spans="1:9" x14ac:dyDescent="0.25">
      <c r="A3380" s="218" t="s">
        <v>220</v>
      </c>
      <c r="B3380" s="218" t="s">
        <v>5430</v>
      </c>
      <c r="C3380" s="219" t="s">
        <v>6650</v>
      </c>
      <c r="D3380" s="212" t="s">
        <v>6651</v>
      </c>
      <c r="E3380" s="212" t="s">
        <v>545</v>
      </c>
      <c r="F3380" s="213">
        <v>1</v>
      </c>
      <c r="G3380" s="213">
        <v>0</v>
      </c>
      <c r="H3380" s="195">
        <f t="shared" si="52"/>
        <v>0</v>
      </c>
      <c r="I3380" s="212" t="s">
        <v>2354</v>
      </c>
    </row>
    <row r="3381" spans="1:9" x14ac:dyDescent="0.25">
      <c r="A3381" s="218" t="s">
        <v>220</v>
      </c>
      <c r="B3381" s="218" t="s">
        <v>5430</v>
      </c>
      <c r="C3381" s="219" t="s">
        <v>6652</v>
      </c>
      <c r="D3381" s="212" t="s">
        <v>6653</v>
      </c>
      <c r="E3381" s="212" t="s">
        <v>545</v>
      </c>
      <c r="F3381" s="213">
        <v>1</v>
      </c>
      <c r="G3381" s="213">
        <v>0</v>
      </c>
      <c r="H3381" s="195">
        <f t="shared" si="52"/>
        <v>0</v>
      </c>
      <c r="I3381" s="212" t="s">
        <v>2354</v>
      </c>
    </row>
    <row r="3382" spans="1:9" x14ac:dyDescent="0.25">
      <c r="A3382" s="218" t="s">
        <v>220</v>
      </c>
      <c r="B3382" s="218" t="s">
        <v>5430</v>
      </c>
      <c r="C3382" s="219" t="s">
        <v>6654</v>
      </c>
      <c r="D3382" s="212" t="s">
        <v>6655</v>
      </c>
      <c r="E3382" s="212" t="s">
        <v>545</v>
      </c>
      <c r="F3382" s="213">
        <v>1</v>
      </c>
      <c r="G3382" s="213">
        <v>0</v>
      </c>
      <c r="H3382" s="195">
        <f t="shared" si="52"/>
        <v>0</v>
      </c>
      <c r="I3382" s="212" t="s">
        <v>2354</v>
      </c>
    </row>
    <row r="3383" spans="1:9" x14ac:dyDescent="0.25">
      <c r="A3383" s="218" t="s">
        <v>220</v>
      </c>
      <c r="B3383" s="218" t="s">
        <v>5430</v>
      </c>
      <c r="C3383" s="219" t="s">
        <v>6656</v>
      </c>
      <c r="D3383" s="212" t="s">
        <v>6657</v>
      </c>
      <c r="E3383" s="212" t="s">
        <v>545</v>
      </c>
      <c r="F3383" s="213">
        <v>1</v>
      </c>
      <c r="G3383" s="213">
        <v>0</v>
      </c>
      <c r="H3383" s="195">
        <f t="shared" si="52"/>
        <v>0</v>
      </c>
      <c r="I3383" s="212" t="s">
        <v>2354</v>
      </c>
    </row>
    <row r="3384" spans="1:9" x14ac:dyDescent="0.25">
      <c r="A3384" s="218" t="s">
        <v>220</v>
      </c>
      <c r="B3384" s="218" t="s">
        <v>5430</v>
      </c>
      <c r="C3384" s="219" t="s">
        <v>6658</v>
      </c>
      <c r="D3384" s="212" t="s">
        <v>6659</v>
      </c>
      <c r="E3384" s="212" t="s">
        <v>545</v>
      </c>
      <c r="F3384" s="213">
        <v>1</v>
      </c>
      <c r="G3384" s="213">
        <v>0</v>
      </c>
      <c r="H3384" s="195">
        <f t="shared" si="52"/>
        <v>0</v>
      </c>
      <c r="I3384" s="212" t="s">
        <v>2354</v>
      </c>
    </row>
    <row r="3385" spans="1:9" x14ac:dyDescent="0.25">
      <c r="A3385" s="218" t="s">
        <v>220</v>
      </c>
      <c r="B3385" s="218" t="s">
        <v>5430</v>
      </c>
      <c r="C3385" s="219" t="s">
        <v>6660</v>
      </c>
      <c r="D3385" s="212" t="s">
        <v>6661</v>
      </c>
      <c r="E3385" s="212" t="s">
        <v>545</v>
      </c>
      <c r="F3385" s="213">
        <v>2</v>
      </c>
      <c r="G3385" s="213">
        <v>0</v>
      </c>
      <c r="H3385" s="195">
        <f t="shared" si="52"/>
        <v>0</v>
      </c>
      <c r="I3385" s="212" t="s">
        <v>2354</v>
      </c>
    </row>
    <row r="3386" spans="1:9" x14ac:dyDescent="0.25">
      <c r="A3386" s="218" t="s">
        <v>220</v>
      </c>
      <c r="B3386" s="218" t="s">
        <v>5430</v>
      </c>
      <c r="C3386" s="219" t="s">
        <v>6662</v>
      </c>
      <c r="D3386" s="212" t="s">
        <v>6663</v>
      </c>
      <c r="E3386" s="212" t="s">
        <v>545</v>
      </c>
      <c r="F3386" s="213">
        <v>1</v>
      </c>
      <c r="G3386" s="213">
        <v>0</v>
      </c>
      <c r="H3386" s="195">
        <f t="shared" si="52"/>
        <v>0</v>
      </c>
      <c r="I3386" s="212" t="s">
        <v>2354</v>
      </c>
    </row>
    <row r="3387" spans="1:9" x14ac:dyDescent="0.25">
      <c r="A3387" s="218" t="s">
        <v>220</v>
      </c>
      <c r="B3387" s="218" t="s">
        <v>5430</v>
      </c>
      <c r="C3387" s="219" t="s">
        <v>6664</v>
      </c>
      <c r="D3387" s="212" t="s">
        <v>6665</v>
      </c>
      <c r="E3387" s="212" t="s">
        <v>545</v>
      </c>
      <c r="F3387" s="213">
        <v>1</v>
      </c>
      <c r="G3387" s="213">
        <v>0</v>
      </c>
      <c r="H3387" s="195">
        <f t="shared" si="52"/>
        <v>0</v>
      </c>
      <c r="I3387" s="212" t="s">
        <v>2354</v>
      </c>
    </row>
    <row r="3388" spans="1:9" x14ac:dyDescent="0.25">
      <c r="A3388" s="218" t="s">
        <v>220</v>
      </c>
      <c r="B3388" s="218" t="s">
        <v>5430</v>
      </c>
      <c r="C3388" s="219" t="s">
        <v>6666</v>
      </c>
      <c r="D3388" s="212" t="s">
        <v>6667</v>
      </c>
      <c r="E3388" s="212" t="s">
        <v>545</v>
      </c>
      <c r="F3388" s="213">
        <v>1</v>
      </c>
      <c r="G3388" s="213">
        <v>0</v>
      </c>
      <c r="H3388" s="195">
        <f t="shared" si="52"/>
        <v>0</v>
      </c>
      <c r="I3388" s="212" t="s">
        <v>2354</v>
      </c>
    </row>
    <row r="3389" spans="1:9" x14ac:dyDescent="0.25">
      <c r="A3389" s="218" t="s">
        <v>220</v>
      </c>
      <c r="B3389" s="218" t="s">
        <v>5430</v>
      </c>
      <c r="C3389" s="219" t="s">
        <v>6668</v>
      </c>
      <c r="D3389" s="212" t="s">
        <v>6669</v>
      </c>
      <c r="E3389" s="212" t="s">
        <v>545</v>
      </c>
      <c r="F3389" s="213">
        <v>5</v>
      </c>
      <c r="G3389" s="213">
        <v>0</v>
      </c>
      <c r="H3389" s="195">
        <f t="shared" si="52"/>
        <v>0</v>
      </c>
      <c r="I3389" s="212" t="s">
        <v>2354</v>
      </c>
    </row>
    <row r="3390" spans="1:9" x14ac:dyDescent="0.25">
      <c r="A3390" s="218" t="s">
        <v>220</v>
      </c>
      <c r="B3390" s="218" t="s">
        <v>5430</v>
      </c>
      <c r="C3390" s="219" t="s">
        <v>6670</v>
      </c>
      <c r="D3390" s="212" t="s">
        <v>6671</v>
      </c>
      <c r="E3390" s="212" t="s">
        <v>545</v>
      </c>
      <c r="F3390" s="213">
        <v>2</v>
      </c>
      <c r="G3390" s="213">
        <v>413.48160000000001</v>
      </c>
      <c r="H3390" s="195">
        <f t="shared" si="52"/>
        <v>826.96320000000003</v>
      </c>
      <c r="I3390" s="212" t="s">
        <v>2354</v>
      </c>
    </row>
    <row r="3391" spans="1:9" x14ac:dyDescent="0.25">
      <c r="A3391" s="218" t="s">
        <v>220</v>
      </c>
      <c r="B3391" s="218" t="s">
        <v>5430</v>
      </c>
      <c r="C3391" s="219" t="s">
        <v>6672</v>
      </c>
      <c r="D3391" s="212" t="s">
        <v>6673</v>
      </c>
      <c r="E3391" s="212" t="s">
        <v>545</v>
      </c>
      <c r="F3391" s="213">
        <v>4</v>
      </c>
      <c r="G3391" s="213">
        <v>0</v>
      </c>
      <c r="H3391" s="195">
        <f t="shared" si="52"/>
        <v>0</v>
      </c>
      <c r="I3391" s="212" t="s">
        <v>2354</v>
      </c>
    </row>
    <row r="3392" spans="1:9" x14ac:dyDescent="0.25">
      <c r="A3392" s="218" t="s">
        <v>220</v>
      </c>
      <c r="B3392" s="218" t="s">
        <v>5430</v>
      </c>
      <c r="C3392" s="219" t="s">
        <v>6674</v>
      </c>
      <c r="D3392" s="212" t="s">
        <v>6675</v>
      </c>
      <c r="E3392" s="212" t="s">
        <v>545</v>
      </c>
      <c r="F3392" s="213">
        <v>1</v>
      </c>
      <c r="G3392" s="213">
        <v>0</v>
      </c>
      <c r="H3392" s="195">
        <f t="shared" si="52"/>
        <v>0</v>
      </c>
      <c r="I3392" s="212" t="s">
        <v>2354</v>
      </c>
    </row>
    <row r="3393" spans="1:9" x14ac:dyDescent="0.25">
      <c r="A3393" s="218" t="s">
        <v>220</v>
      </c>
      <c r="B3393" s="218" t="s">
        <v>5430</v>
      </c>
      <c r="C3393" s="219" t="s">
        <v>6676</v>
      </c>
      <c r="D3393" s="212" t="s">
        <v>6677</v>
      </c>
      <c r="E3393" s="212" t="s">
        <v>545</v>
      </c>
      <c r="F3393" s="213">
        <v>1</v>
      </c>
      <c r="G3393" s="213">
        <v>0</v>
      </c>
      <c r="H3393" s="195">
        <f t="shared" si="52"/>
        <v>0</v>
      </c>
      <c r="I3393" s="212" t="s">
        <v>2354</v>
      </c>
    </row>
    <row r="3394" spans="1:9" x14ac:dyDescent="0.25">
      <c r="A3394" s="218" t="s">
        <v>220</v>
      </c>
      <c r="B3394" s="218" t="s">
        <v>5430</v>
      </c>
      <c r="C3394" s="219" t="s">
        <v>6678</v>
      </c>
      <c r="D3394" s="212" t="s">
        <v>6679</v>
      </c>
      <c r="E3394" s="212" t="s">
        <v>545</v>
      </c>
      <c r="F3394" s="213">
        <v>5</v>
      </c>
      <c r="G3394" s="213">
        <v>0</v>
      </c>
      <c r="H3394" s="195">
        <f t="shared" si="52"/>
        <v>0</v>
      </c>
      <c r="I3394" s="212" t="s">
        <v>2354</v>
      </c>
    </row>
    <row r="3395" spans="1:9" x14ac:dyDescent="0.25">
      <c r="A3395" s="218" t="s">
        <v>220</v>
      </c>
      <c r="B3395" s="218" t="s">
        <v>5430</v>
      </c>
      <c r="C3395" s="219" t="s">
        <v>6680</v>
      </c>
      <c r="D3395" s="212" t="s">
        <v>6681</v>
      </c>
      <c r="E3395" s="212" t="s">
        <v>545</v>
      </c>
      <c r="F3395" s="213">
        <v>1</v>
      </c>
      <c r="G3395" s="213">
        <v>0</v>
      </c>
      <c r="H3395" s="195">
        <f t="shared" si="52"/>
        <v>0</v>
      </c>
      <c r="I3395" s="212" t="s">
        <v>2354</v>
      </c>
    </row>
    <row r="3396" spans="1:9" x14ac:dyDescent="0.25">
      <c r="A3396" s="218" t="s">
        <v>220</v>
      </c>
      <c r="B3396" s="218" t="s">
        <v>5430</v>
      </c>
      <c r="C3396" s="219" t="s">
        <v>3823</v>
      </c>
      <c r="D3396" s="212" t="s">
        <v>3824</v>
      </c>
      <c r="E3396" s="212" t="s">
        <v>545</v>
      </c>
      <c r="F3396" s="213">
        <v>1</v>
      </c>
      <c r="G3396" s="213">
        <v>0</v>
      </c>
      <c r="H3396" s="195">
        <f t="shared" si="52"/>
        <v>0</v>
      </c>
      <c r="I3396" s="212" t="s">
        <v>2354</v>
      </c>
    </row>
    <row r="3397" spans="1:9" x14ac:dyDescent="0.25">
      <c r="A3397" s="218" t="s">
        <v>220</v>
      </c>
      <c r="B3397" s="218" t="s">
        <v>5430</v>
      </c>
      <c r="C3397" s="219" t="s">
        <v>6682</v>
      </c>
      <c r="D3397" s="212" t="s">
        <v>6683</v>
      </c>
      <c r="E3397" s="212" t="s">
        <v>545</v>
      </c>
      <c r="F3397" s="213">
        <v>6</v>
      </c>
      <c r="G3397" s="213">
        <v>0</v>
      </c>
      <c r="H3397" s="195">
        <f t="shared" ref="H3397:H3460" si="53">+F3397*G3397</f>
        <v>0</v>
      </c>
      <c r="I3397" s="212" t="s">
        <v>2354</v>
      </c>
    </row>
    <row r="3398" spans="1:9" x14ac:dyDescent="0.25">
      <c r="A3398" s="218" t="s">
        <v>220</v>
      </c>
      <c r="B3398" s="218" t="s">
        <v>5430</v>
      </c>
      <c r="C3398" s="219" t="s">
        <v>6684</v>
      </c>
      <c r="D3398" s="212" t="s">
        <v>6685</v>
      </c>
      <c r="E3398" s="212" t="s">
        <v>545</v>
      </c>
      <c r="F3398" s="213">
        <v>2</v>
      </c>
      <c r="G3398" s="213">
        <v>0</v>
      </c>
      <c r="H3398" s="195">
        <f t="shared" si="53"/>
        <v>0</v>
      </c>
      <c r="I3398" s="212" t="s">
        <v>2354</v>
      </c>
    </row>
    <row r="3399" spans="1:9" x14ac:dyDescent="0.25">
      <c r="A3399" s="218" t="s">
        <v>220</v>
      </c>
      <c r="B3399" s="218" t="s">
        <v>5430</v>
      </c>
      <c r="C3399" s="219" t="s">
        <v>6686</v>
      </c>
      <c r="D3399" s="212" t="s">
        <v>6687</v>
      </c>
      <c r="E3399" s="212" t="s">
        <v>545</v>
      </c>
      <c r="F3399" s="213">
        <v>2</v>
      </c>
      <c r="G3399" s="213">
        <v>0</v>
      </c>
      <c r="H3399" s="195">
        <f t="shared" si="53"/>
        <v>0</v>
      </c>
      <c r="I3399" s="212" t="s">
        <v>2354</v>
      </c>
    </row>
    <row r="3400" spans="1:9" x14ac:dyDescent="0.25">
      <c r="A3400" s="218" t="s">
        <v>220</v>
      </c>
      <c r="B3400" s="218" t="s">
        <v>5430</v>
      </c>
      <c r="C3400" s="219" t="s">
        <v>6688</v>
      </c>
      <c r="D3400" s="212" t="s">
        <v>6689</v>
      </c>
      <c r="E3400" s="212" t="s">
        <v>545</v>
      </c>
      <c r="F3400" s="213">
        <v>1</v>
      </c>
      <c r="G3400" s="213">
        <v>0</v>
      </c>
      <c r="H3400" s="195">
        <f t="shared" si="53"/>
        <v>0</v>
      </c>
      <c r="I3400" s="212" t="s">
        <v>2354</v>
      </c>
    </row>
    <row r="3401" spans="1:9" x14ac:dyDescent="0.25">
      <c r="A3401" s="218" t="s">
        <v>220</v>
      </c>
      <c r="B3401" s="218" t="s">
        <v>5430</v>
      </c>
      <c r="C3401" s="219" t="s">
        <v>6690</v>
      </c>
      <c r="D3401" s="212" t="s">
        <v>6691</v>
      </c>
      <c r="E3401" s="212" t="s">
        <v>545</v>
      </c>
      <c r="F3401" s="213">
        <v>2</v>
      </c>
      <c r="G3401" s="213">
        <v>193.64699999999999</v>
      </c>
      <c r="H3401" s="195">
        <f t="shared" si="53"/>
        <v>387.29399999999998</v>
      </c>
      <c r="I3401" s="212" t="s">
        <v>2354</v>
      </c>
    </row>
    <row r="3402" spans="1:9" x14ac:dyDescent="0.25">
      <c r="A3402" s="218" t="s">
        <v>220</v>
      </c>
      <c r="B3402" s="218" t="s">
        <v>5430</v>
      </c>
      <c r="C3402" s="219" t="s">
        <v>6692</v>
      </c>
      <c r="D3402" s="212" t="s">
        <v>6693</v>
      </c>
      <c r="E3402" s="212" t="s">
        <v>545</v>
      </c>
      <c r="F3402" s="213">
        <v>2</v>
      </c>
      <c r="G3402" s="213">
        <v>114.7698</v>
      </c>
      <c r="H3402" s="195">
        <f t="shared" si="53"/>
        <v>229.53960000000001</v>
      </c>
      <c r="I3402" s="212" t="s">
        <v>2354</v>
      </c>
    </row>
    <row r="3403" spans="1:9" x14ac:dyDescent="0.25">
      <c r="A3403" s="218" t="s">
        <v>220</v>
      </c>
      <c r="B3403" s="218" t="s">
        <v>5430</v>
      </c>
      <c r="C3403" s="219" t="s">
        <v>6694</v>
      </c>
      <c r="D3403" s="212" t="s">
        <v>6695</v>
      </c>
      <c r="E3403" s="212" t="s">
        <v>545</v>
      </c>
      <c r="F3403" s="213">
        <v>41</v>
      </c>
      <c r="G3403" s="213">
        <v>3.0419999999999998</v>
      </c>
      <c r="H3403" s="195">
        <f t="shared" si="53"/>
        <v>124.72199999999999</v>
      </c>
      <c r="I3403" s="212" t="s">
        <v>2354</v>
      </c>
    </row>
    <row r="3404" spans="1:9" x14ac:dyDescent="0.25">
      <c r="A3404" s="218" t="s">
        <v>220</v>
      </c>
      <c r="B3404" s="218" t="s">
        <v>5430</v>
      </c>
      <c r="C3404" s="219" t="s">
        <v>6696</v>
      </c>
      <c r="D3404" s="212" t="s">
        <v>6697</v>
      </c>
      <c r="E3404" s="212" t="s">
        <v>545</v>
      </c>
      <c r="F3404" s="213">
        <v>40</v>
      </c>
      <c r="G3404" s="213">
        <v>0.87839999999999996</v>
      </c>
      <c r="H3404" s="195">
        <f t="shared" si="53"/>
        <v>35.135999999999996</v>
      </c>
      <c r="I3404" s="212" t="s">
        <v>2354</v>
      </c>
    </row>
    <row r="3405" spans="1:9" x14ac:dyDescent="0.25">
      <c r="A3405" s="218" t="s">
        <v>220</v>
      </c>
      <c r="B3405" s="218" t="s">
        <v>5430</v>
      </c>
      <c r="C3405" s="219" t="s">
        <v>6698</v>
      </c>
      <c r="D3405" s="212" t="s">
        <v>6699</v>
      </c>
      <c r="E3405" s="212" t="s">
        <v>2473</v>
      </c>
      <c r="F3405" s="213">
        <v>2</v>
      </c>
      <c r="G3405" s="213">
        <v>18.105</v>
      </c>
      <c r="H3405" s="195">
        <f t="shared" si="53"/>
        <v>36.21</v>
      </c>
      <c r="I3405" s="212" t="s">
        <v>2354</v>
      </c>
    </row>
    <row r="3406" spans="1:9" x14ac:dyDescent="0.25">
      <c r="A3406" s="218" t="s">
        <v>220</v>
      </c>
      <c r="B3406" s="218" t="s">
        <v>5430</v>
      </c>
      <c r="C3406" s="219" t="s">
        <v>5374</v>
      </c>
      <c r="D3406" s="212" t="s">
        <v>5375</v>
      </c>
      <c r="E3406" s="212" t="s">
        <v>545</v>
      </c>
      <c r="F3406" s="213">
        <v>30</v>
      </c>
      <c r="G3406" s="213">
        <v>2.8799999999999999E-2</v>
      </c>
      <c r="H3406" s="195">
        <f t="shared" si="53"/>
        <v>0.86399999999999999</v>
      </c>
      <c r="I3406" s="212" t="s">
        <v>2354</v>
      </c>
    </row>
    <row r="3407" spans="1:9" x14ac:dyDescent="0.25">
      <c r="A3407" s="218" t="s">
        <v>220</v>
      </c>
      <c r="B3407" s="218" t="s">
        <v>5430</v>
      </c>
      <c r="C3407" s="219" t="s">
        <v>6700</v>
      </c>
      <c r="D3407" s="212" t="s">
        <v>6701</v>
      </c>
      <c r="E3407" s="212" t="s">
        <v>545</v>
      </c>
      <c r="F3407" s="213">
        <v>1</v>
      </c>
      <c r="G3407" s="213">
        <v>11.24</v>
      </c>
      <c r="H3407" s="195">
        <f t="shared" si="53"/>
        <v>11.24</v>
      </c>
      <c r="I3407" s="212" t="s">
        <v>2354</v>
      </c>
    </row>
    <row r="3408" spans="1:9" x14ac:dyDescent="0.25">
      <c r="A3408" s="218" t="s">
        <v>220</v>
      </c>
      <c r="B3408" s="218" t="s">
        <v>5430</v>
      </c>
      <c r="C3408" s="219" t="s">
        <v>6702</v>
      </c>
      <c r="D3408" s="212" t="s">
        <v>6703</v>
      </c>
      <c r="E3408" s="212" t="s">
        <v>545</v>
      </c>
      <c r="F3408" s="213">
        <v>2</v>
      </c>
      <c r="G3408" s="213">
        <v>33.039499999999997</v>
      </c>
      <c r="H3408" s="195">
        <f t="shared" si="53"/>
        <v>66.078999999999994</v>
      </c>
      <c r="I3408" s="212" t="s">
        <v>2354</v>
      </c>
    </row>
    <row r="3409" spans="1:9" x14ac:dyDescent="0.25">
      <c r="A3409" s="218" t="s">
        <v>220</v>
      </c>
      <c r="B3409" s="218" t="s">
        <v>5430</v>
      </c>
      <c r="C3409" s="219" t="s">
        <v>6704</v>
      </c>
      <c r="D3409" s="212" t="s">
        <v>6705</v>
      </c>
      <c r="E3409" s="212" t="s">
        <v>545</v>
      </c>
      <c r="F3409" s="213">
        <v>1</v>
      </c>
      <c r="G3409" s="213">
        <v>271.39999999999998</v>
      </c>
      <c r="H3409" s="195">
        <f t="shared" si="53"/>
        <v>271.39999999999998</v>
      </c>
      <c r="I3409" s="212" t="s">
        <v>2354</v>
      </c>
    </row>
    <row r="3410" spans="1:9" x14ac:dyDescent="0.25">
      <c r="A3410" s="218" t="s">
        <v>220</v>
      </c>
      <c r="B3410" s="218" t="s">
        <v>5430</v>
      </c>
      <c r="C3410" s="219" t="s">
        <v>6706</v>
      </c>
      <c r="D3410" s="212" t="s">
        <v>6707</v>
      </c>
      <c r="E3410" s="212" t="s">
        <v>545</v>
      </c>
      <c r="F3410" s="213">
        <v>5</v>
      </c>
      <c r="G3410" s="213">
        <v>7.6049499999999997</v>
      </c>
      <c r="H3410" s="195">
        <f t="shared" si="53"/>
        <v>38.024749999999997</v>
      </c>
      <c r="I3410" s="212" t="s">
        <v>2354</v>
      </c>
    </row>
    <row r="3411" spans="1:9" x14ac:dyDescent="0.25">
      <c r="A3411" s="218" t="s">
        <v>220</v>
      </c>
      <c r="B3411" s="218" t="s">
        <v>5430</v>
      </c>
      <c r="C3411" s="219" t="s">
        <v>6708</v>
      </c>
      <c r="D3411" s="212" t="s">
        <v>6709</v>
      </c>
      <c r="E3411" s="212" t="s">
        <v>545</v>
      </c>
      <c r="F3411" s="213">
        <v>2</v>
      </c>
      <c r="G3411" s="213">
        <v>4.8166666666666664</v>
      </c>
      <c r="H3411" s="195">
        <f t="shared" si="53"/>
        <v>9.6333333333333329</v>
      </c>
      <c r="I3411" s="212" t="s">
        <v>2354</v>
      </c>
    </row>
    <row r="3412" spans="1:9" x14ac:dyDescent="0.25">
      <c r="A3412" s="218" t="s">
        <v>220</v>
      </c>
      <c r="B3412" s="218" t="s">
        <v>5430</v>
      </c>
      <c r="C3412" s="219" t="s">
        <v>6710</v>
      </c>
      <c r="D3412" s="212" t="s">
        <v>6711</v>
      </c>
      <c r="E3412" s="212" t="s">
        <v>545</v>
      </c>
      <c r="F3412" s="213">
        <v>1</v>
      </c>
      <c r="G3412" s="213">
        <v>3.1652999999999998</v>
      </c>
      <c r="H3412" s="195">
        <f t="shared" si="53"/>
        <v>3.1652999999999998</v>
      </c>
      <c r="I3412" s="212" t="s">
        <v>2354</v>
      </c>
    </row>
    <row r="3413" spans="1:9" x14ac:dyDescent="0.25">
      <c r="A3413" s="218" t="s">
        <v>220</v>
      </c>
      <c r="B3413" s="218" t="s">
        <v>5430</v>
      </c>
      <c r="C3413" s="219" t="s">
        <v>6712</v>
      </c>
      <c r="D3413" s="212" t="s">
        <v>6713</v>
      </c>
      <c r="E3413" s="212" t="s">
        <v>545</v>
      </c>
      <c r="F3413" s="213">
        <v>1</v>
      </c>
      <c r="G3413" s="213">
        <v>0</v>
      </c>
      <c r="H3413" s="195">
        <f t="shared" si="53"/>
        <v>0</v>
      </c>
      <c r="I3413" s="212" t="s">
        <v>2354</v>
      </c>
    </row>
    <row r="3414" spans="1:9" x14ac:dyDescent="0.25">
      <c r="A3414" s="218" t="s">
        <v>220</v>
      </c>
      <c r="B3414" s="218" t="s">
        <v>5430</v>
      </c>
      <c r="C3414" s="219" t="s">
        <v>6714</v>
      </c>
      <c r="D3414" s="212" t="s">
        <v>6715</v>
      </c>
      <c r="E3414" s="212" t="s">
        <v>545</v>
      </c>
      <c r="F3414" s="213">
        <v>40</v>
      </c>
      <c r="G3414" s="213">
        <v>8.0100000000000005E-2</v>
      </c>
      <c r="H3414" s="195">
        <f t="shared" si="53"/>
        <v>3.2040000000000002</v>
      </c>
      <c r="I3414" s="212" t="s">
        <v>2354</v>
      </c>
    </row>
    <row r="3415" spans="1:9" x14ac:dyDescent="0.25">
      <c r="A3415" s="218" t="s">
        <v>220</v>
      </c>
      <c r="B3415" s="218" t="s">
        <v>5430</v>
      </c>
      <c r="C3415" s="219" t="s">
        <v>6716</v>
      </c>
      <c r="D3415" s="212" t="s">
        <v>6717</v>
      </c>
      <c r="E3415" s="212" t="s">
        <v>545</v>
      </c>
      <c r="F3415" s="213">
        <v>2</v>
      </c>
      <c r="G3415" s="213">
        <v>5.8641999999999994</v>
      </c>
      <c r="H3415" s="195">
        <f t="shared" si="53"/>
        <v>11.728399999999999</v>
      </c>
      <c r="I3415" s="212" t="s">
        <v>2354</v>
      </c>
    </row>
    <row r="3416" spans="1:9" x14ac:dyDescent="0.25">
      <c r="A3416" s="218" t="s">
        <v>220</v>
      </c>
      <c r="B3416" s="218" t="s">
        <v>5430</v>
      </c>
      <c r="C3416" s="219" t="s">
        <v>3933</v>
      </c>
      <c r="D3416" s="212" t="s">
        <v>3934</v>
      </c>
      <c r="E3416" s="212" t="s">
        <v>545</v>
      </c>
      <c r="F3416" s="213">
        <v>2</v>
      </c>
      <c r="G3416" s="213">
        <v>200</v>
      </c>
      <c r="H3416" s="195">
        <f t="shared" si="53"/>
        <v>400</v>
      </c>
      <c r="I3416" s="212" t="s">
        <v>2354</v>
      </c>
    </row>
    <row r="3417" spans="1:9" x14ac:dyDescent="0.25">
      <c r="A3417" s="218" t="s">
        <v>220</v>
      </c>
      <c r="B3417" s="218" t="s">
        <v>5430</v>
      </c>
      <c r="C3417" s="219" t="s">
        <v>6718</v>
      </c>
      <c r="D3417" s="212" t="s">
        <v>6719</v>
      </c>
      <c r="E3417" s="212" t="s">
        <v>545</v>
      </c>
      <c r="F3417" s="213">
        <v>19</v>
      </c>
      <c r="G3417" s="213">
        <v>1.552</v>
      </c>
      <c r="H3417" s="195">
        <f t="shared" si="53"/>
        <v>29.488</v>
      </c>
      <c r="I3417" s="212" t="s">
        <v>2354</v>
      </c>
    </row>
    <row r="3418" spans="1:9" x14ac:dyDescent="0.25">
      <c r="A3418" s="218" t="s">
        <v>220</v>
      </c>
      <c r="B3418" s="218" t="s">
        <v>5430</v>
      </c>
      <c r="C3418" s="219" t="s">
        <v>3939</v>
      </c>
      <c r="D3418" s="212" t="s">
        <v>3940</v>
      </c>
      <c r="E3418" s="212" t="s">
        <v>545</v>
      </c>
      <c r="F3418" s="213">
        <v>2</v>
      </c>
      <c r="G3418" s="213">
        <v>25.228000000000002</v>
      </c>
      <c r="H3418" s="195">
        <f t="shared" si="53"/>
        <v>50.456000000000003</v>
      </c>
      <c r="I3418" s="212" t="s">
        <v>2354</v>
      </c>
    </row>
    <row r="3419" spans="1:9" x14ac:dyDescent="0.25">
      <c r="A3419" s="218" t="s">
        <v>220</v>
      </c>
      <c r="B3419" s="218" t="s">
        <v>5430</v>
      </c>
      <c r="C3419" s="219" t="s">
        <v>3941</v>
      </c>
      <c r="D3419" s="212" t="s">
        <v>3942</v>
      </c>
      <c r="E3419" s="212" t="s">
        <v>545</v>
      </c>
      <c r="F3419" s="213">
        <v>1</v>
      </c>
      <c r="G3419" s="213">
        <v>4.5789999999999997</v>
      </c>
      <c r="H3419" s="195">
        <f t="shared" si="53"/>
        <v>4.5789999999999997</v>
      </c>
      <c r="I3419" s="212" t="s">
        <v>2354</v>
      </c>
    </row>
    <row r="3420" spans="1:9" x14ac:dyDescent="0.25">
      <c r="A3420" s="218" t="s">
        <v>220</v>
      </c>
      <c r="B3420" s="218" t="s">
        <v>5430</v>
      </c>
      <c r="C3420" s="219" t="s">
        <v>6720</v>
      </c>
      <c r="D3420" s="212" t="s">
        <v>6721</v>
      </c>
      <c r="E3420" s="212" t="s">
        <v>545</v>
      </c>
      <c r="F3420" s="213">
        <v>1</v>
      </c>
      <c r="G3420" s="213">
        <v>66.020624999999995</v>
      </c>
      <c r="H3420" s="195">
        <f t="shared" si="53"/>
        <v>66.020624999999995</v>
      </c>
      <c r="I3420" s="212" t="s">
        <v>2354</v>
      </c>
    </row>
    <row r="3421" spans="1:9" x14ac:dyDescent="0.25">
      <c r="A3421" s="218" t="s">
        <v>220</v>
      </c>
      <c r="B3421" s="218" t="s">
        <v>5430</v>
      </c>
      <c r="C3421" s="219" t="s">
        <v>6722</v>
      </c>
      <c r="D3421" s="212" t="s">
        <v>6723</v>
      </c>
      <c r="E3421" s="212" t="s">
        <v>545</v>
      </c>
      <c r="F3421" s="213">
        <v>4</v>
      </c>
      <c r="G3421" s="213">
        <v>1.8</v>
      </c>
      <c r="H3421" s="195">
        <f t="shared" si="53"/>
        <v>7.2</v>
      </c>
      <c r="I3421" s="212" t="s">
        <v>2354</v>
      </c>
    </row>
    <row r="3422" spans="1:9" x14ac:dyDescent="0.25">
      <c r="A3422" s="218" t="s">
        <v>220</v>
      </c>
      <c r="B3422" s="218" t="s">
        <v>5430</v>
      </c>
      <c r="C3422" s="219" t="s">
        <v>6724</v>
      </c>
      <c r="D3422" s="212" t="s">
        <v>6725</v>
      </c>
      <c r="E3422" s="212" t="s">
        <v>545</v>
      </c>
      <c r="F3422" s="213">
        <v>4</v>
      </c>
      <c r="G3422" s="213">
        <v>55.368000000000002</v>
      </c>
      <c r="H3422" s="195">
        <f t="shared" si="53"/>
        <v>221.47200000000001</v>
      </c>
      <c r="I3422" s="212" t="s">
        <v>2354</v>
      </c>
    </row>
    <row r="3423" spans="1:9" x14ac:dyDescent="0.25">
      <c r="A3423" s="218" t="s">
        <v>220</v>
      </c>
      <c r="B3423" s="218" t="s">
        <v>5430</v>
      </c>
      <c r="C3423" s="219" t="s">
        <v>6726</v>
      </c>
      <c r="D3423" s="212" t="s">
        <v>6727</v>
      </c>
      <c r="E3423" s="212" t="s">
        <v>545</v>
      </c>
      <c r="F3423" s="213">
        <v>1</v>
      </c>
      <c r="G3423" s="213">
        <v>34.297499999999999</v>
      </c>
      <c r="H3423" s="195">
        <f t="shared" si="53"/>
        <v>34.297499999999999</v>
      </c>
      <c r="I3423" s="212" t="s">
        <v>2354</v>
      </c>
    </row>
    <row r="3424" spans="1:9" x14ac:dyDescent="0.25">
      <c r="A3424" s="218" t="s">
        <v>220</v>
      </c>
      <c r="B3424" s="218" t="s">
        <v>5430</v>
      </c>
      <c r="C3424" s="219" t="s">
        <v>6728</v>
      </c>
      <c r="D3424" s="212" t="s">
        <v>6729</v>
      </c>
      <c r="E3424" s="212" t="s">
        <v>545</v>
      </c>
      <c r="F3424" s="213">
        <v>7</v>
      </c>
      <c r="G3424" s="213">
        <v>21.5154</v>
      </c>
      <c r="H3424" s="195">
        <f t="shared" si="53"/>
        <v>150.6078</v>
      </c>
      <c r="I3424" s="212" t="s">
        <v>2354</v>
      </c>
    </row>
    <row r="3425" spans="1:9" x14ac:dyDescent="0.25">
      <c r="A3425" s="218" t="s">
        <v>220</v>
      </c>
      <c r="B3425" s="218" t="s">
        <v>5430</v>
      </c>
      <c r="C3425" s="219" t="s">
        <v>3955</v>
      </c>
      <c r="D3425" s="212" t="s">
        <v>3956</v>
      </c>
      <c r="E3425" s="212" t="s">
        <v>545</v>
      </c>
      <c r="F3425" s="213">
        <v>2</v>
      </c>
      <c r="G3425" s="213">
        <v>83.718000000000004</v>
      </c>
      <c r="H3425" s="195">
        <f t="shared" si="53"/>
        <v>167.43600000000001</v>
      </c>
      <c r="I3425" s="212" t="s">
        <v>2354</v>
      </c>
    </row>
    <row r="3426" spans="1:9" x14ac:dyDescent="0.25">
      <c r="A3426" s="218" t="s">
        <v>220</v>
      </c>
      <c r="B3426" s="218" t="s">
        <v>5430</v>
      </c>
      <c r="C3426" s="219" t="s">
        <v>6730</v>
      </c>
      <c r="D3426" s="212" t="s">
        <v>6731</v>
      </c>
      <c r="E3426" s="212" t="s">
        <v>545</v>
      </c>
      <c r="F3426" s="213">
        <v>15</v>
      </c>
      <c r="G3426" s="213">
        <v>0.86219999999999997</v>
      </c>
      <c r="H3426" s="195">
        <f t="shared" si="53"/>
        <v>12.933</v>
      </c>
      <c r="I3426" s="212" t="s">
        <v>2354</v>
      </c>
    </row>
    <row r="3427" spans="1:9" x14ac:dyDescent="0.25">
      <c r="A3427" s="218" t="s">
        <v>220</v>
      </c>
      <c r="B3427" s="218" t="s">
        <v>5430</v>
      </c>
      <c r="C3427" s="219" t="s">
        <v>5376</v>
      </c>
      <c r="D3427" s="212" t="s">
        <v>5377</v>
      </c>
      <c r="E3427" s="212" t="s">
        <v>2387</v>
      </c>
      <c r="F3427" s="213">
        <v>25</v>
      </c>
      <c r="G3427" s="213">
        <v>1.3653</v>
      </c>
      <c r="H3427" s="195">
        <f t="shared" si="53"/>
        <v>34.1325</v>
      </c>
      <c r="I3427" s="212" t="s">
        <v>2354</v>
      </c>
    </row>
    <row r="3428" spans="1:9" x14ac:dyDescent="0.25">
      <c r="A3428" s="218" t="s">
        <v>220</v>
      </c>
      <c r="B3428" s="218" t="s">
        <v>5430</v>
      </c>
      <c r="C3428" s="219" t="s">
        <v>3961</v>
      </c>
      <c r="D3428" s="212" t="s">
        <v>3962</v>
      </c>
      <c r="E3428" s="212" t="s">
        <v>2387</v>
      </c>
      <c r="F3428" s="213">
        <v>100</v>
      </c>
      <c r="G3428" s="213">
        <v>0.96513000000000004</v>
      </c>
      <c r="H3428" s="195">
        <f t="shared" si="53"/>
        <v>96.513000000000005</v>
      </c>
      <c r="I3428" s="212" t="s">
        <v>2354</v>
      </c>
    </row>
    <row r="3429" spans="1:9" x14ac:dyDescent="0.25">
      <c r="A3429" s="218" t="s">
        <v>220</v>
      </c>
      <c r="B3429" s="218" t="s">
        <v>5430</v>
      </c>
      <c r="C3429" s="219" t="s">
        <v>6732</v>
      </c>
      <c r="D3429" s="212" t="s">
        <v>6733</v>
      </c>
      <c r="E3429" s="212" t="s">
        <v>2387</v>
      </c>
      <c r="F3429" s="213">
        <v>100</v>
      </c>
      <c r="G3429" s="213">
        <v>0.96460000000000012</v>
      </c>
      <c r="H3429" s="195">
        <f t="shared" si="53"/>
        <v>96.460000000000008</v>
      </c>
      <c r="I3429" s="212" t="s">
        <v>2354</v>
      </c>
    </row>
    <row r="3430" spans="1:9" x14ac:dyDescent="0.25">
      <c r="A3430" s="218" t="s">
        <v>220</v>
      </c>
      <c r="B3430" s="218" t="s">
        <v>5430</v>
      </c>
      <c r="C3430" s="219" t="s">
        <v>6734</v>
      </c>
      <c r="D3430" s="212" t="s">
        <v>6735</v>
      </c>
      <c r="E3430" s="212" t="s">
        <v>2387</v>
      </c>
      <c r="F3430" s="213">
        <v>30</v>
      </c>
      <c r="G3430" s="213">
        <v>14.5176</v>
      </c>
      <c r="H3430" s="195">
        <f t="shared" si="53"/>
        <v>435.52800000000002</v>
      </c>
      <c r="I3430" s="212" t="s">
        <v>2354</v>
      </c>
    </row>
    <row r="3431" spans="1:9" x14ac:dyDescent="0.25">
      <c r="A3431" s="218" t="s">
        <v>220</v>
      </c>
      <c r="B3431" s="218" t="s">
        <v>5430</v>
      </c>
      <c r="C3431" s="219" t="s">
        <v>3977</v>
      </c>
      <c r="D3431" s="212" t="s">
        <v>3978</v>
      </c>
      <c r="E3431" s="212" t="s">
        <v>545</v>
      </c>
      <c r="F3431" s="213">
        <v>35</v>
      </c>
      <c r="G3431" s="213">
        <v>3.0068999999999999</v>
      </c>
      <c r="H3431" s="195">
        <f t="shared" si="53"/>
        <v>105.2415</v>
      </c>
      <c r="I3431" s="212" t="s">
        <v>2354</v>
      </c>
    </row>
    <row r="3432" spans="1:9" x14ac:dyDescent="0.25">
      <c r="A3432" s="218" t="s">
        <v>220</v>
      </c>
      <c r="B3432" s="218" t="s">
        <v>5430</v>
      </c>
      <c r="C3432" s="219" t="s">
        <v>3979</v>
      </c>
      <c r="D3432" s="212" t="s">
        <v>3980</v>
      </c>
      <c r="E3432" s="212" t="s">
        <v>545</v>
      </c>
      <c r="F3432" s="213">
        <v>21</v>
      </c>
      <c r="G3432" s="213">
        <v>4.0301999999999998</v>
      </c>
      <c r="H3432" s="195">
        <f t="shared" si="53"/>
        <v>84.634199999999993</v>
      </c>
      <c r="I3432" s="212" t="s">
        <v>2354</v>
      </c>
    </row>
    <row r="3433" spans="1:9" x14ac:dyDescent="0.25">
      <c r="A3433" s="218" t="s">
        <v>220</v>
      </c>
      <c r="B3433" s="218" t="s">
        <v>5430</v>
      </c>
      <c r="C3433" s="219" t="s">
        <v>3981</v>
      </c>
      <c r="D3433" s="212" t="s">
        <v>3982</v>
      </c>
      <c r="E3433" s="212" t="s">
        <v>545</v>
      </c>
      <c r="F3433" s="213">
        <v>80</v>
      </c>
      <c r="G3433" s="213">
        <v>5.67</v>
      </c>
      <c r="H3433" s="195">
        <f t="shared" si="53"/>
        <v>453.6</v>
      </c>
      <c r="I3433" s="212" t="s">
        <v>2354</v>
      </c>
    </row>
    <row r="3434" spans="1:9" x14ac:dyDescent="0.25">
      <c r="A3434" s="218" t="s">
        <v>220</v>
      </c>
      <c r="B3434" s="218" t="s">
        <v>5430</v>
      </c>
      <c r="C3434" s="219" t="s">
        <v>6736</v>
      </c>
      <c r="D3434" s="212" t="s">
        <v>3984</v>
      </c>
      <c r="E3434" s="212" t="s">
        <v>2387</v>
      </c>
      <c r="F3434" s="213">
        <v>9</v>
      </c>
      <c r="G3434" s="213">
        <v>0.61426999999999998</v>
      </c>
      <c r="H3434" s="195">
        <f t="shared" si="53"/>
        <v>5.5284300000000002</v>
      </c>
      <c r="I3434" s="212" t="s">
        <v>2354</v>
      </c>
    </row>
    <row r="3435" spans="1:9" x14ac:dyDescent="0.25">
      <c r="A3435" s="218" t="s">
        <v>220</v>
      </c>
      <c r="B3435" s="218" t="s">
        <v>5430</v>
      </c>
      <c r="C3435" s="219" t="s">
        <v>6737</v>
      </c>
      <c r="D3435" s="212" t="s">
        <v>6738</v>
      </c>
      <c r="E3435" s="212" t="s">
        <v>2387</v>
      </c>
      <c r="F3435" s="213">
        <v>12</v>
      </c>
      <c r="G3435" s="213">
        <v>2.2185800000000002</v>
      </c>
      <c r="H3435" s="195">
        <f t="shared" si="53"/>
        <v>26.622960000000003</v>
      </c>
      <c r="I3435" s="212" t="s">
        <v>2354</v>
      </c>
    </row>
    <row r="3436" spans="1:9" x14ac:dyDescent="0.25">
      <c r="A3436" s="218" t="s">
        <v>220</v>
      </c>
      <c r="B3436" s="218" t="s">
        <v>5430</v>
      </c>
      <c r="C3436" s="219" t="s">
        <v>6739</v>
      </c>
      <c r="D3436" s="212" t="s">
        <v>6740</v>
      </c>
      <c r="E3436" s="212" t="s">
        <v>545</v>
      </c>
      <c r="F3436" s="213">
        <v>20</v>
      </c>
      <c r="G3436" s="213">
        <v>0</v>
      </c>
      <c r="H3436" s="195">
        <f t="shared" si="53"/>
        <v>0</v>
      </c>
      <c r="I3436" s="212" t="s">
        <v>2354</v>
      </c>
    </row>
    <row r="3437" spans="1:9" x14ac:dyDescent="0.25">
      <c r="A3437" s="218" t="s">
        <v>220</v>
      </c>
      <c r="B3437" s="218" t="s">
        <v>5430</v>
      </c>
      <c r="C3437" s="219" t="s">
        <v>6741</v>
      </c>
      <c r="D3437" s="212" t="s">
        <v>6742</v>
      </c>
      <c r="E3437" s="212" t="s">
        <v>2387</v>
      </c>
      <c r="F3437" s="213">
        <v>15</v>
      </c>
      <c r="G3437" s="213">
        <v>6.3679800000000002</v>
      </c>
      <c r="H3437" s="195">
        <f t="shared" si="53"/>
        <v>95.5197</v>
      </c>
      <c r="I3437" s="212" t="s">
        <v>2354</v>
      </c>
    </row>
    <row r="3438" spans="1:9" x14ac:dyDescent="0.25">
      <c r="A3438" s="218" t="s">
        <v>220</v>
      </c>
      <c r="B3438" s="218" t="s">
        <v>5430</v>
      </c>
      <c r="C3438" s="219" t="s">
        <v>3995</v>
      </c>
      <c r="D3438" s="212" t="s">
        <v>3996</v>
      </c>
      <c r="E3438" s="212" t="s">
        <v>545</v>
      </c>
      <c r="F3438" s="213">
        <v>2</v>
      </c>
      <c r="G3438" s="213">
        <v>70.52</v>
      </c>
      <c r="H3438" s="195">
        <f t="shared" si="53"/>
        <v>141.04</v>
      </c>
      <c r="I3438" s="212" t="s">
        <v>2354</v>
      </c>
    </row>
    <row r="3439" spans="1:9" x14ac:dyDescent="0.25">
      <c r="A3439" s="218" t="s">
        <v>220</v>
      </c>
      <c r="B3439" s="218" t="s">
        <v>5430</v>
      </c>
      <c r="C3439" s="219" t="s">
        <v>6743</v>
      </c>
      <c r="D3439" s="212" t="s">
        <v>6744</v>
      </c>
      <c r="E3439" s="212" t="s">
        <v>545</v>
      </c>
      <c r="F3439" s="213">
        <v>1</v>
      </c>
      <c r="G3439" s="213">
        <v>82.65</v>
      </c>
      <c r="H3439" s="195">
        <f t="shared" si="53"/>
        <v>82.65</v>
      </c>
      <c r="I3439" s="212" t="s">
        <v>2354</v>
      </c>
    </row>
    <row r="3440" spans="1:9" x14ac:dyDescent="0.25">
      <c r="A3440" s="218" t="s">
        <v>220</v>
      </c>
      <c r="B3440" s="218" t="s">
        <v>5430</v>
      </c>
      <c r="C3440" s="219" t="s">
        <v>6745</v>
      </c>
      <c r="D3440" s="212" t="s">
        <v>6746</v>
      </c>
      <c r="E3440" s="212" t="s">
        <v>545</v>
      </c>
      <c r="F3440" s="213">
        <v>2</v>
      </c>
      <c r="G3440" s="213">
        <v>74.048000000000002</v>
      </c>
      <c r="H3440" s="195">
        <f t="shared" si="53"/>
        <v>148.096</v>
      </c>
      <c r="I3440" s="212" t="s">
        <v>2354</v>
      </c>
    </row>
    <row r="3441" spans="1:9" x14ac:dyDescent="0.25">
      <c r="A3441" s="218" t="s">
        <v>220</v>
      </c>
      <c r="B3441" s="218" t="s">
        <v>5430</v>
      </c>
      <c r="C3441" s="219" t="s">
        <v>6747</v>
      </c>
      <c r="D3441" s="212" t="s">
        <v>6748</v>
      </c>
      <c r="E3441" s="212" t="s">
        <v>545</v>
      </c>
      <c r="F3441" s="213">
        <v>3</v>
      </c>
      <c r="G3441" s="213">
        <v>0</v>
      </c>
      <c r="H3441" s="195">
        <f t="shared" si="53"/>
        <v>0</v>
      </c>
      <c r="I3441" s="212" t="s">
        <v>2354</v>
      </c>
    </row>
    <row r="3442" spans="1:9" x14ac:dyDescent="0.25">
      <c r="A3442" s="218" t="s">
        <v>220</v>
      </c>
      <c r="B3442" s="218" t="s">
        <v>5430</v>
      </c>
      <c r="C3442" s="219" t="s">
        <v>6749</v>
      </c>
      <c r="D3442" s="212" t="s">
        <v>6750</v>
      </c>
      <c r="E3442" s="212" t="s">
        <v>545</v>
      </c>
      <c r="F3442" s="213">
        <v>1</v>
      </c>
      <c r="G3442" s="213">
        <v>1168.6383000000001</v>
      </c>
      <c r="H3442" s="195">
        <f t="shared" si="53"/>
        <v>1168.6383000000001</v>
      </c>
      <c r="I3442" s="212" t="s">
        <v>2354</v>
      </c>
    </row>
    <row r="3443" spans="1:9" x14ac:dyDescent="0.25">
      <c r="A3443" s="218" t="s">
        <v>220</v>
      </c>
      <c r="B3443" s="218" t="s">
        <v>5430</v>
      </c>
      <c r="C3443" s="219" t="s">
        <v>6751</v>
      </c>
      <c r="D3443" s="212" t="s">
        <v>6752</v>
      </c>
      <c r="E3443" s="212" t="s">
        <v>545</v>
      </c>
      <c r="F3443" s="213">
        <v>9</v>
      </c>
      <c r="G3443" s="213">
        <v>14.903100000000002</v>
      </c>
      <c r="H3443" s="195">
        <f t="shared" si="53"/>
        <v>134.12790000000001</v>
      </c>
      <c r="I3443" s="212" t="s">
        <v>2354</v>
      </c>
    </row>
    <row r="3444" spans="1:9" x14ac:dyDescent="0.25">
      <c r="A3444" s="218" t="s">
        <v>220</v>
      </c>
      <c r="B3444" s="218" t="s">
        <v>5430</v>
      </c>
      <c r="C3444" s="219" t="s">
        <v>6753</v>
      </c>
      <c r="D3444" s="212" t="s">
        <v>6754</v>
      </c>
      <c r="E3444" s="212" t="s">
        <v>545</v>
      </c>
      <c r="F3444" s="213">
        <v>2</v>
      </c>
      <c r="G3444" s="213">
        <v>0</v>
      </c>
      <c r="H3444" s="195">
        <f t="shared" si="53"/>
        <v>0</v>
      </c>
      <c r="I3444" s="212" t="s">
        <v>2354</v>
      </c>
    </row>
    <row r="3445" spans="1:9" x14ac:dyDescent="0.25">
      <c r="A3445" s="218" t="s">
        <v>220</v>
      </c>
      <c r="B3445" s="218" t="s">
        <v>5430</v>
      </c>
      <c r="C3445" s="219" t="s">
        <v>6755</v>
      </c>
      <c r="D3445" s="212" t="s">
        <v>6756</v>
      </c>
      <c r="E3445" s="212" t="s">
        <v>545</v>
      </c>
      <c r="F3445" s="213">
        <v>1</v>
      </c>
      <c r="G3445" s="213">
        <v>0</v>
      </c>
      <c r="H3445" s="195">
        <f t="shared" si="53"/>
        <v>0</v>
      </c>
      <c r="I3445" s="212" t="s">
        <v>2354</v>
      </c>
    </row>
    <row r="3446" spans="1:9" x14ac:dyDescent="0.25">
      <c r="A3446" s="218" t="s">
        <v>220</v>
      </c>
      <c r="B3446" s="218" t="s">
        <v>5430</v>
      </c>
      <c r="C3446" s="219" t="s">
        <v>6757</v>
      </c>
      <c r="D3446" s="212" t="s">
        <v>6758</v>
      </c>
      <c r="E3446" s="212" t="s">
        <v>545</v>
      </c>
      <c r="F3446" s="213">
        <v>1</v>
      </c>
      <c r="G3446" s="213">
        <v>0</v>
      </c>
      <c r="H3446" s="195">
        <f t="shared" si="53"/>
        <v>0</v>
      </c>
      <c r="I3446" s="212" t="s">
        <v>2354</v>
      </c>
    </row>
    <row r="3447" spans="1:9" x14ac:dyDescent="0.25">
      <c r="A3447" s="218" t="s">
        <v>220</v>
      </c>
      <c r="B3447" s="218" t="s">
        <v>5430</v>
      </c>
      <c r="C3447" s="219" t="s">
        <v>6759</v>
      </c>
      <c r="D3447" s="212" t="s">
        <v>6760</v>
      </c>
      <c r="E3447" s="212" t="s">
        <v>545</v>
      </c>
      <c r="F3447" s="213">
        <v>2</v>
      </c>
      <c r="G3447" s="213">
        <v>0</v>
      </c>
      <c r="H3447" s="195">
        <f t="shared" si="53"/>
        <v>0</v>
      </c>
      <c r="I3447" s="212" t="s">
        <v>2354</v>
      </c>
    </row>
    <row r="3448" spans="1:9" x14ac:dyDescent="0.25">
      <c r="A3448" s="218" t="s">
        <v>220</v>
      </c>
      <c r="B3448" s="218" t="s">
        <v>5430</v>
      </c>
      <c r="C3448" s="219" t="s">
        <v>6761</v>
      </c>
      <c r="D3448" s="212" t="s">
        <v>6762</v>
      </c>
      <c r="E3448" s="212" t="s">
        <v>545</v>
      </c>
      <c r="F3448" s="213">
        <v>2</v>
      </c>
      <c r="G3448" s="213">
        <v>0</v>
      </c>
      <c r="H3448" s="195">
        <f t="shared" si="53"/>
        <v>0</v>
      </c>
      <c r="I3448" s="212" t="s">
        <v>2354</v>
      </c>
    </row>
    <row r="3449" spans="1:9" x14ac:dyDescent="0.25">
      <c r="A3449" s="218" t="s">
        <v>220</v>
      </c>
      <c r="B3449" s="218" t="s">
        <v>5430</v>
      </c>
      <c r="C3449" s="219" t="s">
        <v>6763</v>
      </c>
      <c r="D3449" s="212" t="s">
        <v>6764</v>
      </c>
      <c r="E3449" s="212" t="s">
        <v>545</v>
      </c>
      <c r="F3449" s="213">
        <v>4</v>
      </c>
      <c r="G3449" s="213">
        <v>70.090999999999994</v>
      </c>
      <c r="H3449" s="195">
        <f t="shared" si="53"/>
        <v>280.36399999999998</v>
      </c>
      <c r="I3449" s="212" t="s">
        <v>2354</v>
      </c>
    </row>
    <row r="3450" spans="1:9" x14ac:dyDescent="0.25">
      <c r="A3450" s="218" t="s">
        <v>220</v>
      </c>
      <c r="B3450" s="218" t="s">
        <v>5430</v>
      </c>
      <c r="C3450" s="219" t="s">
        <v>6765</v>
      </c>
      <c r="D3450" s="212" t="s">
        <v>6766</v>
      </c>
      <c r="E3450" s="212" t="s">
        <v>545</v>
      </c>
      <c r="F3450" s="213">
        <v>3</v>
      </c>
      <c r="G3450" s="213">
        <v>40.674599999999998</v>
      </c>
      <c r="H3450" s="195">
        <f t="shared" si="53"/>
        <v>122.02379999999999</v>
      </c>
      <c r="I3450" s="212" t="s">
        <v>2354</v>
      </c>
    </row>
    <row r="3451" spans="1:9" x14ac:dyDescent="0.25">
      <c r="A3451" s="218" t="s">
        <v>220</v>
      </c>
      <c r="B3451" s="218" t="s">
        <v>5430</v>
      </c>
      <c r="C3451" s="219" t="s">
        <v>6767</v>
      </c>
      <c r="D3451" s="212" t="s">
        <v>6768</v>
      </c>
      <c r="E3451" s="212" t="s">
        <v>545</v>
      </c>
      <c r="F3451" s="213">
        <v>1</v>
      </c>
      <c r="G3451" s="213">
        <v>1056.4279999999999</v>
      </c>
      <c r="H3451" s="195">
        <f t="shared" si="53"/>
        <v>1056.4279999999999</v>
      </c>
      <c r="I3451" s="212" t="s">
        <v>2354</v>
      </c>
    </row>
    <row r="3452" spans="1:9" x14ac:dyDescent="0.25">
      <c r="A3452" s="218" t="s">
        <v>220</v>
      </c>
      <c r="B3452" s="218" t="s">
        <v>5430</v>
      </c>
      <c r="C3452" s="219" t="s">
        <v>6769</v>
      </c>
      <c r="D3452" s="212" t="s">
        <v>6770</v>
      </c>
      <c r="E3452" s="212" t="s">
        <v>545</v>
      </c>
      <c r="F3452" s="213">
        <v>2</v>
      </c>
      <c r="G3452" s="213">
        <v>132.84350000000001</v>
      </c>
      <c r="H3452" s="195">
        <f t="shared" si="53"/>
        <v>265.68700000000001</v>
      </c>
      <c r="I3452" s="212" t="s">
        <v>2354</v>
      </c>
    </row>
    <row r="3453" spans="1:9" x14ac:dyDescent="0.25">
      <c r="A3453" s="218" t="s">
        <v>220</v>
      </c>
      <c r="B3453" s="218" t="s">
        <v>5430</v>
      </c>
      <c r="C3453" s="219" t="s">
        <v>6771</v>
      </c>
      <c r="D3453" s="212" t="s">
        <v>6772</v>
      </c>
      <c r="E3453" s="212" t="s">
        <v>545</v>
      </c>
      <c r="F3453" s="213">
        <v>1</v>
      </c>
      <c r="G3453" s="213">
        <v>166.86</v>
      </c>
      <c r="H3453" s="195">
        <f t="shared" si="53"/>
        <v>166.86</v>
      </c>
      <c r="I3453" s="212" t="s">
        <v>2354</v>
      </c>
    </row>
    <row r="3454" spans="1:9" x14ac:dyDescent="0.25">
      <c r="A3454" s="218" t="s">
        <v>220</v>
      </c>
      <c r="B3454" s="218" t="s">
        <v>5430</v>
      </c>
      <c r="C3454" s="219" t="s">
        <v>6773</v>
      </c>
      <c r="D3454" s="212" t="s">
        <v>6774</v>
      </c>
      <c r="E3454" s="212" t="s">
        <v>545</v>
      </c>
      <c r="F3454" s="213">
        <v>9</v>
      </c>
      <c r="G3454" s="213">
        <v>17.920000000000002</v>
      </c>
      <c r="H3454" s="195">
        <f t="shared" si="53"/>
        <v>161.28000000000003</v>
      </c>
      <c r="I3454" s="212" t="s">
        <v>2354</v>
      </c>
    </row>
    <row r="3455" spans="1:9" x14ac:dyDescent="0.25">
      <c r="A3455" s="218" t="s">
        <v>220</v>
      </c>
      <c r="B3455" s="218" t="s">
        <v>5430</v>
      </c>
      <c r="C3455" s="219" t="s">
        <v>6775</v>
      </c>
      <c r="D3455" s="212" t="s">
        <v>6776</v>
      </c>
      <c r="E3455" s="212" t="s">
        <v>545</v>
      </c>
      <c r="F3455" s="213">
        <v>10</v>
      </c>
      <c r="G3455" s="213">
        <v>23.035</v>
      </c>
      <c r="H3455" s="195">
        <f t="shared" si="53"/>
        <v>230.35</v>
      </c>
      <c r="I3455" s="212" t="s">
        <v>2354</v>
      </c>
    </row>
    <row r="3456" spans="1:9" x14ac:dyDescent="0.25">
      <c r="A3456" s="218" t="s">
        <v>220</v>
      </c>
      <c r="B3456" s="218" t="s">
        <v>5430</v>
      </c>
      <c r="C3456" s="219" t="s">
        <v>6777</v>
      </c>
      <c r="D3456" s="212" t="s">
        <v>6778</v>
      </c>
      <c r="E3456" s="212" t="s">
        <v>545</v>
      </c>
      <c r="F3456" s="213">
        <v>1</v>
      </c>
      <c r="G3456" s="213">
        <v>256.18720000000002</v>
      </c>
      <c r="H3456" s="195">
        <f t="shared" si="53"/>
        <v>256.18720000000002</v>
      </c>
      <c r="I3456" s="212" t="s">
        <v>2354</v>
      </c>
    </row>
    <row r="3457" spans="1:9" x14ac:dyDescent="0.25">
      <c r="A3457" s="218" t="s">
        <v>220</v>
      </c>
      <c r="B3457" s="218" t="s">
        <v>5430</v>
      </c>
      <c r="C3457" s="219" t="s">
        <v>4039</v>
      </c>
      <c r="D3457" s="212" t="s">
        <v>4040</v>
      </c>
      <c r="E3457" s="212" t="s">
        <v>545</v>
      </c>
      <c r="F3457" s="213">
        <v>1</v>
      </c>
      <c r="G3457" s="213">
        <v>69.92</v>
      </c>
      <c r="H3457" s="195">
        <f t="shared" si="53"/>
        <v>69.92</v>
      </c>
      <c r="I3457" s="212" t="s">
        <v>2354</v>
      </c>
    </row>
    <row r="3458" spans="1:9" x14ac:dyDescent="0.25">
      <c r="A3458" s="218" t="s">
        <v>220</v>
      </c>
      <c r="B3458" s="218" t="s">
        <v>5430</v>
      </c>
      <c r="C3458" s="219" t="s">
        <v>4043</v>
      </c>
      <c r="D3458" s="212" t="s">
        <v>4044</v>
      </c>
      <c r="E3458" s="212" t="s">
        <v>545</v>
      </c>
      <c r="F3458" s="213">
        <v>1</v>
      </c>
      <c r="G3458" s="213">
        <v>90.4</v>
      </c>
      <c r="H3458" s="195">
        <f t="shared" si="53"/>
        <v>90.4</v>
      </c>
      <c r="I3458" s="212" t="s">
        <v>2354</v>
      </c>
    </row>
    <row r="3459" spans="1:9" x14ac:dyDescent="0.25">
      <c r="A3459" s="218" t="s">
        <v>220</v>
      </c>
      <c r="B3459" s="218" t="s">
        <v>5430</v>
      </c>
      <c r="C3459" s="219" t="s">
        <v>4045</v>
      </c>
      <c r="D3459" s="212" t="s">
        <v>4046</v>
      </c>
      <c r="E3459" s="212" t="s">
        <v>545</v>
      </c>
      <c r="F3459" s="213">
        <v>1</v>
      </c>
      <c r="G3459" s="213">
        <v>141.928</v>
      </c>
      <c r="H3459" s="195">
        <f t="shared" si="53"/>
        <v>141.928</v>
      </c>
      <c r="I3459" s="212" t="s">
        <v>2354</v>
      </c>
    </row>
    <row r="3460" spans="1:9" x14ac:dyDescent="0.25">
      <c r="A3460" s="218" t="s">
        <v>220</v>
      </c>
      <c r="B3460" s="218" t="s">
        <v>5430</v>
      </c>
      <c r="C3460" s="219" t="s">
        <v>6779</v>
      </c>
      <c r="D3460" s="212" t="s">
        <v>6780</v>
      </c>
      <c r="E3460" s="212" t="s">
        <v>545</v>
      </c>
      <c r="F3460" s="213">
        <v>1</v>
      </c>
      <c r="G3460" s="213">
        <v>0</v>
      </c>
      <c r="H3460" s="195">
        <f t="shared" si="53"/>
        <v>0</v>
      </c>
      <c r="I3460" s="212" t="s">
        <v>2354</v>
      </c>
    </row>
    <row r="3461" spans="1:9" x14ac:dyDescent="0.25">
      <c r="A3461" s="218" t="s">
        <v>220</v>
      </c>
      <c r="B3461" s="218" t="s">
        <v>5430</v>
      </c>
      <c r="C3461" s="219" t="s">
        <v>4049</v>
      </c>
      <c r="D3461" s="212" t="s">
        <v>4050</v>
      </c>
      <c r="E3461" s="212" t="s">
        <v>545</v>
      </c>
      <c r="F3461" s="213">
        <v>150</v>
      </c>
      <c r="G3461" s="213">
        <v>0.68720000000000003</v>
      </c>
      <c r="H3461" s="195">
        <f t="shared" ref="H3461:H3524" si="54">+F3461*G3461</f>
        <v>103.08</v>
      </c>
      <c r="I3461" s="212" t="s">
        <v>2354</v>
      </c>
    </row>
    <row r="3462" spans="1:9" x14ac:dyDescent="0.25">
      <c r="A3462" s="218" t="s">
        <v>220</v>
      </c>
      <c r="B3462" s="218" t="s">
        <v>5430</v>
      </c>
      <c r="C3462" s="219" t="s">
        <v>6781</v>
      </c>
      <c r="D3462" s="212" t="s">
        <v>6782</v>
      </c>
      <c r="E3462" s="212" t="s">
        <v>545</v>
      </c>
      <c r="F3462" s="213">
        <v>35</v>
      </c>
      <c r="G3462" s="213">
        <v>1.9024714285714286</v>
      </c>
      <c r="H3462" s="195">
        <f t="shared" si="54"/>
        <v>66.586500000000001</v>
      </c>
      <c r="I3462" s="212" t="s">
        <v>2354</v>
      </c>
    </row>
    <row r="3463" spans="1:9" x14ac:dyDescent="0.25">
      <c r="A3463" s="218" t="s">
        <v>220</v>
      </c>
      <c r="B3463" s="218" t="s">
        <v>5430</v>
      </c>
      <c r="C3463" s="219" t="s">
        <v>4051</v>
      </c>
      <c r="D3463" s="212" t="s">
        <v>4052</v>
      </c>
      <c r="E3463" s="212" t="s">
        <v>545</v>
      </c>
      <c r="F3463" s="213">
        <v>48</v>
      </c>
      <c r="G3463" s="213">
        <v>1.3051500000000003</v>
      </c>
      <c r="H3463" s="195">
        <f t="shared" si="54"/>
        <v>62.647200000000012</v>
      </c>
      <c r="I3463" s="212" t="s">
        <v>2354</v>
      </c>
    </row>
    <row r="3464" spans="1:9" x14ac:dyDescent="0.25">
      <c r="A3464" s="218" t="s">
        <v>220</v>
      </c>
      <c r="B3464" s="218" t="s">
        <v>5430</v>
      </c>
      <c r="C3464" s="219" t="s">
        <v>6783</v>
      </c>
      <c r="D3464" s="212" t="s">
        <v>6784</v>
      </c>
      <c r="E3464" s="212" t="s">
        <v>545</v>
      </c>
      <c r="F3464" s="213">
        <v>190</v>
      </c>
      <c r="G3464" s="213">
        <v>8.5500000000000007E-2</v>
      </c>
      <c r="H3464" s="195">
        <f t="shared" si="54"/>
        <v>16.245000000000001</v>
      </c>
      <c r="I3464" s="212" t="s">
        <v>2354</v>
      </c>
    </row>
    <row r="3465" spans="1:9" x14ac:dyDescent="0.25">
      <c r="A3465" s="218" t="s">
        <v>220</v>
      </c>
      <c r="B3465" s="218" t="s">
        <v>5430</v>
      </c>
      <c r="C3465" s="219" t="s">
        <v>6785</v>
      </c>
      <c r="D3465" s="212" t="s">
        <v>6786</v>
      </c>
      <c r="E3465" s="212" t="s">
        <v>545</v>
      </c>
      <c r="F3465" s="213">
        <v>148</v>
      </c>
      <c r="G3465" s="213">
        <v>0.11700000000000001</v>
      </c>
      <c r="H3465" s="195">
        <f t="shared" si="54"/>
        <v>17.316000000000003</v>
      </c>
      <c r="I3465" s="212" t="s">
        <v>2354</v>
      </c>
    </row>
    <row r="3466" spans="1:9" x14ac:dyDescent="0.25">
      <c r="A3466" s="218" t="s">
        <v>220</v>
      </c>
      <c r="B3466" s="218" t="s">
        <v>5430</v>
      </c>
      <c r="C3466" s="219" t="s">
        <v>6787</v>
      </c>
      <c r="D3466" s="212" t="s">
        <v>6788</v>
      </c>
      <c r="E3466" s="212" t="s">
        <v>545</v>
      </c>
      <c r="F3466" s="213">
        <v>15</v>
      </c>
      <c r="G3466" s="213">
        <v>1.2172000000000001</v>
      </c>
      <c r="H3466" s="195">
        <f t="shared" si="54"/>
        <v>18.258000000000003</v>
      </c>
      <c r="I3466" s="212" t="s">
        <v>2354</v>
      </c>
    </row>
    <row r="3467" spans="1:9" x14ac:dyDescent="0.25">
      <c r="A3467" s="218" t="s">
        <v>220</v>
      </c>
      <c r="B3467" s="218" t="s">
        <v>5430</v>
      </c>
      <c r="C3467" s="219" t="s">
        <v>4061</v>
      </c>
      <c r="D3467" s="212" t="s">
        <v>4062</v>
      </c>
      <c r="E3467" s="212" t="s">
        <v>545</v>
      </c>
      <c r="F3467" s="213">
        <v>148</v>
      </c>
      <c r="G3467" s="213">
        <v>7.4999999999999997E-2</v>
      </c>
      <c r="H3467" s="195">
        <f t="shared" si="54"/>
        <v>11.1</v>
      </c>
      <c r="I3467" s="212" t="s">
        <v>2354</v>
      </c>
    </row>
    <row r="3468" spans="1:9" x14ac:dyDescent="0.25">
      <c r="A3468" s="218" t="s">
        <v>220</v>
      </c>
      <c r="B3468" s="218" t="s">
        <v>5430</v>
      </c>
      <c r="C3468" s="219" t="s">
        <v>4063</v>
      </c>
      <c r="D3468" s="212" t="s">
        <v>4064</v>
      </c>
      <c r="E3468" s="212" t="s">
        <v>545</v>
      </c>
      <c r="F3468" s="213">
        <v>140</v>
      </c>
      <c r="G3468" s="213">
        <v>7.4999999999999997E-2</v>
      </c>
      <c r="H3468" s="195">
        <f t="shared" si="54"/>
        <v>10.5</v>
      </c>
      <c r="I3468" s="212" t="s">
        <v>2354</v>
      </c>
    </row>
    <row r="3469" spans="1:9" x14ac:dyDescent="0.25">
      <c r="A3469" s="218" t="s">
        <v>220</v>
      </c>
      <c r="B3469" s="218" t="s">
        <v>5430</v>
      </c>
      <c r="C3469" s="219" t="s">
        <v>4065</v>
      </c>
      <c r="D3469" s="212" t="s">
        <v>4066</v>
      </c>
      <c r="E3469" s="212" t="s">
        <v>545</v>
      </c>
      <c r="F3469" s="213">
        <v>48</v>
      </c>
      <c r="G3469" s="213">
        <v>0.22196666666666667</v>
      </c>
      <c r="H3469" s="195">
        <f t="shared" si="54"/>
        <v>10.654400000000001</v>
      </c>
      <c r="I3469" s="212" t="s">
        <v>2354</v>
      </c>
    </row>
    <row r="3470" spans="1:9" x14ac:dyDescent="0.25">
      <c r="A3470" s="218" t="s">
        <v>220</v>
      </c>
      <c r="B3470" s="218" t="s">
        <v>5430</v>
      </c>
      <c r="C3470" s="219" t="s">
        <v>4067</v>
      </c>
      <c r="D3470" s="212" t="s">
        <v>4068</v>
      </c>
      <c r="E3470" s="212" t="s">
        <v>545</v>
      </c>
      <c r="F3470" s="213">
        <v>42</v>
      </c>
      <c r="G3470" s="213">
        <v>0.19326999999999997</v>
      </c>
      <c r="H3470" s="195">
        <f t="shared" si="54"/>
        <v>8.1173399999999987</v>
      </c>
      <c r="I3470" s="212" t="s">
        <v>2354</v>
      </c>
    </row>
    <row r="3471" spans="1:9" x14ac:dyDescent="0.25">
      <c r="A3471" s="218" t="s">
        <v>220</v>
      </c>
      <c r="B3471" s="218" t="s">
        <v>5430</v>
      </c>
      <c r="C3471" s="219" t="s">
        <v>4069</v>
      </c>
      <c r="D3471" s="212" t="s">
        <v>4070</v>
      </c>
      <c r="E3471" s="212" t="s">
        <v>545</v>
      </c>
      <c r="F3471" s="213">
        <v>182</v>
      </c>
      <c r="G3471" s="213">
        <v>7.2999999999999995E-2</v>
      </c>
      <c r="H3471" s="195">
        <f t="shared" si="54"/>
        <v>13.286</v>
      </c>
      <c r="I3471" s="212" t="s">
        <v>2354</v>
      </c>
    </row>
    <row r="3472" spans="1:9" x14ac:dyDescent="0.25">
      <c r="A3472" s="218" t="s">
        <v>220</v>
      </c>
      <c r="B3472" s="218" t="s">
        <v>5430</v>
      </c>
      <c r="C3472" s="219" t="s">
        <v>4071</v>
      </c>
      <c r="D3472" s="212" t="s">
        <v>4072</v>
      </c>
      <c r="E3472" s="212" t="s">
        <v>2473</v>
      </c>
      <c r="F3472" s="213">
        <v>75</v>
      </c>
      <c r="G3472" s="213">
        <v>0.11814</v>
      </c>
      <c r="H3472" s="195">
        <f t="shared" si="54"/>
        <v>8.8605</v>
      </c>
      <c r="I3472" s="212" t="s">
        <v>2354</v>
      </c>
    </row>
    <row r="3473" spans="1:9" x14ac:dyDescent="0.25">
      <c r="A3473" s="218" t="s">
        <v>220</v>
      </c>
      <c r="B3473" s="218" t="s">
        <v>5430</v>
      </c>
      <c r="C3473" s="219" t="s">
        <v>6789</v>
      </c>
      <c r="D3473" s="212" t="s">
        <v>6790</v>
      </c>
      <c r="E3473" s="212" t="s">
        <v>545</v>
      </c>
      <c r="F3473" s="213">
        <v>1</v>
      </c>
      <c r="G3473" s="221">
        <v>0.39600000000000002</v>
      </c>
      <c r="H3473" s="222">
        <f t="shared" si="54"/>
        <v>0.39600000000000002</v>
      </c>
      <c r="I3473" s="212" t="s">
        <v>2354</v>
      </c>
    </row>
    <row r="3474" spans="1:9" x14ac:dyDescent="0.25">
      <c r="A3474" s="218" t="s">
        <v>220</v>
      </c>
      <c r="B3474" s="218" t="s">
        <v>5430</v>
      </c>
      <c r="C3474" s="219" t="s">
        <v>4079</v>
      </c>
      <c r="D3474" s="212" t="s">
        <v>4080</v>
      </c>
      <c r="E3474" s="212" t="s">
        <v>545</v>
      </c>
      <c r="F3474" s="213">
        <v>2</v>
      </c>
      <c r="G3474" s="213">
        <v>87.93</v>
      </c>
      <c r="H3474" s="195">
        <f t="shared" si="54"/>
        <v>175.86</v>
      </c>
      <c r="I3474" s="212" t="s">
        <v>2354</v>
      </c>
    </row>
    <row r="3475" spans="1:9" x14ac:dyDescent="0.25">
      <c r="A3475" s="218" t="s">
        <v>220</v>
      </c>
      <c r="B3475" s="218" t="s">
        <v>5430</v>
      </c>
      <c r="C3475" s="219" t="s">
        <v>6791</v>
      </c>
      <c r="D3475" s="212" t="s">
        <v>6792</v>
      </c>
      <c r="E3475" s="212" t="s">
        <v>545</v>
      </c>
      <c r="F3475" s="213">
        <v>1</v>
      </c>
      <c r="G3475" s="213">
        <v>446.6</v>
      </c>
      <c r="H3475" s="195">
        <f t="shared" si="54"/>
        <v>446.6</v>
      </c>
      <c r="I3475" s="212" t="s">
        <v>2354</v>
      </c>
    </row>
    <row r="3476" spans="1:9" x14ac:dyDescent="0.25">
      <c r="A3476" s="218" t="s">
        <v>220</v>
      </c>
      <c r="B3476" s="218" t="s">
        <v>5430</v>
      </c>
      <c r="C3476" s="219" t="s">
        <v>6793</v>
      </c>
      <c r="D3476" s="212" t="s">
        <v>6794</v>
      </c>
      <c r="E3476" s="212" t="s">
        <v>545</v>
      </c>
      <c r="F3476" s="213">
        <v>1</v>
      </c>
      <c r="G3476" s="213">
        <v>0</v>
      </c>
      <c r="H3476" s="195">
        <f t="shared" si="54"/>
        <v>0</v>
      </c>
      <c r="I3476" s="212" t="s">
        <v>2354</v>
      </c>
    </row>
    <row r="3477" spans="1:9" x14ac:dyDescent="0.25">
      <c r="A3477" s="218" t="s">
        <v>220</v>
      </c>
      <c r="B3477" s="218" t="s">
        <v>5430</v>
      </c>
      <c r="C3477" s="219" t="s">
        <v>6795</v>
      </c>
      <c r="D3477" s="212" t="s">
        <v>6796</v>
      </c>
      <c r="E3477" s="212" t="s">
        <v>545</v>
      </c>
      <c r="F3477" s="213">
        <v>1</v>
      </c>
      <c r="G3477" s="213">
        <v>0</v>
      </c>
      <c r="H3477" s="195">
        <f t="shared" si="54"/>
        <v>0</v>
      </c>
      <c r="I3477" s="212" t="s">
        <v>2354</v>
      </c>
    </row>
    <row r="3478" spans="1:9" x14ac:dyDescent="0.25">
      <c r="A3478" s="218" t="s">
        <v>220</v>
      </c>
      <c r="B3478" s="218" t="s">
        <v>5430</v>
      </c>
      <c r="C3478" s="219" t="s">
        <v>4089</v>
      </c>
      <c r="D3478" s="212" t="s">
        <v>4090</v>
      </c>
      <c r="E3478" s="212" t="s">
        <v>545</v>
      </c>
      <c r="F3478" s="213">
        <v>1</v>
      </c>
      <c r="G3478" s="213">
        <v>20.211300000000001</v>
      </c>
      <c r="H3478" s="195">
        <f t="shared" si="54"/>
        <v>20.211300000000001</v>
      </c>
      <c r="I3478" s="212" t="s">
        <v>2354</v>
      </c>
    </row>
    <row r="3479" spans="1:9" x14ac:dyDescent="0.25">
      <c r="A3479" s="218" t="s">
        <v>220</v>
      </c>
      <c r="B3479" s="218" t="s">
        <v>5430</v>
      </c>
      <c r="C3479" s="219" t="s">
        <v>4093</v>
      </c>
      <c r="D3479" s="212" t="s">
        <v>4094</v>
      </c>
      <c r="E3479" s="212" t="s">
        <v>545</v>
      </c>
      <c r="F3479" s="213">
        <v>3</v>
      </c>
      <c r="G3479" s="213">
        <v>20.862400000000001</v>
      </c>
      <c r="H3479" s="195">
        <f t="shared" si="54"/>
        <v>62.587200000000003</v>
      </c>
      <c r="I3479" s="212" t="s">
        <v>2354</v>
      </c>
    </row>
    <row r="3480" spans="1:9" x14ac:dyDescent="0.25">
      <c r="A3480" s="218" t="s">
        <v>220</v>
      </c>
      <c r="B3480" s="218" t="s">
        <v>5430</v>
      </c>
      <c r="C3480" s="219" t="s">
        <v>6797</v>
      </c>
      <c r="D3480" s="212" t="s">
        <v>6798</v>
      </c>
      <c r="E3480" s="212" t="s">
        <v>545</v>
      </c>
      <c r="F3480" s="213">
        <v>3</v>
      </c>
      <c r="G3480" s="213">
        <v>40.43535</v>
      </c>
      <c r="H3480" s="195">
        <f t="shared" si="54"/>
        <v>121.30605</v>
      </c>
      <c r="I3480" s="212" t="s">
        <v>2354</v>
      </c>
    </row>
    <row r="3481" spans="1:9" x14ac:dyDescent="0.25">
      <c r="A3481" s="218" t="s">
        <v>220</v>
      </c>
      <c r="B3481" s="218" t="s">
        <v>5430</v>
      </c>
      <c r="C3481" s="219" t="s">
        <v>6799</v>
      </c>
      <c r="D3481" s="212" t="s">
        <v>6800</v>
      </c>
      <c r="E3481" s="212" t="s">
        <v>545</v>
      </c>
      <c r="F3481" s="213">
        <v>2</v>
      </c>
      <c r="G3481" s="213">
        <v>49.363750000000003</v>
      </c>
      <c r="H3481" s="195">
        <f t="shared" si="54"/>
        <v>98.727500000000006</v>
      </c>
      <c r="I3481" s="212" t="s">
        <v>2354</v>
      </c>
    </row>
    <row r="3482" spans="1:9" x14ac:dyDescent="0.25">
      <c r="A3482" s="218" t="s">
        <v>220</v>
      </c>
      <c r="B3482" s="218" t="s">
        <v>5430</v>
      </c>
      <c r="C3482" s="219" t="s">
        <v>4099</v>
      </c>
      <c r="D3482" s="212" t="s">
        <v>4100</v>
      </c>
      <c r="E3482" s="212" t="s">
        <v>545</v>
      </c>
      <c r="F3482" s="213">
        <v>3</v>
      </c>
      <c r="G3482" s="213">
        <v>34.598399999999998</v>
      </c>
      <c r="H3482" s="195">
        <f t="shared" si="54"/>
        <v>103.79519999999999</v>
      </c>
      <c r="I3482" s="212" t="s">
        <v>2354</v>
      </c>
    </row>
    <row r="3483" spans="1:9" x14ac:dyDescent="0.25">
      <c r="A3483" s="218" t="s">
        <v>220</v>
      </c>
      <c r="B3483" s="218" t="s">
        <v>5430</v>
      </c>
      <c r="C3483" s="219" t="s">
        <v>6801</v>
      </c>
      <c r="D3483" s="212" t="s">
        <v>6802</v>
      </c>
      <c r="E3483" s="212" t="s">
        <v>545</v>
      </c>
      <c r="F3483" s="213">
        <v>1</v>
      </c>
      <c r="G3483" s="213">
        <v>0</v>
      </c>
      <c r="H3483" s="195">
        <f t="shared" si="54"/>
        <v>0</v>
      </c>
      <c r="I3483" s="212" t="s">
        <v>2354</v>
      </c>
    </row>
    <row r="3484" spans="1:9" x14ac:dyDescent="0.25">
      <c r="A3484" s="218" t="s">
        <v>220</v>
      </c>
      <c r="B3484" s="218" t="s">
        <v>5430</v>
      </c>
      <c r="C3484" s="219" t="s">
        <v>6803</v>
      </c>
      <c r="D3484" s="212" t="s">
        <v>6804</v>
      </c>
      <c r="E3484" s="212" t="s">
        <v>545</v>
      </c>
      <c r="F3484" s="213">
        <v>3</v>
      </c>
      <c r="G3484" s="213">
        <v>40.953000000000003</v>
      </c>
      <c r="H3484" s="195">
        <f t="shared" si="54"/>
        <v>122.85900000000001</v>
      </c>
      <c r="I3484" s="212" t="s">
        <v>2354</v>
      </c>
    </row>
    <row r="3485" spans="1:9" x14ac:dyDescent="0.25">
      <c r="A3485" s="218" t="s">
        <v>220</v>
      </c>
      <c r="B3485" s="218" t="s">
        <v>5430</v>
      </c>
      <c r="C3485" s="219" t="s">
        <v>4105</v>
      </c>
      <c r="D3485" s="212" t="s">
        <v>4106</v>
      </c>
      <c r="E3485" s="212" t="s">
        <v>545</v>
      </c>
      <c r="F3485" s="213">
        <v>3</v>
      </c>
      <c r="G3485" s="213">
        <v>137.6</v>
      </c>
      <c r="H3485" s="195">
        <f t="shared" si="54"/>
        <v>412.79999999999995</v>
      </c>
      <c r="I3485" s="212" t="s">
        <v>2354</v>
      </c>
    </row>
    <row r="3486" spans="1:9" x14ac:dyDescent="0.25">
      <c r="A3486" s="218" t="s">
        <v>220</v>
      </c>
      <c r="B3486" s="218" t="s">
        <v>5430</v>
      </c>
      <c r="C3486" s="219" t="s">
        <v>6805</v>
      </c>
      <c r="D3486" s="212" t="s">
        <v>6806</v>
      </c>
      <c r="E3486" s="212" t="s">
        <v>545</v>
      </c>
      <c r="F3486" s="213">
        <v>1</v>
      </c>
      <c r="G3486" s="213">
        <v>102.87</v>
      </c>
      <c r="H3486" s="195">
        <f t="shared" si="54"/>
        <v>102.87</v>
      </c>
      <c r="I3486" s="212" t="s">
        <v>2354</v>
      </c>
    </row>
    <row r="3487" spans="1:9" x14ac:dyDescent="0.25">
      <c r="A3487" s="218" t="s">
        <v>220</v>
      </c>
      <c r="B3487" s="218" t="s">
        <v>5430</v>
      </c>
      <c r="C3487" s="219" t="s">
        <v>6807</v>
      </c>
      <c r="D3487" s="212" t="s">
        <v>6808</v>
      </c>
      <c r="E3487" s="212" t="s">
        <v>545</v>
      </c>
      <c r="F3487" s="213">
        <v>1</v>
      </c>
      <c r="G3487" s="213">
        <v>30.52</v>
      </c>
      <c r="H3487" s="195">
        <f t="shared" si="54"/>
        <v>30.52</v>
      </c>
      <c r="I3487" s="212" t="s">
        <v>2354</v>
      </c>
    </row>
    <row r="3488" spans="1:9" x14ac:dyDescent="0.25">
      <c r="A3488" s="218" t="s">
        <v>220</v>
      </c>
      <c r="B3488" s="218" t="s">
        <v>5430</v>
      </c>
      <c r="C3488" s="219" t="s">
        <v>6809</v>
      </c>
      <c r="D3488" s="212" t="s">
        <v>6810</v>
      </c>
      <c r="E3488" s="212" t="s">
        <v>545</v>
      </c>
      <c r="F3488" s="213">
        <v>2</v>
      </c>
      <c r="G3488" s="213">
        <v>125.46</v>
      </c>
      <c r="H3488" s="195">
        <f t="shared" si="54"/>
        <v>250.92</v>
      </c>
      <c r="I3488" s="212" t="s">
        <v>2354</v>
      </c>
    </row>
    <row r="3489" spans="1:9" x14ac:dyDescent="0.25">
      <c r="A3489" s="218" t="s">
        <v>220</v>
      </c>
      <c r="B3489" s="218" t="s">
        <v>5430</v>
      </c>
      <c r="C3489" s="219" t="s">
        <v>6811</v>
      </c>
      <c r="D3489" s="212" t="s">
        <v>6812</v>
      </c>
      <c r="E3489" s="212" t="s">
        <v>545</v>
      </c>
      <c r="F3489" s="213">
        <v>1</v>
      </c>
      <c r="G3489" s="213">
        <v>158.32149999999999</v>
      </c>
      <c r="H3489" s="195">
        <f t="shared" si="54"/>
        <v>158.32149999999999</v>
      </c>
      <c r="I3489" s="212" t="s">
        <v>2354</v>
      </c>
    </row>
    <row r="3490" spans="1:9" x14ac:dyDescent="0.25">
      <c r="A3490" s="218" t="s">
        <v>220</v>
      </c>
      <c r="B3490" s="218" t="s">
        <v>5430</v>
      </c>
      <c r="C3490" s="219" t="s">
        <v>6813</v>
      </c>
      <c r="D3490" s="212" t="s">
        <v>6814</v>
      </c>
      <c r="E3490" s="212" t="s">
        <v>545</v>
      </c>
      <c r="F3490" s="213">
        <v>2</v>
      </c>
      <c r="G3490" s="213">
        <v>36.358750000000001</v>
      </c>
      <c r="H3490" s="195">
        <f t="shared" si="54"/>
        <v>72.717500000000001</v>
      </c>
      <c r="I3490" s="212" t="s">
        <v>2354</v>
      </c>
    </row>
    <row r="3491" spans="1:9" x14ac:dyDescent="0.25">
      <c r="A3491" s="218" t="s">
        <v>220</v>
      </c>
      <c r="B3491" s="218" t="s">
        <v>5430</v>
      </c>
      <c r="C3491" s="219" t="s">
        <v>6815</v>
      </c>
      <c r="D3491" s="212" t="s">
        <v>6816</v>
      </c>
      <c r="E3491" s="212" t="s">
        <v>545</v>
      </c>
      <c r="F3491" s="213">
        <v>1</v>
      </c>
      <c r="G3491" s="213">
        <v>157.5</v>
      </c>
      <c r="H3491" s="195">
        <f t="shared" si="54"/>
        <v>157.5</v>
      </c>
      <c r="I3491" s="212" t="s">
        <v>2354</v>
      </c>
    </row>
    <row r="3492" spans="1:9" x14ac:dyDescent="0.25">
      <c r="A3492" s="218" t="s">
        <v>220</v>
      </c>
      <c r="B3492" s="218" t="s">
        <v>5430</v>
      </c>
      <c r="C3492" s="219" t="s">
        <v>6817</v>
      </c>
      <c r="D3492" s="212" t="s">
        <v>6818</v>
      </c>
      <c r="E3492" s="212" t="s">
        <v>545</v>
      </c>
      <c r="F3492" s="213">
        <v>2</v>
      </c>
      <c r="G3492" s="213">
        <v>23.648</v>
      </c>
      <c r="H3492" s="195">
        <f t="shared" si="54"/>
        <v>47.295999999999999</v>
      </c>
      <c r="I3492" s="212" t="s">
        <v>2354</v>
      </c>
    </row>
    <row r="3493" spans="1:9" x14ac:dyDescent="0.25">
      <c r="A3493" s="218" t="s">
        <v>220</v>
      </c>
      <c r="B3493" s="218" t="s">
        <v>5430</v>
      </c>
      <c r="C3493" s="219" t="s">
        <v>6819</v>
      </c>
      <c r="D3493" s="212" t="s">
        <v>6820</v>
      </c>
      <c r="E3493" s="212" t="s">
        <v>545</v>
      </c>
      <c r="F3493" s="213">
        <v>1</v>
      </c>
      <c r="G3493" s="213">
        <v>167.148</v>
      </c>
      <c r="H3493" s="195">
        <f t="shared" si="54"/>
        <v>167.148</v>
      </c>
      <c r="I3493" s="212" t="s">
        <v>2354</v>
      </c>
    </row>
    <row r="3494" spans="1:9" x14ac:dyDescent="0.25">
      <c r="A3494" s="218" t="s">
        <v>220</v>
      </c>
      <c r="B3494" s="218" t="s">
        <v>5430</v>
      </c>
      <c r="C3494" s="219" t="s">
        <v>6821</v>
      </c>
      <c r="D3494" s="212" t="s">
        <v>6822</v>
      </c>
      <c r="E3494" s="212" t="s">
        <v>545</v>
      </c>
      <c r="F3494" s="213">
        <v>1</v>
      </c>
      <c r="G3494" s="213">
        <v>25.139600000000002</v>
      </c>
      <c r="H3494" s="195">
        <f t="shared" si="54"/>
        <v>25.139600000000002</v>
      </c>
      <c r="I3494" s="212" t="s">
        <v>2354</v>
      </c>
    </row>
    <row r="3495" spans="1:9" x14ac:dyDescent="0.25">
      <c r="A3495" s="218" t="s">
        <v>220</v>
      </c>
      <c r="B3495" s="218" t="s">
        <v>5430</v>
      </c>
      <c r="C3495" s="219" t="s">
        <v>6823</v>
      </c>
      <c r="D3495" s="212" t="s">
        <v>6824</v>
      </c>
      <c r="E3495" s="212" t="s">
        <v>545</v>
      </c>
      <c r="F3495" s="213">
        <v>1</v>
      </c>
      <c r="G3495" s="213">
        <v>0</v>
      </c>
      <c r="H3495" s="195">
        <f t="shared" si="54"/>
        <v>0</v>
      </c>
      <c r="I3495" s="212" t="s">
        <v>2354</v>
      </c>
    </row>
    <row r="3496" spans="1:9" x14ac:dyDescent="0.25">
      <c r="A3496" s="218" t="s">
        <v>220</v>
      </c>
      <c r="B3496" s="218" t="s">
        <v>5430</v>
      </c>
      <c r="C3496" s="219" t="s">
        <v>6825</v>
      </c>
      <c r="D3496" s="212" t="s">
        <v>6826</v>
      </c>
      <c r="E3496" s="212" t="s">
        <v>545</v>
      </c>
      <c r="F3496" s="213">
        <v>1</v>
      </c>
      <c r="G3496" s="213">
        <v>0</v>
      </c>
      <c r="H3496" s="195">
        <f t="shared" si="54"/>
        <v>0</v>
      </c>
      <c r="I3496" s="212" t="s">
        <v>2354</v>
      </c>
    </row>
    <row r="3497" spans="1:9" x14ac:dyDescent="0.25">
      <c r="A3497" s="218" t="s">
        <v>220</v>
      </c>
      <c r="B3497" s="218" t="s">
        <v>5430</v>
      </c>
      <c r="C3497" s="219" t="s">
        <v>6827</v>
      </c>
      <c r="D3497" s="212" t="s">
        <v>6828</v>
      </c>
      <c r="E3497" s="212" t="s">
        <v>545</v>
      </c>
      <c r="F3497" s="213">
        <v>1</v>
      </c>
      <c r="G3497" s="213">
        <v>0</v>
      </c>
      <c r="H3497" s="195">
        <f t="shared" si="54"/>
        <v>0</v>
      </c>
      <c r="I3497" s="212" t="s">
        <v>2354</v>
      </c>
    </row>
    <row r="3498" spans="1:9" x14ac:dyDescent="0.25">
      <c r="A3498" s="218" t="s">
        <v>220</v>
      </c>
      <c r="B3498" s="218" t="s">
        <v>5430</v>
      </c>
      <c r="C3498" s="219" t="s">
        <v>6829</v>
      </c>
      <c r="D3498" s="212" t="s">
        <v>6830</v>
      </c>
      <c r="E3498" s="212" t="s">
        <v>545</v>
      </c>
      <c r="F3498" s="213">
        <v>2</v>
      </c>
      <c r="G3498" s="213">
        <v>0</v>
      </c>
      <c r="H3498" s="195">
        <f t="shared" si="54"/>
        <v>0</v>
      </c>
      <c r="I3498" s="212" t="s">
        <v>2354</v>
      </c>
    </row>
    <row r="3499" spans="1:9" x14ac:dyDescent="0.25">
      <c r="A3499" s="218" t="s">
        <v>220</v>
      </c>
      <c r="B3499" s="218" t="s">
        <v>5430</v>
      </c>
      <c r="C3499" s="219" t="s">
        <v>6831</v>
      </c>
      <c r="D3499" s="212" t="s">
        <v>6832</v>
      </c>
      <c r="E3499" s="212" t="s">
        <v>545</v>
      </c>
      <c r="F3499" s="213">
        <v>2</v>
      </c>
      <c r="G3499" s="213">
        <v>540.54089999999997</v>
      </c>
      <c r="H3499" s="195">
        <f t="shared" si="54"/>
        <v>1081.0817999999999</v>
      </c>
      <c r="I3499" s="212" t="s">
        <v>2354</v>
      </c>
    </row>
    <row r="3500" spans="1:9" x14ac:dyDescent="0.25">
      <c r="A3500" s="218" t="s">
        <v>220</v>
      </c>
      <c r="B3500" s="218" t="s">
        <v>5430</v>
      </c>
      <c r="C3500" s="219" t="s">
        <v>4133</v>
      </c>
      <c r="D3500" s="212" t="s">
        <v>4134</v>
      </c>
      <c r="E3500" s="212" t="s">
        <v>545</v>
      </c>
      <c r="F3500" s="213">
        <v>4</v>
      </c>
      <c r="G3500" s="213">
        <v>125.46</v>
      </c>
      <c r="H3500" s="195">
        <f t="shared" si="54"/>
        <v>501.84</v>
      </c>
      <c r="I3500" s="212" t="s">
        <v>2354</v>
      </c>
    </row>
    <row r="3501" spans="1:9" x14ac:dyDescent="0.25">
      <c r="A3501" s="218" t="s">
        <v>220</v>
      </c>
      <c r="B3501" s="218" t="s">
        <v>5430</v>
      </c>
      <c r="C3501" s="219" t="s">
        <v>6833</v>
      </c>
      <c r="D3501" s="212" t="s">
        <v>6834</v>
      </c>
      <c r="E3501" s="212" t="s">
        <v>545</v>
      </c>
      <c r="F3501" s="213">
        <v>8</v>
      </c>
      <c r="G3501" s="213">
        <v>6.3</v>
      </c>
      <c r="H3501" s="195">
        <f t="shared" si="54"/>
        <v>50.4</v>
      </c>
      <c r="I3501" s="212" t="s">
        <v>2354</v>
      </c>
    </row>
    <row r="3502" spans="1:9" x14ac:dyDescent="0.25">
      <c r="A3502" s="218" t="s">
        <v>220</v>
      </c>
      <c r="B3502" s="218" t="s">
        <v>5430</v>
      </c>
      <c r="C3502" s="219" t="s">
        <v>6835</v>
      </c>
      <c r="D3502" s="212" t="s">
        <v>6836</v>
      </c>
      <c r="E3502" s="212" t="s">
        <v>545</v>
      </c>
      <c r="F3502" s="213">
        <v>1</v>
      </c>
      <c r="G3502" s="213">
        <v>9.4499999999999993</v>
      </c>
      <c r="H3502" s="195">
        <f t="shared" si="54"/>
        <v>9.4499999999999993</v>
      </c>
      <c r="I3502" s="212" t="s">
        <v>2354</v>
      </c>
    </row>
    <row r="3503" spans="1:9" x14ac:dyDescent="0.25">
      <c r="A3503" s="218" t="s">
        <v>220</v>
      </c>
      <c r="B3503" s="218" t="s">
        <v>5430</v>
      </c>
      <c r="C3503" s="219" t="s">
        <v>6837</v>
      </c>
      <c r="D3503" s="212" t="s">
        <v>6838</v>
      </c>
      <c r="E3503" s="212" t="s">
        <v>545</v>
      </c>
      <c r="F3503" s="213">
        <v>1</v>
      </c>
      <c r="G3503" s="213">
        <v>12.6</v>
      </c>
      <c r="H3503" s="195">
        <f t="shared" si="54"/>
        <v>12.6</v>
      </c>
      <c r="I3503" s="212" t="s">
        <v>2354</v>
      </c>
    </row>
    <row r="3504" spans="1:9" x14ac:dyDescent="0.25">
      <c r="A3504" s="218" t="s">
        <v>220</v>
      </c>
      <c r="B3504" s="218" t="s">
        <v>5430</v>
      </c>
      <c r="C3504" s="219" t="s">
        <v>6839</v>
      </c>
      <c r="D3504" s="212" t="s">
        <v>6840</v>
      </c>
      <c r="E3504" s="212" t="s">
        <v>545</v>
      </c>
      <c r="F3504" s="213">
        <v>1</v>
      </c>
      <c r="G3504" s="213">
        <v>14.4</v>
      </c>
      <c r="H3504" s="195">
        <f t="shared" si="54"/>
        <v>14.4</v>
      </c>
      <c r="I3504" s="212" t="s">
        <v>2354</v>
      </c>
    </row>
    <row r="3505" spans="1:9" x14ac:dyDescent="0.25">
      <c r="A3505" s="218" t="s">
        <v>220</v>
      </c>
      <c r="B3505" s="218" t="s">
        <v>5430</v>
      </c>
      <c r="C3505" s="219" t="s">
        <v>6841</v>
      </c>
      <c r="D3505" s="212" t="s">
        <v>6842</v>
      </c>
      <c r="E3505" s="212" t="s">
        <v>545</v>
      </c>
      <c r="F3505" s="213">
        <v>8</v>
      </c>
      <c r="G3505" s="213">
        <v>7.3048610526315789</v>
      </c>
      <c r="H3505" s="195">
        <f t="shared" si="54"/>
        <v>58.438888421052631</v>
      </c>
      <c r="I3505" s="212" t="s">
        <v>2354</v>
      </c>
    </row>
    <row r="3506" spans="1:9" x14ac:dyDescent="0.25">
      <c r="A3506" s="218" t="s">
        <v>220</v>
      </c>
      <c r="B3506" s="218" t="s">
        <v>5430</v>
      </c>
      <c r="C3506" s="219" t="s">
        <v>6843</v>
      </c>
      <c r="D3506" s="212" t="s">
        <v>6844</v>
      </c>
      <c r="E3506" s="212" t="s">
        <v>545</v>
      </c>
      <c r="F3506" s="213">
        <v>5</v>
      </c>
      <c r="G3506" s="213">
        <v>6.3433333333333337</v>
      </c>
      <c r="H3506" s="195">
        <f t="shared" si="54"/>
        <v>31.716666666666669</v>
      </c>
      <c r="I3506" s="212" t="s">
        <v>2354</v>
      </c>
    </row>
    <row r="3507" spans="1:9" x14ac:dyDescent="0.25">
      <c r="A3507" s="218" t="s">
        <v>220</v>
      </c>
      <c r="B3507" s="218" t="s">
        <v>5430</v>
      </c>
      <c r="C3507" s="219" t="s">
        <v>4141</v>
      </c>
      <c r="D3507" s="212" t="s">
        <v>4142</v>
      </c>
      <c r="E3507" s="212" t="s">
        <v>545</v>
      </c>
      <c r="F3507" s="213">
        <v>6</v>
      </c>
      <c r="G3507" s="213">
        <v>0.47970000000000007</v>
      </c>
      <c r="H3507" s="195">
        <f t="shared" si="54"/>
        <v>2.8782000000000005</v>
      </c>
      <c r="I3507" s="212" t="s">
        <v>2354</v>
      </c>
    </row>
    <row r="3508" spans="1:9" x14ac:dyDescent="0.25">
      <c r="A3508" s="218" t="s">
        <v>220</v>
      </c>
      <c r="B3508" s="218" t="s">
        <v>5430</v>
      </c>
      <c r="C3508" s="219" t="s">
        <v>4143</v>
      </c>
      <c r="D3508" s="212" t="s">
        <v>4144</v>
      </c>
      <c r="E3508" s="212" t="s">
        <v>545</v>
      </c>
      <c r="F3508" s="213">
        <v>2</v>
      </c>
      <c r="G3508" s="213">
        <v>5</v>
      </c>
      <c r="H3508" s="195">
        <f t="shared" si="54"/>
        <v>10</v>
      </c>
      <c r="I3508" s="212" t="s">
        <v>2354</v>
      </c>
    </row>
    <row r="3509" spans="1:9" x14ac:dyDescent="0.25">
      <c r="A3509" s="218" t="s">
        <v>220</v>
      </c>
      <c r="B3509" s="218" t="s">
        <v>5430</v>
      </c>
      <c r="C3509" s="219" t="s">
        <v>4145</v>
      </c>
      <c r="D3509" s="212" t="s">
        <v>4146</v>
      </c>
      <c r="E3509" s="212" t="s">
        <v>545</v>
      </c>
      <c r="F3509" s="213">
        <v>9</v>
      </c>
      <c r="G3509" s="213">
        <v>0.26371428571428573</v>
      </c>
      <c r="H3509" s="195">
        <f t="shared" si="54"/>
        <v>2.3734285714285717</v>
      </c>
      <c r="I3509" s="212" t="s">
        <v>2354</v>
      </c>
    </row>
    <row r="3510" spans="1:9" x14ac:dyDescent="0.25">
      <c r="A3510" s="218" t="s">
        <v>220</v>
      </c>
      <c r="B3510" s="218" t="s">
        <v>5430</v>
      </c>
      <c r="C3510" s="219" t="s">
        <v>4147</v>
      </c>
      <c r="D3510" s="212" t="s">
        <v>4148</v>
      </c>
      <c r="E3510" s="212" t="s">
        <v>545</v>
      </c>
      <c r="F3510" s="213">
        <v>5</v>
      </c>
      <c r="G3510" s="213">
        <v>1.067278911564626</v>
      </c>
      <c r="H3510" s="195">
        <f t="shared" si="54"/>
        <v>5.3363945578231302</v>
      </c>
      <c r="I3510" s="212" t="s">
        <v>2354</v>
      </c>
    </row>
    <row r="3511" spans="1:9" x14ac:dyDescent="0.25">
      <c r="A3511" s="218" t="s">
        <v>220</v>
      </c>
      <c r="B3511" s="218" t="s">
        <v>5430</v>
      </c>
      <c r="C3511" s="219" t="s">
        <v>6845</v>
      </c>
      <c r="D3511" s="212" t="s">
        <v>4150</v>
      </c>
      <c r="E3511" s="212" t="s">
        <v>545</v>
      </c>
      <c r="F3511" s="213">
        <v>18</v>
      </c>
      <c r="G3511" s="213">
        <v>1.116077922077922</v>
      </c>
      <c r="H3511" s="195">
        <f t="shared" si="54"/>
        <v>20.089402597402596</v>
      </c>
      <c r="I3511" s="212" t="s">
        <v>2354</v>
      </c>
    </row>
    <row r="3512" spans="1:9" x14ac:dyDescent="0.25">
      <c r="A3512" s="218" t="s">
        <v>220</v>
      </c>
      <c r="B3512" s="218" t="s">
        <v>5430</v>
      </c>
      <c r="C3512" s="219" t="s">
        <v>6846</v>
      </c>
      <c r="D3512" s="212" t="s">
        <v>4154</v>
      </c>
      <c r="E3512" s="212" t="s">
        <v>545</v>
      </c>
      <c r="F3512" s="213">
        <v>1</v>
      </c>
      <c r="G3512" s="213">
        <v>15.270860000000003</v>
      </c>
      <c r="H3512" s="195">
        <f t="shared" si="54"/>
        <v>15.270860000000003</v>
      </c>
      <c r="I3512" s="212" t="s">
        <v>2354</v>
      </c>
    </row>
    <row r="3513" spans="1:9" x14ac:dyDescent="0.25">
      <c r="A3513" s="218" t="s">
        <v>220</v>
      </c>
      <c r="B3513" s="218" t="s">
        <v>5430</v>
      </c>
      <c r="C3513" s="219" t="s">
        <v>6847</v>
      </c>
      <c r="D3513" s="212" t="s">
        <v>6848</v>
      </c>
      <c r="E3513" s="212" t="s">
        <v>545</v>
      </c>
      <c r="F3513" s="213">
        <v>4</v>
      </c>
      <c r="G3513" s="213">
        <v>1.72</v>
      </c>
      <c r="H3513" s="195">
        <f t="shared" si="54"/>
        <v>6.88</v>
      </c>
      <c r="I3513" s="212" t="s">
        <v>2354</v>
      </c>
    </row>
    <row r="3514" spans="1:9" x14ac:dyDescent="0.25">
      <c r="A3514" s="218" t="s">
        <v>220</v>
      </c>
      <c r="B3514" s="218" t="s">
        <v>5430</v>
      </c>
      <c r="C3514" s="219" t="s">
        <v>6849</v>
      </c>
      <c r="D3514" s="212" t="s">
        <v>6850</v>
      </c>
      <c r="E3514" s="212" t="s">
        <v>545</v>
      </c>
      <c r="F3514" s="213">
        <v>36</v>
      </c>
      <c r="G3514" s="213">
        <v>0.98199999999999998</v>
      </c>
      <c r="H3514" s="195">
        <f t="shared" si="54"/>
        <v>35.351999999999997</v>
      </c>
      <c r="I3514" s="212" t="s">
        <v>2354</v>
      </c>
    </row>
    <row r="3515" spans="1:9" x14ac:dyDescent="0.25">
      <c r="A3515" s="218" t="s">
        <v>220</v>
      </c>
      <c r="B3515" s="218" t="s">
        <v>5430</v>
      </c>
      <c r="C3515" s="219" t="s">
        <v>6851</v>
      </c>
      <c r="D3515" s="212" t="s">
        <v>6852</v>
      </c>
      <c r="E3515" s="212" t="s">
        <v>545</v>
      </c>
      <c r="F3515" s="213">
        <v>5</v>
      </c>
      <c r="G3515" s="213">
        <v>0.75</v>
      </c>
      <c r="H3515" s="195">
        <f t="shared" si="54"/>
        <v>3.75</v>
      </c>
      <c r="I3515" s="212" t="s">
        <v>2354</v>
      </c>
    </row>
    <row r="3516" spans="1:9" x14ac:dyDescent="0.25">
      <c r="A3516" s="218" t="s">
        <v>220</v>
      </c>
      <c r="B3516" s="218" t="s">
        <v>5430</v>
      </c>
      <c r="C3516" s="219" t="s">
        <v>4155</v>
      </c>
      <c r="D3516" s="212" t="s">
        <v>4156</v>
      </c>
      <c r="E3516" s="212" t="s">
        <v>545</v>
      </c>
      <c r="F3516" s="213">
        <v>18</v>
      </c>
      <c r="G3516" s="213">
        <v>1.2300627272727274</v>
      </c>
      <c r="H3516" s="195">
        <f t="shared" si="54"/>
        <v>22.141129090909093</v>
      </c>
      <c r="I3516" s="212" t="s">
        <v>2354</v>
      </c>
    </row>
    <row r="3517" spans="1:9" x14ac:dyDescent="0.25">
      <c r="A3517" s="218" t="s">
        <v>220</v>
      </c>
      <c r="B3517" s="218" t="s">
        <v>5430</v>
      </c>
      <c r="C3517" s="219" t="s">
        <v>6853</v>
      </c>
      <c r="D3517" s="212" t="s">
        <v>6854</v>
      </c>
      <c r="E3517" s="212" t="s">
        <v>545</v>
      </c>
      <c r="F3517" s="213">
        <v>59</v>
      </c>
      <c r="G3517" s="213">
        <v>1.72</v>
      </c>
      <c r="H3517" s="195">
        <f t="shared" si="54"/>
        <v>101.48</v>
      </c>
      <c r="I3517" s="212" t="s">
        <v>2354</v>
      </c>
    </row>
    <row r="3518" spans="1:9" x14ac:dyDescent="0.25">
      <c r="A3518" s="218" t="s">
        <v>220</v>
      </c>
      <c r="B3518" s="218" t="s">
        <v>5430</v>
      </c>
      <c r="C3518" s="219" t="s">
        <v>6855</v>
      </c>
      <c r="D3518" s="212" t="s">
        <v>6856</v>
      </c>
      <c r="E3518" s="212" t="s">
        <v>545</v>
      </c>
      <c r="F3518" s="213">
        <v>17</v>
      </c>
      <c r="G3518" s="213">
        <v>0.75</v>
      </c>
      <c r="H3518" s="195">
        <f t="shared" si="54"/>
        <v>12.75</v>
      </c>
      <c r="I3518" s="212" t="s">
        <v>2354</v>
      </c>
    </row>
    <row r="3519" spans="1:9" x14ac:dyDescent="0.25">
      <c r="A3519" s="218" t="s">
        <v>220</v>
      </c>
      <c r="B3519" s="218" t="s">
        <v>5430</v>
      </c>
      <c r="C3519" s="219" t="s">
        <v>6857</v>
      </c>
      <c r="D3519" s="212" t="s">
        <v>6858</v>
      </c>
      <c r="E3519" s="212" t="s">
        <v>545</v>
      </c>
      <c r="F3519" s="213">
        <v>29</v>
      </c>
      <c r="G3519" s="213">
        <v>1.72</v>
      </c>
      <c r="H3519" s="195">
        <f t="shared" si="54"/>
        <v>49.88</v>
      </c>
      <c r="I3519" s="212" t="s">
        <v>2354</v>
      </c>
    </row>
    <row r="3520" spans="1:9" x14ac:dyDescent="0.25">
      <c r="A3520" s="218" t="s">
        <v>220</v>
      </c>
      <c r="B3520" s="218" t="s">
        <v>5430</v>
      </c>
      <c r="C3520" s="219" t="s">
        <v>6859</v>
      </c>
      <c r="D3520" s="212" t="s">
        <v>6860</v>
      </c>
      <c r="E3520" s="212" t="s">
        <v>545</v>
      </c>
      <c r="F3520" s="213">
        <v>5</v>
      </c>
      <c r="G3520" s="213">
        <v>0.19800000000000001</v>
      </c>
      <c r="H3520" s="195">
        <f t="shared" si="54"/>
        <v>0.99</v>
      </c>
      <c r="I3520" s="212" t="s">
        <v>2354</v>
      </c>
    </row>
    <row r="3521" spans="1:9" x14ac:dyDescent="0.25">
      <c r="A3521" s="218" t="s">
        <v>220</v>
      </c>
      <c r="B3521" s="218" t="s">
        <v>5430</v>
      </c>
      <c r="C3521" s="219" t="s">
        <v>6861</v>
      </c>
      <c r="D3521" s="212" t="s">
        <v>6862</v>
      </c>
      <c r="E3521" s="212" t="s">
        <v>545</v>
      </c>
      <c r="F3521" s="213">
        <v>1</v>
      </c>
      <c r="G3521" s="213">
        <v>4.9793000000000003</v>
      </c>
      <c r="H3521" s="195">
        <f t="shared" si="54"/>
        <v>4.9793000000000003</v>
      </c>
      <c r="I3521" s="212" t="s">
        <v>2354</v>
      </c>
    </row>
    <row r="3522" spans="1:9" x14ac:dyDescent="0.25">
      <c r="A3522" s="218" t="s">
        <v>220</v>
      </c>
      <c r="B3522" s="218" t="s">
        <v>5430</v>
      </c>
      <c r="C3522" s="219" t="s">
        <v>6863</v>
      </c>
      <c r="D3522" s="212" t="s">
        <v>6864</v>
      </c>
      <c r="E3522" s="212" t="s">
        <v>545</v>
      </c>
      <c r="F3522" s="213">
        <v>3</v>
      </c>
      <c r="G3522" s="213">
        <v>8.5500000000000007</v>
      </c>
      <c r="H3522" s="195">
        <f t="shared" si="54"/>
        <v>25.650000000000002</v>
      </c>
      <c r="I3522" s="212" t="s">
        <v>2354</v>
      </c>
    </row>
    <row r="3523" spans="1:9" x14ac:dyDescent="0.25">
      <c r="A3523" s="218" t="s">
        <v>220</v>
      </c>
      <c r="B3523" s="218" t="s">
        <v>5430</v>
      </c>
      <c r="C3523" s="219" t="s">
        <v>4175</v>
      </c>
      <c r="D3523" s="212" t="s">
        <v>4176</v>
      </c>
      <c r="E3523" s="212" t="s">
        <v>545</v>
      </c>
      <c r="F3523" s="213">
        <v>1</v>
      </c>
      <c r="G3523" s="213">
        <v>1.9125000000000001</v>
      </c>
      <c r="H3523" s="195">
        <f t="shared" si="54"/>
        <v>1.9125000000000001</v>
      </c>
      <c r="I3523" s="212" t="s">
        <v>2354</v>
      </c>
    </row>
    <row r="3524" spans="1:9" x14ac:dyDescent="0.25">
      <c r="A3524" s="218" t="s">
        <v>220</v>
      </c>
      <c r="B3524" s="218" t="s">
        <v>5430</v>
      </c>
      <c r="C3524" s="219" t="s">
        <v>4179</v>
      </c>
      <c r="D3524" s="212" t="s">
        <v>4180</v>
      </c>
      <c r="E3524" s="212" t="s">
        <v>545</v>
      </c>
      <c r="F3524" s="213">
        <v>19</v>
      </c>
      <c r="G3524" s="213">
        <v>0.2475</v>
      </c>
      <c r="H3524" s="195">
        <f t="shared" si="54"/>
        <v>4.7024999999999997</v>
      </c>
      <c r="I3524" s="212" t="s">
        <v>2354</v>
      </c>
    </row>
    <row r="3525" spans="1:9" x14ac:dyDescent="0.25">
      <c r="A3525" s="218" t="s">
        <v>220</v>
      </c>
      <c r="B3525" s="218" t="s">
        <v>5430</v>
      </c>
      <c r="C3525" s="219" t="s">
        <v>4181</v>
      </c>
      <c r="D3525" s="212" t="s">
        <v>4182</v>
      </c>
      <c r="E3525" s="212" t="s">
        <v>545</v>
      </c>
      <c r="F3525" s="213">
        <v>15</v>
      </c>
      <c r="G3525" s="213">
        <v>0.5214545454545455</v>
      </c>
      <c r="H3525" s="195">
        <f t="shared" ref="H3525:H3588" si="55">+F3525*G3525</f>
        <v>7.8218181818181822</v>
      </c>
      <c r="I3525" s="212" t="s">
        <v>2354</v>
      </c>
    </row>
    <row r="3526" spans="1:9" x14ac:dyDescent="0.25">
      <c r="A3526" s="218" t="s">
        <v>220</v>
      </c>
      <c r="B3526" s="218" t="s">
        <v>5430</v>
      </c>
      <c r="C3526" s="219" t="s">
        <v>4185</v>
      </c>
      <c r="D3526" s="212" t="s">
        <v>4186</v>
      </c>
      <c r="E3526" s="212" t="s">
        <v>545</v>
      </c>
      <c r="F3526" s="213">
        <v>8</v>
      </c>
      <c r="G3526" s="213">
        <v>0.63749999999999996</v>
      </c>
      <c r="H3526" s="195">
        <f t="shared" si="55"/>
        <v>5.0999999999999996</v>
      </c>
      <c r="I3526" s="212" t="s">
        <v>2354</v>
      </c>
    </row>
    <row r="3527" spans="1:9" x14ac:dyDescent="0.25">
      <c r="A3527" s="218" t="s">
        <v>220</v>
      </c>
      <c r="B3527" s="218" t="s">
        <v>5430</v>
      </c>
      <c r="C3527" s="219" t="s">
        <v>4187</v>
      </c>
      <c r="D3527" s="212" t="s">
        <v>4188</v>
      </c>
      <c r="E3527" s="212" t="s">
        <v>545</v>
      </c>
      <c r="F3527" s="213">
        <v>30</v>
      </c>
      <c r="G3527" s="213">
        <v>0.52025434782608682</v>
      </c>
      <c r="H3527" s="195">
        <f t="shared" si="55"/>
        <v>15.607630434782605</v>
      </c>
      <c r="I3527" s="212" t="s">
        <v>2354</v>
      </c>
    </row>
    <row r="3528" spans="1:9" x14ac:dyDescent="0.25">
      <c r="A3528" s="218" t="s">
        <v>220</v>
      </c>
      <c r="B3528" s="218" t="s">
        <v>5430</v>
      </c>
      <c r="C3528" s="219" t="s">
        <v>4189</v>
      </c>
      <c r="D3528" s="212" t="s">
        <v>4190</v>
      </c>
      <c r="E3528" s="212" t="s">
        <v>545</v>
      </c>
      <c r="F3528" s="213">
        <v>75</v>
      </c>
      <c r="G3528" s="213">
        <v>0.184</v>
      </c>
      <c r="H3528" s="195">
        <f t="shared" si="55"/>
        <v>13.799999999999999</v>
      </c>
      <c r="I3528" s="212" t="s">
        <v>2354</v>
      </c>
    </row>
    <row r="3529" spans="1:9" x14ac:dyDescent="0.25">
      <c r="A3529" s="218" t="s">
        <v>220</v>
      </c>
      <c r="B3529" s="218" t="s">
        <v>5430</v>
      </c>
      <c r="C3529" s="219" t="s">
        <v>6865</v>
      </c>
      <c r="D3529" s="212" t="s">
        <v>4196</v>
      </c>
      <c r="E3529" s="212" t="s">
        <v>2387</v>
      </c>
      <c r="F3529" s="213">
        <v>45</v>
      </c>
      <c r="G3529" s="213">
        <v>5.3904857142857141</v>
      </c>
      <c r="H3529" s="195">
        <f t="shared" si="55"/>
        <v>242.57185714285714</v>
      </c>
      <c r="I3529" s="212" t="s">
        <v>2354</v>
      </c>
    </row>
    <row r="3530" spans="1:9" x14ac:dyDescent="0.25">
      <c r="A3530" s="218" t="s">
        <v>220</v>
      </c>
      <c r="B3530" s="218" t="s">
        <v>5430</v>
      </c>
      <c r="C3530" s="219" t="s">
        <v>4199</v>
      </c>
      <c r="D3530" s="212" t="s">
        <v>4200</v>
      </c>
      <c r="E3530" s="212" t="s">
        <v>2387</v>
      </c>
      <c r="F3530" s="213">
        <v>2</v>
      </c>
      <c r="G3530" s="213">
        <v>5.2329999999999997</v>
      </c>
      <c r="H3530" s="195">
        <f t="shared" si="55"/>
        <v>10.465999999999999</v>
      </c>
      <c r="I3530" s="212" t="s">
        <v>2354</v>
      </c>
    </row>
    <row r="3531" spans="1:9" x14ac:dyDescent="0.25">
      <c r="A3531" s="218" t="s">
        <v>220</v>
      </c>
      <c r="B3531" s="218" t="s">
        <v>5430</v>
      </c>
      <c r="C3531" s="219" t="s">
        <v>4201</v>
      </c>
      <c r="D3531" s="212" t="s">
        <v>4202</v>
      </c>
      <c r="E3531" s="212" t="s">
        <v>545</v>
      </c>
      <c r="F3531" s="213">
        <v>40</v>
      </c>
      <c r="G3531" s="213">
        <v>3.4649999999999999</v>
      </c>
      <c r="H3531" s="195">
        <f t="shared" si="55"/>
        <v>138.6</v>
      </c>
      <c r="I3531" s="212" t="s">
        <v>2354</v>
      </c>
    </row>
    <row r="3532" spans="1:9" x14ac:dyDescent="0.25">
      <c r="A3532" s="218" t="s">
        <v>220</v>
      </c>
      <c r="B3532" s="218" t="s">
        <v>5430</v>
      </c>
      <c r="C3532" s="219" t="s">
        <v>4203</v>
      </c>
      <c r="D3532" s="212" t="s">
        <v>4204</v>
      </c>
      <c r="E3532" s="212" t="s">
        <v>545</v>
      </c>
      <c r="F3532" s="213">
        <v>4</v>
      </c>
      <c r="G3532" s="213">
        <v>5.4135</v>
      </c>
      <c r="H3532" s="195">
        <f t="shared" si="55"/>
        <v>21.654</v>
      </c>
      <c r="I3532" s="212" t="s">
        <v>2354</v>
      </c>
    </row>
    <row r="3533" spans="1:9" x14ac:dyDescent="0.25">
      <c r="A3533" s="218" t="s">
        <v>220</v>
      </c>
      <c r="B3533" s="218" t="s">
        <v>5430</v>
      </c>
      <c r="C3533" s="219" t="s">
        <v>6866</v>
      </c>
      <c r="D3533" s="212" t="s">
        <v>6867</v>
      </c>
      <c r="E3533" s="212" t="s">
        <v>545</v>
      </c>
      <c r="F3533" s="213">
        <v>15</v>
      </c>
      <c r="G3533" s="213">
        <v>9.512100000000002</v>
      </c>
      <c r="H3533" s="195">
        <f t="shared" si="55"/>
        <v>142.68150000000003</v>
      </c>
      <c r="I3533" s="212" t="s">
        <v>2354</v>
      </c>
    </row>
    <row r="3534" spans="1:9" x14ac:dyDescent="0.25">
      <c r="A3534" s="218" t="s">
        <v>220</v>
      </c>
      <c r="B3534" s="218" t="s">
        <v>5430</v>
      </c>
      <c r="C3534" s="219" t="s">
        <v>4205</v>
      </c>
      <c r="D3534" s="212" t="s">
        <v>4206</v>
      </c>
      <c r="E3534" s="212" t="s">
        <v>545</v>
      </c>
      <c r="F3534" s="213">
        <v>6</v>
      </c>
      <c r="G3534" s="213">
        <v>2.0790000000000002</v>
      </c>
      <c r="H3534" s="195">
        <f t="shared" si="55"/>
        <v>12.474</v>
      </c>
      <c r="I3534" s="212" t="s">
        <v>2354</v>
      </c>
    </row>
    <row r="3535" spans="1:9" x14ac:dyDescent="0.25">
      <c r="A3535" s="218" t="s">
        <v>220</v>
      </c>
      <c r="B3535" s="218" t="s">
        <v>5430</v>
      </c>
      <c r="C3535" s="219" t="s">
        <v>4207</v>
      </c>
      <c r="D3535" s="212" t="s">
        <v>4208</v>
      </c>
      <c r="E3535" s="212" t="s">
        <v>545</v>
      </c>
      <c r="F3535" s="213">
        <v>6</v>
      </c>
      <c r="G3535" s="213">
        <v>2.7423000000000002</v>
      </c>
      <c r="H3535" s="195">
        <f t="shared" si="55"/>
        <v>16.453800000000001</v>
      </c>
      <c r="I3535" s="212" t="s">
        <v>2354</v>
      </c>
    </row>
    <row r="3536" spans="1:9" x14ac:dyDescent="0.25">
      <c r="A3536" s="218" t="s">
        <v>220</v>
      </c>
      <c r="B3536" s="218" t="s">
        <v>5430</v>
      </c>
      <c r="C3536" s="219" t="s">
        <v>4209</v>
      </c>
      <c r="D3536" s="212" t="s">
        <v>4210</v>
      </c>
      <c r="E3536" s="212" t="s">
        <v>545</v>
      </c>
      <c r="F3536" s="213">
        <v>23</v>
      </c>
      <c r="G3536" s="213">
        <v>4.5233999999999996</v>
      </c>
      <c r="H3536" s="195">
        <f t="shared" si="55"/>
        <v>104.03819999999999</v>
      </c>
      <c r="I3536" s="212" t="s">
        <v>2354</v>
      </c>
    </row>
    <row r="3537" spans="1:9" x14ac:dyDescent="0.25">
      <c r="A3537" s="218" t="s">
        <v>220</v>
      </c>
      <c r="B3537" s="218" t="s">
        <v>5430</v>
      </c>
      <c r="C3537" s="219" t="s">
        <v>4217</v>
      </c>
      <c r="D3537" s="212" t="s">
        <v>4218</v>
      </c>
      <c r="E3537" s="212" t="s">
        <v>545</v>
      </c>
      <c r="F3537" s="213">
        <v>98</v>
      </c>
      <c r="G3537" s="213">
        <v>0.28150974025974029</v>
      </c>
      <c r="H3537" s="195">
        <f t="shared" si="55"/>
        <v>27.587954545454547</v>
      </c>
      <c r="I3537" s="212" t="s">
        <v>2354</v>
      </c>
    </row>
    <row r="3538" spans="1:9" x14ac:dyDescent="0.25">
      <c r="A3538" s="218" t="s">
        <v>220</v>
      </c>
      <c r="B3538" s="218" t="s">
        <v>5430</v>
      </c>
      <c r="C3538" s="219" t="s">
        <v>6868</v>
      </c>
      <c r="D3538" s="212" t="s">
        <v>6869</v>
      </c>
      <c r="E3538" s="212" t="s">
        <v>545</v>
      </c>
      <c r="F3538" s="213">
        <v>3</v>
      </c>
      <c r="G3538" s="213">
        <v>3.15</v>
      </c>
      <c r="H3538" s="195">
        <f t="shared" si="55"/>
        <v>9.4499999999999993</v>
      </c>
      <c r="I3538" s="212" t="s">
        <v>2354</v>
      </c>
    </row>
    <row r="3539" spans="1:9" x14ac:dyDescent="0.25">
      <c r="A3539" s="218" t="s">
        <v>220</v>
      </c>
      <c r="B3539" s="218" t="s">
        <v>5430</v>
      </c>
      <c r="C3539" s="219" t="s">
        <v>6870</v>
      </c>
      <c r="D3539" s="212" t="s">
        <v>6871</v>
      </c>
      <c r="E3539" s="212" t="s">
        <v>545</v>
      </c>
      <c r="F3539" s="213">
        <v>2</v>
      </c>
      <c r="G3539" s="213">
        <v>42.56</v>
      </c>
      <c r="H3539" s="195">
        <f t="shared" si="55"/>
        <v>85.12</v>
      </c>
      <c r="I3539" s="212" t="s">
        <v>2354</v>
      </c>
    </row>
    <row r="3540" spans="1:9" x14ac:dyDescent="0.25">
      <c r="A3540" s="218" t="s">
        <v>220</v>
      </c>
      <c r="B3540" s="218" t="s">
        <v>5430</v>
      </c>
      <c r="C3540" s="219" t="s">
        <v>6872</v>
      </c>
      <c r="D3540" s="212" t="s">
        <v>6873</v>
      </c>
      <c r="E3540" s="212" t="s">
        <v>545</v>
      </c>
      <c r="F3540" s="213">
        <v>2</v>
      </c>
      <c r="G3540" s="213">
        <v>421.01519999999999</v>
      </c>
      <c r="H3540" s="195">
        <f t="shared" si="55"/>
        <v>842.03039999999999</v>
      </c>
      <c r="I3540" s="212" t="s">
        <v>2354</v>
      </c>
    </row>
    <row r="3541" spans="1:9" x14ac:dyDescent="0.25">
      <c r="A3541" s="218" t="s">
        <v>220</v>
      </c>
      <c r="B3541" s="218" t="s">
        <v>5430</v>
      </c>
      <c r="C3541" s="219" t="s">
        <v>6874</v>
      </c>
      <c r="D3541" s="212" t="s">
        <v>6875</v>
      </c>
      <c r="E3541" s="212" t="s">
        <v>545</v>
      </c>
      <c r="F3541" s="213">
        <v>1</v>
      </c>
      <c r="G3541" s="213">
        <v>450.45</v>
      </c>
      <c r="H3541" s="195">
        <f t="shared" si="55"/>
        <v>450.45</v>
      </c>
      <c r="I3541" s="212" t="s">
        <v>2354</v>
      </c>
    </row>
    <row r="3542" spans="1:9" x14ac:dyDescent="0.25">
      <c r="A3542" s="218" t="s">
        <v>220</v>
      </c>
      <c r="B3542" s="218" t="s">
        <v>5430</v>
      </c>
      <c r="C3542" s="219" t="s">
        <v>6876</v>
      </c>
      <c r="D3542" s="212" t="s">
        <v>6877</v>
      </c>
      <c r="E3542" s="212" t="s">
        <v>545</v>
      </c>
      <c r="F3542" s="213">
        <v>3</v>
      </c>
      <c r="G3542" s="213">
        <v>450.45</v>
      </c>
      <c r="H3542" s="195">
        <f t="shared" si="55"/>
        <v>1351.35</v>
      </c>
      <c r="I3542" s="212" t="s">
        <v>2354</v>
      </c>
    </row>
    <row r="3543" spans="1:9" x14ac:dyDescent="0.25">
      <c r="A3543" s="218" t="s">
        <v>220</v>
      </c>
      <c r="B3543" s="218" t="s">
        <v>5430</v>
      </c>
      <c r="C3543" s="219" t="s">
        <v>6878</v>
      </c>
      <c r="D3543" s="212" t="s">
        <v>6879</v>
      </c>
      <c r="E3543" s="212" t="s">
        <v>545</v>
      </c>
      <c r="F3543" s="213">
        <v>3</v>
      </c>
      <c r="G3543" s="213">
        <v>157.5</v>
      </c>
      <c r="H3543" s="195">
        <f t="shared" si="55"/>
        <v>472.5</v>
      </c>
      <c r="I3543" s="212" t="s">
        <v>2354</v>
      </c>
    </row>
    <row r="3544" spans="1:9" x14ac:dyDescent="0.25">
      <c r="A3544" s="218" t="s">
        <v>220</v>
      </c>
      <c r="B3544" s="218" t="s">
        <v>5430</v>
      </c>
      <c r="C3544" s="219" t="s">
        <v>6880</v>
      </c>
      <c r="D3544" s="212" t="s">
        <v>4242</v>
      </c>
      <c r="E3544" s="212" t="s">
        <v>545</v>
      </c>
      <c r="F3544" s="213">
        <v>2</v>
      </c>
      <c r="G3544" s="213">
        <v>140.69019</v>
      </c>
      <c r="H3544" s="195">
        <f t="shared" si="55"/>
        <v>281.38038</v>
      </c>
      <c r="I3544" s="212" t="s">
        <v>2354</v>
      </c>
    </row>
    <row r="3545" spans="1:9" x14ac:dyDescent="0.25">
      <c r="A3545" s="218" t="s">
        <v>220</v>
      </c>
      <c r="B3545" s="218" t="s">
        <v>5430</v>
      </c>
      <c r="C3545" s="219" t="s">
        <v>4243</v>
      </c>
      <c r="D3545" s="212" t="s">
        <v>4244</v>
      </c>
      <c r="E3545" s="212" t="s">
        <v>545</v>
      </c>
      <c r="F3545" s="213">
        <v>2</v>
      </c>
      <c r="G3545" s="213">
        <v>87.75</v>
      </c>
      <c r="H3545" s="195">
        <f t="shared" si="55"/>
        <v>175.5</v>
      </c>
      <c r="I3545" s="212" t="s">
        <v>2354</v>
      </c>
    </row>
    <row r="3546" spans="1:9" x14ac:dyDescent="0.25">
      <c r="A3546" s="218" t="s">
        <v>220</v>
      </c>
      <c r="B3546" s="218" t="s">
        <v>5430</v>
      </c>
      <c r="C3546" s="219" t="s">
        <v>4245</v>
      </c>
      <c r="D3546" s="212" t="s">
        <v>4246</v>
      </c>
      <c r="E3546" s="212" t="s">
        <v>545</v>
      </c>
      <c r="F3546" s="213">
        <v>6</v>
      </c>
      <c r="G3546" s="213">
        <v>17.094903703703704</v>
      </c>
      <c r="H3546" s="195">
        <f t="shared" si="55"/>
        <v>102.56942222222222</v>
      </c>
      <c r="I3546" s="212" t="s">
        <v>2354</v>
      </c>
    </row>
    <row r="3547" spans="1:9" x14ac:dyDescent="0.25">
      <c r="A3547" s="218" t="s">
        <v>220</v>
      </c>
      <c r="B3547" s="218" t="s">
        <v>5430</v>
      </c>
      <c r="C3547" s="219" t="s">
        <v>4247</v>
      </c>
      <c r="D3547" s="212" t="s">
        <v>4248</v>
      </c>
      <c r="E3547" s="212" t="s">
        <v>545</v>
      </c>
      <c r="F3547" s="213">
        <v>1</v>
      </c>
      <c r="G3547" s="213">
        <v>82.8</v>
      </c>
      <c r="H3547" s="195">
        <f t="shared" si="55"/>
        <v>82.8</v>
      </c>
      <c r="I3547" s="212" t="s">
        <v>2354</v>
      </c>
    </row>
    <row r="3548" spans="1:9" x14ac:dyDescent="0.25">
      <c r="A3548" s="218" t="s">
        <v>220</v>
      </c>
      <c r="B3548" s="218" t="s">
        <v>5430</v>
      </c>
      <c r="C3548" s="219" t="s">
        <v>4249</v>
      </c>
      <c r="D3548" s="212" t="s">
        <v>4250</v>
      </c>
      <c r="E3548" s="212" t="s">
        <v>545</v>
      </c>
      <c r="F3548" s="213">
        <v>1</v>
      </c>
      <c r="G3548" s="213">
        <v>76.388249999999999</v>
      </c>
      <c r="H3548" s="195">
        <f t="shared" si="55"/>
        <v>76.388249999999999</v>
      </c>
      <c r="I3548" s="212" t="s">
        <v>2354</v>
      </c>
    </row>
    <row r="3549" spans="1:9" x14ac:dyDescent="0.25">
      <c r="A3549" s="218" t="s">
        <v>220</v>
      </c>
      <c r="B3549" s="218" t="s">
        <v>5430</v>
      </c>
      <c r="C3549" s="219" t="s">
        <v>6881</v>
      </c>
      <c r="D3549" s="212" t="s">
        <v>6882</v>
      </c>
      <c r="E3549" s="212" t="s">
        <v>545</v>
      </c>
      <c r="F3549" s="213">
        <v>6</v>
      </c>
      <c r="G3549" s="213">
        <v>0</v>
      </c>
      <c r="H3549" s="195">
        <f t="shared" si="55"/>
        <v>0</v>
      </c>
      <c r="I3549" s="212" t="s">
        <v>2354</v>
      </c>
    </row>
    <row r="3550" spans="1:9" x14ac:dyDescent="0.25">
      <c r="A3550" s="218" t="s">
        <v>220</v>
      </c>
      <c r="B3550" s="218" t="s">
        <v>5430</v>
      </c>
      <c r="C3550" s="219" t="s">
        <v>6883</v>
      </c>
      <c r="D3550" s="212" t="s">
        <v>6884</v>
      </c>
      <c r="E3550" s="212" t="s">
        <v>545</v>
      </c>
      <c r="F3550" s="213">
        <v>2</v>
      </c>
      <c r="G3550" s="213">
        <v>0</v>
      </c>
      <c r="H3550" s="195">
        <f t="shared" si="55"/>
        <v>0</v>
      </c>
      <c r="I3550" s="212" t="s">
        <v>2354</v>
      </c>
    </row>
    <row r="3551" spans="1:9" x14ac:dyDescent="0.25">
      <c r="A3551" s="218" t="s">
        <v>220</v>
      </c>
      <c r="B3551" s="218" t="s">
        <v>5430</v>
      </c>
      <c r="C3551" s="219" t="s">
        <v>6885</v>
      </c>
      <c r="D3551" s="212" t="s">
        <v>6886</v>
      </c>
      <c r="E3551" s="212" t="s">
        <v>545</v>
      </c>
      <c r="F3551" s="213">
        <v>2</v>
      </c>
      <c r="G3551" s="213">
        <v>157.5</v>
      </c>
      <c r="H3551" s="195">
        <f t="shared" si="55"/>
        <v>315</v>
      </c>
      <c r="I3551" s="212" t="s">
        <v>2354</v>
      </c>
    </row>
    <row r="3552" spans="1:9" x14ac:dyDescent="0.25">
      <c r="A3552" s="218" t="s">
        <v>220</v>
      </c>
      <c r="B3552" s="218" t="s">
        <v>5430</v>
      </c>
      <c r="C3552" s="219" t="s">
        <v>6887</v>
      </c>
      <c r="D3552" s="212" t="s">
        <v>6888</v>
      </c>
      <c r="E3552" s="212" t="s">
        <v>545</v>
      </c>
      <c r="F3552" s="213">
        <v>2</v>
      </c>
      <c r="G3552" s="213">
        <v>181.5617</v>
      </c>
      <c r="H3552" s="195">
        <f t="shared" si="55"/>
        <v>363.1234</v>
      </c>
      <c r="I3552" s="212" t="s">
        <v>2354</v>
      </c>
    </row>
    <row r="3553" spans="1:9" x14ac:dyDescent="0.25">
      <c r="A3553" s="218" t="s">
        <v>220</v>
      </c>
      <c r="B3553" s="218" t="s">
        <v>5430</v>
      </c>
      <c r="C3553" s="219" t="s">
        <v>6889</v>
      </c>
      <c r="D3553" s="212" t="s">
        <v>6890</v>
      </c>
      <c r="E3553" s="212" t="s">
        <v>545</v>
      </c>
      <c r="F3553" s="213">
        <v>2</v>
      </c>
      <c r="G3553" s="213">
        <v>89.1</v>
      </c>
      <c r="H3553" s="195">
        <f t="shared" si="55"/>
        <v>178.2</v>
      </c>
      <c r="I3553" s="212" t="s">
        <v>2354</v>
      </c>
    </row>
    <row r="3554" spans="1:9" x14ac:dyDescent="0.25">
      <c r="A3554" s="218" t="s">
        <v>220</v>
      </c>
      <c r="B3554" s="218" t="s">
        <v>5430</v>
      </c>
      <c r="C3554" s="219" t="s">
        <v>6891</v>
      </c>
      <c r="D3554" s="212" t="s">
        <v>6892</v>
      </c>
      <c r="E3554" s="212" t="s">
        <v>545</v>
      </c>
      <c r="F3554" s="213">
        <v>1</v>
      </c>
      <c r="G3554" s="213">
        <v>50.32</v>
      </c>
      <c r="H3554" s="195">
        <f t="shared" si="55"/>
        <v>50.32</v>
      </c>
      <c r="I3554" s="212" t="s">
        <v>2354</v>
      </c>
    </row>
    <row r="3555" spans="1:9" x14ac:dyDescent="0.25">
      <c r="A3555" s="218" t="s">
        <v>220</v>
      </c>
      <c r="B3555" s="218" t="s">
        <v>5430</v>
      </c>
      <c r="C3555" s="219" t="s">
        <v>6893</v>
      </c>
      <c r="D3555" s="212" t="s">
        <v>6894</v>
      </c>
      <c r="E3555" s="212" t="s">
        <v>545</v>
      </c>
      <c r="F3555" s="213">
        <v>5</v>
      </c>
      <c r="G3555" s="213">
        <v>87.465000000000003</v>
      </c>
      <c r="H3555" s="195">
        <f t="shared" si="55"/>
        <v>437.32500000000005</v>
      </c>
      <c r="I3555" s="212" t="s">
        <v>2354</v>
      </c>
    </row>
    <row r="3556" spans="1:9" x14ac:dyDescent="0.25">
      <c r="A3556" s="218" t="s">
        <v>220</v>
      </c>
      <c r="B3556" s="218" t="s">
        <v>5430</v>
      </c>
      <c r="C3556" s="219" t="s">
        <v>6895</v>
      </c>
      <c r="D3556" s="212" t="s">
        <v>6896</v>
      </c>
      <c r="E3556" s="212" t="s">
        <v>545</v>
      </c>
      <c r="F3556" s="213">
        <v>5</v>
      </c>
      <c r="G3556" s="213">
        <v>21.433599999999998</v>
      </c>
      <c r="H3556" s="195">
        <f t="shared" si="55"/>
        <v>107.16799999999999</v>
      </c>
      <c r="I3556" s="212" t="s">
        <v>2354</v>
      </c>
    </row>
    <row r="3557" spans="1:9" x14ac:dyDescent="0.25">
      <c r="A3557" s="218" t="s">
        <v>220</v>
      </c>
      <c r="B3557" s="218" t="s">
        <v>5430</v>
      </c>
      <c r="C3557" s="219" t="s">
        <v>6897</v>
      </c>
      <c r="D3557" s="212" t="s">
        <v>6898</v>
      </c>
      <c r="E3557" s="212" t="s">
        <v>545</v>
      </c>
      <c r="F3557" s="213">
        <v>3</v>
      </c>
      <c r="G3557" s="213">
        <v>10.391999999999999</v>
      </c>
      <c r="H3557" s="195">
        <f t="shared" si="55"/>
        <v>31.175999999999998</v>
      </c>
      <c r="I3557" s="212" t="s">
        <v>2354</v>
      </c>
    </row>
    <row r="3558" spans="1:9" x14ac:dyDescent="0.25">
      <c r="A3558" s="218" t="s">
        <v>220</v>
      </c>
      <c r="B3558" s="218" t="s">
        <v>5430</v>
      </c>
      <c r="C3558" s="219" t="s">
        <v>6899</v>
      </c>
      <c r="D3558" s="212" t="s">
        <v>6900</v>
      </c>
      <c r="E3558" s="212" t="s">
        <v>545</v>
      </c>
      <c r="F3558" s="213">
        <v>1</v>
      </c>
      <c r="G3558" s="213">
        <v>114.7483</v>
      </c>
      <c r="H3558" s="195">
        <f t="shared" si="55"/>
        <v>114.7483</v>
      </c>
      <c r="I3558" s="212" t="s">
        <v>2354</v>
      </c>
    </row>
    <row r="3559" spans="1:9" x14ac:dyDescent="0.25">
      <c r="A3559" s="218" t="s">
        <v>220</v>
      </c>
      <c r="B3559" s="218" t="s">
        <v>5430</v>
      </c>
      <c r="C3559" s="219" t="s">
        <v>5406</v>
      </c>
      <c r="D3559" s="212" t="s">
        <v>5407</v>
      </c>
      <c r="E3559" s="212" t="s">
        <v>545</v>
      </c>
      <c r="F3559" s="213">
        <v>5</v>
      </c>
      <c r="G3559" s="213">
        <v>166.898</v>
      </c>
      <c r="H3559" s="195">
        <f t="shared" si="55"/>
        <v>834.49</v>
      </c>
      <c r="I3559" s="212" t="s">
        <v>2354</v>
      </c>
    </row>
    <row r="3560" spans="1:9" x14ac:dyDescent="0.25">
      <c r="A3560" s="218" t="s">
        <v>220</v>
      </c>
      <c r="B3560" s="218" t="s">
        <v>5430</v>
      </c>
      <c r="C3560" s="219" t="s">
        <v>6901</v>
      </c>
      <c r="D3560" s="212" t="s">
        <v>6902</v>
      </c>
      <c r="E3560" s="212" t="s">
        <v>545</v>
      </c>
      <c r="F3560" s="213">
        <v>4</v>
      </c>
      <c r="G3560" s="213">
        <v>238.3398</v>
      </c>
      <c r="H3560" s="195">
        <f t="shared" si="55"/>
        <v>953.35919999999999</v>
      </c>
      <c r="I3560" s="212" t="s">
        <v>2354</v>
      </c>
    </row>
    <row r="3561" spans="1:9" x14ac:dyDescent="0.25">
      <c r="A3561" s="218" t="s">
        <v>220</v>
      </c>
      <c r="B3561" s="218" t="s">
        <v>5430</v>
      </c>
      <c r="C3561" s="219" t="s">
        <v>4295</v>
      </c>
      <c r="D3561" s="212" t="s">
        <v>4296</v>
      </c>
      <c r="E3561" s="212" t="s">
        <v>545</v>
      </c>
      <c r="F3561" s="213">
        <v>6</v>
      </c>
      <c r="G3561" s="213">
        <v>85.5</v>
      </c>
      <c r="H3561" s="195">
        <f t="shared" si="55"/>
        <v>513</v>
      </c>
      <c r="I3561" s="212" t="s">
        <v>2354</v>
      </c>
    </row>
    <row r="3562" spans="1:9" x14ac:dyDescent="0.25">
      <c r="A3562" s="218" t="s">
        <v>220</v>
      </c>
      <c r="B3562" s="218" t="s">
        <v>5430</v>
      </c>
      <c r="C3562" s="219" t="s">
        <v>6903</v>
      </c>
      <c r="D3562" s="212" t="s">
        <v>6904</v>
      </c>
      <c r="E3562" s="212" t="s">
        <v>545</v>
      </c>
      <c r="F3562" s="213">
        <v>1</v>
      </c>
      <c r="G3562" s="213">
        <v>85.5</v>
      </c>
      <c r="H3562" s="195">
        <f t="shared" si="55"/>
        <v>85.5</v>
      </c>
      <c r="I3562" s="212" t="s">
        <v>2354</v>
      </c>
    </row>
    <row r="3563" spans="1:9" x14ac:dyDescent="0.25">
      <c r="A3563" s="218" t="s">
        <v>220</v>
      </c>
      <c r="B3563" s="218" t="s">
        <v>5430</v>
      </c>
      <c r="C3563" s="219" t="s">
        <v>4301</v>
      </c>
      <c r="D3563" s="212" t="s">
        <v>4302</v>
      </c>
      <c r="E3563" s="212" t="s">
        <v>545</v>
      </c>
      <c r="F3563" s="213">
        <v>6</v>
      </c>
      <c r="G3563" s="213">
        <v>162.44999999999999</v>
      </c>
      <c r="H3563" s="195">
        <f t="shared" si="55"/>
        <v>974.69999999999993</v>
      </c>
      <c r="I3563" s="212" t="s">
        <v>2354</v>
      </c>
    </row>
    <row r="3564" spans="1:9" x14ac:dyDescent="0.25">
      <c r="A3564" s="218" t="s">
        <v>220</v>
      </c>
      <c r="B3564" s="218" t="s">
        <v>5430</v>
      </c>
      <c r="C3564" s="219" t="s">
        <v>4303</v>
      </c>
      <c r="D3564" s="212" t="s">
        <v>4304</v>
      </c>
      <c r="E3564" s="212" t="s">
        <v>545</v>
      </c>
      <c r="F3564" s="213">
        <v>14</v>
      </c>
      <c r="G3564" s="213">
        <v>85.5</v>
      </c>
      <c r="H3564" s="195">
        <f t="shared" si="55"/>
        <v>1197</v>
      </c>
      <c r="I3564" s="212" t="s">
        <v>2354</v>
      </c>
    </row>
    <row r="3565" spans="1:9" x14ac:dyDescent="0.25">
      <c r="A3565" s="218" t="s">
        <v>220</v>
      </c>
      <c r="B3565" s="218" t="s">
        <v>5430</v>
      </c>
      <c r="C3565" s="219" t="s">
        <v>6905</v>
      </c>
      <c r="D3565" s="212" t="s">
        <v>6906</v>
      </c>
      <c r="E3565" s="212" t="s">
        <v>545</v>
      </c>
      <c r="F3565" s="213">
        <v>4</v>
      </c>
      <c r="G3565" s="213">
        <v>138.33869000000001</v>
      </c>
      <c r="H3565" s="195">
        <f t="shared" si="55"/>
        <v>553.35476000000006</v>
      </c>
      <c r="I3565" s="212" t="s">
        <v>2354</v>
      </c>
    </row>
    <row r="3566" spans="1:9" x14ac:dyDescent="0.25">
      <c r="A3566" s="218" t="s">
        <v>220</v>
      </c>
      <c r="B3566" s="218" t="s">
        <v>5430</v>
      </c>
      <c r="C3566" s="219" t="s">
        <v>6907</v>
      </c>
      <c r="D3566" s="212" t="s">
        <v>6908</v>
      </c>
      <c r="E3566" s="212" t="s">
        <v>545</v>
      </c>
      <c r="F3566" s="213">
        <v>4</v>
      </c>
      <c r="G3566" s="213">
        <v>203.05889999999999</v>
      </c>
      <c r="H3566" s="195">
        <f t="shared" si="55"/>
        <v>812.23559999999998</v>
      </c>
      <c r="I3566" s="212" t="s">
        <v>2354</v>
      </c>
    </row>
    <row r="3567" spans="1:9" x14ac:dyDescent="0.25">
      <c r="A3567" s="218" t="s">
        <v>220</v>
      </c>
      <c r="B3567" s="218" t="s">
        <v>5430</v>
      </c>
      <c r="C3567" s="219" t="s">
        <v>6909</v>
      </c>
      <c r="D3567" s="212" t="s">
        <v>6910</v>
      </c>
      <c r="E3567" s="212" t="s">
        <v>545</v>
      </c>
      <c r="F3567" s="213">
        <v>1</v>
      </c>
      <c r="G3567" s="213">
        <v>113.22</v>
      </c>
      <c r="H3567" s="195">
        <f t="shared" si="55"/>
        <v>113.22</v>
      </c>
      <c r="I3567" s="212" t="s">
        <v>2354</v>
      </c>
    </row>
    <row r="3568" spans="1:9" x14ac:dyDescent="0.25">
      <c r="A3568" s="218" t="s">
        <v>220</v>
      </c>
      <c r="B3568" s="218" t="s">
        <v>5430</v>
      </c>
      <c r="C3568" s="219" t="s">
        <v>6911</v>
      </c>
      <c r="D3568" s="212" t="s">
        <v>6912</v>
      </c>
      <c r="E3568" s="212" t="s">
        <v>545</v>
      </c>
      <c r="F3568" s="213">
        <v>5</v>
      </c>
      <c r="G3568" s="213">
        <v>108.461375</v>
      </c>
      <c r="H3568" s="195">
        <f t="shared" si="55"/>
        <v>542.30687499999999</v>
      </c>
      <c r="I3568" s="212" t="s">
        <v>2354</v>
      </c>
    </row>
    <row r="3569" spans="1:9" x14ac:dyDescent="0.25">
      <c r="A3569" s="218" t="s">
        <v>220</v>
      </c>
      <c r="B3569" s="218" t="s">
        <v>5430</v>
      </c>
      <c r="C3569" s="219" t="s">
        <v>6913</v>
      </c>
      <c r="D3569" s="212" t="s">
        <v>6914</v>
      </c>
      <c r="E3569" s="212" t="s">
        <v>545</v>
      </c>
      <c r="F3569" s="213">
        <v>1</v>
      </c>
      <c r="G3569" s="213">
        <v>0</v>
      </c>
      <c r="H3569" s="195">
        <f t="shared" si="55"/>
        <v>0</v>
      </c>
      <c r="I3569" s="212" t="s">
        <v>2354</v>
      </c>
    </row>
    <row r="3570" spans="1:9" x14ac:dyDescent="0.25">
      <c r="A3570" s="218" t="s">
        <v>220</v>
      </c>
      <c r="B3570" s="218" t="s">
        <v>5430</v>
      </c>
      <c r="C3570" s="219" t="s">
        <v>6915</v>
      </c>
      <c r="D3570" s="212" t="s">
        <v>6916</v>
      </c>
      <c r="E3570" s="212" t="s">
        <v>545</v>
      </c>
      <c r="F3570" s="213">
        <v>1</v>
      </c>
      <c r="G3570" s="213">
        <v>0</v>
      </c>
      <c r="H3570" s="195">
        <f t="shared" si="55"/>
        <v>0</v>
      </c>
      <c r="I3570" s="212" t="s">
        <v>2354</v>
      </c>
    </row>
    <row r="3571" spans="1:9" x14ac:dyDescent="0.25">
      <c r="A3571" s="218" t="s">
        <v>220</v>
      </c>
      <c r="B3571" s="218" t="s">
        <v>5430</v>
      </c>
      <c r="C3571" s="219" t="s">
        <v>6917</v>
      </c>
      <c r="D3571" s="212" t="s">
        <v>6918</v>
      </c>
      <c r="E3571" s="212" t="s">
        <v>545</v>
      </c>
      <c r="F3571" s="213">
        <v>3</v>
      </c>
      <c r="G3571" s="213">
        <v>227.03032999999999</v>
      </c>
      <c r="H3571" s="195">
        <f t="shared" si="55"/>
        <v>681.09098999999992</v>
      </c>
      <c r="I3571" s="212" t="s">
        <v>2354</v>
      </c>
    </row>
    <row r="3572" spans="1:9" x14ac:dyDescent="0.25">
      <c r="A3572" s="218" t="s">
        <v>220</v>
      </c>
      <c r="B3572" s="218" t="s">
        <v>5430</v>
      </c>
      <c r="C3572" s="219" t="s">
        <v>6919</v>
      </c>
      <c r="D3572" s="212" t="s">
        <v>6920</v>
      </c>
      <c r="E3572" s="212" t="s">
        <v>545</v>
      </c>
      <c r="F3572" s="213">
        <v>1</v>
      </c>
      <c r="G3572" s="213">
        <v>124.07850000000001</v>
      </c>
      <c r="H3572" s="195">
        <f t="shared" si="55"/>
        <v>124.07850000000001</v>
      </c>
      <c r="I3572" s="212" t="s">
        <v>2354</v>
      </c>
    </row>
    <row r="3573" spans="1:9" x14ac:dyDescent="0.25">
      <c r="A3573" s="218" t="s">
        <v>220</v>
      </c>
      <c r="B3573" s="218" t="s">
        <v>5430</v>
      </c>
      <c r="C3573" s="219" t="s">
        <v>6921</v>
      </c>
      <c r="D3573" s="212" t="s">
        <v>6922</v>
      </c>
      <c r="E3573" s="212" t="s">
        <v>545</v>
      </c>
      <c r="F3573" s="213">
        <v>1</v>
      </c>
      <c r="G3573" s="213">
        <v>89.900099999999995</v>
      </c>
      <c r="H3573" s="195">
        <f t="shared" si="55"/>
        <v>89.900099999999995</v>
      </c>
      <c r="I3573" s="212" t="s">
        <v>2354</v>
      </c>
    </row>
    <row r="3574" spans="1:9" x14ac:dyDescent="0.25">
      <c r="A3574" s="218" t="s">
        <v>220</v>
      </c>
      <c r="B3574" s="218" t="s">
        <v>5430</v>
      </c>
      <c r="C3574" s="219" t="s">
        <v>6923</v>
      </c>
      <c r="D3574" s="212" t="s">
        <v>6924</v>
      </c>
      <c r="E3574" s="212" t="s">
        <v>545</v>
      </c>
      <c r="F3574" s="213">
        <v>1</v>
      </c>
      <c r="G3574" s="213">
        <v>174.29204333333331</v>
      </c>
      <c r="H3574" s="195">
        <f t="shared" si="55"/>
        <v>174.29204333333331</v>
      </c>
      <c r="I3574" s="212" t="s">
        <v>2354</v>
      </c>
    </row>
    <row r="3575" spans="1:9" x14ac:dyDescent="0.25">
      <c r="A3575" s="218" t="s">
        <v>220</v>
      </c>
      <c r="B3575" s="218" t="s">
        <v>5430</v>
      </c>
      <c r="C3575" s="219" t="s">
        <v>6925</v>
      </c>
      <c r="D3575" s="212" t="s">
        <v>6926</v>
      </c>
      <c r="E3575" s="212" t="s">
        <v>545</v>
      </c>
      <c r="F3575" s="213">
        <v>5</v>
      </c>
      <c r="G3575" s="213">
        <v>113.4</v>
      </c>
      <c r="H3575" s="195">
        <f t="shared" si="55"/>
        <v>567</v>
      </c>
      <c r="I3575" s="212" t="s">
        <v>2354</v>
      </c>
    </row>
    <row r="3576" spans="1:9" x14ac:dyDescent="0.25">
      <c r="A3576" s="218" t="s">
        <v>220</v>
      </c>
      <c r="B3576" s="218" t="s">
        <v>5430</v>
      </c>
      <c r="C3576" s="219" t="s">
        <v>6927</v>
      </c>
      <c r="D3576" s="212" t="s">
        <v>6928</v>
      </c>
      <c r="E3576" s="212" t="s">
        <v>545</v>
      </c>
      <c r="F3576" s="213">
        <v>3</v>
      </c>
      <c r="G3576" s="213">
        <v>284.69270999999998</v>
      </c>
      <c r="H3576" s="195">
        <f t="shared" si="55"/>
        <v>854.07812999999987</v>
      </c>
      <c r="I3576" s="212" t="s">
        <v>2354</v>
      </c>
    </row>
    <row r="3577" spans="1:9" x14ac:dyDescent="0.25">
      <c r="A3577" s="218" t="s">
        <v>220</v>
      </c>
      <c r="B3577" s="218" t="s">
        <v>5430</v>
      </c>
      <c r="C3577" s="219" t="s">
        <v>6929</v>
      </c>
      <c r="D3577" s="212" t="s">
        <v>6930</v>
      </c>
      <c r="E3577" s="212" t="s">
        <v>545</v>
      </c>
      <c r="F3577" s="213">
        <v>3</v>
      </c>
      <c r="G3577" s="213">
        <v>107.42400000000001</v>
      </c>
      <c r="H3577" s="195">
        <f t="shared" si="55"/>
        <v>322.27200000000005</v>
      </c>
      <c r="I3577" s="212" t="s">
        <v>2354</v>
      </c>
    </row>
    <row r="3578" spans="1:9" x14ac:dyDescent="0.25">
      <c r="A3578" s="218" t="s">
        <v>220</v>
      </c>
      <c r="B3578" s="218" t="s">
        <v>5430</v>
      </c>
      <c r="C3578" s="219" t="s">
        <v>6931</v>
      </c>
      <c r="D3578" s="212" t="s">
        <v>6932</v>
      </c>
      <c r="E3578" s="212" t="s">
        <v>545</v>
      </c>
      <c r="F3578" s="213">
        <v>4</v>
      </c>
      <c r="G3578" s="213">
        <v>78.825450000000004</v>
      </c>
      <c r="H3578" s="195">
        <f t="shared" si="55"/>
        <v>315.30180000000001</v>
      </c>
      <c r="I3578" s="212" t="s">
        <v>2354</v>
      </c>
    </row>
    <row r="3579" spans="1:9" x14ac:dyDescent="0.25">
      <c r="A3579" s="218" t="s">
        <v>220</v>
      </c>
      <c r="B3579" s="218" t="s">
        <v>5430</v>
      </c>
      <c r="C3579" s="219" t="s">
        <v>6933</v>
      </c>
      <c r="D3579" s="212" t="s">
        <v>6934</v>
      </c>
      <c r="E3579" s="212" t="s">
        <v>545</v>
      </c>
      <c r="F3579" s="213">
        <v>4</v>
      </c>
      <c r="G3579" s="213">
        <v>274.63414999999998</v>
      </c>
      <c r="H3579" s="195">
        <f t="shared" si="55"/>
        <v>1098.5365999999999</v>
      </c>
      <c r="I3579" s="212" t="s">
        <v>2354</v>
      </c>
    </row>
    <row r="3580" spans="1:9" x14ac:dyDescent="0.25">
      <c r="A3580" s="218" t="s">
        <v>220</v>
      </c>
      <c r="B3580" s="218" t="s">
        <v>5430</v>
      </c>
      <c r="C3580" s="219" t="s">
        <v>6935</v>
      </c>
      <c r="D3580" s="212" t="s">
        <v>6936</v>
      </c>
      <c r="E3580" s="212" t="s">
        <v>545</v>
      </c>
      <c r="F3580" s="213">
        <v>5</v>
      </c>
      <c r="G3580" s="213">
        <v>287.29703000000001</v>
      </c>
      <c r="H3580" s="195">
        <f t="shared" si="55"/>
        <v>1436.48515</v>
      </c>
      <c r="I3580" s="212" t="s">
        <v>2354</v>
      </c>
    </row>
    <row r="3581" spans="1:9" x14ac:dyDescent="0.25">
      <c r="A3581" s="218" t="s">
        <v>220</v>
      </c>
      <c r="B3581" s="218" t="s">
        <v>5430</v>
      </c>
      <c r="C3581" s="219" t="s">
        <v>6937</v>
      </c>
      <c r="D3581" s="212" t="s">
        <v>6938</v>
      </c>
      <c r="E3581" s="212" t="s">
        <v>545</v>
      </c>
      <c r="F3581" s="213">
        <v>6</v>
      </c>
      <c r="G3581" s="213">
        <v>122.715</v>
      </c>
      <c r="H3581" s="195">
        <f t="shared" si="55"/>
        <v>736.29</v>
      </c>
      <c r="I3581" s="212" t="s">
        <v>2354</v>
      </c>
    </row>
    <row r="3582" spans="1:9" x14ac:dyDescent="0.25">
      <c r="A3582" s="218" t="s">
        <v>220</v>
      </c>
      <c r="B3582" s="218" t="s">
        <v>5430</v>
      </c>
      <c r="C3582" s="219" t="s">
        <v>6939</v>
      </c>
      <c r="D3582" s="212" t="s">
        <v>6940</v>
      </c>
      <c r="E3582" s="212" t="s">
        <v>2473</v>
      </c>
      <c r="F3582" s="213">
        <v>4</v>
      </c>
      <c r="G3582" s="213">
        <v>172.71011578947369</v>
      </c>
      <c r="H3582" s="195">
        <f t="shared" si="55"/>
        <v>690.84046315789476</v>
      </c>
      <c r="I3582" s="212" t="s">
        <v>2354</v>
      </c>
    </row>
    <row r="3583" spans="1:9" x14ac:dyDescent="0.25">
      <c r="A3583" s="218" t="s">
        <v>220</v>
      </c>
      <c r="B3583" s="218" t="s">
        <v>5430</v>
      </c>
      <c r="C3583" s="219" t="s">
        <v>6941</v>
      </c>
      <c r="D3583" s="212" t="s">
        <v>6942</v>
      </c>
      <c r="E3583" s="212" t="s">
        <v>545</v>
      </c>
      <c r="F3583" s="213">
        <v>3</v>
      </c>
      <c r="G3583" s="213">
        <v>221.25059999999996</v>
      </c>
      <c r="H3583" s="195">
        <f t="shared" si="55"/>
        <v>663.75179999999989</v>
      </c>
      <c r="I3583" s="212" t="s">
        <v>2354</v>
      </c>
    </row>
    <row r="3584" spans="1:9" x14ac:dyDescent="0.25">
      <c r="A3584" s="218" t="s">
        <v>220</v>
      </c>
      <c r="B3584" s="218" t="s">
        <v>5430</v>
      </c>
      <c r="C3584" s="219" t="s">
        <v>6943</v>
      </c>
      <c r="D3584" s="212" t="s">
        <v>4344</v>
      </c>
      <c r="E3584" s="212" t="s">
        <v>545</v>
      </c>
      <c r="F3584" s="213">
        <v>20</v>
      </c>
      <c r="G3584" s="213">
        <v>1.615</v>
      </c>
      <c r="H3584" s="195">
        <f t="shared" si="55"/>
        <v>32.299999999999997</v>
      </c>
      <c r="I3584" s="212" t="s">
        <v>2354</v>
      </c>
    </row>
    <row r="3585" spans="1:9" x14ac:dyDescent="0.25">
      <c r="A3585" s="218" t="s">
        <v>220</v>
      </c>
      <c r="B3585" s="218" t="s">
        <v>5430</v>
      </c>
      <c r="C3585" s="219" t="s">
        <v>6944</v>
      </c>
      <c r="D3585" s="212" t="s">
        <v>6945</v>
      </c>
      <c r="E3585" s="212" t="s">
        <v>545</v>
      </c>
      <c r="F3585" s="213">
        <v>1</v>
      </c>
      <c r="G3585" s="213">
        <v>0</v>
      </c>
      <c r="H3585" s="195">
        <f t="shared" si="55"/>
        <v>0</v>
      </c>
      <c r="I3585" s="212" t="s">
        <v>2354</v>
      </c>
    </row>
    <row r="3586" spans="1:9" x14ac:dyDescent="0.25">
      <c r="A3586" s="218" t="s">
        <v>220</v>
      </c>
      <c r="B3586" s="218" t="s">
        <v>5430</v>
      </c>
      <c r="C3586" s="219" t="s">
        <v>6946</v>
      </c>
      <c r="D3586" s="212" t="s">
        <v>6947</v>
      </c>
      <c r="E3586" s="212" t="s">
        <v>545</v>
      </c>
      <c r="F3586" s="213">
        <v>1</v>
      </c>
      <c r="G3586" s="213">
        <v>0</v>
      </c>
      <c r="H3586" s="195">
        <f t="shared" si="55"/>
        <v>0</v>
      </c>
      <c r="I3586" s="212" t="s">
        <v>2354</v>
      </c>
    </row>
    <row r="3587" spans="1:9" x14ac:dyDescent="0.25">
      <c r="A3587" s="218" t="s">
        <v>220</v>
      </c>
      <c r="B3587" s="218" t="s">
        <v>5430</v>
      </c>
      <c r="C3587" s="219" t="s">
        <v>6948</v>
      </c>
      <c r="D3587" s="212" t="s">
        <v>6949</v>
      </c>
      <c r="E3587" s="212" t="s">
        <v>545</v>
      </c>
      <c r="F3587" s="213">
        <v>1</v>
      </c>
      <c r="G3587" s="213">
        <v>0</v>
      </c>
      <c r="H3587" s="195">
        <f t="shared" si="55"/>
        <v>0</v>
      </c>
      <c r="I3587" s="212" t="s">
        <v>2354</v>
      </c>
    </row>
    <row r="3588" spans="1:9" x14ac:dyDescent="0.25">
      <c r="A3588" s="218" t="s">
        <v>220</v>
      </c>
      <c r="B3588" s="218" t="s">
        <v>5430</v>
      </c>
      <c r="C3588" s="219" t="s">
        <v>6950</v>
      </c>
      <c r="D3588" s="212" t="s">
        <v>6951</v>
      </c>
      <c r="E3588" s="212" t="s">
        <v>545</v>
      </c>
      <c r="F3588" s="213">
        <v>1</v>
      </c>
      <c r="G3588" s="213">
        <v>0</v>
      </c>
      <c r="H3588" s="195">
        <f t="shared" si="55"/>
        <v>0</v>
      </c>
      <c r="I3588" s="212" t="s">
        <v>2354</v>
      </c>
    </row>
    <row r="3589" spans="1:9" x14ac:dyDescent="0.25">
      <c r="A3589" s="218" t="s">
        <v>220</v>
      </c>
      <c r="B3589" s="218" t="s">
        <v>5430</v>
      </c>
      <c r="C3589" s="219" t="s">
        <v>6952</v>
      </c>
      <c r="D3589" s="212" t="s">
        <v>6953</v>
      </c>
      <c r="E3589" s="212" t="s">
        <v>545</v>
      </c>
      <c r="F3589" s="213">
        <v>7</v>
      </c>
      <c r="G3589" s="213">
        <v>0</v>
      </c>
      <c r="H3589" s="195">
        <f t="shared" ref="H3589:H3652" si="56">+F3589*G3589</f>
        <v>0</v>
      </c>
      <c r="I3589" s="212" t="s">
        <v>2354</v>
      </c>
    </row>
    <row r="3590" spans="1:9" x14ac:dyDescent="0.25">
      <c r="A3590" s="218" t="s">
        <v>220</v>
      </c>
      <c r="B3590" s="218" t="s">
        <v>5430</v>
      </c>
      <c r="C3590" s="219" t="s">
        <v>4355</v>
      </c>
      <c r="D3590" s="212" t="s">
        <v>4356</v>
      </c>
      <c r="E3590" s="212" t="s">
        <v>545</v>
      </c>
      <c r="F3590" s="213">
        <v>4</v>
      </c>
      <c r="G3590" s="213">
        <v>3.8250000000000002</v>
      </c>
      <c r="H3590" s="195">
        <f t="shared" si="56"/>
        <v>15.3</v>
      </c>
      <c r="I3590" s="212" t="s">
        <v>2354</v>
      </c>
    </row>
    <row r="3591" spans="1:9" x14ac:dyDescent="0.25">
      <c r="A3591" s="218" t="s">
        <v>220</v>
      </c>
      <c r="B3591" s="218" t="s">
        <v>5430</v>
      </c>
      <c r="C3591" s="219" t="s">
        <v>6954</v>
      </c>
      <c r="D3591" s="212" t="s">
        <v>6955</v>
      </c>
      <c r="E3591" s="212" t="s">
        <v>545</v>
      </c>
      <c r="F3591" s="213">
        <v>10</v>
      </c>
      <c r="G3591" s="213">
        <v>2.7233999999999998</v>
      </c>
      <c r="H3591" s="195">
        <f t="shared" si="56"/>
        <v>27.233999999999998</v>
      </c>
      <c r="I3591" s="212" t="s">
        <v>2354</v>
      </c>
    </row>
    <row r="3592" spans="1:9" x14ac:dyDescent="0.25">
      <c r="A3592" s="218" t="s">
        <v>220</v>
      </c>
      <c r="B3592" s="218" t="s">
        <v>5430</v>
      </c>
      <c r="C3592" s="219" t="s">
        <v>4371</v>
      </c>
      <c r="D3592" s="212" t="s">
        <v>4372</v>
      </c>
      <c r="E3592" s="212" t="s">
        <v>545</v>
      </c>
      <c r="F3592" s="213">
        <v>56</v>
      </c>
      <c r="G3592" s="213">
        <v>2.15</v>
      </c>
      <c r="H3592" s="195">
        <f t="shared" si="56"/>
        <v>120.39999999999999</v>
      </c>
      <c r="I3592" s="212" t="s">
        <v>2354</v>
      </c>
    </row>
    <row r="3593" spans="1:9" x14ac:dyDescent="0.25">
      <c r="A3593" s="218" t="s">
        <v>220</v>
      </c>
      <c r="B3593" s="218" t="s">
        <v>5430</v>
      </c>
      <c r="C3593" s="219" t="s">
        <v>6956</v>
      </c>
      <c r="D3593" s="212" t="s">
        <v>4376</v>
      </c>
      <c r="E3593" s="212" t="s">
        <v>545</v>
      </c>
      <c r="F3593" s="213">
        <v>1</v>
      </c>
      <c r="G3593" s="213">
        <v>0.66420000000000001</v>
      </c>
      <c r="H3593" s="195">
        <f t="shared" si="56"/>
        <v>0.66420000000000001</v>
      </c>
      <c r="I3593" s="212" t="s">
        <v>2354</v>
      </c>
    </row>
    <row r="3594" spans="1:9" x14ac:dyDescent="0.25">
      <c r="A3594" s="218" t="s">
        <v>220</v>
      </c>
      <c r="B3594" s="218" t="s">
        <v>5430</v>
      </c>
      <c r="C3594" s="219" t="s">
        <v>6957</v>
      </c>
      <c r="D3594" s="212" t="s">
        <v>6958</v>
      </c>
      <c r="E3594" s="212" t="s">
        <v>545</v>
      </c>
      <c r="F3594" s="213">
        <v>2</v>
      </c>
      <c r="G3594" s="213">
        <v>2.8313999999999999</v>
      </c>
      <c r="H3594" s="195">
        <f t="shared" si="56"/>
        <v>5.6627999999999998</v>
      </c>
      <c r="I3594" s="212" t="s">
        <v>2354</v>
      </c>
    </row>
    <row r="3595" spans="1:9" x14ac:dyDescent="0.25">
      <c r="A3595" s="218" t="s">
        <v>220</v>
      </c>
      <c r="B3595" s="218" t="s">
        <v>5430</v>
      </c>
      <c r="C3595" s="219" t="s">
        <v>6959</v>
      </c>
      <c r="D3595" s="212" t="s">
        <v>6960</v>
      </c>
      <c r="E3595" s="212" t="s">
        <v>545</v>
      </c>
      <c r="F3595" s="213">
        <v>25</v>
      </c>
      <c r="G3595" s="213">
        <v>2.8313999999999999</v>
      </c>
      <c r="H3595" s="195">
        <f t="shared" si="56"/>
        <v>70.784999999999997</v>
      </c>
      <c r="I3595" s="212" t="s">
        <v>2354</v>
      </c>
    </row>
    <row r="3596" spans="1:9" x14ac:dyDescent="0.25">
      <c r="A3596" s="218" t="s">
        <v>220</v>
      </c>
      <c r="B3596" s="218" t="s">
        <v>5430</v>
      </c>
      <c r="C3596" s="219" t="s">
        <v>6961</v>
      </c>
      <c r="D3596" s="212" t="s">
        <v>6962</v>
      </c>
      <c r="E3596" s="212" t="s">
        <v>545</v>
      </c>
      <c r="F3596" s="213">
        <v>1</v>
      </c>
      <c r="G3596" s="213">
        <v>17.213999999999999</v>
      </c>
      <c r="H3596" s="195">
        <f t="shared" si="56"/>
        <v>17.213999999999999</v>
      </c>
      <c r="I3596" s="212" t="s">
        <v>2354</v>
      </c>
    </row>
    <row r="3597" spans="1:9" x14ac:dyDescent="0.25">
      <c r="A3597" s="218" t="s">
        <v>220</v>
      </c>
      <c r="B3597" s="218" t="s">
        <v>5430</v>
      </c>
      <c r="C3597" s="219" t="s">
        <v>4381</v>
      </c>
      <c r="D3597" s="212" t="s">
        <v>4382</v>
      </c>
      <c r="E3597" s="212" t="s">
        <v>545</v>
      </c>
      <c r="F3597" s="213">
        <v>2</v>
      </c>
      <c r="G3597" s="213">
        <v>11.684100000000001</v>
      </c>
      <c r="H3597" s="195">
        <f t="shared" si="56"/>
        <v>23.368200000000002</v>
      </c>
      <c r="I3597" s="212" t="s">
        <v>2354</v>
      </c>
    </row>
    <row r="3598" spans="1:9" x14ac:dyDescent="0.25">
      <c r="A3598" s="218" t="s">
        <v>220</v>
      </c>
      <c r="B3598" s="218" t="s">
        <v>5430</v>
      </c>
      <c r="C3598" s="219" t="s">
        <v>4391</v>
      </c>
      <c r="D3598" s="212" t="s">
        <v>4392</v>
      </c>
      <c r="E3598" s="212" t="s">
        <v>545</v>
      </c>
      <c r="F3598" s="213">
        <v>4</v>
      </c>
      <c r="G3598" s="213">
        <v>104.83199999999999</v>
      </c>
      <c r="H3598" s="195">
        <f t="shared" si="56"/>
        <v>419.32799999999997</v>
      </c>
      <c r="I3598" s="212" t="s">
        <v>2354</v>
      </c>
    </row>
    <row r="3599" spans="1:9" x14ac:dyDescent="0.25">
      <c r="A3599" s="218" t="s">
        <v>220</v>
      </c>
      <c r="B3599" s="218" t="s">
        <v>5430</v>
      </c>
      <c r="C3599" s="219" t="s">
        <v>4397</v>
      </c>
      <c r="D3599" s="212" t="s">
        <v>4398</v>
      </c>
      <c r="E3599" s="212" t="s">
        <v>545</v>
      </c>
      <c r="F3599" s="213">
        <v>3</v>
      </c>
      <c r="G3599" s="213">
        <v>10.78735</v>
      </c>
      <c r="H3599" s="195">
        <f t="shared" si="56"/>
        <v>32.362049999999996</v>
      </c>
      <c r="I3599" s="212" t="s">
        <v>2354</v>
      </c>
    </row>
    <row r="3600" spans="1:9" x14ac:dyDescent="0.25">
      <c r="A3600" s="218" t="s">
        <v>220</v>
      </c>
      <c r="B3600" s="218" t="s">
        <v>5430</v>
      </c>
      <c r="C3600" s="219" t="s">
        <v>4401</v>
      </c>
      <c r="D3600" s="212" t="s">
        <v>4402</v>
      </c>
      <c r="E3600" s="212" t="s">
        <v>545</v>
      </c>
      <c r="F3600" s="213">
        <v>2</v>
      </c>
      <c r="G3600" s="213">
        <v>36</v>
      </c>
      <c r="H3600" s="195">
        <f t="shared" si="56"/>
        <v>72</v>
      </c>
      <c r="I3600" s="212" t="s">
        <v>2354</v>
      </c>
    </row>
    <row r="3601" spans="1:9" x14ac:dyDescent="0.25">
      <c r="A3601" s="218" t="s">
        <v>220</v>
      </c>
      <c r="B3601" s="218" t="s">
        <v>5430</v>
      </c>
      <c r="C3601" s="219" t="s">
        <v>4403</v>
      </c>
      <c r="D3601" s="212" t="s">
        <v>4404</v>
      </c>
      <c r="E3601" s="212" t="s">
        <v>545</v>
      </c>
      <c r="F3601" s="213">
        <v>5</v>
      </c>
      <c r="G3601" s="213">
        <v>0.91877982456140361</v>
      </c>
      <c r="H3601" s="195">
        <f t="shared" si="56"/>
        <v>4.5938991228070183</v>
      </c>
      <c r="I3601" s="212" t="s">
        <v>2354</v>
      </c>
    </row>
    <row r="3602" spans="1:9" x14ac:dyDescent="0.25">
      <c r="A3602" s="218" t="s">
        <v>220</v>
      </c>
      <c r="B3602" s="218" t="s">
        <v>5430</v>
      </c>
      <c r="C3602" s="219" t="s">
        <v>6963</v>
      </c>
      <c r="D3602" s="212" t="s">
        <v>6964</v>
      </c>
      <c r="E3602" s="212" t="s">
        <v>545</v>
      </c>
      <c r="F3602" s="213">
        <v>1</v>
      </c>
      <c r="G3602" s="213">
        <v>6.1582499999999998</v>
      </c>
      <c r="H3602" s="195">
        <f t="shared" si="56"/>
        <v>6.1582499999999998</v>
      </c>
      <c r="I3602" s="212" t="s">
        <v>2354</v>
      </c>
    </row>
    <row r="3603" spans="1:9" x14ac:dyDescent="0.25">
      <c r="A3603" s="218" t="s">
        <v>220</v>
      </c>
      <c r="B3603" s="218" t="s">
        <v>5430</v>
      </c>
      <c r="C3603" s="219" t="s">
        <v>5410</v>
      </c>
      <c r="D3603" s="212" t="s">
        <v>5411</v>
      </c>
      <c r="E3603" s="212" t="s">
        <v>545</v>
      </c>
      <c r="F3603" s="213">
        <v>4</v>
      </c>
      <c r="G3603" s="213">
        <v>0</v>
      </c>
      <c r="H3603" s="195">
        <f t="shared" si="56"/>
        <v>0</v>
      </c>
      <c r="I3603" s="212" t="s">
        <v>2354</v>
      </c>
    </row>
    <row r="3604" spans="1:9" x14ac:dyDescent="0.25">
      <c r="A3604" s="218" t="s">
        <v>220</v>
      </c>
      <c r="B3604" s="218" t="s">
        <v>5430</v>
      </c>
      <c r="C3604" s="219" t="s">
        <v>4407</v>
      </c>
      <c r="D3604" s="212" t="s">
        <v>4408</v>
      </c>
      <c r="E3604" s="212" t="s">
        <v>545</v>
      </c>
      <c r="F3604" s="213">
        <v>2</v>
      </c>
      <c r="G3604" s="213">
        <v>45.45</v>
      </c>
      <c r="H3604" s="195">
        <f t="shared" si="56"/>
        <v>90.9</v>
      </c>
      <c r="I3604" s="212" t="s">
        <v>2354</v>
      </c>
    </row>
    <row r="3605" spans="1:9" x14ac:dyDescent="0.25">
      <c r="A3605" s="218" t="s">
        <v>220</v>
      </c>
      <c r="B3605" s="218" t="s">
        <v>5430</v>
      </c>
      <c r="C3605" s="219" t="s">
        <v>4415</v>
      </c>
      <c r="D3605" s="212" t="s">
        <v>4416</v>
      </c>
      <c r="E3605" s="212" t="s">
        <v>545</v>
      </c>
      <c r="F3605" s="213">
        <v>3</v>
      </c>
      <c r="G3605" s="213">
        <v>2.3380714285714284</v>
      </c>
      <c r="H3605" s="195">
        <f t="shared" si="56"/>
        <v>7.0142142857142851</v>
      </c>
      <c r="I3605" s="212" t="s">
        <v>2354</v>
      </c>
    </row>
    <row r="3606" spans="1:9" x14ac:dyDescent="0.25">
      <c r="A3606" s="218" t="s">
        <v>220</v>
      </c>
      <c r="B3606" s="218" t="s">
        <v>5430</v>
      </c>
      <c r="C3606" s="219" t="s">
        <v>6965</v>
      </c>
      <c r="D3606" s="212" t="s">
        <v>6966</v>
      </c>
      <c r="E3606" s="212" t="s">
        <v>545</v>
      </c>
      <c r="F3606" s="213">
        <v>2</v>
      </c>
      <c r="G3606" s="213">
        <v>0</v>
      </c>
      <c r="H3606" s="195">
        <f t="shared" si="56"/>
        <v>0</v>
      </c>
      <c r="I3606" s="212" t="s">
        <v>2354</v>
      </c>
    </row>
    <row r="3607" spans="1:9" x14ac:dyDescent="0.25">
      <c r="A3607" s="218" t="s">
        <v>220</v>
      </c>
      <c r="B3607" s="218" t="s">
        <v>5430</v>
      </c>
      <c r="C3607" s="219" t="s">
        <v>6967</v>
      </c>
      <c r="D3607" s="212" t="s">
        <v>6968</v>
      </c>
      <c r="E3607" s="212" t="s">
        <v>545</v>
      </c>
      <c r="F3607" s="213">
        <v>1</v>
      </c>
      <c r="G3607" s="213">
        <v>0</v>
      </c>
      <c r="H3607" s="195">
        <f t="shared" si="56"/>
        <v>0</v>
      </c>
      <c r="I3607" s="212" t="s">
        <v>2354</v>
      </c>
    </row>
    <row r="3608" spans="1:9" x14ac:dyDescent="0.25">
      <c r="A3608" s="218" t="s">
        <v>220</v>
      </c>
      <c r="B3608" s="218" t="s">
        <v>5430</v>
      </c>
      <c r="C3608" s="219" t="s">
        <v>6969</v>
      </c>
      <c r="D3608" s="212" t="s">
        <v>6970</v>
      </c>
      <c r="E3608" s="212" t="s">
        <v>545</v>
      </c>
      <c r="F3608" s="213">
        <v>10</v>
      </c>
      <c r="G3608" s="213">
        <v>0</v>
      </c>
      <c r="H3608" s="195">
        <f t="shared" si="56"/>
        <v>0</v>
      </c>
      <c r="I3608" s="212" t="s">
        <v>2354</v>
      </c>
    </row>
    <row r="3609" spans="1:9" x14ac:dyDescent="0.25">
      <c r="A3609" s="218" t="s">
        <v>220</v>
      </c>
      <c r="B3609" s="218" t="s">
        <v>5430</v>
      </c>
      <c r="C3609" s="219" t="s">
        <v>6971</v>
      </c>
      <c r="D3609" s="212" t="s">
        <v>4427</v>
      </c>
      <c r="E3609" s="212" t="s">
        <v>545</v>
      </c>
      <c r="F3609" s="213">
        <v>22</v>
      </c>
      <c r="G3609" s="213">
        <v>7.021221052631577</v>
      </c>
      <c r="H3609" s="195">
        <f t="shared" si="56"/>
        <v>154.46686315789469</v>
      </c>
      <c r="I3609" s="212" t="s">
        <v>2354</v>
      </c>
    </row>
    <row r="3610" spans="1:9" x14ac:dyDescent="0.25">
      <c r="A3610" s="218" t="s">
        <v>220</v>
      </c>
      <c r="B3610" s="218" t="s">
        <v>5430</v>
      </c>
      <c r="C3610" s="219" t="s">
        <v>6972</v>
      </c>
      <c r="D3610" s="212" t="s">
        <v>6973</v>
      </c>
      <c r="E3610" s="212" t="s">
        <v>545</v>
      </c>
      <c r="F3610" s="213">
        <v>4</v>
      </c>
      <c r="G3610" s="213">
        <v>1.1025</v>
      </c>
      <c r="H3610" s="195">
        <f t="shared" si="56"/>
        <v>4.41</v>
      </c>
      <c r="I3610" s="212" t="s">
        <v>2354</v>
      </c>
    </row>
    <row r="3611" spans="1:9" x14ac:dyDescent="0.25">
      <c r="A3611" s="218" t="s">
        <v>220</v>
      </c>
      <c r="B3611" s="218" t="s">
        <v>5430</v>
      </c>
      <c r="C3611" s="219" t="s">
        <v>4434</v>
      </c>
      <c r="D3611" s="212" t="s">
        <v>4435</v>
      </c>
      <c r="E3611" s="212" t="s">
        <v>545</v>
      </c>
      <c r="F3611" s="213">
        <v>1</v>
      </c>
      <c r="G3611" s="213">
        <v>49.5</v>
      </c>
      <c r="H3611" s="195">
        <f t="shared" si="56"/>
        <v>49.5</v>
      </c>
      <c r="I3611" s="212" t="s">
        <v>2354</v>
      </c>
    </row>
    <row r="3612" spans="1:9" x14ac:dyDescent="0.25">
      <c r="A3612" s="218" t="s">
        <v>220</v>
      </c>
      <c r="B3612" s="218" t="s">
        <v>5430</v>
      </c>
      <c r="C3612" s="219" t="s">
        <v>6974</v>
      </c>
      <c r="D3612" s="212" t="s">
        <v>4437</v>
      </c>
      <c r="E3612" s="212" t="s">
        <v>2387</v>
      </c>
      <c r="F3612" s="213">
        <v>1</v>
      </c>
      <c r="G3612" s="213">
        <v>20.257575757575758</v>
      </c>
      <c r="H3612" s="195">
        <f t="shared" si="56"/>
        <v>20.257575757575758</v>
      </c>
      <c r="I3612" s="212" t="s">
        <v>2354</v>
      </c>
    </row>
    <row r="3613" spans="1:9" x14ac:dyDescent="0.25">
      <c r="A3613" s="218" t="s">
        <v>220</v>
      </c>
      <c r="B3613" s="218" t="s">
        <v>5430</v>
      </c>
      <c r="C3613" s="219" t="s">
        <v>6975</v>
      </c>
      <c r="D3613" s="212" t="s">
        <v>6976</v>
      </c>
      <c r="E3613" s="212" t="s">
        <v>545</v>
      </c>
      <c r="F3613" s="213">
        <v>1</v>
      </c>
      <c r="G3613" s="213">
        <v>157.45500000000001</v>
      </c>
      <c r="H3613" s="195">
        <f t="shared" si="56"/>
        <v>157.45500000000001</v>
      </c>
      <c r="I3613" s="212" t="s">
        <v>2354</v>
      </c>
    </row>
    <row r="3614" spans="1:9" x14ac:dyDescent="0.25">
      <c r="A3614" s="218" t="s">
        <v>220</v>
      </c>
      <c r="B3614" s="218" t="s">
        <v>5430</v>
      </c>
      <c r="C3614" s="219" t="s">
        <v>6977</v>
      </c>
      <c r="D3614" s="212" t="s">
        <v>6978</v>
      </c>
      <c r="E3614" s="212" t="s">
        <v>545</v>
      </c>
      <c r="F3614" s="213">
        <v>1</v>
      </c>
      <c r="G3614" s="213">
        <v>6.806</v>
      </c>
      <c r="H3614" s="195">
        <f t="shared" si="56"/>
        <v>6.806</v>
      </c>
      <c r="I3614" s="212" t="s">
        <v>2354</v>
      </c>
    </row>
    <row r="3615" spans="1:9" x14ac:dyDescent="0.25">
      <c r="A3615" s="218" t="s">
        <v>220</v>
      </c>
      <c r="B3615" s="218" t="s">
        <v>5430</v>
      </c>
      <c r="C3615" s="219" t="s">
        <v>6979</v>
      </c>
      <c r="D3615" s="212" t="s">
        <v>6980</v>
      </c>
      <c r="E3615" s="212" t="s">
        <v>545</v>
      </c>
      <c r="F3615" s="213">
        <v>2</v>
      </c>
      <c r="G3615" s="213">
        <v>171</v>
      </c>
      <c r="H3615" s="195">
        <f t="shared" si="56"/>
        <v>342</v>
      </c>
      <c r="I3615" s="212" t="s">
        <v>2354</v>
      </c>
    </row>
    <row r="3616" spans="1:9" x14ac:dyDescent="0.25">
      <c r="A3616" s="218" t="s">
        <v>220</v>
      </c>
      <c r="B3616" s="218" t="s">
        <v>5430</v>
      </c>
      <c r="C3616" s="219" t="s">
        <v>6981</v>
      </c>
      <c r="D3616" s="212" t="s">
        <v>6982</v>
      </c>
      <c r="E3616" s="212" t="s">
        <v>545</v>
      </c>
      <c r="F3616" s="213">
        <v>2</v>
      </c>
      <c r="G3616" s="213">
        <v>133.6387</v>
      </c>
      <c r="H3616" s="195">
        <f t="shared" si="56"/>
        <v>267.2774</v>
      </c>
      <c r="I3616" s="212" t="s">
        <v>2354</v>
      </c>
    </row>
    <row r="3617" spans="1:9" x14ac:dyDescent="0.25">
      <c r="A3617" s="218" t="s">
        <v>220</v>
      </c>
      <c r="B3617" s="218" t="s">
        <v>5430</v>
      </c>
      <c r="C3617" s="219" t="s">
        <v>6983</v>
      </c>
      <c r="D3617" s="212" t="s">
        <v>6984</v>
      </c>
      <c r="E3617" s="212" t="s">
        <v>545</v>
      </c>
      <c r="F3617" s="213">
        <v>10</v>
      </c>
      <c r="G3617" s="213">
        <v>124.97295</v>
      </c>
      <c r="H3617" s="195">
        <f t="shared" si="56"/>
        <v>1249.7294999999999</v>
      </c>
      <c r="I3617" s="212" t="s">
        <v>2354</v>
      </c>
    </row>
    <row r="3618" spans="1:9" x14ac:dyDescent="0.25">
      <c r="A3618" s="218" t="s">
        <v>220</v>
      </c>
      <c r="B3618" s="218" t="s">
        <v>5430</v>
      </c>
      <c r="C3618" s="219" t="s">
        <v>4442</v>
      </c>
      <c r="D3618" s="212" t="s">
        <v>4443</v>
      </c>
      <c r="E3618" s="212" t="s">
        <v>545</v>
      </c>
      <c r="F3618" s="213">
        <v>2</v>
      </c>
      <c r="G3618" s="221">
        <v>0.23452000000000001</v>
      </c>
      <c r="H3618" s="222">
        <f t="shared" si="56"/>
        <v>0.46904000000000001</v>
      </c>
      <c r="I3618" s="212" t="s">
        <v>2354</v>
      </c>
    </row>
    <row r="3619" spans="1:9" x14ac:dyDescent="0.25">
      <c r="A3619" s="218" t="s">
        <v>220</v>
      </c>
      <c r="B3619" s="218" t="s">
        <v>5430</v>
      </c>
      <c r="C3619" s="219" t="s">
        <v>4444</v>
      </c>
      <c r="D3619" s="212" t="s">
        <v>4445</v>
      </c>
      <c r="E3619" s="212" t="s">
        <v>545</v>
      </c>
      <c r="F3619" s="213">
        <v>7</v>
      </c>
      <c r="G3619" s="213">
        <v>0.252</v>
      </c>
      <c r="H3619" s="195">
        <f t="shared" si="56"/>
        <v>1.764</v>
      </c>
      <c r="I3619" s="212" t="s">
        <v>2354</v>
      </c>
    </row>
    <row r="3620" spans="1:9" x14ac:dyDescent="0.25">
      <c r="A3620" s="218" t="s">
        <v>220</v>
      </c>
      <c r="B3620" s="218" t="s">
        <v>5430</v>
      </c>
      <c r="C3620" s="219" t="s">
        <v>6985</v>
      </c>
      <c r="D3620" s="212" t="s">
        <v>4447</v>
      </c>
      <c r="E3620" s="212" t="s">
        <v>545</v>
      </c>
      <c r="F3620" s="213">
        <v>3</v>
      </c>
      <c r="G3620" s="213">
        <v>0.37309999999999999</v>
      </c>
      <c r="H3620" s="195">
        <f t="shared" si="56"/>
        <v>1.1193</v>
      </c>
      <c r="I3620" s="212" t="s">
        <v>2354</v>
      </c>
    </row>
    <row r="3621" spans="1:9" x14ac:dyDescent="0.25">
      <c r="A3621" s="218" t="s">
        <v>220</v>
      </c>
      <c r="B3621" s="218" t="s">
        <v>5430</v>
      </c>
      <c r="C3621" s="219" t="s">
        <v>6986</v>
      </c>
      <c r="D3621" s="212" t="s">
        <v>6987</v>
      </c>
      <c r="E3621" s="212" t="s">
        <v>545</v>
      </c>
      <c r="F3621" s="213">
        <v>3</v>
      </c>
      <c r="G3621" s="213">
        <v>0.4128</v>
      </c>
      <c r="H3621" s="195">
        <f t="shared" si="56"/>
        <v>1.2383999999999999</v>
      </c>
      <c r="I3621" s="212" t="s">
        <v>2354</v>
      </c>
    </row>
    <row r="3622" spans="1:9" x14ac:dyDescent="0.25">
      <c r="A3622" s="218" t="s">
        <v>220</v>
      </c>
      <c r="B3622" s="218" t="s">
        <v>5430</v>
      </c>
      <c r="C3622" s="219" t="s">
        <v>4464</v>
      </c>
      <c r="D3622" s="212" t="s">
        <v>4465</v>
      </c>
      <c r="E3622" s="212" t="s">
        <v>545</v>
      </c>
      <c r="F3622" s="213">
        <v>300</v>
      </c>
      <c r="G3622" s="213">
        <v>6.3960000000000003E-2</v>
      </c>
      <c r="H3622" s="195">
        <f t="shared" si="56"/>
        <v>19.188000000000002</v>
      </c>
      <c r="I3622" s="212" t="s">
        <v>2354</v>
      </c>
    </row>
    <row r="3623" spans="1:9" x14ac:dyDescent="0.25">
      <c r="A3623" s="218" t="s">
        <v>220</v>
      </c>
      <c r="B3623" s="218" t="s">
        <v>5430</v>
      </c>
      <c r="C3623" s="219" t="s">
        <v>4490</v>
      </c>
      <c r="D3623" s="212" t="s">
        <v>4491</v>
      </c>
      <c r="E3623" s="212" t="s">
        <v>545</v>
      </c>
      <c r="F3623" s="213">
        <v>29</v>
      </c>
      <c r="G3623" s="213">
        <v>0.75768000000000002</v>
      </c>
      <c r="H3623" s="195">
        <f t="shared" si="56"/>
        <v>21.972719999999999</v>
      </c>
      <c r="I3623" s="212" t="s">
        <v>2354</v>
      </c>
    </row>
    <row r="3624" spans="1:9" x14ac:dyDescent="0.25">
      <c r="A3624" s="218" t="s">
        <v>220</v>
      </c>
      <c r="B3624" s="218" t="s">
        <v>5430</v>
      </c>
      <c r="C3624" s="219" t="s">
        <v>4492</v>
      </c>
      <c r="D3624" s="212" t="s">
        <v>4493</v>
      </c>
      <c r="E3624" s="212" t="s">
        <v>545</v>
      </c>
      <c r="F3624" s="213">
        <v>1</v>
      </c>
      <c r="G3624" s="213">
        <v>12.4</v>
      </c>
      <c r="H3624" s="195">
        <f t="shared" si="56"/>
        <v>12.4</v>
      </c>
      <c r="I3624" s="212" t="s">
        <v>2354</v>
      </c>
    </row>
    <row r="3625" spans="1:9" x14ac:dyDescent="0.25">
      <c r="A3625" s="218" t="s">
        <v>220</v>
      </c>
      <c r="B3625" s="218" t="s">
        <v>5430</v>
      </c>
      <c r="C3625" s="219" t="s">
        <v>4494</v>
      </c>
      <c r="D3625" s="212" t="s">
        <v>4495</v>
      </c>
      <c r="E3625" s="212" t="s">
        <v>545</v>
      </c>
      <c r="F3625" s="213">
        <v>15</v>
      </c>
      <c r="G3625" s="213">
        <v>12.4</v>
      </c>
      <c r="H3625" s="195">
        <f t="shared" si="56"/>
        <v>186</v>
      </c>
      <c r="I3625" s="212" t="s">
        <v>2354</v>
      </c>
    </row>
    <row r="3626" spans="1:9" x14ac:dyDescent="0.25">
      <c r="A3626" s="218" t="s">
        <v>220</v>
      </c>
      <c r="B3626" s="218" t="s">
        <v>5430</v>
      </c>
      <c r="C3626" s="219" t="s">
        <v>6988</v>
      </c>
      <c r="D3626" s="212" t="s">
        <v>6989</v>
      </c>
      <c r="E3626" s="212" t="s">
        <v>545</v>
      </c>
      <c r="F3626" s="213">
        <v>3</v>
      </c>
      <c r="G3626" s="213">
        <v>10.03888888888889</v>
      </c>
      <c r="H3626" s="195">
        <f t="shared" si="56"/>
        <v>30.116666666666667</v>
      </c>
      <c r="I3626" s="212" t="s">
        <v>2354</v>
      </c>
    </row>
    <row r="3627" spans="1:9" x14ac:dyDescent="0.25">
      <c r="A3627" s="218" t="s">
        <v>220</v>
      </c>
      <c r="B3627" s="218" t="s">
        <v>5430</v>
      </c>
      <c r="C3627" s="219" t="s">
        <v>6990</v>
      </c>
      <c r="D3627" s="212" t="s">
        <v>6991</v>
      </c>
      <c r="E3627" s="212" t="s">
        <v>545</v>
      </c>
      <c r="F3627" s="213">
        <v>1</v>
      </c>
      <c r="G3627" s="213">
        <v>32.340000000000003</v>
      </c>
      <c r="H3627" s="195">
        <f t="shared" si="56"/>
        <v>32.340000000000003</v>
      </c>
      <c r="I3627" s="212" t="s">
        <v>2354</v>
      </c>
    </row>
    <row r="3628" spans="1:9" x14ac:dyDescent="0.25">
      <c r="A3628" s="218" t="s">
        <v>220</v>
      </c>
      <c r="B3628" s="218" t="s">
        <v>5430</v>
      </c>
      <c r="C3628" s="219" t="s">
        <v>6992</v>
      </c>
      <c r="D3628" s="212" t="s">
        <v>6993</v>
      </c>
      <c r="E3628" s="212" t="s">
        <v>545</v>
      </c>
      <c r="F3628" s="213">
        <v>10</v>
      </c>
      <c r="G3628" s="213">
        <v>0</v>
      </c>
      <c r="H3628" s="195">
        <f t="shared" si="56"/>
        <v>0</v>
      </c>
      <c r="I3628" s="212" t="s">
        <v>2354</v>
      </c>
    </row>
    <row r="3629" spans="1:9" x14ac:dyDescent="0.25">
      <c r="A3629" s="218" t="s">
        <v>220</v>
      </c>
      <c r="B3629" s="218" t="s">
        <v>5430</v>
      </c>
      <c r="C3629" s="219" t="s">
        <v>4508</v>
      </c>
      <c r="D3629" s="212" t="s">
        <v>4509</v>
      </c>
      <c r="E3629" s="212" t="s">
        <v>2387</v>
      </c>
      <c r="F3629" s="213">
        <v>10</v>
      </c>
      <c r="G3629" s="213">
        <v>18.416368421052635</v>
      </c>
      <c r="H3629" s="195">
        <f t="shared" si="56"/>
        <v>184.16368421052636</v>
      </c>
      <c r="I3629" s="212" t="s">
        <v>2354</v>
      </c>
    </row>
    <row r="3630" spans="1:9" x14ac:dyDescent="0.25">
      <c r="A3630" s="218" t="s">
        <v>220</v>
      </c>
      <c r="B3630" s="218" t="s">
        <v>5430</v>
      </c>
      <c r="C3630" s="219" t="s">
        <v>6994</v>
      </c>
      <c r="D3630" s="212" t="s">
        <v>6995</v>
      </c>
      <c r="E3630" s="212" t="s">
        <v>545</v>
      </c>
      <c r="F3630" s="213">
        <v>1</v>
      </c>
      <c r="G3630" s="213">
        <v>86.95</v>
      </c>
      <c r="H3630" s="195">
        <f t="shared" si="56"/>
        <v>86.95</v>
      </c>
      <c r="I3630" s="212" t="s">
        <v>2354</v>
      </c>
    </row>
    <row r="3631" spans="1:9" x14ac:dyDescent="0.25">
      <c r="A3631" s="218" t="s">
        <v>220</v>
      </c>
      <c r="B3631" s="218" t="s">
        <v>5430</v>
      </c>
      <c r="C3631" s="219" t="s">
        <v>6996</v>
      </c>
      <c r="D3631" s="212" t="s">
        <v>6997</v>
      </c>
      <c r="E3631" s="212" t="s">
        <v>545</v>
      </c>
      <c r="F3631" s="213">
        <v>7</v>
      </c>
      <c r="G3631" s="213">
        <v>55.321599999999997</v>
      </c>
      <c r="H3631" s="195">
        <f t="shared" si="56"/>
        <v>387.25119999999998</v>
      </c>
      <c r="I3631" s="212" t="s">
        <v>2354</v>
      </c>
    </row>
    <row r="3632" spans="1:9" x14ac:dyDescent="0.25">
      <c r="A3632" s="218" t="s">
        <v>220</v>
      </c>
      <c r="B3632" s="218" t="s">
        <v>5430</v>
      </c>
      <c r="C3632" s="219" t="s">
        <v>6998</v>
      </c>
      <c r="D3632" s="212" t="s">
        <v>6999</v>
      </c>
      <c r="E3632" s="212" t="s">
        <v>545</v>
      </c>
      <c r="F3632" s="213">
        <v>4</v>
      </c>
      <c r="G3632" s="213">
        <v>102</v>
      </c>
      <c r="H3632" s="195">
        <f t="shared" si="56"/>
        <v>408</v>
      </c>
      <c r="I3632" s="212" t="s">
        <v>2354</v>
      </c>
    </row>
    <row r="3633" spans="1:9" x14ac:dyDescent="0.25">
      <c r="A3633" s="218" t="s">
        <v>220</v>
      </c>
      <c r="B3633" s="218" t="s">
        <v>5430</v>
      </c>
      <c r="C3633" s="219" t="s">
        <v>7000</v>
      </c>
      <c r="D3633" s="212" t="s">
        <v>7001</v>
      </c>
      <c r="E3633" s="212" t="s">
        <v>2387</v>
      </c>
      <c r="F3633" s="213">
        <v>10</v>
      </c>
      <c r="G3633" s="213">
        <v>41.704999999999998</v>
      </c>
      <c r="H3633" s="195">
        <f t="shared" si="56"/>
        <v>417.04999999999995</v>
      </c>
      <c r="I3633" s="212" t="s">
        <v>2354</v>
      </c>
    </row>
    <row r="3634" spans="1:9" x14ac:dyDescent="0.25">
      <c r="A3634" s="218" t="s">
        <v>220</v>
      </c>
      <c r="B3634" s="218" t="s">
        <v>5430</v>
      </c>
      <c r="C3634" s="219" t="s">
        <v>4514</v>
      </c>
      <c r="D3634" s="212" t="s">
        <v>4515</v>
      </c>
      <c r="E3634" s="212" t="s">
        <v>545</v>
      </c>
      <c r="F3634" s="213">
        <v>5</v>
      </c>
      <c r="G3634" s="213">
        <v>2.4390000000000001</v>
      </c>
      <c r="H3634" s="195">
        <f t="shared" si="56"/>
        <v>12.195</v>
      </c>
      <c r="I3634" s="212" t="s">
        <v>2354</v>
      </c>
    </row>
    <row r="3635" spans="1:9" x14ac:dyDescent="0.25">
      <c r="A3635" s="218" t="s">
        <v>220</v>
      </c>
      <c r="B3635" s="218" t="s">
        <v>5430</v>
      </c>
      <c r="C3635" s="219" t="s">
        <v>4516</v>
      </c>
      <c r="D3635" s="212" t="s">
        <v>4517</v>
      </c>
      <c r="E3635" s="212" t="s">
        <v>545</v>
      </c>
      <c r="F3635" s="213">
        <v>23</v>
      </c>
      <c r="G3635" s="213">
        <v>3.4286498632010942</v>
      </c>
      <c r="H3635" s="195">
        <f t="shared" si="56"/>
        <v>78.85894685362517</v>
      </c>
      <c r="I3635" s="212" t="s">
        <v>2354</v>
      </c>
    </row>
    <row r="3636" spans="1:9" x14ac:dyDescent="0.25">
      <c r="A3636" s="218" t="s">
        <v>220</v>
      </c>
      <c r="B3636" s="218" t="s">
        <v>5430</v>
      </c>
      <c r="C3636" s="219" t="s">
        <v>4518</v>
      </c>
      <c r="D3636" s="212" t="s">
        <v>4519</v>
      </c>
      <c r="E3636" s="212" t="s">
        <v>545</v>
      </c>
      <c r="F3636" s="213">
        <v>32</v>
      </c>
      <c r="G3636" s="213">
        <v>6.48</v>
      </c>
      <c r="H3636" s="195">
        <f t="shared" si="56"/>
        <v>207.36</v>
      </c>
      <c r="I3636" s="212" t="s">
        <v>2354</v>
      </c>
    </row>
    <row r="3637" spans="1:9" x14ac:dyDescent="0.25">
      <c r="A3637" s="218" t="s">
        <v>220</v>
      </c>
      <c r="B3637" s="218" t="s">
        <v>5430</v>
      </c>
      <c r="C3637" s="219" t="s">
        <v>7002</v>
      </c>
      <c r="D3637" s="212" t="s">
        <v>7003</v>
      </c>
      <c r="E3637" s="212" t="s">
        <v>545</v>
      </c>
      <c r="F3637" s="213">
        <v>4</v>
      </c>
      <c r="G3637" s="213">
        <v>6.8676245714285704</v>
      </c>
      <c r="H3637" s="195">
        <f t="shared" si="56"/>
        <v>27.470498285714282</v>
      </c>
      <c r="I3637" s="212" t="s">
        <v>2354</v>
      </c>
    </row>
    <row r="3638" spans="1:9" x14ac:dyDescent="0.25">
      <c r="A3638" s="218" t="s">
        <v>220</v>
      </c>
      <c r="B3638" s="218" t="s">
        <v>5430</v>
      </c>
      <c r="C3638" s="219" t="s">
        <v>7004</v>
      </c>
      <c r="D3638" s="212" t="s">
        <v>7005</v>
      </c>
      <c r="E3638" s="212" t="s">
        <v>545</v>
      </c>
      <c r="F3638" s="213">
        <v>10</v>
      </c>
      <c r="G3638" s="213">
        <v>4.6980000000000004</v>
      </c>
      <c r="H3638" s="195">
        <f t="shared" si="56"/>
        <v>46.980000000000004</v>
      </c>
      <c r="I3638" s="212" t="s">
        <v>2354</v>
      </c>
    </row>
    <row r="3639" spans="1:9" x14ac:dyDescent="0.25">
      <c r="A3639" s="218" t="s">
        <v>220</v>
      </c>
      <c r="B3639" s="218" t="s">
        <v>5430</v>
      </c>
      <c r="C3639" s="219" t="s">
        <v>7006</v>
      </c>
      <c r="D3639" s="212" t="s">
        <v>7007</v>
      </c>
      <c r="E3639" s="212" t="s">
        <v>545</v>
      </c>
      <c r="F3639" s="213">
        <v>2</v>
      </c>
      <c r="G3639" s="213">
        <v>41.814</v>
      </c>
      <c r="H3639" s="195">
        <f t="shared" si="56"/>
        <v>83.628</v>
      </c>
      <c r="I3639" s="212" t="s">
        <v>2354</v>
      </c>
    </row>
    <row r="3640" spans="1:9" x14ac:dyDescent="0.25">
      <c r="A3640" s="218" t="s">
        <v>220</v>
      </c>
      <c r="B3640" s="218" t="s">
        <v>5430</v>
      </c>
      <c r="C3640" s="219" t="s">
        <v>7008</v>
      </c>
      <c r="D3640" s="212" t="s">
        <v>7009</v>
      </c>
      <c r="E3640" s="212" t="s">
        <v>545</v>
      </c>
      <c r="F3640" s="213">
        <v>190</v>
      </c>
      <c r="G3640" s="213">
        <v>1.8597999999999999</v>
      </c>
      <c r="H3640" s="195">
        <f t="shared" si="56"/>
        <v>353.36199999999997</v>
      </c>
      <c r="I3640" s="212" t="s">
        <v>2354</v>
      </c>
    </row>
    <row r="3641" spans="1:9" x14ac:dyDescent="0.25">
      <c r="A3641" s="218" t="s">
        <v>220</v>
      </c>
      <c r="B3641" s="218" t="s">
        <v>5430</v>
      </c>
      <c r="C3641" s="219" t="s">
        <v>7010</v>
      </c>
      <c r="D3641" s="212" t="s">
        <v>7011</v>
      </c>
      <c r="E3641" s="212" t="s">
        <v>545</v>
      </c>
      <c r="F3641" s="213">
        <v>200</v>
      </c>
      <c r="G3641" s="213">
        <v>2.8559999999999999</v>
      </c>
      <c r="H3641" s="195">
        <f t="shared" si="56"/>
        <v>571.19999999999993</v>
      </c>
      <c r="I3641" s="212" t="s">
        <v>2354</v>
      </c>
    </row>
    <row r="3642" spans="1:9" x14ac:dyDescent="0.25">
      <c r="A3642" s="218" t="s">
        <v>220</v>
      </c>
      <c r="B3642" s="218" t="s">
        <v>5430</v>
      </c>
      <c r="C3642" s="219" t="s">
        <v>7012</v>
      </c>
      <c r="D3642" s="212" t="s">
        <v>7013</v>
      </c>
      <c r="E3642" s="212" t="s">
        <v>545</v>
      </c>
      <c r="F3642" s="213">
        <v>160</v>
      </c>
      <c r="G3642" s="213">
        <v>4.4640000000000006E-2</v>
      </c>
      <c r="H3642" s="195">
        <f t="shared" si="56"/>
        <v>7.1424000000000012</v>
      </c>
      <c r="I3642" s="212" t="s">
        <v>2354</v>
      </c>
    </row>
    <row r="3643" spans="1:9" x14ac:dyDescent="0.25">
      <c r="A3643" s="218" t="s">
        <v>220</v>
      </c>
      <c r="B3643" s="218" t="s">
        <v>5430</v>
      </c>
      <c r="C3643" s="219" t="s">
        <v>7014</v>
      </c>
      <c r="D3643" s="212" t="s">
        <v>7015</v>
      </c>
      <c r="E3643" s="212" t="s">
        <v>545</v>
      </c>
      <c r="F3643" s="213">
        <v>2</v>
      </c>
      <c r="G3643" s="213">
        <v>3.85</v>
      </c>
      <c r="H3643" s="195">
        <f t="shared" si="56"/>
        <v>7.7</v>
      </c>
      <c r="I3643" s="212" t="s">
        <v>2354</v>
      </c>
    </row>
    <row r="3644" spans="1:9" x14ac:dyDescent="0.25">
      <c r="A3644" s="218" t="s">
        <v>220</v>
      </c>
      <c r="B3644" s="218" t="s">
        <v>5430</v>
      </c>
      <c r="C3644" s="219" t="s">
        <v>7016</v>
      </c>
      <c r="D3644" s="212" t="s">
        <v>7017</v>
      </c>
      <c r="E3644" s="212" t="s">
        <v>545</v>
      </c>
      <c r="F3644" s="213">
        <v>1</v>
      </c>
      <c r="G3644" s="213">
        <v>3.903</v>
      </c>
      <c r="H3644" s="195">
        <f t="shared" si="56"/>
        <v>3.903</v>
      </c>
      <c r="I3644" s="212" t="s">
        <v>2354</v>
      </c>
    </row>
    <row r="3645" spans="1:9" x14ac:dyDescent="0.25">
      <c r="A3645" s="218" t="s">
        <v>220</v>
      </c>
      <c r="B3645" s="218" t="s">
        <v>5430</v>
      </c>
      <c r="C3645" s="219" t="s">
        <v>7018</v>
      </c>
      <c r="D3645" s="212" t="s">
        <v>7019</v>
      </c>
      <c r="E3645" s="212" t="s">
        <v>545</v>
      </c>
      <c r="F3645" s="213">
        <v>2</v>
      </c>
      <c r="G3645" s="213">
        <v>4.9581</v>
      </c>
      <c r="H3645" s="195">
        <f t="shared" si="56"/>
        <v>9.9161999999999999</v>
      </c>
      <c r="I3645" s="212" t="s">
        <v>2354</v>
      </c>
    </row>
    <row r="3646" spans="1:9" x14ac:dyDescent="0.25">
      <c r="A3646" s="218" t="s">
        <v>220</v>
      </c>
      <c r="B3646" s="218" t="s">
        <v>5430</v>
      </c>
      <c r="C3646" s="219" t="s">
        <v>4530</v>
      </c>
      <c r="D3646" s="212" t="s">
        <v>4531</v>
      </c>
      <c r="E3646" s="212" t="s">
        <v>545</v>
      </c>
      <c r="F3646" s="213">
        <v>3</v>
      </c>
      <c r="G3646" s="213">
        <v>11.583</v>
      </c>
      <c r="H3646" s="195">
        <f t="shared" si="56"/>
        <v>34.749000000000002</v>
      </c>
      <c r="I3646" s="212" t="s">
        <v>2354</v>
      </c>
    </row>
    <row r="3647" spans="1:9" x14ac:dyDescent="0.25">
      <c r="A3647" s="218" t="s">
        <v>220</v>
      </c>
      <c r="B3647" s="218" t="s">
        <v>5430</v>
      </c>
      <c r="C3647" s="219" t="s">
        <v>4532</v>
      </c>
      <c r="D3647" s="212" t="s">
        <v>4533</v>
      </c>
      <c r="E3647" s="212" t="s">
        <v>545</v>
      </c>
      <c r="F3647" s="213">
        <v>4</v>
      </c>
      <c r="G3647" s="213">
        <v>51.488999999999997</v>
      </c>
      <c r="H3647" s="195">
        <f t="shared" si="56"/>
        <v>205.95599999999999</v>
      </c>
      <c r="I3647" s="212" t="s">
        <v>2354</v>
      </c>
    </row>
    <row r="3648" spans="1:9" x14ac:dyDescent="0.25">
      <c r="A3648" s="218" t="s">
        <v>220</v>
      </c>
      <c r="B3648" s="218" t="s">
        <v>5430</v>
      </c>
      <c r="C3648" s="219" t="s">
        <v>7020</v>
      </c>
      <c r="D3648" s="212" t="s">
        <v>4537</v>
      </c>
      <c r="E3648" s="212" t="s">
        <v>545</v>
      </c>
      <c r="F3648" s="213">
        <v>22</v>
      </c>
      <c r="G3648" s="213">
        <v>9.8103999999999996</v>
      </c>
      <c r="H3648" s="195">
        <f t="shared" si="56"/>
        <v>215.8288</v>
      </c>
      <c r="I3648" s="212" t="s">
        <v>2354</v>
      </c>
    </row>
    <row r="3649" spans="1:9" x14ac:dyDescent="0.25">
      <c r="A3649" s="218" t="s">
        <v>220</v>
      </c>
      <c r="B3649" s="218" t="s">
        <v>5430</v>
      </c>
      <c r="C3649" s="219" t="s">
        <v>4548</v>
      </c>
      <c r="D3649" s="212" t="s">
        <v>4549</v>
      </c>
      <c r="E3649" s="212" t="s">
        <v>545</v>
      </c>
      <c r="F3649" s="213">
        <v>12</v>
      </c>
      <c r="G3649" s="213">
        <v>1.1833238095238097</v>
      </c>
      <c r="H3649" s="195">
        <f t="shared" si="56"/>
        <v>14.199885714285717</v>
      </c>
      <c r="I3649" s="212" t="s">
        <v>2354</v>
      </c>
    </row>
    <row r="3650" spans="1:9" x14ac:dyDescent="0.25">
      <c r="A3650" s="218" t="s">
        <v>220</v>
      </c>
      <c r="B3650" s="218" t="s">
        <v>5430</v>
      </c>
      <c r="C3650" s="219" t="s">
        <v>4550</v>
      </c>
      <c r="D3650" s="212" t="s">
        <v>4551</v>
      </c>
      <c r="E3650" s="212" t="s">
        <v>545</v>
      </c>
      <c r="F3650" s="213">
        <v>8</v>
      </c>
      <c r="G3650" s="213">
        <v>11.237</v>
      </c>
      <c r="H3650" s="195">
        <f t="shared" si="56"/>
        <v>89.896000000000001</v>
      </c>
      <c r="I3650" s="212" t="s">
        <v>2354</v>
      </c>
    </row>
    <row r="3651" spans="1:9" x14ac:dyDescent="0.25">
      <c r="A3651" s="218" t="s">
        <v>220</v>
      </c>
      <c r="B3651" s="218" t="s">
        <v>5430</v>
      </c>
      <c r="C3651" s="219" t="s">
        <v>4552</v>
      </c>
      <c r="D3651" s="212" t="s">
        <v>4553</v>
      </c>
      <c r="E3651" s="212" t="s">
        <v>545</v>
      </c>
      <c r="F3651" s="213">
        <v>19</v>
      </c>
      <c r="G3651" s="213">
        <v>1.165</v>
      </c>
      <c r="H3651" s="195">
        <f t="shared" si="56"/>
        <v>22.135000000000002</v>
      </c>
      <c r="I3651" s="212" t="s">
        <v>2354</v>
      </c>
    </row>
    <row r="3652" spans="1:9" x14ac:dyDescent="0.25">
      <c r="A3652" s="218" t="s">
        <v>220</v>
      </c>
      <c r="B3652" s="218" t="s">
        <v>5430</v>
      </c>
      <c r="C3652" s="219" t="s">
        <v>4554</v>
      </c>
      <c r="D3652" s="212" t="s">
        <v>4555</v>
      </c>
      <c r="E3652" s="212" t="s">
        <v>545</v>
      </c>
      <c r="F3652" s="213">
        <v>10</v>
      </c>
      <c r="G3652" s="213">
        <v>11.423999999999999</v>
      </c>
      <c r="H3652" s="195">
        <f t="shared" si="56"/>
        <v>114.24</v>
      </c>
      <c r="I3652" s="212" t="s">
        <v>2354</v>
      </c>
    </row>
    <row r="3653" spans="1:9" x14ac:dyDescent="0.25">
      <c r="A3653" s="218" t="s">
        <v>220</v>
      </c>
      <c r="B3653" s="218" t="s">
        <v>5430</v>
      </c>
      <c r="C3653" s="219" t="s">
        <v>4556</v>
      </c>
      <c r="D3653" s="212" t="s">
        <v>4557</v>
      </c>
      <c r="E3653" s="212" t="s">
        <v>545</v>
      </c>
      <c r="F3653" s="213">
        <v>2</v>
      </c>
      <c r="G3653" s="213">
        <v>22.429345098039217</v>
      </c>
      <c r="H3653" s="195">
        <f t="shared" ref="H3653:H3716" si="57">+F3653*G3653</f>
        <v>44.858690196078435</v>
      </c>
      <c r="I3653" s="212" t="s">
        <v>2354</v>
      </c>
    </row>
    <row r="3654" spans="1:9" x14ac:dyDescent="0.25">
      <c r="A3654" s="218" t="s">
        <v>220</v>
      </c>
      <c r="B3654" s="218" t="s">
        <v>5430</v>
      </c>
      <c r="C3654" s="219" t="s">
        <v>4560</v>
      </c>
      <c r="D3654" s="212" t="s">
        <v>4561</v>
      </c>
      <c r="E3654" s="212" t="s">
        <v>545</v>
      </c>
      <c r="F3654" s="213">
        <v>6</v>
      </c>
      <c r="G3654" s="213">
        <v>7.3049999999999997</v>
      </c>
      <c r="H3654" s="195">
        <f t="shared" si="57"/>
        <v>43.83</v>
      </c>
      <c r="I3654" s="212" t="s">
        <v>2354</v>
      </c>
    </row>
    <row r="3655" spans="1:9" x14ac:dyDescent="0.25">
      <c r="A3655" s="218" t="s">
        <v>220</v>
      </c>
      <c r="B3655" s="218" t="s">
        <v>5430</v>
      </c>
      <c r="C3655" s="219" t="s">
        <v>7021</v>
      </c>
      <c r="D3655" s="212" t="s">
        <v>7022</v>
      </c>
      <c r="E3655" s="212" t="s">
        <v>545</v>
      </c>
      <c r="F3655" s="213">
        <v>2</v>
      </c>
      <c r="G3655" s="213">
        <v>19.085989999999999</v>
      </c>
      <c r="H3655" s="195">
        <f t="shared" si="57"/>
        <v>38.171979999999998</v>
      </c>
      <c r="I3655" s="212" t="s">
        <v>2354</v>
      </c>
    </row>
    <row r="3656" spans="1:9" x14ac:dyDescent="0.25">
      <c r="A3656" s="218" t="s">
        <v>220</v>
      </c>
      <c r="B3656" s="218" t="s">
        <v>5430</v>
      </c>
      <c r="C3656" s="219" t="s">
        <v>7023</v>
      </c>
      <c r="D3656" s="212" t="s">
        <v>7024</v>
      </c>
      <c r="E3656" s="212" t="s">
        <v>545</v>
      </c>
      <c r="F3656" s="213">
        <v>2</v>
      </c>
      <c r="G3656" s="213">
        <v>11.183999999999999</v>
      </c>
      <c r="H3656" s="195">
        <f t="shared" si="57"/>
        <v>22.367999999999999</v>
      </c>
      <c r="I3656" s="212" t="s">
        <v>2354</v>
      </c>
    </row>
    <row r="3657" spans="1:9" x14ac:dyDescent="0.25">
      <c r="A3657" s="218" t="s">
        <v>220</v>
      </c>
      <c r="B3657" s="218" t="s">
        <v>5430</v>
      </c>
      <c r="C3657" s="219" t="s">
        <v>7025</v>
      </c>
      <c r="D3657" s="212" t="s">
        <v>7026</v>
      </c>
      <c r="E3657" s="212" t="s">
        <v>545</v>
      </c>
      <c r="F3657" s="213">
        <v>1</v>
      </c>
      <c r="G3657" s="213">
        <v>39.695999999999998</v>
      </c>
      <c r="H3657" s="195">
        <f t="shared" si="57"/>
        <v>39.695999999999998</v>
      </c>
      <c r="I3657" s="212" t="s">
        <v>2354</v>
      </c>
    </row>
    <row r="3658" spans="1:9" x14ac:dyDescent="0.25">
      <c r="A3658" s="218" t="s">
        <v>220</v>
      </c>
      <c r="B3658" s="218" t="s">
        <v>5430</v>
      </c>
      <c r="C3658" s="219" t="s">
        <v>7027</v>
      </c>
      <c r="D3658" s="212" t="s">
        <v>7028</v>
      </c>
      <c r="E3658" s="212" t="s">
        <v>545</v>
      </c>
      <c r="F3658" s="213">
        <v>1</v>
      </c>
      <c r="G3658" s="213">
        <v>33.25</v>
      </c>
      <c r="H3658" s="195">
        <f t="shared" si="57"/>
        <v>33.25</v>
      </c>
      <c r="I3658" s="212" t="s">
        <v>2354</v>
      </c>
    </row>
    <row r="3659" spans="1:9" x14ac:dyDescent="0.25">
      <c r="A3659" s="218" t="s">
        <v>220</v>
      </c>
      <c r="B3659" s="218" t="s">
        <v>5430</v>
      </c>
      <c r="C3659" s="219" t="s">
        <v>7029</v>
      </c>
      <c r="D3659" s="212" t="s">
        <v>7030</v>
      </c>
      <c r="E3659" s="212" t="s">
        <v>2387</v>
      </c>
      <c r="F3659" s="213">
        <v>50</v>
      </c>
      <c r="G3659" s="213">
        <v>1.2</v>
      </c>
      <c r="H3659" s="195">
        <f t="shared" si="57"/>
        <v>60</v>
      </c>
      <c r="I3659" s="212" t="s">
        <v>2354</v>
      </c>
    </row>
    <row r="3660" spans="1:9" x14ac:dyDescent="0.25">
      <c r="A3660" s="218" t="s">
        <v>220</v>
      </c>
      <c r="B3660" s="218" t="s">
        <v>5430</v>
      </c>
      <c r="C3660" s="219" t="s">
        <v>7031</v>
      </c>
      <c r="D3660" s="212" t="s">
        <v>7032</v>
      </c>
      <c r="E3660" s="212" t="s">
        <v>545</v>
      </c>
      <c r="F3660" s="213">
        <v>3</v>
      </c>
      <c r="G3660" s="213">
        <v>20.16</v>
      </c>
      <c r="H3660" s="195">
        <f t="shared" si="57"/>
        <v>60.480000000000004</v>
      </c>
      <c r="I3660" s="212" t="s">
        <v>2354</v>
      </c>
    </row>
    <row r="3661" spans="1:9" x14ac:dyDescent="0.25">
      <c r="A3661" s="218" t="s">
        <v>220</v>
      </c>
      <c r="B3661" s="218" t="s">
        <v>5430</v>
      </c>
      <c r="C3661" s="219" t="s">
        <v>7033</v>
      </c>
      <c r="D3661" s="212" t="s">
        <v>7034</v>
      </c>
      <c r="E3661" s="212" t="s">
        <v>545</v>
      </c>
      <c r="F3661" s="213">
        <v>3</v>
      </c>
      <c r="G3661" s="213">
        <v>20.16</v>
      </c>
      <c r="H3661" s="195">
        <f t="shared" si="57"/>
        <v>60.480000000000004</v>
      </c>
      <c r="I3661" s="212" t="s">
        <v>2354</v>
      </c>
    </row>
    <row r="3662" spans="1:9" x14ac:dyDescent="0.25">
      <c r="A3662" s="218" t="s">
        <v>220</v>
      </c>
      <c r="B3662" s="218" t="s">
        <v>5430</v>
      </c>
      <c r="C3662" s="219" t="s">
        <v>7035</v>
      </c>
      <c r="D3662" s="212" t="s">
        <v>7036</v>
      </c>
      <c r="E3662" s="212" t="s">
        <v>545</v>
      </c>
      <c r="F3662" s="213">
        <v>9</v>
      </c>
      <c r="G3662" s="213">
        <v>0.45760000000000006</v>
      </c>
      <c r="H3662" s="195">
        <f t="shared" si="57"/>
        <v>4.1184000000000003</v>
      </c>
      <c r="I3662" s="212" t="s">
        <v>2354</v>
      </c>
    </row>
    <row r="3663" spans="1:9" x14ac:dyDescent="0.25">
      <c r="A3663" s="218" t="s">
        <v>220</v>
      </c>
      <c r="B3663" s="218" t="s">
        <v>5430</v>
      </c>
      <c r="C3663" s="219" t="s">
        <v>7037</v>
      </c>
      <c r="D3663" s="212" t="s">
        <v>7038</v>
      </c>
      <c r="E3663" s="212" t="s">
        <v>545</v>
      </c>
      <c r="F3663" s="213">
        <v>11</v>
      </c>
      <c r="G3663" s="213">
        <v>1.2316499999999999</v>
      </c>
      <c r="H3663" s="195">
        <f t="shared" si="57"/>
        <v>13.54815</v>
      </c>
      <c r="I3663" s="212" t="s">
        <v>2354</v>
      </c>
    </row>
    <row r="3664" spans="1:9" x14ac:dyDescent="0.25">
      <c r="A3664" s="218" t="s">
        <v>220</v>
      </c>
      <c r="B3664" s="218" t="s">
        <v>5430</v>
      </c>
      <c r="C3664" s="219" t="s">
        <v>7039</v>
      </c>
      <c r="D3664" s="212" t="s">
        <v>7040</v>
      </c>
      <c r="E3664" s="212" t="s">
        <v>545</v>
      </c>
      <c r="F3664" s="213">
        <v>7</v>
      </c>
      <c r="G3664" s="213">
        <v>1.48</v>
      </c>
      <c r="H3664" s="195">
        <f t="shared" si="57"/>
        <v>10.36</v>
      </c>
      <c r="I3664" s="212" t="s">
        <v>2354</v>
      </c>
    </row>
    <row r="3665" spans="1:9" x14ac:dyDescent="0.25">
      <c r="A3665" s="218" t="s">
        <v>220</v>
      </c>
      <c r="B3665" s="218" t="s">
        <v>5430</v>
      </c>
      <c r="C3665" s="219" t="s">
        <v>7041</v>
      </c>
      <c r="D3665" s="212" t="s">
        <v>7042</v>
      </c>
      <c r="E3665" s="212" t="s">
        <v>545</v>
      </c>
      <c r="F3665" s="213">
        <v>10</v>
      </c>
      <c r="G3665" s="213">
        <v>3.4119999999999999</v>
      </c>
      <c r="H3665" s="195">
        <f t="shared" si="57"/>
        <v>34.119999999999997</v>
      </c>
      <c r="I3665" s="212" t="s">
        <v>2354</v>
      </c>
    </row>
    <row r="3666" spans="1:9" x14ac:dyDescent="0.25">
      <c r="A3666" s="218" t="s">
        <v>220</v>
      </c>
      <c r="B3666" s="218" t="s">
        <v>5430</v>
      </c>
      <c r="C3666" s="219" t="s">
        <v>7043</v>
      </c>
      <c r="D3666" s="212" t="s">
        <v>7044</v>
      </c>
      <c r="E3666" s="212" t="s">
        <v>545</v>
      </c>
      <c r="F3666" s="213">
        <v>1</v>
      </c>
      <c r="G3666" s="213">
        <v>93.05</v>
      </c>
      <c r="H3666" s="195">
        <f t="shared" si="57"/>
        <v>93.05</v>
      </c>
      <c r="I3666" s="212" t="s">
        <v>2354</v>
      </c>
    </row>
    <row r="3667" spans="1:9" x14ac:dyDescent="0.25">
      <c r="A3667" s="218" t="s">
        <v>220</v>
      </c>
      <c r="B3667" s="218" t="s">
        <v>5430</v>
      </c>
      <c r="C3667" s="219" t="s">
        <v>7045</v>
      </c>
      <c r="D3667" s="212" t="s">
        <v>7046</v>
      </c>
      <c r="E3667" s="212" t="s">
        <v>545</v>
      </c>
      <c r="F3667" s="213">
        <v>1</v>
      </c>
      <c r="G3667" s="213">
        <v>233.381</v>
      </c>
      <c r="H3667" s="195">
        <f t="shared" si="57"/>
        <v>233.381</v>
      </c>
      <c r="I3667" s="212" t="s">
        <v>2354</v>
      </c>
    </row>
    <row r="3668" spans="1:9" x14ac:dyDescent="0.25">
      <c r="A3668" s="218" t="s">
        <v>220</v>
      </c>
      <c r="B3668" s="218" t="s">
        <v>5430</v>
      </c>
      <c r="C3668" s="219" t="s">
        <v>7047</v>
      </c>
      <c r="D3668" s="212" t="s">
        <v>7048</v>
      </c>
      <c r="E3668" s="212" t="s">
        <v>2387</v>
      </c>
      <c r="F3668" s="213">
        <v>10</v>
      </c>
      <c r="G3668" s="213">
        <v>9.7656500000000008</v>
      </c>
      <c r="H3668" s="195">
        <f t="shared" si="57"/>
        <v>97.656500000000008</v>
      </c>
      <c r="I3668" s="212" t="s">
        <v>2354</v>
      </c>
    </row>
    <row r="3669" spans="1:9" x14ac:dyDescent="0.25">
      <c r="A3669" s="218" t="s">
        <v>220</v>
      </c>
      <c r="B3669" s="218" t="s">
        <v>5430</v>
      </c>
      <c r="C3669" s="219" t="s">
        <v>7049</v>
      </c>
      <c r="D3669" s="212" t="s">
        <v>7050</v>
      </c>
      <c r="E3669" s="212" t="s">
        <v>545</v>
      </c>
      <c r="F3669" s="213">
        <v>1</v>
      </c>
      <c r="G3669" s="213">
        <v>10.659000000000001</v>
      </c>
      <c r="H3669" s="195">
        <f t="shared" si="57"/>
        <v>10.659000000000001</v>
      </c>
      <c r="I3669" s="212" t="s">
        <v>2354</v>
      </c>
    </row>
    <row r="3670" spans="1:9" x14ac:dyDescent="0.25">
      <c r="A3670" s="218" t="s">
        <v>220</v>
      </c>
      <c r="B3670" s="218" t="s">
        <v>5430</v>
      </c>
      <c r="C3670" s="219" t="s">
        <v>7051</v>
      </c>
      <c r="D3670" s="212" t="s">
        <v>7052</v>
      </c>
      <c r="E3670" s="212" t="s">
        <v>545</v>
      </c>
      <c r="F3670" s="213">
        <v>5</v>
      </c>
      <c r="G3670" s="213">
        <v>34.305660000000003</v>
      </c>
      <c r="H3670" s="195">
        <f t="shared" si="57"/>
        <v>171.5283</v>
      </c>
      <c r="I3670" s="212" t="s">
        <v>2354</v>
      </c>
    </row>
    <row r="3671" spans="1:9" x14ac:dyDescent="0.25">
      <c r="A3671" s="218" t="s">
        <v>220</v>
      </c>
      <c r="B3671" s="218" t="s">
        <v>5430</v>
      </c>
      <c r="C3671" s="219" t="s">
        <v>7053</v>
      </c>
      <c r="D3671" s="212" t="s">
        <v>7054</v>
      </c>
      <c r="E3671" s="212" t="s">
        <v>545</v>
      </c>
      <c r="F3671" s="213">
        <v>5</v>
      </c>
      <c r="G3671" s="213">
        <v>34.305660000000003</v>
      </c>
      <c r="H3671" s="195">
        <f t="shared" si="57"/>
        <v>171.5283</v>
      </c>
      <c r="I3671" s="212" t="s">
        <v>2354</v>
      </c>
    </row>
    <row r="3672" spans="1:9" x14ac:dyDescent="0.25">
      <c r="A3672" s="218" t="s">
        <v>220</v>
      </c>
      <c r="B3672" s="218" t="s">
        <v>5430</v>
      </c>
      <c r="C3672" s="219" t="s">
        <v>7055</v>
      </c>
      <c r="D3672" s="212" t="s">
        <v>7056</v>
      </c>
      <c r="E3672" s="212" t="s">
        <v>2473</v>
      </c>
      <c r="F3672" s="213">
        <v>1</v>
      </c>
      <c r="G3672" s="213">
        <v>284</v>
      </c>
      <c r="H3672" s="195">
        <f t="shared" si="57"/>
        <v>284</v>
      </c>
      <c r="I3672" s="212" t="s">
        <v>2354</v>
      </c>
    </row>
    <row r="3673" spans="1:9" x14ac:dyDescent="0.25">
      <c r="A3673" s="218" t="s">
        <v>220</v>
      </c>
      <c r="B3673" s="218" t="s">
        <v>5430</v>
      </c>
      <c r="C3673" s="219" t="s">
        <v>4588</v>
      </c>
      <c r="D3673" s="212" t="s">
        <v>4589</v>
      </c>
      <c r="E3673" s="212" t="s">
        <v>545</v>
      </c>
      <c r="F3673" s="213">
        <v>106</v>
      </c>
      <c r="G3673" s="213">
        <v>0.58499999999999996</v>
      </c>
      <c r="H3673" s="195">
        <f t="shared" si="57"/>
        <v>62.01</v>
      </c>
      <c r="I3673" s="212" t="s">
        <v>2354</v>
      </c>
    </row>
    <row r="3674" spans="1:9" x14ac:dyDescent="0.25">
      <c r="A3674" s="218" t="s">
        <v>220</v>
      </c>
      <c r="B3674" s="218" t="s">
        <v>5430</v>
      </c>
      <c r="C3674" s="219" t="s">
        <v>4590</v>
      </c>
      <c r="D3674" s="212" t="s">
        <v>4591</v>
      </c>
      <c r="E3674" s="212" t="s">
        <v>545</v>
      </c>
      <c r="F3674" s="213">
        <v>66</v>
      </c>
      <c r="G3674" s="213">
        <v>0.56200000000000006</v>
      </c>
      <c r="H3674" s="195">
        <f t="shared" si="57"/>
        <v>37.092000000000006</v>
      </c>
      <c r="I3674" s="212" t="s">
        <v>2354</v>
      </c>
    </row>
    <row r="3675" spans="1:9" x14ac:dyDescent="0.25">
      <c r="A3675" s="218" t="s">
        <v>220</v>
      </c>
      <c r="B3675" s="218" t="s">
        <v>5430</v>
      </c>
      <c r="C3675" s="219" t="s">
        <v>7057</v>
      </c>
      <c r="D3675" s="212" t="s">
        <v>7058</v>
      </c>
      <c r="E3675" s="212" t="s">
        <v>7560</v>
      </c>
      <c r="F3675" s="213">
        <v>15</v>
      </c>
      <c r="G3675" s="213">
        <v>9.0818999999999992</v>
      </c>
      <c r="H3675" s="195">
        <f t="shared" si="57"/>
        <v>136.2285</v>
      </c>
      <c r="I3675" s="212" t="s">
        <v>2354</v>
      </c>
    </row>
    <row r="3676" spans="1:9" x14ac:dyDescent="0.25">
      <c r="A3676" s="218" t="s">
        <v>220</v>
      </c>
      <c r="B3676" s="218" t="s">
        <v>5430</v>
      </c>
      <c r="C3676" s="219" t="s">
        <v>7059</v>
      </c>
      <c r="D3676" s="212" t="s">
        <v>4607</v>
      </c>
      <c r="E3676" s="212" t="s">
        <v>545</v>
      </c>
      <c r="F3676" s="213">
        <v>19</v>
      </c>
      <c r="G3676" s="213">
        <v>6.8979999999999997</v>
      </c>
      <c r="H3676" s="195">
        <f t="shared" si="57"/>
        <v>131.06199999999998</v>
      </c>
      <c r="I3676" s="212" t="s">
        <v>2354</v>
      </c>
    </row>
    <row r="3677" spans="1:9" x14ac:dyDescent="0.25">
      <c r="A3677" s="218" t="s">
        <v>220</v>
      </c>
      <c r="B3677" s="218" t="s">
        <v>5430</v>
      </c>
      <c r="C3677" s="219" t="s">
        <v>4608</v>
      </c>
      <c r="D3677" s="212" t="s">
        <v>4609</v>
      </c>
      <c r="E3677" s="212" t="s">
        <v>545</v>
      </c>
      <c r="F3677" s="213">
        <v>38</v>
      </c>
      <c r="G3677" s="213">
        <v>3.024</v>
      </c>
      <c r="H3677" s="195">
        <f t="shared" si="57"/>
        <v>114.91200000000001</v>
      </c>
      <c r="I3677" s="212" t="s">
        <v>2354</v>
      </c>
    </row>
    <row r="3678" spans="1:9" x14ac:dyDescent="0.25">
      <c r="A3678" s="218" t="s">
        <v>220</v>
      </c>
      <c r="B3678" s="218" t="s">
        <v>5430</v>
      </c>
      <c r="C3678" s="219" t="s">
        <v>4614</v>
      </c>
      <c r="D3678" s="212" t="s">
        <v>4615</v>
      </c>
      <c r="E3678" s="212" t="s">
        <v>545</v>
      </c>
      <c r="F3678" s="213">
        <v>43</v>
      </c>
      <c r="G3678" s="213">
        <v>3.3929999999999998</v>
      </c>
      <c r="H3678" s="195">
        <f t="shared" si="57"/>
        <v>145.899</v>
      </c>
      <c r="I3678" s="212" t="s">
        <v>2354</v>
      </c>
    </row>
    <row r="3679" spans="1:9" x14ac:dyDescent="0.25">
      <c r="A3679" s="218" t="s">
        <v>220</v>
      </c>
      <c r="B3679" s="218" t="s">
        <v>5430</v>
      </c>
      <c r="C3679" s="219" t="s">
        <v>4616</v>
      </c>
      <c r="D3679" s="212" t="s">
        <v>4617</v>
      </c>
      <c r="E3679" s="212" t="s">
        <v>545</v>
      </c>
      <c r="F3679" s="213">
        <v>52</v>
      </c>
      <c r="G3679" s="213">
        <v>1.4990000000000001</v>
      </c>
      <c r="H3679" s="195">
        <f t="shared" si="57"/>
        <v>77.948000000000008</v>
      </c>
      <c r="I3679" s="212" t="s">
        <v>2354</v>
      </c>
    </row>
    <row r="3680" spans="1:9" x14ac:dyDescent="0.25">
      <c r="A3680" s="218" t="s">
        <v>220</v>
      </c>
      <c r="B3680" s="218" t="s">
        <v>5430</v>
      </c>
      <c r="C3680" s="219" t="s">
        <v>7060</v>
      </c>
      <c r="D3680" s="212" t="s">
        <v>7061</v>
      </c>
      <c r="E3680" s="212" t="s">
        <v>545</v>
      </c>
      <c r="F3680" s="213">
        <v>5</v>
      </c>
      <c r="G3680" s="213">
        <v>0.95625000000000004</v>
      </c>
      <c r="H3680" s="195">
        <f t="shared" si="57"/>
        <v>4.78125</v>
      </c>
      <c r="I3680" s="212" t="s">
        <v>2354</v>
      </c>
    </row>
    <row r="3681" spans="1:9" x14ac:dyDescent="0.25">
      <c r="A3681" s="218" t="s">
        <v>220</v>
      </c>
      <c r="B3681" s="218" t="s">
        <v>5430</v>
      </c>
      <c r="C3681" s="219" t="s">
        <v>7062</v>
      </c>
      <c r="D3681" s="212" t="s">
        <v>4619</v>
      </c>
      <c r="E3681" s="212" t="s">
        <v>545</v>
      </c>
      <c r="F3681" s="213">
        <v>3</v>
      </c>
      <c r="G3681" s="213">
        <v>22.452000000000002</v>
      </c>
      <c r="H3681" s="195">
        <f t="shared" si="57"/>
        <v>67.356000000000009</v>
      </c>
      <c r="I3681" s="212" t="s">
        <v>2354</v>
      </c>
    </row>
    <row r="3682" spans="1:9" x14ac:dyDescent="0.25">
      <c r="A3682" s="218" t="s">
        <v>220</v>
      </c>
      <c r="B3682" s="218" t="s">
        <v>5430</v>
      </c>
      <c r="C3682" s="219" t="s">
        <v>7063</v>
      </c>
      <c r="D3682" s="212" t="s">
        <v>7064</v>
      </c>
      <c r="E3682" s="212" t="s">
        <v>545</v>
      </c>
      <c r="F3682" s="213">
        <v>200</v>
      </c>
      <c r="G3682" s="213">
        <v>0.13625000000000001</v>
      </c>
      <c r="H3682" s="195">
        <f t="shared" si="57"/>
        <v>27.250000000000004</v>
      </c>
      <c r="I3682" s="212" t="s">
        <v>2354</v>
      </c>
    </row>
    <row r="3683" spans="1:9" x14ac:dyDescent="0.25">
      <c r="A3683" s="218" t="s">
        <v>220</v>
      </c>
      <c r="B3683" s="218" t="s">
        <v>5430</v>
      </c>
      <c r="C3683" s="219" t="s">
        <v>7065</v>
      </c>
      <c r="D3683" s="212" t="s">
        <v>7066</v>
      </c>
      <c r="E3683" s="212" t="s">
        <v>545</v>
      </c>
      <c r="F3683" s="213">
        <v>90</v>
      </c>
      <c r="G3683" s="213">
        <v>2.5339999999999998</v>
      </c>
      <c r="H3683" s="195">
        <f t="shared" si="57"/>
        <v>228.05999999999997</v>
      </c>
      <c r="I3683" s="212" t="s">
        <v>2354</v>
      </c>
    </row>
    <row r="3684" spans="1:9" x14ac:dyDescent="0.25">
      <c r="A3684" s="218" t="s">
        <v>220</v>
      </c>
      <c r="B3684" s="218" t="s">
        <v>5430</v>
      </c>
      <c r="C3684" s="219" t="s">
        <v>7067</v>
      </c>
      <c r="D3684" s="212" t="s">
        <v>7068</v>
      </c>
      <c r="E3684" s="212" t="s">
        <v>545</v>
      </c>
      <c r="F3684" s="213">
        <v>1</v>
      </c>
      <c r="G3684" s="213">
        <v>1089.5</v>
      </c>
      <c r="H3684" s="195">
        <f t="shared" si="57"/>
        <v>1089.5</v>
      </c>
      <c r="I3684" s="212" t="s">
        <v>2354</v>
      </c>
    </row>
    <row r="3685" spans="1:9" x14ac:dyDescent="0.25">
      <c r="A3685" s="218" t="s">
        <v>220</v>
      </c>
      <c r="B3685" s="218" t="s">
        <v>5430</v>
      </c>
      <c r="C3685" s="219" t="s">
        <v>7069</v>
      </c>
      <c r="D3685" s="212" t="s">
        <v>7070</v>
      </c>
      <c r="E3685" s="212" t="s">
        <v>545</v>
      </c>
      <c r="F3685" s="213">
        <v>1</v>
      </c>
      <c r="G3685" s="213">
        <v>365.5</v>
      </c>
      <c r="H3685" s="195">
        <f t="shared" si="57"/>
        <v>365.5</v>
      </c>
      <c r="I3685" s="212" t="s">
        <v>2354</v>
      </c>
    </row>
    <row r="3686" spans="1:9" x14ac:dyDescent="0.25">
      <c r="A3686" s="218" t="s">
        <v>220</v>
      </c>
      <c r="B3686" s="218" t="s">
        <v>5430</v>
      </c>
      <c r="C3686" s="219" t="s">
        <v>7071</v>
      </c>
      <c r="D3686" s="212" t="s">
        <v>7072</v>
      </c>
      <c r="E3686" s="212" t="s">
        <v>545</v>
      </c>
      <c r="F3686" s="213">
        <v>1</v>
      </c>
      <c r="G3686" s="213">
        <v>833.5</v>
      </c>
      <c r="H3686" s="195">
        <f t="shared" si="57"/>
        <v>833.5</v>
      </c>
      <c r="I3686" s="212" t="s">
        <v>2354</v>
      </c>
    </row>
    <row r="3687" spans="1:9" x14ac:dyDescent="0.25">
      <c r="A3687" s="218" t="s">
        <v>220</v>
      </c>
      <c r="B3687" s="218" t="s">
        <v>5430</v>
      </c>
      <c r="C3687" s="219" t="s">
        <v>7073</v>
      </c>
      <c r="D3687" s="212" t="s">
        <v>7074</v>
      </c>
      <c r="E3687" s="212" t="s">
        <v>545</v>
      </c>
      <c r="F3687" s="213">
        <v>1</v>
      </c>
      <c r="G3687" s="213">
        <v>667.68</v>
      </c>
      <c r="H3687" s="195">
        <f t="shared" si="57"/>
        <v>667.68</v>
      </c>
      <c r="I3687" s="212" t="s">
        <v>2354</v>
      </c>
    </row>
    <row r="3688" spans="1:9" x14ac:dyDescent="0.25">
      <c r="A3688" s="218" t="s">
        <v>220</v>
      </c>
      <c r="B3688" s="218" t="s">
        <v>5430</v>
      </c>
      <c r="C3688" s="219" t="s">
        <v>4636</v>
      </c>
      <c r="D3688" s="212" t="s">
        <v>4637</v>
      </c>
      <c r="E3688" s="212" t="s">
        <v>545</v>
      </c>
      <c r="F3688" s="213">
        <v>25</v>
      </c>
      <c r="G3688" s="213">
        <v>0.19656000000000001</v>
      </c>
      <c r="H3688" s="195">
        <f t="shared" si="57"/>
        <v>4.9140000000000006</v>
      </c>
      <c r="I3688" s="212" t="s">
        <v>2354</v>
      </c>
    </row>
    <row r="3689" spans="1:9" x14ac:dyDescent="0.25">
      <c r="A3689" s="218" t="s">
        <v>220</v>
      </c>
      <c r="B3689" s="218" t="s">
        <v>5430</v>
      </c>
      <c r="C3689" s="219" t="s">
        <v>7075</v>
      </c>
      <c r="D3689" s="212" t="s">
        <v>7076</v>
      </c>
      <c r="E3689" s="212" t="s">
        <v>2387</v>
      </c>
      <c r="F3689" s="213">
        <v>4</v>
      </c>
      <c r="G3689" s="213">
        <v>24.48</v>
      </c>
      <c r="H3689" s="195">
        <f t="shared" si="57"/>
        <v>97.92</v>
      </c>
      <c r="I3689" s="212" t="s">
        <v>2354</v>
      </c>
    </row>
    <row r="3690" spans="1:9" x14ac:dyDescent="0.25">
      <c r="A3690" s="218" t="s">
        <v>220</v>
      </c>
      <c r="B3690" s="218" t="s">
        <v>5430</v>
      </c>
      <c r="C3690" s="219" t="s">
        <v>7077</v>
      </c>
      <c r="D3690" s="212" t="s">
        <v>7078</v>
      </c>
      <c r="E3690" s="212" t="s">
        <v>2387</v>
      </c>
      <c r="F3690" s="213">
        <v>17</v>
      </c>
      <c r="G3690" s="213">
        <v>2.4300000000000002</v>
      </c>
      <c r="H3690" s="195">
        <f t="shared" si="57"/>
        <v>41.31</v>
      </c>
      <c r="I3690" s="212" t="s">
        <v>2354</v>
      </c>
    </row>
    <row r="3691" spans="1:9" x14ac:dyDescent="0.25">
      <c r="A3691" s="218" t="s">
        <v>220</v>
      </c>
      <c r="B3691" s="218" t="s">
        <v>5430</v>
      </c>
      <c r="C3691" s="219" t="s">
        <v>7079</v>
      </c>
      <c r="D3691" s="212" t="s">
        <v>7080</v>
      </c>
      <c r="E3691" s="212" t="s">
        <v>545</v>
      </c>
      <c r="F3691" s="213">
        <v>1</v>
      </c>
      <c r="G3691" s="213">
        <v>24.40062857142857</v>
      </c>
      <c r="H3691" s="195">
        <f t="shared" si="57"/>
        <v>24.40062857142857</v>
      </c>
      <c r="I3691" s="212" t="s">
        <v>2354</v>
      </c>
    </row>
    <row r="3692" spans="1:9" x14ac:dyDescent="0.25">
      <c r="A3692" s="218" t="s">
        <v>220</v>
      </c>
      <c r="B3692" s="218" t="s">
        <v>5430</v>
      </c>
      <c r="C3692" s="219" t="s">
        <v>4640</v>
      </c>
      <c r="D3692" s="212" t="s">
        <v>4641</v>
      </c>
      <c r="E3692" s="212" t="s">
        <v>545</v>
      </c>
      <c r="F3692" s="213">
        <v>20</v>
      </c>
      <c r="G3692" s="213">
        <v>0.82499999999999996</v>
      </c>
      <c r="H3692" s="195">
        <f t="shared" si="57"/>
        <v>16.5</v>
      </c>
      <c r="I3692" s="212" t="s">
        <v>2354</v>
      </c>
    </row>
    <row r="3693" spans="1:9" x14ac:dyDescent="0.25">
      <c r="A3693" s="218" t="s">
        <v>220</v>
      </c>
      <c r="B3693" s="218" t="s">
        <v>5430</v>
      </c>
      <c r="C3693" s="219" t="s">
        <v>7081</v>
      </c>
      <c r="D3693" s="212" t="s">
        <v>7082</v>
      </c>
      <c r="E3693" s="212" t="s">
        <v>545</v>
      </c>
      <c r="F3693" s="213">
        <v>150</v>
      </c>
      <c r="G3693" s="213">
        <v>0.60599999999999998</v>
      </c>
      <c r="H3693" s="195">
        <f t="shared" si="57"/>
        <v>90.899999999999991</v>
      </c>
      <c r="I3693" s="212" t="s">
        <v>2354</v>
      </c>
    </row>
    <row r="3694" spans="1:9" x14ac:dyDescent="0.25">
      <c r="A3694" s="218" t="s">
        <v>220</v>
      </c>
      <c r="B3694" s="218" t="s">
        <v>5430</v>
      </c>
      <c r="C3694" s="219" t="s">
        <v>4642</v>
      </c>
      <c r="D3694" s="212" t="s">
        <v>4643</v>
      </c>
      <c r="E3694" s="212" t="s">
        <v>545</v>
      </c>
      <c r="F3694" s="213">
        <v>353</v>
      </c>
      <c r="G3694" s="213">
        <v>0.46500000000000002</v>
      </c>
      <c r="H3694" s="195">
        <f t="shared" si="57"/>
        <v>164.14500000000001</v>
      </c>
      <c r="I3694" s="212" t="s">
        <v>2354</v>
      </c>
    </row>
    <row r="3695" spans="1:9" x14ac:dyDescent="0.25">
      <c r="A3695" s="218" t="s">
        <v>220</v>
      </c>
      <c r="B3695" s="218" t="s">
        <v>5430</v>
      </c>
      <c r="C3695" s="219" t="s">
        <v>4644</v>
      </c>
      <c r="D3695" s="212" t="s">
        <v>4645</v>
      </c>
      <c r="E3695" s="212" t="s">
        <v>545</v>
      </c>
      <c r="F3695" s="213">
        <v>10</v>
      </c>
      <c r="G3695" s="213">
        <v>0.37094660194174761</v>
      </c>
      <c r="H3695" s="195">
        <f t="shared" si="57"/>
        <v>3.709466019417476</v>
      </c>
      <c r="I3695" s="212" t="s">
        <v>2354</v>
      </c>
    </row>
    <row r="3696" spans="1:9" x14ac:dyDescent="0.25">
      <c r="A3696" s="218" t="s">
        <v>220</v>
      </c>
      <c r="B3696" s="218" t="s">
        <v>5430</v>
      </c>
      <c r="C3696" s="219" t="s">
        <v>4648</v>
      </c>
      <c r="D3696" s="212" t="s">
        <v>4649</v>
      </c>
      <c r="E3696" s="212" t="s">
        <v>545</v>
      </c>
      <c r="F3696" s="213">
        <v>315</v>
      </c>
      <c r="G3696" s="213">
        <v>0.125</v>
      </c>
      <c r="H3696" s="195">
        <f t="shared" si="57"/>
        <v>39.375</v>
      </c>
      <c r="I3696" s="212" t="s">
        <v>2354</v>
      </c>
    </row>
    <row r="3697" spans="1:9" x14ac:dyDescent="0.25">
      <c r="A3697" s="218" t="s">
        <v>220</v>
      </c>
      <c r="B3697" s="218" t="s">
        <v>5430</v>
      </c>
      <c r="C3697" s="219" t="s">
        <v>4650</v>
      </c>
      <c r="D3697" s="212" t="s">
        <v>4651</v>
      </c>
      <c r="E3697" s="212" t="s">
        <v>545</v>
      </c>
      <c r="F3697" s="213">
        <v>30</v>
      </c>
      <c r="G3697" s="213">
        <v>0.31014000000000003</v>
      </c>
      <c r="H3697" s="195">
        <f t="shared" si="57"/>
        <v>9.3042000000000016</v>
      </c>
      <c r="I3697" s="212" t="s">
        <v>2354</v>
      </c>
    </row>
    <row r="3698" spans="1:9" x14ac:dyDescent="0.25">
      <c r="A3698" s="218" t="s">
        <v>220</v>
      </c>
      <c r="B3698" s="218" t="s">
        <v>5430</v>
      </c>
      <c r="C3698" s="219" t="s">
        <v>7083</v>
      </c>
      <c r="D3698" s="212" t="s">
        <v>7084</v>
      </c>
      <c r="E3698" s="212" t="s">
        <v>545</v>
      </c>
      <c r="F3698" s="213">
        <v>16</v>
      </c>
      <c r="G3698" s="213">
        <v>16.664999999999999</v>
      </c>
      <c r="H3698" s="195">
        <f t="shared" si="57"/>
        <v>266.64</v>
      </c>
      <c r="I3698" s="212" t="s">
        <v>2354</v>
      </c>
    </row>
    <row r="3699" spans="1:9" x14ac:dyDescent="0.25">
      <c r="A3699" s="218" t="s">
        <v>220</v>
      </c>
      <c r="B3699" s="218" t="s">
        <v>5430</v>
      </c>
      <c r="C3699" s="219" t="s">
        <v>4658</v>
      </c>
      <c r="D3699" s="212" t="s">
        <v>4659</v>
      </c>
      <c r="E3699" s="212" t="s">
        <v>545</v>
      </c>
      <c r="F3699" s="213">
        <v>68</v>
      </c>
      <c r="G3699" s="213">
        <v>0.21568278894472359</v>
      </c>
      <c r="H3699" s="195">
        <f t="shared" si="57"/>
        <v>14.666429648241204</v>
      </c>
      <c r="I3699" s="212" t="s">
        <v>2354</v>
      </c>
    </row>
    <row r="3700" spans="1:9" x14ac:dyDescent="0.25">
      <c r="A3700" s="218" t="s">
        <v>220</v>
      </c>
      <c r="B3700" s="218" t="s">
        <v>5430</v>
      </c>
      <c r="C3700" s="219" t="s">
        <v>4662</v>
      </c>
      <c r="D3700" s="212" t="s">
        <v>4663</v>
      </c>
      <c r="E3700" s="212" t="s">
        <v>545</v>
      </c>
      <c r="F3700" s="213">
        <v>352</v>
      </c>
      <c r="G3700" s="213">
        <v>0.21</v>
      </c>
      <c r="H3700" s="195">
        <f t="shared" si="57"/>
        <v>73.92</v>
      </c>
      <c r="I3700" s="212" t="s">
        <v>2354</v>
      </c>
    </row>
    <row r="3701" spans="1:9" x14ac:dyDescent="0.25">
      <c r="A3701" s="218" t="s">
        <v>220</v>
      </c>
      <c r="B3701" s="218" t="s">
        <v>5430</v>
      </c>
      <c r="C3701" s="219" t="s">
        <v>4664</v>
      </c>
      <c r="D3701" s="212" t="s">
        <v>4665</v>
      </c>
      <c r="E3701" s="212" t="s">
        <v>545</v>
      </c>
      <c r="F3701" s="213">
        <v>110</v>
      </c>
      <c r="G3701" s="213">
        <v>0.28599999999999998</v>
      </c>
      <c r="H3701" s="195">
        <f t="shared" si="57"/>
        <v>31.459999999999997</v>
      </c>
      <c r="I3701" s="212" t="s">
        <v>2354</v>
      </c>
    </row>
    <row r="3702" spans="1:9" x14ac:dyDescent="0.25">
      <c r="A3702" s="218" t="s">
        <v>220</v>
      </c>
      <c r="B3702" s="218" t="s">
        <v>5430</v>
      </c>
      <c r="C3702" s="219" t="s">
        <v>4666</v>
      </c>
      <c r="D3702" s="212" t="s">
        <v>4667</v>
      </c>
      <c r="E3702" s="212" t="s">
        <v>545</v>
      </c>
      <c r="F3702" s="213">
        <v>356</v>
      </c>
      <c r="G3702" s="213">
        <v>0.315</v>
      </c>
      <c r="H3702" s="195">
        <f t="shared" si="57"/>
        <v>112.14</v>
      </c>
      <c r="I3702" s="212" t="s">
        <v>2354</v>
      </c>
    </row>
    <row r="3703" spans="1:9" x14ac:dyDescent="0.25">
      <c r="A3703" s="218" t="s">
        <v>220</v>
      </c>
      <c r="B3703" s="218" t="s">
        <v>5430</v>
      </c>
      <c r="C3703" s="219" t="s">
        <v>4668</v>
      </c>
      <c r="D3703" s="212" t="s">
        <v>4669</v>
      </c>
      <c r="E3703" s="212" t="s">
        <v>545</v>
      </c>
      <c r="F3703" s="213">
        <v>58</v>
      </c>
      <c r="G3703" s="213">
        <v>1.0674870607734805</v>
      </c>
      <c r="H3703" s="195">
        <f t="shared" si="57"/>
        <v>61.914249524861873</v>
      </c>
      <c r="I3703" s="212" t="s">
        <v>2354</v>
      </c>
    </row>
    <row r="3704" spans="1:9" x14ac:dyDescent="0.25">
      <c r="A3704" s="218" t="s">
        <v>220</v>
      </c>
      <c r="B3704" s="218" t="s">
        <v>5430</v>
      </c>
      <c r="C3704" s="219" t="s">
        <v>4670</v>
      </c>
      <c r="D3704" s="212" t="s">
        <v>4671</v>
      </c>
      <c r="E3704" s="212" t="s">
        <v>545</v>
      </c>
      <c r="F3704" s="213">
        <v>78</v>
      </c>
      <c r="G3704" s="213">
        <v>0.48299999999999998</v>
      </c>
      <c r="H3704" s="195">
        <f t="shared" si="57"/>
        <v>37.673999999999999</v>
      </c>
      <c r="I3704" s="212" t="s">
        <v>2354</v>
      </c>
    </row>
    <row r="3705" spans="1:9" x14ac:dyDescent="0.25">
      <c r="A3705" s="218" t="s">
        <v>220</v>
      </c>
      <c r="B3705" s="218" t="s">
        <v>5430</v>
      </c>
      <c r="C3705" s="219" t="s">
        <v>4672</v>
      </c>
      <c r="D3705" s="212" t="s">
        <v>4673</v>
      </c>
      <c r="E3705" s="212" t="s">
        <v>545</v>
      </c>
      <c r="F3705" s="213">
        <v>50</v>
      </c>
      <c r="G3705" s="213">
        <v>1.1539999999999999</v>
      </c>
      <c r="H3705" s="195">
        <f t="shared" si="57"/>
        <v>57.699999999999996</v>
      </c>
      <c r="I3705" s="212" t="s">
        <v>2354</v>
      </c>
    </row>
    <row r="3706" spans="1:9" x14ac:dyDescent="0.25">
      <c r="A3706" s="218" t="s">
        <v>220</v>
      </c>
      <c r="B3706" s="218" t="s">
        <v>5430</v>
      </c>
      <c r="C3706" s="219" t="s">
        <v>4674</v>
      </c>
      <c r="D3706" s="212" t="s">
        <v>4675</v>
      </c>
      <c r="E3706" s="212" t="s">
        <v>545</v>
      </c>
      <c r="F3706" s="213">
        <v>102</v>
      </c>
      <c r="G3706" s="213">
        <v>1.5189999999999999</v>
      </c>
      <c r="H3706" s="195">
        <f t="shared" si="57"/>
        <v>154.93799999999999</v>
      </c>
      <c r="I3706" s="212" t="s">
        <v>2354</v>
      </c>
    </row>
    <row r="3707" spans="1:9" x14ac:dyDescent="0.25">
      <c r="A3707" s="218" t="s">
        <v>220</v>
      </c>
      <c r="B3707" s="218" t="s">
        <v>5430</v>
      </c>
      <c r="C3707" s="223" t="s">
        <v>4676</v>
      </c>
      <c r="D3707" s="212" t="s">
        <v>4677</v>
      </c>
      <c r="E3707" s="212" t="s">
        <v>545</v>
      </c>
      <c r="F3707" s="213">
        <v>310</v>
      </c>
      <c r="G3707" s="213">
        <v>1.8360000000000001</v>
      </c>
      <c r="H3707" s="195">
        <f t="shared" si="57"/>
        <v>569.16</v>
      </c>
      <c r="I3707" s="212" t="s">
        <v>2354</v>
      </c>
    </row>
    <row r="3708" spans="1:9" x14ac:dyDescent="0.25">
      <c r="A3708" s="218" t="s">
        <v>220</v>
      </c>
      <c r="B3708" s="218" t="s">
        <v>5430</v>
      </c>
      <c r="C3708" s="219" t="s">
        <v>7085</v>
      </c>
      <c r="D3708" s="212" t="s">
        <v>7086</v>
      </c>
      <c r="E3708" s="212" t="s">
        <v>545</v>
      </c>
      <c r="F3708" s="213">
        <v>10</v>
      </c>
      <c r="G3708" s="213">
        <v>1.6758299999999999</v>
      </c>
      <c r="H3708" s="195">
        <f t="shared" si="57"/>
        <v>16.758299999999998</v>
      </c>
      <c r="I3708" s="212" t="s">
        <v>2354</v>
      </c>
    </row>
    <row r="3709" spans="1:9" x14ac:dyDescent="0.25">
      <c r="A3709" s="218" t="s">
        <v>220</v>
      </c>
      <c r="B3709" s="218" t="s">
        <v>5430</v>
      </c>
      <c r="C3709" s="219" t="s">
        <v>4680</v>
      </c>
      <c r="D3709" s="212" t="s">
        <v>4681</v>
      </c>
      <c r="E3709" s="212" t="s">
        <v>545</v>
      </c>
      <c r="F3709" s="213">
        <v>66</v>
      </c>
      <c r="G3709" s="213">
        <v>0.46</v>
      </c>
      <c r="H3709" s="195">
        <f t="shared" si="57"/>
        <v>30.360000000000003</v>
      </c>
      <c r="I3709" s="212" t="s">
        <v>2354</v>
      </c>
    </row>
    <row r="3710" spans="1:9" x14ac:dyDescent="0.25">
      <c r="A3710" s="218" t="s">
        <v>220</v>
      </c>
      <c r="B3710" s="218" t="s">
        <v>5430</v>
      </c>
      <c r="C3710" s="219" t="s">
        <v>5382</v>
      </c>
      <c r="D3710" s="212" t="s">
        <v>5383</v>
      </c>
      <c r="E3710" s="212" t="s">
        <v>545</v>
      </c>
      <c r="F3710" s="213">
        <v>253</v>
      </c>
      <c r="G3710" s="213">
        <v>0.45100000000000001</v>
      </c>
      <c r="H3710" s="195">
        <f t="shared" si="57"/>
        <v>114.10300000000001</v>
      </c>
      <c r="I3710" s="212" t="s">
        <v>2354</v>
      </c>
    </row>
    <row r="3711" spans="1:9" x14ac:dyDescent="0.25">
      <c r="A3711" s="218" t="s">
        <v>220</v>
      </c>
      <c r="B3711" s="218" t="s">
        <v>5430</v>
      </c>
      <c r="C3711" s="219" t="s">
        <v>4682</v>
      </c>
      <c r="D3711" s="212" t="s">
        <v>4683</v>
      </c>
      <c r="E3711" s="212" t="s">
        <v>545</v>
      </c>
      <c r="F3711" s="213">
        <v>158</v>
      </c>
      <c r="G3711" s="213">
        <v>0.90400000000000003</v>
      </c>
      <c r="H3711" s="195">
        <f t="shared" si="57"/>
        <v>142.83199999999999</v>
      </c>
      <c r="I3711" s="212" t="s">
        <v>2354</v>
      </c>
    </row>
    <row r="3712" spans="1:9" x14ac:dyDescent="0.25">
      <c r="A3712" s="218" t="s">
        <v>220</v>
      </c>
      <c r="B3712" s="218" t="s">
        <v>5430</v>
      </c>
      <c r="C3712" s="219" t="s">
        <v>4684</v>
      </c>
      <c r="D3712" s="212" t="s">
        <v>4685</v>
      </c>
      <c r="E3712" s="212" t="s">
        <v>545</v>
      </c>
      <c r="F3712" s="213">
        <v>6</v>
      </c>
      <c r="G3712" s="213">
        <v>11.813000000000001</v>
      </c>
      <c r="H3712" s="195">
        <f t="shared" si="57"/>
        <v>70.878</v>
      </c>
      <c r="I3712" s="212" t="s">
        <v>2354</v>
      </c>
    </row>
    <row r="3713" spans="1:9" x14ac:dyDescent="0.25">
      <c r="A3713" s="218" t="s">
        <v>220</v>
      </c>
      <c r="B3713" s="218" t="s">
        <v>5430</v>
      </c>
      <c r="C3713" s="219" t="s">
        <v>7087</v>
      </c>
      <c r="D3713" s="212" t="s">
        <v>7088</v>
      </c>
      <c r="E3713" s="212" t="s">
        <v>545</v>
      </c>
      <c r="F3713" s="213">
        <v>1</v>
      </c>
      <c r="G3713" s="213">
        <v>31.827850000000002</v>
      </c>
      <c r="H3713" s="195">
        <f t="shared" si="57"/>
        <v>31.827850000000002</v>
      </c>
      <c r="I3713" s="212" t="s">
        <v>2354</v>
      </c>
    </row>
    <row r="3714" spans="1:9" x14ac:dyDescent="0.25">
      <c r="A3714" s="218" t="s">
        <v>220</v>
      </c>
      <c r="B3714" s="218" t="s">
        <v>5430</v>
      </c>
      <c r="C3714" s="219" t="s">
        <v>4690</v>
      </c>
      <c r="D3714" s="212" t="s">
        <v>4691</v>
      </c>
      <c r="E3714" s="212" t="s">
        <v>545</v>
      </c>
      <c r="F3714" s="213">
        <v>150</v>
      </c>
      <c r="G3714" s="213">
        <v>0.62900999999999996</v>
      </c>
      <c r="H3714" s="195">
        <f t="shared" si="57"/>
        <v>94.351499999999987</v>
      </c>
      <c r="I3714" s="212" t="s">
        <v>2354</v>
      </c>
    </row>
    <row r="3715" spans="1:9" x14ac:dyDescent="0.25">
      <c r="A3715" s="218" t="s">
        <v>220</v>
      </c>
      <c r="B3715" s="218" t="s">
        <v>5430</v>
      </c>
      <c r="C3715" s="219" t="s">
        <v>4696</v>
      </c>
      <c r="D3715" s="212" t="s">
        <v>4697</v>
      </c>
      <c r="E3715" s="212" t="s">
        <v>545</v>
      </c>
      <c r="F3715" s="213">
        <v>245</v>
      </c>
      <c r="G3715" s="213">
        <v>1.0529999999999999</v>
      </c>
      <c r="H3715" s="195">
        <f t="shared" si="57"/>
        <v>257.98499999999996</v>
      </c>
      <c r="I3715" s="212" t="s">
        <v>2354</v>
      </c>
    </row>
    <row r="3716" spans="1:9" x14ac:dyDescent="0.25">
      <c r="A3716" s="218" t="s">
        <v>220</v>
      </c>
      <c r="B3716" s="218" t="s">
        <v>5430</v>
      </c>
      <c r="C3716" s="219" t="s">
        <v>7089</v>
      </c>
      <c r="D3716" s="212" t="s">
        <v>7090</v>
      </c>
      <c r="E3716" s="212" t="s">
        <v>545</v>
      </c>
      <c r="F3716" s="213">
        <v>145</v>
      </c>
      <c r="G3716" s="213">
        <v>0.35899999999999999</v>
      </c>
      <c r="H3716" s="195">
        <f t="shared" si="57"/>
        <v>52.055</v>
      </c>
      <c r="I3716" s="212" t="s">
        <v>2354</v>
      </c>
    </row>
    <row r="3717" spans="1:9" x14ac:dyDescent="0.25">
      <c r="A3717" s="218" t="s">
        <v>220</v>
      </c>
      <c r="B3717" s="218" t="s">
        <v>5430</v>
      </c>
      <c r="C3717" s="219" t="s">
        <v>4698</v>
      </c>
      <c r="D3717" s="212" t="s">
        <v>4699</v>
      </c>
      <c r="E3717" s="212" t="s">
        <v>545</v>
      </c>
      <c r="F3717" s="213">
        <v>215</v>
      </c>
      <c r="G3717" s="213">
        <v>0.998</v>
      </c>
      <c r="H3717" s="195">
        <f t="shared" ref="H3717:H3780" si="58">+F3717*G3717</f>
        <v>214.57</v>
      </c>
      <c r="I3717" s="212" t="s">
        <v>2354</v>
      </c>
    </row>
    <row r="3718" spans="1:9" x14ac:dyDescent="0.25">
      <c r="A3718" s="218" t="s">
        <v>220</v>
      </c>
      <c r="B3718" s="218" t="s">
        <v>5430</v>
      </c>
      <c r="C3718" s="219" t="s">
        <v>7091</v>
      </c>
      <c r="D3718" s="212" t="s">
        <v>7092</v>
      </c>
      <c r="E3718" s="212" t="s">
        <v>545</v>
      </c>
      <c r="F3718" s="213">
        <v>2</v>
      </c>
      <c r="G3718" s="213">
        <v>27.785699999999999</v>
      </c>
      <c r="H3718" s="195">
        <f t="shared" si="58"/>
        <v>55.571399999999997</v>
      </c>
      <c r="I3718" s="212" t="s">
        <v>2354</v>
      </c>
    </row>
    <row r="3719" spans="1:9" x14ac:dyDescent="0.25">
      <c r="A3719" s="218" t="s">
        <v>220</v>
      </c>
      <c r="B3719" s="218" t="s">
        <v>5430</v>
      </c>
      <c r="C3719" s="219" t="s">
        <v>7093</v>
      </c>
      <c r="D3719" s="212" t="s">
        <v>7094</v>
      </c>
      <c r="E3719" s="212" t="s">
        <v>545</v>
      </c>
      <c r="F3719" s="213">
        <v>1</v>
      </c>
      <c r="G3719" s="213">
        <v>7.6959</v>
      </c>
      <c r="H3719" s="195">
        <f t="shared" si="58"/>
        <v>7.6959</v>
      </c>
      <c r="I3719" s="212" t="s">
        <v>2354</v>
      </c>
    </row>
    <row r="3720" spans="1:9" x14ac:dyDescent="0.25">
      <c r="A3720" s="218" t="s">
        <v>220</v>
      </c>
      <c r="B3720" s="218" t="s">
        <v>5430</v>
      </c>
      <c r="C3720" s="219" t="s">
        <v>4702</v>
      </c>
      <c r="D3720" s="212" t="s">
        <v>4703</v>
      </c>
      <c r="E3720" s="212" t="s">
        <v>545</v>
      </c>
      <c r="F3720" s="213">
        <v>218</v>
      </c>
      <c r="G3720" s="213">
        <v>0.12065255813953489</v>
      </c>
      <c r="H3720" s="195">
        <f t="shared" si="58"/>
        <v>26.302257674418605</v>
      </c>
      <c r="I3720" s="212" t="s">
        <v>2354</v>
      </c>
    </row>
    <row r="3721" spans="1:9" x14ac:dyDescent="0.25">
      <c r="A3721" s="218" t="s">
        <v>220</v>
      </c>
      <c r="B3721" s="218" t="s">
        <v>5430</v>
      </c>
      <c r="C3721" s="219" t="s">
        <v>7095</v>
      </c>
      <c r="D3721" s="212" t="s">
        <v>7096</v>
      </c>
      <c r="E3721" s="212" t="s">
        <v>545</v>
      </c>
      <c r="F3721" s="213">
        <v>180</v>
      </c>
      <c r="G3721" s="213">
        <v>0.626</v>
      </c>
      <c r="H3721" s="195">
        <f t="shared" si="58"/>
        <v>112.68</v>
      </c>
      <c r="I3721" s="212" t="s">
        <v>2354</v>
      </c>
    </row>
    <row r="3722" spans="1:9" x14ac:dyDescent="0.25">
      <c r="A3722" s="218" t="s">
        <v>220</v>
      </c>
      <c r="B3722" s="218" t="s">
        <v>5430</v>
      </c>
      <c r="C3722" s="219" t="s">
        <v>7097</v>
      </c>
      <c r="D3722" s="212" t="s">
        <v>7098</v>
      </c>
      <c r="E3722" s="212" t="s">
        <v>545</v>
      </c>
      <c r="F3722" s="213">
        <v>154</v>
      </c>
      <c r="G3722" s="213">
        <v>1.4379999999999999</v>
      </c>
      <c r="H3722" s="195">
        <f t="shared" si="58"/>
        <v>221.452</v>
      </c>
      <c r="I3722" s="212" t="s">
        <v>2354</v>
      </c>
    </row>
    <row r="3723" spans="1:9" x14ac:dyDescent="0.25">
      <c r="A3723" s="218" t="s">
        <v>220</v>
      </c>
      <c r="B3723" s="218" t="s">
        <v>5430</v>
      </c>
      <c r="C3723" s="219" t="s">
        <v>7099</v>
      </c>
      <c r="D3723" s="212" t="s">
        <v>7100</v>
      </c>
      <c r="E3723" s="212" t="s">
        <v>545</v>
      </c>
      <c r="F3723" s="213">
        <v>32</v>
      </c>
      <c r="G3723" s="213">
        <v>1.7415</v>
      </c>
      <c r="H3723" s="195">
        <f t="shared" si="58"/>
        <v>55.728000000000002</v>
      </c>
      <c r="I3723" s="212" t="s">
        <v>2354</v>
      </c>
    </row>
    <row r="3724" spans="1:9" x14ac:dyDescent="0.25">
      <c r="A3724" s="218" t="s">
        <v>220</v>
      </c>
      <c r="B3724" s="218" t="s">
        <v>5430</v>
      </c>
      <c r="C3724" s="219" t="s">
        <v>7101</v>
      </c>
      <c r="D3724" s="212" t="s">
        <v>7102</v>
      </c>
      <c r="E3724" s="212" t="s">
        <v>545</v>
      </c>
      <c r="F3724" s="213">
        <v>76</v>
      </c>
      <c r="G3724" s="213">
        <v>0.41777999999999998</v>
      </c>
      <c r="H3724" s="195">
        <f t="shared" si="58"/>
        <v>31.751279999999998</v>
      </c>
      <c r="I3724" s="212" t="s">
        <v>2354</v>
      </c>
    </row>
    <row r="3725" spans="1:9" x14ac:dyDescent="0.25">
      <c r="A3725" s="218" t="s">
        <v>220</v>
      </c>
      <c r="B3725" s="218" t="s">
        <v>5430</v>
      </c>
      <c r="C3725" s="219" t="s">
        <v>7103</v>
      </c>
      <c r="D3725" s="212" t="s">
        <v>7104</v>
      </c>
      <c r="E3725" s="212" t="s">
        <v>2387</v>
      </c>
      <c r="F3725" s="213">
        <v>6</v>
      </c>
      <c r="G3725" s="213">
        <v>24.087599999999998</v>
      </c>
      <c r="H3725" s="195">
        <f t="shared" si="58"/>
        <v>144.5256</v>
      </c>
      <c r="I3725" s="212" t="s">
        <v>2354</v>
      </c>
    </row>
    <row r="3726" spans="1:9" x14ac:dyDescent="0.25">
      <c r="A3726" s="218" t="s">
        <v>220</v>
      </c>
      <c r="B3726" s="218" t="s">
        <v>5430</v>
      </c>
      <c r="C3726" s="219" t="s">
        <v>7105</v>
      </c>
      <c r="D3726" s="212" t="s">
        <v>7106</v>
      </c>
      <c r="E3726" s="212" t="s">
        <v>2387</v>
      </c>
      <c r="F3726" s="213">
        <v>25</v>
      </c>
      <c r="G3726" s="213">
        <v>0</v>
      </c>
      <c r="H3726" s="195">
        <f t="shared" si="58"/>
        <v>0</v>
      </c>
      <c r="I3726" s="212" t="s">
        <v>2354</v>
      </c>
    </row>
    <row r="3727" spans="1:9" x14ac:dyDescent="0.25">
      <c r="A3727" s="218" t="s">
        <v>220</v>
      </c>
      <c r="B3727" s="218" t="s">
        <v>5430</v>
      </c>
      <c r="C3727" s="219" t="s">
        <v>7107</v>
      </c>
      <c r="D3727" s="212" t="s">
        <v>7108</v>
      </c>
      <c r="E3727" s="212" t="s">
        <v>545</v>
      </c>
      <c r="F3727" s="213">
        <v>255</v>
      </c>
      <c r="G3727" s="213">
        <v>0.22184999999999999</v>
      </c>
      <c r="H3727" s="195">
        <f t="shared" si="58"/>
        <v>56.571749999999994</v>
      </c>
      <c r="I3727" s="212" t="s">
        <v>2354</v>
      </c>
    </row>
    <row r="3728" spans="1:9" x14ac:dyDescent="0.25">
      <c r="A3728" s="218" t="s">
        <v>220</v>
      </c>
      <c r="B3728" s="218" t="s">
        <v>5430</v>
      </c>
      <c r="C3728" s="219" t="s">
        <v>7109</v>
      </c>
      <c r="D3728" s="212" t="s">
        <v>7110</v>
      </c>
      <c r="E3728" s="212" t="s">
        <v>545</v>
      </c>
      <c r="F3728" s="213">
        <v>85</v>
      </c>
      <c r="G3728" s="213">
        <v>0.29325000000000001</v>
      </c>
      <c r="H3728" s="195">
        <f t="shared" si="58"/>
        <v>24.92625</v>
      </c>
      <c r="I3728" s="212" t="s">
        <v>2354</v>
      </c>
    </row>
    <row r="3729" spans="1:9" x14ac:dyDescent="0.25">
      <c r="A3729" s="218" t="s">
        <v>220</v>
      </c>
      <c r="B3729" s="218" t="s">
        <v>5430</v>
      </c>
      <c r="C3729" s="219" t="s">
        <v>7111</v>
      </c>
      <c r="D3729" s="212" t="s">
        <v>7112</v>
      </c>
      <c r="E3729" s="212" t="s">
        <v>545</v>
      </c>
      <c r="F3729" s="213">
        <v>42</v>
      </c>
      <c r="G3729" s="213">
        <v>8.9249999999999996E-2</v>
      </c>
      <c r="H3729" s="195">
        <f t="shared" si="58"/>
        <v>3.7484999999999999</v>
      </c>
      <c r="I3729" s="212" t="s">
        <v>2354</v>
      </c>
    </row>
    <row r="3730" spans="1:9" x14ac:dyDescent="0.25">
      <c r="A3730" s="218" t="s">
        <v>220</v>
      </c>
      <c r="B3730" s="218" t="s">
        <v>5430</v>
      </c>
      <c r="C3730" s="219" t="s">
        <v>4714</v>
      </c>
      <c r="D3730" s="212" t="s">
        <v>4715</v>
      </c>
      <c r="E3730" s="212" t="s">
        <v>545</v>
      </c>
      <c r="F3730" s="213">
        <v>65</v>
      </c>
      <c r="G3730" s="213">
        <v>0.32140750000000007</v>
      </c>
      <c r="H3730" s="195">
        <f t="shared" si="58"/>
        <v>20.891487500000004</v>
      </c>
      <c r="I3730" s="212" t="s">
        <v>2354</v>
      </c>
    </row>
    <row r="3731" spans="1:9" x14ac:dyDescent="0.25">
      <c r="A3731" s="218" t="s">
        <v>220</v>
      </c>
      <c r="B3731" s="218" t="s">
        <v>5430</v>
      </c>
      <c r="C3731" s="219" t="s">
        <v>4716</v>
      </c>
      <c r="D3731" s="212" t="s">
        <v>4717</v>
      </c>
      <c r="E3731" s="212" t="s">
        <v>545</v>
      </c>
      <c r="F3731" s="213">
        <v>125</v>
      </c>
      <c r="G3731" s="213">
        <v>0.25700000000000001</v>
      </c>
      <c r="H3731" s="195">
        <f t="shared" si="58"/>
        <v>32.125</v>
      </c>
      <c r="I3731" s="212" t="s">
        <v>2354</v>
      </c>
    </row>
    <row r="3732" spans="1:9" x14ac:dyDescent="0.25">
      <c r="A3732" s="218" t="s">
        <v>220</v>
      </c>
      <c r="B3732" s="218" t="s">
        <v>5430</v>
      </c>
      <c r="C3732" s="219" t="s">
        <v>7113</v>
      </c>
      <c r="D3732" s="212" t="s">
        <v>7114</v>
      </c>
      <c r="E3732" s="212" t="s">
        <v>545</v>
      </c>
      <c r="F3732" s="213">
        <v>85</v>
      </c>
      <c r="G3732" s="213">
        <v>0.16392999999999999</v>
      </c>
      <c r="H3732" s="195">
        <f t="shared" si="58"/>
        <v>13.934049999999999</v>
      </c>
      <c r="I3732" s="212" t="s">
        <v>2354</v>
      </c>
    </row>
    <row r="3733" spans="1:9" x14ac:dyDescent="0.25">
      <c r="A3733" s="218" t="s">
        <v>220</v>
      </c>
      <c r="B3733" s="218" t="s">
        <v>5430</v>
      </c>
      <c r="C3733" s="219" t="s">
        <v>4718</v>
      </c>
      <c r="D3733" s="212" t="s">
        <v>4719</v>
      </c>
      <c r="E3733" s="212" t="s">
        <v>545</v>
      </c>
      <c r="F3733" s="213">
        <v>54</v>
      </c>
      <c r="G3733" s="213">
        <v>0.51200000000000001</v>
      </c>
      <c r="H3733" s="195">
        <f t="shared" si="58"/>
        <v>27.648</v>
      </c>
      <c r="I3733" s="212" t="s">
        <v>2354</v>
      </c>
    </row>
    <row r="3734" spans="1:9" x14ac:dyDescent="0.25">
      <c r="A3734" s="218" t="s">
        <v>220</v>
      </c>
      <c r="B3734" s="218" t="s">
        <v>5430</v>
      </c>
      <c r="C3734" s="219" t="s">
        <v>7115</v>
      </c>
      <c r="D3734" s="212" t="s">
        <v>7116</v>
      </c>
      <c r="E3734" s="212" t="s">
        <v>545</v>
      </c>
      <c r="F3734" s="213">
        <v>580</v>
      </c>
      <c r="G3734" s="213">
        <v>0.54154999999999998</v>
      </c>
      <c r="H3734" s="195">
        <f t="shared" si="58"/>
        <v>314.09899999999999</v>
      </c>
      <c r="I3734" s="212" t="s">
        <v>2354</v>
      </c>
    </row>
    <row r="3735" spans="1:9" x14ac:dyDescent="0.25">
      <c r="A3735" s="218" t="s">
        <v>220</v>
      </c>
      <c r="B3735" s="218" t="s">
        <v>5430</v>
      </c>
      <c r="C3735" s="219" t="s">
        <v>4738</v>
      </c>
      <c r="D3735" s="212" t="s">
        <v>4739</v>
      </c>
      <c r="E3735" s="212" t="s">
        <v>545</v>
      </c>
      <c r="F3735" s="213">
        <v>96</v>
      </c>
      <c r="G3735" s="213">
        <v>0.2328625924314919</v>
      </c>
      <c r="H3735" s="195">
        <f t="shared" si="58"/>
        <v>22.354808873423224</v>
      </c>
      <c r="I3735" s="212" t="s">
        <v>2354</v>
      </c>
    </row>
    <row r="3736" spans="1:9" x14ac:dyDescent="0.25">
      <c r="A3736" s="218" t="s">
        <v>220</v>
      </c>
      <c r="B3736" s="218" t="s">
        <v>5430</v>
      </c>
      <c r="C3736" s="219" t="s">
        <v>7117</v>
      </c>
      <c r="D3736" s="212" t="s">
        <v>7118</v>
      </c>
      <c r="E3736" s="212" t="s">
        <v>545</v>
      </c>
      <c r="F3736" s="213">
        <v>4</v>
      </c>
      <c r="G3736" s="213">
        <v>5.3379000000000003</v>
      </c>
      <c r="H3736" s="195">
        <f t="shared" si="58"/>
        <v>21.351600000000001</v>
      </c>
      <c r="I3736" s="212" t="s">
        <v>2354</v>
      </c>
    </row>
    <row r="3737" spans="1:9" x14ac:dyDescent="0.25">
      <c r="A3737" s="218" t="s">
        <v>220</v>
      </c>
      <c r="B3737" s="218" t="s">
        <v>5430</v>
      </c>
      <c r="C3737" s="219" t="s">
        <v>7119</v>
      </c>
      <c r="D3737" s="212" t="s">
        <v>7120</v>
      </c>
      <c r="E3737" s="212" t="s">
        <v>545</v>
      </c>
      <c r="F3737" s="213">
        <v>4</v>
      </c>
      <c r="G3737" s="213">
        <v>53.29</v>
      </c>
      <c r="H3737" s="195">
        <f t="shared" si="58"/>
        <v>213.16</v>
      </c>
      <c r="I3737" s="212" t="s">
        <v>2354</v>
      </c>
    </row>
    <row r="3738" spans="1:9" x14ac:dyDescent="0.25">
      <c r="A3738" s="218" t="s">
        <v>220</v>
      </c>
      <c r="B3738" s="218" t="s">
        <v>5430</v>
      </c>
      <c r="C3738" s="219" t="s">
        <v>7121</v>
      </c>
      <c r="D3738" s="212" t="s">
        <v>4741</v>
      </c>
      <c r="E3738" s="212" t="s">
        <v>545</v>
      </c>
      <c r="F3738" s="213">
        <v>5</v>
      </c>
      <c r="G3738" s="213">
        <v>23.007999999999999</v>
      </c>
      <c r="H3738" s="195">
        <f t="shared" si="58"/>
        <v>115.03999999999999</v>
      </c>
      <c r="I3738" s="212" t="s">
        <v>2354</v>
      </c>
    </row>
    <row r="3739" spans="1:9" x14ac:dyDescent="0.25">
      <c r="A3739" s="218" t="s">
        <v>220</v>
      </c>
      <c r="B3739" s="218" t="s">
        <v>5430</v>
      </c>
      <c r="C3739" s="219" t="s">
        <v>7122</v>
      </c>
      <c r="D3739" s="212" t="s">
        <v>4743</v>
      </c>
      <c r="E3739" s="212" t="s">
        <v>545</v>
      </c>
      <c r="F3739" s="210">
        <v>1</v>
      </c>
      <c r="G3739" s="213">
        <v>36.194000000000003</v>
      </c>
      <c r="H3739" s="195">
        <f t="shared" si="58"/>
        <v>36.194000000000003</v>
      </c>
      <c r="I3739" s="212" t="s">
        <v>2354</v>
      </c>
    </row>
    <row r="3740" spans="1:9" x14ac:dyDescent="0.25">
      <c r="A3740" s="218" t="s">
        <v>220</v>
      </c>
      <c r="B3740" s="218" t="s">
        <v>5430</v>
      </c>
      <c r="C3740" s="219" t="s">
        <v>7123</v>
      </c>
      <c r="D3740" s="212" t="s">
        <v>7124</v>
      </c>
      <c r="E3740" s="212" t="s">
        <v>545</v>
      </c>
      <c r="F3740" s="213">
        <v>2</v>
      </c>
      <c r="G3740" s="213">
        <v>69</v>
      </c>
      <c r="H3740" s="195">
        <f t="shared" si="58"/>
        <v>138</v>
      </c>
      <c r="I3740" s="212" t="s">
        <v>2354</v>
      </c>
    </row>
    <row r="3741" spans="1:9" x14ac:dyDescent="0.25">
      <c r="A3741" s="218" t="s">
        <v>220</v>
      </c>
      <c r="B3741" s="218" t="s">
        <v>5430</v>
      </c>
      <c r="C3741" s="219" t="s">
        <v>4752</v>
      </c>
      <c r="D3741" s="212" t="s">
        <v>4753</v>
      </c>
      <c r="E3741" s="212" t="s">
        <v>545</v>
      </c>
      <c r="F3741" s="224">
        <v>4</v>
      </c>
      <c r="G3741" s="213">
        <v>5.5488</v>
      </c>
      <c r="H3741" s="195">
        <f t="shared" si="58"/>
        <v>22.1952</v>
      </c>
      <c r="I3741" s="212" t="s">
        <v>2354</v>
      </c>
    </row>
    <row r="3742" spans="1:9" x14ac:dyDescent="0.25">
      <c r="A3742" s="218" t="s">
        <v>220</v>
      </c>
      <c r="B3742" s="218" t="s">
        <v>5430</v>
      </c>
      <c r="C3742" s="219" t="s">
        <v>7125</v>
      </c>
      <c r="D3742" s="212" t="s">
        <v>7126</v>
      </c>
      <c r="E3742" s="212" t="s">
        <v>545</v>
      </c>
      <c r="F3742" s="213">
        <v>4</v>
      </c>
      <c r="G3742" s="213">
        <v>36.801642857142852</v>
      </c>
      <c r="H3742" s="195">
        <f t="shared" si="58"/>
        <v>147.20657142857141</v>
      </c>
      <c r="I3742" s="212" t="s">
        <v>2354</v>
      </c>
    </row>
    <row r="3743" spans="1:9" x14ac:dyDescent="0.25">
      <c r="A3743" s="218" t="s">
        <v>220</v>
      </c>
      <c r="B3743" s="218" t="s">
        <v>5430</v>
      </c>
      <c r="C3743" s="219" t="s">
        <v>7127</v>
      </c>
      <c r="D3743" s="212" t="s">
        <v>7128</v>
      </c>
      <c r="E3743" s="212" t="s">
        <v>545</v>
      </c>
      <c r="F3743" s="220">
        <v>68</v>
      </c>
      <c r="G3743" s="213">
        <v>0.55342000000000002</v>
      </c>
      <c r="H3743" s="195">
        <f t="shared" si="58"/>
        <v>37.632559999999998</v>
      </c>
      <c r="I3743" s="212" t="s">
        <v>2354</v>
      </c>
    </row>
    <row r="3744" spans="1:9" x14ac:dyDescent="0.25">
      <c r="A3744" s="218" t="s">
        <v>220</v>
      </c>
      <c r="B3744" s="218" t="s">
        <v>5430</v>
      </c>
      <c r="C3744" s="219" t="s">
        <v>4760</v>
      </c>
      <c r="D3744" s="212" t="s">
        <v>4761</v>
      </c>
      <c r="E3744" s="212" t="s">
        <v>545</v>
      </c>
      <c r="F3744" s="213">
        <v>44</v>
      </c>
      <c r="G3744" s="213">
        <v>0.127</v>
      </c>
      <c r="H3744" s="195">
        <f t="shared" si="58"/>
        <v>5.5880000000000001</v>
      </c>
      <c r="I3744" s="212" t="s">
        <v>2354</v>
      </c>
    </row>
    <row r="3745" spans="1:9" x14ac:dyDescent="0.25">
      <c r="A3745" s="218" t="s">
        <v>220</v>
      </c>
      <c r="B3745" s="218" t="s">
        <v>5430</v>
      </c>
      <c r="C3745" s="219" t="s">
        <v>7129</v>
      </c>
      <c r="D3745" s="212" t="s">
        <v>7130</v>
      </c>
      <c r="E3745" s="212" t="s">
        <v>545</v>
      </c>
      <c r="F3745" s="213">
        <v>8</v>
      </c>
      <c r="G3745" s="213">
        <v>6.2620000000000005</v>
      </c>
      <c r="H3745" s="195">
        <f t="shared" si="58"/>
        <v>50.096000000000004</v>
      </c>
      <c r="I3745" s="212" t="s">
        <v>2354</v>
      </c>
    </row>
    <row r="3746" spans="1:9" x14ac:dyDescent="0.25">
      <c r="A3746" s="218" t="s">
        <v>220</v>
      </c>
      <c r="B3746" s="218" t="s">
        <v>5430</v>
      </c>
      <c r="C3746" s="219" t="s">
        <v>7131</v>
      </c>
      <c r="D3746" s="212" t="s">
        <v>7132</v>
      </c>
      <c r="E3746" s="212" t="s">
        <v>545</v>
      </c>
      <c r="F3746" s="213">
        <v>10</v>
      </c>
      <c r="G3746" s="213">
        <v>20.2</v>
      </c>
      <c r="H3746" s="195">
        <f t="shared" si="58"/>
        <v>202</v>
      </c>
      <c r="I3746" s="212" t="s">
        <v>2354</v>
      </c>
    </row>
    <row r="3747" spans="1:9" x14ac:dyDescent="0.25">
      <c r="A3747" s="218" t="s">
        <v>220</v>
      </c>
      <c r="B3747" s="218" t="s">
        <v>5430</v>
      </c>
      <c r="C3747" s="219" t="s">
        <v>7133</v>
      </c>
      <c r="D3747" s="212" t="s">
        <v>7134</v>
      </c>
      <c r="E3747" s="212" t="s">
        <v>545</v>
      </c>
      <c r="F3747" s="210">
        <v>3</v>
      </c>
      <c r="G3747" s="213">
        <v>2.1184599999999998</v>
      </c>
      <c r="H3747" s="195">
        <f t="shared" si="58"/>
        <v>6.3553799999999994</v>
      </c>
      <c r="I3747" s="212" t="s">
        <v>2354</v>
      </c>
    </row>
    <row r="3748" spans="1:9" x14ac:dyDescent="0.25">
      <c r="A3748" s="218" t="s">
        <v>220</v>
      </c>
      <c r="B3748" s="218" t="s">
        <v>5430</v>
      </c>
      <c r="C3748" s="219" t="s">
        <v>7135</v>
      </c>
      <c r="D3748" s="212" t="s">
        <v>7136</v>
      </c>
      <c r="E3748" s="212" t="s">
        <v>545</v>
      </c>
      <c r="F3748" s="213">
        <v>4</v>
      </c>
      <c r="G3748" s="213">
        <v>37.643999999999998</v>
      </c>
      <c r="H3748" s="195">
        <f t="shared" si="58"/>
        <v>150.57599999999999</v>
      </c>
      <c r="I3748" s="212" t="s">
        <v>2354</v>
      </c>
    </row>
    <row r="3749" spans="1:9" x14ac:dyDescent="0.25">
      <c r="A3749" s="218" t="s">
        <v>220</v>
      </c>
      <c r="B3749" s="218" t="s">
        <v>5430</v>
      </c>
      <c r="C3749" s="219" t="s">
        <v>7137</v>
      </c>
      <c r="D3749" s="212" t="s">
        <v>7138</v>
      </c>
      <c r="E3749" s="212" t="s">
        <v>545</v>
      </c>
      <c r="F3749" s="220">
        <v>54</v>
      </c>
      <c r="G3749" s="213">
        <v>1.5966</v>
      </c>
      <c r="H3749" s="195">
        <f t="shared" si="58"/>
        <v>86.216400000000007</v>
      </c>
      <c r="I3749" s="212" t="s">
        <v>2354</v>
      </c>
    </row>
    <row r="3750" spans="1:9" x14ac:dyDescent="0.25">
      <c r="A3750" s="218" t="s">
        <v>220</v>
      </c>
      <c r="B3750" s="218" t="s">
        <v>5430</v>
      </c>
      <c r="C3750" s="219" t="s">
        <v>7139</v>
      </c>
      <c r="D3750" s="212" t="s">
        <v>7140</v>
      </c>
      <c r="E3750" s="212" t="s">
        <v>545</v>
      </c>
      <c r="F3750" s="213">
        <v>188</v>
      </c>
      <c r="G3750" s="213">
        <v>1.3158000000000001</v>
      </c>
      <c r="H3750" s="195">
        <f t="shared" si="58"/>
        <v>247.37040000000002</v>
      </c>
      <c r="I3750" s="212" t="s">
        <v>2354</v>
      </c>
    </row>
    <row r="3751" spans="1:9" x14ac:dyDescent="0.25">
      <c r="A3751" s="218" t="s">
        <v>220</v>
      </c>
      <c r="B3751" s="218" t="s">
        <v>5430</v>
      </c>
      <c r="C3751" s="219" t="s">
        <v>7141</v>
      </c>
      <c r="D3751" s="212" t="s">
        <v>4765</v>
      </c>
      <c r="E3751" s="212" t="s">
        <v>545</v>
      </c>
      <c r="F3751" s="213">
        <v>120</v>
      </c>
      <c r="G3751" s="213">
        <v>3.3000000000000002E-2</v>
      </c>
      <c r="H3751" s="195">
        <f t="shared" si="58"/>
        <v>3.96</v>
      </c>
      <c r="I3751" s="212" t="s">
        <v>2354</v>
      </c>
    </row>
    <row r="3752" spans="1:9" x14ac:dyDescent="0.25">
      <c r="A3752" s="218" t="s">
        <v>220</v>
      </c>
      <c r="B3752" s="218" t="s">
        <v>5430</v>
      </c>
      <c r="C3752" s="219" t="s">
        <v>7142</v>
      </c>
      <c r="D3752" s="212" t="s">
        <v>7143</v>
      </c>
      <c r="E3752" s="212" t="s">
        <v>545</v>
      </c>
      <c r="F3752" s="213">
        <v>1</v>
      </c>
      <c r="G3752" s="213">
        <v>0</v>
      </c>
      <c r="H3752" s="195">
        <f t="shared" si="58"/>
        <v>0</v>
      </c>
      <c r="I3752" s="212" t="s">
        <v>2354</v>
      </c>
    </row>
    <row r="3753" spans="1:9" x14ac:dyDescent="0.25">
      <c r="A3753" s="218" t="s">
        <v>220</v>
      </c>
      <c r="B3753" s="218" t="s">
        <v>5430</v>
      </c>
      <c r="C3753" s="219" t="s">
        <v>7144</v>
      </c>
      <c r="D3753" s="212" t="s">
        <v>7145</v>
      </c>
      <c r="E3753" s="212" t="s">
        <v>545</v>
      </c>
      <c r="F3753" s="213">
        <v>1</v>
      </c>
      <c r="G3753" s="213">
        <v>38.46</v>
      </c>
      <c r="H3753" s="195">
        <f t="shared" si="58"/>
        <v>38.46</v>
      </c>
      <c r="I3753" s="212" t="s">
        <v>2354</v>
      </c>
    </row>
    <row r="3754" spans="1:9" x14ac:dyDescent="0.25">
      <c r="A3754" s="218" t="s">
        <v>220</v>
      </c>
      <c r="B3754" s="218" t="s">
        <v>5430</v>
      </c>
      <c r="C3754" s="219" t="s">
        <v>7146</v>
      </c>
      <c r="D3754" s="212" t="s">
        <v>7147</v>
      </c>
      <c r="E3754" s="212" t="s">
        <v>545</v>
      </c>
      <c r="F3754" s="213">
        <v>1</v>
      </c>
      <c r="G3754" s="213">
        <v>32.965000000000003</v>
      </c>
      <c r="H3754" s="195">
        <f t="shared" si="58"/>
        <v>32.965000000000003</v>
      </c>
      <c r="I3754" s="212" t="s">
        <v>2354</v>
      </c>
    </row>
    <row r="3755" spans="1:9" x14ac:dyDescent="0.25">
      <c r="A3755" s="218" t="s">
        <v>220</v>
      </c>
      <c r="B3755" s="218" t="s">
        <v>5430</v>
      </c>
      <c r="C3755" s="219" t="s">
        <v>7148</v>
      </c>
      <c r="D3755" s="212" t="s">
        <v>7149</v>
      </c>
      <c r="E3755" s="212" t="s">
        <v>545</v>
      </c>
      <c r="F3755" s="213">
        <v>1</v>
      </c>
      <c r="G3755" s="213">
        <v>16.483000000000001</v>
      </c>
      <c r="H3755" s="195">
        <f t="shared" si="58"/>
        <v>16.483000000000001</v>
      </c>
      <c r="I3755" s="212" t="s">
        <v>2354</v>
      </c>
    </row>
    <row r="3756" spans="1:9" x14ac:dyDescent="0.25">
      <c r="A3756" s="218" t="s">
        <v>220</v>
      </c>
      <c r="B3756" s="218" t="s">
        <v>5430</v>
      </c>
      <c r="C3756" s="219" t="s">
        <v>7150</v>
      </c>
      <c r="D3756" s="212" t="s">
        <v>7151</v>
      </c>
      <c r="E3756" s="212" t="s">
        <v>545</v>
      </c>
      <c r="F3756" s="213">
        <v>1</v>
      </c>
      <c r="G3756" s="213">
        <v>21.978000000000002</v>
      </c>
      <c r="H3756" s="195">
        <f t="shared" si="58"/>
        <v>21.978000000000002</v>
      </c>
      <c r="I3756" s="212" t="s">
        <v>2354</v>
      </c>
    </row>
    <row r="3757" spans="1:9" x14ac:dyDescent="0.25">
      <c r="A3757" s="218" t="s">
        <v>220</v>
      </c>
      <c r="B3757" s="218" t="s">
        <v>5430</v>
      </c>
      <c r="C3757" s="219" t="s">
        <v>7152</v>
      </c>
      <c r="D3757" s="212" t="s">
        <v>7153</v>
      </c>
      <c r="E3757" s="212" t="s">
        <v>545</v>
      </c>
      <c r="F3757" s="213">
        <v>197</v>
      </c>
      <c r="G3757" s="213">
        <v>0.17196</v>
      </c>
      <c r="H3757" s="195">
        <f t="shared" si="58"/>
        <v>33.87612</v>
      </c>
      <c r="I3757" s="212" t="s">
        <v>2354</v>
      </c>
    </row>
    <row r="3758" spans="1:9" x14ac:dyDescent="0.25">
      <c r="A3758" s="218" t="s">
        <v>220</v>
      </c>
      <c r="B3758" s="218" t="s">
        <v>5430</v>
      </c>
      <c r="C3758" s="219" t="s">
        <v>7154</v>
      </c>
      <c r="D3758" s="212" t="s">
        <v>4773</v>
      </c>
      <c r="E3758" s="212" t="s">
        <v>545</v>
      </c>
      <c r="F3758" s="213">
        <v>226</v>
      </c>
      <c r="G3758" s="213">
        <v>0.26774999999999999</v>
      </c>
      <c r="H3758" s="195">
        <f t="shared" si="58"/>
        <v>60.511499999999998</v>
      </c>
      <c r="I3758" s="212" t="s">
        <v>2354</v>
      </c>
    </row>
    <row r="3759" spans="1:9" x14ac:dyDescent="0.25">
      <c r="A3759" s="218" t="s">
        <v>220</v>
      </c>
      <c r="B3759" s="218" t="s">
        <v>5430</v>
      </c>
      <c r="C3759" s="219" t="s">
        <v>7155</v>
      </c>
      <c r="D3759" s="212" t="s">
        <v>7156</v>
      </c>
      <c r="E3759" s="212" t="s">
        <v>2473</v>
      </c>
      <c r="F3759" s="213">
        <v>20</v>
      </c>
      <c r="G3759" s="213">
        <v>18</v>
      </c>
      <c r="H3759" s="195">
        <f t="shared" si="58"/>
        <v>360</v>
      </c>
      <c r="I3759" s="212" t="s">
        <v>2354</v>
      </c>
    </row>
    <row r="3760" spans="1:9" x14ac:dyDescent="0.25">
      <c r="A3760" s="218" t="s">
        <v>220</v>
      </c>
      <c r="B3760" s="218" t="s">
        <v>5430</v>
      </c>
      <c r="C3760" s="219" t="s">
        <v>7157</v>
      </c>
      <c r="D3760" s="212" t="s">
        <v>7158</v>
      </c>
      <c r="E3760" s="212" t="s">
        <v>545</v>
      </c>
      <c r="F3760" s="213">
        <v>1</v>
      </c>
      <c r="G3760" s="213">
        <v>350</v>
      </c>
      <c r="H3760" s="195">
        <f t="shared" si="58"/>
        <v>350</v>
      </c>
      <c r="I3760" s="212" t="s">
        <v>2354</v>
      </c>
    </row>
    <row r="3761" spans="1:9" x14ac:dyDescent="0.25">
      <c r="A3761" s="218" t="s">
        <v>220</v>
      </c>
      <c r="B3761" s="218" t="s">
        <v>5430</v>
      </c>
      <c r="C3761" s="219" t="s">
        <v>7159</v>
      </c>
      <c r="D3761" s="212" t="s">
        <v>7160</v>
      </c>
      <c r="E3761" s="212" t="s">
        <v>545</v>
      </c>
      <c r="F3761" s="213">
        <v>7</v>
      </c>
      <c r="G3761" s="213">
        <v>52.52</v>
      </c>
      <c r="H3761" s="195">
        <f t="shared" si="58"/>
        <v>367.64000000000004</v>
      </c>
      <c r="I3761" s="212" t="s">
        <v>2354</v>
      </c>
    </row>
    <row r="3762" spans="1:9" x14ac:dyDescent="0.25">
      <c r="A3762" s="218" t="s">
        <v>220</v>
      </c>
      <c r="B3762" s="218" t="s">
        <v>5430</v>
      </c>
      <c r="C3762" s="219" t="s">
        <v>4788</v>
      </c>
      <c r="D3762" s="212" t="s">
        <v>4789</v>
      </c>
      <c r="E3762" s="212" t="s">
        <v>2473</v>
      </c>
      <c r="F3762" s="213">
        <v>147</v>
      </c>
      <c r="G3762" s="213">
        <v>0.12</v>
      </c>
      <c r="H3762" s="195">
        <f t="shared" si="58"/>
        <v>17.64</v>
      </c>
      <c r="I3762" s="212" t="s">
        <v>2354</v>
      </c>
    </row>
    <row r="3763" spans="1:9" x14ac:dyDescent="0.25">
      <c r="A3763" s="218" t="s">
        <v>220</v>
      </c>
      <c r="B3763" s="218" t="s">
        <v>5430</v>
      </c>
      <c r="C3763" s="219" t="s">
        <v>4796</v>
      </c>
      <c r="D3763" s="212" t="s">
        <v>4797</v>
      </c>
      <c r="E3763" s="212" t="s">
        <v>545</v>
      </c>
      <c r="F3763" s="213">
        <v>289</v>
      </c>
      <c r="G3763" s="213">
        <v>0</v>
      </c>
      <c r="H3763" s="195">
        <f t="shared" si="58"/>
        <v>0</v>
      </c>
      <c r="I3763" s="212" t="s">
        <v>2354</v>
      </c>
    </row>
    <row r="3764" spans="1:9" x14ac:dyDescent="0.25">
      <c r="A3764" s="218" t="s">
        <v>220</v>
      </c>
      <c r="B3764" s="218" t="s">
        <v>5430</v>
      </c>
      <c r="C3764" s="219" t="s">
        <v>4798</v>
      </c>
      <c r="D3764" s="212" t="s">
        <v>4799</v>
      </c>
      <c r="E3764" s="212" t="s">
        <v>545</v>
      </c>
      <c r="F3764" s="213">
        <v>189</v>
      </c>
      <c r="G3764" s="213">
        <v>3.78E-2</v>
      </c>
      <c r="H3764" s="195">
        <f t="shared" si="58"/>
        <v>7.1441999999999997</v>
      </c>
      <c r="I3764" s="212" t="s">
        <v>2354</v>
      </c>
    </row>
    <row r="3765" spans="1:9" x14ac:dyDescent="0.25">
      <c r="A3765" s="218" t="s">
        <v>220</v>
      </c>
      <c r="B3765" s="218" t="s">
        <v>5430</v>
      </c>
      <c r="C3765" s="219" t="s">
        <v>7161</v>
      </c>
      <c r="D3765" s="212" t="s">
        <v>4797</v>
      </c>
      <c r="E3765" s="212" t="s">
        <v>545</v>
      </c>
      <c r="F3765" s="213">
        <v>85</v>
      </c>
      <c r="G3765" s="213">
        <v>5.3550000000000007E-2</v>
      </c>
      <c r="H3765" s="195">
        <f t="shared" si="58"/>
        <v>4.5517500000000002</v>
      </c>
      <c r="I3765" s="212" t="s">
        <v>2354</v>
      </c>
    </row>
    <row r="3766" spans="1:9" x14ac:dyDescent="0.25">
      <c r="A3766" s="218" t="s">
        <v>220</v>
      </c>
      <c r="B3766" s="218" t="s">
        <v>5430</v>
      </c>
      <c r="C3766" s="219" t="s">
        <v>7162</v>
      </c>
      <c r="D3766" s="212" t="s">
        <v>7163</v>
      </c>
      <c r="E3766" s="212" t="s">
        <v>545</v>
      </c>
      <c r="F3766" s="213">
        <v>40</v>
      </c>
      <c r="G3766" s="213">
        <v>1.5129999999999999</v>
      </c>
      <c r="H3766" s="195">
        <f t="shared" si="58"/>
        <v>60.519999999999996</v>
      </c>
      <c r="I3766" s="212" t="s">
        <v>2354</v>
      </c>
    </row>
    <row r="3767" spans="1:9" x14ac:dyDescent="0.25">
      <c r="A3767" s="218" t="s">
        <v>220</v>
      </c>
      <c r="B3767" s="218" t="s">
        <v>5430</v>
      </c>
      <c r="C3767" s="219" t="s">
        <v>7164</v>
      </c>
      <c r="D3767" s="212" t="s">
        <v>7165</v>
      </c>
      <c r="E3767" s="212" t="s">
        <v>545</v>
      </c>
      <c r="F3767" s="213">
        <v>301</v>
      </c>
      <c r="G3767" s="213">
        <v>7.0999999999999994E-2</v>
      </c>
      <c r="H3767" s="195">
        <f t="shared" si="58"/>
        <v>21.370999999999999</v>
      </c>
      <c r="I3767" s="212" t="s">
        <v>2354</v>
      </c>
    </row>
    <row r="3768" spans="1:9" x14ac:dyDescent="0.25">
      <c r="A3768" s="218" t="s">
        <v>220</v>
      </c>
      <c r="B3768" s="218" t="s">
        <v>5430</v>
      </c>
      <c r="C3768" s="219" t="s">
        <v>4802</v>
      </c>
      <c r="D3768" s="212" t="s">
        <v>4803</v>
      </c>
      <c r="E3768" s="212" t="s">
        <v>545</v>
      </c>
      <c r="F3768" s="213">
        <v>248</v>
      </c>
      <c r="G3768" s="213">
        <v>0.05</v>
      </c>
      <c r="H3768" s="195">
        <f t="shared" si="58"/>
        <v>12.4</v>
      </c>
      <c r="I3768" s="212" t="s">
        <v>2354</v>
      </c>
    </row>
    <row r="3769" spans="1:9" x14ac:dyDescent="0.25">
      <c r="A3769" s="218" t="s">
        <v>220</v>
      </c>
      <c r="B3769" s="218" t="s">
        <v>5430</v>
      </c>
      <c r="C3769" s="219" t="s">
        <v>4804</v>
      </c>
      <c r="D3769" s="212" t="s">
        <v>4805</v>
      </c>
      <c r="E3769" s="212" t="s">
        <v>545</v>
      </c>
      <c r="F3769" s="213">
        <v>147</v>
      </c>
      <c r="G3769" s="213">
        <v>0.10620000000000002</v>
      </c>
      <c r="H3769" s="195">
        <f t="shared" si="58"/>
        <v>15.611400000000003</v>
      </c>
      <c r="I3769" s="212" t="s">
        <v>2354</v>
      </c>
    </row>
    <row r="3770" spans="1:9" x14ac:dyDescent="0.25">
      <c r="A3770" s="218" t="s">
        <v>220</v>
      </c>
      <c r="B3770" s="218" t="s">
        <v>5430</v>
      </c>
      <c r="C3770" s="219" t="s">
        <v>4808</v>
      </c>
      <c r="D3770" s="212" t="s">
        <v>4809</v>
      </c>
      <c r="E3770" s="212" t="s">
        <v>545</v>
      </c>
      <c r="F3770" s="213">
        <v>289</v>
      </c>
      <c r="G3770" s="213">
        <v>0.183</v>
      </c>
      <c r="H3770" s="195">
        <f t="shared" si="58"/>
        <v>52.887</v>
      </c>
      <c r="I3770" s="212" t="s">
        <v>2354</v>
      </c>
    </row>
    <row r="3771" spans="1:9" x14ac:dyDescent="0.25">
      <c r="A3771" s="218" t="s">
        <v>220</v>
      </c>
      <c r="B3771" s="218" t="s">
        <v>5430</v>
      </c>
      <c r="C3771" s="219" t="s">
        <v>4810</v>
      </c>
      <c r="D3771" s="212" t="s">
        <v>4811</v>
      </c>
      <c r="E3771" s="212" t="s">
        <v>545</v>
      </c>
      <c r="F3771" s="213">
        <v>189</v>
      </c>
      <c r="G3771" s="213">
        <v>0.19</v>
      </c>
      <c r="H3771" s="195">
        <f t="shared" si="58"/>
        <v>35.910000000000004</v>
      </c>
      <c r="I3771" s="212" t="s">
        <v>2354</v>
      </c>
    </row>
    <row r="3772" spans="1:9" x14ac:dyDescent="0.25">
      <c r="A3772" s="218" t="s">
        <v>220</v>
      </c>
      <c r="B3772" s="218" t="s">
        <v>5430</v>
      </c>
      <c r="C3772" s="219" t="s">
        <v>4812</v>
      </c>
      <c r="D3772" s="212" t="s">
        <v>4813</v>
      </c>
      <c r="E3772" s="212" t="s">
        <v>545</v>
      </c>
      <c r="F3772" s="213">
        <v>85</v>
      </c>
      <c r="G3772" s="213">
        <v>0.49</v>
      </c>
      <c r="H3772" s="195">
        <f t="shared" si="58"/>
        <v>41.65</v>
      </c>
      <c r="I3772" s="212" t="s">
        <v>2354</v>
      </c>
    </row>
    <row r="3773" spans="1:9" x14ac:dyDescent="0.25">
      <c r="A3773" s="218" t="s">
        <v>220</v>
      </c>
      <c r="B3773" s="218" t="s">
        <v>5430</v>
      </c>
      <c r="C3773" s="219" t="s">
        <v>4814</v>
      </c>
      <c r="D3773" s="212" t="s">
        <v>4815</v>
      </c>
      <c r="E3773" s="212" t="s">
        <v>545</v>
      </c>
      <c r="F3773" s="213">
        <v>45</v>
      </c>
      <c r="G3773" s="213">
        <v>0.16076999999999997</v>
      </c>
      <c r="H3773" s="195">
        <f t="shared" si="58"/>
        <v>7.2346499999999985</v>
      </c>
      <c r="I3773" s="212" t="s">
        <v>2354</v>
      </c>
    </row>
    <row r="3774" spans="1:9" x14ac:dyDescent="0.25">
      <c r="A3774" s="218" t="s">
        <v>220</v>
      </c>
      <c r="B3774" s="218" t="s">
        <v>5430</v>
      </c>
      <c r="C3774" s="219" t="s">
        <v>4816</v>
      </c>
      <c r="D3774" s="212" t="s">
        <v>4817</v>
      </c>
      <c r="E3774" s="212" t="s">
        <v>545</v>
      </c>
      <c r="F3774" s="213">
        <v>352</v>
      </c>
      <c r="G3774" s="213">
        <v>0.28799999999999998</v>
      </c>
      <c r="H3774" s="195">
        <f t="shared" si="58"/>
        <v>101.37599999999999</v>
      </c>
      <c r="I3774" s="212" t="s">
        <v>2354</v>
      </c>
    </row>
    <row r="3775" spans="1:9" x14ac:dyDescent="0.25">
      <c r="A3775" s="218" t="s">
        <v>220</v>
      </c>
      <c r="B3775" s="218" t="s">
        <v>5430</v>
      </c>
      <c r="C3775" s="219" t="s">
        <v>7166</v>
      </c>
      <c r="D3775" s="212" t="s">
        <v>7167</v>
      </c>
      <c r="E3775" s="212" t="s">
        <v>545</v>
      </c>
      <c r="F3775" s="213">
        <v>21</v>
      </c>
      <c r="G3775" s="213">
        <v>0.6175781818181818</v>
      </c>
      <c r="H3775" s="195">
        <f t="shared" si="58"/>
        <v>12.969141818181818</v>
      </c>
      <c r="I3775" s="212" t="s">
        <v>2354</v>
      </c>
    </row>
    <row r="3776" spans="1:9" x14ac:dyDescent="0.25">
      <c r="A3776" s="218" t="s">
        <v>220</v>
      </c>
      <c r="B3776" s="218" t="s">
        <v>5430</v>
      </c>
      <c r="C3776" s="219" t="s">
        <v>7168</v>
      </c>
      <c r="D3776" s="212" t="s">
        <v>7169</v>
      </c>
      <c r="E3776" s="212" t="s">
        <v>545</v>
      </c>
      <c r="F3776" s="213">
        <v>41</v>
      </c>
      <c r="G3776" s="213">
        <v>0.62390000000000001</v>
      </c>
      <c r="H3776" s="195">
        <f t="shared" si="58"/>
        <v>25.579900000000002</v>
      </c>
      <c r="I3776" s="212" t="s">
        <v>2354</v>
      </c>
    </row>
    <row r="3777" spans="1:9" x14ac:dyDescent="0.25">
      <c r="A3777" s="218" t="s">
        <v>220</v>
      </c>
      <c r="B3777" s="218" t="s">
        <v>5430</v>
      </c>
      <c r="C3777" s="219" t="s">
        <v>4820</v>
      </c>
      <c r="D3777" s="212" t="s">
        <v>4821</v>
      </c>
      <c r="E3777" s="212" t="s">
        <v>545</v>
      </c>
      <c r="F3777" s="213">
        <v>152</v>
      </c>
      <c r="G3777" s="213">
        <v>0.29199999999999998</v>
      </c>
      <c r="H3777" s="195">
        <f t="shared" si="58"/>
        <v>44.384</v>
      </c>
      <c r="I3777" s="212" t="s">
        <v>2354</v>
      </c>
    </row>
    <row r="3778" spans="1:9" x14ac:dyDescent="0.25">
      <c r="A3778" s="218" t="s">
        <v>220</v>
      </c>
      <c r="B3778" s="218" t="s">
        <v>5430</v>
      </c>
      <c r="C3778" s="219" t="s">
        <v>4822</v>
      </c>
      <c r="D3778" s="212" t="s">
        <v>4823</v>
      </c>
      <c r="E3778" s="212" t="s">
        <v>545</v>
      </c>
      <c r="F3778" s="213">
        <v>285</v>
      </c>
      <c r="G3778" s="213">
        <v>0.44600000000000001</v>
      </c>
      <c r="H3778" s="195">
        <f t="shared" si="58"/>
        <v>127.11</v>
      </c>
      <c r="I3778" s="212" t="s">
        <v>2354</v>
      </c>
    </row>
    <row r="3779" spans="1:9" x14ac:dyDescent="0.25">
      <c r="A3779" s="218" t="s">
        <v>220</v>
      </c>
      <c r="B3779" s="218" t="s">
        <v>5430</v>
      </c>
      <c r="C3779" s="219" t="s">
        <v>4824</v>
      </c>
      <c r="D3779" s="212" t="s">
        <v>4825</v>
      </c>
      <c r="E3779" s="212" t="s">
        <v>545</v>
      </c>
      <c r="F3779" s="213">
        <v>174</v>
      </c>
      <c r="G3779" s="213">
        <v>0.59</v>
      </c>
      <c r="H3779" s="195">
        <f t="shared" si="58"/>
        <v>102.66</v>
      </c>
      <c r="I3779" s="212" t="s">
        <v>2354</v>
      </c>
    </row>
    <row r="3780" spans="1:9" x14ac:dyDescent="0.25">
      <c r="A3780" s="218" t="s">
        <v>220</v>
      </c>
      <c r="B3780" s="218" t="s">
        <v>5430</v>
      </c>
      <c r="C3780" s="219" t="s">
        <v>7170</v>
      </c>
      <c r="D3780" s="212" t="s">
        <v>7171</v>
      </c>
      <c r="E3780" s="212" t="s">
        <v>545</v>
      </c>
      <c r="F3780" s="213">
        <v>35</v>
      </c>
      <c r="G3780" s="213">
        <v>0.26179999999999998</v>
      </c>
      <c r="H3780" s="195">
        <f t="shared" si="58"/>
        <v>9.1629999999999985</v>
      </c>
      <c r="I3780" s="212" t="s">
        <v>2354</v>
      </c>
    </row>
    <row r="3781" spans="1:9" x14ac:dyDescent="0.25">
      <c r="A3781" s="218" t="s">
        <v>220</v>
      </c>
      <c r="B3781" s="218" t="s">
        <v>5430</v>
      </c>
      <c r="C3781" s="219" t="s">
        <v>4826</v>
      </c>
      <c r="D3781" s="212" t="s">
        <v>4827</v>
      </c>
      <c r="E3781" s="212" t="s">
        <v>545</v>
      </c>
      <c r="F3781" s="213">
        <v>175</v>
      </c>
      <c r="G3781" s="213">
        <v>1.1100000000000001</v>
      </c>
      <c r="H3781" s="195">
        <f t="shared" ref="H3781:H3844" si="59">+F3781*G3781</f>
        <v>194.25000000000003</v>
      </c>
      <c r="I3781" s="212" t="s">
        <v>2354</v>
      </c>
    </row>
    <row r="3782" spans="1:9" x14ac:dyDescent="0.25">
      <c r="A3782" s="218" t="s">
        <v>220</v>
      </c>
      <c r="B3782" s="218" t="s">
        <v>5430</v>
      </c>
      <c r="C3782" s="219" t="s">
        <v>7172</v>
      </c>
      <c r="D3782" s="212" t="s">
        <v>7173</v>
      </c>
      <c r="E3782" s="212" t="s">
        <v>545</v>
      </c>
      <c r="F3782" s="213">
        <v>25</v>
      </c>
      <c r="G3782" s="213">
        <v>1.145</v>
      </c>
      <c r="H3782" s="195">
        <f t="shared" si="59"/>
        <v>28.625</v>
      </c>
      <c r="I3782" s="212" t="s">
        <v>2354</v>
      </c>
    </row>
    <row r="3783" spans="1:9" x14ac:dyDescent="0.25">
      <c r="A3783" s="218" t="s">
        <v>220</v>
      </c>
      <c r="B3783" s="218" t="s">
        <v>5430</v>
      </c>
      <c r="C3783" s="219" t="s">
        <v>4830</v>
      </c>
      <c r="D3783" s="212" t="s">
        <v>4831</v>
      </c>
      <c r="E3783" s="212" t="s">
        <v>545</v>
      </c>
      <c r="F3783" s="213">
        <v>4</v>
      </c>
      <c r="G3783" s="221">
        <v>9.799999999999999E-2</v>
      </c>
      <c r="H3783" s="222">
        <f t="shared" si="59"/>
        <v>0.39199999999999996</v>
      </c>
      <c r="I3783" s="212" t="s">
        <v>2354</v>
      </c>
    </row>
    <row r="3784" spans="1:9" x14ac:dyDescent="0.25">
      <c r="A3784" s="218" t="s">
        <v>220</v>
      </c>
      <c r="B3784" s="218" t="s">
        <v>5430</v>
      </c>
      <c r="C3784" s="219" t="s">
        <v>4832</v>
      </c>
      <c r="D3784" s="212" t="s">
        <v>4833</v>
      </c>
      <c r="E3784" s="212" t="s">
        <v>545</v>
      </c>
      <c r="F3784" s="213">
        <v>52</v>
      </c>
      <c r="G3784" s="213">
        <v>5.9033281409406252E-2</v>
      </c>
      <c r="H3784" s="195">
        <f t="shared" si="59"/>
        <v>3.069730633289125</v>
      </c>
      <c r="I3784" s="212" t="s">
        <v>2354</v>
      </c>
    </row>
    <row r="3785" spans="1:9" x14ac:dyDescent="0.25">
      <c r="A3785" s="218" t="s">
        <v>220</v>
      </c>
      <c r="B3785" s="218" t="s">
        <v>5430</v>
      </c>
      <c r="C3785" s="219" t="s">
        <v>4834</v>
      </c>
      <c r="D3785" s="212" t="s">
        <v>4835</v>
      </c>
      <c r="E3785" s="212" t="s">
        <v>545</v>
      </c>
      <c r="F3785" s="213">
        <v>547</v>
      </c>
      <c r="G3785" s="213">
        <v>0.06</v>
      </c>
      <c r="H3785" s="195">
        <f t="shared" si="59"/>
        <v>32.82</v>
      </c>
      <c r="I3785" s="212" t="s">
        <v>2354</v>
      </c>
    </row>
    <row r="3786" spans="1:9" x14ac:dyDescent="0.25">
      <c r="A3786" s="218" t="s">
        <v>220</v>
      </c>
      <c r="B3786" s="218" t="s">
        <v>5430</v>
      </c>
      <c r="C3786" s="219" t="s">
        <v>4836</v>
      </c>
      <c r="D3786" s="212" t="s">
        <v>4837</v>
      </c>
      <c r="E3786" s="212" t="s">
        <v>545</v>
      </c>
      <c r="F3786" s="213">
        <v>48</v>
      </c>
      <c r="G3786" s="213">
        <v>0.58602392565597661</v>
      </c>
      <c r="H3786" s="195">
        <f t="shared" si="59"/>
        <v>28.129148431486875</v>
      </c>
      <c r="I3786" s="212" t="s">
        <v>2354</v>
      </c>
    </row>
    <row r="3787" spans="1:9" x14ac:dyDescent="0.25">
      <c r="A3787" s="218" t="s">
        <v>220</v>
      </c>
      <c r="B3787" s="218" t="s">
        <v>5430</v>
      </c>
      <c r="C3787" s="219" t="s">
        <v>4838</v>
      </c>
      <c r="D3787" s="212" t="s">
        <v>4839</v>
      </c>
      <c r="E3787" s="212" t="s">
        <v>545</v>
      </c>
      <c r="F3787" s="213">
        <v>25</v>
      </c>
      <c r="G3787" s="213">
        <v>0.68090066225165569</v>
      </c>
      <c r="H3787" s="195">
        <f t="shared" si="59"/>
        <v>17.022516556291393</v>
      </c>
      <c r="I3787" s="212" t="s">
        <v>2354</v>
      </c>
    </row>
    <row r="3788" spans="1:9" x14ac:dyDescent="0.25">
      <c r="A3788" s="218" t="s">
        <v>220</v>
      </c>
      <c r="B3788" s="218" t="s">
        <v>5430</v>
      </c>
      <c r="C3788" s="219" t="s">
        <v>4840</v>
      </c>
      <c r="D3788" s="212" t="s">
        <v>4841</v>
      </c>
      <c r="E3788" s="212" t="s">
        <v>545</v>
      </c>
      <c r="F3788" s="213">
        <v>85</v>
      </c>
      <c r="G3788" s="213">
        <v>0.40460000000000002</v>
      </c>
      <c r="H3788" s="195">
        <f t="shared" si="59"/>
        <v>34.390999999999998</v>
      </c>
      <c r="I3788" s="212" t="s">
        <v>2354</v>
      </c>
    </row>
    <row r="3789" spans="1:9" x14ac:dyDescent="0.25">
      <c r="A3789" s="218" t="s">
        <v>220</v>
      </c>
      <c r="B3789" s="218" t="s">
        <v>5430</v>
      </c>
      <c r="C3789" s="219" t="s">
        <v>4842</v>
      </c>
      <c r="D3789" s="212" t="s">
        <v>4843</v>
      </c>
      <c r="E3789" s="212" t="s">
        <v>545</v>
      </c>
      <c r="F3789" s="213">
        <v>145</v>
      </c>
      <c r="G3789" s="213">
        <v>0.10833</v>
      </c>
      <c r="H3789" s="195">
        <f t="shared" si="59"/>
        <v>15.707849999999999</v>
      </c>
      <c r="I3789" s="212" t="s">
        <v>2354</v>
      </c>
    </row>
    <row r="3790" spans="1:9" x14ac:dyDescent="0.25">
      <c r="A3790" s="218" t="s">
        <v>220</v>
      </c>
      <c r="B3790" s="218" t="s">
        <v>5430</v>
      </c>
      <c r="C3790" s="219" t="s">
        <v>4846</v>
      </c>
      <c r="D3790" s="212" t="s">
        <v>4847</v>
      </c>
      <c r="E3790" s="212" t="s">
        <v>545</v>
      </c>
      <c r="F3790" s="213">
        <v>185</v>
      </c>
      <c r="G3790" s="213">
        <v>6.8000000000000005E-2</v>
      </c>
      <c r="H3790" s="195">
        <f t="shared" si="59"/>
        <v>12.58</v>
      </c>
      <c r="I3790" s="212" t="s">
        <v>2354</v>
      </c>
    </row>
    <row r="3791" spans="1:9" x14ac:dyDescent="0.25">
      <c r="A3791" s="218" t="s">
        <v>220</v>
      </c>
      <c r="B3791" s="218" t="s">
        <v>5430</v>
      </c>
      <c r="C3791" s="219" t="s">
        <v>4848</v>
      </c>
      <c r="D3791" s="212" t="s">
        <v>4849</v>
      </c>
      <c r="E3791" s="212" t="s">
        <v>545</v>
      </c>
      <c r="F3791" s="213">
        <v>352</v>
      </c>
      <c r="G3791" s="213">
        <v>8.6999999999999994E-2</v>
      </c>
      <c r="H3791" s="195">
        <f t="shared" si="59"/>
        <v>30.623999999999999</v>
      </c>
      <c r="I3791" s="212" t="s">
        <v>2354</v>
      </c>
    </row>
    <row r="3792" spans="1:9" x14ac:dyDescent="0.25">
      <c r="A3792" s="218" t="s">
        <v>220</v>
      </c>
      <c r="B3792" s="218" t="s">
        <v>5430</v>
      </c>
      <c r="C3792" s="219" t="s">
        <v>4854</v>
      </c>
      <c r="D3792" s="212" t="s">
        <v>4855</v>
      </c>
      <c r="E3792" s="212" t="s">
        <v>545</v>
      </c>
      <c r="F3792" s="213">
        <v>120</v>
      </c>
      <c r="G3792" s="213">
        <v>0.186</v>
      </c>
      <c r="H3792" s="195">
        <f t="shared" si="59"/>
        <v>22.32</v>
      </c>
      <c r="I3792" s="212" t="s">
        <v>2354</v>
      </c>
    </row>
    <row r="3793" spans="1:9" x14ac:dyDescent="0.25">
      <c r="A3793" s="218" t="s">
        <v>220</v>
      </c>
      <c r="B3793" s="218" t="s">
        <v>5430</v>
      </c>
      <c r="C3793" s="219" t="s">
        <v>4856</v>
      </c>
      <c r="D3793" s="212" t="s">
        <v>4857</v>
      </c>
      <c r="E3793" s="212" t="s">
        <v>545</v>
      </c>
      <c r="F3793" s="213">
        <v>157</v>
      </c>
      <c r="G3793" s="213">
        <v>0.29599999999999999</v>
      </c>
      <c r="H3793" s="195">
        <f t="shared" si="59"/>
        <v>46.471999999999994</v>
      </c>
      <c r="I3793" s="212" t="s">
        <v>2354</v>
      </c>
    </row>
    <row r="3794" spans="1:9" x14ac:dyDescent="0.25">
      <c r="A3794" s="218" t="s">
        <v>220</v>
      </c>
      <c r="B3794" s="218" t="s">
        <v>5430</v>
      </c>
      <c r="C3794" s="219" t="s">
        <v>4858</v>
      </c>
      <c r="D3794" s="212" t="s">
        <v>4859</v>
      </c>
      <c r="E3794" s="212" t="s">
        <v>545</v>
      </c>
      <c r="F3794" s="213">
        <v>98</v>
      </c>
      <c r="G3794" s="213">
        <v>0.442</v>
      </c>
      <c r="H3794" s="195">
        <f t="shared" si="59"/>
        <v>43.316000000000003</v>
      </c>
      <c r="I3794" s="212" t="s">
        <v>2354</v>
      </c>
    </row>
    <row r="3795" spans="1:9" x14ac:dyDescent="0.25">
      <c r="A3795" s="218" t="s">
        <v>220</v>
      </c>
      <c r="B3795" s="218" t="s">
        <v>5430</v>
      </c>
      <c r="C3795" s="219" t="s">
        <v>4860</v>
      </c>
      <c r="D3795" s="212" t="s">
        <v>4861</v>
      </c>
      <c r="E3795" s="212" t="s">
        <v>545</v>
      </c>
      <c r="F3795" s="213">
        <v>98</v>
      </c>
      <c r="G3795" s="213">
        <v>0.44700000000000001</v>
      </c>
      <c r="H3795" s="195">
        <f t="shared" si="59"/>
        <v>43.805999999999997</v>
      </c>
      <c r="I3795" s="212" t="s">
        <v>2354</v>
      </c>
    </row>
    <row r="3796" spans="1:9" x14ac:dyDescent="0.25">
      <c r="A3796" s="218" t="s">
        <v>220</v>
      </c>
      <c r="B3796" s="218" t="s">
        <v>5430</v>
      </c>
      <c r="C3796" s="219" t="s">
        <v>4867</v>
      </c>
      <c r="D3796" s="212" t="s">
        <v>4868</v>
      </c>
      <c r="E3796" s="212" t="s">
        <v>545</v>
      </c>
      <c r="F3796" s="213">
        <v>122</v>
      </c>
      <c r="G3796" s="213">
        <v>0.69750999999999985</v>
      </c>
      <c r="H3796" s="195">
        <f t="shared" si="59"/>
        <v>85.096219999999988</v>
      </c>
      <c r="I3796" s="212" t="s">
        <v>2354</v>
      </c>
    </row>
    <row r="3797" spans="1:9" x14ac:dyDescent="0.25">
      <c r="A3797" s="218" t="s">
        <v>220</v>
      </c>
      <c r="B3797" s="218" t="s">
        <v>5430</v>
      </c>
      <c r="C3797" s="219" t="s">
        <v>4869</v>
      </c>
      <c r="D3797" s="212" t="s">
        <v>4870</v>
      </c>
      <c r="E3797" s="212" t="s">
        <v>545</v>
      </c>
      <c r="F3797" s="213">
        <v>8</v>
      </c>
      <c r="G3797" s="213">
        <v>0.83717239130434784</v>
      </c>
      <c r="H3797" s="195">
        <f t="shared" si="59"/>
        <v>6.6973791304347827</v>
      </c>
      <c r="I3797" s="212" t="s">
        <v>2354</v>
      </c>
    </row>
    <row r="3798" spans="1:9" x14ac:dyDescent="0.25">
      <c r="A3798" s="218" t="s">
        <v>220</v>
      </c>
      <c r="B3798" s="218" t="s">
        <v>5430</v>
      </c>
      <c r="C3798" s="219" t="s">
        <v>7174</v>
      </c>
      <c r="D3798" s="212" t="s">
        <v>4874</v>
      </c>
      <c r="E3798" s="212" t="s">
        <v>545</v>
      </c>
      <c r="F3798" s="213">
        <v>8</v>
      </c>
      <c r="G3798" s="213">
        <v>0.63500000000000001</v>
      </c>
      <c r="H3798" s="195">
        <f t="shared" si="59"/>
        <v>5.08</v>
      </c>
      <c r="I3798" s="212" t="s">
        <v>2354</v>
      </c>
    </row>
    <row r="3799" spans="1:9" x14ac:dyDescent="0.25">
      <c r="A3799" s="218" t="s">
        <v>220</v>
      </c>
      <c r="B3799" s="218" t="s">
        <v>5430</v>
      </c>
      <c r="C3799" s="219" t="s">
        <v>4901</v>
      </c>
      <c r="D3799" s="212" t="s">
        <v>4902</v>
      </c>
      <c r="E3799" s="212" t="s">
        <v>545</v>
      </c>
      <c r="F3799" s="213">
        <v>85</v>
      </c>
      <c r="G3799" s="213">
        <v>0.21</v>
      </c>
      <c r="H3799" s="195">
        <f t="shared" si="59"/>
        <v>17.849999999999998</v>
      </c>
      <c r="I3799" s="212" t="s">
        <v>2354</v>
      </c>
    </row>
    <row r="3800" spans="1:9" x14ac:dyDescent="0.25">
      <c r="A3800" s="218" t="s">
        <v>220</v>
      </c>
      <c r="B3800" s="218" t="s">
        <v>5430</v>
      </c>
      <c r="C3800" s="219" t="s">
        <v>7175</v>
      </c>
      <c r="D3800" s="212" t="s">
        <v>7176</v>
      </c>
      <c r="E3800" s="212" t="s">
        <v>545</v>
      </c>
      <c r="F3800" s="213">
        <v>195</v>
      </c>
      <c r="G3800" s="213">
        <v>0.28299999999999997</v>
      </c>
      <c r="H3800" s="195">
        <f t="shared" si="59"/>
        <v>55.184999999999995</v>
      </c>
      <c r="I3800" s="212" t="s">
        <v>2354</v>
      </c>
    </row>
    <row r="3801" spans="1:9" x14ac:dyDescent="0.25">
      <c r="A3801" s="218" t="s">
        <v>220</v>
      </c>
      <c r="B3801" s="218" t="s">
        <v>5430</v>
      </c>
      <c r="C3801" s="219" t="s">
        <v>4905</v>
      </c>
      <c r="D3801" s="212" t="s">
        <v>4906</v>
      </c>
      <c r="E3801" s="212" t="s">
        <v>545</v>
      </c>
      <c r="F3801" s="213">
        <v>14</v>
      </c>
      <c r="G3801" s="213">
        <v>0.44500000000000001</v>
      </c>
      <c r="H3801" s="195">
        <f t="shared" si="59"/>
        <v>6.23</v>
      </c>
      <c r="I3801" s="212" t="s">
        <v>2354</v>
      </c>
    </row>
    <row r="3802" spans="1:9" x14ac:dyDescent="0.25">
      <c r="A3802" s="218" t="s">
        <v>220</v>
      </c>
      <c r="B3802" s="218" t="s">
        <v>5430</v>
      </c>
      <c r="C3802" s="219" t="s">
        <v>7177</v>
      </c>
      <c r="D3802" s="212" t="s">
        <v>7178</v>
      </c>
      <c r="E3802" s="212" t="s">
        <v>545</v>
      </c>
      <c r="F3802" s="213">
        <v>89</v>
      </c>
      <c r="G3802" s="213">
        <v>0.49299999999999999</v>
      </c>
      <c r="H3802" s="195">
        <f t="shared" si="59"/>
        <v>43.877000000000002</v>
      </c>
      <c r="I3802" s="212" t="s">
        <v>2354</v>
      </c>
    </row>
    <row r="3803" spans="1:9" x14ac:dyDescent="0.25">
      <c r="A3803" s="218" t="s">
        <v>220</v>
      </c>
      <c r="B3803" s="218" t="s">
        <v>5430</v>
      </c>
      <c r="C3803" s="219" t="s">
        <v>7179</v>
      </c>
      <c r="D3803" s="212" t="s">
        <v>4910</v>
      </c>
      <c r="E3803" s="212" t="s">
        <v>545</v>
      </c>
      <c r="F3803" s="213">
        <v>254</v>
      </c>
      <c r="G3803" s="213">
        <v>0.67300000000000004</v>
      </c>
      <c r="H3803" s="195">
        <f t="shared" si="59"/>
        <v>170.94200000000001</v>
      </c>
      <c r="I3803" s="212" t="s">
        <v>2354</v>
      </c>
    </row>
    <row r="3804" spans="1:9" x14ac:dyDescent="0.25">
      <c r="A3804" s="218" t="s">
        <v>220</v>
      </c>
      <c r="B3804" s="218" t="s">
        <v>5430</v>
      </c>
      <c r="C3804" s="219" t="s">
        <v>7180</v>
      </c>
      <c r="D3804" s="212" t="s">
        <v>7181</v>
      </c>
      <c r="E3804" s="212" t="s">
        <v>545</v>
      </c>
      <c r="F3804" s="213">
        <v>122</v>
      </c>
      <c r="G3804" s="213">
        <v>1.121</v>
      </c>
      <c r="H3804" s="195">
        <f t="shared" si="59"/>
        <v>136.762</v>
      </c>
      <c r="I3804" s="212" t="s">
        <v>2354</v>
      </c>
    </row>
    <row r="3805" spans="1:9" x14ac:dyDescent="0.25">
      <c r="A3805" s="218" t="s">
        <v>220</v>
      </c>
      <c r="B3805" s="218" t="s">
        <v>5430</v>
      </c>
      <c r="C3805" s="219" t="s">
        <v>7182</v>
      </c>
      <c r="D3805" s="212" t="s">
        <v>7183</v>
      </c>
      <c r="E3805" s="212" t="s">
        <v>545</v>
      </c>
      <c r="F3805" s="213">
        <v>156</v>
      </c>
      <c r="G3805" s="213">
        <v>1.3460000000000001</v>
      </c>
      <c r="H3805" s="195">
        <f t="shared" si="59"/>
        <v>209.976</v>
      </c>
      <c r="I3805" s="212" t="s">
        <v>2354</v>
      </c>
    </row>
    <row r="3806" spans="1:9" x14ac:dyDescent="0.25">
      <c r="A3806" s="218" t="s">
        <v>220</v>
      </c>
      <c r="B3806" s="218" t="s">
        <v>5430</v>
      </c>
      <c r="C3806" s="219" t="s">
        <v>4919</v>
      </c>
      <c r="D3806" s="212" t="s">
        <v>4920</v>
      </c>
      <c r="E3806" s="212" t="s">
        <v>545</v>
      </c>
      <c r="F3806" s="213">
        <v>65</v>
      </c>
      <c r="G3806" s="213">
        <v>1.4279999999999999E-2</v>
      </c>
      <c r="H3806" s="195">
        <f t="shared" si="59"/>
        <v>0.92819999999999991</v>
      </c>
      <c r="I3806" s="212" t="s">
        <v>2354</v>
      </c>
    </row>
    <row r="3807" spans="1:9" x14ac:dyDescent="0.25">
      <c r="A3807" s="218" t="s">
        <v>220</v>
      </c>
      <c r="B3807" s="218" t="s">
        <v>5430</v>
      </c>
      <c r="C3807" s="219" t="s">
        <v>4921</v>
      </c>
      <c r="D3807" s="212" t="s">
        <v>4922</v>
      </c>
      <c r="E3807" s="212" t="s">
        <v>545</v>
      </c>
      <c r="F3807" s="213">
        <v>380</v>
      </c>
      <c r="G3807" s="213">
        <v>2.3E-2</v>
      </c>
      <c r="H3807" s="195">
        <f t="shared" si="59"/>
        <v>8.74</v>
      </c>
      <c r="I3807" s="212" t="s">
        <v>2354</v>
      </c>
    </row>
    <row r="3808" spans="1:9" x14ac:dyDescent="0.25">
      <c r="A3808" s="218" t="s">
        <v>220</v>
      </c>
      <c r="B3808" s="218" t="s">
        <v>5430</v>
      </c>
      <c r="C3808" s="219" t="s">
        <v>4923</v>
      </c>
      <c r="D3808" s="212" t="s">
        <v>4924</v>
      </c>
      <c r="E3808" s="212" t="s">
        <v>545</v>
      </c>
      <c r="F3808" s="213">
        <v>514</v>
      </c>
      <c r="G3808" s="213">
        <v>5.6169999999999998E-2</v>
      </c>
      <c r="H3808" s="195">
        <f t="shared" si="59"/>
        <v>28.871379999999998</v>
      </c>
      <c r="I3808" s="212" t="s">
        <v>2354</v>
      </c>
    </row>
    <row r="3809" spans="1:9" x14ac:dyDescent="0.25">
      <c r="A3809" s="218" t="s">
        <v>220</v>
      </c>
      <c r="B3809" s="218" t="s">
        <v>5430</v>
      </c>
      <c r="C3809" s="219" t="s">
        <v>4925</v>
      </c>
      <c r="D3809" s="212" t="s">
        <v>4926</v>
      </c>
      <c r="E3809" s="212" t="s">
        <v>545</v>
      </c>
      <c r="F3809" s="213">
        <v>300</v>
      </c>
      <c r="G3809" s="213">
        <v>0.11</v>
      </c>
      <c r="H3809" s="195">
        <f t="shared" si="59"/>
        <v>33</v>
      </c>
      <c r="I3809" s="212" t="s">
        <v>2354</v>
      </c>
    </row>
    <row r="3810" spans="1:9" x14ac:dyDescent="0.25">
      <c r="A3810" s="218" t="s">
        <v>220</v>
      </c>
      <c r="B3810" s="218" t="s">
        <v>5430</v>
      </c>
      <c r="C3810" s="219" t="s">
        <v>4927</v>
      </c>
      <c r="D3810" s="212" t="s">
        <v>4928</v>
      </c>
      <c r="E3810" s="212" t="s">
        <v>545</v>
      </c>
      <c r="F3810" s="213">
        <v>401</v>
      </c>
      <c r="G3810" s="213">
        <v>0.127</v>
      </c>
      <c r="H3810" s="195">
        <f t="shared" si="59"/>
        <v>50.927</v>
      </c>
      <c r="I3810" s="212" t="s">
        <v>2354</v>
      </c>
    </row>
    <row r="3811" spans="1:9" x14ac:dyDescent="0.25">
      <c r="A3811" s="218" t="s">
        <v>220</v>
      </c>
      <c r="B3811" s="218" t="s">
        <v>5430</v>
      </c>
      <c r="C3811" s="219" t="s">
        <v>4929</v>
      </c>
      <c r="D3811" s="212" t="s">
        <v>4930</v>
      </c>
      <c r="E3811" s="212" t="s">
        <v>545</v>
      </c>
      <c r="F3811" s="213">
        <v>302</v>
      </c>
      <c r="G3811" s="213">
        <v>0.30299999999999999</v>
      </c>
      <c r="H3811" s="195">
        <f t="shared" si="59"/>
        <v>91.506</v>
      </c>
      <c r="I3811" s="212" t="s">
        <v>2354</v>
      </c>
    </row>
    <row r="3812" spans="1:9" x14ac:dyDescent="0.25">
      <c r="A3812" s="218" t="s">
        <v>220</v>
      </c>
      <c r="B3812" s="218" t="s">
        <v>5430</v>
      </c>
      <c r="C3812" s="219" t="s">
        <v>4937</v>
      </c>
      <c r="D3812" s="212" t="s">
        <v>4938</v>
      </c>
      <c r="E3812" s="212" t="s">
        <v>545</v>
      </c>
      <c r="F3812" s="213">
        <v>14</v>
      </c>
      <c r="G3812" s="213">
        <v>0.15327726708074535</v>
      </c>
      <c r="H3812" s="195">
        <f t="shared" si="59"/>
        <v>2.1458817391304348</v>
      </c>
      <c r="I3812" s="212" t="s">
        <v>2354</v>
      </c>
    </row>
    <row r="3813" spans="1:9" x14ac:dyDescent="0.25">
      <c r="A3813" s="218" t="s">
        <v>220</v>
      </c>
      <c r="B3813" s="218" t="s">
        <v>5430</v>
      </c>
      <c r="C3813" s="219" t="s">
        <v>4939</v>
      </c>
      <c r="D3813" s="212" t="s">
        <v>4940</v>
      </c>
      <c r="E3813" s="212" t="s">
        <v>545</v>
      </c>
      <c r="F3813" s="213">
        <v>18</v>
      </c>
      <c r="G3813" s="213">
        <v>0.27565000000000001</v>
      </c>
      <c r="H3813" s="195">
        <f t="shared" si="59"/>
        <v>4.9617000000000004</v>
      </c>
      <c r="I3813" s="212" t="s">
        <v>2354</v>
      </c>
    </row>
    <row r="3814" spans="1:9" x14ac:dyDescent="0.25">
      <c r="A3814" s="218" t="s">
        <v>220</v>
      </c>
      <c r="B3814" s="218" t="s">
        <v>5430</v>
      </c>
      <c r="C3814" s="219" t="s">
        <v>4943</v>
      </c>
      <c r="D3814" s="212" t="s">
        <v>4944</v>
      </c>
      <c r="E3814" s="212" t="s">
        <v>545</v>
      </c>
      <c r="F3814" s="213">
        <v>18</v>
      </c>
      <c r="G3814" s="213">
        <v>3.7376999999999998</v>
      </c>
      <c r="H3814" s="195">
        <f t="shared" si="59"/>
        <v>67.278599999999997</v>
      </c>
      <c r="I3814" s="212" t="s">
        <v>2354</v>
      </c>
    </row>
    <row r="3815" spans="1:9" x14ac:dyDescent="0.25">
      <c r="A3815" s="218" t="s">
        <v>220</v>
      </c>
      <c r="B3815" s="218" t="s">
        <v>5430</v>
      </c>
      <c r="C3815" s="219" t="s">
        <v>4945</v>
      </c>
      <c r="D3815" s="212" t="s">
        <v>4946</v>
      </c>
      <c r="E3815" s="212" t="s">
        <v>545</v>
      </c>
      <c r="F3815" s="213">
        <v>4</v>
      </c>
      <c r="G3815" s="213">
        <v>0.16788</v>
      </c>
      <c r="H3815" s="195">
        <f t="shared" si="59"/>
        <v>0.67152000000000001</v>
      </c>
      <c r="I3815" s="212" t="s">
        <v>2354</v>
      </c>
    </row>
    <row r="3816" spans="1:9" x14ac:dyDescent="0.25">
      <c r="A3816" s="218" t="s">
        <v>220</v>
      </c>
      <c r="B3816" s="218" t="s">
        <v>5430</v>
      </c>
      <c r="C3816" s="219" t="s">
        <v>4959</v>
      </c>
      <c r="D3816" s="212" t="s">
        <v>4960</v>
      </c>
      <c r="E3816" s="212" t="s">
        <v>545</v>
      </c>
      <c r="F3816" s="213">
        <v>28</v>
      </c>
      <c r="G3816" s="213">
        <v>0.28334745762711866</v>
      </c>
      <c r="H3816" s="195">
        <f t="shared" si="59"/>
        <v>7.9337288135593225</v>
      </c>
      <c r="I3816" s="212" t="s">
        <v>2354</v>
      </c>
    </row>
    <row r="3817" spans="1:9" x14ac:dyDescent="0.25">
      <c r="A3817" s="218" t="s">
        <v>220</v>
      </c>
      <c r="B3817" s="218" t="s">
        <v>5430</v>
      </c>
      <c r="C3817" s="219" t="s">
        <v>4961</v>
      </c>
      <c r="D3817" s="212" t="s">
        <v>4962</v>
      </c>
      <c r="E3817" s="212" t="s">
        <v>545</v>
      </c>
      <c r="F3817" s="213">
        <v>10</v>
      </c>
      <c r="G3817" s="213">
        <v>1.3260000000000001</v>
      </c>
      <c r="H3817" s="195">
        <f t="shared" si="59"/>
        <v>13.260000000000002</v>
      </c>
      <c r="I3817" s="212" t="s">
        <v>2354</v>
      </c>
    </row>
    <row r="3818" spans="1:9" x14ac:dyDescent="0.25">
      <c r="A3818" s="218" t="s">
        <v>220</v>
      </c>
      <c r="B3818" s="218" t="s">
        <v>5430</v>
      </c>
      <c r="C3818" s="219" t="s">
        <v>4963</v>
      </c>
      <c r="D3818" s="212" t="s">
        <v>4964</v>
      </c>
      <c r="E3818" s="212" t="s">
        <v>545</v>
      </c>
      <c r="F3818" s="213">
        <v>15</v>
      </c>
      <c r="G3818" s="213">
        <v>2.2429999999999999</v>
      </c>
      <c r="H3818" s="195">
        <f t="shared" si="59"/>
        <v>33.644999999999996</v>
      </c>
      <c r="I3818" s="212" t="s">
        <v>2354</v>
      </c>
    </row>
    <row r="3819" spans="1:9" x14ac:dyDescent="0.25">
      <c r="A3819" s="218" t="s">
        <v>220</v>
      </c>
      <c r="B3819" s="218" t="s">
        <v>5430</v>
      </c>
      <c r="C3819" s="219" t="s">
        <v>4965</v>
      </c>
      <c r="D3819" s="212" t="s">
        <v>4966</v>
      </c>
      <c r="E3819" s="212" t="s">
        <v>545</v>
      </c>
      <c r="F3819" s="213">
        <v>14</v>
      </c>
      <c r="G3819" s="213">
        <v>3.2429999999999999</v>
      </c>
      <c r="H3819" s="195">
        <f t="shared" si="59"/>
        <v>45.402000000000001</v>
      </c>
      <c r="I3819" s="212" t="s">
        <v>2354</v>
      </c>
    </row>
    <row r="3820" spans="1:9" x14ac:dyDescent="0.25">
      <c r="A3820" s="218" t="s">
        <v>220</v>
      </c>
      <c r="B3820" s="218" t="s">
        <v>5430</v>
      </c>
      <c r="C3820" s="219" t="s">
        <v>4967</v>
      </c>
      <c r="D3820" s="212" t="s">
        <v>4968</v>
      </c>
      <c r="E3820" s="212" t="s">
        <v>545</v>
      </c>
      <c r="F3820" s="213">
        <v>8</v>
      </c>
      <c r="G3820" s="213">
        <v>4.4850000000000003</v>
      </c>
      <c r="H3820" s="195">
        <f t="shared" si="59"/>
        <v>35.880000000000003</v>
      </c>
      <c r="I3820" s="212" t="s">
        <v>2354</v>
      </c>
    </row>
    <row r="3821" spans="1:9" x14ac:dyDescent="0.25">
      <c r="A3821" s="218" t="s">
        <v>220</v>
      </c>
      <c r="B3821" s="218" t="s">
        <v>5430</v>
      </c>
      <c r="C3821" s="219" t="s">
        <v>4969</v>
      </c>
      <c r="D3821" s="212" t="s">
        <v>4970</v>
      </c>
      <c r="E3821" s="212" t="s">
        <v>545</v>
      </c>
      <c r="F3821" s="213">
        <v>15</v>
      </c>
      <c r="G3821" s="213">
        <v>4.3360000000000003</v>
      </c>
      <c r="H3821" s="195">
        <f t="shared" si="59"/>
        <v>65.040000000000006</v>
      </c>
      <c r="I3821" s="212" t="s">
        <v>2354</v>
      </c>
    </row>
    <row r="3822" spans="1:9" x14ac:dyDescent="0.25">
      <c r="A3822" s="218" t="s">
        <v>220</v>
      </c>
      <c r="B3822" s="218" t="s">
        <v>5430</v>
      </c>
      <c r="C3822" s="219" t="s">
        <v>7184</v>
      </c>
      <c r="D3822" s="212" t="s">
        <v>4972</v>
      </c>
      <c r="E3822" s="212" t="s">
        <v>545</v>
      </c>
      <c r="F3822" s="213">
        <v>7</v>
      </c>
      <c r="G3822" s="213">
        <v>8.4700000000000006</v>
      </c>
      <c r="H3822" s="195">
        <f t="shared" si="59"/>
        <v>59.290000000000006</v>
      </c>
      <c r="I3822" s="212" t="s">
        <v>2354</v>
      </c>
    </row>
    <row r="3823" spans="1:9" x14ac:dyDescent="0.25">
      <c r="A3823" s="218" t="s">
        <v>220</v>
      </c>
      <c r="B3823" s="218" t="s">
        <v>5430</v>
      </c>
      <c r="C3823" s="219" t="s">
        <v>4973</v>
      </c>
      <c r="D3823" s="212" t="s">
        <v>4974</v>
      </c>
      <c r="E3823" s="212" t="s">
        <v>545</v>
      </c>
      <c r="F3823" s="213">
        <v>140</v>
      </c>
      <c r="G3823" s="213">
        <v>6.1900000000000002E-3</v>
      </c>
      <c r="H3823" s="195">
        <f t="shared" si="59"/>
        <v>0.86660000000000004</v>
      </c>
      <c r="I3823" s="212" t="s">
        <v>2354</v>
      </c>
    </row>
    <row r="3824" spans="1:9" x14ac:dyDescent="0.25">
      <c r="A3824" s="218" t="s">
        <v>220</v>
      </c>
      <c r="B3824" s="218" t="s">
        <v>5430</v>
      </c>
      <c r="C3824" s="219" t="s">
        <v>4975</v>
      </c>
      <c r="D3824" s="212" t="s">
        <v>4976</v>
      </c>
      <c r="E3824" s="212" t="s">
        <v>545</v>
      </c>
      <c r="F3824" s="213">
        <v>380</v>
      </c>
      <c r="G3824" s="213">
        <v>7.6499999999999999E-2</v>
      </c>
      <c r="H3824" s="195">
        <f t="shared" si="59"/>
        <v>29.07</v>
      </c>
      <c r="I3824" s="212" t="s">
        <v>2354</v>
      </c>
    </row>
    <row r="3825" spans="1:9" x14ac:dyDescent="0.25">
      <c r="A3825" s="218" t="s">
        <v>220</v>
      </c>
      <c r="B3825" s="218" t="s">
        <v>5430</v>
      </c>
      <c r="C3825" s="219" t="s">
        <v>4977</v>
      </c>
      <c r="D3825" s="212" t="s">
        <v>4978</v>
      </c>
      <c r="E3825" s="212" t="s">
        <v>545</v>
      </c>
      <c r="F3825" s="213">
        <v>452</v>
      </c>
      <c r="G3825" s="213">
        <v>4.2750000000000003E-2</v>
      </c>
      <c r="H3825" s="195">
        <f t="shared" si="59"/>
        <v>19.323</v>
      </c>
      <c r="I3825" s="212" t="s">
        <v>2354</v>
      </c>
    </row>
    <row r="3826" spans="1:9" x14ac:dyDescent="0.25">
      <c r="A3826" s="218" t="s">
        <v>220</v>
      </c>
      <c r="B3826" s="218" t="s">
        <v>5430</v>
      </c>
      <c r="C3826" s="219" t="s">
        <v>4979</v>
      </c>
      <c r="D3826" s="212" t="s">
        <v>4980</v>
      </c>
      <c r="E3826" s="212" t="s">
        <v>545</v>
      </c>
      <c r="F3826" s="213">
        <v>420</v>
      </c>
      <c r="G3826" s="213">
        <v>2.826E-2</v>
      </c>
      <c r="H3826" s="195">
        <f t="shared" si="59"/>
        <v>11.869199999999999</v>
      </c>
      <c r="I3826" s="212" t="s">
        <v>2354</v>
      </c>
    </row>
    <row r="3827" spans="1:9" x14ac:dyDescent="0.25">
      <c r="A3827" s="218" t="s">
        <v>220</v>
      </c>
      <c r="B3827" s="218" t="s">
        <v>5430</v>
      </c>
      <c r="C3827" s="219" t="s">
        <v>4981</v>
      </c>
      <c r="D3827" s="212" t="s">
        <v>4982</v>
      </c>
      <c r="E3827" s="212" t="s">
        <v>545</v>
      </c>
      <c r="F3827" s="213">
        <v>540</v>
      </c>
      <c r="G3827" s="213">
        <v>8.1000000000000003E-2</v>
      </c>
      <c r="H3827" s="195">
        <f t="shared" si="59"/>
        <v>43.74</v>
      </c>
      <c r="I3827" s="212" t="s">
        <v>2354</v>
      </c>
    </row>
    <row r="3828" spans="1:9" x14ac:dyDescent="0.25">
      <c r="A3828" s="218" t="s">
        <v>220</v>
      </c>
      <c r="B3828" s="218" t="s">
        <v>5430</v>
      </c>
      <c r="C3828" s="219" t="s">
        <v>4983</v>
      </c>
      <c r="D3828" s="212" t="s">
        <v>4984</v>
      </c>
      <c r="E3828" s="212" t="s">
        <v>545</v>
      </c>
      <c r="F3828" s="213">
        <v>380</v>
      </c>
      <c r="G3828" s="213">
        <v>0.14147000000000001</v>
      </c>
      <c r="H3828" s="195">
        <f t="shared" si="59"/>
        <v>53.758600000000001</v>
      </c>
      <c r="I3828" s="212" t="s">
        <v>2354</v>
      </c>
    </row>
    <row r="3829" spans="1:9" x14ac:dyDescent="0.25">
      <c r="A3829" s="218" t="s">
        <v>220</v>
      </c>
      <c r="B3829" s="218" t="s">
        <v>5430</v>
      </c>
      <c r="C3829" s="219" t="s">
        <v>4985</v>
      </c>
      <c r="D3829" s="212" t="s">
        <v>4986</v>
      </c>
      <c r="E3829" s="212" t="s">
        <v>545</v>
      </c>
      <c r="F3829" s="213">
        <v>523</v>
      </c>
      <c r="G3829" s="213">
        <v>0.26100000000000001</v>
      </c>
      <c r="H3829" s="195">
        <f t="shared" si="59"/>
        <v>136.50300000000001</v>
      </c>
      <c r="I3829" s="212" t="s">
        <v>2354</v>
      </c>
    </row>
    <row r="3830" spans="1:9" x14ac:dyDescent="0.25">
      <c r="A3830" s="218" t="s">
        <v>220</v>
      </c>
      <c r="B3830" s="218" t="s">
        <v>5430</v>
      </c>
      <c r="C3830" s="219" t="s">
        <v>7185</v>
      </c>
      <c r="D3830" s="212" t="s">
        <v>7186</v>
      </c>
      <c r="E3830" s="212" t="s">
        <v>545</v>
      </c>
      <c r="F3830" s="213">
        <v>80</v>
      </c>
      <c r="G3830" s="213">
        <v>0.17327000000000001</v>
      </c>
      <c r="H3830" s="195">
        <f t="shared" si="59"/>
        <v>13.861600000000001</v>
      </c>
      <c r="I3830" s="212" t="s">
        <v>2354</v>
      </c>
    </row>
    <row r="3831" spans="1:9" x14ac:dyDescent="0.25">
      <c r="A3831" s="218" t="s">
        <v>220</v>
      </c>
      <c r="B3831" s="218" t="s">
        <v>5430</v>
      </c>
      <c r="C3831" s="219" t="s">
        <v>5012</v>
      </c>
      <c r="D3831" s="212" t="s">
        <v>5013</v>
      </c>
      <c r="E3831" s="212" t="s">
        <v>545</v>
      </c>
      <c r="F3831" s="213">
        <v>38</v>
      </c>
      <c r="G3831" s="213">
        <v>5.04E-2</v>
      </c>
      <c r="H3831" s="195">
        <f t="shared" si="59"/>
        <v>1.9152</v>
      </c>
      <c r="I3831" s="212" t="s">
        <v>2354</v>
      </c>
    </row>
    <row r="3832" spans="1:9" x14ac:dyDescent="0.25">
      <c r="A3832" s="218" t="s">
        <v>220</v>
      </c>
      <c r="B3832" s="218" t="s">
        <v>5430</v>
      </c>
      <c r="C3832" s="219" t="s">
        <v>5014</v>
      </c>
      <c r="D3832" s="212" t="s">
        <v>5015</v>
      </c>
      <c r="E3832" s="212" t="s">
        <v>545</v>
      </c>
      <c r="F3832" s="213">
        <v>23</v>
      </c>
      <c r="G3832" s="213">
        <v>3.9600000000000003E-2</v>
      </c>
      <c r="H3832" s="195">
        <f t="shared" si="59"/>
        <v>0.91080000000000005</v>
      </c>
      <c r="I3832" s="212" t="s">
        <v>2354</v>
      </c>
    </row>
    <row r="3833" spans="1:9" x14ac:dyDescent="0.25">
      <c r="A3833" s="218" t="s">
        <v>220</v>
      </c>
      <c r="B3833" s="218" t="s">
        <v>5430</v>
      </c>
      <c r="C3833" s="219" t="s">
        <v>5050</v>
      </c>
      <c r="D3833" s="212" t="s">
        <v>5051</v>
      </c>
      <c r="E3833" s="212" t="s">
        <v>545</v>
      </c>
      <c r="F3833" s="213">
        <v>9</v>
      </c>
      <c r="G3833" s="213">
        <v>1.35</v>
      </c>
      <c r="H3833" s="195">
        <f t="shared" si="59"/>
        <v>12.15</v>
      </c>
      <c r="I3833" s="212" t="s">
        <v>2354</v>
      </c>
    </row>
    <row r="3834" spans="1:9" x14ac:dyDescent="0.25">
      <c r="A3834" s="218" t="s">
        <v>220</v>
      </c>
      <c r="B3834" s="218" t="s">
        <v>5430</v>
      </c>
      <c r="C3834" s="219" t="s">
        <v>7187</v>
      </c>
      <c r="D3834" s="212" t="s">
        <v>7188</v>
      </c>
      <c r="E3834" s="212" t="s">
        <v>545</v>
      </c>
      <c r="F3834" s="213">
        <v>52</v>
      </c>
      <c r="G3834" s="213">
        <v>1.8180000000000001</v>
      </c>
      <c r="H3834" s="195">
        <f t="shared" si="59"/>
        <v>94.536000000000001</v>
      </c>
      <c r="I3834" s="212" t="s">
        <v>2354</v>
      </c>
    </row>
    <row r="3835" spans="1:9" x14ac:dyDescent="0.25">
      <c r="A3835" s="218" t="s">
        <v>220</v>
      </c>
      <c r="B3835" s="218" t="s">
        <v>5430</v>
      </c>
      <c r="C3835" s="219" t="s">
        <v>7189</v>
      </c>
      <c r="D3835" s="212" t="s">
        <v>5061</v>
      </c>
      <c r="E3835" s="212" t="s">
        <v>545</v>
      </c>
      <c r="F3835" s="213">
        <v>5</v>
      </c>
      <c r="G3835" s="213">
        <v>2.1949999999999998</v>
      </c>
      <c r="H3835" s="195">
        <f t="shared" si="59"/>
        <v>10.975</v>
      </c>
      <c r="I3835" s="212" t="s">
        <v>2354</v>
      </c>
    </row>
    <row r="3836" spans="1:9" x14ac:dyDescent="0.25">
      <c r="A3836" s="218" t="s">
        <v>220</v>
      </c>
      <c r="B3836" s="218" t="s">
        <v>5430</v>
      </c>
      <c r="C3836" s="219" t="s">
        <v>7190</v>
      </c>
      <c r="D3836" s="212" t="s">
        <v>7191</v>
      </c>
      <c r="E3836" s="212" t="s">
        <v>545</v>
      </c>
      <c r="F3836" s="213">
        <v>9</v>
      </c>
      <c r="G3836" s="213">
        <v>3.1172142857142862</v>
      </c>
      <c r="H3836" s="195">
        <f t="shared" si="59"/>
        <v>28.054928571428576</v>
      </c>
      <c r="I3836" s="212" t="s">
        <v>2354</v>
      </c>
    </row>
    <row r="3837" spans="1:9" x14ac:dyDescent="0.25">
      <c r="A3837" s="218" t="s">
        <v>220</v>
      </c>
      <c r="B3837" s="218" t="s">
        <v>5430</v>
      </c>
      <c r="C3837" s="219" t="s">
        <v>7192</v>
      </c>
      <c r="D3837" s="212" t="s">
        <v>7193</v>
      </c>
      <c r="E3837" s="212" t="s">
        <v>545</v>
      </c>
      <c r="F3837" s="213">
        <v>5</v>
      </c>
      <c r="G3837" s="213">
        <v>2.5362</v>
      </c>
      <c r="H3837" s="195">
        <f t="shared" si="59"/>
        <v>12.681000000000001</v>
      </c>
      <c r="I3837" s="212" t="s">
        <v>2354</v>
      </c>
    </row>
    <row r="3838" spans="1:9" x14ac:dyDescent="0.25">
      <c r="A3838" s="218" t="s">
        <v>220</v>
      </c>
      <c r="B3838" s="218" t="s">
        <v>5430</v>
      </c>
      <c r="C3838" s="219" t="s">
        <v>5066</v>
      </c>
      <c r="D3838" s="212" t="s">
        <v>5067</v>
      </c>
      <c r="E3838" s="212" t="s">
        <v>545</v>
      </c>
      <c r="F3838" s="213">
        <v>74</v>
      </c>
      <c r="G3838" s="213">
        <v>0.32200000000000001</v>
      </c>
      <c r="H3838" s="195">
        <f t="shared" si="59"/>
        <v>23.827999999999999</v>
      </c>
      <c r="I3838" s="212" t="s">
        <v>2354</v>
      </c>
    </row>
    <row r="3839" spans="1:9" x14ac:dyDescent="0.25">
      <c r="A3839" s="218" t="s">
        <v>220</v>
      </c>
      <c r="B3839" s="218" t="s">
        <v>5430</v>
      </c>
      <c r="C3839" s="219" t="s">
        <v>7194</v>
      </c>
      <c r="D3839" s="212" t="s">
        <v>7195</v>
      </c>
      <c r="E3839" s="212" t="s">
        <v>545</v>
      </c>
      <c r="F3839" s="213">
        <v>61</v>
      </c>
      <c r="G3839" s="213">
        <v>0.3468</v>
      </c>
      <c r="H3839" s="195">
        <f t="shared" si="59"/>
        <v>21.154800000000002</v>
      </c>
      <c r="I3839" s="212" t="s">
        <v>2354</v>
      </c>
    </row>
    <row r="3840" spans="1:9" x14ac:dyDescent="0.25">
      <c r="A3840" s="218" t="s">
        <v>220</v>
      </c>
      <c r="B3840" s="218" t="s">
        <v>5430</v>
      </c>
      <c r="C3840" s="219" t="s">
        <v>7196</v>
      </c>
      <c r="D3840" s="212" t="s">
        <v>7197</v>
      </c>
      <c r="E3840" s="212" t="s">
        <v>545</v>
      </c>
      <c r="F3840" s="213">
        <v>14</v>
      </c>
      <c r="G3840" s="213">
        <v>0.25797999999999999</v>
      </c>
      <c r="H3840" s="195">
        <f t="shared" si="59"/>
        <v>3.61172</v>
      </c>
      <c r="I3840" s="212" t="s">
        <v>2354</v>
      </c>
    </row>
    <row r="3841" spans="1:9" x14ac:dyDescent="0.25">
      <c r="A3841" s="218" t="s">
        <v>220</v>
      </c>
      <c r="B3841" s="218" t="s">
        <v>5430</v>
      </c>
      <c r="C3841" s="219" t="s">
        <v>7198</v>
      </c>
      <c r="D3841" s="212" t="s">
        <v>7199</v>
      </c>
      <c r="E3841" s="212" t="s">
        <v>545</v>
      </c>
      <c r="F3841" s="213">
        <v>85</v>
      </c>
      <c r="G3841" s="213">
        <v>0.18</v>
      </c>
      <c r="H3841" s="195">
        <f t="shared" si="59"/>
        <v>15.299999999999999</v>
      </c>
      <c r="I3841" s="212" t="s">
        <v>2354</v>
      </c>
    </row>
    <row r="3842" spans="1:9" x14ac:dyDescent="0.25">
      <c r="A3842" s="218" t="s">
        <v>220</v>
      </c>
      <c r="B3842" s="218" t="s">
        <v>5430</v>
      </c>
      <c r="C3842" s="219" t="s">
        <v>5080</v>
      </c>
      <c r="D3842" s="212" t="s">
        <v>5081</v>
      </c>
      <c r="E3842" s="212" t="s">
        <v>545</v>
      </c>
      <c r="F3842" s="213">
        <v>7</v>
      </c>
      <c r="G3842" s="213">
        <v>17.193000000000001</v>
      </c>
      <c r="H3842" s="195">
        <f t="shared" si="59"/>
        <v>120.35100000000001</v>
      </c>
      <c r="I3842" s="212" t="s">
        <v>2354</v>
      </c>
    </row>
    <row r="3843" spans="1:9" x14ac:dyDescent="0.25">
      <c r="A3843" s="218" t="s">
        <v>220</v>
      </c>
      <c r="B3843" s="218" t="s">
        <v>5430</v>
      </c>
      <c r="C3843" s="219" t="s">
        <v>5082</v>
      </c>
      <c r="D3843" s="212" t="s">
        <v>5083</v>
      </c>
      <c r="E3843" s="212" t="s">
        <v>545</v>
      </c>
      <c r="F3843" s="213">
        <v>5</v>
      </c>
      <c r="G3843" s="213">
        <v>22.925000000000001</v>
      </c>
      <c r="H3843" s="195">
        <f t="shared" si="59"/>
        <v>114.625</v>
      </c>
      <c r="I3843" s="212" t="s">
        <v>2354</v>
      </c>
    </row>
    <row r="3844" spans="1:9" x14ac:dyDescent="0.25">
      <c r="A3844" s="218" t="s">
        <v>220</v>
      </c>
      <c r="B3844" s="218" t="s">
        <v>5430</v>
      </c>
      <c r="C3844" s="219" t="s">
        <v>7200</v>
      </c>
      <c r="D3844" s="212" t="s">
        <v>7201</v>
      </c>
      <c r="E3844" s="212" t="s">
        <v>545</v>
      </c>
      <c r="F3844" s="213">
        <v>38</v>
      </c>
      <c r="G3844" s="213">
        <v>0.29799999999999999</v>
      </c>
      <c r="H3844" s="195">
        <f t="shared" si="59"/>
        <v>11.324</v>
      </c>
      <c r="I3844" s="212" t="s">
        <v>2354</v>
      </c>
    </row>
    <row r="3845" spans="1:9" x14ac:dyDescent="0.25">
      <c r="A3845" s="218" t="s">
        <v>220</v>
      </c>
      <c r="B3845" s="218" t="s">
        <v>5430</v>
      </c>
      <c r="C3845" s="219" t="s">
        <v>7202</v>
      </c>
      <c r="D3845" s="212" t="s">
        <v>7203</v>
      </c>
      <c r="E3845" s="212" t="s">
        <v>545</v>
      </c>
      <c r="F3845" s="213">
        <v>54</v>
      </c>
      <c r="G3845" s="213">
        <v>1.3390899999999999</v>
      </c>
      <c r="H3845" s="195">
        <f t="shared" ref="H3845:H3908" si="60">+F3845*G3845</f>
        <v>72.310859999999991</v>
      </c>
      <c r="I3845" s="212" t="s">
        <v>2354</v>
      </c>
    </row>
    <row r="3846" spans="1:9" x14ac:dyDescent="0.25">
      <c r="A3846" s="218" t="s">
        <v>220</v>
      </c>
      <c r="B3846" s="218" t="s">
        <v>5430</v>
      </c>
      <c r="C3846" s="219" t="s">
        <v>7204</v>
      </c>
      <c r="D3846" s="212" t="s">
        <v>7205</v>
      </c>
      <c r="E3846" s="212" t="s">
        <v>545</v>
      </c>
      <c r="F3846" s="213">
        <v>45</v>
      </c>
      <c r="G3846" s="213">
        <v>0.42626999999999998</v>
      </c>
      <c r="H3846" s="195">
        <f t="shared" si="60"/>
        <v>19.18215</v>
      </c>
      <c r="I3846" s="212" t="s">
        <v>2354</v>
      </c>
    </row>
    <row r="3847" spans="1:9" x14ac:dyDescent="0.25">
      <c r="A3847" s="218" t="s">
        <v>220</v>
      </c>
      <c r="B3847" s="218" t="s">
        <v>5430</v>
      </c>
      <c r="C3847" s="219" t="s">
        <v>7206</v>
      </c>
      <c r="D3847" s="212" t="s">
        <v>7207</v>
      </c>
      <c r="E3847" s="212" t="s">
        <v>545</v>
      </c>
      <c r="F3847" s="213">
        <v>28</v>
      </c>
      <c r="G3847" s="213">
        <v>2.8079999999999998</v>
      </c>
      <c r="H3847" s="195">
        <f t="shared" si="60"/>
        <v>78.623999999999995</v>
      </c>
      <c r="I3847" s="212" t="s">
        <v>2354</v>
      </c>
    </row>
    <row r="3848" spans="1:9" x14ac:dyDescent="0.25">
      <c r="A3848" s="218" t="s">
        <v>220</v>
      </c>
      <c r="B3848" s="218" t="s">
        <v>5430</v>
      </c>
      <c r="C3848" s="219" t="s">
        <v>5092</v>
      </c>
      <c r="D3848" s="212" t="s">
        <v>5093</v>
      </c>
      <c r="E3848" s="212" t="s">
        <v>545</v>
      </c>
      <c r="F3848" s="213">
        <v>7</v>
      </c>
      <c r="G3848" s="213">
        <v>6.63</v>
      </c>
      <c r="H3848" s="195">
        <f t="shared" si="60"/>
        <v>46.41</v>
      </c>
      <c r="I3848" s="212" t="s">
        <v>2354</v>
      </c>
    </row>
    <row r="3849" spans="1:9" x14ac:dyDescent="0.25">
      <c r="A3849" s="218" t="s">
        <v>220</v>
      </c>
      <c r="B3849" s="218" t="s">
        <v>5430</v>
      </c>
      <c r="C3849" s="219" t="s">
        <v>5116</v>
      </c>
      <c r="D3849" s="212" t="s">
        <v>5117</v>
      </c>
      <c r="E3849" s="212" t="s">
        <v>545</v>
      </c>
      <c r="F3849" s="213">
        <v>85</v>
      </c>
      <c r="G3849" s="213">
        <v>5.1999999999999998E-2</v>
      </c>
      <c r="H3849" s="195">
        <f t="shared" si="60"/>
        <v>4.42</v>
      </c>
      <c r="I3849" s="212" t="s">
        <v>2354</v>
      </c>
    </row>
    <row r="3850" spans="1:9" x14ac:dyDescent="0.25">
      <c r="A3850" s="218" t="s">
        <v>220</v>
      </c>
      <c r="B3850" s="218" t="s">
        <v>5430</v>
      </c>
      <c r="C3850" s="219" t="s">
        <v>5118</v>
      </c>
      <c r="D3850" s="212" t="s">
        <v>5119</v>
      </c>
      <c r="E3850" s="212" t="s">
        <v>545</v>
      </c>
      <c r="F3850" s="213">
        <v>5</v>
      </c>
      <c r="G3850" s="213">
        <v>34.384999999999998</v>
      </c>
      <c r="H3850" s="195">
        <f t="shared" si="60"/>
        <v>171.92499999999998</v>
      </c>
      <c r="I3850" s="212" t="s">
        <v>2354</v>
      </c>
    </row>
    <row r="3851" spans="1:9" x14ac:dyDescent="0.25">
      <c r="A3851" s="218" t="s">
        <v>220</v>
      </c>
      <c r="B3851" s="218" t="s">
        <v>5430</v>
      </c>
      <c r="C3851" s="219" t="s">
        <v>5120</v>
      </c>
      <c r="D3851" s="212" t="s">
        <v>5121</v>
      </c>
      <c r="E3851" s="212" t="s">
        <v>545</v>
      </c>
      <c r="F3851" s="213">
        <v>81</v>
      </c>
      <c r="G3851" s="213">
        <v>0.19800000000000001</v>
      </c>
      <c r="H3851" s="195">
        <f t="shared" si="60"/>
        <v>16.038</v>
      </c>
      <c r="I3851" s="212" t="s">
        <v>2354</v>
      </c>
    </row>
    <row r="3852" spans="1:9" x14ac:dyDescent="0.25">
      <c r="A3852" s="218" t="s">
        <v>220</v>
      </c>
      <c r="B3852" s="218" t="s">
        <v>5430</v>
      </c>
      <c r="C3852" s="219" t="s">
        <v>7208</v>
      </c>
      <c r="D3852" s="212" t="s">
        <v>7209</v>
      </c>
      <c r="E3852" s="212" t="s">
        <v>545</v>
      </c>
      <c r="F3852" s="213">
        <v>42</v>
      </c>
      <c r="G3852" s="213">
        <v>3.7</v>
      </c>
      <c r="H3852" s="195">
        <f t="shared" si="60"/>
        <v>155.4</v>
      </c>
      <c r="I3852" s="212" t="s">
        <v>2354</v>
      </c>
    </row>
    <row r="3853" spans="1:9" x14ac:dyDescent="0.25">
      <c r="A3853" s="218" t="s">
        <v>220</v>
      </c>
      <c r="B3853" s="218" t="s">
        <v>5430</v>
      </c>
      <c r="C3853" s="219" t="s">
        <v>5138</v>
      </c>
      <c r="D3853" s="212" t="s">
        <v>5139</v>
      </c>
      <c r="E3853" s="212" t="s">
        <v>545</v>
      </c>
      <c r="F3853" s="213">
        <v>13</v>
      </c>
      <c r="G3853" s="213">
        <v>0.10878985088138404</v>
      </c>
      <c r="H3853" s="195">
        <f t="shared" si="60"/>
        <v>1.4142680614579926</v>
      </c>
      <c r="I3853" s="212" t="s">
        <v>2354</v>
      </c>
    </row>
    <row r="3854" spans="1:9" x14ac:dyDescent="0.25">
      <c r="A3854" s="218" t="s">
        <v>220</v>
      </c>
      <c r="B3854" s="218" t="s">
        <v>5430</v>
      </c>
      <c r="C3854" s="219" t="s">
        <v>5142</v>
      </c>
      <c r="D3854" s="212" t="s">
        <v>5143</v>
      </c>
      <c r="E3854" s="212" t="s">
        <v>545</v>
      </c>
      <c r="F3854" s="213">
        <v>189</v>
      </c>
      <c r="G3854" s="213">
        <v>0.46400000000000002</v>
      </c>
      <c r="H3854" s="195">
        <f t="shared" si="60"/>
        <v>87.695999999999998</v>
      </c>
      <c r="I3854" s="212" t="s">
        <v>2354</v>
      </c>
    </row>
    <row r="3855" spans="1:9" x14ac:dyDescent="0.25">
      <c r="A3855" s="218" t="s">
        <v>220</v>
      </c>
      <c r="B3855" s="218" t="s">
        <v>5430</v>
      </c>
      <c r="C3855" s="219" t="s">
        <v>7210</v>
      </c>
      <c r="D3855" s="212" t="s">
        <v>7211</v>
      </c>
      <c r="E3855" s="212" t="s">
        <v>545</v>
      </c>
      <c r="F3855" s="213">
        <v>158</v>
      </c>
      <c r="G3855" s="213">
        <v>2.4729999999999999</v>
      </c>
      <c r="H3855" s="195">
        <f t="shared" si="60"/>
        <v>390.73399999999998</v>
      </c>
      <c r="I3855" s="212" t="s">
        <v>2354</v>
      </c>
    </row>
    <row r="3856" spans="1:9" x14ac:dyDescent="0.25">
      <c r="A3856" s="218" t="s">
        <v>220</v>
      </c>
      <c r="B3856" s="218" t="s">
        <v>5430</v>
      </c>
      <c r="C3856" s="219" t="s">
        <v>7212</v>
      </c>
      <c r="D3856" s="212" t="s">
        <v>7213</v>
      </c>
      <c r="E3856" s="212" t="s">
        <v>2473</v>
      </c>
      <c r="F3856" s="213">
        <v>520</v>
      </c>
      <c r="G3856" s="213">
        <v>0.92800000000000005</v>
      </c>
      <c r="H3856" s="195">
        <f t="shared" si="60"/>
        <v>482.56</v>
      </c>
      <c r="I3856" s="212" t="s">
        <v>2354</v>
      </c>
    </row>
    <row r="3857" spans="1:9" x14ac:dyDescent="0.25">
      <c r="A3857" s="218" t="s">
        <v>220</v>
      </c>
      <c r="B3857" s="218" t="s">
        <v>5430</v>
      </c>
      <c r="C3857" s="219" t="s">
        <v>5146</v>
      </c>
      <c r="D3857" s="212" t="s">
        <v>5147</v>
      </c>
      <c r="E3857" s="212" t="s">
        <v>545</v>
      </c>
      <c r="F3857" s="213">
        <v>45</v>
      </c>
      <c r="G3857" s="213">
        <v>1.0395066666666666</v>
      </c>
      <c r="H3857" s="195">
        <f t="shared" si="60"/>
        <v>46.777799999999999</v>
      </c>
      <c r="I3857" s="212" t="s">
        <v>2354</v>
      </c>
    </row>
    <row r="3858" spans="1:9" x14ac:dyDescent="0.25">
      <c r="A3858" s="218" t="s">
        <v>220</v>
      </c>
      <c r="B3858" s="218" t="s">
        <v>5430</v>
      </c>
      <c r="C3858" s="219" t="s">
        <v>5156</v>
      </c>
      <c r="D3858" s="212" t="s">
        <v>5157</v>
      </c>
      <c r="E3858" s="212" t="s">
        <v>545</v>
      </c>
      <c r="F3858" s="213">
        <v>5</v>
      </c>
      <c r="G3858" s="213">
        <v>47.84</v>
      </c>
      <c r="H3858" s="195">
        <f t="shared" si="60"/>
        <v>239.20000000000002</v>
      </c>
      <c r="I3858" s="212" t="s">
        <v>2354</v>
      </c>
    </row>
    <row r="3859" spans="1:9" x14ac:dyDescent="0.25">
      <c r="A3859" s="218" t="s">
        <v>220</v>
      </c>
      <c r="B3859" s="218" t="s">
        <v>5430</v>
      </c>
      <c r="C3859" s="219" t="s">
        <v>7214</v>
      </c>
      <c r="D3859" s="212" t="s">
        <v>7215</v>
      </c>
      <c r="E3859" s="212" t="s">
        <v>545</v>
      </c>
      <c r="F3859" s="213">
        <v>12</v>
      </c>
      <c r="G3859" s="213">
        <v>22.725000000000001</v>
      </c>
      <c r="H3859" s="195">
        <f t="shared" si="60"/>
        <v>272.70000000000005</v>
      </c>
      <c r="I3859" s="212" t="s">
        <v>2354</v>
      </c>
    </row>
    <row r="3860" spans="1:9" x14ac:dyDescent="0.25">
      <c r="A3860" s="218" t="s">
        <v>220</v>
      </c>
      <c r="B3860" s="218" t="s">
        <v>5430</v>
      </c>
      <c r="C3860" s="219" t="s">
        <v>7216</v>
      </c>
      <c r="D3860" s="212" t="s">
        <v>7217</v>
      </c>
      <c r="E3860" s="212" t="s">
        <v>545</v>
      </c>
      <c r="F3860" s="213">
        <v>92</v>
      </c>
      <c r="G3860" s="213">
        <v>0.28999999999999998</v>
      </c>
      <c r="H3860" s="195">
        <f t="shared" si="60"/>
        <v>26.68</v>
      </c>
      <c r="I3860" s="212" t="s">
        <v>2354</v>
      </c>
    </row>
    <row r="3861" spans="1:9" x14ac:dyDescent="0.25">
      <c r="A3861" s="218" t="s">
        <v>220</v>
      </c>
      <c r="B3861" s="218" t="s">
        <v>5430</v>
      </c>
      <c r="C3861" s="219" t="s">
        <v>7218</v>
      </c>
      <c r="D3861" s="212" t="s">
        <v>5383</v>
      </c>
      <c r="E3861" s="212" t="s">
        <v>545</v>
      </c>
      <c r="F3861" s="213">
        <v>58</v>
      </c>
      <c r="G3861" s="213">
        <v>0.28999999999999998</v>
      </c>
      <c r="H3861" s="195">
        <f t="shared" si="60"/>
        <v>16.82</v>
      </c>
      <c r="I3861" s="212" t="s">
        <v>2354</v>
      </c>
    </row>
    <row r="3862" spans="1:9" x14ac:dyDescent="0.25">
      <c r="A3862" s="218" t="s">
        <v>220</v>
      </c>
      <c r="B3862" s="218" t="s">
        <v>5430</v>
      </c>
      <c r="C3862" s="219" t="s">
        <v>7219</v>
      </c>
      <c r="D3862" s="212" t="s">
        <v>7220</v>
      </c>
      <c r="E3862" s="212" t="s">
        <v>545</v>
      </c>
      <c r="F3862" s="213">
        <v>41</v>
      </c>
      <c r="G3862" s="213">
        <v>2.65</v>
      </c>
      <c r="H3862" s="195">
        <f t="shared" si="60"/>
        <v>108.64999999999999</v>
      </c>
      <c r="I3862" s="212" t="s">
        <v>2354</v>
      </c>
    </row>
    <row r="3863" spans="1:9" x14ac:dyDescent="0.25">
      <c r="A3863" s="218" t="s">
        <v>220</v>
      </c>
      <c r="B3863" s="218" t="s">
        <v>5430</v>
      </c>
      <c r="C3863" s="219" t="s">
        <v>7221</v>
      </c>
      <c r="D3863" s="212" t="s">
        <v>7222</v>
      </c>
      <c r="E3863" s="212" t="s">
        <v>545</v>
      </c>
      <c r="F3863" s="213">
        <v>41</v>
      </c>
      <c r="G3863" s="213">
        <v>2.15</v>
      </c>
      <c r="H3863" s="195">
        <f t="shared" si="60"/>
        <v>88.149999999999991</v>
      </c>
      <c r="I3863" s="212" t="s">
        <v>2354</v>
      </c>
    </row>
    <row r="3864" spans="1:9" x14ac:dyDescent="0.25">
      <c r="A3864" s="218" t="s">
        <v>220</v>
      </c>
      <c r="B3864" s="218" t="s">
        <v>5430</v>
      </c>
      <c r="C3864" s="219" t="s">
        <v>7223</v>
      </c>
      <c r="D3864" s="212" t="s">
        <v>7224</v>
      </c>
      <c r="E3864" s="212" t="s">
        <v>545</v>
      </c>
      <c r="F3864" s="213">
        <v>38</v>
      </c>
      <c r="G3864" s="213">
        <v>2.95</v>
      </c>
      <c r="H3864" s="195">
        <f t="shared" si="60"/>
        <v>112.10000000000001</v>
      </c>
      <c r="I3864" s="212" t="s">
        <v>2354</v>
      </c>
    </row>
    <row r="3865" spans="1:9" x14ac:dyDescent="0.25">
      <c r="A3865" s="218" t="s">
        <v>220</v>
      </c>
      <c r="B3865" s="218" t="s">
        <v>5430</v>
      </c>
      <c r="C3865" s="219" t="s">
        <v>7225</v>
      </c>
      <c r="D3865" s="212" t="s">
        <v>7226</v>
      </c>
      <c r="E3865" s="212" t="s">
        <v>545</v>
      </c>
      <c r="F3865" s="213">
        <v>1</v>
      </c>
      <c r="G3865" s="213">
        <v>54.99</v>
      </c>
      <c r="H3865" s="195">
        <f t="shared" si="60"/>
        <v>54.99</v>
      </c>
      <c r="I3865" s="212" t="s">
        <v>2354</v>
      </c>
    </row>
    <row r="3866" spans="1:9" x14ac:dyDescent="0.25">
      <c r="A3866" s="218" t="s">
        <v>220</v>
      </c>
      <c r="B3866" s="218" t="s">
        <v>5430</v>
      </c>
      <c r="C3866" s="219" t="s">
        <v>7227</v>
      </c>
      <c r="D3866" s="212" t="s">
        <v>7228</v>
      </c>
      <c r="E3866" s="212" t="s">
        <v>545</v>
      </c>
      <c r="F3866" s="213">
        <v>1</v>
      </c>
      <c r="G3866" s="213">
        <v>6.4349999999999996</v>
      </c>
      <c r="H3866" s="195">
        <f t="shared" si="60"/>
        <v>6.4349999999999996</v>
      </c>
      <c r="I3866" s="212" t="s">
        <v>2354</v>
      </c>
    </row>
    <row r="3867" spans="1:9" x14ac:dyDescent="0.25">
      <c r="A3867" s="218" t="s">
        <v>220</v>
      </c>
      <c r="B3867" s="218" t="s">
        <v>5430</v>
      </c>
      <c r="C3867" s="219" t="s">
        <v>7229</v>
      </c>
      <c r="D3867" s="212" t="s">
        <v>7230</v>
      </c>
      <c r="E3867" s="212" t="s">
        <v>545</v>
      </c>
      <c r="F3867" s="213">
        <v>8</v>
      </c>
      <c r="G3867" s="213">
        <v>0</v>
      </c>
      <c r="H3867" s="195">
        <f t="shared" si="60"/>
        <v>0</v>
      </c>
      <c r="I3867" s="212" t="s">
        <v>2354</v>
      </c>
    </row>
    <row r="3868" spans="1:9" x14ac:dyDescent="0.25">
      <c r="A3868" s="218" t="s">
        <v>220</v>
      </c>
      <c r="B3868" s="218" t="s">
        <v>5430</v>
      </c>
      <c r="C3868" s="219" t="s">
        <v>7231</v>
      </c>
      <c r="D3868" s="212" t="s">
        <v>7232</v>
      </c>
      <c r="E3868" s="212" t="s">
        <v>545</v>
      </c>
      <c r="F3868" s="213">
        <v>8</v>
      </c>
      <c r="G3868" s="213">
        <v>25.65</v>
      </c>
      <c r="H3868" s="195">
        <f t="shared" si="60"/>
        <v>205.2</v>
      </c>
      <c r="I3868" s="212" t="s">
        <v>2354</v>
      </c>
    </row>
    <row r="3869" spans="1:9" x14ac:dyDescent="0.25">
      <c r="A3869" s="218" t="s">
        <v>220</v>
      </c>
      <c r="B3869" s="218" t="s">
        <v>5430</v>
      </c>
      <c r="C3869" s="219" t="s">
        <v>7233</v>
      </c>
      <c r="D3869" s="212" t="s">
        <v>7234</v>
      </c>
      <c r="E3869" s="212" t="s">
        <v>545</v>
      </c>
      <c r="F3869" s="213">
        <v>65</v>
      </c>
      <c r="G3869" s="213">
        <v>0.54900000000000004</v>
      </c>
      <c r="H3869" s="195">
        <f t="shared" si="60"/>
        <v>35.685000000000002</v>
      </c>
      <c r="I3869" s="212" t="s">
        <v>2354</v>
      </c>
    </row>
    <row r="3870" spans="1:9" x14ac:dyDescent="0.25">
      <c r="A3870" s="218" t="s">
        <v>220</v>
      </c>
      <c r="B3870" s="218" t="s">
        <v>5430</v>
      </c>
      <c r="C3870" s="219" t="s">
        <v>7235</v>
      </c>
      <c r="D3870" s="212" t="s">
        <v>7236</v>
      </c>
      <c r="E3870" s="212" t="s">
        <v>545</v>
      </c>
      <c r="F3870" s="213">
        <v>22</v>
      </c>
      <c r="G3870" s="213">
        <v>13.736000000000001</v>
      </c>
      <c r="H3870" s="195">
        <f t="shared" si="60"/>
        <v>302.19200000000001</v>
      </c>
      <c r="I3870" s="212" t="s">
        <v>2354</v>
      </c>
    </row>
    <row r="3871" spans="1:9" x14ac:dyDescent="0.25">
      <c r="A3871" s="218" t="s">
        <v>220</v>
      </c>
      <c r="B3871" s="218" t="s">
        <v>5430</v>
      </c>
      <c r="C3871" s="219" t="s">
        <v>7237</v>
      </c>
      <c r="D3871" s="212" t="s">
        <v>7238</v>
      </c>
      <c r="E3871" s="212" t="s">
        <v>545</v>
      </c>
      <c r="F3871" s="213">
        <v>65</v>
      </c>
      <c r="G3871" s="213">
        <v>1.972</v>
      </c>
      <c r="H3871" s="195">
        <f t="shared" si="60"/>
        <v>128.18</v>
      </c>
      <c r="I3871" s="212" t="s">
        <v>2354</v>
      </c>
    </row>
    <row r="3872" spans="1:9" x14ac:dyDescent="0.25">
      <c r="A3872" s="218" t="s">
        <v>220</v>
      </c>
      <c r="B3872" s="218" t="s">
        <v>5430</v>
      </c>
      <c r="C3872" s="219" t="s">
        <v>7239</v>
      </c>
      <c r="D3872" s="212" t="s">
        <v>7240</v>
      </c>
      <c r="E3872" s="212" t="s">
        <v>2473</v>
      </c>
      <c r="F3872" s="213">
        <v>4</v>
      </c>
      <c r="G3872" s="213">
        <v>15.698</v>
      </c>
      <c r="H3872" s="195">
        <f t="shared" si="60"/>
        <v>62.792000000000002</v>
      </c>
      <c r="I3872" s="212" t="s">
        <v>2354</v>
      </c>
    </row>
    <row r="3873" spans="1:9" x14ac:dyDescent="0.25">
      <c r="A3873" s="218" t="s">
        <v>220</v>
      </c>
      <c r="B3873" s="218" t="s">
        <v>5430</v>
      </c>
      <c r="C3873" s="219" t="s">
        <v>7241</v>
      </c>
      <c r="D3873" s="212" t="s">
        <v>5161</v>
      </c>
      <c r="E3873" s="212" t="s">
        <v>545</v>
      </c>
      <c r="F3873" s="213">
        <v>2</v>
      </c>
      <c r="G3873" s="213">
        <v>6.7910000000000004</v>
      </c>
      <c r="H3873" s="195">
        <f t="shared" si="60"/>
        <v>13.582000000000001</v>
      </c>
      <c r="I3873" s="212" t="s">
        <v>2354</v>
      </c>
    </row>
    <row r="3874" spans="1:9" x14ac:dyDescent="0.25">
      <c r="A3874" s="218" t="s">
        <v>220</v>
      </c>
      <c r="B3874" s="218" t="s">
        <v>5430</v>
      </c>
      <c r="C3874" s="219" t="s">
        <v>7242</v>
      </c>
      <c r="D3874" s="212" t="s">
        <v>5163</v>
      </c>
      <c r="E3874" s="212" t="s">
        <v>545</v>
      </c>
      <c r="F3874" s="213">
        <v>5</v>
      </c>
      <c r="G3874" s="213">
        <v>10.92</v>
      </c>
      <c r="H3874" s="195">
        <f t="shared" si="60"/>
        <v>54.6</v>
      </c>
      <c r="I3874" s="212" t="s">
        <v>2354</v>
      </c>
    </row>
    <row r="3875" spans="1:9" x14ac:dyDescent="0.25">
      <c r="A3875" s="218" t="s">
        <v>220</v>
      </c>
      <c r="B3875" s="218" t="s">
        <v>5430</v>
      </c>
      <c r="C3875" s="219" t="s">
        <v>7243</v>
      </c>
      <c r="D3875" s="212" t="s">
        <v>5167</v>
      </c>
      <c r="E3875" s="212" t="s">
        <v>545</v>
      </c>
      <c r="F3875" s="213">
        <v>2</v>
      </c>
      <c r="G3875" s="213">
        <v>6.593</v>
      </c>
      <c r="H3875" s="195">
        <f t="shared" si="60"/>
        <v>13.186</v>
      </c>
      <c r="I3875" s="212" t="s">
        <v>2354</v>
      </c>
    </row>
    <row r="3876" spans="1:9" x14ac:dyDescent="0.25">
      <c r="A3876" s="218" t="s">
        <v>220</v>
      </c>
      <c r="B3876" s="218" t="s">
        <v>5430</v>
      </c>
      <c r="C3876" s="219" t="s">
        <v>7244</v>
      </c>
      <c r="D3876" s="212" t="s">
        <v>7245</v>
      </c>
      <c r="E3876" s="212" t="s">
        <v>545</v>
      </c>
      <c r="F3876" s="213">
        <v>1</v>
      </c>
      <c r="G3876" s="213">
        <v>56.860199999999999</v>
      </c>
      <c r="H3876" s="195">
        <f t="shared" si="60"/>
        <v>56.860199999999999</v>
      </c>
      <c r="I3876" s="212" t="s">
        <v>2354</v>
      </c>
    </row>
    <row r="3877" spans="1:9" x14ac:dyDescent="0.25">
      <c r="A3877" s="218" t="s">
        <v>220</v>
      </c>
      <c r="B3877" s="218" t="s">
        <v>5430</v>
      </c>
      <c r="C3877" s="219" t="s">
        <v>7246</v>
      </c>
      <c r="D3877" s="212" t="s">
        <v>7247</v>
      </c>
      <c r="E3877" s="212" t="s">
        <v>545</v>
      </c>
      <c r="F3877" s="213">
        <v>1</v>
      </c>
      <c r="G3877" s="213">
        <v>26.8047</v>
      </c>
      <c r="H3877" s="195">
        <f t="shared" si="60"/>
        <v>26.8047</v>
      </c>
      <c r="I3877" s="212" t="s">
        <v>2354</v>
      </c>
    </row>
    <row r="3878" spans="1:9" x14ac:dyDescent="0.25">
      <c r="A3878" s="218" t="s">
        <v>220</v>
      </c>
      <c r="B3878" s="218" t="s">
        <v>5430</v>
      </c>
      <c r="C3878" s="219" t="s">
        <v>5172</v>
      </c>
      <c r="D3878" s="212" t="s">
        <v>5173</v>
      </c>
      <c r="E3878" s="212" t="s">
        <v>545</v>
      </c>
      <c r="F3878" s="213">
        <v>1</v>
      </c>
      <c r="G3878" s="213">
        <v>1.63</v>
      </c>
      <c r="H3878" s="195">
        <f t="shared" si="60"/>
        <v>1.63</v>
      </c>
      <c r="I3878" s="212" t="s">
        <v>2354</v>
      </c>
    </row>
    <row r="3879" spans="1:9" x14ac:dyDescent="0.25">
      <c r="A3879" s="218" t="s">
        <v>220</v>
      </c>
      <c r="B3879" s="218" t="s">
        <v>5430</v>
      </c>
      <c r="C3879" s="219" t="s">
        <v>5174</v>
      </c>
      <c r="D3879" s="212" t="s">
        <v>5175</v>
      </c>
      <c r="E3879" s="212" t="s">
        <v>545</v>
      </c>
      <c r="F3879" s="213">
        <v>1</v>
      </c>
      <c r="G3879" s="213">
        <v>2.512</v>
      </c>
      <c r="H3879" s="195">
        <f t="shared" si="60"/>
        <v>2.512</v>
      </c>
      <c r="I3879" s="212" t="s">
        <v>2354</v>
      </c>
    </row>
    <row r="3880" spans="1:9" x14ac:dyDescent="0.25">
      <c r="A3880" s="218" t="s">
        <v>220</v>
      </c>
      <c r="B3880" s="218" t="s">
        <v>5430</v>
      </c>
      <c r="C3880" s="219" t="s">
        <v>5176</v>
      </c>
      <c r="D3880" s="212" t="s">
        <v>5177</v>
      </c>
      <c r="E3880" s="212" t="s">
        <v>545</v>
      </c>
      <c r="F3880" s="213">
        <v>1</v>
      </c>
      <c r="G3880" s="213">
        <v>3.0259999999999998</v>
      </c>
      <c r="H3880" s="195">
        <f t="shared" si="60"/>
        <v>3.0259999999999998</v>
      </c>
      <c r="I3880" s="212" t="s">
        <v>2354</v>
      </c>
    </row>
    <row r="3881" spans="1:9" x14ac:dyDescent="0.25">
      <c r="A3881" s="218" t="s">
        <v>220</v>
      </c>
      <c r="B3881" s="218" t="s">
        <v>5430</v>
      </c>
      <c r="C3881" s="219" t="s">
        <v>5178</v>
      </c>
      <c r="D3881" s="212" t="s">
        <v>5179</v>
      </c>
      <c r="E3881" s="212" t="s">
        <v>545</v>
      </c>
      <c r="F3881" s="213">
        <v>2</v>
      </c>
      <c r="G3881" s="213">
        <v>4.5625526315789475</v>
      </c>
      <c r="H3881" s="195">
        <f t="shared" si="60"/>
        <v>9.1251052631578951</v>
      </c>
      <c r="I3881" s="212" t="s">
        <v>2354</v>
      </c>
    </row>
    <row r="3882" spans="1:9" x14ac:dyDescent="0.25">
      <c r="A3882" s="218" t="s">
        <v>220</v>
      </c>
      <c r="B3882" s="218" t="s">
        <v>5430</v>
      </c>
      <c r="C3882" s="219" t="s">
        <v>5182</v>
      </c>
      <c r="D3882" s="212" t="s">
        <v>5183</v>
      </c>
      <c r="E3882" s="212" t="s">
        <v>545</v>
      </c>
      <c r="F3882" s="213">
        <v>2</v>
      </c>
      <c r="G3882" s="213">
        <v>13.026249999999999</v>
      </c>
      <c r="H3882" s="195">
        <f t="shared" si="60"/>
        <v>26.052499999999998</v>
      </c>
      <c r="I3882" s="212" t="s">
        <v>2354</v>
      </c>
    </row>
    <row r="3883" spans="1:9" x14ac:dyDescent="0.25">
      <c r="A3883" s="218" t="s">
        <v>220</v>
      </c>
      <c r="B3883" s="218" t="s">
        <v>5430</v>
      </c>
      <c r="C3883" s="219" t="s">
        <v>5184</v>
      </c>
      <c r="D3883" s="212" t="s">
        <v>5185</v>
      </c>
      <c r="E3883" s="212" t="s">
        <v>545</v>
      </c>
      <c r="F3883" s="213">
        <v>3</v>
      </c>
      <c r="G3883" s="213">
        <v>8.6880000000000006</v>
      </c>
      <c r="H3883" s="195">
        <f t="shared" si="60"/>
        <v>26.064</v>
      </c>
      <c r="I3883" s="212" t="s">
        <v>2354</v>
      </c>
    </row>
    <row r="3884" spans="1:9" x14ac:dyDescent="0.25">
      <c r="A3884" s="218" t="s">
        <v>220</v>
      </c>
      <c r="B3884" s="218" t="s">
        <v>5430</v>
      </c>
      <c r="C3884" s="219" t="s">
        <v>7248</v>
      </c>
      <c r="D3884" s="212" t="s">
        <v>7249</v>
      </c>
      <c r="E3884" s="212" t="s">
        <v>2473</v>
      </c>
      <c r="F3884" s="213">
        <v>1</v>
      </c>
      <c r="G3884" s="213">
        <v>29.51</v>
      </c>
      <c r="H3884" s="195">
        <f t="shared" si="60"/>
        <v>29.51</v>
      </c>
      <c r="I3884" s="212" t="s">
        <v>2354</v>
      </c>
    </row>
    <row r="3885" spans="1:9" x14ac:dyDescent="0.25">
      <c r="A3885" s="218" t="s">
        <v>220</v>
      </c>
      <c r="B3885" s="218" t="s">
        <v>5430</v>
      </c>
      <c r="C3885" s="219" t="s">
        <v>5186</v>
      </c>
      <c r="D3885" s="212" t="s">
        <v>5187</v>
      </c>
      <c r="E3885" s="212" t="s">
        <v>545</v>
      </c>
      <c r="F3885" s="213">
        <v>4</v>
      </c>
      <c r="G3885" s="213">
        <v>1.1559999999999999</v>
      </c>
      <c r="H3885" s="195">
        <f t="shared" si="60"/>
        <v>4.6239999999999997</v>
      </c>
      <c r="I3885" s="212" t="s">
        <v>2354</v>
      </c>
    </row>
    <row r="3886" spans="1:9" x14ac:dyDescent="0.25">
      <c r="A3886" s="218" t="s">
        <v>220</v>
      </c>
      <c r="B3886" s="218" t="s">
        <v>5430</v>
      </c>
      <c r="C3886" s="219" t="s">
        <v>5188</v>
      </c>
      <c r="D3886" s="212" t="s">
        <v>5189</v>
      </c>
      <c r="E3886" s="212" t="s">
        <v>545</v>
      </c>
      <c r="F3886" s="213">
        <v>1</v>
      </c>
      <c r="G3886" s="213">
        <v>4.6139999999999999</v>
      </c>
      <c r="H3886" s="195">
        <f t="shared" si="60"/>
        <v>4.6139999999999999</v>
      </c>
      <c r="I3886" s="212" t="s">
        <v>2354</v>
      </c>
    </row>
    <row r="3887" spans="1:9" x14ac:dyDescent="0.25">
      <c r="A3887" s="218" t="s">
        <v>220</v>
      </c>
      <c r="B3887" s="218" t="s">
        <v>5430</v>
      </c>
      <c r="C3887" s="219" t="s">
        <v>7250</v>
      </c>
      <c r="D3887" s="212" t="s">
        <v>7251</v>
      </c>
      <c r="E3887" s="212" t="s">
        <v>545</v>
      </c>
      <c r="F3887" s="213">
        <v>1</v>
      </c>
      <c r="G3887" s="213">
        <v>129.80250000000001</v>
      </c>
      <c r="H3887" s="195">
        <f t="shared" si="60"/>
        <v>129.80250000000001</v>
      </c>
      <c r="I3887" s="212" t="s">
        <v>2354</v>
      </c>
    </row>
    <row r="3888" spans="1:9" x14ac:dyDescent="0.25">
      <c r="A3888" s="218" t="s">
        <v>220</v>
      </c>
      <c r="B3888" s="218" t="s">
        <v>5430</v>
      </c>
      <c r="C3888" s="219" t="s">
        <v>5198</v>
      </c>
      <c r="D3888" s="212" t="s">
        <v>5199</v>
      </c>
      <c r="E3888" s="212" t="s">
        <v>545</v>
      </c>
      <c r="F3888" s="213">
        <v>1</v>
      </c>
      <c r="G3888" s="213">
        <v>1.0025999999999999</v>
      </c>
      <c r="H3888" s="195">
        <f t="shared" si="60"/>
        <v>1.0025999999999999</v>
      </c>
      <c r="I3888" s="212" t="s">
        <v>2354</v>
      </c>
    </row>
    <row r="3889" spans="1:9" x14ac:dyDescent="0.25">
      <c r="A3889" s="218" t="s">
        <v>220</v>
      </c>
      <c r="B3889" s="218" t="s">
        <v>5430</v>
      </c>
      <c r="C3889" s="219" t="s">
        <v>5200</v>
      </c>
      <c r="D3889" s="212" t="s">
        <v>5201</v>
      </c>
      <c r="E3889" s="212" t="s">
        <v>545</v>
      </c>
      <c r="F3889" s="213">
        <v>1</v>
      </c>
      <c r="G3889" s="221">
        <v>0.33700000000000002</v>
      </c>
      <c r="H3889" s="222">
        <f t="shared" si="60"/>
        <v>0.33700000000000002</v>
      </c>
      <c r="I3889" s="212" t="s">
        <v>2354</v>
      </c>
    </row>
    <row r="3890" spans="1:9" x14ac:dyDescent="0.25">
      <c r="A3890" s="218" t="s">
        <v>220</v>
      </c>
      <c r="B3890" s="218" t="s">
        <v>5430</v>
      </c>
      <c r="C3890" s="219" t="s">
        <v>5204</v>
      </c>
      <c r="D3890" s="212" t="s">
        <v>5205</v>
      </c>
      <c r="E3890" s="212" t="s">
        <v>545</v>
      </c>
      <c r="F3890" s="213">
        <v>1</v>
      </c>
      <c r="G3890" s="213">
        <v>1.1952</v>
      </c>
      <c r="H3890" s="195">
        <f t="shared" si="60"/>
        <v>1.1952</v>
      </c>
      <c r="I3890" s="212" t="s">
        <v>2354</v>
      </c>
    </row>
    <row r="3891" spans="1:9" x14ac:dyDescent="0.25">
      <c r="A3891" s="218" t="s">
        <v>220</v>
      </c>
      <c r="B3891" s="218" t="s">
        <v>5430</v>
      </c>
      <c r="C3891" s="219" t="s">
        <v>5208</v>
      </c>
      <c r="D3891" s="212" t="s">
        <v>5209</v>
      </c>
      <c r="E3891" s="212" t="s">
        <v>545</v>
      </c>
      <c r="F3891" s="213">
        <v>1</v>
      </c>
      <c r="G3891" s="213">
        <v>1.304</v>
      </c>
      <c r="H3891" s="195">
        <f t="shared" si="60"/>
        <v>1.304</v>
      </c>
      <c r="I3891" s="212" t="s">
        <v>2354</v>
      </c>
    </row>
    <row r="3892" spans="1:9" x14ac:dyDescent="0.25">
      <c r="A3892" s="218" t="s">
        <v>220</v>
      </c>
      <c r="B3892" s="218" t="s">
        <v>5430</v>
      </c>
      <c r="C3892" s="219" t="s">
        <v>5210</v>
      </c>
      <c r="D3892" s="212" t="s">
        <v>5211</v>
      </c>
      <c r="E3892" s="212" t="s">
        <v>545</v>
      </c>
      <c r="F3892" s="213">
        <v>1</v>
      </c>
      <c r="G3892" s="213">
        <v>1.4</v>
      </c>
      <c r="H3892" s="195">
        <f t="shared" si="60"/>
        <v>1.4</v>
      </c>
      <c r="I3892" s="212" t="s">
        <v>2354</v>
      </c>
    </row>
    <row r="3893" spans="1:9" x14ac:dyDescent="0.25">
      <c r="A3893" s="218" t="s">
        <v>220</v>
      </c>
      <c r="B3893" s="218" t="s">
        <v>5430</v>
      </c>
      <c r="C3893" s="219" t="s">
        <v>5212</v>
      </c>
      <c r="D3893" s="212" t="s">
        <v>5213</v>
      </c>
      <c r="E3893" s="212" t="s">
        <v>545</v>
      </c>
      <c r="F3893" s="213">
        <v>1</v>
      </c>
      <c r="G3893" s="213">
        <v>2.6070000000000002</v>
      </c>
      <c r="H3893" s="195">
        <f t="shared" si="60"/>
        <v>2.6070000000000002</v>
      </c>
      <c r="I3893" s="212" t="s">
        <v>2354</v>
      </c>
    </row>
    <row r="3894" spans="1:9" x14ac:dyDescent="0.25">
      <c r="A3894" s="218" t="s">
        <v>220</v>
      </c>
      <c r="B3894" s="218" t="s">
        <v>5430</v>
      </c>
      <c r="C3894" s="219" t="s">
        <v>5216</v>
      </c>
      <c r="D3894" s="212" t="s">
        <v>5217</v>
      </c>
      <c r="E3894" s="212" t="s">
        <v>545</v>
      </c>
      <c r="F3894" s="213">
        <v>2</v>
      </c>
      <c r="G3894" s="213">
        <v>3.71</v>
      </c>
      <c r="H3894" s="195">
        <f t="shared" si="60"/>
        <v>7.42</v>
      </c>
      <c r="I3894" s="212" t="s">
        <v>2354</v>
      </c>
    </row>
    <row r="3895" spans="1:9" x14ac:dyDescent="0.25">
      <c r="A3895" s="218" t="s">
        <v>220</v>
      </c>
      <c r="B3895" s="218" t="s">
        <v>5430</v>
      </c>
      <c r="C3895" s="219" t="s">
        <v>5218</v>
      </c>
      <c r="D3895" s="212" t="s">
        <v>5219</v>
      </c>
      <c r="E3895" s="212" t="s">
        <v>545</v>
      </c>
      <c r="F3895" s="213">
        <v>1</v>
      </c>
      <c r="G3895" s="213">
        <v>6.718</v>
      </c>
      <c r="H3895" s="195">
        <f t="shared" si="60"/>
        <v>6.718</v>
      </c>
      <c r="I3895" s="212" t="s">
        <v>2354</v>
      </c>
    </row>
    <row r="3896" spans="1:9" x14ac:dyDescent="0.25">
      <c r="A3896" s="218" t="s">
        <v>220</v>
      </c>
      <c r="B3896" s="218" t="s">
        <v>5430</v>
      </c>
      <c r="C3896" s="219" t="s">
        <v>5392</v>
      </c>
      <c r="D3896" s="212" t="s">
        <v>5393</v>
      </c>
      <c r="E3896" s="212" t="s">
        <v>545</v>
      </c>
      <c r="F3896" s="213">
        <v>2</v>
      </c>
      <c r="G3896" s="213">
        <v>3.2562000000000002</v>
      </c>
      <c r="H3896" s="195">
        <f t="shared" si="60"/>
        <v>6.5124000000000004</v>
      </c>
      <c r="I3896" s="212" t="s">
        <v>2354</v>
      </c>
    </row>
    <row r="3897" spans="1:9" x14ac:dyDescent="0.25">
      <c r="A3897" s="218" t="s">
        <v>220</v>
      </c>
      <c r="B3897" s="218" t="s">
        <v>5430</v>
      </c>
      <c r="C3897" s="219" t="s">
        <v>7252</v>
      </c>
      <c r="D3897" s="212" t="s">
        <v>7253</v>
      </c>
      <c r="E3897" s="212" t="s">
        <v>545</v>
      </c>
      <c r="F3897" s="213">
        <v>2</v>
      </c>
      <c r="G3897" s="213">
        <v>269.51400000000001</v>
      </c>
      <c r="H3897" s="195">
        <f t="shared" si="60"/>
        <v>539.02800000000002</v>
      </c>
      <c r="I3897" s="212" t="s">
        <v>2354</v>
      </c>
    </row>
    <row r="3898" spans="1:9" x14ac:dyDescent="0.25">
      <c r="A3898" s="218" t="s">
        <v>220</v>
      </c>
      <c r="B3898" s="218" t="s">
        <v>5430</v>
      </c>
      <c r="C3898" s="219" t="s">
        <v>7254</v>
      </c>
      <c r="D3898" s="212" t="s">
        <v>7255</v>
      </c>
      <c r="E3898" s="212" t="s">
        <v>545</v>
      </c>
      <c r="F3898" s="213">
        <v>6</v>
      </c>
      <c r="G3898" s="213">
        <v>8.4204000000000008</v>
      </c>
      <c r="H3898" s="195">
        <f t="shared" si="60"/>
        <v>50.522400000000005</v>
      </c>
      <c r="I3898" s="212" t="s">
        <v>2354</v>
      </c>
    </row>
    <row r="3899" spans="1:9" x14ac:dyDescent="0.25">
      <c r="A3899" s="218" t="s">
        <v>220</v>
      </c>
      <c r="B3899" s="218" t="s">
        <v>5430</v>
      </c>
      <c r="C3899" s="219" t="s">
        <v>7256</v>
      </c>
      <c r="D3899" s="212" t="s">
        <v>7257</v>
      </c>
      <c r="E3899" s="212" t="s">
        <v>545</v>
      </c>
      <c r="F3899" s="213">
        <v>1</v>
      </c>
      <c r="G3899" s="213">
        <v>4.6749999999999998</v>
      </c>
      <c r="H3899" s="195">
        <f t="shared" si="60"/>
        <v>4.6749999999999998</v>
      </c>
      <c r="I3899" s="212" t="s">
        <v>2354</v>
      </c>
    </row>
    <row r="3900" spans="1:9" x14ac:dyDescent="0.25">
      <c r="A3900" s="218" t="s">
        <v>220</v>
      </c>
      <c r="B3900" s="218" t="s">
        <v>5430</v>
      </c>
      <c r="C3900" s="219" t="s">
        <v>7258</v>
      </c>
      <c r="D3900" s="212" t="s">
        <v>7259</v>
      </c>
      <c r="E3900" s="212" t="s">
        <v>545</v>
      </c>
      <c r="F3900" s="213">
        <v>5</v>
      </c>
      <c r="G3900" s="213">
        <v>3.7214999999999998</v>
      </c>
      <c r="H3900" s="195">
        <f t="shared" si="60"/>
        <v>18.607499999999998</v>
      </c>
      <c r="I3900" s="212" t="s">
        <v>2354</v>
      </c>
    </row>
    <row r="3901" spans="1:9" x14ac:dyDescent="0.25">
      <c r="A3901" s="218" t="s">
        <v>220</v>
      </c>
      <c r="B3901" s="218" t="s">
        <v>5430</v>
      </c>
      <c r="C3901" s="219" t="s">
        <v>7260</v>
      </c>
      <c r="D3901" s="212" t="s">
        <v>7261</v>
      </c>
      <c r="E3901" s="212" t="s">
        <v>545</v>
      </c>
      <c r="F3901" s="213">
        <v>8</v>
      </c>
      <c r="G3901" s="213">
        <v>3.5223300000000002</v>
      </c>
      <c r="H3901" s="195">
        <f t="shared" si="60"/>
        <v>28.178640000000001</v>
      </c>
      <c r="I3901" s="212" t="s">
        <v>2354</v>
      </c>
    </row>
    <row r="3902" spans="1:9" x14ac:dyDescent="0.25">
      <c r="A3902" s="218" t="s">
        <v>220</v>
      </c>
      <c r="B3902" s="218" t="s">
        <v>5430</v>
      </c>
      <c r="C3902" s="219" t="s">
        <v>7262</v>
      </c>
      <c r="D3902" s="212" t="s">
        <v>7263</v>
      </c>
      <c r="E3902" s="212" t="s">
        <v>545</v>
      </c>
      <c r="F3902" s="213">
        <v>8</v>
      </c>
      <c r="G3902" s="213">
        <v>0</v>
      </c>
      <c r="H3902" s="195">
        <f t="shared" si="60"/>
        <v>0</v>
      </c>
      <c r="I3902" s="212" t="s">
        <v>2354</v>
      </c>
    </row>
    <row r="3903" spans="1:9" x14ac:dyDescent="0.25">
      <c r="A3903" s="218" t="s">
        <v>220</v>
      </c>
      <c r="B3903" s="218" t="s">
        <v>5430</v>
      </c>
      <c r="C3903" s="219" t="s">
        <v>7264</v>
      </c>
      <c r="D3903" s="212" t="s">
        <v>7265</v>
      </c>
      <c r="E3903" s="212" t="s">
        <v>545</v>
      </c>
      <c r="F3903" s="213">
        <v>1</v>
      </c>
      <c r="G3903" s="213">
        <v>6.9121500000000005</v>
      </c>
      <c r="H3903" s="195">
        <f t="shared" si="60"/>
        <v>6.9121500000000005</v>
      </c>
      <c r="I3903" s="212" t="s">
        <v>2354</v>
      </c>
    </row>
    <row r="3904" spans="1:9" x14ac:dyDescent="0.25">
      <c r="A3904" s="218" t="s">
        <v>220</v>
      </c>
      <c r="B3904" s="218" t="s">
        <v>5430</v>
      </c>
      <c r="C3904" s="219" t="s">
        <v>7266</v>
      </c>
      <c r="D3904" s="212" t="s">
        <v>7267</v>
      </c>
      <c r="E3904" s="212" t="s">
        <v>545</v>
      </c>
      <c r="F3904" s="213">
        <v>1</v>
      </c>
      <c r="G3904" s="213">
        <v>87.5</v>
      </c>
      <c r="H3904" s="195">
        <f t="shared" si="60"/>
        <v>87.5</v>
      </c>
      <c r="I3904" s="212" t="s">
        <v>2354</v>
      </c>
    </row>
    <row r="3905" spans="1:9" x14ac:dyDescent="0.25">
      <c r="A3905" s="218" t="s">
        <v>220</v>
      </c>
      <c r="B3905" s="218" t="s">
        <v>5430</v>
      </c>
      <c r="C3905" s="219" t="s">
        <v>7268</v>
      </c>
      <c r="D3905" s="212" t="s">
        <v>7269</v>
      </c>
      <c r="E3905" s="212" t="s">
        <v>545</v>
      </c>
      <c r="F3905" s="213">
        <v>10</v>
      </c>
      <c r="G3905" s="213">
        <v>28.763000000000002</v>
      </c>
      <c r="H3905" s="195">
        <f t="shared" si="60"/>
        <v>287.63</v>
      </c>
      <c r="I3905" s="212" t="s">
        <v>2354</v>
      </c>
    </row>
    <row r="3906" spans="1:9" x14ac:dyDescent="0.25">
      <c r="A3906" s="218" t="s">
        <v>220</v>
      </c>
      <c r="B3906" s="218" t="s">
        <v>5430</v>
      </c>
      <c r="C3906" s="219" t="s">
        <v>7270</v>
      </c>
      <c r="D3906" s="212" t="s">
        <v>7271</v>
      </c>
      <c r="E3906" s="212" t="s">
        <v>545</v>
      </c>
      <c r="F3906" s="213">
        <v>2</v>
      </c>
      <c r="G3906" s="213">
        <v>16.350999999999999</v>
      </c>
      <c r="H3906" s="195">
        <f t="shared" si="60"/>
        <v>32.701999999999998</v>
      </c>
      <c r="I3906" s="212" t="s">
        <v>2354</v>
      </c>
    </row>
    <row r="3907" spans="1:9" x14ac:dyDescent="0.25">
      <c r="A3907" s="218" t="s">
        <v>220</v>
      </c>
      <c r="B3907" s="218" t="s">
        <v>5430</v>
      </c>
      <c r="C3907" s="219" t="s">
        <v>7272</v>
      </c>
      <c r="D3907" s="212" t="s">
        <v>7273</v>
      </c>
      <c r="E3907" s="212" t="s">
        <v>545</v>
      </c>
      <c r="F3907" s="213">
        <v>1</v>
      </c>
      <c r="G3907" s="213">
        <v>145.6</v>
      </c>
      <c r="H3907" s="195">
        <f t="shared" si="60"/>
        <v>145.6</v>
      </c>
      <c r="I3907" s="212" t="s">
        <v>2354</v>
      </c>
    </row>
    <row r="3908" spans="1:9" x14ac:dyDescent="0.25">
      <c r="A3908" s="218" t="s">
        <v>220</v>
      </c>
      <c r="B3908" s="218" t="s">
        <v>5430</v>
      </c>
      <c r="C3908" s="219" t="s">
        <v>7274</v>
      </c>
      <c r="D3908" s="212" t="s">
        <v>7275</v>
      </c>
      <c r="E3908" s="212" t="s">
        <v>545</v>
      </c>
      <c r="F3908" s="213">
        <v>1</v>
      </c>
      <c r="G3908" s="213">
        <v>143.97999999999999</v>
      </c>
      <c r="H3908" s="195">
        <f t="shared" si="60"/>
        <v>143.97999999999999</v>
      </c>
      <c r="I3908" s="212" t="s">
        <v>2354</v>
      </c>
    </row>
    <row r="3909" spans="1:9" x14ac:dyDescent="0.25">
      <c r="A3909" s="218" t="s">
        <v>220</v>
      </c>
      <c r="B3909" s="218" t="s">
        <v>5430</v>
      </c>
      <c r="C3909" s="219" t="s">
        <v>7276</v>
      </c>
      <c r="D3909" s="212" t="s">
        <v>7277</v>
      </c>
      <c r="E3909" s="212" t="s">
        <v>545</v>
      </c>
      <c r="F3909" s="213">
        <v>3</v>
      </c>
      <c r="G3909" s="213">
        <v>80</v>
      </c>
      <c r="H3909" s="195">
        <f t="shared" ref="H3909:H3958" si="61">+F3909*G3909</f>
        <v>240</v>
      </c>
      <c r="I3909" s="212" t="s">
        <v>2354</v>
      </c>
    </row>
    <row r="3910" spans="1:9" x14ac:dyDescent="0.25">
      <c r="A3910" s="218" t="s">
        <v>220</v>
      </c>
      <c r="B3910" s="218" t="s">
        <v>5430</v>
      </c>
      <c r="C3910" s="219" t="s">
        <v>7278</v>
      </c>
      <c r="D3910" s="212" t="s">
        <v>7279</v>
      </c>
      <c r="E3910" s="212" t="s">
        <v>545</v>
      </c>
      <c r="F3910" s="213">
        <v>1</v>
      </c>
      <c r="G3910" s="213">
        <v>100.80952666666667</v>
      </c>
      <c r="H3910" s="195">
        <f t="shared" si="61"/>
        <v>100.80952666666667</v>
      </c>
      <c r="I3910" s="212" t="s">
        <v>2354</v>
      </c>
    </row>
    <row r="3911" spans="1:9" x14ac:dyDescent="0.25">
      <c r="A3911" s="218" t="s">
        <v>220</v>
      </c>
      <c r="B3911" s="218" t="s">
        <v>5430</v>
      </c>
      <c r="C3911" s="219" t="s">
        <v>7280</v>
      </c>
      <c r="D3911" s="212" t="s">
        <v>7281</v>
      </c>
      <c r="E3911" s="212" t="s">
        <v>545</v>
      </c>
      <c r="F3911" s="213">
        <v>1</v>
      </c>
      <c r="G3911" s="213">
        <v>19.125</v>
      </c>
      <c r="H3911" s="195">
        <f t="shared" si="61"/>
        <v>19.125</v>
      </c>
      <c r="I3911" s="212" t="s">
        <v>2354</v>
      </c>
    </row>
    <row r="3912" spans="1:9" x14ac:dyDescent="0.25">
      <c r="A3912" s="218" t="s">
        <v>220</v>
      </c>
      <c r="B3912" s="218" t="s">
        <v>5430</v>
      </c>
      <c r="C3912" s="219" t="s">
        <v>7282</v>
      </c>
      <c r="D3912" s="212" t="s">
        <v>7283</v>
      </c>
      <c r="E3912" s="212" t="s">
        <v>2387</v>
      </c>
      <c r="F3912" s="213">
        <v>1</v>
      </c>
      <c r="G3912" s="213">
        <v>5.4690000000000003</v>
      </c>
      <c r="H3912" s="195">
        <f t="shared" si="61"/>
        <v>5.4690000000000003</v>
      </c>
      <c r="I3912" s="212" t="s">
        <v>2354</v>
      </c>
    </row>
    <row r="3913" spans="1:9" x14ac:dyDescent="0.25">
      <c r="A3913" s="218" t="s">
        <v>220</v>
      </c>
      <c r="B3913" s="218" t="s">
        <v>5430</v>
      </c>
      <c r="C3913" s="219" t="s">
        <v>7284</v>
      </c>
      <c r="D3913" s="212" t="s">
        <v>7285</v>
      </c>
      <c r="E3913" s="212" t="s">
        <v>545</v>
      </c>
      <c r="F3913" s="213">
        <v>1</v>
      </c>
      <c r="G3913" s="213">
        <v>40.372199999999999</v>
      </c>
      <c r="H3913" s="195">
        <f t="shared" si="61"/>
        <v>40.372199999999999</v>
      </c>
      <c r="I3913" s="212" t="s">
        <v>2354</v>
      </c>
    </row>
    <row r="3914" spans="1:9" x14ac:dyDescent="0.25">
      <c r="A3914" s="218" t="s">
        <v>220</v>
      </c>
      <c r="B3914" s="218" t="s">
        <v>5430</v>
      </c>
      <c r="C3914" s="219" t="s">
        <v>7286</v>
      </c>
      <c r="D3914" s="212" t="s">
        <v>7287</v>
      </c>
      <c r="E3914" s="212" t="s">
        <v>545</v>
      </c>
      <c r="F3914" s="213">
        <v>1</v>
      </c>
      <c r="G3914" s="213">
        <v>97.703000000000003</v>
      </c>
      <c r="H3914" s="195">
        <f t="shared" si="61"/>
        <v>97.703000000000003</v>
      </c>
      <c r="I3914" s="212" t="s">
        <v>2354</v>
      </c>
    </row>
    <row r="3915" spans="1:9" x14ac:dyDescent="0.25">
      <c r="A3915" s="218" t="s">
        <v>220</v>
      </c>
      <c r="B3915" s="218" t="s">
        <v>5430</v>
      </c>
      <c r="C3915" s="219" t="s">
        <v>7288</v>
      </c>
      <c r="D3915" s="212" t="s">
        <v>7289</v>
      </c>
      <c r="E3915" s="212" t="s">
        <v>2387</v>
      </c>
      <c r="F3915" s="213">
        <v>1</v>
      </c>
      <c r="G3915" s="213">
        <v>64.998999999999995</v>
      </c>
      <c r="H3915" s="195">
        <f t="shared" si="61"/>
        <v>64.998999999999995</v>
      </c>
      <c r="I3915" s="212" t="s">
        <v>2354</v>
      </c>
    </row>
    <row r="3916" spans="1:9" x14ac:dyDescent="0.25">
      <c r="A3916" s="218" t="s">
        <v>220</v>
      </c>
      <c r="B3916" s="218" t="s">
        <v>5430</v>
      </c>
      <c r="C3916" s="219" t="s">
        <v>7290</v>
      </c>
      <c r="D3916" s="212" t="s">
        <v>7291</v>
      </c>
      <c r="E3916" s="212" t="s">
        <v>545</v>
      </c>
      <c r="F3916" s="213">
        <v>1</v>
      </c>
      <c r="G3916" s="213">
        <v>27</v>
      </c>
      <c r="H3916" s="195">
        <f t="shared" si="61"/>
        <v>27</v>
      </c>
      <c r="I3916" s="212" t="s">
        <v>2354</v>
      </c>
    </row>
    <row r="3917" spans="1:9" x14ac:dyDescent="0.25">
      <c r="A3917" s="218" t="s">
        <v>220</v>
      </c>
      <c r="B3917" s="218" t="s">
        <v>5430</v>
      </c>
      <c r="C3917" s="219" t="s">
        <v>7292</v>
      </c>
      <c r="D3917" s="212" t="s">
        <v>7293</v>
      </c>
      <c r="E3917" s="212" t="s">
        <v>545</v>
      </c>
      <c r="F3917" s="213">
        <v>1</v>
      </c>
      <c r="G3917" s="213">
        <v>71.822699999999998</v>
      </c>
      <c r="H3917" s="195">
        <f t="shared" si="61"/>
        <v>71.822699999999998</v>
      </c>
      <c r="I3917" s="212" t="s">
        <v>2354</v>
      </c>
    </row>
    <row r="3918" spans="1:9" x14ac:dyDescent="0.25">
      <c r="A3918" s="218" t="s">
        <v>220</v>
      </c>
      <c r="B3918" s="218" t="s">
        <v>5430</v>
      </c>
      <c r="C3918" s="219" t="s">
        <v>7294</v>
      </c>
      <c r="D3918" s="212" t="s">
        <v>7295</v>
      </c>
      <c r="E3918" s="212" t="s">
        <v>545</v>
      </c>
      <c r="F3918" s="213">
        <v>9</v>
      </c>
      <c r="G3918" s="213">
        <v>20.966000000000001</v>
      </c>
      <c r="H3918" s="195">
        <f t="shared" si="61"/>
        <v>188.69400000000002</v>
      </c>
      <c r="I3918" s="212" t="s">
        <v>2354</v>
      </c>
    </row>
    <row r="3919" spans="1:9" x14ac:dyDescent="0.25">
      <c r="A3919" s="218" t="s">
        <v>220</v>
      </c>
      <c r="B3919" s="218" t="s">
        <v>5430</v>
      </c>
      <c r="C3919" s="219" t="s">
        <v>7296</v>
      </c>
      <c r="D3919" s="212" t="s">
        <v>7297</v>
      </c>
      <c r="E3919" s="212" t="s">
        <v>545</v>
      </c>
      <c r="F3919" s="213">
        <v>4</v>
      </c>
      <c r="G3919" s="213">
        <v>36.125</v>
      </c>
      <c r="H3919" s="195">
        <f t="shared" si="61"/>
        <v>144.5</v>
      </c>
      <c r="I3919" s="212" t="s">
        <v>2354</v>
      </c>
    </row>
    <row r="3920" spans="1:9" x14ac:dyDescent="0.25">
      <c r="A3920" s="218" t="s">
        <v>220</v>
      </c>
      <c r="B3920" s="218" t="s">
        <v>5430</v>
      </c>
      <c r="C3920" s="219" t="s">
        <v>7298</v>
      </c>
      <c r="D3920" s="212" t="s">
        <v>7299</v>
      </c>
      <c r="E3920" s="212" t="s">
        <v>2473</v>
      </c>
      <c r="F3920" s="213">
        <v>8</v>
      </c>
      <c r="G3920" s="213">
        <v>0.4824</v>
      </c>
      <c r="H3920" s="195">
        <f t="shared" si="61"/>
        <v>3.8592</v>
      </c>
      <c r="I3920" s="212" t="s">
        <v>2354</v>
      </c>
    </row>
    <row r="3921" spans="1:9" x14ac:dyDescent="0.25">
      <c r="A3921" s="218" t="s">
        <v>220</v>
      </c>
      <c r="B3921" s="218" t="s">
        <v>5430</v>
      </c>
      <c r="C3921" s="219" t="s">
        <v>7300</v>
      </c>
      <c r="D3921" s="212" t="s">
        <v>7301</v>
      </c>
      <c r="E3921" s="212" t="s">
        <v>2473</v>
      </c>
      <c r="F3921" s="213">
        <v>10</v>
      </c>
      <c r="G3921" s="213">
        <v>9.9371666666666663</v>
      </c>
      <c r="H3921" s="195">
        <f t="shared" si="61"/>
        <v>99.37166666666667</v>
      </c>
      <c r="I3921" s="212" t="s">
        <v>2354</v>
      </c>
    </row>
    <row r="3922" spans="1:9" x14ac:dyDescent="0.25">
      <c r="A3922" s="218" t="s">
        <v>220</v>
      </c>
      <c r="B3922" s="218" t="s">
        <v>5430</v>
      </c>
      <c r="C3922" s="219" t="s">
        <v>7302</v>
      </c>
      <c r="D3922" s="212" t="s">
        <v>7303</v>
      </c>
      <c r="E3922" s="212" t="s">
        <v>2473</v>
      </c>
      <c r="F3922" s="213">
        <v>5</v>
      </c>
      <c r="G3922" s="213">
        <v>19.975000000000001</v>
      </c>
      <c r="H3922" s="195">
        <f t="shared" si="61"/>
        <v>99.875</v>
      </c>
      <c r="I3922" s="212" t="s">
        <v>2354</v>
      </c>
    </row>
    <row r="3923" spans="1:9" x14ac:dyDescent="0.25">
      <c r="A3923" s="218" t="s">
        <v>220</v>
      </c>
      <c r="B3923" s="218" t="s">
        <v>5430</v>
      </c>
      <c r="C3923" s="219" t="s">
        <v>7304</v>
      </c>
      <c r="D3923" s="212" t="s">
        <v>7305</v>
      </c>
      <c r="E3923" s="212" t="s">
        <v>545</v>
      </c>
      <c r="F3923" s="213">
        <v>5</v>
      </c>
      <c r="G3923" s="213">
        <v>12.7</v>
      </c>
      <c r="H3923" s="195">
        <f t="shared" si="61"/>
        <v>63.5</v>
      </c>
      <c r="I3923" s="212" t="s">
        <v>2354</v>
      </c>
    </row>
    <row r="3924" spans="1:9" x14ac:dyDescent="0.25">
      <c r="A3924" s="218" t="s">
        <v>220</v>
      </c>
      <c r="B3924" s="218" t="s">
        <v>5430</v>
      </c>
      <c r="C3924" s="219" t="s">
        <v>7306</v>
      </c>
      <c r="D3924" s="212" t="s">
        <v>7307</v>
      </c>
      <c r="E3924" s="212" t="s">
        <v>545</v>
      </c>
      <c r="F3924" s="213">
        <v>2</v>
      </c>
      <c r="G3924" s="213">
        <v>75</v>
      </c>
      <c r="H3924" s="195">
        <f t="shared" si="61"/>
        <v>150</v>
      </c>
      <c r="I3924" s="212" t="s">
        <v>2354</v>
      </c>
    </row>
    <row r="3925" spans="1:9" x14ac:dyDescent="0.25">
      <c r="A3925" s="218" t="s">
        <v>220</v>
      </c>
      <c r="B3925" s="218" t="s">
        <v>5430</v>
      </c>
      <c r="C3925" s="219" t="s">
        <v>7308</v>
      </c>
      <c r="D3925" s="212" t="s">
        <v>7309</v>
      </c>
      <c r="E3925" s="212" t="s">
        <v>545</v>
      </c>
      <c r="F3925" s="213">
        <v>22</v>
      </c>
      <c r="G3925" s="213">
        <v>70</v>
      </c>
      <c r="H3925" s="195">
        <f t="shared" si="61"/>
        <v>1540</v>
      </c>
      <c r="I3925" s="212" t="s">
        <v>2354</v>
      </c>
    </row>
    <row r="3926" spans="1:9" x14ac:dyDescent="0.25">
      <c r="A3926" s="218" t="s">
        <v>220</v>
      </c>
      <c r="B3926" s="218" t="s">
        <v>5430</v>
      </c>
      <c r="C3926" s="219" t="s">
        <v>7310</v>
      </c>
      <c r="D3926" s="212" t="s">
        <v>7311</v>
      </c>
      <c r="E3926" s="212" t="s">
        <v>545</v>
      </c>
      <c r="F3926" s="213">
        <v>1</v>
      </c>
      <c r="G3926" s="213">
        <v>287.02600000000001</v>
      </c>
      <c r="H3926" s="195">
        <f t="shared" si="61"/>
        <v>287.02600000000001</v>
      </c>
      <c r="I3926" s="212" t="s">
        <v>2354</v>
      </c>
    </row>
    <row r="3927" spans="1:9" x14ac:dyDescent="0.25">
      <c r="A3927" s="218" t="s">
        <v>220</v>
      </c>
      <c r="B3927" s="218" t="s">
        <v>5430</v>
      </c>
      <c r="C3927" s="219" t="s">
        <v>7312</v>
      </c>
      <c r="D3927" s="212" t="s">
        <v>7313</v>
      </c>
      <c r="E3927" s="212" t="s">
        <v>545</v>
      </c>
      <c r="F3927" s="213">
        <v>1</v>
      </c>
      <c r="G3927" s="213">
        <v>377.78399999999999</v>
      </c>
      <c r="H3927" s="195">
        <f t="shared" si="61"/>
        <v>377.78399999999999</v>
      </c>
      <c r="I3927" s="212" t="s">
        <v>2354</v>
      </c>
    </row>
    <row r="3928" spans="1:9" x14ac:dyDescent="0.25">
      <c r="A3928" s="218" t="s">
        <v>220</v>
      </c>
      <c r="B3928" s="218" t="s">
        <v>5430</v>
      </c>
      <c r="C3928" s="219" t="s">
        <v>7314</v>
      </c>
      <c r="D3928" s="212" t="s">
        <v>7315</v>
      </c>
      <c r="E3928" s="212" t="s">
        <v>545</v>
      </c>
      <c r="F3928" s="213">
        <v>2</v>
      </c>
      <c r="G3928" s="213">
        <v>28.763000000000002</v>
      </c>
      <c r="H3928" s="195">
        <f t="shared" si="61"/>
        <v>57.526000000000003</v>
      </c>
      <c r="I3928" s="212" t="s">
        <v>2354</v>
      </c>
    </row>
    <row r="3929" spans="1:9" x14ac:dyDescent="0.25">
      <c r="A3929" s="218" t="s">
        <v>220</v>
      </c>
      <c r="B3929" s="218" t="s">
        <v>5430</v>
      </c>
      <c r="C3929" s="219" t="s">
        <v>7316</v>
      </c>
      <c r="D3929" s="212" t="s">
        <v>7317</v>
      </c>
      <c r="E3929" s="212" t="s">
        <v>545</v>
      </c>
      <c r="F3929" s="213">
        <v>2</v>
      </c>
      <c r="G3929" s="213">
        <v>5.0220000000000002</v>
      </c>
      <c r="H3929" s="195">
        <f t="shared" si="61"/>
        <v>10.044</v>
      </c>
      <c r="I3929" s="212" t="s">
        <v>2354</v>
      </c>
    </row>
    <row r="3930" spans="1:9" x14ac:dyDescent="0.25">
      <c r="A3930" s="218" t="s">
        <v>220</v>
      </c>
      <c r="B3930" s="218" t="s">
        <v>5430</v>
      </c>
      <c r="C3930" s="219" t="s">
        <v>5276</v>
      </c>
      <c r="D3930" s="212" t="s">
        <v>5277</v>
      </c>
      <c r="E3930" s="212" t="s">
        <v>545</v>
      </c>
      <c r="F3930" s="213">
        <v>3</v>
      </c>
      <c r="G3930" s="213">
        <v>6.5650000000000004</v>
      </c>
      <c r="H3930" s="195">
        <f t="shared" si="61"/>
        <v>19.695</v>
      </c>
      <c r="I3930" s="212" t="s">
        <v>2354</v>
      </c>
    </row>
    <row r="3931" spans="1:9" x14ac:dyDescent="0.25">
      <c r="A3931" s="218" t="s">
        <v>220</v>
      </c>
      <c r="B3931" s="218" t="s">
        <v>5430</v>
      </c>
      <c r="C3931" s="219" t="s">
        <v>7318</v>
      </c>
      <c r="D3931" s="212" t="s">
        <v>7319</v>
      </c>
      <c r="E3931" s="212" t="s">
        <v>1894</v>
      </c>
      <c r="F3931" s="213">
        <v>60</v>
      </c>
      <c r="G3931" s="213">
        <v>20.5351</v>
      </c>
      <c r="H3931" s="195">
        <f t="shared" si="61"/>
        <v>1232.106</v>
      </c>
      <c r="I3931" s="212" t="s">
        <v>2354</v>
      </c>
    </row>
    <row r="3932" spans="1:9" x14ac:dyDescent="0.25">
      <c r="A3932" s="218" t="s">
        <v>220</v>
      </c>
      <c r="B3932" s="218" t="s">
        <v>5430</v>
      </c>
      <c r="C3932" s="219" t="s">
        <v>7320</v>
      </c>
      <c r="D3932" s="212" t="s">
        <v>7321</v>
      </c>
      <c r="E3932" s="212" t="s">
        <v>545</v>
      </c>
      <c r="F3932" s="213">
        <v>9</v>
      </c>
      <c r="G3932" s="213">
        <v>26.042455</v>
      </c>
      <c r="H3932" s="195">
        <f t="shared" si="61"/>
        <v>234.38209499999999</v>
      </c>
      <c r="I3932" s="212" t="s">
        <v>2354</v>
      </c>
    </row>
    <row r="3933" spans="1:9" x14ac:dyDescent="0.25">
      <c r="A3933" s="218" t="s">
        <v>220</v>
      </c>
      <c r="B3933" s="218" t="s">
        <v>5430</v>
      </c>
      <c r="C3933" s="219" t="s">
        <v>5296</v>
      </c>
      <c r="D3933" s="212" t="s">
        <v>2392</v>
      </c>
      <c r="E3933" s="212" t="s">
        <v>545</v>
      </c>
      <c r="F3933" s="213">
        <v>5</v>
      </c>
      <c r="G3933" s="213">
        <v>0.59940000000000004</v>
      </c>
      <c r="H3933" s="195">
        <f t="shared" si="61"/>
        <v>2.9970000000000003</v>
      </c>
      <c r="I3933" s="212" t="s">
        <v>2354</v>
      </c>
    </row>
    <row r="3934" spans="1:9" x14ac:dyDescent="0.25">
      <c r="A3934" s="218" t="s">
        <v>220</v>
      </c>
      <c r="B3934" s="218" t="s">
        <v>5430</v>
      </c>
      <c r="C3934" s="219" t="s">
        <v>5297</v>
      </c>
      <c r="D3934" s="212" t="s">
        <v>5298</v>
      </c>
      <c r="E3934" s="212" t="s">
        <v>545</v>
      </c>
      <c r="F3934" s="213">
        <v>6</v>
      </c>
      <c r="G3934" s="213">
        <v>1.5021</v>
      </c>
      <c r="H3934" s="195">
        <f t="shared" si="61"/>
        <v>9.0125999999999991</v>
      </c>
      <c r="I3934" s="212" t="s">
        <v>2354</v>
      </c>
    </row>
    <row r="3935" spans="1:9" x14ac:dyDescent="0.25">
      <c r="A3935" s="218" t="s">
        <v>220</v>
      </c>
      <c r="B3935" s="218" t="s">
        <v>5430</v>
      </c>
      <c r="C3935" s="219" t="s">
        <v>7322</v>
      </c>
      <c r="D3935" s="212" t="s">
        <v>7323</v>
      </c>
      <c r="E3935" s="212" t="s">
        <v>545</v>
      </c>
      <c r="F3935" s="213">
        <v>2</v>
      </c>
      <c r="G3935" s="213">
        <v>51.368400000000001</v>
      </c>
      <c r="H3935" s="195">
        <f t="shared" si="61"/>
        <v>102.7368</v>
      </c>
      <c r="I3935" s="212" t="s">
        <v>2354</v>
      </c>
    </row>
    <row r="3936" spans="1:9" x14ac:dyDescent="0.25">
      <c r="A3936" s="218" t="s">
        <v>220</v>
      </c>
      <c r="B3936" s="218" t="s">
        <v>5430</v>
      </c>
      <c r="C3936" s="219" t="s">
        <v>7324</v>
      </c>
      <c r="D3936" s="212" t="s">
        <v>7325</v>
      </c>
      <c r="E3936" s="212" t="s">
        <v>545</v>
      </c>
      <c r="F3936" s="213">
        <v>2</v>
      </c>
      <c r="G3936" s="213">
        <v>51.619500000000002</v>
      </c>
      <c r="H3936" s="195">
        <f t="shared" si="61"/>
        <v>103.239</v>
      </c>
      <c r="I3936" s="212" t="s">
        <v>2354</v>
      </c>
    </row>
    <row r="3937" spans="1:9" x14ac:dyDescent="0.25">
      <c r="A3937" s="218" t="s">
        <v>220</v>
      </c>
      <c r="B3937" s="218" t="s">
        <v>5430</v>
      </c>
      <c r="C3937" s="219" t="s">
        <v>5301</v>
      </c>
      <c r="D3937" s="212" t="s">
        <v>5302</v>
      </c>
      <c r="E3937" s="212" t="s">
        <v>545</v>
      </c>
      <c r="F3937" s="213">
        <v>3</v>
      </c>
      <c r="G3937" s="213">
        <v>8.7498000000000005</v>
      </c>
      <c r="H3937" s="195">
        <f t="shared" si="61"/>
        <v>26.249400000000001</v>
      </c>
      <c r="I3937" s="212" t="s">
        <v>2354</v>
      </c>
    </row>
    <row r="3938" spans="1:9" x14ac:dyDescent="0.25">
      <c r="A3938" s="218" t="s">
        <v>220</v>
      </c>
      <c r="B3938" s="218" t="s">
        <v>5430</v>
      </c>
      <c r="C3938" s="219" t="s">
        <v>7326</v>
      </c>
      <c r="D3938" s="212" t="s">
        <v>7327</v>
      </c>
      <c r="E3938" s="212" t="s">
        <v>545</v>
      </c>
      <c r="F3938" s="213">
        <v>2</v>
      </c>
      <c r="G3938" s="213">
        <v>5.0419999999999998</v>
      </c>
      <c r="H3938" s="195">
        <f t="shared" si="61"/>
        <v>10.084</v>
      </c>
      <c r="I3938" s="212" t="s">
        <v>2354</v>
      </c>
    </row>
    <row r="3939" spans="1:9" x14ac:dyDescent="0.25">
      <c r="A3939" s="218" t="s">
        <v>220</v>
      </c>
      <c r="B3939" s="218" t="s">
        <v>5430</v>
      </c>
      <c r="C3939" s="219" t="s">
        <v>7328</v>
      </c>
      <c r="D3939" s="212" t="s">
        <v>7329</v>
      </c>
      <c r="E3939" s="212" t="s">
        <v>545</v>
      </c>
      <c r="F3939" s="213">
        <v>5</v>
      </c>
      <c r="G3939" s="213">
        <v>85.280499999999989</v>
      </c>
      <c r="H3939" s="195">
        <f t="shared" si="61"/>
        <v>426.40249999999992</v>
      </c>
      <c r="I3939" s="212" t="s">
        <v>2354</v>
      </c>
    </row>
    <row r="3940" spans="1:9" x14ac:dyDescent="0.25">
      <c r="A3940" s="218" t="s">
        <v>220</v>
      </c>
      <c r="B3940" s="218" t="s">
        <v>5430</v>
      </c>
      <c r="C3940" s="219" t="s">
        <v>7330</v>
      </c>
      <c r="D3940" s="212" t="s">
        <v>7331</v>
      </c>
      <c r="E3940" s="212" t="s">
        <v>535</v>
      </c>
      <c r="F3940" s="213">
        <v>6</v>
      </c>
      <c r="G3940" s="213">
        <v>1.802</v>
      </c>
      <c r="H3940" s="195">
        <f t="shared" si="61"/>
        <v>10.812000000000001</v>
      </c>
      <c r="I3940" s="212" t="s">
        <v>2354</v>
      </c>
    </row>
    <row r="3941" spans="1:9" x14ac:dyDescent="0.25">
      <c r="A3941" s="218" t="s">
        <v>220</v>
      </c>
      <c r="B3941" s="218" t="s">
        <v>5430</v>
      </c>
      <c r="C3941" s="219" t="s">
        <v>7332</v>
      </c>
      <c r="D3941" s="212" t="s">
        <v>7333</v>
      </c>
      <c r="E3941" s="212" t="s">
        <v>545</v>
      </c>
      <c r="F3941" s="213">
        <v>1</v>
      </c>
      <c r="G3941" s="213">
        <v>107.6688</v>
      </c>
      <c r="H3941" s="195">
        <f t="shared" si="61"/>
        <v>107.6688</v>
      </c>
      <c r="I3941" s="212" t="s">
        <v>2354</v>
      </c>
    </row>
    <row r="3942" spans="1:9" x14ac:dyDescent="0.25">
      <c r="A3942" s="218" t="s">
        <v>220</v>
      </c>
      <c r="B3942" s="218" t="s">
        <v>5430</v>
      </c>
      <c r="C3942" s="219" t="s">
        <v>5303</v>
      </c>
      <c r="D3942" s="212" t="s">
        <v>5304</v>
      </c>
      <c r="E3942" s="212" t="s">
        <v>545</v>
      </c>
      <c r="F3942" s="213">
        <v>2</v>
      </c>
      <c r="G3942" s="213">
        <v>429.23430000000002</v>
      </c>
      <c r="H3942" s="195">
        <f t="shared" si="61"/>
        <v>858.46860000000004</v>
      </c>
      <c r="I3942" s="212" t="s">
        <v>2354</v>
      </c>
    </row>
    <row r="3943" spans="1:9" x14ac:dyDescent="0.25">
      <c r="A3943" s="218" t="s">
        <v>220</v>
      </c>
      <c r="B3943" s="218" t="s">
        <v>5430</v>
      </c>
      <c r="C3943" s="219" t="s">
        <v>7334</v>
      </c>
      <c r="D3943" s="212" t="s">
        <v>7335</v>
      </c>
      <c r="E3943" s="212" t="s">
        <v>545</v>
      </c>
      <c r="F3943" s="213">
        <v>3</v>
      </c>
      <c r="G3943" s="213">
        <v>446.18540000000002</v>
      </c>
      <c r="H3943" s="195">
        <f t="shared" si="61"/>
        <v>1338.5562</v>
      </c>
      <c r="I3943" s="212" t="s">
        <v>2354</v>
      </c>
    </row>
    <row r="3944" spans="1:9" x14ac:dyDescent="0.25">
      <c r="A3944" s="218" t="s">
        <v>220</v>
      </c>
      <c r="B3944" s="218" t="s">
        <v>5430</v>
      </c>
      <c r="C3944" s="219" t="s">
        <v>5305</v>
      </c>
      <c r="D3944" s="212" t="s">
        <v>5306</v>
      </c>
      <c r="E3944" s="212" t="s">
        <v>545</v>
      </c>
      <c r="F3944" s="213">
        <v>1</v>
      </c>
      <c r="G3944" s="213">
        <v>529.20000000000005</v>
      </c>
      <c r="H3944" s="195">
        <f t="shared" si="61"/>
        <v>529.20000000000005</v>
      </c>
      <c r="I3944" s="212" t="s">
        <v>2354</v>
      </c>
    </row>
    <row r="3945" spans="1:9" x14ac:dyDescent="0.25">
      <c r="A3945" s="218" t="s">
        <v>220</v>
      </c>
      <c r="B3945" s="218" t="s">
        <v>5430</v>
      </c>
      <c r="C3945" s="219" t="s">
        <v>7336</v>
      </c>
      <c r="D3945" s="212" t="s">
        <v>7337</v>
      </c>
      <c r="E3945" s="212" t="s">
        <v>545</v>
      </c>
      <c r="F3945" s="213">
        <v>1</v>
      </c>
      <c r="G3945" s="213">
        <v>542.71479999999997</v>
      </c>
      <c r="H3945" s="195">
        <f t="shared" si="61"/>
        <v>542.71479999999997</v>
      </c>
      <c r="I3945" s="212" t="s">
        <v>2354</v>
      </c>
    </row>
    <row r="3946" spans="1:9" x14ac:dyDescent="0.25">
      <c r="A3946" s="218" t="s">
        <v>220</v>
      </c>
      <c r="B3946" s="218" t="s">
        <v>5430</v>
      </c>
      <c r="C3946" s="219" t="s">
        <v>5307</v>
      </c>
      <c r="D3946" s="212" t="s">
        <v>5308</v>
      </c>
      <c r="E3946" s="212" t="s">
        <v>545</v>
      </c>
      <c r="F3946" s="213">
        <v>1</v>
      </c>
      <c r="G3946" s="213">
        <v>38.48715</v>
      </c>
      <c r="H3946" s="195">
        <f t="shared" si="61"/>
        <v>38.48715</v>
      </c>
      <c r="I3946" s="212" t="s">
        <v>2354</v>
      </c>
    </row>
    <row r="3947" spans="1:9" x14ac:dyDescent="0.25">
      <c r="A3947" s="218" t="s">
        <v>220</v>
      </c>
      <c r="B3947" s="218" t="s">
        <v>5430</v>
      </c>
      <c r="C3947" s="219" t="s">
        <v>7338</v>
      </c>
      <c r="D3947" s="212" t="s">
        <v>7339</v>
      </c>
      <c r="E3947" s="212" t="s">
        <v>545</v>
      </c>
      <c r="F3947" s="213">
        <v>1</v>
      </c>
      <c r="G3947" s="213">
        <v>351.4325</v>
      </c>
      <c r="H3947" s="195">
        <f t="shared" si="61"/>
        <v>351.4325</v>
      </c>
      <c r="I3947" s="212" t="s">
        <v>2354</v>
      </c>
    </row>
    <row r="3948" spans="1:9" x14ac:dyDescent="0.25">
      <c r="A3948" s="218" t="s">
        <v>220</v>
      </c>
      <c r="B3948" s="218" t="s">
        <v>5430</v>
      </c>
      <c r="C3948" s="219" t="s">
        <v>7340</v>
      </c>
      <c r="D3948" s="212" t="s">
        <v>7341</v>
      </c>
      <c r="E3948" s="212" t="s">
        <v>545</v>
      </c>
      <c r="F3948" s="213">
        <v>1</v>
      </c>
      <c r="G3948" s="213">
        <v>1681.6320000000001</v>
      </c>
      <c r="H3948" s="195">
        <f t="shared" si="61"/>
        <v>1681.6320000000001</v>
      </c>
      <c r="I3948" s="212" t="s">
        <v>2354</v>
      </c>
    </row>
    <row r="3949" spans="1:9" x14ac:dyDescent="0.25">
      <c r="A3949" s="218" t="s">
        <v>220</v>
      </c>
      <c r="B3949" s="218" t="s">
        <v>5430</v>
      </c>
      <c r="C3949" s="219" t="s">
        <v>7342</v>
      </c>
      <c r="D3949" s="212" t="s">
        <v>7343</v>
      </c>
      <c r="E3949" s="212" t="s">
        <v>545</v>
      </c>
      <c r="F3949" s="213">
        <v>1</v>
      </c>
      <c r="G3949" s="213">
        <v>10.809900000000001</v>
      </c>
      <c r="H3949" s="195">
        <f t="shared" si="61"/>
        <v>10.809900000000001</v>
      </c>
      <c r="I3949" s="212" t="s">
        <v>2354</v>
      </c>
    </row>
    <row r="3950" spans="1:9" x14ac:dyDescent="0.25">
      <c r="A3950" s="218" t="s">
        <v>220</v>
      </c>
      <c r="B3950" s="218" t="s">
        <v>5430</v>
      </c>
      <c r="C3950" s="219" t="s">
        <v>7344</v>
      </c>
      <c r="D3950" s="212" t="s">
        <v>7345</v>
      </c>
      <c r="E3950" s="212" t="s">
        <v>545</v>
      </c>
      <c r="F3950" s="213">
        <v>1</v>
      </c>
      <c r="G3950" s="213">
        <v>4.7</v>
      </c>
      <c r="H3950" s="195">
        <f t="shared" si="61"/>
        <v>4.7</v>
      </c>
      <c r="I3950" s="212" t="s">
        <v>2354</v>
      </c>
    </row>
    <row r="3951" spans="1:9" x14ac:dyDescent="0.25">
      <c r="A3951" s="218" t="s">
        <v>220</v>
      </c>
      <c r="B3951" s="218" t="s">
        <v>5430</v>
      </c>
      <c r="C3951" s="219" t="s">
        <v>7346</v>
      </c>
      <c r="D3951" s="212" t="s">
        <v>7347</v>
      </c>
      <c r="E3951" s="212" t="s">
        <v>545</v>
      </c>
      <c r="F3951" s="213">
        <v>1</v>
      </c>
      <c r="G3951" s="213">
        <v>14.1</v>
      </c>
      <c r="H3951" s="195">
        <f t="shared" si="61"/>
        <v>14.1</v>
      </c>
      <c r="I3951" s="212" t="s">
        <v>2354</v>
      </c>
    </row>
    <row r="3952" spans="1:9" x14ac:dyDescent="0.25">
      <c r="A3952" s="218" t="s">
        <v>220</v>
      </c>
      <c r="B3952" s="218" t="s">
        <v>5430</v>
      </c>
      <c r="C3952" s="219" t="s">
        <v>7348</v>
      </c>
      <c r="D3952" s="212" t="s">
        <v>7349</v>
      </c>
      <c r="E3952" s="212" t="s">
        <v>545</v>
      </c>
      <c r="F3952" s="213">
        <v>2</v>
      </c>
      <c r="G3952" s="213">
        <v>2.7861500000000001</v>
      </c>
      <c r="H3952" s="195">
        <f t="shared" si="61"/>
        <v>5.5723000000000003</v>
      </c>
      <c r="I3952" s="212" t="s">
        <v>2354</v>
      </c>
    </row>
    <row r="3953" spans="1:9" x14ac:dyDescent="0.25">
      <c r="A3953" s="218" t="s">
        <v>220</v>
      </c>
      <c r="B3953" s="218" t="s">
        <v>5430</v>
      </c>
      <c r="C3953" s="219" t="s">
        <v>7350</v>
      </c>
      <c r="D3953" s="212" t="s">
        <v>7351</v>
      </c>
      <c r="E3953" s="212" t="s">
        <v>545</v>
      </c>
      <c r="F3953" s="213">
        <v>4</v>
      </c>
      <c r="G3953" s="213">
        <v>6.0876000000000001</v>
      </c>
      <c r="H3953" s="195">
        <f t="shared" si="61"/>
        <v>24.3504</v>
      </c>
      <c r="I3953" s="212" t="s">
        <v>2354</v>
      </c>
    </row>
    <row r="3954" spans="1:9" x14ac:dyDescent="0.25">
      <c r="A3954" s="218" t="s">
        <v>220</v>
      </c>
      <c r="B3954" s="218" t="s">
        <v>5430</v>
      </c>
      <c r="C3954" s="219" t="s">
        <v>5428</v>
      </c>
      <c r="D3954" s="212" t="s">
        <v>5429</v>
      </c>
      <c r="E3954" s="212" t="s">
        <v>545</v>
      </c>
      <c r="F3954" s="213">
        <v>1</v>
      </c>
      <c r="G3954" s="213">
        <v>18.5</v>
      </c>
      <c r="H3954" s="195">
        <f t="shared" si="61"/>
        <v>18.5</v>
      </c>
      <c r="I3954" s="212" t="s">
        <v>2354</v>
      </c>
    </row>
    <row r="3955" spans="1:9" x14ac:dyDescent="0.25">
      <c r="A3955" s="218" t="s">
        <v>220</v>
      </c>
      <c r="B3955" s="218" t="s">
        <v>5430</v>
      </c>
      <c r="C3955" s="219" t="s">
        <v>7352</v>
      </c>
      <c r="D3955" s="212" t="s">
        <v>7353</v>
      </c>
      <c r="E3955" s="212" t="s">
        <v>545</v>
      </c>
      <c r="F3955" s="213">
        <v>1</v>
      </c>
      <c r="G3955" s="213">
        <v>18.5</v>
      </c>
      <c r="H3955" s="195">
        <f t="shared" si="61"/>
        <v>18.5</v>
      </c>
      <c r="I3955" s="212" t="s">
        <v>2354</v>
      </c>
    </row>
    <row r="3956" spans="1:9" x14ac:dyDescent="0.25">
      <c r="A3956" s="218" t="s">
        <v>220</v>
      </c>
      <c r="B3956" s="218" t="s">
        <v>5430</v>
      </c>
      <c r="C3956" s="219" t="s">
        <v>7354</v>
      </c>
      <c r="D3956" s="212" t="s">
        <v>7355</v>
      </c>
      <c r="E3956" s="212" t="s">
        <v>545</v>
      </c>
      <c r="F3956" s="213">
        <v>1</v>
      </c>
      <c r="G3956" s="213">
        <v>172.85900000000001</v>
      </c>
      <c r="H3956" s="195">
        <f t="shared" si="61"/>
        <v>172.85900000000001</v>
      </c>
      <c r="I3956" s="212" t="s">
        <v>2354</v>
      </c>
    </row>
    <row r="3957" spans="1:9" x14ac:dyDescent="0.25">
      <c r="A3957" s="218" t="s">
        <v>747</v>
      </c>
      <c r="B3957" s="218" t="s">
        <v>591</v>
      </c>
      <c r="C3957" s="219"/>
      <c r="D3957" s="212" t="s">
        <v>7356</v>
      </c>
      <c r="E3957" s="212"/>
      <c r="F3957" s="213">
        <f>1340+1500</f>
        <v>2840</v>
      </c>
      <c r="G3957" s="213">
        <v>3.9913046639999994</v>
      </c>
      <c r="H3957" s="195">
        <f t="shared" si="61"/>
        <v>11335.305245759999</v>
      </c>
      <c r="I3957" s="212" t="s">
        <v>541</v>
      </c>
    </row>
    <row r="3958" spans="1:9" x14ac:dyDescent="0.25">
      <c r="A3958" s="218" t="s">
        <v>220</v>
      </c>
      <c r="B3958" s="218" t="s">
        <v>2152</v>
      </c>
      <c r="C3958" s="219" t="s">
        <v>1769</v>
      </c>
      <c r="D3958" s="212" t="s">
        <v>1770</v>
      </c>
      <c r="E3958" s="212" t="s">
        <v>545</v>
      </c>
      <c r="F3958" s="213">
        <v>2500</v>
      </c>
      <c r="G3958" s="213">
        <v>0.68174999999999997</v>
      </c>
      <c r="H3958" s="195">
        <f t="shared" si="61"/>
        <v>1704.375</v>
      </c>
      <c r="I3958" s="212" t="s">
        <v>541</v>
      </c>
    </row>
  </sheetData>
  <autoFilter ref="A3:I3958" xr:uid="{00000000-0009-0000-0000-000004000000}"/>
  <conditionalFormatting sqref="C144:C145 C129:C142">
    <cfRule type="duplicateValues" dxfId="28" priority="1"/>
  </conditionalFormatting>
  <conditionalFormatting sqref="C2578:C2587">
    <cfRule type="duplicateValues" dxfId="27" priority="2"/>
  </conditionalFormatting>
  <conditionalFormatting sqref="C2604:C3958">
    <cfRule type="duplicateValues" dxfId="26" priority="3"/>
  </conditionalFormatting>
  <pageMargins left="0.70866141732283472" right="0.70866141732283472" top="0.74803149606299213" bottom="0.74803149606299213" header="0.31496062992125984" footer="0.31496062992125984"/>
  <pageSetup paperSize="9" orientation="portrait" horizontalDpi="4294967293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G72"/>
  <sheetViews>
    <sheetView topLeftCell="A46" workbookViewId="0">
      <selection activeCell="G76" sqref="G76"/>
    </sheetView>
  </sheetViews>
  <sheetFormatPr baseColWidth="10" defaultColWidth="11.42578125" defaultRowHeight="15" x14ac:dyDescent="0.25"/>
  <cols>
    <col min="1" max="1" width="10.42578125" bestFit="1" customWidth="1"/>
    <col min="2" max="2" width="24.7109375" bestFit="1" customWidth="1"/>
    <col min="3" max="3" width="11.85546875" bestFit="1" customWidth="1"/>
    <col min="4" max="5" width="13.42578125" bestFit="1" customWidth="1"/>
    <col min="6" max="7" width="11.85546875" bestFit="1" customWidth="1"/>
  </cols>
  <sheetData>
    <row r="1" spans="1:7" x14ac:dyDescent="0.25">
      <c r="A1" s="2" t="s">
        <v>4</v>
      </c>
      <c r="B1" s="2" t="s">
        <v>0</v>
      </c>
      <c r="C1" s="3" t="s">
        <v>5</v>
      </c>
      <c r="D1" s="3" t="s">
        <v>2</v>
      </c>
      <c r="E1" s="3" t="s">
        <v>3</v>
      </c>
      <c r="F1" s="3" t="s">
        <v>6</v>
      </c>
      <c r="G1" s="3" t="s">
        <v>262</v>
      </c>
    </row>
    <row r="2" spans="1:7" x14ac:dyDescent="0.25">
      <c r="A2" s="302">
        <v>13000000</v>
      </c>
      <c r="B2" s="302" t="s">
        <v>273</v>
      </c>
      <c r="C2" s="303">
        <v>0</v>
      </c>
      <c r="D2" s="303">
        <v>0</v>
      </c>
      <c r="E2" s="303">
        <v>0</v>
      </c>
      <c r="F2" s="303">
        <v>0</v>
      </c>
      <c r="G2" s="303">
        <v>0</v>
      </c>
    </row>
    <row r="3" spans="1:7" x14ac:dyDescent="0.25">
      <c r="A3" s="302">
        <v>14508000</v>
      </c>
      <c r="B3" s="302" t="s">
        <v>17</v>
      </c>
      <c r="C3" s="303">
        <v>21896.933000000001</v>
      </c>
      <c r="D3" s="303">
        <v>21896.933000000001</v>
      </c>
      <c r="E3" s="303">
        <v>0</v>
      </c>
      <c r="F3" s="303">
        <v>21896.933000000001</v>
      </c>
      <c r="G3" s="303">
        <v>43793.866000000002</v>
      </c>
    </row>
    <row r="4" spans="1:7" x14ac:dyDescent="0.25">
      <c r="A4" s="302">
        <v>22825000</v>
      </c>
      <c r="B4" s="302"/>
      <c r="C4" s="303">
        <v>0</v>
      </c>
      <c r="D4" s="303">
        <v>0</v>
      </c>
      <c r="E4" s="303">
        <v>0</v>
      </c>
      <c r="F4" s="303">
        <v>0</v>
      </c>
      <c r="G4" s="303">
        <v>0</v>
      </c>
    </row>
    <row r="5" spans="1:7" x14ac:dyDescent="0.25">
      <c r="A5" s="302">
        <v>28130000</v>
      </c>
      <c r="B5" s="302" t="s">
        <v>24</v>
      </c>
      <c r="C5" s="303">
        <v>-498.40800000000002</v>
      </c>
      <c r="D5" s="303">
        <v>0</v>
      </c>
      <c r="E5" s="303">
        <v>465.18099999999998</v>
      </c>
      <c r="F5" s="303">
        <v>-465.18099999999998</v>
      </c>
      <c r="G5" s="303">
        <v>-963.58900000000006</v>
      </c>
    </row>
    <row r="6" spans="1:7" x14ac:dyDescent="0.25">
      <c r="A6" s="302">
        <v>28216000</v>
      </c>
      <c r="B6" s="302" t="s">
        <v>48</v>
      </c>
      <c r="C6" s="303">
        <v>-231.89</v>
      </c>
      <c r="D6" s="303">
        <v>0</v>
      </c>
      <c r="E6" s="303">
        <v>216.43100000000001</v>
      </c>
      <c r="F6" s="303">
        <v>-216.43100000000001</v>
      </c>
      <c r="G6" s="303">
        <v>-448.32100000000003</v>
      </c>
    </row>
    <row r="7" spans="1:7" x14ac:dyDescent="0.25">
      <c r="A7" s="302">
        <v>28220000</v>
      </c>
      <c r="B7" s="302" t="s">
        <v>49</v>
      </c>
      <c r="C7" s="303">
        <v>-37206.669000000002</v>
      </c>
      <c r="D7" s="303">
        <v>0</v>
      </c>
      <c r="E7" s="303">
        <v>34726.224000000002</v>
      </c>
      <c r="F7" s="303">
        <v>-34726.224000000002</v>
      </c>
      <c r="G7" s="303">
        <v>-71932.892999999996</v>
      </c>
    </row>
    <row r="8" spans="1:7" x14ac:dyDescent="0.25">
      <c r="A8" s="302">
        <v>28225000</v>
      </c>
      <c r="B8" s="302" t="s">
        <v>50</v>
      </c>
      <c r="C8" s="303">
        <v>-1791.5360000000001</v>
      </c>
      <c r="D8" s="303">
        <v>0</v>
      </c>
      <c r="E8" s="303">
        <v>4097.3119999999999</v>
      </c>
      <c r="F8" s="303">
        <v>-4097.3119999999999</v>
      </c>
      <c r="G8" s="303">
        <v>-5888.848</v>
      </c>
    </row>
    <row r="9" spans="1:7" x14ac:dyDescent="0.25">
      <c r="A9" s="302">
        <v>28230000</v>
      </c>
      <c r="B9" s="302" t="s">
        <v>263</v>
      </c>
      <c r="C9" s="303">
        <v>-4389.7709999999997</v>
      </c>
      <c r="D9" s="303">
        <v>0</v>
      </c>
      <c r="E9" s="303">
        <v>1672.1</v>
      </c>
      <c r="F9" s="303">
        <v>-1672.1</v>
      </c>
      <c r="G9" s="303">
        <v>-6061.8710000000001</v>
      </c>
    </row>
    <row r="10" spans="1:7" x14ac:dyDescent="0.25">
      <c r="A10" s="302">
        <v>28234000</v>
      </c>
      <c r="B10" s="302" t="s">
        <v>51</v>
      </c>
      <c r="C10" s="303">
        <v>-116880.211</v>
      </c>
      <c r="D10" s="303">
        <v>0</v>
      </c>
      <c r="E10" s="303">
        <v>109549.496</v>
      </c>
      <c r="F10" s="303">
        <v>-109549.496</v>
      </c>
      <c r="G10" s="303">
        <v>-226429.70699999999</v>
      </c>
    </row>
    <row r="11" spans="1:7" x14ac:dyDescent="0.25">
      <c r="A11" s="302">
        <v>28235000</v>
      </c>
      <c r="B11" s="302" t="s">
        <v>52</v>
      </c>
      <c r="C11" s="303">
        <v>-7034.5950000000003</v>
      </c>
      <c r="D11" s="303">
        <v>0</v>
      </c>
      <c r="E11" s="303">
        <v>6009.5389999999998</v>
      </c>
      <c r="F11" s="303">
        <v>-6009.5389999999998</v>
      </c>
      <c r="G11" s="303">
        <v>-13044.134</v>
      </c>
    </row>
    <row r="12" spans="1:7" x14ac:dyDescent="0.25">
      <c r="A12" s="302">
        <v>28237000</v>
      </c>
      <c r="B12" s="302" t="s">
        <v>53</v>
      </c>
      <c r="C12" s="303">
        <v>-1805.7460000000001</v>
      </c>
      <c r="D12" s="303">
        <v>0</v>
      </c>
      <c r="E12" s="303">
        <v>1685.3630000000001</v>
      </c>
      <c r="F12" s="303">
        <v>-1685.3630000000001</v>
      </c>
      <c r="G12" s="303">
        <v>-3491.1089999999999</v>
      </c>
    </row>
    <row r="13" spans="1:7" x14ac:dyDescent="0.25">
      <c r="A13" s="302">
        <v>28240000</v>
      </c>
      <c r="B13" s="302" t="s">
        <v>54</v>
      </c>
      <c r="C13" s="303">
        <v>-12427.078</v>
      </c>
      <c r="D13" s="303">
        <v>0</v>
      </c>
      <c r="E13" s="303">
        <v>10647.098</v>
      </c>
      <c r="F13" s="303">
        <v>-10647.098</v>
      </c>
      <c r="G13" s="303">
        <v>-23074.175999999999</v>
      </c>
    </row>
    <row r="14" spans="1:7" x14ac:dyDescent="0.25">
      <c r="A14" s="302">
        <v>28282000</v>
      </c>
      <c r="B14" s="302" t="s">
        <v>55</v>
      </c>
      <c r="C14" s="303">
        <v>-4546.049</v>
      </c>
      <c r="D14" s="303">
        <v>0</v>
      </c>
      <c r="E14" s="303">
        <v>4171.1139999999996</v>
      </c>
      <c r="F14" s="303">
        <v>-4171.1139999999996</v>
      </c>
      <c r="G14" s="303">
        <v>-8717.1630000000005</v>
      </c>
    </row>
    <row r="15" spans="1:7" x14ac:dyDescent="0.25">
      <c r="A15" s="302">
        <v>28283000</v>
      </c>
      <c r="B15" s="302" t="s">
        <v>7389</v>
      </c>
      <c r="C15" s="303">
        <v>-1898.0329999999999</v>
      </c>
      <c r="D15" s="303">
        <v>0</v>
      </c>
      <c r="E15" s="303">
        <v>1937.6489999999999</v>
      </c>
      <c r="F15" s="303">
        <v>-1937.6489999999999</v>
      </c>
      <c r="G15" s="303">
        <v>-3835.6819999999998</v>
      </c>
    </row>
    <row r="16" spans="1:7" x14ac:dyDescent="0.25">
      <c r="A16" s="302">
        <v>28400000</v>
      </c>
      <c r="B16" s="302" t="s">
        <v>56</v>
      </c>
      <c r="C16" s="303">
        <v>-6242.0129999999999</v>
      </c>
      <c r="D16" s="303">
        <v>0</v>
      </c>
      <c r="E16" s="303">
        <v>5825.8789999999999</v>
      </c>
      <c r="F16" s="303">
        <v>-5825.8789999999999</v>
      </c>
      <c r="G16" s="303">
        <v>-12067.892</v>
      </c>
    </row>
    <row r="17" spans="1:7" x14ac:dyDescent="0.25">
      <c r="A17" s="302">
        <v>31100000</v>
      </c>
      <c r="B17" s="302" t="s">
        <v>59</v>
      </c>
      <c r="C17" s="303">
        <v>10236706.575999999</v>
      </c>
      <c r="D17" s="304">
        <v>10534048.323999999</v>
      </c>
      <c r="E17" s="303">
        <v>10236706.575999999</v>
      </c>
      <c r="F17" s="303">
        <v>297341.74800000002</v>
      </c>
      <c r="G17" s="303">
        <v>10534048.323999999</v>
      </c>
    </row>
    <row r="18" spans="1:7" x14ac:dyDescent="0.25">
      <c r="A18" s="302">
        <v>32200000</v>
      </c>
      <c r="B18" s="302" t="s">
        <v>61</v>
      </c>
      <c r="C18" s="303">
        <v>596194.15399999998</v>
      </c>
      <c r="D18" s="303">
        <v>657159.81599999999</v>
      </c>
      <c r="E18" s="303">
        <v>596194.15399999998</v>
      </c>
      <c r="F18" s="303">
        <v>60965.661999999997</v>
      </c>
      <c r="G18" s="303">
        <v>657159.81599999999</v>
      </c>
    </row>
    <row r="19" spans="1:7" x14ac:dyDescent="0.25">
      <c r="A19" s="302">
        <v>33100000</v>
      </c>
      <c r="B19" s="302" t="s">
        <v>62</v>
      </c>
      <c r="C19" s="303">
        <v>858839.50199999998</v>
      </c>
      <c r="D19" s="304">
        <v>796673.53300000005</v>
      </c>
      <c r="E19" s="303">
        <v>858839.50199999998</v>
      </c>
      <c r="F19" s="303">
        <v>-62165.968999999997</v>
      </c>
      <c r="G19" s="303">
        <v>796673.53300000005</v>
      </c>
    </row>
    <row r="20" spans="1:7" x14ac:dyDescent="0.25">
      <c r="A20" s="302">
        <v>35500000</v>
      </c>
      <c r="B20" s="302" t="s">
        <v>63</v>
      </c>
      <c r="C20" s="303">
        <v>3237104.2590000001</v>
      </c>
      <c r="D20" s="304">
        <v>3105736.952</v>
      </c>
      <c r="E20" s="303">
        <v>3237104.2590000001</v>
      </c>
      <c r="F20" s="303">
        <v>-131367.307</v>
      </c>
      <c r="G20" s="303">
        <v>3105736.952</v>
      </c>
    </row>
    <row r="21" spans="1:7" x14ac:dyDescent="0.25">
      <c r="A21" s="302">
        <v>40100000</v>
      </c>
      <c r="B21" s="302" t="s">
        <v>66</v>
      </c>
      <c r="C21" s="303">
        <v>-4926.3500000000004</v>
      </c>
      <c r="D21" s="303">
        <v>4926.3500000000004</v>
      </c>
      <c r="E21" s="303">
        <v>0</v>
      </c>
      <c r="F21" s="303">
        <v>4926.3500000000004</v>
      </c>
      <c r="G21" s="303">
        <v>0</v>
      </c>
    </row>
    <row r="22" spans="1:7" x14ac:dyDescent="0.25">
      <c r="A22" s="302">
        <v>40120000</v>
      </c>
      <c r="B22" s="302" t="s">
        <v>386</v>
      </c>
      <c r="C22" s="303">
        <v>0</v>
      </c>
      <c r="D22" s="303">
        <v>0</v>
      </c>
      <c r="E22" s="303">
        <v>0</v>
      </c>
      <c r="F22" s="303">
        <v>0</v>
      </c>
      <c r="G22" s="303">
        <v>0</v>
      </c>
    </row>
    <row r="23" spans="1:7" x14ac:dyDescent="0.25">
      <c r="A23" s="302">
        <v>40800000</v>
      </c>
      <c r="B23" s="302" t="s">
        <v>71</v>
      </c>
      <c r="C23" s="303">
        <v>0</v>
      </c>
      <c r="D23" s="303">
        <v>0</v>
      </c>
      <c r="E23" s="303">
        <v>0</v>
      </c>
      <c r="F23" s="303">
        <v>0</v>
      </c>
      <c r="G23" s="303">
        <v>0</v>
      </c>
    </row>
    <row r="24" spans="1:7" x14ac:dyDescent="0.25">
      <c r="A24" s="302">
        <v>41100000</v>
      </c>
      <c r="B24" s="302" t="s">
        <v>73</v>
      </c>
      <c r="C24" s="303">
        <v>0</v>
      </c>
      <c r="D24" s="303">
        <v>65310.438000000002</v>
      </c>
      <c r="E24" s="303">
        <v>0</v>
      </c>
      <c r="F24" s="303">
        <v>65310.438000000002</v>
      </c>
      <c r="G24" s="303">
        <v>65310.438000000002</v>
      </c>
    </row>
    <row r="25" spans="1:7" x14ac:dyDescent="0.25">
      <c r="A25" s="302">
        <v>41500000</v>
      </c>
      <c r="B25" s="302" t="s">
        <v>75</v>
      </c>
      <c r="C25" s="303">
        <v>0</v>
      </c>
      <c r="D25" s="303">
        <v>0</v>
      </c>
      <c r="E25" s="303">
        <v>0</v>
      </c>
      <c r="F25" s="303">
        <v>0</v>
      </c>
      <c r="G25" s="303">
        <v>0</v>
      </c>
    </row>
    <row r="26" spans="1:7" x14ac:dyDescent="0.25">
      <c r="A26" s="302">
        <v>41800000</v>
      </c>
      <c r="B26" s="302" t="s">
        <v>307</v>
      </c>
      <c r="C26" s="303">
        <v>0</v>
      </c>
      <c r="D26" s="303">
        <v>0</v>
      </c>
      <c r="E26" s="303">
        <v>0</v>
      </c>
      <c r="F26" s="303">
        <v>0</v>
      </c>
      <c r="G26" s="303">
        <v>0</v>
      </c>
    </row>
    <row r="27" spans="1:7" x14ac:dyDescent="0.25">
      <c r="A27" s="302">
        <v>45310000</v>
      </c>
      <c r="B27" s="302" t="s">
        <v>104</v>
      </c>
      <c r="C27" s="303">
        <v>-32544.788</v>
      </c>
      <c r="D27" s="303">
        <v>0</v>
      </c>
      <c r="E27" s="303">
        <v>32544.788</v>
      </c>
      <c r="F27" s="303">
        <v>-32544.788</v>
      </c>
      <c r="G27" s="303">
        <v>-65089.576000000001</v>
      </c>
    </row>
    <row r="28" spans="1:7" x14ac:dyDescent="0.25">
      <c r="A28" s="302">
        <v>45860000</v>
      </c>
      <c r="B28" s="302" t="s">
        <v>106</v>
      </c>
      <c r="C28" s="303">
        <v>-376073.946</v>
      </c>
      <c r="D28" s="303">
        <v>268841.33299999998</v>
      </c>
      <c r="E28" s="303">
        <v>515362.67599999998</v>
      </c>
      <c r="F28" s="303">
        <v>-246521.34299999999</v>
      </c>
      <c r="G28" s="303">
        <v>-622595.28899999999</v>
      </c>
    </row>
    <row r="29" spans="1:7" x14ac:dyDescent="0.25">
      <c r="A29" s="302">
        <v>45870000</v>
      </c>
      <c r="B29" s="302" t="s">
        <v>107</v>
      </c>
      <c r="C29" s="303">
        <v>20628.099999999999</v>
      </c>
      <c r="D29" s="303">
        <v>3219.3</v>
      </c>
      <c r="E29" s="303">
        <v>17408.8</v>
      </c>
      <c r="F29" s="303">
        <v>-14189.5</v>
      </c>
      <c r="G29" s="303">
        <v>6438.6</v>
      </c>
    </row>
    <row r="30" spans="1:7" x14ac:dyDescent="0.25">
      <c r="A30" s="302">
        <v>47100000</v>
      </c>
      <c r="B30" s="302" t="s">
        <v>109</v>
      </c>
      <c r="C30" s="303">
        <v>-11943.194</v>
      </c>
      <c r="D30" s="303">
        <v>0</v>
      </c>
      <c r="E30" s="303">
        <v>59447.726999999999</v>
      </c>
      <c r="F30" s="303">
        <v>-59447.726999999999</v>
      </c>
      <c r="G30" s="303">
        <v>-71390.921000000002</v>
      </c>
    </row>
    <row r="31" spans="1:7" x14ac:dyDescent="0.25">
      <c r="A31" s="302">
        <v>60110300</v>
      </c>
      <c r="B31" s="302" t="s">
        <v>140</v>
      </c>
      <c r="C31" s="303">
        <v>0</v>
      </c>
      <c r="D31" s="303">
        <v>606</v>
      </c>
      <c r="E31" s="303">
        <v>0</v>
      </c>
      <c r="F31" s="303">
        <v>606</v>
      </c>
      <c r="G31" s="303">
        <v>606</v>
      </c>
    </row>
    <row r="32" spans="1:7" x14ac:dyDescent="0.25">
      <c r="A32" s="302">
        <v>60110900</v>
      </c>
      <c r="B32" s="302" t="s">
        <v>147</v>
      </c>
      <c r="C32" s="303">
        <v>0</v>
      </c>
      <c r="D32" s="303">
        <v>16674.047999999999</v>
      </c>
      <c r="E32" s="303">
        <v>0</v>
      </c>
      <c r="F32" s="303">
        <v>16674.047999999999</v>
      </c>
      <c r="G32" s="303">
        <v>16674.047999999999</v>
      </c>
    </row>
    <row r="33" spans="1:7" x14ac:dyDescent="0.25">
      <c r="A33" s="302">
        <v>60120300</v>
      </c>
      <c r="B33" s="302" t="s">
        <v>150</v>
      </c>
      <c r="C33" s="303">
        <v>185288.78</v>
      </c>
      <c r="D33" s="303">
        <v>314471.74</v>
      </c>
      <c r="E33" s="303">
        <v>185288.78</v>
      </c>
      <c r="F33" s="303">
        <v>129182.96</v>
      </c>
      <c r="G33" s="303">
        <v>314471.74</v>
      </c>
    </row>
    <row r="34" spans="1:7" x14ac:dyDescent="0.25">
      <c r="A34" s="302">
        <v>60120400</v>
      </c>
      <c r="B34" s="302" t="s">
        <v>365</v>
      </c>
      <c r="C34" s="303">
        <v>25120.1</v>
      </c>
      <c r="D34" s="303">
        <v>0</v>
      </c>
      <c r="E34" s="303">
        <v>25120.1</v>
      </c>
      <c r="F34" s="303">
        <v>-25120.1</v>
      </c>
      <c r="G34" s="303">
        <v>0</v>
      </c>
    </row>
    <row r="35" spans="1:7" x14ac:dyDescent="0.25">
      <c r="A35" s="302">
        <v>60122100</v>
      </c>
      <c r="B35" s="302" t="s">
        <v>155</v>
      </c>
      <c r="C35" s="303">
        <v>-17010</v>
      </c>
      <c r="D35" s="303">
        <v>17010</v>
      </c>
      <c r="E35" s="303">
        <v>0</v>
      </c>
      <c r="F35" s="303">
        <v>17010</v>
      </c>
      <c r="G35" s="303">
        <v>0</v>
      </c>
    </row>
    <row r="36" spans="1:7" x14ac:dyDescent="0.25">
      <c r="A36" s="302">
        <v>60122200</v>
      </c>
      <c r="B36" s="302" t="s">
        <v>156</v>
      </c>
      <c r="C36" s="303">
        <v>17352.3</v>
      </c>
      <c r="D36" s="303">
        <v>0</v>
      </c>
      <c r="E36" s="303">
        <v>17352.3</v>
      </c>
      <c r="F36" s="303">
        <v>-17352.3</v>
      </c>
      <c r="G36" s="303">
        <v>0</v>
      </c>
    </row>
    <row r="37" spans="1:7" x14ac:dyDescent="0.25">
      <c r="A37" s="302">
        <v>60173000</v>
      </c>
      <c r="B37" s="302" t="s">
        <v>170</v>
      </c>
      <c r="C37" s="303">
        <v>4926.3500000000004</v>
      </c>
      <c r="D37" s="303">
        <v>0</v>
      </c>
      <c r="E37" s="303">
        <v>4926.3500000000004</v>
      </c>
      <c r="F37" s="303">
        <v>-4926.3500000000004</v>
      </c>
      <c r="G37" s="303">
        <v>0</v>
      </c>
    </row>
    <row r="38" spans="1:7" x14ac:dyDescent="0.25">
      <c r="A38" s="302">
        <v>60260400</v>
      </c>
      <c r="B38" s="302" t="s">
        <v>161</v>
      </c>
      <c r="C38" s="303">
        <v>5940</v>
      </c>
      <c r="D38" s="303">
        <v>0</v>
      </c>
      <c r="E38" s="303">
        <v>5940</v>
      </c>
      <c r="F38" s="303">
        <v>-5940</v>
      </c>
      <c r="G38" s="303">
        <v>0</v>
      </c>
    </row>
    <row r="39" spans="1:7" x14ac:dyDescent="0.25">
      <c r="A39" s="302">
        <v>60260700</v>
      </c>
      <c r="B39" s="302" t="s">
        <v>163</v>
      </c>
      <c r="C39" s="303">
        <v>0</v>
      </c>
      <c r="D39" s="303">
        <v>4125</v>
      </c>
      <c r="E39" s="303">
        <v>0</v>
      </c>
      <c r="F39" s="303">
        <v>4125</v>
      </c>
      <c r="G39" s="303">
        <v>4125</v>
      </c>
    </row>
    <row r="40" spans="1:7" x14ac:dyDescent="0.25">
      <c r="A40" s="302">
        <v>60262000</v>
      </c>
      <c r="B40" s="302" t="s">
        <v>164</v>
      </c>
      <c r="C40" s="303">
        <v>1870</v>
      </c>
      <c r="D40" s="303">
        <v>0</v>
      </c>
      <c r="E40" s="303">
        <v>1870</v>
      </c>
      <c r="F40" s="303">
        <v>-1870</v>
      </c>
      <c r="G40" s="303">
        <v>0</v>
      </c>
    </row>
    <row r="41" spans="1:7" x14ac:dyDescent="0.25">
      <c r="A41" s="302">
        <v>60263000</v>
      </c>
      <c r="B41" s="302" t="s">
        <v>165</v>
      </c>
      <c r="C41" s="303">
        <v>0</v>
      </c>
      <c r="D41" s="303">
        <v>526.06299999999999</v>
      </c>
      <c r="E41" s="303">
        <v>0</v>
      </c>
      <c r="F41" s="303">
        <v>526.06299999999999</v>
      </c>
      <c r="G41" s="303">
        <v>526.06299999999999</v>
      </c>
    </row>
    <row r="42" spans="1:7" x14ac:dyDescent="0.25">
      <c r="A42" s="302">
        <v>60310000</v>
      </c>
      <c r="B42" s="302" t="s">
        <v>265</v>
      </c>
      <c r="C42" s="303">
        <v>-10236706.575999999</v>
      </c>
      <c r="D42" s="303">
        <v>10236706.575999999</v>
      </c>
      <c r="E42" s="304">
        <v>10534048.323999999</v>
      </c>
      <c r="F42" s="303">
        <v>-297341.74800000002</v>
      </c>
      <c r="G42" s="303">
        <v>-10534048.323999999</v>
      </c>
    </row>
    <row r="43" spans="1:7" x14ac:dyDescent="0.25">
      <c r="A43" s="302">
        <v>60330000</v>
      </c>
      <c r="B43" s="302" t="s">
        <v>266</v>
      </c>
      <c r="C43" s="303">
        <v>-596194.15399999998</v>
      </c>
      <c r="D43" s="303">
        <v>596194.15399999998</v>
      </c>
      <c r="E43" s="304">
        <v>657159.81599999999</v>
      </c>
      <c r="F43" s="303">
        <v>-60965.661999999997</v>
      </c>
      <c r="G43" s="303">
        <v>-657159.81599999999</v>
      </c>
    </row>
    <row r="44" spans="1:7" x14ac:dyDescent="0.25">
      <c r="A44" s="302">
        <v>60502000</v>
      </c>
      <c r="B44" s="302" t="s">
        <v>167</v>
      </c>
      <c r="C44" s="303">
        <v>21278</v>
      </c>
      <c r="D44" s="303">
        <v>42468.546000000002</v>
      </c>
      <c r="E44" s="303">
        <v>21278</v>
      </c>
      <c r="F44" s="303">
        <v>21190.545999999998</v>
      </c>
      <c r="G44" s="303">
        <v>42468.546000000002</v>
      </c>
    </row>
    <row r="45" spans="1:7" x14ac:dyDescent="0.25">
      <c r="A45" s="302">
        <v>60650000</v>
      </c>
      <c r="B45" s="302" t="s">
        <v>373</v>
      </c>
      <c r="C45" s="303">
        <v>0</v>
      </c>
      <c r="D45" s="303">
        <v>1380</v>
      </c>
      <c r="E45" s="303">
        <v>0</v>
      </c>
      <c r="F45" s="303">
        <v>1380</v>
      </c>
      <c r="G45" s="303">
        <v>1380</v>
      </c>
    </row>
    <row r="46" spans="1:7" x14ac:dyDescent="0.25">
      <c r="A46" s="302">
        <v>61500000</v>
      </c>
      <c r="B46" s="302" t="s">
        <v>176</v>
      </c>
      <c r="C46" s="303">
        <v>4703.3609999999999</v>
      </c>
      <c r="D46" s="303">
        <v>15315.892</v>
      </c>
      <c r="E46" s="303">
        <v>4703.3609999999999</v>
      </c>
      <c r="F46" s="303">
        <v>10612.531000000001</v>
      </c>
      <c r="G46" s="303">
        <v>15315.892</v>
      </c>
    </row>
    <row r="47" spans="1:7" x14ac:dyDescent="0.25">
      <c r="A47" s="302">
        <v>61501000</v>
      </c>
      <c r="B47" s="302" t="s">
        <v>177</v>
      </c>
      <c r="C47" s="303">
        <v>0</v>
      </c>
      <c r="D47" s="303">
        <v>1190</v>
      </c>
      <c r="E47" s="303">
        <v>0</v>
      </c>
      <c r="F47" s="303">
        <v>1190</v>
      </c>
      <c r="G47" s="303">
        <v>1190</v>
      </c>
    </row>
    <row r="48" spans="1:7" x14ac:dyDescent="0.25">
      <c r="A48" s="302">
        <v>61603000</v>
      </c>
      <c r="B48" s="302" t="s">
        <v>178</v>
      </c>
      <c r="C48" s="303">
        <v>2450.7930000000001</v>
      </c>
      <c r="D48" s="303">
        <v>2450.7930000000001</v>
      </c>
      <c r="E48" s="303">
        <v>0</v>
      </c>
      <c r="F48" s="303">
        <v>2450.7930000000001</v>
      </c>
      <c r="G48" s="303">
        <v>4901.5860000000002</v>
      </c>
    </row>
    <row r="49" spans="1:7" x14ac:dyDescent="0.25">
      <c r="A49" s="302">
        <v>61607000</v>
      </c>
      <c r="B49" s="302" t="s">
        <v>179</v>
      </c>
      <c r="C49" s="303">
        <v>-13503.6</v>
      </c>
      <c r="D49" s="303">
        <v>1227.5999999999999</v>
      </c>
      <c r="E49" s="303">
        <v>0</v>
      </c>
      <c r="F49" s="303">
        <v>1227.5999999999999</v>
      </c>
      <c r="G49" s="303">
        <v>-12276</v>
      </c>
    </row>
    <row r="50" spans="1:7" x14ac:dyDescent="0.25">
      <c r="A50" s="302">
        <v>62200000</v>
      </c>
      <c r="B50" s="302" t="s">
        <v>181</v>
      </c>
      <c r="C50" s="303">
        <v>1490</v>
      </c>
      <c r="D50" s="303">
        <v>243.333</v>
      </c>
      <c r="E50" s="303">
        <v>0</v>
      </c>
      <c r="F50" s="303">
        <v>243.333</v>
      </c>
      <c r="G50" s="303">
        <v>1733.3330000000001</v>
      </c>
    </row>
    <row r="51" spans="1:7" x14ac:dyDescent="0.25">
      <c r="A51" s="302">
        <v>62240000</v>
      </c>
      <c r="B51" s="302" t="s">
        <v>267</v>
      </c>
      <c r="C51" s="303">
        <v>2782.5239999999999</v>
      </c>
      <c r="D51" s="303">
        <v>2782.5239999999999</v>
      </c>
      <c r="E51" s="303">
        <v>0</v>
      </c>
      <c r="F51" s="303">
        <v>2782.5239999999999</v>
      </c>
      <c r="G51" s="303">
        <v>5565.0479999999998</v>
      </c>
    </row>
    <row r="52" spans="1:7" x14ac:dyDescent="0.25">
      <c r="A52" s="302">
        <v>62250000</v>
      </c>
      <c r="B52" s="302" t="s">
        <v>268</v>
      </c>
      <c r="C52" s="303">
        <v>5000</v>
      </c>
      <c r="D52" s="303">
        <v>5000</v>
      </c>
      <c r="E52" s="303">
        <v>0</v>
      </c>
      <c r="F52" s="303">
        <v>5000</v>
      </c>
      <c r="G52" s="303">
        <v>10000</v>
      </c>
    </row>
    <row r="53" spans="1:7" x14ac:dyDescent="0.25">
      <c r="A53" s="302">
        <v>62300000</v>
      </c>
      <c r="B53" s="302" t="s">
        <v>182</v>
      </c>
      <c r="C53" s="303">
        <v>7500</v>
      </c>
      <c r="D53" s="303">
        <v>7500</v>
      </c>
      <c r="E53" s="303">
        <v>0</v>
      </c>
      <c r="F53" s="303">
        <v>7500</v>
      </c>
      <c r="G53" s="303">
        <v>15000</v>
      </c>
    </row>
    <row r="54" spans="1:7" x14ac:dyDescent="0.25">
      <c r="A54" s="302">
        <v>62780000</v>
      </c>
      <c r="B54" s="302" t="s">
        <v>189</v>
      </c>
      <c r="C54" s="303">
        <v>13350.088</v>
      </c>
      <c r="D54" s="303">
        <v>13350.088</v>
      </c>
      <c r="E54" s="303">
        <v>0</v>
      </c>
      <c r="F54" s="303">
        <v>13350.088</v>
      </c>
      <c r="G54" s="303">
        <v>26700.175999999999</v>
      </c>
    </row>
    <row r="55" spans="1:7" x14ac:dyDescent="0.25">
      <c r="A55" s="302">
        <v>63300000</v>
      </c>
      <c r="B55" s="302" t="s">
        <v>269</v>
      </c>
      <c r="C55" s="303">
        <v>10416.665999999999</v>
      </c>
      <c r="D55" s="303">
        <v>10416.665999999999</v>
      </c>
      <c r="E55" s="303">
        <v>0</v>
      </c>
      <c r="F55" s="303">
        <v>10416.665999999999</v>
      </c>
      <c r="G55" s="303">
        <v>20833.331999999999</v>
      </c>
    </row>
    <row r="56" spans="1:7" x14ac:dyDescent="0.25">
      <c r="A56" s="302">
        <v>64001000</v>
      </c>
      <c r="B56" s="302" t="s">
        <v>191</v>
      </c>
      <c r="C56" s="303">
        <v>25606.931</v>
      </c>
      <c r="D56" s="303">
        <v>25606.931</v>
      </c>
      <c r="E56" s="303">
        <v>0</v>
      </c>
      <c r="F56" s="303">
        <v>25606.931</v>
      </c>
      <c r="G56" s="303">
        <v>51213.862000000001</v>
      </c>
    </row>
    <row r="57" spans="1:7" x14ac:dyDescent="0.25">
      <c r="A57" s="302">
        <v>64720000</v>
      </c>
      <c r="B57" s="302" t="s">
        <v>194</v>
      </c>
      <c r="C57" s="303">
        <v>32544.788</v>
      </c>
      <c r="D57" s="303">
        <v>32544.788</v>
      </c>
      <c r="E57" s="303">
        <v>0</v>
      </c>
      <c r="F57" s="303">
        <v>32544.788</v>
      </c>
      <c r="G57" s="303">
        <v>65089.576000000001</v>
      </c>
    </row>
    <row r="58" spans="1:7" x14ac:dyDescent="0.25">
      <c r="A58" s="302">
        <v>65110200</v>
      </c>
      <c r="B58" s="302" t="s">
        <v>196</v>
      </c>
      <c r="C58" s="303">
        <v>25890.741000000002</v>
      </c>
      <c r="D58" s="303">
        <v>25890.741000000002</v>
      </c>
      <c r="E58" s="303">
        <v>0</v>
      </c>
      <c r="F58" s="303">
        <v>25890.741000000002</v>
      </c>
      <c r="G58" s="303">
        <v>51781.482000000004</v>
      </c>
    </row>
    <row r="59" spans="1:7" x14ac:dyDescent="0.25">
      <c r="A59" s="302">
        <v>65110400</v>
      </c>
      <c r="B59" s="302" t="s">
        <v>197</v>
      </c>
      <c r="C59" s="303">
        <v>15076.053</v>
      </c>
      <c r="D59" s="303">
        <v>15076.053</v>
      </c>
      <c r="E59" s="303">
        <v>0</v>
      </c>
      <c r="F59" s="303">
        <v>15076.053</v>
      </c>
      <c r="G59" s="303">
        <v>30152.106</v>
      </c>
    </row>
    <row r="60" spans="1:7" x14ac:dyDescent="0.25">
      <c r="A60" s="302">
        <v>65150000</v>
      </c>
      <c r="B60" s="302" t="s">
        <v>270</v>
      </c>
      <c r="C60" s="303">
        <v>9186.8490000000002</v>
      </c>
      <c r="D60" s="303">
        <v>13286.575999999999</v>
      </c>
      <c r="E60" s="303">
        <v>0</v>
      </c>
      <c r="F60" s="303">
        <v>13286.575999999999</v>
      </c>
      <c r="G60" s="303">
        <v>22473.424999999999</v>
      </c>
    </row>
    <row r="61" spans="1:7" x14ac:dyDescent="0.25">
      <c r="A61" s="302">
        <v>65190000</v>
      </c>
      <c r="B61" s="302" t="s">
        <v>198</v>
      </c>
      <c r="C61" s="303">
        <v>30038.761999999999</v>
      </c>
      <c r="D61" s="303">
        <v>30038.761999999999</v>
      </c>
      <c r="E61" s="303">
        <v>0</v>
      </c>
      <c r="F61" s="303">
        <v>30038.761999999999</v>
      </c>
      <c r="G61" s="303">
        <v>60077.523999999998</v>
      </c>
    </row>
    <row r="62" spans="1:7" x14ac:dyDescent="0.25">
      <c r="A62" s="302">
        <v>66520000</v>
      </c>
      <c r="B62" s="302" t="s">
        <v>200</v>
      </c>
      <c r="C62" s="303">
        <v>7288.7920000000004</v>
      </c>
      <c r="D62" s="303">
        <v>7273.0469999999996</v>
      </c>
      <c r="E62" s="303">
        <v>7288.7920000000004</v>
      </c>
      <c r="F62" s="303">
        <v>-15.744999999999999</v>
      </c>
      <c r="G62" s="303">
        <v>7273.0469999999996</v>
      </c>
    </row>
    <row r="63" spans="1:7" x14ac:dyDescent="0.25">
      <c r="A63" s="302">
        <v>66550000</v>
      </c>
      <c r="B63" s="302" t="s">
        <v>202</v>
      </c>
      <c r="C63" s="303">
        <v>900</v>
      </c>
      <c r="D63" s="303">
        <v>900</v>
      </c>
      <c r="E63" s="303">
        <v>0</v>
      </c>
      <c r="F63" s="303">
        <v>900</v>
      </c>
      <c r="G63" s="303">
        <v>1800</v>
      </c>
    </row>
    <row r="64" spans="1:7" x14ac:dyDescent="0.25">
      <c r="A64" s="302">
        <v>68112000</v>
      </c>
      <c r="B64" s="302" t="s">
        <v>7390</v>
      </c>
      <c r="C64" s="303">
        <v>194951.99900000001</v>
      </c>
      <c r="D64" s="303">
        <v>181003.386</v>
      </c>
      <c r="E64" s="303">
        <v>0</v>
      </c>
      <c r="F64" s="303">
        <v>181003.386</v>
      </c>
      <c r="G64" s="303">
        <v>375955.38500000001</v>
      </c>
    </row>
    <row r="65" spans="1:7" x14ac:dyDescent="0.25">
      <c r="A65" s="302">
        <v>70000000</v>
      </c>
      <c r="B65" s="302" t="s">
        <v>205</v>
      </c>
      <c r="C65" s="303">
        <v>-17408.8</v>
      </c>
      <c r="D65" s="303">
        <v>17408.8</v>
      </c>
      <c r="E65" s="303">
        <v>65310.438000000002</v>
      </c>
      <c r="F65" s="303">
        <v>-47901.637999999999</v>
      </c>
      <c r="G65" s="303">
        <v>-65310.438000000002</v>
      </c>
    </row>
    <row r="66" spans="1:7" x14ac:dyDescent="0.25">
      <c r="A66" s="302">
        <v>70600500</v>
      </c>
      <c r="B66" s="302" t="s">
        <v>208</v>
      </c>
      <c r="C66" s="303">
        <v>-3219.3</v>
      </c>
      <c r="D66" s="303">
        <v>0</v>
      </c>
      <c r="E66" s="303">
        <v>3219.3</v>
      </c>
      <c r="F66" s="303">
        <v>-3219.3</v>
      </c>
      <c r="G66" s="303">
        <v>-6438.6</v>
      </c>
    </row>
    <row r="67" spans="1:7" x14ac:dyDescent="0.25">
      <c r="A67" s="302">
        <v>71340000</v>
      </c>
      <c r="B67" s="302" t="s">
        <v>382</v>
      </c>
      <c r="C67" s="303">
        <v>-4095943.7609999999</v>
      </c>
      <c r="D67" s="303">
        <v>4095943.7609999999</v>
      </c>
      <c r="E67" s="303">
        <v>0</v>
      </c>
      <c r="F67" s="303">
        <v>4095943.7609999999</v>
      </c>
      <c r="G67" s="303">
        <v>0</v>
      </c>
    </row>
    <row r="68" spans="1:7" x14ac:dyDescent="0.25">
      <c r="A68" s="302">
        <v>71350000</v>
      </c>
      <c r="B68" s="302" t="s">
        <v>209</v>
      </c>
      <c r="C68" s="303">
        <v>0</v>
      </c>
      <c r="D68" s="303">
        <v>0</v>
      </c>
      <c r="E68" s="303">
        <v>3902410.4849999999</v>
      </c>
      <c r="F68" s="303">
        <v>-3902410.4849999999</v>
      </c>
      <c r="G68" s="303">
        <v>-3902410.4849999999</v>
      </c>
    </row>
    <row r="69" spans="1:7" x14ac:dyDescent="0.25">
      <c r="A69" s="302">
        <v>73900000</v>
      </c>
      <c r="B69" s="302" t="s">
        <v>213</v>
      </c>
      <c r="C69" s="303">
        <v>-21896.933000000001</v>
      </c>
      <c r="D69" s="303">
        <v>0</v>
      </c>
      <c r="E69" s="303">
        <v>21896.933000000001</v>
      </c>
      <c r="F69" s="303">
        <v>-21896.933000000001</v>
      </c>
      <c r="G69" s="303">
        <v>-43793.866000000002</v>
      </c>
    </row>
    <row r="70" spans="1:7" x14ac:dyDescent="0.25">
      <c r="A70" s="302"/>
      <c r="B70" s="302"/>
      <c r="C70" s="303">
        <f>SUM(C2:C69)</f>
        <v>-2.1354935597628355E-9</v>
      </c>
      <c r="D70" s="303">
        <f>SUM(D2:D69)</f>
        <v>31192424.846999999</v>
      </c>
      <c r="E70" s="303">
        <f>SUM(E2:E69)</f>
        <v>31192424.846999995</v>
      </c>
      <c r="F70" s="303">
        <f t="shared" ref="F70" si="0">+D70-E70</f>
        <v>0</v>
      </c>
      <c r="G70" s="303">
        <f t="shared" ref="G70" si="1">+C70+F70</f>
        <v>-2.1354935597628355E-9</v>
      </c>
    </row>
    <row r="71" spans="1:7" x14ac:dyDescent="0.25">
      <c r="A71" s="302"/>
      <c r="B71" s="302"/>
      <c r="C71" s="303"/>
      <c r="D71" s="303"/>
      <c r="E71" s="303"/>
      <c r="F71" s="303"/>
      <c r="G71" s="303"/>
    </row>
    <row r="72" spans="1:7" x14ac:dyDescent="0.25">
      <c r="A72" s="302"/>
      <c r="B72" s="302"/>
      <c r="C72" s="303"/>
      <c r="D72" s="303"/>
      <c r="E72" s="303"/>
      <c r="F72" s="303"/>
      <c r="G72" s="30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K303"/>
  <sheetViews>
    <sheetView workbookViewId="0">
      <pane ySplit="1" topLeftCell="A259" activePane="bottomLeft" state="frozen"/>
      <selection pane="bottomLeft" activeCell="C288" sqref="C288"/>
    </sheetView>
  </sheetViews>
  <sheetFormatPr baseColWidth="10" defaultColWidth="11.42578125" defaultRowHeight="11.25" x14ac:dyDescent="0.2"/>
  <cols>
    <col min="1" max="1" width="14.42578125" style="302" bestFit="1" customWidth="1"/>
    <col min="2" max="2" width="23.7109375" style="302" bestFit="1" customWidth="1"/>
    <col min="3" max="3" width="15.140625" style="305" bestFit="1" customWidth="1"/>
    <col min="4" max="5" width="11.42578125" style="305" bestFit="1" customWidth="1"/>
    <col min="6" max="6" width="12.7109375" style="305" bestFit="1" customWidth="1"/>
    <col min="7" max="7" width="13.5703125" style="305" bestFit="1" customWidth="1"/>
    <col min="8" max="8" width="13.140625" style="305" bestFit="1" customWidth="1"/>
    <col min="9" max="9" width="13.28515625" style="305" bestFit="1" customWidth="1"/>
    <col min="10" max="10" width="25" style="302" customWidth="1"/>
    <col min="11" max="16384" width="11.42578125" style="302"/>
  </cols>
  <sheetData>
    <row r="1" spans="1:10" x14ac:dyDescent="0.2">
      <c r="A1" s="6" t="s">
        <v>1</v>
      </c>
      <c r="B1" s="6" t="s">
        <v>0</v>
      </c>
      <c r="C1" s="7" t="s">
        <v>5</v>
      </c>
      <c r="D1" s="7" t="s">
        <v>2</v>
      </c>
      <c r="E1" s="7" t="s">
        <v>260</v>
      </c>
      <c r="F1" s="7" t="s">
        <v>218</v>
      </c>
      <c r="G1" s="7" t="s">
        <v>219</v>
      </c>
      <c r="H1" s="7" t="s">
        <v>6</v>
      </c>
      <c r="I1" s="7" t="s">
        <v>217</v>
      </c>
      <c r="J1" s="6" t="s">
        <v>384</v>
      </c>
    </row>
    <row r="2" spans="1:10" x14ac:dyDescent="0.2">
      <c r="A2" s="10">
        <v>10100000</v>
      </c>
      <c r="B2" s="10" t="s">
        <v>7</v>
      </c>
      <c r="C2" s="11">
        <v>-13500000</v>
      </c>
      <c r="D2" s="11">
        <v>0</v>
      </c>
      <c r="E2" s="11">
        <v>0</v>
      </c>
      <c r="F2" s="13">
        <f>SUMIF('OD 02-23'!A:A,A2,'OD 02-23'!D:D)</f>
        <v>0</v>
      </c>
      <c r="G2" s="13">
        <f>SUMIF('OD 02-23'!A:A,A2,'OD 02-23'!E:E)</f>
        <v>0</v>
      </c>
      <c r="H2" s="14">
        <f t="shared" ref="H2:H65" si="0">+D2+F2-E2-G2</f>
        <v>0</v>
      </c>
      <c r="I2" s="14">
        <f t="shared" ref="I2:I65" si="1">+H2+C2</f>
        <v>-13500000</v>
      </c>
      <c r="J2" s="8" t="s">
        <v>8</v>
      </c>
    </row>
    <row r="3" spans="1:10" x14ac:dyDescent="0.2">
      <c r="A3" s="10">
        <v>11101000</v>
      </c>
      <c r="B3" s="10" t="s">
        <v>9</v>
      </c>
      <c r="C3" s="11">
        <v>-1200000</v>
      </c>
      <c r="D3" s="11">
        <v>0</v>
      </c>
      <c r="E3" s="11">
        <v>0</v>
      </c>
      <c r="F3" s="13">
        <f>SUMIF('OD 02-23'!A:A,A3,'OD 02-23'!D:D)</f>
        <v>0</v>
      </c>
      <c r="G3" s="13">
        <f>SUMIF('OD 02-23'!A:A,A3,'OD 02-23'!E:E)</f>
        <v>0</v>
      </c>
      <c r="H3" s="14">
        <f t="shared" si="0"/>
        <v>0</v>
      </c>
      <c r="I3" s="14">
        <f t="shared" si="1"/>
        <v>-1200000</v>
      </c>
      <c r="J3" s="8" t="s">
        <v>10</v>
      </c>
    </row>
    <row r="4" spans="1:10" x14ac:dyDescent="0.2">
      <c r="A4" s="10">
        <v>12100000</v>
      </c>
      <c r="B4" s="10" t="s">
        <v>11</v>
      </c>
      <c r="C4" s="11">
        <v>-18559399.048645001</v>
      </c>
      <c r="D4" s="11">
        <v>0</v>
      </c>
      <c r="E4" s="11">
        <v>0</v>
      </c>
      <c r="F4" s="13">
        <f>SUMIF('OD 02-23'!A:A,A4,'OD 02-23'!D:D)</f>
        <v>0</v>
      </c>
      <c r="G4" s="13">
        <f>SUMIF('OD 02-23'!A:A,A4,'OD 02-23'!E:E)</f>
        <v>0</v>
      </c>
      <c r="H4" s="14">
        <f t="shared" si="0"/>
        <v>0</v>
      </c>
      <c r="I4" s="14">
        <f t="shared" si="1"/>
        <v>-18559399.048645001</v>
      </c>
      <c r="J4" s="8" t="s">
        <v>12</v>
      </c>
    </row>
    <row r="5" spans="1:10" x14ac:dyDescent="0.2">
      <c r="A5" s="10">
        <v>12200000</v>
      </c>
      <c r="B5" s="10" t="s">
        <v>272</v>
      </c>
      <c r="C5" s="11">
        <v>0</v>
      </c>
      <c r="D5" s="11">
        <v>0</v>
      </c>
      <c r="E5" s="11">
        <v>0</v>
      </c>
      <c r="F5" s="13">
        <f>SUMIF('OD 02-23'!A:A,A5,'OD 02-23'!D:D)</f>
        <v>0</v>
      </c>
      <c r="G5" s="13">
        <f>SUMIF('OD 02-23'!A:A,A5,'OD 02-23'!E:E)</f>
        <v>0</v>
      </c>
      <c r="H5" s="14">
        <f t="shared" si="0"/>
        <v>0</v>
      </c>
      <c r="I5" s="14">
        <f t="shared" si="1"/>
        <v>0</v>
      </c>
      <c r="J5" s="8"/>
    </row>
    <row r="6" spans="1:10" x14ac:dyDescent="0.2">
      <c r="A6" s="10">
        <v>12800000</v>
      </c>
      <c r="B6" s="10" t="s">
        <v>13</v>
      </c>
      <c r="C6" s="11">
        <v>3022190.1950000003</v>
      </c>
      <c r="D6" s="11">
        <v>0</v>
      </c>
      <c r="E6" s="11">
        <v>0</v>
      </c>
      <c r="F6" s="13">
        <f>SUMIF('OD 02-23'!A:A,A6,'OD 02-23'!D:D)</f>
        <v>0</v>
      </c>
      <c r="G6" s="13">
        <f>SUMIF('OD 02-23'!A:A,A6,'OD 02-23'!E:E)</f>
        <v>0</v>
      </c>
      <c r="H6" s="14">
        <f t="shared" si="0"/>
        <v>0</v>
      </c>
      <c r="I6" s="14">
        <f t="shared" si="1"/>
        <v>3022190.1950000003</v>
      </c>
      <c r="J6" s="8" t="s">
        <v>14</v>
      </c>
    </row>
    <row r="7" spans="1:10" x14ac:dyDescent="0.2">
      <c r="A7" s="10">
        <v>13000000</v>
      </c>
      <c r="B7" s="10" t="s">
        <v>273</v>
      </c>
      <c r="C7" s="11">
        <v>0</v>
      </c>
      <c r="D7" s="11">
        <v>0</v>
      </c>
      <c r="E7" s="11">
        <v>0</v>
      </c>
      <c r="F7" s="13">
        <f>SUMIF('OD 02-23'!A:A,A7,'OD 02-23'!D:D)</f>
        <v>0</v>
      </c>
      <c r="G7" s="13">
        <f>SUMIF('OD 02-23'!A:A,A7,'OD 02-23'!E:E)</f>
        <v>0</v>
      </c>
      <c r="H7" s="14">
        <f t="shared" si="0"/>
        <v>0</v>
      </c>
      <c r="I7" s="14">
        <f t="shared" si="1"/>
        <v>0</v>
      </c>
      <c r="J7" s="8"/>
    </row>
    <row r="8" spans="1:10" x14ac:dyDescent="0.2">
      <c r="A8" s="10">
        <v>14500000</v>
      </c>
      <c r="B8" s="10" t="s">
        <v>15</v>
      </c>
      <c r="C8" s="11">
        <v>-3479108.84</v>
      </c>
      <c r="D8" s="11">
        <v>0</v>
      </c>
      <c r="E8" s="11">
        <v>0</v>
      </c>
      <c r="F8" s="13">
        <f>SUMIF('OD 02-23'!A:A,A8,'OD 02-23'!D:D)</f>
        <v>0</v>
      </c>
      <c r="G8" s="13">
        <f>SUMIF('OD 02-23'!A:A,A8,'OD 02-23'!E:E)</f>
        <v>0</v>
      </c>
      <c r="H8" s="14">
        <f t="shared" si="0"/>
        <v>0</v>
      </c>
      <c r="I8" s="14">
        <f t="shared" si="1"/>
        <v>-3479108.84</v>
      </c>
      <c r="J8" s="8" t="s">
        <v>16</v>
      </c>
    </row>
    <row r="9" spans="1:10" x14ac:dyDescent="0.2">
      <c r="A9" s="10">
        <v>14508000</v>
      </c>
      <c r="B9" s="10" t="s">
        <v>17</v>
      </c>
      <c r="C9" s="11">
        <v>2378667.0310000004</v>
      </c>
      <c r="D9" s="11">
        <v>0</v>
      </c>
      <c r="E9" s="11">
        <v>0</v>
      </c>
      <c r="F9" s="13">
        <f>SUMIF('OD 02-23'!A:A,A9,'OD 02-23'!D:D)</f>
        <v>21896.933000000001</v>
      </c>
      <c r="G9" s="13">
        <f>SUMIF('OD 02-23'!A:A,A9,'OD 02-23'!E:E)</f>
        <v>0</v>
      </c>
      <c r="H9" s="14">
        <f t="shared" si="0"/>
        <v>21896.933000000001</v>
      </c>
      <c r="I9" s="14">
        <f t="shared" si="1"/>
        <v>2400563.9640000006</v>
      </c>
      <c r="J9" s="8" t="s">
        <v>18</v>
      </c>
    </row>
    <row r="10" spans="1:10" x14ac:dyDescent="0.2">
      <c r="A10" s="10">
        <v>15100000</v>
      </c>
      <c r="B10" s="10" t="s">
        <v>19</v>
      </c>
      <c r="C10" s="11">
        <v>-22564.956000000006</v>
      </c>
      <c r="D10" s="11">
        <v>0</v>
      </c>
      <c r="E10" s="11">
        <v>0</v>
      </c>
      <c r="F10" s="13">
        <f>SUMIF('OD 02-23'!A:A,A10,'OD 02-23'!D:D)</f>
        <v>0</v>
      </c>
      <c r="G10" s="13">
        <f>SUMIF('OD 02-23'!A:A,A10,'OD 02-23'!E:E)</f>
        <v>0</v>
      </c>
      <c r="H10" s="14">
        <f t="shared" si="0"/>
        <v>0</v>
      </c>
      <c r="I10" s="14">
        <f t="shared" si="1"/>
        <v>-22564.956000000006</v>
      </c>
      <c r="J10" s="8" t="s">
        <v>20</v>
      </c>
    </row>
    <row r="11" spans="1:10" x14ac:dyDescent="0.2">
      <c r="A11" s="10">
        <v>16210250</v>
      </c>
      <c r="B11" s="10" t="s">
        <v>274</v>
      </c>
      <c r="C11" s="11">
        <v>0</v>
      </c>
      <c r="D11" s="11">
        <v>0</v>
      </c>
      <c r="E11" s="11">
        <v>0</v>
      </c>
      <c r="F11" s="13">
        <f>SUMIF('OD 02-23'!A:A,A11,'OD 02-23'!D:D)</f>
        <v>0</v>
      </c>
      <c r="G11" s="13">
        <f>SUMIF('OD 02-23'!A:A,A11,'OD 02-23'!E:E)</f>
        <v>0</v>
      </c>
      <c r="H11" s="14">
        <f t="shared" si="0"/>
        <v>0</v>
      </c>
      <c r="I11" s="14">
        <f t="shared" si="1"/>
        <v>0</v>
      </c>
      <c r="J11" s="8"/>
    </row>
    <row r="12" spans="1:10" x14ac:dyDescent="0.2">
      <c r="A12" s="10">
        <v>16210500</v>
      </c>
      <c r="B12" s="10" t="s">
        <v>21</v>
      </c>
      <c r="C12" s="11">
        <v>-1041666.6629999988</v>
      </c>
      <c r="D12" s="11">
        <v>0</v>
      </c>
      <c r="E12" s="11">
        <v>0</v>
      </c>
      <c r="F12" s="13">
        <f>SUMIF('OD 02-23'!A:A,A12,'OD 02-23'!D:D)</f>
        <v>0</v>
      </c>
      <c r="G12" s="13">
        <f>SUMIF('OD 02-23'!A:A,A12,'OD 02-23'!E:E)</f>
        <v>0</v>
      </c>
      <c r="H12" s="14">
        <f t="shared" si="0"/>
        <v>0</v>
      </c>
      <c r="I12" s="14">
        <f t="shared" si="1"/>
        <v>-1041666.6629999988</v>
      </c>
      <c r="J12" s="8" t="s">
        <v>22</v>
      </c>
    </row>
    <row r="13" spans="1:10" x14ac:dyDescent="0.2">
      <c r="A13" s="10">
        <v>16210960</v>
      </c>
      <c r="B13" s="10" t="s">
        <v>275</v>
      </c>
      <c r="C13" s="11">
        <v>0</v>
      </c>
      <c r="D13" s="11">
        <v>0</v>
      </c>
      <c r="E13" s="11">
        <v>0</v>
      </c>
      <c r="F13" s="13">
        <f>SUMIF('OD 02-23'!A:A,A13,'OD 02-23'!D:D)</f>
        <v>0</v>
      </c>
      <c r="G13" s="13">
        <f>SUMIF('OD 02-23'!A:A,A13,'OD 02-23'!E:E)</f>
        <v>0</v>
      </c>
      <c r="H13" s="14">
        <f t="shared" si="0"/>
        <v>0</v>
      </c>
      <c r="I13" s="14">
        <f t="shared" si="1"/>
        <v>0</v>
      </c>
      <c r="J13" s="8"/>
    </row>
    <row r="14" spans="1:10" x14ac:dyDescent="0.2">
      <c r="A14" s="10">
        <v>16400000</v>
      </c>
      <c r="B14" s="10" t="s">
        <v>276</v>
      </c>
      <c r="C14" s="11">
        <v>-173470.93400000024</v>
      </c>
      <c r="D14" s="11">
        <v>0</v>
      </c>
      <c r="E14" s="11">
        <v>0</v>
      </c>
      <c r="F14" s="13">
        <f>SUMIF('OD 02-23'!A:A,A14,'OD 02-23'!D:D)</f>
        <v>0</v>
      </c>
      <c r="G14" s="13">
        <f>SUMIF('OD 02-23'!A:A,A14,'OD 02-23'!E:E)</f>
        <v>0</v>
      </c>
      <c r="H14" s="14">
        <f t="shared" si="0"/>
        <v>0</v>
      </c>
      <c r="I14" s="14">
        <f t="shared" si="1"/>
        <v>-173470.93400000024</v>
      </c>
      <c r="J14" s="8" t="s">
        <v>22</v>
      </c>
    </row>
    <row r="15" spans="1:10" x14ac:dyDescent="0.2">
      <c r="A15" s="10">
        <v>18800000</v>
      </c>
      <c r="B15" s="10" t="s">
        <v>23</v>
      </c>
      <c r="C15" s="11">
        <v>0</v>
      </c>
      <c r="D15" s="11">
        <v>0</v>
      </c>
      <c r="E15" s="11">
        <v>0</v>
      </c>
      <c r="F15" s="13">
        <f>SUMIF('OD 02-23'!A:A,A15,'OD 02-23'!D:D)</f>
        <v>0</v>
      </c>
      <c r="G15" s="13">
        <f>SUMIF('OD 02-23'!A:A,A15,'OD 02-23'!E:E)</f>
        <v>0</v>
      </c>
      <c r="H15" s="14">
        <f t="shared" si="0"/>
        <v>0</v>
      </c>
      <c r="I15" s="14">
        <f t="shared" si="1"/>
        <v>0</v>
      </c>
      <c r="J15" s="8"/>
    </row>
    <row r="16" spans="1:10" x14ac:dyDescent="0.2">
      <c r="A16" s="10">
        <v>21100000</v>
      </c>
      <c r="B16" s="10" t="s">
        <v>277</v>
      </c>
      <c r="C16" s="11">
        <v>0</v>
      </c>
      <c r="D16" s="11">
        <v>0</v>
      </c>
      <c r="E16" s="11">
        <v>0</v>
      </c>
      <c r="F16" s="13">
        <f>SUMIF('OD 02-23'!A:A,A16,'OD 02-23'!D:D)</f>
        <v>0</v>
      </c>
      <c r="G16" s="13">
        <f>SUMIF('OD 02-23'!A:A,A16,'OD 02-23'!E:E)</f>
        <v>0</v>
      </c>
      <c r="H16" s="14">
        <f t="shared" si="0"/>
        <v>0</v>
      </c>
      <c r="I16" s="14">
        <f t="shared" si="1"/>
        <v>0</v>
      </c>
      <c r="J16" s="8"/>
    </row>
    <row r="17" spans="1:10" x14ac:dyDescent="0.2">
      <c r="A17" s="10">
        <v>21300000</v>
      </c>
      <c r="B17" s="10" t="s">
        <v>24</v>
      </c>
      <c r="C17" s="11">
        <v>80409.226999999999</v>
      </c>
      <c r="D17" s="11">
        <v>2250</v>
      </c>
      <c r="E17" s="11">
        <v>0</v>
      </c>
      <c r="F17" s="13">
        <f>SUMIF('OD 02-23'!A:A,A17,'OD 02-23'!D:D)</f>
        <v>0</v>
      </c>
      <c r="G17" s="13">
        <f>SUMIF('OD 02-23'!A:A,A17,'OD 02-23'!E:E)</f>
        <v>0</v>
      </c>
      <c r="H17" s="14">
        <f t="shared" si="0"/>
        <v>2250</v>
      </c>
      <c r="I17" s="14">
        <f t="shared" si="1"/>
        <v>82659.226999999999</v>
      </c>
      <c r="J17" s="8" t="s">
        <v>25</v>
      </c>
    </row>
    <row r="18" spans="1:10" x14ac:dyDescent="0.2">
      <c r="A18" s="10">
        <v>22000000</v>
      </c>
      <c r="B18" s="10" t="s">
        <v>278</v>
      </c>
      <c r="C18" s="11">
        <v>0</v>
      </c>
      <c r="D18" s="11">
        <v>0</v>
      </c>
      <c r="E18" s="11">
        <v>0</v>
      </c>
      <c r="F18" s="13">
        <f>SUMIF('OD 02-23'!A:A,A18,'OD 02-23'!D:D)</f>
        <v>0</v>
      </c>
      <c r="G18" s="13">
        <f>SUMIF('OD 02-23'!A:A,A18,'OD 02-23'!E:E)</f>
        <v>0</v>
      </c>
      <c r="H18" s="14">
        <f t="shared" si="0"/>
        <v>0</v>
      </c>
      <c r="I18" s="14">
        <f t="shared" si="1"/>
        <v>0</v>
      </c>
      <c r="J18" s="8"/>
    </row>
    <row r="19" spans="1:10" x14ac:dyDescent="0.2">
      <c r="A19" s="10">
        <v>22100000</v>
      </c>
      <c r="B19" s="10" t="s">
        <v>26</v>
      </c>
      <c r="C19" s="11">
        <v>1275724</v>
      </c>
      <c r="D19" s="11">
        <v>0</v>
      </c>
      <c r="E19" s="11">
        <v>0</v>
      </c>
      <c r="F19" s="13">
        <f>SUMIF('OD 02-23'!A:A,A19,'OD 02-23'!D:D)</f>
        <v>0</v>
      </c>
      <c r="G19" s="13">
        <f>SUMIF('OD 02-23'!A:A,A19,'OD 02-23'!E:E)</f>
        <v>0</v>
      </c>
      <c r="H19" s="14">
        <f t="shared" si="0"/>
        <v>0</v>
      </c>
      <c r="I19" s="14">
        <f t="shared" si="1"/>
        <v>1275724</v>
      </c>
      <c r="J19" s="8" t="s">
        <v>25</v>
      </c>
    </row>
    <row r="20" spans="1:10" x14ac:dyDescent="0.2">
      <c r="A20" s="10">
        <v>22160000</v>
      </c>
      <c r="B20" s="10" t="s">
        <v>27</v>
      </c>
      <c r="C20" s="11">
        <v>161921.53600000002</v>
      </c>
      <c r="D20" s="11">
        <v>0</v>
      </c>
      <c r="E20" s="11">
        <v>0</v>
      </c>
      <c r="F20" s="13">
        <f>SUMIF('OD 02-23'!A:A,A20,'OD 02-23'!D:D)</f>
        <v>0</v>
      </c>
      <c r="G20" s="13">
        <f>SUMIF('OD 02-23'!A:A,A20,'OD 02-23'!E:E)</f>
        <v>0</v>
      </c>
      <c r="H20" s="14">
        <f t="shared" si="0"/>
        <v>0</v>
      </c>
      <c r="I20" s="14">
        <f t="shared" si="1"/>
        <v>161921.53600000002</v>
      </c>
      <c r="J20" s="8" t="s">
        <v>25</v>
      </c>
    </row>
    <row r="21" spans="1:10" x14ac:dyDescent="0.2">
      <c r="A21" s="10">
        <v>22200000</v>
      </c>
      <c r="B21" s="10" t="s">
        <v>28</v>
      </c>
      <c r="C21" s="11">
        <v>9027583.0759999994</v>
      </c>
      <c r="D21" s="11">
        <v>0</v>
      </c>
      <c r="E21" s="11">
        <v>0</v>
      </c>
      <c r="F21" s="13">
        <f>SUMIF('OD 02-23'!A:A,A21,'OD 02-23'!D:D)</f>
        <v>0</v>
      </c>
      <c r="G21" s="13">
        <f>SUMIF('OD 02-23'!A:A,A21,'OD 02-23'!E:E)</f>
        <v>0</v>
      </c>
      <c r="H21" s="14">
        <f t="shared" si="0"/>
        <v>0</v>
      </c>
      <c r="I21" s="14">
        <f t="shared" si="1"/>
        <v>9027583.0759999994</v>
      </c>
      <c r="J21" s="8" t="s">
        <v>25</v>
      </c>
    </row>
    <row r="22" spans="1:10" x14ac:dyDescent="0.2">
      <c r="A22" s="10">
        <v>22250000</v>
      </c>
      <c r="B22" s="10" t="s">
        <v>29</v>
      </c>
      <c r="C22" s="11">
        <v>601000.27899999998</v>
      </c>
      <c r="D22" s="11">
        <v>0</v>
      </c>
      <c r="E22" s="11">
        <v>0</v>
      </c>
      <c r="F22" s="13">
        <f>SUMIF('OD 02-23'!A:A,A22,'OD 02-23'!D:D)</f>
        <v>0</v>
      </c>
      <c r="G22" s="13">
        <f>SUMIF('OD 02-23'!A:A,A22,'OD 02-23'!E:E)</f>
        <v>0</v>
      </c>
      <c r="H22" s="14">
        <f t="shared" si="0"/>
        <v>0</v>
      </c>
      <c r="I22" s="14">
        <f t="shared" si="1"/>
        <v>601000.27899999998</v>
      </c>
      <c r="J22" s="8" t="s">
        <v>25</v>
      </c>
    </row>
    <row r="23" spans="1:10" x14ac:dyDescent="0.2">
      <c r="A23" s="10">
        <v>22300000</v>
      </c>
      <c r="B23" s="10" t="s">
        <v>30</v>
      </c>
      <c r="C23" s="11">
        <v>65870.611000000004</v>
      </c>
      <c r="D23" s="11">
        <v>0</v>
      </c>
      <c r="E23" s="11">
        <v>0</v>
      </c>
      <c r="F23" s="13">
        <f>SUMIF('OD 02-23'!A:A,A23,'OD 02-23'!D:D)</f>
        <v>0</v>
      </c>
      <c r="G23" s="13">
        <f>SUMIF('OD 02-23'!A:A,A23,'OD 02-23'!E:E)</f>
        <v>0</v>
      </c>
      <c r="H23" s="14">
        <f t="shared" si="0"/>
        <v>0</v>
      </c>
      <c r="I23" s="14">
        <f t="shared" si="1"/>
        <v>65870.611000000004</v>
      </c>
      <c r="J23" s="8" t="s">
        <v>25</v>
      </c>
    </row>
    <row r="24" spans="1:10" x14ac:dyDescent="0.2">
      <c r="A24" s="10">
        <v>22310000</v>
      </c>
      <c r="B24" s="10" t="s">
        <v>31</v>
      </c>
      <c r="C24" s="11">
        <v>0</v>
      </c>
      <c r="D24" s="11">
        <v>0</v>
      </c>
      <c r="E24" s="11">
        <v>0</v>
      </c>
      <c r="F24" s="13">
        <f>SUMIF('OD 02-23'!A:A,A24,'OD 02-23'!D:D)</f>
        <v>0</v>
      </c>
      <c r="G24" s="13">
        <f>SUMIF('OD 02-23'!A:A,A24,'OD 02-23'!E:E)</f>
        <v>0</v>
      </c>
      <c r="H24" s="14">
        <f t="shared" si="0"/>
        <v>0</v>
      </c>
      <c r="I24" s="14">
        <f t="shared" si="1"/>
        <v>0</v>
      </c>
      <c r="J24" s="8"/>
    </row>
    <row r="25" spans="1:10" x14ac:dyDescent="0.2">
      <c r="A25" s="10">
        <v>22340000</v>
      </c>
      <c r="B25" s="10" t="s">
        <v>32</v>
      </c>
      <c r="C25" s="11">
        <v>22047222.110411499</v>
      </c>
      <c r="D25" s="11">
        <v>14069.731</v>
      </c>
      <c r="E25" s="11">
        <v>0</v>
      </c>
      <c r="F25" s="13">
        <f>SUMIF('OD 02-23'!A:A,A25,'OD 02-23'!D:D)</f>
        <v>0</v>
      </c>
      <c r="G25" s="13">
        <f>SUMIF('OD 02-23'!A:A,A25,'OD 02-23'!E:E)</f>
        <v>0</v>
      </c>
      <c r="H25" s="14">
        <f t="shared" si="0"/>
        <v>14069.731</v>
      </c>
      <c r="I25" s="14">
        <f t="shared" si="1"/>
        <v>22061291.841411497</v>
      </c>
      <c r="J25" s="8" t="s">
        <v>25</v>
      </c>
    </row>
    <row r="26" spans="1:10" x14ac:dyDescent="0.2">
      <c r="A26" s="10">
        <v>22350000</v>
      </c>
      <c r="B26" s="10" t="s">
        <v>33</v>
      </c>
      <c r="C26" s="11">
        <v>596723.12949999981</v>
      </c>
      <c r="D26" s="11">
        <v>7595.2</v>
      </c>
      <c r="E26" s="11">
        <v>0</v>
      </c>
      <c r="F26" s="13">
        <f>SUMIF('OD 02-23'!A:A,A26,'OD 02-23'!D:D)</f>
        <v>0</v>
      </c>
      <c r="G26" s="13">
        <f>SUMIF('OD 02-23'!A:A,A26,'OD 02-23'!E:E)</f>
        <v>0</v>
      </c>
      <c r="H26" s="14">
        <f t="shared" si="0"/>
        <v>7595.2</v>
      </c>
      <c r="I26" s="14">
        <f t="shared" si="1"/>
        <v>604318.32949999976</v>
      </c>
      <c r="J26" s="8" t="s">
        <v>25</v>
      </c>
    </row>
    <row r="27" spans="1:10" x14ac:dyDescent="0.2">
      <c r="A27" s="10">
        <v>22370000</v>
      </c>
      <c r="B27" s="10" t="s">
        <v>34</v>
      </c>
      <c r="C27" s="11">
        <v>879252.85599999991</v>
      </c>
      <c r="D27" s="11">
        <v>0</v>
      </c>
      <c r="E27" s="11">
        <v>0</v>
      </c>
      <c r="F27" s="13">
        <f>SUMIF('OD 02-23'!A:A,A27,'OD 02-23'!D:D)</f>
        <v>0</v>
      </c>
      <c r="G27" s="13">
        <f>SUMIF('OD 02-23'!A:A,A27,'OD 02-23'!E:E)</f>
        <v>0</v>
      </c>
      <c r="H27" s="14">
        <f t="shared" si="0"/>
        <v>0</v>
      </c>
      <c r="I27" s="14">
        <f t="shared" si="1"/>
        <v>879252.85599999991</v>
      </c>
      <c r="J27" s="8" t="s">
        <v>25</v>
      </c>
    </row>
    <row r="28" spans="1:10" x14ac:dyDescent="0.2">
      <c r="A28" s="10">
        <v>22400000</v>
      </c>
      <c r="B28" s="10" t="s">
        <v>35</v>
      </c>
      <c r="C28" s="11">
        <v>952007.8629999999</v>
      </c>
      <c r="D28" s="11">
        <v>0</v>
      </c>
      <c r="E28" s="11">
        <v>0</v>
      </c>
      <c r="F28" s="13">
        <f>SUMIF('OD 02-23'!A:A,A28,'OD 02-23'!D:D)</f>
        <v>0</v>
      </c>
      <c r="G28" s="13">
        <f>SUMIF('OD 02-23'!A:A,A28,'OD 02-23'!E:E)</f>
        <v>0</v>
      </c>
      <c r="H28" s="14">
        <f t="shared" si="0"/>
        <v>0</v>
      </c>
      <c r="I28" s="14">
        <f t="shared" si="1"/>
        <v>952007.8629999999</v>
      </c>
      <c r="J28" s="8" t="s">
        <v>25</v>
      </c>
    </row>
    <row r="29" spans="1:10" x14ac:dyDescent="0.2">
      <c r="A29" s="10">
        <v>22810000</v>
      </c>
      <c r="B29" s="10" t="s">
        <v>36</v>
      </c>
      <c r="C29" s="11">
        <v>0</v>
      </c>
      <c r="D29" s="11">
        <v>0</v>
      </c>
      <c r="E29" s="11">
        <v>0</v>
      </c>
      <c r="F29" s="13">
        <f>SUMIF('OD 02-23'!A:A,A29,'OD 02-23'!D:D)</f>
        <v>0</v>
      </c>
      <c r="G29" s="13">
        <f>SUMIF('OD 02-23'!A:A,A29,'OD 02-23'!E:E)</f>
        <v>0</v>
      </c>
      <c r="H29" s="14">
        <f t="shared" si="0"/>
        <v>0</v>
      </c>
      <c r="I29" s="14">
        <f t="shared" si="1"/>
        <v>0</v>
      </c>
      <c r="J29" s="8"/>
    </row>
    <row r="30" spans="1:10" x14ac:dyDescent="0.2">
      <c r="A30" s="10">
        <v>22820000</v>
      </c>
      <c r="B30" s="10" t="s">
        <v>37</v>
      </c>
      <c r="C30" s="11">
        <v>248575.93114999996</v>
      </c>
      <c r="D30" s="11">
        <v>394</v>
      </c>
      <c r="E30" s="11">
        <v>0</v>
      </c>
      <c r="F30" s="13">
        <f>SUMIF('OD 02-23'!A:A,A30,'OD 02-23'!D:D)</f>
        <v>0</v>
      </c>
      <c r="G30" s="13">
        <f>SUMIF('OD 02-23'!A:A,A30,'OD 02-23'!E:E)</f>
        <v>0</v>
      </c>
      <c r="H30" s="14">
        <f t="shared" si="0"/>
        <v>394</v>
      </c>
      <c r="I30" s="14">
        <f t="shared" si="1"/>
        <v>248969.93114999996</v>
      </c>
      <c r="J30" s="8" t="s">
        <v>25</v>
      </c>
    </row>
    <row r="31" spans="1:10" x14ac:dyDescent="0.2">
      <c r="A31" s="10">
        <v>22830000</v>
      </c>
      <c r="B31" s="10" t="s">
        <v>279</v>
      </c>
      <c r="C31" s="11">
        <v>157309.56799999997</v>
      </c>
      <c r="D31" s="11">
        <v>4195</v>
      </c>
      <c r="E31" s="11">
        <v>0</v>
      </c>
      <c r="F31" s="13">
        <f>SUMIF('OD 02-23'!A:A,A31,'OD 02-23'!D:D)</f>
        <v>0</v>
      </c>
      <c r="G31" s="13">
        <f>SUMIF('OD 02-23'!A:A,A31,'OD 02-23'!E:E)</f>
        <v>0</v>
      </c>
      <c r="H31" s="14">
        <f t="shared" si="0"/>
        <v>4195</v>
      </c>
      <c r="I31" s="14">
        <f t="shared" si="1"/>
        <v>161504.56799999997</v>
      </c>
      <c r="J31" s="8" t="s">
        <v>25</v>
      </c>
    </row>
    <row r="32" spans="1:10" x14ac:dyDescent="0.2">
      <c r="A32" s="10">
        <v>23000000</v>
      </c>
      <c r="B32" s="10" t="s">
        <v>280</v>
      </c>
      <c r="C32" s="11">
        <v>2.0000000404252205E-5</v>
      </c>
      <c r="D32" s="11">
        <v>0</v>
      </c>
      <c r="E32" s="11">
        <v>0</v>
      </c>
      <c r="F32" s="13">
        <f>SUMIF('OD 02-23'!A:A,A32,'OD 02-23'!D:D)</f>
        <v>0</v>
      </c>
      <c r="G32" s="13">
        <f>SUMIF('OD 02-23'!A:A,A32,'OD 02-23'!E:E)</f>
        <v>0</v>
      </c>
      <c r="H32" s="14">
        <f t="shared" si="0"/>
        <v>0</v>
      </c>
      <c r="I32" s="14">
        <f t="shared" si="1"/>
        <v>2.0000000404252205E-5</v>
      </c>
      <c r="J32" s="8"/>
    </row>
    <row r="33" spans="1:10" x14ac:dyDescent="0.2">
      <c r="A33" s="10">
        <v>23200000</v>
      </c>
      <c r="B33" s="10" t="s">
        <v>38</v>
      </c>
      <c r="C33" s="11">
        <v>2440755.4682974992</v>
      </c>
      <c r="D33" s="11">
        <v>0</v>
      </c>
      <c r="E33" s="11">
        <v>0</v>
      </c>
      <c r="F33" s="13">
        <f>SUMIF('OD 02-23'!A:A,A33,'OD 02-23'!D:D)</f>
        <v>0</v>
      </c>
      <c r="G33" s="13">
        <f>SUMIF('OD 02-23'!A:A,A33,'OD 02-23'!E:E)</f>
        <v>0</v>
      </c>
      <c r="H33" s="14">
        <f t="shared" si="0"/>
        <v>0</v>
      </c>
      <c r="I33" s="14">
        <f t="shared" si="1"/>
        <v>2440755.4682974992</v>
      </c>
      <c r="J33" s="8" t="s">
        <v>25</v>
      </c>
    </row>
    <row r="34" spans="1:10" x14ac:dyDescent="0.2">
      <c r="A34" s="10">
        <v>23220000</v>
      </c>
      <c r="B34" s="10" t="s">
        <v>39</v>
      </c>
      <c r="C34" s="11">
        <v>38414.471999997375</v>
      </c>
      <c r="D34" s="11">
        <v>6197.6689999999999</v>
      </c>
      <c r="E34" s="11">
        <v>0</v>
      </c>
      <c r="F34" s="13">
        <f>SUMIF('OD 02-23'!A:A,A34,'OD 02-23'!D:D)</f>
        <v>0</v>
      </c>
      <c r="G34" s="13">
        <f>SUMIF('OD 02-23'!A:A,A34,'OD 02-23'!E:E)</f>
        <v>0</v>
      </c>
      <c r="H34" s="14">
        <f t="shared" si="0"/>
        <v>6197.6689999999999</v>
      </c>
      <c r="I34" s="14">
        <f t="shared" si="1"/>
        <v>44612.140999997377</v>
      </c>
      <c r="J34" s="8" t="s">
        <v>25</v>
      </c>
    </row>
    <row r="35" spans="1:10" x14ac:dyDescent="0.2">
      <c r="A35" s="10">
        <v>23225000</v>
      </c>
      <c r="B35" s="10" t="s">
        <v>281</v>
      </c>
      <c r="C35" s="11">
        <v>0</v>
      </c>
      <c r="D35" s="11">
        <v>0</v>
      </c>
      <c r="E35" s="11">
        <v>0</v>
      </c>
      <c r="F35" s="13">
        <f>SUMIF('OD 02-23'!A:A,A35,'OD 02-23'!D:D)</f>
        <v>0</v>
      </c>
      <c r="G35" s="13">
        <f>SUMIF('OD 02-23'!A:A,A35,'OD 02-23'!E:E)</f>
        <v>0</v>
      </c>
      <c r="H35" s="14">
        <f t="shared" si="0"/>
        <v>0</v>
      </c>
      <c r="I35" s="14">
        <f t="shared" si="1"/>
        <v>0</v>
      </c>
      <c r="J35" s="8"/>
    </row>
    <row r="36" spans="1:10" x14ac:dyDescent="0.2">
      <c r="A36" s="10">
        <v>23231000</v>
      </c>
      <c r="B36" s="10" t="s">
        <v>282</v>
      </c>
      <c r="C36" s="11">
        <v>0</v>
      </c>
      <c r="D36" s="11">
        <v>0</v>
      </c>
      <c r="E36" s="11">
        <v>0</v>
      </c>
      <c r="F36" s="13">
        <f>SUMIF('OD 02-23'!A:A,A36,'OD 02-23'!D:D)</f>
        <v>0</v>
      </c>
      <c r="G36" s="13">
        <f>SUMIF('OD 02-23'!A:A,A36,'OD 02-23'!E:E)</f>
        <v>0</v>
      </c>
      <c r="H36" s="14">
        <f t="shared" si="0"/>
        <v>0</v>
      </c>
      <c r="I36" s="14">
        <f t="shared" si="1"/>
        <v>0</v>
      </c>
      <c r="J36" s="8"/>
    </row>
    <row r="37" spans="1:10" x14ac:dyDescent="0.2">
      <c r="A37" s="10">
        <v>23237000</v>
      </c>
      <c r="B37" s="10" t="s">
        <v>283</v>
      </c>
      <c r="C37" s="11">
        <v>0</v>
      </c>
      <c r="D37" s="11">
        <v>0</v>
      </c>
      <c r="E37" s="11">
        <v>0</v>
      </c>
      <c r="F37" s="13">
        <f>SUMIF('OD 02-23'!A:A,A37,'OD 02-23'!D:D)</f>
        <v>0</v>
      </c>
      <c r="G37" s="13">
        <f>SUMIF('OD 02-23'!A:A,A37,'OD 02-23'!E:E)</f>
        <v>0</v>
      </c>
      <c r="H37" s="14">
        <f t="shared" si="0"/>
        <v>0</v>
      </c>
      <c r="I37" s="14">
        <f t="shared" si="1"/>
        <v>0</v>
      </c>
      <c r="J37" s="8"/>
    </row>
    <row r="38" spans="1:10" x14ac:dyDescent="0.2">
      <c r="A38" s="10">
        <v>23250000</v>
      </c>
      <c r="B38" s="10" t="s">
        <v>284</v>
      </c>
      <c r="C38" s="11">
        <v>0</v>
      </c>
      <c r="D38" s="11">
        <v>0</v>
      </c>
      <c r="E38" s="11">
        <v>0</v>
      </c>
      <c r="F38" s="13">
        <f>SUMIF('OD 02-23'!A:A,A38,'OD 02-23'!D:D)</f>
        <v>0</v>
      </c>
      <c r="G38" s="13">
        <f>SUMIF('OD 02-23'!A:A,A38,'OD 02-23'!E:E)</f>
        <v>0</v>
      </c>
      <c r="H38" s="14">
        <f t="shared" si="0"/>
        <v>0</v>
      </c>
      <c r="I38" s="14">
        <f t="shared" si="1"/>
        <v>0</v>
      </c>
      <c r="J38" s="8"/>
    </row>
    <row r="39" spans="1:10" x14ac:dyDescent="0.2">
      <c r="A39" s="10">
        <v>23800000</v>
      </c>
      <c r="B39" s="10" t="s">
        <v>285</v>
      </c>
      <c r="C39" s="11">
        <v>0</v>
      </c>
      <c r="D39" s="11">
        <v>0</v>
      </c>
      <c r="E39" s="11">
        <v>0</v>
      </c>
      <c r="F39" s="13">
        <f>SUMIF('OD 02-23'!A:A,A39,'OD 02-23'!D:D)</f>
        <v>0</v>
      </c>
      <c r="G39" s="13">
        <f>SUMIF('OD 02-23'!A:A,A39,'OD 02-23'!E:E)</f>
        <v>0</v>
      </c>
      <c r="H39" s="14">
        <f t="shared" si="0"/>
        <v>0</v>
      </c>
      <c r="I39" s="14">
        <f t="shared" si="1"/>
        <v>0</v>
      </c>
      <c r="J39" s="8"/>
    </row>
    <row r="40" spans="1:10" x14ac:dyDescent="0.2">
      <c r="A40" s="10">
        <v>24000000</v>
      </c>
      <c r="B40" s="10" t="s">
        <v>40</v>
      </c>
      <c r="C40" s="11">
        <v>703370.37699999998</v>
      </c>
      <c r="D40" s="11">
        <v>0</v>
      </c>
      <c r="E40" s="11">
        <v>0</v>
      </c>
      <c r="F40" s="13">
        <f>SUMIF('OD 02-23'!A:A,A40,'OD 02-23'!D:D)</f>
        <v>0</v>
      </c>
      <c r="G40" s="13">
        <f>SUMIF('OD 02-23'!A:A,A40,'OD 02-23'!E:E)</f>
        <v>0</v>
      </c>
      <c r="H40" s="14">
        <f t="shared" si="0"/>
        <v>0</v>
      </c>
      <c r="I40" s="14">
        <f t="shared" si="1"/>
        <v>703370.37699999998</v>
      </c>
      <c r="J40" s="8" t="s">
        <v>25</v>
      </c>
    </row>
    <row r="41" spans="1:10" x14ac:dyDescent="0.2">
      <c r="A41" s="10">
        <v>25100000</v>
      </c>
      <c r="B41" s="10" t="s">
        <v>286</v>
      </c>
      <c r="C41" s="11">
        <v>0</v>
      </c>
      <c r="D41" s="11">
        <v>0</v>
      </c>
      <c r="E41" s="11">
        <v>0</v>
      </c>
      <c r="F41" s="13">
        <f>SUMIF('OD 02-23'!A:A,A41,'OD 02-23'!D:D)</f>
        <v>0</v>
      </c>
      <c r="G41" s="13">
        <f>SUMIF('OD 02-23'!A:A,A41,'OD 02-23'!E:E)</f>
        <v>0</v>
      </c>
      <c r="H41" s="14">
        <f t="shared" si="0"/>
        <v>0</v>
      </c>
      <c r="I41" s="14">
        <f t="shared" si="1"/>
        <v>0</v>
      </c>
      <c r="J41" s="8"/>
    </row>
    <row r="42" spans="1:10" x14ac:dyDescent="0.2">
      <c r="A42" s="10">
        <v>25110000</v>
      </c>
      <c r="B42" s="10" t="s">
        <v>41</v>
      </c>
      <c r="C42" s="11">
        <v>266820</v>
      </c>
      <c r="D42" s="11">
        <v>0</v>
      </c>
      <c r="E42" s="11">
        <v>0</v>
      </c>
      <c r="F42" s="13">
        <f>SUMIF('OD 02-23'!A:A,A42,'OD 02-23'!D:D)</f>
        <v>0</v>
      </c>
      <c r="G42" s="13">
        <f>SUMIF('OD 02-23'!A:A,A42,'OD 02-23'!E:E)</f>
        <v>0</v>
      </c>
      <c r="H42" s="14">
        <f t="shared" si="0"/>
        <v>0</v>
      </c>
      <c r="I42" s="14">
        <f t="shared" si="1"/>
        <v>266820</v>
      </c>
      <c r="J42" s="8" t="s">
        <v>42</v>
      </c>
    </row>
    <row r="43" spans="1:10" x14ac:dyDescent="0.2">
      <c r="A43" s="10">
        <v>25120000</v>
      </c>
      <c r="B43" s="10" t="s">
        <v>287</v>
      </c>
      <c r="C43" s="11">
        <v>512700</v>
      </c>
      <c r="D43" s="11">
        <v>0</v>
      </c>
      <c r="E43" s="11">
        <v>0</v>
      </c>
      <c r="F43" s="13">
        <f>SUMIF('OD 02-23'!A:A,A43,'OD 02-23'!D:D)</f>
        <v>0</v>
      </c>
      <c r="G43" s="13">
        <f>SUMIF('OD 02-23'!A:A,A43,'OD 02-23'!E:E)</f>
        <v>0</v>
      </c>
      <c r="H43" s="14">
        <f t="shared" si="0"/>
        <v>0</v>
      </c>
      <c r="I43" s="14">
        <f t="shared" si="1"/>
        <v>512700</v>
      </c>
      <c r="J43" s="8" t="s">
        <v>42</v>
      </c>
    </row>
    <row r="44" spans="1:10" x14ac:dyDescent="0.2">
      <c r="A44" s="10">
        <v>25130000</v>
      </c>
      <c r="B44" s="10" t="s">
        <v>43</v>
      </c>
      <c r="C44" s="11">
        <v>677000</v>
      </c>
      <c r="D44" s="11">
        <v>0</v>
      </c>
      <c r="E44" s="11">
        <v>0</v>
      </c>
      <c r="F44" s="13">
        <f>SUMIF('OD 02-23'!A:A,A44,'OD 02-23'!D:D)</f>
        <v>0</v>
      </c>
      <c r="G44" s="13">
        <f>SUMIF('OD 02-23'!A:A,A44,'OD 02-23'!E:E)</f>
        <v>0</v>
      </c>
      <c r="H44" s="14">
        <f t="shared" si="0"/>
        <v>0</v>
      </c>
      <c r="I44" s="14">
        <f t="shared" si="1"/>
        <v>677000</v>
      </c>
      <c r="J44" s="8" t="s">
        <v>42</v>
      </c>
    </row>
    <row r="45" spans="1:10" x14ac:dyDescent="0.2">
      <c r="A45" s="10">
        <v>25140000</v>
      </c>
      <c r="B45" s="10" t="s">
        <v>44</v>
      </c>
      <c r="C45" s="11">
        <v>3150000</v>
      </c>
      <c r="D45" s="11">
        <v>0</v>
      </c>
      <c r="E45" s="11">
        <v>0</v>
      </c>
      <c r="F45" s="13">
        <f>SUMIF('OD 02-23'!A:A,A45,'OD 02-23'!D:D)</f>
        <v>0</v>
      </c>
      <c r="G45" s="13">
        <f>SUMIF('OD 02-23'!A:A,A45,'OD 02-23'!E:E)</f>
        <v>0</v>
      </c>
      <c r="H45" s="14">
        <f t="shared" si="0"/>
        <v>0</v>
      </c>
      <c r="I45" s="14">
        <f t="shared" si="1"/>
        <v>3150000</v>
      </c>
      <c r="J45" s="8" t="s">
        <v>42</v>
      </c>
    </row>
    <row r="46" spans="1:10" x14ac:dyDescent="0.2">
      <c r="A46" s="10">
        <v>25700000</v>
      </c>
      <c r="B46" s="10" t="s">
        <v>288</v>
      </c>
      <c r="C46" s="11">
        <v>0</v>
      </c>
      <c r="D46" s="11">
        <v>0</v>
      </c>
      <c r="E46" s="11">
        <v>0</v>
      </c>
      <c r="F46" s="13">
        <f>SUMIF('OD 02-23'!A:A,A46,'OD 02-23'!D:D)</f>
        <v>0</v>
      </c>
      <c r="G46" s="13">
        <f>SUMIF('OD 02-23'!A:A,A46,'OD 02-23'!E:E)</f>
        <v>0</v>
      </c>
      <c r="H46" s="14">
        <f t="shared" si="0"/>
        <v>0</v>
      </c>
      <c r="I46" s="14">
        <f t="shared" si="1"/>
        <v>0</v>
      </c>
      <c r="J46" s="8" t="s">
        <v>42</v>
      </c>
    </row>
    <row r="47" spans="1:10" x14ac:dyDescent="0.2">
      <c r="A47" s="10">
        <v>25810000</v>
      </c>
      <c r="B47" s="10" t="s">
        <v>289</v>
      </c>
      <c r="C47" s="11">
        <v>0</v>
      </c>
      <c r="D47" s="11">
        <v>0</v>
      </c>
      <c r="E47" s="11">
        <v>0</v>
      </c>
      <c r="F47" s="13">
        <f>SUMIF('OD 02-23'!A:A,A47,'OD 02-23'!D:D)</f>
        <v>0</v>
      </c>
      <c r="G47" s="13">
        <f>SUMIF('OD 02-23'!A:A,A47,'OD 02-23'!E:E)</f>
        <v>0</v>
      </c>
      <c r="H47" s="14">
        <f t="shared" si="0"/>
        <v>0</v>
      </c>
      <c r="I47" s="14">
        <f t="shared" si="1"/>
        <v>0</v>
      </c>
      <c r="J47" s="8"/>
    </row>
    <row r="48" spans="1:10" x14ac:dyDescent="0.2">
      <c r="A48" s="10">
        <v>26400000</v>
      </c>
      <c r="B48" s="10" t="s">
        <v>290</v>
      </c>
      <c r="C48" s="11">
        <v>0</v>
      </c>
      <c r="D48" s="11">
        <v>0</v>
      </c>
      <c r="E48" s="11">
        <v>0</v>
      </c>
      <c r="F48" s="13">
        <f>SUMIF('OD 02-23'!A:A,A48,'OD 02-23'!D:D)</f>
        <v>0</v>
      </c>
      <c r="G48" s="13">
        <f>SUMIF('OD 02-23'!A:A,A48,'OD 02-23'!E:E)</f>
        <v>0</v>
      </c>
      <c r="H48" s="14">
        <f t="shared" si="0"/>
        <v>0</v>
      </c>
      <c r="I48" s="14">
        <f t="shared" si="1"/>
        <v>0</v>
      </c>
      <c r="J48" s="8"/>
    </row>
    <row r="49" spans="1:10" x14ac:dyDescent="0.2">
      <c r="A49" s="10">
        <v>26430000</v>
      </c>
      <c r="B49" s="10" t="s">
        <v>291</v>
      </c>
      <c r="C49" s="11">
        <v>0</v>
      </c>
      <c r="D49" s="11">
        <v>0</v>
      </c>
      <c r="E49" s="11">
        <v>0</v>
      </c>
      <c r="F49" s="13">
        <f>SUMIF('OD 02-23'!A:A,A49,'OD 02-23'!D:D)</f>
        <v>0</v>
      </c>
      <c r="G49" s="13">
        <f>SUMIF('OD 02-23'!A:A,A49,'OD 02-23'!E:E)</f>
        <v>0</v>
      </c>
      <c r="H49" s="14">
        <f t="shared" si="0"/>
        <v>0</v>
      </c>
      <c r="I49" s="14">
        <f t="shared" si="1"/>
        <v>0</v>
      </c>
      <c r="J49" s="8"/>
    </row>
    <row r="50" spans="1:10" x14ac:dyDescent="0.2">
      <c r="A50" s="10">
        <v>26500000</v>
      </c>
      <c r="B50" s="10" t="s">
        <v>45</v>
      </c>
      <c r="C50" s="11">
        <v>118597.1440000002</v>
      </c>
      <c r="D50" s="11">
        <v>0</v>
      </c>
      <c r="E50" s="11">
        <v>0</v>
      </c>
      <c r="F50" s="13">
        <f>SUMIF('OD 02-23'!A:A,A50,'OD 02-23'!D:D)</f>
        <v>0</v>
      </c>
      <c r="G50" s="13">
        <f>SUMIF('OD 02-23'!A:A,A50,'OD 02-23'!E:E)</f>
        <v>0</v>
      </c>
      <c r="H50" s="14">
        <f t="shared" si="0"/>
        <v>0</v>
      </c>
      <c r="I50" s="14">
        <f t="shared" si="1"/>
        <v>118597.1440000002</v>
      </c>
      <c r="J50" s="8" t="s">
        <v>46</v>
      </c>
    </row>
    <row r="51" spans="1:10" x14ac:dyDescent="0.2">
      <c r="A51" s="10">
        <v>26510000</v>
      </c>
      <c r="B51" s="10" t="s">
        <v>292</v>
      </c>
      <c r="C51" s="11">
        <v>0</v>
      </c>
      <c r="D51" s="11">
        <v>0</v>
      </c>
      <c r="E51" s="11">
        <v>0</v>
      </c>
      <c r="F51" s="13">
        <f>SUMIF('OD 02-23'!A:A,A51,'OD 02-23'!D:D)</f>
        <v>0</v>
      </c>
      <c r="G51" s="13">
        <f>SUMIF('OD 02-23'!A:A,A51,'OD 02-23'!E:E)</f>
        <v>0</v>
      </c>
      <c r="H51" s="14">
        <f t="shared" si="0"/>
        <v>0</v>
      </c>
      <c r="I51" s="14">
        <f t="shared" si="1"/>
        <v>0</v>
      </c>
      <c r="J51" s="8"/>
    </row>
    <row r="52" spans="1:10" x14ac:dyDescent="0.2">
      <c r="A52" s="10">
        <v>26550000</v>
      </c>
      <c r="B52" s="10" t="s">
        <v>293</v>
      </c>
      <c r="C52" s="11">
        <v>0</v>
      </c>
      <c r="D52" s="11">
        <v>0</v>
      </c>
      <c r="E52" s="11">
        <v>0</v>
      </c>
      <c r="F52" s="13">
        <f>SUMIF('OD 02-23'!A:A,A52,'OD 02-23'!D:D)</f>
        <v>0</v>
      </c>
      <c r="G52" s="13">
        <f>SUMIF('OD 02-23'!A:A,A52,'OD 02-23'!E:E)</f>
        <v>0</v>
      </c>
      <c r="H52" s="14">
        <f t="shared" si="0"/>
        <v>0</v>
      </c>
      <c r="I52" s="14">
        <f t="shared" si="1"/>
        <v>0</v>
      </c>
      <c r="J52" s="8"/>
    </row>
    <row r="53" spans="1:10" x14ac:dyDescent="0.2">
      <c r="A53" s="10">
        <v>27100000</v>
      </c>
      <c r="B53" s="10" t="s">
        <v>294</v>
      </c>
      <c r="C53" s="11">
        <v>0</v>
      </c>
      <c r="D53" s="11">
        <v>0</v>
      </c>
      <c r="E53" s="11">
        <v>0</v>
      </c>
      <c r="F53" s="13">
        <f>SUMIF('OD 02-23'!A:A,A53,'OD 02-23'!D:D)</f>
        <v>0</v>
      </c>
      <c r="G53" s="13">
        <f>SUMIF('OD 02-23'!A:A,A53,'OD 02-23'!E:E)</f>
        <v>0</v>
      </c>
      <c r="H53" s="14">
        <f t="shared" si="0"/>
        <v>0</v>
      </c>
      <c r="I53" s="14">
        <f t="shared" si="1"/>
        <v>0</v>
      </c>
      <c r="J53" s="8"/>
    </row>
    <row r="54" spans="1:10" x14ac:dyDescent="0.2">
      <c r="A54" s="10">
        <v>28100000</v>
      </c>
      <c r="B54" s="10" t="s">
        <v>295</v>
      </c>
      <c r="C54" s="11">
        <v>0</v>
      </c>
      <c r="D54" s="11">
        <v>0</v>
      </c>
      <c r="E54" s="11">
        <v>0</v>
      </c>
      <c r="F54" s="13">
        <f>SUMIF('OD 02-23'!A:A,A54,'OD 02-23'!D:D)</f>
        <v>0</v>
      </c>
      <c r="G54" s="13">
        <f>SUMIF('OD 02-23'!A:A,A54,'OD 02-23'!E:E)</f>
        <v>0</v>
      </c>
      <c r="H54" s="14">
        <f t="shared" si="0"/>
        <v>0</v>
      </c>
      <c r="I54" s="14">
        <f t="shared" si="1"/>
        <v>0</v>
      </c>
      <c r="J54" s="8"/>
    </row>
    <row r="55" spans="1:10" x14ac:dyDescent="0.2">
      <c r="A55" s="10">
        <v>28110000</v>
      </c>
      <c r="B55" s="10" t="s">
        <v>296</v>
      </c>
      <c r="C55" s="11">
        <v>0</v>
      </c>
      <c r="D55" s="11">
        <v>0</v>
      </c>
      <c r="E55" s="11">
        <v>0</v>
      </c>
      <c r="F55" s="13">
        <f>SUMIF('OD 02-23'!A:A,A55,'OD 02-23'!D:D)</f>
        <v>0</v>
      </c>
      <c r="G55" s="13">
        <f>SUMIF('OD 02-23'!A:A,A55,'OD 02-23'!E:E)</f>
        <v>0</v>
      </c>
      <c r="H55" s="14">
        <f t="shared" si="0"/>
        <v>0</v>
      </c>
      <c r="I55" s="14">
        <f t="shared" si="1"/>
        <v>0</v>
      </c>
      <c r="J55" s="8"/>
    </row>
    <row r="56" spans="1:10" x14ac:dyDescent="0.2">
      <c r="A56" s="10">
        <v>28130000</v>
      </c>
      <c r="B56" s="10" t="s">
        <v>24</v>
      </c>
      <c r="C56" s="11">
        <v>-67911.502999999982</v>
      </c>
      <c r="D56" s="11">
        <v>0</v>
      </c>
      <c r="E56" s="11">
        <v>0</v>
      </c>
      <c r="F56" s="13">
        <f>SUMIF('OD 02-23'!A:A,A56,'OD 02-23'!D:D)</f>
        <v>0</v>
      </c>
      <c r="G56" s="13">
        <f>SUMIF('OD 02-23'!A:A,A56,'OD 02-23'!E:E)</f>
        <v>465.18099999999998</v>
      </c>
      <c r="H56" s="14">
        <f t="shared" si="0"/>
        <v>-465.18099999999998</v>
      </c>
      <c r="I56" s="14">
        <f t="shared" si="1"/>
        <v>-68376.683999999979</v>
      </c>
      <c r="J56" s="8" t="s">
        <v>47</v>
      </c>
    </row>
    <row r="57" spans="1:10" x14ac:dyDescent="0.2">
      <c r="A57" s="10">
        <v>28216000</v>
      </c>
      <c r="B57" s="10" t="s">
        <v>48</v>
      </c>
      <c r="C57" s="11">
        <v>-145771.00300000003</v>
      </c>
      <c r="D57" s="11">
        <v>0</v>
      </c>
      <c r="E57" s="11">
        <v>0</v>
      </c>
      <c r="F57" s="13">
        <f>SUMIF('OD 02-23'!A:A,A57,'OD 02-23'!D:D)</f>
        <v>0</v>
      </c>
      <c r="G57" s="13">
        <f>SUMIF('OD 02-23'!A:A,A57,'OD 02-23'!E:E)</f>
        <v>216.43100000000001</v>
      </c>
      <c r="H57" s="14">
        <f t="shared" si="0"/>
        <v>-216.43100000000001</v>
      </c>
      <c r="I57" s="14">
        <f t="shared" si="1"/>
        <v>-145987.43400000004</v>
      </c>
      <c r="J57" s="8" t="s">
        <v>47</v>
      </c>
    </row>
    <row r="58" spans="1:10" x14ac:dyDescent="0.2">
      <c r="A58" s="10">
        <v>28220000</v>
      </c>
      <c r="B58" s="10" t="s">
        <v>49</v>
      </c>
      <c r="C58" s="11">
        <v>-3314918.2930000001</v>
      </c>
      <c r="D58" s="11">
        <v>0</v>
      </c>
      <c r="E58" s="11">
        <v>0</v>
      </c>
      <c r="F58" s="13">
        <f>SUMIF('OD 02-23'!A:A,A58,'OD 02-23'!D:D)</f>
        <v>0</v>
      </c>
      <c r="G58" s="13">
        <f>SUMIF('OD 02-23'!A:A,A58,'OD 02-23'!E:E)</f>
        <v>34726.224000000002</v>
      </c>
      <c r="H58" s="14">
        <f t="shared" si="0"/>
        <v>-34726.224000000002</v>
      </c>
      <c r="I58" s="14">
        <f t="shared" si="1"/>
        <v>-3349644.517</v>
      </c>
      <c r="J58" s="8" t="s">
        <v>47</v>
      </c>
    </row>
    <row r="59" spans="1:10" x14ac:dyDescent="0.2">
      <c r="A59" s="10">
        <v>28225000</v>
      </c>
      <c r="B59" s="10" t="s">
        <v>50</v>
      </c>
      <c r="C59" s="11">
        <v>-211496.90399999995</v>
      </c>
      <c r="D59" s="11">
        <v>0</v>
      </c>
      <c r="E59" s="11">
        <v>0</v>
      </c>
      <c r="F59" s="13">
        <f>SUMIF('OD 02-23'!A:A,A59,'OD 02-23'!D:D)</f>
        <v>0</v>
      </c>
      <c r="G59" s="13">
        <f>SUMIF('OD 02-23'!A:A,A59,'OD 02-23'!E:E)</f>
        <v>4097.3119999999999</v>
      </c>
      <c r="H59" s="14">
        <f t="shared" si="0"/>
        <v>-4097.3119999999999</v>
      </c>
      <c r="I59" s="14">
        <f t="shared" si="1"/>
        <v>-215594.21599999996</v>
      </c>
      <c r="J59" s="8" t="s">
        <v>47</v>
      </c>
    </row>
    <row r="60" spans="1:10" x14ac:dyDescent="0.2">
      <c r="A60" s="10">
        <v>28230000</v>
      </c>
      <c r="B60" s="10" t="s">
        <v>263</v>
      </c>
      <c r="C60" s="11">
        <v>-24121.713</v>
      </c>
      <c r="D60" s="11">
        <v>0</v>
      </c>
      <c r="E60" s="11">
        <v>0</v>
      </c>
      <c r="F60" s="13">
        <f>SUMIF('OD 02-23'!A:A,A60,'OD 02-23'!D:D)</f>
        <v>0</v>
      </c>
      <c r="G60" s="13">
        <f>SUMIF('OD 02-23'!A:A,A60,'OD 02-23'!E:E)</f>
        <v>1672.1</v>
      </c>
      <c r="H60" s="14">
        <f t="shared" si="0"/>
        <v>-1672.1</v>
      </c>
      <c r="I60" s="14">
        <f t="shared" si="1"/>
        <v>-25793.812999999998</v>
      </c>
      <c r="J60" s="8" t="s">
        <v>47</v>
      </c>
    </row>
    <row r="61" spans="1:10" x14ac:dyDescent="0.2">
      <c r="A61" s="10">
        <v>28234000</v>
      </c>
      <c r="B61" s="10" t="s">
        <v>51</v>
      </c>
      <c r="C61" s="11">
        <v>-14483935.639999999</v>
      </c>
      <c r="D61" s="11">
        <v>0</v>
      </c>
      <c r="E61" s="11">
        <v>0</v>
      </c>
      <c r="F61" s="13">
        <f>SUMIF('OD 02-23'!A:A,A61,'OD 02-23'!D:D)</f>
        <v>0</v>
      </c>
      <c r="G61" s="13">
        <f>SUMIF('OD 02-23'!A:A,A61,'OD 02-23'!E:E)</f>
        <v>109549.496</v>
      </c>
      <c r="H61" s="14">
        <f t="shared" si="0"/>
        <v>-109549.496</v>
      </c>
      <c r="I61" s="14">
        <f t="shared" si="1"/>
        <v>-14593485.135999998</v>
      </c>
      <c r="J61" s="8" t="s">
        <v>47</v>
      </c>
    </row>
    <row r="62" spans="1:10" x14ac:dyDescent="0.2">
      <c r="A62" s="10">
        <v>28235000</v>
      </c>
      <c r="B62" s="10" t="s">
        <v>52</v>
      </c>
      <c r="C62" s="11">
        <v>-294962.07299999997</v>
      </c>
      <c r="D62" s="11">
        <v>0</v>
      </c>
      <c r="E62" s="11">
        <v>0</v>
      </c>
      <c r="F62" s="13">
        <f>SUMIF('OD 02-23'!A:A,A62,'OD 02-23'!D:D)</f>
        <v>0</v>
      </c>
      <c r="G62" s="13">
        <f>SUMIF('OD 02-23'!A:A,A62,'OD 02-23'!E:E)</f>
        <v>6009.5389999999998</v>
      </c>
      <c r="H62" s="14">
        <f t="shared" si="0"/>
        <v>-6009.5389999999998</v>
      </c>
      <c r="I62" s="14">
        <f t="shared" si="1"/>
        <v>-300971.61199999996</v>
      </c>
      <c r="J62" s="8" t="s">
        <v>47</v>
      </c>
    </row>
    <row r="63" spans="1:10" x14ac:dyDescent="0.2">
      <c r="A63" s="10">
        <v>28237000</v>
      </c>
      <c r="B63" s="10" t="s">
        <v>53</v>
      </c>
      <c r="C63" s="11">
        <v>-735206.65099999995</v>
      </c>
      <c r="D63" s="11">
        <v>0</v>
      </c>
      <c r="E63" s="11">
        <v>0</v>
      </c>
      <c r="F63" s="13">
        <f>SUMIF('OD 02-23'!A:A,A63,'OD 02-23'!D:D)</f>
        <v>0</v>
      </c>
      <c r="G63" s="13">
        <f>SUMIF('OD 02-23'!A:A,A63,'OD 02-23'!E:E)</f>
        <v>1685.3630000000001</v>
      </c>
      <c r="H63" s="14">
        <f t="shared" si="0"/>
        <v>-1685.3630000000001</v>
      </c>
      <c r="I63" s="14">
        <f t="shared" si="1"/>
        <v>-736892.01399999997</v>
      </c>
      <c r="J63" s="8" t="s">
        <v>47</v>
      </c>
    </row>
    <row r="64" spans="1:10" x14ac:dyDescent="0.2">
      <c r="A64" s="10">
        <v>28240000</v>
      </c>
      <c r="B64" s="10" t="s">
        <v>54</v>
      </c>
      <c r="C64" s="11">
        <v>-508806.91599999997</v>
      </c>
      <c r="D64" s="11">
        <v>0</v>
      </c>
      <c r="E64" s="11">
        <v>0</v>
      </c>
      <c r="F64" s="13">
        <f>SUMIF('OD 02-23'!A:A,A64,'OD 02-23'!D:D)</f>
        <v>0</v>
      </c>
      <c r="G64" s="13">
        <f>SUMIF('OD 02-23'!A:A,A64,'OD 02-23'!E:E)</f>
        <v>10647.098</v>
      </c>
      <c r="H64" s="14">
        <f t="shared" si="0"/>
        <v>-10647.098</v>
      </c>
      <c r="I64" s="14">
        <f t="shared" si="1"/>
        <v>-519454.01399999997</v>
      </c>
      <c r="J64" s="8" t="s">
        <v>47</v>
      </c>
    </row>
    <row r="65" spans="1:10" x14ac:dyDescent="0.2">
      <c r="A65" s="10">
        <v>28282000</v>
      </c>
      <c r="B65" s="10" t="s">
        <v>55</v>
      </c>
      <c r="C65" s="11">
        <v>-180076.83600000001</v>
      </c>
      <c r="D65" s="11">
        <v>0</v>
      </c>
      <c r="E65" s="11">
        <v>0</v>
      </c>
      <c r="F65" s="13">
        <f>SUMIF('OD 02-23'!A:A,A65,'OD 02-23'!D:D)</f>
        <v>0</v>
      </c>
      <c r="G65" s="13">
        <f>SUMIF('OD 02-23'!A:A,A65,'OD 02-23'!E:E)</f>
        <v>4171.1139999999996</v>
      </c>
      <c r="H65" s="14">
        <f t="shared" si="0"/>
        <v>-4171.1139999999996</v>
      </c>
      <c r="I65" s="14">
        <f t="shared" si="1"/>
        <v>-184247.95</v>
      </c>
      <c r="J65" s="8" t="s">
        <v>47</v>
      </c>
    </row>
    <row r="66" spans="1:10" x14ac:dyDescent="0.2">
      <c r="A66" s="10">
        <v>28283000</v>
      </c>
      <c r="B66" s="10" t="s">
        <v>264</v>
      </c>
      <c r="C66" s="11">
        <v>-96560.651000000013</v>
      </c>
      <c r="D66" s="11">
        <v>0</v>
      </c>
      <c r="E66" s="11">
        <v>0</v>
      </c>
      <c r="F66" s="13">
        <f>SUMIF('OD 02-23'!A:A,A66,'OD 02-23'!D:D)</f>
        <v>0</v>
      </c>
      <c r="G66" s="13">
        <f>SUMIF('OD 02-23'!A:A,A66,'OD 02-23'!E:E)</f>
        <v>1937.6489999999999</v>
      </c>
      <c r="H66" s="14">
        <f t="shared" ref="H66:H129" si="2">+D66+F66-E66-G66</f>
        <v>-1937.6489999999999</v>
      </c>
      <c r="I66" s="14">
        <f t="shared" ref="I66:I129" si="3">+H66+C66</f>
        <v>-98498.300000000017</v>
      </c>
      <c r="J66" s="8" t="s">
        <v>47</v>
      </c>
    </row>
    <row r="67" spans="1:10" x14ac:dyDescent="0.2">
      <c r="A67" s="10">
        <v>28400000</v>
      </c>
      <c r="B67" s="10" t="s">
        <v>56</v>
      </c>
      <c r="C67" s="11">
        <v>-424483.02499999985</v>
      </c>
      <c r="D67" s="11">
        <v>0</v>
      </c>
      <c r="E67" s="11">
        <v>0</v>
      </c>
      <c r="F67" s="13">
        <f>SUMIF('OD 02-23'!A:A,A67,'OD 02-23'!D:D)</f>
        <v>0</v>
      </c>
      <c r="G67" s="13">
        <f>SUMIF('OD 02-23'!A:A,A67,'OD 02-23'!E:E)</f>
        <v>5825.8789999999999</v>
      </c>
      <c r="H67" s="14">
        <f t="shared" si="2"/>
        <v>-5825.8789999999999</v>
      </c>
      <c r="I67" s="14">
        <f t="shared" si="3"/>
        <v>-430308.90399999986</v>
      </c>
      <c r="J67" s="8" t="s">
        <v>47</v>
      </c>
    </row>
    <row r="68" spans="1:10" x14ac:dyDescent="0.2">
      <c r="A68" s="10">
        <v>29220000</v>
      </c>
      <c r="B68" s="10" t="s">
        <v>297</v>
      </c>
      <c r="C68" s="11">
        <v>0</v>
      </c>
      <c r="D68" s="11">
        <v>0</v>
      </c>
      <c r="E68" s="11">
        <v>0</v>
      </c>
      <c r="F68" s="13">
        <f>SUMIF('OD 02-23'!A:A,A68,'OD 02-23'!D:D)</f>
        <v>0</v>
      </c>
      <c r="G68" s="13">
        <f>SUMIF('OD 02-23'!A:A,A68,'OD 02-23'!E:E)</f>
        <v>0</v>
      </c>
      <c r="H68" s="14">
        <f t="shared" si="2"/>
        <v>0</v>
      </c>
      <c r="I68" s="14">
        <f t="shared" si="3"/>
        <v>0</v>
      </c>
      <c r="J68" s="8"/>
    </row>
    <row r="69" spans="1:10" x14ac:dyDescent="0.2">
      <c r="A69" s="10">
        <v>29282000</v>
      </c>
      <c r="B69" s="10" t="s">
        <v>298</v>
      </c>
      <c r="C69" s="11">
        <v>0</v>
      </c>
      <c r="D69" s="11">
        <v>0</v>
      </c>
      <c r="E69" s="11">
        <v>0</v>
      </c>
      <c r="F69" s="13">
        <f>SUMIF('OD 02-23'!A:A,A69,'OD 02-23'!D:D)</f>
        <v>0</v>
      </c>
      <c r="G69" s="13">
        <f>SUMIF('OD 02-23'!A:A,A69,'OD 02-23'!E:E)</f>
        <v>0</v>
      </c>
      <c r="H69" s="14">
        <f t="shared" si="2"/>
        <v>0</v>
      </c>
      <c r="I69" s="14">
        <f t="shared" si="3"/>
        <v>0</v>
      </c>
      <c r="J69" s="8"/>
    </row>
    <row r="70" spans="1:10" x14ac:dyDescent="0.2">
      <c r="A70" s="10">
        <v>29286500</v>
      </c>
      <c r="B70" s="10" t="s">
        <v>299</v>
      </c>
      <c r="C70" s="11">
        <v>0</v>
      </c>
      <c r="D70" s="11">
        <v>0</v>
      </c>
      <c r="E70" s="11">
        <v>0</v>
      </c>
      <c r="F70" s="13">
        <f>SUMIF('OD 02-23'!A:A,A70,'OD 02-23'!D:D)</f>
        <v>0</v>
      </c>
      <c r="G70" s="13">
        <f>SUMIF('OD 02-23'!A:A,A70,'OD 02-23'!E:E)</f>
        <v>0</v>
      </c>
      <c r="H70" s="14">
        <f t="shared" si="2"/>
        <v>0</v>
      </c>
      <c r="I70" s="14">
        <f t="shared" si="3"/>
        <v>0</v>
      </c>
      <c r="J70" s="8" t="s">
        <v>25</v>
      </c>
    </row>
    <row r="71" spans="1:10" x14ac:dyDescent="0.2">
      <c r="A71" s="10">
        <v>29700000</v>
      </c>
      <c r="B71" s="10" t="s">
        <v>57</v>
      </c>
      <c r="C71" s="11">
        <v>-29257.384999999998</v>
      </c>
      <c r="D71" s="11">
        <v>0</v>
      </c>
      <c r="E71" s="11">
        <v>0</v>
      </c>
      <c r="F71" s="13">
        <f>SUMIF('OD 02-23'!A:A,A71,'OD 02-23'!D:D)</f>
        <v>0</v>
      </c>
      <c r="G71" s="13">
        <f>SUMIF('OD 02-23'!A:A,A71,'OD 02-23'!E:E)</f>
        <v>0</v>
      </c>
      <c r="H71" s="14">
        <f t="shared" si="2"/>
        <v>0</v>
      </c>
      <c r="I71" s="14">
        <f t="shared" si="3"/>
        <v>-29257.384999999998</v>
      </c>
      <c r="J71" s="8" t="s">
        <v>58</v>
      </c>
    </row>
    <row r="72" spans="1:10" x14ac:dyDescent="0.2">
      <c r="A72" s="10">
        <v>31100000</v>
      </c>
      <c r="B72" s="10" t="s">
        <v>59</v>
      </c>
      <c r="C72" s="11">
        <v>10236706.576000003</v>
      </c>
      <c r="D72" s="11">
        <v>0</v>
      </c>
      <c r="E72" s="11">
        <v>0</v>
      </c>
      <c r="F72" s="13">
        <f>SUMIF('OD 02-23'!A:A,A72,'OD 02-23'!D:D)</f>
        <v>10534048.323999999</v>
      </c>
      <c r="G72" s="13">
        <f>SUMIF('OD 02-23'!A:A,A72,'OD 02-23'!E:E)</f>
        <v>10236706.575999999</v>
      </c>
      <c r="H72" s="14">
        <f t="shared" si="2"/>
        <v>297341.74799999967</v>
      </c>
      <c r="I72" s="14">
        <f t="shared" si="3"/>
        <v>10534048.324000003</v>
      </c>
      <c r="J72" s="8" t="s">
        <v>60</v>
      </c>
    </row>
    <row r="73" spans="1:10" x14ac:dyDescent="0.2">
      <c r="A73" s="10">
        <v>32200000</v>
      </c>
      <c r="B73" s="10" t="s">
        <v>61</v>
      </c>
      <c r="C73" s="11">
        <v>596194.15400000056</v>
      </c>
      <c r="D73" s="11">
        <v>0</v>
      </c>
      <c r="E73" s="11">
        <v>0</v>
      </c>
      <c r="F73" s="13">
        <f>SUMIF('OD 02-23'!A:A,A73,'OD 02-23'!D:D)</f>
        <v>657159.81599999999</v>
      </c>
      <c r="G73" s="13">
        <f>SUMIF('OD 02-23'!A:A,A73,'OD 02-23'!E:E)</f>
        <v>596194.15399999998</v>
      </c>
      <c r="H73" s="14">
        <f t="shared" si="2"/>
        <v>60965.662000000011</v>
      </c>
      <c r="I73" s="14">
        <f t="shared" si="3"/>
        <v>657159.81600000057</v>
      </c>
      <c r="J73" s="8" t="s">
        <v>60</v>
      </c>
    </row>
    <row r="74" spans="1:10" x14ac:dyDescent="0.2">
      <c r="A74" s="10">
        <v>33100000</v>
      </c>
      <c r="B74" s="10" t="s">
        <v>62</v>
      </c>
      <c r="C74" s="11">
        <v>858839.50199999975</v>
      </c>
      <c r="D74" s="11">
        <v>0</v>
      </c>
      <c r="E74" s="11">
        <v>0</v>
      </c>
      <c r="F74" s="13">
        <f>SUMIF('OD 02-23'!A:A,A74,'OD 02-23'!D:D)</f>
        <v>796673.53300000005</v>
      </c>
      <c r="G74" s="13">
        <f>SUMIF('OD 02-23'!A:A,A74,'OD 02-23'!E:E)</f>
        <v>858839.50199999998</v>
      </c>
      <c r="H74" s="14">
        <f t="shared" si="2"/>
        <v>-62165.968999999925</v>
      </c>
      <c r="I74" s="14">
        <f t="shared" si="3"/>
        <v>796673.53299999982</v>
      </c>
      <c r="J74" s="8" t="s">
        <v>60</v>
      </c>
    </row>
    <row r="75" spans="1:10" x14ac:dyDescent="0.2">
      <c r="A75" s="10">
        <v>33500000</v>
      </c>
      <c r="B75" s="10" t="s">
        <v>300</v>
      </c>
      <c r="C75" s="11">
        <v>0</v>
      </c>
      <c r="D75" s="11">
        <v>0</v>
      </c>
      <c r="E75" s="11">
        <v>0</v>
      </c>
      <c r="F75" s="13">
        <f>SUMIF('OD 02-23'!A:A,A75,'OD 02-23'!D:D)</f>
        <v>0</v>
      </c>
      <c r="G75" s="13">
        <f>SUMIF('OD 02-23'!A:A,A75,'OD 02-23'!E:E)</f>
        <v>0</v>
      </c>
      <c r="H75" s="14">
        <f t="shared" si="2"/>
        <v>0</v>
      </c>
      <c r="I75" s="14">
        <f t="shared" si="3"/>
        <v>0</v>
      </c>
      <c r="J75" s="8"/>
    </row>
    <row r="76" spans="1:10" x14ac:dyDescent="0.2">
      <c r="A76" s="10">
        <v>34100000</v>
      </c>
      <c r="B76" s="10" t="s">
        <v>301</v>
      </c>
      <c r="C76" s="11">
        <v>0</v>
      </c>
      <c r="D76" s="11">
        <v>0</v>
      </c>
      <c r="E76" s="11">
        <v>0</v>
      </c>
      <c r="F76" s="13">
        <f>SUMIF('OD 02-23'!A:A,A76,'OD 02-23'!D:D)</f>
        <v>0</v>
      </c>
      <c r="G76" s="13">
        <f>SUMIF('OD 02-23'!A:A,A76,'OD 02-23'!E:E)</f>
        <v>0</v>
      </c>
      <c r="H76" s="14">
        <f t="shared" si="2"/>
        <v>0</v>
      </c>
      <c r="I76" s="14">
        <f t="shared" si="3"/>
        <v>0</v>
      </c>
      <c r="J76" s="8"/>
    </row>
    <row r="77" spans="1:10" x14ac:dyDescent="0.2">
      <c r="A77" s="10">
        <v>35500000</v>
      </c>
      <c r="B77" s="10" t="s">
        <v>63</v>
      </c>
      <c r="C77" s="11">
        <v>3237104.259000001</v>
      </c>
      <c r="D77" s="11">
        <v>0</v>
      </c>
      <c r="E77" s="11">
        <v>0</v>
      </c>
      <c r="F77" s="13">
        <f>SUMIF('OD 02-23'!A:A,A77,'OD 02-23'!D:D)</f>
        <v>3105736.952</v>
      </c>
      <c r="G77" s="13">
        <f>SUMIF('OD 02-23'!A:A,A77,'OD 02-23'!E:E)</f>
        <v>3237104.2590000001</v>
      </c>
      <c r="H77" s="14">
        <f t="shared" si="2"/>
        <v>-131367.30700000003</v>
      </c>
      <c r="I77" s="14">
        <f t="shared" si="3"/>
        <v>3105736.952000001</v>
      </c>
      <c r="J77" s="8" t="s">
        <v>60</v>
      </c>
    </row>
    <row r="78" spans="1:10" x14ac:dyDescent="0.2">
      <c r="A78" s="10">
        <v>39000000</v>
      </c>
      <c r="B78" s="10" t="s">
        <v>64</v>
      </c>
      <c r="C78" s="11">
        <v>-60168.119000000006</v>
      </c>
      <c r="D78" s="11">
        <v>0</v>
      </c>
      <c r="E78" s="11">
        <v>0</v>
      </c>
      <c r="F78" s="13">
        <f>SUMIF('OD 02-23'!A:A,A78,'OD 02-23'!D:D)</f>
        <v>0</v>
      </c>
      <c r="G78" s="13">
        <f>SUMIF('OD 02-23'!A:A,A78,'OD 02-23'!E:E)</f>
        <v>0</v>
      </c>
      <c r="H78" s="14">
        <f t="shared" si="2"/>
        <v>0</v>
      </c>
      <c r="I78" s="14">
        <f t="shared" si="3"/>
        <v>-60168.119000000006</v>
      </c>
      <c r="J78" s="8" t="s">
        <v>65</v>
      </c>
    </row>
    <row r="79" spans="1:10" x14ac:dyDescent="0.2">
      <c r="A79" s="10">
        <v>40100000</v>
      </c>
      <c r="B79" s="10" t="s">
        <v>66</v>
      </c>
      <c r="C79" s="11">
        <v>-3098320.0679315208</v>
      </c>
      <c r="D79" s="11">
        <v>3364780.9329999997</v>
      </c>
      <c r="E79" s="11">
        <v>2814259.9127039998</v>
      </c>
      <c r="F79" s="13">
        <f>SUMIF('OD 02-23'!A:A,A79,'OD 02-23'!D:D)</f>
        <v>4926.3500000000004</v>
      </c>
      <c r="G79" s="13">
        <f>SUMIF('OD 02-23'!A:A,A79,'OD 02-23'!E:E)</f>
        <v>0</v>
      </c>
      <c r="H79" s="14">
        <f t="shared" si="2"/>
        <v>555447.37029600004</v>
      </c>
      <c r="I79" s="14">
        <f t="shared" si="3"/>
        <v>-2542872.6976355207</v>
      </c>
      <c r="J79" s="8" t="s">
        <v>67</v>
      </c>
    </row>
    <row r="80" spans="1:10" x14ac:dyDescent="0.2">
      <c r="A80" s="10">
        <v>40300000</v>
      </c>
      <c r="B80" s="10" t="s">
        <v>68</v>
      </c>
      <c r="C80" s="11">
        <v>-353416.7980000067</v>
      </c>
      <c r="D80" s="11">
        <v>215729.00100000002</v>
      </c>
      <c r="E80" s="11">
        <v>450832.64700000006</v>
      </c>
      <c r="F80" s="13">
        <f>SUMIF('OD 02-23'!A:A,A80,'OD 02-23'!D:D)</f>
        <v>0</v>
      </c>
      <c r="G80" s="13">
        <f>SUMIF('OD 02-23'!A:A,A80,'OD 02-23'!E:E)</f>
        <v>0</v>
      </c>
      <c r="H80" s="14">
        <f t="shared" si="2"/>
        <v>-235103.64600000004</v>
      </c>
      <c r="I80" s="14">
        <f t="shared" si="3"/>
        <v>-588520.44400000677</v>
      </c>
      <c r="J80" s="8" t="s">
        <v>67</v>
      </c>
    </row>
    <row r="81" spans="1:10" x14ac:dyDescent="0.2">
      <c r="A81" s="10">
        <v>40301000</v>
      </c>
      <c r="B81" s="10" t="s">
        <v>302</v>
      </c>
      <c r="C81" s="11">
        <v>0</v>
      </c>
      <c r="D81" s="11">
        <v>0</v>
      </c>
      <c r="E81" s="11">
        <v>0</v>
      </c>
      <c r="F81" s="13">
        <f>SUMIF('OD 02-23'!A:A,A81,'OD 02-23'!D:D)</f>
        <v>0</v>
      </c>
      <c r="G81" s="13">
        <f>SUMIF('OD 02-23'!A:A,A81,'OD 02-23'!E:E)</f>
        <v>0</v>
      </c>
      <c r="H81" s="14">
        <f t="shared" si="2"/>
        <v>0</v>
      </c>
      <c r="I81" s="14">
        <f t="shared" si="3"/>
        <v>0</v>
      </c>
      <c r="J81" s="8"/>
    </row>
    <row r="82" spans="1:10" x14ac:dyDescent="0.2">
      <c r="A82" s="10">
        <v>40400000</v>
      </c>
      <c r="B82" s="10" t="s">
        <v>69</v>
      </c>
      <c r="C82" s="11">
        <v>9.999983012676239E-5</v>
      </c>
      <c r="D82" s="11">
        <v>0</v>
      </c>
      <c r="E82" s="11">
        <v>0</v>
      </c>
      <c r="F82" s="13">
        <f>SUMIF('OD 02-23'!A:A,A82,'OD 02-23'!D:D)</f>
        <v>0</v>
      </c>
      <c r="G82" s="13">
        <f>SUMIF('OD 02-23'!A:A,A82,'OD 02-23'!E:E)</f>
        <v>0</v>
      </c>
      <c r="H82" s="14">
        <f t="shared" si="2"/>
        <v>0</v>
      </c>
      <c r="I82" s="14">
        <f t="shared" si="3"/>
        <v>9.999983012676239E-5</v>
      </c>
      <c r="J82" s="8"/>
    </row>
    <row r="83" spans="1:10" x14ac:dyDescent="0.2">
      <c r="A83" s="10">
        <v>40470000</v>
      </c>
      <c r="B83" s="10" t="s">
        <v>303</v>
      </c>
      <c r="C83" s="11">
        <v>0</v>
      </c>
      <c r="D83" s="11">
        <v>0</v>
      </c>
      <c r="E83" s="11">
        <v>0</v>
      </c>
      <c r="F83" s="13">
        <f>SUMIF('OD 02-23'!A:A,A83,'OD 02-23'!D:D)</f>
        <v>0</v>
      </c>
      <c r="G83" s="13">
        <f>SUMIF('OD 02-23'!A:A,A83,'OD 02-23'!E:E)</f>
        <v>0</v>
      </c>
      <c r="H83" s="14">
        <f t="shared" si="2"/>
        <v>0</v>
      </c>
      <c r="I83" s="14">
        <f t="shared" si="3"/>
        <v>0</v>
      </c>
      <c r="J83" s="8"/>
    </row>
    <row r="84" spans="1:10" x14ac:dyDescent="0.2">
      <c r="A84" s="10">
        <v>40600000</v>
      </c>
      <c r="B84" s="10" t="s">
        <v>70</v>
      </c>
      <c r="C84" s="11">
        <v>-2259922.666458121</v>
      </c>
      <c r="D84" s="11">
        <v>0</v>
      </c>
      <c r="E84" s="11">
        <v>608865.59004050004</v>
      </c>
      <c r="F84" s="13">
        <f>SUMIF('OD 02-23'!A:A,A84,'OD 02-23'!D:D)</f>
        <v>0</v>
      </c>
      <c r="G84" s="13">
        <f>SUMIF('OD 02-23'!A:A,A84,'OD 02-23'!E:E)</f>
        <v>0</v>
      </c>
      <c r="H84" s="14">
        <f t="shared" si="2"/>
        <v>-608865.59004050004</v>
      </c>
      <c r="I84" s="14">
        <f t="shared" si="3"/>
        <v>-2868788.2564986208</v>
      </c>
      <c r="J84" s="8" t="s">
        <v>67</v>
      </c>
    </row>
    <row r="85" spans="1:10" x14ac:dyDescent="0.2">
      <c r="A85" s="10">
        <v>40800000</v>
      </c>
      <c r="B85" s="10" t="s">
        <v>71</v>
      </c>
      <c r="C85" s="11">
        <v>-4980</v>
      </c>
      <c r="D85" s="11">
        <v>0</v>
      </c>
      <c r="E85" s="11">
        <v>0</v>
      </c>
      <c r="F85" s="13">
        <f>SUMIF('OD 02-23'!A:A,A85,'OD 02-23'!D:D)</f>
        <v>0</v>
      </c>
      <c r="G85" s="13">
        <f>SUMIF('OD 02-23'!A:A,A85,'OD 02-23'!E:E)</f>
        <v>0</v>
      </c>
      <c r="H85" s="14">
        <f t="shared" si="2"/>
        <v>0</v>
      </c>
      <c r="I85" s="14">
        <f t="shared" si="3"/>
        <v>-4980</v>
      </c>
      <c r="J85" s="8" t="s">
        <v>67</v>
      </c>
    </row>
    <row r="86" spans="1:10" x14ac:dyDescent="0.2">
      <c r="A86" s="10">
        <v>40860000</v>
      </c>
      <c r="B86" s="10" t="s">
        <v>304</v>
      </c>
      <c r="C86" s="11">
        <v>0</v>
      </c>
      <c r="D86" s="11">
        <v>0</v>
      </c>
      <c r="E86" s="11">
        <v>0</v>
      </c>
      <c r="F86" s="13">
        <f>SUMIF('OD 02-23'!A:A,A86,'OD 02-23'!D:D)</f>
        <v>0</v>
      </c>
      <c r="G86" s="13">
        <f>SUMIF('OD 02-23'!A:A,A86,'OD 02-23'!E:E)</f>
        <v>0</v>
      </c>
      <c r="H86" s="14">
        <f t="shared" si="2"/>
        <v>0</v>
      </c>
      <c r="I86" s="14">
        <f t="shared" si="3"/>
        <v>0</v>
      </c>
      <c r="J86" s="8"/>
    </row>
    <row r="87" spans="1:10" x14ac:dyDescent="0.2">
      <c r="A87" s="10">
        <v>40910000</v>
      </c>
      <c r="B87" s="10" t="s">
        <v>72</v>
      </c>
      <c r="C87" s="11">
        <v>0</v>
      </c>
      <c r="D87" s="11">
        <v>0</v>
      </c>
      <c r="E87" s="11">
        <v>0</v>
      </c>
      <c r="F87" s="13">
        <f>SUMIF('OD 02-23'!A:A,A87,'OD 02-23'!D:D)</f>
        <v>0</v>
      </c>
      <c r="G87" s="13">
        <f>SUMIF('OD 02-23'!A:A,A87,'OD 02-23'!E:E)</f>
        <v>0</v>
      </c>
      <c r="H87" s="14">
        <f t="shared" si="2"/>
        <v>0</v>
      </c>
      <c r="I87" s="14">
        <f t="shared" si="3"/>
        <v>0</v>
      </c>
      <c r="J87" s="8" t="s">
        <v>78</v>
      </c>
    </row>
    <row r="88" spans="1:10" x14ac:dyDescent="0.2">
      <c r="A88" s="10">
        <v>41100000</v>
      </c>
      <c r="B88" s="10" t="s">
        <v>73</v>
      </c>
      <c r="C88" s="11">
        <v>13483894.682302445</v>
      </c>
      <c r="D88" s="11">
        <v>4158853.6859999998</v>
      </c>
      <c r="E88" s="11">
        <v>3924978.7910000002</v>
      </c>
      <c r="F88" s="13">
        <f>SUMIF('OD 02-23'!A:A,A88,'OD 02-23'!D:D)</f>
        <v>65310.438000000002</v>
      </c>
      <c r="G88" s="13">
        <f>SUMIF('OD 02-23'!A:A,A88,'OD 02-23'!E:E)</f>
        <v>0</v>
      </c>
      <c r="H88" s="14">
        <f t="shared" si="2"/>
        <v>299185.33299999963</v>
      </c>
      <c r="I88" s="14">
        <f t="shared" si="3"/>
        <v>13783080.015302446</v>
      </c>
      <c r="J88" s="8" t="s">
        <v>74</v>
      </c>
    </row>
    <row r="89" spans="1:10" x14ac:dyDescent="0.2">
      <c r="A89" s="10">
        <v>41301000</v>
      </c>
      <c r="B89" s="10" t="s">
        <v>305</v>
      </c>
      <c r="C89" s="11">
        <v>0</v>
      </c>
      <c r="D89" s="11">
        <v>0</v>
      </c>
      <c r="E89" s="11">
        <v>0</v>
      </c>
      <c r="F89" s="13">
        <f>SUMIF('OD 02-23'!A:A,A89,'OD 02-23'!D:D)</f>
        <v>0</v>
      </c>
      <c r="G89" s="13">
        <f>SUMIF('OD 02-23'!A:A,A89,'OD 02-23'!E:E)</f>
        <v>0</v>
      </c>
      <c r="H89" s="14">
        <f t="shared" si="2"/>
        <v>0</v>
      </c>
      <c r="I89" s="14">
        <f t="shared" si="3"/>
        <v>0</v>
      </c>
      <c r="J89" s="8"/>
    </row>
    <row r="90" spans="1:10" x14ac:dyDescent="0.2">
      <c r="A90" s="10">
        <v>41500000</v>
      </c>
      <c r="B90" s="10" t="s">
        <v>75</v>
      </c>
      <c r="C90" s="11">
        <v>2691324.4181354796</v>
      </c>
      <c r="D90" s="16">
        <v>623187.00899999996</v>
      </c>
      <c r="E90" s="11">
        <v>0</v>
      </c>
      <c r="F90" s="13">
        <f>SUMIF('OD 02-23'!A:A,A90,'OD 02-23'!D:D)</f>
        <v>0</v>
      </c>
      <c r="G90" s="13">
        <f>SUMIF('OD 02-23'!A:A,A90,'OD 02-23'!E:E)</f>
        <v>0</v>
      </c>
      <c r="H90" s="14">
        <f t="shared" si="2"/>
        <v>623187.00899999996</v>
      </c>
      <c r="I90" s="14">
        <f t="shared" si="3"/>
        <v>3314511.4271354796</v>
      </c>
      <c r="J90" s="8" t="s">
        <v>74</v>
      </c>
    </row>
    <row r="91" spans="1:10" x14ac:dyDescent="0.2">
      <c r="A91" s="10">
        <v>41601000</v>
      </c>
      <c r="B91" s="10" t="s">
        <v>306</v>
      </c>
      <c r="C91" s="11">
        <v>0</v>
      </c>
      <c r="D91" s="11">
        <v>0</v>
      </c>
      <c r="E91" s="11">
        <v>0</v>
      </c>
      <c r="F91" s="13">
        <f>SUMIF('OD 02-23'!A:A,A91,'OD 02-23'!D:D)</f>
        <v>0</v>
      </c>
      <c r="G91" s="13">
        <f>SUMIF('OD 02-23'!A:A,A91,'OD 02-23'!E:E)</f>
        <v>0</v>
      </c>
      <c r="H91" s="14">
        <f t="shared" si="2"/>
        <v>0</v>
      </c>
      <c r="I91" s="14">
        <f t="shared" si="3"/>
        <v>0</v>
      </c>
      <c r="J91" s="8"/>
    </row>
    <row r="92" spans="1:10" x14ac:dyDescent="0.2">
      <c r="A92" s="10">
        <v>41800000</v>
      </c>
      <c r="B92" s="10" t="s">
        <v>307</v>
      </c>
      <c r="C92" s="11">
        <v>0</v>
      </c>
      <c r="D92" s="11">
        <v>0</v>
      </c>
      <c r="E92" s="11">
        <v>0</v>
      </c>
      <c r="F92" s="13">
        <f>SUMIF('OD 02-23'!A:A,A92,'OD 02-23'!D:D)</f>
        <v>0</v>
      </c>
      <c r="G92" s="13">
        <f>SUMIF('OD 02-23'!A:A,A92,'OD 02-23'!E:E)</f>
        <v>0</v>
      </c>
      <c r="H92" s="14">
        <f t="shared" si="2"/>
        <v>0</v>
      </c>
      <c r="I92" s="14">
        <f t="shared" si="3"/>
        <v>0</v>
      </c>
      <c r="J92" s="8"/>
    </row>
    <row r="93" spans="1:10" x14ac:dyDescent="0.2">
      <c r="A93" s="10">
        <v>41910000</v>
      </c>
      <c r="B93" s="10" t="s">
        <v>308</v>
      </c>
      <c r="C93" s="11">
        <v>0</v>
      </c>
      <c r="D93" s="11">
        <v>0</v>
      </c>
      <c r="E93" s="11">
        <v>0</v>
      </c>
      <c r="F93" s="13">
        <f>SUMIF('OD 02-23'!A:A,A93,'OD 02-23'!D:D)</f>
        <v>0</v>
      </c>
      <c r="G93" s="13">
        <f>SUMIF('OD 02-23'!A:A,A93,'OD 02-23'!E:E)</f>
        <v>0</v>
      </c>
      <c r="H93" s="14">
        <f t="shared" si="2"/>
        <v>0</v>
      </c>
      <c r="I93" s="14">
        <f t="shared" si="3"/>
        <v>0</v>
      </c>
      <c r="J93" s="8"/>
    </row>
    <row r="94" spans="1:10" x14ac:dyDescent="0.2">
      <c r="A94" s="10">
        <v>42100000</v>
      </c>
      <c r="B94" s="10" t="s">
        <v>76</v>
      </c>
      <c r="C94" s="11">
        <v>0</v>
      </c>
      <c r="D94" s="11">
        <v>0</v>
      </c>
      <c r="E94" s="11">
        <v>0</v>
      </c>
      <c r="F94" s="13">
        <f>SUMIF('OD 02-23'!A:A,A94,'OD 02-23'!D:D)</f>
        <v>0</v>
      </c>
      <c r="G94" s="13">
        <f>SUMIF('OD 02-23'!A:A,A94,'OD 02-23'!E:E)</f>
        <v>0</v>
      </c>
      <c r="H94" s="14">
        <f t="shared" si="2"/>
        <v>0</v>
      </c>
      <c r="I94" s="14">
        <f t="shared" si="3"/>
        <v>0</v>
      </c>
      <c r="J94" s="8"/>
    </row>
    <row r="95" spans="1:10" x14ac:dyDescent="0.2">
      <c r="A95" s="10">
        <v>42110000</v>
      </c>
      <c r="B95" s="10" t="s">
        <v>309</v>
      </c>
      <c r="C95" s="11">
        <v>0</v>
      </c>
      <c r="D95" s="11">
        <v>0</v>
      </c>
      <c r="E95" s="11">
        <v>0</v>
      </c>
      <c r="F95" s="13">
        <f>SUMIF('OD 02-23'!A:A,A95,'OD 02-23'!D:D)</f>
        <v>0</v>
      </c>
      <c r="G95" s="13">
        <f>SUMIF('OD 02-23'!A:A,A95,'OD 02-23'!E:E)</f>
        <v>0</v>
      </c>
      <c r="H95" s="14">
        <f t="shared" si="2"/>
        <v>0</v>
      </c>
      <c r="I95" s="14">
        <f t="shared" si="3"/>
        <v>0</v>
      </c>
      <c r="J95" s="8"/>
    </row>
    <row r="96" spans="1:10" x14ac:dyDescent="0.2">
      <c r="A96" s="10">
        <v>42120000</v>
      </c>
      <c r="B96" s="10" t="s">
        <v>77</v>
      </c>
      <c r="C96" s="11">
        <v>13891.006999999983</v>
      </c>
      <c r="D96" s="11">
        <v>0</v>
      </c>
      <c r="E96" s="11">
        <v>4900</v>
      </c>
      <c r="F96" s="13">
        <f>SUMIF('OD 02-23'!A:A,A96,'OD 02-23'!D:D)</f>
        <v>0</v>
      </c>
      <c r="G96" s="13">
        <f>SUMIF('OD 02-23'!A:A,A96,'OD 02-23'!E:E)</f>
        <v>0</v>
      </c>
      <c r="H96" s="14">
        <f t="shared" si="2"/>
        <v>-4900</v>
      </c>
      <c r="I96" s="14">
        <f t="shared" si="3"/>
        <v>8991.0069999999832</v>
      </c>
      <c r="J96" s="8" t="s">
        <v>78</v>
      </c>
    </row>
    <row r="97" spans="1:10" x14ac:dyDescent="0.2">
      <c r="A97" s="10">
        <v>42400000</v>
      </c>
      <c r="B97" s="10" t="s">
        <v>79</v>
      </c>
      <c r="C97" s="11">
        <v>0</v>
      </c>
      <c r="D97" s="11">
        <v>0</v>
      </c>
      <c r="E97" s="11">
        <v>0</v>
      </c>
      <c r="F97" s="13">
        <f>SUMIF('OD 02-23'!A:A,A97,'OD 02-23'!D:D)</f>
        <v>0</v>
      </c>
      <c r="G97" s="13">
        <f>SUMIF('OD 02-23'!A:A,A97,'OD 02-23'!E:E)</f>
        <v>0</v>
      </c>
      <c r="H97" s="14">
        <f t="shared" si="2"/>
        <v>0</v>
      </c>
      <c r="I97" s="14">
        <f t="shared" si="3"/>
        <v>0</v>
      </c>
      <c r="J97" s="8"/>
    </row>
    <row r="98" spans="1:10" x14ac:dyDescent="0.2">
      <c r="A98" s="10">
        <v>42500000</v>
      </c>
      <c r="B98" s="10" t="s">
        <v>80</v>
      </c>
      <c r="C98" s="11">
        <v>-235189.63000000067</v>
      </c>
      <c r="D98" s="11">
        <v>1864.7239999999997</v>
      </c>
      <c r="E98" s="11">
        <v>239058.63999999998</v>
      </c>
      <c r="F98" s="13">
        <f>SUMIF('OD 02-23'!A:A,A98,'OD 02-23'!D:D)</f>
        <v>0</v>
      </c>
      <c r="G98" s="13">
        <f>SUMIF('OD 02-23'!A:A,A98,'OD 02-23'!E:E)</f>
        <v>0</v>
      </c>
      <c r="H98" s="14">
        <f t="shared" si="2"/>
        <v>-237193.916</v>
      </c>
      <c r="I98" s="14">
        <f t="shared" si="3"/>
        <v>-472383.54600000067</v>
      </c>
      <c r="J98" s="8" t="s">
        <v>81</v>
      </c>
    </row>
    <row r="99" spans="1:10" x14ac:dyDescent="0.2">
      <c r="A99" s="10">
        <v>42700000</v>
      </c>
      <c r="B99" s="10" t="s">
        <v>310</v>
      </c>
      <c r="C99" s="11">
        <v>0</v>
      </c>
      <c r="D99" s="11">
        <v>0</v>
      </c>
      <c r="E99" s="11">
        <v>0</v>
      </c>
      <c r="F99" s="13">
        <f>SUMIF('OD 02-23'!A:A,A99,'OD 02-23'!D:D)</f>
        <v>0</v>
      </c>
      <c r="G99" s="13">
        <f>SUMIF('OD 02-23'!A:A,A99,'OD 02-23'!E:E)</f>
        <v>0</v>
      </c>
      <c r="H99" s="14">
        <f t="shared" si="2"/>
        <v>0</v>
      </c>
      <c r="I99" s="14">
        <f t="shared" si="3"/>
        <v>0</v>
      </c>
      <c r="J99" s="8"/>
    </row>
    <row r="100" spans="1:10" x14ac:dyDescent="0.2">
      <c r="A100" s="10">
        <v>42710000</v>
      </c>
      <c r="B100" s="10" t="s">
        <v>82</v>
      </c>
      <c r="C100" s="11">
        <v>-1324.6350000000018</v>
      </c>
      <c r="D100" s="11">
        <v>1324.6389999999999</v>
      </c>
      <c r="E100" s="11">
        <v>1324.635</v>
      </c>
      <c r="F100" s="13">
        <f>SUMIF('OD 02-23'!A:A,A100,'OD 02-23'!D:D)</f>
        <v>0</v>
      </c>
      <c r="G100" s="13">
        <f>SUMIF('OD 02-23'!A:A,A100,'OD 02-23'!E:E)</f>
        <v>0</v>
      </c>
      <c r="H100" s="14">
        <f t="shared" si="2"/>
        <v>3.9999999999054126E-3</v>
      </c>
      <c r="I100" s="14">
        <f t="shared" si="3"/>
        <v>-1324.6310000000019</v>
      </c>
      <c r="J100" s="8" t="s">
        <v>81</v>
      </c>
    </row>
    <row r="101" spans="1:10" x14ac:dyDescent="0.2">
      <c r="A101" s="10">
        <v>42820000</v>
      </c>
      <c r="B101" s="10" t="s">
        <v>83</v>
      </c>
      <c r="C101" s="11">
        <v>-190404.0419999999</v>
      </c>
      <c r="D101" s="11">
        <v>0</v>
      </c>
      <c r="E101" s="11">
        <v>0</v>
      </c>
      <c r="F101" s="13">
        <f>SUMIF('OD 02-23'!A:A,A101,'OD 02-23'!D:D)</f>
        <v>0</v>
      </c>
      <c r="G101" s="13">
        <f>SUMIF('OD 02-23'!A:A,A101,'OD 02-23'!E:E)</f>
        <v>0</v>
      </c>
      <c r="H101" s="14">
        <f t="shared" si="2"/>
        <v>0</v>
      </c>
      <c r="I101" s="14">
        <f t="shared" si="3"/>
        <v>-190404.0419999999</v>
      </c>
      <c r="J101" s="8" t="s">
        <v>81</v>
      </c>
    </row>
    <row r="102" spans="1:10" x14ac:dyDescent="0.2">
      <c r="A102" s="10">
        <v>43200000</v>
      </c>
      <c r="B102" s="10" t="s">
        <v>311</v>
      </c>
      <c r="C102" s="11">
        <v>0</v>
      </c>
      <c r="D102" s="11">
        <v>0</v>
      </c>
      <c r="E102" s="11">
        <v>0</v>
      </c>
      <c r="F102" s="13">
        <f>SUMIF('OD 02-23'!A:A,A102,'OD 02-23'!D:D)</f>
        <v>0</v>
      </c>
      <c r="G102" s="13">
        <f>SUMIF('OD 02-23'!A:A,A102,'OD 02-23'!E:E)</f>
        <v>0</v>
      </c>
      <c r="H102" s="14">
        <f t="shared" si="2"/>
        <v>0</v>
      </c>
      <c r="I102" s="14">
        <f t="shared" si="3"/>
        <v>0</v>
      </c>
      <c r="J102" s="8"/>
    </row>
    <row r="103" spans="1:10" x14ac:dyDescent="0.2">
      <c r="A103" s="10">
        <v>43210000</v>
      </c>
      <c r="B103" s="10" t="s">
        <v>84</v>
      </c>
      <c r="C103" s="11">
        <v>-48973.602999999996</v>
      </c>
      <c r="D103" s="11">
        <v>0</v>
      </c>
      <c r="E103" s="11">
        <v>50999.549000000006</v>
      </c>
      <c r="F103" s="13">
        <f>SUMIF('OD 02-23'!A:A,A103,'OD 02-23'!D:D)</f>
        <v>0</v>
      </c>
      <c r="G103" s="13">
        <f>SUMIF('OD 02-23'!A:A,A103,'OD 02-23'!E:E)</f>
        <v>0</v>
      </c>
      <c r="H103" s="14">
        <f t="shared" si="2"/>
        <v>-50999.549000000006</v>
      </c>
      <c r="I103" s="14">
        <f t="shared" si="3"/>
        <v>-99973.152000000002</v>
      </c>
      <c r="J103" s="8" t="s">
        <v>81</v>
      </c>
    </row>
    <row r="104" spans="1:10" x14ac:dyDescent="0.2">
      <c r="A104" s="10">
        <v>43211000</v>
      </c>
      <c r="B104" s="10" t="s">
        <v>312</v>
      </c>
      <c r="C104" s="11">
        <v>0</v>
      </c>
      <c r="D104" s="11">
        <v>1788.0620000000004</v>
      </c>
      <c r="E104" s="11">
        <v>0</v>
      </c>
      <c r="F104" s="13">
        <f>SUMIF('OD 02-23'!A:A,A104,'OD 02-23'!D:D)</f>
        <v>0</v>
      </c>
      <c r="G104" s="13">
        <f>SUMIF('OD 02-23'!A:A,A104,'OD 02-23'!E:E)</f>
        <v>0</v>
      </c>
      <c r="H104" s="14">
        <f t="shared" si="2"/>
        <v>1788.0620000000004</v>
      </c>
      <c r="I104" s="14">
        <f t="shared" si="3"/>
        <v>1788.0620000000004</v>
      </c>
      <c r="J104" s="8" t="s">
        <v>78</v>
      </c>
    </row>
    <row r="105" spans="1:10" x14ac:dyDescent="0.2">
      <c r="A105" s="10">
        <v>43211500</v>
      </c>
      <c r="B105" s="10" t="s">
        <v>85</v>
      </c>
      <c r="C105" s="11">
        <v>0</v>
      </c>
      <c r="D105" s="11">
        <v>0</v>
      </c>
      <c r="E105" s="11">
        <v>0</v>
      </c>
      <c r="F105" s="13">
        <f>SUMIF('OD 02-23'!A:A,A105,'OD 02-23'!D:D)</f>
        <v>0</v>
      </c>
      <c r="G105" s="13">
        <f>SUMIF('OD 02-23'!A:A,A105,'OD 02-23'!E:E)</f>
        <v>0</v>
      </c>
      <c r="H105" s="14">
        <f t="shared" si="2"/>
        <v>0</v>
      </c>
      <c r="I105" s="14">
        <f t="shared" si="3"/>
        <v>0</v>
      </c>
      <c r="J105" s="8"/>
    </row>
    <row r="106" spans="1:10" x14ac:dyDescent="0.2">
      <c r="A106" s="10">
        <v>43212500</v>
      </c>
      <c r="B106" s="10" t="s">
        <v>313</v>
      </c>
      <c r="C106" s="11">
        <v>0</v>
      </c>
      <c r="D106" s="11">
        <v>0</v>
      </c>
      <c r="E106" s="11">
        <v>0</v>
      </c>
      <c r="F106" s="13">
        <f>SUMIF('OD 02-23'!A:A,A106,'OD 02-23'!D:D)</f>
        <v>0</v>
      </c>
      <c r="G106" s="13">
        <f>SUMIF('OD 02-23'!A:A,A106,'OD 02-23'!E:E)</f>
        <v>0</v>
      </c>
      <c r="H106" s="14">
        <f t="shared" si="2"/>
        <v>0</v>
      </c>
      <c r="I106" s="14">
        <f t="shared" si="3"/>
        <v>0</v>
      </c>
      <c r="J106" s="8"/>
    </row>
    <row r="107" spans="1:10" x14ac:dyDescent="0.2">
      <c r="A107" s="10">
        <v>43215000</v>
      </c>
      <c r="B107" s="10" t="s">
        <v>314</v>
      </c>
      <c r="C107" s="11">
        <v>0</v>
      </c>
      <c r="D107" s="11">
        <v>0</v>
      </c>
      <c r="E107" s="11">
        <v>0</v>
      </c>
      <c r="F107" s="13">
        <f>SUMIF('OD 02-23'!A:A,A107,'OD 02-23'!D:D)</f>
        <v>0</v>
      </c>
      <c r="G107" s="13">
        <f>SUMIF('OD 02-23'!A:A,A107,'OD 02-23'!E:E)</f>
        <v>0</v>
      </c>
      <c r="H107" s="14">
        <f t="shared" si="2"/>
        <v>0</v>
      </c>
      <c r="I107" s="14">
        <f t="shared" si="3"/>
        <v>0</v>
      </c>
      <c r="J107" s="8"/>
    </row>
    <row r="108" spans="1:10" x14ac:dyDescent="0.2">
      <c r="A108" s="10">
        <v>43220000</v>
      </c>
      <c r="B108" s="10" t="s">
        <v>86</v>
      </c>
      <c r="C108" s="11">
        <v>0</v>
      </c>
      <c r="D108" s="11">
        <v>0</v>
      </c>
      <c r="E108" s="11">
        <v>0</v>
      </c>
      <c r="F108" s="13">
        <f>SUMIF('OD 02-23'!A:A,A108,'OD 02-23'!D:D)</f>
        <v>0</v>
      </c>
      <c r="G108" s="13">
        <f>SUMIF('OD 02-23'!A:A,A108,'OD 02-23'!E:E)</f>
        <v>0</v>
      </c>
      <c r="H108" s="14">
        <f t="shared" si="2"/>
        <v>0</v>
      </c>
      <c r="I108" s="14">
        <f t="shared" si="3"/>
        <v>0</v>
      </c>
      <c r="J108" s="8" t="s">
        <v>81</v>
      </c>
    </row>
    <row r="109" spans="1:10" x14ac:dyDescent="0.2">
      <c r="A109" s="10">
        <v>43220050</v>
      </c>
      <c r="B109" s="10" t="s">
        <v>315</v>
      </c>
      <c r="C109" s="11">
        <v>-1949.4209999999998</v>
      </c>
      <c r="D109" s="11">
        <v>0</v>
      </c>
      <c r="E109" s="11">
        <v>2997.9279999999999</v>
      </c>
      <c r="F109" s="13">
        <f>SUMIF('OD 02-23'!A:A,A109,'OD 02-23'!D:D)</f>
        <v>0</v>
      </c>
      <c r="G109" s="13">
        <f>SUMIF('OD 02-23'!A:A,A109,'OD 02-23'!E:E)</f>
        <v>0</v>
      </c>
      <c r="H109" s="14">
        <f t="shared" si="2"/>
        <v>-2997.9279999999999</v>
      </c>
      <c r="I109" s="14">
        <f t="shared" si="3"/>
        <v>-4947.3490000000002</v>
      </c>
      <c r="J109" s="8" t="s">
        <v>81</v>
      </c>
    </row>
    <row r="110" spans="1:10" x14ac:dyDescent="0.2">
      <c r="A110" s="10">
        <v>43220100</v>
      </c>
      <c r="B110" s="10" t="s">
        <v>87</v>
      </c>
      <c r="C110" s="11">
        <v>-18472.080000000049</v>
      </c>
      <c r="D110" s="11">
        <v>0</v>
      </c>
      <c r="E110" s="11">
        <v>15412.591</v>
      </c>
      <c r="F110" s="13">
        <f>SUMIF('OD 02-23'!A:A,A110,'OD 02-23'!D:D)</f>
        <v>0</v>
      </c>
      <c r="G110" s="13">
        <f>SUMIF('OD 02-23'!A:A,A110,'OD 02-23'!E:E)</f>
        <v>0</v>
      </c>
      <c r="H110" s="14">
        <f t="shared" si="2"/>
        <v>-15412.591</v>
      </c>
      <c r="I110" s="14">
        <f t="shared" si="3"/>
        <v>-33884.671000000046</v>
      </c>
      <c r="J110" s="8" t="s">
        <v>81</v>
      </c>
    </row>
    <row r="111" spans="1:10" x14ac:dyDescent="0.2">
      <c r="A111" s="10">
        <v>43220300</v>
      </c>
      <c r="B111" s="10" t="s">
        <v>88</v>
      </c>
      <c r="C111" s="11">
        <v>-240.28799999999987</v>
      </c>
      <c r="D111" s="11">
        <v>0</v>
      </c>
      <c r="E111" s="11">
        <v>0</v>
      </c>
      <c r="F111" s="13">
        <f>SUMIF('OD 02-23'!A:A,A111,'OD 02-23'!D:D)</f>
        <v>0</v>
      </c>
      <c r="G111" s="13">
        <f>SUMIF('OD 02-23'!A:A,A111,'OD 02-23'!E:E)</f>
        <v>0</v>
      </c>
      <c r="H111" s="14">
        <f t="shared" si="2"/>
        <v>0</v>
      </c>
      <c r="I111" s="14">
        <f t="shared" si="3"/>
        <v>-240.28799999999987</v>
      </c>
      <c r="J111" s="8" t="s">
        <v>81</v>
      </c>
    </row>
    <row r="112" spans="1:10" x14ac:dyDescent="0.2">
      <c r="A112" s="10">
        <v>43221000</v>
      </c>
      <c r="B112" s="10" t="s">
        <v>89</v>
      </c>
      <c r="C112" s="11">
        <v>-1.9999999785795808E-3</v>
      </c>
      <c r="D112" s="11">
        <v>0</v>
      </c>
      <c r="E112" s="11">
        <v>538.88800000000003</v>
      </c>
      <c r="F112" s="13">
        <f>SUMIF('OD 02-23'!A:A,A112,'OD 02-23'!D:D)</f>
        <v>0</v>
      </c>
      <c r="G112" s="13">
        <f>SUMIF('OD 02-23'!A:A,A112,'OD 02-23'!E:E)</f>
        <v>0</v>
      </c>
      <c r="H112" s="14">
        <f t="shared" si="2"/>
        <v>-538.88800000000003</v>
      </c>
      <c r="I112" s="14">
        <f t="shared" si="3"/>
        <v>-538.88999999997861</v>
      </c>
      <c r="J112" s="8" t="s">
        <v>81</v>
      </c>
    </row>
    <row r="113" spans="1:10" x14ac:dyDescent="0.2">
      <c r="A113" s="10">
        <v>43222000</v>
      </c>
      <c r="B113" s="10" t="s">
        <v>316</v>
      </c>
      <c r="C113" s="11">
        <v>0</v>
      </c>
      <c r="D113" s="11">
        <v>0</v>
      </c>
      <c r="E113" s="11">
        <v>10000</v>
      </c>
      <c r="F113" s="13">
        <f>SUMIF('OD 02-23'!A:A,A113,'OD 02-23'!D:D)</f>
        <v>0</v>
      </c>
      <c r="G113" s="13">
        <f>SUMIF('OD 02-23'!A:A,A113,'OD 02-23'!E:E)</f>
        <v>0</v>
      </c>
      <c r="H113" s="14">
        <f t="shared" si="2"/>
        <v>-10000</v>
      </c>
      <c r="I113" s="14">
        <f t="shared" si="3"/>
        <v>-10000</v>
      </c>
      <c r="J113" s="8" t="s">
        <v>81</v>
      </c>
    </row>
    <row r="114" spans="1:10" x14ac:dyDescent="0.2">
      <c r="A114" s="10">
        <v>43223000</v>
      </c>
      <c r="B114" s="10" t="s">
        <v>90</v>
      </c>
      <c r="C114" s="11">
        <v>-807.02500000003147</v>
      </c>
      <c r="D114" s="11">
        <v>0</v>
      </c>
      <c r="E114" s="11">
        <v>1303.7810000000002</v>
      </c>
      <c r="F114" s="13">
        <f>SUMIF('OD 02-23'!A:A,A114,'OD 02-23'!D:D)</f>
        <v>0</v>
      </c>
      <c r="G114" s="13">
        <f>SUMIF('OD 02-23'!A:A,A114,'OD 02-23'!E:E)</f>
        <v>0</v>
      </c>
      <c r="H114" s="14">
        <f t="shared" si="2"/>
        <v>-1303.7810000000002</v>
      </c>
      <c r="I114" s="14">
        <f t="shared" si="3"/>
        <v>-2110.8060000000314</v>
      </c>
      <c r="J114" s="8" t="s">
        <v>81</v>
      </c>
    </row>
    <row r="115" spans="1:10" x14ac:dyDescent="0.2">
      <c r="A115" s="10">
        <v>43310000</v>
      </c>
      <c r="B115" s="10" t="s">
        <v>317</v>
      </c>
      <c r="C115" s="11">
        <v>0</v>
      </c>
      <c r="D115" s="11">
        <v>0</v>
      </c>
      <c r="E115" s="11">
        <v>0</v>
      </c>
      <c r="F115" s="13">
        <f>SUMIF('OD 02-23'!A:A,A115,'OD 02-23'!D:D)</f>
        <v>0</v>
      </c>
      <c r="G115" s="13">
        <f>SUMIF('OD 02-23'!A:A,A115,'OD 02-23'!E:E)</f>
        <v>0</v>
      </c>
      <c r="H115" s="14">
        <f t="shared" si="2"/>
        <v>0</v>
      </c>
      <c r="I115" s="14">
        <f t="shared" si="3"/>
        <v>0</v>
      </c>
      <c r="J115" s="8"/>
    </row>
    <row r="116" spans="1:10" x14ac:dyDescent="0.2">
      <c r="A116" s="10">
        <v>43400000</v>
      </c>
      <c r="B116" s="10" t="s">
        <v>91</v>
      </c>
      <c r="C116" s="11">
        <v>427842.31400000013</v>
      </c>
      <c r="D116" s="11">
        <v>0</v>
      </c>
      <c r="E116" s="11">
        <v>0</v>
      </c>
      <c r="F116" s="13">
        <f>SUMIF('OD 02-23'!A:A,A116,'OD 02-23'!D:D)</f>
        <v>0</v>
      </c>
      <c r="G116" s="13">
        <f>SUMIF('OD 02-23'!A:A,A116,'OD 02-23'!E:E)</f>
        <v>0</v>
      </c>
      <c r="H116" s="14">
        <f t="shared" si="2"/>
        <v>0</v>
      </c>
      <c r="I116" s="14">
        <f t="shared" si="3"/>
        <v>427842.31400000013</v>
      </c>
      <c r="J116" s="8" t="s">
        <v>78</v>
      </c>
    </row>
    <row r="117" spans="1:10" x14ac:dyDescent="0.2">
      <c r="A117" s="10">
        <v>43410000</v>
      </c>
      <c r="B117" s="10" t="s">
        <v>318</v>
      </c>
      <c r="C117" s="11">
        <v>435784.8719999998</v>
      </c>
      <c r="D117" s="11">
        <v>36404.031999999999</v>
      </c>
      <c r="E117" s="11">
        <v>0</v>
      </c>
      <c r="F117" s="13">
        <f>SUMIF('OD 02-23'!A:A,A117,'OD 02-23'!D:D)</f>
        <v>0</v>
      </c>
      <c r="G117" s="13">
        <f>SUMIF('OD 02-23'!A:A,A117,'OD 02-23'!E:E)</f>
        <v>0</v>
      </c>
      <c r="H117" s="14">
        <f t="shared" si="2"/>
        <v>36404.031999999999</v>
      </c>
      <c r="I117" s="14">
        <f t="shared" si="3"/>
        <v>472188.90399999981</v>
      </c>
      <c r="J117" s="8" t="s">
        <v>78</v>
      </c>
    </row>
    <row r="118" spans="1:10" x14ac:dyDescent="0.2">
      <c r="A118" s="10">
        <v>43420000</v>
      </c>
      <c r="B118" s="10" t="s">
        <v>92</v>
      </c>
      <c r="C118" s="11">
        <v>0</v>
      </c>
      <c r="D118" s="11">
        <v>0</v>
      </c>
      <c r="E118" s="11">
        <v>0</v>
      </c>
      <c r="F118" s="13">
        <f>SUMIF('OD 02-23'!A:A,A118,'OD 02-23'!D:D)</f>
        <v>0</v>
      </c>
      <c r="G118" s="13">
        <f>SUMIF('OD 02-23'!A:A,A118,'OD 02-23'!E:E)</f>
        <v>0</v>
      </c>
      <c r="H118" s="14">
        <f t="shared" si="2"/>
        <v>0</v>
      </c>
      <c r="I118" s="14">
        <f t="shared" si="3"/>
        <v>0</v>
      </c>
      <c r="J118" s="8"/>
    </row>
    <row r="119" spans="1:10" x14ac:dyDescent="0.2">
      <c r="A119" s="10">
        <v>43430000</v>
      </c>
      <c r="B119" s="10" t="s">
        <v>319</v>
      </c>
      <c r="C119" s="11">
        <v>0</v>
      </c>
      <c r="D119" s="11">
        <v>0</v>
      </c>
      <c r="E119" s="11">
        <v>0</v>
      </c>
      <c r="F119" s="13">
        <f>SUMIF('OD 02-23'!A:A,A119,'OD 02-23'!D:D)</f>
        <v>0</v>
      </c>
      <c r="G119" s="13">
        <f>SUMIF('OD 02-23'!A:A,A119,'OD 02-23'!E:E)</f>
        <v>0</v>
      </c>
      <c r="H119" s="14">
        <f t="shared" si="2"/>
        <v>0</v>
      </c>
      <c r="I119" s="14">
        <f t="shared" si="3"/>
        <v>0</v>
      </c>
      <c r="J119" s="8" t="s">
        <v>78</v>
      </c>
    </row>
    <row r="120" spans="1:10" x14ac:dyDescent="0.2">
      <c r="A120" s="10">
        <v>43440000</v>
      </c>
      <c r="B120" s="10" t="s">
        <v>320</v>
      </c>
      <c r="C120" s="11">
        <v>0</v>
      </c>
      <c r="D120" s="11">
        <v>0</v>
      </c>
      <c r="E120" s="11">
        <v>0</v>
      </c>
      <c r="F120" s="13">
        <f>SUMIF('OD 02-23'!A:A,A120,'OD 02-23'!D:D)</f>
        <v>0</v>
      </c>
      <c r="G120" s="13">
        <f>SUMIF('OD 02-23'!A:A,A120,'OD 02-23'!E:E)</f>
        <v>0</v>
      </c>
      <c r="H120" s="14">
        <f t="shared" si="2"/>
        <v>0</v>
      </c>
      <c r="I120" s="14">
        <f t="shared" si="3"/>
        <v>0</v>
      </c>
      <c r="J120" s="8" t="s">
        <v>78</v>
      </c>
    </row>
    <row r="121" spans="1:10" x14ac:dyDescent="0.2">
      <c r="A121" s="10">
        <v>43500000</v>
      </c>
      <c r="B121" s="10" t="s">
        <v>321</v>
      </c>
      <c r="C121" s="11">
        <v>0</v>
      </c>
      <c r="D121" s="11">
        <v>0</v>
      </c>
      <c r="E121" s="11">
        <v>0</v>
      </c>
      <c r="F121" s="13">
        <f>SUMIF('OD 02-23'!A:A,A121,'OD 02-23'!D:D)</f>
        <v>0</v>
      </c>
      <c r="G121" s="13">
        <f>SUMIF('OD 02-23'!A:A,A121,'OD 02-23'!E:E)</f>
        <v>0</v>
      </c>
      <c r="H121" s="14">
        <f t="shared" si="2"/>
        <v>0</v>
      </c>
      <c r="I121" s="14">
        <f t="shared" si="3"/>
        <v>0</v>
      </c>
      <c r="J121" s="8"/>
    </row>
    <row r="122" spans="1:10" x14ac:dyDescent="0.2">
      <c r="A122" s="10">
        <v>43600000</v>
      </c>
      <c r="B122" s="10" t="s">
        <v>93</v>
      </c>
      <c r="C122" s="11">
        <v>324233.75899998844</v>
      </c>
      <c r="D122" s="11">
        <v>0</v>
      </c>
      <c r="E122" s="11">
        <v>0</v>
      </c>
      <c r="F122" s="13">
        <f>SUMIF('OD 02-23'!A:A,A122,'OD 02-23'!D:D)</f>
        <v>0</v>
      </c>
      <c r="G122" s="13">
        <f>SUMIF('OD 02-23'!A:A,A122,'OD 02-23'!E:E)</f>
        <v>0</v>
      </c>
      <c r="H122" s="14">
        <f t="shared" si="2"/>
        <v>0</v>
      </c>
      <c r="I122" s="14">
        <f t="shared" si="3"/>
        <v>324233.75899998844</v>
      </c>
      <c r="J122" s="8" t="s">
        <v>78</v>
      </c>
    </row>
    <row r="123" spans="1:10" x14ac:dyDescent="0.2">
      <c r="A123" s="10">
        <v>43625000</v>
      </c>
      <c r="B123" s="10" t="s">
        <v>94</v>
      </c>
      <c r="C123" s="11">
        <v>-18194.373000000138</v>
      </c>
      <c r="D123" s="11">
        <v>685.89100000000008</v>
      </c>
      <c r="E123" s="11">
        <v>25257.108</v>
      </c>
      <c r="F123" s="13">
        <f>SUMIF('OD 02-23'!A:A,A123,'OD 02-23'!D:D)</f>
        <v>0</v>
      </c>
      <c r="G123" s="13">
        <f>SUMIF('OD 02-23'!A:A,A123,'OD 02-23'!E:E)</f>
        <v>0</v>
      </c>
      <c r="H123" s="14">
        <f t="shared" si="2"/>
        <v>-24571.217000000001</v>
      </c>
      <c r="I123" s="14">
        <f t="shared" si="3"/>
        <v>-42765.590000000142</v>
      </c>
      <c r="J123" s="8" t="s">
        <v>81</v>
      </c>
    </row>
    <row r="124" spans="1:10" x14ac:dyDescent="0.2">
      <c r="A124" s="10">
        <v>43627000</v>
      </c>
      <c r="B124" s="10" t="s">
        <v>95</v>
      </c>
      <c r="C124" s="11">
        <v>-127360.62500000001</v>
      </c>
      <c r="D124" s="11">
        <v>4801.24</v>
      </c>
      <c r="E124" s="11">
        <v>176799.76</v>
      </c>
      <c r="F124" s="13">
        <f>SUMIF('OD 02-23'!A:A,A124,'OD 02-23'!D:D)</f>
        <v>0</v>
      </c>
      <c r="G124" s="13">
        <f>SUMIF('OD 02-23'!A:A,A124,'OD 02-23'!E:E)</f>
        <v>0</v>
      </c>
      <c r="H124" s="14">
        <f t="shared" si="2"/>
        <v>-171998.52000000002</v>
      </c>
      <c r="I124" s="14">
        <f t="shared" si="3"/>
        <v>-299359.14500000002</v>
      </c>
      <c r="J124" s="8" t="s">
        <v>81</v>
      </c>
    </row>
    <row r="125" spans="1:10" x14ac:dyDescent="0.2">
      <c r="A125" s="10">
        <v>43630600</v>
      </c>
      <c r="B125" s="10" t="s">
        <v>322</v>
      </c>
      <c r="C125" s="11">
        <v>0</v>
      </c>
      <c r="D125" s="11">
        <v>0</v>
      </c>
      <c r="E125" s="11">
        <v>0</v>
      </c>
      <c r="F125" s="13">
        <f>SUMIF('OD 02-23'!A:A,A125,'OD 02-23'!D:D)</f>
        <v>0</v>
      </c>
      <c r="G125" s="13">
        <f>SUMIF('OD 02-23'!A:A,A125,'OD 02-23'!E:E)</f>
        <v>0</v>
      </c>
      <c r="H125" s="14">
        <f t="shared" si="2"/>
        <v>0</v>
      </c>
      <c r="I125" s="14">
        <f t="shared" si="3"/>
        <v>0</v>
      </c>
      <c r="J125" s="8"/>
    </row>
    <row r="126" spans="1:10" x14ac:dyDescent="0.2">
      <c r="A126" s="10">
        <v>43630700</v>
      </c>
      <c r="B126" s="10" t="s">
        <v>96</v>
      </c>
      <c r="C126" s="11">
        <v>227.81700000000001</v>
      </c>
      <c r="D126" s="11">
        <v>772.20600000000002</v>
      </c>
      <c r="E126" s="11">
        <v>0</v>
      </c>
      <c r="F126" s="13">
        <f>SUMIF('OD 02-23'!A:A,A126,'OD 02-23'!D:D)</f>
        <v>0</v>
      </c>
      <c r="G126" s="13">
        <f>SUMIF('OD 02-23'!A:A,A126,'OD 02-23'!E:E)</f>
        <v>0</v>
      </c>
      <c r="H126" s="14">
        <f t="shared" si="2"/>
        <v>772.20600000000002</v>
      </c>
      <c r="I126" s="14">
        <f t="shared" si="3"/>
        <v>1000.023</v>
      </c>
      <c r="J126" s="8" t="s">
        <v>78</v>
      </c>
    </row>
    <row r="127" spans="1:10" x14ac:dyDescent="0.2">
      <c r="A127" s="10">
        <v>43631000</v>
      </c>
      <c r="B127" s="10" t="s">
        <v>323</v>
      </c>
      <c r="C127" s="11">
        <v>0</v>
      </c>
      <c r="D127" s="11">
        <v>0</v>
      </c>
      <c r="E127" s="11">
        <v>0</v>
      </c>
      <c r="F127" s="13">
        <f>SUMIF('OD 02-23'!A:A,A127,'OD 02-23'!D:D)</f>
        <v>0</v>
      </c>
      <c r="G127" s="13">
        <f>SUMIF('OD 02-23'!A:A,A127,'OD 02-23'!E:E)</f>
        <v>0</v>
      </c>
      <c r="H127" s="14">
        <f t="shared" si="2"/>
        <v>0</v>
      </c>
      <c r="I127" s="14">
        <f t="shared" si="3"/>
        <v>0</v>
      </c>
      <c r="J127" s="8"/>
    </row>
    <row r="128" spans="1:10" x14ac:dyDescent="0.2">
      <c r="A128" s="10">
        <v>43631300</v>
      </c>
      <c r="B128" s="10" t="s">
        <v>324</v>
      </c>
      <c r="C128" s="11">
        <v>129.994</v>
      </c>
      <c r="D128" s="11">
        <v>1919.393</v>
      </c>
      <c r="E128" s="11">
        <v>0</v>
      </c>
      <c r="F128" s="13">
        <f>SUMIF('OD 02-23'!A:A,A128,'OD 02-23'!D:D)</f>
        <v>0</v>
      </c>
      <c r="G128" s="13">
        <f>SUMIF('OD 02-23'!A:A,A128,'OD 02-23'!E:E)</f>
        <v>0</v>
      </c>
      <c r="H128" s="14">
        <f t="shared" si="2"/>
        <v>1919.393</v>
      </c>
      <c r="I128" s="14">
        <f t="shared" si="3"/>
        <v>2049.3870000000002</v>
      </c>
      <c r="J128" s="8" t="s">
        <v>78</v>
      </c>
    </row>
    <row r="129" spans="1:10" x14ac:dyDescent="0.2">
      <c r="A129" s="10">
        <v>43631800</v>
      </c>
      <c r="B129" s="10" t="s">
        <v>325</v>
      </c>
      <c r="C129" s="11">
        <v>0</v>
      </c>
      <c r="D129" s="11">
        <v>0</v>
      </c>
      <c r="E129" s="11">
        <v>0</v>
      </c>
      <c r="F129" s="13">
        <f>SUMIF('OD 02-23'!A:A,A129,'OD 02-23'!D:D)</f>
        <v>0</v>
      </c>
      <c r="G129" s="13">
        <f>SUMIF('OD 02-23'!A:A,A129,'OD 02-23'!E:E)</f>
        <v>0</v>
      </c>
      <c r="H129" s="14">
        <f t="shared" si="2"/>
        <v>0</v>
      </c>
      <c r="I129" s="14">
        <f t="shared" si="3"/>
        <v>0</v>
      </c>
      <c r="J129" s="8"/>
    </row>
    <row r="130" spans="1:10" x14ac:dyDescent="0.2">
      <c r="A130" s="10">
        <v>43631900</v>
      </c>
      <c r="B130" s="10" t="s">
        <v>97</v>
      </c>
      <c r="C130" s="11">
        <v>506084.59299999999</v>
      </c>
      <c r="D130" s="11">
        <v>496152.788</v>
      </c>
      <c r="E130" s="11">
        <v>0</v>
      </c>
      <c r="F130" s="13">
        <f>SUMIF('OD 02-23'!A:A,A130,'OD 02-23'!D:D)</f>
        <v>0</v>
      </c>
      <c r="G130" s="13">
        <f>SUMIF('OD 02-23'!A:A,A130,'OD 02-23'!E:E)</f>
        <v>0</v>
      </c>
      <c r="H130" s="14">
        <f t="shared" ref="H130:H193" si="4">+D130+F130-E130-G130</f>
        <v>496152.788</v>
      </c>
      <c r="I130" s="14">
        <f t="shared" ref="I130:I193" si="5">+H130+C130</f>
        <v>1002237.3810000001</v>
      </c>
      <c r="J130" s="8" t="s">
        <v>78</v>
      </c>
    </row>
    <row r="131" spans="1:10" x14ac:dyDescent="0.2">
      <c r="A131" s="10">
        <v>43661800</v>
      </c>
      <c r="B131" s="10" t="s">
        <v>326</v>
      </c>
      <c r="C131" s="11">
        <v>0</v>
      </c>
      <c r="D131" s="11">
        <v>0</v>
      </c>
      <c r="E131" s="11">
        <v>0</v>
      </c>
      <c r="F131" s="13">
        <f>SUMIF('OD 02-23'!A:A,A131,'OD 02-23'!D:D)</f>
        <v>0</v>
      </c>
      <c r="G131" s="13">
        <f>SUMIF('OD 02-23'!A:A,A131,'OD 02-23'!E:E)</f>
        <v>0</v>
      </c>
      <c r="H131" s="14">
        <f t="shared" si="4"/>
        <v>0</v>
      </c>
      <c r="I131" s="14">
        <f t="shared" si="5"/>
        <v>0</v>
      </c>
      <c r="J131" s="8"/>
    </row>
    <row r="132" spans="1:10" x14ac:dyDescent="0.2">
      <c r="A132" s="10">
        <v>43671000</v>
      </c>
      <c r="B132" s="10" t="s">
        <v>98</v>
      </c>
      <c r="C132" s="11">
        <v>-373302.44300000241</v>
      </c>
      <c r="D132" s="11">
        <v>14074.49</v>
      </c>
      <c r="E132" s="11">
        <v>519966.64399999997</v>
      </c>
      <c r="F132" s="13">
        <f>SUMIF('OD 02-23'!A:A,A132,'OD 02-23'!D:D)</f>
        <v>0</v>
      </c>
      <c r="G132" s="13">
        <f>SUMIF('OD 02-23'!A:A,A132,'OD 02-23'!E:E)</f>
        <v>0</v>
      </c>
      <c r="H132" s="14">
        <f t="shared" si="4"/>
        <v>-505892.15399999998</v>
      </c>
      <c r="I132" s="14">
        <f t="shared" si="5"/>
        <v>-879194.5970000024</v>
      </c>
      <c r="J132" s="8" t="s">
        <v>81</v>
      </c>
    </row>
    <row r="133" spans="1:10" x14ac:dyDescent="0.2">
      <c r="A133" s="10">
        <v>43700000</v>
      </c>
      <c r="B133" s="10" t="s">
        <v>99</v>
      </c>
      <c r="C133" s="11">
        <v>-3</v>
      </c>
      <c r="D133" s="11">
        <v>1</v>
      </c>
      <c r="E133" s="11">
        <v>5</v>
      </c>
      <c r="F133" s="13">
        <f>SUMIF('OD 02-23'!A:A,A133,'OD 02-23'!D:D)</f>
        <v>0</v>
      </c>
      <c r="G133" s="13">
        <f>SUMIF('OD 02-23'!A:A,A133,'OD 02-23'!E:E)</f>
        <v>0</v>
      </c>
      <c r="H133" s="14">
        <f t="shared" si="4"/>
        <v>-4</v>
      </c>
      <c r="I133" s="14">
        <f t="shared" si="5"/>
        <v>-7</v>
      </c>
      <c r="J133" s="8" t="s">
        <v>81</v>
      </c>
    </row>
    <row r="134" spans="1:10" x14ac:dyDescent="0.2">
      <c r="A134" s="10">
        <v>43720000</v>
      </c>
      <c r="B134" s="10" t="s">
        <v>327</v>
      </c>
      <c r="C134" s="11">
        <v>0</v>
      </c>
      <c r="D134" s="11">
        <v>0</v>
      </c>
      <c r="E134" s="11">
        <v>0</v>
      </c>
      <c r="F134" s="13">
        <f>SUMIF('OD 02-23'!A:A,A134,'OD 02-23'!D:D)</f>
        <v>0</v>
      </c>
      <c r="G134" s="13">
        <f>SUMIF('OD 02-23'!A:A,A134,'OD 02-23'!E:E)</f>
        <v>0</v>
      </c>
      <c r="H134" s="14">
        <f t="shared" si="4"/>
        <v>0</v>
      </c>
      <c r="I134" s="14">
        <f t="shared" si="5"/>
        <v>0</v>
      </c>
      <c r="J134" s="8"/>
    </row>
    <row r="135" spans="1:10" x14ac:dyDescent="0.2">
      <c r="A135" s="10">
        <v>43756000</v>
      </c>
      <c r="B135" s="10" t="s">
        <v>328</v>
      </c>
      <c r="C135" s="11">
        <v>0</v>
      </c>
      <c r="D135" s="11">
        <v>0</v>
      </c>
      <c r="E135" s="11">
        <v>0</v>
      </c>
      <c r="F135" s="13">
        <f>SUMIF('OD 02-23'!A:A,A135,'OD 02-23'!D:D)</f>
        <v>0</v>
      </c>
      <c r="G135" s="13">
        <f>SUMIF('OD 02-23'!A:A,A135,'OD 02-23'!E:E)</f>
        <v>0</v>
      </c>
      <c r="H135" s="14">
        <f t="shared" si="4"/>
        <v>0</v>
      </c>
      <c r="I135" s="14">
        <f t="shared" si="5"/>
        <v>0</v>
      </c>
      <c r="J135" s="8"/>
    </row>
    <row r="136" spans="1:10" x14ac:dyDescent="0.2">
      <c r="A136" s="10">
        <v>44100000</v>
      </c>
      <c r="B136" s="10" t="s">
        <v>329</v>
      </c>
      <c r="C136" s="11">
        <v>0</v>
      </c>
      <c r="D136" s="11">
        <v>0</v>
      </c>
      <c r="E136" s="11">
        <v>0</v>
      </c>
      <c r="F136" s="13">
        <f>SUMIF('OD 02-23'!A:A,A136,'OD 02-23'!D:D)</f>
        <v>0</v>
      </c>
      <c r="G136" s="13">
        <f>SUMIF('OD 02-23'!A:A,A136,'OD 02-23'!E:E)</f>
        <v>0</v>
      </c>
      <c r="H136" s="14">
        <f t="shared" si="4"/>
        <v>0</v>
      </c>
      <c r="I136" s="14">
        <f t="shared" si="5"/>
        <v>0</v>
      </c>
      <c r="J136" s="8"/>
    </row>
    <row r="137" spans="1:10" x14ac:dyDescent="0.2">
      <c r="A137" s="10">
        <v>44200000</v>
      </c>
      <c r="B137" s="10" t="s">
        <v>330</v>
      </c>
      <c r="C137" s="11">
        <v>0</v>
      </c>
      <c r="D137" s="11">
        <v>0</v>
      </c>
      <c r="E137" s="11">
        <v>0</v>
      </c>
      <c r="F137" s="13">
        <f>SUMIF('OD 02-23'!A:A,A137,'OD 02-23'!D:D)</f>
        <v>0</v>
      </c>
      <c r="G137" s="13">
        <f>SUMIF('OD 02-23'!A:A,A137,'OD 02-23'!E:E)</f>
        <v>0</v>
      </c>
      <c r="H137" s="14">
        <f t="shared" si="4"/>
        <v>0</v>
      </c>
      <c r="I137" s="14">
        <f t="shared" si="5"/>
        <v>0</v>
      </c>
      <c r="J137" s="8"/>
    </row>
    <row r="138" spans="1:10" x14ac:dyDescent="0.2">
      <c r="A138" s="10">
        <v>44201000</v>
      </c>
      <c r="B138" s="10" t="s">
        <v>331</v>
      </c>
      <c r="C138" s="11">
        <v>0</v>
      </c>
      <c r="D138" s="11">
        <v>0</v>
      </c>
      <c r="E138" s="11">
        <v>0</v>
      </c>
      <c r="F138" s="13">
        <f>SUMIF('OD 02-23'!A:A,A138,'OD 02-23'!D:D)</f>
        <v>0</v>
      </c>
      <c r="G138" s="13">
        <f>SUMIF('OD 02-23'!A:A,A138,'OD 02-23'!E:E)</f>
        <v>0</v>
      </c>
      <c r="H138" s="14">
        <f t="shared" si="4"/>
        <v>0</v>
      </c>
      <c r="I138" s="14">
        <f t="shared" si="5"/>
        <v>0</v>
      </c>
      <c r="J138" s="8"/>
    </row>
    <row r="139" spans="1:10" x14ac:dyDescent="0.2">
      <c r="A139" s="10">
        <v>44202000</v>
      </c>
      <c r="B139" s="10" t="s">
        <v>332</v>
      </c>
      <c r="C139" s="11">
        <v>0</v>
      </c>
      <c r="D139" s="11">
        <v>0</v>
      </c>
      <c r="E139" s="11">
        <v>0</v>
      </c>
      <c r="F139" s="13">
        <f>SUMIF('OD 02-23'!A:A,A139,'OD 02-23'!D:D)</f>
        <v>0</v>
      </c>
      <c r="G139" s="13">
        <f>SUMIF('OD 02-23'!A:A,A139,'OD 02-23'!E:E)</f>
        <v>0</v>
      </c>
      <c r="H139" s="14">
        <f t="shared" si="4"/>
        <v>0</v>
      </c>
      <c r="I139" s="14">
        <f t="shared" si="5"/>
        <v>0</v>
      </c>
      <c r="J139" s="8"/>
    </row>
    <row r="140" spans="1:10" x14ac:dyDescent="0.2">
      <c r="A140" s="10">
        <v>44203000</v>
      </c>
      <c r="B140" s="10" t="s">
        <v>333</v>
      </c>
      <c r="C140" s="11">
        <v>0</v>
      </c>
      <c r="D140" s="11">
        <v>0</v>
      </c>
      <c r="E140" s="11">
        <v>0</v>
      </c>
      <c r="F140" s="13">
        <f>SUMIF('OD 02-23'!A:A,A140,'OD 02-23'!D:D)</f>
        <v>0</v>
      </c>
      <c r="G140" s="13">
        <f>SUMIF('OD 02-23'!A:A,A140,'OD 02-23'!E:E)</f>
        <v>0</v>
      </c>
      <c r="H140" s="14">
        <f t="shared" si="4"/>
        <v>0</v>
      </c>
      <c r="I140" s="14">
        <f t="shared" si="5"/>
        <v>0</v>
      </c>
      <c r="J140" s="8"/>
    </row>
    <row r="141" spans="1:10" x14ac:dyDescent="0.2">
      <c r="A141" s="10">
        <v>44204000</v>
      </c>
      <c r="B141" s="10" t="s">
        <v>334</v>
      </c>
      <c r="C141" s="11">
        <v>0</v>
      </c>
      <c r="D141" s="11">
        <v>0</v>
      </c>
      <c r="E141" s="11">
        <v>0</v>
      </c>
      <c r="F141" s="13">
        <f>SUMIF('OD 02-23'!A:A,A141,'OD 02-23'!D:D)</f>
        <v>0</v>
      </c>
      <c r="G141" s="13">
        <f>SUMIF('OD 02-23'!A:A,A141,'OD 02-23'!E:E)</f>
        <v>0</v>
      </c>
      <c r="H141" s="14">
        <f t="shared" si="4"/>
        <v>0</v>
      </c>
      <c r="I141" s="14">
        <f t="shared" si="5"/>
        <v>0</v>
      </c>
      <c r="J141" s="8"/>
    </row>
    <row r="142" spans="1:10" x14ac:dyDescent="0.2">
      <c r="A142" s="10">
        <v>44205000</v>
      </c>
      <c r="B142" s="10" t="s">
        <v>335</v>
      </c>
      <c r="C142" s="11">
        <v>0</v>
      </c>
      <c r="D142" s="11">
        <v>0</v>
      </c>
      <c r="E142" s="11">
        <v>0</v>
      </c>
      <c r="F142" s="13">
        <f>SUMIF('OD 02-23'!A:A,A142,'OD 02-23'!D:D)</f>
        <v>0</v>
      </c>
      <c r="G142" s="13">
        <f>SUMIF('OD 02-23'!A:A,A142,'OD 02-23'!E:E)</f>
        <v>0</v>
      </c>
      <c r="H142" s="14">
        <f t="shared" si="4"/>
        <v>0</v>
      </c>
      <c r="I142" s="14">
        <f t="shared" si="5"/>
        <v>0</v>
      </c>
      <c r="J142" s="8"/>
    </row>
    <row r="143" spans="1:10" x14ac:dyDescent="0.2">
      <c r="A143" s="10">
        <v>44206000</v>
      </c>
      <c r="B143" s="10" t="s">
        <v>100</v>
      </c>
      <c r="C143" s="11">
        <v>-764999.99999999988</v>
      </c>
      <c r="D143" s="11">
        <v>0</v>
      </c>
      <c r="E143" s="11">
        <v>0</v>
      </c>
      <c r="F143" s="13">
        <f>SUMIF('OD 02-23'!A:A,A143,'OD 02-23'!D:D)</f>
        <v>0</v>
      </c>
      <c r="G143" s="13">
        <f>SUMIF('OD 02-23'!A:A,A143,'OD 02-23'!E:E)</f>
        <v>0</v>
      </c>
      <c r="H143" s="14">
        <f t="shared" si="4"/>
        <v>0</v>
      </c>
      <c r="I143" s="14">
        <f t="shared" si="5"/>
        <v>-764999.99999999988</v>
      </c>
      <c r="J143" s="8" t="s">
        <v>81</v>
      </c>
    </row>
    <row r="144" spans="1:10" x14ac:dyDescent="0.2">
      <c r="A144" s="10">
        <v>44207000</v>
      </c>
      <c r="B144" s="10" t="s">
        <v>336</v>
      </c>
      <c r="C144" s="11">
        <v>50000</v>
      </c>
      <c r="D144" s="11">
        <v>0</v>
      </c>
      <c r="E144" s="11">
        <v>0</v>
      </c>
      <c r="F144" s="13">
        <f>SUMIF('OD 02-23'!A:A,A144,'OD 02-23'!D:D)</f>
        <v>0</v>
      </c>
      <c r="G144" s="13">
        <f>SUMIF('OD 02-23'!A:A,A144,'OD 02-23'!E:E)</f>
        <v>0</v>
      </c>
      <c r="H144" s="14">
        <f t="shared" si="4"/>
        <v>0</v>
      </c>
      <c r="I144" s="14">
        <f t="shared" si="5"/>
        <v>50000</v>
      </c>
      <c r="J144" s="8" t="s">
        <v>78</v>
      </c>
    </row>
    <row r="145" spans="1:10" x14ac:dyDescent="0.2">
      <c r="A145" s="10">
        <v>44208000</v>
      </c>
      <c r="B145" s="10" t="s">
        <v>337</v>
      </c>
      <c r="C145" s="11">
        <v>2270.971</v>
      </c>
      <c r="D145" s="11">
        <v>0</v>
      </c>
      <c r="E145" s="11">
        <v>0</v>
      </c>
      <c r="F145" s="13">
        <f>SUMIF('OD 02-23'!A:A,A145,'OD 02-23'!D:D)</f>
        <v>0</v>
      </c>
      <c r="G145" s="13">
        <f>SUMIF('OD 02-23'!A:A,A145,'OD 02-23'!E:E)</f>
        <v>0</v>
      </c>
      <c r="H145" s="14">
        <f t="shared" si="4"/>
        <v>0</v>
      </c>
      <c r="I145" s="14">
        <f t="shared" si="5"/>
        <v>2270.971</v>
      </c>
      <c r="J145" s="8" t="s">
        <v>78</v>
      </c>
    </row>
    <row r="146" spans="1:10" x14ac:dyDescent="0.2">
      <c r="A146" s="10">
        <v>44210000</v>
      </c>
      <c r="B146" s="10" t="s">
        <v>338</v>
      </c>
      <c r="C146" s="11">
        <v>0</v>
      </c>
      <c r="D146" s="11">
        <v>0</v>
      </c>
      <c r="E146" s="11">
        <v>0</v>
      </c>
      <c r="F146" s="13">
        <f>SUMIF('OD 02-23'!A:A,A146,'OD 02-23'!D:D)</f>
        <v>0</v>
      </c>
      <c r="G146" s="13">
        <f>SUMIF('OD 02-23'!A:A,A146,'OD 02-23'!E:E)</f>
        <v>0</v>
      </c>
      <c r="H146" s="14">
        <f t="shared" si="4"/>
        <v>0</v>
      </c>
      <c r="I146" s="14">
        <f t="shared" si="5"/>
        <v>0</v>
      </c>
      <c r="J146" s="8"/>
    </row>
    <row r="147" spans="1:10" x14ac:dyDescent="0.2">
      <c r="A147" s="10">
        <v>44600000</v>
      </c>
      <c r="B147" s="10" t="s">
        <v>339</v>
      </c>
      <c r="C147" s="11">
        <v>0</v>
      </c>
      <c r="D147" s="11">
        <v>0</v>
      </c>
      <c r="E147" s="11">
        <v>0</v>
      </c>
      <c r="F147" s="13">
        <f>SUMIF('OD 02-23'!A:A,A147,'OD 02-23'!D:D)</f>
        <v>0</v>
      </c>
      <c r="G147" s="13">
        <f>SUMIF('OD 02-23'!A:A,A147,'OD 02-23'!E:E)</f>
        <v>0</v>
      </c>
      <c r="H147" s="14">
        <f t="shared" si="4"/>
        <v>0</v>
      </c>
      <c r="I147" s="14">
        <f t="shared" si="5"/>
        <v>0</v>
      </c>
      <c r="J147" s="8"/>
    </row>
    <row r="148" spans="1:10" x14ac:dyDescent="0.2">
      <c r="A148" s="10">
        <v>44700000</v>
      </c>
      <c r="B148" s="10" t="s">
        <v>101</v>
      </c>
      <c r="C148" s="11">
        <v>0</v>
      </c>
      <c r="D148" s="11">
        <v>0</v>
      </c>
      <c r="E148" s="11">
        <v>0</v>
      </c>
      <c r="F148" s="13">
        <f>SUMIF('OD 02-23'!A:A,A148,'OD 02-23'!D:D)</f>
        <v>0</v>
      </c>
      <c r="G148" s="13">
        <f>SUMIF('OD 02-23'!A:A,A148,'OD 02-23'!E:E)</f>
        <v>0</v>
      </c>
      <c r="H148" s="14">
        <f t="shared" si="4"/>
        <v>0</v>
      </c>
      <c r="I148" s="14">
        <f t="shared" si="5"/>
        <v>0</v>
      </c>
      <c r="J148" s="8"/>
    </row>
    <row r="149" spans="1:10" x14ac:dyDescent="0.2">
      <c r="A149" s="10">
        <v>45000000</v>
      </c>
      <c r="B149" s="10" t="s">
        <v>102</v>
      </c>
      <c r="C149" s="11">
        <v>-12699.999999999534</v>
      </c>
      <c r="D149" s="11">
        <v>0</v>
      </c>
      <c r="E149" s="11">
        <v>0</v>
      </c>
      <c r="F149" s="13">
        <f>SUMIF('OD 02-23'!A:A,A149,'OD 02-23'!D:D)</f>
        <v>0</v>
      </c>
      <c r="G149" s="13">
        <f>SUMIF('OD 02-23'!A:A,A149,'OD 02-23'!E:E)</f>
        <v>0</v>
      </c>
      <c r="H149" s="14">
        <f t="shared" si="4"/>
        <v>0</v>
      </c>
      <c r="I149" s="14">
        <f t="shared" si="5"/>
        <v>-12699.999999999534</v>
      </c>
      <c r="J149" s="8" t="s">
        <v>81</v>
      </c>
    </row>
    <row r="150" spans="1:10" x14ac:dyDescent="0.2">
      <c r="A150" s="10">
        <v>45200000</v>
      </c>
      <c r="B150" s="10" t="s">
        <v>103</v>
      </c>
      <c r="C150" s="11">
        <v>0</v>
      </c>
      <c r="D150" s="11">
        <v>0</v>
      </c>
      <c r="E150" s="11">
        <v>0</v>
      </c>
      <c r="F150" s="13">
        <f>SUMIF('OD 02-23'!A:A,A150,'OD 02-23'!D:D)</f>
        <v>0</v>
      </c>
      <c r="G150" s="13">
        <f>SUMIF('OD 02-23'!A:A,A150,'OD 02-23'!E:E)</f>
        <v>0</v>
      </c>
      <c r="H150" s="14">
        <f t="shared" si="4"/>
        <v>0</v>
      </c>
      <c r="I150" s="14">
        <f t="shared" si="5"/>
        <v>0</v>
      </c>
      <c r="J150" s="8" t="s">
        <v>81</v>
      </c>
    </row>
    <row r="151" spans="1:10" x14ac:dyDescent="0.2">
      <c r="A151" s="10">
        <v>45310000</v>
      </c>
      <c r="B151" s="10" t="s">
        <v>104</v>
      </c>
      <c r="C151" s="11">
        <v>-62157.655000000086</v>
      </c>
      <c r="D151" s="11">
        <v>0</v>
      </c>
      <c r="E151" s="11">
        <v>29005.352999999996</v>
      </c>
      <c r="F151" s="13">
        <f>SUMIF('OD 02-23'!A:A,A151,'OD 02-23'!D:D)</f>
        <v>0</v>
      </c>
      <c r="G151" s="13">
        <f>SUMIF('OD 02-23'!A:A,A151,'OD 02-23'!E:E)</f>
        <v>32544.788</v>
      </c>
      <c r="H151" s="14">
        <f t="shared" si="4"/>
        <v>-61550.140999999996</v>
      </c>
      <c r="I151" s="14">
        <f t="shared" si="5"/>
        <v>-123707.79600000009</v>
      </c>
      <c r="J151" s="8" t="s">
        <v>81</v>
      </c>
    </row>
    <row r="152" spans="1:10" x14ac:dyDescent="0.2">
      <c r="A152" s="10">
        <v>45700000</v>
      </c>
      <c r="B152" s="10" t="s">
        <v>105</v>
      </c>
      <c r="C152" s="11">
        <v>5876</v>
      </c>
      <c r="D152" s="11">
        <v>0</v>
      </c>
      <c r="E152" s="11">
        <v>0</v>
      </c>
      <c r="F152" s="13">
        <f>SUMIF('OD 02-23'!A:A,A152,'OD 02-23'!D:D)</f>
        <v>0</v>
      </c>
      <c r="G152" s="13">
        <f>SUMIF('OD 02-23'!A:A,A152,'OD 02-23'!E:E)</f>
        <v>0</v>
      </c>
      <c r="H152" s="14">
        <f t="shared" si="4"/>
        <v>0</v>
      </c>
      <c r="I152" s="14">
        <f t="shared" si="5"/>
        <v>5876</v>
      </c>
      <c r="J152" s="8" t="s">
        <v>78</v>
      </c>
    </row>
    <row r="153" spans="1:10" x14ac:dyDescent="0.2">
      <c r="A153" s="10">
        <v>45860000</v>
      </c>
      <c r="B153" s="10" t="s">
        <v>106</v>
      </c>
      <c r="C153" s="11">
        <v>-967622.32999999961</v>
      </c>
      <c r="D153" s="11">
        <v>50000</v>
      </c>
      <c r="E153" s="11">
        <v>0</v>
      </c>
      <c r="F153" s="13">
        <f>SUMIF('OD 02-23'!A:A,A153,'OD 02-23'!D:D)</f>
        <v>268841.33299999998</v>
      </c>
      <c r="G153" s="13">
        <f>SUMIF('OD 02-23'!A:A,A153,'OD 02-23'!E:E)</f>
        <v>515362.67599999998</v>
      </c>
      <c r="H153" s="14">
        <f t="shared" si="4"/>
        <v>-196521.34299999999</v>
      </c>
      <c r="I153" s="14">
        <f t="shared" si="5"/>
        <v>-1164143.6729999995</v>
      </c>
      <c r="J153" s="8" t="s">
        <v>81</v>
      </c>
    </row>
    <row r="154" spans="1:10" x14ac:dyDescent="0.2">
      <c r="A154" s="10">
        <v>45870000</v>
      </c>
      <c r="B154" s="10" t="s">
        <v>107</v>
      </c>
      <c r="C154" s="11">
        <v>20628.099999999999</v>
      </c>
      <c r="D154" s="11">
        <v>0</v>
      </c>
      <c r="E154" s="11">
        <v>0</v>
      </c>
      <c r="F154" s="13">
        <f>SUMIF('OD 02-23'!A:A,A154,'OD 02-23'!D:D)</f>
        <v>3219.3</v>
      </c>
      <c r="G154" s="13">
        <f>SUMIF('OD 02-23'!A:A,A154,'OD 02-23'!E:E)</f>
        <v>17408.8</v>
      </c>
      <c r="H154" s="14">
        <f t="shared" si="4"/>
        <v>-14189.5</v>
      </c>
      <c r="I154" s="14">
        <f t="shared" si="5"/>
        <v>6438.5999999999985</v>
      </c>
      <c r="J154" s="8" t="s">
        <v>78</v>
      </c>
    </row>
    <row r="155" spans="1:10" x14ac:dyDescent="0.2">
      <c r="A155" s="10">
        <v>46100000</v>
      </c>
      <c r="B155" s="10" t="s">
        <v>340</v>
      </c>
      <c r="C155" s="11">
        <v>0</v>
      </c>
      <c r="D155" s="11">
        <v>0</v>
      </c>
      <c r="E155" s="11">
        <v>0</v>
      </c>
      <c r="F155" s="13">
        <f>SUMIF('OD 02-23'!A:A,A155,'OD 02-23'!D:D)</f>
        <v>0</v>
      </c>
      <c r="G155" s="13">
        <f>SUMIF('OD 02-23'!A:A,A155,'OD 02-23'!E:E)</f>
        <v>0</v>
      </c>
      <c r="H155" s="14">
        <f t="shared" si="4"/>
        <v>0</v>
      </c>
      <c r="I155" s="14">
        <f t="shared" si="5"/>
        <v>0</v>
      </c>
      <c r="J155" s="8"/>
    </row>
    <row r="156" spans="1:10" x14ac:dyDescent="0.2">
      <c r="A156" s="10">
        <v>46800000</v>
      </c>
      <c r="B156" s="10" t="s">
        <v>108</v>
      </c>
      <c r="C156" s="11">
        <v>0</v>
      </c>
      <c r="D156" s="11">
        <v>0</v>
      </c>
      <c r="E156" s="11">
        <v>0</v>
      </c>
      <c r="F156" s="13">
        <f>SUMIF('OD 02-23'!A:A,A156,'OD 02-23'!D:D)</f>
        <v>0</v>
      </c>
      <c r="G156" s="13">
        <f>SUMIF('OD 02-23'!A:A,A156,'OD 02-23'!E:E)</f>
        <v>0</v>
      </c>
      <c r="H156" s="14">
        <f t="shared" si="4"/>
        <v>0</v>
      </c>
      <c r="I156" s="14">
        <f t="shared" si="5"/>
        <v>0</v>
      </c>
      <c r="J156" s="8"/>
    </row>
    <row r="157" spans="1:10" x14ac:dyDescent="0.2">
      <c r="A157" s="10">
        <v>47100000</v>
      </c>
      <c r="B157" s="10" t="s">
        <v>109</v>
      </c>
      <c r="C157" s="11">
        <v>174612.24284600012</v>
      </c>
      <c r="D157" s="11">
        <v>0</v>
      </c>
      <c r="E157" s="11">
        <v>0</v>
      </c>
      <c r="F157" s="13">
        <f>SUMIF('OD 02-23'!A:A,A157,'OD 02-23'!D:D)</f>
        <v>0</v>
      </c>
      <c r="G157" s="13">
        <f>SUMIF('OD 02-23'!A:A,A157,'OD 02-23'!E:E)</f>
        <v>59447.726999999999</v>
      </c>
      <c r="H157" s="14">
        <f t="shared" si="4"/>
        <v>-59447.726999999999</v>
      </c>
      <c r="I157" s="14">
        <f t="shared" si="5"/>
        <v>115164.51584600013</v>
      </c>
      <c r="J157" s="8" t="s">
        <v>78</v>
      </c>
    </row>
    <row r="158" spans="1:10" x14ac:dyDescent="0.2">
      <c r="A158" s="10">
        <v>47200000</v>
      </c>
      <c r="B158" s="10" t="s">
        <v>341</v>
      </c>
      <c r="C158" s="11">
        <v>0</v>
      </c>
      <c r="D158" s="11">
        <v>0</v>
      </c>
      <c r="E158" s="11">
        <v>0</v>
      </c>
      <c r="F158" s="13">
        <f>SUMIF('OD 02-23'!A:A,A158,'OD 02-23'!D:D)</f>
        <v>0</v>
      </c>
      <c r="G158" s="13">
        <f>SUMIF('OD 02-23'!A:A,A158,'OD 02-23'!E:E)</f>
        <v>0</v>
      </c>
      <c r="H158" s="14">
        <f t="shared" si="4"/>
        <v>0</v>
      </c>
      <c r="I158" s="14">
        <f t="shared" si="5"/>
        <v>0</v>
      </c>
      <c r="J158" s="8"/>
    </row>
    <row r="159" spans="1:10" x14ac:dyDescent="0.2">
      <c r="A159" s="10">
        <v>49100000</v>
      </c>
      <c r="B159" s="10" t="s">
        <v>110</v>
      </c>
      <c r="C159" s="11">
        <v>-457129.14999999991</v>
      </c>
      <c r="D159" s="11">
        <v>0</v>
      </c>
      <c r="E159" s="11">
        <v>0</v>
      </c>
      <c r="F159" s="13">
        <f>SUMIF('OD 02-23'!A:A,A159,'OD 02-23'!D:D)</f>
        <v>0</v>
      </c>
      <c r="G159" s="13">
        <f>SUMIF('OD 02-23'!A:A,A159,'OD 02-23'!E:E)</f>
        <v>0</v>
      </c>
      <c r="H159" s="14">
        <f t="shared" si="4"/>
        <v>0</v>
      </c>
      <c r="I159" s="14">
        <f t="shared" si="5"/>
        <v>-457129.14999999991</v>
      </c>
      <c r="J159" s="8" t="s">
        <v>111</v>
      </c>
    </row>
    <row r="160" spans="1:10" x14ac:dyDescent="0.2">
      <c r="A160" s="10">
        <v>49600000</v>
      </c>
      <c r="B160" s="10" t="s">
        <v>112</v>
      </c>
      <c r="C160" s="11">
        <v>-288613.68499999994</v>
      </c>
      <c r="D160" s="11">
        <v>0</v>
      </c>
      <c r="E160" s="11">
        <v>0</v>
      </c>
      <c r="F160" s="13">
        <f>SUMIF('OD 02-23'!A:A,A160,'OD 02-23'!D:D)</f>
        <v>0</v>
      </c>
      <c r="G160" s="13">
        <f>SUMIF('OD 02-23'!A:A,A160,'OD 02-23'!E:E)</f>
        <v>0</v>
      </c>
      <c r="H160" s="14">
        <f t="shared" si="4"/>
        <v>0</v>
      </c>
      <c r="I160" s="14">
        <f t="shared" si="5"/>
        <v>-288613.68499999994</v>
      </c>
      <c r="J160" s="8" t="s">
        <v>113</v>
      </c>
    </row>
    <row r="161" spans="1:10" x14ac:dyDescent="0.2">
      <c r="A161" s="10">
        <v>50130000</v>
      </c>
      <c r="B161" s="10" t="s">
        <v>114</v>
      </c>
      <c r="C161" s="11">
        <v>-6000000</v>
      </c>
      <c r="D161" s="11">
        <v>0</v>
      </c>
      <c r="E161" s="11">
        <v>0</v>
      </c>
      <c r="F161" s="13">
        <f>SUMIF('OD 02-23'!A:A,A161,'OD 02-23'!D:D)</f>
        <v>0</v>
      </c>
      <c r="G161" s="13">
        <f>SUMIF('OD 02-23'!A:A,A161,'OD 02-23'!E:E)</f>
        <v>0</v>
      </c>
      <c r="H161" s="14">
        <f t="shared" si="4"/>
        <v>0</v>
      </c>
      <c r="I161" s="14">
        <f t="shared" si="5"/>
        <v>-6000000</v>
      </c>
      <c r="J161" s="8" t="s">
        <v>115</v>
      </c>
    </row>
    <row r="162" spans="1:10" x14ac:dyDescent="0.2">
      <c r="A162" s="10">
        <v>50140000</v>
      </c>
      <c r="B162" s="10" t="s">
        <v>116</v>
      </c>
      <c r="C162" s="11">
        <v>-4000000</v>
      </c>
      <c r="D162" s="11">
        <v>0</v>
      </c>
      <c r="E162" s="11">
        <v>0</v>
      </c>
      <c r="F162" s="13">
        <f>SUMIF('OD 02-23'!A:A,A162,'OD 02-23'!D:D)</f>
        <v>0</v>
      </c>
      <c r="G162" s="13">
        <f>SUMIF('OD 02-23'!A:A,A162,'OD 02-23'!E:E)</f>
        <v>0</v>
      </c>
      <c r="H162" s="14">
        <f t="shared" si="4"/>
        <v>0</v>
      </c>
      <c r="I162" s="14">
        <f t="shared" si="5"/>
        <v>-4000000</v>
      </c>
      <c r="J162" s="8" t="s">
        <v>115</v>
      </c>
    </row>
    <row r="163" spans="1:10" x14ac:dyDescent="0.2">
      <c r="A163" s="10">
        <v>50500000</v>
      </c>
      <c r="B163" s="10" t="s">
        <v>117</v>
      </c>
      <c r="C163" s="11">
        <v>-916666.6670000013</v>
      </c>
      <c r="D163" s="11">
        <v>0</v>
      </c>
      <c r="E163" s="11">
        <v>0</v>
      </c>
      <c r="F163" s="13">
        <f>SUMIF('OD 02-23'!A:A,A163,'OD 02-23'!D:D)</f>
        <v>0</v>
      </c>
      <c r="G163" s="13">
        <f>SUMIF('OD 02-23'!A:A,A163,'OD 02-23'!E:E)</f>
        <v>0</v>
      </c>
      <c r="H163" s="14">
        <f t="shared" si="4"/>
        <v>0</v>
      </c>
      <c r="I163" s="14">
        <f t="shared" si="5"/>
        <v>-916666.6670000013</v>
      </c>
      <c r="J163" s="8" t="s">
        <v>115</v>
      </c>
    </row>
    <row r="164" spans="1:10" x14ac:dyDescent="0.2">
      <c r="A164" s="10">
        <v>50515000</v>
      </c>
      <c r="B164" s="10" t="s">
        <v>118</v>
      </c>
      <c r="C164" s="11">
        <v>-82640.442000000141</v>
      </c>
      <c r="D164" s="11">
        <v>3291.7840000000006</v>
      </c>
      <c r="E164" s="11">
        <v>0</v>
      </c>
      <c r="F164" s="13">
        <f>SUMIF('OD 02-23'!A:A,A164,'OD 02-23'!D:D)</f>
        <v>0</v>
      </c>
      <c r="G164" s="13">
        <f>SUMIF('OD 02-23'!A:A,A164,'OD 02-23'!E:E)</f>
        <v>0</v>
      </c>
      <c r="H164" s="14">
        <f t="shared" si="4"/>
        <v>3291.7840000000006</v>
      </c>
      <c r="I164" s="14">
        <f t="shared" si="5"/>
        <v>-79348.658000000141</v>
      </c>
      <c r="J164" s="8" t="s">
        <v>115</v>
      </c>
    </row>
    <row r="165" spans="1:10" x14ac:dyDescent="0.2">
      <c r="A165" s="10">
        <v>50610100</v>
      </c>
      <c r="B165" s="10" t="s">
        <v>342</v>
      </c>
      <c r="C165" s="11">
        <v>0</v>
      </c>
      <c r="D165" s="11">
        <v>0</v>
      </c>
      <c r="E165" s="11">
        <v>0</v>
      </c>
      <c r="F165" s="13">
        <f>SUMIF('OD 02-23'!A:A,A165,'OD 02-23'!D:D)</f>
        <v>0</v>
      </c>
      <c r="G165" s="13">
        <f>SUMIF('OD 02-23'!A:A,A165,'OD 02-23'!E:E)</f>
        <v>0</v>
      </c>
      <c r="H165" s="14">
        <f t="shared" si="4"/>
        <v>0</v>
      </c>
      <c r="I165" s="14">
        <f t="shared" si="5"/>
        <v>0</v>
      </c>
      <c r="J165" s="8"/>
    </row>
    <row r="166" spans="1:10" x14ac:dyDescent="0.2">
      <c r="A166" s="10">
        <v>50610900</v>
      </c>
      <c r="B166" s="10" t="s">
        <v>119</v>
      </c>
      <c r="C166" s="11">
        <v>3.7650018930435181E-4</v>
      </c>
      <c r="D166" s="11">
        <v>0</v>
      </c>
      <c r="E166" s="11">
        <v>0</v>
      </c>
      <c r="F166" s="13">
        <f>SUMIF('OD 02-23'!A:A,A166,'OD 02-23'!D:D)</f>
        <v>0</v>
      </c>
      <c r="G166" s="13">
        <f>SUMIF('OD 02-23'!A:A,A166,'OD 02-23'!E:E)</f>
        <v>0</v>
      </c>
      <c r="H166" s="14">
        <f t="shared" si="4"/>
        <v>0</v>
      </c>
      <c r="I166" s="14">
        <f t="shared" si="5"/>
        <v>3.7650018930435181E-4</v>
      </c>
      <c r="J166" s="8"/>
    </row>
    <row r="167" spans="1:10" x14ac:dyDescent="0.2">
      <c r="A167" s="10">
        <v>50630000</v>
      </c>
      <c r="B167" s="10" t="s">
        <v>343</v>
      </c>
      <c r="C167" s="11">
        <v>0</v>
      </c>
      <c r="D167" s="11">
        <v>0</v>
      </c>
      <c r="E167" s="11">
        <v>0</v>
      </c>
      <c r="F167" s="13">
        <f>SUMIF('OD 02-23'!A:A,A167,'OD 02-23'!D:D)</f>
        <v>0</v>
      </c>
      <c r="G167" s="13">
        <f>SUMIF('OD 02-23'!A:A,A167,'OD 02-23'!E:E)</f>
        <v>0</v>
      </c>
      <c r="H167" s="14">
        <f t="shared" si="4"/>
        <v>0</v>
      </c>
      <c r="I167" s="14">
        <f t="shared" si="5"/>
        <v>0</v>
      </c>
      <c r="J167" s="8"/>
    </row>
    <row r="168" spans="1:10" x14ac:dyDescent="0.2">
      <c r="A168" s="10">
        <v>50800000</v>
      </c>
      <c r="B168" s="10" t="s">
        <v>344</v>
      </c>
      <c r="C168" s="11">
        <v>0</v>
      </c>
      <c r="D168" s="11">
        <v>0</v>
      </c>
      <c r="E168" s="11">
        <v>0</v>
      </c>
      <c r="F168" s="13">
        <f>SUMIF('OD 02-23'!A:A,A168,'OD 02-23'!D:D)</f>
        <v>0</v>
      </c>
      <c r="G168" s="13">
        <f>SUMIF('OD 02-23'!A:A,A168,'OD 02-23'!E:E)</f>
        <v>0</v>
      </c>
      <c r="H168" s="14">
        <f t="shared" si="4"/>
        <v>0</v>
      </c>
      <c r="I168" s="14">
        <f t="shared" si="5"/>
        <v>0</v>
      </c>
      <c r="J168" s="8" t="s">
        <v>115</v>
      </c>
    </row>
    <row r="169" spans="1:10" x14ac:dyDescent="0.2">
      <c r="A169" s="10">
        <v>52000000</v>
      </c>
      <c r="B169" s="10" t="s">
        <v>345</v>
      </c>
      <c r="C169" s="11">
        <v>0</v>
      </c>
      <c r="D169" s="11">
        <v>0</v>
      </c>
      <c r="E169" s="11">
        <v>0</v>
      </c>
      <c r="F169" s="13">
        <f>SUMIF('OD 02-23'!A:A,A169,'OD 02-23'!D:D)</f>
        <v>0</v>
      </c>
      <c r="G169" s="13">
        <f>SUMIF('OD 02-23'!A:A,A169,'OD 02-23'!E:E)</f>
        <v>0</v>
      </c>
      <c r="H169" s="14">
        <f t="shared" si="4"/>
        <v>0</v>
      </c>
      <c r="I169" s="14">
        <f t="shared" si="5"/>
        <v>0</v>
      </c>
      <c r="J169" s="8"/>
    </row>
    <row r="170" spans="1:10" x14ac:dyDescent="0.2">
      <c r="A170" s="10">
        <v>52001100</v>
      </c>
      <c r="B170" s="10" t="s">
        <v>346</v>
      </c>
      <c r="C170" s="11">
        <v>0</v>
      </c>
      <c r="D170" s="11">
        <v>0</v>
      </c>
      <c r="E170" s="11">
        <v>0</v>
      </c>
      <c r="F170" s="13">
        <f>SUMIF('OD 02-23'!A:A,A170,'OD 02-23'!D:D)</f>
        <v>0</v>
      </c>
      <c r="G170" s="13">
        <f>SUMIF('OD 02-23'!A:A,A170,'OD 02-23'!E:E)</f>
        <v>0</v>
      </c>
      <c r="H170" s="14">
        <f t="shared" si="4"/>
        <v>0</v>
      </c>
      <c r="I170" s="14">
        <f t="shared" si="5"/>
        <v>0</v>
      </c>
      <c r="J170" s="8"/>
    </row>
    <row r="171" spans="1:10" x14ac:dyDescent="0.2">
      <c r="A171" s="10">
        <v>53140000</v>
      </c>
      <c r="B171" s="10" t="s">
        <v>347</v>
      </c>
      <c r="C171" s="11">
        <v>0</v>
      </c>
      <c r="D171" s="11">
        <v>0</v>
      </c>
      <c r="E171" s="11">
        <v>0</v>
      </c>
      <c r="F171" s="13">
        <f>SUMIF('OD 02-23'!A:A,A171,'OD 02-23'!D:D)</f>
        <v>0</v>
      </c>
      <c r="G171" s="13">
        <f>SUMIF('OD 02-23'!A:A,A171,'OD 02-23'!E:E)</f>
        <v>0</v>
      </c>
      <c r="H171" s="14">
        <f t="shared" si="4"/>
        <v>0</v>
      </c>
      <c r="I171" s="14">
        <f t="shared" si="5"/>
        <v>0</v>
      </c>
      <c r="J171" s="8"/>
    </row>
    <row r="172" spans="1:10" x14ac:dyDescent="0.2">
      <c r="A172" s="10">
        <v>53200000</v>
      </c>
      <c r="B172" s="10" t="s">
        <v>120</v>
      </c>
      <c r="C172" s="11">
        <v>0</v>
      </c>
      <c r="D172" s="11">
        <v>3781194.7380000004</v>
      </c>
      <c r="E172" s="11">
        <v>3673879.0920000002</v>
      </c>
      <c r="F172" s="13">
        <f>SUMIF('OD 02-23'!A:A,A172,'OD 02-23'!D:D)</f>
        <v>0</v>
      </c>
      <c r="G172" s="13">
        <f>SUMIF('OD 02-23'!A:A,A172,'OD 02-23'!E:E)</f>
        <v>0</v>
      </c>
      <c r="H172" s="14">
        <f t="shared" si="4"/>
        <v>107315.64600000018</v>
      </c>
      <c r="I172" s="14">
        <f t="shared" si="5"/>
        <v>107315.64600000018</v>
      </c>
      <c r="J172" s="8" t="s">
        <v>121</v>
      </c>
    </row>
    <row r="173" spans="1:10" x14ac:dyDescent="0.2">
      <c r="A173" s="10">
        <v>53201000</v>
      </c>
      <c r="B173" s="10" t="s">
        <v>348</v>
      </c>
      <c r="C173" s="11">
        <v>0</v>
      </c>
      <c r="D173" s="11">
        <v>0</v>
      </c>
      <c r="E173" s="11">
        <v>0</v>
      </c>
      <c r="F173" s="13">
        <f>SUMIF('OD 02-23'!A:A,A173,'OD 02-23'!D:D)</f>
        <v>0</v>
      </c>
      <c r="G173" s="13">
        <f>SUMIF('OD 02-23'!A:A,A173,'OD 02-23'!E:E)</f>
        <v>0</v>
      </c>
      <c r="H173" s="14">
        <f t="shared" si="4"/>
        <v>0</v>
      </c>
      <c r="I173" s="14">
        <f t="shared" si="5"/>
        <v>0</v>
      </c>
      <c r="J173" s="8"/>
    </row>
    <row r="174" spans="1:10" x14ac:dyDescent="0.2">
      <c r="A174" s="10">
        <v>53202000</v>
      </c>
      <c r="B174" s="10" t="s">
        <v>122</v>
      </c>
      <c r="C174" s="11">
        <v>435.74199999962002</v>
      </c>
      <c r="D174" s="11">
        <v>0</v>
      </c>
      <c r="E174" s="11">
        <v>0</v>
      </c>
      <c r="F174" s="13">
        <f>SUMIF('OD 02-23'!A:A,A174,'OD 02-23'!D:D)</f>
        <v>0</v>
      </c>
      <c r="G174" s="13">
        <f>SUMIF('OD 02-23'!A:A,A174,'OD 02-23'!E:E)</f>
        <v>0</v>
      </c>
      <c r="H174" s="14">
        <f t="shared" si="4"/>
        <v>0</v>
      </c>
      <c r="I174" s="14">
        <f t="shared" si="5"/>
        <v>435.74199999962002</v>
      </c>
      <c r="J174" s="8" t="s">
        <v>121</v>
      </c>
    </row>
    <row r="175" spans="1:10" x14ac:dyDescent="0.2">
      <c r="A175" s="10">
        <v>53203000</v>
      </c>
      <c r="B175" s="10" t="s">
        <v>349</v>
      </c>
      <c r="C175" s="11">
        <v>285160.06500000018</v>
      </c>
      <c r="D175" s="11">
        <v>469879.092</v>
      </c>
      <c r="E175" s="11">
        <v>411557.54100000003</v>
      </c>
      <c r="F175" s="13">
        <f>SUMIF('OD 02-23'!A:A,A175,'OD 02-23'!D:D)</f>
        <v>0</v>
      </c>
      <c r="G175" s="13">
        <f>SUMIF('OD 02-23'!A:A,A175,'OD 02-23'!E:E)</f>
        <v>0</v>
      </c>
      <c r="H175" s="14">
        <f t="shared" si="4"/>
        <v>58321.550999999978</v>
      </c>
      <c r="I175" s="14">
        <f t="shared" si="5"/>
        <v>343481.61600000015</v>
      </c>
      <c r="J175" s="8" t="s">
        <v>121</v>
      </c>
    </row>
    <row r="176" spans="1:10" x14ac:dyDescent="0.2">
      <c r="A176" s="10">
        <v>53204000</v>
      </c>
      <c r="B176" s="10" t="s">
        <v>350</v>
      </c>
      <c r="C176" s="11">
        <v>0</v>
      </c>
      <c r="D176" s="11">
        <v>0</v>
      </c>
      <c r="E176" s="11">
        <v>0</v>
      </c>
      <c r="F176" s="13">
        <f>SUMIF('OD 02-23'!A:A,A176,'OD 02-23'!D:D)</f>
        <v>0</v>
      </c>
      <c r="G176" s="13">
        <f>SUMIF('OD 02-23'!A:A,A176,'OD 02-23'!E:E)</f>
        <v>0</v>
      </c>
      <c r="H176" s="14">
        <f t="shared" si="4"/>
        <v>0</v>
      </c>
      <c r="I176" s="14">
        <f t="shared" si="5"/>
        <v>0</v>
      </c>
      <c r="J176" s="8"/>
    </row>
    <row r="177" spans="1:10" x14ac:dyDescent="0.2">
      <c r="A177" s="10">
        <v>53204100</v>
      </c>
      <c r="B177" s="10" t="s">
        <v>351</v>
      </c>
      <c r="C177" s="11">
        <v>0</v>
      </c>
      <c r="D177" s="11">
        <v>0</v>
      </c>
      <c r="E177" s="11">
        <v>0</v>
      </c>
      <c r="F177" s="13">
        <f>SUMIF('OD 02-23'!A:A,A177,'OD 02-23'!D:D)</f>
        <v>0</v>
      </c>
      <c r="G177" s="13">
        <f>SUMIF('OD 02-23'!A:A,A177,'OD 02-23'!E:E)</f>
        <v>0</v>
      </c>
      <c r="H177" s="14">
        <f t="shared" si="4"/>
        <v>0</v>
      </c>
      <c r="I177" s="14">
        <f t="shared" si="5"/>
        <v>0</v>
      </c>
      <c r="J177" s="8"/>
    </row>
    <row r="178" spans="1:10" x14ac:dyDescent="0.2">
      <c r="A178" s="10">
        <v>53204500</v>
      </c>
      <c r="B178" s="10" t="s">
        <v>123</v>
      </c>
      <c r="C178" s="11">
        <v>5874.02</v>
      </c>
      <c r="D178" s="11">
        <v>0</v>
      </c>
      <c r="E178" s="11">
        <v>0</v>
      </c>
      <c r="F178" s="13">
        <f>SUMIF('OD 02-23'!A:A,A178,'OD 02-23'!D:D)</f>
        <v>0</v>
      </c>
      <c r="G178" s="13">
        <f>SUMIF('OD 02-23'!A:A,A178,'OD 02-23'!E:E)</f>
        <v>0</v>
      </c>
      <c r="H178" s="14">
        <f t="shared" si="4"/>
        <v>0</v>
      </c>
      <c r="I178" s="14">
        <f t="shared" si="5"/>
        <v>5874.02</v>
      </c>
      <c r="J178" s="8" t="s">
        <v>121</v>
      </c>
    </row>
    <row r="179" spans="1:10" x14ac:dyDescent="0.2">
      <c r="A179" s="10">
        <v>53205000</v>
      </c>
      <c r="B179" s="10" t="s">
        <v>124</v>
      </c>
      <c r="C179" s="11">
        <v>21818.723999977112</v>
      </c>
      <c r="D179" s="11">
        <v>0</v>
      </c>
      <c r="E179" s="11">
        <v>0</v>
      </c>
      <c r="F179" s="13">
        <f>SUMIF('OD 02-23'!A:A,A179,'OD 02-23'!D:D)</f>
        <v>0</v>
      </c>
      <c r="G179" s="13">
        <f>SUMIF('OD 02-23'!A:A,A179,'OD 02-23'!E:E)</f>
        <v>0</v>
      </c>
      <c r="H179" s="14">
        <f t="shared" si="4"/>
        <v>0</v>
      </c>
      <c r="I179" s="14">
        <f t="shared" si="5"/>
        <v>21818.723999977112</v>
      </c>
      <c r="J179" s="8" t="s">
        <v>121</v>
      </c>
    </row>
    <row r="180" spans="1:10" x14ac:dyDescent="0.2">
      <c r="A180" s="10">
        <v>53205300</v>
      </c>
      <c r="B180" s="10" t="s">
        <v>125</v>
      </c>
      <c r="C180" s="11">
        <v>0</v>
      </c>
      <c r="D180" s="11">
        <v>0</v>
      </c>
      <c r="E180" s="11">
        <v>0</v>
      </c>
      <c r="F180" s="13">
        <f>SUMIF('OD 02-23'!A:A,A180,'OD 02-23'!D:D)</f>
        <v>0</v>
      </c>
      <c r="G180" s="13">
        <f>SUMIF('OD 02-23'!A:A,A180,'OD 02-23'!E:E)</f>
        <v>0</v>
      </c>
      <c r="H180" s="14">
        <f t="shared" si="4"/>
        <v>0</v>
      </c>
      <c r="I180" s="14">
        <f t="shared" si="5"/>
        <v>0</v>
      </c>
      <c r="J180" s="8" t="s">
        <v>121</v>
      </c>
    </row>
    <row r="181" spans="1:10" x14ac:dyDescent="0.2">
      <c r="A181" s="10">
        <v>53205400</v>
      </c>
      <c r="B181" s="10" t="s">
        <v>126</v>
      </c>
      <c r="C181" s="11">
        <v>0</v>
      </c>
      <c r="D181" s="11">
        <v>0</v>
      </c>
      <c r="E181" s="11">
        <v>0</v>
      </c>
      <c r="F181" s="13">
        <f>SUMIF('OD 02-23'!A:A,A181,'OD 02-23'!D:D)</f>
        <v>0</v>
      </c>
      <c r="G181" s="13">
        <f>SUMIF('OD 02-23'!A:A,A181,'OD 02-23'!E:E)</f>
        <v>0</v>
      </c>
      <c r="H181" s="14">
        <f t="shared" si="4"/>
        <v>0</v>
      </c>
      <c r="I181" s="14">
        <f t="shared" si="5"/>
        <v>0</v>
      </c>
      <c r="J181" s="8"/>
    </row>
    <row r="182" spans="1:10" x14ac:dyDescent="0.2">
      <c r="A182" s="10">
        <v>53205500</v>
      </c>
      <c r="B182" s="10" t="s">
        <v>127</v>
      </c>
      <c r="C182" s="11">
        <v>0</v>
      </c>
      <c r="D182" s="11">
        <v>0</v>
      </c>
      <c r="E182" s="11">
        <v>0</v>
      </c>
      <c r="F182" s="13">
        <f>SUMIF('OD 02-23'!A:A,A182,'OD 02-23'!D:D)</f>
        <v>0</v>
      </c>
      <c r="G182" s="13">
        <f>SUMIF('OD 02-23'!A:A,A182,'OD 02-23'!E:E)</f>
        <v>0</v>
      </c>
      <c r="H182" s="14">
        <f t="shared" si="4"/>
        <v>0</v>
      </c>
      <c r="I182" s="14">
        <f t="shared" si="5"/>
        <v>0</v>
      </c>
      <c r="J182" s="8"/>
    </row>
    <row r="183" spans="1:10" x14ac:dyDescent="0.2">
      <c r="A183" s="10">
        <v>53205600</v>
      </c>
      <c r="B183" s="10" t="s">
        <v>128</v>
      </c>
      <c r="C183" s="11">
        <v>-4848800.8269999335</v>
      </c>
      <c r="D183" s="11">
        <v>3206351</v>
      </c>
      <c r="E183" s="11">
        <v>2744917.3619999997</v>
      </c>
      <c r="F183" s="13">
        <f>SUMIF('OD 02-23'!A:A,A183,'OD 02-23'!D:D)</f>
        <v>0</v>
      </c>
      <c r="G183" s="13">
        <f>SUMIF('OD 02-23'!A:A,A183,'OD 02-23'!E:E)</f>
        <v>0</v>
      </c>
      <c r="H183" s="14">
        <f t="shared" si="4"/>
        <v>461433.63800000027</v>
      </c>
      <c r="I183" s="14">
        <f t="shared" si="5"/>
        <v>-4387367.1889999332</v>
      </c>
      <c r="J183" s="8" t="s">
        <v>115</v>
      </c>
    </row>
    <row r="184" spans="1:10" x14ac:dyDescent="0.2">
      <c r="A184" s="10">
        <v>53205700</v>
      </c>
      <c r="B184" s="10" t="s">
        <v>129</v>
      </c>
      <c r="C184" s="11">
        <v>687712.25572220236</v>
      </c>
      <c r="D184" s="11">
        <v>0</v>
      </c>
      <c r="E184" s="11">
        <v>0</v>
      </c>
      <c r="F184" s="13">
        <f>SUMIF('OD 02-23'!A:A,A184,'OD 02-23'!D:D)</f>
        <v>0</v>
      </c>
      <c r="G184" s="13">
        <f>SUMIF('OD 02-23'!A:A,A184,'OD 02-23'!E:E)</f>
        <v>0</v>
      </c>
      <c r="H184" s="14">
        <f t="shared" si="4"/>
        <v>0</v>
      </c>
      <c r="I184" s="14">
        <f t="shared" si="5"/>
        <v>687712.25572220236</v>
      </c>
      <c r="J184" s="8" t="s">
        <v>121</v>
      </c>
    </row>
    <row r="185" spans="1:10" x14ac:dyDescent="0.2">
      <c r="A185" s="10">
        <v>53205800</v>
      </c>
      <c r="B185" s="10" t="s">
        <v>130</v>
      </c>
      <c r="C185" s="11">
        <v>710140.7650000006</v>
      </c>
      <c r="D185" s="11">
        <v>0</v>
      </c>
      <c r="E185" s="11">
        <v>0</v>
      </c>
      <c r="F185" s="13">
        <f>SUMIF('OD 02-23'!A:A,A185,'OD 02-23'!D:D)</f>
        <v>0</v>
      </c>
      <c r="G185" s="13">
        <f>SUMIF('OD 02-23'!A:A,A185,'OD 02-23'!E:E)</f>
        <v>0</v>
      </c>
      <c r="H185" s="14">
        <f t="shared" si="4"/>
        <v>0</v>
      </c>
      <c r="I185" s="14">
        <f t="shared" si="5"/>
        <v>710140.7650000006</v>
      </c>
      <c r="J185" s="8" t="s">
        <v>121</v>
      </c>
    </row>
    <row r="186" spans="1:10" x14ac:dyDescent="0.2">
      <c r="A186" s="10">
        <v>53207000</v>
      </c>
      <c r="B186" s="10" t="s">
        <v>352</v>
      </c>
      <c r="C186" s="11">
        <v>0</v>
      </c>
      <c r="D186" s="11">
        <v>0</v>
      </c>
      <c r="E186" s="11">
        <v>0</v>
      </c>
      <c r="F186" s="13">
        <f>SUMIF('OD 02-23'!A:A,A186,'OD 02-23'!D:D)</f>
        <v>0</v>
      </c>
      <c r="G186" s="13">
        <f>SUMIF('OD 02-23'!A:A,A186,'OD 02-23'!E:E)</f>
        <v>0</v>
      </c>
      <c r="H186" s="14">
        <f t="shared" si="4"/>
        <v>0</v>
      </c>
      <c r="I186" s="14">
        <f t="shared" si="5"/>
        <v>0</v>
      </c>
      <c r="J186" s="8"/>
    </row>
    <row r="187" spans="1:10" x14ac:dyDescent="0.2">
      <c r="A187" s="10">
        <v>53207100</v>
      </c>
      <c r="B187" s="10" t="s">
        <v>353</v>
      </c>
      <c r="C187" s="11">
        <v>0</v>
      </c>
      <c r="D187" s="11">
        <v>0</v>
      </c>
      <c r="E187" s="11">
        <v>0</v>
      </c>
      <c r="F187" s="13">
        <f>SUMIF('OD 02-23'!A:A,A187,'OD 02-23'!D:D)</f>
        <v>0</v>
      </c>
      <c r="G187" s="13">
        <f>SUMIF('OD 02-23'!A:A,A187,'OD 02-23'!E:E)</f>
        <v>0</v>
      </c>
      <c r="H187" s="14">
        <f t="shared" si="4"/>
        <v>0</v>
      </c>
      <c r="I187" s="14">
        <f t="shared" si="5"/>
        <v>0</v>
      </c>
      <c r="J187" s="8"/>
    </row>
    <row r="188" spans="1:10" x14ac:dyDescent="0.2">
      <c r="A188" s="10">
        <v>53207200</v>
      </c>
      <c r="B188" s="10" t="s">
        <v>354</v>
      </c>
      <c r="C188" s="11">
        <v>0</v>
      </c>
      <c r="D188" s="11">
        <v>0</v>
      </c>
      <c r="E188" s="11">
        <v>0</v>
      </c>
      <c r="F188" s="13">
        <f>SUMIF('OD 02-23'!A:A,A188,'OD 02-23'!D:D)</f>
        <v>0</v>
      </c>
      <c r="G188" s="13">
        <f>SUMIF('OD 02-23'!A:A,A188,'OD 02-23'!E:E)</f>
        <v>0</v>
      </c>
      <c r="H188" s="14">
        <f t="shared" si="4"/>
        <v>0</v>
      </c>
      <c r="I188" s="14">
        <f t="shared" si="5"/>
        <v>0</v>
      </c>
      <c r="J188" s="8"/>
    </row>
    <row r="189" spans="1:10" x14ac:dyDescent="0.2">
      <c r="A189" s="10">
        <v>53208000</v>
      </c>
      <c r="B189" s="10" t="s">
        <v>355</v>
      </c>
      <c r="C189" s="11">
        <v>485.66199999954551</v>
      </c>
      <c r="D189" s="11">
        <v>0</v>
      </c>
      <c r="E189" s="11">
        <v>0</v>
      </c>
      <c r="F189" s="13">
        <f>SUMIF('OD 02-23'!A:A,A189,'OD 02-23'!D:D)</f>
        <v>0</v>
      </c>
      <c r="G189" s="13">
        <f>SUMIF('OD 02-23'!A:A,A189,'OD 02-23'!E:E)</f>
        <v>0</v>
      </c>
      <c r="H189" s="14">
        <f t="shared" si="4"/>
        <v>0</v>
      </c>
      <c r="I189" s="14">
        <f t="shared" si="5"/>
        <v>485.66199999954551</v>
      </c>
      <c r="J189" s="8" t="s">
        <v>121</v>
      </c>
    </row>
    <row r="190" spans="1:10" x14ac:dyDescent="0.2">
      <c r="A190" s="10">
        <v>53208100</v>
      </c>
      <c r="B190" s="10" t="s">
        <v>356</v>
      </c>
      <c r="C190" s="11">
        <v>0</v>
      </c>
      <c r="D190" s="11">
        <v>0</v>
      </c>
      <c r="E190" s="11">
        <v>0</v>
      </c>
      <c r="F190" s="13">
        <f>SUMIF('OD 02-23'!A:A,A190,'OD 02-23'!D:D)</f>
        <v>0</v>
      </c>
      <c r="G190" s="13">
        <f>SUMIF('OD 02-23'!A:A,A190,'OD 02-23'!E:E)</f>
        <v>0</v>
      </c>
      <c r="H190" s="14">
        <f t="shared" si="4"/>
        <v>0</v>
      </c>
      <c r="I190" s="14">
        <f t="shared" si="5"/>
        <v>0</v>
      </c>
      <c r="J190" s="8"/>
    </row>
    <row r="191" spans="1:10" x14ac:dyDescent="0.2">
      <c r="A191" s="10">
        <v>53208500</v>
      </c>
      <c r="B191" s="10" t="s">
        <v>357</v>
      </c>
      <c r="C191" s="11">
        <v>0</v>
      </c>
      <c r="D191" s="11">
        <v>0</v>
      </c>
      <c r="E191" s="11">
        <v>0</v>
      </c>
      <c r="F191" s="13">
        <f>SUMIF('OD 02-23'!A:A,A191,'OD 02-23'!D:D)</f>
        <v>0</v>
      </c>
      <c r="G191" s="13">
        <f>SUMIF('OD 02-23'!A:A,A191,'OD 02-23'!E:E)</f>
        <v>0</v>
      </c>
      <c r="H191" s="14">
        <f t="shared" si="4"/>
        <v>0</v>
      </c>
      <c r="I191" s="14">
        <f t="shared" si="5"/>
        <v>0</v>
      </c>
      <c r="J191" s="8"/>
    </row>
    <row r="192" spans="1:10" x14ac:dyDescent="0.2">
      <c r="A192" s="10">
        <v>54000000</v>
      </c>
      <c r="B192" s="10" t="s">
        <v>358</v>
      </c>
      <c r="C192" s="11">
        <v>0</v>
      </c>
      <c r="D192" s="11">
        <v>0</v>
      </c>
      <c r="E192" s="11">
        <v>0</v>
      </c>
      <c r="F192" s="13">
        <f>SUMIF('OD 02-23'!A:A,A192,'OD 02-23'!D:D)</f>
        <v>0</v>
      </c>
      <c r="G192" s="13">
        <f>SUMIF('OD 02-23'!A:A,A192,'OD 02-23'!E:E)</f>
        <v>0</v>
      </c>
      <c r="H192" s="14">
        <f t="shared" si="4"/>
        <v>0</v>
      </c>
      <c r="I192" s="14">
        <f t="shared" si="5"/>
        <v>0</v>
      </c>
      <c r="J192" s="8"/>
    </row>
    <row r="193" spans="1:11" x14ac:dyDescent="0.2">
      <c r="A193" s="10">
        <v>54100000</v>
      </c>
      <c r="B193" s="10" t="s">
        <v>131</v>
      </c>
      <c r="C193" s="11">
        <v>-110.75</v>
      </c>
      <c r="D193" s="11">
        <v>6803.8440000000001</v>
      </c>
      <c r="E193" s="11">
        <v>6693.0940000000001</v>
      </c>
      <c r="F193" s="13">
        <f>SUMIF('OD 02-23'!A:A,A193,'OD 02-23'!D:D)</f>
        <v>0</v>
      </c>
      <c r="G193" s="13">
        <f>SUMIF('OD 02-23'!A:A,A193,'OD 02-23'!E:E)</f>
        <v>0</v>
      </c>
      <c r="H193" s="14">
        <f t="shared" si="4"/>
        <v>110.75</v>
      </c>
      <c r="I193" s="14">
        <f t="shared" si="5"/>
        <v>0</v>
      </c>
      <c r="J193" s="8" t="s">
        <v>115</v>
      </c>
    </row>
    <row r="194" spans="1:11" x14ac:dyDescent="0.2">
      <c r="A194" s="10">
        <v>54300000</v>
      </c>
      <c r="B194" s="10" t="s">
        <v>359</v>
      </c>
      <c r="C194" s="11">
        <v>0</v>
      </c>
      <c r="D194" s="11">
        <v>0</v>
      </c>
      <c r="E194" s="11">
        <v>0</v>
      </c>
      <c r="F194" s="13">
        <f>SUMIF('OD 02-23'!A:A,A194,'OD 02-23'!D:D)</f>
        <v>0</v>
      </c>
      <c r="G194" s="13">
        <f>SUMIF('OD 02-23'!A:A,A194,'OD 02-23'!E:E)</f>
        <v>0</v>
      </c>
      <c r="H194" s="14">
        <f t="shared" ref="H194:H257" si="6">+D194+F194-E194-G194</f>
        <v>0</v>
      </c>
      <c r="I194" s="14">
        <f t="shared" ref="I194:I257" si="7">+H194+C194</f>
        <v>0</v>
      </c>
      <c r="J194" s="8"/>
    </row>
    <row r="195" spans="1:11" x14ac:dyDescent="0.2">
      <c r="A195" s="10">
        <v>55010000</v>
      </c>
      <c r="B195" s="10" t="s">
        <v>132</v>
      </c>
      <c r="C195" s="11">
        <v>3000</v>
      </c>
      <c r="D195" s="11">
        <v>0</v>
      </c>
      <c r="E195" s="11">
        <v>0</v>
      </c>
      <c r="F195" s="13">
        <f>SUMIF('OD 02-23'!A:A,A195,'OD 02-23'!D:D)</f>
        <v>0</v>
      </c>
      <c r="G195" s="13">
        <f>SUMIF('OD 02-23'!A:A,A195,'OD 02-23'!E:E)</f>
        <v>0</v>
      </c>
      <c r="H195" s="14">
        <f t="shared" si="6"/>
        <v>0</v>
      </c>
      <c r="I195" s="14">
        <f t="shared" si="7"/>
        <v>3000</v>
      </c>
      <c r="J195" s="8" t="s">
        <v>121</v>
      </c>
    </row>
    <row r="196" spans="1:11" x14ac:dyDescent="0.2">
      <c r="A196" s="10">
        <v>55011000</v>
      </c>
      <c r="B196" s="10" t="s">
        <v>133</v>
      </c>
      <c r="C196" s="11">
        <v>0</v>
      </c>
      <c r="D196" s="11">
        <v>0</v>
      </c>
      <c r="E196" s="11">
        <v>0</v>
      </c>
      <c r="F196" s="13">
        <f>SUMIF('OD 02-23'!A:A,A196,'OD 02-23'!D:D)</f>
        <v>0</v>
      </c>
      <c r="G196" s="13">
        <f>SUMIF('OD 02-23'!A:A,A196,'OD 02-23'!E:E)</f>
        <v>0</v>
      </c>
      <c r="H196" s="14">
        <f t="shared" si="6"/>
        <v>0</v>
      </c>
      <c r="I196" s="14">
        <f t="shared" si="7"/>
        <v>0</v>
      </c>
      <c r="J196" s="8" t="s">
        <v>121</v>
      </c>
    </row>
    <row r="197" spans="1:11" x14ac:dyDescent="0.2">
      <c r="A197" s="10">
        <v>58000000</v>
      </c>
      <c r="B197" s="10" t="s">
        <v>134</v>
      </c>
      <c r="C197" s="11">
        <v>0</v>
      </c>
      <c r="D197" s="11">
        <v>0</v>
      </c>
      <c r="E197" s="11">
        <v>0</v>
      </c>
      <c r="F197" s="13">
        <f>SUMIF('OD 02-23'!A:A,A197,'OD 02-23'!D:D)</f>
        <v>0</v>
      </c>
      <c r="G197" s="13">
        <f>SUMIF('OD 02-23'!A:A,A197,'OD 02-23'!E:E)</f>
        <v>0</v>
      </c>
      <c r="H197" s="14">
        <f t="shared" si="6"/>
        <v>0</v>
      </c>
      <c r="I197" s="14">
        <f t="shared" si="7"/>
        <v>0</v>
      </c>
      <c r="J197" s="8" t="s">
        <v>121</v>
      </c>
    </row>
    <row r="198" spans="1:11" x14ac:dyDescent="0.2">
      <c r="A198" s="10">
        <v>58001000</v>
      </c>
      <c r="B198" s="10" t="s">
        <v>135</v>
      </c>
      <c r="C198" s="11">
        <v>-1.9999593496322632E-4</v>
      </c>
      <c r="D198" s="11">
        <v>0</v>
      </c>
      <c r="E198" s="11">
        <v>0</v>
      </c>
      <c r="F198" s="13">
        <f>SUMIF('OD 02-23'!A:A,A198,'OD 02-23'!D:D)</f>
        <v>0</v>
      </c>
      <c r="G198" s="13">
        <f>SUMIF('OD 02-23'!A:A,A198,'OD 02-23'!E:E)</f>
        <v>0</v>
      </c>
      <c r="H198" s="14">
        <f t="shared" si="6"/>
        <v>0</v>
      </c>
      <c r="I198" s="14">
        <f t="shared" si="7"/>
        <v>-1.9999593496322632E-4</v>
      </c>
      <c r="J198" s="8"/>
    </row>
    <row r="199" spans="1:11" x14ac:dyDescent="0.2">
      <c r="A199" s="10">
        <v>58002000</v>
      </c>
      <c r="B199" s="10" t="s">
        <v>360</v>
      </c>
      <c r="C199" s="11">
        <v>0</v>
      </c>
      <c r="D199" s="11">
        <v>0</v>
      </c>
      <c r="E199" s="11">
        <v>0</v>
      </c>
      <c r="F199" s="13">
        <f>SUMIF('OD 02-23'!A:A,A199,'OD 02-23'!D:D)</f>
        <v>0</v>
      </c>
      <c r="G199" s="13">
        <f>SUMIF('OD 02-23'!A:A,A199,'OD 02-23'!E:E)</f>
        <v>0</v>
      </c>
      <c r="H199" s="14">
        <f t="shared" si="6"/>
        <v>0</v>
      </c>
      <c r="I199" s="14">
        <f t="shared" si="7"/>
        <v>0</v>
      </c>
      <c r="J199" s="8"/>
    </row>
    <row r="200" spans="1:11" x14ac:dyDescent="0.2">
      <c r="A200" s="10">
        <v>58003000</v>
      </c>
      <c r="B200" s="10" t="s">
        <v>136</v>
      </c>
      <c r="C200" s="11">
        <v>1.0100007057189941E-4</v>
      </c>
      <c r="D200" s="11">
        <v>0</v>
      </c>
      <c r="E200" s="11">
        <v>0</v>
      </c>
      <c r="F200" s="13">
        <f>SUMIF('OD 02-23'!A:A,A200,'OD 02-23'!D:D)</f>
        <v>0</v>
      </c>
      <c r="G200" s="13">
        <f>SUMIF('OD 02-23'!A:A,A200,'OD 02-23'!E:E)</f>
        <v>0</v>
      </c>
      <c r="H200" s="14">
        <f t="shared" si="6"/>
        <v>0</v>
      </c>
      <c r="I200" s="14">
        <f t="shared" si="7"/>
        <v>1.0100007057189941E-4</v>
      </c>
      <c r="J200" s="8"/>
    </row>
    <row r="201" spans="1:11" x14ac:dyDescent="0.2">
      <c r="A201" s="10">
        <v>58004000</v>
      </c>
      <c r="B201" s="10" t="s">
        <v>361</v>
      </c>
      <c r="C201" s="11">
        <v>0</v>
      </c>
      <c r="D201" s="11">
        <v>0</v>
      </c>
      <c r="E201" s="11">
        <v>0</v>
      </c>
      <c r="F201" s="13">
        <f>SUMIF('OD 02-23'!A:A,A201,'OD 02-23'!D:D)</f>
        <v>0</v>
      </c>
      <c r="G201" s="13">
        <f>SUMIF('OD 02-23'!A:A,A201,'OD 02-23'!E:E)</f>
        <v>0</v>
      </c>
      <c r="H201" s="14">
        <f t="shared" si="6"/>
        <v>0</v>
      </c>
      <c r="I201" s="14">
        <f t="shared" si="7"/>
        <v>0</v>
      </c>
      <c r="J201" s="8"/>
    </row>
    <row r="202" spans="1:11" x14ac:dyDescent="0.2">
      <c r="A202" s="10">
        <v>58005000</v>
      </c>
      <c r="B202" s="10" t="s">
        <v>362</v>
      </c>
      <c r="C202" s="11">
        <v>-547423.47561516264</v>
      </c>
      <c r="D202" s="11">
        <v>0</v>
      </c>
      <c r="E202" s="11">
        <v>0</v>
      </c>
      <c r="F202" s="13">
        <f>SUMIF('OD 02-23'!A:A,A202,'OD 02-23'!D:D)</f>
        <v>0</v>
      </c>
      <c r="G202" s="13">
        <f>SUMIF('OD 02-23'!A:A,A202,'OD 02-23'!E:E)</f>
        <v>0</v>
      </c>
      <c r="H202" s="14">
        <f t="shared" si="6"/>
        <v>0</v>
      </c>
      <c r="I202" s="14">
        <f t="shared" si="7"/>
        <v>-547423.47561516264</v>
      </c>
      <c r="J202" s="8" t="s">
        <v>121</v>
      </c>
    </row>
    <row r="203" spans="1:11" x14ac:dyDescent="0.2">
      <c r="A203" s="10">
        <v>60110210</v>
      </c>
      <c r="B203" s="10" t="s">
        <v>137</v>
      </c>
      <c r="C203" s="11">
        <v>55859.918708000005</v>
      </c>
      <c r="D203" s="11">
        <v>205829.86454849999</v>
      </c>
      <c r="E203" s="11">
        <v>0</v>
      </c>
      <c r="F203" s="13">
        <f>SUMIF('OD 02-23'!A:A,A203,'OD 02-23'!D:D)</f>
        <v>0</v>
      </c>
      <c r="G203" s="13">
        <f>SUMIF('OD 02-23'!A:A,A203,'OD 02-23'!E:E)</f>
        <v>0</v>
      </c>
      <c r="H203" s="14">
        <f t="shared" si="6"/>
        <v>205829.86454849999</v>
      </c>
      <c r="I203" s="14">
        <f t="shared" si="7"/>
        <v>261689.7832565</v>
      </c>
      <c r="J203" s="8" t="s">
        <v>138</v>
      </c>
      <c r="K203" s="302" t="s">
        <v>509</v>
      </c>
    </row>
    <row r="204" spans="1:11" x14ac:dyDescent="0.2">
      <c r="A204" s="10">
        <v>60110211</v>
      </c>
      <c r="B204" s="10" t="s">
        <v>363</v>
      </c>
      <c r="C204" s="11">
        <v>13784.345625999998</v>
      </c>
      <c r="D204" s="11">
        <v>36745.761825499998</v>
      </c>
      <c r="E204" s="11">
        <v>0</v>
      </c>
      <c r="F204" s="13">
        <f>SUMIF('OD 02-23'!A:A,A204,'OD 02-23'!D:D)</f>
        <v>0</v>
      </c>
      <c r="G204" s="13">
        <f>SUMIF('OD 02-23'!A:A,A204,'OD 02-23'!E:E)</f>
        <v>0</v>
      </c>
      <c r="H204" s="14">
        <f t="shared" si="6"/>
        <v>36745.761825499998</v>
      </c>
      <c r="I204" s="14">
        <f t="shared" si="7"/>
        <v>50530.107451499993</v>
      </c>
      <c r="J204" s="8" t="s">
        <v>138</v>
      </c>
      <c r="K204" s="302" t="s">
        <v>509</v>
      </c>
    </row>
    <row r="205" spans="1:11" x14ac:dyDescent="0.2">
      <c r="A205" s="10">
        <v>60110212</v>
      </c>
      <c r="B205" s="10" t="s">
        <v>7391</v>
      </c>
      <c r="C205" s="11">
        <v>0</v>
      </c>
      <c r="D205" s="11">
        <v>3306.9</v>
      </c>
      <c r="E205" s="11">
        <v>0</v>
      </c>
      <c r="F205" s="13">
        <f>SUMIF('OD 02-23'!A:A,A205,'OD 02-23'!D:D)</f>
        <v>0</v>
      </c>
      <c r="G205" s="13">
        <f>SUMIF('OD 02-23'!A:A,A205,'OD 02-23'!E:E)</f>
        <v>0</v>
      </c>
      <c r="H205" s="14">
        <f t="shared" si="6"/>
        <v>3306.9</v>
      </c>
      <c r="I205" s="14">
        <f t="shared" si="7"/>
        <v>3306.9</v>
      </c>
      <c r="J205" s="8" t="s">
        <v>138</v>
      </c>
      <c r="K205" s="302" t="s">
        <v>509</v>
      </c>
    </row>
    <row r="206" spans="1:11" x14ac:dyDescent="0.2">
      <c r="A206" s="10">
        <v>60110213</v>
      </c>
      <c r="B206" s="10" t="s">
        <v>364</v>
      </c>
      <c r="C206" s="11">
        <v>2424</v>
      </c>
      <c r="D206" s="11">
        <v>0</v>
      </c>
      <c r="E206" s="11">
        <v>0</v>
      </c>
      <c r="F206" s="13">
        <f>SUMIF('OD 02-23'!A:A,A206,'OD 02-23'!D:D)</f>
        <v>0</v>
      </c>
      <c r="G206" s="13">
        <f>SUMIF('OD 02-23'!A:A,A206,'OD 02-23'!E:E)</f>
        <v>0</v>
      </c>
      <c r="H206" s="14">
        <f t="shared" si="6"/>
        <v>0</v>
      </c>
      <c r="I206" s="14">
        <f t="shared" si="7"/>
        <v>2424</v>
      </c>
      <c r="J206" s="8" t="s">
        <v>138</v>
      </c>
      <c r="K206" s="302" t="s">
        <v>509</v>
      </c>
    </row>
    <row r="207" spans="1:11" x14ac:dyDescent="0.2">
      <c r="A207" s="10">
        <v>60110220</v>
      </c>
      <c r="B207" s="10" t="s">
        <v>139</v>
      </c>
      <c r="C207" s="11">
        <v>31615.577980000002</v>
      </c>
      <c r="D207" s="11">
        <v>244917.91324049997</v>
      </c>
      <c r="E207" s="11">
        <v>0</v>
      </c>
      <c r="F207" s="13">
        <f>SUMIF('OD 02-23'!A:A,A207,'OD 02-23'!D:D)</f>
        <v>0</v>
      </c>
      <c r="G207" s="13">
        <f>SUMIF('OD 02-23'!A:A,A207,'OD 02-23'!E:E)</f>
        <v>0</v>
      </c>
      <c r="H207" s="14">
        <f t="shared" si="6"/>
        <v>244917.91324049997</v>
      </c>
      <c r="I207" s="14">
        <f t="shared" si="7"/>
        <v>276533.49122049997</v>
      </c>
      <c r="J207" s="8" t="s">
        <v>138</v>
      </c>
      <c r="K207" s="302" t="s">
        <v>509</v>
      </c>
    </row>
    <row r="208" spans="1:11" x14ac:dyDescent="0.2">
      <c r="A208" s="10">
        <v>60110300</v>
      </c>
      <c r="B208" s="10" t="s">
        <v>140</v>
      </c>
      <c r="C208" s="11">
        <v>7806.3480000000009</v>
      </c>
      <c r="D208" s="11">
        <v>8333.3880000000008</v>
      </c>
      <c r="E208" s="11">
        <v>0</v>
      </c>
      <c r="F208" s="13">
        <f>SUMIF('OD 02-23'!A:A,A208,'OD 02-23'!D:D)</f>
        <v>606</v>
      </c>
      <c r="G208" s="13">
        <f>SUMIF('OD 02-23'!A:A,A208,'OD 02-23'!E:E)</f>
        <v>0</v>
      </c>
      <c r="H208" s="14">
        <f t="shared" si="6"/>
        <v>8939.3880000000008</v>
      </c>
      <c r="I208" s="14">
        <f t="shared" si="7"/>
        <v>16745.736000000001</v>
      </c>
      <c r="J208" s="8" t="s">
        <v>138</v>
      </c>
      <c r="K208" s="302" t="s">
        <v>509</v>
      </c>
    </row>
    <row r="209" spans="1:11" x14ac:dyDescent="0.2">
      <c r="A209" s="10">
        <v>60110310</v>
      </c>
      <c r="B209" s="10" t="s">
        <v>141</v>
      </c>
      <c r="C209" s="11">
        <v>5536.7759999999998</v>
      </c>
      <c r="D209" s="11">
        <v>13326.807000000001</v>
      </c>
      <c r="E209" s="11">
        <v>0</v>
      </c>
      <c r="F209" s="13">
        <f>SUMIF('OD 02-23'!A:A,A209,'OD 02-23'!D:D)</f>
        <v>0</v>
      </c>
      <c r="G209" s="13">
        <f>SUMIF('OD 02-23'!A:A,A209,'OD 02-23'!E:E)</f>
        <v>0</v>
      </c>
      <c r="H209" s="14">
        <f t="shared" si="6"/>
        <v>13326.807000000001</v>
      </c>
      <c r="I209" s="14">
        <f t="shared" si="7"/>
        <v>18863.582999999999</v>
      </c>
      <c r="J209" s="8" t="s">
        <v>138</v>
      </c>
      <c r="K209" s="302" t="s">
        <v>509</v>
      </c>
    </row>
    <row r="210" spans="1:11" x14ac:dyDescent="0.2">
      <c r="A210" s="10">
        <v>60110320</v>
      </c>
      <c r="B210" s="10" t="s">
        <v>142</v>
      </c>
      <c r="C210" s="11">
        <v>0</v>
      </c>
      <c r="D210" s="11">
        <v>7256.3433599999989</v>
      </c>
      <c r="E210" s="11">
        <v>0</v>
      </c>
      <c r="F210" s="13">
        <f>SUMIF('OD 02-23'!A:A,A210,'OD 02-23'!D:D)</f>
        <v>0</v>
      </c>
      <c r="G210" s="13">
        <f>SUMIF('OD 02-23'!A:A,A210,'OD 02-23'!E:E)</f>
        <v>0</v>
      </c>
      <c r="H210" s="14">
        <f t="shared" si="6"/>
        <v>7256.3433599999989</v>
      </c>
      <c r="I210" s="14">
        <f t="shared" si="7"/>
        <v>7256.3433599999989</v>
      </c>
      <c r="J210" s="8" t="s">
        <v>138</v>
      </c>
      <c r="K210" s="302" t="s">
        <v>509</v>
      </c>
    </row>
    <row r="211" spans="1:11" x14ac:dyDescent="0.2">
      <c r="A211" s="10">
        <v>60110330</v>
      </c>
      <c r="B211" s="10" t="s">
        <v>143</v>
      </c>
      <c r="C211" s="11">
        <v>7042.0410000000002</v>
      </c>
      <c r="D211" s="11">
        <v>12421.710000000001</v>
      </c>
      <c r="E211" s="11">
        <v>0</v>
      </c>
      <c r="F211" s="13">
        <f>SUMIF('OD 02-23'!A:A,A211,'OD 02-23'!D:D)</f>
        <v>0</v>
      </c>
      <c r="G211" s="13">
        <f>SUMIF('OD 02-23'!A:A,A211,'OD 02-23'!E:E)</f>
        <v>0</v>
      </c>
      <c r="H211" s="14">
        <f t="shared" si="6"/>
        <v>12421.710000000001</v>
      </c>
      <c r="I211" s="14">
        <f t="shared" si="7"/>
        <v>19463.751</v>
      </c>
      <c r="J211" s="8" t="s">
        <v>138</v>
      </c>
      <c r="K211" s="302" t="s">
        <v>509</v>
      </c>
    </row>
    <row r="212" spans="1:11" x14ac:dyDescent="0.2">
      <c r="A212" s="10">
        <v>60110350</v>
      </c>
      <c r="B212" s="10" t="s">
        <v>261</v>
      </c>
      <c r="C212" s="11">
        <v>734.89</v>
      </c>
      <c r="D212" s="11">
        <v>0</v>
      </c>
      <c r="E212" s="11">
        <v>0</v>
      </c>
      <c r="F212" s="13">
        <f>SUMIF('OD 02-23'!A:A,A212,'OD 02-23'!D:D)</f>
        <v>0</v>
      </c>
      <c r="G212" s="13">
        <f>SUMIF('OD 02-23'!A:A,A212,'OD 02-23'!E:E)</f>
        <v>0</v>
      </c>
      <c r="H212" s="14">
        <f t="shared" si="6"/>
        <v>0</v>
      </c>
      <c r="I212" s="14">
        <f t="shared" si="7"/>
        <v>734.89</v>
      </c>
      <c r="J212" s="8" t="s">
        <v>138</v>
      </c>
      <c r="K212" s="302" t="s">
        <v>509</v>
      </c>
    </row>
    <row r="213" spans="1:11" x14ac:dyDescent="0.2">
      <c r="A213" s="10">
        <v>60110400</v>
      </c>
      <c r="B213" s="10" t="s">
        <v>7392</v>
      </c>
      <c r="C213" s="11">
        <v>0</v>
      </c>
      <c r="D213" s="11">
        <v>310.84859999999998</v>
      </c>
      <c r="E213" s="11">
        <v>0</v>
      </c>
      <c r="F213" s="13">
        <f>SUMIF('OD 02-23'!A:A,A213,'OD 02-23'!D:D)</f>
        <v>0</v>
      </c>
      <c r="G213" s="13">
        <f>SUMIF('OD 02-23'!A:A,A213,'OD 02-23'!E:E)</f>
        <v>0</v>
      </c>
      <c r="H213" s="14">
        <f t="shared" si="6"/>
        <v>310.84859999999998</v>
      </c>
      <c r="I213" s="14">
        <f t="shared" si="7"/>
        <v>310.84859999999998</v>
      </c>
      <c r="J213" s="8" t="s">
        <v>138</v>
      </c>
      <c r="K213" s="302" t="s">
        <v>509</v>
      </c>
    </row>
    <row r="214" spans="1:11" x14ac:dyDescent="0.2">
      <c r="A214" s="10">
        <v>60110500</v>
      </c>
      <c r="B214" s="10" t="s">
        <v>144</v>
      </c>
      <c r="C214" s="11">
        <v>2660.971</v>
      </c>
      <c r="D214" s="11">
        <v>3613.9199999999996</v>
      </c>
      <c r="E214" s="11">
        <v>0</v>
      </c>
      <c r="F214" s="13">
        <f>SUMIF('OD 02-23'!A:A,A214,'OD 02-23'!D:D)</f>
        <v>0</v>
      </c>
      <c r="G214" s="13">
        <f>SUMIF('OD 02-23'!A:A,A214,'OD 02-23'!E:E)</f>
        <v>0</v>
      </c>
      <c r="H214" s="14">
        <f t="shared" si="6"/>
        <v>3613.9199999999996</v>
      </c>
      <c r="I214" s="14">
        <f t="shared" si="7"/>
        <v>6274.8909999999996</v>
      </c>
      <c r="J214" s="8" t="s">
        <v>138</v>
      </c>
      <c r="K214" s="302" t="s">
        <v>509</v>
      </c>
    </row>
    <row r="215" spans="1:11" x14ac:dyDescent="0.2">
      <c r="A215" s="10">
        <v>60110600</v>
      </c>
      <c r="B215" s="10" t="s">
        <v>145</v>
      </c>
      <c r="C215" s="11">
        <v>4168.4459999999999</v>
      </c>
      <c r="D215" s="11">
        <v>0</v>
      </c>
      <c r="E215" s="11">
        <v>0</v>
      </c>
      <c r="F215" s="13">
        <f>SUMIF('OD 02-23'!A:A,A215,'OD 02-23'!D:D)</f>
        <v>0</v>
      </c>
      <c r="G215" s="13">
        <f>SUMIF('OD 02-23'!A:A,A215,'OD 02-23'!E:E)</f>
        <v>0</v>
      </c>
      <c r="H215" s="14">
        <f t="shared" si="6"/>
        <v>0</v>
      </c>
      <c r="I215" s="14">
        <f t="shared" si="7"/>
        <v>4168.4459999999999</v>
      </c>
      <c r="J215" s="8" t="s">
        <v>138</v>
      </c>
      <c r="K215" s="302" t="s">
        <v>509</v>
      </c>
    </row>
    <row r="216" spans="1:11" x14ac:dyDescent="0.2">
      <c r="A216" s="10">
        <v>60110700</v>
      </c>
      <c r="B216" s="10" t="s">
        <v>146</v>
      </c>
      <c r="C216" s="11">
        <v>2441.4499999999998</v>
      </c>
      <c r="D216" s="11">
        <v>0</v>
      </c>
      <c r="E216" s="11">
        <v>0</v>
      </c>
      <c r="F216" s="13">
        <f>SUMIF('OD 02-23'!A:A,A216,'OD 02-23'!D:D)</f>
        <v>0</v>
      </c>
      <c r="G216" s="13">
        <f>SUMIF('OD 02-23'!A:A,A216,'OD 02-23'!E:E)</f>
        <v>0</v>
      </c>
      <c r="H216" s="14">
        <f t="shared" si="6"/>
        <v>0</v>
      </c>
      <c r="I216" s="14">
        <f t="shared" si="7"/>
        <v>2441.4499999999998</v>
      </c>
      <c r="J216" s="8" t="s">
        <v>138</v>
      </c>
      <c r="K216" s="302" t="s">
        <v>509</v>
      </c>
    </row>
    <row r="217" spans="1:11" x14ac:dyDescent="0.2">
      <c r="A217" s="10">
        <v>60110900</v>
      </c>
      <c r="B217" s="10" t="s">
        <v>147</v>
      </c>
      <c r="C217" s="11">
        <v>49736.743000000002</v>
      </c>
      <c r="D217" s="11">
        <v>0</v>
      </c>
      <c r="E217" s="11">
        <v>0</v>
      </c>
      <c r="F217" s="13">
        <f>SUMIF('OD 02-23'!A:A,A217,'OD 02-23'!D:D)</f>
        <v>16674.047999999999</v>
      </c>
      <c r="G217" s="13">
        <f>SUMIF('OD 02-23'!A:A,A217,'OD 02-23'!E:E)</f>
        <v>0</v>
      </c>
      <c r="H217" s="14">
        <f t="shared" si="6"/>
        <v>16674.047999999999</v>
      </c>
      <c r="I217" s="14">
        <f t="shared" si="7"/>
        <v>66410.790999999997</v>
      </c>
      <c r="J217" s="8" t="s">
        <v>138</v>
      </c>
      <c r="K217" s="302" t="s">
        <v>509</v>
      </c>
    </row>
    <row r="218" spans="1:11" x14ac:dyDescent="0.2">
      <c r="A218" s="10">
        <v>60111000</v>
      </c>
      <c r="B218" s="10" t="s">
        <v>148</v>
      </c>
      <c r="C218" s="11">
        <v>3030</v>
      </c>
      <c r="D218" s="11">
        <v>0</v>
      </c>
      <c r="E218" s="11">
        <v>0</v>
      </c>
      <c r="F218" s="13">
        <f>SUMIF('OD 02-23'!A:A,A218,'OD 02-23'!D:D)</f>
        <v>0</v>
      </c>
      <c r="G218" s="13">
        <f>SUMIF('OD 02-23'!A:A,A218,'OD 02-23'!E:E)</f>
        <v>0</v>
      </c>
      <c r="H218" s="14">
        <f t="shared" si="6"/>
        <v>0</v>
      </c>
      <c r="I218" s="14">
        <f t="shared" si="7"/>
        <v>3030</v>
      </c>
      <c r="J218" s="8" t="s">
        <v>138</v>
      </c>
      <c r="K218" s="302" t="s">
        <v>509</v>
      </c>
    </row>
    <row r="219" spans="1:11" x14ac:dyDescent="0.2">
      <c r="A219" s="10">
        <v>60111010</v>
      </c>
      <c r="B219" s="10" t="s">
        <v>393</v>
      </c>
      <c r="C219" s="11">
        <v>0</v>
      </c>
      <c r="D219" s="11">
        <v>202</v>
      </c>
      <c r="E219" s="11">
        <v>0</v>
      </c>
      <c r="F219" s="13">
        <f>SUMIF('OD 02-23'!A:A,A219,'OD 02-23'!D:D)</f>
        <v>0</v>
      </c>
      <c r="G219" s="13">
        <f>SUMIF('OD 02-23'!A:A,A219,'OD 02-23'!E:E)</f>
        <v>0</v>
      </c>
      <c r="H219" s="14">
        <f t="shared" si="6"/>
        <v>202</v>
      </c>
      <c r="I219" s="14">
        <f t="shared" si="7"/>
        <v>202</v>
      </c>
      <c r="J219" s="8" t="s">
        <v>138</v>
      </c>
      <c r="K219" s="302" t="s">
        <v>509</v>
      </c>
    </row>
    <row r="220" spans="1:11" x14ac:dyDescent="0.2">
      <c r="A220" s="10">
        <v>60120100</v>
      </c>
      <c r="B220" s="10" t="s">
        <v>149</v>
      </c>
      <c r="C220" s="11">
        <v>140745.80701349999</v>
      </c>
      <c r="D220" s="11">
        <v>48467.270735999999</v>
      </c>
      <c r="E220" s="16">
        <v>16875</v>
      </c>
      <c r="F220" s="13">
        <f>SUMIF('OD 02-23'!A:A,A220,'OD 02-23'!D:D)</f>
        <v>0</v>
      </c>
      <c r="G220" s="13">
        <f>SUMIF('OD 02-23'!A:A,A220,'OD 02-23'!E:E)</f>
        <v>0</v>
      </c>
      <c r="H220" s="14">
        <f t="shared" si="6"/>
        <v>31592.270735999999</v>
      </c>
      <c r="I220" s="14">
        <f t="shared" si="7"/>
        <v>172338.07774949999</v>
      </c>
      <c r="J220" s="8" t="s">
        <v>138</v>
      </c>
      <c r="K220" s="302" t="s">
        <v>509</v>
      </c>
    </row>
    <row r="221" spans="1:11" x14ac:dyDescent="0.2">
      <c r="A221" s="10">
        <v>60120300</v>
      </c>
      <c r="B221" s="10" t="s">
        <v>150</v>
      </c>
      <c r="C221" s="11">
        <v>1584127.1300000001</v>
      </c>
      <c r="D221" s="11">
        <f>1000708.54+16378</f>
        <v>1017086.54</v>
      </c>
      <c r="E221" s="11">
        <v>0</v>
      </c>
      <c r="F221" s="13">
        <f>SUMIF('OD 02-23'!A:A,A221,'OD 02-23'!D:D)</f>
        <v>314471.74</v>
      </c>
      <c r="G221" s="13">
        <f>SUMIF('OD 02-23'!A:A,A221,'OD 02-23'!E:E)</f>
        <v>185288.78</v>
      </c>
      <c r="H221" s="14">
        <f t="shared" si="6"/>
        <v>1146269.5</v>
      </c>
      <c r="I221" s="14">
        <f t="shared" si="7"/>
        <v>2730396.63</v>
      </c>
      <c r="J221" s="8" t="s">
        <v>138</v>
      </c>
      <c r="K221" s="302" t="s">
        <v>509</v>
      </c>
    </row>
    <row r="222" spans="1:11" x14ac:dyDescent="0.2">
      <c r="A222" s="10">
        <v>60120400</v>
      </c>
      <c r="B222" s="10" t="s">
        <v>365</v>
      </c>
      <c r="C222" s="11">
        <v>143212.9</v>
      </c>
      <c r="D222" s="11">
        <f>402891.31+8277.5</f>
        <v>411168.81</v>
      </c>
      <c r="E222" s="11">
        <v>0</v>
      </c>
      <c r="F222" s="13">
        <f>SUMIF('OD 02-23'!A:A,A222,'OD 02-23'!D:D)</f>
        <v>0</v>
      </c>
      <c r="G222" s="13">
        <f>SUMIF('OD 02-23'!A:A,A222,'OD 02-23'!E:E)</f>
        <v>25120.1</v>
      </c>
      <c r="H222" s="14">
        <f t="shared" si="6"/>
        <v>386048.71</v>
      </c>
      <c r="I222" s="14">
        <f t="shared" si="7"/>
        <v>529261.61</v>
      </c>
      <c r="J222" s="8" t="s">
        <v>138</v>
      </c>
      <c r="K222" s="302" t="s">
        <v>509</v>
      </c>
    </row>
    <row r="223" spans="1:11" x14ac:dyDescent="0.2">
      <c r="A223" s="10">
        <v>60120900</v>
      </c>
      <c r="B223" s="10" t="s">
        <v>7393</v>
      </c>
      <c r="C223" s="11">
        <v>0</v>
      </c>
      <c r="D223" s="11">
        <v>35598.535244999999</v>
      </c>
      <c r="E223" s="11">
        <v>0</v>
      </c>
      <c r="F223" s="13">
        <f>SUMIF('OD 02-23'!A:A,A223,'OD 02-23'!D:D)</f>
        <v>0</v>
      </c>
      <c r="G223" s="13">
        <f>SUMIF('OD 02-23'!A:A,A223,'OD 02-23'!E:E)</f>
        <v>0</v>
      </c>
      <c r="H223" s="14">
        <f t="shared" si="6"/>
        <v>35598.535244999999</v>
      </c>
      <c r="I223" s="14">
        <f t="shared" si="7"/>
        <v>35598.535244999999</v>
      </c>
      <c r="J223" s="8" t="s">
        <v>138</v>
      </c>
      <c r="K223" s="302" t="s">
        <v>509</v>
      </c>
    </row>
    <row r="224" spans="1:11" x14ac:dyDescent="0.2">
      <c r="A224" s="10">
        <v>60121036</v>
      </c>
      <c r="B224" s="10" t="s">
        <v>7394</v>
      </c>
      <c r="C224" s="11">
        <v>0</v>
      </c>
      <c r="D224" s="11">
        <v>176.17599999999999</v>
      </c>
      <c r="E224" s="11">
        <v>0</v>
      </c>
      <c r="F224" s="13">
        <f>SUMIF('OD 02-23'!A:A,A224,'OD 02-23'!D:D)</f>
        <v>0</v>
      </c>
      <c r="G224" s="13">
        <f>SUMIF('OD 02-23'!A:A,A224,'OD 02-23'!E:E)</f>
        <v>0</v>
      </c>
      <c r="H224" s="14">
        <f t="shared" si="6"/>
        <v>176.17599999999999</v>
      </c>
      <c r="I224" s="14">
        <f t="shared" si="7"/>
        <v>176.17599999999999</v>
      </c>
      <c r="J224" s="8" t="s">
        <v>138</v>
      </c>
      <c r="K224" s="302" t="s">
        <v>509</v>
      </c>
    </row>
    <row r="225" spans="1:11" x14ac:dyDescent="0.2">
      <c r="A225" s="10">
        <v>60121200</v>
      </c>
      <c r="B225" s="10" t="s">
        <v>7395</v>
      </c>
      <c r="C225" s="11">
        <v>0</v>
      </c>
      <c r="D225" s="11">
        <v>1071</v>
      </c>
      <c r="E225" s="11">
        <v>0</v>
      </c>
      <c r="F225" s="13">
        <f>SUMIF('OD 02-23'!A:A,A225,'OD 02-23'!D:D)</f>
        <v>0</v>
      </c>
      <c r="G225" s="13">
        <f>SUMIF('OD 02-23'!A:A,A225,'OD 02-23'!E:E)</f>
        <v>0</v>
      </c>
      <c r="H225" s="14">
        <f t="shared" si="6"/>
        <v>1071</v>
      </c>
      <c r="I225" s="14">
        <f t="shared" si="7"/>
        <v>1071</v>
      </c>
      <c r="J225" s="8" t="s">
        <v>138</v>
      </c>
      <c r="K225" s="302" t="s">
        <v>509</v>
      </c>
    </row>
    <row r="226" spans="1:11" x14ac:dyDescent="0.2">
      <c r="A226" s="10">
        <v>60121600</v>
      </c>
      <c r="B226" s="10" t="s">
        <v>154</v>
      </c>
      <c r="C226" s="11">
        <v>52567.199999999997</v>
      </c>
      <c r="D226" s="11">
        <v>71918</v>
      </c>
      <c r="E226" s="11">
        <v>0</v>
      </c>
      <c r="F226" s="13">
        <f>SUMIF('OD 02-23'!A:A,A226,'OD 02-23'!D:D)</f>
        <v>0</v>
      </c>
      <c r="G226" s="13">
        <f>SUMIF('OD 02-23'!A:A,A226,'OD 02-23'!E:E)</f>
        <v>0</v>
      </c>
      <c r="H226" s="14">
        <f t="shared" si="6"/>
        <v>71918</v>
      </c>
      <c r="I226" s="14">
        <f t="shared" si="7"/>
        <v>124485.2</v>
      </c>
      <c r="J226" s="8" t="s">
        <v>138</v>
      </c>
      <c r="K226" s="302" t="s">
        <v>509</v>
      </c>
    </row>
    <row r="227" spans="1:11" x14ac:dyDescent="0.2">
      <c r="A227" s="10">
        <v>60122100</v>
      </c>
      <c r="B227" s="10" t="s">
        <v>155</v>
      </c>
      <c r="C227" s="11">
        <v>26460</v>
      </c>
      <c r="D227" s="16">
        <v>16875</v>
      </c>
      <c r="E227" s="11">
        <v>0</v>
      </c>
      <c r="F227" s="13">
        <f>SUMIF('OD 02-23'!A:A,A227,'OD 02-23'!D:D)</f>
        <v>17010</v>
      </c>
      <c r="G227" s="13">
        <f>SUMIF('OD 02-23'!A:A,A227,'OD 02-23'!E:E)</f>
        <v>0</v>
      </c>
      <c r="H227" s="14">
        <f t="shared" si="6"/>
        <v>33885</v>
      </c>
      <c r="I227" s="14">
        <f t="shared" si="7"/>
        <v>60345</v>
      </c>
      <c r="J227" s="8" t="s">
        <v>138</v>
      </c>
      <c r="K227" s="302" t="s">
        <v>509</v>
      </c>
    </row>
    <row r="228" spans="1:11" x14ac:dyDescent="0.2">
      <c r="A228" s="10">
        <v>60122200</v>
      </c>
      <c r="B228" s="10" t="s">
        <v>156</v>
      </c>
      <c r="C228" s="12">
        <v>17352.3</v>
      </c>
      <c r="D228" s="11">
        <v>17352.3</v>
      </c>
      <c r="E228" s="11">
        <v>0</v>
      </c>
      <c r="F228" s="13">
        <f>SUMIF('OD 02-23'!A:A,A228,'OD 02-23'!D:D)</f>
        <v>0</v>
      </c>
      <c r="G228" s="13">
        <f>SUMIF('OD 02-23'!A:A,A228,'OD 02-23'!E:E)</f>
        <v>17352.3</v>
      </c>
      <c r="H228" s="14">
        <f t="shared" si="6"/>
        <v>0</v>
      </c>
      <c r="I228" s="14">
        <f t="shared" si="7"/>
        <v>17352.3</v>
      </c>
      <c r="J228" s="8" t="s">
        <v>138</v>
      </c>
      <c r="K228" s="302" t="s">
        <v>509</v>
      </c>
    </row>
    <row r="229" spans="1:11" x14ac:dyDescent="0.2">
      <c r="A229" s="10">
        <v>60122400</v>
      </c>
      <c r="B229" s="10" t="s">
        <v>7396</v>
      </c>
      <c r="C229" s="12">
        <v>0</v>
      </c>
      <c r="D229" s="11">
        <v>9485.8559999999998</v>
      </c>
      <c r="E229" s="11">
        <v>0</v>
      </c>
      <c r="F229" s="13">
        <f>SUMIF('OD 02-23'!A:A,A229,'OD 02-23'!D:D)</f>
        <v>0</v>
      </c>
      <c r="G229" s="13">
        <f>SUMIF('OD 02-23'!A:A,A229,'OD 02-23'!E:E)</f>
        <v>0</v>
      </c>
      <c r="H229" s="14">
        <f t="shared" si="6"/>
        <v>9485.8559999999998</v>
      </c>
      <c r="I229" s="14">
        <f t="shared" si="7"/>
        <v>9485.8559999999998</v>
      </c>
      <c r="J229" s="8" t="s">
        <v>138</v>
      </c>
      <c r="K229" s="302" t="s">
        <v>509</v>
      </c>
    </row>
    <row r="230" spans="1:11" x14ac:dyDescent="0.2">
      <c r="A230" s="10">
        <v>60122410</v>
      </c>
      <c r="B230" s="10" t="s">
        <v>366</v>
      </c>
      <c r="C230" s="11">
        <v>450</v>
      </c>
      <c r="D230" s="11">
        <v>0</v>
      </c>
      <c r="E230" s="11">
        <v>0</v>
      </c>
      <c r="F230" s="13">
        <f>SUMIF('OD 02-23'!A:A,A230,'OD 02-23'!D:D)</f>
        <v>0</v>
      </c>
      <c r="G230" s="13">
        <f>SUMIF('OD 02-23'!A:A,A230,'OD 02-23'!E:E)</f>
        <v>0</v>
      </c>
      <c r="H230" s="14">
        <f t="shared" si="6"/>
        <v>0</v>
      </c>
      <c r="I230" s="14">
        <f t="shared" si="7"/>
        <v>450</v>
      </c>
      <c r="J230" s="8" t="s">
        <v>138</v>
      </c>
      <c r="K230" s="302" t="s">
        <v>509</v>
      </c>
    </row>
    <row r="231" spans="1:11" x14ac:dyDescent="0.2">
      <c r="A231" s="10">
        <v>60122411</v>
      </c>
      <c r="B231" s="10" t="s">
        <v>367</v>
      </c>
      <c r="C231" s="11">
        <v>4020</v>
      </c>
      <c r="D231" s="11">
        <v>7704</v>
      </c>
      <c r="E231" s="11">
        <v>0</v>
      </c>
      <c r="F231" s="13">
        <f>SUMIF('OD 02-23'!A:A,A231,'OD 02-23'!D:D)</f>
        <v>0</v>
      </c>
      <c r="G231" s="13">
        <f>SUMIF('OD 02-23'!A:A,A231,'OD 02-23'!E:E)</f>
        <v>0</v>
      </c>
      <c r="H231" s="14">
        <f t="shared" si="6"/>
        <v>7704</v>
      </c>
      <c r="I231" s="14">
        <f t="shared" si="7"/>
        <v>11724</v>
      </c>
      <c r="J231" s="8" t="s">
        <v>138</v>
      </c>
      <c r="K231" s="302" t="s">
        <v>509</v>
      </c>
    </row>
    <row r="232" spans="1:11" x14ac:dyDescent="0.2">
      <c r="A232" s="10">
        <v>60122510</v>
      </c>
      <c r="B232" s="10" t="s">
        <v>368</v>
      </c>
      <c r="C232" s="11">
        <v>3179.652</v>
      </c>
      <c r="D232" s="11">
        <v>3618.06</v>
      </c>
      <c r="E232" s="11">
        <v>0</v>
      </c>
      <c r="F232" s="13">
        <f>SUMIF('OD 02-23'!A:A,A232,'OD 02-23'!D:D)</f>
        <v>0</v>
      </c>
      <c r="G232" s="13">
        <f>SUMIF('OD 02-23'!A:A,A232,'OD 02-23'!E:E)</f>
        <v>0</v>
      </c>
      <c r="H232" s="14">
        <f t="shared" si="6"/>
        <v>3618.06</v>
      </c>
      <c r="I232" s="14">
        <f t="shared" si="7"/>
        <v>6797.7119999999995</v>
      </c>
      <c r="J232" s="8" t="s">
        <v>138</v>
      </c>
      <c r="K232" s="302" t="s">
        <v>509</v>
      </c>
    </row>
    <row r="233" spans="1:11" x14ac:dyDescent="0.2">
      <c r="A233" s="10">
        <v>60122520</v>
      </c>
      <c r="B233" s="10" t="s">
        <v>396</v>
      </c>
      <c r="C233" s="11">
        <v>0</v>
      </c>
      <c r="D233" s="11">
        <v>1742.9079999999999</v>
      </c>
      <c r="E233" s="11">
        <v>0</v>
      </c>
      <c r="F233" s="13">
        <f>SUMIF('OD 02-23'!A:A,A233,'OD 02-23'!D:D)</f>
        <v>0</v>
      </c>
      <c r="G233" s="13">
        <f>SUMIF('OD 02-23'!A:A,A233,'OD 02-23'!E:E)</f>
        <v>0</v>
      </c>
      <c r="H233" s="14">
        <f t="shared" si="6"/>
        <v>1742.9079999999999</v>
      </c>
      <c r="I233" s="14">
        <f t="shared" si="7"/>
        <v>1742.9079999999999</v>
      </c>
      <c r="J233" s="8" t="s">
        <v>138</v>
      </c>
      <c r="K233" s="302" t="s">
        <v>509</v>
      </c>
    </row>
    <row r="234" spans="1:11" x14ac:dyDescent="0.2">
      <c r="A234" s="10">
        <v>60171000</v>
      </c>
      <c r="B234" s="10" t="s">
        <v>369</v>
      </c>
      <c r="C234" s="11">
        <v>58878.610999999997</v>
      </c>
      <c r="D234" s="11">
        <v>71884.539000000004</v>
      </c>
      <c r="E234" s="11">
        <v>0</v>
      </c>
      <c r="F234" s="13">
        <f>SUMIF('OD 02-23'!A:A,A234,'OD 02-23'!D:D)</f>
        <v>0</v>
      </c>
      <c r="G234" s="13">
        <f>SUMIF('OD 02-23'!A:A,A234,'OD 02-23'!E:E)</f>
        <v>0</v>
      </c>
      <c r="H234" s="14">
        <f t="shared" si="6"/>
        <v>71884.539000000004</v>
      </c>
      <c r="I234" s="14">
        <f t="shared" si="7"/>
        <v>130763.15</v>
      </c>
      <c r="J234" s="8" t="s">
        <v>138</v>
      </c>
      <c r="K234" s="302" t="s">
        <v>509</v>
      </c>
    </row>
    <row r="235" spans="1:11" x14ac:dyDescent="0.2">
      <c r="A235" s="10">
        <v>60172000</v>
      </c>
      <c r="B235" s="10" t="s">
        <v>169</v>
      </c>
      <c r="C235" s="11">
        <v>109988.649</v>
      </c>
      <c r="D235" s="11">
        <v>112280.40700000001</v>
      </c>
      <c r="E235" s="11">
        <v>0</v>
      </c>
      <c r="F235" s="13">
        <f>SUMIF('OD 02-23'!A:A,A235,'OD 02-23'!D:D)</f>
        <v>0</v>
      </c>
      <c r="G235" s="13">
        <f>SUMIF('OD 02-23'!A:A,A235,'OD 02-23'!E:E)</f>
        <v>0</v>
      </c>
      <c r="H235" s="14">
        <f t="shared" si="6"/>
        <v>112280.40700000001</v>
      </c>
      <c r="I235" s="14">
        <f t="shared" si="7"/>
        <v>222269.05600000001</v>
      </c>
      <c r="J235" s="8" t="s">
        <v>138</v>
      </c>
      <c r="K235" s="302" t="s">
        <v>509</v>
      </c>
    </row>
    <row r="236" spans="1:11" x14ac:dyDescent="0.2">
      <c r="A236" s="10">
        <v>60173000</v>
      </c>
      <c r="B236" s="10" t="s">
        <v>170</v>
      </c>
      <c r="C236" s="11">
        <v>4926.3499999999985</v>
      </c>
      <c r="D236" s="11">
        <v>24009.85</v>
      </c>
      <c r="E236" s="11">
        <v>0</v>
      </c>
      <c r="F236" s="13">
        <f>SUMIF('OD 02-23'!A:A,A236,'OD 02-23'!D:D)</f>
        <v>0</v>
      </c>
      <c r="G236" s="13">
        <f>SUMIF('OD 02-23'!A:A,A236,'OD 02-23'!E:E)</f>
        <v>4926.3500000000004</v>
      </c>
      <c r="H236" s="14">
        <f t="shared" si="6"/>
        <v>19083.5</v>
      </c>
      <c r="I236" s="14">
        <f t="shared" si="7"/>
        <v>24009.85</v>
      </c>
      <c r="J236" s="8" t="s">
        <v>138</v>
      </c>
      <c r="K236" s="302" t="s">
        <v>509</v>
      </c>
    </row>
    <row r="237" spans="1:11" x14ac:dyDescent="0.2">
      <c r="A237" s="10">
        <v>60191000</v>
      </c>
      <c r="B237" s="10" t="s">
        <v>158</v>
      </c>
      <c r="C237" s="11">
        <v>57879.214999999997</v>
      </c>
      <c r="D237" s="11">
        <v>139484.65329800002</v>
      </c>
      <c r="E237" s="11">
        <v>0</v>
      </c>
      <c r="F237" s="13">
        <f>SUMIF('OD 02-23'!A:A,A237,'OD 02-23'!D:D)</f>
        <v>0</v>
      </c>
      <c r="G237" s="13">
        <f>SUMIF('OD 02-23'!A:A,A237,'OD 02-23'!E:E)</f>
        <v>0</v>
      </c>
      <c r="H237" s="14">
        <f t="shared" si="6"/>
        <v>139484.65329800002</v>
      </c>
      <c r="I237" s="14">
        <f t="shared" si="7"/>
        <v>197363.86829800002</v>
      </c>
      <c r="J237" s="8" t="s">
        <v>138</v>
      </c>
      <c r="K237" s="302" t="s">
        <v>509</v>
      </c>
    </row>
    <row r="238" spans="1:11" x14ac:dyDescent="0.2">
      <c r="A238" s="10">
        <v>60215000</v>
      </c>
      <c r="B238" s="10" t="s">
        <v>370</v>
      </c>
      <c r="C238" s="11">
        <v>24171.527000000002</v>
      </c>
      <c r="D238" s="11">
        <v>0</v>
      </c>
      <c r="E238" s="11">
        <v>0</v>
      </c>
      <c r="F238" s="13">
        <f>SUMIF('OD 02-23'!A:A,A238,'OD 02-23'!D:D)</f>
        <v>0</v>
      </c>
      <c r="G238" s="13">
        <f>SUMIF('OD 02-23'!A:A,A238,'OD 02-23'!E:E)</f>
        <v>0</v>
      </c>
      <c r="H238" s="14">
        <f t="shared" si="6"/>
        <v>0</v>
      </c>
      <c r="I238" s="14">
        <f t="shared" si="7"/>
        <v>24171.527000000002</v>
      </c>
      <c r="J238" s="8" t="s">
        <v>138</v>
      </c>
      <c r="K238" s="302" t="s">
        <v>509</v>
      </c>
    </row>
    <row r="239" spans="1:11" x14ac:dyDescent="0.2">
      <c r="A239" s="10">
        <v>60216000</v>
      </c>
      <c r="B239" s="10" t="s">
        <v>371</v>
      </c>
      <c r="C239" s="11">
        <v>95486.945735999994</v>
      </c>
      <c r="D239" s="11">
        <v>96291.086975999991</v>
      </c>
      <c r="E239" s="11">
        <v>0</v>
      </c>
      <c r="F239" s="13">
        <f>SUMIF('OD 02-23'!A:A,A239,'OD 02-23'!D:D)</f>
        <v>0</v>
      </c>
      <c r="G239" s="13">
        <f>SUMIF('OD 02-23'!A:A,A239,'OD 02-23'!E:E)</f>
        <v>0</v>
      </c>
      <c r="H239" s="14">
        <f t="shared" si="6"/>
        <v>96291.086975999991</v>
      </c>
      <c r="I239" s="14">
        <f t="shared" si="7"/>
        <v>191778.03271199999</v>
      </c>
      <c r="J239" s="8" t="s">
        <v>138</v>
      </c>
      <c r="K239" s="302" t="s">
        <v>509</v>
      </c>
    </row>
    <row r="240" spans="1:11" x14ac:dyDescent="0.2">
      <c r="A240" s="10">
        <v>60260200</v>
      </c>
      <c r="B240" s="10" t="s">
        <v>372</v>
      </c>
      <c r="C240" s="11">
        <v>183686.772</v>
      </c>
      <c r="D240" s="11">
        <v>2735.1099999999997</v>
      </c>
      <c r="E240" s="11">
        <v>0</v>
      </c>
      <c r="F240" s="13">
        <f>SUMIF('OD 02-23'!A:A,A240,'OD 02-23'!D:D)</f>
        <v>0</v>
      </c>
      <c r="G240" s="13">
        <f>SUMIF('OD 02-23'!A:A,A240,'OD 02-23'!E:E)</f>
        <v>0</v>
      </c>
      <c r="H240" s="14">
        <f t="shared" si="6"/>
        <v>2735.1099999999997</v>
      </c>
      <c r="I240" s="14">
        <f t="shared" si="7"/>
        <v>186421.88199999998</v>
      </c>
      <c r="J240" s="8" t="s">
        <v>138</v>
      </c>
      <c r="K240" s="302" t="s">
        <v>509</v>
      </c>
    </row>
    <row r="241" spans="1:11" x14ac:dyDescent="0.2">
      <c r="A241" s="10">
        <v>60260300</v>
      </c>
      <c r="B241" s="10" t="s">
        <v>160</v>
      </c>
      <c r="C241" s="11">
        <v>1074.1620000000112</v>
      </c>
      <c r="D241" s="11">
        <v>0</v>
      </c>
      <c r="E241" s="11">
        <v>0</v>
      </c>
      <c r="F241" s="13">
        <f>SUMIF('OD 02-23'!A:A,A241,'OD 02-23'!D:D)</f>
        <v>0</v>
      </c>
      <c r="G241" s="13">
        <f>SUMIF('OD 02-23'!A:A,A241,'OD 02-23'!E:E)</f>
        <v>0</v>
      </c>
      <c r="H241" s="14">
        <f t="shared" si="6"/>
        <v>0</v>
      </c>
      <c r="I241" s="14">
        <f t="shared" si="7"/>
        <v>1074.1620000000112</v>
      </c>
      <c r="J241" s="8" t="s">
        <v>138</v>
      </c>
      <c r="K241" s="302" t="s">
        <v>509</v>
      </c>
    </row>
    <row r="242" spans="1:11" x14ac:dyDescent="0.2">
      <c r="A242" s="10">
        <v>60260400</v>
      </c>
      <c r="B242" s="10" t="s">
        <v>161</v>
      </c>
      <c r="C242" s="11">
        <v>21477</v>
      </c>
      <c r="D242" s="11">
        <v>15414.48</v>
      </c>
      <c r="E242" s="11">
        <v>0</v>
      </c>
      <c r="F242" s="13">
        <f>SUMIF('OD 02-23'!A:A,A242,'OD 02-23'!D:D)</f>
        <v>0</v>
      </c>
      <c r="G242" s="13">
        <f>SUMIF('OD 02-23'!A:A,A242,'OD 02-23'!E:E)</f>
        <v>5940</v>
      </c>
      <c r="H242" s="14">
        <f t="shared" si="6"/>
        <v>9474.48</v>
      </c>
      <c r="I242" s="14">
        <f t="shared" si="7"/>
        <v>30951.48</v>
      </c>
      <c r="J242" s="8" t="s">
        <v>138</v>
      </c>
      <c r="K242" s="302" t="s">
        <v>509</v>
      </c>
    </row>
    <row r="243" spans="1:11" x14ac:dyDescent="0.2">
      <c r="A243" s="10">
        <v>60260500</v>
      </c>
      <c r="B243" s="10" t="s">
        <v>162</v>
      </c>
      <c r="C243" s="11">
        <v>4732.5</v>
      </c>
      <c r="D243" s="11">
        <v>0</v>
      </c>
      <c r="E243" s="11">
        <v>0</v>
      </c>
      <c r="F243" s="13">
        <f>SUMIF('OD 02-23'!A:A,A243,'OD 02-23'!D:D)</f>
        <v>0</v>
      </c>
      <c r="G243" s="13">
        <f>SUMIF('OD 02-23'!A:A,A243,'OD 02-23'!E:E)</f>
        <v>0</v>
      </c>
      <c r="H243" s="14">
        <f t="shared" si="6"/>
        <v>0</v>
      </c>
      <c r="I243" s="14">
        <f t="shared" si="7"/>
        <v>4732.5</v>
      </c>
      <c r="J243" s="8" t="s">
        <v>138</v>
      </c>
      <c r="K243" s="302" t="s">
        <v>509</v>
      </c>
    </row>
    <row r="244" spans="1:11" x14ac:dyDescent="0.2">
      <c r="A244" s="10">
        <v>60260700</v>
      </c>
      <c r="B244" s="10" t="s">
        <v>163</v>
      </c>
      <c r="C244" s="11">
        <v>9692</v>
      </c>
      <c r="D244" s="11">
        <v>9292</v>
      </c>
      <c r="E244" s="11">
        <v>0</v>
      </c>
      <c r="F244" s="13">
        <f>SUMIF('OD 02-23'!A:A,A244,'OD 02-23'!D:D)</f>
        <v>4125</v>
      </c>
      <c r="G244" s="13">
        <f>SUMIF('OD 02-23'!A:A,A244,'OD 02-23'!E:E)</f>
        <v>0</v>
      </c>
      <c r="H244" s="14">
        <f t="shared" si="6"/>
        <v>13417</v>
      </c>
      <c r="I244" s="14">
        <f t="shared" si="7"/>
        <v>23109</v>
      </c>
      <c r="J244" s="8" t="s">
        <v>138</v>
      </c>
      <c r="K244" s="302" t="s">
        <v>509</v>
      </c>
    </row>
    <row r="245" spans="1:11" x14ac:dyDescent="0.2">
      <c r="A245" s="10">
        <v>60262000</v>
      </c>
      <c r="B245" s="10" t="s">
        <v>164</v>
      </c>
      <c r="C245" s="11">
        <v>25868.743999999999</v>
      </c>
      <c r="D245" s="11">
        <v>23261.535</v>
      </c>
      <c r="E245" s="11">
        <v>0</v>
      </c>
      <c r="F245" s="13">
        <f>SUMIF('OD 02-23'!A:A,A245,'OD 02-23'!D:D)</f>
        <v>0</v>
      </c>
      <c r="G245" s="13">
        <f>SUMIF('OD 02-23'!A:A,A245,'OD 02-23'!E:E)</f>
        <v>1870</v>
      </c>
      <c r="H245" s="14">
        <f t="shared" si="6"/>
        <v>21391.535</v>
      </c>
      <c r="I245" s="14">
        <f t="shared" si="7"/>
        <v>47260.278999999995</v>
      </c>
      <c r="J245" s="8" t="s">
        <v>138</v>
      </c>
      <c r="K245" s="302" t="s">
        <v>509</v>
      </c>
    </row>
    <row r="246" spans="1:11" x14ac:dyDescent="0.2">
      <c r="A246" s="10">
        <v>60263000</v>
      </c>
      <c r="B246" s="10" t="s">
        <v>165</v>
      </c>
      <c r="C246" s="11">
        <v>5866.08</v>
      </c>
      <c r="D246" s="11">
        <v>4692.232</v>
      </c>
      <c r="E246" s="11">
        <v>0</v>
      </c>
      <c r="F246" s="13">
        <f>SUMIF('OD 02-23'!A:A,A246,'OD 02-23'!D:D)</f>
        <v>526.06299999999999</v>
      </c>
      <c r="G246" s="13">
        <f>SUMIF('OD 02-23'!A:A,A246,'OD 02-23'!E:E)</f>
        <v>0</v>
      </c>
      <c r="H246" s="14">
        <f t="shared" si="6"/>
        <v>5218.2950000000001</v>
      </c>
      <c r="I246" s="14">
        <f t="shared" si="7"/>
        <v>11084.375</v>
      </c>
      <c r="J246" s="8" t="s">
        <v>138</v>
      </c>
      <c r="K246" s="302" t="s">
        <v>509</v>
      </c>
    </row>
    <row r="247" spans="1:11" x14ac:dyDescent="0.2">
      <c r="A247" s="10">
        <v>60310000</v>
      </c>
      <c r="B247" s="10" t="s">
        <v>265</v>
      </c>
      <c r="C247" s="11">
        <v>-111601.90499999933</v>
      </c>
      <c r="D247" s="11">
        <v>0</v>
      </c>
      <c r="E247" s="11">
        <v>0</v>
      </c>
      <c r="F247" s="13">
        <f>SUMIF('OD 02-23'!A:A,A247,'OD 02-23'!D:D)</f>
        <v>10236706.575999999</v>
      </c>
      <c r="G247" s="13">
        <f>SUMIF('OD 02-23'!A:A,A247,'OD 02-23'!E:E)</f>
        <v>10534048.323999999</v>
      </c>
      <c r="H247" s="14">
        <f t="shared" si="6"/>
        <v>-297341.74799999967</v>
      </c>
      <c r="I247" s="14">
        <f t="shared" si="7"/>
        <v>-408943.652999999</v>
      </c>
      <c r="J247" s="8" t="s">
        <v>138</v>
      </c>
      <c r="K247" s="302" t="s">
        <v>509</v>
      </c>
    </row>
    <row r="248" spans="1:11" x14ac:dyDescent="0.2">
      <c r="A248" s="10">
        <v>60330000</v>
      </c>
      <c r="B248" s="10" t="s">
        <v>266</v>
      </c>
      <c r="C248" s="11">
        <v>-12563.503000000026</v>
      </c>
      <c r="D248" s="11">
        <v>0</v>
      </c>
      <c r="E248" s="11">
        <v>0</v>
      </c>
      <c r="F248" s="13">
        <f>SUMIF('OD 02-23'!A:A,A248,'OD 02-23'!D:D)</f>
        <v>596194.15399999998</v>
      </c>
      <c r="G248" s="13">
        <f>SUMIF('OD 02-23'!A:A,A248,'OD 02-23'!E:E)</f>
        <v>657159.81599999999</v>
      </c>
      <c r="H248" s="14">
        <f t="shared" si="6"/>
        <v>-60965.662000000011</v>
      </c>
      <c r="I248" s="14">
        <f t="shared" si="7"/>
        <v>-73529.165000000037</v>
      </c>
      <c r="J248" s="8" t="s">
        <v>157</v>
      </c>
      <c r="K248" s="302" t="s">
        <v>512</v>
      </c>
    </row>
    <row r="249" spans="1:11" x14ac:dyDescent="0.2">
      <c r="A249" s="10">
        <v>60502000</v>
      </c>
      <c r="B249" s="10" t="s">
        <v>167</v>
      </c>
      <c r="C249" s="11">
        <v>44058.682000000001</v>
      </c>
      <c r="D249" s="11">
        <v>64524.526914999995</v>
      </c>
      <c r="E249" s="11">
        <v>0</v>
      </c>
      <c r="F249" s="13">
        <f>SUMIF('OD 02-23'!A:A,A249,'OD 02-23'!D:D)</f>
        <v>42468.546000000002</v>
      </c>
      <c r="G249" s="13">
        <f>SUMIF('OD 02-23'!A:A,A249,'OD 02-23'!E:E)</f>
        <v>21278</v>
      </c>
      <c r="H249" s="14">
        <f t="shared" si="6"/>
        <v>85715.072914999997</v>
      </c>
      <c r="I249" s="14">
        <f t="shared" si="7"/>
        <v>129773.754915</v>
      </c>
      <c r="J249" s="8" t="s">
        <v>157</v>
      </c>
      <c r="K249" s="302" t="s">
        <v>512</v>
      </c>
    </row>
    <row r="250" spans="1:11" x14ac:dyDescent="0.2">
      <c r="A250" s="10">
        <v>60614000</v>
      </c>
      <c r="B250" s="10" t="s">
        <v>171</v>
      </c>
      <c r="C250" s="11">
        <v>17588.852999999999</v>
      </c>
      <c r="D250" s="11">
        <v>19127.338</v>
      </c>
      <c r="E250" s="11">
        <v>0</v>
      </c>
      <c r="F250" s="13">
        <f>SUMIF('OD 02-23'!A:A,A250,'OD 02-23'!D:D)</f>
        <v>0</v>
      </c>
      <c r="G250" s="13">
        <f>SUMIF('OD 02-23'!A:A,A250,'OD 02-23'!E:E)</f>
        <v>0</v>
      </c>
      <c r="H250" s="14">
        <f t="shared" si="6"/>
        <v>19127.338</v>
      </c>
      <c r="I250" s="14">
        <f t="shared" si="7"/>
        <v>36716.190999999999</v>
      </c>
      <c r="J250" s="8" t="s">
        <v>157</v>
      </c>
      <c r="K250" s="302" t="s">
        <v>512</v>
      </c>
    </row>
    <row r="251" spans="1:11" x14ac:dyDescent="0.2">
      <c r="A251" s="10">
        <v>60620000</v>
      </c>
      <c r="B251" s="10" t="s">
        <v>172</v>
      </c>
      <c r="C251" s="11">
        <v>1678.3939999999998</v>
      </c>
      <c r="D251" s="11">
        <v>2599.85</v>
      </c>
      <c r="E251" s="11">
        <v>0</v>
      </c>
      <c r="F251" s="13">
        <f>SUMIF('OD 02-23'!A:A,A251,'OD 02-23'!D:D)</f>
        <v>0</v>
      </c>
      <c r="G251" s="13">
        <f>SUMIF('OD 02-23'!A:A,A251,'OD 02-23'!E:E)</f>
        <v>0</v>
      </c>
      <c r="H251" s="14">
        <f t="shared" si="6"/>
        <v>2599.85</v>
      </c>
      <c r="I251" s="14">
        <f t="shared" si="7"/>
        <v>4278.2439999999997</v>
      </c>
      <c r="J251" s="8" t="s">
        <v>157</v>
      </c>
      <c r="K251" s="302" t="s">
        <v>512</v>
      </c>
    </row>
    <row r="252" spans="1:11" x14ac:dyDescent="0.2">
      <c r="A252" s="10">
        <v>60650000</v>
      </c>
      <c r="B252" s="10" t="s">
        <v>373</v>
      </c>
      <c r="C252" s="11">
        <v>1170</v>
      </c>
      <c r="D252" s="11">
        <v>0</v>
      </c>
      <c r="E252" s="11">
        <v>0</v>
      </c>
      <c r="F252" s="13">
        <f>SUMIF('OD 02-23'!A:A,A252,'OD 02-23'!D:D)</f>
        <v>1380</v>
      </c>
      <c r="G252" s="13">
        <f>SUMIF('OD 02-23'!A:A,A252,'OD 02-23'!E:E)</f>
        <v>0</v>
      </c>
      <c r="H252" s="14">
        <f t="shared" si="6"/>
        <v>1380</v>
      </c>
      <c r="I252" s="14">
        <f t="shared" si="7"/>
        <v>2550</v>
      </c>
      <c r="J252" s="8" t="s">
        <v>138</v>
      </c>
      <c r="K252" s="302" t="s">
        <v>509</v>
      </c>
    </row>
    <row r="253" spans="1:11" x14ac:dyDescent="0.2">
      <c r="A253" s="10">
        <v>60660000</v>
      </c>
      <c r="B253" s="10" t="s">
        <v>173</v>
      </c>
      <c r="C253" s="11">
        <v>450</v>
      </c>
      <c r="D253" s="11">
        <v>1706.404</v>
      </c>
      <c r="E253" s="11">
        <v>0</v>
      </c>
      <c r="F253" s="13">
        <f>SUMIF('OD 02-23'!A:A,A253,'OD 02-23'!D:D)</f>
        <v>0</v>
      </c>
      <c r="G253" s="13">
        <f>SUMIF('OD 02-23'!A:A,A253,'OD 02-23'!E:E)</f>
        <v>0</v>
      </c>
      <c r="H253" s="14">
        <f t="shared" si="6"/>
        <v>1706.404</v>
      </c>
      <c r="I253" s="14">
        <f t="shared" si="7"/>
        <v>2156.404</v>
      </c>
      <c r="J253" s="8" t="s">
        <v>157</v>
      </c>
      <c r="K253" s="302" t="s">
        <v>512</v>
      </c>
    </row>
    <row r="254" spans="1:11" x14ac:dyDescent="0.2">
      <c r="A254" s="10">
        <v>60670000</v>
      </c>
      <c r="B254" s="10" t="s">
        <v>174</v>
      </c>
      <c r="C254" s="11">
        <v>1475.8</v>
      </c>
      <c r="D254" s="11">
        <v>1536.9</v>
      </c>
      <c r="E254" s="11">
        <v>0</v>
      </c>
      <c r="F254" s="13">
        <f>SUMIF('OD 02-23'!A:A,A254,'OD 02-23'!D:D)</f>
        <v>0</v>
      </c>
      <c r="G254" s="13">
        <f>SUMIF('OD 02-23'!A:A,A254,'OD 02-23'!E:E)</f>
        <v>0</v>
      </c>
      <c r="H254" s="14">
        <f t="shared" si="6"/>
        <v>1536.9</v>
      </c>
      <c r="I254" s="14">
        <f t="shared" si="7"/>
        <v>3012.7</v>
      </c>
      <c r="J254" s="8" t="s">
        <v>157</v>
      </c>
      <c r="K254" s="302" t="s">
        <v>512</v>
      </c>
    </row>
    <row r="255" spans="1:11" x14ac:dyDescent="0.2">
      <c r="A255" s="10">
        <v>60671000</v>
      </c>
      <c r="B255" s="10" t="s">
        <v>374</v>
      </c>
      <c r="C255" s="11">
        <v>7352.2</v>
      </c>
      <c r="D255" s="11">
        <v>8420.2060000000001</v>
      </c>
      <c r="E255" s="11">
        <v>0</v>
      </c>
      <c r="F255" s="13">
        <f>SUMIF('OD 02-23'!A:A,A255,'OD 02-23'!D:D)</f>
        <v>0</v>
      </c>
      <c r="G255" s="13">
        <f>SUMIF('OD 02-23'!A:A,A255,'OD 02-23'!E:E)</f>
        <v>0</v>
      </c>
      <c r="H255" s="14">
        <f t="shared" si="6"/>
        <v>8420.2060000000001</v>
      </c>
      <c r="I255" s="14">
        <f t="shared" si="7"/>
        <v>15772.405999999999</v>
      </c>
      <c r="J255" s="8" t="s">
        <v>157</v>
      </c>
      <c r="K255" s="302" t="s">
        <v>512</v>
      </c>
    </row>
    <row r="256" spans="1:11" x14ac:dyDescent="0.2">
      <c r="A256" s="10">
        <v>61400000</v>
      </c>
      <c r="B256" s="10" t="s">
        <v>175</v>
      </c>
      <c r="C256" s="11">
        <v>3776.6659999999997</v>
      </c>
      <c r="D256" s="11">
        <v>5691.6659999999993</v>
      </c>
      <c r="E256" s="11">
        <v>0</v>
      </c>
      <c r="F256" s="13">
        <f>SUMIF('OD 02-23'!A:A,A256,'OD 02-23'!D:D)</f>
        <v>0</v>
      </c>
      <c r="G256" s="13">
        <f>SUMIF('OD 02-23'!A:A,A256,'OD 02-23'!E:E)</f>
        <v>0</v>
      </c>
      <c r="H256" s="14">
        <f t="shared" si="6"/>
        <v>5691.6659999999993</v>
      </c>
      <c r="I256" s="14">
        <f t="shared" si="7"/>
        <v>9468.3319999999985</v>
      </c>
      <c r="J256" s="8" t="s">
        <v>157</v>
      </c>
      <c r="K256" s="302" t="s">
        <v>512</v>
      </c>
    </row>
    <row r="257" spans="1:11" x14ac:dyDescent="0.2">
      <c r="A257" s="10">
        <v>61500000</v>
      </c>
      <c r="B257" s="10" t="s">
        <v>176</v>
      </c>
      <c r="C257" s="11">
        <v>25242.003000000001</v>
      </c>
      <c r="D257" s="11">
        <v>18573.768</v>
      </c>
      <c r="E257" s="11">
        <v>0</v>
      </c>
      <c r="F257" s="13">
        <f>SUMIF('OD 02-23'!A:A,A257,'OD 02-23'!D:D)</f>
        <v>15315.892</v>
      </c>
      <c r="G257" s="13">
        <f>SUMIF('OD 02-23'!A:A,A257,'OD 02-23'!E:E)</f>
        <v>4703.3609999999999</v>
      </c>
      <c r="H257" s="14">
        <f t="shared" si="6"/>
        <v>29186.299000000003</v>
      </c>
      <c r="I257" s="14">
        <f t="shared" si="7"/>
        <v>54428.302000000003</v>
      </c>
      <c r="J257" s="8" t="s">
        <v>157</v>
      </c>
      <c r="K257" s="302" t="s">
        <v>512</v>
      </c>
    </row>
    <row r="258" spans="1:11" x14ac:dyDescent="0.2">
      <c r="A258" s="10">
        <v>61501000</v>
      </c>
      <c r="B258" s="10" t="s">
        <v>177</v>
      </c>
      <c r="C258" s="11">
        <v>2965.096</v>
      </c>
      <c r="D258" s="11">
        <v>39403.577999999994</v>
      </c>
      <c r="E258" s="11">
        <v>0</v>
      </c>
      <c r="F258" s="13">
        <f>SUMIF('OD 02-23'!A:A,A258,'OD 02-23'!D:D)</f>
        <v>1190</v>
      </c>
      <c r="G258" s="13">
        <f>SUMIF('OD 02-23'!A:A,A258,'OD 02-23'!E:E)</f>
        <v>0</v>
      </c>
      <c r="H258" s="14">
        <f t="shared" ref="H258:H302" si="8">+D258+F258-E258-G258</f>
        <v>40593.577999999994</v>
      </c>
      <c r="I258" s="14">
        <f t="shared" ref="I258:I302" si="9">+H258+C258</f>
        <v>43558.673999999992</v>
      </c>
      <c r="J258" s="8" t="s">
        <v>157</v>
      </c>
      <c r="K258" s="302" t="s">
        <v>512</v>
      </c>
    </row>
    <row r="259" spans="1:11" x14ac:dyDescent="0.2">
      <c r="A259" s="10">
        <v>61603000</v>
      </c>
      <c r="B259" s="10" t="s">
        <v>178</v>
      </c>
      <c r="C259" s="12">
        <v>2450.7930000000001</v>
      </c>
      <c r="D259" s="11">
        <v>0</v>
      </c>
      <c r="E259" s="11">
        <v>0</v>
      </c>
      <c r="F259" s="13">
        <f>SUMIF('OD 02-23'!A:A,A259,'OD 02-23'!D:D)</f>
        <v>2450.7930000000001</v>
      </c>
      <c r="G259" s="13">
        <f>SUMIF('OD 02-23'!A:A,A259,'OD 02-23'!E:E)</f>
        <v>0</v>
      </c>
      <c r="H259" s="14">
        <f t="shared" si="8"/>
        <v>2450.7930000000001</v>
      </c>
      <c r="I259" s="14">
        <f t="shared" si="9"/>
        <v>4901.5860000000002</v>
      </c>
      <c r="J259" s="8" t="s">
        <v>157</v>
      </c>
      <c r="K259" s="302" t="s">
        <v>512</v>
      </c>
    </row>
    <row r="260" spans="1:11" x14ac:dyDescent="0.2">
      <c r="A260" s="10">
        <v>61607000</v>
      </c>
      <c r="B260" s="10" t="s">
        <v>179</v>
      </c>
      <c r="C260" s="11">
        <v>1227.6000000000004</v>
      </c>
      <c r="D260" s="11">
        <v>0</v>
      </c>
      <c r="E260" s="11">
        <v>0</v>
      </c>
      <c r="F260" s="13">
        <f>SUMIF('OD 02-23'!A:A,A260,'OD 02-23'!D:D)</f>
        <v>1227.5999999999999</v>
      </c>
      <c r="G260" s="13">
        <f>SUMIF('OD 02-23'!A:A,A260,'OD 02-23'!E:E)</f>
        <v>0</v>
      </c>
      <c r="H260" s="14">
        <f t="shared" si="8"/>
        <v>1227.5999999999999</v>
      </c>
      <c r="I260" s="14">
        <f t="shared" si="9"/>
        <v>2455.2000000000003</v>
      </c>
      <c r="J260" s="8" t="s">
        <v>157</v>
      </c>
      <c r="K260" s="302" t="s">
        <v>512</v>
      </c>
    </row>
    <row r="261" spans="1:11" x14ac:dyDescent="0.2">
      <c r="A261" s="10">
        <v>62120000</v>
      </c>
      <c r="B261" s="10" t="s">
        <v>180</v>
      </c>
      <c r="C261" s="11">
        <v>2815.68</v>
      </c>
      <c r="D261" s="11">
        <v>5524.2199999999993</v>
      </c>
      <c r="E261" s="11">
        <v>0</v>
      </c>
      <c r="F261" s="13">
        <f>SUMIF('OD 02-23'!A:A,A261,'OD 02-23'!D:D)</f>
        <v>0</v>
      </c>
      <c r="G261" s="13">
        <f>SUMIF('OD 02-23'!A:A,A261,'OD 02-23'!E:E)</f>
        <v>0</v>
      </c>
      <c r="H261" s="14">
        <f t="shared" si="8"/>
        <v>5524.2199999999993</v>
      </c>
      <c r="I261" s="14">
        <f t="shared" si="9"/>
        <v>8339.9</v>
      </c>
      <c r="J261" s="8" t="s">
        <v>157</v>
      </c>
      <c r="K261" s="302" t="s">
        <v>512</v>
      </c>
    </row>
    <row r="262" spans="1:11" x14ac:dyDescent="0.2">
      <c r="A262" s="10">
        <v>62200000</v>
      </c>
      <c r="B262" s="10" t="s">
        <v>181</v>
      </c>
      <c r="C262" s="11">
        <v>1490</v>
      </c>
      <c r="D262" s="11">
        <v>0</v>
      </c>
      <c r="E262" s="11">
        <v>0</v>
      </c>
      <c r="F262" s="13">
        <f>SUMIF('OD 02-23'!A:A,A262,'OD 02-23'!D:D)</f>
        <v>243.333</v>
      </c>
      <c r="G262" s="13">
        <f>SUMIF('OD 02-23'!A:A,A262,'OD 02-23'!E:E)</f>
        <v>0</v>
      </c>
      <c r="H262" s="14">
        <f t="shared" si="8"/>
        <v>243.333</v>
      </c>
      <c r="I262" s="14">
        <f t="shared" si="9"/>
        <v>1733.3330000000001</v>
      </c>
      <c r="J262" s="8" t="s">
        <v>157</v>
      </c>
      <c r="K262" s="302" t="s">
        <v>512</v>
      </c>
    </row>
    <row r="263" spans="1:11" x14ac:dyDescent="0.2">
      <c r="A263" s="10">
        <v>62210000</v>
      </c>
      <c r="B263" s="10" t="s">
        <v>398</v>
      </c>
      <c r="C263" s="11">
        <v>0</v>
      </c>
      <c r="D263" s="11">
        <v>425</v>
      </c>
      <c r="E263" s="11">
        <v>0</v>
      </c>
      <c r="F263" s="13">
        <f>SUMIF('OD 02-23'!A:A,A263,'OD 02-23'!D:D)</f>
        <v>0</v>
      </c>
      <c r="G263" s="13">
        <f>SUMIF('OD 02-23'!A:A,A263,'OD 02-23'!E:E)</f>
        <v>0</v>
      </c>
      <c r="H263" s="14">
        <f t="shared" si="8"/>
        <v>425</v>
      </c>
      <c r="I263" s="14">
        <f t="shared" si="9"/>
        <v>425</v>
      </c>
      <c r="J263" s="8" t="s">
        <v>157</v>
      </c>
      <c r="K263" s="302" t="s">
        <v>512</v>
      </c>
    </row>
    <row r="264" spans="1:11" x14ac:dyDescent="0.2">
      <c r="A264" s="10">
        <v>62230000</v>
      </c>
      <c r="B264" s="10" t="s">
        <v>375</v>
      </c>
      <c r="C264" s="11">
        <v>3600</v>
      </c>
      <c r="D264" s="11">
        <v>504.20199999999994</v>
      </c>
      <c r="E264" s="11">
        <v>0</v>
      </c>
      <c r="F264" s="13">
        <f>SUMIF('OD 02-23'!A:A,A264,'OD 02-23'!D:D)</f>
        <v>0</v>
      </c>
      <c r="G264" s="13">
        <f>SUMIF('OD 02-23'!A:A,A264,'OD 02-23'!E:E)</f>
        <v>0</v>
      </c>
      <c r="H264" s="14">
        <f t="shared" si="8"/>
        <v>504.20199999999994</v>
      </c>
      <c r="I264" s="14">
        <f t="shared" si="9"/>
        <v>4104.2020000000002</v>
      </c>
      <c r="J264" s="8" t="s">
        <v>157</v>
      </c>
      <c r="K264" s="302" t="s">
        <v>512</v>
      </c>
    </row>
    <row r="265" spans="1:11" x14ac:dyDescent="0.2">
      <c r="A265" s="10">
        <v>62240000</v>
      </c>
      <c r="B265" s="10" t="s">
        <v>267</v>
      </c>
      <c r="C265" s="11">
        <v>2782.5239999999999</v>
      </c>
      <c r="D265" s="11">
        <v>0</v>
      </c>
      <c r="E265" s="11">
        <v>0</v>
      </c>
      <c r="F265" s="13">
        <f>SUMIF('OD 02-23'!A:A,A265,'OD 02-23'!D:D)</f>
        <v>2782.5239999999999</v>
      </c>
      <c r="G265" s="13">
        <f>SUMIF('OD 02-23'!A:A,A265,'OD 02-23'!E:E)</f>
        <v>0</v>
      </c>
      <c r="H265" s="14">
        <f t="shared" si="8"/>
        <v>2782.5239999999999</v>
      </c>
      <c r="I265" s="14">
        <f t="shared" si="9"/>
        <v>5565.0479999999998</v>
      </c>
      <c r="J265" s="8" t="s">
        <v>157</v>
      </c>
      <c r="K265" s="302" t="s">
        <v>512</v>
      </c>
    </row>
    <row r="266" spans="1:11" x14ac:dyDescent="0.2">
      <c r="A266" s="10">
        <v>62250000</v>
      </c>
      <c r="B266" s="10" t="s">
        <v>268</v>
      </c>
      <c r="C266" s="11">
        <v>5000</v>
      </c>
      <c r="D266" s="11">
        <v>0</v>
      </c>
      <c r="E266" s="11">
        <v>0</v>
      </c>
      <c r="F266" s="13">
        <f>SUMIF('OD 02-23'!A:A,A266,'OD 02-23'!D:D)</f>
        <v>5000</v>
      </c>
      <c r="G266" s="13">
        <f>SUMIF('OD 02-23'!A:A,A266,'OD 02-23'!E:E)</f>
        <v>0</v>
      </c>
      <c r="H266" s="14">
        <f t="shared" si="8"/>
        <v>5000</v>
      </c>
      <c r="I266" s="14">
        <f t="shared" si="9"/>
        <v>10000</v>
      </c>
      <c r="J266" s="8" t="s">
        <v>157</v>
      </c>
      <c r="K266" s="302" t="s">
        <v>512</v>
      </c>
    </row>
    <row r="267" spans="1:11" x14ac:dyDescent="0.2">
      <c r="A267" s="10">
        <v>62300000</v>
      </c>
      <c r="B267" s="10" t="s">
        <v>182</v>
      </c>
      <c r="C267" s="11">
        <v>7500</v>
      </c>
      <c r="D267" s="11">
        <v>0</v>
      </c>
      <c r="E267" s="11">
        <v>0</v>
      </c>
      <c r="F267" s="13">
        <f>SUMIF('OD 02-23'!A:A,A267,'OD 02-23'!D:D)</f>
        <v>7500</v>
      </c>
      <c r="G267" s="13">
        <f>SUMIF('OD 02-23'!A:A,A267,'OD 02-23'!E:E)</f>
        <v>0</v>
      </c>
      <c r="H267" s="14">
        <f t="shared" si="8"/>
        <v>7500</v>
      </c>
      <c r="I267" s="14">
        <f t="shared" si="9"/>
        <v>15000</v>
      </c>
      <c r="J267" s="8" t="s">
        <v>157</v>
      </c>
      <c r="K267" s="302" t="s">
        <v>512</v>
      </c>
    </row>
    <row r="268" spans="1:11" x14ac:dyDescent="0.2">
      <c r="A268" s="10">
        <v>62301000</v>
      </c>
      <c r="B268" s="10" t="s">
        <v>7397</v>
      </c>
      <c r="C268" s="11">
        <v>0</v>
      </c>
      <c r="D268" s="11">
        <v>68</v>
      </c>
      <c r="E268" s="11">
        <v>0</v>
      </c>
      <c r="F268" s="13">
        <f>SUMIF('OD 02-23'!A:A,A268,'OD 02-23'!D:D)</f>
        <v>0</v>
      </c>
      <c r="G268" s="13">
        <f>SUMIF('OD 02-23'!A:A,A268,'OD 02-23'!E:E)</f>
        <v>0</v>
      </c>
      <c r="H268" s="14">
        <f t="shared" si="8"/>
        <v>68</v>
      </c>
      <c r="I268" s="14">
        <f t="shared" si="9"/>
        <v>68</v>
      </c>
      <c r="J268" s="8" t="s">
        <v>157</v>
      </c>
      <c r="K268" s="302" t="s">
        <v>512</v>
      </c>
    </row>
    <row r="269" spans="1:11" x14ac:dyDescent="0.2">
      <c r="A269" s="10">
        <v>62410000</v>
      </c>
      <c r="B269" s="10" t="s">
        <v>183</v>
      </c>
      <c r="C269" s="11">
        <v>70</v>
      </c>
      <c r="D269" s="11">
        <v>760</v>
      </c>
      <c r="E269" s="11">
        <v>0</v>
      </c>
      <c r="F269" s="13">
        <f>SUMIF('OD 02-23'!A:A,A269,'OD 02-23'!D:D)</f>
        <v>0</v>
      </c>
      <c r="G269" s="13">
        <f>SUMIF('OD 02-23'!A:A,A269,'OD 02-23'!E:E)</f>
        <v>0</v>
      </c>
      <c r="H269" s="14">
        <f t="shared" si="8"/>
        <v>760</v>
      </c>
      <c r="I269" s="14">
        <f t="shared" si="9"/>
        <v>830</v>
      </c>
      <c r="J269" s="8" t="s">
        <v>157</v>
      </c>
      <c r="K269" s="302" t="s">
        <v>512</v>
      </c>
    </row>
    <row r="270" spans="1:11" x14ac:dyDescent="0.2">
      <c r="A270" s="10">
        <v>62430000</v>
      </c>
      <c r="B270" s="10" t="s">
        <v>159</v>
      </c>
      <c r="C270" s="11">
        <v>88197.2</v>
      </c>
      <c r="D270" s="11">
        <v>46057.800999999992</v>
      </c>
      <c r="E270" s="11">
        <v>0</v>
      </c>
      <c r="F270" s="13">
        <f>SUMIF('OD 02-23'!A:A,A270,'OD 02-23'!D:D)</f>
        <v>0</v>
      </c>
      <c r="G270" s="13">
        <f>SUMIF('OD 02-23'!A:A,A270,'OD 02-23'!E:E)</f>
        <v>0</v>
      </c>
      <c r="H270" s="14">
        <f t="shared" si="8"/>
        <v>46057.800999999992</v>
      </c>
      <c r="I270" s="14">
        <f t="shared" si="9"/>
        <v>134255.00099999999</v>
      </c>
      <c r="J270" s="8" t="s">
        <v>157</v>
      </c>
      <c r="K270" s="302" t="s">
        <v>512</v>
      </c>
    </row>
    <row r="271" spans="1:11" x14ac:dyDescent="0.2">
      <c r="A271" s="10">
        <v>62500000</v>
      </c>
      <c r="B271" s="10" t="s">
        <v>185</v>
      </c>
      <c r="C271" s="11">
        <v>8.1</v>
      </c>
      <c r="D271" s="11">
        <v>61.4</v>
      </c>
      <c r="E271" s="11">
        <v>0</v>
      </c>
      <c r="F271" s="13">
        <f>SUMIF('OD 02-23'!A:A,A271,'OD 02-23'!D:D)</f>
        <v>0</v>
      </c>
      <c r="G271" s="13">
        <f>SUMIF('OD 02-23'!A:A,A271,'OD 02-23'!E:E)</f>
        <v>0</v>
      </c>
      <c r="H271" s="14">
        <f t="shared" si="8"/>
        <v>61.4</v>
      </c>
      <c r="I271" s="14">
        <f t="shared" si="9"/>
        <v>69.5</v>
      </c>
      <c r="J271" s="8" t="s">
        <v>157</v>
      </c>
      <c r="K271" s="302" t="s">
        <v>512</v>
      </c>
    </row>
    <row r="272" spans="1:11" x14ac:dyDescent="0.2">
      <c r="A272" s="10">
        <v>62571000</v>
      </c>
      <c r="B272" s="10" t="s">
        <v>376</v>
      </c>
      <c r="C272" s="11">
        <v>926.55</v>
      </c>
      <c r="D272" s="11">
        <v>1043.8030000000001</v>
      </c>
      <c r="E272" s="11">
        <v>0</v>
      </c>
      <c r="F272" s="13">
        <f>SUMIF('OD 02-23'!A:A,A272,'OD 02-23'!D:D)</f>
        <v>0</v>
      </c>
      <c r="G272" s="13">
        <f>SUMIF('OD 02-23'!A:A,A272,'OD 02-23'!E:E)</f>
        <v>0</v>
      </c>
      <c r="H272" s="14">
        <f t="shared" si="8"/>
        <v>1043.8030000000001</v>
      </c>
      <c r="I272" s="14">
        <f t="shared" si="9"/>
        <v>1970.3530000000001</v>
      </c>
      <c r="J272" s="8" t="s">
        <v>157</v>
      </c>
      <c r="K272" s="302" t="s">
        <v>512</v>
      </c>
    </row>
    <row r="273" spans="1:11" x14ac:dyDescent="0.2">
      <c r="A273" s="10">
        <v>62572000</v>
      </c>
      <c r="B273" s="10" t="s">
        <v>377</v>
      </c>
      <c r="C273" s="11">
        <v>723.2</v>
      </c>
      <c r="D273" s="11">
        <v>0</v>
      </c>
      <c r="E273" s="11">
        <v>0</v>
      </c>
      <c r="F273" s="13">
        <f>SUMIF('OD 02-23'!A:A,A273,'OD 02-23'!D:D)</f>
        <v>0</v>
      </c>
      <c r="G273" s="13">
        <f>SUMIF('OD 02-23'!A:A,A273,'OD 02-23'!E:E)</f>
        <v>0</v>
      </c>
      <c r="H273" s="14">
        <f t="shared" si="8"/>
        <v>0</v>
      </c>
      <c r="I273" s="14">
        <f t="shared" si="9"/>
        <v>723.2</v>
      </c>
      <c r="J273" s="8" t="s">
        <v>157</v>
      </c>
      <c r="K273" s="302" t="s">
        <v>512</v>
      </c>
    </row>
    <row r="274" spans="1:11" x14ac:dyDescent="0.2">
      <c r="A274" s="10">
        <v>62573000</v>
      </c>
      <c r="B274" s="10" t="s">
        <v>378</v>
      </c>
      <c r="C274" s="11">
        <v>623.21600000000001</v>
      </c>
      <c r="D274" s="11">
        <v>1934</v>
      </c>
      <c r="E274" s="11">
        <v>0</v>
      </c>
      <c r="F274" s="13">
        <f>SUMIF('OD 02-23'!A:A,A274,'OD 02-23'!D:D)</f>
        <v>0</v>
      </c>
      <c r="G274" s="13">
        <f>SUMIF('OD 02-23'!A:A,A274,'OD 02-23'!E:E)</f>
        <v>0</v>
      </c>
      <c r="H274" s="14">
        <f t="shared" si="8"/>
        <v>1934</v>
      </c>
      <c r="I274" s="14">
        <f t="shared" si="9"/>
        <v>2557.2159999999999</v>
      </c>
      <c r="J274" s="8" t="s">
        <v>157</v>
      </c>
      <c r="K274" s="302" t="s">
        <v>512</v>
      </c>
    </row>
    <row r="275" spans="1:11" x14ac:dyDescent="0.2">
      <c r="A275" s="10">
        <v>62580000</v>
      </c>
      <c r="B275" s="10" t="s">
        <v>187</v>
      </c>
      <c r="C275" s="11">
        <v>11.25</v>
      </c>
      <c r="D275" s="11">
        <v>1016.5</v>
      </c>
      <c r="E275" s="11">
        <v>0</v>
      </c>
      <c r="F275" s="13">
        <f>SUMIF('OD 02-23'!A:A,A275,'OD 02-23'!D:D)</f>
        <v>0</v>
      </c>
      <c r="G275" s="13">
        <f>SUMIF('OD 02-23'!A:A,A275,'OD 02-23'!E:E)</f>
        <v>0</v>
      </c>
      <c r="H275" s="14">
        <f t="shared" si="8"/>
        <v>1016.5</v>
      </c>
      <c r="I275" s="14">
        <f t="shared" si="9"/>
        <v>1027.75</v>
      </c>
      <c r="J275" s="8" t="s">
        <v>157</v>
      </c>
      <c r="K275" s="302" t="s">
        <v>512</v>
      </c>
    </row>
    <row r="276" spans="1:11" x14ac:dyDescent="0.2">
      <c r="A276" s="10">
        <v>62600000</v>
      </c>
      <c r="B276" s="10" t="s">
        <v>188</v>
      </c>
      <c r="C276" s="11">
        <v>7890.8959999999988</v>
      </c>
      <c r="D276" s="11">
        <v>1276.6979999999999</v>
      </c>
      <c r="E276" s="11">
        <v>0</v>
      </c>
      <c r="F276" s="13">
        <f>SUMIF('OD 02-23'!A:A,A276,'OD 02-23'!D:D)</f>
        <v>0</v>
      </c>
      <c r="G276" s="13">
        <f>SUMIF('OD 02-23'!A:A,A276,'OD 02-23'!E:E)</f>
        <v>0</v>
      </c>
      <c r="H276" s="14">
        <f t="shared" si="8"/>
        <v>1276.6979999999999</v>
      </c>
      <c r="I276" s="14">
        <f t="shared" si="9"/>
        <v>9167.5939999999991</v>
      </c>
      <c r="J276" s="8" t="s">
        <v>157</v>
      </c>
      <c r="K276" s="302" t="s">
        <v>512</v>
      </c>
    </row>
    <row r="277" spans="1:11" x14ac:dyDescent="0.2">
      <c r="A277" s="10">
        <v>62780000</v>
      </c>
      <c r="B277" s="10" t="s">
        <v>189</v>
      </c>
      <c r="C277" s="11">
        <v>17988.704999999998</v>
      </c>
      <c r="D277" s="11">
        <v>2102.6019999999999</v>
      </c>
      <c r="E277" s="11">
        <v>1</v>
      </c>
      <c r="F277" s="13">
        <f>SUMIF('OD 02-23'!A:A,A277,'OD 02-23'!D:D)</f>
        <v>13350.088</v>
      </c>
      <c r="G277" s="13">
        <f>SUMIF('OD 02-23'!A:A,A277,'OD 02-23'!E:E)</f>
        <v>0</v>
      </c>
      <c r="H277" s="14">
        <f t="shared" si="8"/>
        <v>15451.689999999999</v>
      </c>
      <c r="I277" s="14">
        <f t="shared" si="9"/>
        <v>33440.394999999997</v>
      </c>
      <c r="J277" s="8" t="s">
        <v>157</v>
      </c>
      <c r="K277" s="302" t="s">
        <v>512</v>
      </c>
    </row>
    <row r="278" spans="1:11" x14ac:dyDescent="0.2">
      <c r="A278" s="10">
        <v>63300000</v>
      </c>
      <c r="B278" s="10" t="s">
        <v>269</v>
      </c>
      <c r="C278" s="12">
        <v>10416.665999999999</v>
      </c>
      <c r="D278" s="11">
        <v>0</v>
      </c>
      <c r="E278" s="11">
        <v>0</v>
      </c>
      <c r="F278" s="13">
        <f>SUMIF('OD 02-23'!A:A,A278,'OD 02-23'!D:D)</f>
        <v>10416.665999999999</v>
      </c>
      <c r="G278" s="13">
        <f>SUMIF('OD 02-23'!A:A,A278,'OD 02-23'!E:E)</f>
        <v>0</v>
      </c>
      <c r="H278" s="14">
        <f t="shared" si="8"/>
        <v>10416.665999999999</v>
      </c>
      <c r="I278" s="14">
        <f t="shared" si="9"/>
        <v>20833.331999999999</v>
      </c>
      <c r="J278" s="8" t="s">
        <v>157</v>
      </c>
      <c r="K278" s="302" t="s">
        <v>512</v>
      </c>
    </row>
    <row r="279" spans="1:11" x14ac:dyDescent="0.2">
      <c r="A279" s="10">
        <v>63610000</v>
      </c>
      <c r="B279" s="10" t="s">
        <v>7398</v>
      </c>
      <c r="C279" s="12">
        <v>0</v>
      </c>
      <c r="D279" s="11">
        <v>560</v>
      </c>
      <c r="E279" s="11">
        <v>0</v>
      </c>
      <c r="F279" s="13">
        <f>SUMIF('OD 02-23'!A:A,A279,'OD 02-23'!D:D)</f>
        <v>0</v>
      </c>
      <c r="G279" s="13">
        <f>SUMIF('OD 02-23'!A:A,A279,'OD 02-23'!E:E)</f>
        <v>0</v>
      </c>
      <c r="H279" s="14">
        <f t="shared" si="8"/>
        <v>560</v>
      </c>
      <c r="I279" s="14">
        <f t="shared" si="9"/>
        <v>560</v>
      </c>
      <c r="J279" s="8" t="s">
        <v>190</v>
      </c>
      <c r="K279" s="302" t="s">
        <v>512</v>
      </c>
    </row>
    <row r="280" spans="1:11" x14ac:dyDescent="0.2">
      <c r="A280" s="10">
        <v>64001000</v>
      </c>
      <c r="B280" s="10" t="s">
        <v>191</v>
      </c>
      <c r="C280" s="11">
        <v>343481.652</v>
      </c>
      <c r="D280" s="11">
        <v>326591.95799999998</v>
      </c>
      <c r="E280" s="11">
        <v>0</v>
      </c>
      <c r="F280" s="13">
        <f>SUMIF('OD 02-23'!A:A,A280,'OD 02-23'!D:D)</f>
        <v>25606.931</v>
      </c>
      <c r="G280" s="13">
        <f>SUMIF('OD 02-23'!A:A,A280,'OD 02-23'!E:E)</f>
        <v>0</v>
      </c>
      <c r="H280" s="14">
        <f t="shared" si="8"/>
        <v>352198.88899999997</v>
      </c>
      <c r="I280" s="14">
        <f t="shared" si="9"/>
        <v>695680.54099999997</v>
      </c>
      <c r="J280" s="8" t="s">
        <v>192</v>
      </c>
      <c r="K280" s="302" t="s">
        <v>511</v>
      </c>
    </row>
    <row r="281" spans="1:11" x14ac:dyDescent="0.2">
      <c r="A281" s="10">
        <v>64720000</v>
      </c>
      <c r="B281" s="10" t="s">
        <v>194</v>
      </c>
      <c r="C281" s="12">
        <v>32544.788</v>
      </c>
      <c r="D281" s="11">
        <v>0</v>
      </c>
      <c r="E281" s="11">
        <v>0</v>
      </c>
      <c r="F281" s="13">
        <f>SUMIF('OD 02-23'!A:A,A281,'OD 02-23'!D:D)</f>
        <v>32544.788</v>
      </c>
      <c r="G281" s="13">
        <f>SUMIF('OD 02-23'!A:A,A281,'OD 02-23'!E:E)</f>
        <v>0</v>
      </c>
      <c r="H281" s="14">
        <f t="shared" si="8"/>
        <v>32544.788</v>
      </c>
      <c r="I281" s="14">
        <f t="shared" si="9"/>
        <v>65089.576000000001</v>
      </c>
      <c r="J281" s="8" t="s">
        <v>192</v>
      </c>
      <c r="K281" s="302" t="s">
        <v>511</v>
      </c>
    </row>
    <row r="282" spans="1:11" x14ac:dyDescent="0.2">
      <c r="A282" s="10">
        <v>65110000</v>
      </c>
      <c r="B282" s="10" t="s">
        <v>385</v>
      </c>
      <c r="C282" s="12">
        <v>16216.419999999998</v>
      </c>
      <c r="D282" s="11">
        <v>0</v>
      </c>
      <c r="E282" s="11">
        <v>0</v>
      </c>
      <c r="F282" s="13">
        <f>SUMIF('OD 02-23'!A:A,A282,'OD 02-23'!D:D)</f>
        <v>0</v>
      </c>
      <c r="G282" s="13">
        <f>SUMIF('OD 02-23'!A:A,A282,'OD 02-23'!E:E)</f>
        <v>0</v>
      </c>
      <c r="H282" s="14">
        <f t="shared" si="8"/>
        <v>0</v>
      </c>
      <c r="I282" s="14">
        <f t="shared" si="9"/>
        <v>16216.419999999998</v>
      </c>
      <c r="J282" s="8" t="s">
        <v>195</v>
      </c>
      <c r="K282" s="302" t="s">
        <v>517</v>
      </c>
    </row>
    <row r="283" spans="1:11" x14ac:dyDescent="0.2">
      <c r="A283" s="10">
        <v>65110200</v>
      </c>
      <c r="B283" s="10" t="s">
        <v>196</v>
      </c>
      <c r="C283" s="12">
        <v>25890.741000000002</v>
      </c>
      <c r="D283" s="11">
        <v>0</v>
      </c>
      <c r="E283" s="11">
        <v>0</v>
      </c>
      <c r="F283" s="13">
        <f>SUMIF('OD 02-23'!A:A,A283,'OD 02-23'!D:D)</f>
        <v>25890.741000000002</v>
      </c>
      <c r="G283" s="13">
        <f>SUMIF('OD 02-23'!A:A,A283,'OD 02-23'!E:E)</f>
        <v>0</v>
      </c>
      <c r="H283" s="14">
        <f t="shared" si="8"/>
        <v>25890.741000000002</v>
      </c>
      <c r="I283" s="14">
        <f t="shared" si="9"/>
        <v>51781.482000000004</v>
      </c>
      <c r="J283" s="8" t="s">
        <v>195</v>
      </c>
      <c r="K283" s="302" t="s">
        <v>517</v>
      </c>
    </row>
    <row r="284" spans="1:11" x14ac:dyDescent="0.2">
      <c r="A284" s="10">
        <v>65110400</v>
      </c>
      <c r="B284" s="10" t="s">
        <v>197</v>
      </c>
      <c r="C284" s="12">
        <v>15076.053</v>
      </c>
      <c r="D284" s="11">
        <v>0</v>
      </c>
      <c r="E284" s="11">
        <v>0</v>
      </c>
      <c r="F284" s="13">
        <f>SUMIF('OD 02-23'!A:A,A284,'OD 02-23'!D:D)</f>
        <v>15076.053</v>
      </c>
      <c r="G284" s="13">
        <f>SUMIF('OD 02-23'!A:A,A284,'OD 02-23'!E:E)</f>
        <v>0</v>
      </c>
      <c r="H284" s="14">
        <f t="shared" si="8"/>
        <v>15076.053</v>
      </c>
      <c r="I284" s="14">
        <f t="shared" si="9"/>
        <v>30152.106</v>
      </c>
      <c r="J284" s="8" t="s">
        <v>195</v>
      </c>
      <c r="K284" s="302" t="s">
        <v>517</v>
      </c>
    </row>
    <row r="285" spans="1:11" x14ac:dyDescent="0.2">
      <c r="A285" s="10">
        <v>65115000</v>
      </c>
      <c r="B285" s="10" t="s">
        <v>379</v>
      </c>
      <c r="C285" s="11">
        <v>2961.5459999999998</v>
      </c>
      <c r="D285" s="11">
        <v>1263.5729999999999</v>
      </c>
      <c r="E285" s="11">
        <v>0</v>
      </c>
      <c r="F285" s="13">
        <f>SUMIF('OD 02-23'!A:A,A285,'OD 02-23'!D:D)</f>
        <v>0</v>
      </c>
      <c r="G285" s="13">
        <f>SUMIF('OD 02-23'!A:A,A285,'OD 02-23'!E:E)</f>
        <v>0</v>
      </c>
      <c r="H285" s="14">
        <f t="shared" si="8"/>
        <v>1263.5729999999999</v>
      </c>
      <c r="I285" s="14">
        <f t="shared" si="9"/>
        <v>4225.1189999999997</v>
      </c>
      <c r="J285" s="8" t="s">
        <v>195</v>
      </c>
      <c r="K285" s="302" t="s">
        <v>517</v>
      </c>
    </row>
    <row r="286" spans="1:11" x14ac:dyDescent="0.2">
      <c r="A286" s="10">
        <v>65150000</v>
      </c>
      <c r="B286" s="10" t="s">
        <v>270</v>
      </c>
      <c r="C286" s="12">
        <v>9186.8490000000002</v>
      </c>
      <c r="D286" s="11">
        <v>0</v>
      </c>
      <c r="E286" s="11">
        <v>0</v>
      </c>
      <c r="F286" s="13">
        <f>SUMIF('OD 02-23'!A:A,A286,'OD 02-23'!D:D)</f>
        <v>13286.575999999999</v>
      </c>
      <c r="G286" s="13">
        <f>SUMIF('OD 02-23'!A:A,A286,'OD 02-23'!E:E)</f>
        <v>0</v>
      </c>
      <c r="H286" s="14">
        <f t="shared" si="8"/>
        <v>13286.575999999999</v>
      </c>
      <c r="I286" s="14">
        <f t="shared" si="9"/>
        <v>22473.424999999999</v>
      </c>
      <c r="J286" s="8" t="s">
        <v>195</v>
      </c>
      <c r="K286" s="302" t="s">
        <v>517</v>
      </c>
    </row>
    <row r="287" spans="1:11" x14ac:dyDescent="0.2">
      <c r="A287" s="10">
        <v>65190000</v>
      </c>
      <c r="B287" s="10" t="s">
        <v>198</v>
      </c>
      <c r="C287" s="12">
        <v>30038.761999999999</v>
      </c>
      <c r="D287" s="11">
        <v>0</v>
      </c>
      <c r="E287" s="11">
        <v>0</v>
      </c>
      <c r="F287" s="13">
        <f>SUMIF('OD 02-23'!A:A,A287,'OD 02-23'!D:D)</f>
        <v>30038.761999999999</v>
      </c>
      <c r="G287" s="13">
        <f>SUMIF('OD 02-23'!A:A,A287,'OD 02-23'!E:E)</f>
        <v>0</v>
      </c>
      <c r="H287" s="14">
        <f t="shared" si="8"/>
        <v>30038.761999999999</v>
      </c>
      <c r="I287" s="14">
        <f t="shared" si="9"/>
        <v>60077.523999999998</v>
      </c>
      <c r="J287" s="8" t="s">
        <v>195</v>
      </c>
      <c r="K287" s="302" t="s">
        <v>517</v>
      </c>
    </row>
    <row r="288" spans="1:11" x14ac:dyDescent="0.2">
      <c r="A288" s="10">
        <v>66520000</v>
      </c>
      <c r="B288" s="10" t="s">
        <v>200</v>
      </c>
      <c r="C288" s="12">
        <v>7288.7920000000004</v>
      </c>
      <c r="D288" s="11">
        <v>0</v>
      </c>
      <c r="E288" s="11">
        <v>0</v>
      </c>
      <c r="F288" s="13">
        <f>SUMIF('OD 02-23'!A:A,A288,'OD 02-23'!D:D)</f>
        <v>7273.0469999999996</v>
      </c>
      <c r="G288" s="13">
        <f>SUMIF('OD 02-23'!A:A,A288,'OD 02-23'!E:E)</f>
        <v>7288.7920000000004</v>
      </c>
      <c r="H288" s="14">
        <f t="shared" si="8"/>
        <v>-15.7450000000008</v>
      </c>
      <c r="I288" s="14">
        <f t="shared" si="9"/>
        <v>7273.0469999999996</v>
      </c>
      <c r="J288" s="8" t="s">
        <v>157</v>
      </c>
      <c r="K288" s="302" t="s">
        <v>512</v>
      </c>
    </row>
    <row r="289" spans="1:11" x14ac:dyDescent="0.2">
      <c r="A289" s="10">
        <v>66540000</v>
      </c>
      <c r="B289" s="10" t="s">
        <v>201</v>
      </c>
      <c r="C289" s="11">
        <v>1123.3670000000002</v>
      </c>
      <c r="D289" s="11">
        <f>669.67+0.6</f>
        <v>670.27</v>
      </c>
      <c r="E289" s="11">
        <v>0</v>
      </c>
      <c r="F289" s="13">
        <f>SUMIF('OD 02-23'!A:A,A289,'OD 02-23'!D:D)</f>
        <v>0</v>
      </c>
      <c r="G289" s="13">
        <f>SUMIF('OD 02-23'!A:A,A289,'OD 02-23'!E:E)</f>
        <v>0</v>
      </c>
      <c r="H289" s="14">
        <f t="shared" si="8"/>
        <v>670.27</v>
      </c>
      <c r="I289" s="14">
        <f t="shared" si="9"/>
        <v>1793.6370000000002</v>
      </c>
      <c r="J289" s="8" t="s">
        <v>157</v>
      </c>
      <c r="K289" s="302" t="s">
        <v>512</v>
      </c>
    </row>
    <row r="290" spans="1:11" x14ac:dyDescent="0.2">
      <c r="A290" s="10">
        <v>66550000</v>
      </c>
      <c r="B290" s="10" t="s">
        <v>202</v>
      </c>
      <c r="C290" s="11">
        <v>1121.645</v>
      </c>
      <c r="D290" s="11">
        <v>531.53</v>
      </c>
      <c r="E290" s="11">
        <v>0</v>
      </c>
      <c r="F290" s="13">
        <f>SUMIF('OD 02-23'!A:A,A290,'OD 02-23'!D:D)</f>
        <v>900</v>
      </c>
      <c r="G290" s="13">
        <f>SUMIF('OD 02-23'!A:A,A290,'OD 02-23'!E:E)</f>
        <v>0</v>
      </c>
      <c r="H290" s="14">
        <f t="shared" si="8"/>
        <v>1431.53</v>
      </c>
      <c r="I290" s="14">
        <f t="shared" si="9"/>
        <v>2553.1750000000002</v>
      </c>
      <c r="J290" s="8" t="s">
        <v>157</v>
      </c>
      <c r="K290" s="302" t="s">
        <v>512</v>
      </c>
    </row>
    <row r="291" spans="1:11" x14ac:dyDescent="0.2">
      <c r="A291" s="10">
        <v>68112000</v>
      </c>
      <c r="B291" s="10" t="s">
        <v>271</v>
      </c>
      <c r="C291" s="12">
        <v>194951.99900000001</v>
      </c>
      <c r="D291" s="11">
        <v>0</v>
      </c>
      <c r="E291" s="11">
        <v>0</v>
      </c>
      <c r="F291" s="13">
        <f>SUMIF('OD 02-23'!A:A,A291,'OD 02-23'!D:D)</f>
        <v>181003.386</v>
      </c>
      <c r="G291" s="13">
        <f>SUMIF('OD 02-23'!A:A,A291,'OD 02-23'!E:E)</f>
        <v>0</v>
      </c>
      <c r="H291" s="14">
        <f t="shared" si="8"/>
        <v>181003.386</v>
      </c>
      <c r="I291" s="14">
        <f t="shared" si="9"/>
        <v>375955.38500000001</v>
      </c>
      <c r="J291" s="8" t="s">
        <v>203</v>
      </c>
      <c r="K291" s="302" t="s">
        <v>515</v>
      </c>
    </row>
    <row r="292" spans="1:11" x14ac:dyDescent="0.2">
      <c r="A292" s="10">
        <v>70000000</v>
      </c>
      <c r="B292" s="10" t="s">
        <v>205</v>
      </c>
      <c r="C292" s="11">
        <v>-1836846.3260000004</v>
      </c>
      <c r="D292" s="16">
        <f>821667.322+48199.18+86029.338</f>
        <v>955895.84000000008</v>
      </c>
      <c r="E292" s="11">
        <v>3434970.1739999996</v>
      </c>
      <c r="F292" s="13">
        <f>SUMIF('OD 02-23'!A:A,A292,'OD 02-23'!D:D)</f>
        <v>17408.8</v>
      </c>
      <c r="G292" s="13">
        <f>SUMIF('OD 02-23'!A:A,A292,'OD 02-23'!E:E)</f>
        <v>65310.438000000002</v>
      </c>
      <c r="H292" s="14">
        <f t="shared" si="8"/>
        <v>-2526975.9719999996</v>
      </c>
      <c r="I292" s="14">
        <f t="shared" si="9"/>
        <v>-4363822.2980000004</v>
      </c>
      <c r="J292" s="8" t="s">
        <v>206</v>
      </c>
      <c r="K292" s="302" t="s">
        <v>505</v>
      </c>
    </row>
    <row r="293" spans="1:11" x14ac:dyDescent="0.2">
      <c r="A293" s="10">
        <v>70102000</v>
      </c>
      <c r="B293" s="10" t="s">
        <v>207</v>
      </c>
      <c r="C293" s="11">
        <v>-2514794.6540000001</v>
      </c>
      <c r="D293" s="11">
        <v>0</v>
      </c>
      <c r="E293" s="16">
        <f>821667.322+623187.009</f>
        <v>1444854.331</v>
      </c>
      <c r="F293" s="13">
        <f>SUMIF('OD 02-23'!A:A,A293,'OD 02-23'!D:D)</f>
        <v>0</v>
      </c>
      <c r="G293" s="13">
        <f>SUMIF('OD 02-23'!A:A,A293,'OD 02-23'!E:E)</f>
        <v>0</v>
      </c>
      <c r="H293" s="14">
        <f t="shared" si="8"/>
        <v>-1444854.331</v>
      </c>
      <c r="I293" s="14">
        <f t="shared" si="9"/>
        <v>-3959648.9850000003</v>
      </c>
      <c r="J293" s="8" t="s">
        <v>227</v>
      </c>
      <c r="K293" s="302" t="s">
        <v>504</v>
      </c>
    </row>
    <row r="294" spans="1:11" x14ac:dyDescent="0.2">
      <c r="A294" s="10">
        <v>70103000</v>
      </c>
      <c r="B294" s="10" t="s">
        <v>380</v>
      </c>
      <c r="C294" s="11">
        <v>-2170</v>
      </c>
      <c r="D294" s="11">
        <v>0</v>
      </c>
      <c r="E294" s="11">
        <v>1855</v>
      </c>
      <c r="F294" s="13">
        <f>SUMIF('OD 02-23'!A:A,A294,'OD 02-23'!D:D)</f>
        <v>0</v>
      </c>
      <c r="G294" s="13">
        <f>SUMIF('OD 02-23'!A:A,A294,'OD 02-23'!E:E)</f>
        <v>0</v>
      </c>
      <c r="H294" s="14">
        <f t="shared" si="8"/>
        <v>-1855</v>
      </c>
      <c r="I294" s="14">
        <f t="shared" si="9"/>
        <v>-4025</v>
      </c>
      <c r="J294" s="8" t="s">
        <v>206</v>
      </c>
      <c r="K294" s="302" t="s">
        <v>505</v>
      </c>
    </row>
    <row r="295" spans="1:11" x14ac:dyDescent="0.2">
      <c r="A295" s="10">
        <v>70600000</v>
      </c>
      <c r="B295" s="10" t="s">
        <v>381</v>
      </c>
      <c r="C295" s="11">
        <v>-42244.2</v>
      </c>
      <c r="D295" s="11">
        <v>0</v>
      </c>
      <c r="E295" s="16">
        <v>48199.18</v>
      </c>
      <c r="F295" s="13">
        <f>SUMIF('OD 02-23'!A:A,A295,'OD 02-23'!D:D)</f>
        <v>0</v>
      </c>
      <c r="G295" s="13">
        <f>SUMIF('OD 02-23'!A:A,A295,'OD 02-23'!E:E)</f>
        <v>0</v>
      </c>
      <c r="H295" s="14">
        <f t="shared" si="8"/>
        <v>-48199.18</v>
      </c>
      <c r="I295" s="14">
        <f t="shared" si="9"/>
        <v>-90443.38</v>
      </c>
      <c r="J295" s="8" t="s">
        <v>206</v>
      </c>
      <c r="K295" s="302" t="s">
        <v>505</v>
      </c>
    </row>
    <row r="296" spans="1:11" x14ac:dyDescent="0.2">
      <c r="A296" s="10">
        <v>70600500</v>
      </c>
      <c r="B296" s="10" t="s">
        <v>208</v>
      </c>
      <c r="C296" s="12">
        <v>-3219.3</v>
      </c>
      <c r="D296" s="11">
        <v>0</v>
      </c>
      <c r="E296" s="11">
        <v>0</v>
      </c>
      <c r="F296" s="13">
        <f>SUMIF('OD 02-23'!A:A,A296,'OD 02-23'!D:D)</f>
        <v>0</v>
      </c>
      <c r="G296" s="13">
        <f>SUMIF('OD 02-23'!A:A,A296,'OD 02-23'!E:E)</f>
        <v>3219.3</v>
      </c>
      <c r="H296" s="14">
        <f t="shared" si="8"/>
        <v>-3219.3</v>
      </c>
      <c r="I296" s="14">
        <f t="shared" si="9"/>
        <v>-6438.6</v>
      </c>
      <c r="J296" s="8" t="s">
        <v>206</v>
      </c>
      <c r="K296" s="302" t="s">
        <v>506</v>
      </c>
    </row>
    <row r="297" spans="1:11" x14ac:dyDescent="0.2">
      <c r="A297" s="10">
        <v>71340000</v>
      </c>
      <c r="B297" s="10" t="s">
        <v>382</v>
      </c>
      <c r="C297" s="11">
        <v>896558.1540000001</v>
      </c>
      <c r="D297" s="11">
        <v>0</v>
      </c>
      <c r="E297" s="11">
        <v>0</v>
      </c>
      <c r="F297" s="13">
        <f>SUMIF('OD 02-23'!A:A,A297,'OD 02-23'!D:D)</f>
        <v>4095943.7609999999</v>
      </c>
      <c r="G297" s="13">
        <f>SUMIF('OD 02-23'!A:A,A297,'OD 02-23'!E:E)</f>
        <v>0</v>
      </c>
      <c r="H297" s="14">
        <f t="shared" si="8"/>
        <v>4095943.7609999999</v>
      </c>
      <c r="I297" s="14">
        <f t="shared" si="9"/>
        <v>4992501.915</v>
      </c>
      <c r="J297" s="8" t="s">
        <v>210</v>
      </c>
      <c r="K297" s="302" t="s">
        <v>508</v>
      </c>
    </row>
    <row r="298" spans="1:11" x14ac:dyDescent="0.2">
      <c r="A298" s="10">
        <v>71350000</v>
      </c>
      <c r="B298" s="10" t="s">
        <v>209</v>
      </c>
      <c r="C298" s="12">
        <v>0</v>
      </c>
      <c r="D298" s="11">
        <v>0</v>
      </c>
      <c r="E298" s="11">
        <v>0</v>
      </c>
      <c r="F298" s="13">
        <f>SUMIF('OD 02-23'!A:A,A298,'OD 02-23'!D:D)</f>
        <v>0</v>
      </c>
      <c r="G298" s="13">
        <f>SUMIF('OD 02-23'!A:A,A298,'OD 02-23'!E:E)</f>
        <v>3902410.4849999999</v>
      </c>
      <c r="H298" s="14">
        <f t="shared" si="8"/>
        <v>-3902410.4849999999</v>
      </c>
      <c r="I298" s="14">
        <f t="shared" si="9"/>
        <v>-3902410.4849999999</v>
      </c>
      <c r="J298" s="8" t="s">
        <v>210</v>
      </c>
      <c r="K298" s="302" t="s">
        <v>508</v>
      </c>
    </row>
    <row r="299" spans="1:11" x14ac:dyDescent="0.2">
      <c r="A299" s="10">
        <v>73601000</v>
      </c>
      <c r="B299" s="8" t="s">
        <v>211</v>
      </c>
      <c r="C299" s="12">
        <v>-42</v>
      </c>
      <c r="D299" s="11">
        <v>0</v>
      </c>
      <c r="E299" s="11">
        <v>0</v>
      </c>
      <c r="F299" s="13">
        <f>SUMIF('OD 02-23'!A:A,A299,'OD 02-23'!D:D)</f>
        <v>0</v>
      </c>
      <c r="G299" s="13">
        <f>SUMIF('OD 02-23'!A:A,A299,'OD 02-23'!E:E)</f>
        <v>0</v>
      </c>
      <c r="H299" s="14">
        <f t="shared" si="8"/>
        <v>0</v>
      </c>
      <c r="I299" s="14">
        <f t="shared" si="9"/>
        <v>-42</v>
      </c>
      <c r="J299" s="8" t="s">
        <v>214</v>
      </c>
      <c r="K299" s="302" t="s">
        <v>518</v>
      </c>
    </row>
    <row r="300" spans="1:11" x14ac:dyDescent="0.2">
      <c r="A300" s="10">
        <v>73900000</v>
      </c>
      <c r="B300" s="10" t="s">
        <v>213</v>
      </c>
      <c r="C300" s="12">
        <v>-21896.933000000001</v>
      </c>
      <c r="D300" s="11">
        <v>0</v>
      </c>
      <c r="E300" s="11">
        <v>0</v>
      </c>
      <c r="F300" s="13">
        <f>SUMIF('OD 02-23'!A:A,A300,'OD 02-23'!D:D)</f>
        <v>0</v>
      </c>
      <c r="G300" s="13">
        <f>SUMIF('OD 02-23'!A:A,A300,'OD 02-23'!E:E)</f>
        <v>21896.933000000001</v>
      </c>
      <c r="H300" s="14">
        <f t="shared" si="8"/>
        <v>-21896.933000000001</v>
      </c>
      <c r="I300" s="14">
        <f t="shared" si="9"/>
        <v>-43793.866000000002</v>
      </c>
      <c r="J300" s="8" t="s">
        <v>214</v>
      </c>
      <c r="K300" s="302" t="s">
        <v>518</v>
      </c>
    </row>
    <row r="301" spans="1:11" x14ac:dyDescent="0.2">
      <c r="A301" s="10">
        <v>77000000</v>
      </c>
      <c r="B301" s="10" t="s">
        <v>216</v>
      </c>
      <c r="C301" s="11">
        <v>-1.6</v>
      </c>
      <c r="D301" s="11">
        <v>0</v>
      </c>
      <c r="E301" s="11">
        <v>0</v>
      </c>
      <c r="F301" s="13">
        <f>SUMIF('OD 02-23'!A:A,A301,'OD 02-23'!D:D)</f>
        <v>0</v>
      </c>
      <c r="G301" s="13">
        <f>SUMIF('OD 02-23'!A:A,A301,'OD 02-23'!E:E)</f>
        <v>0</v>
      </c>
      <c r="H301" s="14">
        <f t="shared" si="8"/>
        <v>0</v>
      </c>
      <c r="I301" s="14">
        <f t="shared" si="9"/>
        <v>-1.6</v>
      </c>
      <c r="J301" s="8" t="s">
        <v>212</v>
      </c>
      <c r="K301" s="302" t="s">
        <v>518</v>
      </c>
    </row>
    <row r="302" spans="1:11" x14ac:dyDescent="0.2">
      <c r="A302" s="10">
        <v>79999999</v>
      </c>
      <c r="B302" s="10" t="s">
        <v>383</v>
      </c>
      <c r="C302" s="11">
        <v>-2.6040943339467049E-4</v>
      </c>
      <c r="D302" s="11">
        <v>0</v>
      </c>
      <c r="E302" s="11">
        <v>0</v>
      </c>
      <c r="F302" s="13">
        <f>SUMIF('OD 02-23'!A:A,A302,'OD 02-23'!D:D)</f>
        <v>0</v>
      </c>
      <c r="G302" s="13">
        <f>SUMIF('OD 02-23'!A:A,A302,'OD 02-23'!E:E)</f>
        <v>0</v>
      </c>
      <c r="H302" s="14">
        <f t="shared" si="8"/>
        <v>0</v>
      </c>
      <c r="I302" s="14">
        <f t="shared" si="9"/>
        <v>-2.6040943339467049E-4</v>
      </c>
      <c r="J302" s="8"/>
    </row>
    <row r="303" spans="1:11" x14ac:dyDescent="0.2">
      <c r="C303" s="305">
        <f>SUM(C2:C302)</f>
        <v>7.9159334367431278E-3</v>
      </c>
      <c r="D303" s="305">
        <f t="shared" ref="D303:I303" si="10">SUM(D2:D302)</f>
        <v>20660308.591744505</v>
      </c>
      <c r="E303" s="305">
        <f t="shared" si="10"/>
        <v>20660308.591744497</v>
      </c>
      <c r="F303" s="305">
        <f t="shared" si="10"/>
        <v>31192424.846999999</v>
      </c>
      <c r="G303" s="305">
        <f t="shared" si="10"/>
        <v>31192424.846999995</v>
      </c>
      <c r="H303" s="305">
        <f t="shared" si="10"/>
        <v>6.5847416408360004E-10</v>
      </c>
      <c r="I303" s="305">
        <f t="shared" si="10"/>
        <v>7.9159406144753142E-3</v>
      </c>
    </row>
  </sheetData>
  <autoFilter ref="A1:J291" xr:uid="{00000000-0009-0000-0000-000006000000}"/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317"/>
  <sheetViews>
    <sheetView workbookViewId="0">
      <pane ySplit="1" topLeftCell="A8" activePane="bottomLeft" state="frozen"/>
      <selection pane="bottomLeft" activeCell="F1" sqref="F1"/>
    </sheetView>
  </sheetViews>
  <sheetFormatPr baseColWidth="10" defaultColWidth="11.42578125" defaultRowHeight="11.25" x14ac:dyDescent="0.2"/>
  <cols>
    <col min="1" max="1" width="14.42578125" style="302" bestFit="1" customWidth="1"/>
    <col min="2" max="2" width="23.7109375" style="302" bestFit="1" customWidth="1"/>
    <col min="3" max="3" width="15.140625" style="305" bestFit="1" customWidth="1"/>
    <col min="4" max="5" width="11.42578125" style="305" bestFit="1" customWidth="1"/>
    <col min="6" max="6" width="12.7109375" style="305" bestFit="1" customWidth="1"/>
    <col min="7" max="7" width="13.5703125" style="305" bestFit="1" customWidth="1"/>
    <col min="8" max="8" width="13.140625" style="305" bestFit="1" customWidth="1"/>
    <col min="9" max="9" width="13.28515625" style="305" bestFit="1" customWidth="1"/>
    <col min="10" max="10" width="25" style="302" customWidth="1"/>
    <col min="11" max="16384" width="11.42578125" style="302"/>
  </cols>
  <sheetData>
    <row r="1" spans="1:10" x14ac:dyDescent="0.2">
      <c r="A1" s="6" t="s">
        <v>1</v>
      </c>
      <c r="B1" s="6" t="s">
        <v>0</v>
      </c>
      <c r="C1" s="7" t="s">
        <v>5</v>
      </c>
      <c r="D1" s="7" t="s">
        <v>2</v>
      </c>
      <c r="E1" s="7" t="s">
        <v>260</v>
      </c>
      <c r="F1" s="7" t="s">
        <v>218</v>
      </c>
      <c r="G1" s="7" t="s">
        <v>219</v>
      </c>
      <c r="H1" s="7" t="s">
        <v>6</v>
      </c>
      <c r="I1" s="7" t="s">
        <v>217</v>
      </c>
      <c r="J1" s="6" t="s">
        <v>384</v>
      </c>
    </row>
    <row r="2" spans="1:10" x14ac:dyDescent="0.2">
      <c r="A2" s="10">
        <v>10100000</v>
      </c>
      <c r="B2" s="10" t="s">
        <v>7</v>
      </c>
      <c r="C2" s="11">
        <v>-13500000</v>
      </c>
      <c r="D2" s="11">
        <v>0</v>
      </c>
      <c r="E2" s="11">
        <v>0</v>
      </c>
      <c r="F2" s="13">
        <v>0</v>
      </c>
      <c r="G2" s="13">
        <v>0</v>
      </c>
      <c r="H2" s="14">
        <v>0</v>
      </c>
      <c r="I2" s="14">
        <v>-13500000</v>
      </c>
      <c r="J2" s="8" t="s">
        <v>8</v>
      </c>
    </row>
    <row r="3" spans="1:10" x14ac:dyDescent="0.2">
      <c r="A3" s="10">
        <v>11101000</v>
      </c>
      <c r="B3" s="10" t="s">
        <v>9</v>
      </c>
      <c r="C3" s="11">
        <v>-1200000</v>
      </c>
      <c r="D3" s="11">
        <v>0</v>
      </c>
      <c r="E3" s="11">
        <v>0</v>
      </c>
      <c r="F3" s="13">
        <v>0</v>
      </c>
      <c r="G3" s="13">
        <v>0</v>
      </c>
      <c r="H3" s="14">
        <v>0</v>
      </c>
      <c r="I3" s="14">
        <v>-1200000</v>
      </c>
      <c r="J3" s="8" t="s">
        <v>10</v>
      </c>
    </row>
    <row r="4" spans="1:10" x14ac:dyDescent="0.2">
      <c r="A4" s="10">
        <v>12100000</v>
      </c>
      <c r="B4" s="10" t="s">
        <v>11</v>
      </c>
      <c r="C4" s="11">
        <v>-18559399.048645001</v>
      </c>
      <c r="D4" s="11">
        <v>0</v>
      </c>
      <c r="E4" s="11">
        <v>0</v>
      </c>
      <c r="F4" s="13">
        <v>0</v>
      </c>
      <c r="G4" s="13">
        <v>0</v>
      </c>
      <c r="H4" s="14">
        <v>0</v>
      </c>
      <c r="I4" s="14">
        <v>-18559399.048645001</v>
      </c>
      <c r="J4" s="8" t="s">
        <v>12</v>
      </c>
    </row>
    <row r="5" spans="1:10" x14ac:dyDescent="0.2">
      <c r="A5" s="10">
        <v>12200000</v>
      </c>
      <c r="B5" s="10" t="s">
        <v>272</v>
      </c>
      <c r="C5" s="11">
        <v>0</v>
      </c>
      <c r="D5" s="11">
        <v>0</v>
      </c>
      <c r="E5" s="11">
        <v>0</v>
      </c>
      <c r="F5" s="13">
        <v>0</v>
      </c>
      <c r="G5" s="13">
        <v>0</v>
      </c>
      <c r="H5" s="14">
        <v>0</v>
      </c>
      <c r="I5" s="14">
        <v>0</v>
      </c>
      <c r="J5" s="8"/>
    </row>
    <row r="6" spans="1:10" x14ac:dyDescent="0.2">
      <c r="A6" s="10">
        <v>12800000</v>
      </c>
      <c r="B6" s="10" t="s">
        <v>13</v>
      </c>
      <c r="C6" s="11">
        <v>3022190.1950000003</v>
      </c>
      <c r="D6" s="11">
        <v>0</v>
      </c>
      <c r="E6" s="11">
        <v>0</v>
      </c>
      <c r="F6" s="13">
        <v>0</v>
      </c>
      <c r="G6" s="13">
        <v>0</v>
      </c>
      <c r="H6" s="14">
        <v>0</v>
      </c>
      <c r="I6" s="14">
        <v>3022190.1950000003</v>
      </c>
      <c r="J6" s="8" t="s">
        <v>14</v>
      </c>
    </row>
    <row r="7" spans="1:10" x14ac:dyDescent="0.2">
      <c r="A7" s="10">
        <v>13000000</v>
      </c>
      <c r="B7" s="10" t="s">
        <v>273</v>
      </c>
      <c r="C7" s="11">
        <v>0</v>
      </c>
      <c r="D7" s="11">
        <v>0</v>
      </c>
      <c r="E7" s="11">
        <v>0</v>
      </c>
      <c r="F7" s="13">
        <v>0</v>
      </c>
      <c r="G7" s="13">
        <v>0</v>
      </c>
      <c r="H7" s="14">
        <v>0</v>
      </c>
      <c r="I7" s="14">
        <v>0</v>
      </c>
      <c r="J7" s="8"/>
    </row>
    <row r="8" spans="1:10" x14ac:dyDescent="0.2">
      <c r="A8" s="10">
        <v>14500000</v>
      </c>
      <c r="B8" s="10" t="s">
        <v>15</v>
      </c>
      <c r="C8" s="11">
        <v>-3479108.84</v>
      </c>
      <c r="D8" s="11">
        <v>0</v>
      </c>
      <c r="E8" s="11">
        <v>0</v>
      </c>
      <c r="F8" s="13">
        <v>0</v>
      </c>
      <c r="G8" s="13">
        <v>0</v>
      </c>
      <c r="H8" s="14">
        <v>0</v>
      </c>
      <c r="I8" s="14">
        <v>-3479108.84</v>
      </c>
      <c r="J8" s="8" t="s">
        <v>16</v>
      </c>
    </row>
    <row r="9" spans="1:10" x14ac:dyDescent="0.2">
      <c r="A9" s="10">
        <v>14508000</v>
      </c>
      <c r="B9" s="10" t="s">
        <v>17</v>
      </c>
      <c r="C9" s="11">
        <v>2400563.9640000006</v>
      </c>
      <c r="D9" s="11">
        <v>0</v>
      </c>
      <c r="E9" s="11">
        <v>0</v>
      </c>
      <c r="F9" s="13">
        <v>21896.933000000001</v>
      </c>
      <c r="G9" s="13">
        <v>0</v>
      </c>
      <c r="H9" s="14">
        <v>21896.933000000001</v>
      </c>
      <c r="I9" s="14">
        <v>2422460.8970000008</v>
      </c>
      <c r="J9" s="8" t="s">
        <v>18</v>
      </c>
    </row>
    <row r="10" spans="1:10" x14ac:dyDescent="0.2">
      <c r="A10" s="10">
        <v>15100000</v>
      </c>
      <c r="B10" s="10" t="s">
        <v>19</v>
      </c>
      <c r="C10" s="11">
        <v>-22564.956000000006</v>
      </c>
      <c r="D10" s="11">
        <v>0</v>
      </c>
      <c r="E10" s="11">
        <v>0</v>
      </c>
      <c r="F10" s="13">
        <v>0</v>
      </c>
      <c r="G10" s="13">
        <v>0</v>
      </c>
      <c r="H10" s="14">
        <v>0</v>
      </c>
      <c r="I10" s="14">
        <v>-22564.956000000006</v>
      </c>
      <c r="J10" s="8" t="s">
        <v>20</v>
      </c>
    </row>
    <row r="11" spans="1:10" x14ac:dyDescent="0.2">
      <c r="A11" s="10">
        <v>16210250</v>
      </c>
      <c r="B11" s="10" t="s">
        <v>274</v>
      </c>
      <c r="C11" s="11">
        <v>0</v>
      </c>
      <c r="D11" s="11">
        <v>0</v>
      </c>
      <c r="E11" s="11">
        <v>0</v>
      </c>
      <c r="F11" s="13">
        <v>0</v>
      </c>
      <c r="G11" s="13">
        <v>0</v>
      </c>
      <c r="H11" s="14">
        <v>0</v>
      </c>
      <c r="I11" s="14">
        <v>0</v>
      </c>
      <c r="J11" s="8"/>
    </row>
    <row r="12" spans="1:10" x14ac:dyDescent="0.2">
      <c r="A12" s="10">
        <v>16210500</v>
      </c>
      <c r="B12" s="10" t="s">
        <v>21</v>
      </c>
      <c r="C12" s="11">
        <v>-1041666.6629999988</v>
      </c>
      <c r="D12" s="11">
        <v>0</v>
      </c>
      <c r="E12" s="11">
        <v>0</v>
      </c>
      <c r="F12" s="13">
        <v>0</v>
      </c>
      <c r="G12" s="13">
        <v>0</v>
      </c>
      <c r="H12" s="14">
        <v>0</v>
      </c>
      <c r="I12" s="14">
        <v>-1041666.6629999988</v>
      </c>
      <c r="J12" s="8" t="s">
        <v>22</v>
      </c>
    </row>
    <row r="13" spans="1:10" x14ac:dyDescent="0.2">
      <c r="A13" s="10">
        <v>16210960</v>
      </c>
      <c r="B13" s="10" t="s">
        <v>275</v>
      </c>
      <c r="C13" s="11">
        <v>0</v>
      </c>
      <c r="D13" s="11">
        <v>0</v>
      </c>
      <c r="E13" s="11">
        <v>0</v>
      </c>
      <c r="F13" s="13">
        <v>0</v>
      </c>
      <c r="G13" s="13">
        <v>0</v>
      </c>
      <c r="H13" s="14">
        <v>0</v>
      </c>
      <c r="I13" s="14">
        <v>0</v>
      </c>
      <c r="J13" s="8"/>
    </row>
    <row r="14" spans="1:10" x14ac:dyDescent="0.2">
      <c r="A14" s="10">
        <v>16400000</v>
      </c>
      <c r="B14" s="10" t="s">
        <v>276</v>
      </c>
      <c r="C14" s="11">
        <v>-173470.93400000024</v>
      </c>
      <c r="D14" s="11">
        <v>0</v>
      </c>
      <c r="E14" s="11">
        <v>61996.023000000001</v>
      </c>
      <c r="F14" s="13">
        <v>0</v>
      </c>
      <c r="G14" s="13">
        <v>0</v>
      </c>
      <c r="H14" s="14">
        <v>-61996.023000000001</v>
      </c>
      <c r="I14" s="14">
        <v>-235466.95700000023</v>
      </c>
      <c r="J14" s="8" t="s">
        <v>22</v>
      </c>
    </row>
    <row r="15" spans="1:10" x14ac:dyDescent="0.2">
      <c r="A15" s="10">
        <v>18800000</v>
      </c>
      <c r="B15" s="10" t="s">
        <v>23</v>
      </c>
      <c r="C15" s="11">
        <v>0</v>
      </c>
      <c r="D15" s="11">
        <v>0</v>
      </c>
      <c r="E15" s="11">
        <v>0</v>
      </c>
      <c r="F15" s="13">
        <v>0</v>
      </c>
      <c r="G15" s="13">
        <v>0</v>
      </c>
      <c r="H15" s="14">
        <v>0</v>
      </c>
      <c r="I15" s="14">
        <v>0</v>
      </c>
      <c r="J15" s="8"/>
    </row>
    <row r="16" spans="1:10" x14ac:dyDescent="0.2">
      <c r="A16" s="10">
        <v>21100000</v>
      </c>
      <c r="B16" s="10" t="s">
        <v>277</v>
      </c>
      <c r="C16" s="11">
        <v>0</v>
      </c>
      <c r="D16" s="11">
        <v>0</v>
      </c>
      <c r="E16" s="11">
        <v>0</v>
      </c>
      <c r="F16" s="13">
        <v>0</v>
      </c>
      <c r="G16" s="13">
        <v>0</v>
      </c>
      <c r="H16" s="14">
        <v>0</v>
      </c>
      <c r="I16" s="14">
        <v>0</v>
      </c>
      <c r="J16" s="8"/>
    </row>
    <row r="17" spans="1:10" x14ac:dyDescent="0.2">
      <c r="A17" s="10">
        <v>21300000</v>
      </c>
      <c r="B17" s="10" t="s">
        <v>24</v>
      </c>
      <c r="C17" s="11">
        <v>82659.226999999999</v>
      </c>
      <c r="D17" s="11">
        <v>0</v>
      </c>
      <c r="E17" s="11">
        <v>0</v>
      </c>
      <c r="F17" s="13">
        <v>0</v>
      </c>
      <c r="G17" s="13">
        <v>0</v>
      </c>
      <c r="H17" s="14">
        <v>0</v>
      </c>
      <c r="I17" s="14">
        <v>82659.226999999999</v>
      </c>
      <c r="J17" s="8" t="s">
        <v>25</v>
      </c>
    </row>
    <row r="18" spans="1:10" x14ac:dyDescent="0.2">
      <c r="A18" s="10">
        <v>22000000</v>
      </c>
      <c r="B18" s="10" t="s">
        <v>278</v>
      </c>
      <c r="C18" s="11">
        <v>0</v>
      </c>
      <c r="D18" s="11">
        <v>0</v>
      </c>
      <c r="E18" s="11">
        <v>0</v>
      </c>
      <c r="F18" s="13">
        <v>0</v>
      </c>
      <c r="G18" s="13">
        <v>0</v>
      </c>
      <c r="H18" s="14">
        <v>0</v>
      </c>
      <c r="I18" s="14">
        <v>0</v>
      </c>
      <c r="J18" s="8"/>
    </row>
    <row r="19" spans="1:10" x14ac:dyDescent="0.2">
      <c r="A19" s="10">
        <v>22100000</v>
      </c>
      <c r="B19" s="10" t="s">
        <v>26</v>
      </c>
      <c r="C19" s="11">
        <v>1275724</v>
      </c>
      <c r="D19" s="11">
        <v>0</v>
      </c>
      <c r="E19" s="11">
        <v>0</v>
      </c>
      <c r="F19" s="13">
        <v>0</v>
      </c>
      <c r="G19" s="13">
        <v>0</v>
      </c>
      <c r="H19" s="14">
        <v>0</v>
      </c>
      <c r="I19" s="14">
        <v>1275724</v>
      </c>
      <c r="J19" s="8" t="s">
        <v>25</v>
      </c>
    </row>
    <row r="20" spans="1:10" x14ac:dyDescent="0.2">
      <c r="A20" s="10">
        <v>22160000</v>
      </c>
      <c r="B20" s="10" t="s">
        <v>27</v>
      </c>
      <c r="C20" s="11">
        <v>161921.53600000002</v>
      </c>
      <c r="D20" s="11">
        <v>0</v>
      </c>
      <c r="E20" s="11">
        <v>0</v>
      </c>
      <c r="F20" s="13">
        <v>0</v>
      </c>
      <c r="G20" s="13">
        <v>0</v>
      </c>
      <c r="H20" s="14">
        <v>0</v>
      </c>
      <c r="I20" s="14">
        <v>161921.53600000002</v>
      </c>
      <c r="J20" s="8" t="s">
        <v>25</v>
      </c>
    </row>
    <row r="21" spans="1:10" x14ac:dyDescent="0.2">
      <c r="A21" s="10">
        <v>22200000</v>
      </c>
      <c r="B21" s="10" t="s">
        <v>28</v>
      </c>
      <c r="C21" s="11">
        <v>9027583.0759999994</v>
      </c>
      <c r="D21" s="11">
        <v>0</v>
      </c>
      <c r="E21" s="11">
        <v>0</v>
      </c>
      <c r="F21" s="13">
        <v>0</v>
      </c>
      <c r="G21" s="13">
        <v>0</v>
      </c>
      <c r="H21" s="14">
        <v>0</v>
      </c>
      <c r="I21" s="14">
        <v>9027583.0759999994</v>
      </c>
      <c r="J21" s="8" t="s">
        <v>25</v>
      </c>
    </row>
    <row r="22" spans="1:10" x14ac:dyDescent="0.2">
      <c r="A22" s="10">
        <v>22250000</v>
      </c>
      <c r="B22" s="10" t="s">
        <v>29</v>
      </c>
      <c r="C22" s="11">
        <v>601000.27899999998</v>
      </c>
      <c r="D22" s="11">
        <v>0</v>
      </c>
      <c r="E22" s="11">
        <v>0</v>
      </c>
      <c r="F22" s="13">
        <v>0</v>
      </c>
      <c r="G22" s="13">
        <v>0</v>
      </c>
      <c r="H22" s="14">
        <v>0</v>
      </c>
      <c r="I22" s="14">
        <v>601000.27899999998</v>
      </c>
      <c r="J22" s="8" t="s">
        <v>25</v>
      </c>
    </row>
    <row r="23" spans="1:10" x14ac:dyDescent="0.2">
      <c r="A23" s="10">
        <v>22300000</v>
      </c>
      <c r="B23" s="10" t="s">
        <v>30</v>
      </c>
      <c r="C23" s="11">
        <v>65870.611000000004</v>
      </c>
      <c r="D23" s="11">
        <v>4500</v>
      </c>
      <c r="E23" s="11">
        <v>0</v>
      </c>
      <c r="F23" s="13">
        <v>0</v>
      </c>
      <c r="G23" s="13">
        <v>0</v>
      </c>
      <c r="H23" s="14">
        <v>4500</v>
      </c>
      <c r="I23" s="14">
        <v>70370.611000000004</v>
      </c>
      <c r="J23" s="8" t="s">
        <v>25</v>
      </c>
    </row>
    <row r="24" spans="1:10" x14ac:dyDescent="0.2">
      <c r="A24" s="10">
        <v>22310000</v>
      </c>
      <c r="B24" s="10" t="s">
        <v>31</v>
      </c>
      <c r="C24" s="11">
        <v>0</v>
      </c>
      <c r="D24" s="11">
        <v>0</v>
      </c>
      <c r="E24" s="11">
        <v>0</v>
      </c>
      <c r="F24" s="13">
        <v>0</v>
      </c>
      <c r="G24" s="13">
        <v>0</v>
      </c>
      <c r="H24" s="14">
        <v>0</v>
      </c>
      <c r="I24" s="14">
        <v>0</v>
      </c>
      <c r="J24" s="8"/>
    </row>
    <row r="25" spans="1:10" x14ac:dyDescent="0.2">
      <c r="A25" s="10">
        <v>22340000</v>
      </c>
      <c r="B25" s="10" t="s">
        <v>32</v>
      </c>
      <c r="C25" s="11">
        <v>22061291.841411497</v>
      </c>
      <c r="D25" s="11">
        <v>2007865.5100000002</v>
      </c>
      <c r="E25" s="11">
        <v>0</v>
      </c>
      <c r="F25" s="13">
        <v>0</v>
      </c>
      <c r="G25" s="13">
        <v>0</v>
      </c>
      <c r="H25" s="14">
        <v>2007865.5100000002</v>
      </c>
      <c r="I25" s="14">
        <v>24069157.351411499</v>
      </c>
      <c r="J25" s="8" t="s">
        <v>25</v>
      </c>
    </row>
    <row r="26" spans="1:10" x14ac:dyDescent="0.2">
      <c r="A26" s="10">
        <v>22350000</v>
      </c>
      <c r="B26" s="10" t="s">
        <v>33</v>
      </c>
      <c r="C26" s="11">
        <v>604318.32949999976</v>
      </c>
      <c r="D26" s="11">
        <v>2045.2650000000001</v>
      </c>
      <c r="E26" s="11">
        <v>0</v>
      </c>
      <c r="F26" s="13">
        <v>0</v>
      </c>
      <c r="G26" s="13">
        <v>0</v>
      </c>
      <c r="H26" s="14">
        <v>2045.2650000000001</v>
      </c>
      <c r="I26" s="14">
        <v>606363.59449999977</v>
      </c>
      <c r="J26" s="8" t="s">
        <v>25</v>
      </c>
    </row>
    <row r="27" spans="1:10" x14ac:dyDescent="0.2">
      <c r="A27" s="10">
        <v>22370000</v>
      </c>
      <c r="B27" s="10" t="s">
        <v>34</v>
      </c>
      <c r="C27" s="11">
        <v>879252.85599999991</v>
      </c>
      <c r="D27" s="11">
        <v>0</v>
      </c>
      <c r="E27" s="11">
        <v>0</v>
      </c>
      <c r="F27" s="13">
        <v>0</v>
      </c>
      <c r="G27" s="13">
        <v>0</v>
      </c>
      <c r="H27" s="14">
        <v>0</v>
      </c>
      <c r="I27" s="14">
        <v>879252.85599999991</v>
      </c>
      <c r="J27" s="8" t="s">
        <v>25</v>
      </c>
    </row>
    <row r="28" spans="1:10" x14ac:dyDescent="0.2">
      <c r="A28" s="10">
        <v>22400000</v>
      </c>
      <c r="B28" s="10" t="s">
        <v>35</v>
      </c>
      <c r="C28" s="11">
        <v>952007.8629999999</v>
      </c>
      <c r="D28" s="11">
        <v>0</v>
      </c>
      <c r="E28" s="11">
        <v>0</v>
      </c>
      <c r="F28" s="13">
        <v>0</v>
      </c>
      <c r="G28" s="13">
        <v>0</v>
      </c>
      <c r="H28" s="14">
        <v>0</v>
      </c>
      <c r="I28" s="14">
        <v>952007.8629999999</v>
      </c>
      <c r="J28" s="8" t="s">
        <v>25</v>
      </c>
    </row>
    <row r="29" spans="1:10" x14ac:dyDescent="0.2">
      <c r="A29" s="10">
        <v>22810000</v>
      </c>
      <c r="B29" s="10" t="s">
        <v>36</v>
      </c>
      <c r="C29" s="11">
        <v>0</v>
      </c>
      <c r="D29" s="11">
        <v>0</v>
      </c>
      <c r="E29" s="11">
        <v>0</v>
      </c>
      <c r="F29" s="13">
        <v>0</v>
      </c>
      <c r="G29" s="13">
        <v>0</v>
      </c>
      <c r="H29" s="14">
        <v>0</v>
      </c>
      <c r="I29" s="14">
        <v>0</v>
      </c>
      <c r="J29" s="8"/>
    </row>
    <row r="30" spans="1:10" x14ac:dyDescent="0.2">
      <c r="A30" s="10">
        <v>22820000</v>
      </c>
      <c r="B30" s="10" t="s">
        <v>37</v>
      </c>
      <c r="C30" s="11">
        <v>248969.93114999996</v>
      </c>
      <c r="D30" s="11">
        <v>3607.3830000000003</v>
      </c>
      <c r="E30" s="11">
        <v>0</v>
      </c>
      <c r="F30" s="13">
        <v>0</v>
      </c>
      <c r="G30" s="13">
        <v>0</v>
      </c>
      <c r="H30" s="14">
        <v>3607.3830000000003</v>
      </c>
      <c r="I30" s="14">
        <v>252577.31414999996</v>
      </c>
      <c r="J30" s="8" t="s">
        <v>25</v>
      </c>
    </row>
    <row r="31" spans="1:10" x14ac:dyDescent="0.2">
      <c r="A31" s="10">
        <v>22830000</v>
      </c>
      <c r="B31" s="10" t="s">
        <v>279</v>
      </c>
      <c r="C31" s="11">
        <v>161504.56799999997</v>
      </c>
      <c r="D31" s="11">
        <v>43088.079286000007</v>
      </c>
      <c r="E31" s="11">
        <v>0</v>
      </c>
      <c r="F31" s="13">
        <v>0</v>
      </c>
      <c r="G31" s="13">
        <v>0</v>
      </c>
      <c r="H31" s="14">
        <v>43088.079286000007</v>
      </c>
      <c r="I31" s="14">
        <v>204592.64728599996</v>
      </c>
      <c r="J31" s="8" t="s">
        <v>25</v>
      </c>
    </row>
    <row r="32" spans="1:10" x14ac:dyDescent="0.2">
      <c r="A32" s="10">
        <v>23000000</v>
      </c>
      <c r="B32" s="10" t="s">
        <v>280</v>
      </c>
      <c r="C32" s="11">
        <v>2.0000000404252205E-5</v>
      </c>
      <c r="D32" s="11">
        <v>0</v>
      </c>
      <c r="E32" s="11">
        <v>0</v>
      </c>
      <c r="F32" s="13">
        <v>0</v>
      </c>
      <c r="G32" s="13">
        <v>0</v>
      </c>
      <c r="H32" s="14">
        <v>0</v>
      </c>
      <c r="I32" s="14">
        <v>2.0000000404252205E-5</v>
      </c>
      <c r="J32" s="8"/>
    </row>
    <row r="33" spans="1:10" x14ac:dyDescent="0.2">
      <c r="A33" s="10">
        <v>23200000</v>
      </c>
      <c r="B33" s="10" t="s">
        <v>38</v>
      </c>
      <c r="C33" s="11">
        <v>2440755.4682974992</v>
      </c>
      <c r="D33" s="11">
        <v>0</v>
      </c>
      <c r="E33" s="11">
        <v>2007865.5100000002</v>
      </c>
      <c r="F33" s="13">
        <v>0</v>
      </c>
      <c r="G33" s="13">
        <v>0</v>
      </c>
      <c r="H33" s="14">
        <v>-2007865.5100000002</v>
      </c>
      <c r="I33" s="14">
        <v>432889.95829749899</v>
      </c>
      <c r="J33" s="8" t="s">
        <v>25</v>
      </c>
    </row>
    <row r="34" spans="1:10" x14ac:dyDescent="0.2">
      <c r="A34" s="10">
        <v>23220000</v>
      </c>
      <c r="B34" s="10" t="s">
        <v>39</v>
      </c>
      <c r="C34" s="11">
        <v>44612.140999997377</v>
      </c>
      <c r="D34" s="11">
        <v>45974.972000000002</v>
      </c>
      <c r="E34" s="11">
        <v>0</v>
      </c>
      <c r="F34" s="13">
        <v>0</v>
      </c>
      <c r="G34" s="13">
        <v>0</v>
      </c>
      <c r="H34" s="14">
        <v>45974.972000000002</v>
      </c>
      <c r="I34" s="14">
        <v>90587.112999997378</v>
      </c>
      <c r="J34" s="8" t="s">
        <v>25</v>
      </c>
    </row>
    <row r="35" spans="1:10" x14ac:dyDescent="0.2">
      <c r="A35" s="10">
        <v>23225000</v>
      </c>
      <c r="B35" s="10" t="s">
        <v>281</v>
      </c>
      <c r="C35" s="11">
        <v>0</v>
      </c>
      <c r="D35" s="11">
        <v>0</v>
      </c>
      <c r="E35" s="11">
        <v>0</v>
      </c>
      <c r="F35" s="13">
        <v>0</v>
      </c>
      <c r="G35" s="13">
        <v>0</v>
      </c>
      <c r="H35" s="14">
        <v>0</v>
      </c>
      <c r="I35" s="14">
        <v>0</v>
      </c>
      <c r="J35" s="8"/>
    </row>
    <row r="36" spans="1:10" x14ac:dyDescent="0.2">
      <c r="A36" s="10">
        <v>23231000</v>
      </c>
      <c r="B36" s="10" t="s">
        <v>282</v>
      </c>
      <c r="C36" s="11">
        <v>0</v>
      </c>
      <c r="D36" s="11">
        <v>0</v>
      </c>
      <c r="E36" s="11">
        <v>0</v>
      </c>
      <c r="F36" s="13">
        <v>0</v>
      </c>
      <c r="G36" s="13">
        <v>0</v>
      </c>
      <c r="H36" s="14">
        <v>0</v>
      </c>
      <c r="I36" s="14">
        <v>0</v>
      </c>
      <c r="J36" s="8"/>
    </row>
    <row r="37" spans="1:10" x14ac:dyDescent="0.2">
      <c r="A37" s="10">
        <v>23237000</v>
      </c>
      <c r="B37" s="10" t="s">
        <v>283</v>
      </c>
      <c r="C37" s="11">
        <v>0</v>
      </c>
      <c r="D37" s="11">
        <v>0</v>
      </c>
      <c r="E37" s="11">
        <v>0</v>
      </c>
      <c r="F37" s="13">
        <v>0</v>
      </c>
      <c r="G37" s="13">
        <v>0</v>
      </c>
      <c r="H37" s="14">
        <v>0</v>
      </c>
      <c r="I37" s="14">
        <v>0</v>
      </c>
      <c r="J37" s="8"/>
    </row>
    <row r="38" spans="1:10" x14ac:dyDescent="0.2">
      <c r="A38" s="10">
        <v>23250000</v>
      </c>
      <c r="B38" s="10" t="s">
        <v>284</v>
      </c>
      <c r="C38" s="11">
        <v>0</v>
      </c>
      <c r="D38" s="11">
        <v>0</v>
      </c>
      <c r="E38" s="11">
        <v>0</v>
      </c>
      <c r="F38" s="13">
        <v>0</v>
      </c>
      <c r="G38" s="13">
        <v>0</v>
      </c>
      <c r="H38" s="14">
        <v>0</v>
      </c>
      <c r="I38" s="14">
        <v>0</v>
      </c>
      <c r="J38" s="8"/>
    </row>
    <row r="39" spans="1:10" x14ac:dyDescent="0.2">
      <c r="A39" s="10">
        <v>23800000</v>
      </c>
      <c r="B39" s="10" t="s">
        <v>285</v>
      </c>
      <c r="C39" s="11">
        <v>0</v>
      </c>
      <c r="D39" s="11">
        <v>0</v>
      </c>
      <c r="E39" s="11">
        <v>0</v>
      </c>
      <c r="F39" s="13">
        <v>0</v>
      </c>
      <c r="G39" s="13">
        <v>0</v>
      </c>
      <c r="H39" s="14">
        <v>0</v>
      </c>
      <c r="I39" s="14">
        <v>0</v>
      </c>
      <c r="J39" s="8"/>
    </row>
    <row r="40" spans="1:10" x14ac:dyDescent="0.2">
      <c r="A40" s="10">
        <v>24000000</v>
      </c>
      <c r="B40" s="10" t="s">
        <v>40</v>
      </c>
      <c r="C40" s="11">
        <v>703370.37699999998</v>
      </c>
      <c r="D40" s="11">
        <v>86997.273000000016</v>
      </c>
      <c r="E40" s="11">
        <v>0</v>
      </c>
      <c r="F40" s="13">
        <v>0</v>
      </c>
      <c r="G40" s="13">
        <v>0</v>
      </c>
      <c r="H40" s="14">
        <v>86997.273000000016</v>
      </c>
      <c r="I40" s="14">
        <v>790367.65</v>
      </c>
      <c r="J40" s="8" t="s">
        <v>25</v>
      </c>
    </row>
    <row r="41" spans="1:10" x14ac:dyDescent="0.2">
      <c r="A41" s="10">
        <v>25100000</v>
      </c>
      <c r="B41" s="10" t="s">
        <v>286</v>
      </c>
      <c r="C41" s="11">
        <v>0</v>
      </c>
      <c r="D41" s="11">
        <v>0</v>
      </c>
      <c r="E41" s="11">
        <v>0</v>
      </c>
      <c r="F41" s="13">
        <v>0</v>
      </c>
      <c r="G41" s="13">
        <v>0</v>
      </c>
      <c r="H41" s="14">
        <v>0</v>
      </c>
      <c r="I41" s="14">
        <v>0</v>
      </c>
      <c r="J41" s="8"/>
    </row>
    <row r="42" spans="1:10" x14ac:dyDescent="0.2">
      <c r="A42" s="10">
        <v>25110000</v>
      </c>
      <c r="B42" s="10" t="s">
        <v>41</v>
      </c>
      <c r="C42" s="11">
        <v>266820</v>
      </c>
      <c r="D42" s="11">
        <v>0</v>
      </c>
      <c r="E42" s="11">
        <v>0</v>
      </c>
      <c r="F42" s="13">
        <v>0</v>
      </c>
      <c r="G42" s="13">
        <v>0</v>
      </c>
      <c r="H42" s="14">
        <v>0</v>
      </c>
      <c r="I42" s="14">
        <v>266820</v>
      </c>
      <c r="J42" s="8" t="s">
        <v>42</v>
      </c>
    </row>
    <row r="43" spans="1:10" x14ac:dyDescent="0.2">
      <c r="A43" s="10">
        <v>25120000</v>
      </c>
      <c r="B43" s="10" t="s">
        <v>287</v>
      </c>
      <c r="C43" s="11">
        <v>512700</v>
      </c>
      <c r="D43" s="11">
        <v>0</v>
      </c>
      <c r="E43" s="11">
        <v>0</v>
      </c>
      <c r="F43" s="13">
        <v>0</v>
      </c>
      <c r="G43" s="13">
        <v>0</v>
      </c>
      <c r="H43" s="14">
        <v>0</v>
      </c>
      <c r="I43" s="14">
        <v>512700</v>
      </c>
      <c r="J43" s="8" t="s">
        <v>42</v>
      </c>
    </row>
    <row r="44" spans="1:10" x14ac:dyDescent="0.2">
      <c r="A44" s="10">
        <v>25130000</v>
      </c>
      <c r="B44" s="10" t="s">
        <v>43</v>
      </c>
      <c r="C44" s="11">
        <v>677000</v>
      </c>
      <c r="D44" s="11">
        <v>0</v>
      </c>
      <c r="E44" s="11">
        <v>0</v>
      </c>
      <c r="F44" s="13">
        <v>0</v>
      </c>
      <c r="G44" s="13">
        <v>0</v>
      </c>
      <c r="H44" s="14">
        <v>0</v>
      </c>
      <c r="I44" s="14">
        <v>677000</v>
      </c>
      <c r="J44" s="8" t="s">
        <v>42</v>
      </c>
    </row>
    <row r="45" spans="1:10" x14ac:dyDescent="0.2">
      <c r="A45" s="10">
        <v>25140000</v>
      </c>
      <c r="B45" s="10" t="s">
        <v>44</v>
      </c>
      <c r="C45" s="11">
        <v>3150000</v>
      </c>
      <c r="D45" s="11">
        <v>0</v>
      </c>
      <c r="E45" s="11">
        <v>0</v>
      </c>
      <c r="F45" s="13">
        <v>0</v>
      </c>
      <c r="G45" s="13">
        <v>0</v>
      </c>
      <c r="H45" s="14">
        <v>0</v>
      </c>
      <c r="I45" s="14">
        <v>3150000</v>
      </c>
      <c r="J45" s="8" t="s">
        <v>42</v>
      </c>
    </row>
    <row r="46" spans="1:10" x14ac:dyDescent="0.2">
      <c r="A46" s="10">
        <v>25700000</v>
      </c>
      <c r="B46" s="10" t="s">
        <v>288</v>
      </c>
      <c r="C46" s="11">
        <v>0</v>
      </c>
      <c r="D46" s="11">
        <v>0</v>
      </c>
      <c r="E46" s="11">
        <v>0</v>
      </c>
      <c r="F46" s="13">
        <v>0</v>
      </c>
      <c r="G46" s="13">
        <v>0</v>
      </c>
      <c r="H46" s="14">
        <v>0</v>
      </c>
      <c r="I46" s="14">
        <v>0</v>
      </c>
      <c r="J46" s="8" t="s">
        <v>42</v>
      </c>
    </row>
    <row r="47" spans="1:10" x14ac:dyDescent="0.2">
      <c r="A47" s="10">
        <v>25810000</v>
      </c>
      <c r="B47" s="10" t="s">
        <v>289</v>
      </c>
      <c r="C47" s="11">
        <v>0</v>
      </c>
      <c r="D47" s="11">
        <v>0</v>
      </c>
      <c r="E47" s="11">
        <v>0</v>
      </c>
      <c r="F47" s="13">
        <v>0</v>
      </c>
      <c r="G47" s="13">
        <v>0</v>
      </c>
      <c r="H47" s="14">
        <v>0</v>
      </c>
      <c r="I47" s="14">
        <v>0</v>
      </c>
      <c r="J47" s="8"/>
    </row>
    <row r="48" spans="1:10" x14ac:dyDescent="0.2">
      <c r="A48" s="10">
        <v>26400000</v>
      </c>
      <c r="B48" s="10" t="s">
        <v>290</v>
      </c>
      <c r="C48" s="11">
        <v>0</v>
      </c>
      <c r="D48" s="11">
        <v>0</v>
      </c>
      <c r="E48" s="11">
        <v>0</v>
      </c>
      <c r="F48" s="13">
        <v>0</v>
      </c>
      <c r="G48" s="13">
        <v>0</v>
      </c>
      <c r="H48" s="14">
        <v>0</v>
      </c>
      <c r="I48" s="14">
        <v>0</v>
      </c>
      <c r="J48" s="8"/>
    </row>
    <row r="49" spans="1:10" x14ac:dyDescent="0.2">
      <c r="A49" s="10">
        <v>26430000</v>
      </c>
      <c r="B49" s="10" t="s">
        <v>291</v>
      </c>
      <c r="C49" s="11">
        <v>0</v>
      </c>
      <c r="D49" s="11">
        <v>0</v>
      </c>
      <c r="E49" s="11">
        <v>0</v>
      </c>
      <c r="F49" s="13">
        <v>0</v>
      </c>
      <c r="G49" s="13">
        <v>0</v>
      </c>
      <c r="H49" s="14">
        <v>0</v>
      </c>
      <c r="I49" s="14">
        <v>0</v>
      </c>
      <c r="J49" s="8"/>
    </row>
    <row r="50" spans="1:10" x14ac:dyDescent="0.2">
      <c r="A50" s="10">
        <v>26500000</v>
      </c>
      <c r="B50" s="10" t="s">
        <v>45</v>
      </c>
      <c r="C50" s="11">
        <v>118597.1440000002</v>
      </c>
      <c r="D50" s="11">
        <v>0</v>
      </c>
      <c r="E50" s="11">
        <v>0</v>
      </c>
      <c r="F50" s="13">
        <v>0</v>
      </c>
      <c r="G50" s="13">
        <v>0</v>
      </c>
      <c r="H50" s="14">
        <v>0</v>
      </c>
      <c r="I50" s="14">
        <v>118597.1440000002</v>
      </c>
      <c r="J50" s="8" t="s">
        <v>46</v>
      </c>
    </row>
    <row r="51" spans="1:10" x14ac:dyDescent="0.2">
      <c r="A51" s="10">
        <v>26510000</v>
      </c>
      <c r="B51" s="10" t="s">
        <v>292</v>
      </c>
      <c r="C51" s="11">
        <v>0</v>
      </c>
      <c r="D51" s="11">
        <v>0</v>
      </c>
      <c r="E51" s="11">
        <v>0</v>
      </c>
      <c r="F51" s="13">
        <v>0</v>
      </c>
      <c r="G51" s="13">
        <v>0</v>
      </c>
      <c r="H51" s="14">
        <v>0</v>
      </c>
      <c r="I51" s="14">
        <v>0</v>
      </c>
      <c r="J51" s="8"/>
    </row>
    <row r="52" spans="1:10" x14ac:dyDescent="0.2">
      <c r="A52" s="10">
        <v>26550000</v>
      </c>
      <c r="B52" s="10" t="s">
        <v>293</v>
      </c>
      <c r="C52" s="11">
        <v>0</v>
      </c>
      <c r="D52" s="11">
        <v>0</v>
      </c>
      <c r="E52" s="11">
        <v>0</v>
      </c>
      <c r="F52" s="13">
        <v>0</v>
      </c>
      <c r="G52" s="13">
        <v>0</v>
      </c>
      <c r="H52" s="14">
        <v>0</v>
      </c>
      <c r="I52" s="14">
        <v>0</v>
      </c>
      <c r="J52" s="8"/>
    </row>
    <row r="53" spans="1:10" x14ac:dyDescent="0.2">
      <c r="A53" s="10">
        <v>27100000</v>
      </c>
      <c r="B53" s="10" t="s">
        <v>294</v>
      </c>
      <c r="C53" s="11">
        <v>0</v>
      </c>
      <c r="D53" s="11">
        <v>0</v>
      </c>
      <c r="E53" s="11">
        <v>0</v>
      </c>
      <c r="F53" s="13">
        <v>0</v>
      </c>
      <c r="G53" s="13">
        <v>0</v>
      </c>
      <c r="H53" s="14">
        <v>0</v>
      </c>
      <c r="I53" s="14">
        <v>0</v>
      </c>
      <c r="J53" s="8"/>
    </row>
    <row r="54" spans="1:10" x14ac:dyDescent="0.2">
      <c r="A54" s="10">
        <v>28100000</v>
      </c>
      <c r="B54" s="10" t="s">
        <v>295</v>
      </c>
      <c r="C54" s="11">
        <v>0</v>
      </c>
      <c r="D54" s="11">
        <v>0</v>
      </c>
      <c r="E54" s="11">
        <v>0</v>
      </c>
      <c r="F54" s="13">
        <v>0</v>
      </c>
      <c r="G54" s="13">
        <v>0</v>
      </c>
      <c r="H54" s="14">
        <v>0</v>
      </c>
      <c r="I54" s="14">
        <v>0</v>
      </c>
      <c r="J54" s="8"/>
    </row>
    <row r="55" spans="1:10" x14ac:dyDescent="0.2">
      <c r="A55" s="10">
        <v>28110000</v>
      </c>
      <c r="B55" s="10" t="s">
        <v>296</v>
      </c>
      <c r="C55" s="11">
        <v>0</v>
      </c>
      <c r="D55" s="11">
        <v>0</v>
      </c>
      <c r="E55" s="11">
        <v>0</v>
      </c>
      <c r="F55" s="13">
        <v>0</v>
      </c>
      <c r="G55" s="13">
        <v>0</v>
      </c>
      <c r="H55" s="14">
        <v>0</v>
      </c>
      <c r="I55" s="14">
        <v>0</v>
      </c>
      <c r="J55" s="8"/>
    </row>
    <row r="56" spans="1:10" x14ac:dyDescent="0.2">
      <c r="A56" s="10">
        <v>28130000</v>
      </c>
      <c r="B56" s="10" t="s">
        <v>24</v>
      </c>
      <c r="C56" s="11">
        <v>-68376.683999999979</v>
      </c>
      <c r="D56" s="11">
        <v>0</v>
      </c>
      <c r="E56" s="11">
        <v>0</v>
      </c>
      <c r="F56" s="13">
        <v>0</v>
      </c>
      <c r="G56" s="13">
        <v>696.56700000000001</v>
      </c>
      <c r="H56" s="14">
        <v>-696.56700000000001</v>
      </c>
      <c r="I56" s="14">
        <v>-69073.250999999975</v>
      </c>
      <c r="J56" s="8" t="s">
        <v>47</v>
      </c>
    </row>
    <row r="57" spans="1:10" x14ac:dyDescent="0.2">
      <c r="A57" s="10">
        <v>28216000</v>
      </c>
      <c r="B57" s="10" t="s">
        <v>48</v>
      </c>
      <c r="C57" s="11">
        <v>-145987.43400000004</v>
      </c>
      <c r="D57" s="11">
        <v>0</v>
      </c>
      <c r="E57" s="11">
        <v>0</v>
      </c>
      <c r="F57" s="13">
        <v>0</v>
      </c>
      <c r="G57" s="13">
        <v>239.62</v>
      </c>
      <c r="H57" s="14">
        <v>-239.62</v>
      </c>
      <c r="I57" s="14">
        <v>-146227.05400000003</v>
      </c>
      <c r="J57" s="8" t="s">
        <v>47</v>
      </c>
    </row>
    <row r="58" spans="1:10" x14ac:dyDescent="0.2">
      <c r="A58" s="10">
        <v>28220000</v>
      </c>
      <c r="B58" s="10" t="s">
        <v>49</v>
      </c>
      <c r="C58" s="11">
        <v>-3349644.517</v>
      </c>
      <c r="D58" s="11">
        <v>0</v>
      </c>
      <c r="E58" s="11">
        <v>0</v>
      </c>
      <c r="F58" s="13">
        <v>0</v>
      </c>
      <c r="G58" s="13">
        <v>38446.891000000003</v>
      </c>
      <c r="H58" s="14">
        <v>-38446.891000000003</v>
      </c>
      <c r="I58" s="14">
        <v>-3388091.4079999998</v>
      </c>
      <c r="J58" s="8" t="s">
        <v>47</v>
      </c>
    </row>
    <row r="59" spans="1:10" x14ac:dyDescent="0.2">
      <c r="A59" s="10">
        <v>28225000</v>
      </c>
      <c r="B59" s="10" t="s">
        <v>50</v>
      </c>
      <c r="C59" s="11">
        <v>-215594.21599999996</v>
      </c>
      <c r="D59" s="11">
        <v>0</v>
      </c>
      <c r="E59" s="11">
        <v>0</v>
      </c>
      <c r="F59" s="13">
        <v>0</v>
      </c>
      <c r="G59" s="13">
        <v>4536.3100000000004</v>
      </c>
      <c r="H59" s="14">
        <v>-4536.3100000000004</v>
      </c>
      <c r="I59" s="14">
        <v>-220130.52599999995</v>
      </c>
      <c r="J59" s="8" t="s">
        <v>47</v>
      </c>
    </row>
    <row r="60" spans="1:10" x14ac:dyDescent="0.2">
      <c r="A60" s="10">
        <v>28230000</v>
      </c>
      <c r="B60" s="10" t="s">
        <v>263</v>
      </c>
      <c r="C60" s="11">
        <v>-25793.812999999998</v>
      </c>
      <c r="D60" s="11">
        <v>0</v>
      </c>
      <c r="E60" s="11">
        <v>0</v>
      </c>
      <c r="F60" s="13">
        <v>0</v>
      </c>
      <c r="G60" s="13">
        <v>1965.4839999999999</v>
      </c>
      <c r="H60" s="14">
        <v>-1965.4839999999999</v>
      </c>
      <c r="I60" s="14">
        <v>-27759.296999999999</v>
      </c>
      <c r="J60" s="8" t="s">
        <v>47</v>
      </c>
    </row>
    <row r="61" spans="1:10" x14ac:dyDescent="0.2">
      <c r="A61" s="10">
        <v>28234000</v>
      </c>
      <c r="B61" s="10" t="s">
        <v>51</v>
      </c>
      <c r="C61" s="11">
        <v>-14593485.135999998</v>
      </c>
      <c r="D61" s="11">
        <v>0</v>
      </c>
      <c r="E61" s="11">
        <v>0</v>
      </c>
      <c r="F61" s="13">
        <v>0</v>
      </c>
      <c r="G61" s="13">
        <v>120746.52499999999</v>
      </c>
      <c r="H61" s="14">
        <v>-120746.52499999999</v>
      </c>
      <c r="I61" s="14">
        <v>-14714231.660999998</v>
      </c>
      <c r="J61" s="8" t="s">
        <v>47</v>
      </c>
    </row>
    <row r="62" spans="1:10" x14ac:dyDescent="0.2">
      <c r="A62" s="10">
        <v>28235000</v>
      </c>
      <c r="B62" s="10" t="s">
        <v>52</v>
      </c>
      <c r="C62" s="11">
        <v>-300971.61199999996</v>
      </c>
      <c r="D62" s="11">
        <v>0</v>
      </c>
      <c r="E62" s="11">
        <v>0</v>
      </c>
      <c r="F62" s="13">
        <v>0</v>
      </c>
      <c r="G62" s="13">
        <v>6592.1210000000001</v>
      </c>
      <c r="H62" s="14">
        <v>-6592.1210000000001</v>
      </c>
      <c r="I62" s="14">
        <v>-307563.73299999995</v>
      </c>
      <c r="J62" s="8" t="s">
        <v>47</v>
      </c>
    </row>
    <row r="63" spans="1:10" x14ac:dyDescent="0.2">
      <c r="A63" s="10">
        <v>28237000</v>
      </c>
      <c r="B63" s="10" t="s">
        <v>53</v>
      </c>
      <c r="C63" s="11">
        <v>-736892.01399999997</v>
      </c>
      <c r="D63" s="11">
        <v>0</v>
      </c>
      <c r="E63" s="11">
        <v>0</v>
      </c>
      <c r="F63" s="13">
        <v>0</v>
      </c>
      <c r="G63" s="13">
        <v>1865.9369999999999</v>
      </c>
      <c r="H63" s="14">
        <v>-1865.9369999999999</v>
      </c>
      <c r="I63" s="14">
        <v>-738757.951</v>
      </c>
      <c r="J63" s="8" t="s">
        <v>47</v>
      </c>
    </row>
    <row r="64" spans="1:10" x14ac:dyDescent="0.2">
      <c r="A64" s="10">
        <v>28240000</v>
      </c>
      <c r="B64" s="10" t="s">
        <v>54</v>
      </c>
      <c r="C64" s="11">
        <v>-519454.01399999997</v>
      </c>
      <c r="D64" s="11">
        <v>0</v>
      </c>
      <c r="E64" s="11">
        <v>0</v>
      </c>
      <c r="F64" s="13">
        <v>0</v>
      </c>
      <c r="G64" s="13">
        <v>11501.322</v>
      </c>
      <c r="H64" s="14">
        <v>-11501.322</v>
      </c>
      <c r="I64" s="14">
        <v>-530955.33600000001</v>
      </c>
      <c r="J64" s="8" t="s">
        <v>47</v>
      </c>
    </row>
    <row r="65" spans="1:10" x14ac:dyDescent="0.2">
      <c r="A65" s="10">
        <v>28282000</v>
      </c>
      <c r="B65" s="10" t="s">
        <v>55</v>
      </c>
      <c r="C65" s="11">
        <v>-184247.95</v>
      </c>
      <c r="D65" s="11">
        <v>0</v>
      </c>
      <c r="E65" s="11">
        <v>0</v>
      </c>
      <c r="F65" s="13">
        <v>0</v>
      </c>
      <c r="G65" s="13">
        <v>4549.4179999999997</v>
      </c>
      <c r="H65" s="14">
        <v>-4549.4179999999997</v>
      </c>
      <c r="I65" s="14">
        <v>-188797.36800000002</v>
      </c>
      <c r="J65" s="8" t="s">
        <v>47</v>
      </c>
    </row>
    <row r="66" spans="1:10" x14ac:dyDescent="0.2">
      <c r="A66" s="10">
        <v>28283000</v>
      </c>
      <c r="B66" s="10" t="s">
        <v>264</v>
      </c>
      <c r="C66" s="11">
        <v>-98498.300000000017</v>
      </c>
      <c r="D66" s="11">
        <v>0</v>
      </c>
      <c r="E66" s="11">
        <v>0</v>
      </c>
      <c r="F66" s="13">
        <v>0</v>
      </c>
      <c r="G66" s="13">
        <v>1766.6880000000001</v>
      </c>
      <c r="H66" s="14">
        <v>-1766.6880000000001</v>
      </c>
      <c r="I66" s="14">
        <v>-100264.98800000001</v>
      </c>
      <c r="J66" s="8" t="s">
        <v>47</v>
      </c>
    </row>
    <row r="67" spans="1:10" x14ac:dyDescent="0.2">
      <c r="A67" s="10">
        <v>28400000</v>
      </c>
      <c r="B67" s="10" t="s">
        <v>56</v>
      </c>
      <c r="C67" s="11">
        <v>-430308.90399999986</v>
      </c>
      <c r="D67" s="11">
        <v>0</v>
      </c>
      <c r="E67" s="11">
        <v>0</v>
      </c>
      <c r="F67" s="13">
        <v>0</v>
      </c>
      <c r="G67" s="13">
        <v>9557.1260000000002</v>
      </c>
      <c r="H67" s="14">
        <v>-9557.1260000000002</v>
      </c>
      <c r="I67" s="14">
        <v>-439866.02999999985</v>
      </c>
      <c r="J67" s="8" t="s">
        <v>47</v>
      </c>
    </row>
    <row r="68" spans="1:10" x14ac:dyDescent="0.2">
      <c r="A68" s="10">
        <v>29220000</v>
      </c>
      <c r="B68" s="10" t="s">
        <v>297</v>
      </c>
      <c r="C68" s="11">
        <v>0</v>
      </c>
      <c r="D68" s="11">
        <v>0</v>
      </c>
      <c r="E68" s="11">
        <v>0</v>
      </c>
      <c r="F68" s="13">
        <v>0</v>
      </c>
      <c r="G68" s="13">
        <v>0</v>
      </c>
      <c r="H68" s="14">
        <v>0</v>
      </c>
      <c r="I68" s="14">
        <v>0</v>
      </c>
      <c r="J68" s="8"/>
    </row>
    <row r="69" spans="1:10" x14ac:dyDescent="0.2">
      <c r="A69" s="10">
        <v>29282000</v>
      </c>
      <c r="B69" s="10" t="s">
        <v>298</v>
      </c>
      <c r="C69" s="11">
        <v>0</v>
      </c>
      <c r="D69" s="11">
        <v>0</v>
      </c>
      <c r="E69" s="11">
        <v>0</v>
      </c>
      <c r="F69" s="13">
        <v>0</v>
      </c>
      <c r="G69" s="13">
        <v>0</v>
      </c>
      <c r="H69" s="14">
        <v>0</v>
      </c>
      <c r="I69" s="14">
        <v>0</v>
      </c>
      <c r="J69" s="8"/>
    </row>
    <row r="70" spans="1:10" x14ac:dyDescent="0.2">
      <c r="A70" s="10">
        <v>29286500</v>
      </c>
      <c r="B70" s="10" t="s">
        <v>299</v>
      </c>
      <c r="C70" s="11">
        <v>0</v>
      </c>
      <c r="D70" s="11">
        <v>0</v>
      </c>
      <c r="E70" s="11">
        <v>0</v>
      </c>
      <c r="F70" s="13">
        <v>0</v>
      </c>
      <c r="G70" s="13">
        <v>0</v>
      </c>
      <c r="H70" s="14">
        <v>0</v>
      </c>
      <c r="I70" s="14">
        <v>0</v>
      </c>
      <c r="J70" s="8" t="s">
        <v>25</v>
      </c>
    </row>
    <row r="71" spans="1:10" x14ac:dyDescent="0.2">
      <c r="A71" s="10">
        <v>29700000</v>
      </c>
      <c r="B71" s="10" t="s">
        <v>57</v>
      </c>
      <c r="C71" s="11">
        <v>-29257.384999999998</v>
      </c>
      <c r="D71" s="11">
        <v>0</v>
      </c>
      <c r="E71" s="11">
        <v>0</v>
      </c>
      <c r="F71" s="13">
        <v>0</v>
      </c>
      <c r="G71" s="13">
        <v>0</v>
      </c>
      <c r="H71" s="14">
        <v>0</v>
      </c>
      <c r="I71" s="14">
        <v>-29257.384999999998</v>
      </c>
      <c r="J71" s="8" t="s">
        <v>58</v>
      </c>
    </row>
    <row r="72" spans="1:10" x14ac:dyDescent="0.2">
      <c r="A72" s="10">
        <v>31100000</v>
      </c>
      <c r="B72" s="10" t="s">
        <v>59</v>
      </c>
      <c r="C72" s="11">
        <v>10534048.324000003</v>
      </c>
      <c r="D72" s="11">
        <v>0</v>
      </c>
      <c r="E72" s="11">
        <v>0</v>
      </c>
      <c r="F72" s="13">
        <v>10199370.071</v>
      </c>
      <c r="G72" s="13">
        <v>10534048.323999999</v>
      </c>
      <c r="H72" s="14">
        <v>-334678.25299999863</v>
      </c>
      <c r="I72" s="14">
        <v>10199370.071000004</v>
      </c>
      <c r="J72" s="8" t="s">
        <v>60</v>
      </c>
    </row>
    <row r="73" spans="1:10" x14ac:dyDescent="0.2">
      <c r="A73" s="10">
        <v>31200000</v>
      </c>
      <c r="B73" s="10" t="s">
        <v>390</v>
      </c>
      <c r="C73" s="11">
        <v>0</v>
      </c>
      <c r="D73" s="11">
        <v>0</v>
      </c>
      <c r="E73" s="11">
        <v>0</v>
      </c>
      <c r="F73" s="13">
        <v>0</v>
      </c>
      <c r="G73" s="13">
        <v>0</v>
      </c>
      <c r="H73" s="14">
        <v>0</v>
      </c>
      <c r="I73" s="14">
        <v>0</v>
      </c>
      <c r="J73" s="8"/>
    </row>
    <row r="74" spans="1:10" x14ac:dyDescent="0.2">
      <c r="A74" s="10">
        <v>32200000</v>
      </c>
      <c r="B74" s="10" t="s">
        <v>61</v>
      </c>
      <c r="C74" s="11">
        <v>657159.81600000057</v>
      </c>
      <c r="D74" s="11">
        <v>0</v>
      </c>
      <c r="E74" s="11">
        <v>0</v>
      </c>
      <c r="F74" s="13">
        <v>663413.20799999998</v>
      </c>
      <c r="G74" s="13">
        <v>657159.81599999999</v>
      </c>
      <c r="H74" s="14">
        <v>6253.3919999999925</v>
      </c>
      <c r="I74" s="14">
        <v>663413.20800000057</v>
      </c>
      <c r="J74" s="8" t="s">
        <v>60</v>
      </c>
    </row>
    <row r="75" spans="1:10" x14ac:dyDescent="0.2">
      <c r="A75" s="10">
        <v>33100000</v>
      </c>
      <c r="B75" s="10" t="s">
        <v>62</v>
      </c>
      <c r="C75" s="11">
        <v>796673.53299999982</v>
      </c>
      <c r="D75" s="11">
        <v>0</v>
      </c>
      <c r="E75" s="11">
        <v>0</v>
      </c>
      <c r="F75" s="13">
        <v>983716.755</v>
      </c>
      <c r="G75" s="13">
        <v>796673.53300000005</v>
      </c>
      <c r="H75" s="14">
        <v>187043.22199999995</v>
      </c>
      <c r="I75" s="14">
        <v>983716.75499999977</v>
      </c>
      <c r="J75" s="8" t="s">
        <v>60</v>
      </c>
    </row>
    <row r="76" spans="1:10" x14ac:dyDescent="0.2">
      <c r="A76" s="10">
        <v>33500000</v>
      </c>
      <c r="B76" s="10" t="s">
        <v>300</v>
      </c>
      <c r="C76" s="11">
        <v>0</v>
      </c>
      <c r="D76" s="11">
        <v>0</v>
      </c>
      <c r="E76" s="11">
        <v>0</v>
      </c>
      <c r="F76" s="13">
        <v>0</v>
      </c>
      <c r="G76" s="13">
        <v>0</v>
      </c>
      <c r="H76" s="14">
        <v>0</v>
      </c>
      <c r="I76" s="14">
        <v>0</v>
      </c>
      <c r="J76" s="8"/>
    </row>
    <row r="77" spans="1:10" x14ac:dyDescent="0.2">
      <c r="A77" s="10">
        <v>34100000</v>
      </c>
      <c r="B77" s="10" t="s">
        <v>301</v>
      </c>
      <c r="C77" s="11">
        <v>0</v>
      </c>
      <c r="D77" s="11">
        <v>0</v>
      </c>
      <c r="E77" s="11">
        <v>0</v>
      </c>
      <c r="F77" s="13">
        <v>0</v>
      </c>
      <c r="G77" s="13">
        <v>0</v>
      </c>
      <c r="H77" s="14">
        <v>0</v>
      </c>
      <c r="I77" s="14">
        <v>0</v>
      </c>
      <c r="J77" s="8"/>
    </row>
    <row r="78" spans="1:10" x14ac:dyDescent="0.2">
      <c r="A78" s="10">
        <v>35500000</v>
      </c>
      <c r="B78" s="10" t="s">
        <v>63</v>
      </c>
      <c r="C78" s="11">
        <v>3105736.952000001</v>
      </c>
      <c r="D78" s="11">
        <v>0</v>
      </c>
      <c r="E78" s="11">
        <v>0</v>
      </c>
      <c r="F78" s="13">
        <v>3856902.2680000002</v>
      </c>
      <c r="G78" s="13">
        <v>3105736.952</v>
      </c>
      <c r="H78" s="14">
        <v>751165.31600000011</v>
      </c>
      <c r="I78" s="14">
        <v>3856902.2680000011</v>
      </c>
      <c r="J78" s="8" t="s">
        <v>60</v>
      </c>
    </row>
    <row r="79" spans="1:10" x14ac:dyDescent="0.2">
      <c r="A79" s="10">
        <v>39000000</v>
      </c>
      <c r="B79" s="10" t="s">
        <v>64</v>
      </c>
      <c r="C79" s="11">
        <v>-60168.119000000006</v>
      </c>
      <c r="D79" s="11">
        <v>0</v>
      </c>
      <c r="E79" s="11">
        <v>0</v>
      </c>
      <c r="F79" s="13">
        <v>0</v>
      </c>
      <c r="G79" s="13">
        <v>0</v>
      </c>
      <c r="H79" s="14">
        <v>0</v>
      </c>
      <c r="I79" s="14">
        <v>-60168.119000000006</v>
      </c>
      <c r="J79" s="8" t="s">
        <v>65</v>
      </c>
    </row>
    <row r="80" spans="1:10" x14ac:dyDescent="0.2">
      <c r="A80" s="10">
        <v>40100000</v>
      </c>
      <c r="B80" s="10" t="s">
        <v>66</v>
      </c>
      <c r="C80" s="11">
        <v>-2554074.8176355208</v>
      </c>
      <c r="D80" s="11">
        <v>3554140.5060000001</v>
      </c>
      <c r="E80" s="11">
        <v>3862254.2205670001</v>
      </c>
      <c r="F80" s="13">
        <v>0</v>
      </c>
      <c r="G80" s="13">
        <v>0</v>
      </c>
      <c r="H80" s="14">
        <v>-308113.71456700005</v>
      </c>
      <c r="I80" s="14">
        <v>-2862188.5322025209</v>
      </c>
      <c r="J80" s="8" t="s">
        <v>67</v>
      </c>
    </row>
    <row r="81" spans="1:10" x14ac:dyDescent="0.2">
      <c r="A81" s="10">
        <v>40300000</v>
      </c>
      <c r="B81" s="10" t="s">
        <v>68</v>
      </c>
      <c r="C81" s="11">
        <v>-588520.44400000677</v>
      </c>
      <c r="D81" s="11">
        <v>146584.622</v>
      </c>
      <c r="E81" s="11">
        <v>163363.052</v>
      </c>
      <c r="F81" s="13">
        <v>0</v>
      </c>
      <c r="G81" s="13">
        <v>0</v>
      </c>
      <c r="H81" s="14">
        <v>-16778.429999999993</v>
      </c>
      <c r="I81" s="14">
        <v>-605298.87400000682</v>
      </c>
      <c r="J81" s="8" t="s">
        <v>67</v>
      </c>
    </row>
    <row r="82" spans="1:10" x14ac:dyDescent="0.2">
      <c r="A82" s="10">
        <v>40301000</v>
      </c>
      <c r="B82" s="10" t="s">
        <v>302</v>
      </c>
      <c r="C82" s="11">
        <v>0</v>
      </c>
      <c r="D82" s="11">
        <v>0</v>
      </c>
      <c r="E82" s="11">
        <v>0</v>
      </c>
      <c r="F82" s="13">
        <v>0</v>
      </c>
      <c r="G82" s="13">
        <v>0</v>
      </c>
      <c r="H82" s="14">
        <v>0</v>
      </c>
      <c r="I82" s="14">
        <v>0</v>
      </c>
      <c r="J82" s="8"/>
    </row>
    <row r="83" spans="1:10" x14ac:dyDescent="0.2">
      <c r="A83" s="10">
        <v>40400000</v>
      </c>
      <c r="B83" s="10" t="s">
        <v>69</v>
      </c>
      <c r="C83" s="11">
        <v>9.999983012676239E-5</v>
      </c>
      <c r="D83" s="11">
        <v>0</v>
      </c>
      <c r="E83" s="11">
        <v>0</v>
      </c>
      <c r="F83" s="13">
        <v>0</v>
      </c>
      <c r="G83" s="13">
        <v>0</v>
      </c>
      <c r="H83" s="14">
        <v>0</v>
      </c>
      <c r="I83" s="14">
        <v>9.999983012676239E-5</v>
      </c>
      <c r="J83" s="8"/>
    </row>
    <row r="84" spans="1:10" x14ac:dyDescent="0.2">
      <c r="A84" s="10">
        <v>40470000</v>
      </c>
      <c r="B84" s="10" t="s">
        <v>303</v>
      </c>
      <c r="C84" s="11">
        <v>0</v>
      </c>
      <c r="D84" s="11">
        <v>0</v>
      </c>
      <c r="E84" s="11">
        <v>0</v>
      </c>
      <c r="F84" s="13">
        <v>0</v>
      </c>
      <c r="G84" s="13">
        <v>0</v>
      </c>
      <c r="H84" s="14">
        <v>0</v>
      </c>
      <c r="I84" s="14">
        <v>0</v>
      </c>
      <c r="J84" s="8"/>
    </row>
    <row r="85" spans="1:10" x14ac:dyDescent="0.2">
      <c r="A85" s="10">
        <v>40600000</v>
      </c>
      <c r="B85" s="10" t="s">
        <v>70</v>
      </c>
      <c r="C85" s="11">
        <v>-2868788.2564986208</v>
      </c>
      <c r="D85" s="11">
        <v>812120.36300000001</v>
      </c>
      <c r="E85" s="11">
        <v>371576.19524699997</v>
      </c>
      <c r="F85" s="13">
        <v>0</v>
      </c>
      <c r="G85" s="13">
        <v>0</v>
      </c>
      <c r="H85" s="14">
        <v>440544.16775300005</v>
      </c>
      <c r="I85" s="14">
        <v>-2428244.088745621</v>
      </c>
      <c r="J85" s="8" t="s">
        <v>67</v>
      </c>
    </row>
    <row r="86" spans="1:10" x14ac:dyDescent="0.2">
      <c r="A86" s="10">
        <v>40800000</v>
      </c>
      <c r="B86" s="10" t="s">
        <v>71</v>
      </c>
      <c r="C86" s="11">
        <v>-4980</v>
      </c>
      <c r="D86" s="11">
        <v>0</v>
      </c>
      <c r="E86" s="11">
        <v>0</v>
      </c>
      <c r="F86" s="13">
        <v>0</v>
      </c>
      <c r="G86" s="13">
        <v>0</v>
      </c>
      <c r="H86" s="14">
        <v>0</v>
      </c>
      <c r="I86" s="14">
        <v>-4980</v>
      </c>
      <c r="J86" s="8" t="s">
        <v>67</v>
      </c>
    </row>
    <row r="87" spans="1:10" x14ac:dyDescent="0.2">
      <c r="A87" s="10">
        <v>40860000</v>
      </c>
      <c r="B87" s="10" t="s">
        <v>304</v>
      </c>
      <c r="C87" s="11">
        <v>0</v>
      </c>
      <c r="D87" s="11">
        <v>0</v>
      </c>
      <c r="E87" s="11">
        <v>0</v>
      </c>
      <c r="F87" s="13">
        <v>0</v>
      </c>
      <c r="G87" s="13">
        <v>0</v>
      </c>
      <c r="H87" s="14">
        <v>0</v>
      </c>
      <c r="I87" s="14">
        <v>0</v>
      </c>
      <c r="J87" s="8"/>
    </row>
    <row r="88" spans="1:10" x14ac:dyDescent="0.2">
      <c r="A88" s="10">
        <v>40910000</v>
      </c>
      <c r="B88" s="10" t="s">
        <v>72</v>
      </c>
      <c r="C88" s="11">
        <v>0</v>
      </c>
      <c r="D88" s="11">
        <v>0</v>
      </c>
      <c r="E88" s="11">
        <v>594010.82400000002</v>
      </c>
      <c r="F88" s="13">
        <v>0</v>
      </c>
      <c r="G88" s="13">
        <v>0</v>
      </c>
      <c r="H88" s="14">
        <v>-594010.82400000002</v>
      </c>
      <c r="I88" s="14">
        <v>-594010.82400000002</v>
      </c>
      <c r="J88" s="8" t="s">
        <v>78</v>
      </c>
    </row>
    <row r="89" spans="1:10" x14ac:dyDescent="0.2">
      <c r="A89" s="10">
        <v>41100000</v>
      </c>
      <c r="B89" s="10" t="s">
        <v>73</v>
      </c>
      <c r="C89" s="11">
        <v>13783080.015302446</v>
      </c>
      <c r="D89" s="16">
        <v>4033575.8509999998</v>
      </c>
      <c r="E89" s="11">
        <v>5723653.2520000003</v>
      </c>
      <c r="F89" s="13">
        <v>0</v>
      </c>
      <c r="G89" s="13">
        <v>65310.438000000002</v>
      </c>
      <c r="H89" s="14">
        <v>-1755387.8390000006</v>
      </c>
      <c r="I89" s="14">
        <v>12027692.176302444</v>
      </c>
      <c r="J89" s="8" t="s">
        <v>74</v>
      </c>
    </row>
    <row r="90" spans="1:10" x14ac:dyDescent="0.2">
      <c r="A90" s="10">
        <v>41301000</v>
      </c>
      <c r="B90" s="10" t="s">
        <v>305</v>
      </c>
      <c r="C90" s="11">
        <v>0</v>
      </c>
      <c r="D90" s="11">
        <v>0</v>
      </c>
      <c r="E90" s="11">
        <v>0</v>
      </c>
      <c r="F90" s="13">
        <v>0</v>
      </c>
      <c r="G90" s="13">
        <v>0</v>
      </c>
      <c r="H90" s="14">
        <v>0</v>
      </c>
      <c r="I90" s="14">
        <v>0</v>
      </c>
      <c r="J90" s="8"/>
    </row>
    <row r="91" spans="1:10" x14ac:dyDescent="0.2">
      <c r="A91" s="10">
        <v>41500000</v>
      </c>
      <c r="B91" s="10" t="s">
        <v>75</v>
      </c>
      <c r="C91" s="11">
        <v>3314511.4271354796</v>
      </c>
      <c r="D91" s="11">
        <v>820708.59499999997</v>
      </c>
      <c r="E91" s="11">
        <v>1377313.304</v>
      </c>
      <c r="F91" s="13">
        <v>0</v>
      </c>
      <c r="G91" s="13">
        <v>0</v>
      </c>
      <c r="H91" s="14">
        <v>-556604.70900000003</v>
      </c>
      <c r="I91" s="14">
        <v>2757906.7181354798</v>
      </c>
      <c r="J91" s="8" t="s">
        <v>74</v>
      </c>
    </row>
    <row r="92" spans="1:10" x14ac:dyDescent="0.2">
      <c r="A92" s="10">
        <v>41601000</v>
      </c>
      <c r="B92" s="10" t="s">
        <v>306</v>
      </c>
      <c r="C92" s="11">
        <v>0</v>
      </c>
      <c r="D92" s="11">
        <v>0</v>
      </c>
      <c r="E92" s="11">
        <v>0</v>
      </c>
      <c r="F92" s="13">
        <v>0</v>
      </c>
      <c r="G92" s="13">
        <v>0</v>
      </c>
      <c r="H92" s="14">
        <v>0</v>
      </c>
      <c r="I92" s="14">
        <v>0</v>
      </c>
      <c r="J92" s="8"/>
    </row>
    <row r="93" spans="1:10" x14ac:dyDescent="0.2">
      <c r="A93" s="10">
        <v>41800000</v>
      </c>
      <c r="B93" s="10" t="s">
        <v>307</v>
      </c>
      <c r="C93" s="11">
        <v>0</v>
      </c>
      <c r="D93" s="11">
        <v>0</v>
      </c>
      <c r="E93" s="11">
        <v>0</v>
      </c>
      <c r="F93" s="13">
        <v>0</v>
      </c>
      <c r="G93" s="13">
        <v>0</v>
      </c>
      <c r="H93" s="14">
        <v>0</v>
      </c>
      <c r="I93" s="14">
        <v>0</v>
      </c>
      <c r="J93" s="8"/>
    </row>
    <row r="94" spans="1:10" x14ac:dyDescent="0.2">
      <c r="A94" s="10">
        <v>41910000</v>
      </c>
      <c r="B94" s="10" t="s">
        <v>308</v>
      </c>
      <c r="C94" s="11">
        <v>0</v>
      </c>
      <c r="D94" s="11">
        <v>0</v>
      </c>
      <c r="E94" s="11">
        <v>0</v>
      </c>
      <c r="F94" s="13">
        <v>0</v>
      </c>
      <c r="G94" s="13">
        <v>0</v>
      </c>
      <c r="H94" s="14">
        <v>0</v>
      </c>
      <c r="I94" s="14">
        <v>0</v>
      </c>
      <c r="J94" s="8"/>
    </row>
    <row r="95" spans="1:10" x14ac:dyDescent="0.2">
      <c r="A95" s="10">
        <v>42100000</v>
      </c>
      <c r="B95" s="10" t="s">
        <v>76</v>
      </c>
      <c r="C95" s="11">
        <v>0</v>
      </c>
      <c r="D95" s="11">
        <v>0</v>
      </c>
      <c r="E95" s="11">
        <v>0</v>
      </c>
      <c r="F95" s="13">
        <v>0</v>
      </c>
      <c r="G95" s="13">
        <v>0</v>
      </c>
      <c r="H95" s="14">
        <v>0</v>
      </c>
      <c r="I95" s="14">
        <v>0</v>
      </c>
      <c r="J95" s="8"/>
    </row>
    <row r="96" spans="1:10" x14ac:dyDescent="0.2">
      <c r="A96" s="10">
        <v>42110000</v>
      </c>
      <c r="B96" s="10" t="s">
        <v>309</v>
      </c>
      <c r="C96" s="11">
        <v>0</v>
      </c>
      <c r="D96" s="11">
        <v>0</v>
      </c>
      <c r="E96" s="11">
        <v>0</v>
      </c>
      <c r="F96" s="13">
        <v>0</v>
      </c>
      <c r="G96" s="13">
        <v>0</v>
      </c>
      <c r="H96" s="14">
        <v>0</v>
      </c>
      <c r="I96" s="14">
        <v>0</v>
      </c>
      <c r="J96" s="8"/>
    </row>
    <row r="97" spans="1:10" x14ac:dyDescent="0.2">
      <c r="A97" s="10">
        <v>42120000</v>
      </c>
      <c r="B97" s="10" t="s">
        <v>77</v>
      </c>
      <c r="C97" s="11">
        <v>8991.0069999999832</v>
      </c>
      <c r="D97" s="11">
        <v>0</v>
      </c>
      <c r="E97" s="11">
        <v>4700</v>
      </c>
      <c r="F97" s="13">
        <v>0</v>
      </c>
      <c r="G97" s="13">
        <v>0</v>
      </c>
      <c r="H97" s="14">
        <v>-4700</v>
      </c>
      <c r="I97" s="14">
        <v>4291.0069999999832</v>
      </c>
      <c r="J97" s="8" t="s">
        <v>78</v>
      </c>
    </row>
    <row r="98" spans="1:10" x14ac:dyDescent="0.2">
      <c r="A98" s="10">
        <v>42400000</v>
      </c>
      <c r="B98" s="10" t="s">
        <v>79</v>
      </c>
      <c r="C98" s="11">
        <v>0</v>
      </c>
      <c r="D98" s="11">
        <v>0</v>
      </c>
      <c r="E98" s="11">
        <v>0</v>
      </c>
      <c r="F98" s="13">
        <v>0</v>
      </c>
      <c r="G98" s="13">
        <v>0</v>
      </c>
      <c r="H98" s="14">
        <v>0</v>
      </c>
      <c r="I98" s="14">
        <v>0</v>
      </c>
      <c r="J98" s="8"/>
    </row>
    <row r="99" spans="1:10" x14ac:dyDescent="0.2">
      <c r="A99" s="10">
        <v>42500000</v>
      </c>
      <c r="B99" s="10" t="s">
        <v>80</v>
      </c>
      <c r="C99" s="11">
        <v>-472383.54600000067</v>
      </c>
      <c r="D99" s="11">
        <v>239058.63999999998</v>
      </c>
      <c r="E99" s="11">
        <v>258240.77100000001</v>
      </c>
      <c r="F99" s="13">
        <v>0</v>
      </c>
      <c r="G99" s="13">
        <v>0</v>
      </c>
      <c r="H99" s="14">
        <v>-19182.131000000023</v>
      </c>
      <c r="I99" s="14">
        <v>-491565.67700000072</v>
      </c>
      <c r="J99" s="8" t="s">
        <v>81</v>
      </c>
    </row>
    <row r="100" spans="1:10" x14ac:dyDescent="0.2">
      <c r="A100" s="10">
        <v>42700000</v>
      </c>
      <c r="B100" s="10" t="s">
        <v>310</v>
      </c>
      <c r="C100" s="11">
        <v>0</v>
      </c>
      <c r="D100" s="11">
        <v>0</v>
      </c>
      <c r="E100" s="11">
        <v>0</v>
      </c>
      <c r="F100" s="13">
        <v>0</v>
      </c>
      <c r="G100" s="13">
        <v>0</v>
      </c>
      <c r="H100" s="14">
        <v>0</v>
      </c>
      <c r="I100" s="14">
        <v>0</v>
      </c>
      <c r="J100" s="8"/>
    </row>
    <row r="101" spans="1:10" x14ac:dyDescent="0.2">
      <c r="A101" s="10">
        <v>42710000</v>
      </c>
      <c r="B101" s="10" t="s">
        <v>82</v>
      </c>
      <c r="C101" s="11">
        <v>-1324.6310000000019</v>
      </c>
      <c r="D101" s="11">
        <v>1324.6389999999999</v>
      </c>
      <c r="E101" s="11">
        <v>1246.9839999999999</v>
      </c>
      <c r="F101" s="13">
        <v>0</v>
      </c>
      <c r="G101" s="13">
        <v>0</v>
      </c>
      <c r="H101" s="14">
        <v>77.654999999999973</v>
      </c>
      <c r="I101" s="14">
        <v>-1246.9760000000019</v>
      </c>
      <c r="J101" s="8" t="s">
        <v>81</v>
      </c>
    </row>
    <row r="102" spans="1:10" x14ac:dyDescent="0.2">
      <c r="A102" s="10">
        <v>42820000</v>
      </c>
      <c r="B102" s="10" t="s">
        <v>83</v>
      </c>
      <c r="C102" s="11">
        <v>-190404.0419999999</v>
      </c>
      <c r="D102" s="11">
        <v>190404.04199999999</v>
      </c>
      <c r="E102" s="11">
        <v>230995.48500000002</v>
      </c>
      <c r="F102" s="13">
        <v>0</v>
      </c>
      <c r="G102" s="13">
        <v>0</v>
      </c>
      <c r="H102" s="14">
        <v>-40591.443000000028</v>
      </c>
      <c r="I102" s="14">
        <v>-230995.48499999993</v>
      </c>
      <c r="J102" s="8" t="s">
        <v>81</v>
      </c>
    </row>
    <row r="103" spans="1:10" x14ac:dyDescent="0.2">
      <c r="A103" s="10">
        <v>43200000</v>
      </c>
      <c r="B103" s="10" t="s">
        <v>311</v>
      </c>
      <c r="C103" s="11">
        <v>0</v>
      </c>
      <c r="D103" s="11">
        <v>0</v>
      </c>
      <c r="E103" s="11">
        <v>0</v>
      </c>
      <c r="F103" s="13">
        <v>0</v>
      </c>
      <c r="G103" s="13">
        <v>0</v>
      </c>
      <c r="H103" s="14">
        <v>0</v>
      </c>
      <c r="I103" s="14">
        <v>0</v>
      </c>
      <c r="J103" s="8"/>
    </row>
    <row r="104" spans="1:10" x14ac:dyDescent="0.2">
      <c r="A104" s="10">
        <v>43210000</v>
      </c>
      <c r="B104" s="10" t="s">
        <v>84</v>
      </c>
      <c r="C104" s="11">
        <v>-99973.152000000002</v>
      </c>
      <c r="D104" s="11">
        <v>0</v>
      </c>
      <c r="E104" s="11">
        <v>60681.904000000002</v>
      </c>
      <c r="F104" s="13">
        <v>0</v>
      </c>
      <c r="G104" s="13">
        <v>0</v>
      </c>
      <c r="H104" s="14">
        <v>-60681.904000000002</v>
      </c>
      <c r="I104" s="14">
        <v>-160655.05600000001</v>
      </c>
      <c r="J104" s="8" t="s">
        <v>81</v>
      </c>
    </row>
    <row r="105" spans="1:10" x14ac:dyDescent="0.2">
      <c r="A105" s="10">
        <v>43211000</v>
      </c>
      <c r="B105" s="10" t="s">
        <v>312</v>
      </c>
      <c r="C105" s="11">
        <v>1788.0620000000004</v>
      </c>
      <c r="D105" s="11">
        <v>0</v>
      </c>
      <c r="E105" s="11">
        <v>0</v>
      </c>
      <c r="F105" s="13">
        <v>0</v>
      </c>
      <c r="G105" s="13">
        <v>0</v>
      </c>
      <c r="H105" s="14">
        <v>0</v>
      </c>
      <c r="I105" s="14">
        <v>1788.0620000000004</v>
      </c>
      <c r="J105" s="8" t="s">
        <v>78</v>
      </c>
    </row>
    <row r="106" spans="1:10" x14ac:dyDescent="0.2">
      <c r="A106" s="10">
        <v>43211500</v>
      </c>
      <c r="B106" s="10" t="s">
        <v>85</v>
      </c>
      <c r="C106" s="11">
        <v>0</v>
      </c>
      <c r="D106" s="11">
        <v>0</v>
      </c>
      <c r="E106" s="11">
        <v>0</v>
      </c>
      <c r="F106" s="13">
        <v>0</v>
      </c>
      <c r="G106" s="13">
        <v>0</v>
      </c>
      <c r="H106" s="14">
        <v>0</v>
      </c>
      <c r="I106" s="14">
        <v>0</v>
      </c>
      <c r="J106" s="8"/>
    </row>
    <row r="107" spans="1:10" x14ac:dyDescent="0.2">
      <c r="A107" s="10">
        <v>43212500</v>
      </c>
      <c r="B107" s="10" t="s">
        <v>313</v>
      </c>
      <c r="C107" s="11">
        <v>0</v>
      </c>
      <c r="D107" s="11">
        <v>0</v>
      </c>
      <c r="E107" s="11">
        <v>0</v>
      </c>
      <c r="F107" s="13">
        <v>0</v>
      </c>
      <c r="G107" s="13">
        <v>0</v>
      </c>
      <c r="H107" s="14">
        <v>0</v>
      </c>
      <c r="I107" s="14">
        <v>0</v>
      </c>
      <c r="J107" s="8"/>
    </row>
    <row r="108" spans="1:10" x14ac:dyDescent="0.2">
      <c r="A108" s="10">
        <v>43215000</v>
      </c>
      <c r="B108" s="10" t="s">
        <v>314</v>
      </c>
      <c r="C108" s="11">
        <v>0</v>
      </c>
      <c r="D108" s="11">
        <v>0</v>
      </c>
      <c r="E108" s="11">
        <v>0</v>
      </c>
      <c r="F108" s="13">
        <v>0</v>
      </c>
      <c r="G108" s="13">
        <v>0</v>
      </c>
      <c r="H108" s="14">
        <v>0</v>
      </c>
      <c r="I108" s="14">
        <v>0</v>
      </c>
      <c r="J108" s="8"/>
    </row>
    <row r="109" spans="1:10" x14ac:dyDescent="0.2">
      <c r="A109" s="10">
        <v>43220000</v>
      </c>
      <c r="B109" s="10" t="s">
        <v>86</v>
      </c>
      <c r="C109" s="11">
        <v>0</v>
      </c>
      <c r="D109" s="11">
        <v>0</v>
      </c>
      <c r="E109" s="11">
        <v>27717.276000000002</v>
      </c>
      <c r="F109" s="13">
        <v>0</v>
      </c>
      <c r="G109" s="13">
        <v>0</v>
      </c>
      <c r="H109" s="14">
        <v>-27717.276000000002</v>
      </c>
      <c r="I109" s="14">
        <v>-27717.276000000002</v>
      </c>
      <c r="J109" s="8" t="s">
        <v>81</v>
      </c>
    </row>
    <row r="110" spans="1:10" x14ac:dyDescent="0.2">
      <c r="A110" s="10">
        <v>43220050</v>
      </c>
      <c r="B110" s="10" t="s">
        <v>315</v>
      </c>
      <c r="C110" s="11">
        <v>-4947.3490000000002</v>
      </c>
      <c r="D110" s="11">
        <v>0</v>
      </c>
      <c r="E110" s="11">
        <v>0</v>
      </c>
      <c r="F110" s="13">
        <v>0</v>
      </c>
      <c r="G110" s="13">
        <v>0</v>
      </c>
      <c r="H110" s="14">
        <v>0</v>
      </c>
      <c r="I110" s="14">
        <v>-4947.3490000000002</v>
      </c>
      <c r="J110" s="8" t="s">
        <v>81</v>
      </c>
    </row>
    <row r="111" spans="1:10" x14ac:dyDescent="0.2">
      <c r="A111" s="10">
        <v>43220100</v>
      </c>
      <c r="B111" s="10" t="s">
        <v>87</v>
      </c>
      <c r="C111" s="11">
        <v>-33884.671000000046</v>
      </c>
      <c r="D111" s="11">
        <v>18.509999999999998</v>
      </c>
      <c r="E111" s="11">
        <v>15884.238999999998</v>
      </c>
      <c r="F111" s="13">
        <v>0</v>
      </c>
      <c r="G111" s="13">
        <v>0</v>
      </c>
      <c r="H111" s="14">
        <v>-15865.728999999998</v>
      </c>
      <c r="I111" s="14">
        <v>-49750.400000000045</v>
      </c>
      <c r="J111" s="8" t="s">
        <v>81</v>
      </c>
    </row>
    <row r="112" spans="1:10" x14ac:dyDescent="0.2">
      <c r="A112" s="10">
        <v>43220300</v>
      </c>
      <c r="B112" s="10" t="s">
        <v>88</v>
      </c>
      <c r="C112" s="11">
        <v>-240.28799999999987</v>
      </c>
      <c r="D112" s="11">
        <v>0</v>
      </c>
      <c r="E112" s="11">
        <v>0</v>
      </c>
      <c r="F112" s="13">
        <v>0</v>
      </c>
      <c r="G112" s="13">
        <v>0</v>
      </c>
      <c r="H112" s="14">
        <v>0</v>
      </c>
      <c r="I112" s="14">
        <v>-240.28799999999987</v>
      </c>
      <c r="J112" s="8" t="s">
        <v>81</v>
      </c>
    </row>
    <row r="113" spans="1:10" x14ac:dyDescent="0.2">
      <c r="A113" s="10">
        <v>43221000</v>
      </c>
      <c r="B113" s="10" t="s">
        <v>89</v>
      </c>
      <c r="C113" s="11">
        <v>-538.88999999997861</v>
      </c>
      <c r="D113" s="11">
        <v>0</v>
      </c>
      <c r="E113" s="11">
        <v>316.666</v>
      </c>
      <c r="F113" s="13">
        <v>0</v>
      </c>
      <c r="G113" s="13">
        <v>0</v>
      </c>
      <c r="H113" s="14">
        <v>-316.666</v>
      </c>
      <c r="I113" s="14">
        <v>-855.55599999997867</v>
      </c>
      <c r="J113" s="8" t="s">
        <v>81</v>
      </c>
    </row>
    <row r="114" spans="1:10" x14ac:dyDescent="0.2">
      <c r="A114" s="10">
        <v>43222000</v>
      </c>
      <c r="B114" s="10" t="s">
        <v>316</v>
      </c>
      <c r="C114" s="11">
        <v>-10000</v>
      </c>
      <c r="D114" s="11">
        <v>0</v>
      </c>
      <c r="E114" s="11">
        <v>0</v>
      </c>
      <c r="F114" s="13">
        <v>0</v>
      </c>
      <c r="G114" s="13">
        <v>0</v>
      </c>
      <c r="H114" s="14">
        <v>0</v>
      </c>
      <c r="I114" s="14">
        <v>-10000</v>
      </c>
      <c r="J114" s="8" t="s">
        <v>81</v>
      </c>
    </row>
    <row r="115" spans="1:10" x14ac:dyDescent="0.2">
      <c r="A115" s="10">
        <v>43223000</v>
      </c>
      <c r="B115" s="10" t="s">
        <v>90</v>
      </c>
      <c r="C115" s="11">
        <v>-2110.8060000000314</v>
      </c>
      <c r="D115" s="11">
        <v>10605.556</v>
      </c>
      <c r="E115" s="11">
        <v>1464.7079999999999</v>
      </c>
      <c r="F115" s="13">
        <v>0</v>
      </c>
      <c r="G115" s="13">
        <v>0</v>
      </c>
      <c r="H115" s="14">
        <v>9140.848</v>
      </c>
      <c r="I115" s="14">
        <v>7030.0419999999685</v>
      </c>
      <c r="J115" s="8" t="s">
        <v>78</v>
      </c>
    </row>
    <row r="116" spans="1:10" x14ac:dyDescent="0.2">
      <c r="A116" s="10">
        <v>43310000</v>
      </c>
      <c r="B116" s="10" t="s">
        <v>317</v>
      </c>
      <c r="C116" s="11">
        <v>0</v>
      </c>
      <c r="D116" s="11">
        <v>0</v>
      </c>
      <c r="E116" s="11">
        <v>0</v>
      </c>
      <c r="F116" s="13">
        <v>0</v>
      </c>
      <c r="G116" s="13">
        <v>0</v>
      </c>
      <c r="H116" s="14">
        <v>0</v>
      </c>
      <c r="I116" s="14">
        <v>0</v>
      </c>
      <c r="J116" s="8"/>
    </row>
    <row r="117" spans="1:10" x14ac:dyDescent="0.2">
      <c r="A117" s="10">
        <v>43400000</v>
      </c>
      <c r="B117" s="10" t="s">
        <v>91</v>
      </c>
      <c r="C117" s="11">
        <v>427842.31400000013</v>
      </c>
      <c r="D117" s="11">
        <v>0</v>
      </c>
      <c r="E117" s="11">
        <v>0</v>
      </c>
      <c r="F117" s="13">
        <v>0</v>
      </c>
      <c r="G117" s="13">
        <v>0</v>
      </c>
      <c r="H117" s="14">
        <v>0</v>
      </c>
      <c r="I117" s="14">
        <v>427842.31400000013</v>
      </c>
      <c r="J117" s="8" t="s">
        <v>78</v>
      </c>
    </row>
    <row r="118" spans="1:10" x14ac:dyDescent="0.2">
      <c r="A118" s="10">
        <v>43410000</v>
      </c>
      <c r="B118" s="10" t="s">
        <v>318</v>
      </c>
      <c r="C118" s="11">
        <v>472188.90399999981</v>
      </c>
      <c r="D118" s="11">
        <v>36368.478999999999</v>
      </c>
      <c r="E118" s="11">
        <v>166.30199999999999</v>
      </c>
      <c r="F118" s="13">
        <v>0</v>
      </c>
      <c r="G118" s="13">
        <v>0</v>
      </c>
      <c r="H118" s="14">
        <v>36202.176999999996</v>
      </c>
      <c r="I118" s="14">
        <v>508391.08099999977</v>
      </c>
      <c r="J118" s="8" t="s">
        <v>78</v>
      </c>
    </row>
    <row r="119" spans="1:10" x14ac:dyDescent="0.2">
      <c r="A119" s="10">
        <v>43420000</v>
      </c>
      <c r="B119" s="10" t="s">
        <v>92</v>
      </c>
      <c r="C119" s="11">
        <v>0</v>
      </c>
      <c r="D119" s="11">
        <v>0</v>
      </c>
      <c r="E119" s="11">
        <v>0</v>
      </c>
      <c r="F119" s="13">
        <v>0</v>
      </c>
      <c r="G119" s="13">
        <v>0</v>
      </c>
      <c r="H119" s="14">
        <v>0</v>
      </c>
      <c r="I119" s="14">
        <v>0</v>
      </c>
      <c r="J119" s="8"/>
    </row>
    <row r="120" spans="1:10" x14ac:dyDescent="0.2">
      <c r="A120" s="10">
        <v>43430000</v>
      </c>
      <c r="B120" s="10" t="s">
        <v>319</v>
      </c>
      <c r="C120" s="11">
        <v>0</v>
      </c>
      <c r="D120" s="11">
        <v>0</v>
      </c>
      <c r="E120" s="11">
        <v>0</v>
      </c>
      <c r="F120" s="13">
        <v>0</v>
      </c>
      <c r="G120" s="13">
        <v>0</v>
      </c>
      <c r="H120" s="14">
        <v>0</v>
      </c>
      <c r="I120" s="14">
        <v>0</v>
      </c>
      <c r="J120" s="8" t="s">
        <v>78</v>
      </c>
    </row>
    <row r="121" spans="1:10" x14ac:dyDescent="0.2">
      <c r="A121" s="10">
        <v>43440000</v>
      </c>
      <c r="B121" s="10" t="s">
        <v>320</v>
      </c>
      <c r="C121" s="11">
        <v>0</v>
      </c>
      <c r="D121" s="11">
        <v>0</v>
      </c>
      <c r="E121" s="11">
        <v>0</v>
      </c>
      <c r="F121" s="13">
        <v>0</v>
      </c>
      <c r="G121" s="13">
        <v>0</v>
      </c>
      <c r="H121" s="14">
        <v>0</v>
      </c>
      <c r="I121" s="14">
        <v>0</v>
      </c>
      <c r="J121" s="8" t="s">
        <v>78</v>
      </c>
    </row>
    <row r="122" spans="1:10" x14ac:dyDescent="0.2">
      <c r="A122" s="10">
        <v>43500000</v>
      </c>
      <c r="B122" s="10" t="s">
        <v>321</v>
      </c>
      <c r="C122" s="11">
        <v>0</v>
      </c>
      <c r="D122" s="11">
        <v>0</v>
      </c>
      <c r="E122" s="11">
        <v>0</v>
      </c>
      <c r="F122" s="13">
        <v>0</v>
      </c>
      <c r="G122" s="13">
        <v>0</v>
      </c>
      <c r="H122" s="14">
        <v>0</v>
      </c>
      <c r="I122" s="14">
        <v>0</v>
      </c>
      <c r="J122" s="8"/>
    </row>
    <row r="123" spans="1:10" x14ac:dyDescent="0.2">
      <c r="A123" s="10">
        <v>43600000</v>
      </c>
      <c r="B123" s="10" t="s">
        <v>93</v>
      </c>
      <c r="C123" s="11">
        <v>324233.75899998844</v>
      </c>
      <c r="D123" s="11">
        <v>0</v>
      </c>
      <c r="E123" s="11">
        <v>0</v>
      </c>
      <c r="F123" s="13">
        <v>0</v>
      </c>
      <c r="G123" s="13">
        <v>0</v>
      </c>
      <c r="H123" s="14">
        <v>0</v>
      </c>
      <c r="I123" s="14">
        <v>324233.75899998844</v>
      </c>
      <c r="J123" s="8" t="s">
        <v>78</v>
      </c>
    </row>
    <row r="124" spans="1:10" x14ac:dyDescent="0.2">
      <c r="A124" s="10">
        <v>43625000</v>
      </c>
      <c r="B124" s="10" t="s">
        <v>94</v>
      </c>
      <c r="C124" s="11">
        <v>-42765.590000000142</v>
      </c>
      <c r="D124" s="11">
        <v>723.85300000000007</v>
      </c>
      <c r="E124" s="11">
        <v>22699.993999999999</v>
      </c>
      <c r="F124" s="13">
        <v>0</v>
      </c>
      <c r="G124" s="13">
        <v>0</v>
      </c>
      <c r="H124" s="14">
        <v>-21976.141</v>
      </c>
      <c r="I124" s="14">
        <v>-64741.731000000145</v>
      </c>
      <c r="J124" s="8" t="s">
        <v>81</v>
      </c>
    </row>
    <row r="125" spans="1:10" x14ac:dyDescent="0.2">
      <c r="A125" s="10">
        <v>43627000</v>
      </c>
      <c r="B125" s="10" t="s">
        <v>95</v>
      </c>
      <c r="C125" s="11">
        <v>-299359.14500000002</v>
      </c>
      <c r="D125" s="11">
        <v>5066.973</v>
      </c>
      <c r="E125" s="11">
        <v>158899.94399999999</v>
      </c>
      <c r="F125" s="13">
        <v>0</v>
      </c>
      <c r="G125" s="13">
        <v>0</v>
      </c>
      <c r="H125" s="14">
        <v>-153832.97099999999</v>
      </c>
      <c r="I125" s="14">
        <v>-453192.11600000004</v>
      </c>
      <c r="J125" s="8" t="s">
        <v>81</v>
      </c>
    </row>
    <row r="126" spans="1:10" x14ac:dyDescent="0.2">
      <c r="A126" s="10">
        <v>43630600</v>
      </c>
      <c r="B126" s="10" t="s">
        <v>322</v>
      </c>
      <c r="C126" s="11">
        <v>0</v>
      </c>
      <c r="D126" s="11">
        <v>0</v>
      </c>
      <c r="E126" s="11">
        <v>0</v>
      </c>
      <c r="F126" s="13">
        <v>0</v>
      </c>
      <c r="G126" s="13">
        <v>0</v>
      </c>
      <c r="H126" s="14">
        <v>0</v>
      </c>
      <c r="I126" s="14">
        <v>0</v>
      </c>
      <c r="J126" s="8"/>
    </row>
    <row r="127" spans="1:10" x14ac:dyDescent="0.2">
      <c r="A127" s="10">
        <v>43630700</v>
      </c>
      <c r="B127" s="10" t="s">
        <v>96</v>
      </c>
      <c r="C127" s="11">
        <v>1026.623</v>
      </c>
      <c r="D127" s="11">
        <v>791.31600000000003</v>
      </c>
      <c r="E127" s="11">
        <v>0</v>
      </c>
      <c r="F127" s="13">
        <v>0</v>
      </c>
      <c r="G127" s="13">
        <v>0</v>
      </c>
      <c r="H127" s="14">
        <v>791.31600000000003</v>
      </c>
      <c r="I127" s="14">
        <v>1817.9390000000001</v>
      </c>
      <c r="J127" s="8" t="s">
        <v>78</v>
      </c>
    </row>
    <row r="128" spans="1:10" x14ac:dyDescent="0.2">
      <c r="A128" s="10">
        <v>43631000</v>
      </c>
      <c r="B128" s="10" t="s">
        <v>323</v>
      </c>
      <c r="C128" s="11">
        <v>0</v>
      </c>
      <c r="D128" s="11">
        <v>0</v>
      </c>
      <c r="E128" s="11">
        <v>0</v>
      </c>
      <c r="F128" s="13">
        <v>0</v>
      </c>
      <c r="G128" s="13">
        <v>0</v>
      </c>
      <c r="H128" s="14">
        <v>0</v>
      </c>
      <c r="I128" s="14">
        <v>0</v>
      </c>
      <c r="J128" s="8"/>
    </row>
    <row r="129" spans="1:10" x14ac:dyDescent="0.2">
      <c r="A129" s="10">
        <v>43631300</v>
      </c>
      <c r="B129" s="10" t="s">
        <v>324</v>
      </c>
      <c r="C129" s="11">
        <v>2049.3870000000002</v>
      </c>
      <c r="D129" s="11">
        <v>1671.3379999999997</v>
      </c>
      <c r="E129" s="11">
        <v>0</v>
      </c>
      <c r="F129" s="13">
        <v>0</v>
      </c>
      <c r="G129" s="13">
        <v>0</v>
      </c>
      <c r="H129" s="14">
        <v>1671.3379999999997</v>
      </c>
      <c r="I129" s="14">
        <v>3720.7249999999999</v>
      </c>
      <c r="J129" s="8" t="s">
        <v>78</v>
      </c>
    </row>
    <row r="130" spans="1:10" x14ac:dyDescent="0.2">
      <c r="A130" s="10">
        <v>43631800</v>
      </c>
      <c r="B130" s="10" t="s">
        <v>325</v>
      </c>
      <c r="C130" s="11">
        <v>0</v>
      </c>
      <c r="D130" s="11">
        <v>0</v>
      </c>
      <c r="E130" s="11">
        <v>0</v>
      </c>
      <c r="F130" s="13">
        <v>0</v>
      </c>
      <c r="G130" s="13">
        <v>0</v>
      </c>
      <c r="H130" s="14">
        <v>0</v>
      </c>
      <c r="I130" s="14">
        <v>0</v>
      </c>
      <c r="J130" s="8"/>
    </row>
    <row r="131" spans="1:10" x14ac:dyDescent="0.2">
      <c r="A131" s="10">
        <v>43631900</v>
      </c>
      <c r="B131" s="10" t="s">
        <v>97</v>
      </c>
      <c r="C131" s="11">
        <v>1002237.3810000001</v>
      </c>
      <c r="D131" s="11">
        <v>632648.73800000001</v>
      </c>
      <c r="E131" s="11">
        <v>838.60399999999993</v>
      </c>
      <c r="F131" s="13">
        <v>0</v>
      </c>
      <c r="G131" s="13">
        <v>0</v>
      </c>
      <c r="H131" s="14">
        <v>631810.13399999996</v>
      </c>
      <c r="I131" s="14">
        <v>1634047.5150000001</v>
      </c>
      <c r="J131" s="8" t="s">
        <v>78</v>
      </c>
    </row>
    <row r="132" spans="1:10" x14ac:dyDescent="0.2">
      <c r="A132" s="10">
        <v>43661800</v>
      </c>
      <c r="B132" s="10" t="s">
        <v>326</v>
      </c>
      <c r="C132" s="11">
        <v>0</v>
      </c>
      <c r="D132" s="11">
        <v>0</v>
      </c>
      <c r="E132" s="11">
        <v>0</v>
      </c>
      <c r="F132" s="13">
        <v>0</v>
      </c>
      <c r="G132" s="13">
        <v>0</v>
      </c>
      <c r="H132" s="14">
        <v>0</v>
      </c>
      <c r="I132" s="14">
        <v>0</v>
      </c>
      <c r="J132" s="8"/>
    </row>
    <row r="133" spans="1:10" x14ac:dyDescent="0.2">
      <c r="A133" s="10">
        <v>43671000</v>
      </c>
      <c r="B133" s="10" t="s">
        <v>98</v>
      </c>
      <c r="C133" s="11">
        <v>-879194.5970000024</v>
      </c>
      <c r="D133" s="11">
        <v>14853.466999999999</v>
      </c>
      <c r="E133" s="11">
        <v>501032.79700000008</v>
      </c>
      <c r="F133" s="13">
        <v>0</v>
      </c>
      <c r="G133" s="13">
        <v>0</v>
      </c>
      <c r="H133" s="14">
        <v>-486179.33000000007</v>
      </c>
      <c r="I133" s="14">
        <v>-1365373.9270000025</v>
      </c>
      <c r="J133" s="8" t="s">
        <v>81</v>
      </c>
    </row>
    <row r="134" spans="1:10" x14ac:dyDescent="0.2">
      <c r="A134" s="10">
        <v>43700000</v>
      </c>
      <c r="B134" s="10" t="s">
        <v>99</v>
      </c>
      <c r="C134" s="11">
        <v>-7</v>
      </c>
      <c r="D134" s="11">
        <v>0</v>
      </c>
      <c r="E134" s="11">
        <v>5</v>
      </c>
      <c r="F134" s="13">
        <v>0</v>
      </c>
      <c r="G134" s="13">
        <v>0</v>
      </c>
      <c r="H134" s="14">
        <v>-5</v>
      </c>
      <c r="I134" s="14">
        <v>-12</v>
      </c>
      <c r="J134" s="8" t="s">
        <v>81</v>
      </c>
    </row>
    <row r="135" spans="1:10" x14ac:dyDescent="0.2">
      <c r="A135" s="10">
        <v>43720000</v>
      </c>
      <c r="B135" s="10" t="s">
        <v>327</v>
      </c>
      <c r="C135" s="11">
        <v>0</v>
      </c>
      <c r="D135" s="11">
        <v>0</v>
      </c>
      <c r="E135" s="11">
        <v>0</v>
      </c>
      <c r="F135" s="13">
        <v>0</v>
      </c>
      <c r="G135" s="13">
        <v>0</v>
      </c>
      <c r="H135" s="14">
        <v>0</v>
      </c>
      <c r="I135" s="14">
        <v>0</v>
      </c>
      <c r="J135" s="8"/>
    </row>
    <row r="136" spans="1:10" x14ac:dyDescent="0.2">
      <c r="A136" s="10">
        <v>43756000</v>
      </c>
      <c r="B136" s="10" t="s">
        <v>328</v>
      </c>
      <c r="C136" s="11">
        <v>0</v>
      </c>
      <c r="D136" s="11">
        <v>0</v>
      </c>
      <c r="E136" s="11">
        <v>0</v>
      </c>
      <c r="F136" s="13">
        <v>0</v>
      </c>
      <c r="G136" s="13">
        <v>0</v>
      </c>
      <c r="H136" s="14">
        <v>0</v>
      </c>
      <c r="I136" s="14">
        <v>0</v>
      </c>
      <c r="J136" s="8"/>
    </row>
    <row r="137" spans="1:10" x14ac:dyDescent="0.2">
      <c r="A137" s="10">
        <v>44100000</v>
      </c>
      <c r="B137" s="10" t="s">
        <v>329</v>
      </c>
      <c r="C137" s="11">
        <v>0</v>
      </c>
      <c r="D137" s="11">
        <v>0</v>
      </c>
      <c r="E137" s="11">
        <v>0</v>
      </c>
      <c r="F137" s="13">
        <v>0</v>
      </c>
      <c r="G137" s="13">
        <v>0</v>
      </c>
      <c r="H137" s="14">
        <v>0</v>
      </c>
      <c r="I137" s="14">
        <v>0</v>
      </c>
      <c r="J137" s="8"/>
    </row>
    <row r="138" spans="1:10" x14ac:dyDescent="0.2">
      <c r="A138" s="10">
        <v>44200000</v>
      </c>
      <c r="B138" s="10" t="s">
        <v>330</v>
      </c>
      <c r="C138" s="11">
        <v>0</v>
      </c>
      <c r="D138" s="11">
        <v>0</v>
      </c>
      <c r="E138" s="11">
        <v>0</v>
      </c>
      <c r="F138" s="13">
        <v>0</v>
      </c>
      <c r="G138" s="13">
        <v>0</v>
      </c>
      <c r="H138" s="14">
        <v>0</v>
      </c>
      <c r="I138" s="14">
        <v>0</v>
      </c>
      <c r="J138" s="8"/>
    </row>
    <row r="139" spans="1:10" x14ac:dyDescent="0.2">
      <c r="A139" s="10">
        <v>44201000</v>
      </c>
      <c r="B139" s="10" t="s">
        <v>331</v>
      </c>
      <c r="C139" s="11">
        <v>0</v>
      </c>
      <c r="D139" s="11">
        <v>0</v>
      </c>
      <c r="E139" s="11">
        <v>0</v>
      </c>
      <c r="F139" s="13">
        <v>0</v>
      </c>
      <c r="G139" s="13">
        <v>0</v>
      </c>
      <c r="H139" s="14">
        <v>0</v>
      </c>
      <c r="I139" s="14">
        <v>0</v>
      </c>
      <c r="J139" s="8"/>
    </row>
    <row r="140" spans="1:10" x14ac:dyDescent="0.2">
      <c r="A140" s="10">
        <v>44202000</v>
      </c>
      <c r="B140" s="10" t="s">
        <v>332</v>
      </c>
      <c r="C140" s="11">
        <v>0</v>
      </c>
      <c r="D140" s="11">
        <v>0</v>
      </c>
      <c r="E140" s="11">
        <v>0</v>
      </c>
      <c r="F140" s="13">
        <v>0</v>
      </c>
      <c r="G140" s="13">
        <v>0</v>
      </c>
      <c r="H140" s="14">
        <v>0</v>
      </c>
      <c r="I140" s="14">
        <v>0</v>
      </c>
      <c r="J140" s="8"/>
    </row>
    <row r="141" spans="1:10" x14ac:dyDescent="0.2">
      <c r="A141" s="10">
        <v>44203000</v>
      </c>
      <c r="B141" s="10" t="s">
        <v>333</v>
      </c>
      <c r="C141" s="11">
        <v>0</v>
      </c>
      <c r="D141" s="11">
        <v>0</v>
      </c>
      <c r="E141" s="11">
        <v>0</v>
      </c>
      <c r="F141" s="13">
        <v>0</v>
      </c>
      <c r="G141" s="13">
        <v>0</v>
      </c>
      <c r="H141" s="14">
        <v>0</v>
      </c>
      <c r="I141" s="14">
        <v>0</v>
      </c>
      <c r="J141" s="8"/>
    </row>
    <row r="142" spans="1:10" x14ac:dyDescent="0.2">
      <c r="A142" s="10">
        <v>44204000</v>
      </c>
      <c r="B142" s="10" t="s">
        <v>334</v>
      </c>
      <c r="C142" s="11">
        <v>0</v>
      </c>
      <c r="D142" s="11">
        <v>0</v>
      </c>
      <c r="E142" s="11">
        <v>0</v>
      </c>
      <c r="F142" s="13">
        <v>0</v>
      </c>
      <c r="G142" s="13">
        <v>0</v>
      </c>
      <c r="H142" s="14">
        <v>0</v>
      </c>
      <c r="I142" s="14">
        <v>0</v>
      </c>
      <c r="J142" s="8"/>
    </row>
    <row r="143" spans="1:10" x14ac:dyDescent="0.2">
      <c r="A143" s="10">
        <v>44205000</v>
      </c>
      <c r="B143" s="10" t="s">
        <v>335</v>
      </c>
      <c r="C143" s="11">
        <v>0</v>
      </c>
      <c r="D143" s="11">
        <v>0</v>
      </c>
      <c r="E143" s="11">
        <v>0</v>
      </c>
      <c r="F143" s="13">
        <v>0</v>
      </c>
      <c r="G143" s="13">
        <v>0</v>
      </c>
      <c r="H143" s="14">
        <v>0</v>
      </c>
      <c r="I143" s="14">
        <v>0</v>
      </c>
      <c r="J143" s="8"/>
    </row>
    <row r="144" spans="1:10" x14ac:dyDescent="0.2">
      <c r="A144" s="10">
        <v>44206000</v>
      </c>
      <c r="B144" s="10" t="s">
        <v>100</v>
      </c>
      <c r="C144" s="11">
        <v>-764999.99999999988</v>
      </c>
      <c r="D144" s="11">
        <v>0</v>
      </c>
      <c r="E144" s="11">
        <v>0</v>
      </c>
      <c r="F144" s="13">
        <v>0</v>
      </c>
      <c r="G144" s="13">
        <v>0</v>
      </c>
      <c r="H144" s="14">
        <v>0</v>
      </c>
      <c r="I144" s="14">
        <v>-764999.99999999988</v>
      </c>
      <c r="J144" s="8" t="s">
        <v>81</v>
      </c>
    </row>
    <row r="145" spans="1:10" x14ac:dyDescent="0.2">
      <c r="A145" s="10">
        <v>44207000</v>
      </c>
      <c r="B145" s="10" t="s">
        <v>336</v>
      </c>
      <c r="C145" s="11">
        <v>50000</v>
      </c>
      <c r="D145" s="11">
        <v>0</v>
      </c>
      <c r="E145" s="11">
        <v>0</v>
      </c>
      <c r="F145" s="13">
        <v>0</v>
      </c>
      <c r="G145" s="13">
        <v>0</v>
      </c>
      <c r="H145" s="14">
        <v>0</v>
      </c>
      <c r="I145" s="14">
        <v>50000</v>
      </c>
      <c r="J145" s="8" t="s">
        <v>78</v>
      </c>
    </row>
    <row r="146" spans="1:10" x14ac:dyDescent="0.2">
      <c r="A146" s="10">
        <v>44208000</v>
      </c>
      <c r="B146" s="10" t="s">
        <v>337</v>
      </c>
      <c r="C146" s="11">
        <v>2270.971</v>
      </c>
      <c r="D146" s="11">
        <v>0</v>
      </c>
      <c r="E146" s="11">
        <v>0</v>
      </c>
      <c r="F146" s="13">
        <v>0</v>
      </c>
      <c r="G146" s="13">
        <v>0</v>
      </c>
      <c r="H146" s="14">
        <v>0</v>
      </c>
      <c r="I146" s="14">
        <v>2270.971</v>
      </c>
      <c r="J146" s="8" t="s">
        <v>78</v>
      </c>
    </row>
    <row r="147" spans="1:10" x14ac:dyDescent="0.2">
      <c r="A147" s="10">
        <v>44209000</v>
      </c>
      <c r="B147" s="10" t="s">
        <v>392</v>
      </c>
      <c r="C147" s="11">
        <v>0</v>
      </c>
      <c r="D147" s="11">
        <v>0</v>
      </c>
      <c r="E147" s="11">
        <v>1400000</v>
      </c>
      <c r="F147" s="13">
        <v>0</v>
      </c>
      <c r="G147" s="13">
        <v>0</v>
      </c>
      <c r="H147" s="14">
        <v>-1400000</v>
      </c>
      <c r="I147" s="14">
        <v>-1400000</v>
      </c>
      <c r="J147" s="8" t="s">
        <v>81</v>
      </c>
    </row>
    <row r="148" spans="1:10" x14ac:dyDescent="0.2">
      <c r="A148" s="10">
        <v>44210000</v>
      </c>
      <c r="B148" s="10" t="s">
        <v>338</v>
      </c>
      <c r="C148" s="11">
        <v>0</v>
      </c>
      <c r="D148" s="11">
        <v>0</v>
      </c>
      <c r="E148" s="11">
        <v>0</v>
      </c>
      <c r="F148" s="13">
        <v>0</v>
      </c>
      <c r="G148" s="13">
        <v>0</v>
      </c>
      <c r="H148" s="14">
        <v>0</v>
      </c>
      <c r="I148" s="14">
        <v>0</v>
      </c>
      <c r="J148" s="8"/>
    </row>
    <row r="149" spans="1:10" x14ac:dyDescent="0.2">
      <c r="A149" s="10">
        <v>44600000</v>
      </c>
      <c r="B149" s="10" t="s">
        <v>339</v>
      </c>
      <c r="C149" s="11">
        <v>0</v>
      </c>
      <c r="D149" s="11">
        <v>0</v>
      </c>
      <c r="E149" s="11">
        <v>0</v>
      </c>
      <c r="F149" s="13">
        <v>0</v>
      </c>
      <c r="G149" s="13">
        <v>0</v>
      </c>
      <c r="H149" s="14">
        <v>0</v>
      </c>
      <c r="I149" s="14">
        <v>0</v>
      </c>
      <c r="J149" s="8"/>
    </row>
    <row r="150" spans="1:10" x14ac:dyDescent="0.2">
      <c r="A150" s="10">
        <v>44700000</v>
      </c>
      <c r="B150" s="10" t="s">
        <v>101</v>
      </c>
      <c r="C150" s="11">
        <v>0</v>
      </c>
      <c r="D150" s="11">
        <v>0</v>
      </c>
      <c r="E150" s="11">
        <v>0</v>
      </c>
      <c r="F150" s="13">
        <v>0</v>
      </c>
      <c r="G150" s="13">
        <v>0</v>
      </c>
      <c r="H150" s="14">
        <v>0</v>
      </c>
      <c r="I150" s="14">
        <v>0</v>
      </c>
      <c r="J150" s="8"/>
    </row>
    <row r="151" spans="1:10" x14ac:dyDescent="0.2">
      <c r="A151" s="10">
        <v>45000000</v>
      </c>
      <c r="B151" s="10" t="s">
        <v>102</v>
      </c>
      <c r="C151" s="11">
        <v>-12699.999999999534</v>
      </c>
      <c r="D151" s="11">
        <v>0</v>
      </c>
      <c r="E151" s="11">
        <v>0</v>
      </c>
      <c r="F151" s="13">
        <v>0</v>
      </c>
      <c r="G151" s="13">
        <v>0</v>
      </c>
      <c r="H151" s="14">
        <v>0</v>
      </c>
      <c r="I151" s="14">
        <v>-12699.999999999534</v>
      </c>
      <c r="J151" s="8" t="s">
        <v>81</v>
      </c>
    </row>
    <row r="152" spans="1:10" x14ac:dyDescent="0.2">
      <c r="A152" s="10">
        <v>45200000</v>
      </c>
      <c r="B152" s="10" t="s">
        <v>103</v>
      </c>
      <c r="C152" s="11">
        <v>0</v>
      </c>
      <c r="D152" s="11">
        <v>0</v>
      </c>
      <c r="E152" s="11">
        <v>0</v>
      </c>
      <c r="F152" s="13">
        <v>0</v>
      </c>
      <c r="G152" s="13">
        <v>0</v>
      </c>
      <c r="H152" s="14">
        <v>0</v>
      </c>
      <c r="I152" s="14">
        <v>0</v>
      </c>
      <c r="J152" s="8" t="s">
        <v>81</v>
      </c>
    </row>
    <row r="153" spans="1:10" x14ac:dyDescent="0.2">
      <c r="A153" s="10">
        <v>45310000</v>
      </c>
      <c r="B153" s="10" t="s">
        <v>104</v>
      </c>
      <c r="C153" s="11">
        <v>-123707.79600000009</v>
      </c>
      <c r="D153" s="11">
        <v>0</v>
      </c>
      <c r="E153" s="11">
        <v>127322.827</v>
      </c>
      <c r="F153" s="13">
        <v>65089.576000000001</v>
      </c>
      <c r="G153" s="13">
        <v>0</v>
      </c>
      <c r="H153" s="14">
        <v>-62233.251000000004</v>
      </c>
      <c r="I153" s="14">
        <v>-185941.04700000008</v>
      </c>
      <c r="J153" s="8" t="s">
        <v>81</v>
      </c>
    </row>
    <row r="154" spans="1:10" x14ac:dyDescent="0.2">
      <c r="A154" s="10">
        <v>45700000</v>
      </c>
      <c r="B154" s="10" t="s">
        <v>105</v>
      </c>
      <c r="C154" s="11">
        <v>5876</v>
      </c>
      <c r="D154" s="11">
        <v>0</v>
      </c>
      <c r="E154" s="11">
        <v>0</v>
      </c>
      <c r="F154" s="13">
        <v>0</v>
      </c>
      <c r="G154" s="13">
        <v>0</v>
      </c>
      <c r="H154" s="14">
        <v>0</v>
      </c>
      <c r="I154" s="14">
        <v>5876</v>
      </c>
      <c r="J154" s="8" t="s">
        <v>78</v>
      </c>
    </row>
    <row r="155" spans="1:10" x14ac:dyDescent="0.2">
      <c r="A155" s="10">
        <v>45860000</v>
      </c>
      <c r="B155" s="10" t="s">
        <v>106</v>
      </c>
      <c r="C155" s="11">
        <v>-1164387.0059999996</v>
      </c>
      <c r="D155" s="11">
        <v>13682.973000000002</v>
      </c>
      <c r="E155" s="11">
        <v>0</v>
      </c>
      <c r="F155" s="13">
        <v>404030.33600000001</v>
      </c>
      <c r="G155" s="13">
        <v>208083.92499999999</v>
      </c>
      <c r="H155" s="14">
        <v>209629.38400000002</v>
      </c>
      <c r="I155" s="14">
        <v>-954757.62199999951</v>
      </c>
      <c r="J155" s="8" t="s">
        <v>81</v>
      </c>
    </row>
    <row r="156" spans="1:10" x14ac:dyDescent="0.2">
      <c r="A156" s="10">
        <v>45870000</v>
      </c>
      <c r="B156" s="10" t="s">
        <v>107</v>
      </c>
      <c r="C156" s="11">
        <v>6438.5999999999985</v>
      </c>
      <c r="D156" s="11">
        <v>0</v>
      </c>
      <c r="E156" s="11">
        <v>0</v>
      </c>
      <c r="F156" s="13">
        <v>3219.3</v>
      </c>
      <c r="G156" s="13">
        <v>0</v>
      </c>
      <c r="H156" s="14">
        <v>3219.3</v>
      </c>
      <c r="I156" s="14">
        <v>9657.8999999999978</v>
      </c>
      <c r="J156" s="8" t="s">
        <v>78</v>
      </c>
    </row>
    <row r="157" spans="1:10" x14ac:dyDescent="0.2">
      <c r="A157" s="10">
        <v>46100000</v>
      </c>
      <c r="B157" s="10" t="s">
        <v>340</v>
      </c>
      <c r="C157" s="11">
        <v>0</v>
      </c>
      <c r="D157" s="11">
        <v>0</v>
      </c>
      <c r="E157" s="11">
        <v>0</v>
      </c>
      <c r="F157" s="13">
        <v>0</v>
      </c>
      <c r="G157" s="13">
        <v>0</v>
      </c>
      <c r="H157" s="14">
        <v>0</v>
      </c>
      <c r="I157" s="14">
        <v>0</v>
      </c>
      <c r="J157" s="8"/>
    </row>
    <row r="158" spans="1:10" x14ac:dyDescent="0.2">
      <c r="A158" s="10">
        <v>46800000</v>
      </c>
      <c r="B158" s="10" t="s">
        <v>108</v>
      </c>
      <c r="C158" s="11">
        <v>0</v>
      </c>
      <c r="D158" s="11">
        <v>0</v>
      </c>
      <c r="E158" s="11">
        <v>0</v>
      </c>
      <c r="F158" s="13">
        <v>0</v>
      </c>
      <c r="G158" s="13">
        <v>0</v>
      </c>
      <c r="H158" s="14">
        <v>0</v>
      </c>
      <c r="I158" s="14">
        <v>0</v>
      </c>
      <c r="J158" s="8"/>
    </row>
    <row r="159" spans="1:10" x14ac:dyDescent="0.2">
      <c r="A159" s="10">
        <v>47100000</v>
      </c>
      <c r="B159" s="10" t="s">
        <v>109</v>
      </c>
      <c r="C159" s="11">
        <v>115407.84884600012</v>
      </c>
      <c r="D159" s="11">
        <v>215851.85300000003</v>
      </c>
      <c r="E159" s="11">
        <v>0</v>
      </c>
      <c r="F159" s="13">
        <v>0</v>
      </c>
      <c r="G159" s="13">
        <v>42194.394</v>
      </c>
      <c r="H159" s="14">
        <v>173657.45900000003</v>
      </c>
      <c r="I159" s="14">
        <v>289065.30784600019</v>
      </c>
      <c r="J159" s="8" t="s">
        <v>78</v>
      </c>
    </row>
    <row r="160" spans="1:10" x14ac:dyDescent="0.2">
      <c r="A160" s="10">
        <v>47200000</v>
      </c>
      <c r="B160" s="10" t="s">
        <v>341</v>
      </c>
      <c r="C160" s="11">
        <v>0</v>
      </c>
      <c r="D160" s="11">
        <v>0</v>
      </c>
      <c r="E160" s="11">
        <v>0</v>
      </c>
      <c r="F160" s="13">
        <v>0</v>
      </c>
      <c r="G160" s="13">
        <v>0</v>
      </c>
      <c r="H160" s="14">
        <v>0</v>
      </c>
      <c r="I160" s="14">
        <v>0</v>
      </c>
      <c r="J160" s="8"/>
    </row>
    <row r="161" spans="1:10" x14ac:dyDescent="0.2">
      <c r="A161" s="10">
        <v>49100000</v>
      </c>
      <c r="B161" s="10" t="s">
        <v>110</v>
      </c>
      <c r="C161" s="11">
        <v>-457129.14999999991</v>
      </c>
      <c r="D161" s="11">
        <v>0</v>
      </c>
      <c r="E161" s="11">
        <v>0</v>
      </c>
      <c r="F161" s="13">
        <v>0</v>
      </c>
      <c r="G161" s="13">
        <v>0</v>
      </c>
      <c r="H161" s="14">
        <v>0</v>
      </c>
      <c r="I161" s="14">
        <v>-457129.14999999991</v>
      </c>
      <c r="J161" s="8" t="s">
        <v>111</v>
      </c>
    </row>
    <row r="162" spans="1:10" x14ac:dyDescent="0.2">
      <c r="A162" s="10">
        <v>49600000</v>
      </c>
      <c r="B162" s="10" t="s">
        <v>112</v>
      </c>
      <c r="C162" s="11">
        <v>-288613.68499999994</v>
      </c>
      <c r="D162" s="11">
        <v>0</v>
      </c>
      <c r="E162" s="11">
        <v>0</v>
      </c>
      <c r="F162" s="13">
        <v>0</v>
      </c>
      <c r="G162" s="13">
        <v>0</v>
      </c>
      <c r="H162" s="14">
        <v>0</v>
      </c>
      <c r="I162" s="14">
        <v>-288613.68499999994</v>
      </c>
      <c r="J162" s="8" t="s">
        <v>113</v>
      </c>
    </row>
    <row r="163" spans="1:10" x14ac:dyDescent="0.2">
      <c r="A163" s="10">
        <v>50130000</v>
      </c>
      <c r="B163" s="10" t="s">
        <v>114</v>
      </c>
      <c r="C163" s="11">
        <v>-6000000</v>
      </c>
      <c r="D163" s="11">
        <v>6000000</v>
      </c>
      <c r="E163" s="11">
        <v>6000000</v>
      </c>
      <c r="F163" s="13">
        <v>0</v>
      </c>
      <c r="G163" s="13">
        <v>0</v>
      </c>
      <c r="H163" s="14">
        <v>0</v>
      </c>
      <c r="I163" s="14">
        <v>-6000000</v>
      </c>
      <c r="J163" s="8" t="s">
        <v>115</v>
      </c>
    </row>
    <row r="164" spans="1:10" x14ac:dyDescent="0.2">
      <c r="A164" s="10">
        <v>50140000</v>
      </c>
      <c r="B164" s="10" t="s">
        <v>116</v>
      </c>
      <c r="C164" s="11">
        <v>-4000000</v>
      </c>
      <c r="D164" s="11">
        <v>4000000</v>
      </c>
      <c r="E164" s="11">
        <v>4000000</v>
      </c>
      <c r="F164" s="13">
        <v>0</v>
      </c>
      <c r="G164" s="13">
        <v>0</v>
      </c>
      <c r="H164" s="14">
        <v>0</v>
      </c>
      <c r="I164" s="14">
        <v>-4000000</v>
      </c>
      <c r="J164" s="8" t="s">
        <v>115</v>
      </c>
    </row>
    <row r="165" spans="1:10" x14ac:dyDescent="0.2">
      <c r="A165" s="10">
        <v>50500000</v>
      </c>
      <c r="B165" s="10" t="s">
        <v>117</v>
      </c>
      <c r="C165" s="11">
        <v>-916666.6670000013</v>
      </c>
      <c r="D165" s="11">
        <v>104166.66699999999</v>
      </c>
      <c r="E165" s="11">
        <v>0</v>
      </c>
      <c r="F165" s="13">
        <v>0</v>
      </c>
      <c r="G165" s="13">
        <v>0</v>
      </c>
      <c r="H165" s="14">
        <v>104166.66699999999</v>
      </c>
      <c r="I165" s="14">
        <v>-812500.00000000128</v>
      </c>
      <c r="J165" s="8" t="s">
        <v>115</v>
      </c>
    </row>
    <row r="166" spans="1:10" x14ac:dyDescent="0.2">
      <c r="A166" s="10">
        <v>50515000</v>
      </c>
      <c r="B166" s="10" t="s">
        <v>118</v>
      </c>
      <c r="C166" s="11">
        <v>-79348.658000000141</v>
      </c>
      <c r="D166" s="11">
        <v>16883.007000000001</v>
      </c>
      <c r="E166" s="11">
        <v>25001.25</v>
      </c>
      <c r="F166" s="13">
        <v>0</v>
      </c>
      <c r="G166" s="13">
        <v>0</v>
      </c>
      <c r="H166" s="14">
        <v>-8118.2429999999986</v>
      </c>
      <c r="I166" s="14">
        <v>-87466.901000000144</v>
      </c>
      <c r="J166" s="8" t="s">
        <v>115</v>
      </c>
    </row>
    <row r="167" spans="1:10" x14ac:dyDescent="0.2">
      <c r="A167" s="10">
        <v>50610100</v>
      </c>
      <c r="B167" s="10" t="s">
        <v>342</v>
      </c>
      <c r="C167" s="11">
        <v>0</v>
      </c>
      <c r="D167" s="11">
        <v>0</v>
      </c>
      <c r="E167" s="11">
        <v>0</v>
      </c>
      <c r="F167" s="13">
        <v>0</v>
      </c>
      <c r="G167" s="13">
        <v>0</v>
      </c>
      <c r="H167" s="14">
        <v>0</v>
      </c>
      <c r="I167" s="14">
        <v>0</v>
      </c>
      <c r="J167" s="8"/>
    </row>
    <row r="168" spans="1:10" x14ac:dyDescent="0.2">
      <c r="A168" s="10">
        <v>50610900</v>
      </c>
      <c r="B168" s="10" t="s">
        <v>119</v>
      </c>
      <c r="C168" s="11">
        <v>3.7650018930435181E-4</v>
      </c>
      <c r="D168" s="11">
        <v>0</v>
      </c>
      <c r="E168" s="11">
        <v>0</v>
      </c>
      <c r="F168" s="13">
        <v>0</v>
      </c>
      <c r="G168" s="13">
        <v>0</v>
      </c>
      <c r="H168" s="14">
        <v>0</v>
      </c>
      <c r="I168" s="14">
        <v>3.7650018930435181E-4</v>
      </c>
      <c r="J168" s="8"/>
    </row>
    <row r="169" spans="1:10" x14ac:dyDescent="0.2">
      <c r="A169" s="10">
        <v>50630000</v>
      </c>
      <c r="B169" s="10" t="s">
        <v>343</v>
      </c>
      <c r="C169" s="11">
        <v>0</v>
      </c>
      <c r="D169" s="11">
        <v>0</v>
      </c>
      <c r="E169" s="11">
        <v>0</v>
      </c>
      <c r="F169" s="13">
        <v>0</v>
      </c>
      <c r="G169" s="13">
        <v>0</v>
      </c>
      <c r="H169" s="14">
        <v>0</v>
      </c>
      <c r="I169" s="14">
        <v>0</v>
      </c>
      <c r="J169" s="8"/>
    </row>
    <row r="170" spans="1:10" x14ac:dyDescent="0.2">
      <c r="A170" s="10">
        <v>50800000</v>
      </c>
      <c r="B170" s="10" t="s">
        <v>344</v>
      </c>
      <c r="C170" s="11">
        <v>0</v>
      </c>
      <c r="D170" s="11">
        <v>24263.579999999998</v>
      </c>
      <c r="E170" s="11">
        <v>0</v>
      </c>
      <c r="F170" s="13">
        <v>0</v>
      </c>
      <c r="G170" s="13">
        <v>0</v>
      </c>
      <c r="H170" s="14">
        <v>24263.579999999998</v>
      </c>
      <c r="I170" s="14">
        <v>24263.579999999998</v>
      </c>
      <c r="J170" s="8" t="s">
        <v>115</v>
      </c>
    </row>
    <row r="171" spans="1:10" x14ac:dyDescent="0.2">
      <c r="A171" s="10">
        <v>52000000</v>
      </c>
      <c r="B171" s="10" t="s">
        <v>345</v>
      </c>
      <c r="C171" s="11">
        <v>0</v>
      </c>
      <c r="D171" s="11">
        <v>0</v>
      </c>
      <c r="E171" s="11">
        <v>0</v>
      </c>
      <c r="F171" s="13">
        <v>0</v>
      </c>
      <c r="G171" s="13">
        <v>0</v>
      </c>
      <c r="H171" s="14">
        <v>0</v>
      </c>
      <c r="I171" s="14">
        <v>0</v>
      </c>
      <c r="J171" s="8"/>
    </row>
    <row r="172" spans="1:10" x14ac:dyDescent="0.2">
      <c r="A172" s="10">
        <v>52001100</v>
      </c>
      <c r="B172" s="10" t="s">
        <v>346</v>
      </c>
      <c r="C172" s="11">
        <v>0</v>
      </c>
      <c r="D172" s="11">
        <v>0</v>
      </c>
      <c r="E172" s="11">
        <v>0</v>
      </c>
      <c r="F172" s="13">
        <v>0</v>
      </c>
      <c r="G172" s="13">
        <v>0</v>
      </c>
      <c r="H172" s="14">
        <v>0</v>
      </c>
      <c r="I172" s="14">
        <v>0</v>
      </c>
      <c r="J172" s="8"/>
    </row>
    <row r="173" spans="1:10" x14ac:dyDescent="0.2">
      <c r="A173" s="10">
        <v>53140000</v>
      </c>
      <c r="B173" s="10" t="s">
        <v>347</v>
      </c>
      <c r="C173" s="11">
        <v>0</v>
      </c>
      <c r="D173" s="11">
        <v>0</v>
      </c>
      <c r="E173" s="11">
        <v>0</v>
      </c>
      <c r="F173" s="13">
        <v>0</v>
      </c>
      <c r="G173" s="13">
        <v>0</v>
      </c>
      <c r="H173" s="14">
        <v>0</v>
      </c>
      <c r="I173" s="14">
        <v>0</v>
      </c>
      <c r="J173" s="8"/>
    </row>
    <row r="174" spans="1:10" x14ac:dyDescent="0.2">
      <c r="A174" s="10">
        <v>53200000</v>
      </c>
      <c r="B174" s="10" t="s">
        <v>120</v>
      </c>
      <c r="C174" s="11">
        <v>107315.64600000018</v>
      </c>
      <c r="D174" s="11">
        <v>4147912</v>
      </c>
      <c r="E174" s="11">
        <v>3666227.6460000002</v>
      </c>
      <c r="F174" s="13">
        <v>0</v>
      </c>
      <c r="G174" s="13">
        <v>0</v>
      </c>
      <c r="H174" s="14">
        <v>481684.35399999982</v>
      </c>
      <c r="I174" s="14">
        <v>589000</v>
      </c>
      <c r="J174" s="8" t="s">
        <v>121</v>
      </c>
    </row>
    <row r="175" spans="1:10" x14ac:dyDescent="0.2">
      <c r="A175" s="10">
        <v>53201000</v>
      </c>
      <c r="B175" s="10" t="s">
        <v>348</v>
      </c>
      <c r="C175" s="11">
        <v>0</v>
      </c>
      <c r="D175" s="11">
        <v>0</v>
      </c>
      <c r="E175" s="11">
        <v>0</v>
      </c>
      <c r="F175" s="13">
        <v>0</v>
      </c>
      <c r="G175" s="13">
        <v>0</v>
      </c>
      <c r="H175" s="14">
        <v>0</v>
      </c>
      <c r="I175" s="14">
        <v>0</v>
      </c>
      <c r="J175" s="8"/>
    </row>
    <row r="176" spans="1:10" x14ac:dyDescent="0.2">
      <c r="A176" s="10">
        <v>53202000</v>
      </c>
      <c r="B176" s="10" t="s">
        <v>122</v>
      </c>
      <c r="C176" s="11">
        <v>435.74199999962002</v>
      </c>
      <c r="D176" s="11">
        <v>0</v>
      </c>
      <c r="E176" s="11">
        <v>0</v>
      </c>
      <c r="F176" s="13">
        <v>0</v>
      </c>
      <c r="G176" s="13">
        <v>0</v>
      </c>
      <c r="H176" s="14">
        <v>0</v>
      </c>
      <c r="I176" s="14">
        <v>435.74199999962002</v>
      </c>
      <c r="J176" s="8" t="s">
        <v>121</v>
      </c>
    </row>
    <row r="177" spans="1:10" x14ac:dyDescent="0.2">
      <c r="A177" s="10">
        <v>53203000</v>
      </c>
      <c r="B177" s="10" t="s">
        <v>349</v>
      </c>
      <c r="C177" s="11">
        <v>343481.61600000015</v>
      </c>
      <c r="D177" s="11">
        <v>257315.64600000001</v>
      </c>
      <c r="E177" s="11">
        <v>201859.37700000001</v>
      </c>
      <c r="F177" s="13">
        <v>0</v>
      </c>
      <c r="G177" s="13">
        <v>0</v>
      </c>
      <c r="H177" s="14">
        <v>55456.269</v>
      </c>
      <c r="I177" s="14">
        <v>398937.88500000013</v>
      </c>
      <c r="J177" s="8" t="s">
        <v>121</v>
      </c>
    </row>
    <row r="178" spans="1:10" x14ac:dyDescent="0.2">
      <c r="A178" s="10">
        <v>53204000</v>
      </c>
      <c r="B178" s="10" t="s">
        <v>350</v>
      </c>
      <c r="C178" s="11">
        <v>0</v>
      </c>
      <c r="D178" s="11">
        <v>0</v>
      </c>
      <c r="E178" s="11">
        <v>0</v>
      </c>
      <c r="F178" s="13">
        <v>0</v>
      </c>
      <c r="G178" s="13">
        <v>0</v>
      </c>
      <c r="H178" s="14">
        <v>0</v>
      </c>
      <c r="I178" s="14">
        <v>0</v>
      </c>
      <c r="J178" s="8"/>
    </row>
    <row r="179" spans="1:10" x14ac:dyDescent="0.2">
      <c r="A179" s="10">
        <v>53204100</v>
      </c>
      <c r="B179" s="10" t="s">
        <v>351</v>
      </c>
      <c r="C179" s="11">
        <v>0</v>
      </c>
      <c r="D179" s="11">
        <v>0</v>
      </c>
      <c r="E179" s="11">
        <v>0</v>
      </c>
      <c r="F179" s="13">
        <v>0</v>
      </c>
      <c r="G179" s="13">
        <v>0</v>
      </c>
      <c r="H179" s="14">
        <v>0</v>
      </c>
      <c r="I179" s="14">
        <v>0</v>
      </c>
      <c r="J179" s="8"/>
    </row>
    <row r="180" spans="1:10" x14ac:dyDescent="0.2">
      <c r="A180" s="10">
        <v>53204500</v>
      </c>
      <c r="B180" s="10" t="s">
        <v>123</v>
      </c>
      <c r="C180" s="11">
        <v>5874.02</v>
      </c>
      <c r="D180" s="11">
        <v>0</v>
      </c>
      <c r="E180" s="11">
        <v>0</v>
      </c>
      <c r="F180" s="13">
        <v>0</v>
      </c>
      <c r="G180" s="13">
        <v>0</v>
      </c>
      <c r="H180" s="14">
        <v>0</v>
      </c>
      <c r="I180" s="14">
        <v>5874.02</v>
      </c>
      <c r="J180" s="8" t="s">
        <v>121</v>
      </c>
    </row>
    <row r="181" spans="1:10" x14ac:dyDescent="0.2">
      <c r="A181" s="10">
        <v>53205000</v>
      </c>
      <c r="B181" s="10" t="s">
        <v>124</v>
      </c>
      <c r="C181" s="11">
        <v>21818.723999977112</v>
      </c>
      <c r="D181" s="11">
        <v>0</v>
      </c>
      <c r="E181" s="11">
        <v>0</v>
      </c>
      <c r="F181" s="13">
        <v>0</v>
      </c>
      <c r="G181" s="13">
        <v>0</v>
      </c>
      <c r="H181" s="14">
        <v>0</v>
      </c>
      <c r="I181" s="14">
        <v>21818.723999977112</v>
      </c>
      <c r="J181" s="8" t="s">
        <v>121</v>
      </c>
    </row>
    <row r="182" spans="1:10" x14ac:dyDescent="0.2">
      <c r="A182" s="10">
        <v>53205300</v>
      </c>
      <c r="B182" s="10" t="s">
        <v>125</v>
      </c>
      <c r="C182" s="11">
        <v>0</v>
      </c>
      <c r="D182" s="11">
        <v>0</v>
      </c>
      <c r="E182" s="11">
        <v>0</v>
      </c>
      <c r="F182" s="13">
        <v>0</v>
      </c>
      <c r="G182" s="13">
        <v>0</v>
      </c>
      <c r="H182" s="14">
        <v>0</v>
      </c>
      <c r="I182" s="14">
        <v>0</v>
      </c>
      <c r="J182" s="8" t="s">
        <v>121</v>
      </c>
    </row>
    <row r="183" spans="1:10" x14ac:dyDescent="0.2">
      <c r="A183" s="10">
        <v>53205400</v>
      </c>
      <c r="B183" s="10" t="s">
        <v>126</v>
      </c>
      <c r="C183" s="11">
        <v>0</v>
      </c>
      <c r="D183" s="11">
        <v>0</v>
      </c>
      <c r="E183" s="11">
        <v>0</v>
      </c>
      <c r="F183" s="13">
        <v>0</v>
      </c>
      <c r="G183" s="13">
        <v>0</v>
      </c>
      <c r="H183" s="14">
        <v>0</v>
      </c>
      <c r="I183" s="14">
        <v>0</v>
      </c>
      <c r="J183" s="8"/>
    </row>
    <row r="184" spans="1:10" x14ac:dyDescent="0.2">
      <c r="A184" s="10">
        <v>53205500</v>
      </c>
      <c r="B184" s="10" t="s">
        <v>127</v>
      </c>
      <c r="C184" s="11">
        <v>0</v>
      </c>
      <c r="D184" s="11">
        <v>0</v>
      </c>
      <c r="E184" s="11">
        <v>0</v>
      </c>
      <c r="F184" s="13">
        <v>0</v>
      </c>
      <c r="G184" s="13">
        <v>0</v>
      </c>
      <c r="H184" s="14">
        <v>0</v>
      </c>
      <c r="I184" s="14">
        <v>0</v>
      </c>
      <c r="J184" s="8"/>
    </row>
    <row r="185" spans="1:10" x14ac:dyDescent="0.2">
      <c r="A185" s="10">
        <v>53205600</v>
      </c>
      <c r="B185" s="10" t="s">
        <v>128</v>
      </c>
      <c r="C185" s="11">
        <v>-4387367.1889999332</v>
      </c>
      <c r="D185" s="11">
        <v>14753496.738</v>
      </c>
      <c r="E185" s="11">
        <v>14004799.995999997</v>
      </c>
      <c r="F185" s="13">
        <v>0</v>
      </c>
      <c r="G185" s="13">
        <v>0</v>
      </c>
      <c r="H185" s="14">
        <v>748696.74200000241</v>
      </c>
      <c r="I185" s="14">
        <v>-3638670.4469999308</v>
      </c>
      <c r="J185" s="8" t="s">
        <v>115</v>
      </c>
    </row>
    <row r="186" spans="1:10" x14ac:dyDescent="0.2">
      <c r="A186" s="10">
        <v>53205700</v>
      </c>
      <c r="B186" s="10" t="s">
        <v>129</v>
      </c>
      <c r="C186" s="11">
        <v>687712.25572220236</v>
      </c>
      <c r="D186" s="11">
        <v>1817731.67</v>
      </c>
      <c r="E186" s="11">
        <v>1782487.0050000001</v>
      </c>
      <c r="F186" s="13">
        <v>0</v>
      </c>
      <c r="G186" s="13">
        <v>0</v>
      </c>
      <c r="H186" s="14">
        <v>35244.664999999804</v>
      </c>
      <c r="I186" s="14">
        <v>722956.92072220217</v>
      </c>
      <c r="J186" s="8" t="s">
        <v>121</v>
      </c>
    </row>
    <row r="187" spans="1:10" x14ac:dyDescent="0.2">
      <c r="A187" s="10">
        <v>53205800</v>
      </c>
      <c r="B187" s="10" t="s">
        <v>130</v>
      </c>
      <c r="C187" s="11">
        <v>710140.7650000006</v>
      </c>
      <c r="D187" s="11">
        <v>1657240.9990000001</v>
      </c>
      <c r="E187" s="11">
        <v>482067.11</v>
      </c>
      <c r="F187" s="13">
        <v>0</v>
      </c>
      <c r="G187" s="13">
        <v>0</v>
      </c>
      <c r="H187" s="14">
        <v>1175173.889</v>
      </c>
      <c r="I187" s="14">
        <v>1885314.6540000006</v>
      </c>
      <c r="J187" s="8" t="s">
        <v>121</v>
      </c>
    </row>
    <row r="188" spans="1:10" x14ac:dyDescent="0.2">
      <c r="A188" s="10">
        <v>53207000</v>
      </c>
      <c r="B188" s="10" t="s">
        <v>352</v>
      </c>
      <c r="C188" s="11">
        <v>0</v>
      </c>
      <c r="D188" s="11">
        <v>0</v>
      </c>
      <c r="E188" s="11">
        <v>0</v>
      </c>
      <c r="F188" s="13">
        <v>0</v>
      </c>
      <c r="G188" s="13">
        <v>0</v>
      </c>
      <c r="H188" s="14">
        <v>0</v>
      </c>
      <c r="I188" s="14">
        <v>0</v>
      </c>
      <c r="J188" s="8"/>
    </row>
    <row r="189" spans="1:10" x14ac:dyDescent="0.2">
      <c r="A189" s="10">
        <v>53207100</v>
      </c>
      <c r="B189" s="10" t="s">
        <v>353</v>
      </c>
      <c r="C189" s="11">
        <v>0</v>
      </c>
      <c r="D189" s="11">
        <v>0</v>
      </c>
      <c r="E189" s="11">
        <v>0</v>
      </c>
      <c r="F189" s="13">
        <v>0</v>
      </c>
      <c r="G189" s="13">
        <v>0</v>
      </c>
      <c r="H189" s="14">
        <v>0</v>
      </c>
      <c r="I189" s="14">
        <v>0</v>
      </c>
      <c r="J189" s="8"/>
    </row>
    <row r="190" spans="1:10" x14ac:dyDescent="0.2">
      <c r="A190" s="10">
        <v>53207200</v>
      </c>
      <c r="B190" s="10" t="s">
        <v>354</v>
      </c>
      <c r="C190" s="11">
        <v>0</v>
      </c>
      <c r="D190" s="11">
        <v>0</v>
      </c>
      <c r="E190" s="11">
        <v>0</v>
      </c>
      <c r="F190" s="13">
        <v>0</v>
      </c>
      <c r="G190" s="13">
        <v>0</v>
      </c>
      <c r="H190" s="14">
        <v>0</v>
      </c>
      <c r="I190" s="14">
        <v>0</v>
      </c>
      <c r="J190" s="8"/>
    </row>
    <row r="191" spans="1:10" x14ac:dyDescent="0.2">
      <c r="A191" s="10">
        <v>53208000</v>
      </c>
      <c r="B191" s="10" t="s">
        <v>355</v>
      </c>
      <c r="C191" s="11">
        <v>485.66199999954551</v>
      </c>
      <c r="D191" s="11">
        <v>0</v>
      </c>
      <c r="E191" s="11">
        <v>0</v>
      </c>
      <c r="F191" s="13">
        <v>0</v>
      </c>
      <c r="G191" s="13">
        <v>0</v>
      </c>
      <c r="H191" s="14">
        <v>0</v>
      </c>
      <c r="I191" s="14">
        <v>485.66199999954551</v>
      </c>
      <c r="J191" s="8" t="s">
        <v>121</v>
      </c>
    </row>
    <row r="192" spans="1:10" x14ac:dyDescent="0.2">
      <c r="A192" s="10">
        <v>53208100</v>
      </c>
      <c r="B192" s="10" t="s">
        <v>356</v>
      </c>
      <c r="C192" s="11">
        <v>0</v>
      </c>
      <c r="D192" s="11">
        <v>0</v>
      </c>
      <c r="E192" s="11">
        <v>0</v>
      </c>
      <c r="F192" s="13">
        <v>0</v>
      </c>
      <c r="G192" s="13">
        <v>0</v>
      </c>
      <c r="H192" s="14">
        <v>0</v>
      </c>
      <c r="I192" s="14">
        <v>0</v>
      </c>
      <c r="J192" s="8"/>
    </row>
    <row r="193" spans="1:11" x14ac:dyDescent="0.2">
      <c r="A193" s="10">
        <v>53208500</v>
      </c>
      <c r="B193" s="10" t="s">
        <v>357</v>
      </c>
      <c r="C193" s="11">
        <v>0</v>
      </c>
      <c r="D193" s="11">
        <v>0</v>
      </c>
      <c r="E193" s="11">
        <v>0</v>
      </c>
      <c r="F193" s="13">
        <v>0</v>
      </c>
      <c r="G193" s="13">
        <v>0</v>
      </c>
      <c r="H193" s="14">
        <v>0</v>
      </c>
      <c r="I193" s="14">
        <v>0</v>
      </c>
      <c r="J193" s="8"/>
    </row>
    <row r="194" spans="1:11" x14ac:dyDescent="0.2">
      <c r="A194" s="10">
        <v>54000000</v>
      </c>
      <c r="B194" s="10" t="s">
        <v>358</v>
      </c>
      <c r="C194" s="11">
        <v>0</v>
      </c>
      <c r="D194" s="11">
        <v>0</v>
      </c>
      <c r="E194" s="11">
        <v>0</v>
      </c>
      <c r="F194" s="13">
        <v>0</v>
      </c>
      <c r="G194" s="13">
        <v>0</v>
      </c>
      <c r="H194" s="14">
        <v>0</v>
      </c>
      <c r="I194" s="14">
        <v>0</v>
      </c>
      <c r="J194" s="8"/>
    </row>
    <row r="195" spans="1:11" x14ac:dyDescent="0.2">
      <c r="A195" s="10">
        <v>54100000</v>
      </c>
      <c r="B195" s="10" t="s">
        <v>131</v>
      </c>
      <c r="C195" s="11">
        <v>0</v>
      </c>
      <c r="D195" s="11">
        <v>4171.6390000000001</v>
      </c>
      <c r="E195" s="11">
        <v>4171.6390000000001</v>
      </c>
      <c r="F195" s="13">
        <v>0</v>
      </c>
      <c r="G195" s="13">
        <v>0</v>
      </c>
      <c r="H195" s="14">
        <v>0</v>
      </c>
      <c r="I195" s="14">
        <v>0</v>
      </c>
      <c r="J195" s="8" t="s">
        <v>115</v>
      </c>
    </row>
    <row r="196" spans="1:11" x14ac:dyDescent="0.2">
      <c r="A196" s="10">
        <v>54300000</v>
      </c>
      <c r="B196" s="10" t="s">
        <v>359</v>
      </c>
      <c r="C196" s="11">
        <v>0</v>
      </c>
      <c r="D196" s="11">
        <v>0</v>
      </c>
      <c r="E196" s="11">
        <v>0</v>
      </c>
      <c r="F196" s="13">
        <v>0</v>
      </c>
      <c r="G196" s="13">
        <v>0</v>
      </c>
      <c r="H196" s="14">
        <v>0</v>
      </c>
      <c r="I196" s="14">
        <v>0</v>
      </c>
      <c r="J196" s="8"/>
    </row>
    <row r="197" spans="1:11" x14ac:dyDescent="0.2">
      <c r="A197" s="10">
        <v>55010000</v>
      </c>
      <c r="B197" s="10" t="s">
        <v>132</v>
      </c>
      <c r="C197" s="11">
        <v>3000</v>
      </c>
      <c r="D197" s="11">
        <v>0</v>
      </c>
      <c r="E197" s="11">
        <v>0</v>
      </c>
      <c r="F197" s="13">
        <v>0</v>
      </c>
      <c r="G197" s="13">
        <v>0</v>
      </c>
      <c r="H197" s="14">
        <v>0</v>
      </c>
      <c r="I197" s="14">
        <v>3000</v>
      </c>
      <c r="J197" s="8" t="s">
        <v>121</v>
      </c>
    </row>
    <row r="198" spans="1:11" x14ac:dyDescent="0.2">
      <c r="A198" s="10">
        <v>55011000</v>
      </c>
      <c r="B198" s="10" t="s">
        <v>133</v>
      </c>
      <c r="C198" s="11">
        <v>0</v>
      </c>
      <c r="D198" s="11">
        <v>0</v>
      </c>
      <c r="E198" s="11">
        <v>0</v>
      </c>
      <c r="F198" s="13">
        <v>0</v>
      </c>
      <c r="G198" s="13">
        <v>0</v>
      </c>
      <c r="H198" s="14">
        <v>0</v>
      </c>
      <c r="I198" s="14">
        <v>0</v>
      </c>
      <c r="J198" s="8" t="s">
        <v>121</v>
      </c>
    </row>
    <row r="199" spans="1:11" x14ac:dyDescent="0.2">
      <c r="A199" s="10">
        <v>58000000</v>
      </c>
      <c r="B199" s="10" t="s">
        <v>134</v>
      </c>
      <c r="C199" s="11">
        <v>0</v>
      </c>
      <c r="D199" s="11">
        <v>0</v>
      </c>
      <c r="E199" s="11">
        <v>0</v>
      </c>
      <c r="F199" s="13">
        <v>0</v>
      </c>
      <c r="G199" s="13">
        <v>0</v>
      </c>
      <c r="H199" s="14">
        <v>0</v>
      </c>
      <c r="I199" s="14">
        <v>0</v>
      </c>
      <c r="J199" s="8" t="s">
        <v>121</v>
      </c>
    </row>
    <row r="200" spans="1:11" x14ac:dyDescent="0.2">
      <c r="A200" s="10">
        <v>58001000</v>
      </c>
      <c r="B200" s="10" t="s">
        <v>135</v>
      </c>
      <c r="C200" s="11">
        <v>-1.9999593496322632E-4</v>
      </c>
      <c r="D200" s="11">
        <v>0</v>
      </c>
      <c r="E200" s="11">
        <v>0</v>
      </c>
      <c r="F200" s="13">
        <v>0</v>
      </c>
      <c r="G200" s="13">
        <v>0</v>
      </c>
      <c r="H200" s="14">
        <v>0</v>
      </c>
      <c r="I200" s="14">
        <v>-1.9999593496322632E-4</v>
      </c>
      <c r="J200" s="8"/>
    </row>
    <row r="201" spans="1:11" x14ac:dyDescent="0.2">
      <c r="A201" s="10">
        <v>58002000</v>
      </c>
      <c r="B201" s="10" t="s">
        <v>360</v>
      </c>
      <c r="C201" s="11">
        <v>0</v>
      </c>
      <c r="D201" s="11">
        <v>0</v>
      </c>
      <c r="E201" s="11">
        <v>0</v>
      </c>
      <c r="F201" s="13">
        <v>0</v>
      </c>
      <c r="G201" s="13">
        <v>0</v>
      </c>
      <c r="H201" s="14">
        <v>0</v>
      </c>
      <c r="I201" s="14">
        <v>0</v>
      </c>
      <c r="J201" s="8"/>
    </row>
    <row r="202" spans="1:11" x14ac:dyDescent="0.2">
      <c r="A202" s="10">
        <v>58003000</v>
      </c>
      <c r="B202" s="10" t="s">
        <v>136</v>
      </c>
      <c r="C202" s="11">
        <v>1.0100007057189941E-4</v>
      </c>
      <c r="D202" s="11">
        <v>297552.06599999999</v>
      </c>
      <c r="E202" s="11">
        <v>297552.06599999999</v>
      </c>
      <c r="F202" s="13">
        <v>0</v>
      </c>
      <c r="G202" s="13">
        <v>0</v>
      </c>
      <c r="H202" s="14">
        <v>0</v>
      </c>
      <c r="I202" s="14">
        <v>1.0100007057189941E-4</v>
      </c>
      <c r="J202" s="8"/>
    </row>
    <row r="203" spans="1:11" x14ac:dyDescent="0.2">
      <c r="A203" s="10">
        <v>58004000</v>
      </c>
      <c r="B203" s="10" t="s">
        <v>361</v>
      </c>
      <c r="C203" s="11">
        <v>0</v>
      </c>
      <c r="D203" s="11">
        <v>0</v>
      </c>
      <c r="E203" s="11">
        <v>0</v>
      </c>
      <c r="F203" s="13">
        <v>0</v>
      </c>
      <c r="G203" s="13">
        <v>0</v>
      </c>
      <c r="H203" s="14">
        <v>0</v>
      </c>
      <c r="I203" s="14">
        <v>0</v>
      </c>
      <c r="J203" s="8"/>
    </row>
    <row r="204" spans="1:11" x14ac:dyDescent="0.2">
      <c r="A204" s="10">
        <v>58005000</v>
      </c>
      <c r="B204" s="10" t="s">
        <v>362</v>
      </c>
      <c r="C204" s="11">
        <v>-547423.47561516264</v>
      </c>
      <c r="D204" s="11">
        <v>2068061.996</v>
      </c>
      <c r="E204" s="11">
        <v>699317.89599999995</v>
      </c>
      <c r="F204" s="13">
        <v>0</v>
      </c>
      <c r="G204" s="13">
        <v>0</v>
      </c>
      <c r="H204" s="14">
        <v>1368744.1</v>
      </c>
      <c r="I204" s="14">
        <v>821320.62438483746</v>
      </c>
      <c r="J204" s="8" t="s">
        <v>121</v>
      </c>
    </row>
    <row r="205" spans="1:11" x14ac:dyDescent="0.2">
      <c r="A205" s="10">
        <v>60110210</v>
      </c>
      <c r="B205" s="10" t="s">
        <v>137</v>
      </c>
      <c r="C205" s="11">
        <v>261689.7832565</v>
      </c>
      <c r="D205" s="11">
        <v>77511.172701999982</v>
      </c>
      <c r="E205" s="11">
        <v>0</v>
      </c>
      <c r="F205" s="13">
        <v>0</v>
      </c>
      <c r="G205" s="13">
        <v>0</v>
      </c>
      <c r="H205" s="14">
        <v>77511.172701999982</v>
      </c>
      <c r="I205" s="14">
        <v>339200.95595849998</v>
      </c>
      <c r="J205" s="8" t="s">
        <v>138</v>
      </c>
      <c r="K205" s="302" t="s">
        <v>509</v>
      </c>
    </row>
    <row r="206" spans="1:11" x14ac:dyDescent="0.2">
      <c r="A206" s="10">
        <v>60110211</v>
      </c>
      <c r="B206" s="10" t="s">
        <v>363</v>
      </c>
      <c r="C206" s="11">
        <v>50530.107451499993</v>
      </c>
      <c r="D206" s="11">
        <v>0</v>
      </c>
      <c r="E206" s="11">
        <v>0</v>
      </c>
      <c r="F206" s="13">
        <v>0</v>
      </c>
      <c r="G206" s="13">
        <v>0</v>
      </c>
      <c r="H206" s="14">
        <v>0</v>
      </c>
      <c r="I206" s="14">
        <v>50530.107451499993</v>
      </c>
      <c r="J206" s="8" t="s">
        <v>138</v>
      </c>
      <c r="K206" s="302" t="s">
        <v>509</v>
      </c>
    </row>
    <row r="207" spans="1:11" x14ac:dyDescent="0.2">
      <c r="A207" s="10">
        <v>60110212</v>
      </c>
      <c r="B207" s="10" t="s">
        <v>7391</v>
      </c>
      <c r="C207" s="11">
        <v>3306.9</v>
      </c>
      <c r="D207" s="11">
        <v>2367.4319999999998</v>
      </c>
      <c r="E207" s="11">
        <v>0</v>
      </c>
      <c r="F207" s="13">
        <v>0</v>
      </c>
      <c r="G207" s="13">
        <v>0</v>
      </c>
      <c r="H207" s="14">
        <v>2367.4319999999998</v>
      </c>
      <c r="I207" s="14">
        <v>5674.3320000000003</v>
      </c>
      <c r="J207" s="8" t="s">
        <v>138</v>
      </c>
      <c r="K207" s="302" t="s">
        <v>509</v>
      </c>
    </row>
    <row r="208" spans="1:11" x14ac:dyDescent="0.2">
      <c r="A208" s="10">
        <v>60110213</v>
      </c>
      <c r="B208" s="10" t="s">
        <v>364</v>
      </c>
      <c r="C208" s="11">
        <v>2424</v>
      </c>
      <c r="D208" s="11">
        <v>2424</v>
      </c>
      <c r="E208" s="11">
        <v>0</v>
      </c>
      <c r="F208" s="13">
        <v>0</v>
      </c>
      <c r="G208" s="13">
        <v>0</v>
      </c>
      <c r="H208" s="14">
        <v>2424</v>
      </c>
      <c r="I208" s="14">
        <v>4848</v>
      </c>
      <c r="J208" s="8" t="s">
        <v>138</v>
      </c>
      <c r="K208" s="302" t="s">
        <v>509</v>
      </c>
    </row>
    <row r="209" spans="1:11" x14ac:dyDescent="0.2">
      <c r="A209" s="10">
        <v>60110220</v>
      </c>
      <c r="B209" s="10" t="s">
        <v>139</v>
      </c>
      <c r="C209" s="11">
        <v>276533.49122049997</v>
      </c>
      <c r="D209" s="11">
        <v>133082.24033100001</v>
      </c>
      <c r="E209" s="11">
        <v>0</v>
      </c>
      <c r="F209" s="13">
        <v>0</v>
      </c>
      <c r="G209" s="13">
        <v>0</v>
      </c>
      <c r="H209" s="14">
        <v>133082.24033100001</v>
      </c>
      <c r="I209" s="14">
        <v>409615.73155149998</v>
      </c>
      <c r="J209" s="8" t="s">
        <v>138</v>
      </c>
      <c r="K209" s="302" t="s">
        <v>509</v>
      </c>
    </row>
    <row r="210" spans="1:11" x14ac:dyDescent="0.2">
      <c r="A210" s="10">
        <v>60110300</v>
      </c>
      <c r="B210" s="10" t="s">
        <v>140</v>
      </c>
      <c r="C210" s="11">
        <v>16745.736000000001</v>
      </c>
      <c r="D210" s="11">
        <v>0</v>
      </c>
      <c r="E210" s="11">
        <v>0</v>
      </c>
      <c r="F210" s="13">
        <v>6544.2870000000003</v>
      </c>
      <c r="G210" s="13">
        <v>606</v>
      </c>
      <c r="H210" s="14">
        <v>5938.2870000000003</v>
      </c>
      <c r="I210" s="14">
        <v>22684.023000000001</v>
      </c>
      <c r="J210" s="8" t="s">
        <v>138</v>
      </c>
      <c r="K210" s="302" t="s">
        <v>509</v>
      </c>
    </row>
    <row r="211" spans="1:11" x14ac:dyDescent="0.2">
      <c r="A211" s="10">
        <v>60110310</v>
      </c>
      <c r="B211" s="10" t="s">
        <v>141</v>
      </c>
      <c r="C211" s="11">
        <v>18863.582999999999</v>
      </c>
      <c r="D211" s="11">
        <v>0</v>
      </c>
      <c r="E211" s="11">
        <v>0</v>
      </c>
      <c r="F211" s="13">
        <v>0</v>
      </c>
      <c r="G211" s="13">
        <v>0</v>
      </c>
      <c r="H211" s="14">
        <v>0</v>
      </c>
      <c r="I211" s="14">
        <v>18863.582999999999</v>
      </c>
      <c r="J211" s="8" t="s">
        <v>138</v>
      </c>
      <c r="K211" s="302" t="s">
        <v>509</v>
      </c>
    </row>
    <row r="212" spans="1:11" x14ac:dyDescent="0.2">
      <c r="A212" s="10">
        <v>60110320</v>
      </c>
      <c r="B212" s="10" t="s">
        <v>142</v>
      </c>
      <c r="C212" s="11">
        <v>7256.3433599999989</v>
      </c>
      <c r="D212" s="11">
        <v>14770.178355</v>
      </c>
      <c r="E212" s="11">
        <v>0</v>
      </c>
      <c r="F212" s="13">
        <v>0</v>
      </c>
      <c r="G212" s="13">
        <v>0</v>
      </c>
      <c r="H212" s="14">
        <v>14770.178355</v>
      </c>
      <c r="I212" s="14">
        <v>22026.521714999999</v>
      </c>
      <c r="J212" s="8" t="s">
        <v>138</v>
      </c>
      <c r="K212" s="302" t="s">
        <v>509</v>
      </c>
    </row>
    <row r="213" spans="1:11" x14ac:dyDescent="0.2">
      <c r="A213" s="10">
        <v>60110330</v>
      </c>
      <c r="B213" s="10" t="s">
        <v>143</v>
      </c>
      <c r="C213" s="11">
        <v>19463.751</v>
      </c>
      <c r="D213" s="11">
        <v>13922.228699999998</v>
      </c>
      <c r="E213" s="11">
        <v>0</v>
      </c>
      <c r="F213" s="13">
        <v>0</v>
      </c>
      <c r="G213" s="13">
        <v>0</v>
      </c>
      <c r="H213" s="14">
        <v>13922.228699999998</v>
      </c>
      <c r="I213" s="14">
        <v>33385.979699999996</v>
      </c>
      <c r="J213" s="8" t="s">
        <v>138</v>
      </c>
      <c r="K213" s="302" t="s">
        <v>509</v>
      </c>
    </row>
    <row r="214" spans="1:11" x14ac:dyDescent="0.2">
      <c r="A214" s="10">
        <v>60110350</v>
      </c>
      <c r="B214" s="10" t="s">
        <v>261</v>
      </c>
      <c r="C214" s="11">
        <v>734.89</v>
      </c>
      <c r="D214" s="11">
        <v>0</v>
      </c>
      <c r="E214" s="11">
        <v>0</v>
      </c>
      <c r="F214" s="13">
        <v>0</v>
      </c>
      <c r="G214" s="13">
        <v>0</v>
      </c>
      <c r="H214" s="14">
        <v>0</v>
      </c>
      <c r="I214" s="14">
        <v>734.89</v>
      </c>
      <c r="J214" s="8" t="s">
        <v>138</v>
      </c>
      <c r="K214" s="302" t="s">
        <v>509</v>
      </c>
    </row>
    <row r="215" spans="1:11" x14ac:dyDescent="0.2">
      <c r="A215" s="10">
        <v>60110400</v>
      </c>
      <c r="B215" s="10" t="s">
        <v>7392</v>
      </c>
      <c r="C215" s="11">
        <v>310.84859999999998</v>
      </c>
      <c r="D215" s="11">
        <v>0</v>
      </c>
      <c r="E215" s="11">
        <v>0</v>
      </c>
      <c r="F215" s="13">
        <v>0</v>
      </c>
      <c r="G215" s="13">
        <v>0</v>
      </c>
      <c r="H215" s="14">
        <v>0</v>
      </c>
      <c r="I215" s="14">
        <v>310.84859999999998</v>
      </c>
      <c r="J215" s="8" t="s">
        <v>138</v>
      </c>
      <c r="K215" s="302" t="s">
        <v>509</v>
      </c>
    </row>
    <row r="216" spans="1:11" x14ac:dyDescent="0.2">
      <c r="A216" s="10">
        <v>60110500</v>
      </c>
      <c r="B216" s="10" t="s">
        <v>144</v>
      </c>
      <c r="C216" s="11">
        <v>6274.8909999999996</v>
      </c>
      <c r="D216" s="11">
        <v>3002.0829999999996</v>
      </c>
      <c r="E216" s="11">
        <v>0</v>
      </c>
      <c r="F216" s="13">
        <v>0</v>
      </c>
      <c r="G216" s="13">
        <v>0</v>
      </c>
      <c r="H216" s="14">
        <v>3002.0829999999996</v>
      </c>
      <c r="I216" s="14">
        <v>9276.9739999999983</v>
      </c>
      <c r="J216" s="8" t="s">
        <v>138</v>
      </c>
      <c r="K216" s="302" t="s">
        <v>509</v>
      </c>
    </row>
    <row r="217" spans="1:11" x14ac:dyDescent="0.2">
      <c r="A217" s="10">
        <v>60110600</v>
      </c>
      <c r="B217" s="10" t="s">
        <v>145</v>
      </c>
      <c r="C217" s="11">
        <v>4168.4459999999999</v>
      </c>
      <c r="D217" s="11">
        <v>1786.336</v>
      </c>
      <c r="E217" s="11">
        <v>0</v>
      </c>
      <c r="F217" s="13">
        <v>0</v>
      </c>
      <c r="G217" s="13">
        <v>0</v>
      </c>
      <c r="H217" s="14">
        <v>1786.336</v>
      </c>
      <c r="I217" s="14">
        <v>5954.7820000000002</v>
      </c>
      <c r="J217" s="8" t="s">
        <v>138</v>
      </c>
      <c r="K217" s="302" t="s">
        <v>509</v>
      </c>
    </row>
    <row r="218" spans="1:11" x14ac:dyDescent="0.2">
      <c r="A218" s="10">
        <v>60110700</v>
      </c>
      <c r="B218" s="10" t="s">
        <v>146</v>
      </c>
      <c r="C218" s="11">
        <v>2441.4499999999998</v>
      </c>
      <c r="D218" s="11">
        <v>1578.9</v>
      </c>
      <c r="E218" s="11">
        <v>0</v>
      </c>
      <c r="F218" s="13">
        <v>0</v>
      </c>
      <c r="G218" s="13">
        <v>0</v>
      </c>
      <c r="H218" s="14">
        <v>1578.9</v>
      </c>
      <c r="I218" s="14">
        <v>4020.35</v>
      </c>
      <c r="J218" s="8" t="s">
        <v>138</v>
      </c>
      <c r="K218" s="302" t="s">
        <v>509</v>
      </c>
    </row>
    <row r="219" spans="1:11" x14ac:dyDescent="0.2">
      <c r="A219" s="10">
        <v>60110900</v>
      </c>
      <c r="B219" s="10" t="s">
        <v>147</v>
      </c>
      <c r="C219" s="11">
        <v>66410.790999999997</v>
      </c>
      <c r="D219" s="11">
        <v>48402.460999999996</v>
      </c>
      <c r="E219" s="16">
        <v>0</v>
      </c>
      <c r="F219" s="13">
        <v>3189.8829999999998</v>
      </c>
      <c r="G219" s="13">
        <v>16674.047999999999</v>
      </c>
      <c r="H219" s="14">
        <v>34918.296000000002</v>
      </c>
      <c r="I219" s="14">
        <v>101329.087</v>
      </c>
      <c r="J219" s="8" t="s">
        <v>138</v>
      </c>
      <c r="K219" s="302" t="s">
        <v>509</v>
      </c>
    </row>
    <row r="220" spans="1:11" x14ac:dyDescent="0.2">
      <c r="A220" s="10">
        <v>60111000</v>
      </c>
      <c r="B220" s="10" t="s">
        <v>148</v>
      </c>
      <c r="C220" s="11">
        <v>3030</v>
      </c>
      <c r="D220" s="11">
        <v>0</v>
      </c>
      <c r="E220" s="11">
        <v>0</v>
      </c>
      <c r="F220" s="13">
        <v>0</v>
      </c>
      <c r="G220" s="13">
        <v>0</v>
      </c>
      <c r="H220" s="14">
        <v>0</v>
      </c>
      <c r="I220" s="14">
        <v>3030</v>
      </c>
      <c r="J220" s="8" t="s">
        <v>138</v>
      </c>
      <c r="K220" s="302" t="s">
        <v>509</v>
      </c>
    </row>
    <row r="221" spans="1:11" x14ac:dyDescent="0.2">
      <c r="A221" s="10">
        <v>60111010</v>
      </c>
      <c r="B221" s="10" t="s">
        <v>393</v>
      </c>
      <c r="C221" s="11">
        <v>202</v>
      </c>
      <c r="D221" s="11">
        <v>424.2</v>
      </c>
      <c r="E221" s="11">
        <v>0</v>
      </c>
      <c r="F221" s="13">
        <v>0</v>
      </c>
      <c r="G221" s="13">
        <v>0</v>
      </c>
      <c r="H221" s="14">
        <v>424.2</v>
      </c>
      <c r="I221" s="14">
        <v>626.20000000000005</v>
      </c>
      <c r="J221" s="8" t="s">
        <v>138</v>
      </c>
      <c r="K221" s="302" t="s">
        <v>509</v>
      </c>
    </row>
    <row r="222" spans="1:11" x14ac:dyDescent="0.2">
      <c r="A222" s="10">
        <v>60120100</v>
      </c>
      <c r="B222" s="10" t="s">
        <v>149</v>
      </c>
      <c r="C222" s="11">
        <v>172338.07774949999</v>
      </c>
      <c r="D222" s="11">
        <v>161174.075446</v>
      </c>
      <c r="E222" s="11">
        <v>2062.5</v>
      </c>
      <c r="F222" s="13">
        <v>0</v>
      </c>
      <c r="G222" s="13">
        <v>0</v>
      </c>
      <c r="H222" s="14">
        <v>159111.575446</v>
      </c>
      <c r="I222" s="14">
        <v>331449.65319550002</v>
      </c>
      <c r="J222" s="8" t="s">
        <v>138</v>
      </c>
      <c r="K222" s="302" t="s">
        <v>509</v>
      </c>
    </row>
    <row r="223" spans="1:11" x14ac:dyDescent="0.2">
      <c r="A223" s="10">
        <v>60120300</v>
      </c>
      <c r="B223" s="10" t="s">
        <v>150</v>
      </c>
      <c r="C223" s="11">
        <v>2730396.63</v>
      </c>
      <c r="D223" s="11">
        <v>657722.07999999996</v>
      </c>
      <c r="E223" s="11">
        <v>0</v>
      </c>
      <c r="F223" s="13">
        <v>63800.65</v>
      </c>
      <c r="G223" s="13">
        <v>314471.74</v>
      </c>
      <c r="H223" s="14">
        <v>407050.99</v>
      </c>
      <c r="I223" s="14">
        <v>3137447.62</v>
      </c>
      <c r="J223" s="8" t="s">
        <v>138</v>
      </c>
      <c r="K223" s="302" t="s">
        <v>509</v>
      </c>
    </row>
    <row r="224" spans="1:11" x14ac:dyDescent="0.2">
      <c r="A224" s="10">
        <v>60120400</v>
      </c>
      <c r="B224" s="10" t="s">
        <v>365</v>
      </c>
      <c r="C224" s="11">
        <v>529261.61</v>
      </c>
      <c r="D224" s="11">
        <v>111174.8</v>
      </c>
      <c r="E224" s="11">
        <v>0</v>
      </c>
      <c r="F224" s="13">
        <v>0</v>
      </c>
      <c r="G224" s="13">
        <v>0</v>
      </c>
      <c r="H224" s="14">
        <v>111174.8</v>
      </c>
      <c r="I224" s="14">
        <v>640436.41</v>
      </c>
      <c r="J224" s="8" t="s">
        <v>138</v>
      </c>
      <c r="K224" s="302" t="s">
        <v>509</v>
      </c>
    </row>
    <row r="225" spans="1:11" x14ac:dyDescent="0.2">
      <c r="A225" s="10">
        <v>60120900</v>
      </c>
      <c r="B225" s="10" t="s">
        <v>7393</v>
      </c>
      <c r="C225" s="11">
        <v>35598.535244999999</v>
      </c>
      <c r="D225" s="11">
        <v>0</v>
      </c>
      <c r="E225" s="11">
        <v>0</v>
      </c>
      <c r="F225" s="13">
        <v>0</v>
      </c>
      <c r="G225" s="13">
        <v>0</v>
      </c>
      <c r="H225" s="14">
        <v>0</v>
      </c>
      <c r="I225" s="14">
        <v>35598.535244999999</v>
      </c>
      <c r="J225" s="8" t="s">
        <v>138</v>
      </c>
      <c r="K225" s="302" t="s">
        <v>509</v>
      </c>
    </row>
    <row r="226" spans="1:11" x14ac:dyDescent="0.2">
      <c r="A226" s="10">
        <v>60121010</v>
      </c>
      <c r="B226" s="10" t="s">
        <v>152</v>
      </c>
      <c r="C226" s="11">
        <v>0</v>
      </c>
      <c r="D226" s="16">
        <v>1380934.355794</v>
      </c>
      <c r="E226" s="11">
        <v>0</v>
      </c>
      <c r="F226" s="13">
        <v>0</v>
      </c>
      <c r="G226" s="13">
        <v>0</v>
      </c>
      <c r="H226" s="14">
        <v>1380934.355794</v>
      </c>
      <c r="I226" s="14">
        <v>1380934.355794</v>
      </c>
      <c r="J226" s="8" t="s">
        <v>138</v>
      </c>
      <c r="K226" s="302" t="s">
        <v>509</v>
      </c>
    </row>
    <row r="227" spans="1:11" x14ac:dyDescent="0.2">
      <c r="A227" s="10">
        <v>60121036</v>
      </c>
      <c r="B227" s="10" t="s">
        <v>7394</v>
      </c>
      <c r="C227" s="12">
        <v>176.17599999999999</v>
      </c>
      <c r="D227" s="11">
        <v>0</v>
      </c>
      <c r="E227" s="11">
        <v>0</v>
      </c>
      <c r="F227" s="13">
        <v>0</v>
      </c>
      <c r="G227" s="13">
        <v>0</v>
      </c>
      <c r="H227" s="14">
        <v>0</v>
      </c>
      <c r="I227" s="14">
        <v>176.17599999999999</v>
      </c>
      <c r="J227" s="8" t="s">
        <v>138</v>
      </c>
      <c r="K227" s="302" t="s">
        <v>509</v>
      </c>
    </row>
    <row r="228" spans="1:11" x14ac:dyDescent="0.2">
      <c r="A228" s="10">
        <v>60121200</v>
      </c>
      <c r="B228" s="10" t="s">
        <v>7395</v>
      </c>
      <c r="C228" s="12">
        <v>1071</v>
      </c>
      <c r="D228" s="11">
        <v>364</v>
      </c>
      <c r="E228" s="11">
        <v>0</v>
      </c>
      <c r="F228" s="13">
        <v>0</v>
      </c>
      <c r="G228" s="13">
        <v>0</v>
      </c>
      <c r="H228" s="14">
        <v>364</v>
      </c>
      <c r="I228" s="14">
        <v>1435</v>
      </c>
      <c r="J228" s="8" t="s">
        <v>138</v>
      </c>
      <c r="K228" s="302" t="s">
        <v>509</v>
      </c>
    </row>
    <row r="229" spans="1:11" x14ac:dyDescent="0.2">
      <c r="A229" s="10">
        <v>60121500</v>
      </c>
      <c r="B229" s="10" t="s">
        <v>404</v>
      </c>
      <c r="C229" s="11">
        <v>0</v>
      </c>
      <c r="D229" s="11">
        <v>61072.5</v>
      </c>
      <c r="E229" s="11">
        <v>0</v>
      </c>
      <c r="F229" s="13">
        <v>0</v>
      </c>
      <c r="G229" s="13">
        <v>0</v>
      </c>
      <c r="H229" s="14">
        <v>61072.5</v>
      </c>
      <c r="I229" s="14">
        <v>61072.5</v>
      </c>
      <c r="J229" s="8" t="s">
        <v>138</v>
      </c>
      <c r="K229" s="302" t="s">
        <v>509</v>
      </c>
    </row>
    <row r="230" spans="1:11" x14ac:dyDescent="0.2">
      <c r="A230" s="10">
        <v>60121600</v>
      </c>
      <c r="B230" s="10" t="s">
        <v>154</v>
      </c>
      <c r="C230" s="11">
        <v>124485.2</v>
      </c>
      <c r="D230" s="11">
        <v>56644</v>
      </c>
      <c r="E230" s="11">
        <v>0</v>
      </c>
      <c r="F230" s="13">
        <v>0</v>
      </c>
      <c r="G230" s="13">
        <v>0</v>
      </c>
      <c r="H230" s="14">
        <v>56644</v>
      </c>
      <c r="I230" s="14">
        <v>181129.2</v>
      </c>
      <c r="J230" s="8" t="s">
        <v>138</v>
      </c>
      <c r="K230" s="302" t="s">
        <v>509</v>
      </c>
    </row>
    <row r="231" spans="1:11" x14ac:dyDescent="0.2">
      <c r="A231" s="10">
        <v>60121900</v>
      </c>
      <c r="B231" s="10" t="s">
        <v>7568</v>
      </c>
      <c r="C231" s="11">
        <v>0</v>
      </c>
      <c r="D231" s="11">
        <v>1960</v>
      </c>
      <c r="E231" s="11">
        <v>0</v>
      </c>
      <c r="F231" s="13">
        <v>0</v>
      </c>
      <c r="G231" s="13">
        <v>0</v>
      </c>
      <c r="H231" s="14">
        <v>1960</v>
      </c>
      <c r="I231" s="14">
        <v>1960</v>
      </c>
      <c r="J231" s="8" t="s">
        <v>138</v>
      </c>
      <c r="K231" s="302" t="s">
        <v>509</v>
      </c>
    </row>
    <row r="232" spans="1:11" x14ac:dyDescent="0.2">
      <c r="A232" s="10">
        <v>60122100</v>
      </c>
      <c r="B232" s="10" t="s">
        <v>155</v>
      </c>
      <c r="C232" s="11">
        <v>60345</v>
      </c>
      <c r="D232" s="11">
        <v>92688.3</v>
      </c>
      <c r="E232" s="11">
        <v>69625.8</v>
      </c>
      <c r="F232" s="13">
        <v>0</v>
      </c>
      <c r="G232" s="13">
        <v>0</v>
      </c>
      <c r="H232" s="14">
        <v>23062.5</v>
      </c>
      <c r="I232" s="14">
        <v>83407.5</v>
      </c>
      <c r="J232" s="8" t="s">
        <v>138</v>
      </c>
      <c r="K232" s="302" t="s">
        <v>509</v>
      </c>
    </row>
    <row r="233" spans="1:11" x14ac:dyDescent="0.2">
      <c r="A233" s="10">
        <v>60122200</v>
      </c>
      <c r="B233" s="10" t="s">
        <v>156</v>
      </c>
      <c r="C233" s="11">
        <v>17352.3</v>
      </c>
      <c r="D233" s="11">
        <v>17287.2</v>
      </c>
      <c r="E233" s="11">
        <v>0</v>
      </c>
      <c r="F233" s="13">
        <v>0</v>
      </c>
      <c r="G233" s="13">
        <v>0</v>
      </c>
      <c r="H233" s="14">
        <v>17287.2</v>
      </c>
      <c r="I233" s="14">
        <v>34639.5</v>
      </c>
      <c r="J233" s="8" t="s">
        <v>138</v>
      </c>
      <c r="K233" s="302" t="s">
        <v>509</v>
      </c>
    </row>
    <row r="234" spans="1:11" x14ac:dyDescent="0.2">
      <c r="A234" s="10">
        <v>60122400</v>
      </c>
      <c r="B234" s="10" t="s">
        <v>7396</v>
      </c>
      <c r="C234" s="11">
        <v>9485.8559999999998</v>
      </c>
      <c r="D234" s="11">
        <v>0</v>
      </c>
      <c r="E234" s="11">
        <v>0</v>
      </c>
      <c r="F234" s="13">
        <v>0</v>
      </c>
      <c r="G234" s="13">
        <v>0</v>
      </c>
      <c r="H234" s="14">
        <v>0</v>
      </c>
      <c r="I234" s="14">
        <v>9485.8559999999998</v>
      </c>
      <c r="J234" s="8" t="s">
        <v>138</v>
      </c>
      <c r="K234" s="302" t="s">
        <v>509</v>
      </c>
    </row>
    <row r="235" spans="1:11" x14ac:dyDescent="0.2">
      <c r="A235" s="10">
        <v>60122410</v>
      </c>
      <c r="B235" s="10" t="s">
        <v>366</v>
      </c>
      <c r="C235" s="11">
        <v>450</v>
      </c>
      <c r="D235" s="11">
        <v>2300</v>
      </c>
      <c r="E235" s="11">
        <v>0</v>
      </c>
      <c r="F235" s="13">
        <v>0</v>
      </c>
      <c r="G235" s="13">
        <v>0</v>
      </c>
      <c r="H235" s="14">
        <v>2300</v>
      </c>
      <c r="I235" s="14">
        <v>2750</v>
      </c>
      <c r="J235" s="8" t="s">
        <v>138</v>
      </c>
      <c r="K235" s="302" t="s">
        <v>509</v>
      </c>
    </row>
    <row r="236" spans="1:11" x14ac:dyDescent="0.2">
      <c r="A236" s="10">
        <v>60122411</v>
      </c>
      <c r="B236" s="10" t="s">
        <v>367</v>
      </c>
      <c r="C236" s="11">
        <v>11724</v>
      </c>
      <c r="D236" s="11">
        <v>7628</v>
      </c>
      <c r="E236" s="11">
        <v>0</v>
      </c>
      <c r="F236" s="13">
        <v>0</v>
      </c>
      <c r="G236" s="13">
        <v>0</v>
      </c>
      <c r="H236" s="14">
        <v>7628</v>
      </c>
      <c r="I236" s="14">
        <v>19352</v>
      </c>
      <c r="J236" s="8" t="s">
        <v>138</v>
      </c>
      <c r="K236" s="302" t="s">
        <v>509</v>
      </c>
    </row>
    <row r="237" spans="1:11" x14ac:dyDescent="0.2">
      <c r="A237" s="10">
        <v>60122510</v>
      </c>
      <c r="B237" s="10" t="s">
        <v>368</v>
      </c>
      <c r="C237" s="11">
        <v>6797.7119999999995</v>
      </c>
      <c r="D237" s="11">
        <v>3618.06</v>
      </c>
      <c r="E237" s="11">
        <v>0</v>
      </c>
      <c r="F237" s="13">
        <v>0</v>
      </c>
      <c r="G237" s="13">
        <v>0</v>
      </c>
      <c r="H237" s="14">
        <v>3618.06</v>
      </c>
      <c r="I237" s="14">
        <v>10415.771999999999</v>
      </c>
      <c r="J237" s="8" t="s">
        <v>138</v>
      </c>
      <c r="K237" s="302" t="s">
        <v>509</v>
      </c>
    </row>
    <row r="238" spans="1:11" x14ac:dyDescent="0.2">
      <c r="A238" s="10">
        <v>60122520</v>
      </c>
      <c r="B238" s="10" t="s">
        <v>396</v>
      </c>
      <c r="C238" s="11">
        <v>1742.9079999999999</v>
      </c>
      <c r="D238" s="11">
        <v>863.49199999999996</v>
      </c>
      <c r="E238" s="11">
        <v>0</v>
      </c>
      <c r="F238" s="13">
        <v>0</v>
      </c>
      <c r="G238" s="13">
        <v>0</v>
      </c>
      <c r="H238" s="14">
        <v>863.49199999999996</v>
      </c>
      <c r="I238" s="14">
        <v>2606.3999999999996</v>
      </c>
      <c r="J238" s="8" t="s">
        <v>138</v>
      </c>
      <c r="K238" s="302" t="s">
        <v>509</v>
      </c>
    </row>
    <row r="239" spans="1:11" x14ac:dyDescent="0.2">
      <c r="A239" s="10">
        <v>60171000</v>
      </c>
      <c r="B239" s="10" t="s">
        <v>369</v>
      </c>
      <c r="C239" s="11">
        <v>130763.15</v>
      </c>
      <c r="D239" s="11">
        <v>48553.309000000001</v>
      </c>
      <c r="E239" s="11">
        <v>0</v>
      </c>
      <c r="F239" s="13">
        <v>0</v>
      </c>
      <c r="G239" s="13">
        <v>0</v>
      </c>
      <c r="H239" s="14">
        <v>48553.309000000001</v>
      </c>
      <c r="I239" s="14">
        <v>179316.459</v>
      </c>
      <c r="J239" s="8" t="s">
        <v>138</v>
      </c>
      <c r="K239" s="302" t="s">
        <v>509</v>
      </c>
    </row>
    <row r="240" spans="1:11" x14ac:dyDescent="0.2">
      <c r="A240" s="10">
        <v>60172000</v>
      </c>
      <c r="B240" s="10" t="s">
        <v>169</v>
      </c>
      <c r="C240" s="11">
        <v>222269.05600000001</v>
      </c>
      <c r="D240" s="11">
        <v>105917.71099999998</v>
      </c>
      <c r="E240" s="11">
        <v>0</v>
      </c>
      <c r="F240" s="13">
        <v>0</v>
      </c>
      <c r="G240" s="13">
        <v>0</v>
      </c>
      <c r="H240" s="14">
        <v>105917.71099999998</v>
      </c>
      <c r="I240" s="14">
        <v>328186.76699999999</v>
      </c>
      <c r="J240" s="8" t="s">
        <v>138</v>
      </c>
      <c r="K240" s="302" t="s">
        <v>509</v>
      </c>
    </row>
    <row r="241" spans="1:11" x14ac:dyDescent="0.2">
      <c r="A241" s="10">
        <v>60173000</v>
      </c>
      <c r="B241" s="10" t="s">
        <v>170</v>
      </c>
      <c r="C241" s="11">
        <v>24009.85</v>
      </c>
      <c r="D241" s="11">
        <v>0</v>
      </c>
      <c r="E241" s="11">
        <v>0</v>
      </c>
      <c r="F241" s="13">
        <v>13137.299000000001</v>
      </c>
      <c r="G241" s="13">
        <v>0</v>
      </c>
      <c r="H241" s="14">
        <v>13137.299000000001</v>
      </c>
      <c r="I241" s="14">
        <v>37147.148999999998</v>
      </c>
      <c r="J241" s="8" t="s">
        <v>138</v>
      </c>
      <c r="K241" s="302" t="s">
        <v>509</v>
      </c>
    </row>
    <row r="242" spans="1:11" x14ac:dyDescent="0.2">
      <c r="A242" s="10">
        <v>60191000</v>
      </c>
      <c r="B242" s="10" t="s">
        <v>158</v>
      </c>
      <c r="C242" s="11">
        <v>197363.86829800002</v>
      </c>
      <c r="D242" s="11">
        <v>91818.070400000011</v>
      </c>
      <c r="E242" s="11">
        <v>0</v>
      </c>
      <c r="F242" s="13">
        <v>0</v>
      </c>
      <c r="G242" s="13">
        <v>0</v>
      </c>
      <c r="H242" s="14">
        <v>91818.070400000011</v>
      </c>
      <c r="I242" s="14">
        <v>289181.93869800004</v>
      </c>
      <c r="J242" s="8" t="s">
        <v>138</v>
      </c>
      <c r="K242" s="302" t="s">
        <v>509</v>
      </c>
    </row>
    <row r="243" spans="1:11" x14ac:dyDescent="0.2">
      <c r="A243" s="10">
        <v>60215000</v>
      </c>
      <c r="B243" s="10" t="s">
        <v>370</v>
      </c>
      <c r="C243" s="11">
        <v>24171.527000000002</v>
      </c>
      <c r="D243" s="11">
        <v>0</v>
      </c>
      <c r="E243" s="11">
        <v>0</v>
      </c>
      <c r="F243" s="13">
        <v>0</v>
      </c>
      <c r="G243" s="13">
        <v>0</v>
      </c>
      <c r="H243" s="14">
        <v>0</v>
      </c>
      <c r="I243" s="14">
        <v>24171.527000000002</v>
      </c>
      <c r="J243" s="8" t="s">
        <v>138</v>
      </c>
      <c r="K243" s="302" t="s">
        <v>509</v>
      </c>
    </row>
    <row r="244" spans="1:11" x14ac:dyDescent="0.2">
      <c r="A244" s="10">
        <v>60216000</v>
      </c>
      <c r="B244" s="10" t="s">
        <v>371</v>
      </c>
      <c r="C244" s="11">
        <v>191778.03271199999</v>
      </c>
      <c r="D244" s="11">
        <v>0</v>
      </c>
      <c r="E244" s="11">
        <v>0</v>
      </c>
      <c r="F244" s="13">
        <v>0</v>
      </c>
      <c r="G244" s="13">
        <v>0</v>
      </c>
      <c r="H244" s="14">
        <v>0</v>
      </c>
      <c r="I244" s="14">
        <v>191778.03271199999</v>
      </c>
      <c r="J244" s="8" t="s">
        <v>138</v>
      </c>
      <c r="K244" s="302" t="s">
        <v>509</v>
      </c>
    </row>
    <row r="245" spans="1:11" x14ac:dyDescent="0.2">
      <c r="A245" s="10">
        <v>60260200</v>
      </c>
      <c r="B245" s="10" t="s">
        <v>372</v>
      </c>
      <c r="C245" s="11">
        <v>186421.88199999998</v>
      </c>
      <c r="D245" s="11">
        <v>2256.0129999999999</v>
      </c>
      <c r="E245" s="11">
        <v>0</v>
      </c>
      <c r="F245" s="13">
        <v>0</v>
      </c>
      <c r="G245" s="13">
        <v>0</v>
      </c>
      <c r="H245" s="14">
        <v>2256.0129999999999</v>
      </c>
      <c r="I245" s="14">
        <v>188677.89499999999</v>
      </c>
      <c r="J245" s="8" t="s">
        <v>138</v>
      </c>
      <c r="K245" s="302" t="s">
        <v>509</v>
      </c>
    </row>
    <row r="246" spans="1:11" x14ac:dyDescent="0.2">
      <c r="A246" s="10">
        <v>60260300</v>
      </c>
      <c r="B246" s="10" t="s">
        <v>160</v>
      </c>
      <c r="C246" s="11">
        <v>1074.1620000000112</v>
      </c>
      <c r="D246" s="11">
        <v>0</v>
      </c>
      <c r="E246" s="11">
        <v>0</v>
      </c>
      <c r="F246" s="13">
        <v>0</v>
      </c>
      <c r="G246" s="13">
        <v>0</v>
      </c>
      <c r="H246" s="14">
        <v>0</v>
      </c>
      <c r="I246" s="14">
        <v>1074.1620000000112</v>
      </c>
      <c r="J246" s="8" t="s">
        <v>138</v>
      </c>
      <c r="K246" s="302" t="s">
        <v>509</v>
      </c>
    </row>
    <row r="247" spans="1:11" x14ac:dyDescent="0.2">
      <c r="A247" s="10">
        <v>60260400</v>
      </c>
      <c r="B247" s="10" t="s">
        <v>161</v>
      </c>
      <c r="C247" s="11">
        <v>30951.48</v>
      </c>
      <c r="D247" s="11">
        <v>10013.366</v>
      </c>
      <c r="E247" s="11">
        <v>0</v>
      </c>
      <c r="F247" s="13">
        <v>0</v>
      </c>
      <c r="G247" s="13">
        <v>0</v>
      </c>
      <c r="H247" s="14">
        <v>10013.366</v>
      </c>
      <c r="I247" s="14">
        <v>40964.845999999998</v>
      </c>
      <c r="J247" s="8" t="s">
        <v>138</v>
      </c>
      <c r="K247" s="302" t="s">
        <v>509</v>
      </c>
    </row>
    <row r="248" spans="1:11" x14ac:dyDescent="0.2">
      <c r="A248" s="10">
        <v>60260500</v>
      </c>
      <c r="B248" s="10" t="s">
        <v>162</v>
      </c>
      <c r="C248" s="11">
        <v>4732.5</v>
      </c>
      <c r="D248" s="11">
        <v>0</v>
      </c>
      <c r="E248" s="11">
        <v>0</v>
      </c>
      <c r="F248" s="13">
        <v>0</v>
      </c>
      <c r="G248" s="13">
        <v>0</v>
      </c>
      <c r="H248" s="14">
        <v>0</v>
      </c>
      <c r="I248" s="14">
        <v>4732.5</v>
      </c>
      <c r="J248" s="8" t="s">
        <v>138</v>
      </c>
      <c r="K248" s="302" t="s">
        <v>509</v>
      </c>
    </row>
    <row r="249" spans="1:11" x14ac:dyDescent="0.2">
      <c r="A249" s="10">
        <v>60260700</v>
      </c>
      <c r="B249" s="10" t="s">
        <v>163</v>
      </c>
      <c r="C249" s="11">
        <v>23109</v>
      </c>
      <c r="D249" s="11">
        <v>10221.200000000001</v>
      </c>
      <c r="E249" s="11">
        <v>0</v>
      </c>
      <c r="F249" s="13">
        <v>4125</v>
      </c>
      <c r="G249" s="13">
        <v>4125</v>
      </c>
      <c r="H249" s="14">
        <v>10221.200000000001</v>
      </c>
      <c r="I249" s="14">
        <v>33330.199999999997</v>
      </c>
      <c r="J249" s="8" t="s">
        <v>138</v>
      </c>
      <c r="K249" s="302" t="s">
        <v>509</v>
      </c>
    </row>
    <row r="250" spans="1:11" x14ac:dyDescent="0.2">
      <c r="A250" s="10">
        <v>60262000</v>
      </c>
      <c r="B250" s="10" t="s">
        <v>164</v>
      </c>
      <c r="C250" s="11">
        <v>47260.278999999995</v>
      </c>
      <c r="D250" s="11">
        <v>15636.4238</v>
      </c>
      <c r="E250" s="11">
        <v>0</v>
      </c>
      <c r="F250" s="13">
        <v>2805</v>
      </c>
      <c r="G250" s="13">
        <v>0</v>
      </c>
      <c r="H250" s="14">
        <v>18441.4238</v>
      </c>
      <c r="I250" s="14">
        <v>65701.702799999999</v>
      </c>
      <c r="J250" s="8" t="s">
        <v>138</v>
      </c>
      <c r="K250" s="302" t="s">
        <v>509</v>
      </c>
    </row>
    <row r="251" spans="1:11" x14ac:dyDescent="0.2">
      <c r="A251" s="10">
        <v>60263000</v>
      </c>
      <c r="B251" s="10" t="s">
        <v>165</v>
      </c>
      <c r="C251" s="11">
        <v>11084.375</v>
      </c>
      <c r="D251" s="11">
        <v>11462.376</v>
      </c>
      <c r="E251" s="11">
        <v>0</v>
      </c>
      <c r="F251" s="13">
        <v>0</v>
      </c>
      <c r="G251" s="13">
        <v>526.06299999999999</v>
      </c>
      <c r="H251" s="14">
        <v>10936.313</v>
      </c>
      <c r="I251" s="14">
        <v>22020.688000000002</v>
      </c>
      <c r="J251" s="8" t="s">
        <v>138</v>
      </c>
      <c r="K251" s="302" t="s">
        <v>509</v>
      </c>
    </row>
    <row r="252" spans="1:11" x14ac:dyDescent="0.2">
      <c r="A252" s="10">
        <v>60310000</v>
      </c>
      <c r="B252" s="10" t="s">
        <v>265</v>
      </c>
      <c r="C252" s="11">
        <v>-408943.652999999</v>
      </c>
      <c r="D252" s="11">
        <v>0</v>
      </c>
      <c r="E252" s="11">
        <v>0</v>
      </c>
      <c r="F252" s="13">
        <v>10534048.323999999</v>
      </c>
      <c r="G252" s="13">
        <v>10199370.071</v>
      </c>
      <c r="H252" s="14">
        <v>334678.25299999863</v>
      </c>
      <c r="I252" s="14">
        <v>-74265.400000000373</v>
      </c>
      <c r="J252" s="8" t="s">
        <v>138</v>
      </c>
      <c r="K252" s="302" t="s">
        <v>509</v>
      </c>
    </row>
    <row r="253" spans="1:11" x14ac:dyDescent="0.2">
      <c r="A253" s="10">
        <v>60330000</v>
      </c>
      <c r="B253" s="10" t="s">
        <v>266</v>
      </c>
      <c r="C253" s="11">
        <v>-73529.165000000037</v>
      </c>
      <c r="D253" s="11">
        <v>0</v>
      </c>
      <c r="E253" s="11">
        <v>0</v>
      </c>
      <c r="F253" s="13">
        <v>657159.81599999999</v>
      </c>
      <c r="G253" s="13">
        <v>663413.20799999998</v>
      </c>
      <c r="H253" s="14">
        <v>-6253.3919999999925</v>
      </c>
      <c r="I253" s="14">
        <v>-79782.55700000003</v>
      </c>
      <c r="J253" s="8" t="s">
        <v>157</v>
      </c>
      <c r="K253" s="302" t="s">
        <v>512</v>
      </c>
    </row>
    <row r="254" spans="1:11" x14ac:dyDescent="0.2">
      <c r="A254" s="10">
        <v>60502000</v>
      </c>
      <c r="B254" s="10" t="s">
        <v>167</v>
      </c>
      <c r="C254" s="11">
        <v>129773.754915</v>
      </c>
      <c r="D254" s="11">
        <v>59083.023999999998</v>
      </c>
      <c r="E254" s="11">
        <v>18096.673000000003</v>
      </c>
      <c r="F254" s="13">
        <v>9947.8439999999991</v>
      </c>
      <c r="G254" s="13">
        <v>42468.546000000002</v>
      </c>
      <c r="H254" s="14">
        <v>8465.6489999999976</v>
      </c>
      <c r="I254" s="14">
        <v>138239.403915</v>
      </c>
      <c r="J254" s="8" t="s">
        <v>157</v>
      </c>
      <c r="K254" s="302" t="s">
        <v>512</v>
      </c>
    </row>
    <row r="255" spans="1:11" x14ac:dyDescent="0.2">
      <c r="A255" s="10">
        <v>60504000</v>
      </c>
      <c r="B255" s="10" t="s">
        <v>168</v>
      </c>
      <c r="C255" s="11">
        <v>0</v>
      </c>
      <c r="D255" s="11">
        <v>400</v>
      </c>
      <c r="E255" s="11">
        <v>0</v>
      </c>
      <c r="F255" s="13">
        <v>0</v>
      </c>
      <c r="G255" s="13">
        <v>0</v>
      </c>
      <c r="H255" s="14">
        <v>400</v>
      </c>
      <c r="I255" s="14">
        <v>400</v>
      </c>
      <c r="J255" s="8" t="s">
        <v>157</v>
      </c>
      <c r="K255" s="302" t="s">
        <v>512</v>
      </c>
    </row>
    <row r="256" spans="1:11" x14ac:dyDescent="0.2">
      <c r="A256" s="10">
        <v>60614000</v>
      </c>
      <c r="B256" s="10" t="s">
        <v>171</v>
      </c>
      <c r="C256" s="11">
        <v>36716.190999999999</v>
      </c>
      <c r="D256" s="11">
        <v>17380.454999999998</v>
      </c>
      <c r="E256" s="11">
        <v>0</v>
      </c>
      <c r="F256" s="13">
        <v>0</v>
      </c>
      <c r="G256" s="13">
        <v>0</v>
      </c>
      <c r="H256" s="14">
        <v>17380.454999999998</v>
      </c>
      <c r="I256" s="14">
        <v>54096.645999999993</v>
      </c>
      <c r="J256" s="8" t="s">
        <v>157</v>
      </c>
      <c r="K256" s="302" t="s">
        <v>512</v>
      </c>
    </row>
    <row r="257" spans="1:11" x14ac:dyDescent="0.2">
      <c r="A257" s="10">
        <v>60620000</v>
      </c>
      <c r="B257" s="10" t="s">
        <v>172</v>
      </c>
      <c r="C257" s="11">
        <v>4278.2439999999997</v>
      </c>
      <c r="D257" s="11">
        <v>1881.45</v>
      </c>
      <c r="E257" s="11">
        <v>0</v>
      </c>
      <c r="F257" s="13">
        <v>202</v>
      </c>
      <c r="G257" s="13">
        <v>0</v>
      </c>
      <c r="H257" s="14">
        <v>2083.4499999999998</v>
      </c>
      <c r="I257" s="14">
        <v>6361.6939999999995</v>
      </c>
      <c r="J257" s="8" t="s">
        <v>157</v>
      </c>
      <c r="K257" s="302" t="s">
        <v>512</v>
      </c>
    </row>
    <row r="258" spans="1:11" x14ac:dyDescent="0.2">
      <c r="A258" s="10">
        <v>60650000</v>
      </c>
      <c r="B258" s="10" t="s">
        <v>373</v>
      </c>
      <c r="C258" s="12">
        <v>2550</v>
      </c>
      <c r="D258" s="11">
        <v>1380</v>
      </c>
      <c r="E258" s="11">
        <v>0</v>
      </c>
      <c r="F258" s="13">
        <v>0</v>
      </c>
      <c r="G258" s="13">
        <v>1380</v>
      </c>
      <c r="H258" s="14">
        <v>0</v>
      </c>
      <c r="I258" s="14">
        <v>2550</v>
      </c>
      <c r="J258" s="8" t="s">
        <v>138</v>
      </c>
      <c r="K258" s="302" t="s">
        <v>509</v>
      </c>
    </row>
    <row r="259" spans="1:11" x14ac:dyDescent="0.2">
      <c r="A259" s="10">
        <v>60660000</v>
      </c>
      <c r="B259" s="10" t="s">
        <v>173</v>
      </c>
      <c r="C259" s="11">
        <v>2156.404</v>
      </c>
      <c r="D259" s="11">
        <v>715.21800000000007</v>
      </c>
      <c r="E259" s="11">
        <v>0</v>
      </c>
      <c r="F259" s="13">
        <v>0</v>
      </c>
      <c r="G259" s="13">
        <v>0</v>
      </c>
      <c r="H259" s="14">
        <v>715.21800000000007</v>
      </c>
      <c r="I259" s="14">
        <v>2871.6220000000003</v>
      </c>
      <c r="J259" s="8" t="s">
        <v>157</v>
      </c>
      <c r="K259" s="302" t="s">
        <v>512</v>
      </c>
    </row>
    <row r="260" spans="1:11" x14ac:dyDescent="0.2">
      <c r="A260" s="10">
        <v>60670000</v>
      </c>
      <c r="B260" s="10" t="s">
        <v>174</v>
      </c>
      <c r="C260" s="11">
        <v>3012.7</v>
      </c>
      <c r="D260" s="11">
        <v>1246.55</v>
      </c>
      <c r="E260" s="11">
        <v>0</v>
      </c>
      <c r="F260" s="13">
        <v>0</v>
      </c>
      <c r="G260" s="13">
        <v>0</v>
      </c>
      <c r="H260" s="14">
        <v>1246.55</v>
      </c>
      <c r="I260" s="14">
        <v>4259.25</v>
      </c>
      <c r="J260" s="8" t="s">
        <v>157</v>
      </c>
      <c r="K260" s="302" t="s">
        <v>512</v>
      </c>
    </row>
    <row r="261" spans="1:11" x14ac:dyDescent="0.2">
      <c r="A261" s="10">
        <v>60671000</v>
      </c>
      <c r="B261" s="10" t="s">
        <v>374</v>
      </c>
      <c r="C261" s="11">
        <v>15772.405999999999</v>
      </c>
      <c r="D261" s="11">
        <v>34257</v>
      </c>
      <c r="E261" s="11">
        <v>0</v>
      </c>
      <c r="F261" s="13">
        <v>0</v>
      </c>
      <c r="G261" s="13">
        <v>0</v>
      </c>
      <c r="H261" s="14">
        <v>34257</v>
      </c>
      <c r="I261" s="14">
        <v>50029.406000000003</v>
      </c>
      <c r="J261" s="8" t="s">
        <v>157</v>
      </c>
      <c r="K261" s="302" t="s">
        <v>512</v>
      </c>
    </row>
    <row r="262" spans="1:11" x14ac:dyDescent="0.2">
      <c r="A262" s="10">
        <v>60672000</v>
      </c>
      <c r="B262" s="10" t="s">
        <v>7569</v>
      </c>
      <c r="C262" s="11">
        <v>0</v>
      </c>
      <c r="D262" s="11">
        <v>109.5</v>
      </c>
      <c r="E262" s="11">
        <v>0</v>
      </c>
      <c r="F262" s="13">
        <v>0</v>
      </c>
      <c r="G262" s="13">
        <v>0</v>
      </c>
      <c r="H262" s="14">
        <v>109.5</v>
      </c>
      <c r="I262" s="14">
        <v>109.5</v>
      </c>
      <c r="J262" s="8" t="s">
        <v>157</v>
      </c>
      <c r="K262" s="302" t="s">
        <v>512</v>
      </c>
    </row>
    <row r="263" spans="1:11" x14ac:dyDescent="0.2">
      <c r="A263" s="10">
        <v>61400000</v>
      </c>
      <c r="B263" s="10" t="s">
        <v>175</v>
      </c>
      <c r="C263" s="11">
        <v>9468.3319999999985</v>
      </c>
      <c r="D263" s="11">
        <v>4316.6659999999993</v>
      </c>
      <c r="E263" s="11">
        <v>0</v>
      </c>
      <c r="F263" s="13">
        <v>0</v>
      </c>
      <c r="G263" s="13">
        <v>0</v>
      </c>
      <c r="H263" s="14">
        <v>4316.6659999999993</v>
      </c>
      <c r="I263" s="14">
        <v>13784.997999999998</v>
      </c>
      <c r="J263" s="8" t="s">
        <v>157</v>
      </c>
      <c r="K263" s="302" t="s">
        <v>512</v>
      </c>
    </row>
    <row r="264" spans="1:11" x14ac:dyDescent="0.2">
      <c r="A264" s="10">
        <v>61500000</v>
      </c>
      <c r="B264" s="10" t="s">
        <v>176</v>
      </c>
      <c r="C264" s="11">
        <v>54428.302000000003</v>
      </c>
      <c r="D264" s="11">
        <v>47196.565000000002</v>
      </c>
      <c r="E264" s="11">
        <v>0</v>
      </c>
      <c r="F264" s="13">
        <v>1400</v>
      </c>
      <c r="G264" s="13">
        <v>15315.892</v>
      </c>
      <c r="H264" s="14">
        <v>33280.673000000003</v>
      </c>
      <c r="I264" s="14">
        <v>87708.975000000006</v>
      </c>
      <c r="J264" s="8" t="s">
        <v>157</v>
      </c>
      <c r="K264" s="302" t="s">
        <v>512</v>
      </c>
    </row>
    <row r="265" spans="1:11" x14ac:dyDescent="0.2">
      <c r="A265" s="10">
        <v>61501000</v>
      </c>
      <c r="B265" s="10" t="s">
        <v>177</v>
      </c>
      <c r="C265" s="11">
        <v>43558.673999999992</v>
      </c>
      <c r="D265" s="11">
        <v>14283.532000000001</v>
      </c>
      <c r="E265" s="11">
        <v>0</v>
      </c>
      <c r="F265" s="13">
        <v>338</v>
      </c>
      <c r="G265" s="13">
        <v>1190</v>
      </c>
      <c r="H265" s="14">
        <v>13431.532000000001</v>
      </c>
      <c r="I265" s="14">
        <v>56990.205999999991</v>
      </c>
      <c r="J265" s="8" t="s">
        <v>157</v>
      </c>
      <c r="K265" s="302" t="s">
        <v>512</v>
      </c>
    </row>
    <row r="266" spans="1:11" x14ac:dyDescent="0.2">
      <c r="A266" s="10">
        <v>61600000</v>
      </c>
      <c r="B266" s="10" t="s">
        <v>397</v>
      </c>
      <c r="C266" s="11">
        <v>0</v>
      </c>
      <c r="D266" s="11">
        <v>7723</v>
      </c>
      <c r="E266" s="11">
        <v>0</v>
      </c>
      <c r="F266" s="13">
        <v>0</v>
      </c>
      <c r="G266" s="13">
        <v>0</v>
      </c>
      <c r="H266" s="14">
        <v>7723</v>
      </c>
      <c r="I266" s="14">
        <v>7723</v>
      </c>
      <c r="J266" s="8" t="s">
        <v>157</v>
      </c>
      <c r="K266" s="302" t="s">
        <v>512</v>
      </c>
    </row>
    <row r="267" spans="1:11" x14ac:dyDescent="0.2">
      <c r="A267" s="10">
        <v>61603000</v>
      </c>
      <c r="B267" s="10" t="s">
        <v>178</v>
      </c>
      <c r="C267" s="11">
        <v>4901.5860000000002</v>
      </c>
      <c r="D267" s="11">
        <v>0</v>
      </c>
      <c r="E267" s="11">
        <v>0</v>
      </c>
      <c r="F267" s="13">
        <v>2450.7930000000001</v>
      </c>
      <c r="G267" s="13">
        <v>0</v>
      </c>
      <c r="H267" s="14">
        <v>2450.7930000000001</v>
      </c>
      <c r="I267" s="14">
        <v>7352.3790000000008</v>
      </c>
      <c r="J267" s="8" t="s">
        <v>157</v>
      </c>
      <c r="K267" s="302" t="s">
        <v>512</v>
      </c>
    </row>
    <row r="268" spans="1:11" x14ac:dyDescent="0.2">
      <c r="A268" s="10">
        <v>61607000</v>
      </c>
      <c r="B268" s="10" t="s">
        <v>179</v>
      </c>
      <c r="C268" s="11">
        <v>2455.2000000000003</v>
      </c>
      <c r="D268" s="11">
        <v>0</v>
      </c>
      <c r="E268" s="11">
        <v>0</v>
      </c>
      <c r="F268" s="13">
        <v>1227.5999999999999</v>
      </c>
      <c r="G268" s="13">
        <v>0</v>
      </c>
      <c r="H268" s="14">
        <v>1227.5999999999999</v>
      </c>
      <c r="I268" s="14">
        <v>3682.8</v>
      </c>
      <c r="J268" s="8" t="s">
        <v>157</v>
      </c>
      <c r="K268" s="302" t="s">
        <v>512</v>
      </c>
    </row>
    <row r="269" spans="1:11" x14ac:dyDescent="0.2">
      <c r="A269" s="10">
        <v>62120000</v>
      </c>
      <c r="B269" s="10" t="s">
        <v>180</v>
      </c>
      <c r="C269" s="11">
        <v>8339.9</v>
      </c>
      <c r="D269" s="11">
        <v>6763.4600000000009</v>
      </c>
      <c r="E269" s="11">
        <v>0</v>
      </c>
      <c r="F269" s="13">
        <v>0</v>
      </c>
      <c r="G269" s="13">
        <v>0</v>
      </c>
      <c r="H269" s="14">
        <v>6763.4600000000009</v>
      </c>
      <c r="I269" s="14">
        <v>15103.36</v>
      </c>
      <c r="J269" s="8" t="s">
        <v>157</v>
      </c>
      <c r="K269" s="302" t="s">
        <v>512</v>
      </c>
    </row>
    <row r="270" spans="1:11" x14ac:dyDescent="0.2">
      <c r="A270" s="10">
        <v>62200000</v>
      </c>
      <c r="B270" s="10" t="s">
        <v>181</v>
      </c>
      <c r="C270" s="11">
        <v>1733.3330000000001</v>
      </c>
      <c r="D270" s="11">
        <v>0</v>
      </c>
      <c r="E270" s="11">
        <v>0</v>
      </c>
      <c r="F270" s="13">
        <v>1733.3340000000001</v>
      </c>
      <c r="G270" s="13">
        <v>0</v>
      </c>
      <c r="H270" s="14">
        <v>1733.3340000000001</v>
      </c>
      <c r="I270" s="14">
        <v>3466.6670000000004</v>
      </c>
      <c r="J270" s="8" t="s">
        <v>157</v>
      </c>
      <c r="K270" s="302" t="s">
        <v>512</v>
      </c>
    </row>
    <row r="271" spans="1:11" x14ac:dyDescent="0.2">
      <c r="A271" s="10">
        <v>62210000</v>
      </c>
      <c r="B271" s="10" t="s">
        <v>398</v>
      </c>
      <c r="C271" s="11">
        <v>425</v>
      </c>
      <c r="D271" s="11">
        <v>0</v>
      </c>
      <c r="E271" s="11">
        <v>0</v>
      </c>
      <c r="F271" s="13">
        <v>0</v>
      </c>
      <c r="G271" s="13">
        <v>0</v>
      </c>
      <c r="H271" s="14">
        <v>0</v>
      </c>
      <c r="I271" s="14">
        <v>425</v>
      </c>
      <c r="J271" s="8" t="s">
        <v>157</v>
      </c>
      <c r="K271" s="302" t="s">
        <v>512</v>
      </c>
    </row>
    <row r="272" spans="1:11" x14ac:dyDescent="0.2">
      <c r="A272" s="10">
        <v>62230000</v>
      </c>
      <c r="B272" s="10" t="s">
        <v>375</v>
      </c>
      <c r="C272" s="11">
        <v>4104.2020000000002</v>
      </c>
      <c r="D272" s="11">
        <v>2403.1</v>
      </c>
      <c r="E272" s="11">
        <v>0</v>
      </c>
      <c r="F272" s="13">
        <v>0</v>
      </c>
      <c r="G272" s="13">
        <v>0</v>
      </c>
      <c r="H272" s="14">
        <v>2403.1</v>
      </c>
      <c r="I272" s="14">
        <v>6507.3019999999997</v>
      </c>
      <c r="J272" s="8" t="s">
        <v>157</v>
      </c>
      <c r="K272" s="302" t="s">
        <v>512</v>
      </c>
    </row>
    <row r="273" spans="1:11" x14ac:dyDescent="0.2">
      <c r="A273" s="10">
        <v>62240000</v>
      </c>
      <c r="B273" s="10" t="s">
        <v>267</v>
      </c>
      <c r="C273" s="11">
        <v>5565.0479999999998</v>
      </c>
      <c r="D273" s="11">
        <v>0</v>
      </c>
      <c r="E273" s="11">
        <v>0</v>
      </c>
      <c r="F273" s="13">
        <v>2782.5239999999999</v>
      </c>
      <c r="G273" s="13">
        <v>0</v>
      </c>
      <c r="H273" s="14">
        <v>2782.5239999999999</v>
      </c>
      <c r="I273" s="14">
        <v>8347.5720000000001</v>
      </c>
      <c r="J273" s="8" t="s">
        <v>157</v>
      </c>
      <c r="K273" s="302" t="s">
        <v>512</v>
      </c>
    </row>
    <row r="274" spans="1:11" x14ac:dyDescent="0.2">
      <c r="A274" s="10">
        <v>62250000</v>
      </c>
      <c r="B274" s="10" t="s">
        <v>268</v>
      </c>
      <c r="C274" s="11">
        <v>10000</v>
      </c>
      <c r="D274" s="11">
        <v>0</v>
      </c>
      <c r="E274" s="11">
        <v>0</v>
      </c>
      <c r="F274" s="13">
        <v>5000</v>
      </c>
      <c r="G274" s="13">
        <v>0</v>
      </c>
      <c r="H274" s="14">
        <v>5000</v>
      </c>
      <c r="I274" s="14">
        <v>15000</v>
      </c>
      <c r="J274" s="8" t="s">
        <v>157</v>
      </c>
      <c r="K274" s="302" t="s">
        <v>512</v>
      </c>
    </row>
    <row r="275" spans="1:11" x14ac:dyDescent="0.2">
      <c r="A275" s="10">
        <v>62260000</v>
      </c>
      <c r="B275" s="10" t="s">
        <v>7402</v>
      </c>
      <c r="C275" s="11">
        <v>0</v>
      </c>
      <c r="D275" s="11">
        <v>1269.8</v>
      </c>
      <c r="E275" s="11">
        <v>0</v>
      </c>
      <c r="F275" s="13">
        <v>0</v>
      </c>
      <c r="G275" s="13">
        <v>0</v>
      </c>
      <c r="H275" s="14">
        <v>1269.8</v>
      </c>
      <c r="I275" s="14">
        <v>1269.8</v>
      </c>
      <c r="J275" s="8" t="s">
        <v>157</v>
      </c>
      <c r="K275" s="302" t="s">
        <v>512</v>
      </c>
    </row>
    <row r="276" spans="1:11" x14ac:dyDescent="0.2">
      <c r="A276" s="10">
        <v>62270000</v>
      </c>
      <c r="B276" s="10" t="s">
        <v>399</v>
      </c>
      <c r="C276" s="11">
        <v>0</v>
      </c>
      <c r="D276" s="11">
        <v>120.93499999999999</v>
      </c>
      <c r="E276" s="11">
        <v>0</v>
      </c>
      <c r="F276" s="13">
        <v>0</v>
      </c>
      <c r="G276" s="13">
        <v>0</v>
      </c>
      <c r="H276" s="14">
        <v>120.93499999999999</v>
      </c>
      <c r="I276" s="14">
        <v>120.93499999999999</v>
      </c>
      <c r="J276" s="8" t="s">
        <v>157</v>
      </c>
      <c r="K276" s="302" t="s">
        <v>512</v>
      </c>
    </row>
    <row r="277" spans="1:11" x14ac:dyDescent="0.2">
      <c r="A277" s="10">
        <v>62300000</v>
      </c>
      <c r="B277" s="10" t="s">
        <v>182</v>
      </c>
      <c r="C277" s="11">
        <v>15000</v>
      </c>
      <c r="D277" s="11">
        <v>0</v>
      </c>
      <c r="E277" s="11">
        <v>0</v>
      </c>
      <c r="F277" s="13">
        <v>7500</v>
      </c>
      <c r="G277" s="13">
        <v>0</v>
      </c>
      <c r="H277" s="14">
        <v>7500</v>
      </c>
      <c r="I277" s="14">
        <v>22500</v>
      </c>
      <c r="J277" s="8" t="s">
        <v>157</v>
      </c>
      <c r="K277" s="302" t="s">
        <v>512</v>
      </c>
    </row>
    <row r="278" spans="1:11" x14ac:dyDescent="0.2">
      <c r="A278" s="10">
        <v>62301000</v>
      </c>
      <c r="B278" s="10" t="s">
        <v>7397</v>
      </c>
      <c r="C278" s="11">
        <v>68</v>
      </c>
      <c r="D278" s="11">
        <v>15221.689999999999</v>
      </c>
      <c r="E278" s="11">
        <v>800</v>
      </c>
      <c r="F278" s="13">
        <v>0</v>
      </c>
      <c r="G278" s="13">
        <v>0</v>
      </c>
      <c r="H278" s="14">
        <v>14421.689999999999</v>
      </c>
      <c r="I278" s="14">
        <v>14489.689999999999</v>
      </c>
      <c r="J278" s="8" t="s">
        <v>157</v>
      </c>
      <c r="K278" s="302" t="s">
        <v>512</v>
      </c>
    </row>
    <row r="279" spans="1:11" x14ac:dyDescent="0.2">
      <c r="A279" s="10">
        <v>62410000</v>
      </c>
      <c r="B279" s="10" t="s">
        <v>183</v>
      </c>
      <c r="C279" s="11">
        <v>830</v>
      </c>
      <c r="D279" s="11">
        <v>1400</v>
      </c>
      <c r="E279" s="11">
        <v>0</v>
      </c>
      <c r="F279" s="13">
        <v>0</v>
      </c>
      <c r="G279" s="13">
        <v>0</v>
      </c>
      <c r="H279" s="14">
        <v>1400</v>
      </c>
      <c r="I279" s="14">
        <v>2230</v>
      </c>
      <c r="J279" s="8" t="s">
        <v>157</v>
      </c>
      <c r="K279" s="302" t="s">
        <v>512</v>
      </c>
    </row>
    <row r="280" spans="1:11" x14ac:dyDescent="0.2">
      <c r="A280" s="10">
        <v>62430000</v>
      </c>
      <c r="B280" s="10" t="s">
        <v>159</v>
      </c>
      <c r="C280" s="11">
        <v>145429.52100000001</v>
      </c>
      <c r="D280" s="11">
        <v>93196.956999999995</v>
      </c>
      <c r="E280" s="11">
        <v>0</v>
      </c>
      <c r="F280" s="13">
        <v>0</v>
      </c>
      <c r="G280" s="13">
        <v>0</v>
      </c>
      <c r="H280" s="14">
        <v>93196.956999999995</v>
      </c>
      <c r="I280" s="14">
        <v>238626.478</v>
      </c>
      <c r="J280" s="8" t="s">
        <v>157</v>
      </c>
      <c r="K280" s="302" t="s">
        <v>512</v>
      </c>
    </row>
    <row r="281" spans="1:11" x14ac:dyDescent="0.2">
      <c r="A281" s="10">
        <v>62500000</v>
      </c>
      <c r="B281" s="10" t="s">
        <v>185</v>
      </c>
      <c r="C281" s="11">
        <v>69.5</v>
      </c>
      <c r="D281" s="11">
        <v>408.4</v>
      </c>
      <c r="E281" s="11">
        <v>0</v>
      </c>
      <c r="F281" s="13">
        <v>0</v>
      </c>
      <c r="G281" s="13">
        <v>0</v>
      </c>
      <c r="H281" s="14">
        <v>408.4</v>
      </c>
      <c r="I281" s="14">
        <v>477.9</v>
      </c>
      <c r="J281" s="8" t="s">
        <v>157</v>
      </c>
      <c r="K281" s="302" t="s">
        <v>512</v>
      </c>
    </row>
    <row r="282" spans="1:11" x14ac:dyDescent="0.2">
      <c r="A282" s="10">
        <v>62520000</v>
      </c>
      <c r="B282" s="10" t="s">
        <v>7403</v>
      </c>
      <c r="C282" s="11">
        <v>0</v>
      </c>
      <c r="D282" s="11">
        <v>1650</v>
      </c>
      <c r="E282" s="11">
        <v>0</v>
      </c>
      <c r="F282" s="13">
        <v>0</v>
      </c>
      <c r="G282" s="13">
        <v>0</v>
      </c>
      <c r="H282" s="14">
        <v>1650</v>
      </c>
      <c r="I282" s="14">
        <v>1650</v>
      </c>
      <c r="J282" s="8" t="s">
        <v>157</v>
      </c>
      <c r="K282" s="302" t="s">
        <v>512</v>
      </c>
    </row>
    <row r="283" spans="1:11" x14ac:dyDescent="0.2">
      <c r="A283" s="10">
        <v>62570000</v>
      </c>
      <c r="B283" s="10" t="s">
        <v>186</v>
      </c>
      <c r="C283" s="11">
        <v>0</v>
      </c>
      <c r="D283" s="11">
        <v>8084.9</v>
      </c>
      <c r="E283" s="11">
        <v>0</v>
      </c>
      <c r="F283" s="13">
        <v>0</v>
      </c>
      <c r="G283" s="13">
        <v>0</v>
      </c>
      <c r="H283" s="14">
        <v>8084.9</v>
      </c>
      <c r="I283" s="14">
        <v>8084.9</v>
      </c>
      <c r="J283" s="8" t="s">
        <v>157</v>
      </c>
      <c r="K283" s="302" t="s">
        <v>512</v>
      </c>
    </row>
    <row r="284" spans="1:11" x14ac:dyDescent="0.2">
      <c r="A284" s="10">
        <v>62571000</v>
      </c>
      <c r="B284" s="10" t="s">
        <v>376</v>
      </c>
      <c r="C284" s="11">
        <v>1970.3530000000001</v>
      </c>
      <c r="D284" s="11">
        <v>2464.5099999999998</v>
      </c>
      <c r="E284" s="11">
        <v>0</v>
      </c>
      <c r="F284" s="13">
        <v>0</v>
      </c>
      <c r="G284" s="13">
        <v>0</v>
      </c>
      <c r="H284" s="14">
        <v>2464.5099999999998</v>
      </c>
      <c r="I284" s="14">
        <v>4434.8629999999994</v>
      </c>
      <c r="J284" s="8" t="s">
        <v>157</v>
      </c>
      <c r="K284" s="302" t="s">
        <v>512</v>
      </c>
    </row>
    <row r="285" spans="1:11" x14ac:dyDescent="0.2">
      <c r="A285" s="10">
        <v>62572000</v>
      </c>
      <c r="B285" s="10" t="s">
        <v>377</v>
      </c>
      <c r="C285" s="11">
        <v>723.2</v>
      </c>
      <c r="D285" s="11">
        <v>0</v>
      </c>
      <c r="E285" s="11">
        <v>0</v>
      </c>
      <c r="F285" s="13">
        <v>0</v>
      </c>
      <c r="G285" s="13">
        <v>0</v>
      </c>
      <c r="H285" s="14">
        <v>0</v>
      </c>
      <c r="I285" s="14">
        <v>723.2</v>
      </c>
      <c r="J285" s="8" t="s">
        <v>157</v>
      </c>
      <c r="K285" s="302" t="s">
        <v>512</v>
      </c>
    </row>
    <row r="286" spans="1:11" x14ac:dyDescent="0.2">
      <c r="A286" s="10">
        <v>62573000</v>
      </c>
      <c r="B286" s="10" t="s">
        <v>378</v>
      </c>
      <c r="C286" s="11">
        <v>2557.2159999999999</v>
      </c>
      <c r="D286" s="11">
        <v>0</v>
      </c>
      <c r="E286" s="11">
        <v>0</v>
      </c>
      <c r="F286" s="13">
        <v>0</v>
      </c>
      <c r="G286" s="13">
        <v>0</v>
      </c>
      <c r="H286" s="14">
        <v>0</v>
      </c>
      <c r="I286" s="14">
        <v>2557.2159999999999</v>
      </c>
      <c r="J286" s="8" t="s">
        <v>157</v>
      </c>
      <c r="K286" s="302" t="s">
        <v>512</v>
      </c>
    </row>
    <row r="287" spans="1:11" x14ac:dyDescent="0.2">
      <c r="A287" s="10">
        <v>62580000</v>
      </c>
      <c r="B287" s="10" t="s">
        <v>187</v>
      </c>
      <c r="C287" s="11">
        <v>1027.75</v>
      </c>
      <c r="D287" s="11">
        <v>1.5</v>
      </c>
      <c r="E287" s="11">
        <v>0</v>
      </c>
      <c r="F287" s="13">
        <v>0</v>
      </c>
      <c r="G287" s="13">
        <v>0</v>
      </c>
      <c r="H287" s="14">
        <v>1.5</v>
      </c>
      <c r="I287" s="14">
        <v>1029.25</v>
      </c>
      <c r="J287" s="8" t="s">
        <v>157</v>
      </c>
      <c r="K287" s="302" t="s">
        <v>512</v>
      </c>
    </row>
    <row r="288" spans="1:11" x14ac:dyDescent="0.2">
      <c r="A288" s="10">
        <v>62600000</v>
      </c>
      <c r="B288" s="10" t="s">
        <v>188</v>
      </c>
      <c r="C288" s="11">
        <v>9167.5939999999991</v>
      </c>
      <c r="D288" s="11">
        <v>1247.2950000000001</v>
      </c>
      <c r="E288" s="11">
        <v>0</v>
      </c>
      <c r="F288" s="13">
        <v>0</v>
      </c>
      <c r="G288" s="13">
        <v>0</v>
      </c>
      <c r="H288" s="14">
        <v>1247.2950000000001</v>
      </c>
      <c r="I288" s="14">
        <v>10414.888999999999</v>
      </c>
      <c r="J288" s="8" t="s">
        <v>157</v>
      </c>
      <c r="K288" s="302" t="s">
        <v>512</v>
      </c>
    </row>
    <row r="289" spans="1:11" x14ac:dyDescent="0.2">
      <c r="A289" s="10">
        <v>62780000</v>
      </c>
      <c r="B289" s="10" t="s">
        <v>189</v>
      </c>
      <c r="C289" s="11">
        <v>33440.394999999997</v>
      </c>
      <c r="D289" s="11">
        <v>14183.283000000001</v>
      </c>
      <c r="E289" s="11">
        <v>0</v>
      </c>
      <c r="F289" s="13">
        <v>6104.4279999999999</v>
      </c>
      <c r="G289" s="13">
        <v>0</v>
      </c>
      <c r="H289" s="14">
        <v>20287.711000000003</v>
      </c>
      <c r="I289" s="14">
        <v>53728.106</v>
      </c>
      <c r="J289" s="8" t="s">
        <v>157</v>
      </c>
      <c r="K289" s="302" t="s">
        <v>512</v>
      </c>
    </row>
    <row r="290" spans="1:11" x14ac:dyDescent="0.2">
      <c r="A290" s="10">
        <v>63300000</v>
      </c>
      <c r="B290" s="10" t="s">
        <v>269</v>
      </c>
      <c r="C290" s="11">
        <v>20833.331999999999</v>
      </c>
      <c r="D290" s="11">
        <v>0</v>
      </c>
      <c r="E290" s="11">
        <v>0</v>
      </c>
      <c r="F290" s="13">
        <v>10416.665999999999</v>
      </c>
      <c r="G290" s="13">
        <v>0</v>
      </c>
      <c r="H290" s="14">
        <v>10416.665999999999</v>
      </c>
      <c r="I290" s="14">
        <v>31249.998</v>
      </c>
      <c r="J290" s="8" t="s">
        <v>157</v>
      </c>
      <c r="K290" s="302" t="s">
        <v>512</v>
      </c>
    </row>
    <row r="291" spans="1:11" x14ac:dyDescent="0.2">
      <c r="A291" s="10">
        <v>63610000</v>
      </c>
      <c r="B291" s="10" t="s">
        <v>7398</v>
      </c>
      <c r="C291" s="11">
        <v>560</v>
      </c>
      <c r="D291" s="11">
        <v>235.78900000000004</v>
      </c>
      <c r="E291" s="11">
        <v>0</v>
      </c>
      <c r="F291" s="13">
        <v>0</v>
      </c>
      <c r="G291" s="13">
        <v>0</v>
      </c>
      <c r="H291" s="14">
        <v>235.78900000000004</v>
      </c>
      <c r="I291" s="14">
        <v>795.78899999999999</v>
      </c>
      <c r="J291" s="8" t="s">
        <v>190</v>
      </c>
      <c r="K291" s="302" t="s">
        <v>512</v>
      </c>
    </row>
    <row r="292" spans="1:11" x14ac:dyDescent="0.2">
      <c r="A292" s="10">
        <v>64001000</v>
      </c>
      <c r="B292" s="10" t="s">
        <v>191</v>
      </c>
      <c r="C292" s="11">
        <v>695680.54099999997</v>
      </c>
      <c r="D292" s="11">
        <v>358226.00299999997</v>
      </c>
      <c r="E292" s="11">
        <v>0</v>
      </c>
      <c r="F292" s="13">
        <v>25606.931</v>
      </c>
      <c r="G292" s="13">
        <v>0</v>
      </c>
      <c r="H292" s="14">
        <v>383832.93399999995</v>
      </c>
      <c r="I292" s="14">
        <v>1079513.4749999999</v>
      </c>
      <c r="J292" s="8" t="s">
        <v>192</v>
      </c>
      <c r="K292" s="302" t="s">
        <v>511</v>
      </c>
    </row>
    <row r="293" spans="1:11" x14ac:dyDescent="0.2">
      <c r="A293" s="10">
        <v>64600100</v>
      </c>
      <c r="B293" s="10" t="s">
        <v>407</v>
      </c>
      <c r="C293" s="11">
        <v>0</v>
      </c>
      <c r="D293" s="11">
        <v>230995.48500000002</v>
      </c>
      <c r="E293" s="11">
        <v>190404.04199999999</v>
      </c>
      <c r="F293" s="13">
        <v>0</v>
      </c>
      <c r="G293" s="13">
        <v>0</v>
      </c>
      <c r="H293" s="14">
        <v>40591.443000000028</v>
      </c>
      <c r="I293" s="14">
        <v>40591.443000000028</v>
      </c>
      <c r="J293" s="8" t="s">
        <v>192</v>
      </c>
      <c r="K293" s="302" t="s">
        <v>511</v>
      </c>
    </row>
    <row r="294" spans="1:11" x14ac:dyDescent="0.2">
      <c r="A294" s="10">
        <v>64720000</v>
      </c>
      <c r="B294" s="10" t="s">
        <v>194</v>
      </c>
      <c r="C294" s="11">
        <v>65089.576000000001</v>
      </c>
      <c r="D294" s="11">
        <v>95416.98000000001</v>
      </c>
      <c r="E294" s="11">
        <v>35.789000000000001</v>
      </c>
      <c r="F294" s="13">
        <v>0</v>
      </c>
      <c r="G294" s="13">
        <v>65089.576000000001</v>
      </c>
      <c r="H294" s="14">
        <v>30291.615000000005</v>
      </c>
      <c r="I294" s="14">
        <v>95381.191000000006</v>
      </c>
      <c r="J294" s="8" t="s">
        <v>192</v>
      </c>
      <c r="K294" s="302" t="s">
        <v>511</v>
      </c>
    </row>
    <row r="295" spans="1:11" x14ac:dyDescent="0.2">
      <c r="A295" s="10">
        <v>65110000</v>
      </c>
      <c r="B295" s="10" t="s">
        <v>385</v>
      </c>
      <c r="C295" s="11">
        <v>16216.419999999998</v>
      </c>
      <c r="D295" s="11">
        <v>40480</v>
      </c>
      <c r="E295" s="11">
        <v>24263.579999999998</v>
      </c>
      <c r="F295" s="13">
        <v>0</v>
      </c>
      <c r="G295" s="13">
        <v>0</v>
      </c>
      <c r="H295" s="14">
        <v>16216.420000000002</v>
      </c>
      <c r="I295" s="14">
        <v>32432.84</v>
      </c>
      <c r="J295" s="8" t="s">
        <v>195</v>
      </c>
      <c r="K295" s="302" t="s">
        <v>517</v>
      </c>
    </row>
    <row r="296" spans="1:11" x14ac:dyDescent="0.2">
      <c r="A296" s="10">
        <v>65110200</v>
      </c>
      <c r="B296" s="10" t="s">
        <v>196</v>
      </c>
      <c r="C296" s="11">
        <v>51781.482000000004</v>
      </c>
      <c r="D296" s="11">
        <v>17007.037</v>
      </c>
      <c r="E296" s="11">
        <v>0</v>
      </c>
      <c r="F296" s="13">
        <v>25890.741000000002</v>
      </c>
      <c r="G296" s="13">
        <v>0</v>
      </c>
      <c r="H296" s="14">
        <v>42897.778000000006</v>
      </c>
      <c r="I296" s="14">
        <v>94679.260000000009</v>
      </c>
      <c r="J296" s="8" t="s">
        <v>195</v>
      </c>
      <c r="K296" s="302" t="s">
        <v>517</v>
      </c>
    </row>
    <row r="297" spans="1:11" x14ac:dyDescent="0.2">
      <c r="A297" s="10">
        <v>65110400</v>
      </c>
      <c r="B297" s="10" t="s">
        <v>197</v>
      </c>
      <c r="C297" s="11">
        <v>30152.106</v>
      </c>
      <c r="D297" s="11">
        <v>26163.332999999999</v>
      </c>
      <c r="E297" s="11">
        <v>0</v>
      </c>
      <c r="F297" s="13">
        <v>15076.053</v>
      </c>
      <c r="G297" s="13">
        <v>0</v>
      </c>
      <c r="H297" s="14">
        <v>41239.385999999999</v>
      </c>
      <c r="I297" s="14">
        <v>71391.491999999998</v>
      </c>
      <c r="J297" s="8" t="s">
        <v>195</v>
      </c>
      <c r="K297" s="302" t="s">
        <v>517</v>
      </c>
    </row>
    <row r="298" spans="1:11" x14ac:dyDescent="0.2">
      <c r="A298" s="10">
        <v>65115000</v>
      </c>
      <c r="B298" s="10" t="s">
        <v>379</v>
      </c>
      <c r="C298" s="11">
        <v>4225.1189999999997</v>
      </c>
      <c r="D298" s="11">
        <v>7337.3930000000009</v>
      </c>
      <c r="E298" s="11">
        <v>0</v>
      </c>
      <c r="F298" s="13">
        <v>0</v>
      </c>
      <c r="G298" s="13">
        <v>0</v>
      </c>
      <c r="H298" s="14">
        <v>7337.3930000000009</v>
      </c>
      <c r="I298" s="14">
        <v>11562.512000000001</v>
      </c>
      <c r="J298" s="8" t="s">
        <v>195</v>
      </c>
      <c r="K298" s="302" t="s">
        <v>517</v>
      </c>
    </row>
    <row r="299" spans="1:11" x14ac:dyDescent="0.2">
      <c r="A299" s="10">
        <v>65150000</v>
      </c>
      <c r="B299" s="10" t="s">
        <v>270</v>
      </c>
      <c r="C299" s="11">
        <v>22473.424999999999</v>
      </c>
      <c r="D299" s="11">
        <v>0</v>
      </c>
      <c r="E299" s="11">
        <v>0</v>
      </c>
      <c r="F299" s="13">
        <v>14710.137000000001</v>
      </c>
      <c r="G299" s="13">
        <v>0</v>
      </c>
      <c r="H299" s="14">
        <v>14710.137000000001</v>
      </c>
      <c r="I299" s="14">
        <v>37183.561999999998</v>
      </c>
      <c r="J299" s="8" t="s">
        <v>195</v>
      </c>
      <c r="K299" s="302" t="s">
        <v>517</v>
      </c>
    </row>
    <row r="300" spans="1:11" x14ac:dyDescent="0.2">
      <c r="A300" s="10">
        <v>65190000</v>
      </c>
      <c r="B300" s="10" t="s">
        <v>198</v>
      </c>
      <c r="C300" s="11">
        <v>60077.523999999998</v>
      </c>
      <c r="D300" s="11">
        <v>0</v>
      </c>
      <c r="E300" s="11">
        <v>0</v>
      </c>
      <c r="F300" s="13">
        <v>17633.631000000001</v>
      </c>
      <c r="G300" s="13">
        <v>0</v>
      </c>
      <c r="H300" s="14">
        <v>17633.631000000001</v>
      </c>
      <c r="I300" s="14">
        <v>77711.154999999999</v>
      </c>
      <c r="J300" s="8" t="s">
        <v>195</v>
      </c>
      <c r="K300" s="302" t="s">
        <v>517</v>
      </c>
    </row>
    <row r="301" spans="1:11" x14ac:dyDescent="0.2">
      <c r="A301" s="10">
        <v>65500000</v>
      </c>
      <c r="B301" s="10" t="s">
        <v>400</v>
      </c>
      <c r="C301" s="11">
        <v>0</v>
      </c>
      <c r="D301" s="11">
        <v>15913.52</v>
      </c>
      <c r="E301" s="11">
        <v>0</v>
      </c>
      <c r="F301" s="13">
        <v>0</v>
      </c>
      <c r="G301" s="13">
        <v>0</v>
      </c>
      <c r="H301" s="14">
        <v>15913.52</v>
      </c>
      <c r="I301" s="14">
        <v>15913.52</v>
      </c>
      <c r="J301" s="8" t="s">
        <v>195</v>
      </c>
      <c r="K301" s="302" t="s">
        <v>517</v>
      </c>
    </row>
    <row r="302" spans="1:11" x14ac:dyDescent="0.2">
      <c r="A302" s="10">
        <v>66520000</v>
      </c>
      <c r="B302" s="10" t="s">
        <v>200</v>
      </c>
      <c r="C302" s="11">
        <v>7273.0469999999996</v>
      </c>
      <c r="D302" s="11">
        <v>0</v>
      </c>
      <c r="E302" s="11">
        <v>0</v>
      </c>
      <c r="F302" s="13">
        <v>7755.518</v>
      </c>
      <c r="G302" s="13">
        <v>7273.0469999999996</v>
      </c>
      <c r="H302" s="14">
        <v>482.47100000000046</v>
      </c>
      <c r="I302" s="14">
        <v>7755.518</v>
      </c>
      <c r="J302" s="8" t="s">
        <v>157</v>
      </c>
      <c r="K302" s="302" t="s">
        <v>512</v>
      </c>
    </row>
    <row r="303" spans="1:11" x14ac:dyDescent="0.2">
      <c r="A303" s="10">
        <v>66540000</v>
      </c>
      <c r="B303" s="10" t="s">
        <v>201</v>
      </c>
      <c r="C303" s="11">
        <v>1794.6370000000002</v>
      </c>
      <c r="D303" s="11">
        <v>634.44100000000003</v>
      </c>
      <c r="E303" s="11">
        <v>0</v>
      </c>
      <c r="F303" s="13">
        <v>0</v>
      </c>
      <c r="G303" s="13">
        <v>0</v>
      </c>
      <c r="H303" s="14">
        <v>634.44100000000003</v>
      </c>
      <c r="I303" s="14">
        <v>2429.0780000000004</v>
      </c>
      <c r="J303" s="8" t="s">
        <v>157</v>
      </c>
      <c r="K303" s="302" t="s">
        <v>512</v>
      </c>
    </row>
    <row r="304" spans="1:11" x14ac:dyDescent="0.2">
      <c r="A304" s="10">
        <v>66550000</v>
      </c>
      <c r="B304" s="10" t="s">
        <v>202</v>
      </c>
      <c r="C304" s="11">
        <v>2553.1750000000002</v>
      </c>
      <c r="D304" s="11">
        <v>146.55700000000002</v>
      </c>
      <c r="E304" s="11">
        <v>0</v>
      </c>
      <c r="F304" s="13">
        <v>900</v>
      </c>
      <c r="G304" s="13">
        <v>0</v>
      </c>
      <c r="H304" s="14">
        <v>1046.557</v>
      </c>
      <c r="I304" s="14">
        <v>3599.732</v>
      </c>
      <c r="J304" s="8" t="s">
        <v>157</v>
      </c>
      <c r="K304" s="302" t="s">
        <v>512</v>
      </c>
    </row>
    <row r="305" spans="1:11" x14ac:dyDescent="0.2">
      <c r="A305" s="10">
        <v>68112000</v>
      </c>
      <c r="B305" s="10" t="s">
        <v>271</v>
      </c>
      <c r="C305" s="11">
        <v>375955.38500000001</v>
      </c>
      <c r="D305" s="11">
        <v>0</v>
      </c>
      <c r="E305" s="11">
        <v>0</v>
      </c>
      <c r="F305" s="13">
        <v>202464.00899999999</v>
      </c>
      <c r="G305" s="13">
        <v>0</v>
      </c>
      <c r="H305" s="14">
        <v>202464.00899999999</v>
      </c>
      <c r="I305" s="14">
        <v>578419.39399999997</v>
      </c>
      <c r="J305" s="8" t="s">
        <v>203</v>
      </c>
      <c r="K305" s="9" t="s">
        <v>7578</v>
      </c>
    </row>
    <row r="306" spans="1:11" x14ac:dyDescent="0.2">
      <c r="A306" s="10">
        <v>70000000</v>
      </c>
      <c r="B306" s="10" t="s">
        <v>205</v>
      </c>
      <c r="C306" s="11">
        <v>-4363822.2980000004</v>
      </c>
      <c r="D306" s="11">
        <v>122567.31899999999</v>
      </c>
      <c r="E306" s="11">
        <v>2503691.7790000001</v>
      </c>
      <c r="F306" s="13">
        <v>65310.438000000002</v>
      </c>
      <c r="G306" s="13">
        <v>0</v>
      </c>
      <c r="H306" s="14">
        <v>-2315814.0219999999</v>
      </c>
      <c r="I306" s="14">
        <v>-6679636.3200000003</v>
      </c>
      <c r="J306" s="8" t="s">
        <v>206</v>
      </c>
      <c r="K306" s="302" t="s">
        <v>505</v>
      </c>
    </row>
    <row r="307" spans="1:11" x14ac:dyDescent="0.2">
      <c r="A307" s="10">
        <v>70102000</v>
      </c>
      <c r="B307" s="10" t="s">
        <v>207</v>
      </c>
      <c r="C307" s="11">
        <v>-3959648.9850000003</v>
      </c>
      <c r="D307" s="11">
        <v>0</v>
      </c>
      <c r="E307" s="11">
        <v>1478368.5859999999</v>
      </c>
      <c r="F307" s="13">
        <v>0</v>
      </c>
      <c r="G307" s="13">
        <v>0</v>
      </c>
      <c r="H307" s="14">
        <v>-1478368.5859999999</v>
      </c>
      <c r="I307" s="14">
        <v>-5438017.5710000005</v>
      </c>
      <c r="J307" s="8" t="s">
        <v>227</v>
      </c>
      <c r="K307" s="302" t="s">
        <v>504</v>
      </c>
    </row>
    <row r="308" spans="1:11" x14ac:dyDescent="0.2">
      <c r="A308" s="10">
        <v>70103000</v>
      </c>
      <c r="B308" s="10" t="s">
        <v>380</v>
      </c>
      <c r="C308" s="11">
        <v>-4025</v>
      </c>
      <c r="D308" s="11">
        <v>0</v>
      </c>
      <c r="E308" s="11">
        <v>1905</v>
      </c>
      <c r="F308" s="13">
        <v>0</v>
      </c>
      <c r="G308" s="13">
        <v>0</v>
      </c>
      <c r="H308" s="14">
        <v>-1905</v>
      </c>
      <c r="I308" s="14">
        <v>-5930</v>
      </c>
      <c r="J308" s="8" t="s">
        <v>206</v>
      </c>
      <c r="K308" s="302" t="s">
        <v>505</v>
      </c>
    </row>
    <row r="309" spans="1:11" x14ac:dyDescent="0.2">
      <c r="A309" s="10">
        <v>70600000</v>
      </c>
      <c r="B309" s="10" t="s">
        <v>381</v>
      </c>
      <c r="C309" s="11">
        <v>-90443.38</v>
      </c>
      <c r="D309" s="11">
        <v>0</v>
      </c>
      <c r="E309" s="11">
        <v>50182</v>
      </c>
      <c r="F309" s="13">
        <v>0</v>
      </c>
      <c r="G309" s="13">
        <v>0</v>
      </c>
      <c r="H309" s="14">
        <v>-50182</v>
      </c>
      <c r="I309" s="14">
        <v>-140625.38</v>
      </c>
      <c r="J309" s="8" t="s">
        <v>206</v>
      </c>
      <c r="K309" s="302" t="s">
        <v>505</v>
      </c>
    </row>
    <row r="310" spans="1:11" x14ac:dyDescent="0.2">
      <c r="A310" s="10">
        <v>70600500</v>
      </c>
      <c r="B310" s="10" t="s">
        <v>208</v>
      </c>
      <c r="C310" s="11">
        <v>-6438.6</v>
      </c>
      <c r="D310" s="11">
        <v>0</v>
      </c>
      <c r="E310" s="11">
        <v>0</v>
      </c>
      <c r="F310" s="13">
        <v>0</v>
      </c>
      <c r="G310" s="13">
        <v>3219.3</v>
      </c>
      <c r="H310" s="14">
        <v>-3219.3</v>
      </c>
      <c r="I310" s="14">
        <v>-9657.9000000000015</v>
      </c>
      <c r="J310" s="8" t="s">
        <v>214</v>
      </c>
      <c r="K310" s="302" t="s">
        <v>506</v>
      </c>
    </row>
    <row r="311" spans="1:11" x14ac:dyDescent="0.2">
      <c r="A311" s="10">
        <v>71340000</v>
      </c>
      <c r="B311" s="10" t="s">
        <v>382</v>
      </c>
      <c r="C311" s="11">
        <v>4992501.915</v>
      </c>
      <c r="D311" s="11">
        <v>0</v>
      </c>
      <c r="E311" s="11">
        <v>0</v>
      </c>
      <c r="F311" s="13">
        <v>0</v>
      </c>
      <c r="G311" s="13">
        <v>0</v>
      </c>
      <c r="H311" s="14">
        <v>0</v>
      </c>
      <c r="I311" s="14">
        <v>4992501.915</v>
      </c>
      <c r="J311" s="8" t="s">
        <v>210</v>
      </c>
      <c r="K311" s="302" t="s">
        <v>508</v>
      </c>
    </row>
    <row r="312" spans="1:11" x14ac:dyDescent="0.2">
      <c r="A312" s="10">
        <v>71350000</v>
      </c>
      <c r="B312" s="10" t="s">
        <v>209</v>
      </c>
      <c r="C312" s="11">
        <v>-3902410.4849999999</v>
      </c>
      <c r="D312" s="11">
        <v>0</v>
      </c>
      <c r="E312" s="11">
        <v>0</v>
      </c>
      <c r="F312" s="13">
        <v>3902410.4849999999</v>
      </c>
      <c r="G312" s="13">
        <v>4840619.023</v>
      </c>
      <c r="H312" s="14">
        <v>-938208.53800000018</v>
      </c>
      <c r="I312" s="14">
        <v>-4840619.023</v>
      </c>
      <c r="J312" s="8" t="s">
        <v>210</v>
      </c>
      <c r="K312" s="302" t="s">
        <v>508</v>
      </c>
    </row>
    <row r="313" spans="1:11" x14ac:dyDescent="0.2">
      <c r="A313" s="10">
        <v>73601000</v>
      </c>
      <c r="B313" s="10" t="s">
        <v>211</v>
      </c>
      <c r="C313" s="11">
        <v>-42</v>
      </c>
      <c r="D313" s="11">
        <v>0</v>
      </c>
      <c r="E313" s="11">
        <v>0</v>
      </c>
      <c r="F313" s="13">
        <v>0</v>
      </c>
      <c r="G313" s="13">
        <v>0</v>
      </c>
      <c r="H313" s="14">
        <v>0</v>
      </c>
      <c r="I313" s="14">
        <v>-42</v>
      </c>
      <c r="J313" s="8" t="s">
        <v>214</v>
      </c>
      <c r="K313" s="302" t="s">
        <v>506</v>
      </c>
    </row>
    <row r="314" spans="1:11" x14ac:dyDescent="0.2">
      <c r="A314" s="10">
        <v>73900000</v>
      </c>
      <c r="B314" s="10" t="s">
        <v>213</v>
      </c>
      <c r="C314" s="11">
        <v>-43793.866000000002</v>
      </c>
      <c r="D314" s="11">
        <v>0</v>
      </c>
      <c r="E314" s="11">
        <v>0</v>
      </c>
      <c r="F314" s="13">
        <v>0</v>
      </c>
      <c r="G314" s="13">
        <v>21896.933000000001</v>
      </c>
      <c r="H314" s="14">
        <v>-21896.933000000001</v>
      </c>
      <c r="I314" s="14">
        <v>-65690.798999999999</v>
      </c>
      <c r="J314" s="8" t="s">
        <v>214</v>
      </c>
      <c r="K314" s="302" t="s">
        <v>506</v>
      </c>
    </row>
    <row r="315" spans="1:11" x14ac:dyDescent="0.2">
      <c r="A315" s="10">
        <v>77000000</v>
      </c>
      <c r="B315" s="10" t="s">
        <v>216</v>
      </c>
      <c r="C315" s="11">
        <v>-1.6</v>
      </c>
      <c r="D315" s="11">
        <v>0</v>
      </c>
      <c r="E315" s="11">
        <v>2.4</v>
      </c>
      <c r="F315" s="13">
        <v>0</v>
      </c>
      <c r="G315" s="13">
        <v>0</v>
      </c>
      <c r="H315" s="14">
        <v>-2.4</v>
      </c>
      <c r="I315" s="14">
        <v>-4</v>
      </c>
      <c r="J315" s="8" t="s">
        <v>212</v>
      </c>
      <c r="K315" s="302" t="s">
        <v>518</v>
      </c>
    </row>
    <row r="316" spans="1:11" x14ac:dyDescent="0.2">
      <c r="A316" s="10">
        <v>79999999</v>
      </c>
      <c r="B316" s="10" t="s">
        <v>383</v>
      </c>
      <c r="C316" s="11">
        <v>-2.6040943339467049E-4</v>
      </c>
      <c r="D316" s="11">
        <v>0</v>
      </c>
      <c r="E316" s="11">
        <v>0</v>
      </c>
      <c r="F316" s="13">
        <v>0</v>
      </c>
      <c r="G316" s="13">
        <v>0</v>
      </c>
      <c r="H316" s="14">
        <v>0</v>
      </c>
      <c r="I316" s="14">
        <v>-2.6040943339467049E-4</v>
      </c>
      <c r="J316" s="8"/>
    </row>
    <row r="317" spans="1:11" x14ac:dyDescent="0.2">
      <c r="C317" s="305">
        <v>7.9159406144753142E-3</v>
      </c>
      <c r="D317" s="305">
        <v>52477168.015813969</v>
      </c>
      <c r="E317" s="305">
        <v>52477168.015813991</v>
      </c>
      <c r="F317" s="305">
        <v>31809309.838000003</v>
      </c>
      <c r="G317" s="305">
        <v>31809309.838</v>
      </c>
      <c r="H317" s="305">
        <v>1.0310032827476334E-9</v>
      </c>
      <c r="I317" s="305">
        <v>7.9159383894875646E-3</v>
      </c>
    </row>
  </sheetData>
  <autoFilter ref="A1:J317" xr:uid="{00000000-0009-0000-0000-000007000000}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326"/>
  <sheetViews>
    <sheetView workbookViewId="0">
      <pane ySplit="1" topLeftCell="A208" activePane="bottomLeft" state="frozen"/>
      <selection pane="bottomLeft" activeCell="F232" sqref="F232"/>
    </sheetView>
  </sheetViews>
  <sheetFormatPr baseColWidth="10" defaultColWidth="11.42578125" defaultRowHeight="11.25" x14ac:dyDescent="0.2"/>
  <cols>
    <col min="1" max="1" width="14.42578125" style="302" bestFit="1" customWidth="1"/>
    <col min="2" max="2" width="23.7109375" style="302" bestFit="1" customWidth="1"/>
    <col min="3" max="3" width="15.140625" style="305" bestFit="1" customWidth="1"/>
    <col min="4" max="6" width="13.28515625" style="305" bestFit="1" customWidth="1"/>
    <col min="7" max="7" width="13.5703125" style="305" bestFit="1" customWidth="1"/>
    <col min="8" max="8" width="13.140625" style="305" bestFit="1" customWidth="1"/>
    <col min="9" max="9" width="13.28515625" style="305" bestFit="1" customWidth="1"/>
    <col min="10" max="10" width="25" style="302" customWidth="1"/>
    <col min="11" max="16384" width="11.42578125" style="302"/>
  </cols>
  <sheetData>
    <row r="1" spans="1:11" x14ac:dyDescent="0.2">
      <c r="A1" s="6"/>
      <c r="B1" s="6"/>
      <c r="C1" s="7"/>
      <c r="D1" s="7"/>
      <c r="E1" s="7"/>
      <c r="F1" s="7"/>
      <c r="G1" s="7"/>
      <c r="H1" s="7"/>
      <c r="I1" s="7"/>
      <c r="J1" s="6"/>
    </row>
    <row r="2" spans="1:11" x14ac:dyDescent="0.2">
      <c r="A2" s="10" t="s">
        <v>1</v>
      </c>
      <c r="B2" s="10" t="s">
        <v>0</v>
      </c>
      <c r="C2" s="11" t="s">
        <v>5</v>
      </c>
      <c r="D2" s="11" t="s">
        <v>2</v>
      </c>
      <c r="E2" s="11" t="s">
        <v>260</v>
      </c>
      <c r="F2" s="13" t="s">
        <v>218</v>
      </c>
      <c r="G2" s="13" t="s">
        <v>219</v>
      </c>
      <c r="H2" s="14" t="s">
        <v>6</v>
      </c>
      <c r="I2" s="14" t="s">
        <v>217</v>
      </c>
      <c r="J2" s="8" t="s">
        <v>384</v>
      </c>
    </row>
    <row r="3" spans="1:11" x14ac:dyDescent="0.2">
      <c r="A3" s="10">
        <v>10100000</v>
      </c>
      <c r="B3" s="10" t="s">
        <v>7</v>
      </c>
      <c r="C3" s="11">
        <v>-13500000</v>
      </c>
      <c r="D3" s="11">
        <v>0</v>
      </c>
      <c r="E3" s="11">
        <v>0</v>
      </c>
      <c r="F3" s="13">
        <v>0</v>
      </c>
      <c r="G3" s="13">
        <v>0</v>
      </c>
      <c r="H3" s="14">
        <v>0</v>
      </c>
      <c r="I3" s="14">
        <v>-13500000</v>
      </c>
      <c r="J3" s="8" t="s">
        <v>8</v>
      </c>
      <c r="K3" s="8">
        <v>0</v>
      </c>
    </row>
    <row r="4" spans="1:11" x14ac:dyDescent="0.2">
      <c r="A4" s="10">
        <v>11101000</v>
      </c>
      <c r="B4" s="10" t="s">
        <v>9</v>
      </c>
      <c r="C4" s="11">
        <v>-1200000</v>
      </c>
      <c r="D4" s="11">
        <v>0</v>
      </c>
      <c r="E4" s="11">
        <v>0</v>
      </c>
      <c r="F4" s="13">
        <v>0</v>
      </c>
      <c r="G4" s="13">
        <v>0</v>
      </c>
      <c r="H4" s="14">
        <v>0</v>
      </c>
      <c r="I4" s="14">
        <v>-1200000</v>
      </c>
      <c r="J4" s="8" t="s">
        <v>10</v>
      </c>
      <c r="K4" s="8">
        <v>0</v>
      </c>
    </row>
    <row r="5" spans="1:11" x14ac:dyDescent="0.2">
      <c r="A5" s="10">
        <v>12100000</v>
      </c>
      <c r="B5" s="10" t="s">
        <v>11</v>
      </c>
      <c r="C5" s="11">
        <v>-18641003.848645002</v>
      </c>
      <c r="D5" s="11">
        <v>0</v>
      </c>
      <c r="E5" s="11">
        <v>0</v>
      </c>
      <c r="F5" s="13">
        <v>0</v>
      </c>
      <c r="G5" s="13">
        <v>0</v>
      </c>
      <c r="H5" s="14">
        <v>0</v>
      </c>
      <c r="I5" s="14">
        <v>-18641003.848645002</v>
      </c>
      <c r="J5" s="8" t="s">
        <v>12</v>
      </c>
      <c r="K5" s="8">
        <v>0</v>
      </c>
    </row>
    <row r="6" spans="1:11" x14ac:dyDescent="0.2">
      <c r="A6" s="10">
        <v>12200000</v>
      </c>
      <c r="B6" s="10" t="s">
        <v>272</v>
      </c>
      <c r="C6" s="11">
        <v>0</v>
      </c>
      <c r="D6" s="11">
        <v>0</v>
      </c>
      <c r="E6" s="11">
        <v>0</v>
      </c>
      <c r="F6" s="13">
        <v>0</v>
      </c>
      <c r="G6" s="13">
        <v>0</v>
      </c>
      <c r="H6" s="14">
        <v>0</v>
      </c>
      <c r="I6" s="14">
        <v>0</v>
      </c>
      <c r="J6" s="8">
        <v>0</v>
      </c>
      <c r="K6" s="8">
        <v>0</v>
      </c>
    </row>
    <row r="7" spans="1:11" x14ac:dyDescent="0.2">
      <c r="A7" s="10">
        <v>12800000</v>
      </c>
      <c r="B7" s="10" t="s">
        <v>13</v>
      </c>
      <c r="C7" s="11">
        <v>3022190.1950000003</v>
      </c>
      <c r="D7" s="11">
        <v>0</v>
      </c>
      <c r="E7" s="11">
        <v>0</v>
      </c>
      <c r="F7" s="13">
        <v>0</v>
      </c>
      <c r="G7" s="13">
        <v>0</v>
      </c>
      <c r="H7" s="14">
        <v>0</v>
      </c>
      <c r="I7" s="14">
        <v>3022190.1950000003</v>
      </c>
      <c r="J7" s="8" t="s">
        <v>14</v>
      </c>
      <c r="K7" s="8">
        <v>0</v>
      </c>
    </row>
    <row r="8" spans="1:11" x14ac:dyDescent="0.2">
      <c r="A8" s="10">
        <v>13000000</v>
      </c>
      <c r="B8" s="10" t="s">
        <v>273</v>
      </c>
      <c r="C8" s="11">
        <v>0</v>
      </c>
      <c r="D8" s="11">
        <v>0</v>
      </c>
      <c r="E8" s="11">
        <v>0</v>
      </c>
      <c r="F8" s="13">
        <v>0</v>
      </c>
      <c r="G8" s="13">
        <v>0</v>
      </c>
      <c r="H8" s="14">
        <v>0</v>
      </c>
      <c r="I8" s="14">
        <v>0</v>
      </c>
      <c r="J8" s="8">
        <v>0</v>
      </c>
      <c r="K8" s="8">
        <v>0</v>
      </c>
    </row>
    <row r="9" spans="1:11" x14ac:dyDescent="0.2">
      <c r="A9" s="10">
        <v>14500000</v>
      </c>
      <c r="B9" s="10" t="s">
        <v>15</v>
      </c>
      <c r="C9" s="11">
        <v>-3479108.84</v>
      </c>
      <c r="D9" s="11">
        <v>0</v>
      </c>
      <c r="E9" s="11">
        <v>0</v>
      </c>
      <c r="F9" s="13">
        <v>0</v>
      </c>
      <c r="G9" s="13">
        <v>0</v>
      </c>
      <c r="H9" s="14">
        <v>0</v>
      </c>
      <c r="I9" s="14">
        <v>-3479108.84</v>
      </c>
      <c r="J9" s="8" t="s">
        <v>16</v>
      </c>
      <c r="K9" s="8">
        <v>0</v>
      </c>
    </row>
    <row r="10" spans="1:11" x14ac:dyDescent="0.2">
      <c r="A10" s="10">
        <v>14508000</v>
      </c>
      <c r="B10" s="10" t="s">
        <v>17</v>
      </c>
      <c r="C10" s="11">
        <v>2422460.8970000008</v>
      </c>
      <c r="D10" s="11">
        <v>0</v>
      </c>
      <c r="E10" s="11">
        <v>0</v>
      </c>
      <c r="F10" s="13">
        <v>21896.933000000001</v>
      </c>
      <c r="G10" s="13">
        <v>0</v>
      </c>
      <c r="H10" s="14">
        <v>21896.933000000001</v>
      </c>
      <c r="I10" s="14">
        <v>2444357.830000001</v>
      </c>
      <c r="J10" s="8" t="s">
        <v>18</v>
      </c>
      <c r="K10" s="8">
        <v>0</v>
      </c>
    </row>
    <row r="11" spans="1:11" x14ac:dyDescent="0.2">
      <c r="A11" s="10">
        <v>15100000</v>
      </c>
      <c r="B11" s="10" t="s">
        <v>19</v>
      </c>
      <c r="C11" s="11">
        <v>-22564.956000000006</v>
      </c>
      <c r="D11" s="11">
        <v>0</v>
      </c>
      <c r="E11" s="11">
        <v>0</v>
      </c>
      <c r="F11" s="13">
        <v>0</v>
      </c>
      <c r="G11" s="13">
        <v>0</v>
      </c>
      <c r="H11" s="14">
        <v>0</v>
      </c>
      <c r="I11" s="14">
        <v>-22564.956000000006</v>
      </c>
      <c r="J11" s="8" t="s">
        <v>20</v>
      </c>
      <c r="K11" s="8">
        <v>0</v>
      </c>
    </row>
    <row r="12" spans="1:11" x14ac:dyDescent="0.2">
      <c r="A12" s="10">
        <v>16210250</v>
      </c>
      <c r="B12" s="10" t="s">
        <v>274</v>
      </c>
      <c r="C12" s="11">
        <v>0</v>
      </c>
      <c r="D12" s="11">
        <v>0</v>
      </c>
      <c r="E12" s="11">
        <v>0</v>
      </c>
      <c r="F12" s="13">
        <v>0</v>
      </c>
      <c r="G12" s="13">
        <v>0</v>
      </c>
      <c r="H12" s="14">
        <v>0</v>
      </c>
      <c r="I12" s="14">
        <v>0</v>
      </c>
      <c r="J12" s="8">
        <v>0</v>
      </c>
      <c r="K12" s="8">
        <v>0</v>
      </c>
    </row>
    <row r="13" spans="1:11" x14ac:dyDescent="0.2">
      <c r="A13" s="10">
        <v>16210500</v>
      </c>
      <c r="B13" s="10" t="s">
        <v>21</v>
      </c>
      <c r="C13" s="11">
        <v>-1041666.6629999988</v>
      </c>
      <c r="D13" s="11">
        <v>0</v>
      </c>
      <c r="E13" s="11">
        <v>0</v>
      </c>
      <c r="F13" s="13">
        <v>0</v>
      </c>
      <c r="G13" s="13">
        <v>0</v>
      </c>
      <c r="H13" s="14">
        <v>0</v>
      </c>
      <c r="I13" s="14">
        <v>-1041666.6629999988</v>
      </c>
      <c r="J13" s="8" t="s">
        <v>22</v>
      </c>
      <c r="K13" s="8">
        <v>0</v>
      </c>
    </row>
    <row r="14" spans="1:11" x14ac:dyDescent="0.2">
      <c r="A14" s="10">
        <v>16210960</v>
      </c>
      <c r="B14" s="10" t="s">
        <v>275</v>
      </c>
      <c r="C14" s="11">
        <v>0</v>
      </c>
      <c r="D14" s="11">
        <v>0</v>
      </c>
      <c r="E14" s="11">
        <v>0</v>
      </c>
      <c r="F14" s="13">
        <v>0</v>
      </c>
      <c r="G14" s="13">
        <v>0</v>
      </c>
      <c r="H14" s="14">
        <v>0</v>
      </c>
      <c r="I14" s="14">
        <v>0</v>
      </c>
      <c r="J14" s="8">
        <v>0</v>
      </c>
      <c r="K14" s="8">
        <v>0</v>
      </c>
    </row>
    <row r="15" spans="1:11" x14ac:dyDescent="0.2">
      <c r="A15" s="10">
        <v>16400000</v>
      </c>
      <c r="B15" s="10" t="s">
        <v>276</v>
      </c>
      <c r="C15" s="11">
        <v>-235466.95700000023</v>
      </c>
      <c r="D15" s="11">
        <v>0</v>
      </c>
      <c r="E15" s="11">
        <v>0</v>
      </c>
      <c r="F15" s="13">
        <v>0</v>
      </c>
      <c r="G15" s="13">
        <v>0</v>
      </c>
      <c r="H15" s="14">
        <v>0</v>
      </c>
      <c r="I15" s="14">
        <v>-235466.95700000023</v>
      </c>
      <c r="J15" s="8" t="s">
        <v>22</v>
      </c>
      <c r="K15" s="8">
        <v>0</v>
      </c>
    </row>
    <row r="16" spans="1:11" x14ac:dyDescent="0.2">
      <c r="A16" s="10">
        <v>18800000</v>
      </c>
      <c r="B16" s="10" t="s">
        <v>23</v>
      </c>
      <c r="C16" s="11">
        <v>0</v>
      </c>
      <c r="D16" s="11">
        <v>0</v>
      </c>
      <c r="E16" s="11">
        <v>0</v>
      </c>
      <c r="F16" s="13">
        <v>0</v>
      </c>
      <c r="G16" s="13">
        <v>0</v>
      </c>
      <c r="H16" s="14">
        <v>0</v>
      </c>
      <c r="I16" s="14">
        <v>0</v>
      </c>
      <c r="J16" s="8">
        <v>0</v>
      </c>
      <c r="K16" s="8">
        <v>0</v>
      </c>
    </row>
    <row r="17" spans="1:11" x14ac:dyDescent="0.2">
      <c r="A17" s="10">
        <v>21100000</v>
      </c>
      <c r="B17" s="10" t="s">
        <v>277</v>
      </c>
      <c r="C17" s="11">
        <v>0</v>
      </c>
      <c r="D17" s="11">
        <v>0</v>
      </c>
      <c r="E17" s="11">
        <v>0</v>
      </c>
      <c r="F17" s="13">
        <v>0</v>
      </c>
      <c r="G17" s="13">
        <v>0</v>
      </c>
      <c r="H17" s="14">
        <v>0</v>
      </c>
      <c r="I17" s="14">
        <v>0</v>
      </c>
      <c r="J17" s="8">
        <v>0</v>
      </c>
      <c r="K17" s="8">
        <v>0</v>
      </c>
    </row>
    <row r="18" spans="1:11" x14ac:dyDescent="0.2">
      <c r="A18" s="10">
        <v>21300000</v>
      </c>
      <c r="B18" s="10" t="s">
        <v>24</v>
      </c>
      <c r="C18" s="11">
        <v>82659.226999999999</v>
      </c>
      <c r="D18" s="11">
        <v>0</v>
      </c>
      <c r="E18" s="11">
        <v>0</v>
      </c>
      <c r="F18" s="13">
        <v>0</v>
      </c>
      <c r="G18" s="13">
        <v>0</v>
      </c>
      <c r="H18" s="14">
        <v>0</v>
      </c>
      <c r="I18" s="14">
        <v>82659.226999999999</v>
      </c>
      <c r="J18" s="8" t="s">
        <v>25</v>
      </c>
      <c r="K18" s="8">
        <v>0</v>
      </c>
    </row>
    <row r="19" spans="1:11" x14ac:dyDescent="0.2">
      <c r="A19" s="10">
        <v>22000000</v>
      </c>
      <c r="B19" s="10" t="s">
        <v>278</v>
      </c>
      <c r="C19" s="11">
        <v>0</v>
      </c>
      <c r="D19" s="11">
        <v>0</v>
      </c>
      <c r="E19" s="11">
        <v>0</v>
      </c>
      <c r="F19" s="13">
        <v>0</v>
      </c>
      <c r="G19" s="13">
        <v>0</v>
      </c>
      <c r="H19" s="14">
        <v>0</v>
      </c>
      <c r="I19" s="14">
        <v>0</v>
      </c>
      <c r="J19" s="8">
        <v>0</v>
      </c>
      <c r="K19" s="8">
        <v>0</v>
      </c>
    </row>
    <row r="20" spans="1:11" x14ac:dyDescent="0.2">
      <c r="A20" s="10">
        <v>22100000</v>
      </c>
      <c r="B20" s="10" t="s">
        <v>26</v>
      </c>
      <c r="C20" s="11">
        <v>1275724</v>
      </c>
      <c r="D20" s="11">
        <v>0</v>
      </c>
      <c r="E20" s="11">
        <v>0</v>
      </c>
      <c r="F20" s="13">
        <v>0</v>
      </c>
      <c r="G20" s="13">
        <v>0</v>
      </c>
      <c r="H20" s="14">
        <v>0</v>
      </c>
      <c r="I20" s="14">
        <v>1275724</v>
      </c>
      <c r="J20" s="8" t="s">
        <v>25</v>
      </c>
      <c r="K20" s="8">
        <v>0</v>
      </c>
    </row>
    <row r="21" spans="1:11" x14ac:dyDescent="0.2">
      <c r="A21" s="10">
        <v>22160000</v>
      </c>
      <c r="B21" s="10" t="s">
        <v>27</v>
      </c>
      <c r="C21" s="11">
        <v>161921.53600000002</v>
      </c>
      <c r="D21" s="11">
        <v>0</v>
      </c>
      <c r="E21" s="11">
        <v>0</v>
      </c>
      <c r="F21" s="13">
        <v>0</v>
      </c>
      <c r="G21" s="13">
        <v>0</v>
      </c>
      <c r="H21" s="14">
        <v>0</v>
      </c>
      <c r="I21" s="14">
        <v>161921.53600000002</v>
      </c>
      <c r="J21" s="8" t="s">
        <v>25</v>
      </c>
      <c r="K21" s="8">
        <v>0</v>
      </c>
    </row>
    <row r="22" spans="1:11" x14ac:dyDescent="0.2">
      <c r="A22" s="10">
        <v>22200000</v>
      </c>
      <c r="B22" s="10" t="s">
        <v>28</v>
      </c>
      <c r="C22" s="11">
        <v>9027583.0759999994</v>
      </c>
      <c r="D22" s="11">
        <v>0</v>
      </c>
      <c r="E22" s="11">
        <v>0</v>
      </c>
      <c r="F22" s="13">
        <v>0</v>
      </c>
      <c r="G22" s="13">
        <v>0</v>
      </c>
      <c r="H22" s="14">
        <v>0</v>
      </c>
      <c r="I22" s="14">
        <v>9027583.0759999994</v>
      </c>
      <c r="J22" s="8" t="s">
        <v>25</v>
      </c>
      <c r="K22" s="8">
        <v>0</v>
      </c>
    </row>
    <row r="23" spans="1:11" x14ac:dyDescent="0.2">
      <c r="A23" s="10">
        <v>22250000</v>
      </c>
      <c r="B23" s="10" t="s">
        <v>29</v>
      </c>
      <c r="C23" s="11">
        <v>601000.27899999998</v>
      </c>
      <c r="D23" s="11">
        <v>26900.622000000003</v>
      </c>
      <c r="E23" s="11">
        <v>0</v>
      </c>
      <c r="F23" s="13">
        <v>0</v>
      </c>
      <c r="G23" s="13">
        <v>0</v>
      </c>
      <c r="H23" s="14">
        <v>26900.622000000003</v>
      </c>
      <c r="I23" s="14">
        <v>627900.90099999995</v>
      </c>
      <c r="J23" s="8" t="s">
        <v>25</v>
      </c>
      <c r="K23" s="8">
        <v>0</v>
      </c>
    </row>
    <row r="24" spans="1:11" x14ac:dyDescent="0.2">
      <c r="A24" s="10">
        <v>22300000</v>
      </c>
      <c r="B24" s="10" t="s">
        <v>30</v>
      </c>
      <c r="C24" s="11">
        <v>70370.611000000004</v>
      </c>
      <c r="D24" s="11">
        <v>0</v>
      </c>
      <c r="E24" s="11">
        <v>0</v>
      </c>
      <c r="F24" s="13">
        <v>0</v>
      </c>
      <c r="G24" s="13">
        <v>0</v>
      </c>
      <c r="H24" s="14">
        <v>0</v>
      </c>
      <c r="I24" s="14">
        <v>70370.611000000004</v>
      </c>
      <c r="J24" s="8" t="s">
        <v>25</v>
      </c>
      <c r="K24" s="8">
        <v>0</v>
      </c>
    </row>
    <row r="25" spans="1:11" x14ac:dyDescent="0.2">
      <c r="A25" s="10">
        <v>22310000</v>
      </c>
      <c r="B25" s="10" t="s">
        <v>31</v>
      </c>
      <c r="C25" s="11">
        <v>0</v>
      </c>
      <c r="D25" s="11">
        <v>0</v>
      </c>
      <c r="E25" s="11">
        <v>0</v>
      </c>
      <c r="F25" s="13">
        <v>0</v>
      </c>
      <c r="G25" s="13">
        <v>0</v>
      </c>
      <c r="H25" s="14">
        <v>0</v>
      </c>
      <c r="I25" s="14">
        <v>0</v>
      </c>
      <c r="J25" s="8" t="s">
        <v>25</v>
      </c>
      <c r="K25" s="8">
        <v>0</v>
      </c>
    </row>
    <row r="26" spans="1:11" x14ac:dyDescent="0.2">
      <c r="A26" s="10">
        <v>22340000</v>
      </c>
      <c r="B26" s="10" t="s">
        <v>32</v>
      </c>
      <c r="C26" s="11">
        <v>22061291.841411497</v>
      </c>
      <c r="D26" s="11">
        <v>108099.504</v>
      </c>
      <c r="E26" s="11">
        <v>13682.470000000001</v>
      </c>
      <c r="F26" s="13">
        <v>0</v>
      </c>
      <c r="G26" s="13">
        <v>0</v>
      </c>
      <c r="H26" s="14">
        <v>94417.034</v>
      </c>
      <c r="I26" s="14">
        <v>22155708.875411499</v>
      </c>
      <c r="J26" s="8" t="s">
        <v>25</v>
      </c>
      <c r="K26" s="8">
        <v>0</v>
      </c>
    </row>
    <row r="27" spans="1:11" x14ac:dyDescent="0.2">
      <c r="A27" s="10">
        <v>22350000</v>
      </c>
      <c r="B27" s="10" t="s">
        <v>33</v>
      </c>
      <c r="C27" s="11">
        <v>606363.59449999977</v>
      </c>
      <c r="D27" s="11">
        <v>4822.82</v>
      </c>
      <c r="E27" s="11">
        <v>0</v>
      </c>
      <c r="F27" s="13">
        <v>0</v>
      </c>
      <c r="G27" s="13">
        <v>0</v>
      </c>
      <c r="H27" s="14">
        <v>4822.82</v>
      </c>
      <c r="I27" s="14">
        <v>611186.41449999972</v>
      </c>
      <c r="J27" s="8" t="s">
        <v>25</v>
      </c>
      <c r="K27" s="8">
        <v>0</v>
      </c>
    </row>
    <row r="28" spans="1:11" x14ac:dyDescent="0.2">
      <c r="A28" s="10">
        <v>22370000</v>
      </c>
      <c r="B28" s="10" t="s">
        <v>34</v>
      </c>
      <c r="C28" s="11">
        <v>879252.85599999991</v>
      </c>
      <c r="D28" s="11">
        <v>0</v>
      </c>
      <c r="E28" s="11">
        <v>0</v>
      </c>
      <c r="F28" s="13">
        <v>0</v>
      </c>
      <c r="G28" s="13">
        <v>0</v>
      </c>
      <c r="H28" s="14">
        <v>0</v>
      </c>
      <c r="I28" s="14">
        <v>879252.85599999991</v>
      </c>
      <c r="J28" s="8" t="s">
        <v>25</v>
      </c>
      <c r="K28" s="8">
        <v>0</v>
      </c>
    </row>
    <row r="29" spans="1:11" x14ac:dyDescent="0.2">
      <c r="A29" s="10">
        <v>22400000</v>
      </c>
      <c r="B29" s="10" t="s">
        <v>35</v>
      </c>
      <c r="C29" s="11">
        <v>952007.8629999999</v>
      </c>
      <c r="D29" s="11">
        <v>0</v>
      </c>
      <c r="E29" s="11">
        <v>0</v>
      </c>
      <c r="F29" s="13">
        <v>0</v>
      </c>
      <c r="G29" s="13">
        <v>0</v>
      </c>
      <c r="H29" s="14">
        <v>0</v>
      </c>
      <c r="I29" s="14">
        <v>952007.8629999999</v>
      </c>
      <c r="J29" s="8" t="s">
        <v>25</v>
      </c>
      <c r="K29" s="8">
        <v>0</v>
      </c>
    </row>
    <row r="30" spans="1:11" x14ac:dyDescent="0.2">
      <c r="A30" s="10">
        <v>22810000</v>
      </c>
      <c r="B30" s="10" t="s">
        <v>36</v>
      </c>
      <c r="C30" s="11">
        <v>0</v>
      </c>
      <c r="D30" s="11">
        <v>0</v>
      </c>
      <c r="E30" s="11">
        <v>0</v>
      </c>
      <c r="F30" s="13">
        <v>0</v>
      </c>
      <c r="G30" s="13">
        <v>0</v>
      </c>
      <c r="H30" s="14">
        <v>0</v>
      </c>
      <c r="I30" s="14">
        <v>0</v>
      </c>
      <c r="J30" s="8">
        <v>0</v>
      </c>
      <c r="K30" s="8">
        <v>0</v>
      </c>
    </row>
    <row r="31" spans="1:11" x14ac:dyDescent="0.2">
      <c r="A31" s="10">
        <v>22820000</v>
      </c>
      <c r="B31" s="10" t="s">
        <v>37</v>
      </c>
      <c r="C31" s="11">
        <v>252577.31414999996</v>
      </c>
      <c r="D31" s="11">
        <v>1077.3</v>
      </c>
      <c r="E31" s="11">
        <v>0</v>
      </c>
      <c r="F31" s="13">
        <v>0</v>
      </c>
      <c r="G31" s="13">
        <v>0</v>
      </c>
      <c r="H31" s="14">
        <v>1077.3</v>
      </c>
      <c r="I31" s="14">
        <v>253654.61414999995</v>
      </c>
      <c r="J31" s="8" t="s">
        <v>25</v>
      </c>
      <c r="K31" s="8">
        <v>0</v>
      </c>
    </row>
    <row r="32" spans="1:11" x14ac:dyDescent="0.2">
      <c r="A32" s="10">
        <v>22830000</v>
      </c>
      <c r="B32" s="10" t="s">
        <v>279</v>
      </c>
      <c r="C32" s="11">
        <v>204592.64699999997</v>
      </c>
      <c r="D32" s="11">
        <v>4905</v>
      </c>
      <c r="E32" s="11">
        <v>0</v>
      </c>
      <c r="F32" s="13">
        <v>0</v>
      </c>
      <c r="G32" s="13">
        <v>0</v>
      </c>
      <c r="H32" s="14">
        <v>4905</v>
      </c>
      <c r="I32" s="14">
        <v>209497.64699999997</v>
      </c>
      <c r="J32" s="8" t="s">
        <v>25</v>
      </c>
      <c r="K32" s="8">
        <v>0</v>
      </c>
    </row>
    <row r="33" spans="1:11" x14ac:dyDescent="0.2">
      <c r="A33" s="10">
        <v>23000000</v>
      </c>
      <c r="B33" s="10" t="s">
        <v>280</v>
      </c>
      <c r="C33" s="11">
        <v>2.0000000404252205E-5</v>
      </c>
      <c r="D33" s="11">
        <v>0</v>
      </c>
      <c r="E33" s="11">
        <v>0</v>
      </c>
      <c r="F33" s="13">
        <v>0</v>
      </c>
      <c r="G33" s="13">
        <v>0</v>
      </c>
      <c r="H33" s="14">
        <v>0</v>
      </c>
      <c r="I33" s="14">
        <v>2.0000000404252205E-5</v>
      </c>
      <c r="J33" s="8">
        <v>0</v>
      </c>
      <c r="K33" s="8">
        <v>0</v>
      </c>
    </row>
    <row r="34" spans="1:11" x14ac:dyDescent="0.2">
      <c r="A34" s="10">
        <v>23200000</v>
      </c>
      <c r="B34" s="10" t="s">
        <v>38</v>
      </c>
      <c r="C34" s="11">
        <v>2440755.4682974992</v>
      </c>
      <c r="D34" s="11">
        <v>0</v>
      </c>
      <c r="E34" s="11">
        <v>0</v>
      </c>
      <c r="F34" s="13">
        <v>0</v>
      </c>
      <c r="G34" s="13">
        <v>0</v>
      </c>
      <c r="H34" s="14">
        <v>0</v>
      </c>
      <c r="I34" s="14">
        <v>2440755.4682974992</v>
      </c>
      <c r="J34" s="8" t="s">
        <v>25</v>
      </c>
      <c r="K34" s="8">
        <v>0</v>
      </c>
    </row>
    <row r="35" spans="1:11" x14ac:dyDescent="0.2">
      <c r="A35" s="10">
        <v>23220000</v>
      </c>
      <c r="B35" s="10" t="s">
        <v>39</v>
      </c>
      <c r="C35" s="11">
        <v>90587.112999997378</v>
      </c>
      <c r="D35" s="11">
        <v>7335.8240000000005</v>
      </c>
      <c r="E35" s="11">
        <v>0</v>
      </c>
      <c r="F35" s="13">
        <v>0</v>
      </c>
      <c r="G35" s="13">
        <v>0</v>
      </c>
      <c r="H35" s="14">
        <v>7335.8240000000005</v>
      </c>
      <c r="I35" s="14">
        <v>97922.936999997386</v>
      </c>
      <c r="J35" s="8" t="s">
        <v>25</v>
      </c>
      <c r="K35" s="8">
        <v>0</v>
      </c>
    </row>
    <row r="36" spans="1:11" x14ac:dyDescent="0.2">
      <c r="A36" s="10">
        <v>23225000</v>
      </c>
      <c r="B36" s="10" t="s">
        <v>281</v>
      </c>
      <c r="C36" s="11">
        <v>0</v>
      </c>
      <c r="D36" s="11">
        <v>0</v>
      </c>
      <c r="E36" s="11">
        <v>0</v>
      </c>
      <c r="F36" s="13">
        <v>0</v>
      </c>
      <c r="G36" s="13">
        <v>0</v>
      </c>
      <c r="H36" s="14">
        <v>0</v>
      </c>
      <c r="I36" s="14">
        <v>0</v>
      </c>
      <c r="J36" s="8">
        <v>0</v>
      </c>
      <c r="K36" s="8">
        <v>0</v>
      </c>
    </row>
    <row r="37" spans="1:11" x14ac:dyDescent="0.2">
      <c r="A37" s="10">
        <v>23231000</v>
      </c>
      <c r="B37" s="10" t="s">
        <v>282</v>
      </c>
      <c r="C37" s="11">
        <v>0</v>
      </c>
      <c r="D37" s="11">
        <v>0</v>
      </c>
      <c r="E37" s="11">
        <v>0</v>
      </c>
      <c r="F37" s="13">
        <v>0</v>
      </c>
      <c r="G37" s="13">
        <v>0</v>
      </c>
      <c r="H37" s="14">
        <v>0</v>
      </c>
      <c r="I37" s="14">
        <v>0</v>
      </c>
      <c r="J37" s="8">
        <v>0</v>
      </c>
      <c r="K37" s="8">
        <v>0</v>
      </c>
    </row>
    <row r="38" spans="1:11" x14ac:dyDescent="0.2">
      <c r="A38" s="10">
        <v>23237000</v>
      </c>
      <c r="B38" s="10" t="s">
        <v>283</v>
      </c>
      <c r="C38" s="11">
        <v>0</v>
      </c>
      <c r="D38" s="11">
        <v>0</v>
      </c>
      <c r="E38" s="11">
        <v>0</v>
      </c>
      <c r="F38" s="13">
        <v>0</v>
      </c>
      <c r="G38" s="13">
        <v>0</v>
      </c>
      <c r="H38" s="14">
        <v>0</v>
      </c>
      <c r="I38" s="14">
        <v>0</v>
      </c>
      <c r="J38" s="8">
        <v>0</v>
      </c>
      <c r="K38" s="8">
        <v>0</v>
      </c>
    </row>
    <row r="39" spans="1:11" x14ac:dyDescent="0.2">
      <c r="A39" s="10">
        <v>23250000</v>
      </c>
      <c r="B39" s="10" t="s">
        <v>284</v>
      </c>
      <c r="C39" s="11">
        <v>0</v>
      </c>
      <c r="D39" s="11">
        <v>0</v>
      </c>
      <c r="E39" s="11">
        <v>0</v>
      </c>
      <c r="F39" s="13">
        <v>0</v>
      </c>
      <c r="G39" s="13">
        <v>0</v>
      </c>
      <c r="H39" s="14">
        <v>0</v>
      </c>
      <c r="I39" s="14">
        <v>0</v>
      </c>
      <c r="J39" s="8">
        <v>0</v>
      </c>
      <c r="K39" s="8">
        <v>0</v>
      </c>
    </row>
    <row r="40" spans="1:11" x14ac:dyDescent="0.2">
      <c r="A40" s="10">
        <v>23800000</v>
      </c>
      <c r="B40" s="10" t="s">
        <v>285</v>
      </c>
      <c r="C40" s="11">
        <v>0</v>
      </c>
      <c r="D40" s="11">
        <v>0</v>
      </c>
      <c r="E40" s="11">
        <v>0</v>
      </c>
      <c r="F40" s="13">
        <v>0</v>
      </c>
      <c r="G40" s="13">
        <v>0</v>
      </c>
      <c r="H40" s="14">
        <v>0</v>
      </c>
      <c r="I40" s="14">
        <v>0</v>
      </c>
      <c r="J40" s="8">
        <v>0</v>
      </c>
      <c r="K40" s="8">
        <v>0</v>
      </c>
    </row>
    <row r="41" spans="1:11" x14ac:dyDescent="0.2">
      <c r="A41" s="10">
        <v>24000000</v>
      </c>
      <c r="B41" s="10" t="s">
        <v>40</v>
      </c>
      <c r="C41" s="11">
        <v>790367.65</v>
      </c>
      <c r="D41" s="11">
        <v>0</v>
      </c>
      <c r="E41" s="11">
        <v>0</v>
      </c>
      <c r="F41" s="13">
        <v>0</v>
      </c>
      <c r="G41" s="13">
        <v>0</v>
      </c>
      <c r="H41" s="14">
        <v>0</v>
      </c>
      <c r="I41" s="14">
        <v>790367.65</v>
      </c>
      <c r="J41" s="8" t="s">
        <v>25</v>
      </c>
      <c r="K41" s="8">
        <v>0</v>
      </c>
    </row>
    <row r="42" spans="1:11" x14ac:dyDescent="0.2">
      <c r="A42" s="10">
        <v>25100000</v>
      </c>
      <c r="B42" s="10" t="s">
        <v>286</v>
      </c>
      <c r="C42" s="11">
        <v>0</v>
      </c>
      <c r="D42" s="11">
        <v>0</v>
      </c>
      <c r="E42" s="11">
        <v>0</v>
      </c>
      <c r="F42" s="13">
        <v>0</v>
      </c>
      <c r="G42" s="13">
        <v>0</v>
      </c>
      <c r="H42" s="14">
        <v>0</v>
      </c>
      <c r="I42" s="14">
        <v>0</v>
      </c>
      <c r="J42" s="8">
        <v>0</v>
      </c>
      <c r="K42" s="8">
        <v>0</v>
      </c>
    </row>
    <row r="43" spans="1:11" x14ac:dyDescent="0.2">
      <c r="A43" s="10">
        <v>25110000</v>
      </c>
      <c r="B43" s="10" t="s">
        <v>41</v>
      </c>
      <c r="C43" s="11">
        <v>266820</v>
      </c>
      <c r="D43" s="11">
        <v>0</v>
      </c>
      <c r="E43" s="11">
        <v>0</v>
      </c>
      <c r="F43" s="13">
        <v>0</v>
      </c>
      <c r="G43" s="13">
        <v>0</v>
      </c>
      <c r="H43" s="14">
        <v>0</v>
      </c>
      <c r="I43" s="14">
        <v>266820</v>
      </c>
      <c r="J43" s="8" t="s">
        <v>42</v>
      </c>
      <c r="K43" s="8">
        <v>0</v>
      </c>
    </row>
    <row r="44" spans="1:11" x14ac:dyDescent="0.2">
      <c r="A44" s="10">
        <v>25120000</v>
      </c>
      <c r="B44" s="10" t="s">
        <v>287</v>
      </c>
      <c r="C44" s="11">
        <v>512700</v>
      </c>
      <c r="D44" s="11">
        <v>0</v>
      </c>
      <c r="E44" s="11">
        <v>0</v>
      </c>
      <c r="F44" s="13">
        <v>0</v>
      </c>
      <c r="G44" s="13">
        <v>0</v>
      </c>
      <c r="H44" s="14">
        <v>0</v>
      </c>
      <c r="I44" s="14">
        <v>512700</v>
      </c>
      <c r="J44" s="8" t="s">
        <v>42</v>
      </c>
      <c r="K44" s="8">
        <v>0</v>
      </c>
    </row>
    <row r="45" spans="1:11" x14ac:dyDescent="0.2">
      <c r="A45" s="10">
        <v>25130000</v>
      </c>
      <c r="B45" s="10" t="s">
        <v>43</v>
      </c>
      <c r="C45" s="11">
        <v>677000</v>
      </c>
      <c r="D45" s="11">
        <v>0</v>
      </c>
      <c r="E45" s="11">
        <v>0</v>
      </c>
      <c r="F45" s="13">
        <v>0</v>
      </c>
      <c r="G45" s="13">
        <v>0</v>
      </c>
      <c r="H45" s="14">
        <v>0</v>
      </c>
      <c r="I45" s="14">
        <v>677000</v>
      </c>
      <c r="J45" s="8" t="s">
        <v>42</v>
      </c>
      <c r="K45" s="8">
        <v>0</v>
      </c>
    </row>
    <row r="46" spans="1:11" x14ac:dyDescent="0.2">
      <c r="A46" s="10">
        <v>25140000</v>
      </c>
      <c r="B46" s="10" t="s">
        <v>44</v>
      </c>
      <c r="C46" s="11">
        <v>3150000</v>
      </c>
      <c r="D46" s="11">
        <v>0</v>
      </c>
      <c r="E46" s="11">
        <v>0</v>
      </c>
      <c r="F46" s="13">
        <v>0</v>
      </c>
      <c r="G46" s="13">
        <v>0</v>
      </c>
      <c r="H46" s="14">
        <v>0</v>
      </c>
      <c r="I46" s="14">
        <v>3150000</v>
      </c>
      <c r="J46" s="8" t="s">
        <v>42</v>
      </c>
      <c r="K46" s="8">
        <v>0</v>
      </c>
    </row>
    <row r="47" spans="1:11" x14ac:dyDescent="0.2">
      <c r="A47" s="10">
        <v>25700000</v>
      </c>
      <c r="B47" s="10" t="s">
        <v>288</v>
      </c>
      <c r="C47" s="11">
        <v>0</v>
      </c>
      <c r="D47" s="11">
        <v>0</v>
      </c>
      <c r="E47" s="11">
        <v>0</v>
      </c>
      <c r="F47" s="13">
        <v>0</v>
      </c>
      <c r="G47" s="13">
        <v>0</v>
      </c>
      <c r="H47" s="14">
        <v>0</v>
      </c>
      <c r="I47" s="14">
        <v>0</v>
      </c>
      <c r="J47" s="8" t="s">
        <v>42</v>
      </c>
      <c r="K47" s="8">
        <v>0</v>
      </c>
    </row>
    <row r="48" spans="1:11" x14ac:dyDescent="0.2">
      <c r="A48" s="10">
        <v>25810000</v>
      </c>
      <c r="B48" s="10" t="s">
        <v>289</v>
      </c>
      <c r="C48" s="11">
        <v>0</v>
      </c>
      <c r="D48" s="11">
        <v>0</v>
      </c>
      <c r="E48" s="11">
        <v>0</v>
      </c>
      <c r="F48" s="13">
        <v>0</v>
      </c>
      <c r="G48" s="13">
        <v>0</v>
      </c>
      <c r="H48" s="14">
        <v>0</v>
      </c>
      <c r="I48" s="14">
        <v>0</v>
      </c>
      <c r="J48" s="8">
        <v>0</v>
      </c>
      <c r="K48" s="8">
        <v>0</v>
      </c>
    </row>
    <row r="49" spans="1:11" x14ac:dyDescent="0.2">
      <c r="A49" s="10">
        <v>26400000</v>
      </c>
      <c r="B49" s="10" t="s">
        <v>290</v>
      </c>
      <c r="C49" s="11">
        <v>0</v>
      </c>
      <c r="D49" s="11">
        <v>0</v>
      </c>
      <c r="E49" s="11">
        <v>0</v>
      </c>
      <c r="F49" s="13">
        <v>0</v>
      </c>
      <c r="G49" s="13">
        <v>0</v>
      </c>
      <c r="H49" s="14">
        <v>0</v>
      </c>
      <c r="I49" s="14">
        <v>0</v>
      </c>
      <c r="J49" s="8">
        <v>0</v>
      </c>
      <c r="K49" s="8">
        <v>0</v>
      </c>
    </row>
    <row r="50" spans="1:11" x14ac:dyDescent="0.2">
      <c r="A50" s="10">
        <v>26430000</v>
      </c>
      <c r="B50" s="10" t="s">
        <v>291</v>
      </c>
      <c r="C50" s="11">
        <v>0</v>
      </c>
      <c r="D50" s="11">
        <v>0</v>
      </c>
      <c r="E50" s="11">
        <v>0</v>
      </c>
      <c r="F50" s="13">
        <v>0</v>
      </c>
      <c r="G50" s="13">
        <v>0</v>
      </c>
      <c r="H50" s="14">
        <v>0</v>
      </c>
      <c r="I50" s="14">
        <v>0</v>
      </c>
      <c r="J50" s="8">
        <v>0</v>
      </c>
      <c r="K50" s="8">
        <v>0</v>
      </c>
    </row>
    <row r="51" spans="1:11" x14ac:dyDescent="0.2">
      <c r="A51" s="10">
        <v>26500000</v>
      </c>
      <c r="B51" s="10" t="s">
        <v>45</v>
      </c>
      <c r="C51" s="11">
        <v>118597.1440000002</v>
      </c>
      <c r="D51" s="11">
        <v>0</v>
      </c>
      <c r="E51" s="11">
        <v>13000</v>
      </c>
      <c r="F51" s="13">
        <v>0</v>
      </c>
      <c r="G51" s="13">
        <v>0</v>
      </c>
      <c r="H51" s="14">
        <v>-13000</v>
      </c>
      <c r="I51" s="14">
        <v>105597.1440000002</v>
      </c>
      <c r="J51" s="8" t="s">
        <v>46</v>
      </c>
      <c r="K51" s="8">
        <v>0</v>
      </c>
    </row>
    <row r="52" spans="1:11" x14ac:dyDescent="0.2">
      <c r="A52" s="10">
        <v>26510000</v>
      </c>
      <c r="B52" s="10" t="s">
        <v>292</v>
      </c>
      <c r="C52" s="11">
        <v>0</v>
      </c>
      <c r="D52" s="11">
        <v>0</v>
      </c>
      <c r="E52" s="11">
        <v>0</v>
      </c>
      <c r="F52" s="13">
        <v>0</v>
      </c>
      <c r="G52" s="13">
        <v>0</v>
      </c>
      <c r="H52" s="14">
        <v>0</v>
      </c>
      <c r="I52" s="14">
        <v>0</v>
      </c>
      <c r="J52" s="8">
        <v>0</v>
      </c>
      <c r="K52" s="8">
        <v>0</v>
      </c>
    </row>
    <row r="53" spans="1:11" x14ac:dyDescent="0.2">
      <c r="A53" s="10">
        <v>26550000</v>
      </c>
      <c r="B53" s="10" t="s">
        <v>293</v>
      </c>
      <c r="C53" s="11">
        <v>0</v>
      </c>
      <c r="D53" s="11">
        <v>0</v>
      </c>
      <c r="E53" s="11">
        <v>0</v>
      </c>
      <c r="F53" s="13">
        <v>0</v>
      </c>
      <c r="G53" s="13">
        <v>0</v>
      </c>
      <c r="H53" s="14">
        <v>0</v>
      </c>
      <c r="I53" s="14">
        <v>0</v>
      </c>
      <c r="J53" s="8">
        <v>0</v>
      </c>
      <c r="K53" s="8">
        <v>0</v>
      </c>
    </row>
    <row r="54" spans="1:11" x14ac:dyDescent="0.2">
      <c r="A54" s="10">
        <v>27100000</v>
      </c>
      <c r="B54" s="10" t="s">
        <v>294</v>
      </c>
      <c r="C54" s="11">
        <v>0</v>
      </c>
      <c r="D54" s="11">
        <v>0</v>
      </c>
      <c r="E54" s="11">
        <v>0</v>
      </c>
      <c r="F54" s="13">
        <v>0</v>
      </c>
      <c r="G54" s="13">
        <v>0</v>
      </c>
      <c r="H54" s="14">
        <v>0</v>
      </c>
      <c r="I54" s="14">
        <v>0</v>
      </c>
      <c r="J54" s="8">
        <v>0</v>
      </c>
      <c r="K54" s="8">
        <v>0</v>
      </c>
    </row>
    <row r="55" spans="1:11" x14ac:dyDescent="0.2">
      <c r="A55" s="10">
        <v>28100000</v>
      </c>
      <c r="B55" s="10" t="s">
        <v>295</v>
      </c>
      <c r="C55" s="11">
        <v>0</v>
      </c>
      <c r="D55" s="11">
        <v>0</v>
      </c>
      <c r="E55" s="11">
        <v>0</v>
      </c>
      <c r="F55" s="13">
        <v>0</v>
      </c>
      <c r="G55" s="13">
        <v>0</v>
      </c>
      <c r="H55" s="14">
        <v>0</v>
      </c>
      <c r="I55" s="14">
        <v>0</v>
      </c>
      <c r="J55" s="8">
        <v>0</v>
      </c>
      <c r="K55" s="8">
        <v>0</v>
      </c>
    </row>
    <row r="56" spans="1:11" x14ac:dyDescent="0.2">
      <c r="A56" s="10">
        <v>28110000</v>
      </c>
      <c r="B56" s="10" t="s">
        <v>296</v>
      </c>
      <c r="C56" s="11">
        <v>0</v>
      </c>
      <c r="D56" s="11">
        <v>0</v>
      </c>
      <c r="E56" s="11">
        <v>0</v>
      </c>
      <c r="F56" s="13">
        <v>0</v>
      </c>
      <c r="G56" s="13">
        <v>0</v>
      </c>
      <c r="H56" s="14">
        <v>0</v>
      </c>
      <c r="I56" s="14">
        <v>0</v>
      </c>
      <c r="J56" s="8">
        <v>0</v>
      </c>
      <c r="K56" s="8">
        <v>0</v>
      </c>
    </row>
    <row r="57" spans="1:11" x14ac:dyDescent="0.2">
      <c r="A57" s="10">
        <v>28130000</v>
      </c>
      <c r="B57" s="10" t="s">
        <v>24</v>
      </c>
      <c r="C57" s="11">
        <v>-69073.250999999975</v>
      </c>
      <c r="D57" s="11">
        <v>0</v>
      </c>
      <c r="E57" s="11">
        <v>0</v>
      </c>
      <c r="F57" s="13">
        <v>0</v>
      </c>
      <c r="G57" s="13">
        <v>559.60299999999995</v>
      </c>
      <c r="H57" s="14">
        <v>-559.60299999999995</v>
      </c>
      <c r="I57" s="14">
        <v>-69632.853999999978</v>
      </c>
      <c r="J57" s="8" t="s">
        <v>47</v>
      </c>
      <c r="K57" s="8">
        <v>0</v>
      </c>
    </row>
    <row r="58" spans="1:11" x14ac:dyDescent="0.2">
      <c r="A58" s="10">
        <v>28216000</v>
      </c>
      <c r="B58" s="10" t="s">
        <v>48</v>
      </c>
      <c r="C58" s="11">
        <v>-146227.05400000003</v>
      </c>
      <c r="D58" s="11">
        <v>0</v>
      </c>
      <c r="E58" s="11">
        <v>0</v>
      </c>
      <c r="F58" s="13">
        <v>0</v>
      </c>
      <c r="G58" s="13">
        <v>231.89</v>
      </c>
      <c r="H58" s="14">
        <v>-231.89</v>
      </c>
      <c r="I58" s="14">
        <v>-146458.94400000005</v>
      </c>
      <c r="J58" s="8" t="s">
        <v>47</v>
      </c>
      <c r="K58" s="8">
        <v>0</v>
      </c>
    </row>
    <row r="59" spans="1:11" x14ac:dyDescent="0.2">
      <c r="A59" s="10">
        <v>28220000</v>
      </c>
      <c r="B59" s="10" t="s">
        <v>49</v>
      </c>
      <c r="C59" s="11">
        <v>-3388091.4079999998</v>
      </c>
      <c r="D59" s="11">
        <v>0</v>
      </c>
      <c r="E59" s="11">
        <v>0</v>
      </c>
      <c r="F59" s="13">
        <v>0</v>
      </c>
      <c r="G59" s="13">
        <v>37206.669000000002</v>
      </c>
      <c r="H59" s="14">
        <v>-37206.669000000002</v>
      </c>
      <c r="I59" s="14">
        <v>-3425298.077</v>
      </c>
      <c r="J59" s="8" t="s">
        <v>47</v>
      </c>
      <c r="K59" s="8">
        <v>0</v>
      </c>
    </row>
    <row r="60" spans="1:11" x14ac:dyDescent="0.2">
      <c r="A60" s="10">
        <v>28225000</v>
      </c>
      <c r="B60" s="10" t="s">
        <v>50</v>
      </c>
      <c r="C60" s="11">
        <v>-220130.52599999995</v>
      </c>
      <c r="D60" s="11">
        <v>0</v>
      </c>
      <c r="E60" s="11">
        <v>0</v>
      </c>
      <c r="F60" s="13">
        <v>0</v>
      </c>
      <c r="G60" s="13">
        <v>6128.7759999999998</v>
      </c>
      <c r="H60" s="14">
        <v>-6128.7759999999998</v>
      </c>
      <c r="I60" s="14">
        <v>-226259.30199999997</v>
      </c>
      <c r="J60" s="8" t="s">
        <v>47</v>
      </c>
      <c r="K60" s="8">
        <v>0</v>
      </c>
    </row>
    <row r="61" spans="1:11" x14ac:dyDescent="0.2">
      <c r="A61" s="10">
        <v>28230000</v>
      </c>
      <c r="B61" s="10" t="s">
        <v>263</v>
      </c>
      <c r="C61" s="11">
        <v>-27759.296999999999</v>
      </c>
      <c r="D61" s="11">
        <v>0</v>
      </c>
      <c r="E61" s="11">
        <v>0</v>
      </c>
      <c r="F61" s="13">
        <v>0</v>
      </c>
      <c r="G61" s="13">
        <v>1913.9259999999999</v>
      </c>
      <c r="H61" s="14">
        <v>-1913.9259999999999</v>
      </c>
      <c r="I61" s="14">
        <v>-29673.222999999998</v>
      </c>
      <c r="J61" s="8" t="s">
        <v>47</v>
      </c>
      <c r="K61" s="8">
        <v>0</v>
      </c>
    </row>
    <row r="62" spans="1:11" x14ac:dyDescent="0.2">
      <c r="A62" s="10">
        <v>28234000</v>
      </c>
      <c r="B62" s="10" t="s">
        <v>51</v>
      </c>
      <c r="C62" s="11">
        <v>-14714231.660999998</v>
      </c>
      <c r="D62" s="11">
        <v>0</v>
      </c>
      <c r="E62" s="11">
        <v>0</v>
      </c>
      <c r="F62" s="13">
        <v>0</v>
      </c>
      <c r="G62" s="13">
        <v>118474.76700000001</v>
      </c>
      <c r="H62" s="14">
        <v>-118474.76700000001</v>
      </c>
      <c r="I62" s="14">
        <v>-14832706.427999999</v>
      </c>
      <c r="J62" s="8" t="s">
        <v>47</v>
      </c>
      <c r="K62" s="8">
        <v>0</v>
      </c>
    </row>
    <row r="63" spans="1:11" x14ac:dyDescent="0.2">
      <c r="A63" s="10">
        <v>28235000</v>
      </c>
      <c r="B63" s="10" t="s">
        <v>52</v>
      </c>
      <c r="C63" s="11">
        <v>-307563.73299999995</v>
      </c>
      <c r="D63" s="11">
        <v>0</v>
      </c>
      <c r="E63" s="11">
        <v>0</v>
      </c>
      <c r="F63" s="13">
        <v>0</v>
      </c>
      <c r="G63" s="13">
        <v>6231.1679999999997</v>
      </c>
      <c r="H63" s="14">
        <v>-6231.1679999999997</v>
      </c>
      <c r="I63" s="14">
        <v>-313794.90099999995</v>
      </c>
      <c r="J63" s="8" t="s">
        <v>47</v>
      </c>
      <c r="K63" s="8">
        <v>0</v>
      </c>
    </row>
    <row r="64" spans="1:11" x14ac:dyDescent="0.2">
      <c r="A64" s="10">
        <v>28237000</v>
      </c>
      <c r="B64" s="10" t="s">
        <v>53</v>
      </c>
      <c r="C64" s="11">
        <v>-738757.951</v>
      </c>
      <c r="D64" s="11">
        <v>0</v>
      </c>
      <c r="E64" s="11">
        <v>0</v>
      </c>
      <c r="F64" s="13">
        <v>0</v>
      </c>
      <c r="G64" s="13">
        <v>1805.7460000000001</v>
      </c>
      <c r="H64" s="14">
        <v>-1805.7460000000001</v>
      </c>
      <c r="I64" s="14">
        <v>-740563.69700000004</v>
      </c>
      <c r="J64" s="8" t="s">
        <v>47</v>
      </c>
      <c r="K64" s="8">
        <v>0</v>
      </c>
    </row>
    <row r="65" spans="1:11" x14ac:dyDescent="0.2">
      <c r="A65" s="10">
        <v>28240000</v>
      </c>
      <c r="B65" s="10" t="s">
        <v>54</v>
      </c>
      <c r="C65" s="11">
        <v>-530955.33600000001</v>
      </c>
      <c r="D65" s="11">
        <v>0</v>
      </c>
      <c r="E65" s="11">
        <v>0</v>
      </c>
      <c r="F65" s="13">
        <v>0</v>
      </c>
      <c r="G65" s="13">
        <v>11130.312</v>
      </c>
      <c r="H65" s="14">
        <v>-11130.312</v>
      </c>
      <c r="I65" s="14">
        <v>-542085.64800000004</v>
      </c>
      <c r="J65" s="8" t="s">
        <v>47</v>
      </c>
      <c r="K65" s="8">
        <v>0</v>
      </c>
    </row>
    <row r="66" spans="1:11" x14ac:dyDescent="0.2">
      <c r="A66" s="10">
        <v>28282000</v>
      </c>
      <c r="B66" s="10" t="s">
        <v>55</v>
      </c>
      <c r="C66" s="11">
        <v>-188797.36800000002</v>
      </c>
      <c r="D66" s="11">
        <v>0</v>
      </c>
      <c r="E66" s="11">
        <v>0</v>
      </c>
      <c r="F66" s="13">
        <v>0</v>
      </c>
      <c r="G66" s="13">
        <v>4388.4250000000002</v>
      </c>
      <c r="H66" s="14">
        <v>-4388.4250000000002</v>
      </c>
      <c r="I66" s="14">
        <v>-193185.79300000001</v>
      </c>
      <c r="J66" s="8" t="s">
        <v>47</v>
      </c>
      <c r="K66" s="8">
        <v>0</v>
      </c>
    </row>
    <row r="67" spans="1:11" x14ac:dyDescent="0.2">
      <c r="A67" s="10">
        <v>28283000</v>
      </c>
      <c r="B67" s="10" t="s">
        <v>264</v>
      </c>
      <c r="C67" s="11">
        <v>-100264.98800000001</v>
      </c>
      <c r="D67" s="11">
        <v>0</v>
      </c>
      <c r="E67" s="11">
        <v>0</v>
      </c>
      <c r="F67" s="13">
        <v>0</v>
      </c>
      <c r="G67" s="13">
        <v>6166.3590000000004</v>
      </c>
      <c r="H67" s="14">
        <v>-6166.3590000000004</v>
      </c>
      <c r="I67" s="14">
        <v>-106431.34700000001</v>
      </c>
      <c r="J67" s="8" t="s">
        <v>47</v>
      </c>
      <c r="K67" s="8">
        <v>0</v>
      </c>
    </row>
    <row r="68" spans="1:11" x14ac:dyDescent="0.2">
      <c r="A68" s="10">
        <v>28400000</v>
      </c>
      <c r="B68" s="10" t="s">
        <v>56</v>
      </c>
      <c r="C68" s="11">
        <v>-439866.02999999985</v>
      </c>
      <c r="D68" s="11">
        <v>0</v>
      </c>
      <c r="E68" s="11">
        <v>0</v>
      </c>
      <c r="F68" s="13">
        <v>0</v>
      </c>
      <c r="G68" s="13">
        <v>7676.0339999999997</v>
      </c>
      <c r="H68" s="14">
        <v>-7676.0339999999997</v>
      </c>
      <c r="I68" s="14">
        <v>-447542.06399999984</v>
      </c>
      <c r="J68" s="8" t="s">
        <v>47</v>
      </c>
      <c r="K68" s="8">
        <v>0</v>
      </c>
    </row>
    <row r="69" spans="1:11" x14ac:dyDescent="0.2">
      <c r="A69" s="10">
        <v>29220000</v>
      </c>
      <c r="B69" s="10" t="s">
        <v>297</v>
      </c>
      <c r="C69" s="11">
        <v>0</v>
      </c>
      <c r="D69" s="11">
        <v>0</v>
      </c>
      <c r="E69" s="11">
        <v>0</v>
      </c>
      <c r="F69" s="13">
        <v>0</v>
      </c>
      <c r="G69" s="13">
        <v>0</v>
      </c>
      <c r="H69" s="14">
        <v>0</v>
      </c>
      <c r="I69" s="14">
        <v>0</v>
      </c>
      <c r="J69" s="8">
        <v>0</v>
      </c>
      <c r="K69" s="8">
        <v>0</v>
      </c>
    </row>
    <row r="70" spans="1:11" x14ac:dyDescent="0.2">
      <c r="A70" s="10">
        <v>29234000</v>
      </c>
      <c r="B70" s="10" t="s">
        <v>388</v>
      </c>
      <c r="C70" s="11">
        <v>-223876.883</v>
      </c>
      <c r="D70" s="11">
        <v>0</v>
      </c>
      <c r="E70" s="11">
        <v>0</v>
      </c>
      <c r="F70" s="13">
        <v>0</v>
      </c>
      <c r="G70" s="13">
        <v>0</v>
      </c>
      <c r="H70" s="14">
        <v>0</v>
      </c>
      <c r="I70" s="14">
        <v>-223876.883</v>
      </c>
      <c r="J70" s="8" t="s">
        <v>401</v>
      </c>
      <c r="K70" s="8">
        <v>0</v>
      </c>
    </row>
    <row r="71" spans="1:11" x14ac:dyDescent="0.2">
      <c r="A71" s="10">
        <v>29235000</v>
      </c>
      <c r="B71" s="10" t="s">
        <v>389</v>
      </c>
      <c r="C71" s="11">
        <v>-8171.4290000000001</v>
      </c>
      <c r="D71" s="11">
        <v>0</v>
      </c>
      <c r="E71" s="11">
        <v>0</v>
      </c>
      <c r="F71" s="13">
        <v>0</v>
      </c>
      <c r="G71" s="13">
        <v>0</v>
      </c>
      <c r="H71" s="14">
        <v>0</v>
      </c>
      <c r="I71" s="14">
        <v>-8171.4290000000001</v>
      </c>
      <c r="J71" s="8" t="s">
        <v>401</v>
      </c>
      <c r="K71" s="8">
        <v>0</v>
      </c>
    </row>
    <row r="72" spans="1:11" x14ac:dyDescent="0.2">
      <c r="A72" s="10">
        <v>29282000</v>
      </c>
      <c r="B72" s="10" t="s">
        <v>298</v>
      </c>
      <c r="C72" s="11">
        <v>0</v>
      </c>
      <c r="D72" s="11">
        <v>0</v>
      </c>
      <c r="E72" s="11">
        <v>0</v>
      </c>
      <c r="F72" s="13">
        <v>0</v>
      </c>
      <c r="G72" s="13">
        <v>0</v>
      </c>
      <c r="H72" s="14">
        <v>0</v>
      </c>
      <c r="I72" s="14">
        <v>0</v>
      </c>
      <c r="J72" s="8">
        <v>0</v>
      </c>
      <c r="K72" s="8">
        <v>0</v>
      </c>
    </row>
    <row r="73" spans="1:11" x14ac:dyDescent="0.2">
      <c r="A73" s="10">
        <v>29286500</v>
      </c>
      <c r="B73" s="10" t="s">
        <v>299</v>
      </c>
      <c r="C73" s="11">
        <v>0</v>
      </c>
      <c r="D73" s="11">
        <v>0</v>
      </c>
      <c r="E73" s="11">
        <v>0</v>
      </c>
      <c r="F73" s="13">
        <v>0</v>
      </c>
      <c r="G73" s="13">
        <v>0</v>
      </c>
      <c r="H73" s="14">
        <v>0</v>
      </c>
      <c r="I73" s="14">
        <v>0</v>
      </c>
      <c r="J73" s="8" t="s">
        <v>25</v>
      </c>
      <c r="K73" s="8">
        <v>0</v>
      </c>
    </row>
    <row r="74" spans="1:11" x14ac:dyDescent="0.2">
      <c r="A74" s="10">
        <v>29700000</v>
      </c>
      <c r="B74" s="10" t="s">
        <v>57</v>
      </c>
      <c r="C74" s="11">
        <v>-29257.384999999998</v>
      </c>
      <c r="D74" s="11">
        <v>0</v>
      </c>
      <c r="E74" s="11">
        <v>0</v>
      </c>
      <c r="F74" s="13">
        <v>0</v>
      </c>
      <c r="G74" s="13">
        <v>0</v>
      </c>
      <c r="H74" s="14">
        <v>0</v>
      </c>
      <c r="I74" s="14">
        <v>-29257.384999999998</v>
      </c>
      <c r="J74" s="8" t="s">
        <v>58</v>
      </c>
      <c r="K74" s="8">
        <v>0</v>
      </c>
    </row>
    <row r="75" spans="1:11" x14ac:dyDescent="0.2">
      <c r="A75" s="10">
        <v>31100000</v>
      </c>
      <c r="B75" s="10" t="s">
        <v>59</v>
      </c>
      <c r="C75" s="11">
        <v>10199370.071000004</v>
      </c>
      <c r="D75" s="11">
        <v>0</v>
      </c>
      <c r="E75" s="11">
        <v>0</v>
      </c>
      <c r="F75" s="13">
        <v>9874636.6089999992</v>
      </c>
      <c r="G75" s="13">
        <v>10199370.071</v>
      </c>
      <c r="H75" s="14">
        <v>-324733.46200000122</v>
      </c>
      <c r="I75" s="14">
        <v>9874636.609000003</v>
      </c>
      <c r="J75" s="8" t="s">
        <v>60</v>
      </c>
      <c r="K75" s="8">
        <v>0</v>
      </c>
    </row>
    <row r="76" spans="1:11" x14ac:dyDescent="0.2">
      <c r="A76" s="10">
        <v>31200000</v>
      </c>
      <c r="B76" s="10" t="s">
        <v>390</v>
      </c>
      <c r="C76" s="11">
        <v>0</v>
      </c>
      <c r="D76" s="11">
        <v>0</v>
      </c>
      <c r="E76" s="11">
        <v>0</v>
      </c>
      <c r="F76" s="13">
        <v>0</v>
      </c>
      <c r="G76" s="13">
        <v>0</v>
      </c>
      <c r="H76" s="14">
        <v>0</v>
      </c>
      <c r="I76" s="14">
        <v>0</v>
      </c>
      <c r="J76" s="8" t="s">
        <v>60</v>
      </c>
      <c r="K76" s="8">
        <v>0</v>
      </c>
    </row>
    <row r="77" spans="1:11" x14ac:dyDescent="0.2">
      <c r="A77" s="10">
        <v>32200000</v>
      </c>
      <c r="B77" s="10" t="s">
        <v>61</v>
      </c>
      <c r="C77" s="11">
        <v>663413.20800000057</v>
      </c>
      <c r="D77" s="11">
        <v>0</v>
      </c>
      <c r="E77" s="11">
        <v>0</v>
      </c>
      <c r="F77" s="13">
        <v>667822.40099999995</v>
      </c>
      <c r="G77" s="13">
        <v>663413.20799999998</v>
      </c>
      <c r="H77" s="14">
        <v>4409.1929999999702</v>
      </c>
      <c r="I77" s="14">
        <v>667822.40100000054</v>
      </c>
      <c r="J77" s="8" t="s">
        <v>60</v>
      </c>
      <c r="K77" s="8">
        <v>0</v>
      </c>
    </row>
    <row r="78" spans="1:11" x14ac:dyDescent="0.2">
      <c r="A78" s="10">
        <v>33100000</v>
      </c>
      <c r="B78" s="10" t="s">
        <v>62</v>
      </c>
      <c r="C78" s="11">
        <v>983716.75499999977</v>
      </c>
      <c r="D78" s="11">
        <v>0</v>
      </c>
      <c r="E78" s="11">
        <v>0</v>
      </c>
      <c r="F78" s="13">
        <v>1082748.56</v>
      </c>
      <c r="G78" s="13">
        <v>983716.755</v>
      </c>
      <c r="H78" s="14">
        <v>99031.805000000051</v>
      </c>
      <c r="I78" s="14">
        <v>1082748.5599999998</v>
      </c>
      <c r="J78" s="8" t="s">
        <v>60</v>
      </c>
      <c r="K78" s="8">
        <v>0</v>
      </c>
    </row>
    <row r="79" spans="1:11" x14ac:dyDescent="0.2">
      <c r="A79" s="10">
        <v>33500000</v>
      </c>
      <c r="B79" s="10" t="s">
        <v>300</v>
      </c>
      <c r="C79" s="11">
        <v>0</v>
      </c>
      <c r="D79" s="11">
        <v>0</v>
      </c>
      <c r="E79" s="11">
        <v>0</v>
      </c>
      <c r="F79" s="13">
        <v>0</v>
      </c>
      <c r="G79" s="13">
        <v>0</v>
      </c>
      <c r="H79" s="14">
        <v>0</v>
      </c>
      <c r="I79" s="14">
        <v>0</v>
      </c>
      <c r="J79" s="8">
        <v>0</v>
      </c>
      <c r="K79" s="8">
        <v>0</v>
      </c>
    </row>
    <row r="80" spans="1:11" x14ac:dyDescent="0.2">
      <c r="A80" s="10">
        <v>34100000</v>
      </c>
      <c r="B80" s="10" t="s">
        <v>301</v>
      </c>
      <c r="C80" s="11">
        <v>0</v>
      </c>
      <c r="D80" s="11">
        <v>0</v>
      </c>
      <c r="E80" s="11">
        <v>0</v>
      </c>
      <c r="F80" s="13">
        <v>0</v>
      </c>
      <c r="G80" s="13">
        <v>0</v>
      </c>
      <c r="H80" s="14">
        <v>0</v>
      </c>
      <c r="I80" s="14">
        <v>0</v>
      </c>
      <c r="J80" s="8">
        <v>0</v>
      </c>
      <c r="K80" s="8">
        <v>0</v>
      </c>
    </row>
    <row r="81" spans="1:11" x14ac:dyDescent="0.2">
      <c r="A81" s="10">
        <v>35500000</v>
      </c>
      <c r="B81" s="10" t="s">
        <v>63</v>
      </c>
      <c r="C81" s="11">
        <v>3856902.2680000011</v>
      </c>
      <c r="D81" s="11">
        <v>0</v>
      </c>
      <c r="E81" s="11">
        <v>0</v>
      </c>
      <c r="F81" s="13">
        <v>5501869.2189999996</v>
      </c>
      <c r="G81" s="13">
        <v>3856902.2680000002</v>
      </c>
      <c r="H81" s="14">
        <v>1644966.9509999994</v>
      </c>
      <c r="I81" s="14">
        <v>5501869.2190000005</v>
      </c>
      <c r="J81" s="8" t="s">
        <v>60</v>
      </c>
      <c r="K81" s="8">
        <v>0</v>
      </c>
    </row>
    <row r="82" spans="1:11" x14ac:dyDescent="0.2">
      <c r="A82" s="10">
        <v>39000000</v>
      </c>
      <c r="B82" s="10" t="s">
        <v>64</v>
      </c>
      <c r="C82" s="11">
        <v>-60168.119000000006</v>
      </c>
      <c r="D82" s="11">
        <v>0</v>
      </c>
      <c r="E82" s="11">
        <v>0</v>
      </c>
      <c r="F82" s="13">
        <v>0</v>
      </c>
      <c r="G82" s="13">
        <v>0</v>
      </c>
      <c r="H82" s="14">
        <v>0</v>
      </c>
      <c r="I82" s="14">
        <v>-60168.119000000006</v>
      </c>
      <c r="J82" s="8" t="s">
        <v>65</v>
      </c>
      <c r="K82" s="8">
        <v>0</v>
      </c>
    </row>
    <row r="83" spans="1:11" x14ac:dyDescent="0.2">
      <c r="A83" s="10">
        <v>40100000</v>
      </c>
      <c r="B83" s="10" t="s">
        <v>66</v>
      </c>
      <c r="C83" s="11">
        <v>-4384485.8399315197</v>
      </c>
      <c r="D83" s="11">
        <v>4242927.1619999995</v>
      </c>
      <c r="E83" s="11">
        <v>2633627.3469395</v>
      </c>
      <c r="F83" s="13">
        <v>0</v>
      </c>
      <c r="G83" s="13">
        <v>0</v>
      </c>
      <c r="H83" s="14">
        <v>1609299.8150604996</v>
      </c>
      <c r="I83" s="14">
        <v>-2775186.0248710201</v>
      </c>
      <c r="J83" s="8" t="s">
        <v>67</v>
      </c>
      <c r="K83" s="8">
        <v>0</v>
      </c>
    </row>
    <row r="84" spans="1:11" x14ac:dyDescent="0.2">
      <c r="A84" s="10">
        <v>40300000</v>
      </c>
      <c r="B84" s="10" t="s">
        <v>68</v>
      </c>
      <c r="C84" s="11">
        <v>-596686.60900000669</v>
      </c>
      <c r="D84" s="11">
        <v>328271.54200000002</v>
      </c>
      <c r="E84" s="11">
        <v>193983.48800000001</v>
      </c>
      <c r="F84" s="13">
        <v>0</v>
      </c>
      <c r="G84" s="13">
        <v>0</v>
      </c>
      <c r="H84" s="14">
        <v>134288.054</v>
      </c>
      <c r="I84" s="14">
        <v>-462398.55500000669</v>
      </c>
      <c r="J84" s="8" t="s">
        <v>67</v>
      </c>
      <c r="K84" s="8">
        <v>0</v>
      </c>
    </row>
    <row r="85" spans="1:11" x14ac:dyDescent="0.2">
      <c r="A85" s="10">
        <v>40301000</v>
      </c>
      <c r="B85" s="10" t="s">
        <v>302</v>
      </c>
      <c r="C85" s="11">
        <v>0</v>
      </c>
      <c r="D85" s="11">
        <v>0</v>
      </c>
      <c r="E85" s="11">
        <v>0</v>
      </c>
      <c r="F85" s="13">
        <v>0</v>
      </c>
      <c r="G85" s="13">
        <v>0</v>
      </c>
      <c r="H85" s="14">
        <v>0</v>
      </c>
      <c r="I85" s="14">
        <v>0</v>
      </c>
      <c r="J85" s="8">
        <v>0</v>
      </c>
      <c r="K85" s="8">
        <v>0</v>
      </c>
    </row>
    <row r="86" spans="1:11" x14ac:dyDescent="0.2">
      <c r="A86" s="10">
        <v>40400000</v>
      </c>
      <c r="B86" s="10" t="s">
        <v>69</v>
      </c>
      <c r="C86" s="11">
        <v>9.999983012676239E-5</v>
      </c>
      <c r="D86" s="11">
        <v>0</v>
      </c>
      <c r="E86" s="11">
        <v>0</v>
      </c>
      <c r="F86" s="13">
        <v>0</v>
      </c>
      <c r="G86" s="13">
        <v>0</v>
      </c>
      <c r="H86" s="14">
        <v>0</v>
      </c>
      <c r="I86" s="14">
        <v>9.999983012676239E-5</v>
      </c>
      <c r="J86" s="8">
        <v>0</v>
      </c>
      <c r="K86" s="8">
        <v>0</v>
      </c>
    </row>
    <row r="87" spans="1:11" x14ac:dyDescent="0.2">
      <c r="A87" s="10">
        <v>40470000</v>
      </c>
      <c r="B87" s="10" t="s">
        <v>303</v>
      </c>
      <c r="C87" s="11">
        <v>0</v>
      </c>
      <c r="D87" s="11">
        <v>0</v>
      </c>
      <c r="E87" s="11">
        <v>0</v>
      </c>
      <c r="F87" s="13">
        <v>0</v>
      </c>
      <c r="G87" s="13">
        <v>0</v>
      </c>
      <c r="H87" s="14">
        <v>0</v>
      </c>
      <c r="I87" s="14">
        <v>0</v>
      </c>
      <c r="J87" s="8">
        <v>0</v>
      </c>
      <c r="K87" s="8">
        <v>0</v>
      </c>
    </row>
    <row r="88" spans="1:11" x14ac:dyDescent="0.2">
      <c r="A88" s="10">
        <v>40600000</v>
      </c>
      <c r="B88" s="10" t="s">
        <v>70</v>
      </c>
      <c r="C88" s="11">
        <v>-1337880.5333946198</v>
      </c>
      <c r="D88" s="11">
        <v>657998.76</v>
      </c>
      <c r="E88" s="11">
        <v>1266533.0080710002</v>
      </c>
      <c r="F88" s="13">
        <v>0</v>
      </c>
      <c r="G88" s="13">
        <v>0</v>
      </c>
      <c r="H88" s="14">
        <v>-608534.24807100021</v>
      </c>
      <c r="I88" s="14">
        <v>-1946414.78146562</v>
      </c>
      <c r="J88" s="8" t="s">
        <v>67</v>
      </c>
      <c r="K88" s="8">
        <v>0</v>
      </c>
    </row>
    <row r="89" spans="1:11" x14ac:dyDescent="0.2">
      <c r="A89" s="10">
        <v>40800000</v>
      </c>
      <c r="B89" s="10" t="s">
        <v>71</v>
      </c>
      <c r="C89" s="11">
        <v>-4980</v>
      </c>
      <c r="D89" s="16">
        <v>0</v>
      </c>
      <c r="E89" s="11">
        <v>0</v>
      </c>
      <c r="F89" s="13">
        <v>0</v>
      </c>
      <c r="G89" s="13">
        <v>0</v>
      </c>
      <c r="H89" s="14">
        <v>0</v>
      </c>
      <c r="I89" s="14">
        <v>-4980</v>
      </c>
      <c r="J89" s="8" t="s">
        <v>67</v>
      </c>
      <c r="K89" s="8">
        <v>0</v>
      </c>
    </row>
    <row r="90" spans="1:11" x14ac:dyDescent="0.2">
      <c r="A90" s="10">
        <v>40860000</v>
      </c>
      <c r="B90" s="10" t="s">
        <v>304</v>
      </c>
      <c r="C90" s="11">
        <v>0</v>
      </c>
      <c r="D90" s="11">
        <v>0</v>
      </c>
      <c r="E90" s="11">
        <v>0</v>
      </c>
      <c r="F90" s="13">
        <v>0</v>
      </c>
      <c r="G90" s="13">
        <v>0</v>
      </c>
      <c r="H90" s="14">
        <v>0</v>
      </c>
      <c r="I90" s="14">
        <v>0</v>
      </c>
      <c r="J90" s="8">
        <v>0</v>
      </c>
      <c r="K90" s="8">
        <v>0</v>
      </c>
    </row>
    <row r="91" spans="1:11" x14ac:dyDescent="0.2">
      <c r="A91" s="10">
        <v>40910000</v>
      </c>
      <c r="B91" s="10" t="s">
        <v>72</v>
      </c>
      <c r="C91" s="11">
        <v>579508.96299999999</v>
      </c>
      <c r="D91" s="11">
        <v>0</v>
      </c>
      <c r="E91" s="11">
        <v>0</v>
      </c>
      <c r="F91" s="13">
        <v>0</v>
      </c>
      <c r="G91" s="13">
        <v>0</v>
      </c>
      <c r="H91" s="14">
        <v>0</v>
      </c>
      <c r="I91" s="14">
        <v>579508.96299999999</v>
      </c>
      <c r="J91" s="8" t="s">
        <v>78</v>
      </c>
      <c r="K91" s="8">
        <v>0</v>
      </c>
    </row>
    <row r="92" spans="1:11" x14ac:dyDescent="0.2">
      <c r="A92" s="10">
        <v>41100000</v>
      </c>
      <c r="B92" s="10" t="s">
        <v>73</v>
      </c>
      <c r="C92" s="11">
        <v>12611877.154302444</v>
      </c>
      <c r="D92" s="11">
        <v>3061806.9839999997</v>
      </c>
      <c r="E92" s="11">
        <v>3157805.324</v>
      </c>
      <c r="F92" s="13">
        <v>0</v>
      </c>
      <c r="G92" s="13">
        <v>0</v>
      </c>
      <c r="H92" s="14">
        <v>-95998.340000000317</v>
      </c>
      <c r="I92" s="14">
        <v>12515878.814302444</v>
      </c>
      <c r="J92" s="8" t="s">
        <v>74</v>
      </c>
      <c r="K92" s="8">
        <v>0</v>
      </c>
    </row>
    <row r="93" spans="1:11" x14ac:dyDescent="0.2">
      <c r="A93" s="10">
        <v>41301000</v>
      </c>
      <c r="B93" s="10" t="s">
        <v>305</v>
      </c>
      <c r="C93" s="11">
        <v>0</v>
      </c>
      <c r="D93" s="11">
        <v>0</v>
      </c>
      <c r="E93" s="11">
        <v>0</v>
      </c>
      <c r="F93" s="13">
        <v>0</v>
      </c>
      <c r="G93" s="13">
        <v>0</v>
      </c>
      <c r="H93" s="14">
        <v>0</v>
      </c>
      <c r="I93" s="14">
        <v>0</v>
      </c>
      <c r="J93" s="8">
        <v>0</v>
      </c>
      <c r="K93" s="8">
        <v>0</v>
      </c>
    </row>
    <row r="94" spans="1:11" x14ac:dyDescent="0.2">
      <c r="A94" s="10">
        <v>41500000</v>
      </c>
      <c r="B94" s="10" t="s">
        <v>75</v>
      </c>
      <c r="C94" s="11">
        <v>2050331.3151354794</v>
      </c>
      <c r="D94" s="11">
        <v>0</v>
      </c>
      <c r="E94" s="11">
        <v>0</v>
      </c>
      <c r="F94" s="13">
        <v>0</v>
      </c>
      <c r="G94" s="13">
        <v>0</v>
      </c>
      <c r="H94" s="14">
        <v>0</v>
      </c>
      <c r="I94" s="14">
        <v>2050331.3151354794</v>
      </c>
      <c r="J94" s="8" t="s">
        <v>74</v>
      </c>
      <c r="K94" s="8">
        <v>0</v>
      </c>
    </row>
    <row r="95" spans="1:11" x14ac:dyDescent="0.2">
      <c r="A95" s="10">
        <v>41601000</v>
      </c>
      <c r="B95" s="10" t="s">
        <v>306</v>
      </c>
      <c r="C95" s="11">
        <v>0</v>
      </c>
      <c r="D95" s="11">
        <v>0</v>
      </c>
      <c r="E95" s="11">
        <v>0</v>
      </c>
      <c r="F95" s="13">
        <v>0</v>
      </c>
      <c r="G95" s="13">
        <v>0</v>
      </c>
      <c r="H95" s="14">
        <v>0</v>
      </c>
      <c r="I95" s="14">
        <v>0</v>
      </c>
      <c r="J95" s="8">
        <v>0</v>
      </c>
      <c r="K95" s="8">
        <v>0</v>
      </c>
    </row>
    <row r="96" spans="1:11" x14ac:dyDescent="0.2">
      <c r="A96" s="10">
        <v>41800000</v>
      </c>
      <c r="B96" s="10" t="s">
        <v>307</v>
      </c>
      <c r="C96" s="11">
        <v>0</v>
      </c>
      <c r="D96" s="11">
        <v>0</v>
      </c>
      <c r="E96" s="11">
        <v>0</v>
      </c>
      <c r="F96" s="13">
        <v>0</v>
      </c>
      <c r="G96" s="13">
        <v>0</v>
      </c>
      <c r="H96" s="14">
        <v>0</v>
      </c>
      <c r="I96" s="14">
        <v>0</v>
      </c>
      <c r="J96" s="8">
        <v>0</v>
      </c>
      <c r="K96" s="8">
        <v>0</v>
      </c>
    </row>
    <row r="97" spans="1:11" x14ac:dyDescent="0.2">
      <c r="A97" s="10">
        <v>41910000</v>
      </c>
      <c r="B97" s="10" t="s">
        <v>308</v>
      </c>
      <c r="C97" s="11">
        <v>0</v>
      </c>
      <c r="D97" s="11">
        <v>0</v>
      </c>
      <c r="E97" s="11">
        <v>0</v>
      </c>
      <c r="F97" s="13">
        <v>0</v>
      </c>
      <c r="G97" s="13">
        <v>0</v>
      </c>
      <c r="H97" s="14">
        <v>0</v>
      </c>
      <c r="I97" s="14">
        <v>0</v>
      </c>
      <c r="J97" s="8">
        <v>0</v>
      </c>
      <c r="K97" s="8">
        <v>0</v>
      </c>
    </row>
    <row r="98" spans="1:11" x14ac:dyDescent="0.2">
      <c r="A98" s="10">
        <v>42100000</v>
      </c>
      <c r="B98" s="10" t="s">
        <v>76</v>
      </c>
      <c r="C98" s="11">
        <v>0</v>
      </c>
      <c r="D98" s="11">
        <v>0</v>
      </c>
      <c r="E98" s="11">
        <v>0</v>
      </c>
      <c r="F98" s="13">
        <v>0</v>
      </c>
      <c r="G98" s="13">
        <v>0</v>
      </c>
      <c r="H98" s="14">
        <v>0</v>
      </c>
      <c r="I98" s="14">
        <v>0</v>
      </c>
      <c r="J98" s="8">
        <v>0</v>
      </c>
      <c r="K98" s="8">
        <v>0</v>
      </c>
    </row>
    <row r="99" spans="1:11" x14ac:dyDescent="0.2">
      <c r="A99" s="10">
        <v>42110000</v>
      </c>
      <c r="B99" s="10" t="s">
        <v>309</v>
      </c>
      <c r="C99" s="11">
        <v>0</v>
      </c>
      <c r="D99" s="11">
        <v>0</v>
      </c>
      <c r="E99" s="11">
        <v>0</v>
      </c>
      <c r="F99" s="13">
        <v>0</v>
      </c>
      <c r="G99" s="13">
        <v>0</v>
      </c>
      <c r="H99" s="14">
        <v>0</v>
      </c>
      <c r="I99" s="14">
        <v>0</v>
      </c>
      <c r="J99" s="8">
        <v>0</v>
      </c>
      <c r="K99" s="8">
        <v>0</v>
      </c>
    </row>
    <row r="100" spans="1:11" x14ac:dyDescent="0.2">
      <c r="A100" s="10">
        <v>42120000</v>
      </c>
      <c r="B100" s="10" t="s">
        <v>77</v>
      </c>
      <c r="C100" s="11">
        <v>4291.0069999999832</v>
      </c>
      <c r="D100" s="11">
        <v>22400</v>
      </c>
      <c r="E100" s="11">
        <v>50</v>
      </c>
      <c r="F100" s="13">
        <v>0</v>
      </c>
      <c r="G100" s="13">
        <v>0</v>
      </c>
      <c r="H100" s="14">
        <v>22350</v>
      </c>
      <c r="I100" s="14">
        <v>26641.006999999983</v>
      </c>
      <c r="J100" s="8" t="s">
        <v>78</v>
      </c>
      <c r="K100" s="8">
        <v>0</v>
      </c>
    </row>
    <row r="101" spans="1:11" x14ac:dyDescent="0.2">
      <c r="A101" s="10">
        <v>42400000</v>
      </c>
      <c r="B101" s="10" t="s">
        <v>79</v>
      </c>
      <c r="C101" s="11">
        <v>0</v>
      </c>
      <c r="D101" s="11">
        <v>0</v>
      </c>
      <c r="E101" s="11">
        <v>0</v>
      </c>
      <c r="F101" s="13">
        <v>0</v>
      </c>
      <c r="G101" s="13">
        <v>0</v>
      </c>
      <c r="H101" s="14">
        <v>0</v>
      </c>
      <c r="I101" s="14">
        <v>0</v>
      </c>
      <c r="J101" s="8">
        <v>0</v>
      </c>
      <c r="K101" s="8">
        <v>0</v>
      </c>
    </row>
    <row r="102" spans="1:11" x14ac:dyDescent="0.2">
      <c r="A102" s="10">
        <v>42500000</v>
      </c>
      <c r="B102" s="10" t="s">
        <v>80</v>
      </c>
      <c r="C102" s="11">
        <v>-491565.67700000067</v>
      </c>
      <c r="D102" s="11">
        <v>709347.15299999993</v>
      </c>
      <c r="E102" s="11">
        <v>241039.24</v>
      </c>
      <c r="F102" s="13">
        <v>0</v>
      </c>
      <c r="G102" s="13">
        <v>0</v>
      </c>
      <c r="H102" s="14">
        <v>468307.91299999994</v>
      </c>
      <c r="I102" s="14">
        <v>-23257.764000000723</v>
      </c>
      <c r="J102" s="8" t="s">
        <v>81</v>
      </c>
      <c r="K102" s="8">
        <v>0</v>
      </c>
    </row>
    <row r="103" spans="1:11" x14ac:dyDescent="0.2">
      <c r="A103" s="10">
        <v>42700000</v>
      </c>
      <c r="B103" s="10" t="s">
        <v>310</v>
      </c>
      <c r="C103" s="11">
        <v>0</v>
      </c>
      <c r="D103" s="11">
        <v>0</v>
      </c>
      <c r="E103" s="11">
        <v>0</v>
      </c>
      <c r="F103" s="13">
        <v>0</v>
      </c>
      <c r="G103" s="13">
        <v>0</v>
      </c>
      <c r="H103" s="14">
        <v>0</v>
      </c>
      <c r="I103" s="14">
        <v>0</v>
      </c>
      <c r="J103" s="8">
        <v>0</v>
      </c>
      <c r="K103" s="8">
        <v>0</v>
      </c>
    </row>
    <row r="104" spans="1:11" x14ac:dyDescent="0.2">
      <c r="A104" s="10">
        <v>42710000</v>
      </c>
      <c r="B104" s="10" t="s">
        <v>82</v>
      </c>
      <c r="C104" s="11">
        <v>-1246.9760000000017</v>
      </c>
      <c r="D104" s="11">
        <v>0</v>
      </c>
      <c r="E104" s="11">
        <v>1246.9839999999999</v>
      </c>
      <c r="F104" s="13">
        <v>0</v>
      </c>
      <c r="G104" s="13">
        <v>0</v>
      </c>
      <c r="H104" s="14">
        <v>-1246.9839999999999</v>
      </c>
      <c r="I104" s="14">
        <v>-2493.9600000000019</v>
      </c>
      <c r="J104" s="8" t="s">
        <v>81</v>
      </c>
      <c r="K104" s="8">
        <v>0</v>
      </c>
    </row>
    <row r="105" spans="1:11" x14ac:dyDescent="0.2">
      <c r="A105" s="10">
        <v>42820000</v>
      </c>
      <c r="B105" s="10" t="s">
        <v>83</v>
      </c>
      <c r="C105" s="11">
        <v>-230995.4849999999</v>
      </c>
      <c r="D105" s="11">
        <v>912453.69499999995</v>
      </c>
      <c r="E105" s="11">
        <v>917651.35299999989</v>
      </c>
      <c r="F105" s="13">
        <v>0</v>
      </c>
      <c r="G105" s="13">
        <v>0</v>
      </c>
      <c r="H105" s="14">
        <v>-5197.6579999999376</v>
      </c>
      <c r="I105" s="14">
        <v>-236193.14299999984</v>
      </c>
      <c r="J105" s="8" t="s">
        <v>81</v>
      </c>
      <c r="K105" s="8">
        <v>0</v>
      </c>
    </row>
    <row r="106" spans="1:11" x14ac:dyDescent="0.2">
      <c r="A106" s="10">
        <v>43200000</v>
      </c>
      <c r="B106" s="10" t="s">
        <v>311</v>
      </c>
      <c r="C106" s="11">
        <v>0</v>
      </c>
      <c r="D106" s="11">
        <v>0</v>
      </c>
      <c r="E106" s="11">
        <v>0</v>
      </c>
      <c r="F106" s="13">
        <v>0</v>
      </c>
      <c r="G106" s="13">
        <v>0</v>
      </c>
      <c r="H106" s="14">
        <v>0</v>
      </c>
      <c r="I106" s="14">
        <v>0</v>
      </c>
      <c r="J106" s="8">
        <v>0</v>
      </c>
      <c r="K106" s="8">
        <v>0</v>
      </c>
    </row>
    <row r="107" spans="1:11" x14ac:dyDescent="0.2">
      <c r="A107" s="10">
        <v>43210000</v>
      </c>
      <c r="B107" s="10" t="s">
        <v>84</v>
      </c>
      <c r="C107" s="11">
        <v>-60681.904000000002</v>
      </c>
      <c r="D107" s="11">
        <v>60681.904000000002</v>
      </c>
      <c r="E107" s="11">
        <v>51297.454000000005</v>
      </c>
      <c r="F107" s="13">
        <v>0</v>
      </c>
      <c r="G107" s="13">
        <v>0</v>
      </c>
      <c r="H107" s="14">
        <v>9384.4499999999971</v>
      </c>
      <c r="I107" s="14">
        <v>-51297.454000000005</v>
      </c>
      <c r="J107" s="8" t="s">
        <v>81</v>
      </c>
      <c r="K107" s="8">
        <v>0</v>
      </c>
    </row>
    <row r="108" spans="1:11" x14ac:dyDescent="0.2">
      <c r="A108" s="10">
        <v>43211000</v>
      </c>
      <c r="B108" s="10" t="s">
        <v>312</v>
      </c>
      <c r="C108" s="11">
        <v>1788.0619999999999</v>
      </c>
      <c r="D108" s="11">
        <v>47.61</v>
      </c>
      <c r="E108" s="11">
        <v>994.50800000000004</v>
      </c>
      <c r="F108" s="13">
        <v>0</v>
      </c>
      <c r="G108" s="13">
        <v>0</v>
      </c>
      <c r="H108" s="14">
        <v>-946.89800000000002</v>
      </c>
      <c r="I108" s="14">
        <v>841.16399999999987</v>
      </c>
      <c r="J108" s="8" t="s">
        <v>78</v>
      </c>
      <c r="K108" s="8">
        <v>0</v>
      </c>
    </row>
    <row r="109" spans="1:11" x14ac:dyDescent="0.2">
      <c r="A109" s="10">
        <v>43211500</v>
      </c>
      <c r="B109" s="10" t="s">
        <v>85</v>
      </c>
      <c r="C109" s="11">
        <v>0</v>
      </c>
      <c r="D109" s="11">
        <v>0</v>
      </c>
      <c r="E109" s="11">
        <v>0</v>
      </c>
      <c r="F109" s="13">
        <v>0</v>
      </c>
      <c r="G109" s="13">
        <v>0</v>
      </c>
      <c r="H109" s="14">
        <v>0</v>
      </c>
      <c r="I109" s="14">
        <v>0</v>
      </c>
      <c r="J109" s="8">
        <v>0</v>
      </c>
      <c r="K109" s="8">
        <v>0</v>
      </c>
    </row>
    <row r="110" spans="1:11" x14ac:dyDescent="0.2">
      <c r="A110" s="10">
        <v>43212500</v>
      </c>
      <c r="B110" s="10" t="s">
        <v>313</v>
      </c>
      <c r="C110" s="11">
        <v>0</v>
      </c>
      <c r="D110" s="11">
        <v>0</v>
      </c>
      <c r="E110" s="11">
        <v>0</v>
      </c>
      <c r="F110" s="13">
        <v>0</v>
      </c>
      <c r="G110" s="13">
        <v>0</v>
      </c>
      <c r="H110" s="14">
        <v>0</v>
      </c>
      <c r="I110" s="14">
        <v>0</v>
      </c>
      <c r="J110" s="8">
        <v>0</v>
      </c>
      <c r="K110" s="8">
        <v>0</v>
      </c>
    </row>
    <row r="111" spans="1:11" x14ac:dyDescent="0.2">
      <c r="A111" s="10">
        <v>43215000</v>
      </c>
      <c r="B111" s="10" t="s">
        <v>314</v>
      </c>
      <c r="C111" s="11">
        <v>0</v>
      </c>
      <c r="D111" s="11">
        <v>0</v>
      </c>
      <c r="E111" s="11">
        <v>0</v>
      </c>
      <c r="F111" s="13">
        <v>0</v>
      </c>
      <c r="G111" s="13">
        <v>0</v>
      </c>
      <c r="H111" s="14">
        <v>0</v>
      </c>
      <c r="I111" s="14">
        <v>0</v>
      </c>
      <c r="J111" s="8">
        <v>0</v>
      </c>
      <c r="K111" s="8">
        <v>0</v>
      </c>
    </row>
    <row r="112" spans="1:11" x14ac:dyDescent="0.2">
      <c r="A112" s="10">
        <v>43220000</v>
      </c>
      <c r="B112" s="10" t="s">
        <v>86</v>
      </c>
      <c r="C112" s="11">
        <v>-27717.276000000002</v>
      </c>
      <c r="D112" s="11">
        <v>27717.276000000002</v>
      </c>
      <c r="E112" s="11">
        <v>0</v>
      </c>
      <c r="F112" s="13">
        <v>0</v>
      </c>
      <c r="G112" s="13">
        <v>0</v>
      </c>
      <c r="H112" s="14">
        <v>27717.276000000002</v>
      </c>
      <c r="I112" s="14">
        <v>0</v>
      </c>
      <c r="J112" s="8" t="s">
        <v>81</v>
      </c>
      <c r="K112" s="8">
        <v>0</v>
      </c>
    </row>
    <row r="113" spans="1:11" x14ac:dyDescent="0.2">
      <c r="A113" s="10">
        <v>43220050</v>
      </c>
      <c r="B113" s="10" t="s">
        <v>315</v>
      </c>
      <c r="C113" s="11">
        <v>4.8999999999978172E-2</v>
      </c>
      <c r="D113" s="11">
        <v>0</v>
      </c>
      <c r="E113" s="11">
        <v>0</v>
      </c>
      <c r="F113" s="13">
        <v>0</v>
      </c>
      <c r="G113" s="13">
        <v>0</v>
      </c>
      <c r="H113" s="14">
        <v>0</v>
      </c>
      <c r="I113" s="14">
        <v>4.8999999999978172E-2</v>
      </c>
      <c r="J113" s="8" t="s">
        <v>78</v>
      </c>
      <c r="K113" s="8">
        <v>0</v>
      </c>
    </row>
    <row r="114" spans="1:11" x14ac:dyDescent="0.2">
      <c r="A114" s="10">
        <v>43220100</v>
      </c>
      <c r="B114" s="10" t="s">
        <v>87</v>
      </c>
      <c r="C114" s="11">
        <v>-15865.735000000052</v>
      </c>
      <c r="D114" s="11">
        <v>16034.483000000002</v>
      </c>
      <c r="E114" s="11">
        <v>9479.8649999999998</v>
      </c>
      <c r="F114" s="13">
        <v>0</v>
      </c>
      <c r="G114" s="13">
        <v>0</v>
      </c>
      <c r="H114" s="14">
        <v>6554.6180000000022</v>
      </c>
      <c r="I114" s="14">
        <v>-9311.1170000000493</v>
      </c>
      <c r="J114" s="8" t="s">
        <v>81</v>
      </c>
      <c r="K114" s="8">
        <v>0</v>
      </c>
    </row>
    <row r="115" spans="1:11" x14ac:dyDescent="0.2">
      <c r="A115" s="10">
        <v>43220300</v>
      </c>
      <c r="B115" s="10" t="s">
        <v>88</v>
      </c>
      <c r="C115" s="11">
        <v>-6.9999999998628937E-3</v>
      </c>
      <c r="D115" s="11">
        <v>0</v>
      </c>
      <c r="E115" s="11">
        <v>0</v>
      </c>
      <c r="F115" s="13">
        <v>0</v>
      </c>
      <c r="G115" s="13">
        <v>0</v>
      </c>
      <c r="H115" s="14">
        <v>0</v>
      </c>
      <c r="I115" s="14">
        <v>-6.9999999998628937E-3</v>
      </c>
      <c r="J115" s="8" t="s">
        <v>81</v>
      </c>
      <c r="K115" s="8">
        <v>0</v>
      </c>
    </row>
    <row r="116" spans="1:11" x14ac:dyDescent="0.2">
      <c r="A116" s="10">
        <v>43221000</v>
      </c>
      <c r="B116" s="10" t="s">
        <v>89</v>
      </c>
      <c r="C116" s="11">
        <v>-316.66799999997858</v>
      </c>
      <c r="D116" s="11">
        <v>538.88800000000003</v>
      </c>
      <c r="E116" s="11">
        <v>94.443999999999988</v>
      </c>
      <c r="F116" s="13">
        <v>0</v>
      </c>
      <c r="G116" s="13">
        <v>0</v>
      </c>
      <c r="H116" s="14">
        <v>444.44400000000007</v>
      </c>
      <c r="I116" s="14">
        <v>127.7760000000215</v>
      </c>
      <c r="J116" s="8" t="s">
        <v>78</v>
      </c>
      <c r="K116" s="8">
        <v>0</v>
      </c>
    </row>
    <row r="117" spans="1:11" x14ac:dyDescent="0.2">
      <c r="A117" s="10">
        <v>43222000</v>
      </c>
      <c r="B117" s="10" t="s">
        <v>316</v>
      </c>
      <c r="C117" s="11">
        <v>0</v>
      </c>
      <c r="D117" s="11">
        <v>0</v>
      </c>
      <c r="E117" s="11">
        <v>0</v>
      </c>
      <c r="F117" s="13">
        <v>0</v>
      </c>
      <c r="G117" s="13">
        <v>0</v>
      </c>
      <c r="H117" s="14">
        <v>0</v>
      </c>
      <c r="I117" s="14">
        <v>0</v>
      </c>
      <c r="J117" s="8" t="s">
        <v>81</v>
      </c>
      <c r="K117" s="8">
        <v>0</v>
      </c>
    </row>
    <row r="118" spans="1:11" x14ac:dyDescent="0.2">
      <c r="A118" s="10">
        <v>43223000</v>
      </c>
      <c r="B118" s="10" t="s">
        <v>90</v>
      </c>
      <c r="C118" s="11">
        <v>9633.6199999999681</v>
      </c>
      <c r="D118" s="11">
        <v>1464.7079999999999</v>
      </c>
      <c r="E118" s="11">
        <v>1320.3820000000001</v>
      </c>
      <c r="F118" s="13">
        <v>0</v>
      </c>
      <c r="G118" s="13">
        <v>0</v>
      </c>
      <c r="H118" s="14">
        <v>144.32599999999979</v>
      </c>
      <c r="I118" s="14">
        <v>9777.9459999999672</v>
      </c>
      <c r="J118" s="8" t="s">
        <v>78</v>
      </c>
      <c r="K118" s="8">
        <v>0</v>
      </c>
    </row>
    <row r="119" spans="1:11" x14ac:dyDescent="0.2">
      <c r="A119" s="10">
        <v>43310000</v>
      </c>
      <c r="B119" s="10" t="s">
        <v>317</v>
      </c>
      <c r="C119" s="11">
        <v>0</v>
      </c>
      <c r="D119" s="11">
        <v>0</v>
      </c>
      <c r="E119" s="11">
        <v>0</v>
      </c>
      <c r="F119" s="13">
        <v>0</v>
      </c>
      <c r="G119" s="13">
        <v>0</v>
      </c>
      <c r="H119" s="14">
        <v>0</v>
      </c>
      <c r="I119" s="14">
        <v>0</v>
      </c>
      <c r="J119" s="8">
        <v>0</v>
      </c>
      <c r="K119" s="8">
        <v>0</v>
      </c>
    </row>
    <row r="120" spans="1:11" x14ac:dyDescent="0.2">
      <c r="A120" s="10">
        <v>43400000</v>
      </c>
      <c r="B120" s="10" t="s">
        <v>91</v>
      </c>
      <c r="C120" s="11">
        <v>427842.31400000013</v>
      </c>
      <c r="D120" s="11">
        <v>0</v>
      </c>
      <c r="E120" s="11">
        <v>0</v>
      </c>
      <c r="F120" s="13">
        <v>0</v>
      </c>
      <c r="G120" s="13">
        <v>0</v>
      </c>
      <c r="H120" s="14">
        <v>0</v>
      </c>
      <c r="I120" s="14">
        <v>427842.31400000013</v>
      </c>
      <c r="J120" s="8" t="s">
        <v>78</v>
      </c>
      <c r="K120" s="8">
        <v>0</v>
      </c>
    </row>
    <row r="121" spans="1:11" x14ac:dyDescent="0.2">
      <c r="A121" s="10">
        <v>43410000</v>
      </c>
      <c r="B121" s="10" t="s">
        <v>318</v>
      </c>
      <c r="C121" s="11">
        <v>508391.08099999977</v>
      </c>
      <c r="D121" s="11">
        <v>23056.022999999997</v>
      </c>
      <c r="E121" s="11">
        <v>0</v>
      </c>
      <c r="F121" s="13">
        <v>0</v>
      </c>
      <c r="G121" s="13">
        <v>0</v>
      </c>
      <c r="H121" s="14">
        <v>23056.022999999997</v>
      </c>
      <c r="I121" s="14">
        <v>531447.10399999982</v>
      </c>
      <c r="J121" s="8" t="s">
        <v>78</v>
      </c>
      <c r="K121" s="8">
        <v>0</v>
      </c>
    </row>
    <row r="122" spans="1:11" x14ac:dyDescent="0.2">
      <c r="A122" s="10">
        <v>43420000</v>
      </c>
      <c r="B122" s="10" t="s">
        <v>92</v>
      </c>
      <c r="C122" s="11">
        <v>0</v>
      </c>
      <c r="D122" s="11">
        <v>0</v>
      </c>
      <c r="E122" s="11">
        <v>0</v>
      </c>
      <c r="F122" s="13">
        <v>0</v>
      </c>
      <c r="G122" s="13">
        <v>0</v>
      </c>
      <c r="H122" s="14">
        <v>0</v>
      </c>
      <c r="I122" s="14">
        <v>0</v>
      </c>
      <c r="J122" s="8">
        <v>0</v>
      </c>
      <c r="K122" s="8">
        <v>0</v>
      </c>
    </row>
    <row r="123" spans="1:11" x14ac:dyDescent="0.2">
      <c r="A123" s="10">
        <v>43430000</v>
      </c>
      <c r="B123" s="10" t="s">
        <v>319</v>
      </c>
      <c r="C123" s="11">
        <v>0</v>
      </c>
      <c r="D123" s="11">
        <v>2330.279</v>
      </c>
      <c r="E123" s="11">
        <v>2330.279</v>
      </c>
      <c r="F123" s="13">
        <v>0</v>
      </c>
      <c r="G123" s="13">
        <v>0</v>
      </c>
      <c r="H123" s="14">
        <v>0</v>
      </c>
      <c r="I123" s="14">
        <v>0</v>
      </c>
      <c r="J123" s="8" t="s">
        <v>78</v>
      </c>
      <c r="K123" s="8">
        <v>0</v>
      </c>
    </row>
    <row r="124" spans="1:11" x14ac:dyDescent="0.2">
      <c r="A124" s="10">
        <v>43440000</v>
      </c>
      <c r="B124" s="10" t="s">
        <v>320</v>
      </c>
      <c r="C124" s="11">
        <v>0</v>
      </c>
      <c r="D124" s="11">
        <v>0</v>
      </c>
      <c r="E124" s="11">
        <v>0</v>
      </c>
      <c r="F124" s="13">
        <v>0</v>
      </c>
      <c r="G124" s="13">
        <v>0</v>
      </c>
      <c r="H124" s="14">
        <v>0</v>
      </c>
      <c r="I124" s="14">
        <v>0</v>
      </c>
      <c r="J124" s="8" t="s">
        <v>78</v>
      </c>
      <c r="K124" s="8">
        <v>0</v>
      </c>
    </row>
    <row r="125" spans="1:11" x14ac:dyDescent="0.2">
      <c r="A125" s="10">
        <v>43500000</v>
      </c>
      <c r="B125" s="10" t="s">
        <v>321</v>
      </c>
      <c r="C125" s="11">
        <v>0</v>
      </c>
      <c r="D125" s="11">
        <v>0</v>
      </c>
      <c r="E125" s="11">
        <v>0</v>
      </c>
      <c r="F125" s="13">
        <v>0</v>
      </c>
      <c r="G125" s="13">
        <v>0</v>
      </c>
      <c r="H125" s="14">
        <v>0</v>
      </c>
      <c r="I125" s="14">
        <v>0</v>
      </c>
      <c r="J125" s="8" t="s">
        <v>81</v>
      </c>
      <c r="K125" s="8">
        <v>0</v>
      </c>
    </row>
    <row r="126" spans="1:11" x14ac:dyDescent="0.2">
      <c r="A126" s="10">
        <v>43600000</v>
      </c>
      <c r="B126" s="10" t="s">
        <v>93</v>
      </c>
      <c r="C126" s="11">
        <v>324233.75899998844</v>
      </c>
      <c r="D126" s="11">
        <v>1822406.5619999997</v>
      </c>
      <c r="E126" s="11">
        <v>1546302.051</v>
      </c>
      <c r="F126" s="13">
        <v>0</v>
      </c>
      <c r="G126" s="13">
        <v>0</v>
      </c>
      <c r="H126" s="14">
        <v>276104.51099999971</v>
      </c>
      <c r="I126" s="14">
        <v>600338.26999998814</v>
      </c>
      <c r="J126" s="8" t="s">
        <v>78</v>
      </c>
      <c r="K126" s="8">
        <v>0</v>
      </c>
    </row>
    <row r="127" spans="1:11" x14ac:dyDescent="0.2">
      <c r="A127" s="10">
        <v>43625000</v>
      </c>
      <c r="B127" s="10" t="s">
        <v>94</v>
      </c>
      <c r="C127" s="11">
        <v>-21976.139000000137</v>
      </c>
      <c r="D127" s="11">
        <v>23070.312999999998</v>
      </c>
      <c r="E127" s="11">
        <v>16743.173000000003</v>
      </c>
      <c r="F127" s="13">
        <v>0</v>
      </c>
      <c r="G127" s="13">
        <v>0</v>
      </c>
      <c r="H127" s="14">
        <v>6327.1399999999958</v>
      </c>
      <c r="I127" s="14">
        <v>-15648.999000000142</v>
      </c>
      <c r="J127" s="8" t="s">
        <v>81</v>
      </c>
      <c r="K127" s="8">
        <v>0</v>
      </c>
    </row>
    <row r="128" spans="1:11" x14ac:dyDescent="0.2">
      <c r="A128" s="10">
        <v>43627000</v>
      </c>
      <c r="B128" s="10" t="s">
        <v>95</v>
      </c>
      <c r="C128" s="11">
        <v>-153832.97099999999</v>
      </c>
      <c r="D128" s="11">
        <v>161492.196</v>
      </c>
      <c r="E128" s="11">
        <v>117202.21099999998</v>
      </c>
      <c r="F128" s="13">
        <v>0</v>
      </c>
      <c r="G128" s="13">
        <v>0</v>
      </c>
      <c r="H128" s="14">
        <v>44289.985000000015</v>
      </c>
      <c r="I128" s="14">
        <v>-109542.98599999998</v>
      </c>
      <c r="J128" s="8" t="s">
        <v>81</v>
      </c>
      <c r="K128" s="8">
        <v>0</v>
      </c>
    </row>
    <row r="129" spans="1:11" x14ac:dyDescent="0.2">
      <c r="A129" s="10">
        <v>43630600</v>
      </c>
      <c r="B129" s="10" t="s">
        <v>322</v>
      </c>
      <c r="C129" s="11">
        <v>0</v>
      </c>
      <c r="D129" s="11">
        <v>0</v>
      </c>
      <c r="E129" s="11">
        <v>0</v>
      </c>
      <c r="F129" s="13">
        <v>0</v>
      </c>
      <c r="G129" s="13">
        <v>0</v>
      </c>
      <c r="H129" s="14">
        <v>0</v>
      </c>
      <c r="I129" s="14">
        <v>0</v>
      </c>
      <c r="J129" s="8">
        <v>0</v>
      </c>
      <c r="K129" s="8">
        <v>0</v>
      </c>
    </row>
    <row r="130" spans="1:11" x14ac:dyDescent="0.2">
      <c r="A130" s="10">
        <v>43630700</v>
      </c>
      <c r="B130" s="10" t="s">
        <v>96</v>
      </c>
      <c r="C130" s="11">
        <v>1817.9390000000001</v>
      </c>
      <c r="D130" s="11">
        <v>3887.7190000000001</v>
      </c>
      <c r="E130" s="11">
        <v>1825.05</v>
      </c>
      <c r="F130" s="13">
        <v>0</v>
      </c>
      <c r="G130" s="13">
        <v>0</v>
      </c>
      <c r="H130" s="14">
        <v>2062.6689999999999</v>
      </c>
      <c r="I130" s="14">
        <v>3880.6080000000002</v>
      </c>
      <c r="J130" s="8" t="s">
        <v>78</v>
      </c>
      <c r="K130" s="8">
        <v>0</v>
      </c>
    </row>
    <row r="131" spans="1:11" x14ac:dyDescent="0.2">
      <c r="A131" s="10">
        <v>43631000</v>
      </c>
      <c r="B131" s="10" t="s">
        <v>323</v>
      </c>
      <c r="C131" s="11">
        <v>0</v>
      </c>
      <c r="D131" s="11">
        <v>0</v>
      </c>
      <c r="E131" s="11">
        <v>0</v>
      </c>
      <c r="F131" s="13">
        <v>0</v>
      </c>
      <c r="G131" s="13">
        <v>0</v>
      </c>
      <c r="H131" s="14">
        <v>0</v>
      </c>
      <c r="I131" s="14">
        <v>0</v>
      </c>
      <c r="J131" s="8">
        <v>0</v>
      </c>
      <c r="K131" s="8">
        <v>0</v>
      </c>
    </row>
    <row r="132" spans="1:11" x14ac:dyDescent="0.2">
      <c r="A132" s="10">
        <v>43631300</v>
      </c>
      <c r="B132" s="10" t="s">
        <v>324</v>
      </c>
      <c r="C132" s="11">
        <v>3720.7250000000004</v>
      </c>
      <c r="D132" s="11">
        <v>1654.125</v>
      </c>
      <c r="E132" s="11">
        <v>3723.0259999999994</v>
      </c>
      <c r="F132" s="13">
        <v>0</v>
      </c>
      <c r="G132" s="13">
        <v>0</v>
      </c>
      <c r="H132" s="14">
        <v>-2068.9009999999994</v>
      </c>
      <c r="I132" s="14">
        <v>1651.824000000001</v>
      </c>
      <c r="J132" s="8" t="s">
        <v>78</v>
      </c>
      <c r="K132" s="8">
        <v>0</v>
      </c>
    </row>
    <row r="133" spans="1:11" x14ac:dyDescent="0.2">
      <c r="A133" s="10">
        <v>43631800</v>
      </c>
      <c r="B133" s="10" t="s">
        <v>325</v>
      </c>
      <c r="C133" s="11">
        <v>0</v>
      </c>
      <c r="D133" s="11">
        <v>0</v>
      </c>
      <c r="E133" s="11">
        <v>0</v>
      </c>
      <c r="F133" s="13">
        <v>0</v>
      </c>
      <c r="G133" s="13">
        <v>0</v>
      </c>
      <c r="H133" s="14">
        <v>0</v>
      </c>
      <c r="I133" s="14">
        <v>0</v>
      </c>
      <c r="J133" s="8">
        <v>0</v>
      </c>
      <c r="K133" s="8">
        <v>0</v>
      </c>
    </row>
    <row r="134" spans="1:11" x14ac:dyDescent="0.2">
      <c r="A134" s="10">
        <v>43631900</v>
      </c>
      <c r="B134" s="10" t="s">
        <v>97</v>
      </c>
      <c r="C134" s="11">
        <v>1634409.3339999998</v>
      </c>
      <c r="D134" s="11">
        <v>554473.99799999991</v>
      </c>
      <c r="E134" s="11">
        <v>1644889.5830000001</v>
      </c>
      <c r="F134" s="13">
        <v>0</v>
      </c>
      <c r="G134" s="13">
        <v>0</v>
      </c>
      <c r="H134" s="14">
        <v>-1090415.5850000002</v>
      </c>
      <c r="I134" s="14">
        <v>543993.7489999996</v>
      </c>
      <c r="J134" s="8" t="s">
        <v>78</v>
      </c>
      <c r="K134" s="8">
        <v>0</v>
      </c>
    </row>
    <row r="135" spans="1:11" x14ac:dyDescent="0.2">
      <c r="A135" s="10">
        <v>43661800</v>
      </c>
      <c r="B135" s="10" t="s">
        <v>326</v>
      </c>
      <c r="C135" s="11">
        <v>0</v>
      </c>
      <c r="D135" s="11">
        <v>0</v>
      </c>
      <c r="E135" s="11">
        <v>0</v>
      </c>
      <c r="F135" s="13">
        <v>0</v>
      </c>
      <c r="G135" s="13">
        <v>0</v>
      </c>
      <c r="H135" s="14">
        <v>0</v>
      </c>
      <c r="I135" s="14">
        <v>0</v>
      </c>
      <c r="J135" s="8">
        <v>0</v>
      </c>
      <c r="K135" s="8">
        <v>0</v>
      </c>
    </row>
    <row r="136" spans="1:11" x14ac:dyDescent="0.2">
      <c r="A136" s="10">
        <v>43671000</v>
      </c>
      <c r="B136" s="10" t="s">
        <v>98</v>
      </c>
      <c r="C136" s="11">
        <v>-1365373.9270000025</v>
      </c>
      <c r="D136" s="11">
        <v>1388351.3830000001</v>
      </c>
      <c r="E136" s="11">
        <v>342855.18400000001</v>
      </c>
      <c r="F136" s="13">
        <v>0</v>
      </c>
      <c r="G136" s="13">
        <v>0</v>
      </c>
      <c r="H136" s="14">
        <v>1045496.1990000001</v>
      </c>
      <c r="I136" s="14">
        <v>-319877.72800000233</v>
      </c>
      <c r="J136" s="8" t="s">
        <v>81</v>
      </c>
      <c r="K136" s="8">
        <v>0</v>
      </c>
    </row>
    <row r="137" spans="1:11" x14ac:dyDescent="0.2">
      <c r="A137" s="10">
        <v>43700000</v>
      </c>
      <c r="B137" s="10" t="s">
        <v>99</v>
      </c>
      <c r="C137" s="11">
        <v>-5</v>
      </c>
      <c r="D137" s="11">
        <v>5</v>
      </c>
      <c r="E137" s="11">
        <v>3</v>
      </c>
      <c r="F137" s="13">
        <v>0</v>
      </c>
      <c r="G137" s="13">
        <v>0</v>
      </c>
      <c r="H137" s="14">
        <v>2</v>
      </c>
      <c r="I137" s="14">
        <v>-3</v>
      </c>
      <c r="J137" s="8" t="s">
        <v>81</v>
      </c>
      <c r="K137" s="8">
        <v>0</v>
      </c>
    </row>
    <row r="138" spans="1:11" x14ac:dyDescent="0.2">
      <c r="A138" s="10">
        <v>43720000</v>
      </c>
      <c r="B138" s="10" t="s">
        <v>327</v>
      </c>
      <c r="C138" s="11">
        <v>0</v>
      </c>
      <c r="D138" s="11">
        <v>0</v>
      </c>
      <c r="E138" s="11">
        <v>965.952</v>
      </c>
      <c r="F138" s="13">
        <v>0</v>
      </c>
      <c r="G138" s="13">
        <v>0</v>
      </c>
      <c r="H138" s="14">
        <v>-965.952</v>
      </c>
      <c r="I138" s="14">
        <v>-965.952</v>
      </c>
      <c r="J138" s="8" t="s">
        <v>81</v>
      </c>
      <c r="K138" s="8">
        <v>0</v>
      </c>
    </row>
    <row r="139" spans="1:11" x14ac:dyDescent="0.2">
      <c r="A139" s="10">
        <v>43756000</v>
      </c>
      <c r="B139" s="10" t="s">
        <v>328</v>
      </c>
      <c r="C139" s="11">
        <v>0</v>
      </c>
      <c r="D139" s="11">
        <v>0</v>
      </c>
      <c r="E139" s="11">
        <v>0</v>
      </c>
      <c r="F139" s="13">
        <v>0</v>
      </c>
      <c r="G139" s="13">
        <v>0</v>
      </c>
      <c r="H139" s="14">
        <v>0</v>
      </c>
      <c r="I139" s="14">
        <v>0</v>
      </c>
      <c r="J139" s="8">
        <v>0</v>
      </c>
      <c r="K139" s="8">
        <v>0</v>
      </c>
    </row>
    <row r="140" spans="1:11" x14ac:dyDescent="0.2">
      <c r="A140" s="10">
        <v>44100000</v>
      </c>
      <c r="B140" s="10" t="s">
        <v>329</v>
      </c>
      <c r="C140" s="11">
        <v>0</v>
      </c>
      <c r="D140" s="11">
        <v>0</v>
      </c>
      <c r="E140" s="11">
        <v>0</v>
      </c>
      <c r="F140" s="13">
        <v>0</v>
      </c>
      <c r="G140" s="13">
        <v>0</v>
      </c>
      <c r="H140" s="14">
        <v>0</v>
      </c>
      <c r="I140" s="14">
        <v>0</v>
      </c>
      <c r="J140" s="8">
        <v>0</v>
      </c>
      <c r="K140" s="8">
        <v>0</v>
      </c>
    </row>
    <row r="141" spans="1:11" x14ac:dyDescent="0.2">
      <c r="A141" s="10">
        <v>44101000</v>
      </c>
      <c r="B141" s="10" t="s">
        <v>7717</v>
      </c>
      <c r="C141" s="11">
        <v>0</v>
      </c>
      <c r="D141" s="11">
        <v>51670</v>
      </c>
      <c r="E141" s="11">
        <v>0</v>
      </c>
      <c r="F141" s="13">
        <v>0</v>
      </c>
      <c r="G141" s="13">
        <v>0</v>
      </c>
      <c r="H141" s="14">
        <v>51670</v>
      </c>
      <c r="I141" s="14">
        <v>51670</v>
      </c>
      <c r="J141" s="8" t="s">
        <v>78</v>
      </c>
      <c r="K141" s="8">
        <v>0</v>
      </c>
    </row>
    <row r="142" spans="1:11" x14ac:dyDescent="0.2">
      <c r="A142" s="10">
        <v>44200000</v>
      </c>
      <c r="B142" s="10" t="s">
        <v>330</v>
      </c>
      <c r="C142" s="11">
        <v>0</v>
      </c>
      <c r="D142" s="11">
        <v>0</v>
      </c>
      <c r="E142" s="11">
        <v>0</v>
      </c>
      <c r="F142" s="13">
        <v>0</v>
      </c>
      <c r="G142" s="13">
        <v>0</v>
      </c>
      <c r="H142" s="14">
        <v>0</v>
      </c>
      <c r="I142" s="14">
        <v>0</v>
      </c>
      <c r="J142" s="8">
        <v>0</v>
      </c>
      <c r="K142" s="8">
        <v>0</v>
      </c>
    </row>
    <row r="143" spans="1:11" x14ac:dyDescent="0.2">
      <c r="A143" s="10">
        <v>44201000</v>
      </c>
      <c r="B143" s="10" t="s">
        <v>331</v>
      </c>
      <c r="C143" s="11">
        <v>0</v>
      </c>
      <c r="D143" s="11">
        <v>0</v>
      </c>
      <c r="E143" s="11">
        <v>0</v>
      </c>
      <c r="F143" s="13">
        <v>0</v>
      </c>
      <c r="G143" s="13">
        <v>0</v>
      </c>
      <c r="H143" s="14">
        <v>0</v>
      </c>
      <c r="I143" s="14">
        <v>0</v>
      </c>
      <c r="J143" s="8" t="s">
        <v>78</v>
      </c>
      <c r="K143" s="8">
        <v>0</v>
      </c>
    </row>
    <row r="144" spans="1:11" x14ac:dyDescent="0.2">
      <c r="A144" s="10">
        <v>44202000</v>
      </c>
      <c r="B144" s="10" t="s">
        <v>332</v>
      </c>
      <c r="C144" s="11">
        <v>0</v>
      </c>
      <c r="D144" s="11">
        <v>0</v>
      </c>
      <c r="E144" s="11">
        <v>0</v>
      </c>
      <c r="F144" s="13">
        <v>0</v>
      </c>
      <c r="G144" s="13">
        <v>0</v>
      </c>
      <c r="H144" s="14">
        <v>0</v>
      </c>
      <c r="I144" s="14">
        <v>0</v>
      </c>
      <c r="J144" s="8">
        <v>0</v>
      </c>
      <c r="K144" s="8">
        <v>0</v>
      </c>
    </row>
    <row r="145" spans="1:11" x14ac:dyDescent="0.2">
      <c r="A145" s="10">
        <v>44203000</v>
      </c>
      <c r="B145" s="10" t="s">
        <v>333</v>
      </c>
      <c r="C145" s="11">
        <v>0</v>
      </c>
      <c r="D145" s="11">
        <v>0</v>
      </c>
      <c r="E145" s="11">
        <v>0</v>
      </c>
      <c r="F145" s="13">
        <v>0</v>
      </c>
      <c r="G145" s="13">
        <v>0</v>
      </c>
      <c r="H145" s="14">
        <v>0</v>
      </c>
      <c r="I145" s="14">
        <v>0</v>
      </c>
      <c r="J145" s="8">
        <v>0</v>
      </c>
      <c r="K145" s="8">
        <v>0</v>
      </c>
    </row>
    <row r="146" spans="1:11" x14ac:dyDescent="0.2">
      <c r="A146" s="10">
        <v>44204000</v>
      </c>
      <c r="B146" s="10" t="s">
        <v>334</v>
      </c>
      <c r="C146" s="11">
        <v>0</v>
      </c>
      <c r="D146" s="11">
        <v>0</v>
      </c>
      <c r="E146" s="11">
        <v>0</v>
      </c>
      <c r="F146" s="13">
        <v>0</v>
      </c>
      <c r="G146" s="13">
        <v>0</v>
      </c>
      <c r="H146" s="14">
        <v>0</v>
      </c>
      <c r="I146" s="14">
        <v>0</v>
      </c>
      <c r="J146" s="8">
        <v>0</v>
      </c>
      <c r="K146" s="8">
        <v>0</v>
      </c>
    </row>
    <row r="147" spans="1:11" x14ac:dyDescent="0.2">
      <c r="A147" s="10">
        <v>44205000</v>
      </c>
      <c r="B147" s="10" t="s">
        <v>335</v>
      </c>
      <c r="C147" s="11">
        <v>0</v>
      </c>
      <c r="D147" s="11">
        <v>0</v>
      </c>
      <c r="E147" s="11">
        <v>0</v>
      </c>
      <c r="F147" s="13">
        <v>0</v>
      </c>
      <c r="G147" s="13">
        <v>0</v>
      </c>
      <c r="H147" s="14">
        <v>0</v>
      </c>
      <c r="I147" s="14">
        <v>0</v>
      </c>
      <c r="J147" s="8">
        <v>0</v>
      </c>
      <c r="K147" s="8">
        <v>0</v>
      </c>
    </row>
    <row r="148" spans="1:11" x14ac:dyDescent="0.2">
      <c r="A148" s="10">
        <v>44206000</v>
      </c>
      <c r="B148" s="10" t="s">
        <v>100</v>
      </c>
      <c r="C148" s="11">
        <v>-764999.99999999988</v>
      </c>
      <c r="D148" s="11">
        <v>30000</v>
      </c>
      <c r="E148" s="11">
        <v>0</v>
      </c>
      <c r="F148" s="13">
        <v>0</v>
      </c>
      <c r="G148" s="13">
        <v>0</v>
      </c>
      <c r="H148" s="14">
        <v>30000</v>
      </c>
      <c r="I148" s="14">
        <v>-734999.99999999988</v>
      </c>
      <c r="J148" s="8" t="s">
        <v>81</v>
      </c>
      <c r="K148" s="8">
        <v>0</v>
      </c>
    </row>
    <row r="149" spans="1:11" x14ac:dyDescent="0.2">
      <c r="A149" s="10">
        <v>44207000</v>
      </c>
      <c r="B149" s="10" t="s">
        <v>336</v>
      </c>
      <c r="C149" s="11">
        <v>50000</v>
      </c>
      <c r="D149" s="11">
        <v>20000</v>
      </c>
      <c r="E149" s="11">
        <v>0</v>
      </c>
      <c r="F149" s="13">
        <v>0</v>
      </c>
      <c r="G149" s="13">
        <v>0</v>
      </c>
      <c r="H149" s="14">
        <v>20000</v>
      </c>
      <c r="I149" s="14">
        <v>70000</v>
      </c>
      <c r="J149" s="8" t="s">
        <v>78</v>
      </c>
      <c r="K149" s="8">
        <v>0</v>
      </c>
    </row>
    <row r="150" spans="1:11" x14ac:dyDescent="0.2">
      <c r="A150" s="10">
        <v>44208000</v>
      </c>
      <c r="B150" s="10" t="s">
        <v>337</v>
      </c>
      <c r="C150" s="11">
        <v>2270.971</v>
      </c>
      <c r="D150" s="11">
        <v>0</v>
      </c>
      <c r="E150" s="11">
        <v>0</v>
      </c>
      <c r="F150" s="13">
        <v>0</v>
      </c>
      <c r="G150" s="13">
        <v>0</v>
      </c>
      <c r="H150" s="14">
        <v>0</v>
      </c>
      <c r="I150" s="14">
        <v>2270.971</v>
      </c>
      <c r="J150" s="8" t="s">
        <v>78</v>
      </c>
      <c r="K150" s="8">
        <v>0</v>
      </c>
    </row>
    <row r="151" spans="1:11" x14ac:dyDescent="0.2">
      <c r="A151" s="10">
        <v>44209000</v>
      </c>
      <c r="B151" s="10" t="s">
        <v>392</v>
      </c>
      <c r="C151" s="11">
        <v>-1400000</v>
      </c>
      <c r="D151" s="11">
        <v>0</v>
      </c>
      <c r="E151" s="11">
        <v>0</v>
      </c>
      <c r="F151" s="13">
        <v>0</v>
      </c>
      <c r="G151" s="13">
        <v>0</v>
      </c>
      <c r="H151" s="14">
        <v>0</v>
      </c>
      <c r="I151" s="14">
        <v>-1400000</v>
      </c>
      <c r="J151" s="8" t="s">
        <v>81</v>
      </c>
      <c r="K151" s="8">
        <v>0</v>
      </c>
    </row>
    <row r="152" spans="1:11" x14ac:dyDescent="0.2">
      <c r="A152" s="10">
        <v>44210000</v>
      </c>
      <c r="B152" s="10" t="s">
        <v>338</v>
      </c>
      <c r="C152" s="11">
        <v>0</v>
      </c>
      <c r="D152" s="11">
        <v>0</v>
      </c>
      <c r="E152" s="11">
        <v>0</v>
      </c>
      <c r="F152" s="13">
        <v>0</v>
      </c>
      <c r="G152" s="13">
        <v>0</v>
      </c>
      <c r="H152" s="14">
        <v>0</v>
      </c>
      <c r="I152" s="14">
        <v>0</v>
      </c>
      <c r="J152" s="8">
        <v>0</v>
      </c>
      <c r="K152" s="8">
        <v>0</v>
      </c>
    </row>
    <row r="153" spans="1:11" x14ac:dyDescent="0.2">
      <c r="A153" s="10">
        <v>44600000</v>
      </c>
      <c r="B153" s="10" t="s">
        <v>339</v>
      </c>
      <c r="C153" s="11">
        <v>0</v>
      </c>
      <c r="D153" s="11">
        <v>0</v>
      </c>
      <c r="E153" s="11">
        <v>0</v>
      </c>
      <c r="F153" s="13">
        <v>0</v>
      </c>
      <c r="G153" s="13">
        <v>0</v>
      </c>
      <c r="H153" s="14">
        <v>0</v>
      </c>
      <c r="I153" s="14">
        <v>0</v>
      </c>
      <c r="J153" s="8">
        <v>0</v>
      </c>
      <c r="K153" s="8">
        <v>0</v>
      </c>
    </row>
    <row r="154" spans="1:11" x14ac:dyDescent="0.2">
      <c r="A154" s="10">
        <v>44700000</v>
      </c>
      <c r="B154" s="10" t="s">
        <v>101</v>
      </c>
      <c r="C154" s="11">
        <v>0</v>
      </c>
      <c r="D154" s="11">
        <v>0</v>
      </c>
      <c r="E154" s="11">
        <v>0</v>
      </c>
      <c r="F154" s="13">
        <v>0</v>
      </c>
      <c r="G154" s="13">
        <v>0</v>
      </c>
      <c r="H154" s="14">
        <v>0</v>
      </c>
      <c r="I154" s="14">
        <v>0</v>
      </c>
      <c r="J154" s="8">
        <v>0</v>
      </c>
      <c r="K154" s="8">
        <v>0</v>
      </c>
    </row>
    <row r="155" spans="1:11" x14ac:dyDescent="0.2">
      <c r="A155" s="10">
        <v>45000000</v>
      </c>
      <c r="B155" s="10" t="s">
        <v>102</v>
      </c>
      <c r="C155" s="11">
        <v>-12699.999999999534</v>
      </c>
      <c r="D155" s="11">
        <v>0</v>
      </c>
      <c r="E155" s="11">
        <v>0</v>
      </c>
      <c r="F155" s="13">
        <v>0</v>
      </c>
      <c r="G155" s="13">
        <v>0</v>
      </c>
      <c r="H155" s="14">
        <v>0</v>
      </c>
      <c r="I155" s="14">
        <v>-12699.999999999534</v>
      </c>
      <c r="J155" s="8" t="s">
        <v>81</v>
      </c>
      <c r="K155" s="8">
        <v>0</v>
      </c>
    </row>
    <row r="156" spans="1:11" x14ac:dyDescent="0.2">
      <c r="A156" s="10">
        <v>45200000</v>
      </c>
      <c r="B156" s="10" t="s">
        <v>103</v>
      </c>
      <c r="C156" s="11">
        <v>0</v>
      </c>
      <c r="D156" s="11">
        <v>0</v>
      </c>
      <c r="E156" s="11">
        <v>0</v>
      </c>
      <c r="F156" s="13">
        <v>0</v>
      </c>
      <c r="G156" s="13">
        <v>0</v>
      </c>
      <c r="H156" s="14">
        <v>0</v>
      </c>
      <c r="I156" s="14">
        <v>0</v>
      </c>
      <c r="J156" s="8" t="s">
        <v>81</v>
      </c>
      <c r="K156" s="8">
        <v>0</v>
      </c>
    </row>
    <row r="157" spans="1:11" x14ac:dyDescent="0.2">
      <c r="A157" s="10">
        <v>45310000</v>
      </c>
      <c r="B157" s="10" t="s">
        <v>104</v>
      </c>
      <c r="C157" s="11">
        <v>-185941.04700000008</v>
      </c>
      <c r="D157" s="11">
        <v>185732.856</v>
      </c>
      <c r="E157" s="11">
        <v>28981.731</v>
      </c>
      <c r="F157" s="13">
        <v>0</v>
      </c>
      <c r="G157" s="13">
        <v>28703.087</v>
      </c>
      <c r="H157" s="14">
        <v>128048.038</v>
      </c>
      <c r="I157" s="14">
        <v>-57893.009000000078</v>
      </c>
      <c r="J157" s="8" t="s">
        <v>81</v>
      </c>
      <c r="K157" s="8">
        <v>0</v>
      </c>
    </row>
    <row r="158" spans="1:11" x14ac:dyDescent="0.2">
      <c r="A158" s="10">
        <v>45700000</v>
      </c>
      <c r="B158" s="10" t="s">
        <v>105</v>
      </c>
      <c r="C158" s="11">
        <v>5876</v>
      </c>
      <c r="D158" s="11">
        <v>0</v>
      </c>
      <c r="E158" s="11">
        <v>0</v>
      </c>
      <c r="F158" s="13">
        <v>0</v>
      </c>
      <c r="G158" s="13">
        <v>0</v>
      </c>
      <c r="H158" s="14">
        <v>0</v>
      </c>
      <c r="I158" s="14">
        <v>5876</v>
      </c>
      <c r="J158" s="8" t="s">
        <v>78</v>
      </c>
      <c r="K158" s="8">
        <v>0</v>
      </c>
    </row>
    <row r="159" spans="1:11" x14ac:dyDescent="0.2">
      <c r="A159" s="10">
        <v>45860000</v>
      </c>
      <c r="B159" s="10" t="s">
        <v>106</v>
      </c>
      <c r="C159" s="11">
        <v>-954757.62199999951</v>
      </c>
      <c r="D159" s="11">
        <v>100166.54699999999</v>
      </c>
      <c r="E159" s="11">
        <v>0</v>
      </c>
      <c r="F159" s="13">
        <v>232108.81299999999</v>
      </c>
      <c r="G159" s="13">
        <v>289564.13799999998</v>
      </c>
      <c r="H159" s="14">
        <v>42711.222000000009</v>
      </c>
      <c r="I159" s="14">
        <v>-912046.39999999944</v>
      </c>
      <c r="J159" s="8" t="s">
        <v>81</v>
      </c>
      <c r="K159" s="8">
        <v>0</v>
      </c>
    </row>
    <row r="160" spans="1:11" x14ac:dyDescent="0.2">
      <c r="A160" s="10">
        <v>45870000</v>
      </c>
      <c r="B160" s="10" t="s">
        <v>107</v>
      </c>
      <c r="C160" s="11">
        <v>9657.8999999999978</v>
      </c>
      <c r="D160" s="11">
        <v>0</v>
      </c>
      <c r="E160" s="11">
        <v>0</v>
      </c>
      <c r="F160" s="13">
        <v>3219.3</v>
      </c>
      <c r="G160" s="13">
        <v>0</v>
      </c>
      <c r="H160" s="14">
        <v>3219.3</v>
      </c>
      <c r="I160" s="14">
        <v>12877.199999999997</v>
      </c>
      <c r="J160" s="8" t="s">
        <v>78</v>
      </c>
      <c r="K160" s="8">
        <v>0</v>
      </c>
    </row>
    <row r="161" spans="1:11" x14ac:dyDescent="0.2">
      <c r="A161" s="10">
        <v>46100000</v>
      </c>
      <c r="B161" s="10" t="s">
        <v>340</v>
      </c>
      <c r="C161" s="11">
        <v>0</v>
      </c>
      <c r="D161" s="11">
        <v>0</v>
      </c>
      <c r="E161" s="11">
        <v>0</v>
      </c>
      <c r="F161" s="13">
        <v>0</v>
      </c>
      <c r="G161" s="13">
        <v>0</v>
      </c>
      <c r="H161" s="14">
        <v>0</v>
      </c>
      <c r="I161" s="14">
        <v>0</v>
      </c>
      <c r="J161" s="8">
        <v>0</v>
      </c>
      <c r="K161" s="8">
        <v>0</v>
      </c>
    </row>
    <row r="162" spans="1:11" x14ac:dyDescent="0.2">
      <c r="A162" s="10">
        <v>46800000</v>
      </c>
      <c r="B162" s="10" t="s">
        <v>108</v>
      </c>
      <c r="C162" s="11">
        <v>0</v>
      </c>
      <c r="D162" s="11">
        <v>0</v>
      </c>
      <c r="E162" s="11">
        <v>0</v>
      </c>
      <c r="F162" s="13">
        <v>0</v>
      </c>
      <c r="G162" s="13">
        <v>0</v>
      </c>
      <c r="H162" s="14">
        <v>0</v>
      </c>
      <c r="I162" s="14">
        <v>0</v>
      </c>
      <c r="J162" s="8">
        <v>0</v>
      </c>
      <c r="K162" s="8">
        <v>0</v>
      </c>
    </row>
    <row r="163" spans="1:11" x14ac:dyDescent="0.2">
      <c r="A163" s="10">
        <v>47100000</v>
      </c>
      <c r="B163" s="10" t="s">
        <v>109</v>
      </c>
      <c r="C163" s="11">
        <v>289065.30784600013</v>
      </c>
      <c r="D163" s="11">
        <v>0</v>
      </c>
      <c r="E163" s="11">
        <v>0</v>
      </c>
      <c r="F163" s="13">
        <v>22924.507000000001</v>
      </c>
      <c r="G163" s="13">
        <v>87568.34</v>
      </c>
      <c r="H163" s="14">
        <v>-64643.832999999999</v>
      </c>
      <c r="I163" s="14">
        <v>224421.47484600014</v>
      </c>
      <c r="J163" s="8" t="s">
        <v>78</v>
      </c>
      <c r="K163" s="8">
        <v>0</v>
      </c>
    </row>
    <row r="164" spans="1:11" x14ac:dyDescent="0.2">
      <c r="A164" s="10">
        <v>47200000</v>
      </c>
      <c r="B164" s="10" t="s">
        <v>341</v>
      </c>
      <c r="C164" s="11">
        <v>0</v>
      </c>
      <c r="D164" s="11">
        <v>0</v>
      </c>
      <c r="E164" s="11">
        <v>0</v>
      </c>
      <c r="F164" s="13">
        <v>0</v>
      </c>
      <c r="G164" s="13">
        <v>0</v>
      </c>
      <c r="H164" s="14">
        <v>0</v>
      </c>
      <c r="I164" s="14">
        <v>0</v>
      </c>
      <c r="J164" s="8">
        <v>0</v>
      </c>
      <c r="K164" s="8">
        <v>0</v>
      </c>
    </row>
    <row r="165" spans="1:11" x14ac:dyDescent="0.2">
      <c r="A165" s="10">
        <v>49100000</v>
      </c>
      <c r="B165" s="10" t="s">
        <v>110</v>
      </c>
      <c r="C165" s="11">
        <v>-457129.14999999991</v>
      </c>
      <c r="D165" s="11">
        <v>0</v>
      </c>
      <c r="E165" s="11">
        <v>0</v>
      </c>
      <c r="F165" s="13">
        <v>0</v>
      </c>
      <c r="G165" s="13">
        <v>0</v>
      </c>
      <c r="H165" s="14">
        <v>0</v>
      </c>
      <c r="I165" s="14">
        <v>-457129.14999999991</v>
      </c>
      <c r="J165" s="8" t="s">
        <v>111</v>
      </c>
      <c r="K165" s="8">
        <v>0</v>
      </c>
    </row>
    <row r="166" spans="1:11" x14ac:dyDescent="0.2">
      <c r="A166" s="10">
        <v>49600000</v>
      </c>
      <c r="B166" s="10" t="s">
        <v>112</v>
      </c>
      <c r="C166" s="11">
        <v>-288613.68499999994</v>
      </c>
      <c r="D166" s="11">
        <v>0</v>
      </c>
      <c r="E166" s="11">
        <v>0</v>
      </c>
      <c r="F166" s="13">
        <v>0</v>
      </c>
      <c r="G166" s="13">
        <v>0</v>
      </c>
      <c r="H166" s="14">
        <v>0</v>
      </c>
      <c r="I166" s="14">
        <v>-288613.68499999994</v>
      </c>
      <c r="J166" s="8" t="s">
        <v>113</v>
      </c>
      <c r="K166" s="8">
        <v>0</v>
      </c>
    </row>
    <row r="167" spans="1:11" x14ac:dyDescent="0.2">
      <c r="A167" s="10">
        <v>50130000</v>
      </c>
      <c r="B167" s="10" t="s">
        <v>114</v>
      </c>
      <c r="C167" s="11">
        <v>-6000000</v>
      </c>
      <c r="D167" s="11">
        <v>0</v>
      </c>
      <c r="E167" s="11">
        <v>0</v>
      </c>
      <c r="F167" s="13">
        <v>0</v>
      </c>
      <c r="G167" s="13">
        <v>0</v>
      </c>
      <c r="H167" s="14">
        <v>0</v>
      </c>
      <c r="I167" s="14">
        <v>-6000000</v>
      </c>
      <c r="J167" s="8" t="s">
        <v>115</v>
      </c>
      <c r="K167" s="8">
        <v>0</v>
      </c>
    </row>
    <row r="168" spans="1:11" x14ac:dyDescent="0.2">
      <c r="A168" s="10">
        <v>50140000</v>
      </c>
      <c r="B168" s="10" t="s">
        <v>116</v>
      </c>
      <c r="C168" s="11">
        <v>-4000000</v>
      </c>
      <c r="D168" s="11">
        <v>0</v>
      </c>
      <c r="E168" s="11">
        <v>0</v>
      </c>
      <c r="F168" s="13">
        <v>0</v>
      </c>
      <c r="G168" s="13">
        <v>0</v>
      </c>
      <c r="H168" s="14">
        <v>0</v>
      </c>
      <c r="I168" s="14">
        <v>-4000000</v>
      </c>
      <c r="J168" s="8" t="s">
        <v>115</v>
      </c>
      <c r="K168" s="8">
        <v>0</v>
      </c>
    </row>
    <row r="169" spans="1:11" x14ac:dyDescent="0.2">
      <c r="A169" s="10">
        <v>50500000</v>
      </c>
      <c r="B169" s="10" t="s">
        <v>117</v>
      </c>
      <c r="C169" s="11">
        <v>-812500.00000000128</v>
      </c>
      <c r="D169" s="11">
        <v>291666.663</v>
      </c>
      <c r="E169" s="11">
        <v>0</v>
      </c>
      <c r="F169" s="13">
        <v>0</v>
      </c>
      <c r="G169" s="13">
        <v>0</v>
      </c>
      <c r="H169" s="14">
        <v>291666.663</v>
      </c>
      <c r="I169" s="14">
        <v>-520833.33700000128</v>
      </c>
      <c r="J169" s="8" t="s">
        <v>115</v>
      </c>
      <c r="K169" s="8">
        <v>0</v>
      </c>
    </row>
    <row r="170" spans="1:11" x14ac:dyDescent="0.2">
      <c r="A170" s="10">
        <v>50515000</v>
      </c>
      <c r="B170" s="10" t="s">
        <v>118</v>
      </c>
      <c r="C170" s="11">
        <v>-87466.901000000144</v>
      </c>
      <c r="D170" s="11">
        <v>9272.6490000000013</v>
      </c>
      <c r="E170" s="11">
        <v>0</v>
      </c>
      <c r="F170" s="13">
        <v>0</v>
      </c>
      <c r="G170" s="13">
        <v>0</v>
      </c>
      <c r="H170" s="14">
        <v>9272.6490000000013</v>
      </c>
      <c r="I170" s="14">
        <v>-78194.252000000139</v>
      </c>
      <c r="J170" s="8" t="s">
        <v>115</v>
      </c>
      <c r="K170" s="8">
        <v>0</v>
      </c>
    </row>
    <row r="171" spans="1:11" x14ac:dyDescent="0.2">
      <c r="A171" s="10">
        <v>50610100</v>
      </c>
      <c r="B171" s="10" t="s">
        <v>342</v>
      </c>
      <c r="C171" s="11">
        <v>0</v>
      </c>
      <c r="D171" s="11">
        <v>0</v>
      </c>
      <c r="E171" s="11">
        <v>0</v>
      </c>
      <c r="F171" s="13">
        <v>0</v>
      </c>
      <c r="G171" s="13">
        <v>0</v>
      </c>
      <c r="H171" s="14">
        <v>0</v>
      </c>
      <c r="I171" s="14">
        <v>0</v>
      </c>
      <c r="J171" s="8">
        <v>0</v>
      </c>
      <c r="K171" s="8">
        <v>0</v>
      </c>
    </row>
    <row r="172" spans="1:11" x14ac:dyDescent="0.2">
      <c r="A172" s="10">
        <v>50610900</v>
      </c>
      <c r="B172" s="10" t="s">
        <v>119</v>
      </c>
      <c r="C172" s="11">
        <v>3.7650018930435181E-4</v>
      </c>
      <c r="D172" s="11">
        <v>0</v>
      </c>
      <c r="E172" s="11">
        <v>0</v>
      </c>
      <c r="F172" s="13">
        <v>0</v>
      </c>
      <c r="G172" s="13">
        <v>0</v>
      </c>
      <c r="H172" s="14">
        <v>0</v>
      </c>
      <c r="I172" s="14">
        <v>3.7650018930435181E-4</v>
      </c>
      <c r="J172" s="8" t="s">
        <v>115</v>
      </c>
      <c r="K172" s="8">
        <v>0</v>
      </c>
    </row>
    <row r="173" spans="1:11" x14ac:dyDescent="0.2">
      <c r="A173" s="10">
        <v>50630000</v>
      </c>
      <c r="B173" s="10" t="s">
        <v>343</v>
      </c>
      <c r="C173" s="11">
        <v>0</v>
      </c>
      <c r="D173" s="11">
        <v>0</v>
      </c>
      <c r="E173" s="11">
        <v>0</v>
      </c>
      <c r="F173" s="13">
        <v>0</v>
      </c>
      <c r="G173" s="13">
        <v>0</v>
      </c>
      <c r="H173" s="14">
        <v>0</v>
      </c>
      <c r="I173" s="14">
        <v>0</v>
      </c>
      <c r="J173" s="8" t="s">
        <v>115</v>
      </c>
      <c r="K173" s="8">
        <v>0</v>
      </c>
    </row>
    <row r="174" spans="1:11" x14ac:dyDescent="0.2">
      <c r="A174" s="10">
        <v>50800000</v>
      </c>
      <c r="B174" s="10" t="s">
        <v>344</v>
      </c>
      <c r="C174" s="11">
        <v>0</v>
      </c>
      <c r="D174" s="11">
        <v>0</v>
      </c>
      <c r="E174" s="11">
        <v>0</v>
      </c>
      <c r="F174" s="13">
        <v>0</v>
      </c>
      <c r="G174" s="13">
        <v>0</v>
      </c>
      <c r="H174" s="14">
        <v>0</v>
      </c>
      <c r="I174" s="14">
        <v>0</v>
      </c>
      <c r="J174" s="8" t="s">
        <v>115</v>
      </c>
      <c r="K174" s="8">
        <v>0</v>
      </c>
    </row>
    <row r="175" spans="1:11" x14ac:dyDescent="0.2">
      <c r="A175" s="10">
        <v>52000000</v>
      </c>
      <c r="B175" s="10" t="s">
        <v>345</v>
      </c>
      <c r="C175" s="11">
        <v>0</v>
      </c>
      <c r="D175" s="11">
        <v>0</v>
      </c>
      <c r="E175" s="11">
        <v>0</v>
      </c>
      <c r="F175" s="13">
        <v>0</v>
      </c>
      <c r="G175" s="13">
        <v>0</v>
      </c>
      <c r="H175" s="14">
        <v>0</v>
      </c>
      <c r="I175" s="14">
        <v>0</v>
      </c>
      <c r="J175" s="8">
        <v>0</v>
      </c>
      <c r="K175" s="8">
        <v>0</v>
      </c>
    </row>
    <row r="176" spans="1:11" x14ac:dyDescent="0.2">
      <c r="A176" s="10">
        <v>52001100</v>
      </c>
      <c r="B176" s="10" t="s">
        <v>346</v>
      </c>
      <c r="C176" s="11">
        <v>0</v>
      </c>
      <c r="D176" s="11">
        <v>0</v>
      </c>
      <c r="E176" s="11">
        <v>0</v>
      </c>
      <c r="F176" s="13">
        <v>0</v>
      </c>
      <c r="G176" s="13">
        <v>0</v>
      </c>
      <c r="H176" s="14">
        <v>0</v>
      </c>
      <c r="I176" s="14">
        <v>0</v>
      </c>
      <c r="J176" s="8">
        <v>0</v>
      </c>
      <c r="K176" s="8">
        <v>0</v>
      </c>
    </row>
    <row r="177" spans="1:11" x14ac:dyDescent="0.2">
      <c r="A177" s="10">
        <v>53140000</v>
      </c>
      <c r="B177" s="10" t="s">
        <v>347</v>
      </c>
      <c r="C177" s="11">
        <v>0</v>
      </c>
      <c r="D177" s="11">
        <v>0</v>
      </c>
      <c r="E177" s="11">
        <v>0</v>
      </c>
      <c r="F177" s="13">
        <v>0</v>
      </c>
      <c r="G177" s="13">
        <v>0</v>
      </c>
      <c r="H177" s="14">
        <v>0</v>
      </c>
      <c r="I177" s="14">
        <v>0</v>
      </c>
      <c r="J177" s="8">
        <v>0</v>
      </c>
      <c r="K177" s="8">
        <v>0</v>
      </c>
    </row>
    <row r="178" spans="1:11" x14ac:dyDescent="0.2">
      <c r="A178" s="10">
        <v>53200000</v>
      </c>
      <c r="B178" s="10" t="s">
        <v>120</v>
      </c>
      <c r="C178" s="11">
        <v>588999.99999999953</v>
      </c>
      <c r="D178" s="11">
        <v>2282547.2960000001</v>
      </c>
      <c r="E178" s="11">
        <v>2871547.2960000001</v>
      </c>
      <c r="F178" s="13">
        <v>0</v>
      </c>
      <c r="G178" s="13">
        <v>0</v>
      </c>
      <c r="H178" s="14">
        <v>-589000</v>
      </c>
      <c r="I178" s="14">
        <v>0</v>
      </c>
      <c r="J178" s="8" t="s">
        <v>121</v>
      </c>
      <c r="K178" s="8">
        <v>0</v>
      </c>
    </row>
    <row r="179" spans="1:11" x14ac:dyDescent="0.2">
      <c r="A179" s="10">
        <v>53201000</v>
      </c>
      <c r="B179" s="10" t="s">
        <v>348</v>
      </c>
      <c r="C179" s="11">
        <v>0</v>
      </c>
      <c r="D179" s="11">
        <v>0</v>
      </c>
      <c r="E179" s="11">
        <v>0</v>
      </c>
      <c r="F179" s="13">
        <v>0</v>
      </c>
      <c r="G179" s="13">
        <v>0</v>
      </c>
      <c r="H179" s="14">
        <v>0</v>
      </c>
      <c r="I179" s="14">
        <v>0</v>
      </c>
      <c r="J179" s="8">
        <v>0</v>
      </c>
      <c r="K179" s="8">
        <v>0</v>
      </c>
    </row>
    <row r="180" spans="1:11" x14ac:dyDescent="0.2">
      <c r="A180" s="10">
        <v>53202000</v>
      </c>
      <c r="B180" s="10" t="s">
        <v>122</v>
      </c>
      <c r="C180" s="11">
        <v>435.74199999962002</v>
      </c>
      <c r="D180" s="11">
        <v>0</v>
      </c>
      <c r="E180" s="11">
        <v>0</v>
      </c>
      <c r="F180" s="13">
        <v>0</v>
      </c>
      <c r="G180" s="13">
        <v>0</v>
      </c>
      <c r="H180" s="14">
        <v>0</v>
      </c>
      <c r="I180" s="14">
        <v>435.74199999962002</v>
      </c>
      <c r="J180" s="8" t="s">
        <v>121</v>
      </c>
      <c r="K180" s="8">
        <v>0</v>
      </c>
    </row>
    <row r="181" spans="1:11" x14ac:dyDescent="0.2">
      <c r="A181" s="10">
        <v>53203000</v>
      </c>
      <c r="B181" s="10" t="s">
        <v>349</v>
      </c>
      <c r="C181" s="11">
        <v>398937.88500000013</v>
      </c>
      <c r="D181" s="11">
        <v>300000</v>
      </c>
      <c r="E181" s="11">
        <v>498894.12200000009</v>
      </c>
      <c r="F181" s="13">
        <v>0</v>
      </c>
      <c r="G181" s="13">
        <v>0</v>
      </c>
      <c r="H181" s="14">
        <v>-198894.12200000009</v>
      </c>
      <c r="I181" s="14">
        <v>200043.76300000004</v>
      </c>
      <c r="J181" s="8" t="s">
        <v>121</v>
      </c>
      <c r="K181" s="8">
        <v>0</v>
      </c>
    </row>
    <row r="182" spans="1:11" x14ac:dyDescent="0.2">
      <c r="A182" s="10">
        <v>53204000</v>
      </c>
      <c r="B182" s="10" t="s">
        <v>350</v>
      </c>
      <c r="C182" s="11">
        <v>0</v>
      </c>
      <c r="D182" s="11">
        <v>0</v>
      </c>
      <c r="E182" s="11">
        <v>0</v>
      </c>
      <c r="F182" s="13">
        <v>0</v>
      </c>
      <c r="G182" s="13">
        <v>0</v>
      </c>
      <c r="H182" s="14">
        <v>0</v>
      </c>
      <c r="I182" s="14">
        <v>0</v>
      </c>
      <c r="J182" s="8">
        <v>0</v>
      </c>
      <c r="K182" s="8">
        <v>0</v>
      </c>
    </row>
    <row r="183" spans="1:11" x14ac:dyDescent="0.2">
      <c r="A183" s="10">
        <v>53204100</v>
      </c>
      <c r="B183" s="10" t="s">
        <v>351</v>
      </c>
      <c r="C183" s="11">
        <v>0</v>
      </c>
      <c r="D183" s="11">
        <v>0</v>
      </c>
      <c r="E183" s="11">
        <v>0</v>
      </c>
      <c r="F183" s="13">
        <v>0</v>
      </c>
      <c r="G183" s="13">
        <v>0</v>
      </c>
      <c r="H183" s="14">
        <v>0</v>
      </c>
      <c r="I183" s="14">
        <v>0</v>
      </c>
      <c r="J183" s="8">
        <v>0</v>
      </c>
      <c r="K183" s="8">
        <v>0</v>
      </c>
    </row>
    <row r="184" spans="1:11" x14ac:dyDescent="0.2">
      <c r="A184" s="10">
        <v>53204500</v>
      </c>
      <c r="B184" s="10" t="s">
        <v>123</v>
      </c>
      <c r="C184" s="11">
        <v>5874.02</v>
      </c>
      <c r="D184" s="11">
        <v>0</v>
      </c>
      <c r="E184" s="11">
        <v>0</v>
      </c>
      <c r="F184" s="13">
        <v>0</v>
      </c>
      <c r="G184" s="13">
        <v>0</v>
      </c>
      <c r="H184" s="14">
        <v>0</v>
      </c>
      <c r="I184" s="14">
        <v>5874.02</v>
      </c>
      <c r="J184" s="8" t="s">
        <v>121</v>
      </c>
      <c r="K184" s="8">
        <v>0</v>
      </c>
    </row>
    <row r="185" spans="1:11" x14ac:dyDescent="0.2">
      <c r="A185" s="10">
        <v>53205000</v>
      </c>
      <c r="B185" s="10" t="s">
        <v>124</v>
      </c>
      <c r="C185" s="11">
        <v>21818.723999977112</v>
      </c>
      <c r="D185" s="11">
        <v>0</v>
      </c>
      <c r="E185" s="11">
        <v>0</v>
      </c>
      <c r="F185" s="13">
        <v>0</v>
      </c>
      <c r="G185" s="13">
        <v>0</v>
      </c>
      <c r="H185" s="14">
        <v>0</v>
      </c>
      <c r="I185" s="14">
        <v>21818.723999977112</v>
      </c>
      <c r="J185" s="8" t="s">
        <v>121</v>
      </c>
      <c r="K185" s="8">
        <v>0</v>
      </c>
    </row>
    <row r="186" spans="1:11" x14ac:dyDescent="0.2">
      <c r="A186" s="10">
        <v>53205300</v>
      </c>
      <c r="B186" s="10" t="s">
        <v>125</v>
      </c>
      <c r="C186" s="11">
        <v>0</v>
      </c>
      <c r="D186" s="11">
        <v>0</v>
      </c>
      <c r="E186" s="11">
        <v>0</v>
      </c>
      <c r="F186" s="13">
        <v>0</v>
      </c>
      <c r="G186" s="13">
        <v>0</v>
      </c>
      <c r="H186" s="14">
        <v>0</v>
      </c>
      <c r="I186" s="14">
        <v>0</v>
      </c>
      <c r="J186" s="8" t="s">
        <v>121</v>
      </c>
      <c r="K186" s="8">
        <v>0</v>
      </c>
    </row>
    <row r="187" spans="1:11" x14ac:dyDescent="0.2">
      <c r="A187" s="10">
        <v>53205400</v>
      </c>
      <c r="B187" s="10" t="s">
        <v>126</v>
      </c>
      <c r="C187" s="11">
        <v>0</v>
      </c>
      <c r="D187" s="11">
        <v>0</v>
      </c>
      <c r="E187" s="11">
        <v>0</v>
      </c>
      <c r="F187" s="13">
        <v>0</v>
      </c>
      <c r="G187" s="13">
        <v>0</v>
      </c>
      <c r="H187" s="14">
        <v>0</v>
      </c>
      <c r="I187" s="14">
        <v>0</v>
      </c>
      <c r="J187" s="8">
        <v>0</v>
      </c>
      <c r="K187" s="8">
        <v>0</v>
      </c>
    </row>
    <row r="188" spans="1:11" x14ac:dyDescent="0.2">
      <c r="A188" s="10">
        <v>53205500</v>
      </c>
      <c r="B188" s="10" t="s">
        <v>127</v>
      </c>
      <c r="C188" s="11">
        <v>0</v>
      </c>
      <c r="D188" s="11">
        <v>0</v>
      </c>
      <c r="E188" s="11">
        <v>0</v>
      </c>
      <c r="F188" s="13">
        <v>0</v>
      </c>
      <c r="G188" s="13">
        <v>0</v>
      </c>
      <c r="H188" s="14">
        <v>0</v>
      </c>
      <c r="I188" s="14">
        <v>0</v>
      </c>
      <c r="J188" s="8">
        <v>0</v>
      </c>
      <c r="K188" s="8">
        <v>0</v>
      </c>
    </row>
    <row r="189" spans="1:11" x14ac:dyDescent="0.2">
      <c r="A189" s="10">
        <v>53205600</v>
      </c>
      <c r="B189" s="10" t="s">
        <v>128</v>
      </c>
      <c r="C189" s="11">
        <v>-3598190.4469999336</v>
      </c>
      <c r="D189" s="11">
        <v>2604993.068</v>
      </c>
      <c r="E189" s="11">
        <v>3961191.361</v>
      </c>
      <c r="F189" s="13">
        <v>0</v>
      </c>
      <c r="G189" s="13">
        <v>0</v>
      </c>
      <c r="H189" s="14">
        <v>-1356198.2930000001</v>
      </c>
      <c r="I189" s="14">
        <v>-4954388.7399999332</v>
      </c>
      <c r="J189" s="8" t="s">
        <v>115</v>
      </c>
      <c r="K189" s="8">
        <v>0</v>
      </c>
    </row>
    <row r="190" spans="1:11" x14ac:dyDescent="0.2">
      <c r="A190" s="10">
        <v>53205700</v>
      </c>
      <c r="B190" s="10" t="s">
        <v>129</v>
      </c>
      <c r="C190" s="11">
        <v>719469.78672220232</v>
      </c>
      <c r="D190" s="11">
        <v>492032.78700000001</v>
      </c>
      <c r="E190" s="11">
        <v>888340.68200000003</v>
      </c>
      <c r="F190" s="13">
        <v>0</v>
      </c>
      <c r="G190" s="13">
        <v>0</v>
      </c>
      <c r="H190" s="14">
        <v>-396307.89500000002</v>
      </c>
      <c r="I190" s="14">
        <v>323161.8917222023</v>
      </c>
      <c r="J190" s="8" t="s">
        <v>121</v>
      </c>
      <c r="K190" s="8">
        <v>0</v>
      </c>
    </row>
    <row r="191" spans="1:11" x14ac:dyDescent="0.2">
      <c r="A191" s="10">
        <v>53205800</v>
      </c>
      <c r="B191" s="10" t="s">
        <v>130</v>
      </c>
      <c r="C191" s="11">
        <v>1885314.6540000006</v>
      </c>
      <c r="D191" s="11">
        <v>353204.13200000004</v>
      </c>
      <c r="E191" s="11">
        <v>1411963.0790000001</v>
      </c>
      <c r="F191" s="13">
        <v>0</v>
      </c>
      <c r="G191" s="13">
        <v>0</v>
      </c>
      <c r="H191" s="14">
        <v>-1058758.9470000002</v>
      </c>
      <c r="I191" s="14">
        <v>826555.7070000004</v>
      </c>
      <c r="J191" s="8" t="s">
        <v>121</v>
      </c>
      <c r="K191" s="8">
        <v>0</v>
      </c>
    </row>
    <row r="192" spans="1:11" x14ac:dyDescent="0.2">
      <c r="A192" s="10">
        <v>53207000</v>
      </c>
      <c r="B192" s="10" t="s">
        <v>352</v>
      </c>
      <c r="C192" s="11">
        <v>0</v>
      </c>
      <c r="D192" s="11">
        <v>0</v>
      </c>
      <c r="E192" s="11">
        <v>0</v>
      </c>
      <c r="F192" s="13">
        <v>0</v>
      </c>
      <c r="G192" s="13">
        <v>0</v>
      </c>
      <c r="H192" s="14">
        <v>0</v>
      </c>
      <c r="I192" s="14">
        <v>0</v>
      </c>
      <c r="J192" s="8">
        <v>0</v>
      </c>
      <c r="K192" s="8">
        <v>0</v>
      </c>
    </row>
    <row r="193" spans="1:11" x14ac:dyDescent="0.2">
      <c r="A193" s="10">
        <v>53207100</v>
      </c>
      <c r="B193" s="10" t="s">
        <v>353</v>
      </c>
      <c r="C193" s="11">
        <v>0</v>
      </c>
      <c r="D193" s="11">
        <v>0</v>
      </c>
      <c r="E193" s="11">
        <v>0</v>
      </c>
      <c r="F193" s="13">
        <v>0</v>
      </c>
      <c r="G193" s="13">
        <v>0</v>
      </c>
      <c r="H193" s="14">
        <v>0</v>
      </c>
      <c r="I193" s="14">
        <v>0</v>
      </c>
      <c r="J193" s="8">
        <v>0</v>
      </c>
      <c r="K193" s="8">
        <v>0</v>
      </c>
    </row>
    <row r="194" spans="1:11" x14ac:dyDescent="0.2">
      <c r="A194" s="10">
        <v>53207200</v>
      </c>
      <c r="B194" s="10" t="s">
        <v>354</v>
      </c>
      <c r="C194" s="11">
        <v>0</v>
      </c>
      <c r="D194" s="11">
        <v>0</v>
      </c>
      <c r="E194" s="11">
        <v>0</v>
      </c>
      <c r="F194" s="13">
        <v>0</v>
      </c>
      <c r="G194" s="13">
        <v>0</v>
      </c>
      <c r="H194" s="14">
        <v>0</v>
      </c>
      <c r="I194" s="14">
        <v>0</v>
      </c>
      <c r="J194" s="8">
        <v>0</v>
      </c>
      <c r="K194" s="8">
        <v>0</v>
      </c>
    </row>
    <row r="195" spans="1:11" x14ac:dyDescent="0.2">
      <c r="A195" s="10">
        <v>53208000</v>
      </c>
      <c r="B195" s="10" t="s">
        <v>355</v>
      </c>
      <c r="C195" s="11">
        <v>485.66199999954551</v>
      </c>
      <c r="D195" s="11">
        <v>0</v>
      </c>
      <c r="E195" s="11">
        <v>0</v>
      </c>
      <c r="F195" s="13">
        <v>0</v>
      </c>
      <c r="G195" s="13">
        <v>0</v>
      </c>
      <c r="H195" s="14">
        <v>0</v>
      </c>
      <c r="I195" s="14">
        <v>485.66199999954551</v>
      </c>
      <c r="J195" s="8" t="s">
        <v>121</v>
      </c>
      <c r="K195" s="8">
        <v>0</v>
      </c>
    </row>
    <row r="196" spans="1:11" x14ac:dyDescent="0.2">
      <c r="A196" s="10">
        <v>53208100</v>
      </c>
      <c r="B196" s="10" t="s">
        <v>356</v>
      </c>
      <c r="C196" s="11">
        <v>0</v>
      </c>
      <c r="D196" s="11">
        <v>0</v>
      </c>
      <c r="E196" s="11">
        <v>0</v>
      </c>
      <c r="F196" s="13">
        <v>0</v>
      </c>
      <c r="G196" s="13">
        <v>0</v>
      </c>
      <c r="H196" s="14">
        <v>0</v>
      </c>
      <c r="I196" s="14">
        <v>0</v>
      </c>
      <c r="J196" s="8">
        <v>0</v>
      </c>
      <c r="K196" s="8">
        <v>0</v>
      </c>
    </row>
    <row r="197" spans="1:11" x14ac:dyDescent="0.2">
      <c r="A197" s="10">
        <v>53208500</v>
      </c>
      <c r="B197" s="10" t="s">
        <v>357</v>
      </c>
      <c r="C197" s="11">
        <v>0</v>
      </c>
      <c r="D197" s="11">
        <v>0</v>
      </c>
      <c r="E197" s="11">
        <v>0</v>
      </c>
      <c r="F197" s="13">
        <v>0</v>
      </c>
      <c r="G197" s="13">
        <v>0</v>
      </c>
      <c r="H197" s="14">
        <v>0</v>
      </c>
      <c r="I197" s="14">
        <v>0</v>
      </c>
      <c r="J197" s="8">
        <v>0</v>
      </c>
      <c r="K197" s="8">
        <v>0</v>
      </c>
    </row>
    <row r="198" spans="1:11" x14ac:dyDescent="0.2">
      <c r="A198" s="10">
        <v>54000000</v>
      </c>
      <c r="B198" s="10" t="s">
        <v>358</v>
      </c>
      <c r="C198" s="11">
        <v>0</v>
      </c>
      <c r="D198" s="11">
        <v>0</v>
      </c>
      <c r="E198" s="11">
        <v>0</v>
      </c>
      <c r="F198" s="13">
        <v>0</v>
      </c>
      <c r="G198" s="13">
        <v>0</v>
      </c>
      <c r="H198" s="14">
        <v>0</v>
      </c>
      <c r="I198" s="14">
        <v>0</v>
      </c>
      <c r="J198" s="8">
        <v>0</v>
      </c>
      <c r="K198" s="8">
        <v>0</v>
      </c>
    </row>
    <row r="199" spans="1:11" x14ac:dyDescent="0.2">
      <c r="A199" s="10">
        <v>54100000</v>
      </c>
      <c r="B199" s="10" t="s">
        <v>131</v>
      </c>
      <c r="C199" s="11">
        <v>0</v>
      </c>
      <c r="D199" s="11">
        <v>2750.1400000000003</v>
      </c>
      <c r="E199" s="11">
        <v>2750.1400000000003</v>
      </c>
      <c r="F199" s="13">
        <v>0</v>
      </c>
      <c r="G199" s="13">
        <v>0</v>
      </c>
      <c r="H199" s="14">
        <v>0</v>
      </c>
      <c r="I199" s="14">
        <v>0</v>
      </c>
      <c r="J199" s="8" t="s">
        <v>115</v>
      </c>
      <c r="K199" s="8">
        <v>0</v>
      </c>
    </row>
    <row r="200" spans="1:11" x14ac:dyDescent="0.2">
      <c r="A200" s="10">
        <v>54300000</v>
      </c>
      <c r="B200" s="10" t="s">
        <v>359</v>
      </c>
      <c r="C200" s="11">
        <v>0</v>
      </c>
      <c r="D200" s="11">
        <v>0</v>
      </c>
      <c r="E200" s="11">
        <v>0</v>
      </c>
      <c r="F200" s="13">
        <v>0</v>
      </c>
      <c r="G200" s="13">
        <v>0</v>
      </c>
      <c r="H200" s="14">
        <v>0</v>
      </c>
      <c r="I200" s="14">
        <v>0</v>
      </c>
      <c r="J200" s="8">
        <v>0</v>
      </c>
      <c r="K200" s="8">
        <v>0</v>
      </c>
    </row>
    <row r="201" spans="1:11" x14ac:dyDescent="0.2">
      <c r="A201" s="10">
        <v>55010000</v>
      </c>
      <c r="B201" s="10" t="s">
        <v>132</v>
      </c>
      <c r="C201" s="11">
        <v>3000</v>
      </c>
      <c r="D201" s="11">
        <v>0</v>
      </c>
      <c r="E201" s="11">
        <v>0</v>
      </c>
      <c r="F201" s="13">
        <v>0</v>
      </c>
      <c r="G201" s="13">
        <v>0</v>
      </c>
      <c r="H201" s="14">
        <v>0</v>
      </c>
      <c r="I201" s="14">
        <v>3000</v>
      </c>
      <c r="J201" s="8" t="s">
        <v>121</v>
      </c>
      <c r="K201" s="8">
        <v>0</v>
      </c>
    </row>
    <row r="202" spans="1:11" x14ac:dyDescent="0.2">
      <c r="A202" s="10">
        <v>55011000</v>
      </c>
      <c r="B202" s="10" t="s">
        <v>133</v>
      </c>
      <c r="C202" s="11">
        <v>0</v>
      </c>
      <c r="D202" s="11">
        <v>0</v>
      </c>
      <c r="E202" s="11">
        <v>0</v>
      </c>
      <c r="F202" s="13">
        <v>0</v>
      </c>
      <c r="G202" s="13">
        <v>0</v>
      </c>
      <c r="H202" s="14">
        <v>0</v>
      </c>
      <c r="I202" s="14">
        <v>0</v>
      </c>
      <c r="J202" s="8" t="s">
        <v>121</v>
      </c>
      <c r="K202" s="8">
        <v>0</v>
      </c>
    </row>
    <row r="203" spans="1:11" x14ac:dyDescent="0.2">
      <c r="A203" s="10">
        <v>58000000</v>
      </c>
      <c r="B203" s="10" t="s">
        <v>134</v>
      </c>
      <c r="C203" s="11">
        <v>0</v>
      </c>
      <c r="D203" s="11">
        <v>0</v>
      </c>
      <c r="E203" s="11">
        <v>0</v>
      </c>
      <c r="F203" s="13">
        <v>0</v>
      </c>
      <c r="G203" s="13">
        <v>0</v>
      </c>
      <c r="H203" s="14">
        <v>0</v>
      </c>
      <c r="I203" s="14">
        <v>0</v>
      </c>
      <c r="J203" s="8" t="s">
        <v>121</v>
      </c>
      <c r="K203" s="8">
        <v>0</v>
      </c>
    </row>
    <row r="204" spans="1:11" x14ac:dyDescent="0.2">
      <c r="A204" s="10">
        <v>58001000</v>
      </c>
      <c r="B204" s="10" t="s">
        <v>135</v>
      </c>
      <c r="C204" s="11">
        <v>-1.9999593496322632E-4</v>
      </c>
      <c r="D204" s="11">
        <v>0</v>
      </c>
      <c r="E204" s="11">
        <v>0</v>
      </c>
      <c r="F204" s="13">
        <v>0</v>
      </c>
      <c r="G204" s="13">
        <v>0</v>
      </c>
      <c r="H204" s="14">
        <v>0</v>
      </c>
      <c r="I204" s="14">
        <v>-1.9999593496322632E-4</v>
      </c>
      <c r="J204" s="8">
        <v>0</v>
      </c>
      <c r="K204" s="8">
        <v>0</v>
      </c>
    </row>
    <row r="205" spans="1:11" x14ac:dyDescent="0.2">
      <c r="A205" s="10">
        <v>58002000</v>
      </c>
      <c r="B205" s="10" t="s">
        <v>360</v>
      </c>
      <c r="C205" s="11">
        <v>0</v>
      </c>
      <c r="D205" s="11">
        <v>0</v>
      </c>
      <c r="E205" s="11">
        <v>0</v>
      </c>
      <c r="F205" s="13">
        <v>0</v>
      </c>
      <c r="G205" s="13">
        <v>0</v>
      </c>
      <c r="H205" s="14">
        <v>0</v>
      </c>
      <c r="I205" s="14">
        <v>0</v>
      </c>
      <c r="J205" s="8">
        <v>0</v>
      </c>
      <c r="K205" s="8">
        <v>0</v>
      </c>
    </row>
    <row r="206" spans="1:11" x14ac:dyDescent="0.2">
      <c r="A206" s="10">
        <v>58003000</v>
      </c>
      <c r="B206" s="10" t="s">
        <v>136</v>
      </c>
      <c r="C206" s="11">
        <v>1.0100007057189941E-4</v>
      </c>
      <c r="D206" s="11">
        <v>1401991.3540000001</v>
      </c>
      <c r="E206" s="11">
        <v>1401991.3540000001</v>
      </c>
      <c r="F206" s="13">
        <v>0</v>
      </c>
      <c r="G206" s="13">
        <v>0</v>
      </c>
      <c r="H206" s="14">
        <v>0</v>
      </c>
      <c r="I206" s="14">
        <v>1.0100007057189941E-4</v>
      </c>
      <c r="J206" s="8">
        <v>0</v>
      </c>
      <c r="K206" s="8">
        <v>0</v>
      </c>
    </row>
    <row r="207" spans="1:11" x14ac:dyDescent="0.2">
      <c r="A207" s="10">
        <v>58004000</v>
      </c>
      <c r="B207" s="10" t="s">
        <v>361</v>
      </c>
      <c r="C207" s="11">
        <v>0</v>
      </c>
      <c r="D207" s="11">
        <v>0</v>
      </c>
      <c r="E207" s="11">
        <v>0</v>
      </c>
      <c r="F207" s="13">
        <v>0</v>
      </c>
      <c r="G207" s="13">
        <v>0</v>
      </c>
      <c r="H207" s="14">
        <v>0</v>
      </c>
      <c r="I207" s="14">
        <v>0</v>
      </c>
      <c r="J207" s="8">
        <v>0</v>
      </c>
      <c r="K207" s="8">
        <v>0</v>
      </c>
    </row>
    <row r="208" spans="1:11" x14ac:dyDescent="0.2">
      <c r="A208" s="10">
        <v>58005000</v>
      </c>
      <c r="B208" s="10" t="s">
        <v>362</v>
      </c>
      <c r="C208" s="11">
        <v>3.8483762182295322E-4</v>
      </c>
      <c r="D208" s="11">
        <v>2221707.5149999997</v>
      </c>
      <c r="E208" s="11">
        <v>2221707.5149999997</v>
      </c>
      <c r="F208" s="13">
        <v>0</v>
      </c>
      <c r="G208" s="13">
        <v>0</v>
      </c>
      <c r="H208" s="14">
        <v>0</v>
      </c>
      <c r="I208" s="14">
        <v>3.8483762182295322E-4</v>
      </c>
      <c r="J208" s="8" t="s">
        <v>121</v>
      </c>
      <c r="K208" s="8">
        <v>0</v>
      </c>
    </row>
    <row r="209" spans="1:11" x14ac:dyDescent="0.2">
      <c r="A209" s="10">
        <v>60110210</v>
      </c>
      <c r="B209" s="10" t="s">
        <v>137</v>
      </c>
      <c r="C209" s="11">
        <v>339200.95699999999</v>
      </c>
      <c r="D209" s="11">
        <v>318132.48973699997</v>
      </c>
      <c r="E209" s="11">
        <v>0</v>
      </c>
      <c r="F209" s="13">
        <v>0</v>
      </c>
      <c r="G209" s="13">
        <v>0</v>
      </c>
      <c r="H209" s="14">
        <v>318132.48973699997</v>
      </c>
      <c r="I209" s="14">
        <v>657333.44673700002</v>
      </c>
      <c r="J209" s="8" t="s">
        <v>138</v>
      </c>
      <c r="K209" s="8" t="s">
        <v>509</v>
      </c>
    </row>
    <row r="210" spans="1:11" x14ac:dyDescent="0.2">
      <c r="A210" s="10">
        <v>60110211</v>
      </c>
      <c r="B210" s="10" t="s">
        <v>363</v>
      </c>
      <c r="C210" s="11">
        <v>50530.108</v>
      </c>
      <c r="D210" s="11">
        <v>73257.341355500015</v>
      </c>
      <c r="E210" s="11">
        <v>0</v>
      </c>
      <c r="F210" s="13">
        <v>0</v>
      </c>
      <c r="G210" s="13">
        <v>0</v>
      </c>
      <c r="H210" s="14">
        <v>73257.341355500015</v>
      </c>
      <c r="I210" s="14">
        <v>123787.44935550002</v>
      </c>
      <c r="J210" s="8" t="s">
        <v>138</v>
      </c>
      <c r="K210" s="8" t="s">
        <v>509</v>
      </c>
    </row>
    <row r="211" spans="1:11" x14ac:dyDescent="0.2">
      <c r="A211" s="10">
        <v>60110212</v>
      </c>
      <c r="B211" s="10" t="s">
        <v>7391</v>
      </c>
      <c r="C211" s="11">
        <v>5674.3320000000003</v>
      </c>
      <c r="D211" s="11">
        <v>0</v>
      </c>
      <c r="E211" s="11">
        <v>0</v>
      </c>
      <c r="F211" s="13">
        <v>0</v>
      </c>
      <c r="G211" s="13">
        <v>0</v>
      </c>
      <c r="H211" s="14">
        <v>0</v>
      </c>
      <c r="I211" s="14">
        <v>5674.3320000000003</v>
      </c>
      <c r="J211" s="8" t="s">
        <v>138</v>
      </c>
      <c r="K211" s="8" t="s">
        <v>509</v>
      </c>
    </row>
    <row r="212" spans="1:11" x14ac:dyDescent="0.2">
      <c r="A212" s="10">
        <v>60110213</v>
      </c>
      <c r="B212" s="10" t="s">
        <v>364</v>
      </c>
      <c r="C212" s="11">
        <v>4848</v>
      </c>
      <c r="D212" s="11">
        <v>0</v>
      </c>
      <c r="E212" s="11">
        <v>0</v>
      </c>
      <c r="F212" s="13">
        <v>0</v>
      </c>
      <c r="G212" s="13">
        <v>0</v>
      </c>
      <c r="H212" s="14">
        <v>0</v>
      </c>
      <c r="I212" s="14">
        <v>4848</v>
      </c>
      <c r="J212" s="8" t="s">
        <v>138</v>
      </c>
      <c r="K212" s="8" t="s">
        <v>509</v>
      </c>
    </row>
    <row r="213" spans="1:11" x14ac:dyDescent="0.2">
      <c r="A213" s="10">
        <v>60110220</v>
      </c>
      <c r="B213" s="10" t="s">
        <v>139</v>
      </c>
      <c r="C213" s="11">
        <v>409615.73099999997</v>
      </c>
      <c r="D213" s="11">
        <v>419747.78797599988</v>
      </c>
      <c r="E213" s="11">
        <v>0</v>
      </c>
      <c r="F213" s="13">
        <v>0</v>
      </c>
      <c r="G213" s="13">
        <v>0</v>
      </c>
      <c r="H213" s="14">
        <v>419747.78797599988</v>
      </c>
      <c r="I213" s="14">
        <v>829363.5189759999</v>
      </c>
      <c r="J213" s="8" t="s">
        <v>138</v>
      </c>
      <c r="K213" s="8" t="s">
        <v>509</v>
      </c>
    </row>
    <row r="214" spans="1:11" x14ac:dyDescent="0.2">
      <c r="A214" s="10">
        <v>60110300</v>
      </c>
      <c r="B214" s="10" t="s">
        <v>140</v>
      </c>
      <c r="C214" s="11">
        <v>22684.023000000001</v>
      </c>
      <c r="D214" s="11">
        <v>57094.824786999998</v>
      </c>
      <c r="E214" s="11">
        <v>0</v>
      </c>
      <c r="F214" s="13">
        <v>0</v>
      </c>
      <c r="G214" s="13">
        <v>6544.2870000000003</v>
      </c>
      <c r="H214" s="14">
        <v>50550.537786999994</v>
      </c>
      <c r="I214" s="14">
        <v>73234.560786999995</v>
      </c>
      <c r="J214" s="8" t="s">
        <v>138</v>
      </c>
      <c r="K214" s="8" t="s">
        <v>509</v>
      </c>
    </row>
    <row r="215" spans="1:11" x14ac:dyDescent="0.2">
      <c r="A215" s="10">
        <v>60110310</v>
      </c>
      <c r="B215" s="10" t="s">
        <v>141</v>
      </c>
      <c r="C215" s="11">
        <v>18863.582999999999</v>
      </c>
      <c r="D215" s="11">
        <v>0</v>
      </c>
      <c r="E215" s="11">
        <v>0</v>
      </c>
      <c r="F215" s="13">
        <v>0</v>
      </c>
      <c r="G215" s="13">
        <v>0</v>
      </c>
      <c r="H215" s="14">
        <v>0</v>
      </c>
      <c r="I215" s="14">
        <v>18863.582999999999</v>
      </c>
      <c r="J215" s="8" t="s">
        <v>138</v>
      </c>
      <c r="K215" s="8" t="s">
        <v>509</v>
      </c>
    </row>
    <row r="216" spans="1:11" x14ac:dyDescent="0.2">
      <c r="A216" s="10">
        <v>60110320</v>
      </c>
      <c r="B216" s="10" t="s">
        <v>142</v>
      </c>
      <c r="C216" s="11">
        <v>22026.521000000001</v>
      </c>
      <c r="D216" s="11">
        <v>7323.7302645000018</v>
      </c>
      <c r="E216" s="11">
        <v>0</v>
      </c>
      <c r="F216" s="13">
        <v>0</v>
      </c>
      <c r="G216" s="13">
        <v>0</v>
      </c>
      <c r="H216" s="14">
        <v>7323.7302645000018</v>
      </c>
      <c r="I216" s="14">
        <v>29350.251264500002</v>
      </c>
      <c r="J216" s="8" t="s">
        <v>138</v>
      </c>
      <c r="K216" s="8" t="s">
        <v>509</v>
      </c>
    </row>
    <row r="217" spans="1:11" x14ac:dyDescent="0.2">
      <c r="A217" s="10">
        <v>60110330</v>
      </c>
      <c r="B217" s="10" t="s">
        <v>143</v>
      </c>
      <c r="C217" s="11">
        <v>33385.979999999996</v>
      </c>
      <c r="D217" s="11">
        <v>7563.7800000000007</v>
      </c>
      <c r="E217" s="11">
        <v>0</v>
      </c>
      <c r="F217" s="13">
        <v>0</v>
      </c>
      <c r="G217" s="13">
        <v>0</v>
      </c>
      <c r="H217" s="14">
        <v>7563.7800000000007</v>
      </c>
      <c r="I217" s="14">
        <v>40949.759999999995</v>
      </c>
      <c r="J217" s="8" t="s">
        <v>138</v>
      </c>
      <c r="K217" s="8" t="s">
        <v>509</v>
      </c>
    </row>
    <row r="218" spans="1:11" x14ac:dyDescent="0.2">
      <c r="A218" s="10">
        <v>60110350</v>
      </c>
      <c r="B218" s="10" t="s">
        <v>261</v>
      </c>
      <c r="C218" s="11">
        <v>734.89</v>
      </c>
      <c r="D218" s="11">
        <v>1074.0700000000002</v>
      </c>
      <c r="E218" s="11">
        <v>0</v>
      </c>
      <c r="F218" s="13">
        <v>0</v>
      </c>
      <c r="G218" s="13">
        <v>0</v>
      </c>
      <c r="H218" s="14">
        <v>1074.0700000000002</v>
      </c>
      <c r="I218" s="14">
        <v>1808.96</v>
      </c>
      <c r="J218" s="8" t="s">
        <v>138</v>
      </c>
      <c r="K218" s="8" t="s">
        <v>509</v>
      </c>
    </row>
    <row r="219" spans="1:11" x14ac:dyDescent="0.2">
      <c r="A219" s="10">
        <v>60110400</v>
      </c>
      <c r="B219" s="10" t="s">
        <v>7392</v>
      </c>
      <c r="C219" s="11">
        <v>310.84899999999999</v>
      </c>
      <c r="D219" s="11">
        <v>0</v>
      </c>
      <c r="E219" s="16">
        <v>0</v>
      </c>
      <c r="F219" s="13">
        <v>0</v>
      </c>
      <c r="G219" s="13">
        <v>0</v>
      </c>
      <c r="H219" s="14">
        <v>0</v>
      </c>
      <c r="I219" s="14">
        <v>310.84899999999999</v>
      </c>
      <c r="J219" s="8" t="s">
        <v>138</v>
      </c>
      <c r="K219" s="8" t="s">
        <v>509</v>
      </c>
    </row>
    <row r="220" spans="1:11" x14ac:dyDescent="0.2">
      <c r="A220" s="10">
        <v>60110500</v>
      </c>
      <c r="B220" s="10" t="s">
        <v>144</v>
      </c>
      <c r="C220" s="11">
        <v>9276.9740000000002</v>
      </c>
      <c r="D220" s="11">
        <v>4946.5709999999999</v>
      </c>
      <c r="E220" s="11">
        <v>0</v>
      </c>
      <c r="F220" s="13">
        <v>0</v>
      </c>
      <c r="G220" s="13">
        <v>0</v>
      </c>
      <c r="H220" s="14">
        <v>4946.5709999999999</v>
      </c>
      <c r="I220" s="14">
        <v>14223.545</v>
      </c>
      <c r="J220" s="8" t="s">
        <v>138</v>
      </c>
      <c r="K220" s="8" t="s">
        <v>509</v>
      </c>
    </row>
    <row r="221" spans="1:11" x14ac:dyDescent="0.2">
      <c r="A221" s="10">
        <v>60110600</v>
      </c>
      <c r="B221" s="10" t="s">
        <v>145</v>
      </c>
      <c r="C221" s="11">
        <v>5954.7820000000002</v>
      </c>
      <c r="D221" s="11">
        <v>7145.8059999999996</v>
      </c>
      <c r="E221" s="11">
        <v>0</v>
      </c>
      <c r="F221" s="13">
        <v>0</v>
      </c>
      <c r="G221" s="13">
        <v>0</v>
      </c>
      <c r="H221" s="14">
        <v>7145.8059999999996</v>
      </c>
      <c r="I221" s="14">
        <v>13100.588</v>
      </c>
      <c r="J221" s="8" t="s">
        <v>138</v>
      </c>
      <c r="K221" s="8" t="s">
        <v>509</v>
      </c>
    </row>
    <row r="222" spans="1:11" x14ac:dyDescent="0.2">
      <c r="A222" s="10">
        <v>60110700</v>
      </c>
      <c r="B222" s="10" t="s">
        <v>146</v>
      </c>
      <c r="C222" s="11">
        <v>4020.35</v>
      </c>
      <c r="D222" s="11">
        <v>1608.1659999999999</v>
      </c>
      <c r="E222" s="11">
        <v>0</v>
      </c>
      <c r="F222" s="13">
        <v>0</v>
      </c>
      <c r="G222" s="13">
        <v>0</v>
      </c>
      <c r="H222" s="14">
        <v>1608.1659999999999</v>
      </c>
      <c r="I222" s="14">
        <v>5628.5159999999996</v>
      </c>
      <c r="J222" s="8" t="s">
        <v>138</v>
      </c>
      <c r="K222" s="8" t="s">
        <v>509</v>
      </c>
    </row>
    <row r="223" spans="1:11" x14ac:dyDescent="0.2">
      <c r="A223" s="10">
        <v>60110900</v>
      </c>
      <c r="B223" s="10" t="s">
        <v>147</v>
      </c>
      <c r="C223" s="11">
        <v>101329.087</v>
      </c>
      <c r="D223" s="11">
        <v>43875.045999999995</v>
      </c>
      <c r="E223" s="11">
        <v>0</v>
      </c>
      <c r="F223" s="13">
        <v>2584.6729999999998</v>
      </c>
      <c r="G223" s="13">
        <v>3189.8829999999998</v>
      </c>
      <c r="H223" s="14">
        <v>43269.835999999996</v>
      </c>
      <c r="I223" s="14">
        <v>144598.92300000001</v>
      </c>
      <c r="J223" s="8" t="s">
        <v>138</v>
      </c>
      <c r="K223" s="8" t="s">
        <v>509</v>
      </c>
    </row>
    <row r="224" spans="1:11" x14ac:dyDescent="0.2">
      <c r="A224" s="10">
        <v>60111000</v>
      </c>
      <c r="B224" s="10" t="s">
        <v>148</v>
      </c>
      <c r="C224" s="11">
        <v>3030</v>
      </c>
      <c r="D224" s="11">
        <v>1185.6500000000001</v>
      </c>
      <c r="E224" s="11">
        <v>0</v>
      </c>
      <c r="F224" s="13">
        <v>0</v>
      </c>
      <c r="G224" s="13">
        <v>0</v>
      </c>
      <c r="H224" s="14">
        <v>1185.6500000000001</v>
      </c>
      <c r="I224" s="14">
        <v>4215.6499999999996</v>
      </c>
      <c r="J224" s="8" t="s">
        <v>138</v>
      </c>
      <c r="K224" s="8" t="s">
        <v>509</v>
      </c>
    </row>
    <row r="225" spans="1:11" x14ac:dyDescent="0.2">
      <c r="A225" s="10">
        <v>60111010</v>
      </c>
      <c r="B225" s="10" t="s">
        <v>393</v>
      </c>
      <c r="C225" s="11">
        <v>626.20000000000005</v>
      </c>
      <c r="D225" s="11">
        <v>0</v>
      </c>
      <c r="E225" s="11">
        <v>0</v>
      </c>
      <c r="F225" s="13">
        <v>0</v>
      </c>
      <c r="G225" s="13">
        <v>0</v>
      </c>
      <c r="H225" s="14">
        <v>0</v>
      </c>
      <c r="I225" s="14">
        <v>626.20000000000005</v>
      </c>
      <c r="J225" s="8" t="s">
        <v>138</v>
      </c>
      <c r="K225" s="8" t="s">
        <v>509</v>
      </c>
    </row>
    <row r="226" spans="1:11" x14ac:dyDescent="0.2">
      <c r="A226" s="10">
        <v>60120100</v>
      </c>
      <c r="B226" s="10" t="s">
        <v>149</v>
      </c>
      <c r="C226" s="11">
        <v>331449.65300000005</v>
      </c>
      <c r="D226" s="16">
        <v>282525.44966349995</v>
      </c>
      <c r="E226" s="11">
        <v>0</v>
      </c>
      <c r="F226" s="13">
        <v>0</v>
      </c>
      <c r="G226" s="13">
        <v>0</v>
      </c>
      <c r="H226" s="14">
        <v>282525.44966349995</v>
      </c>
      <c r="I226" s="14">
        <v>613975.1026635</v>
      </c>
      <c r="J226" s="8" t="s">
        <v>138</v>
      </c>
      <c r="K226" s="8" t="s">
        <v>509</v>
      </c>
    </row>
    <row r="227" spans="1:11" x14ac:dyDescent="0.2">
      <c r="A227" s="10">
        <v>60120300</v>
      </c>
      <c r="B227" s="10" t="s">
        <v>150</v>
      </c>
      <c r="C227" s="12">
        <v>3137447.62</v>
      </c>
      <c r="D227" s="11">
        <v>482658.05999999994</v>
      </c>
      <c r="E227" s="11">
        <v>0</v>
      </c>
      <c r="F227" s="13">
        <v>89891.08</v>
      </c>
      <c r="G227" s="13">
        <v>63800.65</v>
      </c>
      <c r="H227" s="14">
        <v>508748.48999999987</v>
      </c>
      <c r="I227" s="14">
        <v>3646196.11</v>
      </c>
      <c r="J227" s="8" t="s">
        <v>138</v>
      </c>
      <c r="K227" s="8" t="s">
        <v>509</v>
      </c>
    </row>
    <row r="228" spans="1:11" x14ac:dyDescent="0.2">
      <c r="A228" s="10">
        <v>60120400</v>
      </c>
      <c r="B228" s="10" t="s">
        <v>365</v>
      </c>
      <c r="C228" s="12">
        <v>640436.41</v>
      </c>
      <c r="D228" s="11">
        <v>39101.300000000003</v>
      </c>
      <c r="E228" s="11">
        <v>30977.8</v>
      </c>
      <c r="F228" s="13">
        <v>0</v>
      </c>
      <c r="G228" s="13">
        <v>0</v>
      </c>
      <c r="H228" s="14">
        <v>8123.5000000000036</v>
      </c>
      <c r="I228" s="14">
        <v>648559.91</v>
      </c>
      <c r="J228" s="8" t="s">
        <v>138</v>
      </c>
      <c r="K228" s="8" t="s">
        <v>509</v>
      </c>
    </row>
    <row r="229" spans="1:11" x14ac:dyDescent="0.2">
      <c r="A229" s="10">
        <v>60120900</v>
      </c>
      <c r="B229" s="10" t="s">
        <v>7393</v>
      </c>
      <c r="C229" s="11">
        <v>35598.535000000003</v>
      </c>
      <c r="D229" s="11">
        <v>0</v>
      </c>
      <c r="E229" s="11">
        <v>0</v>
      </c>
      <c r="F229" s="13">
        <v>0</v>
      </c>
      <c r="G229" s="13">
        <v>0</v>
      </c>
      <c r="H229" s="14">
        <v>0</v>
      </c>
      <c r="I229" s="14">
        <v>35598.535000000003</v>
      </c>
      <c r="J229" s="8" t="s">
        <v>138</v>
      </c>
      <c r="K229" s="8" t="s">
        <v>509</v>
      </c>
    </row>
    <row r="230" spans="1:11" x14ac:dyDescent="0.2">
      <c r="A230" s="10">
        <v>60121010</v>
      </c>
      <c r="B230" s="10" t="s">
        <v>152</v>
      </c>
      <c r="C230" s="11">
        <v>1380934.3559999999</v>
      </c>
      <c r="D230" s="11">
        <v>343541.72014500003</v>
      </c>
      <c r="E230" s="11">
        <v>0</v>
      </c>
      <c r="F230" s="13">
        <v>0</v>
      </c>
      <c r="G230" s="13">
        <v>0</v>
      </c>
      <c r="H230" s="14">
        <v>343541.72014500003</v>
      </c>
      <c r="I230" s="14">
        <v>1724476.0761449998</v>
      </c>
      <c r="J230" s="8" t="s">
        <v>138</v>
      </c>
      <c r="K230" s="8" t="s">
        <v>509</v>
      </c>
    </row>
    <row r="231" spans="1:11" x14ac:dyDescent="0.2">
      <c r="A231" s="10">
        <v>60121031</v>
      </c>
      <c r="B231" s="10" t="s">
        <v>394</v>
      </c>
      <c r="C231" s="11">
        <v>0</v>
      </c>
      <c r="D231" s="11">
        <v>20663.760000000002</v>
      </c>
      <c r="E231" s="11">
        <v>0</v>
      </c>
      <c r="F231" s="13">
        <v>0</v>
      </c>
      <c r="G231" s="13">
        <v>0</v>
      </c>
      <c r="H231" s="14">
        <v>20663.760000000002</v>
      </c>
      <c r="I231" s="14">
        <v>20663.760000000002</v>
      </c>
      <c r="J231" s="8" t="s">
        <v>138</v>
      </c>
      <c r="K231" s="8" t="s">
        <v>509</v>
      </c>
    </row>
    <row r="232" spans="1:11" x14ac:dyDescent="0.2">
      <c r="A232" s="10">
        <v>60121033</v>
      </c>
      <c r="B232" s="10" t="s">
        <v>7718</v>
      </c>
      <c r="C232" s="11">
        <v>0</v>
      </c>
      <c r="D232" s="11">
        <v>6596.5079999999998</v>
      </c>
      <c r="E232" s="11">
        <v>0</v>
      </c>
      <c r="F232" s="13">
        <v>0</v>
      </c>
      <c r="G232" s="13">
        <v>0</v>
      </c>
      <c r="H232" s="14">
        <v>6596.5079999999998</v>
      </c>
      <c r="I232" s="14">
        <v>6596.5079999999998</v>
      </c>
      <c r="J232" s="8" t="s">
        <v>138</v>
      </c>
      <c r="K232" s="8" t="s">
        <v>509</v>
      </c>
    </row>
    <row r="233" spans="1:11" x14ac:dyDescent="0.2">
      <c r="A233" s="10">
        <v>60121036</v>
      </c>
      <c r="B233" s="10" t="s">
        <v>7394</v>
      </c>
      <c r="C233" s="11">
        <v>176.17599999999999</v>
      </c>
      <c r="D233" s="11">
        <v>200</v>
      </c>
      <c r="E233" s="11">
        <v>0</v>
      </c>
      <c r="F233" s="13">
        <v>0</v>
      </c>
      <c r="G233" s="13">
        <v>0</v>
      </c>
      <c r="H233" s="14">
        <v>200</v>
      </c>
      <c r="I233" s="14">
        <v>376.17599999999999</v>
      </c>
      <c r="J233" s="8" t="s">
        <v>138</v>
      </c>
      <c r="K233" s="8" t="s">
        <v>509</v>
      </c>
    </row>
    <row r="234" spans="1:11" x14ac:dyDescent="0.2">
      <c r="A234" s="10">
        <v>60121200</v>
      </c>
      <c r="B234" s="10" t="s">
        <v>7395</v>
      </c>
      <c r="C234" s="11">
        <v>1435</v>
      </c>
      <c r="D234" s="11">
        <v>0</v>
      </c>
      <c r="E234" s="11">
        <v>0</v>
      </c>
      <c r="F234" s="13">
        <v>0</v>
      </c>
      <c r="G234" s="13">
        <v>0</v>
      </c>
      <c r="H234" s="14">
        <v>0</v>
      </c>
      <c r="I234" s="14">
        <v>1435</v>
      </c>
      <c r="J234" s="8" t="s">
        <v>138</v>
      </c>
      <c r="K234" s="8" t="s">
        <v>509</v>
      </c>
    </row>
    <row r="235" spans="1:11" x14ac:dyDescent="0.2">
      <c r="A235" s="10">
        <v>60121400</v>
      </c>
      <c r="B235" s="10" t="s">
        <v>7570</v>
      </c>
      <c r="C235" s="11">
        <v>0</v>
      </c>
      <c r="D235" s="11">
        <v>12694.809599999999</v>
      </c>
      <c r="E235" s="11">
        <v>0</v>
      </c>
      <c r="F235" s="13">
        <v>0</v>
      </c>
      <c r="G235" s="13">
        <v>0</v>
      </c>
      <c r="H235" s="14">
        <v>12694.809599999999</v>
      </c>
      <c r="I235" s="14">
        <v>12694.809599999999</v>
      </c>
      <c r="J235" s="8" t="s">
        <v>138</v>
      </c>
      <c r="K235" s="8" t="s">
        <v>509</v>
      </c>
    </row>
    <row r="236" spans="1:11" x14ac:dyDescent="0.2">
      <c r="A236" s="10">
        <v>60121500</v>
      </c>
      <c r="B236" s="10" t="s">
        <v>404</v>
      </c>
      <c r="C236" s="11">
        <v>61072.5</v>
      </c>
      <c r="D236" s="11">
        <v>0</v>
      </c>
      <c r="E236" s="11">
        <v>0</v>
      </c>
      <c r="F236" s="13">
        <v>0</v>
      </c>
      <c r="G236" s="13">
        <v>0</v>
      </c>
      <c r="H236" s="14">
        <v>0</v>
      </c>
      <c r="I236" s="14">
        <v>61072.5</v>
      </c>
      <c r="J236" s="8" t="s">
        <v>138</v>
      </c>
      <c r="K236" s="8" t="s">
        <v>509</v>
      </c>
    </row>
    <row r="237" spans="1:11" x14ac:dyDescent="0.2">
      <c r="A237" s="10">
        <v>60121600</v>
      </c>
      <c r="B237" s="10" t="s">
        <v>154</v>
      </c>
      <c r="C237" s="11">
        <v>181129.2</v>
      </c>
      <c r="D237" s="11">
        <v>48252</v>
      </c>
      <c r="E237" s="11">
        <v>0</v>
      </c>
      <c r="F237" s="13">
        <v>0</v>
      </c>
      <c r="G237" s="13">
        <v>0</v>
      </c>
      <c r="H237" s="14">
        <v>48252</v>
      </c>
      <c r="I237" s="14">
        <v>229381.2</v>
      </c>
      <c r="J237" s="8" t="s">
        <v>138</v>
      </c>
      <c r="K237" s="8" t="s">
        <v>509</v>
      </c>
    </row>
    <row r="238" spans="1:11" x14ac:dyDescent="0.2">
      <c r="A238" s="10">
        <v>60121900</v>
      </c>
      <c r="B238" s="10" t="s">
        <v>7568</v>
      </c>
      <c r="C238" s="11">
        <v>1960</v>
      </c>
      <c r="D238" s="11">
        <v>0</v>
      </c>
      <c r="E238" s="11">
        <v>0</v>
      </c>
      <c r="F238" s="13">
        <v>0</v>
      </c>
      <c r="G238" s="13">
        <v>0</v>
      </c>
      <c r="H238" s="14">
        <v>0</v>
      </c>
      <c r="I238" s="14">
        <v>1960</v>
      </c>
      <c r="J238" s="8" t="s">
        <v>138</v>
      </c>
      <c r="K238" s="8" t="s">
        <v>509</v>
      </c>
    </row>
    <row r="239" spans="1:11" x14ac:dyDescent="0.2">
      <c r="A239" s="10">
        <v>60122100</v>
      </c>
      <c r="B239" s="10" t="s">
        <v>155</v>
      </c>
      <c r="C239" s="11">
        <v>83407.5</v>
      </c>
      <c r="D239" s="11">
        <v>17000</v>
      </c>
      <c r="E239" s="11">
        <v>0</v>
      </c>
      <c r="F239" s="13">
        <v>0</v>
      </c>
      <c r="G239" s="13">
        <v>0</v>
      </c>
      <c r="H239" s="14">
        <v>17000</v>
      </c>
      <c r="I239" s="14">
        <v>100407.5</v>
      </c>
      <c r="J239" s="8" t="s">
        <v>138</v>
      </c>
      <c r="K239" s="8" t="s">
        <v>509</v>
      </c>
    </row>
    <row r="240" spans="1:11" x14ac:dyDescent="0.2">
      <c r="A240" s="10">
        <v>60122200</v>
      </c>
      <c r="B240" s="10" t="s">
        <v>156</v>
      </c>
      <c r="C240" s="11">
        <v>34639.5</v>
      </c>
      <c r="D240" s="11">
        <v>0</v>
      </c>
      <c r="E240" s="11">
        <v>0</v>
      </c>
      <c r="F240" s="13">
        <v>4643.1000000000004</v>
      </c>
      <c r="G240" s="13">
        <v>0</v>
      </c>
      <c r="H240" s="14">
        <v>4643.1000000000004</v>
      </c>
      <c r="I240" s="14">
        <v>39282.6</v>
      </c>
      <c r="J240" s="8" t="s">
        <v>138</v>
      </c>
      <c r="K240" s="8" t="s">
        <v>509</v>
      </c>
    </row>
    <row r="241" spans="1:11" x14ac:dyDescent="0.2">
      <c r="A241" s="10">
        <v>60122400</v>
      </c>
      <c r="B241" s="10" t="s">
        <v>7396</v>
      </c>
      <c r="C241" s="11">
        <v>9485.8559999999998</v>
      </c>
      <c r="D241" s="11">
        <v>0</v>
      </c>
      <c r="E241" s="11">
        <v>0</v>
      </c>
      <c r="F241" s="13">
        <v>0</v>
      </c>
      <c r="G241" s="13">
        <v>0</v>
      </c>
      <c r="H241" s="14">
        <v>0</v>
      </c>
      <c r="I241" s="14">
        <v>9485.8559999999998</v>
      </c>
      <c r="J241" s="8" t="s">
        <v>138</v>
      </c>
      <c r="K241" s="8" t="s">
        <v>509</v>
      </c>
    </row>
    <row r="242" spans="1:11" x14ac:dyDescent="0.2">
      <c r="A242" s="10">
        <v>60122410</v>
      </c>
      <c r="B242" s="10" t="s">
        <v>366</v>
      </c>
      <c r="C242" s="11">
        <v>2750</v>
      </c>
      <c r="D242" s="11">
        <v>0</v>
      </c>
      <c r="E242" s="11">
        <v>0</v>
      </c>
      <c r="F242" s="13">
        <v>0</v>
      </c>
      <c r="G242" s="13">
        <v>0</v>
      </c>
      <c r="H242" s="14">
        <v>0</v>
      </c>
      <c r="I242" s="14">
        <v>2750</v>
      </c>
      <c r="J242" s="8" t="s">
        <v>138</v>
      </c>
      <c r="K242" s="8" t="s">
        <v>509</v>
      </c>
    </row>
    <row r="243" spans="1:11" x14ac:dyDescent="0.2">
      <c r="A243" s="10">
        <v>60122411</v>
      </c>
      <c r="B243" s="10" t="s">
        <v>367</v>
      </c>
      <c r="C243" s="11">
        <v>19352</v>
      </c>
      <c r="D243" s="11">
        <v>527</v>
      </c>
      <c r="E243" s="11">
        <v>0</v>
      </c>
      <c r="F243" s="13">
        <v>0</v>
      </c>
      <c r="G243" s="13">
        <v>0</v>
      </c>
      <c r="H243" s="14">
        <v>527</v>
      </c>
      <c r="I243" s="14">
        <v>19879</v>
      </c>
      <c r="J243" s="8" t="s">
        <v>138</v>
      </c>
      <c r="K243" s="8" t="s">
        <v>509</v>
      </c>
    </row>
    <row r="244" spans="1:11" x14ac:dyDescent="0.2">
      <c r="A244" s="10">
        <v>60122510</v>
      </c>
      <c r="B244" s="10" t="s">
        <v>368</v>
      </c>
      <c r="C244" s="11">
        <v>10415.771999999999</v>
      </c>
      <c r="D244" s="11">
        <v>3015.05</v>
      </c>
      <c r="E244" s="11">
        <v>0</v>
      </c>
      <c r="F244" s="13">
        <v>0</v>
      </c>
      <c r="G244" s="13">
        <v>0</v>
      </c>
      <c r="H244" s="14">
        <v>3015.05</v>
      </c>
      <c r="I244" s="14">
        <v>13430.822</v>
      </c>
      <c r="J244" s="8" t="s">
        <v>138</v>
      </c>
      <c r="K244" s="8" t="s">
        <v>509</v>
      </c>
    </row>
    <row r="245" spans="1:11" x14ac:dyDescent="0.2">
      <c r="A245" s="10">
        <v>60122520</v>
      </c>
      <c r="B245" s="10" t="s">
        <v>396</v>
      </c>
      <c r="C245" s="11">
        <v>2606.3999999999996</v>
      </c>
      <c r="D245" s="11">
        <v>1335.655</v>
      </c>
      <c r="E245" s="11">
        <v>0</v>
      </c>
      <c r="F245" s="13">
        <v>0</v>
      </c>
      <c r="G245" s="13">
        <v>0</v>
      </c>
      <c r="H245" s="14">
        <v>1335.655</v>
      </c>
      <c r="I245" s="14">
        <v>3942.0549999999994</v>
      </c>
      <c r="J245" s="8" t="s">
        <v>138</v>
      </c>
      <c r="K245" s="8" t="s">
        <v>509</v>
      </c>
    </row>
    <row r="246" spans="1:11" x14ac:dyDescent="0.2">
      <c r="A246" s="10">
        <v>60171000</v>
      </c>
      <c r="B246" s="10" t="s">
        <v>369</v>
      </c>
      <c r="C246" s="11">
        <v>181228.02799999999</v>
      </c>
      <c r="D246" s="11">
        <v>60267.16599999999</v>
      </c>
      <c r="E246" s="11">
        <v>0</v>
      </c>
      <c r="F246" s="13">
        <v>0</v>
      </c>
      <c r="G246" s="13">
        <v>0</v>
      </c>
      <c r="H246" s="14">
        <v>60267.16599999999</v>
      </c>
      <c r="I246" s="14">
        <v>241495.19399999999</v>
      </c>
      <c r="J246" s="8" t="s">
        <v>138</v>
      </c>
      <c r="K246" s="8" t="s">
        <v>509</v>
      </c>
    </row>
    <row r="247" spans="1:11" x14ac:dyDescent="0.2">
      <c r="A247" s="10">
        <v>60172000</v>
      </c>
      <c r="B247" s="10" t="s">
        <v>169</v>
      </c>
      <c r="C247" s="11">
        <v>328186.76699999999</v>
      </c>
      <c r="D247" s="11">
        <v>109874.40800000001</v>
      </c>
      <c r="E247" s="11">
        <v>0</v>
      </c>
      <c r="F247" s="13">
        <v>0</v>
      </c>
      <c r="G247" s="13">
        <v>0</v>
      </c>
      <c r="H247" s="14">
        <v>109874.40800000001</v>
      </c>
      <c r="I247" s="14">
        <v>438061.17499999999</v>
      </c>
      <c r="J247" s="8" t="s">
        <v>138</v>
      </c>
      <c r="K247" s="8" t="s">
        <v>509</v>
      </c>
    </row>
    <row r="248" spans="1:11" x14ac:dyDescent="0.2">
      <c r="A248" s="10">
        <v>60173000</v>
      </c>
      <c r="B248" s="10" t="s">
        <v>170</v>
      </c>
      <c r="C248" s="11">
        <v>37147.148999999998</v>
      </c>
      <c r="D248" s="11">
        <v>9930.7170000000006</v>
      </c>
      <c r="E248" s="11">
        <v>0</v>
      </c>
      <c r="F248" s="13">
        <v>9525.884</v>
      </c>
      <c r="G248" s="13">
        <v>13137.299000000001</v>
      </c>
      <c r="H248" s="14">
        <v>6319.3020000000015</v>
      </c>
      <c r="I248" s="14">
        <v>43466.451000000001</v>
      </c>
      <c r="J248" s="8" t="s">
        <v>138</v>
      </c>
      <c r="K248" s="8" t="s">
        <v>509</v>
      </c>
    </row>
    <row r="249" spans="1:11" x14ac:dyDescent="0.2">
      <c r="A249" s="10">
        <v>60191000</v>
      </c>
      <c r="B249" s="10" t="s">
        <v>158</v>
      </c>
      <c r="C249" s="11">
        <v>289181.93799999997</v>
      </c>
      <c r="D249" s="11">
        <v>248241.47253</v>
      </c>
      <c r="E249" s="11">
        <v>15524.35</v>
      </c>
      <c r="F249" s="13">
        <v>0</v>
      </c>
      <c r="G249" s="13">
        <v>0</v>
      </c>
      <c r="H249" s="14">
        <v>232717.12252999999</v>
      </c>
      <c r="I249" s="14">
        <v>521899.06052999996</v>
      </c>
      <c r="J249" s="8" t="s">
        <v>138</v>
      </c>
      <c r="K249" s="8" t="s">
        <v>509</v>
      </c>
    </row>
    <row r="250" spans="1:11" x14ac:dyDescent="0.2">
      <c r="A250" s="10">
        <v>60215000</v>
      </c>
      <c r="B250" s="10" t="s">
        <v>370</v>
      </c>
      <c r="C250" s="11">
        <v>24171.526999999998</v>
      </c>
      <c r="D250" s="11">
        <v>0</v>
      </c>
      <c r="E250" s="11">
        <v>0</v>
      </c>
      <c r="F250" s="13">
        <v>0</v>
      </c>
      <c r="G250" s="13">
        <v>0</v>
      </c>
      <c r="H250" s="14">
        <v>0</v>
      </c>
      <c r="I250" s="14">
        <v>24171.526999999998</v>
      </c>
      <c r="J250" s="8" t="s">
        <v>138</v>
      </c>
      <c r="K250" s="8" t="s">
        <v>509</v>
      </c>
    </row>
    <row r="251" spans="1:11" x14ac:dyDescent="0.2">
      <c r="A251" s="10">
        <v>60216000</v>
      </c>
      <c r="B251" s="10" t="s">
        <v>371</v>
      </c>
      <c r="C251" s="11">
        <v>191778.033</v>
      </c>
      <c r="D251" s="11">
        <v>62912.000352000003</v>
      </c>
      <c r="E251" s="11">
        <v>0</v>
      </c>
      <c r="F251" s="13">
        <v>0</v>
      </c>
      <c r="G251" s="13">
        <v>0</v>
      </c>
      <c r="H251" s="14">
        <v>62912.000352000003</v>
      </c>
      <c r="I251" s="14">
        <v>254690.033352</v>
      </c>
      <c r="J251" s="8" t="s">
        <v>138</v>
      </c>
      <c r="K251" s="8" t="s">
        <v>509</v>
      </c>
    </row>
    <row r="252" spans="1:11" x14ac:dyDescent="0.2">
      <c r="A252" s="10">
        <v>60260200</v>
      </c>
      <c r="B252" s="10" t="s">
        <v>372</v>
      </c>
      <c r="C252" s="11">
        <v>188677.89499999999</v>
      </c>
      <c r="D252" s="11">
        <v>1371.05</v>
      </c>
      <c r="E252" s="11">
        <v>0</v>
      </c>
      <c r="F252" s="13">
        <v>0</v>
      </c>
      <c r="G252" s="13">
        <v>0</v>
      </c>
      <c r="H252" s="14">
        <v>1371.05</v>
      </c>
      <c r="I252" s="14">
        <v>190048.94499999998</v>
      </c>
      <c r="J252" s="8" t="s">
        <v>138</v>
      </c>
      <c r="K252" s="8" t="s">
        <v>509</v>
      </c>
    </row>
    <row r="253" spans="1:11" x14ac:dyDescent="0.2">
      <c r="A253" s="10">
        <v>60260300</v>
      </c>
      <c r="B253" s="10" t="s">
        <v>160</v>
      </c>
      <c r="C253" s="11">
        <v>1074.1620000000112</v>
      </c>
      <c r="D253" s="11">
        <v>0</v>
      </c>
      <c r="E253" s="11">
        <v>0</v>
      </c>
      <c r="F253" s="13">
        <v>0</v>
      </c>
      <c r="G253" s="13">
        <v>0</v>
      </c>
      <c r="H253" s="14">
        <v>0</v>
      </c>
      <c r="I253" s="14">
        <v>1074.1620000000112</v>
      </c>
      <c r="J253" s="8" t="s">
        <v>138</v>
      </c>
      <c r="K253" s="8" t="s">
        <v>509</v>
      </c>
    </row>
    <row r="254" spans="1:11" x14ac:dyDescent="0.2">
      <c r="A254" s="10">
        <v>60260400</v>
      </c>
      <c r="B254" s="10" t="s">
        <v>161</v>
      </c>
      <c r="C254" s="11">
        <v>40964.845999999998</v>
      </c>
      <c r="D254" s="11">
        <v>5097.6000000000004</v>
      </c>
      <c r="E254" s="11">
        <v>0</v>
      </c>
      <c r="F254" s="13">
        <v>0</v>
      </c>
      <c r="G254" s="13">
        <v>0</v>
      </c>
      <c r="H254" s="14">
        <v>5097.6000000000004</v>
      </c>
      <c r="I254" s="14">
        <v>46062.445999999996</v>
      </c>
      <c r="J254" s="8" t="s">
        <v>138</v>
      </c>
      <c r="K254" s="8" t="s">
        <v>509</v>
      </c>
    </row>
    <row r="255" spans="1:11" x14ac:dyDescent="0.2">
      <c r="A255" s="10">
        <v>60260500</v>
      </c>
      <c r="B255" s="10" t="s">
        <v>162</v>
      </c>
      <c r="C255" s="11">
        <v>4732.5</v>
      </c>
      <c r="D255" s="11">
        <v>9075</v>
      </c>
      <c r="E255" s="11">
        <v>0</v>
      </c>
      <c r="F255" s="13">
        <v>0</v>
      </c>
      <c r="G255" s="13">
        <v>0</v>
      </c>
      <c r="H255" s="14">
        <v>9075</v>
      </c>
      <c r="I255" s="14">
        <v>13807.5</v>
      </c>
      <c r="J255" s="8" t="s">
        <v>138</v>
      </c>
      <c r="K255" s="8" t="s">
        <v>509</v>
      </c>
    </row>
    <row r="256" spans="1:11" x14ac:dyDescent="0.2">
      <c r="A256" s="10">
        <v>60260700</v>
      </c>
      <c r="B256" s="10" t="s">
        <v>163</v>
      </c>
      <c r="C256" s="11">
        <v>33330.199999999997</v>
      </c>
      <c r="D256" s="11">
        <v>6446.3249999999998</v>
      </c>
      <c r="E256" s="11">
        <v>0</v>
      </c>
      <c r="F256" s="13">
        <v>0</v>
      </c>
      <c r="G256" s="13">
        <v>4125</v>
      </c>
      <c r="H256" s="14">
        <v>2321.3249999999998</v>
      </c>
      <c r="I256" s="14">
        <v>35651.524999999994</v>
      </c>
      <c r="J256" s="8" t="s">
        <v>138</v>
      </c>
      <c r="K256" s="8" t="s">
        <v>509</v>
      </c>
    </row>
    <row r="257" spans="1:11" x14ac:dyDescent="0.2">
      <c r="A257" s="10">
        <v>60262000</v>
      </c>
      <c r="B257" s="10" t="s">
        <v>164</v>
      </c>
      <c r="C257" s="11">
        <v>65701.702999999994</v>
      </c>
      <c r="D257" s="11">
        <v>25184.067600000002</v>
      </c>
      <c r="E257" s="11">
        <v>0</v>
      </c>
      <c r="F257" s="13">
        <v>0</v>
      </c>
      <c r="G257" s="13">
        <v>2805</v>
      </c>
      <c r="H257" s="14">
        <v>22379.067600000002</v>
      </c>
      <c r="I257" s="14">
        <v>88080.770599999989</v>
      </c>
      <c r="J257" s="8" t="s">
        <v>138</v>
      </c>
      <c r="K257" s="8" t="s">
        <v>509</v>
      </c>
    </row>
    <row r="258" spans="1:11" x14ac:dyDescent="0.2">
      <c r="A258" s="10">
        <v>60263000</v>
      </c>
      <c r="B258" s="10" t="s">
        <v>165</v>
      </c>
      <c r="C258" s="12">
        <v>22020.688000000002</v>
      </c>
      <c r="D258" s="11">
        <v>0</v>
      </c>
      <c r="E258" s="11">
        <v>0</v>
      </c>
      <c r="F258" s="13">
        <v>0</v>
      </c>
      <c r="G258" s="13">
        <v>0</v>
      </c>
      <c r="H258" s="14">
        <v>0</v>
      </c>
      <c r="I258" s="14">
        <v>22020.688000000002</v>
      </c>
      <c r="J258" s="8" t="s">
        <v>138</v>
      </c>
      <c r="K258" s="8" t="s">
        <v>509</v>
      </c>
    </row>
    <row r="259" spans="1:11" x14ac:dyDescent="0.2">
      <c r="A259" s="10">
        <v>60310000</v>
      </c>
      <c r="B259" s="10" t="s">
        <v>265</v>
      </c>
      <c r="C259" s="11">
        <v>-74265.400000000373</v>
      </c>
      <c r="D259" s="11">
        <v>0</v>
      </c>
      <c r="E259" s="11">
        <v>0</v>
      </c>
      <c r="F259" s="13">
        <v>10199370.071</v>
      </c>
      <c r="G259" s="13">
        <v>9874636.6089999992</v>
      </c>
      <c r="H259" s="14">
        <v>324733.46200000122</v>
      </c>
      <c r="I259" s="14">
        <v>250468.06200000085</v>
      </c>
      <c r="J259" s="8" t="s">
        <v>138</v>
      </c>
      <c r="K259" s="8" t="s">
        <v>509</v>
      </c>
    </row>
    <row r="260" spans="1:11" x14ac:dyDescent="0.2">
      <c r="A260" s="10">
        <v>60330000</v>
      </c>
      <c r="B260" s="10" t="s">
        <v>266</v>
      </c>
      <c r="C260" s="11">
        <v>-79782.55700000003</v>
      </c>
      <c r="D260" s="11">
        <v>0</v>
      </c>
      <c r="E260" s="11">
        <v>0</v>
      </c>
      <c r="F260" s="13">
        <v>663413.20799999998</v>
      </c>
      <c r="G260" s="13">
        <v>667822.40099999995</v>
      </c>
      <c r="H260" s="14">
        <v>-4409.1929999999702</v>
      </c>
      <c r="I260" s="14">
        <v>-84191.75</v>
      </c>
      <c r="J260" s="8" t="s">
        <v>157</v>
      </c>
      <c r="K260" s="8" t="s">
        <v>512</v>
      </c>
    </row>
    <row r="261" spans="1:11" x14ac:dyDescent="0.2">
      <c r="A261" s="10">
        <v>60502000</v>
      </c>
      <c r="B261" s="10" t="s">
        <v>167</v>
      </c>
      <c r="C261" s="11">
        <v>138239.40400000001</v>
      </c>
      <c r="D261" s="11">
        <v>34331.447</v>
      </c>
      <c r="E261" s="11">
        <v>28133.977000000003</v>
      </c>
      <c r="F261" s="13">
        <v>38652.243999999999</v>
      </c>
      <c r="G261" s="13">
        <v>9947.8439999999991</v>
      </c>
      <c r="H261" s="14">
        <v>34901.869999999995</v>
      </c>
      <c r="I261" s="14">
        <v>173141.274</v>
      </c>
      <c r="J261" s="8" t="s">
        <v>157</v>
      </c>
      <c r="K261" s="8" t="s">
        <v>512</v>
      </c>
    </row>
    <row r="262" spans="1:11" x14ac:dyDescent="0.2">
      <c r="A262" s="10">
        <v>60504000</v>
      </c>
      <c r="B262" s="10" t="s">
        <v>168</v>
      </c>
      <c r="C262" s="11">
        <v>400</v>
      </c>
      <c r="D262" s="11">
        <v>800</v>
      </c>
      <c r="E262" s="11">
        <v>0</v>
      </c>
      <c r="F262" s="13">
        <v>0</v>
      </c>
      <c r="G262" s="13">
        <v>0</v>
      </c>
      <c r="H262" s="14">
        <v>800</v>
      </c>
      <c r="I262" s="14">
        <v>1200</v>
      </c>
      <c r="J262" s="8" t="s">
        <v>157</v>
      </c>
      <c r="K262" s="8" t="s">
        <v>512</v>
      </c>
    </row>
    <row r="263" spans="1:11" x14ac:dyDescent="0.2">
      <c r="A263" s="10">
        <v>60614000</v>
      </c>
      <c r="B263" s="10" t="s">
        <v>171</v>
      </c>
      <c r="C263" s="11">
        <v>54096.646000000001</v>
      </c>
      <c r="D263" s="11">
        <v>17854.485000000001</v>
      </c>
      <c r="E263" s="11">
        <v>0</v>
      </c>
      <c r="F263" s="13">
        <v>0</v>
      </c>
      <c r="G263" s="13">
        <v>0</v>
      </c>
      <c r="H263" s="14">
        <v>17854.485000000001</v>
      </c>
      <c r="I263" s="14">
        <v>71951.130999999994</v>
      </c>
      <c r="J263" s="8" t="s">
        <v>157</v>
      </c>
      <c r="K263" s="8" t="s">
        <v>512</v>
      </c>
    </row>
    <row r="264" spans="1:11" x14ac:dyDescent="0.2">
      <c r="A264" s="10">
        <v>60620000</v>
      </c>
      <c r="B264" s="10" t="s">
        <v>172</v>
      </c>
      <c r="C264" s="11">
        <v>6361.6939999999995</v>
      </c>
      <c r="D264" s="11">
        <v>923.80499999999995</v>
      </c>
      <c r="E264" s="11">
        <v>0</v>
      </c>
      <c r="F264" s="13">
        <v>0</v>
      </c>
      <c r="G264" s="13">
        <v>202</v>
      </c>
      <c r="H264" s="14">
        <v>721.80499999999995</v>
      </c>
      <c r="I264" s="14">
        <v>7083.4989999999998</v>
      </c>
      <c r="J264" s="8" t="s">
        <v>157</v>
      </c>
      <c r="K264" s="8" t="s">
        <v>512</v>
      </c>
    </row>
    <row r="265" spans="1:11" x14ac:dyDescent="0.2">
      <c r="A265" s="10">
        <v>60650000</v>
      </c>
      <c r="B265" s="10" t="s">
        <v>373</v>
      </c>
      <c r="C265" s="11">
        <v>2550</v>
      </c>
      <c r="D265" s="11">
        <v>0</v>
      </c>
      <c r="E265" s="11">
        <v>0</v>
      </c>
      <c r="F265" s="13">
        <v>0</v>
      </c>
      <c r="G265" s="13">
        <v>0</v>
      </c>
      <c r="H265" s="14">
        <v>0</v>
      </c>
      <c r="I265" s="14">
        <v>2550</v>
      </c>
      <c r="J265" s="8" t="s">
        <v>138</v>
      </c>
      <c r="K265" s="8" t="s">
        <v>509</v>
      </c>
    </row>
    <row r="266" spans="1:11" x14ac:dyDescent="0.2">
      <c r="A266" s="10">
        <v>60660000</v>
      </c>
      <c r="B266" s="10" t="s">
        <v>173</v>
      </c>
      <c r="C266" s="11">
        <v>2871.6219999999998</v>
      </c>
      <c r="D266" s="11">
        <v>1893.904</v>
      </c>
      <c r="E266" s="11">
        <v>0</v>
      </c>
      <c r="F266" s="13">
        <v>0</v>
      </c>
      <c r="G266" s="13">
        <v>0</v>
      </c>
      <c r="H266" s="14">
        <v>1893.904</v>
      </c>
      <c r="I266" s="14">
        <v>4765.5259999999998</v>
      </c>
      <c r="J266" s="8" t="s">
        <v>157</v>
      </c>
      <c r="K266" s="8" t="s">
        <v>512</v>
      </c>
    </row>
    <row r="267" spans="1:11" x14ac:dyDescent="0.2">
      <c r="A267" s="10">
        <v>60670000</v>
      </c>
      <c r="B267" s="10" t="s">
        <v>174</v>
      </c>
      <c r="C267" s="11">
        <v>4259.25</v>
      </c>
      <c r="D267" s="11">
        <v>1481.75</v>
      </c>
      <c r="E267" s="11">
        <v>0</v>
      </c>
      <c r="F267" s="13">
        <v>0</v>
      </c>
      <c r="G267" s="13">
        <v>0</v>
      </c>
      <c r="H267" s="14">
        <v>1481.75</v>
      </c>
      <c r="I267" s="14">
        <v>5741</v>
      </c>
      <c r="J267" s="8" t="s">
        <v>157</v>
      </c>
      <c r="K267" s="8" t="s">
        <v>512</v>
      </c>
    </row>
    <row r="268" spans="1:11" x14ac:dyDescent="0.2">
      <c r="A268" s="10">
        <v>60671000</v>
      </c>
      <c r="B268" s="10" t="s">
        <v>374</v>
      </c>
      <c r="C268" s="11">
        <v>50029.406000000003</v>
      </c>
      <c r="D268" s="11">
        <v>2897.6879999999996</v>
      </c>
      <c r="E268" s="11">
        <v>0</v>
      </c>
      <c r="F268" s="13">
        <v>0</v>
      </c>
      <c r="G268" s="13">
        <v>0</v>
      </c>
      <c r="H268" s="14">
        <v>2897.6879999999996</v>
      </c>
      <c r="I268" s="14">
        <v>52927.094000000005</v>
      </c>
      <c r="J268" s="8" t="s">
        <v>157</v>
      </c>
      <c r="K268" s="8" t="s">
        <v>512</v>
      </c>
    </row>
    <row r="269" spans="1:11" x14ac:dyDescent="0.2">
      <c r="A269" s="10">
        <v>60672000</v>
      </c>
      <c r="B269" s="10" t="s">
        <v>7569</v>
      </c>
      <c r="C269" s="11">
        <v>109.5</v>
      </c>
      <c r="D269" s="11">
        <v>64</v>
      </c>
      <c r="E269" s="11">
        <v>0</v>
      </c>
      <c r="F269" s="13">
        <v>0</v>
      </c>
      <c r="G269" s="13">
        <v>0</v>
      </c>
      <c r="H269" s="14">
        <v>64</v>
      </c>
      <c r="I269" s="14">
        <v>173.5</v>
      </c>
      <c r="J269" s="8" t="s">
        <v>157</v>
      </c>
      <c r="K269" s="8" t="s">
        <v>512</v>
      </c>
    </row>
    <row r="270" spans="1:11" x14ac:dyDescent="0.2">
      <c r="A270" s="10">
        <v>60700000</v>
      </c>
      <c r="B270" s="10" t="s">
        <v>7719</v>
      </c>
      <c r="C270" s="11">
        <v>0</v>
      </c>
      <c r="D270" s="11">
        <v>0</v>
      </c>
      <c r="E270" s="11">
        <v>0</v>
      </c>
      <c r="F270" s="13">
        <v>15708</v>
      </c>
      <c r="G270" s="13">
        <v>0</v>
      </c>
      <c r="H270" s="14">
        <v>15708</v>
      </c>
      <c r="I270" s="14">
        <v>15708</v>
      </c>
      <c r="J270" s="8" t="s">
        <v>157</v>
      </c>
      <c r="K270" s="8" t="s">
        <v>512</v>
      </c>
    </row>
    <row r="271" spans="1:11" x14ac:dyDescent="0.2">
      <c r="A271" s="10">
        <v>61400000</v>
      </c>
      <c r="B271" s="10" t="s">
        <v>175</v>
      </c>
      <c r="C271" s="11">
        <v>13784.998</v>
      </c>
      <c r="D271" s="11">
        <v>3706.6659999999997</v>
      </c>
      <c r="E271" s="11">
        <v>0</v>
      </c>
      <c r="F271" s="13">
        <v>0</v>
      </c>
      <c r="G271" s="13">
        <v>0</v>
      </c>
      <c r="H271" s="14">
        <v>3706.6659999999997</v>
      </c>
      <c r="I271" s="14">
        <v>17491.664000000001</v>
      </c>
      <c r="J271" s="8" t="s">
        <v>157</v>
      </c>
      <c r="K271" s="8" t="s">
        <v>512</v>
      </c>
    </row>
    <row r="272" spans="1:11" x14ac:dyDescent="0.2">
      <c r="A272" s="10">
        <v>61500000</v>
      </c>
      <c r="B272" s="10" t="s">
        <v>176</v>
      </c>
      <c r="C272" s="11">
        <v>87708.975000000006</v>
      </c>
      <c r="D272" s="11">
        <v>51578.017999999996</v>
      </c>
      <c r="E272" s="11">
        <v>79102.309000000008</v>
      </c>
      <c r="F272" s="13">
        <v>18263.697</v>
      </c>
      <c r="G272" s="13">
        <v>1400</v>
      </c>
      <c r="H272" s="14">
        <v>-10660.594000000012</v>
      </c>
      <c r="I272" s="14">
        <v>77048.380999999994</v>
      </c>
      <c r="J272" s="8" t="s">
        <v>157</v>
      </c>
      <c r="K272" s="8" t="s">
        <v>512</v>
      </c>
    </row>
    <row r="273" spans="1:11" x14ac:dyDescent="0.2">
      <c r="A273" s="10">
        <v>61501000</v>
      </c>
      <c r="B273" s="10" t="s">
        <v>177</v>
      </c>
      <c r="C273" s="11">
        <v>56990.205999999998</v>
      </c>
      <c r="D273" s="11">
        <v>26542.591000000004</v>
      </c>
      <c r="E273" s="11">
        <v>0</v>
      </c>
      <c r="F273" s="13">
        <v>2112.2399999999998</v>
      </c>
      <c r="G273" s="13">
        <v>338</v>
      </c>
      <c r="H273" s="14">
        <v>28316.831000000006</v>
      </c>
      <c r="I273" s="14">
        <v>85307.037000000011</v>
      </c>
      <c r="J273" s="8" t="s">
        <v>157</v>
      </c>
      <c r="K273" s="8" t="s">
        <v>512</v>
      </c>
    </row>
    <row r="274" spans="1:11" x14ac:dyDescent="0.2">
      <c r="A274" s="10">
        <v>61600000</v>
      </c>
      <c r="B274" s="10" t="s">
        <v>397</v>
      </c>
      <c r="C274" s="11">
        <v>7723</v>
      </c>
      <c r="D274" s="11">
        <v>0</v>
      </c>
      <c r="E274" s="11">
        <v>0</v>
      </c>
      <c r="F274" s="13">
        <v>0</v>
      </c>
      <c r="G274" s="13">
        <v>0</v>
      </c>
      <c r="H274" s="14">
        <v>0</v>
      </c>
      <c r="I274" s="14">
        <v>7723</v>
      </c>
      <c r="J274" s="8" t="s">
        <v>157</v>
      </c>
      <c r="K274" s="8" t="s">
        <v>512</v>
      </c>
    </row>
    <row r="275" spans="1:11" x14ac:dyDescent="0.2">
      <c r="A275" s="10">
        <v>61603000</v>
      </c>
      <c r="B275" s="10" t="s">
        <v>178</v>
      </c>
      <c r="C275" s="11">
        <v>7352.3790000000008</v>
      </c>
      <c r="D275" s="11">
        <v>7078.6970000000001</v>
      </c>
      <c r="E275" s="11">
        <v>0</v>
      </c>
      <c r="F275" s="13">
        <v>2084.2939999999999</v>
      </c>
      <c r="G275" s="13">
        <v>0</v>
      </c>
      <c r="H275" s="14">
        <v>9162.991</v>
      </c>
      <c r="I275" s="14">
        <v>16515.370000000003</v>
      </c>
      <c r="J275" s="8" t="s">
        <v>157</v>
      </c>
      <c r="K275" s="8" t="s">
        <v>512</v>
      </c>
    </row>
    <row r="276" spans="1:11" x14ac:dyDescent="0.2">
      <c r="A276" s="10">
        <v>61607000</v>
      </c>
      <c r="B276" s="10" t="s">
        <v>179</v>
      </c>
      <c r="C276" s="11">
        <v>3682.8</v>
      </c>
      <c r="D276" s="11">
        <v>0</v>
      </c>
      <c r="E276" s="11">
        <v>0</v>
      </c>
      <c r="F276" s="13">
        <v>1227.5999999999999</v>
      </c>
      <c r="G276" s="13">
        <v>0</v>
      </c>
      <c r="H276" s="14">
        <v>1227.5999999999999</v>
      </c>
      <c r="I276" s="14">
        <v>4910.3999999999996</v>
      </c>
      <c r="J276" s="8" t="s">
        <v>157</v>
      </c>
      <c r="K276" s="8" t="s">
        <v>512</v>
      </c>
    </row>
    <row r="277" spans="1:11" x14ac:dyDescent="0.2">
      <c r="A277" s="10">
        <v>62120000</v>
      </c>
      <c r="B277" s="10" t="s">
        <v>180</v>
      </c>
      <c r="C277" s="11">
        <v>15103.36</v>
      </c>
      <c r="D277" s="11">
        <v>4921.3999999999996</v>
      </c>
      <c r="E277" s="11">
        <v>0</v>
      </c>
      <c r="F277" s="13">
        <v>0</v>
      </c>
      <c r="G277" s="13">
        <v>0</v>
      </c>
      <c r="H277" s="14">
        <v>4921.3999999999996</v>
      </c>
      <c r="I277" s="14">
        <v>20024.760000000002</v>
      </c>
      <c r="J277" s="8" t="s">
        <v>157</v>
      </c>
      <c r="K277" s="8" t="s">
        <v>512</v>
      </c>
    </row>
    <row r="278" spans="1:11" x14ac:dyDescent="0.2">
      <c r="A278" s="10">
        <v>62200000</v>
      </c>
      <c r="B278" s="10" t="s">
        <v>181</v>
      </c>
      <c r="C278" s="11">
        <v>3466.6670000000004</v>
      </c>
      <c r="D278" s="11">
        <v>0</v>
      </c>
      <c r="E278" s="11">
        <v>0</v>
      </c>
      <c r="F278" s="13">
        <v>866.66700000000003</v>
      </c>
      <c r="G278" s="13">
        <v>0</v>
      </c>
      <c r="H278" s="14">
        <v>866.66700000000003</v>
      </c>
      <c r="I278" s="14">
        <v>4333.3340000000007</v>
      </c>
      <c r="J278" s="8" t="s">
        <v>157</v>
      </c>
      <c r="K278" s="8" t="s">
        <v>512</v>
      </c>
    </row>
    <row r="279" spans="1:11" x14ac:dyDescent="0.2">
      <c r="A279" s="10">
        <v>62210000</v>
      </c>
      <c r="B279" s="10" t="s">
        <v>398</v>
      </c>
      <c r="C279" s="11">
        <v>425</v>
      </c>
      <c r="D279" s="11">
        <v>0</v>
      </c>
      <c r="E279" s="11">
        <v>0</v>
      </c>
      <c r="F279" s="13">
        <v>0</v>
      </c>
      <c r="G279" s="13">
        <v>0</v>
      </c>
      <c r="H279" s="14">
        <v>0</v>
      </c>
      <c r="I279" s="14">
        <v>425</v>
      </c>
      <c r="J279" s="8" t="s">
        <v>157</v>
      </c>
      <c r="K279" s="8" t="s">
        <v>512</v>
      </c>
    </row>
    <row r="280" spans="1:11" x14ac:dyDescent="0.2">
      <c r="A280" s="10">
        <v>62230000</v>
      </c>
      <c r="B280" s="10" t="s">
        <v>375</v>
      </c>
      <c r="C280" s="11">
        <v>6507.3019999999997</v>
      </c>
      <c r="D280" s="11">
        <v>672.26900000000001</v>
      </c>
      <c r="E280" s="11">
        <v>0</v>
      </c>
      <c r="F280" s="13">
        <v>0</v>
      </c>
      <c r="G280" s="13">
        <v>0</v>
      </c>
      <c r="H280" s="14">
        <v>672.26900000000001</v>
      </c>
      <c r="I280" s="14">
        <v>7179.5709999999999</v>
      </c>
      <c r="J280" s="8" t="s">
        <v>157</v>
      </c>
      <c r="K280" s="8" t="s">
        <v>512</v>
      </c>
    </row>
    <row r="281" spans="1:11" x14ac:dyDescent="0.2">
      <c r="A281" s="10">
        <v>62240000</v>
      </c>
      <c r="B281" s="10" t="s">
        <v>267</v>
      </c>
      <c r="C281" s="11">
        <v>8347.5720000000001</v>
      </c>
      <c r="D281" s="11">
        <v>34386.759999999995</v>
      </c>
      <c r="E281" s="11">
        <v>0</v>
      </c>
      <c r="F281" s="13">
        <v>0</v>
      </c>
      <c r="G281" s="13">
        <v>31272.080000000002</v>
      </c>
      <c r="H281" s="14">
        <v>3114.679999999993</v>
      </c>
      <c r="I281" s="14">
        <v>11462.251999999993</v>
      </c>
      <c r="J281" s="8" t="s">
        <v>157</v>
      </c>
      <c r="K281" s="8" t="s">
        <v>512</v>
      </c>
    </row>
    <row r="282" spans="1:11" x14ac:dyDescent="0.2">
      <c r="A282" s="10">
        <v>62250000</v>
      </c>
      <c r="B282" s="10" t="s">
        <v>268</v>
      </c>
      <c r="C282" s="11">
        <v>15000</v>
      </c>
      <c r="D282" s="11">
        <v>0</v>
      </c>
      <c r="E282" s="11">
        <v>0</v>
      </c>
      <c r="F282" s="13">
        <v>5000</v>
      </c>
      <c r="G282" s="13">
        <v>0</v>
      </c>
      <c r="H282" s="14">
        <v>5000</v>
      </c>
      <c r="I282" s="14">
        <v>20000</v>
      </c>
      <c r="J282" s="8" t="s">
        <v>157</v>
      </c>
      <c r="K282" s="8" t="s">
        <v>512</v>
      </c>
    </row>
    <row r="283" spans="1:11" x14ac:dyDescent="0.2">
      <c r="A283" s="10">
        <v>62260000</v>
      </c>
      <c r="B283" s="10" t="s">
        <v>7402</v>
      </c>
      <c r="C283" s="11">
        <v>1269.8</v>
      </c>
      <c r="D283" s="11">
        <v>0</v>
      </c>
      <c r="E283" s="11">
        <v>0</v>
      </c>
      <c r="F283" s="13">
        <v>0</v>
      </c>
      <c r="G283" s="13">
        <v>0</v>
      </c>
      <c r="H283" s="14">
        <v>0</v>
      </c>
      <c r="I283" s="14">
        <v>1269.8</v>
      </c>
      <c r="J283" s="8" t="s">
        <v>157</v>
      </c>
      <c r="K283" s="8" t="s">
        <v>512</v>
      </c>
    </row>
    <row r="284" spans="1:11" x14ac:dyDescent="0.2">
      <c r="A284" s="10">
        <v>62270000</v>
      </c>
      <c r="B284" s="10" t="s">
        <v>399</v>
      </c>
      <c r="C284" s="11">
        <v>120.935</v>
      </c>
      <c r="D284" s="11">
        <v>360</v>
      </c>
      <c r="E284" s="11">
        <v>0</v>
      </c>
      <c r="F284" s="13">
        <v>0</v>
      </c>
      <c r="G284" s="13">
        <v>0</v>
      </c>
      <c r="H284" s="14">
        <v>360</v>
      </c>
      <c r="I284" s="14">
        <v>480.935</v>
      </c>
      <c r="J284" s="8" t="s">
        <v>157</v>
      </c>
      <c r="K284" s="8" t="s">
        <v>512</v>
      </c>
    </row>
    <row r="285" spans="1:11" x14ac:dyDescent="0.2">
      <c r="A285" s="10">
        <v>62300000</v>
      </c>
      <c r="B285" s="10" t="s">
        <v>182</v>
      </c>
      <c r="C285" s="11">
        <v>22500</v>
      </c>
      <c r="D285" s="11">
        <v>0</v>
      </c>
      <c r="E285" s="11">
        <v>0</v>
      </c>
      <c r="F285" s="13">
        <v>7500</v>
      </c>
      <c r="G285" s="13">
        <v>0</v>
      </c>
      <c r="H285" s="14">
        <v>7500</v>
      </c>
      <c r="I285" s="14">
        <v>30000</v>
      </c>
      <c r="J285" s="8" t="s">
        <v>157</v>
      </c>
      <c r="K285" s="8" t="s">
        <v>512</v>
      </c>
    </row>
    <row r="286" spans="1:11" x14ac:dyDescent="0.2">
      <c r="A286" s="10">
        <v>62301000</v>
      </c>
      <c r="B286" s="10" t="s">
        <v>7397</v>
      </c>
      <c r="C286" s="11">
        <v>14489.69</v>
      </c>
      <c r="D286" s="11">
        <v>150</v>
      </c>
      <c r="E286" s="11">
        <v>0</v>
      </c>
      <c r="F286" s="13">
        <v>0</v>
      </c>
      <c r="G286" s="13">
        <v>0</v>
      </c>
      <c r="H286" s="14">
        <v>150</v>
      </c>
      <c r="I286" s="14">
        <v>14639.69</v>
      </c>
      <c r="J286" s="8" t="s">
        <v>157</v>
      </c>
      <c r="K286" s="8" t="s">
        <v>512</v>
      </c>
    </row>
    <row r="287" spans="1:11" x14ac:dyDescent="0.2">
      <c r="A287" s="10">
        <v>62410000</v>
      </c>
      <c r="B287" s="10" t="s">
        <v>183</v>
      </c>
      <c r="C287" s="11">
        <v>2230</v>
      </c>
      <c r="D287" s="11">
        <v>280</v>
      </c>
      <c r="E287" s="11">
        <v>0</v>
      </c>
      <c r="F287" s="13">
        <v>0</v>
      </c>
      <c r="G287" s="13">
        <v>0</v>
      </c>
      <c r="H287" s="14">
        <v>280</v>
      </c>
      <c r="I287" s="14">
        <v>2510</v>
      </c>
      <c r="J287" s="8" t="s">
        <v>157</v>
      </c>
      <c r="K287" s="8" t="s">
        <v>512</v>
      </c>
    </row>
    <row r="288" spans="1:11" x14ac:dyDescent="0.2">
      <c r="A288" s="10">
        <v>62430000</v>
      </c>
      <c r="B288" s="10" t="s">
        <v>159</v>
      </c>
      <c r="C288" s="11">
        <v>238626.478</v>
      </c>
      <c r="D288" s="11">
        <v>37872.242000000006</v>
      </c>
      <c r="E288" s="11">
        <v>0</v>
      </c>
      <c r="F288" s="13">
        <v>0</v>
      </c>
      <c r="G288" s="13">
        <v>0</v>
      </c>
      <c r="H288" s="14">
        <v>37872.242000000006</v>
      </c>
      <c r="I288" s="14">
        <v>276498.72000000003</v>
      </c>
      <c r="J288" s="8" t="s">
        <v>157</v>
      </c>
      <c r="K288" s="8" t="s">
        <v>512</v>
      </c>
    </row>
    <row r="289" spans="1:11" x14ac:dyDescent="0.2">
      <c r="A289" s="10">
        <v>62500000</v>
      </c>
      <c r="B289" s="10" t="s">
        <v>185</v>
      </c>
      <c r="C289" s="11">
        <v>477.9</v>
      </c>
      <c r="D289" s="11">
        <v>70.5</v>
      </c>
      <c r="E289" s="11">
        <v>0</v>
      </c>
      <c r="F289" s="13">
        <v>0</v>
      </c>
      <c r="G289" s="13">
        <v>0</v>
      </c>
      <c r="H289" s="14">
        <v>70.5</v>
      </c>
      <c r="I289" s="14">
        <v>548.4</v>
      </c>
      <c r="J289" s="8" t="s">
        <v>157</v>
      </c>
      <c r="K289" s="8" t="s">
        <v>512</v>
      </c>
    </row>
    <row r="290" spans="1:11" x14ac:dyDescent="0.2">
      <c r="A290" s="10">
        <v>62510000</v>
      </c>
      <c r="B290" s="10" t="s">
        <v>7571</v>
      </c>
      <c r="C290" s="11">
        <v>0</v>
      </c>
      <c r="D290" s="11">
        <v>5117</v>
      </c>
      <c r="E290" s="11">
        <v>0</v>
      </c>
      <c r="F290" s="13">
        <v>0</v>
      </c>
      <c r="G290" s="13">
        <v>0</v>
      </c>
      <c r="H290" s="14">
        <v>5117</v>
      </c>
      <c r="I290" s="14">
        <v>5117</v>
      </c>
      <c r="J290" s="8" t="s">
        <v>157</v>
      </c>
      <c r="K290" s="8" t="s">
        <v>512</v>
      </c>
    </row>
    <row r="291" spans="1:11" x14ac:dyDescent="0.2">
      <c r="A291" s="10">
        <v>62520000</v>
      </c>
      <c r="B291" s="10" t="s">
        <v>7403</v>
      </c>
      <c r="C291" s="11">
        <v>1650</v>
      </c>
      <c r="D291" s="11">
        <v>19544</v>
      </c>
      <c r="E291" s="11">
        <v>0</v>
      </c>
      <c r="F291" s="13">
        <v>0</v>
      </c>
      <c r="G291" s="13">
        <v>0</v>
      </c>
      <c r="H291" s="14">
        <v>19544</v>
      </c>
      <c r="I291" s="14">
        <v>21194</v>
      </c>
      <c r="J291" s="8" t="s">
        <v>157</v>
      </c>
      <c r="K291" s="8" t="s">
        <v>512</v>
      </c>
    </row>
    <row r="292" spans="1:11" x14ac:dyDescent="0.2">
      <c r="A292" s="10">
        <v>62570000</v>
      </c>
      <c r="B292" s="10" t="s">
        <v>186</v>
      </c>
      <c r="C292" s="11">
        <v>8084.9</v>
      </c>
      <c r="D292" s="11">
        <v>2031</v>
      </c>
      <c r="E292" s="11">
        <v>0</v>
      </c>
      <c r="F292" s="13">
        <v>0</v>
      </c>
      <c r="G292" s="13">
        <v>0</v>
      </c>
      <c r="H292" s="14">
        <v>2031</v>
      </c>
      <c r="I292" s="14">
        <v>10115.9</v>
      </c>
      <c r="J292" s="8" t="s">
        <v>157</v>
      </c>
      <c r="K292" s="8" t="s">
        <v>512</v>
      </c>
    </row>
    <row r="293" spans="1:11" x14ac:dyDescent="0.2">
      <c r="A293" s="10">
        <v>62571000</v>
      </c>
      <c r="B293" s="10" t="s">
        <v>376</v>
      </c>
      <c r="C293" s="11">
        <v>4434.8630000000003</v>
      </c>
      <c r="D293" s="11">
        <v>400.98</v>
      </c>
      <c r="E293" s="11">
        <v>0</v>
      </c>
      <c r="F293" s="13">
        <v>0</v>
      </c>
      <c r="G293" s="13">
        <v>0</v>
      </c>
      <c r="H293" s="14">
        <v>400.98</v>
      </c>
      <c r="I293" s="14">
        <v>4835.8430000000008</v>
      </c>
      <c r="J293" s="8" t="s">
        <v>157</v>
      </c>
      <c r="K293" s="8" t="s">
        <v>512</v>
      </c>
    </row>
    <row r="294" spans="1:11" x14ac:dyDescent="0.2">
      <c r="A294" s="10">
        <v>62572000</v>
      </c>
      <c r="B294" s="10" t="s">
        <v>377</v>
      </c>
      <c r="C294" s="11">
        <v>723.2</v>
      </c>
      <c r="D294" s="11">
        <v>1203.2</v>
      </c>
      <c r="E294" s="11">
        <v>0</v>
      </c>
      <c r="F294" s="13">
        <v>0</v>
      </c>
      <c r="G294" s="13">
        <v>0</v>
      </c>
      <c r="H294" s="14">
        <v>1203.2</v>
      </c>
      <c r="I294" s="14">
        <v>1926.4</v>
      </c>
      <c r="J294" s="8" t="s">
        <v>157</v>
      </c>
      <c r="K294" s="8" t="s">
        <v>512</v>
      </c>
    </row>
    <row r="295" spans="1:11" x14ac:dyDescent="0.2">
      <c r="A295" s="10">
        <v>62573000</v>
      </c>
      <c r="B295" s="10" t="s">
        <v>378</v>
      </c>
      <c r="C295" s="11">
        <v>2557.2159999999999</v>
      </c>
      <c r="D295" s="11">
        <v>0</v>
      </c>
      <c r="E295" s="11">
        <v>0</v>
      </c>
      <c r="F295" s="13">
        <v>0</v>
      </c>
      <c r="G295" s="13">
        <v>0</v>
      </c>
      <c r="H295" s="14">
        <v>0</v>
      </c>
      <c r="I295" s="14">
        <v>2557.2159999999999</v>
      </c>
      <c r="J295" s="8" t="s">
        <v>157</v>
      </c>
      <c r="K295" s="8" t="s">
        <v>512</v>
      </c>
    </row>
    <row r="296" spans="1:11" x14ac:dyDescent="0.2">
      <c r="A296" s="10">
        <v>62580000</v>
      </c>
      <c r="B296" s="10" t="s">
        <v>187</v>
      </c>
      <c r="C296" s="11">
        <v>1029.25</v>
      </c>
      <c r="D296" s="11">
        <v>212</v>
      </c>
      <c r="E296" s="11">
        <v>0</v>
      </c>
      <c r="F296" s="13">
        <v>0</v>
      </c>
      <c r="G296" s="13">
        <v>0</v>
      </c>
      <c r="H296" s="14">
        <v>212</v>
      </c>
      <c r="I296" s="14">
        <v>1241.25</v>
      </c>
      <c r="J296" s="8" t="s">
        <v>157</v>
      </c>
      <c r="K296" s="8" t="s">
        <v>512</v>
      </c>
    </row>
    <row r="297" spans="1:11" x14ac:dyDescent="0.2">
      <c r="A297" s="10">
        <v>62600000</v>
      </c>
      <c r="B297" s="10" t="s">
        <v>188</v>
      </c>
      <c r="C297" s="11">
        <v>10414.888999999999</v>
      </c>
      <c r="D297" s="11">
        <v>7549.1009999999997</v>
      </c>
      <c r="E297" s="11">
        <v>0</v>
      </c>
      <c r="F297" s="13">
        <v>0</v>
      </c>
      <c r="G297" s="13">
        <v>0</v>
      </c>
      <c r="H297" s="14">
        <v>7549.1009999999997</v>
      </c>
      <c r="I297" s="14">
        <v>17963.989999999998</v>
      </c>
      <c r="J297" s="8" t="s">
        <v>157</v>
      </c>
      <c r="K297" s="8" t="s">
        <v>512</v>
      </c>
    </row>
    <row r="298" spans="1:11" x14ac:dyDescent="0.2">
      <c r="A298" s="10">
        <v>62780000</v>
      </c>
      <c r="B298" s="10" t="s">
        <v>189</v>
      </c>
      <c r="C298" s="11">
        <v>53728.106</v>
      </c>
      <c r="D298" s="11">
        <v>63320.930000000008</v>
      </c>
      <c r="E298" s="11">
        <v>30050.292999999998</v>
      </c>
      <c r="F298" s="13">
        <v>10934.868</v>
      </c>
      <c r="G298" s="13">
        <v>32804.603999999999</v>
      </c>
      <c r="H298" s="14">
        <v>11400.901000000013</v>
      </c>
      <c r="I298" s="14">
        <v>65129.007000000012</v>
      </c>
      <c r="J298" s="8" t="s">
        <v>195</v>
      </c>
      <c r="K298" s="8" t="s">
        <v>517</v>
      </c>
    </row>
    <row r="299" spans="1:11" x14ac:dyDescent="0.2">
      <c r="A299" s="10">
        <v>63300000</v>
      </c>
      <c r="B299" s="10" t="s">
        <v>269</v>
      </c>
      <c r="C299" s="11">
        <v>31249.998</v>
      </c>
      <c r="D299" s="11">
        <v>0</v>
      </c>
      <c r="E299" s="11">
        <v>0</v>
      </c>
      <c r="F299" s="13">
        <v>10416.665999999999</v>
      </c>
      <c r="G299" s="13">
        <v>0</v>
      </c>
      <c r="H299" s="14">
        <v>10416.665999999999</v>
      </c>
      <c r="I299" s="14">
        <v>41666.663999999997</v>
      </c>
      <c r="J299" s="8" t="s">
        <v>157</v>
      </c>
      <c r="K299" s="8" t="s">
        <v>512</v>
      </c>
    </row>
    <row r="300" spans="1:11" x14ac:dyDescent="0.2">
      <c r="A300" s="10">
        <v>63610000</v>
      </c>
      <c r="B300" s="10" t="s">
        <v>7398</v>
      </c>
      <c r="C300" s="11">
        <v>795.78899999999999</v>
      </c>
      <c r="D300" s="11">
        <v>16.3</v>
      </c>
      <c r="E300" s="11">
        <v>0</v>
      </c>
      <c r="F300" s="13">
        <v>0</v>
      </c>
      <c r="G300" s="13">
        <v>0</v>
      </c>
      <c r="H300" s="14">
        <v>16.3</v>
      </c>
      <c r="I300" s="14">
        <v>812.08899999999994</v>
      </c>
      <c r="J300" s="8" t="s">
        <v>157</v>
      </c>
      <c r="K300" s="8" t="s">
        <v>512</v>
      </c>
    </row>
    <row r="301" spans="1:11" x14ac:dyDescent="0.2">
      <c r="A301" s="10">
        <v>64001000</v>
      </c>
      <c r="B301" s="10" t="s">
        <v>191</v>
      </c>
      <c r="C301" s="11">
        <v>1079513.4750000001</v>
      </c>
      <c r="D301" s="11">
        <v>323885.79100000003</v>
      </c>
      <c r="E301" s="11">
        <v>0</v>
      </c>
      <c r="F301" s="13">
        <v>25606.931</v>
      </c>
      <c r="G301" s="13">
        <v>0</v>
      </c>
      <c r="H301" s="14">
        <v>349492.72200000001</v>
      </c>
      <c r="I301" s="14">
        <v>1429006.1970000002</v>
      </c>
      <c r="J301" s="8" t="s">
        <v>192</v>
      </c>
      <c r="K301" s="8" t="s">
        <v>511</v>
      </c>
    </row>
    <row r="302" spans="1:11" x14ac:dyDescent="0.2">
      <c r="A302" s="10">
        <v>64600100</v>
      </c>
      <c r="B302" s="10" t="s">
        <v>407</v>
      </c>
      <c r="C302" s="11">
        <v>40591.442999999999</v>
      </c>
      <c r="D302" s="11">
        <v>917651.35299999989</v>
      </c>
      <c r="E302" s="11">
        <v>912453.69499999995</v>
      </c>
      <c r="F302" s="13">
        <v>0</v>
      </c>
      <c r="G302" s="13">
        <v>0</v>
      </c>
      <c r="H302" s="14">
        <v>5197.6579999999376</v>
      </c>
      <c r="I302" s="14">
        <v>45789.100999999937</v>
      </c>
      <c r="J302" s="8" t="s">
        <v>192</v>
      </c>
      <c r="K302" s="8" t="s">
        <v>511</v>
      </c>
    </row>
    <row r="303" spans="1:11" x14ac:dyDescent="0.2">
      <c r="A303" s="10">
        <v>64720000</v>
      </c>
      <c r="B303" s="10" t="s">
        <v>194</v>
      </c>
      <c r="C303" s="11">
        <v>95381.190999999992</v>
      </c>
      <c r="D303" s="11">
        <v>0</v>
      </c>
      <c r="E303" s="11">
        <v>0</v>
      </c>
      <c r="F303" s="13">
        <v>28703.087</v>
      </c>
      <c r="G303" s="13">
        <v>0</v>
      </c>
      <c r="H303" s="14">
        <v>28703.087</v>
      </c>
      <c r="I303" s="14">
        <v>124084.27799999999</v>
      </c>
      <c r="J303" s="8" t="s">
        <v>192</v>
      </c>
      <c r="K303" s="8" t="s">
        <v>511</v>
      </c>
    </row>
    <row r="304" spans="1:11" x14ac:dyDescent="0.2">
      <c r="A304" s="10">
        <v>65110000</v>
      </c>
      <c r="B304" s="10" t="s">
        <v>385</v>
      </c>
      <c r="C304" s="11">
        <v>16216.419999999998</v>
      </c>
      <c r="D304" s="11">
        <v>7284.375</v>
      </c>
      <c r="E304" s="11">
        <v>0</v>
      </c>
      <c r="F304" s="13">
        <v>0</v>
      </c>
      <c r="G304" s="13">
        <v>0</v>
      </c>
      <c r="H304" s="14">
        <v>7284.375</v>
      </c>
      <c r="I304" s="14">
        <v>23500.794999999998</v>
      </c>
      <c r="J304" s="8" t="s">
        <v>195</v>
      </c>
      <c r="K304" s="8" t="s">
        <v>517</v>
      </c>
    </row>
    <row r="305" spans="1:11" x14ac:dyDescent="0.2">
      <c r="A305" s="10">
        <v>65110200</v>
      </c>
      <c r="B305" s="10" t="s">
        <v>196</v>
      </c>
      <c r="C305" s="11">
        <v>94679.260000000009</v>
      </c>
      <c r="D305" s="11">
        <v>0</v>
      </c>
      <c r="E305" s="11">
        <v>0</v>
      </c>
      <c r="F305" s="13">
        <v>34014.074000000001</v>
      </c>
      <c r="G305" s="13">
        <v>0</v>
      </c>
      <c r="H305" s="14">
        <v>34014.074000000001</v>
      </c>
      <c r="I305" s="14">
        <v>128693.334</v>
      </c>
      <c r="J305" s="8" t="s">
        <v>195</v>
      </c>
      <c r="K305" s="8" t="s">
        <v>517</v>
      </c>
    </row>
    <row r="306" spans="1:11" x14ac:dyDescent="0.2">
      <c r="A306" s="10">
        <v>65110400</v>
      </c>
      <c r="B306" s="10" t="s">
        <v>197</v>
      </c>
      <c r="C306" s="11">
        <v>71391.491999999998</v>
      </c>
      <c r="D306" s="11">
        <v>0</v>
      </c>
      <c r="E306" s="11">
        <v>0</v>
      </c>
      <c r="F306" s="13">
        <v>52326.665999999997</v>
      </c>
      <c r="G306" s="13">
        <v>0</v>
      </c>
      <c r="H306" s="14">
        <v>52326.665999999997</v>
      </c>
      <c r="I306" s="14">
        <v>123718.158</v>
      </c>
      <c r="J306" s="8" t="s">
        <v>195</v>
      </c>
      <c r="K306" s="8" t="s">
        <v>517</v>
      </c>
    </row>
    <row r="307" spans="1:11" x14ac:dyDescent="0.2">
      <c r="A307" s="10">
        <v>65115000</v>
      </c>
      <c r="B307" s="10" t="s">
        <v>379</v>
      </c>
      <c r="C307" s="11">
        <v>11562.511999999999</v>
      </c>
      <c r="D307" s="11">
        <v>3640.7640000000001</v>
      </c>
      <c r="E307" s="11">
        <v>0</v>
      </c>
      <c r="F307" s="13">
        <v>0</v>
      </c>
      <c r="G307" s="13">
        <v>0</v>
      </c>
      <c r="H307" s="14">
        <v>3640.7640000000001</v>
      </c>
      <c r="I307" s="14">
        <v>15203.275999999998</v>
      </c>
      <c r="J307" s="8" t="s">
        <v>195</v>
      </c>
      <c r="K307" s="8" t="s">
        <v>517</v>
      </c>
    </row>
    <row r="308" spans="1:11" x14ac:dyDescent="0.2">
      <c r="A308" s="10">
        <v>65150000</v>
      </c>
      <c r="B308" s="10" t="s">
        <v>270</v>
      </c>
      <c r="C308" s="11">
        <v>37183.561999999998</v>
      </c>
      <c r="D308" s="11">
        <v>0</v>
      </c>
      <c r="E308" s="11">
        <v>0</v>
      </c>
      <c r="F308" s="13">
        <v>14038.356</v>
      </c>
      <c r="G308" s="13">
        <v>0</v>
      </c>
      <c r="H308" s="14">
        <v>14038.356</v>
      </c>
      <c r="I308" s="14">
        <v>51221.917999999998</v>
      </c>
      <c r="J308" s="8" t="s">
        <v>195</v>
      </c>
      <c r="K308" s="8" t="s">
        <v>517</v>
      </c>
    </row>
    <row r="309" spans="1:11" x14ac:dyDescent="0.2">
      <c r="A309" s="10">
        <v>65190000</v>
      </c>
      <c r="B309" s="10" t="s">
        <v>198</v>
      </c>
      <c r="C309" s="11">
        <v>77711.154999999999</v>
      </c>
      <c r="D309" s="11">
        <v>156508.378</v>
      </c>
      <c r="E309" s="11">
        <v>70116.285000000003</v>
      </c>
      <c r="F309" s="13">
        <v>25903.718000000001</v>
      </c>
      <c r="G309" s="13">
        <v>77711.154999999999</v>
      </c>
      <c r="H309" s="14">
        <v>34584.655999999988</v>
      </c>
      <c r="I309" s="14">
        <v>112295.81099999999</v>
      </c>
      <c r="J309" s="8" t="s">
        <v>195</v>
      </c>
      <c r="K309" s="8" t="s">
        <v>517</v>
      </c>
    </row>
    <row r="310" spans="1:11" x14ac:dyDescent="0.2">
      <c r="A310" s="10">
        <v>65500000</v>
      </c>
      <c r="B310" s="10" t="s">
        <v>400</v>
      </c>
      <c r="C310" s="11">
        <v>15913.52</v>
      </c>
      <c r="D310" s="11">
        <v>21056.998</v>
      </c>
      <c r="E310" s="11">
        <v>0</v>
      </c>
      <c r="F310" s="13">
        <v>0</v>
      </c>
      <c r="G310" s="13">
        <v>0</v>
      </c>
      <c r="H310" s="14">
        <v>21056.998</v>
      </c>
      <c r="I310" s="14">
        <v>36970.517999999996</v>
      </c>
      <c r="J310" s="8" t="s">
        <v>195</v>
      </c>
      <c r="K310" s="8" t="s">
        <v>517</v>
      </c>
    </row>
    <row r="311" spans="1:11" x14ac:dyDescent="0.2">
      <c r="A311" s="10">
        <v>66520000</v>
      </c>
      <c r="B311" s="10" t="s">
        <v>200</v>
      </c>
      <c r="C311" s="11">
        <v>22815.418000000001</v>
      </c>
      <c r="D311" s="11">
        <v>7755.5169999999998</v>
      </c>
      <c r="E311" s="11">
        <v>0</v>
      </c>
      <c r="F311" s="13">
        <v>4931.72</v>
      </c>
      <c r="G311" s="13">
        <v>7755.518</v>
      </c>
      <c r="H311" s="14">
        <v>4931.719000000001</v>
      </c>
      <c r="I311" s="14">
        <v>27747.137000000002</v>
      </c>
      <c r="J311" s="8" t="s">
        <v>157</v>
      </c>
      <c r="K311" s="8" t="s">
        <v>512</v>
      </c>
    </row>
    <row r="312" spans="1:11" x14ac:dyDescent="0.2">
      <c r="A312" s="10">
        <v>66540000</v>
      </c>
      <c r="B312" s="10" t="s">
        <v>201</v>
      </c>
      <c r="C312" s="11">
        <v>2429.0780000000004</v>
      </c>
      <c r="D312" s="11">
        <v>1158.556</v>
      </c>
      <c r="E312" s="11">
        <v>3</v>
      </c>
      <c r="F312" s="13">
        <v>0</v>
      </c>
      <c r="G312" s="13">
        <v>0</v>
      </c>
      <c r="H312" s="14">
        <v>1155.556</v>
      </c>
      <c r="I312" s="14">
        <v>3584.6340000000005</v>
      </c>
      <c r="J312" s="8" t="s">
        <v>157</v>
      </c>
      <c r="K312" s="8" t="s">
        <v>512</v>
      </c>
    </row>
    <row r="313" spans="1:11" x14ac:dyDescent="0.2">
      <c r="A313" s="10">
        <v>66550000</v>
      </c>
      <c r="B313" s="10" t="s">
        <v>202</v>
      </c>
      <c r="C313" s="11">
        <v>3599.732</v>
      </c>
      <c r="D313" s="11">
        <v>80.587000000000003</v>
      </c>
      <c r="E313" s="11">
        <v>0</v>
      </c>
      <c r="F313" s="13">
        <v>900</v>
      </c>
      <c r="G313" s="13">
        <v>0</v>
      </c>
      <c r="H313" s="14">
        <v>980.58699999999999</v>
      </c>
      <c r="I313" s="14">
        <v>4580.3189999999995</v>
      </c>
      <c r="J313" s="8" t="s">
        <v>157</v>
      </c>
      <c r="K313" s="8" t="s">
        <v>512</v>
      </c>
    </row>
    <row r="314" spans="1:11" x14ac:dyDescent="0.2">
      <c r="A314" s="10">
        <v>68112000</v>
      </c>
      <c r="B314" s="10" t="s">
        <v>271</v>
      </c>
      <c r="C314" s="11">
        <v>578419.39399999997</v>
      </c>
      <c r="D314" s="11">
        <v>0</v>
      </c>
      <c r="E314" s="11">
        <v>0</v>
      </c>
      <c r="F314" s="13">
        <v>201913.67499999999</v>
      </c>
      <c r="G314" s="13">
        <v>0</v>
      </c>
      <c r="H314" s="14">
        <v>201913.67499999999</v>
      </c>
      <c r="I314" s="14">
        <v>780333.0689999999</v>
      </c>
      <c r="J314" s="8" t="s">
        <v>203</v>
      </c>
      <c r="K314" s="8" t="s">
        <v>7578</v>
      </c>
    </row>
    <row r="315" spans="1:11" x14ac:dyDescent="0.2">
      <c r="A315" s="10">
        <v>70000000</v>
      </c>
      <c r="B315" s="10" t="s">
        <v>205</v>
      </c>
      <c r="C315" s="11">
        <v>-6678636.3200000003</v>
      </c>
      <c r="D315" s="11">
        <v>109747.76300000001</v>
      </c>
      <c r="E315" s="11">
        <v>1750443.4839999999</v>
      </c>
      <c r="F315" s="13">
        <v>0</v>
      </c>
      <c r="G315" s="13">
        <v>0</v>
      </c>
      <c r="H315" s="14">
        <v>-1640695.7209999999</v>
      </c>
      <c r="I315" s="14">
        <v>-8319332.0410000002</v>
      </c>
      <c r="J315" s="8" t="s">
        <v>206</v>
      </c>
      <c r="K315" s="8" t="s">
        <v>505</v>
      </c>
    </row>
    <row r="316" spans="1:11" x14ac:dyDescent="0.2">
      <c r="A316" s="10">
        <v>70102000</v>
      </c>
      <c r="B316" s="10" t="s">
        <v>207</v>
      </c>
      <c r="C316" s="11">
        <v>-5439017.5710000005</v>
      </c>
      <c r="D316" s="11">
        <v>0</v>
      </c>
      <c r="E316" s="11">
        <v>752706.47200000007</v>
      </c>
      <c r="F316" s="13">
        <v>0</v>
      </c>
      <c r="G316" s="13">
        <v>0</v>
      </c>
      <c r="H316" s="14">
        <v>-752706.47200000007</v>
      </c>
      <c r="I316" s="14">
        <v>-6191724.0430000005</v>
      </c>
      <c r="J316" s="8" t="s">
        <v>227</v>
      </c>
      <c r="K316" s="8" t="s">
        <v>504</v>
      </c>
    </row>
    <row r="317" spans="1:11" x14ac:dyDescent="0.2">
      <c r="A317" s="10">
        <v>70103000</v>
      </c>
      <c r="B317" s="10" t="s">
        <v>380</v>
      </c>
      <c r="C317" s="11">
        <v>-5930</v>
      </c>
      <c r="D317" s="11">
        <v>20</v>
      </c>
      <c r="E317" s="11">
        <v>3285</v>
      </c>
      <c r="F317" s="13">
        <v>0</v>
      </c>
      <c r="G317" s="13">
        <v>0</v>
      </c>
      <c r="H317" s="14">
        <v>-3265</v>
      </c>
      <c r="I317" s="14">
        <v>-9195</v>
      </c>
      <c r="J317" s="8" t="s">
        <v>206</v>
      </c>
      <c r="K317" s="8" t="s">
        <v>505</v>
      </c>
    </row>
    <row r="318" spans="1:11" x14ac:dyDescent="0.2">
      <c r="A318" s="10">
        <v>70600000</v>
      </c>
      <c r="B318" s="10" t="s">
        <v>381</v>
      </c>
      <c r="C318" s="11">
        <v>-140625.38</v>
      </c>
      <c r="D318" s="11">
        <v>0</v>
      </c>
      <c r="E318" s="11">
        <v>0</v>
      </c>
      <c r="F318" s="13">
        <v>0</v>
      </c>
      <c r="G318" s="13">
        <v>0</v>
      </c>
      <c r="H318" s="14">
        <v>0</v>
      </c>
      <c r="I318" s="14">
        <v>-140625.38</v>
      </c>
      <c r="J318" s="8" t="s">
        <v>206</v>
      </c>
      <c r="K318" s="8" t="s">
        <v>505</v>
      </c>
    </row>
    <row r="319" spans="1:11" x14ac:dyDescent="0.2">
      <c r="A319" s="10">
        <v>70600500</v>
      </c>
      <c r="B319" s="10" t="s">
        <v>208</v>
      </c>
      <c r="C319" s="11">
        <v>-9657.9000000000015</v>
      </c>
      <c r="D319" s="11">
        <v>0</v>
      </c>
      <c r="E319" s="11">
        <v>0</v>
      </c>
      <c r="F319" s="13">
        <v>0</v>
      </c>
      <c r="G319" s="13">
        <v>3219.3</v>
      </c>
      <c r="H319" s="14">
        <v>-3219.3</v>
      </c>
      <c r="I319" s="14">
        <v>-12877.2</v>
      </c>
      <c r="J319" s="8" t="s">
        <v>214</v>
      </c>
      <c r="K319" s="8" t="s">
        <v>506</v>
      </c>
    </row>
    <row r="320" spans="1:11" x14ac:dyDescent="0.2">
      <c r="A320" s="10">
        <v>71340000</v>
      </c>
      <c r="B320" s="10" t="s">
        <v>382</v>
      </c>
      <c r="C320" s="11">
        <v>4992501.915</v>
      </c>
      <c r="D320" s="11">
        <v>0</v>
      </c>
      <c r="E320" s="11">
        <v>0</v>
      </c>
      <c r="F320" s="13">
        <v>0</v>
      </c>
      <c r="G320" s="13">
        <v>0</v>
      </c>
      <c r="H320" s="14">
        <v>0</v>
      </c>
      <c r="I320" s="14">
        <v>4992501.915</v>
      </c>
      <c r="J320" s="8" t="s">
        <v>210</v>
      </c>
      <c r="K320" s="8" t="s">
        <v>508</v>
      </c>
    </row>
    <row r="321" spans="1:14" x14ac:dyDescent="0.2">
      <c r="A321" s="10">
        <v>71350000</v>
      </c>
      <c r="B321" s="10" t="s">
        <v>209</v>
      </c>
      <c r="C321" s="11">
        <v>-4840619.023</v>
      </c>
      <c r="D321" s="11">
        <v>0</v>
      </c>
      <c r="E321" s="11">
        <v>0</v>
      </c>
      <c r="F321" s="13">
        <v>4840619.023</v>
      </c>
      <c r="G321" s="13">
        <v>6584617.7790000001</v>
      </c>
      <c r="H321" s="14">
        <v>-1743998.7560000001</v>
      </c>
      <c r="I321" s="14">
        <v>-6584617.7790000001</v>
      </c>
      <c r="J321" s="8" t="s">
        <v>210</v>
      </c>
      <c r="K321" s="8" t="s">
        <v>508</v>
      </c>
    </row>
    <row r="322" spans="1:14" x14ac:dyDescent="0.2">
      <c r="A322" s="10">
        <v>73601000</v>
      </c>
      <c r="B322" s="10" t="s">
        <v>211</v>
      </c>
      <c r="C322" s="11">
        <v>-42</v>
      </c>
      <c r="D322" s="11">
        <v>0</v>
      </c>
      <c r="E322" s="11">
        <v>0</v>
      </c>
      <c r="F322" s="13">
        <v>0</v>
      </c>
      <c r="G322" s="13">
        <v>0</v>
      </c>
      <c r="H322" s="14">
        <v>0</v>
      </c>
      <c r="I322" s="14">
        <v>-42</v>
      </c>
      <c r="J322" s="8" t="s">
        <v>214</v>
      </c>
      <c r="K322" s="8" t="s">
        <v>506</v>
      </c>
    </row>
    <row r="323" spans="1:14" x14ac:dyDescent="0.2">
      <c r="A323" s="10">
        <v>73900000</v>
      </c>
      <c r="B323" s="10" t="s">
        <v>213</v>
      </c>
      <c r="C323" s="11">
        <v>-65690.798999999999</v>
      </c>
      <c r="D323" s="11">
        <v>0</v>
      </c>
      <c r="E323" s="11">
        <v>0</v>
      </c>
      <c r="F323" s="13">
        <v>0</v>
      </c>
      <c r="G323" s="13">
        <v>21896.933000000001</v>
      </c>
      <c r="H323" s="14">
        <v>-21896.933000000001</v>
      </c>
      <c r="I323" s="14">
        <v>-87587.732000000004</v>
      </c>
      <c r="J323" s="8" t="s">
        <v>214</v>
      </c>
      <c r="K323" s="8" t="s">
        <v>506</v>
      </c>
    </row>
    <row r="324" spans="1:14" x14ac:dyDescent="0.2">
      <c r="A324" s="10">
        <v>77000000</v>
      </c>
      <c r="B324" s="10" t="s">
        <v>216</v>
      </c>
      <c r="C324" s="11">
        <v>-4</v>
      </c>
      <c r="D324" s="11">
        <v>0</v>
      </c>
      <c r="E324" s="11">
        <v>1.7100000000000002</v>
      </c>
      <c r="F324" s="13">
        <v>0</v>
      </c>
      <c r="G324" s="13">
        <v>0</v>
      </c>
      <c r="H324" s="14">
        <v>-1.7100000000000002</v>
      </c>
      <c r="I324" s="14">
        <v>-5.71</v>
      </c>
      <c r="J324" s="8" t="s">
        <v>195</v>
      </c>
      <c r="K324" s="8" t="s">
        <v>517</v>
      </c>
    </row>
    <row r="325" spans="1:14" x14ac:dyDescent="0.2">
      <c r="A325" s="10">
        <v>79999999</v>
      </c>
      <c r="B325" s="10" t="s">
        <v>383</v>
      </c>
      <c r="C325" s="11">
        <v>-2.6040943339467049E-4</v>
      </c>
      <c r="D325" s="11">
        <v>0</v>
      </c>
      <c r="E325" s="11">
        <v>0</v>
      </c>
      <c r="F325" s="13">
        <v>0</v>
      </c>
      <c r="G325" s="13">
        <v>0</v>
      </c>
      <c r="H325" s="14">
        <v>0</v>
      </c>
      <c r="I325" s="14">
        <v>-2.6040943339467049E-4</v>
      </c>
      <c r="J325" s="8"/>
    </row>
    <row r="326" spans="1:14" ht="15" x14ac:dyDescent="0.25">
      <c r="A326"/>
      <c r="C326" s="344">
        <v>-8.4057333879172802E-5</v>
      </c>
      <c r="D326" s="344">
        <v>29138811.037010502</v>
      </c>
      <c r="E326" s="344">
        <v>29138811.031010509</v>
      </c>
      <c r="F326" s="344">
        <v>33718377.884000003</v>
      </c>
      <c r="G326" s="344">
        <v>33718377.884000003</v>
      </c>
      <c r="H326" s="344">
        <v>5.9999981122380586E-3</v>
      </c>
      <c r="I326" s="344">
        <v>5.9159484581323696E-3</v>
      </c>
      <c r="M326" s="9"/>
      <c r="N326" s="315"/>
    </row>
  </sheetData>
  <autoFilter ref="A1:J326" xr:uid="{00000000-0009-0000-0000-000008000000}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96"/>
  <sheetViews>
    <sheetView workbookViewId="0">
      <selection activeCell="B48" sqref="B48"/>
    </sheetView>
  </sheetViews>
  <sheetFormatPr baseColWidth="10" defaultRowHeight="11.25" x14ac:dyDescent="0.2"/>
  <cols>
    <col min="1" max="1" width="10.42578125" style="15" bestFit="1" customWidth="1"/>
    <col min="2" max="2" width="33.28515625" style="15" bestFit="1" customWidth="1"/>
    <col min="3" max="3" width="12" style="15" bestFit="1" customWidth="1"/>
    <col min="4" max="4" width="13.42578125" style="15" bestFit="1" customWidth="1"/>
    <col min="5" max="5" width="13.7109375" style="15" bestFit="1" customWidth="1"/>
    <col min="6" max="7" width="13.28515625" style="15" bestFit="1" customWidth="1"/>
    <col min="8" max="16384" width="11.42578125" style="15"/>
  </cols>
  <sheetData>
    <row r="1" spans="1:7" x14ac:dyDescent="0.2">
      <c r="A1" s="2" t="s">
        <v>4</v>
      </c>
      <c r="B1" s="2" t="s">
        <v>0</v>
      </c>
      <c r="C1" s="3" t="s">
        <v>5</v>
      </c>
      <c r="D1" s="3" t="s">
        <v>2</v>
      </c>
      <c r="E1" s="3" t="s">
        <v>3</v>
      </c>
      <c r="F1" s="3" t="s">
        <v>6</v>
      </c>
      <c r="G1" s="3" t="s">
        <v>262</v>
      </c>
    </row>
    <row r="2" spans="1:7" x14ac:dyDescent="0.2">
      <c r="A2" s="455">
        <v>13000000</v>
      </c>
      <c r="B2" s="456" t="s">
        <v>273</v>
      </c>
      <c r="C2" s="456">
        <v>-1E-4</v>
      </c>
      <c r="D2" s="456">
        <v>0</v>
      </c>
      <c r="E2" s="456">
        <v>0</v>
      </c>
      <c r="F2" s="456">
        <v>0</v>
      </c>
      <c r="G2" s="456">
        <v>-1E-4</v>
      </c>
    </row>
    <row r="3" spans="1:7" x14ac:dyDescent="0.2">
      <c r="A3" s="457">
        <v>14508000</v>
      </c>
      <c r="B3" s="456" t="s">
        <v>17</v>
      </c>
      <c r="C3" s="456">
        <v>0</v>
      </c>
      <c r="D3" s="456">
        <v>304236.28499999997</v>
      </c>
      <c r="E3" s="456">
        <v>202824.19</v>
      </c>
      <c r="F3" s="456">
        <v>101412.095</v>
      </c>
      <c r="G3" s="456">
        <v>101412.095</v>
      </c>
    </row>
    <row r="4" spans="1:7" x14ac:dyDescent="0.2">
      <c r="A4" s="457">
        <v>22825000</v>
      </c>
      <c r="B4" s="458"/>
      <c r="C4" s="456">
        <v>2.0000000000000001E-4</v>
      </c>
      <c r="D4" s="456">
        <v>0</v>
      </c>
      <c r="E4" s="456">
        <v>0</v>
      </c>
      <c r="F4" s="456">
        <v>0</v>
      </c>
      <c r="G4" s="456">
        <v>2.0000000000000001E-4</v>
      </c>
    </row>
    <row r="5" spans="1:7" x14ac:dyDescent="0.2">
      <c r="A5" s="457">
        <v>28130000</v>
      </c>
      <c r="B5" s="456" t="s">
        <v>24</v>
      </c>
      <c r="C5" s="456">
        <v>1E-4</v>
      </c>
      <c r="D5" s="456">
        <v>8427.6090000000004</v>
      </c>
      <c r="E5" s="456">
        <v>12683.691999999999</v>
      </c>
      <c r="F5" s="456">
        <v>-4256.0829999999996</v>
      </c>
      <c r="G5" s="456">
        <v>-4256.0829000000003</v>
      </c>
    </row>
    <row r="6" spans="1:7" x14ac:dyDescent="0.2">
      <c r="A6" s="457">
        <v>28216000</v>
      </c>
      <c r="B6" s="456" t="s">
        <v>48</v>
      </c>
      <c r="C6" s="456">
        <v>4.0000000000000002E-4</v>
      </c>
      <c r="D6" s="456">
        <v>2311.1709999999998</v>
      </c>
      <c r="E6" s="456">
        <v>3478.3510000000001</v>
      </c>
      <c r="F6" s="456">
        <v>-1167.18</v>
      </c>
      <c r="G6" s="456">
        <v>-1167.1795999999999</v>
      </c>
    </row>
    <row r="7" spans="1:7" x14ac:dyDescent="0.2">
      <c r="A7" s="457">
        <v>28220000</v>
      </c>
      <c r="B7" s="456" t="s">
        <v>49</v>
      </c>
      <c r="C7" s="456">
        <v>-2.0000000000000001E-4</v>
      </c>
      <c r="D7" s="456">
        <v>376876.93400000001</v>
      </c>
      <c r="E7" s="456">
        <v>567206.08799999999</v>
      </c>
      <c r="F7" s="456">
        <v>-190329.15400000001</v>
      </c>
      <c r="G7" s="456">
        <v>-190329.15419999999</v>
      </c>
    </row>
    <row r="8" spans="1:7" x14ac:dyDescent="0.2">
      <c r="A8" s="457">
        <v>28225000</v>
      </c>
      <c r="B8" s="456" t="s">
        <v>50</v>
      </c>
      <c r="C8" s="456">
        <v>4.0000000000000002E-4</v>
      </c>
      <c r="D8" s="456">
        <v>73816.324999999997</v>
      </c>
      <c r="E8" s="456">
        <v>106342.166</v>
      </c>
      <c r="F8" s="456">
        <v>-32525.841</v>
      </c>
      <c r="G8" s="456">
        <v>-32525.8406</v>
      </c>
    </row>
    <row r="9" spans="1:7" x14ac:dyDescent="0.2">
      <c r="A9" s="457">
        <v>28230000</v>
      </c>
      <c r="B9" s="456" t="s">
        <v>263</v>
      </c>
      <c r="C9" s="456">
        <v>0</v>
      </c>
      <c r="D9" s="456">
        <v>20608.751</v>
      </c>
      <c r="E9" s="456">
        <v>31489.710999999999</v>
      </c>
      <c r="F9" s="456">
        <v>-10880.96</v>
      </c>
      <c r="G9" s="456">
        <v>-10880.96</v>
      </c>
    </row>
    <row r="10" spans="1:7" x14ac:dyDescent="0.2">
      <c r="A10" s="457">
        <v>28231000</v>
      </c>
      <c r="B10" s="456" t="s">
        <v>402</v>
      </c>
      <c r="C10" s="456">
        <v>0</v>
      </c>
      <c r="D10" s="456">
        <v>655.44200000000001</v>
      </c>
      <c r="E10" s="456">
        <v>972.13900000000001</v>
      </c>
      <c r="F10" s="456">
        <v>-316.697</v>
      </c>
      <c r="G10" s="456">
        <v>-316.697</v>
      </c>
    </row>
    <row r="11" spans="1:7" x14ac:dyDescent="0.2">
      <c r="A11" s="457">
        <v>28234000</v>
      </c>
      <c r="B11" s="456" t="s">
        <v>51</v>
      </c>
      <c r="C11" s="456">
        <v>-4.0000000000000002E-4</v>
      </c>
      <c r="D11" s="456">
        <v>1338126.7520000001</v>
      </c>
      <c r="E11" s="456">
        <v>2020542.3559999999</v>
      </c>
      <c r="F11" s="456">
        <v>-682415.60400000005</v>
      </c>
      <c r="G11" s="456">
        <v>-682415.60439999995</v>
      </c>
    </row>
    <row r="12" spans="1:7" x14ac:dyDescent="0.2">
      <c r="A12" s="457">
        <v>28235000</v>
      </c>
      <c r="B12" s="456" t="s">
        <v>52</v>
      </c>
      <c r="C12" s="456">
        <v>0</v>
      </c>
      <c r="D12" s="456">
        <v>47110.33</v>
      </c>
      <c r="E12" s="456">
        <v>71258.508000000002</v>
      </c>
      <c r="F12" s="456">
        <v>-24148.178</v>
      </c>
      <c r="G12" s="456">
        <v>-24148.178</v>
      </c>
    </row>
    <row r="13" spans="1:7" x14ac:dyDescent="0.2">
      <c r="A13" s="457">
        <v>28237000</v>
      </c>
      <c r="B13" s="456" t="s">
        <v>53</v>
      </c>
      <c r="C13" s="456">
        <v>-2.0000000000000001E-4</v>
      </c>
      <c r="D13" s="456">
        <v>19970.323</v>
      </c>
      <c r="E13" s="456">
        <v>43923.514999999999</v>
      </c>
      <c r="F13" s="456">
        <v>-23953.191999999999</v>
      </c>
      <c r="G13" s="456">
        <v>-23953.192200000001</v>
      </c>
    </row>
    <row r="14" spans="1:7" x14ac:dyDescent="0.2">
      <c r="A14" s="457">
        <v>28240000</v>
      </c>
      <c r="B14" s="456" t="s">
        <v>54</v>
      </c>
      <c r="C14" s="456">
        <v>-2.9999999999999997E-4</v>
      </c>
      <c r="D14" s="456">
        <v>132266.47</v>
      </c>
      <c r="E14" s="456">
        <v>218974.853</v>
      </c>
      <c r="F14" s="456">
        <v>-86708.383000000002</v>
      </c>
      <c r="G14" s="456">
        <v>-86708.383300000001</v>
      </c>
    </row>
    <row r="15" spans="1:7" x14ac:dyDescent="0.2">
      <c r="A15" s="457">
        <v>28282000</v>
      </c>
      <c r="B15" s="456" t="s">
        <v>55</v>
      </c>
      <c r="C15" s="456">
        <v>2.0000000000000001E-4</v>
      </c>
      <c r="D15" s="456">
        <v>44330.873</v>
      </c>
      <c r="E15" s="456">
        <v>66760.608999999997</v>
      </c>
      <c r="F15" s="456">
        <v>-22429.736000000001</v>
      </c>
      <c r="G15" s="456">
        <v>-22429.735799999999</v>
      </c>
    </row>
    <row r="16" spans="1:7" x14ac:dyDescent="0.2">
      <c r="A16" s="457">
        <v>28283000</v>
      </c>
      <c r="B16" s="456" t="s">
        <v>7389</v>
      </c>
      <c r="C16" s="456">
        <v>1E-4</v>
      </c>
      <c r="D16" s="456">
        <v>37613.790999999997</v>
      </c>
      <c r="E16" s="456">
        <v>56807.434000000001</v>
      </c>
      <c r="F16" s="456">
        <v>-19193.643</v>
      </c>
      <c r="G16" s="456">
        <v>-19193.642899999999</v>
      </c>
    </row>
    <row r="17" spans="1:7" x14ac:dyDescent="0.2">
      <c r="A17" s="457">
        <v>28400000</v>
      </c>
      <c r="B17" s="456" t="s">
        <v>56</v>
      </c>
      <c r="C17" s="456">
        <v>0</v>
      </c>
      <c r="D17" s="456">
        <v>99628.767000000007</v>
      </c>
      <c r="E17" s="456">
        <v>163396.20300000001</v>
      </c>
      <c r="F17" s="456">
        <v>-63767.436000000002</v>
      </c>
      <c r="G17" s="456">
        <v>-63767.436000000002</v>
      </c>
    </row>
    <row r="18" spans="1:7" x14ac:dyDescent="0.2">
      <c r="A18" s="457">
        <v>31100000</v>
      </c>
      <c r="B18" s="456" t="s">
        <v>59</v>
      </c>
      <c r="C18" s="456">
        <v>0</v>
      </c>
      <c r="D18" s="456">
        <v>77012658.370100006</v>
      </c>
      <c r="E18" s="456">
        <v>67358764.827099994</v>
      </c>
      <c r="F18" s="456">
        <v>9653893.5429999996</v>
      </c>
      <c r="G18" s="456">
        <v>9653893.5429999996</v>
      </c>
    </row>
    <row r="19" spans="1:7" x14ac:dyDescent="0.2">
      <c r="A19" s="457">
        <v>31200000</v>
      </c>
      <c r="B19" s="456" t="s">
        <v>390</v>
      </c>
      <c r="C19" s="456">
        <v>0</v>
      </c>
      <c r="D19" s="456">
        <v>3111337.3169999998</v>
      </c>
      <c r="E19" s="456">
        <v>3111337.3169999998</v>
      </c>
      <c r="F19" s="456">
        <v>0</v>
      </c>
      <c r="G19" s="456">
        <v>0</v>
      </c>
    </row>
    <row r="20" spans="1:7" x14ac:dyDescent="0.2">
      <c r="A20" s="457">
        <v>32200000</v>
      </c>
      <c r="B20" s="456" t="s">
        <v>61</v>
      </c>
      <c r="C20" s="456">
        <v>0</v>
      </c>
      <c r="D20" s="456">
        <v>5208259.3365000002</v>
      </c>
      <c r="E20" s="456">
        <v>4515833.4694999997</v>
      </c>
      <c r="F20" s="456">
        <v>692425.86699999997</v>
      </c>
      <c r="G20" s="456">
        <v>692425.86699999997</v>
      </c>
    </row>
    <row r="21" spans="1:7" x14ac:dyDescent="0.2">
      <c r="A21" s="457">
        <v>33100000</v>
      </c>
      <c r="B21" s="456" t="s">
        <v>62</v>
      </c>
      <c r="C21" s="456">
        <v>0</v>
      </c>
      <c r="D21" s="456">
        <v>29111152.112799998</v>
      </c>
      <c r="E21" s="456">
        <v>24805877.481800001</v>
      </c>
      <c r="F21" s="456">
        <v>4305274.6310000001</v>
      </c>
      <c r="G21" s="456">
        <v>4305274.6310000001</v>
      </c>
    </row>
    <row r="22" spans="1:7" x14ac:dyDescent="0.2">
      <c r="A22" s="457">
        <v>35500000</v>
      </c>
      <c r="B22" s="456" t="s">
        <v>63</v>
      </c>
      <c r="C22" s="456">
        <v>0</v>
      </c>
      <c r="D22" s="456">
        <v>13834876.142999999</v>
      </c>
      <c r="E22" s="456">
        <v>11533059.295</v>
      </c>
      <c r="F22" s="456">
        <v>2301816.8480000002</v>
      </c>
      <c r="G22" s="456">
        <v>2301816.8480000002</v>
      </c>
    </row>
    <row r="23" spans="1:7" x14ac:dyDescent="0.2">
      <c r="A23" s="457">
        <v>39000000</v>
      </c>
      <c r="B23" s="456" t="s">
        <v>64</v>
      </c>
      <c r="C23" s="456">
        <v>0</v>
      </c>
      <c r="D23" s="456">
        <v>0</v>
      </c>
      <c r="E23" s="456">
        <v>150000</v>
      </c>
      <c r="F23" s="456">
        <v>-150000</v>
      </c>
      <c r="G23" s="456">
        <v>-150000</v>
      </c>
    </row>
    <row r="24" spans="1:7" x14ac:dyDescent="0.2">
      <c r="A24" s="457">
        <v>40100000</v>
      </c>
      <c r="B24" s="459" t="s">
        <v>66</v>
      </c>
      <c r="C24" s="456">
        <v>0</v>
      </c>
      <c r="D24" s="456">
        <v>0</v>
      </c>
      <c r="E24" s="456">
        <v>0</v>
      </c>
      <c r="F24" s="456">
        <v>0</v>
      </c>
      <c r="G24" s="456">
        <v>0</v>
      </c>
    </row>
    <row r="25" spans="1:7" x14ac:dyDescent="0.2">
      <c r="A25" s="457">
        <v>40120000</v>
      </c>
      <c r="B25" s="459" t="s">
        <v>386</v>
      </c>
      <c r="C25" s="456">
        <v>2.9999999999999997E-4</v>
      </c>
      <c r="D25" s="456">
        <v>0</v>
      </c>
      <c r="E25" s="456">
        <v>0</v>
      </c>
      <c r="F25" s="456">
        <v>0</v>
      </c>
      <c r="G25" s="456">
        <v>2.9999999999999997E-4</v>
      </c>
    </row>
    <row r="26" spans="1:7" x14ac:dyDescent="0.2">
      <c r="A26" s="457">
        <v>40600000</v>
      </c>
      <c r="B26" s="459" t="s">
        <v>70</v>
      </c>
      <c r="C26" s="456">
        <v>0</v>
      </c>
      <c r="D26" s="456">
        <v>1210085.723</v>
      </c>
      <c r="E26" s="456">
        <v>1070340.0279999999</v>
      </c>
      <c r="F26" s="456">
        <v>139745.69500000001</v>
      </c>
      <c r="G26" s="456">
        <v>139745.69500000001</v>
      </c>
    </row>
    <row r="27" spans="1:7" x14ac:dyDescent="0.2">
      <c r="A27" s="457">
        <v>40800000</v>
      </c>
      <c r="B27" s="459" t="s">
        <v>71</v>
      </c>
      <c r="C27" s="456">
        <v>1E-4</v>
      </c>
      <c r="D27" s="456">
        <v>0</v>
      </c>
      <c r="E27" s="456">
        <v>0</v>
      </c>
      <c r="F27" s="456">
        <v>0</v>
      </c>
      <c r="G27" s="456">
        <v>1E-4</v>
      </c>
    </row>
    <row r="28" spans="1:7" x14ac:dyDescent="0.2">
      <c r="A28" s="457">
        <v>40810000</v>
      </c>
      <c r="B28" s="459" t="s">
        <v>391</v>
      </c>
      <c r="C28" s="456">
        <v>0</v>
      </c>
      <c r="D28" s="456">
        <v>0</v>
      </c>
      <c r="E28" s="456">
        <v>1931.701</v>
      </c>
      <c r="F28" s="456">
        <v>-1931.701</v>
      </c>
      <c r="G28" s="456">
        <v>-1931.701</v>
      </c>
    </row>
    <row r="29" spans="1:7" x14ac:dyDescent="0.2">
      <c r="A29" s="457">
        <v>41100000</v>
      </c>
      <c r="B29" s="459" t="s">
        <v>73</v>
      </c>
      <c r="C29" s="456">
        <v>-4.0000000000000002E-4</v>
      </c>
      <c r="D29" s="456">
        <v>0</v>
      </c>
      <c r="E29" s="456">
        <v>0</v>
      </c>
      <c r="F29" s="456">
        <v>0</v>
      </c>
      <c r="G29" s="456">
        <v>-4.0000000000000002E-4</v>
      </c>
    </row>
    <row r="30" spans="1:7" x14ac:dyDescent="0.2">
      <c r="A30" s="457">
        <v>41500000</v>
      </c>
      <c r="B30" s="459" t="s">
        <v>75</v>
      </c>
      <c r="C30" s="456">
        <v>-4.0000000000000002E-4</v>
      </c>
      <c r="D30" s="456">
        <v>3757277.7850000001</v>
      </c>
      <c r="E30" s="456">
        <v>3757277.7850000001</v>
      </c>
      <c r="F30" s="456">
        <v>0</v>
      </c>
      <c r="G30" s="456">
        <v>-4.0000000000000002E-4</v>
      </c>
    </row>
    <row r="31" spans="1:7" x14ac:dyDescent="0.2">
      <c r="A31" s="457">
        <v>41800000</v>
      </c>
      <c r="B31" s="459" t="s">
        <v>307</v>
      </c>
      <c r="C31" s="456">
        <v>4.0000000000000002E-4</v>
      </c>
      <c r="D31" s="456">
        <v>0</v>
      </c>
      <c r="E31" s="456">
        <v>0</v>
      </c>
      <c r="F31" s="456">
        <v>0</v>
      </c>
      <c r="G31" s="456">
        <v>4.0000000000000002E-4</v>
      </c>
    </row>
    <row r="32" spans="1:7" x14ac:dyDescent="0.2">
      <c r="A32" s="457">
        <v>42820000</v>
      </c>
      <c r="B32" s="456" t="s">
        <v>83</v>
      </c>
      <c r="C32" s="456">
        <v>0</v>
      </c>
      <c r="D32" s="456">
        <v>1792874.0160000001</v>
      </c>
      <c r="E32" s="456">
        <v>2072982.4890000001</v>
      </c>
      <c r="F32" s="456">
        <v>-280108.473</v>
      </c>
      <c r="G32" s="456">
        <v>-280108.473</v>
      </c>
    </row>
    <row r="33" spans="1:7" x14ac:dyDescent="0.2">
      <c r="A33" s="457">
        <v>45310000</v>
      </c>
      <c r="B33" s="456" t="s">
        <v>104</v>
      </c>
      <c r="C33" s="456">
        <v>0</v>
      </c>
      <c r="D33" s="456">
        <v>302670.05</v>
      </c>
      <c r="E33" s="456">
        <v>389766.71500000003</v>
      </c>
      <c r="F33" s="456">
        <v>-87096.664999999994</v>
      </c>
      <c r="G33" s="456">
        <v>-87096.664999999994</v>
      </c>
    </row>
    <row r="34" spans="1:7" x14ac:dyDescent="0.2">
      <c r="A34" s="457">
        <v>45860000</v>
      </c>
      <c r="B34" s="456" t="s">
        <v>106</v>
      </c>
      <c r="C34" s="456">
        <v>-2.9999999999999997E-4</v>
      </c>
      <c r="D34" s="456">
        <v>3224365.6889999998</v>
      </c>
      <c r="E34" s="456">
        <v>4254037.2280000001</v>
      </c>
      <c r="F34" s="456">
        <v>-1029671.539</v>
      </c>
      <c r="G34" s="456">
        <v>-1029671.5392999999</v>
      </c>
    </row>
    <row r="35" spans="1:7" x14ac:dyDescent="0.2">
      <c r="A35" s="457">
        <v>45870000</v>
      </c>
      <c r="B35" s="456" t="s">
        <v>107</v>
      </c>
      <c r="C35" s="456">
        <v>0</v>
      </c>
      <c r="D35" s="456">
        <v>48636.794999999998</v>
      </c>
      <c r="E35" s="456">
        <v>32424.53</v>
      </c>
      <c r="F35" s="456">
        <v>16212.264999999999</v>
      </c>
      <c r="G35" s="456">
        <v>16212.264999999999</v>
      </c>
    </row>
    <row r="36" spans="1:7" x14ac:dyDescent="0.2">
      <c r="A36" s="457">
        <v>47100000</v>
      </c>
      <c r="B36" s="456" t="s">
        <v>109</v>
      </c>
      <c r="C36" s="456">
        <v>1E-4</v>
      </c>
      <c r="D36" s="456">
        <v>808337.14399999997</v>
      </c>
      <c r="E36" s="456">
        <v>760687.26800000004</v>
      </c>
      <c r="F36" s="456">
        <v>47649.875999999997</v>
      </c>
      <c r="G36" s="456">
        <v>47649.876100000001</v>
      </c>
    </row>
    <row r="37" spans="1:7" x14ac:dyDescent="0.2">
      <c r="A37" s="457">
        <v>49100000</v>
      </c>
      <c r="B37" s="456" t="s">
        <v>110</v>
      </c>
      <c r="C37" s="456">
        <v>0</v>
      </c>
      <c r="D37" s="456">
        <v>400000</v>
      </c>
      <c r="E37" s="456">
        <v>600000</v>
      </c>
      <c r="F37" s="456">
        <v>-200000</v>
      </c>
      <c r="G37" s="456">
        <v>-200000</v>
      </c>
    </row>
    <row r="38" spans="1:7" x14ac:dyDescent="0.2">
      <c r="A38" s="457">
        <v>53205700</v>
      </c>
      <c r="B38" s="456" t="s">
        <v>129</v>
      </c>
      <c r="C38" s="456">
        <v>0</v>
      </c>
      <c r="D38" s="456">
        <v>224804.133</v>
      </c>
      <c r="E38" s="456">
        <v>371764.54340000002</v>
      </c>
      <c r="F38" s="456">
        <v>-146960.41039999999</v>
      </c>
      <c r="G38" s="456">
        <v>-146960.41039999999</v>
      </c>
    </row>
    <row r="39" spans="1:7" x14ac:dyDescent="0.2">
      <c r="A39" s="457">
        <v>53205800</v>
      </c>
      <c r="B39" s="456" t="s">
        <v>130</v>
      </c>
      <c r="C39" s="456">
        <v>0</v>
      </c>
      <c r="D39" s="456">
        <v>312.416</v>
      </c>
      <c r="E39" s="456">
        <v>259.01400000000001</v>
      </c>
      <c r="F39" s="456">
        <v>53.402000000000001</v>
      </c>
      <c r="G39" s="456">
        <v>53.402000000000001</v>
      </c>
    </row>
    <row r="40" spans="1:7" x14ac:dyDescent="0.2">
      <c r="A40" s="457">
        <v>60110110</v>
      </c>
      <c r="B40" s="456" t="s">
        <v>403</v>
      </c>
      <c r="C40" s="456">
        <v>0</v>
      </c>
      <c r="D40" s="456">
        <v>1463593.0149999999</v>
      </c>
      <c r="E40" s="456">
        <v>1463593.0149999999</v>
      </c>
      <c r="F40" s="456">
        <v>0</v>
      </c>
      <c r="G40" s="456">
        <v>0</v>
      </c>
    </row>
    <row r="41" spans="1:7" x14ac:dyDescent="0.2">
      <c r="A41" s="457">
        <v>60110500</v>
      </c>
      <c r="B41" s="456" t="s">
        <v>144</v>
      </c>
      <c r="C41" s="456">
        <v>0</v>
      </c>
      <c r="D41" s="456">
        <v>3677.7440000000001</v>
      </c>
      <c r="E41" s="456">
        <v>3677.7440000000001</v>
      </c>
      <c r="F41" s="456">
        <v>0</v>
      </c>
      <c r="G41" s="456">
        <v>0</v>
      </c>
    </row>
    <row r="42" spans="1:7" x14ac:dyDescent="0.2">
      <c r="A42" s="457">
        <v>60110900</v>
      </c>
      <c r="B42" s="456" t="s">
        <v>147</v>
      </c>
      <c r="C42" s="456">
        <v>0</v>
      </c>
      <c r="D42" s="456">
        <v>127808.44899999999</v>
      </c>
      <c r="E42" s="456">
        <v>99509.387000000002</v>
      </c>
      <c r="F42" s="456">
        <v>28299.062000000002</v>
      </c>
      <c r="G42" s="456">
        <v>28299.062000000002</v>
      </c>
    </row>
    <row r="43" spans="1:7" x14ac:dyDescent="0.2">
      <c r="A43" s="457">
        <v>60120300</v>
      </c>
      <c r="B43" s="456" t="s">
        <v>409</v>
      </c>
      <c r="C43" s="456">
        <v>0</v>
      </c>
      <c r="D43" s="456">
        <v>378688.11</v>
      </c>
      <c r="E43" s="456">
        <v>370968.11</v>
      </c>
      <c r="F43" s="456">
        <v>7720</v>
      </c>
      <c r="G43" s="456">
        <v>7720</v>
      </c>
    </row>
    <row r="44" spans="1:7" x14ac:dyDescent="0.2">
      <c r="A44" s="457">
        <v>60121500</v>
      </c>
      <c r="B44" s="456" t="s">
        <v>404</v>
      </c>
      <c r="C44" s="456">
        <v>0</v>
      </c>
      <c r="D44" s="456">
        <v>99000</v>
      </c>
      <c r="E44" s="456">
        <v>43200</v>
      </c>
      <c r="F44" s="456">
        <v>55800</v>
      </c>
      <c r="G44" s="456">
        <v>55800</v>
      </c>
    </row>
    <row r="45" spans="1:7" x14ac:dyDescent="0.2">
      <c r="A45" s="457">
        <v>60122100</v>
      </c>
      <c r="B45" s="456" t="s">
        <v>155</v>
      </c>
      <c r="C45" s="456">
        <v>0</v>
      </c>
      <c r="D45" s="456">
        <v>26730</v>
      </c>
      <c r="E45" s="456">
        <v>0</v>
      </c>
      <c r="F45" s="456">
        <v>26730</v>
      </c>
      <c r="G45" s="456">
        <v>26730</v>
      </c>
    </row>
    <row r="46" spans="1:7" x14ac:dyDescent="0.2">
      <c r="A46" s="457">
        <v>60122200</v>
      </c>
      <c r="B46" s="456" t="s">
        <v>156</v>
      </c>
      <c r="C46" s="456">
        <v>0</v>
      </c>
      <c r="D46" s="456">
        <v>12789</v>
      </c>
      <c r="E46" s="456">
        <v>12789</v>
      </c>
      <c r="F46" s="456">
        <v>0</v>
      </c>
      <c r="G46" s="456">
        <v>0</v>
      </c>
    </row>
    <row r="47" spans="1:7" x14ac:dyDescent="0.2">
      <c r="A47" s="457">
        <v>60122411</v>
      </c>
      <c r="B47" s="456" t="s">
        <v>367</v>
      </c>
      <c r="C47" s="456">
        <v>0</v>
      </c>
      <c r="D47" s="456">
        <v>1154.8</v>
      </c>
      <c r="E47" s="456">
        <v>474.8</v>
      </c>
      <c r="F47" s="456">
        <v>680</v>
      </c>
      <c r="G47" s="456">
        <v>680</v>
      </c>
    </row>
    <row r="48" spans="1:7" x14ac:dyDescent="0.2">
      <c r="A48" s="457">
        <v>60122510</v>
      </c>
      <c r="B48" s="456" t="s">
        <v>368</v>
      </c>
      <c r="C48" s="456">
        <v>0</v>
      </c>
      <c r="D48" s="456">
        <v>1931.701</v>
      </c>
      <c r="E48" s="456">
        <v>0</v>
      </c>
      <c r="F48" s="456">
        <v>1931.701</v>
      </c>
      <c r="G48" s="456">
        <v>1931.701</v>
      </c>
    </row>
    <row r="49" spans="1:7" x14ac:dyDescent="0.2">
      <c r="A49" s="457">
        <v>60122700</v>
      </c>
      <c r="B49" s="456" t="s">
        <v>7567</v>
      </c>
      <c r="C49" s="456">
        <v>0</v>
      </c>
      <c r="D49" s="456">
        <v>12212.5</v>
      </c>
      <c r="E49" s="456">
        <v>12212.5</v>
      </c>
      <c r="F49" s="456">
        <v>0</v>
      </c>
      <c r="G49" s="456">
        <v>0</v>
      </c>
    </row>
    <row r="50" spans="1:7" x14ac:dyDescent="0.2">
      <c r="A50" s="457">
        <v>60171000</v>
      </c>
      <c r="B50" s="456" t="s">
        <v>369</v>
      </c>
      <c r="C50" s="456">
        <v>0</v>
      </c>
      <c r="D50" s="456">
        <v>239932.95</v>
      </c>
      <c r="E50" s="456">
        <v>195028.44</v>
      </c>
      <c r="F50" s="456">
        <v>44904.51</v>
      </c>
      <c r="G50" s="456">
        <v>44904.51</v>
      </c>
    </row>
    <row r="51" spans="1:7" x14ac:dyDescent="0.2">
      <c r="A51" s="457">
        <v>60172000</v>
      </c>
      <c r="B51" s="456" t="s">
        <v>169</v>
      </c>
      <c r="C51" s="456">
        <v>0</v>
      </c>
      <c r="D51" s="456">
        <v>398935.30300000001</v>
      </c>
      <c r="E51" s="456">
        <v>293194.239</v>
      </c>
      <c r="F51" s="456">
        <v>105741.064</v>
      </c>
      <c r="G51" s="456">
        <v>105741.064</v>
      </c>
    </row>
    <row r="52" spans="1:7" x14ac:dyDescent="0.2">
      <c r="A52" s="457">
        <v>60173000</v>
      </c>
      <c r="B52" s="456" t="s">
        <v>170</v>
      </c>
      <c r="C52" s="456">
        <v>0</v>
      </c>
      <c r="D52" s="456">
        <v>36089.076999999997</v>
      </c>
      <c r="E52" s="456">
        <v>25129.195</v>
      </c>
      <c r="F52" s="456">
        <v>10959.882</v>
      </c>
      <c r="G52" s="456">
        <v>10959.882</v>
      </c>
    </row>
    <row r="53" spans="1:7" x14ac:dyDescent="0.2">
      <c r="A53" s="457">
        <v>60260400</v>
      </c>
      <c r="B53" s="456" t="s">
        <v>161</v>
      </c>
      <c r="C53" s="456">
        <v>0</v>
      </c>
      <c r="D53" s="456">
        <v>9653.4</v>
      </c>
      <c r="E53" s="456">
        <v>9653.4</v>
      </c>
      <c r="F53" s="456">
        <v>0</v>
      </c>
      <c r="G53" s="456">
        <v>0</v>
      </c>
    </row>
    <row r="54" spans="1:7" x14ac:dyDescent="0.2">
      <c r="A54" s="457">
        <v>60260700</v>
      </c>
      <c r="B54" s="456" t="s">
        <v>163</v>
      </c>
      <c r="C54" s="456">
        <v>0</v>
      </c>
      <c r="D54" s="456">
        <v>5845.7</v>
      </c>
      <c r="E54" s="456">
        <v>4045.7</v>
      </c>
      <c r="F54" s="456">
        <v>1800</v>
      </c>
      <c r="G54" s="456">
        <v>1800</v>
      </c>
    </row>
    <row r="55" spans="1:7" x14ac:dyDescent="0.2">
      <c r="A55" s="457">
        <v>60262000</v>
      </c>
      <c r="B55" s="456" t="s">
        <v>164</v>
      </c>
      <c r="C55" s="456">
        <v>0</v>
      </c>
      <c r="D55" s="456">
        <v>10085</v>
      </c>
      <c r="E55" s="456">
        <v>9785</v>
      </c>
      <c r="F55" s="456">
        <v>300</v>
      </c>
      <c r="G55" s="456">
        <v>300</v>
      </c>
    </row>
    <row r="56" spans="1:7" x14ac:dyDescent="0.2">
      <c r="A56" s="457">
        <v>60263000</v>
      </c>
      <c r="B56" s="456" t="s">
        <v>165</v>
      </c>
      <c r="C56" s="456">
        <v>0</v>
      </c>
      <c r="D56" s="456">
        <v>1624.701</v>
      </c>
      <c r="E56" s="456">
        <v>0</v>
      </c>
      <c r="F56" s="456">
        <v>1624.701</v>
      </c>
      <c r="G56" s="456">
        <v>1624.701</v>
      </c>
    </row>
    <row r="57" spans="1:7" x14ac:dyDescent="0.2">
      <c r="A57" s="457">
        <v>60310000</v>
      </c>
      <c r="B57" s="456" t="s">
        <v>265</v>
      </c>
      <c r="C57" s="456">
        <v>0</v>
      </c>
      <c r="D57" s="456">
        <v>68822357.841100007</v>
      </c>
      <c r="E57" s="456">
        <v>78476251.384100005</v>
      </c>
      <c r="F57" s="456">
        <v>-9653893.5429999996</v>
      </c>
      <c r="G57" s="456">
        <v>-9653893.5429999996</v>
      </c>
    </row>
    <row r="58" spans="1:7" x14ac:dyDescent="0.2">
      <c r="A58" s="457">
        <v>60330000</v>
      </c>
      <c r="B58" s="456" t="s">
        <v>266</v>
      </c>
      <c r="C58" s="456">
        <v>0</v>
      </c>
      <c r="D58" s="456">
        <v>4515833.4694999997</v>
      </c>
      <c r="E58" s="456">
        <v>5208259.3365000002</v>
      </c>
      <c r="F58" s="456">
        <v>-692425.86699999997</v>
      </c>
      <c r="G58" s="456">
        <v>-692425.86699999997</v>
      </c>
    </row>
    <row r="59" spans="1:7" x14ac:dyDescent="0.2">
      <c r="A59" s="457">
        <v>60401000</v>
      </c>
      <c r="B59" s="456" t="s">
        <v>166</v>
      </c>
      <c r="C59" s="456">
        <v>0</v>
      </c>
      <c r="D59" s="456">
        <v>231266.00099999999</v>
      </c>
      <c r="E59" s="456">
        <v>163551.00099999999</v>
      </c>
      <c r="F59" s="456">
        <v>67715</v>
      </c>
      <c r="G59" s="456">
        <v>67715</v>
      </c>
    </row>
    <row r="60" spans="1:7" x14ac:dyDescent="0.2">
      <c r="A60" s="457">
        <v>60502000</v>
      </c>
      <c r="B60" s="456" t="s">
        <v>167</v>
      </c>
      <c r="C60" s="456">
        <v>0</v>
      </c>
      <c r="D60" s="456">
        <v>55336.315999999999</v>
      </c>
      <c r="E60" s="456">
        <v>49793.364000000001</v>
      </c>
      <c r="F60" s="456">
        <v>5542.9520000000002</v>
      </c>
      <c r="G60" s="456">
        <v>5542.9520000000002</v>
      </c>
    </row>
    <row r="61" spans="1:7" x14ac:dyDescent="0.2">
      <c r="A61" s="457">
        <v>60620000</v>
      </c>
      <c r="B61" s="456" t="s">
        <v>172</v>
      </c>
      <c r="C61" s="456">
        <v>0</v>
      </c>
      <c r="D61" s="456">
        <v>2367.6999999999998</v>
      </c>
      <c r="E61" s="456">
        <v>2067.6999999999998</v>
      </c>
      <c r="F61" s="456">
        <v>300</v>
      </c>
      <c r="G61" s="456">
        <v>300</v>
      </c>
    </row>
    <row r="62" spans="1:7" x14ac:dyDescent="0.2">
      <c r="A62" s="457">
        <v>60650000</v>
      </c>
      <c r="B62" s="456" t="s">
        <v>373</v>
      </c>
      <c r="C62" s="456">
        <v>0</v>
      </c>
      <c r="D62" s="456">
        <v>1350</v>
      </c>
      <c r="E62" s="456">
        <v>1350</v>
      </c>
      <c r="F62" s="456">
        <v>0</v>
      </c>
      <c r="G62" s="456">
        <v>0</v>
      </c>
    </row>
    <row r="63" spans="1:7" x14ac:dyDescent="0.2">
      <c r="A63" s="457">
        <v>60671000</v>
      </c>
      <c r="B63" s="456" t="s">
        <v>374</v>
      </c>
      <c r="C63" s="456">
        <v>0</v>
      </c>
      <c r="D63" s="456">
        <v>13634.6</v>
      </c>
      <c r="E63" s="456">
        <v>3577.85</v>
      </c>
      <c r="F63" s="456">
        <v>10056.75</v>
      </c>
      <c r="G63" s="456">
        <v>10056.75</v>
      </c>
    </row>
    <row r="64" spans="1:7" x14ac:dyDescent="0.2">
      <c r="A64" s="457">
        <v>61500000</v>
      </c>
      <c r="B64" s="456" t="s">
        <v>176</v>
      </c>
      <c r="C64" s="456">
        <v>0</v>
      </c>
      <c r="D64" s="456">
        <v>63225.974999999999</v>
      </c>
      <c r="E64" s="456">
        <v>63225.974999999999</v>
      </c>
      <c r="F64" s="456">
        <v>0</v>
      </c>
      <c r="G64" s="456">
        <v>0</v>
      </c>
    </row>
    <row r="65" spans="1:7" x14ac:dyDescent="0.2">
      <c r="A65" s="457">
        <v>61501000</v>
      </c>
      <c r="B65" s="456" t="s">
        <v>177</v>
      </c>
      <c r="C65" s="456">
        <v>0</v>
      </c>
      <c r="D65" s="456">
        <v>2891.5970000000002</v>
      </c>
      <c r="E65" s="456">
        <v>0</v>
      </c>
      <c r="F65" s="456">
        <v>2891.5970000000002</v>
      </c>
      <c r="G65" s="456">
        <v>2891.5970000000002</v>
      </c>
    </row>
    <row r="66" spans="1:7" x14ac:dyDescent="0.2">
      <c r="A66" s="457">
        <v>61600000</v>
      </c>
      <c r="B66" s="456" t="s">
        <v>397</v>
      </c>
      <c r="C66" s="456">
        <v>0</v>
      </c>
      <c r="D66" s="456">
        <v>34372.800000000003</v>
      </c>
      <c r="E66" s="456">
        <v>42966</v>
      </c>
      <c r="F66" s="456">
        <v>-8593.2000000000007</v>
      </c>
      <c r="G66" s="456">
        <v>-8593.2000000000007</v>
      </c>
    </row>
    <row r="67" spans="1:7" x14ac:dyDescent="0.2">
      <c r="A67" s="457">
        <v>61603000</v>
      </c>
      <c r="B67" s="456" t="s">
        <v>178</v>
      </c>
      <c r="C67" s="456">
        <v>0</v>
      </c>
      <c r="D67" s="456">
        <v>43805.688000000002</v>
      </c>
      <c r="E67" s="456">
        <v>27333.088</v>
      </c>
      <c r="F67" s="456">
        <v>16472.599999999999</v>
      </c>
      <c r="G67" s="456">
        <v>16472.599999999999</v>
      </c>
    </row>
    <row r="68" spans="1:7" x14ac:dyDescent="0.2">
      <c r="A68" s="457">
        <v>62230000</v>
      </c>
      <c r="B68" s="456" t="s">
        <v>375</v>
      </c>
      <c r="C68" s="456">
        <v>0</v>
      </c>
      <c r="D68" s="456">
        <v>566.66700000000003</v>
      </c>
      <c r="E68" s="456">
        <v>800</v>
      </c>
      <c r="F68" s="456">
        <v>-233.333</v>
      </c>
      <c r="G68" s="456">
        <v>-233.333</v>
      </c>
    </row>
    <row r="69" spans="1:7" x14ac:dyDescent="0.2">
      <c r="A69" s="457">
        <v>62240000</v>
      </c>
      <c r="B69" s="456" t="s">
        <v>267</v>
      </c>
      <c r="C69" s="456">
        <v>0</v>
      </c>
      <c r="D69" s="456">
        <v>148066.367</v>
      </c>
      <c r="E69" s="456">
        <v>175341.75</v>
      </c>
      <c r="F69" s="456">
        <v>-27275.383000000002</v>
      </c>
      <c r="G69" s="456">
        <v>-27275.383000000002</v>
      </c>
    </row>
    <row r="70" spans="1:7" x14ac:dyDescent="0.2">
      <c r="A70" s="457">
        <v>62250000</v>
      </c>
      <c r="B70" s="456" t="s">
        <v>268</v>
      </c>
      <c r="C70" s="456">
        <v>0</v>
      </c>
      <c r="D70" s="456">
        <v>37500</v>
      </c>
      <c r="E70" s="456">
        <v>25000</v>
      </c>
      <c r="F70" s="456">
        <v>12500</v>
      </c>
      <c r="G70" s="456">
        <v>12500</v>
      </c>
    </row>
    <row r="71" spans="1:7" x14ac:dyDescent="0.2">
      <c r="A71" s="457">
        <v>62300000</v>
      </c>
      <c r="B71" s="456" t="s">
        <v>182</v>
      </c>
      <c r="C71" s="456">
        <v>0</v>
      </c>
      <c r="D71" s="456">
        <v>172500</v>
      </c>
      <c r="E71" s="456">
        <v>115000</v>
      </c>
      <c r="F71" s="456">
        <v>57500</v>
      </c>
      <c r="G71" s="456">
        <v>57500</v>
      </c>
    </row>
    <row r="72" spans="1:7" x14ac:dyDescent="0.2">
      <c r="A72" s="457">
        <v>62430000</v>
      </c>
      <c r="B72" s="456" t="s">
        <v>159</v>
      </c>
      <c r="C72" s="456">
        <v>0</v>
      </c>
      <c r="D72" s="456">
        <v>42256.45</v>
      </c>
      <c r="E72" s="456">
        <v>42256.45</v>
      </c>
      <c r="F72" s="456">
        <v>0</v>
      </c>
      <c r="G72" s="456">
        <v>0</v>
      </c>
    </row>
    <row r="73" spans="1:7" x14ac:dyDescent="0.2">
      <c r="A73" s="457">
        <v>62600000</v>
      </c>
      <c r="B73" s="456" t="s">
        <v>188</v>
      </c>
      <c r="C73" s="456">
        <v>0</v>
      </c>
      <c r="D73" s="456">
        <v>10940</v>
      </c>
      <c r="E73" s="456">
        <v>13128</v>
      </c>
      <c r="F73" s="456">
        <v>-2188</v>
      </c>
      <c r="G73" s="456">
        <v>-2188</v>
      </c>
    </row>
    <row r="74" spans="1:7" x14ac:dyDescent="0.2">
      <c r="A74" s="457">
        <v>62780000</v>
      </c>
      <c r="B74" s="456" t="s">
        <v>189</v>
      </c>
      <c r="C74" s="456">
        <v>0</v>
      </c>
      <c r="D74" s="456">
        <v>98531.231</v>
      </c>
      <c r="E74" s="456">
        <v>82984.58</v>
      </c>
      <c r="F74" s="456">
        <v>15546.651</v>
      </c>
      <c r="G74" s="456">
        <v>15546.651</v>
      </c>
    </row>
    <row r="75" spans="1:7" x14ac:dyDescent="0.2">
      <c r="A75" s="457">
        <v>63300000</v>
      </c>
      <c r="B75" s="456" t="s">
        <v>269</v>
      </c>
      <c r="C75" s="456">
        <v>0</v>
      </c>
      <c r="D75" s="456">
        <v>156250.00099999999</v>
      </c>
      <c r="E75" s="456">
        <v>104166.66800000001</v>
      </c>
      <c r="F75" s="456">
        <v>52083.332999999999</v>
      </c>
      <c r="G75" s="456">
        <v>52083.332999999999</v>
      </c>
    </row>
    <row r="76" spans="1:7" x14ac:dyDescent="0.2">
      <c r="A76" s="457">
        <v>64001000</v>
      </c>
      <c r="B76" s="456" t="s">
        <v>191</v>
      </c>
      <c r="C76" s="456">
        <v>0</v>
      </c>
      <c r="D76" s="456">
        <v>413518.88400000002</v>
      </c>
      <c r="E76" s="456">
        <v>413518.88400000002</v>
      </c>
      <c r="F76" s="456">
        <v>0</v>
      </c>
      <c r="G76" s="456">
        <v>0</v>
      </c>
    </row>
    <row r="77" spans="1:7" x14ac:dyDescent="0.2">
      <c r="A77" s="457">
        <v>64001100</v>
      </c>
      <c r="B77" s="456" t="s">
        <v>405</v>
      </c>
      <c r="C77" s="456">
        <v>0</v>
      </c>
      <c r="D77" s="456">
        <v>375000</v>
      </c>
      <c r="E77" s="456">
        <v>250000</v>
      </c>
      <c r="F77" s="456">
        <v>125000</v>
      </c>
      <c r="G77" s="456">
        <v>125000</v>
      </c>
    </row>
    <row r="78" spans="1:7" x14ac:dyDescent="0.2">
      <c r="A78" s="457">
        <v>64020000</v>
      </c>
      <c r="B78" s="456" t="s">
        <v>406</v>
      </c>
      <c r="C78" s="456">
        <v>0</v>
      </c>
      <c r="D78" s="456">
        <v>552436.66700000002</v>
      </c>
      <c r="E78" s="456">
        <v>384643.34899999999</v>
      </c>
      <c r="F78" s="456">
        <v>167793.318</v>
      </c>
      <c r="G78" s="456">
        <v>167793.318</v>
      </c>
    </row>
    <row r="79" spans="1:7" x14ac:dyDescent="0.2">
      <c r="A79" s="457">
        <v>64600100</v>
      </c>
      <c r="B79" s="456" t="s">
        <v>407</v>
      </c>
      <c r="C79" s="456">
        <v>0</v>
      </c>
      <c r="D79" s="456">
        <v>2072982.4890000001</v>
      </c>
      <c r="E79" s="456">
        <v>1792874.0160000001</v>
      </c>
      <c r="F79" s="456">
        <v>280108.473</v>
      </c>
      <c r="G79" s="456">
        <v>280108.473</v>
      </c>
    </row>
    <row r="80" spans="1:7" x14ac:dyDescent="0.2">
      <c r="A80" s="457">
        <v>64720000</v>
      </c>
      <c r="B80" s="456" t="s">
        <v>194</v>
      </c>
      <c r="C80" s="456">
        <v>0</v>
      </c>
      <c r="D80" s="456">
        <v>389766.71500000003</v>
      </c>
      <c r="E80" s="456">
        <v>302670.05</v>
      </c>
      <c r="F80" s="456">
        <v>87096.664999999994</v>
      </c>
      <c r="G80" s="456">
        <v>87096.664999999994</v>
      </c>
    </row>
    <row r="81" spans="1:7" x14ac:dyDescent="0.2">
      <c r="A81" s="457">
        <v>65110200</v>
      </c>
      <c r="B81" s="456" t="s">
        <v>196</v>
      </c>
      <c r="C81" s="456">
        <v>0</v>
      </c>
      <c r="D81" s="456">
        <v>219059.31599999999</v>
      </c>
      <c r="E81" s="456">
        <v>222753.45199999999</v>
      </c>
      <c r="F81" s="456">
        <v>-3694.136</v>
      </c>
      <c r="G81" s="456">
        <v>-3694.136</v>
      </c>
    </row>
    <row r="82" spans="1:7" x14ac:dyDescent="0.2">
      <c r="A82" s="457">
        <v>65110400</v>
      </c>
      <c r="B82" s="456" t="s">
        <v>197</v>
      </c>
      <c r="C82" s="456">
        <v>0</v>
      </c>
      <c r="D82" s="456">
        <v>336598.59</v>
      </c>
      <c r="E82" s="456">
        <v>342264.41399999999</v>
      </c>
      <c r="F82" s="456">
        <v>-5665.8239999999996</v>
      </c>
      <c r="G82" s="456">
        <v>-5665.8239999999996</v>
      </c>
    </row>
    <row r="83" spans="1:7" x14ac:dyDescent="0.2">
      <c r="A83" s="457">
        <v>65150000</v>
      </c>
      <c r="B83" s="456" t="s">
        <v>270</v>
      </c>
      <c r="C83" s="456">
        <v>0</v>
      </c>
      <c r="D83" s="456">
        <v>44346.302000000003</v>
      </c>
      <c r="E83" s="456">
        <v>29678.904999999999</v>
      </c>
      <c r="F83" s="456">
        <v>14667.397000000001</v>
      </c>
      <c r="G83" s="456">
        <v>14667.397000000001</v>
      </c>
    </row>
    <row r="84" spans="1:7" x14ac:dyDescent="0.2">
      <c r="A84" s="457">
        <v>65190000</v>
      </c>
      <c r="B84" s="456" t="s">
        <v>198</v>
      </c>
      <c r="C84" s="456">
        <v>0</v>
      </c>
      <c r="D84" s="456">
        <v>353159.658</v>
      </c>
      <c r="E84" s="456">
        <v>293028.03000000003</v>
      </c>
      <c r="F84" s="456">
        <v>60131.627999999997</v>
      </c>
      <c r="G84" s="456">
        <v>60131.627999999997</v>
      </c>
    </row>
    <row r="85" spans="1:7" x14ac:dyDescent="0.2">
      <c r="A85" s="457">
        <v>65500000</v>
      </c>
      <c r="B85" s="456" t="s">
        <v>7722</v>
      </c>
      <c r="C85" s="456">
        <v>0</v>
      </c>
      <c r="D85" s="456">
        <v>17185.467400000001</v>
      </c>
      <c r="E85" s="456">
        <v>9970.7520000000004</v>
      </c>
      <c r="F85" s="456">
        <v>7214.7154</v>
      </c>
      <c r="G85" s="456">
        <v>7214.7154</v>
      </c>
    </row>
    <row r="86" spans="1:7" x14ac:dyDescent="0.2">
      <c r="A86" s="457">
        <v>66520000</v>
      </c>
      <c r="B86" s="456" t="s">
        <v>200</v>
      </c>
      <c r="C86" s="456">
        <v>0</v>
      </c>
      <c r="D86" s="456">
        <v>40532.951000000001</v>
      </c>
      <c r="E86" s="456">
        <v>29990.190999999999</v>
      </c>
      <c r="F86" s="456">
        <v>10542.76</v>
      </c>
      <c r="G86" s="456">
        <v>10542.76</v>
      </c>
    </row>
    <row r="87" spans="1:7" x14ac:dyDescent="0.2">
      <c r="A87" s="457">
        <v>66550000</v>
      </c>
      <c r="B87" s="456" t="s">
        <v>202</v>
      </c>
      <c r="C87" s="456">
        <v>0</v>
      </c>
      <c r="D87" s="456">
        <v>13500</v>
      </c>
      <c r="E87" s="456">
        <v>9000</v>
      </c>
      <c r="F87" s="456">
        <v>4500</v>
      </c>
      <c r="G87" s="456">
        <v>4500</v>
      </c>
    </row>
    <row r="88" spans="1:7" x14ac:dyDescent="0.2">
      <c r="A88" s="457">
        <v>68112000</v>
      </c>
      <c r="B88" s="456" t="s">
        <v>7390</v>
      </c>
      <c r="C88" s="456">
        <v>0</v>
      </c>
      <c r="D88" s="456">
        <v>3476319.6260000002</v>
      </c>
      <c r="E88" s="456">
        <v>2267359.2050000001</v>
      </c>
      <c r="F88" s="456">
        <v>1208960.4210000001</v>
      </c>
      <c r="G88" s="456">
        <v>1208960.4210000001</v>
      </c>
    </row>
    <row r="89" spans="1:7" x14ac:dyDescent="0.2">
      <c r="A89" s="457">
        <v>68170000</v>
      </c>
      <c r="B89" s="456" t="s">
        <v>7577</v>
      </c>
      <c r="C89" s="456">
        <v>0</v>
      </c>
      <c r="D89" s="456">
        <v>675000</v>
      </c>
      <c r="E89" s="456">
        <v>400000</v>
      </c>
      <c r="F89" s="456">
        <v>275000</v>
      </c>
      <c r="G89" s="456">
        <v>275000</v>
      </c>
    </row>
    <row r="90" spans="1:7" x14ac:dyDescent="0.2">
      <c r="A90" s="457">
        <v>68180000</v>
      </c>
      <c r="B90" s="456" t="s">
        <v>8976</v>
      </c>
      <c r="C90" s="456">
        <v>0</v>
      </c>
      <c r="D90" s="456">
        <v>150000</v>
      </c>
      <c r="E90" s="456">
        <v>0</v>
      </c>
      <c r="F90" s="456">
        <v>150000</v>
      </c>
      <c r="G90" s="456">
        <v>150000</v>
      </c>
    </row>
    <row r="91" spans="1:7" x14ac:dyDescent="0.2">
      <c r="A91" s="457">
        <v>70102000</v>
      </c>
      <c r="B91" s="456" t="s">
        <v>207</v>
      </c>
      <c r="C91" s="456">
        <v>0</v>
      </c>
      <c r="D91" s="456">
        <v>3757277.7850000001</v>
      </c>
      <c r="E91" s="456">
        <v>3757277.7850000001</v>
      </c>
      <c r="F91" s="456">
        <v>0</v>
      </c>
      <c r="G91" s="456">
        <v>0</v>
      </c>
    </row>
    <row r="92" spans="1:7" x14ac:dyDescent="0.2">
      <c r="A92" s="457">
        <v>70600500</v>
      </c>
      <c r="B92" s="456" t="s">
        <v>208</v>
      </c>
      <c r="C92" s="456">
        <v>0</v>
      </c>
      <c r="D92" s="456">
        <v>32424.53</v>
      </c>
      <c r="E92" s="456">
        <v>48636.794999999998</v>
      </c>
      <c r="F92" s="456">
        <v>-16212.264999999999</v>
      </c>
      <c r="G92" s="456">
        <v>-16212.264999999999</v>
      </c>
    </row>
    <row r="93" spans="1:7" x14ac:dyDescent="0.2">
      <c r="A93" s="457">
        <v>71340000</v>
      </c>
      <c r="B93" s="456" t="s">
        <v>382</v>
      </c>
      <c r="C93" s="456">
        <v>0</v>
      </c>
      <c r="D93" s="456">
        <v>2233181.5079999999</v>
      </c>
      <c r="E93" s="456">
        <v>2233181.5079999999</v>
      </c>
      <c r="F93" s="456">
        <v>0</v>
      </c>
      <c r="G93" s="456">
        <v>0</v>
      </c>
    </row>
    <row r="94" spans="1:7" x14ac:dyDescent="0.2">
      <c r="A94" s="457">
        <v>71350000</v>
      </c>
      <c r="B94" s="456" t="s">
        <v>209</v>
      </c>
      <c r="C94" s="456">
        <v>0</v>
      </c>
      <c r="D94" s="456">
        <v>36338936.777800001</v>
      </c>
      <c r="E94" s="456">
        <v>42946028.256800003</v>
      </c>
      <c r="F94" s="456">
        <v>-6607091.4790000003</v>
      </c>
      <c r="G94" s="456">
        <v>-6607091.4790000003</v>
      </c>
    </row>
    <row r="95" spans="1:7" x14ac:dyDescent="0.2">
      <c r="A95" s="457">
        <v>73900000</v>
      </c>
      <c r="B95" s="456" t="s">
        <v>213</v>
      </c>
      <c r="C95" s="456">
        <v>0</v>
      </c>
      <c r="D95" s="456">
        <v>202824.19</v>
      </c>
      <c r="E95" s="456">
        <v>304236.28499999997</v>
      </c>
      <c r="F95" s="456">
        <v>-101412.095</v>
      </c>
      <c r="G95" s="456">
        <v>-101412.095</v>
      </c>
    </row>
    <row r="96" spans="1:7" x14ac:dyDescent="0.2">
      <c r="A96" s="457">
        <v>75600000</v>
      </c>
      <c r="B96" s="456" t="s">
        <v>215</v>
      </c>
      <c r="C96" s="456">
        <v>0</v>
      </c>
      <c r="D96" s="456">
        <v>22908.175999999999</v>
      </c>
      <c r="E96" s="456">
        <v>22961.578000000001</v>
      </c>
      <c r="F96" s="456">
        <v>-53.402000000000001</v>
      </c>
      <c r="G96" s="456">
        <v>-53.402000000000001</v>
      </c>
    </row>
  </sheetData>
  <autoFilter ref="A1:G57" xr:uid="{00000000-0009-0000-0000-000009000000}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110"/>
  <sheetViews>
    <sheetView topLeftCell="A97" workbookViewId="0">
      <selection activeCell="E120" sqref="E120"/>
    </sheetView>
  </sheetViews>
  <sheetFormatPr baseColWidth="10" defaultRowHeight="11.25" x14ac:dyDescent="0.2"/>
  <cols>
    <col min="1" max="1" width="10.42578125" style="302" bestFit="1" customWidth="1"/>
    <col min="2" max="2" width="28" style="302" bestFit="1" customWidth="1"/>
    <col min="3" max="3" width="12" style="302" bestFit="1" customWidth="1"/>
    <col min="4" max="4" width="13.42578125" style="302" bestFit="1" customWidth="1"/>
    <col min="5" max="5" width="13.7109375" style="302" bestFit="1" customWidth="1"/>
    <col min="6" max="7" width="13.28515625" style="302" bestFit="1" customWidth="1"/>
    <col min="8" max="16384" width="11.42578125" style="302"/>
  </cols>
  <sheetData>
    <row r="1" spans="1:7" x14ac:dyDescent="0.2">
      <c r="A1" s="2" t="s">
        <v>4</v>
      </c>
      <c r="B1" s="2" t="s">
        <v>0</v>
      </c>
      <c r="C1" s="3" t="s">
        <v>5</v>
      </c>
      <c r="D1" s="3" t="s">
        <v>2</v>
      </c>
      <c r="E1" s="3" t="s">
        <v>3</v>
      </c>
      <c r="F1" s="3" t="s">
        <v>6</v>
      </c>
      <c r="G1" s="3" t="s">
        <v>262</v>
      </c>
    </row>
    <row r="2" spans="1:7" x14ac:dyDescent="0.2">
      <c r="A2" s="524">
        <v>13000000</v>
      </c>
      <c r="B2" s="525" t="s">
        <v>273</v>
      </c>
      <c r="C2" s="525">
        <v>-1E-4</v>
      </c>
      <c r="D2" s="525">
        <v>0</v>
      </c>
      <c r="E2" s="525">
        <v>0</v>
      </c>
      <c r="F2" s="525">
        <v>0</v>
      </c>
      <c r="G2" s="525">
        <v>-1E-4</v>
      </c>
    </row>
    <row r="3" spans="1:7" x14ac:dyDescent="0.2">
      <c r="A3" s="526">
        <v>14508000</v>
      </c>
      <c r="B3" s="525" t="s">
        <v>17</v>
      </c>
      <c r="C3" s="525">
        <v>0</v>
      </c>
      <c r="D3" s="525">
        <v>567907.73400000005</v>
      </c>
      <c r="E3" s="525">
        <v>425930.8</v>
      </c>
      <c r="F3" s="525">
        <v>141976.93400000001</v>
      </c>
      <c r="G3" s="525">
        <v>141976.93400000001</v>
      </c>
    </row>
    <row r="4" spans="1:7" x14ac:dyDescent="0.2">
      <c r="A4" s="526">
        <v>15100000</v>
      </c>
      <c r="B4" s="525" t="s">
        <v>19</v>
      </c>
      <c r="C4" s="525">
        <v>0</v>
      </c>
      <c r="D4" s="525">
        <v>20000</v>
      </c>
      <c r="E4" s="525">
        <v>60000</v>
      </c>
      <c r="F4" s="525">
        <v>-40000</v>
      </c>
      <c r="G4" s="525">
        <v>-40000</v>
      </c>
    </row>
    <row r="5" spans="1:7" x14ac:dyDescent="0.2">
      <c r="A5" s="526">
        <v>22825000</v>
      </c>
      <c r="B5" s="525"/>
      <c r="C5" s="525">
        <v>2.0000000000000001E-4</v>
      </c>
      <c r="D5" s="525">
        <v>0</v>
      </c>
      <c r="E5" s="525">
        <v>0</v>
      </c>
      <c r="F5" s="525">
        <v>0</v>
      </c>
      <c r="G5" s="525">
        <v>2.0000000000000001E-4</v>
      </c>
    </row>
    <row r="6" spans="1:7" x14ac:dyDescent="0.2">
      <c r="A6" s="526">
        <v>28130000</v>
      </c>
      <c r="B6" s="525" t="s">
        <v>24</v>
      </c>
      <c r="C6" s="525">
        <v>1E-4</v>
      </c>
      <c r="D6" s="525">
        <v>18481.440999999999</v>
      </c>
      <c r="E6" s="525">
        <v>26501.623</v>
      </c>
      <c r="F6" s="525">
        <v>-8020.1819999999998</v>
      </c>
      <c r="G6" s="525">
        <v>-8020.1818999999996</v>
      </c>
    </row>
    <row r="7" spans="1:7" x14ac:dyDescent="0.2">
      <c r="A7" s="526">
        <v>28216000</v>
      </c>
      <c r="B7" s="525" t="s">
        <v>48</v>
      </c>
      <c r="C7" s="525">
        <v>4.0000000000000002E-4</v>
      </c>
      <c r="D7" s="525">
        <v>4877.4210000000003</v>
      </c>
      <c r="E7" s="525">
        <v>6516.1109999999999</v>
      </c>
      <c r="F7" s="525">
        <v>-1638.69</v>
      </c>
      <c r="G7" s="525">
        <v>-1638.6895999999999</v>
      </c>
    </row>
    <row r="8" spans="1:7" x14ac:dyDescent="0.2">
      <c r="A8" s="526">
        <v>28220000</v>
      </c>
      <c r="B8" s="525" t="s">
        <v>49</v>
      </c>
      <c r="C8" s="525">
        <v>-2.0000000000000001E-4</v>
      </c>
      <c r="D8" s="525">
        <v>795348.98100000003</v>
      </c>
      <c r="E8" s="525">
        <v>1062566.071</v>
      </c>
      <c r="F8" s="525">
        <v>-267217.09000000003</v>
      </c>
      <c r="G8" s="525">
        <v>-267217.09019999998</v>
      </c>
    </row>
    <row r="9" spans="1:7" x14ac:dyDescent="0.2">
      <c r="A9" s="526">
        <v>28225000</v>
      </c>
      <c r="B9" s="525" t="s">
        <v>50</v>
      </c>
      <c r="C9" s="525">
        <v>4.0000000000000002E-4</v>
      </c>
      <c r="D9" s="525">
        <v>144579.42600000001</v>
      </c>
      <c r="E9" s="525">
        <v>188752.69099999999</v>
      </c>
      <c r="F9" s="525">
        <v>-44173.264999999999</v>
      </c>
      <c r="G9" s="525">
        <v>-44173.264600000002</v>
      </c>
    </row>
    <row r="10" spans="1:7" x14ac:dyDescent="0.2">
      <c r="A10" s="526">
        <v>28230000</v>
      </c>
      <c r="B10" s="525" t="s">
        <v>263</v>
      </c>
      <c r="C10" s="525">
        <v>0</v>
      </c>
      <c r="D10" s="525">
        <v>45038.03</v>
      </c>
      <c r="E10" s="525">
        <v>61395.737999999998</v>
      </c>
      <c r="F10" s="525">
        <v>-16357.708000000001</v>
      </c>
      <c r="G10" s="525">
        <v>-16357.708000000001</v>
      </c>
    </row>
    <row r="11" spans="1:7" x14ac:dyDescent="0.2">
      <c r="A11" s="526">
        <v>28231000</v>
      </c>
      <c r="B11" s="525" t="s">
        <v>402</v>
      </c>
      <c r="C11" s="525">
        <v>0</v>
      </c>
      <c r="D11" s="525">
        <v>1546.68</v>
      </c>
      <c r="E11" s="525">
        <v>2344.6480000000001</v>
      </c>
      <c r="F11" s="525">
        <v>-797.96799999999996</v>
      </c>
      <c r="G11" s="525">
        <v>-797.96799999999996</v>
      </c>
    </row>
    <row r="12" spans="1:7" x14ac:dyDescent="0.2">
      <c r="A12" s="526">
        <v>28234000</v>
      </c>
      <c r="B12" s="525" t="s">
        <v>51</v>
      </c>
      <c r="C12" s="525">
        <v>-4.0000000000000002E-4</v>
      </c>
      <c r="D12" s="525">
        <v>2834294.34</v>
      </c>
      <c r="E12" s="525">
        <v>3783660.0520000001</v>
      </c>
      <c r="F12" s="525">
        <v>-949365.71200000006</v>
      </c>
      <c r="G12" s="525">
        <v>-949365.71239999996</v>
      </c>
    </row>
    <row r="13" spans="1:7" x14ac:dyDescent="0.2">
      <c r="A13" s="526">
        <v>28235000</v>
      </c>
      <c r="B13" s="525" t="s">
        <v>52</v>
      </c>
      <c r="C13" s="525">
        <v>0</v>
      </c>
      <c r="D13" s="525">
        <v>100361.55100000001</v>
      </c>
      <c r="E13" s="525">
        <v>134635.508</v>
      </c>
      <c r="F13" s="525">
        <v>-34273.957000000002</v>
      </c>
      <c r="G13" s="525">
        <v>-34273.957000000002</v>
      </c>
    </row>
    <row r="14" spans="1:7" x14ac:dyDescent="0.2">
      <c r="A14" s="526">
        <v>28237000</v>
      </c>
      <c r="B14" s="525" t="s">
        <v>53</v>
      </c>
      <c r="C14" s="525">
        <v>-2.0000000000000001E-4</v>
      </c>
      <c r="D14" s="525">
        <v>69741.370999999999</v>
      </c>
      <c r="E14" s="525">
        <v>97486.044999999998</v>
      </c>
      <c r="F14" s="525">
        <v>-27744.673999999999</v>
      </c>
      <c r="G14" s="525">
        <v>-27744.674200000001</v>
      </c>
    </row>
    <row r="15" spans="1:7" x14ac:dyDescent="0.2">
      <c r="A15" s="526">
        <v>28240000</v>
      </c>
      <c r="B15" s="525" t="s">
        <v>54</v>
      </c>
      <c r="C15" s="525">
        <v>-2.9999999999999997E-4</v>
      </c>
      <c r="D15" s="525">
        <v>317222.348</v>
      </c>
      <c r="E15" s="525">
        <v>427249.47200000001</v>
      </c>
      <c r="F15" s="525">
        <v>-110027.124</v>
      </c>
      <c r="G15" s="525">
        <v>-110027.1243</v>
      </c>
    </row>
    <row r="16" spans="1:7" x14ac:dyDescent="0.2">
      <c r="A16" s="526">
        <v>28282000</v>
      </c>
      <c r="B16" s="525" t="s">
        <v>55</v>
      </c>
      <c r="C16" s="525">
        <v>2.0000000000000001E-4</v>
      </c>
      <c r="D16" s="525">
        <v>93721.906000000003</v>
      </c>
      <c r="E16" s="525">
        <v>125334.58500000001</v>
      </c>
      <c r="F16" s="525">
        <v>-31612.679</v>
      </c>
      <c r="G16" s="525">
        <v>-31612.678800000002</v>
      </c>
    </row>
    <row r="17" spans="1:7" x14ac:dyDescent="0.2">
      <c r="A17" s="526">
        <v>28283000</v>
      </c>
      <c r="B17" s="525" t="s">
        <v>7389</v>
      </c>
      <c r="C17" s="525">
        <v>1E-4</v>
      </c>
      <c r="D17" s="525">
        <v>79942.467999999993</v>
      </c>
      <c r="E17" s="525">
        <v>107469.774</v>
      </c>
      <c r="F17" s="525">
        <v>-27527.306</v>
      </c>
      <c r="G17" s="525">
        <v>-27527.305899999999</v>
      </c>
    </row>
    <row r="18" spans="1:7" x14ac:dyDescent="0.2">
      <c r="A18" s="526">
        <v>28400000</v>
      </c>
      <c r="B18" s="525" t="s">
        <v>56</v>
      </c>
      <c r="C18" s="525">
        <v>0</v>
      </c>
      <c r="D18" s="525">
        <v>239862.867</v>
      </c>
      <c r="E18" s="525">
        <v>329437.45600000001</v>
      </c>
      <c r="F18" s="525">
        <v>-89574.589000000007</v>
      </c>
      <c r="G18" s="525">
        <v>-89574.589000000007</v>
      </c>
    </row>
    <row r="19" spans="1:7" x14ac:dyDescent="0.2">
      <c r="A19" s="526">
        <v>31100000</v>
      </c>
      <c r="B19" s="525" t="s">
        <v>59</v>
      </c>
      <c r="C19" s="525">
        <v>0</v>
      </c>
      <c r="D19" s="525">
        <v>97445690.735200003</v>
      </c>
      <c r="E19" s="525">
        <v>87582203.967099994</v>
      </c>
      <c r="F19" s="525">
        <v>9863486.7681000009</v>
      </c>
      <c r="G19" s="525">
        <v>9863486.7681000009</v>
      </c>
    </row>
    <row r="20" spans="1:7" x14ac:dyDescent="0.2">
      <c r="A20" s="526">
        <v>31200000</v>
      </c>
      <c r="B20" s="525" t="s">
        <v>390</v>
      </c>
      <c r="C20" s="525">
        <v>0</v>
      </c>
      <c r="D20" s="525">
        <v>3111337.3169999998</v>
      </c>
      <c r="E20" s="525">
        <v>3111337.3169999998</v>
      </c>
      <c r="F20" s="525">
        <v>0</v>
      </c>
      <c r="G20" s="525">
        <v>0</v>
      </c>
    </row>
    <row r="21" spans="1:7" x14ac:dyDescent="0.2">
      <c r="A21" s="526">
        <v>32200000</v>
      </c>
      <c r="B21" s="525" t="s">
        <v>61</v>
      </c>
      <c r="C21" s="525">
        <v>0</v>
      </c>
      <c r="D21" s="525">
        <v>6653488.2055000002</v>
      </c>
      <c r="E21" s="525">
        <v>5928172.3435000004</v>
      </c>
      <c r="F21" s="525">
        <v>725315.86199999996</v>
      </c>
      <c r="G21" s="525">
        <v>725315.86199999996</v>
      </c>
    </row>
    <row r="22" spans="1:7" x14ac:dyDescent="0.2">
      <c r="A22" s="526">
        <v>33100000</v>
      </c>
      <c r="B22" s="525" t="s">
        <v>62</v>
      </c>
      <c r="C22" s="525">
        <v>0</v>
      </c>
      <c r="D22" s="525">
        <v>36728015.941799998</v>
      </c>
      <c r="E22" s="525">
        <v>32768899.0458</v>
      </c>
      <c r="F22" s="525">
        <v>3959116.8960000002</v>
      </c>
      <c r="G22" s="525">
        <v>3959116.8960000002</v>
      </c>
    </row>
    <row r="23" spans="1:7" x14ac:dyDescent="0.2">
      <c r="A23" s="526">
        <v>35500000</v>
      </c>
      <c r="B23" s="525" t="s">
        <v>63</v>
      </c>
      <c r="C23" s="525">
        <v>0</v>
      </c>
      <c r="D23" s="525">
        <v>15366361.471999999</v>
      </c>
      <c r="E23" s="525">
        <v>14283940.282</v>
      </c>
      <c r="F23" s="525">
        <v>1082421.19</v>
      </c>
      <c r="G23" s="525">
        <v>1082421.19</v>
      </c>
    </row>
    <row r="24" spans="1:7" x14ac:dyDescent="0.2">
      <c r="A24" s="526">
        <v>39000000</v>
      </c>
      <c r="B24" s="525" t="s">
        <v>64</v>
      </c>
      <c r="C24" s="525">
        <v>0</v>
      </c>
      <c r="D24" s="525">
        <v>350000</v>
      </c>
      <c r="E24" s="525">
        <v>600000</v>
      </c>
      <c r="F24" s="525">
        <v>-250000</v>
      </c>
      <c r="G24" s="525">
        <v>-250000</v>
      </c>
    </row>
    <row r="25" spans="1:7" x14ac:dyDescent="0.2">
      <c r="A25" s="526">
        <v>40100000</v>
      </c>
      <c r="B25" s="527" t="s">
        <v>66</v>
      </c>
      <c r="C25" s="525">
        <v>0</v>
      </c>
      <c r="D25" s="525">
        <v>0</v>
      </c>
      <c r="E25" s="525">
        <v>0</v>
      </c>
      <c r="F25" s="525">
        <v>0</v>
      </c>
      <c r="G25" s="525">
        <v>0</v>
      </c>
    </row>
    <row r="26" spans="1:7" x14ac:dyDescent="0.2">
      <c r="A26" s="526">
        <v>40120000</v>
      </c>
      <c r="B26" s="527" t="s">
        <v>386</v>
      </c>
      <c r="C26" s="525">
        <v>2.9999999999999997E-4</v>
      </c>
      <c r="D26" s="525">
        <v>0</v>
      </c>
      <c r="E26" s="525">
        <v>0</v>
      </c>
      <c r="F26" s="525">
        <v>0</v>
      </c>
      <c r="G26" s="525">
        <v>2.9999999999999997E-4</v>
      </c>
    </row>
    <row r="27" spans="1:7" x14ac:dyDescent="0.2">
      <c r="A27" s="526">
        <v>40600000</v>
      </c>
      <c r="B27" s="527" t="s">
        <v>70</v>
      </c>
      <c r="C27" s="525">
        <v>0</v>
      </c>
      <c r="D27" s="525">
        <v>1440128.993</v>
      </c>
      <c r="E27" s="525">
        <v>1367960.067</v>
      </c>
      <c r="F27" s="525">
        <v>72168.926000000007</v>
      </c>
      <c r="G27" s="525">
        <v>72168.926000000007</v>
      </c>
    </row>
    <row r="28" spans="1:7" x14ac:dyDescent="0.2">
      <c r="A28" s="526">
        <v>40800000</v>
      </c>
      <c r="B28" s="527" t="s">
        <v>71</v>
      </c>
      <c r="C28" s="525">
        <v>1E-4</v>
      </c>
      <c r="D28" s="525">
        <v>0</v>
      </c>
      <c r="E28" s="525">
        <v>0</v>
      </c>
      <c r="F28" s="525">
        <v>0</v>
      </c>
      <c r="G28" s="525">
        <v>1E-4</v>
      </c>
    </row>
    <row r="29" spans="1:7" x14ac:dyDescent="0.2">
      <c r="A29" s="526">
        <v>40810000</v>
      </c>
      <c r="B29" s="527" t="s">
        <v>391</v>
      </c>
      <c r="C29" s="525">
        <v>0</v>
      </c>
      <c r="D29" s="525">
        <v>3527.701</v>
      </c>
      <c r="E29" s="525">
        <v>5123.701</v>
      </c>
      <c r="F29" s="525">
        <v>-1596</v>
      </c>
      <c r="G29" s="525">
        <v>-1596</v>
      </c>
    </row>
    <row r="30" spans="1:7" x14ac:dyDescent="0.2">
      <c r="A30" s="526">
        <v>41100000</v>
      </c>
      <c r="B30" s="527" t="s">
        <v>73</v>
      </c>
      <c r="C30" s="525">
        <v>-4.0000000000000002E-4</v>
      </c>
      <c r="D30" s="525">
        <v>0</v>
      </c>
      <c r="E30" s="525">
        <v>0</v>
      </c>
      <c r="F30" s="525">
        <v>0</v>
      </c>
      <c r="G30" s="525">
        <v>-4.0000000000000002E-4</v>
      </c>
    </row>
    <row r="31" spans="1:7" x14ac:dyDescent="0.2">
      <c r="A31" s="526">
        <v>41500000</v>
      </c>
      <c r="B31" s="527" t="s">
        <v>75</v>
      </c>
      <c r="C31" s="525">
        <v>-4.0000000000000002E-4</v>
      </c>
      <c r="D31" s="525">
        <v>3757277.7850000001</v>
      </c>
      <c r="E31" s="525">
        <v>3757277.7850000001</v>
      </c>
      <c r="F31" s="525">
        <v>0</v>
      </c>
      <c r="G31" s="525">
        <v>-4.0000000000000002E-4</v>
      </c>
    </row>
    <row r="32" spans="1:7" x14ac:dyDescent="0.2">
      <c r="A32" s="526">
        <v>41800000</v>
      </c>
      <c r="B32" s="527" t="s">
        <v>307</v>
      </c>
      <c r="C32" s="525">
        <v>4.0000000000000002E-4</v>
      </c>
      <c r="D32" s="525">
        <v>0</v>
      </c>
      <c r="E32" s="525">
        <v>0</v>
      </c>
      <c r="F32" s="525">
        <v>0</v>
      </c>
      <c r="G32" s="525">
        <v>4.0000000000000002E-4</v>
      </c>
    </row>
    <row r="33" spans="1:7" x14ac:dyDescent="0.2">
      <c r="A33" s="526">
        <v>42820000</v>
      </c>
      <c r="B33" s="525" t="s">
        <v>83</v>
      </c>
      <c r="C33" s="525">
        <v>0</v>
      </c>
      <c r="D33" s="525">
        <v>2316817.4890000001</v>
      </c>
      <c r="E33" s="525">
        <v>2560652.4890000001</v>
      </c>
      <c r="F33" s="525">
        <v>-243835</v>
      </c>
      <c r="G33" s="525">
        <v>-243835</v>
      </c>
    </row>
    <row r="34" spans="1:7" x14ac:dyDescent="0.2">
      <c r="A34" s="526">
        <v>45310000</v>
      </c>
      <c r="B34" s="525" t="s">
        <v>104</v>
      </c>
      <c r="C34" s="525">
        <v>0</v>
      </c>
      <c r="D34" s="525">
        <v>501923.42</v>
      </c>
      <c r="E34" s="525">
        <v>539308.98699999996</v>
      </c>
      <c r="F34" s="525">
        <v>-37385.567000000003</v>
      </c>
      <c r="G34" s="525">
        <v>-37385.567000000003</v>
      </c>
    </row>
    <row r="35" spans="1:7" x14ac:dyDescent="0.2">
      <c r="A35" s="526">
        <v>45860000</v>
      </c>
      <c r="B35" s="525" t="s">
        <v>106</v>
      </c>
      <c r="C35" s="525">
        <v>-2.9999999999999997E-4</v>
      </c>
      <c r="D35" s="525">
        <v>5579395.2050000001</v>
      </c>
      <c r="E35" s="525">
        <v>6893772.5970000001</v>
      </c>
      <c r="F35" s="525">
        <v>-1314377.392</v>
      </c>
      <c r="G35" s="525">
        <v>-1314377.3922999999</v>
      </c>
    </row>
    <row r="36" spans="1:7" x14ac:dyDescent="0.2">
      <c r="A36" s="526">
        <v>45870000</v>
      </c>
      <c r="B36" s="525" t="s">
        <v>107</v>
      </c>
      <c r="C36" s="525">
        <v>0</v>
      </c>
      <c r="D36" s="525">
        <v>318806.96100000001</v>
      </c>
      <c r="E36" s="525">
        <v>48636.794999999998</v>
      </c>
      <c r="F36" s="525">
        <v>270170.16600000003</v>
      </c>
      <c r="G36" s="525">
        <v>270170.16600000003</v>
      </c>
    </row>
    <row r="37" spans="1:7" x14ac:dyDescent="0.2">
      <c r="A37" s="526">
        <v>47100000</v>
      </c>
      <c r="B37" s="525" t="s">
        <v>109</v>
      </c>
      <c r="C37" s="525">
        <v>1E-4</v>
      </c>
      <c r="D37" s="525">
        <v>1338267.6399999999</v>
      </c>
      <c r="E37" s="525">
        <v>1199763.1569999999</v>
      </c>
      <c r="F37" s="525">
        <v>138504.48300000001</v>
      </c>
      <c r="G37" s="525">
        <v>138504.48310000001</v>
      </c>
    </row>
    <row r="38" spans="1:7" x14ac:dyDescent="0.2">
      <c r="A38" s="526">
        <v>49100000</v>
      </c>
      <c r="B38" s="525" t="s">
        <v>110</v>
      </c>
      <c r="C38" s="525">
        <v>0</v>
      </c>
      <c r="D38" s="525">
        <v>850000</v>
      </c>
      <c r="E38" s="525">
        <v>1150000</v>
      </c>
      <c r="F38" s="525">
        <v>-300000</v>
      </c>
      <c r="G38" s="525">
        <v>-300000</v>
      </c>
    </row>
    <row r="39" spans="1:7" x14ac:dyDescent="0.2">
      <c r="A39" s="526">
        <v>53205700</v>
      </c>
      <c r="B39" s="525" t="s">
        <v>129</v>
      </c>
      <c r="C39" s="525">
        <v>0</v>
      </c>
      <c r="D39" s="525">
        <v>554503.19339999999</v>
      </c>
      <c r="E39" s="525">
        <v>664487.51139999996</v>
      </c>
      <c r="F39" s="525">
        <v>-109984.318</v>
      </c>
      <c r="G39" s="525">
        <v>-109984.318</v>
      </c>
    </row>
    <row r="40" spans="1:7" x14ac:dyDescent="0.2">
      <c r="A40" s="526">
        <v>53205800</v>
      </c>
      <c r="B40" s="525" t="s">
        <v>130</v>
      </c>
      <c r="C40" s="525">
        <v>0</v>
      </c>
      <c r="D40" s="525">
        <v>403.17099999999999</v>
      </c>
      <c r="E40" s="525">
        <v>388.15100000000001</v>
      </c>
      <c r="F40" s="525">
        <v>15.02</v>
      </c>
      <c r="G40" s="525">
        <v>15.02</v>
      </c>
    </row>
    <row r="41" spans="1:7" x14ac:dyDescent="0.2">
      <c r="A41" s="526">
        <v>60110110</v>
      </c>
      <c r="B41" s="525" t="s">
        <v>403</v>
      </c>
      <c r="C41" s="525">
        <v>0</v>
      </c>
      <c r="D41" s="525">
        <v>1463593.0149999999</v>
      </c>
      <c r="E41" s="525">
        <v>1463593.0149999999</v>
      </c>
      <c r="F41" s="525">
        <v>0</v>
      </c>
      <c r="G41" s="525">
        <v>0</v>
      </c>
    </row>
    <row r="42" spans="1:7" x14ac:dyDescent="0.2">
      <c r="A42" s="526">
        <v>60110500</v>
      </c>
      <c r="B42" s="525" t="s">
        <v>144</v>
      </c>
      <c r="C42" s="525">
        <v>0</v>
      </c>
      <c r="D42" s="525">
        <v>3677.7440000000001</v>
      </c>
      <c r="E42" s="525">
        <v>3677.7440000000001</v>
      </c>
      <c r="F42" s="525">
        <v>0</v>
      </c>
      <c r="G42" s="525">
        <v>0</v>
      </c>
    </row>
    <row r="43" spans="1:7" x14ac:dyDescent="0.2">
      <c r="A43" s="526">
        <v>60110900</v>
      </c>
      <c r="B43" s="525" t="s">
        <v>147</v>
      </c>
      <c r="C43" s="525">
        <v>0</v>
      </c>
      <c r="D43" s="525">
        <v>160605.66099999999</v>
      </c>
      <c r="E43" s="525">
        <v>160189.03599999999</v>
      </c>
      <c r="F43" s="525">
        <v>416.625</v>
      </c>
      <c r="G43" s="525">
        <v>416.625</v>
      </c>
    </row>
    <row r="44" spans="1:7" x14ac:dyDescent="0.2">
      <c r="A44" s="526">
        <v>60120200</v>
      </c>
      <c r="B44" s="525" t="s">
        <v>8977</v>
      </c>
      <c r="C44" s="525">
        <v>0</v>
      </c>
      <c r="D44" s="525">
        <v>492</v>
      </c>
      <c r="E44" s="525">
        <v>492</v>
      </c>
      <c r="F44" s="525">
        <v>0</v>
      </c>
      <c r="G44" s="525">
        <v>0</v>
      </c>
    </row>
    <row r="45" spans="1:7" x14ac:dyDescent="0.2">
      <c r="A45" s="526">
        <v>60120300</v>
      </c>
      <c r="B45" s="525" t="s">
        <v>409</v>
      </c>
      <c r="C45" s="525">
        <v>0</v>
      </c>
      <c r="D45" s="525">
        <v>438945.11</v>
      </c>
      <c r="E45" s="525">
        <v>426285.11</v>
      </c>
      <c r="F45" s="525">
        <v>12660</v>
      </c>
      <c r="G45" s="525">
        <v>12660</v>
      </c>
    </row>
    <row r="46" spans="1:7" x14ac:dyDescent="0.2">
      <c r="A46" s="526">
        <v>60120400</v>
      </c>
      <c r="B46" s="525" t="s">
        <v>410</v>
      </c>
      <c r="C46" s="525">
        <v>0</v>
      </c>
      <c r="D46" s="525">
        <v>157330.79999999999</v>
      </c>
      <c r="E46" s="525">
        <v>157330.79999999999</v>
      </c>
      <c r="F46" s="525">
        <v>0</v>
      </c>
      <c r="G46" s="525">
        <v>0</v>
      </c>
    </row>
    <row r="47" spans="1:7" x14ac:dyDescent="0.2">
      <c r="A47" s="526">
        <v>60121500</v>
      </c>
      <c r="B47" s="525" t="s">
        <v>404</v>
      </c>
      <c r="C47" s="525">
        <v>0</v>
      </c>
      <c r="D47" s="525">
        <v>154800</v>
      </c>
      <c r="E47" s="525">
        <v>154800</v>
      </c>
      <c r="F47" s="525">
        <v>0</v>
      </c>
      <c r="G47" s="525">
        <v>0</v>
      </c>
    </row>
    <row r="48" spans="1:7" x14ac:dyDescent="0.2">
      <c r="A48" s="526">
        <v>60122100</v>
      </c>
      <c r="B48" s="525" t="s">
        <v>155</v>
      </c>
      <c r="C48" s="525">
        <v>0</v>
      </c>
      <c r="D48" s="525">
        <v>26730</v>
      </c>
      <c r="E48" s="525">
        <v>26730</v>
      </c>
      <c r="F48" s="525">
        <v>0</v>
      </c>
      <c r="G48" s="525">
        <v>0</v>
      </c>
    </row>
    <row r="49" spans="1:7" x14ac:dyDescent="0.2">
      <c r="A49" s="526">
        <v>60122200</v>
      </c>
      <c r="B49" s="525" t="s">
        <v>156</v>
      </c>
      <c r="C49" s="525">
        <v>0</v>
      </c>
      <c r="D49" s="525">
        <v>12789</v>
      </c>
      <c r="E49" s="525">
        <v>12789</v>
      </c>
      <c r="F49" s="525">
        <v>0</v>
      </c>
      <c r="G49" s="525">
        <v>0</v>
      </c>
    </row>
    <row r="50" spans="1:7" x14ac:dyDescent="0.2">
      <c r="A50" s="526">
        <v>60122411</v>
      </c>
      <c r="B50" s="525" t="s">
        <v>367</v>
      </c>
      <c r="C50" s="525">
        <v>0</v>
      </c>
      <c r="D50" s="525">
        <v>1314.8</v>
      </c>
      <c r="E50" s="525">
        <v>1154.8</v>
      </c>
      <c r="F50" s="525">
        <v>160</v>
      </c>
      <c r="G50" s="525">
        <v>160</v>
      </c>
    </row>
    <row r="51" spans="1:7" x14ac:dyDescent="0.2">
      <c r="A51" s="526">
        <v>60122510</v>
      </c>
      <c r="B51" s="525" t="s">
        <v>368</v>
      </c>
      <c r="C51" s="525">
        <v>0</v>
      </c>
      <c r="D51" s="525">
        <v>1931.701</v>
      </c>
      <c r="E51" s="525">
        <v>1931.701</v>
      </c>
      <c r="F51" s="525">
        <v>0</v>
      </c>
      <c r="G51" s="525">
        <v>0</v>
      </c>
    </row>
    <row r="52" spans="1:7" x14ac:dyDescent="0.2">
      <c r="A52" s="526">
        <v>60122700</v>
      </c>
      <c r="B52" s="525" t="s">
        <v>7567</v>
      </c>
      <c r="C52" s="525">
        <v>0</v>
      </c>
      <c r="D52" s="525">
        <v>12212.5</v>
      </c>
      <c r="E52" s="525">
        <v>12212.5</v>
      </c>
      <c r="F52" s="525">
        <v>0</v>
      </c>
      <c r="G52" s="525">
        <v>0</v>
      </c>
    </row>
    <row r="53" spans="1:7" x14ac:dyDescent="0.2">
      <c r="A53" s="526">
        <v>60171000</v>
      </c>
      <c r="B53" s="525" t="s">
        <v>369</v>
      </c>
      <c r="C53" s="525">
        <v>0</v>
      </c>
      <c r="D53" s="525">
        <v>345246.97499999998</v>
      </c>
      <c r="E53" s="525">
        <v>304956.96799999999</v>
      </c>
      <c r="F53" s="525">
        <v>40290.006999999998</v>
      </c>
      <c r="G53" s="525">
        <v>40290.006999999998</v>
      </c>
    </row>
    <row r="54" spans="1:7" x14ac:dyDescent="0.2">
      <c r="A54" s="526">
        <v>60172000</v>
      </c>
      <c r="B54" s="525" t="s">
        <v>169</v>
      </c>
      <c r="C54" s="525">
        <v>0</v>
      </c>
      <c r="D54" s="525">
        <v>616662.93599999999</v>
      </c>
      <c r="E54" s="525">
        <v>500478.42099999997</v>
      </c>
      <c r="F54" s="525">
        <v>116184.515</v>
      </c>
      <c r="G54" s="525">
        <v>116184.515</v>
      </c>
    </row>
    <row r="55" spans="1:7" x14ac:dyDescent="0.2">
      <c r="A55" s="526">
        <v>60173000</v>
      </c>
      <c r="B55" s="525" t="s">
        <v>170</v>
      </c>
      <c r="C55" s="525">
        <v>0</v>
      </c>
      <c r="D55" s="525">
        <v>50469.235000000001</v>
      </c>
      <c r="E55" s="525">
        <v>42681.502</v>
      </c>
      <c r="F55" s="525">
        <v>7787.7330000000002</v>
      </c>
      <c r="G55" s="525">
        <v>7787.7330000000002</v>
      </c>
    </row>
    <row r="56" spans="1:7" x14ac:dyDescent="0.2">
      <c r="A56" s="526">
        <v>60260400</v>
      </c>
      <c r="B56" s="525" t="s">
        <v>161</v>
      </c>
      <c r="C56" s="525">
        <v>0</v>
      </c>
      <c r="D56" s="525">
        <v>14147</v>
      </c>
      <c r="E56" s="525">
        <v>9653.4</v>
      </c>
      <c r="F56" s="525">
        <v>4493.6000000000004</v>
      </c>
      <c r="G56" s="525">
        <v>4493.6000000000004</v>
      </c>
    </row>
    <row r="57" spans="1:7" x14ac:dyDescent="0.2">
      <c r="A57" s="526">
        <v>60260700</v>
      </c>
      <c r="B57" s="525" t="s">
        <v>163</v>
      </c>
      <c r="C57" s="525">
        <v>0</v>
      </c>
      <c r="D57" s="525">
        <v>5845.7</v>
      </c>
      <c r="E57" s="525">
        <v>5845.7</v>
      </c>
      <c r="F57" s="525">
        <v>0</v>
      </c>
      <c r="G57" s="525">
        <v>0</v>
      </c>
    </row>
    <row r="58" spans="1:7" x14ac:dyDescent="0.2">
      <c r="A58" s="526">
        <v>60262000</v>
      </c>
      <c r="B58" s="525" t="s">
        <v>164</v>
      </c>
      <c r="C58" s="525">
        <v>0</v>
      </c>
      <c r="D58" s="525">
        <v>21103.929</v>
      </c>
      <c r="E58" s="525">
        <v>13960</v>
      </c>
      <c r="F58" s="525">
        <v>7143.9290000000001</v>
      </c>
      <c r="G58" s="525">
        <v>7143.9290000000001</v>
      </c>
    </row>
    <row r="59" spans="1:7" x14ac:dyDescent="0.2">
      <c r="A59" s="526">
        <v>60263000</v>
      </c>
      <c r="B59" s="525" t="s">
        <v>165</v>
      </c>
      <c r="C59" s="525">
        <v>0</v>
      </c>
      <c r="D59" s="525">
        <v>8964.4979999999996</v>
      </c>
      <c r="E59" s="525">
        <v>3249.402</v>
      </c>
      <c r="F59" s="525">
        <v>5715.0959999999995</v>
      </c>
      <c r="G59" s="525">
        <v>5715.0959999999995</v>
      </c>
    </row>
    <row r="60" spans="1:7" x14ac:dyDescent="0.2">
      <c r="A60" s="526">
        <v>60310000</v>
      </c>
      <c r="B60" s="525" t="s">
        <v>265</v>
      </c>
      <c r="C60" s="525">
        <v>0</v>
      </c>
      <c r="D60" s="525">
        <v>89045796.981099993</v>
      </c>
      <c r="E60" s="525">
        <v>98909283.749200001</v>
      </c>
      <c r="F60" s="525">
        <v>-9863486.7681000009</v>
      </c>
      <c r="G60" s="525">
        <v>-9863486.7681000009</v>
      </c>
    </row>
    <row r="61" spans="1:7" x14ac:dyDescent="0.2">
      <c r="A61" s="526">
        <v>60330000</v>
      </c>
      <c r="B61" s="525" t="s">
        <v>266</v>
      </c>
      <c r="C61" s="525">
        <v>0</v>
      </c>
      <c r="D61" s="525">
        <v>5928172.3435000004</v>
      </c>
      <c r="E61" s="525">
        <v>6653488.2055000002</v>
      </c>
      <c r="F61" s="525">
        <v>-725315.86199999996</v>
      </c>
      <c r="G61" s="525">
        <v>-725315.86199999996</v>
      </c>
    </row>
    <row r="62" spans="1:7" x14ac:dyDescent="0.2">
      <c r="A62" s="526">
        <v>60401000</v>
      </c>
      <c r="B62" s="525" t="s">
        <v>166</v>
      </c>
      <c r="C62" s="525">
        <v>0</v>
      </c>
      <c r="D62" s="525">
        <v>407325.00099999999</v>
      </c>
      <c r="E62" s="525">
        <v>312524.00099999999</v>
      </c>
      <c r="F62" s="525">
        <v>94801</v>
      </c>
      <c r="G62" s="525">
        <v>94801</v>
      </c>
    </row>
    <row r="63" spans="1:7" x14ac:dyDescent="0.2">
      <c r="A63" s="526">
        <v>60502000</v>
      </c>
      <c r="B63" s="525" t="s">
        <v>167</v>
      </c>
      <c r="C63" s="525">
        <v>0</v>
      </c>
      <c r="D63" s="525">
        <v>58949.224000000002</v>
      </c>
      <c r="E63" s="525">
        <v>58469.224000000002</v>
      </c>
      <c r="F63" s="525">
        <v>480</v>
      </c>
      <c r="G63" s="525">
        <v>480</v>
      </c>
    </row>
    <row r="64" spans="1:7" x14ac:dyDescent="0.2">
      <c r="A64" s="526">
        <v>60614000</v>
      </c>
      <c r="B64" s="525" t="s">
        <v>171</v>
      </c>
      <c r="C64" s="525">
        <v>0</v>
      </c>
      <c r="D64" s="525">
        <v>7104.1120000000001</v>
      </c>
      <c r="E64" s="525">
        <v>0</v>
      </c>
      <c r="F64" s="525">
        <v>7104.1120000000001</v>
      </c>
      <c r="G64" s="525">
        <v>7104.1120000000001</v>
      </c>
    </row>
    <row r="65" spans="1:7" x14ac:dyDescent="0.2">
      <c r="A65" s="526">
        <v>60620000</v>
      </c>
      <c r="B65" s="525" t="s">
        <v>172</v>
      </c>
      <c r="C65" s="525">
        <v>0</v>
      </c>
      <c r="D65" s="525">
        <v>2667.7</v>
      </c>
      <c r="E65" s="525">
        <v>2667.7</v>
      </c>
      <c r="F65" s="525">
        <v>0</v>
      </c>
      <c r="G65" s="525">
        <v>0</v>
      </c>
    </row>
    <row r="66" spans="1:7" x14ac:dyDescent="0.2">
      <c r="A66" s="526">
        <v>60650000</v>
      </c>
      <c r="B66" s="525" t="s">
        <v>373</v>
      </c>
      <c r="C66" s="525">
        <v>0</v>
      </c>
      <c r="D66" s="525">
        <v>4050</v>
      </c>
      <c r="E66" s="525">
        <v>1350</v>
      </c>
      <c r="F66" s="525">
        <v>2700</v>
      </c>
      <c r="G66" s="525">
        <v>2700</v>
      </c>
    </row>
    <row r="67" spans="1:7" x14ac:dyDescent="0.2">
      <c r="A67" s="526">
        <v>60670000</v>
      </c>
      <c r="B67" s="525" t="s">
        <v>174</v>
      </c>
      <c r="C67" s="525">
        <v>0</v>
      </c>
      <c r="D67" s="525">
        <v>2481.85</v>
      </c>
      <c r="E67" s="525">
        <v>2193.3000000000002</v>
      </c>
      <c r="F67" s="525">
        <v>288.55</v>
      </c>
      <c r="G67" s="525">
        <v>288.55</v>
      </c>
    </row>
    <row r="68" spans="1:7" x14ac:dyDescent="0.2">
      <c r="A68" s="526">
        <v>60671000</v>
      </c>
      <c r="B68" s="525" t="s">
        <v>374</v>
      </c>
      <c r="C68" s="525">
        <v>0</v>
      </c>
      <c r="D68" s="525">
        <v>13634.6</v>
      </c>
      <c r="E68" s="525">
        <v>13634.6</v>
      </c>
      <c r="F68" s="525">
        <v>0</v>
      </c>
      <c r="G68" s="525">
        <v>0</v>
      </c>
    </row>
    <row r="69" spans="1:7" x14ac:dyDescent="0.2">
      <c r="A69" s="526">
        <v>61500000</v>
      </c>
      <c r="B69" s="525" t="s">
        <v>176</v>
      </c>
      <c r="C69" s="525">
        <v>0</v>
      </c>
      <c r="D69" s="525">
        <v>63225.974999999999</v>
      </c>
      <c r="E69" s="525">
        <v>63225.974999999999</v>
      </c>
      <c r="F69" s="525">
        <v>0</v>
      </c>
      <c r="G69" s="525">
        <v>0</v>
      </c>
    </row>
    <row r="70" spans="1:7" x14ac:dyDescent="0.2">
      <c r="A70" s="526">
        <v>61501000</v>
      </c>
      <c r="B70" s="525" t="s">
        <v>177</v>
      </c>
      <c r="C70" s="525">
        <v>0</v>
      </c>
      <c r="D70" s="525">
        <v>15575.949000000001</v>
      </c>
      <c r="E70" s="525">
        <v>6335.5969999999998</v>
      </c>
      <c r="F70" s="525">
        <v>9240.3520000000008</v>
      </c>
      <c r="G70" s="525">
        <v>9240.3520000000008</v>
      </c>
    </row>
    <row r="71" spans="1:7" x14ac:dyDescent="0.2">
      <c r="A71" s="526">
        <v>61600000</v>
      </c>
      <c r="B71" s="525" t="s">
        <v>397</v>
      </c>
      <c r="C71" s="525">
        <v>0</v>
      </c>
      <c r="D71" s="525">
        <v>52904.932999999997</v>
      </c>
      <c r="E71" s="525">
        <v>59042.932999999997</v>
      </c>
      <c r="F71" s="525">
        <v>-6138</v>
      </c>
      <c r="G71" s="525">
        <v>-6138</v>
      </c>
    </row>
    <row r="72" spans="1:7" x14ac:dyDescent="0.2">
      <c r="A72" s="526">
        <v>61603000</v>
      </c>
      <c r="B72" s="525" t="s">
        <v>178</v>
      </c>
      <c r="C72" s="525">
        <v>0</v>
      </c>
      <c r="D72" s="525">
        <v>86634.448000000004</v>
      </c>
      <c r="E72" s="525">
        <v>63572.807999999997</v>
      </c>
      <c r="F72" s="525">
        <v>23061.64</v>
      </c>
      <c r="G72" s="525">
        <v>23061.64</v>
      </c>
    </row>
    <row r="73" spans="1:7" x14ac:dyDescent="0.2">
      <c r="A73" s="526">
        <v>62210000</v>
      </c>
      <c r="B73" s="525" t="s">
        <v>398</v>
      </c>
      <c r="C73" s="525">
        <v>0</v>
      </c>
      <c r="D73" s="525">
        <v>0</v>
      </c>
      <c r="E73" s="525">
        <v>7800</v>
      </c>
      <c r="F73" s="525">
        <v>-7800</v>
      </c>
      <c r="G73" s="525">
        <v>-7800</v>
      </c>
    </row>
    <row r="74" spans="1:7" x14ac:dyDescent="0.2">
      <c r="A74" s="526">
        <v>62230000</v>
      </c>
      <c r="B74" s="525" t="s">
        <v>375</v>
      </c>
      <c r="C74" s="525">
        <v>0</v>
      </c>
      <c r="D74" s="525">
        <v>33567.324000000001</v>
      </c>
      <c r="E74" s="525">
        <v>11166.666999999999</v>
      </c>
      <c r="F74" s="525">
        <v>22400.656999999999</v>
      </c>
      <c r="G74" s="525">
        <v>22400.656999999999</v>
      </c>
    </row>
    <row r="75" spans="1:7" x14ac:dyDescent="0.2">
      <c r="A75" s="526">
        <v>62240000</v>
      </c>
      <c r="B75" s="525" t="s">
        <v>267</v>
      </c>
      <c r="C75" s="525">
        <v>0</v>
      </c>
      <c r="D75" s="525">
        <v>198720.65</v>
      </c>
      <c r="E75" s="525">
        <v>218203.06700000001</v>
      </c>
      <c r="F75" s="525">
        <v>-19482.417000000001</v>
      </c>
      <c r="G75" s="525">
        <v>-19482.417000000001</v>
      </c>
    </row>
    <row r="76" spans="1:7" x14ac:dyDescent="0.2">
      <c r="A76" s="526">
        <v>62250000</v>
      </c>
      <c r="B76" s="525" t="s">
        <v>268</v>
      </c>
      <c r="C76" s="525">
        <v>0</v>
      </c>
      <c r="D76" s="525">
        <v>100000</v>
      </c>
      <c r="E76" s="525">
        <v>67500</v>
      </c>
      <c r="F76" s="525">
        <v>32500</v>
      </c>
      <c r="G76" s="525">
        <v>32500</v>
      </c>
    </row>
    <row r="77" spans="1:7" x14ac:dyDescent="0.2">
      <c r="A77" s="526">
        <v>62260000</v>
      </c>
      <c r="B77" s="525" t="s">
        <v>7402</v>
      </c>
      <c r="C77" s="525">
        <v>0</v>
      </c>
      <c r="D77" s="525">
        <v>10000</v>
      </c>
      <c r="E77" s="525">
        <v>0</v>
      </c>
      <c r="F77" s="525">
        <v>10000</v>
      </c>
      <c r="G77" s="525">
        <v>10000</v>
      </c>
    </row>
    <row r="78" spans="1:7" x14ac:dyDescent="0.2">
      <c r="A78" s="526">
        <v>62270000</v>
      </c>
      <c r="B78" s="525" t="s">
        <v>399</v>
      </c>
      <c r="C78" s="525">
        <v>0</v>
      </c>
      <c r="D78" s="525">
        <v>4450.84</v>
      </c>
      <c r="E78" s="525">
        <v>4450.84</v>
      </c>
      <c r="F78" s="525">
        <v>0</v>
      </c>
      <c r="G78" s="525">
        <v>0</v>
      </c>
    </row>
    <row r="79" spans="1:7" x14ac:dyDescent="0.2">
      <c r="A79" s="526">
        <v>62300000</v>
      </c>
      <c r="B79" s="525" t="s">
        <v>182</v>
      </c>
      <c r="C79" s="525">
        <v>0</v>
      </c>
      <c r="D79" s="525">
        <v>322000</v>
      </c>
      <c r="E79" s="525">
        <v>241500</v>
      </c>
      <c r="F79" s="525">
        <v>80500</v>
      </c>
      <c r="G79" s="525">
        <v>80500</v>
      </c>
    </row>
    <row r="80" spans="1:7" x14ac:dyDescent="0.2">
      <c r="A80" s="526">
        <v>62430000</v>
      </c>
      <c r="B80" s="525" t="s">
        <v>159</v>
      </c>
      <c r="C80" s="525">
        <v>0</v>
      </c>
      <c r="D80" s="525">
        <v>177756.45</v>
      </c>
      <c r="E80" s="525">
        <v>93756.45</v>
      </c>
      <c r="F80" s="525">
        <v>84000</v>
      </c>
      <c r="G80" s="525">
        <v>84000</v>
      </c>
    </row>
    <row r="81" spans="1:7" x14ac:dyDescent="0.2">
      <c r="A81" s="526">
        <v>62510000</v>
      </c>
      <c r="B81" s="525" t="s">
        <v>7571</v>
      </c>
      <c r="C81" s="525">
        <v>0</v>
      </c>
      <c r="D81" s="525">
        <v>40000</v>
      </c>
      <c r="E81" s="525">
        <v>20000</v>
      </c>
      <c r="F81" s="525">
        <v>20000</v>
      </c>
      <c r="G81" s="525">
        <v>20000</v>
      </c>
    </row>
    <row r="82" spans="1:7" x14ac:dyDescent="0.2">
      <c r="A82" s="526">
        <v>62600000</v>
      </c>
      <c r="B82" s="525" t="s">
        <v>188</v>
      </c>
      <c r="C82" s="525">
        <v>0</v>
      </c>
      <c r="D82" s="525">
        <v>13128</v>
      </c>
      <c r="E82" s="525">
        <v>13128</v>
      </c>
      <c r="F82" s="525">
        <v>0</v>
      </c>
      <c r="G82" s="525">
        <v>0</v>
      </c>
    </row>
    <row r="83" spans="1:7" x14ac:dyDescent="0.2">
      <c r="A83" s="526">
        <v>62780000</v>
      </c>
      <c r="B83" s="525" t="s">
        <v>189</v>
      </c>
      <c r="C83" s="525">
        <v>0</v>
      </c>
      <c r="D83" s="525">
        <v>129665.60799999999</v>
      </c>
      <c r="E83" s="525">
        <v>121851.208</v>
      </c>
      <c r="F83" s="525">
        <v>7814.4</v>
      </c>
      <c r="G83" s="525">
        <v>7814.4</v>
      </c>
    </row>
    <row r="84" spans="1:7" x14ac:dyDescent="0.2">
      <c r="A84" s="526">
        <v>63300000</v>
      </c>
      <c r="B84" s="525" t="s">
        <v>269</v>
      </c>
      <c r="C84" s="525">
        <v>0</v>
      </c>
      <c r="D84" s="525">
        <v>291666.66800000001</v>
      </c>
      <c r="E84" s="525">
        <v>218750.00099999999</v>
      </c>
      <c r="F84" s="525">
        <v>72916.667000000001</v>
      </c>
      <c r="G84" s="525">
        <v>72916.667000000001</v>
      </c>
    </row>
    <row r="85" spans="1:7" x14ac:dyDescent="0.2">
      <c r="A85" s="526">
        <v>64001000</v>
      </c>
      <c r="B85" s="525" t="s">
        <v>191</v>
      </c>
      <c r="C85" s="525">
        <v>0</v>
      </c>
      <c r="D85" s="525">
        <v>413518.88400000002</v>
      </c>
      <c r="E85" s="525">
        <v>413518.88400000002</v>
      </c>
      <c r="F85" s="525">
        <v>0</v>
      </c>
      <c r="G85" s="525">
        <v>0</v>
      </c>
    </row>
    <row r="86" spans="1:7" x14ac:dyDescent="0.2">
      <c r="A86" s="526">
        <v>64001100</v>
      </c>
      <c r="B86" s="525" t="s">
        <v>405</v>
      </c>
      <c r="C86" s="525">
        <v>0</v>
      </c>
      <c r="D86" s="525">
        <v>700000</v>
      </c>
      <c r="E86" s="525">
        <v>525000</v>
      </c>
      <c r="F86" s="525">
        <v>175000</v>
      </c>
      <c r="G86" s="525">
        <v>175000</v>
      </c>
    </row>
    <row r="87" spans="1:7" x14ac:dyDescent="0.2">
      <c r="A87" s="526">
        <v>64020000</v>
      </c>
      <c r="B87" s="525" t="s">
        <v>406</v>
      </c>
      <c r="C87" s="525">
        <v>0</v>
      </c>
      <c r="D87" s="525">
        <v>988699.29299999995</v>
      </c>
      <c r="E87" s="525">
        <v>753788.64800000004</v>
      </c>
      <c r="F87" s="525">
        <v>234910.64499999999</v>
      </c>
      <c r="G87" s="525">
        <v>234910.64499999999</v>
      </c>
    </row>
    <row r="88" spans="1:7" x14ac:dyDescent="0.2">
      <c r="A88" s="526">
        <v>64600100</v>
      </c>
      <c r="B88" s="525" t="s">
        <v>407</v>
      </c>
      <c r="C88" s="525">
        <v>0</v>
      </c>
      <c r="D88" s="525">
        <v>2560652.4890000001</v>
      </c>
      <c r="E88" s="525">
        <v>2316817.4890000001</v>
      </c>
      <c r="F88" s="525">
        <v>243835</v>
      </c>
      <c r="G88" s="525">
        <v>243835</v>
      </c>
    </row>
    <row r="89" spans="1:7" x14ac:dyDescent="0.2">
      <c r="A89" s="526">
        <v>64603000</v>
      </c>
      <c r="B89" s="525" t="s">
        <v>7404</v>
      </c>
      <c r="C89" s="525">
        <v>0</v>
      </c>
      <c r="D89" s="525">
        <v>3192</v>
      </c>
      <c r="E89" s="525">
        <v>1596</v>
      </c>
      <c r="F89" s="525">
        <v>1596</v>
      </c>
      <c r="G89" s="525">
        <v>1596</v>
      </c>
    </row>
    <row r="90" spans="1:7" x14ac:dyDescent="0.2">
      <c r="A90" s="526">
        <v>64720000</v>
      </c>
      <c r="B90" s="525" t="s">
        <v>194</v>
      </c>
      <c r="C90" s="525">
        <v>0</v>
      </c>
      <c r="D90" s="525">
        <v>539308.98699999996</v>
      </c>
      <c r="E90" s="525">
        <v>501923.42</v>
      </c>
      <c r="F90" s="525">
        <v>37385.567000000003</v>
      </c>
      <c r="G90" s="525">
        <v>37385.567000000003</v>
      </c>
    </row>
    <row r="91" spans="1:7" x14ac:dyDescent="0.2">
      <c r="A91" s="526">
        <v>65110000</v>
      </c>
      <c r="B91" s="525" t="s">
        <v>8978</v>
      </c>
      <c r="C91" s="525">
        <v>0</v>
      </c>
      <c r="D91" s="525">
        <v>52845.873</v>
      </c>
      <c r="E91" s="525">
        <v>19392.053</v>
      </c>
      <c r="F91" s="525">
        <v>33453.82</v>
      </c>
      <c r="G91" s="525">
        <v>33453.82</v>
      </c>
    </row>
    <row r="92" spans="1:7" x14ac:dyDescent="0.2">
      <c r="A92" s="526">
        <v>65110200</v>
      </c>
      <c r="B92" s="525" t="s">
        <v>196</v>
      </c>
      <c r="C92" s="525">
        <v>0</v>
      </c>
      <c r="D92" s="525">
        <v>301877.261</v>
      </c>
      <c r="E92" s="525">
        <v>343265.1</v>
      </c>
      <c r="F92" s="525">
        <v>-41387.839</v>
      </c>
      <c r="G92" s="525">
        <v>-41387.839</v>
      </c>
    </row>
    <row r="93" spans="1:7" x14ac:dyDescent="0.2">
      <c r="A93" s="526">
        <v>65110400</v>
      </c>
      <c r="B93" s="525" t="s">
        <v>197</v>
      </c>
      <c r="C93" s="525">
        <v>0</v>
      </c>
      <c r="D93" s="525">
        <v>463717.98499999999</v>
      </c>
      <c r="E93" s="525">
        <v>527247.54500000004</v>
      </c>
      <c r="F93" s="525">
        <v>-63529.56</v>
      </c>
      <c r="G93" s="525">
        <v>-63529.56</v>
      </c>
    </row>
    <row r="94" spans="1:7" x14ac:dyDescent="0.2">
      <c r="A94" s="526">
        <v>65150000</v>
      </c>
      <c r="B94" s="525" t="s">
        <v>270</v>
      </c>
      <c r="C94" s="525">
        <v>0</v>
      </c>
      <c r="D94" s="525">
        <v>79798.357000000004</v>
      </c>
      <c r="E94" s="525">
        <v>61037.809000000001</v>
      </c>
      <c r="F94" s="525">
        <v>18760.547999999999</v>
      </c>
      <c r="G94" s="525">
        <v>18760.547999999999</v>
      </c>
    </row>
    <row r="95" spans="1:7" x14ac:dyDescent="0.2">
      <c r="A95" s="526">
        <v>65190000</v>
      </c>
      <c r="B95" s="525" t="s">
        <v>198</v>
      </c>
      <c r="C95" s="525">
        <v>0</v>
      </c>
      <c r="D95" s="525">
        <v>474428.36800000002</v>
      </c>
      <c r="E95" s="525">
        <v>443357.1</v>
      </c>
      <c r="F95" s="525">
        <v>31071.268</v>
      </c>
      <c r="G95" s="525">
        <v>31071.268</v>
      </c>
    </row>
    <row r="96" spans="1:7" x14ac:dyDescent="0.2">
      <c r="A96" s="526">
        <v>65500000</v>
      </c>
      <c r="B96" s="525" t="s">
        <v>7722</v>
      </c>
      <c r="C96" s="525">
        <v>0</v>
      </c>
      <c r="D96" s="525">
        <v>79865.165399999998</v>
      </c>
      <c r="E96" s="525">
        <v>42049.773399999998</v>
      </c>
      <c r="F96" s="525">
        <v>37815.392</v>
      </c>
      <c r="G96" s="525">
        <v>37815.392</v>
      </c>
    </row>
    <row r="97" spans="1:7" x14ac:dyDescent="0.2">
      <c r="A97" s="526">
        <v>66520000</v>
      </c>
      <c r="B97" s="525" t="s">
        <v>200</v>
      </c>
      <c r="C97" s="525">
        <v>0</v>
      </c>
      <c r="D97" s="525">
        <v>67260.845000000001</v>
      </c>
      <c r="E97" s="525">
        <v>55820.951000000001</v>
      </c>
      <c r="F97" s="525">
        <v>11439.894</v>
      </c>
      <c r="G97" s="525">
        <v>11439.894</v>
      </c>
    </row>
    <row r="98" spans="1:7" x14ac:dyDescent="0.2">
      <c r="A98" s="526">
        <v>66550000</v>
      </c>
      <c r="B98" s="525" t="s">
        <v>202</v>
      </c>
      <c r="C98" s="525">
        <v>0</v>
      </c>
      <c r="D98" s="525">
        <v>25200</v>
      </c>
      <c r="E98" s="525">
        <v>18900</v>
      </c>
      <c r="F98" s="525">
        <v>6300</v>
      </c>
      <c r="G98" s="525">
        <v>6300</v>
      </c>
    </row>
    <row r="99" spans="1:7" x14ac:dyDescent="0.2">
      <c r="A99" s="526">
        <v>68112000</v>
      </c>
      <c r="B99" s="525" t="s">
        <v>7390</v>
      </c>
      <c r="C99" s="525">
        <v>0</v>
      </c>
      <c r="D99" s="525">
        <v>6587691.4419999998</v>
      </c>
      <c r="E99" s="525">
        <v>4913744.8310000002</v>
      </c>
      <c r="F99" s="525">
        <v>1673946.611</v>
      </c>
      <c r="G99" s="525">
        <v>1673946.611</v>
      </c>
    </row>
    <row r="100" spans="1:7" x14ac:dyDescent="0.2">
      <c r="A100" s="526">
        <v>68150000</v>
      </c>
      <c r="B100" s="525" t="s">
        <v>9481</v>
      </c>
      <c r="C100" s="525">
        <v>0</v>
      </c>
      <c r="D100" s="525">
        <v>60000</v>
      </c>
      <c r="E100" s="525">
        <v>20000</v>
      </c>
      <c r="F100" s="525">
        <v>40000</v>
      </c>
      <c r="G100" s="525">
        <v>40000</v>
      </c>
    </row>
    <row r="101" spans="1:7" x14ac:dyDescent="0.2">
      <c r="A101" s="526">
        <v>68170000</v>
      </c>
      <c r="B101" s="525" t="s">
        <v>7577</v>
      </c>
      <c r="C101" s="525">
        <v>0</v>
      </c>
      <c r="D101" s="525">
        <v>1375000</v>
      </c>
      <c r="E101" s="525">
        <v>1000000</v>
      </c>
      <c r="F101" s="525">
        <v>375000</v>
      </c>
      <c r="G101" s="525">
        <v>375000</v>
      </c>
    </row>
    <row r="102" spans="1:7" x14ac:dyDescent="0.2">
      <c r="A102" s="526">
        <v>68180000</v>
      </c>
      <c r="B102" s="525" t="s">
        <v>8976</v>
      </c>
      <c r="C102" s="525">
        <v>0</v>
      </c>
      <c r="D102" s="525">
        <v>600000</v>
      </c>
      <c r="E102" s="525">
        <v>350000</v>
      </c>
      <c r="F102" s="525">
        <v>250000</v>
      </c>
      <c r="G102" s="525">
        <v>250000</v>
      </c>
    </row>
    <row r="103" spans="1:7" x14ac:dyDescent="0.2">
      <c r="A103" s="526">
        <v>70102000</v>
      </c>
      <c r="B103" s="525" t="s">
        <v>207</v>
      </c>
      <c r="C103" s="525">
        <v>0</v>
      </c>
      <c r="D103" s="525">
        <v>3757277.7850000001</v>
      </c>
      <c r="E103" s="525">
        <v>3757277.7850000001</v>
      </c>
      <c r="F103" s="525">
        <v>0</v>
      </c>
      <c r="G103" s="525">
        <v>0</v>
      </c>
    </row>
    <row r="104" spans="1:7" x14ac:dyDescent="0.2">
      <c r="A104" s="526">
        <v>70600000</v>
      </c>
      <c r="B104" s="525" t="s">
        <v>381</v>
      </c>
      <c r="C104" s="525">
        <v>0</v>
      </c>
      <c r="D104" s="525">
        <v>0</v>
      </c>
      <c r="E104" s="525">
        <v>266789.90000000002</v>
      </c>
      <c r="F104" s="525">
        <v>-266789.90000000002</v>
      </c>
      <c r="G104" s="525">
        <v>-266789.90000000002</v>
      </c>
    </row>
    <row r="105" spans="1:7" x14ac:dyDescent="0.2">
      <c r="A105" s="526">
        <v>70600500</v>
      </c>
      <c r="B105" s="525" t="s">
        <v>208</v>
      </c>
      <c r="C105" s="525">
        <v>0</v>
      </c>
      <c r="D105" s="525">
        <v>48636.794999999998</v>
      </c>
      <c r="E105" s="525">
        <v>52017.061000000002</v>
      </c>
      <c r="F105" s="525">
        <v>-3380.2660000000001</v>
      </c>
      <c r="G105" s="525">
        <v>-3380.2660000000001</v>
      </c>
    </row>
    <row r="106" spans="1:7" x14ac:dyDescent="0.2">
      <c r="A106" s="526">
        <v>71340000</v>
      </c>
      <c r="B106" s="525" t="s">
        <v>382</v>
      </c>
      <c r="C106" s="525">
        <v>0</v>
      </c>
      <c r="D106" s="525">
        <v>2233181.5079999999</v>
      </c>
      <c r="E106" s="525">
        <v>2233181.5079999999</v>
      </c>
      <c r="F106" s="525">
        <v>0</v>
      </c>
      <c r="G106" s="525">
        <v>0</v>
      </c>
    </row>
    <row r="107" spans="1:7" x14ac:dyDescent="0.2">
      <c r="A107" s="526">
        <v>71350000</v>
      </c>
      <c r="B107" s="525" t="s">
        <v>209</v>
      </c>
      <c r="C107" s="525">
        <v>0</v>
      </c>
      <c r="D107" s="525">
        <v>47052839.3288</v>
      </c>
      <c r="E107" s="525">
        <v>52094377.414800003</v>
      </c>
      <c r="F107" s="525">
        <v>-5041538.0860000001</v>
      </c>
      <c r="G107" s="525">
        <v>-5041538.0860000001</v>
      </c>
    </row>
    <row r="108" spans="1:7" x14ac:dyDescent="0.2">
      <c r="A108" s="526">
        <v>73900000</v>
      </c>
      <c r="B108" s="525" t="s">
        <v>213</v>
      </c>
      <c r="C108" s="525">
        <v>0</v>
      </c>
      <c r="D108" s="525">
        <v>425930.8</v>
      </c>
      <c r="E108" s="525">
        <v>567907.73400000005</v>
      </c>
      <c r="F108" s="525">
        <v>-141976.93400000001</v>
      </c>
      <c r="G108" s="525">
        <v>-141976.93400000001</v>
      </c>
    </row>
    <row r="109" spans="1:7" x14ac:dyDescent="0.2">
      <c r="A109" s="526">
        <v>75600000</v>
      </c>
      <c r="B109" s="525" t="s">
        <v>215</v>
      </c>
      <c r="C109" s="525">
        <v>0</v>
      </c>
      <c r="D109" s="525">
        <v>23037.312999999998</v>
      </c>
      <c r="E109" s="525">
        <v>23052.332999999999</v>
      </c>
      <c r="F109" s="525">
        <v>-15.02</v>
      </c>
      <c r="G109" s="525">
        <v>-15.02</v>
      </c>
    </row>
    <row r="110" spans="1:7" x14ac:dyDescent="0.2">
      <c r="C110" s="303">
        <f>SUM(C2:C109)</f>
        <v>1.7618285302889447E-19</v>
      </c>
      <c r="D110" s="303">
        <f t="shared" ref="D110:G110" si="0">SUM(D2:D109)</f>
        <v>351069173.53370005</v>
      </c>
      <c r="E110" s="303">
        <f t="shared" si="0"/>
        <v>351069173.53370011</v>
      </c>
      <c r="F110" s="303">
        <f t="shared" si="0"/>
        <v>-1.0291110186244623E-9</v>
      </c>
      <c r="G110" s="303">
        <f t="shared" si="0"/>
        <v>-2.8917561678554193E-9</v>
      </c>
    </row>
  </sheetData>
  <autoFilter ref="A1:G57" xr:uid="{00000000-0009-0000-0000-00000A000000}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112"/>
  <sheetViews>
    <sheetView topLeftCell="A70" workbookViewId="0">
      <selection activeCell="A2" sqref="A2:G111"/>
    </sheetView>
  </sheetViews>
  <sheetFormatPr baseColWidth="10" defaultRowHeight="11.25" x14ac:dyDescent="0.2"/>
  <cols>
    <col min="1" max="1" width="10.7109375" style="302" bestFit="1" customWidth="1"/>
    <col min="2" max="2" width="28" style="302" bestFit="1" customWidth="1"/>
    <col min="3" max="3" width="12.42578125" style="302" bestFit="1" customWidth="1"/>
    <col min="4" max="5" width="16.5703125" style="302" bestFit="1" customWidth="1"/>
    <col min="6" max="7" width="16.140625" style="302" bestFit="1" customWidth="1"/>
    <col min="8" max="16384" width="11.42578125" style="302"/>
  </cols>
  <sheetData>
    <row r="1" spans="1:7" x14ac:dyDescent="0.2">
      <c r="A1" s="2" t="s">
        <v>4</v>
      </c>
      <c r="B1" s="2" t="s">
        <v>0</v>
      </c>
      <c r="C1" s="3" t="s">
        <v>5</v>
      </c>
      <c r="D1" s="3" t="s">
        <v>2</v>
      </c>
      <c r="E1" s="3" t="s">
        <v>3</v>
      </c>
      <c r="F1" s="3" t="s">
        <v>6</v>
      </c>
      <c r="G1" s="3" t="s">
        <v>262</v>
      </c>
    </row>
    <row r="2" spans="1:7" x14ac:dyDescent="0.2">
      <c r="A2" s="586">
        <v>13000000</v>
      </c>
      <c r="B2" s="587" t="s">
        <v>273</v>
      </c>
      <c r="C2" s="587">
        <v>-1E-4</v>
      </c>
      <c r="D2" s="587">
        <v>0</v>
      </c>
      <c r="E2" s="587">
        <v>0</v>
      </c>
      <c r="F2" s="587">
        <v>0</v>
      </c>
      <c r="G2" s="587">
        <v>-1E-4</v>
      </c>
    </row>
    <row r="3" spans="1:7" x14ac:dyDescent="0.2">
      <c r="A3" s="588">
        <v>14508000</v>
      </c>
      <c r="B3" s="587" t="s">
        <v>17</v>
      </c>
      <c r="C3" s="587">
        <v>0</v>
      </c>
      <c r="D3" s="587">
        <v>730167.08700000006</v>
      </c>
      <c r="E3" s="587">
        <v>567907.73400000005</v>
      </c>
      <c r="F3" s="587">
        <v>162259.353</v>
      </c>
      <c r="G3" s="587">
        <v>162259.353</v>
      </c>
    </row>
    <row r="4" spans="1:7" x14ac:dyDescent="0.2">
      <c r="A4" s="588">
        <v>15100000</v>
      </c>
      <c r="B4" s="587" t="s">
        <v>19</v>
      </c>
      <c r="C4" s="587">
        <v>0</v>
      </c>
      <c r="D4" s="587">
        <v>60000</v>
      </c>
      <c r="E4" s="587">
        <v>120000</v>
      </c>
      <c r="F4" s="587">
        <v>-60000</v>
      </c>
      <c r="G4" s="587">
        <v>-60000</v>
      </c>
    </row>
    <row r="5" spans="1:7" x14ac:dyDescent="0.2">
      <c r="A5" s="588">
        <v>22825000</v>
      </c>
      <c r="B5" s="589"/>
      <c r="C5" s="587">
        <v>2.0000000000000001E-4</v>
      </c>
      <c r="D5" s="587">
        <v>0</v>
      </c>
      <c r="E5" s="587">
        <v>0</v>
      </c>
      <c r="F5" s="587">
        <v>0</v>
      </c>
      <c r="G5" s="587">
        <v>2.0000000000000001E-4</v>
      </c>
    </row>
    <row r="6" spans="1:7" x14ac:dyDescent="0.2">
      <c r="A6" s="588">
        <v>28130000</v>
      </c>
      <c r="B6" s="587" t="s">
        <v>24</v>
      </c>
      <c r="C6" s="587">
        <v>1E-4</v>
      </c>
      <c r="D6" s="587">
        <v>26501.623</v>
      </c>
      <c r="E6" s="587">
        <v>36746.324000000001</v>
      </c>
      <c r="F6" s="587">
        <v>-10244.700999999999</v>
      </c>
      <c r="G6" s="587">
        <v>-10244.7009</v>
      </c>
    </row>
    <row r="7" spans="1:7" x14ac:dyDescent="0.2">
      <c r="A7" s="588">
        <v>28216000</v>
      </c>
      <c r="B7" s="587" t="s">
        <v>48</v>
      </c>
      <c r="C7" s="587">
        <v>4.0000000000000002E-4</v>
      </c>
      <c r="D7" s="587">
        <v>6516.1109999999999</v>
      </c>
      <c r="E7" s="587">
        <v>8394.4210000000003</v>
      </c>
      <c r="F7" s="587">
        <v>-1878.31</v>
      </c>
      <c r="G7" s="587">
        <v>-1878.3096</v>
      </c>
    </row>
    <row r="8" spans="1:7" x14ac:dyDescent="0.2">
      <c r="A8" s="588">
        <v>28220000</v>
      </c>
      <c r="B8" s="587" t="s">
        <v>49</v>
      </c>
      <c r="C8" s="587">
        <v>-2.0000000000000001E-4</v>
      </c>
      <c r="D8" s="587">
        <v>1062566.071</v>
      </c>
      <c r="E8" s="587">
        <v>1368857.358</v>
      </c>
      <c r="F8" s="587">
        <v>-306291.28700000001</v>
      </c>
      <c r="G8" s="587">
        <v>-306291.28720000002</v>
      </c>
    </row>
    <row r="9" spans="1:7" x14ac:dyDescent="0.2">
      <c r="A9" s="588">
        <v>28225000</v>
      </c>
      <c r="B9" s="587" t="s">
        <v>50</v>
      </c>
      <c r="C9" s="587">
        <v>4.0000000000000002E-4</v>
      </c>
      <c r="D9" s="587">
        <v>188752.69099999999</v>
      </c>
      <c r="E9" s="587">
        <v>239383.91800000001</v>
      </c>
      <c r="F9" s="587">
        <v>-50631.226999999999</v>
      </c>
      <c r="G9" s="587">
        <v>-50631.226600000002</v>
      </c>
    </row>
    <row r="10" spans="1:7" x14ac:dyDescent="0.2">
      <c r="A10" s="588">
        <v>28230000</v>
      </c>
      <c r="B10" s="587" t="s">
        <v>263</v>
      </c>
      <c r="C10" s="587">
        <v>0</v>
      </c>
      <c r="D10" s="587">
        <v>61395.737999999998</v>
      </c>
      <c r="E10" s="587">
        <v>80562.835000000006</v>
      </c>
      <c r="F10" s="587">
        <v>-19167.097000000002</v>
      </c>
      <c r="G10" s="587">
        <v>-19167.097000000002</v>
      </c>
    </row>
    <row r="11" spans="1:7" x14ac:dyDescent="0.2">
      <c r="A11" s="588">
        <v>28231000</v>
      </c>
      <c r="B11" s="587" t="s">
        <v>402</v>
      </c>
      <c r="C11" s="587">
        <v>0</v>
      </c>
      <c r="D11" s="587">
        <v>2344.6480000000001</v>
      </c>
      <c r="E11" s="587">
        <v>3421.826</v>
      </c>
      <c r="F11" s="587">
        <v>-1077.1780000000001</v>
      </c>
      <c r="G11" s="587">
        <v>-1077.1780000000001</v>
      </c>
    </row>
    <row r="12" spans="1:7" x14ac:dyDescent="0.2">
      <c r="A12" s="588">
        <v>28234000</v>
      </c>
      <c r="B12" s="587" t="s">
        <v>51</v>
      </c>
      <c r="C12" s="587">
        <v>-4.0000000000000002E-4</v>
      </c>
      <c r="D12" s="587">
        <v>3783660.0520000001</v>
      </c>
      <c r="E12" s="587">
        <v>4869002.0219999999</v>
      </c>
      <c r="F12" s="587">
        <v>-1085341.97</v>
      </c>
      <c r="G12" s="587">
        <v>-1085341.9704</v>
      </c>
    </row>
    <row r="13" spans="1:7" x14ac:dyDescent="0.2">
      <c r="A13" s="588">
        <v>28235000</v>
      </c>
      <c r="B13" s="587" t="s">
        <v>52</v>
      </c>
      <c r="C13" s="587">
        <v>0</v>
      </c>
      <c r="D13" s="587">
        <v>134635.508</v>
      </c>
      <c r="E13" s="587">
        <v>174217.40900000001</v>
      </c>
      <c r="F13" s="587">
        <v>-39581.900999999998</v>
      </c>
      <c r="G13" s="587">
        <v>-39581.900999999998</v>
      </c>
    </row>
    <row r="14" spans="1:7" x14ac:dyDescent="0.2">
      <c r="A14" s="588">
        <v>28237000</v>
      </c>
      <c r="B14" s="587" t="s">
        <v>53</v>
      </c>
      <c r="C14" s="587">
        <v>-2.0000000000000001E-4</v>
      </c>
      <c r="D14" s="587">
        <v>97486.044999999998</v>
      </c>
      <c r="E14" s="587">
        <v>127157.538</v>
      </c>
      <c r="F14" s="587">
        <v>-29671.492999999999</v>
      </c>
      <c r="G14" s="587">
        <v>-29671.493200000001</v>
      </c>
    </row>
    <row r="15" spans="1:7" x14ac:dyDescent="0.2">
      <c r="A15" s="588">
        <v>28240000</v>
      </c>
      <c r="B15" s="587" t="s">
        <v>54</v>
      </c>
      <c r="C15" s="587">
        <v>-2.9999999999999997E-4</v>
      </c>
      <c r="D15" s="587">
        <v>427249.47200000001</v>
      </c>
      <c r="E15" s="587">
        <v>552856.00300000003</v>
      </c>
      <c r="F15" s="587">
        <v>-125606.531</v>
      </c>
      <c r="G15" s="587">
        <v>-125606.5313</v>
      </c>
    </row>
    <row r="16" spans="1:7" x14ac:dyDescent="0.2">
      <c r="A16" s="588">
        <v>28282000</v>
      </c>
      <c r="B16" s="587" t="s">
        <v>55</v>
      </c>
      <c r="C16" s="587">
        <v>2.0000000000000001E-4</v>
      </c>
      <c r="D16" s="587">
        <v>125334.58500000001</v>
      </c>
      <c r="E16" s="587">
        <v>161815.20499999999</v>
      </c>
      <c r="F16" s="587">
        <v>-36480.620000000003</v>
      </c>
      <c r="G16" s="587">
        <v>-36480.6198</v>
      </c>
    </row>
    <row r="17" spans="1:7" x14ac:dyDescent="0.2">
      <c r="A17" s="588">
        <v>28283000</v>
      </c>
      <c r="B17" s="587" t="s">
        <v>264</v>
      </c>
      <c r="C17" s="587">
        <v>1E-4</v>
      </c>
      <c r="D17" s="587">
        <v>107469.774</v>
      </c>
      <c r="E17" s="587">
        <v>139445.54399999999</v>
      </c>
      <c r="F17" s="587">
        <v>-31975.77</v>
      </c>
      <c r="G17" s="587">
        <v>-31975.769899999999</v>
      </c>
    </row>
    <row r="18" spans="1:7" x14ac:dyDescent="0.2">
      <c r="A18" s="588">
        <v>28400000</v>
      </c>
      <c r="B18" s="587" t="s">
        <v>56</v>
      </c>
      <c r="C18" s="587">
        <v>0</v>
      </c>
      <c r="D18" s="587">
        <v>329437.45600000001</v>
      </c>
      <c r="E18" s="587">
        <v>432132.359</v>
      </c>
      <c r="F18" s="587">
        <v>-102694.90300000001</v>
      </c>
      <c r="G18" s="587">
        <v>-102694.90300000001</v>
      </c>
    </row>
    <row r="19" spans="1:7" x14ac:dyDescent="0.2">
      <c r="A19" s="588">
        <v>31100000</v>
      </c>
      <c r="B19" s="587" t="s">
        <v>59</v>
      </c>
      <c r="C19" s="587">
        <v>0</v>
      </c>
      <c r="D19" s="587">
        <v>108164583.2502</v>
      </c>
      <c r="E19" s="587">
        <v>97568087.792199999</v>
      </c>
      <c r="F19" s="587">
        <v>10596495.458000001</v>
      </c>
      <c r="G19" s="587">
        <v>10596495.458000001</v>
      </c>
    </row>
    <row r="20" spans="1:7" x14ac:dyDescent="0.2">
      <c r="A20" s="588">
        <v>31200000</v>
      </c>
      <c r="B20" s="587" t="s">
        <v>390</v>
      </c>
      <c r="C20" s="587">
        <v>0</v>
      </c>
      <c r="D20" s="587">
        <v>3111337.3169999998</v>
      </c>
      <c r="E20" s="587">
        <v>3111337.3169999998</v>
      </c>
      <c r="F20" s="587">
        <v>0</v>
      </c>
      <c r="G20" s="587">
        <v>0</v>
      </c>
    </row>
    <row r="21" spans="1:7" x14ac:dyDescent="0.2">
      <c r="A21" s="588">
        <v>32200000</v>
      </c>
      <c r="B21" s="587" t="s">
        <v>61</v>
      </c>
      <c r="C21" s="587">
        <v>0</v>
      </c>
      <c r="D21" s="587">
        <v>7360170.9205</v>
      </c>
      <c r="E21" s="587">
        <v>6653488.2055000002</v>
      </c>
      <c r="F21" s="587">
        <v>706682.71499999997</v>
      </c>
      <c r="G21" s="587">
        <v>706682.71499999997</v>
      </c>
    </row>
    <row r="22" spans="1:7" x14ac:dyDescent="0.2">
      <c r="A22" s="588">
        <v>33100000</v>
      </c>
      <c r="B22" s="587" t="s">
        <v>62</v>
      </c>
      <c r="C22" s="587">
        <v>0</v>
      </c>
      <c r="D22" s="587">
        <v>40179330.347400002</v>
      </c>
      <c r="E22" s="587">
        <v>36728015.941799998</v>
      </c>
      <c r="F22" s="587">
        <v>3451314.4056000002</v>
      </c>
      <c r="G22" s="587">
        <v>3451314.4056000002</v>
      </c>
    </row>
    <row r="23" spans="1:7" x14ac:dyDescent="0.2">
      <c r="A23" s="588">
        <v>35500000</v>
      </c>
      <c r="B23" s="587" t="s">
        <v>63</v>
      </c>
      <c r="C23" s="587">
        <v>0</v>
      </c>
      <c r="D23" s="587">
        <v>16076287.607000001</v>
      </c>
      <c r="E23" s="587">
        <v>15366361.471999999</v>
      </c>
      <c r="F23" s="587">
        <v>709926.13500000001</v>
      </c>
      <c r="G23" s="587">
        <v>709926.13500000001</v>
      </c>
    </row>
    <row r="24" spans="1:7" x14ac:dyDescent="0.2">
      <c r="A24" s="588">
        <v>39000000</v>
      </c>
      <c r="B24" s="587" t="s">
        <v>64</v>
      </c>
      <c r="C24" s="587">
        <v>0</v>
      </c>
      <c r="D24" s="587">
        <v>600000</v>
      </c>
      <c r="E24" s="587">
        <v>1001215.567</v>
      </c>
      <c r="F24" s="587">
        <v>-401215.56699999998</v>
      </c>
      <c r="G24" s="587">
        <v>-401215.56699999998</v>
      </c>
    </row>
    <row r="25" spans="1:7" x14ac:dyDescent="0.2">
      <c r="A25" s="588">
        <v>40100000</v>
      </c>
      <c r="B25" s="590" t="s">
        <v>66</v>
      </c>
      <c r="C25" s="587">
        <v>0</v>
      </c>
      <c r="D25" s="587">
        <v>823434.255</v>
      </c>
      <c r="E25" s="587">
        <v>0</v>
      </c>
      <c r="F25" s="587">
        <v>823434.255</v>
      </c>
      <c r="G25" s="587">
        <v>823434.255</v>
      </c>
    </row>
    <row r="26" spans="1:7" x14ac:dyDescent="0.2">
      <c r="A26" s="588">
        <v>40120000</v>
      </c>
      <c r="B26" s="590" t="s">
        <v>386</v>
      </c>
      <c r="C26" s="587">
        <v>2.9999999999999997E-4</v>
      </c>
      <c r="D26" s="587">
        <v>0</v>
      </c>
      <c r="E26" s="587">
        <v>0</v>
      </c>
      <c r="F26" s="587">
        <v>0</v>
      </c>
      <c r="G26" s="587">
        <v>2.9999999999999997E-4</v>
      </c>
    </row>
    <row r="27" spans="1:7" x14ac:dyDescent="0.2">
      <c r="A27" s="588">
        <v>40600000</v>
      </c>
      <c r="B27" s="590" t="s">
        <v>70</v>
      </c>
      <c r="C27" s="587">
        <v>0</v>
      </c>
      <c r="D27" s="587">
        <v>1649257.71</v>
      </c>
      <c r="E27" s="587">
        <v>1440128.993</v>
      </c>
      <c r="F27" s="587">
        <v>209128.717</v>
      </c>
      <c r="G27" s="587">
        <v>209128.717</v>
      </c>
    </row>
    <row r="28" spans="1:7" x14ac:dyDescent="0.2">
      <c r="A28" s="588">
        <v>40800000</v>
      </c>
      <c r="B28" s="590" t="s">
        <v>71</v>
      </c>
      <c r="C28" s="587">
        <v>1E-4</v>
      </c>
      <c r="D28" s="587">
        <v>0</v>
      </c>
      <c r="E28" s="587">
        <v>0</v>
      </c>
      <c r="F28" s="587">
        <v>0</v>
      </c>
      <c r="G28" s="587">
        <v>1E-4</v>
      </c>
    </row>
    <row r="29" spans="1:7" x14ac:dyDescent="0.2">
      <c r="A29" s="588">
        <v>40810000</v>
      </c>
      <c r="B29" s="590" t="s">
        <v>391</v>
      </c>
      <c r="C29" s="587">
        <v>0</v>
      </c>
      <c r="D29" s="587">
        <v>5123.701</v>
      </c>
      <c r="E29" s="587">
        <v>5123.701</v>
      </c>
      <c r="F29" s="587">
        <v>0</v>
      </c>
      <c r="G29" s="587">
        <v>0</v>
      </c>
    </row>
    <row r="30" spans="1:7" x14ac:dyDescent="0.2">
      <c r="A30" s="588">
        <v>41100000</v>
      </c>
      <c r="B30" s="590" t="s">
        <v>73</v>
      </c>
      <c r="C30" s="587">
        <v>-4.0000000000000002E-4</v>
      </c>
      <c r="D30" s="587">
        <v>0</v>
      </c>
      <c r="E30" s="587">
        <v>0</v>
      </c>
      <c r="F30" s="587">
        <v>0</v>
      </c>
      <c r="G30" s="587">
        <v>-4.0000000000000002E-4</v>
      </c>
    </row>
    <row r="31" spans="1:7" x14ac:dyDescent="0.2">
      <c r="A31" s="588">
        <v>41500000</v>
      </c>
      <c r="B31" s="590" t="s">
        <v>75</v>
      </c>
      <c r="C31" s="587">
        <v>-4.0000000000000002E-4</v>
      </c>
      <c r="D31" s="587">
        <v>3757277.7850000001</v>
      </c>
      <c r="E31" s="587">
        <v>3757277.7850000001</v>
      </c>
      <c r="F31" s="587">
        <v>0</v>
      </c>
      <c r="G31" s="587">
        <v>-4.0000000000000002E-4</v>
      </c>
    </row>
    <row r="32" spans="1:7" x14ac:dyDescent="0.2">
      <c r="A32" s="588">
        <v>41800000</v>
      </c>
      <c r="B32" s="590" t="s">
        <v>307</v>
      </c>
      <c r="C32" s="587">
        <v>4.0000000000000002E-4</v>
      </c>
      <c r="D32" s="587">
        <v>0</v>
      </c>
      <c r="E32" s="587">
        <v>0</v>
      </c>
      <c r="F32" s="587">
        <v>0</v>
      </c>
      <c r="G32" s="587">
        <v>4.0000000000000002E-4</v>
      </c>
    </row>
    <row r="33" spans="1:7" x14ac:dyDescent="0.2">
      <c r="A33" s="588">
        <v>42820000</v>
      </c>
      <c r="B33" s="587" t="s">
        <v>83</v>
      </c>
      <c r="C33" s="587">
        <v>0</v>
      </c>
      <c r="D33" s="587">
        <v>2560652.4890000001</v>
      </c>
      <c r="E33" s="587">
        <v>2804487.4890000001</v>
      </c>
      <c r="F33" s="587">
        <v>-243835</v>
      </c>
      <c r="G33" s="587">
        <v>-243835</v>
      </c>
    </row>
    <row r="34" spans="1:7" x14ac:dyDescent="0.2">
      <c r="A34" s="588">
        <v>45310000</v>
      </c>
      <c r="B34" s="587" t="s">
        <v>104</v>
      </c>
      <c r="C34" s="587">
        <v>0</v>
      </c>
      <c r="D34" s="587">
        <v>539308.98699999996</v>
      </c>
      <c r="E34" s="587">
        <v>614080.12100000004</v>
      </c>
      <c r="F34" s="587">
        <v>-74771.134000000005</v>
      </c>
      <c r="G34" s="587">
        <v>-74771.134000000005</v>
      </c>
    </row>
    <row r="35" spans="1:7" x14ac:dyDescent="0.2">
      <c r="A35" s="588">
        <v>45860000</v>
      </c>
      <c r="B35" s="587" t="s">
        <v>106</v>
      </c>
      <c r="C35" s="587">
        <v>-2.9999999999999997E-4</v>
      </c>
      <c r="D35" s="587">
        <v>6893772.5970000001</v>
      </c>
      <c r="E35" s="587">
        <v>8363204.2460000003</v>
      </c>
      <c r="F35" s="587">
        <v>-1469431.649</v>
      </c>
      <c r="G35" s="587">
        <v>-1469431.6492999999</v>
      </c>
    </row>
    <row r="36" spans="1:7" x14ac:dyDescent="0.2">
      <c r="A36" s="588">
        <v>45870000</v>
      </c>
      <c r="B36" s="587" t="s">
        <v>107</v>
      </c>
      <c r="C36" s="587">
        <v>0</v>
      </c>
      <c r="D36" s="587">
        <v>585258.14300000004</v>
      </c>
      <c r="E36" s="587">
        <v>318806.96100000001</v>
      </c>
      <c r="F36" s="587">
        <v>266451.18199999997</v>
      </c>
      <c r="G36" s="587">
        <v>266451.18199999997</v>
      </c>
    </row>
    <row r="37" spans="1:7" x14ac:dyDescent="0.2">
      <c r="A37" s="588">
        <v>47100000</v>
      </c>
      <c r="B37" s="587" t="s">
        <v>109</v>
      </c>
      <c r="C37" s="587">
        <v>1E-4</v>
      </c>
      <c r="D37" s="587">
        <v>1375088.0560000001</v>
      </c>
      <c r="E37" s="587">
        <v>1338267.6399999999</v>
      </c>
      <c r="F37" s="587">
        <v>36820.415999999997</v>
      </c>
      <c r="G37" s="587">
        <v>36820.416100000002</v>
      </c>
    </row>
    <row r="38" spans="1:7" x14ac:dyDescent="0.2">
      <c r="A38" s="588">
        <v>49100000</v>
      </c>
      <c r="B38" s="587" t="s">
        <v>110</v>
      </c>
      <c r="C38" s="587">
        <v>0</v>
      </c>
      <c r="D38" s="587">
        <v>1150000</v>
      </c>
      <c r="E38" s="587">
        <v>1500000</v>
      </c>
      <c r="F38" s="587">
        <v>-350000</v>
      </c>
      <c r="G38" s="587">
        <v>-350000</v>
      </c>
    </row>
    <row r="39" spans="1:7" x14ac:dyDescent="0.2">
      <c r="A39" s="588">
        <v>53205700</v>
      </c>
      <c r="B39" s="587" t="s">
        <v>129</v>
      </c>
      <c r="C39" s="587">
        <v>0</v>
      </c>
      <c r="D39" s="587">
        <v>664487.51139999996</v>
      </c>
      <c r="E39" s="587">
        <v>1749201.0684</v>
      </c>
      <c r="F39" s="587">
        <v>-1084713.557</v>
      </c>
      <c r="G39" s="587">
        <v>-1084713.557</v>
      </c>
    </row>
    <row r="40" spans="1:7" x14ac:dyDescent="0.2">
      <c r="A40" s="588">
        <v>53205800</v>
      </c>
      <c r="B40" s="587" t="s">
        <v>130</v>
      </c>
      <c r="C40" s="587">
        <v>0</v>
      </c>
      <c r="D40" s="587">
        <v>403.17099999999999</v>
      </c>
      <c r="E40" s="587">
        <v>408.173</v>
      </c>
      <c r="F40" s="587">
        <v>-5.0019999999999998</v>
      </c>
      <c r="G40" s="587">
        <v>-5.0019999999999998</v>
      </c>
    </row>
    <row r="41" spans="1:7" x14ac:dyDescent="0.2">
      <c r="A41" s="588">
        <v>60110110</v>
      </c>
      <c r="B41" s="587" t="s">
        <v>403</v>
      </c>
      <c r="C41" s="587">
        <v>0</v>
      </c>
      <c r="D41" s="587">
        <v>1463593.0149999999</v>
      </c>
      <c r="E41" s="587">
        <v>1463593.0149999999</v>
      </c>
      <c r="F41" s="587">
        <v>0</v>
      </c>
      <c r="G41" s="587">
        <v>0</v>
      </c>
    </row>
    <row r="42" spans="1:7" x14ac:dyDescent="0.2">
      <c r="A42" s="588">
        <v>60110213</v>
      </c>
      <c r="B42" s="587" t="s">
        <v>364</v>
      </c>
      <c r="C42" s="587">
        <v>0</v>
      </c>
      <c r="D42" s="587">
        <v>768</v>
      </c>
      <c r="E42" s="587">
        <v>0</v>
      </c>
      <c r="F42" s="587">
        <v>768</v>
      </c>
      <c r="G42" s="587">
        <v>768</v>
      </c>
    </row>
    <row r="43" spans="1:7" x14ac:dyDescent="0.2">
      <c r="A43" s="588">
        <v>60110500</v>
      </c>
      <c r="B43" s="587" t="s">
        <v>144</v>
      </c>
      <c r="C43" s="587">
        <v>0</v>
      </c>
      <c r="D43" s="587">
        <v>7502.2709999999997</v>
      </c>
      <c r="E43" s="587">
        <v>3677.7440000000001</v>
      </c>
      <c r="F43" s="587">
        <v>3824.527</v>
      </c>
      <c r="G43" s="587">
        <v>3824.527</v>
      </c>
    </row>
    <row r="44" spans="1:7" x14ac:dyDescent="0.2">
      <c r="A44" s="588">
        <v>60110900</v>
      </c>
      <c r="B44" s="587" t="s">
        <v>147</v>
      </c>
      <c r="C44" s="587">
        <v>0</v>
      </c>
      <c r="D44" s="587">
        <v>189633.397</v>
      </c>
      <c r="E44" s="587">
        <v>160605.66099999999</v>
      </c>
      <c r="F44" s="587">
        <v>29027.736000000001</v>
      </c>
      <c r="G44" s="587">
        <v>29027.736000000001</v>
      </c>
    </row>
    <row r="45" spans="1:7" x14ac:dyDescent="0.2">
      <c r="A45" s="588">
        <v>60120200</v>
      </c>
      <c r="B45" s="587" t="s">
        <v>8977</v>
      </c>
      <c r="C45" s="587">
        <v>0</v>
      </c>
      <c r="D45" s="587">
        <v>492</v>
      </c>
      <c r="E45" s="587">
        <v>492</v>
      </c>
      <c r="F45" s="587">
        <v>0</v>
      </c>
      <c r="G45" s="587">
        <v>0</v>
      </c>
    </row>
    <row r="46" spans="1:7" x14ac:dyDescent="0.2">
      <c r="A46" s="588">
        <v>60120300</v>
      </c>
      <c r="B46" s="587" t="s">
        <v>150</v>
      </c>
      <c r="C46" s="587">
        <v>0</v>
      </c>
      <c r="D46" s="587">
        <v>451605.11</v>
      </c>
      <c r="E46" s="587">
        <v>438945.11</v>
      </c>
      <c r="F46" s="587">
        <v>12660</v>
      </c>
      <c r="G46" s="587">
        <v>12660</v>
      </c>
    </row>
    <row r="47" spans="1:7" x14ac:dyDescent="0.2">
      <c r="A47" s="588">
        <v>60120400</v>
      </c>
      <c r="B47" s="587" t="s">
        <v>365</v>
      </c>
      <c r="C47" s="587">
        <v>0</v>
      </c>
      <c r="D47" s="587">
        <v>157330.79999999999</v>
      </c>
      <c r="E47" s="587">
        <v>157330.79999999999</v>
      </c>
      <c r="F47" s="587">
        <v>0</v>
      </c>
      <c r="G47" s="587">
        <v>0</v>
      </c>
    </row>
    <row r="48" spans="1:7" x14ac:dyDescent="0.2">
      <c r="A48" s="588">
        <v>60121500</v>
      </c>
      <c r="B48" s="587" t="s">
        <v>404</v>
      </c>
      <c r="C48" s="587">
        <v>0</v>
      </c>
      <c r="D48" s="587">
        <v>154800</v>
      </c>
      <c r="E48" s="587">
        <v>154800</v>
      </c>
      <c r="F48" s="587">
        <v>0</v>
      </c>
      <c r="G48" s="587">
        <v>0</v>
      </c>
    </row>
    <row r="49" spans="1:7" x14ac:dyDescent="0.2">
      <c r="A49" s="588">
        <v>60122100</v>
      </c>
      <c r="B49" s="587" t="s">
        <v>155</v>
      </c>
      <c r="C49" s="587">
        <v>0</v>
      </c>
      <c r="D49" s="587">
        <v>26730</v>
      </c>
      <c r="E49" s="587">
        <v>26730</v>
      </c>
      <c r="F49" s="587">
        <v>0</v>
      </c>
      <c r="G49" s="587">
        <v>0</v>
      </c>
    </row>
    <row r="50" spans="1:7" x14ac:dyDescent="0.2">
      <c r="A50" s="588">
        <v>60122200</v>
      </c>
      <c r="B50" s="587" t="s">
        <v>156</v>
      </c>
      <c r="C50" s="587">
        <v>0</v>
      </c>
      <c r="D50" s="587">
        <v>12789</v>
      </c>
      <c r="E50" s="587">
        <v>12789</v>
      </c>
      <c r="F50" s="587">
        <v>0</v>
      </c>
      <c r="G50" s="587">
        <v>0</v>
      </c>
    </row>
    <row r="51" spans="1:7" x14ac:dyDescent="0.2">
      <c r="A51" s="588">
        <v>60122411</v>
      </c>
      <c r="B51" s="587" t="s">
        <v>367</v>
      </c>
      <c r="C51" s="587">
        <v>0</v>
      </c>
      <c r="D51" s="587">
        <v>1474.8</v>
      </c>
      <c r="E51" s="587">
        <v>1314.8</v>
      </c>
      <c r="F51" s="587">
        <v>160</v>
      </c>
      <c r="G51" s="587">
        <v>160</v>
      </c>
    </row>
    <row r="52" spans="1:7" x14ac:dyDescent="0.2">
      <c r="A52" s="588">
        <v>60122510</v>
      </c>
      <c r="B52" s="587" t="s">
        <v>368</v>
      </c>
      <c r="C52" s="587">
        <v>0</v>
      </c>
      <c r="D52" s="587">
        <v>1931.701</v>
      </c>
      <c r="E52" s="587">
        <v>1931.701</v>
      </c>
      <c r="F52" s="587">
        <v>0</v>
      </c>
      <c r="G52" s="587">
        <v>0</v>
      </c>
    </row>
    <row r="53" spans="1:7" x14ac:dyDescent="0.2">
      <c r="A53" s="588">
        <v>60122700</v>
      </c>
      <c r="B53" s="587" t="s">
        <v>7567</v>
      </c>
      <c r="C53" s="587">
        <v>0</v>
      </c>
      <c r="D53" s="587">
        <v>12212.5</v>
      </c>
      <c r="E53" s="587">
        <v>12212.5</v>
      </c>
      <c r="F53" s="587">
        <v>0</v>
      </c>
      <c r="G53" s="587">
        <v>0</v>
      </c>
    </row>
    <row r="54" spans="1:7" x14ac:dyDescent="0.2">
      <c r="A54" s="588">
        <v>60171000</v>
      </c>
      <c r="B54" s="587" t="s">
        <v>369</v>
      </c>
      <c r="C54" s="587">
        <v>0</v>
      </c>
      <c r="D54" s="587">
        <v>385536.98200000002</v>
      </c>
      <c r="E54" s="587">
        <v>345246.97499999998</v>
      </c>
      <c r="F54" s="587">
        <v>40290.006999999998</v>
      </c>
      <c r="G54" s="587">
        <v>40290.006999999998</v>
      </c>
    </row>
    <row r="55" spans="1:7" x14ac:dyDescent="0.2">
      <c r="A55" s="588">
        <v>60172000</v>
      </c>
      <c r="B55" s="587" t="s">
        <v>169</v>
      </c>
      <c r="C55" s="587">
        <v>0</v>
      </c>
      <c r="D55" s="587">
        <v>732847.451</v>
      </c>
      <c r="E55" s="587">
        <v>616662.93599999999</v>
      </c>
      <c r="F55" s="587">
        <v>116184.515</v>
      </c>
      <c r="G55" s="587">
        <v>116184.515</v>
      </c>
    </row>
    <row r="56" spans="1:7" x14ac:dyDescent="0.2">
      <c r="A56" s="588">
        <v>60173000</v>
      </c>
      <c r="B56" s="587" t="s">
        <v>170</v>
      </c>
      <c r="C56" s="587">
        <v>0</v>
      </c>
      <c r="D56" s="587">
        <v>58073.440999999999</v>
      </c>
      <c r="E56" s="587">
        <v>50469.235000000001</v>
      </c>
      <c r="F56" s="587">
        <v>7604.2060000000001</v>
      </c>
      <c r="G56" s="587">
        <v>7604.2060000000001</v>
      </c>
    </row>
    <row r="57" spans="1:7" x14ac:dyDescent="0.2">
      <c r="A57" s="588">
        <v>60260400</v>
      </c>
      <c r="B57" s="587" t="s">
        <v>161</v>
      </c>
      <c r="C57" s="587">
        <v>0</v>
      </c>
      <c r="D57" s="587">
        <v>18640.599999999999</v>
      </c>
      <c r="E57" s="587">
        <v>14147</v>
      </c>
      <c r="F57" s="587">
        <v>4493.6000000000004</v>
      </c>
      <c r="G57" s="587">
        <v>4493.6000000000004</v>
      </c>
    </row>
    <row r="58" spans="1:7" x14ac:dyDescent="0.2">
      <c r="A58" s="588">
        <v>60260700</v>
      </c>
      <c r="B58" s="587" t="s">
        <v>163</v>
      </c>
      <c r="C58" s="587">
        <v>0</v>
      </c>
      <c r="D58" s="587">
        <v>5845.7</v>
      </c>
      <c r="E58" s="587">
        <v>5845.7</v>
      </c>
      <c r="F58" s="587">
        <v>0</v>
      </c>
      <c r="G58" s="587">
        <v>0</v>
      </c>
    </row>
    <row r="59" spans="1:7" x14ac:dyDescent="0.2">
      <c r="A59" s="588">
        <v>60262000</v>
      </c>
      <c r="B59" s="587" t="s">
        <v>164</v>
      </c>
      <c r="C59" s="587">
        <v>0</v>
      </c>
      <c r="D59" s="587">
        <v>23425.929</v>
      </c>
      <c r="E59" s="587">
        <v>21103.929</v>
      </c>
      <c r="F59" s="587">
        <v>2322</v>
      </c>
      <c r="G59" s="587">
        <v>2322</v>
      </c>
    </row>
    <row r="60" spans="1:7" x14ac:dyDescent="0.2">
      <c r="A60" s="588">
        <v>60263000</v>
      </c>
      <c r="B60" s="587" t="s">
        <v>165</v>
      </c>
      <c r="C60" s="587">
        <v>0</v>
      </c>
      <c r="D60" s="587">
        <v>13804.923000000001</v>
      </c>
      <c r="E60" s="587">
        <v>8964.4979999999996</v>
      </c>
      <c r="F60" s="587">
        <v>4840.4250000000002</v>
      </c>
      <c r="G60" s="587">
        <v>4840.4250000000002</v>
      </c>
    </row>
    <row r="61" spans="1:7" x14ac:dyDescent="0.2">
      <c r="A61" s="588">
        <v>60310000</v>
      </c>
      <c r="B61" s="587" t="s">
        <v>265</v>
      </c>
      <c r="C61" s="587">
        <v>0</v>
      </c>
      <c r="D61" s="587">
        <v>99031680.806199998</v>
      </c>
      <c r="E61" s="587">
        <v>109628176.2642</v>
      </c>
      <c r="F61" s="587">
        <v>-10596495.458000001</v>
      </c>
      <c r="G61" s="587">
        <v>-10596495.458000001</v>
      </c>
    </row>
    <row r="62" spans="1:7" x14ac:dyDescent="0.2">
      <c r="A62" s="588">
        <v>60330000</v>
      </c>
      <c r="B62" s="587" t="s">
        <v>266</v>
      </c>
      <c r="C62" s="587">
        <v>0</v>
      </c>
      <c r="D62" s="587">
        <v>6653488.2055000002</v>
      </c>
      <c r="E62" s="587">
        <v>7360170.9205</v>
      </c>
      <c r="F62" s="587">
        <v>-706682.71499999997</v>
      </c>
      <c r="G62" s="587">
        <v>-706682.71499999997</v>
      </c>
    </row>
    <row r="63" spans="1:7" x14ac:dyDescent="0.2">
      <c r="A63" s="588">
        <v>60401000</v>
      </c>
      <c r="B63" s="587" t="s">
        <v>523</v>
      </c>
      <c r="C63" s="587">
        <v>0</v>
      </c>
      <c r="D63" s="587">
        <v>515669.00099999999</v>
      </c>
      <c r="E63" s="587">
        <v>407325.00099999999</v>
      </c>
      <c r="F63" s="587">
        <v>108344</v>
      </c>
      <c r="G63" s="587">
        <v>108344</v>
      </c>
    </row>
    <row r="64" spans="1:7" x14ac:dyDescent="0.2">
      <c r="A64" s="588">
        <v>60502000</v>
      </c>
      <c r="B64" s="587" t="s">
        <v>167</v>
      </c>
      <c r="C64" s="587">
        <v>0</v>
      </c>
      <c r="D64" s="587">
        <v>58949.224000000002</v>
      </c>
      <c r="E64" s="587">
        <v>58949.224000000002</v>
      </c>
      <c r="F64" s="587">
        <v>0</v>
      </c>
      <c r="G64" s="587">
        <v>0</v>
      </c>
    </row>
    <row r="65" spans="1:7" x14ac:dyDescent="0.2">
      <c r="A65" s="588">
        <v>60614000</v>
      </c>
      <c r="B65" s="587" t="s">
        <v>171</v>
      </c>
      <c r="C65" s="587">
        <v>0</v>
      </c>
      <c r="D65" s="587">
        <v>7104.1120000000001</v>
      </c>
      <c r="E65" s="587">
        <v>7104.1120000000001</v>
      </c>
      <c r="F65" s="587">
        <v>0</v>
      </c>
      <c r="G65" s="587">
        <v>0</v>
      </c>
    </row>
    <row r="66" spans="1:7" x14ac:dyDescent="0.2">
      <c r="A66" s="588">
        <v>60620000</v>
      </c>
      <c r="B66" s="587" t="s">
        <v>172</v>
      </c>
      <c r="C66" s="587">
        <v>0</v>
      </c>
      <c r="D66" s="587">
        <v>3017.9749999999999</v>
      </c>
      <c r="E66" s="587">
        <v>2667.7</v>
      </c>
      <c r="F66" s="587">
        <v>350.27499999999998</v>
      </c>
      <c r="G66" s="587">
        <v>350.27499999999998</v>
      </c>
    </row>
    <row r="67" spans="1:7" x14ac:dyDescent="0.2">
      <c r="A67" s="588">
        <v>60650000</v>
      </c>
      <c r="B67" s="587" t="s">
        <v>373</v>
      </c>
      <c r="C67" s="587">
        <v>0</v>
      </c>
      <c r="D67" s="587">
        <v>4050</v>
      </c>
      <c r="E67" s="587">
        <v>4050</v>
      </c>
      <c r="F67" s="587">
        <v>0</v>
      </c>
      <c r="G67" s="587">
        <v>0</v>
      </c>
    </row>
    <row r="68" spans="1:7" x14ac:dyDescent="0.2">
      <c r="A68" s="588">
        <v>60660000</v>
      </c>
      <c r="B68" s="587" t="s">
        <v>9639</v>
      </c>
      <c r="C68" s="587">
        <v>0</v>
      </c>
      <c r="D68" s="587">
        <v>245.5</v>
      </c>
      <c r="E68" s="587">
        <v>0</v>
      </c>
      <c r="F68" s="587">
        <v>245.5</v>
      </c>
      <c r="G68" s="587">
        <v>245.5</v>
      </c>
    </row>
    <row r="69" spans="1:7" x14ac:dyDescent="0.2">
      <c r="A69" s="588">
        <v>60670000</v>
      </c>
      <c r="B69" s="587" t="s">
        <v>9640</v>
      </c>
      <c r="C69" s="587">
        <v>0</v>
      </c>
      <c r="D69" s="587">
        <v>2726.35</v>
      </c>
      <c r="E69" s="587">
        <v>2481.85</v>
      </c>
      <c r="F69" s="587">
        <v>244.5</v>
      </c>
      <c r="G69" s="587">
        <v>244.5</v>
      </c>
    </row>
    <row r="70" spans="1:7" x14ac:dyDescent="0.2">
      <c r="A70" s="588">
        <v>60671000</v>
      </c>
      <c r="B70" s="587" t="s">
        <v>9641</v>
      </c>
      <c r="C70" s="587">
        <v>0</v>
      </c>
      <c r="D70" s="587">
        <v>13634.6</v>
      </c>
      <c r="E70" s="587">
        <v>13634.6</v>
      </c>
      <c r="F70" s="587">
        <v>0</v>
      </c>
      <c r="G70" s="587">
        <v>0</v>
      </c>
    </row>
    <row r="71" spans="1:7" x14ac:dyDescent="0.2">
      <c r="A71" s="588">
        <v>61500000</v>
      </c>
      <c r="B71" s="587" t="s">
        <v>411</v>
      </c>
      <c r="C71" s="587">
        <v>0</v>
      </c>
      <c r="D71" s="587">
        <v>63225.974999999999</v>
      </c>
      <c r="E71" s="587">
        <v>63225.974999999999</v>
      </c>
      <c r="F71" s="587">
        <v>0</v>
      </c>
      <c r="G71" s="587">
        <v>0</v>
      </c>
    </row>
    <row r="72" spans="1:7" x14ac:dyDescent="0.2">
      <c r="A72" s="588">
        <v>61501000</v>
      </c>
      <c r="B72" s="587" t="s">
        <v>9642</v>
      </c>
      <c r="C72" s="587">
        <v>0</v>
      </c>
      <c r="D72" s="587">
        <v>24816.300999999999</v>
      </c>
      <c r="E72" s="587">
        <v>15575.949000000001</v>
      </c>
      <c r="F72" s="587">
        <v>9240.3520000000008</v>
      </c>
      <c r="G72" s="587">
        <v>9240.3520000000008</v>
      </c>
    </row>
    <row r="73" spans="1:7" x14ac:dyDescent="0.2">
      <c r="A73" s="588">
        <v>61600000</v>
      </c>
      <c r="B73" s="587" t="s">
        <v>397</v>
      </c>
      <c r="C73" s="587">
        <v>0</v>
      </c>
      <c r="D73" s="587">
        <v>59042.932999999997</v>
      </c>
      <c r="E73" s="587">
        <v>63953.332999999999</v>
      </c>
      <c r="F73" s="587">
        <v>-4910.3999999999996</v>
      </c>
      <c r="G73" s="587">
        <v>-4910.3999999999996</v>
      </c>
    </row>
    <row r="74" spans="1:7" x14ac:dyDescent="0.2">
      <c r="A74" s="588">
        <v>61603000</v>
      </c>
      <c r="B74" s="587" t="s">
        <v>178</v>
      </c>
      <c r="C74" s="587">
        <v>0</v>
      </c>
      <c r="D74" s="587">
        <v>112990.60799999999</v>
      </c>
      <c r="E74" s="587">
        <v>86634.448000000004</v>
      </c>
      <c r="F74" s="587">
        <v>26356.16</v>
      </c>
      <c r="G74" s="587">
        <v>26356.16</v>
      </c>
    </row>
    <row r="75" spans="1:7" x14ac:dyDescent="0.2">
      <c r="A75" s="588">
        <v>62210000</v>
      </c>
      <c r="B75" s="587" t="s">
        <v>398</v>
      </c>
      <c r="C75" s="587">
        <v>0</v>
      </c>
      <c r="D75" s="587">
        <v>7800</v>
      </c>
      <c r="E75" s="587">
        <v>14733.333000000001</v>
      </c>
      <c r="F75" s="587">
        <v>-6933.3329999999996</v>
      </c>
      <c r="G75" s="587">
        <v>-6933.3329999999996</v>
      </c>
    </row>
    <row r="76" spans="1:7" x14ac:dyDescent="0.2">
      <c r="A76" s="588">
        <v>62230000</v>
      </c>
      <c r="B76" s="587" t="s">
        <v>375</v>
      </c>
      <c r="C76" s="587">
        <v>0</v>
      </c>
      <c r="D76" s="587">
        <v>56301.315000000002</v>
      </c>
      <c r="E76" s="587">
        <v>33867.324000000001</v>
      </c>
      <c r="F76" s="587">
        <v>22433.991000000002</v>
      </c>
      <c r="G76" s="587">
        <v>22433.991000000002</v>
      </c>
    </row>
    <row r="77" spans="1:7" x14ac:dyDescent="0.2">
      <c r="A77" s="588">
        <v>62240000</v>
      </c>
      <c r="B77" s="587" t="s">
        <v>267</v>
      </c>
      <c r="C77" s="587">
        <v>0</v>
      </c>
      <c r="D77" s="587">
        <v>218203.06700000001</v>
      </c>
      <c r="E77" s="587">
        <v>233789</v>
      </c>
      <c r="F77" s="587">
        <v>-15585.933000000001</v>
      </c>
      <c r="G77" s="587">
        <v>-15585.933000000001</v>
      </c>
    </row>
    <row r="78" spans="1:7" x14ac:dyDescent="0.2">
      <c r="A78" s="588">
        <v>62250000</v>
      </c>
      <c r="B78" s="587" t="s">
        <v>268</v>
      </c>
      <c r="C78" s="587">
        <v>0</v>
      </c>
      <c r="D78" s="587">
        <v>135000</v>
      </c>
      <c r="E78" s="587">
        <v>100000</v>
      </c>
      <c r="F78" s="587">
        <v>35000</v>
      </c>
      <c r="G78" s="587">
        <v>35000</v>
      </c>
    </row>
    <row r="79" spans="1:7" x14ac:dyDescent="0.2">
      <c r="A79" s="588">
        <v>62260000</v>
      </c>
      <c r="B79" s="587" t="s">
        <v>7402</v>
      </c>
      <c r="C79" s="587">
        <v>0</v>
      </c>
      <c r="D79" s="587">
        <v>20000</v>
      </c>
      <c r="E79" s="587">
        <v>10000</v>
      </c>
      <c r="F79" s="587">
        <v>10000</v>
      </c>
      <c r="G79" s="587">
        <v>10000</v>
      </c>
    </row>
    <row r="80" spans="1:7" x14ac:dyDescent="0.2">
      <c r="A80" s="588">
        <v>62270000</v>
      </c>
      <c r="B80" s="587" t="s">
        <v>399</v>
      </c>
      <c r="C80" s="587">
        <v>0</v>
      </c>
      <c r="D80" s="587">
        <v>4450.84</v>
      </c>
      <c r="E80" s="587">
        <v>4450.84</v>
      </c>
      <c r="F80" s="587">
        <v>0</v>
      </c>
      <c r="G80" s="587">
        <v>0</v>
      </c>
    </row>
    <row r="81" spans="1:7" x14ac:dyDescent="0.2">
      <c r="A81" s="588">
        <v>62300000</v>
      </c>
      <c r="B81" s="587" t="s">
        <v>182</v>
      </c>
      <c r="C81" s="587">
        <v>0</v>
      </c>
      <c r="D81" s="587">
        <v>414000</v>
      </c>
      <c r="E81" s="587">
        <v>322000</v>
      </c>
      <c r="F81" s="587">
        <v>92000</v>
      </c>
      <c r="G81" s="587">
        <v>92000</v>
      </c>
    </row>
    <row r="82" spans="1:7" x14ac:dyDescent="0.2">
      <c r="A82" s="588">
        <v>62430000</v>
      </c>
      <c r="B82" s="587" t="s">
        <v>159</v>
      </c>
      <c r="C82" s="587">
        <v>0</v>
      </c>
      <c r="D82" s="587">
        <v>199756.45</v>
      </c>
      <c r="E82" s="587">
        <v>177756.45</v>
      </c>
      <c r="F82" s="587">
        <v>22000</v>
      </c>
      <c r="G82" s="587">
        <v>22000</v>
      </c>
    </row>
    <row r="83" spans="1:7" x14ac:dyDescent="0.2">
      <c r="A83" s="588">
        <v>62510000</v>
      </c>
      <c r="B83" s="587" t="s">
        <v>9643</v>
      </c>
      <c r="C83" s="587">
        <v>0</v>
      </c>
      <c r="D83" s="587">
        <v>60000</v>
      </c>
      <c r="E83" s="587">
        <v>40000</v>
      </c>
      <c r="F83" s="587">
        <v>20000</v>
      </c>
      <c r="G83" s="587">
        <v>20000</v>
      </c>
    </row>
    <row r="84" spans="1:7" x14ac:dyDescent="0.2">
      <c r="A84" s="588">
        <v>62600000</v>
      </c>
      <c r="B84" s="587" t="s">
        <v>188</v>
      </c>
      <c r="C84" s="587">
        <v>0</v>
      </c>
      <c r="D84" s="587">
        <v>14123.816000000001</v>
      </c>
      <c r="E84" s="587">
        <v>13128</v>
      </c>
      <c r="F84" s="587">
        <v>995.81600000000003</v>
      </c>
      <c r="G84" s="587">
        <v>995.81600000000003</v>
      </c>
    </row>
    <row r="85" spans="1:7" x14ac:dyDescent="0.2">
      <c r="A85" s="588">
        <v>62780000</v>
      </c>
      <c r="B85" s="587" t="s">
        <v>189</v>
      </c>
      <c r="C85" s="587">
        <v>0</v>
      </c>
      <c r="D85" s="587">
        <v>145294.40900000001</v>
      </c>
      <c r="E85" s="587">
        <v>129665.60799999999</v>
      </c>
      <c r="F85" s="587">
        <v>15628.800999999999</v>
      </c>
      <c r="G85" s="587">
        <v>15628.800999999999</v>
      </c>
    </row>
    <row r="86" spans="1:7" x14ac:dyDescent="0.2">
      <c r="A86" s="588">
        <v>63300000</v>
      </c>
      <c r="B86" s="587" t="s">
        <v>269</v>
      </c>
      <c r="C86" s="587">
        <v>0</v>
      </c>
      <c r="D86" s="587">
        <v>375000.00099999999</v>
      </c>
      <c r="E86" s="587">
        <v>291666.66800000001</v>
      </c>
      <c r="F86" s="587">
        <v>83333.332999999999</v>
      </c>
      <c r="G86" s="587">
        <v>83333.332999999999</v>
      </c>
    </row>
    <row r="87" spans="1:7" x14ac:dyDescent="0.2">
      <c r="A87" s="588">
        <v>64001000</v>
      </c>
      <c r="B87" s="587" t="s">
        <v>191</v>
      </c>
      <c r="C87" s="587">
        <v>0</v>
      </c>
      <c r="D87" s="587">
        <v>413518.88400000002</v>
      </c>
      <c r="E87" s="587">
        <v>413518.88400000002</v>
      </c>
      <c r="F87" s="587">
        <v>0</v>
      </c>
      <c r="G87" s="587">
        <v>0</v>
      </c>
    </row>
    <row r="88" spans="1:7" x14ac:dyDescent="0.2">
      <c r="A88" s="588">
        <v>64001100</v>
      </c>
      <c r="B88" s="587" t="s">
        <v>405</v>
      </c>
      <c r="C88" s="587">
        <v>0</v>
      </c>
      <c r="D88" s="587">
        <v>900000</v>
      </c>
      <c r="E88" s="587">
        <v>700000</v>
      </c>
      <c r="F88" s="587">
        <v>200000</v>
      </c>
      <c r="G88" s="587">
        <v>200000</v>
      </c>
    </row>
    <row r="89" spans="1:7" x14ac:dyDescent="0.2">
      <c r="A89" s="588">
        <v>64020000</v>
      </c>
      <c r="B89" s="587" t="s">
        <v>406</v>
      </c>
      <c r="C89" s="587">
        <v>0</v>
      </c>
      <c r="D89" s="587">
        <v>1257168.601</v>
      </c>
      <c r="E89" s="587">
        <v>988699.29299999995</v>
      </c>
      <c r="F89" s="587">
        <v>268469.30800000002</v>
      </c>
      <c r="G89" s="587">
        <v>268469.30800000002</v>
      </c>
    </row>
    <row r="90" spans="1:7" x14ac:dyDescent="0.2">
      <c r="A90" s="588">
        <v>64600100</v>
      </c>
      <c r="B90" s="587" t="s">
        <v>407</v>
      </c>
      <c r="C90" s="587">
        <v>0</v>
      </c>
      <c r="D90" s="587">
        <v>2804487.4890000001</v>
      </c>
      <c r="E90" s="587">
        <v>2560652.4890000001</v>
      </c>
      <c r="F90" s="587">
        <v>243835</v>
      </c>
      <c r="G90" s="587">
        <v>243835</v>
      </c>
    </row>
    <row r="91" spans="1:7" x14ac:dyDescent="0.2">
      <c r="A91" s="588">
        <v>64603000</v>
      </c>
      <c r="B91" s="587" t="s">
        <v>7404</v>
      </c>
      <c r="C91" s="587">
        <v>0</v>
      </c>
      <c r="D91" s="587">
        <v>3192</v>
      </c>
      <c r="E91" s="587">
        <v>3192</v>
      </c>
      <c r="F91" s="587">
        <v>0</v>
      </c>
      <c r="G91" s="587">
        <v>0</v>
      </c>
    </row>
    <row r="92" spans="1:7" x14ac:dyDescent="0.2">
      <c r="A92" s="588">
        <v>64720000</v>
      </c>
      <c r="B92" s="587" t="s">
        <v>194</v>
      </c>
      <c r="C92" s="587">
        <v>0</v>
      </c>
      <c r="D92" s="587">
        <v>614080.12100000004</v>
      </c>
      <c r="E92" s="587">
        <v>539308.98699999996</v>
      </c>
      <c r="F92" s="587">
        <v>74771.134000000005</v>
      </c>
      <c r="G92" s="587">
        <v>74771.134000000005</v>
      </c>
    </row>
    <row r="93" spans="1:7" x14ac:dyDescent="0.2">
      <c r="A93" s="588">
        <v>65110000</v>
      </c>
      <c r="B93" s="587" t="s">
        <v>8978</v>
      </c>
      <c r="C93" s="587">
        <v>0</v>
      </c>
      <c r="D93" s="587">
        <v>83574.653000000006</v>
      </c>
      <c r="E93" s="587">
        <v>52845.873</v>
      </c>
      <c r="F93" s="587">
        <v>30728.78</v>
      </c>
      <c r="G93" s="587">
        <v>30728.78</v>
      </c>
    </row>
    <row r="94" spans="1:7" x14ac:dyDescent="0.2">
      <c r="A94" s="588">
        <v>65110200</v>
      </c>
      <c r="B94" s="587" t="s">
        <v>196</v>
      </c>
      <c r="C94" s="587">
        <v>0</v>
      </c>
      <c r="D94" s="587">
        <v>343265.1</v>
      </c>
      <c r="E94" s="587">
        <v>346916.96799999999</v>
      </c>
      <c r="F94" s="587">
        <v>-3651.8679999999999</v>
      </c>
      <c r="G94" s="587">
        <v>-3651.8679999999999</v>
      </c>
    </row>
    <row r="95" spans="1:7" x14ac:dyDescent="0.2">
      <c r="A95" s="588">
        <v>65110400</v>
      </c>
      <c r="B95" s="587" t="s">
        <v>197</v>
      </c>
      <c r="C95" s="587">
        <v>0</v>
      </c>
      <c r="D95" s="587">
        <v>527247.54500000004</v>
      </c>
      <c r="E95" s="587">
        <v>532853.09400000004</v>
      </c>
      <c r="F95" s="587">
        <v>-5605.549</v>
      </c>
      <c r="G95" s="587">
        <v>-5605.549</v>
      </c>
    </row>
    <row r="96" spans="1:7" x14ac:dyDescent="0.2">
      <c r="A96" s="588">
        <v>65150000</v>
      </c>
      <c r="B96" s="587" t="s">
        <v>270</v>
      </c>
      <c r="C96" s="587">
        <v>0</v>
      </c>
      <c r="D96" s="587">
        <v>100627.946</v>
      </c>
      <c r="E96" s="587">
        <v>79798.357000000004</v>
      </c>
      <c r="F96" s="587">
        <v>20829.589</v>
      </c>
      <c r="G96" s="587">
        <v>20829.589</v>
      </c>
    </row>
    <row r="97" spans="1:7" x14ac:dyDescent="0.2">
      <c r="A97" s="588">
        <v>65190000</v>
      </c>
      <c r="B97" s="587" t="s">
        <v>198</v>
      </c>
      <c r="C97" s="587">
        <v>0</v>
      </c>
      <c r="D97" s="587">
        <v>536570.90500000003</v>
      </c>
      <c r="E97" s="587">
        <v>474428.36800000002</v>
      </c>
      <c r="F97" s="587">
        <v>62142.536999999997</v>
      </c>
      <c r="G97" s="587">
        <v>62142.536999999997</v>
      </c>
    </row>
    <row r="98" spans="1:7" x14ac:dyDescent="0.2">
      <c r="A98" s="588">
        <v>65500000</v>
      </c>
      <c r="B98" s="587" t="s">
        <v>400</v>
      </c>
      <c r="C98" s="587">
        <v>0</v>
      </c>
      <c r="D98" s="587">
        <v>132020.7524</v>
      </c>
      <c r="E98" s="587">
        <v>79865.165399999998</v>
      </c>
      <c r="F98" s="587">
        <v>52155.587</v>
      </c>
      <c r="G98" s="587">
        <v>52155.587</v>
      </c>
    </row>
    <row r="99" spans="1:7" x14ac:dyDescent="0.2">
      <c r="A99" s="588">
        <v>66520000</v>
      </c>
      <c r="B99" s="587" t="s">
        <v>200</v>
      </c>
      <c r="C99" s="587">
        <v>0</v>
      </c>
      <c r="D99" s="587">
        <v>78851.869000000006</v>
      </c>
      <c r="E99" s="587">
        <v>67260.845000000001</v>
      </c>
      <c r="F99" s="587">
        <v>11591.023999999999</v>
      </c>
      <c r="G99" s="587">
        <v>11591.023999999999</v>
      </c>
    </row>
    <row r="100" spans="1:7" x14ac:dyDescent="0.2">
      <c r="A100" s="588">
        <v>66550000</v>
      </c>
      <c r="B100" s="587" t="s">
        <v>202</v>
      </c>
      <c r="C100" s="587">
        <v>0</v>
      </c>
      <c r="D100" s="587">
        <v>32400</v>
      </c>
      <c r="E100" s="587">
        <v>25200</v>
      </c>
      <c r="F100" s="587">
        <v>7200</v>
      </c>
      <c r="G100" s="587">
        <v>7200</v>
      </c>
    </row>
    <row r="101" spans="1:7" x14ac:dyDescent="0.2">
      <c r="A101" s="588">
        <v>68112000</v>
      </c>
      <c r="B101" s="587" t="s">
        <v>271</v>
      </c>
      <c r="C101" s="587">
        <v>0</v>
      </c>
      <c r="D101" s="587">
        <v>8503323.7640000004</v>
      </c>
      <c r="E101" s="587">
        <v>6587691.4419999998</v>
      </c>
      <c r="F101" s="587">
        <v>1915632.3219999999</v>
      </c>
      <c r="G101" s="587">
        <v>1915632.3219999999</v>
      </c>
    </row>
    <row r="102" spans="1:7" x14ac:dyDescent="0.2">
      <c r="A102" s="588">
        <v>68150000</v>
      </c>
      <c r="B102" s="587" t="s">
        <v>9481</v>
      </c>
      <c r="C102" s="587">
        <v>0</v>
      </c>
      <c r="D102" s="587">
        <v>120000</v>
      </c>
      <c r="E102" s="587">
        <v>60000</v>
      </c>
      <c r="F102" s="587">
        <v>60000</v>
      </c>
      <c r="G102" s="587">
        <v>60000</v>
      </c>
    </row>
    <row r="103" spans="1:7" x14ac:dyDescent="0.2">
      <c r="A103" s="588">
        <v>68170000</v>
      </c>
      <c r="B103" s="587" t="s">
        <v>7577</v>
      </c>
      <c r="C103" s="587">
        <v>0</v>
      </c>
      <c r="D103" s="587">
        <v>1850000</v>
      </c>
      <c r="E103" s="587">
        <v>1375000</v>
      </c>
      <c r="F103" s="587">
        <v>475000</v>
      </c>
      <c r="G103" s="587">
        <v>475000</v>
      </c>
    </row>
    <row r="104" spans="1:7" x14ac:dyDescent="0.2">
      <c r="A104" s="588">
        <v>68180000</v>
      </c>
      <c r="B104" s="587" t="s">
        <v>8976</v>
      </c>
      <c r="C104" s="587">
        <v>0</v>
      </c>
      <c r="D104" s="587">
        <v>1001215.567</v>
      </c>
      <c r="E104" s="587">
        <v>600000</v>
      </c>
      <c r="F104" s="587">
        <v>401215.56699999998</v>
      </c>
      <c r="G104" s="587">
        <v>401215.56699999998</v>
      </c>
    </row>
    <row r="105" spans="1:7" x14ac:dyDescent="0.2">
      <c r="A105" s="588">
        <v>70102000</v>
      </c>
      <c r="B105" s="587" t="s">
        <v>207</v>
      </c>
      <c r="C105" s="587">
        <v>0</v>
      </c>
      <c r="D105" s="587">
        <v>3757277.7850000001</v>
      </c>
      <c r="E105" s="587">
        <v>3757277.7850000001</v>
      </c>
      <c r="F105" s="587">
        <v>0</v>
      </c>
      <c r="G105" s="587">
        <v>0</v>
      </c>
    </row>
    <row r="106" spans="1:7" x14ac:dyDescent="0.2">
      <c r="A106" s="588">
        <v>70600000</v>
      </c>
      <c r="B106" s="587" t="s">
        <v>9644</v>
      </c>
      <c r="C106" s="587">
        <v>0</v>
      </c>
      <c r="D106" s="587">
        <v>266789.90000000002</v>
      </c>
      <c r="E106" s="587">
        <v>526480.55000000005</v>
      </c>
      <c r="F106" s="587">
        <v>-259690.65</v>
      </c>
      <c r="G106" s="587">
        <v>-259690.65</v>
      </c>
    </row>
    <row r="107" spans="1:7" x14ac:dyDescent="0.2">
      <c r="A107" s="588">
        <v>70600500</v>
      </c>
      <c r="B107" s="587" t="s">
        <v>208</v>
      </c>
      <c r="C107" s="587">
        <v>0</v>
      </c>
      <c r="D107" s="587">
        <v>52017.061000000002</v>
      </c>
      <c r="E107" s="587">
        <v>58777.593000000001</v>
      </c>
      <c r="F107" s="587">
        <v>-6760.5320000000002</v>
      </c>
      <c r="G107" s="587">
        <v>-6760.5320000000002</v>
      </c>
    </row>
    <row r="108" spans="1:7" x14ac:dyDescent="0.2">
      <c r="A108" s="588">
        <v>71340000</v>
      </c>
      <c r="B108" s="587" t="s">
        <v>382</v>
      </c>
      <c r="C108" s="587">
        <v>0</v>
      </c>
      <c r="D108" s="587">
        <v>2233181.5079999999</v>
      </c>
      <c r="E108" s="587">
        <v>2233181.5079999999</v>
      </c>
      <c r="F108" s="587">
        <v>0</v>
      </c>
      <c r="G108" s="587">
        <v>0</v>
      </c>
    </row>
    <row r="109" spans="1:7" x14ac:dyDescent="0.2">
      <c r="A109" s="588">
        <v>71350000</v>
      </c>
      <c r="B109" s="587" t="s">
        <v>209</v>
      </c>
      <c r="C109" s="587">
        <v>0</v>
      </c>
      <c r="D109" s="587">
        <v>52094377.414800003</v>
      </c>
      <c r="E109" s="587">
        <v>56255617.955399998</v>
      </c>
      <c r="F109" s="587">
        <v>-4161240.5405999999</v>
      </c>
      <c r="G109" s="587">
        <v>-4161240.5405999999</v>
      </c>
    </row>
    <row r="110" spans="1:7" x14ac:dyDescent="0.2">
      <c r="A110" s="588">
        <v>73900000</v>
      </c>
      <c r="B110" s="587" t="s">
        <v>213</v>
      </c>
      <c r="C110" s="587">
        <v>0</v>
      </c>
      <c r="D110" s="587">
        <v>567907.73400000005</v>
      </c>
      <c r="E110" s="587">
        <v>730167.08700000006</v>
      </c>
      <c r="F110" s="587">
        <v>-162259.353</v>
      </c>
      <c r="G110" s="587">
        <v>-162259.353</v>
      </c>
    </row>
    <row r="111" spans="1:7" x14ac:dyDescent="0.2">
      <c r="A111" s="588">
        <v>75600000</v>
      </c>
      <c r="B111" s="587" t="s">
        <v>215</v>
      </c>
      <c r="C111" s="587">
        <v>0</v>
      </c>
      <c r="D111" s="587">
        <v>23052.332999999999</v>
      </c>
      <c r="E111" s="587">
        <v>23052.332999999999</v>
      </c>
      <c r="F111" s="587">
        <v>0</v>
      </c>
      <c r="G111" s="587">
        <v>0</v>
      </c>
    </row>
    <row r="112" spans="1:7" x14ac:dyDescent="0.2">
      <c r="C112" s="303"/>
      <c r="D112" s="303"/>
      <c r="E112" s="303"/>
      <c r="F112" s="303"/>
      <c r="G112" s="303"/>
    </row>
  </sheetData>
  <autoFilter ref="A1:G57" xr:uid="{00000000-0009-0000-0000-00000B000000}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115"/>
  <sheetViews>
    <sheetView topLeftCell="A85" workbookViewId="0">
      <selection activeCell="B129" sqref="B129"/>
    </sheetView>
  </sheetViews>
  <sheetFormatPr baseColWidth="10" defaultRowHeight="11.25" x14ac:dyDescent="0.2"/>
  <cols>
    <col min="1" max="1" width="10.7109375" style="302" bestFit="1" customWidth="1"/>
    <col min="2" max="2" width="28" style="302" bestFit="1" customWidth="1"/>
    <col min="3" max="3" width="12.42578125" style="302" bestFit="1" customWidth="1"/>
    <col min="4" max="5" width="16.5703125" style="302" bestFit="1" customWidth="1"/>
    <col min="6" max="7" width="16.140625" style="302" bestFit="1" customWidth="1"/>
    <col min="8" max="16384" width="11.42578125" style="302"/>
  </cols>
  <sheetData>
    <row r="1" spans="1:7" x14ac:dyDescent="0.2">
      <c r="A1" s="2" t="s">
        <v>4</v>
      </c>
      <c r="B1" s="2" t="s">
        <v>0</v>
      </c>
      <c r="C1" s="3" t="s">
        <v>5</v>
      </c>
      <c r="D1" s="3" t="s">
        <v>2</v>
      </c>
      <c r="E1" s="3" t="s">
        <v>3</v>
      </c>
      <c r="F1" s="3" t="s">
        <v>6</v>
      </c>
      <c r="G1" s="3" t="s">
        <v>262</v>
      </c>
    </row>
    <row r="2" spans="1:7" x14ac:dyDescent="0.2">
      <c r="A2" s="592">
        <v>13000000</v>
      </c>
      <c r="B2" s="593" t="s">
        <v>273</v>
      </c>
      <c r="C2" s="593">
        <v>-1E-4</v>
      </c>
      <c r="D2" s="593">
        <v>0</v>
      </c>
      <c r="E2" s="593">
        <v>0</v>
      </c>
      <c r="F2" s="593">
        <v>0</v>
      </c>
      <c r="G2" s="593">
        <v>-1E-4</v>
      </c>
    </row>
    <row r="3" spans="1:7" x14ac:dyDescent="0.2">
      <c r="A3" s="594">
        <v>14508000</v>
      </c>
      <c r="B3" s="593" t="s">
        <v>17</v>
      </c>
      <c r="C3" s="593">
        <v>0</v>
      </c>
      <c r="D3" s="593">
        <v>912708.85900000005</v>
      </c>
      <c r="E3" s="593">
        <v>730167.08700000006</v>
      </c>
      <c r="F3" s="593">
        <v>182541.772</v>
      </c>
      <c r="G3" s="593">
        <v>182541.772</v>
      </c>
    </row>
    <row r="4" spans="1:7" x14ac:dyDescent="0.2">
      <c r="A4" s="594">
        <v>15100000</v>
      </c>
      <c r="B4" s="593" t="s">
        <v>19</v>
      </c>
      <c r="C4" s="593">
        <v>0</v>
      </c>
      <c r="D4" s="593">
        <v>120000</v>
      </c>
      <c r="E4" s="593">
        <v>200000</v>
      </c>
      <c r="F4" s="593">
        <v>-80000</v>
      </c>
      <c r="G4" s="593">
        <v>-80000</v>
      </c>
    </row>
    <row r="5" spans="1:7" x14ac:dyDescent="0.2">
      <c r="A5" s="594">
        <v>22350000</v>
      </c>
      <c r="B5" s="593" t="s">
        <v>33</v>
      </c>
      <c r="C5" s="593">
        <v>0</v>
      </c>
      <c r="D5" s="593">
        <v>15062.4</v>
      </c>
      <c r="E5" s="593">
        <v>0</v>
      </c>
      <c r="F5" s="593">
        <v>15062.4</v>
      </c>
      <c r="G5" s="593">
        <v>15062.4</v>
      </c>
    </row>
    <row r="6" spans="1:7" x14ac:dyDescent="0.2">
      <c r="A6" s="594">
        <v>22825000</v>
      </c>
      <c r="B6" s="595"/>
      <c r="C6" s="593">
        <v>2.0000000000000001E-4</v>
      </c>
      <c r="D6" s="593">
        <v>0</v>
      </c>
      <c r="E6" s="593">
        <v>0</v>
      </c>
      <c r="F6" s="593">
        <v>0</v>
      </c>
      <c r="G6" s="593">
        <v>2.0000000000000001E-4</v>
      </c>
    </row>
    <row r="7" spans="1:7" x14ac:dyDescent="0.2">
      <c r="A7" s="594">
        <v>28130000</v>
      </c>
      <c r="B7" s="593" t="s">
        <v>24</v>
      </c>
      <c r="C7" s="593">
        <v>1E-4</v>
      </c>
      <c r="D7" s="593">
        <v>36746.324000000001</v>
      </c>
      <c r="E7" s="593">
        <v>49316.24</v>
      </c>
      <c r="F7" s="593">
        <v>-12569.915999999999</v>
      </c>
      <c r="G7" s="593">
        <v>-12569.9159</v>
      </c>
    </row>
    <row r="8" spans="1:7" x14ac:dyDescent="0.2">
      <c r="A8" s="594">
        <v>28216000</v>
      </c>
      <c r="B8" s="593" t="s">
        <v>48</v>
      </c>
      <c r="C8" s="593">
        <v>4.0000000000000002E-4</v>
      </c>
      <c r="D8" s="593">
        <v>8394.4210000000003</v>
      </c>
      <c r="E8" s="593">
        <v>10504.620999999999</v>
      </c>
      <c r="F8" s="593">
        <v>-2110.1999999999998</v>
      </c>
      <c r="G8" s="593">
        <v>-2110.1995999999999</v>
      </c>
    </row>
    <row r="9" spans="1:7" x14ac:dyDescent="0.2">
      <c r="A9" s="594">
        <v>28220000</v>
      </c>
      <c r="B9" s="593" t="s">
        <v>49</v>
      </c>
      <c r="C9" s="593">
        <v>-2.0000000000000001E-4</v>
      </c>
      <c r="D9" s="593">
        <v>1368857.358</v>
      </c>
      <c r="E9" s="593">
        <v>1712962.385</v>
      </c>
      <c r="F9" s="593">
        <v>-344105.027</v>
      </c>
      <c r="G9" s="593">
        <v>-344105.02720000001</v>
      </c>
    </row>
    <row r="10" spans="1:7" x14ac:dyDescent="0.2">
      <c r="A10" s="594">
        <v>28225000</v>
      </c>
      <c r="B10" s="593" t="s">
        <v>50</v>
      </c>
      <c r="C10" s="593">
        <v>4.0000000000000002E-4</v>
      </c>
      <c r="D10" s="593">
        <v>239383.91800000001</v>
      </c>
      <c r="E10" s="593">
        <v>295480.53499999997</v>
      </c>
      <c r="F10" s="593">
        <v>-56096.616999999998</v>
      </c>
      <c r="G10" s="593">
        <v>-56096.616600000001</v>
      </c>
    </row>
    <row r="11" spans="1:7" x14ac:dyDescent="0.2">
      <c r="A11" s="594">
        <v>28230000</v>
      </c>
      <c r="B11" s="593" t="s">
        <v>263</v>
      </c>
      <c r="C11" s="593">
        <v>0</v>
      </c>
      <c r="D11" s="593">
        <v>80562.835000000006</v>
      </c>
      <c r="E11" s="593">
        <v>102448.69500000001</v>
      </c>
      <c r="F11" s="593">
        <v>-21885.86</v>
      </c>
      <c r="G11" s="593">
        <v>-21885.86</v>
      </c>
    </row>
    <row r="12" spans="1:7" x14ac:dyDescent="0.2">
      <c r="A12" s="594">
        <v>28231000</v>
      </c>
      <c r="B12" s="593" t="s">
        <v>402</v>
      </c>
      <c r="C12" s="593">
        <v>0</v>
      </c>
      <c r="D12" s="593">
        <v>3421.826</v>
      </c>
      <c r="E12" s="593">
        <v>5260.1880000000001</v>
      </c>
      <c r="F12" s="593">
        <v>-1838.3620000000001</v>
      </c>
      <c r="G12" s="593">
        <v>-1838.3620000000001</v>
      </c>
    </row>
    <row r="13" spans="1:7" x14ac:dyDescent="0.2">
      <c r="A13" s="594">
        <v>28234000</v>
      </c>
      <c r="B13" s="593" t="s">
        <v>51</v>
      </c>
      <c r="C13" s="593">
        <v>-4.0000000000000002E-4</v>
      </c>
      <c r="D13" s="593">
        <v>4869002.0219999999</v>
      </c>
      <c r="E13" s="593">
        <v>6084378.5080000004</v>
      </c>
      <c r="F13" s="593">
        <v>-1215376.486</v>
      </c>
      <c r="G13" s="593">
        <v>-1215376.4864000001</v>
      </c>
    </row>
    <row r="14" spans="1:7" x14ac:dyDescent="0.2">
      <c r="A14" s="594">
        <v>28235000</v>
      </c>
      <c r="B14" s="593" t="s">
        <v>52</v>
      </c>
      <c r="C14" s="593">
        <v>0</v>
      </c>
      <c r="D14" s="593">
        <v>174217.40900000001</v>
      </c>
      <c r="E14" s="593">
        <v>218581.78</v>
      </c>
      <c r="F14" s="593">
        <v>-44364.370999999999</v>
      </c>
      <c r="G14" s="593">
        <v>-44364.370999999999</v>
      </c>
    </row>
    <row r="15" spans="1:7" x14ac:dyDescent="0.2">
      <c r="A15" s="594">
        <v>28237000</v>
      </c>
      <c r="B15" s="593" t="s">
        <v>53</v>
      </c>
      <c r="C15" s="593">
        <v>-2.0000000000000001E-4</v>
      </c>
      <c r="D15" s="593">
        <v>127157.538</v>
      </c>
      <c r="E15" s="593">
        <v>158693.69399999999</v>
      </c>
      <c r="F15" s="593">
        <v>-31536.155999999999</v>
      </c>
      <c r="G15" s="593">
        <v>-31536.156200000001</v>
      </c>
    </row>
    <row r="16" spans="1:7" x14ac:dyDescent="0.2">
      <c r="A16" s="594">
        <v>28240000</v>
      </c>
      <c r="B16" s="593" t="s">
        <v>54</v>
      </c>
      <c r="C16" s="593">
        <v>-2.9999999999999997E-4</v>
      </c>
      <c r="D16" s="593">
        <v>552856.00300000003</v>
      </c>
      <c r="E16" s="593">
        <v>691091.05900000001</v>
      </c>
      <c r="F16" s="593">
        <v>-138235.05600000001</v>
      </c>
      <c r="G16" s="593">
        <v>-138235.0563</v>
      </c>
    </row>
    <row r="17" spans="1:7" x14ac:dyDescent="0.2">
      <c r="A17" s="594">
        <v>28282000</v>
      </c>
      <c r="B17" s="593" t="s">
        <v>55</v>
      </c>
      <c r="C17" s="593">
        <v>2.0000000000000001E-4</v>
      </c>
      <c r="D17" s="593">
        <v>161815.20499999999</v>
      </c>
      <c r="E17" s="593">
        <v>203172.88800000001</v>
      </c>
      <c r="F17" s="593">
        <v>-41357.682999999997</v>
      </c>
      <c r="G17" s="593">
        <v>-41357.682800000002</v>
      </c>
    </row>
    <row r="18" spans="1:7" x14ac:dyDescent="0.2">
      <c r="A18" s="594">
        <v>28283000</v>
      </c>
      <c r="B18" s="593" t="s">
        <v>7389</v>
      </c>
      <c r="C18" s="593">
        <v>1E-4</v>
      </c>
      <c r="D18" s="593">
        <v>139445.54399999999</v>
      </c>
      <c r="E18" s="593">
        <v>175794.533</v>
      </c>
      <c r="F18" s="593">
        <v>-36348.989000000001</v>
      </c>
      <c r="G18" s="593">
        <v>-36348.988899999997</v>
      </c>
    </row>
    <row r="19" spans="1:7" x14ac:dyDescent="0.2">
      <c r="A19" s="594">
        <v>28400000</v>
      </c>
      <c r="B19" s="593" t="s">
        <v>56</v>
      </c>
      <c r="C19" s="593">
        <v>0</v>
      </c>
      <c r="D19" s="593">
        <v>432132.359</v>
      </c>
      <c r="E19" s="593">
        <v>547524.34100000001</v>
      </c>
      <c r="F19" s="593">
        <v>-115391.982</v>
      </c>
      <c r="G19" s="593">
        <v>-115391.982</v>
      </c>
    </row>
    <row r="20" spans="1:7" x14ac:dyDescent="0.2">
      <c r="A20" s="594">
        <v>29234000</v>
      </c>
      <c r="B20" s="593" t="s">
        <v>388</v>
      </c>
      <c r="C20" s="593">
        <v>0</v>
      </c>
      <c r="D20" s="593">
        <v>0</v>
      </c>
      <c r="E20" s="593">
        <v>100000</v>
      </c>
      <c r="F20" s="593">
        <v>-100000</v>
      </c>
      <c r="G20" s="593">
        <v>-100000</v>
      </c>
    </row>
    <row r="21" spans="1:7" x14ac:dyDescent="0.2">
      <c r="A21" s="594">
        <v>31100000</v>
      </c>
      <c r="B21" s="593" t="s">
        <v>59</v>
      </c>
      <c r="C21" s="593">
        <v>0</v>
      </c>
      <c r="D21" s="593">
        <v>118472681.7622</v>
      </c>
      <c r="E21" s="593">
        <v>108409377.3642</v>
      </c>
      <c r="F21" s="593">
        <v>10063304.398</v>
      </c>
      <c r="G21" s="593">
        <v>10063304.398</v>
      </c>
    </row>
    <row r="22" spans="1:7" x14ac:dyDescent="0.2">
      <c r="A22" s="594">
        <v>31200000</v>
      </c>
      <c r="B22" s="593" t="s">
        <v>390</v>
      </c>
      <c r="C22" s="593">
        <v>0</v>
      </c>
      <c r="D22" s="593">
        <v>5854753.227</v>
      </c>
      <c r="E22" s="593">
        <v>3111337.3169999998</v>
      </c>
      <c r="F22" s="593">
        <v>2743415.91</v>
      </c>
      <c r="G22" s="593">
        <v>2743415.91</v>
      </c>
    </row>
    <row r="23" spans="1:7" x14ac:dyDescent="0.2">
      <c r="A23" s="594">
        <v>32200000</v>
      </c>
      <c r="B23" s="593" t="s">
        <v>61</v>
      </c>
      <c r="C23" s="593">
        <v>0</v>
      </c>
      <c r="D23" s="593">
        <v>7982497.2364999996</v>
      </c>
      <c r="E23" s="593">
        <v>7360170.9205</v>
      </c>
      <c r="F23" s="593">
        <v>622326.31599999999</v>
      </c>
      <c r="G23" s="593">
        <v>622326.31599999999</v>
      </c>
    </row>
    <row r="24" spans="1:7" x14ac:dyDescent="0.2">
      <c r="A24" s="594">
        <v>33100000</v>
      </c>
      <c r="B24" s="593" t="s">
        <v>62</v>
      </c>
      <c r="C24" s="593">
        <v>0</v>
      </c>
      <c r="D24" s="593">
        <v>44469470.616400003</v>
      </c>
      <c r="E24" s="593">
        <v>40179330.347400002</v>
      </c>
      <c r="F24" s="593">
        <v>4290140.2690000003</v>
      </c>
      <c r="G24" s="593">
        <v>4290140.2690000003</v>
      </c>
    </row>
    <row r="25" spans="1:7" x14ac:dyDescent="0.2">
      <c r="A25" s="594">
        <v>35500000</v>
      </c>
      <c r="B25" s="593" t="s">
        <v>63</v>
      </c>
      <c r="C25" s="593">
        <v>0</v>
      </c>
      <c r="D25" s="593">
        <v>16609226.76</v>
      </c>
      <c r="E25" s="593">
        <v>16076287.607000001</v>
      </c>
      <c r="F25" s="593">
        <v>532939.15300000005</v>
      </c>
      <c r="G25" s="593">
        <v>532939.15300000005</v>
      </c>
    </row>
    <row r="26" spans="1:7" x14ac:dyDescent="0.2">
      <c r="A26" s="594">
        <v>39000000</v>
      </c>
      <c r="B26" s="593" t="s">
        <v>64</v>
      </c>
      <c r="C26" s="593">
        <v>0</v>
      </c>
      <c r="D26" s="593">
        <v>1001215.567</v>
      </c>
      <c r="E26" s="593">
        <v>1502431.1340000001</v>
      </c>
      <c r="F26" s="593">
        <v>-501215.56699999998</v>
      </c>
      <c r="G26" s="593">
        <v>-501215.56699999998</v>
      </c>
    </row>
    <row r="27" spans="1:7" x14ac:dyDescent="0.2">
      <c r="A27" s="594">
        <v>40100000</v>
      </c>
      <c r="B27" s="596" t="s">
        <v>66</v>
      </c>
      <c r="C27" s="593">
        <v>0</v>
      </c>
      <c r="D27" s="593">
        <v>823434.255</v>
      </c>
      <c r="E27" s="593">
        <v>823434.255</v>
      </c>
      <c r="F27" s="593">
        <v>0</v>
      </c>
      <c r="G27" s="593">
        <v>0</v>
      </c>
    </row>
    <row r="28" spans="1:7" x14ac:dyDescent="0.2">
      <c r="A28" s="594">
        <v>40120000</v>
      </c>
      <c r="B28" s="596" t="s">
        <v>386</v>
      </c>
      <c r="C28" s="593">
        <v>2.9999999999999997E-4</v>
      </c>
      <c r="D28" s="593">
        <v>0</v>
      </c>
      <c r="E28" s="593">
        <v>0</v>
      </c>
      <c r="F28" s="593">
        <v>0</v>
      </c>
      <c r="G28" s="593">
        <v>2.9999999999999997E-4</v>
      </c>
    </row>
    <row r="29" spans="1:7" x14ac:dyDescent="0.2">
      <c r="A29" s="594">
        <v>40600000</v>
      </c>
      <c r="B29" s="596" t="s">
        <v>70</v>
      </c>
      <c r="C29" s="593">
        <v>0</v>
      </c>
      <c r="D29" s="593">
        <v>1801303.7439999999</v>
      </c>
      <c r="E29" s="593">
        <v>4392673.62</v>
      </c>
      <c r="F29" s="593">
        <v>-2591369.8760000002</v>
      </c>
      <c r="G29" s="593">
        <v>-2591369.8760000002</v>
      </c>
    </row>
    <row r="30" spans="1:7" x14ac:dyDescent="0.2">
      <c r="A30" s="594">
        <v>40800000</v>
      </c>
      <c r="B30" s="596" t="s">
        <v>71</v>
      </c>
      <c r="C30" s="593">
        <v>1E-4</v>
      </c>
      <c r="D30" s="593">
        <v>0</v>
      </c>
      <c r="E30" s="593">
        <v>0</v>
      </c>
      <c r="F30" s="593">
        <v>0</v>
      </c>
      <c r="G30" s="593">
        <v>1E-4</v>
      </c>
    </row>
    <row r="31" spans="1:7" x14ac:dyDescent="0.2">
      <c r="A31" s="594">
        <v>40810000</v>
      </c>
      <c r="B31" s="596" t="s">
        <v>391</v>
      </c>
      <c r="C31" s="593">
        <v>0</v>
      </c>
      <c r="D31" s="593">
        <v>5123.701</v>
      </c>
      <c r="E31" s="593">
        <v>5123.701</v>
      </c>
      <c r="F31" s="593">
        <v>0</v>
      </c>
      <c r="G31" s="593">
        <v>0</v>
      </c>
    </row>
    <row r="32" spans="1:7" x14ac:dyDescent="0.2">
      <c r="A32" s="594">
        <v>41100000</v>
      </c>
      <c r="B32" s="596" t="s">
        <v>73</v>
      </c>
      <c r="C32" s="593">
        <v>-4.0000000000000002E-4</v>
      </c>
      <c r="D32" s="593">
        <v>0</v>
      </c>
      <c r="E32" s="593">
        <v>0</v>
      </c>
      <c r="F32" s="593">
        <v>0</v>
      </c>
      <c r="G32" s="593">
        <v>-4.0000000000000002E-4</v>
      </c>
    </row>
    <row r="33" spans="1:7" x14ac:dyDescent="0.2">
      <c r="A33" s="594">
        <v>41500000</v>
      </c>
      <c r="B33" s="596" t="s">
        <v>75</v>
      </c>
      <c r="C33" s="593">
        <v>-4.0000000000000002E-4</v>
      </c>
      <c r="D33" s="593">
        <v>3757277.7850000001</v>
      </c>
      <c r="E33" s="593">
        <v>3757277.7850000001</v>
      </c>
      <c r="F33" s="593">
        <v>0</v>
      </c>
      <c r="G33" s="593">
        <v>-4.0000000000000002E-4</v>
      </c>
    </row>
    <row r="34" spans="1:7" x14ac:dyDescent="0.2">
      <c r="A34" s="594">
        <v>41800000</v>
      </c>
      <c r="B34" s="596" t="s">
        <v>307</v>
      </c>
      <c r="C34" s="593">
        <v>4.0000000000000002E-4</v>
      </c>
      <c r="D34" s="593">
        <v>0</v>
      </c>
      <c r="E34" s="593">
        <v>0</v>
      </c>
      <c r="F34" s="593">
        <v>0</v>
      </c>
      <c r="G34" s="593">
        <v>4.0000000000000002E-4</v>
      </c>
    </row>
    <row r="35" spans="1:7" x14ac:dyDescent="0.2">
      <c r="A35" s="594">
        <v>42820000</v>
      </c>
      <c r="B35" s="593" t="s">
        <v>83</v>
      </c>
      <c r="C35" s="593">
        <v>0</v>
      </c>
      <c r="D35" s="593">
        <v>2804487.4890000001</v>
      </c>
      <c r="E35" s="593">
        <v>3054487.4890000001</v>
      </c>
      <c r="F35" s="593">
        <v>-250000</v>
      </c>
      <c r="G35" s="593">
        <v>-250000</v>
      </c>
    </row>
    <row r="36" spans="1:7" x14ac:dyDescent="0.2">
      <c r="A36" s="594">
        <v>45310000</v>
      </c>
      <c r="B36" s="593" t="s">
        <v>104</v>
      </c>
      <c r="C36" s="593">
        <v>0</v>
      </c>
      <c r="D36" s="593">
        <v>614080.12100000004</v>
      </c>
      <c r="E36" s="593">
        <v>726236.82400000002</v>
      </c>
      <c r="F36" s="593">
        <v>-112156.70299999999</v>
      </c>
      <c r="G36" s="593">
        <v>-112156.70299999999</v>
      </c>
    </row>
    <row r="37" spans="1:7" x14ac:dyDescent="0.2">
      <c r="A37" s="594">
        <v>45860000</v>
      </c>
      <c r="B37" s="593" t="s">
        <v>106</v>
      </c>
      <c r="C37" s="593">
        <v>-2.9999999999999997E-4</v>
      </c>
      <c r="D37" s="593">
        <v>8363204.2460000003</v>
      </c>
      <c r="E37" s="593">
        <v>9920258.2559999991</v>
      </c>
      <c r="F37" s="593">
        <v>-1557054.01</v>
      </c>
      <c r="G37" s="593">
        <v>-1557054.0103</v>
      </c>
    </row>
    <row r="38" spans="1:7" x14ac:dyDescent="0.2">
      <c r="A38" s="594">
        <v>45870000</v>
      </c>
      <c r="B38" s="593" t="s">
        <v>107</v>
      </c>
      <c r="C38" s="593">
        <v>0</v>
      </c>
      <c r="D38" s="593">
        <v>595398.94099999999</v>
      </c>
      <c r="E38" s="593">
        <v>585258.14300000004</v>
      </c>
      <c r="F38" s="593">
        <v>10140.798000000001</v>
      </c>
      <c r="G38" s="593">
        <v>10140.798000000001</v>
      </c>
    </row>
    <row r="39" spans="1:7" x14ac:dyDescent="0.2">
      <c r="A39" s="594">
        <v>47100000</v>
      </c>
      <c r="B39" s="593" t="s">
        <v>109</v>
      </c>
      <c r="C39" s="593">
        <v>1E-4</v>
      </c>
      <c r="D39" s="593">
        <v>1582628.328</v>
      </c>
      <c r="E39" s="593">
        <v>1375088.0560000001</v>
      </c>
      <c r="F39" s="593">
        <v>207540.272</v>
      </c>
      <c r="G39" s="593">
        <v>207540.2721</v>
      </c>
    </row>
    <row r="40" spans="1:7" x14ac:dyDescent="0.2">
      <c r="A40" s="594">
        <v>49100000</v>
      </c>
      <c r="B40" s="593" t="s">
        <v>110</v>
      </c>
      <c r="C40" s="593">
        <v>0</v>
      </c>
      <c r="D40" s="593">
        <v>1500000</v>
      </c>
      <c r="E40" s="593">
        <v>1900000</v>
      </c>
      <c r="F40" s="593">
        <v>-400000</v>
      </c>
      <c r="G40" s="593">
        <v>-400000</v>
      </c>
    </row>
    <row r="41" spans="1:7" x14ac:dyDescent="0.2">
      <c r="A41" s="594">
        <v>53205700</v>
      </c>
      <c r="B41" s="593" t="s">
        <v>129</v>
      </c>
      <c r="C41" s="593">
        <v>0</v>
      </c>
      <c r="D41" s="593">
        <v>1749201.0684</v>
      </c>
      <c r="E41" s="593">
        <v>1933149.2574</v>
      </c>
      <c r="F41" s="593">
        <v>-183948.18900000001</v>
      </c>
      <c r="G41" s="593">
        <v>-183948.18900000001</v>
      </c>
    </row>
    <row r="42" spans="1:7" x14ac:dyDescent="0.2">
      <c r="A42" s="594">
        <v>53205800</v>
      </c>
      <c r="B42" s="593" t="s">
        <v>130</v>
      </c>
      <c r="C42" s="593">
        <v>0</v>
      </c>
      <c r="D42" s="593">
        <v>408.173</v>
      </c>
      <c r="E42" s="593">
        <v>433.78699999999998</v>
      </c>
      <c r="F42" s="593">
        <v>-25.614000000000001</v>
      </c>
      <c r="G42" s="593">
        <v>-25.614000000000001</v>
      </c>
    </row>
    <row r="43" spans="1:7" x14ac:dyDescent="0.2">
      <c r="A43" s="594">
        <v>60110110</v>
      </c>
      <c r="B43" s="593" t="s">
        <v>403</v>
      </c>
      <c r="C43" s="593">
        <v>0</v>
      </c>
      <c r="D43" s="593">
        <v>4207008.9249999998</v>
      </c>
      <c r="E43" s="593">
        <v>1463593.0149999999</v>
      </c>
      <c r="F43" s="593">
        <v>2743415.91</v>
      </c>
      <c r="G43" s="593">
        <v>2743415.91</v>
      </c>
    </row>
    <row r="44" spans="1:7" x14ac:dyDescent="0.2">
      <c r="A44" s="594">
        <v>60110213</v>
      </c>
      <c r="B44" s="593" t="s">
        <v>364</v>
      </c>
      <c r="C44" s="593">
        <v>0</v>
      </c>
      <c r="D44" s="593">
        <v>768</v>
      </c>
      <c r="E44" s="593">
        <v>768</v>
      </c>
      <c r="F44" s="593">
        <v>0</v>
      </c>
      <c r="G44" s="593">
        <v>0</v>
      </c>
    </row>
    <row r="45" spans="1:7" x14ac:dyDescent="0.2">
      <c r="A45" s="594">
        <v>60110500</v>
      </c>
      <c r="B45" s="593" t="s">
        <v>144</v>
      </c>
      <c r="C45" s="593">
        <v>0</v>
      </c>
      <c r="D45" s="593">
        <v>7502.2709999999997</v>
      </c>
      <c r="E45" s="593">
        <v>7502.2709999999997</v>
      </c>
      <c r="F45" s="593">
        <v>0</v>
      </c>
      <c r="G45" s="593">
        <v>0</v>
      </c>
    </row>
    <row r="46" spans="1:7" x14ac:dyDescent="0.2">
      <c r="A46" s="594">
        <v>60110900</v>
      </c>
      <c r="B46" s="593" t="s">
        <v>147</v>
      </c>
      <c r="C46" s="593">
        <v>0</v>
      </c>
      <c r="D46" s="593">
        <v>192313.897</v>
      </c>
      <c r="E46" s="593">
        <v>189633.397</v>
      </c>
      <c r="F46" s="593">
        <v>2680.5</v>
      </c>
      <c r="G46" s="593">
        <v>2680.5</v>
      </c>
    </row>
    <row r="47" spans="1:7" x14ac:dyDescent="0.2">
      <c r="A47" s="594">
        <v>60120200</v>
      </c>
      <c r="B47" s="593" t="s">
        <v>8977</v>
      </c>
      <c r="C47" s="593">
        <v>0</v>
      </c>
      <c r="D47" s="593">
        <v>492</v>
      </c>
      <c r="E47" s="593">
        <v>492</v>
      </c>
      <c r="F47" s="593">
        <v>0</v>
      </c>
      <c r="G47" s="593">
        <v>0</v>
      </c>
    </row>
    <row r="48" spans="1:7" x14ac:dyDescent="0.2">
      <c r="A48" s="594">
        <v>60120300</v>
      </c>
      <c r="B48" s="593" t="s">
        <v>409</v>
      </c>
      <c r="C48" s="593">
        <v>0</v>
      </c>
      <c r="D48" s="593">
        <v>464265.11</v>
      </c>
      <c r="E48" s="593">
        <v>451605.11</v>
      </c>
      <c r="F48" s="593">
        <v>12660</v>
      </c>
      <c r="G48" s="593">
        <v>12660</v>
      </c>
    </row>
    <row r="49" spans="1:7" x14ac:dyDescent="0.2">
      <c r="A49" s="594">
        <v>60120400</v>
      </c>
      <c r="B49" s="593" t="s">
        <v>410</v>
      </c>
      <c r="C49" s="593">
        <v>0</v>
      </c>
      <c r="D49" s="593">
        <v>157330.79999999999</v>
      </c>
      <c r="E49" s="593">
        <v>157330.79999999999</v>
      </c>
      <c r="F49" s="593">
        <v>0</v>
      </c>
      <c r="G49" s="593">
        <v>0</v>
      </c>
    </row>
    <row r="50" spans="1:7" x14ac:dyDescent="0.2">
      <c r="A50" s="594">
        <v>60121500</v>
      </c>
      <c r="B50" s="593" t="s">
        <v>404</v>
      </c>
      <c r="C50" s="593">
        <v>0</v>
      </c>
      <c r="D50" s="593">
        <v>154800</v>
      </c>
      <c r="E50" s="593">
        <v>154800</v>
      </c>
      <c r="F50" s="593">
        <v>0</v>
      </c>
      <c r="G50" s="593">
        <v>0</v>
      </c>
    </row>
    <row r="51" spans="1:7" x14ac:dyDescent="0.2">
      <c r="A51" s="594">
        <v>60122100</v>
      </c>
      <c r="B51" s="593" t="s">
        <v>155</v>
      </c>
      <c r="C51" s="593">
        <v>0</v>
      </c>
      <c r="D51" s="593">
        <v>26730</v>
      </c>
      <c r="E51" s="593">
        <v>26730</v>
      </c>
      <c r="F51" s="593">
        <v>0</v>
      </c>
      <c r="G51" s="593">
        <v>0</v>
      </c>
    </row>
    <row r="52" spans="1:7" x14ac:dyDescent="0.2">
      <c r="A52" s="594">
        <v>60122200</v>
      </c>
      <c r="B52" s="593" t="s">
        <v>156</v>
      </c>
      <c r="C52" s="593">
        <v>0</v>
      </c>
      <c r="D52" s="593">
        <v>12789</v>
      </c>
      <c r="E52" s="593">
        <v>12789</v>
      </c>
      <c r="F52" s="593">
        <v>0</v>
      </c>
      <c r="G52" s="593">
        <v>0</v>
      </c>
    </row>
    <row r="53" spans="1:7" x14ac:dyDescent="0.2">
      <c r="A53" s="594">
        <v>60122411</v>
      </c>
      <c r="B53" s="593" t="s">
        <v>367</v>
      </c>
      <c r="C53" s="593">
        <v>0</v>
      </c>
      <c r="D53" s="593">
        <v>1474.8</v>
      </c>
      <c r="E53" s="593">
        <v>1474.8</v>
      </c>
      <c r="F53" s="593">
        <v>0</v>
      </c>
      <c r="G53" s="593">
        <v>0</v>
      </c>
    </row>
    <row r="54" spans="1:7" x14ac:dyDescent="0.2">
      <c r="A54" s="594">
        <v>60122510</v>
      </c>
      <c r="B54" s="593" t="s">
        <v>368</v>
      </c>
      <c r="C54" s="593">
        <v>0</v>
      </c>
      <c r="D54" s="593">
        <v>1931.701</v>
      </c>
      <c r="E54" s="593">
        <v>1931.701</v>
      </c>
      <c r="F54" s="593">
        <v>0</v>
      </c>
      <c r="G54" s="593">
        <v>0</v>
      </c>
    </row>
    <row r="55" spans="1:7" x14ac:dyDescent="0.2">
      <c r="A55" s="594">
        <v>60122700</v>
      </c>
      <c r="B55" s="593" t="s">
        <v>7567</v>
      </c>
      <c r="C55" s="593">
        <v>0</v>
      </c>
      <c r="D55" s="593">
        <v>12212.5</v>
      </c>
      <c r="E55" s="593">
        <v>12212.5</v>
      </c>
      <c r="F55" s="593">
        <v>0</v>
      </c>
      <c r="G55" s="593">
        <v>0</v>
      </c>
    </row>
    <row r="56" spans="1:7" x14ac:dyDescent="0.2">
      <c r="A56" s="594">
        <v>60171000</v>
      </c>
      <c r="B56" s="593" t="s">
        <v>369</v>
      </c>
      <c r="C56" s="593">
        <v>0</v>
      </c>
      <c r="D56" s="593">
        <v>406817.03600000002</v>
      </c>
      <c r="E56" s="593">
        <v>385536.98200000002</v>
      </c>
      <c r="F56" s="593">
        <v>21280.054</v>
      </c>
      <c r="G56" s="593">
        <v>21280.054</v>
      </c>
    </row>
    <row r="57" spans="1:7" x14ac:dyDescent="0.2">
      <c r="A57" s="594">
        <v>60172000</v>
      </c>
      <c r="B57" s="593" t="s">
        <v>169</v>
      </c>
      <c r="C57" s="593">
        <v>0</v>
      </c>
      <c r="D57" s="593">
        <v>847695.5</v>
      </c>
      <c r="E57" s="593">
        <v>732847.451</v>
      </c>
      <c r="F57" s="593">
        <v>114848.049</v>
      </c>
      <c r="G57" s="593">
        <v>114848.049</v>
      </c>
    </row>
    <row r="58" spans="1:7" x14ac:dyDescent="0.2">
      <c r="A58" s="594">
        <v>60173000</v>
      </c>
      <c r="B58" s="593" t="s">
        <v>170</v>
      </c>
      <c r="C58" s="593">
        <v>0</v>
      </c>
      <c r="D58" s="593">
        <v>65613.881999999998</v>
      </c>
      <c r="E58" s="593">
        <v>58073.440999999999</v>
      </c>
      <c r="F58" s="593">
        <v>7540.4409999999998</v>
      </c>
      <c r="G58" s="593">
        <v>7540.4409999999998</v>
      </c>
    </row>
    <row r="59" spans="1:7" x14ac:dyDescent="0.2">
      <c r="A59" s="594">
        <v>60260400</v>
      </c>
      <c r="B59" s="593" t="s">
        <v>161</v>
      </c>
      <c r="C59" s="593">
        <v>0</v>
      </c>
      <c r="D59" s="593">
        <v>23134.2</v>
      </c>
      <c r="E59" s="593">
        <v>18640.599999999999</v>
      </c>
      <c r="F59" s="593">
        <v>4493.6000000000004</v>
      </c>
      <c r="G59" s="593">
        <v>4493.6000000000004</v>
      </c>
    </row>
    <row r="60" spans="1:7" x14ac:dyDescent="0.2">
      <c r="A60" s="594">
        <v>60260600</v>
      </c>
      <c r="B60" s="593" t="s">
        <v>7401</v>
      </c>
      <c r="C60" s="593">
        <v>0</v>
      </c>
      <c r="D60" s="593">
        <v>196.95</v>
      </c>
      <c r="E60" s="593">
        <v>0</v>
      </c>
      <c r="F60" s="593">
        <v>196.95</v>
      </c>
      <c r="G60" s="593">
        <v>196.95</v>
      </c>
    </row>
    <row r="61" spans="1:7" x14ac:dyDescent="0.2">
      <c r="A61" s="594">
        <v>60260700</v>
      </c>
      <c r="B61" s="593" t="s">
        <v>163</v>
      </c>
      <c r="C61" s="593">
        <v>0</v>
      </c>
      <c r="D61" s="593">
        <v>5845.7</v>
      </c>
      <c r="E61" s="593">
        <v>5845.7</v>
      </c>
      <c r="F61" s="593">
        <v>0</v>
      </c>
      <c r="G61" s="593">
        <v>0</v>
      </c>
    </row>
    <row r="62" spans="1:7" x14ac:dyDescent="0.2">
      <c r="A62" s="594">
        <v>60262000</v>
      </c>
      <c r="B62" s="593" t="s">
        <v>164</v>
      </c>
      <c r="C62" s="593">
        <v>0</v>
      </c>
      <c r="D62" s="593">
        <v>26125.929</v>
      </c>
      <c r="E62" s="593">
        <v>23425.929</v>
      </c>
      <c r="F62" s="593">
        <v>2700</v>
      </c>
      <c r="G62" s="593">
        <v>2700</v>
      </c>
    </row>
    <row r="63" spans="1:7" x14ac:dyDescent="0.2">
      <c r="A63" s="594">
        <v>60263000</v>
      </c>
      <c r="B63" s="593" t="s">
        <v>165</v>
      </c>
      <c r="C63" s="593">
        <v>0</v>
      </c>
      <c r="D63" s="593">
        <v>13804.923000000001</v>
      </c>
      <c r="E63" s="593">
        <v>13804.923000000001</v>
      </c>
      <c r="F63" s="593">
        <v>0</v>
      </c>
      <c r="G63" s="593">
        <v>0</v>
      </c>
    </row>
    <row r="64" spans="1:7" x14ac:dyDescent="0.2">
      <c r="A64" s="594">
        <v>60310000</v>
      </c>
      <c r="B64" s="593" t="s">
        <v>265</v>
      </c>
      <c r="C64" s="593">
        <v>0</v>
      </c>
      <c r="D64" s="593">
        <v>109872970.37819999</v>
      </c>
      <c r="E64" s="593">
        <v>122679690.68619999</v>
      </c>
      <c r="F64" s="593">
        <v>-12806720.308</v>
      </c>
      <c r="G64" s="593">
        <v>-12806720.308</v>
      </c>
    </row>
    <row r="65" spans="1:7" x14ac:dyDescent="0.2">
      <c r="A65" s="594">
        <v>60330000</v>
      </c>
      <c r="B65" s="593" t="s">
        <v>266</v>
      </c>
      <c r="C65" s="593">
        <v>0</v>
      </c>
      <c r="D65" s="593">
        <v>7360170.9205</v>
      </c>
      <c r="E65" s="593">
        <v>7982497.2364999996</v>
      </c>
      <c r="F65" s="593">
        <v>-622326.31599999999</v>
      </c>
      <c r="G65" s="593">
        <v>-622326.31599999999</v>
      </c>
    </row>
    <row r="66" spans="1:7" x14ac:dyDescent="0.2">
      <c r="A66" s="594">
        <v>60401000</v>
      </c>
      <c r="B66" s="593" t="s">
        <v>166</v>
      </c>
      <c r="C66" s="593">
        <v>0</v>
      </c>
      <c r="D66" s="593">
        <v>637556.00100000005</v>
      </c>
      <c r="E66" s="593">
        <v>515669.00099999999</v>
      </c>
      <c r="F66" s="593">
        <v>121887</v>
      </c>
      <c r="G66" s="593">
        <v>121887</v>
      </c>
    </row>
    <row r="67" spans="1:7" x14ac:dyDescent="0.2">
      <c r="A67" s="594">
        <v>60502000</v>
      </c>
      <c r="B67" s="593" t="s">
        <v>167</v>
      </c>
      <c r="C67" s="593">
        <v>0</v>
      </c>
      <c r="D67" s="593">
        <v>58949.224000000002</v>
      </c>
      <c r="E67" s="593">
        <v>58949.224000000002</v>
      </c>
      <c r="F67" s="593">
        <v>0</v>
      </c>
      <c r="G67" s="593">
        <v>0</v>
      </c>
    </row>
    <row r="68" spans="1:7" x14ac:dyDescent="0.2">
      <c r="A68" s="594">
        <v>60614000</v>
      </c>
      <c r="B68" s="593" t="s">
        <v>171</v>
      </c>
      <c r="C68" s="593">
        <v>0</v>
      </c>
      <c r="D68" s="593">
        <v>7104.1120000000001</v>
      </c>
      <c r="E68" s="593">
        <v>7104.1120000000001</v>
      </c>
      <c r="F68" s="593">
        <v>0</v>
      </c>
      <c r="G68" s="593">
        <v>0</v>
      </c>
    </row>
    <row r="69" spans="1:7" x14ac:dyDescent="0.2">
      <c r="A69" s="594">
        <v>60620000</v>
      </c>
      <c r="B69" s="593" t="s">
        <v>172</v>
      </c>
      <c r="C69" s="593">
        <v>0</v>
      </c>
      <c r="D69" s="593">
        <v>3197.9749999999999</v>
      </c>
      <c r="E69" s="593">
        <v>3017.9749999999999</v>
      </c>
      <c r="F69" s="593">
        <v>180</v>
      </c>
      <c r="G69" s="593">
        <v>180</v>
      </c>
    </row>
    <row r="70" spans="1:7" x14ac:dyDescent="0.2">
      <c r="A70" s="594">
        <v>60650000</v>
      </c>
      <c r="B70" s="593" t="s">
        <v>373</v>
      </c>
      <c r="C70" s="593">
        <v>0</v>
      </c>
      <c r="D70" s="593">
        <v>4050</v>
      </c>
      <c r="E70" s="593">
        <v>4050</v>
      </c>
      <c r="F70" s="593">
        <v>0</v>
      </c>
      <c r="G70" s="593">
        <v>0</v>
      </c>
    </row>
    <row r="71" spans="1:7" x14ac:dyDescent="0.2">
      <c r="A71" s="594">
        <v>60660000</v>
      </c>
      <c r="B71" s="593" t="s">
        <v>173</v>
      </c>
      <c r="C71" s="593">
        <v>0</v>
      </c>
      <c r="D71" s="593">
        <v>491</v>
      </c>
      <c r="E71" s="593">
        <v>245.5</v>
      </c>
      <c r="F71" s="593">
        <v>245.5</v>
      </c>
      <c r="G71" s="593">
        <v>245.5</v>
      </c>
    </row>
    <row r="72" spans="1:7" x14ac:dyDescent="0.2">
      <c r="A72" s="594">
        <v>60670000</v>
      </c>
      <c r="B72" s="593" t="s">
        <v>174</v>
      </c>
      <c r="C72" s="593">
        <v>0</v>
      </c>
      <c r="D72" s="593">
        <v>4661.5349999999999</v>
      </c>
      <c r="E72" s="593">
        <v>2726.35</v>
      </c>
      <c r="F72" s="593">
        <v>1935.1849999999999</v>
      </c>
      <c r="G72" s="593">
        <v>1935.1849999999999</v>
      </c>
    </row>
    <row r="73" spans="1:7" x14ac:dyDescent="0.2">
      <c r="A73" s="594">
        <v>60671000</v>
      </c>
      <c r="B73" s="593" t="s">
        <v>374</v>
      </c>
      <c r="C73" s="593">
        <v>0</v>
      </c>
      <c r="D73" s="593">
        <v>13634.6</v>
      </c>
      <c r="E73" s="593">
        <v>13634.6</v>
      </c>
      <c r="F73" s="593">
        <v>0</v>
      </c>
      <c r="G73" s="593">
        <v>0</v>
      </c>
    </row>
    <row r="74" spans="1:7" x14ac:dyDescent="0.2">
      <c r="A74" s="594">
        <v>61500000</v>
      </c>
      <c r="B74" s="593" t="s">
        <v>176</v>
      </c>
      <c r="C74" s="593">
        <v>0</v>
      </c>
      <c r="D74" s="593">
        <v>68325.975000000006</v>
      </c>
      <c r="E74" s="593">
        <v>63225.974999999999</v>
      </c>
      <c r="F74" s="593">
        <v>5100</v>
      </c>
      <c r="G74" s="593">
        <v>5100</v>
      </c>
    </row>
    <row r="75" spans="1:7" x14ac:dyDescent="0.2">
      <c r="A75" s="594">
        <v>61501000</v>
      </c>
      <c r="B75" s="593" t="s">
        <v>177</v>
      </c>
      <c r="C75" s="593">
        <v>0</v>
      </c>
      <c r="D75" s="593">
        <v>32012.673999999999</v>
      </c>
      <c r="E75" s="593">
        <v>24816.300999999999</v>
      </c>
      <c r="F75" s="593">
        <v>7196.3729999999996</v>
      </c>
      <c r="G75" s="593">
        <v>7196.3729999999996</v>
      </c>
    </row>
    <row r="76" spans="1:7" x14ac:dyDescent="0.2">
      <c r="A76" s="594">
        <v>61600000</v>
      </c>
      <c r="B76" s="593" t="s">
        <v>397</v>
      </c>
      <c r="C76" s="593">
        <v>0</v>
      </c>
      <c r="D76" s="593">
        <v>63953.332999999999</v>
      </c>
      <c r="E76" s="593">
        <v>70209.466</v>
      </c>
      <c r="F76" s="593">
        <v>-6256.1329999999998</v>
      </c>
      <c r="G76" s="593">
        <v>-6256.1329999999998</v>
      </c>
    </row>
    <row r="77" spans="1:7" x14ac:dyDescent="0.2">
      <c r="A77" s="594">
        <v>61603000</v>
      </c>
      <c r="B77" s="593" t="s">
        <v>178</v>
      </c>
      <c r="C77" s="593">
        <v>0</v>
      </c>
      <c r="D77" s="593">
        <v>142641.288</v>
      </c>
      <c r="E77" s="593">
        <v>112990.60799999999</v>
      </c>
      <c r="F77" s="593">
        <v>29650.68</v>
      </c>
      <c r="G77" s="593">
        <v>29650.68</v>
      </c>
    </row>
    <row r="78" spans="1:7" x14ac:dyDescent="0.2">
      <c r="A78" s="594">
        <v>62210000</v>
      </c>
      <c r="B78" s="593" t="s">
        <v>398</v>
      </c>
      <c r="C78" s="593">
        <v>0</v>
      </c>
      <c r="D78" s="593">
        <v>14733.333000000001</v>
      </c>
      <c r="E78" s="593">
        <v>20800</v>
      </c>
      <c r="F78" s="593">
        <v>-6066.6670000000004</v>
      </c>
      <c r="G78" s="593">
        <v>-6066.6670000000004</v>
      </c>
    </row>
    <row r="79" spans="1:7" x14ac:dyDescent="0.2">
      <c r="A79" s="594">
        <v>62230000</v>
      </c>
      <c r="B79" s="593" t="s">
        <v>375</v>
      </c>
      <c r="C79" s="593">
        <v>0</v>
      </c>
      <c r="D79" s="593">
        <v>60313.398000000001</v>
      </c>
      <c r="E79" s="593">
        <v>56534.648000000001</v>
      </c>
      <c r="F79" s="593">
        <v>3778.75</v>
      </c>
      <c r="G79" s="593">
        <v>3778.75</v>
      </c>
    </row>
    <row r="80" spans="1:7" x14ac:dyDescent="0.2">
      <c r="A80" s="594">
        <v>62240000</v>
      </c>
      <c r="B80" s="593" t="s">
        <v>267</v>
      </c>
      <c r="C80" s="593">
        <v>0</v>
      </c>
      <c r="D80" s="593">
        <v>233789</v>
      </c>
      <c r="E80" s="593">
        <v>245478.45</v>
      </c>
      <c r="F80" s="593">
        <v>-11689.45</v>
      </c>
      <c r="G80" s="593">
        <v>-11689.45</v>
      </c>
    </row>
    <row r="81" spans="1:7" x14ac:dyDescent="0.2">
      <c r="A81" s="594">
        <v>62250000</v>
      </c>
      <c r="B81" s="593" t="s">
        <v>268</v>
      </c>
      <c r="C81" s="593">
        <v>0</v>
      </c>
      <c r="D81" s="593">
        <v>172500</v>
      </c>
      <c r="E81" s="593">
        <v>135000</v>
      </c>
      <c r="F81" s="593">
        <v>37500</v>
      </c>
      <c r="G81" s="593">
        <v>37500</v>
      </c>
    </row>
    <row r="82" spans="1:7" x14ac:dyDescent="0.2">
      <c r="A82" s="594">
        <v>62260000</v>
      </c>
      <c r="B82" s="593" t="s">
        <v>7402</v>
      </c>
      <c r="C82" s="593">
        <v>0</v>
      </c>
      <c r="D82" s="593">
        <v>30000</v>
      </c>
      <c r="E82" s="593">
        <v>20000</v>
      </c>
      <c r="F82" s="593">
        <v>10000</v>
      </c>
      <c r="G82" s="593">
        <v>10000</v>
      </c>
    </row>
    <row r="83" spans="1:7" x14ac:dyDescent="0.2">
      <c r="A83" s="594">
        <v>62270000</v>
      </c>
      <c r="B83" s="593" t="s">
        <v>399</v>
      </c>
      <c r="C83" s="593">
        <v>0</v>
      </c>
      <c r="D83" s="593">
        <v>4450.84</v>
      </c>
      <c r="E83" s="593">
        <v>4450.84</v>
      </c>
      <c r="F83" s="593">
        <v>0</v>
      </c>
      <c r="G83" s="593">
        <v>0</v>
      </c>
    </row>
    <row r="84" spans="1:7" x14ac:dyDescent="0.2">
      <c r="A84" s="594">
        <v>62300000</v>
      </c>
      <c r="B84" s="593" t="s">
        <v>182</v>
      </c>
      <c r="C84" s="593">
        <v>0</v>
      </c>
      <c r="D84" s="593">
        <v>517500</v>
      </c>
      <c r="E84" s="593">
        <v>414000</v>
      </c>
      <c r="F84" s="593">
        <v>103500</v>
      </c>
      <c r="G84" s="593">
        <v>103500</v>
      </c>
    </row>
    <row r="85" spans="1:7" x14ac:dyDescent="0.2">
      <c r="A85" s="594">
        <v>62430000</v>
      </c>
      <c r="B85" s="593" t="s">
        <v>159</v>
      </c>
      <c r="C85" s="593">
        <v>0</v>
      </c>
      <c r="D85" s="593">
        <v>219756.45</v>
      </c>
      <c r="E85" s="593">
        <v>199756.45</v>
      </c>
      <c r="F85" s="593">
        <v>20000</v>
      </c>
      <c r="G85" s="593">
        <v>20000</v>
      </c>
    </row>
    <row r="86" spans="1:7" x14ac:dyDescent="0.2">
      <c r="A86" s="594">
        <v>62510000</v>
      </c>
      <c r="B86" s="593" t="s">
        <v>7571</v>
      </c>
      <c r="C86" s="593">
        <v>0</v>
      </c>
      <c r="D86" s="593">
        <v>80000</v>
      </c>
      <c r="E86" s="593">
        <v>60000</v>
      </c>
      <c r="F86" s="593">
        <v>20000</v>
      </c>
      <c r="G86" s="593">
        <v>20000</v>
      </c>
    </row>
    <row r="87" spans="1:7" x14ac:dyDescent="0.2">
      <c r="A87" s="594">
        <v>62600000</v>
      </c>
      <c r="B87" s="593" t="s">
        <v>188</v>
      </c>
      <c r="C87" s="593">
        <v>0</v>
      </c>
      <c r="D87" s="593">
        <v>15160.776</v>
      </c>
      <c r="E87" s="593">
        <v>14123.816000000001</v>
      </c>
      <c r="F87" s="593">
        <v>1036.96</v>
      </c>
      <c r="G87" s="593">
        <v>1036.96</v>
      </c>
    </row>
    <row r="88" spans="1:7" x14ac:dyDescent="0.2">
      <c r="A88" s="594">
        <v>62780000</v>
      </c>
      <c r="B88" s="593" t="s">
        <v>189</v>
      </c>
      <c r="C88" s="593">
        <v>0</v>
      </c>
      <c r="D88" s="593">
        <v>168737.61</v>
      </c>
      <c r="E88" s="593">
        <v>145294.40900000001</v>
      </c>
      <c r="F88" s="593">
        <v>23443.201000000001</v>
      </c>
      <c r="G88" s="593">
        <v>23443.201000000001</v>
      </c>
    </row>
    <row r="89" spans="1:7" x14ac:dyDescent="0.2">
      <c r="A89" s="594">
        <v>63300000</v>
      </c>
      <c r="B89" s="593" t="s">
        <v>269</v>
      </c>
      <c r="C89" s="593">
        <v>0</v>
      </c>
      <c r="D89" s="593">
        <v>468750.00099999999</v>
      </c>
      <c r="E89" s="593">
        <v>375000.00099999999</v>
      </c>
      <c r="F89" s="593">
        <v>93750</v>
      </c>
      <c r="G89" s="593">
        <v>93750</v>
      </c>
    </row>
    <row r="90" spans="1:7" x14ac:dyDescent="0.2">
      <c r="A90" s="594">
        <v>64001000</v>
      </c>
      <c r="B90" s="593" t="s">
        <v>191</v>
      </c>
      <c r="C90" s="593">
        <v>0</v>
      </c>
      <c r="D90" s="593">
        <v>413518.88400000002</v>
      </c>
      <c r="E90" s="593">
        <v>413518.88400000002</v>
      </c>
      <c r="F90" s="593">
        <v>0</v>
      </c>
      <c r="G90" s="593">
        <v>0</v>
      </c>
    </row>
    <row r="91" spans="1:7" x14ac:dyDescent="0.2">
      <c r="A91" s="594">
        <v>64001100</v>
      </c>
      <c r="B91" s="593" t="s">
        <v>405</v>
      </c>
      <c r="C91" s="593">
        <v>0</v>
      </c>
      <c r="D91" s="593">
        <v>1125000</v>
      </c>
      <c r="E91" s="593">
        <v>900000</v>
      </c>
      <c r="F91" s="593">
        <v>225000</v>
      </c>
      <c r="G91" s="593">
        <v>225000</v>
      </c>
    </row>
    <row r="92" spans="1:7" x14ac:dyDescent="0.2">
      <c r="A92" s="594">
        <v>64020000</v>
      </c>
      <c r="B92" s="593" t="s">
        <v>406</v>
      </c>
      <c r="C92" s="593">
        <v>0</v>
      </c>
      <c r="D92" s="593">
        <v>1559196.5730000001</v>
      </c>
      <c r="E92" s="593">
        <v>1257168.601</v>
      </c>
      <c r="F92" s="593">
        <v>302027.97200000001</v>
      </c>
      <c r="G92" s="593">
        <v>302027.97200000001</v>
      </c>
    </row>
    <row r="93" spans="1:7" x14ac:dyDescent="0.2">
      <c r="A93" s="594">
        <v>64600100</v>
      </c>
      <c r="B93" s="593" t="s">
        <v>407</v>
      </c>
      <c r="C93" s="593">
        <v>0</v>
      </c>
      <c r="D93" s="593">
        <v>3054487.4890000001</v>
      </c>
      <c r="E93" s="593">
        <v>2804487.4890000001</v>
      </c>
      <c r="F93" s="593">
        <v>250000</v>
      </c>
      <c r="G93" s="593">
        <v>250000</v>
      </c>
    </row>
    <row r="94" spans="1:7" x14ac:dyDescent="0.2">
      <c r="A94" s="594">
        <v>64603000</v>
      </c>
      <c r="B94" s="593" t="s">
        <v>7404</v>
      </c>
      <c r="C94" s="593">
        <v>0</v>
      </c>
      <c r="D94" s="593">
        <v>3192</v>
      </c>
      <c r="E94" s="593">
        <v>3192</v>
      </c>
      <c r="F94" s="593">
        <v>0</v>
      </c>
      <c r="G94" s="593">
        <v>0</v>
      </c>
    </row>
    <row r="95" spans="1:7" x14ac:dyDescent="0.2">
      <c r="A95" s="594">
        <v>64720000</v>
      </c>
      <c r="B95" s="593" t="s">
        <v>194</v>
      </c>
      <c r="C95" s="593">
        <v>0</v>
      </c>
      <c r="D95" s="593">
        <v>726236.82400000002</v>
      </c>
      <c r="E95" s="593">
        <v>614080.12100000004</v>
      </c>
      <c r="F95" s="593">
        <v>112156.70299999999</v>
      </c>
      <c r="G95" s="593">
        <v>112156.70299999999</v>
      </c>
    </row>
    <row r="96" spans="1:7" x14ac:dyDescent="0.2">
      <c r="A96" s="594">
        <v>65110000</v>
      </c>
      <c r="B96" s="593" t="s">
        <v>8978</v>
      </c>
      <c r="C96" s="593">
        <v>0</v>
      </c>
      <c r="D96" s="593">
        <v>101279.9</v>
      </c>
      <c r="E96" s="593">
        <v>83574.653000000006</v>
      </c>
      <c r="F96" s="593">
        <v>17705.246999999999</v>
      </c>
      <c r="G96" s="593">
        <v>17705.246999999999</v>
      </c>
    </row>
    <row r="97" spans="1:7" x14ac:dyDescent="0.2">
      <c r="A97" s="594">
        <v>65110200</v>
      </c>
      <c r="B97" s="593" t="s">
        <v>196</v>
      </c>
      <c r="C97" s="593">
        <v>0</v>
      </c>
      <c r="D97" s="593">
        <v>346916.96799999999</v>
      </c>
      <c r="E97" s="593">
        <v>419277.554</v>
      </c>
      <c r="F97" s="593">
        <v>-72360.585999999996</v>
      </c>
      <c r="G97" s="593">
        <v>-72360.585999999996</v>
      </c>
    </row>
    <row r="98" spans="1:7" x14ac:dyDescent="0.2">
      <c r="A98" s="594">
        <v>65110400</v>
      </c>
      <c r="B98" s="593" t="s">
        <v>197</v>
      </c>
      <c r="C98" s="593">
        <v>0</v>
      </c>
      <c r="D98" s="593">
        <v>532853.09400000004</v>
      </c>
      <c r="E98" s="593">
        <v>643920.53</v>
      </c>
      <c r="F98" s="593">
        <v>-111067.436</v>
      </c>
      <c r="G98" s="593">
        <v>-111067.436</v>
      </c>
    </row>
    <row r="99" spans="1:7" x14ac:dyDescent="0.2">
      <c r="A99" s="594">
        <v>65115000</v>
      </c>
      <c r="B99" s="593" t="s">
        <v>9653</v>
      </c>
      <c r="C99" s="593">
        <v>0</v>
      </c>
      <c r="D99" s="593">
        <v>2903.0230000000001</v>
      </c>
      <c r="E99" s="593">
        <v>0</v>
      </c>
      <c r="F99" s="593">
        <v>2903.0230000000001</v>
      </c>
      <c r="G99" s="593">
        <v>2903.0230000000001</v>
      </c>
    </row>
    <row r="100" spans="1:7" x14ac:dyDescent="0.2">
      <c r="A100" s="594">
        <v>65150000</v>
      </c>
      <c r="B100" s="593" t="s">
        <v>270</v>
      </c>
      <c r="C100" s="593">
        <v>0</v>
      </c>
      <c r="D100" s="593">
        <v>123461.91899999999</v>
      </c>
      <c r="E100" s="593">
        <v>100627.946</v>
      </c>
      <c r="F100" s="593">
        <v>22833.973000000002</v>
      </c>
      <c r="G100" s="593">
        <v>22833.973000000002</v>
      </c>
    </row>
    <row r="101" spans="1:7" x14ac:dyDescent="0.2">
      <c r="A101" s="594">
        <v>65190000</v>
      </c>
      <c r="B101" s="593" t="s">
        <v>198</v>
      </c>
      <c r="C101" s="593">
        <v>0</v>
      </c>
      <c r="D101" s="593">
        <v>629784.71</v>
      </c>
      <c r="E101" s="593">
        <v>536570.90500000003</v>
      </c>
      <c r="F101" s="593">
        <v>93213.804999999993</v>
      </c>
      <c r="G101" s="593">
        <v>93213.804999999993</v>
      </c>
    </row>
    <row r="102" spans="1:7" x14ac:dyDescent="0.2">
      <c r="A102" s="594">
        <v>65500000</v>
      </c>
      <c r="B102" s="593" t="s">
        <v>7722</v>
      </c>
      <c r="C102" s="593">
        <v>0</v>
      </c>
      <c r="D102" s="593">
        <v>163948.5214</v>
      </c>
      <c r="E102" s="593">
        <v>132020.7524</v>
      </c>
      <c r="F102" s="593">
        <v>31927.769</v>
      </c>
      <c r="G102" s="593">
        <v>31927.769</v>
      </c>
    </row>
    <row r="103" spans="1:7" x14ac:dyDescent="0.2">
      <c r="A103" s="594">
        <v>66520000</v>
      </c>
      <c r="B103" s="593" t="s">
        <v>200</v>
      </c>
      <c r="C103" s="593">
        <v>0</v>
      </c>
      <c r="D103" s="593">
        <v>93993.216</v>
      </c>
      <c r="E103" s="593">
        <v>78851.869000000006</v>
      </c>
      <c r="F103" s="593">
        <v>15141.347</v>
      </c>
      <c r="G103" s="593">
        <v>15141.347</v>
      </c>
    </row>
    <row r="104" spans="1:7" x14ac:dyDescent="0.2">
      <c r="A104" s="594">
        <v>66550000</v>
      </c>
      <c r="B104" s="593" t="s">
        <v>202</v>
      </c>
      <c r="C104" s="593">
        <v>0</v>
      </c>
      <c r="D104" s="593">
        <v>40500</v>
      </c>
      <c r="E104" s="593">
        <v>32400</v>
      </c>
      <c r="F104" s="593">
        <v>8100</v>
      </c>
      <c r="G104" s="593">
        <v>8100</v>
      </c>
    </row>
    <row r="105" spans="1:7" x14ac:dyDescent="0.2">
      <c r="A105" s="594">
        <v>68112000</v>
      </c>
      <c r="B105" s="593" t="s">
        <v>7390</v>
      </c>
      <c r="C105" s="593">
        <v>0</v>
      </c>
      <c r="D105" s="593">
        <v>10748903.469000001</v>
      </c>
      <c r="E105" s="593">
        <v>8503323.7640000004</v>
      </c>
      <c r="F105" s="593">
        <v>2245579.7050000001</v>
      </c>
      <c r="G105" s="593">
        <v>2245579.7050000001</v>
      </c>
    </row>
    <row r="106" spans="1:7" x14ac:dyDescent="0.2">
      <c r="A106" s="594">
        <v>68150000</v>
      </c>
      <c r="B106" s="593" t="s">
        <v>9481</v>
      </c>
      <c r="C106" s="593">
        <v>0</v>
      </c>
      <c r="D106" s="593">
        <v>200000</v>
      </c>
      <c r="E106" s="593">
        <v>120000</v>
      </c>
      <c r="F106" s="593">
        <v>80000</v>
      </c>
      <c r="G106" s="593">
        <v>80000</v>
      </c>
    </row>
    <row r="107" spans="1:7" x14ac:dyDescent="0.2">
      <c r="A107" s="594">
        <v>68170000</v>
      </c>
      <c r="B107" s="593" t="s">
        <v>7577</v>
      </c>
      <c r="C107" s="593">
        <v>0</v>
      </c>
      <c r="D107" s="593">
        <v>2375000</v>
      </c>
      <c r="E107" s="593">
        <v>1850000</v>
      </c>
      <c r="F107" s="593">
        <v>525000</v>
      </c>
      <c r="G107" s="593">
        <v>525000</v>
      </c>
    </row>
    <row r="108" spans="1:7" x14ac:dyDescent="0.2">
      <c r="A108" s="594">
        <v>68180000</v>
      </c>
      <c r="B108" s="593" t="s">
        <v>8976</v>
      </c>
      <c r="C108" s="593">
        <v>0</v>
      </c>
      <c r="D108" s="593">
        <v>1502431.1340000001</v>
      </c>
      <c r="E108" s="593">
        <v>1001215.567</v>
      </c>
      <c r="F108" s="593">
        <v>501215.56699999998</v>
      </c>
      <c r="G108" s="593">
        <v>501215.56699999998</v>
      </c>
    </row>
    <row r="109" spans="1:7" x14ac:dyDescent="0.2">
      <c r="A109" s="594">
        <v>70102000</v>
      </c>
      <c r="B109" s="593" t="s">
        <v>207</v>
      </c>
      <c r="C109" s="593">
        <v>0</v>
      </c>
      <c r="D109" s="593">
        <v>3757277.7850000001</v>
      </c>
      <c r="E109" s="593">
        <v>3757277.7850000001</v>
      </c>
      <c r="F109" s="593">
        <v>0</v>
      </c>
      <c r="G109" s="593">
        <v>0</v>
      </c>
    </row>
    <row r="110" spans="1:7" x14ac:dyDescent="0.2">
      <c r="A110" s="594">
        <v>70600000</v>
      </c>
      <c r="B110" s="593" t="s">
        <v>381</v>
      </c>
      <c r="C110" s="593">
        <v>0</v>
      </c>
      <c r="D110" s="593">
        <v>526480.55000000005</v>
      </c>
      <c r="E110" s="593">
        <v>526480.55000000005</v>
      </c>
      <c r="F110" s="593">
        <v>0</v>
      </c>
      <c r="G110" s="593">
        <v>0</v>
      </c>
    </row>
    <row r="111" spans="1:7" x14ac:dyDescent="0.2">
      <c r="A111" s="594">
        <v>70600500</v>
      </c>
      <c r="B111" s="593" t="s">
        <v>208</v>
      </c>
      <c r="C111" s="593">
        <v>0</v>
      </c>
      <c r="D111" s="593">
        <v>58777.593000000001</v>
      </c>
      <c r="E111" s="593">
        <v>68918.391000000003</v>
      </c>
      <c r="F111" s="593">
        <v>-10140.798000000001</v>
      </c>
      <c r="G111" s="593">
        <v>-10140.798000000001</v>
      </c>
    </row>
    <row r="112" spans="1:7" x14ac:dyDescent="0.2">
      <c r="A112" s="594">
        <v>71340000</v>
      </c>
      <c r="B112" s="593" t="s">
        <v>382</v>
      </c>
      <c r="C112" s="593">
        <v>0</v>
      </c>
      <c r="D112" s="593">
        <v>2233181.5079999999</v>
      </c>
      <c r="E112" s="593">
        <v>2233181.5079999999</v>
      </c>
      <c r="F112" s="593">
        <v>0</v>
      </c>
      <c r="G112" s="593">
        <v>0</v>
      </c>
    </row>
    <row r="113" spans="1:7" x14ac:dyDescent="0.2">
      <c r="A113" s="594">
        <v>71350000</v>
      </c>
      <c r="B113" s="593" t="s">
        <v>209</v>
      </c>
      <c r="C113" s="593">
        <v>0</v>
      </c>
      <c r="D113" s="593">
        <v>56255617.955399998</v>
      </c>
      <c r="E113" s="593">
        <v>61078697.377400003</v>
      </c>
      <c r="F113" s="593">
        <v>-4823079.4220000003</v>
      </c>
      <c r="G113" s="593">
        <v>-4823079.4220000003</v>
      </c>
    </row>
    <row r="114" spans="1:7" x14ac:dyDescent="0.2">
      <c r="A114" s="594">
        <v>73900000</v>
      </c>
      <c r="B114" s="593" t="s">
        <v>213</v>
      </c>
      <c r="C114" s="593">
        <v>0</v>
      </c>
      <c r="D114" s="593">
        <v>730167.08700000006</v>
      </c>
      <c r="E114" s="593">
        <v>912708.85900000005</v>
      </c>
      <c r="F114" s="593">
        <v>-182541.772</v>
      </c>
      <c r="G114" s="593">
        <v>-182541.772</v>
      </c>
    </row>
    <row r="115" spans="1:7" x14ac:dyDescent="0.2">
      <c r="A115" s="594">
        <v>75600000</v>
      </c>
      <c r="B115" s="593" t="s">
        <v>215</v>
      </c>
      <c r="C115" s="593">
        <v>0</v>
      </c>
      <c r="D115" s="593">
        <v>23052.332999999999</v>
      </c>
      <c r="E115" s="593">
        <v>23052.332999999999</v>
      </c>
      <c r="F115" s="593">
        <v>0</v>
      </c>
      <c r="G115" s="593">
        <v>0</v>
      </c>
    </row>
  </sheetData>
  <autoFilter ref="A1:G57" xr:uid="{00000000-0009-0000-0000-00000C000000}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119"/>
  <sheetViews>
    <sheetView topLeftCell="A91" workbookViewId="0">
      <selection activeCell="C119" sqref="C119:D119"/>
    </sheetView>
  </sheetViews>
  <sheetFormatPr baseColWidth="10" defaultRowHeight="11.25" x14ac:dyDescent="0.2"/>
  <cols>
    <col min="1" max="1" width="10.7109375" style="302" bestFit="1" customWidth="1"/>
    <col min="2" max="2" width="28" style="302" bestFit="1" customWidth="1"/>
    <col min="3" max="3" width="12.42578125" style="302" bestFit="1" customWidth="1"/>
    <col min="4" max="5" width="16.5703125" style="302" bestFit="1" customWidth="1"/>
    <col min="6" max="7" width="16.140625" style="302" bestFit="1" customWidth="1"/>
    <col min="8" max="16384" width="11.42578125" style="302"/>
  </cols>
  <sheetData>
    <row r="1" spans="1:7" x14ac:dyDescent="0.2">
      <c r="A1" s="2" t="s">
        <v>4</v>
      </c>
      <c r="B1" s="2" t="s">
        <v>0</v>
      </c>
      <c r="C1" s="3" t="s">
        <v>5</v>
      </c>
      <c r="D1" s="3" t="s">
        <v>2</v>
      </c>
      <c r="E1" s="3" t="s">
        <v>3</v>
      </c>
      <c r="F1" s="3" t="s">
        <v>6</v>
      </c>
      <c r="G1" s="3" t="s">
        <v>262</v>
      </c>
    </row>
    <row r="2" spans="1:7" x14ac:dyDescent="0.2">
      <c r="A2" s="605">
        <v>13000000</v>
      </c>
      <c r="B2" s="606" t="s">
        <v>273</v>
      </c>
      <c r="C2" s="606">
        <v>-1E-4</v>
      </c>
      <c r="D2" s="606">
        <v>0</v>
      </c>
      <c r="E2" s="606">
        <v>0</v>
      </c>
      <c r="F2" s="606">
        <v>0</v>
      </c>
      <c r="G2" s="606">
        <v>-1E-4</v>
      </c>
    </row>
    <row r="3" spans="1:7" x14ac:dyDescent="0.2">
      <c r="A3" s="607">
        <v>14508000</v>
      </c>
      <c r="B3" s="606" t="s">
        <v>17</v>
      </c>
      <c r="C3" s="606">
        <v>0</v>
      </c>
      <c r="D3" s="606">
        <v>1115533.05</v>
      </c>
      <c r="E3" s="606">
        <v>912708.85900000005</v>
      </c>
      <c r="F3" s="606">
        <v>202824.19099999999</v>
      </c>
      <c r="G3" s="606">
        <v>202824.19099999999</v>
      </c>
    </row>
    <row r="4" spans="1:7" x14ac:dyDescent="0.2">
      <c r="A4" s="607">
        <v>15100000</v>
      </c>
      <c r="B4" s="606" t="s">
        <v>19</v>
      </c>
      <c r="C4" s="606">
        <v>0</v>
      </c>
      <c r="D4" s="606">
        <v>200000</v>
      </c>
      <c r="E4" s="606">
        <v>300000</v>
      </c>
      <c r="F4" s="606">
        <v>-100000</v>
      </c>
      <c r="G4" s="606">
        <v>-100000</v>
      </c>
    </row>
    <row r="5" spans="1:7" x14ac:dyDescent="0.2">
      <c r="A5" s="607">
        <v>22340000</v>
      </c>
      <c r="B5" s="606" t="s">
        <v>32</v>
      </c>
      <c r="C5" s="606">
        <v>0</v>
      </c>
      <c r="D5" s="606">
        <v>9020</v>
      </c>
      <c r="E5" s="606">
        <v>0</v>
      </c>
      <c r="F5" s="606">
        <v>9020</v>
      </c>
      <c r="G5" s="606">
        <v>9020</v>
      </c>
    </row>
    <row r="6" spans="1:7" x14ac:dyDescent="0.2">
      <c r="A6" s="607">
        <v>22350000</v>
      </c>
      <c r="B6" s="606" t="s">
        <v>33</v>
      </c>
      <c r="C6" s="606">
        <v>0</v>
      </c>
      <c r="D6" s="606">
        <v>15062.4</v>
      </c>
      <c r="E6" s="606">
        <v>15062.4</v>
      </c>
      <c r="F6" s="606">
        <v>0</v>
      </c>
      <c r="G6" s="606">
        <v>0</v>
      </c>
    </row>
    <row r="7" spans="1:7" x14ac:dyDescent="0.2">
      <c r="A7" s="607">
        <v>22825000</v>
      </c>
      <c r="B7" s="608"/>
      <c r="C7" s="606">
        <v>2.0000000000000001E-4</v>
      </c>
      <c r="D7" s="606">
        <v>0</v>
      </c>
      <c r="E7" s="606">
        <v>0</v>
      </c>
      <c r="F7" s="606">
        <v>0</v>
      </c>
      <c r="G7" s="606">
        <v>2.0000000000000001E-4</v>
      </c>
    </row>
    <row r="8" spans="1:7" x14ac:dyDescent="0.2">
      <c r="A8" s="607">
        <v>28130000</v>
      </c>
      <c r="B8" s="606" t="s">
        <v>24</v>
      </c>
      <c r="C8" s="606">
        <v>1E-4</v>
      </c>
      <c r="D8" s="606">
        <v>49316.24</v>
      </c>
      <c r="E8" s="606">
        <v>64295.178</v>
      </c>
      <c r="F8" s="606">
        <v>-14978.938</v>
      </c>
      <c r="G8" s="606">
        <v>-14978.937900000001</v>
      </c>
    </row>
    <row r="9" spans="1:7" x14ac:dyDescent="0.2">
      <c r="A9" s="607">
        <v>28216000</v>
      </c>
      <c r="B9" s="606" t="s">
        <v>48</v>
      </c>
      <c r="C9" s="606">
        <v>4.0000000000000002E-4</v>
      </c>
      <c r="D9" s="606">
        <v>10504.620999999999</v>
      </c>
      <c r="E9" s="606">
        <v>12854.441000000001</v>
      </c>
      <c r="F9" s="606">
        <v>-2349.8200000000002</v>
      </c>
      <c r="G9" s="606">
        <v>-2349.8195999999998</v>
      </c>
    </row>
    <row r="10" spans="1:7" x14ac:dyDescent="0.2">
      <c r="A10" s="607">
        <v>28220000</v>
      </c>
      <c r="B10" s="606" t="s">
        <v>49</v>
      </c>
      <c r="C10" s="606">
        <v>-2.0000000000000001E-4</v>
      </c>
      <c r="D10" s="606">
        <v>1712962.385</v>
      </c>
      <c r="E10" s="606">
        <v>2096141.6089999999</v>
      </c>
      <c r="F10" s="606">
        <v>-383179.22399999999</v>
      </c>
      <c r="G10" s="606">
        <v>-383179.2242</v>
      </c>
    </row>
    <row r="11" spans="1:7" x14ac:dyDescent="0.2">
      <c r="A11" s="607">
        <v>28225000</v>
      </c>
      <c r="B11" s="606" t="s">
        <v>50</v>
      </c>
      <c r="C11" s="606">
        <v>4.0000000000000002E-4</v>
      </c>
      <c r="D11" s="606">
        <v>295480.53499999997</v>
      </c>
      <c r="E11" s="606">
        <v>357683.57500000001</v>
      </c>
      <c r="F11" s="606">
        <v>-62203.040000000001</v>
      </c>
      <c r="G11" s="606">
        <v>-62203.039599999996</v>
      </c>
    </row>
    <row r="12" spans="1:7" x14ac:dyDescent="0.2">
      <c r="A12" s="607">
        <v>28230000</v>
      </c>
      <c r="B12" s="606" t="s">
        <v>263</v>
      </c>
      <c r="C12" s="606">
        <v>0</v>
      </c>
      <c r="D12" s="606">
        <v>102448.69500000001</v>
      </c>
      <c r="E12" s="606">
        <v>127143.944</v>
      </c>
      <c r="F12" s="606">
        <v>-24695.249</v>
      </c>
      <c r="G12" s="606">
        <v>-24695.249</v>
      </c>
    </row>
    <row r="13" spans="1:7" x14ac:dyDescent="0.2">
      <c r="A13" s="607">
        <v>28231000</v>
      </c>
      <c r="B13" s="606" t="s">
        <v>402</v>
      </c>
      <c r="C13" s="606">
        <v>0</v>
      </c>
      <c r="D13" s="606">
        <v>5260.1880000000001</v>
      </c>
      <c r="E13" s="606">
        <v>7885.107</v>
      </c>
      <c r="F13" s="606">
        <v>-2624.9189999999999</v>
      </c>
      <c r="G13" s="606">
        <v>-2624.9189999999999</v>
      </c>
    </row>
    <row r="14" spans="1:7" x14ac:dyDescent="0.2">
      <c r="A14" s="607">
        <v>28234000</v>
      </c>
      <c r="B14" s="606" t="s">
        <v>51</v>
      </c>
      <c r="C14" s="606">
        <v>-4.0000000000000002E-4</v>
      </c>
      <c r="D14" s="606">
        <v>6084378.5080000004</v>
      </c>
      <c r="E14" s="606">
        <v>7435489.2869999995</v>
      </c>
      <c r="F14" s="606">
        <v>-1351110.7790000001</v>
      </c>
      <c r="G14" s="606">
        <v>-1351110.7794000001</v>
      </c>
    </row>
    <row r="15" spans="1:7" x14ac:dyDescent="0.2">
      <c r="A15" s="607">
        <v>28235000</v>
      </c>
      <c r="B15" s="606" t="s">
        <v>52</v>
      </c>
      <c r="C15" s="606">
        <v>0</v>
      </c>
      <c r="D15" s="606">
        <v>218581.78</v>
      </c>
      <c r="E15" s="606">
        <v>267616.41499999998</v>
      </c>
      <c r="F15" s="606">
        <v>-49034.635000000002</v>
      </c>
      <c r="G15" s="606">
        <v>-49034.635000000002</v>
      </c>
    </row>
    <row r="16" spans="1:7" x14ac:dyDescent="0.2">
      <c r="A16" s="607">
        <v>28237000</v>
      </c>
      <c r="B16" s="606" t="s">
        <v>53</v>
      </c>
      <c r="C16" s="606">
        <v>-2.0000000000000001E-4</v>
      </c>
      <c r="D16" s="606">
        <v>158693.69399999999</v>
      </c>
      <c r="E16" s="606">
        <v>192156.66899999999</v>
      </c>
      <c r="F16" s="606">
        <v>-33462.974999999999</v>
      </c>
      <c r="G16" s="606">
        <v>-33462.975200000001</v>
      </c>
    </row>
    <row r="17" spans="1:7" x14ac:dyDescent="0.2">
      <c r="A17" s="607">
        <v>28240000</v>
      </c>
      <c r="B17" s="606" t="s">
        <v>54</v>
      </c>
      <c r="C17" s="606">
        <v>-2.9999999999999997E-4</v>
      </c>
      <c r="D17" s="606">
        <v>691091.05900000001</v>
      </c>
      <c r="E17" s="606">
        <v>842361.397</v>
      </c>
      <c r="F17" s="606">
        <v>-151270.33799999999</v>
      </c>
      <c r="G17" s="606">
        <v>-151270.3383</v>
      </c>
    </row>
    <row r="18" spans="1:7" x14ac:dyDescent="0.2">
      <c r="A18" s="607">
        <v>28282000</v>
      </c>
      <c r="B18" s="606" t="s">
        <v>55</v>
      </c>
      <c r="C18" s="606">
        <v>2.0000000000000001E-4</v>
      </c>
      <c r="D18" s="606">
        <v>203172.88800000001</v>
      </c>
      <c r="E18" s="606">
        <v>249660.44200000001</v>
      </c>
      <c r="F18" s="606">
        <v>-46487.553999999996</v>
      </c>
      <c r="G18" s="606">
        <v>-46487.553800000002</v>
      </c>
    </row>
    <row r="19" spans="1:7" x14ac:dyDescent="0.2">
      <c r="A19" s="607">
        <v>28283000</v>
      </c>
      <c r="B19" s="606" t="s">
        <v>7389</v>
      </c>
      <c r="C19" s="606">
        <v>1E-4</v>
      </c>
      <c r="D19" s="606">
        <v>175794.533</v>
      </c>
      <c r="E19" s="606">
        <v>216733.14499999999</v>
      </c>
      <c r="F19" s="606">
        <v>-40938.612000000001</v>
      </c>
      <c r="G19" s="606">
        <v>-40938.611900000004</v>
      </c>
    </row>
    <row r="20" spans="1:7" x14ac:dyDescent="0.2">
      <c r="A20" s="607">
        <v>28400000</v>
      </c>
      <c r="B20" s="606" t="s">
        <v>56</v>
      </c>
      <c r="C20" s="606">
        <v>0</v>
      </c>
      <c r="D20" s="606">
        <v>547524.34100000001</v>
      </c>
      <c r="E20" s="606">
        <v>676036.63699999999</v>
      </c>
      <c r="F20" s="606">
        <v>-128512.296</v>
      </c>
      <c r="G20" s="606">
        <v>-128512.296</v>
      </c>
    </row>
    <row r="21" spans="1:7" x14ac:dyDescent="0.2">
      <c r="A21" s="607">
        <v>29234000</v>
      </c>
      <c r="B21" s="606" t="s">
        <v>388</v>
      </c>
      <c r="C21" s="606">
        <v>0</v>
      </c>
      <c r="D21" s="606">
        <v>100000</v>
      </c>
      <c r="E21" s="606">
        <v>300000</v>
      </c>
      <c r="F21" s="606">
        <v>-200000</v>
      </c>
      <c r="G21" s="606">
        <v>-200000</v>
      </c>
    </row>
    <row r="22" spans="1:7" x14ac:dyDescent="0.2">
      <c r="A22" s="607">
        <v>31100000</v>
      </c>
      <c r="B22" s="606" t="s">
        <v>59</v>
      </c>
      <c r="C22" s="606">
        <v>0</v>
      </c>
      <c r="D22" s="606">
        <v>129652455.1802</v>
      </c>
      <c r="E22" s="606">
        <v>118595078.81919999</v>
      </c>
      <c r="F22" s="606">
        <v>11057376.361</v>
      </c>
      <c r="G22" s="606">
        <v>11057376.361</v>
      </c>
    </row>
    <row r="23" spans="1:7" x14ac:dyDescent="0.2">
      <c r="A23" s="607">
        <v>31200000</v>
      </c>
      <c r="B23" s="606" t="s">
        <v>390</v>
      </c>
      <c r="C23" s="606">
        <v>0</v>
      </c>
      <c r="D23" s="606">
        <v>5854753.227</v>
      </c>
      <c r="E23" s="606">
        <v>5854753.227</v>
      </c>
      <c r="F23" s="606">
        <v>0</v>
      </c>
      <c r="G23" s="606">
        <v>0</v>
      </c>
    </row>
    <row r="24" spans="1:7" x14ac:dyDescent="0.2">
      <c r="A24" s="607">
        <v>32200000</v>
      </c>
      <c r="B24" s="606" t="s">
        <v>61</v>
      </c>
      <c r="C24" s="606">
        <v>0</v>
      </c>
      <c r="D24" s="606">
        <v>8614830.8774999995</v>
      </c>
      <c r="E24" s="606">
        <v>7982497.2364999996</v>
      </c>
      <c r="F24" s="606">
        <v>632333.64099999995</v>
      </c>
      <c r="G24" s="606">
        <v>632333.64099999995</v>
      </c>
    </row>
    <row r="25" spans="1:7" x14ac:dyDescent="0.2">
      <c r="A25" s="607">
        <v>33100000</v>
      </c>
      <c r="B25" s="606" t="s">
        <v>62</v>
      </c>
      <c r="C25" s="606">
        <v>0</v>
      </c>
      <c r="D25" s="606">
        <v>49026901.486400001</v>
      </c>
      <c r="E25" s="606">
        <v>44469470.616400003</v>
      </c>
      <c r="F25" s="606">
        <v>4557430.87</v>
      </c>
      <c r="G25" s="606">
        <v>4557430.87</v>
      </c>
    </row>
    <row r="26" spans="1:7" x14ac:dyDescent="0.2">
      <c r="A26" s="607">
        <v>35500000</v>
      </c>
      <c r="B26" s="606" t="s">
        <v>63</v>
      </c>
      <c r="C26" s="606">
        <v>0</v>
      </c>
      <c r="D26" s="606">
        <v>17533716.734000001</v>
      </c>
      <c r="E26" s="606">
        <v>16609226.76</v>
      </c>
      <c r="F26" s="606">
        <v>924489.97400000005</v>
      </c>
      <c r="G26" s="606">
        <v>924489.97400000005</v>
      </c>
    </row>
    <row r="27" spans="1:7" x14ac:dyDescent="0.2">
      <c r="A27" s="607">
        <v>39000000</v>
      </c>
      <c r="B27" s="606" t="s">
        <v>64</v>
      </c>
      <c r="C27" s="606">
        <v>0</v>
      </c>
      <c r="D27" s="606">
        <v>1502431.1340000001</v>
      </c>
      <c r="E27" s="606">
        <v>1902431.1340000001</v>
      </c>
      <c r="F27" s="606">
        <v>-400000</v>
      </c>
      <c r="G27" s="606">
        <v>-400000</v>
      </c>
    </row>
    <row r="28" spans="1:7" x14ac:dyDescent="0.2">
      <c r="A28" s="607">
        <v>40100000</v>
      </c>
      <c r="B28" s="609" t="s">
        <v>66</v>
      </c>
      <c r="C28" s="606">
        <v>0</v>
      </c>
      <c r="D28" s="606">
        <v>823434.255</v>
      </c>
      <c r="E28" s="606">
        <v>823434.255</v>
      </c>
      <c r="F28" s="606">
        <v>0</v>
      </c>
      <c r="G28" s="606">
        <v>0</v>
      </c>
    </row>
    <row r="29" spans="1:7" x14ac:dyDescent="0.2">
      <c r="A29" s="607">
        <v>40120000</v>
      </c>
      <c r="B29" s="609" t="s">
        <v>386</v>
      </c>
      <c r="C29" s="606">
        <v>2.9999999999999997E-4</v>
      </c>
      <c r="D29" s="606">
        <v>0</v>
      </c>
      <c r="E29" s="606">
        <v>0</v>
      </c>
      <c r="F29" s="606">
        <v>0</v>
      </c>
      <c r="G29" s="606">
        <v>2.9999999999999997E-4</v>
      </c>
    </row>
    <row r="30" spans="1:7" x14ac:dyDescent="0.2">
      <c r="A30" s="607">
        <v>40600000</v>
      </c>
      <c r="B30" s="609" t="s">
        <v>70</v>
      </c>
      <c r="C30" s="606">
        <v>0</v>
      </c>
      <c r="D30" s="606">
        <v>5442668.773</v>
      </c>
      <c r="E30" s="606">
        <v>4544719.6540000001</v>
      </c>
      <c r="F30" s="606">
        <v>897949.11899999995</v>
      </c>
      <c r="G30" s="606">
        <v>897949.11899999995</v>
      </c>
    </row>
    <row r="31" spans="1:7" x14ac:dyDescent="0.2">
      <c r="A31" s="607">
        <v>40800000</v>
      </c>
      <c r="B31" s="609" t="s">
        <v>71</v>
      </c>
      <c r="C31" s="606">
        <v>1E-4</v>
      </c>
      <c r="D31" s="606">
        <v>0</v>
      </c>
      <c r="E31" s="606">
        <v>0</v>
      </c>
      <c r="F31" s="606">
        <v>0</v>
      </c>
      <c r="G31" s="606">
        <v>1E-4</v>
      </c>
    </row>
    <row r="32" spans="1:7" x14ac:dyDescent="0.2">
      <c r="A32" s="607">
        <v>40810000</v>
      </c>
      <c r="B32" s="609" t="s">
        <v>391</v>
      </c>
      <c r="C32" s="606">
        <v>0</v>
      </c>
      <c r="D32" s="606">
        <v>5123.701</v>
      </c>
      <c r="E32" s="606">
        <v>5123.701</v>
      </c>
      <c r="F32" s="606">
        <v>0</v>
      </c>
      <c r="G32" s="606">
        <v>0</v>
      </c>
    </row>
    <row r="33" spans="1:7" x14ac:dyDescent="0.2">
      <c r="A33" s="607">
        <v>41100000</v>
      </c>
      <c r="B33" s="609" t="s">
        <v>73</v>
      </c>
      <c r="C33" s="606">
        <v>-4.0000000000000002E-4</v>
      </c>
      <c r="D33" s="606">
        <v>0</v>
      </c>
      <c r="E33" s="606">
        <v>0</v>
      </c>
      <c r="F33" s="606">
        <v>0</v>
      </c>
      <c r="G33" s="606">
        <v>-4.0000000000000002E-4</v>
      </c>
    </row>
    <row r="34" spans="1:7" x14ac:dyDescent="0.2">
      <c r="A34" s="607">
        <v>41500000</v>
      </c>
      <c r="B34" s="609" t="s">
        <v>75</v>
      </c>
      <c r="C34" s="606">
        <v>-4.0000000000000002E-4</v>
      </c>
      <c r="D34" s="606">
        <v>3757277.7850000001</v>
      </c>
      <c r="E34" s="606">
        <v>3757277.7850000001</v>
      </c>
      <c r="F34" s="606">
        <v>0</v>
      </c>
      <c r="G34" s="606">
        <v>-4.0000000000000002E-4</v>
      </c>
    </row>
    <row r="35" spans="1:7" x14ac:dyDescent="0.2">
      <c r="A35" s="607">
        <v>41800000</v>
      </c>
      <c r="B35" s="609" t="s">
        <v>307</v>
      </c>
      <c r="C35" s="606">
        <v>4.0000000000000002E-4</v>
      </c>
      <c r="D35" s="606">
        <v>0</v>
      </c>
      <c r="E35" s="606">
        <v>0</v>
      </c>
      <c r="F35" s="606">
        <v>0</v>
      </c>
      <c r="G35" s="606">
        <v>4.0000000000000002E-4</v>
      </c>
    </row>
    <row r="36" spans="1:7" x14ac:dyDescent="0.2">
      <c r="A36" s="607">
        <v>42820000</v>
      </c>
      <c r="B36" s="606" t="s">
        <v>83</v>
      </c>
      <c r="C36" s="606">
        <v>0</v>
      </c>
      <c r="D36" s="606">
        <v>3054487.4890000001</v>
      </c>
      <c r="E36" s="606">
        <v>3309487.4890000001</v>
      </c>
      <c r="F36" s="606">
        <v>-255000</v>
      </c>
      <c r="G36" s="606">
        <v>-255000</v>
      </c>
    </row>
    <row r="37" spans="1:7" x14ac:dyDescent="0.2">
      <c r="A37" s="607">
        <v>45310000</v>
      </c>
      <c r="B37" s="606" t="s">
        <v>104</v>
      </c>
      <c r="C37" s="606">
        <v>0</v>
      </c>
      <c r="D37" s="606">
        <v>726236.82400000002</v>
      </c>
      <c r="E37" s="606">
        <v>760644.44499999995</v>
      </c>
      <c r="F37" s="606">
        <v>-34407.620999999999</v>
      </c>
      <c r="G37" s="606">
        <v>-34407.620999999999</v>
      </c>
    </row>
    <row r="38" spans="1:7" x14ac:dyDescent="0.2">
      <c r="A38" s="607">
        <v>45860000</v>
      </c>
      <c r="B38" s="606" t="s">
        <v>106</v>
      </c>
      <c r="C38" s="606">
        <v>-2.9999999999999997E-4</v>
      </c>
      <c r="D38" s="606">
        <v>9920258.2559999991</v>
      </c>
      <c r="E38" s="606">
        <v>11596868.651000001</v>
      </c>
      <c r="F38" s="606">
        <v>-1676610.395</v>
      </c>
      <c r="G38" s="606">
        <v>-1676610.3953</v>
      </c>
    </row>
    <row r="39" spans="1:7" x14ac:dyDescent="0.2">
      <c r="A39" s="607">
        <v>45870000</v>
      </c>
      <c r="B39" s="606" t="s">
        <v>107</v>
      </c>
      <c r="C39" s="606">
        <v>0</v>
      </c>
      <c r="D39" s="606">
        <v>744228.76399999997</v>
      </c>
      <c r="E39" s="606">
        <v>595398.94099999999</v>
      </c>
      <c r="F39" s="606">
        <v>148829.823</v>
      </c>
      <c r="G39" s="606">
        <v>148829.823</v>
      </c>
    </row>
    <row r="40" spans="1:7" x14ac:dyDescent="0.2">
      <c r="A40" s="607">
        <v>47100000</v>
      </c>
      <c r="B40" s="606" t="s">
        <v>109</v>
      </c>
      <c r="C40" s="606">
        <v>1E-4</v>
      </c>
      <c r="D40" s="606">
        <v>1694253.173</v>
      </c>
      <c r="E40" s="606">
        <v>1582628.328</v>
      </c>
      <c r="F40" s="606">
        <v>111624.845</v>
      </c>
      <c r="G40" s="606">
        <v>111624.84510000001</v>
      </c>
    </row>
    <row r="41" spans="1:7" x14ac:dyDescent="0.2">
      <c r="A41" s="607">
        <v>49100000</v>
      </c>
      <c r="B41" s="606" t="s">
        <v>110</v>
      </c>
      <c r="C41" s="606">
        <v>0</v>
      </c>
      <c r="D41" s="606">
        <v>1900000</v>
      </c>
      <c r="E41" s="606">
        <v>2350000</v>
      </c>
      <c r="F41" s="606">
        <v>-450000</v>
      </c>
      <c r="G41" s="606">
        <v>-450000</v>
      </c>
    </row>
    <row r="42" spans="1:7" x14ac:dyDescent="0.2">
      <c r="A42" s="607">
        <v>53205700</v>
      </c>
      <c r="B42" s="606" t="s">
        <v>129</v>
      </c>
      <c r="C42" s="606">
        <v>0</v>
      </c>
      <c r="D42" s="606">
        <v>1933149.2574</v>
      </c>
      <c r="E42" s="606">
        <v>2887839.0033999998</v>
      </c>
      <c r="F42" s="606">
        <v>-954689.74600000004</v>
      </c>
      <c r="G42" s="606">
        <v>-954689.74600000004</v>
      </c>
    </row>
    <row r="43" spans="1:7" x14ac:dyDescent="0.2">
      <c r="A43" s="607">
        <v>53205800</v>
      </c>
      <c r="B43" s="606" t="s">
        <v>130</v>
      </c>
      <c r="C43" s="606">
        <v>0</v>
      </c>
      <c r="D43" s="606">
        <v>474.61799999999999</v>
      </c>
      <c r="E43" s="606">
        <v>433.78699999999998</v>
      </c>
      <c r="F43" s="606">
        <v>40.831000000000003</v>
      </c>
      <c r="G43" s="606">
        <v>40.831000000000003</v>
      </c>
    </row>
    <row r="44" spans="1:7" x14ac:dyDescent="0.2">
      <c r="A44" s="607">
        <v>60110110</v>
      </c>
      <c r="B44" s="606" t="s">
        <v>403</v>
      </c>
      <c r="C44" s="606">
        <v>0</v>
      </c>
      <c r="D44" s="606">
        <v>4207008.9249999998</v>
      </c>
      <c r="E44" s="606">
        <v>4207008.9249999998</v>
      </c>
      <c r="F44" s="606">
        <v>0</v>
      </c>
      <c r="G44" s="606">
        <v>0</v>
      </c>
    </row>
    <row r="45" spans="1:7" x14ac:dyDescent="0.2">
      <c r="A45" s="607">
        <v>60110213</v>
      </c>
      <c r="B45" s="606" t="s">
        <v>364</v>
      </c>
      <c r="C45" s="606">
        <v>0</v>
      </c>
      <c r="D45" s="606">
        <v>768</v>
      </c>
      <c r="E45" s="606">
        <v>768</v>
      </c>
      <c r="F45" s="606">
        <v>0</v>
      </c>
      <c r="G45" s="606">
        <v>0</v>
      </c>
    </row>
    <row r="46" spans="1:7" x14ac:dyDescent="0.2">
      <c r="A46" s="607">
        <v>60110500</v>
      </c>
      <c r="B46" s="606" t="s">
        <v>144</v>
      </c>
      <c r="C46" s="606">
        <v>0</v>
      </c>
      <c r="D46" s="606">
        <v>7502.2709999999997</v>
      </c>
      <c r="E46" s="606">
        <v>7502.2709999999997</v>
      </c>
      <c r="F46" s="606">
        <v>0</v>
      </c>
      <c r="G46" s="606">
        <v>0</v>
      </c>
    </row>
    <row r="47" spans="1:7" x14ac:dyDescent="0.2">
      <c r="A47" s="607">
        <v>60110900</v>
      </c>
      <c r="B47" s="606" t="s">
        <v>147</v>
      </c>
      <c r="C47" s="606">
        <v>0</v>
      </c>
      <c r="D47" s="606">
        <v>207714.43700000001</v>
      </c>
      <c r="E47" s="606">
        <v>192313.897</v>
      </c>
      <c r="F47" s="606">
        <v>15400.54</v>
      </c>
      <c r="G47" s="606">
        <v>15400.54</v>
      </c>
    </row>
    <row r="48" spans="1:7" x14ac:dyDescent="0.2">
      <c r="A48" s="607">
        <v>60120200</v>
      </c>
      <c r="B48" s="606" t="s">
        <v>8977</v>
      </c>
      <c r="C48" s="606">
        <v>0</v>
      </c>
      <c r="D48" s="606">
        <v>492</v>
      </c>
      <c r="E48" s="606">
        <v>492</v>
      </c>
      <c r="F48" s="606">
        <v>0</v>
      </c>
      <c r="G48" s="606">
        <v>0</v>
      </c>
    </row>
    <row r="49" spans="1:7" x14ac:dyDescent="0.2">
      <c r="A49" s="607">
        <v>60120300</v>
      </c>
      <c r="B49" s="606" t="s">
        <v>409</v>
      </c>
      <c r="C49" s="606">
        <v>0</v>
      </c>
      <c r="D49" s="606">
        <v>476925.11</v>
      </c>
      <c r="E49" s="606">
        <v>464265.11</v>
      </c>
      <c r="F49" s="606">
        <v>12660</v>
      </c>
      <c r="G49" s="606">
        <v>12660</v>
      </c>
    </row>
    <row r="50" spans="1:7" x14ac:dyDescent="0.2">
      <c r="A50" s="607">
        <v>60120400</v>
      </c>
      <c r="B50" s="606" t="s">
        <v>410</v>
      </c>
      <c r="C50" s="606">
        <v>0</v>
      </c>
      <c r="D50" s="606">
        <v>157330.79999999999</v>
      </c>
      <c r="E50" s="606">
        <v>157330.79999999999</v>
      </c>
      <c r="F50" s="606">
        <v>0</v>
      </c>
      <c r="G50" s="606">
        <v>0</v>
      </c>
    </row>
    <row r="51" spans="1:7" x14ac:dyDescent="0.2">
      <c r="A51" s="607">
        <v>60121500</v>
      </c>
      <c r="B51" s="606" t="s">
        <v>404</v>
      </c>
      <c r="C51" s="606">
        <v>0</v>
      </c>
      <c r="D51" s="606">
        <v>154800</v>
      </c>
      <c r="E51" s="606">
        <v>154800</v>
      </c>
      <c r="F51" s="606">
        <v>0</v>
      </c>
      <c r="G51" s="606">
        <v>0</v>
      </c>
    </row>
    <row r="52" spans="1:7" x14ac:dyDescent="0.2">
      <c r="A52" s="607">
        <v>60122100</v>
      </c>
      <c r="B52" s="606" t="s">
        <v>155</v>
      </c>
      <c r="C52" s="606">
        <v>0</v>
      </c>
      <c r="D52" s="606">
        <v>26730</v>
      </c>
      <c r="E52" s="606">
        <v>26730</v>
      </c>
      <c r="F52" s="606">
        <v>0</v>
      </c>
      <c r="G52" s="606">
        <v>0</v>
      </c>
    </row>
    <row r="53" spans="1:7" x14ac:dyDescent="0.2">
      <c r="A53" s="607">
        <v>60122200</v>
      </c>
      <c r="B53" s="606" t="s">
        <v>156</v>
      </c>
      <c r="C53" s="606">
        <v>0</v>
      </c>
      <c r="D53" s="606">
        <v>12789</v>
      </c>
      <c r="E53" s="606">
        <v>12789</v>
      </c>
      <c r="F53" s="606">
        <v>0</v>
      </c>
      <c r="G53" s="606">
        <v>0</v>
      </c>
    </row>
    <row r="54" spans="1:7" x14ac:dyDescent="0.2">
      <c r="A54" s="607">
        <v>60122411</v>
      </c>
      <c r="B54" s="606" t="s">
        <v>367</v>
      </c>
      <c r="C54" s="606">
        <v>0</v>
      </c>
      <c r="D54" s="606">
        <v>1474.8</v>
      </c>
      <c r="E54" s="606">
        <v>1474.8</v>
      </c>
      <c r="F54" s="606">
        <v>0</v>
      </c>
      <c r="G54" s="606">
        <v>0</v>
      </c>
    </row>
    <row r="55" spans="1:7" x14ac:dyDescent="0.2">
      <c r="A55" s="607">
        <v>60122510</v>
      </c>
      <c r="B55" s="606" t="s">
        <v>368</v>
      </c>
      <c r="C55" s="606">
        <v>0</v>
      </c>
      <c r="D55" s="606">
        <v>3850.7689999999998</v>
      </c>
      <c r="E55" s="606">
        <v>1931.701</v>
      </c>
      <c r="F55" s="606">
        <v>1919.068</v>
      </c>
      <c r="G55" s="606">
        <v>1919.068</v>
      </c>
    </row>
    <row r="56" spans="1:7" x14ac:dyDescent="0.2">
      <c r="A56" s="607">
        <v>60122700</v>
      </c>
      <c r="B56" s="606" t="s">
        <v>7567</v>
      </c>
      <c r="C56" s="606">
        <v>0</v>
      </c>
      <c r="D56" s="606">
        <v>12212.5</v>
      </c>
      <c r="E56" s="606">
        <v>12212.5</v>
      </c>
      <c r="F56" s="606">
        <v>0</v>
      </c>
      <c r="G56" s="606">
        <v>0</v>
      </c>
    </row>
    <row r="57" spans="1:7" x14ac:dyDescent="0.2">
      <c r="A57" s="607">
        <v>60171000</v>
      </c>
      <c r="B57" s="606" t="s">
        <v>369</v>
      </c>
      <c r="C57" s="606">
        <v>0</v>
      </c>
      <c r="D57" s="606">
        <v>428097.09</v>
      </c>
      <c r="E57" s="606">
        <v>406817.03600000002</v>
      </c>
      <c r="F57" s="606">
        <v>21280.054</v>
      </c>
      <c r="G57" s="606">
        <v>21280.054</v>
      </c>
    </row>
    <row r="58" spans="1:7" x14ac:dyDescent="0.2">
      <c r="A58" s="607">
        <v>60172000</v>
      </c>
      <c r="B58" s="606" t="s">
        <v>169</v>
      </c>
      <c r="C58" s="606">
        <v>0</v>
      </c>
      <c r="D58" s="606">
        <v>962543.549</v>
      </c>
      <c r="E58" s="606">
        <v>847695.5</v>
      </c>
      <c r="F58" s="606">
        <v>114848.049</v>
      </c>
      <c r="G58" s="606">
        <v>114848.049</v>
      </c>
    </row>
    <row r="59" spans="1:7" x14ac:dyDescent="0.2">
      <c r="A59" s="607">
        <v>60173000</v>
      </c>
      <c r="B59" s="606" t="s">
        <v>170</v>
      </c>
      <c r="C59" s="606">
        <v>0</v>
      </c>
      <c r="D59" s="606">
        <v>73542.532000000007</v>
      </c>
      <c r="E59" s="606">
        <v>65613.881999999998</v>
      </c>
      <c r="F59" s="606">
        <v>7928.65</v>
      </c>
      <c r="G59" s="606">
        <v>7928.65</v>
      </c>
    </row>
    <row r="60" spans="1:7" x14ac:dyDescent="0.2">
      <c r="A60" s="607">
        <v>60260200</v>
      </c>
      <c r="B60" s="606" t="s">
        <v>372</v>
      </c>
      <c r="C60" s="606">
        <v>0</v>
      </c>
      <c r="D60" s="606">
        <v>4836.8</v>
      </c>
      <c r="E60" s="606">
        <v>0</v>
      </c>
      <c r="F60" s="606">
        <v>4836.8</v>
      </c>
      <c r="G60" s="606">
        <v>4836.8</v>
      </c>
    </row>
    <row r="61" spans="1:7" x14ac:dyDescent="0.2">
      <c r="A61" s="607">
        <v>60260400</v>
      </c>
      <c r="B61" s="606" t="s">
        <v>161</v>
      </c>
      <c r="C61" s="606">
        <v>0</v>
      </c>
      <c r="D61" s="606">
        <v>27627.8</v>
      </c>
      <c r="E61" s="606">
        <v>23134.2</v>
      </c>
      <c r="F61" s="606">
        <v>4493.6000000000004</v>
      </c>
      <c r="G61" s="606">
        <v>4493.6000000000004</v>
      </c>
    </row>
    <row r="62" spans="1:7" x14ac:dyDescent="0.2">
      <c r="A62" s="607">
        <v>60260600</v>
      </c>
      <c r="B62" s="606" t="s">
        <v>7401</v>
      </c>
      <c r="C62" s="606">
        <v>0</v>
      </c>
      <c r="D62" s="606">
        <v>393.9</v>
      </c>
      <c r="E62" s="606">
        <v>196.95</v>
      </c>
      <c r="F62" s="606">
        <v>196.95</v>
      </c>
      <c r="G62" s="606">
        <v>196.95</v>
      </c>
    </row>
    <row r="63" spans="1:7" x14ac:dyDescent="0.2">
      <c r="A63" s="607">
        <v>60260700</v>
      </c>
      <c r="B63" s="606" t="s">
        <v>163</v>
      </c>
      <c r="C63" s="606">
        <v>0</v>
      </c>
      <c r="D63" s="606">
        <v>5845.7</v>
      </c>
      <c r="E63" s="606">
        <v>5845.7</v>
      </c>
      <c r="F63" s="606">
        <v>0</v>
      </c>
      <c r="G63" s="606">
        <v>0</v>
      </c>
    </row>
    <row r="64" spans="1:7" x14ac:dyDescent="0.2">
      <c r="A64" s="607">
        <v>60262000</v>
      </c>
      <c r="B64" s="606" t="s">
        <v>164</v>
      </c>
      <c r="C64" s="606">
        <v>0</v>
      </c>
      <c r="D64" s="606">
        <v>31175.929</v>
      </c>
      <c r="E64" s="606">
        <v>26125.929</v>
      </c>
      <c r="F64" s="606">
        <v>5050</v>
      </c>
      <c r="G64" s="606">
        <v>5050</v>
      </c>
    </row>
    <row r="65" spans="1:7" x14ac:dyDescent="0.2">
      <c r="A65" s="607">
        <v>60263000</v>
      </c>
      <c r="B65" s="606" t="s">
        <v>165</v>
      </c>
      <c r="C65" s="606">
        <v>0</v>
      </c>
      <c r="D65" s="606">
        <v>16099.643</v>
      </c>
      <c r="E65" s="606">
        <v>13804.923000000001</v>
      </c>
      <c r="F65" s="606">
        <v>2294.7199999999998</v>
      </c>
      <c r="G65" s="606">
        <v>2294.7199999999998</v>
      </c>
    </row>
    <row r="66" spans="1:7" x14ac:dyDescent="0.2">
      <c r="A66" s="607">
        <v>60310000</v>
      </c>
      <c r="B66" s="606" t="s">
        <v>265</v>
      </c>
      <c r="C66" s="606">
        <v>0</v>
      </c>
      <c r="D66" s="606">
        <v>122802087.7432</v>
      </c>
      <c r="E66" s="606">
        <v>133859464.10420001</v>
      </c>
      <c r="F66" s="606">
        <v>-11057376.361</v>
      </c>
      <c r="G66" s="606">
        <v>-11057376.361</v>
      </c>
    </row>
    <row r="67" spans="1:7" x14ac:dyDescent="0.2">
      <c r="A67" s="607">
        <v>60330000</v>
      </c>
      <c r="B67" s="606" t="s">
        <v>266</v>
      </c>
      <c r="C67" s="606">
        <v>0</v>
      </c>
      <c r="D67" s="606">
        <v>7982497.2364999996</v>
      </c>
      <c r="E67" s="606">
        <v>8614830.8774999995</v>
      </c>
      <c r="F67" s="606">
        <v>-632333.64099999995</v>
      </c>
      <c r="G67" s="606">
        <v>-632333.64099999995</v>
      </c>
    </row>
    <row r="68" spans="1:7" x14ac:dyDescent="0.2">
      <c r="A68" s="607">
        <v>60401000</v>
      </c>
      <c r="B68" s="606" t="s">
        <v>166</v>
      </c>
      <c r="C68" s="606">
        <v>0</v>
      </c>
      <c r="D68" s="606">
        <v>772986.00100000005</v>
      </c>
      <c r="E68" s="606">
        <v>637556.00100000005</v>
      </c>
      <c r="F68" s="606">
        <v>135430</v>
      </c>
      <c r="G68" s="606">
        <v>135430</v>
      </c>
    </row>
    <row r="69" spans="1:7" x14ac:dyDescent="0.2">
      <c r="A69" s="607">
        <v>60502000</v>
      </c>
      <c r="B69" s="606" t="s">
        <v>167</v>
      </c>
      <c r="C69" s="606">
        <v>0</v>
      </c>
      <c r="D69" s="606">
        <v>85358.053</v>
      </c>
      <c r="E69" s="606">
        <v>58949.224000000002</v>
      </c>
      <c r="F69" s="606">
        <v>26408.829000000002</v>
      </c>
      <c r="G69" s="606">
        <v>26408.829000000002</v>
      </c>
    </row>
    <row r="70" spans="1:7" x14ac:dyDescent="0.2">
      <c r="A70" s="607">
        <v>60614000</v>
      </c>
      <c r="B70" s="606" t="s">
        <v>171</v>
      </c>
      <c r="C70" s="606">
        <v>0</v>
      </c>
      <c r="D70" s="606">
        <v>7104.1120000000001</v>
      </c>
      <c r="E70" s="606">
        <v>7104.1120000000001</v>
      </c>
      <c r="F70" s="606">
        <v>0</v>
      </c>
      <c r="G70" s="606">
        <v>0</v>
      </c>
    </row>
    <row r="71" spans="1:7" x14ac:dyDescent="0.2">
      <c r="A71" s="607">
        <v>60620000</v>
      </c>
      <c r="B71" s="606" t="s">
        <v>172</v>
      </c>
      <c r="C71" s="606">
        <v>0</v>
      </c>
      <c r="D71" s="606">
        <v>5435.0150000000003</v>
      </c>
      <c r="E71" s="606">
        <v>3197.9749999999999</v>
      </c>
      <c r="F71" s="606">
        <v>2237.04</v>
      </c>
      <c r="G71" s="606">
        <v>2237.04</v>
      </c>
    </row>
    <row r="72" spans="1:7" x14ac:dyDescent="0.2">
      <c r="A72" s="607">
        <v>60650000</v>
      </c>
      <c r="B72" s="606" t="s">
        <v>373</v>
      </c>
      <c r="C72" s="606">
        <v>0</v>
      </c>
      <c r="D72" s="606">
        <v>4050</v>
      </c>
      <c r="E72" s="606">
        <v>4050</v>
      </c>
      <c r="F72" s="606">
        <v>0</v>
      </c>
      <c r="G72" s="606">
        <v>0</v>
      </c>
    </row>
    <row r="73" spans="1:7" x14ac:dyDescent="0.2">
      <c r="A73" s="607">
        <v>60660000</v>
      </c>
      <c r="B73" s="606" t="s">
        <v>173</v>
      </c>
      <c r="C73" s="606">
        <v>0</v>
      </c>
      <c r="D73" s="606">
        <v>736.5</v>
      </c>
      <c r="E73" s="606">
        <v>491</v>
      </c>
      <c r="F73" s="606">
        <v>245.5</v>
      </c>
      <c r="G73" s="606">
        <v>245.5</v>
      </c>
    </row>
    <row r="74" spans="1:7" x14ac:dyDescent="0.2">
      <c r="A74" s="607">
        <v>60670000</v>
      </c>
      <c r="B74" s="606" t="s">
        <v>174</v>
      </c>
      <c r="C74" s="606">
        <v>0</v>
      </c>
      <c r="D74" s="606">
        <v>4661.5349999999999</v>
      </c>
      <c r="E74" s="606">
        <v>4661.5349999999999</v>
      </c>
      <c r="F74" s="606">
        <v>0</v>
      </c>
      <c r="G74" s="606">
        <v>0</v>
      </c>
    </row>
    <row r="75" spans="1:7" x14ac:dyDescent="0.2">
      <c r="A75" s="607">
        <v>60671000</v>
      </c>
      <c r="B75" s="606" t="s">
        <v>374</v>
      </c>
      <c r="C75" s="606">
        <v>0</v>
      </c>
      <c r="D75" s="606">
        <v>13634.6</v>
      </c>
      <c r="E75" s="606">
        <v>13634.6</v>
      </c>
      <c r="F75" s="606">
        <v>0</v>
      </c>
      <c r="G75" s="606">
        <v>0</v>
      </c>
    </row>
    <row r="76" spans="1:7" x14ac:dyDescent="0.2">
      <c r="A76" s="607">
        <v>61500000</v>
      </c>
      <c r="B76" s="606" t="s">
        <v>176</v>
      </c>
      <c r="C76" s="606">
        <v>0</v>
      </c>
      <c r="D76" s="606">
        <v>97428.251000000004</v>
      </c>
      <c r="E76" s="606">
        <v>68325.975000000006</v>
      </c>
      <c r="F76" s="606">
        <v>29102.276000000002</v>
      </c>
      <c r="G76" s="606">
        <v>29102.276000000002</v>
      </c>
    </row>
    <row r="77" spans="1:7" x14ac:dyDescent="0.2">
      <c r="A77" s="607">
        <v>61501000</v>
      </c>
      <c r="B77" s="606" t="s">
        <v>177</v>
      </c>
      <c r="C77" s="606">
        <v>0</v>
      </c>
      <c r="D77" s="606">
        <v>36321.017</v>
      </c>
      <c r="E77" s="606">
        <v>32012.673999999999</v>
      </c>
      <c r="F77" s="606">
        <v>4308.3429999999998</v>
      </c>
      <c r="G77" s="606">
        <v>4308.3429999999998</v>
      </c>
    </row>
    <row r="78" spans="1:7" x14ac:dyDescent="0.2">
      <c r="A78" s="607">
        <v>61600000</v>
      </c>
      <c r="B78" s="606" t="s">
        <v>397</v>
      </c>
      <c r="C78" s="606">
        <v>0</v>
      </c>
      <c r="D78" s="606">
        <v>70209.466</v>
      </c>
      <c r="E78" s="606">
        <v>72664.665999999997</v>
      </c>
      <c r="F78" s="606">
        <v>-2455.1999999999998</v>
      </c>
      <c r="G78" s="606">
        <v>-2455.1999999999998</v>
      </c>
    </row>
    <row r="79" spans="1:7" x14ac:dyDescent="0.2">
      <c r="A79" s="607">
        <v>61603000</v>
      </c>
      <c r="B79" s="606" t="s">
        <v>178</v>
      </c>
      <c r="C79" s="606">
        <v>0</v>
      </c>
      <c r="D79" s="606">
        <v>175586.48800000001</v>
      </c>
      <c r="E79" s="606">
        <v>142641.288</v>
      </c>
      <c r="F79" s="606">
        <v>32945.199999999997</v>
      </c>
      <c r="G79" s="606">
        <v>32945.199999999997</v>
      </c>
    </row>
    <row r="80" spans="1:7" x14ac:dyDescent="0.2">
      <c r="A80" s="607">
        <v>62210000</v>
      </c>
      <c r="B80" s="606" t="s">
        <v>398</v>
      </c>
      <c r="C80" s="606">
        <v>0</v>
      </c>
      <c r="D80" s="606">
        <v>20800</v>
      </c>
      <c r="E80" s="606">
        <v>26000</v>
      </c>
      <c r="F80" s="606">
        <v>-5200</v>
      </c>
      <c r="G80" s="606">
        <v>-5200</v>
      </c>
    </row>
    <row r="81" spans="1:7" x14ac:dyDescent="0.2">
      <c r="A81" s="607">
        <v>62230000</v>
      </c>
      <c r="B81" s="606" t="s">
        <v>375</v>
      </c>
      <c r="C81" s="606">
        <v>0</v>
      </c>
      <c r="D81" s="606">
        <v>60413.398000000001</v>
      </c>
      <c r="E81" s="606">
        <v>60480.065000000002</v>
      </c>
      <c r="F81" s="606">
        <v>-66.667000000000002</v>
      </c>
      <c r="G81" s="606">
        <v>-66.667000000000002</v>
      </c>
    </row>
    <row r="82" spans="1:7" x14ac:dyDescent="0.2">
      <c r="A82" s="607">
        <v>62240000</v>
      </c>
      <c r="B82" s="606" t="s">
        <v>267</v>
      </c>
      <c r="C82" s="606">
        <v>0</v>
      </c>
      <c r="D82" s="606">
        <v>245478.45</v>
      </c>
      <c r="E82" s="606">
        <v>253271.41699999999</v>
      </c>
      <c r="F82" s="606">
        <v>-7792.9669999999996</v>
      </c>
      <c r="G82" s="606">
        <v>-7792.9669999999996</v>
      </c>
    </row>
    <row r="83" spans="1:7" x14ac:dyDescent="0.2">
      <c r="A83" s="607">
        <v>62250000</v>
      </c>
      <c r="B83" s="606" t="s">
        <v>268</v>
      </c>
      <c r="C83" s="606">
        <v>0</v>
      </c>
      <c r="D83" s="606">
        <v>212500</v>
      </c>
      <c r="E83" s="606">
        <v>172500</v>
      </c>
      <c r="F83" s="606">
        <v>40000</v>
      </c>
      <c r="G83" s="606">
        <v>40000</v>
      </c>
    </row>
    <row r="84" spans="1:7" x14ac:dyDescent="0.2">
      <c r="A84" s="607">
        <v>62260000</v>
      </c>
      <c r="B84" s="606" t="s">
        <v>7402</v>
      </c>
      <c r="C84" s="606">
        <v>0</v>
      </c>
      <c r="D84" s="606">
        <v>40000</v>
      </c>
      <c r="E84" s="606">
        <v>30000</v>
      </c>
      <c r="F84" s="606">
        <v>10000</v>
      </c>
      <c r="G84" s="606">
        <v>10000</v>
      </c>
    </row>
    <row r="85" spans="1:7" x14ac:dyDescent="0.2">
      <c r="A85" s="607">
        <v>62270000</v>
      </c>
      <c r="B85" s="606" t="s">
        <v>399</v>
      </c>
      <c r="C85" s="606">
        <v>0</v>
      </c>
      <c r="D85" s="606">
        <v>4450.84</v>
      </c>
      <c r="E85" s="606">
        <v>4450.84</v>
      </c>
      <c r="F85" s="606">
        <v>0</v>
      </c>
      <c r="G85" s="606">
        <v>0</v>
      </c>
    </row>
    <row r="86" spans="1:7" x14ac:dyDescent="0.2">
      <c r="A86" s="607">
        <v>62280000</v>
      </c>
      <c r="B86" s="606" t="s">
        <v>7721</v>
      </c>
      <c r="C86" s="606">
        <v>0</v>
      </c>
      <c r="D86" s="606">
        <v>3240</v>
      </c>
      <c r="E86" s="606">
        <v>0</v>
      </c>
      <c r="F86" s="606">
        <v>3240</v>
      </c>
      <c r="G86" s="606">
        <v>3240</v>
      </c>
    </row>
    <row r="87" spans="1:7" x14ac:dyDescent="0.2">
      <c r="A87" s="607">
        <v>62300000</v>
      </c>
      <c r="B87" s="606" t="s">
        <v>182</v>
      </c>
      <c r="C87" s="606">
        <v>0</v>
      </c>
      <c r="D87" s="606">
        <v>632500</v>
      </c>
      <c r="E87" s="606">
        <v>517500</v>
      </c>
      <c r="F87" s="606">
        <v>115000</v>
      </c>
      <c r="G87" s="606">
        <v>115000</v>
      </c>
    </row>
    <row r="88" spans="1:7" x14ac:dyDescent="0.2">
      <c r="A88" s="607">
        <v>62430000</v>
      </c>
      <c r="B88" s="606" t="s">
        <v>159</v>
      </c>
      <c r="C88" s="606">
        <v>0</v>
      </c>
      <c r="D88" s="606">
        <v>269756.45</v>
      </c>
      <c r="E88" s="606">
        <v>219756.45</v>
      </c>
      <c r="F88" s="606">
        <v>50000</v>
      </c>
      <c r="G88" s="606">
        <v>50000</v>
      </c>
    </row>
    <row r="89" spans="1:7" x14ac:dyDescent="0.2">
      <c r="A89" s="607">
        <v>62510000</v>
      </c>
      <c r="B89" s="606" t="s">
        <v>7571</v>
      </c>
      <c r="C89" s="606">
        <v>0</v>
      </c>
      <c r="D89" s="606">
        <v>100000</v>
      </c>
      <c r="E89" s="606">
        <v>80000</v>
      </c>
      <c r="F89" s="606">
        <v>20000</v>
      </c>
      <c r="G89" s="606">
        <v>20000</v>
      </c>
    </row>
    <row r="90" spans="1:7" x14ac:dyDescent="0.2">
      <c r="A90" s="607">
        <v>62600000</v>
      </c>
      <c r="B90" s="606" t="s">
        <v>188</v>
      </c>
      <c r="C90" s="606">
        <v>0</v>
      </c>
      <c r="D90" s="606">
        <v>16208.927</v>
      </c>
      <c r="E90" s="606">
        <v>19556.776000000002</v>
      </c>
      <c r="F90" s="606">
        <v>-3347.8490000000002</v>
      </c>
      <c r="G90" s="606">
        <v>-3347.8490000000002</v>
      </c>
    </row>
    <row r="91" spans="1:7" x14ac:dyDescent="0.2">
      <c r="A91" s="607">
        <v>62780000</v>
      </c>
      <c r="B91" s="606" t="s">
        <v>189</v>
      </c>
      <c r="C91" s="606">
        <v>0</v>
      </c>
      <c r="D91" s="606">
        <v>176094.58300000001</v>
      </c>
      <c r="E91" s="606">
        <v>168737.61</v>
      </c>
      <c r="F91" s="606">
        <v>7356.973</v>
      </c>
      <c r="G91" s="606">
        <v>7356.973</v>
      </c>
    </row>
    <row r="92" spans="1:7" x14ac:dyDescent="0.2">
      <c r="A92" s="607">
        <v>63300000</v>
      </c>
      <c r="B92" s="606" t="s">
        <v>269</v>
      </c>
      <c r="C92" s="606">
        <v>0</v>
      </c>
      <c r="D92" s="606">
        <v>572916.66799999995</v>
      </c>
      <c r="E92" s="606">
        <v>468750.00099999999</v>
      </c>
      <c r="F92" s="606">
        <v>104166.667</v>
      </c>
      <c r="G92" s="606">
        <v>104166.667</v>
      </c>
    </row>
    <row r="93" spans="1:7" x14ac:dyDescent="0.2">
      <c r="A93" s="607">
        <v>64001000</v>
      </c>
      <c r="B93" s="606" t="s">
        <v>191</v>
      </c>
      <c r="C93" s="606">
        <v>0</v>
      </c>
      <c r="D93" s="606">
        <v>413518.88400000002</v>
      </c>
      <c r="E93" s="606">
        <v>413518.88400000002</v>
      </c>
      <c r="F93" s="606">
        <v>0</v>
      </c>
      <c r="G93" s="606">
        <v>0</v>
      </c>
    </row>
    <row r="94" spans="1:7" x14ac:dyDescent="0.2">
      <c r="A94" s="607">
        <v>64001100</v>
      </c>
      <c r="B94" s="606" t="s">
        <v>405</v>
      </c>
      <c r="C94" s="606">
        <v>0</v>
      </c>
      <c r="D94" s="606">
        <v>1375000</v>
      </c>
      <c r="E94" s="606">
        <v>1125000</v>
      </c>
      <c r="F94" s="606">
        <v>250000</v>
      </c>
      <c r="G94" s="606">
        <v>250000</v>
      </c>
    </row>
    <row r="95" spans="1:7" x14ac:dyDescent="0.2">
      <c r="A95" s="607">
        <v>64020000</v>
      </c>
      <c r="B95" s="606" t="s">
        <v>406</v>
      </c>
      <c r="C95" s="606">
        <v>0</v>
      </c>
      <c r="D95" s="606">
        <v>1894783.2080000001</v>
      </c>
      <c r="E95" s="606">
        <v>1559196.5730000001</v>
      </c>
      <c r="F95" s="606">
        <v>335586.63500000001</v>
      </c>
      <c r="G95" s="606">
        <v>335586.63500000001</v>
      </c>
    </row>
    <row r="96" spans="1:7" x14ac:dyDescent="0.2">
      <c r="A96" s="607">
        <v>64600100</v>
      </c>
      <c r="B96" s="606" t="s">
        <v>407</v>
      </c>
      <c r="C96" s="606">
        <v>0</v>
      </c>
      <c r="D96" s="606">
        <v>3309487.4890000001</v>
      </c>
      <c r="E96" s="606">
        <v>3054487.4890000001</v>
      </c>
      <c r="F96" s="606">
        <v>255000</v>
      </c>
      <c r="G96" s="606">
        <v>255000</v>
      </c>
    </row>
    <row r="97" spans="1:7" x14ac:dyDescent="0.2">
      <c r="A97" s="607">
        <v>64603000</v>
      </c>
      <c r="B97" s="606" t="s">
        <v>7404</v>
      </c>
      <c r="C97" s="606">
        <v>0</v>
      </c>
      <c r="D97" s="606">
        <v>3192</v>
      </c>
      <c r="E97" s="606">
        <v>3192</v>
      </c>
      <c r="F97" s="606">
        <v>0</v>
      </c>
      <c r="G97" s="606">
        <v>0</v>
      </c>
    </row>
    <row r="98" spans="1:7" x14ac:dyDescent="0.2">
      <c r="A98" s="607">
        <v>64720000</v>
      </c>
      <c r="B98" s="606" t="s">
        <v>194</v>
      </c>
      <c r="C98" s="606">
        <v>0</v>
      </c>
      <c r="D98" s="606">
        <v>760644.44499999995</v>
      </c>
      <c r="E98" s="606">
        <v>726236.82400000002</v>
      </c>
      <c r="F98" s="606">
        <v>34407.620999999999</v>
      </c>
      <c r="G98" s="606">
        <v>34407.620999999999</v>
      </c>
    </row>
    <row r="99" spans="1:7" x14ac:dyDescent="0.2">
      <c r="A99" s="607">
        <v>65110000</v>
      </c>
      <c r="B99" s="606" t="s">
        <v>8978</v>
      </c>
      <c r="C99" s="606">
        <v>0</v>
      </c>
      <c r="D99" s="606">
        <v>118553.048</v>
      </c>
      <c r="E99" s="606">
        <v>101279.9</v>
      </c>
      <c r="F99" s="606">
        <v>17273.148000000001</v>
      </c>
      <c r="G99" s="606">
        <v>17273.148000000001</v>
      </c>
    </row>
    <row r="100" spans="1:7" x14ac:dyDescent="0.2">
      <c r="A100" s="607">
        <v>65110200</v>
      </c>
      <c r="B100" s="606" t="s">
        <v>196</v>
      </c>
      <c r="C100" s="606">
        <v>0</v>
      </c>
      <c r="D100" s="606">
        <v>419277.554</v>
      </c>
      <c r="E100" s="606">
        <v>455457.84720000002</v>
      </c>
      <c r="F100" s="606">
        <v>-36180.2932</v>
      </c>
      <c r="G100" s="606">
        <v>-36180.2932</v>
      </c>
    </row>
    <row r="101" spans="1:7" x14ac:dyDescent="0.2">
      <c r="A101" s="607">
        <v>65110400</v>
      </c>
      <c r="B101" s="606" t="s">
        <v>197</v>
      </c>
      <c r="C101" s="606">
        <v>0</v>
      </c>
      <c r="D101" s="606">
        <v>643920.53</v>
      </c>
      <c r="E101" s="606">
        <v>699454.24780000001</v>
      </c>
      <c r="F101" s="606">
        <v>-55533.717799999999</v>
      </c>
      <c r="G101" s="606">
        <v>-55533.717799999999</v>
      </c>
    </row>
    <row r="102" spans="1:7" x14ac:dyDescent="0.2">
      <c r="A102" s="607">
        <v>65115000</v>
      </c>
      <c r="B102" s="606" t="s">
        <v>9653</v>
      </c>
      <c r="C102" s="606">
        <v>0</v>
      </c>
      <c r="D102" s="606">
        <v>2903.0230000000001</v>
      </c>
      <c r="E102" s="606">
        <v>2903.0230000000001</v>
      </c>
      <c r="F102" s="606">
        <v>0</v>
      </c>
      <c r="G102" s="606">
        <v>0</v>
      </c>
    </row>
    <row r="103" spans="1:7" x14ac:dyDescent="0.2">
      <c r="A103" s="607">
        <v>65150000</v>
      </c>
      <c r="B103" s="606" t="s">
        <v>270</v>
      </c>
      <c r="C103" s="606">
        <v>0</v>
      </c>
      <c r="D103" s="606">
        <v>148364.93299999999</v>
      </c>
      <c r="E103" s="606">
        <v>123461.91899999999</v>
      </c>
      <c r="F103" s="606">
        <v>24903.013999999999</v>
      </c>
      <c r="G103" s="606">
        <v>24903.013999999999</v>
      </c>
    </row>
    <row r="104" spans="1:7" x14ac:dyDescent="0.2">
      <c r="A104" s="607">
        <v>65190000</v>
      </c>
      <c r="B104" s="606" t="s">
        <v>198</v>
      </c>
      <c r="C104" s="606">
        <v>0</v>
      </c>
      <c r="D104" s="606">
        <v>658794.15700000001</v>
      </c>
      <c r="E104" s="606">
        <v>629784.71</v>
      </c>
      <c r="F104" s="606">
        <v>29009.447</v>
      </c>
      <c r="G104" s="606">
        <v>29009.447</v>
      </c>
    </row>
    <row r="105" spans="1:7" x14ac:dyDescent="0.2">
      <c r="A105" s="607">
        <v>65500000</v>
      </c>
      <c r="B105" s="606" t="s">
        <v>7722</v>
      </c>
      <c r="C105" s="606">
        <v>0</v>
      </c>
      <c r="D105" s="606">
        <v>220689.14840000001</v>
      </c>
      <c r="E105" s="606">
        <v>163948.5214</v>
      </c>
      <c r="F105" s="606">
        <v>56740.627</v>
      </c>
      <c r="G105" s="606">
        <v>56740.627</v>
      </c>
    </row>
    <row r="106" spans="1:7" x14ac:dyDescent="0.2">
      <c r="A106" s="607">
        <v>66520000</v>
      </c>
      <c r="B106" s="606" t="s">
        <v>200</v>
      </c>
      <c r="C106" s="606">
        <v>0</v>
      </c>
      <c r="D106" s="606">
        <v>104677.29</v>
      </c>
      <c r="E106" s="606">
        <v>93993.216</v>
      </c>
      <c r="F106" s="606">
        <v>10684.074000000001</v>
      </c>
      <c r="G106" s="606">
        <v>10684.074000000001</v>
      </c>
    </row>
    <row r="107" spans="1:7" x14ac:dyDescent="0.2">
      <c r="A107" s="607">
        <v>66550000</v>
      </c>
      <c r="B107" s="606" t="s">
        <v>202</v>
      </c>
      <c r="C107" s="606">
        <v>0</v>
      </c>
      <c r="D107" s="606">
        <v>49500</v>
      </c>
      <c r="E107" s="606">
        <v>40500</v>
      </c>
      <c r="F107" s="606">
        <v>9000</v>
      </c>
      <c r="G107" s="606">
        <v>9000</v>
      </c>
    </row>
    <row r="108" spans="1:7" x14ac:dyDescent="0.2">
      <c r="A108" s="607">
        <v>68112000</v>
      </c>
      <c r="B108" s="606" t="s">
        <v>7390</v>
      </c>
      <c r="C108" s="606">
        <v>0</v>
      </c>
      <c r="D108" s="606">
        <v>13333488.515000001</v>
      </c>
      <c r="E108" s="606">
        <v>10748903.469000001</v>
      </c>
      <c r="F108" s="606">
        <v>2584585.0460000001</v>
      </c>
      <c r="G108" s="606">
        <v>2584585.0460000001</v>
      </c>
    </row>
    <row r="109" spans="1:7" x14ac:dyDescent="0.2">
      <c r="A109" s="607">
        <v>68150000</v>
      </c>
      <c r="B109" s="606" t="s">
        <v>9481</v>
      </c>
      <c r="C109" s="606">
        <v>0</v>
      </c>
      <c r="D109" s="606">
        <v>300000</v>
      </c>
      <c r="E109" s="606">
        <v>200000</v>
      </c>
      <c r="F109" s="606">
        <v>100000</v>
      </c>
      <c r="G109" s="606">
        <v>100000</v>
      </c>
    </row>
    <row r="110" spans="1:7" x14ac:dyDescent="0.2">
      <c r="A110" s="607">
        <v>68170000</v>
      </c>
      <c r="B110" s="606" t="s">
        <v>7577</v>
      </c>
      <c r="C110" s="606">
        <v>0</v>
      </c>
      <c r="D110" s="606">
        <v>2950000</v>
      </c>
      <c r="E110" s="606">
        <v>2375000</v>
      </c>
      <c r="F110" s="606">
        <v>575000</v>
      </c>
      <c r="G110" s="606">
        <v>575000</v>
      </c>
    </row>
    <row r="111" spans="1:7" x14ac:dyDescent="0.2">
      <c r="A111" s="607">
        <v>68180000</v>
      </c>
      <c r="B111" s="606" t="s">
        <v>8976</v>
      </c>
      <c r="C111" s="606">
        <v>0</v>
      </c>
      <c r="D111" s="606">
        <v>1902431.1340000001</v>
      </c>
      <c r="E111" s="606">
        <v>1502431.1340000001</v>
      </c>
      <c r="F111" s="606">
        <v>400000</v>
      </c>
      <c r="G111" s="606">
        <v>400000</v>
      </c>
    </row>
    <row r="112" spans="1:7" x14ac:dyDescent="0.2">
      <c r="A112" s="607">
        <v>70102000</v>
      </c>
      <c r="B112" s="606" t="s">
        <v>207</v>
      </c>
      <c r="C112" s="606">
        <v>0</v>
      </c>
      <c r="D112" s="606">
        <v>3757277.7850000001</v>
      </c>
      <c r="E112" s="606">
        <v>3757277.7850000001</v>
      </c>
      <c r="F112" s="606">
        <v>0</v>
      </c>
      <c r="G112" s="606">
        <v>0</v>
      </c>
    </row>
    <row r="113" spans="1:7" x14ac:dyDescent="0.2">
      <c r="A113" s="607">
        <v>70600000</v>
      </c>
      <c r="B113" s="606" t="s">
        <v>381</v>
      </c>
      <c r="C113" s="606">
        <v>0</v>
      </c>
      <c r="D113" s="606">
        <v>526480.55000000005</v>
      </c>
      <c r="E113" s="606">
        <v>661789.30900000001</v>
      </c>
      <c r="F113" s="606">
        <v>-135308.75899999999</v>
      </c>
      <c r="G113" s="606">
        <v>-135308.75899999999</v>
      </c>
    </row>
    <row r="114" spans="1:7" x14ac:dyDescent="0.2">
      <c r="A114" s="607">
        <v>70600500</v>
      </c>
      <c r="B114" s="606" t="s">
        <v>208</v>
      </c>
      <c r="C114" s="606">
        <v>0</v>
      </c>
      <c r="D114" s="606">
        <v>68918.391000000003</v>
      </c>
      <c r="E114" s="606">
        <v>82439.455000000002</v>
      </c>
      <c r="F114" s="606">
        <v>-13521.064</v>
      </c>
      <c r="G114" s="606">
        <v>-13521.064</v>
      </c>
    </row>
    <row r="115" spans="1:7" x14ac:dyDescent="0.2">
      <c r="A115" s="607">
        <v>71340000</v>
      </c>
      <c r="B115" s="606" t="s">
        <v>382</v>
      </c>
      <c r="C115" s="606">
        <v>0</v>
      </c>
      <c r="D115" s="606">
        <v>2233181.5079999999</v>
      </c>
      <c r="E115" s="606">
        <v>2233181.5079999999</v>
      </c>
      <c r="F115" s="606">
        <v>0</v>
      </c>
      <c r="G115" s="606">
        <v>0</v>
      </c>
    </row>
    <row r="116" spans="1:7" x14ac:dyDescent="0.2">
      <c r="A116" s="607">
        <v>71350000</v>
      </c>
      <c r="B116" s="606" t="s">
        <v>209</v>
      </c>
      <c r="C116" s="606">
        <v>0</v>
      </c>
      <c r="D116" s="606">
        <v>61078697.377400003</v>
      </c>
      <c r="E116" s="606">
        <v>66560618.2214</v>
      </c>
      <c r="F116" s="606">
        <v>-5481920.8439999996</v>
      </c>
      <c r="G116" s="606">
        <v>-5481920.8439999996</v>
      </c>
    </row>
    <row r="117" spans="1:7" x14ac:dyDescent="0.2">
      <c r="A117" s="607">
        <v>73900000</v>
      </c>
      <c r="B117" s="606" t="s">
        <v>213</v>
      </c>
      <c r="C117" s="606">
        <v>0</v>
      </c>
      <c r="D117" s="606">
        <v>912708.85900000005</v>
      </c>
      <c r="E117" s="606">
        <v>1115533.05</v>
      </c>
      <c r="F117" s="606">
        <v>-202824.19099999999</v>
      </c>
      <c r="G117" s="606">
        <v>-202824.19099999999</v>
      </c>
    </row>
    <row r="118" spans="1:7" x14ac:dyDescent="0.2">
      <c r="A118" s="607">
        <v>75600000</v>
      </c>
      <c r="B118" s="606" t="s">
        <v>215</v>
      </c>
      <c r="C118" s="606">
        <v>0</v>
      </c>
      <c r="D118" s="606">
        <v>23052.332999999999</v>
      </c>
      <c r="E118" s="606">
        <v>23093.164000000001</v>
      </c>
      <c r="F118" s="606">
        <v>-40.831000000000003</v>
      </c>
      <c r="G118" s="606">
        <v>-40.831000000000003</v>
      </c>
    </row>
    <row r="119" spans="1:7" x14ac:dyDescent="0.2">
      <c r="C119" s="303">
        <f>SUM(C2:C118)</f>
        <v>1.7618285302889447E-19</v>
      </c>
      <c r="D119" s="303">
        <f>SUM(D2:D118)</f>
        <v>492323265.50200009</v>
      </c>
      <c r="E119" s="303">
        <f t="shared" ref="E119:G119" si="0">SUM(E2:E118)</f>
        <v>492323265.50200015</v>
      </c>
      <c r="F119" s="303">
        <f t="shared" si="0"/>
        <v>2.6831372679225751E-9</v>
      </c>
      <c r="G119" s="303">
        <f t="shared" si="0"/>
        <v>4.5457824171535322E-9</v>
      </c>
    </row>
  </sheetData>
  <autoFilter ref="A1:G57" xr:uid="{00000000-0009-0000-0000-00000D000000}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130"/>
  <sheetViews>
    <sheetView topLeftCell="A103" workbookViewId="0">
      <selection activeCell="I121" sqref="I121"/>
    </sheetView>
  </sheetViews>
  <sheetFormatPr baseColWidth="10" defaultRowHeight="11.25" x14ac:dyDescent="0.2"/>
  <cols>
    <col min="1" max="1" width="10.7109375" style="302" bestFit="1" customWidth="1"/>
    <col min="2" max="2" width="28" style="302" bestFit="1" customWidth="1"/>
    <col min="3" max="3" width="12.42578125" style="302" bestFit="1" customWidth="1"/>
    <col min="4" max="5" width="16.5703125" style="302" bestFit="1" customWidth="1"/>
    <col min="6" max="7" width="16.140625" style="302" bestFit="1" customWidth="1"/>
    <col min="8" max="16384" width="11.42578125" style="302"/>
  </cols>
  <sheetData>
    <row r="1" spans="1:7" x14ac:dyDescent="0.2">
      <c r="A1" s="2" t="s">
        <v>4</v>
      </c>
      <c r="B1" s="2" t="s">
        <v>0</v>
      </c>
      <c r="C1" s="3" t="s">
        <v>5</v>
      </c>
      <c r="D1" s="3" t="s">
        <v>2</v>
      </c>
      <c r="E1" s="3" t="s">
        <v>3</v>
      </c>
      <c r="F1" s="3" t="s">
        <v>6</v>
      </c>
      <c r="G1" s="3" t="s">
        <v>262</v>
      </c>
    </row>
    <row r="2" spans="1:7" x14ac:dyDescent="0.2">
      <c r="A2" s="644">
        <v>13000000</v>
      </c>
      <c r="B2" s="645" t="s">
        <v>273</v>
      </c>
      <c r="C2" s="645">
        <v>-1E-4</v>
      </c>
      <c r="D2" s="645">
        <v>0</v>
      </c>
      <c r="E2" s="645">
        <v>0</v>
      </c>
      <c r="F2" s="645">
        <v>0</v>
      </c>
      <c r="G2" s="645">
        <v>-1E-4</v>
      </c>
    </row>
    <row r="3" spans="1:7" x14ac:dyDescent="0.2">
      <c r="A3" s="646">
        <v>14508000</v>
      </c>
      <c r="B3" s="645" t="s">
        <v>17</v>
      </c>
      <c r="C3" s="645">
        <v>0</v>
      </c>
      <c r="D3" s="645">
        <v>1338639.6599999999</v>
      </c>
      <c r="E3" s="645">
        <v>1115533.05</v>
      </c>
      <c r="F3" s="645">
        <v>223106.61</v>
      </c>
      <c r="G3" s="645">
        <v>223106.61</v>
      </c>
    </row>
    <row r="4" spans="1:7" x14ac:dyDescent="0.2">
      <c r="A4" s="646">
        <v>15100000</v>
      </c>
      <c r="B4" s="645" t="s">
        <v>19</v>
      </c>
      <c r="C4" s="645">
        <v>0</v>
      </c>
      <c r="D4" s="645">
        <v>300000</v>
      </c>
      <c r="E4" s="645">
        <v>420000</v>
      </c>
      <c r="F4" s="645">
        <v>-120000</v>
      </c>
      <c r="G4" s="645">
        <v>-120000</v>
      </c>
    </row>
    <row r="5" spans="1:7" x14ac:dyDescent="0.2">
      <c r="A5" s="646">
        <v>21300000</v>
      </c>
      <c r="B5" s="645" t="s">
        <v>24</v>
      </c>
      <c r="C5" s="645">
        <v>0</v>
      </c>
      <c r="D5" s="645">
        <v>42950.400000000001</v>
      </c>
      <c r="E5" s="645">
        <v>0</v>
      </c>
      <c r="F5" s="645">
        <v>42950.400000000001</v>
      </c>
      <c r="G5" s="645">
        <v>42950.400000000001</v>
      </c>
    </row>
    <row r="6" spans="1:7" x14ac:dyDescent="0.2">
      <c r="A6" s="646">
        <v>22340000</v>
      </c>
      <c r="B6" s="645" t="s">
        <v>32</v>
      </c>
      <c r="C6" s="645">
        <v>0</v>
      </c>
      <c r="D6" s="645">
        <v>9020</v>
      </c>
      <c r="E6" s="645">
        <v>9020</v>
      </c>
      <c r="F6" s="645">
        <v>0</v>
      </c>
      <c r="G6" s="645">
        <v>0</v>
      </c>
    </row>
    <row r="7" spans="1:7" x14ac:dyDescent="0.2">
      <c r="A7" s="646">
        <v>22350000</v>
      </c>
      <c r="B7" s="645" t="s">
        <v>33</v>
      </c>
      <c r="C7" s="645">
        <v>0</v>
      </c>
      <c r="D7" s="645">
        <v>15062.4</v>
      </c>
      <c r="E7" s="645">
        <v>15062.4</v>
      </c>
      <c r="F7" s="645">
        <v>0</v>
      </c>
      <c r="G7" s="645">
        <v>0</v>
      </c>
    </row>
    <row r="8" spans="1:7" x14ac:dyDescent="0.2">
      <c r="A8" s="646">
        <v>22825000</v>
      </c>
      <c r="B8" s="647"/>
      <c r="C8" s="645">
        <v>2.0000000000000001E-4</v>
      </c>
      <c r="D8" s="645">
        <v>0</v>
      </c>
      <c r="E8" s="645">
        <v>0</v>
      </c>
      <c r="F8" s="645">
        <v>0</v>
      </c>
      <c r="G8" s="645">
        <v>2.0000000000000001E-4</v>
      </c>
    </row>
    <row r="9" spans="1:7" x14ac:dyDescent="0.2">
      <c r="A9" s="646">
        <v>22830000</v>
      </c>
      <c r="B9" s="645" t="s">
        <v>9710</v>
      </c>
      <c r="C9" s="645">
        <v>0</v>
      </c>
      <c r="D9" s="645">
        <v>12816.754000000001</v>
      </c>
      <c r="E9" s="645">
        <v>0</v>
      </c>
      <c r="F9" s="645">
        <v>12816.754000000001</v>
      </c>
      <c r="G9" s="645">
        <v>12816.754000000001</v>
      </c>
    </row>
    <row r="10" spans="1:7" x14ac:dyDescent="0.2">
      <c r="A10" s="646">
        <v>28130000</v>
      </c>
      <c r="B10" s="645" t="s">
        <v>24</v>
      </c>
      <c r="C10" s="645">
        <v>1E-4</v>
      </c>
      <c r="D10" s="645">
        <v>64295.178</v>
      </c>
      <c r="E10" s="645">
        <v>81494.475999999995</v>
      </c>
      <c r="F10" s="645">
        <v>-17199.297999999999</v>
      </c>
      <c r="G10" s="645">
        <v>-17199.297900000001</v>
      </c>
    </row>
    <row r="11" spans="1:7" x14ac:dyDescent="0.2">
      <c r="A11" s="646">
        <v>28216000</v>
      </c>
      <c r="B11" s="645" t="s">
        <v>48</v>
      </c>
      <c r="C11" s="645">
        <v>4.0000000000000002E-4</v>
      </c>
      <c r="D11" s="645">
        <v>12854.441000000001</v>
      </c>
      <c r="E11" s="645">
        <v>15436.151</v>
      </c>
      <c r="F11" s="645">
        <v>-2581.71</v>
      </c>
      <c r="G11" s="645">
        <v>-2581.7096000000001</v>
      </c>
    </row>
    <row r="12" spans="1:7" x14ac:dyDescent="0.2">
      <c r="A12" s="646">
        <v>28220000</v>
      </c>
      <c r="B12" s="645" t="s">
        <v>49</v>
      </c>
      <c r="C12" s="645">
        <v>-2.0000000000000001E-4</v>
      </c>
      <c r="D12" s="645">
        <v>2096141.6089999999</v>
      </c>
      <c r="E12" s="645">
        <v>2517134.5720000002</v>
      </c>
      <c r="F12" s="645">
        <v>-420992.96299999999</v>
      </c>
      <c r="G12" s="645">
        <v>-420992.9632</v>
      </c>
    </row>
    <row r="13" spans="1:7" x14ac:dyDescent="0.2">
      <c r="A13" s="646">
        <v>28225000</v>
      </c>
      <c r="B13" s="645" t="s">
        <v>50</v>
      </c>
      <c r="C13" s="645">
        <v>4.0000000000000002E-4</v>
      </c>
      <c r="D13" s="645">
        <v>357683.57500000001</v>
      </c>
      <c r="E13" s="645">
        <v>425762.98800000001</v>
      </c>
      <c r="F13" s="645">
        <v>-68079.413</v>
      </c>
      <c r="G13" s="645">
        <v>-68079.412599999996</v>
      </c>
    </row>
    <row r="14" spans="1:7" x14ac:dyDescent="0.2">
      <c r="A14" s="646">
        <v>28230000</v>
      </c>
      <c r="B14" s="645" t="s">
        <v>263</v>
      </c>
      <c r="C14" s="645">
        <v>0</v>
      </c>
      <c r="D14" s="645">
        <v>127143.944</v>
      </c>
      <c r="E14" s="645">
        <v>154557.95600000001</v>
      </c>
      <c r="F14" s="645">
        <v>-27414.011999999999</v>
      </c>
      <c r="G14" s="645">
        <v>-27414.011999999999</v>
      </c>
    </row>
    <row r="15" spans="1:7" x14ac:dyDescent="0.2">
      <c r="A15" s="646">
        <v>28231000</v>
      </c>
      <c r="B15" s="645" t="s">
        <v>402</v>
      </c>
      <c r="C15" s="645">
        <v>0</v>
      </c>
      <c r="D15" s="645">
        <v>7885.107</v>
      </c>
      <c r="E15" s="645">
        <v>11271.21</v>
      </c>
      <c r="F15" s="645">
        <v>-3386.1030000000001</v>
      </c>
      <c r="G15" s="645">
        <v>-3386.1030000000001</v>
      </c>
    </row>
    <row r="16" spans="1:7" x14ac:dyDescent="0.2">
      <c r="A16" s="646">
        <v>28234000</v>
      </c>
      <c r="B16" s="645" t="s">
        <v>51</v>
      </c>
      <c r="C16" s="645">
        <v>-4.0000000000000002E-4</v>
      </c>
      <c r="D16" s="645">
        <v>7435489.2869999995</v>
      </c>
      <c r="E16" s="645">
        <v>8929374.1030000001</v>
      </c>
      <c r="F16" s="645">
        <v>-1493884.8160000001</v>
      </c>
      <c r="G16" s="645">
        <v>-1493884.8163999999</v>
      </c>
    </row>
    <row r="17" spans="1:7" x14ac:dyDescent="0.2">
      <c r="A17" s="646">
        <v>28235000</v>
      </c>
      <c r="B17" s="645" t="s">
        <v>52</v>
      </c>
      <c r="C17" s="645">
        <v>0</v>
      </c>
      <c r="D17" s="645">
        <v>267616.41499999998</v>
      </c>
      <c r="E17" s="645">
        <v>321253.58399999997</v>
      </c>
      <c r="F17" s="645">
        <v>-53637.169000000002</v>
      </c>
      <c r="G17" s="645">
        <v>-53637.169000000002</v>
      </c>
    </row>
    <row r="18" spans="1:7" x14ac:dyDescent="0.2">
      <c r="A18" s="646">
        <v>28237000</v>
      </c>
      <c r="B18" s="645" t="s">
        <v>53</v>
      </c>
      <c r="C18" s="645">
        <v>-2.0000000000000001E-4</v>
      </c>
      <c r="D18" s="645">
        <v>192156.66899999999</v>
      </c>
      <c r="E18" s="645">
        <v>227484.307</v>
      </c>
      <c r="F18" s="645">
        <v>-35327.637999999999</v>
      </c>
      <c r="G18" s="645">
        <v>-35327.638200000001</v>
      </c>
    </row>
    <row r="19" spans="1:7" x14ac:dyDescent="0.2">
      <c r="A19" s="646">
        <v>28240000</v>
      </c>
      <c r="B19" s="645" t="s">
        <v>54</v>
      </c>
      <c r="C19" s="645">
        <v>-2.9999999999999997E-4</v>
      </c>
      <c r="D19" s="645">
        <v>842361.397</v>
      </c>
      <c r="E19" s="645">
        <v>1006246.524</v>
      </c>
      <c r="F19" s="645">
        <v>-163885.12700000001</v>
      </c>
      <c r="G19" s="645">
        <v>-163885.12729999999</v>
      </c>
    </row>
    <row r="20" spans="1:7" x14ac:dyDescent="0.2">
      <c r="A20" s="646">
        <v>28282000</v>
      </c>
      <c r="B20" s="645" t="s">
        <v>55</v>
      </c>
      <c r="C20" s="645">
        <v>2.0000000000000001E-4</v>
      </c>
      <c r="D20" s="645">
        <v>249660.44200000001</v>
      </c>
      <c r="E20" s="645">
        <v>301120.571</v>
      </c>
      <c r="F20" s="645">
        <v>-51460.129000000001</v>
      </c>
      <c r="G20" s="645">
        <v>-51460.128799999999</v>
      </c>
    </row>
    <row r="21" spans="1:7" x14ac:dyDescent="0.2">
      <c r="A21" s="646">
        <v>28283000</v>
      </c>
      <c r="B21" s="645" t="s">
        <v>264</v>
      </c>
      <c r="C21" s="645">
        <v>1E-4</v>
      </c>
      <c r="D21" s="645">
        <v>216733.14499999999</v>
      </c>
      <c r="E21" s="645">
        <v>262370.13099999999</v>
      </c>
      <c r="F21" s="645">
        <v>-45636.985999999997</v>
      </c>
      <c r="G21" s="645">
        <v>-45636.9859</v>
      </c>
    </row>
    <row r="22" spans="1:7" x14ac:dyDescent="0.2">
      <c r="A22" s="646">
        <v>28400000</v>
      </c>
      <c r="B22" s="645" t="s">
        <v>56</v>
      </c>
      <c r="C22" s="645">
        <v>0</v>
      </c>
      <c r="D22" s="645">
        <v>676036.63699999999</v>
      </c>
      <c r="E22" s="645">
        <v>817246.01199999999</v>
      </c>
      <c r="F22" s="645">
        <v>-141209.375</v>
      </c>
      <c r="G22" s="645">
        <v>-141209.375</v>
      </c>
    </row>
    <row r="23" spans="1:7" x14ac:dyDescent="0.2">
      <c r="A23" s="646">
        <v>29234000</v>
      </c>
      <c r="B23" s="645" t="s">
        <v>388</v>
      </c>
      <c r="C23" s="645">
        <v>0</v>
      </c>
      <c r="D23" s="645">
        <v>300000</v>
      </c>
      <c r="E23" s="645">
        <v>400000</v>
      </c>
      <c r="F23" s="645">
        <v>-100000</v>
      </c>
      <c r="G23" s="645">
        <v>-100000</v>
      </c>
    </row>
    <row r="24" spans="1:7" x14ac:dyDescent="0.2">
      <c r="A24" s="646">
        <v>31100000</v>
      </c>
      <c r="B24" s="645" t="s">
        <v>59</v>
      </c>
      <c r="C24" s="645">
        <v>0</v>
      </c>
      <c r="D24" s="645">
        <v>140745458.85620001</v>
      </c>
      <c r="E24" s="645">
        <v>129652455.1802</v>
      </c>
      <c r="F24" s="645">
        <v>11093003.676000001</v>
      </c>
      <c r="G24" s="645">
        <v>11093003.676000001</v>
      </c>
    </row>
    <row r="25" spans="1:7" x14ac:dyDescent="0.2">
      <c r="A25" s="646">
        <v>31200000</v>
      </c>
      <c r="B25" s="645" t="s">
        <v>390</v>
      </c>
      <c r="C25" s="645">
        <v>0</v>
      </c>
      <c r="D25" s="645">
        <v>5854753.227</v>
      </c>
      <c r="E25" s="645">
        <v>5854753.227</v>
      </c>
      <c r="F25" s="645">
        <v>0</v>
      </c>
      <c r="G25" s="645">
        <v>0</v>
      </c>
    </row>
    <row r="26" spans="1:7" x14ac:dyDescent="0.2">
      <c r="A26" s="646">
        <v>32200000</v>
      </c>
      <c r="B26" s="645" t="s">
        <v>61</v>
      </c>
      <c r="C26" s="645">
        <v>0</v>
      </c>
      <c r="D26" s="645">
        <v>9358523.2255000006</v>
      </c>
      <c r="E26" s="645">
        <v>8614830.8774999995</v>
      </c>
      <c r="F26" s="645">
        <v>743692.348</v>
      </c>
      <c r="G26" s="645">
        <v>743692.348</v>
      </c>
    </row>
    <row r="27" spans="1:7" x14ac:dyDescent="0.2">
      <c r="A27" s="646">
        <v>33100000</v>
      </c>
      <c r="B27" s="645" t="s">
        <v>62</v>
      </c>
      <c r="C27" s="645">
        <v>0</v>
      </c>
      <c r="D27" s="645">
        <v>54964978.217399999</v>
      </c>
      <c r="E27" s="645">
        <v>49026901.486400001</v>
      </c>
      <c r="F27" s="645">
        <v>5938076.7309999997</v>
      </c>
      <c r="G27" s="645">
        <v>5938076.7309999997</v>
      </c>
    </row>
    <row r="28" spans="1:7" x14ac:dyDescent="0.2">
      <c r="A28" s="646">
        <v>35500000</v>
      </c>
      <c r="B28" s="645" t="s">
        <v>63</v>
      </c>
      <c r="C28" s="645">
        <v>0</v>
      </c>
      <c r="D28" s="645">
        <v>17786463.848999999</v>
      </c>
      <c r="E28" s="645">
        <v>17533716.734000001</v>
      </c>
      <c r="F28" s="645">
        <v>252747.11499999999</v>
      </c>
      <c r="G28" s="645">
        <v>252747.11499999999</v>
      </c>
    </row>
    <row r="29" spans="1:7" x14ac:dyDescent="0.2">
      <c r="A29" s="646">
        <v>39000000</v>
      </c>
      <c r="B29" s="645" t="s">
        <v>64</v>
      </c>
      <c r="C29" s="645">
        <v>0</v>
      </c>
      <c r="D29" s="645">
        <v>1902431.1340000001</v>
      </c>
      <c r="E29" s="645">
        <f>2302431.134+100000</f>
        <v>2402431.1340000001</v>
      </c>
      <c r="F29" s="645">
        <f>D29-E29</f>
        <v>-500000</v>
      </c>
      <c r="G29" s="645">
        <f>C29+F29</f>
        <v>-500000</v>
      </c>
    </row>
    <row r="30" spans="1:7" x14ac:dyDescent="0.2">
      <c r="A30" s="646">
        <v>40100000</v>
      </c>
      <c r="B30" s="648" t="s">
        <v>66</v>
      </c>
      <c r="C30" s="645">
        <v>0</v>
      </c>
      <c r="D30" s="645">
        <v>823434.255</v>
      </c>
      <c r="E30" s="645">
        <v>823434.255</v>
      </c>
      <c r="F30" s="645">
        <v>0</v>
      </c>
      <c r="G30" s="645">
        <v>0</v>
      </c>
    </row>
    <row r="31" spans="1:7" x14ac:dyDescent="0.2">
      <c r="A31" s="646">
        <v>40120000</v>
      </c>
      <c r="B31" s="648" t="s">
        <v>386</v>
      </c>
      <c r="C31" s="645">
        <v>2.9999999999999997E-4</v>
      </c>
      <c r="D31" s="645">
        <v>0</v>
      </c>
      <c r="E31" s="645">
        <v>0</v>
      </c>
      <c r="F31" s="645">
        <v>0</v>
      </c>
      <c r="G31" s="645">
        <v>2.9999999999999997E-4</v>
      </c>
    </row>
    <row r="32" spans="1:7" x14ac:dyDescent="0.2">
      <c r="A32" s="646">
        <v>40600000</v>
      </c>
      <c r="B32" s="648" t="s">
        <v>70</v>
      </c>
      <c r="C32" s="645">
        <v>0</v>
      </c>
      <c r="D32" s="645">
        <v>6458286.7860000003</v>
      </c>
      <c r="E32" s="645">
        <v>5515608.6430000002</v>
      </c>
      <c r="F32" s="645">
        <v>942678.14300000004</v>
      </c>
      <c r="G32" s="645">
        <v>942678.14300000004</v>
      </c>
    </row>
    <row r="33" spans="1:7" x14ac:dyDescent="0.2">
      <c r="A33" s="646">
        <v>40800000</v>
      </c>
      <c r="B33" s="648" t="s">
        <v>71</v>
      </c>
      <c r="C33" s="645">
        <v>1E-4</v>
      </c>
      <c r="D33" s="645">
        <v>0</v>
      </c>
      <c r="E33" s="645">
        <v>0</v>
      </c>
      <c r="F33" s="645">
        <v>0</v>
      </c>
      <c r="G33" s="645">
        <v>1E-4</v>
      </c>
    </row>
    <row r="34" spans="1:7" x14ac:dyDescent="0.2">
      <c r="A34" s="646">
        <v>40810000</v>
      </c>
      <c r="B34" s="648" t="s">
        <v>391</v>
      </c>
      <c r="C34" s="645">
        <v>0</v>
      </c>
      <c r="D34" s="645">
        <v>5123.701</v>
      </c>
      <c r="E34" s="645">
        <v>5123.701</v>
      </c>
      <c r="F34" s="645">
        <v>0</v>
      </c>
      <c r="G34" s="645">
        <v>0</v>
      </c>
    </row>
    <row r="35" spans="1:7" x14ac:dyDescent="0.2">
      <c r="A35" s="646">
        <v>41100000</v>
      </c>
      <c r="B35" s="648" t="s">
        <v>73</v>
      </c>
      <c r="C35" s="645">
        <v>-4.0000000000000002E-4</v>
      </c>
      <c r="D35" s="645">
        <v>3998216.4470000002</v>
      </c>
      <c r="E35" s="645">
        <v>34889.417000000001</v>
      </c>
      <c r="F35" s="645">
        <v>3963327.03</v>
      </c>
      <c r="G35" s="645">
        <v>3963327.0296</v>
      </c>
    </row>
    <row r="36" spans="1:7" x14ac:dyDescent="0.2">
      <c r="A36" s="646">
        <v>41500000</v>
      </c>
      <c r="B36" s="648" t="s">
        <v>75</v>
      </c>
      <c r="C36" s="645">
        <v>-4.0000000000000002E-4</v>
      </c>
      <c r="D36" s="645">
        <v>3757277.7850000001</v>
      </c>
      <c r="E36" s="645">
        <v>3757277.7850000001</v>
      </c>
      <c r="F36" s="645">
        <v>0</v>
      </c>
      <c r="G36" s="645">
        <v>-4.0000000000000002E-4</v>
      </c>
    </row>
    <row r="37" spans="1:7" x14ac:dyDescent="0.2">
      <c r="A37" s="646">
        <v>41800000</v>
      </c>
      <c r="B37" s="648" t="s">
        <v>307</v>
      </c>
      <c r="C37" s="645">
        <v>4.0000000000000002E-4</v>
      </c>
      <c r="D37" s="645">
        <v>0</v>
      </c>
      <c r="E37" s="645">
        <v>0</v>
      </c>
      <c r="F37" s="645">
        <v>0</v>
      </c>
      <c r="G37" s="645">
        <v>4.0000000000000002E-4</v>
      </c>
    </row>
    <row r="38" spans="1:7" x14ac:dyDescent="0.2">
      <c r="A38" s="646">
        <v>42820000</v>
      </c>
      <c r="B38" s="645" t="s">
        <v>83</v>
      </c>
      <c r="C38" s="645">
        <v>0</v>
      </c>
      <c r="D38" s="645">
        <v>3309487.4890000001</v>
      </c>
      <c r="E38" s="645">
        <v>3569487.4890000001</v>
      </c>
      <c r="F38" s="645">
        <v>-260000</v>
      </c>
      <c r="G38" s="645">
        <v>-260000</v>
      </c>
    </row>
    <row r="39" spans="1:7" x14ac:dyDescent="0.2">
      <c r="A39" s="646">
        <v>43625000</v>
      </c>
      <c r="B39" s="645" t="s">
        <v>94</v>
      </c>
      <c r="C39" s="645">
        <v>0</v>
      </c>
      <c r="D39" s="645">
        <v>271.471</v>
      </c>
      <c r="E39" s="645">
        <v>30416.921999999999</v>
      </c>
      <c r="F39" s="645">
        <v>-30145.451000000001</v>
      </c>
      <c r="G39" s="645">
        <v>-30145.451000000001</v>
      </c>
    </row>
    <row r="40" spans="1:7" x14ac:dyDescent="0.2">
      <c r="A40" s="646">
        <v>43627000</v>
      </c>
      <c r="B40" s="645" t="s">
        <v>95</v>
      </c>
      <c r="C40" s="645">
        <v>0</v>
      </c>
      <c r="D40" s="645">
        <v>1900.2950000000001</v>
      </c>
      <c r="E40" s="645">
        <v>212918.454</v>
      </c>
      <c r="F40" s="645">
        <v>-211018.15900000001</v>
      </c>
      <c r="G40" s="645">
        <v>-211018.15900000001</v>
      </c>
    </row>
    <row r="41" spans="1:7" x14ac:dyDescent="0.2">
      <c r="A41" s="646">
        <v>43671000</v>
      </c>
      <c r="B41" s="645" t="s">
        <v>98</v>
      </c>
      <c r="C41" s="645">
        <v>0</v>
      </c>
      <c r="D41" s="645">
        <v>5570.5789999999997</v>
      </c>
      <c r="E41" s="645">
        <v>638370.21200000006</v>
      </c>
      <c r="F41" s="645">
        <v>-632799.63300000003</v>
      </c>
      <c r="G41" s="645">
        <v>-632799.63300000003</v>
      </c>
    </row>
    <row r="42" spans="1:7" x14ac:dyDescent="0.2">
      <c r="A42" s="646">
        <v>43700000</v>
      </c>
      <c r="B42" s="645" t="s">
        <v>99</v>
      </c>
      <c r="C42" s="645">
        <v>0</v>
      </c>
      <c r="D42" s="645">
        <v>0</v>
      </c>
      <c r="E42" s="645">
        <v>3</v>
      </c>
      <c r="F42" s="645">
        <v>-3</v>
      </c>
      <c r="G42" s="645">
        <v>-3</v>
      </c>
    </row>
    <row r="43" spans="1:7" x14ac:dyDescent="0.2">
      <c r="A43" s="646">
        <v>45310000</v>
      </c>
      <c r="B43" s="645" t="s">
        <v>104</v>
      </c>
      <c r="C43" s="645">
        <v>0</v>
      </c>
      <c r="D43" s="645">
        <v>760644.44499999995</v>
      </c>
      <c r="E43" s="645">
        <v>829459.68700000003</v>
      </c>
      <c r="F43" s="645">
        <v>-68815.241999999998</v>
      </c>
      <c r="G43" s="645">
        <v>-68815.241999999998</v>
      </c>
    </row>
    <row r="44" spans="1:7" x14ac:dyDescent="0.2">
      <c r="A44" s="646">
        <v>45860000</v>
      </c>
      <c r="B44" s="645" t="s">
        <v>106</v>
      </c>
      <c r="C44" s="645">
        <v>-2.9999999999999997E-4</v>
      </c>
      <c r="D44" s="645">
        <v>11596868.651000001</v>
      </c>
      <c r="E44" s="645">
        <v>13676379.568</v>
      </c>
      <c r="F44" s="645">
        <v>-2079510.9169999999</v>
      </c>
      <c r="G44" s="645">
        <v>-2079510.9173000001</v>
      </c>
    </row>
    <row r="45" spans="1:7" x14ac:dyDescent="0.2">
      <c r="A45" s="646">
        <v>45870000</v>
      </c>
      <c r="B45" s="645" t="s">
        <v>107</v>
      </c>
      <c r="C45" s="645">
        <v>0</v>
      </c>
      <c r="D45" s="645">
        <v>761130.09400000004</v>
      </c>
      <c r="E45" s="645">
        <v>744228.76399999997</v>
      </c>
      <c r="F45" s="645">
        <v>16901.330000000002</v>
      </c>
      <c r="G45" s="645">
        <v>16901.330000000002</v>
      </c>
    </row>
    <row r="46" spans="1:7" x14ac:dyDescent="0.2">
      <c r="A46" s="646">
        <v>47100000</v>
      </c>
      <c r="B46" s="645" t="s">
        <v>109</v>
      </c>
      <c r="C46" s="645">
        <v>1E-4</v>
      </c>
      <c r="D46" s="645">
        <v>1983780.872</v>
      </c>
      <c r="E46" s="645">
        <v>1694253.173</v>
      </c>
      <c r="F46" s="645">
        <v>289527.69900000002</v>
      </c>
      <c r="G46" s="645">
        <v>289527.69910000003</v>
      </c>
    </row>
    <row r="47" spans="1:7" x14ac:dyDescent="0.2">
      <c r="A47" s="646">
        <v>49100000</v>
      </c>
      <c r="B47" s="645" t="s">
        <v>110</v>
      </c>
      <c r="C47" s="645">
        <v>0</v>
      </c>
      <c r="D47" s="645">
        <v>2350000</v>
      </c>
      <c r="E47" s="645">
        <v>2850000</v>
      </c>
      <c r="F47" s="645">
        <v>-500000</v>
      </c>
      <c r="G47" s="645">
        <v>-500000</v>
      </c>
    </row>
    <row r="48" spans="1:7" x14ac:dyDescent="0.2">
      <c r="A48" s="646">
        <v>53205700</v>
      </c>
      <c r="B48" s="645" t="s">
        <v>129</v>
      </c>
      <c r="C48" s="645">
        <v>0</v>
      </c>
      <c r="D48" s="645">
        <v>2887839.0033999998</v>
      </c>
      <c r="E48" s="645">
        <v>3978060.7673999998</v>
      </c>
      <c r="F48" s="645">
        <v>-1090221.764</v>
      </c>
      <c r="G48" s="645">
        <v>-1090221.764</v>
      </c>
    </row>
    <row r="49" spans="1:7" x14ac:dyDescent="0.2">
      <c r="A49" s="646">
        <v>53205800</v>
      </c>
      <c r="B49" s="645" t="s">
        <v>130</v>
      </c>
      <c r="C49" s="645">
        <v>0</v>
      </c>
      <c r="D49" s="645">
        <v>517.85299999999995</v>
      </c>
      <c r="E49" s="645">
        <v>474.61799999999999</v>
      </c>
      <c r="F49" s="645">
        <v>43.234999999999999</v>
      </c>
      <c r="G49" s="645">
        <v>43.234999999999999</v>
      </c>
    </row>
    <row r="50" spans="1:7" x14ac:dyDescent="0.2">
      <c r="A50" s="646">
        <v>60110110</v>
      </c>
      <c r="B50" s="645" t="s">
        <v>403</v>
      </c>
      <c r="C50" s="645">
        <v>0</v>
      </c>
      <c r="D50" s="645">
        <v>4207008.9249999998</v>
      </c>
      <c r="E50" s="645">
        <v>4207008.9249999998</v>
      </c>
      <c r="F50" s="645">
        <v>0</v>
      </c>
      <c r="G50" s="645">
        <v>0</v>
      </c>
    </row>
    <row r="51" spans="1:7" x14ac:dyDescent="0.2">
      <c r="A51" s="646">
        <v>60110213</v>
      </c>
      <c r="B51" s="645" t="s">
        <v>364</v>
      </c>
      <c r="C51" s="645">
        <v>0</v>
      </c>
      <c r="D51" s="645">
        <v>768</v>
      </c>
      <c r="E51" s="645">
        <v>768</v>
      </c>
      <c r="F51" s="645">
        <v>0</v>
      </c>
      <c r="G51" s="645">
        <v>0</v>
      </c>
    </row>
    <row r="52" spans="1:7" x14ac:dyDescent="0.2">
      <c r="A52" s="646">
        <v>60110500</v>
      </c>
      <c r="B52" s="645" t="s">
        <v>144</v>
      </c>
      <c r="C52" s="645">
        <v>0</v>
      </c>
      <c r="D52" s="645">
        <v>7502.2709999999997</v>
      </c>
      <c r="E52" s="645">
        <v>7502.2709999999997</v>
      </c>
      <c r="F52" s="645">
        <v>0</v>
      </c>
      <c r="G52" s="645">
        <v>0</v>
      </c>
    </row>
    <row r="53" spans="1:7" x14ac:dyDescent="0.2">
      <c r="A53" s="646">
        <v>60110900</v>
      </c>
      <c r="B53" s="645" t="s">
        <v>147</v>
      </c>
      <c r="C53" s="645">
        <v>0</v>
      </c>
      <c r="D53" s="645">
        <v>219792.07699999999</v>
      </c>
      <c r="E53" s="645">
        <v>207714.43700000001</v>
      </c>
      <c r="F53" s="645">
        <v>12077.64</v>
      </c>
      <c r="G53" s="645">
        <v>12077.64</v>
      </c>
    </row>
    <row r="54" spans="1:7" x14ac:dyDescent="0.2">
      <c r="A54" s="646">
        <v>60120200</v>
      </c>
      <c r="B54" s="645" t="s">
        <v>8977</v>
      </c>
      <c r="C54" s="645">
        <v>0</v>
      </c>
      <c r="D54" s="645">
        <v>492</v>
      </c>
      <c r="E54" s="645">
        <v>492</v>
      </c>
      <c r="F54" s="645">
        <v>0</v>
      </c>
      <c r="G54" s="645">
        <v>0</v>
      </c>
    </row>
    <row r="55" spans="1:7" x14ac:dyDescent="0.2">
      <c r="A55" s="646">
        <v>60120300</v>
      </c>
      <c r="B55" s="645" t="s">
        <v>150</v>
      </c>
      <c r="C55" s="645">
        <v>0</v>
      </c>
      <c r="D55" s="645">
        <v>476925.11</v>
      </c>
      <c r="E55" s="645">
        <v>476925.11</v>
      </c>
      <c r="F55" s="645">
        <v>0</v>
      </c>
      <c r="G55" s="645">
        <v>0</v>
      </c>
    </row>
    <row r="56" spans="1:7" x14ac:dyDescent="0.2">
      <c r="A56" s="646">
        <v>60120400</v>
      </c>
      <c r="B56" s="645" t="s">
        <v>365</v>
      </c>
      <c r="C56" s="645">
        <v>0</v>
      </c>
      <c r="D56" s="645">
        <v>170767.3</v>
      </c>
      <c r="E56" s="645">
        <v>157330.79999999999</v>
      </c>
      <c r="F56" s="645">
        <v>13436.5</v>
      </c>
      <c r="G56" s="645">
        <v>13436.5</v>
      </c>
    </row>
    <row r="57" spans="1:7" x14ac:dyDescent="0.2">
      <c r="A57" s="646">
        <v>60120800</v>
      </c>
      <c r="B57" s="645" t="s">
        <v>151</v>
      </c>
      <c r="C57" s="645">
        <v>0</v>
      </c>
      <c r="D57" s="645">
        <v>145607</v>
      </c>
      <c r="E57" s="645">
        <v>0</v>
      </c>
      <c r="F57" s="645">
        <v>145607</v>
      </c>
      <c r="G57" s="645">
        <v>145607</v>
      </c>
    </row>
    <row r="58" spans="1:7" x14ac:dyDescent="0.2">
      <c r="A58" s="646">
        <v>60121500</v>
      </c>
      <c r="B58" s="645" t="s">
        <v>404</v>
      </c>
      <c r="C58" s="645">
        <v>0</v>
      </c>
      <c r="D58" s="645">
        <v>154800</v>
      </c>
      <c r="E58" s="645">
        <v>154800</v>
      </c>
      <c r="F58" s="645">
        <v>0</v>
      </c>
      <c r="G58" s="645">
        <v>0</v>
      </c>
    </row>
    <row r="59" spans="1:7" x14ac:dyDescent="0.2">
      <c r="A59" s="646">
        <v>60122000</v>
      </c>
      <c r="B59" s="645" t="s">
        <v>9638</v>
      </c>
      <c r="C59" s="645">
        <v>0</v>
      </c>
      <c r="D59" s="645">
        <v>72713.861999999994</v>
      </c>
      <c r="E59" s="645">
        <v>0</v>
      </c>
      <c r="F59" s="645">
        <v>72713.861999999994</v>
      </c>
      <c r="G59" s="645">
        <v>72713.861999999994</v>
      </c>
    </row>
    <row r="60" spans="1:7" x14ac:dyDescent="0.2">
      <c r="A60" s="646">
        <v>60122100</v>
      </c>
      <c r="B60" s="645" t="s">
        <v>155</v>
      </c>
      <c r="C60" s="645">
        <v>0</v>
      </c>
      <c r="D60" s="645">
        <v>26730</v>
      </c>
      <c r="E60" s="645">
        <v>26730</v>
      </c>
      <c r="F60" s="645">
        <v>0</v>
      </c>
      <c r="G60" s="645">
        <v>0</v>
      </c>
    </row>
    <row r="61" spans="1:7" x14ac:dyDescent="0.2">
      <c r="A61" s="646">
        <v>60122200</v>
      </c>
      <c r="B61" s="645" t="s">
        <v>156</v>
      </c>
      <c r="C61" s="645">
        <v>0</v>
      </c>
      <c r="D61" s="645">
        <v>12789</v>
      </c>
      <c r="E61" s="645">
        <v>12789</v>
      </c>
      <c r="F61" s="645">
        <v>0</v>
      </c>
      <c r="G61" s="645">
        <v>0</v>
      </c>
    </row>
    <row r="62" spans="1:7" x14ac:dyDescent="0.2">
      <c r="A62" s="646">
        <v>60122411</v>
      </c>
      <c r="B62" s="645" t="s">
        <v>367</v>
      </c>
      <c r="C62" s="645">
        <v>0</v>
      </c>
      <c r="D62" s="645">
        <v>1474.8</v>
      </c>
      <c r="E62" s="645">
        <v>1474.8</v>
      </c>
      <c r="F62" s="645">
        <v>0</v>
      </c>
      <c r="G62" s="645">
        <v>0</v>
      </c>
    </row>
    <row r="63" spans="1:7" x14ac:dyDescent="0.2">
      <c r="A63" s="646">
        <v>60122510</v>
      </c>
      <c r="B63" s="645" t="s">
        <v>368</v>
      </c>
      <c r="C63" s="645">
        <v>0</v>
      </c>
      <c r="D63" s="645">
        <v>6249.6040000000003</v>
      </c>
      <c r="E63" s="645">
        <v>3850.7689999999998</v>
      </c>
      <c r="F63" s="645">
        <v>2398.835</v>
      </c>
      <c r="G63" s="645">
        <v>2398.835</v>
      </c>
    </row>
    <row r="64" spans="1:7" x14ac:dyDescent="0.2">
      <c r="A64" s="646">
        <v>60122700</v>
      </c>
      <c r="B64" s="645" t="s">
        <v>7567</v>
      </c>
      <c r="C64" s="645">
        <v>0</v>
      </c>
      <c r="D64" s="645">
        <v>12212.5</v>
      </c>
      <c r="E64" s="645">
        <v>12212.5</v>
      </c>
      <c r="F64" s="645">
        <v>0</v>
      </c>
      <c r="G64" s="645">
        <v>0</v>
      </c>
    </row>
    <row r="65" spans="1:7" x14ac:dyDescent="0.2">
      <c r="A65" s="646">
        <v>60171000</v>
      </c>
      <c r="B65" s="645" t="s">
        <v>369</v>
      </c>
      <c r="C65" s="645">
        <v>0</v>
      </c>
      <c r="D65" s="645">
        <v>450589.09</v>
      </c>
      <c r="E65" s="645">
        <v>428097.09</v>
      </c>
      <c r="F65" s="645">
        <v>22492</v>
      </c>
      <c r="G65" s="645">
        <v>22492</v>
      </c>
    </row>
    <row r="66" spans="1:7" x14ac:dyDescent="0.2">
      <c r="A66" s="646">
        <v>60172000</v>
      </c>
      <c r="B66" s="645" t="s">
        <v>169</v>
      </c>
      <c r="C66" s="645">
        <v>0</v>
      </c>
      <c r="D66" s="645">
        <v>1094910.594</v>
      </c>
      <c r="E66" s="645">
        <v>962543.549</v>
      </c>
      <c r="F66" s="645">
        <v>132367.04500000001</v>
      </c>
      <c r="G66" s="645">
        <v>132367.04500000001</v>
      </c>
    </row>
    <row r="67" spans="1:7" x14ac:dyDescent="0.2">
      <c r="A67" s="646">
        <v>60173000</v>
      </c>
      <c r="B67" s="645" t="s">
        <v>170</v>
      </c>
      <c r="C67" s="645">
        <v>0</v>
      </c>
      <c r="D67" s="645">
        <v>78495.595000000001</v>
      </c>
      <c r="E67" s="645">
        <v>73542.532000000007</v>
      </c>
      <c r="F67" s="645">
        <v>4953.0630000000001</v>
      </c>
      <c r="G67" s="645">
        <v>4953.0630000000001</v>
      </c>
    </row>
    <row r="68" spans="1:7" x14ac:dyDescent="0.2">
      <c r="A68" s="646">
        <v>60191000</v>
      </c>
      <c r="B68" s="645" t="s">
        <v>158</v>
      </c>
      <c r="C68" s="645">
        <v>0</v>
      </c>
      <c r="D68" s="645">
        <v>14226.008</v>
      </c>
      <c r="E68" s="645">
        <v>0</v>
      </c>
      <c r="F68" s="645">
        <v>14226.008</v>
      </c>
      <c r="G68" s="645">
        <v>14226.008</v>
      </c>
    </row>
    <row r="69" spans="1:7" x14ac:dyDescent="0.2">
      <c r="A69" s="646">
        <v>60260200</v>
      </c>
      <c r="B69" s="645" t="s">
        <v>9711</v>
      </c>
      <c r="C69" s="645">
        <v>0</v>
      </c>
      <c r="D69" s="645">
        <v>4836.8</v>
      </c>
      <c r="E69" s="645">
        <v>4836.8</v>
      </c>
      <c r="F69" s="645">
        <v>0</v>
      </c>
      <c r="G69" s="645">
        <v>0</v>
      </c>
    </row>
    <row r="70" spans="1:7" x14ac:dyDescent="0.2">
      <c r="A70" s="646">
        <v>60260400</v>
      </c>
      <c r="B70" s="645" t="s">
        <v>161</v>
      </c>
      <c r="C70" s="645">
        <v>0</v>
      </c>
      <c r="D70" s="645">
        <v>32621.4</v>
      </c>
      <c r="E70" s="645">
        <v>27627.8</v>
      </c>
      <c r="F70" s="645">
        <v>4993.6000000000004</v>
      </c>
      <c r="G70" s="645">
        <v>4993.6000000000004</v>
      </c>
    </row>
    <row r="71" spans="1:7" x14ac:dyDescent="0.2">
      <c r="A71" s="646">
        <v>60260600</v>
      </c>
      <c r="B71" s="645" t="s">
        <v>7401</v>
      </c>
      <c r="C71" s="645">
        <v>0</v>
      </c>
      <c r="D71" s="645">
        <v>393.9</v>
      </c>
      <c r="E71" s="645">
        <v>393.9</v>
      </c>
      <c r="F71" s="645">
        <v>0</v>
      </c>
      <c r="G71" s="645">
        <v>0</v>
      </c>
    </row>
    <row r="72" spans="1:7" x14ac:dyDescent="0.2">
      <c r="A72" s="646">
        <v>60260700</v>
      </c>
      <c r="B72" s="645" t="s">
        <v>163</v>
      </c>
      <c r="C72" s="645">
        <v>0</v>
      </c>
      <c r="D72" s="645">
        <v>5845.7</v>
      </c>
      <c r="E72" s="645">
        <v>5845.7</v>
      </c>
      <c r="F72" s="645">
        <v>0</v>
      </c>
      <c r="G72" s="645">
        <v>0</v>
      </c>
    </row>
    <row r="73" spans="1:7" x14ac:dyDescent="0.2">
      <c r="A73" s="646">
        <v>60262000</v>
      </c>
      <c r="B73" s="645" t="s">
        <v>164</v>
      </c>
      <c r="C73" s="645">
        <v>0</v>
      </c>
      <c r="D73" s="645">
        <v>36925.928999999996</v>
      </c>
      <c r="E73" s="645">
        <v>31175.929</v>
      </c>
      <c r="F73" s="645">
        <v>5750</v>
      </c>
      <c r="G73" s="645">
        <v>5750</v>
      </c>
    </row>
    <row r="74" spans="1:7" x14ac:dyDescent="0.2">
      <c r="A74" s="646">
        <v>60263000</v>
      </c>
      <c r="B74" s="645" t="s">
        <v>165</v>
      </c>
      <c r="C74" s="645">
        <v>0</v>
      </c>
      <c r="D74" s="645">
        <v>16099.643</v>
      </c>
      <c r="E74" s="645">
        <v>16099.643</v>
      </c>
      <c r="F74" s="645">
        <v>0</v>
      </c>
      <c r="G74" s="645">
        <v>0</v>
      </c>
    </row>
    <row r="75" spans="1:7" x14ac:dyDescent="0.2">
      <c r="A75" s="646">
        <v>60310000</v>
      </c>
      <c r="B75" s="645" t="s">
        <v>265</v>
      </c>
      <c r="C75" s="645">
        <v>0</v>
      </c>
      <c r="D75" s="645">
        <v>133859464.10420001</v>
      </c>
      <c r="E75" s="645">
        <v>144952467.7802</v>
      </c>
      <c r="F75" s="645">
        <v>-11093003.676000001</v>
      </c>
      <c r="G75" s="645">
        <v>-11093003.676000001</v>
      </c>
    </row>
    <row r="76" spans="1:7" x14ac:dyDescent="0.2">
      <c r="A76" s="646">
        <v>60330000</v>
      </c>
      <c r="B76" s="645" t="s">
        <v>266</v>
      </c>
      <c r="C76" s="645">
        <v>0</v>
      </c>
      <c r="D76" s="645">
        <v>8614830.8774999995</v>
      </c>
      <c r="E76" s="645">
        <v>9358523.2255000006</v>
      </c>
      <c r="F76" s="645">
        <v>-743692.348</v>
      </c>
      <c r="G76" s="645">
        <v>-743692.348</v>
      </c>
    </row>
    <row r="77" spans="1:7" x14ac:dyDescent="0.2">
      <c r="A77" s="646">
        <v>60401000</v>
      </c>
      <c r="B77" s="645" t="s">
        <v>523</v>
      </c>
      <c r="C77" s="645">
        <v>0</v>
      </c>
      <c r="D77" s="645">
        <v>921959.00100000005</v>
      </c>
      <c r="E77" s="645">
        <v>772986.00100000005</v>
      </c>
      <c r="F77" s="645">
        <v>148973</v>
      </c>
      <c r="G77" s="645">
        <v>148973</v>
      </c>
    </row>
    <row r="78" spans="1:7" x14ac:dyDescent="0.2">
      <c r="A78" s="646">
        <v>60502000</v>
      </c>
      <c r="B78" s="645" t="s">
        <v>167</v>
      </c>
      <c r="C78" s="645">
        <v>0</v>
      </c>
      <c r="D78" s="645">
        <v>97905.712</v>
      </c>
      <c r="E78" s="645">
        <v>85358.053</v>
      </c>
      <c r="F78" s="645">
        <v>12547.659</v>
      </c>
      <c r="G78" s="645">
        <v>12547.659</v>
      </c>
    </row>
    <row r="79" spans="1:7" x14ac:dyDescent="0.2">
      <c r="A79" s="646">
        <v>60614000</v>
      </c>
      <c r="B79" s="645" t="s">
        <v>171</v>
      </c>
      <c r="C79" s="645">
        <v>0</v>
      </c>
      <c r="D79" s="645">
        <v>7104.1120000000001</v>
      </c>
      <c r="E79" s="645">
        <v>7104.1120000000001</v>
      </c>
      <c r="F79" s="645">
        <v>0</v>
      </c>
      <c r="G79" s="645">
        <v>0</v>
      </c>
    </row>
    <row r="80" spans="1:7" x14ac:dyDescent="0.2">
      <c r="A80" s="646">
        <v>60620000</v>
      </c>
      <c r="B80" s="645" t="s">
        <v>172</v>
      </c>
      <c r="C80" s="645">
        <v>0</v>
      </c>
      <c r="D80" s="645">
        <v>10648.688</v>
      </c>
      <c r="E80" s="645">
        <v>5435.0150000000003</v>
      </c>
      <c r="F80" s="645">
        <v>5213.6729999999998</v>
      </c>
      <c r="G80" s="645">
        <v>5213.6729999999998</v>
      </c>
    </row>
    <row r="81" spans="1:7" x14ac:dyDescent="0.2">
      <c r="A81" s="646">
        <v>60650000</v>
      </c>
      <c r="B81" s="645" t="s">
        <v>373</v>
      </c>
      <c r="C81" s="645">
        <v>0</v>
      </c>
      <c r="D81" s="645">
        <v>4050</v>
      </c>
      <c r="E81" s="645">
        <v>4050</v>
      </c>
      <c r="F81" s="645">
        <v>0</v>
      </c>
      <c r="G81" s="645">
        <v>0</v>
      </c>
    </row>
    <row r="82" spans="1:7" x14ac:dyDescent="0.2">
      <c r="A82" s="646">
        <v>60660000</v>
      </c>
      <c r="B82" s="645" t="s">
        <v>9639</v>
      </c>
      <c r="C82" s="645">
        <v>0</v>
      </c>
      <c r="D82" s="645">
        <v>982</v>
      </c>
      <c r="E82" s="645">
        <v>736.5</v>
      </c>
      <c r="F82" s="645">
        <v>245.5</v>
      </c>
      <c r="G82" s="645">
        <v>245.5</v>
      </c>
    </row>
    <row r="83" spans="1:7" x14ac:dyDescent="0.2">
      <c r="A83" s="646">
        <v>60670000</v>
      </c>
      <c r="B83" s="645" t="s">
        <v>9640</v>
      </c>
      <c r="C83" s="645">
        <v>0</v>
      </c>
      <c r="D83" s="645">
        <v>4891.5349999999999</v>
      </c>
      <c r="E83" s="645">
        <v>4661.5349999999999</v>
      </c>
      <c r="F83" s="645">
        <v>230</v>
      </c>
      <c r="G83" s="645">
        <v>230</v>
      </c>
    </row>
    <row r="84" spans="1:7" x14ac:dyDescent="0.2">
      <c r="A84" s="646">
        <v>60671000</v>
      </c>
      <c r="B84" s="645" t="s">
        <v>9641</v>
      </c>
      <c r="C84" s="645">
        <v>0</v>
      </c>
      <c r="D84" s="645">
        <v>13634.6</v>
      </c>
      <c r="E84" s="645">
        <v>13634.6</v>
      </c>
      <c r="F84" s="645">
        <v>0</v>
      </c>
      <c r="G84" s="645">
        <v>0</v>
      </c>
    </row>
    <row r="85" spans="1:7" x14ac:dyDescent="0.2">
      <c r="A85" s="646">
        <v>61500000</v>
      </c>
      <c r="B85" s="645" t="s">
        <v>411</v>
      </c>
      <c r="C85" s="645">
        <v>0</v>
      </c>
      <c r="D85" s="645">
        <v>101145.573</v>
      </c>
      <c r="E85" s="645">
        <v>97428.251000000004</v>
      </c>
      <c r="F85" s="645">
        <v>3717.3220000000001</v>
      </c>
      <c r="G85" s="645">
        <v>3717.3220000000001</v>
      </c>
    </row>
    <row r="86" spans="1:7" x14ac:dyDescent="0.2">
      <c r="A86" s="646">
        <v>61501000</v>
      </c>
      <c r="B86" s="645" t="s">
        <v>9642</v>
      </c>
      <c r="C86" s="645">
        <v>0</v>
      </c>
      <c r="D86" s="645">
        <v>41359.741999999998</v>
      </c>
      <c r="E86" s="645">
        <v>36321.017</v>
      </c>
      <c r="F86" s="645">
        <v>5038.7250000000004</v>
      </c>
      <c r="G86" s="645">
        <v>5038.7250000000004</v>
      </c>
    </row>
    <row r="87" spans="1:7" x14ac:dyDescent="0.2">
      <c r="A87" s="646">
        <v>61600000</v>
      </c>
      <c r="B87" s="645" t="s">
        <v>397</v>
      </c>
      <c r="C87" s="645">
        <v>0</v>
      </c>
      <c r="D87" s="645">
        <v>72664.665999999997</v>
      </c>
      <c r="E87" s="645">
        <v>73892.266000000003</v>
      </c>
      <c r="F87" s="645">
        <v>-1227.5999999999999</v>
      </c>
      <c r="G87" s="645">
        <v>-1227.5999999999999</v>
      </c>
    </row>
    <row r="88" spans="1:7" x14ac:dyDescent="0.2">
      <c r="A88" s="646">
        <v>61603000</v>
      </c>
      <c r="B88" s="645" t="s">
        <v>178</v>
      </c>
      <c r="C88" s="645">
        <v>0</v>
      </c>
      <c r="D88" s="645">
        <v>211826.20800000001</v>
      </c>
      <c r="E88" s="645">
        <v>175586.48800000001</v>
      </c>
      <c r="F88" s="645">
        <v>36239.72</v>
      </c>
      <c r="G88" s="645">
        <v>36239.72</v>
      </c>
    </row>
    <row r="89" spans="1:7" x14ac:dyDescent="0.2">
      <c r="A89" s="646">
        <v>62200000</v>
      </c>
      <c r="B89" s="645" t="s">
        <v>181</v>
      </c>
      <c r="C89" s="645">
        <v>0</v>
      </c>
      <c r="D89" s="645">
        <v>99521.320999999996</v>
      </c>
      <c r="E89" s="645">
        <v>0</v>
      </c>
      <c r="F89" s="645">
        <v>99521.320999999996</v>
      </c>
      <c r="G89" s="645">
        <v>99521.320999999996</v>
      </c>
    </row>
    <row r="90" spans="1:7" x14ac:dyDescent="0.2">
      <c r="A90" s="646">
        <v>62210000</v>
      </c>
      <c r="B90" s="645" t="s">
        <v>398</v>
      </c>
      <c r="C90" s="645">
        <v>0</v>
      </c>
      <c r="D90" s="645">
        <v>26000</v>
      </c>
      <c r="E90" s="645">
        <v>30333.332999999999</v>
      </c>
      <c r="F90" s="645">
        <v>-4333.3329999999996</v>
      </c>
      <c r="G90" s="645">
        <v>-4333.3329999999996</v>
      </c>
    </row>
    <row r="91" spans="1:7" x14ac:dyDescent="0.2">
      <c r="A91" s="646">
        <v>62230000</v>
      </c>
      <c r="B91" s="645" t="s">
        <v>375</v>
      </c>
      <c r="C91" s="645">
        <v>0</v>
      </c>
      <c r="D91" s="645">
        <v>60480.065000000002</v>
      </c>
      <c r="E91" s="645">
        <v>60513.398000000001</v>
      </c>
      <c r="F91" s="645">
        <v>-33.332999999999998</v>
      </c>
      <c r="G91" s="645">
        <v>-33.332999999999998</v>
      </c>
    </row>
    <row r="92" spans="1:7" x14ac:dyDescent="0.2">
      <c r="A92" s="646">
        <v>62240000</v>
      </c>
      <c r="B92" s="645" t="s">
        <v>267</v>
      </c>
      <c r="C92" s="645">
        <v>0</v>
      </c>
      <c r="D92" s="645">
        <v>253271.41699999999</v>
      </c>
      <c r="E92" s="645">
        <v>257167.9</v>
      </c>
      <c r="F92" s="645">
        <v>-3896.4830000000002</v>
      </c>
      <c r="G92" s="645">
        <v>-3896.4830000000002</v>
      </c>
    </row>
    <row r="93" spans="1:7" x14ac:dyDescent="0.2">
      <c r="A93" s="646">
        <v>62250000</v>
      </c>
      <c r="B93" s="645" t="s">
        <v>268</v>
      </c>
      <c r="C93" s="645">
        <v>0</v>
      </c>
      <c r="D93" s="645">
        <v>255000</v>
      </c>
      <c r="E93" s="645">
        <v>212500</v>
      </c>
      <c r="F93" s="645">
        <v>42500</v>
      </c>
      <c r="G93" s="645">
        <v>42500</v>
      </c>
    </row>
    <row r="94" spans="1:7" x14ac:dyDescent="0.2">
      <c r="A94" s="646">
        <v>62260000</v>
      </c>
      <c r="B94" s="645" t="s">
        <v>7402</v>
      </c>
      <c r="C94" s="645">
        <v>0</v>
      </c>
      <c r="D94" s="645">
        <v>50000</v>
      </c>
      <c r="E94" s="645">
        <v>40000</v>
      </c>
      <c r="F94" s="645">
        <v>10000</v>
      </c>
      <c r="G94" s="645">
        <v>10000</v>
      </c>
    </row>
    <row r="95" spans="1:7" x14ac:dyDescent="0.2">
      <c r="A95" s="646">
        <v>62270000</v>
      </c>
      <c r="B95" s="645" t="s">
        <v>399</v>
      </c>
      <c r="C95" s="645">
        <v>0</v>
      </c>
      <c r="D95" s="645">
        <v>4450.84</v>
      </c>
      <c r="E95" s="645">
        <v>4450.84</v>
      </c>
      <c r="F95" s="645">
        <v>0</v>
      </c>
      <c r="G95" s="645">
        <v>0</v>
      </c>
    </row>
    <row r="96" spans="1:7" x14ac:dyDescent="0.2">
      <c r="A96" s="646">
        <v>62280000</v>
      </c>
      <c r="B96" s="645" t="s">
        <v>7721</v>
      </c>
      <c r="C96" s="645">
        <v>0</v>
      </c>
      <c r="D96" s="645">
        <v>6480</v>
      </c>
      <c r="E96" s="645">
        <v>3240</v>
      </c>
      <c r="F96" s="645">
        <v>3240</v>
      </c>
      <c r="G96" s="645">
        <v>3240</v>
      </c>
    </row>
    <row r="97" spans="1:7" x14ac:dyDescent="0.2">
      <c r="A97" s="646">
        <v>62300000</v>
      </c>
      <c r="B97" s="645" t="s">
        <v>182</v>
      </c>
      <c r="C97" s="645">
        <v>0</v>
      </c>
      <c r="D97" s="645">
        <v>759000</v>
      </c>
      <c r="E97" s="645">
        <v>632500</v>
      </c>
      <c r="F97" s="645">
        <v>126500</v>
      </c>
      <c r="G97" s="645">
        <v>126500</v>
      </c>
    </row>
    <row r="98" spans="1:7" x14ac:dyDescent="0.2">
      <c r="A98" s="646">
        <v>62430000</v>
      </c>
      <c r="B98" s="645" t="s">
        <v>159</v>
      </c>
      <c r="C98" s="645">
        <v>0</v>
      </c>
      <c r="D98" s="645">
        <v>307608.45</v>
      </c>
      <c r="E98" s="645">
        <v>269756.45</v>
      </c>
      <c r="F98" s="645">
        <v>37852</v>
      </c>
      <c r="G98" s="645">
        <v>37852</v>
      </c>
    </row>
    <row r="99" spans="1:7" x14ac:dyDescent="0.2">
      <c r="A99" s="646">
        <v>62510000</v>
      </c>
      <c r="B99" s="645" t="s">
        <v>9643</v>
      </c>
      <c r="C99" s="645">
        <v>0</v>
      </c>
      <c r="D99" s="645">
        <v>120000</v>
      </c>
      <c r="E99" s="645">
        <v>100000</v>
      </c>
      <c r="F99" s="645">
        <v>20000</v>
      </c>
      <c r="G99" s="645">
        <v>20000</v>
      </c>
    </row>
    <row r="100" spans="1:7" x14ac:dyDescent="0.2">
      <c r="A100" s="646">
        <v>62600000</v>
      </c>
      <c r="B100" s="645" t="s">
        <v>188</v>
      </c>
      <c r="C100" s="645">
        <v>0</v>
      </c>
      <c r="D100" s="645">
        <v>21740.421999999999</v>
      </c>
      <c r="E100" s="645">
        <v>22802.927</v>
      </c>
      <c r="F100" s="645">
        <v>-1062.5050000000001</v>
      </c>
      <c r="G100" s="645">
        <v>-1062.5050000000001</v>
      </c>
    </row>
    <row r="101" spans="1:7" x14ac:dyDescent="0.2">
      <c r="A101" s="646">
        <v>62780000</v>
      </c>
      <c r="B101" s="645" t="s">
        <v>189</v>
      </c>
      <c r="C101" s="645">
        <v>0</v>
      </c>
      <c r="D101" s="645">
        <v>190808.53</v>
      </c>
      <c r="E101" s="645">
        <v>176094.58300000001</v>
      </c>
      <c r="F101" s="645">
        <v>14713.947</v>
      </c>
      <c r="G101" s="645">
        <v>14713.947</v>
      </c>
    </row>
    <row r="102" spans="1:7" x14ac:dyDescent="0.2">
      <c r="A102" s="646">
        <v>63300000</v>
      </c>
      <c r="B102" s="645" t="s">
        <v>269</v>
      </c>
      <c r="C102" s="645">
        <v>0</v>
      </c>
      <c r="D102" s="645">
        <v>687500.00100000005</v>
      </c>
      <c r="E102" s="645">
        <v>572916.66799999995</v>
      </c>
      <c r="F102" s="645">
        <v>114583.333</v>
      </c>
      <c r="G102" s="645">
        <v>114583.333</v>
      </c>
    </row>
    <row r="103" spans="1:7" x14ac:dyDescent="0.2">
      <c r="A103" s="646">
        <v>64001000</v>
      </c>
      <c r="B103" s="645" t="s">
        <v>191</v>
      </c>
      <c r="C103" s="645">
        <v>0</v>
      </c>
      <c r="D103" s="645">
        <v>413518.88400000002</v>
      </c>
      <c r="E103" s="645">
        <v>413518.88400000002</v>
      </c>
      <c r="F103" s="645">
        <v>0</v>
      </c>
      <c r="G103" s="645">
        <v>0</v>
      </c>
    </row>
    <row r="104" spans="1:7" x14ac:dyDescent="0.2">
      <c r="A104" s="646">
        <v>64001100</v>
      </c>
      <c r="B104" s="645" t="s">
        <v>405</v>
      </c>
      <c r="C104" s="645">
        <v>0</v>
      </c>
      <c r="D104" s="645">
        <v>1650000</v>
      </c>
      <c r="E104" s="645">
        <v>1375000</v>
      </c>
      <c r="F104" s="645">
        <v>275000</v>
      </c>
      <c r="G104" s="645">
        <v>275000</v>
      </c>
    </row>
    <row r="105" spans="1:7" x14ac:dyDescent="0.2">
      <c r="A105" s="646">
        <v>64020000</v>
      </c>
      <c r="B105" s="645" t="s">
        <v>406</v>
      </c>
      <c r="C105" s="645">
        <v>0</v>
      </c>
      <c r="D105" s="645">
        <v>2263928.5070000002</v>
      </c>
      <c r="E105" s="645">
        <v>1894783.2080000001</v>
      </c>
      <c r="F105" s="645">
        <v>369145.299</v>
      </c>
      <c r="G105" s="645">
        <v>369145.299</v>
      </c>
    </row>
    <row r="106" spans="1:7" x14ac:dyDescent="0.2">
      <c r="A106" s="646">
        <v>64600100</v>
      </c>
      <c r="B106" s="645" t="s">
        <v>407</v>
      </c>
      <c r="C106" s="645">
        <v>0</v>
      </c>
      <c r="D106" s="645">
        <v>3569487.4890000001</v>
      </c>
      <c r="E106" s="645">
        <v>3309487.4890000001</v>
      </c>
      <c r="F106" s="645">
        <v>260000</v>
      </c>
      <c r="G106" s="645">
        <v>260000</v>
      </c>
    </row>
    <row r="107" spans="1:7" x14ac:dyDescent="0.2">
      <c r="A107" s="646">
        <v>64603000</v>
      </c>
      <c r="B107" s="645" t="s">
        <v>7404</v>
      </c>
      <c r="C107" s="645">
        <v>0</v>
      </c>
      <c r="D107" s="645">
        <v>3192</v>
      </c>
      <c r="E107" s="645">
        <v>3192</v>
      </c>
      <c r="F107" s="645">
        <v>0</v>
      </c>
      <c r="G107" s="645">
        <v>0</v>
      </c>
    </row>
    <row r="108" spans="1:7" x14ac:dyDescent="0.2">
      <c r="A108" s="646">
        <v>64720000</v>
      </c>
      <c r="B108" s="645" t="s">
        <v>194</v>
      </c>
      <c r="C108" s="645">
        <v>0</v>
      </c>
      <c r="D108" s="645">
        <v>829459.68700000003</v>
      </c>
      <c r="E108" s="645">
        <v>760644.44499999995</v>
      </c>
      <c r="F108" s="645">
        <v>68815.241999999998</v>
      </c>
      <c r="G108" s="645">
        <v>68815.241999999998</v>
      </c>
    </row>
    <row r="109" spans="1:7" x14ac:dyDescent="0.2">
      <c r="A109" s="646">
        <v>65110000</v>
      </c>
      <c r="B109" s="645" t="s">
        <v>8978</v>
      </c>
      <c r="C109" s="645">
        <v>0</v>
      </c>
      <c r="D109" s="645">
        <v>121616.49800000001</v>
      </c>
      <c r="E109" s="645">
        <v>118553.048</v>
      </c>
      <c r="F109" s="645">
        <v>3063.45</v>
      </c>
      <c r="G109" s="645">
        <v>3063.45</v>
      </c>
    </row>
    <row r="110" spans="1:7" x14ac:dyDescent="0.2">
      <c r="A110" s="646">
        <v>65110200</v>
      </c>
      <c r="B110" s="645" t="s">
        <v>196</v>
      </c>
      <c r="C110" s="645">
        <v>0</v>
      </c>
      <c r="D110" s="645">
        <v>455457.84720000002</v>
      </c>
      <c r="E110" s="645">
        <v>565062.63419999997</v>
      </c>
      <c r="F110" s="645">
        <v>-109604.787</v>
      </c>
      <c r="G110" s="645">
        <v>-109604.787</v>
      </c>
    </row>
    <row r="111" spans="1:7" x14ac:dyDescent="0.2">
      <c r="A111" s="646">
        <v>65110400</v>
      </c>
      <c r="B111" s="645" t="s">
        <v>197</v>
      </c>
      <c r="C111" s="645">
        <v>0</v>
      </c>
      <c r="D111" s="645">
        <v>699454.24780000001</v>
      </c>
      <c r="E111" s="645">
        <v>867688.41079999995</v>
      </c>
      <c r="F111" s="645">
        <v>-168234.163</v>
      </c>
      <c r="G111" s="645">
        <v>-168234.163</v>
      </c>
    </row>
    <row r="112" spans="1:7" x14ac:dyDescent="0.2">
      <c r="A112" s="646">
        <v>65115000</v>
      </c>
      <c r="B112" s="645" t="s">
        <v>379</v>
      </c>
      <c r="C112" s="645">
        <v>0</v>
      </c>
      <c r="D112" s="645">
        <v>2903.0230000000001</v>
      </c>
      <c r="E112" s="645">
        <v>2903.0230000000001</v>
      </c>
      <c r="F112" s="645">
        <v>0</v>
      </c>
      <c r="G112" s="645">
        <v>0</v>
      </c>
    </row>
    <row r="113" spans="1:7" x14ac:dyDescent="0.2">
      <c r="A113" s="646">
        <v>65150000</v>
      </c>
      <c r="B113" s="645" t="s">
        <v>270</v>
      </c>
      <c r="C113" s="645">
        <v>0</v>
      </c>
      <c r="D113" s="645">
        <v>175272.33</v>
      </c>
      <c r="E113" s="645">
        <v>148364.93299999999</v>
      </c>
      <c r="F113" s="645">
        <v>26907.397000000001</v>
      </c>
      <c r="G113" s="645">
        <v>26907.397000000001</v>
      </c>
    </row>
    <row r="114" spans="1:7" x14ac:dyDescent="0.2">
      <c r="A114" s="646">
        <v>65190000</v>
      </c>
      <c r="B114" s="645" t="s">
        <v>198</v>
      </c>
      <c r="C114" s="645">
        <v>0</v>
      </c>
      <c r="D114" s="645">
        <v>716813.05200000003</v>
      </c>
      <c r="E114" s="645">
        <v>658794.15700000001</v>
      </c>
      <c r="F114" s="645">
        <v>58018.894999999997</v>
      </c>
      <c r="G114" s="645">
        <v>58018.894999999997</v>
      </c>
    </row>
    <row r="115" spans="1:7" x14ac:dyDescent="0.2">
      <c r="A115" s="646">
        <v>65500000</v>
      </c>
      <c r="B115" s="645" t="s">
        <v>400</v>
      </c>
      <c r="C115" s="645">
        <v>0</v>
      </c>
      <c r="D115" s="645">
        <v>295292.89939999999</v>
      </c>
      <c r="E115" s="645">
        <v>220689.14840000001</v>
      </c>
      <c r="F115" s="645">
        <v>74603.751000000004</v>
      </c>
      <c r="G115" s="645">
        <v>74603.751000000004</v>
      </c>
    </row>
    <row r="116" spans="1:7" x14ac:dyDescent="0.2">
      <c r="A116" s="646">
        <v>66520000</v>
      </c>
      <c r="B116" s="645" t="s">
        <v>200</v>
      </c>
      <c r="C116" s="645">
        <v>0</v>
      </c>
      <c r="D116" s="645">
        <v>117948.3</v>
      </c>
      <c r="E116" s="645">
        <v>104677.29</v>
      </c>
      <c r="F116" s="645">
        <v>13271.01</v>
      </c>
      <c r="G116" s="645">
        <v>13271.01</v>
      </c>
    </row>
    <row r="117" spans="1:7" x14ac:dyDescent="0.2">
      <c r="A117" s="646">
        <v>66550000</v>
      </c>
      <c r="B117" s="645" t="s">
        <v>202</v>
      </c>
      <c r="C117" s="645">
        <v>0</v>
      </c>
      <c r="D117" s="645">
        <v>59400</v>
      </c>
      <c r="E117" s="645">
        <v>49500</v>
      </c>
      <c r="F117" s="645">
        <v>9900</v>
      </c>
      <c r="G117" s="645">
        <v>9900</v>
      </c>
    </row>
    <row r="118" spans="1:7" x14ac:dyDescent="0.2">
      <c r="A118" s="646">
        <v>68112000</v>
      </c>
      <c r="B118" s="645" t="s">
        <v>271</v>
      </c>
      <c r="C118" s="645">
        <v>0</v>
      </c>
      <c r="D118" s="645">
        <v>16061293.588</v>
      </c>
      <c r="E118" s="645">
        <v>13333488.515000001</v>
      </c>
      <c r="F118" s="645">
        <v>2727805.0729999999</v>
      </c>
      <c r="G118" s="645">
        <v>2727805.0729999999</v>
      </c>
    </row>
    <row r="119" spans="1:7" x14ac:dyDescent="0.2">
      <c r="A119" s="646">
        <v>68150000</v>
      </c>
      <c r="B119" s="645" t="s">
        <v>9481</v>
      </c>
      <c r="C119" s="645">
        <v>0</v>
      </c>
      <c r="D119" s="645">
        <v>420000</v>
      </c>
      <c r="E119" s="645">
        <v>300000</v>
      </c>
      <c r="F119" s="645">
        <v>120000</v>
      </c>
      <c r="G119" s="645">
        <v>120000</v>
      </c>
    </row>
    <row r="120" spans="1:7" x14ac:dyDescent="0.2">
      <c r="A120" s="646">
        <v>68170000</v>
      </c>
      <c r="B120" s="645" t="s">
        <v>7577</v>
      </c>
      <c r="C120" s="645">
        <v>0</v>
      </c>
      <c r="D120" s="645">
        <v>3575000</v>
      </c>
      <c r="E120" s="645">
        <v>2950000</v>
      </c>
      <c r="F120" s="645">
        <v>625000</v>
      </c>
      <c r="G120" s="645">
        <v>625000</v>
      </c>
    </row>
    <row r="121" spans="1:7" x14ac:dyDescent="0.2">
      <c r="A121" s="646">
        <v>68180000</v>
      </c>
      <c r="B121" s="645" t="s">
        <v>8976</v>
      </c>
      <c r="C121" s="645">
        <v>0</v>
      </c>
      <c r="D121" s="645">
        <f>2302431.134+100000</f>
        <v>2402431.1340000001</v>
      </c>
      <c r="E121" s="645">
        <v>1902431.1340000001</v>
      </c>
      <c r="F121" s="645">
        <f>D121-E121</f>
        <v>500000</v>
      </c>
      <c r="G121" s="645">
        <f>C121+F121</f>
        <v>500000</v>
      </c>
    </row>
    <row r="122" spans="1:7" x14ac:dyDescent="0.2">
      <c r="A122" s="646">
        <v>70000000</v>
      </c>
      <c r="B122" s="645" t="s">
        <v>205</v>
      </c>
      <c r="C122" s="645">
        <v>0</v>
      </c>
      <c r="D122" s="645">
        <v>27147.072</v>
      </c>
      <c r="E122" s="645">
        <v>3041707.2</v>
      </c>
      <c r="F122" s="645">
        <v>-3014560.128</v>
      </c>
      <c r="G122" s="645">
        <v>-3014560.128</v>
      </c>
    </row>
    <row r="123" spans="1:7" x14ac:dyDescent="0.2">
      <c r="A123" s="646">
        <v>70102000</v>
      </c>
      <c r="B123" s="645" t="s">
        <v>207</v>
      </c>
      <c r="C123" s="645">
        <v>0</v>
      </c>
      <c r="D123" s="645">
        <v>3757277.7850000001</v>
      </c>
      <c r="E123" s="645">
        <v>3757277.7850000001</v>
      </c>
      <c r="F123" s="645">
        <v>0</v>
      </c>
      <c r="G123" s="645">
        <v>0</v>
      </c>
    </row>
    <row r="124" spans="1:7" x14ac:dyDescent="0.2">
      <c r="A124" s="646">
        <v>70600000</v>
      </c>
      <c r="B124" s="645" t="s">
        <v>9644</v>
      </c>
      <c r="C124" s="645">
        <v>0</v>
      </c>
      <c r="D124" s="645">
        <v>661789.30900000001</v>
      </c>
      <c r="E124" s="645">
        <v>736589.96799999999</v>
      </c>
      <c r="F124" s="645">
        <v>-74800.659</v>
      </c>
      <c r="G124" s="645">
        <v>-74800.659</v>
      </c>
    </row>
    <row r="125" spans="1:7" x14ac:dyDescent="0.2">
      <c r="A125" s="646">
        <v>70600500</v>
      </c>
      <c r="B125" s="645" t="s">
        <v>208</v>
      </c>
      <c r="C125" s="645">
        <v>0</v>
      </c>
      <c r="D125" s="645">
        <v>82439.455000000002</v>
      </c>
      <c r="E125" s="645">
        <v>99340.785000000003</v>
      </c>
      <c r="F125" s="645">
        <v>-16901.330000000002</v>
      </c>
      <c r="G125" s="645">
        <v>-16901.330000000002</v>
      </c>
    </row>
    <row r="126" spans="1:7" x14ac:dyDescent="0.2">
      <c r="A126" s="646">
        <v>71340000</v>
      </c>
      <c r="B126" s="645" t="s">
        <v>382</v>
      </c>
      <c r="C126" s="645">
        <v>0</v>
      </c>
      <c r="D126" s="645">
        <v>2233181.5079999999</v>
      </c>
      <c r="E126" s="645">
        <v>2233181.5079999999</v>
      </c>
      <c r="F126" s="645">
        <v>0</v>
      </c>
      <c r="G126" s="645">
        <v>0</v>
      </c>
    </row>
    <row r="127" spans="1:7" x14ac:dyDescent="0.2">
      <c r="A127" s="646">
        <v>71350000</v>
      </c>
      <c r="B127" s="645" t="s">
        <v>209</v>
      </c>
      <c r="C127" s="645">
        <v>0</v>
      </c>
      <c r="D127" s="645">
        <v>66560618.2214</v>
      </c>
      <c r="E127" s="645">
        <v>72751442.067399994</v>
      </c>
      <c r="F127" s="645">
        <v>-6190823.8459999999</v>
      </c>
      <c r="G127" s="645">
        <v>-6190823.8459999999</v>
      </c>
    </row>
    <row r="128" spans="1:7" x14ac:dyDescent="0.2">
      <c r="A128" s="646">
        <v>73900000</v>
      </c>
      <c r="B128" s="645" t="s">
        <v>213</v>
      </c>
      <c r="C128" s="645">
        <v>0</v>
      </c>
      <c r="D128" s="645">
        <v>1115533.05</v>
      </c>
      <c r="E128" s="645">
        <v>1338639.6599999999</v>
      </c>
      <c r="F128" s="645">
        <v>-223106.61</v>
      </c>
      <c r="G128" s="645">
        <v>-223106.61</v>
      </c>
    </row>
    <row r="129" spans="1:7" x14ac:dyDescent="0.2">
      <c r="A129" s="646">
        <v>75600000</v>
      </c>
      <c r="B129" s="645" t="s">
        <v>215</v>
      </c>
      <c r="C129" s="645">
        <v>0</v>
      </c>
      <c r="D129" s="645">
        <v>23093.164000000001</v>
      </c>
      <c r="E129" s="645">
        <v>23136.399000000001</v>
      </c>
      <c r="F129" s="645">
        <v>-43.234999999999999</v>
      </c>
      <c r="G129" s="645">
        <v>-43.234999999999999</v>
      </c>
    </row>
    <row r="130" spans="1:7" ht="12" x14ac:dyDescent="0.2">
      <c r="C130" s="649">
        <f>SUM(C2:C129)</f>
        <v>1.7618285302889447E-19</v>
      </c>
      <c r="D130" s="649">
        <f>SUM(D2:D129)</f>
        <v>546226159.31900001</v>
      </c>
      <c r="E130" s="649">
        <f t="shared" ref="E130:G130" si="0">SUM(E2:E129)</f>
        <v>546226159.31900001</v>
      </c>
      <c r="F130" s="649">
        <f t="shared" si="0"/>
        <v>-7.6973805107627413E-9</v>
      </c>
      <c r="G130" s="649">
        <f t="shared" si="0"/>
        <v>-7.6973805107627413E-9</v>
      </c>
    </row>
  </sheetData>
  <autoFilter ref="A1:G57" xr:uid="{00000000-0009-0000-0000-00000E000000}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135"/>
  <sheetViews>
    <sheetView topLeftCell="A121" workbookViewId="0">
      <selection activeCell="I14" sqref="I14"/>
    </sheetView>
  </sheetViews>
  <sheetFormatPr baseColWidth="10" defaultRowHeight="11.25" x14ac:dyDescent="0.2"/>
  <cols>
    <col min="1" max="1" width="10.7109375" style="302" bestFit="1" customWidth="1"/>
    <col min="2" max="2" width="28" style="302" bestFit="1" customWidth="1"/>
    <col min="3" max="3" width="12.42578125" style="302" bestFit="1" customWidth="1"/>
    <col min="4" max="5" width="16.5703125" style="302" bestFit="1" customWidth="1"/>
    <col min="6" max="7" width="16.140625" style="302" bestFit="1" customWidth="1"/>
    <col min="8" max="16384" width="11.42578125" style="302"/>
  </cols>
  <sheetData>
    <row r="1" spans="1:7" x14ac:dyDescent="0.2">
      <c r="A1" s="2" t="s">
        <v>4</v>
      </c>
      <c r="B1" s="2" t="s">
        <v>0</v>
      </c>
      <c r="C1" s="3" t="s">
        <v>5</v>
      </c>
      <c r="D1" s="3" t="s">
        <v>2</v>
      </c>
      <c r="E1" s="3" t="s">
        <v>3</v>
      </c>
      <c r="F1" s="3" t="s">
        <v>6</v>
      </c>
      <c r="G1" s="3" t="s">
        <v>262</v>
      </c>
    </row>
    <row r="2" spans="1:7" x14ac:dyDescent="0.2">
      <c r="A2" s="757">
        <v>13000000</v>
      </c>
      <c r="B2" s="758" t="s">
        <v>273</v>
      </c>
      <c r="C2" s="758">
        <v>-1E-4</v>
      </c>
      <c r="D2" s="758">
        <v>0</v>
      </c>
      <c r="E2" s="758">
        <v>0</v>
      </c>
      <c r="F2" s="758">
        <v>0</v>
      </c>
      <c r="G2" s="758">
        <v>-1E-4</v>
      </c>
    </row>
    <row r="3" spans="1:7" x14ac:dyDescent="0.2">
      <c r="A3" s="759">
        <v>14508000</v>
      </c>
      <c r="B3" s="758" t="s">
        <v>17</v>
      </c>
      <c r="C3" s="758">
        <v>0</v>
      </c>
      <c r="D3" s="758">
        <v>1582028.689</v>
      </c>
      <c r="E3" s="758">
        <v>1338639.6599999999</v>
      </c>
      <c r="F3" s="758">
        <v>243389.02900000001</v>
      </c>
      <c r="G3" s="758">
        <v>243389.02900000001</v>
      </c>
    </row>
    <row r="4" spans="1:7" x14ac:dyDescent="0.2">
      <c r="A4" s="759">
        <v>15100000</v>
      </c>
      <c r="B4" s="758" t="s">
        <v>19</v>
      </c>
      <c r="C4" s="758">
        <v>0</v>
      </c>
      <c r="D4" s="758">
        <v>420000</v>
      </c>
      <c r="E4" s="758">
        <v>540000</v>
      </c>
      <c r="F4" s="758">
        <v>-120000</v>
      </c>
      <c r="G4" s="758">
        <v>-120000</v>
      </c>
    </row>
    <row r="5" spans="1:7" x14ac:dyDescent="0.2">
      <c r="A5" s="759">
        <v>16210500</v>
      </c>
      <c r="B5" s="758" t="s">
        <v>21</v>
      </c>
      <c r="C5" s="758">
        <v>0</v>
      </c>
      <c r="D5" s="758">
        <v>586666</v>
      </c>
      <c r="E5" s="758">
        <v>0</v>
      </c>
      <c r="F5" s="758">
        <v>586666</v>
      </c>
      <c r="G5" s="758">
        <v>586666</v>
      </c>
    </row>
    <row r="6" spans="1:7" x14ac:dyDescent="0.2">
      <c r="A6" s="759">
        <v>16400000</v>
      </c>
      <c r="B6" s="758" t="s">
        <v>276</v>
      </c>
      <c r="C6" s="758">
        <v>0</v>
      </c>
      <c r="D6" s="758">
        <v>78552.648000000001</v>
      </c>
      <c r="E6" s="758">
        <v>0</v>
      </c>
      <c r="F6" s="758">
        <v>78552.648000000001</v>
      </c>
      <c r="G6" s="758">
        <v>78552.648000000001</v>
      </c>
    </row>
    <row r="7" spans="1:7" x14ac:dyDescent="0.2">
      <c r="A7" s="759">
        <v>21300000</v>
      </c>
      <c r="B7" s="758" t="s">
        <v>24</v>
      </c>
      <c r="C7" s="758">
        <v>0</v>
      </c>
      <c r="D7" s="758">
        <v>42950.400000000001</v>
      </c>
      <c r="E7" s="758">
        <v>42950.400000000001</v>
      </c>
      <c r="F7" s="758">
        <v>0</v>
      </c>
      <c r="G7" s="758">
        <v>0</v>
      </c>
    </row>
    <row r="8" spans="1:7" x14ac:dyDescent="0.2">
      <c r="A8" s="759">
        <v>22340000</v>
      </c>
      <c r="B8" s="758" t="s">
        <v>32</v>
      </c>
      <c r="C8" s="758">
        <v>0</v>
      </c>
      <c r="D8" s="758">
        <v>9020</v>
      </c>
      <c r="E8" s="758">
        <v>9020</v>
      </c>
      <c r="F8" s="758">
        <v>0</v>
      </c>
      <c r="G8" s="758">
        <v>0</v>
      </c>
    </row>
    <row r="9" spans="1:7" x14ac:dyDescent="0.2">
      <c r="A9" s="759">
        <v>22350000</v>
      </c>
      <c r="B9" s="758" t="s">
        <v>33</v>
      </c>
      <c r="C9" s="758">
        <v>0</v>
      </c>
      <c r="D9" s="758">
        <v>15062.4</v>
      </c>
      <c r="E9" s="758">
        <v>15062.4</v>
      </c>
      <c r="F9" s="758">
        <v>0</v>
      </c>
      <c r="G9" s="758">
        <v>0</v>
      </c>
    </row>
    <row r="10" spans="1:7" x14ac:dyDescent="0.2">
      <c r="A10" s="759">
        <v>22825000</v>
      </c>
      <c r="B10" s="760"/>
      <c r="C10" s="758">
        <v>2.0000000000000001E-4</v>
      </c>
      <c r="D10" s="758">
        <v>0</v>
      </c>
      <c r="E10" s="758">
        <v>0</v>
      </c>
      <c r="F10" s="758">
        <v>0</v>
      </c>
      <c r="G10" s="758">
        <v>2.0000000000000001E-4</v>
      </c>
    </row>
    <row r="11" spans="1:7" x14ac:dyDescent="0.2">
      <c r="A11" s="759">
        <v>22830000</v>
      </c>
      <c r="B11" s="758" t="s">
        <v>9710</v>
      </c>
      <c r="C11" s="758">
        <v>0</v>
      </c>
      <c r="D11" s="758">
        <v>12816.754000000001</v>
      </c>
      <c r="E11" s="758">
        <v>12816.754000000001</v>
      </c>
      <c r="F11" s="758">
        <v>0</v>
      </c>
      <c r="G11" s="758">
        <v>0</v>
      </c>
    </row>
    <row r="12" spans="1:7" x14ac:dyDescent="0.2">
      <c r="A12" s="759">
        <v>28130000</v>
      </c>
      <c r="B12" s="758" t="s">
        <v>24</v>
      </c>
      <c r="C12" s="758">
        <v>1E-4</v>
      </c>
      <c r="D12" s="758">
        <v>81494.475999999995</v>
      </c>
      <c r="E12" s="758">
        <v>94805.332999999999</v>
      </c>
      <c r="F12" s="758">
        <v>-13310.857</v>
      </c>
      <c r="G12" s="758">
        <v>-13310.856900000001</v>
      </c>
    </row>
    <row r="13" spans="1:7" x14ac:dyDescent="0.2">
      <c r="A13" s="759">
        <v>28216000</v>
      </c>
      <c r="B13" s="758" t="s">
        <v>48</v>
      </c>
      <c r="C13" s="758">
        <v>4.0000000000000002E-4</v>
      </c>
      <c r="D13" s="758">
        <v>15436.151</v>
      </c>
      <c r="E13" s="758">
        <v>18257.481</v>
      </c>
      <c r="F13" s="758">
        <v>-2821.33</v>
      </c>
      <c r="G13" s="758">
        <v>-2821.3296</v>
      </c>
    </row>
    <row r="14" spans="1:7" x14ac:dyDescent="0.2">
      <c r="A14" s="759">
        <v>28220000</v>
      </c>
      <c r="B14" s="758" t="s">
        <v>49</v>
      </c>
      <c r="C14" s="758">
        <v>-2.0000000000000001E-4</v>
      </c>
      <c r="D14" s="758">
        <v>2517134.5720000002</v>
      </c>
      <c r="E14" s="758">
        <v>2977201.7319999998</v>
      </c>
      <c r="F14" s="758">
        <v>-460067.16</v>
      </c>
      <c r="G14" s="758">
        <v>-460067.16019999998</v>
      </c>
    </row>
    <row r="15" spans="1:7" x14ac:dyDescent="0.2">
      <c r="A15" s="759">
        <v>28225000</v>
      </c>
      <c r="B15" s="758" t="s">
        <v>50</v>
      </c>
      <c r="C15" s="758">
        <v>4.0000000000000002E-4</v>
      </c>
      <c r="D15" s="758">
        <v>425762.98800000001</v>
      </c>
      <c r="E15" s="758">
        <v>499995.978</v>
      </c>
      <c r="F15" s="758">
        <v>-74232.990000000005</v>
      </c>
      <c r="G15" s="758">
        <v>-74232.989600000001</v>
      </c>
    </row>
    <row r="16" spans="1:7" x14ac:dyDescent="0.2">
      <c r="A16" s="759">
        <v>28230000</v>
      </c>
      <c r="B16" s="758" t="s">
        <v>263</v>
      </c>
      <c r="C16" s="758">
        <v>0</v>
      </c>
      <c r="D16" s="758">
        <v>154557.95600000001</v>
      </c>
      <c r="E16" s="758">
        <v>184781.35699999999</v>
      </c>
      <c r="F16" s="758">
        <v>-30223.401000000002</v>
      </c>
      <c r="G16" s="758">
        <v>-30223.401000000002</v>
      </c>
    </row>
    <row r="17" spans="1:7" x14ac:dyDescent="0.2">
      <c r="A17" s="759">
        <v>28231000</v>
      </c>
      <c r="B17" s="758" t="s">
        <v>402</v>
      </c>
      <c r="C17" s="758">
        <v>0</v>
      </c>
      <c r="D17" s="758">
        <v>11271.21</v>
      </c>
      <c r="E17" s="758">
        <v>15443.87</v>
      </c>
      <c r="F17" s="758">
        <v>-4172.66</v>
      </c>
      <c r="G17" s="758">
        <v>-4172.66</v>
      </c>
    </row>
    <row r="18" spans="1:7" x14ac:dyDescent="0.2">
      <c r="A18" s="759">
        <v>28234000</v>
      </c>
      <c r="B18" s="758" t="s">
        <v>51</v>
      </c>
      <c r="C18" s="758">
        <v>-4.0000000000000002E-4</v>
      </c>
      <c r="D18" s="758">
        <v>8929374.1030000001</v>
      </c>
      <c r="E18" s="758">
        <v>10564651.658</v>
      </c>
      <c r="F18" s="758">
        <v>-1635277.5549999999</v>
      </c>
      <c r="G18" s="758">
        <v>-1635277.5554</v>
      </c>
    </row>
    <row r="19" spans="1:7" x14ac:dyDescent="0.2">
      <c r="A19" s="759">
        <v>28235000</v>
      </c>
      <c r="B19" s="758" t="s">
        <v>52</v>
      </c>
      <c r="C19" s="758">
        <v>0</v>
      </c>
      <c r="D19" s="758">
        <v>321253.58399999997</v>
      </c>
      <c r="E19" s="758">
        <v>379736.15899999999</v>
      </c>
      <c r="F19" s="758">
        <v>-58482.574999999997</v>
      </c>
      <c r="G19" s="758">
        <v>-58482.574999999997</v>
      </c>
    </row>
    <row r="20" spans="1:7" x14ac:dyDescent="0.2">
      <c r="A20" s="759">
        <v>28237000</v>
      </c>
      <c r="B20" s="758" t="s">
        <v>53</v>
      </c>
      <c r="C20" s="758">
        <v>-2.0000000000000001E-4</v>
      </c>
      <c r="D20" s="758">
        <v>227484.307</v>
      </c>
      <c r="E20" s="758">
        <v>264738.76400000002</v>
      </c>
      <c r="F20" s="758">
        <v>-37254.457000000002</v>
      </c>
      <c r="G20" s="758">
        <v>-37254.457199999997</v>
      </c>
    </row>
    <row r="21" spans="1:7" x14ac:dyDescent="0.2">
      <c r="A21" s="759">
        <v>28240000</v>
      </c>
      <c r="B21" s="758" t="s">
        <v>54</v>
      </c>
      <c r="C21" s="758">
        <v>-2.9999999999999997E-4</v>
      </c>
      <c r="D21" s="758">
        <v>1006246.524</v>
      </c>
      <c r="E21" s="758">
        <v>1183166.933</v>
      </c>
      <c r="F21" s="758">
        <v>-176920.40900000001</v>
      </c>
      <c r="G21" s="758">
        <v>-176920.4093</v>
      </c>
    </row>
    <row r="22" spans="1:7" x14ac:dyDescent="0.2">
      <c r="A22" s="759">
        <v>28282000</v>
      </c>
      <c r="B22" s="758" t="s">
        <v>55</v>
      </c>
      <c r="C22" s="758">
        <v>2.0000000000000001E-4</v>
      </c>
      <c r="D22" s="758">
        <v>301120.571</v>
      </c>
      <c r="E22" s="758">
        <v>357490.71100000001</v>
      </c>
      <c r="F22" s="758">
        <v>-56370.14</v>
      </c>
      <c r="G22" s="758">
        <v>-56370.139799999997</v>
      </c>
    </row>
    <row r="23" spans="1:7" x14ac:dyDescent="0.2">
      <c r="A23" s="759">
        <v>28283000</v>
      </c>
      <c r="B23" s="758" t="s">
        <v>264</v>
      </c>
      <c r="C23" s="758">
        <v>1E-4</v>
      </c>
      <c r="D23" s="758">
        <v>262370.13099999999</v>
      </c>
      <c r="E23" s="758">
        <v>312856.52799999999</v>
      </c>
      <c r="F23" s="758">
        <v>-50486.396999999997</v>
      </c>
      <c r="G23" s="758">
        <v>-50486.3969</v>
      </c>
    </row>
    <row r="24" spans="1:7" x14ac:dyDescent="0.2">
      <c r="A24" s="759">
        <v>28400000</v>
      </c>
      <c r="B24" s="758" t="s">
        <v>56</v>
      </c>
      <c r="C24" s="758">
        <v>0</v>
      </c>
      <c r="D24" s="758">
        <v>817246.01199999999</v>
      </c>
      <c r="E24" s="758">
        <v>971575.701</v>
      </c>
      <c r="F24" s="758">
        <v>-154329.68900000001</v>
      </c>
      <c r="G24" s="758">
        <v>-154329.68900000001</v>
      </c>
    </row>
    <row r="25" spans="1:7" x14ac:dyDescent="0.2">
      <c r="A25" s="759">
        <v>29234000</v>
      </c>
      <c r="B25" s="758" t="s">
        <v>388</v>
      </c>
      <c r="C25" s="758">
        <v>0</v>
      </c>
      <c r="D25" s="758">
        <v>400000</v>
      </c>
      <c r="E25" s="758">
        <v>627693.68799999997</v>
      </c>
      <c r="F25" s="758">
        <v>-227693.68799999999</v>
      </c>
      <c r="G25" s="758">
        <v>-227693.68799999999</v>
      </c>
    </row>
    <row r="26" spans="1:7" x14ac:dyDescent="0.2">
      <c r="A26" s="759">
        <v>31100000</v>
      </c>
      <c r="B26" s="758" t="s">
        <v>59</v>
      </c>
      <c r="C26" s="758">
        <v>0</v>
      </c>
      <c r="D26" s="758">
        <v>155282692.28119999</v>
      </c>
      <c r="E26" s="758">
        <v>140745458.85620001</v>
      </c>
      <c r="F26" s="758">
        <v>14537233.425000001</v>
      </c>
      <c r="G26" s="758">
        <v>14537233.425000001</v>
      </c>
    </row>
    <row r="27" spans="1:7" x14ac:dyDescent="0.2">
      <c r="A27" s="759">
        <v>31200000</v>
      </c>
      <c r="B27" s="758" t="s">
        <v>390</v>
      </c>
      <c r="C27" s="758">
        <v>0</v>
      </c>
      <c r="D27" s="758">
        <v>7223406.0990000004</v>
      </c>
      <c r="E27" s="758">
        <v>5854753.227</v>
      </c>
      <c r="F27" s="758">
        <v>1368652.872</v>
      </c>
      <c r="G27" s="758">
        <v>1368652.872</v>
      </c>
    </row>
    <row r="28" spans="1:7" x14ac:dyDescent="0.2">
      <c r="A28" s="759">
        <v>32200000</v>
      </c>
      <c r="B28" s="758" t="s">
        <v>61</v>
      </c>
      <c r="C28" s="758">
        <v>0</v>
      </c>
      <c r="D28" s="758">
        <v>9969956.1744999997</v>
      </c>
      <c r="E28" s="758">
        <v>9358523.2255000006</v>
      </c>
      <c r="F28" s="758">
        <v>611432.94900000002</v>
      </c>
      <c r="G28" s="758">
        <v>611432.94900000002</v>
      </c>
    </row>
    <row r="29" spans="1:7" x14ac:dyDescent="0.2">
      <c r="A29" s="759">
        <v>33100000</v>
      </c>
      <c r="B29" s="758" t="s">
        <v>62</v>
      </c>
      <c r="C29" s="758">
        <v>0</v>
      </c>
      <c r="D29" s="758">
        <v>60997927.780400001</v>
      </c>
      <c r="E29" s="758">
        <v>54964978.217399999</v>
      </c>
      <c r="F29" s="758">
        <v>6032949.5630000001</v>
      </c>
      <c r="G29" s="758">
        <v>6032949.5630000001</v>
      </c>
    </row>
    <row r="30" spans="1:7" x14ac:dyDescent="0.2">
      <c r="A30" s="759">
        <v>35500000</v>
      </c>
      <c r="B30" s="758" t="s">
        <v>63</v>
      </c>
      <c r="C30" s="758">
        <v>0</v>
      </c>
      <c r="D30" s="758">
        <v>18108143.91</v>
      </c>
      <c r="E30" s="758">
        <v>17786463.848999999</v>
      </c>
      <c r="F30" s="758">
        <v>321680.06099999999</v>
      </c>
      <c r="G30" s="758">
        <v>321680.06099999999</v>
      </c>
    </row>
    <row r="31" spans="1:7" x14ac:dyDescent="0.2">
      <c r="A31" s="759">
        <v>39000000</v>
      </c>
      <c r="B31" s="758" t="s">
        <v>64</v>
      </c>
      <c r="C31" s="758">
        <v>0</v>
      </c>
      <c r="D31" s="758">
        <v>2402431.1340000001</v>
      </c>
      <c r="E31" s="758">
        <v>2900187.3220000002</v>
      </c>
      <c r="F31" s="758">
        <v>-497756.18800000002</v>
      </c>
      <c r="G31" s="758">
        <v>-497756.18800000002</v>
      </c>
    </row>
    <row r="32" spans="1:7" x14ac:dyDescent="0.2">
      <c r="A32" s="759">
        <v>40100000</v>
      </c>
      <c r="B32" s="761" t="s">
        <v>66</v>
      </c>
      <c r="C32" s="758">
        <v>0</v>
      </c>
      <c r="D32" s="758">
        <v>823434.255</v>
      </c>
      <c r="E32" s="758">
        <v>823434.255</v>
      </c>
      <c r="F32" s="758">
        <v>0</v>
      </c>
      <c r="G32" s="758">
        <v>0</v>
      </c>
    </row>
    <row r="33" spans="1:7" x14ac:dyDescent="0.2">
      <c r="A33" s="759">
        <v>40120000</v>
      </c>
      <c r="B33" s="761" t="s">
        <v>386</v>
      </c>
      <c r="C33" s="758">
        <v>2.9999999999999997E-4</v>
      </c>
      <c r="D33" s="758">
        <v>0</v>
      </c>
      <c r="E33" s="758">
        <v>0</v>
      </c>
      <c r="F33" s="758">
        <v>0</v>
      </c>
      <c r="G33" s="758">
        <v>2.9999999999999997E-4</v>
      </c>
    </row>
    <row r="34" spans="1:7" x14ac:dyDescent="0.2">
      <c r="A34" s="759">
        <v>40600000</v>
      </c>
      <c r="B34" s="761" t="s">
        <v>70</v>
      </c>
      <c r="C34" s="758">
        <v>0</v>
      </c>
      <c r="D34" s="758">
        <v>6725829.9680000003</v>
      </c>
      <c r="E34" s="758">
        <v>7899879.5279999999</v>
      </c>
      <c r="F34" s="758">
        <v>-1174049.56</v>
      </c>
      <c r="G34" s="758">
        <v>-1174049.56</v>
      </c>
    </row>
    <row r="35" spans="1:7" x14ac:dyDescent="0.2">
      <c r="A35" s="759">
        <v>40800000</v>
      </c>
      <c r="B35" s="761" t="s">
        <v>71</v>
      </c>
      <c r="C35" s="758">
        <v>1E-4</v>
      </c>
      <c r="D35" s="758">
        <v>0</v>
      </c>
      <c r="E35" s="758">
        <v>0</v>
      </c>
      <c r="F35" s="758">
        <v>0</v>
      </c>
      <c r="G35" s="758">
        <v>1E-4</v>
      </c>
    </row>
    <row r="36" spans="1:7" x14ac:dyDescent="0.2">
      <c r="A36" s="759">
        <v>40810000</v>
      </c>
      <c r="B36" s="761" t="s">
        <v>391</v>
      </c>
      <c r="C36" s="758">
        <v>0</v>
      </c>
      <c r="D36" s="758">
        <v>5123.701</v>
      </c>
      <c r="E36" s="758">
        <v>20928.241999999998</v>
      </c>
      <c r="F36" s="758">
        <v>-15804.540999999999</v>
      </c>
      <c r="G36" s="758">
        <v>-15804.540999999999</v>
      </c>
    </row>
    <row r="37" spans="1:7" x14ac:dyDescent="0.2">
      <c r="A37" s="759">
        <v>41100000</v>
      </c>
      <c r="B37" s="761" t="s">
        <v>73</v>
      </c>
      <c r="C37" s="758">
        <v>-4.0000000000000002E-4</v>
      </c>
      <c r="D37" s="758">
        <v>4033105.8640000001</v>
      </c>
      <c r="E37" s="758">
        <v>4033105.8640000001</v>
      </c>
      <c r="F37" s="758">
        <v>0</v>
      </c>
      <c r="G37" s="758">
        <v>-4.0000000000000002E-4</v>
      </c>
    </row>
    <row r="38" spans="1:7" x14ac:dyDescent="0.2">
      <c r="A38" s="759">
        <v>41500000</v>
      </c>
      <c r="B38" s="761" t="s">
        <v>75</v>
      </c>
      <c r="C38" s="758">
        <v>-4.0000000000000002E-4</v>
      </c>
      <c r="D38" s="758">
        <v>3757277.7850000001</v>
      </c>
      <c r="E38" s="758">
        <v>3857342.92</v>
      </c>
      <c r="F38" s="758">
        <v>-100065.13499999999</v>
      </c>
      <c r="G38" s="758">
        <v>-100065.1354</v>
      </c>
    </row>
    <row r="39" spans="1:7" x14ac:dyDescent="0.2">
      <c r="A39" s="759">
        <v>41800000</v>
      </c>
      <c r="B39" s="761" t="s">
        <v>307</v>
      </c>
      <c r="C39" s="758">
        <v>4.0000000000000002E-4</v>
      </c>
      <c r="D39" s="758">
        <v>0</v>
      </c>
      <c r="E39" s="758">
        <v>0</v>
      </c>
      <c r="F39" s="758">
        <v>0</v>
      </c>
      <c r="G39" s="758">
        <v>4.0000000000000002E-4</v>
      </c>
    </row>
    <row r="40" spans="1:7" x14ac:dyDescent="0.2">
      <c r="A40" s="759">
        <v>42820000</v>
      </c>
      <c r="B40" s="758" t="s">
        <v>83</v>
      </c>
      <c r="C40" s="758">
        <v>0</v>
      </c>
      <c r="D40" s="758">
        <v>3569487.4890000001</v>
      </c>
      <c r="E40" s="758">
        <v>3829487.4890000001</v>
      </c>
      <c r="F40" s="758">
        <v>-260000</v>
      </c>
      <c r="G40" s="758">
        <v>-260000</v>
      </c>
    </row>
    <row r="41" spans="1:7" x14ac:dyDescent="0.2">
      <c r="A41" s="759">
        <v>43625000</v>
      </c>
      <c r="B41" s="758" t="s">
        <v>94</v>
      </c>
      <c r="C41" s="758">
        <v>0</v>
      </c>
      <c r="D41" s="758">
        <v>30688.393</v>
      </c>
      <c r="E41" s="758">
        <v>30688.393</v>
      </c>
      <c r="F41" s="758">
        <v>0</v>
      </c>
      <c r="G41" s="758">
        <v>0</v>
      </c>
    </row>
    <row r="42" spans="1:7" x14ac:dyDescent="0.2">
      <c r="A42" s="759">
        <v>43627000</v>
      </c>
      <c r="B42" s="758" t="s">
        <v>95</v>
      </c>
      <c r="C42" s="758">
        <v>0</v>
      </c>
      <c r="D42" s="758">
        <v>214818.74900000001</v>
      </c>
      <c r="E42" s="758">
        <v>214818.74900000001</v>
      </c>
      <c r="F42" s="758">
        <v>0</v>
      </c>
      <c r="G42" s="758">
        <v>0</v>
      </c>
    </row>
    <row r="43" spans="1:7" x14ac:dyDescent="0.2">
      <c r="A43" s="759">
        <v>43671000</v>
      </c>
      <c r="B43" s="758" t="s">
        <v>98</v>
      </c>
      <c r="C43" s="758">
        <v>0</v>
      </c>
      <c r="D43" s="758">
        <v>643940.79099999997</v>
      </c>
      <c r="E43" s="758">
        <v>643940.79099999997</v>
      </c>
      <c r="F43" s="758">
        <v>0</v>
      </c>
      <c r="G43" s="758">
        <v>0</v>
      </c>
    </row>
    <row r="44" spans="1:7" x14ac:dyDescent="0.2">
      <c r="A44" s="759">
        <v>43700000</v>
      </c>
      <c r="B44" s="758" t="s">
        <v>99</v>
      </c>
      <c r="C44" s="758">
        <v>0</v>
      </c>
      <c r="D44" s="758">
        <v>3</v>
      </c>
      <c r="E44" s="758">
        <v>3</v>
      </c>
      <c r="F44" s="758">
        <v>0</v>
      </c>
      <c r="G44" s="758">
        <v>0</v>
      </c>
    </row>
    <row r="45" spans="1:7" x14ac:dyDescent="0.2">
      <c r="A45" s="759">
        <v>45310000</v>
      </c>
      <c r="B45" s="758" t="s">
        <v>104</v>
      </c>
      <c r="C45" s="758">
        <v>0</v>
      </c>
      <c r="D45" s="758">
        <v>829459.68700000003</v>
      </c>
      <c r="E45" s="758">
        <v>962096.11399999994</v>
      </c>
      <c r="F45" s="758">
        <v>-132636.427</v>
      </c>
      <c r="G45" s="758">
        <v>-132636.427</v>
      </c>
    </row>
    <row r="46" spans="1:7" x14ac:dyDescent="0.2">
      <c r="A46" s="759">
        <v>45860000</v>
      </c>
      <c r="B46" s="758" t="s">
        <v>106</v>
      </c>
      <c r="C46" s="758">
        <v>-2.9999999999999997E-4</v>
      </c>
      <c r="D46" s="758">
        <v>13676379.568</v>
      </c>
      <c r="E46" s="758">
        <v>15506470.107000001</v>
      </c>
      <c r="F46" s="758">
        <v>-1830090.5390000001</v>
      </c>
      <c r="G46" s="758">
        <v>-1830090.5393000001</v>
      </c>
    </row>
    <row r="47" spans="1:7" x14ac:dyDescent="0.2">
      <c r="A47" s="759">
        <v>45870000</v>
      </c>
      <c r="B47" s="758" t="s">
        <v>107</v>
      </c>
      <c r="C47" s="758">
        <v>0</v>
      </c>
      <c r="D47" s="758">
        <v>781411.69</v>
      </c>
      <c r="E47" s="758">
        <v>761130.09400000004</v>
      </c>
      <c r="F47" s="758">
        <v>20281.596000000001</v>
      </c>
      <c r="G47" s="758">
        <v>20281.596000000001</v>
      </c>
    </row>
    <row r="48" spans="1:7" x14ac:dyDescent="0.2">
      <c r="A48" s="759">
        <v>47100000</v>
      </c>
      <c r="B48" s="758" t="s">
        <v>109</v>
      </c>
      <c r="C48" s="758">
        <v>1E-4</v>
      </c>
      <c r="D48" s="758">
        <v>2328833.8840000001</v>
      </c>
      <c r="E48" s="758">
        <v>1983780.872</v>
      </c>
      <c r="F48" s="758">
        <v>345053.01199999999</v>
      </c>
      <c r="G48" s="758">
        <v>345053.01209999999</v>
      </c>
    </row>
    <row r="49" spans="1:7" x14ac:dyDescent="0.2">
      <c r="A49" s="759">
        <v>49100000</v>
      </c>
      <c r="B49" s="758" t="s">
        <v>110</v>
      </c>
      <c r="C49" s="758">
        <v>0</v>
      </c>
      <c r="D49" s="758">
        <v>2850000</v>
      </c>
      <c r="E49" s="758">
        <v>3323988.5890000002</v>
      </c>
      <c r="F49" s="758">
        <v>-473988.58899999998</v>
      </c>
      <c r="G49" s="758">
        <v>-473988.58899999998</v>
      </c>
    </row>
    <row r="50" spans="1:7" x14ac:dyDescent="0.2">
      <c r="A50" s="759">
        <v>50500000</v>
      </c>
      <c r="B50" s="758" t="s">
        <v>117</v>
      </c>
      <c r="C50" s="758">
        <v>0</v>
      </c>
      <c r="D50" s="758">
        <v>0</v>
      </c>
      <c r="E50" s="758">
        <v>586666</v>
      </c>
      <c r="F50" s="758">
        <v>-586666</v>
      </c>
      <c r="G50" s="758">
        <v>-586666</v>
      </c>
    </row>
    <row r="51" spans="1:7" x14ac:dyDescent="0.2">
      <c r="A51" s="759">
        <v>50515000</v>
      </c>
      <c r="B51" s="758" t="s">
        <v>118</v>
      </c>
      <c r="C51" s="758">
        <v>0</v>
      </c>
      <c r="D51" s="758">
        <v>0</v>
      </c>
      <c r="E51" s="758">
        <v>78552.648000000001</v>
      </c>
      <c r="F51" s="758">
        <v>-78552.648000000001</v>
      </c>
      <c r="G51" s="758">
        <v>-78552.648000000001</v>
      </c>
    </row>
    <row r="52" spans="1:7" x14ac:dyDescent="0.2">
      <c r="A52" s="759">
        <v>53205700</v>
      </c>
      <c r="B52" s="758" t="s">
        <v>129</v>
      </c>
      <c r="C52" s="758">
        <v>0</v>
      </c>
      <c r="D52" s="758">
        <v>3978060.7673999998</v>
      </c>
      <c r="E52" s="758">
        <v>4097150.8834000002</v>
      </c>
      <c r="F52" s="758">
        <v>-119090.11599999999</v>
      </c>
      <c r="G52" s="758">
        <v>-119090.11599999999</v>
      </c>
    </row>
    <row r="53" spans="1:7" x14ac:dyDescent="0.2">
      <c r="A53" s="759">
        <v>53205800</v>
      </c>
      <c r="B53" s="758" t="s">
        <v>130</v>
      </c>
      <c r="C53" s="758">
        <v>0</v>
      </c>
      <c r="D53" s="758">
        <v>562.84100000000001</v>
      </c>
      <c r="E53" s="758">
        <v>517.85299999999995</v>
      </c>
      <c r="F53" s="758">
        <v>44.988</v>
      </c>
      <c r="G53" s="758">
        <v>44.988</v>
      </c>
    </row>
    <row r="54" spans="1:7" x14ac:dyDescent="0.2">
      <c r="A54" s="759">
        <v>60110110</v>
      </c>
      <c r="B54" s="758" t="s">
        <v>403</v>
      </c>
      <c r="C54" s="758">
        <v>0</v>
      </c>
      <c r="D54" s="758">
        <v>5575661.7970000003</v>
      </c>
      <c r="E54" s="758">
        <v>4207008.9249999998</v>
      </c>
      <c r="F54" s="758">
        <v>1368652.872</v>
      </c>
      <c r="G54" s="758">
        <v>1368652.872</v>
      </c>
    </row>
    <row r="55" spans="1:7" x14ac:dyDescent="0.2">
      <c r="A55" s="759">
        <v>60110213</v>
      </c>
      <c r="B55" s="758" t="s">
        <v>364</v>
      </c>
      <c r="C55" s="758">
        <v>0</v>
      </c>
      <c r="D55" s="758">
        <v>768</v>
      </c>
      <c r="E55" s="758">
        <v>768</v>
      </c>
      <c r="F55" s="758">
        <v>0</v>
      </c>
      <c r="G55" s="758">
        <v>0</v>
      </c>
    </row>
    <row r="56" spans="1:7" x14ac:dyDescent="0.2">
      <c r="A56" s="759">
        <v>60110500</v>
      </c>
      <c r="B56" s="758" t="s">
        <v>144</v>
      </c>
      <c r="C56" s="758">
        <v>0</v>
      </c>
      <c r="D56" s="758">
        <v>7502.2709999999997</v>
      </c>
      <c r="E56" s="758">
        <v>7502.2709999999997</v>
      </c>
      <c r="F56" s="758">
        <v>0</v>
      </c>
      <c r="G56" s="758">
        <v>0</v>
      </c>
    </row>
    <row r="57" spans="1:7" x14ac:dyDescent="0.2">
      <c r="A57" s="759">
        <v>60110900</v>
      </c>
      <c r="B57" s="758" t="s">
        <v>147</v>
      </c>
      <c r="C57" s="758">
        <v>0</v>
      </c>
      <c r="D57" s="758">
        <v>219792.07699999999</v>
      </c>
      <c r="E57" s="758">
        <v>219792.07699999999</v>
      </c>
      <c r="F57" s="758">
        <v>0</v>
      </c>
      <c r="G57" s="758">
        <v>0</v>
      </c>
    </row>
    <row r="58" spans="1:7" x14ac:dyDescent="0.2">
      <c r="A58" s="759">
        <v>60120200</v>
      </c>
      <c r="B58" s="758" t="s">
        <v>8977</v>
      </c>
      <c r="C58" s="758">
        <v>0</v>
      </c>
      <c r="D58" s="758">
        <v>492</v>
      </c>
      <c r="E58" s="758">
        <v>492</v>
      </c>
      <c r="F58" s="758">
        <v>0</v>
      </c>
      <c r="G58" s="758">
        <v>0</v>
      </c>
    </row>
    <row r="59" spans="1:7" x14ac:dyDescent="0.2">
      <c r="A59" s="759">
        <v>60120300</v>
      </c>
      <c r="B59" s="758" t="s">
        <v>150</v>
      </c>
      <c r="C59" s="758">
        <v>0</v>
      </c>
      <c r="D59" s="758">
        <v>476925.11</v>
      </c>
      <c r="E59" s="758">
        <v>476925.11</v>
      </c>
      <c r="F59" s="758">
        <v>0</v>
      </c>
      <c r="G59" s="758">
        <v>0</v>
      </c>
    </row>
    <row r="60" spans="1:7" x14ac:dyDescent="0.2">
      <c r="A60" s="759">
        <v>60120400</v>
      </c>
      <c r="B60" s="758" t="s">
        <v>365</v>
      </c>
      <c r="C60" s="758">
        <v>0</v>
      </c>
      <c r="D60" s="758">
        <v>170767.3</v>
      </c>
      <c r="E60" s="758">
        <v>332101.09000000003</v>
      </c>
      <c r="F60" s="758">
        <v>-161333.79</v>
      </c>
      <c r="G60" s="758">
        <v>-161333.79</v>
      </c>
    </row>
    <row r="61" spans="1:7" x14ac:dyDescent="0.2">
      <c r="A61" s="759">
        <v>60120800</v>
      </c>
      <c r="B61" s="758" t="s">
        <v>151</v>
      </c>
      <c r="C61" s="758">
        <v>0</v>
      </c>
      <c r="D61" s="758">
        <v>322696</v>
      </c>
      <c r="E61" s="758">
        <v>145607</v>
      </c>
      <c r="F61" s="758">
        <v>177089</v>
      </c>
      <c r="G61" s="758">
        <v>177089</v>
      </c>
    </row>
    <row r="62" spans="1:7" x14ac:dyDescent="0.2">
      <c r="A62" s="759">
        <v>60121500</v>
      </c>
      <c r="B62" s="758" t="s">
        <v>404</v>
      </c>
      <c r="C62" s="758">
        <v>0</v>
      </c>
      <c r="D62" s="758">
        <v>154800</v>
      </c>
      <c r="E62" s="758">
        <v>154800</v>
      </c>
      <c r="F62" s="758">
        <v>0</v>
      </c>
      <c r="G62" s="758">
        <v>0</v>
      </c>
    </row>
    <row r="63" spans="1:7" x14ac:dyDescent="0.2">
      <c r="A63" s="759">
        <v>60122000</v>
      </c>
      <c r="B63" s="758" t="s">
        <v>9638</v>
      </c>
      <c r="C63" s="758">
        <v>0</v>
      </c>
      <c r="D63" s="758">
        <v>72713.861999999994</v>
      </c>
      <c r="E63" s="758">
        <v>72713.861999999994</v>
      </c>
      <c r="F63" s="758">
        <v>0</v>
      </c>
      <c r="G63" s="758">
        <v>0</v>
      </c>
    </row>
    <row r="64" spans="1:7" x14ac:dyDescent="0.2">
      <c r="A64" s="759">
        <v>60122100</v>
      </c>
      <c r="B64" s="758" t="s">
        <v>155</v>
      </c>
      <c r="C64" s="758">
        <v>0</v>
      </c>
      <c r="D64" s="758">
        <v>26730</v>
      </c>
      <c r="E64" s="758">
        <v>26730</v>
      </c>
      <c r="F64" s="758">
        <v>0</v>
      </c>
      <c r="G64" s="758">
        <v>0</v>
      </c>
    </row>
    <row r="65" spans="1:7" x14ac:dyDescent="0.2">
      <c r="A65" s="759">
        <v>60122200</v>
      </c>
      <c r="B65" s="758" t="s">
        <v>156</v>
      </c>
      <c r="C65" s="758">
        <v>0</v>
      </c>
      <c r="D65" s="758">
        <v>12789</v>
      </c>
      <c r="E65" s="758">
        <v>12789</v>
      </c>
      <c r="F65" s="758">
        <v>0</v>
      </c>
      <c r="G65" s="758">
        <v>0</v>
      </c>
    </row>
    <row r="66" spans="1:7" x14ac:dyDescent="0.2">
      <c r="A66" s="759">
        <v>60122411</v>
      </c>
      <c r="B66" s="758" t="s">
        <v>367</v>
      </c>
      <c r="C66" s="758">
        <v>0</v>
      </c>
      <c r="D66" s="758">
        <v>1474.8</v>
      </c>
      <c r="E66" s="758">
        <v>1474.8</v>
      </c>
      <c r="F66" s="758">
        <v>0</v>
      </c>
      <c r="G66" s="758">
        <v>0</v>
      </c>
    </row>
    <row r="67" spans="1:7" x14ac:dyDescent="0.2">
      <c r="A67" s="759">
        <v>60122510</v>
      </c>
      <c r="B67" s="758" t="s">
        <v>368</v>
      </c>
      <c r="C67" s="758">
        <v>0</v>
      </c>
      <c r="D67" s="758">
        <v>8168.6719999999996</v>
      </c>
      <c r="E67" s="758">
        <v>6249.6040000000003</v>
      </c>
      <c r="F67" s="758">
        <v>1919.068</v>
      </c>
      <c r="G67" s="758">
        <v>1919.068</v>
      </c>
    </row>
    <row r="68" spans="1:7" x14ac:dyDescent="0.2">
      <c r="A68" s="759">
        <v>60122700</v>
      </c>
      <c r="B68" s="758" t="s">
        <v>7567</v>
      </c>
      <c r="C68" s="758">
        <v>0</v>
      </c>
      <c r="D68" s="758">
        <v>12212.5</v>
      </c>
      <c r="E68" s="758">
        <v>12212.5</v>
      </c>
      <c r="F68" s="758">
        <v>0</v>
      </c>
      <c r="G68" s="758">
        <v>0</v>
      </c>
    </row>
    <row r="69" spans="1:7" x14ac:dyDescent="0.2">
      <c r="A69" s="759">
        <v>60171000</v>
      </c>
      <c r="B69" s="758" t="s">
        <v>369</v>
      </c>
      <c r="C69" s="758">
        <v>0</v>
      </c>
      <c r="D69" s="758">
        <v>475739.19900000002</v>
      </c>
      <c r="E69" s="758">
        <v>450589.09</v>
      </c>
      <c r="F69" s="758">
        <v>25150.109</v>
      </c>
      <c r="G69" s="758">
        <v>25150.109</v>
      </c>
    </row>
    <row r="70" spans="1:7" x14ac:dyDescent="0.2">
      <c r="A70" s="759">
        <v>60172000</v>
      </c>
      <c r="B70" s="758" t="s">
        <v>169</v>
      </c>
      <c r="C70" s="758">
        <v>0</v>
      </c>
      <c r="D70" s="758">
        <v>1166255.5619999999</v>
      </c>
      <c r="E70" s="758">
        <v>1094910.594</v>
      </c>
      <c r="F70" s="758">
        <v>71344.967999999993</v>
      </c>
      <c r="G70" s="758">
        <v>71344.967999999993</v>
      </c>
    </row>
    <row r="71" spans="1:7" x14ac:dyDescent="0.2">
      <c r="A71" s="759">
        <v>60173000</v>
      </c>
      <c r="B71" s="758" t="s">
        <v>170</v>
      </c>
      <c r="C71" s="758">
        <v>0</v>
      </c>
      <c r="D71" s="758">
        <v>78495.595000000001</v>
      </c>
      <c r="E71" s="758">
        <v>78495.595000000001</v>
      </c>
      <c r="F71" s="758">
        <v>0</v>
      </c>
      <c r="G71" s="758">
        <v>0</v>
      </c>
    </row>
    <row r="72" spans="1:7" x14ac:dyDescent="0.2">
      <c r="A72" s="759">
        <v>60191000</v>
      </c>
      <c r="B72" s="758" t="s">
        <v>158</v>
      </c>
      <c r="C72" s="758">
        <v>0</v>
      </c>
      <c r="D72" s="758">
        <v>14226.008</v>
      </c>
      <c r="E72" s="758">
        <v>14226.008</v>
      </c>
      <c r="F72" s="758">
        <v>0</v>
      </c>
      <c r="G72" s="758">
        <v>0</v>
      </c>
    </row>
    <row r="73" spans="1:7" x14ac:dyDescent="0.2">
      <c r="A73" s="759">
        <v>60260200</v>
      </c>
      <c r="B73" s="758" t="s">
        <v>9711</v>
      </c>
      <c r="C73" s="758">
        <v>0</v>
      </c>
      <c r="D73" s="758">
        <v>4836.8</v>
      </c>
      <c r="E73" s="758">
        <v>4836.8</v>
      </c>
      <c r="F73" s="758">
        <v>0</v>
      </c>
      <c r="G73" s="758">
        <v>0</v>
      </c>
    </row>
    <row r="74" spans="1:7" x14ac:dyDescent="0.2">
      <c r="A74" s="759">
        <v>60260400</v>
      </c>
      <c r="B74" s="758" t="s">
        <v>161</v>
      </c>
      <c r="C74" s="758">
        <v>0</v>
      </c>
      <c r="D74" s="758">
        <v>36855</v>
      </c>
      <c r="E74" s="758">
        <v>32621.4</v>
      </c>
      <c r="F74" s="758">
        <v>4233.6000000000004</v>
      </c>
      <c r="G74" s="758">
        <v>4233.6000000000004</v>
      </c>
    </row>
    <row r="75" spans="1:7" x14ac:dyDescent="0.2">
      <c r="A75" s="759">
        <v>60260600</v>
      </c>
      <c r="B75" s="758" t="s">
        <v>7401</v>
      </c>
      <c r="C75" s="758">
        <v>0</v>
      </c>
      <c r="D75" s="758">
        <v>393.9</v>
      </c>
      <c r="E75" s="758">
        <v>393.9</v>
      </c>
      <c r="F75" s="758">
        <v>0</v>
      </c>
      <c r="G75" s="758">
        <v>0</v>
      </c>
    </row>
    <row r="76" spans="1:7" x14ac:dyDescent="0.2">
      <c r="A76" s="759">
        <v>60260700</v>
      </c>
      <c r="B76" s="758" t="s">
        <v>163</v>
      </c>
      <c r="C76" s="758">
        <v>0</v>
      </c>
      <c r="D76" s="758">
        <v>5845.7</v>
      </c>
      <c r="E76" s="758">
        <v>5845.7</v>
      </c>
      <c r="F76" s="758">
        <v>0</v>
      </c>
      <c r="G76" s="758">
        <v>0</v>
      </c>
    </row>
    <row r="77" spans="1:7" x14ac:dyDescent="0.2">
      <c r="A77" s="759">
        <v>60262000</v>
      </c>
      <c r="B77" s="758" t="s">
        <v>164</v>
      </c>
      <c r="C77" s="758">
        <v>0</v>
      </c>
      <c r="D77" s="758">
        <v>39385.928999999996</v>
      </c>
      <c r="E77" s="758">
        <v>36925.928999999996</v>
      </c>
      <c r="F77" s="758">
        <v>2460</v>
      </c>
      <c r="G77" s="758">
        <v>2460</v>
      </c>
    </row>
    <row r="78" spans="1:7" x14ac:dyDescent="0.2">
      <c r="A78" s="759">
        <v>60263000</v>
      </c>
      <c r="B78" s="758" t="s">
        <v>165</v>
      </c>
      <c r="C78" s="758">
        <v>0</v>
      </c>
      <c r="D78" s="758">
        <v>16099.643</v>
      </c>
      <c r="E78" s="758">
        <v>16099.643</v>
      </c>
      <c r="F78" s="758">
        <v>0</v>
      </c>
      <c r="G78" s="758">
        <v>0</v>
      </c>
    </row>
    <row r="79" spans="1:7" x14ac:dyDescent="0.2">
      <c r="A79" s="759">
        <v>60310000</v>
      </c>
      <c r="B79" s="758" t="s">
        <v>265</v>
      </c>
      <c r="C79" s="758">
        <v>0</v>
      </c>
      <c r="D79" s="758">
        <v>144952467.7802</v>
      </c>
      <c r="E79" s="758">
        <v>160858354.0772</v>
      </c>
      <c r="F79" s="758">
        <v>-15905886.297</v>
      </c>
      <c r="G79" s="758">
        <v>-15905886.297</v>
      </c>
    </row>
    <row r="80" spans="1:7" x14ac:dyDescent="0.2">
      <c r="A80" s="759">
        <v>60330000</v>
      </c>
      <c r="B80" s="758" t="s">
        <v>266</v>
      </c>
      <c r="C80" s="758">
        <v>0</v>
      </c>
      <c r="D80" s="758">
        <v>9358523.2255000006</v>
      </c>
      <c r="E80" s="758">
        <v>9969956.1744999997</v>
      </c>
      <c r="F80" s="758">
        <v>-611432.94900000002</v>
      </c>
      <c r="G80" s="758">
        <v>-611432.94900000002</v>
      </c>
    </row>
    <row r="81" spans="1:7" x14ac:dyDescent="0.2">
      <c r="A81" s="759">
        <v>60401000</v>
      </c>
      <c r="B81" s="758" t="s">
        <v>523</v>
      </c>
      <c r="C81" s="758">
        <v>0</v>
      </c>
      <c r="D81" s="758">
        <v>1084475.0009999999</v>
      </c>
      <c r="E81" s="758">
        <v>921959.00100000005</v>
      </c>
      <c r="F81" s="758">
        <v>162516</v>
      </c>
      <c r="G81" s="758">
        <v>162516</v>
      </c>
    </row>
    <row r="82" spans="1:7" x14ac:dyDescent="0.2">
      <c r="A82" s="759">
        <v>60502000</v>
      </c>
      <c r="B82" s="758" t="s">
        <v>167</v>
      </c>
      <c r="C82" s="758">
        <v>0</v>
      </c>
      <c r="D82" s="758">
        <v>97905.712</v>
      </c>
      <c r="E82" s="758">
        <v>97905.712</v>
      </c>
      <c r="F82" s="758">
        <v>0</v>
      </c>
      <c r="G82" s="758">
        <v>0</v>
      </c>
    </row>
    <row r="83" spans="1:7" x14ac:dyDescent="0.2">
      <c r="A83" s="759">
        <v>60614000</v>
      </c>
      <c r="B83" s="758" t="s">
        <v>171</v>
      </c>
      <c r="C83" s="758">
        <v>0</v>
      </c>
      <c r="D83" s="758">
        <v>7104.1120000000001</v>
      </c>
      <c r="E83" s="758">
        <v>7104.1120000000001</v>
      </c>
      <c r="F83" s="758">
        <v>0</v>
      </c>
      <c r="G83" s="758">
        <v>0</v>
      </c>
    </row>
    <row r="84" spans="1:7" x14ac:dyDescent="0.2">
      <c r="A84" s="759">
        <v>60620000</v>
      </c>
      <c r="B84" s="758" t="s">
        <v>172</v>
      </c>
      <c r="C84" s="758">
        <v>0</v>
      </c>
      <c r="D84" s="758">
        <v>14743.460999999999</v>
      </c>
      <c r="E84" s="758">
        <v>10648.688</v>
      </c>
      <c r="F84" s="758">
        <v>4094.7730000000001</v>
      </c>
      <c r="G84" s="758">
        <v>4094.7730000000001</v>
      </c>
    </row>
    <row r="85" spans="1:7" x14ac:dyDescent="0.2">
      <c r="A85" s="759">
        <v>60650000</v>
      </c>
      <c r="B85" s="758" t="s">
        <v>373</v>
      </c>
      <c r="C85" s="758">
        <v>0</v>
      </c>
      <c r="D85" s="758">
        <v>4050</v>
      </c>
      <c r="E85" s="758">
        <v>4050</v>
      </c>
      <c r="F85" s="758">
        <v>0</v>
      </c>
      <c r="G85" s="758">
        <v>0</v>
      </c>
    </row>
    <row r="86" spans="1:7" x14ac:dyDescent="0.2">
      <c r="A86" s="759">
        <v>60660000</v>
      </c>
      <c r="B86" s="758" t="s">
        <v>173</v>
      </c>
      <c r="C86" s="758">
        <v>0</v>
      </c>
      <c r="D86" s="758">
        <v>1227.5</v>
      </c>
      <c r="E86" s="758">
        <v>982</v>
      </c>
      <c r="F86" s="758">
        <v>245.5</v>
      </c>
      <c r="G86" s="758">
        <v>245.5</v>
      </c>
    </row>
    <row r="87" spans="1:7" x14ac:dyDescent="0.2">
      <c r="A87" s="759">
        <v>60670000</v>
      </c>
      <c r="B87" s="758" t="s">
        <v>9640</v>
      </c>
      <c r="C87" s="758">
        <v>0</v>
      </c>
      <c r="D87" s="758">
        <v>4891.5349999999999</v>
      </c>
      <c r="E87" s="758">
        <v>4891.5349999999999</v>
      </c>
      <c r="F87" s="758">
        <v>0</v>
      </c>
      <c r="G87" s="758">
        <v>0</v>
      </c>
    </row>
    <row r="88" spans="1:7" x14ac:dyDescent="0.2">
      <c r="A88" s="759">
        <v>60671000</v>
      </c>
      <c r="B88" s="758" t="s">
        <v>9641</v>
      </c>
      <c r="C88" s="758">
        <v>0</v>
      </c>
      <c r="D88" s="758">
        <v>13634.6</v>
      </c>
      <c r="E88" s="758">
        <v>13634.6</v>
      </c>
      <c r="F88" s="758">
        <v>0</v>
      </c>
      <c r="G88" s="758">
        <v>0</v>
      </c>
    </row>
    <row r="89" spans="1:7" x14ac:dyDescent="0.2">
      <c r="A89" s="759">
        <v>60900000</v>
      </c>
      <c r="B89" s="758" t="s">
        <v>10089</v>
      </c>
      <c r="C89" s="758">
        <v>0</v>
      </c>
      <c r="D89" s="758">
        <v>0</v>
      </c>
      <c r="E89" s="758">
        <v>88544.426000000007</v>
      </c>
      <c r="F89" s="758">
        <v>-88544.426000000007</v>
      </c>
      <c r="G89" s="758">
        <v>-88544.426000000007</v>
      </c>
    </row>
    <row r="90" spans="1:7" x14ac:dyDescent="0.2">
      <c r="A90" s="759">
        <v>61500000</v>
      </c>
      <c r="B90" s="758" t="s">
        <v>411</v>
      </c>
      <c r="C90" s="758">
        <v>0</v>
      </c>
      <c r="D90" s="758">
        <v>101145.573</v>
      </c>
      <c r="E90" s="758">
        <v>101145.573</v>
      </c>
      <c r="F90" s="758">
        <v>0</v>
      </c>
      <c r="G90" s="758">
        <v>0</v>
      </c>
    </row>
    <row r="91" spans="1:7" x14ac:dyDescent="0.2">
      <c r="A91" s="759">
        <v>61501000</v>
      </c>
      <c r="B91" s="758" t="s">
        <v>9642</v>
      </c>
      <c r="C91" s="758">
        <v>0</v>
      </c>
      <c r="D91" s="758">
        <v>44211.341999999997</v>
      </c>
      <c r="E91" s="758">
        <v>41359.741999999998</v>
      </c>
      <c r="F91" s="758">
        <v>2851.6</v>
      </c>
      <c r="G91" s="758">
        <v>2851.6</v>
      </c>
    </row>
    <row r="92" spans="1:7" x14ac:dyDescent="0.2">
      <c r="A92" s="759">
        <v>61600000</v>
      </c>
      <c r="B92" s="758" t="s">
        <v>397</v>
      </c>
      <c r="C92" s="758">
        <v>0</v>
      </c>
      <c r="D92" s="758">
        <v>73892.266000000003</v>
      </c>
      <c r="E92" s="758">
        <v>73892.266000000003</v>
      </c>
      <c r="F92" s="758">
        <v>0</v>
      </c>
      <c r="G92" s="758">
        <v>0</v>
      </c>
    </row>
    <row r="93" spans="1:7" x14ac:dyDescent="0.2">
      <c r="A93" s="759">
        <v>61603000</v>
      </c>
      <c r="B93" s="758" t="s">
        <v>178</v>
      </c>
      <c r="C93" s="758">
        <v>0</v>
      </c>
      <c r="D93" s="758">
        <v>251360.448</v>
      </c>
      <c r="E93" s="758">
        <v>211826.20800000001</v>
      </c>
      <c r="F93" s="758">
        <v>39534.239999999998</v>
      </c>
      <c r="G93" s="758">
        <v>39534.239999999998</v>
      </c>
    </row>
    <row r="94" spans="1:7" x14ac:dyDescent="0.2">
      <c r="A94" s="759">
        <v>62200000</v>
      </c>
      <c r="B94" s="758" t="s">
        <v>181</v>
      </c>
      <c r="C94" s="758">
        <v>0</v>
      </c>
      <c r="D94" s="758">
        <v>199042.64199999999</v>
      </c>
      <c r="E94" s="758">
        <v>99521.320999999996</v>
      </c>
      <c r="F94" s="758">
        <v>99521.320999999996</v>
      </c>
      <c r="G94" s="758">
        <v>99521.320999999996</v>
      </c>
    </row>
    <row r="95" spans="1:7" x14ac:dyDescent="0.2">
      <c r="A95" s="759">
        <v>62210000</v>
      </c>
      <c r="B95" s="758" t="s">
        <v>398</v>
      </c>
      <c r="C95" s="758">
        <v>0</v>
      </c>
      <c r="D95" s="758">
        <v>30333.332999999999</v>
      </c>
      <c r="E95" s="758">
        <v>33800</v>
      </c>
      <c r="F95" s="758">
        <v>-3466.6669999999999</v>
      </c>
      <c r="G95" s="758">
        <v>-3466.6669999999999</v>
      </c>
    </row>
    <row r="96" spans="1:7" x14ac:dyDescent="0.2">
      <c r="A96" s="759">
        <v>62230000</v>
      </c>
      <c r="B96" s="758" t="s">
        <v>375</v>
      </c>
      <c r="C96" s="758">
        <v>0</v>
      </c>
      <c r="D96" s="758">
        <v>60513.398000000001</v>
      </c>
      <c r="E96" s="758">
        <v>60513.398000000001</v>
      </c>
      <c r="F96" s="758">
        <v>0</v>
      </c>
      <c r="G96" s="758">
        <v>0</v>
      </c>
    </row>
    <row r="97" spans="1:7" x14ac:dyDescent="0.2">
      <c r="A97" s="759">
        <v>62240000</v>
      </c>
      <c r="B97" s="758" t="s">
        <v>267</v>
      </c>
      <c r="C97" s="758">
        <v>0</v>
      </c>
      <c r="D97" s="758">
        <v>257167.9</v>
      </c>
      <c r="E97" s="758">
        <v>259372.9</v>
      </c>
      <c r="F97" s="758">
        <v>-2205</v>
      </c>
      <c r="G97" s="758">
        <v>-2205</v>
      </c>
    </row>
    <row r="98" spans="1:7" x14ac:dyDescent="0.2">
      <c r="A98" s="759">
        <v>62250000</v>
      </c>
      <c r="B98" s="758" t="s">
        <v>268</v>
      </c>
      <c r="C98" s="758">
        <v>0</v>
      </c>
      <c r="D98" s="758">
        <v>300000</v>
      </c>
      <c r="E98" s="758">
        <v>255000</v>
      </c>
      <c r="F98" s="758">
        <v>45000</v>
      </c>
      <c r="G98" s="758">
        <v>45000</v>
      </c>
    </row>
    <row r="99" spans="1:7" x14ac:dyDescent="0.2">
      <c r="A99" s="759">
        <v>62260000</v>
      </c>
      <c r="B99" s="758" t="s">
        <v>7402</v>
      </c>
      <c r="C99" s="758">
        <v>0</v>
      </c>
      <c r="D99" s="758">
        <v>60000</v>
      </c>
      <c r="E99" s="758">
        <v>50000</v>
      </c>
      <c r="F99" s="758">
        <v>10000</v>
      </c>
      <c r="G99" s="758">
        <v>10000</v>
      </c>
    </row>
    <row r="100" spans="1:7" x14ac:dyDescent="0.2">
      <c r="A100" s="759">
        <v>62270000</v>
      </c>
      <c r="B100" s="758" t="s">
        <v>399</v>
      </c>
      <c r="C100" s="758">
        <v>0</v>
      </c>
      <c r="D100" s="758">
        <v>4450.84</v>
      </c>
      <c r="E100" s="758">
        <v>4450.84</v>
      </c>
      <c r="F100" s="758">
        <v>0</v>
      </c>
      <c r="G100" s="758">
        <v>0</v>
      </c>
    </row>
    <row r="101" spans="1:7" x14ac:dyDescent="0.2">
      <c r="A101" s="759">
        <v>62280000</v>
      </c>
      <c r="B101" s="758" t="s">
        <v>7721</v>
      </c>
      <c r="C101" s="758">
        <v>0</v>
      </c>
      <c r="D101" s="758">
        <v>6480</v>
      </c>
      <c r="E101" s="758">
        <v>6480</v>
      </c>
      <c r="F101" s="758">
        <v>0</v>
      </c>
      <c r="G101" s="758">
        <v>0</v>
      </c>
    </row>
    <row r="102" spans="1:7" x14ac:dyDescent="0.2">
      <c r="A102" s="759">
        <v>62300000</v>
      </c>
      <c r="B102" s="758" t="s">
        <v>182</v>
      </c>
      <c r="C102" s="758">
        <v>0</v>
      </c>
      <c r="D102" s="758">
        <v>759000</v>
      </c>
      <c r="E102" s="758">
        <v>759000</v>
      </c>
      <c r="F102" s="758">
        <v>0</v>
      </c>
      <c r="G102" s="758">
        <v>0</v>
      </c>
    </row>
    <row r="103" spans="1:7" x14ac:dyDescent="0.2">
      <c r="A103" s="759">
        <v>62430000</v>
      </c>
      <c r="B103" s="758" t="s">
        <v>159</v>
      </c>
      <c r="C103" s="758">
        <v>0</v>
      </c>
      <c r="D103" s="758">
        <v>307608.45</v>
      </c>
      <c r="E103" s="758">
        <v>307608.45</v>
      </c>
      <c r="F103" s="758">
        <v>0</v>
      </c>
      <c r="G103" s="758">
        <v>0</v>
      </c>
    </row>
    <row r="104" spans="1:7" x14ac:dyDescent="0.2">
      <c r="A104" s="759">
        <v>62510000</v>
      </c>
      <c r="B104" s="758" t="s">
        <v>9643</v>
      </c>
      <c r="C104" s="758">
        <v>0</v>
      </c>
      <c r="D104" s="758">
        <v>140000</v>
      </c>
      <c r="E104" s="758">
        <v>120000</v>
      </c>
      <c r="F104" s="758">
        <v>20000</v>
      </c>
      <c r="G104" s="758">
        <v>20000</v>
      </c>
    </row>
    <row r="105" spans="1:7" x14ac:dyDescent="0.2">
      <c r="A105" s="759">
        <v>62600000</v>
      </c>
      <c r="B105" s="758" t="s">
        <v>188</v>
      </c>
      <c r="C105" s="758">
        <v>0</v>
      </c>
      <c r="D105" s="758">
        <v>23938.421999999999</v>
      </c>
      <c r="E105" s="758">
        <v>23938.421999999999</v>
      </c>
      <c r="F105" s="758">
        <v>0</v>
      </c>
      <c r="G105" s="758">
        <v>0</v>
      </c>
    </row>
    <row r="106" spans="1:7" x14ac:dyDescent="0.2">
      <c r="A106" s="759">
        <v>62780000</v>
      </c>
      <c r="B106" s="758" t="s">
        <v>189</v>
      </c>
      <c r="C106" s="758">
        <v>0</v>
      </c>
      <c r="D106" s="758">
        <v>206179.45</v>
      </c>
      <c r="E106" s="758">
        <v>190808.53</v>
      </c>
      <c r="F106" s="758">
        <v>15370.92</v>
      </c>
      <c r="G106" s="758">
        <v>15370.92</v>
      </c>
    </row>
    <row r="107" spans="1:7" x14ac:dyDescent="0.2">
      <c r="A107" s="759">
        <v>63300000</v>
      </c>
      <c r="B107" s="758" t="s">
        <v>269</v>
      </c>
      <c r="C107" s="758">
        <v>0</v>
      </c>
      <c r="D107" s="758">
        <v>812500.00100000005</v>
      </c>
      <c r="E107" s="758">
        <v>687500.00100000005</v>
      </c>
      <c r="F107" s="758">
        <v>125000</v>
      </c>
      <c r="G107" s="758">
        <v>125000</v>
      </c>
    </row>
    <row r="108" spans="1:7" x14ac:dyDescent="0.2">
      <c r="A108" s="759">
        <v>64001000</v>
      </c>
      <c r="B108" s="758" t="s">
        <v>191</v>
      </c>
      <c r="C108" s="758">
        <v>0</v>
      </c>
      <c r="D108" s="758">
        <v>413518.88400000002</v>
      </c>
      <c r="E108" s="758">
        <v>413518.88400000002</v>
      </c>
      <c r="F108" s="758">
        <v>0</v>
      </c>
      <c r="G108" s="758">
        <v>0</v>
      </c>
    </row>
    <row r="109" spans="1:7" x14ac:dyDescent="0.2">
      <c r="A109" s="759">
        <v>64001100</v>
      </c>
      <c r="B109" s="758" t="s">
        <v>405</v>
      </c>
      <c r="C109" s="758">
        <v>0</v>
      </c>
      <c r="D109" s="758">
        <v>1950000</v>
      </c>
      <c r="E109" s="758">
        <v>1650000</v>
      </c>
      <c r="F109" s="758">
        <v>300000</v>
      </c>
      <c r="G109" s="758">
        <v>300000</v>
      </c>
    </row>
    <row r="110" spans="1:7" x14ac:dyDescent="0.2">
      <c r="A110" s="759">
        <v>64020000</v>
      </c>
      <c r="B110" s="758" t="s">
        <v>406</v>
      </c>
      <c r="C110" s="758">
        <v>0</v>
      </c>
      <c r="D110" s="758">
        <v>2631535.14</v>
      </c>
      <c r="E110" s="758">
        <v>2263928.5070000002</v>
      </c>
      <c r="F110" s="758">
        <v>367606.63299999997</v>
      </c>
      <c r="G110" s="758">
        <v>367606.63299999997</v>
      </c>
    </row>
    <row r="111" spans="1:7" x14ac:dyDescent="0.2">
      <c r="A111" s="759">
        <v>64600100</v>
      </c>
      <c r="B111" s="758" t="s">
        <v>407</v>
      </c>
      <c r="C111" s="758">
        <v>0</v>
      </c>
      <c r="D111" s="758">
        <v>3829487.4890000001</v>
      </c>
      <c r="E111" s="758">
        <v>3569487.4890000001</v>
      </c>
      <c r="F111" s="758">
        <v>260000</v>
      </c>
      <c r="G111" s="758">
        <v>260000</v>
      </c>
    </row>
    <row r="112" spans="1:7" x14ac:dyDescent="0.2">
      <c r="A112" s="759">
        <v>64603000</v>
      </c>
      <c r="B112" s="758" t="s">
        <v>7404</v>
      </c>
      <c r="C112" s="758">
        <v>0</v>
      </c>
      <c r="D112" s="758">
        <v>3192</v>
      </c>
      <c r="E112" s="758">
        <v>3192</v>
      </c>
      <c r="F112" s="758">
        <v>0</v>
      </c>
      <c r="G112" s="758">
        <v>0</v>
      </c>
    </row>
    <row r="113" spans="1:7" x14ac:dyDescent="0.2">
      <c r="A113" s="759">
        <v>64720000</v>
      </c>
      <c r="B113" s="758" t="s">
        <v>194</v>
      </c>
      <c r="C113" s="758">
        <v>0</v>
      </c>
      <c r="D113" s="758">
        <v>962096.11399999994</v>
      </c>
      <c r="E113" s="758">
        <v>829459.68700000003</v>
      </c>
      <c r="F113" s="758">
        <v>132636.427</v>
      </c>
      <c r="G113" s="758">
        <v>132636.427</v>
      </c>
    </row>
    <row r="114" spans="1:7" x14ac:dyDescent="0.2">
      <c r="A114" s="759">
        <v>65110000</v>
      </c>
      <c r="B114" s="758" t="s">
        <v>8978</v>
      </c>
      <c r="C114" s="758">
        <v>0</v>
      </c>
      <c r="D114" s="758">
        <v>136285.06599999999</v>
      </c>
      <c r="E114" s="758">
        <v>121616.49800000001</v>
      </c>
      <c r="F114" s="758">
        <v>14668.567999999999</v>
      </c>
      <c r="G114" s="758">
        <v>14668.567999999999</v>
      </c>
    </row>
    <row r="115" spans="1:7" x14ac:dyDescent="0.2">
      <c r="A115" s="759">
        <v>65110200</v>
      </c>
      <c r="B115" s="758" t="s">
        <v>196</v>
      </c>
      <c r="C115" s="758">
        <v>0</v>
      </c>
      <c r="D115" s="758">
        <v>565062.63419999997</v>
      </c>
      <c r="E115" s="758">
        <v>635300.67819999997</v>
      </c>
      <c r="F115" s="758">
        <v>-70238.043999999994</v>
      </c>
      <c r="G115" s="758">
        <v>-70238.043999999994</v>
      </c>
    </row>
    <row r="116" spans="1:7" x14ac:dyDescent="0.2">
      <c r="A116" s="759">
        <v>65110400</v>
      </c>
      <c r="B116" s="758" t="s">
        <v>197</v>
      </c>
      <c r="C116" s="758">
        <v>0</v>
      </c>
      <c r="D116" s="758">
        <v>867688.41079999995</v>
      </c>
      <c r="E116" s="758">
        <v>975497.92180000001</v>
      </c>
      <c r="F116" s="758">
        <v>-107809.511</v>
      </c>
      <c r="G116" s="758">
        <v>-107809.511</v>
      </c>
    </row>
    <row r="117" spans="1:7" x14ac:dyDescent="0.2">
      <c r="A117" s="759">
        <v>65115000</v>
      </c>
      <c r="B117" s="758" t="s">
        <v>379</v>
      </c>
      <c r="C117" s="758">
        <v>0</v>
      </c>
      <c r="D117" s="758">
        <v>2903.0230000000001</v>
      </c>
      <c r="E117" s="758">
        <v>2903.0230000000001</v>
      </c>
      <c r="F117" s="758">
        <v>0</v>
      </c>
      <c r="G117" s="758">
        <v>0</v>
      </c>
    </row>
    <row r="118" spans="1:7" x14ac:dyDescent="0.2">
      <c r="A118" s="759">
        <v>65150000</v>
      </c>
      <c r="B118" s="758" t="s">
        <v>270</v>
      </c>
      <c r="C118" s="758">
        <v>0</v>
      </c>
      <c r="D118" s="758">
        <v>204248.76800000001</v>
      </c>
      <c r="E118" s="758">
        <v>175272.33</v>
      </c>
      <c r="F118" s="758">
        <v>28976.437999999998</v>
      </c>
      <c r="G118" s="758">
        <v>28976.437999999998</v>
      </c>
    </row>
    <row r="119" spans="1:7" x14ac:dyDescent="0.2">
      <c r="A119" s="759">
        <v>65190000</v>
      </c>
      <c r="B119" s="758" t="s">
        <v>198</v>
      </c>
      <c r="C119" s="758">
        <v>0</v>
      </c>
      <c r="D119" s="758">
        <v>796841.39399999997</v>
      </c>
      <c r="E119" s="758">
        <v>716813.05200000003</v>
      </c>
      <c r="F119" s="758">
        <v>80028.342000000004</v>
      </c>
      <c r="G119" s="758">
        <v>80028.342000000004</v>
      </c>
    </row>
    <row r="120" spans="1:7" x14ac:dyDescent="0.2">
      <c r="A120" s="759">
        <v>65500000</v>
      </c>
      <c r="B120" s="758" t="s">
        <v>400</v>
      </c>
      <c r="C120" s="758">
        <v>0</v>
      </c>
      <c r="D120" s="758">
        <v>423642.92540000001</v>
      </c>
      <c r="E120" s="758">
        <v>337202.72039999999</v>
      </c>
      <c r="F120" s="758">
        <v>86440.205000000002</v>
      </c>
      <c r="G120" s="758">
        <v>86440.205000000002</v>
      </c>
    </row>
    <row r="121" spans="1:7" x14ac:dyDescent="0.2">
      <c r="A121" s="759">
        <v>66520000</v>
      </c>
      <c r="B121" s="758" t="s">
        <v>200</v>
      </c>
      <c r="C121" s="758">
        <v>0</v>
      </c>
      <c r="D121" s="758">
        <v>117948.3</v>
      </c>
      <c r="E121" s="758">
        <v>117948.3</v>
      </c>
      <c r="F121" s="758">
        <v>0</v>
      </c>
      <c r="G121" s="758">
        <v>0</v>
      </c>
    </row>
    <row r="122" spans="1:7" x14ac:dyDescent="0.2">
      <c r="A122" s="759">
        <v>66550000</v>
      </c>
      <c r="B122" s="758" t="s">
        <v>202</v>
      </c>
      <c r="C122" s="758">
        <v>0</v>
      </c>
      <c r="D122" s="758">
        <v>70200</v>
      </c>
      <c r="E122" s="758">
        <v>59400</v>
      </c>
      <c r="F122" s="758">
        <v>10800</v>
      </c>
      <c r="G122" s="758">
        <v>10800</v>
      </c>
    </row>
    <row r="123" spans="1:7" x14ac:dyDescent="0.2">
      <c r="A123" s="759">
        <v>68112000</v>
      </c>
      <c r="B123" s="758" t="s">
        <v>271</v>
      </c>
      <c r="C123" s="758">
        <v>0</v>
      </c>
      <c r="D123" s="758">
        <v>19155420.896000002</v>
      </c>
      <c r="E123" s="758">
        <v>16061293.588</v>
      </c>
      <c r="F123" s="758">
        <v>3094127.3080000002</v>
      </c>
      <c r="G123" s="758">
        <v>3094127.3080000002</v>
      </c>
    </row>
    <row r="124" spans="1:7" x14ac:dyDescent="0.2">
      <c r="A124" s="759">
        <v>68150000</v>
      </c>
      <c r="B124" s="758" t="s">
        <v>9481</v>
      </c>
      <c r="C124" s="758">
        <v>0</v>
      </c>
      <c r="D124" s="758">
        <v>540000</v>
      </c>
      <c r="E124" s="758">
        <v>420000</v>
      </c>
      <c r="F124" s="758">
        <v>120000</v>
      </c>
      <c r="G124" s="758">
        <v>120000</v>
      </c>
    </row>
    <row r="125" spans="1:7" x14ac:dyDescent="0.2">
      <c r="A125" s="759">
        <v>68170000</v>
      </c>
      <c r="B125" s="758" t="s">
        <v>7577</v>
      </c>
      <c r="C125" s="758">
        <v>0</v>
      </c>
      <c r="D125" s="758">
        <v>4173988.5890000002</v>
      </c>
      <c r="E125" s="758">
        <v>3575000</v>
      </c>
      <c r="F125" s="758">
        <v>598988.58900000004</v>
      </c>
      <c r="G125" s="758">
        <v>598988.58900000004</v>
      </c>
    </row>
    <row r="126" spans="1:7" x14ac:dyDescent="0.2">
      <c r="A126" s="759">
        <v>68180000</v>
      </c>
      <c r="B126" s="758" t="s">
        <v>8976</v>
      </c>
      <c r="C126" s="758">
        <v>0</v>
      </c>
      <c r="D126" s="758">
        <v>2900187.3220000002</v>
      </c>
      <c r="E126" s="758">
        <v>2402431.1340000001</v>
      </c>
      <c r="F126" s="758">
        <v>497756.18800000002</v>
      </c>
      <c r="G126" s="758">
        <v>497756.18800000002</v>
      </c>
    </row>
    <row r="127" spans="1:7" x14ac:dyDescent="0.2">
      <c r="A127" s="759">
        <v>70000000</v>
      </c>
      <c r="B127" s="758" t="s">
        <v>205</v>
      </c>
      <c r="C127" s="758">
        <v>0</v>
      </c>
      <c r="D127" s="758">
        <v>3068854.2719999999</v>
      </c>
      <c r="E127" s="758">
        <v>3068854.2719999999</v>
      </c>
      <c r="F127" s="758">
        <v>0</v>
      </c>
      <c r="G127" s="758">
        <v>0</v>
      </c>
    </row>
    <row r="128" spans="1:7" x14ac:dyDescent="0.2">
      <c r="A128" s="759">
        <v>70102000</v>
      </c>
      <c r="B128" s="758" t="s">
        <v>207</v>
      </c>
      <c r="C128" s="758">
        <v>0</v>
      </c>
      <c r="D128" s="758">
        <v>3757277.7850000001</v>
      </c>
      <c r="E128" s="758">
        <v>3757277.7850000001</v>
      </c>
      <c r="F128" s="758">
        <v>0</v>
      </c>
      <c r="G128" s="758">
        <v>0</v>
      </c>
    </row>
    <row r="129" spans="1:7" x14ac:dyDescent="0.2">
      <c r="A129" s="759">
        <v>70600000</v>
      </c>
      <c r="B129" s="758" t="s">
        <v>9644</v>
      </c>
      <c r="C129" s="758">
        <v>0</v>
      </c>
      <c r="D129" s="758">
        <v>736589.96799999999</v>
      </c>
      <c r="E129" s="758">
        <v>736589.96799999999</v>
      </c>
      <c r="F129" s="758">
        <v>0</v>
      </c>
      <c r="G129" s="758">
        <v>0</v>
      </c>
    </row>
    <row r="130" spans="1:7" x14ac:dyDescent="0.2">
      <c r="A130" s="759">
        <v>70600500</v>
      </c>
      <c r="B130" s="758" t="s">
        <v>208</v>
      </c>
      <c r="C130" s="758">
        <v>0</v>
      </c>
      <c r="D130" s="758">
        <v>99340.785000000003</v>
      </c>
      <c r="E130" s="758">
        <v>119622.38099999999</v>
      </c>
      <c r="F130" s="758">
        <v>-20281.596000000001</v>
      </c>
      <c r="G130" s="758">
        <v>-20281.596000000001</v>
      </c>
    </row>
    <row r="131" spans="1:7" x14ac:dyDescent="0.2">
      <c r="A131" s="759">
        <v>71340000</v>
      </c>
      <c r="B131" s="758" t="s">
        <v>382</v>
      </c>
      <c r="C131" s="758">
        <v>0</v>
      </c>
      <c r="D131" s="758">
        <v>2233181.5079999999</v>
      </c>
      <c r="E131" s="758">
        <v>2233181.5079999999</v>
      </c>
      <c r="F131" s="758">
        <v>0</v>
      </c>
      <c r="G131" s="758">
        <v>0</v>
      </c>
    </row>
    <row r="132" spans="1:7" x14ac:dyDescent="0.2">
      <c r="A132" s="759">
        <v>71350000</v>
      </c>
      <c r="B132" s="758" t="s">
        <v>209</v>
      </c>
      <c r="C132" s="758">
        <v>0</v>
      </c>
      <c r="D132" s="758">
        <v>72751442.067399994</v>
      </c>
      <c r="E132" s="758">
        <v>79106071.691400006</v>
      </c>
      <c r="F132" s="758">
        <v>-6354629.6239999998</v>
      </c>
      <c r="G132" s="758">
        <v>-6354629.6239999998</v>
      </c>
    </row>
    <row r="133" spans="1:7" x14ac:dyDescent="0.2">
      <c r="A133" s="759">
        <v>73900000</v>
      </c>
      <c r="B133" s="758" t="s">
        <v>213</v>
      </c>
      <c r="C133" s="758">
        <v>0</v>
      </c>
      <c r="D133" s="758">
        <v>1338639.6599999999</v>
      </c>
      <c r="E133" s="758">
        <v>1582028.689</v>
      </c>
      <c r="F133" s="758">
        <v>-243389.02900000001</v>
      </c>
      <c r="G133" s="758">
        <v>-243389.02900000001</v>
      </c>
    </row>
    <row r="134" spans="1:7" x14ac:dyDescent="0.2">
      <c r="A134" s="759">
        <v>75600000</v>
      </c>
      <c r="B134" s="758" t="s">
        <v>215</v>
      </c>
      <c r="C134" s="758">
        <v>0</v>
      </c>
      <c r="D134" s="758">
        <v>107855.012</v>
      </c>
      <c r="E134" s="758">
        <v>81243.839999999997</v>
      </c>
      <c r="F134" s="758">
        <v>26611.171999999999</v>
      </c>
      <c r="G134" s="758">
        <v>26611.171999999999</v>
      </c>
    </row>
    <row r="135" spans="1:7" x14ac:dyDescent="0.2">
      <c r="C135" s="303">
        <f>SUM(C2:C134)</f>
        <v>1.7618285302889447E-19</v>
      </c>
      <c r="D135" s="303">
        <f t="shared" ref="D135:G135" si="0">SUM(D2:D134)</f>
        <v>608366727.01700032</v>
      </c>
      <c r="E135" s="303">
        <f t="shared" si="0"/>
        <v>608366727.01700008</v>
      </c>
      <c r="F135" s="303">
        <f t="shared" si="0"/>
        <v>-1.673470251262188E-10</v>
      </c>
      <c r="G135" s="303">
        <f t="shared" si="0"/>
        <v>7.2832335717976093E-9</v>
      </c>
    </row>
  </sheetData>
  <autoFilter ref="A1:G57" xr:uid="{00000000-0009-0000-0000-00000F000000}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332"/>
  <sheetViews>
    <sheetView workbookViewId="0">
      <pane ySplit="1" topLeftCell="A282" activePane="bottomLeft" state="frozen"/>
      <selection pane="bottomLeft" activeCell="K301" sqref="J301:K301"/>
    </sheetView>
  </sheetViews>
  <sheetFormatPr baseColWidth="10" defaultColWidth="11.42578125" defaultRowHeight="11.25" x14ac:dyDescent="0.2"/>
  <cols>
    <col min="1" max="1" width="14.42578125" style="302" bestFit="1" customWidth="1"/>
    <col min="2" max="2" width="23.7109375" style="302" bestFit="1" customWidth="1"/>
    <col min="3" max="3" width="15.140625" style="305" bestFit="1" customWidth="1"/>
    <col min="4" max="6" width="13.28515625" style="305" bestFit="1" customWidth="1"/>
    <col min="7" max="7" width="13.5703125" style="305" bestFit="1" customWidth="1"/>
    <col min="8" max="8" width="13.140625" style="305" bestFit="1" customWidth="1"/>
    <col min="9" max="9" width="13.28515625" style="305" bestFit="1" customWidth="1"/>
    <col min="10" max="10" width="25" style="302" customWidth="1"/>
    <col min="11" max="16384" width="11.42578125" style="302"/>
  </cols>
  <sheetData>
    <row r="1" spans="1:11" x14ac:dyDescent="0.2">
      <c r="A1" s="6"/>
      <c r="B1" s="6"/>
      <c r="C1" s="7"/>
      <c r="D1" s="7"/>
      <c r="E1" s="7"/>
      <c r="F1" s="7"/>
      <c r="G1" s="7"/>
      <c r="H1" s="7"/>
      <c r="I1" s="7"/>
      <c r="J1" s="6"/>
    </row>
    <row r="2" spans="1:11" x14ac:dyDescent="0.2">
      <c r="A2" s="10" t="s">
        <v>1</v>
      </c>
      <c r="B2" s="10" t="s">
        <v>0</v>
      </c>
      <c r="C2" s="11" t="s">
        <v>5</v>
      </c>
      <c r="D2" s="11" t="s">
        <v>2</v>
      </c>
      <c r="E2" s="11" t="s">
        <v>260</v>
      </c>
      <c r="F2" s="13" t="s">
        <v>218</v>
      </c>
      <c r="G2" s="13" t="s">
        <v>219</v>
      </c>
      <c r="H2" s="14" t="s">
        <v>6</v>
      </c>
      <c r="I2" s="14" t="s">
        <v>217</v>
      </c>
      <c r="J2" s="8" t="s">
        <v>384</v>
      </c>
    </row>
    <row r="3" spans="1:11" x14ac:dyDescent="0.2">
      <c r="A3" s="10">
        <v>10100000</v>
      </c>
      <c r="B3" s="10" t="s">
        <v>7</v>
      </c>
      <c r="C3" s="11">
        <v>-13500000</v>
      </c>
      <c r="D3" s="11">
        <v>0</v>
      </c>
      <c r="E3" s="11">
        <v>0</v>
      </c>
      <c r="F3" s="13">
        <v>0</v>
      </c>
      <c r="G3" s="13">
        <v>0</v>
      </c>
      <c r="H3" s="14">
        <v>0</v>
      </c>
      <c r="I3" s="14">
        <v>-13500000</v>
      </c>
      <c r="J3" s="8" t="s">
        <v>8</v>
      </c>
      <c r="K3" s="8"/>
    </row>
    <row r="4" spans="1:11" x14ac:dyDescent="0.2">
      <c r="A4" s="10">
        <v>11101000</v>
      </c>
      <c r="B4" s="10" t="s">
        <v>9</v>
      </c>
      <c r="C4" s="11">
        <v>-1200000</v>
      </c>
      <c r="D4" s="11">
        <v>0</v>
      </c>
      <c r="E4" s="11">
        <v>0</v>
      </c>
      <c r="F4" s="13">
        <v>0</v>
      </c>
      <c r="G4" s="13">
        <v>0</v>
      </c>
      <c r="H4" s="14">
        <v>0</v>
      </c>
      <c r="I4" s="14">
        <v>-1200000</v>
      </c>
      <c r="J4" s="8" t="s">
        <v>10</v>
      </c>
      <c r="K4" s="8"/>
    </row>
    <row r="5" spans="1:11" x14ac:dyDescent="0.2">
      <c r="A5" s="10">
        <v>12100000</v>
      </c>
      <c r="B5" s="10" t="s">
        <v>11</v>
      </c>
      <c r="C5" s="11">
        <v>-18641003.848645002</v>
      </c>
      <c r="D5" s="11">
        <v>0</v>
      </c>
      <c r="E5" s="11">
        <v>0</v>
      </c>
      <c r="F5" s="13">
        <v>0</v>
      </c>
      <c r="G5" s="13">
        <v>0</v>
      </c>
      <c r="H5" s="14">
        <v>0</v>
      </c>
      <c r="I5" s="14">
        <v>-18641003.848645002</v>
      </c>
      <c r="J5" s="8" t="s">
        <v>12</v>
      </c>
      <c r="K5" s="8"/>
    </row>
    <row r="6" spans="1:11" x14ac:dyDescent="0.2">
      <c r="A6" s="10">
        <v>12200000</v>
      </c>
      <c r="B6" s="10" t="s">
        <v>272</v>
      </c>
      <c r="C6" s="11">
        <v>0</v>
      </c>
      <c r="D6" s="11">
        <v>0</v>
      </c>
      <c r="E6" s="11">
        <v>0</v>
      </c>
      <c r="F6" s="13">
        <v>0</v>
      </c>
      <c r="G6" s="13">
        <v>0</v>
      </c>
      <c r="H6" s="14">
        <v>0</v>
      </c>
      <c r="I6" s="14">
        <v>0</v>
      </c>
      <c r="J6" s="8"/>
      <c r="K6" s="8"/>
    </row>
    <row r="7" spans="1:11" x14ac:dyDescent="0.2">
      <c r="A7" s="10">
        <v>12800000</v>
      </c>
      <c r="B7" s="10" t="s">
        <v>13</v>
      </c>
      <c r="C7" s="11">
        <v>3022190.1950000003</v>
      </c>
      <c r="D7" s="11">
        <v>0</v>
      </c>
      <c r="E7" s="11">
        <v>0</v>
      </c>
      <c r="F7" s="13">
        <v>0</v>
      </c>
      <c r="G7" s="13">
        <v>0</v>
      </c>
      <c r="H7" s="14">
        <v>0</v>
      </c>
      <c r="I7" s="14">
        <v>3022190.1950000003</v>
      </c>
      <c r="J7" s="8" t="s">
        <v>14</v>
      </c>
      <c r="K7" s="8"/>
    </row>
    <row r="8" spans="1:11" x14ac:dyDescent="0.2">
      <c r="A8" s="10">
        <v>13000000</v>
      </c>
      <c r="B8" s="10" t="s">
        <v>273</v>
      </c>
      <c r="C8" s="11">
        <v>0</v>
      </c>
      <c r="D8" s="11">
        <v>0</v>
      </c>
      <c r="E8" s="11">
        <v>0</v>
      </c>
      <c r="F8" s="13">
        <v>0</v>
      </c>
      <c r="G8" s="13">
        <v>0</v>
      </c>
      <c r="H8" s="14">
        <v>0</v>
      </c>
      <c r="I8" s="14">
        <v>0</v>
      </c>
      <c r="J8" s="8"/>
      <c r="K8" s="8"/>
    </row>
    <row r="9" spans="1:11" x14ac:dyDescent="0.2">
      <c r="A9" s="10">
        <v>14500000</v>
      </c>
      <c r="B9" s="10" t="s">
        <v>15</v>
      </c>
      <c r="C9" s="11">
        <v>-3479108.84</v>
      </c>
      <c r="D9" s="11">
        <v>0</v>
      </c>
      <c r="E9" s="11">
        <v>0</v>
      </c>
      <c r="F9" s="13">
        <v>0</v>
      </c>
      <c r="G9" s="13">
        <v>0</v>
      </c>
      <c r="H9" s="14">
        <v>0</v>
      </c>
      <c r="I9" s="14">
        <v>-3479108.84</v>
      </c>
      <c r="J9" s="8" t="s">
        <v>16</v>
      </c>
      <c r="K9" s="8"/>
    </row>
    <row r="10" spans="1:11" x14ac:dyDescent="0.2">
      <c r="A10" s="10">
        <v>14508000</v>
      </c>
      <c r="B10" s="10" t="s">
        <v>17</v>
      </c>
      <c r="C10" s="11">
        <v>2444357.830000001</v>
      </c>
      <c r="D10" s="11">
        <v>0</v>
      </c>
      <c r="E10" s="11">
        <v>0</v>
      </c>
      <c r="F10" s="13">
        <v>21896.933000000001</v>
      </c>
      <c r="G10" s="13">
        <v>0</v>
      </c>
      <c r="H10" s="14">
        <v>21896.933000000001</v>
      </c>
      <c r="I10" s="14">
        <v>2466254.7630000012</v>
      </c>
      <c r="J10" s="8" t="s">
        <v>18</v>
      </c>
      <c r="K10" s="8"/>
    </row>
    <row r="11" spans="1:11" x14ac:dyDescent="0.2">
      <c r="A11" s="10">
        <v>15100000</v>
      </c>
      <c r="B11" s="10" t="s">
        <v>19</v>
      </c>
      <c r="C11" s="11">
        <v>-22564.956000000006</v>
      </c>
      <c r="D11" s="11">
        <v>0</v>
      </c>
      <c r="E11" s="11">
        <v>0</v>
      </c>
      <c r="F11" s="13">
        <v>0</v>
      </c>
      <c r="G11" s="13">
        <v>0</v>
      </c>
      <c r="H11" s="14">
        <v>0</v>
      </c>
      <c r="I11" s="14">
        <v>-22564.956000000006</v>
      </c>
      <c r="J11" s="8" t="s">
        <v>20</v>
      </c>
      <c r="K11" s="8"/>
    </row>
    <row r="12" spans="1:11" x14ac:dyDescent="0.2">
      <c r="A12" s="10">
        <v>16210250</v>
      </c>
      <c r="B12" s="10" t="s">
        <v>274</v>
      </c>
      <c r="C12" s="11">
        <v>0</v>
      </c>
      <c r="D12" s="11">
        <v>0</v>
      </c>
      <c r="E12" s="11">
        <v>0</v>
      </c>
      <c r="F12" s="13">
        <v>0</v>
      </c>
      <c r="G12" s="13">
        <v>0</v>
      </c>
      <c r="H12" s="14">
        <v>0</v>
      </c>
      <c r="I12" s="14">
        <v>0</v>
      </c>
      <c r="J12" s="8"/>
      <c r="K12" s="8"/>
    </row>
    <row r="13" spans="1:11" x14ac:dyDescent="0.2">
      <c r="A13" s="10">
        <v>16210500</v>
      </c>
      <c r="B13" s="10" t="s">
        <v>21</v>
      </c>
      <c r="C13" s="11">
        <v>-1041666.6629999988</v>
      </c>
      <c r="D13" s="11">
        <v>0</v>
      </c>
      <c r="E13" s="11">
        <v>1000000</v>
      </c>
      <c r="F13" s="13">
        <v>0</v>
      </c>
      <c r="G13" s="13">
        <v>0</v>
      </c>
      <c r="H13" s="14">
        <v>-1000000</v>
      </c>
      <c r="I13" s="14">
        <v>-2041666.6629999988</v>
      </c>
      <c r="J13" s="8" t="s">
        <v>22</v>
      </c>
      <c r="K13" s="8"/>
    </row>
    <row r="14" spans="1:11" x14ac:dyDescent="0.2">
      <c r="A14" s="10">
        <v>16210960</v>
      </c>
      <c r="B14" s="10" t="s">
        <v>275</v>
      </c>
      <c r="C14" s="11">
        <v>0</v>
      </c>
      <c r="D14" s="11">
        <v>0</v>
      </c>
      <c r="E14" s="11">
        <v>0</v>
      </c>
      <c r="F14" s="13">
        <v>0</v>
      </c>
      <c r="G14" s="13">
        <v>0</v>
      </c>
      <c r="H14" s="14">
        <v>0</v>
      </c>
      <c r="I14" s="14">
        <v>0</v>
      </c>
      <c r="J14" s="8"/>
      <c r="K14" s="8"/>
    </row>
    <row r="15" spans="1:11" x14ac:dyDescent="0.2">
      <c r="A15" s="10">
        <v>16400000</v>
      </c>
      <c r="B15" s="10" t="s">
        <v>276</v>
      </c>
      <c r="C15" s="11">
        <v>-235466.95700000023</v>
      </c>
      <c r="D15" s="11">
        <v>0</v>
      </c>
      <c r="E15" s="11">
        <v>0</v>
      </c>
      <c r="F15" s="13">
        <v>0</v>
      </c>
      <c r="G15" s="13">
        <v>0</v>
      </c>
      <c r="H15" s="14">
        <v>0</v>
      </c>
      <c r="I15" s="14">
        <v>-235466.95700000023</v>
      </c>
      <c r="J15" s="8" t="s">
        <v>22</v>
      </c>
      <c r="K15" s="8"/>
    </row>
    <row r="16" spans="1:11" x14ac:dyDescent="0.2">
      <c r="A16" s="10">
        <v>18800000</v>
      </c>
      <c r="B16" s="10" t="s">
        <v>23</v>
      </c>
      <c r="C16" s="11">
        <v>0</v>
      </c>
      <c r="D16" s="11">
        <v>0</v>
      </c>
      <c r="E16" s="11">
        <v>0</v>
      </c>
      <c r="F16" s="13">
        <v>0</v>
      </c>
      <c r="G16" s="13">
        <v>0</v>
      </c>
      <c r="H16" s="14">
        <v>0</v>
      </c>
      <c r="I16" s="14">
        <v>0</v>
      </c>
      <c r="J16" s="8"/>
      <c r="K16" s="8"/>
    </row>
    <row r="17" spans="1:11" x14ac:dyDescent="0.2">
      <c r="A17" s="10">
        <v>21100000</v>
      </c>
      <c r="B17" s="10" t="s">
        <v>277</v>
      </c>
      <c r="C17" s="11">
        <v>0</v>
      </c>
      <c r="D17" s="11">
        <v>0</v>
      </c>
      <c r="E17" s="11">
        <v>0</v>
      </c>
      <c r="F17" s="13">
        <v>0</v>
      </c>
      <c r="G17" s="13">
        <v>0</v>
      </c>
      <c r="H17" s="14">
        <v>0</v>
      </c>
      <c r="I17" s="14">
        <v>0</v>
      </c>
      <c r="J17" s="8"/>
      <c r="K17" s="8"/>
    </row>
    <row r="18" spans="1:11" x14ac:dyDescent="0.2">
      <c r="A18" s="10">
        <v>21300000</v>
      </c>
      <c r="B18" s="10" t="s">
        <v>24</v>
      </c>
      <c r="C18" s="11">
        <v>82659.226999999999</v>
      </c>
      <c r="D18" s="11">
        <v>0</v>
      </c>
      <c r="E18" s="11">
        <v>0</v>
      </c>
      <c r="F18" s="13">
        <v>0</v>
      </c>
      <c r="G18" s="13">
        <v>0</v>
      </c>
      <c r="H18" s="14">
        <v>0</v>
      </c>
      <c r="I18" s="14">
        <v>82659.226999999999</v>
      </c>
      <c r="J18" s="8" t="s">
        <v>25</v>
      </c>
      <c r="K18" s="8"/>
    </row>
    <row r="19" spans="1:11" x14ac:dyDescent="0.2">
      <c r="A19" s="10">
        <v>22000000</v>
      </c>
      <c r="B19" s="10" t="s">
        <v>278</v>
      </c>
      <c r="C19" s="11">
        <v>0</v>
      </c>
      <c r="D19" s="11">
        <v>0</v>
      </c>
      <c r="E19" s="11">
        <v>0</v>
      </c>
      <c r="F19" s="13">
        <v>0</v>
      </c>
      <c r="G19" s="13">
        <v>0</v>
      </c>
      <c r="H19" s="14">
        <v>0</v>
      </c>
      <c r="I19" s="14">
        <v>0</v>
      </c>
      <c r="J19" s="8"/>
      <c r="K19" s="8"/>
    </row>
    <row r="20" spans="1:11" x14ac:dyDescent="0.2">
      <c r="A20" s="10">
        <v>22100000</v>
      </c>
      <c r="B20" s="10" t="s">
        <v>26</v>
      </c>
      <c r="C20" s="11">
        <v>1275724</v>
      </c>
      <c r="D20" s="11">
        <v>0</v>
      </c>
      <c r="E20" s="11">
        <v>0</v>
      </c>
      <c r="F20" s="13">
        <v>0</v>
      </c>
      <c r="G20" s="13">
        <v>0</v>
      </c>
      <c r="H20" s="14">
        <v>0</v>
      </c>
      <c r="I20" s="14">
        <v>1275724</v>
      </c>
      <c r="J20" s="8" t="s">
        <v>25</v>
      </c>
      <c r="K20" s="8"/>
    </row>
    <row r="21" spans="1:11" x14ac:dyDescent="0.2">
      <c r="A21" s="10">
        <v>22160000</v>
      </c>
      <c r="B21" s="10" t="s">
        <v>27</v>
      </c>
      <c r="C21" s="11">
        <v>161921.53600000002</v>
      </c>
      <c r="D21" s="11">
        <v>0</v>
      </c>
      <c r="E21" s="11">
        <v>0</v>
      </c>
      <c r="F21" s="13">
        <v>0</v>
      </c>
      <c r="G21" s="13">
        <v>0</v>
      </c>
      <c r="H21" s="14">
        <v>0</v>
      </c>
      <c r="I21" s="14">
        <v>161921.53600000002</v>
      </c>
      <c r="J21" s="8" t="s">
        <v>25</v>
      </c>
      <c r="K21" s="8"/>
    </row>
    <row r="22" spans="1:11" x14ac:dyDescent="0.2">
      <c r="A22" s="10">
        <v>22200000</v>
      </c>
      <c r="B22" s="10" t="s">
        <v>28</v>
      </c>
      <c r="C22" s="11">
        <v>9027583.0759999994</v>
      </c>
      <c r="D22" s="11">
        <v>0</v>
      </c>
      <c r="E22" s="11">
        <v>0</v>
      </c>
      <c r="F22" s="13">
        <v>0</v>
      </c>
      <c r="G22" s="13">
        <v>0</v>
      </c>
      <c r="H22" s="14">
        <v>0</v>
      </c>
      <c r="I22" s="14">
        <v>9027583.0759999994</v>
      </c>
      <c r="J22" s="8" t="s">
        <v>25</v>
      </c>
      <c r="K22" s="8"/>
    </row>
    <row r="23" spans="1:11" x14ac:dyDescent="0.2">
      <c r="A23" s="10">
        <v>22250000</v>
      </c>
      <c r="B23" s="10" t="s">
        <v>29</v>
      </c>
      <c r="C23" s="11">
        <v>627900.90099999995</v>
      </c>
      <c r="D23" s="11">
        <v>3600</v>
      </c>
      <c r="E23" s="11">
        <v>0</v>
      </c>
      <c r="F23" s="13">
        <v>0</v>
      </c>
      <c r="G23" s="13">
        <v>0</v>
      </c>
      <c r="H23" s="14">
        <v>3600</v>
      </c>
      <c r="I23" s="14">
        <v>631500.90099999995</v>
      </c>
      <c r="J23" s="8" t="s">
        <v>25</v>
      </c>
      <c r="K23" s="8"/>
    </row>
    <row r="24" spans="1:11" x14ac:dyDescent="0.2">
      <c r="A24" s="10">
        <v>22300000</v>
      </c>
      <c r="B24" s="10" t="s">
        <v>30</v>
      </c>
      <c r="C24" s="11">
        <v>70370.611000000004</v>
      </c>
      <c r="D24" s="11">
        <v>0</v>
      </c>
      <c r="E24" s="11">
        <v>0</v>
      </c>
      <c r="F24" s="13">
        <v>0</v>
      </c>
      <c r="G24" s="13">
        <v>0</v>
      </c>
      <c r="H24" s="14">
        <v>0</v>
      </c>
      <c r="I24" s="14">
        <v>70370.611000000004</v>
      </c>
      <c r="J24" s="8" t="s">
        <v>25</v>
      </c>
      <c r="K24" s="8"/>
    </row>
    <row r="25" spans="1:11" x14ac:dyDescent="0.2">
      <c r="A25" s="10">
        <v>22310000</v>
      </c>
      <c r="B25" s="10" t="s">
        <v>31</v>
      </c>
      <c r="C25" s="11">
        <v>0</v>
      </c>
      <c r="D25" s="11">
        <v>0</v>
      </c>
      <c r="E25" s="11">
        <v>0</v>
      </c>
      <c r="F25" s="13">
        <v>0</v>
      </c>
      <c r="G25" s="13">
        <v>0</v>
      </c>
      <c r="H25" s="14">
        <v>0</v>
      </c>
      <c r="I25" s="14">
        <v>0</v>
      </c>
      <c r="J25" s="8"/>
      <c r="K25" s="8"/>
    </row>
    <row r="26" spans="1:11" x14ac:dyDescent="0.2">
      <c r="A26" s="10">
        <v>22340000</v>
      </c>
      <c r="B26" s="10" t="s">
        <v>32</v>
      </c>
      <c r="C26" s="11">
        <v>22155708.875411499</v>
      </c>
      <c r="D26" s="11">
        <v>2034513.781</v>
      </c>
      <c r="E26" s="11">
        <v>0</v>
      </c>
      <c r="F26" s="13">
        <v>0</v>
      </c>
      <c r="G26" s="13">
        <v>0</v>
      </c>
      <c r="H26" s="14">
        <v>2034513.781</v>
      </c>
      <c r="I26" s="14">
        <v>24190222.656411499</v>
      </c>
      <c r="J26" s="8" t="s">
        <v>25</v>
      </c>
      <c r="K26" s="8"/>
    </row>
    <row r="27" spans="1:11" x14ac:dyDescent="0.2">
      <c r="A27" s="10">
        <v>22350000</v>
      </c>
      <c r="B27" s="10" t="s">
        <v>33</v>
      </c>
      <c r="C27" s="11">
        <v>611186.41449999972</v>
      </c>
      <c r="D27" s="11">
        <v>0</v>
      </c>
      <c r="E27" s="11">
        <v>0</v>
      </c>
      <c r="F27" s="13">
        <v>0</v>
      </c>
      <c r="G27" s="13">
        <v>0</v>
      </c>
      <c r="H27" s="14">
        <v>0</v>
      </c>
      <c r="I27" s="14">
        <v>611186.41449999972</v>
      </c>
      <c r="J27" s="8" t="s">
        <v>25</v>
      </c>
      <c r="K27" s="8"/>
    </row>
    <row r="28" spans="1:11" x14ac:dyDescent="0.2">
      <c r="A28" s="10">
        <v>22370000</v>
      </c>
      <c r="B28" s="10" t="s">
        <v>34</v>
      </c>
      <c r="C28" s="11">
        <v>879252.85599999991</v>
      </c>
      <c r="D28" s="11">
        <v>0</v>
      </c>
      <c r="E28" s="11">
        <v>0</v>
      </c>
      <c r="F28" s="13">
        <v>0</v>
      </c>
      <c r="G28" s="13">
        <v>0</v>
      </c>
      <c r="H28" s="14">
        <v>0</v>
      </c>
      <c r="I28" s="14">
        <v>879252.85599999991</v>
      </c>
      <c r="J28" s="8" t="s">
        <v>25</v>
      </c>
      <c r="K28" s="8"/>
    </row>
    <row r="29" spans="1:11" x14ac:dyDescent="0.2">
      <c r="A29" s="10">
        <v>22400000</v>
      </c>
      <c r="B29" s="10" t="s">
        <v>35</v>
      </c>
      <c r="C29" s="11">
        <v>952007.8629999999</v>
      </c>
      <c r="D29" s="11">
        <v>0</v>
      </c>
      <c r="E29" s="11">
        <v>0</v>
      </c>
      <c r="F29" s="13">
        <v>0</v>
      </c>
      <c r="G29" s="13">
        <v>0</v>
      </c>
      <c r="H29" s="14">
        <v>0</v>
      </c>
      <c r="I29" s="14">
        <v>952007.8629999999</v>
      </c>
      <c r="J29" s="8" t="s">
        <v>25</v>
      </c>
      <c r="K29" s="8"/>
    </row>
    <row r="30" spans="1:11" x14ac:dyDescent="0.2">
      <c r="A30" s="10">
        <v>22810000</v>
      </c>
      <c r="B30" s="10" t="s">
        <v>36</v>
      </c>
      <c r="C30" s="11">
        <v>0</v>
      </c>
      <c r="D30" s="11">
        <v>0</v>
      </c>
      <c r="E30" s="11">
        <v>0</v>
      </c>
      <c r="F30" s="13">
        <v>0</v>
      </c>
      <c r="G30" s="13">
        <v>0</v>
      </c>
      <c r="H30" s="14">
        <v>0</v>
      </c>
      <c r="I30" s="14">
        <v>0</v>
      </c>
      <c r="J30" s="8"/>
      <c r="K30" s="8"/>
    </row>
    <row r="31" spans="1:11" x14ac:dyDescent="0.2">
      <c r="A31" s="10">
        <v>22820000</v>
      </c>
      <c r="B31" s="10" t="s">
        <v>37</v>
      </c>
      <c r="C31" s="11">
        <v>253654.61414999995</v>
      </c>
      <c r="D31" s="11">
        <v>3469.4029999999998</v>
      </c>
      <c r="E31" s="11">
        <v>0</v>
      </c>
      <c r="F31" s="13">
        <v>0</v>
      </c>
      <c r="G31" s="13">
        <v>0</v>
      </c>
      <c r="H31" s="14">
        <v>3469.4029999999998</v>
      </c>
      <c r="I31" s="14">
        <v>257124.01714999994</v>
      </c>
      <c r="J31" s="8" t="s">
        <v>25</v>
      </c>
      <c r="K31" s="8"/>
    </row>
    <row r="32" spans="1:11" x14ac:dyDescent="0.2">
      <c r="A32" s="10">
        <v>22830000</v>
      </c>
      <c r="B32" s="10" t="s">
        <v>279</v>
      </c>
      <c r="C32" s="11">
        <v>209497.64699999997</v>
      </c>
      <c r="D32" s="11">
        <v>2502</v>
      </c>
      <c r="E32" s="11">
        <v>0</v>
      </c>
      <c r="F32" s="13">
        <v>0</v>
      </c>
      <c r="G32" s="13">
        <v>0</v>
      </c>
      <c r="H32" s="14">
        <v>2502</v>
      </c>
      <c r="I32" s="14">
        <v>211999.64699999997</v>
      </c>
      <c r="J32" s="8" t="s">
        <v>25</v>
      </c>
      <c r="K32" s="8"/>
    </row>
    <row r="33" spans="1:11" x14ac:dyDescent="0.2">
      <c r="A33" s="10">
        <v>23000000</v>
      </c>
      <c r="B33" s="10" t="s">
        <v>280</v>
      </c>
      <c r="C33" s="11">
        <v>2.0000000404252205E-5</v>
      </c>
      <c r="D33" s="11">
        <v>0</v>
      </c>
      <c r="E33" s="11">
        <v>0</v>
      </c>
      <c r="F33" s="13">
        <v>0</v>
      </c>
      <c r="G33" s="13">
        <v>0</v>
      </c>
      <c r="H33" s="14">
        <v>0</v>
      </c>
      <c r="I33" s="14">
        <v>2.0000000404252205E-5</v>
      </c>
      <c r="J33" s="8"/>
      <c r="K33" s="8"/>
    </row>
    <row r="34" spans="1:11" x14ac:dyDescent="0.2">
      <c r="A34" s="10">
        <v>23200000</v>
      </c>
      <c r="B34" s="10" t="s">
        <v>38</v>
      </c>
      <c r="C34" s="11">
        <v>2440755.4682974992</v>
      </c>
      <c r="D34" s="11">
        <v>0</v>
      </c>
      <c r="E34" s="11">
        <v>2007865.5100000002</v>
      </c>
      <c r="F34" s="13">
        <v>0</v>
      </c>
      <c r="G34" s="13">
        <v>0</v>
      </c>
      <c r="H34" s="14">
        <v>-2007865.5100000002</v>
      </c>
      <c r="I34" s="14">
        <v>432889.95829749899</v>
      </c>
      <c r="J34" s="8" t="s">
        <v>25</v>
      </c>
      <c r="K34" s="8"/>
    </row>
    <row r="35" spans="1:11" x14ac:dyDescent="0.2">
      <c r="A35" s="10">
        <v>23220000</v>
      </c>
      <c r="B35" s="10" t="s">
        <v>39</v>
      </c>
      <c r="C35" s="11">
        <v>97922.936999997386</v>
      </c>
      <c r="D35" s="11">
        <v>33946.854999999996</v>
      </c>
      <c r="E35" s="11">
        <v>0</v>
      </c>
      <c r="F35" s="13">
        <v>0</v>
      </c>
      <c r="G35" s="13">
        <v>0</v>
      </c>
      <c r="H35" s="14">
        <v>33946.854999999996</v>
      </c>
      <c r="I35" s="14">
        <v>131869.7919999974</v>
      </c>
      <c r="J35" s="8" t="s">
        <v>25</v>
      </c>
      <c r="K35" s="8"/>
    </row>
    <row r="36" spans="1:11" x14ac:dyDescent="0.2">
      <c r="A36" s="10">
        <v>23225000</v>
      </c>
      <c r="B36" s="10" t="s">
        <v>281</v>
      </c>
      <c r="C36" s="11">
        <v>0</v>
      </c>
      <c r="D36" s="11">
        <v>0</v>
      </c>
      <c r="E36" s="11">
        <v>0</v>
      </c>
      <c r="F36" s="13">
        <v>0</v>
      </c>
      <c r="G36" s="13">
        <v>0</v>
      </c>
      <c r="H36" s="14">
        <v>0</v>
      </c>
      <c r="I36" s="14">
        <v>0</v>
      </c>
      <c r="J36" s="8"/>
      <c r="K36" s="8"/>
    </row>
    <row r="37" spans="1:11" x14ac:dyDescent="0.2">
      <c r="A37" s="10">
        <v>23231000</v>
      </c>
      <c r="B37" s="10" t="s">
        <v>282</v>
      </c>
      <c r="C37" s="11">
        <v>0</v>
      </c>
      <c r="D37" s="11">
        <v>0</v>
      </c>
      <c r="E37" s="11">
        <v>0</v>
      </c>
      <c r="F37" s="13">
        <v>0</v>
      </c>
      <c r="G37" s="13">
        <v>0</v>
      </c>
      <c r="H37" s="14">
        <v>0</v>
      </c>
      <c r="I37" s="14">
        <v>0</v>
      </c>
      <c r="J37" s="8"/>
      <c r="K37" s="8"/>
    </row>
    <row r="38" spans="1:11" x14ac:dyDescent="0.2">
      <c r="A38" s="10">
        <v>23237000</v>
      </c>
      <c r="B38" s="10" t="s">
        <v>283</v>
      </c>
      <c r="C38" s="11">
        <v>0</v>
      </c>
      <c r="D38" s="11">
        <v>0</v>
      </c>
      <c r="E38" s="11">
        <v>0</v>
      </c>
      <c r="F38" s="13">
        <v>0</v>
      </c>
      <c r="G38" s="13">
        <v>0</v>
      </c>
      <c r="H38" s="14">
        <v>0</v>
      </c>
      <c r="I38" s="14">
        <v>0</v>
      </c>
      <c r="J38" s="8"/>
      <c r="K38" s="8"/>
    </row>
    <row r="39" spans="1:11" x14ac:dyDescent="0.2">
      <c r="A39" s="10">
        <v>23250000</v>
      </c>
      <c r="B39" s="10" t="s">
        <v>284</v>
      </c>
      <c r="C39" s="11">
        <v>0</v>
      </c>
      <c r="D39" s="11">
        <v>0</v>
      </c>
      <c r="E39" s="11">
        <v>0</v>
      </c>
      <c r="F39" s="13">
        <v>0</v>
      </c>
      <c r="G39" s="13">
        <v>0</v>
      </c>
      <c r="H39" s="14">
        <v>0</v>
      </c>
      <c r="I39" s="14">
        <v>0</v>
      </c>
      <c r="J39" s="8"/>
      <c r="K39" s="8"/>
    </row>
    <row r="40" spans="1:11" x14ac:dyDescent="0.2">
      <c r="A40" s="10">
        <v>23800000</v>
      </c>
      <c r="B40" s="10" t="s">
        <v>285</v>
      </c>
      <c r="C40" s="11">
        <v>0</v>
      </c>
      <c r="D40" s="11">
        <v>0</v>
      </c>
      <c r="E40" s="11">
        <v>0</v>
      </c>
      <c r="F40" s="13">
        <v>0</v>
      </c>
      <c r="G40" s="13">
        <v>0</v>
      </c>
      <c r="H40" s="14">
        <v>0</v>
      </c>
      <c r="I40" s="14">
        <v>0</v>
      </c>
      <c r="J40" s="8"/>
      <c r="K40" s="8"/>
    </row>
    <row r="41" spans="1:11" x14ac:dyDescent="0.2">
      <c r="A41" s="10">
        <v>24000000</v>
      </c>
      <c r="B41" s="10" t="s">
        <v>40</v>
      </c>
      <c r="C41" s="11">
        <v>790367.65</v>
      </c>
      <c r="D41" s="11">
        <v>0</v>
      </c>
      <c r="E41" s="11">
        <v>0</v>
      </c>
      <c r="F41" s="13">
        <v>0</v>
      </c>
      <c r="G41" s="13">
        <v>0</v>
      </c>
      <c r="H41" s="14">
        <v>0</v>
      </c>
      <c r="I41" s="14">
        <v>790367.65</v>
      </c>
      <c r="J41" s="8" t="s">
        <v>25</v>
      </c>
      <c r="K41" s="8"/>
    </row>
    <row r="42" spans="1:11" x14ac:dyDescent="0.2">
      <c r="A42" s="10">
        <v>25100000</v>
      </c>
      <c r="B42" s="10" t="s">
        <v>286</v>
      </c>
      <c r="C42" s="11">
        <v>0</v>
      </c>
      <c r="D42" s="11">
        <v>0</v>
      </c>
      <c r="E42" s="11">
        <v>0</v>
      </c>
      <c r="F42" s="13">
        <v>0</v>
      </c>
      <c r="G42" s="13">
        <v>0</v>
      </c>
      <c r="H42" s="14">
        <v>0</v>
      </c>
      <c r="I42" s="14">
        <v>0</v>
      </c>
      <c r="J42" s="8"/>
      <c r="K42" s="8"/>
    </row>
    <row r="43" spans="1:11" x14ac:dyDescent="0.2">
      <c r="A43" s="10">
        <v>25110000</v>
      </c>
      <c r="B43" s="10" t="s">
        <v>41</v>
      </c>
      <c r="C43" s="11">
        <v>266820</v>
      </c>
      <c r="D43" s="11">
        <v>0</v>
      </c>
      <c r="E43" s="11">
        <v>0</v>
      </c>
      <c r="F43" s="13">
        <v>0</v>
      </c>
      <c r="G43" s="13">
        <v>0</v>
      </c>
      <c r="H43" s="14">
        <v>0</v>
      </c>
      <c r="I43" s="14">
        <v>266820</v>
      </c>
      <c r="J43" s="8" t="s">
        <v>42</v>
      </c>
      <c r="K43" s="8"/>
    </row>
    <row r="44" spans="1:11" x14ac:dyDescent="0.2">
      <c r="A44" s="10">
        <v>25120000</v>
      </c>
      <c r="B44" s="10" t="s">
        <v>287</v>
      </c>
      <c r="C44" s="11">
        <v>512700</v>
      </c>
      <c r="D44" s="11">
        <v>0</v>
      </c>
      <c r="E44" s="11">
        <v>0</v>
      </c>
      <c r="F44" s="13">
        <v>0</v>
      </c>
      <c r="G44" s="13">
        <v>0</v>
      </c>
      <c r="H44" s="14">
        <v>0</v>
      </c>
      <c r="I44" s="14">
        <v>512700</v>
      </c>
      <c r="J44" s="8" t="s">
        <v>42</v>
      </c>
      <c r="K44" s="8"/>
    </row>
    <row r="45" spans="1:11" x14ac:dyDescent="0.2">
      <c r="A45" s="10">
        <v>25130000</v>
      </c>
      <c r="B45" s="10" t="s">
        <v>43</v>
      </c>
      <c r="C45" s="11">
        <v>677000</v>
      </c>
      <c r="D45" s="11">
        <v>0</v>
      </c>
      <c r="E45" s="11">
        <v>0</v>
      </c>
      <c r="F45" s="13">
        <v>0</v>
      </c>
      <c r="G45" s="13">
        <v>0</v>
      </c>
      <c r="H45" s="14">
        <v>0</v>
      </c>
      <c r="I45" s="14">
        <v>677000</v>
      </c>
      <c r="J45" s="8" t="s">
        <v>42</v>
      </c>
      <c r="K45" s="8"/>
    </row>
    <row r="46" spans="1:11" x14ac:dyDescent="0.2">
      <c r="A46" s="10">
        <v>25140000</v>
      </c>
      <c r="B46" s="10" t="s">
        <v>44</v>
      </c>
      <c r="C46" s="11">
        <v>3150000</v>
      </c>
      <c r="D46" s="11">
        <v>0</v>
      </c>
      <c r="E46" s="11">
        <v>0</v>
      </c>
      <c r="F46" s="13">
        <v>0</v>
      </c>
      <c r="G46" s="13">
        <v>0</v>
      </c>
      <c r="H46" s="14">
        <v>0</v>
      </c>
      <c r="I46" s="14">
        <v>3150000</v>
      </c>
      <c r="J46" s="8" t="s">
        <v>42</v>
      </c>
      <c r="K46" s="8"/>
    </row>
    <row r="47" spans="1:11" x14ac:dyDescent="0.2">
      <c r="A47" s="10">
        <v>25700000</v>
      </c>
      <c r="B47" s="10" t="s">
        <v>288</v>
      </c>
      <c r="C47" s="11">
        <v>0</v>
      </c>
      <c r="D47" s="11">
        <v>0</v>
      </c>
      <c r="E47" s="11">
        <v>0</v>
      </c>
      <c r="F47" s="13">
        <v>0</v>
      </c>
      <c r="G47" s="13">
        <v>0</v>
      </c>
      <c r="H47" s="14">
        <v>0</v>
      </c>
      <c r="I47" s="14">
        <v>0</v>
      </c>
      <c r="J47" s="8" t="s">
        <v>42</v>
      </c>
      <c r="K47" s="8"/>
    </row>
    <row r="48" spans="1:11" x14ac:dyDescent="0.2">
      <c r="A48" s="10">
        <v>25810000</v>
      </c>
      <c r="B48" s="10" t="s">
        <v>289</v>
      </c>
      <c r="C48" s="11">
        <v>0</v>
      </c>
      <c r="D48" s="11">
        <v>0</v>
      </c>
      <c r="E48" s="11">
        <v>0</v>
      </c>
      <c r="F48" s="13">
        <v>0</v>
      </c>
      <c r="G48" s="13">
        <v>0</v>
      </c>
      <c r="H48" s="14">
        <v>0</v>
      </c>
      <c r="I48" s="14">
        <v>0</v>
      </c>
      <c r="J48" s="8"/>
      <c r="K48" s="8"/>
    </row>
    <row r="49" spans="1:11" x14ac:dyDescent="0.2">
      <c r="A49" s="10">
        <v>26400000</v>
      </c>
      <c r="B49" s="10" t="s">
        <v>290</v>
      </c>
      <c r="C49" s="11">
        <v>0</v>
      </c>
      <c r="D49" s="11">
        <v>0</v>
      </c>
      <c r="E49" s="11">
        <v>0</v>
      </c>
      <c r="F49" s="13">
        <v>0</v>
      </c>
      <c r="G49" s="13">
        <v>0</v>
      </c>
      <c r="H49" s="14">
        <v>0</v>
      </c>
      <c r="I49" s="14">
        <v>0</v>
      </c>
      <c r="J49" s="8"/>
      <c r="K49" s="8"/>
    </row>
    <row r="50" spans="1:11" x14ac:dyDescent="0.2">
      <c r="A50" s="10">
        <v>26430000</v>
      </c>
      <c r="B50" s="10" t="s">
        <v>291</v>
      </c>
      <c r="C50" s="11">
        <v>0</v>
      </c>
      <c r="D50" s="11">
        <v>0</v>
      </c>
      <c r="E50" s="11">
        <v>0</v>
      </c>
      <c r="F50" s="13">
        <v>0</v>
      </c>
      <c r="G50" s="13">
        <v>0</v>
      </c>
      <c r="H50" s="14">
        <v>0</v>
      </c>
      <c r="I50" s="14">
        <v>0</v>
      </c>
      <c r="J50" s="8"/>
      <c r="K50" s="8"/>
    </row>
    <row r="51" spans="1:11" x14ac:dyDescent="0.2">
      <c r="A51" s="10">
        <v>26500000</v>
      </c>
      <c r="B51" s="10" t="s">
        <v>45</v>
      </c>
      <c r="C51" s="11">
        <v>105597.1440000002</v>
      </c>
      <c r="D51" s="11">
        <v>0</v>
      </c>
      <c r="E51" s="11">
        <v>0</v>
      </c>
      <c r="F51" s="13">
        <v>0</v>
      </c>
      <c r="G51" s="13">
        <v>0</v>
      </c>
      <c r="H51" s="14">
        <v>0</v>
      </c>
      <c r="I51" s="14">
        <v>105597.1440000002</v>
      </c>
      <c r="J51" s="8" t="s">
        <v>46</v>
      </c>
      <c r="K51" s="8"/>
    </row>
    <row r="52" spans="1:11" x14ac:dyDescent="0.2">
      <c r="A52" s="10">
        <v>26510000</v>
      </c>
      <c r="B52" s="10" t="s">
        <v>292</v>
      </c>
      <c r="C52" s="11">
        <v>0</v>
      </c>
      <c r="D52" s="11">
        <v>0</v>
      </c>
      <c r="E52" s="11">
        <v>0</v>
      </c>
      <c r="F52" s="13">
        <v>0</v>
      </c>
      <c r="G52" s="13">
        <v>0</v>
      </c>
      <c r="H52" s="14">
        <v>0</v>
      </c>
      <c r="I52" s="14">
        <v>0</v>
      </c>
      <c r="J52" s="8"/>
      <c r="K52" s="8"/>
    </row>
    <row r="53" spans="1:11" x14ac:dyDescent="0.2">
      <c r="A53" s="10">
        <v>26550000</v>
      </c>
      <c r="B53" s="10" t="s">
        <v>293</v>
      </c>
      <c r="C53" s="11">
        <v>0</v>
      </c>
      <c r="D53" s="11">
        <v>0</v>
      </c>
      <c r="E53" s="11">
        <v>0</v>
      </c>
      <c r="F53" s="13">
        <v>0</v>
      </c>
      <c r="G53" s="13">
        <v>0</v>
      </c>
      <c r="H53" s="14">
        <v>0</v>
      </c>
      <c r="I53" s="14">
        <v>0</v>
      </c>
      <c r="J53" s="8"/>
      <c r="K53" s="8"/>
    </row>
    <row r="54" spans="1:11" x14ac:dyDescent="0.2">
      <c r="A54" s="10">
        <v>27100000</v>
      </c>
      <c r="B54" s="10" t="s">
        <v>294</v>
      </c>
      <c r="C54" s="11">
        <v>0</v>
      </c>
      <c r="D54" s="11">
        <v>0</v>
      </c>
      <c r="E54" s="11">
        <v>0</v>
      </c>
      <c r="F54" s="13">
        <v>0</v>
      </c>
      <c r="G54" s="13">
        <v>0</v>
      </c>
      <c r="H54" s="14">
        <v>0</v>
      </c>
      <c r="I54" s="14">
        <v>0</v>
      </c>
      <c r="J54" s="8"/>
      <c r="K54" s="8"/>
    </row>
    <row r="55" spans="1:11" x14ac:dyDescent="0.2">
      <c r="A55" s="10">
        <v>28100000</v>
      </c>
      <c r="B55" s="10" t="s">
        <v>295</v>
      </c>
      <c r="C55" s="11">
        <v>0</v>
      </c>
      <c r="D55" s="11">
        <v>0</v>
      </c>
      <c r="E55" s="11">
        <v>0</v>
      </c>
      <c r="F55" s="13">
        <v>0</v>
      </c>
      <c r="G55" s="13">
        <v>0</v>
      </c>
      <c r="H55" s="14">
        <v>0</v>
      </c>
      <c r="I55" s="14">
        <v>0</v>
      </c>
      <c r="J55" s="8"/>
      <c r="K55" s="8"/>
    </row>
    <row r="56" spans="1:11" x14ac:dyDescent="0.2">
      <c r="A56" s="10">
        <v>28110000</v>
      </c>
      <c r="B56" s="10" t="s">
        <v>296</v>
      </c>
      <c r="C56" s="11">
        <v>0</v>
      </c>
      <c r="D56" s="11">
        <v>0</v>
      </c>
      <c r="E56" s="11">
        <v>0</v>
      </c>
      <c r="F56" s="13">
        <v>0</v>
      </c>
      <c r="G56" s="13">
        <v>0</v>
      </c>
      <c r="H56" s="14">
        <v>0</v>
      </c>
      <c r="I56" s="14">
        <v>0</v>
      </c>
      <c r="J56" s="8"/>
      <c r="K56" s="8"/>
    </row>
    <row r="57" spans="1:11" x14ac:dyDescent="0.2">
      <c r="A57" s="10">
        <v>28130000</v>
      </c>
      <c r="B57" s="10" t="s">
        <v>24</v>
      </c>
      <c r="C57" s="11">
        <v>-69632.853999999978</v>
      </c>
      <c r="D57" s="11">
        <v>0</v>
      </c>
      <c r="E57" s="11">
        <v>0</v>
      </c>
      <c r="F57" s="13">
        <v>0</v>
      </c>
      <c r="G57" s="13">
        <v>515.02099999999996</v>
      </c>
      <c r="H57" s="14">
        <v>-515.02099999999996</v>
      </c>
      <c r="I57" s="14">
        <v>-70147.874999999971</v>
      </c>
      <c r="J57" s="8" t="s">
        <v>47</v>
      </c>
      <c r="K57" s="8"/>
    </row>
    <row r="58" spans="1:11" x14ac:dyDescent="0.2">
      <c r="A58" s="10">
        <v>28216000</v>
      </c>
      <c r="B58" s="10" t="s">
        <v>48</v>
      </c>
      <c r="C58" s="11">
        <v>-146458.94400000005</v>
      </c>
      <c r="D58" s="11">
        <v>0</v>
      </c>
      <c r="E58" s="11">
        <v>0</v>
      </c>
      <c r="F58" s="13">
        <v>0</v>
      </c>
      <c r="G58" s="13">
        <v>239.62</v>
      </c>
      <c r="H58" s="14">
        <v>-239.62</v>
      </c>
      <c r="I58" s="14">
        <v>-146698.56400000004</v>
      </c>
      <c r="J58" s="8" t="s">
        <v>47</v>
      </c>
      <c r="K58" s="8"/>
    </row>
    <row r="59" spans="1:11" x14ac:dyDescent="0.2">
      <c r="A59" s="10">
        <v>28220000</v>
      </c>
      <c r="B59" s="10" t="s">
        <v>49</v>
      </c>
      <c r="C59" s="11">
        <v>-3425298.077</v>
      </c>
      <c r="D59" s="11">
        <v>0</v>
      </c>
      <c r="E59" s="11">
        <v>0</v>
      </c>
      <c r="F59" s="13">
        <v>0</v>
      </c>
      <c r="G59" s="13">
        <v>38446.891000000003</v>
      </c>
      <c r="H59" s="14">
        <v>-38446.891000000003</v>
      </c>
      <c r="I59" s="14">
        <v>-3463744.9679999999</v>
      </c>
      <c r="J59" s="8" t="s">
        <v>47</v>
      </c>
      <c r="K59" s="8"/>
    </row>
    <row r="60" spans="1:11" x14ac:dyDescent="0.2">
      <c r="A60" s="10">
        <v>28225000</v>
      </c>
      <c r="B60" s="10" t="s">
        <v>50</v>
      </c>
      <c r="C60" s="11">
        <v>-226259.30199999997</v>
      </c>
      <c r="D60" s="11">
        <v>0</v>
      </c>
      <c r="E60" s="11">
        <v>0</v>
      </c>
      <c r="F60" s="13">
        <v>0</v>
      </c>
      <c r="G60" s="13">
        <v>5227.4549999999999</v>
      </c>
      <c r="H60" s="14">
        <v>-5227.4549999999999</v>
      </c>
      <c r="I60" s="14">
        <v>-231486.75699999995</v>
      </c>
      <c r="J60" s="8" t="s">
        <v>47</v>
      </c>
      <c r="K60" s="8"/>
    </row>
    <row r="61" spans="1:11" x14ac:dyDescent="0.2">
      <c r="A61" s="10">
        <v>28230000</v>
      </c>
      <c r="B61" s="10" t="s">
        <v>263</v>
      </c>
      <c r="C61" s="11">
        <v>-29673.222999999998</v>
      </c>
      <c r="D61" s="11">
        <v>0</v>
      </c>
      <c r="E61" s="11">
        <v>0</v>
      </c>
      <c r="F61" s="13">
        <v>0</v>
      </c>
      <c r="G61" s="13">
        <v>1977.723</v>
      </c>
      <c r="H61" s="14">
        <v>-1977.723</v>
      </c>
      <c r="I61" s="14">
        <v>-31650.945999999996</v>
      </c>
      <c r="J61" s="8" t="s">
        <v>47</v>
      </c>
      <c r="K61" s="8"/>
    </row>
    <row r="62" spans="1:11" x14ac:dyDescent="0.2">
      <c r="A62" s="10">
        <v>28234000</v>
      </c>
      <c r="B62" s="10" t="s">
        <v>51</v>
      </c>
      <c r="C62" s="11">
        <v>-14832706.427999999</v>
      </c>
      <c r="D62" s="11">
        <v>0</v>
      </c>
      <c r="E62" s="11">
        <v>0</v>
      </c>
      <c r="F62" s="13">
        <v>0</v>
      </c>
      <c r="G62" s="13">
        <v>138165.04999999999</v>
      </c>
      <c r="H62" s="14">
        <v>-138165.04999999999</v>
      </c>
      <c r="I62" s="14">
        <v>-14970871.478</v>
      </c>
      <c r="J62" s="8" t="s">
        <v>47</v>
      </c>
      <c r="K62" s="8"/>
    </row>
    <row r="63" spans="1:11" x14ac:dyDescent="0.2">
      <c r="A63" s="10">
        <v>28235000</v>
      </c>
      <c r="B63" s="10" t="s">
        <v>52</v>
      </c>
      <c r="C63" s="11">
        <v>-313794.90099999995</v>
      </c>
      <c r="D63" s="11">
        <v>0</v>
      </c>
      <c r="E63" s="11">
        <v>0</v>
      </c>
      <c r="F63" s="13">
        <v>0</v>
      </c>
      <c r="G63" s="13">
        <v>6407.8019999999997</v>
      </c>
      <c r="H63" s="14">
        <v>-6407.8019999999997</v>
      </c>
      <c r="I63" s="14">
        <v>-320202.70299999998</v>
      </c>
      <c r="J63" s="8" t="s">
        <v>47</v>
      </c>
      <c r="K63" s="8"/>
    </row>
    <row r="64" spans="1:11" x14ac:dyDescent="0.2">
      <c r="A64" s="10">
        <v>28237000</v>
      </c>
      <c r="B64" s="10" t="s">
        <v>53</v>
      </c>
      <c r="C64" s="11">
        <v>-740563.69700000004</v>
      </c>
      <c r="D64" s="11">
        <v>0</v>
      </c>
      <c r="E64" s="11">
        <v>0</v>
      </c>
      <c r="F64" s="13">
        <v>0</v>
      </c>
      <c r="G64" s="13">
        <v>1865.9369999999999</v>
      </c>
      <c r="H64" s="14">
        <v>-1865.9369999999999</v>
      </c>
      <c r="I64" s="14">
        <v>-742429.63400000008</v>
      </c>
      <c r="J64" s="8" t="s">
        <v>47</v>
      </c>
      <c r="K64" s="8"/>
    </row>
    <row r="65" spans="1:11" x14ac:dyDescent="0.2">
      <c r="A65" s="10">
        <v>28240000</v>
      </c>
      <c r="B65" s="10" t="s">
        <v>54</v>
      </c>
      <c r="C65" s="11">
        <v>-542085.64800000004</v>
      </c>
      <c r="D65" s="11">
        <v>0</v>
      </c>
      <c r="E65" s="11">
        <v>0</v>
      </c>
      <c r="F65" s="13">
        <v>0</v>
      </c>
      <c r="G65" s="13">
        <v>11501.322</v>
      </c>
      <c r="H65" s="14">
        <v>-11501.322</v>
      </c>
      <c r="I65" s="14">
        <v>-553586.97000000009</v>
      </c>
      <c r="J65" s="8" t="s">
        <v>47</v>
      </c>
      <c r="K65" s="8"/>
    </row>
    <row r="66" spans="1:11" x14ac:dyDescent="0.2">
      <c r="A66" s="10">
        <v>28282000</v>
      </c>
      <c r="B66" s="10" t="s">
        <v>55</v>
      </c>
      <c r="C66" s="11">
        <v>-193185.79300000001</v>
      </c>
      <c r="D66" s="11">
        <v>0</v>
      </c>
      <c r="E66" s="11">
        <v>0</v>
      </c>
      <c r="F66" s="13">
        <v>0</v>
      </c>
      <c r="G66" s="13">
        <v>4339.0870000000004</v>
      </c>
      <c r="H66" s="14">
        <v>-4339.0870000000004</v>
      </c>
      <c r="I66" s="14">
        <v>-197524.88</v>
      </c>
      <c r="J66" s="8" t="s">
        <v>47</v>
      </c>
      <c r="K66" s="8"/>
    </row>
    <row r="67" spans="1:11" x14ac:dyDescent="0.2">
      <c r="A67" s="10">
        <v>28283000</v>
      </c>
      <c r="B67" s="10" t="s">
        <v>264</v>
      </c>
      <c r="C67" s="11">
        <v>-106431.34700000001</v>
      </c>
      <c r="D67" s="11">
        <v>0</v>
      </c>
      <c r="E67" s="11">
        <v>0</v>
      </c>
      <c r="F67" s="13">
        <v>0</v>
      </c>
      <c r="G67" s="13">
        <v>1800.7739999999999</v>
      </c>
      <c r="H67" s="14">
        <v>-1800.7739999999999</v>
      </c>
      <c r="I67" s="14">
        <v>-108232.12100000001</v>
      </c>
      <c r="J67" s="8" t="s">
        <v>47</v>
      </c>
      <c r="K67" s="8"/>
    </row>
    <row r="68" spans="1:11" x14ac:dyDescent="0.2">
      <c r="A68" s="10">
        <v>28400000</v>
      </c>
      <c r="B68" s="10" t="s">
        <v>56</v>
      </c>
      <c r="C68" s="11">
        <v>-447542.06399999984</v>
      </c>
      <c r="D68" s="11">
        <v>0</v>
      </c>
      <c r="E68" s="11">
        <v>0</v>
      </c>
      <c r="F68" s="13">
        <v>0</v>
      </c>
      <c r="G68" s="13">
        <v>7228.6139999999996</v>
      </c>
      <c r="H68" s="14">
        <v>-7228.6139999999996</v>
      </c>
      <c r="I68" s="14">
        <v>-454770.67799999984</v>
      </c>
      <c r="J68" s="8" t="s">
        <v>47</v>
      </c>
      <c r="K68" s="8"/>
    </row>
    <row r="69" spans="1:11" x14ac:dyDescent="0.2">
      <c r="A69" s="10">
        <v>29220000</v>
      </c>
      <c r="B69" s="10" t="s">
        <v>297</v>
      </c>
      <c r="C69" s="11">
        <v>0</v>
      </c>
      <c r="D69" s="11">
        <v>0</v>
      </c>
      <c r="E69" s="11">
        <v>0</v>
      </c>
      <c r="F69" s="13">
        <v>0</v>
      </c>
      <c r="G69" s="13">
        <v>0</v>
      </c>
      <c r="H69" s="14">
        <v>0</v>
      </c>
      <c r="I69" s="14">
        <v>0</v>
      </c>
      <c r="J69" s="8"/>
      <c r="K69" s="8"/>
    </row>
    <row r="70" spans="1:11" x14ac:dyDescent="0.2">
      <c r="A70" s="10">
        <v>29234000</v>
      </c>
      <c r="B70" s="10" t="s">
        <v>388</v>
      </c>
      <c r="C70" s="11">
        <v>-223876.883</v>
      </c>
      <c r="D70" s="11">
        <v>0</v>
      </c>
      <c r="E70" s="11">
        <v>0</v>
      </c>
      <c r="F70" s="13">
        <v>0</v>
      </c>
      <c r="G70" s="13">
        <v>0</v>
      </c>
      <c r="H70" s="14">
        <v>0</v>
      </c>
      <c r="I70" s="14">
        <v>-223876.883</v>
      </c>
      <c r="J70" s="8" t="s">
        <v>401</v>
      </c>
      <c r="K70" s="8"/>
    </row>
    <row r="71" spans="1:11" x14ac:dyDescent="0.2">
      <c r="A71" s="10">
        <v>29235000</v>
      </c>
      <c r="B71" s="10" t="s">
        <v>389</v>
      </c>
      <c r="C71" s="11">
        <v>-8171.4290000000001</v>
      </c>
      <c r="D71" s="11">
        <v>0</v>
      </c>
      <c r="E71" s="11">
        <v>0</v>
      </c>
      <c r="F71" s="13">
        <v>0</v>
      </c>
      <c r="G71" s="13">
        <v>0</v>
      </c>
      <c r="H71" s="14">
        <v>0</v>
      </c>
      <c r="I71" s="14">
        <v>-8171.4290000000001</v>
      </c>
      <c r="J71" s="8" t="s">
        <v>401</v>
      </c>
      <c r="K71" s="8"/>
    </row>
    <row r="72" spans="1:11" x14ac:dyDescent="0.2">
      <c r="A72" s="10">
        <v>29282000</v>
      </c>
      <c r="B72" s="10" t="s">
        <v>298</v>
      </c>
      <c r="C72" s="11">
        <v>0</v>
      </c>
      <c r="D72" s="11">
        <v>0</v>
      </c>
      <c r="E72" s="11">
        <v>0</v>
      </c>
      <c r="F72" s="13">
        <v>0</v>
      </c>
      <c r="G72" s="13">
        <v>0</v>
      </c>
      <c r="H72" s="14">
        <v>0</v>
      </c>
      <c r="I72" s="14">
        <v>0</v>
      </c>
      <c r="J72" s="8"/>
      <c r="K72" s="8"/>
    </row>
    <row r="73" spans="1:11" x14ac:dyDescent="0.2">
      <c r="A73" s="10">
        <v>29286500</v>
      </c>
      <c r="B73" s="10" t="s">
        <v>299</v>
      </c>
      <c r="C73" s="11">
        <v>0</v>
      </c>
      <c r="D73" s="11">
        <v>0</v>
      </c>
      <c r="E73" s="11">
        <v>0</v>
      </c>
      <c r="F73" s="13">
        <v>0</v>
      </c>
      <c r="G73" s="13">
        <v>0</v>
      </c>
      <c r="H73" s="14">
        <v>0</v>
      </c>
      <c r="I73" s="14">
        <v>0</v>
      </c>
      <c r="J73" s="8" t="s">
        <v>25</v>
      </c>
      <c r="K73" s="8"/>
    </row>
    <row r="74" spans="1:11" x14ac:dyDescent="0.2">
      <c r="A74" s="10">
        <v>29700000</v>
      </c>
      <c r="B74" s="10" t="s">
        <v>57</v>
      </c>
      <c r="C74" s="11">
        <v>-29257.384999999998</v>
      </c>
      <c r="D74" s="11">
        <v>0</v>
      </c>
      <c r="E74" s="11">
        <v>0</v>
      </c>
      <c r="F74" s="13">
        <v>0</v>
      </c>
      <c r="G74" s="13">
        <v>0</v>
      </c>
      <c r="H74" s="14">
        <v>0</v>
      </c>
      <c r="I74" s="14">
        <v>-29257.384999999998</v>
      </c>
      <c r="J74" s="8" t="s">
        <v>58</v>
      </c>
      <c r="K74" s="8"/>
    </row>
    <row r="75" spans="1:11" x14ac:dyDescent="0.2">
      <c r="A75" s="10">
        <v>31100000</v>
      </c>
      <c r="B75" s="10" t="s">
        <v>59</v>
      </c>
      <c r="C75" s="11">
        <v>9874636.609000003</v>
      </c>
      <c r="D75" s="11">
        <v>0</v>
      </c>
      <c r="E75" s="11">
        <v>0</v>
      </c>
      <c r="F75" s="13">
        <v>11027560.3259</v>
      </c>
      <c r="G75" s="13">
        <v>9874636.6089999992</v>
      </c>
      <c r="H75" s="14">
        <v>1152923.7169000003</v>
      </c>
      <c r="I75" s="14">
        <v>11027560.325900003</v>
      </c>
      <c r="J75" s="8" t="s">
        <v>60</v>
      </c>
      <c r="K75" s="8"/>
    </row>
    <row r="76" spans="1:11" x14ac:dyDescent="0.2">
      <c r="A76" s="10">
        <v>31200000</v>
      </c>
      <c r="B76" s="10" t="s">
        <v>390</v>
      </c>
      <c r="C76" s="11">
        <v>0</v>
      </c>
      <c r="D76" s="11">
        <v>0</v>
      </c>
      <c r="E76" s="11">
        <v>0</v>
      </c>
      <c r="F76" s="13">
        <v>0</v>
      </c>
      <c r="G76" s="13">
        <v>0</v>
      </c>
      <c r="H76" s="14">
        <v>0</v>
      </c>
      <c r="I76" s="14">
        <v>0</v>
      </c>
      <c r="J76" s="8"/>
      <c r="K76" s="8"/>
    </row>
    <row r="77" spans="1:11" x14ac:dyDescent="0.2">
      <c r="A77" s="10">
        <v>32200000</v>
      </c>
      <c r="B77" s="10" t="s">
        <v>61</v>
      </c>
      <c r="C77" s="11">
        <v>667822.40100000054</v>
      </c>
      <c r="D77" s="11">
        <v>0</v>
      </c>
      <c r="E77" s="11">
        <v>0</v>
      </c>
      <c r="F77" s="13">
        <v>696643.57010000001</v>
      </c>
      <c r="G77" s="13">
        <v>667822.40099999995</v>
      </c>
      <c r="H77" s="14">
        <v>28821.169100000057</v>
      </c>
      <c r="I77" s="14">
        <v>696643.57010000059</v>
      </c>
      <c r="J77" s="8" t="s">
        <v>60</v>
      </c>
      <c r="K77" s="8"/>
    </row>
    <row r="78" spans="1:11" x14ac:dyDescent="0.2">
      <c r="A78" s="10">
        <v>33100000</v>
      </c>
      <c r="B78" s="10" t="s">
        <v>62</v>
      </c>
      <c r="C78" s="11">
        <v>1082748.5599999998</v>
      </c>
      <c r="D78" s="11">
        <v>0</v>
      </c>
      <c r="E78" s="11">
        <v>0</v>
      </c>
      <c r="F78" s="13">
        <v>1246000.0004</v>
      </c>
      <c r="G78" s="13">
        <v>1082748.56</v>
      </c>
      <c r="H78" s="14">
        <v>163251.44039999996</v>
      </c>
      <c r="I78" s="14">
        <v>1246000.0003999998</v>
      </c>
      <c r="J78" s="8" t="s">
        <v>60</v>
      </c>
      <c r="K78" s="8"/>
    </row>
    <row r="79" spans="1:11" x14ac:dyDescent="0.2">
      <c r="A79" s="10">
        <v>33500000</v>
      </c>
      <c r="B79" s="10" t="s">
        <v>300</v>
      </c>
      <c r="C79" s="11">
        <v>0</v>
      </c>
      <c r="D79" s="11">
        <v>0</v>
      </c>
      <c r="E79" s="11">
        <v>0</v>
      </c>
      <c r="F79" s="13">
        <v>0</v>
      </c>
      <c r="G79" s="13">
        <v>0</v>
      </c>
      <c r="H79" s="14">
        <v>0</v>
      </c>
      <c r="I79" s="14">
        <v>0</v>
      </c>
      <c r="J79" s="8"/>
      <c r="K79" s="8"/>
    </row>
    <row r="80" spans="1:11" x14ac:dyDescent="0.2">
      <c r="A80" s="10">
        <v>34100000</v>
      </c>
      <c r="B80" s="10" t="s">
        <v>301</v>
      </c>
      <c r="C80" s="11">
        <v>0</v>
      </c>
      <c r="D80" s="11">
        <v>0</v>
      </c>
      <c r="E80" s="11">
        <v>0</v>
      </c>
      <c r="F80" s="13">
        <v>0</v>
      </c>
      <c r="G80" s="13">
        <v>0</v>
      </c>
      <c r="H80" s="14">
        <v>0</v>
      </c>
      <c r="I80" s="14">
        <v>0</v>
      </c>
      <c r="J80" s="8"/>
      <c r="K80" s="8"/>
    </row>
    <row r="81" spans="1:11" x14ac:dyDescent="0.2">
      <c r="A81" s="10">
        <v>35500000</v>
      </c>
      <c r="B81" s="10" t="s">
        <v>63</v>
      </c>
      <c r="C81" s="11">
        <v>5501869.2190000005</v>
      </c>
      <c r="D81" s="11">
        <v>0</v>
      </c>
      <c r="E81" s="11">
        <v>0</v>
      </c>
      <c r="F81" s="13">
        <v>7103257.6276000002</v>
      </c>
      <c r="G81" s="13">
        <v>5501869.2189999996</v>
      </c>
      <c r="H81" s="14">
        <v>1601388.4086000007</v>
      </c>
      <c r="I81" s="14">
        <v>7103257.6276000012</v>
      </c>
      <c r="J81" s="8" t="s">
        <v>60</v>
      </c>
      <c r="K81" s="8"/>
    </row>
    <row r="82" spans="1:11" x14ac:dyDescent="0.2">
      <c r="A82" s="10">
        <v>39000000</v>
      </c>
      <c r="B82" s="10" t="s">
        <v>64</v>
      </c>
      <c r="C82" s="11">
        <v>-60168.119000000006</v>
      </c>
      <c r="D82" s="11">
        <v>0</v>
      </c>
      <c r="E82" s="11">
        <v>0</v>
      </c>
      <c r="F82" s="13">
        <v>0</v>
      </c>
      <c r="G82" s="13">
        <v>0</v>
      </c>
      <c r="H82" s="14">
        <v>0</v>
      </c>
      <c r="I82" s="14">
        <v>-60168.119000000006</v>
      </c>
      <c r="J82" s="8" t="s">
        <v>65</v>
      </c>
      <c r="K82" s="8"/>
    </row>
    <row r="83" spans="1:11" x14ac:dyDescent="0.2">
      <c r="A83" s="10">
        <v>40100000</v>
      </c>
      <c r="B83" s="10" t="s">
        <v>66</v>
      </c>
      <c r="C83" s="11">
        <v>-2775186.0248710201</v>
      </c>
      <c r="D83" s="11">
        <v>3434491.4040000001</v>
      </c>
      <c r="E83" s="11">
        <v>4619739.8211460002</v>
      </c>
      <c r="F83" s="13">
        <v>0</v>
      </c>
      <c r="G83" s="13">
        <v>0</v>
      </c>
      <c r="H83" s="14">
        <v>-1185248.4171460001</v>
      </c>
      <c r="I83" s="14">
        <v>-3960434.4420170202</v>
      </c>
      <c r="J83" s="8" t="s">
        <v>67</v>
      </c>
      <c r="K83" s="8"/>
    </row>
    <row r="84" spans="1:11" x14ac:dyDescent="0.2">
      <c r="A84" s="10">
        <v>40300000</v>
      </c>
      <c r="B84" s="10" t="s">
        <v>68</v>
      </c>
      <c r="C84" s="11">
        <v>-462398.55500000669</v>
      </c>
      <c r="D84" s="11">
        <v>382268.02700000006</v>
      </c>
      <c r="E84" s="11">
        <v>260351.02299999999</v>
      </c>
      <c r="F84" s="13">
        <v>0</v>
      </c>
      <c r="G84" s="13">
        <v>0</v>
      </c>
      <c r="H84" s="14">
        <v>121917.00400000007</v>
      </c>
      <c r="I84" s="14">
        <v>-340481.55100000661</v>
      </c>
      <c r="J84" s="8" t="s">
        <v>67</v>
      </c>
      <c r="K84" s="8"/>
    </row>
    <row r="85" spans="1:11" x14ac:dyDescent="0.2">
      <c r="A85" s="10">
        <v>40301000</v>
      </c>
      <c r="B85" s="10" t="s">
        <v>302</v>
      </c>
      <c r="C85" s="11">
        <v>0</v>
      </c>
      <c r="D85" s="11">
        <v>0</v>
      </c>
      <c r="E85" s="11">
        <v>0</v>
      </c>
      <c r="F85" s="13">
        <v>0</v>
      </c>
      <c r="G85" s="13">
        <v>0</v>
      </c>
      <c r="H85" s="14">
        <v>0</v>
      </c>
      <c r="I85" s="14">
        <v>0</v>
      </c>
      <c r="J85" s="8"/>
      <c r="K85" s="8"/>
    </row>
    <row r="86" spans="1:11" x14ac:dyDescent="0.2">
      <c r="A86" s="10">
        <v>40400000</v>
      </c>
      <c r="B86" s="10" t="s">
        <v>69</v>
      </c>
      <c r="C86" s="11">
        <v>9.999983012676239E-5</v>
      </c>
      <c r="D86" s="11">
        <v>0</v>
      </c>
      <c r="E86" s="11">
        <v>0</v>
      </c>
      <c r="F86" s="13">
        <v>0</v>
      </c>
      <c r="G86" s="13">
        <v>0</v>
      </c>
      <c r="H86" s="14">
        <v>0</v>
      </c>
      <c r="I86" s="14">
        <v>9.999983012676239E-5</v>
      </c>
      <c r="J86" s="8"/>
      <c r="K86" s="8"/>
    </row>
    <row r="87" spans="1:11" x14ac:dyDescent="0.2">
      <c r="A87" s="10">
        <v>40470000</v>
      </c>
      <c r="B87" s="10" t="s">
        <v>303</v>
      </c>
      <c r="C87" s="11">
        <v>0</v>
      </c>
      <c r="D87" s="11">
        <v>0</v>
      </c>
      <c r="E87" s="11">
        <v>0</v>
      </c>
      <c r="F87" s="13">
        <v>0</v>
      </c>
      <c r="G87" s="13">
        <v>0</v>
      </c>
      <c r="H87" s="14">
        <v>0</v>
      </c>
      <c r="I87" s="14">
        <v>0</v>
      </c>
      <c r="J87" s="8"/>
      <c r="K87" s="8"/>
    </row>
    <row r="88" spans="1:11" x14ac:dyDescent="0.2">
      <c r="A88" s="10">
        <v>40600000</v>
      </c>
      <c r="B88" s="10" t="s">
        <v>70</v>
      </c>
      <c r="C88" s="11">
        <v>-1946414.78146562</v>
      </c>
      <c r="D88" s="11">
        <v>15701.697</v>
      </c>
      <c r="E88" s="11">
        <v>1198541.1581869998</v>
      </c>
      <c r="F88" s="13">
        <v>0</v>
      </c>
      <c r="G88" s="13">
        <v>0</v>
      </c>
      <c r="H88" s="14">
        <v>-1182839.4611869999</v>
      </c>
      <c r="I88" s="14">
        <v>-3129254.2426526202</v>
      </c>
      <c r="J88" s="8" t="s">
        <v>67</v>
      </c>
      <c r="K88" s="8"/>
    </row>
    <row r="89" spans="1:11" x14ac:dyDescent="0.2">
      <c r="A89" s="10">
        <v>40800000</v>
      </c>
      <c r="B89" s="10" t="s">
        <v>71</v>
      </c>
      <c r="C89" s="11">
        <v>-4980</v>
      </c>
      <c r="D89" s="16">
        <v>0</v>
      </c>
      <c r="E89" s="11">
        <v>0</v>
      </c>
      <c r="F89" s="13">
        <v>0</v>
      </c>
      <c r="G89" s="13">
        <v>0</v>
      </c>
      <c r="H89" s="14">
        <v>0</v>
      </c>
      <c r="I89" s="14">
        <v>-4980</v>
      </c>
      <c r="J89" s="8" t="s">
        <v>67</v>
      </c>
      <c r="K89" s="8"/>
    </row>
    <row r="90" spans="1:11" x14ac:dyDescent="0.2">
      <c r="A90" s="10">
        <v>40860000</v>
      </c>
      <c r="B90" s="10" t="s">
        <v>304</v>
      </c>
      <c r="C90" s="11">
        <v>0</v>
      </c>
      <c r="D90" s="11">
        <v>0</v>
      </c>
      <c r="E90" s="11">
        <v>0</v>
      </c>
      <c r="F90" s="13">
        <v>0</v>
      </c>
      <c r="G90" s="13">
        <v>0</v>
      </c>
      <c r="H90" s="14">
        <v>0</v>
      </c>
      <c r="I90" s="14">
        <v>0</v>
      </c>
      <c r="J90" s="8"/>
      <c r="K90" s="8"/>
    </row>
    <row r="91" spans="1:11" x14ac:dyDescent="0.2">
      <c r="A91" s="10">
        <v>40910000</v>
      </c>
      <c r="B91" s="10" t="s">
        <v>72</v>
      </c>
      <c r="C91" s="11">
        <v>579508.96299999999</v>
      </c>
      <c r="D91" s="11">
        <v>0</v>
      </c>
      <c r="E91" s="11">
        <v>0</v>
      </c>
      <c r="F91" s="13">
        <v>0</v>
      </c>
      <c r="G91" s="13">
        <v>0</v>
      </c>
      <c r="H91" s="14">
        <v>0</v>
      </c>
      <c r="I91" s="14">
        <v>579508.96299999999</v>
      </c>
      <c r="J91" s="8" t="s">
        <v>78</v>
      </c>
      <c r="K91" s="8"/>
    </row>
    <row r="92" spans="1:11" x14ac:dyDescent="0.2">
      <c r="A92" s="10">
        <v>41100000</v>
      </c>
      <c r="B92" s="10" t="s">
        <v>73</v>
      </c>
      <c r="C92" s="11">
        <v>12515878.814302444</v>
      </c>
      <c r="D92" s="11">
        <v>4282684.8568799999</v>
      </c>
      <c r="E92" s="11">
        <v>3684454.9260000004</v>
      </c>
      <c r="F92" s="13">
        <v>0</v>
      </c>
      <c r="G92" s="13">
        <v>0</v>
      </c>
      <c r="H92" s="14">
        <v>598229.93087999942</v>
      </c>
      <c r="I92" s="14">
        <v>13114108.745182443</v>
      </c>
      <c r="J92" s="8" t="s">
        <v>74</v>
      </c>
      <c r="K92" s="8"/>
    </row>
    <row r="93" spans="1:11" x14ac:dyDescent="0.2">
      <c r="A93" s="10">
        <v>41301000</v>
      </c>
      <c r="B93" s="10" t="s">
        <v>305</v>
      </c>
      <c r="C93" s="11">
        <v>0</v>
      </c>
      <c r="D93" s="11">
        <v>0</v>
      </c>
      <c r="E93" s="11">
        <v>0</v>
      </c>
      <c r="F93" s="13">
        <v>0</v>
      </c>
      <c r="G93" s="13">
        <v>0</v>
      </c>
      <c r="H93" s="14">
        <v>0</v>
      </c>
      <c r="I93" s="14">
        <v>0</v>
      </c>
      <c r="J93" s="8"/>
      <c r="K93" s="8"/>
    </row>
    <row r="94" spans="1:11" x14ac:dyDescent="0.2">
      <c r="A94" s="10">
        <v>41500000</v>
      </c>
      <c r="B94" s="10" t="s">
        <v>75</v>
      </c>
      <c r="C94" s="11">
        <v>2050331.3151354794</v>
      </c>
      <c r="D94" s="11">
        <v>0</v>
      </c>
      <c r="E94" s="11">
        <v>0</v>
      </c>
      <c r="F94" s="13">
        <v>0</v>
      </c>
      <c r="G94" s="13">
        <v>0</v>
      </c>
      <c r="H94" s="14">
        <v>0</v>
      </c>
      <c r="I94" s="14">
        <v>2050331.3151354794</v>
      </c>
      <c r="J94" s="8" t="s">
        <v>74</v>
      </c>
      <c r="K94" s="8"/>
    </row>
    <row r="95" spans="1:11" x14ac:dyDescent="0.2">
      <c r="A95" s="10">
        <v>41601000</v>
      </c>
      <c r="B95" s="10" t="s">
        <v>306</v>
      </c>
      <c r="C95" s="11">
        <v>0</v>
      </c>
      <c r="D95" s="11">
        <v>0</v>
      </c>
      <c r="E95" s="11">
        <v>0</v>
      </c>
      <c r="F95" s="13">
        <v>0</v>
      </c>
      <c r="G95" s="13">
        <v>0</v>
      </c>
      <c r="H95" s="14">
        <v>0</v>
      </c>
      <c r="I95" s="14">
        <v>0</v>
      </c>
      <c r="J95" s="8"/>
      <c r="K95" s="8"/>
    </row>
    <row r="96" spans="1:11" x14ac:dyDescent="0.2">
      <c r="A96" s="10">
        <v>41800000</v>
      </c>
      <c r="B96" s="10" t="s">
        <v>307</v>
      </c>
      <c r="C96" s="11">
        <v>0</v>
      </c>
      <c r="D96" s="11">
        <v>0</v>
      </c>
      <c r="E96" s="11">
        <v>0</v>
      </c>
      <c r="F96" s="13">
        <v>0</v>
      </c>
      <c r="G96" s="13">
        <v>0</v>
      </c>
      <c r="H96" s="14">
        <v>0</v>
      </c>
      <c r="I96" s="14">
        <v>0</v>
      </c>
      <c r="J96" s="8"/>
      <c r="K96" s="8"/>
    </row>
    <row r="97" spans="1:11" x14ac:dyDescent="0.2">
      <c r="A97" s="10">
        <v>41910000</v>
      </c>
      <c r="B97" s="10" t="s">
        <v>308</v>
      </c>
      <c r="C97" s="11">
        <v>0</v>
      </c>
      <c r="D97" s="11">
        <v>0</v>
      </c>
      <c r="E97" s="11">
        <v>0</v>
      </c>
      <c r="F97" s="13">
        <v>0</v>
      </c>
      <c r="G97" s="13">
        <v>0</v>
      </c>
      <c r="H97" s="14">
        <v>0</v>
      </c>
      <c r="I97" s="14">
        <v>0</v>
      </c>
      <c r="J97" s="8"/>
      <c r="K97" s="8"/>
    </row>
    <row r="98" spans="1:11" x14ac:dyDescent="0.2">
      <c r="A98" s="10">
        <v>42100000</v>
      </c>
      <c r="B98" s="10" t="s">
        <v>76</v>
      </c>
      <c r="C98" s="11">
        <v>0</v>
      </c>
      <c r="D98" s="11">
        <v>0</v>
      </c>
      <c r="E98" s="11">
        <v>0</v>
      </c>
      <c r="F98" s="13">
        <v>0</v>
      </c>
      <c r="G98" s="13">
        <v>0</v>
      </c>
      <c r="H98" s="14">
        <v>0</v>
      </c>
      <c r="I98" s="14">
        <v>0</v>
      </c>
      <c r="J98" s="8"/>
      <c r="K98" s="8"/>
    </row>
    <row r="99" spans="1:11" x14ac:dyDescent="0.2">
      <c r="A99" s="10">
        <v>42110000</v>
      </c>
      <c r="B99" s="10" t="s">
        <v>309</v>
      </c>
      <c r="C99" s="11">
        <v>0</v>
      </c>
      <c r="D99" s="11">
        <v>0</v>
      </c>
      <c r="E99" s="11">
        <v>0</v>
      </c>
      <c r="F99" s="13">
        <v>0</v>
      </c>
      <c r="G99" s="13">
        <v>0</v>
      </c>
      <c r="H99" s="14">
        <v>0</v>
      </c>
      <c r="I99" s="14">
        <v>0</v>
      </c>
      <c r="J99" s="8"/>
      <c r="K99" s="8"/>
    </row>
    <row r="100" spans="1:11" x14ac:dyDescent="0.2">
      <c r="A100" s="10">
        <v>42120000</v>
      </c>
      <c r="B100" s="10" t="s">
        <v>77</v>
      </c>
      <c r="C100" s="11">
        <v>26641.006999999983</v>
      </c>
      <c r="D100" s="11">
        <v>22400</v>
      </c>
      <c r="E100" s="11">
        <v>28450</v>
      </c>
      <c r="F100" s="13">
        <v>0</v>
      </c>
      <c r="G100" s="13">
        <v>0</v>
      </c>
      <c r="H100" s="14">
        <v>-6050</v>
      </c>
      <c r="I100" s="14">
        <v>20591.006999999983</v>
      </c>
      <c r="J100" s="8" t="s">
        <v>78</v>
      </c>
      <c r="K100" s="8"/>
    </row>
    <row r="101" spans="1:11" x14ac:dyDescent="0.2">
      <c r="A101" s="10">
        <v>42400000</v>
      </c>
      <c r="B101" s="10" t="s">
        <v>79</v>
      </c>
      <c r="C101" s="11">
        <v>0</v>
      </c>
      <c r="D101" s="11">
        <v>0</v>
      </c>
      <c r="E101" s="11">
        <v>0</v>
      </c>
      <c r="F101" s="13">
        <v>0</v>
      </c>
      <c r="G101" s="13">
        <v>0</v>
      </c>
      <c r="H101" s="14">
        <v>0</v>
      </c>
      <c r="I101" s="14">
        <v>0</v>
      </c>
      <c r="J101" s="8"/>
      <c r="K101" s="8"/>
    </row>
    <row r="102" spans="1:11" x14ac:dyDescent="0.2">
      <c r="A102" s="10">
        <v>42500000</v>
      </c>
      <c r="B102" s="10" t="s">
        <v>80</v>
      </c>
      <c r="C102" s="11">
        <v>-23257.764000000723</v>
      </c>
      <c r="D102" s="11">
        <v>234328.39799999999</v>
      </c>
      <c r="E102" s="11">
        <v>237129.81800000003</v>
      </c>
      <c r="F102" s="13">
        <v>0</v>
      </c>
      <c r="G102" s="13">
        <v>0</v>
      </c>
      <c r="H102" s="14">
        <v>-2801.4200000000419</v>
      </c>
      <c r="I102" s="14">
        <v>-26059.184000000765</v>
      </c>
      <c r="J102" s="8" t="s">
        <v>81</v>
      </c>
      <c r="K102" s="8"/>
    </row>
    <row r="103" spans="1:11" x14ac:dyDescent="0.2">
      <c r="A103" s="10">
        <v>42700000</v>
      </c>
      <c r="B103" s="10" t="s">
        <v>310</v>
      </c>
      <c r="C103" s="11">
        <v>0</v>
      </c>
      <c r="D103" s="11">
        <v>0</v>
      </c>
      <c r="E103" s="11">
        <v>0</v>
      </c>
      <c r="F103" s="13">
        <v>0</v>
      </c>
      <c r="G103" s="13">
        <v>0</v>
      </c>
      <c r="H103" s="14">
        <v>0</v>
      </c>
      <c r="I103" s="14">
        <v>0</v>
      </c>
      <c r="J103" s="8"/>
      <c r="K103" s="8"/>
    </row>
    <row r="104" spans="1:11" x14ac:dyDescent="0.2">
      <c r="A104" s="10">
        <v>42710000</v>
      </c>
      <c r="B104" s="10" t="s">
        <v>82</v>
      </c>
      <c r="C104" s="11">
        <v>-2493.9600000000019</v>
      </c>
      <c r="D104" s="11">
        <v>0</v>
      </c>
      <c r="E104" s="11">
        <v>1246.9839999999999</v>
      </c>
      <c r="F104" s="13">
        <v>0</v>
      </c>
      <c r="G104" s="13">
        <v>0</v>
      </c>
      <c r="H104" s="14">
        <v>-1246.9839999999999</v>
      </c>
      <c r="I104" s="14">
        <v>-3740.9440000000018</v>
      </c>
      <c r="J104" s="8" t="s">
        <v>81</v>
      </c>
      <c r="K104" s="8"/>
    </row>
    <row r="105" spans="1:11" x14ac:dyDescent="0.2">
      <c r="A105" s="10">
        <v>42820000</v>
      </c>
      <c r="B105" s="10" t="s">
        <v>83</v>
      </c>
      <c r="C105" s="11">
        <v>-236193.14299999984</v>
      </c>
      <c r="D105" s="11">
        <v>236193.14300000001</v>
      </c>
      <c r="E105" s="11">
        <v>238390.29100000003</v>
      </c>
      <c r="F105" s="13">
        <v>0</v>
      </c>
      <c r="G105" s="13">
        <v>0</v>
      </c>
      <c r="H105" s="14">
        <v>-2197.1480000000156</v>
      </c>
      <c r="I105" s="14">
        <v>-238390.29099999985</v>
      </c>
      <c r="J105" s="8" t="s">
        <v>81</v>
      </c>
      <c r="K105" s="8"/>
    </row>
    <row r="106" spans="1:11" x14ac:dyDescent="0.2">
      <c r="A106" s="10">
        <v>43200000</v>
      </c>
      <c r="B106" s="10" t="s">
        <v>311</v>
      </c>
      <c r="C106" s="11">
        <v>0</v>
      </c>
      <c r="D106" s="11">
        <v>0</v>
      </c>
      <c r="E106" s="11">
        <v>0</v>
      </c>
      <c r="F106" s="13">
        <v>0</v>
      </c>
      <c r="G106" s="13">
        <v>0</v>
      </c>
      <c r="H106" s="14">
        <v>0</v>
      </c>
      <c r="I106" s="14">
        <v>0</v>
      </c>
      <c r="J106" s="8"/>
      <c r="K106" s="8"/>
    </row>
    <row r="107" spans="1:11" x14ac:dyDescent="0.2">
      <c r="A107" s="10">
        <v>43210000</v>
      </c>
      <c r="B107" s="10" t="s">
        <v>84</v>
      </c>
      <c r="C107" s="11">
        <v>-51297.454000000005</v>
      </c>
      <c r="D107" s="11">
        <v>51297.454000000005</v>
      </c>
      <c r="E107" s="11">
        <v>51690.161</v>
      </c>
      <c r="F107" s="13">
        <v>0</v>
      </c>
      <c r="G107" s="13">
        <v>0</v>
      </c>
      <c r="H107" s="14">
        <v>-392.70699999999488</v>
      </c>
      <c r="I107" s="14">
        <v>-51690.161</v>
      </c>
      <c r="J107" s="8" t="s">
        <v>81</v>
      </c>
      <c r="K107" s="8"/>
    </row>
    <row r="108" spans="1:11" x14ac:dyDescent="0.2">
      <c r="A108" s="10">
        <v>43211000</v>
      </c>
      <c r="B108" s="10" t="s">
        <v>312</v>
      </c>
      <c r="C108" s="11">
        <v>841.16399999999987</v>
      </c>
      <c r="D108" s="11">
        <v>1049.9560000000001</v>
      </c>
      <c r="E108" s="11">
        <v>1891.1200000000001</v>
      </c>
      <c r="F108" s="13">
        <v>0</v>
      </c>
      <c r="G108" s="13">
        <v>0</v>
      </c>
      <c r="H108" s="14">
        <v>-841.16399999999999</v>
      </c>
      <c r="I108" s="14">
        <v>0</v>
      </c>
      <c r="J108" s="8" t="s">
        <v>78</v>
      </c>
      <c r="K108" s="8"/>
    </row>
    <row r="109" spans="1:11" x14ac:dyDescent="0.2">
      <c r="A109" s="10">
        <v>43211500</v>
      </c>
      <c r="B109" s="10" t="s">
        <v>85</v>
      </c>
      <c r="C109" s="11">
        <v>0</v>
      </c>
      <c r="D109" s="11">
        <v>0</v>
      </c>
      <c r="E109" s="11">
        <v>0</v>
      </c>
      <c r="F109" s="13">
        <v>0</v>
      </c>
      <c r="G109" s="13">
        <v>0</v>
      </c>
      <c r="H109" s="14">
        <v>0</v>
      </c>
      <c r="I109" s="14">
        <v>0</v>
      </c>
      <c r="J109" s="8"/>
      <c r="K109" s="8"/>
    </row>
    <row r="110" spans="1:11" x14ac:dyDescent="0.2">
      <c r="A110" s="10">
        <v>43212500</v>
      </c>
      <c r="B110" s="10" t="s">
        <v>313</v>
      </c>
      <c r="C110" s="11">
        <v>0</v>
      </c>
      <c r="D110" s="11">
        <v>0</v>
      </c>
      <c r="E110" s="11">
        <v>0</v>
      </c>
      <c r="F110" s="13">
        <v>0</v>
      </c>
      <c r="G110" s="13">
        <v>0</v>
      </c>
      <c r="H110" s="14">
        <v>0</v>
      </c>
      <c r="I110" s="14">
        <v>0</v>
      </c>
      <c r="J110" s="8"/>
      <c r="K110" s="8"/>
    </row>
    <row r="111" spans="1:11" x14ac:dyDescent="0.2">
      <c r="A111" s="10">
        <v>43215000</v>
      </c>
      <c r="B111" s="10" t="s">
        <v>314</v>
      </c>
      <c r="C111" s="11">
        <v>0</v>
      </c>
      <c r="D111" s="11">
        <v>0</v>
      </c>
      <c r="E111" s="11">
        <v>0</v>
      </c>
      <c r="F111" s="13">
        <v>0</v>
      </c>
      <c r="G111" s="13">
        <v>0</v>
      </c>
      <c r="H111" s="14">
        <v>0</v>
      </c>
      <c r="I111" s="14">
        <v>0</v>
      </c>
      <c r="J111" s="8"/>
      <c r="K111" s="8"/>
    </row>
    <row r="112" spans="1:11" x14ac:dyDescent="0.2">
      <c r="A112" s="10">
        <v>43220000</v>
      </c>
      <c r="B112" s="10" t="s">
        <v>86</v>
      </c>
      <c r="C112" s="11">
        <v>0</v>
      </c>
      <c r="D112" s="11">
        <v>0</v>
      </c>
      <c r="E112" s="11">
        <v>0</v>
      </c>
      <c r="F112" s="13">
        <v>0</v>
      </c>
      <c r="G112" s="13">
        <v>0</v>
      </c>
      <c r="H112" s="14">
        <v>0</v>
      </c>
      <c r="I112" s="14">
        <v>0</v>
      </c>
      <c r="J112" s="8" t="s">
        <v>81</v>
      </c>
      <c r="K112" s="8"/>
    </row>
    <row r="113" spans="1:11" x14ac:dyDescent="0.2">
      <c r="A113" s="10">
        <v>43220050</v>
      </c>
      <c r="B113" s="10" t="s">
        <v>315</v>
      </c>
      <c r="C113" s="11">
        <v>4.8999999999978172E-2</v>
      </c>
      <c r="D113" s="11">
        <v>0</v>
      </c>
      <c r="E113" s="11">
        <v>259.81099999999998</v>
      </c>
      <c r="F113" s="13">
        <v>0</v>
      </c>
      <c r="G113" s="13">
        <v>0</v>
      </c>
      <c r="H113" s="14">
        <v>-259.81099999999998</v>
      </c>
      <c r="I113" s="14">
        <v>-259.762</v>
      </c>
      <c r="J113" s="8" t="s">
        <v>81</v>
      </c>
      <c r="K113" s="8"/>
    </row>
    <row r="114" spans="1:11" x14ac:dyDescent="0.2">
      <c r="A114" s="10">
        <v>43220100</v>
      </c>
      <c r="B114" s="10" t="s">
        <v>87</v>
      </c>
      <c r="C114" s="11">
        <v>-9311.1170000000493</v>
      </c>
      <c r="D114" s="11">
        <v>10782.41</v>
      </c>
      <c r="E114" s="11">
        <v>21025.65</v>
      </c>
      <c r="F114" s="13">
        <v>0</v>
      </c>
      <c r="G114" s="13">
        <v>0</v>
      </c>
      <c r="H114" s="14">
        <v>-10243.240000000002</v>
      </c>
      <c r="I114" s="14">
        <v>-19554.357000000051</v>
      </c>
      <c r="J114" s="8" t="s">
        <v>81</v>
      </c>
      <c r="K114" s="8"/>
    </row>
    <row r="115" spans="1:11" x14ac:dyDescent="0.2">
      <c r="A115" s="10">
        <v>43220300</v>
      </c>
      <c r="B115" s="10" t="s">
        <v>88</v>
      </c>
      <c r="C115" s="11">
        <v>-6.9999999998628937E-3</v>
      </c>
      <c r="D115" s="11">
        <v>0</v>
      </c>
      <c r="E115" s="11">
        <v>42.839999999999996</v>
      </c>
      <c r="F115" s="13">
        <v>0</v>
      </c>
      <c r="G115" s="13">
        <v>0</v>
      </c>
      <c r="H115" s="14">
        <v>-42.839999999999996</v>
      </c>
      <c r="I115" s="14">
        <v>-42.846999999999859</v>
      </c>
      <c r="J115" s="8" t="s">
        <v>81</v>
      </c>
      <c r="K115" s="8"/>
    </row>
    <row r="116" spans="1:11" x14ac:dyDescent="0.2">
      <c r="A116" s="10">
        <v>43221000</v>
      </c>
      <c r="B116" s="10" t="s">
        <v>89</v>
      </c>
      <c r="C116" s="11">
        <v>127.7760000000215</v>
      </c>
      <c r="D116" s="11">
        <v>94.443999999999988</v>
      </c>
      <c r="E116" s="11">
        <v>188.88799999999998</v>
      </c>
      <c r="F116" s="13">
        <v>0</v>
      </c>
      <c r="G116" s="13">
        <v>0</v>
      </c>
      <c r="H116" s="14">
        <v>-94.443999999999988</v>
      </c>
      <c r="I116" s="14">
        <v>33.332000000021509</v>
      </c>
      <c r="J116" s="8" t="s">
        <v>78</v>
      </c>
      <c r="K116" s="8"/>
    </row>
    <row r="117" spans="1:11" x14ac:dyDescent="0.2">
      <c r="A117" s="10">
        <v>43222000</v>
      </c>
      <c r="B117" s="10" t="s">
        <v>316</v>
      </c>
      <c r="C117" s="11">
        <v>0</v>
      </c>
      <c r="D117" s="11">
        <v>0</v>
      </c>
      <c r="E117" s="11">
        <v>0</v>
      </c>
      <c r="F117" s="13">
        <v>0</v>
      </c>
      <c r="G117" s="13">
        <v>0</v>
      </c>
      <c r="H117" s="14">
        <v>0</v>
      </c>
      <c r="I117" s="14">
        <v>0</v>
      </c>
      <c r="J117" s="8" t="s">
        <v>81</v>
      </c>
      <c r="K117" s="8"/>
    </row>
    <row r="118" spans="1:11" x14ac:dyDescent="0.2">
      <c r="A118" s="10">
        <v>43223000</v>
      </c>
      <c r="B118" s="10" t="s">
        <v>90</v>
      </c>
      <c r="C118" s="11">
        <v>9777.9459999999672</v>
      </c>
      <c r="D118" s="11">
        <v>1817.0279999999998</v>
      </c>
      <c r="E118" s="11">
        <v>1326.846</v>
      </c>
      <c r="F118" s="13">
        <v>0</v>
      </c>
      <c r="G118" s="13">
        <v>0</v>
      </c>
      <c r="H118" s="14">
        <v>490.18199999999979</v>
      </c>
      <c r="I118" s="14">
        <v>10268.127999999968</v>
      </c>
      <c r="J118" s="8" t="s">
        <v>78</v>
      </c>
      <c r="K118" s="8"/>
    </row>
    <row r="119" spans="1:11" x14ac:dyDescent="0.2">
      <c r="A119" s="10">
        <v>43310000</v>
      </c>
      <c r="B119" s="10" t="s">
        <v>317</v>
      </c>
      <c r="C119" s="11">
        <v>0</v>
      </c>
      <c r="D119" s="11">
        <v>0</v>
      </c>
      <c r="E119" s="11">
        <v>0</v>
      </c>
      <c r="F119" s="13">
        <v>0</v>
      </c>
      <c r="G119" s="13">
        <v>0</v>
      </c>
      <c r="H119" s="14">
        <v>0</v>
      </c>
      <c r="I119" s="14">
        <v>0</v>
      </c>
      <c r="J119" s="8"/>
      <c r="K119" s="8"/>
    </row>
    <row r="120" spans="1:11" x14ac:dyDescent="0.2">
      <c r="A120" s="10">
        <v>43400000</v>
      </c>
      <c r="B120" s="10" t="s">
        <v>91</v>
      </c>
      <c r="C120" s="11">
        <v>427842.31400000013</v>
      </c>
      <c r="D120" s="11">
        <v>416572.75599999999</v>
      </c>
      <c r="E120" s="11">
        <v>0</v>
      </c>
      <c r="F120" s="13">
        <v>0</v>
      </c>
      <c r="G120" s="13">
        <v>0</v>
      </c>
      <c r="H120" s="14">
        <v>416572.75599999999</v>
      </c>
      <c r="I120" s="14">
        <v>844415.07000000007</v>
      </c>
      <c r="J120" s="8" t="s">
        <v>78</v>
      </c>
      <c r="K120" s="8"/>
    </row>
    <row r="121" spans="1:11" x14ac:dyDescent="0.2">
      <c r="A121" s="10">
        <v>43410000</v>
      </c>
      <c r="B121" s="10" t="s">
        <v>318</v>
      </c>
      <c r="C121" s="11">
        <v>531447.10399999982</v>
      </c>
      <c r="D121" s="11">
        <v>40378.307999999997</v>
      </c>
      <c r="E121" s="11">
        <v>418305.505</v>
      </c>
      <c r="F121" s="13">
        <v>0</v>
      </c>
      <c r="G121" s="13">
        <v>0</v>
      </c>
      <c r="H121" s="14">
        <v>-377927.19699999999</v>
      </c>
      <c r="I121" s="14">
        <v>153519.90699999983</v>
      </c>
      <c r="J121" s="8" t="s">
        <v>78</v>
      </c>
      <c r="K121" s="8"/>
    </row>
    <row r="122" spans="1:11" x14ac:dyDescent="0.2">
      <c r="A122" s="10">
        <v>43420000</v>
      </c>
      <c r="B122" s="10" t="s">
        <v>92</v>
      </c>
      <c r="C122" s="11">
        <v>0</v>
      </c>
      <c r="D122" s="11">
        <v>0</v>
      </c>
      <c r="E122" s="11">
        <v>0</v>
      </c>
      <c r="F122" s="13">
        <v>0</v>
      </c>
      <c r="G122" s="13">
        <v>0</v>
      </c>
      <c r="H122" s="14">
        <v>0</v>
      </c>
      <c r="I122" s="14">
        <v>0</v>
      </c>
      <c r="J122" s="8"/>
      <c r="K122" s="8"/>
    </row>
    <row r="123" spans="1:11" x14ac:dyDescent="0.2">
      <c r="A123" s="10">
        <v>43430000</v>
      </c>
      <c r="B123" s="10" t="s">
        <v>319</v>
      </c>
      <c r="C123" s="11">
        <v>0</v>
      </c>
      <c r="D123" s="11">
        <v>0</v>
      </c>
      <c r="E123" s="11">
        <v>0</v>
      </c>
      <c r="F123" s="13">
        <v>0</v>
      </c>
      <c r="G123" s="13">
        <v>0</v>
      </c>
      <c r="H123" s="14">
        <v>0</v>
      </c>
      <c r="I123" s="14">
        <v>0</v>
      </c>
      <c r="J123" s="8" t="s">
        <v>78</v>
      </c>
      <c r="K123" s="8"/>
    </row>
    <row r="124" spans="1:11" x14ac:dyDescent="0.2">
      <c r="A124" s="10">
        <v>43440000</v>
      </c>
      <c r="B124" s="10" t="s">
        <v>320</v>
      </c>
      <c r="C124" s="11">
        <v>0</v>
      </c>
      <c r="D124" s="11">
        <v>0</v>
      </c>
      <c r="E124" s="11">
        <v>0</v>
      </c>
      <c r="F124" s="13">
        <v>0</v>
      </c>
      <c r="G124" s="13">
        <v>0</v>
      </c>
      <c r="H124" s="14">
        <v>0</v>
      </c>
      <c r="I124" s="14">
        <v>0</v>
      </c>
      <c r="J124" s="8" t="s">
        <v>78</v>
      </c>
      <c r="K124" s="8"/>
    </row>
    <row r="125" spans="1:11" x14ac:dyDescent="0.2">
      <c r="A125" s="10">
        <v>43500000</v>
      </c>
      <c r="B125" s="10" t="s">
        <v>321</v>
      </c>
      <c r="C125" s="11">
        <v>0</v>
      </c>
      <c r="D125" s="11">
        <v>0</v>
      </c>
      <c r="E125" s="11">
        <v>166686.60500000001</v>
      </c>
      <c r="F125" s="13">
        <v>0</v>
      </c>
      <c r="G125" s="13">
        <v>0</v>
      </c>
      <c r="H125" s="14">
        <v>-166686.60500000001</v>
      </c>
      <c r="I125" s="14">
        <v>-166686.60500000001</v>
      </c>
      <c r="J125" s="8" t="s">
        <v>81</v>
      </c>
      <c r="K125" s="8"/>
    </row>
    <row r="126" spans="1:11" x14ac:dyDescent="0.2">
      <c r="A126" s="10">
        <v>43600000</v>
      </c>
      <c r="B126" s="10" t="s">
        <v>93</v>
      </c>
      <c r="C126" s="11">
        <v>600338.26999998814</v>
      </c>
      <c r="D126" s="11">
        <v>676707.06700000004</v>
      </c>
      <c r="E126" s="11">
        <v>445528.17299999995</v>
      </c>
      <c r="F126" s="13">
        <v>0</v>
      </c>
      <c r="G126" s="13">
        <v>0</v>
      </c>
      <c r="H126" s="14">
        <v>231178.89400000009</v>
      </c>
      <c r="I126" s="14">
        <v>831517.16399998823</v>
      </c>
      <c r="J126" s="8" t="s">
        <v>78</v>
      </c>
      <c r="K126" s="8"/>
    </row>
    <row r="127" spans="1:11" x14ac:dyDescent="0.2">
      <c r="A127" s="10">
        <v>43625000</v>
      </c>
      <c r="B127" s="10" t="s">
        <v>94</v>
      </c>
      <c r="C127" s="11">
        <v>-15648.999000000142</v>
      </c>
      <c r="D127" s="11">
        <v>17097.47</v>
      </c>
      <c r="E127" s="11">
        <v>23409.175999999999</v>
      </c>
      <c r="F127" s="13">
        <v>0</v>
      </c>
      <c r="G127" s="13">
        <v>0</v>
      </c>
      <c r="H127" s="14">
        <v>-6311.7059999999983</v>
      </c>
      <c r="I127" s="14">
        <v>-21960.70500000014</v>
      </c>
      <c r="J127" s="8" t="s">
        <v>81</v>
      </c>
      <c r="K127" s="8"/>
    </row>
    <row r="128" spans="1:11" x14ac:dyDescent="0.2">
      <c r="A128" s="10">
        <v>43627000</v>
      </c>
      <c r="B128" s="10" t="s">
        <v>95</v>
      </c>
      <c r="C128" s="11">
        <v>-109542.98599999998</v>
      </c>
      <c r="D128" s="11">
        <v>119682.28300000001</v>
      </c>
      <c r="E128" s="11">
        <v>163864.21099999998</v>
      </c>
      <c r="F128" s="13">
        <v>0</v>
      </c>
      <c r="G128" s="13">
        <v>0</v>
      </c>
      <c r="H128" s="14">
        <v>-44181.927999999971</v>
      </c>
      <c r="I128" s="14">
        <v>-153724.91399999993</v>
      </c>
      <c r="J128" s="8" t="s">
        <v>81</v>
      </c>
      <c r="K128" s="8"/>
    </row>
    <row r="129" spans="1:11" x14ac:dyDescent="0.2">
      <c r="A129" s="10">
        <v>43630600</v>
      </c>
      <c r="B129" s="10" t="s">
        <v>322</v>
      </c>
      <c r="C129" s="11">
        <v>0</v>
      </c>
      <c r="D129" s="11">
        <v>0</v>
      </c>
      <c r="E129" s="11">
        <v>0</v>
      </c>
      <c r="F129" s="13">
        <v>0</v>
      </c>
      <c r="G129" s="13">
        <v>0</v>
      </c>
      <c r="H129" s="14">
        <v>0</v>
      </c>
      <c r="I129" s="14">
        <v>0</v>
      </c>
      <c r="J129" s="8"/>
      <c r="K129" s="8"/>
    </row>
    <row r="130" spans="1:11" x14ac:dyDescent="0.2">
      <c r="A130" s="10">
        <v>43630700</v>
      </c>
      <c r="B130" s="10" t="s">
        <v>96</v>
      </c>
      <c r="C130" s="11">
        <v>3880.6080000000002</v>
      </c>
      <c r="D130" s="11">
        <v>588.52099999999996</v>
      </c>
      <c r="E130" s="11">
        <v>3880.6080000000002</v>
      </c>
      <c r="F130" s="13">
        <v>0</v>
      </c>
      <c r="G130" s="13">
        <v>0</v>
      </c>
      <c r="H130" s="14">
        <v>-3292.0870000000004</v>
      </c>
      <c r="I130" s="14">
        <v>588.52099999999973</v>
      </c>
      <c r="J130" s="8" t="s">
        <v>78</v>
      </c>
      <c r="K130" s="8"/>
    </row>
    <row r="131" spans="1:11" x14ac:dyDescent="0.2">
      <c r="A131" s="10">
        <v>43631000</v>
      </c>
      <c r="B131" s="10" t="s">
        <v>323</v>
      </c>
      <c r="C131" s="11">
        <v>0</v>
      </c>
      <c r="D131" s="11">
        <v>0</v>
      </c>
      <c r="E131" s="11">
        <v>0</v>
      </c>
      <c r="F131" s="13">
        <v>0</v>
      </c>
      <c r="G131" s="13">
        <v>0</v>
      </c>
      <c r="H131" s="14">
        <v>0</v>
      </c>
      <c r="I131" s="14">
        <v>0</v>
      </c>
      <c r="J131" s="8"/>
      <c r="K131" s="8"/>
    </row>
    <row r="132" spans="1:11" x14ac:dyDescent="0.2">
      <c r="A132" s="10">
        <v>43631300</v>
      </c>
      <c r="B132" s="10" t="s">
        <v>324</v>
      </c>
      <c r="C132" s="11">
        <v>1651.824000000001</v>
      </c>
      <c r="D132" s="11">
        <v>3212.4549999999999</v>
      </c>
      <c r="E132" s="11">
        <v>3199.6059999999998</v>
      </c>
      <c r="F132" s="13">
        <v>0</v>
      </c>
      <c r="G132" s="13">
        <v>0</v>
      </c>
      <c r="H132" s="14">
        <v>12.84900000000016</v>
      </c>
      <c r="I132" s="14">
        <v>1664.6730000000011</v>
      </c>
      <c r="J132" s="8" t="s">
        <v>78</v>
      </c>
      <c r="K132" s="8"/>
    </row>
    <row r="133" spans="1:11" x14ac:dyDescent="0.2">
      <c r="A133" s="10">
        <v>43631800</v>
      </c>
      <c r="B133" s="10" t="s">
        <v>325</v>
      </c>
      <c r="C133" s="11">
        <v>0</v>
      </c>
      <c r="D133" s="11">
        <v>0</v>
      </c>
      <c r="E133" s="11">
        <v>0</v>
      </c>
      <c r="F133" s="13">
        <v>0</v>
      </c>
      <c r="G133" s="13">
        <v>0</v>
      </c>
      <c r="H133" s="14">
        <v>0</v>
      </c>
      <c r="I133" s="14">
        <v>0</v>
      </c>
      <c r="J133" s="8"/>
      <c r="K133" s="8"/>
    </row>
    <row r="134" spans="1:11" x14ac:dyDescent="0.2">
      <c r="A134" s="10">
        <v>43631900</v>
      </c>
      <c r="B134" s="10" t="s">
        <v>97</v>
      </c>
      <c r="C134" s="11">
        <v>543993.7489999996</v>
      </c>
      <c r="D134" s="11">
        <v>821534.755</v>
      </c>
      <c r="E134" s="11">
        <v>548065.60200000007</v>
      </c>
      <c r="F134" s="13">
        <v>0</v>
      </c>
      <c r="G134" s="13">
        <v>0</v>
      </c>
      <c r="H134" s="14">
        <v>273469.15299999993</v>
      </c>
      <c r="I134" s="14">
        <v>817462.90199999954</v>
      </c>
      <c r="J134" s="8" t="s">
        <v>78</v>
      </c>
      <c r="K134" s="8"/>
    </row>
    <row r="135" spans="1:11" x14ac:dyDescent="0.2">
      <c r="A135" s="10">
        <v>43661800</v>
      </c>
      <c r="B135" s="10" t="s">
        <v>326</v>
      </c>
      <c r="C135" s="11">
        <v>0</v>
      </c>
      <c r="D135" s="11">
        <v>0</v>
      </c>
      <c r="E135" s="11">
        <v>0</v>
      </c>
      <c r="F135" s="13">
        <v>0</v>
      </c>
      <c r="G135" s="13">
        <v>0</v>
      </c>
      <c r="H135" s="14">
        <v>0</v>
      </c>
      <c r="I135" s="14">
        <v>0</v>
      </c>
      <c r="J135" s="8"/>
      <c r="K135" s="8"/>
    </row>
    <row r="136" spans="1:11" x14ac:dyDescent="0.2">
      <c r="A136" s="10">
        <v>43671000</v>
      </c>
      <c r="B136" s="10" t="s">
        <v>98</v>
      </c>
      <c r="C136" s="11">
        <v>-319877.72800000233</v>
      </c>
      <c r="D136" s="11">
        <v>350058.73100000003</v>
      </c>
      <c r="E136" s="11">
        <v>506001.91799999995</v>
      </c>
      <c r="F136" s="13">
        <v>0</v>
      </c>
      <c r="G136" s="13">
        <v>0</v>
      </c>
      <c r="H136" s="14">
        <v>-155943.18699999992</v>
      </c>
      <c r="I136" s="14">
        <v>-475820.91500000225</v>
      </c>
      <c r="J136" s="8" t="s">
        <v>81</v>
      </c>
      <c r="K136" s="8"/>
    </row>
    <row r="137" spans="1:11" x14ac:dyDescent="0.2">
      <c r="A137" s="10">
        <v>43700000</v>
      </c>
      <c r="B137" s="10" t="s">
        <v>99</v>
      </c>
      <c r="C137" s="11">
        <v>-3</v>
      </c>
      <c r="D137" s="11">
        <v>3</v>
      </c>
      <c r="E137" s="11">
        <v>5</v>
      </c>
      <c r="F137" s="13">
        <v>0</v>
      </c>
      <c r="G137" s="13">
        <v>0</v>
      </c>
      <c r="H137" s="14">
        <v>-2</v>
      </c>
      <c r="I137" s="14">
        <v>-5</v>
      </c>
      <c r="J137" s="8" t="s">
        <v>81</v>
      </c>
      <c r="K137" s="8"/>
    </row>
    <row r="138" spans="1:11" x14ac:dyDescent="0.2">
      <c r="A138" s="10">
        <v>43720000</v>
      </c>
      <c r="B138" s="10" t="s">
        <v>327</v>
      </c>
      <c r="C138" s="11">
        <v>-965.952</v>
      </c>
      <c r="D138" s="11">
        <v>0</v>
      </c>
      <c r="E138" s="11">
        <v>877.75600000000009</v>
      </c>
      <c r="F138" s="13">
        <v>0</v>
      </c>
      <c r="G138" s="13">
        <v>0</v>
      </c>
      <c r="H138" s="14">
        <v>-877.75600000000009</v>
      </c>
      <c r="I138" s="14">
        <v>-1843.7080000000001</v>
      </c>
      <c r="J138" s="8" t="s">
        <v>81</v>
      </c>
      <c r="K138" s="8"/>
    </row>
    <row r="139" spans="1:11" x14ac:dyDescent="0.2">
      <c r="A139" s="10">
        <v>43756000</v>
      </c>
      <c r="B139" s="10" t="s">
        <v>328</v>
      </c>
      <c r="C139" s="11">
        <v>0</v>
      </c>
      <c r="D139" s="11">
        <v>0</v>
      </c>
      <c r="E139" s="11">
        <v>0</v>
      </c>
      <c r="F139" s="13">
        <v>0</v>
      </c>
      <c r="G139" s="13">
        <v>0</v>
      </c>
      <c r="H139" s="14">
        <v>0</v>
      </c>
      <c r="I139" s="14">
        <v>0</v>
      </c>
      <c r="J139" s="8"/>
      <c r="K139" s="8"/>
    </row>
    <row r="140" spans="1:11" x14ac:dyDescent="0.2">
      <c r="A140" s="10">
        <v>44100000</v>
      </c>
      <c r="B140" s="10" t="s">
        <v>329</v>
      </c>
      <c r="C140" s="11">
        <v>0</v>
      </c>
      <c r="D140" s="11">
        <v>0</v>
      </c>
      <c r="E140" s="11">
        <v>0</v>
      </c>
      <c r="F140" s="13">
        <v>0</v>
      </c>
      <c r="G140" s="13">
        <v>0</v>
      </c>
      <c r="H140" s="14">
        <v>0</v>
      </c>
      <c r="I140" s="14">
        <v>0</v>
      </c>
      <c r="J140" s="8"/>
      <c r="K140" s="8"/>
    </row>
    <row r="141" spans="1:11" x14ac:dyDescent="0.2">
      <c r="A141" s="10">
        <v>44101000</v>
      </c>
      <c r="B141" s="10" t="s">
        <v>7717</v>
      </c>
      <c r="C141" s="11">
        <v>51670</v>
      </c>
      <c r="D141" s="11">
        <v>0</v>
      </c>
      <c r="E141" s="11">
        <v>0</v>
      </c>
      <c r="F141" s="13">
        <v>0</v>
      </c>
      <c r="G141" s="13">
        <v>0</v>
      </c>
      <c r="H141" s="14">
        <v>0</v>
      </c>
      <c r="I141" s="14">
        <v>51670</v>
      </c>
      <c r="J141" s="8" t="s">
        <v>78</v>
      </c>
      <c r="K141" s="8"/>
    </row>
    <row r="142" spans="1:11" x14ac:dyDescent="0.2">
      <c r="A142" s="10">
        <v>44200000</v>
      </c>
      <c r="B142" s="10" t="s">
        <v>330</v>
      </c>
      <c r="C142" s="11">
        <v>0</v>
      </c>
      <c r="D142" s="11">
        <v>0</v>
      </c>
      <c r="E142" s="11">
        <v>0</v>
      </c>
      <c r="F142" s="13">
        <v>0</v>
      </c>
      <c r="G142" s="13">
        <v>0</v>
      </c>
      <c r="H142" s="14">
        <v>0</v>
      </c>
      <c r="I142" s="14">
        <v>0</v>
      </c>
      <c r="J142" s="8"/>
      <c r="K142" s="8"/>
    </row>
    <row r="143" spans="1:11" x14ac:dyDescent="0.2">
      <c r="A143" s="10">
        <v>44201000</v>
      </c>
      <c r="B143" s="10" t="s">
        <v>331</v>
      </c>
      <c r="C143" s="11">
        <v>0</v>
      </c>
      <c r="D143" s="11">
        <v>0</v>
      </c>
      <c r="E143" s="11">
        <v>0</v>
      </c>
      <c r="F143" s="13">
        <v>0</v>
      </c>
      <c r="G143" s="13">
        <v>0</v>
      </c>
      <c r="H143" s="14">
        <v>0</v>
      </c>
      <c r="I143" s="14">
        <v>0</v>
      </c>
      <c r="J143" s="8"/>
      <c r="K143" s="8"/>
    </row>
    <row r="144" spans="1:11" x14ac:dyDescent="0.2">
      <c r="A144" s="10">
        <v>44202000</v>
      </c>
      <c r="B144" s="10" t="s">
        <v>332</v>
      </c>
      <c r="C144" s="11">
        <v>0</v>
      </c>
      <c r="D144" s="11">
        <v>0</v>
      </c>
      <c r="E144" s="11">
        <v>0</v>
      </c>
      <c r="F144" s="13">
        <v>0</v>
      </c>
      <c r="G144" s="13">
        <v>0</v>
      </c>
      <c r="H144" s="14">
        <v>0</v>
      </c>
      <c r="I144" s="14">
        <v>0</v>
      </c>
      <c r="J144" s="8"/>
      <c r="K144" s="8"/>
    </row>
    <row r="145" spans="1:11" x14ac:dyDescent="0.2">
      <c r="A145" s="10">
        <v>44203000</v>
      </c>
      <c r="B145" s="10" t="s">
        <v>333</v>
      </c>
      <c r="C145" s="11">
        <v>0</v>
      </c>
      <c r="D145" s="11">
        <v>0</v>
      </c>
      <c r="E145" s="11">
        <v>0</v>
      </c>
      <c r="F145" s="13">
        <v>0</v>
      </c>
      <c r="G145" s="13">
        <v>0</v>
      </c>
      <c r="H145" s="14">
        <v>0</v>
      </c>
      <c r="I145" s="14">
        <v>0</v>
      </c>
      <c r="J145" s="8"/>
      <c r="K145" s="8"/>
    </row>
    <row r="146" spans="1:11" x14ac:dyDescent="0.2">
      <c r="A146" s="10">
        <v>44204000</v>
      </c>
      <c r="B146" s="10" t="s">
        <v>334</v>
      </c>
      <c r="C146" s="11">
        <v>0</v>
      </c>
      <c r="D146" s="11">
        <v>0</v>
      </c>
      <c r="E146" s="11">
        <v>0</v>
      </c>
      <c r="F146" s="13">
        <v>0</v>
      </c>
      <c r="G146" s="13">
        <v>0</v>
      </c>
      <c r="H146" s="14">
        <v>0</v>
      </c>
      <c r="I146" s="14">
        <v>0</v>
      </c>
      <c r="J146" s="8"/>
      <c r="K146" s="8"/>
    </row>
    <row r="147" spans="1:11" x14ac:dyDescent="0.2">
      <c r="A147" s="10">
        <v>44205000</v>
      </c>
      <c r="B147" s="10" t="s">
        <v>335</v>
      </c>
      <c r="C147" s="11">
        <v>0</v>
      </c>
      <c r="D147" s="11">
        <v>0</v>
      </c>
      <c r="E147" s="11">
        <v>0</v>
      </c>
      <c r="F147" s="13">
        <v>0</v>
      </c>
      <c r="G147" s="13">
        <v>0</v>
      </c>
      <c r="H147" s="14">
        <v>0</v>
      </c>
      <c r="I147" s="14">
        <v>0</v>
      </c>
      <c r="J147" s="8"/>
      <c r="K147" s="8"/>
    </row>
    <row r="148" spans="1:11" x14ac:dyDescent="0.2">
      <c r="A148" s="10">
        <v>44206000</v>
      </c>
      <c r="B148" s="10" t="s">
        <v>100</v>
      </c>
      <c r="C148" s="11">
        <v>-734999.99999999988</v>
      </c>
      <c r="D148" s="11">
        <v>65000</v>
      </c>
      <c r="E148" s="11">
        <v>0</v>
      </c>
      <c r="F148" s="13">
        <v>0</v>
      </c>
      <c r="G148" s="13">
        <v>0</v>
      </c>
      <c r="H148" s="14">
        <v>65000</v>
      </c>
      <c r="I148" s="14">
        <v>-669999.99999999988</v>
      </c>
      <c r="J148" s="8" t="s">
        <v>81</v>
      </c>
      <c r="K148" s="8"/>
    </row>
    <row r="149" spans="1:11" x14ac:dyDescent="0.2">
      <c r="A149" s="10">
        <v>44207000</v>
      </c>
      <c r="B149" s="10" t="s">
        <v>336</v>
      </c>
      <c r="C149" s="11">
        <v>70000</v>
      </c>
      <c r="D149" s="11">
        <v>15000</v>
      </c>
      <c r="E149" s="11">
        <v>0</v>
      </c>
      <c r="F149" s="13">
        <v>0</v>
      </c>
      <c r="G149" s="13">
        <v>0</v>
      </c>
      <c r="H149" s="14">
        <v>15000</v>
      </c>
      <c r="I149" s="14">
        <v>85000</v>
      </c>
      <c r="J149" s="8" t="s">
        <v>78</v>
      </c>
      <c r="K149" s="8"/>
    </row>
    <row r="150" spans="1:11" x14ac:dyDescent="0.2">
      <c r="A150" s="10">
        <v>44208000</v>
      </c>
      <c r="B150" s="10" t="s">
        <v>337</v>
      </c>
      <c r="C150" s="11">
        <v>2270.971</v>
      </c>
      <c r="D150" s="11">
        <v>0</v>
      </c>
      <c r="E150" s="11">
        <v>0</v>
      </c>
      <c r="F150" s="13">
        <v>0</v>
      </c>
      <c r="G150" s="13">
        <v>0</v>
      </c>
      <c r="H150" s="14">
        <v>0</v>
      </c>
      <c r="I150" s="14">
        <v>2270.971</v>
      </c>
      <c r="J150" s="8" t="s">
        <v>78</v>
      </c>
      <c r="K150" s="8"/>
    </row>
    <row r="151" spans="1:11" x14ac:dyDescent="0.2">
      <c r="A151" s="10">
        <v>44209000</v>
      </c>
      <c r="B151" s="10" t="s">
        <v>392</v>
      </c>
      <c r="C151" s="11">
        <v>-1400000</v>
      </c>
      <c r="D151" s="11">
        <v>0</v>
      </c>
      <c r="E151" s="11">
        <v>0</v>
      </c>
      <c r="F151" s="13">
        <v>0</v>
      </c>
      <c r="G151" s="13">
        <v>0</v>
      </c>
      <c r="H151" s="14">
        <v>0</v>
      </c>
      <c r="I151" s="14">
        <v>-1400000</v>
      </c>
      <c r="J151" s="8" t="s">
        <v>81</v>
      </c>
      <c r="K151" s="8"/>
    </row>
    <row r="152" spans="1:11" x14ac:dyDescent="0.2">
      <c r="A152" s="10">
        <v>44210000</v>
      </c>
      <c r="B152" s="10" t="s">
        <v>338</v>
      </c>
      <c r="C152" s="11">
        <v>0</v>
      </c>
      <c r="D152" s="11">
        <v>0</v>
      </c>
      <c r="E152" s="11">
        <v>0</v>
      </c>
      <c r="F152" s="13">
        <v>0</v>
      </c>
      <c r="G152" s="13">
        <v>0</v>
      </c>
      <c r="H152" s="14">
        <v>0</v>
      </c>
      <c r="I152" s="14">
        <v>0</v>
      </c>
      <c r="J152" s="8"/>
      <c r="K152" s="8"/>
    </row>
    <row r="153" spans="1:11" x14ac:dyDescent="0.2">
      <c r="A153" s="10">
        <v>44600000</v>
      </c>
      <c r="B153" s="10" t="s">
        <v>339</v>
      </c>
      <c r="C153" s="11">
        <v>0</v>
      </c>
      <c r="D153" s="11">
        <v>0</v>
      </c>
      <c r="E153" s="11">
        <v>0</v>
      </c>
      <c r="F153" s="13">
        <v>0</v>
      </c>
      <c r="G153" s="13">
        <v>0</v>
      </c>
      <c r="H153" s="14">
        <v>0</v>
      </c>
      <c r="I153" s="14">
        <v>0</v>
      </c>
      <c r="J153" s="8"/>
      <c r="K153" s="8"/>
    </row>
    <row r="154" spans="1:11" x14ac:dyDescent="0.2">
      <c r="A154" s="10">
        <v>44700000</v>
      </c>
      <c r="B154" s="10" t="s">
        <v>101</v>
      </c>
      <c r="C154" s="11">
        <v>0</v>
      </c>
      <c r="D154" s="11">
        <v>0</v>
      </c>
      <c r="E154" s="11">
        <v>0</v>
      </c>
      <c r="F154" s="13">
        <v>0</v>
      </c>
      <c r="G154" s="13">
        <v>0</v>
      </c>
      <c r="H154" s="14">
        <v>0</v>
      </c>
      <c r="I154" s="14">
        <v>0</v>
      </c>
      <c r="J154" s="8"/>
      <c r="K154" s="8"/>
    </row>
    <row r="155" spans="1:11" x14ac:dyDescent="0.2">
      <c r="A155" s="10">
        <v>45000000</v>
      </c>
      <c r="B155" s="10" t="s">
        <v>102</v>
      </c>
      <c r="C155" s="11">
        <v>-12699.999999999534</v>
      </c>
      <c r="D155" s="11">
        <v>0</v>
      </c>
      <c r="E155" s="11">
        <v>0</v>
      </c>
      <c r="F155" s="13">
        <v>0</v>
      </c>
      <c r="G155" s="13">
        <v>0</v>
      </c>
      <c r="H155" s="14">
        <v>0</v>
      </c>
      <c r="I155" s="14">
        <v>-12699.999999999534</v>
      </c>
      <c r="J155" s="8" t="s">
        <v>81</v>
      </c>
      <c r="K155" s="8"/>
    </row>
    <row r="156" spans="1:11" x14ac:dyDescent="0.2">
      <c r="A156" s="10">
        <v>45200000</v>
      </c>
      <c r="B156" s="10" t="s">
        <v>103</v>
      </c>
      <c r="C156" s="11">
        <v>0</v>
      </c>
      <c r="D156" s="11">
        <v>0</v>
      </c>
      <c r="E156" s="11">
        <v>0</v>
      </c>
      <c r="F156" s="13">
        <v>0</v>
      </c>
      <c r="G156" s="13">
        <v>0</v>
      </c>
      <c r="H156" s="14">
        <v>0</v>
      </c>
      <c r="I156" s="14">
        <v>0</v>
      </c>
      <c r="J156" s="8" t="s">
        <v>81</v>
      </c>
      <c r="K156" s="8"/>
    </row>
    <row r="157" spans="1:11" x14ac:dyDescent="0.2">
      <c r="A157" s="10">
        <v>45310000</v>
      </c>
      <c r="B157" s="10" t="s">
        <v>104</v>
      </c>
      <c r="C157" s="11">
        <v>-57893.009000000078</v>
      </c>
      <c r="D157" s="11">
        <v>1246.9880000000001</v>
      </c>
      <c r="E157" s="11">
        <v>29130.688000000002</v>
      </c>
      <c r="F157" s="13">
        <v>0</v>
      </c>
      <c r="G157" s="13">
        <v>28703.087</v>
      </c>
      <c r="H157" s="14">
        <v>-56586.786999999997</v>
      </c>
      <c r="I157" s="14">
        <v>-114479.79600000007</v>
      </c>
      <c r="J157" s="8" t="s">
        <v>81</v>
      </c>
      <c r="K157" s="8"/>
    </row>
    <row r="158" spans="1:11" x14ac:dyDescent="0.2">
      <c r="A158" s="10">
        <v>45700000</v>
      </c>
      <c r="B158" s="10" t="s">
        <v>105</v>
      </c>
      <c r="C158" s="11">
        <v>5876</v>
      </c>
      <c r="D158" s="11">
        <v>0</v>
      </c>
      <c r="E158" s="11">
        <v>0</v>
      </c>
      <c r="F158" s="13">
        <v>0</v>
      </c>
      <c r="G158" s="13">
        <v>0</v>
      </c>
      <c r="H158" s="14">
        <v>0</v>
      </c>
      <c r="I158" s="14">
        <v>5876</v>
      </c>
      <c r="J158" s="8" t="s">
        <v>78</v>
      </c>
      <c r="K158" s="8"/>
    </row>
    <row r="159" spans="1:11" x14ac:dyDescent="0.2">
      <c r="A159" s="10">
        <v>45860000</v>
      </c>
      <c r="B159" s="10" t="s">
        <v>106</v>
      </c>
      <c r="C159" s="11">
        <v>-912046.39999999944</v>
      </c>
      <c r="D159" s="11">
        <v>10180</v>
      </c>
      <c r="E159" s="11">
        <v>19219.824000000001</v>
      </c>
      <c r="F159" s="13">
        <v>186312.63800000001</v>
      </c>
      <c r="G159" s="13">
        <v>449768.68099999998</v>
      </c>
      <c r="H159" s="14">
        <v>-272495.86699999997</v>
      </c>
      <c r="I159" s="14">
        <v>-1184542.2669999995</v>
      </c>
      <c r="J159" s="8" t="s">
        <v>81</v>
      </c>
      <c r="K159" s="8"/>
    </row>
    <row r="160" spans="1:11" x14ac:dyDescent="0.2">
      <c r="A160" s="10">
        <v>45870000</v>
      </c>
      <c r="B160" s="10" t="s">
        <v>107</v>
      </c>
      <c r="C160" s="11">
        <v>12877.199999999997</v>
      </c>
      <c r="D160" s="11">
        <v>0</v>
      </c>
      <c r="E160" s="11">
        <v>0</v>
      </c>
      <c r="F160" s="13">
        <v>3219.3</v>
      </c>
      <c r="G160" s="13">
        <v>0</v>
      </c>
      <c r="H160" s="14">
        <v>3219.3</v>
      </c>
      <c r="I160" s="14">
        <v>16096.499999999996</v>
      </c>
      <c r="J160" s="8" t="s">
        <v>78</v>
      </c>
      <c r="K160" s="8"/>
    </row>
    <row r="161" spans="1:11" x14ac:dyDescent="0.2">
      <c r="A161" s="10">
        <v>46100000</v>
      </c>
      <c r="B161" s="10" t="s">
        <v>340</v>
      </c>
      <c r="C161" s="11">
        <v>0</v>
      </c>
      <c r="D161" s="11">
        <v>67699.255999999994</v>
      </c>
      <c r="E161" s="11">
        <v>67699.255999999994</v>
      </c>
      <c r="F161" s="13">
        <v>0</v>
      </c>
      <c r="G161" s="13">
        <v>0</v>
      </c>
      <c r="H161" s="14">
        <v>0</v>
      </c>
      <c r="I161" s="14">
        <v>0</v>
      </c>
      <c r="J161" s="8"/>
      <c r="K161" s="8"/>
    </row>
    <row r="162" spans="1:11" x14ac:dyDescent="0.2">
      <c r="A162" s="10">
        <v>46800000</v>
      </c>
      <c r="B162" s="10" t="s">
        <v>108</v>
      </c>
      <c r="C162" s="11">
        <v>0</v>
      </c>
      <c r="D162" s="11">
        <v>0</v>
      </c>
      <c r="E162" s="11">
        <v>0</v>
      </c>
      <c r="F162" s="13">
        <v>0</v>
      </c>
      <c r="G162" s="13">
        <v>0</v>
      </c>
      <c r="H162" s="14">
        <v>0</v>
      </c>
      <c r="I162" s="14">
        <v>0</v>
      </c>
      <c r="J162" s="8"/>
      <c r="K162" s="8"/>
    </row>
    <row r="163" spans="1:11" x14ac:dyDescent="0.2">
      <c r="A163" s="10">
        <v>47100000</v>
      </c>
      <c r="B163" s="10" t="s">
        <v>109</v>
      </c>
      <c r="C163" s="11">
        <v>224421.47484600014</v>
      </c>
      <c r="D163" s="11">
        <v>0</v>
      </c>
      <c r="E163" s="11">
        <v>0</v>
      </c>
      <c r="F163" s="13">
        <v>0</v>
      </c>
      <c r="G163" s="13">
        <v>90433.903000000006</v>
      </c>
      <c r="H163" s="14">
        <v>-90433.903000000006</v>
      </c>
      <c r="I163" s="14">
        <v>133987.57184600015</v>
      </c>
      <c r="J163" s="8" t="s">
        <v>78</v>
      </c>
      <c r="K163" s="8"/>
    </row>
    <row r="164" spans="1:11" x14ac:dyDescent="0.2">
      <c r="A164" s="10">
        <v>47200000</v>
      </c>
      <c r="B164" s="10" t="s">
        <v>341</v>
      </c>
      <c r="C164" s="11">
        <v>0</v>
      </c>
      <c r="D164" s="11">
        <v>0</v>
      </c>
      <c r="E164" s="11">
        <v>0</v>
      </c>
      <c r="F164" s="13">
        <v>0</v>
      </c>
      <c r="G164" s="13">
        <v>0</v>
      </c>
      <c r="H164" s="14">
        <v>0</v>
      </c>
      <c r="I164" s="14">
        <v>0</v>
      </c>
      <c r="J164" s="8"/>
      <c r="K164" s="8"/>
    </row>
    <row r="165" spans="1:11" x14ac:dyDescent="0.2">
      <c r="A165" s="10">
        <v>49100000</v>
      </c>
      <c r="B165" s="10" t="s">
        <v>110</v>
      </c>
      <c r="C165" s="11">
        <v>-457129.14999999991</v>
      </c>
      <c r="D165" s="11">
        <v>0</v>
      </c>
      <c r="E165" s="11">
        <v>0</v>
      </c>
      <c r="F165" s="13">
        <v>0</v>
      </c>
      <c r="G165" s="13">
        <v>0</v>
      </c>
      <c r="H165" s="14">
        <v>0</v>
      </c>
      <c r="I165" s="14">
        <v>-457129.14999999991</v>
      </c>
      <c r="J165" s="8" t="s">
        <v>111</v>
      </c>
      <c r="K165" s="8"/>
    </row>
    <row r="166" spans="1:11" x14ac:dyDescent="0.2">
      <c r="A166" s="10">
        <v>49600000</v>
      </c>
      <c r="B166" s="10" t="s">
        <v>112</v>
      </c>
      <c r="C166" s="11">
        <v>-288613.68499999994</v>
      </c>
      <c r="D166" s="11">
        <v>0</v>
      </c>
      <c r="E166" s="11">
        <v>0</v>
      </c>
      <c r="F166" s="13">
        <v>0</v>
      </c>
      <c r="G166" s="13">
        <v>0</v>
      </c>
      <c r="H166" s="14">
        <v>0</v>
      </c>
      <c r="I166" s="14">
        <v>-288613.68499999994</v>
      </c>
      <c r="J166" s="8" t="s">
        <v>113</v>
      </c>
      <c r="K166" s="8"/>
    </row>
    <row r="167" spans="1:11" x14ac:dyDescent="0.2">
      <c r="A167" s="10">
        <v>50130000</v>
      </c>
      <c r="B167" s="10" t="s">
        <v>114</v>
      </c>
      <c r="C167" s="11">
        <v>-6000000</v>
      </c>
      <c r="D167" s="11">
        <v>0</v>
      </c>
      <c r="E167" s="11">
        <v>0</v>
      </c>
      <c r="F167" s="13">
        <v>0</v>
      </c>
      <c r="G167" s="13">
        <v>0</v>
      </c>
      <c r="H167" s="14">
        <v>0</v>
      </c>
      <c r="I167" s="14">
        <v>-6000000</v>
      </c>
      <c r="J167" s="8" t="s">
        <v>115</v>
      </c>
      <c r="K167" s="8"/>
    </row>
    <row r="168" spans="1:11" x14ac:dyDescent="0.2">
      <c r="A168" s="10">
        <v>50140000</v>
      </c>
      <c r="B168" s="10" t="s">
        <v>116</v>
      </c>
      <c r="C168" s="11">
        <v>-4000000</v>
      </c>
      <c r="D168" s="11">
        <v>0</v>
      </c>
      <c r="E168" s="11">
        <v>0</v>
      </c>
      <c r="F168" s="13">
        <v>0</v>
      </c>
      <c r="G168" s="13">
        <v>0</v>
      </c>
      <c r="H168" s="14">
        <v>0</v>
      </c>
      <c r="I168" s="14">
        <v>-4000000</v>
      </c>
      <c r="J168" s="8" t="s">
        <v>115</v>
      </c>
      <c r="K168" s="8"/>
    </row>
    <row r="169" spans="1:11" x14ac:dyDescent="0.2">
      <c r="A169" s="10">
        <v>50500000</v>
      </c>
      <c r="B169" s="10" t="s">
        <v>117</v>
      </c>
      <c r="C169" s="11">
        <v>-520833.33700000128</v>
      </c>
      <c r="D169" s="11">
        <v>208333.33300000001</v>
      </c>
      <c r="E169" s="11">
        <v>0</v>
      </c>
      <c r="F169" s="13">
        <v>0</v>
      </c>
      <c r="G169" s="13">
        <v>0</v>
      </c>
      <c r="H169" s="14">
        <v>208333.33300000001</v>
      </c>
      <c r="I169" s="14">
        <v>-312500.00400000124</v>
      </c>
      <c r="J169" s="8" t="s">
        <v>115</v>
      </c>
      <c r="K169" s="8"/>
    </row>
    <row r="170" spans="1:11" x14ac:dyDescent="0.2">
      <c r="A170" s="10">
        <v>50515000</v>
      </c>
      <c r="B170" s="10" t="s">
        <v>118</v>
      </c>
      <c r="C170" s="11">
        <v>-78194.252000000139</v>
      </c>
      <c r="D170" s="11">
        <v>9381.4430000000011</v>
      </c>
      <c r="E170" s="11">
        <v>0</v>
      </c>
      <c r="F170" s="13">
        <v>0</v>
      </c>
      <c r="G170" s="13">
        <v>0</v>
      </c>
      <c r="H170" s="14">
        <v>9381.4430000000011</v>
      </c>
      <c r="I170" s="14">
        <v>-68812.809000000139</v>
      </c>
      <c r="J170" s="8" t="s">
        <v>115</v>
      </c>
      <c r="K170" s="8"/>
    </row>
    <row r="171" spans="1:11" x14ac:dyDescent="0.2">
      <c r="A171" s="10">
        <v>50610100</v>
      </c>
      <c r="B171" s="10" t="s">
        <v>342</v>
      </c>
      <c r="C171" s="11">
        <v>0</v>
      </c>
      <c r="D171" s="11">
        <v>0</v>
      </c>
      <c r="E171" s="11">
        <v>0</v>
      </c>
      <c r="F171" s="13">
        <v>0</v>
      </c>
      <c r="G171" s="13">
        <v>0</v>
      </c>
      <c r="H171" s="14">
        <v>0</v>
      </c>
      <c r="I171" s="14">
        <v>0</v>
      </c>
      <c r="J171" s="8"/>
      <c r="K171" s="8"/>
    </row>
    <row r="172" spans="1:11" x14ac:dyDescent="0.2">
      <c r="A172" s="10">
        <v>50610900</v>
      </c>
      <c r="B172" s="10" t="s">
        <v>119</v>
      </c>
      <c r="C172" s="11">
        <v>3.7650018930435181E-4</v>
      </c>
      <c r="D172" s="11">
        <v>0</v>
      </c>
      <c r="E172" s="11">
        <v>0</v>
      </c>
      <c r="F172" s="13">
        <v>0</v>
      </c>
      <c r="G172" s="13">
        <v>0</v>
      </c>
      <c r="H172" s="14">
        <v>0</v>
      </c>
      <c r="I172" s="14">
        <v>3.7650018930435181E-4</v>
      </c>
      <c r="J172" s="8"/>
      <c r="K172" s="8"/>
    </row>
    <row r="173" spans="1:11" x14ac:dyDescent="0.2">
      <c r="A173" s="10">
        <v>50630000</v>
      </c>
      <c r="B173" s="10" t="s">
        <v>343</v>
      </c>
      <c r="C173" s="11">
        <v>0</v>
      </c>
      <c r="D173" s="11">
        <v>0</v>
      </c>
      <c r="E173" s="11">
        <v>0</v>
      </c>
      <c r="F173" s="13">
        <v>0</v>
      </c>
      <c r="G173" s="13">
        <v>0</v>
      </c>
      <c r="H173" s="14">
        <v>0</v>
      </c>
      <c r="I173" s="14">
        <v>0</v>
      </c>
      <c r="J173" s="8"/>
      <c r="K173" s="8"/>
    </row>
    <row r="174" spans="1:11" x14ac:dyDescent="0.2">
      <c r="A174" s="10">
        <v>50800000</v>
      </c>
      <c r="B174" s="10" t="s">
        <v>344</v>
      </c>
      <c r="C174" s="11">
        <v>0</v>
      </c>
      <c r="D174" s="11">
        <v>0</v>
      </c>
      <c r="E174" s="11">
        <v>0</v>
      </c>
      <c r="F174" s="13">
        <v>0</v>
      </c>
      <c r="G174" s="13">
        <v>0</v>
      </c>
      <c r="H174" s="14">
        <v>0</v>
      </c>
      <c r="I174" s="14">
        <v>0</v>
      </c>
      <c r="J174" s="8" t="s">
        <v>115</v>
      </c>
      <c r="K174" s="8"/>
    </row>
    <row r="175" spans="1:11" x14ac:dyDescent="0.2">
      <c r="A175" s="10">
        <v>52000000</v>
      </c>
      <c r="B175" s="10" t="s">
        <v>345</v>
      </c>
      <c r="C175" s="11">
        <v>0</v>
      </c>
      <c r="D175" s="11">
        <v>0</v>
      </c>
      <c r="E175" s="11">
        <v>0</v>
      </c>
      <c r="F175" s="13">
        <v>0</v>
      </c>
      <c r="G175" s="13">
        <v>0</v>
      </c>
      <c r="H175" s="14">
        <v>0</v>
      </c>
      <c r="I175" s="14">
        <v>0</v>
      </c>
      <c r="J175" s="8"/>
      <c r="K175" s="8"/>
    </row>
    <row r="176" spans="1:11" x14ac:dyDescent="0.2">
      <c r="A176" s="10">
        <v>52001100</v>
      </c>
      <c r="B176" s="10" t="s">
        <v>346</v>
      </c>
      <c r="C176" s="11">
        <v>0</v>
      </c>
      <c r="D176" s="11">
        <v>0</v>
      </c>
      <c r="E176" s="11">
        <v>0</v>
      </c>
      <c r="F176" s="13">
        <v>0</v>
      </c>
      <c r="G176" s="13">
        <v>0</v>
      </c>
      <c r="H176" s="14">
        <v>0</v>
      </c>
      <c r="I176" s="14">
        <v>0</v>
      </c>
      <c r="J176" s="8"/>
      <c r="K176" s="8"/>
    </row>
    <row r="177" spans="1:11" x14ac:dyDescent="0.2">
      <c r="A177" s="10">
        <v>53140000</v>
      </c>
      <c r="B177" s="10" t="s">
        <v>347</v>
      </c>
      <c r="C177" s="11">
        <v>0</v>
      </c>
      <c r="D177" s="11">
        <v>0</v>
      </c>
      <c r="E177" s="11">
        <v>0</v>
      </c>
      <c r="F177" s="13">
        <v>0</v>
      </c>
      <c r="G177" s="13">
        <v>0</v>
      </c>
      <c r="H177" s="14">
        <v>0</v>
      </c>
      <c r="I177" s="14">
        <v>0</v>
      </c>
      <c r="J177" s="8"/>
      <c r="K177" s="8"/>
    </row>
    <row r="178" spans="1:11" x14ac:dyDescent="0.2">
      <c r="A178" s="10">
        <v>53200000</v>
      </c>
      <c r="B178" s="10" t="s">
        <v>120</v>
      </c>
      <c r="C178" s="11">
        <v>0</v>
      </c>
      <c r="D178" s="11">
        <v>3312585.1380000003</v>
      </c>
      <c r="E178" s="11">
        <v>3172000</v>
      </c>
      <c r="F178" s="13">
        <v>0</v>
      </c>
      <c r="G178" s="13">
        <v>0</v>
      </c>
      <c r="H178" s="14">
        <v>140585.13800000027</v>
      </c>
      <c r="I178" s="14">
        <v>140585.13800000027</v>
      </c>
      <c r="J178" s="8" t="s">
        <v>121</v>
      </c>
      <c r="K178" s="8"/>
    </row>
    <row r="179" spans="1:11" x14ac:dyDescent="0.2">
      <c r="A179" s="10">
        <v>53201000</v>
      </c>
      <c r="B179" s="10" t="s">
        <v>348</v>
      </c>
      <c r="C179" s="11">
        <v>0</v>
      </c>
      <c r="D179" s="11">
        <v>0</v>
      </c>
      <c r="E179" s="11">
        <v>0</v>
      </c>
      <c r="F179" s="13">
        <v>0</v>
      </c>
      <c r="G179" s="13">
        <v>0</v>
      </c>
      <c r="H179" s="14">
        <v>0</v>
      </c>
      <c r="I179" s="14">
        <v>0</v>
      </c>
      <c r="J179" s="8"/>
      <c r="K179" s="8"/>
    </row>
    <row r="180" spans="1:11" x14ac:dyDescent="0.2">
      <c r="A180" s="10">
        <v>53202000</v>
      </c>
      <c r="B180" s="10" t="s">
        <v>122</v>
      </c>
      <c r="C180" s="11">
        <v>435.74199999962002</v>
      </c>
      <c r="D180" s="11">
        <v>0</v>
      </c>
      <c r="E180" s="11">
        <v>0</v>
      </c>
      <c r="F180" s="13">
        <v>0</v>
      </c>
      <c r="G180" s="13">
        <v>0</v>
      </c>
      <c r="H180" s="14">
        <v>0</v>
      </c>
      <c r="I180" s="14">
        <v>435.74199999962002</v>
      </c>
      <c r="J180" s="8" t="s">
        <v>121</v>
      </c>
      <c r="K180" s="8"/>
    </row>
    <row r="181" spans="1:11" x14ac:dyDescent="0.2">
      <c r="A181" s="10">
        <v>53203000</v>
      </c>
      <c r="B181" s="10" t="s">
        <v>349</v>
      </c>
      <c r="C181" s="11">
        <v>200043.76300000004</v>
      </c>
      <c r="D181" s="11">
        <v>290000</v>
      </c>
      <c r="E181" s="11">
        <v>431067.28600000002</v>
      </c>
      <c r="F181" s="13">
        <v>0</v>
      </c>
      <c r="G181" s="13">
        <v>0</v>
      </c>
      <c r="H181" s="14">
        <v>-141067.28600000002</v>
      </c>
      <c r="I181" s="14">
        <v>58976.477000000014</v>
      </c>
      <c r="J181" s="8" t="s">
        <v>121</v>
      </c>
      <c r="K181" s="8"/>
    </row>
    <row r="182" spans="1:11" x14ac:dyDescent="0.2">
      <c r="A182" s="10">
        <v>53204000</v>
      </c>
      <c r="B182" s="10" t="s">
        <v>350</v>
      </c>
      <c r="C182" s="11">
        <v>0</v>
      </c>
      <c r="D182" s="11">
        <v>0</v>
      </c>
      <c r="E182" s="11">
        <v>0</v>
      </c>
      <c r="F182" s="13">
        <v>0</v>
      </c>
      <c r="G182" s="13">
        <v>0</v>
      </c>
      <c r="H182" s="14">
        <v>0</v>
      </c>
      <c r="I182" s="14">
        <v>0</v>
      </c>
      <c r="J182" s="8"/>
      <c r="K182" s="8"/>
    </row>
    <row r="183" spans="1:11" x14ac:dyDescent="0.2">
      <c r="A183" s="10">
        <v>53204100</v>
      </c>
      <c r="B183" s="10" t="s">
        <v>351</v>
      </c>
      <c r="C183" s="11">
        <v>0</v>
      </c>
      <c r="D183" s="11">
        <v>0</v>
      </c>
      <c r="E183" s="11">
        <v>0</v>
      </c>
      <c r="F183" s="13">
        <v>0</v>
      </c>
      <c r="G183" s="13">
        <v>0</v>
      </c>
      <c r="H183" s="14">
        <v>0</v>
      </c>
      <c r="I183" s="14">
        <v>0</v>
      </c>
      <c r="J183" s="8"/>
      <c r="K183" s="8"/>
    </row>
    <row r="184" spans="1:11" x14ac:dyDescent="0.2">
      <c r="A184" s="10">
        <v>53204500</v>
      </c>
      <c r="B184" s="10" t="s">
        <v>123</v>
      </c>
      <c r="C184" s="11">
        <v>5874.02</v>
      </c>
      <c r="D184" s="11">
        <v>0</v>
      </c>
      <c r="E184" s="11">
        <v>0</v>
      </c>
      <c r="F184" s="13">
        <v>0</v>
      </c>
      <c r="G184" s="13">
        <v>0</v>
      </c>
      <c r="H184" s="14">
        <v>0</v>
      </c>
      <c r="I184" s="14">
        <v>5874.02</v>
      </c>
      <c r="J184" s="8" t="s">
        <v>121</v>
      </c>
      <c r="K184" s="8"/>
    </row>
    <row r="185" spans="1:11" x14ac:dyDescent="0.2">
      <c r="A185" s="10">
        <v>53205000</v>
      </c>
      <c r="B185" s="10" t="s">
        <v>124</v>
      </c>
      <c r="C185" s="11">
        <v>21818.723999977112</v>
      </c>
      <c r="D185" s="11">
        <v>104386.709</v>
      </c>
      <c r="E185" s="11">
        <v>100339.709</v>
      </c>
      <c r="F185" s="13">
        <v>0</v>
      </c>
      <c r="G185" s="13">
        <v>0</v>
      </c>
      <c r="H185" s="14">
        <v>4047</v>
      </c>
      <c r="I185" s="14">
        <v>25865.723999977112</v>
      </c>
      <c r="J185" s="8" t="s">
        <v>121</v>
      </c>
      <c r="K185" s="8"/>
    </row>
    <row r="186" spans="1:11" x14ac:dyDescent="0.2">
      <c r="A186" s="10">
        <v>53205300</v>
      </c>
      <c r="B186" s="10" t="s">
        <v>125</v>
      </c>
      <c r="C186" s="11">
        <v>0</v>
      </c>
      <c r="D186" s="11">
        <v>0</v>
      </c>
      <c r="E186" s="11">
        <v>0</v>
      </c>
      <c r="F186" s="13">
        <v>0</v>
      </c>
      <c r="G186" s="13">
        <v>0</v>
      </c>
      <c r="H186" s="14">
        <v>0</v>
      </c>
      <c r="I186" s="14">
        <v>0</v>
      </c>
      <c r="J186" s="8" t="s">
        <v>121</v>
      </c>
      <c r="K186" s="8"/>
    </row>
    <row r="187" spans="1:11" x14ac:dyDescent="0.2">
      <c r="A187" s="10">
        <v>53205400</v>
      </c>
      <c r="B187" s="10" t="s">
        <v>126</v>
      </c>
      <c r="C187" s="11">
        <v>0</v>
      </c>
      <c r="D187" s="11">
        <v>0</v>
      </c>
      <c r="E187" s="11">
        <v>0</v>
      </c>
      <c r="F187" s="13">
        <v>0</v>
      </c>
      <c r="G187" s="13">
        <v>0</v>
      </c>
      <c r="H187" s="14">
        <v>0</v>
      </c>
      <c r="I187" s="14">
        <v>0</v>
      </c>
      <c r="J187" s="8"/>
      <c r="K187" s="8"/>
    </row>
    <row r="188" spans="1:11" x14ac:dyDescent="0.2">
      <c r="A188" s="10">
        <v>53205500</v>
      </c>
      <c r="B188" s="10" t="s">
        <v>127</v>
      </c>
      <c r="C188" s="11">
        <v>0</v>
      </c>
      <c r="D188" s="11">
        <v>0</v>
      </c>
      <c r="E188" s="11">
        <v>0</v>
      </c>
      <c r="F188" s="13">
        <v>0</v>
      </c>
      <c r="G188" s="13">
        <v>0</v>
      </c>
      <c r="H188" s="14">
        <v>0</v>
      </c>
      <c r="I188" s="14">
        <v>0</v>
      </c>
      <c r="J188" s="8"/>
      <c r="K188" s="8"/>
    </row>
    <row r="189" spans="1:11" x14ac:dyDescent="0.2">
      <c r="A189" s="10">
        <v>53205600</v>
      </c>
      <c r="B189" s="10" t="s">
        <v>128</v>
      </c>
      <c r="C189" s="11">
        <v>-4954388.7399999332</v>
      </c>
      <c r="D189" s="11">
        <v>4125112.372</v>
      </c>
      <c r="E189" s="11">
        <v>3363089.9390000002</v>
      </c>
      <c r="F189" s="13">
        <v>0</v>
      </c>
      <c r="G189" s="13">
        <v>0</v>
      </c>
      <c r="H189" s="14">
        <v>762022.43299999973</v>
      </c>
      <c r="I189" s="14">
        <v>-4192366.3069999334</v>
      </c>
      <c r="J189" s="8" t="s">
        <v>115</v>
      </c>
      <c r="K189" s="8"/>
    </row>
    <row r="190" spans="1:11" x14ac:dyDescent="0.2">
      <c r="A190" s="10">
        <v>53205700</v>
      </c>
      <c r="B190" s="10" t="s">
        <v>129</v>
      </c>
      <c r="C190" s="11">
        <v>323161.8917222023</v>
      </c>
      <c r="D190" s="11">
        <v>0</v>
      </c>
      <c r="E190" s="11">
        <v>0</v>
      </c>
      <c r="F190" s="13">
        <v>0</v>
      </c>
      <c r="G190" s="13">
        <v>0</v>
      </c>
      <c r="H190" s="14">
        <v>0</v>
      </c>
      <c r="I190" s="14">
        <v>323161.8917222023</v>
      </c>
      <c r="J190" s="8" t="s">
        <v>121</v>
      </c>
      <c r="K190" s="8"/>
    </row>
    <row r="191" spans="1:11" x14ac:dyDescent="0.2">
      <c r="A191" s="10">
        <v>53205800</v>
      </c>
      <c r="B191" s="10" t="s">
        <v>130</v>
      </c>
      <c r="C191" s="11">
        <v>826555.7070000004</v>
      </c>
      <c r="D191" s="11">
        <v>0</v>
      </c>
      <c r="E191" s="11">
        <v>0</v>
      </c>
      <c r="F191" s="13">
        <v>0</v>
      </c>
      <c r="G191" s="13">
        <v>0</v>
      </c>
      <c r="H191" s="14">
        <v>0</v>
      </c>
      <c r="I191" s="14">
        <v>826555.7070000004</v>
      </c>
      <c r="J191" s="8" t="s">
        <v>121</v>
      </c>
      <c r="K191" s="8"/>
    </row>
    <row r="192" spans="1:11" x14ac:dyDescent="0.2">
      <c r="A192" s="10">
        <v>53207000</v>
      </c>
      <c r="B192" s="10" t="s">
        <v>352</v>
      </c>
      <c r="C192" s="11">
        <v>0</v>
      </c>
      <c r="D192" s="11">
        <v>0</v>
      </c>
      <c r="E192" s="11">
        <v>0</v>
      </c>
      <c r="F192" s="13">
        <v>0</v>
      </c>
      <c r="G192" s="13">
        <v>0</v>
      </c>
      <c r="H192" s="14">
        <v>0</v>
      </c>
      <c r="I192" s="14">
        <v>0</v>
      </c>
      <c r="J192" s="8"/>
      <c r="K192" s="8"/>
    </row>
    <row r="193" spans="1:11" x14ac:dyDescent="0.2">
      <c r="A193" s="10">
        <v>53207100</v>
      </c>
      <c r="B193" s="10" t="s">
        <v>353</v>
      </c>
      <c r="C193" s="11">
        <v>0</v>
      </c>
      <c r="D193" s="11">
        <v>0</v>
      </c>
      <c r="E193" s="11">
        <v>0</v>
      </c>
      <c r="F193" s="13">
        <v>0</v>
      </c>
      <c r="G193" s="13">
        <v>0</v>
      </c>
      <c r="H193" s="14">
        <v>0</v>
      </c>
      <c r="I193" s="14">
        <v>0</v>
      </c>
      <c r="J193" s="8"/>
      <c r="K193" s="8"/>
    </row>
    <row r="194" spans="1:11" x14ac:dyDescent="0.2">
      <c r="A194" s="10">
        <v>53207200</v>
      </c>
      <c r="B194" s="10" t="s">
        <v>354</v>
      </c>
      <c r="C194" s="11">
        <v>0</v>
      </c>
      <c r="D194" s="11">
        <v>0</v>
      </c>
      <c r="E194" s="11">
        <v>0</v>
      </c>
      <c r="F194" s="13">
        <v>0</v>
      </c>
      <c r="G194" s="13">
        <v>0</v>
      </c>
      <c r="H194" s="14">
        <v>0</v>
      </c>
      <c r="I194" s="14">
        <v>0</v>
      </c>
      <c r="J194" s="8"/>
      <c r="K194" s="8"/>
    </row>
    <row r="195" spans="1:11" x14ac:dyDescent="0.2">
      <c r="A195" s="10">
        <v>53208000</v>
      </c>
      <c r="B195" s="10" t="s">
        <v>355</v>
      </c>
      <c r="C195" s="11">
        <v>485.66199999954551</v>
      </c>
      <c r="D195" s="11">
        <v>0</v>
      </c>
      <c r="E195" s="11">
        <v>0</v>
      </c>
      <c r="F195" s="13">
        <v>0</v>
      </c>
      <c r="G195" s="13">
        <v>0</v>
      </c>
      <c r="H195" s="14">
        <v>0</v>
      </c>
      <c r="I195" s="14">
        <v>485.66199999954551</v>
      </c>
      <c r="J195" s="8" t="s">
        <v>121</v>
      </c>
      <c r="K195" s="8"/>
    </row>
    <row r="196" spans="1:11" x14ac:dyDescent="0.2">
      <c r="A196" s="10">
        <v>53208100</v>
      </c>
      <c r="B196" s="10" t="s">
        <v>356</v>
      </c>
      <c r="C196" s="11">
        <v>0</v>
      </c>
      <c r="D196" s="11">
        <v>0</v>
      </c>
      <c r="E196" s="11">
        <v>0</v>
      </c>
      <c r="F196" s="13">
        <v>0</v>
      </c>
      <c r="G196" s="13">
        <v>0</v>
      </c>
      <c r="H196" s="14">
        <v>0</v>
      </c>
      <c r="I196" s="14">
        <v>0</v>
      </c>
      <c r="J196" s="8"/>
      <c r="K196" s="8"/>
    </row>
    <row r="197" spans="1:11" x14ac:dyDescent="0.2">
      <c r="A197" s="10">
        <v>53208500</v>
      </c>
      <c r="B197" s="10" t="s">
        <v>357</v>
      </c>
      <c r="C197" s="11">
        <v>0</v>
      </c>
      <c r="D197" s="11">
        <v>0</v>
      </c>
      <c r="E197" s="11">
        <v>0</v>
      </c>
      <c r="F197" s="13">
        <v>0</v>
      </c>
      <c r="G197" s="13">
        <v>0</v>
      </c>
      <c r="H197" s="14">
        <v>0</v>
      </c>
      <c r="I197" s="14">
        <v>0</v>
      </c>
      <c r="J197" s="8"/>
      <c r="K197" s="8"/>
    </row>
    <row r="198" spans="1:11" x14ac:dyDescent="0.2">
      <c r="A198" s="10">
        <v>54000000</v>
      </c>
      <c r="B198" s="10" t="s">
        <v>358</v>
      </c>
      <c r="C198" s="11">
        <v>0</v>
      </c>
      <c r="D198" s="11">
        <v>0</v>
      </c>
      <c r="E198" s="11">
        <v>0</v>
      </c>
      <c r="F198" s="13">
        <v>0</v>
      </c>
      <c r="G198" s="13">
        <v>0</v>
      </c>
      <c r="H198" s="14">
        <v>0</v>
      </c>
      <c r="I198" s="14">
        <v>0</v>
      </c>
      <c r="J198" s="8"/>
      <c r="K198" s="8"/>
    </row>
    <row r="199" spans="1:11" x14ac:dyDescent="0.2">
      <c r="A199" s="10">
        <v>54100000</v>
      </c>
      <c r="B199" s="10" t="s">
        <v>131</v>
      </c>
      <c r="C199" s="11">
        <v>0</v>
      </c>
      <c r="D199" s="11">
        <v>8011.8230000000012</v>
      </c>
      <c r="E199" s="11">
        <v>8011.8230000000012</v>
      </c>
      <c r="F199" s="13">
        <v>0</v>
      </c>
      <c r="G199" s="13">
        <v>0</v>
      </c>
      <c r="H199" s="14">
        <v>0</v>
      </c>
      <c r="I199" s="14">
        <v>0</v>
      </c>
      <c r="J199" s="8" t="s">
        <v>115</v>
      </c>
      <c r="K199" s="8"/>
    </row>
    <row r="200" spans="1:11" x14ac:dyDescent="0.2">
      <c r="A200" s="10">
        <v>54300000</v>
      </c>
      <c r="B200" s="10" t="s">
        <v>359</v>
      </c>
      <c r="C200" s="11">
        <v>0</v>
      </c>
      <c r="D200" s="11">
        <v>0</v>
      </c>
      <c r="E200" s="11">
        <v>0</v>
      </c>
      <c r="F200" s="13">
        <v>0</v>
      </c>
      <c r="G200" s="13">
        <v>0</v>
      </c>
      <c r="H200" s="14">
        <v>0</v>
      </c>
      <c r="I200" s="14">
        <v>0</v>
      </c>
      <c r="J200" s="8"/>
      <c r="K200" s="8"/>
    </row>
    <row r="201" spans="1:11" x14ac:dyDescent="0.2">
      <c r="A201" s="10">
        <v>55010000</v>
      </c>
      <c r="B201" s="10" t="s">
        <v>132</v>
      </c>
      <c r="C201" s="11">
        <v>3000</v>
      </c>
      <c r="D201" s="11">
        <v>0</v>
      </c>
      <c r="E201" s="11">
        <v>0</v>
      </c>
      <c r="F201" s="13">
        <v>0</v>
      </c>
      <c r="G201" s="13">
        <v>0</v>
      </c>
      <c r="H201" s="14">
        <v>0</v>
      </c>
      <c r="I201" s="14">
        <v>3000</v>
      </c>
      <c r="J201" s="8" t="s">
        <v>121</v>
      </c>
      <c r="K201" s="8"/>
    </row>
    <row r="202" spans="1:11" x14ac:dyDescent="0.2">
      <c r="A202" s="10">
        <v>55011000</v>
      </c>
      <c r="B202" s="10" t="s">
        <v>133</v>
      </c>
      <c r="C202" s="11">
        <v>0</v>
      </c>
      <c r="D202" s="11">
        <v>0</v>
      </c>
      <c r="E202" s="11">
        <v>0</v>
      </c>
      <c r="F202" s="13">
        <v>0</v>
      </c>
      <c r="G202" s="13">
        <v>0</v>
      </c>
      <c r="H202" s="14">
        <v>0</v>
      </c>
      <c r="I202" s="14">
        <v>0</v>
      </c>
      <c r="J202" s="8" t="s">
        <v>121</v>
      </c>
      <c r="K202" s="8"/>
    </row>
    <row r="203" spans="1:11" x14ac:dyDescent="0.2">
      <c r="A203" s="10">
        <v>58000000</v>
      </c>
      <c r="B203" s="10" t="s">
        <v>134</v>
      </c>
      <c r="C203" s="11">
        <v>0</v>
      </c>
      <c r="D203" s="11">
        <v>0</v>
      </c>
      <c r="E203" s="11">
        <v>0</v>
      </c>
      <c r="F203" s="13">
        <v>0</v>
      </c>
      <c r="G203" s="13">
        <v>0</v>
      </c>
      <c r="H203" s="14">
        <v>0</v>
      </c>
      <c r="I203" s="14">
        <v>0</v>
      </c>
      <c r="J203" s="8" t="s">
        <v>121</v>
      </c>
      <c r="K203" s="8"/>
    </row>
    <row r="204" spans="1:11" x14ac:dyDescent="0.2">
      <c r="A204" s="10">
        <v>58001000</v>
      </c>
      <c r="B204" s="10" t="s">
        <v>135</v>
      </c>
      <c r="C204" s="11">
        <v>-1.9999593496322632E-4</v>
      </c>
      <c r="D204" s="11">
        <v>0</v>
      </c>
      <c r="E204" s="11">
        <v>0</v>
      </c>
      <c r="F204" s="13">
        <v>0</v>
      </c>
      <c r="G204" s="13">
        <v>0</v>
      </c>
      <c r="H204" s="14">
        <v>0</v>
      </c>
      <c r="I204" s="14">
        <v>-1.9999593496322632E-4</v>
      </c>
      <c r="J204" s="8"/>
      <c r="K204" s="8"/>
    </row>
    <row r="205" spans="1:11" x14ac:dyDescent="0.2">
      <c r="A205" s="10">
        <v>58002000</v>
      </c>
      <c r="B205" s="10" t="s">
        <v>360</v>
      </c>
      <c r="C205" s="11">
        <v>0</v>
      </c>
      <c r="D205" s="11">
        <v>0</v>
      </c>
      <c r="E205" s="11">
        <v>0</v>
      </c>
      <c r="F205" s="13">
        <v>0</v>
      </c>
      <c r="G205" s="13">
        <v>0</v>
      </c>
      <c r="H205" s="14">
        <v>0</v>
      </c>
      <c r="I205" s="14">
        <v>0</v>
      </c>
      <c r="J205" s="8"/>
      <c r="K205" s="8"/>
    </row>
    <row r="206" spans="1:11" x14ac:dyDescent="0.2">
      <c r="A206" s="10">
        <v>58003000</v>
      </c>
      <c r="B206" s="10" t="s">
        <v>136</v>
      </c>
      <c r="C206" s="11">
        <v>1.0100007057189941E-4</v>
      </c>
      <c r="D206" s="11">
        <v>0</v>
      </c>
      <c r="E206" s="11">
        <v>0</v>
      </c>
      <c r="F206" s="13">
        <v>0</v>
      </c>
      <c r="G206" s="13">
        <v>0</v>
      </c>
      <c r="H206" s="14">
        <v>0</v>
      </c>
      <c r="I206" s="14">
        <v>1.0100007057189941E-4</v>
      </c>
      <c r="J206" s="8"/>
      <c r="K206" s="8"/>
    </row>
    <row r="207" spans="1:11" x14ac:dyDescent="0.2">
      <c r="A207" s="10">
        <v>58004000</v>
      </c>
      <c r="B207" s="10" t="s">
        <v>361</v>
      </c>
      <c r="C207" s="11">
        <v>0</v>
      </c>
      <c r="D207" s="11">
        <v>0</v>
      </c>
      <c r="E207" s="11">
        <v>0</v>
      </c>
      <c r="F207" s="13">
        <v>0</v>
      </c>
      <c r="G207" s="13">
        <v>0</v>
      </c>
      <c r="H207" s="14">
        <v>0</v>
      </c>
      <c r="I207" s="14">
        <v>0</v>
      </c>
      <c r="J207" s="8"/>
      <c r="K207" s="8"/>
    </row>
    <row r="208" spans="1:11" x14ac:dyDescent="0.2">
      <c r="A208" s="10">
        <v>58005000</v>
      </c>
      <c r="B208" s="10" t="s">
        <v>362</v>
      </c>
      <c r="C208" s="11">
        <v>3.8483762182295322E-4</v>
      </c>
      <c r="D208" s="11">
        <v>0</v>
      </c>
      <c r="E208" s="11">
        <v>0</v>
      </c>
      <c r="F208" s="13">
        <v>0</v>
      </c>
      <c r="G208" s="13">
        <v>0</v>
      </c>
      <c r="H208" s="14">
        <v>0</v>
      </c>
      <c r="I208" s="14">
        <v>3.8483762182295322E-4</v>
      </c>
      <c r="J208" s="8" t="s">
        <v>121</v>
      </c>
      <c r="K208" s="8"/>
    </row>
    <row r="209" spans="1:11" x14ac:dyDescent="0.2">
      <c r="A209" s="10">
        <v>60110210</v>
      </c>
      <c r="B209" s="10" t="s">
        <v>137</v>
      </c>
      <c r="C209" s="11">
        <v>657333.44673700002</v>
      </c>
      <c r="D209" s="11">
        <v>288216.73056449997</v>
      </c>
      <c r="E209" s="11">
        <v>0</v>
      </c>
      <c r="F209" s="13">
        <v>0</v>
      </c>
      <c r="G209" s="13">
        <v>0</v>
      </c>
      <c r="H209" s="14">
        <v>288216.73056449997</v>
      </c>
      <c r="I209" s="14">
        <v>945550.17730149999</v>
      </c>
      <c r="J209" s="8" t="s">
        <v>138</v>
      </c>
      <c r="K209" s="8" t="s">
        <v>509</v>
      </c>
    </row>
    <row r="210" spans="1:11" x14ac:dyDescent="0.2">
      <c r="A210" s="10">
        <v>60110211</v>
      </c>
      <c r="B210" s="10" t="s">
        <v>363</v>
      </c>
      <c r="C210" s="11">
        <v>123787.44935550002</v>
      </c>
      <c r="D210" s="11">
        <v>24574.931636000001</v>
      </c>
      <c r="E210" s="11">
        <v>0</v>
      </c>
      <c r="F210" s="13">
        <v>0</v>
      </c>
      <c r="G210" s="13">
        <v>0</v>
      </c>
      <c r="H210" s="14">
        <v>24574.931636000001</v>
      </c>
      <c r="I210" s="14">
        <v>148362.38099150002</v>
      </c>
      <c r="J210" s="8" t="s">
        <v>138</v>
      </c>
      <c r="K210" s="8" t="s">
        <v>509</v>
      </c>
    </row>
    <row r="211" spans="1:11" x14ac:dyDescent="0.2">
      <c r="A211" s="10">
        <v>60110212</v>
      </c>
      <c r="B211" s="10" t="s">
        <v>7391</v>
      </c>
      <c r="C211" s="11">
        <v>5674.3320000000003</v>
      </c>
      <c r="D211" s="11">
        <v>15267.563999999998</v>
      </c>
      <c r="E211" s="11">
        <v>0</v>
      </c>
      <c r="F211" s="13">
        <v>0</v>
      </c>
      <c r="G211" s="13">
        <v>0</v>
      </c>
      <c r="H211" s="14">
        <v>15267.563999999998</v>
      </c>
      <c r="I211" s="14">
        <v>20941.896000000001</v>
      </c>
      <c r="J211" s="8" t="s">
        <v>138</v>
      </c>
      <c r="K211" s="8" t="s">
        <v>509</v>
      </c>
    </row>
    <row r="212" spans="1:11" x14ac:dyDescent="0.2">
      <c r="A212" s="10">
        <v>60110213</v>
      </c>
      <c r="B212" s="10" t="s">
        <v>364</v>
      </c>
      <c r="C212" s="11">
        <v>4848</v>
      </c>
      <c r="D212" s="11">
        <v>1212</v>
      </c>
      <c r="E212" s="11">
        <v>0</v>
      </c>
      <c r="F212" s="13">
        <v>0</v>
      </c>
      <c r="G212" s="13">
        <v>0</v>
      </c>
      <c r="H212" s="14">
        <v>1212</v>
      </c>
      <c r="I212" s="14">
        <v>6060</v>
      </c>
      <c r="J212" s="8" t="s">
        <v>138</v>
      </c>
      <c r="K212" s="8" t="s">
        <v>509</v>
      </c>
    </row>
    <row r="213" spans="1:11" x14ac:dyDescent="0.2">
      <c r="A213" s="10">
        <v>60110220</v>
      </c>
      <c r="B213" s="10" t="s">
        <v>139</v>
      </c>
      <c r="C213" s="11">
        <v>829363.5189759999</v>
      </c>
      <c r="D213" s="11">
        <v>370095.47737449995</v>
      </c>
      <c r="E213" s="11">
        <v>0</v>
      </c>
      <c r="F213" s="13">
        <v>0</v>
      </c>
      <c r="G213" s="13">
        <v>0</v>
      </c>
      <c r="H213" s="14">
        <v>370095.47737449995</v>
      </c>
      <c r="I213" s="14">
        <v>1199458.9963504998</v>
      </c>
      <c r="J213" s="8" t="s">
        <v>138</v>
      </c>
      <c r="K213" s="8" t="s">
        <v>509</v>
      </c>
    </row>
    <row r="214" spans="1:11" x14ac:dyDescent="0.2">
      <c r="A214" s="10">
        <v>60110300</v>
      </c>
      <c r="B214" s="10" t="s">
        <v>140</v>
      </c>
      <c r="C214" s="11">
        <v>73234.560786999995</v>
      </c>
      <c r="D214" s="11">
        <v>38106.836887999998</v>
      </c>
      <c r="E214" s="11">
        <v>0</v>
      </c>
      <c r="F214" s="13">
        <v>0</v>
      </c>
      <c r="G214" s="13">
        <v>0</v>
      </c>
      <c r="H214" s="14">
        <v>38106.836887999998</v>
      </c>
      <c r="I214" s="14">
        <v>111341.39767499999</v>
      </c>
      <c r="J214" s="8" t="s">
        <v>138</v>
      </c>
      <c r="K214" s="8" t="s">
        <v>509</v>
      </c>
    </row>
    <row r="215" spans="1:11" x14ac:dyDescent="0.2">
      <c r="A215" s="10">
        <v>60110310</v>
      </c>
      <c r="B215" s="10" t="s">
        <v>141</v>
      </c>
      <c r="C215" s="11">
        <v>18863.582999999999</v>
      </c>
      <c r="D215" s="11">
        <v>48065.277000000002</v>
      </c>
      <c r="E215" s="11">
        <v>0</v>
      </c>
      <c r="F215" s="13">
        <v>0</v>
      </c>
      <c r="G215" s="13">
        <v>0</v>
      </c>
      <c r="H215" s="14">
        <v>48065.277000000002</v>
      </c>
      <c r="I215" s="14">
        <v>66928.86</v>
      </c>
      <c r="J215" s="8" t="s">
        <v>138</v>
      </c>
      <c r="K215" s="8" t="s">
        <v>509</v>
      </c>
    </row>
    <row r="216" spans="1:11" x14ac:dyDescent="0.2">
      <c r="A216" s="10">
        <v>60110320</v>
      </c>
      <c r="B216" s="10" t="s">
        <v>142</v>
      </c>
      <c r="C216" s="11">
        <v>29350.251264500002</v>
      </c>
      <c r="D216" s="11">
        <v>16319.9334375</v>
      </c>
      <c r="E216" s="11">
        <v>0</v>
      </c>
      <c r="F216" s="13">
        <v>0</v>
      </c>
      <c r="G216" s="13">
        <v>0</v>
      </c>
      <c r="H216" s="14">
        <v>16319.9334375</v>
      </c>
      <c r="I216" s="14">
        <v>45670.184701999999</v>
      </c>
      <c r="J216" s="8" t="s">
        <v>138</v>
      </c>
      <c r="K216" s="8" t="s">
        <v>509</v>
      </c>
    </row>
    <row r="217" spans="1:11" x14ac:dyDescent="0.2">
      <c r="A217" s="10">
        <v>60110330</v>
      </c>
      <c r="B217" s="10" t="s">
        <v>143</v>
      </c>
      <c r="C217" s="11">
        <v>40949.759999999995</v>
      </c>
      <c r="D217" s="11">
        <v>1171.8525</v>
      </c>
      <c r="E217" s="11">
        <v>0</v>
      </c>
      <c r="F217" s="13">
        <v>0</v>
      </c>
      <c r="G217" s="13">
        <v>0</v>
      </c>
      <c r="H217" s="14">
        <v>1171.8525</v>
      </c>
      <c r="I217" s="14">
        <v>42121.612499999996</v>
      </c>
      <c r="J217" s="8" t="s">
        <v>138</v>
      </c>
      <c r="K217" s="8" t="s">
        <v>509</v>
      </c>
    </row>
    <row r="218" spans="1:11" x14ac:dyDescent="0.2">
      <c r="A218" s="10">
        <v>60110350</v>
      </c>
      <c r="B218" s="10" t="s">
        <v>261</v>
      </c>
      <c r="C218" s="11">
        <v>1808.96</v>
      </c>
      <c r="D218" s="11">
        <v>3573.1020000000003</v>
      </c>
      <c r="E218" s="11">
        <v>0</v>
      </c>
      <c r="F218" s="13">
        <v>0</v>
      </c>
      <c r="G218" s="13">
        <v>0</v>
      </c>
      <c r="H218" s="14">
        <v>3573.1020000000003</v>
      </c>
      <c r="I218" s="14">
        <v>5382.0619999999999</v>
      </c>
      <c r="J218" s="8" t="s">
        <v>138</v>
      </c>
      <c r="K218" s="8" t="s">
        <v>509</v>
      </c>
    </row>
    <row r="219" spans="1:11" x14ac:dyDescent="0.2">
      <c r="A219" s="10">
        <v>60110400</v>
      </c>
      <c r="B219" s="10" t="s">
        <v>7392</v>
      </c>
      <c r="C219" s="11">
        <v>310.84899999999999</v>
      </c>
      <c r="D219" s="11">
        <v>0</v>
      </c>
      <c r="E219" s="16">
        <v>0</v>
      </c>
      <c r="F219" s="13">
        <v>0</v>
      </c>
      <c r="G219" s="13">
        <v>0</v>
      </c>
      <c r="H219" s="14">
        <v>0</v>
      </c>
      <c r="I219" s="14">
        <v>310.84899999999999</v>
      </c>
      <c r="J219" s="8" t="s">
        <v>138</v>
      </c>
      <c r="K219" s="8" t="s">
        <v>509</v>
      </c>
    </row>
    <row r="220" spans="1:11" x14ac:dyDescent="0.2">
      <c r="A220" s="10">
        <v>60110500</v>
      </c>
      <c r="B220" s="10" t="s">
        <v>144</v>
      </c>
      <c r="C220" s="11">
        <v>14223.545</v>
      </c>
      <c r="D220" s="11">
        <v>1050.7</v>
      </c>
      <c r="E220" s="11">
        <v>0</v>
      </c>
      <c r="F220" s="13">
        <v>0</v>
      </c>
      <c r="G220" s="13">
        <v>0</v>
      </c>
      <c r="H220" s="14">
        <v>1050.7</v>
      </c>
      <c r="I220" s="14">
        <v>15274.245000000001</v>
      </c>
      <c r="J220" s="8" t="s">
        <v>138</v>
      </c>
      <c r="K220" s="8" t="s">
        <v>509</v>
      </c>
    </row>
    <row r="221" spans="1:11" x14ac:dyDescent="0.2">
      <c r="A221" s="10">
        <v>60110600</v>
      </c>
      <c r="B221" s="10" t="s">
        <v>145</v>
      </c>
      <c r="C221" s="11">
        <v>13100.588</v>
      </c>
      <c r="D221" s="11">
        <v>0</v>
      </c>
      <c r="E221" s="11">
        <v>0</v>
      </c>
      <c r="F221" s="13">
        <v>0</v>
      </c>
      <c r="G221" s="13">
        <v>0</v>
      </c>
      <c r="H221" s="14">
        <v>0</v>
      </c>
      <c r="I221" s="14">
        <v>13100.588</v>
      </c>
      <c r="J221" s="8" t="s">
        <v>138</v>
      </c>
      <c r="K221" s="8" t="s">
        <v>509</v>
      </c>
    </row>
    <row r="222" spans="1:11" x14ac:dyDescent="0.2">
      <c r="A222" s="10">
        <v>60110700</v>
      </c>
      <c r="B222" s="10" t="s">
        <v>146</v>
      </c>
      <c r="C222" s="11">
        <v>5628.5159999999996</v>
      </c>
      <c r="D222" s="11">
        <v>3523.7809999999999</v>
      </c>
      <c r="E222" s="11">
        <v>0</v>
      </c>
      <c r="F222" s="13">
        <v>0</v>
      </c>
      <c r="G222" s="13">
        <v>0</v>
      </c>
      <c r="H222" s="14">
        <v>3523.7809999999999</v>
      </c>
      <c r="I222" s="14">
        <v>9152.2969999999987</v>
      </c>
      <c r="J222" s="8" t="s">
        <v>138</v>
      </c>
      <c r="K222" s="8" t="s">
        <v>509</v>
      </c>
    </row>
    <row r="223" spans="1:11" x14ac:dyDescent="0.2">
      <c r="A223" s="10">
        <v>60110900</v>
      </c>
      <c r="B223" s="10" t="s">
        <v>147</v>
      </c>
      <c r="C223" s="11">
        <v>144598.92300000001</v>
      </c>
      <c r="D223" s="11">
        <v>41531.857000000004</v>
      </c>
      <c r="E223" s="11">
        <v>0</v>
      </c>
      <c r="F223" s="13">
        <v>2303.6410000000001</v>
      </c>
      <c r="G223" s="13">
        <v>2584.6729999999998</v>
      </c>
      <c r="H223" s="14">
        <v>41250.825000000004</v>
      </c>
      <c r="I223" s="14">
        <v>185849.74800000002</v>
      </c>
      <c r="J223" s="8" t="s">
        <v>138</v>
      </c>
      <c r="K223" s="8" t="s">
        <v>509</v>
      </c>
    </row>
    <row r="224" spans="1:11" x14ac:dyDescent="0.2">
      <c r="A224" s="10">
        <v>60111000</v>
      </c>
      <c r="B224" s="10" t="s">
        <v>148</v>
      </c>
      <c r="C224" s="11">
        <v>4215.6499999999996</v>
      </c>
      <c r="D224" s="11">
        <v>1786.3870000000002</v>
      </c>
      <c r="E224" s="11">
        <v>0</v>
      </c>
      <c r="F224" s="13">
        <v>0</v>
      </c>
      <c r="G224" s="13">
        <v>0</v>
      </c>
      <c r="H224" s="14">
        <v>1786.3870000000002</v>
      </c>
      <c r="I224" s="14">
        <v>6002.0370000000003</v>
      </c>
      <c r="J224" s="8" t="s">
        <v>138</v>
      </c>
      <c r="K224" s="8" t="s">
        <v>509</v>
      </c>
    </row>
    <row r="225" spans="1:11" x14ac:dyDescent="0.2">
      <c r="A225" s="10">
        <v>60111010</v>
      </c>
      <c r="B225" s="10" t="s">
        <v>393</v>
      </c>
      <c r="C225" s="11">
        <v>626.20000000000005</v>
      </c>
      <c r="D225" s="11">
        <v>0</v>
      </c>
      <c r="E225" s="11">
        <v>0</v>
      </c>
      <c r="F225" s="13">
        <v>0</v>
      </c>
      <c r="G225" s="13">
        <v>0</v>
      </c>
      <c r="H225" s="14">
        <v>0</v>
      </c>
      <c r="I225" s="14">
        <v>626.20000000000005</v>
      </c>
      <c r="J225" s="8" t="s">
        <v>138</v>
      </c>
      <c r="K225" s="8" t="s">
        <v>509</v>
      </c>
    </row>
    <row r="226" spans="1:11" x14ac:dyDescent="0.2">
      <c r="A226" s="10">
        <v>60120100</v>
      </c>
      <c r="B226" s="10" t="s">
        <v>149</v>
      </c>
      <c r="C226" s="11">
        <v>613975.1026635</v>
      </c>
      <c r="D226" s="16">
        <v>279547.83576049999</v>
      </c>
      <c r="E226" s="11">
        <v>0</v>
      </c>
      <c r="F226" s="13">
        <v>0</v>
      </c>
      <c r="G226" s="13">
        <v>0</v>
      </c>
      <c r="H226" s="14">
        <v>279547.83576049999</v>
      </c>
      <c r="I226" s="14">
        <v>893522.93842400005</v>
      </c>
      <c r="J226" s="8" t="s">
        <v>138</v>
      </c>
      <c r="K226" s="8" t="s">
        <v>509</v>
      </c>
    </row>
    <row r="227" spans="1:11" x14ac:dyDescent="0.2">
      <c r="A227" s="10">
        <v>60120300</v>
      </c>
      <c r="B227" s="10" t="s">
        <v>150</v>
      </c>
      <c r="C227" s="12">
        <v>3646196.11</v>
      </c>
      <c r="D227" s="11">
        <v>1267094.6800000002</v>
      </c>
      <c r="E227" s="11">
        <v>0</v>
      </c>
      <c r="F227" s="13">
        <v>73941.8</v>
      </c>
      <c r="G227" s="13">
        <v>89891.08</v>
      </c>
      <c r="H227" s="14">
        <v>1251145.4000000001</v>
      </c>
      <c r="I227" s="14">
        <v>4897341.51</v>
      </c>
      <c r="J227" s="8" t="s">
        <v>138</v>
      </c>
      <c r="K227" s="8" t="s">
        <v>509</v>
      </c>
    </row>
    <row r="228" spans="1:11" x14ac:dyDescent="0.2">
      <c r="A228" s="10">
        <v>60120400</v>
      </c>
      <c r="B228" s="10" t="s">
        <v>365</v>
      </c>
      <c r="C228" s="12">
        <v>648559.91</v>
      </c>
      <c r="D228" s="11">
        <v>235910</v>
      </c>
      <c r="E228" s="11">
        <v>0</v>
      </c>
      <c r="F228" s="13">
        <v>0</v>
      </c>
      <c r="G228" s="13">
        <v>0</v>
      </c>
      <c r="H228" s="14">
        <v>235910</v>
      </c>
      <c r="I228" s="14">
        <v>884469.91</v>
      </c>
      <c r="J228" s="8" t="s">
        <v>138</v>
      </c>
      <c r="K228" s="8" t="s">
        <v>509</v>
      </c>
    </row>
    <row r="229" spans="1:11" x14ac:dyDescent="0.2">
      <c r="A229" s="10">
        <v>60120900</v>
      </c>
      <c r="B229" s="10" t="s">
        <v>7393</v>
      </c>
      <c r="C229" s="11">
        <v>35598.535000000003</v>
      </c>
      <c r="D229" s="11">
        <v>0</v>
      </c>
      <c r="E229" s="11">
        <v>0</v>
      </c>
      <c r="F229" s="13">
        <v>0</v>
      </c>
      <c r="G229" s="13">
        <v>0</v>
      </c>
      <c r="H229" s="14">
        <v>0</v>
      </c>
      <c r="I229" s="14">
        <v>35598.535000000003</v>
      </c>
      <c r="J229" s="8" t="s">
        <v>138</v>
      </c>
      <c r="K229" s="8" t="s">
        <v>509</v>
      </c>
    </row>
    <row r="230" spans="1:11" x14ac:dyDescent="0.2">
      <c r="A230" s="10">
        <v>60121010</v>
      </c>
      <c r="B230" s="10" t="s">
        <v>152</v>
      </c>
      <c r="C230" s="11">
        <v>1724476.0761449998</v>
      </c>
      <c r="D230" s="11">
        <v>820093.49479200004</v>
      </c>
      <c r="E230" s="11">
        <v>0</v>
      </c>
      <c r="F230" s="13">
        <v>0</v>
      </c>
      <c r="G230" s="13">
        <v>0</v>
      </c>
      <c r="H230" s="14">
        <v>820093.49479200004</v>
      </c>
      <c r="I230" s="14">
        <v>2544569.5709369997</v>
      </c>
      <c r="J230" s="8" t="s">
        <v>138</v>
      </c>
      <c r="K230" s="8" t="s">
        <v>509</v>
      </c>
    </row>
    <row r="231" spans="1:11" x14ac:dyDescent="0.2">
      <c r="A231" s="10">
        <v>60121031</v>
      </c>
      <c r="B231" s="10" t="s">
        <v>394</v>
      </c>
      <c r="C231" s="11">
        <v>20663.760000000002</v>
      </c>
      <c r="D231" s="11">
        <v>0</v>
      </c>
      <c r="E231" s="11">
        <v>0</v>
      </c>
      <c r="F231" s="13">
        <v>0</v>
      </c>
      <c r="G231" s="13">
        <v>0</v>
      </c>
      <c r="H231" s="14">
        <v>0</v>
      </c>
      <c r="I231" s="14">
        <v>20663.760000000002</v>
      </c>
      <c r="J231" s="8" t="s">
        <v>138</v>
      </c>
      <c r="K231" s="8" t="s">
        <v>509</v>
      </c>
    </row>
    <row r="232" spans="1:11" x14ac:dyDescent="0.2">
      <c r="A232" s="10">
        <v>60121032</v>
      </c>
      <c r="B232" s="10" t="s">
        <v>8973</v>
      </c>
      <c r="C232" s="11">
        <v>0</v>
      </c>
      <c r="D232" s="11">
        <v>9936.5</v>
      </c>
      <c r="E232" s="11">
        <v>0</v>
      </c>
      <c r="F232" s="13">
        <v>0</v>
      </c>
      <c r="G232" s="13">
        <v>0</v>
      </c>
      <c r="H232" s="14">
        <v>9936.5</v>
      </c>
      <c r="I232" s="14">
        <v>9936.5</v>
      </c>
      <c r="J232" s="8" t="s">
        <v>138</v>
      </c>
      <c r="K232" s="8" t="s">
        <v>509</v>
      </c>
    </row>
    <row r="233" spans="1:11" x14ac:dyDescent="0.2">
      <c r="A233" s="10">
        <v>60121033</v>
      </c>
      <c r="B233" s="10" t="s">
        <v>7718</v>
      </c>
      <c r="C233" s="11">
        <v>6596.5079999999998</v>
      </c>
      <c r="D233" s="11">
        <v>0</v>
      </c>
      <c r="E233" s="11">
        <v>0</v>
      </c>
      <c r="F233" s="13">
        <v>0</v>
      </c>
      <c r="G233" s="13">
        <v>0</v>
      </c>
      <c r="H233" s="14">
        <v>0</v>
      </c>
      <c r="I233" s="14">
        <v>6596.5079999999998</v>
      </c>
      <c r="J233" s="8" t="s">
        <v>138</v>
      </c>
      <c r="K233" s="8" t="s">
        <v>509</v>
      </c>
    </row>
    <row r="234" spans="1:11" x14ac:dyDescent="0.2">
      <c r="A234" s="10">
        <v>60121036</v>
      </c>
      <c r="B234" s="10" t="s">
        <v>7394</v>
      </c>
      <c r="C234" s="11">
        <v>376.17599999999999</v>
      </c>
      <c r="D234" s="11">
        <v>200</v>
      </c>
      <c r="E234" s="11">
        <v>0</v>
      </c>
      <c r="F234" s="13">
        <v>0</v>
      </c>
      <c r="G234" s="13">
        <v>0</v>
      </c>
      <c r="H234" s="14">
        <v>200</v>
      </c>
      <c r="I234" s="14">
        <v>576.17599999999993</v>
      </c>
      <c r="J234" s="8" t="s">
        <v>138</v>
      </c>
      <c r="K234" s="8" t="s">
        <v>509</v>
      </c>
    </row>
    <row r="235" spans="1:11" x14ac:dyDescent="0.2">
      <c r="A235" s="10">
        <v>60121040</v>
      </c>
      <c r="B235" s="10" t="s">
        <v>7720</v>
      </c>
      <c r="C235" s="11">
        <v>0</v>
      </c>
      <c r="D235" s="11">
        <v>0</v>
      </c>
      <c r="E235" s="11">
        <v>0</v>
      </c>
      <c r="F235" s="13">
        <v>147239.20000000001</v>
      </c>
      <c r="G235" s="13">
        <v>0</v>
      </c>
      <c r="H235" s="14">
        <v>147239.20000000001</v>
      </c>
      <c r="I235" s="14">
        <v>147239.20000000001</v>
      </c>
      <c r="J235" s="8" t="s">
        <v>138</v>
      </c>
      <c r="K235" s="8" t="s">
        <v>509</v>
      </c>
    </row>
    <row r="236" spans="1:11" x14ac:dyDescent="0.2">
      <c r="A236" s="10">
        <v>60121200</v>
      </c>
      <c r="B236" s="10" t="s">
        <v>7395</v>
      </c>
      <c r="C236" s="11">
        <v>1435</v>
      </c>
      <c r="D236" s="11">
        <v>0</v>
      </c>
      <c r="E236" s="11">
        <v>0</v>
      </c>
      <c r="F236" s="13">
        <v>0</v>
      </c>
      <c r="G236" s="13">
        <v>0</v>
      </c>
      <c r="H236" s="14">
        <v>0</v>
      </c>
      <c r="I236" s="14">
        <v>1435</v>
      </c>
      <c r="J236" s="8" t="s">
        <v>138</v>
      </c>
      <c r="K236" s="8" t="s">
        <v>509</v>
      </c>
    </row>
    <row r="237" spans="1:11" x14ac:dyDescent="0.2">
      <c r="A237" s="10">
        <v>60121400</v>
      </c>
      <c r="B237" s="10" t="s">
        <v>7570</v>
      </c>
      <c r="C237" s="11">
        <v>12694.809599999999</v>
      </c>
      <c r="D237" s="11">
        <v>0</v>
      </c>
      <c r="E237" s="11">
        <v>0</v>
      </c>
      <c r="F237" s="13">
        <v>0</v>
      </c>
      <c r="G237" s="13">
        <v>0</v>
      </c>
      <c r="H237" s="14">
        <v>0</v>
      </c>
      <c r="I237" s="14">
        <v>12694.809599999999</v>
      </c>
      <c r="J237" s="8" t="s">
        <v>138</v>
      </c>
      <c r="K237" s="8" t="s">
        <v>509</v>
      </c>
    </row>
    <row r="238" spans="1:11" x14ac:dyDescent="0.2">
      <c r="A238" s="10">
        <v>60121500</v>
      </c>
      <c r="B238" s="10" t="s">
        <v>404</v>
      </c>
      <c r="C238" s="11">
        <v>61072.5</v>
      </c>
      <c r="D238" s="11">
        <v>0</v>
      </c>
      <c r="E238" s="11">
        <v>0</v>
      </c>
      <c r="F238" s="13">
        <v>0</v>
      </c>
      <c r="G238" s="13">
        <v>0</v>
      </c>
      <c r="H238" s="14">
        <v>0</v>
      </c>
      <c r="I238" s="14">
        <v>61072.5</v>
      </c>
      <c r="J238" s="8" t="s">
        <v>138</v>
      </c>
      <c r="K238" s="8" t="s">
        <v>509</v>
      </c>
    </row>
    <row r="239" spans="1:11" x14ac:dyDescent="0.2">
      <c r="A239" s="10">
        <v>60121600</v>
      </c>
      <c r="B239" s="10" t="s">
        <v>154</v>
      </c>
      <c r="C239" s="11">
        <v>229381.2</v>
      </c>
      <c r="D239" s="11">
        <v>35712</v>
      </c>
      <c r="E239" s="11">
        <v>0</v>
      </c>
      <c r="F239" s="13">
        <v>0</v>
      </c>
      <c r="G239" s="13">
        <v>0</v>
      </c>
      <c r="H239" s="14">
        <v>35712</v>
      </c>
      <c r="I239" s="14">
        <v>265093.2</v>
      </c>
      <c r="J239" s="8" t="s">
        <v>138</v>
      </c>
      <c r="K239" s="8" t="s">
        <v>509</v>
      </c>
    </row>
    <row r="240" spans="1:11" x14ac:dyDescent="0.2">
      <c r="A240" s="10">
        <v>60121900</v>
      </c>
      <c r="B240" s="10" t="s">
        <v>7568</v>
      </c>
      <c r="C240" s="11">
        <v>1960</v>
      </c>
      <c r="D240" s="11">
        <v>41320</v>
      </c>
      <c r="E240" s="11">
        <v>0</v>
      </c>
      <c r="F240" s="13">
        <v>35000.839999999997</v>
      </c>
      <c r="G240" s="13">
        <v>0</v>
      </c>
      <c r="H240" s="14">
        <v>76320.84</v>
      </c>
      <c r="I240" s="14">
        <v>78280.84</v>
      </c>
      <c r="J240" s="8" t="s">
        <v>138</v>
      </c>
      <c r="K240" s="8" t="s">
        <v>509</v>
      </c>
    </row>
    <row r="241" spans="1:11" x14ac:dyDescent="0.2">
      <c r="A241" s="10">
        <v>60122100</v>
      </c>
      <c r="B241" s="10" t="s">
        <v>155</v>
      </c>
      <c r="C241" s="11">
        <v>100407.5</v>
      </c>
      <c r="D241" s="11">
        <v>3941.7</v>
      </c>
      <c r="E241" s="11">
        <v>0</v>
      </c>
      <c r="F241" s="13">
        <v>0</v>
      </c>
      <c r="G241" s="13">
        <v>0</v>
      </c>
      <c r="H241" s="14">
        <v>3941.7</v>
      </c>
      <c r="I241" s="14">
        <v>104349.2</v>
      </c>
      <c r="J241" s="8" t="s">
        <v>138</v>
      </c>
      <c r="K241" s="8" t="s">
        <v>509</v>
      </c>
    </row>
    <row r="242" spans="1:11" x14ac:dyDescent="0.2">
      <c r="A242" s="10">
        <v>60122200</v>
      </c>
      <c r="B242" s="10" t="s">
        <v>156</v>
      </c>
      <c r="C242" s="11">
        <v>39282.6</v>
      </c>
      <c r="D242" s="11">
        <v>13624.396000000002</v>
      </c>
      <c r="E242" s="11">
        <v>0</v>
      </c>
      <c r="F242" s="13">
        <v>0</v>
      </c>
      <c r="G242" s="13">
        <v>4643.1000000000004</v>
      </c>
      <c r="H242" s="14">
        <v>8981.2960000000021</v>
      </c>
      <c r="I242" s="14">
        <v>48263.896000000001</v>
      </c>
      <c r="J242" s="8" t="s">
        <v>138</v>
      </c>
      <c r="K242" s="8" t="s">
        <v>509</v>
      </c>
    </row>
    <row r="243" spans="1:11" x14ac:dyDescent="0.2">
      <c r="A243" s="10">
        <v>60122400</v>
      </c>
      <c r="B243" s="10" t="s">
        <v>7396</v>
      </c>
      <c r="C243" s="11">
        <v>9485.8559999999998</v>
      </c>
      <c r="D243" s="11">
        <v>9666</v>
      </c>
      <c r="E243" s="11">
        <v>0</v>
      </c>
      <c r="F243" s="13">
        <v>0</v>
      </c>
      <c r="G243" s="13">
        <v>0</v>
      </c>
      <c r="H243" s="14">
        <v>9666</v>
      </c>
      <c r="I243" s="14">
        <v>19151.856</v>
      </c>
      <c r="J243" s="8" t="s">
        <v>138</v>
      </c>
      <c r="K243" s="8" t="s">
        <v>509</v>
      </c>
    </row>
    <row r="244" spans="1:11" x14ac:dyDescent="0.2">
      <c r="A244" s="10">
        <v>60122410</v>
      </c>
      <c r="B244" s="10" t="s">
        <v>366</v>
      </c>
      <c r="C244" s="11">
        <v>2750</v>
      </c>
      <c r="D244" s="11">
        <v>2300</v>
      </c>
      <c r="E244" s="11">
        <v>0</v>
      </c>
      <c r="F244" s="13">
        <v>0</v>
      </c>
      <c r="G244" s="13">
        <v>0</v>
      </c>
      <c r="H244" s="14">
        <v>2300</v>
      </c>
      <c r="I244" s="14">
        <v>5050</v>
      </c>
      <c r="J244" s="8" t="s">
        <v>138</v>
      </c>
      <c r="K244" s="8" t="s">
        <v>509</v>
      </c>
    </row>
    <row r="245" spans="1:11" x14ac:dyDescent="0.2">
      <c r="A245" s="10">
        <v>60122411</v>
      </c>
      <c r="B245" s="10" t="s">
        <v>367</v>
      </c>
      <c r="C245" s="11">
        <v>19879</v>
      </c>
      <c r="D245" s="11">
        <v>827.5</v>
      </c>
      <c r="E245" s="11">
        <v>0</v>
      </c>
      <c r="F245" s="13">
        <v>0</v>
      </c>
      <c r="G245" s="13">
        <v>0</v>
      </c>
      <c r="H245" s="14">
        <v>827.5</v>
      </c>
      <c r="I245" s="14">
        <v>20706.5</v>
      </c>
      <c r="J245" s="8" t="s">
        <v>138</v>
      </c>
      <c r="K245" s="8" t="s">
        <v>509</v>
      </c>
    </row>
    <row r="246" spans="1:11" x14ac:dyDescent="0.2">
      <c r="A246" s="10">
        <v>60122510</v>
      </c>
      <c r="B246" s="10" t="s">
        <v>368</v>
      </c>
      <c r="C246" s="11">
        <v>13430.822</v>
      </c>
      <c r="D246" s="11">
        <v>3147.05</v>
      </c>
      <c r="E246" s="11">
        <v>0</v>
      </c>
      <c r="F246" s="13">
        <v>0</v>
      </c>
      <c r="G246" s="13">
        <v>0</v>
      </c>
      <c r="H246" s="14">
        <v>3147.05</v>
      </c>
      <c r="I246" s="14">
        <v>16577.871999999999</v>
      </c>
      <c r="J246" s="8" t="s">
        <v>138</v>
      </c>
      <c r="K246" s="8" t="s">
        <v>509</v>
      </c>
    </row>
    <row r="247" spans="1:11" x14ac:dyDescent="0.2">
      <c r="A247" s="10">
        <v>60122520</v>
      </c>
      <c r="B247" s="10" t="s">
        <v>396</v>
      </c>
      <c r="C247" s="11">
        <v>3942.0549999999994</v>
      </c>
      <c r="D247" s="11">
        <v>176</v>
      </c>
      <c r="E247" s="11">
        <v>0</v>
      </c>
      <c r="F247" s="13">
        <v>0</v>
      </c>
      <c r="G247" s="13">
        <v>0</v>
      </c>
      <c r="H247" s="14">
        <v>176</v>
      </c>
      <c r="I247" s="14">
        <v>4118.0549999999994</v>
      </c>
      <c r="J247" s="8" t="s">
        <v>138</v>
      </c>
      <c r="K247" s="8" t="s">
        <v>509</v>
      </c>
    </row>
    <row r="248" spans="1:11" x14ac:dyDescent="0.2">
      <c r="A248" s="10">
        <v>60122700</v>
      </c>
      <c r="B248" s="10" t="s">
        <v>7567</v>
      </c>
      <c r="C248" s="11">
        <v>0</v>
      </c>
      <c r="D248" s="11">
        <v>7010.9359999999997</v>
      </c>
      <c r="E248" s="11">
        <v>0</v>
      </c>
      <c r="F248" s="13">
        <v>0</v>
      </c>
      <c r="G248" s="13">
        <v>0</v>
      </c>
      <c r="H248" s="14">
        <v>7010.9359999999997</v>
      </c>
      <c r="I248" s="14">
        <v>7010.9359999999997</v>
      </c>
      <c r="J248" s="8" t="s">
        <v>138</v>
      </c>
      <c r="K248" s="8" t="s">
        <v>509</v>
      </c>
    </row>
    <row r="249" spans="1:11" x14ac:dyDescent="0.2">
      <c r="A249" s="10">
        <v>60171000</v>
      </c>
      <c r="B249" s="10" t="s">
        <v>369</v>
      </c>
      <c r="C249" s="11">
        <v>241495.19399999999</v>
      </c>
      <c r="D249" s="11">
        <v>84961.333000000013</v>
      </c>
      <c r="E249" s="11">
        <v>221.779</v>
      </c>
      <c r="F249" s="13">
        <v>0</v>
      </c>
      <c r="G249" s="13">
        <v>0</v>
      </c>
      <c r="H249" s="14">
        <v>84739.554000000018</v>
      </c>
      <c r="I249" s="14">
        <v>326234.74800000002</v>
      </c>
      <c r="J249" s="8" t="s">
        <v>138</v>
      </c>
      <c r="K249" s="8" t="s">
        <v>509</v>
      </c>
    </row>
    <row r="250" spans="1:11" x14ac:dyDescent="0.2">
      <c r="A250" s="10">
        <v>60172000</v>
      </c>
      <c r="B250" s="10" t="s">
        <v>169</v>
      </c>
      <c r="C250" s="11">
        <v>438061.17499999999</v>
      </c>
      <c r="D250" s="11">
        <v>91322.448999999993</v>
      </c>
      <c r="E250" s="11">
        <v>0</v>
      </c>
      <c r="F250" s="13">
        <v>0</v>
      </c>
      <c r="G250" s="13">
        <v>0</v>
      </c>
      <c r="H250" s="14">
        <v>91322.448999999993</v>
      </c>
      <c r="I250" s="14">
        <v>529383.62399999995</v>
      </c>
      <c r="J250" s="8" t="s">
        <v>138</v>
      </c>
      <c r="K250" s="8" t="s">
        <v>509</v>
      </c>
    </row>
    <row r="251" spans="1:11" x14ac:dyDescent="0.2">
      <c r="A251" s="10">
        <v>60173000</v>
      </c>
      <c r="B251" s="10" t="s">
        <v>170</v>
      </c>
      <c r="C251" s="11">
        <v>43466.451000000001</v>
      </c>
      <c r="D251" s="11">
        <v>38271.592000000004</v>
      </c>
      <c r="E251" s="11">
        <v>19705.883999999998</v>
      </c>
      <c r="F251" s="13">
        <v>9525.9290000000001</v>
      </c>
      <c r="G251" s="13">
        <v>9525.884</v>
      </c>
      <c r="H251" s="14">
        <v>18565.753000000012</v>
      </c>
      <c r="I251" s="14">
        <v>62032.204000000012</v>
      </c>
      <c r="J251" s="8" t="s">
        <v>138</v>
      </c>
      <c r="K251" s="8" t="s">
        <v>509</v>
      </c>
    </row>
    <row r="252" spans="1:11" x14ac:dyDescent="0.2">
      <c r="A252" s="10">
        <v>60191000</v>
      </c>
      <c r="B252" s="10" t="s">
        <v>158</v>
      </c>
      <c r="C252" s="11">
        <v>521899.06052999996</v>
      </c>
      <c r="D252" s="11">
        <v>257353.28975</v>
      </c>
      <c r="E252" s="11">
        <v>2490.875</v>
      </c>
      <c r="F252" s="13">
        <v>0</v>
      </c>
      <c r="G252" s="13">
        <v>0</v>
      </c>
      <c r="H252" s="14">
        <v>254862.41475</v>
      </c>
      <c r="I252" s="14">
        <v>776761.4752799999</v>
      </c>
      <c r="J252" s="8" t="s">
        <v>138</v>
      </c>
      <c r="K252" s="8" t="s">
        <v>509</v>
      </c>
    </row>
    <row r="253" spans="1:11" x14ac:dyDescent="0.2">
      <c r="A253" s="10">
        <v>60215000</v>
      </c>
      <c r="B253" s="10" t="s">
        <v>370</v>
      </c>
      <c r="C253" s="11">
        <v>24171.526999999998</v>
      </c>
      <c r="D253" s="11">
        <v>0</v>
      </c>
      <c r="E253" s="11">
        <v>0</v>
      </c>
      <c r="F253" s="13">
        <v>0</v>
      </c>
      <c r="G253" s="13">
        <v>0</v>
      </c>
      <c r="H253" s="14">
        <v>0</v>
      </c>
      <c r="I253" s="14">
        <v>24171.526999999998</v>
      </c>
      <c r="J253" s="8" t="s">
        <v>138</v>
      </c>
      <c r="K253" s="8" t="s">
        <v>509</v>
      </c>
    </row>
    <row r="254" spans="1:11" x14ac:dyDescent="0.2">
      <c r="A254" s="10">
        <v>60216000</v>
      </c>
      <c r="B254" s="10" t="s">
        <v>371</v>
      </c>
      <c r="C254" s="11">
        <v>254690.033352</v>
      </c>
      <c r="D254" s="11">
        <v>63322.874370000012</v>
      </c>
      <c r="E254" s="11">
        <v>0</v>
      </c>
      <c r="F254" s="13">
        <v>0</v>
      </c>
      <c r="G254" s="13">
        <v>0</v>
      </c>
      <c r="H254" s="14">
        <v>63322.874370000012</v>
      </c>
      <c r="I254" s="14">
        <v>318012.90772200003</v>
      </c>
      <c r="J254" s="8" t="s">
        <v>138</v>
      </c>
      <c r="K254" s="8" t="s">
        <v>509</v>
      </c>
    </row>
    <row r="255" spans="1:11" x14ac:dyDescent="0.2">
      <c r="A255" s="10">
        <v>60260200</v>
      </c>
      <c r="B255" s="10" t="s">
        <v>372</v>
      </c>
      <c r="C255" s="11">
        <v>190048.94499999998</v>
      </c>
      <c r="D255" s="11">
        <v>0</v>
      </c>
      <c r="E255" s="11">
        <v>0</v>
      </c>
      <c r="F255" s="13">
        <v>0</v>
      </c>
      <c r="G255" s="13">
        <v>0</v>
      </c>
      <c r="H255" s="14">
        <v>0</v>
      </c>
      <c r="I255" s="14">
        <v>190048.94499999998</v>
      </c>
      <c r="J255" s="8" t="s">
        <v>138</v>
      </c>
      <c r="K255" s="8" t="s">
        <v>509</v>
      </c>
    </row>
    <row r="256" spans="1:11" x14ac:dyDescent="0.2">
      <c r="A256" s="10">
        <v>60260300</v>
      </c>
      <c r="B256" s="10" t="s">
        <v>160</v>
      </c>
      <c r="C256" s="11">
        <v>1074.1620000000112</v>
      </c>
      <c r="D256" s="11">
        <v>0</v>
      </c>
      <c r="E256" s="11">
        <v>0</v>
      </c>
      <c r="F256" s="13">
        <v>0</v>
      </c>
      <c r="G256" s="13">
        <v>0</v>
      </c>
      <c r="H256" s="14">
        <v>0</v>
      </c>
      <c r="I256" s="14">
        <v>1074.1620000000112</v>
      </c>
      <c r="J256" s="8" t="s">
        <v>138</v>
      </c>
      <c r="K256" s="8" t="s">
        <v>509</v>
      </c>
    </row>
    <row r="257" spans="1:11" x14ac:dyDescent="0.2">
      <c r="A257" s="10">
        <v>60260400</v>
      </c>
      <c r="B257" s="10" t="s">
        <v>161</v>
      </c>
      <c r="C257" s="11">
        <v>46062.445999999996</v>
      </c>
      <c r="D257" s="11">
        <v>8534.6680000000015</v>
      </c>
      <c r="E257" s="11">
        <v>0</v>
      </c>
      <c r="F257" s="13">
        <v>0</v>
      </c>
      <c r="G257" s="13">
        <v>0</v>
      </c>
      <c r="H257" s="14">
        <v>8534.6680000000015</v>
      </c>
      <c r="I257" s="14">
        <v>54597.114000000001</v>
      </c>
      <c r="J257" s="8" t="s">
        <v>138</v>
      </c>
      <c r="K257" s="8" t="s">
        <v>509</v>
      </c>
    </row>
    <row r="258" spans="1:11" x14ac:dyDescent="0.2">
      <c r="A258" s="10">
        <v>60260500</v>
      </c>
      <c r="B258" s="10" t="s">
        <v>162</v>
      </c>
      <c r="C258" s="12">
        <v>13807.5</v>
      </c>
      <c r="D258" s="11">
        <v>9112.5</v>
      </c>
      <c r="E258" s="11">
        <v>0</v>
      </c>
      <c r="F258" s="13">
        <v>0</v>
      </c>
      <c r="G258" s="13">
        <v>0</v>
      </c>
      <c r="H258" s="14">
        <v>9112.5</v>
      </c>
      <c r="I258" s="14">
        <v>22920</v>
      </c>
      <c r="J258" s="8" t="s">
        <v>138</v>
      </c>
      <c r="K258" s="8" t="s">
        <v>509</v>
      </c>
    </row>
    <row r="259" spans="1:11" x14ac:dyDescent="0.2">
      <c r="A259" s="10">
        <v>60260700</v>
      </c>
      <c r="B259" s="10" t="s">
        <v>163</v>
      </c>
      <c r="C259" s="11">
        <v>35651.524999999994</v>
      </c>
      <c r="D259" s="11">
        <v>20359.075000000001</v>
      </c>
      <c r="E259" s="11">
        <v>0</v>
      </c>
      <c r="F259" s="13">
        <v>0</v>
      </c>
      <c r="G259" s="13">
        <v>0</v>
      </c>
      <c r="H259" s="14">
        <v>20359.075000000001</v>
      </c>
      <c r="I259" s="14">
        <v>56010.599999999991</v>
      </c>
      <c r="J259" s="8" t="s">
        <v>138</v>
      </c>
      <c r="K259" s="8" t="s">
        <v>509</v>
      </c>
    </row>
    <row r="260" spans="1:11" x14ac:dyDescent="0.2">
      <c r="A260" s="10">
        <v>60262000</v>
      </c>
      <c r="B260" s="10" t="s">
        <v>164</v>
      </c>
      <c r="C260" s="11">
        <v>88080.770599999989</v>
      </c>
      <c r="D260" s="11">
        <v>34677.318799999994</v>
      </c>
      <c r="E260" s="11">
        <v>0</v>
      </c>
      <c r="F260" s="13">
        <v>6750</v>
      </c>
      <c r="G260" s="13">
        <v>0</v>
      </c>
      <c r="H260" s="14">
        <v>41427.318799999994</v>
      </c>
      <c r="I260" s="14">
        <v>129508.08939999998</v>
      </c>
      <c r="J260" s="8" t="s">
        <v>138</v>
      </c>
      <c r="K260" s="8" t="s">
        <v>509</v>
      </c>
    </row>
    <row r="261" spans="1:11" x14ac:dyDescent="0.2">
      <c r="A261" s="10">
        <v>60263000</v>
      </c>
      <c r="B261" s="10" t="s">
        <v>165</v>
      </c>
      <c r="C261" s="11">
        <v>22020.688000000002</v>
      </c>
      <c r="D261" s="11">
        <v>4838.3040000000001</v>
      </c>
      <c r="E261" s="11">
        <v>0</v>
      </c>
      <c r="F261" s="13">
        <v>0</v>
      </c>
      <c r="G261" s="13">
        <v>0</v>
      </c>
      <c r="H261" s="14">
        <v>4838.3040000000001</v>
      </c>
      <c r="I261" s="14">
        <v>26858.992000000002</v>
      </c>
      <c r="J261" s="8" t="s">
        <v>138</v>
      </c>
      <c r="K261" s="8" t="s">
        <v>509</v>
      </c>
    </row>
    <row r="262" spans="1:11" x14ac:dyDescent="0.2">
      <c r="A262" s="10">
        <v>60310000</v>
      </c>
      <c r="B262" s="10" t="s">
        <v>265</v>
      </c>
      <c r="C262" s="11">
        <v>250468.06200000085</v>
      </c>
      <c r="D262" s="11">
        <v>0</v>
      </c>
      <c r="E262" s="11">
        <v>0</v>
      </c>
      <c r="F262" s="13">
        <v>9874636.6089999992</v>
      </c>
      <c r="G262" s="13">
        <v>11027560.3259</v>
      </c>
      <c r="H262" s="14">
        <v>-1152923.7169000003</v>
      </c>
      <c r="I262" s="14">
        <v>-902455.6548999995</v>
      </c>
      <c r="J262" s="8" t="s">
        <v>138</v>
      </c>
      <c r="K262" s="8" t="s">
        <v>509</v>
      </c>
    </row>
    <row r="263" spans="1:11" x14ac:dyDescent="0.2">
      <c r="A263" s="10">
        <v>60330000</v>
      </c>
      <c r="B263" s="10" t="s">
        <v>266</v>
      </c>
      <c r="C263" s="11">
        <v>-84191.75</v>
      </c>
      <c r="D263" s="11">
        <v>0</v>
      </c>
      <c r="E263" s="11">
        <v>0</v>
      </c>
      <c r="F263" s="13">
        <v>667822.40099999995</v>
      </c>
      <c r="G263" s="13">
        <v>696643.57010000001</v>
      </c>
      <c r="H263" s="14">
        <v>-28821.169100000057</v>
      </c>
      <c r="I263" s="14">
        <v>-113012.91910000006</v>
      </c>
      <c r="J263" s="8" t="s">
        <v>157</v>
      </c>
      <c r="K263" s="8" t="s">
        <v>512</v>
      </c>
    </row>
    <row r="264" spans="1:11" x14ac:dyDescent="0.2">
      <c r="A264" s="10">
        <v>60502000</v>
      </c>
      <c r="B264" s="10" t="s">
        <v>167</v>
      </c>
      <c r="C264" s="11">
        <v>173141.274</v>
      </c>
      <c r="D264" s="11">
        <v>99617.918460000001</v>
      </c>
      <c r="E264" s="11">
        <v>0</v>
      </c>
      <c r="F264" s="13">
        <v>26127.88</v>
      </c>
      <c r="G264" s="13">
        <v>38652.243999999999</v>
      </c>
      <c r="H264" s="14">
        <v>87093.554460000014</v>
      </c>
      <c r="I264" s="14">
        <v>260234.82846000002</v>
      </c>
      <c r="J264" s="8" t="s">
        <v>157</v>
      </c>
      <c r="K264" s="8" t="s">
        <v>512</v>
      </c>
    </row>
    <row r="265" spans="1:11" x14ac:dyDescent="0.2">
      <c r="A265" s="10">
        <v>60504000</v>
      </c>
      <c r="B265" s="10" t="s">
        <v>168</v>
      </c>
      <c r="C265" s="11">
        <v>1200</v>
      </c>
      <c r="D265" s="11">
        <v>400</v>
      </c>
      <c r="E265" s="11">
        <v>0</v>
      </c>
      <c r="F265" s="13">
        <v>0</v>
      </c>
      <c r="G265" s="13">
        <v>0</v>
      </c>
      <c r="H265" s="14">
        <v>400</v>
      </c>
      <c r="I265" s="14">
        <v>1600</v>
      </c>
      <c r="J265" s="8" t="s">
        <v>157</v>
      </c>
      <c r="K265" s="8" t="s">
        <v>512</v>
      </c>
    </row>
    <row r="266" spans="1:11" x14ac:dyDescent="0.2">
      <c r="A266" s="10">
        <v>60614000</v>
      </c>
      <c r="B266" s="10" t="s">
        <v>171</v>
      </c>
      <c r="C266" s="11">
        <v>71951.130999999994</v>
      </c>
      <c r="D266" s="11">
        <v>29711.602000000003</v>
      </c>
      <c r="E266" s="11">
        <v>12408.518999999998</v>
      </c>
      <c r="F266" s="13">
        <v>0</v>
      </c>
      <c r="G266" s="13">
        <v>0</v>
      </c>
      <c r="H266" s="14">
        <v>17303.083000000006</v>
      </c>
      <c r="I266" s="14">
        <v>89254.214000000007</v>
      </c>
      <c r="J266" s="8" t="s">
        <v>157</v>
      </c>
      <c r="K266" s="8" t="s">
        <v>512</v>
      </c>
    </row>
    <row r="267" spans="1:11" x14ac:dyDescent="0.2">
      <c r="A267" s="10">
        <v>60620000</v>
      </c>
      <c r="B267" s="10" t="s">
        <v>172</v>
      </c>
      <c r="C267" s="11">
        <v>7083.4989999999998</v>
      </c>
      <c r="D267" s="11">
        <v>1990.9</v>
      </c>
      <c r="E267" s="11">
        <v>0</v>
      </c>
      <c r="F267" s="13">
        <v>0</v>
      </c>
      <c r="G267" s="13">
        <v>0</v>
      </c>
      <c r="H267" s="14">
        <v>1990.9</v>
      </c>
      <c r="I267" s="14">
        <v>9074.3989999999994</v>
      </c>
      <c r="J267" s="8" t="s">
        <v>157</v>
      </c>
      <c r="K267" s="8" t="s">
        <v>512</v>
      </c>
    </row>
    <row r="268" spans="1:11" x14ac:dyDescent="0.2">
      <c r="A268" s="10">
        <v>60650000</v>
      </c>
      <c r="B268" s="10" t="s">
        <v>373</v>
      </c>
      <c r="C268" s="11">
        <v>2550</v>
      </c>
      <c r="D268" s="11">
        <v>0</v>
      </c>
      <c r="E268" s="11">
        <v>0</v>
      </c>
      <c r="F268" s="13">
        <v>0</v>
      </c>
      <c r="G268" s="13">
        <v>0</v>
      </c>
      <c r="H268" s="14">
        <v>0</v>
      </c>
      <c r="I268" s="14">
        <v>2550</v>
      </c>
      <c r="J268" s="8" t="s">
        <v>138</v>
      </c>
      <c r="K268" s="8" t="s">
        <v>509</v>
      </c>
    </row>
    <row r="269" spans="1:11" x14ac:dyDescent="0.2">
      <c r="A269" s="10">
        <v>60660000</v>
      </c>
      <c r="B269" s="10" t="s">
        <v>173</v>
      </c>
      <c r="C269" s="11">
        <v>4765.5259999999998</v>
      </c>
      <c r="D269" s="11">
        <v>4350.5150000000003</v>
      </c>
      <c r="E269" s="11">
        <v>0</v>
      </c>
      <c r="F269" s="13">
        <v>0</v>
      </c>
      <c r="G269" s="13">
        <v>0</v>
      </c>
      <c r="H269" s="14">
        <v>4350.5150000000003</v>
      </c>
      <c r="I269" s="14">
        <v>9116.0410000000011</v>
      </c>
      <c r="J269" s="8" t="s">
        <v>157</v>
      </c>
      <c r="K269" s="8" t="s">
        <v>512</v>
      </c>
    </row>
    <row r="270" spans="1:11" x14ac:dyDescent="0.2">
      <c r="A270" s="10">
        <v>60670000</v>
      </c>
      <c r="B270" s="10" t="s">
        <v>174</v>
      </c>
      <c r="C270" s="11">
        <v>5741</v>
      </c>
      <c r="D270" s="11">
        <v>1342.44</v>
      </c>
      <c r="E270" s="11">
        <v>0</v>
      </c>
      <c r="F270" s="13">
        <v>0</v>
      </c>
      <c r="G270" s="13">
        <v>0</v>
      </c>
      <c r="H270" s="14">
        <v>1342.44</v>
      </c>
      <c r="I270" s="14">
        <v>7083.4400000000005</v>
      </c>
      <c r="J270" s="8" t="s">
        <v>157</v>
      </c>
      <c r="K270" s="8" t="s">
        <v>512</v>
      </c>
    </row>
    <row r="271" spans="1:11" x14ac:dyDescent="0.2">
      <c r="A271" s="10">
        <v>60671000</v>
      </c>
      <c r="B271" s="10" t="s">
        <v>374</v>
      </c>
      <c r="C271" s="11">
        <v>52927.094000000005</v>
      </c>
      <c r="D271" s="11">
        <v>7631.76</v>
      </c>
      <c r="E271" s="11">
        <v>0</v>
      </c>
      <c r="F271" s="13">
        <v>0</v>
      </c>
      <c r="G271" s="13">
        <v>0</v>
      </c>
      <c r="H271" s="14">
        <v>7631.76</v>
      </c>
      <c r="I271" s="14">
        <v>60558.854000000007</v>
      </c>
      <c r="J271" s="8" t="s">
        <v>157</v>
      </c>
      <c r="K271" s="8" t="s">
        <v>512</v>
      </c>
    </row>
    <row r="272" spans="1:11" x14ac:dyDescent="0.2">
      <c r="A272" s="10">
        <v>60672000</v>
      </c>
      <c r="B272" s="10" t="s">
        <v>7569</v>
      </c>
      <c r="C272" s="11">
        <v>173.5</v>
      </c>
      <c r="D272" s="11">
        <v>3196</v>
      </c>
      <c r="E272" s="11">
        <v>0</v>
      </c>
      <c r="F272" s="13">
        <v>0</v>
      </c>
      <c r="G272" s="13">
        <v>0</v>
      </c>
      <c r="H272" s="14">
        <v>3196</v>
      </c>
      <c r="I272" s="14">
        <v>3369.5</v>
      </c>
      <c r="J272" s="8" t="s">
        <v>157</v>
      </c>
      <c r="K272" s="8" t="s">
        <v>512</v>
      </c>
    </row>
    <row r="273" spans="1:11" x14ac:dyDescent="0.2">
      <c r="A273" s="10">
        <v>60700000</v>
      </c>
      <c r="B273" s="10" t="s">
        <v>7719</v>
      </c>
      <c r="C273" s="11">
        <v>15708</v>
      </c>
      <c r="D273" s="11">
        <v>0</v>
      </c>
      <c r="E273" s="11">
        <v>0</v>
      </c>
      <c r="F273" s="13">
        <v>15708</v>
      </c>
      <c r="G273" s="13">
        <v>15708</v>
      </c>
      <c r="H273" s="14">
        <v>0</v>
      </c>
      <c r="I273" s="14">
        <v>15708</v>
      </c>
      <c r="J273" s="8" t="s">
        <v>157</v>
      </c>
      <c r="K273" s="8" t="s">
        <v>512</v>
      </c>
    </row>
    <row r="274" spans="1:11" x14ac:dyDescent="0.2">
      <c r="A274" s="10">
        <v>61400000</v>
      </c>
      <c r="B274" s="10" t="s">
        <v>175</v>
      </c>
      <c r="C274" s="11">
        <v>17491.664000000001</v>
      </c>
      <c r="D274" s="11">
        <v>3216.6659999999997</v>
      </c>
      <c r="E274" s="11">
        <v>6666.6660000000002</v>
      </c>
      <c r="F274" s="13">
        <v>0</v>
      </c>
      <c r="G274" s="13">
        <v>0</v>
      </c>
      <c r="H274" s="14">
        <v>-3450.0000000000005</v>
      </c>
      <c r="I274" s="14">
        <v>14041.664000000001</v>
      </c>
      <c r="J274" s="8" t="s">
        <v>157</v>
      </c>
      <c r="K274" s="8" t="s">
        <v>512</v>
      </c>
    </row>
    <row r="275" spans="1:11" x14ac:dyDescent="0.2">
      <c r="A275" s="10">
        <v>61500000</v>
      </c>
      <c r="B275" s="10" t="s">
        <v>176</v>
      </c>
      <c r="C275" s="11">
        <v>77048.380999999994</v>
      </c>
      <c r="D275" s="11">
        <v>28129.048999999999</v>
      </c>
      <c r="E275" s="11">
        <v>0</v>
      </c>
      <c r="F275" s="13">
        <v>15152.017</v>
      </c>
      <c r="G275" s="13">
        <v>18263.697</v>
      </c>
      <c r="H275" s="14">
        <v>25017.368999999999</v>
      </c>
      <c r="I275" s="14">
        <v>102065.75</v>
      </c>
      <c r="J275" s="8" t="s">
        <v>157</v>
      </c>
      <c r="K275" s="8" t="s">
        <v>512</v>
      </c>
    </row>
    <row r="276" spans="1:11" x14ac:dyDescent="0.2">
      <c r="A276" s="10">
        <v>61501000</v>
      </c>
      <c r="B276" s="10" t="s">
        <v>177</v>
      </c>
      <c r="C276" s="11">
        <v>85307.037000000011</v>
      </c>
      <c r="D276" s="11">
        <v>28017.034999999996</v>
      </c>
      <c r="E276" s="11">
        <v>0</v>
      </c>
      <c r="F276" s="13">
        <v>6471.8289999999997</v>
      </c>
      <c r="G276" s="13">
        <v>2112.2399999999998</v>
      </c>
      <c r="H276" s="14">
        <v>32376.623999999996</v>
      </c>
      <c r="I276" s="14">
        <v>117683.66100000001</v>
      </c>
      <c r="J276" s="8" t="s">
        <v>157</v>
      </c>
      <c r="K276" s="8" t="s">
        <v>512</v>
      </c>
    </row>
    <row r="277" spans="1:11" x14ac:dyDescent="0.2">
      <c r="A277" s="10">
        <v>61600000</v>
      </c>
      <c r="B277" s="10" t="s">
        <v>397</v>
      </c>
      <c r="C277" s="11">
        <v>7723</v>
      </c>
      <c r="D277" s="11">
        <v>1200.5070000000001</v>
      </c>
      <c r="E277" s="11">
        <v>1140.607</v>
      </c>
      <c r="F277" s="13">
        <v>0</v>
      </c>
      <c r="G277" s="13">
        <v>0</v>
      </c>
      <c r="H277" s="14">
        <v>59.900000000000091</v>
      </c>
      <c r="I277" s="14">
        <v>7782.9</v>
      </c>
      <c r="J277" s="8" t="s">
        <v>157</v>
      </c>
      <c r="K277" s="8" t="s">
        <v>512</v>
      </c>
    </row>
    <row r="278" spans="1:11" x14ac:dyDescent="0.2">
      <c r="A278" s="10">
        <v>61603000</v>
      </c>
      <c r="B278" s="10" t="s">
        <v>178</v>
      </c>
      <c r="C278" s="11">
        <v>16515.370000000003</v>
      </c>
      <c r="D278" s="11">
        <v>0</v>
      </c>
      <c r="E278" s="11">
        <v>0</v>
      </c>
      <c r="F278" s="13">
        <v>1992.6690000000001</v>
      </c>
      <c r="G278" s="13">
        <v>0</v>
      </c>
      <c r="H278" s="14">
        <v>1992.6690000000001</v>
      </c>
      <c r="I278" s="14">
        <v>18508.039000000004</v>
      </c>
      <c r="J278" s="8" t="s">
        <v>157</v>
      </c>
      <c r="K278" s="8" t="s">
        <v>512</v>
      </c>
    </row>
    <row r="279" spans="1:11" x14ac:dyDescent="0.2">
      <c r="A279" s="10">
        <v>61607000</v>
      </c>
      <c r="B279" s="10" t="s">
        <v>179</v>
      </c>
      <c r="C279" s="11">
        <v>4910.3999999999996</v>
      </c>
      <c r="D279" s="11">
        <v>0</v>
      </c>
      <c r="E279" s="11">
        <v>0</v>
      </c>
      <c r="F279" s="13">
        <v>1227.5999999999999</v>
      </c>
      <c r="G279" s="13">
        <v>0</v>
      </c>
      <c r="H279" s="14">
        <v>1227.5999999999999</v>
      </c>
      <c r="I279" s="14">
        <v>6138</v>
      </c>
      <c r="J279" s="8" t="s">
        <v>157</v>
      </c>
      <c r="K279" s="8" t="s">
        <v>512</v>
      </c>
    </row>
    <row r="280" spans="1:11" x14ac:dyDescent="0.2">
      <c r="A280" s="10">
        <v>62120000</v>
      </c>
      <c r="B280" s="10" t="s">
        <v>180</v>
      </c>
      <c r="C280" s="11">
        <v>20024.760000000002</v>
      </c>
      <c r="D280" s="11">
        <v>6166.0599999999995</v>
      </c>
      <c r="E280" s="11">
        <v>0</v>
      </c>
      <c r="F280" s="13">
        <v>0</v>
      </c>
      <c r="G280" s="13">
        <v>0</v>
      </c>
      <c r="H280" s="14">
        <v>6166.0599999999995</v>
      </c>
      <c r="I280" s="14">
        <v>26190.82</v>
      </c>
      <c r="J280" s="8" t="s">
        <v>157</v>
      </c>
      <c r="K280" s="8" t="s">
        <v>512</v>
      </c>
    </row>
    <row r="281" spans="1:11" x14ac:dyDescent="0.2">
      <c r="A281" s="10">
        <v>62200000</v>
      </c>
      <c r="B281" s="10" t="s">
        <v>181</v>
      </c>
      <c r="C281" s="11">
        <v>4333.3340000000007</v>
      </c>
      <c r="D281" s="11">
        <v>0</v>
      </c>
      <c r="E281" s="11">
        <v>0</v>
      </c>
      <c r="F281" s="13">
        <v>866.66700000000003</v>
      </c>
      <c r="G281" s="13">
        <v>0</v>
      </c>
      <c r="H281" s="14">
        <v>866.66700000000003</v>
      </c>
      <c r="I281" s="14">
        <v>5200.0010000000011</v>
      </c>
      <c r="J281" s="8" t="s">
        <v>157</v>
      </c>
      <c r="K281" s="8" t="s">
        <v>512</v>
      </c>
    </row>
    <row r="282" spans="1:11" x14ac:dyDescent="0.2">
      <c r="A282" s="10">
        <v>62210000</v>
      </c>
      <c r="B282" s="10" t="s">
        <v>398</v>
      </c>
      <c r="C282" s="11">
        <v>425</v>
      </c>
      <c r="D282" s="11">
        <v>0</v>
      </c>
      <c r="E282" s="11">
        <v>0</v>
      </c>
      <c r="F282" s="13">
        <v>0</v>
      </c>
      <c r="G282" s="13">
        <v>0</v>
      </c>
      <c r="H282" s="14">
        <v>0</v>
      </c>
      <c r="I282" s="14">
        <v>425</v>
      </c>
      <c r="J282" s="8" t="s">
        <v>157</v>
      </c>
      <c r="K282" s="8" t="s">
        <v>512</v>
      </c>
    </row>
    <row r="283" spans="1:11" x14ac:dyDescent="0.2">
      <c r="A283" s="10">
        <v>62230000</v>
      </c>
      <c r="B283" s="10" t="s">
        <v>375</v>
      </c>
      <c r="C283" s="11">
        <v>7179.5709999999999</v>
      </c>
      <c r="D283" s="11">
        <v>1045.8</v>
      </c>
      <c r="E283" s="11">
        <v>0</v>
      </c>
      <c r="F283" s="13">
        <v>0</v>
      </c>
      <c r="G283" s="13">
        <v>0</v>
      </c>
      <c r="H283" s="14">
        <v>1045.8</v>
      </c>
      <c r="I283" s="14">
        <v>8225.3709999999992</v>
      </c>
      <c r="J283" s="8" t="s">
        <v>157</v>
      </c>
      <c r="K283" s="8" t="s">
        <v>512</v>
      </c>
    </row>
    <row r="284" spans="1:11" x14ac:dyDescent="0.2">
      <c r="A284" s="10">
        <v>62240000</v>
      </c>
      <c r="B284" s="10" t="s">
        <v>267</v>
      </c>
      <c r="C284" s="11">
        <v>11462.251999999993</v>
      </c>
      <c r="D284" s="11">
        <v>1995</v>
      </c>
      <c r="E284" s="11">
        <v>0</v>
      </c>
      <c r="F284" s="13">
        <v>2865.5630000000001</v>
      </c>
      <c r="G284" s="13">
        <v>0</v>
      </c>
      <c r="H284" s="14">
        <v>4860.5630000000001</v>
      </c>
      <c r="I284" s="14">
        <v>16322.814999999993</v>
      </c>
      <c r="J284" s="8" t="s">
        <v>157</v>
      </c>
      <c r="K284" s="8" t="s">
        <v>512</v>
      </c>
    </row>
    <row r="285" spans="1:11" x14ac:dyDescent="0.2">
      <c r="A285" s="10">
        <v>62250000</v>
      </c>
      <c r="B285" s="10" t="s">
        <v>268</v>
      </c>
      <c r="C285" s="11">
        <v>20000</v>
      </c>
      <c r="D285" s="11">
        <v>0</v>
      </c>
      <c r="E285" s="11">
        <v>0</v>
      </c>
      <c r="F285" s="13">
        <v>5000</v>
      </c>
      <c r="G285" s="13">
        <v>0</v>
      </c>
      <c r="H285" s="14">
        <v>5000</v>
      </c>
      <c r="I285" s="14">
        <v>25000</v>
      </c>
      <c r="J285" s="8" t="s">
        <v>157</v>
      </c>
      <c r="K285" s="8" t="s">
        <v>512</v>
      </c>
    </row>
    <row r="286" spans="1:11" x14ac:dyDescent="0.2">
      <c r="A286" s="10">
        <v>62260000</v>
      </c>
      <c r="B286" s="10" t="s">
        <v>7402</v>
      </c>
      <c r="C286" s="11">
        <v>1269.8</v>
      </c>
      <c r="D286" s="11">
        <v>2200</v>
      </c>
      <c r="E286" s="11">
        <v>0</v>
      </c>
      <c r="F286" s="13">
        <v>0</v>
      </c>
      <c r="G286" s="13">
        <v>0</v>
      </c>
      <c r="H286" s="14">
        <v>2200</v>
      </c>
      <c r="I286" s="14">
        <v>3469.8</v>
      </c>
      <c r="J286" s="8" t="s">
        <v>157</v>
      </c>
      <c r="K286" s="8" t="s">
        <v>512</v>
      </c>
    </row>
    <row r="287" spans="1:11" x14ac:dyDescent="0.2">
      <c r="A287" s="10">
        <v>62270000</v>
      </c>
      <c r="B287" s="10" t="s">
        <v>399</v>
      </c>
      <c r="C287" s="11">
        <v>480.935</v>
      </c>
      <c r="D287" s="11">
        <v>10</v>
      </c>
      <c r="E287" s="11">
        <v>0</v>
      </c>
      <c r="F287" s="13">
        <v>0</v>
      </c>
      <c r="G287" s="13">
        <v>0</v>
      </c>
      <c r="H287" s="14">
        <v>10</v>
      </c>
      <c r="I287" s="14">
        <v>490.935</v>
      </c>
      <c r="J287" s="8" t="s">
        <v>157</v>
      </c>
      <c r="K287" s="8" t="s">
        <v>512</v>
      </c>
    </row>
    <row r="288" spans="1:11" x14ac:dyDescent="0.2">
      <c r="A288" s="10">
        <v>62300000</v>
      </c>
      <c r="B288" s="10" t="s">
        <v>182</v>
      </c>
      <c r="C288" s="11">
        <v>30000</v>
      </c>
      <c r="D288" s="11">
        <v>0</v>
      </c>
      <c r="E288" s="11">
        <v>0</v>
      </c>
      <c r="F288" s="13">
        <v>7500</v>
      </c>
      <c r="G288" s="13">
        <v>0</v>
      </c>
      <c r="H288" s="14">
        <v>7500</v>
      </c>
      <c r="I288" s="14">
        <v>37500</v>
      </c>
      <c r="J288" s="8" t="s">
        <v>157</v>
      </c>
      <c r="K288" s="8" t="s">
        <v>512</v>
      </c>
    </row>
    <row r="289" spans="1:11" x14ac:dyDescent="0.2">
      <c r="A289" s="10">
        <v>62301000</v>
      </c>
      <c r="B289" s="10" t="s">
        <v>7397</v>
      </c>
      <c r="C289" s="11">
        <v>14639.69</v>
      </c>
      <c r="D289" s="11">
        <v>160</v>
      </c>
      <c r="E289" s="11">
        <v>0</v>
      </c>
      <c r="F289" s="13">
        <v>0</v>
      </c>
      <c r="G289" s="13">
        <v>0</v>
      </c>
      <c r="H289" s="14">
        <v>160</v>
      </c>
      <c r="I289" s="14">
        <v>14799.69</v>
      </c>
      <c r="J289" s="8" t="s">
        <v>157</v>
      </c>
      <c r="K289" s="8" t="s">
        <v>512</v>
      </c>
    </row>
    <row r="290" spans="1:11" x14ac:dyDescent="0.2">
      <c r="A290" s="10">
        <v>62410000</v>
      </c>
      <c r="B290" s="10" t="s">
        <v>183</v>
      </c>
      <c r="C290" s="11">
        <v>2510</v>
      </c>
      <c r="D290" s="11">
        <v>470</v>
      </c>
      <c r="E290" s="11">
        <v>0</v>
      </c>
      <c r="F290" s="13">
        <v>1214.7059999999999</v>
      </c>
      <c r="G290" s="13">
        <v>0</v>
      </c>
      <c r="H290" s="14">
        <v>1684.7059999999999</v>
      </c>
      <c r="I290" s="14">
        <v>4194.7060000000001</v>
      </c>
      <c r="J290" s="8" t="s">
        <v>157</v>
      </c>
      <c r="K290" s="8" t="s">
        <v>512</v>
      </c>
    </row>
    <row r="291" spans="1:11" x14ac:dyDescent="0.2">
      <c r="A291" s="10">
        <v>62430000</v>
      </c>
      <c r="B291" s="10" t="s">
        <v>159</v>
      </c>
      <c r="C291" s="11">
        <v>276498.72000000003</v>
      </c>
      <c r="D291" s="11">
        <v>24153.599999999999</v>
      </c>
      <c r="E291" s="11">
        <v>11174.52</v>
      </c>
      <c r="F291" s="13">
        <v>0</v>
      </c>
      <c r="G291" s="13">
        <v>0</v>
      </c>
      <c r="H291" s="14">
        <v>12979.079999999998</v>
      </c>
      <c r="I291" s="14">
        <v>289477.80000000005</v>
      </c>
      <c r="J291" s="8" t="s">
        <v>157</v>
      </c>
      <c r="K291" s="8" t="s">
        <v>512</v>
      </c>
    </row>
    <row r="292" spans="1:11" x14ac:dyDescent="0.2">
      <c r="A292" s="10">
        <v>62500000</v>
      </c>
      <c r="B292" s="10" t="s">
        <v>185</v>
      </c>
      <c r="C292" s="11">
        <v>548.4</v>
      </c>
      <c r="D292" s="11">
        <v>58.2</v>
      </c>
      <c r="E292" s="11">
        <v>0</v>
      </c>
      <c r="F292" s="13">
        <v>0</v>
      </c>
      <c r="G292" s="13">
        <v>0</v>
      </c>
      <c r="H292" s="14">
        <v>58.2</v>
      </c>
      <c r="I292" s="14">
        <v>606.6</v>
      </c>
      <c r="J292" s="8" t="s">
        <v>157</v>
      </c>
      <c r="K292" s="8" t="s">
        <v>512</v>
      </c>
    </row>
    <row r="293" spans="1:11" x14ac:dyDescent="0.2">
      <c r="A293" s="10">
        <v>62510000</v>
      </c>
      <c r="B293" s="10" t="s">
        <v>7571</v>
      </c>
      <c r="C293" s="11">
        <v>5117</v>
      </c>
      <c r="D293" s="11">
        <v>714</v>
      </c>
      <c r="E293" s="11">
        <v>0</v>
      </c>
      <c r="F293" s="13">
        <v>0</v>
      </c>
      <c r="G293" s="13">
        <v>0</v>
      </c>
      <c r="H293" s="14">
        <v>714</v>
      </c>
      <c r="I293" s="14">
        <v>5831</v>
      </c>
      <c r="J293" s="8" t="s">
        <v>157</v>
      </c>
      <c r="K293" s="8" t="s">
        <v>512</v>
      </c>
    </row>
    <row r="294" spans="1:11" x14ac:dyDescent="0.2">
      <c r="A294" s="10">
        <v>62520000</v>
      </c>
      <c r="B294" s="10" t="s">
        <v>7403</v>
      </c>
      <c r="C294" s="11">
        <v>21194</v>
      </c>
      <c r="D294" s="11">
        <v>1122</v>
      </c>
      <c r="E294" s="11">
        <v>0</v>
      </c>
      <c r="F294" s="13">
        <v>0</v>
      </c>
      <c r="G294" s="13">
        <v>0</v>
      </c>
      <c r="H294" s="14">
        <v>1122</v>
      </c>
      <c r="I294" s="14">
        <v>22316</v>
      </c>
      <c r="J294" s="8" t="s">
        <v>157</v>
      </c>
      <c r="K294" s="8" t="s">
        <v>512</v>
      </c>
    </row>
    <row r="295" spans="1:11" x14ac:dyDescent="0.2">
      <c r="A295" s="10">
        <v>62570000</v>
      </c>
      <c r="B295" s="10" t="s">
        <v>186</v>
      </c>
      <c r="C295" s="11">
        <v>10115.9</v>
      </c>
      <c r="D295" s="11">
        <v>2541</v>
      </c>
      <c r="E295" s="11">
        <v>0</v>
      </c>
      <c r="F295" s="13">
        <v>0</v>
      </c>
      <c r="G295" s="13">
        <v>0</v>
      </c>
      <c r="H295" s="14">
        <v>2541</v>
      </c>
      <c r="I295" s="14">
        <v>12656.9</v>
      </c>
      <c r="J295" s="8" t="s">
        <v>157</v>
      </c>
      <c r="K295" s="8" t="s">
        <v>512</v>
      </c>
    </row>
    <row r="296" spans="1:11" x14ac:dyDescent="0.2">
      <c r="A296" s="10">
        <v>62571000</v>
      </c>
      <c r="B296" s="10" t="s">
        <v>376</v>
      </c>
      <c r="C296" s="11">
        <v>4835.8430000000008</v>
      </c>
      <c r="D296" s="11">
        <v>3096.8590000000004</v>
      </c>
      <c r="E296" s="11">
        <v>0</v>
      </c>
      <c r="F296" s="13">
        <v>0</v>
      </c>
      <c r="G296" s="13">
        <v>0</v>
      </c>
      <c r="H296" s="14">
        <v>3096.8590000000004</v>
      </c>
      <c r="I296" s="14">
        <v>7932.7020000000011</v>
      </c>
      <c r="J296" s="8" t="s">
        <v>157</v>
      </c>
      <c r="K296" s="8" t="s">
        <v>512</v>
      </c>
    </row>
    <row r="297" spans="1:11" x14ac:dyDescent="0.2">
      <c r="A297" s="10">
        <v>62572000</v>
      </c>
      <c r="B297" s="10" t="s">
        <v>377</v>
      </c>
      <c r="C297" s="11">
        <v>1926.4</v>
      </c>
      <c r="D297" s="11">
        <v>596.79999999999995</v>
      </c>
      <c r="E297" s="11">
        <v>0</v>
      </c>
      <c r="F297" s="13">
        <v>0</v>
      </c>
      <c r="G297" s="13">
        <v>0</v>
      </c>
      <c r="H297" s="14">
        <v>596.79999999999995</v>
      </c>
      <c r="I297" s="14">
        <v>2523.1999999999998</v>
      </c>
      <c r="J297" s="8" t="s">
        <v>157</v>
      </c>
      <c r="K297" s="8" t="s">
        <v>512</v>
      </c>
    </row>
    <row r="298" spans="1:11" x14ac:dyDescent="0.2">
      <c r="A298" s="10">
        <v>62573000</v>
      </c>
      <c r="B298" s="10" t="s">
        <v>378</v>
      </c>
      <c r="C298" s="11">
        <v>2557.2159999999999</v>
      </c>
      <c r="D298" s="11">
        <v>0</v>
      </c>
      <c r="E298" s="11">
        <v>0</v>
      </c>
      <c r="F298" s="13">
        <v>0</v>
      </c>
      <c r="G298" s="13">
        <v>0</v>
      </c>
      <c r="H298" s="14">
        <v>0</v>
      </c>
      <c r="I298" s="14">
        <v>2557.2159999999999</v>
      </c>
      <c r="J298" s="8" t="s">
        <v>157</v>
      </c>
      <c r="K298" s="8" t="s">
        <v>512</v>
      </c>
    </row>
    <row r="299" spans="1:11" x14ac:dyDescent="0.2">
      <c r="A299" s="10">
        <v>62580000</v>
      </c>
      <c r="B299" s="10" t="s">
        <v>187</v>
      </c>
      <c r="C299" s="11">
        <v>1241.25</v>
      </c>
      <c r="D299" s="11">
        <v>12471.5</v>
      </c>
      <c r="E299" s="11">
        <v>6200</v>
      </c>
      <c r="F299" s="13">
        <v>0</v>
      </c>
      <c r="G299" s="13">
        <v>0</v>
      </c>
      <c r="H299" s="14">
        <v>6271.5</v>
      </c>
      <c r="I299" s="14">
        <v>7512.75</v>
      </c>
      <c r="J299" s="8" t="s">
        <v>157</v>
      </c>
      <c r="K299" s="8" t="s">
        <v>512</v>
      </c>
    </row>
    <row r="300" spans="1:11" x14ac:dyDescent="0.2">
      <c r="A300" s="10">
        <v>62600000</v>
      </c>
      <c r="B300" s="10" t="s">
        <v>188</v>
      </c>
      <c r="C300" s="11">
        <v>17963.989999999998</v>
      </c>
      <c r="D300" s="11">
        <v>505.12399999999997</v>
      </c>
      <c r="E300" s="11">
        <v>0</v>
      </c>
      <c r="F300" s="13">
        <v>0</v>
      </c>
      <c r="G300" s="13">
        <v>0</v>
      </c>
      <c r="H300" s="14">
        <v>505.12399999999997</v>
      </c>
      <c r="I300" s="14">
        <v>18469.113999999998</v>
      </c>
      <c r="J300" s="8" t="s">
        <v>157</v>
      </c>
      <c r="K300" s="8" t="s">
        <v>512</v>
      </c>
    </row>
    <row r="301" spans="1:11" x14ac:dyDescent="0.2">
      <c r="A301" s="10">
        <v>62780000</v>
      </c>
      <c r="B301" s="10" t="s">
        <v>189</v>
      </c>
      <c r="C301" s="11">
        <v>65129.007000000012</v>
      </c>
      <c r="D301" s="11">
        <v>5692.3009999999995</v>
      </c>
      <c r="E301" s="11">
        <v>0</v>
      </c>
      <c r="F301" s="13">
        <v>10934.868</v>
      </c>
      <c r="G301" s="13">
        <v>0</v>
      </c>
      <c r="H301" s="14">
        <v>16627.169000000002</v>
      </c>
      <c r="I301" s="14">
        <v>81756.176000000007</v>
      </c>
      <c r="J301" s="8" t="s">
        <v>195</v>
      </c>
      <c r="K301" s="8" t="s">
        <v>517</v>
      </c>
    </row>
    <row r="302" spans="1:11" x14ac:dyDescent="0.2">
      <c r="A302" s="10">
        <v>63300000</v>
      </c>
      <c r="B302" s="10" t="s">
        <v>269</v>
      </c>
      <c r="C302" s="11">
        <v>41666.663999999997</v>
      </c>
      <c r="D302" s="11">
        <v>0</v>
      </c>
      <c r="E302" s="11">
        <v>0</v>
      </c>
      <c r="F302" s="13">
        <v>10416.665999999999</v>
      </c>
      <c r="G302" s="13">
        <v>0</v>
      </c>
      <c r="H302" s="14">
        <v>10416.665999999999</v>
      </c>
      <c r="I302" s="14">
        <v>52083.329999999994</v>
      </c>
      <c r="J302" s="8" t="s">
        <v>157</v>
      </c>
      <c r="K302" s="8" t="s">
        <v>512</v>
      </c>
    </row>
    <row r="303" spans="1:11" x14ac:dyDescent="0.2">
      <c r="A303" s="10">
        <v>63610000</v>
      </c>
      <c r="B303" s="10" t="s">
        <v>7398</v>
      </c>
      <c r="C303" s="11">
        <v>812.08899999999994</v>
      </c>
      <c r="D303" s="11">
        <v>530</v>
      </c>
      <c r="E303" s="11">
        <v>0</v>
      </c>
      <c r="F303" s="13">
        <v>0</v>
      </c>
      <c r="G303" s="13">
        <v>0</v>
      </c>
      <c r="H303" s="14">
        <v>530</v>
      </c>
      <c r="I303" s="14">
        <v>1342.0889999999999</v>
      </c>
      <c r="J303" s="8" t="s">
        <v>190</v>
      </c>
      <c r="K303" s="8" t="s">
        <v>512</v>
      </c>
    </row>
    <row r="304" spans="1:11" x14ac:dyDescent="0.2">
      <c r="A304" s="10">
        <v>64001000</v>
      </c>
      <c r="B304" s="10" t="s">
        <v>191</v>
      </c>
      <c r="C304" s="11">
        <v>1429006.1970000002</v>
      </c>
      <c r="D304" s="11">
        <v>326574.49699999997</v>
      </c>
      <c r="E304" s="11">
        <v>0</v>
      </c>
      <c r="F304" s="13">
        <v>25606.931</v>
      </c>
      <c r="G304" s="13">
        <v>0</v>
      </c>
      <c r="H304" s="14">
        <v>352181.42799999996</v>
      </c>
      <c r="I304" s="14">
        <v>1781187.625</v>
      </c>
      <c r="J304" s="8" t="s">
        <v>192</v>
      </c>
      <c r="K304" s="8" t="s">
        <v>511</v>
      </c>
    </row>
    <row r="305" spans="1:11" x14ac:dyDescent="0.2">
      <c r="A305" s="10">
        <v>64600100</v>
      </c>
      <c r="B305" s="10" t="s">
        <v>407</v>
      </c>
      <c r="C305" s="11">
        <v>45789.100999999937</v>
      </c>
      <c r="D305" s="11">
        <v>238390.29100000003</v>
      </c>
      <c r="E305" s="11">
        <v>236193.14300000001</v>
      </c>
      <c r="F305" s="13">
        <v>0</v>
      </c>
      <c r="G305" s="13">
        <v>0</v>
      </c>
      <c r="H305" s="14">
        <v>2197.1480000000156</v>
      </c>
      <c r="I305" s="14">
        <v>47986.248999999953</v>
      </c>
      <c r="J305" s="8" t="s">
        <v>192</v>
      </c>
      <c r="K305" s="8" t="s">
        <v>511</v>
      </c>
    </row>
    <row r="306" spans="1:11" x14ac:dyDescent="0.2">
      <c r="A306" s="10">
        <v>64720000</v>
      </c>
      <c r="B306" s="10" t="s">
        <v>194</v>
      </c>
      <c r="C306" s="11">
        <v>124084.27799999999</v>
      </c>
      <c r="D306" s="11">
        <v>0</v>
      </c>
      <c r="E306" s="11">
        <v>0</v>
      </c>
      <c r="F306" s="13">
        <v>28703.087</v>
      </c>
      <c r="G306" s="13">
        <v>0</v>
      </c>
      <c r="H306" s="14">
        <v>28703.087</v>
      </c>
      <c r="I306" s="14">
        <v>152787.36499999999</v>
      </c>
      <c r="J306" s="8" t="s">
        <v>192</v>
      </c>
      <c r="K306" s="8" t="s">
        <v>511</v>
      </c>
    </row>
    <row r="307" spans="1:11" x14ac:dyDescent="0.2">
      <c r="A307" s="10">
        <v>65110000</v>
      </c>
      <c r="B307" s="10" t="s">
        <v>385</v>
      </c>
      <c r="C307" s="11">
        <v>23500.794999999998</v>
      </c>
      <c r="D307" s="11">
        <v>39946.913</v>
      </c>
      <c r="E307" s="11">
        <v>0</v>
      </c>
      <c r="F307" s="13">
        <v>0</v>
      </c>
      <c r="G307" s="13">
        <v>0</v>
      </c>
      <c r="H307" s="14">
        <v>39946.913</v>
      </c>
      <c r="I307" s="14">
        <v>63447.707999999999</v>
      </c>
      <c r="J307" s="8" t="s">
        <v>195</v>
      </c>
      <c r="K307" s="8" t="s">
        <v>517</v>
      </c>
    </row>
    <row r="308" spans="1:11" x14ac:dyDescent="0.2">
      <c r="A308" s="10">
        <v>65110200</v>
      </c>
      <c r="B308" s="10" t="s">
        <v>196</v>
      </c>
      <c r="C308" s="11">
        <v>128693.334</v>
      </c>
      <c r="D308" s="11">
        <v>0</v>
      </c>
      <c r="E308" s="11">
        <v>0</v>
      </c>
      <c r="F308" s="13">
        <v>34014.074000000001</v>
      </c>
      <c r="G308" s="13">
        <v>0</v>
      </c>
      <c r="H308" s="14">
        <v>34014.074000000001</v>
      </c>
      <c r="I308" s="14">
        <v>162707.408</v>
      </c>
      <c r="J308" s="8" t="s">
        <v>195</v>
      </c>
      <c r="K308" s="8" t="s">
        <v>517</v>
      </c>
    </row>
    <row r="309" spans="1:11" x14ac:dyDescent="0.2">
      <c r="A309" s="10">
        <v>65110400</v>
      </c>
      <c r="B309" s="10" t="s">
        <v>197</v>
      </c>
      <c r="C309" s="11">
        <v>123718.158</v>
      </c>
      <c r="D309" s="11">
        <v>0</v>
      </c>
      <c r="E309" s="11">
        <v>0</v>
      </c>
      <c r="F309" s="13">
        <v>52326.665999999997</v>
      </c>
      <c r="G309" s="13">
        <v>0</v>
      </c>
      <c r="H309" s="14">
        <v>52326.665999999997</v>
      </c>
      <c r="I309" s="14">
        <v>176044.82399999999</v>
      </c>
      <c r="J309" s="8" t="s">
        <v>195</v>
      </c>
      <c r="K309" s="8" t="s">
        <v>517</v>
      </c>
    </row>
    <row r="310" spans="1:11" x14ac:dyDescent="0.2">
      <c r="A310" s="10">
        <v>65115000</v>
      </c>
      <c r="B310" s="10" t="s">
        <v>379</v>
      </c>
      <c r="C310" s="11">
        <v>15203.275999999998</v>
      </c>
      <c r="D310" s="11">
        <v>3531.97</v>
      </c>
      <c r="E310" s="11">
        <v>0</v>
      </c>
      <c r="F310" s="13">
        <v>0</v>
      </c>
      <c r="G310" s="13">
        <v>0</v>
      </c>
      <c r="H310" s="14">
        <v>3531.97</v>
      </c>
      <c r="I310" s="14">
        <v>18735.245999999999</v>
      </c>
      <c r="J310" s="8" t="s">
        <v>195</v>
      </c>
      <c r="K310" s="8" t="s">
        <v>517</v>
      </c>
    </row>
    <row r="311" spans="1:11" x14ac:dyDescent="0.2">
      <c r="A311" s="10">
        <v>65150000</v>
      </c>
      <c r="B311" s="10" t="s">
        <v>270</v>
      </c>
      <c r="C311" s="11">
        <v>51221.917999999998</v>
      </c>
      <c r="D311" s="11">
        <v>0</v>
      </c>
      <c r="E311" s="11">
        <v>0</v>
      </c>
      <c r="F311" s="13">
        <v>14064.657999999999</v>
      </c>
      <c r="G311" s="13">
        <v>0</v>
      </c>
      <c r="H311" s="14">
        <v>14064.657999999999</v>
      </c>
      <c r="I311" s="14">
        <v>65286.576000000001</v>
      </c>
      <c r="J311" s="8" t="s">
        <v>195</v>
      </c>
      <c r="K311" s="8" t="s">
        <v>517</v>
      </c>
    </row>
    <row r="312" spans="1:11" x14ac:dyDescent="0.2">
      <c r="A312" s="10">
        <v>65190000</v>
      </c>
      <c r="B312" s="10" t="s">
        <v>198</v>
      </c>
      <c r="C312" s="11">
        <v>112295.81099999999</v>
      </c>
      <c r="D312" s="11">
        <v>0</v>
      </c>
      <c r="E312" s="11">
        <v>0</v>
      </c>
      <c r="F312" s="13">
        <v>25903.718000000001</v>
      </c>
      <c r="G312" s="13">
        <v>0</v>
      </c>
      <c r="H312" s="14">
        <v>25903.718000000001</v>
      </c>
      <c r="I312" s="14">
        <v>138199.52899999998</v>
      </c>
      <c r="J312" s="8" t="s">
        <v>195</v>
      </c>
      <c r="K312" s="8" t="s">
        <v>517</v>
      </c>
    </row>
    <row r="313" spans="1:11" x14ac:dyDescent="0.2">
      <c r="A313" s="10">
        <v>65500000</v>
      </c>
      <c r="B313" s="10" t="s">
        <v>400</v>
      </c>
      <c r="C313" s="11">
        <v>36970.517999999996</v>
      </c>
      <c r="D313" s="11">
        <v>0</v>
      </c>
      <c r="E313" s="11">
        <v>82.302000000000007</v>
      </c>
      <c r="F313" s="13">
        <v>0</v>
      </c>
      <c r="G313" s="13">
        <v>0</v>
      </c>
      <c r="H313" s="14">
        <v>-82.302000000000007</v>
      </c>
      <c r="I313" s="14">
        <v>36888.215999999993</v>
      </c>
      <c r="J313" s="8" t="s">
        <v>195</v>
      </c>
      <c r="K313" s="8" t="s">
        <v>517</v>
      </c>
    </row>
    <row r="314" spans="1:11" x14ac:dyDescent="0.2">
      <c r="A314" s="10">
        <v>66500000</v>
      </c>
      <c r="B314" s="10" t="s">
        <v>8974</v>
      </c>
      <c r="C314" s="11">
        <v>0</v>
      </c>
      <c r="D314" s="11">
        <v>0</v>
      </c>
      <c r="E314" s="11">
        <v>496.64600000000002</v>
      </c>
      <c r="F314" s="13">
        <v>0</v>
      </c>
      <c r="G314" s="13">
        <v>0</v>
      </c>
      <c r="H314" s="14">
        <v>-496.64600000000002</v>
      </c>
      <c r="I314" s="14">
        <v>-496.64600000000002</v>
      </c>
      <c r="J314" s="8" t="s">
        <v>157</v>
      </c>
      <c r="K314" s="8" t="s">
        <v>512</v>
      </c>
    </row>
    <row r="315" spans="1:11" x14ac:dyDescent="0.2">
      <c r="A315" s="10">
        <v>66520000</v>
      </c>
      <c r="B315" s="10" t="s">
        <v>200</v>
      </c>
      <c r="C315" s="11">
        <v>27747.137000000002</v>
      </c>
      <c r="D315" s="11">
        <v>4841.143</v>
      </c>
      <c r="E315" s="11">
        <v>0</v>
      </c>
      <c r="F315" s="13">
        <v>7146.6620000000003</v>
      </c>
      <c r="G315" s="13">
        <v>4931.72</v>
      </c>
      <c r="H315" s="14">
        <v>7056.085</v>
      </c>
      <c r="I315" s="14">
        <v>34803.222000000002</v>
      </c>
      <c r="J315" s="8" t="s">
        <v>157</v>
      </c>
      <c r="K315" s="8" t="s">
        <v>512</v>
      </c>
    </row>
    <row r="316" spans="1:11" x14ac:dyDescent="0.2">
      <c r="A316" s="10">
        <v>66540000</v>
      </c>
      <c r="B316" s="10" t="s">
        <v>201</v>
      </c>
      <c r="C316" s="11">
        <v>3584.6340000000005</v>
      </c>
      <c r="D316" s="11">
        <v>1444.5939999999998</v>
      </c>
      <c r="E316" s="11">
        <v>10</v>
      </c>
      <c r="F316" s="13">
        <v>0</v>
      </c>
      <c r="G316" s="13">
        <v>0</v>
      </c>
      <c r="H316" s="14">
        <v>1434.5939999999998</v>
      </c>
      <c r="I316" s="14">
        <v>5019.2280000000001</v>
      </c>
      <c r="J316" s="8" t="s">
        <v>157</v>
      </c>
      <c r="K316" s="8" t="s">
        <v>512</v>
      </c>
    </row>
    <row r="317" spans="1:11" x14ac:dyDescent="0.2">
      <c r="A317" s="10">
        <v>66550000</v>
      </c>
      <c r="B317" s="10" t="s">
        <v>202</v>
      </c>
      <c r="C317" s="11">
        <v>4580.3189999999995</v>
      </c>
      <c r="D317" s="11">
        <v>0</v>
      </c>
      <c r="E317" s="11">
        <v>0</v>
      </c>
      <c r="F317" s="13">
        <v>900</v>
      </c>
      <c r="G317" s="13">
        <v>0</v>
      </c>
      <c r="H317" s="14">
        <v>900</v>
      </c>
      <c r="I317" s="14">
        <v>5480.3189999999995</v>
      </c>
      <c r="J317" s="8" t="s">
        <v>157</v>
      </c>
      <c r="K317" s="8" t="s">
        <v>512</v>
      </c>
    </row>
    <row r="318" spans="1:11" x14ac:dyDescent="0.2">
      <c r="A318" s="10">
        <v>68112000</v>
      </c>
      <c r="B318" s="10" t="s">
        <v>271</v>
      </c>
      <c r="C318" s="11">
        <v>780333.0689999999</v>
      </c>
      <c r="D318" s="11">
        <v>0</v>
      </c>
      <c r="E318" s="11">
        <v>0</v>
      </c>
      <c r="F318" s="13">
        <v>217715.296</v>
      </c>
      <c r="G318" s="13">
        <v>0</v>
      </c>
      <c r="H318" s="14">
        <v>217715.296</v>
      </c>
      <c r="I318" s="14">
        <v>998048.36499999987</v>
      </c>
      <c r="J318" s="8" t="s">
        <v>203</v>
      </c>
      <c r="K318" s="8" t="s">
        <v>7578</v>
      </c>
    </row>
    <row r="319" spans="1:11" x14ac:dyDescent="0.2">
      <c r="A319" s="10">
        <v>70000000</v>
      </c>
      <c r="B319" s="10" t="s">
        <v>205</v>
      </c>
      <c r="C319" s="11">
        <v>-8319332.0410000002</v>
      </c>
      <c r="D319" s="11">
        <v>211387.72899999999</v>
      </c>
      <c r="E319" s="11">
        <v>2531670.7990000001</v>
      </c>
      <c r="F319" s="13">
        <v>0</v>
      </c>
      <c r="G319" s="13">
        <v>0</v>
      </c>
      <c r="H319" s="14">
        <v>-2320283.0700000003</v>
      </c>
      <c r="I319" s="14">
        <v>-10639615.111000001</v>
      </c>
      <c r="J319" s="8" t="s">
        <v>206</v>
      </c>
      <c r="K319" s="8" t="s">
        <v>505</v>
      </c>
    </row>
    <row r="320" spans="1:11" x14ac:dyDescent="0.2">
      <c r="A320" s="10">
        <v>70102000</v>
      </c>
      <c r="B320" s="10" t="s">
        <v>207</v>
      </c>
      <c r="C320" s="11">
        <v>-6191724.0430000005</v>
      </c>
      <c r="D320" s="11">
        <v>0</v>
      </c>
      <c r="E320" s="11">
        <v>1046383.7528799999</v>
      </c>
      <c r="F320" s="13">
        <v>0</v>
      </c>
      <c r="G320" s="13">
        <v>0</v>
      </c>
      <c r="H320" s="14">
        <v>-1046383.7528799999</v>
      </c>
      <c r="I320" s="14">
        <v>-7238107.7958800001</v>
      </c>
      <c r="J320" s="8" t="s">
        <v>227</v>
      </c>
      <c r="K320" s="8" t="s">
        <v>504</v>
      </c>
    </row>
    <row r="321" spans="1:14" x14ac:dyDescent="0.2">
      <c r="A321" s="10">
        <v>70103000</v>
      </c>
      <c r="B321" s="10" t="s">
        <v>380</v>
      </c>
      <c r="C321" s="11">
        <v>-9195</v>
      </c>
      <c r="D321" s="11">
        <v>0</v>
      </c>
      <c r="E321" s="11">
        <v>11350</v>
      </c>
      <c r="F321" s="13">
        <v>0</v>
      </c>
      <c r="G321" s="13">
        <v>0</v>
      </c>
      <c r="H321" s="14">
        <v>-11350</v>
      </c>
      <c r="I321" s="14">
        <v>-20545</v>
      </c>
      <c r="J321" s="8" t="s">
        <v>206</v>
      </c>
      <c r="K321" s="8" t="s">
        <v>505</v>
      </c>
    </row>
    <row r="322" spans="1:14" x14ac:dyDescent="0.2">
      <c r="A322" s="10">
        <v>70600000</v>
      </c>
      <c r="B322" s="10" t="s">
        <v>381</v>
      </c>
      <c r="C322" s="11">
        <v>-140625.38</v>
      </c>
      <c r="D322" s="11">
        <v>0</v>
      </c>
      <c r="E322" s="11">
        <v>0</v>
      </c>
      <c r="F322" s="13">
        <v>0</v>
      </c>
      <c r="G322" s="13">
        <v>0</v>
      </c>
      <c r="H322" s="14">
        <v>0</v>
      </c>
      <c r="I322" s="14">
        <v>-140625.38</v>
      </c>
      <c r="J322" s="8" t="s">
        <v>206</v>
      </c>
      <c r="K322" s="8" t="s">
        <v>505</v>
      </c>
    </row>
    <row r="323" spans="1:14" x14ac:dyDescent="0.2">
      <c r="A323" s="10">
        <v>70600500</v>
      </c>
      <c r="B323" s="10" t="s">
        <v>208</v>
      </c>
      <c r="C323" s="11">
        <v>-12877.2</v>
      </c>
      <c r="D323" s="11">
        <v>0</v>
      </c>
      <c r="E323" s="11">
        <v>0</v>
      </c>
      <c r="F323" s="13">
        <v>0</v>
      </c>
      <c r="G323" s="13">
        <v>3219.3</v>
      </c>
      <c r="H323" s="14">
        <v>-3219.3</v>
      </c>
      <c r="I323" s="14">
        <v>-16096.5</v>
      </c>
      <c r="J323" s="8" t="s">
        <v>214</v>
      </c>
      <c r="K323" s="8" t="s">
        <v>506</v>
      </c>
    </row>
    <row r="324" spans="1:14" x14ac:dyDescent="0.2">
      <c r="A324" s="10">
        <v>71340000</v>
      </c>
      <c r="B324" s="10" t="s">
        <v>382</v>
      </c>
      <c r="C324" s="11">
        <v>4992501.915</v>
      </c>
      <c r="D324" s="11">
        <v>0</v>
      </c>
      <c r="E324" s="11">
        <v>4992501.915</v>
      </c>
      <c r="F324" s="13">
        <v>0</v>
      </c>
      <c r="G324" s="13">
        <v>0</v>
      </c>
      <c r="H324" s="14">
        <v>-4992501.915</v>
      </c>
      <c r="I324" s="14">
        <v>0</v>
      </c>
      <c r="J324" s="8" t="s">
        <v>210</v>
      </c>
      <c r="K324" s="8" t="s">
        <v>508</v>
      </c>
    </row>
    <row r="325" spans="1:14" x14ac:dyDescent="0.2">
      <c r="A325" s="10">
        <v>71350000</v>
      </c>
      <c r="B325" s="10" t="s">
        <v>209</v>
      </c>
      <c r="C325" s="11">
        <v>-6584617.7790000001</v>
      </c>
      <c r="D325" s="11">
        <v>4992501.915</v>
      </c>
      <c r="E325" s="11">
        <v>0</v>
      </c>
      <c r="F325" s="13">
        <v>6584617.7790000001</v>
      </c>
      <c r="G325" s="13">
        <v>8349257.6279999996</v>
      </c>
      <c r="H325" s="14">
        <v>3227862.0660000006</v>
      </c>
      <c r="I325" s="14">
        <v>-3356755.7129999995</v>
      </c>
      <c r="J325" s="8" t="s">
        <v>210</v>
      </c>
      <c r="K325" s="8" t="s">
        <v>508</v>
      </c>
    </row>
    <row r="326" spans="1:14" x14ac:dyDescent="0.2">
      <c r="A326" s="10">
        <v>73601000</v>
      </c>
      <c r="B326" s="10" t="s">
        <v>211</v>
      </c>
      <c r="C326" s="11">
        <v>-42</v>
      </c>
      <c r="D326" s="11">
        <v>0</v>
      </c>
      <c r="E326" s="11">
        <v>0</v>
      </c>
      <c r="F326" s="13">
        <v>0</v>
      </c>
      <c r="G326" s="13">
        <v>0</v>
      </c>
      <c r="H326" s="14">
        <v>0</v>
      </c>
      <c r="I326" s="14">
        <v>-42</v>
      </c>
      <c r="J326" s="8" t="s">
        <v>214</v>
      </c>
      <c r="K326" s="8" t="s">
        <v>506</v>
      </c>
    </row>
    <row r="327" spans="1:14" x14ac:dyDescent="0.2">
      <c r="A327" s="10">
        <v>73602000</v>
      </c>
      <c r="B327" s="10" t="s">
        <v>8975</v>
      </c>
      <c r="C327" s="11">
        <v>0</v>
      </c>
      <c r="D327" s="11">
        <v>0</v>
      </c>
      <c r="E327" s="11">
        <v>0</v>
      </c>
      <c r="F327" s="13">
        <v>0</v>
      </c>
      <c r="G327" s="13">
        <v>0</v>
      </c>
      <c r="H327" s="14">
        <v>0</v>
      </c>
      <c r="I327" s="14">
        <v>0</v>
      </c>
      <c r="J327" s="8" t="s">
        <v>214</v>
      </c>
      <c r="K327" s="8" t="s">
        <v>506</v>
      </c>
    </row>
    <row r="328" spans="1:14" x14ac:dyDescent="0.2">
      <c r="A328" s="10">
        <v>75600000</v>
      </c>
      <c r="B328" s="10" t="s">
        <v>215</v>
      </c>
      <c r="C328" s="11">
        <v>0</v>
      </c>
      <c r="D328" s="11">
        <v>0</v>
      </c>
      <c r="E328" s="11">
        <v>947.93999999999994</v>
      </c>
      <c r="F328" s="13">
        <v>0</v>
      </c>
      <c r="G328" s="13">
        <v>0</v>
      </c>
      <c r="H328" s="14">
        <v>-947.93999999999994</v>
      </c>
      <c r="I328" s="14">
        <v>-947.93999999999994</v>
      </c>
      <c r="J328" s="8" t="s">
        <v>214</v>
      </c>
      <c r="K328" s="8" t="s">
        <v>517</v>
      </c>
    </row>
    <row r="329" spans="1:14" x14ac:dyDescent="0.2">
      <c r="A329" s="10">
        <v>73900000</v>
      </c>
      <c r="B329" s="10" t="s">
        <v>213</v>
      </c>
      <c r="C329" s="11">
        <v>-87587.732000000004</v>
      </c>
      <c r="D329" s="11">
        <v>0</v>
      </c>
      <c r="E329" s="11">
        <v>0</v>
      </c>
      <c r="F329" s="13">
        <v>0</v>
      </c>
      <c r="G329" s="13">
        <v>21896.933000000001</v>
      </c>
      <c r="H329" s="14">
        <v>-21896.933000000001</v>
      </c>
      <c r="I329" s="14">
        <v>-109484.66500000001</v>
      </c>
      <c r="J329" s="8" t="s">
        <v>214</v>
      </c>
      <c r="K329" s="8" t="s">
        <v>506</v>
      </c>
    </row>
    <row r="330" spans="1:14" x14ac:dyDescent="0.2">
      <c r="A330" s="10">
        <v>77000000</v>
      </c>
      <c r="B330" s="10" t="s">
        <v>216</v>
      </c>
      <c r="C330" s="11">
        <v>-5.71</v>
      </c>
      <c r="D330" s="11">
        <v>0</v>
      </c>
      <c r="E330" s="11">
        <v>0</v>
      </c>
      <c r="F330" s="13">
        <v>0</v>
      </c>
      <c r="G330" s="13">
        <v>0</v>
      </c>
      <c r="H330" s="14">
        <v>0</v>
      </c>
      <c r="I330" s="14">
        <v>-5.71</v>
      </c>
      <c r="J330" s="8" t="s">
        <v>212</v>
      </c>
      <c r="K330" s="8" t="s">
        <v>518</v>
      </c>
    </row>
    <row r="331" spans="1:14" x14ac:dyDescent="0.2">
      <c r="A331" s="10">
        <v>79999999</v>
      </c>
      <c r="B331" s="10" t="s">
        <v>383</v>
      </c>
      <c r="C331" s="11">
        <v>-2.6040943339467049E-4</v>
      </c>
      <c r="D331" s="11">
        <v>0</v>
      </c>
      <c r="E331" s="11">
        <v>0</v>
      </c>
      <c r="F331" s="13">
        <v>0</v>
      </c>
      <c r="G331" s="13">
        <v>0</v>
      </c>
      <c r="H331" s="14">
        <v>0</v>
      </c>
      <c r="I331" s="14">
        <v>-2.6040943339467049E-4</v>
      </c>
      <c r="J331" s="8"/>
    </row>
    <row r="332" spans="1:14" ht="15" x14ac:dyDescent="0.25">
      <c r="A332"/>
      <c r="C332" s="344">
        <v>5.9159484581323696E-3</v>
      </c>
      <c r="D332" s="344">
        <v>31702622.880213007</v>
      </c>
      <c r="E332" s="344">
        <v>31702622.880212996</v>
      </c>
      <c r="F332" s="344">
        <v>38198588.151000008</v>
      </c>
      <c r="G332" s="344">
        <v>38198588.151000001</v>
      </c>
      <c r="H332" s="344">
        <v>-1.2587406672537327E-9</v>
      </c>
      <c r="I332" s="344">
        <v>5.9159369475674239E-3</v>
      </c>
      <c r="M332" s="9"/>
      <c r="N332" s="315"/>
    </row>
  </sheetData>
  <autoFilter ref="A1:J326" xr:uid="{00000000-0009-0000-0000-000010000000}"/>
  <pageMargins left="0.7" right="0.7" top="0.75" bottom="0.75" header="0.3" footer="0.3"/>
  <pageSetup paperSize="9"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38"/>
  <sheetViews>
    <sheetView workbookViewId="0">
      <pane ySplit="1" topLeftCell="A53" activePane="bottomLeft" state="frozen"/>
      <selection pane="bottomLeft" activeCell="C71" sqref="C71"/>
    </sheetView>
  </sheetViews>
  <sheetFormatPr baseColWidth="10" defaultColWidth="11.42578125" defaultRowHeight="11.25" x14ac:dyDescent="0.2"/>
  <cols>
    <col min="1" max="1" width="14.42578125" style="302" bestFit="1" customWidth="1"/>
    <col min="2" max="2" width="23.7109375" style="302" bestFit="1" customWidth="1"/>
    <col min="3" max="3" width="15.140625" style="305" bestFit="1" customWidth="1"/>
    <col min="4" max="5" width="13.28515625" style="305" bestFit="1" customWidth="1"/>
    <col min="6" max="7" width="14.42578125" style="305" bestFit="1" customWidth="1"/>
    <col min="8" max="8" width="13.140625" style="305" bestFit="1" customWidth="1"/>
    <col min="9" max="9" width="13.28515625" style="305" bestFit="1" customWidth="1"/>
    <col min="10" max="10" width="25" style="302" customWidth="1"/>
    <col min="11" max="16384" width="11.42578125" style="302"/>
  </cols>
  <sheetData>
    <row r="1" spans="1:11" x14ac:dyDescent="0.2">
      <c r="A1" s="6" t="s">
        <v>1</v>
      </c>
      <c r="B1" s="6" t="s">
        <v>0</v>
      </c>
      <c r="C1" s="7" t="s">
        <v>5</v>
      </c>
      <c r="D1" s="7" t="s">
        <v>2</v>
      </c>
      <c r="E1" s="7" t="s">
        <v>260</v>
      </c>
      <c r="F1" s="7" t="s">
        <v>218</v>
      </c>
      <c r="G1" s="7" t="s">
        <v>219</v>
      </c>
      <c r="H1" s="7" t="s">
        <v>6</v>
      </c>
      <c r="I1" s="7" t="s">
        <v>217</v>
      </c>
      <c r="J1" s="6" t="s">
        <v>384</v>
      </c>
    </row>
    <row r="2" spans="1:11" x14ac:dyDescent="0.2">
      <c r="A2" s="10">
        <v>10100000</v>
      </c>
      <c r="B2" s="10" t="s">
        <v>7</v>
      </c>
      <c r="C2" s="11">
        <v>-13500000</v>
      </c>
      <c r="D2" s="11">
        <v>0</v>
      </c>
      <c r="E2" s="11">
        <v>0</v>
      </c>
      <c r="F2" s="11">
        <v>0</v>
      </c>
      <c r="G2" s="11">
        <v>0</v>
      </c>
      <c r="H2" s="14">
        <f>D2+F2-E2-G2</f>
        <v>0</v>
      </c>
      <c r="I2" s="14">
        <f>C2+H2</f>
        <v>-13500000</v>
      </c>
      <c r="J2" s="8" t="s">
        <v>8</v>
      </c>
      <c r="K2" s="8"/>
    </row>
    <row r="3" spans="1:11" x14ac:dyDescent="0.2">
      <c r="A3" s="10">
        <v>11101000</v>
      </c>
      <c r="B3" s="10" t="s">
        <v>9</v>
      </c>
      <c r="C3" s="11">
        <v>-1200000</v>
      </c>
      <c r="D3" s="11">
        <v>0</v>
      </c>
      <c r="E3" s="11">
        <v>0</v>
      </c>
      <c r="F3" s="11">
        <v>0</v>
      </c>
      <c r="G3" s="11">
        <v>0</v>
      </c>
      <c r="H3" s="14">
        <f t="shared" ref="H3:H66" si="0">D3+F3-E3-G3</f>
        <v>0</v>
      </c>
      <c r="I3" s="14">
        <f t="shared" ref="I3:I66" si="1">C3+H3</f>
        <v>-1200000</v>
      </c>
      <c r="J3" s="8" t="s">
        <v>10</v>
      </c>
      <c r="K3" s="8"/>
    </row>
    <row r="4" spans="1:11" x14ac:dyDescent="0.2">
      <c r="A4" s="10">
        <v>12100000</v>
      </c>
      <c r="B4" s="10" t="s">
        <v>11</v>
      </c>
      <c r="C4" s="11">
        <v>-17992372.004645001</v>
      </c>
      <c r="D4" s="11">
        <v>0</v>
      </c>
      <c r="E4" s="11">
        <v>0</v>
      </c>
      <c r="F4" s="11">
        <v>0</v>
      </c>
      <c r="G4" s="11">
        <v>0</v>
      </c>
      <c r="H4" s="14">
        <f t="shared" si="0"/>
        <v>0</v>
      </c>
      <c r="I4" s="14">
        <f t="shared" si="1"/>
        <v>-17992372.004645001</v>
      </c>
      <c r="J4" s="8" t="s">
        <v>12</v>
      </c>
      <c r="K4" s="8"/>
    </row>
    <row r="5" spans="1:11" x14ac:dyDescent="0.2">
      <c r="A5" s="10">
        <v>12200000</v>
      </c>
      <c r="B5" s="10" t="s">
        <v>272</v>
      </c>
      <c r="C5" s="11">
        <v>0</v>
      </c>
      <c r="D5" s="11">
        <v>0</v>
      </c>
      <c r="E5" s="11">
        <v>0</v>
      </c>
      <c r="F5" s="11">
        <v>0</v>
      </c>
      <c r="G5" s="11">
        <v>0</v>
      </c>
      <c r="H5" s="14">
        <f t="shared" si="0"/>
        <v>0</v>
      </c>
      <c r="I5" s="14">
        <f t="shared" si="1"/>
        <v>0</v>
      </c>
      <c r="J5" s="8"/>
      <c r="K5" s="8"/>
    </row>
    <row r="6" spans="1:11" x14ac:dyDescent="0.2">
      <c r="A6" s="10">
        <v>12800000</v>
      </c>
      <c r="B6" s="10" t="s">
        <v>13</v>
      </c>
      <c r="C6" s="11">
        <v>3022190.1950000003</v>
      </c>
      <c r="D6" s="11">
        <v>0</v>
      </c>
      <c r="E6" s="11">
        <v>0</v>
      </c>
      <c r="F6" s="11">
        <v>0</v>
      </c>
      <c r="G6" s="11">
        <v>0</v>
      </c>
      <c r="H6" s="14">
        <f t="shared" si="0"/>
        <v>0</v>
      </c>
      <c r="I6" s="14">
        <f t="shared" si="1"/>
        <v>3022190.1950000003</v>
      </c>
      <c r="J6" s="8" t="s">
        <v>14</v>
      </c>
      <c r="K6" s="8"/>
    </row>
    <row r="7" spans="1:11" x14ac:dyDescent="0.2">
      <c r="A7" s="10">
        <v>13000000</v>
      </c>
      <c r="B7" s="10" t="s">
        <v>273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  <c r="H7" s="14">
        <f t="shared" si="0"/>
        <v>0</v>
      </c>
      <c r="I7" s="14">
        <f t="shared" si="1"/>
        <v>0</v>
      </c>
      <c r="J7" s="8"/>
      <c r="K7" s="8"/>
    </row>
    <row r="8" spans="1:11" x14ac:dyDescent="0.2">
      <c r="A8" s="10">
        <v>14500000</v>
      </c>
      <c r="B8" s="10" t="s">
        <v>15</v>
      </c>
      <c r="C8" s="11">
        <v>-3479108.84</v>
      </c>
      <c r="D8" s="11">
        <v>0</v>
      </c>
      <c r="E8" s="11">
        <v>0</v>
      </c>
      <c r="F8" s="11">
        <v>0</v>
      </c>
      <c r="G8" s="11">
        <v>0</v>
      </c>
      <c r="H8" s="14">
        <f t="shared" si="0"/>
        <v>0</v>
      </c>
      <c r="I8" s="14">
        <f t="shared" si="1"/>
        <v>-3479108.84</v>
      </c>
      <c r="J8" s="8" t="s">
        <v>16</v>
      </c>
      <c r="K8" s="8"/>
    </row>
    <row r="9" spans="1:11" x14ac:dyDescent="0.2">
      <c r="A9" s="10">
        <v>14508000</v>
      </c>
      <c r="B9" s="10" t="s">
        <v>17</v>
      </c>
      <c r="C9" s="11">
        <v>2541622.9180000001</v>
      </c>
      <c r="D9" s="11">
        <v>0</v>
      </c>
      <c r="E9" s="11">
        <v>0</v>
      </c>
      <c r="F9" s="11">
        <v>21896.933000000001</v>
      </c>
      <c r="G9" s="11">
        <v>0</v>
      </c>
      <c r="H9" s="14">
        <f t="shared" si="0"/>
        <v>21896.933000000001</v>
      </c>
      <c r="I9" s="14">
        <f t="shared" si="1"/>
        <v>2563519.8510000003</v>
      </c>
      <c r="J9" s="8" t="s">
        <v>18</v>
      </c>
      <c r="K9" s="8"/>
    </row>
    <row r="10" spans="1:11" x14ac:dyDescent="0.2">
      <c r="A10" s="10">
        <v>15100000</v>
      </c>
      <c r="B10" s="10" t="s">
        <v>19</v>
      </c>
      <c r="C10" s="11">
        <v>-231535.016</v>
      </c>
      <c r="D10" s="11">
        <v>0</v>
      </c>
      <c r="E10" s="11">
        <v>0</v>
      </c>
      <c r="F10" s="11">
        <v>0</v>
      </c>
      <c r="G10" s="11">
        <v>0</v>
      </c>
      <c r="H10" s="14">
        <f t="shared" si="0"/>
        <v>0</v>
      </c>
      <c r="I10" s="14">
        <f t="shared" si="1"/>
        <v>-231535.016</v>
      </c>
      <c r="J10" s="8" t="s">
        <v>20</v>
      </c>
      <c r="K10" s="8"/>
    </row>
    <row r="11" spans="1:11" x14ac:dyDescent="0.2">
      <c r="A11" s="10">
        <v>16210250</v>
      </c>
      <c r="B11" s="10" t="s">
        <v>274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4">
        <f t="shared" si="0"/>
        <v>0</v>
      </c>
      <c r="I11" s="14">
        <f t="shared" si="1"/>
        <v>0</v>
      </c>
      <c r="J11" s="8"/>
      <c r="K11" s="8"/>
    </row>
    <row r="12" spans="1:11" x14ac:dyDescent="0.2">
      <c r="A12" s="10">
        <v>16210500</v>
      </c>
      <c r="B12" s="10" t="s">
        <v>21</v>
      </c>
      <c r="C12" s="11">
        <v>-2041666.6629999988</v>
      </c>
      <c r="D12" s="11">
        <v>0</v>
      </c>
      <c r="E12" s="11">
        <v>0</v>
      </c>
      <c r="F12" s="11">
        <v>0</v>
      </c>
      <c r="G12" s="11">
        <v>0</v>
      </c>
      <c r="H12" s="14">
        <f t="shared" si="0"/>
        <v>0</v>
      </c>
      <c r="I12" s="14">
        <f t="shared" si="1"/>
        <v>-2041666.6629999988</v>
      </c>
      <c r="J12" s="8" t="s">
        <v>22</v>
      </c>
      <c r="K12" s="8"/>
    </row>
    <row r="13" spans="1:11" x14ac:dyDescent="0.2">
      <c r="A13" s="10">
        <v>16210960</v>
      </c>
      <c r="B13" s="10" t="s">
        <v>275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4">
        <f t="shared" si="0"/>
        <v>0</v>
      </c>
      <c r="I13" s="14">
        <f t="shared" si="1"/>
        <v>0</v>
      </c>
      <c r="J13" s="8"/>
      <c r="K13" s="8"/>
    </row>
    <row r="14" spans="1:11" x14ac:dyDescent="0.2">
      <c r="A14" s="10">
        <v>16400000</v>
      </c>
      <c r="B14" s="10" t="s">
        <v>276</v>
      </c>
      <c r="C14" s="11">
        <v>-235466.95700000023</v>
      </c>
      <c r="D14" s="11">
        <v>0</v>
      </c>
      <c r="E14" s="11">
        <v>0</v>
      </c>
      <c r="F14" s="11">
        <v>0</v>
      </c>
      <c r="G14" s="11">
        <v>0</v>
      </c>
      <c r="H14" s="14">
        <f t="shared" si="0"/>
        <v>0</v>
      </c>
      <c r="I14" s="14">
        <f t="shared" si="1"/>
        <v>-235466.95700000023</v>
      </c>
      <c r="J14" s="8" t="s">
        <v>22</v>
      </c>
      <c r="K14" s="8"/>
    </row>
    <row r="15" spans="1:11" x14ac:dyDescent="0.2">
      <c r="A15" s="10">
        <v>18800000</v>
      </c>
      <c r="B15" s="10" t="s">
        <v>23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4">
        <f t="shared" si="0"/>
        <v>0</v>
      </c>
      <c r="I15" s="14">
        <f t="shared" si="1"/>
        <v>0</v>
      </c>
      <c r="J15" s="8"/>
      <c r="K15" s="8"/>
    </row>
    <row r="16" spans="1:11" x14ac:dyDescent="0.2">
      <c r="A16" s="10">
        <v>21100000</v>
      </c>
      <c r="B16" s="10" t="s">
        <v>277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4">
        <f t="shared" si="0"/>
        <v>0</v>
      </c>
      <c r="I16" s="14">
        <f t="shared" si="1"/>
        <v>0</v>
      </c>
      <c r="J16" s="8"/>
      <c r="K16" s="8"/>
    </row>
    <row r="17" spans="1:11" x14ac:dyDescent="0.2">
      <c r="A17" s="10">
        <v>21300000</v>
      </c>
      <c r="B17" s="10" t="s">
        <v>24</v>
      </c>
      <c r="C17" s="11">
        <v>82659.226999999999</v>
      </c>
      <c r="D17" s="11">
        <v>0</v>
      </c>
      <c r="E17" s="11">
        <v>0</v>
      </c>
      <c r="F17" s="11">
        <v>0</v>
      </c>
      <c r="G17" s="11">
        <v>0</v>
      </c>
      <c r="H17" s="14">
        <f t="shared" si="0"/>
        <v>0</v>
      </c>
      <c r="I17" s="14">
        <f t="shared" si="1"/>
        <v>82659.226999999999</v>
      </c>
      <c r="J17" s="8" t="s">
        <v>25</v>
      </c>
      <c r="K17" s="8"/>
    </row>
    <row r="18" spans="1:11" x14ac:dyDescent="0.2">
      <c r="A18" s="10">
        <v>22000000</v>
      </c>
      <c r="B18" s="10" t="s">
        <v>278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4">
        <f t="shared" si="0"/>
        <v>0</v>
      </c>
      <c r="I18" s="14">
        <f t="shared" si="1"/>
        <v>0</v>
      </c>
      <c r="J18" s="8"/>
      <c r="K18" s="8"/>
    </row>
    <row r="19" spans="1:11" x14ac:dyDescent="0.2">
      <c r="A19" s="10">
        <v>22100000</v>
      </c>
      <c r="B19" s="10" t="s">
        <v>26</v>
      </c>
      <c r="C19" s="11">
        <v>1275724</v>
      </c>
      <c r="D19" s="11">
        <v>0</v>
      </c>
      <c r="E19" s="11">
        <v>0</v>
      </c>
      <c r="F19" s="11">
        <v>0</v>
      </c>
      <c r="G19" s="11">
        <v>0</v>
      </c>
      <c r="H19" s="14">
        <f t="shared" si="0"/>
        <v>0</v>
      </c>
      <c r="I19" s="14">
        <f t="shared" si="1"/>
        <v>1275724</v>
      </c>
      <c r="J19" s="8" t="s">
        <v>25</v>
      </c>
      <c r="K19" s="8"/>
    </row>
    <row r="20" spans="1:11" x14ac:dyDescent="0.2">
      <c r="A20" s="10">
        <v>22160000</v>
      </c>
      <c r="B20" s="10" t="s">
        <v>27</v>
      </c>
      <c r="C20" s="11">
        <v>161921.53600000002</v>
      </c>
      <c r="D20" s="11">
        <v>0</v>
      </c>
      <c r="E20" s="11">
        <v>0</v>
      </c>
      <c r="F20" s="11">
        <v>0</v>
      </c>
      <c r="G20" s="11">
        <v>0</v>
      </c>
      <c r="H20" s="14">
        <f t="shared" si="0"/>
        <v>0</v>
      </c>
      <c r="I20" s="14">
        <f t="shared" si="1"/>
        <v>161921.53600000002</v>
      </c>
      <c r="J20" s="8" t="s">
        <v>25</v>
      </c>
      <c r="K20" s="8"/>
    </row>
    <row r="21" spans="1:11" x14ac:dyDescent="0.2">
      <c r="A21" s="10">
        <v>22200000</v>
      </c>
      <c r="B21" s="10" t="s">
        <v>28</v>
      </c>
      <c r="C21" s="11">
        <v>9027583.0759999994</v>
      </c>
      <c r="D21" s="11">
        <v>0</v>
      </c>
      <c r="E21" s="11">
        <v>0</v>
      </c>
      <c r="F21" s="11">
        <v>0</v>
      </c>
      <c r="G21" s="11">
        <v>0</v>
      </c>
      <c r="H21" s="14">
        <f t="shared" si="0"/>
        <v>0</v>
      </c>
      <c r="I21" s="14">
        <f t="shared" si="1"/>
        <v>9027583.0759999994</v>
      </c>
      <c r="J21" s="8" t="s">
        <v>25</v>
      </c>
      <c r="K21" s="8"/>
    </row>
    <row r="22" spans="1:11" x14ac:dyDescent="0.2">
      <c r="A22" s="10">
        <v>22250000</v>
      </c>
      <c r="B22" s="10" t="s">
        <v>29</v>
      </c>
      <c r="C22" s="11">
        <v>685145.34699999995</v>
      </c>
      <c r="D22" s="11">
        <v>0</v>
      </c>
      <c r="E22" s="11">
        <v>0</v>
      </c>
      <c r="F22" s="11">
        <v>0</v>
      </c>
      <c r="G22" s="11">
        <v>0</v>
      </c>
      <c r="H22" s="14">
        <f t="shared" si="0"/>
        <v>0</v>
      </c>
      <c r="I22" s="14">
        <f t="shared" si="1"/>
        <v>685145.34699999995</v>
      </c>
      <c r="J22" s="8" t="s">
        <v>25</v>
      </c>
      <c r="K22" s="8"/>
    </row>
    <row r="23" spans="1:11" x14ac:dyDescent="0.2">
      <c r="A23" s="10">
        <v>22300000</v>
      </c>
      <c r="B23" s="10" t="s">
        <v>30</v>
      </c>
      <c r="C23" s="11">
        <v>70370.611000000004</v>
      </c>
      <c r="D23" s="11">
        <v>0</v>
      </c>
      <c r="E23" s="11">
        <v>0</v>
      </c>
      <c r="F23" s="11">
        <v>0</v>
      </c>
      <c r="G23" s="11">
        <v>0</v>
      </c>
      <c r="H23" s="14">
        <f t="shared" si="0"/>
        <v>0</v>
      </c>
      <c r="I23" s="14">
        <f t="shared" si="1"/>
        <v>70370.611000000004</v>
      </c>
      <c r="J23" s="8" t="s">
        <v>25</v>
      </c>
      <c r="K23" s="8"/>
    </row>
    <row r="24" spans="1:11" x14ac:dyDescent="0.2">
      <c r="A24" s="10">
        <v>22310000</v>
      </c>
      <c r="B24" s="10" t="s">
        <v>31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4">
        <f t="shared" si="0"/>
        <v>0</v>
      </c>
      <c r="I24" s="14">
        <f t="shared" si="1"/>
        <v>0</v>
      </c>
      <c r="J24" s="8"/>
      <c r="K24" s="8"/>
    </row>
    <row r="25" spans="1:11" x14ac:dyDescent="0.2">
      <c r="A25" s="10">
        <v>22340000</v>
      </c>
      <c r="B25" s="10" t="s">
        <v>32</v>
      </c>
      <c r="C25" s="11">
        <v>24267574.0834115</v>
      </c>
      <c r="D25" s="11">
        <v>4792.0439999999999</v>
      </c>
      <c r="E25" s="11">
        <v>0</v>
      </c>
      <c r="F25" s="11">
        <v>0</v>
      </c>
      <c r="G25" s="11">
        <v>0</v>
      </c>
      <c r="H25" s="14">
        <f t="shared" si="0"/>
        <v>4792.0439999999999</v>
      </c>
      <c r="I25" s="14">
        <f t="shared" si="1"/>
        <v>24272366.1274115</v>
      </c>
      <c r="J25" s="8" t="s">
        <v>25</v>
      </c>
      <c r="K25" s="8"/>
    </row>
    <row r="26" spans="1:11" x14ac:dyDescent="0.2">
      <c r="A26" s="10">
        <v>22350000</v>
      </c>
      <c r="B26" s="10" t="s">
        <v>33</v>
      </c>
      <c r="C26" s="11">
        <v>634925.79149999982</v>
      </c>
      <c r="D26" s="11">
        <v>4017.5190000000002</v>
      </c>
      <c r="E26" s="11">
        <v>0</v>
      </c>
      <c r="F26" s="11">
        <v>0</v>
      </c>
      <c r="G26" s="11">
        <v>0</v>
      </c>
      <c r="H26" s="14">
        <f t="shared" si="0"/>
        <v>4017.5190000000002</v>
      </c>
      <c r="I26" s="14">
        <f t="shared" si="1"/>
        <v>638943.31049999979</v>
      </c>
      <c r="J26" s="8" t="s">
        <v>25</v>
      </c>
      <c r="K26" s="8"/>
    </row>
    <row r="27" spans="1:11" x14ac:dyDescent="0.2">
      <c r="A27" s="10">
        <v>22370000</v>
      </c>
      <c r="B27" s="10" t="s">
        <v>34</v>
      </c>
      <c r="C27" s="11">
        <v>879752.85599999991</v>
      </c>
      <c r="D27" s="11">
        <v>8151.1369999999997</v>
      </c>
      <c r="E27" s="11">
        <v>0</v>
      </c>
      <c r="F27" s="11">
        <v>0</v>
      </c>
      <c r="G27" s="11">
        <v>0</v>
      </c>
      <c r="H27" s="14">
        <f t="shared" si="0"/>
        <v>8151.1369999999997</v>
      </c>
      <c r="I27" s="14">
        <f t="shared" si="1"/>
        <v>887903.9929999999</v>
      </c>
      <c r="J27" s="8" t="s">
        <v>25</v>
      </c>
      <c r="K27" s="8"/>
    </row>
    <row r="28" spans="1:11" x14ac:dyDescent="0.2">
      <c r="A28" s="10">
        <v>22400000</v>
      </c>
      <c r="B28" s="10" t="s">
        <v>35</v>
      </c>
      <c r="C28" s="11">
        <v>952007.8629999999</v>
      </c>
      <c r="D28" s="11">
        <v>0</v>
      </c>
      <c r="E28" s="11">
        <v>0</v>
      </c>
      <c r="F28" s="11">
        <v>0</v>
      </c>
      <c r="G28" s="11">
        <v>0</v>
      </c>
      <c r="H28" s="14">
        <f t="shared" si="0"/>
        <v>0</v>
      </c>
      <c r="I28" s="14">
        <f t="shared" si="1"/>
        <v>952007.8629999999</v>
      </c>
      <c r="J28" s="8" t="s">
        <v>25</v>
      </c>
      <c r="K28" s="8"/>
    </row>
    <row r="29" spans="1:11" x14ac:dyDescent="0.2">
      <c r="A29" s="10">
        <v>22810000</v>
      </c>
      <c r="B29" s="10" t="s">
        <v>36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4">
        <f t="shared" si="0"/>
        <v>0</v>
      </c>
      <c r="I29" s="14">
        <f t="shared" si="1"/>
        <v>0</v>
      </c>
      <c r="J29" s="8"/>
      <c r="K29" s="8"/>
    </row>
    <row r="30" spans="1:11" x14ac:dyDescent="0.2">
      <c r="A30" s="10">
        <v>22820000</v>
      </c>
      <c r="B30" s="10" t="s">
        <v>37</v>
      </c>
      <c r="C30" s="11">
        <v>259185.42714999997</v>
      </c>
      <c r="D30" s="11">
        <v>786.55500000000006</v>
      </c>
      <c r="E30" s="11">
        <v>0</v>
      </c>
      <c r="F30" s="11">
        <v>0</v>
      </c>
      <c r="G30" s="11">
        <v>0</v>
      </c>
      <c r="H30" s="14">
        <f t="shared" si="0"/>
        <v>786.55500000000006</v>
      </c>
      <c r="I30" s="14">
        <f t="shared" si="1"/>
        <v>259971.98214999997</v>
      </c>
      <c r="J30" s="8" t="s">
        <v>25</v>
      </c>
      <c r="K30" s="8"/>
    </row>
    <row r="31" spans="1:11" x14ac:dyDescent="0.2">
      <c r="A31" s="10">
        <v>22830000</v>
      </c>
      <c r="B31" s="10" t="s">
        <v>279</v>
      </c>
      <c r="C31" s="11">
        <v>215364.64728599996</v>
      </c>
      <c r="D31" s="11">
        <v>0</v>
      </c>
      <c r="E31" s="11">
        <v>0</v>
      </c>
      <c r="F31" s="11">
        <v>0</v>
      </c>
      <c r="G31" s="11">
        <v>0</v>
      </c>
      <c r="H31" s="14">
        <f t="shared" si="0"/>
        <v>0</v>
      </c>
      <c r="I31" s="14">
        <f t="shared" si="1"/>
        <v>215364.64728599996</v>
      </c>
      <c r="J31" s="8" t="s">
        <v>25</v>
      </c>
      <c r="K31" s="8"/>
    </row>
    <row r="32" spans="1:11" x14ac:dyDescent="0.2">
      <c r="A32" s="10">
        <v>23000000</v>
      </c>
      <c r="B32" s="10" t="s">
        <v>280</v>
      </c>
      <c r="C32" s="11">
        <v>2.0000000404252205E-5</v>
      </c>
      <c r="D32" s="11">
        <v>0</v>
      </c>
      <c r="E32" s="11">
        <v>0</v>
      </c>
      <c r="F32" s="11">
        <v>0</v>
      </c>
      <c r="G32" s="11">
        <v>0</v>
      </c>
      <c r="H32" s="14">
        <f t="shared" si="0"/>
        <v>0</v>
      </c>
      <c r="I32" s="14">
        <f t="shared" si="1"/>
        <v>2.0000000404252205E-5</v>
      </c>
      <c r="J32" s="8"/>
      <c r="K32" s="8"/>
    </row>
    <row r="33" spans="1:11" x14ac:dyDescent="0.2">
      <c r="A33" s="10">
        <v>23200000</v>
      </c>
      <c r="B33" s="10" t="s">
        <v>38</v>
      </c>
      <c r="C33" s="11">
        <v>432889.95829749899</v>
      </c>
      <c r="D33" s="11">
        <v>0</v>
      </c>
      <c r="E33" s="11">
        <v>0</v>
      </c>
      <c r="F33" s="11">
        <v>0</v>
      </c>
      <c r="G33" s="11">
        <v>0</v>
      </c>
      <c r="H33" s="14">
        <f t="shared" si="0"/>
        <v>0</v>
      </c>
      <c r="I33" s="14">
        <f t="shared" si="1"/>
        <v>432889.95829749899</v>
      </c>
      <c r="J33" s="8" t="s">
        <v>25</v>
      </c>
      <c r="K33" s="8"/>
    </row>
    <row r="34" spans="1:11" x14ac:dyDescent="0.2">
      <c r="A34" s="10">
        <v>23220000</v>
      </c>
      <c r="B34" s="10" t="s">
        <v>39</v>
      </c>
      <c r="C34" s="11">
        <v>139315.67299999739</v>
      </c>
      <c r="D34" s="11">
        <v>2200</v>
      </c>
      <c r="E34" s="11">
        <v>0</v>
      </c>
      <c r="F34" s="11">
        <v>0</v>
      </c>
      <c r="G34" s="11">
        <v>0</v>
      </c>
      <c r="H34" s="14">
        <f t="shared" si="0"/>
        <v>2200</v>
      </c>
      <c r="I34" s="14">
        <f t="shared" si="1"/>
        <v>141515.67299999739</v>
      </c>
      <c r="J34" s="8" t="s">
        <v>25</v>
      </c>
      <c r="K34" s="8"/>
    </row>
    <row r="35" spans="1:11" x14ac:dyDescent="0.2">
      <c r="A35" s="10">
        <v>23225000</v>
      </c>
      <c r="B35" s="10" t="s">
        <v>281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4">
        <f t="shared" si="0"/>
        <v>0</v>
      </c>
      <c r="I35" s="14">
        <f t="shared" si="1"/>
        <v>0</v>
      </c>
      <c r="J35" s="8"/>
      <c r="K35" s="8"/>
    </row>
    <row r="36" spans="1:11" x14ac:dyDescent="0.2">
      <c r="A36" s="10">
        <v>23231000</v>
      </c>
      <c r="B36" s="10" t="s">
        <v>282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4">
        <f t="shared" si="0"/>
        <v>0</v>
      </c>
      <c r="I36" s="14">
        <f t="shared" si="1"/>
        <v>0</v>
      </c>
      <c r="J36" s="8"/>
      <c r="K36" s="8"/>
    </row>
    <row r="37" spans="1:11" x14ac:dyDescent="0.2">
      <c r="A37" s="10">
        <v>23237000</v>
      </c>
      <c r="B37" s="10" t="s">
        <v>283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4">
        <f t="shared" si="0"/>
        <v>0</v>
      </c>
      <c r="I37" s="14">
        <f t="shared" si="1"/>
        <v>0</v>
      </c>
      <c r="J37" s="8"/>
      <c r="K37" s="8"/>
    </row>
    <row r="38" spans="1:11" x14ac:dyDescent="0.2">
      <c r="A38" s="10">
        <v>23250000</v>
      </c>
      <c r="B38" s="10" t="s">
        <v>284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4">
        <f t="shared" si="0"/>
        <v>0</v>
      </c>
      <c r="I38" s="14">
        <f t="shared" si="1"/>
        <v>0</v>
      </c>
      <c r="J38" s="8"/>
      <c r="K38" s="8"/>
    </row>
    <row r="39" spans="1:11" x14ac:dyDescent="0.2">
      <c r="A39" s="10">
        <v>23800000</v>
      </c>
      <c r="B39" s="10" t="s">
        <v>285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4">
        <f t="shared" si="0"/>
        <v>0</v>
      </c>
      <c r="I39" s="14">
        <f t="shared" si="1"/>
        <v>0</v>
      </c>
      <c r="J39" s="8"/>
      <c r="K39" s="8"/>
    </row>
    <row r="40" spans="1:11" x14ac:dyDescent="0.2">
      <c r="A40" s="10">
        <v>24000000</v>
      </c>
      <c r="B40" s="10" t="s">
        <v>40</v>
      </c>
      <c r="C40" s="11">
        <v>790367.65</v>
      </c>
      <c r="D40" s="11">
        <v>0</v>
      </c>
      <c r="E40" s="11">
        <v>0</v>
      </c>
      <c r="F40" s="11">
        <v>0</v>
      </c>
      <c r="G40" s="11">
        <v>0</v>
      </c>
      <c r="H40" s="14">
        <f t="shared" si="0"/>
        <v>0</v>
      </c>
      <c r="I40" s="14">
        <f t="shared" si="1"/>
        <v>790367.65</v>
      </c>
      <c r="J40" s="8" t="s">
        <v>25</v>
      </c>
      <c r="K40" s="8"/>
    </row>
    <row r="41" spans="1:11" x14ac:dyDescent="0.2">
      <c r="A41" s="10">
        <v>25100000</v>
      </c>
      <c r="B41" s="10" t="s">
        <v>286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4">
        <f t="shared" si="0"/>
        <v>0</v>
      </c>
      <c r="I41" s="14">
        <f t="shared" si="1"/>
        <v>0</v>
      </c>
      <c r="J41" s="8"/>
      <c r="K41" s="8"/>
    </row>
    <row r="42" spans="1:11" x14ac:dyDescent="0.2">
      <c r="A42" s="10">
        <v>25110000</v>
      </c>
      <c r="B42" s="10" t="s">
        <v>41</v>
      </c>
      <c r="C42" s="11">
        <v>266820</v>
      </c>
      <c r="D42" s="11">
        <v>0</v>
      </c>
      <c r="E42" s="11">
        <v>0</v>
      </c>
      <c r="F42" s="11">
        <v>0</v>
      </c>
      <c r="G42" s="11">
        <v>0</v>
      </c>
      <c r="H42" s="14">
        <f t="shared" si="0"/>
        <v>0</v>
      </c>
      <c r="I42" s="14">
        <f t="shared" si="1"/>
        <v>266820</v>
      </c>
      <c r="J42" s="8" t="s">
        <v>42</v>
      </c>
      <c r="K42" s="8"/>
    </row>
    <row r="43" spans="1:11" x14ac:dyDescent="0.2">
      <c r="A43" s="10">
        <v>25120000</v>
      </c>
      <c r="B43" s="10" t="s">
        <v>287</v>
      </c>
      <c r="C43" s="11">
        <v>512700</v>
      </c>
      <c r="D43" s="11">
        <v>0</v>
      </c>
      <c r="E43" s="11">
        <v>0</v>
      </c>
      <c r="F43" s="11">
        <v>0</v>
      </c>
      <c r="G43" s="11">
        <v>0</v>
      </c>
      <c r="H43" s="14">
        <f t="shared" si="0"/>
        <v>0</v>
      </c>
      <c r="I43" s="14">
        <f t="shared" si="1"/>
        <v>512700</v>
      </c>
      <c r="J43" s="8" t="s">
        <v>42</v>
      </c>
      <c r="K43" s="8"/>
    </row>
    <row r="44" spans="1:11" x14ac:dyDescent="0.2">
      <c r="A44" s="10">
        <v>25130000</v>
      </c>
      <c r="B44" s="10" t="s">
        <v>43</v>
      </c>
      <c r="C44" s="11">
        <v>677000</v>
      </c>
      <c r="D44" s="11">
        <v>0</v>
      </c>
      <c r="E44" s="11">
        <v>0</v>
      </c>
      <c r="F44" s="11">
        <v>0</v>
      </c>
      <c r="G44" s="11">
        <v>0</v>
      </c>
      <c r="H44" s="14">
        <f t="shared" si="0"/>
        <v>0</v>
      </c>
      <c r="I44" s="14">
        <f t="shared" si="1"/>
        <v>677000</v>
      </c>
      <c r="J44" s="8" t="s">
        <v>42</v>
      </c>
      <c r="K44" s="8"/>
    </row>
    <row r="45" spans="1:11" x14ac:dyDescent="0.2">
      <c r="A45" s="10">
        <v>25140000</v>
      </c>
      <c r="B45" s="10" t="s">
        <v>44</v>
      </c>
      <c r="C45" s="11">
        <v>3150000</v>
      </c>
      <c r="D45" s="11">
        <v>0</v>
      </c>
      <c r="E45" s="11">
        <v>0</v>
      </c>
      <c r="F45" s="11">
        <v>0</v>
      </c>
      <c r="G45" s="11">
        <v>0</v>
      </c>
      <c r="H45" s="14">
        <f t="shared" si="0"/>
        <v>0</v>
      </c>
      <c r="I45" s="14">
        <f t="shared" si="1"/>
        <v>3150000</v>
      </c>
      <c r="J45" s="8" t="s">
        <v>42</v>
      </c>
      <c r="K45" s="8"/>
    </row>
    <row r="46" spans="1:11" x14ac:dyDescent="0.2">
      <c r="A46" s="10">
        <v>25700000</v>
      </c>
      <c r="B46" s="10" t="s">
        <v>288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4">
        <f t="shared" si="0"/>
        <v>0</v>
      </c>
      <c r="I46" s="14">
        <f t="shared" si="1"/>
        <v>0</v>
      </c>
      <c r="J46" s="8" t="s">
        <v>42</v>
      </c>
      <c r="K46" s="8"/>
    </row>
    <row r="47" spans="1:11" x14ac:dyDescent="0.2">
      <c r="A47" s="10">
        <v>25810000</v>
      </c>
      <c r="B47" s="10" t="s">
        <v>289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4">
        <f t="shared" si="0"/>
        <v>0</v>
      </c>
      <c r="I47" s="14">
        <f t="shared" si="1"/>
        <v>0</v>
      </c>
      <c r="J47" s="8"/>
      <c r="K47" s="8"/>
    </row>
    <row r="48" spans="1:11" x14ac:dyDescent="0.2">
      <c r="A48" s="10">
        <v>26400000</v>
      </c>
      <c r="B48" s="10" t="s">
        <v>290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4">
        <f t="shared" si="0"/>
        <v>0</v>
      </c>
      <c r="I48" s="14">
        <f t="shared" si="1"/>
        <v>0</v>
      </c>
      <c r="J48" s="8"/>
      <c r="K48" s="8"/>
    </row>
    <row r="49" spans="1:11" x14ac:dyDescent="0.2">
      <c r="A49" s="10">
        <v>26430000</v>
      </c>
      <c r="B49" s="10" t="s">
        <v>291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4">
        <f t="shared" si="0"/>
        <v>0</v>
      </c>
      <c r="I49" s="14">
        <f t="shared" si="1"/>
        <v>0</v>
      </c>
      <c r="J49" s="8"/>
      <c r="K49" s="8"/>
    </row>
    <row r="50" spans="1:11" x14ac:dyDescent="0.2">
      <c r="A50" s="10">
        <v>26500000</v>
      </c>
      <c r="B50" s="10" t="s">
        <v>45</v>
      </c>
      <c r="C50" s="11">
        <v>105597.1440000002</v>
      </c>
      <c r="D50" s="11">
        <v>0</v>
      </c>
      <c r="E50" s="11">
        <v>0</v>
      </c>
      <c r="F50" s="11">
        <v>0</v>
      </c>
      <c r="G50" s="11">
        <v>0</v>
      </c>
      <c r="H50" s="14">
        <f t="shared" si="0"/>
        <v>0</v>
      </c>
      <c r="I50" s="14">
        <f t="shared" si="1"/>
        <v>105597.1440000002</v>
      </c>
      <c r="J50" s="8" t="s">
        <v>46</v>
      </c>
      <c r="K50" s="8"/>
    </row>
    <row r="51" spans="1:11" x14ac:dyDescent="0.2">
      <c r="A51" s="10">
        <v>26510000</v>
      </c>
      <c r="B51" s="10" t="s">
        <v>292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4">
        <f t="shared" si="0"/>
        <v>0</v>
      </c>
      <c r="I51" s="14">
        <f t="shared" si="1"/>
        <v>0</v>
      </c>
      <c r="J51" s="8"/>
      <c r="K51" s="8"/>
    </row>
    <row r="52" spans="1:11" x14ac:dyDescent="0.2">
      <c r="A52" s="10">
        <v>26550000</v>
      </c>
      <c r="B52" s="10" t="s">
        <v>293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4">
        <f t="shared" si="0"/>
        <v>0</v>
      </c>
      <c r="I52" s="14">
        <f t="shared" si="1"/>
        <v>0</v>
      </c>
      <c r="J52" s="8"/>
      <c r="K52" s="8"/>
    </row>
    <row r="53" spans="1:11" x14ac:dyDescent="0.2">
      <c r="A53" s="10">
        <v>27100000</v>
      </c>
      <c r="B53" s="10" t="s">
        <v>294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4">
        <f t="shared" si="0"/>
        <v>0</v>
      </c>
      <c r="I53" s="14">
        <f t="shared" si="1"/>
        <v>0</v>
      </c>
      <c r="J53" s="8"/>
      <c r="K53" s="8"/>
    </row>
    <row r="54" spans="1:11" x14ac:dyDescent="0.2">
      <c r="A54" s="10">
        <v>28100000</v>
      </c>
      <c r="B54" s="10" t="s">
        <v>295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4">
        <f t="shared" si="0"/>
        <v>0</v>
      </c>
      <c r="I54" s="14">
        <f t="shared" si="1"/>
        <v>0</v>
      </c>
      <c r="J54" s="8"/>
      <c r="K54" s="8"/>
    </row>
    <row r="55" spans="1:11" x14ac:dyDescent="0.2">
      <c r="A55" s="10">
        <v>28110000</v>
      </c>
      <c r="B55" s="10" t="s">
        <v>296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4">
        <f t="shared" si="0"/>
        <v>0</v>
      </c>
      <c r="I55" s="14">
        <f t="shared" si="1"/>
        <v>0</v>
      </c>
      <c r="J55" s="8"/>
      <c r="K55" s="8"/>
    </row>
    <row r="56" spans="1:11" x14ac:dyDescent="0.2">
      <c r="A56" s="10">
        <v>28130000</v>
      </c>
      <c r="B56" s="10" t="s">
        <v>8979</v>
      </c>
      <c r="C56" s="11">
        <v>-70646.282999999981</v>
      </c>
      <c r="D56" s="11">
        <v>0</v>
      </c>
      <c r="E56" s="11">
        <v>0</v>
      </c>
      <c r="F56" s="11">
        <v>0</v>
      </c>
      <c r="G56" s="11">
        <v>578.25599999999997</v>
      </c>
      <c r="H56" s="14">
        <f t="shared" si="0"/>
        <v>-578.25599999999997</v>
      </c>
      <c r="I56" s="14">
        <f t="shared" si="1"/>
        <v>-71224.538999999975</v>
      </c>
      <c r="J56" s="8" t="s">
        <v>47</v>
      </c>
      <c r="K56" s="8"/>
    </row>
    <row r="57" spans="1:11" x14ac:dyDescent="0.2">
      <c r="A57" s="10">
        <v>28216000</v>
      </c>
      <c r="B57" s="10" t="s">
        <v>48</v>
      </c>
      <c r="C57" s="11">
        <v>-146930.45400000003</v>
      </c>
      <c r="D57" s="11">
        <v>0</v>
      </c>
      <c r="E57" s="11">
        <v>0</v>
      </c>
      <c r="F57" s="11">
        <v>0</v>
      </c>
      <c r="G57" s="11">
        <v>239.62</v>
      </c>
      <c r="H57" s="14">
        <f t="shared" si="0"/>
        <v>-239.62</v>
      </c>
      <c r="I57" s="14">
        <f t="shared" si="1"/>
        <v>-147170.07400000002</v>
      </c>
      <c r="J57" s="8" t="s">
        <v>47</v>
      </c>
      <c r="K57" s="8"/>
    </row>
    <row r="58" spans="1:11" x14ac:dyDescent="0.2">
      <c r="A58" s="10">
        <v>28220000</v>
      </c>
      <c r="B58" s="10" t="s">
        <v>49</v>
      </c>
      <c r="C58" s="11">
        <v>-3500951.6370000001</v>
      </c>
      <c r="D58" s="11">
        <v>0</v>
      </c>
      <c r="E58" s="11">
        <v>0</v>
      </c>
      <c r="F58" s="11">
        <v>0</v>
      </c>
      <c r="G58" s="11">
        <v>38446.891000000003</v>
      </c>
      <c r="H58" s="14">
        <f t="shared" si="0"/>
        <v>-38446.891000000003</v>
      </c>
      <c r="I58" s="14">
        <f t="shared" si="1"/>
        <v>-3539398.5279999999</v>
      </c>
      <c r="J58" s="8" t="s">
        <v>47</v>
      </c>
      <c r="K58" s="8"/>
    </row>
    <row r="59" spans="1:11" x14ac:dyDescent="0.2">
      <c r="A59" s="10">
        <v>28225000</v>
      </c>
      <c r="B59" s="10" t="s">
        <v>50</v>
      </c>
      <c r="C59" s="11">
        <v>-237032.647</v>
      </c>
      <c r="D59" s="11">
        <v>0</v>
      </c>
      <c r="E59" s="11">
        <v>0</v>
      </c>
      <c r="F59" s="11">
        <v>0</v>
      </c>
      <c r="G59" s="11">
        <v>5252.93</v>
      </c>
      <c r="H59" s="14">
        <f t="shared" si="0"/>
        <v>-5252.93</v>
      </c>
      <c r="I59" s="14">
        <f t="shared" si="1"/>
        <v>-242285.57699999999</v>
      </c>
      <c r="J59" s="8" t="s">
        <v>47</v>
      </c>
      <c r="K59" s="8"/>
    </row>
    <row r="60" spans="1:11" x14ac:dyDescent="0.2">
      <c r="A60" s="10">
        <v>28230000</v>
      </c>
      <c r="B60" s="10" t="s">
        <v>263</v>
      </c>
      <c r="C60" s="11">
        <v>-33564.872000000003</v>
      </c>
      <c r="D60" s="11">
        <v>0</v>
      </c>
      <c r="E60" s="11">
        <v>0</v>
      </c>
      <c r="F60" s="11">
        <v>0</v>
      </c>
      <c r="G60" s="11">
        <v>1977.7239999999999</v>
      </c>
      <c r="H60" s="14">
        <f t="shared" si="0"/>
        <v>-1977.7239999999999</v>
      </c>
      <c r="I60" s="14">
        <f t="shared" si="1"/>
        <v>-35542.596000000005</v>
      </c>
      <c r="J60" s="8" t="s">
        <v>47</v>
      </c>
      <c r="K60" s="8"/>
    </row>
    <row r="61" spans="1:11" x14ac:dyDescent="0.2">
      <c r="A61" s="10">
        <v>28234000</v>
      </c>
      <c r="B61" s="10" t="s">
        <v>51</v>
      </c>
      <c r="C61" s="11">
        <v>-15066947.837000001</v>
      </c>
      <c r="D61" s="11">
        <v>0</v>
      </c>
      <c r="E61" s="11">
        <v>0</v>
      </c>
      <c r="F61" s="11">
        <v>0</v>
      </c>
      <c r="G61" s="11">
        <v>139274.701</v>
      </c>
      <c r="H61" s="14">
        <f t="shared" si="0"/>
        <v>-139274.701</v>
      </c>
      <c r="I61" s="14">
        <f t="shared" si="1"/>
        <v>-15206222.538000001</v>
      </c>
      <c r="J61" s="8" t="s">
        <v>47</v>
      </c>
      <c r="K61" s="8"/>
    </row>
    <row r="62" spans="1:11" x14ac:dyDescent="0.2">
      <c r="A62" s="10">
        <v>28235000</v>
      </c>
      <c r="B62" s="10" t="s">
        <v>52</v>
      </c>
      <c r="C62" s="11">
        <v>-325533.83499999996</v>
      </c>
      <c r="D62" s="11">
        <v>0</v>
      </c>
      <c r="E62" s="11">
        <v>0</v>
      </c>
      <c r="F62" s="11">
        <v>0</v>
      </c>
      <c r="G62" s="11">
        <v>6455.4840000000004</v>
      </c>
      <c r="H62" s="14">
        <f t="shared" si="0"/>
        <v>-6455.4840000000004</v>
      </c>
      <c r="I62" s="14">
        <f t="shared" si="1"/>
        <v>-331989.31899999996</v>
      </c>
      <c r="J62" s="8" t="s">
        <v>47</v>
      </c>
      <c r="K62" s="8"/>
    </row>
    <row r="63" spans="1:11" x14ac:dyDescent="0.2">
      <c r="A63" s="10">
        <v>28237000</v>
      </c>
      <c r="B63" s="10" t="s">
        <v>53</v>
      </c>
      <c r="C63" s="11">
        <v>-744237.71499999997</v>
      </c>
      <c r="D63" s="11">
        <v>0</v>
      </c>
      <c r="E63" s="11">
        <v>0</v>
      </c>
      <c r="F63" s="11">
        <v>0</v>
      </c>
      <c r="G63" s="11">
        <v>1926.16</v>
      </c>
      <c r="H63" s="14">
        <f t="shared" si="0"/>
        <v>-1926.16</v>
      </c>
      <c r="I63" s="14">
        <f t="shared" si="1"/>
        <v>-746163.875</v>
      </c>
      <c r="J63" s="8" t="s">
        <v>47</v>
      </c>
      <c r="K63" s="8"/>
    </row>
    <row r="64" spans="1:11" x14ac:dyDescent="0.2">
      <c r="A64" s="10">
        <v>28240000</v>
      </c>
      <c r="B64" s="10" t="s">
        <v>54</v>
      </c>
      <c r="C64" s="11">
        <v>-564717.28200000001</v>
      </c>
      <c r="D64" s="11">
        <v>0</v>
      </c>
      <c r="E64" s="11">
        <v>0</v>
      </c>
      <c r="F64" s="11">
        <v>0</v>
      </c>
      <c r="G64" s="11">
        <v>11501.322</v>
      </c>
      <c r="H64" s="14">
        <f t="shared" si="0"/>
        <v>-11501.322</v>
      </c>
      <c r="I64" s="14">
        <f t="shared" si="1"/>
        <v>-576218.60400000005</v>
      </c>
      <c r="J64" s="8" t="s">
        <v>47</v>
      </c>
      <c r="K64" s="8"/>
    </row>
    <row r="65" spans="1:11" x14ac:dyDescent="0.2">
      <c r="A65" s="10">
        <v>28282000</v>
      </c>
      <c r="B65" s="10" t="s">
        <v>55</v>
      </c>
      <c r="C65" s="11">
        <v>-201855.46400000001</v>
      </c>
      <c r="D65" s="11">
        <v>0</v>
      </c>
      <c r="E65" s="11">
        <v>0</v>
      </c>
      <c r="F65" s="11">
        <v>0</v>
      </c>
      <c r="G65" s="11">
        <v>4073.09</v>
      </c>
      <c r="H65" s="14">
        <f t="shared" si="0"/>
        <v>-4073.09</v>
      </c>
      <c r="I65" s="14">
        <f t="shared" si="1"/>
        <v>-205928.554</v>
      </c>
      <c r="J65" s="8" t="s">
        <v>47</v>
      </c>
      <c r="K65" s="8"/>
    </row>
    <row r="66" spans="1:11" x14ac:dyDescent="0.2">
      <c r="A66" s="10">
        <v>28283000</v>
      </c>
      <c r="B66" s="10" t="s">
        <v>264</v>
      </c>
      <c r="C66" s="11">
        <v>-110112.73700000001</v>
      </c>
      <c r="D66" s="11">
        <v>0</v>
      </c>
      <c r="E66" s="11">
        <v>0</v>
      </c>
      <c r="F66" s="11">
        <v>0</v>
      </c>
      <c r="G66" s="11">
        <v>1886.5360000000001</v>
      </c>
      <c r="H66" s="14">
        <f t="shared" si="0"/>
        <v>-1886.5360000000001</v>
      </c>
      <c r="I66" s="14">
        <f t="shared" si="1"/>
        <v>-111999.27300000002</v>
      </c>
      <c r="J66" s="8" t="s">
        <v>47</v>
      </c>
      <c r="K66" s="8"/>
    </row>
    <row r="67" spans="1:11" x14ac:dyDescent="0.2">
      <c r="A67" s="10">
        <v>28400000</v>
      </c>
      <c r="B67" s="10" t="s">
        <v>56</v>
      </c>
      <c r="C67" s="11">
        <v>-461418.75499999983</v>
      </c>
      <c r="D67" s="11">
        <v>0</v>
      </c>
      <c r="E67" s="11">
        <v>0</v>
      </c>
      <c r="F67" s="11">
        <v>0</v>
      </c>
      <c r="G67" s="11">
        <v>6569.2809999999999</v>
      </c>
      <c r="H67" s="14">
        <f t="shared" ref="H67:H130" si="2">D67+F67-E67-G67</f>
        <v>-6569.2809999999999</v>
      </c>
      <c r="I67" s="14">
        <f t="shared" ref="I67:I130" si="3">C67+H67</f>
        <v>-467988.03599999985</v>
      </c>
      <c r="J67" s="8" t="s">
        <v>47</v>
      </c>
      <c r="K67" s="8"/>
    </row>
    <row r="68" spans="1:11" x14ac:dyDescent="0.2">
      <c r="A68" s="10">
        <v>29220000</v>
      </c>
      <c r="B68" s="10" t="s">
        <v>297</v>
      </c>
      <c r="C68" s="11">
        <v>0</v>
      </c>
      <c r="D68" s="11">
        <v>0</v>
      </c>
      <c r="E68" s="11">
        <v>0</v>
      </c>
      <c r="F68" s="11">
        <v>0</v>
      </c>
      <c r="G68" s="11">
        <v>0</v>
      </c>
      <c r="H68" s="14">
        <f t="shared" si="2"/>
        <v>0</v>
      </c>
      <c r="I68" s="14">
        <f t="shared" si="3"/>
        <v>0</v>
      </c>
      <c r="J68" s="8"/>
      <c r="K68" s="8"/>
    </row>
    <row r="69" spans="1:11" x14ac:dyDescent="0.2">
      <c r="A69" s="10">
        <v>29234000</v>
      </c>
      <c r="B69" s="10" t="s">
        <v>388</v>
      </c>
      <c r="C69" s="11">
        <v>-223876.883</v>
      </c>
      <c r="D69" s="11">
        <v>0</v>
      </c>
      <c r="E69" s="11">
        <v>0</v>
      </c>
      <c r="F69" s="11">
        <v>0</v>
      </c>
      <c r="G69" s="11">
        <v>0</v>
      </c>
      <c r="H69" s="14">
        <f t="shared" si="2"/>
        <v>0</v>
      </c>
      <c r="I69" s="14">
        <f t="shared" si="3"/>
        <v>-223876.883</v>
      </c>
      <c r="J69" s="8" t="s">
        <v>401</v>
      </c>
      <c r="K69" s="8"/>
    </row>
    <row r="70" spans="1:11" x14ac:dyDescent="0.2">
      <c r="A70" s="10">
        <v>29235000</v>
      </c>
      <c r="B70" s="10" t="s">
        <v>389</v>
      </c>
      <c r="C70" s="11">
        <v>-8171.429000000001</v>
      </c>
      <c r="D70" s="11">
        <v>0</v>
      </c>
      <c r="E70" s="11">
        <v>0</v>
      </c>
      <c r="F70" s="11">
        <v>0</v>
      </c>
      <c r="G70" s="11">
        <v>0</v>
      </c>
      <c r="H70" s="14">
        <f t="shared" si="2"/>
        <v>0</v>
      </c>
      <c r="I70" s="14">
        <f t="shared" si="3"/>
        <v>-8171.429000000001</v>
      </c>
      <c r="J70" s="8" t="s">
        <v>401</v>
      </c>
      <c r="K70" s="8"/>
    </row>
    <row r="71" spans="1:11" x14ac:dyDescent="0.2">
      <c r="A71" s="10">
        <v>29282000</v>
      </c>
      <c r="B71" s="10" t="s">
        <v>298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4">
        <f t="shared" si="2"/>
        <v>0</v>
      </c>
      <c r="I71" s="14">
        <f t="shared" si="3"/>
        <v>0</v>
      </c>
      <c r="J71" s="8"/>
      <c r="K71" s="8"/>
    </row>
    <row r="72" spans="1:11" x14ac:dyDescent="0.2">
      <c r="A72" s="10">
        <v>29286500</v>
      </c>
      <c r="B72" s="10" t="s">
        <v>299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4">
        <f t="shared" si="2"/>
        <v>0</v>
      </c>
      <c r="I72" s="14">
        <f t="shared" si="3"/>
        <v>0</v>
      </c>
      <c r="J72" s="8" t="s">
        <v>25</v>
      </c>
      <c r="K72" s="8"/>
    </row>
    <row r="73" spans="1:11" x14ac:dyDescent="0.2">
      <c r="A73" s="10">
        <v>29700000</v>
      </c>
      <c r="B73" s="10" t="s">
        <v>57</v>
      </c>
      <c r="C73" s="11">
        <v>-29257.384999999998</v>
      </c>
      <c r="D73" s="11">
        <v>0</v>
      </c>
      <c r="E73" s="11">
        <v>0</v>
      </c>
      <c r="F73" s="11">
        <v>0</v>
      </c>
      <c r="G73" s="11">
        <v>0</v>
      </c>
      <c r="H73" s="14">
        <f t="shared" si="2"/>
        <v>0</v>
      </c>
      <c r="I73" s="14">
        <f t="shared" si="3"/>
        <v>-29257.384999999998</v>
      </c>
      <c r="J73" s="8" t="s">
        <v>58</v>
      </c>
      <c r="K73" s="8"/>
    </row>
    <row r="74" spans="1:11" x14ac:dyDescent="0.2">
      <c r="A74" s="10">
        <v>31100000</v>
      </c>
      <c r="B74" s="10" t="s">
        <v>59</v>
      </c>
      <c r="C74" s="11">
        <v>10245362.843000004</v>
      </c>
      <c r="D74" s="11">
        <v>0</v>
      </c>
      <c r="E74" s="11">
        <v>0</v>
      </c>
      <c r="F74" s="11">
        <v>12132412.628</v>
      </c>
      <c r="G74" s="11">
        <v>10245362.843</v>
      </c>
      <c r="H74" s="14">
        <f t="shared" si="2"/>
        <v>1887049.7850000001</v>
      </c>
      <c r="I74" s="14">
        <f t="shared" si="3"/>
        <v>12132412.628000004</v>
      </c>
      <c r="J74" s="8" t="s">
        <v>60</v>
      </c>
      <c r="K74" s="8"/>
    </row>
    <row r="75" spans="1:11" x14ac:dyDescent="0.2">
      <c r="A75" s="10">
        <v>31200000</v>
      </c>
      <c r="B75" s="10" t="s">
        <v>390</v>
      </c>
      <c r="C75" s="11">
        <v>0</v>
      </c>
      <c r="D75" s="11">
        <v>0</v>
      </c>
      <c r="E75" s="11">
        <v>0</v>
      </c>
      <c r="F75" s="11">
        <v>0</v>
      </c>
      <c r="G75" s="11">
        <v>0</v>
      </c>
      <c r="H75" s="14">
        <f t="shared" si="2"/>
        <v>0</v>
      </c>
      <c r="I75" s="14">
        <f t="shared" si="3"/>
        <v>0</v>
      </c>
      <c r="J75" s="8"/>
      <c r="K75" s="8"/>
    </row>
    <row r="76" spans="1:11" x14ac:dyDescent="0.2">
      <c r="A76" s="10">
        <v>32200000</v>
      </c>
      <c r="B76" s="10" t="s">
        <v>61</v>
      </c>
      <c r="C76" s="11">
        <v>733778.89100000053</v>
      </c>
      <c r="D76" s="11">
        <v>0</v>
      </c>
      <c r="E76" s="11">
        <v>0</v>
      </c>
      <c r="F76" s="11">
        <v>759042.34699999995</v>
      </c>
      <c r="G76" s="11">
        <v>733778.89099999995</v>
      </c>
      <c r="H76" s="14">
        <f t="shared" si="2"/>
        <v>25263.456000000006</v>
      </c>
      <c r="I76" s="14">
        <f t="shared" si="3"/>
        <v>759042.34700000053</v>
      </c>
      <c r="J76" s="8" t="s">
        <v>60</v>
      </c>
      <c r="K76" s="8"/>
    </row>
    <row r="77" spans="1:11" x14ac:dyDescent="0.2">
      <c r="A77" s="10">
        <v>33100000</v>
      </c>
      <c r="B77" s="10" t="s">
        <v>62</v>
      </c>
      <c r="C77" s="11">
        <v>7232662.2679999992</v>
      </c>
      <c r="D77" s="11">
        <v>0</v>
      </c>
      <c r="E77" s="11">
        <v>0</v>
      </c>
      <c r="F77" s="11">
        <v>5584968.1960000005</v>
      </c>
      <c r="G77" s="11">
        <v>7232662.267</v>
      </c>
      <c r="H77" s="14">
        <f t="shared" si="2"/>
        <v>-1647694.0709999995</v>
      </c>
      <c r="I77" s="14">
        <f t="shared" si="3"/>
        <v>5584968.1969999997</v>
      </c>
      <c r="J77" s="8" t="s">
        <v>60</v>
      </c>
      <c r="K77" s="8"/>
    </row>
    <row r="78" spans="1:11" x14ac:dyDescent="0.2">
      <c r="A78" s="10">
        <v>33500000</v>
      </c>
      <c r="B78" s="10" t="s">
        <v>300</v>
      </c>
      <c r="C78" s="11">
        <v>0</v>
      </c>
      <c r="D78" s="11">
        <v>0</v>
      </c>
      <c r="E78" s="11">
        <v>0</v>
      </c>
      <c r="F78" s="11">
        <v>0</v>
      </c>
      <c r="G78" s="11">
        <v>0</v>
      </c>
      <c r="H78" s="14">
        <f t="shared" si="2"/>
        <v>0</v>
      </c>
      <c r="I78" s="14">
        <f t="shared" si="3"/>
        <v>0</v>
      </c>
      <c r="J78" s="8"/>
      <c r="K78" s="8"/>
    </row>
    <row r="79" spans="1:11" x14ac:dyDescent="0.2">
      <c r="A79" s="10">
        <v>34100000</v>
      </c>
      <c r="B79" s="10" t="s">
        <v>301</v>
      </c>
      <c r="C79" s="11">
        <v>0</v>
      </c>
      <c r="D79" s="11">
        <v>0</v>
      </c>
      <c r="E79" s="11">
        <v>0</v>
      </c>
      <c r="F79" s="11">
        <v>0</v>
      </c>
      <c r="G79" s="11">
        <v>0</v>
      </c>
      <c r="H79" s="14">
        <f t="shared" si="2"/>
        <v>0</v>
      </c>
      <c r="I79" s="14">
        <f t="shared" si="3"/>
        <v>0</v>
      </c>
      <c r="J79" s="8"/>
      <c r="K79" s="8"/>
    </row>
    <row r="80" spans="1:11" x14ac:dyDescent="0.2">
      <c r="A80" s="10">
        <v>35500000</v>
      </c>
      <c r="B80" s="10" t="s">
        <v>63</v>
      </c>
      <c r="C80" s="11">
        <v>562793.92299999855</v>
      </c>
      <c r="D80" s="11">
        <v>0</v>
      </c>
      <c r="E80" s="11">
        <v>0</v>
      </c>
      <c r="F80" s="11">
        <v>496448.35</v>
      </c>
      <c r="G80" s="11">
        <v>562793.92299999995</v>
      </c>
      <c r="H80" s="14">
        <f t="shared" si="2"/>
        <v>-66345.572999999975</v>
      </c>
      <c r="I80" s="14">
        <f t="shared" si="3"/>
        <v>496448.34999999858</v>
      </c>
      <c r="J80" s="8" t="s">
        <v>60</v>
      </c>
      <c r="K80" s="8"/>
    </row>
    <row r="81" spans="1:11" x14ac:dyDescent="0.2">
      <c r="A81" s="10">
        <v>39000000</v>
      </c>
      <c r="B81" s="10" t="s">
        <v>64</v>
      </c>
      <c r="C81" s="11">
        <v>-208158.11300000001</v>
      </c>
      <c r="D81" s="11">
        <v>0</v>
      </c>
      <c r="E81" s="11">
        <v>0</v>
      </c>
      <c r="F81" s="11">
        <v>0</v>
      </c>
      <c r="G81" s="11">
        <v>0</v>
      </c>
      <c r="H81" s="14">
        <f t="shared" si="2"/>
        <v>0</v>
      </c>
      <c r="I81" s="14">
        <f t="shared" si="3"/>
        <v>-208158.11300000001</v>
      </c>
      <c r="J81" s="8" t="s">
        <v>65</v>
      </c>
      <c r="K81" s="8"/>
    </row>
    <row r="82" spans="1:11" x14ac:dyDescent="0.2">
      <c r="A82" s="10">
        <v>40100000</v>
      </c>
      <c r="B82" s="10" t="s">
        <v>66</v>
      </c>
      <c r="C82" s="11">
        <v>-3379184.3352850308</v>
      </c>
      <c r="D82" s="11">
        <v>1976907.372</v>
      </c>
      <c r="E82" s="11">
        <v>2313623.4169220002</v>
      </c>
      <c r="F82" s="11">
        <v>0</v>
      </c>
      <c r="G82" s="11">
        <v>0</v>
      </c>
      <c r="H82" s="14">
        <f t="shared" si="2"/>
        <v>-336716.04492200026</v>
      </c>
      <c r="I82" s="14">
        <f t="shared" si="3"/>
        <v>-3715900.380207031</v>
      </c>
      <c r="J82" s="8" t="s">
        <v>67</v>
      </c>
      <c r="K82" s="8"/>
    </row>
    <row r="83" spans="1:11" x14ac:dyDescent="0.2">
      <c r="A83" s="10">
        <v>40300000</v>
      </c>
      <c r="B83" s="10" t="s">
        <v>68</v>
      </c>
      <c r="C83" s="11">
        <v>-280426.88100000669</v>
      </c>
      <c r="D83" s="11">
        <v>144330.92199999999</v>
      </c>
      <c r="E83" s="11">
        <v>13632.136999999999</v>
      </c>
      <c r="F83" s="11">
        <v>0</v>
      </c>
      <c r="G83" s="11">
        <v>0</v>
      </c>
      <c r="H83" s="14">
        <f t="shared" si="2"/>
        <v>130698.78499999999</v>
      </c>
      <c r="I83" s="14">
        <f t="shared" si="3"/>
        <v>-149728.09600000671</v>
      </c>
      <c r="J83" s="8" t="s">
        <v>67</v>
      </c>
      <c r="K83" s="8"/>
    </row>
    <row r="84" spans="1:11" x14ac:dyDescent="0.2">
      <c r="A84" s="10">
        <v>40301000</v>
      </c>
      <c r="B84" s="10" t="s">
        <v>302</v>
      </c>
      <c r="C84" s="11">
        <v>0</v>
      </c>
      <c r="D84" s="11">
        <v>0</v>
      </c>
      <c r="E84" s="11">
        <v>0</v>
      </c>
      <c r="F84" s="11">
        <v>0</v>
      </c>
      <c r="G84" s="11">
        <v>0</v>
      </c>
      <c r="H84" s="14">
        <f t="shared" si="2"/>
        <v>0</v>
      </c>
      <c r="I84" s="14">
        <f t="shared" si="3"/>
        <v>0</v>
      </c>
      <c r="J84" s="8"/>
      <c r="K84" s="8"/>
    </row>
    <row r="85" spans="1:11" x14ac:dyDescent="0.2">
      <c r="A85" s="10">
        <v>40400000</v>
      </c>
      <c r="B85" s="10" t="s">
        <v>69</v>
      </c>
      <c r="C85" s="11">
        <v>9.999983012676239E-5</v>
      </c>
      <c r="D85" s="11">
        <v>0</v>
      </c>
      <c r="E85" s="11">
        <v>0</v>
      </c>
      <c r="F85" s="11">
        <v>0</v>
      </c>
      <c r="G85" s="11">
        <v>0</v>
      </c>
      <c r="H85" s="14">
        <f t="shared" si="2"/>
        <v>0</v>
      </c>
      <c r="I85" s="14">
        <f t="shared" si="3"/>
        <v>9.999983012676239E-5</v>
      </c>
      <c r="J85" s="8"/>
      <c r="K85" s="8"/>
    </row>
    <row r="86" spans="1:11" x14ac:dyDescent="0.2">
      <c r="A86" s="10">
        <v>40470000</v>
      </c>
      <c r="B86" s="10" t="s">
        <v>303</v>
      </c>
      <c r="C86" s="11">
        <v>0</v>
      </c>
      <c r="D86" s="11">
        <v>0</v>
      </c>
      <c r="E86" s="11">
        <v>0</v>
      </c>
      <c r="F86" s="11">
        <v>0</v>
      </c>
      <c r="G86" s="11">
        <v>0</v>
      </c>
      <c r="H86" s="14">
        <f t="shared" si="2"/>
        <v>0</v>
      </c>
      <c r="I86" s="14">
        <f t="shared" si="3"/>
        <v>0</v>
      </c>
      <c r="J86" s="8"/>
      <c r="K86" s="8"/>
    </row>
    <row r="87" spans="1:11" x14ac:dyDescent="0.2">
      <c r="A87" s="10">
        <v>40600000</v>
      </c>
      <c r="B87" s="10" t="s">
        <v>70</v>
      </c>
      <c r="C87" s="11">
        <v>-1792931.8878046039</v>
      </c>
      <c r="D87" s="11">
        <v>1384905.8769999999</v>
      </c>
      <c r="E87" s="11">
        <v>541183.65585949994</v>
      </c>
      <c r="F87" s="11">
        <v>122168.898</v>
      </c>
      <c r="G87" s="11">
        <v>0</v>
      </c>
      <c r="H87" s="14">
        <f t="shared" si="2"/>
        <v>965891.11914049997</v>
      </c>
      <c r="I87" s="14">
        <f t="shared" si="3"/>
        <v>-827040.76866410393</v>
      </c>
      <c r="J87" s="8" t="s">
        <v>67</v>
      </c>
      <c r="K87" s="8"/>
    </row>
    <row r="88" spans="1:11" x14ac:dyDescent="0.2">
      <c r="A88" s="10">
        <v>40800000</v>
      </c>
      <c r="B88" s="10" t="s">
        <v>71</v>
      </c>
      <c r="C88" s="11">
        <v>-4980</v>
      </c>
      <c r="D88" s="11">
        <v>0</v>
      </c>
      <c r="E88" s="11">
        <v>0</v>
      </c>
      <c r="F88" s="11">
        <v>0</v>
      </c>
      <c r="G88" s="11">
        <v>0</v>
      </c>
      <c r="H88" s="14">
        <f t="shared" si="2"/>
        <v>0</v>
      </c>
      <c r="I88" s="14">
        <f t="shared" si="3"/>
        <v>-4980</v>
      </c>
      <c r="J88" s="8" t="s">
        <v>67</v>
      </c>
      <c r="K88" s="8"/>
    </row>
    <row r="89" spans="1:11" x14ac:dyDescent="0.2">
      <c r="A89" s="10">
        <v>40860000</v>
      </c>
      <c r="B89" s="10" t="s">
        <v>304</v>
      </c>
      <c r="C89" s="11">
        <v>0</v>
      </c>
      <c r="D89" s="11">
        <v>0</v>
      </c>
      <c r="E89" s="11">
        <v>0</v>
      </c>
      <c r="F89" s="11">
        <v>0</v>
      </c>
      <c r="G89" s="11">
        <v>0</v>
      </c>
      <c r="H89" s="14">
        <f t="shared" si="2"/>
        <v>0</v>
      </c>
      <c r="I89" s="14">
        <f t="shared" si="3"/>
        <v>0</v>
      </c>
      <c r="J89" s="8"/>
      <c r="K89" s="8"/>
    </row>
    <row r="90" spans="1:11" x14ac:dyDescent="0.2">
      <c r="A90" s="10">
        <v>40910000</v>
      </c>
      <c r="B90" s="10" t="s">
        <v>72</v>
      </c>
      <c r="C90" s="11">
        <v>-3.8198777474462986E-10</v>
      </c>
      <c r="D90" s="11">
        <v>0</v>
      </c>
      <c r="E90" s="11">
        <v>0</v>
      </c>
      <c r="F90" s="11">
        <v>0</v>
      </c>
      <c r="G90" s="11">
        <v>0</v>
      </c>
      <c r="H90" s="14">
        <f t="shared" si="2"/>
        <v>0</v>
      </c>
      <c r="I90" s="14">
        <f t="shared" si="3"/>
        <v>-3.8198777474462986E-10</v>
      </c>
      <c r="J90" s="8" t="s">
        <v>78</v>
      </c>
      <c r="K90" s="8"/>
    </row>
    <row r="91" spans="1:11" x14ac:dyDescent="0.2">
      <c r="A91" s="10">
        <v>41100000</v>
      </c>
      <c r="B91" s="10" t="s">
        <v>73</v>
      </c>
      <c r="C91" s="11">
        <v>13051669.440182474</v>
      </c>
      <c r="D91" s="11">
        <v>4145568.6799999997</v>
      </c>
      <c r="E91" s="11">
        <v>3734045.2429999998</v>
      </c>
      <c r="F91" s="11">
        <v>0</v>
      </c>
      <c r="G91" s="11">
        <v>0</v>
      </c>
      <c r="H91" s="14">
        <f t="shared" si="2"/>
        <v>411523.43699999992</v>
      </c>
      <c r="I91" s="14">
        <f t="shared" si="3"/>
        <v>13463192.877182472</v>
      </c>
      <c r="J91" s="8" t="s">
        <v>74</v>
      </c>
      <c r="K91" s="8"/>
    </row>
    <row r="92" spans="1:11" x14ac:dyDescent="0.2">
      <c r="A92" s="10">
        <v>41301000</v>
      </c>
      <c r="B92" s="10" t="s">
        <v>305</v>
      </c>
      <c r="C92" s="11">
        <v>0</v>
      </c>
      <c r="D92" s="11">
        <v>0</v>
      </c>
      <c r="E92" s="11">
        <v>0</v>
      </c>
      <c r="F92" s="11">
        <v>0</v>
      </c>
      <c r="G92" s="11">
        <v>0</v>
      </c>
      <c r="H92" s="14">
        <f t="shared" si="2"/>
        <v>0</v>
      </c>
      <c r="I92" s="14">
        <f t="shared" si="3"/>
        <v>0</v>
      </c>
      <c r="J92" s="8"/>
      <c r="K92" s="8"/>
    </row>
    <row r="93" spans="1:11" x14ac:dyDescent="0.2">
      <c r="A93" s="10">
        <v>41500000</v>
      </c>
      <c r="B93" s="10" t="s">
        <v>75</v>
      </c>
      <c r="C93" s="11">
        <v>2246260.991135479</v>
      </c>
      <c r="D93" s="11">
        <v>0</v>
      </c>
      <c r="E93" s="11">
        <v>337642.40299999999</v>
      </c>
      <c r="F93" s="11">
        <v>0</v>
      </c>
      <c r="G93" s="11">
        <v>0</v>
      </c>
      <c r="H93" s="14">
        <f t="shared" si="2"/>
        <v>-337642.40299999999</v>
      </c>
      <c r="I93" s="14">
        <f t="shared" si="3"/>
        <v>1908618.588135479</v>
      </c>
      <c r="J93" s="8" t="s">
        <v>74</v>
      </c>
      <c r="K93" s="8"/>
    </row>
    <row r="94" spans="1:11" x14ac:dyDescent="0.2">
      <c r="A94" s="10">
        <v>41601000</v>
      </c>
      <c r="B94" s="10" t="s">
        <v>306</v>
      </c>
      <c r="C94" s="11">
        <v>0</v>
      </c>
      <c r="D94" s="11">
        <v>0</v>
      </c>
      <c r="E94" s="11">
        <v>0</v>
      </c>
      <c r="F94" s="11">
        <v>0</v>
      </c>
      <c r="G94" s="11">
        <v>0</v>
      </c>
      <c r="H94" s="14">
        <f t="shared" si="2"/>
        <v>0</v>
      </c>
      <c r="I94" s="14">
        <f t="shared" si="3"/>
        <v>0</v>
      </c>
      <c r="J94" s="8"/>
      <c r="K94" s="8"/>
    </row>
    <row r="95" spans="1:11" x14ac:dyDescent="0.2">
      <c r="A95" s="10">
        <v>41800000</v>
      </c>
      <c r="B95" s="10" t="s">
        <v>307</v>
      </c>
      <c r="C95" s="11">
        <v>0</v>
      </c>
      <c r="D95" s="11">
        <v>0</v>
      </c>
      <c r="E95" s="11">
        <v>0</v>
      </c>
      <c r="F95" s="11">
        <v>0</v>
      </c>
      <c r="G95" s="11">
        <v>0</v>
      </c>
      <c r="H95" s="14">
        <f t="shared" si="2"/>
        <v>0</v>
      </c>
      <c r="I95" s="14">
        <f t="shared" si="3"/>
        <v>0</v>
      </c>
      <c r="J95" s="8"/>
      <c r="K95" s="8"/>
    </row>
    <row r="96" spans="1:11" x14ac:dyDescent="0.2">
      <c r="A96" s="10">
        <v>41910000</v>
      </c>
      <c r="B96" s="10" t="s">
        <v>308</v>
      </c>
      <c r="C96" s="11">
        <v>0</v>
      </c>
      <c r="D96" s="11">
        <v>0</v>
      </c>
      <c r="E96" s="11">
        <v>0</v>
      </c>
      <c r="F96" s="11">
        <v>0</v>
      </c>
      <c r="G96" s="11">
        <v>0</v>
      </c>
      <c r="H96" s="14">
        <f t="shared" si="2"/>
        <v>0</v>
      </c>
      <c r="I96" s="14">
        <f t="shared" si="3"/>
        <v>0</v>
      </c>
      <c r="J96" s="8"/>
      <c r="K96" s="8"/>
    </row>
    <row r="97" spans="1:11" x14ac:dyDescent="0.2">
      <c r="A97" s="10">
        <v>42100000</v>
      </c>
      <c r="B97" s="10" t="s">
        <v>76</v>
      </c>
      <c r="C97" s="11">
        <v>0</v>
      </c>
      <c r="D97" s="11">
        <v>883.33400000000006</v>
      </c>
      <c r="E97" s="11">
        <v>0</v>
      </c>
      <c r="F97" s="11">
        <v>0</v>
      </c>
      <c r="G97" s="11">
        <v>0</v>
      </c>
      <c r="H97" s="14">
        <f t="shared" si="2"/>
        <v>883.33400000000006</v>
      </c>
      <c r="I97" s="14">
        <f t="shared" si="3"/>
        <v>883.33400000000006</v>
      </c>
      <c r="J97" s="8" t="s">
        <v>78</v>
      </c>
      <c r="K97" s="8"/>
    </row>
    <row r="98" spans="1:11" x14ac:dyDescent="0.2">
      <c r="A98" s="10">
        <v>42110000</v>
      </c>
      <c r="B98" s="10" t="s">
        <v>309</v>
      </c>
      <c r="C98" s="11">
        <v>0</v>
      </c>
      <c r="D98" s="11">
        <v>0</v>
      </c>
      <c r="E98" s="11">
        <v>0</v>
      </c>
      <c r="F98" s="11">
        <v>0</v>
      </c>
      <c r="G98" s="11">
        <v>0</v>
      </c>
      <c r="H98" s="14">
        <f t="shared" si="2"/>
        <v>0</v>
      </c>
      <c r="I98" s="14">
        <f t="shared" si="3"/>
        <v>0</v>
      </c>
      <c r="J98" s="8"/>
      <c r="K98" s="8"/>
    </row>
    <row r="99" spans="1:11" x14ac:dyDescent="0.2">
      <c r="A99" s="10">
        <v>42120000</v>
      </c>
      <c r="B99" s="10" t="s">
        <v>77</v>
      </c>
      <c r="C99" s="11">
        <v>53641.006999999983</v>
      </c>
      <c r="D99" s="11">
        <v>0</v>
      </c>
      <c r="E99" s="11">
        <v>5650</v>
      </c>
      <c r="F99" s="11">
        <v>0</v>
      </c>
      <c r="G99" s="11">
        <v>0</v>
      </c>
      <c r="H99" s="14">
        <f t="shared" si="2"/>
        <v>-5650</v>
      </c>
      <c r="I99" s="14">
        <f t="shared" si="3"/>
        <v>47991.006999999983</v>
      </c>
      <c r="J99" s="8" t="s">
        <v>78</v>
      </c>
      <c r="K99" s="8"/>
    </row>
    <row r="100" spans="1:11" x14ac:dyDescent="0.2">
      <c r="A100" s="10">
        <v>42400000</v>
      </c>
      <c r="B100" s="10" t="s">
        <v>79</v>
      </c>
      <c r="C100" s="11">
        <v>0</v>
      </c>
      <c r="D100" s="11">
        <v>0</v>
      </c>
      <c r="E100" s="11">
        <v>0</v>
      </c>
      <c r="F100" s="11">
        <v>0</v>
      </c>
      <c r="G100" s="11">
        <v>0</v>
      </c>
      <c r="H100" s="14">
        <f t="shared" si="2"/>
        <v>0</v>
      </c>
      <c r="I100" s="14">
        <f t="shared" si="3"/>
        <v>0</v>
      </c>
      <c r="J100" s="8"/>
      <c r="K100" s="8"/>
    </row>
    <row r="101" spans="1:11" x14ac:dyDescent="0.2">
      <c r="A101" s="10">
        <v>42500000</v>
      </c>
      <c r="B101" s="10" t="s">
        <v>80</v>
      </c>
      <c r="C101" s="11">
        <v>-26235.94500000056</v>
      </c>
      <c r="D101" s="11">
        <v>226392.02100000001</v>
      </c>
      <c r="E101" s="11">
        <v>225836.57699999999</v>
      </c>
      <c r="F101" s="11">
        <v>0</v>
      </c>
      <c r="G101" s="11">
        <v>0</v>
      </c>
      <c r="H101" s="14">
        <f t="shared" si="2"/>
        <v>555.4440000000177</v>
      </c>
      <c r="I101" s="14">
        <f t="shared" si="3"/>
        <v>-25680.501000000542</v>
      </c>
      <c r="J101" s="8" t="s">
        <v>81</v>
      </c>
      <c r="K101" s="8"/>
    </row>
    <row r="102" spans="1:11" x14ac:dyDescent="0.2">
      <c r="A102" s="10">
        <v>42700000</v>
      </c>
      <c r="B102" s="10" t="s">
        <v>310</v>
      </c>
      <c r="C102" s="11">
        <v>0</v>
      </c>
      <c r="D102" s="11">
        <v>0</v>
      </c>
      <c r="E102" s="11">
        <v>0</v>
      </c>
      <c r="F102" s="11">
        <v>0</v>
      </c>
      <c r="G102" s="11">
        <v>0</v>
      </c>
      <c r="H102" s="14">
        <f t="shared" si="2"/>
        <v>0</v>
      </c>
      <c r="I102" s="14">
        <f t="shared" si="3"/>
        <v>0</v>
      </c>
      <c r="J102" s="8"/>
      <c r="K102" s="8"/>
    </row>
    <row r="103" spans="1:11" x14ac:dyDescent="0.2">
      <c r="A103" s="10">
        <v>42710000</v>
      </c>
      <c r="B103" s="10" t="s">
        <v>82</v>
      </c>
      <c r="C103" s="11">
        <v>-4987.9280000000017</v>
      </c>
      <c r="D103" s="11">
        <v>0</v>
      </c>
      <c r="E103" s="11">
        <v>835.89099999999996</v>
      </c>
      <c r="F103" s="11">
        <v>0</v>
      </c>
      <c r="G103" s="11">
        <v>0</v>
      </c>
      <c r="H103" s="14">
        <f t="shared" si="2"/>
        <v>-835.89099999999996</v>
      </c>
      <c r="I103" s="14">
        <f t="shared" si="3"/>
        <v>-5823.8190000000013</v>
      </c>
      <c r="J103" s="8" t="s">
        <v>81</v>
      </c>
      <c r="K103" s="8"/>
    </row>
    <row r="104" spans="1:11" x14ac:dyDescent="0.2">
      <c r="A104" s="10">
        <v>42820000</v>
      </c>
      <c r="B104" s="10" t="s">
        <v>83</v>
      </c>
      <c r="C104" s="11">
        <v>-256085.00799999994</v>
      </c>
      <c r="D104" s="11">
        <v>256085.008</v>
      </c>
      <c r="E104" s="11">
        <v>249823.30699999997</v>
      </c>
      <c r="F104" s="11">
        <v>0</v>
      </c>
      <c r="G104" s="11">
        <v>0</v>
      </c>
      <c r="H104" s="14">
        <f t="shared" si="2"/>
        <v>6261.70100000003</v>
      </c>
      <c r="I104" s="14">
        <f t="shared" si="3"/>
        <v>-249823.30699999991</v>
      </c>
      <c r="J104" s="8" t="s">
        <v>81</v>
      </c>
      <c r="K104" s="8"/>
    </row>
    <row r="105" spans="1:11" x14ac:dyDescent="0.2">
      <c r="A105" s="10">
        <v>43200000</v>
      </c>
      <c r="B105" s="10" t="s">
        <v>311</v>
      </c>
      <c r="C105" s="11">
        <v>0</v>
      </c>
      <c r="D105" s="11">
        <v>0</v>
      </c>
      <c r="E105" s="11">
        <v>0</v>
      </c>
      <c r="F105" s="11">
        <v>0</v>
      </c>
      <c r="G105" s="11">
        <v>0</v>
      </c>
      <c r="H105" s="14">
        <f t="shared" si="2"/>
        <v>0</v>
      </c>
      <c r="I105" s="14">
        <f t="shared" si="3"/>
        <v>0</v>
      </c>
      <c r="J105" s="8"/>
      <c r="K105" s="8"/>
    </row>
    <row r="106" spans="1:11" x14ac:dyDescent="0.2">
      <c r="A106" s="10">
        <v>43210000</v>
      </c>
      <c r="B106" s="10" t="s">
        <v>84</v>
      </c>
      <c r="C106" s="11">
        <v>0</v>
      </c>
      <c r="D106" s="11">
        <v>0</v>
      </c>
      <c r="E106" s="11">
        <v>49295.94</v>
      </c>
      <c r="F106" s="11">
        <v>0</v>
      </c>
      <c r="G106" s="11">
        <v>0</v>
      </c>
      <c r="H106" s="14">
        <f t="shared" si="2"/>
        <v>-49295.94</v>
      </c>
      <c r="I106" s="14">
        <f t="shared" si="3"/>
        <v>-49295.94</v>
      </c>
      <c r="J106" s="8" t="s">
        <v>81</v>
      </c>
      <c r="K106" s="8"/>
    </row>
    <row r="107" spans="1:11" x14ac:dyDescent="0.2">
      <c r="A107" s="10">
        <v>43211000</v>
      </c>
      <c r="B107" s="10" t="s">
        <v>312</v>
      </c>
      <c r="C107" s="11">
        <v>0</v>
      </c>
      <c r="D107" s="11">
        <v>1909.7279999999998</v>
      </c>
      <c r="E107" s="11">
        <v>1909.7279999999998</v>
      </c>
      <c r="F107" s="11">
        <v>0</v>
      </c>
      <c r="G107" s="11">
        <v>0</v>
      </c>
      <c r="H107" s="14">
        <f t="shared" si="2"/>
        <v>0</v>
      </c>
      <c r="I107" s="14">
        <f t="shared" si="3"/>
        <v>0</v>
      </c>
      <c r="J107" s="8" t="s">
        <v>78</v>
      </c>
      <c r="K107" s="8"/>
    </row>
    <row r="108" spans="1:11" x14ac:dyDescent="0.2">
      <c r="A108" s="10">
        <v>43211500</v>
      </c>
      <c r="B108" s="10" t="s">
        <v>85</v>
      </c>
      <c r="C108" s="11">
        <v>0</v>
      </c>
      <c r="D108" s="11">
        <v>0</v>
      </c>
      <c r="E108" s="11">
        <v>0</v>
      </c>
      <c r="F108" s="11">
        <v>0</v>
      </c>
      <c r="G108" s="11">
        <v>0</v>
      </c>
      <c r="H108" s="14">
        <f t="shared" si="2"/>
        <v>0</v>
      </c>
      <c r="I108" s="14">
        <f t="shared" si="3"/>
        <v>0</v>
      </c>
      <c r="J108" s="8"/>
      <c r="K108" s="8"/>
    </row>
    <row r="109" spans="1:11" x14ac:dyDescent="0.2">
      <c r="A109" s="10">
        <v>43212500</v>
      </c>
      <c r="B109" s="10" t="s">
        <v>313</v>
      </c>
      <c r="C109" s="11">
        <v>0</v>
      </c>
      <c r="D109" s="11">
        <v>0</v>
      </c>
      <c r="E109" s="11">
        <v>0</v>
      </c>
      <c r="F109" s="11">
        <v>0</v>
      </c>
      <c r="G109" s="11">
        <v>0</v>
      </c>
      <c r="H109" s="14">
        <f t="shared" si="2"/>
        <v>0</v>
      </c>
      <c r="I109" s="14">
        <f t="shared" si="3"/>
        <v>0</v>
      </c>
      <c r="J109" s="8"/>
      <c r="K109" s="8"/>
    </row>
    <row r="110" spans="1:11" x14ac:dyDescent="0.2">
      <c r="A110" s="10">
        <v>43215000</v>
      </c>
      <c r="B110" s="10" t="s">
        <v>314</v>
      </c>
      <c r="C110" s="11">
        <v>0</v>
      </c>
      <c r="D110" s="11">
        <v>0</v>
      </c>
      <c r="E110" s="11">
        <v>0</v>
      </c>
      <c r="F110" s="11">
        <v>0</v>
      </c>
      <c r="G110" s="11">
        <v>0</v>
      </c>
      <c r="H110" s="14">
        <f t="shared" si="2"/>
        <v>0</v>
      </c>
      <c r="I110" s="14">
        <f t="shared" si="3"/>
        <v>0</v>
      </c>
      <c r="J110" s="8"/>
      <c r="K110" s="8"/>
    </row>
    <row r="111" spans="1:11" x14ac:dyDescent="0.2">
      <c r="A111" s="10">
        <v>43220000</v>
      </c>
      <c r="B111" s="10" t="s">
        <v>86</v>
      </c>
      <c r="C111" s="11">
        <v>0</v>
      </c>
      <c r="D111" s="11">
        <v>0</v>
      </c>
      <c r="E111" s="11">
        <v>0</v>
      </c>
      <c r="F111" s="11">
        <v>0</v>
      </c>
      <c r="G111" s="11">
        <v>0</v>
      </c>
      <c r="H111" s="14">
        <f t="shared" si="2"/>
        <v>0</v>
      </c>
      <c r="I111" s="14">
        <f t="shared" si="3"/>
        <v>0</v>
      </c>
      <c r="J111" s="8" t="s">
        <v>81</v>
      </c>
      <c r="K111" s="8"/>
    </row>
    <row r="112" spans="1:11" x14ac:dyDescent="0.2">
      <c r="A112" s="10">
        <v>43220050</v>
      </c>
      <c r="B112" s="10" t="s">
        <v>315</v>
      </c>
      <c r="C112" s="11">
        <v>4.7999999999319698E-2</v>
      </c>
      <c r="D112" s="11">
        <v>0</v>
      </c>
      <c r="E112" s="11">
        <v>6.8229999999999986</v>
      </c>
      <c r="F112" s="11">
        <v>0</v>
      </c>
      <c r="G112" s="11">
        <v>0</v>
      </c>
      <c r="H112" s="14">
        <f t="shared" si="2"/>
        <v>-6.8229999999999986</v>
      </c>
      <c r="I112" s="14">
        <f t="shared" si="3"/>
        <v>-6.7750000000006789</v>
      </c>
      <c r="J112" s="8" t="s">
        <v>81</v>
      </c>
      <c r="K112" s="8"/>
    </row>
    <row r="113" spans="1:11" x14ac:dyDescent="0.2">
      <c r="A113" s="10">
        <v>43220100</v>
      </c>
      <c r="B113" s="10" t="s">
        <v>87</v>
      </c>
      <c r="C113" s="11">
        <v>-2.0000000658910722E-3</v>
      </c>
      <c r="D113" s="11">
        <v>40.010000000000005</v>
      </c>
      <c r="E113" s="11">
        <v>5012.9220000000005</v>
      </c>
      <c r="F113" s="11">
        <v>0</v>
      </c>
      <c r="G113" s="11">
        <v>0</v>
      </c>
      <c r="H113" s="14">
        <f t="shared" si="2"/>
        <v>-4972.9120000000003</v>
      </c>
      <c r="I113" s="14">
        <f t="shared" si="3"/>
        <v>-4972.9140000000662</v>
      </c>
      <c r="J113" s="8" t="s">
        <v>81</v>
      </c>
      <c r="K113" s="8"/>
    </row>
    <row r="114" spans="1:11" x14ac:dyDescent="0.2">
      <c r="A114" s="10">
        <v>43220300</v>
      </c>
      <c r="B114" s="10" t="s">
        <v>88</v>
      </c>
      <c r="C114" s="11">
        <v>5.2000000000120394E-2</v>
      </c>
      <c r="D114" s="11">
        <v>0</v>
      </c>
      <c r="E114" s="11">
        <v>0</v>
      </c>
      <c r="F114" s="11">
        <v>0</v>
      </c>
      <c r="G114" s="11">
        <v>0</v>
      </c>
      <c r="H114" s="14">
        <f t="shared" si="2"/>
        <v>0</v>
      </c>
      <c r="I114" s="14">
        <f t="shared" si="3"/>
        <v>5.2000000000120394E-2</v>
      </c>
      <c r="J114" s="8" t="s">
        <v>78</v>
      </c>
      <c r="K114" s="8"/>
    </row>
    <row r="115" spans="1:11" x14ac:dyDescent="0.2">
      <c r="A115" s="10">
        <v>43221000</v>
      </c>
      <c r="B115" s="10" t="s">
        <v>89</v>
      </c>
      <c r="C115" s="11">
        <v>33.33200000002148</v>
      </c>
      <c r="D115" s="11">
        <v>0</v>
      </c>
      <c r="E115" s="11">
        <v>188.88799999999998</v>
      </c>
      <c r="F115" s="11">
        <v>0</v>
      </c>
      <c r="G115" s="11">
        <v>0</v>
      </c>
      <c r="H115" s="14">
        <f t="shared" si="2"/>
        <v>-188.88799999999998</v>
      </c>
      <c r="I115" s="14">
        <f t="shared" si="3"/>
        <v>-155.5559999999785</v>
      </c>
      <c r="J115" s="8" t="s">
        <v>81</v>
      </c>
      <c r="K115" s="8"/>
    </row>
    <row r="116" spans="1:11" x14ac:dyDescent="0.2">
      <c r="A116" s="10">
        <v>43222000</v>
      </c>
      <c r="B116" s="10" t="s">
        <v>316</v>
      </c>
      <c r="C116" s="11">
        <v>0</v>
      </c>
      <c r="D116" s="11">
        <v>0</v>
      </c>
      <c r="E116" s="11">
        <v>0</v>
      </c>
      <c r="F116" s="11">
        <v>0</v>
      </c>
      <c r="G116" s="11">
        <v>0</v>
      </c>
      <c r="H116" s="14">
        <f t="shared" si="2"/>
        <v>0</v>
      </c>
      <c r="I116" s="14">
        <f t="shared" si="3"/>
        <v>0</v>
      </c>
      <c r="J116" s="8" t="s">
        <v>81</v>
      </c>
      <c r="K116" s="8"/>
    </row>
    <row r="117" spans="1:11" x14ac:dyDescent="0.2">
      <c r="A117" s="10">
        <v>43223000</v>
      </c>
      <c r="B117" s="10" t="s">
        <v>90</v>
      </c>
      <c r="C117" s="11">
        <v>496.55999999999449</v>
      </c>
      <c r="D117" s="11">
        <v>0</v>
      </c>
      <c r="E117" s="11">
        <v>1258.693</v>
      </c>
      <c r="F117" s="11">
        <v>0</v>
      </c>
      <c r="G117" s="11">
        <v>0</v>
      </c>
      <c r="H117" s="14">
        <f t="shared" si="2"/>
        <v>-1258.693</v>
      </c>
      <c r="I117" s="14">
        <f t="shared" si="3"/>
        <v>-762.1330000000055</v>
      </c>
      <c r="J117" s="8" t="s">
        <v>81</v>
      </c>
      <c r="K117" s="8"/>
    </row>
    <row r="118" spans="1:11" x14ac:dyDescent="0.2">
      <c r="A118" s="10">
        <v>43310000</v>
      </c>
      <c r="B118" s="10" t="s">
        <v>317</v>
      </c>
      <c r="C118" s="11">
        <v>0</v>
      </c>
      <c r="D118" s="11">
        <v>0</v>
      </c>
      <c r="E118" s="11">
        <v>0</v>
      </c>
      <c r="F118" s="11">
        <v>0</v>
      </c>
      <c r="G118" s="11">
        <v>0</v>
      </c>
      <c r="H118" s="14">
        <f t="shared" si="2"/>
        <v>0</v>
      </c>
      <c r="I118" s="14">
        <f t="shared" si="3"/>
        <v>0</v>
      </c>
      <c r="J118" s="8"/>
      <c r="K118" s="8"/>
    </row>
    <row r="119" spans="1:11" x14ac:dyDescent="0.2">
      <c r="A119" s="10">
        <v>43400000</v>
      </c>
      <c r="B119" s="10" t="s">
        <v>91</v>
      </c>
      <c r="C119" s="11">
        <v>790449.57000000007</v>
      </c>
      <c r="D119" s="11">
        <v>0</v>
      </c>
      <c r="E119" s="11">
        <v>0</v>
      </c>
      <c r="F119" s="11">
        <v>0</v>
      </c>
      <c r="G119" s="11">
        <v>0</v>
      </c>
      <c r="H119" s="14">
        <f t="shared" si="2"/>
        <v>0</v>
      </c>
      <c r="I119" s="14">
        <f t="shared" si="3"/>
        <v>790449.57000000007</v>
      </c>
      <c r="J119" s="8" t="s">
        <v>78</v>
      </c>
      <c r="K119" s="8"/>
    </row>
    <row r="120" spans="1:11" x14ac:dyDescent="0.2">
      <c r="A120" s="10">
        <v>43410000</v>
      </c>
      <c r="B120" s="10" t="s">
        <v>318</v>
      </c>
      <c r="C120" s="11">
        <v>277882.00399999978</v>
      </c>
      <c r="D120" s="11">
        <v>28686.857999999997</v>
      </c>
      <c r="E120" s="11">
        <v>373.73699999999997</v>
      </c>
      <c r="F120" s="11">
        <v>0</v>
      </c>
      <c r="G120" s="11">
        <v>100000</v>
      </c>
      <c r="H120" s="14">
        <f t="shared" si="2"/>
        <v>-71686.879000000001</v>
      </c>
      <c r="I120" s="14">
        <f t="shared" si="3"/>
        <v>206195.12499999977</v>
      </c>
      <c r="J120" s="8" t="s">
        <v>78</v>
      </c>
      <c r="K120" s="8"/>
    </row>
    <row r="121" spans="1:11" x14ac:dyDescent="0.2">
      <c r="A121" s="10">
        <v>43420000</v>
      </c>
      <c r="B121" s="10" t="s">
        <v>92</v>
      </c>
      <c r="C121" s="11">
        <v>0</v>
      </c>
      <c r="D121" s="11">
        <v>0</v>
      </c>
      <c r="E121" s="11">
        <v>0</v>
      </c>
      <c r="F121" s="11">
        <v>0</v>
      </c>
      <c r="G121" s="11">
        <v>0</v>
      </c>
      <c r="H121" s="14">
        <f t="shared" si="2"/>
        <v>0</v>
      </c>
      <c r="I121" s="14">
        <f t="shared" si="3"/>
        <v>0</v>
      </c>
      <c r="J121" s="8"/>
      <c r="K121" s="8"/>
    </row>
    <row r="122" spans="1:11" x14ac:dyDescent="0.2">
      <c r="A122" s="10">
        <v>43430000</v>
      </c>
      <c r="B122" s="10" t="s">
        <v>319</v>
      </c>
      <c r="C122" s="11">
        <v>0</v>
      </c>
      <c r="D122" s="11">
        <v>0</v>
      </c>
      <c r="E122" s="11">
        <v>0</v>
      </c>
      <c r="F122" s="11">
        <v>0</v>
      </c>
      <c r="G122" s="11">
        <v>0</v>
      </c>
      <c r="H122" s="14">
        <f t="shared" si="2"/>
        <v>0</v>
      </c>
      <c r="I122" s="14">
        <f t="shared" si="3"/>
        <v>0</v>
      </c>
      <c r="J122" s="8" t="s">
        <v>78</v>
      </c>
      <c r="K122" s="8"/>
    </row>
    <row r="123" spans="1:11" x14ac:dyDescent="0.2">
      <c r="A123" s="10">
        <v>43440000</v>
      </c>
      <c r="B123" s="10" t="s">
        <v>320</v>
      </c>
      <c r="C123" s="11">
        <v>0</v>
      </c>
      <c r="D123" s="11">
        <v>0</v>
      </c>
      <c r="E123" s="11">
        <v>0</v>
      </c>
      <c r="F123" s="11">
        <v>0</v>
      </c>
      <c r="G123" s="11">
        <v>0</v>
      </c>
      <c r="H123" s="14">
        <f t="shared" si="2"/>
        <v>0</v>
      </c>
      <c r="I123" s="14">
        <f t="shared" si="3"/>
        <v>0</v>
      </c>
      <c r="J123" s="8" t="s">
        <v>78</v>
      </c>
      <c r="K123" s="8"/>
    </row>
    <row r="124" spans="1:11" x14ac:dyDescent="0.2">
      <c r="A124" s="10">
        <v>43500000</v>
      </c>
      <c r="B124" s="10" t="s">
        <v>321</v>
      </c>
      <c r="C124" s="11">
        <v>-166686.60500000001</v>
      </c>
      <c r="D124" s="11">
        <v>0</v>
      </c>
      <c r="E124" s="11">
        <v>203770.71600000001</v>
      </c>
      <c r="F124" s="11">
        <v>0</v>
      </c>
      <c r="G124" s="11">
        <v>0</v>
      </c>
      <c r="H124" s="14">
        <f t="shared" si="2"/>
        <v>-203770.71600000001</v>
      </c>
      <c r="I124" s="14">
        <f t="shared" si="3"/>
        <v>-370457.321</v>
      </c>
      <c r="J124" s="8" t="s">
        <v>81</v>
      </c>
      <c r="K124" s="8"/>
    </row>
    <row r="125" spans="1:11" x14ac:dyDescent="0.2">
      <c r="A125" s="10">
        <v>43600000</v>
      </c>
      <c r="B125" s="10" t="s">
        <v>93</v>
      </c>
      <c r="C125" s="11">
        <v>1043534.2439999885</v>
      </c>
      <c r="D125" s="11">
        <v>434517.23700000002</v>
      </c>
      <c r="E125" s="11">
        <v>587481.48800000001</v>
      </c>
      <c r="F125" s="11">
        <v>0</v>
      </c>
      <c r="G125" s="11">
        <v>0</v>
      </c>
      <c r="H125" s="14">
        <f t="shared" si="2"/>
        <v>-152964.25099999999</v>
      </c>
      <c r="I125" s="14">
        <f t="shared" si="3"/>
        <v>890569.99299998861</v>
      </c>
      <c r="J125" s="8" t="s">
        <v>78</v>
      </c>
      <c r="K125" s="8"/>
    </row>
    <row r="126" spans="1:11" x14ac:dyDescent="0.2">
      <c r="A126" s="10">
        <v>43625000</v>
      </c>
      <c r="B126" s="10" t="s">
        <v>94</v>
      </c>
      <c r="C126" s="11">
        <v>1.9999998694402166E-3</v>
      </c>
      <c r="D126" s="11">
        <v>202.90099999999998</v>
      </c>
      <c r="E126" s="11">
        <v>27695.857999999997</v>
      </c>
      <c r="F126" s="11">
        <v>0</v>
      </c>
      <c r="G126" s="11">
        <v>0</v>
      </c>
      <c r="H126" s="14">
        <f t="shared" si="2"/>
        <v>-27492.956999999995</v>
      </c>
      <c r="I126" s="14">
        <f t="shared" si="3"/>
        <v>-27492.955000000125</v>
      </c>
      <c r="J126" s="8" t="s">
        <v>81</v>
      </c>
      <c r="K126" s="8"/>
    </row>
    <row r="127" spans="1:11" x14ac:dyDescent="0.2">
      <c r="A127" s="10">
        <v>43627000</v>
      </c>
      <c r="B127" s="10" t="s">
        <v>95</v>
      </c>
      <c r="C127" s="11">
        <v>2.1000000095227733E-2</v>
      </c>
      <c r="D127" s="11">
        <v>1420.3079999999998</v>
      </c>
      <c r="E127" s="11">
        <v>193870.99</v>
      </c>
      <c r="F127" s="11">
        <v>0</v>
      </c>
      <c r="G127" s="11">
        <v>0</v>
      </c>
      <c r="H127" s="14">
        <f t="shared" si="2"/>
        <v>-192450.682</v>
      </c>
      <c r="I127" s="14">
        <f t="shared" si="3"/>
        <v>-192450.66099999991</v>
      </c>
      <c r="J127" s="8" t="s">
        <v>81</v>
      </c>
      <c r="K127" s="8"/>
    </row>
    <row r="128" spans="1:11" x14ac:dyDescent="0.2">
      <c r="A128" s="10">
        <v>43630600</v>
      </c>
      <c r="B128" s="10" t="s">
        <v>322</v>
      </c>
      <c r="C128" s="11">
        <v>0</v>
      </c>
      <c r="D128" s="11">
        <v>0</v>
      </c>
      <c r="E128" s="11">
        <v>0</v>
      </c>
      <c r="F128" s="11">
        <v>0</v>
      </c>
      <c r="G128" s="11">
        <v>0</v>
      </c>
      <c r="H128" s="14">
        <f t="shared" si="2"/>
        <v>0</v>
      </c>
      <c r="I128" s="14">
        <f t="shared" si="3"/>
        <v>0</v>
      </c>
      <c r="J128" s="8"/>
      <c r="K128" s="8"/>
    </row>
    <row r="129" spans="1:11" x14ac:dyDescent="0.2">
      <c r="A129" s="10">
        <v>43630700</v>
      </c>
      <c r="B129" s="10" t="s">
        <v>96</v>
      </c>
      <c r="C129" s="11">
        <v>5.0022208597511053E-11</v>
      </c>
      <c r="D129" s="11">
        <v>504.91400000000004</v>
      </c>
      <c r="E129" s="11">
        <v>301.91400000000004</v>
      </c>
      <c r="F129" s="11">
        <v>0</v>
      </c>
      <c r="G129" s="11">
        <v>0</v>
      </c>
      <c r="H129" s="14">
        <f t="shared" si="2"/>
        <v>203</v>
      </c>
      <c r="I129" s="14">
        <f t="shared" si="3"/>
        <v>203.00000000005002</v>
      </c>
      <c r="J129" s="8" t="s">
        <v>78</v>
      </c>
      <c r="K129" s="8"/>
    </row>
    <row r="130" spans="1:11" x14ac:dyDescent="0.2">
      <c r="A130" s="10">
        <v>43631000</v>
      </c>
      <c r="B130" s="10" t="s">
        <v>323</v>
      </c>
      <c r="C130" s="11">
        <v>0</v>
      </c>
      <c r="D130" s="11">
        <v>0</v>
      </c>
      <c r="E130" s="11">
        <v>0</v>
      </c>
      <c r="F130" s="11">
        <v>0</v>
      </c>
      <c r="G130" s="11">
        <v>0</v>
      </c>
      <c r="H130" s="14">
        <f t="shared" si="2"/>
        <v>0</v>
      </c>
      <c r="I130" s="14">
        <f t="shared" si="3"/>
        <v>0</v>
      </c>
      <c r="J130" s="8"/>
      <c r="K130" s="8"/>
    </row>
    <row r="131" spans="1:11" x14ac:dyDescent="0.2">
      <c r="A131" s="10">
        <v>43631300</v>
      </c>
      <c r="B131" s="10" t="s">
        <v>324</v>
      </c>
      <c r="C131" s="11">
        <v>-1545.4810000000084</v>
      </c>
      <c r="D131" s="11">
        <v>1718.2989999999998</v>
      </c>
      <c r="E131" s="11">
        <v>172.81799999999998</v>
      </c>
      <c r="F131" s="11">
        <v>0</v>
      </c>
      <c r="G131" s="11">
        <v>0</v>
      </c>
      <c r="H131" s="14">
        <f t="shared" ref="H131:H194" si="4">D131+F131-E131-G131</f>
        <v>1545.4809999999998</v>
      </c>
      <c r="I131" s="14">
        <f t="shared" ref="I131:I194" si="5">C131+H131</f>
        <v>-8.6401996668428183E-12</v>
      </c>
      <c r="J131" s="8" t="s">
        <v>81</v>
      </c>
      <c r="K131" s="8"/>
    </row>
    <row r="132" spans="1:11" x14ac:dyDescent="0.2">
      <c r="A132" s="10">
        <v>43631800</v>
      </c>
      <c r="B132" s="10" t="s">
        <v>325</v>
      </c>
      <c r="C132" s="11">
        <v>0</v>
      </c>
      <c r="D132" s="11">
        <v>0</v>
      </c>
      <c r="E132" s="11">
        <v>0</v>
      </c>
      <c r="F132" s="11">
        <v>0</v>
      </c>
      <c r="G132" s="11">
        <v>0</v>
      </c>
      <c r="H132" s="14">
        <f t="shared" si="4"/>
        <v>0</v>
      </c>
      <c r="I132" s="14">
        <f t="shared" si="5"/>
        <v>0</v>
      </c>
      <c r="J132" s="8"/>
      <c r="K132" s="8"/>
    </row>
    <row r="133" spans="1:11" x14ac:dyDescent="0.2">
      <c r="A133" s="10">
        <v>43631900</v>
      </c>
      <c r="B133" s="10" t="s">
        <v>97</v>
      </c>
      <c r="C133" s="11">
        <v>16239.54099999927</v>
      </c>
      <c r="D133" s="11">
        <v>438837.77899999998</v>
      </c>
      <c r="E133" s="11">
        <v>448530.98899999994</v>
      </c>
      <c r="F133" s="11">
        <v>0</v>
      </c>
      <c r="G133" s="11">
        <v>0</v>
      </c>
      <c r="H133" s="14">
        <f t="shared" si="4"/>
        <v>-9693.2099999999627</v>
      </c>
      <c r="I133" s="14">
        <f t="shared" si="5"/>
        <v>6546.3309999993071</v>
      </c>
      <c r="J133" s="8" t="s">
        <v>78</v>
      </c>
      <c r="K133" s="8"/>
    </row>
    <row r="134" spans="1:11" x14ac:dyDescent="0.2">
      <c r="A134" s="10">
        <v>43661800</v>
      </c>
      <c r="B134" s="10" t="s">
        <v>326</v>
      </c>
      <c r="C134" s="11">
        <v>0</v>
      </c>
      <c r="D134" s="11">
        <v>0</v>
      </c>
      <c r="E134" s="11">
        <v>0</v>
      </c>
      <c r="F134" s="11">
        <v>0</v>
      </c>
      <c r="G134" s="11">
        <v>0</v>
      </c>
      <c r="H134" s="14">
        <f t="shared" si="4"/>
        <v>0</v>
      </c>
      <c r="I134" s="14">
        <f t="shared" si="5"/>
        <v>0</v>
      </c>
      <c r="J134" s="8"/>
      <c r="K134" s="8"/>
    </row>
    <row r="135" spans="1:11" x14ac:dyDescent="0.2">
      <c r="A135" s="10">
        <v>43671000</v>
      </c>
      <c r="B135" s="10" t="s">
        <v>98</v>
      </c>
      <c r="C135" s="11">
        <v>458.43699999782257</v>
      </c>
      <c r="D135" s="11">
        <v>591645.01899999997</v>
      </c>
      <c r="E135" s="11">
        <v>591645.01899999997</v>
      </c>
      <c r="F135" s="11">
        <v>0</v>
      </c>
      <c r="G135" s="11">
        <v>0</v>
      </c>
      <c r="H135" s="14">
        <f t="shared" si="4"/>
        <v>0</v>
      </c>
      <c r="I135" s="14">
        <f t="shared" si="5"/>
        <v>458.43699999782257</v>
      </c>
      <c r="J135" s="8" t="s">
        <v>78</v>
      </c>
      <c r="K135" s="8"/>
    </row>
    <row r="136" spans="1:11" x14ac:dyDescent="0.2">
      <c r="A136" s="10">
        <v>43700000</v>
      </c>
      <c r="B136" s="10" t="s">
        <v>99</v>
      </c>
      <c r="C136" s="11">
        <v>0</v>
      </c>
      <c r="D136" s="11">
        <v>0</v>
      </c>
      <c r="E136" s="11">
        <v>3</v>
      </c>
      <c r="F136" s="11">
        <v>0</v>
      </c>
      <c r="G136" s="11">
        <v>0</v>
      </c>
      <c r="H136" s="14">
        <f t="shared" si="4"/>
        <v>-3</v>
      </c>
      <c r="I136" s="14">
        <f t="shared" si="5"/>
        <v>-3</v>
      </c>
      <c r="J136" s="8" t="s">
        <v>81</v>
      </c>
      <c r="K136" s="8"/>
    </row>
    <row r="137" spans="1:11" x14ac:dyDescent="0.2">
      <c r="A137" s="10">
        <v>43720000</v>
      </c>
      <c r="B137" s="10" t="s">
        <v>327</v>
      </c>
      <c r="C137" s="11">
        <v>-1843.7079999999999</v>
      </c>
      <c r="D137" s="11">
        <v>1843.7079999999999</v>
      </c>
      <c r="E137" s="11">
        <v>0</v>
      </c>
      <c r="F137" s="11">
        <v>0</v>
      </c>
      <c r="G137" s="11">
        <v>0</v>
      </c>
      <c r="H137" s="14">
        <f t="shared" si="4"/>
        <v>1843.7079999999999</v>
      </c>
      <c r="I137" s="14">
        <f t="shared" si="5"/>
        <v>0</v>
      </c>
      <c r="J137" s="8" t="s">
        <v>81</v>
      </c>
      <c r="K137" s="8"/>
    </row>
    <row r="138" spans="1:11" x14ac:dyDescent="0.2">
      <c r="A138" s="10">
        <v>43756000</v>
      </c>
      <c r="B138" s="10" t="s">
        <v>328</v>
      </c>
      <c r="C138" s="11">
        <v>0</v>
      </c>
      <c r="D138" s="11">
        <v>0</v>
      </c>
      <c r="E138" s="11">
        <v>0</v>
      </c>
      <c r="F138" s="11">
        <v>0</v>
      </c>
      <c r="G138" s="11">
        <v>0</v>
      </c>
      <c r="H138" s="14">
        <f t="shared" si="4"/>
        <v>0</v>
      </c>
      <c r="I138" s="14">
        <f t="shared" si="5"/>
        <v>0</v>
      </c>
      <c r="J138" s="8"/>
      <c r="K138" s="8"/>
    </row>
    <row r="139" spans="1:11" x14ac:dyDescent="0.2">
      <c r="A139" s="10">
        <v>44100000</v>
      </c>
      <c r="B139" s="10" t="s">
        <v>329</v>
      </c>
      <c r="C139" s="11">
        <v>0</v>
      </c>
      <c r="D139" s="11">
        <v>0</v>
      </c>
      <c r="E139" s="11">
        <v>0</v>
      </c>
      <c r="F139" s="11">
        <v>0</v>
      </c>
      <c r="G139" s="11">
        <v>0</v>
      </c>
      <c r="H139" s="14">
        <f t="shared" si="4"/>
        <v>0</v>
      </c>
      <c r="I139" s="14">
        <f t="shared" si="5"/>
        <v>0</v>
      </c>
      <c r="J139" s="8"/>
      <c r="K139" s="8"/>
    </row>
    <row r="140" spans="1:11" x14ac:dyDescent="0.2">
      <c r="A140" s="10">
        <v>44101000</v>
      </c>
      <c r="B140" s="10" t="s">
        <v>7717</v>
      </c>
      <c r="C140" s="11">
        <v>57066.353000000003</v>
      </c>
      <c r="D140" s="11">
        <v>0</v>
      </c>
      <c r="E140" s="11">
        <v>0</v>
      </c>
      <c r="F140" s="11">
        <v>0</v>
      </c>
      <c r="G140" s="11">
        <v>0</v>
      </c>
      <c r="H140" s="14">
        <f t="shared" si="4"/>
        <v>0</v>
      </c>
      <c r="I140" s="14">
        <f t="shared" si="5"/>
        <v>57066.353000000003</v>
      </c>
      <c r="J140" s="8" t="s">
        <v>78</v>
      </c>
      <c r="K140" s="8"/>
    </row>
    <row r="141" spans="1:11" x14ac:dyDescent="0.2">
      <c r="A141" s="10">
        <v>44200000</v>
      </c>
      <c r="B141" s="10" t="s">
        <v>330</v>
      </c>
      <c r="C141" s="11">
        <v>0</v>
      </c>
      <c r="D141" s="11">
        <v>0</v>
      </c>
      <c r="E141" s="11">
        <v>0</v>
      </c>
      <c r="F141" s="11">
        <v>0</v>
      </c>
      <c r="G141" s="11">
        <v>0</v>
      </c>
      <c r="H141" s="14">
        <f t="shared" si="4"/>
        <v>0</v>
      </c>
      <c r="I141" s="14">
        <f t="shared" si="5"/>
        <v>0</v>
      </c>
      <c r="J141" s="8"/>
      <c r="K141" s="8"/>
    </row>
    <row r="142" spans="1:11" x14ac:dyDescent="0.2">
      <c r="A142" s="10">
        <v>44201000</v>
      </c>
      <c r="B142" s="10" t="s">
        <v>331</v>
      </c>
      <c r="C142" s="11">
        <v>0</v>
      </c>
      <c r="D142" s="11">
        <v>0</v>
      </c>
      <c r="E142" s="11">
        <v>0</v>
      </c>
      <c r="F142" s="11">
        <v>0</v>
      </c>
      <c r="G142" s="11">
        <v>0</v>
      </c>
      <c r="H142" s="14">
        <f t="shared" si="4"/>
        <v>0</v>
      </c>
      <c r="I142" s="14">
        <f t="shared" si="5"/>
        <v>0</v>
      </c>
      <c r="J142" s="8"/>
      <c r="K142" s="8"/>
    </row>
    <row r="143" spans="1:11" x14ac:dyDescent="0.2">
      <c r="A143" s="10">
        <v>44202000</v>
      </c>
      <c r="B143" s="10" t="s">
        <v>332</v>
      </c>
      <c r="C143" s="11">
        <v>0</v>
      </c>
      <c r="D143" s="11">
        <v>0</v>
      </c>
      <c r="E143" s="11">
        <v>0</v>
      </c>
      <c r="F143" s="11">
        <v>0</v>
      </c>
      <c r="G143" s="11">
        <v>0</v>
      </c>
      <c r="H143" s="14">
        <f t="shared" si="4"/>
        <v>0</v>
      </c>
      <c r="I143" s="14">
        <f t="shared" si="5"/>
        <v>0</v>
      </c>
      <c r="J143" s="8"/>
      <c r="K143" s="8"/>
    </row>
    <row r="144" spans="1:11" x14ac:dyDescent="0.2">
      <c r="A144" s="10">
        <v>44203000</v>
      </c>
      <c r="B144" s="10" t="s">
        <v>333</v>
      </c>
      <c r="C144" s="11">
        <v>0</v>
      </c>
      <c r="D144" s="11">
        <v>0</v>
      </c>
      <c r="E144" s="11">
        <v>0</v>
      </c>
      <c r="F144" s="11">
        <v>0</v>
      </c>
      <c r="G144" s="11">
        <v>0</v>
      </c>
      <c r="H144" s="14">
        <f t="shared" si="4"/>
        <v>0</v>
      </c>
      <c r="I144" s="14">
        <f t="shared" si="5"/>
        <v>0</v>
      </c>
      <c r="J144" s="8"/>
      <c r="K144" s="8"/>
    </row>
    <row r="145" spans="1:11" x14ac:dyDescent="0.2">
      <c r="A145" s="10">
        <v>44204000</v>
      </c>
      <c r="B145" s="10" t="s">
        <v>334</v>
      </c>
      <c r="C145" s="11">
        <v>0</v>
      </c>
      <c r="D145" s="11">
        <v>0</v>
      </c>
      <c r="E145" s="11">
        <v>0</v>
      </c>
      <c r="F145" s="11">
        <v>0</v>
      </c>
      <c r="G145" s="11">
        <v>0</v>
      </c>
      <c r="H145" s="14">
        <f t="shared" si="4"/>
        <v>0</v>
      </c>
      <c r="I145" s="14">
        <f t="shared" si="5"/>
        <v>0</v>
      </c>
      <c r="J145" s="8"/>
      <c r="K145" s="8"/>
    </row>
    <row r="146" spans="1:11" x14ac:dyDescent="0.2">
      <c r="A146" s="10">
        <v>44205000</v>
      </c>
      <c r="B146" s="10" t="s">
        <v>335</v>
      </c>
      <c r="C146" s="11">
        <v>0</v>
      </c>
      <c r="D146" s="11">
        <v>0</v>
      </c>
      <c r="E146" s="11">
        <v>0</v>
      </c>
      <c r="F146" s="11">
        <v>0</v>
      </c>
      <c r="G146" s="11">
        <v>0</v>
      </c>
      <c r="H146" s="14">
        <f t="shared" si="4"/>
        <v>0</v>
      </c>
      <c r="I146" s="14">
        <f t="shared" si="5"/>
        <v>0</v>
      </c>
      <c r="J146" s="8"/>
      <c r="K146" s="8"/>
    </row>
    <row r="147" spans="1:11" x14ac:dyDescent="0.2">
      <c r="A147" s="10">
        <v>44206000</v>
      </c>
      <c r="B147" s="10" t="s">
        <v>100</v>
      </c>
      <c r="C147" s="11">
        <v>-669999.99999999988</v>
      </c>
      <c r="D147" s="11">
        <v>20000</v>
      </c>
      <c r="E147" s="11">
        <v>0</v>
      </c>
      <c r="F147" s="11">
        <v>0</v>
      </c>
      <c r="G147" s="11">
        <v>0</v>
      </c>
      <c r="H147" s="14">
        <f t="shared" si="4"/>
        <v>20000</v>
      </c>
      <c r="I147" s="14">
        <f t="shared" si="5"/>
        <v>-649999.99999999988</v>
      </c>
      <c r="J147" s="8" t="s">
        <v>81</v>
      </c>
      <c r="K147" s="8"/>
    </row>
    <row r="148" spans="1:11" x14ac:dyDescent="0.2">
      <c r="A148" s="10">
        <v>44207000</v>
      </c>
      <c r="B148" s="10" t="s">
        <v>336</v>
      </c>
      <c r="C148" s="11">
        <v>85000</v>
      </c>
      <c r="D148" s="11">
        <v>10000</v>
      </c>
      <c r="E148" s="11">
        <v>0</v>
      </c>
      <c r="F148" s="11">
        <v>0</v>
      </c>
      <c r="G148" s="11">
        <v>0</v>
      </c>
      <c r="H148" s="14">
        <f t="shared" si="4"/>
        <v>10000</v>
      </c>
      <c r="I148" s="14">
        <f t="shared" si="5"/>
        <v>95000</v>
      </c>
      <c r="J148" s="8" t="s">
        <v>78</v>
      </c>
      <c r="K148" s="8"/>
    </row>
    <row r="149" spans="1:11" x14ac:dyDescent="0.2">
      <c r="A149" s="10">
        <v>44208000</v>
      </c>
      <c r="B149" s="10" t="s">
        <v>337</v>
      </c>
      <c r="C149" s="11">
        <v>2270.971</v>
      </c>
      <c r="D149" s="11">
        <v>0</v>
      </c>
      <c r="E149" s="11">
        <v>0</v>
      </c>
      <c r="F149" s="11">
        <v>0</v>
      </c>
      <c r="G149" s="11">
        <v>0</v>
      </c>
      <c r="H149" s="14">
        <f t="shared" si="4"/>
        <v>0</v>
      </c>
      <c r="I149" s="14">
        <f t="shared" si="5"/>
        <v>2270.971</v>
      </c>
      <c r="J149" s="8" t="s">
        <v>78</v>
      </c>
      <c r="K149" s="8"/>
    </row>
    <row r="150" spans="1:11" x14ac:dyDescent="0.2">
      <c r="A150" s="10">
        <v>44209000</v>
      </c>
      <c r="B150" s="10" t="s">
        <v>392</v>
      </c>
      <c r="C150" s="11">
        <v>-1396373.118</v>
      </c>
      <c r="D150" s="11">
        <v>0</v>
      </c>
      <c r="E150" s="11">
        <v>0</v>
      </c>
      <c r="F150" s="11">
        <v>0</v>
      </c>
      <c r="G150" s="11">
        <v>0</v>
      </c>
      <c r="H150" s="14">
        <f t="shared" si="4"/>
        <v>0</v>
      </c>
      <c r="I150" s="14">
        <f t="shared" si="5"/>
        <v>-1396373.118</v>
      </c>
      <c r="J150" s="8" t="s">
        <v>81</v>
      </c>
      <c r="K150" s="8"/>
    </row>
    <row r="151" spans="1:11" x14ac:dyDescent="0.2">
      <c r="A151" s="10">
        <v>44210000</v>
      </c>
      <c r="B151" s="10" t="s">
        <v>338</v>
      </c>
      <c r="C151" s="11">
        <v>0</v>
      </c>
      <c r="D151" s="11">
        <v>0</v>
      </c>
      <c r="E151" s="11">
        <v>0</v>
      </c>
      <c r="F151" s="11">
        <v>0</v>
      </c>
      <c r="G151" s="11">
        <v>0</v>
      </c>
      <c r="H151" s="14">
        <f t="shared" si="4"/>
        <v>0</v>
      </c>
      <c r="I151" s="14">
        <f t="shared" si="5"/>
        <v>0</v>
      </c>
      <c r="J151" s="8"/>
      <c r="K151" s="8"/>
    </row>
    <row r="152" spans="1:11" x14ac:dyDescent="0.2">
      <c r="A152" s="10">
        <v>44600000</v>
      </c>
      <c r="B152" s="10" t="s">
        <v>339</v>
      </c>
      <c r="C152" s="11">
        <v>0</v>
      </c>
      <c r="D152" s="11">
        <v>0</v>
      </c>
      <c r="E152" s="11">
        <v>0</v>
      </c>
      <c r="F152" s="11">
        <v>0</v>
      </c>
      <c r="G152" s="11">
        <v>0</v>
      </c>
      <c r="H152" s="14">
        <f t="shared" si="4"/>
        <v>0</v>
      </c>
      <c r="I152" s="14">
        <f t="shared" si="5"/>
        <v>0</v>
      </c>
      <c r="J152" s="8"/>
      <c r="K152" s="8"/>
    </row>
    <row r="153" spans="1:11" x14ac:dyDescent="0.2">
      <c r="A153" s="10">
        <v>44700000</v>
      </c>
      <c r="B153" s="10" t="s">
        <v>101</v>
      </c>
      <c r="C153" s="11">
        <v>0</v>
      </c>
      <c r="D153" s="11">
        <v>0</v>
      </c>
      <c r="E153" s="11">
        <v>0</v>
      </c>
      <c r="F153" s="11">
        <v>0</v>
      </c>
      <c r="G153" s="11">
        <v>0</v>
      </c>
      <c r="H153" s="14">
        <f t="shared" si="4"/>
        <v>0</v>
      </c>
      <c r="I153" s="14">
        <f t="shared" si="5"/>
        <v>0</v>
      </c>
      <c r="J153" s="8"/>
      <c r="K153" s="8"/>
    </row>
    <row r="154" spans="1:11" x14ac:dyDescent="0.2">
      <c r="A154" s="10">
        <v>45000000</v>
      </c>
      <c r="B154" s="10" t="s">
        <v>102</v>
      </c>
      <c r="C154" s="11">
        <v>-12699.999999999534</v>
      </c>
      <c r="D154" s="11">
        <v>0</v>
      </c>
      <c r="E154" s="11">
        <v>0</v>
      </c>
      <c r="F154" s="11">
        <v>0</v>
      </c>
      <c r="G154" s="11">
        <v>0</v>
      </c>
      <c r="H154" s="14">
        <f t="shared" si="4"/>
        <v>0</v>
      </c>
      <c r="I154" s="14">
        <f t="shared" si="5"/>
        <v>-12699.999999999534</v>
      </c>
      <c r="J154" s="8" t="s">
        <v>81</v>
      </c>
      <c r="K154" s="8"/>
    </row>
    <row r="155" spans="1:11" x14ac:dyDescent="0.2">
      <c r="A155" s="10">
        <v>45200000</v>
      </c>
      <c r="B155" s="10" t="s">
        <v>103</v>
      </c>
      <c r="C155" s="11">
        <v>0</v>
      </c>
      <c r="D155" s="11">
        <v>0</v>
      </c>
      <c r="E155" s="11">
        <v>0</v>
      </c>
      <c r="F155" s="11">
        <v>0</v>
      </c>
      <c r="G155" s="11">
        <v>0</v>
      </c>
      <c r="H155" s="14">
        <f t="shared" si="4"/>
        <v>0</v>
      </c>
      <c r="I155" s="14">
        <f t="shared" si="5"/>
        <v>0</v>
      </c>
      <c r="J155" s="8" t="s">
        <v>81</v>
      </c>
      <c r="K155" s="8"/>
    </row>
    <row r="156" spans="1:11" x14ac:dyDescent="0.2">
      <c r="A156" s="10">
        <v>45310000</v>
      </c>
      <c r="B156" s="10" t="s">
        <v>104</v>
      </c>
      <c r="C156" s="11">
        <v>-160416.17100000009</v>
      </c>
      <c r="D156" s="11">
        <v>172580.36000000002</v>
      </c>
      <c r="E156" s="11">
        <v>27438.063000000002</v>
      </c>
      <c r="F156" s="11">
        <v>0</v>
      </c>
      <c r="G156" s="11">
        <v>28787.492999999999</v>
      </c>
      <c r="H156" s="14">
        <f t="shared" si="4"/>
        <v>116354.80400000002</v>
      </c>
      <c r="I156" s="14">
        <f t="shared" si="5"/>
        <v>-44061.367000000071</v>
      </c>
      <c r="J156" s="8" t="s">
        <v>81</v>
      </c>
      <c r="K156" s="8"/>
    </row>
    <row r="157" spans="1:11" x14ac:dyDescent="0.2">
      <c r="A157" s="10">
        <v>45700000</v>
      </c>
      <c r="B157" s="10" t="s">
        <v>105</v>
      </c>
      <c r="C157" s="11">
        <v>5876</v>
      </c>
      <c r="D157" s="11">
        <v>1246.9680000000001</v>
      </c>
      <c r="E157" s="11">
        <v>0</v>
      </c>
      <c r="F157" s="11">
        <v>0</v>
      </c>
      <c r="G157" s="11">
        <v>0</v>
      </c>
      <c r="H157" s="14">
        <f t="shared" si="4"/>
        <v>1246.9680000000001</v>
      </c>
      <c r="I157" s="14">
        <f t="shared" si="5"/>
        <v>7122.9679999999998</v>
      </c>
      <c r="J157" s="8" t="s">
        <v>78</v>
      </c>
      <c r="K157" s="8"/>
    </row>
    <row r="158" spans="1:11" x14ac:dyDescent="0.2">
      <c r="A158" s="10">
        <v>45860000</v>
      </c>
      <c r="B158" s="10" t="s">
        <v>106</v>
      </c>
      <c r="C158" s="11">
        <v>-1266144.3035999993</v>
      </c>
      <c r="D158" s="11">
        <v>0</v>
      </c>
      <c r="E158" s="11">
        <v>0</v>
      </c>
      <c r="F158" s="11">
        <v>199656.864</v>
      </c>
      <c r="G158" s="11">
        <v>329333.95499999996</v>
      </c>
      <c r="H158" s="14">
        <f t="shared" si="4"/>
        <v>-129677.09099999996</v>
      </c>
      <c r="I158" s="14">
        <f t="shared" si="5"/>
        <v>-1395821.3945999993</v>
      </c>
      <c r="J158" s="8" t="s">
        <v>81</v>
      </c>
      <c r="K158" s="8"/>
    </row>
    <row r="159" spans="1:11" x14ac:dyDescent="0.2">
      <c r="A159" s="10">
        <v>45870000</v>
      </c>
      <c r="B159" s="10" t="s">
        <v>107</v>
      </c>
      <c r="C159" s="11">
        <v>19315.800000000003</v>
      </c>
      <c r="D159" s="11">
        <v>0</v>
      </c>
      <c r="E159" s="11">
        <v>0</v>
      </c>
      <c r="F159" s="11">
        <v>3242.453</v>
      </c>
      <c r="G159" s="11">
        <v>0</v>
      </c>
      <c r="H159" s="14">
        <f t="shared" si="4"/>
        <v>3242.453</v>
      </c>
      <c r="I159" s="14">
        <f t="shared" si="5"/>
        <v>22558.253000000004</v>
      </c>
      <c r="J159" s="8" t="s">
        <v>78</v>
      </c>
      <c r="K159" s="8"/>
    </row>
    <row r="160" spans="1:11" x14ac:dyDescent="0.2">
      <c r="A160" s="10">
        <v>46100000</v>
      </c>
      <c r="B160" s="10" t="s">
        <v>340</v>
      </c>
      <c r="C160" s="11">
        <v>0</v>
      </c>
      <c r="D160" s="11">
        <v>0</v>
      </c>
      <c r="E160" s="11">
        <v>0</v>
      </c>
      <c r="F160" s="11">
        <v>0</v>
      </c>
      <c r="G160" s="11">
        <v>0</v>
      </c>
      <c r="H160" s="14">
        <f t="shared" si="4"/>
        <v>0</v>
      </c>
      <c r="I160" s="14">
        <f t="shared" si="5"/>
        <v>0</v>
      </c>
      <c r="J160" s="8"/>
      <c r="K160" s="8"/>
    </row>
    <row r="161" spans="1:11" x14ac:dyDescent="0.2">
      <c r="A161" s="10">
        <v>46800000</v>
      </c>
      <c r="B161" s="10" t="s">
        <v>108</v>
      </c>
      <c r="C161" s="11">
        <v>0</v>
      </c>
      <c r="D161" s="11">
        <v>0</v>
      </c>
      <c r="E161" s="11">
        <v>0</v>
      </c>
      <c r="F161" s="11">
        <v>0</v>
      </c>
      <c r="G161" s="11">
        <v>0</v>
      </c>
      <c r="H161" s="14">
        <f t="shared" si="4"/>
        <v>0</v>
      </c>
      <c r="I161" s="14">
        <f t="shared" si="5"/>
        <v>0</v>
      </c>
      <c r="J161" s="8"/>
      <c r="K161" s="8"/>
    </row>
    <row r="162" spans="1:11" x14ac:dyDescent="0.2">
      <c r="A162" s="10">
        <v>47100000</v>
      </c>
      <c r="B162" s="10" t="s">
        <v>109</v>
      </c>
      <c r="C162" s="11">
        <v>158949.59024600015</v>
      </c>
      <c r="D162" s="11">
        <v>0</v>
      </c>
      <c r="E162" s="11">
        <v>0</v>
      </c>
      <c r="F162" s="11">
        <v>104376</v>
      </c>
      <c r="G162" s="11">
        <v>71597.051999999996</v>
      </c>
      <c r="H162" s="14">
        <f t="shared" si="4"/>
        <v>32778.948000000004</v>
      </c>
      <c r="I162" s="14">
        <f t="shared" si="5"/>
        <v>191728.53824600016</v>
      </c>
      <c r="J162" s="8" t="s">
        <v>78</v>
      </c>
      <c r="K162" s="8"/>
    </row>
    <row r="163" spans="1:11" x14ac:dyDescent="0.2">
      <c r="A163" s="10">
        <v>47200000</v>
      </c>
      <c r="B163" s="10" t="s">
        <v>341</v>
      </c>
      <c r="C163" s="11">
        <v>0</v>
      </c>
      <c r="D163" s="11">
        <v>0</v>
      </c>
      <c r="E163" s="11">
        <v>0</v>
      </c>
      <c r="F163" s="11">
        <v>0</v>
      </c>
      <c r="G163" s="11">
        <v>0</v>
      </c>
      <c r="H163" s="14">
        <f t="shared" si="4"/>
        <v>0</v>
      </c>
      <c r="I163" s="14">
        <f t="shared" si="5"/>
        <v>0</v>
      </c>
      <c r="J163" s="8"/>
      <c r="K163" s="8"/>
    </row>
    <row r="164" spans="1:11" x14ac:dyDescent="0.2">
      <c r="A164" s="10">
        <v>49100000</v>
      </c>
      <c r="B164" s="10" t="s">
        <v>110</v>
      </c>
      <c r="C164" s="11">
        <v>-457129.14999999991</v>
      </c>
      <c r="D164" s="11">
        <v>0</v>
      </c>
      <c r="E164" s="11">
        <v>0</v>
      </c>
      <c r="F164" s="11">
        <v>0</v>
      </c>
      <c r="G164" s="11">
        <v>0</v>
      </c>
      <c r="H164" s="14">
        <f t="shared" si="4"/>
        <v>0</v>
      </c>
      <c r="I164" s="14">
        <f t="shared" si="5"/>
        <v>-457129.14999999991</v>
      </c>
      <c r="J164" s="8" t="s">
        <v>111</v>
      </c>
      <c r="K164" s="8"/>
    </row>
    <row r="165" spans="1:11" x14ac:dyDescent="0.2">
      <c r="A165" s="10">
        <v>49600000</v>
      </c>
      <c r="B165" s="10" t="s">
        <v>112</v>
      </c>
      <c r="C165" s="11">
        <v>-288613.68499999994</v>
      </c>
      <c r="D165" s="11">
        <v>0</v>
      </c>
      <c r="E165" s="11">
        <v>0</v>
      </c>
      <c r="F165" s="11">
        <v>0</v>
      </c>
      <c r="G165" s="11">
        <v>0</v>
      </c>
      <c r="H165" s="14">
        <f t="shared" si="4"/>
        <v>0</v>
      </c>
      <c r="I165" s="14">
        <f t="shared" si="5"/>
        <v>-288613.68499999994</v>
      </c>
      <c r="J165" s="8" t="s">
        <v>113</v>
      </c>
      <c r="K165" s="8"/>
    </row>
    <row r="166" spans="1:11" x14ac:dyDescent="0.2">
      <c r="A166" s="10">
        <v>50130000</v>
      </c>
      <c r="B166" s="10" t="s">
        <v>114</v>
      </c>
      <c r="C166" s="11">
        <v>-6000000</v>
      </c>
      <c r="D166" s="11">
        <v>0</v>
      </c>
      <c r="E166" s="11">
        <v>0</v>
      </c>
      <c r="F166" s="11">
        <v>0</v>
      </c>
      <c r="G166" s="11">
        <v>0</v>
      </c>
      <c r="H166" s="14">
        <f t="shared" si="4"/>
        <v>0</v>
      </c>
      <c r="I166" s="14">
        <f t="shared" si="5"/>
        <v>-6000000</v>
      </c>
      <c r="J166" s="8" t="s">
        <v>115</v>
      </c>
      <c r="K166" s="8"/>
    </row>
    <row r="167" spans="1:11" x14ac:dyDescent="0.2">
      <c r="A167" s="10">
        <v>50140000</v>
      </c>
      <c r="B167" s="10" t="s">
        <v>116</v>
      </c>
      <c r="C167" s="11">
        <v>-4000000</v>
      </c>
      <c r="D167" s="11">
        <v>0</v>
      </c>
      <c r="E167" s="11">
        <v>0</v>
      </c>
      <c r="F167" s="11">
        <v>0</v>
      </c>
      <c r="G167" s="11">
        <v>0</v>
      </c>
      <c r="H167" s="14">
        <f t="shared" si="4"/>
        <v>0</v>
      </c>
      <c r="I167" s="14">
        <f t="shared" si="5"/>
        <v>-4000000</v>
      </c>
      <c r="J167" s="8" t="s">
        <v>115</v>
      </c>
      <c r="K167" s="8"/>
    </row>
    <row r="168" spans="1:11" x14ac:dyDescent="0.2">
      <c r="A168" s="10">
        <v>50500000</v>
      </c>
      <c r="B168" s="10" t="s">
        <v>117</v>
      </c>
      <c r="C168" s="11">
        <v>-312500.00400000135</v>
      </c>
      <c r="D168" s="11">
        <v>104166.66699999999</v>
      </c>
      <c r="E168" s="11">
        <v>0</v>
      </c>
      <c r="F168" s="11">
        <v>0</v>
      </c>
      <c r="G168" s="11">
        <v>0</v>
      </c>
      <c r="H168" s="14">
        <f t="shared" si="4"/>
        <v>104166.66699999999</v>
      </c>
      <c r="I168" s="14">
        <f t="shared" si="5"/>
        <v>-208333.33700000137</v>
      </c>
      <c r="J168" s="8" t="s">
        <v>115</v>
      </c>
      <c r="K168" s="8"/>
    </row>
    <row r="169" spans="1:11" x14ac:dyDescent="0.2">
      <c r="A169" s="10">
        <v>50515000</v>
      </c>
      <c r="B169" s="10" t="s">
        <v>118</v>
      </c>
      <c r="C169" s="11">
        <v>-59321.29400000014</v>
      </c>
      <c r="D169" s="11">
        <v>9602.8790000000008</v>
      </c>
      <c r="E169" s="11">
        <v>0</v>
      </c>
      <c r="F169" s="11">
        <v>0</v>
      </c>
      <c r="G169" s="11">
        <v>0</v>
      </c>
      <c r="H169" s="14">
        <f t="shared" si="4"/>
        <v>9602.8790000000008</v>
      </c>
      <c r="I169" s="14">
        <f t="shared" si="5"/>
        <v>-49718.415000000139</v>
      </c>
      <c r="J169" s="8" t="s">
        <v>115</v>
      </c>
      <c r="K169" s="8"/>
    </row>
    <row r="170" spans="1:11" x14ac:dyDescent="0.2">
      <c r="A170" s="10">
        <v>50610100</v>
      </c>
      <c r="B170" s="10" t="s">
        <v>342</v>
      </c>
      <c r="C170" s="11">
        <v>0</v>
      </c>
      <c r="D170" s="11">
        <v>0</v>
      </c>
      <c r="E170" s="11">
        <v>0</v>
      </c>
      <c r="F170" s="11">
        <v>0</v>
      </c>
      <c r="G170" s="11">
        <v>0</v>
      </c>
      <c r="H170" s="14">
        <f t="shared" si="4"/>
        <v>0</v>
      </c>
      <c r="I170" s="14">
        <f t="shared" si="5"/>
        <v>0</v>
      </c>
      <c r="J170" s="8"/>
      <c r="K170" s="8"/>
    </row>
    <row r="171" spans="1:11" x14ac:dyDescent="0.2">
      <c r="A171" s="10">
        <v>50610900</v>
      </c>
      <c r="B171" s="10" t="s">
        <v>119</v>
      </c>
      <c r="C171" s="11">
        <v>-835854.91832349997</v>
      </c>
      <c r="D171" s="11">
        <v>0</v>
      </c>
      <c r="E171" s="11">
        <v>512339.84399999992</v>
      </c>
      <c r="F171" s="11">
        <v>15761.423699999999</v>
      </c>
      <c r="G171" s="11">
        <v>27176.748800000001</v>
      </c>
      <c r="H171" s="14">
        <f t="shared" si="4"/>
        <v>-523755.16909999994</v>
      </c>
      <c r="I171" s="14">
        <f t="shared" si="5"/>
        <v>-1359610.0874234999</v>
      </c>
      <c r="J171" s="8" t="s">
        <v>115</v>
      </c>
      <c r="K171" s="8"/>
    </row>
    <row r="172" spans="1:11" x14ac:dyDescent="0.2">
      <c r="A172" s="10">
        <v>50630000</v>
      </c>
      <c r="B172" s="10" t="s">
        <v>343</v>
      </c>
      <c r="C172" s="11">
        <v>0</v>
      </c>
      <c r="D172" s="11">
        <v>0</v>
      </c>
      <c r="E172" s="11">
        <v>0</v>
      </c>
      <c r="F172" s="11">
        <v>0</v>
      </c>
      <c r="G172" s="11">
        <v>0</v>
      </c>
      <c r="H172" s="14">
        <f t="shared" si="4"/>
        <v>0</v>
      </c>
      <c r="I172" s="14">
        <f t="shared" si="5"/>
        <v>0</v>
      </c>
      <c r="J172" s="8"/>
      <c r="K172" s="8"/>
    </row>
    <row r="173" spans="1:11" x14ac:dyDescent="0.2">
      <c r="A173" s="10">
        <v>50800000</v>
      </c>
      <c r="B173" s="10" t="s">
        <v>344</v>
      </c>
      <c r="C173" s="11">
        <v>0</v>
      </c>
      <c r="D173" s="11">
        <v>0</v>
      </c>
      <c r="E173" s="11">
        <v>0</v>
      </c>
      <c r="F173" s="11">
        <v>0</v>
      </c>
      <c r="G173" s="11">
        <v>0</v>
      </c>
      <c r="H173" s="14">
        <f t="shared" si="4"/>
        <v>0</v>
      </c>
      <c r="I173" s="14">
        <f t="shared" si="5"/>
        <v>0</v>
      </c>
      <c r="J173" s="8" t="s">
        <v>115</v>
      </c>
      <c r="K173" s="8"/>
    </row>
    <row r="174" spans="1:11" x14ac:dyDescent="0.2">
      <c r="A174" s="10">
        <v>52000000</v>
      </c>
      <c r="B174" s="10" t="s">
        <v>345</v>
      </c>
      <c r="C174" s="11">
        <v>0</v>
      </c>
      <c r="D174" s="11">
        <v>0</v>
      </c>
      <c r="E174" s="11">
        <v>0</v>
      </c>
      <c r="F174" s="11">
        <v>0</v>
      </c>
      <c r="G174" s="11">
        <v>0</v>
      </c>
      <c r="H174" s="14">
        <f t="shared" si="4"/>
        <v>0</v>
      </c>
      <c r="I174" s="14">
        <f t="shared" si="5"/>
        <v>0</v>
      </c>
      <c r="J174" s="8"/>
      <c r="K174" s="8"/>
    </row>
    <row r="175" spans="1:11" x14ac:dyDescent="0.2">
      <c r="A175" s="10">
        <v>52001100</v>
      </c>
      <c r="B175" s="10" t="s">
        <v>346</v>
      </c>
      <c r="C175" s="11">
        <v>0</v>
      </c>
      <c r="D175" s="11">
        <v>0</v>
      </c>
      <c r="E175" s="11">
        <v>0</v>
      </c>
      <c r="F175" s="11">
        <v>0</v>
      </c>
      <c r="G175" s="11">
        <v>0</v>
      </c>
      <c r="H175" s="14">
        <f t="shared" si="4"/>
        <v>0</v>
      </c>
      <c r="I175" s="14">
        <f t="shared" si="5"/>
        <v>0</v>
      </c>
      <c r="J175" s="8"/>
      <c r="K175" s="8"/>
    </row>
    <row r="176" spans="1:11" x14ac:dyDescent="0.2">
      <c r="A176" s="10">
        <v>53140000</v>
      </c>
      <c r="B176" s="10" t="s">
        <v>347</v>
      </c>
      <c r="C176" s="11">
        <v>0</v>
      </c>
      <c r="D176" s="11">
        <v>0</v>
      </c>
      <c r="E176" s="11">
        <v>0</v>
      </c>
      <c r="F176" s="11">
        <v>0</v>
      </c>
      <c r="G176" s="11">
        <v>0</v>
      </c>
      <c r="H176" s="14">
        <f t="shared" si="4"/>
        <v>0</v>
      </c>
      <c r="I176" s="14">
        <f t="shared" si="5"/>
        <v>0</v>
      </c>
      <c r="J176" s="8"/>
      <c r="K176" s="8"/>
    </row>
    <row r="177" spans="1:11" x14ac:dyDescent="0.2">
      <c r="A177" s="10">
        <v>53200000</v>
      </c>
      <c r="B177" s="10" t="s">
        <v>120</v>
      </c>
      <c r="C177" s="11">
        <v>105208.70999999996</v>
      </c>
      <c r="D177" s="11">
        <v>2803373.7369999997</v>
      </c>
      <c r="E177" s="11">
        <v>2827053.7369999997</v>
      </c>
      <c r="F177" s="11">
        <v>0</v>
      </c>
      <c r="G177" s="11">
        <v>0</v>
      </c>
      <c r="H177" s="14">
        <f t="shared" si="4"/>
        <v>-23680</v>
      </c>
      <c r="I177" s="14">
        <f t="shared" si="5"/>
        <v>81528.709999999963</v>
      </c>
      <c r="J177" s="8" t="s">
        <v>121</v>
      </c>
      <c r="K177" s="8"/>
    </row>
    <row r="178" spans="1:11" x14ac:dyDescent="0.2">
      <c r="A178" s="10">
        <v>53201000</v>
      </c>
      <c r="B178" s="10" t="s">
        <v>348</v>
      </c>
      <c r="C178" s="11">
        <v>0</v>
      </c>
      <c r="D178" s="11">
        <v>0</v>
      </c>
      <c r="E178" s="11">
        <v>0</v>
      </c>
      <c r="F178" s="11">
        <v>0</v>
      </c>
      <c r="G178" s="11">
        <v>0</v>
      </c>
      <c r="H178" s="14">
        <f t="shared" si="4"/>
        <v>0</v>
      </c>
      <c r="I178" s="14">
        <f t="shared" si="5"/>
        <v>0</v>
      </c>
      <c r="J178" s="8"/>
      <c r="K178" s="8"/>
    </row>
    <row r="179" spans="1:11" x14ac:dyDescent="0.2">
      <c r="A179" s="10">
        <v>53202000</v>
      </c>
      <c r="B179" s="10" t="s">
        <v>122</v>
      </c>
      <c r="C179" s="11">
        <v>435.74199999962002</v>
      </c>
      <c r="D179" s="11">
        <v>0</v>
      </c>
      <c r="E179" s="11">
        <v>0</v>
      </c>
      <c r="F179" s="11">
        <v>0</v>
      </c>
      <c r="G179" s="11">
        <v>0</v>
      </c>
      <c r="H179" s="14">
        <f t="shared" si="4"/>
        <v>0</v>
      </c>
      <c r="I179" s="14">
        <f t="shared" si="5"/>
        <v>435.74199999962002</v>
      </c>
      <c r="J179" s="8" t="s">
        <v>121</v>
      </c>
      <c r="K179" s="8"/>
    </row>
    <row r="180" spans="1:11" x14ac:dyDescent="0.2">
      <c r="A180" s="10">
        <v>53203000</v>
      </c>
      <c r="B180" s="10" t="s">
        <v>349</v>
      </c>
      <c r="C180" s="11">
        <v>108463.524</v>
      </c>
      <c r="D180" s="11">
        <v>248680</v>
      </c>
      <c r="E180" s="11">
        <v>257045.34599999999</v>
      </c>
      <c r="F180" s="11">
        <v>0</v>
      </c>
      <c r="G180" s="11">
        <v>0</v>
      </c>
      <c r="H180" s="14">
        <f t="shared" si="4"/>
        <v>-8365.3459999999905</v>
      </c>
      <c r="I180" s="14">
        <f t="shared" si="5"/>
        <v>100098.17800000001</v>
      </c>
      <c r="J180" s="8" t="s">
        <v>121</v>
      </c>
      <c r="K180" s="8"/>
    </row>
    <row r="181" spans="1:11" x14ac:dyDescent="0.2">
      <c r="A181" s="10">
        <v>53204000</v>
      </c>
      <c r="B181" s="10" t="s">
        <v>350</v>
      </c>
      <c r="C181" s="11">
        <v>0</v>
      </c>
      <c r="D181" s="11">
        <v>0</v>
      </c>
      <c r="E181" s="11">
        <v>0</v>
      </c>
      <c r="F181" s="11">
        <v>0</v>
      </c>
      <c r="G181" s="11">
        <v>0</v>
      </c>
      <c r="H181" s="14">
        <f t="shared" si="4"/>
        <v>0</v>
      </c>
      <c r="I181" s="14">
        <f t="shared" si="5"/>
        <v>0</v>
      </c>
      <c r="J181" s="8"/>
      <c r="K181" s="8"/>
    </row>
    <row r="182" spans="1:11" x14ac:dyDescent="0.2">
      <c r="A182" s="10">
        <v>53204100</v>
      </c>
      <c r="B182" s="10" t="s">
        <v>351</v>
      </c>
      <c r="C182" s="11">
        <v>0</v>
      </c>
      <c r="D182" s="11">
        <v>0</v>
      </c>
      <c r="E182" s="11">
        <v>0</v>
      </c>
      <c r="F182" s="11">
        <v>0</v>
      </c>
      <c r="G182" s="11">
        <v>0</v>
      </c>
      <c r="H182" s="14">
        <f t="shared" si="4"/>
        <v>0</v>
      </c>
      <c r="I182" s="14">
        <f t="shared" si="5"/>
        <v>0</v>
      </c>
      <c r="J182" s="8"/>
      <c r="K182" s="8"/>
    </row>
    <row r="183" spans="1:11" x14ac:dyDescent="0.2">
      <c r="A183" s="10">
        <v>53204500</v>
      </c>
      <c r="B183" s="10" t="s">
        <v>123</v>
      </c>
      <c r="C183" s="11">
        <v>5874.02</v>
      </c>
      <c r="D183" s="11">
        <v>0</v>
      </c>
      <c r="E183" s="11">
        <v>0</v>
      </c>
      <c r="F183" s="11">
        <v>0</v>
      </c>
      <c r="G183" s="11">
        <v>0</v>
      </c>
      <c r="H183" s="14">
        <f t="shared" si="4"/>
        <v>0</v>
      </c>
      <c r="I183" s="14">
        <f t="shared" si="5"/>
        <v>5874.02</v>
      </c>
      <c r="J183" s="8" t="s">
        <v>121</v>
      </c>
      <c r="K183" s="8"/>
    </row>
    <row r="184" spans="1:11" x14ac:dyDescent="0.2">
      <c r="A184" s="10">
        <v>53205000</v>
      </c>
      <c r="B184" s="10" t="s">
        <v>124</v>
      </c>
      <c r="C184" s="11">
        <v>5370.362999977111</v>
      </c>
      <c r="D184" s="11">
        <v>7555.6730000000007</v>
      </c>
      <c r="E184" s="11">
        <v>0.95199999999999996</v>
      </c>
      <c r="F184" s="11">
        <v>0</v>
      </c>
      <c r="G184" s="11">
        <v>0</v>
      </c>
      <c r="H184" s="14">
        <f t="shared" si="4"/>
        <v>7554.7210000000005</v>
      </c>
      <c r="I184" s="14">
        <f t="shared" si="5"/>
        <v>12925.083999977112</v>
      </c>
      <c r="J184" s="8" t="s">
        <v>121</v>
      </c>
      <c r="K184" s="8"/>
    </row>
    <row r="185" spans="1:11" x14ac:dyDescent="0.2">
      <c r="A185" s="10">
        <v>53205300</v>
      </c>
      <c r="B185" s="10" t="s">
        <v>125</v>
      </c>
      <c r="C185" s="11">
        <v>0</v>
      </c>
      <c r="D185" s="11">
        <v>0</v>
      </c>
      <c r="E185" s="11">
        <v>0</v>
      </c>
      <c r="F185" s="11">
        <v>0</v>
      </c>
      <c r="G185" s="11">
        <v>0</v>
      </c>
      <c r="H185" s="14">
        <f t="shared" si="4"/>
        <v>0</v>
      </c>
      <c r="I185" s="14">
        <f t="shared" si="5"/>
        <v>0</v>
      </c>
      <c r="J185" s="8" t="s">
        <v>121</v>
      </c>
      <c r="K185" s="8"/>
    </row>
    <row r="186" spans="1:11" x14ac:dyDescent="0.2">
      <c r="A186" s="10">
        <v>53205400</v>
      </c>
      <c r="B186" s="10" t="s">
        <v>126</v>
      </c>
      <c r="C186" s="11">
        <v>0</v>
      </c>
      <c r="D186" s="11">
        <v>0</v>
      </c>
      <c r="E186" s="11">
        <v>0</v>
      </c>
      <c r="F186" s="11">
        <v>0</v>
      </c>
      <c r="G186" s="11">
        <v>0</v>
      </c>
      <c r="H186" s="14">
        <f t="shared" si="4"/>
        <v>0</v>
      </c>
      <c r="I186" s="14">
        <f t="shared" si="5"/>
        <v>0</v>
      </c>
      <c r="J186" s="8"/>
      <c r="K186" s="8"/>
    </row>
    <row r="187" spans="1:11" x14ac:dyDescent="0.2">
      <c r="A187" s="10">
        <v>53205500</v>
      </c>
      <c r="B187" s="10" t="s">
        <v>127</v>
      </c>
      <c r="C187" s="11">
        <v>0</v>
      </c>
      <c r="D187" s="11">
        <v>0</v>
      </c>
      <c r="E187" s="11">
        <v>0</v>
      </c>
      <c r="F187" s="11">
        <v>0</v>
      </c>
      <c r="G187" s="11">
        <v>0</v>
      </c>
      <c r="H187" s="14">
        <f t="shared" si="4"/>
        <v>0</v>
      </c>
      <c r="I187" s="14">
        <f t="shared" si="5"/>
        <v>0</v>
      </c>
      <c r="J187" s="8"/>
      <c r="K187" s="8"/>
    </row>
    <row r="188" spans="1:11" x14ac:dyDescent="0.2">
      <c r="A188" s="10">
        <v>53205600</v>
      </c>
      <c r="B188" s="10" t="s">
        <v>128</v>
      </c>
      <c r="C188" s="11">
        <v>-5018716.5539999362</v>
      </c>
      <c r="D188" s="11">
        <v>2964113.8</v>
      </c>
      <c r="E188" s="11">
        <v>1690047.2650000001</v>
      </c>
      <c r="F188" s="11">
        <v>0</v>
      </c>
      <c r="G188" s="11">
        <v>0</v>
      </c>
      <c r="H188" s="14">
        <f t="shared" si="4"/>
        <v>1274066.5349999997</v>
      </c>
      <c r="I188" s="14">
        <f t="shared" si="5"/>
        <v>-3744650.0189999365</v>
      </c>
      <c r="J188" s="8" t="s">
        <v>115</v>
      </c>
      <c r="K188" s="8"/>
    </row>
    <row r="189" spans="1:11" x14ac:dyDescent="0.2">
      <c r="A189" s="10">
        <v>53205700</v>
      </c>
      <c r="B189" s="10" t="s">
        <v>129</v>
      </c>
      <c r="C189" s="11">
        <v>899107.8787222025</v>
      </c>
      <c r="D189" s="11">
        <v>1204685.2390000001</v>
      </c>
      <c r="E189" s="11">
        <v>1459334.6300000001</v>
      </c>
      <c r="F189" s="11">
        <v>34549.095999999998</v>
      </c>
      <c r="G189" s="11">
        <v>122168.898</v>
      </c>
      <c r="H189" s="14">
        <f t="shared" si="4"/>
        <v>-342269.19300000014</v>
      </c>
      <c r="I189" s="14">
        <f t="shared" si="5"/>
        <v>556838.6857222023</v>
      </c>
      <c r="J189" s="8" t="s">
        <v>121</v>
      </c>
      <c r="K189" s="8"/>
    </row>
    <row r="190" spans="1:11" x14ac:dyDescent="0.2">
      <c r="A190" s="10">
        <v>53205800</v>
      </c>
      <c r="B190" s="10" t="s">
        <v>130</v>
      </c>
      <c r="C190" s="11">
        <v>459663.43400000036</v>
      </c>
      <c r="D190" s="11">
        <v>0</v>
      </c>
      <c r="E190" s="11">
        <v>427801.29299999995</v>
      </c>
      <c r="F190" s="11">
        <v>55135.834000000003</v>
      </c>
      <c r="G190" s="11">
        <v>0</v>
      </c>
      <c r="H190" s="14">
        <f t="shared" si="4"/>
        <v>-372665.45899999992</v>
      </c>
      <c r="I190" s="14">
        <f t="shared" si="5"/>
        <v>86997.975000000442</v>
      </c>
      <c r="J190" s="8" t="s">
        <v>121</v>
      </c>
      <c r="K190" s="8"/>
    </row>
    <row r="191" spans="1:11" x14ac:dyDescent="0.2">
      <c r="A191" s="10">
        <v>53207000</v>
      </c>
      <c r="B191" s="10" t="s">
        <v>352</v>
      </c>
      <c r="C191" s="11">
        <v>0</v>
      </c>
      <c r="D191" s="11">
        <v>0</v>
      </c>
      <c r="E191" s="11">
        <v>0</v>
      </c>
      <c r="F191" s="11">
        <v>0</v>
      </c>
      <c r="G191" s="11">
        <v>0</v>
      </c>
      <c r="H191" s="14">
        <f t="shared" si="4"/>
        <v>0</v>
      </c>
      <c r="I191" s="14">
        <f t="shared" si="5"/>
        <v>0</v>
      </c>
      <c r="J191" s="8"/>
      <c r="K191" s="8"/>
    </row>
    <row r="192" spans="1:11" x14ac:dyDescent="0.2">
      <c r="A192" s="10">
        <v>53207100</v>
      </c>
      <c r="B192" s="10" t="s">
        <v>353</v>
      </c>
      <c r="C192" s="11">
        <v>0</v>
      </c>
      <c r="D192" s="11">
        <v>0</v>
      </c>
      <c r="E192" s="11">
        <v>0</v>
      </c>
      <c r="F192" s="11">
        <v>0</v>
      </c>
      <c r="G192" s="11">
        <v>0</v>
      </c>
      <c r="H192" s="14">
        <f t="shared" si="4"/>
        <v>0</v>
      </c>
      <c r="I192" s="14">
        <f t="shared" si="5"/>
        <v>0</v>
      </c>
      <c r="J192" s="8"/>
      <c r="K192" s="8"/>
    </row>
    <row r="193" spans="1:11" x14ac:dyDescent="0.2">
      <c r="A193" s="10">
        <v>53207200</v>
      </c>
      <c r="B193" s="10" t="s">
        <v>354</v>
      </c>
      <c r="C193" s="11">
        <v>0</v>
      </c>
      <c r="D193" s="11">
        <v>0</v>
      </c>
      <c r="E193" s="11">
        <v>0</v>
      </c>
      <c r="F193" s="11">
        <v>0</v>
      </c>
      <c r="G193" s="11">
        <v>0</v>
      </c>
      <c r="H193" s="14">
        <f t="shared" si="4"/>
        <v>0</v>
      </c>
      <c r="I193" s="14">
        <f t="shared" si="5"/>
        <v>0</v>
      </c>
      <c r="J193" s="8"/>
      <c r="K193" s="8"/>
    </row>
    <row r="194" spans="1:11" x14ac:dyDescent="0.2">
      <c r="A194" s="10">
        <v>53208000</v>
      </c>
      <c r="B194" s="10" t="s">
        <v>355</v>
      </c>
      <c r="C194" s="11">
        <v>485.66199999954551</v>
      </c>
      <c r="D194" s="11">
        <v>0</v>
      </c>
      <c r="E194" s="11">
        <v>0</v>
      </c>
      <c r="F194" s="11">
        <v>0</v>
      </c>
      <c r="G194" s="11">
        <v>0</v>
      </c>
      <c r="H194" s="14">
        <f t="shared" si="4"/>
        <v>0</v>
      </c>
      <c r="I194" s="14">
        <f t="shared" si="5"/>
        <v>485.66199999954551</v>
      </c>
      <c r="J194" s="8" t="s">
        <v>121</v>
      </c>
      <c r="K194" s="8"/>
    </row>
    <row r="195" spans="1:11" x14ac:dyDescent="0.2">
      <c r="A195" s="10">
        <v>53208100</v>
      </c>
      <c r="B195" s="10" t="s">
        <v>356</v>
      </c>
      <c r="C195" s="11">
        <v>0</v>
      </c>
      <c r="D195" s="11">
        <v>0</v>
      </c>
      <c r="E195" s="11">
        <v>0</v>
      </c>
      <c r="F195" s="11">
        <v>0</v>
      </c>
      <c r="G195" s="11">
        <v>0</v>
      </c>
      <c r="H195" s="14">
        <f t="shared" ref="H195:H258" si="6">D195+F195-E195-G195</f>
        <v>0</v>
      </c>
      <c r="I195" s="14">
        <f t="shared" ref="I195:I258" si="7">C195+H195</f>
        <v>0</v>
      </c>
      <c r="J195" s="8"/>
      <c r="K195" s="8"/>
    </row>
    <row r="196" spans="1:11" x14ac:dyDescent="0.2">
      <c r="A196" s="10">
        <v>53208500</v>
      </c>
      <c r="B196" s="10" t="s">
        <v>357</v>
      </c>
      <c r="C196" s="11">
        <v>0</v>
      </c>
      <c r="D196" s="11">
        <v>0</v>
      </c>
      <c r="E196" s="11">
        <v>0</v>
      </c>
      <c r="F196" s="11">
        <v>0</v>
      </c>
      <c r="G196" s="11">
        <v>0</v>
      </c>
      <c r="H196" s="14">
        <f t="shared" si="6"/>
        <v>0</v>
      </c>
      <c r="I196" s="14">
        <f t="shared" si="7"/>
        <v>0</v>
      </c>
      <c r="J196" s="8"/>
      <c r="K196" s="8"/>
    </row>
    <row r="197" spans="1:11" x14ac:dyDescent="0.2">
      <c r="A197" s="10">
        <v>54000000</v>
      </c>
      <c r="B197" s="10" t="s">
        <v>358</v>
      </c>
      <c r="C197" s="11">
        <v>0</v>
      </c>
      <c r="D197" s="11">
        <v>0</v>
      </c>
      <c r="E197" s="11">
        <v>0</v>
      </c>
      <c r="F197" s="11">
        <v>0</v>
      </c>
      <c r="G197" s="11">
        <v>0</v>
      </c>
      <c r="H197" s="14">
        <f t="shared" si="6"/>
        <v>0</v>
      </c>
      <c r="I197" s="14">
        <f t="shared" si="7"/>
        <v>0</v>
      </c>
      <c r="J197" s="8"/>
      <c r="K197" s="8"/>
    </row>
    <row r="198" spans="1:11" x14ac:dyDescent="0.2">
      <c r="A198" s="10">
        <v>54100000</v>
      </c>
      <c r="B198" s="10" t="s">
        <v>131</v>
      </c>
      <c r="C198" s="11">
        <v>0</v>
      </c>
      <c r="D198" s="11">
        <v>4679.5209999999997</v>
      </c>
      <c r="E198" s="11">
        <v>4679.5209999999997</v>
      </c>
      <c r="F198" s="11">
        <v>0</v>
      </c>
      <c r="G198" s="11">
        <v>0</v>
      </c>
      <c r="H198" s="14">
        <f t="shared" si="6"/>
        <v>0</v>
      </c>
      <c r="I198" s="14">
        <f t="shared" si="7"/>
        <v>0</v>
      </c>
      <c r="J198" s="8" t="s">
        <v>115</v>
      </c>
      <c r="K198" s="8"/>
    </row>
    <row r="199" spans="1:11" x14ac:dyDescent="0.2">
      <c r="A199" s="10">
        <v>54300000</v>
      </c>
      <c r="B199" s="10" t="s">
        <v>359</v>
      </c>
      <c r="C199" s="11">
        <v>0</v>
      </c>
      <c r="D199" s="11">
        <v>0</v>
      </c>
      <c r="E199" s="11">
        <v>0</v>
      </c>
      <c r="F199" s="11">
        <v>0</v>
      </c>
      <c r="G199" s="11">
        <v>0</v>
      </c>
      <c r="H199" s="14">
        <f t="shared" si="6"/>
        <v>0</v>
      </c>
      <c r="I199" s="14">
        <f t="shared" si="7"/>
        <v>0</v>
      </c>
      <c r="J199" s="8"/>
      <c r="K199" s="8"/>
    </row>
    <row r="200" spans="1:11" x14ac:dyDescent="0.2">
      <c r="A200" s="10">
        <v>55010000</v>
      </c>
      <c r="B200" s="10" t="s">
        <v>132</v>
      </c>
      <c r="C200" s="11">
        <v>3000</v>
      </c>
      <c r="D200" s="11">
        <v>0</v>
      </c>
      <c r="E200" s="11">
        <v>0</v>
      </c>
      <c r="F200" s="11">
        <v>0</v>
      </c>
      <c r="G200" s="11">
        <v>0</v>
      </c>
      <c r="H200" s="14">
        <f t="shared" si="6"/>
        <v>0</v>
      </c>
      <c r="I200" s="14">
        <f t="shared" si="7"/>
        <v>3000</v>
      </c>
      <c r="J200" s="8" t="s">
        <v>121</v>
      </c>
      <c r="K200" s="8"/>
    </row>
    <row r="201" spans="1:11" x14ac:dyDescent="0.2">
      <c r="A201" s="10">
        <v>55011000</v>
      </c>
      <c r="B201" s="10" t="s">
        <v>133</v>
      </c>
      <c r="C201" s="11">
        <v>0</v>
      </c>
      <c r="D201" s="11">
        <v>0</v>
      </c>
      <c r="E201" s="11">
        <v>0</v>
      </c>
      <c r="F201" s="11">
        <v>0</v>
      </c>
      <c r="G201" s="11">
        <v>0</v>
      </c>
      <c r="H201" s="14">
        <f t="shared" si="6"/>
        <v>0</v>
      </c>
      <c r="I201" s="14">
        <f t="shared" si="7"/>
        <v>0</v>
      </c>
      <c r="J201" s="8" t="s">
        <v>121</v>
      </c>
      <c r="K201" s="8"/>
    </row>
    <row r="202" spans="1:11" x14ac:dyDescent="0.2">
      <c r="A202" s="10">
        <v>58000000</v>
      </c>
      <c r="B202" s="10" t="s">
        <v>134</v>
      </c>
      <c r="C202" s="11">
        <v>0</v>
      </c>
      <c r="D202" s="11">
        <v>0</v>
      </c>
      <c r="E202" s="11">
        <v>0</v>
      </c>
      <c r="F202" s="11">
        <v>0</v>
      </c>
      <c r="G202" s="11">
        <v>0</v>
      </c>
      <c r="H202" s="14">
        <f t="shared" si="6"/>
        <v>0</v>
      </c>
      <c r="I202" s="14">
        <f t="shared" si="7"/>
        <v>0</v>
      </c>
      <c r="J202" s="8" t="s">
        <v>121</v>
      </c>
      <c r="K202" s="8"/>
    </row>
    <row r="203" spans="1:11" x14ac:dyDescent="0.2">
      <c r="A203" s="10">
        <v>58001000</v>
      </c>
      <c r="B203" s="10" t="s">
        <v>135</v>
      </c>
      <c r="C203" s="11">
        <v>-1.9999593496322632E-4</v>
      </c>
      <c r="D203" s="11">
        <v>0</v>
      </c>
      <c r="E203" s="11">
        <v>0</v>
      </c>
      <c r="F203" s="11">
        <v>0</v>
      </c>
      <c r="G203" s="11">
        <v>0</v>
      </c>
      <c r="H203" s="14">
        <f t="shared" si="6"/>
        <v>0</v>
      </c>
      <c r="I203" s="14">
        <f t="shared" si="7"/>
        <v>-1.9999593496322632E-4</v>
      </c>
      <c r="J203" s="8"/>
      <c r="K203" s="8"/>
    </row>
    <row r="204" spans="1:11" x14ac:dyDescent="0.2">
      <c r="A204" s="10">
        <v>58002000</v>
      </c>
      <c r="B204" s="10" t="s">
        <v>360</v>
      </c>
      <c r="C204" s="11">
        <v>0</v>
      </c>
      <c r="D204" s="11">
        <v>0</v>
      </c>
      <c r="E204" s="11">
        <v>0</v>
      </c>
      <c r="F204" s="11">
        <v>0</v>
      </c>
      <c r="G204" s="11">
        <v>0</v>
      </c>
      <c r="H204" s="14">
        <f t="shared" si="6"/>
        <v>0</v>
      </c>
      <c r="I204" s="14">
        <f t="shared" si="7"/>
        <v>0</v>
      </c>
      <c r="J204" s="8"/>
      <c r="K204" s="8"/>
    </row>
    <row r="205" spans="1:11" x14ac:dyDescent="0.2">
      <c r="A205" s="10">
        <v>58003000</v>
      </c>
      <c r="B205" s="10" t="s">
        <v>136</v>
      </c>
      <c r="C205" s="11">
        <v>1.0100007057189941E-4</v>
      </c>
      <c r="D205" s="11">
        <v>437996.40200000006</v>
      </c>
      <c r="E205" s="11">
        <v>437996.40200000006</v>
      </c>
      <c r="F205" s="11">
        <v>0</v>
      </c>
      <c r="G205" s="11">
        <v>0</v>
      </c>
      <c r="H205" s="14">
        <f t="shared" si="6"/>
        <v>0</v>
      </c>
      <c r="I205" s="14">
        <f t="shared" si="7"/>
        <v>1.0100007057189941E-4</v>
      </c>
      <c r="J205" s="8"/>
      <c r="K205" s="8"/>
    </row>
    <row r="206" spans="1:11" x14ac:dyDescent="0.2">
      <c r="A206" s="10">
        <v>58004000</v>
      </c>
      <c r="B206" s="10" t="s">
        <v>361</v>
      </c>
      <c r="C206" s="11">
        <v>0</v>
      </c>
      <c r="D206" s="11">
        <v>0</v>
      </c>
      <c r="E206" s="11">
        <v>0</v>
      </c>
      <c r="F206" s="11">
        <v>0</v>
      </c>
      <c r="G206" s="11">
        <v>0</v>
      </c>
      <c r="H206" s="14">
        <f t="shared" si="6"/>
        <v>0</v>
      </c>
      <c r="I206" s="14">
        <f t="shared" si="7"/>
        <v>0</v>
      </c>
      <c r="J206" s="8"/>
      <c r="K206" s="8"/>
    </row>
    <row r="207" spans="1:11" x14ac:dyDescent="0.2">
      <c r="A207" s="10">
        <v>58005000</v>
      </c>
      <c r="B207" s="10" t="s">
        <v>362</v>
      </c>
      <c r="C207" s="11">
        <v>3.8483738899230957E-4</v>
      </c>
      <c r="D207" s="11">
        <v>1817673.716</v>
      </c>
      <c r="E207" s="11">
        <v>1817673.716</v>
      </c>
      <c r="F207" s="11">
        <v>0</v>
      </c>
      <c r="G207" s="11">
        <v>0</v>
      </c>
      <c r="H207" s="14">
        <f t="shared" si="6"/>
        <v>0</v>
      </c>
      <c r="I207" s="14">
        <f t="shared" si="7"/>
        <v>3.8483738899230957E-4</v>
      </c>
      <c r="J207" s="8" t="s">
        <v>121</v>
      </c>
      <c r="K207" s="8"/>
    </row>
    <row r="208" spans="1:11" x14ac:dyDescent="0.2">
      <c r="A208" s="10">
        <v>60110210</v>
      </c>
      <c r="B208" s="10" t="s">
        <v>137</v>
      </c>
      <c r="C208" s="11">
        <v>968984.2361000001</v>
      </c>
      <c r="D208" s="11">
        <v>91805.592894000001</v>
      </c>
      <c r="E208" s="11">
        <v>0</v>
      </c>
      <c r="F208" s="11">
        <v>0</v>
      </c>
      <c r="G208" s="11">
        <v>0</v>
      </c>
      <c r="H208" s="14">
        <f t="shared" si="6"/>
        <v>91805.592894000001</v>
      </c>
      <c r="I208" s="14">
        <f t="shared" si="7"/>
        <v>1060789.8289940001</v>
      </c>
      <c r="J208" s="8" t="s">
        <v>138</v>
      </c>
      <c r="K208" s="8" t="s">
        <v>509</v>
      </c>
    </row>
    <row r="209" spans="1:11" x14ac:dyDescent="0.2">
      <c r="A209" s="10">
        <v>60110211</v>
      </c>
      <c r="B209" s="10" t="s">
        <v>363</v>
      </c>
      <c r="C209" s="11">
        <v>148362.380443</v>
      </c>
      <c r="D209" s="11">
        <v>0</v>
      </c>
      <c r="E209" s="11">
        <v>0</v>
      </c>
      <c r="F209" s="11">
        <v>0</v>
      </c>
      <c r="G209" s="11">
        <v>0</v>
      </c>
      <c r="H209" s="14">
        <f t="shared" si="6"/>
        <v>0</v>
      </c>
      <c r="I209" s="14">
        <f t="shared" si="7"/>
        <v>148362.380443</v>
      </c>
      <c r="J209" s="8" t="s">
        <v>138</v>
      </c>
      <c r="K209" s="8" t="s">
        <v>509</v>
      </c>
    </row>
    <row r="210" spans="1:11" x14ac:dyDescent="0.2">
      <c r="A210" s="10">
        <v>60110212</v>
      </c>
      <c r="B210" s="10" t="s">
        <v>7391</v>
      </c>
      <c r="C210" s="11">
        <v>20941.896000000001</v>
      </c>
      <c r="D210" s="11">
        <v>0</v>
      </c>
      <c r="E210" s="11">
        <v>0</v>
      </c>
      <c r="F210" s="11">
        <v>0</v>
      </c>
      <c r="G210" s="11">
        <v>0</v>
      </c>
      <c r="H210" s="14">
        <f t="shared" si="6"/>
        <v>0</v>
      </c>
      <c r="I210" s="14">
        <f t="shared" si="7"/>
        <v>20941.896000000001</v>
      </c>
      <c r="J210" s="8" t="s">
        <v>138</v>
      </c>
      <c r="K210" s="8" t="s">
        <v>509</v>
      </c>
    </row>
    <row r="211" spans="1:11" x14ac:dyDescent="0.2">
      <c r="A211" s="10">
        <v>60110213</v>
      </c>
      <c r="B211" s="10" t="s">
        <v>364</v>
      </c>
      <c r="C211" s="11">
        <v>6060</v>
      </c>
      <c r="D211" s="11">
        <v>0</v>
      </c>
      <c r="E211" s="11">
        <v>0</v>
      </c>
      <c r="F211" s="11">
        <v>0</v>
      </c>
      <c r="G211" s="11">
        <v>0</v>
      </c>
      <c r="H211" s="14">
        <f t="shared" si="6"/>
        <v>0</v>
      </c>
      <c r="I211" s="14">
        <f t="shared" si="7"/>
        <v>6060</v>
      </c>
      <c r="J211" s="8" t="s">
        <v>138</v>
      </c>
      <c r="K211" s="8" t="s">
        <v>509</v>
      </c>
    </row>
    <row r="212" spans="1:11" x14ac:dyDescent="0.2">
      <c r="A212" s="10">
        <v>60110220</v>
      </c>
      <c r="B212" s="10" t="s">
        <v>139</v>
      </c>
      <c r="C212" s="11">
        <v>1236088.4148179998</v>
      </c>
      <c r="D212" s="11">
        <v>249418.79134349999</v>
      </c>
      <c r="E212" s="11">
        <v>0</v>
      </c>
      <c r="F212" s="11">
        <v>0</v>
      </c>
      <c r="G212" s="11">
        <v>0</v>
      </c>
      <c r="H212" s="14">
        <f t="shared" si="6"/>
        <v>249418.79134349999</v>
      </c>
      <c r="I212" s="14">
        <f t="shared" si="7"/>
        <v>1485507.2061614997</v>
      </c>
      <c r="J212" s="8" t="s">
        <v>138</v>
      </c>
      <c r="K212" s="8" t="s">
        <v>509</v>
      </c>
    </row>
    <row r="213" spans="1:11" x14ac:dyDescent="0.2">
      <c r="A213" s="10">
        <v>60110300</v>
      </c>
      <c r="B213" s="10" t="s">
        <v>140</v>
      </c>
      <c r="C213" s="11">
        <v>111341.39767499999</v>
      </c>
      <c r="D213" s="11">
        <v>0</v>
      </c>
      <c r="E213" s="11">
        <v>0</v>
      </c>
      <c r="F213" s="11">
        <v>0</v>
      </c>
      <c r="G213" s="11">
        <v>0</v>
      </c>
      <c r="H213" s="14">
        <f t="shared" si="6"/>
        <v>0</v>
      </c>
      <c r="I213" s="14">
        <f t="shared" si="7"/>
        <v>111341.39767499999</v>
      </c>
      <c r="J213" s="8" t="s">
        <v>138</v>
      </c>
      <c r="K213" s="8" t="s">
        <v>509</v>
      </c>
    </row>
    <row r="214" spans="1:11" x14ac:dyDescent="0.2">
      <c r="A214" s="10">
        <v>60110310</v>
      </c>
      <c r="B214" s="10" t="s">
        <v>141</v>
      </c>
      <c r="C214" s="11">
        <v>66928.86</v>
      </c>
      <c r="D214" s="11">
        <v>0</v>
      </c>
      <c r="E214" s="11">
        <v>0</v>
      </c>
      <c r="F214" s="11">
        <v>0</v>
      </c>
      <c r="G214" s="11">
        <v>0</v>
      </c>
      <c r="H214" s="14">
        <f t="shared" si="6"/>
        <v>0</v>
      </c>
      <c r="I214" s="14">
        <f t="shared" si="7"/>
        <v>66928.86</v>
      </c>
      <c r="J214" s="8" t="s">
        <v>138</v>
      </c>
      <c r="K214" s="8" t="s">
        <v>509</v>
      </c>
    </row>
    <row r="215" spans="1:11" x14ac:dyDescent="0.2">
      <c r="A215" s="10">
        <v>60110320</v>
      </c>
      <c r="B215" s="10" t="s">
        <v>142</v>
      </c>
      <c r="C215" s="11">
        <v>60316.139838000003</v>
      </c>
      <c r="D215" s="11">
        <v>0</v>
      </c>
      <c r="E215" s="11">
        <v>0</v>
      </c>
      <c r="F215" s="11">
        <v>0</v>
      </c>
      <c r="G215" s="11">
        <v>0</v>
      </c>
      <c r="H215" s="14">
        <f t="shared" si="6"/>
        <v>0</v>
      </c>
      <c r="I215" s="14">
        <f t="shared" si="7"/>
        <v>60316.139838000003</v>
      </c>
      <c r="J215" s="8" t="s">
        <v>138</v>
      </c>
      <c r="K215" s="8" t="s">
        <v>509</v>
      </c>
    </row>
    <row r="216" spans="1:11" x14ac:dyDescent="0.2">
      <c r="A216" s="10">
        <v>60110330</v>
      </c>
      <c r="B216" s="10" t="s">
        <v>143</v>
      </c>
      <c r="C216" s="11">
        <v>42121.61220000001</v>
      </c>
      <c r="D216" s="11">
        <v>0</v>
      </c>
      <c r="E216" s="11">
        <v>0</v>
      </c>
      <c r="F216" s="11">
        <v>0</v>
      </c>
      <c r="G216" s="11">
        <v>0</v>
      </c>
      <c r="H216" s="14">
        <f t="shared" si="6"/>
        <v>0</v>
      </c>
      <c r="I216" s="14">
        <f t="shared" si="7"/>
        <v>42121.61220000001</v>
      </c>
      <c r="J216" s="8" t="s">
        <v>138</v>
      </c>
      <c r="K216" s="8" t="s">
        <v>509</v>
      </c>
    </row>
    <row r="217" spans="1:11" x14ac:dyDescent="0.2">
      <c r="A217" s="10">
        <v>60110350</v>
      </c>
      <c r="B217" s="10" t="s">
        <v>261</v>
      </c>
      <c r="C217" s="11">
        <v>5382.0619999999999</v>
      </c>
      <c r="D217" s="11">
        <v>0</v>
      </c>
      <c r="E217" s="11">
        <v>0</v>
      </c>
      <c r="F217" s="11">
        <v>0</v>
      </c>
      <c r="G217" s="11">
        <v>0</v>
      </c>
      <c r="H217" s="14">
        <f t="shared" si="6"/>
        <v>0</v>
      </c>
      <c r="I217" s="14">
        <f t="shared" si="7"/>
        <v>5382.0619999999999</v>
      </c>
      <c r="J217" s="8" t="s">
        <v>138</v>
      </c>
      <c r="K217" s="8" t="s">
        <v>509</v>
      </c>
    </row>
    <row r="218" spans="1:11" x14ac:dyDescent="0.2">
      <c r="A218" s="10">
        <v>60110400</v>
      </c>
      <c r="B218" s="10" t="s">
        <v>7392</v>
      </c>
      <c r="C218" s="11">
        <v>1573.3437999999999</v>
      </c>
      <c r="D218" s="11">
        <v>0</v>
      </c>
      <c r="E218" s="11">
        <v>0</v>
      </c>
      <c r="F218" s="11">
        <v>0</v>
      </c>
      <c r="G218" s="11">
        <v>0</v>
      </c>
      <c r="H218" s="14">
        <f t="shared" si="6"/>
        <v>0</v>
      </c>
      <c r="I218" s="14">
        <f t="shared" si="7"/>
        <v>1573.3437999999999</v>
      </c>
      <c r="J218" s="8" t="s">
        <v>138</v>
      </c>
      <c r="K218" s="8" t="s">
        <v>509</v>
      </c>
    </row>
    <row r="219" spans="1:11" x14ac:dyDescent="0.2">
      <c r="A219" s="10">
        <v>60110500</v>
      </c>
      <c r="B219" s="10" t="s">
        <v>144</v>
      </c>
      <c r="C219" s="11">
        <v>16024.75</v>
      </c>
      <c r="D219" s="11">
        <v>0</v>
      </c>
      <c r="E219" s="11">
        <v>0</v>
      </c>
      <c r="F219" s="11">
        <v>0</v>
      </c>
      <c r="G219" s="11">
        <v>0</v>
      </c>
      <c r="H219" s="14">
        <f t="shared" si="6"/>
        <v>0</v>
      </c>
      <c r="I219" s="14">
        <f t="shared" si="7"/>
        <v>16024.75</v>
      </c>
      <c r="J219" s="8" t="s">
        <v>138</v>
      </c>
      <c r="K219" s="8" t="s">
        <v>509</v>
      </c>
    </row>
    <row r="220" spans="1:11" x14ac:dyDescent="0.2">
      <c r="A220" s="10">
        <v>60110600</v>
      </c>
      <c r="B220" s="10" t="s">
        <v>145</v>
      </c>
      <c r="C220" s="11">
        <v>16078.136999999999</v>
      </c>
      <c r="D220" s="11">
        <v>0</v>
      </c>
      <c r="E220" s="11">
        <v>0</v>
      </c>
      <c r="F220" s="11">
        <v>0</v>
      </c>
      <c r="G220" s="11">
        <v>0</v>
      </c>
      <c r="H220" s="14">
        <f t="shared" si="6"/>
        <v>0</v>
      </c>
      <c r="I220" s="14">
        <f t="shared" si="7"/>
        <v>16078.136999999999</v>
      </c>
      <c r="J220" s="8" t="s">
        <v>138</v>
      </c>
      <c r="K220" s="8" t="s">
        <v>509</v>
      </c>
    </row>
    <row r="221" spans="1:11" x14ac:dyDescent="0.2">
      <c r="A221" s="10">
        <v>60110700</v>
      </c>
      <c r="B221" s="10" t="s">
        <v>146</v>
      </c>
      <c r="C221" s="11">
        <v>11608.397000000001</v>
      </c>
      <c r="D221" s="11">
        <v>0</v>
      </c>
      <c r="E221" s="11">
        <v>0</v>
      </c>
      <c r="F221" s="11">
        <v>0</v>
      </c>
      <c r="G221" s="11">
        <v>0</v>
      </c>
      <c r="H221" s="14">
        <f t="shared" si="6"/>
        <v>0</v>
      </c>
      <c r="I221" s="14">
        <f t="shared" si="7"/>
        <v>11608.397000000001</v>
      </c>
      <c r="J221" s="8" t="s">
        <v>138</v>
      </c>
      <c r="K221" s="8" t="s">
        <v>509</v>
      </c>
    </row>
    <row r="222" spans="1:11" x14ac:dyDescent="0.2">
      <c r="A222" s="10">
        <v>60110900</v>
      </c>
      <c r="B222" s="10" t="s">
        <v>147</v>
      </c>
      <c r="C222" s="11">
        <v>214956.58</v>
      </c>
      <c r="D222" s="11">
        <v>40144.875</v>
      </c>
      <c r="E222" s="11">
        <v>0</v>
      </c>
      <c r="F222" s="11">
        <v>0</v>
      </c>
      <c r="G222" s="11">
        <v>0</v>
      </c>
      <c r="H222" s="14">
        <f t="shared" si="6"/>
        <v>40144.875</v>
      </c>
      <c r="I222" s="14">
        <f t="shared" si="7"/>
        <v>255101.45499999999</v>
      </c>
      <c r="J222" s="8" t="s">
        <v>138</v>
      </c>
      <c r="K222" s="8" t="s">
        <v>509</v>
      </c>
    </row>
    <row r="223" spans="1:11" x14ac:dyDescent="0.2">
      <c r="A223" s="10">
        <v>60111000</v>
      </c>
      <c r="B223" s="10" t="s">
        <v>148</v>
      </c>
      <c r="C223" s="11">
        <v>10785.093999999999</v>
      </c>
      <c r="D223" s="11">
        <v>4146.5550000000003</v>
      </c>
      <c r="E223" s="11">
        <v>0</v>
      </c>
      <c r="F223" s="11">
        <v>0</v>
      </c>
      <c r="G223" s="11">
        <v>0</v>
      </c>
      <c r="H223" s="14">
        <f t="shared" si="6"/>
        <v>4146.5550000000003</v>
      </c>
      <c r="I223" s="14">
        <f t="shared" si="7"/>
        <v>14931.648999999999</v>
      </c>
      <c r="J223" s="8" t="s">
        <v>138</v>
      </c>
      <c r="K223" s="8" t="s">
        <v>509</v>
      </c>
    </row>
    <row r="224" spans="1:11" x14ac:dyDescent="0.2">
      <c r="A224" s="10">
        <v>60111010</v>
      </c>
      <c r="B224" s="10" t="s">
        <v>393</v>
      </c>
      <c r="C224" s="11">
        <v>1030.2</v>
      </c>
      <c r="D224" s="11">
        <v>606</v>
      </c>
      <c r="E224" s="11">
        <v>0</v>
      </c>
      <c r="F224" s="11">
        <v>0</v>
      </c>
      <c r="G224" s="11">
        <v>0</v>
      </c>
      <c r="H224" s="14">
        <f t="shared" si="6"/>
        <v>606</v>
      </c>
      <c r="I224" s="14">
        <f t="shared" si="7"/>
        <v>1636.2</v>
      </c>
      <c r="J224" s="8" t="s">
        <v>138</v>
      </c>
      <c r="K224" s="8" t="s">
        <v>509</v>
      </c>
    </row>
    <row r="225" spans="1:11" x14ac:dyDescent="0.2">
      <c r="A225" s="10">
        <v>60120100</v>
      </c>
      <c r="B225" s="10" t="s">
        <v>149</v>
      </c>
      <c r="C225" s="11">
        <v>1037093.103993</v>
      </c>
      <c r="D225" s="11">
        <v>0</v>
      </c>
      <c r="E225" s="11">
        <v>0</v>
      </c>
      <c r="F225" s="11">
        <v>0</v>
      </c>
      <c r="G225" s="11">
        <v>0</v>
      </c>
      <c r="H225" s="14">
        <f t="shared" si="6"/>
        <v>0</v>
      </c>
      <c r="I225" s="14">
        <f t="shared" si="7"/>
        <v>1037093.103993</v>
      </c>
      <c r="J225" s="8" t="s">
        <v>138</v>
      </c>
      <c r="K225" s="8" t="s">
        <v>509</v>
      </c>
    </row>
    <row r="226" spans="1:11" x14ac:dyDescent="0.2">
      <c r="A226" s="10">
        <v>60120300</v>
      </c>
      <c r="B226" s="10" t="s">
        <v>150</v>
      </c>
      <c r="C226" s="11">
        <v>5924605.1399999997</v>
      </c>
      <c r="D226" s="11">
        <v>203727.3</v>
      </c>
      <c r="E226" s="11">
        <v>0</v>
      </c>
      <c r="F226" s="11">
        <v>131760</v>
      </c>
      <c r="G226" s="11">
        <v>125640</v>
      </c>
      <c r="H226" s="14">
        <f t="shared" si="6"/>
        <v>209847.3</v>
      </c>
      <c r="I226" s="14">
        <f t="shared" si="7"/>
        <v>6134452.4399999995</v>
      </c>
      <c r="J226" s="8" t="s">
        <v>138</v>
      </c>
      <c r="K226" s="8" t="s">
        <v>509</v>
      </c>
    </row>
    <row r="227" spans="1:11" x14ac:dyDescent="0.2">
      <c r="A227" s="10">
        <v>60120400</v>
      </c>
      <c r="B227" s="10" t="s">
        <v>365</v>
      </c>
      <c r="C227" s="11">
        <v>1036050.71</v>
      </c>
      <c r="D227" s="11">
        <v>71316.800000000003</v>
      </c>
      <c r="E227" s="11">
        <v>71316.800000000003</v>
      </c>
      <c r="F227" s="11">
        <v>0</v>
      </c>
      <c r="G227" s="11">
        <v>0</v>
      </c>
      <c r="H227" s="14">
        <f t="shared" si="6"/>
        <v>0</v>
      </c>
      <c r="I227" s="14">
        <f t="shared" si="7"/>
        <v>1036050.71</v>
      </c>
      <c r="J227" s="8" t="s">
        <v>138</v>
      </c>
      <c r="K227" s="8" t="s">
        <v>509</v>
      </c>
    </row>
    <row r="228" spans="1:11" x14ac:dyDescent="0.2">
      <c r="A228" s="10">
        <v>60120900</v>
      </c>
      <c r="B228" s="10" t="s">
        <v>7393</v>
      </c>
      <c r="C228" s="11">
        <v>35598.535244999999</v>
      </c>
      <c r="D228" s="11">
        <v>59264.817000000003</v>
      </c>
      <c r="E228" s="11">
        <v>0</v>
      </c>
      <c r="F228" s="11">
        <v>0</v>
      </c>
      <c r="G228" s="11">
        <v>0</v>
      </c>
      <c r="H228" s="14">
        <f t="shared" si="6"/>
        <v>59264.817000000003</v>
      </c>
      <c r="I228" s="14">
        <f t="shared" si="7"/>
        <v>94863.352245000002</v>
      </c>
      <c r="J228" s="8" t="s">
        <v>138</v>
      </c>
      <c r="K228" s="8" t="s">
        <v>509</v>
      </c>
    </row>
    <row r="229" spans="1:11" x14ac:dyDescent="0.2">
      <c r="A229" s="10">
        <v>60121010</v>
      </c>
      <c r="B229" s="10" t="s">
        <v>152</v>
      </c>
      <c r="C229" s="11">
        <v>2544569.570731</v>
      </c>
      <c r="D229" s="11">
        <v>1002606.593922</v>
      </c>
      <c r="E229" s="11">
        <v>0</v>
      </c>
      <c r="F229" s="11">
        <v>0</v>
      </c>
      <c r="G229" s="11">
        <v>0</v>
      </c>
      <c r="H229" s="14">
        <f t="shared" si="6"/>
        <v>1002606.593922</v>
      </c>
      <c r="I229" s="14">
        <f t="shared" si="7"/>
        <v>3547176.164653</v>
      </c>
      <c r="J229" s="8" t="s">
        <v>138</v>
      </c>
      <c r="K229" s="8" t="s">
        <v>509</v>
      </c>
    </row>
    <row r="230" spans="1:11" x14ac:dyDescent="0.2">
      <c r="A230" s="10">
        <v>60121031</v>
      </c>
      <c r="B230" s="10" t="s">
        <v>394</v>
      </c>
      <c r="C230" s="11">
        <v>20663.760000000002</v>
      </c>
      <c r="D230" s="11">
        <v>0</v>
      </c>
      <c r="E230" s="11">
        <v>0</v>
      </c>
      <c r="F230" s="11">
        <v>0</v>
      </c>
      <c r="G230" s="11">
        <v>0</v>
      </c>
      <c r="H230" s="14">
        <f t="shared" si="6"/>
        <v>0</v>
      </c>
      <c r="I230" s="14">
        <f t="shared" si="7"/>
        <v>20663.760000000002</v>
      </c>
      <c r="J230" s="8" t="s">
        <v>138</v>
      </c>
      <c r="K230" s="8" t="s">
        <v>509</v>
      </c>
    </row>
    <row r="231" spans="1:11" x14ac:dyDescent="0.2">
      <c r="A231" s="10">
        <v>60121032</v>
      </c>
      <c r="B231" s="10" t="s">
        <v>8973</v>
      </c>
      <c r="C231" s="11">
        <v>9936.5</v>
      </c>
      <c r="D231" s="11">
        <v>0</v>
      </c>
      <c r="E231" s="11">
        <v>0</v>
      </c>
      <c r="F231" s="11">
        <v>0</v>
      </c>
      <c r="G231" s="11">
        <v>0</v>
      </c>
      <c r="H231" s="14">
        <f t="shared" si="6"/>
        <v>0</v>
      </c>
      <c r="I231" s="14">
        <f t="shared" si="7"/>
        <v>9936.5</v>
      </c>
      <c r="J231" s="8" t="s">
        <v>138</v>
      </c>
      <c r="K231" s="8" t="s">
        <v>509</v>
      </c>
    </row>
    <row r="232" spans="1:11" x14ac:dyDescent="0.2">
      <c r="A232" s="10">
        <v>60121033</v>
      </c>
      <c r="B232" s="10" t="s">
        <v>7718</v>
      </c>
      <c r="C232" s="11">
        <v>6596.5079999999998</v>
      </c>
      <c r="D232" s="11">
        <v>4197.0817499999994</v>
      </c>
      <c r="E232" s="11">
        <v>0</v>
      </c>
      <c r="F232" s="11">
        <v>0</v>
      </c>
      <c r="G232" s="11">
        <v>0</v>
      </c>
      <c r="H232" s="14">
        <f t="shared" si="6"/>
        <v>4197.0817499999994</v>
      </c>
      <c r="I232" s="14">
        <f t="shared" si="7"/>
        <v>10793.589749999999</v>
      </c>
      <c r="J232" s="8" t="s">
        <v>138</v>
      </c>
      <c r="K232" s="8" t="s">
        <v>509</v>
      </c>
    </row>
    <row r="233" spans="1:11" x14ac:dyDescent="0.2">
      <c r="A233" s="10">
        <v>60121035</v>
      </c>
      <c r="B233" s="10" t="s">
        <v>395</v>
      </c>
      <c r="C233" s="11">
        <v>692.16300000000001</v>
      </c>
      <c r="D233" s="11">
        <v>0</v>
      </c>
      <c r="E233" s="11">
        <v>0</v>
      </c>
      <c r="F233" s="11">
        <v>0</v>
      </c>
      <c r="G233" s="11">
        <v>0</v>
      </c>
      <c r="H233" s="14">
        <f t="shared" si="6"/>
        <v>0</v>
      </c>
      <c r="I233" s="14">
        <f t="shared" si="7"/>
        <v>692.16300000000001</v>
      </c>
      <c r="J233" s="8" t="s">
        <v>138</v>
      </c>
      <c r="K233" s="8" t="s">
        <v>509</v>
      </c>
    </row>
    <row r="234" spans="1:11" x14ac:dyDescent="0.2">
      <c r="A234" s="10">
        <v>60121036</v>
      </c>
      <c r="B234" s="10" t="s">
        <v>7394</v>
      </c>
      <c r="C234" s="11">
        <v>576.17600000000004</v>
      </c>
      <c r="D234" s="11">
        <v>0</v>
      </c>
      <c r="E234" s="11">
        <v>0</v>
      </c>
      <c r="F234" s="11">
        <v>0</v>
      </c>
      <c r="G234" s="11">
        <v>0</v>
      </c>
      <c r="H234" s="14">
        <f t="shared" si="6"/>
        <v>0</v>
      </c>
      <c r="I234" s="14">
        <f t="shared" si="7"/>
        <v>576.17600000000004</v>
      </c>
      <c r="J234" s="8" t="s">
        <v>138</v>
      </c>
      <c r="K234" s="8" t="s">
        <v>509</v>
      </c>
    </row>
    <row r="235" spans="1:11" x14ac:dyDescent="0.2">
      <c r="A235" s="10">
        <v>60121040</v>
      </c>
      <c r="B235" s="10" t="s">
        <v>7720</v>
      </c>
      <c r="C235" s="11">
        <v>0</v>
      </c>
      <c r="D235" s="11">
        <v>0</v>
      </c>
      <c r="E235" s="11">
        <v>0</v>
      </c>
      <c r="F235" s="11">
        <v>0</v>
      </c>
      <c r="G235" s="11">
        <v>0</v>
      </c>
      <c r="H235" s="14">
        <f t="shared" si="6"/>
        <v>0</v>
      </c>
      <c r="I235" s="14">
        <f t="shared" si="7"/>
        <v>0</v>
      </c>
      <c r="J235" s="8" t="s">
        <v>138</v>
      </c>
      <c r="K235" s="8" t="s">
        <v>509</v>
      </c>
    </row>
    <row r="236" spans="1:11" x14ac:dyDescent="0.2">
      <c r="A236" s="10">
        <v>60121200</v>
      </c>
      <c r="B236" s="10" t="s">
        <v>7395</v>
      </c>
      <c r="C236" s="11">
        <v>1435</v>
      </c>
      <c r="D236" s="11">
        <v>0</v>
      </c>
      <c r="E236" s="11">
        <v>0</v>
      </c>
      <c r="F236" s="11">
        <v>0</v>
      </c>
      <c r="G236" s="11">
        <v>0</v>
      </c>
      <c r="H236" s="14">
        <f t="shared" si="6"/>
        <v>0</v>
      </c>
      <c r="I236" s="14">
        <f t="shared" si="7"/>
        <v>1435</v>
      </c>
      <c r="J236" s="8" t="s">
        <v>138</v>
      </c>
      <c r="K236" s="8" t="s">
        <v>509</v>
      </c>
    </row>
    <row r="237" spans="1:11" x14ac:dyDescent="0.2">
      <c r="A237" s="10">
        <v>60121210</v>
      </c>
      <c r="B237" s="10" t="s">
        <v>7400</v>
      </c>
      <c r="C237" s="11">
        <v>65626.954710499995</v>
      </c>
      <c r="D237" s="11">
        <v>0</v>
      </c>
      <c r="E237" s="11">
        <v>0</v>
      </c>
      <c r="F237" s="11">
        <v>0</v>
      </c>
      <c r="G237" s="11">
        <v>0</v>
      </c>
      <c r="H237" s="14">
        <f t="shared" si="6"/>
        <v>0</v>
      </c>
      <c r="I237" s="14">
        <f t="shared" si="7"/>
        <v>65626.954710499995</v>
      </c>
      <c r="J237" s="8" t="s">
        <v>138</v>
      </c>
      <c r="K237" s="8" t="s">
        <v>509</v>
      </c>
    </row>
    <row r="238" spans="1:11" x14ac:dyDescent="0.2">
      <c r="A238" s="10">
        <v>60121400</v>
      </c>
      <c r="B238" s="10" t="s">
        <v>7570</v>
      </c>
      <c r="C238" s="11">
        <v>38966.399999999994</v>
      </c>
      <c r="D238" s="11">
        <v>0</v>
      </c>
      <c r="E238" s="11">
        <v>0</v>
      </c>
      <c r="F238" s="11">
        <v>0</v>
      </c>
      <c r="G238" s="11">
        <v>0</v>
      </c>
      <c r="H238" s="14">
        <f t="shared" si="6"/>
        <v>0</v>
      </c>
      <c r="I238" s="14">
        <f t="shared" si="7"/>
        <v>38966.399999999994</v>
      </c>
      <c r="J238" s="8" t="s">
        <v>138</v>
      </c>
      <c r="K238" s="8" t="s">
        <v>509</v>
      </c>
    </row>
    <row r="239" spans="1:11" x14ac:dyDescent="0.2">
      <c r="A239" s="10">
        <v>60121500</v>
      </c>
      <c r="B239" s="10" t="s">
        <v>404</v>
      </c>
      <c r="C239" s="11">
        <v>61072.5</v>
      </c>
      <c r="D239" s="11">
        <v>0</v>
      </c>
      <c r="E239" s="11">
        <v>0</v>
      </c>
      <c r="F239" s="11">
        <v>0</v>
      </c>
      <c r="G239" s="11">
        <v>0</v>
      </c>
      <c r="H239" s="14">
        <f t="shared" si="6"/>
        <v>0</v>
      </c>
      <c r="I239" s="14">
        <f t="shared" si="7"/>
        <v>61072.5</v>
      </c>
      <c r="J239" s="8" t="s">
        <v>138</v>
      </c>
      <c r="K239" s="8" t="s">
        <v>509</v>
      </c>
    </row>
    <row r="240" spans="1:11" x14ac:dyDescent="0.2">
      <c r="A240" s="10">
        <v>60121600</v>
      </c>
      <c r="B240" s="10" t="s">
        <v>154</v>
      </c>
      <c r="C240" s="11">
        <v>301213.2</v>
      </c>
      <c r="D240" s="11">
        <v>36936</v>
      </c>
      <c r="E240" s="11">
        <v>0</v>
      </c>
      <c r="F240" s="11">
        <v>0</v>
      </c>
      <c r="G240" s="11">
        <v>0</v>
      </c>
      <c r="H240" s="14">
        <f t="shared" si="6"/>
        <v>36936</v>
      </c>
      <c r="I240" s="14">
        <f t="shared" si="7"/>
        <v>338149.2</v>
      </c>
      <c r="J240" s="8" t="s">
        <v>138</v>
      </c>
      <c r="K240" s="8" t="s">
        <v>509</v>
      </c>
    </row>
    <row r="241" spans="1:11" x14ac:dyDescent="0.2">
      <c r="A241" s="10">
        <v>60121900</v>
      </c>
      <c r="B241" s="10" t="s">
        <v>7568</v>
      </c>
      <c r="C241" s="11">
        <v>43280</v>
      </c>
      <c r="D241" s="11">
        <v>0</v>
      </c>
      <c r="E241" s="11">
        <v>0</v>
      </c>
      <c r="F241" s="11">
        <v>0</v>
      </c>
      <c r="G241" s="11">
        <v>0</v>
      </c>
      <c r="H241" s="14">
        <f t="shared" si="6"/>
        <v>0</v>
      </c>
      <c r="I241" s="14">
        <f t="shared" si="7"/>
        <v>43280</v>
      </c>
      <c r="J241" s="8" t="s">
        <v>138</v>
      </c>
      <c r="K241" s="8" t="s">
        <v>509</v>
      </c>
    </row>
    <row r="242" spans="1:11" x14ac:dyDescent="0.2">
      <c r="A242" s="10">
        <v>60122100</v>
      </c>
      <c r="B242" s="10" t="s">
        <v>155</v>
      </c>
      <c r="C242" s="11">
        <v>104349.2</v>
      </c>
      <c r="D242" s="11">
        <v>0</v>
      </c>
      <c r="E242" s="11">
        <v>0</v>
      </c>
      <c r="F242" s="11">
        <v>20400</v>
      </c>
      <c r="G242" s="11">
        <v>0</v>
      </c>
      <c r="H242" s="14">
        <f t="shared" si="6"/>
        <v>20400</v>
      </c>
      <c r="I242" s="14">
        <f t="shared" si="7"/>
        <v>124749.2</v>
      </c>
      <c r="J242" s="8" t="s">
        <v>138</v>
      </c>
      <c r="K242" s="8" t="s">
        <v>509</v>
      </c>
    </row>
    <row r="243" spans="1:11" x14ac:dyDescent="0.2">
      <c r="A243" s="10">
        <v>60122200</v>
      </c>
      <c r="B243" s="10" t="s">
        <v>156</v>
      </c>
      <c r="C243" s="11">
        <v>48263.896000000001</v>
      </c>
      <c r="D243" s="11">
        <v>8484</v>
      </c>
      <c r="E243" s="11">
        <v>0</v>
      </c>
      <c r="F243" s="11">
        <v>0</v>
      </c>
      <c r="G243" s="11">
        <v>0</v>
      </c>
      <c r="H243" s="14">
        <f t="shared" si="6"/>
        <v>8484</v>
      </c>
      <c r="I243" s="14">
        <f t="shared" si="7"/>
        <v>56747.896000000001</v>
      </c>
      <c r="J243" s="8" t="s">
        <v>138</v>
      </c>
      <c r="K243" s="8" t="s">
        <v>509</v>
      </c>
    </row>
    <row r="244" spans="1:11" x14ac:dyDescent="0.2">
      <c r="A244" s="10">
        <v>60122400</v>
      </c>
      <c r="B244" s="10" t="s">
        <v>7396</v>
      </c>
      <c r="C244" s="11">
        <v>19151.856</v>
      </c>
      <c r="D244" s="11">
        <v>0</v>
      </c>
      <c r="E244" s="11">
        <v>0</v>
      </c>
      <c r="F244" s="11">
        <v>0</v>
      </c>
      <c r="G244" s="11">
        <v>0</v>
      </c>
      <c r="H244" s="14">
        <f t="shared" si="6"/>
        <v>0</v>
      </c>
      <c r="I244" s="14">
        <f t="shared" si="7"/>
        <v>19151.856</v>
      </c>
      <c r="J244" s="8" t="s">
        <v>138</v>
      </c>
      <c r="K244" s="8" t="s">
        <v>509</v>
      </c>
    </row>
    <row r="245" spans="1:11" x14ac:dyDescent="0.2">
      <c r="A245" s="10">
        <v>60122410</v>
      </c>
      <c r="B245" s="10" t="s">
        <v>366</v>
      </c>
      <c r="C245" s="11">
        <v>5050</v>
      </c>
      <c r="D245" s="11">
        <v>0</v>
      </c>
      <c r="E245" s="11">
        <v>0</v>
      </c>
      <c r="F245" s="11">
        <v>0</v>
      </c>
      <c r="G245" s="11">
        <v>0</v>
      </c>
      <c r="H245" s="14">
        <f t="shared" si="6"/>
        <v>0</v>
      </c>
      <c r="I245" s="14">
        <f t="shared" si="7"/>
        <v>5050</v>
      </c>
      <c r="J245" s="8" t="s">
        <v>138</v>
      </c>
      <c r="K245" s="8" t="s">
        <v>509</v>
      </c>
    </row>
    <row r="246" spans="1:11" x14ac:dyDescent="0.2">
      <c r="A246" s="10">
        <v>60122411</v>
      </c>
      <c r="B246" s="10" t="s">
        <v>367</v>
      </c>
      <c r="C246" s="11">
        <v>21171.599999999999</v>
      </c>
      <c r="D246" s="11">
        <v>9496</v>
      </c>
      <c r="E246" s="11">
        <v>0</v>
      </c>
      <c r="F246" s="11">
        <v>465.1</v>
      </c>
      <c r="G246" s="11">
        <v>465.1</v>
      </c>
      <c r="H246" s="14">
        <f t="shared" si="6"/>
        <v>9496</v>
      </c>
      <c r="I246" s="14">
        <f t="shared" si="7"/>
        <v>30667.599999999999</v>
      </c>
      <c r="J246" s="8" t="s">
        <v>138</v>
      </c>
      <c r="K246" s="8" t="s">
        <v>509</v>
      </c>
    </row>
    <row r="247" spans="1:11" x14ac:dyDescent="0.2">
      <c r="A247" s="10">
        <v>60122510</v>
      </c>
      <c r="B247" s="10" t="s">
        <v>368</v>
      </c>
      <c r="C247" s="11">
        <v>19592.921999999999</v>
      </c>
      <c r="D247" s="11">
        <v>3618.06</v>
      </c>
      <c r="E247" s="11">
        <v>0</v>
      </c>
      <c r="F247" s="11">
        <v>0</v>
      </c>
      <c r="G247" s="11">
        <v>0</v>
      </c>
      <c r="H247" s="14">
        <f t="shared" si="6"/>
        <v>3618.06</v>
      </c>
      <c r="I247" s="14">
        <f t="shared" si="7"/>
        <v>23210.982</v>
      </c>
      <c r="J247" s="8" t="s">
        <v>138</v>
      </c>
      <c r="K247" s="8" t="s">
        <v>509</v>
      </c>
    </row>
    <row r="248" spans="1:11" x14ac:dyDescent="0.2">
      <c r="A248" s="10">
        <v>60122520</v>
      </c>
      <c r="B248" s="10" t="s">
        <v>396</v>
      </c>
      <c r="C248" s="11">
        <v>4540.4549999999999</v>
      </c>
      <c r="D248" s="11">
        <v>536.79999999999995</v>
      </c>
      <c r="E248" s="11">
        <v>0</v>
      </c>
      <c r="F248" s="11">
        <v>0</v>
      </c>
      <c r="G248" s="11">
        <v>0</v>
      </c>
      <c r="H248" s="14">
        <f t="shared" si="6"/>
        <v>536.79999999999995</v>
      </c>
      <c r="I248" s="14">
        <f t="shared" si="7"/>
        <v>5077.2550000000001</v>
      </c>
      <c r="J248" s="8" t="s">
        <v>138</v>
      </c>
      <c r="K248" s="8" t="s">
        <v>509</v>
      </c>
    </row>
    <row r="249" spans="1:11" x14ac:dyDescent="0.2">
      <c r="A249" s="10">
        <v>60122700</v>
      </c>
      <c r="B249" s="10" t="s">
        <v>7567</v>
      </c>
      <c r="C249" s="11">
        <v>7010.9359999999997</v>
      </c>
      <c r="D249" s="11">
        <v>0</v>
      </c>
      <c r="E249" s="11">
        <v>0</v>
      </c>
      <c r="F249" s="11">
        <v>0</v>
      </c>
      <c r="G249" s="11">
        <v>0</v>
      </c>
      <c r="H249" s="14">
        <f t="shared" si="6"/>
        <v>0</v>
      </c>
      <c r="I249" s="14">
        <f t="shared" si="7"/>
        <v>7010.9359999999997</v>
      </c>
      <c r="J249" s="8" t="s">
        <v>138</v>
      </c>
      <c r="K249" s="8" t="s">
        <v>509</v>
      </c>
    </row>
    <row r="250" spans="1:11" x14ac:dyDescent="0.2">
      <c r="A250" s="10">
        <v>60171000</v>
      </c>
      <c r="B250" s="10" t="s">
        <v>369</v>
      </c>
      <c r="C250" s="11">
        <v>400285.44400000002</v>
      </c>
      <c r="D250" s="11">
        <v>42527.317999999999</v>
      </c>
      <c r="E250" s="11">
        <v>0</v>
      </c>
      <c r="F250" s="11">
        <v>0</v>
      </c>
      <c r="G250" s="11">
        <v>0</v>
      </c>
      <c r="H250" s="14">
        <f t="shared" si="6"/>
        <v>42527.317999999999</v>
      </c>
      <c r="I250" s="14">
        <f t="shared" si="7"/>
        <v>442812.76199999999</v>
      </c>
      <c r="J250" s="8" t="s">
        <v>138</v>
      </c>
      <c r="K250" s="8" t="s">
        <v>509</v>
      </c>
    </row>
    <row r="251" spans="1:11" x14ac:dyDescent="0.2">
      <c r="A251" s="10">
        <v>60172000</v>
      </c>
      <c r="B251" s="10" t="s">
        <v>169</v>
      </c>
      <c r="C251" s="11">
        <v>634818.45699999994</v>
      </c>
      <c r="D251" s="11">
        <v>98541.848000000013</v>
      </c>
      <c r="E251" s="11">
        <v>0</v>
      </c>
      <c r="F251" s="11">
        <v>0</v>
      </c>
      <c r="G251" s="11">
        <v>0</v>
      </c>
      <c r="H251" s="14">
        <f t="shared" si="6"/>
        <v>98541.848000000013</v>
      </c>
      <c r="I251" s="14">
        <f t="shared" si="7"/>
        <v>733360.30499999993</v>
      </c>
      <c r="J251" s="8" t="s">
        <v>138</v>
      </c>
      <c r="K251" s="8" t="s">
        <v>509</v>
      </c>
    </row>
    <row r="252" spans="1:11" x14ac:dyDescent="0.2">
      <c r="A252" s="10">
        <v>60173000</v>
      </c>
      <c r="B252" s="10" t="s">
        <v>170</v>
      </c>
      <c r="C252" s="11">
        <v>67599.319000000018</v>
      </c>
      <c r="D252" s="11">
        <v>7630.4719999999998</v>
      </c>
      <c r="E252" s="11">
        <v>0</v>
      </c>
      <c r="F252" s="11">
        <v>0</v>
      </c>
      <c r="G252" s="11">
        <v>0</v>
      </c>
      <c r="H252" s="14">
        <f t="shared" si="6"/>
        <v>7630.4719999999998</v>
      </c>
      <c r="I252" s="14">
        <f t="shared" si="7"/>
        <v>75229.791000000012</v>
      </c>
      <c r="J252" s="8" t="s">
        <v>138</v>
      </c>
      <c r="K252" s="8" t="s">
        <v>509</v>
      </c>
    </row>
    <row r="253" spans="1:11" x14ac:dyDescent="0.2">
      <c r="A253" s="10">
        <v>60191000</v>
      </c>
      <c r="B253" s="10" t="s">
        <v>158</v>
      </c>
      <c r="C253" s="11">
        <v>860561.53755399992</v>
      </c>
      <c r="D253" s="11">
        <v>118523.93699999999</v>
      </c>
      <c r="E253" s="11">
        <v>83.911000000000001</v>
      </c>
      <c r="F253" s="11">
        <v>0</v>
      </c>
      <c r="G253" s="11">
        <v>0</v>
      </c>
      <c r="H253" s="14">
        <f t="shared" si="6"/>
        <v>118440.026</v>
      </c>
      <c r="I253" s="14">
        <f t="shared" si="7"/>
        <v>979001.56355399988</v>
      </c>
      <c r="J253" s="8" t="s">
        <v>138</v>
      </c>
      <c r="K253" s="8" t="s">
        <v>509</v>
      </c>
    </row>
    <row r="254" spans="1:11" x14ac:dyDescent="0.2">
      <c r="A254" s="10">
        <v>60215000</v>
      </c>
      <c r="B254" s="10" t="s">
        <v>370</v>
      </c>
      <c r="C254" s="11">
        <v>24171.527000000002</v>
      </c>
      <c r="D254" s="11">
        <v>0</v>
      </c>
      <c r="E254" s="11">
        <v>0</v>
      </c>
      <c r="F254" s="11">
        <v>0</v>
      </c>
      <c r="G254" s="11">
        <v>0</v>
      </c>
      <c r="H254" s="14">
        <f t="shared" si="6"/>
        <v>0</v>
      </c>
      <c r="I254" s="14">
        <f t="shared" si="7"/>
        <v>24171.527000000002</v>
      </c>
      <c r="J254" s="8" t="s">
        <v>138</v>
      </c>
      <c r="K254" s="8" t="s">
        <v>509</v>
      </c>
    </row>
    <row r="255" spans="1:11" x14ac:dyDescent="0.2">
      <c r="A255" s="10">
        <v>60216000</v>
      </c>
      <c r="B255" s="10" t="s">
        <v>371</v>
      </c>
      <c r="C255" s="11">
        <v>384168.10713000002</v>
      </c>
      <c r="D255" s="11">
        <v>121972.160072</v>
      </c>
      <c r="E255" s="11">
        <v>0</v>
      </c>
      <c r="F255" s="11">
        <v>0</v>
      </c>
      <c r="G255" s="11">
        <v>0</v>
      </c>
      <c r="H255" s="14">
        <f t="shared" si="6"/>
        <v>121972.160072</v>
      </c>
      <c r="I255" s="14">
        <f t="shared" si="7"/>
        <v>506140.26720200002</v>
      </c>
      <c r="J255" s="8" t="s">
        <v>138</v>
      </c>
      <c r="K255" s="8" t="s">
        <v>509</v>
      </c>
    </row>
    <row r="256" spans="1:11" x14ac:dyDescent="0.2">
      <c r="A256" s="10">
        <v>60260200</v>
      </c>
      <c r="B256" s="10" t="s">
        <v>372</v>
      </c>
      <c r="C256" s="11">
        <v>190048.94500000001</v>
      </c>
      <c r="D256" s="11">
        <v>13369.87</v>
      </c>
      <c r="E256" s="11">
        <v>2249.748</v>
      </c>
      <c r="F256" s="11">
        <v>0</v>
      </c>
      <c r="G256" s="11">
        <v>0</v>
      </c>
      <c r="H256" s="14">
        <f t="shared" si="6"/>
        <v>11120.122000000001</v>
      </c>
      <c r="I256" s="14">
        <f t="shared" si="7"/>
        <v>201169.06700000001</v>
      </c>
      <c r="J256" s="8" t="s">
        <v>138</v>
      </c>
      <c r="K256" s="8" t="s">
        <v>509</v>
      </c>
    </row>
    <row r="257" spans="1:11" x14ac:dyDescent="0.2">
      <c r="A257" s="10">
        <v>60260300</v>
      </c>
      <c r="B257" s="10" t="s">
        <v>160</v>
      </c>
      <c r="C257" s="11">
        <v>1074.1620000000112</v>
      </c>
      <c r="D257" s="11">
        <v>0</v>
      </c>
      <c r="E257" s="11">
        <v>0</v>
      </c>
      <c r="F257" s="11">
        <v>0</v>
      </c>
      <c r="G257" s="11">
        <v>0</v>
      </c>
      <c r="H257" s="14">
        <f t="shared" si="6"/>
        <v>0</v>
      </c>
      <c r="I257" s="14">
        <f t="shared" si="7"/>
        <v>1074.1620000000112</v>
      </c>
      <c r="J257" s="8" t="s">
        <v>138</v>
      </c>
      <c r="K257" s="8" t="s">
        <v>509</v>
      </c>
    </row>
    <row r="258" spans="1:11" x14ac:dyDescent="0.2">
      <c r="A258" s="10">
        <v>60260400</v>
      </c>
      <c r="B258" s="10" t="s">
        <v>161</v>
      </c>
      <c r="C258" s="11">
        <v>58576.914000000004</v>
      </c>
      <c r="D258" s="11">
        <v>3965.06</v>
      </c>
      <c r="E258" s="11">
        <v>0</v>
      </c>
      <c r="F258" s="11">
        <v>0</v>
      </c>
      <c r="G258" s="11">
        <v>0</v>
      </c>
      <c r="H258" s="14">
        <f t="shared" si="6"/>
        <v>3965.06</v>
      </c>
      <c r="I258" s="14">
        <f t="shared" si="7"/>
        <v>62541.974000000002</v>
      </c>
      <c r="J258" s="8" t="s">
        <v>138</v>
      </c>
      <c r="K258" s="8" t="s">
        <v>509</v>
      </c>
    </row>
    <row r="259" spans="1:11" x14ac:dyDescent="0.2">
      <c r="A259" s="10">
        <v>60260500</v>
      </c>
      <c r="B259" s="10" t="s">
        <v>162</v>
      </c>
      <c r="C259" s="11">
        <v>22920</v>
      </c>
      <c r="D259" s="11">
        <v>7833</v>
      </c>
      <c r="E259" s="11">
        <v>0</v>
      </c>
      <c r="F259" s="11">
        <v>0</v>
      </c>
      <c r="G259" s="11">
        <v>0</v>
      </c>
      <c r="H259" s="14">
        <f t="shared" ref="H259:H322" si="8">D259+F259-E259-G259</f>
        <v>7833</v>
      </c>
      <c r="I259" s="14">
        <f t="shared" ref="I259:I322" si="9">C259+H259</f>
        <v>30753</v>
      </c>
      <c r="J259" s="8" t="s">
        <v>138</v>
      </c>
      <c r="K259" s="8" t="s">
        <v>509</v>
      </c>
    </row>
    <row r="260" spans="1:11" x14ac:dyDescent="0.2">
      <c r="A260" s="10">
        <v>60260600</v>
      </c>
      <c r="B260" s="10" t="s">
        <v>7401</v>
      </c>
      <c r="C260" s="11">
        <v>439.35300000000007</v>
      </c>
      <c r="D260" s="11">
        <v>0</v>
      </c>
      <c r="E260" s="11">
        <v>0</v>
      </c>
      <c r="F260" s="11">
        <v>0</v>
      </c>
      <c r="G260" s="11">
        <v>0</v>
      </c>
      <c r="H260" s="14">
        <f t="shared" si="8"/>
        <v>0</v>
      </c>
      <c r="I260" s="14">
        <f t="shared" si="9"/>
        <v>439.35300000000007</v>
      </c>
      <c r="J260" s="8" t="s">
        <v>138</v>
      </c>
      <c r="K260" s="8" t="s">
        <v>509</v>
      </c>
    </row>
    <row r="261" spans="1:11" x14ac:dyDescent="0.2">
      <c r="A261" s="10">
        <v>60260700</v>
      </c>
      <c r="B261" s="10" t="s">
        <v>163</v>
      </c>
      <c r="C261" s="11">
        <v>77325.8</v>
      </c>
      <c r="D261" s="11">
        <v>5575.2</v>
      </c>
      <c r="E261" s="11">
        <v>0</v>
      </c>
      <c r="F261" s="11">
        <v>4125</v>
      </c>
      <c r="G261" s="11">
        <v>4125</v>
      </c>
      <c r="H261" s="14">
        <f t="shared" si="8"/>
        <v>5575.2000000000007</v>
      </c>
      <c r="I261" s="14">
        <f t="shared" si="9"/>
        <v>82901</v>
      </c>
      <c r="J261" s="8" t="s">
        <v>138</v>
      </c>
      <c r="K261" s="8" t="s">
        <v>509</v>
      </c>
    </row>
    <row r="262" spans="1:11" x14ac:dyDescent="0.2">
      <c r="A262" s="10">
        <v>60262000</v>
      </c>
      <c r="B262" s="10" t="s">
        <v>164</v>
      </c>
      <c r="C262" s="11">
        <v>136062.3388</v>
      </c>
      <c r="D262" s="11">
        <v>25972.821899999999</v>
      </c>
      <c r="E262" s="11">
        <v>0</v>
      </c>
      <c r="F262" s="11">
        <v>5050</v>
      </c>
      <c r="G262" s="11">
        <v>0</v>
      </c>
      <c r="H262" s="14">
        <f t="shared" si="8"/>
        <v>31022.821899999999</v>
      </c>
      <c r="I262" s="14">
        <f t="shared" si="9"/>
        <v>167085.16070000001</v>
      </c>
      <c r="J262" s="8" t="s">
        <v>138</v>
      </c>
      <c r="K262" s="8" t="s">
        <v>509</v>
      </c>
    </row>
    <row r="263" spans="1:11" x14ac:dyDescent="0.2">
      <c r="A263" s="10">
        <v>60263000</v>
      </c>
      <c r="B263" s="10" t="s">
        <v>165</v>
      </c>
      <c r="C263" s="11">
        <v>28949.064000000006</v>
      </c>
      <c r="D263" s="11">
        <v>0</v>
      </c>
      <c r="E263" s="11">
        <v>0</v>
      </c>
      <c r="F263" s="11">
        <v>0</v>
      </c>
      <c r="G263" s="11">
        <v>0</v>
      </c>
      <c r="H263" s="14">
        <f t="shared" si="8"/>
        <v>0</v>
      </c>
      <c r="I263" s="14">
        <f t="shared" si="9"/>
        <v>28949.064000000006</v>
      </c>
      <c r="J263" s="8" t="s">
        <v>138</v>
      </c>
      <c r="K263" s="8" t="s">
        <v>509</v>
      </c>
    </row>
    <row r="264" spans="1:11" x14ac:dyDescent="0.2">
      <c r="A264" s="10">
        <v>60310000</v>
      </c>
      <c r="B264" s="10" t="s">
        <v>265</v>
      </c>
      <c r="C264" s="11">
        <v>-120258.17200000025</v>
      </c>
      <c r="D264" s="11">
        <v>0</v>
      </c>
      <c r="E264" s="11">
        <v>0</v>
      </c>
      <c r="F264" s="11">
        <v>10245362.843</v>
      </c>
      <c r="G264" s="11">
        <v>12132412.628</v>
      </c>
      <c r="H264" s="14">
        <f t="shared" si="8"/>
        <v>-1887049.7850000001</v>
      </c>
      <c r="I264" s="14">
        <f t="shared" si="9"/>
        <v>-2007307.9570000004</v>
      </c>
      <c r="J264" s="8" t="s">
        <v>138</v>
      </c>
      <c r="K264" s="8" t="s">
        <v>509</v>
      </c>
    </row>
    <row r="265" spans="1:11" x14ac:dyDescent="0.2">
      <c r="A265" s="10">
        <v>60330000</v>
      </c>
      <c r="B265" s="10" t="s">
        <v>266</v>
      </c>
      <c r="C265" s="11">
        <v>-150148.24</v>
      </c>
      <c r="D265" s="11">
        <v>0</v>
      </c>
      <c r="E265" s="11">
        <v>0</v>
      </c>
      <c r="F265" s="11">
        <v>733778.89099999995</v>
      </c>
      <c r="G265" s="11">
        <v>759042.34699999995</v>
      </c>
      <c r="H265" s="14">
        <f t="shared" si="8"/>
        <v>-25263.456000000006</v>
      </c>
      <c r="I265" s="14">
        <f t="shared" si="9"/>
        <v>-175411.696</v>
      </c>
      <c r="J265" s="8" t="s">
        <v>157</v>
      </c>
      <c r="K265" s="8" t="s">
        <v>512</v>
      </c>
    </row>
    <row r="266" spans="1:11" x14ac:dyDescent="0.2">
      <c r="A266" s="10">
        <v>60401000</v>
      </c>
      <c r="B266" s="10" t="s">
        <v>166</v>
      </c>
      <c r="C266" s="11">
        <v>125000</v>
      </c>
      <c r="D266" s="11">
        <v>0</v>
      </c>
      <c r="E266" s="11">
        <v>0</v>
      </c>
      <c r="F266" s="11">
        <v>25000</v>
      </c>
      <c r="G266" s="11">
        <v>0</v>
      </c>
      <c r="H266" s="14">
        <f t="shared" si="8"/>
        <v>25000</v>
      </c>
      <c r="I266" s="14">
        <f t="shared" si="9"/>
        <v>150000</v>
      </c>
      <c r="J266" s="8" t="s">
        <v>157</v>
      </c>
      <c r="K266" s="8" t="s">
        <v>512</v>
      </c>
    </row>
    <row r="267" spans="1:11" x14ac:dyDescent="0.2">
      <c r="A267" s="10">
        <v>60502000</v>
      </c>
      <c r="B267" s="10" t="s">
        <v>167</v>
      </c>
      <c r="C267" s="11">
        <v>359249.89857499988</v>
      </c>
      <c r="D267" s="11">
        <v>31285.764899999998</v>
      </c>
      <c r="E267" s="11">
        <v>0</v>
      </c>
      <c r="F267" s="11">
        <v>45244.04</v>
      </c>
      <c r="G267" s="11">
        <v>24363.52</v>
      </c>
      <c r="H267" s="14">
        <f t="shared" si="8"/>
        <v>52166.284899999999</v>
      </c>
      <c r="I267" s="14">
        <f t="shared" si="9"/>
        <v>411416.18347499985</v>
      </c>
      <c r="J267" s="8" t="s">
        <v>157</v>
      </c>
      <c r="K267" s="8" t="s">
        <v>512</v>
      </c>
    </row>
    <row r="268" spans="1:11" x14ac:dyDescent="0.2">
      <c r="A268" s="10">
        <v>60504000</v>
      </c>
      <c r="B268" s="10" t="s">
        <v>168</v>
      </c>
      <c r="C268" s="11">
        <v>1600</v>
      </c>
      <c r="D268" s="11">
        <v>2245</v>
      </c>
      <c r="E268" s="11">
        <v>0</v>
      </c>
      <c r="F268" s="11">
        <v>0</v>
      </c>
      <c r="G268" s="11">
        <v>0</v>
      </c>
      <c r="H268" s="14">
        <f t="shared" si="8"/>
        <v>2245</v>
      </c>
      <c r="I268" s="14">
        <f t="shared" si="9"/>
        <v>3845</v>
      </c>
      <c r="J268" s="8" t="s">
        <v>157</v>
      </c>
      <c r="K268" s="8" t="s">
        <v>512</v>
      </c>
    </row>
    <row r="269" spans="1:11" x14ac:dyDescent="0.2">
      <c r="A269" s="10">
        <v>60614000</v>
      </c>
      <c r="B269" s="10" t="s">
        <v>171</v>
      </c>
      <c r="C269" s="11">
        <v>105783.769</v>
      </c>
      <c r="D269" s="11">
        <v>18694.113000000001</v>
      </c>
      <c r="E269" s="11">
        <v>0</v>
      </c>
      <c r="F269" s="11">
        <v>0</v>
      </c>
      <c r="G269" s="11">
        <v>0</v>
      </c>
      <c r="H269" s="14">
        <f t="shared" si="8"/>
        <v>18694.113000000001</v>
      </c>
      <c r="I269" s="14">
        <f t="shared" si="9"/>
        <v>124477.882</v>
      </c>
      <c r="J269" s="8" t="s">
        <v>157</v>
      </c>
      <c r="K269" s="8" t="s">
        <v>512</v>
      </c>
    </row>
    <row r="270" spans="1:11" x14ac:dyDescent="0.2">
      <c r="A270" s="10">
        <v>60620000</v>
      </c>
      <c r="B270" s="10" t="s">
        <v>172</v>
      </c>
      <c r="C270" s="11">
        <v>12505.044000000002</v>
      </c>
      <c r="D270" s="11">
        <v>641.20500000000004</v>
      </c>
      <c r="E270" s="11">
        <v>0</v>
      </c>
      <c r="F270" s="11">
        <v>0</v>
      </c>
      <c r="G270" s="11">
        <v>221</v>
      </c>
      <c r="H270" s="14">
        <f t="shared" si="8"/>
        <v>420.20500000000004</v>
      </c>
      <c r="I270" s="14">
        <f t="shared" si="9"/>
        <v>12925.249000000002</v>
      </c>
      <c r="J270" s="8" t="s">
        <v>157</v>
      </c>
      <c r="K270" s="8" t="s">
        <v>512</v>
      </c>
    </row>
    <row r="271" spans="1:11" x14ac:dyDescent="0.2">
      <c r="A271" s="10">
        <v>60650000</v>
      </c>
      <c r="B271" s="10" t="s">
        <v>373</v>
      </c>
      <c r="C271" s="11">
        <v>3900</v>
      </c>
      <c r="D271" s="11">
        <v>0</v>
      </c>
      <c r="E271" s="11">
        <v>0</v>
      </c>
      <c r="F271" s="11">
        <v>0</v>
      </c>
      <c r="G271" s="11">
        <v>0</v>
      </c>
      <c r="H271" s="14">
        <f t="shared" si="8"/>
        <v>0</v>
      </c>
      <c r="I271" s="14">
        <f t="shared" si="9"/>
        <v>3900</v>
      </c>
      <c r="J271" s="8" t="s">
        <v>138</v>
      </c>
      <c r="K271" s="8" t="s">
        <v>509</v>
      </c>
    </row>
    <row r="272" spans="1:11" x14ac:dyDescent="0.2">
      <c r="A272" s="10">
        <v>60660000</v>
      </c>
      <c r="B272" s="10" t="s">
        <v>173</v>
      </c>
      <c r="C272" s="11">
        <v>14120.371000000001</v>
      </c>
      <c r="D272" s="11">
        <v>846</v>
      </c>
      <c r="E272" s="11">
        <v>0</v>
      </c>
      <c r="F272" s="11">
        <v>490</v>
      </c>
      <c r="G272" s="11">
        <v>0</v>
      </c>
      <c r="H272" s="14">
        <f t="shared" si="8"/>
        <v>1336</v>
      </c>
      <c r="I272" s="14">
        <f t="shared" si="9"/>
        <v>15456.371000000001</v>
      </c>
      <c r="J272" s="8" t="s">
        <v>157</v>
      </c>
      <c r="K272" s="8" t="s">
        <v>512</v>
      </c>
    </row>
    <row r="273" spans="1:11" x14ac:dyDescent="0.2">
      <c r="A273" s="10">
        <v>60670000</v>
      </c>
      <c r="B273" s="10" t="s">
        <v>174</v>
      </c>
      <c r="C273" s="11">
        <v>7183.04</v>
      </c>
      <c r="D273" s="11">
        <v>1457.75</v>
      </c>
      <c r="E273" s="11">
        <v>0</v>
      </c>
      <c r="F273" s="11">
        <v>0</v>
      </c>
      <c r="G273" s="11">
        <v>0</v>
      </c>
      <c r="H273" s="14">
        <f t="shared" si="8"/>
        <v>1457.75</v>
      </c>
      <c r="I273" s="14">
        <f t="shared" si="9"/>
        <v>8640.7900000000009</v>
      </c>
      <c r="J273" s="8" t="s">
        <v>157</v>
      </c>
      <c r="K273" s="8" t="s">
        <v>512</v>
      </c>
    </row>
    <row r="274" spans="1:11" x14ac:dyDescent="0.2">
      <c r="A274" s="10">
        <v>60671000</v>
      </c>
      <c r="B274" s="10" t="s">
        <v>374</v>
      </c>
      <c r="C274" s="11">
        <v>68039.736000000004</v>
      </c>
      <c r="D274" s="11">
        <v>2243.2550000000001</v>
      </c>
      <c r="E274" s="11">
        <v>0</v>
      </c>
      <c r="F274" s="11">
        <v>0</v>
      </c>
      <c r="G274" s="11">
        <v>0</v>
      </c>
      <c r="H274" s="14">
        <f t="shared" si="8"/>
        <v>2243.2550000000001</v>
      </c>
      <c r="I274" s="14">
        <f t="shared" si="9"/>
        <v>70282.991000000009</v>
      </c>
      <c r="J274" s="8" t="s">
        <v>157</v>
      </c>
      <c r="K274" s="8" t="s">
        <v>512</v>
      </c>
    </row>
    <row r="275" spans="1:11" x14ac:dyDescent="0.2">
      <c r="A275" s="10">
        <v>60672000</v>
      </c>
      <c r="B275" s="10" t="s">
        <v>7569</v>
      </c>
      <c r="C275" s="11">
        <v>3369.5</v>
      </c>
      <c r="D275" s="11">
        <v>0</v>
      </c>
      <c r="E275" s="11">
        <v>0</v>
      </c>
      <c r="F275" s="11">
        <v>0</v>
      </c>
      <c r="G275" s="11">
        <v>0</v>
      </c>
      <c r="H275" s="14">
        <f t="shared" si="8"/>
        <v>0</v>
      </c>
      <c r="I275" s="14">
        <f t="shared" si="9"/>
        <v>3369.5</v>
      </c>
      <c r="J275" s="8" t="s">
        <v>157</v>
      </c>
      <c r="K275" s="8" t="s">
        <v>512</v>
      </c>
    </row>
    <row r="276" spans="1:11" x14ac:dyDescent="0.2">
      <c r="A276" s="10">
        <v>60700000</v>
      </c>
      <c r="B276" s="10" t="s">
        <v>7719</v>
      </c>
      <c r="C276" s="11">
        <v>15708</v>
      </c>
      <c r="D276" s="11">
        <v>0</v>
      </c>
      <c r="E276" s="11">
        <v>0</v>
      </c>
      <c r="F276" s="11">
        <v>15708</v>
      </c>
      <c r="G276" s="11">
        <v>15708</v>
      </c>
      <c r="H276" s="14">
        <f t="shared" si="8"/>
        <v>0</v>
      </c>
      <c r="I276" s="14">
        <f t="shared" si="9"/>
        <v>15708</v>
      </c>
      <c r="J276" s="8" t="s">
        <v>157</v>
      </c>
      <c r="K276" s="8" t="s">
        <v>512</v>
      </c>
    </row>
    <row r="277" spans="1:11" x14ac:dyDescent="0.2">
      <c r="A277" s="10">
        <v>61400000</v>
      </c>
      <c r="B277" s="10" t="s">
        <v>175</v>
      </c>
      <c r="C277" s="11">
        <v>15036.107999999997</v>
      </c>
      <c r="D277" s="11">
        <v>1824.444</v>
      </c>
      <c r="E277" s="11">
        <v>0</v>
      </c>
      <c r="F277" s="11">
        <v>0</v>
      </c>
      <c r="G277" s="11">
        <v>0</v>
      </c>
      <c r="H277" s="14">
        <f t="shared" si="8"/>
        <v>1824.444</v>
      </c>
      <c r="I277" s="14">
        <f t="shared" si="9"/>
        <v>16860.551999999996</v>
      </c>
      <c r="J277" s="8" t="s">
        <v>157</v>
      </c>
      <c r="K277" s="8" t="s">
        <v>512</v>
      </c>
    </row>
    <row r="278" spans="1:11" x14ac:dyDescent="0.2">
      <c r="A278" s="10">
        <v>61500000</v>
      </c>
      <c r="B278" s="10" t="s">
        <v>176</v>
      </c>
      <c r="C278" s="11">
        <v>111726.08799999999</v>
      </c>
      <c r="D278" s="11">
        <v>20912.617999999999</v>
      </c>
      <c r="E278" s="11">
        <v>0</v>
      </c>
      <c r="F278" s="11">
        <v>7150</v>
      </c>
      <c r="G278" s="11">
        <v>17428.485000000001</v>
      </c>
      <c r="H278" s="14">
        <f t="shared" si="8"/>
        <v>10634.132999999998</v>
      </c>
      <c r="I278" s="14">
        <f t="shared" si="9"/>
        <v>122360.22099999999</v>
      </c>
      <c r="J278" s="8" t="s">
        <v>157</v>
      </c>
      <c r="K278" s="8" t="s">
        <v>512</v>
      </c>
    </row>
    <row r="279" spans="1:11" x14ac:dyDescent="0.2">
      <c r="A279" s="10">
        <v>61501000</v>
      </c>
      <c r="B279" s="10" t="s">
        <v>177</v>
      </c>
      <c r="C279" s="11">
        <v>119601.61399999997</v>
      </c>
      <c r="D279" s="11">
        <v>3854.8050000000003</v>
      </c>
      <c r="E279" s="11">
        <v>0</v>
      </c>
      <c r="F279" s="11">
        <v>1190</v>
      </c>
      <c r="G279" s="11">
        <v>1190</v>
      </c>
      <c r="H279" s="14">
        <f t="shared" si="8"/>
        <v>3854.8050000000003</v>
      </c>
      <c r="I279" s="14">
        <f t="shared" si="9"/>
        <v>123456.41899999997</v>
      </c>
      <c r="J279" s="8" t="s">
        <v>157</v>
      </c>
      <c r="K279" s="8" t="s">
        <v>512</v>
      </c>
    </row>
    <row r="280" spans="1:11" x14ac:dyDescent="0.2">
      <c r="A280" s="10">
        <v>61600000</v>
      </c>
      <c r="B280" s="10" t="s">
        <v>397</v>
      </c>
      <c r="C280" s="11">
        <v>12929.566999999999</v>
      </c>
      <c r="D280" s="11">
        <v>800</v>
      </c>
      <c r="E280" s="11">
        <v>0</v>
      </c>
      <c r="F280" s="11">
        <v>2573.3330000000001</v>
      </c>
      <c r="G280" s="11">
        <v>0</v>
      </c>
      <c r="H280" s="14">
        <f t="shared" si="8"/>
        <v>3373.3330000000001</v>
      </c>
      <c r="I280" s="14">
        <f t="shared" si="9"/>
        <v>16302.9</v>
      </c>
      <c r="J280" s="8" t="s">
        <v>157</v>
      </c>
      <c r="K280" s="8" t="s">
        <v>512</v>
      </c>
    </row>
    <row r="281" spans="1:11" x14ac:dyDescent="0.2">
      <c r="A281" s="10">
        <v>61603000</v>
      </c>
      <c r="B281" s="10" t="s">
        <v>178</v>
      </c>
      <c r="C281" s="11">
        <v>20867.2071</v>
      </c>
      <c r="D281" s="11">
        <v>0</v>
      </c>
      <c r="E281" s="11">
        <v>0</v>
      </c>
      <c r="F281" s="11">
        <v>2359.1680000000001</v>
      </c>
      <c r="G281" s="11">
        <v>0</v>
      </c>
      <c r="H281" s="14">
        <f t="shared" si="8"/>
        <v>2359.1680000000001</v>
      </c>
      <c r="I281" s="14">
        <f t="shared" si="9"/>
        <v>23226.375100000001</v>
      </c>
      <c r="J281" s="8" t="s">
        <v>157</v>
      </c>
      <c r="K281" s="8" t="s">
        <v>512</v>
      </c>
    </row>
    <row r="282" spans="1:11" x14ac:dyDescent="0.2">
      <c r="A282" s="10">
        <v>61607000</v>
      </c>
      <c r="B282" s="10" t="s">
        <v>179</v>
      </c>
      <c r="C282" s="11">
        <v>7365.5999999999985</v>
      </c>
      <c r="D282" s="11">
        <v>0</v>
      </c>
      <c r="E282" s="11">
        <v>0</v>
      </c>
      <c r="F282" s="11">
        <v>1227.5999999999999</v>
      </c>
      <c r="G282" s="11">
        <v>0</v>
      </c>
      <c r="H282" s="14">
        <f t="shared" si="8"/>
        <v>1227.5999999999999</v>
      </c>
      <c r="I282" s="14">
        <f t="shared" si="9"/>
        <v>8593.1999999999989</v>
      </c>
      <c r="J282" s="8" t="s">
        <v>157</v>
      </c>
      <c r="K282" s="8" t="s">
        <v>512</v>
      </c>
    </row>
    <row r="283" spans="1:11" x14ac:dyDescent="0.2">
      <c r="A283" s="10">
        <v>62120000</v>
      </c>
      <c r="B283" s="10" t="s">
        <v>180</v>
      </c>
      <c r="C283" s="11">
        <v>29665.82</v>
      </c>
      <c r="D283" s="11">
        <v>6012.9800000000005</v>
      </c>
      <c r="E283" s="11">
        <v>0</v>
      </c>
      <c r="F283" s="11">
        <v>0</v>
      </c>
      <c r="G283" s="11">
        <v>0</v>
      </c>
      <c r="H283" s="14">
        <f t="shared" si="8"/>
        <v>6012.9800000000005</v>
      </c>
      <c r="I283" s="14">
        <f t="shared" si="9"/>
        <v>35678.800000000003</v>
      </c>
      <c r="J283" s="8" t="s">
        <v>157</v>
      </c>
      <c r="K283" s="8" t="s">
        <v>512</v>
      </c>
    </row>
    <row r="284" spans="1:11" x14ac:dyDescent="0.2">
      <c r="A284" s="10">
        <v>62200000</v>
      </c>
      <c r="B284" s="10" t="s">
        <v>181</v>
      </c>
      <c r="C284" s="11">
        <v>6066.6680000000006</v>
      </c>
      <c r="D284" s="11">
        <v>0</v>
      </c>
      <c r="E284" s="11">
        <v>0</v>
      </c>
      <c r="F284" s="11">
        <v>866.66700000000003</v>
      </c>
      <c r="G284" s="11">
        <v>0</v>
      </c>
      <c r="H284" s="14">
        <f t="shared" si="8"/>
        <v>866.66700000000003</v>
      </c>
      <c r="I284" s="14">
        <f t="shared" si="9"/>
        <v>6933.3350000000009</v>
      </c>
      <c r="J284" s="8" t="s">
        <v>157</v>
      </c>
      <c r="K284" s="8" t="s">
        <v>512</v>
      </c>
    </row>
    <row r="285" spans="1:11" x14ac:dyDescent="0.2">
      <c r="A285" s="10">
        <v>62210000</v>
      </c>
      <c r="B285" s="10" t="s">
        <v>398</v>
      </c>
      <c r="C285" s="11">
        <v>2685.5039999999999</v>
      </c>
      <c r="D285" s="11">
        <v>0</v>
      </c>
      <c r="E285" s="11">
        <v>0</v>
      </c>
      <c r="F285" s="11">
        <v>0</v>
      </c>
      <c r="G285" s="11">
        <v>0</v>
      </c>
      <c r="H285" s="14">
        <f t="shared" si="8"/>
        <v>0</v>
      </c>
      <c r="I285" s="14">
        <f t="shared" si="9"/>
        <v>2685.5039999999999</v>
      </c>
      <c r="J285" s="8" t="s">
        <v>157</v>
      </c>
      <c r="K285" s="8" t="s">
        <v>512</v>
      </c>
    </row>
    <row r="286" spans="1:11" x14ac:dyDescent="0.2">
      <c r="A286" s="10">
        <v>62230000</v>
      </c>
      <c r="B286" s="10" t="s">
        <v>375</v>
      </c>
      <c r="C286" s="11">
        <v>8588.9709999999995</v>
      </c>
      <c r="D286" s="11">
        <v>1100</v>
      </c>
      <c r="E286" s="11">
        <v>0</v>
      </c>
      <c r="F286" s="11">
        <v>0</v>
      </c>
      <c r="G286" s="11">
        <v>0</v>
      </c>
      <c r="H286" s="14">
        <f t="shared" si="8"/>
        <v>1100</v>
      </c>
      <c r="I286" s="14">
        <f t="shared" si="9"/>
        <v>9688.9709999999995</v>
      </c>
      <c r="J286" s="8" t="s">
        <v>157</v>
      </c>
      <c r="K286" s="8" t="s">
        <v>512</v>
      </c>
    </row>
    <row r="287" spans="1:11" x14ac:dyDescent="0.2">
      <c r="A287" s="10">
        <v>62240000</v>
      </c>
      <c r="B287" s="10" t="s">
        <v>267</v>
      </c>
      <c r="C287" s="11">
        <v>19188.378199999999</v>
      </c>
      <c r="D287" s="11">
        <v>0</v>
      </c>
      <c r="E287" s="11">
        <v>0</v>
      </c>
      <c r="F287" s="11">
        <v>2865.5630000000001</v>
      </c>
      <c r="G287" s="11">
        <v>0</v>
      </c>
      <c r="H287" s="14">
        <f t="shared" si="8"/>
        <v>2865.5630000000001</v>
      </c>
      <c r="I287" s="14">
        <f t="shared" si="9"/>
        <v>22053.941200000001</v>
      </c>
      <c r="J287" s="8" t="s">
        <v>157</v>
      </c>
      <c r="K287" s="8" t="s">
        <v>512</v>
      </c>
    </row>
    <row r="288" spans="1:11" x14ac:dyDescent="0.2">
      <c r="A288" s="10">
        <v>62250000</v>
      </c>
      <c r="B288" s="10" t="s">
        <v>268</v>
      </c>
      <c r="C288" s="11">
        <v>30000</v>
      </c>
      <c r="D288" s="11">
        <v>0</v>
      </c>
      <c r="E288" s="11">
        <v>0</v>
      </c>
      <c r="F288" s="11">
        <v>5000</v>
      </c>
      <c r="G288" s="11">
        <v>0</v>
      </c>
      <c r="H288" s="14">
        <f t="shared" si="8"/>
        <v>5000</v>
      </c>
      <c r="I288" s="14">
        <f t="shared" si="9"/>
        <v>35000</v>
      </c>
      <c r="J288" s="8" t="s">
        <v>157</v>
      </c>
      <c r="K288" s="8" t="s">
        <v>512</v>
      </c>
    </row>
    <row r="289" spans="1:11" x14ac:dyDescent="0.2">
      <c r="A289" s="10">
        <v>62260000</v>
      </c>
      <c r="B289" s="10" t="s">
        <v>7402</v>
      </c>
      <c r="C289" s="11">
        <v>16361.352999999999</v>
      </c>
      <c r="D289" s="11">
        <v>3436</v>
      </c>
      <c r="E289" s="11">
        <v>0</v>
      </c>
      <c r="F289" s="11">
        <v>0</v>
      </c>
      <c r="G289" s="11">
        <v>0</v>
      </c>
      <c r="H289" s="14">
        <f t="shared" si="8"/>
        <v>3436</v>
      </c>
      <c r="I289" s="14">
        <f t="shared" si="9"/>
        <v>19797.352999999999</v>
      </c>
      <c r="J289" s="8" t="s">
        <v>157</v>
      </c>
      <c r="K289" s="8" t="s">
        <v>512</v>
      </c>
    </row>
    <row r="290" spans="1:11" x14ac:dyDescent="0.2">
      <c r="A290" s="10">
        <v>62270000</v>
      </c>
      <c r="B290" s="10" t="s">
        <v>399</v>
      </c>
      <c r="C290" s="11">
        <v>490.93500000000006</v>
      </c>
      <c r="D290" s="11">
        <v>0</v>
      </c>
      <c r="E290" s="11">
        <v>0</v>
      </c>
      <c r="F290" s="11">
        <v>0</v>
      </c>
      <c r="G290" s="11">
        <v>0</v>
      </c>
      <c r="H290" s="14">
        <f t="shared" si="8"/>
        <v>0</v>
      </c>
      <c r="I290" s="14">
        <f t="shared" si="9"/>
        <v>490.93500000000006</v>
      </c>
      <c r="J290" s="8" t="s">
        <v>157</v>
      </c>
      <c r="K290" s="8" t="s">
        <v>512</v>
      </c>
    </row>
    <row r="291" spans="1:11" x14ac:dyDescent="0.2">
      <c r="A291" s="10">
        <v>62300000</v>
      </c>
      <c r="B291" s="10" t="s">
        <v>182</v>
      </c>
      <c r="C291" s="11">
        <v>45000</v>
      </c>
      <c r="D291" s="11">
        <v>0</v>
      </c>
      <c r="E291" s="11">
        <v>0</v>
      </c>
      <c r="F291" s="11">
        <v>7500</v>
      </c>
      <c r="G291" s="11">
        <v>0</v>
      </c>
      <c r="H291" s="14">
        <f t="shared" si="8"/>
        <v>7500</v>
      </c>
      <c r="I291" s="14">
        <f t="shared" si="9"/>
        <v>52500</v>
      </c>
      <c r="J291" s="8" t="s">
        <v>157</v>
      </c>
      <c r="K291" s="8" t="s">
        <v>512</v>
      </c>
    </row>
    <row r="292" spans="1:11" x14ac:dyDescent="0.2">
      <c r="A292" s="10">
        <v>62301000</v>
      </c>
      <c r="B292" s="10" t="s">
        <v>7397</v>
      </c>
      <c r="C292" s="11">
        <v>28979.69</v>
      </c>
      <c r="D292" s="11">
        <v>1000</v>
      </c>
      <c r="E292" s="11">
        <v>0</v>
      </c>
      <c r="F292" s="11">
        <v>0</v>
      </c>
      <c r="G292" s="11">
        <v>0</v>
      </c>
      <c r="H292" s="14">
        <f t="shared" si="8"/>
        <v>1000</v>
      </c>
      <c r="I292" s="14">
        <f t="shared" si="9"/>
        <v>29979.69</v>
      </c>
      <c r="J292" s="8" t="s">
        <v>157</v>
      </c>
      <c r="K292" s="8" t="s">
        <v>512</v>
      </c>
    </row>
    <row r="293" spans="1:11" x14ac:dyDescent="0.2">
      <c r="A293" s="10">
        <v>62410000</v>
      </c>
      <c r="B293" s="10" t="s">
        <v>183</v>
      </c>
      <c r="C293" s="11">
        <v>4540</v>
      </c>
      <c r="D293" s="11">
        <v>215</v>
      </c>
      <c r="E293" s="11">
        <v>0</v>
      </c>
      <c r="F293" s="11">
        <v>0</v>
      </c>
      <c r="G293" s="11">
        <v>0</v>
      </c>
      <c r="H293" s="14">
        <f t="shared" si="8"/>
        <v>215</v>
      </c>
      <c r="I293" s="14">
        <f t="shared" si="9"/>
        <v>4755</v>
      </c>
      <c r="J293" s="8" t="s">
        <v>157</v>
      </c>
      <c r="K293" s="8" t="s">
        <v>512</v>
      </c>
    </row>
    <row r="294" spans="1:11" x14ac:dyDescent="0.2">
      <c r="A294" s="10">
        <v>62430000</v>
      </c>
      <c r="B294" s="10" t="s">
        <v>159</v>
      </c>
      <c r="C294" s="11">
        <v>311287.89999999997</v>
      </c>
      <c r="D294" s="11">
        <v>29459.917999999998</v>
      </c>
      <c r="E294" s="11">
        <v>0</v>
      </c>
      <c r="F294" s="11">
        <v>0</v>
      </c>
      <c r="G294" s="11">
        <v>0</v>
      </c>
      <c r="H294" s="14">
        <f t="shared" si="8"/>
        <v>29459.917999999998</v>
      </c>
      <c r="I294" s="14">
        <f t="shared" si="9"/>
        <v>340747.81799999997</v>
      </c>
      <c r="J294" s="8" t="s">
        <v>157</v>
      </c>
      <c r="K294" s="8" t="s">
        <v>512</v>
      </c>
    </row>
    <row r="295" spans="1:11" x14ac:dyDescent="0.2">
      <c r="A295" s="10">
        <v>62500000</v>
      </c>
      <c r="B295" s="10" t="s">
        <v>185</v>
      </c>
      <c r="C295" s="11">
        <v>632.1</v>
      </c>
      <c r="D295" s="11">
        <v>42</v>
      </c>
      <c r="E295" s="11">
        <v>0</v>
      </c>
      <c r="F295" s="11">
        <v>0</v>
      </c>
      <c r="G295" s="11">
        <v>0</v>
      </c>
      <c r="H295" s="14">
        <f t="shared" si="8"/>
        <v>42</v>
      </c>
      <c r="I295" s="14">
        <f t="shared" si="9"/>
        <v>674.1</v>
      </c>
      <c r="J295" s="8" t="s">
        <v>157</v>
      </c>
      <c r="K295" s="8" t="s">
        <v>512</v>
      </c>
    </row>
    <row r="296" spans="1:11" x14ac:dyDescent="0.2">
      <c r="A296" s="10">
        <v>62510000</v>
      </c>
      <c r="B296" s="10" t="s">
        <v>7571</v>
      </c>
      <c r="C296" s="11">
        <v>5831</v>
      </c>
      <c r="D296" s="11">
        <v>0</v>
      </c>
      <c r="E296" s="11">
        <v>0</v>
      </c>
      <c r="F296" s="11">
        <v>0</v>
      </c>
      <c r="G296" s="11">
        <v>0</v>
      </c>
      <c r="H296" s="14">
        <f t="shared" si="8"/>
        <v>0</v>
      </c>
      <c r="I296" s="14">
        <f t="shared" si="9"/>
        <v>5831</v>
      </c>
      <c r="J296" s="8" t="s">
        <v>157</v>
      </c>
      <c r="K296" s="8" t="s">
        <v>512</v>
      </c>
    </row>
    <row r="297" spans="1:11" x14ac:dyDescent="0.2">
      <c r="A297" s="10">
        <v>62520000</v>
      </c>
      <c r="B297" s="10" t="s">
        <v>7403</v>
      </c>
      <c r="C297" s="11">
        <v>22316</v>
      </c>
      <c r="D297" s="11">
        <v>1530</v>
      </c>
      <c r="E297" s="11">
        <v>0</v>
      </c>
      <c r="F297" s="11">
        <v>0</v>
      </c>
      <c r="G297" s="11">
        <v>0</v>
      </c>
      <c r="H297" s="14">
        <f t="shared" si="8"/>
        <v>1530</v>
      </c>
      <c r="I297" s="14">
        <f t="shared" si="9"/>
        <v>23846</v>
      </c>
      <c r="J297" s="8" t="s">
        <v>157</v>
      </c>
      <c r="K297" s="8" t="s">
        <v>512</v>
      </c>
    </row>
    <row r="298" spans="1:11" x14ac:dyDescent="0.2">
      <c r="A298" s="10">
        <v>62570000</v>
      </c>
      <c r="B298" s="10" t="s">
        <v>186</v>
      </c>
      <c r="C298" s="11">
        <v>16906.900000000001</v>
      </c>
      <c r="D298" s="11">
        <v>5516.8</v>
      </c>
      <c r="E298" s="11">
        <v>0</v>
      </c>
      <c r="F298" s="11">
        <v>0</v>
      </c>
      <c r="G298" s="11">
        <v>0</v>
      </c>
      <c r="H298" s="14">
        <f t="shared" si="8"/>
        <v>5516.8</v>
      </c>
      <c r="I298" s="14">
        <f t="shared" si="9"/>
        <v>22423.7</v>
      </c>
      <c r="J298" s="8" t="s">
        <v>157</v>
      </c>
      <c r="K298" s="8" t="s">
        <v>512</v>
      </c>
    </row>
    <row r="299" spans="1:11" x14ac:dyDescent="0.2">
      <c r="A299" s="10">
        <v>62571000</v>
      </c>
      <c r="B299" s="10" t="s">
        <v>376</v>
      </c>
      <c r="C299" s="11">
        <v>9321.902</v>
      </c>
      <c r="D299" s="11">
        <v>2287.33</v>
      </c>
      <c r="E299" s="11">
        <v>0</v>
      </c>
      <c r="F299" s="11">
        <v>0</v>
      </c>
      <c r="G299" s="11">
        <v>0</v>
      </c>
      <c r="H299" s="14">
        <f t="shared" si="8"/>
        <v>2287.33</v>
      </c>
      <c r="I299" s="14">
        <f t="shared" si="9"/>
        <v>11609.232</v>
      </c>
      <c r="J299" s="8" t="s">
        <v>157</v>
      </c>
      <c r="K299" s="8" t="s">
        <v>512</v>
      </c>
    </row>
    <row r="300" spans="1:11" x14ac:dyDescent="0.2">
      <c r="A300" s="10">
        <v>62572000</v>
      </c>
      <c r="B300" s="10" t="s">
        <v>377</v>
      </c>
      <c r="C300" s="11">
        <v>5403.2</v>
      </c>
      <c r="D300" s="11">
        <v>1113.5999999999999</v>
      </c>
      <c r="E300" s="11">
        <v>0</v>
      </c>
      <c r="F300" s="11">
        <v>0</v>
      </c>
      <c r="G300" s="11">
        <v>0</v>
      </c>
      <c r="H300" s="14">
        <f t="shared" si="8"/>
        <v>1113.5999999999999</v>
      </c>
      <c r="I300" s="14">
        <f t="shared" si="9"/>
        <v>6516.7999999999993</v>
      </c>
      <c r="J300" s="8" t="s">
        <v>157</v>
      </c>
      <c r="K300" s="8" t="s">
        <v>512</v>
      </c>
    </row>
    <row r="301" spans="1:11" x14ac:dyDescent="0.2">
      <c r="A301" s="10">
        <v>62573000</v>
      </c>
      <c r="B301" s="10" t="s">
        <v>378</v>
      </c>
      <c r="C301" s="11">
        <v>2557.2159999999999</v>
      </c>
      <c r="D301" s="11">
        <v>202</v>
      </c>
      <c r="E301" s="11">
        <v>0</v>
      </c>
      <c r="F301" s="11">
        <v>0</v>
      </c>
      <c r="G301" s="11">
        <v>0</v>
      </c>
      <c r="H301" s="14">
        <f t="shared" si="8"/>
        <v>202</v>
      </c>
      <c r="I301" s="14">
        <f t="shared" si="9"/>
        <v>2759.2159999999999</v>
      </c>
      <c r="J301" s="8" t="s">
        <v>157</v>
      </c>
      <c r="K301" s="8" t="s">
        <v>512</v>
      </c>
    </row>
    <row r="302" spans="1:11" x14ac:dyDescent="0.2">
      <c r="A302" s="10">
        <v>62580000</v>
      </c>
      <c r="B302" s="10" t="s">
        <v>187</v>
      </c>
      <c r="C302" s="11">
        <v>12535</v>
      </c>
      <c r="D302" s="11">
        <v>180</v>
      </c>
      <c r="E302" s="11">
        <v>0</v>
      </c>
      <c r="F302" s="11">
        <v>0</v>
      </c>
      <c r="G302" s="11">
        <v>0</v>
      </c>
      <c r="H302" s="14">
        <f t="shared" si="8"/>
        <v>180</v>
      </c>
      <c r="I302" s="14">
        <f t="shared" si="9"/>
        <v>12715</v>
      </c>
      <c r="J302" s="8" t="s">
        <v>157</v>
      </c>
      <c r="K302" s="8" t="s">
        <v>512</v>
      </c>
    </row>
    <row r="303" spans="1:11" x14ac:dyDescent="0.2">
      <c r="A303" s="10">
        <v>62600000</v>
      </c>
      <c r="B303" s="10" t="s">
        <v>188</v>
      </c>
      <c r="C303" s="11">
        <v>20011.926999999996</v>
      </c>
      <c r="D303" s="11">
        <v>6734.4709999999995</v>
      </c>
      <c r="E303" s="11">
        <v>0</v>
      </c>
      <c r="F303" s="11">
        <v>0</v>
      </c>
      <c r="G303" s="11">
        <v>4376</v>
      </c>
      <c r="H303" s="14">
        <f t="shared" si="8"/>
        <v>2358.4709999999995</v>
      </c>
      <c r="I303" s="14">
        <f t="shared" si="9"/>
        <v>22370.397999999994</v>
      </c>
      <c r="J303" s="8" t="s">
        <v>157</v>
      </c>
      <c r="K303" s="8" t="s">
        <v>512</v>
      </c>
    </row>
    <row r="304" spans="1:11" x14ac:dyDescent="0.2">
      <c r="A304" s="10">
        <v>62780000</v>
      </c>
      <c r="B304" s="10" t="s">
        <v>189</v>
      </c>
      <c r="C304" s="11">
        <v>97417.123000000036</v>
      </c>
      <c r="D304" s="11">
        <v>31158.828999999998</v>
      </c>
      <c r="E304" s="11">
        <v>0</v>
      </c>
      <c r="F304" s="11">
        <v>7619.451</v>
      </c>
      <c r="G304" s="11">
        <v>32804.603999999999</v>
      </c>
      <c r="H304" s="14">
        <f t="shared" si="8"/>
        <v>5973.6759999999995</v>
      </c>
      <c r="I304" s="14">
        <f t="shared" si="9"/>
        <v>103390.79900000003</v>
      </c>
      <c r="J304" s="8" t="s">
        <v>195</v>
      </c>
      <c r="K304" s="8" t="s">
        <v>517</v>
      </c>
    </row>
    <row r="305" spans="1:11" x14ac:dyDescent="0.2">
      <c r="A305" s="10">
        <v>63300000</v>
      </c>
      <c r="B305" s="10" t="s">
        <v>269</v>
      </c>
      <c r="C305" s="11">
        <v>62499.995999999999</v>
      </c>
      <c r="D305" s="11">
        <v>0</v>
      </c>
      <c r="E305" s="11">
        <v>0</v>
      </c>
      <c r="F305" s="11">
        <v>10416.665999999999</v>
      </c>
      <c r="G305" s="11">
        <v>0</v>
      </c>
      <c r="H305" s="14">
        <f t="shared" si="8"/>
        <v>10416.665999999999</v>
      </c>
      <c r="I305" s="14">
        <f t="shared" si="9"/>
        <v>72916.661999999997</v>
      </c>
      <c r="J305" s="8" t="s">
        <v>157</v>
      </c>
      <c r="K305" s="8" t="s">
        <v>512</v>
      </c>
    </row>
    <row r="306" spans="1:11" x14ac:dyDescent="0.2">
      <c r="A306" s="10">
        <v>63610000</v>
      </c>
      <c r="B306" s="10" t="s">
        <v>7398</v>
      </c>
      <c r="C306" s="11">
        <v>1642.0889999999999</v>
      </c>
      <c r="D306" s="11">
        <v>500</v>
      </c>
      <c r="E306" s="11">
        <v>0</v>
      </c>
      <c r="F306" s="11">
        <v>0</v>
      </c>
      <c r="G306" s="11">
        <v>0</v>
      </c>
      <c r="H306" s="14">
        <f t="shared" si="8"/>
        <v>500</v>
      </c>
      <c r="I306" s="14">
        <f t="shared" si="9"/>
        <v>2142.0889999999999</v>
      </c>
      <c r="J306" s="8" t="s">
        <v>190</v>
      </c>
      <c r="K306" s="8" t="s">
        <v>519</v>
      </c>
    </row>
    <row r="307" spans="1:11" x14ac:dyDescent="0.2">
      <c r="A307" s="10">
        <v>64001000</v>
      </c>
      <c r="B307" s="10" t="s">
        <v>191</v>
      </c>
      <c r="C307" s="11">
        <v>2274118.875</v>
      </c>
      <c r="D307" s="11">
        <v>310315.16399999999</v>
      </c>
      <c r="E307" s="11">
        <v>0</v>
      </c>
      <c r="F307" s="11">
        <v>50606.930999999997</v>
      </c>
      <c r="G307" s="11">
        <v>0</v>
      </c>
      <c r="H307" s="14">
        <f t="shared" si="8"/>
        <v>360922.09499999997</v>
      </c>
      <c r="I307" s="14">
        <f t="shared" si="9"/>
        <v>2635040.9699999997</v>
      </c>
      <c r="J307" s="8" t="s">
        <v>192</v>
      </c>
      <c r="K307" s="8" t="s">
        <v>511</v>
      </c>
    </row>
    <row r="308" spans="1:11" x14ac:dyDescent="0.2">
      <c r="A308" s="10">
        <v>64600100</v>
      </c>
      <c r="B308" s="10" t="s">
        <v>407</v>
      </c>
      <c r="C308" s="11">
        <v>65680.966000000044</v>
      </c>
      <c r="D308" s="11">
        <v>249823.30699999997</v>
      </c>
      <c r="E308" s="11">
        <v>256085.008</v>
      </c>
      <c r="F308" s="11">
        <v>0</v>
      </c>
      <c r="G308" s="11">
        <v>0</v>
      </c>
      <c r="H308" s="14">
        <f t="shared" si="8"/>
        <v>-6261.70100000003</v>
      </c>
      <c r="I308" s="14">
        <f t="shared" si="9"/>
        <v>59419.265000000014</v>
      </c>
      <c r="J308" s="8" t="s">
        <v>192</v>
      </c>
      <c r="K308" s="8" t="s">
        <v>511</v>
      </c>
    </row>
    <row r="309" spans="1:11" x14ac:dyDescent="0.2">
      <c r="A309" s="10">
        <v>64720000</v>
      </c>
      <c r="B309" s="10" t="s">
        <v>194</v>
      </c>
      <c r="C309" s="11">
        <v>181743.67000000004</v>
      </c>
      <c r="D309" s="11">
        <v>0</v>
      </c>
      <c r="E309" s="11">
        <v>0</v>
      </c>
      <c r="F309" s="11">
        <v>28787.492999999999</v>
      </c>
      <c r="G309" s="11">
        <v>0</v>
      </c>
      <c r="H309" s="14">
        <f t="shared" si="8"/>
        <v>28787.492999999999</v>
      </c>
      <c r="I309" s="14">
        <f t="shared" si="9"/>
        <v>210531.16300000003</v>
      </c>
      <c r="J309" s="8" t="s">
        <v>192</v>
      </c>
      <c r="K309" s="8" t="s">
        <v>511</v>
      </c>
    </row>
    <row r="310" spans="1:11" x14ac:dyDescent="0.2">
      <c r="A310" s="10">
        <v>65110000</v>
      </c>
      <c r="B310" s="10" t="s">
        <v>385</v>
      </c>
      <c r="C310" s="11">
        <v>70636.383000000016</v>
      </c>
      <c r="D310" s="11">
        <v>35482.025999999998</v>
      </c>
      <c r="E310" s="11">
        <v>0</v>
      </c>
      <c r="F310" s="11">
        <v>14289.243200000001</v>
      </c>
      <c r="G310" s="11">
        <v>7188.6750000000002</v>
      </c>
      <c r="H310" s="14">
        <f t="shared" si="8"/>
        <v>42582.594199999992</v>
      </c>
      <c r="I310" s="14">
        <f t="shared" si="9"/>
        <v>113218.97720000001</v>
      </c>
      <c r="J310" s="8" t="s">
        <v>195</v>
      </c>
      <c r="K310" s="8" t="s">
        <v>517</v>
      </c>
    </row>
    <row r="311" spans="1:11" x14ac:dyDescent="0.2">
      <c r="A311" s="10">
        <v>65110200</v>
      </c>
      <c r="B311" s="10" t="s">
        <v>196</v>
      </c>
      <c r="C311" s="11">
        <v>220640.37100000001</v>
      </c>
      <c r="D311" s="11">
        <v>0</v>
      </c>
      <c r="E311" s="11">
        <v>0</v>
      </c>
      <c r="F311" s="11">
        <v>25578.704000000002</v>
      </c>
      <c r="G311" s="11">
        <v>0</v>
      </c>
      <c r="H311" s="14">
        <f t="shared" si="8"/>
        <v>25578.704000000002</v>
      </c>
      <c r="I311" s="14">
        <f t="shared" si="9"/>
        <v>246219.07500000001</v>
      </c>
      <c r="J311" s="8" t="s">
        <v>195</v>
      </c>
      <c r="K311" s="8" t="s">
        <v>517</v>
      </c>
    </row>
    <row r="312" spans="1:11" x14ac:dyDescent="0.2">
      <c r="A312" s="10">
        <v>65110400</v>
      </c>
      <c r="B312" s="10" t="s">
        <v>197</v>
      </c>
      <c r="C312" s="11">
        <v>339009.24550000008</v>
      </c>
      <c r="D312" s="11">
        <v>0</v>
      </c>
      <c r="E312" s="11">
        <v>0</v>
      </c>
      <c r="F312" s="11">
        <v>39351.851999999999</v>
      </c>
      <c r="G312" s="11">
        <v>0</v>
      </c>
      <c r="H312" s="14">
        <f t="shared" si="8"/>
        <v>39351.851999999999</v>
      </c>
      <c r="I312" s="14">
        <f t="shared" si="9"/>
        <v>378361.09750000009</v>
      </c>
      <c r="J312" s="8" t="s">
        <v>195</v>
      </c>
      <c r="K312" s="8" t="s">
        <v>517</v>
      </c>
    </row>
    <row r="313" spans="1:11" x14ac:dyDescent="0.2">
      <c r="A313" s="10">
        <v>65115000</v>
      </c>
      <c r="B313" s="10" t="s">
        <v>379</v>
      </c>
      <c r="C313" s="11">
        <v>22157.144000000004</v>
      </c>
      <c r="D313" s="11">
        <v>3310.5340000000006</v>
      </c>
      <c r="E313" s="11">
        <v>0</v>
      </c>
      <c r="F313" s="11">
        <v>0</v>
      </c>
      <c r="G313" s="11">
        <v>0</v>
      </c>
      <c r="H313" s="14">
        <f t="shared" si="8"/>
        <v>3310.5340000000006</v>
      </c>
      <c r="I313" s="14">
        <f t="shared" si="9"/>
        <v>25467.678000000004</v>
      </c>
      <c r="J313" s="8" t="s">
        <v>195</v>
      </c>
      <c r="K313" s="8" t="s">
        <v>517</v>
      </c>
    </row>
    <row r="314" spans="1:11" x14ac:dyDescent="0.2">
      <c r="A314" s="10">
        <v>65150000</v>
      </c>
      <c r="B314" s="10" t="s">
        <v>270</v>
      </c>
      <c r="C314" s="11">
        <v>78897.535000000003</v>
      </c>
      <c r="D314" s="11">
        <v>0</v>
      </c>
      <c r="E314" s="11">
        <v>0</v>
      </c>
      <c r="F314" s="11">
        <v>14064.657999999999</v>
      </c>
      <c r="G314" s="11">
        <v>0</v>
      </c>
      <c r="H314" s="14">
        <f t="shared" si="8"/>
        <v>14064.657999999999</v>
      </c>
      <c r="I314" s="14">
        <f t="shared" si="9"/>
        <v>92962.192999999999</v>
      </c>
      <c r="J314" s="8" t="s">
        <v>195</v>
      </c>
      <c r="K314" s="8" t="s">
        <v>517</v>
      </c>
    </row>
    <row r="315" spans="1:11" x14ac:dyDescent="0.2">
      <c r="A315" s="10">
        <v>65190000</v>
      </c>
      <c r="B315" s="10" t="s">
        <v>198</v>
      </c>
      <c r="C315" s="11">
        <v>164103.24729999999</v>
      </c>
      <c r="D315" s="11">
        <v>96527.482999999993</v>
      </c>
      <c r="E315" s="11">
        <v>0</v>
      </c>
      <c r="F315" s="11">
        <v>32175.828000000001</v>
      </c>
      <c r="G315" s="11">
        <v>77711.154999999999</v>
      </c>
      <c r="H315" s="14">
        <f t="shared" si="8"/>
        <v>50992.155999999988</v>
      </c>
      <c r="I315" s="14">
        <f t="shared" si="9"/>
        <v>215095.40329999998</v>
      </c>
      <c r="J315" s="8" t="s">
        <v>195</v>
      </c>
      <c r="K315" s="8" t="s">
        <v>517</v>
      </c>
    </row>
    <row r="316" spans="1:11" x14ac:dyDescent="0.2">
      <c r="A316" s="10">
        <v>65500000</v>
      </c>
      <c r="B316" s="10" t="s">
        <v>400</v>
      </c>
      <c r="C316" s="11">
        <v>56777.52669999998</v>
      </c>
      <c r="D316" s="11">
        <v>2786.2059999999997</v>
      </c>
      <c r="E316" s="11">
        <v>0</v>
      </c>
      <c r="F316" s="11">
        <v>12887.5056</v>
      </c>
      <c r="G316" s="11">
        <v>8572.7487000000001</v>
      </c>
      <c r="H316" s="14">
        <f t="shared" si="8"/>
        <v>7100.9629000000004</v>
      </c>
      <c r="I316" s="14">
        <f t="shared" si="9"/>
        <v>63878.489599999979</v>
      </c>
      <c r="J316" s="8" t="s">
        <v>195</v>
      </c>
      <c r="K316" s="8" t="s">
        <v>517</v>
      </c>
    </row>
    <row r="317" spans="1:11" x14ac:dyDescent="0.2">
      <c r="A317" s="10">
        <v>66500000</v>
      </c>
      <c r="B317" s="10" t="s">
        <v>8974</v>
      </c>
      <c r="C317" s="11">
        <v>-496.64600000000002</v>
      </c>
      <c r="D317" s="11">
        <v>0</v>
      </c>
      <c r="E317" s="11">
        <v>0</v>
      </c>
      <c r="F317" s="11">
        <v>0</v>
      </c>
      <c r="G317" s="11">
        <v>0</v>
      </c>
      <c r="H317" s="14">
        <f t="shared" si="8"/>
        <v>0</v>
      </c>
      <c r="I317" s="14">
        <f t="shared" si="9"/>
        <v>-496.64600000000002</v>
      </c>
      <c r="J317" s="8" t="s">
        <v>157</v>
      </c>
      <c r="K317" s="8" t="s">
        <v>512</v>
      </c>
    </row>
    <row r="318" spans="1:11" x14ac:dyDescent="0.2">
      <c r="A318" s="10">
        <v>66520000</v>
      </c>
      <c r="B318" s="10" t="s">
        <v>200</v>
      </c>
      <c r="C318" s="11">
        <v>42817.546999999991</v>
      </c>
      <c r="D318" s="11">
        <v>0</v>
      </c>
      <c r="E318" s="11">
        <v>0</v>
      </c>
      <c r="F318" s="11">
        <v>7829.4459999999999</v>
      </c>
      <c r="G318" s="11">
        <v>0</v>
      </c>
      <c r="H318" s="14">
        <f t="shared" si="8"/>
        <v>7829.4459999999999</v>
      </c>
      <c r="I318" s="14">
        <f t="shared" si="9"/>
        <v>50646.992999999988</v>
      </c>
      <c r="J318" s="8" t="s">
        <v>157</v>
      </c>
      <c r="K318" s="8" t="s">
        <v>512</v>
      </c>
    </row>
    <row r="319" spans="1:11" x14ac:dyDescent="0.2">
      <c r="A319" s="10">
        <v>66540000</v>
      </c>
      <c r="B319" s="10" t="s">
        <v>201</v>
      </c>
      <c r="C319" s="11">
        <v>5430.3159999999998</v>
      </c>
      <c r="D319" s="11">
        <v>981.75099999999998</v>
      </c>
      <c r="E319" s="11">
        <v>1</v>
      </c>
      <c r="F319" s="11">
        <v>0</v>
      </c>
      <c r="G319" s="11">
        <v>0</v>
      </c>
      <c r="H319" s="14">
        <f t="shared" si="8"/>
        <v>980.75099999999998</v>
      </c>
      <c r="I319" s="14">
        <f t="shared" si="9"/>
        <v>6411.067</v>
      </c>
      <c r="J319" s="8" t="s">
        <v>157</v>
      </c>
      <c r="K319" s="8" t="s">
        <v>512</v>
      </c>
    </row>
    <row r="320" spans="1:11" x14ac:dyDescent="0.2">
      <c r="A320" s="10">
        <v>66550000</v>
      </c>
      <c r="B320" s="10" t="s">
        <v>202</v>
      </c>
      <c r="C320" s="11">
        <v>6380.3189999999995</v>
      </c>
      <c r="D320" s="11">
        <v>0</v>
      </c>
      <c r="E320" s="11">
        <v>0</v>
      </c>
      <c r="F320" s="11">
        <v>900</v>
      </c>
      <c r="G320" s="11">
        <v>0</v>
      </c>
      <c r="H320" s="14">
        <f t="shared" si="8"/>
        <v>900</v>
      </c>
      <c r="I320" s="14">
        <f t="shared" si="9"/>
        <v>7280.3189999999995</v>
      </c>
      <c r="J320" s="8" t="s">
        <v>157</v>
      </c>
      <c r="K320" s="8" t="s">
        <v>512</v>
      </c>
    </row>
    <row r="321" spans="1:11" x14ac:dyDescent="0.2">
      <c r="A321" s="10">
        <v>68112000</v>
      </c>
      <c r="B321" s="10" t="s">
        <v>271</v>
      </c>
      <c r="C321" s="11">
        <v>1210160.4269999999</v>
      </c>
      <c r="D321" s="11">
        <v>0</v>
      </c>
      <c r="E321" s="11">
        <v>0</v>
      </c>
      <c r="F321" s="11">
        <v>218181.995</v>
      </c>
      <c r="G321" s="11">
        <v>0</v>
      </c>
      <c r="H321" s="14">
        <f t="shared" si="8"/>
        <v>218181.995</v>
      </c>
      <c r="I321" s="14">
        <f t="shared" si="9"/>
        <v>1428342.4219999998</v>
      </c>
      <c r="J321" s="8" t="s">
        <v>203</v>
      </c>
      <c r="K321" s="8" t="s">
        <v>7578</v>
      </c>
    </row>
    <row r="322" spans="1:11" x14ac:dyDescent="0.2">
      <c r="A322" s="10">
        <v>68180000</v>
      </c>
      <c r="B322" s="10" t="s">
        <v>8976</v>
      </c>
      <c r="C322" s="11">
        <v>0</v>
      </c>
      <c r="D322" s="11">
        <v>0</v>
      </c>
      <c r="E322" s="11">
        <v>0</v>
      </c>
      <c r="F322" s="11">
        <v>0</v>
      </c>
      <c r="G322" s="11">
        <v>0</v>
      </c>
      <c r="H322" s="14">
        <f t="shared" si="8"/>
        <v>0</v>
      </c>
      <c r="I322" s="14">
        <f t="shared" si="9"/>
        <v>0</v>
      </c>
      <c r="J322" s="8" t="s">
        <v>203</v>
      </c>
      <c r="K322" s="8" t="s">
        <v>7716</v>
      </c>
    </row>
    <row r="323" spans="1:11" x14ac:dyDescent="0.2">
      <c r="A323" s="10">
        <v>70000000</v>
      </c>
      <c r="B323" s="10" t="s">
        <v>205</v>
      </c>
      <c r="C323" s="11">
        <v>-13411146.182999998</v>
      </c>
      <c r="D323" s="11">
        <v>20290.113999999998</v>
      </c>
      <c r="E323" s="11">
        <v>2916092.3089999994</v>
      </c>
      <c r="F323" s="11">
        <v>33413</v>
      </c>
      <c r="G323" s="11">
        <v>0</v>
      </c>
      <c r="H323" s="14">
        <f t="shared" ref="H323:H337" si="10">D323+F323-E323-G323</f>
        <v>-2862389.1949999994</v>
      </c>
      <c r="I323" s="14">
        <f t="shared" ref="I323:I337" si="11">C323+H323</f>
        <v>-16273535.377999999</v>
      </c>
      <c r="J323" s="8" t="s">
        <v>206</v>
      </c>
      <c r="K323" s="8" t="s">
        <v>505</v>
      </c>
    </row>
    <row r="324" spans="1:11" x14ac:dyDescent="0.2">
      <c r="A324" s="10">
        <v>70102000</v>
      </c>
      <c r="B324" s="10" t="s">
        <v>207</v>
      </c>
      <c r="C324" s="11">
        <v>-8109247.9538799999</v>
      </c>
      <c r="D324" s="11">
        <v>0</v>
      </c>
      <c r="E324" s="11">
        <v>409531.50400000002</v>
      </c>
      <c r="F324" s="11">
        <v>0</v>
      </c>
      <c r="G324" s="11">
        <v>0</v>
      </c>
      <c r="H324" s="14">
        <f t="shared" si="10"/>
        <v>-409531.50400000002</v>
      </c>
      <c r="I324" s="14">
        <f t="shared" si="11"/>
        <v>-8518779.4578799997</v>
      </c>
      <c r="J324" s="8" t="s">
        <v>227</v>
      </c>
      <c r="K324" s="8" t="s">
        <v>504</v>
      </c>
    </row>
    <row r="325" spans="1:11" x14ac:dyDescent="0.2">
      <c r="A325" s="10">
        <v>70103000</v>
      </c>
      <c r="B325" s="10" t="s">
        <v>380</v>
      </c>
      <c r="C325" s="11">
        <v>-39470</v>
      </c>
      <c r="D325" s="11">
        <v>0</v>
      </c>
      <c r="E325" s="11">
        <v>6730</v>
      </c>
      <c r="F325" s="11">
        <v>0</v>
      </c>
      <c r="G325" s="11">
        <v>0</v>
      </c>
      <c r="H325" s="14">
        <f t="shared" si="10"/>
        <v>-6730</v>
      </c>
      <c r="I325" s="14">
        <f t="shared" si="11"/>
        <v>-46200</v>
      </c>
      <c r="J325" s="8" t="s">
        <v>206</v>
      </c>
      <c r="K325" s="8" t="s">
        <v>505</v>
      </c>
    </row>
    <row r="326" spans="1:11" x14ac:dyDescent="0.2">
      <c r="A326" s="10">
        <v>70600000</v>
      </c>
      <c r="B326" s="10" t="s">
        <v>381</v>
      </c>
      <c r="C326" s="11">
        <v>-140625.38</v>
      </c>
      <c r="D326" s="11">
        <v>0</v>
      </c>
      <c r="E326" s="11">
        <v>0</v>
      </c>
      <c r="F326" s="11">
        <v>0</v>
      </c>
      <c r="G326" s="11">
        <v>0</v>
      </c>
      <c r="H326" s="14">
        <f t="shared" si="10"/>
        <v>0</v>
      </c>
      <c r="I326" s="14">
        <f t="shared" si="11"/>
        <v>-140625.38</v>
      </c>
      <c r="J326" s="8" t="s">
        <v>206</v>
      </c>
      <c r="K326" s="8" t="s">
        <v>505</v>
      </c>
    </row>
    <row r="327" spans="1:11" x14ac:dyDescent="0.2">
      <c r="A327" s="10">
        <v>70600500</v>
      </c>
      <c r="B327" s="10" t="s">
        <v>208</v>
      </c>
      <c r="C327" s="11">
        <v>-19315.8</v>
      </c>
      <c r="D327" s="11">
        <v>0</v>
      </c>
      <c r="E327" s="11">
        <v>0</v>
      </c>
      <c r="F327" s="11">
        <v>0</v>
      </c>
      <c r="G327" s="11">
        <v>3242.453</v>
      </c>
      <c r="H327" s="14">
        <f t="shared" si="10"/>
        <v>-3242.453</v>
      </c>
      <c r="I327" s="14">
        <f t="shared" si="11"/>
        <v>-22558.253000000001</v>
      </c>
      <c r="J327" s="8" t="s">
        <v>214</v>
      </c>
      <c r="K327" s="8" t="s">
        <v>506</v>
      </c>
    </row>
    <row r="328" spans="1:11" x14ac:dyDescent="0.2">
      <c r="A328" s="10">
        <v>71340000</v>
      </c>
      <c r="B328" s="10" t="s">
        <v>382</v>
      </c>
      <c r="C328" s="11">
        <v>0</v>
      </c>
      <c r="D328" s="11">
        <v>0</v>
      </c>
      <c r="E328" s="11">
        <v>0</v>
      </c>
      <c r="F328" s="11">
        <v>0</v>
      </c>
      <c r="G328" s="11">
        <v>0</v>
      </c>
      <c r="H328" s="14">
        <f t="shared" si="10"/>
        <v>0</v>
      </c>
      <c r="I328" s="14">
        <f t="shared" si="11"/>
        <v>0</v>
      </c>
      <c r="J328" s="8" t="s">
        <v>210</v>
      </c>
      <c r="K328" s="8" t="s">
        <v>508</v>
      </c>
    </row>
    <row r="329" spans="1:11" x14ac:dyDescent="0.2">
      <c r="A329" s="10">
        <v>71350000</v>
      </c>
      <c r="B329" s="10" t="s">
        <v>209</v>
      </c>
      <c r="C329" s="11">
        <v>-2802954.2759999996</v>
      </c>
      <c r="D329" s="11">
        <v>0</v>
      </c>
      <c r="E329" s="11">
        <v>0</v>
      </c>
      <c r="F329" s="11">
        <v>7795456.1900000004</v>
      </c>
      <c r="G329" s="11">
        <v>6081416.5460000001</v>
      </c>
      <c r="H329" s="14">
        <f t="shared" si="10"/>
        <v>1714039.6440000003</v>
      </c>
      <c r="I329" s="14">
        <f t="shared" si="11"/>
        <v>-1088914.6319999993</v>
      </c>
      <c r="J329" s="8" t="s">
        <v>210</v>
      </c>
      <c r="K329" s="8" t="s">
        <v>508</v>
      </c>
    </row>
    <row r="330" spans="1:11" x14ac:dyDescent="0.2">
      <c r="A330" s="10">
        <v>73601000</v>
      </c>
      <c r="B330" s="10" t="s">
        <v>211</v>
      </c>
      <c r="C330" s="11">
        <v>-42</v>
      </c>
      <c r="D330" s="11">
        <v>0</v>
      </c>
      <c r="E330" s="11">
        <v>0</v>
      </c>
      <c r="F330" s="11">
        <v>0</v>
      </c>
      <c r="G330" s="11">
        <v>0</v>
      </c>
      <c r="H330" s="14">
        <f t="shared" si="10"/>
        <v>0</v>
      </c>
      <c r="I330" s="14">
        <f t="shared" si="11"/>
        <v>-42</v>
      </c>
      <c r="J330" s="8" t="s">
        <v>214</v>
      </c>
      <c r="K330" s="8" t="s">
        <v>506</v>
      </c>
    </row>
    <row r="331" spans="1:11" x14ac:dyDescent="0.2">
      <c r="A331" s="10">
        <v>73602000</v>
      </c>
      <c r="B331" s="10" t="s">
        <v>8975</v>
      </c>
      <c r="C331" s="11">
        <v>-6.0000000000000001E-3</v>
      </c>
      <c r="D331" s="11">
        <v>0</v>
      </c>
      <c r="E331" s="11">
        <v>0</v>
      </c>
      <c r="F331" s="11">
        <v>0</v>
      </c>
      <c r="G331" s="11">
        <v>0</v>
      </c>
      <c r="H331" s="14">
        <f t="shared" si="10"/>
        <v>0</v>
      </c>
      <c r="I331" s="14">
        <f t="shared" si="11"/>
        <v>-6.0000000000000001E-3</v>
      </c>
      <c r="J331" s="8" t="s">
        <v>214</v>
      </c>
      <c r="K331" s="8" t="s">
        <v>506</v>
      </c>
    </row>
    <row r="332" spans="1:11" x14ac:dyDescent="0.2">
      <c r="A332" s="10">
        <v>74100000</v>
      </c>
      <c r="B332" s="10" t="s">
        <v>8980</v>
      </c>
      <c r="C332" s="11">
        <v>0</v>
      </c>
      <c r="D332" s="11">
        <v>0</v>
      </c>
      <c r="E332" s="11">
        <v>1843.7079999999999</v>
      </c>
      <c r="F332" s="11">
        <v>0</v>
      </c>
      <c r="G332" s="11">
        <v>0</v>
      </c>
      <c r="H332" s="14">
        <f t="shared" si="10"/>
        <v>-1843.7079999999999</v>
      </c>
      <c r="I332" s="14">
        <f t="shared" si="11"/>
        <v>-1843.7079999999999</v>
      </c>
      <c r="J332" s="8" t="s">
        <v>214</v>
      </c>
      <c r="K332" s="8" t="s">
        <v>506</v>
      </c>
    </row>
    <row r="333" spans="1:11" x14ac:dyDescent="0.2">
      <c r="A333" s="10">
        <v>75000000</v>
      </c>
      <c r="B333" s="10" t="s">
        <v>7575</v>
      </c>
      <c r="C333" s="11">
        <v>-1747.3849999999998</v>
      </c>
      <c r="D333" s="11">
        <v>0</v>
      </c>
      <c r="E333" s="11">
        <v>0</v>
      </c>
      <c r="F333" s="11">
        <v>0</v>
      </c>
      <c r="G333" s="11">
        <v>0</v>
      </c>
      <c r="H333" s="14">
        <f t="shared" si="10"/>
        <v>0</v>
      </c>
      <c r="I333" s="14">
        <f t="shared" si="11"/>
        <v>-1747.3849999999998</v>
      </c>
      <c r="J333" s="8" t="s">
        <v>195</v>
      </c>
      <c r="K333" s="8" t="s">
        <v>517</v>
      </c>
    </row>
    <row r="334" spans="1:11" x14ac:dyDescent="0.2">
      <c r="A334" s="10">
        <v>75600000</v>
      </c>
      <c r="B334" s="10" t="s">
        <v>215</v>
      </c>
      <c r="C334" s="11">
        <v>-74150.432000000015</v>
      </c>
      <c r="D334" s="11">
        <v>69407.296999999991</v>
      </c>
      <c r="E334" s="11">
        <v>0</v>
      </c>
      <c r="F334" s="11">
        <v>0</v>
      </c>
      <c r="G334" s="11">
        <v>89684.93</v>
      </c>
      <c r="H334" s="14">
        <f t="shared" si="10"/>
        <v>-20277.633000000002</v>
      </c>
      <c r="I334" s="14">
        <f t="shared" si="11"/>
        <v>-94428.065000000017</v>
      </c>
      <c r="J334" s="8" t="s">
        <v>195</v>
      </c>
      <c r="K334" s="8" t="s">
        <v>517</v>
      </c>
    </row>
    <row r="335" spans="1:11" x14ac:dyDescent="0.2">
      <c r="A335" s="10">
        <v>73900000</v>
      </c>
      <c r="B335" s="10" t="s">
        <v>213</v>
      </c>
      <c r="C335" s="11">
        <v>-131381.598</v>
      </c>
      <c r="D335" s="11">
        <v>0</v>
      </c>
      <c r="E335" s="11">
        <v>0</v>
      </c>
      <c r="F335" s="11">
        <v>0</v>
      </c>
      <c r="G335" s="11">
        <v>21896.933000000001</v>
      </c>
      <c r="H335" s="14">
        <f t="shared" si="10"/>
        <v>-21896.933000000001</v>
      </c>
      <c r="I335" s="14">
        <f t="shared" si="11"/>
        <v>-153278.53099999999</v>
      </c>
      <c r="J335" s="8" t="s">
        <v>214</v>
      </c>
      <c r="K335" s="8" t="s">
        <v>506</v>
      </c>
    </row>
    <row r="336" spans="1:11" x14ac:dyDescent="0.2">
      <c r="A336" s="10">
        <v>77000000</v>
      </c>
      <c r="B336" s="10" t="s">
        <v>216</v>
      </c>
      <c r="C336" s="11">
        <v>-5.71</v>
      </c>
      <c r="D336" s="11">
        <v>0</v>
      </c>
      <c r="E336" s="11">
        <v>0</v>
      </c>
      <c r="F336" s="11">
        <v>0</v>
      </c>
      <c r="G336" s="11">
        <v>0</v>
      </c>
      <c r="H336" s="14">
        <f t="shared" si="10"/>
        <v>0</v>
      </c>
      <c r="I336" s="14">
        <f t="shared" si="11"/>
        <v>-5.71</v>
      </c>
      <c r="J336" s="8" t="s">
        <v>212</v>
      </c>
      <c r="K336" s="8" t="s">
        <v>518</v>
      </c>
    </row>
    <row r="337" spans="1:10" x14ac:dyDescent="0.2">
      <c r="A337" s="10">
        <v>79999999</v>
      </c>
      <c r="B337" s="10" t="s">
        <v>383</v>
      </c>
      <c r="C337" s="11">
        <v>-2.6040943339467049E-4</v>
      </c>
      <c r="D337" s="11">
        <v>0</v>
      </c>
      <c r="E337" s="11">
        <v>0</v>
      </c>
      <c r="F337" s="11">
        <v>0</v>
      </c>
      <c r="G337" s="11">
        <v>0</v>
      </c>
      <c r="H337" s="14">
        <f t="shared" si="10"/>
        <v>0</v>
      </c>
      <c r="I337" s="14">
        <f t="shared" si="11"/>
        <v>-2.6040943339467049E-4</v>
      </c>
      <c r="J337" s="8"/>
    </row>
    <row r="338" spans="1:10" s="460" customFormat="1" ht="12" x14ac:dyDescent="0.2">
      <c r="C338" s="344">
        <f>SUM(C2:C337)</f>
        <v>-4.9018745776230332E-5</v>
      </c>
      <c r="D338" s="344">
        <f t="shared" ref="D338:I338" si="12">SUM(D2:D337)</f>
        <v>22659136.910781499</v>
      </c>
      <c r="E338" s="344">
        <f t="shared" si="12"/>
        <v>22659136.910781499</v>
      </c>
      <c r="F338" s="344">
        <f t="shared" si="12"/>
        <v>39079334.190500021</v>
      </c>
      <c r="G338" s="344">
        <f t="shared" si="12"/>
        <v>39079334.190499999</v>
      </c>
      <c r="H338" s="344">
        <f t="shared" si="12"/>
        <v>1.1386873666197062E-9</v>
      </c>
      <c r="I338" s="344">
        <f t="shared" si="12"/>
        <v>-4.9035771517047522E-5</v>
      </c>
      <c r="J338" s="463"/>
    </row>
  </sheetData>
  <autoFilter ref="A1:J338" xr:uid="{00000000-0009-0000-0000-000011000000}"/>
  <pageMargins left="0.7" right="0.7" top="0.75" bottom="0.75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K346"/>
  <sheetViews>
    <sheetView workbookViewId="0">
      <pane ySplit="1" topLeftCell="A311" activePane="bottomLeft" state="frozen"/>
      <selection pane="bottomLeft" activeCell="B358" sqref="B358"/>
    </sheetView>
  </sheetViews>
  <sheetFormatPr baseColWidth="10" defaultRowHeight="11.25" x14ac:dyDescent="0.2"/>
  <cols>
    <col min="1" max="1" width="14.42578125" style="302" bestFit="1" customWidth="1"/>
    <col min="2" max="2" width="23.7109375" style="302" bestFit="1" customWidth="1"/>
    <col min="3" max="3" width="15.140625" style="305" bestFit="1" customWidth="1"/>
    <col min="4" max="5" width="13.28515625" style="305" bestFit="1" customWidth="1"/>
    <col min="6" max="7" width="14.42578125" style="305" bestFit="1" customWidth="1"/>
    <col min="8" max="8" width="13.140625" style="305" bestFit="1" customWidth="1"/>
    <col min="9" max="9" width="13.28515625" style="305" bestFit="1" customWidth="1"/>
    <col min="10" max="10" width="25" style="302" customWidth="1"/>
    <col min="11" max="16384" width="11.42578125" style="302"/>
  </cols>
  <sheetData>
    <row r="1" spans="1:11" x14ac:dyDescent="0.2">
      <c r="A1" s="6" t="s">
        <v>1</v>
      </c>
      <c r="B1" s="6" t="s">
        <v>0</v>
      </c>
      <c r="C1" s="7" t="s">
        <v>5</v>
      </c>
      <c r="D1" s="7" t="s">
        <v>2</v>
      </c>
      <c r="E1" s="7" t="s">
        <v>260</v>
      </c>
      <c r="F1" s="7" t="s">
        <v>218</v>
      </c>
      <c r="G1" s="7" t="s">
        <v>219</v>
      </c>
      <c r="H1" s="7" t="s">
        <v>6</v>
      </c>
      <c r="I1" s="7" t="s">
        <v>217</v>
      </c>
      <c r="J1" s="6" t="s">
        <v>384</v>
      </c>
    </row>
    <row r="2" spans="1:11" x14ac:dyDescent="0.2">
      <c r="A2" s="10">
        <v>10100000</v>
      </c>
      <c r="B2" s="10" t="s">
        <v>7</v>
      </c>
      <c r="C2" s="11">
        <v>-13500000</v>
      </c>
      <c r="D2" s="11">
        <v>0</v>
      </c>
      <c r="E2" s="11">
        <v>0</v>
      </c>
      <c r="F2" s="11">
        <v>0</v>
      </c>
      <c r="G2" s="11">
        <v>0</v>
      </c>
      <c r="H2" s="14">
        <f t="shared" ref="H2:H65" si="0">D2+F2-E2-G2</f>
        <v>0</v>
      </c>
      <c r="I2" s="14">
        <f t="shared" ref="I2:I65" si="1">C2+H2</f>
        <v>-13500000</v>
      </c>
      <c r="J2" s="8" t="s">
        <v>8</v>
      </c>
      <c r="K2" s="8"/>
    </row>
    <row r="3" spans="1:11" x14ac:dyDescent="0.2">
      <c r="A3" s="10">
        <v>11101000</v>
      </c>
      <c r="B3" s="10" t="s">
        <v>9</v>
      </c>
      <c r="C3" s="11">
        <v>-1200000</v>
      </c>
      <c r="D3" s="11">
        <v>0</v>
      </c>
      <c r="E3" s="11">
        <v>0</v>
      </c>
      <c r="F3" s="11">
        <v>0</v>
      </c>
      <c r="G3" s="11">
        <v>0</v>
      </c>
      <c r="H3" s="14">
        <f t="shared" si="0"/>
        <v>0</v>
      </c>
      <c r="I3" s="14">
        <f t="shared" si="1"/>
        <v>-1200000</v>
      </c>
      <c r="J3" s="8" t="s">
        <v>10</v>
      </c>
      <c r="K3" s="8"/>
    </row>
    <row r="4" spans="1:11" x14ac:dyDescent="0.2">
      <c r="A4" s="10">
        <v>12100000</v>
      </c>
      <c r="B4" s="10" t="s">
        <v>11</v>
      </c>
      <c r="C4" s="11">
        <v>-17517372.004645001</v>
      </c>
      <c r="D4" s="11">
        <v>0</v>
      </c>
      <c r="E4" s="11">
        <v>0</v>
      </c>
      <c r="F4" s="11">
        <v>0</v>
      </c>
      <c r="G4" s="11">
        <v>0</v>
      </c>
      <c r="H4" s="14">
        <f t="shared" si="0"/>
        <v>0</v>
      </c>
      <c r="I4" s="14">
        <f t="shared" si="1"/>
        <v>-17517372.004645001</v>
      </c>
      <c r="J4" s="8" t="s">
        <v>12</v>
      </c>
      <c r="K4" s="8"/>
    </row>
    <row r="5" spans="1:11" x14ac:dyDescent="0.2">
      <c r="A5" s="10">
        <v>12200000</v>
      </c>
      <c r="B5" s="10" t="s">
        <v>272</v>
      </c>
      <c r="C5" s="11">
        <v>0</v>
      </c>
      <c r="D5" s="11">
        <v>0</v>
      </c>
      <c r="E5" s="11">
        <v>0</v>
      </c>
      <c r="F5" s="11">
        <v>0</v>
      </c>
      <c r="G5" s="11">
        <v>0</v>
      </c>
      <c r="H5" s="14">
        <f t="shared" si="0"/>
        <v>0</v>
      </c>
      <c r="I5" s="14">
        <f t="shared" si="1"/>
        <v>0</v>
      </c>
      <c r="J5" s="8"/>
      <c r="K5" s="8"/>
    </row>
    <row r="6" spans="1:11" x14ac:dyDescent="0.2">
      <c r="A6" s="10">
        <v>12800000</v>
      </c>
      <c r="B6" s="10" t="s">
        <v>13</v>
      </c>
      <c r="C6" s="11">
        <v>3022190.1950000003</v>
      </c>
      <c r="D6" s="11">
        <v>0</v>
      </c>
      <c r="E6" s="11">
        <v>0</v>
      </c>
      <c r="F6" s="11">
        <v>0</v>
      </c>
      <c r="G6" s="11">
        <v>0</v>
      </c>
      <c r="H6" s="14">
        <f t="shared" si="0"/>
        <v>0</v>
      </c>
      <c r="I6" s="14">
        <f t="shared" si="1"/>
        <v>3022190.1950000003</v>
      </c>
      <c r="J6" s="8" t="s">
        <v>14</v>
      </c>
      <c r="K6" s="8"/>
    </row>
    <row r="7" spans="1:11" x14ac:dyDescent="0.2">
      <c r="A7" s="10">
        <v>13000000</v>
      </c>
      <c r="B7" s="10" t="s">
        <v>273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  <c r="H7" s="14">
        <f t="shared" si="0"/>
        <v>0</v>
      </c>
      <c r="I7" s="14">
        <f t="shared" si="1"/>
        <v>0</v>
      </c>
      <c r="J7" s="8"/>
      <c r="K7" s="8"/>
    </row>
    <row r="8" spans="1:11" x14ac:dyDescent="0.2">
      <c r="A8" s="10">
        <v>14500000</v>
      </c>
      <c r="B8" s="10" t="s">
        <v>15</v>
      </c>
      <c r="C8" s="11">
        <v>-3479108.84</v>
      </c>
      <c r="D8" s="11">
        <v>0</v>
      </c>
      <c r="E8" s="11">
        <v>0</v>
      </c>
      <c r="F8" s="11">
        <v>0</v>
      </c>
      <c r="G8" s="11">
        <v>0</v>
      </c>
      <c r="H8" s="14">
        <f t="shared" si="0"/>
        <v>0</v>
      </c>
      <c r="I8" s="14">
        <f t="shared" si="1"/>
        <v>-3479108.84</v>
      </c>
      <c r="J8" s="8" t="s">
        <v>16</v>
      </c>
      <c r="K8" s="8"/>
    </row>
    <row r="9" spans="1:11" x14ac:dyDescent="0.2">
      <c r="A9" s="10">
        <v>14508000</v>
      </c>
      <c r="B9" s="10" t="s">
        <v>17</v>
      </c>
      <c r="C9" s="11">
        <v>2585416.7840000005</v>
      </c>
      <c r="D9" s="11">
        <v>0</v>
      </c>
      <c r="E9" s="11">
        <v>0</v>
      </c>
      <c r="F9" s="11">
        <v>21896.933000000001</v>
      </c>
      <c r="G9" s="11">
        <v>0</v>
      </c>
      <c r="H9" s="14">
        <f t="shared" si="0"/>
        <v>21896.933000000001</v>
      </c>
      <c r="I9" s="14">
        <f t="shared" si="1"/>
        <v>2607313.7170000006</v>
      </c>
      <c r="J9" s="8" t="s">
        <v>18</v>
      </c>
      <c r="K9" s="8"/>
    </row>
    <row r="10" spans="1:11" x14ac:dyDescent="0.2">
      <c r="A10" s="10">
        <v>15100000</v>
      </c>
      <c r="B10" s="10" t="s">
        <v>19</v>
      </c>
      <c r="C10" s="11">
        <v>-231535.016</v>
      </c>
      <c r="D10" s="11">
        <v>0</v>
      </c>
      <c r="E10" s="11">
        <v>0</v>
      </c>
      <c r="F10" s="11">
        <v>0</v>
      </c>
      <c r="G10" s="11">
        <v>0</v>
      </c>
      <c r="H10" s="14">
        <f t="shared" si="0"/>
        <v>0</v>
      </c>
      <c r="I10" s="14">
        <f t="shared" si="1"/>
        <v>-231535.016</v>
      </c>
      <c r="J10" s="8" t="s">
        <v>20</v>
      </c>
      <c r="K10" s="8"/>
    </row>
    <row r="11" spans="1:11" x14ac:dyDescent="0.2">
      <c r="A11" s="10">
        <v>16210250</v>
      </c>
      <c r="B11" s="10" t="s">
        <v>274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4">
        <f t="shared" si="0"/>
        <v>0</v>
      </c>
      <c r="I11" s="14">
        <f t="shared" si="1"/>
        <v>0</v>
      </c>
      <c r="J11" s="8"/>
      <c r="K11" s="8"/>
    </row>
    <row r="12" spans="1:11" x14ac:dyDescent="0.2">
      <c r="A12" s="10">
        <v>16210500</v>
      </c>
      <c r="B12" s="10" t="s">
        <v>21</v>
      </c>
      <c r="C12" s="11">
        <v>-2041666.6629999988</v>
      </c>
      <c r="D12" s="11">
        <v>0</v>
      </c>
      <c r="E12" s="11">
        <v>0</v>
      </c>
      <c r="F12" s="11">
        <v>0</v>
      </c>
      <c r="G12" s="11">
        <v>0</v>
      </c>
      <c r="H12" s="14">
        <f t="shared" si="0"/>
        <v>0</v>
      </c>
      <c r="I12" s="14">
        <f t="shared" si="1"/>
        <v>-2041666.6629999988</v>
      </c>
      <c r="J12" s="8" t="s">
        <v>22</v>
      </c>
      <c r="K12" s="8"/>
    </row>
    <row r="13" spans="1:11" x14ac:dyDescent="0.2">
      <c r="A13" s="10">
        <v>16210960</v>
      </c>
      <c r="B13" s="10" t="s">
        <v>275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4">
        <f t="shared" si="0"/>
        <v>0</v>
      </c>
      <c r="I13" s="14">
        <f t="shared" si="1"/>
        <v>0</v>
      </c>
      <c r="J13" s="8"/>
      <c r="K13" s="8"/>
    </row>
    <row r="14" spans="1:11" x14ac:dyDescent="0.2">
      <c r="A14" s="10">
        <v>16400000</v>
      </c>
      <c r="B14" s="10" t="s">
        <v>276</v>
      </c>
      <c r="C14" s="11">
        <v>-235466.95700000023</v>
      </c>
      <c r="D14" s="11">
        <v>0</v>
      </c>
      <c r="E14" s="11">
        <v>0</v>
      </c>
      <c r="F14" s="11">
        <v>0</v>
      </c>
      <c r="G14" s="11">
        <v>0</v>
      </c>
      <c r="H14" s="14">
        <f t="shared" si="0"/>
        <v>0</v>
      </c>
      <c r="I14" s="14">
        <f t="shared" si="1"/>
        <v>-235466.95700000023</v>
      </c>
      <c r="J14" s="8" t="s">
        <v>22</v>
      </c>
      <c r="K14" s="8"/>
    </row>
    <row r="15" spans="1:11" x14ac:dyDescent="0.2">
      <c r="A15" s="10">
        <v>18800000</v>
      </c>
      <c r="B15" s="10" t="s">
        <v>23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4">
        <f t="shared" si="0"/>
        <v>0</v>
      </c>
      <c r="I15" s="14">
        <f t="shared" si="1"/>
        <v>0</v>
      </c>
      <c r="J15" s="8"/>
      <c r="K15" s="8"/>
    </row>
    <row r="16" spans="1:11" x14ac:dyDescent="0.2">
      <c r="A16" s="10">
        <v>21100000</v>
      </c>
      <c r="B16" s="10" t="s">
        <v>277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4">
        <f t="shared" si="0"/>
        <v>0</v>
      </c>
      <c r="I16" s="14">
        <f t="shared" si="1"/>
        <v>0</v>
      </c>
      <c r="J16" s="8"/>
      <c r="K16" s="8"/>
    </row>
    <row r="17" spans="1:11" x14ac:dyDescent="0.2">
      <c r="A17" s="10">
        <v>21300000</v>
      </c>
      <c r="B17" s="10" t="s">
        <v>24</v>
      </c>
      <c r="C17" s="11">
        <v>85413.226999999999</v>
      </c>
      <c r="D17" s="11">
        <v>0</v>
      </c>
      <c r="E17" s="11">
        <v>0</v>
      </c>
      <c r="F17" s="11">
        <v>0</v>
      </c>
      <c r="G17" s="11">
        <v>0</v>
      </c>
      <c r="H17" s="14">
        <f t="shared" si="0"/>
        <v>0</v>
      </c>
      <c r="I17" s="14">
        <f t="shared" si="1"/>
        <v>85413.226999999999</v>
      </c>
      <c r="J17" s="8" t="s">
        <v>25</v>
      </c>
      <c r="K17" s="8"/>
    </row>
    <row r="18" spans="1:11" x14ac:dyDescent="0.2">
      <c r="A18" s="10">
        <v>22000000</v>
      </c>
      <c r="B18" s="10" t="s">
        <v>278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4">
        <f t="shared" si="0"/>
        <v>0</v>
      </c>
      <c r="I18" s="14">
        <f t="shared" si="1"/>
        <v>0</v>
      </c>
      <c r="J18" s="8"/>
      <c r="K18" s="8"/>
    </row>
    <row r="19" spans="1:11" x14ac:dyDescent="0.2">
      <c r="A19" s="10">
        <v>22100000</v>
      </c>
      <c r="B19" s="10" t="s">
        <v>26</v>
      </c>
      <c r="C19" s="11">
        <v>1275724</v>
      </c>
      <c r="D19" s="11">
        <v>0</v>
      </c>
      <c r="E19" s="11">
        <v>0</v>
      </c>
      <c r="F19" s="11">
        <v>0</v>
      </c>
      <c r="G19" s="11">
        <v>0</v>
      </c>
      <c r="H19" s="14">
        <f t="shared" si="0"/>
        <v>0</v>
      </c>
      <c r="I19" s="14">
        <f t="shared" si="1"/>
        <v>1275724</v>
      </c>
      <c r="J19" s="8" t="s">
        <v>25</v>
      </c>
      <c r="K19" s="8"/>
    </row>
    <row r="20" spans="1:11" x14ac:dyDescent="0.2">
      <c r="A20" s="10">
        <v>22160000</v>
      </c>
      <c r="B20" s="10" t="s">
        <v>27</v>
      </c>
      <c r="C20" s="11">
        <v>161921.53600000002</v>
      </c>
      <c r="D20" s="11">
        <v>0</v>
      </c>
      <c r="E20" s="11">
        <v>0</v>
      </c>
      <c r="F20" s="11">
        <v>0</v>
      </c>
      <c r="G20" s="11">
        <v>0</v>
      </c>
      <c r="H20" s="14">
        <f t="shared" si="0"/>
        <v>0</v>
      </c>
      <c r="I20" s="14">
        <f t="shared" si="1"/>
        <v>161921.53600000002</v>
      </c>
      <c r="J20" s="8" t="s">
        <v>25</v>
      </c>
      <c r="K20" s="8"/>
    </row>
    <row r="21" spans="1:11" x14ac:dyDescent="0.2">
      <c r="A21" s="10">
        <v>22200000</v>
      </c>
      <c r="B21" s="10" t="s">
        <v>28</v>
      </c>
      <c r="C21" s="11">
        <v>9027583.0759999994</v>
      </c>
      <c r="D21" s="11">
        <v>0</v>
      </c>
      <c r="E21" s="11">
        <v>0</v>
      </c>
      <c r="F21" s="11">
        <v>0</v>
      </c>
      <c r="G21" s="11">
        <v>0</v>
      </c>
      <c r="H21" s="14">
        <f t="shared" si="0"/>
        <v>0</v>
      </c>
      <c r="I21" s="14">
        <f t="shared" si="1"/>
        <v>9027583.0759999994</v>
      </c>
      <c r="J21" s="8" t="s">
        <v>25</v>
      </c>
      <c r="K21" s="8"/>
    </row>
    <row r="22" spans="1:11" x14ac:dyDescent="0.2">
      <c r="A22" s="10">
        <v>22250000</v>
      </c>
      <c r="B22" s="10" t="s">
        <v>29</v>
      </c>
      <c r="C22" s="11">
        <v>689766.353</v>
      </c>
      <c r="D22" s="11">
        <v>3854.7049999999999</v>
      </c>
      <c r="E22" s="11">
        <v>0</v>
      </c>
      <c r="F22" s="11">
        <v>0</v>
      </c>
      <c r="G22" s="11">
        <v>0</v>
      </c>
      <c r="H22" s="14">
        <f t="shared" si="0"/>
        <v>3854.7049999999999</v>
      </c>
      <c r="I22" s="14">
        <f t="shared" si="1"/>
        <v>693621.05799999996</v>
      </c>
      <c r="J22" s="8" t="s">
        <v>25</v>
      </c>
      <c r="K22" s="8"/>
    </row>
    <row r="23" spans="1:11" x14ac:dyDescent="0.2">
      <c r="A23" s="10">
        <v>22300000</v>
      </c>
      <c r="B23" s="10" t="s">
        <v>30</v>
      </c>
      <c r="C23" s="11">
        <v>73570.611000000004</v>
      </c>
      <c r="D23" s="11">
        <v>0</v>
      </c>
      <c r="E23" s="11">
        <v>0</v>
      </c>
      <c r="F23" s="11">
        <v>0</v>
      </c>
      <c r="G23" s="11">
        <v>0</v>
      </c>
      <c r="H23" s="14">
        <f t="shared" si="0"/>
        <v>0</v>
      </c>
      <c r="I23" s="14">
        <f t="shared" si="1"/>
        <v>73570.611000000004</v>
      </c>
      <c r="J23" s="8" t="s">
        <v>25</v>
      </c>
      <c r="K23" s="8"/>
    </row>
    <row r="24" spans="1:11" x14ac:dyDescent="0.2">
      <c r="A24" s="10">
        <v>22310000</v>
      </c>
      <c r="B24" s="10" t="s">
        <v>31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4">
        <f t="shared" si="0"/>
        <v>0</v>
      </c>
      <c r="I24" s="14">
        <f t="shared" si="1"/>
        <v>0</v>
      </c>
      <c r="J24" s="8"/>
      <c r="K24" s="8"/>
    </row>
    <row r="25" spans="1:11" x14ac:dyDescent="0.2">
      <c r="A25" s="10">
        <v>22340000</v>
      </c>
      <c r="B25" s="10" t="s">
        <v>32</v>
      </c>
      <c r="C25" s="11">
        <v>24277661.071411498</v>
      </c>
      <c r="D25" s="11">
        <v>293079.141</v>
      </c>
      <c r="E25" s="11">
        <v>0</v>
      </c>
      <c r="F25" s="11">
        <v>0</v>
      </c>
      <c r="G25" s="11">
        <v>0</v>
      </c>
      <c r="H25" s="14">
        <f t="shared" si="0"/>
        <v>293079.141</v>
      </c>
      <c r="I25" s="14">
        <f t="shared" si="1"/>
        <v>24570740.212411497</v>
      </c>
      <c r="J25" s="8" t="s">
        <v>25</v>
      </c>
      <c r="K25" s="8"/>
    </row>
    <row r="26" spans="1:11" x14ac:dyDescent="0.2">
      <c r="A26" s="10">
        <v>22350000</v>
      </c>
      <c r="B26" s="10" t="s">
        <v>33</v>
      </c>
      <c r="C26" s="11">
        <v>643081.6464999998</v>
      </c>
      <c r="D26" s="11">
        <v>5390.6949999999997</v>
      </c>
      <c r="E26" s="11">
        <v>0</v>
      </c>
      <c r="F26" s="11">
        <v>0</v>
      </c>
      <c r="G26" s="11">
        <v>0</v>
      </c>
      <c r="H26" s="14">
        <f t="shared" si="0"/>
        <v>5390.6949999999997</v>
      </c>
      <c r="I26" s="14">
        <f t="shared" si="1"/>
        <v>648472.34149999975</v>
      </c>
      <c r="J26" s="8" t="s">
        <v>25</v>
      </c>
      <c r="K26" s="8"/>
    </row>
    <row r="27" spans="1:11" x14ac:dyDescent="0.2">
      <c r="A27" s="10">
        <v>22370000</v>
      </c>
      <c r="B27" s="10" t="s">
        <v>34</v>
      </c>
      <c r="C27" s="11">
        <v>895166.74399999995</v>
      </c>
      <c r="D27" s="11">
        <v>0</v>
      </c>
      <c r="E27" s="11">
        <v>0</v>
      </c>
      <c r="F27" s="11">
        <v>0</v>
      </c>
      <c r="G27" s="11">
        <v>0</v>
      </c>
      <c r="H27" s="14">
        <f t="shared" si="0"/>
        <v>0</v>
      </c>
      <c r="I27" s="14">
        <f t="shared" si="1"/>
        <v>895166.74399999995</v>
      </c>
      <c r="J27" s="8" t="s">
        <v>25</v>
      </c>
      <c r="K27" s="8"/>
    </row>
    <row r="28" spans="1:11" x14ac:dyDescent="0.2">
      <c r="A28" s="10">
        <v>22400000</v>
      </c>
      <c r="B28" s="10" t="s">
        <v>35</v>
      </c>
      <c r="C28" s="11">
        <v>952007.8629999999</v>
      </c>
      <c r="D28" s="11">
        <v>0</v>
      </c>
      <c r="E28" s="11">
        <v>0</v>
      </c>
      <c r="F28" s="11">
        <v>0</v>
      </c>
      <c r="G28" s="11">
        <v>0</v>
      </c>
      <c r="H28" s="14">
        <f t="shared" si="0"/>
        <v>0</v>
      </c>
      <c r="I28" s="14">
        <f t="shared" si="1"/>
        <v>952007.8629999999</v>
      </c>
      <c r="J28" s="8" t="s">
        <v>25</v>
      </c>
      <c r="K28" s="8"/>
    </row>
    <row r="29" spans="1:11" x14ac:dyDescent="0.2">
      <c r="A29" s="10">
        <v>22810000</v>
      </c>
      <c r="B29" s="10" t="s">
        <v>36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4">
        <f t="shared" si="0"/>
        <v>0</v>
      </c>
      <c r="I29" s="14">
        <f t="shared" si="1"/>
        <v>0</v>
      </c>
      <c r="J29" s="8"/>
      <c r="K29" s="8"/>
    </row>
    <row r="30" spans="1:11" x14ac:dyDescent="0.2">
      <c r="A30" s="10">
        <v>22820000</v>
      </c>
      <c r="B30" s="10" t="s">
        <v>37</v>
      </c>
      <c r="C30" s="11">
        <v>273220.99314999999</v>
      </c>
      <c r="D30" s="11">
        <v>1150</v>
      </c>
      <c r="E30" s="11">
        <v>0</v>
      </c>
      <c r="F30" s="11">
        <v>0</v>
      </c>
      <c r="G30" s="11">
        <v>0</v>
      </c>
      <c r="H30" s="14">
        <f t="shared" si="0"/>
        <v>1150</v>
      </c>
      <c r="I30" s="14">
        <f t="shared" si="1"/>
        <v>274370.99314999999</v>
      </c>
      <c r="J30" s="8" t="s">
        <v>25</v>
      </c>
      <c r="K30" s="8"/>
    </row>
    <row r="31" spans="1:11" x14ac:dyDescent="0.2">
      <c r="A31" s="10">
        <v>22830000</v>
      </c>
      <c r="B31" s="10" t="s">
        <v>279</v>
      </c>
      <c r="C31" s="11">
        <v>218464.64728599996</v>
      </c>
      <c r="D31" s="11">
        <v>0</v>
      </c>
      <c r="E31" s="11">
        <v>0</v>
      </c>
      <c r="F31" s="11">
        <v>0</v>
      </c>
      <c r="G31" s="11">
        <v>0</v>
      </c>
      <c r="H31" s="14">
        <f t="shared" si="0"/>
        <v>0</v>
      </c>
      <c r="I31" s="14">
        <f t="shared" si="1"/>
        <v>218464.64728599996</v>
      </c>
      <c r="J31" s="8" t="s">
        <v>25</v>
      </c>
      <c r="K31" s="8"/>
    </row>
    <row r="32" spans="1:11" x14ac:dyDescent="0.2">
      <c r="A32" s="10">
        <v>23000000</v>
      </c>
      <c r="B32" s="10" t="s">
        <v>280</v>
      </c>
      <c r="C32" s="11">
        <v>2.0000000404252205E-5</v>
      </c>
      <c r="D32" s="11">
        <v>0</v>
      </c>
      <c r="E32" s="11">
        <v>0</v>
      </c>
      <c r="F32" s="11">
        <v>0</v>
      </c>
      <c r="G32" s="11">
        <v>0</v>
      </c>
      <c r="H32" s="14">
        <f t="shared" si="0"/>
        <v>0</v>
      </c>
      <c r="I32" s="14">
        <f t="shared" si="1"/>
        <v>2.0000000404252205E-5</v>
      </c>
      <c r="J32" s="8"/>
      <c r="K32" s="8"/>
    </row>
    <row r="33" spans="1:11" x14ac:dyDescent="0.2">
      <c r="A33" s="10">
        <v>23200000</v>
      </c>
      <c r="B33" s="10" t="s">
        <v>38</v>
      </c>
      <c r="C33" s="11">
        <v>432889.95829749899</v>
      </c>
      <c r="D33" s="11">
        <v>0</v>
      </c>
      <c r="E33" s="11">
        <v>0</v>
      </c>
      <c r="F33" s="11">
        <v>0</v>
      </c>
      <c r="G33" s="11">
        <v>0</v>
      </c>
      <c r="H33" s="14">
        <f t="shared" si="0"/>
        <v>0</v>
      </c>
      <c r="I33" s="14">
        <f t="shared" si="1"/>
        <v>432889.95829749899</v>
      </c>
      <c r="J33" s="8" t="s">
        <v>25</v>
      </c>
      <c r="K33" s="8"/>
    </row>
    <row r="34" spans="1:11" x14ac:dyDescent="0.2">
      <c r="A34" s="10">
        <v>23220000</v>
      </c>
      <c r="B34" s="10" t="s">
        <v>39</v>
      </c>
      <c r="C34" s="11">
        <v>147315.67299999739</v>
      </c>
      <c r="D34" s="11">
        <v>0</v>
      </c>
      <c r="E34" s="11">
        <v>0</v>
      </c>
      <c r="F34" s="11">
        <v>0</v>
      </c>
      <c r="G34" s="11">
        <v>0</v>
      </c>
      <c r="H34" s="14">
        <f t="shared" si="0"/>
        <v>0</v>
      </c>
      <c r="I34" s="14">
        <f t="shared" si="1"/>
        <v>147315.67299999739</v>
      </c>
      <c r="J34" s="8" t="s">
        <v>25</v>
      </c>
      <c r="K34" s="8"/>
    </row>
    <row r="35" spans="1:11" x14ac:dyDescent="0.2">
      <c r="A35" s="10">
        <v>23225000</v>
      </c>
      <c r="B35" s="10" t="s">
        <v>281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4">
        <f t="shared" si="0"/>
        <v>0</v>
      </c>
      <c r="I35" s="14">
        <f t="shared" si="1"/>
        <v>0</v>
      </c>
      <c r="J35" s="8"/>
      <c r="K35" s="8"/>
    </row>
    <row r="36" spans="1:11" x14ac:dyDescent="0.2">
      <c r="A36" s="10">
        <v>23231000</v>
      </c>
      <c r="B36" s="10" t="s">
        <v>282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4">
        <f t="shared" si="0"/>
        <v>0</v>
      </c>
      <c r="I36" s="14">
        <f t="shared" si="1"/>
        <v>0</v>
      </c>
      <c r="J36" s="8"/>
      <c r="K36" s="8"/>
    </row>
    <row r="37" spans="1:11" x14ac:dyDescent="0.2">
      <c r="A37" s="10">
        <v>23237000</v>
      </c>
      <c r="B37" s="10" t="s">
        <v>283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4">
        <f t="shared" si="0"/>
        <v>0</v>
      </c>
      <c r="I37" s="14">
        <f t="shared" si="1"/>
        <v>0</v>
      </c>
      <c r="J37" s="8"/>
      <c r="K37" s="8"/>
    </row>
    <row r="38" spans="1:11" x14ac:dyDescent="0.2">
      <c r="A38" s="10">
        <v>23250000</v>
      </c>
      <c r="B38" s="10" t="s">
        <v>284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4">
        <f t="shared" si="0"/>
        <v>0</v>
      </c>
      <c r="I38" s="14">
        <f t="shared" si="1"/>
        <v>0</v>
      </c>
      <c r="J38" s="8"/>
      <c r="K38" s="8"/>
    </row>
    <row r="39" spans="1:11" x14ac:dyDescent="0.2">
      <c r="A39" s="10">
        <v>23800000</v>
      </c>
      <c r="B39" s="10" t="s">
        <v>285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4">
        <f t="shared" si="0"/>
        <v>0</v>
      </c>
      <c r="I39" s="14">
        <f t="shared" si="1"/>
        <v>0</v>
      </c>
      <c r="J39" s="8"/>
      <c r="K39" s="8"/>
    </row>
    <row r="40" spans="1:11" x14ac:dyDescent="0.2">
      <c r="A40" s="10">
        <v>24000000</v>
      </c>
      <c r="B40" s="10" t="s">
        <v>40</v>
      </c>
      <c r="C40" s="11">
        <v>790367.65</v>
      </c>
      <c r="D40" s="11">
        <v>0</v>
      </c>
      <c r="E40" s="11">
        <v>0</v>
      </c>
      <c r="F40" s="11">
        <v>0</v>
      </c>
      <c r="G40" s="11">
        <v>0</v>
      </c>
      <c r="H40" s="14">
        <f t="shared" si="0"/>
        <v>0</v>
      </c>
      <c r="I40" s="14">
        <f t="shared" si="1"/>
        <v>790367.65</v>
      </c>
      <c r="J40" s="8" t="s">
        <v>25</v>
      </c>
      <c r="K40" s="8"/>
    </row>
    <row r="41" spans="1:11" x14ac:dyDescent="0.2">
      <c r="A41" s="10">
        <v>25100000</v>
      </c>
      <c r="B41" s="10" t="s">
        <v>286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4">
        <f t="shared" si="0"/>
        <v>0</v>
      </c>
      <c r="I41" s="14">
        <f t="shared" si="1"/>
        <v>0</v>
      </c>
      <c r="J41" s="8"/>
      <c r="K41" s="8"/>
    </row>
    <row r="42" spans="1:11" x14ac:dyDescent="0.2">
      <c r="A42" s="10">
        <v>25110000</v>
      </c>
      <c r="B42" s="10" t="s">
        <v>41</v>
      </c>
      <c r="C42" s="11">
        <v>266820</v>
      </c>
      <c r="D42" s="11">
        <v>0</v>
      </c>
      <c r="E42" s="11">
        <v>0</v>
      </c>
      <c r="F42" s="11">
        <v>0</v>
      </c>
      <c r="G42" s="11">
        <v>0</v>
      </c>
      <c r="H42" s="14">
        <f t="shared" si="0"/>
        <v>0</v>
      </c>
      <c r="I42" s="14">
        <f t="shared" si="1"/>
        <v>266820</v>
      </c>
      <c r="J42" s="8" t="s">
        <v>42</v>
      </c>
      <c r="K42" s="8"/>
    </row>
    <row r="43" spans="1:11" x14ac:dyDescent="0.2">
      <c r="A43" s="10">
        <v>25120000</v>
      </c>
      <c r="B43" s="10" t="s">
        <v>287</v>
      </c>
      <c r="C43" s="11">
        <v>512700</v>
      </c>
      <c r="D43" s="11">
        <v>0</v>
      </c>
      <c r="E43" s="11">
        <v>0</v>
      </c>
      <c r="F43" s="11">
        <v>0</v>
      </c>
      <c r="G43" s="11">
        <v>0</v>
      </c>
      <c r="H43" s="14">
        <f t="shared" si="0"/>
        <v>0</v>
      </c>
      <c r="I43" s="14">
        <f t="shared" si="1"/>
        <v>512700</v>
      </c>
      <c r="J43" s="8" t="s">
        <v>42</v>
      </c>
      <c r="K43" s="8"/>
    </row>
    <row r="44" spans="1:11" x14ac:dyDescent="0.2">
      <c r="A44" s="10">
        <v>25130000</v>
      </c>
      <c r="B44" s="10" t="s">
        <v>43</v>
      </c>
      <c r="C44" s="11">
        <v>677000</v>
      </c>
      <c r="D44" s="11">
        <v>0</v>
      </c>
      <c r="E44" s="11">
        <v>0</v>
      </c>
      <c r="F44" s="11">
        <v>0</v>
      </c>
      <c r="G44" s="11">
        <v>0</v>
      </c>
      <c r="H44" s="14">
        <f t="shared" si="0"/>
        <v>0</v>
      </c>
      <c r="I44" s="14">
        <f t="shared" si="1"/>
        <v>677000</v>
      </c>
      <c r="J44" s="8" t="s">
        <v>42</v>
      </c>
      <c r="K44" s="8"/>
    </row>
    <row r="45" spans="1:11" x14ac:dyDescent="0.2">
      <c r="A45" s="10">
        <v>25140000</v>
      </c>
      <c r="B45" s="10" t="s">
        <v>44</v>
      </c>
      <c r="C45" s="11">
        <v>3150000</v>
      </c>
      <c r="D45" s="11">
        <v>0</v>
      </c>
      <c r="E45" s="11">
        <v>0</v>
      </c>
      <c r="F45" s="11">
        <v>0</v>
      </c>
      <c r="G45" s="11">
        <v>0</v>
      </c>
      <c r="H45" s="14">
        <f t="shared" si="0"/>
        <v>0</v>
      </c>
      <c r="I45" s="14">
        <f t="shared" si="1"/>
        <v>3150000</v>
      </c>
      <c r="J45" s="8" t="s">
        <v>42</v>
      </c>
      <c r="K45" s="8"/>
    </row>
    <row r="46" spans="1:11" x14ac:dyDescent="0.2">
      <c r="A46" s="10">
        <v>25150000</v>
      </c>
      <c r="B46" s="10" t="s">
        <v>387</v>
      </c>
      <c r="C46" s="11">
        <v>319680</v>
      </c>
      <c r="D46" s="11">
        <v>0</v>
      </c>
      <c r="E46" s="11">
        <v>0</v>
      </c>
      <c r="F46" s="11">
        <v>0</v>
      </c>
      <c r="G46" s="11">
        <v>0</v>
      </c>
      <c r="H46" s="14">
        <f t="shared" si="0"/>
        <v>0</v>
      </c>
      <c r="I46" s="14">
        <f t="shared" si="1"/>
        <v>319680</v>
      </c>
      <c r="J46" s="8" t="s">
        <v>42</v>
      </c>
      <c r="K46" s="8"/>
    </row>
    <row r="47" spans="1:11" x14ac:dyDescent="0.2">
      <c r="A47" s="10">
        <v>25700000</v>
      </c>
      <c r="B47" s="10" t="s">
        <v>288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4">
        <f t="shared" si="0"/>
        <v>0</v>
      </c>
      <c r="I47" s="14">
        <f t="shared" si="1"/>
        <v>0</v>
      </c>
      <c r="J47" s="8"/>
      <c r="K47" s="8"/>
    </row>
    <row r="48" spans="1:11" x14ac:dyDescent="0.2">
      <c r="A48" s="10">
        <v>25810000</v>
      </c>
      <c r="B48" s="10" t="s">
        <v>289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4">
        <f t="shared" si="0"/>
        <v>0</v>
      </c>
      <c r="I48" s="14">
        <f t="shared" si="1"/>
        <v>0</v>
      </c>
      <c r="J48" s="8"/>
      <c r="K48" s="8"/>
    </row>
    <row r="49" spans="1:11" x14ac:dyDescent="0.2">
      <c r="A49" s="10">
        <v>26400000</v>
      </c>
      <c r="B49" s="10" t="s">
        <v>290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4">
        <f t="shared" si="0"/>
        <v>0</v>
      </c>
      <c r="I49" s="14">
        <f t="shared" si="1"/>
        <v>0</v>
      </c>
      <c r="J49" s="8"/>
      <c r="K49" s="8"/>
    </row>
    <row r="50" spans="1:11" x14ac:dyDescent="0.2">
      <c r="A50" s="10">
        <v>26430000</v>
      </c>
      <c r="B50" s="10" t="s">
        <v>291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4">
        <f t="shared" si="0"/>
        <v>0</v>
      </c>
      <c r="I50" s="14">
        <f t="shared" si="1"/>
        <v>0</v>
      </c>
      <c r="J50" s="8"/>
      <c r="K50" s="8"/>
    </row>
    <row r="51" spans="1:11" x14ac:dyDescent="0.2">
      <c r="A51" s="10">
        <v>26500000</v>
      </c>
      <c r="B51" s="10" t="s">
        <v>45</v>
      </c>
      <c r="C51" s="11">
        <v>-15159.0159999998</v>
      </c>
      <c r="D51" s="11">
        <v>0</v>
      </c>
      <c r="E51" s="11">
        <v>0</v>
      </c>
      <c r="F51" s="11">
        <v>0</v>
      </c>
      <c r="G51" s="11">
        <v>0</v>
      </c>
      <c r="H51" s="14">
        <f t="shared" si="0"/>
        <v>0</v>
      </c>
      <c r="I51" s="14">
        <f t="shared" si="1"/>
        <v>-15159.0159999998</v>
      </c>
      <c r="J51" s="8" t="s">
        <v>46</v>
      </c>
      <c r="K51" s="8"/>
    </row>
    <row r="52" spans="1:11" x14ac:dyDescent="0.2">
      <c r="A52" s="10">
        <v>26510000</v>
      </c>
      <c r="B52" s="10" t="s">
        <v>292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4">
        <f t="shared" si="0"/>
        <v>0</v>
      </c>
      <c r="I52" s="14">
        <f t="shared" si="1"/>
        <v>0</v>
      </c>
      <c r="J52" s="8"/>
      <c r="K52" s="8"/>
    </row>
    <row r="53" spans="1:11" x14ac:dyDescent="0.2">
      <c r="A53" s="10">
        <v>26550000</v>
      </c>
      <c r="B53" s="10" t="s">
        <v>293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4">
        <f t="shared" si="0"/>
        <v>0</v>
      </c>
      <c r="I53" s="14">
        <f t="shared" si="1"/>
        <v>0</v>
      </c>
      <c r="J53" s="8"/>
      <c r="K53" s="8"/>
    </row>
    <row r="54" spans="1:11" x14ac:dyDescent="0.2">
      <c r="A54" s="10">
        <v>27100000</v>
      </c>
      <c r="B54" s="10" t="s">
        <v>294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4">
        <f t="shared" si="0"/>
        <v>0</v>
      </c>
      <c r="I54" s="14">
        <f t="shared" si="1"/>
        <v>0</v>
      </c>
      <c r="J54" s="8"/>
      <c r="K54" s="8"/>
    </row>
    <row r="55" spans="1:11" x14ac:dyDescent="0.2">
      <c r="A55" s="10">
        <v>28100000</v>
      </c>
      <c r="B55" s="10" t="s">
        <v>295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4">
        <f t="shared" si="0"/>
        <v>0</v>
      </c>
      <c r="I55" s="14">
        <f t="shared" si="1"/>
        <v>0</v>
      </c>
      <c r="J55" s="8"/>
      <c r="K55" s="8"/>
    </row>
    <row r="56" spans="1:11" x14ac:dyDescent="0.2">
      <c r="A56" s="10">
        <v>28110000</v>
      </c>
      <c r="B56" s="10" t="s">
        <v>296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4">
        <f t="shared" si="0"/>
        <v>0</v>
      </c>
      <c r="I56" s="14">
        <f t="shared" si="1"/>
        <v>0</v>
      </c>
      <c r="J56" s="8"/>
      <c r="K56" s="8"/>
    </row>
    <row r="57" spans="1:11" x14ac:dyDescent="0.2">
      <c r="A57" s="10">
        <v>28130000</v>
      </c>
      <c r="B57" s="10" t="s">
        <v>8979</v>
      </c>
      <c r="C57" s="11">
        <v>-71825.265999999974</v>
      </c>
      <c r="D57" s="11">
        <v>0</v>
      </c>
      <c r="E57" s="11">
        <v>0</v>
      </c>
      <c r="F57" s="11">
        <v>5046.6760000000004</v>
      </c>
      <c r="G57" s="11">
        <v>5701.5780000000004</v>
      </c>
      <c r="H57" s="14">
        <f t="shared" si="0"/>
        <v>-654.90200000000004</v>
      </c>
      <c r="I57" s="14">
        <f t="shared" si="1"/>
        <v>-72480.167999999976</v>
      </c>
      <c r="J57" s="8" t="s">
        <v>47</v>
      </c>
      <c r="K57" s="8"/>
    </row>
    <row r="58" spans="1:11" x14ac:dyDescent="0.2">
      <c r="A58" s="10">
        <v>28216000</v>
      </c>
      <c r="B58" s="10" t="s">
        <v>48</v>
      </c>
      <c r="C58" s="11">
        <v>-147409.69400000002</v>
      </c>
      <c r="D58" s="11">
        <v>0</v>
      </c>
      <c r="E58" s="11">
        <v>0</v>
      </c>
      <c r="F58" s="11">
        <v>2102.471</v>
      </c>
      <c r="G58" s="11">
        <v>2334.36</v>
      </c>
      <c r="H58" s="14">
        <f t="shared" si="0"/>
        <v>-231.88900000000012</v>
      </c>
      <c r="I58" s="14">
        <f t="shared" si="1"/>
        <v>-147641.58300000001</v>
      </c>
      <c r="J58" s="8" t="s">
        <v>47</v>
      </c>
      <c r="K58" s="8"/>
    </row>
    <row r="59" spans="1:11" x14ac:dyDescent="0.2">
      <c r="A59" s="10">
        <v>28220000</v>
      </c>
      <c r="B59" s="10" t="s">
        <v>49</v>
      </c>
      <c r="C59" s="11">
        <v>-3577845.4189999998</v>
      </c>
      <c r="D59" s="11">
        <v>0</v>
      </c>
      <c r="E59" s="11">
        <v>0</v>
      </c>
      <c r="F59" s="11">
        <v>337340.46399999998</v>
      </c>
      <c r="G59" s="11">
        <v>374547.13500000001</v>
      </c>
      <c r="H59" s="14">
        <f t="shared" si="0"/>
        <v>-37206.671000000031</v>
      </c>
      <c r="I59" s="14">
        <f t="shared" si="1"/>
        <v>-3615052.09</v>
      </c>
      <c r="J59" s="8" t="s">
        <v>47</v>
      </c>
      <c r="K59" s="8"/>
    </row>
    <row r="60" spans="1:11" x14ac:dyDescent="0.2">
      <c r="A60" s="10">
        <v>28225000</v>
      </c>
      <c r="B60" s="10" t="s">
        <v>50</v>
      </c>
      <c r="C60" s="11">
        <v>-247550.72499999998</v>
      </c>
      <c r="D60" s="11">
        <v>0</v>
      </c>
      <c r="E60" s="11">
        <v>0</v>
      </c>
      <c r="F60" s="11">
        <v>42513.500999999997</v>
      </c>
      <c r="G60" s="11">
        <v>50930.177000000003</v>
      </c>
      <c r="H60" s="14">
        <f t="shared" si="0"/>
        <v>-8416.6760000000068</v>
      </c>
      <c r="I60" s="14">
        <f t="shared" si="1"/>
        <v>-255967.40099999998</v>
      </c>
      <c r="J60" s="8" t="s">
        <v>47</v>
      </c>
      <c r="K60" s="8"/>
    </row>
    <row r="61" spans="1:11" x14ac:dyDescent="0.2">
      <c r="A61" s="10">
        <v>28230000</v>
      </c>
      <c r="B61" s="10" t="s">
        <v>263</v>
      </c>
      <c r="C61" s="11">
        <v>-37591.396000000008</v>
      </c>
      <c r="D61" s="11">
        <v>0</v>
      </c>
      <c r="E61" s="11">
        <v>0</v>
      </c>
      <c r="F61" s="11">
        <v>19860.413</v>
      </c>
      <c r="G61" s="11">
        <v>19263.137999999999</v>
      </c>
      <c r="H61" s="14">
        <f t="shared" si="0"/>
        <v>597.27500000000146</v>
      </c>
      <c r="I61" s="14">
        <f t="shared" si="1"/>
        <v>-36994.121000000006</v>
      </c>
      <c r="J61" s="8" t="s">
        <v>47</v>
      </c>
      <c r="K61" s="8"/>
    </row>
    <row r="62" spans="1:11" x14ac:dyDescent="0.2">
      <c r="A62" s="10">
        <v>28234000</v>
      </c>
      <c r="B62" s="10" t="s">
        <v>51</v>
      </c>
      <c r="C62" s="11">
        <v>-15345547.128</v>
      </c>
      <c r="D62" s="11">
        <v>0</v>
      </c>
      <c r="E62" s="11">
        <v>0</v>
      </c>
      <c r="F62" s="11">
        <v>1149964.7420000001</v>
      </c>
      <c r="G62" s="11">
        <v>1258280.135</v>
      </c>
      <c r="H62" s="14">
        <f t="shared" si="0"/>
        <v>-108315.39299999992</v>
      </c>
      <c r="I62" s="14">
        <f t="shared" si="1"/>
        <v>-15453862.521</v>
      </c>
      <c r="J62" s="8" t="s">
        <v>47</v>
      </c>
      <c r="K62" s="8"/>
    </row>
    <row r="63" spans="1:11" x14ac:dyDescent="0.2">
      <c r="A63" s="10">
        <v>28235000</v>
      </c>
      <c r="B63" s="10" t="s">
        <v>52</v>
      </c>
      <c r="C63" s="11">
        <v>-336889.76299999998</v>
      </c>
      <c r="D63" s="11">
        <v>0</v>
      </c>
      <c r="E63" s="11">
        <v>0</v>
      </c>
      <c r="F63" s="11">
        <v>54762.413999999997</v>
      </c>
      <c r="G63" s="11">
        <v>58746.652999999998</v>
      </c>
      <c r="H63" s="14">
        <f t="shared" si="0"/>
        <v>-3984.2390000000014</v>
      </c>
      <c r="I63" s="14">
        <f t="shared" si="1"/>
        <v>-340874.00199999998</v>
      </c>
      <c r="J63" s="8" t="s">
        <v>47</v>
      </c>
      <c r="K63" s="8"/>
    </row>
    <row r="64" spans="1:11" x14ac:dyDescent="0.2">
      <c r="A64" s="10">
        <v>28237000</v>
      </c>
      <c r="B64" s="10" t="s">
        <v>53</v>
      </c>
      <c r="C64" s="11">
        <v>-748210.26199999999</v>
      </c>
      <c r="D64" s="11">
        <v>0</v>
      </c>
      <c r="E64" s="11">
        <v>0</v>
      </c>
      <c r="F64" s="11">
        <v>16745.321</v>
      </c>
      <c r="G64" s="11">
        <v>18681.282999999999</v>
      </c>
      <c r="H64" s="14">
        <f t="shared" si="0"/>
        <v>-1935.9619999999995</v>
      </c>
      <c r="I64" s="14">
        <f t="shared" si="1"/>
        <v>-750146.22399999993</v>
      </c>
      <c r="J64" s="8" t="s">
        <v>47</v>
      </c>
      <c r="K64" s="8"/>
    </row>
    <row r="65" spans="1:11" x14ac:dyDescent="0.2">
      <c r="A65" s="10">
        <v>28240000</v>
      </c>
      <c r="B65" s="10" t="s">
        <v>54</v>
      </c>
      <c r="C65" s="11">
        <v>-587719.92600000009</v>
      </c>
      <c r="D65" s="11">
        <v>0</v>
      </c>
      <c r="E65" s="11">
        <v>0</v>
      </c>
      <c r="F65" s="11">
        <v>102470.39999999999</v>
      </c>
      <c r="G65" s="11">
        <v>112586.652</v>
      </c>
      <c r="H65" s="14">
        <f t="shared" si="0"/>
        <v>-10116.252000000008</v>
      </c>
      <c r="I65" s="14">
        <f t="shared" si="1"/>
        <v>-597836.17800000007</v>
      </c>
      <c r="J65" s="8" t="s">
        <v>47</v>
      </c>
      <c r="K65" s="8"/>
    </row>
    <row r="66" spans="1:11" x14ac:dyDescent="0.2">
      <c r="A66" s="10">
        <v>28282000</v>
      </c>
      <c r="B66" s="10" t="s">
        <v>55</v>
      </c>
      <c r="C66" s="11">
        <v>-210054.68299999999</v>
      </c>
      <c r="D66" s="11">
        <v>0</v>
      </c>
      <c r="E66" s="11">
        <v>0</v>
      </c>
      <c r="F66" s="11">
        <v>38624.504000000001</v>
      </c>
      <c r="G66" s="11">
        <v>42865.525000000001</v>
      </c>
      <c r="H66" s="14">
        <f t="shared" ref="H66:H129" si="2">D66+F66-E66-G66</f>
        <v>-4241.0210000000006</v>
      </c>
      <c r="I66" s="14">
        <f t="shared" ref="I66:I129" si="3">C66+H66</f>
        <v>-214295.704</v>
      </c>
      <c r="J66" s="8" t="s">
        <v>47</v>
      </c>
      <c r="K66" s="8"/>
    </row>
    <row r="67" spans="1:11" x14ac:dyDescent="0.2">
      <c r="A67" s="10">
        <v>28283000</v>
      </c>
      <c r="B67" s="10" t="s">
        <v>264</v>
      </c>
      <c r="C67" s="11">
        <v>-113940.61200000002</v>
      </c>
      <c r="D67" s="11">
        <v>0</v>
      </c>
      <c r="E67" s="11">
        <v>0</v>
      </c>
      <c r="F67" s="11">
        <v>21187.987000000001</v>
      </c>
      <c r="G67" s="11">
        <v>25885.905999999999</v>
      </c>
      <c r="H67" s="14">
        <f t="shared" si="2"/>
        <v>-4697.9189999999981</v>
      </c>
      <c r="I67" s="14">
        <f t="shared" si="3"/>
        <v>-118638.53100000002</v>
      </c>
      <c r="J67" s="8" t="s">
        <v>47</v>
      </c>
      <c r="K67" s="8"/>
    </row>
    <row r="68" spans="1:11" x14ac:dyDescent="0.2">
      <c r="A68" s="10">
        <v>28400000</v>
      </c>
      <c r="B68" s="10" t="s">
        <v>56</v>
      </c>
      <c r="C68" s="11">
        <v>-474557.31699999986</v>
      </c>
      <c r="D68" s="11">
        <v>0</v>
      </c>
      <c r="E68" s="11">
        <v>0</v>
      </c>
      <c r="F68" s="11">
        <v>62673.673999999999</v>
      </c>
      <c r="G68" s="11">
        <v>69031.042000000001</v>
      </c>
      <c r="H68" s="14">
        <f t="shared" si="2"/>
        <v>-6357.3680000000022</v>
      </c>
      <c r="I68" s="14">
        <f t="shared" si="3"/>
        <v>-480914.68499999988</v>
      </c>
      <c r="J68" s="8" t="s">
        <v>47</v>
      </c>
      <c r="K68" s="8"/>
    </row>
    <row r="69" spans="1:11" x14ac:dyDescent="0.2">
      <c r="A69" s="10">
        <v>29220000</v>
      </c>
      <c r="B69" s="10" t="s">
        <v>297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4">
        <f t="shared" si="2"/>
        <v>0</v>
      </c>
      <c r="I69" s="14">
        <f t="shared" si="3"/>
        <v>0</v>
      </c>
      <c r="J69" s="8"/>
      <c r="K69" s="8"/>
    </row>
    <row r="70" spans="1:11" x14ac:dyDescent="0.2">
      <c r="A70" s="10">
        <v>29234000</v>
      </c>
      <c r="B70" s="10" t="s">
        <v>388</v>
      </c>
      <c r="C70" s="11">
        <v>-223876.883</v>
      </c>
      <c r="D70" s="11">
        <v>0</v>
      </c>
      <c r="E70" s="11">
        <v>0</v>
      </c>
      <c r="F70" s="11">
        <v>0</v>
      </c>
      <c r="G70" s="11">
        <v>0</v>
      </c>
      <c r="H70" s="14">
        <f t="shared" si="2"/>
        <v>0</v>
      </c>
      <c r="I70" s="14">
        <f t="shared" si="3"/>
        <v>-223876.883</v>
      </c>
      <c r="J70" s="8" t="s">
        <v>401</v>
      </c>
      <c r="K70" s="8"/>
    </row>
    <row r="71" spans="1:11" x14ac:dyDescent="0.2">
      <c r="A71" s="10">
        <v>29235000</v>
      </c>
      <c r="B71" s="10" t="s">
        <v>389</v>
      </c>
      <c r="C71" s="11">
        <v>-8171.429000000001</v>
      </c>
      <c r="D71" s="11">
        <v>0</v>
      </c>
      <c r="E71" s="11">
        <v>0</v>
      </c>
      <c r="F71" s="11">
        <v>0</v>
      </c>
      <c r="G71" s="11">
        <v>0</v>
      </c>
      <c r="H71" s="14">
        <f t="shared" si="2"/>
        <v>0</v>
      </c>
      <c r="I71" s="14">
        <f t="shared" si="3"/>
        <v>-8171.429000000001</v>
      </c>
      <c r="J71" s="8" t="s">
        <v>401</v>
      </c>
      <c r="K71" s="8"/>
    </row>
    <row r="72" spans="1:11" x14ac:dyDescent="0.2">
      <c r="A72" s="10">
        <v>29282000</v>
      </c>
      <c r="B72" s="10" t="s">
        <v>298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4">
        <f t="shared" si="2"/>
        <v>0</v>
      </c>
      <c r="I72" s="14">
        <f t="shared" si="3"/>
        <v>0</v>
      </c>
      <c r="J72" s="8"/>
      <c r="K72" s="8"/>
    </row>
    <row r="73" spans="1:11" x14ac:dyDescent="0.2">
      <c r="A73" s="10">
        <v>29286500</v>
      </c>
      <c r="B73" s="10" t="s">
        <v>299</v>
      </c>
      <c r="C73" s="11">
        <v>0</v>
      </c>
      <c r="D73" s="11">
        <v>0</v>
      </c>
      <c r="E73" s="11">
        <v>0</v>
      </c>
      <c r="F73" s="11">
        <v>0</v>
      </c>
      <c r="G73" s="11">
        <v>0</v>
      </c>
      <c r="H73" s="14">
        <f t="shared" si="2"/>
        <v>0</v>
      </c>
      <c r="I73" s="14">
        <f t="shared" si="3"/>
        <v>0</v>
      </c>
      <c r="J73" s="8" t="s">
        <v>25</v>
      </c>
      <c r="K73" s="8"/>
    </row>
    <row r="74" spans="1:11" x14ac:dyDescent="0.2">
      <c r="A74" s="10">
        <v>29700000</v>
      </c>
      <c r="B74" s="10" t="s">
        <v>57</v>
      </c>
      <c r="C74" s="11">
        <v>-29257.384999999998</v>
      </c>
      <c r="D74" s="11">
        <v>0</v>
      </c>
      <c r="E74" s="11">
        <v>0</v>
      </c>
      <c r="F74" s="11">
        <v>0</v>
      </c>
      <c r="G74" s="11">
        <v>0</v>
      </c>
      <c r="H74" s="14">
        <f t="shared" si="2"/>
        <v>0</v>
      </c>
      <c r="I74" s="14">
        <f t="shared" si="3"/>
        <v>-29257.384999999998</v>
      </c>
      <c r="J74" s="8" t="s">
        <v>58</v>
      </c>
      <c r="K74" s="8"/>
    </row>
    <row r="75" spans="1:11" x14ac:dyDescent="0.2">
      <c r="A75" s="10">
        <v>31100000</v>
      </c>
      <c r="B75" s="10" t="s">
        <v>59</v>
      </c>
      <c r="C75" s="11">
        <v>0</v>
      </c>
      <c r="D75" s="11">
        <v>0</v>
      </c>
      <c r="E75" s="11">
        <v>0</v>
      </c>
      <c r="F75" s="11">
        <v>10140516.117000001</v>
      </c>
      <c r="G75" s="11">
        <v>0</v>
      </c>
      <c r="H75" s="14">
        <f t="shared" si="2"/>
        <v>10140516.117000001</v>
      </c>
      <c r="I75" s="14">
        <f t="shared" si="3"/>
        <v>10140516.117000001</v>
      </c>
      <c r="J75" s="8" t="s">
        <v>60</v>
      </c>
      <c r="K75" s="8"/>
    </row>
    <row r="76" spans="1:11" x14ac:dyDescent="0.2">
      <c r="A76" s="10">
        <v>31200000</v>
      </c>
      <c r="B76" s="10" t="s">
        <v>390</v>
      </c>
      <c r="C76" s="11">
        <v>0</v>
      </c>
      <c r="D76" s="11">
        <v>0</v>
      </c>
      <c r="E76" s="11">
        <v>0</v>
      </c>
      <c r="F76" s="11">
        <v>0</v>
      </c>
      <c r="G76" s="11">
        <v>0</v>
      </c>
      <c r="H76" s="14">
        <f t="shared" si="2"/>
        <v>0</v>
      </c>
      <c r="I76" s="14">
        <f t="shared" si="3"/>
        <v>0</v>
      </c>
      <c r="J76" s="8"/>
      <c r="K76" s="8"/>
    </row>
    <row r="77" spans="1:11" x14ac:dyDescent="0.2">
      <c r="A77" s="10">
        <v>32200000</v>
      </c>
      <c r="B77" s="10" t="s">
        <v>61</v>
      </c>
      <c r="C77" s="11">
        <v>0</v>
      </c>
      <c r="D77" s="11">
        <v>0</v>
      </c>
      <c r="E77" s="11">
        <v>0</v>
      </c>
      <c r="F77" s="11">
        <v>771579.85400000005</v>
      </c>
      <c r="G77" s="11">
        <v>0</v>
      </c>
      <c r="H77" s="14">
        <f t="shared" si="2"/>
        <v>771579.85400000005</v>
      </c>
      <c r="I77" s="14">
        <f t="shared" si="3"/>
        <v>771579.85400000005</v>
      </c>
      <c r="J77" s="8" t="s">
        <v>60</v>
      </c>
      <c r="K77" s="8"/>
    </row>
    <row r="78" spans="1:11" x14ac:dyDescent="0.2">
      <c r="A78" s="10">
        <v>33100000</v>
      </c>
      <c r="B78" s="10" t="s">
        <v>62</v>
      </c>
      <c r="C78" s="11">
        <v>9.9999923259019852E-4</v>
      </c>
      <c r="D78" s="11">
        <v>0</v>
      </c>
      <c r="E78" s="11">
        <v>0</v>
      </c>
      <c r="F78" s="11">
        <v>5497780.6339999996</v>
      </c>
      <c r="G78" s="11">
        <v>0</v>
      </c>
      <c r="H78" s="14">
        <f t="shared" si="2"/>
        <v>5497780.6339999996</v>
      </c>
      <c r="I78" s="14">
        <f t="shared" si="3"/>
        <v>5497780.6349999988</v>
      </c>
      <c r="J78" s="8" t="s">
        <v>60</v>
      </c>
      <c r="K78" s="8"/>
    </row>
    <row r="79" spans="1:11" x14ac:dyDescent="0.2">
      <c r="A79" s="10">
        <v>33500000</v>
      </c>
      <c r="B79" s="10" t="s">
        <v>300</v>
      </c>
      <c r="C79" s="11">
        <v>0</v>
      </c>
      <c r="D79" s="11">
        <v>0</v>
      </c>
      <c r="E79" s="11">
        <v>0</v>
      </c>
      <c r="F79" s="11">
        <v>0</v>
      </c>
      <c r="G79" s="11">
        <v>0</v>
      </c>
      <c r="H79" s="14">
        <f t="shared" si="2"/>
        <v>0</v>
      </c>
      <c r="I79" s="14">
        <f t="shared" si="3"/>
        <v>0</v>
      </c>
      <c r="J79" s="8"/>
      <c r="K79" s="8"/>
    </row>
    <row r="80" spans="1:11" x14ac:dyDescent="0.2">
      <c r="A80" s="10">
        <v>34100000</v>
      </c>
      <c r="B80" s="10" t="s">
        <v>301</v>
      </c>
      <c r="C80" s="11">
        <v>0</v>
      </c>
      <c r="D80" s="11">
        <v>0</v>
      </c>
      <c r="E80" s="11">
        <v>0</v>
      </c>
      <c r="F80" s="11">
        <v>0</v>
      </c>
      <c r="G80" s="11">
        <v>0</v>
      </c>
      <c r="H80" s="14">
        <f t="shared" si="2"/>
        <v>0</v>
      </c>
      <c r="I80" s="14">
        <f t="shared" si="3"/>
        <v>0</v>
      </c>
      <c r="J80" s="8"/>
      <c r="K80" s="8"/>
    </row>
    <row r="81" spans="1:11" x14ac:dyDescent="0.2">
      <c r="A81" s="10">
        <v>35500000</v>
      </c>
      <c r="B81" s="10" t="s">
        <v>63</v>
      </c>
      <c r="C81" s="11">
        <v>-1.3969838619232178E-9</v>
      </c>
      <c r="D81" s="11">
        <v>0</v>
      </c>
      <c r="E81" s="11">
        <v>0</v>
      </c>
      <c r="F81" s="11">
        <v>150396.32699999999</v>
      </c>
      <c r="G81" s="11">
        <v>0</v>
      </c>
      <c r="H81" s="14">
        <f t="shared" si="2"/>
        <v>150396.32699999999</v>
      </c>
      <c r="I81" s="14">
        <f t="shared" si="3"/>
        <v>150396.32699999859</v>
      </c>
      <c r="J81" s="8" t="s">
        <v>60</v>
      </c>
      <c r="K81" s="8"/>
    </row>
    <row r="82" spans="1:11" x14ac:dyDescent="0.2">
      <c r="A82" s="10">
        <v>39000000</v>
      </c>
      <c r="B82" s="10" t="s">
        <v>64</v>
      </c>
      <c r="C82" s="11">
        <v>-208158.11300000001</v>
      </c>
      <c r="D82" s="11">
        <v>0</v>
      </c>
      <c r="E82" s="11">
        <v>0</v>
      </c>
      <c r="F82" s="11">
        <v>0</v>
      </c>
      <c r="G82" s="11">
        <v>0</v>
      </c>
      <c r="H82" s="14">
        <f t="shared" si="2"/>
        <v>0</v>
      </c>
      <c r="I82" s="14">
        <f t="shared" si="3"/>
        <v>-208158.11300000001</v>
      </c>
      <c r="J82" s="8" t="s">
        <v>65</v>
      </c>
      <c r="K82" s="8"/>
    </row>
    <row r="83" spans="1:11" x14ac:dyDescent="0.2">
      <c r="A83" s="10">
        <v>40100000</v>
      </c>
      <c r="B83" s="10" t="s">
        <v>66</v>
      </c>
      <c r="C83" s="11">
        <v>-3953964.9858700302</v>
      </c>
      <c r="D83" s="11">
        <v>4527906.2339999992</v>
      </c>
      <c r="E83" s="11">
        <v>2899849.2949999999</v>
      </c>
      <c r="F83" s="11">
        <v>0</v>
      </c>
      <c r="G83" s="11">
        <v>0</v>
      </c>
      <c r="H83" s="14">
        <f t="shared" si="2"/>
        <v>1628056.9389999993</v>
      </c>
      <c r="I83" s="14">
        <f t="shared" si="3"/>
        <v>-2325908.0468700309</v>
      </c>
      <c r="J83" s="8" t="s">
        <v>67</v>
      </c>
      <c r="K83" s="8"/>
    </row>
    <row r="84" spans="1:11" x14ac:dyDescent="0.2">
      <c r="A84" s="10">
        <v>40300000</v>
      </c>
      <c r="B84" s="10" t="s">
        <v>68</v>
      </c>
      <c r="C84" s="11">
        <v>-217381.17700000672</v>
      </c>
      <c r="D84" s="11">
        <v>99920.37</v>
      </c>
      <c r="E84" s="11">
        <v>207180.42199999999</v>
      </c>
      <c r="F84" s="11">
        <v>0</v>
      </c>
      <c r="G84" s="11">
        <v>0</v>
      </c>
      <c r="H84" s="14">
        <f t="shared" si="2"/>
        <v>-107260.052</v>
      </c>
      <c r="I84" s="14">
        <f t="shared" si="3"/>
        <v>-324641.22900000669</v>
      </c>
      <c r="J84" s="8" t="s">
        <v>67</v>
      </c>
      <c r="K84" s="8"/>
    </row>
    <row r="85" spans="1:11" x14ac:dyDescent="0.2">
      <c r="A85" s="10">
        <v>40301000</v>
      </c>
      <c r="B85" s="10" t="s">
        <v>302</v>
      </c>
      <c r="C85" s="11">
        <v>0</v>
      </c>
      <c r="D85" s="11">
        <v>0</v>
      </c>
      <c r="E85" s="11">
        <v>0</v>
      </c>
      <c r="F85" s="11">
        <v>0</v>
      </c>
      <c r="G85" s="11">
        <v>0</v>
      </c>
      <c r="H85" s="14">
        <f t="shared" si="2"/>
        <v>0</v>
      </c>
      <c r="I85" s="14">
        <f t="shared" si="3"/>
        <v>0</v>
      </c>
      <c r="J85" s="8"/>
      <c r="K85" s="8"/>
    </row>
    <row r="86" spans="1:11" x14ac:dyDescent="0.2">
      <c r="A86" s="10">
        <v>40400000</v>
      </c>
      <c r="B86" s="10" t="s">
        <v>69</v>
      </c>
      <c r="C86" s="11">
        <v>9.999983012676239E-5</v>
      </c>
      <c r="D86" s="11">
        <v>0</v>
      </c>
      <c r="E86" s="11">
        <v>0</v>
      </c>
      <c r="F86" s="11">
        <v>0</v>
      </c>
      <c r="G86" s="11">
        <v>0</v>
      </c>
      <c r="H86" s="14">
        <f t="shared" si="2"/>
        <v>0</v>
      </c>
      <c r="I86" s="14">
        <f t="shared" si="3"/>
        <v>9.999983012676239E-5</v>
      </c>
      <c r="J86" s="8"/>
      <c r="K86" s="8"/>
    </row>
    <row r="87" spans="1:11" x14ac:dyDescent="0.2">
      <c r="A87" s="10">
        <v>40470000</v>
      </c>
      <c r="B87" s="10" t="s">
        <v>303</v>
      </c>
      <c r="C87" s="11">
        <v>0</v>
      </c>
      <c r="D87" s="11">
        <v>0</v>
      </c>
      <c r="E87" s="11">
        <v>0</v>
      </c>
      <c r="F87" s="11">
        <v>0</v>
      </c>
      <c r="G87" s="11">
        <v>0</v>
      </c>
      <c r="H87" s="14">
        <f t="shared" si="2"/>
        <v>0</v>
      </c>
      <c r="I87" s="14">
        <f t="shared" si="3"/>
        <v>0</v>
      </c>
      <c r="J87" s="8"/>
      <c r="K87" s="8"/>
    </row>
    <row r="88" spans="1:11" x14ac:dyDescent="0.2">
      <c r="A88" s="10">
        <v>40600000</v>
      </c>
      <c r="B88" s="10" t="s">
        <v>70</v>
      </c>
      <c r="C88" s="11">
        <v>-1149848.328969104</v>
      </c>
      <c r="D88" s="11">
        <v>1056480.6070000001</v>
      </c>
      <c r="E88" s="11">
        <v>1916167.7931545</v>
      </c>
      <c r="F88" s="11">
        <v>10269.36</v>
      </c>
      <c r="G88" s="11">
        <v>131073.245</v>
      </c>
      <c r="H88" s="14">
        <f t="shared" si="2"/>
        <v>-980491.07115449978</v>
      </c>
      <c r="I88" s="14">
        <f t="shared" si="3"/>
        <v>-2130339.4001236036</v>
      </c>
      <c r="J88" s="8" t="s">
        <v>67</v>
      </c>
      <c r="K88" s="8"/>
    </row>
    <row r="89" spans="1:11" x14ac:dyDescent="0.2">
      <c r="A89" s="10">
        <v>40800000</v>
      </c>
      <c r="B89" s="10" t="s">
        <v>71</v>
      </c>
      <c r="C89" s="11">
        <v>-4980</v>
      </c>
      <c r="D89" s="11">
        <v>0</v>
      </c>
      <c r="E89" s="11">
        <v>0</v>
      </c>
      <c r="F89" s="11">
        <v>0</v>
      </c>
      <c r="G89" s="11">
        <v>0</v>
      </c>
      <c r="H89" s="14">
        <f t="shared" si="2"/>
        <v>0</v>
      </c>
      <c r="I89" s="14">
        <f t="shared" si="3"/>
        <v>-4980</v>
      </c>
      <c r="J89" s="8" t="s">
        <v>67</v>
      </c>
      <c r="K89" s="8"/>
    </row>
    <row r="90" spans="1:11" x14ac:dyDescent="0.2">
      <c r="A90" s="10">
        <v>40860000</v>
      </c>
      <c r="B90" s="10" t="s">
        <v>304</v>
      </c>
      <c r="C90" s="11">
        <v>0</v>
      </c>
      <c r="D90" s="11">
        <v>0</v>
      </c>
      <c r="E90" s="11">
        <v>0</v>
      </c>
      <c r="F90" s="11">
        <v>0</v>
      </c>
      <c r="G90" s="11">
        <v>0</v>
      </c>
      <c r="H90" s="14">
        <f t="shared" si="2"/>
        <v>0</v>
      </c>
      <c r="I90" s="14">
        <f t="shared" si="3"/>
        <v>0</v>
      </c>
      <c r="J90" s="8"/>
      <c r="K90" s="8"/>
    </row>
    <row r="91" spans="1:11" x14ac:dyDescent="0.2">
      <c r="A91" s="10">
        <v>40910000</v>
      </c>
      <c r="B91" s="10" t="s">
        <v>72</v>
      </c>
      <c r="C91" s="11">
        <v>-3.8198777474462986E-10</v>
      </c>
      <c r="D91" s="11">
        <v>0</v>
      </c>
      <c r="E91" s="11">
        <v>0</v>
      </c>
      <c r="F91" s="11">
        <v>0</v>
      </c>
      <c r="G91" s="11">
        <v>0</v>
      </c>
      <c r="H91" s="14">
        <f t="shared" si="2"/>
        <v>0</v>
      </c>
      <c r="I91" s="14">
        <f t="shared" si="3"/>
        <v>-3.8198777474462986E-10</v>
      </c>
      <c r="J91" s="8" t="s">
        <v>78</v>
      </c>
      <c r="K91" s="8"/>
    </row>
    <row r="92" spans="1:11" x14ac:dyDescent="0.2">
      <c r="A92" s="10">
        <v>41100000</v>
      </c>
      <c r="B92" s="10" t="s">
        <v>73</v>
      </c>
      <c r="C92" s="11">
        <v>15703429.406182472</v>
      </c>
      <c r="D92" s="11">
        <v>6601721.3989999993</v>
      </c>
      <c r="E92" s="11">
        <v>3227715.5139999995</v>
      </c>
      <c r="F92" s="11">
        <v>0</v>
      </c>
      <c r="G92" s="11">
        <v>0</v>
      </c>
      <c r="H92" s="14">
        <f t="shared" si="2"/>
        <v>3374005.8849999998</v>
      </c>
      <c r="I92" s="14">
        <f t="shared" si="3"/>
        <v>19077435.291182473</v>
      </c>
      <c r="J92" s="8" t="s">
        <v>74</v>
      </c>
      <c r="K92" s="8"/>
    </row>
    <row r="93" spans="1:11" x14ac:dyDescent="0.2">
      <c r="A93" s="10">
        <v>41301000</v>
      </c>
      <c r="B93" s="10" t="s">
        <v>305</v>
      </c>
      <c r="C93" s="11">
        <v>0</v>
      </c>
      <c r="D93" s="11">
        <v>0</v>
      </c>
      <c r="E93" s="11">
        <v>0</v>
      </c>
      <c r="F93" s="11">
        <v>0</v>
      </c>
      <c r="G93" s="11">
        <v>0</v>
      </c>
      <c r="H93" s="14">
        <f t="shared" si="2"/>
        <v>0</v>
      </c>
      <c r="I93" s="14">
        <f t="shared" si="3"/>
        <v>0</v>
      </c>
      <c r="J93" s="8"/>
      <c r="K93" s="8"/>
    </row>
    <row r="94" spans="1:11" x14ac:dyDescent="0.2">
      <c r="A94" s="10">
        <v>41500000</v>
      </c>
      <c r="B94" s="10" t="s">
        <v>75</v>
      </c>
      <c r="C94" s="11">
        <v>1951174.6812604791</v>
      </c>
      <c r="D94" s="11">
        <v>794345.96</v>
      </c>
      <c r="E94" s="11">
        <v>1284367.1440000001</v>
      </c>
      <c r="F94" s="11">
        <v>172063.69899999999</v>
      </c>
      <c r="G94" s="11">
        <v>170745.96400000001</v>
      </c>
      <c r="H94" s="14">
        <f t="shared" si="2"/>
        <v>-488703.44900000014</v>
      </c>
      <c r="I94" s="14">
        <f t="shared" si="3"/>
        <v>1462471.2322604791</v>
      </c>
      <c r="J94" s="8" t="s">
        <v>74</v>
      </c>
      <c r="K94" s="8"/>
    </row>
    <row r="95" spans="1:11" x14ac:dyDescent="0.2">
      <c r="A95" s="10">
        <v>41601000</v>
      </c>
      <c r="B95" s="10" t="s">
        <v>306</v>
      </c>
      <c r="C95" s="11">
        <v>0</v>
      </c>
      <c r="D95" s="11">
        <v>0</v>
      </c>
      <c r="E95" s="11">
        <v>0</v>
      </c>
      <c r="F95" s="11">
        <v>0</v>
      </c>
      <c r="G95" s="11">
        <v>0</v>
      </c>
      <c r="H95" s="14">
        <f t="shared" si="2"/>
        <v>0</v>
      </c>
      <c r="I95" s="14">
        <f t="shared" si="3"/>
        <v>0</v>
      </c>
      <c r="J95" s="8"/>
      <c r="K95" s="8"/>
    </row>
    <row r="96" spans="1:11" x14ac:dyDescent="0.2">
      <c r="A96" s="10">
        <v>41800000</v>
      </c>
      <c r="B96" s="10" t="s">
        <v>307</v>
      </c>
      <c r="C96" s="11">
        <v>0</v>
      </c>
      <c r="D96" s="11">
        <v>0</v>
      </c>
      <c r="E96" s="11">
        <v>0</v>
      </c>
      <c r="F96" s="11">
        <v>0</v>
      </c>
      <c r="G96" s="11">
        <v>0</v>
      </c>
      <c r="H96" s="14">
        <f t="shared" si="2"/>
        <v>0</v>
      </c>
      <c r="I96" s="14">
        <f t="shared" si="3"/>
        <v>0</v>
      </c>
      <c r="J96" s="8"/>
      <c r="K96" s="8"/>
    </row>
    <row r="97" spans="1:11" x14ac:dyDescent="0.2">
      <c r="A97" s="10">
        <v>41910000</v>
      </c>
      <c r="B97" s="10" t="s">
        <v>308</v>
      </c>
      <c r="C97" s="11">
        <v>0</v>
      </c>
      <c r="D97" s="11">
        <v>0</v>
      </c>
      <c r="E97" s="11">
        <v>0</v>
      </c>
      <c r="F97" s="11">
        <v>0</v>
      </c>
      <c r="G97" s="11">
        <v>0</v>
      </c>
      <c r="H97" s="14">
        <f t="shared" si="2"/>
        <v>0</v>
      </c>
      <c r="I97" s="14">
        <f t="shared" si="3"/>
        <v>0</v>
      </c>
      <c r="J97" s="8"/>
      <c r="K97" s="8"/>
    </row>
    <row r="98" spans="1:11" x14ac:dyDescent="0.2">
      <c r="A98" s="10">
        <v>42100000</v>
      </c>
      <c r="B98" s="10" t="s">
        <v>76</v>
      </c>
      <c r="C98" s="11">
        <v>0</v>
      </c>
      <c r="D98" s="11">
        <v>0</v>
      </c>
      <c r="E98" s="11">
        <v>0</v>
      </c>
      <c r="F98" s="11">
        <v>0</v>
      </c>
      <c r="G98" s="11">
        <v>0</v>
      </c>
      <c r="H98" s="14">
        <f t="shared" si="2"/>
        <v>0</v>
      </c>
      <c r="I98" s="14">
        <f t="shared" si="3"/>
        <v>0</v>
      </c>
      <c r="J98" s="8" t="s">
        <v>78</v>
      </c>
      <c r="K98" s="8"/>
    </row>
    <row r="99" spans="1:11" x14ac:dyDescent="0.2">
      <c r="A99" s="10">
        <v>42110000</v>
      </c>
      <c r="B99" s="10" t="s">
        <v>309</v>
      </c>
      <c r="C99" s="11">
        <v>0</v>
      </c>
      <c r="D99" s="11">
        <v>0</v>
      </c>
      <c r="E99" s="11">
        <v>0</v>
      </c>
      <c r="F99" s="11">
        <v>0</v>
      </c>
      <c r="G99" s="11">
        <v>0</v>
      </c>
      <c r="H99" s="14">
        <f t="shared" si="2"/>
        <v>0</v>
      </c>
      <c r="I99" s="14">
        <f t="shared" si="3"/>
        <v>0</v>
      </c>
      <c r="J99" s="8"/>
      <c r="K99" s="8"/>
    </row>
    <row r="100" spans="1:11" x14ac:dyDescent="0.2">
      <c r="A100" s="10">
        <v>42120000</v>
      </c>
      <c r="B100" s="10" t="s">
        <v>77</v>
      </c>
      <c r="C100" s="11">
        <v>41439.86</v>
      </c>
      <c r="D100" s="11">
        <v>950</v>
      </c>
      <c r="E100" s="11">
        <v>1900</v>
      </c>
      <c r="F100" s="11">
        <v>0</v>
      </c>
      <c r="G100" s="11">
        <v>0</v>
      </c>
      <c r="H100" s="14">
        <f t="shared" si="2"/>
        <v>-950</v>
      </c>
      <c r="I100" s="14">
        <f t="shared" si="3"/>
        <v>40489.86</v>
      </c>
      <c r="J100" s="8" t="s">
        <v>78</v>
      </c>
      <c r="K100" s="8"/>
    </row>
    <row r="101" spans="1:11" x14ac:dyDescent="0.2">
      <c r="A101" s="10">
        <v>42400000</v>
      </c>
      <c r="B101" s="10" t="s">
        <v>79</v>
      </c>
      <c r="C101" s="11">
        <v>0</v>
      </c>
      <c r="D101" s="11">
        <v>0</v>
      </c>
      <c r="E101" s="11">
        <v>0</v>
      </c>
      <c r="F101" s="11">
        <v>0</v>
      </c>
      <c r="G101" s="11">
        <v>0</v>
      </c>
      <c r="H101" s="14">
        <f t="shared" si="2"/>
        <v>0</v>
      </c>
      <c r="I101" s="14">
        <f t="shared" si="3"/>
        <v>0</v>
      </c>
      <c r="J101" s="8"/>
      <c r="K101" s="8"/>
    </row>
    <row r="102" spans="1:11" x14ac:dyDescent="0.2">
      <c r="A102" s="10">
        <v>42500000</v>
      </c>
      <c r="B102" s="10" t="s">
        <v>80</v>
      </c>
      <c r="C102" s="11">
        <v>-12142.824000000001</v>
      </c>
      <c r="D102" s="11">
        <v>471270.75299999991</v>
      </c>
      <c r="E102" s="11">
        <v>465595.25299999991</v>
      </c>
      <c r="F102" s="11">
        <v>0</v>
      </c>
      <c r="G102" s="11">
        <v>0</v>
      </c>
      <c r="H102" s="14">
        <f t="shared" si="2"/>
        <v>5675.5</v>
      </c>
      <c r="I102" s="14">
        <f t="shared" si="3"/>
        <v>-6467.3240000000005</v>
      </c>
      <c r="J102" s="8" t="s">
        <v>81</v>
      </c>
      <c r="K102" s="8"/>
    </row>
    <row r="103" spans="1:11" x14ac:dyDescent="0.2">
      <c r="A103" s="10">
        <v>42700000</v>
      </c>
      <c r="B103" s="10" t="s">
        <v>310</v>
      </c>
      <c r="C103" s="11">
        <v>0</v>
      </c>
      <c r="D103" s="11">
        <v>0</v>
      </c>
      <c r="E103" s="11">
        <v>0</v>
      </c>
      <c r="F103" s="11">
        <v>0</v>
      </c>
      <c r="G103" s="11">
        <v>0</v>
      </c>
      <c r="H103" s="14">
        <f t="shared" si="2"/>
        <v>0</v>
      </c>
      <c r="I103" s="14">
        <f t="shared" si="3"/>
        <v>0</v>
      </c>
      <c r="J103" s="8"/>
      <c r="K103" s="8"/>
    </row>
    <row r="104" spans="1:11" x14ac:dyDescent="0.2">
      <c r="A104" s="10">
        <v>42710000</v>
      </c>
      <c r="B104" s="10" t="s">
        <v>82</v>
      </c>
      <c r="C104" s="11">
        <v>-1808.7580000000012</v>
      </c>
      <c r="D104" s="11">
        <v>2219.8900000000003</v>
      </c>
      <c r="E104" s="11">
        <v>2088.3620000000001</v>
      </c>
      <c r="F104" s="11">
        <v>0</v>
      </c>
      <c r="G104" s="11">
        <v>0</v>
      </c>
      <c r="H104" s="14">
        <f t="shared" si="2"/>
        <v>131.52800000000025</v>
      </c>
      <c r="I104" s="14">
        <f t="shared" si="3"/>
        <v>-1677.2300000000009</v>
      </c>
      <c r="J104" s="8" t="s">
        <v>81</v>
      </c>
      <c r="K104" s="8"/>
    </row>
    <row r="105" spans="1:11" x14ac:dyDescent="0.2">
      <c r="A105" s="10">
        <v>42820000</v>
      </c>
      <c r="B105" s="10" t="s">
        <v>83</v>
      </c>
      <c r="C105" s="11">
        <v>-200625.47399999993</v>
      </c>
      <c r="D105" s="11">
        <v>200625.47399999999</v>
      </c>
      <c r="E105" s="11">
        <v>214590.37700000001</v>
      </c>
      <c r="F105" s="11">
        <v>0</v>
      </c>
      <c r="G105" s="11">
        <v>0</v>
      </c>
      <c r="H105" s="14">
        <f t="shared" si="2"/>
        <v>-13964.90300000002</v>
      </c>
      <c r="I105" s="14">
        <f t="shared" si="3"/>
        <v>-214590.37699999995</v>
      </c>
      <c r="J105" s="8" t="s">
        <v>81</v>
      </c>
      <c r="K105" s="8"/>
    </row>
    <row r="106" spans="1:11" x14ac:dyDescent="0.2">
      <c r="A106" s="10">
        <v>43200000</v>
      </c>
      <c r="B106" s="10" t="s">
        <v>311</v>
      </c>
      <c r="C106" s="11">
        <v>0</v>
      </c>
      <c r="D106" s="11">
        <v>0</v>
      </c>
      <c r="E106" s="11">
        <v>0</v>
      </c>
      <c r="F106" s="11">
        <v>0</v>
      </c>
      <c r="G106" s="11">
        <v>0</v>
      </c>
      <c r="H106" s="14">
        <f t="shared" si="2"/>
        <v>0</v>
      </c>
      <c r="I106" s="14">
        <f t="shared" si="3"/>
        <v>0</v>
      </c>
      <c r="J106" s="8"/>
      <c r="K106" s="8"/>
    </row>
    <row r="107" spans="1:11" x14ac:dyDescent="0.2">
      <c r="A107" s="10">
        <v>43210000</v>
      </c>
      <c r="B107" s="10" t="s">
        <v>84</v>
      </c>
      <c r="C107" s="11">
        <v>-48370.675999999992</v>
      </c>
      <c r="D107" s="11">
        <v>97532.82699999999</v>
      </c>
      <c r="E107" s="11">
        <v>98324.311000000002</v>
      </c>
      <c r="F107" s="11">
        <v>0</v>
      </c>
      <c r="G107" s="11">
        <v>0</v>
      </c>
      <c r="H107" s="14">
        <f t="shared" si="2"/>
        <v>-791.48400000001129</v>
      </c>
      <c r="I107" s="14">
        <f t="shared" si="3"/>
        <v>-49162.16</v>
      </c>
      <c r="J107" s="8" t="s">
        <v>81</v>
      </c>
      <c r="K107" s="8"/>
    </row>
    <row r="108" spans="1:11" x14ac:dyDescent="0.2">
      <c r="A108" s="10">
        <v>43211000</v>
      </c>
      <c r="B108" s="10" t="s">
        <v>312</v>
      </c>
      <c r="C108" s="11">
        <v>0</v>
      </c>
      <c r="D108" s="11">
        <v>0</v>
      </c>
      <c r="E108" s="11">
        <v>0</v>
      </c>
      <c r="F108" s="11">
        <v>0</v>
      </c>
      <c r="G108" s="11">
        <v>0</v>
      </c>
      <c r="H108" s="14">
        <f t="shared" si="2"/>
        <v>0</v>
      </c>
      <c r="I108" s="14">
        <f t="shared" si="3"/>
        <v>0</v>
      </c>
      <c r="J108" s="8" t="s">
        <v>78</v>
      </c>
      <c r="K108" s="8"/>
    </row>
    <row r="109" spans="1:11" x14ac:dyDescent="0.2">
      <c r="A109" s="10">
        <v>43211500</v>
      </c>
      <c r="B109" s="10" t="s">
        <v>85</v>
      </c>
      <c r="C109" s="11">
        <v>0</v>
      </c>
      <c r="D109" s="11">
        <v>0</v>
      </c>
      <c r="E109" s="11">
        <v>0</v>
      </c>
      <c r="F109" s="11">
        <v>0</v>
      </c>
      <c r="G109" s="11">
        <v>0</v>
      </c>
      <c r="H109" s="14">
        <f t="shared" si="2"/>
        <v>0</v>
      </c>
      <c r="I109" s="14">
        <f t="shared" si="3"/>
        <v>0</v>
      </c>
      <c r="J109" s="8"/>
      <c r="K109" s="8"/>
    </row>
    <row r="110" spans="1:11" x14ac:dyDescent="0.2">
      <c r="A110" s="10">
        <v>43212500</v>
      </c>
      <c r="B110" s="10" t="s">
        <v>313</v>
      </c>
      <c r="C110" s="11">
        <v>0</v>
      </c>
      <c r="D110" s="11">
        <v>0</v>
      </c>
      <c r="E110" s="11">
        <v>0</v>
      </c>
      <c r="F110" s="11">
        <v>0</v>
      </c>
      <c r="G110" s="11">
        <v>0</v>
      </c>
      <c r="H110" s="14">
        <f t="shared" si="2"/>
        <v>0</v>
      </c>
      <c r="I110" s="14">
        <f t="shared" si="3"/>
        <v>0</v>
      </c>
      <c r="J110" s="8"/>
      <c r="K110" s="8"/>
    </row>
    <row r="111" spans="1:11" x14ac:dyDescent="0.2">
      <c r="A111" s="10">
        <v>43215000</v>
      </c>
      <c r="B111" s="10" t="s">
        <v>314</v>
      </c>
      <c r="C111" s="11">
        <v>0</v>
      </c>
      <c r="D111" s="11">
        <v>0</v>
      </c>
      <c r="E111" s="11">
        <v>0</v>
      </c>
      <c r="F111" s="11">
        <v>0</v>
      </c>
      <c r="G111" s="11">
        <v>0</v>
      </c>
      <c r="H111" s="14">
        <f t="shared" si="2"/>
        <v>0</v>
      </c>
      <c r="I111" s="14">
        <f t="shared" si="3"/>
        <v>0</v>
      </c>
      <c r="J111" s="8"/>
      <c r="K111" s="8"/>
    </row>
    <row r="112" spans="1:11" x14ac:dyDescent="0.2">
      <c r="A112" s="10">
        <v>43220000</v>
      </c>
      <c r="B112" s="10" t="s">
        <v>86</v>
      </c>
      <c r="C112" s="11">
        <v>0</v>
      </c>
      <c r="D112" s="11">
        <v>0</v>
      </c>
      <c r="E112" s="11">
        <v>0</v>
      </c>
      <c r="F112" s="11">
        <v>0</v>
      </c>
      <c r="G112" s="11">
        <v>0</v>
      </c>
      <c r="H112" s="14">
        <f t="shared" si="2"/>
        <v>0</v>
      </c>
      <c r="I112" s="14">
        <f t="shared" si="3"/>
        <v>0</v>
      </c>
      <c r="J112" s="8" t="s">
        <v>81</v>
      </c>
      <c r="K112" s="8"/>
    </row>
    <row r="113" spans="1:11" x14ac:dyDescent="0.2">
      <c r="A113" s="10">
        <v>43220050</v>
      </c>
      <c r="B113" s="10" t="s">
        <v>315</v>
      </c>
      <c r="C113" s="11">
        <v>-697.45500000000061</v>
      </c>
      <c r="D113" s="11">
        <v>697.50199999999995</v>
      </c>
      <c r="E113" s="11">
        <v>0</v>
      </c>
      <c r="F113" s="11">
        <v>0</v>
      </c>
      <c r="G113" s="11">
        <v>0</v>
      </c>
      <c r="H113" s="14">
        <f t="shared" si="2"/>
        <v>697.50199999999995</v>
      </c>
      <c r="I113" s="14">
        <f t="shared" si="3"/>
        <v>4.6999999999343345E-2</v>
      </c>
      <c r="J113" s="8" t="s">
        <v>78</v>
      </c>
      <c r="K113" s="8"/>
    </row>
    <row r="114" spans="1:11" x14ac:dyDescent="0.2">
      <c r="A114" s="10">
        <v>43220100</v>
      </c>
      <c r="B114" s="10" t="s">
        <v>87</v>
      </c>
      <c r="C114" s="11">
        <v>-10896.834000000066</v>
      </c>
      <c r="D114" s="11">
        <v>11015.593999999999</v>
      </c>
      <c r="E114" s="11">
        <v>14696.956</v>
      </c>
      <c r="F114" s="11">
        <v>0</v>
      </c>
      <c r="G114" s="11">
        <v>0</v>
      </c>
      <c r="H114" s="14">
        <f t="shared" si="2"/>
        <v>-3681.362000000001</v>
      </c>
      <c r="I114" s="14">
        <f t="shared" si="3"/>
        <v>-14578.196000000067</v>
      </c>
      <c r="J114" s="8" t="s">
        <v>81</v>
      </c>
      <c r="K114" s="8"/>
    </row>
    <row r="115" spans="1:11" x14ac:dyDescent="0.2">
      <c r="A115" s="10">
        <v>43220300</v>
      </c>
      <c r="B115" s="10" t="s">
        <v>88</v>
      </c>
      <c r="C115" s="11">
        <v>-390.68299999999988</v>
      </c>
      <c r="D115" s="11">
        <v>390.73500000000001</v>
      </c>
      <c r="E115" s="11">
        <v>108.17999999999999</v>
      </c>
      <c r="F115" s="11">
        <v>0</v>
      </c>
      <c r="G115" s="11">
        <v>0</v>
      </c>
      <c r="H115" s="14">
        <f t="shared" si="2"/>
        <v>282.55500000000001</v>
      </c>
      <c r="I115" s="14">
        <f t="shared" si="3"/>
        <v>-108.12799999999987</v>
      </c>
      <c r="J115" s="8" t="s">
        <v>81</v>
      </c>
      <c r="K115" s="8"/>
    </row>
    <row r="116" spans="1:11" x14ac:dyDescent="0.2">
      <c r="A116" s="10">
        <v>43221000</v>
      </c>
      <c r="B116" s="10" t="s">
        <v>89</v>
      </c>
      <c r="C116" s="11">
        <v>-1.9999999784943157E-3</v>
      </c>
      <c r="D116" s="11">
        <v>0</v>
      </c>
      <c r="E116" s="11">
        <v>94.443999999999988</v>
      </c>
      <c r="F116" s="11">
        <v>0</v>
      </c>
      <c r="G116" s="11">
        <v>0</v>
      </c>
      <c r="H116" s="14">
        <f t="shared" si="2"/>
        <v>-94.443999999999988</v>
      </c>
      <c r="I116" s="14">
        <f t="shared" si="3"/>
        <v>-94.445999999978483</v>
      </c>
      <c r="J116" s="8" t="s">
        <v>81</v>
      </c>
      <c r="K116" s="8"/>
    </row>
    <row r="117" spans="1:11" x14ac:dyDescent="0.2">
      <c r="A117" s="10">
        <v>43222000</v>
      </c>
      <c r="B117" s="10" t="s">
        <v>316</v>
      </c>
      <c r="C117" s="11">
        <v>0</v>
      </c>
      <c r="D117" s="11">
        <v>0</v>
      </c>
      <c r="E117" s="11">
        <v>0</v>
      </c>
      <c r="F117" s="11">
        <v>0</v>
      </c>
      <c r="G117" s="11">
        <v>0</v>
      </c>
      <c r="H117" s="14">
        <f t="shared" si="2"/>
        <v>0</v>
      </c>
      <c r="I117" s="14">
        <f t="shared" si="3"/>
        <v>0</v>
      </c>
      <c r="J117" s="8" t="s">
        <v>81</v>
      </c>
      <c r="K117" s="8"/>
    </row>
    <row r="118" spans="1:11" x14ac:dyDescent="0.2">
      <c r="A118" s="10">
        <v>43223000</v>
      </c>
      <c r="B118" s="10" t="s">
        <v>90</v>
      </c>
      <c r="C118" s="11">
        <v>-740.05500000000552</v>
      </c>
      <c r="D118" s="11">
        <v>2501.3920000000003</v>
      </c>
      <c r="E118" s="11">
        <v>2529.5569999999998</v>
      </c>
      <c r="F118" s="11">
        <v>0</v>
      </c>
      <c r="G118" s="11">
        <v>0</v>
      </c>
      <c r="H118" s="14">
        <f t="shared" si="2"/>
        <v>-28.164999999999509</v>
      </c>
      <c r="I118" s="14">
        <f t="shared" si="3"/>
        <v>-768.22000000000503</v>
      </c>
      <c r="J118" s="8" t="s">
        <v>81</v>
      </c>
      <c r="K118" s="8"/>
    </row>
    <row r="119" spans="1:11" x14ac:dyDescent="0.2">
      <c r="A119" s="10">
        <v>43310000</v>
      </c>
      <c r="B119" s="10" t="s">
        <v>317</v>
      </c>
      <c r="C119" s="11">
        <v>0</v>
      </c>
      <c r="D119" s="11">
        <v>0</v>
      </c>
      <c r="E119" s="11">
        <v>0</v>
      </c>
      <c r="F119" s="11">
        <v>0</v>
      </c>
      <c r="G119" s="11">
        <v>0</v>
      </c>
      <c r="H119" s="14">
        <f t="shared" si="2"/>
        <v>0</v>
      </c>
      <c r="I119" s="14">
        <f t="shared" si="3"/>
        <v>0</v>
      </c>
      <c r="J119" s="8"/>
      <c r="K119" s="8"/>
    </row>
    <row r="120" spans="1:11" x14ac:dyDescent="0.2">
      <c r="A120" s="10">
        <v>43400000</v>
      </c>
      <c r="B120" s="10" t="s">
        <v>91</v>
      </c>
      <c r="C120" s="11">
        <v>790449.57000000007</v>
      </c>
      <c r="D120" s="11">
        <v>0</v>
      </c>
      <c r="E120" s="11">
        <v>0</v>
      </c>
      <c r="F120" s="11">
        <v>0</v>
      </c>
      <c r="G120" s="11">
        <v>0</v>
      </c>
      <c r="H120" s="14">
        <f t="shared" si="2"/>
        <v>0</v>
      </c>
      <c r="I120" s="14">
        <f t="shared" si="3"/>
        <v>790449.57000000007</v>
      </c>
      <c r="J120" s="8" t="s">
        <v>78</v>
      </c>
      <c r="K120" s="8"/>
    </row>
    <row r="121" spans="1:11" x14ac:dyDescent="0.2">
      <c r="A121" s="10">
        <v>43410000</v>
      </c>
      <c r="B121" s="10" t="s">
        <v>318</v>
      </c>
      <c r="C121" s="11">
        <v>240558.74699999977</v>
      </c>
      <c r="D121" s="11">
        <v>28113.001</v>
      </c>
      <c r="E121" s="11">
        <v>0</v>
      </c>
      <c r="F121" s="11">
        <v>0</v>
      </c>
      <c r="G121" s="11">
        <v>0</v>
      </c>
      <c r="H121" s="14">
        <f t="shared" si="2"/>
        <v>28113.001</v>
      </c>
      <c r="I121" s="14">
        <f t="shared" si="3"/>
        <v>268671.74799999979</v>
      </c>
      <c r="J121" s="8" t="s">
        <v>78</v>
      </c>
      <c r="K121" s="8"/>
    </row>
    <row r="122" spans="1:11" x14ac:dyDescent="0.2">
      <c r="A122" s="10">
        <v>43420000</v>
      </c>
      <c r="B122" s="10" t="s">
        <v>92</v>
      </c>
      <c r="C122" s="11">
        <v>0</v>
      </c>
      <c r="D122" s="11">
        <v>0</v>
      </c>
      <c r="E122" s="11">
        <v>0</v>
      </c>
      <c r="F122" s="11">
        <v>0</v>
      </c>
      <c r="G122" s="11">
        <v>0</v>
      </c>
      <c r="H122" s="14">
        <f t="shared" si="2"/>
        <v>0</v>
      </c>
      <c r="I122" s="14">
        <f t="shared" si="3"/>
        <v>0</v>
      </c>
      <c r="J122" s="8"/>
      <c r="K122" s="8"/>
    </row>
    <row r="123" spans="1:11" x14ac:dyDescent="0.2">
      <c r="A123" s="10">
        <v>43430000</v>
      </c>
      <c r="B123" s="10" t="s">
        <v>319</v>
      </c>
      <c r="C123" s="11">
        <v>0</v>
      </c>
      <c r="D123" s="11">
        <v>0</v>
      </c>
      <c r="E123" s="11">
        <v>0</v>
      </c>
      <c r="F123" s="11">
        <v>0</v>
      </c>
      <c r="G123" s="11">
        <v>0</v>
      </c>
      <c r="H123" s="14">
        <f t="shared" si="2"/>
        <v>0</v>
      </c>
      <c r="I123" s="14">
        <f t="shared" si="3"/>
        <v>0</v>
      </c>
      <c r="J123" s="8" t="s">
        <v>78</v>
      </c>
      <c r="K123" s="8"/>
    </row>
    <row r="124" spans="1:11" x14ac:dyDescent="0.2">
      <c r="A124" s="10">
        <v>43440000</v>
      </c>
      <c r="B124" s="10" t="s">
        <v>320</v>
      </c>
      <c r="C124" s="11">
        <v>0</v>
      </c>
      <c r="D124" s="11">
        <v>0</v>
      </c>
      <c r="E124" s="11">
        <v>0</v>
      </c>
      <c r="F124" s="11">
        <v>0</v>
      </c>
      <c r="G124" s="11">
        <v>0</v>
      </c>
      <c r="H124" s="14">
        <f t="shared" si="2"/>
        <v>0</v>
      </c>
      <c r="I124" s="14">
        <f t="shared" si="3"/>
        <v>0</v>
      </c>
      <c r="J124" s="8" t="s">
        <v>78</v>
      </c>
      <c r="K124" s="8"/>
    </row>
    <row r="125" spans="1:11" x14ac:dyDescent="0.2">
      <c r="A125" s="10">
        <v>43500000</v>
      </c>
      <c r="B125" s="10" t="s">
        <v>321</v>
      </c>
      <c r="C125" s="11">
        <v>-339213.13199999998</v>
      </c>
      <c r="D125" s="11">
        <v>203770.71600000001</v>
      </c>
      <c r="E125" s="11">
        <v>0</v>
      </c>
      <c r="F125" s="11">
        <v>0</v>
      </c>
      <c r="G125" s="11">
        <v>0</v>
      </c>
      <c r="H125" s="14">
        <f t="shared" si="2"/>
        <v>203770.71600000001</v>
      </c>
      <c r="I125" s="14">
        <f t="shared" si="3"/>
        <v>-135442.41599999997</v>
      </c>
      <c r="J125" s="8" t="s">
        <v>81</v>
      </c>
      <c r="K125" s="8"/>
    </row>
    <row r="126" spans="1:11" x14ac:dyDescent="0.2">
      <c r="A126" s="10">
        <v>43600000</v>
      </c>
      <c r="B126" s="10" t="s">
        <v>93</v>
      </c>
      <c r="C126" s="11">
        <v>535530.26199998846</v>
      </c>
      <c r="D126" s="11">
        <v>714158.70200000005</v>
      </c>
      <c r="E126" s="11">
        <v>1047131.1769999999</v>
      </c>
      <c r="F126" s="11">
        <v>0</v>
      </c>
      <c r="G126" s="11">
        <v>0</v>
      </c>
      <c r="H126" s="14">
        <f t="shared" si="2"/>
        <v>-332972.47499999986</v>
      </c>
      <c r="I126" s="14">
        <f t="shared" si="3"/>
        <v>202557.7869999886</v>
      </c>
      <c r="J126" s="8" t="s">
        <v>78</v>
      </c>
      <c r="K126" s="8"/>
    </row>
    <row r="127" spans="1:11" x14ac:dyDescent="0.2">
      <c r="A127" s="10">
        <v>43625000</v>
      </c>
      <c r="B127" s="10" t="s">
        <v>94</v>
      </c>
      <c r="C127" s="11">
        <v>-37018.876000000128</v>
      </c>
      <c r="D127" s="11">
        <v>37967.039000000004</v>
      </c>
      <c r="E127" s="11">
        <v>37417.684999999998</v>
      </c>
      <c r="F127" s="11">
        <v>0</v>
      </c>
      <c r="G127" s="11">
        <v>0</v>
      </c>
      <c r="H127" s="14">
        <f t="shared" si="2"/>
        <v>549.35400000000664</v>
      </c>
      <c r="I127" s="14">
        <f t="shared" si="3"/>
        <v>-36469.522000000121</v>
      </c>
      <c r="J127" s="8" t="s">
        <v>81</v>
      </c>
      <c r="K127" s="8"/>
    </row>
    <row r="128" spans="1:11" x14ac:dyDescent="0.2">
      <c r="A128" s="10">
        <v>43627000</v>
      </c>
      <c r="B128" s="10" t="s">
        <v>95</v>
      </c>
      <c r="C128" s="11">
        <v>-259132.09499999986</v>
      </c>
      <c r="D128" s="11">
        <v>265769.25599999999</v>
      </c>
      <c r="E128" s="11">
        <v>261923.79300000001</v>
      </c>
      <c r="F128" s="11">
        <v>0</v>
      </c>
      <c r="G128" s="11">
        <v>0</v>
      </c>
      <c r="H128" s="14">
        <f t="shared" si="2"/>
        <v>3845.4629999999888</v>
      </c>
      <c r="I128" s="14">
        <f t="shared" si="3"/>
        <v>-255286.63199999987</v>
      </c>
      <c r="J128" s="8" t="s">
        <v>81</v>
      </c>
      <c r="K128" s="8"/>
    </row>
    <row r="129" spans="1:11" x14ac:dyDescent="0.2">
      <c r="A129" s="10">
        <v>43630600</v>
      </c>
      <c r="B129" s="10" t="s">
        <v>322</v>
      </c>
      <c r="C129" s="11">
        <v>0</v>
      </c>
      <c r="D129" s="11">
        <v>0</v>
      </c>
      <c r="E129" s="11">
        <v>0</v>
      </c>
      <c r="F129" s="11">
        <v>0</v>
      </c>
      <c r="G129" s="11">
        <v>0</v>
      </c>
      <c r="H129" s="14">
        <f t="shared" si="2"/>
        <v>0</v>
      </c>
      <c r="I129" s="14">
        <f t="shared" si="3"/>
        <v>0</v>
      </c>
      <c r="J129" s="8"/>
      <c r="K129" s="8"/>
    </row>
    <row r="130" spans="1:11" x14ac:dyDescent="0.2">
      <c r="A130" s="10">
        <v>43630700</v>
      </c>
      <c r="B130" s="10" t="s">
        <v>96</v>
      </c>
      <c r="C130" s="11">
        <v>5.0022208597511053E-11</v>
      </c>
      <c r="D130" s="11">
        <v>1433.28</v>
      </c>
      <c r="E130" s="11">
        <v>1433.28</v>
      </c>
      <c r="F130" s="11">
        <v>0</v>
      </c>
      <c r="G130" s="11">
        <v>0</v>
      </c>
      <c r="H130" s="14">
        <f t="shared" ref="H130:H193" si="4">D130+F130-E130-G130</f>
        <v>0</v>
      </c>
      <c r="I130" s="14">
        <f t="shared" ref="I130:I193" si="5">C130+H130</f>
        <v>5.0022208597511053E-11</v>
      </c>
      <c r="J130" s="8" t="s">
        <v>78</v>
      </c>
      <c r="K130" s="8"/>
    </row>
    <row r="131" spans="1:11" x14ac:dyDescent="0.2">
      <c r="A131" s="10">
        <v>43631000</v>
      </c>
      <c r="B131" s="10" t="s">
        <v>323</v>
      </c>
      <c r="C131" s="11">
        <v>0</v>
      </c>
      <c r="D131" s="11">
        <v>0</v>
      </c>
      <c r="E131" s="11">
        <v>0</v>
      </c>
      <c r="F131" s="11">
        <v>0</v>
      </c>
      <c r="G131" s="11">
        <v>0</v>
      </c>
      <c r="H131" s="14">
        <f t="shared" si="4"/>
        <v>0</v>
      </c>
      <c r="I131" s="14">
        <f t="shared" si="5"/>
        <v>0</v>
      </c>
      <c r="J131" s="8"/>
      <c r="K131" s="8"/>
    </row>
    <row r="132" spans="1:11" x14ac:dyDescent="0.2">
      <c r="A132" s="10">
        <v>43631300</v>
      </c>
      <c r="B132" s="10" t="s">
        <v>324</v>
      </c>
      <c r="C132" s="11">
        <v>-8.6401996668428183E-12</v>
      </c>
      <c r="D132" s="11">
        <v>1727.173</v>
      </c>
      <c r="E132" s="11">
        <v>1727.173</v>
      </c>
      <c r="F132" s="11">
        <v>0</v>
      </c>
      <c r="G132" s="11">
        <v>0</v>
      </c>
      <c r="H132" s="14">
        <f t="shared" si="4"/>
        <v>0</v>
      </c>
      <c r="I132" s="14">
        <f t="shared" si="5"/>
        <v>-8.6401996668428183E-12</v>
      </c>
      <c r="J132" s="8" t="s">
        <v>81</v>
      </c>
      <c r="K132" s="8"/>
    </row>
    <row r="133" spans="1:11" x14ac:dyDescent="0.2">
      <c r="A133" s="10">
        <v>43631800</v>
      </c>
      <c r="B133" s="10" t="s">
        <v>325</v>
      </c>
      <c r="C133" s="11">
        <v>0</v>
      </c>
      <c r="D133" s="11">
        <v>0</v>
      </c>
      <c r="E133" s="11">
        <v>0</v>
      </c>
      <c r="F133" s="11">
        <v>0</v>
      </c>
      <c r="G133" s="11">
        <v>0</v>
      </c>
      <c r="H133" s="14">
        <f t="shared" si="4"/>
        <v>0</v>
      </c>
      <c r="I133" s="14">
        <f t="shared" si="5"/>
        <v>0</v>
      </c>
      <c r="J133" s="8"/>
      <c r="K133" s="8"/>
    </row>
    <row r="134" spans="1:11" x14ac:dyDescent="0.2">
      <c r="A134" s="10">
        <v>43631900</v>
      </c>
      <c r="B134" s="10" t="s">
        <v>97</v>
      </c>
      <c r="C134" s="11">
        <v>0.18599999934667721</v>
      </c>
      <c r="D134" s="11">
        <v>443351.46100000001</v>
      </c>
      <c r="E134" s="11">
        <v>443351.64700000006</v>
      </c>
      <c r="F134" s="11">
        <v>0</v>
      </c>
      <c r="G134" s="11">
        <v>0</v>
      </c>
      <c r="H134" s="14">
        <f t="shared" si="4"/>
        <v>-0.18600000004516914</v>
      </c>
      <c r="I134" s="14">
        <f t="shared" si="5"/>
        <v>-6.9849193096160889E-10</v>
      </c>
      <c r="J134" s="8" t="s">
        <v>78</v>
      </c>
      <c r="K134" s="8"/>
    </row>
    <row r="135" spans="1:11" x14ac:dyDescent="0.2">
      <c r="A135" s="10">
        <v>43661800</v>
      </c>
      <c r="B135" s="10" t="s">
        <v>326</v>
      </c>
      <c r="C135" s="11">
        <v>0</v>
      </c>
      <c r="D135" s="11">
        <v>0</v>
      </c>
      <c r="E135" s="11">
        <v>0</v>
      </c>
      <c r="F135" s="11">
        <v>0</v>
      </c>
      <c r="G135" s="11">
        <v>0</v>
      </c>
      <c r="H135" s="14">
        <f t="shared" si="4"/>
        <v>0</v>
      </c>
      <c r="I135" s="14">
        <f t="shared" si="5"/>
        <v>0</v>
      </c>
      <c r="J135" s="8"/>
      <c r="K135" s="8"/>
    </row>
    <row r="136" spans="1:11" x14ac:dyDescent="0.2">
      <c r="A136" s="10">
        <v>43671000</v>
      </c>
      <c r="B136" s="10" t="s">
        <v>98</v>
      </c>
      <c r="C136" s="11">
        <v>458.43699999782257</v>
      </c>
      <c r="D136" s="11">
        <v>818667.99199999997</v>
      </c>
      <c r="E136" s="11">
        <v>819126.42900000012</v>
      </c>
      <c r="F136" s="11">
        <v>0</v>
      </c>
      <c r="G136" s="11">
        <v>0</v>
      </c>
      <c r="H136" s="14">
        <f t="shared" si="4"/>
        <v>-458.43700000015087</v>
      </c>
      <c r="I136" s="14">
        <f t="shared" si="5"/>
        <v>-2.3283064365386963E-9</v>
      </c>
      <c r="J136" s="8" t="s">
        <v>78</v>
      </c>
      <c r="K136" s="8"/>
    </row>
    <row r="137" spans="1:11" x14ac:dyDescent="0.2">
      <c r="A137" s="10">
        <v>43700000</v>
      </c>
      <c r="B137" s="10" t="s">
        <v>99</v>
      </c>
      <c r="C137" s="11">
        <v>-4</v>
      </c>
      <c r="D137" s="11">
        <v>7</v>
      </c>
      <c r="E137" s="11">
        <v>6</v>
      </c>
      <c r="F137" s="11">
        <v>0</v>
      </c>
      <c r="G137" s="11">
        <v>0</v>
      </c>
      <c r="H137" s="14">
        <f t="shared" si="4"/>
        <v>1</v>
      </c>
      <c r="I137" s="14">
        <f t="shared" si="5"/>
        <v>-3</v>
      </c>
      <c r="J137" s="8" t="s">
        <v>81</v>
      </c>
      <c r="K137" s="8"/>
    </row>
    <row r="138" spans="1:11" x14ac:dyDescent="0.2">
      <c r="A138" s="10">
        <v>43720000</v>
      </c>
      <c r="B138" s="10" t="s">
        <v>327</v>
      </c>
      <c r="C138" s="11">
        <v>0</v>
      </c>
      <c r="D138" s="11">
        <v>0</v>
      </c>
      <c r="E138" s="11">
        <v>0</v>
      </c>
      <c r="F138" s="11">
        <v>0</v>
      </c>
      <c r="G138" s="11">
        <v>0</v>
      </c>
      <c r="H138" s="14">
        <f t="shared" si="4"/>
        <v>0</v>
      </c>
      <c r="I138" s="14">
        <f t="shared" si="5"/>
        <v>0</v>
      </c>
      <c r="J138" s="8" t="s">
        <v>81</v>
      </c>
      <c r="K138" s="8"/>
    </row>
    <row r="139" spans="1:11" x14ac:dyDescent="0.2">
      <c r="A139" s="10">
        <v>43756000</v>
      </c>
      <c r="B139" s="10" t="s">
        <v>328</v>
      </c>
      <c r="C139" s="11">
        <v>0</v>
      </c>
      <c r="D139" s="11">
        <v>0</v>
      </c>
      <c r="E139" s="11">
        <v>0</v>
      </c>
      <c r="F139" s="11">
        <v>0</v>
      </c>
      <c r="G139" s="11">
        <v>0</v>
      </c>
      <c r="H139" s="14">
        <f t="shared" si="4"/>
        <v>0</v>
      </c>
      <c r="I139" s="14">
        <f t="shared" si="5"/>
        <v>0</v>
      </c>
      <c r="J139" s="8"/>
      <c r="K139" s="8"/>
    </row>
    <row r="140" spans="1:11" x14ac:dyDescent="0.2">
      <c r="A140" s="10">
        <v>44100000</v>
      </c>
      <c r="B140" s="10" t="s">
        <v>329</v>
      </c>
      <c r="C140" s="11">
        <v>0</v>
      </c>
      <c r="D140" s="11">
        <v>0</v>
      </c>
      <c r="E140" s="11">
        <v>0</v>
      </c>
      <c r="F140" s="11">
        <v>0</v>
      </c>
      <c r="G140" s="11">
        <v>0</v>
      </c>
      <c r="H140" s="14">
        <f t="shared" si="4"/>
        <v>0</v>
      </c>
      <c r="I140" s="14">
        <f t="shared" si="5"/>
        <v>0</v>
      </c>
      <c r="J140" s="8"/>
      <c r="K140" s="8"/>
    </row>
    <row r="141" spans="1:11" x14ac:dyDescent="0.2">
      <c r="A141" s="10">
        <v>44101000</v>
      </c>
      <c r="B141" s="10" t="s">
        <v>7717</v>
      </c>
      <c r="C141" s="11">
        <v>57066.353000000003</v>
      </c>
      <c r="D141" s="11">
        <v>0</v>
      </c>
      <c r="E141" s="11">
        <v>0</v>
      </c>
      <c r="F141" s="11">
        <v>0</v>
      </c>
      <c r="G141" s="11">
        <v>0</v>
      </c>
      <c r="H141" s="14">
        <f t="shared" si="4"/>
        <v>0</v>
      </c>
      <c r="I141" s="14">
        <f t="shared" si="5"/>
        <v>57066.353000000003</v>
      </c>
      <c r="J141" s="8" t="s">
        <v>78</v>
      </c>
      <c r="K141" s="8"/>
    </row>
    <row r="142" spans="1:11" x14ac:dyDescent="0.2">
      <c r="A142" s="10">
        <v>44200000</v>
      </c>
      <c r="B142" s="10" t="s">
        <v>330</v>
      </c>
      <c r="C142" s="11">
        <v>0</v>
      </c>
      <c r="D142" s="11">
        <v>0</v>
      </c>
      <c r="E142" s="11">
        <v>0</v>
      </c>
      <c r="F142" s="11">
        <v>0</v>
      </c>
      <c r="G142" s="11">
        <v>0</v>
      </c>
      <c r="H142" s="14">
        <f t="shared" si="4"/>
        <v>0</v>
      </c>
      <c r="I142" s="14">
        <f t="shared" si="5"/>
        <v>0</v>
      </c>
      <c r="J142" s="8"/>
      <c r="K142" s="8"/>
    </row>
    <row r="143" spans="1:11" x14ac:dyDescent="0.2">
      <c r="A143" s="10">
        <v>44201000</v>
      </c>
      <c r="B143" s="10" t="s">
        <v>331</v>
      </c>
      <c r="C143" s="11">
        <v>0</v>
      </c>
      <c r="D143" s="11">
        <v>0</v>
      </c>
      <c r="E143" s="11">
        <v>0</v>
      </c>
      <c r="F143" s="11">
        <v>0</v>
      </c>
      <c r="G143" s="11">
        <v>0</v>
      </c>
      <c r="H143" s="14">
        <f t="shared" si="4"/>
        <v>0</v>
      </c>
      <c r="I143" s="14">
        <f t="shared" si="5"/>
        <v>0</v>
      </c>
      <c r="J143" s="8"/>
      <c r="K143" s="8"/>
    </row>
    <row r="144" spans="1:11" x14ac:dyDescent="0.2">
      <c r="A144" s="10">
        <v>44202000</v>
      </c>
      <c r="B144" s="10" t="s">
        <v>332</v>
      </c>
      <c r="C144" s="11">
        <v>0</v>
      </c>
      <c r="D144" s="11">
        <v>0</v>
      </c>
      <c r="E144" s="11">
        <v>0</v>
      </c>
      <c r="F144" s="11">
        <v>0</v>
      </c>
      <c r="G144" s="11">
        <v>0</v>
      </c>
      <c r="H144" s="14">
        <f t="shared" si="4"/>
        <v>0</v>
      </c>
      <c r="I144" s="14">
        <f t="shared" si="5"/>
        <v>0</v>
      </c>
      <c r="J144" s="8"/>
      <c r="K144" s="8"/>
    </row>
    <row r="145" spans="1:11" x14ac:dyDescent="0.2">
      <c r="A145" s="10">
        <v>44203000</v>
      </c>
      <c r="B145" s="10" t="s">
        <v>333</v>
      </c>
      <c r="C145" s="11">
        <v>0</v>
      </c>
      <c r="D145" s="11">
        <v>0</v>
      </c>
      <c r="E145" s="11">
        <v>0</v>
      </c>
      <c r="F145" s="11">
        <v>0</v>
      </c>
      <c r="G145" s="11">
        <v>0</v>
      </c>
      <c r="H145" s="14">
        <f t="shared" si="4"/>
        <v>0</v>
      </c>
      <c r="I145" s="14">
        <f t="shared" si="5"/>
        <v>0</v>
      </c>
      <c r="J145" s="8"/>
      <c r="K145" s="8"/>
    </row>
    <row r="146" spans="1:11" x14ac:dyDescent="0.2">
      <c r="A146" s="10">
        <v>44204000</v>
      </c>
      <c r="B146" s="10" t="s">
        <v>334</v>
      </c>
      <c r="C146" s="11">
        <v>0</v>
      </c>
      <c r="D146" s="11">
        <v>0</v>
      </c>
      <c r="E146" s="11">
        <v>0</v>
      </c>
      <c r="F146" s="11">
        <v>0</v>
      </c>
      <c r="G146" s="11">
        <v>0</v>
      </c>
      <c r="H146" s="14">
        <f t="shared" si="4"/>
        <v>0</v>
      </c>
      <c r="I146" s="14">
        <f t="shared" si="5"/>
        <v>0</v>
      </c>
      <c r="J146" s="8"/>
      <c r="K146" s="8"/>
    </row>
    <row r="147" spans="1:11" x14ac:dyDescent="0.2">
      <c r="A147" s="10">
        <v>44205000</v>
      </c>
      <c r="B147" s="10" t="s">
        <v>335</v>
      </c>
      <c r="C147" s="11">
        <v>0</v>
      </c>
      <c r="D147" s="11">
        <v>0</v>
      </c>
      <c r="E147" s="11">
        <v>0</v>
      </c>
      <c r="F147" s="11">
        <v>0</v>
      </c>
      <c r="G147" s="11">
        <v>0</v>
      </c>
      <c r="H147" s="14">
        <f t="shared" si="4"/>
        <v>0</v>
      </c>
      <c r="I147" s="14">
        <f t="shared" si="5"/>
        <v>0</v>
      </c>
      <c r="J147" s="8"/>
      <c r="K147" s="8"/>
    </row>
    <row r="148" spans="1:11" x14ac:dyDescent="0.2">
      <c r="A148" s="10">
        <v>44206000</v>
      </c>
      <c r="B148" s="10" t="s">
        <v>100</v>
      </c>
      <c r="C148" s="11">
        <v>-539999.99999999988</v>
      </c>
      <c r="D148" s="11">
        <v>0</v>
      </c>
      <c r="E148" s="11">
        <v>0</v>
      </c>
      <c r="F148" s="11">
        <v>0</v>
      </c>
      <c r="G148" s="11">
        <v>0</v>
      </c>
      <c r="H148" s="14">
        <f t="shared" si="4"/>
        <v>0</v>
      </c>
      <c r="I148" s="14">
        <f t="shared" si="5"/>
        <v>-539999.99999999988</v>
      </c>
      <c r="J148" s="8" t="s">
        <v>81</v>
      </c>
      <c r="K148" s="8"/>
    </row>
    <row r="149" spans="1:11" x14ac:dyDescent="0.2">
      <c r="A149" s="10">
        <v>44207000</v>
      </c>
      <c r="B149" s="10" t="s">
        <v>336</v>
      </c>
      <c r="C149" s="11">
        <v>105000</v>
      </c>
      <c r="D149" s="11">
        <v>0</v>
      </c>
      <c r="E149" s="11">
        <v>0</v>
      </c>
      <c r="F149" s="11">
        <v>0</v>
      </c>
      <c r="G149" s="11">
        <v>0</v>
      </c>
      <c r="H149" s="14">
        <f t="shared" si="4"/>
        <v>0</v>
      </c>
      <c r="I149" s="14">
        <f t="shared" si="5"/>
        <v>105000</v>
      </c>
      <c r="J149" s="8" t="s">
        <v>78</v>
      </c>
      <c r="K149" s="8"/>
    </row>
    <row r="150" spans="1:11" x14ac:dyDescent="0.2">
      <c r="A150" s="10">
        <v>44208000</v>
      </c>
      <c r="B150" s="10" t="s">
        <v>337</v>
      </c>
      <c r="C150" s="11">
        <v>2270.971</v>
      </c>
      <c r="D150" s="11">
        <v>0</v>
      </c>
      <c r="E150" s="11">
        <v>0</v>
      </c>
      <c r="F150" s="11">
        <v>0</v>
      </c>
      <c r="G150" s="11">
        <v>0</v>
      </c>
      <c r="H150" s="14">
        <f t="shared" si="4"/>
        <v>0</v>
      </c>
      <c r="I150" s="14">
        <f t="shared" si="5"/>
        <v>2270.971</v>
      </c>
      <c r="J150" s="8" t="s">
        <v>78</v>
      </c>
      <c r="K150" s="8"/>
    </row>
    <row r="151" spans="1:11" x14ac:dyDescent="0.2">
      <c r="A151" s="10">
        <v>44209000</v>
      </c>
      <c r="B151" s="10" t="s">
        <v>392</v>
      </c>
      <c r="C151" s="11">
        <v>-1396373.118</v>
      </c>
      <c r="D151" s="11">
        <v>0</v>
      </c>
      <c r="E151" s="11">
        <v>0</v>
      </c>
      <c r="F151" s="11">
        <v>0</v>
      </c>
      <c r="G151" s="11">
        <v>0</v>
      </c>
      <c r="H151" s="14">
        <f t="shared" si="4"/>
        <v>0</v>
      </c>
      <c r="I151" s="14">
        <f t="shared" si="5"/>
        <v>-1396373.118</v>
      </c>
      <c r="J151" s="8" t="s">
        <v>81</v>
      </c>
      <c r="K151" s="8"/>
    </row>
    <row r="152" spans="1:11" x14ac:dyDescent="0.2">
      <c r="A152" s="10">
        <v>44210000</v>
      </c>
      <c r="B152" s="10" t="s">
        <v>338</v>
      </c>
      <c r="C152" s="11">
        <v>0</v>
      </c>
      <c r="D152" s="11">
        <v>0</v>
      </c>
      <c r="E152" s="11">
        <v>0</v>
      </c>
      <c r="F152" s="11">
        <v>0</v>
      </c>
      <c r="G152" s="11">
        <v>0</v>
      </c>
      <c r="H152" s="14">
        <f t="shared" si="4"/>
        <v>0</v>
      </c>
      <c r="I152" s="14">
        <f t="shared" si="5"/>
        <v>0</v>
      </c>
      <c r="J152" s="8"/>
      <c r="K152" s="8"/>
    </row>
    <row r="153" spans="1:11" x14ac:dyDescent="0.2">
      <c r="A153" s="10">
        <v>44600000</v>
      </c>
      <c r="B153" s="10" t="s">
        <v>339</v>
      </c>
      <c r="C153" s="11">
        <v>0</v>
      </c>
      <c r="D153" s="11">
        <v>0</v>
      </c>
      <c r="E153" s="11">
        <v>0</v>
      </c>
      <c r="F153" s="11">
        <v>0</v>
      </c>
      <c r="G153" s="11">
        <v>0</v>
      </c>
      <c r="H153" s="14">
        <f t="shared" si="4"/>
        <v>0</v>
      </c>
      <c r="I153" s="14">
        <f t="shared" si="5"/>
        <v>0</v>
      </c>
      <c r="J153" s="8"/>
      <c r="K153" s="8"/>
    </row>
    <row r="154" spans="1:11" x14ac:dyDescent="0.2">
      <c r="A154" s="10">
        <v>44700000</v>
      </c>
      <c r="B154" s="10" t="s">
        <v>101</v>
      </c>
      <c r="C154" s="11">
        <v>0</v>
      </c>
      <c r="D154" s="11">
        <v>0</v>
      </c>
      <c r="E154" s="11">
        <v>0</v>
      </c>
      <c r="F154" s="11">
        <v>0</v>
      </c>
      <c r="G154" s="11">
        <v>0</v>
      </c>
      <c r="H154" s="14">
        <f t="shared" si="4"/>
        <v>0</v>
      </c>
      <c r="I154" s="14">
        <f t="shared" si="5"/>
        <v>0</v>
      </c>
      <c r="J154" s="8"/>
      <c r="K154" s="8"/>
    </row>
    <row r="155" spans="1:11" x14ac:dyDescent="0.2">
      <c r="A155" s="10">
        <v>45000000</v>
      </c>
      <c r="B155" s="10" t="s">
        <v>102</v>
      </c>
      <c r="C155" s="11">
        <v>-12699.999999999534</v>
      </c>
      <c r="D155" s="11">
        <v>0</v>
      </c>
      <c r="E155" s="11">
        <v>0</v>
      </c>
      <c r="F155" s="11">
        <v>0</v>
      </c>
      <c r="G155" s="11">
        <v>0</v>
      </c>
      <c r="H155" s="14">
        <f t="shared" si="4"/>
        <v>0</v>
      </c>
      <c r="I155" s="14">
        <f t="shared" si="5"/>
        <v>-12699.999999999534</v>
      </c>
      <c r="J155" s="8" t="s">
        <v>81</v>
      </c>
      <c r="K155" s="8"/>
    </row>
    <row r="156" spans="1:11" x14ac:dyDescent="0.2">
      <c r="A156" s="10">
        <v>45200000</v>
      </c>
      <c r="B156" s="10" t="s">
        <v>103</v>
      </c>
      <c r="C156" s="11">
        <v>0</v>
      </c>
      <c r="D156" s="11">
        <v>0</v>
      </c>
      <c r="E156" s="11">
        <v>0</v>
      </c>
      <c r="F156" s="11">
        <v>0</v>
      </c>
      <c r="G156" s="11">
        <v>0</v>
      </c>
      <c r="H156" s="14">
        <f t="shared" si="4"/>
        <v>0</v>
      </c>
      <c r="I156" s="14">
        <f t="shared" si="5"/>
        <v>0</v>
      </c>
      <c r="J156" s="8" t="s">
        <v>81</v>
      </c>
      <c r="K156" s="8"/>
    </row>
    <row r="157" spans="1:11" x14ac:dyDescent="0.2">
      <c r="A157" s="10">
        <v>45310000</v>
      </c>
      <c r="B157" s="10" t="s">
        <v>104</v>
      </c>
      <c r="C157" s="11">
        <v>-103729.51800000007</v>
      </c>
      <c r="D157" s="11">
        <v>27630.352000000003</v>
      </c>
      <c r="E157" s="11">
        <v>55260.702000000005</v>
      </c>
      <c r="F157" s="11">
        <v>0</v>
      </c>
      <c r="G157" s="11">
        <v>28787.492999999999</v>
      </c>
      <c r="H157" s="14">
        <f t="shared" si="4"/>
        <v>-56417.843000000001</v>
      </c>
      <c r="I157" s="14">
        <f t="shared" si="5"/>
        <v>-160147.36100000006</v>
      </c>
      <c r="J157" s="8" t="s">
        <v>81</v>
      </c>
      <c r="K157" s="8"/>
    </row>
    <row r="158" spans="1:11" x14ac:dyDescent="0.2">
      <c r="A158" s="10">
        <v>45700000</v>
      </c>
      <c r="B158" s="10" t="s">
        <v>105</v>
      </c>
      <c r="C158" s="11">
        <v>7122.9679999999998</v>
      </c>
      <c r="D158" s="11">
        <v>0</v>
      </c>
      <c r="E158" s="11">
        <v>0</v>
      </c>
      <c r="F158" s="11">
        <v>0</v>
      </c>
      <c r="G158" s="11">
        <v>0</v>
      </c>
      <c r="H158" s="14">
        <f t="shared" si="4"/>
        <v>0</v>
      </c>
      <c r="I158" s="14">
        <f t="shared" si="5"/>
        <v>7122.9679999999998</v>
      </c>
      <c r="J158" s="8" t="s">
        <v>78</v>
      </c>
      <c r="K158" s="8"/>
    </row>
    <row r="159" spans="1:11" x14ac:dyDescent="0.2">
      <c r="A159" s="10">
        <v>45860000</v>
      </c>
      <c r="B159" s="10" t="s">
        <v>106</v>
      </c>
      <c r="C159" s="11">
        <v>-2213160.3146000002</v>
      </c>
      <c r="D159" s="11">
        <v>0</v>
      </c>
      <c r="E159" s="11">
        <v>0</v>
      </c>
      <c r="F159" s="11">
        <v>365664.67700000003</v>
      </c>
      <c r="G159" s="11">
        <v>670658.95900000003</v>
      </c>
      <c r="H159" s="14">
        <f t="shared" si="4"/>
        <v>-304994.28200000001</v>
      </c>
      <c r="I159" s="14">
        <f t="shared" si="5"/>
        <v>-2518154.5966000003</v>
      </c>
      <c r="J159" s="8" t="s">
        <v>81</v>
      </c>
      <c r="K159" s="8"/>
    </row>
    <row r="160" spans="1:11" x14ac:dyDescent="0.2">
      <c r="A160" s="10">
        <v>45870000</v>
      </c>
      <c r="B160" s="10" t="s">
        <v>107</v>
      </c>
      <c r="C160" s="11">
        <v>25800.706000000006</v>
      </c>
      <c r="D160" s="11">
        <v>0</v>
      </c>
      <c r="E160" s="11">
        <v>0</v>
      </c>
      <c r="F160" s="11">
        <v>3242.453</v>
      </c>
      <c r="G160" s="11">
        <v>0</v>
      </c>
      <c r="H160" s="14">
        <f t="shared" si="4"/>
        <v>3242.453</v>
      </c>
      <c r="I160" s="14">
        <f t="shared" si="5"/>
        <v>29043.159000000007</v>
      </c>
      <c r="J160" s="8" t="s">
        <v>78</v>
      </c>
      <c r="K160" s="8"/>
    </row>
    <row r="161" spans="1:11" x14ac:dyDescent="0.2">
      <c r="A161" s="10">
        <v>46100000</v>
      </c>
      <c r="B161" s="10" t="s">
        <v>340</v>
      </c>
      <c r="C161" s="11">
        <v>0</v>
      </c>
      <c r="D161" s="11">
        <v>0</v>
      </c>
      <c r="E161" s="11">
        <v>0</v>
      </c>
      <c r="F161" s="11">
        <v>0</v>
      </c>
      <c r="G161" s="11">
        <v>0</v>
      </c>
      <c r="H161" s="14">
        <f t="shared" si="4"/>
        <v>0</v>
      </c>
      <c r="I161" s="14">
        <f t="shared" si="5"/>
        <v>0</v>
      </c>
      <c r="J161" s="8"/>
      <c r="K161" s="8"/>
    </row>
    <row r="162" spans="1:11" x14ac:dyDescent="0.2">
      <c r="A162" s="10">
        <v>46800000</v>
      </c>
      <c r="B162" s="10" t="s">
        <v>108</v>
      </c>
      <c r="C162" s="11">
        <v>0</v>
      </c>
      <c r="D162" s="11">
        <v>0</v>
      </c>
      <c r="E162" s="11">
        <v>0</v>
      </c>
      <c r="F162" s="11">
        <v>0</v>
      </c>
      <c r="G162" s="11">
        <v>0</v>
      </c>
      <c r="H162" s="14">
        <f t="shared" si="4"/>
        <v>0</v>
      </c>
      <c r="I162" s="14">
        <f t="shared" si="5"/>
        <v>0</v>
      </c>
      <c r="J162" s="8"/>
      <c r="K162" s="8"/>
    </row>
    <row r="163" spans="1:11" x14ac:dyDescent="0.2">
      <c r="A163" s="10">
        <v>47100000</v>
      </c>
      <c r="B163" s="10" t="s">
        <v>109</v>
      </c>
      <c r="C163" s="11">
        <v>159475.15324600015</v>
      </c>
      <c r="D163" s="11">
        <v>185489.011</v>
      </c>
      <c r="E163" s="11">
        <v>194791.66699999999</v>
      </c>
      <c r="F163" s="11">
        <v>197365</v>
      </c>
      <c r="G163" s="11">
        <v>45239.495999999999</v>
      </c>
      <c r="H163" s="14">
        <f t="shared" si="4"/>
        <v>142822.848</v>
      </c>
      <c r="I163" s="14">
        <f t="shared" si="5"/>
        <v>302298.00124600017</v>
      </c>
      <c r="J163" s="8" t="s">
        <v>78</v>
      </c>
      <c r="K163" s="8"/>
    </row>
    <row r="164" spans="1:11" x14ac:dyDescent="0.2">
      <c r="A164" s="10">
        <v>47200000</v>
      </c>
      <c r="B164" s="10" t="s">
        <v>341</v>
      </c>
      <c r="C164" s="11">
        <v>0</v>
      </c>
      <c r="D164" s="11">
        <v>0</v>
      </c>
      <c r="E164" s="11">
        <v>0</v>
      </c>
      <c r="F164" s="11">
        <v>0</v>
      </c>
      <c r="G164" s="11">
        <v>162057.986</v>
      </c>
      <c r="H164" s="14">
        <f t="shared" si="4"/>
        <v>-162057.986</v>
      </c>
      <c r="I164" s="14">
        <f t="shared" si="5"/>
        <v>-162057.986</v>
      </c>
      <c r="J164" s="8" t="s">
        <v>81</v>
      </c>
      <c r="K164" s="8"/>
    </row>
    <row r="165" spans="1:11" x14ac:dyDescent="0.2">
      <c r="A165" s="10">
        <v>49100000</v>
      </c>
      <c r="B165" s="10" t="s">
        <v>110</v>
      </c>
      <c r="C165" s="11">
        <v>-457129.14999999991</v>
      </c>
      <c r="D165" s="11">
        <v>0</v>
      </c>
      <c r="E165" s="11">
        <v>0</v>
      </c>
      <c r="F165" s="11">
        <v>0</v>
      </c>
      <c r="G165" s="11">
        <v>0</v>
      </c>
      <c r="H165" s="14">
        <f t="shared" si="4"/>
        <v>0</v>
      </c>
      <c r="I165" s="14">
        <f t="shared" si="5"/>
        <v>-457129.14999999991</v>
      </c>
      <c r="J165" s="8" t="s">
        <v>111</v>
      </c>
      <c r="K165" s="8"/>
    </row>
    <row r="166" spans="1:11" x14ac:dyDescent="0.2">
      <c r="A166" s="10">
        <v>49600000</v>
      </c>
      <c r="B166" s="10" t="s">
        <v>112</v>
      </c>
      <c r="C166" s="11">
        <v>-288613.68499999994</v>
      </c>
      <c r="D166" s="11">
        <v>0</v>
      </c>
      <c r="E166" s="11">
        <v>0</v>
      </c>
      <c r="F166" s="11">
        <v>0</v>
      </c>
      <c r="G166" s="11">
        <v>0</v>
      </c>
      <c r="H166" s="14">
        <f t="shared" si="4"/>
        <v>0</v>
      </c>
      <c r="I166" s="14">
        <f t="shared" si="5"/>
        <v>-288613.68499999994</v>
      </c>
      <c r="J166" s="8" t="s">
        <v>113</v>
      </c>
      <c r="K166" s="8"/>
    </row>
    <row r="167" spans="1:11" x14ac:dyDescent="0.2">
      <c r="A167" s="10">
        <v>50130000</v>
      </c>
      <c r="B167" s="10" t="s">
        <v>114</v>
      </c>
      <c r="C167" s="11">
        <v>-6000000</v>
      </c>
      <c r="D167" s="11">
        <v>6000000</v>
      </c>
      <c r="E167" s="11">
        <v>6000000</v>
      </c>
      <c r="F167" s="11">
        <v>0</v>
      </c>
      <c r="G167" s="11">
        <v>0</v>
      </c>
      <c r="H167" s="14">
        <f t="shared" si="4"/>
        <v>0</v>
      </c>
      <c r="I167" s="14">
        <f t="shared" si="5"/>
        <v>-6000000</v>
      </c>
      <c r="J167" s="8" t="s">
        <v>115</v>
      </c>
      <c r="K167" s="8"/>
    </row>
    <row r="168" spans="1:11" x14ac:dyDescent="0.2">
      <c r="A168" s="10">
        <v>50140000</v>
      </c>
      <c r="B168" s="10" t="s">
        <v>116</v>
      </c>
      <c r="C168" s="11">
        <v>-4000000</v>
      </c>
      <c r="D168" s="11">
        <v>4000000</v>
      </c>
      <c r="E168" s="11">
        <v>4000000</v>
      </c>
      <c r="F168" s="11">
        <v>0</v>
      </c>
      <c r="G168" s="11">
        <v>0</v>
      </c>
      <c r="H168" s="14">
        <f t="shared" si="4"/>
        <v>0</v>
      </c>
      <c r="I168" s="14">
        <f t="shared" si="5"/>
        <v>-4000000</v>
      </c>
      <c r="J168" s="8" t="s">
        <v>115</v>
      </c>
      <c r="K168" s="8"/>
    </row>
    <row r="169" spans="1:11" x14ac:dyDescent="0.2">
      <c r="A169" s="10">
        <v>50500000</v>
      </c>
      <c r="B169" s="10" t="s">
        <v>117</v>
      </c>
      <c r="C169" s="11">
        <v>-208333.33700000137</v>
      </c>
      <c r="D169" s="11">
        <v>0</v>
      </c>
      <c r="E169" s="11">
        <v>0</v>
      </c>
      <c r="F169" s="11">
        <v>0</v>
      </c>
      <c r="G169" s="11">
        <v>0</v>
      </c>
      <c r="H169" s="14">
        <f t="shared" si="4"/>
        <v>0</v>
      </c>
      <c r="I169" s="14">
        <f t="shared" si="5"/>
        <v>-208333.33700000137</v>
      </c>
      <c r="J169" s="8" t="s">
        <v>115</v>
      </c>
      <c r="K169" s="8"/>
    </row>
    <row r="170" spans="1:11" x14ac:dyDescent="0.2">
      <c r="A170" s="10">
        <v>50515000</v>
      </c>
      <c r="B170" s="10" t="s">
        <v>118</v>
      </c>
      <c r="C170" s="11">
        <v>-40002.870000000141</v>
      </c>
      <c r="D170" s="11">
        <v>9829.5380000000005</v>
      </c>
      <c r="E170" s="11">
        <v>0</v>
      </c>
      <c r="F170" s="11">
        <v>0</v>
      </c>
      <c r="G170" s="11">
        <v>0</v>
      </c>
      <c r="H170" s="14">
        <f t="shared" si="4"/>
        <v>9829.5380000000005</v>
      </c>
      <c r="I170" s="14">
        <f t="shared" si="5"/>
        <v>-30173.33200000014</v>
      </c>
      <c r="J170" s="8" t="s">
        <v>115</v>
      </c>
      <c r="K170" s="8"/>
    </row>
    <row r="171" spans="1:11" x14ac:dyDescent="0.2">
      <c r="A171" s="10">
        <v>50610100</v>
      </c>
      <c r="B171" s="10" t="s">
        <v>342</v>
      </c>
      <c r="C171" s="11">
        <v>0</v>
      </c>
      <c r="D171" s="11">
        <v>0</v>
      </c>
      <c r="E171" s="11">
        <v>0</v>
      </c>
      <c r="F171" s="11">
        <v>0</v>
      </c>
      <c r="G171" s="11">
        <v>0</v>
      </c>
      <c r="H171" s="14">
        <f t="shared" si="4"/>
        <v>0</v>
      </c>
      <c r="I171" s="14">
        <f t="shared" si="5"/>
        <v>0</v>
      </c>
      <c r="J171" s="8"/>
      <c r="K171" s="8"/>
    </row>
    <row r="172" spans="1:11" x14ac:dyDescent="0.2">
      <c r="A172" s="10">
        <v>50610900</v>
      </c>
      <c r="B172" s="10" t="s">
        <v>119</v>
      </c>
      <c r="C172" s="11">
        <v>-1350076.0466234998</v>
      </c>
      <c r="D172" s="11">
        <v>1332433.3390000002</v>
      </c>
      <c r="E172" s="11">
        <v>1332433.3390000002</v>
      </c>
      <c r="F172" s="11">
        <v>21453.644</v>
      </c>
      <c r="G172" s="11">
        <v>7911.3689999999997</v>
      </c>
      <c r="H172" s="14">
        <f t="shared" si="4"/>
        <v>13542.275000000089</v>
      </c>
      <c r="I172" s="14">
        <f t="shared" si="5"/>
        <v>-1336533.7716234997</v>
      </c>
      <c r="J172" s="8" t="s">
        <v>115</v>
      </c>
      <c r="K172" s="8"/>
    </row>
    <row r="173" spans="1:11" x14ac:dyDescent="0.2">
      <c r="A173" s="10">
        <v>50630000</v>
      </c>
      <c r="B173" s="10" t="s">
        <v>343</v>
      </c>
      <c r="C173" s="11">
        <v>0</v>
      </c>
      <c r="D173" s="11">
        <v>0</v>
      </c>
      <c r="E173" s="11">
        <v>0</v>
      </c>
      <c r="F173" s="11">
        <v>0</v>
      </c>
      <c r="G173" s="11">
        <v>0</v>
      </c>
      <c r="H173" s="14">
        <f t="shared" si="4"/>
        <v>0</v>
      </c>
      <c r="I173" s="14">
        <f t="shared" si="5"/>
        <v>0</v>
      </c>
      <c r="J173" s="8"/>
      <c r="K173" s="8"/>
    </row>
    <row r="174" spans="1:11" x14ac:dyDescent="0.2">
      <c r="A174" s="10">
        <v>50800000</v>
      </c>
      <c r="B174" s="10" t="s">
        <v>344</v>
      </c>
      <c r="C174" s="11">
        <v>0</v>
      </c>
      <c r="D174" s="11">
        <v>0</v>
      </c>
      <c r="E174" s="11">
        <v>0</v>
      </c>
      <c r="F174" s="11">
        <v>0</v>
      </c>
      <c r="G174" s="11">
        <v>0</v>
      </c>
      <c r="H174" s="14">
        <f t="shared" si="4"/>
        <v>0</v>
      </c>
      <c r="I174" s="14">
        <f t="shared" si="5"/>
        <v>0</v>
      </c>
      <c r="J174" s="8" t="s">
        <v>115</v>
      </c>
      <c r="K174" s="8"/>
    </row>
    <row r="175" spans="1:11" x14ac:dyDescent="0.2">
      <c r="A175" s="10">
        <v>52000000</v>
      </c>
      <c r="B175" s="10" t="s">
        <v>345</v>
      </c>
      <c r="C175" s="11">
        <v>0</v>
      </c>
      <c r="D175" s="11">
        <v>0</v>
      </c>
      <c r="E175" s="11">
        <v>0</v>
      </c>
      <c r="F175" s="11">
        <v>0</v>
      </c>
      <c r="G175" s="11">
        <v>0</v>
      </c>
      <c r="H175" s="14">
        <f t="shared" si="4"/>
        <v>0</v>
      </c>
      <c r="I175" s="14">
        <f t="shared" si="5"/>
        <v>0</v>
      </c>
      <c r="J175" s="8"/>
      <c r="K175" s="8"/>
    </row>
    <row r="176" spans="1:11" x14ac:dyDescent="0.2">
      <c r="A176" s="10">
        <v>52001100</v>
      </c>
      <c r="B176" s="10" t="s">
        <v>346</v>
      </c>
      <c r="C176" s="11">
        <v>0</v>
      </c>
      <c r="D176" s="11">
        <v>0</v>
      </c>
      <c r="E176" s="11">
        <v>0</v>
      </c>
      <c r="F176" s="11">
        <v>0</v>
      </c>
      <c r="G176" s="11">
        <v>0</v>
      </c>
      <c r="H176" s="14">
        <f t="shared" si="4"/>
        <v>0</v>
      </c>
      <c r="I176" s="14">
        <f t="shared" si="5"/>
        <v>0</v>
      </c>
      <c r="J176" s="8"/>
      <c r="K176" s="8"/>
    </row>
    <row r="177" spans="1:11" x14ac:dyDescent="0.2">
      <c r="A177" s="10">
        <v>53140000</v>
      </c>
      <c r="B177" s="10" t="s">
        <v>347</v>
      </c>
      <c r="C177" s="11">
        <v>0</v>
      </c>
      <c r="D177" s="11">
        <v>0</v>
      </c>
      <c r="E177" s="11">
        <v>0</v>
      </c>
      <c r="F177" s="11">
        <v>0</v>
      </c>
      <c r="G177" s="11">
        <v>0</v>
      </c>
      <c r="H177" s="14">
        <f t="shared" si="4"/>
        <v>0</v>
      </c>
      <c r="I177" s="14">
        <f t="shared" si="5"/>
        <v>0</v>
      </c>
      <c r="J177" s="8"/>
      <c r="K177" s="8"/>
    </row>
    <row r="178" spans="1:11" x14ac:dyDescent="0.2">
      <c r="A178" s="10">
        <v>53200000</v>
      </c>
      <c r="B178" s="10" t="s">
        <v>120</v>
      </c>
      <c r="C178" s="11">
        <v>38482.160000000149</v>
      </c>
      <c r="D178" s="11">
        <v>2774568.9929999998</v>
      </c>
      <c r="E178" s="11">
        <v>2640156.0869999998</v>
      </c>
      <c r="F178" s="11">
        <v>0</v>
      </c>
      <c r="G178" s="11">
        <v>0</v>
      </c>
      <c r="H178" s="14">
        <f t="shared" si="4"/>
        <v>134412.90599999996</v>
      </c>
      <c r="I178" s="14">
        <f t="shared" si="5"/>
        <v>172895.06600000011</v>
      </c>
      <c r="J178" s="8" t="s">
        <v>121</v>
      </c>
      <c r="K178" s="8"/>
    </row>
    <row r="179" spans="1:11" x14ac:dyDescent="0.2">
      <c r="A179" s="10">
        <v>53201000</v>
      </c>
      <c r="B179" s="10" t="s">
        <v>348</v>
      </c>
      <c r="C179" s="11">
        <v>0</v>
      </c>
      <c r="D179" s="11">
        <v>0</v>
      </c>
      <c r="E179" s="11">
        <v>0</v>
      </c>
      <c r="F179" s="11">
        <v>0</v>
      </c>
      <c r="G179" s="11">
        <v>0</v>
      </c>
      <c r="H179" s="14">
        <f t="shared" si="4"/>
        <v>0</v>
      </c>
      <c r="I179" s="14">
        <f t="shared" si="5"/>
        <v>0</v>
      </c>
      <c r="J179" s="8"/>
      <c r="K179" s="8"/>
    </row>
    <row r="180" spans="1:11" x14ac:dyDescent="0.2">
      <c r="A180" s="10">
        <v>53202000</v>
      </c>
      <c r="B180" s="10" t="s">
        <v>122</v>
      </c>
      <c r="C180" s="11">
        <v>435.74199999962002</v>
      </c>
      <c r="D180" s="11">
        <v>0</v>
      </c>
      <c r="E180" s="11">
        <v>0</v>
      </c>
      <c r="F180" s="11">
        <v>0</v>
      </c>
      <c r="G180" s="11">
        <v>0</v>
      </c>
      <c r="H180" s="14">
        <f t="shared" si="4"/>
        <v>0</v>
      </c>
      <c r="I180" s="14">
        <f t="shared" si="5"/>
        <v>435.74199999962002</v>
      </c>
      <c r="J180" s="8" t="s">
        <v>121</v>
      </c>
      <c r="K180" s="8"/>
    </row>
    <row r="181" spans="1:11" x14ac:dyDescent="0.2">
      <c r="A181" s="10">
        <v>53203000</v>
      </c>
      <c r="B181" s="10" t="s">
        <v>349</v>
      </c>
      <c r="C181" s="11">
        <v>91383.905999999959</v>
      </c>
      <c r="D181" s="11">
        <v>295008.48700000002</v>
      </c>
      <c r="E181" s="11">
        <v>256964.50899999999</v>
      </c>
      <c r="F181" s="11">
        <v>0</v>
      </c>
      <c r="G181" s="11">
        <v>0</v>
      </c>
      <c r="H181" s="14">
        <f t="shared" si="4"/>
        <v>38043.978000000032</v>
      </c>
      <c r="I181" s="14">
        <f t="shared" si="5"/>
        <v>129427.88399999999</v>
      </c>
      <c r="J181" s="8" t="s">
        <v>121</v>
      </c>
      <c r="K181" s="8"/>
    </row>
    <row r="182" spans="1:11" x14ac:dyDescent="0.2">
      <c r="A182" s="10">
        <v>53204000</v>
      </c>
      <c r="B182" s="10" t="s">
        <v>350</v>
      </c>
      <c r="C182" s="11">
        <v>0</v>
      </c>
      <c r="D182" s="11">
        <v>0</v>
      </c>
      <c r="E182" s="11">
        <v>0</v>
      </c>
      <c r="F182" s="11">
        <v>0</v>
      </c>
      <c r="G182" s="11">
        <v>0</v>
      </c>
      <c r="H182" s="14">
        <f t="shared" si="4"/>
        <v>0</v>
      </c>
      <c r="I182" s="14">
        <f t="shared" si="5"/>
        <v>0</v>
      </c>
      <c r="J182" s="8"/>
      <c r="K182" s="8"/>
    </row>
    <row r="183" spans="1:11" x14ac:dyDescent="0.2">
      <c r="A183" s="10">
        <v>53204100</v>
      </c>
      <c r="B183" s="10" t="s">
        <v>351</v>
      </c>
      <c r="C183" s="11">
        <v>0</v>
      </c>
      <c r="D183" s="11">
        <v>0</v>
      </c>
      <c r="E183" s="11">
        <v>0</v>
      </c>
      <c r="F183" s="11">
        <v>0</v>
      </c>
      <c r="G183" s="11">
        <v>0</v>
      </c>
      <c r="H183" s="14">
        <f t="shared" si="4"/>
        <v>0</v>
      </c>
      <c r="I183" s="14">
        <f t="shared" si="5"/>
        <v>0</v>
      </c>
      <c r="J183" s="8"/>
      <c r="K183" s="8"/>
    </row>
    <row r="184" spans="1:11" x14ac:dyDescent="0.2">
      <c r="A184" s="10">
        <v>53204500</v>
      </c>
      <c r="B184" s="10" t="s">
        <v>123</v>
      </c>
      <c r="C184" s="11">
        <v>5874.02</v>
      </c>
      <c r="D184" s="11">
        <v>0</v>
      </c>
      <c r="E184" s="11">
        <v>0</v>
      </c>
      <c r="F184" s="11">
        <v>0</v>
      </c>
      <c r="G184" s="11">
        <v>0</v>
      </c>
      <c r="H184" s="14">
        <f t="shared" si="4"/>
        <v>0</v>
      </c>
      <c r="I184" s="14">
        <f t="shared" si="5"/>
        <v>5874.02</v>
      </c>
      <c r="J184" s="8" t="s">
        <v>121</v>
      </c>
      <c r="K184" s="8"/>
    </row>
    <row r="185" spans="1:11" x14ac:dyDescent="0.2">
      <c r="A185" s="10">
        <v>53205000</v>
      </c>
      <c r="B185" s="10" t="s">
        <v>124</v>
      </c>
      <c r="C185" s="11">
        <v>12925.083999977112</v>
      </c>
      <c r="D185" s="11">
        <v>0</v>
      </c>
      <c r="E185" s="11">
        <v>0</v>
      </c>
      <c r="F185" s="11">
        <v>0</v>
      </c>
      <c r="G185" s="11">
        <v>0</v>
      </c>
      <c r="H185" s="14">
        <f t="shared" si="4"/>
        <v>0</v>
      </c>
      <c r="I185" s="14">
        <f t="shared" si="5"/>
        <v>12925.083999977112</v>
      </c>
      <c r="J185" s="8" t="s">
        <v>121</v>
      </c>
      <c r="K185" s="8"/>
    </row>
    <row r="186" spans="1:11" x14ac:dyDescent="0.2">
      <c r="A186" s="10">
        <v>53205300</v>
      </c>
      <c r="B186" s="10" t="s">
        <v>125</v>
      </c>
      <c r="C186" s="11">
        <v>0</v>
      </c>
      <c r="D186" s="11">
        <v>0</v>
      </c>
      <c r="E186" s="11">
        <v>0</v>
      </c>
      <c r="F186" s="11">
        <v>0</v>
      </c>
      <c r="G186" s="11">
        <v>0</v>
      </c>
      <c r="H186" s="14">
        <f t="shared" si="4"/>
        <v>0</v>
      </c>
      <c r="I186" s="14">
        <f t="shared" si="5"/>
        <v>0</v>
      </c>
      <c r="J186" s="8" t="s">
        <v>121</v>
      </c>
      <c r="K186" s="8"/>
    </row>
    <row r="187" spans="1:11" x14ac:dyDescent="0.2">
      <c r="A187" s="10">
        <v>53205400</v>
      </c>
      <c r="B187" s="10" t="s">
        <v>126</v>
      </c>
      <c r="C187" s="11">
        <v>0</v>
      </c>
      <c r="D187" s="11">
        <v>0</v>
      </c>
      <c r="E187" s="11">
        <v>0</v>
      </c>
      <c r="F187" s="11">
        <v>0</v>
      </c>
      <c r="G187" s="11">
        <v>0</v>
      </c>
      <c r="H187" s="14">
        <f t="shared" si="4"/>
        <v>0</v>
      </c>
      <c r="I187" s="14">
        <f t="shared" si="5"/>
        <v>0</v>
      </c>
      <c r="J187" s="8"/>
      <c r="K187" s="8"/>
    </row>
    <row r="188" spans="1:11" x14ac:dyDescent="0.2">
      <c r="A188" s="10">
        <v>53205500</v>
      </c>
      <c r="B188" s="10" t="s">
        <v>127</v>
      </c>
      <c r="C188" s="11">
        <v>0</v>
      </c>
      <c r="D188" s="11">
        <v>0</v>
      </c>
      <c r="E188" s="11">
        <v>0</v>
      </c>
      <c r="F188" s="11">
        <v>0</v>
      </c>
      <c r="G188" s="11">
        <v>0</v>
      </c>
      <c r="H188" s="14">
        <f t="shared" si="4"/>
        <v>0</v>
      </c>
      <c r="I188" s="14">
        <f t="shared" si="5"/>
        <v>0</v>
      </c>
      <c r="J188" s="8"/>
      <c r="K188" s="8"/>
    </row>
    <row r="189" spans="1:11" x14ac:dyDescent="0.2">
      <c r="A189" s="10">
        <v>53205600</v>
      </c>
      <c r="B189" s="10" t="s">
        <v>128</v>
      </c>
      <c r="C189" s="11">
        <v>-2964749.214999937</v>
      </c>
      <c r="D189" s="11">
        <v>12403931.734999999</v>
      </c>
      <c r="E189" s="11">
        <v>12916111.704</v>
      </c>
      <c r="F189" s="11">
        <v>0</v>
      </c>
      <c r="G189" s="11">
        <v>0</v>
      </c>
      <c r="H189" s="14">
        <f t="shared" si="4"/>
        <v>-512179.96900000051</v>
      </c>
      <c r="I189" s="14">
        <f t="shared" si="5"/>
        <v>-3476929.1839999375</v>
      </c>
      <c r="J189" s="8" t="s">
        <v>115</v>
      </c>
      <c r="K189" s="8"/>
    </row>
    <row r="190" spans="1:11" x14ac:dyDescent="0.2">
      <c r="A190" s="10">
        <v>53205700</v>
      </c>
      <c r="B190" s="10" t="s">
        <v>129</v>
      </c>
      <c r="C190" s="11">
        <v>668451.14759720222</v>
      </c>
      <c r="D190" s="11">
        <v>1210610.9370000002</v>
      </c>
      <c r="E190" s="11">
        <v>1519877.0589999999</v>
      </c>
      <c r="F190" s="11">
        <v>316843.391</v>
      </c>
      <c r="G190" s="11">
        <v>220680.712</v>
      </c>
      <c r="H190" s="14">
        <f t="shared" si="4"/>
        <v>-213103.44299999968</v>
      </c>
      <c r="I190" s="14">
        <f t="shared" si="5"/>
        <v>455347.70459720254</v>
      </c>
      <c r="J190" s="8" t="s">
        <v>121</v>
      </c>
      <c r="K190" s="8"/>
    </row>
    <row r="191" spans="1:11" x14ac:dyDescent="0.2">
      <c r="A191" s="10">
        <v>53205800</v>
      </c>
      <c r="B191" s="10" t="s">
        <v>130</v>
      </c>
      <c r="C191" s="11">
        <v>87028.651000000449</v>
      </c>
      <c r="D191" s="11">
        <v>0</v>
      </c>
      <c r="E191" s="11">
        <v>0</v>
      </c>
      <c r="F191" s="11">
        <v>55471.120999999999</v>
      </c>
      <c r="G191" s="11">
        <v>55166.51</v>
      </c>
      <c r="H191" s="14">
        <f t="shared" si="4"/>
        <v>304.61099999999715</v>
      </c>
      <c r="I191" s="14">
        <f t="shared" si="5"/>
        <v>87333.262000000454</v>
      </c>
      <c r="J191" s="8" t="s">
        <v>121</v>
      </c>
      <c r="K191" s="8"/>
    </row>
    <row r="192" spans="1:11" x14ac:dyDescent="0.2">
      <c r="A192" s="10">
        <v>53207000</v>
      </c>
      <c r="B192" s="10" t="s">
        <v>352</v>
      </c>
      <c r="C192" s="11">
        <v>0</v>
      </c>
      <c r="D192" s="11">
        <v>0</v>
      </c>
      <c r="E192" s="11">
        <v>0</v>
      </c>
      <c r="F192" s="11">
        <v>0</v>
      </c>
      <c r="G192" s="11">
        <v>0</v>
      </c>
      <c r="H192" s="14">
        <f t="shared" si="4"/>
        <v>0</v>
      </c>
      <c r="I192" s="14">
        <f t="shared" si="5"/>
        <v>0</v>
      </c>
      <c r="J192" s="8"/>
      <c r="K192" s="8"/>
    </row>
    <row r="193" spans="1:11" x14ac:dyDescent="0.2">
      <c r="A193" s="10">
        <v>53207100</v>
      </c>
      <c r="B193" s="10" t="s">
        <v>353</v>
      </c>
      <c r="C193" s="11">
        <v>0</v>
      </c>
      <c r="D193" s="11">
        <v>0</v>
      </c>
      <c r="E193" s="11">
        <v>0</v>
      </c>
      <c r="F193" s="11">
        <v>0</v>
      </c>
      <c r="G193" s="11">
        <v>0</v>
      </c>
      <c r="H193" s="14">
        <f t="shared" si="4"/>
        <v>0</v>
      </c>
      <c r="I193" s="14">
        <f t="shared" si="5"/>
        <v>0</v>
      </c>
      <c r="J193" s="8"/>
      <c r="K193" s="8"/>
    </row>
    <row r="194" spans="1:11" x14ac:dyDescent="0.2">
      <c r="A194" s="10">
        <v>53207200</v>
      </c>
      <c r="B194" s="10" t="s">
        <v>354</v>
      </c>
      <c r="C194" s="11">
        <v>0</v>
      </c>
      <c r="D194" s="11">
        <v>0</v>
      </c>
      <c r="E194" s="11">
        <v>0</v>
      </c>
      <c r="F194" s="11">
        <v>0</v>
      </c>
      <c r="G194" s="11">
        <v>0</v>
      </c>
      <c r="H194" s="14">
        <f t="shared" ref="H194:H257" si="6">D194+F194-E194-G194</f>
        <v>0</v>
      </c>
      <c r="I194" s="14">
        <f t="shared" ref="I194:I257" si="7">C194+H194</f>
        <v>0</v>
      </c>
      <c r="J194" s="8"/>
      <c r="K194" s="8"/>
    </row>
    <row r="195" spans="1:11" x14ac:dyDescent="0.2">
      <c r="A195" s="10">
        <v>53208000</v>
      </c>
      <c r="B195" s="10" t="s">
        <v>355</v>
      </c>
      <c r="C195" s="11">
        <v>485.66199999954551</v>
      </c>
      <c r="D195" s="11">
        <v>0</v>
      </c>
      <c r="E195" s="11">
        <v>0</v>
      </c>
      <c r="F195" s="11">
        <v>0</v>
      </c>
      <c r="G195" s="11">
        <v>0</v>
      </c>
      <c r="H195" s="14">
        <f t="shared" si="6"/>
        <v>0</v>
      </c>
      <c r="I195" s="14">
        <f t="shared" si="7"/>
        <v>485.66199999954551</v>
      </c>
      <c r="J195" s="8" t="s">
        <v>121</v>
      </c>
      <c r="K195" s="8"/>
    </row>
    <row r="196" spans="1:11" x14ac:dyDescent="0.2">
      <c r="A196" s="10">
        <v>53208100</v>
      </c>
      <c r="B196" s="10" t="s">
        <v>356</v>
      </c>
      <c r="C196" s="11">
        <v>0</v>
      </c>
      <c r="D196" s="11">
        <v>0</v>
      </c>
      <c r="E196" s="11">
        <v>0</v>
      </c>
      <c r="F196" s="11">
        <v>0</v>
      </c>
      <c r="G196" s="11">
        <v>0</v>
      </c>
      <c r="H196" s="14">
        <f t="shared" si="6"/>
        <v>0</v>
      </c>
      <c r="I196" s="14">
        <f t="shared" si="7"/>
        <v>0</v>
      </c>
      <c r="J196" s="8"/>
      <c r="K196" s="8"/>
    </row>
    <row r="197" spans="1:11" x14ac:dyDescent="0.2">
      <c r="A197" s="10">
        <v>53208500</v>
      </c>
      <c r="B197" s="10" t="s">
        <v>357</v>
      </c>
      <c r="C197" s="11">
        <v>0</v>
      </c>
      <c r="D197" s="11">
        <v>0</v>
      </c>
      <c r="E197" s="11">
        <v>0</v>
      </c>
      <c r="F197" s="11">
        <v>0</v>
      </c>
      <c r="G197" s="11">
        <v>0</v>
      </c>
      <c r="H197" s="14">
        <f t="shared" si="6"/>
        <v>0</v>
      </c>
      <c r="I197" s="14">
        <f t="shared" si="7"/>
        <v>0</v>
      </c>
      <c r="J197" s="8"/>
      <c r="K197" s="8"/>
    </row>
    <row r="198" spans="1:11" x14ac:dyDescent="0.2">
      <c r="A198" s="10">
        <v>54000000</v>
      </c>
      <c r="B198" s="10" t="s">
        <v>358</v>
      </c>
      <c r="C198" s="11">
        <v>0</v>
      </c>
      <c r="D198" s="11">
        <v>1178.046</v>
      </c>
      <c r="E198" s="11">
        <v>1178.046</v>
      </c>
      <c r="F198" s="11">
        <v>0</v>
      </c>
      <c r="G198" s="11">
        <v>0</v>
      </c>
      <c r="H198" s="14">
        <f t="shared" si="6"/>
        <v>0</v>
      </c>
      <c r="I198" s="14">
        <f t="shared" si="7"/>
        <v>0</v>
      </c>
      <c r="J198" s="8"/>
      <c r="K198" s="8"/>
    </row>
    <row r="199" spans="1:11" x14ac:dyDescent="0.2">
      <c r="A199" s="10">
        <v>54100000</v>
      </c>
      <c r="B199" s="10" t="s">
        <v>131</v>
      </c>
      <c r="C199" s="11">
        <v>0</v>
      </c>
      <c r="D199" s="11">
        <v>6391.8009999999995</v>
      </c>
      <c r="E199" s="11">
        <v>7827.6009999999997</v>
      </c>
      <c r="F199" s="11">
        <v>0</v>
      </c>
      <c r="G199" s="11">
        <v>0</v>
      </c>
      <c r="H199" s="14">
        <f t="shared" si="6"/>
        <v>-1435.8000000000002</v>
      </c>
      <c r="I199" s="14">
        <f t="shared" si="7"/>
        <v>-1435.8000000000002</v>
      </c>
      <c r="J199" s="8" t="s">
        <v>121</v>
      </c>
      <c r="K199" s="8"/>
    </row>
    <row r="200" spans="1:11" x14ac:dyDescent="0.2">
      <c r="A200" s="10">
        <v>54300000</v>
      </c>
      <c r="B200" s="10" t="s">
        <v>359</v>
      </c>
      <c r="C200" s="11">
        <v>0</v>
      </c>
      <c r="D200" s="11">
        <v>0</v>
      </c>
      <c r="E200" s="11">
        <v>0</v>
      </c>
      <c r="F200" s="11">
        <v>0</v>
      </c>
      <c r="G200" s="11">
        <v>0</v>
      </c>
      <c r="H200" s="14">
        <f t="shared" si="6"/>
        <v>0</v>
      </c>
      <c r="I200" s="14">
        <f t="shared" si="7"/>
        <v>0</v>
      </c>
      <c r="J200" s="8"/>
      <c r="K200" s="8"/>
    </row>
    <row r="201" spans="1:11" x14ac:dyDescent="0.2">
      <c r="A201" s="10">
        <v>55010000</v>
      </c>
      <c r="B201" s="10" t="s">
        <v>132</v>
      </c>
      <c r="C201" s="11">
        <v>3000</v>
      </c>
      <c r="D201" s="11">
        <v>0</v>
      </c>
      <c r="E201" s="11">
        <v>0</v>
      </c>
      <c r="F201" s="11">
        <v>0</v>
      </c>
      <c r="G201" s="11">
        <v>0</v>
      </c>
      <c r="H201" s="14">
        <f t="shared" si="6"/>
        <v>0</v>
      </c>
      <c r="I201" s="14">
        <f t="shared" si="7"/>
        <v>3000</v>
      </c>
      <c r="J201" s="8" t="s">
        <v>121</v>
      </c>
      <c r="K201" s="8"/>
    </row>
    <row r="202" spans="1:11" x14ac:dyDescent="0.2">
      <c r="A202" s="10">
        <v>55011000</v>
      </c>
      <c r="B202" s="10" t="s">
        <v>133</v>
      </c>
      <c r="C202" s="11">
        <v>0</v>
      </c>
      <c r="D202" s="11">
        <v>0</v>
      </c>
      <c r="E202" s="11">
        <v>0</v>
      </c>
      <c r="F202" s="11">
        <v>0</v>
      </c>
      <c r="G202" s="11">
        <v>0</v>
      </c>
      <c r="H202" s="14">
        <f t="shared" si="6"/>
        <v>0</v>
      </c>
      <c r="I202" s="14">
        <f t="shared" si="7"/>
        <v>0</v>
      </c>
      <c r="J202" s="8" t="s">
        <v>121</v>
      </c>
      <c r="K202" s="8"/>
    </row>
    <row r="203" spans="1:11" x14ac:dyDescent="0.2">
      <c r="A203" s="10">
        <v>58000000</v>
      </c>
      <c r="B203" s="10" t="s">
        <v>134</v>
      </c>
      <c r="C203" s="11">
        <v>0</v>
      </c>
      <c r="D203" s="11">
        <v>0</v>
      </c>
      <c r="E203" s="11">
        <v>0</v>
      </c>
      <c r="F203" s="11">
        <v>0</v>
      </c>
      <c r="G203" s="11">
        <v>0</v>
      </c>
      <c r="H203" s="14">
        <f t="shared" si="6"/>
        <v>0</v>
      </c>
      <c r="I203" s="14">
        <f t="shared" si="7"/>
        <v>0</v>
      </c>
      <c r="J203" s="8" t="s">
        <v>121</v>
      </c>
      <c r="K203" s="8"/>
    </row>
    <row r="204" spans="1:11" x14ac:dyDescent="0.2">
      <c r="A204" s="10">
        <v>58001000</v>
      </c>
      <c r="B204" s="10" t="s">
        <v>135</v>
      </c>
      <c r="C204" s="11">
        <v>-1.9999593496322632E-4</v>
      </c>
      <c r="D204" s="11">
        <v>0</v>
      </c>
      <c r="E204" s="11">
        <v>0</v>
      </c>
      <c r="F204" s="11">
        <v>0</v>
      </c>
      <c r="G204" s="11">
        <v>0</v>
      </c>
      <c r="H204" s="14">
        <f t="shared" si="6"/>
        <v>0</v>
      </c>
      <c r="I204" s="14">
        <f t="shared" si="7"/>
        <v>-1.9999593496322632E-4</v>
      </c>
      <c r="J204" s="8"/>
      <c r="K204" s="8"/>
    </row>
    <row r="205" spans="1:11" x14ac:dyDescent="0.2">
      <c r="A205" s="10">
        <v>58002000</v>
      </c>
      <c r="B205" s="10" t="s">
        <v>360</v>
      </c>
      <c r="C205" s="11">
        <v>0</v>
      </c>
      <c r="D205" s="11">
        <v>0</v>
      </c>
      <c r="E205" s="11">
        <v>0</v>
      </c>
      <c r="F205" s="11">
        <v>0</v>
      </c>
      <c r="G205" s="11">
        <v>0</v>
      </c>
      <c r="H205" s="14">
        <f t="shared" si="6"/>
        <v>0</v>
      </c>
      <c r="I205" s="14">
        <f t="shared" si="7"/>
        <v>0</v>
      </c>
      <c r="J205" s="8"/>
      <c r="K205" s="8"/>
    </row>
    <row r="206" spans="1:11" x14ac:dyDescent="0.2">
      <c r="A206" s="10">
        <v>58003000</v>
      </c>
      <c r="B206" s="10" t="s">
        <v>136</v>
      </c>
      <c r="C206" s="11">
        <v>1.0100007057189941E-4</v>
      </c>
      <c r="D206" s="11">
        <v>193636.61600000001</v>
      </c>
      <c r="E206" s="11">
        <v>193636.61600000001</v>
      </c>
      <c r="F206" s="11">
        <v>0</v>
      </c>
      <c r="G206" s="11">
        <v>0</v>
      </c>
      <c r="H206" s="14">
        <f t="shared" si="6"/>
        <v>0</v>
      </c>
      <c r="I206" s="14">
        <f t="shared" si="7"/>
        <v>1.0100007057189941E-4</v>
      </c>
      <c r="J206" s="8"/>
      <c r="K206" s="8"/>
    </row>
    <row r="207" spans="1:11" x14ac:dyDescent="0.2">
      <c r="A207" s="10">
        <v>58004000</v>
      </c>
      <c r="B207" s="10" t="s">
        <v>361</v>
      </c>
      <c r="C207" s="11">
        <v>0</v>
      </c>
      <c r="D207" s="11">
        <v>0</v>
      </c>
      <c r="E207" s="11">
        <v>0</v>
      </c>
      <c r="F207" s="11">
        <v>0</v>
      </c>
      <c r="G207" s="11">
        <v>0</v>
      </c>
      <c r="H207" s="14">
        <f t="shared" si="6"/>
        <v>0</v>
      </c>
      <c r="I207" s="14">
        <f t="shared" si="7"/>
        <v>0</v>
      </c>
      <c r="J207" s="8"/>
      <c r="K207" s="8"/>
    </row>
    <row r="208" spans="1:11" x14ac:dyDescent="0.2">
      <c r="A208" s="10">
        <v>58005000</v>
      </c>
      <c r="B208" s="10" t="s">
        <v>362</v>
      </c>
      <c r="C208" s="11">
        <v>3.8483738899230957E-4</v>
      </c>
      <c r="D208" s="11">
        <v>1519877.0589999999</v>
      </c>
      <c r="E208" s="11">
        <v>1519877.0589999999</v>
      </c>
      <c r="F208" s="11">
        <v>0</v>
      </c>
      <c r="G208" s="11">
        <v>0</v>
      </c>
      <c r="H208" s="14">
        <f t="shared" si="6"/>
        <v>0</v>
      </c>
      <c r="I208" s="14">
        <f t="shared" si="7"/>
        <v>3.8483738899230957E-4</v>
      </c>
      <c r="J208" s="8" t="s">
        <v>121</v>
      </c>
      <c r="K208" s="8"/>
    </row>
    <row r="209" spans="1:11" x14ac:dyDescent="0.2">
      <c r="A209" s="10">
        <v>60110210</v>
      </c>
      <c r="B209" s="10" t="s">
        <v>137</v>
      </c>
      <c r="C209" s="11">
        <v>1127732.934074</v>
      </c>
      <c r="D209" s="11">
        <v>140491.333679</v>
      </c>
      <c r="E209" s="11">
        <v>0</v>
      </c>
      <c r="F209" s="11">
        <v>0</v>
      </c>
      <c r="G209" s="11">
        <v>0</v>
      </c>
      <c r="H209" s="14">
        <f t="shared" si="6"/>
        <v>140491.333679</v>
      </c>
      <c r="I209" s="14">
        <f t="shared" si="7"/>
        <v>1268224.2677529999</v>
      </c>
      <c r="J209" s="8" t="s">
        <v>138</v>
      </c>
      <c r="K209" s="8" t="s">
        <v>509</v>
      </c>
    </row>
    <row r="210" spans="1:11" x14ac:dyDescent="0.2">
      <c r="A210" s="10">
        <v>60110211</v>
      </c>
      <c r="B210" s="10" t="s">
        <v>363</v>
      </c>
      <c r="C210" s="11">
        <v>166111.82666299999</v>
      </c>
      <c r="D210" s="11">
        <v>33064.805466500009</v>
      </c>
      <c r="E210" s="11">
        <v>0</v>
      </c>
      <c r="F210" s="11">
        <v>0</v>
      </c>
      <c r="G210" s="11">
        <v>0</v>
      </c>
      <c r="H210" s="14">
        <f t="shared" si="6"/>
        <v>33064.805466500009</v>
      </c>
      <c r="I210" s="14">
        <f t="shared" si="7"/>
        <v>199176.63212949998</v>
      </c>
      <c r="J210" s="8" t="s">
        <v>138</v>
      </c>
      <c r="K210" s="8" t="s">
        <v>509</v>
      </c>
    </row>
    <row r="211" spans="1:11" x14ac:dyDescent="0.2">
      <c r="A211" s="10">
        <v>60110212</v>
      </c>
      <c r="B211" s="10" t="s">
        <v>7391</v>
      </c>
      <c r="C211" s="11">
        <v>32887.72</v>
      </c>
      <c r="D211" s="11">
        <v>0</v>
      </c>
      <c r="E211" s="11">
        <v>0</v>
      </c>
      <c r="F211" s="11">
        <v>0</v>
      </c>
      <c r="G211" s="11">
        <v>0</v>
      </c>
      <c r="H211" s="14">
        <f t="shared" si="6"/>
        <v>0</v>
      </c>
      <c r="I211" s="14">
        <f t="shared" si="7"/>
        <v>32887.72</v>
      </c>
      <c r="J211" s="8" t="s">
        <v>138</v>
      </c>
      <c r="K211" s="8" t="s">
        <v>509</v>
      </c>
    </row>
    <row r="212" spans="1:11" x14ac:dyDescent="0.2">
      <c r="A212" s="10">
        <v>60110213</v>
      </c>
      <c r="B212" s="10" t="s">
        <v>364</v>
      </c>
      <c r="C212" s="11">
        <v>6060</v>
      </c>
      <c r="D212" s="11">
        <v>0</v>
      </c>
      <c r="E212" s="11">
        <v>0</v>
      </c>
      <c r="F212" s="11">
        <v>0</v>
      </c>
      <c r="G212" s="11">
        <v>0</v>
      </c>
      <c r="H212" s="14">
        <f t="shared" si="6"/>
        <v>0</v>
      </c>
      <c r="I212" s="14">
        <f t="shared" si="7"/>
        <v>6060</v>
      </c>
      <c r="J212" s="8" t="s">
        <v>138</v>
      </c>
      <c r="K212" s="8" t="s">
        <v>509</v>
      </c>
    </row>
    <row r="213" spans="1:11" x14ac:dyDescent="0.2">
      <c r="A213" s="10">
        <v>60110220</v>
      </c>
      <c r="B213" s="10" t="s">
        <v>139</v>
      </c>
      <c r="C213" s="11">
        <v>1516113.8326814997</v>
      </c>
      <c r="D213" s="11">
        <v>228744.3195825</v>
      </c>
      <c r="E213" s="11">
        <v>0</v>
      </c>
      <c r="F213" s="11">
        <v>0</v>
      </c>
      <c r="G213" s="11">
        <v>0</v>
      </c>
      <c r="H213" s="14">
        <f t="shared" si="6"/>
        <v>228744.3195825</v>
      </c>
      <c r="I213" s="14">
        <f t="shared" si="7"/>
        <v>1744858.1522639997</v>
      </c>
      <c r="J213" s="8" t="s">
        <v>138</v>
      </c>
      <c r="K213" s="8" t="s">
        <v>509</v>
      </c>
    </row>
    <row r="214" spans="1:11" x14ac:dyDescent="0.2">
      <c r="A214" s="10">
        <v>60110300</v>
      </c>
      <c r="B214" s="10" t="s">
        <v>140</v>
      </c>
      <c r="C214" s="11">
        <v>121081.55767499999</v>
      </c>
      <c r="D214" s="11">
        <v>14248.9014475</v>
      </c>
      <c r="E214" s="11">
        <v>0</v>
      </c>
      <c r="F214" s="11">
        <v>0</v>
      </c>
      <c r="G214" s="11">
        <v>0</v>
      </c>
      <c r="H214" s="14">
        <f t="shared" si="6"/>
        <v>14248.9014475</v>
      </c>
      <c r="I214" s="14">
        <f t="shared" si="7"/>
        <v>135330.45912249997</v>
      </c>
      <c r="J214" s="8" t="s">
        <v>138</v>
      </c>
      <c r="K214" s="8" t="s">
        <v>509</v>
      </c>
    </row>
    <row r="215" spans="1:11" x14ac:dyDescent="0.2">
      <c r="A215" s="10">
        <v>60110310</v>
      </c>
      <c r="B215" s="10" t="s">
        <v>141</v>
      </c>
      <c r="C215" s="11">
        <v>66928.86</v>
      </c>
      <c r="D215" s="11">
        <v>36427.949999999997</v>
      </c>
      <c r="E215" s="11">
        <v>0</v>
      </c>
      <c r="F215" s="11">
        <v>0</v>
      </c>
      <c r="G215" s="11">
        <v>0</v>
      </c>
      <c r="H215" s="14">
        <f t="shared" si="6"/>
        <v>36427.949999999997</v>
      </c>
      <c r="I215" s="14">
        <f t="shared" si="7"/>
        <v>103356.81</v>
      </c>
      <c r="J215" s="8" t="s">
        <v>138</v>
      </c>
      <c r="K215" s="8" t="s">
        <v>509</v>
      </c>
    </row>
    <row r="216" spans="1:11" x14ac:dyDescent="0.2">
      <c r="A216" s="10">
        <v>60110320</v>
      </c>
      <c r="B216" s="10" t="s">
        <v>142</v>
      </c>
      <c r="C216" s="11">
        <v>60316.139838000003</v>
      </c>
      <c r="D216" s="11">
        <v>0</v>
      </c>
      <c r="E216" s="11">
        <v>0</v>
      </c>
      <c r="F216" s="11">
        <v>0</v>
      </c>
      <c r="G216" s="11">
        <v>0</v>
      </c>
      <c r="H216" s="14">
        <f t="shared" si="6"/>
        <v>0</v>
      </c>
      <c r="I216" s="14">
        <f t="shared" si="7"/>
        <v>60316.139838000003</v>
      </c>
      <c r="J216" s="8" t="s">
        <v>138</v>
      </c>
      <c r="K216" s="8" t="s">
        <v>509</v>
      </c>
    </row>
    <row r="217" spans="1:11" x14ac:dyDescent="0.2">
      <c r="A217" s="10">
        <v>60110330</v>
      </c>
      <c r="B217" s="10" t="s">
        <v>143</v>
      </c>
      <c r="C217" s="11">
        <v>42121.61220000001</v>
      </c>
      <c r="D217" s="11">
        <v>0</v>
      </c>
      <c r="E217" s="11">
        <v>0</v>
      </c>
      <c r="F217" s="11">
        <v>0</v>
      </c>
      <c r="G217" s="11">
        <v>0</v>
      </c>
      <c r="H217" s="14">
        <f t="shared" si="6"/>
        <v>0</v>
      </c>
      <c r="I217" s="14">
        <f t="shared" si="7"/>
        <v>42121.61220000001</v>
      </c>
      <c r="J217" s="8" t="s">
        <v>138</v>
      </c>
      <c r="K217" s="8" t="s">
        <v>509</v>
      </c>
    </row>
    <row r="218" spans="1:11" x14ac:dyDescent="0.2">
      <c r="A218" s="10">
        <v>60110350</v>
      </c>
      <c r="B218" s="10" t="s">
        <v>261</v>
      </c>
      <c r="C218" s="11">
        <v>5382.0619999999999</v>
      </c>
      <c r="D218" s="11">
        <v>0</v>
      </c>
      <c r="E218" s="11">
        <v>0</v>
      </c>
      <c r="F218" s="11">
        <v>0</v>
      </c>
      <c r="G218" s="11">
        <v>0</v>
      </c>
      <c r="H218" s="14">
        <f t="shared" si="6"/>
        <v>0</v>
      </c>
      <c r="I218" s="14">
        <f t="shared" si="7"/>
        <v>5382.0619999999999</v>
      </c>
      <c r="J218" s="8" t="s">
        <v>138</v>
      </c>
      <c r="K218" s="8" t="s">
        <v>509</v>
      </c>
    </row>
    <row r="219" spans="1:11" x14ac:dyDescent="0.2">
      <c r="A219" s="10">
        <v>60110400</v>
      </c>
      <c r="B219" s="10" t="s">
        <v>7392</v>
      </c>
      <c r="C219" s="11">
        <v>1573.3437999999999</v>
      </c>
      <c r="D219" s="11">
        <v>0</v>
      </c>
      <c r="E219" s="11">
        <v>0</v>
      </c>
      <c r="F219" s="11">
        <v>0</v>
      </c>
      <c r="G219" s="11">
        <v>0</v>
      </c>
      <c r="H219" s="14">
        <f t="shared" si="6"/>
        <v>0</v>
      </c>
      <c r="I219" s="14">
        <f t="shared" si="7"/>
        <v>1573.3437999999999</v>
      </c>
      <c r="J219" s="8" t="s">
        <v>138</v>
      </c>
      <c r="K219" s="8" t="s">
        <v>509</v>
      </c>
    </row>
    <row r="220" spans="1:11" x14ac:dyDescent="0.2">
      <c r="A220" s="10">
        <v>60110500</v>
      </c>
      <c r="B220" s="10" t="s">
        <v>144</v>
      </c>
      <c r="C220" s="11">
        <v>16945.810000000001</v>
      </c>
      <c r="D220" s="11">
        <v>0</v>
      </c>
      <c r="E220" s="11">
        <v>0</v>
      </c>
      <c r="F220" s="11">
        <v>0</v>
      </c>
      <c r="G220" s="11">
        <v>0</v>
      </c>
      <c r="H220" s="14">
        <f t="shared" si="6"/>
        <v>0</v>
      </c>
      <c r="I220" s="14">
        <f t="shared" si="7"/>
        <v>16945.810000000001</v>
      </c>
      <c r="J220" s="8" t="s">
        <v>138</v>
      </c>
      <c r="K220" s="8" t="s">
        <v>509</v>
      </c>
    </row>
    <row r="221" spans="1:11" x14ac:dyDescent="0.2">
      <c r="A221" s="10">
        <v>60110600</v>
      </c>
      <c r="B221" s="10" t="s">
        <v>145</v>
      </c>
      <c r="C221" s="11">
        <v>23819.777999999998</v>
      </c>
      <c r="D221" s="11">
        <v>0</v>
      </c>
      <c r="E221" s="11">
        <v>0</v>
      </c>
      <c r="F221" s="11">
        <v>0</v>
      </c>
      <c r="G221" s="11">
        <v>0</v>
      </c>
      <c r="H221" s="14">
        <f t="shared" si="6"/>
        <v>0</v>
      </c>
      <c r="I221" s="14">
        <f t="shared" si="7"/>
        <v>23819.777999999998</v>
      </c>
      <c r="J221" s="8" t="s">
        <v>138</v>
      </c>
      <c r="K221" s="8" t="s">
        <v>509</v>
      </c>
    </row>
    <row r="222" spans="1:11" x14ac:dyDescent="0.2">
      <c r="A222" s="10">
        <v>60110700</v>
      </c>
      <c r="B222" s="10" t="s">
        <v>146</v>
      </c>
      <c r="C222" s="11">
        <v>13245.797</v>
      </c>
      <c r="D222" s="11">
        <v>0</v>
      </c>
      <c r="E222" s="11">
        <v>0</v>
      </c>
      <c r="F222" s="11">
        <v>0</v>
      </c>
      <c r="G222" s="11">
        <v>0</v>
      </c>
      <c r="H222" s="14">
        <f t="shared" si="6"/>
        <v>0</v>
      </c>
      <c r="I222" s="14">
        <f t="shared" si="7"/>
        <v>13245.797</v>
      </c>
      <c r="J222" s="8" t="s">
        <v>138</v>
      </c>
      <c r="K222" s="8" t="s">
        <v>509</v>
      </c>
    </row>
    <row r="223" spans="1:11" x14ac:dyDescent="0.2">
      <c r="A223" s="10">
        <v>60110900</v>
      </c>
      <c r="B223" s="10" t="s">
        <v>147</v>
      </c>
      <c r="C223" s="11">
        <v>326574.005</v>
      </c>
      <c r="D223" s="11">
        <v>39982.264999999999</v>
      </c>
      <c r="E223" s="11">
        <v>6550.42</v>
      </c>
      <c r="F223" s="11">
        <v>7938.8530000000001</v>
      </c>
      <c r="G223" s="11">
        <v>8271.9</v>
      </c>
      <c r="H223" s="14">
        <f t="shared" si="6"/>
        <v>33098.798000000003</v>
      </c>
      <c r="I223" s="14">
        <f t="shared" si="7"/>
        <v>359672.80300000001</v>
      </c>
      <c r="J223" s="8" t="s">
        <v>138</v>
      </c>
      <c r="K223" s="8" t="s">
        <v>509</v>
      </c>
    </row>
    <row r="224" spans="1:11" x14ac:dyDescent="0.2">
      <c r="A224" s="10">
        <v>60111000</v>
      </c>
      <c r="B224" s="10" t="s">
        <v>148</v>
      </c>
      <c r="C224" s="11">
        <v>14931.648999999999</v>
      </c>
      <c r="D224" s="11">
        <v>0</v>
      </c>
      <c r="E224" s="11">
        <v>0</v>
      </c>
      <c r="F224" s="11">
        <v>0</v>
      </c>
      <c r="G224" s="11">
        <v>0</v>
      </c>
      <c r="H224" s="14">
        <f t="shared" si="6"/>
        <v>0</v>
      </c>
      <c r="I224" s="14">
        <f t="shared" si="7"/>
        <v>14931.648999999999</v>
      </c>
      <c r="J224" s="8" t="s">
        <v>138</v>
      </c>
      <c r="K224" s="8" t="s">
        <v>509</v>
      </c>
    </row>
    <row r="225" spans="1:11" x14ac:dyDescent="0.2">
      <c r="A225" s="10">
        <v>60111010</v>
      </c>
      <c r="B225" s="10" t="s">
        <v>393</v>
      </c>
      <c r="C225" s="11">
        <v>1838.2</v>
      </c>
      <c r="D225" s="11">
        <v>404</v>
      </c>
      <c r="E225" s="11">
        <v>0</v>
      </c>
      <c r="F225" s="11">
        <v>0</v>
      </c>
      <c r="G225" s="11">
        <v>0</v>
      </c>
      <c r="H225" s="14">
        <f t="shared" si="6"/>
        <v>404</v>
      </c>
      <c r="I225" s="14">
        <f t="shared" si="7"/>
        <v>2242.1999999999998</v>
      </c>
      <c r="J225" s="8" t="s">
        <v>138</v>
      </c>
      <c r="K225" s="8" t="s">
        <v>509</v>
      </c>
    </row>
    <row r="226" spans="1:11" x14ac:dyDescent="0.2">
      <c r="A226" s="10">
        <v>60120100</v>
      </c>
      <c r="B226" s="10" t="s">
        <v>149</v>
      </c>
      <c r="C226" s="11">
        <v>1232111.9847500001</v>
      </c>
      <c r="D226" s="11">
        <v>0</v>
      </c>
      <c r="E226" s="11">
        <v>0</v>
      </c>
      <c r="F226" s="11">
        <v>0</v>
      </c>
      <c r="G226" s="11">
        <v>0</v>
      </c>
      <c r="H226" s="14">
        <f t="shared" si="6"/>
        <v>0</v>
      </c>
      <c r="I226" s="14">
        <f t="shared" si="7"/>
        <v>1232111.9847500001</v>
      </c>
      <c r="J226" s="8" t="s">
        <v>138</v>
      </c>
      <c r="K226" s="8" t="s">
        <v>509</v>
      </c>
    </row>
    <row r="227" spans="1:11" x14ac:dyDescent="0.2">
      <c r="A227" s="10">
        <v>60120300</v>
      </c>
      <c r="B227" s="10" t="s">
        <v>150</v>
      </c>
      <c r="C227" s="11">
        <v>6569351.0399999991</v>
      </c>
      <c r="D227" s="11">
        <v>799545</v>
      </c>
      <c r="E227" s="11">
        <v>0</v>
      </c>
      <c r="F227" s="11">
        <v>110034</v>
      </c>
      <c r="G227" s="11">
        <v>104767.8</v>
      </c>
      <c r="H227" s="14">
        <f t="shared" si="6"/>
        <v>804811.2</v>
      </c>
      <c r="I227" s="14">
        <f t="shared" si="7"/>
        <v>7374162.2399999993</v>
      </c>
      <c r="J227" s="8" t="s">
        <v>138</v>
      </c>
      <c r="K227" s="8" t="s">
        <v>509</v>
      </c>
    </row>
    <row r="228" spans="1:11" x14ac:dyDescent="0.2">
      <c r="A228" s="10">
        <v>60120400</v>
      </c>
      <c r="B228" s="10" t="s">
        <v>365</v>
      </c>
      <c r="C228" s="11">
        <v>1063847.71</v>
      </c>
      <c r="D228" s="11">
        <v>0</v>
      </c>
      <c r="E228" s="11">
        <v>0</v>
      </c>
      <c r="F228" s="11">
        <v>33544.5</v>
      </c>
      <c r="G228" s="11">
        <v>0</v>
      </c>
      <c r="H228" s="14">
        <f t="shared" si="6"/>
        <v>33544.5</v>
      </c>
      <c r="I228" s="14">
        <f t="shared" si="7"/>
        <v>1097392.21</v>
      </c>
      <c r="J228" s="8" t="s">
        <v>138</v>
      </c>
      <c r="K228" s="8" t="s">
        <v>509</v>
      </c>
    </row>
    <row r="229" spans="1:11" x14ac:dyDescent="0.2">
      <c r="A229" s="10">
        <v>60120800</v>
      </c>
      <c r="B229" s="10" t="s">
        <v>151</v>
      </c>
      <c r="C229" s="11">
        <v>117226.5</v>
      </c>
      <c r="D229" s="11">
        <v>0</v>
      </c>
      <c r="E229" s="11">
        <v>0</v>
      </c>
      <c r="F229" s="11">
        <v>0</v>
      </c>
      <c r="G229" s="11">
        <v>0</v>
      </c>
      <c r="H229" s="14">
        <f t="shared" si="6"/>
        <v>0</v>
      </c>
      <c r="I229" s="14">
        <f t="shared" si="7"/>
        <v>117226.5</v>
      </c>
      <c r="J229" s="8" t="s">
        <v>138</v>
      </c>
      <c r="K229" s="8" t="s">
        <v>509</v>
      </c>
    </row>
    <row r="230" spans="1:11" x14ac:dyDescent="0.2">
      <c r="A230" s="10">
        <v>60120900</v>
      </c>
      <c r="B230" s="10" t="s">
        <v>7393</v>
      </c>
      <c r="C230" s="11">
        <v>94863.352245000002</v>
      </c>
      <c r="D230" s="11">
        <v>0</v>
      </c>
      <c r="E230" s="11">
        <v>0</v>
      </c>
      <c r="F230" s="11">
        <v>0</v>
      </c>
      <c r="G230" s="11">
        <v>0</v>
      </c>
      <c r="H230" s="14">
        <f t="shared" si="6"/>
        <v>0</v>
      </c>
      <c r="I230" s="14">
        <f t="shared" si="7"/>
        <v>94863.352245000002</v>
      </c>
      <c r="J230" s="8" t="s">
        <v>138</v>
      </c>
      <c r="K230" s="8" t="s">
        <v>509</v>
      </c>
    </row>
    <row r="231" spans="1:11" x14ac:dyDescent="0.2">
      <c r="A231" s="10">
        <v>60121010</v>
      </c>
      <c r="B231" s="10" t="s">
        <v>152</v>
      </c>
      <c r="C231" s="11">
        <v>4551044.5218819994</v>
      </c>
      <c r="D231" s="11">
        <v>0</v>
      </c>
      <c r="E231" s="11">
        <v>0</v>
      </c>
      <c r="F231" s="11">
        <v>0</v>
      </c>
      <c r="G231" s="11">
        <v>0</v>
      </c>
      <c r="H231" s="14">
        <f t="shared" si="6"/>
        <v>0</v>
      </c>
      <c r="I231" s="14">
        <f t="shared" si="7"/>
        <v>4551044.5218819994</v>
      </c>
      <c r="J231" s="8" t="s">
        <v>138</v>
      </c>
      <c r="K231" s="8" t="s">
        <v>509</v>
      </c>
    </row>
    <row r="232" spans="1:11" x14ac:dyDescent="0.2">
      <c r="A232" s="10">
        <v>60121031</v>
      </c>
      <c r="B232" s="10" t="s">
        <v>394</v>
      </c>
      <c r="C232" s="11">
        <v>57118.901000000005</v>
      </c>
      <c r="D232" s="11">
        <v>0</v>
      </c>
      <c r="E232" s="11">
        <v>0</v>
      </c>
      <c r="F232" s="11">
        <v>0</v>
      </c>
      <c r="G232" s="11">
        <v>0</v>
      </c>
      <c r="H232" s="14">
        <f t="shared" si="6"/>
        <v>0</v>
      </c>
      <c r="I232" s="14">
        <f t="shared" si="7"/>
        <v>57118.901000000005</v>
      </c>
      <c r="J232" s="8" t="s">
        <v>138</v>
      </c>
      <c r="K232" s="8" t="s">
        <v>509</v>
      </c>
    </row>
    <row r="233" spans="1:11" x14ac:dyDescent="0.2">
      <c r="A233" s="10">
        <v>60121032</v>
      </c>
      <c r="B233" s="10" t="s">
        <v>8973</v>
      </c>
      <c r="C233" s="11">
        <v>9936.5</v>
      </c>
      <c r="D233" s="11">
        <v>0</v>
      </c>
      <c r="E233" s="11">
        <v>0</v>
      </c>
      <c r="F233" s="11">
        <v>0</v>
      </c>
      <c r="G233" s="11">
        <v>0</v>
      </c>
      <c r="H233" s="14">
        <f t="shared" si="6"/>
        <v>0</v>
      </c>
      <c r="I233" s="14">
        <f t="shared" si="7"/>
        <v>9936.5</v>
      </c>
      <c r="J233" s="8" t="s">
        <v>138</v>
      </c>
      <c r="K233" s="8" t="s">
        <v>509</v>
      </c>
    </row>
    <row r="234" spans="1:11" x14ac:dyDescent="0.2">
      <c r="A234" s="10">
        <v>60121033</v>
      </c>
      <c r="B234" s="10" t="s">
        <v>7718</v>
      </c>
      <c r="C234" s="11">
        <v>10793.589749999999</v>
      </c>
      <c r="D234" s="11">
        <v>0</v>
      </c>
      <c r="E234" s="11">
        <v>0</v>
      </c>
      <c r="F234" s="11">
        <v>0</v>
      </c>
      <c r="G234" s="11">
        <v>0</v>
      </c>
      <c r="H234" s="14">
        <f t="shared" si="6"/>
        <v>0</v>
      </c>
      <c r="I234" s="14">
        <f t="shared" si="7"/>
        <v>10793.589749999999</v>
      </c>
      <c r="J234" s="8" t="s">
        <v>138</v>
      </c>
      <c r="K234" s="8" t="s">
        <v>509</v>
      </c>
    </row>
    <row r="235" spans="1:11" x14ac:dyDescent="0.2">
      <c r="A235" s="10">
        <v>60121035</v>
      </c>
      <c r="B235" s="10" t="s">
        <v>395</v>
      </c>
      <c r="C235" s="11">
        <v>1384.326</v>
      </c>
      <c r="D235" s="11">
        <v>0</v>
      </c>
      <c r="E235" s="11">
        <v>0</v>
      </c>
      <c r="F235" s="11">
        <v>0</v>
      </c>
      <c r="G235" s="11">
        <v>0</v>
      </c>
      <c r="H235" s="14">
        <f t="shared" si="6"/>
        <v>0</v>
      </c>
      <c r="I235" s="14">
        <f t="shared" si="7"/>
        <v>1384.326</v>
      </c>
      <c r="J235" s="8" t="s">
        <v>138</v>
      </c>
      <c r="K235" s="8" t="s">
        <v>509</v>
      </c>
    </row>
    <row r="236" spans="1:11" x14ac:dyDescent="0.2">
      <c r="A236" s="10">
        <v>60121036</v>
      </c>
      <c r="B236" s="10" t="s">
        <v>7394</v>
      </c>
      <c r="C236" s="11">
        <v>576.17600000000004</v>
      </c>
      <c r="D236" s="11">
        <v>200</v>
      </c>
      <c r="E236" s="11">
        <v>0</v>
      </c>
      <c r="F236" s="11">
        <v>0</v>
      </c>
      <c r="G236" s="11">
        <v>0</v>
      </c>
      <c r="H236" s="14">
        <f t="shared" si="6"/>
        <v>200</v>
      </c>
      <c r="I236" s="14">
        <f t="shared" si="7"/>
        <v>776.17600000000004</v>
      </c>
      <c r="J236" s="8" t="s">
        <v>138</v>
      </c>
      <c r="K236" s="8" t="s">
        <v>509</v>
      </c>
    </row>
    <row r="237" spans="1:11" x14ac:dyDescent="0.2">
      <c r="A237" s="10">
        <v>60121040</v>
      </c>
      <c r="B237" s="10" t="s">
        <v>7720</v>
      </c>
      <c r="C237" s="11">
        <v>168116.4</v>
      </c>
      <c r="D237" s="11">
        <v>0</v>
      </c>
      <c r="E237" s="11">
        <v>0</v>
      </c>
      <c r="F237" s="11">
        <v>0</v>
      </c>
      <c r="G237" s="11">
        <v>0</v>
      </c>
      <c r="H237" s="14">
        <f t="shared" si="6"/>
        <v>0</v>
      </c>
      <c r="I237" s="14">
        <f t="shared" si="7"/>
        <v>168116.4</v>
      </c>
      <c r="J237" s="8" t="s">
        <v>138</v>
      </c>
      <c r="K237" s="8" t="s">
        <v>509</v>
      </c>
    </row>
    <row r="238" spans="1:11" x14ac:dyDescent="0.2">
      <c r="A238" s="10">
        <v>60121200</v>
      </c>
      <c r="B238" s="10" t="s">
        <v>7395</v>
      </c>
      <c r="C238" s="11">
        <v>1435</v>
      </c>
      <c r="D238" s="11">
        <v>0</v>
      </c>
      <c r="E238" s="11">
        <v>0</v>
      </c>
      <c r="F238" s="11">
        <v>0</v>
      </c>
      <c r="G238" s="11">
        <v>0</v>
      </c>
      <c r="H238" s="14">
        <f t="shared" si="6"/>
        <v>0</v>
      </c>
      <c r="I238" s="14">
        <f t="shared" si="7"/>
        <v>1435</v>
      </c>
      <c r="J238" s="8" t="s">
        <v>138</v>
      </c>
      <c r="K238" s="8" t="s">
        <v>509</v>
      </c>
    </row>
    <row r="239" spans="1:11" x14ac:dyDescent="0.2">
      <c r="A239" s="10">
        <v>60121210</v>
      </c>
      <c r="B239" s="10" t="s">
        <v>7400</v>
      </c>
      <c r="C239" s="11">
        <v>65626.954710499995</v>
      </c>
      <c r="D239" s="11">
        <v>0</v>
      </c>
      <c r="E239" s="11">
        <v>0</v>
      </c>
      <c r="F239" s="11">
        <v>0</v>
      </c>
      <c r="G239" s="11">
        <v>0</v>
      </c>
      <c r="H239" s="14">
        <f t="shared" si="6"/>
        <v>0</v>
      </c>
      <c r="I239" s="14">
        <f t="shared" si="7"/>
        <v>65626.954710499995</v>
      </c>
      <c r="J239" s="8" t="s">
        <v>138</v>
      </c>
      <c r="K239" s="8" t="s">
        <v>509</v>
      </c>
    </row>
    <row r="240" spans="1:11" x14ac:dyDescent="0.2">
      <c r="A240" s="10">
        <v>60121400</v>
      </c>
      <c r="B240" s="10" t="s">
        <v>7570</v>
      </c>
      <c r="C240" s="11">
        <v>38966.399999999994</v>
      </c>
      <c r="D240" s="11">
        <v>0</v>
      </c>
      <c r="E240" s="11">
        <v>0</v>
      </c>
      <c r="F240" s="11">
        <v>0</v>
      </c>
      <c r="G240" s="11">
        <v>0</v>
      </c>
      <c r="H240" s="14">
        <f t="shared" si="6"/>
        <v>0</v>
      </c>
      <c r="I240" s="14">
        <f t="shared" si="7"/>
        <v>38966.399999999994</v>
      </c>
      <c r="J240" s="8" t="s">
        <v>138</v>
      </c>
      <c r="K240" s="8" t="s">
        <v>509</v>
      </c>
    </row>
    <row r="241" spans="1:11" x14ac:dyDescent="0.2">
      <c r="A241" s="10">
        <v>60121500</v>
      </c>
      <c r="B241" s="10" t="s">
        <v>404</v>
      </c>
      <c r="C241" s="11">
        <v>61072.5</v>
      </c>
      <c r="D241" s="11">
        <v>54000</v>
      </c>
      <c r="E241" s="11">
        <v>0</v>
      </c>
      <c r="F241" s="11">
        <v>0</v>
      </c>
      <c r="G241" s="11">
        <v>0</v>
      </c>
      <c r="H241" s="14">
        <f t="shared" si="6"/>
        <v>54000</v>
      </c>
      <c r="I241" s="14">
        <f t="shared" si="7"/>
        <v>115072.5</v>
      </c>
      <c r="J241" s="8" t="s">
        <v>138</v>
      </c>
      <c r="K241" s="8" t="s">
        <v>509</v>
      </c>
    </row>
    <row r="242" spans="1:11" x14ac:dyDescent="0.2">
      <c r="A242" s="10">
        <v>60121600</v>
      </c>
      <c r="B242" s="10" t="s">
        <v>154</v>
      </c>
      <c r="C242" s="11">
        <v>375781.2</v>
      </c>
      <c r="D242" s="11">
        <v>59820</v>
      </c>
      <c r="E242" s="11">
        <v>0</v>
      </c>
      <c r="F242" s="11">
        <v>0</v>
      </c>
      <c r="G242" s="11">
        <v>0</v>
      </c>
      <c r="H242" s="14">
        <f t="shared" si="6"/>
        <v>59820</v>
      </c>
      <c r="I242" s="14">
        <f t="shared" si="7"/>
        <v>435601.2</v>
      </c>
      <c r="J242" s="8" t="s">
        <v>138</v>
      </c>
      <c r="K242" s="8" t="s">
        <v>509</v>
      </c>
    </row>
    <row r="243" spans="1:11" x14ac:dyDescent="0.2">
      <c r="A243" s="10">
        <v>60121900</v>
      </c>
      <c r="B243" s="10" t="s">
        <v>7568</v>
      </c>
      <c r="C243" s="11">
        <v>78280</v>
      </c>
      <c r="D243" s="11">
        <v>0</v>
      </c>
      <c r="E243" s="11">
        <v>0</v>
      </c>
      <c r="F243" s="11">
        <v>0</v>
      </c>
      <c r="G243" s="11">
        <v>0</v>
      </c>
      <c r="H243" s="14">
        <f t="shared" si="6"/>
        <v>0</v>
      </c>
      <c r="I243" s="14">
        <f t="shared" si="7"/>
        <v>78280</v>
      </c>
      <c r="J243" s="8" t="s">
        <v>138</v>
      </c>
      <c r="K243" s="8" t="s">
        <v>509</v>
      </c>
    </row>
    <row r="244" spans="1:11" x14ac:dyDescent="0.2">
      <c r="A244" s="10">
        <v>60122100</v>
      </c>
      <c r="B244" s="10" t="s">
        <v>155</v>
      </c>
      <c r="C244" s="11">
        <v>155349.20000000001</v>
      </c>
      <c r="D244" s="11">
        <v>0</v>
      </c>
      <c r="E244" s="11">
        <v>0</v>
      </c>
      <c r="F244" s="11">
        <v>0</v>
      </c>
      <c r="G244" s="11">
        <v>0</v>
      </c>
      <c r="H244" s="14">
        <f t="shared" si="6"/>
        <v>0</v>
      </c>
      <c r="I244" s="14">
        <f t="shared" si="7"/>
        <v>155349.20000000001</v>
      </c>
      <c r="J244" s="8" t="s">
        <v>138</v>
      </c>
      <c r="K244" s="8" t="s">
        <v>509</v>
      </c>
    </row>
    <row r="245" spans="1:11" x14ac:dyDescent="0.2">
      <c r="A245" s="10">
        <v>60122200</v>
      </c>
      <c r="B245" s="10" t="s">
        <v>156</v>
      </c>
      <c r="C245" s="11">
        <v>70694.107000000004</v>
      </c>
      <c r="D245" s="11">
        <v>15888.6</v>
      </c>
      <c r="E245" s="11">
        <v>0</v>
      </c>
      <c r="F245" s="11">
        <v>0</v>
      </c>
      <c r="G245" s="11">
        <v>0</v>
      </c>
      <c r="H245" s="14">
        <f t="shared" si="6"/>
        <v>15888.6</v>
      </c>
      <c r="I245" s="14">
        <f t="shared" si="7"/>
        <v>86582.707000000009</v>
      </c>
      <c r="J245" s="8" t="s">
        <v>138</v>
      </c>
      <c r="K245" s="8" t="s">
        <v>509</v>
      </c>
    </row>
    <row r="246" spans="1:11" x14ac:dyDescent="0.2">
      <c r="A246" s="10">
        <v>60122400</v>
      </c>
      <c r="B246" s="10" t="s">
        <v>7396</v>
      </c>
      <c r="C246" s="11">
        <v>19151.856</v>
      </c>
      <c r="D246" s="11">
        <v>9696.8160000000007</v>
      </c>
      <c r="E246" s="11">
        <v>0</v>
      </c>
      <c r="F246" s="11">
        <v>0</v>
      </c>
      <c r="G246" s="11">
        <v>0</v>
      </c>
      <c r="H246" s="14">
        <f t="shared" si="6"/>
        <v>9696.8160000000007</v>
      </c>
      <c r="I246" s="14">
        <f t="shared" si="7"/>
        <v>28848.671999999999</v>
      </c>
      <c r="J246" s="8" t="s">
        <v>138</v>
      </c>
      <c r="K246" s="8" t="s">
        <v>509</v>
      </c>
    </row>
    <row r="247" spans="1:11" x14ac:dyDescent="0.2">
      <c r="A247" s="10">
        <v>60122410</v>
      </c>
      <c r="B247" s="10" t="s">
        <v>366</v>
      </c>
      <c r="C247" s="11">
        <v>5050</v>
      </c>
      <c r="D247" s="11">
        <v>0</v>
      </c>
      <c r="E247" s="11">
        <v>0</v>
      </c>
      <c r="F247" s="11">
        <v>0</v>
      </c>
      <c r="G247" s="11">
        <v>0</v>
      </c>
      <c r="H247" s="14">
        <f t="shared" si="6"/>
        <v>0</v>
      </c>
      <c r="I247" s="14">
        <f t="shared" si="7"/>
        <v>5050</v>
      </c>
      <c r="J247" s="8" t="s">
        <v>138</v>
      </c>
      <c r="K247" s="8" t="s">
        <v>509</v>
      </c>
    </row>
    <row r="248" spans="1:11" x14ac:dyDescent="0.2">
      <c r="A248" s="10">
        <v>60122411</v>
      </c>
      <c r="B248" s="10" t="s">
        <v>367</v>
      </c>
      <c r="C248" s="11">
        <v>37552.199999999997</v>
      </c>
      <c r="D248" s="11">
        <v>0</v>
      </c>
      <c r="E248" s="11">
        <v>0</v>
      </c>
      <c r="F248" s="11">
        <v>465.1</v>
      </c>
      <c r="G248" s="11">
        <v>465.1</v>
      </c>
      <c r="H248" s="14">
        <f t="shared" si="6"/>
        <v>0</v>
      </c>
      <c r="I248" s="14">
        <f t="shared" si="7"/>
        <v>37552.199999999997</v>
      </c>
      <c r="J248" s="8" t="s">
        <v>138</v>
      </c>
      <c r="K248" s="8" t="s">
        <v>509</v>
      </c>
    </row>
    <row r="249" spans="1:11" x14ac:dyDescent="0.2">
      <c r="A249" s="10">
        <v>60122510</v>
      </c>
      <c r="B249" s="10" t="s">
        <v>368</v>
      </c>
      <c r="C249" s="11">
        <v>25623.022000000001</v>
      </c>
      <c r="D249" s="11">
        <v>3297.8</v>
      </c>
      <c r="E249" s="11">
        <v>0</v>
      </c>
      <c r="F249" s="11">
        <v>0</v>
      </c>
      <c r="G249" s="11">
        <v>0</v>
      </c>
      <c r="H249" s="14">
        <f t="shared" si="6"/>
        <v>3297.8</v>
      </c>
      <c r="I249" s="14">
        <f t="shared" si="7"/>
        <v>28920.822</v>
      </c>
      <c r="J249" s="8" t="s">
        <v>138</v>
      </c>
      <c r="K249" s="8" t="s">
        <v>509</v>
      </c>
    </row>
    <row r="250" spans="1:11" x14ac:dyDescent="0.2">
      <c r="A250" s="10">
        <v>60122520</v>
      </c>
      <c r="B250" s="10" t="s">
        <v>396</v>
      </c>
      <c r="C250" s="11">
        <v>5593.66</v>
      </c>
      <c r="D250" s="11">
        <v>277.029</v>
      </c>
      <c r="E250" s="11">
        <v>0</v>
      </c>
      <c r="F250" s="11">
        <v>0</v>
      </c>
      <c r="G250" s="11">
        <v>0</v>
      </c>
      <c r="H250" s="14">
        <f t="shared" si="6"/>
        <v>277.029</v>
      </c>
      <c r="I250" s="14">
        <f t="shared" si="7"/>
        <v>5870.6890000000003</v>
      </c>
      <c r="J250" s="8" t="s">
        <v>138</v>
      </c>
      <c r="K250" s="8" t="s">
        <v>509</v>
      </c>
    </row>
    <row r="251" spans="1:11" x14ac:dyDescent="0.2">
      <c r="A251" s="10">
        <v>60122600</v>
      </c>
      <c r="B251" s="10" t="s">
        <v>9648</v>
      </c>
      <c r="C251" s="11">
        <v>0</v>
      </c>
      <c r="D251" s="11">
        <v>552.5</v>
      </c>
      <c r="E251" s="11">
        <v>0</v>
      </c>
      <c r="F251" s="11">
        <v>0</v>
      </c>
      <c r="G251" s="11">
        <v>0</v>
      </c>
      <c r="H251" s="14">
        <f t="shared" si="6"/>
        <v>552.5</v>
      </c>
      <c r="I251" s="14">
        <f t="shared" si="7"/>
        <v>552.5</v>
      </c>
      <c r="J251" s="8" t="s">
        <v>138</v>
      </c>
      <c r="K251" s="8" t="s">
        <v>509</v>
      </c>
    </row>
    <row r="252" spans="1:11" x14ac:dyDescent="0.2">
      <c r="A252" s="10">
        <v>60122700</v>
      </c>
      <c r="B252" s="10" t="s">
        <v>7567</v>
      </c>
      <c r="C252" s="11">
        <v>7010.9359999999997</v>
      </c>
      <c r="D252" s="11">
        <v>0</v>
      </c>
      <c r="E252" s="11">
        <v>0</v>
      </c>
      <c r="F252" s="11">
        <v>0</v>
      </c>
      <c r="G252" s="11">
        <v>0</v>
      </c>
      <c r="H252" s="14">
        <f t="shared" si="6"/>
        <v>0</v>
      </c>
      <c r="I252" s="14">
        <f t="shared" si="7"/>
        <v>7010.9359999999997</v>
      </c>
      <c r="J252" s="8" t="s">
        <v>138</v>
      </c>
      <c r="K252" s="8" t="s">
        <v>509</v>
      </c>
    </row>
    <row r="253" spans="1:11" x14ac:dyDescent="0.2">
      <c r="A253" s="10">
        <v>60171000</v>
      </c>
      <c r="B253" s="10" t="s">
        <v>369</v>
      </c>
      <c r="C253" s="11">
        <v>494937.10699999996</v>
      </c>
      <c r="D253" s="11">
        <v>57045.342999999993</v>
      </c>
      <c r="E253" s="11">
        <v>0</v>
      </c>
      <c r="F253" s="11">
        <v>0</v>
      </c>
      <c r="G253" s="11">
        <v>0</v>
      </c>
      <c r="H253" s="14">
        <f t="shared" si="6"/>
        <v>57045.342999999993</v>
      </c>
      <c r="I253" s="14">
        <f t="shared" si="7"/>
        <v>551982.44999999995</v>
      </c>
      <c r="J253" s="8" t="s">
        <v>138</v>
      </c>
      <c r="K253" s="8" t="s">
        <v>509</v>
      </c>
    </row>
    <row r="254" spans="1:11" x14ac:dyDescent="0.2">
      <c r="A254" s="10">
        <v>60172000</v>
      </c>
      <c r="B254" s="10" t="s">
        <v>169</v>
      </c>
      <c r="C254" s="11">
        <v>807459.86499999999</v>
      </c>
      <c r="D254" s="11">
        <v>114199.26300000001</v>
      </c>
      <c r="E254" s="11">
        <v>0</v>
      </c>
      <c r="F254" s="11">
        <v>0</v>
      </c>
      <c r="G254" s="11">
        <v>0</v>
      </c>
      <c r="H254" s="14">
        <f t="shared" si="6"/>
        <v>114199.26300000001</v>
      </c>
      <c r="I254" s="14">
        <f t="shared" si="7"/>
        <v>921659.12800000003</v>
      </c>
      <c r="J254" s="8" t="s">
        <v>138</v>
      </c>
      <c r="K254" s="8" t="s">
        <v>509</v>
      </c>
    </row>
    <row r="255" spans="1:11" x14ac:dyDescent="0.2">
      <c r="A255" s="10">
        <v>60173000</v>
      </c>
      <c r="B255" s="10" t="s">
        <v>170</v>
      </c>
      <c r="C255" s="11">
        <v>82169.13</v>
      </c>
      <c r="D255" s="11">
        <v>0</v>
      </c>
      <c r="E255" s="11">
        <v>0</v>
      </c>
      <c r="F255" s="11">
        <v>6939.3389999999999</v>
      </c>
      <c r="G255" s="11">
        <v>0</v>
      </c>
      <c r="H255" s="14">
        <f t="shared" si="6"/>
        <v>6939.3389999999999</v>
      </c>
      <c r="I255" s="14">
        <f t="shared" si="7"/>
        <v>89108.469000000012</v>
      </c>
      <c r="J255" s="8" t="s">
        <v>138</v>
      </c>
      <c r="K255" s="8" t="s">
        <v>509</v>
      </c>
    </row>
    <row r="256" spans="1:11" x14ac:dyDescent="0.2">
      <c r="A256" s="10">
        <v>60191000</v>
      </c>
      <c r="B256" s="10" t="s">
        <v>158</v>
      </c>
      <c r="C256" s="11">
        <v>1068368.9553039998</v>
      </c>
      <c r="D256" s="11">
        <v>113783.38099999999</v>
      </c>
      <c r="E256" s="11">
        <v>3041.7269999999999</v>
      </c>
      <c r="F256" s="11">
        <v>0</v>
      </c>
      <c r="G256" s="11">
        <v>0</v>
      </c>
      <c r="H256" s="14">
        <f t="shared" si="6"/>
        <v>110741.65399999999</v>
      </c>
      <c r="I256" s="14">
        <f t="shared" si="7"/>
        <v>1179110.6093039999</v>
      </c>
      <c r="J256" s="8" t="s">
        <v>138</v>
      </c>
      <c r="K256" s="8" t="s">
        <v>509</v>
      </c>
    </row>
    <row r="257" spans="1:11" x14ac:dyDescent="0.2">
      <c r="A257" s="10">
        <v>60215000</v>
      </c>
      <c r="B257" s="10" t="s">
        <v>370</v>
      </c>
      <c r="C257" s="11">
        <v>24171.527000000002</v>
      </c>
      <c r="D257" s="11">
        <v>0</v>
      </c>
      <c r="E257" s="11">
        <v>0</v>
      </c>
      <c r="F257" s="11">
        <v>0</v>
      </c>
      <c r="G257" s="11">
        <v>0</v>
      </c>
      <c r="H257" s="14">
        <f t="shared" si="6"/>
        <v>0</v>
      </c>
      <c r="I257" s="14">
        <f t="shared" si="7"/>
        <v>24171.527000000002</v>
      </c>
      <c r="J257" s="8" t="s">
        <v>138</v>
      </c>
      <c r="K257" s="8" t="s">
        <v>509</v>
      </c>
    </row>
    <row r="258" spans="1:11" x14ac:dyDescent="0.2">
      <c r="A258" s="10">
        <v>60216000</v>
      </c>
      <c r="B258" s="10" t="s">
        <v>371</v>
      </c>
      <c r="C258" s="11">
        <v>624301.81211400009</v>
      </c>
      <c r="D258" s="11">
        <v>120622.89398399999</v>
      </c>
      <c r="E258" s="11">
        <v>0</v>
      </c>
      <c r="F258" s="11">
        <v>0</v>
      </c>
      <c r="G258" s="11">
        <v>0</v>
      </c>
      <c r="H258" s="14">
        <f t="shared" ref="H258:H321" si="8">D258+F258-E258-G258</f>
        <v>120622.89398399999</v>
      </c>
      <c r="I258" s="14">
        <f t="shared" ref="I258:I321" si="9">C258+H258</f>
        <v>744924.70609800005</v>
      </c>
      <c r="J258" s="8" t="s">
        <v>138</v>
      </c>
      <c r="K258" s="8" t="s">
        <v>509</v>
      </c>
    </row>
    <row r="259" spans="1:11" x14ac:dyDescent="0.2">
      <c r="A259" s="10">
        <v>60260200</v>
      </c>
      <c r="B259" s="10" t="s">
        <v>372</v>
      </c>
      <c r="C259" s="11">
        <v>201169.06700000001</v>
      </c>
      <c r="D259" s="11">
        <v>2356.0500000000002</v>
      </c>
      <c r="E259" s="11">
        <v>0</v>
      </c>
      <c r="F259" s="11">
        <v>0</v>
      </c>
      <c r="G259" s="11">
        <v>0</v>
      </c>
      <c r="H259" s="14">
        <f t="shared" si="8"/>
        <v>2356.0500000000002</v>
      </c>
      <c r="I259" s="14">
        <f t="shared" si="9"/>
        <v>203525.117</v>
      </c>
      <c r="J259" s="8" t="s">
        <v>138</v>
      </c>
      <c r="K259" s="8" t="s">
        <v>509</v>
      </c>
    </row>
    <row r="260" spans="1:11" x14ac:dyDescent="0.2">
      <c r="A260" s="10">
        <v>60260300</v>
      </c>
      <c r="B260" s="10" t="s">
        <v>160</v>
      </c>
      <c r="C260" s="11">
        <v>1074.1620000000112</v>
      </c>
      <c r="D260" s="11">
        <v>630.25199999999995</v>
      </c>
      <c r="E260" s="11">
        <v>0</v>
      </c>
      <c r="F260" s="11">
        <v>0</v>
      </c>
      <c r="G260" s="11">
        <v>0</v>
      </c>
      <c r="H260" s="14">
        <f t="shared" si="8"/>
        <v>630.25199999999995</v>
      </c>
      <c r="I260" s="14">
        <f t="shared" si="9"/>
        <v>1704.4140000000111</v>
      </c>
      <c r="J260" s="8" t="s">
        <v>138</v>
      </c>
      <c r="K260" s="8" t="s">
        <v>509</v>
      </c>
    </row>
    <row r="261" spans="1:11" x14ac:dyDescent="0.2">
      <c r="A261" s="10">
        <v>60260400</v>
      </c>
      <c r="B261" s="10" t="s">
        <v>161</v>
      </c>
      <c r="C261" s="11">
        <v>67363.093999999997</v>
      </c>
      <c r="D261" s="11">
        <v>12049.44</v>
      </c>
      <c r="E261" s="11">
        <v>0</v>
      </c>
      <c r="F261" s="11">
        <v>0</v>
      </c>
      <c r="G261" s="11">
        <v>0</v>
      </c>
      <c r="H261" s="14">
        <f t="shared" si="8"/>
        <v>12049.44</v>
      </c>
      <c r="I261" s="14">
        <f t="shared" si="9"/>
        <v>79412.534</v>
      </c>
      <c r="J261" s="8" t="s">
        <v>138</v>
      </c>
      <c r="K261" s="8" t="s">
        <v>509</v>
      </c>
    </row>
    <row r="262" spans="1:11" x14ac:dyDescent="0.2">
      <c r="A262" s="10">
        <v>60260500</v>
      </c>
      <c r="B262" s="10" t="s">
        <v>162</v>
      </c>
      <c r="C262" s="11">
        <v>35102.959999999999</v>
      </c>
      <c r="D262" s="11">
        <v>14443.8</v>
      </c>
      <c r="E262" s="11">
        <v>10496.5</v>
      </c>
      <c r="F262" s="11">
        <v>0</v>
      </c>
      <c r="G262" s="11">
        <v>0</v>
      </c>
      <c r="H262" s="14">
        <f t="shared" si="8"/>
        <v>3947.2999999999993</v>
      </c>
      <c r="I262" s="14">
        <f t="shared" si="9"/>
        <v>39050.259999999995</v>
      </c>
      <c r="J262" s="8" t="s">
        <v>138</v>
      </c>
      <c r="K262" s="8" t="s">
        <v>509</v>
      </c>
    </row>
    <row r="263" spans="1:11" x14ac:dyDescent="0.2">
      <c r="A263" s="10">
        <v>60260600</v>
      </c>
      <c r="B263" s="10" t="s">
        <v>7401</v>
      </c>
      <c r="C263" s="11">
        <v>439.35300000000007</v>
      </c>
      <c r="D263" s="11">
        <v>0</v>
      </c>
      <c r="E263" s="11">
        <v>0</v>
      </c>
      <c r="F263" s="11">
        <v>0</v>
      </c>
      <c r="G263" s="11">
        <v>0</v>
      </c>
      <c r="H263" s="14">
        <f t="shared" si="8"/>
        <v>0</v>
      </c>
      <c r="I263" s="14">
        <f t="shared" si="9"/>
        <v>439.35300000000007</v>
      </c>
      <c r="J263" s="8" t="s">
        <v>138</v>
      </c>
      <c r="K263" s="8" t="s">
        <v>509</v>
      </c>
    </row>
    <row r="264" spans="1:11" x14ac:dyDescent="0.2">
      <c r="A264" s="10">
        <v>60260700</v>
      </c>
      <c r="B264" s="10" t="s">
        <v>163</v>
      </c>
      <c r="C264" s="11">
        <v>87196.875</v>
      </c>
      <c r="D264" s="11">
        <v>9640.4500000000007</v>
      </c>
      <c r="E264" s="11">
        <v>0</v>
      </c>
      <c r="F264" s="11">
        <v>2323</v>
      </c>
      <c r="G264" s="11">
        <v>0</v>
      </c>
      <c r="H264" s="14">
        <f t="shared" si="8"/>
        <v>11963.45</v>
      </c>
      <c r="I264" s="14">
        <f t="shared" si="9"/>
        <v>99160.324999999997</v>
      </c>
      <c r="J264" s="8" t="s">
        <v>138</v>
      </c>
      <c r="K264" s="8" t="s">
        <v>509</v>
      </c>
    </row>
    <row r="265" spans="1:11" x14ac:dyDescent="0.2">
      <c r="A265" s="10">
        <v>60262000</v>
      </c>
      <c r="B265" s="10" t="s">
        <v>164</v>
      </c>
      <c r="C265" s="11">
        <v>175567.6447</v>
      </c>
      <c r="D265" s="11">
        <v>16790.960100000004</v>
      </c>
      <c r="E265" s="11">
        <v>0</v>
      </c>
      <c r="F265" s="11">
        <v>0</v>
      </c>
      <c r="G265" s="11">
        <v>0</v>
      </c>
      <c r="H265" s="14">
        <f t="shared" si="8"/>
        <v>16790.960100000004</v>
      </c>
      <c r="I265" s="14">
        <f t="shared" si="9"/>
        <v>192358.6048</v>
      </c>
      <c r="J265" s="8" t="s">
        <v>138</v>
      </c>
      <c r="K265" s="8" t="s">
        <v>509</v>
      </c>
    </row>
    <row r="266" spans="1:11" x14ac:dyDescent="0.2">
      <c r="A266" s="10">
        <v>60263000</v>
      </c>
      <c r="B266" s="10" t="s">
        <v>165</v>
      </c>
      <c r="C266" s="11">
        <v>32863.016000000003</v>
      </c>
      <c r="D266" s="11">
        <v>9068.31</v>
      </c>
      <c r="E266" s="11">
        <v>0</v>
      </c>
      <c r="F266" s="11">
        <v>0</v>
      </c>
      <c r="G266" s="11">
        <v>0</v>
      </c>
      <c r="H266" s="14">
        <f t="shared" si="8"/>
        <v>9068.31</v>
      </c>
      <c r="I266" s="14">
        <f t="shared" si="9"/>
        <v>41931.326000000001</v>
      </c>
      <c r="J266" s="8" t="s">
        <v>138</v>
      </c>
      <c r="K266" s="8" t="s">
        <v>509</v>
      </c>
    </row>
    <row r="267" spans="1:11" x14ac:dyDescent="0.2">
      <c r="A267" s="10">
        <v>60310000</v>
      </c>
      <c r="B267" s="10" t="s">
        <v>265</v>
      </c>
      <c r="C267" s="11">
        <v>10125104.671</v>
      </c>
      <c r="D267" s="11">
        <v>0</v>
      </c>
      <c r="E267" s="11">
        <v>0</v>
      </c>
      <c r="F267" s="11">
        <v>0</v>
      </c>
      <c r="G267" s="11">
        <v>10140516.117000001</v>
      </c>
      <c r="H267" s="14">
        <f t="shared" si="8"/>
        <v>-10140516.117000001</v>
      </c>
      <c r="I267" s="14">
        <f t="shared" si="9"/>
        <v>-15411.446000000462</v>
      </c>
      <c r="J267" s="8" t="s">
        <v>138</v>
      </c>
      <c r="K267" s="8" t="s">
        <v>509</v>
      </c>
    </row>
    <row r="268" spans="1:11" x14ac:dyDescent="0.2">
      <c r="A268" s="10">
        <v>60330000</v>
      </c>
      <c r="B268" s="10" t="s">
        <v>266</v>
      </c>
      <c r="C268" s="11">
        <v>583630.65099999995</v>
      </c>
      <c r="D268" s="11">
        <v>0</v>
      </c>
      <c r="E268" s="11">
        <v>0</v>
      </c>
      <c r="F268" s="11">
        <v>0</v>
      </c>
      <c r="G268" s="11">
        <v>771579.85400000005</v>
      </c>
      <c r="H268" s="14">
        <f t="shared" si="8"/>
        <v>-771579.85400000005</v>
      </c>
      <c r="I268" s="14">
        <f t="shared" si="9"/>
        <v>-187949.2030000001</v>
      </c>
      <c r="J268" s="8" t="s">
        <v>157</v>
      </c>
      <c r="K268" s="8" t="s">
        <v>512</v>
      </c>
    </row>
    <row r="269" spans="1:11" x14ac:dyDescent="0.2">
      <c r="A269" s="10">
        <v>60401000</v>
      </c>
      <c r="B269" s="10" t="s">
        <v>166</v>
      </c>
      <c r="C269" s="11">
        <v>170000</v>
      </c>
      <c r="D269" s="11">
        <v>0</v>
      </c>
      <c r="E269" s="11">
        <v>0</v>
      </c>
      <c r="F269" s="11">
        <v>25000</v>
      </c>
      <c r="G269" s="11">
        <v>0</v>
      </c>
      <c r="H269" s="14">
        <f t="shared" si="8"/>
        <v>25000</v>
      </c>
      <c r="I269" s="14">
        <f t="shared" si="9"/>
        <v>195000</v>
      </c>
      <c r="J269" s="8" t="s">
        <v>157</v>
      </c>
      <c r="K269" s="8" t="s">
        <v>512</v>
      </c>
    </row>
    <row r="270" spans="1:11" x14ac:dyDescent="0.2">
      <c r="A270" s="10">
        <v>60502000</v>
      </c>
      <c r="B270" s="10" t="s">
        <v>167</v>
      </c>
      <c r="C270" s="11">
        <v>482077.81887499988</v>
      </c>
      <c r="D270" s="11">
        <v>72780.222979999991</v>
      </c>
      <c r="E270" s="11">
        <v>0</v>
      </c>
      <c r="F270" s="11">
        <v>38911.917999999998</v>
      </c>
      <c r="G270" s="11">
        <v>102300.8069</v>
      </c>
      <c r="H270" s="14">
        <f t="shared" si="8"/>
        <v>9391.3340800000005</v>
      </c>
      <c r="I270" s="14">
        <f t="shared" si="9"/>
        <v>491469.15295499988</v>
      </c>
      <c r="J270" s="8" t="s">
        <v>157</v>
      </c>
      <c r="K270" s="8" t="s">
        <v>512</v>
      </c>
    </row>
    <row r="271" spans="1:11" x14ac:dyDescent="0.2">
      <c r="A271" s="10">
        <v>60504000</v>
      </c>
      <c r="B271" s="10" t="s">
        <v>168</v>
      </c>
      <c r="C271" s="11">
        <v>3845</v>
      </c>
      <c r="D271" s="11">
        <v>400</v>
      </c>
      <c r="E271" s="11">
        <v>0</v>
      </c>
      <c r="F271" s="11">
        <v>0</v>
      </c>
      <c r="G271" s="11">
        <v>0</v>
      </c>
      <c r="H271" s="14">
        <f t="shared" si="8"/>
        <v>400</v>
      </c>
      <c r="I271" s="14">
        <f t="shared" si="9"/>
        <v>4245</v>
      </c>
      <c r="J271" s="8" t="s">
        <v>157</v>
      </c>
      <c r="K271" s="8" t="s">
        <v>512</v>
      </c>
    </row>
    <row r="272" spans="1:11" x14ac:dyDescent="0.2">
      <c r="A272" s="10">
        <v>60614000</v>
      </c>
      <c r="B272" s="10" t="s">
        <v>171</v>
      </c>
      <c r="C272" s="11">
        <v>141725.821</v>
      </c>
      <c r="D272" s="11">
        <v>18624.041000000001</v>
      </c>
      <c r="E272" s="11">
        <v>0</v>
      </c>
      <c r="F272" s="11">
        <v>0</v>
      </c>
      <c r="G272" s="11">
        <v>0</v>
      </c>
      <c r="H272" s="14">
        <f t="shared" si="8"/>
        <v>18624.041000000001</v>
      </c>
      <c r="I272" s="14">
        <f t="shared" si="9"/>
        <v>160349.86199999999</v>
      </c>
      <c r="J272" s="8" t="s">
        <v>157</v>
      </c>
      <c r="K272" s="8" t="s">
        <v>512</v>
      </c>
    </row>
    <row r="273" spans="1:11" x14ac:dyDescent="0.2">
      <c r="A273" s="10">
        <v>60620000</v>
      </c>
      <c r="B273" s="10" t="s">
        <v>172</v>
      </c>
      <c r="C273" s="11">
        <v>14274.699000000002</v>
      </c>
      <c r="D273" s="11">
        <v>812.06999999999994</v>
      </c>
      <c r="E273" s="11">
        <v>0</v>
      </c>
      <c r="F273" s="11">
        <v>221</v>
      </c>
      <c r="G273" s="11">
        <v>221</v>
      </c>
      <c r="H273" s="14">
        <f t="shared" si="8"/>
        <v>812.06999999999994</v>
      </c>
      <c r="I273" s="14">
        <f t="shared" si="9"/>
        <v>15086.769000000002</v>
      </c>
      <c r="J273" s="8" t="s">
        <v>157</v>
      </c>
      <c r="K273" s="8" t="s">
        <v>512</v>
      </c>
    </row>
    <row r="274" spans="1:11" x14ac:dyDescent="0.2">
      <c r="A274" s="10">
        <v>60650000</v>
      </c>
      <c r="B274" s="10" t="s">
        <v>373</v>
      </c>
      <c r="C274" s="11">
        <v>7950</v>
      </c>
      <c r="D274" s="11">
        <v>0</v>
      </c>
      <c r="E274" s="11">
        <v>0</v>
      </c>
      <c r="F274" s="11">
        <v>0</v>
      </c>
      <c r="G274" s="11">
        <v>0</v>
      </c>
      <c r="H274" s="14">
        <f t="shared" si="8"/>
        <v>0</v>
      </c>
      <c r="I274" s="14">
        <f t="shared" si="9"/>
        <v>7950</v>
      </c>
      <c r="J274" s="8" t="s">
        <v>138</v>
      </c>
      <c r="K274" s="8" t="s">
        <v>509</v>
      </c>
    </row>
    <row r="275" spans="1:11" x14ac:dyDescent="0.2">
      <c r="A275" s="10">
        <v>60660000</v>
      </c>
      <c r="B275" s="10" t="s">
        <v>173</v>
      </c>
      <c r="C275" s="11">
        <v>18031.502</v>
      </c>
      <c r="D275" s="11">
        <v>3232.9</v>
      </c>
      <c r="E275" s="11">
        <v>0</v>
      </c>
      <c r="F275" s="11">
        <v>0</v>
      </c>
      <c r="G275" s="11">
        <v>0</v>
      </c>
      <c r="H275" s="14">
        <f t="shared" si="8"/>
        <v>3232.9</v>
      </c>
      <c r="I275" s="14">
        <f t="shared" si="9"/>
        <v>21264.402000000002</v>
      </c>
      <c r="J275" s="8" t="s">
        <v>157</v>
      </c>
      <c r="K275" s="8" t="s">
        <v>512</v>
      </c>
    </row>
    <row r="276" spans="1:11" x14ac:dyDescent="0.2">
      <c r="A276" s="10">
        <v>60670000</v>
      </c>
      <c r="B276" s="10" t="s">
        <v>174</v>
      </c>
      <c r="C276" s="11">
        <v>10321.44</v>
      </c>
      <c r="D276" s="11">
        <v>124.5</v>
      </c>
      <c r="E276" s="11">
        <v>0</v>
      </c>
      <c r="F276" s="11">
        <v>0</v>
      </c>
      <c r="G276" s="11">
        <v>0</v>
      </c>
      <c r="H276" s="14">
        <f t="shared" si="8"/>
        <v>124.5</v>
      </c>
      <c r="I276" s="14">
        <f t="shared" si="9"/>
        <v>10445.94</v>
      </c>
      <c r="J276" s="8" t="s">
        <v>157</v>
      </c>
      <c r="K276" s="8" t="s">
        <v>512</v>
      </c>
    </row>
    <row r="277" spans="1:11" x14ac:dyDescent="0.2">
      <c r="A277" s="10">
        <v>60671000</v>
      </c>
      <c r="B277" s="10" t="s">
        <v>374</v>
      </c>
      <c r="C277" s="11">
        <v>77015.83600000001</v>
      </c>
      <c r="D277" s="11">
        <v>5871.7250000000004</v>
      </c>
      <c r="E277" s="11">
        <v>0</v>
      </c>
      <c r="F277" s="11">
        <v>0</v>
      </c>
      <c r="G277" s="11">
        <v>0</v>
      </c>
      <c r="H277" s="14">
        <f t="shared" si="8"/>
        <v>5871.7250000000004</v>
      </c>
      <c r="I277" s="14">
        <f t="shared" si="9"/>
        <v>82887.561000000016</v>
      </c>
      <c r="J277" s="8" t="s">
        <v>157</v>
      </c>
      <c r="K277" s="8" t="s">
        <v>512</v>
      </c>
    </row>
    <row r="278" spans="1:11" x14ac:dyDescent="0.2">
      <c r="A278" s="10">
        <v>60672000</v>
      </c>
      <c r="B278" s="10" t="s">
        <v>7569</v>
      </c>
      <c r="C278" s="11">
        <v>3369.5</v>
      </c>
      <c r="D278" s="11">
        <v>0</v>
      </c>
      <c r="E278" s="11">
        <v>0</v>
      </c>
      <c r="F278" s="11">
        <v>0</v>
      </c>
      <c r="G278" s="11">
        <v>0</v>
      </c>
      <c r="H278" s="14">
        <f t="shared" si="8"/>
        <v>0</v>
      </c>
      <c r="I278" s="14">
        <f t="shared" si="9"/>
        <v>3369.5</v>
      </c>
      <c r="J278" s="8" t="s">
        <v>157</v>
      </c>
      <c r="K278" s="8" t="s">
        <v>512</v>
      </c>
    </row>
    <row r="279" spans="1:11" x14ac:dyDescent="0.2">
      <c r="A279" s="10">
        <v>60700000</v>
      </c>
      <c r="B279" s="10" t="s">
        <v>7719</v>
      </c>
      <c r="C279" s="11">
        <v>15708</v>
      </c>
      <c r="D279" s="11">
        <v>0</v>
      </c>
      <c r="E279" s="11">
        <v>0</v>
      </c>
      <c r="F279" s="11">
        <v>15708</v>
      </c>
      <c r="G279" s="11">
        <v>15708</v>
      </c>
      <c r="H279" s="14">
        <f t="shared" si="8"/>
        <v>0</v>
      </c>
      <c r="I279" s="14">
        <f t="shared" si="9"/>
        <v>15708</v>
      </c>
      <c r="J279" s="8" t="s">
        <v>157</v>
      </c>
      <c r="K279" s="8" t="s">
        <v>512</v>
      </c>
    </row>
    <row r="280" spans="1:11" x14ac:dyDescent="0.2">
      <c r="A280" s="10">
        <v>61400000</v>
      </c>
      <c r="B280" s="10" t="s">
        <v>175</v>
      </c>
      <c r="C280" s="11">
        <v>18104.995999999996</v>
      </c>
      <c r="D280" s="11">
        <v>994.44399999999985</v>
      </c>
      <c r="E280" s="11">
        <v>0</v>
      </c>
      <c r="F280" s="11">
        <v>0</v>
      </c>
      <c r="G280" s="11">
        <v>0</v>
      </c>
      <c r="H280" s="14">
        <f t="shared" si="8"/>
        <v>994.44399999999985</v>
      </c>
      <c r="I280" s="14">
        <f t="shared" si="9"/>
        <v>19099.439999999995</v>
      </c>
      <c r="J280" s="8" t="s">
        <v>157</v>
      </c>
      <c r="K280" s="8" t="s">
        <v>512</v>
      </c>
    </row>
    <row r="281" spans="1:11" x14ac:dyDescent="0.2">
      <c r="A281" s="10">
        <v>61500000</v>
      </c>
      <c r="B281" s="10" t="s">
        <v>176</v>
      </c>
      <c r="C281" s="11">
        <v>146507.88399999999</v>
      </c>
      <c r="D281" s="11">
        <v>81272.521000000008</v>
      </c>
      <c r="E281" s="11">
        <v>0</v>
      </c>
      <c r="F281" s="11">
        <v>19956.277999999998</v>
      </c>
      <c r="G281" s="11">
        <v>19705.092000000001</v>
      </c>
      <c r="H281" s="14">
        <f t="shared" si="8"/>
        <v>81523.706999999995</v>
      </c>
      <c r="I281" s="14">
        <f t="shared" si="9"/>
        <v>228031.59099999999</v>
      </c>
      <c r="J281" s="8" t="s">
        <v>157</v>
      </c>
      <c r="K281" s="8" t="s">
        <v>512</v>
      </c>
    </row>
    <row r="282" spans="1:11" x14ac:dyDescent="0.2">
      <c r="A282" s="10">
        <v>61501000</v>
      </c>
      <c r="B282" s="10" t="s">
        <v>177</v>
      </c>
      <c r="C282" s="11">
        <v>137805.39499999996</v>
      </c>
      <c r="D282" s="11">
        <v>47404.409</v>
      </c>
      <c r="E282" s="11">
        <v>0</v>
      </c>
      <c r="F282" s="11">
        <v>0</v>
      </c>
      <c r="G282" s="11">
        <v>1190</v>
      </c>
      <c r="H282" s="14">
        <f t="shared" si="8"/>
        <v>46214.409</v>
      </c>
      <c r="I282" s="14">
        <f t="shared" si="9"/>
        <v>184019.80399999995</v>
      </c>
      <c r="J282" s="8" t="s">
        <v>157</v>
      </c>
      <c r="K282" s="8" t="s">
        <v>512</v>
      </c>
    </row>
    <row r="283" spans="1:11" x14ac:dyDescent="0.2">
      <c r="A283" s="10">
        <v>61600000</v>
      </c>
      <c r="B283" s="10" t="s">
        <v>397</v>
      </c>
      <c r="C283" s="11">
        <v>16302.9</v>
      </c>
      <c r="D283" s="11">
        <v>8859.2000000000007</v>
      </c>
      <c r="E283" s="11">
        <v>0</v>
      </c>
      <c r="F283" s="11">
        <v>0</v>
      </c>
      <c r="G283" s="11">
        <v>2573.3330000000001</v>
      </c>
      <c r="H283" s="14">
        <f t="shared" si="8"/>
        <v>6285.8670000000002</v>
      </c>
      <c r="I283" s="14">
        <f t="shared" si="9"/>
        <v>22588.767</v>
      </c>
      <c r="J283" s="8" t="s">
        <v>157</v>
      </c>
      <c r="K283" s="8" t="s">
        <v>512</v>
      </c>
    </row>
    <row r="284" spans="1:11" x14ac:dyDescent="0.2">
      <c r="A284" s="10">
        <v>61603000</v>
      </c>
      <c r="B284" s="10" t="s">
        <v>178</v>
      </c>
      <c r="C284" s="11">
        <v>25585.543100000003</v>
      </c>
      <c r="D284" s="11">
        <v>0</v>
      </c>
      <c r="E284" s="11">
        <v>0</v>
      </c>
      <c r="F284" s="11">
        <v>2359.1680000000001</v>
      </c>
      <c r="G284" s="11">
        <v>0</v>
      </c>
      <c r="H284" s="14">
        <f t="shared" si="8"/>
        <v>2359.1680000000001</v>
      </c>
      <c r="I284" s="14">
        <f t="shared" si="9"/>
        <v>27944.711100000004</v>
      </c>
      <c r="J284" s="8" t="s">
        <v>157</v>
      </c>
      <c r="K284" s="8" t="s">
        <v>512</v>
      </c>
    </row>
    <row r="285" spans="1:11" x14ac:dyDescent="0.2">
      <c r="A285" s="10">
        <v>61607000</v>
      </c>
      <c r="B285" s="10" t="s">
        <v>179</v>
      </c>
      <c r="C285" s="11">
        <v>9820.7999999999993</v>
      </c>
      <c r="D285" s="11">
        <v>0</v>
      </c>
      <c r="E285" s="11">
        <v>0</v>
      </c>
      <c r="F285" s="11">
        <v>1227.5999999999999</v>
      </c>
      <c r="G285" s="11">
        <v>0</v>
      </c>
      <c r="H285" s="14">
        <f t="shared" si="8"/>
        <v>1227.5999999999999</v>
      </c>
      <c r="I285" s="14">
        <f t="shared" si="9"/>
        <v>11048.4</v>
      </c>
      <c r="J285" s="8" t="s">
        <v>157</v>
      </c>
      <c r="K285" s="8" t="s">
        <v>512</v>
      </c>
    </row>
    <row r="286" spans="1:11" x14ac:dyDescent="0.2">
      <c r="A286" s="10">
        <v>62120000</v>
      </c>
      <c r="B286" s="10" t="s">
        <v>180</v>
      </c>
      <c r="C286" s="11">
        <v>37458.800000000003</v>
      </c>
      <c r="D286" s="11">
        <v>7634.6399999999994</v>
      </c>
      <c r="E286" s="11">
        <v>0</v>
      </c>
      <c r="F286" s="11">
        <v>0</v>
      </c>
      <c r="G286" s="11">
        <v>0</v>
      </c>
      <c r="H286" s="14">
        <f t="shared" si="8"/>
        <v>7634.6399999999994</v>
      </c>
      <c r="I286" s="14">
        <f t="shared" si="9"/>
        <v>45093.440000000002</v>
      </c>
      <c r="J286" s="8" t="s">
        <v>157</v>
      </c>
      <c r="K286" s="8" t="s">
        <v>512</v>
      </c>
    </row>
    <row r="287" spans="1:11" x14ac:dyDescent="0.2">
      <c r="A287" s="10">
        <v>62200000</v>
      </c>
      <c r="B287" s="10" t="s">
        <v>181</v>
      </c>
      <c r="C287" s="11">
        <v>7800.0020000000013</v>
      </c>
      <c r="D287" s="11">
        <v>0</v>
      </c>
      <c r="E287" s="11">
        <v>0</v>
      </c>
      <c r="F287" s="11">
        <v>866.66700000000003</v>
      </c>
      <c r="G287" s="11">
        <v>0</v>
      </c>
      <c r="H287" s="14">
        <f t="shared" si="8"/>
        <v>866.66700000000003</v>
      </c>
      <c r="I287" s="14">
        <f t="shared" si="9"/>
        <v>8666.6690000000017</v>
      </c>
      <c r="J287" s="8" t="s">
        <v>157</v>
      </c>
      <c r="K287" s="8" t="s">
        <v>512</v>
      </c>
    </row>
    <row r="288" spans="1:11" x14ac:dyDescent="0.2">
      <c r="A288" s="10">
        <v>62210000</v>
      </c>
      <c r="B288" s="10" t="s">
        <v>398</v>
      </c>
      <c r="C288" s="11">
        <v>2685.5039999999999</v>
      </c>
      <c r="D288" s="11">
        <v>0</v>
      </c>
      <c r="E288" s="11">
        <v>0</v>
      </c>
      <c r="F288" s="11">
        <v>0</v>
      </c>
      <c r="G288" s="11">
        <v>0</v>
      </c>
      <c r="H288" s="14">
        <f t="shared" si="8"/>
        <v>0</v>
      </c>
      <c r="I288" s="14">
        <f t="shared" si="9"/>
        <v>2685.5039999999999</v>
      </c>
      <c r="J288" s="8" t="s">
        <v>157</v>
      </c>
      <c r="K288" s="8" t="s">
        <v>512</v>
      </c>
    </row>
    <row r="289" spans="1:11" x14ac:dyDescent="0.2">
      <c r="A289" s="10">
        <v>62230000</v>
      </c>
      <c r="B289" s="10" t="s">
        <v>375</v>
      </c>
      <c r="C289" s="11">
        <v>9688.9709999999995</v>
      </c>
      <c r="D289" s="11">
        <v>20660.336000000003</v>
      </c>
      <c r="E289" s="11">
        <v>0</v>
      </c>
      <c r="F289" s="11">
        <v>0</v>
      </c>
      <c r="G289" s="11">
        <v>0</v>
      </c>
      <c r="H289" s="14">
        <f t="shared" si="8"/>
        <v>20660.336000000003</v>
      </c>
      <c r="I289" s="14">
        <f t="shared" si="9"/>
        <v>30349.307000000001</v>
      </c>
      <c r="J289" s="8" t="s">
        <v>157</v>
      </c>
      <c r="K289" s="8" t="s">
        <v>512</v>
      </c>
    </row>
    <row r="290" spans="1:11" x14ac:dyDescent="0.2">
      <c r="A290" s="10">
        <v>62240000</v>
      </c>
      <c r="B290" s="10" t="s">
        <v>267</v>
      </c>
      <c r="C290" s="11">
        <v>24919.504200000003</v>
      </c>
      <c r="D290" s="11">
        <v>0</v>
      </c>
      <c r="E290" s="11">
        <v>0</v>
      </c>
      <c r="F290" s="11">
        <v>2865.5630000000001</v>
      </c>
      <c r="G290" s="11">
        <v>0</v>
      </c>
      <c r="H290" s="14">
        <f t="shared" si="8"/>
        <v>2865.5630000000001</v>
      </c>
      <c r="I290" s="14">
        <f t="shared" si="9"/>
        <v>27785.067200000005</v>
      </c>
      <c r="J290" s="8" t="s">
        <v>157</v>
      </c>
      <c r="K290" s="8" t="s">
        <v>512</v>
      </c>
    </row>
    <row r="291" spans="1:11" x14ac:dyDescent="0.2">
      <c r="A291" s="10">
        <v>62250000</v>
      </c>
      <c r="B291" s="10" t="s">
        <v>268</v>
      </c>
      <c r="C291" s="11">
        <v>60240.336000000003</v>
      </c>
      <c r="D291" s="11">
        <v>0</v>
      </c>
      <c r="E291" s="11">
        <v>20240.336000000003</v>
      </c>
      <c r="F291" s="11">
        <v>5000</v>
      </c>
      <c r="G291" s="11">
        <v>0</v>
      </c>
      <c r="H291" s="14">
        <f t="shared" si="8"/>
        <v>-15240.336000000003</v>
      </c>
      <c r="I291" s="14">
        <f t="shared" si="9"/>
        <v>45000</v>
      </c>
      <c r="J291" s="8" t="s">
        <v>157</v>
      </c>
      <c r="K291" s="8" t="s">
        <v>512</v>
      </c>
    </row>
    <row r="292" spans="1:11" x14ac:dyDescent="0.2">
      <c r="A292" s="10">
        <v>62260000</v>
      </c>
      <c r="B292" s="10" t="s">
        <v>7402</v>
      </c>
      <c r="C292" s="11">
        <v>19797.352999999999</v>
      </c>
      <c r="D292" s="11">
        <v>0</v>
      </c>
      <c r="E292" s="11">
        <v>0</v>
      </c>
      <c r="F292" s="11">
        <v>0</v>
      </c>
      <c r="G292" s="11">
        <v>0</v>
      </c>
      <c r="H292" s="14">
        <f t="shared" si="8"/>
        <v>0</v>
      </c>
      <c r="I292" s="14">
        <f t="shared" si="9"/>
        <v>19797.352999999999</v>
      </c>
      <c r="J292" s="8" t="s">
        <v>157</v>
      </c>
      <c r="K292" s="8" t="s">
        <v>512</v>
      </c>
    </row>
    <row r="293" spans="1:11" x14ac:dyDescent="0.2">
      <c r="A293" s="10">
        <v>62270000</v>
      </c>
      <c r="B293" s="10" t="s">
        <v>399</v>
      </c>
      <c r="C293" s="11">
        <v>905.42100000000005</v>
      </c>
      <c r="D293" s="11">
        <v>0</v>
      </c>
      <c r="E293" s="11">
        <v>0</v>
      </c>
      <c r="F293" s="11">
        <v>0</v>
      </c>
      <c r="G293" s="11">
        <v>0</v>
      </c>
      <c r="H293" s="14">
        <f t="shared" si="8"/>
        <v>0</v>
      </c>
      <c r="I293" s="14">
        <f t="shared" si="9"/>
        <v>905.42100000000005</v>
      </c>
      <c r="J293" s="8" t="s">
        <v>157</v>
      </c>
      <c r="K293" s="8" t="s">
        <v>512</v>
      </c>
    </row>
    <row r="294" spans="1:11" x14ac:dyDescent="0.2">
      <c r="A294" s="10">
        <v>62300000</v>
      </c>
      <c r="B294" s="10" t="s">
        <v>182</v>
      </c>
      <c r="C294" s="11">
        <v>60000</v>
      </c>
      <c r="D294" s="11">
        <v>2278.9</v>
      </c>
      <c r="E294" s="11">
        <v>0</v>
      </c>
      <c r="F294" s="11">
        <v>7500</v>
      </c>
      <c r="G294" s="11">
        <v>0</v>
      </c>
      <c r="H294" s="14">
        <f t="shared" si="8"/>
        <v>9778.9</v>
      </c>
      <c r="I294" s="14">
        <f t="shared" si="9"/>
        <v>69778.899999999994</v>
      </c>
      <c r="J294" s="8" t="s">
        <v>157</v>
      </c>
      <c r="K294" s="8" t="s">
        <v>512</v>
      </c>
    </row>
    <row r="295" spans="1:11" x14ac:dyDescent="0.2">
      <c r="A295" s="10">
        <v>62301000</v>
      </c>
      <c r="B295" s="10" t="s">
        <v>7397</v>
      </c>
      <c r="C295" s="11">
        <v>30118.89</v>
      </c>
      <c r="D295" s="11">
        <v>1000</v>
      </c>
      <c r="E295" s="11">
        <v>0</v>
      </c>
      <c r="F295" s="11">
        <v>0</v>
      </c>
      <c r="G295" s="11">
        <v>0</v>
      </c>
      <c r="H295" s="14">
        <f t="shared" si="8"/>
        <v>1000</v>
      </c>
      <c r="I295" s="14">
        <f t="shared" si="9"/>
        <v>31118.89</v>
      </c>
      <c r="J295" s="8" t="s">
        <v>157</v>
      </c>
      <c r="K295" s="8" t="s">
        <v>512</v>
      </c>
    </row>
    <row r="296" spans="1:11" x14ac:dyDescent="0.2">
      <c r="A296" s="10">
        <v>62410000</v>
      </c>
      <c r="B296" s="10" t="s">
        <v>183</v>
      </c>
      <c r="C296" s="11">
        <v>6580</v>
      </c>
      <c r="D296" s="11">
        <v>335</v>
      </c>
      <c r="E296" s="11">
        <v>0</v>
      </c>
      <c r="F296" s="11">
        <v>0</v>
      </c>
      <c r="G296" s="11">
        <v>0</v>
      </c>
      <c r="H296" s="14">
        <f t="shared" si="8"/>
        <v>335</v>
      </c>
      <c r="I296" s="14">
        <f t="shared" si="9"/>
        <v>6915</v>
      </c>
      <c r="J296" s="8" t="s">
        <v>157</v>
      </c>
      <c r="K296" s="8" t="s">
        <v>512</v>
      </c>
    </row>
    <row r="297" spans="1:11" x14ac:dyDescent="0.2">
      <c r="A297" s="10">
        <v>62420000</v>
      </c>
      <c r="B297" s="10" t="s">
        <v>184</v>
      </c>
      <c r="C297" s="11">
        <v>3090</v>
      </c>
      <c r="D297" s="11">
        <v>7370</v>
      </c>
      <c r="E297" s="11">
        <v>0</v>
      </c>
      <c r="F297" s="11">
        <v>420</v>
      </c>
      <c r="G297" s="11">
        <v>2670</v>
      </c>
      <c r="H297" s="14">
        <f t="shared" si="8"/>
        <v>5120</v>
      </c>
      <c r="I297" s="14">
        <f t="shared" si="9"/>
        <v>8210</v>
      </c>
      <c r="J297" s="8" t="s">
        <v>157</v>
      </c>
      <c r="K297" s="8" t="s">
        <v>512</v>
      </c>
    </row>
    <row r="298" spans="1:11" x14ac:dyDescent="0.2">
      <c r="A298" s="10">
        <v>62430000</v>
      </c>
      <c r="B298" s="10" t="s">
        <v>159</v>
      </c>
      <c r="C298" s="11">
        <v>407091.17</v>
      </c>
      <c r="D298" s="11">
        <v>119888.04</v>
      </c>
      <c r="E298" s="11">
        <v>0</v>
      </c>
      <c r="F298" s="11">
        <v>0</v>
      </c>
      <c r="G298" s="11">
        <v>66041.051999999996</v>
      </c>
      <c r="H298" s="14">
        <f t="shared" si="8"/>
        <v>53846.987999999998</v>
      </c>
      <c r="I298" s="14">
        <f t="shared" si="9"/>
        <v>460938.158</v>
      </c>
      <c r="J298" s="8" t="s">
        <v>157</v>
      </c>
      <c r="K298" s="8" t="s">
        <v>512</v>
      </c>
    </row>
    <row r="299" spans="1:11" x14ac:dyDescent="0.2">
      <c r="A299" s="10">
        <v>62500000</v>
      </c>
      <c r="B299" s="10" t="s">
        <v>185</v>
      </c>
      <c r="C299" s="11">
        <v>675.2</v>
      </c>
      <c r="D299" s="11">
        <v>18.100000000000001</v>
      </c>
      <c r="E299" s="11">
        <v>0</v>
      </c>
      <c r="F299" s="11">
        <v>0</v>
      </c>
      <c r="G299" s="11">
        <v>0</v>
      </c>
      <c r="H299" s="14">
        <f t="shared" si="8"/>
        <v>18.100000000000001</v>
      </c>
      <c r="I299" s="14">
        <f t="shared" si="9"/>
        <v>693.30000000000007</v>
      </c>
      <c r="J299" s="8" t="s">
        <v>157</v>
      </c>
      <c r="K299" s="8" t="s">
        <v>512</v>
      </c>
    </row>
    <row r="300" spans="1:11" x14ac:dyDescent="0.2">
      <c r="A300" s="10">
        <v>62510000</v>
      </c>
      <c r="B300" s="10" t="s">
        <v>7571</v>
      </c>
      <c r="C300" s="11">
        <v>5831</v>
      </c>
      <c r="D300" s="11">
        <v>0</v>
      </c>
      <c r="E300" s="11">
        <v>0</v>
      </c>
      <c r="F300" s="11">
        <v>0</v>
      </c>
      <c r="G300" s="11">
        <v>0</v>
      </c>
      <c r="H300" s="14">
        <f t="shared" si="8"/>
        <v>0</v>
      </c>
      <c r="I300" s="14">
        <f t="shared" si="9"/>
        <v>5831</v>
      </c>
      <c r="J300" s="8" t="s">
        <v>157</v>
      </c>
      <c r="K300" s="8" t="s">
        <v>512</v>
      </c>
    </row>
    <row r="301" spans="1:11" x14ac:dyDescent="0.2">
      <c r="A301" s="10">
        <v>62520000</v>
      </c>
      <c r="B301" s="10" t="s">
        <v>7403</v>
      </c>
      <c r="C301" s="11">
        <v>23846</v>
      </c>
      <c r="D301" s="11">
        <v>1274.3499999999999</v>
      </c>
      <c r="E301" s="11">
        <v>0</v>
      </c>
      <c r="F301" s="11">
        <v>0</v>
      </c>
      <c r="G301" s="11">
        <v>0</v>
      </c>
      <c r="H301" s="14">
        <f t="shared" si="8"/>
        <v>1274.3499999999999</v>
      </c>
      <c r="I301" s="14">
        <f t="shared" si="9"/>
        <v>25120.35</v>
      </c>
      <c r="J301" s="8" t="s">
        <v>157</v>
      </c>
      <c r="K301" s="8" t="s">
        <v>512</v>
      </c>
    </row>
    <row r="302" spans="1:11" x14ac:dyDescent="0.2">
      <c r="A302" s="10">
        <v>62570000</v>
      </c>
      <c r="B302" s="10" t="s">
        <v>186</v>
      </c>
      <c r="C302" s="11">
        <v>22423.7</v>
      </c>
      <c r="D302" s="11">
        <v>0</v>
      </c>
      <c r="E302" s="11">
        <v>0</v>
      </c>
      <c r="F302" s="11">
        <v>0</v>
      </c>
      <c r="G302" s="11">
        <v>0</v>
      </c>
      <c r="H302" s="14">
        <f t="shared" si="8"/>
        <v>0</v>
      </c>
      <c r="I302" s="14">
        <f t="shared" si="9"/>
        <v>22423.7</v>
      </c>
      <c r="J302" s="8" t="s">
        <v>157</v>
      </c>
      <c r="K302" s="8" t="s">
        <v>512</v>
      </c>
    </row>
    <row r="303" spans="1:11" x14ac:dyDescent="0.2">
      <c r="A303" s="10">
        <v>62571000</v>
      </c>
      <c r="B303" s="10" t="s">
        <v>376</v>
      </c>
      <c r="C303" s="11">
        <v>12605.462</v>
      </c>
      <c r="D303" s="11">
        <v>1159.3910000000001</v>
      </c>
      <c r="E303" s="11">
        <v>0</v>
      </c>
      <c r="F303" s="11">
        <v>0</v>
      </c>
      <c r="G303" s="11">
        <v>0</v>
      </c>
      <c r="H303" s="14">
        <f t="shared" si="8"/>
        <v>1159.3910000000001</v>
      </c>
      <c r="I303" s="14">
        <f t="shared" si="9"/>
        <v>13764.852999999999</v>
      </c>
      <c r="J303" s="8" t="s">
        <v>157</v>
      </c>
      <c r="K303" s="8" t="s">
        <v>512</v>
      </c>
    </row>
    <row r="304" spans="1:11" x14ac:dyDescent="0.2">
      <c r="A304" s="10">
        <v>62572000</v>
      </c>
      <c r="B304" s="10" t="s">
        <v>377</v>
      </c>
      <c r="C304" s="11">
        <v>9833.0999999999985</v>
      </c>
      <c r="D304" s="11">
        <v>1115</v>
      </c>
      <c r="E304" s="11">
        <v>0</v>
      </c>
      <c r="F304" s="11">
        <v>0</v>
      </c>
      <c r="G304" s="11">
        <v>0</v>
      </c>
      <c r="H304" s="14">
        <f t="shared" si="8"/>
        <v>1115</v>
      </c>
      <c r="I304" s="14">
        <f t="shared" si="9"/>
        <v>10948.099999999999</v>
      </c>
      <c r="J304" s="8" t="s">
        <v>157</v>
      </c>
      <c r="K304" s="8" t="s">
        <v>512</v>
      </c>
    </row>
    <row r="305" spans="1:11" x14ac:dyDescent="0.2">
      <c r="A305" s="10">
        <v>62573000</v>
      </c>
      <c r="B305" s="10" t="s">
        <v>378</v>
      </c>
      <c r="C305" s="11">
        <v>2759.2159999999999</v>
      </c>
      <c r="D305" s="11">
        <v>0</v>
      </c>
      <c r="E305" s="11">
        <v>0</v>
      </c>
      <c r="F305" s="11">
        <v>0</v>
      </c>
      <c r="G305" s="11">
        <v>0</v>
      </c>
      <c r="H305" s="14">
        <f t="shared" si="8"/>
        <v>0</v>
      </c>
      <c r="I305" s="14">
        <f t="shared" si="9"/>
        <v>2759.2159999999999</v>
      </c>
      <c r="J305" s="8" t="s">
        <v>157</v>
      </c>
      <c r="K305" s="8" t="s">
        <v>512</v>
      </c>
    </row>
    <row r="306" spans="1:11" x14ac:dyDescent="0.2">
      <c r="A306" s="10">
        <v>62580000</v>
      </c>
      <c r="B306" s="10" t="s">
        <v>187</v>
      </c>
      <c r="C306" s="11">
        <v>12715</v>
      </c>
      <c r="D306" s="11">
        <v>1679.25</v>
      </c>
      <c r="E306" s="11">
        <v>0</v>
      </c>
      <c r="F306" s="11">
        <v>0</v>
      </c>
      <c r="G306" s="11">
        <v>0</v>
      </c>
      <c r="H306" s="14">
        <f t="shared" si="8"/>
        <v>1679.25</v>
      </c>
      <c r="I306" s="14">
        <f t="shared" si="9"/>
        <v>14394.25</v>
      </c>
      <c r="J306" s="8" t="s">
        <v>157</v>
      </c>
      <c r="K306" s="8" t="s">
        <v>512</v>
      </c>
    </row>
    <row r="307" spans="1:11" x14ac:dyDescent="0.2">
      <c r="A307" s="10">
        <v>62600000</v>
      </c>
      <c r="B307" s="10" t="s">
        <v>188</v>
      </c>
      <c r="C307" s="11">
        <v>24692.772999999994</v>
      </c>
      <c r="D307" s="11">
        <v>204.852</v>
      </c>
      <c r="E307" s="11">
        <v>0</v>
      </c>
      <c r="F307" s="11">
        <v>2188</v>
      </c>
      <c r="G307" s="11">
        <v>0</v>
      </c>
      <c r="H307" s="14">
        <f t="shared" si="8"/>
        <v>2392.8519999999999</v>
      </c>
      <c r="I307" s="14">
        <f t="shared" si="9"/>
        <v>27085.624999999993</v>
      </c>
      <c r="J307" s="8" t="s">
        <v>157</v>
      </c>
      <c r="K307" s="8" t="s">
        <v>512</v>
      </c>
    </row>
    <row r="308" spans="1:11" x14ac:dyDescent="0.2">
      <c r="A308" s="10">
        <v>62780000</v>
      </c>
      <c r="B308" s="10" t="s">
        <v>189</v>
      </c>
      <c r="C308" s="11">
        <v>114969.64200000002</v>
      </c>
      <c r="D308" s="11">
        <v>7441.0280000000002</v>
      </c>
      <c r="E308" s="11">
        <v>7.2999999999999995E-2</v>
      </c>
      <c r="F308" s="11">
        <v>7619.451</v>
      </c>
      <c r="G308" s="11">
        <v>0</v>
      </c>
      <c r="H308" s="14">
        <f t="shared" si="8"/>
        <v>15060.405999999999</v>
      </c>
      <c r="I308" s="14">
        <f t="shared" si="9"/>
        <v>130030.04800000002</v>
      </c>
      <c r="J308" s="8" t="s">
        <v>195</v>
      </c>
      <c r="K308" s="8" t="s">
        <v>517</v>
      </c>
    </row>
    <row r="309" spans="1:11" x14ac:dyDescent="0.2">
      <c r="A309" s="10">
        <v>63300000</v>
      </c>
      <c r="B309" s="10" t="s">
        <v>269</v>
      </c>
      <c r="C309" s="11">
        <v>83333.327999999994</v>
      </c>
      <c r="D309" s="11">
        <v>0</v>
      </c>
      <c r="E309" s="11">
        <v>0</v>
      </c>
      <c r="F309" s="11">
        <v>10416.665999999999</v>
      </c>
      <c r="G309" s="11">
        <v>0</v>
      </c>
      <c r="H309" s="14">
        <f t="shared" si="8"/>
        <v>10416.665999999999</v>
      </c>
      <c r="I309" s="14">
        <f t="shared" si="9"/>
        <v>93749.993999999992</v>
      </c>
      <c r="J309" s="8" t="s">
        <v>157</v>
      </c>
      <c r="K309" s="8" t="s">
        <v>512</v>
      </c>
    </row>
    <row r="310" spans="1:11" x14ac:dyDescent="0.2">
      <c r="A310" s="10">
        <v>63602000</v>
      </c>
      <c r="B310" s="10" t="s">
        <v>7573</v>
      </c>
      <c r="C310" s="11">
        <v>0</v>
      </c>
      <c r="D310" s="11">
        <v>6.2E-2</v>
      </c>
      <c r="E310" s="11">
        <v>2.2000000000000002E-2</v>
      </c>
      <c r="F310" s="11">
        <v>266462.95699999999</v>
      </c>
      <c r="G310" s="11">
        <v>0</v>
      </c>
      <c r="H310" s="14">
        <f t="shared" si="8"/>
        <v>266462.99699999997</v>
      </c>
      <c r="I310" s="14">
        <f t="shared" si="9"/>
        <v>266462.99699999997</v>
      </c>
      <c r="J310" s="8" t="s">
        <v>157</v>
      </c>
      <c r="K310" s="8" t="s">
        <v>512</v>
      </c>
    </row>
    <row r="311" spans="1:11" x14ac:dyDescent="0.2">
      <c r="A311" s="10">
        <v>63610000</v>
      </c>
      <c r="B311" s="10" t="s">
        <v>7398</v>
      </c>
      <c r="C311" s="11">
        <v>2542.0889999999999</v>
      </c>
      <c r="D311" s="11">
        <v>340</v>
      </c>
      <c r="E311" s="11">
        <v>300</v>
      </c>
      <c r="F311" s="11">
        <v>0</v>
      </c>
      <c r="G311" s="11">
        <v>0</v>
      </c>
      <c r="H311" s="14">
        <f t="shared" si="8"/>
        <v>40</v>
      </c>
      <c r="I311" s="14">
        <f t="shared" si="9"/>
        <v>2582.0889999999999</v>
      </c>
      <c r="J311" s="8" t="s">
        <v>190</v>
      </c>
      <c r="K311" s="8" t="s">
        <v>519</v>
      </c>
    </row>
    <row r="312" spans="1:11" x14ac:dyDescent="0.2">
      <c r="A312" s="10">
        <v>64001000</v>
      </c>
      <c r="B312" s="10" t="s">
        <v>191</v>
      </c>
      <c r="C312" s="11">
        <v>2992469.5689999997</v>
      </c>
      <c r="D312" s="11">
        <v>625698.16700000002</v>
      </c>
      <c r="E312" s="11">
        <v>312849.11699999997</v>
      </c>
      <c r="F312" s="11">
        <v>50606.930999999997</v>
      </c>
      <c r="G312" s="11">
        <v>0</v>
      </c>
      <c r="H312" s="14">
        <f t="shared" si="8"/>
        <v>363455.98100000003</v>
      </c>
      <c r="I312" s="14">
        <f t="shared" si="9"/>
        <v>3355925.55</v>
      </c>
      <c r="J312" s="8" t="s">
        <v>192</v>
      </c>
      <c r="K312" s="8" t="s">
        <v>511</v>
      </c>
    </row>
    <row r="313" spans="1:11" x14ac:dyDescent="0.2">
      <c r="A313" s="10">
        <v>64280000</v>
      </c>
      <c r="B313" s="10" t="s">
        <v>193</v>
      </c>
      <c r="C313" s="11">
        <v>0</v>
      </c>
      <c r="D313" s="11">
        <v>3000</v>
      </c>
      <c r="E313" s="11">
        <v>0</v>
      </c>
      <c r="F313" s="11">
        <v>0</v>
      </c>
      <c r="G313" s="11">
        <v>0</v>
      </c>
      <c r="H313" s="14">
        <f t="shared" si="8"/>
        <v>3000</v>
      </c>
      <c r="I313" s="14">
        <f t="shared" si="9"/>
        <v>3000</v>
      </c>
      <c r="J313" s="8" t="s">
        <v>192</v>
      </c>
      <c r="K313" s="8" t="s">
        <v>511</v>
      </c>
    </row>
    <row r="314" spans="1:11" x14ac:dyDescent="0.2">
      <c r="A314" s="10">
        <v>64600100</v>
      </c>
      <c r="B314" s="10" t="s">
        <v>407</v>
      </c>
      <c r="C314" s="11">
        <v>10221.43200000003</v>
      </c>
      <c r="D314" s="11">
        <v>214590.37700000001</v>
      </c>
      <c r="E314" s="11">
        <v>200625.47399999999</v>
      </c>
      <c r="F314" s="11">
        <v>0</v>
      </c>
      <c r="G314" s="11">
        <v>0</v>
      </c>
      <c r="H314" s="14">
        <f t="shared" si="8"/>
        <v>13964.90300000002</v>
      </c>
      <c r="I314" s="14">
        <f t="shared" si="9"/>
        <v>24186.33500000005</v>
      </c>
      <c r="J314" s="8" t="s">
        <v>192</v>
      </c>
      <c r="K314" s="8" t="s">
        <v>511</v>
      </c>
    </row>
    <row r="315" spans="1:11" x14ac:dyDescent="0.2">
      <c r="A315" s="10">
        <v>64603000</v>
      </c>
      <c r="B315" s="10" t="s">
        <v>7404</v>
      </c>
      <c r="C315" s="11">
        <v>7497</v>
      </c>
      <c r="D315" s="11">
        <v>612</v>
      </c>
      <c r="E315" s="11">
        <v>0</v>
      </c>
      <c r="F315" s="11">
        <v>0</v>
      </c>
      <c r="G315" s="11">
        <v>0</v>
      </c>
      <c r="H315" s="14">
        <f t="shared" si="8"/>
        <v>612</v>
      </c>
      <c r="I315" s="14">
        <f t="shared" si="9"/>
        <v>8109</v>
      </c>
      <c r="J315" s="8" t="s">
        <v>192</v>
      </c>
      <c r="K315" s="8" t="s">
        <v>511</v>
      </c>
    </row>
    <row r="316" spans="1:11" x14ac:dyDescent="0.2">
      <c r="A316" s="10">
        <v>64720000</v>
      </c>
      <c r="B316" s="10" t="s">
        <v>194</v>
      </c>
      <c r="C316" s="11">
        <v>239318.65600000002</v>
      </c>
      <c r="D316" s="11">
        <v>0</v>
      </c>
      <c r="E316" s="11">
        <v>0</v>
      </c>
      <c r="F316" s="11">
        <v>28787.492999999999</v>
      </c>
      <c r="G316" s="11">
        <v>0</v>
      </c>
      <c r="H316" s="14">
        <f t="shared" si="8"/>
        <v>28787.492999999999</v>
      </c>
      <c r="I316" s="14">
        <f t="shared" si="9"/>
        <v>268106.14900000003</v>
      </c>
      <c r="J316" s="8" t="s">
        <v>192</v>
      </c>
      <c r="K316" s="8" t="s">
        <v>511</v>
      </c>
    </row>
    <row r="317" spans="1:11" x14ac:dyDescent="0.2">
      <c r="A317" s="10">
        <v>65110000</v>
      </c>
      <c r="B317" s="10" t="s">
        <v>385</v>
      </c>
      <c r="C317" s="11">
        <v>148271.67300000001</v>
      </c>
      <c r="D317" s="11">
        <v>0</v>
      </c>
      <c r="E317" s="11">
        <v>435.31400000000002</v>
      </c>
      <c r="F317" s="11">
        <v>7911.3690999999999</v>
      </c>
      <c r="G317" s="11">
        <v>5709.2460000000001</v>
      </c>
      <c r="H317" s="14">
        <f t="shared" si="8"/>
        <v>1766.8090999999995</v>
      </c>
      <c r="I317" s="14">
        <f t="shared" si="9"/>
        <v>150038.48210000002</v>
      </c>
      <c r="J317" s="8" t="s">
        <v>195</v>
      </c>
      <c r="K317" s="8" t="s">
        <v>517</v>
      </c>
    </row>
    <row r="318" spans="1:11" x14ac:dyDescent="0.2">
      <c r="A318" s="10">
        <v>65110200</v>
      </c>
      <c r="B318" s="10" t="s">
        <v>196</v>
      </c>
      <c r="C318" s="11">
        <v>256450.55600000001</v>
      </c>
      <c r="D318" s="11">
        <v>104414.682</v>
      </c>
      <c r="E318" s="11">
        <v>0</v>
      </c>
      <c r="F318" s="11">
        <v>15347.222</v>
      </c>
      <c r="G318" s="11">
        <v>76736.111000000004</v>
      </c>
      <c r="H318" s="14">
        <f t="shared" si="8"/>
        <v>43025.792999999991</v>
      </c>
      <c r="I318" s="14">
        <f t="shared" si="9"/>
        <v>299476.34899999999</v>
      </c>
      <c r="J318" s="8" t="s">
        <v>195</v>
      </c>
      <c r="K318" s="8" t="s">
        <v>517</v>
      </c>
    </row>
    <row r="319" spans="1:11" x14ac:dyDescent="0.2">
      <c r="A319" s="10">
        <v>65110400</v>
      </c>
      <c r="B319" s="10" t="s">
        <v>197</v>
      </c>
      <c r="C319" s="11">
        <v>394101.83850000007</v>
      </c>
      <c r="D319" s="11">
        <v>160637.97399999999</v>
      </c>
      <c r="E319" s="11">
        <v>0</v>
      </c>
      <c r="F319" s="11">
        <v>23611.111000000001</v>
      </c>
      <c r="G319" s="11">
        <v>118055.556</v>
      </c>
      <c r="H319" s="14">
        <f t="shared" si="8"/>
        <v>66193.528999999995</v>
      </c>
      <c r="I319" s="14">
        <f t="shared" si="9"/>
        <v>460295.36750000005</v>
      </c>
      <c r="J319" s="8" t="s">
        <v>195</v>
      </c>
      <c r="K319" s="8" t="s">
        <v>517</v>
      </c>
    </row>
    <row r="320" spans="1:11" x14ac:dyDescent="0.2">
      <c r="A320" s="10">
        <v>65115000</v>
      </c>
      <c r="B320" s="10" t="s">
        <v>379</v>
      </c>
      <c r="C320" s="11">
        <v>28665.546000000002</v>
      </c>
      <c r="D320" s="11">
        <v>3083.875</v>
      </c>
      <c r="E320" s="11">
        <v>0</v>
      </c>
      <c r="F320" s="11">
        <v>0</v>
      </c>
      <c r="G320" s="11">
        <v>0</v>
      </c>
      <c r="H320" s="14">
        <f t="shared" si="8"/>
        <v>3083.875</v>
      </c>
      <c r="I320" s="14">
        <f t="shared" si="9"/>
        <v>31749.421000000002</v>
      </c>
      <c r="J320" s="8" t="s">
        <v>195</v>
      </c>
      <c r="K320" s="8" t="s">
        <v>517</v>
      </c>
    </row>
    <row r="321" spans="1:11" x14ac:dyDescent="0.2">
      <c r="A321" s="10">
        <v>65150000</v>
      </c>
      <c r="B321" s="10" t="s">
        <v>270</v>
      </c>
      <c r="C321" s="11">
        <v>107026.851</v>
      </c>
      <c r="D321" s="11">
        <v>0</v>
      </c>
      <c r="E321" s="11">
        <v>0</v>
      </c>
      <c r="F321" s="11">
        <v>13610.959000000001</v>
      </c>
      <c r="G321" s="11">
        <v>0</v>
      </c>
      <c r="H321" s="14">
        <f t="shared" si="8"/>
        <v>13610.959000000001</v>
      </c>
      <c r="I321" s="14">
        <f t="shared" si="9"/>
        <v>120637.81</v>
      </c>
      <c r="J321" s="8" t="s">
        <v>195</v>
      </c>
      <c r="K321" s="8" t="s">
        <v>517</v>
      </c>
    </row>
    <row r="322" spans="1:11" x14ac:dyDescent="0.2">
      <c r="A322" s="10">
        <v>65160000</v>
      </c>
      <c r="B322" s="10" t="s">
        <v>9649</v>
      </c>
      <c r="C322" s="11">
        <v>0</v>
      </c>
      <c r="D322" s="11">
        <v>435.31400000000002</v>
      </c>
      <c r="E322" s="11">
        <v>435.31400000000002</v>
      </c>
      <c r="F322" s="11">
        <v>0</v>
      </c>
      <c r="G322" s="11">
        <v>0</v>
      </c>
      <c r="H322" s="14">
        <f t="shared" ref="H322:H342" si="10">D322+F322-E322-G322</f>
        <v>0</v>
      </c>
      <c r="I322" s="14">
        <f t="shared" ref="I322:I342" si="11">C322+H322</f>
        <v>0</v>
      </c>
      <c r="J322" s="8" t="s">
        <v>195</v>
      </c>
      <c r="K322" s="8" t="s">
        <v>517</v>
      </c>
    </row>
    <row r="323" spans="1:11" x14ac:dyDescent="0.2">
      <c r="A323" s="10">
        <v>65190000</v>
      </c>
      <c r="B323" s="10" t="s">
        <v>198</v>
      </c>
      <c r="C323" s="11">
        <v>247271.23129999998</v>
      </c>
      <c r="D323" s="11">
        <v>0</v>
      </c>
      <c r="E323" s="11">
        <v>0</v>
      </c>
      <c r="F323" s="11">
        <v>32175.828000000001</v>
      </c>
      <c r="G323" s="11">
        <v>0</v>
      </c>
      <c r="H323" s="14">
        <f t="shared" si="10"/>
        <v>32175.828000000001</v>
      </c>
      <c r="I323" s="14">
        <f t="shared" si="11"/>
        <v>279447.05929999996</v>
      </c>
      <c r="J323" s="8" t="s">
        <v>195</v>
      </c>
      <c r="K323" s="8" t="s">
        <v>517</v>
      </c>
    </row>
    <row r="324" spans="1:11" x14ac:dyDescent="0.2">
      <c r="A324" s="10">
        <v>65500000</v>
      </c>
      <c r="B324" s="10" t="s">
        <v>400</v>
      </c>
      <c r="C324" s="11">
        <v>62924.445999999982</v>
      </c>
      <c r="D324" s="11">
        <v>3172.3356560000002</v>
      </c>
      <c r="E324" s="11">
        <v>66110.959000000003</v>
      </c>
      <c r="F324" s="11">
        <v>0</v>
      </c>
      <c r="G324" s="11">
        <v>11933.462</v>
      </c>
      <c r="H324" s="14">
        <f t="shared" si="10"/>
        <v>-74872.085343999992</v>
      </c>
      <c r="I324" s="14">
        <f t="shared" si="11"/>
        <v>-11947.63934400001</v>
      </c>
      <c r="J324" s="8" t="s">
        <v>195</v>
      </c>
      <c r="K324" s="8" t="s">
        <v>517</v>
      </c>
    </row>
    <row r="325" spans="1:11" x14ac:dyDescent="0.2">
      <c r="A325" s="10">
        <v>66500000</v>
      </c>
      <c r="B325" s="10" t="s">
        <v>8974</v>
      </c>
      <c r="C325" s="11">
        <v>-496.64600000000002</v>
      </c>
      <c r="D325" s="11">
        <v>0</v>
      </c>
      <c r="E325" s="11">
        <v>0</v>
      </c>
      <c r="F325" s="11">
        <v>0</v>
      </c>
      <c r="G325" s="11">
        <v>0</v>
      </c>
      <c r="H325" s="14">
        <f t="shared" si="10"/>
        <v>0</v>
      </c>
      <c r="I325" s="14">
        <f t="shared" si="11"/>
        <v>-496.64600000000002</v>
      </c>
      <c r="J325" s="8" t="s">
        <v>157</v>
      </c>
      <c r="K325" s="8" t="s">
        <v>512</v>
      </c>
    </row>
    <row r="326" spans="1:11" x14ac:dyDescent="0.2">
      <c r="A326" s="10">
        <v>66520000</v>
      </c>
      <c r="B326" s="10" t="s">
        <v>200</v>
      </c>
      <c r="C326" s="11">
        <v>61557.933999999987</v>
      </c>
      <c r="D326" s="11">
        <v>11465.721000000001</v>
      </c>
      <c r="E326" s="11">
        <v>0</v>
      </c>
      <c r="F326" s="11">
        <v>11678.343999999999</v>
      </c>
      <c r="G326" s="11">
        <v>10910.925999999999</v>
      </c>
      <c r="H326" s="14">
        <f t="shared" si="10"/>
        <v>12233.139000000003</v>
      </c>
      <c r="I326" s="14">
        <f t="shared" si="11"/>
        <v>73791.072999999989</v>
      </c>
      <c r="J326" s="8" t="s">
        <v>157</v>
      </c>
      <c r="K326" s="8" t="s">
        <v>512</v>
      </c>
    </row>
    <row r="327" spans="1:11" x14ac:dyDescent="0.2">
      <c r="A327" s="10">
        <v>66540000</v>
      </c>
      <c r="B327" s="10" t="s">
        <v>201</v>
      </c>
      <c r="C327" s="11">
        <v>6604.8140000000003</v>
      </c>
      <c r="D327" s="11">
        <v>386.87099999999998</v>
      </c>
      <c r="E327" s="11">
        <v>2</v>
      </c>
      <c r="F327" s="11">
        <v>0</v>
      </c>
      <c r="G327" s="11">
        <v>0</v>
      </c>
      <c r="H327" s="14">
        <f t="shared" si="10"/>
        <v>384.87099999999998</v>
      </c>
      <c r="I327" s="14">
        <f t="shared" si="11"/>
        <v>6989.6850000000004</v>
      </c>
      <c r="J327" s="8" t="s">
        <v>157</v>
      </c>
      <c r="K327" s="8" t="s">
        <v>512</v>
      </c>
    </row>
    <row r="328" spans="1:11" x14ac:dyDescent="0.2">
      <c r="A328" s="10">
        <v>66550000</v>
      </c>
      <c r="B328" s="10" t="s">
        <v>202</v>
      </c>
      <c r="C328" s="11">
        <v>8180.3189999999995</v>
      </c>
      <c r="D328" s="11">
        <v>67.608000000000004</v>
      </c>
      <c r="E328" s="11">
        <v>0</v>
      </c>
      <c r="F328" s="11">
        <v>900</v>
      </c>
      <c r="G328" s="11">
        <v>0</v>
      </c>
      <c r="H328" s="14">
        <f t="shared" si="10"/>
        <v>967.60799999999995</v>
      </c>
      <c r="I328" s="14">
        <f t="shared" si="11"/>
        <v>9147.9269999999997</v>
      </c>
      <c r="J328" s="8" t="s">
        <v>157</v>
      </c>
      <c r="K328" s="8" t="s">
        <v>512</v>
      </c>
    </row>
    <row r="329" spans="1:11" x14ac:dyDescent="0.2">
      <c r="A329" s="10">
        <v>68112000</v>
      </c>
      <c r="B329" s="10" t="s">
        <v>271</v>
      </c>
      <c r="C329" s="11">
        <v>1645353.0999999999</v>
      </c>
      <c r="D329" s="11">
        <v>0</v>
      </c>
      <c r="E329" s="11">
        <v>0</v>
      </c>
      <c r="F329" s="11">
        <v>2038853.584</v>
      </c>
      <c r="G329" s="11">
        <v>1853292.567</v>
      </c>
      <c r="H329" s="14">
        <f t="shared" si="10"/>
        <v>185561.01699999999</v>
      </c>
      <c r="I329" s="14">
        <f t="shared" si="11"/>
        <v>1830914.1169999999</v>
      </c>
      <c r="J329" s="8" t="s">
        <v>203</v>
      </c>
      <c r="K329" s="8" t="s">
        <v>7578</v>
      </c>
    </row>
    <row r="330" spans="1:11" x14ac:dyDescent="0.2">
      <c r="A330" s="10">
        <v>68180000</v>
      </c>
      <c r="B330" s="10" t="s">
        <v>8976</v>
      </c>
      <c r="C330" s="11">
        <v>0</v>
      </c>
      <c r="D330" s="11">
        <v>0</v>
      </c>
      <c r="E330" s="11">
        <v>0</v>
      </c>
      <c r="F330" s="11">
        <v>0</v>
      </c>
      <c r="G330" s="11">
        <v>0</v>
      </c>
      <c r="H330" s="14">
        <f t="shared" si="10"/>
        <v>0</v>
      </c>
      <c r="I330" s="14">
        <f t="shared" si="11"/>
        <v>0</v>
      </c>
      <c r="J330" s="8" t="s">
        <v>7715</v>
      </c>
      <c r="K330" s="8" t="s">
        <v>7716</v>
      </c>
    </row>
    <row r="331" spans="1:11" x14ac:dyDescent="0.2">
      <c r="A331" s="10">
        <v>70000000</v>
      </c>
      <c r="B331" s="10" t="s">
        <v>205</v>
      </c>
      <c r="C331" s="11">
        <v>-20022817.323999997</v>
      </c>
      <c r="D331" s="11">
        <v>348666.42700000003</v>
      </c>
      <c r="E331" s="11">
        <v>4026487.247</v>
      </c>
      <c r="F331" s="11">
        <v>0</v>
      </c>
      <c r="G331" s="11">
        <v>33413</v>
      </c>
      <c r="H331" s="14">
        <f t="shared" si="10"/>
        <v>-3711233.82</v>
      </c>
      <c r="I331" s="14">
        <f t="shared" si="11"/>
        <v>-23734051.143999998</v>
      </c>
      <c r="J331" s="8" t="s">
        <v>206</v>
      </c>
      <c r="K331" s="8" t="s">
        <v>505</v>
      </c>
    </row>
    <row r="332" spans="1:11" x14ac:dyDescent="0.2">
      <c r="A332" s="10">
        <v>70102000</v>
      </c>
      <c r="B332" s="10" t="s">
        <v>207</v>
      </c>
      <c r="C332" s="11">
        <v>-10355141.499879999</v>
      </c>
      <c r="D332" s="11">
        <v>0</v>
      </c>
      <c r="E332" s="11">
        <v>2225383.7630000003</v>
      </c>
      <c r="F332" s="11">
        <v>162057.986</v>
      </c>
      <c r="G332" s="11">
        <v>0</v>
      </c>
      <c r="H332" s="14">
        <f t="shared" si="10"/>
        <v>-2063325.7770000002</v>
      </c>
      <c r="I332" s="14">
        <f t="shared" si="11"/>
        <v>-12418467.27688</v>
      </c>
      <c r="J332" s="8" t="s">
        <v>227</v>
      </c>
      <c r="K332" s="8" t="s">
        <v>504</v>
      </c>
    </row>
    <row r="333" spans="1:11" x14ac:dyDescent="0.2">
      <c r="A333" s="10">
        <v>70103000</v>
      </c>
      <c r="B333" s="10" t="s">
        <v>380</v>
      </c>
      <c r="C333" s="11">
        <v>-54465</v>
      </c>
      <c r="D333" s="11">
        <v>0</v>
      </c>
      <c r="E333" s="11">
        <v>5465</v>
      </c>
      <c r="F333" s="11">
        <v>0</v>
      </c>
      <c r="G333" s="11">
        <v>0</v>
      </c>
      <c r="H333" s="14">
        <f t="shared" si="10"/>
        <v>-5465</v>
      </c>
      <c r="I333" s="14">
        <f t="shared" si="11"/>
        <v>-59930</v>
      </c>
      <c r="J333" s="8" t="s">
        <v>206</v>
      </c>
      <c r="K333" s="8" t="s">
        <v>505</v>
      </c>
    </row>
    <row r="334" spans="1:11" x14ac:dyDescent="0.2">
      <c r="A334" s="10">
        <v>70600000</v>
      </c>
      <c r="B334" s="10" t="s">
        <v>381</v>
      </c>
      <c r="C334" s="11">
        <v>-140625.38</v>
      </c>
      <c r="D334" s="11">
        <v>0</v>
      </c>
      <c r="E334" s="11">
        <v>0</v>
      </c>
      <c r="F334" s="11">
        <v>0</v>
      </c>
      <c r="G334" s="11">
        <v>0</v>
      </c>
      <c r="H334" s="14">
        <f t="shared" si="10"/>
        <v>0</v>
      </c>
      <c r="I334" s="14">
        <f t="shared" si="11"/>
        <v>-140625.38</v>
      </c>
      <c r="J334" s="8" t="s">
        <v>214</v>
      </c>
      <c r="K334" s="8" t="s">
        <v>506</v>
      </c>
    </row>
    <row r="335" spans="1:11" x14ac:dyDescent="0.2">
      <c r="A335" s="10">
        <v>70600500</v>
      </c>
      <c r="B335" s="10" t="s">
        <v>208</v>
      </c>
      <c r="C335" s="11">
        <v>-25800.706000000002</v>
      </c>
      <c r="D335" s="11">
        <v>0</v>
      </c>
      <c r="E335" s="11">
        <v>0</v>
      </c>
      <c r="F335" s="11">
        <v>0</v>
      </c>
      <c r="G335" s="11">
        <v>3242.453</v>
      </c>
      <c r="H335" s="14">
        <f t="shared" si="10"/>
        <v>-3242.453</v>
      </c>
      <c r="I335" s="14">
        <f t="shared" si="11"/>
        <v>-29043.159000000003</v>
      </c>
      <c r="J335" s="8" t="s">
        <v>214</v>
      </c>
      <c r="K335" s="8" t="s">
        <v>506</v>
      </c>
    </row>
    <row r="336" spans="1:11" x14ac:dyDescent="0.2">
      <c r="A336" s="10">
        <v>71340000</v>
      </c>
      <c r="B336" s="10" t="s">
        <v>382</v>
      </c>
      <c r="C336" s="11">
        <v>0</v>
      </c>
      <c r="D336" s="11">
        <v>0</v>
      </c>
      <c r="E336" s="11">
        <v>0</v>
      </c>
      <c r="F336" s="11">
        <v>0</v>
      </c>
      <c r="G336" s="11">
        <v>0</v>
      </c>
      <c r="H336" s="14">
        <f t="shared" si="10"/>
        <v>0</v>
      </c>
      <c r="I336" s="14">
        <f t="shared" si="11"/>
        <v>0</v>
      </c>
      <c r="J336" s="8" t="s">
        <v>210</v>
      </c>
      <c r="K336" s="8" t="s">
        <v>508</v>
      </c>
    </row>
    <row r="337" spans="1:11" x14ac:dyDescent="0.2">
      <c r="A337" s="10">
        <v>71350000</v>
      </c>
      <c r="B337" s="10" t="s">
        <v>209</v>
      </c>
      <c r="C337" s="11">
        <v>4992501.9140000008</v>
      </c>
      <c r="D337" s="11">
        <v>0</v>
      </c>
      <c r="E337" s="11">
        <v>0</v>
      </c>
      <c r="F337" s="11">
        <v>0</v>
      </c>
      <c r="G337" s="11">
        <v>5648176.9610000001</v>
      </c>
      <c r="H337" s="14">
        <f t="shared" si="10"/>
        <v>-5648176.9610000001</v>
      </c>
      <c r="I337" s="14">
        <f t="shared" si="11"/>
        <v>-655675.04699999932</v>
      </c>
      <c r="J337" s="8" t="s">
        <v>210</v>
      </c>
      <c r="K337" s="8" t="s">
        <v>508</v>
      </c>
    </row>
    <row r="338" spans="1:11" x14ac:dyDescent="0.2">
      <c r="A338" s="10">
        <v>73601000</v>
      </c>
      <c r="B338" s="10" t="s">
        <v>211</v>
      </c>
      <c r="C338" s="11">
        <v>-42</v>
      </c>
      <c r="D338" s="11">
        <v>0</v>
      </c>
      <c r="E338" s="11">
        <v>0</v>
      </c>
      <c r="F338" s="11">
        <v>0</v>
      </c>
      <c r="G338" s="11">
        <v>0</v>
      </c>
      <c r="H338" s="14">
        <f t="shared" si="10"/>
        <v>0</v>
      </c>
      <c r="I338" s="14">
        <f t="shared" si="11"/>
        <v>-42</v>
      </c>
      <c r="J338" s="8" t="s">
        <v>214</v>
      </c>
      <c r="K338" s="8" t="s">
        <v>506</v>
      </c>
    </row>
    <row r="339" spans="1:11" x14ac:dyDescent="0.2">
      <c r="A339" s="10">
        <v>73602000</v>
      </c>
      <c r="B339" s="10" t="s">
        <v>8975</v>
      </c>
      <c r="C339" s="11">
        <v>-6.0000000000000001E-3</v>
      </c>
      <c r="D339" s="11">
        <v>0</v>
      </c>
      <c r="E339" s="11">
        <v>7.31</v>
      </c>
      <c r="F339" s="11">
        <v>0</v>
      </c>
      <c r="G339" s="11">
        <v>0</v>
      </c>
      <c r="H339" s="14">
        <f t="shared" si="10"/>
        <v>-7.31</v>
      </c>
      <c r="I339" s="14">
        <f t="shared" si="11"/>
        <v>-7.3159999999999998</v>
      </c>
      <c r="J339" s="8" t="s">
        <v>214</v>
      </c>
      <c r="K339" s="8" t="s">
        <v>506</v>
      </c>
    </row>
    <row r="340" spans="1:11" x14ac:dyDescent="0.2">
      <c r="A340" s="10">
        <v>74100000</v>
      </c>
      <c r="B340" s="10" t="s">
        <v>8980</v>
      </c>
      <c r="C340" s="11">
        <v>-1843.7079999999999</v>
      </c>
      <c r="D340" s="11">
        <v>0</v>
      </c>
      <c r="E340" s="11">
        <v>0</v>
      </c>
      <c r="F340" s="11">
        <v>0</v>
      </c>
      <c r="G340" s="11">
        <v>0</v>
      </c>
      <c r="H340" s="14">
        <f t="shared" si="10"/>
        <v>0</v>
      </c>
      <c r="I340" s="14">
        <f t="shared" si="11"/>
        <v>-1843.7079999999999</v>
      </c>
      <c r="J340" s="8" t="s">
        <v>214</v>
      </c>
      <c r="K340" s="8" t="s">
        <v>506</v>
      </c>
    </row>
    <row r="341" spans="1:11" x14ac:dyDescent="0.2">
      <c r="A341" s="10">
        <v>75000000</v>
      </c>
      <c r="B341" s="10" t="s">
        <v>7575</v>
      </c>
      <c r="C341" s="11">
        <v>-1747.3849999999998</v>
      </c>
      <c r="D341" s="11">
        <v>0</v>
      </c>
      <c r="E341" s="11">
        <v>0</v>
      </c>
      <c r="F341" s="11">
        <v>0</v>
      </c>
      <c r="G341" s="11">
        <v>0</v>
      </c>
      <c r="H341" s="14">
        <f t="shared" si="10"/>
        <v>0</v>
      </c>
      <c r="I341" s="14">
        <f t="shared" si="11"/>
        <v>-1747.3849999999998</v>
      </c>
      <c r="J341" s="8" t="s">
        <v>195</v>
      </c>
      <c r="K341" s="8" t="s">
        <v>517</v>
      </c>
    </row>
    <row r="342" spans="1:11" x14ac:dyDescent="0.2">
      <c r="A342" s="10">
        <v>75600000</v>
      </c>
      <c r="B342" s="10" t="s">
        <v>215</v>
      </c>
      <c r="C342" s="11">
        <v>-98257.298000000024</v>
      </c>
      <c r="D342" s="11">
        <v>73756.207000000009</v>
      </c>
      <c r="E342" s="11">
        <v>52774.768656000007</v>
      </c>
      <c r="F342" s="11">
        <v>93514.163</v>
      </c>
      <c r="G342" s="11">
        <v>74306.239199999996</v>
      </c>
      <c r="H342" s="14">
        <f t="shared" si="10"/>
        <v>40189.362143999999</v>
      </c>
      <c r="I342" s="14">
        <f t="shared" si="11"/>
        <v>-58067.935856000026</v>
      </c>
      <c r="J342" s="8" t="s">
        <v>195</v>
      </c>
      <c r="K342" s="8" t="s">
        <v>517</v>
      </c>
    </row>
    <row r="343" spans="1:11" x14ac:dyDescent="0.2">
      <c r="A343" s="10">
        <v>73900000</v>
      </c>
      <c r="B343" s="10" t="s">
        <v>213</v>
      </c>
      <c r="C343" s="11">
        <v>-175175.46399999998</v>
      </c>
      <c r="D343" s="11">
        <v>0</v>
      </c>
      <c r="E343" s="11">
        <v>0</v>
      </c>
      <c r="F343" s="11">
        <v>0</v>
      </c>
      <c r="G343" s="11">
        <v>21896.933000000001</v>
      </c>
      <c r="H343" s="14">
        <f>D343+F343-E343-G343</f>
        <v>-21896.933000000001</v>
      </c>
      <c r="I343" s="14">
        <f>C343+H343</f>
        <v>-197072.39699999997</v>
      </c>
      <c r="J343" s="8" t="s">
        <v>214</v>
      </c>
      <c r="K343" s="8" t="s">
        <v>506</v>
      </c>
    </row>
    <row r="344" spans="1:11" x14ac:dyDescent="0.2">
      <c r="A344" s="10">
        <v>77000000</v>
      </c>
      <c r="B344" s="10" t="s">
        <v>216</v>
      </c>
      <c r="C344" s="11">
        <v>-5.71</v>
      </c>
      <c r="D344" s="11">
        <v>7.31</v>
      </c>
      <c r="E344" s="11">
        <v>1.6</v>
      </c>
      <c r="F344" s="11">
        <v>0</v>
      </c>
      <c r="G344" s="11">
        <v>0</v>
      </c>
      <c r="H344" s="14">
        <f>D344+F344-E344-G344</f>
        <v>5.7099999999999991</v>
      </c>
      <c r="I344" s="14">
        <f>C344+H344</f>
        <v>0</v>
      </c>
      <c r="J344" s="8" t="s">
        <v>212</v>
      </c>
      <c r="K344" s="8" t="s">
        <v>518</v>
      </c>
    </row>
    <row r="345" spans="1:11" x14ac:dyDescent="0.2">
      <c r="A345" s="10">
        <v>79999999</v>
      </c>
      <c r="B345" s="10" t="s">
        <v>383</v>
      </c>
      <c r="C345" s="11">
        <v>-2.6040943339467049E-4</v>
      </c>
      <c r="D345" s="11">
        <v>0</v>
      </c>
      <c r="E345" s="11">
        <v>0</v>
      </c>
      <c r="F345" s="11">
        <v>0</v>
      </c>
      <c r="G345" s="11">
        <v>0</v>
      </c>
      <c r="H345" s="14">
        <f>D345+F345-E345-G345</f>
        <v>0</v>
      </c>
      <c r="I345" s="14">
        <f>C345+H345</f>
        <v>-2.6040943339467049E-4</v>
      </c>
      <c r="J345" s="8"/>
      <c r="K345" s="8"/>
    </row>
    <row r="346" spans="1:11" s="460" customFormat="1" ht="12" x14ac:dyDescent="0.2">
      <c r="C346" s="344">
        <f>SUM(C2:C345)</f>
        <v>-1.4903114875775003E-4</v>
      </c>
      <c r="D346" s="344">
        <f t="shared" ref="D346:I346" si="12">SUM(D2:D345)</f>
        <v>50516646.125895493</v>
      </c>
      <c r="E346" s="344">
        <f t="shared" si="12"/>
        <v>50516646.125810511</v>
      </c>
      <c r="F346" s="344">
        <f t="shared" si="12"/>
        <v>22624858.827100016</v>
      </c>
      <c r="G346" s="344">
        <f t="shared" si="12"/>
        <v>22624858.827099998</v>
      </c>
      <c r="H346" s="344">
        <f t="shared" si="12"/>
        <v>8.4990556350916791E-5</v>
      </c>
      <c r="I346" s="344">
        <f t="shared" si="12"/>
        <v>-6.4029562054201961E-5</v>
      </c>
      <c r="J346" s="463"/>
    </row>
  </sheetData>
  <autoFilter ref="A1:J346" xr:uid="{00000000-0009-0000-0000-000012000000}"/>
  <pageMargins left="0.7" right="0.7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K348"/>
  <sheetViews>
    <sheetView workbookViewId="0">
      <pane ySplit="1" topLeftCell="A322" activePane="bottomLeft" state="frozen"/>
      <selection pane="bottomLeft" activeCell="G334" sqref="G334"/>
    </sheetView>
  </sheetViews>
  <sheetFormatPr baseColWidth="10" defaultRowHeight="11.25" x14ac:dyDescent="0.2"/>
  <cols>
    <col min="1" max="1" width="14.42578125" style="302" bestFit="1" customWidth="1"/>
    <col min="2" max="2" width="23.7109375" style="302" bestFit="1" customWidth="1"/>
    <col min="3" max="3" width="15.140625" style="305" bestFit="1" customWidth="1"/>
    <col min="4" max="5" width="14.28515625" style="305" bestFit="1" customWidth="1"/>
    <col min="6" max="7" width="14.42578125" style="305" bestFit="1" customWidth="1"/>
    <col min="8" max="8" width="13.140625" style="305" bestFit="1" customWidth="1"/>
    <col min="9" max="9" width="13.28515625" style="305" bestFit="1" customWidth="1"/>
    <col min="10" max="10" width="25" style="302" customWidth="1"/>
    <col min="11" max="16384" width="11.42578125" style="302"/>
  </cols>
  <sheetData>
    <row r="1" spans="1:11" x14ac:dyDescent="0.2">
      <c r="A1" s="6" t="s">
        <v>1</v>
      </c>
      <c r="B1" s="6" t="s">
        <v>0</v>
      </c>
      <c r="C1" s="7" t="s">
        <v>5</v>
      </c>
      <c r="D1" s="7" t="s">
        <v>2</v>
      </c>
      <c r="E1" s="7" t="s">
        <v>260</v>
      </c>
      <c r="F1" s="7" t="s">
        <v>218</v>
      </c>
      <c r="G1" s="7" t="s">
        <v>219</v>
      </c>
      <c r="H1" s="7" t="s">
        <v>6</v>
      </c>
      <c r="I1" s="660" t="s">
        <v>217</v>
      </c>
      <c r="J1" s="660" t="s">
        <v>384</v>
      </c>
    </row>
    <row r="2" spans="1:11" x14ac:dyDescent="0.2">
      <c r="A2" s="10">
        <v>10100000</v>
      </c>
      <c r="B2" s="10" t="s">
        <v>7</v>
      </c>
      <c r="C2" s="11">
        <v>-13500000</v>
      </c>
      <c r="D2" s="11">
        <v>0</v>
      </c>
      <c r="E2" s="11">
        <v>0</v>
      </c>
      <c r="F2" s="13">
        <v>0</v>
      </c>
      <c r="G2" s="13">
        <v>0</v>
      </c>
      <c r="H2" s="14">
        <f>+D2+F2-E2-G2</f>
        <v>0</v>
      </c>
      <c r="I2" s="14">
        <f>+H2+C2</f>
        <v>-13500000</v>
      </c>
      <c r="J2" s="598" t="s">
        <v>8</v>
      </c>
      <c r="K2" s="302">
        <v>0</v>
      </c>
    </row>
    <row r="3" spans="1:11" x14ac:dyDescent="0.2">
      <c r="A3" s="10">
        <v>11101000</v>
      </c>
      <c r="B3" s="10" t="s">
        <v>9</v>
      </c>
      <c r="C3" s="11">
        <v>-1200000</v>
      </c>
      <c r="D3" s="11">
        <v>0</v>
      </c>
      <c r="E3" s="11">
        <v>0</v>
      </c>
      <c r="F3" s="13">
        <v>0</v>
      </c>
      <c r="G3" s="13">
        <v>0</v>
      </c>
      <c r="H3" s="14">
        <f t="shared" ref="H3:H66" si="0">+D3+F3-E3-G3</f>
        <v>0</v>
      </c>
      <c r="I3" s="14">
        <f t="shared" ref="I3:I66" si="1">+H3+C3</f>
        <v>-1200000</v>
      </c>
      <c r="J3" s="598" t="s">
        <v>10</v>
      </c>
      <c r="K3" s="302">
        <v>0</v>
      </c>
    </row>
    <row r="4" spans="1:11" x14ac:dyDescent="0.2">
      <c r="A4" s="10">
        <v>12100000</v>
      </c>
      <c r="B4" s="10" t="s">
        <v>11</v>
      </c>
      <c r="C4" s="11">
        <v>-17517372.004100919</v>
      </c>
      <c r="D4" s="11">
        <v>0</v>
      </c>
      <c r="E4" s="11">
        <v>0</v>
      </c>
      <c r="F4" s="13">
        <v>0</v>
      </c>
      <c r="G4" s="13">
        <v>0</v>
      </c>
      <c r="H4" s="14">
        <f t="shared" si="0"/>
        <v>0</v>
      </c>
      <c r="I4" s="14">
        <f t="shared" si="1"/>
        <v>-17517372.004100919</v>
      </c>
      <c r="J4" s="598" t="s">
        <v>12</v>
      </c>
      <c r="K4" s="302">
        <v>0</v>
      </c>
    </row>
    <row r="5" spans="1:11" x14ac:dyDescent="0.2">
      <c r="A5" s="10">
        <v>12200000</v>
      </c>
      <c r="B5" s="10" t="s">
        <v>272</v>
      </c>
      <c r="C5" s="11">
        <v>0</v>
      </c>
      <c r="D5" s="11">
        <v>0</v>
      </c>
      <c r="E5" s="11">
        <v>0</v>
      </c>
      <c r="F5" s="13">
        <v>0</v>
      </c>
      <c r="G5" s="13">
        <v>0</v>
      </c>
      <c r="H5" s="14">
        <f t="shared" si="0"/>
        <v>0</v>
      </c>
      <c r="I5" s="14">
        <f t="shared" si="1"/>
        <v>0</v>
      </c>
      <c r="J5" s="598"/>
      <c r="K5" s="302">
        <v>0</v>
      </c>
    </row>
    <row r="6" spans="1:11" x14ac:dyDescent="0.2">
      <c r="A6" s="10">
        <v>12800000</v>
      </c>
      <c r="B6" s="10" t="s">
        <v>13</v>
      </c>
      <c r="C6" s="11">
        <v>3126298.01</v>
      </c>
      <c r="D6" s="11">
        <v>4965118.6569999997</v>
      </c>
      <c r="E6" s="11">
        <v>4965118.6569999997</v>
      </c>
      <c r="F6" s="13">
        <v>0</v>
      </c>
      <c r="G6" s="13">
        <v>0</v>
      </c>
      <c r="H6" s="14">
        <f t="shared" si="0"/>
        <v>0</v>
      </c>
      <c r="I6" s="14">
        <f t="shared" si="1"/>
        <v>3126298.01</v>
      </c>
      <c r="J6" s="598" t="s">
        <v>14</v>
      </c>
      <c r="K6" s="302">
        <v>0</v>
      </c>
    </row>
    <row r="7" spans="1:11" x14ac:dyDescent="0.2">
      <c r="A7" s="10">
        <v>13000000</v>
      </c>
      <c r="B7" s="10" t="s">
        <v>273</v>
      </c>
      <c r="C7" s="11">
        <v>0</v>
      </c>
      <c r="D7" s="11">
        <v>0</v>
      </c>
      <c r="E7" s="11">
        <v>0</v>
      </c>
      <c r="F7" s="13">
        <v>0</v>
      </c>
      <c r="G7" s="13">
        <v>0</v>
      </c>
      <c r="H7" s="14">
        <f t="shared" si="0"/>
        <v>0</v>
      </c>
      <c r="I7" s="14">
        <f t="shared" si="1"/>
        <v>0</v>
      </c>
      <c r="J7" s="598"/>
      <c r="K7" s="302">
        <v>0</v>
      </c>
    </row>
    <row r="8" spans="1:11" x14ac:dyDescent="0.2">
      <c r="A8" s="10">
        <v>14500000</v>
      </c>
      <c r="B8" s="10" t="s">
        <v>15</v>
      </c>
      <c r="C8" s="11">
        <v>-3479108.84</v>
      </c>
      <c r="D8" s="11">
        <v>0</v>
      </c>
      <c r="E8" s="11">
        <v>0</v>
      </c>
      <c r="F8" s="13">
        <v>0</v>
      </c>
      <c r="G8" s="13">
        <v>0</v>
      </c>
      <c r="H8" s="14">
        <f t="shared" si="0"/>
        <v>0</v>
      </c>
      <c r="I8" s="14">
        <f t="shared" si="1"/>
        <v>-3479108.84</v>
      </c>
      <c r="J8" s="598" t="s">
        <v>16</v>
      </c>
      <c r="K8" s="302">
        <v>0</v>
      </c>
    </row>
    <row r="9" spans="1:11" x14ac:dyDescent="0.2">
      <c r="A9" s="10">
        <v>14508000</v>
      </c>
      <c r="B9" s="10" t="s">
        <v>17</v>
      </c>
      <c r="C9" s="11">
        <v>2410241.3199999998</v>
      </c>
      <c r="D9" s="11">
        <v>0</v>
      </c>
      <c r="E9" s="11">
        <v>0</v>
      </c>
      <c r="F9" s="13">
        <v>235794.889</v>
      </c>
      <c r="G9" s="13">
        <v>0</v>
      </c>
      <c r="H9" s="14">
        <f t="shared" si="0"/>
        <v>235794.889</v>
      </c>
      <c r="I9" s="14">
        <f t="shared" si="1"/>
        <v>2646036.2089999998</v>
      </c>
      <c r="J9" s="598" t="s">
        <v>18</v>
      </c>
      <c r="K9" s="302">
        <v>0</v>
      </c>
    </row>
    <row r="10" spans="1:11" x14ac:dyDescent="0.2">
      <c r="A10" s="10">
        <v>15100000</v>
      </c>
      <c r="B10" s="10" t="s">
        <v>19</v>
      </c>
      <c r="C10" s="11">
        <v>-231535.016</v>
      </c>
      <c r="D10" s="11">
        <v>0</v>
      </c>
      <c r="E10" s="11">
        <v>0</v>
      </c>
      <c r="F10" s="13">
        <v>0</v>
      </c>
      <c r="G10" s="13">
        <v>0</v>
      </c>
      <c r="H10" s="14">
        <f t="shared" si="0"/>
        <v>0</v>
      </c>
      <c r="I10" s="14">
        <f t="shared" si="1"/>
        <v>-231535.016</v>
      </c>
      <c r="J10" s="598" t="s">
        <v>20</v>
      </c>
      <c r="K10" s="302">
        <v>0</v>
      </c>
    </row>
    <row r="11" spans="1:11" x14ac:dyDescent="0.2">
      <c r="A11" s="10">
        <v>16210250</v>
      </c>
      <c r="B11" s="10" t="s">
        <v>274</v>
      </c>
      <c r="C11" s="11">
        <v>0</v>
      </c>
      <c r="D11" s="11">
        <v>0</v>
      </c>
      <c r="E11" s="11">
        <v>0</v>
      </c>
      <c r="F11" s="13">
        <v>0</v>
      </c>
      <c r="G11" s="13">
        <v>0</v>
      </c>
      <c r="H11" s="14">
        <f t="shared" si="0"/>
        <v>0</v>
      </c>
      <c r="I11" s="14">
        <f t="shared" si="1"/>
        <v>0</v>
      </c>
      <c r="J11" s="598"/>
      <c r="K11" s="302">
        <v>0</v>
      </c>
    </row>
    <row r="12" spans="1:11" x14ac:dyDescent="0.2">
      <c r="A12" s="10">
        <v>16210500</v>
      </c>
      <c r="B12" s="10" t="s">
        <v>21</v>
      </c>
      <c r="C12" s="11">
        <v>-1041666.6629999988</v>
      </c>
      <c r="D12" s="11">
        <v>0</v>
      </c>
      <c r="E12" s="11">
        <v>1000000</v>
      </c>
      <c r="F12" s="13">
        <v>0</v>
      </c>
      <c r="G12" s="13">
        <v>0</v>
      </c>
      <c r="H12" s="14">
        <f t="shared" si="0"/>
        <v>-1000000</v>
      </c>
      <c r="I12" s="14">
        <f t="shared" si="1"/>
        <v>-2041666.6629999988</v>
      </c>
      <c r="J12" s="598" t="s">
        <v>22</v>
      </c>
      <c r="K12" s="302">
        <v>0</v>
      </c>
    </row>
    <row r="13" spans="1:11" x14ac:dyDescent="0.2">
      <c r="A13" s="10">
        <v>16210960</v>
      </c>
      <c r="B13" s="10" t="s">
        <v>275</v>
      </c>
      <c r="C13" s="11">
        <v>0</v>
      </c>
      <c r="D13" s="11">
        <v>0</v>
      </c>
      <c r="E13" s="11">
        <v>0</v>
      </c>
      <c r="F13" s="13">
        <v>0</v>
      </c>
      <c r="G13" s="13">
        <v>0</v>
      </c>
      <c r="H13" s="14">
        <f t="shared" si="0"/>
        <v>0</v>
      </c>
      <c r="I13" s="14">
        <f t="shared" si="1"/>
        <v>0</v>
      </c>
      <c r="J13" s="598"/>
      <c r="K13" s="302">
        <v>0</v>
      </c>
    </row>
    <row r="14" spans="1:11" x14ac:dyDescent="0.2">
      <c r="A14" s="10">
        <v>16400000</v>
      </c>
      <c r="B14" s="10" t="s">
        <v>276</v>
      </c>
      <c r="C14" s="11">
        <v>-173470.93400000024</v>
      </c>
      <c r="D14" s="11">
        <v>0</v>
      </c>
      <c r="E14" s="11">
        <v>61996.023000000001</v>
      </c>
      <c r="F14" s="13">
        <v>0</v>
      </c>
      <c r="G14" s="13">
        <v>0</v>
      </c>
      <c r="H14" s="14">
        <f t="shared" si="0"/>
        <v>-61996.023000000001</v>
      </c>
      <c r="I14" s="14">
        <f t="shared" si="1"/>
        <v>-235466.95700000023</v>
      </c>
      <c r="J14" s="598" t="s">
        <v>22</v>
      </c>
      <c r="K14" s="302">
        <v>0</v>
      </c>
    </row>
    <row r="15" spans="1:11" x14ac:dyDescent="0.2">
      <c r="A15" s="10">
        <v>18800000</v>
      </c>
      <c r="B15" s="10" t="s">
        <v>23</v>
      </c>
      <c r="C15" s="11">
        <v>0</v>
      </c>
      <c r="D15" s="11">
        <v>0</v>
      </c>
      <c r="E15" s="11">
        <v>0</v>
      </c>
      <c r="F15" s="13">
        <v>0</v>
      </c>
      <c r="G15" s="13">
        <v>0</v>
      </c>
      <c r="H15" s="14">
        <f t="shared" si="0"/>
        <v>0</v>
      </c>
      <c r="I15" s="14">
        <f t="shared" si="1"/>
        <v>0</v>
      </c>
      <c r="J15" s="598"/>
      <c r="K15" s="302">
        <v>0</v>
      </c>
    </row>
    <row r="16" spans="1:11" x14ac:dyDescent="0.2">
      <c r="A16" s="10">
        <v>21100000</v>
      </c>
      <c r="B16" s="10" t="s">
        <v>277</v>
      </c>
      <c r="C16" s="11">
        <v>0</v>
      </c>
      <c r="D16" s="11">
        <v>0</v>
      </c>
      <c r="E16" s="11">
        <v>0</v>
      </c>
      <c r="F16" s="13">
        <v>0</v>
      </c>
      <c r="G16" s="13">
        <v>0</v>
      </c>
      <c r="H16" s="14">
        <f t="shared" si="0"/>
        <v>0</v>
      </c>
      <c r="I16" s="14">
        <f t="shared" si="1"/>
        <v>0</v>
      </c>
      <c r="J16" s="598"/>
      <c r="K16" s="302">
        <v>0</v>
      </c>
    </row>
    <row r="17" spans="1:11" x14ac:dyDescent="0.2">
      <c r="A17" s="10">
        <v>21300000</v>
      </c>
      <c r="B17" s="10" t="s">
        <v>24</v>
      </c>
      <c r="C17" s="11">
        <v>80409.226999999999</v>
      </c>
      <c r="D17" s="11">
        <v>12764.7</v>
      </c>
      <c r="E17" s="11">
        <v>0</v>
      </c>
      <c r="F17" s="13">
        <v>6581.25</v>
      </c>
      <c r="G17" s="13">
        <v>6581.25</v>
      </c>
      <c r="H17" s="14">
        <f t="shared" si="0"/>
        <v>12764.7</v>
      </c>
      <c r="I17" s="14">
        <f t="shared" si="1"/>
        <v>93173.926999999996</v>
      </c>
      <c r="J17" s="598" t="s">
        <v>25</v>
      </c>
      <c r="K17" s="302">
        <v>0</v>
      </c>
    </row>
    <row r="18" spans="1:11" x14ac:dyDescent="0.2">
      <c r="A18" s="10">
        <v>22000000</v>
      </c>
      <c r="B18" s="10" t="s">
        <v>278</v>
      </c>
      <c r="C18" s="11">
        <v>0</v>
      </c>
      <c r="D18" s="11">
        <v>0</v>
      </c>
      <c r="E18" s="11">
        <v>0</v>
      </c>
      <c r="F18" s="13">
        <v>0</v>
      </c>
      <c r="G18" s="13">
        <v>0</v>
      </c>
      <c r="H18" s="14">
        <f t="shared" si="0"/>
        <v>0</v>
      </c>
      <c r="I18" s="14">
        <f t="shared" si="1"/>
        <v>0</v>
      </c>
      <c r="J18" s="598"/>
      <c r="K18" s="302">
        <v>0</v>
      </c>
    </row>
    <row r="19" spans="1:11" x14ac:dyDescent="0.2">
      <c r="A19" s="10">
        <v>22100000</v>
      </c>
      <c r="B19" s="10" t="s">
        <v>26</v>
      </c>
      <c r="C19" s="11">
        <v>1275724</v>
      </c>
      <c r="D19" s="11">
        <v>0</v>
      </c>
      <c r="E19" s="11">
        <v>0</v>
      </c>
      <c r="F19" s="13">
        <v>0</v>
      </c>
      <c r="G19" s="13">
        <v>0</v>
      </c>
      <c r="H19" s="14">
        <f t="shared" si="0"/>
        <v>0</v>
      </c>
      <c r="I19" s="14">
        <f t="shared" si="1"/>
        <v>1275724</v>
      </c>
      <c r="J19" s="598" t="s">
        <v>25</v>
      </c>
      <c r="K19" s="302">
        <v>0</v>
      </c>
    </row>
    <row r="20" spans="1:11" x14ac:dyDescent="0.2">
      <c r="A20" s="10">
        <v>22160000</v>
      </c>
      <c r="B20" s="10" t="s">
        <v>27</v>
      </c>
      <c r="C20" s="11">
        <v>161921.53600000002</v>
      </c>
      <c r="D20" s="11">
        <v>0</v>
      </c>
      <c r="E20" s="11">
        <v>0</v>
      </c>
      <c r="F20" s="13">
        <v>0</v>
      </c>
      <c r="G20" s="13">
        <v>0</v>
      </c>
      <c r="H20" s="14">
        <f t="shared" si="0"/>
        <v>0</v>
      </c>
      <c r="I20" s="14">
        <f t="shared" si="1"/>
        <v>161921.53600000002</v>
      </c>
      <c r="J20" s="598" t="s">
        <v>25</v>
      </c>
      <c r="K20" s="302">
        <v>0</v>
      </c>
    </row>
    <row r="21" spans="1:11" x14ac:dyDescent="0.2">
      <c r="A21" s="10">
        <v>22200000</v>
      </c>
      <c r="B21" s="10" t="s">
        <v>28</v>
      </c>
      <c r="C21" s="11">
        <v>9027583.0759999994</v>
      </c>
      <c r="D21" s="11">
        <v>0</v>
      </c>
      <c r="E21" s="11">
        <v>0</v>
      </c>
      <c r="F21" s="13">
        <v>0</v>
      </c>
      <c r="G21" s="13">
        <v>0</v>
      </c>
      <c r="H21" s="14">
        <f t="shared" si="0"/>
        <v>0</v>
      </c>
      <c r="I21" s="14">
        <f t="shared" si="1"/>
        <v>9027583.0759999994</v>
      </c>
      <c r="J21" s="598" t="s">
        <v>25</v>
      </c>
      <c r="K21" s="302">
        <v>0</v>
      </c>
    </row>
    <row r="22" spans="1:11" x14ac:dyDescent="0.2">
      <c r="A22" s="10">
        <v>22250000</v>
      </c>
      <c r="B22" s="10" t="s">
        <v>29</v>
      </c>
      <c r="C22" s="11">
        <v>653493.82499999995</v>
      </c>
      <c r="D22" s="11">
        <v>43180.232999999993</v>
      </c>
      <c r="E22" s="11">
        <v>0</v>
      </c>
      <c r="F22" s="13">
        <v>0</v>
      </c>
      <c r="G22" s="13">
        <v>0</v>
      </c>
      <c r="H22" s="14">
        <f t="shared" si="0"/>
        <v>43180.232999999993</v>
      </c>
      <c r="I22" s="14">
        <f t="shared" si="1"/>
        <v>696674.05799999996</v>
      </c>
      <c r="J22" s="598" t="s">
        <v>25</v>
      </c>
      <c r="K22" s="302">
        <v>0</v>
      </c>
    </row>
    <row r="23" spans="1:11" x14ac:dyDescent="0.2">
      <c r="A23" s="10">
        <v>22300000</v>
      </c>
      <c r="B23" s="10" t="s">
        <v>30</v>
      </c>
      <c r="C23" s="11">
        <v>65870.611000000004</v>
      </c>
      <c r="D23" s="11">
        <v>10054.951999999999</v>
      </c>
      <c r="E23" s="11">
        <v>2354.9520000000002</v>
      </c>
      <c r="F23" s="13">
        <v>0</v>
      </c>
      <c r="G23" s="13">
        <v>0</v>
      </c>
      <c r="H23" s="14">
        <f t="shared" si="0"/>
        <v>7699.9999999999991</v>
      </c>
      <c r="I23" s="14">
        <f t="shared" si="1"/>
        <v>73570.611000000004</v>
      </c>
      <c r="J23" s="598" t="s">
        <v>25</v>
      </c>
      <c r="K23" s="302">
        <v>0</v>
      </c>
    </row>
    <row r="24" spans="1:11" x14ac:dyDescent="0.2">
      <c r="A24" s="10">
        <v>22310000</v>
      </c>
      <c r="B24" s="10" t="s">
        <v>31</v>
      </c>
      <c r="C24" s="11">
        <v>0</v>
      </c>
      <c r="D24" s="11">
        <v>0</v>
      </c>
      <c r="E24" s="11">
        <v>0</v>
      </c>
      <c r="F24" s="13">
        <v>0</v>
      </c>
      <c r="G24" s="13">
        <v>0</v>
      </c>
      <c r="H24" s="14">
        <f t="shared" si="0"/>
        <v>0</v>
      </c>
      <c r="I24" s="14">
        <f t="shared" si="1"/>
        <v>0</v>
      </c>
      <c r="J24" s="598"/>
      <c r="K24" s="302">
        <v>0</v>
      </c>
    </row>
    <row r="25" spans="1:11" x14ac:dyDescent="0.2">
      <c r="A25" s="10">
        <v>22340000</v>
      </c>
      <c r="B25" s="10" t="s">
        <v>32</v>
      </c>
      <c r="C25" s="11">
        <v>21854400.979411498</v>
      </c>
      <c r="D25" s="11">
        <v>2768433.9296375001</v>
      </c>
      <c r="E25" s="11">
        <v>13682.470000000001</v>
      </c>
      <c r="F25" s="13">
        <v>0</v>
      </c>
      <c r="G25" s="13">
        <v>0</v>
      </c>
      <c r="H25" s="14">
        <f t="shared" si="0"/>
        <v>2754751.4596374999</v>
      </c>
      <c r="I25" s="14">
        <f t="shared" si="1"/>
        <v>24609152.439048998</v>
      </c>
      <c r="J25" s="598" t="s">
        <v>25</v>
      </c>
      <c r="K25" s="302">
        <v>0</v>
      </c>
    </row>
    <row r="26" spans="1:11" x14ac:dyDescent="0.2">
      <c r="A26" s="10">
        <v>22350000</v>
      </c>
      <c r="B26" s="10" t="s">
        <v>33</v>
      </c>
      <c r="C26" s="11">
        <v>595918.12949999981</v>
      </c>
      <c r="D26" s="11">
        <v>55880.005000000005</v>
      </c>
      <c r="E26" s="11">
        <v>0</v>
      </c>
      <c r="F26" s="13">
        <v>0</v>
      </c>
      <c r="G26" s="13">
        <v>0</v>
      </c>
      <c r="H26" s="14">
        <f t="shared" si="0"/>
        <v>55880.005000000005</v>
      </c>
      <c r="I26" s="14">
        <f t="shared" si="1"/>
        <v>651798.13449999981</v>
      </c>
      <c r="J26" s="598" t="s">
        <v>25</v>
      </c>
      <c r="K26" s="302">
        <v>0</v>
      </c>
    </row>
    <row r="27" spans="1:11" x14ac:dyDescent="0.2">
      <c r="A27" s="10">
        <v>22370000</v>
      </c>
      <c r="B27" s="10" t="s">
        <v>34</v>
      </c>
      <c r="C27" s="11">
        <v>879252.85599999991</v>
      </c>
      <c r="D27" s="11">
        <v>18268.84</v>
      </c>
      <c r="E27" s="11">
        <v>0</v>
      </c>
      <c r="F27" s="13">
        <v>0</v>
      </c>
      <c r="G27" s="13">
        <v>0</v>
      </c>
      <c r="H27" s="14">
        <f t="shared" si="0"/>
        <v>18268.84</v>
      </c>
      <c r="I27" s="14">
        <f t="shared" si="1"/>
        <v>897521.69599999988</v>
      </c>
      <c r="J27" s="598" t="s">
        <v>25</v>
      </c>
      <c r="K27" s="302">
        <v>0</v>
      </c>
    </row>
    <row r="28" spans="1:11" x14ac:dyDescent="0.2">
      <c r="A28" s="10">
        <v>22400000</v>
      </c>
      <c r="B28" s="10" t="s">
        <v>35</v>
      </c>
      <c r="C28" s="11">
        <v>1013855.8879999999</v>
      </c>
      <c r="D28" s="11">
        <v>196969.69600000003</v>
      </c>
      <c r="E28" s="11">
        <v>61848.025000000001</v>
      </c>
      <c r="F28" s="13">
        <v>0</v>
      </c>
      <c r="G28" s="13">
        <v>0</v>
      </c>
      <c r="H28" s="14">
        <f t="shared" si="0"/>
        <v>135121.67100000003</v>
      </c>
      <c r="I28" s="14">
        <f t="shared" si="1"/>
        <v>1148977.5589999999</v>
      </c>
      <c r="J28" s="598" t="s">
        <v>25</v>
      </c>
      <c r="K28" s="302">
        <v>0</v>
      </c>
    </row>
    <row r="29" spans="1:11" x14ac:dyDescent="0.2">
      <c r="A29" s="10">
        <v>22810000</v>
      </c>
      <c r="B29" s="10" t="s">
        <v>36</v>
      </c>
      <c r="C29" s="11">
        <v>0</v>
      </c>
      <c r="D29" s="11">
        <v>0</v>
      </c>
      <c r="E29" s="11">
        <v>0</v>
      </c>
      <c r="F29" s="13">
        <v>0</v>
      </c>
      <c r="G29" s="13">
        <v>0</v>
      </c>
      <c r="H29" s="14">
        <f t="shared" si="0"/>
        <v>0</v>
      </c>
      <c r="I29" s="14">
        <f t="shared" si="1"/>
        <v>0</v>
      </c>
      <c r="J29" s="598"/>
      <c r="K29" s="302">
        <v>0</v>
      </c>
    </row>
    <row r="30" spans="1:11" x14ac:dyDescent="0.2">
      <c r="A30" s="10">
        <v>22820000</v>
      </c>
      <c r="B30" s="10" t="s">
        <v>37</v>
      </c>
      <c r="C30" s="11">
        <v>248575.93114999996</v>
      </c>
      <c r="D30" s="11">
        <v>32560.545000000002</v>
      </c>
      <c r="E30" s="11">
        <v>951.42000000000007</v>
      </c>
      <c r="F30" s="13">
        <v>0</v>
      </c>
      <c r="G30" s="13">
        <v>0</v>
      </c>
      <c r="H30" s="14">
        <f t="shared" si="0"/>
        <v>31609.125</v>
      </c>
      <c r="I30" s="14">
        <f t="shared" si="1"/>
        <v>280185.05614999996</v>
      </c>
      <c r="J30" s="598" t="s">
        <v>25</v>
      </c>
      <c r="K30" s="302">
        <v>0</v>
      </c>
    </row>
    <row r="31" spans="1:11" x14ac:dyDescent="0.2">
      <c r="A31" s="10">
        <v>22830000</v>
      </c>
      <c r="B31" s="10" t="s">
        <v>279</v>
      </c>
      <c r="C31" s="11">
        <v>157309.56799999997</v>
      </c>
      <c r="D31" s="11">
        <v>65339.079286000007</v>
      </c>
      <c r="E31" s="11">
        <v>0</v>
      </c>
      <c r="F31" s="13">
        <v>0</v>
      </c>
      <c r="G31" s="13">
        <v>0</v>
      </c>
      <c r="H31" s="14">
        <f t="shared" si="0"/>
        <v>65339.079286000007</v>
      </c>
      <c r="I31" s="14">
        <f t="shared" si="1"/>
        <v>222648.64728599996</v>
      </c>
      <c r="J31" s="598" t="s">
        <v>25</v>
      </c>
      <c r="K31" s="302">
        <v>0</v>
      </c>
    </row>
    <row r="32" spans="1:11" x14ac:dyDescent="0.2">
      <c r="A32" s="10">
        <v>23000000</v>
      </c>
      <c r="B32" s="10" t="s">
        <v>280</v>
      </c>
      <c r="C32" s="11">
        <v>2.0000000404252205E-5</v>
      </c>
      <c r="D32" s="11">
        <v>0</v>
      </c>
      <c r="E32" s="11">
        <v>0</v>
      </c>
      <c r="F32" s="13">
        <v>0</v>
      </c>
      <c r="G32" s="13">
        <v>0</v>
      </c>
      <c r="H32" s="14">
        <f t="shared" si="0"/>
        <v>0</v>
      </c>
      <c r="I32" s="14">
        <f t="shared" si="1"/>
        <v>2.0000000404252205E-5</v>
      </c>
      <c r="J32" s="598"/>
      <c r="K32" s="302">
        <v>0</v>
      </c>
    </row>
    <row r="33" spans="1:11" x14ac:dyDescent="0.2">
      <c r="A33" s="10">
        <v>23200000</v>
      </c>
      <c r="B33" s="10" t="s">
        <v>38</v>
      </c>
      <c r="C33" s="11">
        <v>2440755.4682974992</v>
      </c>
      <c r="D33" s="11">
        <v>0</v>
      </c>
      <c r="E33" s="11">
        <v>2007865.5100000002</v>
      </c>
      <c r="F33" s="13">
        <v>0</v>
      </c>
      <c r="G33" s="13">
        <v>0</v>
      </c>
      <c r="H33" s="14">
        <f t="shared" si="0"/>
        <v>-2007865.5100000002</v>
      </c>
      <c r="I33" s="14">
        <f t="shared" si="1"/>
        <v>432889.95829749899</v>
      </c>
      <c r="J33" s="598" t="s">
        <v>25</v>
      </c>
      <c r="K33" s="302">
        <v>0</v>
      </c>
    </row>
    <row r="34" spans="1:11" x14ac:dyDescent="0.2">
      <c r="A34" s="10">
        <v>23220000</v>
      </c>
      <c r="B34" s="10" t="s">
        <v>39</v>
      </c>
      <c r="C34" s="11">
        <v>7912.2339999973774</v>
      </c>
      <c r="D34" s="11">
        <v>139403.43900000001</v>
      </c>
      <c r="E34" s="11">
        <v>0</v>
      </c>
      <c r="F34" s="13">
        <v>0</v>
      </c>
      <c r="G34" s="13">
        <v>0</v>
      </c>
      <c r="H34" s="14">
        <f t="shared" si="0"/>
        <v>139403.43900000001</v>
      </c>
      <c r="I34" s="14">
        <f t="shared" si="1"/>
        <v>147315.67299999739</v>
      </c>
      <c r="J34" s="598" t="s">
        <v>25</v>
      </c>
      <c r="K34" s="302">
        <v>0</v>
      </c>
    </row>
    <row r="35" spans="1:11" x14ac:dyDescent="0.2">
      <c r="A35" s="10">
        <v>23225000</v>
      </c>
      <c r="B35" s="10" t="s">
        <v>281</v>
      </c>
      <c r="C35" s="11">
        <v>0</v>
      </c>
      <c r="D35" s="11">
        <v>0</v>
      </c>
      <c r="E35" s="11">
        <v>0</v>
      </c>
      <c r="F35" s="13">
        <v>0</v>
      </c>
      <c r="G35" s="13">
        <v>0</v>
      </c>
      <c r="H35" s="14">
        <f t="shared" si="0"/>
        <v>0</v>
      </c>
      <c r="I35" s="14">
        <f t="shared" si="1"/>
        <v>0</v>
      </c>
      <c r="J35" s="598"/>
      <c r="K35" s="302">
        <v>0</v>
      </c>
    </row>
    <row r="36" spans="1:11" x14ac:dyDescent="0.2">
      <c r="A36" s="10">
        <v>23231000</v>
      </c>
      <c r="B36" s="10" t="s">
        <v>282</v>
      </c>
      <c r="C36" s="11">
        <v>0</v>
      </c>
      <c r="D36" s="11">
        <v>0</v>
      </c>
      <c r="E36" s="11">
        <v>0</v>
      </c>
      <c r="F36" s="13">
        <v>0</v>
      </c>
      <c r="G36" s="13">
        <v>0</v>
      </c>
      <c r="H36" s="14">
        <f t="shared" si="0"/>
        <v>0</v>
      </c>
      <c r="I36" s="14">
        <f t="shared" si="1"/>
        <v>0</v>
      </c>
      <c r="J36" s="598"/>
      <c r="K36" s="302">
        <v>0</v>
      </c>
    </row>
    <row r="37" spans="1:11" x14ac:dyDescent="0.2">
      <c r="A37" s="10">
        <v>23237000</v>
      </c>
      <c r="B37" s="10" t="s">
        <v>283</v>
      </c>
      <c r="C37" s="11">
        <v>0</v>
      </c>
      <c r="D37" s="11">
        <v>0</v>
      </c>
      <c r="E37" s="11">
        <v>0</v>
      </c>
      <c r="F37" s="13">
        <v>0</v>
      </c>
      <c r="G37" s="13">
        <v>0</v>
      </c>
      <c r="H37" s="14">
        <f t="shared" si="0"/>
        <v>0</v>
      </c>
      <c r="I37" s="14">
        <f t="shared" si="1"/>
        <v>0</v>
      </c>
      <c r="J37" s="598"/>
      <c r="K37" s="302">
        <v>0</v>
      </c>
    </row>
    <row r="38" spans="1:11" x14ac:dyDescent="0.2">
      <c r="A38" s="10">
        <v>23250000</v>
      </c>
      <c r="B38" s="10" t="s">
        <v>284</v>
      </c>
      <c r="C38" s="11">
        <v>0</v>
      </c>
      <c r="D38" s="11">
        <v>0</v>
      </c>
      <c r="E38" s="11">
        <v>0</v>
      </c>
      <c r="F38" s="13">
        <v>0</v>
      </c>
      <c r="G38" s="13">
        <v>0</v>
      </c>
      <c r="H38" s="14">
        <f t="shared" si="0"/>
        <v>0</v>
      </c>
      <c r="I38" s="14">
        <f t="shared" si="1"/>
        <v>0</v>
      </c>
      <c r="J38" s="598"/>
      <c r="K38" s="302">
        <v>0</v>
      </c>
    </row>
    <row r="39" spans="1:11" x14ac:dyDescent="0.2">
      <c r="A39" s="10">
        <v>23800000</v>
      </c>
      <c r="B39" s="10" t="s">
        <v>285</v>
      </c>
      <c r="C39" s="11">
        <v>0</v>
      </c>
      <c r="D39" s="11">
        <v>0</v>
      </c>
      <c r="E39" s="11">
        <v>0</v>
      </c>
      <c r="F39" s="13">
        <v>0</v>
      </c>
      <c r="G39" s="13">
        <v>0</v>
      </c>
      <c r="H39" s="14">
        <f t="shared" si="0"/>
        <v>0</v>
      </c>
      <c r="I39" s="14">
        <f t="shared" si="1"/>
        <v>0</v>
      </c>
      <c r="J39" s="598"/>
      <c r="K39" s="302">
        <v>0</v>
      </c>
    </row>
    <row r="40" spans="1:11" x14ac:dyDescent="0.2">
      <c r="A40" s="10">
        <v>24000000</v>
      </c>
      <c r="B40" s="10" t="s">
        <v>40</v>
      </c>
      <c r="C40" s="11">
        <v>703370.37699999998</v>
      </c>
      <c r="D40" s="11">
        <v>86997.273000000016</v>
      </c>
      <c r="E40" s="11">
        <v>20333.891</v>
      </c>
      <c r="F40" s="13">
        <v>0</v>
      </c>
      <c r="G40" s="13">
        <v>0</v>
      </c>
      <c r="H40" s="14">
        <f t="shared" si="0"/>
        <v>66663.382000000012</v>
      </c>
      <c r="I40" s="14">
        <f t="shared" si="1"/>
        <v>770033.75899999996</v>
      </c>
      <c r="J40" s="598" t="s">
        <v>25</v>
      </c>
      <c r="K40" s="302">
        <v>0</v>
      </c>
    </row>
    <row r="41" spans="1:11" x14ac:dyDescent="0.2">
      <c r="A41" s="10">
        <v>25100000</v>
      </c>
      <c r="B41" s="10" t="s">
        <v>286</v>
      </c>
      <c r="C41" s="11">
        <v>0</v>
      </c>
      <c r="D41" s="11">
        <v>0</v>
      </c>
      <c r="E41" s="11">
        <v>0</v>
      </c>
      <c r="F41" s="13">
        <v>0</v>
      </c>
      <c r="G41" s="13">
        <v>0</v>
      </c>
      <c r="H41" s="14">
        <f t="shared" si="0"/>
        <v>0</v>
      </c>
      <c r="I41" s="14">
        <f t="shared" si="1"/>
        <v>0</v>
      </c>
      <c r="J41" s="598"/>
      <c r="K41" s="302">
        <v>0</v>
      </c>
    </row>
    <row r="42" spans="1:11" x14ac:dyDescent="0.2">
      <c r="A42" s="10">
        <v>25110000</v>
      </c>
      <c r="B42" s="10" t="s">
        <v>41</v>
      </c>
      <c r="C42" s="11">
        <v>266820</v>
      </c>
      <c r="D42" s="11">
        <v>0</v>
      </c>
      <c r="E42" s="11">
        <v>0</v>
      </c>
      <c r="F42" s="13">
        <v>0</v>
      </c>
      <c r="G42" s="13">
        <v>0</v>
      </c>
      <c r="H42" s="14">
        <f t="shared" si="0"/>
        <v>0</v>
      </c>
      <c r="I42" s="14">
        <f t="shared" si="1"/>
        <v>266820</v>
      </c>
      <c r="J42" s="598" t="s">
        <v>42</v>
      </c>
      <c r="K42" s="302">
        <v>0</v>
      </c>
    </row>
    <row r="43" spans="1:11" x14ac:dyDescent="0.2">
      <c r="A43" s="10">
        <v>25120000</v>
      </c>
      <c r="B43" s="10" t="s">
        <v>287</v>
      </c>
      <c r="C43" s="11">
        <v>512700</v>
      </c>
      <c r="D43" s="11">
        <v>0</v>
      </c>
      <c r="E43" s="11">
        <v>0</v>
      </c>
      <c r="F43" s="13">
        <v>0</v>
      </c>
      <c r="G43" s="13">
        <v>0</v>
      </c>
      <c r="H43" s="14">
        <f t="shared" si="0"/>
        <v>0</v>
      </c>
      <c r="I43" s="14">
        <f t="shared" si="1"/>
        <v>512700</v>
      </c>
      <c r="J43" s="598" t="s">
        <v>42</v>
      </c>
      <c r="K43" s="302">
        <v>0</v>
      </c>
    </row>
    <row r="44" spans="1:11" x14ac:dyDescent="0.2">
      <c r="A44" s="10">
        <v>25130000</v>
      </c>
      <c r="B44" s="10" t="s">
        <v>43</v>
      </c>
      <c r="C44" s="11">
        <v>677000</v>
      </c>
      <c r="D44" s="11">
        <v>0</v>
      </c>
      <c r="E44" s="11">
        <v>0</v>
      </c>
      <c r="F44" s="13">
        <v>0</v>
      </c>
      <c r="G44" s="13">
        <v>0</v>
      </c>
      <c r="H44" s="14">
        <f t="shared" si="0"/>
        <v>0</v>
      </c>
      <c r="I44" s="14">
        <f t="shared" si="1"/>
        <v>677000</v>
      </c>
      <c r="J44" s="598" t="s">
        <v>42</v>
      </c>
      <c r="K44" s="302">
        <v>0</v>
      </c>
    </row>
    <row r="45" spans="1:11" x14ac:dyDescent="0.2">
      <c r="A45" s="10">
        <v>25140000</v>
      </c>
      <c r="B45" s="10" t="s">
        <v>44</v>
      </c>
      <c r="C45" s="11">
        <v>1575000</v>
      </c>
      <c r="D45" s="11">
        <v>1575000</v>
      </c>
      <c r="E45" s="11">
        <v>0</v>
      </c>
      <c r="F45" s="13">
        <v>0</v>
      </c>
      <c r="G45" s="13">
        <v>0</v>
      </c>
      <c r="H45" s="14">
        <f t="shared" si="0"/>
        <v>1575000</v>
      </c>
      <c r="I45" s="14">
        <f t="shared" si="1"/>
        <v>3150000</v>
      </c>
      <c r="J45" s="598" t="s">
        <v>42</v>
      </c>
      <c r="K45" s="302">
        <v>0</v>
      </c>
    </row>
    <row r="46" spans="1:11" x14ac:dyDescent="0.2">
      <c r="A46" s="10">
        <v>25150000</v>
      </c>
      <c r="B46" s="10" t="s">
        <v>387</v>
      </c>
      <c r="C46" s="11">
        <v>0</v>
      </c>
      <c r="D46" s="11">
        <v>319680</v>
      </c>
      <c r="E46" s="11">
        <v>0</v>
      </c>
      <c r="F46" s="13">
        <v>0</v>
      </c>
      <c r="G46" s="13">
        <v>0</v>
      </c>
      <c r="H46" s="14">
        <f t="shared" si="0"/>
        <v>319680</v>
      </c>
      <c r="I46" s="14">
        <f t="shared" si="1"/>
        <v>319680</v>
      </c>
      <c r="J46" s="598" t="s">
        <v>42</v>
      </c>
      <c r="K46" s="302">
        <v>0</v>
      </c>
    </row>
    <row r="47" spans="1:11" x14ac:dyDescent="0.2">
      <c r="A47" s="10">
        <v>25700000</v>
      </c>
      <c r="B47" s="10" t="s">
        <v>288</v>
      </c>
      <c r="C47" s="11">
        <v>1575000</v>
      </c>
      <c r="D47" s="11">
        <v>0</v>
      </c>
      <c r="E47" s="11">
        <v>1575000</v>
      </c>
      <c r="F47" s="13">
        <v>0</v>
      </c>
      <c r="G47" s="13">
        <v>0</v>
      </c>
      <c r="H47" s="14">
        <f t="shared" si="0"/>
        <v>-1575000</v>
      </c>
      <c r="I47" s="14">
        <f t="shared" si="1"/>
        <v>0</v>
      </c>
      <c r="J47" s="598" t="s">
        <v>42</v>
      </c>
      <c r="K47" s="302">
        <v>0</v>
      </c>
    </row>
    <row r="48" spans="1:11" x14ac:dyDescent="0.2">
      <c r="A48" s="10">
        <v>25810000</v>
      </c>
      <c r="B48" s="10" t="s">
        <v>289</v>
      </c>
      <c r="C48" s="11">
        <v>0</v>
      </c>
      <c r="D48" s="11">
        <v>0</v>
      </c>
      <c r="E48" s="11">
        <v>0</v>
      </c>
      <c r="F48" s="13">
        <v>0</v>
      </c>
      <c r="G48" s="13">
        <v>0</v>
      </c>
      <c r="H48" s="14">
        <f t="shared" si="0"/>
        <v>0</v>
      </c>
      <c r="I48" s="14">
        <f t="shared" si="1"/>
        <v>0</v>
      </c>
      <c r="J48" s="598"/>
      <c r="K48" s="302">
        <v>0</v>
      </c>
    </row>
    <row r="49" spans="1:11" x14ac:dyDescent="0.2">
      <c r="A49" s="10">
        <v>26400000</v>
      </c>
      <c r="B49" s="10" t="s">
        <v>290</v>
      </c>
      <c r="C49" s="11">
        <v>0</v>
      </c>
      <c r="D49" s="11">
        <v>0</v>
      </c>
      <c r="E49" s="11">
        <v>0</v>
      </c>
      <c r="F49" s="13">
        <v>0</v>
      </c>
      <c r="G49" s="13">
        <v>0</v>
      </c>
      <c r="H49" s="14">
        <f t="shared" si="0"/>
        <v>0</v>
      </c>
      <c r="I49" s="14">
        <f t="shared" si="1"/>
        <v>0</v>
      </c>
      <c r="J49" s="598"/>
      <c r="K49" s="302">
        <v>0</v>
      </c>
    </row>
    <row r="50" spans="1:11" x14ac:dyDescent="0.2">
      <c r="A50" s="10">
        <v>26430000</v>
      </c>
      <c r="B50" s="10" t="s">
        <v>291</v>
      </c>
      <c r="C50" s="11">
        <v>0</v>
      </c>
      <c r="D50" s="11">
        <v>0</v>
      </c>
      <c r="E50" s="11">
        <v>0</v>
      </c>
      <c r="F50" s="13">
        <v>0</v>
      </c>
      <c r="G50" s="13">
        <v>0</v>
      </c>
      <c r="H50" s="14">
        <f t="shared" si="0"/>
        <v>0</v>
      </c>
      <c r="I50" s="14">
        <f t="shared" si="1"/>
        <v>0</v>
      </c>
      <c r="J50" s="598"/>
      <c r="K50" s="302">
        <v>0</v>
      </c>
    </row>
    <row r="51" spans="1:11" x14ac:dyDescent="0.2">
      <c r="A51" s="10">
        <v>26500000</v>
      </c>
      <c r="B51" s="10" t="s">
        <v>45</v>
      </c>
      <c r="C51" s="11">
        <v>105597.1440000002</v>
      </c>
      <c r="D51" s="11">
        <v>13000</v>
      </c>
      <c r="E51" s="11">
        <v>133756.16</v>
      </c>
      <c r="F51" s="13">
        <v>0</v>
      </c>
      <c r="G51" s="13">
        <v>0</v>
      </c>
      <c r="H51" s="14">
        <f t="shared" si="0"/>
        <v>-120756.16</v>
      </c>
      <c r="I51" s="14">
        <f t="shared" si="1"/>
        <v>-15159.0159999998</v>
      </c>
      <c r="J51" s="598" t="s">
        <v>46</v>
      </c>
      <c r="K51" s="302">
        <v>0</v>
      </c>
    </row>
    <row r="52" spans="1:11" x14ac:dyDescent="0.2">
      <c r="A52" s="10">
        <v>26510000</v>
      </c>
      <c r="B52" s="10" t="s">
        <v>292</v>
      </c>
      <c r="C52" s="11">
        <v>0</v>
      </c>
      <c r="D52" s="11">
        <v>0</v>
      </c>
      <c r="E52" s="11">
        <v>0</v>
      </c>
      <c r="F52" s="13">
        <v>0</v>
      </c>
      <c r="G52" s="13">
        <v>0</v>
      </c>
      <c r="H52" s="14">
        <f t="shared" si="0"/>
        <v>0</v>
      </c>
      <c r="I52" s="14">
        <f t="shared" si="1"/>
        <v>0</v>
      </c>
      <c r="J52" s="598"/>
      <c r="K52" s="302">
        <v>0</v>
      </c>
    </row>
    <row r="53" spans="1:11" x14ac:dyDescent="0.2">
      <c r="A53" s="10">
        <v>26550000</v>
      </c>
      <c r="B53" s="10" t="s">
        <v>293</v>
      </c>
      <c r="C53" s="11">
        <v>0</v>
      </c>
      <c r="D53" s="11">
        <v>0</v>
      </c>
      <c r="E53" s="11">
        <v>0</v>
      </c>
      <c r="F53" s="13">
        <v>0</v>
      </c>
      <c r="G53" s="13">
        <v>0</v>
      </c>
      <c r="H53" s="14">
        <f t="shared" si="0"/>
        <v>0</v>
      </c>
      <c r="I53" s="14">
        <f t="shared" si="1"/>
        <v>0</v>
      </c>
      <c r="J53" s="598"/>
      <c r="K53" s="302">
        <v>0</v>
      </c>
    </row>
    <row r="54" spans="1:11" x14ac:dyDescent="0.2">
      <c r="A54" s="10">
        <v>26580000</v>
      </c>
      <c r="B54" s="10" t="s">
        <v>23</v>
      </c>
      <c r="C54" s="11">
        <v>0</v>
      </c>
      <c r="D54" s="11">
        <v>200</v>
      </c>
      <c r="E54" s="11">
        <v>0</v>
      </c>
      <c r="F54" s="13">
        <v>0</v>
      </c>
      <c r="G54" s="13">
        <v>0</v>
      </c>
      <c r="H54" s="14">
        <f t="shared" si="0"/>
        <v>200</v>
      </c>
      <c r="I54" s="14">
        <f t="shared" si="1"/>
        <v>200</v>
      </c>
      <c r="J54" s="598" t="s">
        <v>46</v>
      </c>
      <c r="K54" s="302">
        <v>0</v>
      </c>
    </row>
    <row r="55" spans="1:11" x14ac:dyDescent="0.2">
      <c r="A55" s="10">
        <v>27100000</v>
      </c>
      <c r="B55" s="10" t="s">
        <v>294</v>
      </c>
      <c r="C55" s="11">
        <v>0</v>
      </c>
      <c r="D55" s="11">
        <v>0</v>
      </c>
      <c r="E55" s="11">
        <v>0</v>
      </c>
      <c r="F55" s="13">
        <v>0</v>
      </c>
      <c r="G55" s="13">
        <v>0</v>
      </c>
      <c r="H55" s="14">
        <f t="shared" si="0"/>
        <v>0</v>
      </c>
      <c r="I55" s="14">
        <f t="shared" si="1"/>
        <v>0</v>
      </c>
      <c r="J55" s="598"/>
      <c r="K55" s="302">
        <v>0</v>
      </c>
    </row>
    <row r="56" spans="1:11" x14ac:dyDescent="0.2">
      <c r="A56" s="10">
        <v>28100000</v>
      </c>
      <c r="B56" s="10" t="s">
        <v>295</v>
      </c>
      <c r="C56" s="11">
        <v>0</v>
      </c>
      <c r="D56" s="11">
        <v>0</v>
      </c>
      <c r="E56" s="11">
        <v>0</v>
      </c>
      <c r="F56" s="13">
        <v>0</v>
      </c>
      <c r="G56" s="13">
        <v>0</v>
      </c>
      <c r="H56" s="14">
        <f t="shared" si="0"/>
        <v>0</v>
      </c>
      <c r="I56" s="14">
        <f t="shared" si="1"/>
        <v>0</v>
      </c>
      <c r="J56" s="598"/>
      <c r="K56" s="302">
        <v>0</v>
      </c>
    </row>
    <row r="57" spans="1:11" x14ac:dyDescent="0.2">
      <c r="A57" s="10">
        <v>28110000</v>
      </c>
      <c r="B57" s="10" t="s">
        <v>296</v>
      </c>
      <c r="C57" s="11">
        <v>0</v>
      </c>
      <c r="D57" s="11">
        <v>0</v>
      </c>
      <c r="E57" s="11">
        <v>0</v>
      </c>
      <c r="F57" s="13">
        <v>0</v>
      </c>
      <c r="G57" s="13">
        <v>0</v>
      </c>
      <c r="H57" s="14">
        <f t="shared" si="0"/>
        <v>0</v>
      </c>
      <c r="I57" s="14">
        <f t="shared" si="1"/>
        <v>0</v>
      </c>
      <c r="J57" s="598"/>
      <c r="K57" s="302">
        <v>0</v>
      </c>
    </row>
    <row r="58" spans="1:11" x14ac:dyDescent="0.2">
      <c r="A58" s="10">
        <v>28130000</v>
      </c>
      <c r="B58" s="10" t="s">
        <v>24</v>
      </c>
      <c r="C58" s="11">
        <v>-67413.094999999987</v>
      </c>
      <c r="D58" s="11">
        <v>0</v>
      </c>
      <c r="E58" s="11">
        <v>0</v>
      </c>
      <c r="F58" s="13">
        <v>5046.6760000000004</v>
      </c>
      <c r="G58" s="13">
        <v>11764.710999999999</v>
      </c>
      <c r="H58" s="14">
        <f t="shared" si="0"/>
        <v>-6718.0349999999989</v>
      </c>
      <c r="I58" s="14">
        <f t="shared" si="1"/>
        <v>-74131.12999999999</v>
      </c>
      <c r="J58" s="598" t="s">
        <v>47</v>
      </c>
      <c r="K58" s="302">
        <v>0</v>
      </c>
    </row>
    <row r="59" spans="1:11" x14ac:dyDescent="0.2">
      <c r="A59" s="10">
        <v>28216000</v>
      </c>
      <c r="B59" s="10" t="s">
        <v>48</v>
      </c>
      <c r="C59" s="11">
        <v>-145539.11300000001</v>
      </c>
      <c r="D59" s="11">
        <v>0</v>
      </c>
      <c r="E59" s="11">
        <v>0</v>
      </c>
      <c r="F59" s="13">
        <v>2102.471</v>
      </c>
      <c r="G59" s="13">
        <v>4676.451</v>
      </c>
      <c r="H59" s="14">
        <f t="shared" si="0"/>
        <v>-2573.98</v>
      </c>
      <c r="I59" s="14">
        <f t="shared" si="1"/>
        <v>-148113.09300000002</v>
      </c>
      <c r="J59" s="598" t="s">
        <v>47</v>
      </c>
      <c r="K59" s="302">
        <v>0</v>
      </c>
    </row>
    <row r="60" spans="1:11" x14ac:dyDescent="0.2">
      <c r="A60" s="10">
        <v>28220000</v>
      </c>
      <c r="B60" s="10" t="s">
        <v>49</v>
      </c>
      <c r="C60" s="11">
        <v>-3277711.6239999998</v>
      </c>
      <c r="D60" s="11">
        <v>0</v>
      </c>
      <c r="E60" s="11">
        <v>0</v>
      </c>
      <c r="F60" s="13">
        <v>337340.46399999998</v>
      </c>
      <c r="G60" s="13">
        <v>750334.49</v>
      </c>
      <c r="H60" s="14">
        <f t="shared" si="0"/>
        <v>-412994.02600000001</v>
      </c>
      <c r="I60" s="14">
        <f t="shared" si="1"/>
        <v>-3690705.65</v>
      </c>
      <c r="J60" s="598" t="s">
        <v>47</v>
      </c>
      <c r="K60" s="302">
        <v>0</v>
      </c>
    </row>
    <row r="61" spans="1:11" x14ac:dyDescent="0.2">
      <c r="A61" s="10">
        <v>28225000</v>
      </c>
      <c r="B61" s="10" t="s">
        <v>50</v>
      </c>
      <c r="C61" s="11">
        <v>-210167.777</v>
      </c>
      <c r="D61" s="11">
        <v>0</v>
      </c>
      <c r="E61" s="11">
        <v>0</v>
      </c>
      <c r="F61" s="13">
        <v>42513.500999999997</v>
      </c>
      <c r="G61" s="13">
        <v>98819.792000000001</v>
      </c>
      <c r="H61" s="14">
        <f t="shared" si="0"/>
        <v>-56306.291000000005</v>
      </c>
      <c r="I61" s="14">
        <f t="shared" si="1"/>
        <v>-266474.06800000003</v>
      </c>
      <c r="J61" s="598" t="s">
        <v>47</v>
      </c>
      <c r="K61" s="302">
        <v>0</v>
      </c>
    </row>
    <row r="62" spans="1:11" x14ac:dyDescent="0.2">
      <c r="A62" s="10">
        <v>28230000</v>
      </c>
      <c r="B62" s="10" t="s">
        <v>263</v>
      </c>
      <c r="C62" s="11">
        <v>-19731.941999999999</v>
      </c>
      <c r="D62" s="11">
        <v>0</v>
      </c>
      <c r="E62" s="11">
        <v>0</v>
      </c>
      <c r="F62" s="13">
        <v>19860.413</v>
      </c>
      <c r="G62" s="13">
        <v>41191.207999999999</v>
      </c>
      <c r="H62" s="14">
        <f t="shared" si="0"/>
        <v>-21330.794999999998</v>
      </c>
      <c r="I62" s="14">
        <f t="shared" si="1"/>
        <v>-41062.736999999994</v>
      </c>
      <c r="J62" s="598" t="s">
        <v>47</v>
      </c>
      <c r="K62" s="302">
        <v>0</v>
      </c>
    </row>
    <row r="63" spans="1:11" x14ac:dyDescent="0.2">
      <c r="A63" s="10">
        <v>28234000</v>
      </c>
      <c r="B63" s="10" t="s">
        <v>51</v>
      </c>
      <c r="C63" s="11">
        <v>-14328182.902000001</v>
      </c>
      <c r="D63" s="11">
        <v>0</v>
      </c>
      <c r="E63" s="11">
        <v>0</v>
      </c>
      <c r="F63" s="13">
        <v>1149964.7420000001</v>
      </c>
      <c r="G63" s="13">
        <v>2548693.5970000001</v>
      </c>
      <c r="H63" s="14">
        <f t="shared" si="0"/>
        <v>-1398728.855</v>
      </c>
      <c r="I63" s="14">
        <f t="shared" si="1"/>
        <v>-15726911.757000001</v>
      </c>
      <c r="J63" s="598" t="s">
        <v>47</v>
      </c>
      <c r="K63" s="302">
        <v>0</v>
      </c>
    </row>
    <row r="64" spans="1:11" x14ac:dyDescent="0.2">
      <c r="A64" s="10">
        <v>28235000</v>
      </c>
      <c r="B64" s="10" t="s">
        <v>52</v>
      </c>
      <c r="C64" s="11">
        <v>-286827.478</v>
      </c>
      <c r="D64" s="11">
        <v>0</v>
      </c>
      <c r="E64" s="11">
        <v>0</v>
      </c>
      <c r="F64" s="13">
        <v>54762.413999999997</v>
      </c>
      <c r="G64" s="13">
        <v>118437.389</v>
      </c>
      <c r="H64" s="14">
        <f t="shared" si="0"/>
        <v>-63674.974999999999</v>
      </c>
      <c r="I64" s="14">
        <f t="shared" si="1"/>
        <v>-350502.45299999998</v>
      </c>
      <c r="J64" s="598" t="s">
        <v>47</v>
      </c>
      <c r="K64" s="302">
        <v>0</v>
      </c>
    </row>
    <row r="65" spans="1:11" x14ac:dyDescent="0.2">
      <c r="A65" s="10">
        <v>28237000</v>
      </c>
      <c r="B65" s="10" t="s">
        <v>53</v>
      </c>
      <c r="C65" s="11">
        <v>-733400.90499999991</v>
      </c>
      <c r="D65" s="11">
        <v>0</v>
      </c>
      <c r="E65" s="11">
        <v>0</v>
      </c>
      <c r="F65" s="13">
        <v>16745.321</v>
      </c>
      <c r="G65" s="13">
        <v>37454.919000000002</v>
      </c>
      <c r="H65" s="14">
        <f t="shared" si="0"/>
        <v>-20709.598000000002</v>
      </c>
      <c r="I65" s="14">
        <f t="shared" si="1"/>
        <v>-754110.50299999991</v>
      </c>
      <c r="J65" s="598" t="s">
        <v>47</v>
      </c>
      <c r="K65" s="302">
        <v>0</v>
      </c>
    </row>
    <row r="66" spans="1:11" x14ac:dyDescent="0.2">
      <c r="A66" s="10">
        <v>28240000</v>
      </c>
      <c r="B66" s="10" t="s">
        <v>54</v>
      </c>
      <c r="C66" s="11">
        <v>-530600.14599999995</v>
      </c>
      <c r="D66" s="11">
        <v>34220.307999999997</v>
      </c>
      <c r="E66" s="11">
        <v>0</v>
      </c>
      <c r="F66" s="13">
        <v>102470.39999999999</v>
      </c>
      <c r="G66" s="13">
        <v>232835.43100000001</v>
      </c>
      <c r="H66" s="14">
        <f t="shared" si="0"/>
        <v>-96144.723000000027</v>
      </c>
      <c r="I66" s="14">
        <f t="shared" si="1"/>
        <v>-626744.86899999995</v>
      </c>
      <c r="J66" s="598" t="s">
        <v>47</v>
      </c>
      <c r="K66" s="302">
        <v>0</v>
      </c>
    </row>
    <row r="67" spans="1:11" x14ac:dyDescent="0.2">
      <c r="A67" s="10">
        <v>28282000</v>
      </c>
      <c r="B67" s="10" t="s">
        <v>55</v>
      </c>
      <c r="C67" s="11">
        <v>-175530.78700000001</v>
      </c>
      <c r="D67" s="11">
        <v>0</v>
      </c>
      <c r="E67" s="11">
        <v>0</v>
      </c>
      <c r="F67" s="13">
        <v>38624.504000000001</v>
      </c>
      <c r="G67" s="13">
        <v>85848.383000000002</v>
      </c>
      <c r="H67" s="14">
        <f t="shared" ref="H67:H131" si="2">+D67+F67-E67-G67</f>
        <v>-47223.879000000001</v>
      </c>
      <c r="I67" s="14">
        <f t="shared" ref="I67:I131" si="3">+H67+C67</f>
        <v>-222754.66600000003</v>
      </c>
      <c r="J67" s="598" t="s">
        <v>47</v>
      </c>
      <c r="K67" s="302">
        <v>0</v>
      </c>
    </row>
    <row r="68" spans="1:11" x14ac:dyDescent="0.2">
      <c r="A68" s="10">
        <v>28283000</v>
      </c>
      <c r="B68" s="10" t="s">
        <v>264</v>
      </c>
      <c r="C68" s="11">
        <v>-94662.618000000017</v>
      </c>
      <c r="D68" s="11">
        <v>0</v>
      </c>
      <c r="E68" s="11">
        <v>0</v>
      </c>
      <c r="F68" s="13">
        <v>21187.987000000001</v>
      </c>
      <c r="G68" s="13">
        <v>51734.192999999999</v>
      </c>
      <c r="H68" s="14">
        <f t="shared" si="2"/>
        <v>-30546.205999999998</v>
      </c>
      <c r="I68" s="14">
        <f t="shared" si="3"/>
        <v>-125208.82400000002</v>
      </c>
      <c r="J68" s="598" t="s">
        <v>47</v>
      </c>
      <c r="K68" s="302">
        <v>0</v>
      </c>
    </row>
    <row r="69" spans="1:11" x14ac:dyDescent="0.2">
      <c r="A69" s="10">
        <v>28400000</v>
      </c>
      <c r="B69" s="10" t="s">
        <v>56</v>
      </c>
      <c r="C69" s="11">
        <v>-418241.01199999987</v>
      </c>
      <c r="D69" s="11">
        <v>20333.891</v>
      </c>
      <c r="E69" s="11">
        <v>0</v>
      </c>
      <c r="F69" s="13">
        <v>62673.673999999999</v>
      </c>
      <c r="G69" s="13">
        <v>138273.997</v>
      </c>
      <c r="H69" s="14">
        <f t="shared" si="2"/>
        <v>-55266.432000000001</v>
      </c>
      <c r="I69" s="14">
        <f t="shared" si="3"/>
        <v>-473507.4439999999</v>
      </c>
      <c r="J69" s="598" t="s">
        <v>47</v>
      </c>
      <c r="K69" s="302">
        <v>0</v>
      </c>
    </row>
    <row r="70" spans="1:11" x14ac:dyDescent="0.2">
      <c r="A70" s="10">
        <v>29220000</v>
      </c>
      <c r="B70" s="10" t="s">
        <v>297</v>
      </c>
      <c r="C70" s="11">
        <v>0</v>
      </c>
      <c r="D70" s="11">
        <v>0</v>
      </c>
      <c r="E70" s="11">
        <v>0</v>
      </c>
      <c r="F70" s="13">
        <v>0</v>
      </c>
      <c r="G70" s="13">
        <v>0</v>
      </c>
      <c r="H70" s="14">
        <f t="shared" si="2"/>
        <v>0</v>
      </c>
      <c r="I70" s="14">
        <f t="shared" si="3"/>
        <v>0</v>
      </c>
      <c r="J70" s="598"/>
      <c r="K70" s="302">
        <v>0</v>
      </c>
    </row>
    <row r="71" spans="1:11" x14ac:dyDescent="0.2">
      <c r="A71" s="599">
        <v>29234000</v>
      </c>
      <c r="B71" s="10" t="s">
        <v>388</v>
      </c>
      <c r="C71" s="11">
        <v>-223876.883</v>
      </c>
      <c r="D71" s="11">
        <v>0</v>
      </c>
      <c r="E71" s="11">
        <v>0</v>
      </c>
      <c r="F71" s="13">
        <v>0</v>
      </c>
      <c r="G71" s="13">
        <v>0</v>
      </c>
      <c r="H71" s="14">
        <f t="shared" si="2"/>
        <v>0</v>
      </c>
      <c r="I71" s="14">
        <f t="shared" si="3"/>
        <v>-223876.883</v>
      </c>
      <c r="J71" s="598" t="s">
        <v>401</v>
      </c>
      <c r="K71" s="302">
        <v>0</v>
      </c>
    </row>
    <row r="72" spans="1:11" x14ac:dyDescent="0.2">
      <c r="A72" s="599">
        <v>29235000</v>
      </c>
      <c r="B72" s="10" t="s">
        <v>389</v>
      </c>
      <c r="C72" s="11">
        <v>-8171.429000000001</v>
      </c>
      <c r="D72" s="11">
        <v>0</v>
      </c>
      <c r="E72" s="11">
        <v>0</v>
      </c>
      <c r="F72" s="13">
        <v>0</v>
      </c>
      <c r="G72" s="13">
        <v>0</v>
      </c>
      <c r="H72" s="14">
        <f t="shared" si="2"/>
        <v>0</v>
      </c>
      <c r="I72" s="14">
        <f t="shared" si="3"/>
        <v>-8171.429000000001</v>
      </c>
      <c r="J72" s="598" t="s">
        <v>401</v>
      </c>
      <c r="K72" s="302">
        <v>0</v>
      </c>
    </row>
    <row r="73" spans="1:11" x14ac:dyDescent="0.2">
      <c r="A73" s="10">
        <v>29282000</v>
      </c>
      <c r="B73" s="10" t="s">
        <v>298</v>
      </c>
      <c r="C73" s="11">
        <v>0</v>
      </c>
      <c r="D73" s="11">
        <v>0</v>
      </c>
      <c r="E73" s="11">
        <v>0</v>
      </c>
      <c r="F73" s="13">
        <v>0</v>
      </c>
      <c r="G73" s="13">
        <v>0</v>
      </c>
      <c r="H73" s="14">
        <f t="shared" si="2"/>
        <v>0</v>
      </c>
      <c r="I73" s="14">
        <f t="shared" si="3"/>
        <v>0</v>
      </c>
      <c r="J73" s="598"/>
      <c r="K73" s="302">
        <v>0</v>
      </c>
    </row>
    <row r="74" spans="1:11" x14ac:dyDescent="0.2">
      <c r="A74" s="10">
        <v>29286500</v>
      </c>
      <c r="B74" s="10" t="s">
        <v>299</v>
      </c>
      <c r="C74" s="11">
        <v>0</v>
      </c>
      <c r="D74" s="11">
        <v>0</v>
      </c>
      <c r="E74" s="11">
        <v>0</v>
      </c>
      <c r="F74" s="13">
        <v>0</v>
      </c>
      <c r="G74" s="13">
        <v>0</v>
      </c>
      <c r="H74" s="14">
        <f t="shared" si="2"/>
        <v>0</v>
      </c>
      <c r="I74" s="14">
        <f t="shared" si="3"/>
        <v>0</v>
      </c>
      <c r="J74" s="598" t="s">
        <v>25</v>
      </c>
      <c r="K74" s="302">
        <v>0</v>
      </c>
    </row>
    <row r="75" spans="1:11" x14ac:dyDescent="0.2">
      <c r="A75" s="10">
        <v>29700000</v>
      </c>
      <c r="B75" s="10" t="s">
        <v>57</v>
      </c>
      <c r="C75" s="11">
        <v>-29257.384999999998</v>
      </c>
      <c r="D75" s="11">
        <v>0</v>
      </c>
      <c r="E75" s="11">
        <v>0</v>
      </c>
      <c r="F75" s="13">
        <v>0</v>
      </c>
      <c r="G75" s="13">
        <v>0</v>
      </c>
      <c r="H75" s="14">
        <f t="shared" si="2"/>
        <v>0</v>
      </c>
      <c r="I75" s="14">
        <f t="shared" si="3"/>
        <v>-29257.384999999998</v>
      </c>
      <c r="J75" s="598" t="s">
        <v>58</v>
      </c>
      <c r="K75" s="302">
        <v>0</v>
      </c>
    </row>
    <row r="76" spans="1:11" x14ac:dyDescent="0.2">
      <c r="A76" s="10">
        <v>31100000</v>
      </c>
      <c r="B76" s="10" t="s">
        <v>59</v>
      </c>
      <c r="C76" s="11">
        <v>10125104.671000004</v>
      </c>
      <c r="D76" s="11">
        <v>0</v>
      </c>
      <c r="E76" s="11">
        <v>10125104.671</v>
      </c>
      <c r="F76" s="13">
        <v>103739127.23989999</v>
      </c>
      <c r="G76" s="13">
        <v>94157005.011899993</v>
      </c>
      <c r="H76" s="14">
        <f t="shared" si="2"/>
        <v>-542982.4430000037</v>
      </c>
      <c r="I76" s="14">
        <f t="shared" si="3"/>
        <v>9582122.2280000001</v>
      </c>
      <c r="J76" s="598" t="s">
        <v>60</v>
      </c>
      <c r="K76" s="302">
        <v>0</v>
      </c>
    </row>
    <row r="77" spans="1:11" x14ac:dyDescent="0.2">
      <c r="A77" s="10">
        <v>31200000</v>
      </c>
      <c r="B77" s="10" t="s">
        <v>390</v>
      </c>
      <c r="C77" s="11">
        <v>313653.11200000002</v>
      </c>
      <c r="D77" s="11">
        <v>0</v>
      </c>
      <c r="E77" s="11">
        <v>313653.11200000002</v>
      </c>
      <c r="F77" s="13">
        <v>0</v>
      </c>
      <c r="G77" s="13">
        <v>0</v>
      </c>
      <c r="H77" s="14">
        <f t="shared" si="2"/>
        <v>-313653.11200000002</v>
      </c>
      <c r="I77" s="14">
        <f t="shared" si="3"/>
        <v>0</v>
      </c>
      <c r="J77" s="598"/>
      <c r="K77" s="302">
        <v>0</v>
      </c>
    </row>
    <row r="78" spans="1:11" x14ac:dyDescent="0.2">
      <c r="A78" s="10">
        <v>32200000</v>
      </c>
      <c r="B78" s="10" t="s">
        <v>61</v>
      </c>
      <c r="C78" s="11">
        <v>583630.65100000054</v>
      </c>
      <c r="D78" s="11">
        <v>0</v>
      </c>
      <c r="E78" s="11">
        <v>583630.65099999995</v>
      </c>
      <c r="F78" s="13">
        <v>7126706.3731000004</v>
      </c>
      <c r="G78" s="13">
        <v>6332584.8331000004</v>
      </c>
      <c r="H78" s="14">
        <f t="shared" si="2"/>
        <v>210490.88900000043</v>
      </c>
      <c r="I78" s="14">
        <f t="shared" si="3"/>
        <v>794121.54000000097</v>
      </c>
      <c r="J78" s="598" t="s">
        <v>60</v>
      </c>
      <c r="K78" s="302">
        <v>0</v>
      </c>
    </row>
    <row r="79" spans="1:11" x14ac:dyDescent="0.2">
      <c r="A79" s="10">
        <v>33100000</v>
      </c>
      <c r="B79" s="10" t="s">
        <v>62</v>
      </c>
      <c r="C79" s="11">
        <v>1140754.9079999998</v>
      </c>
      <c r="D79" s="11">
        <v>0</v>
      </c>
      <c r="E79" s="11">
        <v>1140754.9080000001</v>
      </c>
      <c r="F79" s="13">
        <v>33526413.2524</v>
      </c>
      <c r="G79" s="13">
        <v>28196043.0414</v>
      </c>
      <c r="H79" s="14">
        <f t="shared" si="2"/>
        <v>4189615.3029999994</v>
      </c>
      <c r="I79" s="14">
        <f t="shared" si="3"/>
        <v>5330370.2109999992</v>
      </c>
      <c r="J79" s="598" t="s">
        <v>60</v>
      </c>
      <c r="K79" s="302">
        <v>0</v>
      </c>
    </row>
    <row r="80" spans="1:11" x14ac:dyDescent="0.2">
      <c r="A80" s="10">
        <v>33500000</v>
      </c>
      <c r="B80" s="10" t="s">
        <v>300</v>
      </c>
      <c r="C80" s="11">
        <v>0</v>
      </c>
      <c r="D80" s="11">
        <v>0</v>
      </c>
      <c r="E80" s="11">
        <v>0</v>
      </c>
      <c r="F80" s="13">
        <v>0</v>
      </c>
      <c r="G80" s="13">
        <v>0</v>
      </c>
      <c r="H80" s="14">
        <f t="shared" si="2"/>
        <v>0</v>
      </c>
      <c r="I80" s="14">
        <f t="shared" si="3"/>
        <v>0</v>
      </c>
      <c r="J80" s="598"/>
      <c r="K80" s="302">
        <v>0</v>
      </c>
    </row>
    <row r="81" spans="1:11" x14ac:dyDescent="0.2">
      <c r="A81" s="10">
        <v>34100000</v>
      </c>
      <c r="B81" s="10" t="s">
        <v>301</v>
      </c>
      <c r="C81" s="11">
        <v>0</v>
      </c>
      <c r="D81" s="11">
        <v>0</v>
      </c>
      <c r="E81" s="11">
        <v>0</v>
      </c>
      <c r="F81" s="13">
        <v>0</v>
      </c>
      <c r="G81" s="13">
        <v>0</v>
      </c>
      <c r="H81" s="14">
        <f t="shared" si="2"/>
        <v>0</v>
      </c>
      <c r="I81" s="14">
        <f t="shared" si="3"/>
        <v>0</v>
      </c>
      <c r="J81" s="598"/>
      <c r="K81" s="302">
        <v>0</v>
      </c>
    </row>
    <row r="82" spans="1:11" x14ac:dyDescent="0.2">
      <c r="A82" s="10">
        <v>35500000</v>
      </c>
      <c r="B82" s="10" t="s">
        <v>63</v>
      </c>
      <c r="C82" s="11">
        <v>3851747.0070000011</v>
      </c>
      <c r="D82" s="11">
        <v>0</v>
      </c>
      <c r="E82" s="11">
        <v>3851747.0070000002</v>
      </c>
      <c r="F82" s="13">
        <v>24912821.524599999</v>
      </c>
      <c r="G82" s="13">
        <v>24798852.512600001</v>
      </c>
      <c r="H82" s="14">
        <f t="shared" si="2"/>
        <v>-3737777.995000001</v>
      </c>
      <c r="I82" s="14">
        <f t="shared" si="3"/>
        <v>113969.0120000001</v>
      </c>
      <c r="J82" s="598" t="s">
        <v>60</v>
      </c>
      <c r="K82" s="302">
        <v>0</v>
      </c>
    </row>
    <row r="83" spans="1:11" x14ac:dyDescent="0.2">
      <c r="A83" s="10">
        <v>39000000</v>
      </c>
      <c r="B83" s="10" t="s">
        <v>64</v>
      </c>
      <c r="C83" s="11">
        <v>-208158.11300000001</v>
      </c>
      <c r="D83" s="11">
        <v>0</v>
      </c>
      <c r="E83" s="11">
        <v>0</v>
      </c>
      <c r="F83" s="13">
        <v>0</v>
      </c>
      <c r="G83" s="13">
        <v>0</v>
      </c>
      <c r="H83" s="14">
        <f t="shared" si="2"/>
        <v>0</v>
      </c>
      <c r="I83" s="14">
        <f t="shared" si="3"/>
        <v>-208158.11300000001</v>
      </c>
      <c r="J83" s="598" t="s">
        <v>65</v>
      </c>
      <c r="K83" s="302">
        <v>0</v>
      </c>
    </row>
    <row r="84" spans="1:11" x14ac:dyDescent="0.2">
      <c r="A84" s="10">
        <v>40100000</v>
      </c>
      <c r="B84" s="10" t="s">
        <v>66</v>
      </c>
      <c r="C84" s="11">
        <v>-3682903.34593153</v>
      </c>
      <c r="D84" s="11">
        <v>42477852.009052992</v>
      </c>
      <c r="E84" s="11">
        <v>41102212.777551003</v>
      </c>
      <c r="F84" s="13">
        <v>4926.3500000000004</v>
      </c>
      <c r="G84" s="13">
        <v>4926.3500000000004</v>
      </c>
      <c r="H84" s="14">
        <f t="shared" si="2"/>
        <v>1375639.2315019905</v>
      </c>
      <c r="I84" s="14">
        <f t="shared" si="3"/>
        <v>-2307264.1144295395</v>
      </c>
      <c r="J84" s="598" t="s">
        <v>67</v>
      </c>
      <c r="K84" s="302">
        <v>0</v>
      </c>
    </row>
    <row r="85" spans="1:11" x14ac:dyDescent="0.2">
      <c r="A85" s="10">
        <v>40300000</v>
      </c>
      <c r="B85" s="10" t="s">
        <v>68</v>
      </c>
      <c r="C85" s="11">
        <v>-474754.25700000674</v>
      </c>
      <c r="D85" s="11">
        <v>2368053.8149999999</v>
      </c>
      <c r="E85" s="11">
        <v>2714897.7050000001</v>
      </c>
      <c r="F85" s="13">
        <v>0</v>
      </c>
      <c r="G85" s="13">
        <v>0</v>
      </c>
      <c r="H85" s="14">
        <f t="shared" si="2"/>
        <v>-346843.89000000013</v>
      </c>
      <c r="I85" s="14">
        <f t="shared" si="3"/>
        <v>-821598.14700000687</v>
      </c>
      <c r="J85" s="598" t="s">
        <v>67</v>
      </c>
      <c r="K85" s="302">
        <v>0</v>
      </c>
    </row>
    <row r="86" spans="1:11" x14ac:dyDescent="0.2">
      <c r="A86" s="10">
        <v>40301000</v>
      </c>
      <c r="B86" s="10" t="s">
        <v>302</v>
      </c>
      <c r="C86" s="11">
        <v>0</v>
      </c>
      <c r="D86" s="11">
        <v>0</v>
      </c>
      <c r="E86" s="11">
        <v>0</v>
      </c>
      <c r="F86" s="13">
        <v>0</v>
      </c>
      <c r="G86" s="13">
        <v>0</v>
      </c>
      <c r="H86" s="14">
        <f t="shared" si="2"/>
        <v>0</v>
      </c>
      <c r="I86" s="14">
        <f t="shared" si="3"/>
        <v>0</v>
      </c>
      <c r="J86" s="598"/>
      <c r="K86" s="302">
        <v>0</v>
      </c>
    </row>
    <row r="87" spans="1:11" x14ac:dyDescent="0.2">
      <c r="A87" s="10">
        <v>40400000</v>
      </c>
      <c r="B87" s="10" t="s">
        <v>69</v>
      </c>
      <c r="C87" s="11">
        <v>9.999983012676239E-5</v>
      </c>
      <c r="D87" s="11">
        <v>0</v>
      </c>
      <c r="E87" s="11">
        <v>0</v>
      </c>
      <c r="F87" s="13">
        <v>0</v>
      </c>
      <c r="G87" s="13">
        <v>0</v>
      </c>
      <c r="H87" s="14">
        <f t="shared" si="2"/>
        <v>0</v>
      </c>
      <c r="I87" s="14">
        <f t="shared" si="3"/>
        <v>9.999983012676239E-5</v>
      </c>
      <c r="J87" s="598"/>
      <c r="K87" s="302">
        <v>0</v>
      </c>
    </row>
    <row r="88" spans="1:11" x14ac:dyDescent="0.2">
      <c r="A88" s="10">
        <v>40470000</v>
      </c>
      <c r="B88" s="10" t="s">
        <v>303</v>
      </c>
      <c r="C88" s="11">
        <v>0</v>
      </c>
      <c r="D88" s="11">
        <v>0</v>
      </c>
      <c r="E88" s="11">
        <v>0</v>
      </c>
      <c r="F88" s="13">
        <v>0</v>
      </c>
      <c r="G88" s="13">
        <v>0</v>
      </c>
      <c r="H88" s="14">
        <f t="shared" si="2"/>
        <v>0</v>
      </c>
      <c r="I88" s="14">
        <f t="shared" si="3"/>
        <v>0</v>
      </c>
      <c r="J88" s="598"/>
      <c r="K88" s="302">
        <v>0</v>
      </c>
    </row>
    <row r="89" spans="1:11" x14ac:dyDescent="0.2">
      <c r="A89" s="10">
        <v>40600000</v>
      </c>
      <c r="B89" s="10" t="s">
        <v>70</v>
      </c>
      <c r="C89" s="11">
        <v>-2618344.924259603</v>
      </c>
      <c r="D89" s="11">
        <v>9931426.3488919996</v>
      </c>
      <c r="E89" s="11">
        <v>9490286.3377305008</v>
      </c>
      <c r="F89" s="13">
        <v>443984.663</v>
      </c>
      <c r="G89" s="13">
        <v>353728.34299999999</v>
      </c>
      <c r="H89" s="14">
        <f t="shared" si="2"/>
        <v>531396.33116149937</v>
      </c>
      <c r="I89" s="14">
        <f t="shared" si="3"/>
        <v>-2086948.5930981035</v>
      </c>
      <c r="J89" s="598" t="s">
        <v>67</v>
      </c>
      <c r="K89" s="302">
        <v>0</v>
      </c>
    </row>
    <row r="90" spans="1:11" x14ac:dyDescent="0.2">
      <c r="A90" s="10">
        <v>40800000</v>
      </c>
      <c r="B90" s="10" t="s">
        <v>71</v>
      </c>
      <c r="C90" s="11">
        <v>-4980</v>
      </c>
      <c r="D90" s="11">
        <v>0</v>
      </c>
      <c r="E90" s="11">
        <v>0</v>
      </c>
      <c r="F90" s="13">
        <v>0</v>
      </c>
      <c r="G90" s="13">
        <v>0</v>
      </c>
      <c r="H90" s="14">
        <f t="shared" si="2"/>
        <v>0</v>
      </c>
      <c r="I90" s="14">
        <f t="shared" si="3"/>
        <v>-4980</v>
      </c>
      <c r="J90" s="598" t="s">
        <v>67</v>
      </c>
      <c r="K90" s="302">
        <v>0</v>
      </c>
    </row>
    <row r="91" spans="1:11" x14ac:dyDescent="0.2">
      <c r="A91" s="10">
        <v>40860000</v>
      </c>
      <c r="B91" s="10" t="s">
        <v>304</v>
      </c>
      <c r="C91" s="11">
        <v>0</v>
      </c>
      <c r="D91" s="11">
        <v>0</v>
      </c>
      <c r="E91" s="11">
        <v>0</v>
      </c>
      <c r="F91" s="13">
        <v>0</v>
      </c>
      <c r="G91" s="13">
        <v>0</v>
      </c>
      <c r="H91" s="14">
        <f t="shared" si="2"/>
        <v>0</v>
      </c>
      <c r="I91" s="14">
        <f t="shared" si="3"/>
        <v>0</v>
      </c>
      <c r="J91" s="598"/>
      <c r="K91" s="302">
        <v>0</v>
      </c>
    </row>
    <row r="92" spans="1:11" x14ac:dyDescent="0.2">
      <c r="A92" s="10">
        <v>40910000</v>
      </c>
      <c r="B92" s="10" t="s">
        <v>72</v>
      </c>
      <c r="C92" s="11">
        <v>579508.96299999964</v>
      </c>
      <c r="D92" s="11">
        <v>14501.861000000001</v>
      </c>
      <c r="E92" s="11">
        <v>594010.82400000002</v>
      </c>
      <c r="F92" s="13">
        <v>0</v>
      </c>
      <c r="G92" s="13">
        <v>0</v>
      </c>
      <c r="H92" s="14">
        <f t="shared" si="2"/>
        <v>-579508.96299999999</v>
      </c>
      <c r="I92" s="14">
        <f t="shared" si="3"/>
        <v>0</v>
      </c>
      <c r="J92" s="598" t="s">
        <v>78</v>
      </c>
      <c r="K92" s="302">
        <v>0</v>
      </c>
    </row>
    <row r="93" spans="1:11" x14ac:dyDescent="0.2">
      <c r="A93" s="10">
        <v>41100000</v>
      </c>
      <c r="B93" s="10" t="s">
        <v>73</v>
      </c>
      <c r="C93" s="11">
        <v>11118442.226302475</v>
      </c>
      <c r="D93" s="11">
        <v>53610569.138379991</v>
      </c>
      <c r="E93" s="11">
        <v>45592971.144999996</v>
      </c>
      <c r="F93" s="13">
        <v>65310.438000000002</v>
      </c>
      <c r="G93" s="13">
        <v>65310.438000000002</v>
      </c>
      <c r="H93" s="14">
        <f t="shared" si="2"/>
        <v>8017597.9933799962</v>
      </c>
      <c r="I93" s="14">
        <f t="shared" si="3"/>
        <v>19136040.21968247</v>
      </c>
      <c r="J93" s="598" t="s">
        <v>74</v>
      </c>
      <c r="K93" s="302">
        <v>0</v>
      </c>
    </row>
    <row r="94" spans="1:11" x14ac:dyDescent="0.2">
      <c r="A94" s="10">
        <v>41301000</v>
      </c>
      <c r="B94" s="10" t="s">
        <v>305</v>
      </c>
      <c r="C94" s="11">
        <v>0</v>
      </c>
      <c r="D94" s="11">
        <v>0</v>
      </c>
      <c r="E94" s="11">
        <v>0</v>
      </c>
      <c r="F94" s="13">
        <v>0</v>
      </c>
      <c r="G94" s="13">
        <v>0</v>
      </c>
      <c r="H94" s="14">
        <f t="shared" si="2"/>
        <v>0</v>
      </c>
      <c r="I94" s="14">
        <f t="shared" si="3"/>
        <v>0</v>
      </c>
      <c r="J94" s="598"/>
      <c r="K94" s="302">
        <v>0</v>
      </c>
    </row>
    <row r="95" spans="1:11" x14ac:dyDescent="0.2">
      <c r="A95" s="10">
        <v>41500000</v>
      </c>
      <c r="B95" s="10" t="s">
        <v>75</v>
      </c>
      <c r="C95" s="11">
        <v>2075282.690135479</v>
      </c>
      <c r="D95" s="11">
        <v>6047771.7658749996</v>
      </c>
      <c r="E95" s="11">
        <v>3760610.8647500002</v>
      </c>
      <c r="F95" s="13">
        <v>3343542.0010000002</v>
      </c>
      <c r="G95" s="13">
        <v>3814900.3539999998</v>
      </c>
      <c r="H95" s="14">
        <f t="shared" si="2"/>
        <v>1815802.5481249993</v>
      </c>
      <c r="I95" s="14">
        <f t="shared" si="3"/>
        <v>3891085.2382604782</v>
      </c>
      <c r="J95" s="598" t="s">
        <v>74</v>
      </c>
      <c r="K95" s="302">
        <v>0</v>
      </c>
    </row>
    <row r="96" spans="1:11" x14ac:dyDescent="0.2">
      <c r="A96" s="10">
        <v>41601000</v>
      </c>
      <c r="B96" s="10" t="s">
        <v>306</v>
      </c>
      <c r="C96" s="11">
        <v>0</v>
      </c>
      <c r="D96" s="11">
        <v>0</v>
      </c>
      <c r="E96" s="11">
        <v>0</v>
      </c>
      <c r="F96" s="13">
        <v>0</v>
      </c>
      <c r="G96" s="13">
        <v>0</v>
      </c>
      <c r="H96" s="14">
        <f t="shared" si="2"/>
        <v>0</v>
      </c>
      <c r="I96" s="14">
        <f t="shared" si="3"/>
        <v>0</v>
      </c>
      <c r="J96" s="598"/>
      <c r="K96" s="302">
        <v>0</v>
      </c>
    </row>
    <row r="97" spans="1:11" x14ac:dyDescent="0.2">
      <c r="A97" s="10">
        <v>41800000</v>
      </c>
      <c r="B97" s="10" t="s">
        <v>307</v>
      </c>
      <c r="C97" s="11">
        <v>0</v>
      </c>
      <c r="D97" s="11">
        <v>0</v>
      </c>
      <c r="E97" s="11">
        <v>0</v>
      </c>
      <c r="F97" s="13">
        <v>0</v>
      </c>
      <c r="G97" s="13">
        <v>0</v>
      </c>
      <c r="H97" s="14">
        <f t="shared" si="2"/>
        <v>0</v>
      </c>
      <c r="I97" s="14">
        <f t="shared" si="3"/>
        <v>0</v>
      </c>
      <c r="J97" s="598"/>
      <c r="K97" s="302">
        <v>0</v>
      </c>
    </row>
    <row r="98" spans="1:11" x14ac:dyDescent="0.2">
      <c r="A98" s="10">
        <v>41910000</v>
      </c>
      <c r="B98" s="10" t="s">
        <v>308</v>
      </c>
      <c r="C98" s="11">
        <v>0</v>
      </c>
      <c r="D98" s="11">
        <v>0</v>
      </c>
      <c r="E98" s="11">
        <v>0</v>
      </c>
      <c r="F98" s="13">
        <v>0</v>
      </c>
      <c r="G98" s="13">
        <v>0</v>
      </c>
      <c r="H98" s="14">
        <f t="shared" si="2"/>
        <v>0</v>
      </c>
      <c r="I98" s="14">
        <f t="shared" si="3"/>
        <v>0</v>
      </c>
      <c r="J98" s="598"/>
      <c r="K98" s="302">
        <v>0</v>
      </c>
    </row>
    <row r="99" spans="1:11" x14ac:dyDescent="0.2">
      <c r="A99" s="10">
        <v>42100000</v>
      </c>
      <c r="B99" s="10" t="s">
        <v>76</v>
      </c>
      <c r="C99" s="11">
        <v>0</v>
      </c>
      <c r="D99" s="11">
        <v>883.33400000000006</v>
      </c>
      <c r="E99" s="11">
        <v>883.33400000000006</v>
      </c>
      <c r="F99" s="13">
        <v>0</v>
      </c>
      <c r="G99" s="13">
        <v>0</v>
      </c>
      <c r="H99" s="14">
        <f t="shared" si="2"/>
        <v>0</v>
      </c>
      <c r="I99" s="14">
        <f t="shared" si="3"/>
        <v>0</v>
      </c>
      <c r="J99" s="598" t="s">
        <v>78</v>
      </c>
      <c r="K99" s="302">
        <v>0</v>
      </c>
    </row>
    <row r="100" spans="1:11" x14ac:dyDescent="0.2">
      <c r="A100" s="10">
        <v>42110000</v>
      </c>
      <c r="B100" s="10" t="s">
        <v>309</v>
      </c>
      <c r="C100" s="11">
        <v>0</v>
      </c>
      <c r="D100" s="11">
        <v>0</v>
      </c>
      <c r="E100" s="11">
        <v>0</v>
      </c>
      <c r="F100" s="13">
        <v>0</v>
      </c>
      <c r="G100" s="13">
        <v>0</v>
      </c>
      <c r="H100" s="14">
        <f t="shared" si="2"/>
        <v>0</v>
      </c>
      <c r="I100" s="14">
        <f t="shared" si="3"/>
        <v>0</v>
      </c>
      <c r="J100" s="598"/>
      <c r="K100" s="302">
        <v>0</v>
      </c>
    </row>
    <row r="101" spans="1:11" x14ac:dyDescent="0.2">
      <c r="A101" s="10">
        <v>42120000</v>
      </c>
      <c r="B101" s="10" t="s">
        <v>77</v>
      </c>
      <c r="C101" s="11">
        <v>18991.006999999983</v>
      </c>
      <c r="D101" s="11">
        <v>85633.334000000003</v>
      </c>
      <c r="E101" s="11">
        <v>77284.481</v>
      </c>
      <c r="F101" s="13">
        <v>0</v>
      </c>
      <c r="G101" s="13">
        <v>0</v>
      </c>
      <c r="H101" s="14">
        <f t="shared" si="2"/>
        <v>8348.8530000000028</v>
      </c>
      <c r="I101" s="14">
        <f t="shared" si="3"/>
        <v>27339.859999999986</v>
      </c>
      <c r="J101" s="598" t="s">
        <v>78</v>
      </c>
      <c r="K101" s="302">
        <v>0</v>
      </c>
    </row>
    <row r="102" spans="1:11" x14ac:dyDescent="0.2">
      <c r="A102" s="10">
        <v>42400000</v>
      </c>
      <c r="B102" s="10" t="s">
        <v>79</v>
      </c>
      <c r="C102" s="11">
        <v>0</v>
      </c>
      <c r="D102" s="11">
        <v>0</v>
      </c>
      <c r="E102" s="11">
        <v>0</v>
      </c>
      <c r="F102" s="13">
        <v>0</v>
      </c>
      <c r="G102" s="13">
        <v>0</v>
      </c>
      <c r="H102" s="14">
        <f t="shared" si="2"/>
        <v>0</v>
      </c>
      <c r="I102" s="14">
        <f t="shared" si="3"/>
        <v>0</v>
      </c>
      <c r="J102" s="598"/>
      <c r="K102" s="302">
        <v>0</v>
      </c>
    </row>
    <row r="103" spans="1:11" x14ac:dyDescent="0.2">
      <c r="A103" s="10">
        <v>42500000</v>
      </c>
      <c r="B103" s="10" t="s">
        <v>80</v>
      </c>
      <c r="C103" s="11">
        <v>-169680.43600000069</v>
      </c>
      <c r="D103" s="11">
        <v>3229471.1919999998</v>
      </c>
      <c r="E103" s="11">
        <v>3064999.023</v>
      </c>
      <c r="F103" s="13">
        <v>0</v>
      </c>
      <c r="G103" s="13">
        <v>0</v>
      </c>
      <c r="H103" s="14">
        <f t="shared" si="2"/>
        <v>164472.16899999976</v>
      </c>
      <c r="I103" s="14">
        <f t="shared" si="3"/>
        <v>-5208.2670000009239</v>
      </c>
      <c r="J103" s="598" t="s">
        <v>78</v>
      </c>
      <c r="K103" s="302">
        <v>0</v>
      </c>
    </row>
    <row r="104" spans="1:11" x14ac:dyDescent="0.2">
      <c r="A104" s="10">
        <v>42700000</v>
      </c>
      <c r="B104" s="10" t="s">
        <v>310</v>
      </c>
      <c r="C104" s="11">
        <v>0</v>
      </c>
      <c r="D104" s="11">
        <v>0</v>
      </c>
      <c r="E104" s="11">
        <v>0</v>
      </c>
      <c r="F104" s="13">
        <v>0</v>
      </c>
      <c r="G104" s="13">
        <v>0</v>
      </c>
      <c r="H104" s="14">
        <f t="shared" si="2"/>
        <v>0</v>
      </c>
      <c r="I104" s="14">
        <f t="shared" si="3"/>
        <v>0</v>
      </c>
      <c r="J104" s="598"/>
      <c r="K104" s="302">
        <v>0</v>
      </c>
    </row>
    <row r="105" spans="1:11" x14ac:dyDescent="0.2">
      <c r="A105" s="10">
        <v>42710000</v>
      </c>
      <c r="B105" s="10" t="s">
        <v>82</v>
      </c>
      <c r="C105" s="11">
        <v>-913.54400000000169</v>
      </c>
      <c r="D105" s="11">
        <v>12228.880000000001</v>
      </c>
      <c r="E105" s="11">
        <v>13898.628000000001</v>
      </c>
      <c r="F105" s="13">
        <v>0</v>
      </c>
      <c r="G105" s="13">
        <v>0</v>
      </c>
      <c r="H105" s="14">
        <f t="shared" si="2"/>
        <v>-1669.7479999999996</v>
      </c>
      <c r="I105" s="14">
        <f t="shared" si="3"/>
        <v>-2583.2920000000013</v>
      </c>
      <c r="J105" s="598" t="s">
        <v>81</v>
      </c>
      <c r="K105" s="302">
        <v>0</v>
      </c>
    </row>
    <row r="106" spans="1:11" x14ac:dyDescent="0.2">
      <c r="A106" s="10">
        <v>42820000</v>
      </c>
      <c r="B106" s="10" t="s">
        <v>83</v>
      </c>
      <c r="C106" s="11">
        <v>-190404.0419999999</v>
      </c>
      <c r="D106" s="11">
        <v>2725869.0310000004</v>
      </c>
      <c r="E106" s="11">
        <v>2775482</v>
      </c>
      <c r="F106" s="13">
        <v>0</v>
      </c>
      <c r="G106" s="13">
        <v>0</v>
      </c>
      <c r="H106" s="14">
        <f t="shared" si="2"/>
        <v>-49612.968999999575</v>
      </c>
      <c r="I106" s="14">
        <f t="shared" si="3"/>
        <v>-240017.01099999947</v>
      </c>
      <c r="J106" s="598" t="s">
        <v>81</v>
      </c>
      <c r="K106" s="302">
        <v>0</v>
      </c>
    </row>
    <row r="107" spans="1:11" x14ac:dyDescent="0.2">
      <c r="A107" s="10">
        <v>43200000</v>
      </c>
      <c r="B107" s="10" t="s">
        <v>311</v>
      </c>
      <c r="C107" s="11">
        <v>0</v>
      </c>
      <c r="D107" s="11">
        <v>0</v>
      </c>
      <c r="E107" s="11">
        <v>0</v>
      </c>
      <c r="F107" s="13">
        <v>0</v>
      </c>
      <c r="G107" s="13">
        <v>0</v>
      </c>
      <c r="H107" s="14">
        <f t="shared" si="2"/>
        <v>0</v>
      </c>
      <c r="I107" s="14">
        <f t="shared" si="3"/>
        <v>0</v>
      </c>
      <c r="J107" s="598"/>
      <c r="K107" s="302">
        <v>0</v>
      </c>
    </row>
    <row r="108" spans="1:11" x14ac:dyDescent="0.2">
      <c r="A108" s="10">
        <v>43210000</v>
      </c>
      <c r="B108" s="10" t="s">
        <v>84</v>
      </c>
      <c r="C108" s="11">
        <v>0</v>
      </c>
      <c r="D108" s="11">
        <v>565217.21200000006</v>
      </c>
      <c r="E108" s="11">
        <v>630593.24700000009</v>
      </c>
      <c r="F108" s="13">
        <v>0</v>
      </c>
      <c r="G108" s="13">
        <v>0</v>
      </c>
      <c r="H108" s="14">
        <f t="shared" si="2"/>
        <v>-65376.035000000033</v>
      </c>
      <c r="I108" s="14">
        <f t="shared" si="3"/>
        <v>-65376.035000000033</v>
      </c>
      <c r="J108" s="598" t="s">
        <v>81</v>
      </c>
      <c r="K108" s="302">
        <v>0</v>
      </c>
    </row>
    <row r="109" spans="1:11" x14ac:dyDescent="0.2">
      <c r="A109" s="10">
        <v>43211000</v>
      </c>
      <c r="B109" s="10" t="s">
        <v>312</v>
      </c>
      <c r="C109" s="11">
        <v>0</v>
      </c>
      <c r="D109" s="11">
        <v>5113.3020000000006</v>
      </c>
      <c r="E109" s="11">
        <v>5113.3020000000006</v>
      </c>
      <c r="F109" s="13">
        <v>0</v>
      </c>
      <c r="G109" s="13">
        <v>0</v>
      </c>
      <c r="H109" s="14">
        <f t="shared" si="2"/>
        <v>0</v>
      </c>
      <c r="I109" s="14">
        <f t="shared" si="3"/>
        <v>0</v>
      </c>
      <c r="J109" s="598" t="s">
        <v>81</v>
      </c>
      <c r="K109" s="302">
        <v>0</v>
      </c>
    </row>
    <row r="110" spans="1:11" x14ac:dyDescent="0.2">
      <c r="A110" s="10">
        <v>43211500</v>
      </c>
      <c r="B110" s="10" t="s">
        <v>85</v>
      </c>
      <c r="C110" s="11">
        <v>0</v>
      </c>
      <c r="D110" s="11">
        <v>15.050999999999998</v>
      </c>
      <c r="E110" s="11">
        <v>15.050999999999998</v>
      </c>
      <c r="F110" s="13">
        <v>0</v>
      </c>
      <c r="G110" s="13">
        <v>0</v>
      </c>
      <c r="H110" s="14">
        <f t="shared" si="2"/>
        <v>0</v>
      </c>
      <c r="I110" s="14">
        <f t="shared" si="3"/>
        <v>0</v>
      </c>
      <c r="J110" s="598" t="s">
        <v>81</v>
      </c>
      <c r="K110" s="302">
        <v>0</v>
      </c>
    </row>
    <row r="111" spans="1:11" x14ac:dyDescent="0.2">
      <c r="A111" s="10">
        <v>43212500</v>
      </c>
      <c r="B111" s="10" t="s">
        <v>313</v>
      </c>
      <c r="C111" s="11">
        <v>0</v>
      </c>
      <c r="D111" s="11">
        <v>0</v>
      </c>
      <c r="E111" s="11">
        <v>0</v>
      </c>
      <c r="F111" s="13">
        <v>0</v>
      </c>
      <c r="G111" s="13">
        <v>0</v>
      </c>
      <c r="H111" s="14">
        <f t="shared" si="2"/>
        <v>0</v>
      </c>
      <c r="I111" s="14">
        <f t="shared" si="3"/>
        <v>0</v>
      </c>
      <c r="J111" s="598"/>
      <c r="K111" s="302">
        <v>0</v>
      </c>
    </row>
    <row r="112" spans="1:11" x14ac:dyDescent="0.2">
      <c r="A112" s="10">
        <v>43215000</v>
      </c>
      <c r="B112" s="10" t="s">
        <v>314</v>
      </c>
      <c r="C112" s="11">
        <v>0</v>
      </c>
      <c r="D112" s="11">
        <v>32.941999999999993</v>
      </c>
      <c r="E112" s="11">
        <v>32.941999999999993</v>
      </c>
      <c r="F112" s="13">
        <v>0</v>
      </c>
      <c r="G112" s="13">
        <v>0</v>
      </c>
      <c r="H112" s="14">
        <f t="shared" si="2"/>
        <v>0</v>
      </c>
      <c r="I112" s="14">
        <f t="shared" si="3"/>
        <v>0</v>
      </c>
      <c r="J112" s="598"/>
      <c r="K112" s="302">
        <v>0</v>
      </c>
    </row>
    <row r="113" spans="1:11" x14ac:dyDescent="0.2">
      <c r="A113" s="10">
        <v>43220000</v>
      </c>
      <c r="B113" s="10" t="s">
        <v>86</v>
      </c>
      <c r="C113" s="11">
        <v>0</v>
      </c>
      <c r="D113" s="11">
        <v>27717.276000000002</v>
      </c>
      <c r="E113" s="11">
        <v>35766.019</v>
      </c>
      <c r="F113" s="13">
        <v>0</v>
      </c>
      <c r="G113" s="13">
        <v>0</v>
      </c>
      <c r="H113" s="14">
        <f t="shared" si="2"/>
        <v>-8048.7429999999986</v>
      </c>
      <c r="I113" s="14">
        <f t="shared" si="3"/>
        <v>-8048.7429999999986</v>
      </c>
      <c r="J113" s="598" t="s">
        <v>81</v>
      </c>
      <c r="K113" s="302">
        <v>0</v>
      </c>
    </row>
    <row r="114" spans="1:11" x14ac:dyDescent="0.2">
      <c r="A114" s="10">
        <v>43220050</v>
      </c>
      <c r="B114" s="10" t="s">
        <v>315</v>
      </c>
      <c r="C114" s="11">
        <v>0</v>
      </c>
      <c r="D114" s="11">
        <v>8064.6809999999996</v>
      </c>
      <c r="E114" s="11">
        <v>8064.634</v>
      </c>
      <c r="F114" s="13">
        <v>0</v>
      </c>
      <c r="G114" s="13">
        <v>0</v>
      </c>
      <c r="H114" s="14">
        <f t="shared" si="2"/>
        <v>4.6999999999570719E-2</v>
      </c>
      <c r="I114" s="14">
        <f t="shared" si="3"/>
        <v>4.6999999999570719E-2</v>
      </c>
      <c r="J114" s="598" t="s">
        <v>81</v>
      </c>
      <c r="K114" s="302">
        <v>0</v>
      </c>
    </row>
    <row r="115" spans="1:11" x14ac:dyDescent="0.2">
      <c r="A115" s="10">
        <v>43220100</v>
      </c>
      <c r="B115" s="10" t="s">
        <v>87</v>
      </c>
      <c r="C115" s="11">
        <v>-6.0000000521540642E-3</v>
      </c>
      <c r="D115" s="11">
        <v>169078.65</v>
      </c>
      <c r="E115" s="11">
        <v>188852.35699999999</v>
      </c>
      <c r="F115" s="13">
        <v>0</v>
      </c>
      <c r="G115" s="13">
        <v>0</v>
      </c>
      <c r="H115" s="14">
        <f t="shared" si="2"/>
        <v>-19773.706999999995</v>
      </c>
      <c r="I115" s="14">
        <f t="shared" si="3"/>
        <v>-19773.713000000047</v>
      </c>
      <c r="J115" s="598" t="s">
        <v>81</v>
      </c>
      <c r="K115" s="302">
        <v>0</v>
      </c>
    </row>
    <row r="116" spans="1:11" x14ac:dyDescent="0.2">
      <c r="A116" s="10">
        <v>43220300</v>
      </c>
      <c r="B116" s="10" t="s">
        <v>88</v>
      </c>
      <c r="C116" s="11">
        <v>-5.9999999998581188E-3</v>
      </c>
      <c r="D116" s="11">
        <v>893.57600000000002</v>
      </c>
      <c r="E116" s="11">
        <v>1072.0189999999998</v>
      </c>
      <c r="F116" s="13">
        <v>0</v>
      </c>
      <c r="G116" s="13">
        <v>0</v>
      </c>
      <c r="H116" s="14">
        <f t="shared" si="2"/>
        <v>-178.44299999999976</v>
      </c>
      <c r="I116" s="14">
        <f t="shared" si="3"/>
        <v>-178.44899999999961</v>
      </c>
      <c r="J116" s="598" t="s">
        <v>81</v>
      </c>
      <c r="K116" s="302">
        <v>0</v>
      </c>
    </row>
    <row r="117" spans="1:11" x14ac:dyDescent="0.2">
      <c r="A117" s="10">
        <v>43221000</v>
      </c>
      <c r="B117" s="10" t="s">
        <v>89</v>
      </c>
      <c r="C117" s="11">
        <v>-1.9999999785795808E-3</v>
      </c>
      <c r="D117" s="11">
        <v>1611.1060000000002</v>
      </c>
      <c r="E117" s="11">
        <v>1727.7720000000002</v>
      </c>
      <c r="F117" s="13">
        <v>0</v>
      </c>
      <c r="G117" s="13">
        <v>0</v>
      </c>
      <c r="H117" s="14">
        <f t="shared" si="2"/>
        <v>-116.66599999999994</v>
      </c>
      <c r="I117" s="14">
        <f t="shared" si="3"/>
        <v>-116.66799999997852</v>
      </c>
      <c r="J117" s="598" t="s">
        <v>81</v>
      </c>
      <c r="K117" s="302">
        <v>0</v>
      </c>
    </row>
    <row r="118" spans="1:11" x14ac:dyDescent="0.2">
      <c r="A118" s="10">
        <v>43222000</v>
      </c>
      <c r="B118" s="10" t="s">
        <v>316</v>
      </c>
      <c r="C118" s="11">
        <v>0</v>
      </c>
      <c r="D118" s="11">
        <v>10000</v>
      </c>
      <c r="E118" s="11">
        <v>55000</v>
      </c>
      <c r="F118" s="13">
        <v>0</v>
      </c>
      <c r="G118" s="13">
        <v>0</v>
      </c>
      <c r="H118" s="14">
        <f t="shared" si="2"/>
        <v>-45000</v>
      </c>
      <c r="I118" s="14">
        <f t="shared" si="3"/>
        <v>-45000</v>
      </c>
      <c r="J118" s="598" t="s">
        <v>81</v>
      </c>
      <c r="K118" s="302">
        <v>0</v>
      </c>
    </row>
    <row r="119" spans="1:11" x14ac:dyDescent="0.2">
      <c r="A119" s="10">
        <v>43223000</v>
      </c>
      <c r="B119" s="10" t="s">
        <v>90</v>
      </c>
      <c r="C119" s="11">
        <v>-10696.540000000008</v>
      </c>
      <c r="D119" s="11">
        <v>25632.341</v>
      </c>
      <c r="E119" s="11">
        <v>15970.720000000001</v>
      </c>
      <c r="F119" s="13">
        <v>0</v>
      </c>
      <c r="G119" s="13">
        <v>0</v>
      </c>
      <c r="H119" s="14">
        <f t="shared" si="2"/>
        <v>9661.6209999999992</v>
      </c>
      <c r="I119" s="14">
        <f t="shared" si="3"/>
        <v>-1034.919000000009</v>
      </c>
      <c r="J119" s="598" t="s">
        <v>81</v>
      </c>
      <c r="K119" s="302">
        <v>0</v>
      </c>
    </row>
    <row r="120" spans="1:11" x14ac:dyDescent="0.2">
      <c r="A120" s="10">
        <v>43310000</v>
      </c>
      <c r="B120" s="10" t="s">
        <v>317</v>
      </c>
      <c r="C120" s="11">
        <v>0</v>
      </c>
      <c r="D120" s="11">
        <v>0</v>
      </c>
      <c r="E120" s="11">
        <v>0</v>
      </c>
      <c r="F120" s="13">
        <v>0</v>
      </c>
      <c r="G120" s="13">
        <v>0</v>
      </c>
      <c r="H120" s="14">
        <f t="shared" si="2"/>
        <v>0</v>
      </c>
      <c r="I120" s="14">
        <f t="shared" si="3"/>
        <v>0</v>
      </c>
      <c r="J120" s="598"/>
      <c r="K120" s="302">
        <v>0</v>
      </c>
    </row>
    <row r="121" spans="1:11" x14ac:dyDescent="0.2">
      <c r="A121" s="10">
        <v>43400000</v>
      </c>
      <c r="B121" s="10" t="s">
        <v>91</v>
      </c>
      <c r="C121" s="11">
        <v>329177.01199999999</v>
      </c>
      <c r="D121" s="11">
        <v>455216.30200000003</v>
      </c>
      <c r="E121" s="11">
        <v>38643.546000000002</v>
      </c>
      <c r="F121" s="13">
        <v>0</v>
      </c>
      <c r="G121" s="13">
        <v>0</v>
      </c>
      <c r="H121" s="14">
        <f t="shared" si="2"/>
        <v>416572.75600000005</v>
      </c>
      <c r="I121" s="14">
        <f t="shared" si="3"/>
        <v>745749.76800000004</v>
      </c>
      <c r="J121" s="598" t="s">
        <v>78</v>
      </c>
      <c r="K121" s="302">
        <v>0</v>
      </c>
    </row>
    <row r="122" spans="1:11" x14ac:dyDescent="0.2">
      <c r="A122" s="10">
        <v>43410000</v>
      </c>
      <c r="B122" s="10" t="s">
        <v>318</v>
      </c>
      <c r="C122" s="11">
        <v>416572.75599999982</v>
      </c>
      <c r="D122" s="11">
        <v>367011.68400000001</v>
      </c>
      <c r="E122" s="11">
        <v>418845.54399999999</v>
      </c>
      <c r="F122" s="13">
        <v>100000</v>
      </c>
      <c r="G122" s="13">
        <v>100000</v>
      </c>
      <c r="H122" s="14">
        <f t="shared" si="2"/>
        <v>-51833.859999999986</v>
      </c>
      <c r="I122" s="14">
        <f t="shared" si="3"/>
        <v>364738.89599999983</v>
      </c>
      <c r="J122" s="598" t="s">
        <v>78</v>
      </c>
      <c r="K122" s="302">
        <v>0</v>
      </c>
    </row>
    <row r="123" spans="1:11" x14ac:dyDescent="0.2">
      <c r="A123" s="10">
        <v>43420000</v>
      </c>
      <c r="B123" s="10" t="s">
        <v>92</v>
      </c>
      <c r="C123" s="11">
        <v>0</v>
      </c>
      <c r="D123" s="11">
        <v>0</v>
      </c>
      <c r="E123" s="11">
        <v>0</v>
      </c>
      <c r="F123" s="13">
        <v>0</v>
      </c>
      <c r="G123" s="13">
        <v>0</v>
      </c>
      <c r="H123" s="14">
        <f t="shared" si="2"/>
        <v>0</v>
      </c>
      <c r="I123" s="14">
        <f t="shared" si="3"/>
        <v>0</v>
      </c>
      <c r="J123" s="598"/>
      <c r="K123" s="302">
        <v>0</v>
      </c>
    </row>
    <row r="124" spans="1:11" x14ac:dyDescent="0.2">
      <c r="A124" s="10">
        <v>43430000</v>
      </c>
      <c r="B124" s="10" t="s">
        <v>319</v>
      </c>
      <c r="C124" s="11">
        <v>0</v>
      </c>
      <c r="D124" s="11">
        <v>2982.8150000000001</v>
      </c>
      <c r="E124" s="11">
        <v>10264.994999999999</v>
      </c>
      <c r="F124" s="13">
        <v>0</v>
      </c>
      <c r="G124" s="13">
        <v>0</v>
      </c>
      <c r="H124" s="14">
        <f t="shared" si="2"/>
        <v>-7282.1799999999985</v>
      </c>
      <c r="I124" s="14">
        <f t="shared" si="3"/>
        <v>-7282.1799999999985</v>
      </c>
      <c r="J124" s="598" t="s">
        <v>78</v>
      </c>
      <c r="K124" s="302">
        <v>0</v>
      </c>
    </row>
    <row r="125" spans="1:11" x14ac:dyDescent="0.2">
      <c r="A125" s="10">
        <v>43440000</v>
      </c>
      <c r="B125" s="10" t="s">
        <v>320</v>
      </c>
      <c r="C125" s="11">
        <v>0</v>
      </c>
      <c r="D125" s="11">
        <v>0</v>
      </c>
      <c r="E125" s="11">
        <v>0</v>
      </c>
      <c r="F125" s="13">
        <v>0</v>
      </c>
      <c r="G125" s="13">
        <v>0</v>
      </c>
      <c r="H125" s="14">
        <f t="shared" si="2"/>
        <v>0</v>
      </c>
      <c r="I125" s="14">
        <f t="shared" si="3"/>
        <v>0</v>
      </c>
      <c r="J125" s="598" t="s">
        <v>78</v>
      </c>
      <c r="K125" s="302">
        <v>0</v>
      </c>
    </row>
    <row r="126" spans="1:11" x14ac:dyDescent="0.2">
      <c r="A126" s="10">
        <v>43500000</v>
      </c>
      <c r="B126" s="10" t="s">
        <v>321</v>
      </c>
      <c r="C126" s="11">
        <v>0</v>
      </c>
      <c r="D126" s="11">
        <v>574433.58899999992</v>
      </c>
      <c r="E126" s="11">
        <v>574433.58899999992</v>
      </c>
      <c r="F126" s="13">
        <v>0</v>
      </c>
      <c r="G126" s="13">
        <v>0</v>
      </c>
      <c r="H126" s="14">
        <f t="shared" si="2"/>
        <v>0</v>
      </c>
      <c r="I126" s="14">
        <f t="shared" si="3"/>
        <v>0</v>
      </c>
      <c r="J126" s="598" t="s">
        <v>81</v>
      </c>
      <c r="K126" s="302">
        <v>0</v>
      </c>
    </row>
    <row r="127" spans="1:11" x14ac:dyDescent="0.2">
      <c r="A127" s="10">
        <v>43600000</v>
      </c>
      <c r="B127" s="10" t="s">
        <v>93</v>
      </c>
      <c r="C127" s="11">
        <v>324233.75899998844</v>
      </c>
      <c r="D127" s="11">
        <v>8254615.9309999999</v>
      </c>
      <c r="E127" s="11">
        <v>8182260.2050000001</v>
      </c>
      <c r="F127" s="13">
        <v>0</v>
      </c>
      <c r="G127" s="13">
        <v>0</v>
      </c>
      <c r="H127" s="14">
        <f t="shared" si="2"/>
        <v>72355.725999999791</v>
      </c>
      <c r="I127" s="14">
        <f t="shared" si="3"/>
        <v>396589.48499998823</v>
      </c>
      <c r="J127" s="598" t="s">
        <v>78</v>
      </c>
      <c r="K127" s="302">
        <v>0</v>
      </c>
    </row>
    <row r="128" spans="1:11" x14ac:dyDescent="0.2">
      <c r="A128" s="10">
        <v>43625000</v>
      </c>
      <c r="B128" s="10" t="s">
        <v>94</v>
      </c>
      <c r="C128" s="11">
        <v>1.999999862164259E-3</v>
      </c>
      <c r="D128" s="11">
        <v>276507.77399999998</v>
      </c>
      <c r="E128" s="11">
        <v>299811.93300000002</v>
      </c>
      <c r="F128" s="13">
        <v>0</v>
      </c>
      <c r="G128" s="13">
        <v>0</v>
      </c>
      <c r="H128" s="14">
        <f t="shared" si="2"/>
        <v>-23304.159000000043</v>
      </c>
      <c r="I128" s="14">
        <f t="shared" si="3"/>
        <v>-23304.157000000181</v>
      </c>
      <c r="J128" s="598" t="s">
        <v>81</v>
      </c>
      <c r="K128" s="302">
        <v>0</v>
      </c>
    </row>
    <row r="129" spans="1:11" x14ac:dyDescent="0.2">
      <c r="A129" s="10">
        <v>43627000</v>
      </c>
      <c r="B129" s="10" t="s">
        <v>95</v>
      </c>
      <c r="C129" s="11">
        <v>0</v>
      </c>
      <c r="D129" s="11">
        <v>1935554.379</v>
      </c>
      <c r="E129" s="11">
        <v>2098683.452</v>
      </c>
      <c r="F129" s="13">
        <v>0</v>
      </c>
      <c r="G129" s="13">
        <v>0</v>
      </c>
      <c r="H129" s="14">
        <f t="shared" si="2"/>
        <v>-163129.07300000009</v>
      </c>
      <c r="I129" s="14">
        <f t="shared" si="3"/>
        <v>-163129.07300000009</v>
      </c>
      <c r="J129" s="598" t="s">
        <v>81</v>
      </c>
      <c r="K129" s="302">
        <v>0</v>
      </c>
    </row>
    <row r="130" spans="1:11" x14ac:dyDescent="0.2">
      <c r="A130" s="10">
        <v>43630600</v>
      </c>
      <c r="B130" s="10" t="s">
        <v>322</v>
      </c>
      <c r="C130" s="11">
        <v>0</v>
      </c>
      <c r="D130" s="11">
        <v>0</v>
      </c>
      <c r="E130" s="11">
        <v>0</v>
      </c>
      <c r="F130" s="13">
        <v>0</v>
      </c>
      <c r="G130" s="13">
        <v>0</v>
      </c>
      <c r="H130" s="14">
        <f t="shared" si="2"/>
        <v>0</v>
      </c>
      <c r="I130" s="14">
        <f t="shared" si="3"/>
        <v>0</v>
      </c>
      <c r="J130" s="598"/>
      <c r="K130" s="302">
        <v>0</v>
      </c>
    </row>
    <row r="131" spans="1:11" x14ac:dyDescent="0.2">
      <c r="A131" s="10">
        <v>43630700</v>
      </c>
      <c r="B131" s="10" t="s">
        <v>96</v>
      </c>
      <c r="C131" s="11">
        <v>0</v>
      </c>
      <c r="D131" s="11">
        <v>487630.24399999995</v>
      </c>
      <c r="E131" s="11">
        <v>487630.24399999995</v>
      </c>
      <c r="F131" s="13">
        <v>0</v>
      </c>
      <c r="G131" s="13">
        <v>0</v>
      </c>
      <c r="H131" s="14">
        <f t="shared" si="2"/>
        <v>0</v>
      </c>
      <c r="I131" s="14">
        <f t="shared" si="3"/>
        <v>0</v>
      </c>
      <c r="J131" s="598" t="s">
        <v>78</v>
      </c>
      <c r="K131" s="302">
        <v>0</v>
      </c>
    </row>
    <row r="132" spans="1:11" x14ac:dyDescent="0.2">
      <c r="A132" s="10">
        <v>43631000</v>
      </c>
      <c r="B132" s="10" t="s">
        <v>323</v>
      </c>
      <c r="C132" s="11">
        <v>0</v>
      </c>
      <c r="D132" s="11">
        <v>0</v>
      </c>
      <c r="E132" s="11">
        <v>0</v>
      </c>
      <c r="F132" s="13">
        <v>0</v>
      </c>
      <c r="G132" s="13">
        <v>0</v>
      </c>
      <c r="H132" s="14">
        <f t="shared" ref="H132:H195" si="4">+D132+F132-E132-G132</f>
        <v>0</v>
      </c>
      <c r="I132" s="14">
        <f t="shared" ref="I132:I195" si="5">+H132+C132</f>
        <v>0</v>
      </c>
      <c r="J132" s="598"/>
      <c r="K132" s="302">
        <v>0</v>
      </c>
    </row>
    <row r="133" spans="1:11" x14ac:dyDescent="0.2">
      <c r="A133" s="10">
        <v>43631300</v>
      </c>
      <c r="B133" s="10" t="s">
        <v>324</v>
      </c>
      <c r="C133" s="11">
        <v>126.09999999999127</v>
      </c>
      <c r="D133" s="11">
        <v>18590.29</v>
      </c>
      <c r="E133" s="11">
        <v>18716.39</v>
      </c>
      <c r="F133" s="13">
        <v>0</v>
      </c>
      <c r="G133" s="13">
        <v>0</v>
      </c>
      <c r="H133" s="14">
        <f t="shared" si="4"/>
        <v>-126.09999999999854</v>
      </c>
      <c r="I133" s="14">
        <f t="shared" si="5"/>
        <v>-7.2759576141834259E-12</v>
      </c>
      <c r="J133" s="598" t="s">
        <v>78</v>
      </c>
      <c r="K133" s="302">
        <v>0</v>
      </c>
    </row>
    <row r="134" spans="1:11" x14ac:dyDescent="0.2">
      <c r="A134" s="10">
        <v>43631800</v>
      </c>
      <c r="B134" s="10" t="s">
        <v>325</v>
      </c>
      <c r="C134" s="11">
        <v>0</v>
      </c>
      <c r="D134" s="11">
        <v>0</v>
      </c>
      <c r="E134" s="11">
        <v>0</v>
      </c>
      <c r="F134" s="13">
        <v>0</v>
      </c>
      <c r="G134" s="13">
        <v>0</v>
      </c>
      <c r="H134" s="14">
        <f t="shared" si="4"/>
        <v>0</v>
      </c>
      <c r="I134" s="14">
        <f t="shared" si="5"/>
        <v>0</v>
      </c>
      <c r="J134" s="598"/>
      <c r="K134" s="302">
        <v>0</v>
      </c>
    </row>
    <row r="135" spans="1:11" x14ac:dyDescent="0.2">
      <c r="A135" s="10">
        <v>43631900</v>
      </c>
      <c r="B135" s="10" t="s">
        <v>97</v>
      </c>
      <c r="C135" s="11">
        <v>-2490566.561999999</v>
      </c>
      <c r="D135" s="11">
        <v>11248785.084000001</v>
      </c>
      <c r="E135" s="11">
        <v>8758218.5320000015</v>
      </c>
      <c r="F135" s="13">
        <v>0</v>
      </c>
      <c r="G135" s="13">
        <v>0</v>
      </c>
      <c r="H135" s="14">
        <f t="shared" si="4"/>
        <v>2490566.5519999992</v>
      </c>
      <c r="I135" s="14">
        <f t="shared" si="5"/>
        <v>-9.9999997764825821E-3</v>
      </c>
      <c r="J135" s="598" t="s">
        <v>78</v>
      </c>
      <c r="K135" s="302">
        <v>0</v>
      </c>
    </row>
    <row r="136" spans="1:11" x14ac:dyDescent="0.2">
      <c r="A136" s="10">
        <v>43661800</v>
      </c>
      <c r="B136" s="10" t="s">
        <v>326</v>
      </c>
      <c r="C136" s="11">
        <v>0</v>
      </c>
      <c r="D136" s="11">
        <v>0</v>
      </c>
      <c r="E136" s="11">
        <v>0</v>
      </c>
      <c r="F136" s="13">
        <v>0</v>
      </c>
      <c r="G136" s="13">
        <v>0</v>
      </c>
      <c r="H136" s="14">
        <f t="shared" si="4"/>
        <v>0</v>
      </c>
      <c r="I136" s="14">
        <f t="shared" si="5"/>
        <v>0</v>
      </c>
      <c r="J136" s="598"/>
      <c r="K136" s="302">
        <v>0</v>
      </c>
    </row>
    <row r="137" spans="1:11" x14ac:dyDescent="0.2">
      <c r="A137" s="10">
        <v>43671000</v>
      </c>
      <c r="B137" s="10" t="s">
        <v>98</v>
      </c>
      <c r="C137" s="11">
        <v>458.43999999761581</v>
      </c>
      <c r="D137" s="11">
        <v>6293279.5870000003</v>
      </c>
      <c r="E137" s="11">
        <v>6293738.0270000007</v>
      </c>
      <c r="F137" s="13">
        <v>0</v>
      </c>
      <c r="G137" s="13">
        <v>0</v>
      </c>
      <c r="H137" s="14">
        <f t="shared" si="4"/>
        <v>-458.44000000040978</v>
      </c>
      <c r="I137" s="14">
        <f t="shared" si="5"/>
        <v>-2.7939677238464355E-9</v>
      </c>
      <c r="J137" s="598" t="s">
        <v>81</v>
      </c>
      <c r="K137" s="302">
        <v>0</v>
      </c>
    </row>
    <row r="138" spans="1:11" x14ac:dyDescent="0.2">
      <c r="A138" s="10">
        <v>43700000</v>
      </c>
      <c r="B138" s="10" t="s">
        <v>99</v>
      </c>
      <c r="C138" s="11">
        <v>0</v>
      </c>
      <c r="D138" s="11">
        <v>39</v>
      </c>
      <c r="E138" s="11">
        <v>43</v>
      </c>
      <c r="F138" s="13">
        <v>0</v>
      </c>
      <c r="G138" s="13">
        <v>0</v>
      </c>
      <c r="H138" s="14">
        <f t="shared" si="4"/>
        <v>-4</v>
      </c>
      <c r="I138" s="14">
        <f t="shared" si="5"/>
        <v>-4</v>
      </c>
      <c r="J138" s="598" t="s">
        <v>81</v>
      </c>
      <c r="K138" s="302">
        <v>0</v>
      </c>
    </row>
    <row r="139" spans="1:11" x14ac:dyDescent="0.2">
      <c r="A139" s="10">
        <v>43720000</v>
      </c>
      <c r="B139" s="10" t="s">
        <v>327</v>
      </c>
      <c r="C139" s="11">
        <v>0</v>
      </c>
      <c r="D139" s="11">
        <v>1843.7079999999999</v>
      </c>
      <c r="E139" s="11">
        <v>1843.7079999999999</v>
      </c>
      <c r="F139" s="13">
        <v>0</v>
      </c>
      <c r="G139" s="13">
        <v>0</v>
      </c>
      <c r="H139" s="14">
        <f t="shared" si="4"/>
        <v>0</v>
      </c>
      <c r="I139" s="14">
        <f t="shared" si="5"/>
        <v>0</v>
      </c>
      <c r="J139" s="598" t="s">
        <v>81</v>
      </c>
      <c r="K139" s="302">
        <v>0</v>
      </c>
    </row>
    <row r="140" spans="1:11" x14ac:dyDescent="0.2">
      <c r="A140" s="10">
        <v>43756000</v>
      </c>
      <c r="B140" s="10" t="s">
        <v>328</v>
      </c>
      <c r="C140" s="11">
        <v>0</v>
      </c>
      <c r="D140" s="11">
        <v>0</v>
      </c>
      <c r="E140" s="11">
        <v>0</v>
      </c>
      <c r="F140" s="13">
        <v>0</v>
      </c>
      <c r="G140" s="13">
        <v>0</v>
      </c>
      <c r="H140" s="14">
        <f t="shared" si="4"/>
        <v>0</v>
      </c>
      <c r="I140" s="14">
        <f t="shared" si="5"/>
        <v>0</v>
      </c>
      <c r="J140" s="598"/>
      <c r="K140" s="302">
        <v>0</v>
      </c>
    </row>
    <row r="141" spans="1:11" x14ac:dyDescent="0.2">
      <c r="A141" s="10">
        <v>44100000</v>
      </c>
      <c r="B141" s="10" t="s">
        <v>329</v>
      </c>
      <c r="C141" s="11">
        <v>0</v>
      </c>
      <c r="D141" s="11">
        <v>0</v>
      </c>
      <c r="E141" s="11">
        <v>0</v>
      </c>
      <c r="F141" s="13">
        <v>0</v>
      </c>
      <c r="G141" s="13">
        <v>0</v>
      </c>
      <c r="H141" s="14">
        <f t="shared" si="4"/>
        <v>0</v>
      </c>
      <c r="I141" s="14">
        <f t="shared" si="5"/>
        <v>0</v>
      </c>
      <c r="J141" s="598"/>
      <c r="K141" s="302">
        <v>0</v>
      </c>
    </row>
    <row r="142" spans="1:11" x14ac:dyDescent="0.2">
      <c r="A142" s="10">
        <v>44101000</v>
      </c>
      <c r="B142" s="10" t="s">
        <v>7717</v>
      </c>
      <c r="C142" s="11">
        <v>0</v>
      </c>
      <c r="D142" s="11">
        <v>57066.353000000003</v>
      </c>
      <c r="E142" s="11">
        <v>0</v>
      </c>
      <c r="F142" s="13">
        <v>0</v>
      </c>
      <c r="G142" s="13">
        <v>0</v>
      </c>
      <c r="H142" s="14">
        <f t="shared" si="4"/>
        <v>57066.353000000003</v>
      </c>
      <c r="I142" s="14">
        <f t="shared" si="5"/>
        <v>57066.353000000003</v>
      </c>
      <c r="J142" s="598" t="s">
        <v>78</v>
      </c>
      <c r="K142" s="302">
        <v>0</v>
      </c>
    </row>
    <row r="143" spans="1:11" x14ac:dyDescent="0.2">
      <c r="A143" s="10">
        <v>44200000</v>
      </c>
      <c r="B143" s="10" t="s">
        <v>330</v>
      </c>
      <c r="C143" s="11">
        <v>0</v>
      </c>
      <c r="D143" s="11">
        <v>0</v>
      </c>
      <c r="E143" s="11">
        <v>0</v>
      </c>
      <c r="F143" s="13">
        <v>0</v>
      </c>
      <c r="G143" s="13">
        <v>0</v>
      </c>
      <c r="H143" s="14">
        <f t="shared" si="4"/>
        <v>0</v>
      </c>
      <c r="I143" s="14">
        <f t="shared" si="5"/>
        <v>0</v>
      </c>
      <c r="J143" s="598"/>
      <c r="K143" s="302">
        <v>0</v>
      </c>
    </row>
    <row r="144" spans="1:11" x14ac:dyDescent="0.2">
      <c r="A144" s="10">
        <v>44201000</v>
      </c>
      <c r="B144" s="10" t="s">
        <v>331</v>
      </c>
      <c r="C144" s="11">
        <v>0</v>
      </c>
      <c r="D144" s="11">
        <v>2471975.5949999997</v>
      </c>
      <c r="E144" s="11">
        <v>2433533.5499999998</v>
      </c>
      <c r="F144" s="13">
        <v>0</v>
      </c>
      <c r="G144" s="13">
        <v>0</v>
      </c>
      <c r="H144" s="14">
        <f t="shared" si="4"/>
        <v>38442.044999999925</v>
      </c>
      <c r="I144" s="14">
        <f t="shared" si="5"/>
        <v>38442.044999999925</v>
      </c>
      <c r="J144" s="598" t="s">
        <v>78</v>
      </c>
      <c r="K144" s="302">
        <v>0</v>
      </c>
    </row>
    <row r="145" spans="1:11" x14ac:dyDescent="0.2">
      <c r="A145" s="10">
        <v>44202000</v>
      </c>
      <c r="B145" s="10" t="s">
        <v>332</v>
      </c>
      <c r="C145" s="11">
        <v>0</v>
      </c>
      <c r="D145" s="11">
        <v>0</v>
      </c>
      <c r="E145" s="11">
        <v>0</v>
      </c>
      <c r="F145" s="13">
        <v>0</v>
      </c>
      <c r="G145" s="13">
        <v>0</v>
      </c>
      <c r="H145" s="14">
        <f t="shared" si="4"/>
        <v>0</v>
      </c>
      <c r="I145" s="14">
        <f t="shared" si="5"/>
        <v>0</v>
      </c>
      <c r="J145" s="598"/>
      <c r="K145" s="302">
        <v>0</v>
      </c>
    </row>
    <row r="146" spans="1:11" x14ac:dyDescent="0.2">
      <c r="A146" s="10">
        <v>44203000</v>
      </c>
      <c r="B146" s="10" t="s">
        <v>333</v>
      </c>
      <c r="C146" s="11">
        <v>0</v>
      </c>
      <c r="D146" s="11">
        <v>0</v>
      </c>
      <c r="E146" s="11">
        <v>0</v>
      </c>
      <c r="F146" s="13">
        <v>0</v>
      </c>
      <c r="G146" s="13">
        <v>0</v>
      </c>
      <c r="H146" s="14">
        <f t="shared" si="4"/>
        <v>0</v>
      </c>
      <c r="I146" s="14">
        <f t="shared" si="5"/>
        <v>0</v>
      </c>
      <c r="J146" s="598"/>
      <c r="K146" s="302">
        <v>0</v>
      </c>
    </row>
    <row r="147" spans="1:11" x14ac:dyDescent="0.2">
      <c r="A147" s="10">
        <v>44204000</v>
      </c>
      <c r="B147" s="10" t="s">
        <v>334</v>
      </c>
      <c r="C147" s="11">
        <v>0</v>
      </c>
      <c r="D147" s="11">
        <v>0</v>
      </c>
      <c r="E147" s="11">
        <v>0</v>
      </c>
      <c r="F147" s="13">
        <v>0</v>
      </c>
      <c r="G147" s="13">
        <v>0</v>
      </c>
      <c r="H147" s="14">
        <f t="shared" si="4"/>
        <v>0</v>
      </c>
      <c r="I147" s="14">
        <f t="shared" si="5"/>
        <v>0</v>
      </c>
      <c r="J147" s="598"/>
      <c r="K147" s="302">
        <v>0</v>
      </c>
    </row>
    <row r="148" spans="1:11" x14ac:dyDescent="0.2">
      <c r="A148" s="10">
        <v>44205000</v>
      </c>
      <c r="B148" s="10" t="s">
        <v>335</v>
      </c>
      <c r="C148" s="11">
        <v>0</v>
      </c>
      <c r="D148" s="11">
        <v>0</v>
      </c>
      <c r="E148" s="11">
        <v>0</v>
      </c>
      <c r="F148" s="13">
        <v>0</v>
      </c>
      <c r="G148" s="13">
        <v>0</v>
      </c>
      <c r="H148" s="14">
        <f t="shared" si="4"/>
        <v>0</v>
      </c>
      <c r="I148" s="14">
        <f t="shared" si="5"/>
        <v>0</v>
      </c>
      <c r="J148" s="598"/>
      <c r="K148" s="302">
        <v>0</v>
      </c>
    </row>
    <row r="149" spans="1:11" x14ac:dyDescent="0.2">
      <c r="A149" s="10">
        <v>44206000</v>
      </c>
      <c r="B149" s="10" t="s">
        <v>100</v>
      </c>
      <c r="C149" s="11">
        <v>-764999.99999999988</v>
      </c>
      <c r="D149" s="11">
        <v>295000</v>
      </c>
      <c r="E149" s="11">
        <v>0</v>
      </c>
      <c r="F149" s="13">
        <v>0</v>
      </c>
      <c r="G149" s="13">
        <v>0</v>
      </c>
      <c r="H149" s="14">
        <f t="shared" si="4"/>
        <v>295000</v>
      </c>
      <c r="I149" s="14">
        <f t="shared" si="5"/>
        <v>-469999.99999999988</v>
      </c>
      <c r="J149" s="598" t="s">
        <v>81</v>
      </c>
      <c r="K149" s="302">
        <v>0</v>
      </c>
    </row>
    <row r="150" spans="1:11" x14ac:dyDescent="0.2">
      <c r="A150" s="10">
        <v>44207000</v>
      </c>
      <c r="B150" s="10" t="s">
        <v>336</v>
      </c>
      <c r="C150" s="11">
        <v>50000</v>
      </c>
      <c r="D150" s="11">
        <v>85000</v>
      </c>
      <c r="E150" s="11">
        <v>0</v>
      </c>
      <c r="F150" s="13">
        <v>0</v>
      </c>
      <c r="G150" s="13">
        <v>0</v>
      </c>
      <c r="H150" s="14">
        <f t="shared" si="4"/>
        <v>85000</v>
      </c>
      <c r="I150" s="14">
        <f t="shared" si="5"/>
        <v>135000</v>
      </c>
      <c r="J150" s="598" t="s">
        <v>78</v>
      </c>
      <c r="K150" s="302">
        <v>0</v>
      </c>
    </row>
    <row r="151" spans="1:11" x14ac:dyDescent="0.2">
      <c r="A151" s="10">
        <v>44208000</v>
      </c>
      <c r="B151" s="10" t="s">
        <v>337</v>
      </c>
      <c r="C151" s="11">
        <v>2270.971</v>
      </c>
      <c r="D151" s="11">
        <v>0</v>
      </c>
      <c r="E151" s="11">
        <v>0</v>
      </c>
      <c r="F151" s="13">
        <v>0</v>
      </c>
      <c r="G151" s="13">
        <v>0</v>
      </c>
      <c r="H151" s="14">
        <f t="shared" si="4"/>
        <v>0</v>
      </c>
      <c r="I151" s="14">
        <f t="shared" si="5"/>
        <v>2270.971</v>
      </c>
      <c r="J151" s="598" t="s">
        <v>78</v>
      </c>
      <c r="K151" s="302">
        <v>0</v>
      </c>
    </row>
    <row r="152" spans="1:11" x14ac:dyDescent="0.2">
      <c r="A152" s="10">
        <v>44209000</v>
      </c>
      <c r="B152" s="10" t="s">
        <v>392</v>
      </c>
      <c r="C152" s="11">
        <v>0</v>
      </c>
      <c r="D152" s="11">
        <v>703715.22799999989</v>
      </c>
      <c r="E152" s="11">
        <v>1400088.3459999999</v>
      </c>
      <c r="F152" s="13">
        <v>0</v>
      </c>
      <c r="G152" s="13">
        <v>0</v>
      </c>
      <c r="H152" s="14">
        <f t="shared" si="4"/>
        <v>-696373.11800000002</v>
      </c>
      <c r="I152" s="14">
        <f t="shared" si="5"/>
        <v>-696373.11800000002</v>
      </c>
      <c r="J152" s="598" t="s">
        <v>81</v>
      </c>
      <c r="K152" s="302">
        <v>0</v>
      </c>
    </row>
    <row r="153" spans="1:11" x14ac:dyDescent="0.2">
      <c r="A153" s="10">
        <v>44210000</v>
      </c>
      <c r="B153" s="10" t="s">
        <v>338</v>
      </c>
      <c r="C153" s="11">
        <v>0</v>
      </c>
      <c r="D153" s="11">
        <v>0</v>
      </c>
      <c r="E153" s="11">
        <v>0</v>
      </c>
      <c r="F153" s="13">
        <v>0</v>
      </c>
      <c r="G153" s="13">
        <v>0</v>
      </c>
      <c r="H153" s="14">
        <f t="shared" si="4"/>
        <v>0</v>
      </c>
      <c r="I153" s="14">
        <f t="shared" si="5"/>
        <v>0</v>
      </c>
      <c r="J153" s="598"/>
      <c r="K153" s="302">
        <v>0</v>
      </c>
    </row>
    <row r="154" spans="1:11" x14ac:dyDescent="0.2">
      <c r="A154" s="10">
        <v>44600000</v>
      </c>
      <c r="B154" s="10" t="s">
        <v>339</v>
      </c>
      <c r="C154" s="11">
        <v>0</v>
      </c>
      <c r="D154" s="11">
        <v>0</v>
      </c>
      <c r="E154" s="11">
        <v>0</v>
      </c>
      <c r="F154" s="13">
        <v>0</v>
      </c>
      <c r="G154" s="13">
        <v>0</v>
      </c>
      <c r="H154" s="14">
        <f t="shared" si="4"/>
        <v>0</v>
      </c>
      <c r="I154" s="14">
        <f t="shared" si="5"/>
        <v>0</v>
      </c>
      <c r="J154" s="598"/>
      <c r="K154" s="302">
        <v>0</v>
      </c>
    </row>
    <row r="155" spans="1:11" x14ac:dyDescent="0.2">
      <c r="A155" s="10">
        <v>44700000</v>
      </c>
      <c r="B155" s="10" t="s">
        <v>101</v>
      </c>
      <c r="C155" s="11">
        <v>0</v>
      </c>
      <c r="D155" s="11">
        <v>0</v>
      </c>
      <c r="E155" s="11">
        <v>0</v>
      </c>
      <c r="F155" s="13">
        <v>0</v>
      </c>
      <c r="G155" s="13">
        <v>0</v>
      </c>
      <c r="H155" s="14">
        <f t="shared" si="4"/>
        <v>0</v>
      </c>
      <c r="I155" s="14">
        <f t="shared" si="5"/>
        <v>0</v>
      </c>
      <c r="J155" s="598"/>
      <c r="K155" s="302">
        <v>0</v>
      </c>
    </row>
    <row r="156" spans="1:11" x14ac:dyDescent="0.2">
      <c r="A156" s="10">
        <v>45000000</v>
      </c>
      <c r="B156" s="10" t="s">
        <v>102</v>
      </c>
      <c r="C156" s="11">
        <v>-1587699.9999999995</v>
      </c>
      <c r="D156" s="11">
        <v>1575000</v>
      </c>
      <c r="E156" s="11">
        <v>0</v>
      </c>
      <c r="F156" s="13">
        <v>0</v>
      </c>
      <c r="G156" s="13">
        <v>0</v>
      </c>
      <c r="H156" s="14">
        <f t="shared" si="4"/>
        <v>1575000</v>
      </c>
      <c r="I156" s="14">
        <f t="shared" si="5"/>
        <v>-12699.999999999534</v>
      </c>
      <c r="J156" s="598" t="s">
        <v>81</v>
      </c>
      <c r="K156" s="302">
        <v>0</v>
      </c>
    </row>
    <row r="157" spans="1:11" x14ac:dyDescent="0.2">
      <c r="A157" s="10">
        <v>45200000</v>
      </c>
      <c r="B157" s="10" t="s">
        <v>103</v>
      </c>
      <c r="C157" s="11">
        <v>0</v>
      </c>
      <c r="D157" s="11">
        <v>50000</v>
      </c>
      <c r="E157" s="11">
        <v>30000</v>
      </c>
      <c r="F157" s="13">
        <v>0</v>
      </c>
      <c r="G157" s="13">
        <v>0</v>
      </c>
      <c r="H157" s="14">
        <f t="shared" si="4"/>
        <v>20000</v>
      </c>
      <c r="I157" s="14">
        <f t="shared" si="5"/>
        <v>20000</v>
      </c>
      <c r="J157" s="598" t="s">
        <v>81</v>
      </c>
      <c r="K157" s="302">
        <v>0</v>
      </c>
    </row>
    <row r="158" spans="1:11" x14ac:dyDescent="0.2">
      <c r="A158" s="10">
        <v>45310000</v>
      </c>
      <c r="B158" s="10" t="s">
        <v>104</v>
      </c>
      <c r="C158" s="11">
        <v>-216427.84700000007</v>
      </c>
      <c r="D158" s="11">
        <v>779371.87900000007</v>
      </c>
      <c r="E158" s="11">
        <v>619612.03</v>
      </c>
      <c r="F158" s="13">
        <v>208858.22899999999</v>
      </c>
      <c r="G158" s="13">
        <v>264828.57900000003</v>
      </c>
      <c r="H158" s="14">
        <f t="shared" si="4"/>
        <v>103789.49899999995</v>
      </c>
      <c r="I158" s="14">
        <f t="shared" si="5"/>
        <v>-112638.34800000011</v>
      </c>
      <c r="J158" s="598" t="s">
        <v>81</v>
      </c>
      <c r="K158" s="302">
        <v>0</v>
      </c>
    </row>
    <row r="159" spans="1:11" x14ac:dyDescent="0.2">
      <c r="A159" s="10">
        <v>45700000</v>
      </c>
      <c r="B159" s="10" t="s">
        <v>105</v>
      </c>
      <c r="C159" s="11">
        <v>5876</v>
      </c>
      <c r="D159" s="11">
        <v>1246.9680000000001</v>
      </c>
      <c r="E159" s="11">
        <v>0</v>
      </c>
      <c r="F159" s="13">
        <v>0</v>
      </c>
      <c r="G159" s="13">
        <v>0</v>
      </c>
      <c r="H159" s="14">
        <f t="shared" si="4"/>
        <v>1246.9680000000001</v>
      </c>
      <c r="I159" s="14">
        <f t="shared" si="5"/>
        <v>7122.9679999999998</v>
      </c>
      <c r="J159" s="598" t="s">
        <v>78</v>
      </c>
      <c r="K159" s="302">
        <v>0</v>
      </c>
    </row>
    <row r="160" spans="1:11" x14ac:dyDescent="0.2">
      <c r="A160" s="10">
        <v>45860000</v>
      </c>
      <c r="B160" s="10" t="s">
        <v>106</v>
      </c>
      <c r="C160" s="11">
        <v>-1088724.6109999996</v>
      </c>
      <c r="D160" s="11">
        <v>463761.82900000003</v>
      </c>
      <c r="E160" s="11">
        <v>19219.824000000001</v>
      </c>
      <c r="F160" s="13">
        <v>3197544.2089999998</v>
      </c>
      <c r="G160" s="13">
        <v>5272823.3536</v>
      </c>
      <c r="H160" s="14">
        <f t="shared" si="4"/>
        <v>-1630737.1396000003</v>
      </c>
      <c r="I160" s="14">
        <f t="shared" si="5"/>
        <v>-2719461.7505999999</v>
      </c>
      <c r="J160" s="598" t="s">
        <v>81</v>
      </c>
      <c r="K160" s="302">
        <v>0</v>
      </c>
    </row>
    <row r="161" spans="1:11" x14ac:dyDescent="0.2">
      <c r="A161" s="10">
        <v>45870000</v>
      </c>
      <c r="B161" s="10" t="s">
        <v>107</v>
      </c>
      <c r="C161" s="11">
        <v>2433533.5490000001</v>
      </c>
      <c r="D161" s="11">
        <v>2433533.5490000001</v>
      </c>
      <c r="E161" s="11">
        <v>4867067.0980000002</v>
      </c>
      <c r="F161" s="13">
        <v>52936.864999999998</v>
      </c>
      <c r="G161" s="13">
        <v>17408.8</v>
      </c>
      <c r="H161" s="14">
        <f t="shared" si="4"/>
        <v>-2398005.4839999997</v>
      </c>
      <c r="I161" s="14">
        <f t="shared" si="5"/>
        <v>35528.06500000041</v>
      </c>
      <c r="J161" s="598" t="s">
        <v>78</v>
      </c>
      <c r="K161" s="302">
        <v>0</v>
      </c>
    </row>
    <row r="162" spans="1:11" x14ac:dyDescent="0.2">
      <c r="A162" s="10">
        <v>46100000</v>
      </c>
      <c r="B162" s="10" t="s">
        <v>340</v>
      </c>
      <c r="C162" s="11">
        <v>0</v>
      </c>
      <c r="D162" s="11">
        <v>67699.255999999994</v>
      </c>
      <c r="E162" s="11">
        <v>67699.255999999994</v>
      </c>
      <c r="F162" s="13">
        <v>0</v>
      </c>
      <c r="G162" s="13">
        <v>0</v>
      </c>
      <c r="H162" s="14">
        <f t="shared" si="4"/>
        <v>0</v>
      </c>
      <c r="I162" s="14">
        <f t="shared" si="5"/>
        <v>0</v>
      </c>
      <c r="J162" s="598"/>
      <c r="K162" s="302">
        <v>0</v>
      </c>
    </row>
    <row r="163" spans="1:11" x14ac:dyDescent="0.2">
      <c r="A163" s="10">
        <v>46800000</v>
      </c>
      <c r="B163" s="10" t="s">
        <v>108</v>
      </c>
      <c r="C163" s="11">
        <v>0</v>
      </c>
      <c r="D163" s="11">
        <v>0</v>
      </c>
      <c r="E163" s="11">
        <v>0</v>
      </c>
      <c r="F163" s="13">
        <v>0</v>
      </c>
      <c r="G163" s="13">
        <v>0</v>
      </c>
      <c r="H163" s="14">
        <f t="shared" si="4"/>
        <v>0</v>
      </c>
      <c r="I163" s="14">
        <f t="shared" si="5"/>
        <v>0</v>
      </c>
      <c r="J163" s="598"/>
      <c r="K163" s="302">
        <v>0</v>
      </c>
    </row>
    <row r="164" spans="1:11" x14ac:dyDescent="0.2">
      <c r="A164" s="10">
        <v>47100000</v>
      </c>
      <c r="B164" s="10" t="s">
        <v>109</v>
      </c>
      <c r="C164" s="11">
        <v>213151.36084600014</v>
      </c>
      <c r="D164" s="11">
        <v>596132.53100000008</v>
      </c>
      <c r="E164" s="11">
        <v>621838.71699999995</v>
      </c>
      <c r="F164" s="13">
        <v>770187.22950000002</v>
      </c>
      <c r="G164" s="13">
        <v>835342.87609999999</v>
      </c>
      <c r="H164" s="14">
        <f t="shared" si="4"/>
        <v>-90861.832599999849</v>
      </c>
      <c r="I164" s="14">
        <f t="shared" si="5"/>
        <v>122289.52824600029</v>
      </c>
      <c r="J164" s="598" t="s">
        <v>78</v>
      </c>
      <c r="K164" s="302">
        <v>0</v>
      </c>
    </row>
    <row r="165" spans="1:11" x14ac:dyDescent="0.2">
      <c r="A165" s="10">
        <v>47200000</v>
      </c>
      <c r="B165" s="10" t="s">
        <v>341</v>
      </c>
      <c r="C165" s="11">
        <v>0</v>
      </c>
      <c r="D165" s="11">
        <v>0</v>
      </c>
      <c r="E165" s="11">
        <v>0</v>
      </c>
      <c r="F165" s="13">
        <v>324115.97200000001</v>
      </c>
      <c r="G165" s="13">
        <v>486173.95799999998</v>
      </c>
      <c r="H165" s="14">
        <f t="shared" si="4"/>
        <v>-162057.98599999998</v>
      </c>
      <c r="I165" s="14">
        <f t="shared" si="5"/>
        <v>-162057.98599999998</v>
      </c>
      <c r="J165" s="598" t="s">
        <v>81</v>
      </c>
      <c r="K165" s="302">
        <v>0</v>
      </c>
    </row>
    <row r="166" spans="1:11" x14ac:dyDescent="0.2">
      <c r="A166" s="10">
        <v>49100000</v>
      </c>
      <c r="B166" s="10" t="s">
        <v>110</v>
      </c>
      <c r="C166" s="11">
        <v>-457129.14999999991</v>
      </c>
      <c r="D166" s="11">
        <v>0</v>
      </c>
      <c r="E166" s="11">
        <v>0</v>
      </c>
      <c r="F166" s="13">
        <v>0</v>
      </c>
      <c r="G166" s="13">
        <v>0</v>
      </c>
      <c r="H166" s="14">
        <f t="shared" si="4"/>
        <v>0</v>
      </c>
      <c r="I166" s="14">
        <f t="shared" si="5"/>
        <v>-457129.14999999991</v>
      </c>
      <c r="J166" s="598" t="s">
        <v>111</v>
      </c>
      <c r="K166" s="302">
        <v>0</v>
      </c>
    </row>
    <row r="167" spans="1:11" x14ac:dyDescent="0.2">
      <c r="A167" s="10">
        <v>49600000</v>
      </c>
      <c r="B167" s="10" t="s">
        <v>112</v>
      </c>
      <c r="C167" s="11">
        <v>-288613.68499999994</v>
      </c>
      <c r="D167" s="11">
        <v>0</v>
      </c>
      <c r="E167" s="11">
        <v>0</v>
      </c>
      <c r="F167" s="13">
        <v>0</v>
      </c>
      <c r="G167" s="13">
        <v>0</v>
      </c>
      <c r="H167" s="14">
        <f t="shared" si="4"/>
        <v>0</v>
      </c>
      <c r="I167" s="14">
        <f t="shared" si="5"/>
        <v>-288613.68499999994</v>
      </c>
      <c r="J167" s="598" t="s">
        <v>113</v>
      </c>
      <c r="K167" s="302">
        <v>0</v>
      </c>
    </row>
    <row r="168" spans="1:11" x14ac:dyDescent="0.2">
      <c r="A168" s="10">
        <v>50130000</v>
      </c>
      <c r="B168" s="10" t="s">
        <v>114</v>
      </c>
      <c r="C168" s="11">
        <v>-6000000</v>
      </c>
      <c r="D168" s="11">
        <v>18000000</v>
      </c>
      <c r="E168" s="11">
        <v>18000000</v>
      </c>
      <c r="F168" s="13">
        <v>0</v>
      </c>
      <c r="G168" s="13">
        <v>0</v>
      </c>
      <c r="H168" s="14">
        <f t="shared" si="4"/>
        <v>0</v>
      </c>
      <c r="I168" s="14">
        <f t="shared" si="5"/>
        <v>-6000000</v>
      </c>
      <c r="J168" s="598" t="s">
        <v>115</v>
      </c>
      <c r="K168" s="302">
        <v>0</v>
      </c>
    </row>
    <row r="169" spans="1:11" x14ac:dyDescent="0.2">
      <c r="A169" s="10">
        <v>50140000</v>
      </c>
      <c r="B169" s="10" t="s">
        <v>116</v>
      </c>
      <c r="C169" s="11">
        <v>-4000000</v>
      </c>
      <c r="D169" s="11">
        <v>12000000</v>
      </c>
      <c r="E169" s="11">
        <v>12000000</v>
      </c>
      <c r="F169" s="13">
        <v>0</v>
      </c>
      <c r="G169" s="13">
        <v>0</v>
      </c>
      <c r="H169" s="14">
        <f t="shared" si="4"/>
        <v>0</v>
      </c>
      <c r="I169" s="14">
        <f t="shared" si="5"/>
        <v>-4000000</v>
      </c>
      <c r="J169" s="598" t="s">
        <v>115</v>
      </c>
      <c r="K169" s="302">
        <v>0</v>
      </c>
    </row>
    <row r="170" spans="1:11" x14ac:dyDescent="0.2">
      <c r="A170" s="10">
        <v>50500000</v>
      </c>
      <c r="B170" s="10" t="s">
        <v>117</v>
      </c>
      <c r="C170" s="11">
        <v>-916666.6670000013</v>
      </c>
      <c r="D170" s="11">
        <v>916666.66299999994</v>
      </c>
      <c r="E170" s="11">
        <v>0</v>
      </c>
      <c r="F170" s="13">
        <v>0</v>
      </c>
      <c r="G170" s="13">
        <v>0</v>
      </c>
      <c r="H170" s="14">
        <f t="shared" si="4"/>
        <v>916666.66299999994</v>
      </c>
      <c r="I170" s="14">
        <f t="shared" si="5"/>
        <v>-4.0000013541430235E-3</v>
      </c>
      <c r="J170" s="598" t="s">
        <v>115</v>
      </c>
      <c r="K170" s="302">
        <v>0</v>
      </c>
    </row>
    <row r="171" spans="1:11" x14ac:dyDescent="0.2">
      <c r="A171" s="10">
        <v>50515000</v>
      </c>
      <c r="B171" s="10" t="s">
        <v>118</v>
      </c>
      <c r="C171" s="11">
        <v>-89643.378000000142</v>
      </c>
      <c r="D171" s="11">
        <v>104477.715</v>
      </c>
      <c r="E171" s="11">
        <v>25001.25</v>
      </c>
      <c r="F171" s="13">
        <v>0</v>
      </c>
      <c r="G171" s="13">
        <v>0</v>
      </c>
      <c r="H171" s="14">
        <f t="shared" si="4"/>
        <v>79476.464999999997</v>
      </c>
      <c r="I171" s="14">
        <f t="shared" si="5"/>
        <v>-10166.913000000146</v>
      </c>
      <c r="J171" s="598" t="s">
        <v>115</v>
      </c>
      <c r="K171" s="302">
        <v>0</v>
      </c>
    </row>
    <row r="172" spans="1:11" x14ac:dyDescent="0.2">
      <c r="A172" s="10">
        <v>50610100</v>
      </c>
      <c r="B172" s="10" t="s">
        <v>342</v>
      </c>
      <c r="C172" s="11">
        <v>0</v>
      </c>
      <c r="D172" s="11">
        <v>0</v>
      </c>
      <c r="E172" s="11">
        <v>0</v>
      </c>
      <c r="F172" s="13">
        <v>0</v>
      </c>
      <c r="G172" s="13">
        <v>0</v>
      </c>
      <c r="H172" s="14">
        <f t="shared" si="4"/>
        <v>0</v>
      </c>
      <c r="I172" s="14">
        <f t="shared" si="5"/>
        <v>0</v>
      </c>
      <c r="J172" s="598"/>
      <c r="K172" s="302">
        <v>0</v>
      </c>
    </row>
    <row r="173" spans="1:11" x14ac:dyDescent="0.2">
      <c r="A173" s="10">
        <v>50610900</v>
      </c>
      <c r="B173" s="10" t="s">
        <v>119</v>
      </c>
      <c r="C173" s="11">
        <v>3.7650018930435181E-4</v>
      </c>
      <c r="D173" s="11">
        <v>4886595.5487670004</v>
      </c>
      <c r="E173" s="11">
        <v>6219028.8877670001</v>
      </c>
      <c r="F173" s="13">
        <v>72303.185500000007</v>
      </c>
      <c r="G173" s="13">
        <v>72303.185500000007</v>
      </c>
      <c r="H173" s="14">
        <f t="shared" si="4"/>
        <v>-1332433.3389999999</v>
      </c>
      <c r="I173" s="14">
        <f t="shared" si="5"/>
        <v>-1332433.3386234997</v>
      </c>
      <c r="J173" s="598" t="s">
        <v>115</v>
      </c>
      <c r="K173" s="302">
        <v>0</v>
      </c>
    </row>
    <row r="174" spans="1:11" x14ac:dyDescent="0.2">
      <c r="A174" s="10">
        <v>50630000</v>
      </c>
      <c r="B174" s="10" t="s">
        <v>343</v>
      </c>
      <c r="C174" s="11">
        <v>0</v>
      </c>
      <c r="D174" s="11">
        <v>0</v>
      </c>
      <c r="E174" s="11">
        <v>450000</v>
      </c>
      <c r="F174" s="13">
        <v>0</v>
      </c>
      <c r="G174" s="13">
        <v>0</v>
      </c>
      <c r="H174" s="14">
        <f t="shared" si="4"/>
        <v>-450000</v>
      </c>
      <c r="I174" s="14">
        <f t="shared" si="5"/>
        <v>-450000</v>
      </c>
      <c r="J174" s="598" t="s">
        <v>115</v>
      </c>
      <c r="K174" s="302">
        <v>0</v>
      </c>
    </row>
    <row r="175" spans="1:11" x14ac:dyDescent="0.2">
      <c r="A175" s="10">
        <v>50800000</v>
      </c>
      <c r="B175" s="10" t="s">
        <v>344</v>
      </c>
      <c r="C175" s="11">
        <v>-24263.579999999994</v>
      </c>
      <c r="D175" s="11">
        <v>24263.579999999998</v>
      </c>
      <c r="E175" s="11">
        <v>0</v>
      </c>
      <c r="F175" s="13">
        <v>0</v>
      </c>
      <c r="G175" s="13">
        <v>0</v>
      </c>
      <c r="H175" s="14">
        <f t="shared" si="4"/>
        <v>24263.579999999998</v>
      </c>
      <c r="I175" s="14">
        <f t="shared" si="5"/>
        <v>0</v>
      </c>
      <c r="J175" s="598" t="s">
        <v>115</v>
      </c>
      <c r="K175" s="302">
        <v>0</v>
      </c>
    </row>
    <row r="176" spans="1:11" x14ac:dyDescent="0.2">
      <c r="A176" s="10">
        <v>52000000</v>
      </c>
      <c r="B176" s="10" t="s">
        <v>345</v>
      </c>
      <c r="C176" s="11">
        <v>0</v>
      </c>
      <c r="D176" s="11">
        <v>0</v>
      </c>
      <c r="E176" s="11">
        <v>0</v>
      </c>
      <c r="F176" s="13">
        <v>0</v>
      </c>
      <c r="G176" s="13">
        <v>0</v>
      </c>
      <c r="H176" s="14">
        <f t="shared" si="4"/>
        <v>0</v>
      </c>
      <c r="I176" s="14">
        <f t="shared" si="5"/>
        <v>0</v>
      </c>
      <c r="J176" s="598"/>
      <c r="K176" s="302">
        <v>0</v>
      </c>
    </row>
    <row r="177" spans="1:11" x14ac:dyDescent="0.2">
      <c r="A177" s="10">
        <v>52001100</v>
      </c>
      <c r="B177" s="10" t="s">
        <v>346</v>
      </c>
      <c r="C177" s="11">
        <v>0</v>
      </c>
      <c r="D177" s="11">
        <v>0</v>
      </c>
      <c r="E177" s="11">
        <v>0</v>
      </c>
      <c r="F177" s="13">
        <v>0</v>
      </c>
      <c r="G177" s="13">
        <v>0</v>
      </c>
      <c r="H177" s="14">
        <f t="shared" si="4"/>
        <v>0</v>
      </c>
      <c r="I177" s="14">
        <f t="shared" si="5"/>
        <v>0</v>
      </c>
      <c r="J177" s="598"/>
      <c r="K177" s="302">
        <v>0</v>
      </c>
    </row>
    <row r="178" spans="1:11" x14ac:dyDescent="0.2">
      <c r="A178" s="10">
        <v>53140000</v>
      </c>
      <c r="B178" s="10" t="s">
        <v>347</v>
      </c>
      <c r="C178" s="11">
        <v>0</v>
      </c>
      <c r="D178" s="11">
        <v>0</v>
      </c>
      <c r="E178" s="11">
        <v>0</v>
      </c>
      <c r="F178" s="13">
        <v>0</v>
      </c>
      <c r="G178" s="13">
        <v>0</v>
      </c>
      <c r="H178" s="14">
        <f t="shared" si="4"/>
        <v>0</v>
      </c>
      <c r="I178" s="14">
        <f t="shared" si="5"/>
        <v>0</v>
      </c>
      <c r="J178" s="598"/>
      <c r="K178" s="302">
        <v>0</v>
      </c>
    </row>
    <row r="179" spans="1:11" x14ac:dyDescent="0.2">
      <c r="A179" s="10">
        <v>53200000</v>
      </c>
      <c r="B179" s="10" t="s">
        <v>120</v>
      </c>
      <c r="C179" s="11">
        <v>0</v>
      </c>
      <c r="D179" s="11">
        <v>36609260.082000002</v>
      </c>
      <c r="E179" s="11">
        <v>36362809.851999998</v>
      </c>
      <c r="F179" s="13">
        <v>0</v>
      </c>
      <c r="G179" s="13">
        <v>0</v>
      </c>
      <c r="H179" s="14">
        <f t="shared" si="4"/>
        <v>246450.23000000417</v>
      </c>
      <c r="I179" s="14">
        <f t="shared" si="5"/>
        <v>246450.23000000417</v>
      </c>
      <c r="J179" s="598" t="s">
        <v>121</v>
      </c>
      <c r="K179" s="302">
        <v>0</v>
      </c>
    </row>
    <row r="180" spans="1:11" x14ac:dyDescent="0.2">
      <c r="A180" s="10">
        <v>53201000</v>
      </c>
      <c r="B180" s="10" t="s">
        <v>348</v>
      </c>
      <c r="C180" s="11">
        <v>0</v>
      </c>
      <c r="D180" s="11">
        <v>0</v>
      </c>
      <c r="E180" s="11">
        <v>0</v>
      </c>
      <c r="F180" s="13">
        <v>0</v>
      </c>
      <c r="G180" s="13">
        <v>0</v>
      </c>
      <c r="H180" s="14">
        <f t="shared" si="4"/>
        <v>0</v>
      </c>
      <c r="I180" s="14">
        <f t="shared" si="5"/>
        <v>0</v>
      </c>
      <c r="J180" s="598"/>
      <c r="K180" s="302">
        <v>0</v>
      </c>
    </row>
    <row r="181" spans="1:11" x14ac:dyDescent="0.2">
      <c r="A181" s="10">
        <v>53202000</v>
      </c>
      <c r="B181" s="10" t="s">
        <v>122</v>
      </c>
      <c r="C181" s="11">
        <v>435.74199999962002</v>
      </c>
      <c r="D181" s="11">
        <v>0</v>
      </c>
      <c r="E181" s="11">
        <v>0</v>
      </c>
      <c r="F181" s="13">
        <v>0</v>
      </c>
      <c r="G181" s="13">
        <v>0</v>
      </c>
      <c r="H181" s="14">
        <f t="shared" si="4"/>
        <v>0</v>
      </c>
      <c r="I181" s="14">
        <f t="shared" si="5"/>
        <v>435.74199999962002</v>
      </c>
      <c r="J181" s="598" t="s">
        <v>121</v>
      </c>
      <c r="K181" s="302">
        <v>0</v>
      </c>
    </row>
    <row r="182" spans="1:11" x14ac:dyDescent="0.2">
      <c r="A182" s="599">
        <v>53203000</v>
      </c>
      <c r="B182" s="599" t="s">
        <v>349</v>
      </c>
      <c r="C182" s="11">
        <v>341558.32200000016</v>
      </c>
      <c r="D182" s="11">
        <v>4185729.9630000005</v>
      </c>
      <c r="E182" s="11">
        <v>4175191.35</v>
      </c>
      <c r="F182" s="13">
        <v>0</v>
      </c>
      <c r="G182" s="13">
        <v>0</v>
      </c>
      <c r="H182" s="14">
        <f t="shared" si="4"/>
        <v>10538.613000000361</v>
      </c>
      <c r="I182" s="14">
        <f t="shared" si="5"/>
        <v>352096.93500000052</v>
      </c>
      <c r="J182" s="600" t="s">
        <v>121</v>
      </c>
      <c r="K182" s="302">
        <v>0</v>
      </c>
    </row>
    <row r="183" spans="1:11" x14ac:dyDescent="0.2">
      <c r="A183" s="599">
        <v>53204000</v>
      </c>
      <c r="B183" s="599" t="s">
        <v>350</v>
      </c>
      <c r="C183" s="11">
        <v>0</v>
      </c>
      <c r="D183" s="11">
        <v>0</v>
      </c>
      <c r="E183" s="11">
        <v>0</v>
      </c>
      <c r="F183" s="13">
        <v>0</v>
      </c>
      <c r="G183" s="13">
        <v>0</v>
      </c>
      <c r="H183" s="14">
        <f t="shared" si="4"/>
        <v>0</v>
      </c>
      <c r="I183" s="14">
        <f t="shared" si="5"/>
        <v>0</v>
      </c>
      <c r="J183" s="600"/>
      <c r="K183" s="302">
        <v>0</v>
      </c>
    </row>
    <row r="184" spans="1:11" x14ac:dyDescent="0.2">
      <c r="A184" s="599">
        <v>53204100</v>
      </c>
      <c r="B184" s="599" t="s">
        <v>351</v>
      </c>
      <c r="C184" s="11">
        <v>0</v>
      </c>
      <c r="D184" s="11">
        <v>0</v>
      </c>
      <c r="E184" s="11">
        <v>0</v>
      </c>
      <c r="F184" s="13">
        <v>0</v>
      </c>
      <c r="G184" s="13">
        <v>0</v>
      </c>
      <c r="H184" s="14">
        <f t="shared" si="4"/>
        <v>0</v>
      </c>
      <c r="I184" s="14">
        <f t="shared" si="5"/>
        <v>0</v>
      </c>
      <c r="J184" s="600"/>
      <c r="K184" s="302">
        <v>0</v>
      </c>
    </row>
    <row r="185" spans="1:11" x14ac:dyDescent="0.2">
      <c r="A185" s="599">
        <v>53204500</v>
      </c>
      <c r="B185" s="599" t="s">
        <v>123</v>
      </c>
      <c r="C185" s="11">
        <v>5874.02</v>
      </c>
      <c r="D185" s="11">
        <v>0</v>
      </c>
      <c r="E185" s="11">
        <v>0</v>
      </c>
      <c r="F185" s="13">
        <v>0</v>
      </c>
      <c r="G185" s="13">
        <v>0</v>
      </c>
      <c r="H185" s="14">
        <f t="shared" si="4"/>
        <v>0</v>
      </c>
      <c r="I185" s="14">
        <f t="shared" si="5"/>
        <v>5874.02</v>
      </c>
      <c r="J185" s="600" t="s">
        <v>121</v>
      </c>
      <c r="K185" s="302">
        <v>0</v>
      </c>
    </row>
    <row r="186" spans="1:11" x14ac:dyDescent="0.2">
      <c r="A186" s="599">
        <v>53205000</v>
      </c>
      <c r="B186" s="599" t="s">
        <v>124</v>
      </c>
      <c r="C186" s="11">
        <v>21818.723999977112</v>
      </c>
      <c r="D186" s="11">
        <v>111942.38199999998</v>
      </c>
      <c r="E186" s="11">
        <v>120836.022</v>
      </c>
      <c r="F186" s="13">
        <v>0</v>
      </c>
      <c r="G186" s="13">
        <v>0</v>
      </c>
      <c r="H186" s="14">
        <f t="shared" si="4"/>
        <v>-8893.640000000014</v>
      </c>
      <c r="I186" s="14">
        <f t="shared" si="5"/>
        <v>12925.083999977098</v>
      </c>
      <c r="J186" s="600" t="s">
        <v>121</v>
      </c>
      <c r="K186" s="302">
        <v>0</v>
      </c>
    </row>
    <row r="187" spans="1:11" x14ac:dyDescent="0.2">
      <c r="A187" s="10">
        <v>53205300</v>
      </c>
      <c r="B187" s="10" t="s">
        <v>125</v>
      </c>
      <c r="C187" s="11">
        <v>0</v>
      </c>
      <c r="D187" s="11">
        <v>0</v>
      </c>
      <c r="E187" s="11">
        <v>0</v>
      </c>
      <c r="F187" s="13">
        <v>0</v>
      </c>
      <c r="G187" s="13">
        <v>0</v>
      </c>
      <c r="H187" s="14">
        <f t="shared" si="4"/>
        <v>0</v>
      </c>
      <c r="I187" s="14">
        <f t="shared" si="5"/>
        <v>0</v>
      </c>
      <c r="J187" s="598" t="s">
        <v>121</v>
      </c>
      <c r="K187" s="302">
        <v>0</v>
      </c>
    </row>
    <row r="188" spans="1:11" x14ac:dyDescent="0.2">
      <c r="A188" s="10">
        <v>53205400</v>
      </c>
      <c r="B188" s="10" t="s">
        <v>126</v>
      </c>
      <c r="C188" s="11">
        <v>0</v>
      </c>
      <c r="D188" s="11">
        <v>0</v>
      </c>
      <c r="E188" s="11">
        <v>0</v>
      </c>
      <c r="F188" s="13">
        <v>0</v>
      </c>
      <c r="G188" s="13">
        <v>0</v>
      </c>
      <c r="H188" s="14">
        <f t="shared" si="4"/>
        <v>0</v>
      </c>
      <c r="I188" s="14">
        <f t="shared" si="5"/>
        <v>0</v>
      </c>
      <c r="J188" s="598"/>
      <c r="K188" s="302">
        <v>0</v>
      </c>
    </row>
    <row r="189" spans="1:11" x14ac:dyDescent="0.2">
      <c r="A189" s="10">
        <v>53205500</v>
      </c>
      <c r="B189" s="10" t="s">
        <v>127</v>
      </c>
      <c r="C189" s="11">
        <v>0</v>
      </c>
      <c r="D189" s="11">
        <v>0</v>
      </c>
      <c r="E189" s="11">
        <v>0</v>
      </c>
      <c r="F189" s="13">
        <v>0</v>
      </c>
      <c r="G189" s="13">
        <v>0</v>
      </c>
      <c r="H189" s="14">
        <f t="shared" si="4"/>
        <v>0</v>
      </c>
      <c r="I189" s="14">
        <f t="shared" si="5"/>
        <v>0</v>
      </c>
      <c r="J189" s="598"/>
      <c r="K189" s="302">
        <v>0</v>
      </c>
    </row>
    <row r="190" spans="1:11" x14ac:dyDescent="0.2">
      <c r="A190" s="10">
        <v>53205600</v>
      </c>
      <c r="B190" s="10" t="s">
        <v>128</v>
      </c>
      <c r="C190" s="11">
        <v>-1790511.6069999337</v>
      </c>
      <c r="D190" s="11">
        <v>69136894.548999995</v>
      </c>
      <c r="E190" s="11">
        <v>70846484.15699999</v>
      </c>
      <c r="F190" s="13">
        <v>0</v>
      </c>
      <c r="G190" s="13">
        <v>0</v>
      </c>
      <c r="H190" s="14">
        <f t="shared" si="4"/>
        <v>-1709589.6079999954</v>
      </c>
      <c r="I190" s="14">
        <f t="shared" si="5"/>
        <v>-3500101.2149999291</v>
      </c>
      <c r="J190" s="598" t="s">
        <v>115</v>
      </c>
      <c r="K190" s="302">
        <v>0</v>
      </c>
    </row>
    <row r="191" spans="1:11" x14ac:dyDescent="0.2">
      <c r="A191" s="10">
        <v>53205700</v>
      </c>
      <c r="B191" s="10" t="s">
        <v>129</v>
      </c>
      <c r="C191" s="11">
        <v>687712.25572220236</v>
      </c>
      <c r="D191" s="11">
        <v>9253298.9977499992</v>
      </c>
      <c r="E191" s="11">
        <v>9044321.3208750002</v>
      </c>
      <c r="F191" s="13">
        <v>1311659.375</v>
      </c>
      <c r="G191" s="13">
        <v>922357.35699999996</v>
      </c>
      <c r="H191" s="14">
        <f t="shared" si="4"/>
        <v>598279.694874999</v>
      </c>
      <c r="I191" s="14">
        <f t="shared" si="5"/>
        <v>1285991.9505972015</v>
      </c>
      <c r="J191" s="598" t="s">
        <v>121</v>
      </c>
      <c r="K191" s="302">
        <v>0</v>
      </c>
    </row>
    <row r="192" spans="1:11" x14ac:dyDescent="0.2">
      <c r="A192" s="10">
        <v>53205800</v>
      </c>
      <c r="B192" s="10" t="s">
        <v>130</v>
      </c>
      <c r="C192" s="11">
        <v>710140.7650000006</v>
      </c>
      <c r="D192" s="11">
        <v>2587041.7059999998</v>
      </c>
      <c r="E192" s="11">
        <v>3335991.3330000001</v>
      </c>
      <c r="F192" s="13">
        <v>220915.91500000001</v>
      </c>
      <c r="G192" s="13">
        <v>165773.465</v>
      </c>
      <c r="H192" s="14">
        <f t="shared" si="4"/>
        <v>-693807.17700000026</v>
      </c>
      <c r="I192" s="14">
        <f t="shared" si="5"/>
        <v>16333.588000000338</v>
      </c>
      <c r="J192" s="598" t="s">
        <v>121</v>
      </c>
      <c r="K192" s="302">
        <v>0</v>
      </c>
    </row>
    <row r="193" spans="1:11" x14ac:dyDescent="0.2">
      <c r="A193" s="10">
        <v>53207000</v>
      </c>
      <c r="B193" s="10" t="s">
        <v>352</v>
      </c>
      <c r="C193" s="11">
        <v>0</v>
      </c>
      <c r="D193" s="11">
        <v>0</v>
      </c>
      <c r="E193" s="11">
        <v>0</v>
      </c>
      <c r="F193" s="13">
        <v>0</v>
      </c>
      <c r="G193" s="13">
        <v>0</v>
      </c>
      <c r="H193" s="14">
        <f t="shared" si="4"/>
        <v>0</v>
      </c>
      <c r="I193" s="14">
        <f t="shared" si="5"/>
        <v>0</v>
      </c>
      <c r="J193" s="598"/>
      <c r="K193" s="302">
        <v>0</v>
      </c>
    </row>
    <row r="194" spans="1:11" x14ac:dyDescent="0.2">
      <c r="A194" s="10">
        <v>53207100</v>
      </c>
      <c r="B194" s="10" t="s">
        <v>353</v>
      </c>
      <c r="C194" s="11">
        <v>0</v>
      </c>
      <c r="D194" s="11">
        <v>0</v>
      </c>
      <c r="E194" s="11">
        <v>0</v>
      </c>
      <c r="F194" s="13">
        <v>0</v>
      </c>
      <c r="G194" s="13">
        <v>0</v>
      </c>
      <c r="H194" s="14">
        <f t="shared" si="4"/>
        <v>0</v>
      </c>
      <c r="I194" s="14">
        <f t="shared" si="5"/>
        <v>0</v>
      </c>
      <c r="J194" s="598"/>
      <c r="K194" s="302">
        <v>0</v>
      </c>
    </row>
    <row r="195" spans="1:11" x14ac:dyDescent="0.2">
      <c r="A195" s="10">
        <v>53207200</v>
      </c>
      <c r="B195" s="10" t="s">
        <v>354</v>
      </c>
      <c r="C195" s="11">
        <v>0</v>
      </c>
      <c r="D195" s="11">
        <v>0</v>
      </c>
      <c r="E195" s="11">
        <v>0</v>
      </c>
      <c r="F195" s="13">
        <v>0</v>
      </c>
      <c r="G195" s="13">
        <v>0</v>
      </c>
      <c r="H195" s="14">
        <f t="shared" si="4"/>
        <v>0</v>
      </c>
      <c r="I195" s="14">
        <f t="shared" si="5"/>
        <v>0</v>
      </c>
      <c r="J195" s="598"/>
      <c r="K195" s="302">
        <v>0</v>
      </c>
    </row>
    <row r="196" spans="1:11" x14ac:dyDescent="0.2">
      <c r="A196" s="10">
        <v>53208000</v>
      </c>
      <c r="B196" s="10" t="s">
        <v>355</v>
      </c>
      <c r="C196" s="11">
        <v>485.66199999954551</v>
      </c>
      <c r="D196" s="11">
        <v>0</v>
      </c>
      <c r="E196" s="11">
        <v>0</v>
      </c>
      <c r="F196" s="13">
        <v>0</v>
      </c>
      <c r="G196" s="13">
        <v>0</v>
      </c>
      <c r="H196" s="14">
        <f t="shared" ref="H196:H259" si="6">+D196+F196-E196-G196</f>
        <v>0</v>
      </c>
      <c r="I196" s="14">
        <f t="shared" ref="I196:I259" si="7">+H196+C196</f>
        <v>485.66199999954551</v>
      </c>
      <c r="J196" s="598" t="s">
        <v>121</v>
      </c>
      <c r="K196" s="302">
        <v>0</v>
      </c>
    </row>
    <row r="197" spans="1:11" x14ac:dyDescent="0.2">
      <c r="A197" s="10">
        <v>53208100</v>
      </c>
      <c r="B197" s="10" t="s">
        <v>356</v>
      </c>
      <c r="C197" s="11">
        <v>0</v>
      </c>
      <c r="D197" s="11">
        <v>0</v>
      </c>
      <c r="E197" s="11">
        <v>0</v>
      </c>
      <c r="F197" s="13">
        <v>0</v>
      </c>
      <c r="G197" s="13">
        <v>0</v>
      </c>
      <c r="H197" s="14">
        <f t="shared" si="6"/>
        <v>0</v>
      </c>
      <c r="I197" s="14">
        <f t="shared" si="7"/>
        <v>0</v>
      </c>
      <c r="J197" s="598"/>
      <c r="K197" s="302">
        <v>0</v>
      </c>
    </row>
    <row r="198" spans="1:11" x14ac:dyDescent="0.2">
      <c r="A198" s="10">
        <v>53208500</v>
      </c>
      <c r="B198" s="10" t="s">
        <v>357</v>
      </c>
      <c r="C198" s="11">
        <v>0</v>
      </c>
      <c r="D198" s="11">
        <v>0</v>
      </c>
      <c r="E198" s="11">
        <v>0</v>
      </c>
      <c r="F198" s="13">
        <v>0</v>
      </c>
      <c r="G198" s="13">
        <v>0</v>
      </c>
      <c r="H198" s="14">
        <f t="shared" si="6"/>
        <v>0</v>
      </c>
      <c r="I198" s="14">
        <f t="shared" si="7"/>
        <v>0</v>
      </c>
      <c r="J198" s="598"/>
      <c r="K198" s="302">
        <v>0</v>
      </c>
    </row>
    <row r="199" spans="1:11" x14ac:dyDescent="0.2">
      <c r="A199" s="10">
        <v>54000000</v>
      </c>
      <c r="B199" s="10" t="s">
        <v>358</v>
      </c>
      <c r="C199" s="11">
        <v>0</v>
      </c>
      <c r="D199" s="11">
        <v>1178.046</v>
      </c>
      <c r="E199" s="11">
        <v>1178.046</v>
      </c>
      <c r="F199" s="13">
        <v>0</v>
      </c>
      <c r="G199" s="13">
        <v>0</v>
      </c>
      <c r="H199" s="14">
        <f t="shared" si="6"/>
        <v>0</v>
      </c>
      <c r="I199" s="14">
        <f t="shared" si="7"/>
        <v>0</v>
      </c>
      <c r="J199" s="598"/>
      <c r="K199" s="302">
        <v>0</v>
      </c>
    </row>
    <row r="200" spans="1:11" x14ac:dyDescent="0.2">
      <c r="A200" s="10">
        <v>54100000</v>
      </c>
      <c r="B200" s="10" t="s">
        <v>131</v>
      </c>
      <c r="C200" s="11">
        <v>0</v>
      </c>
      <c r="D200" s="11">
        <v>66993.578000000009</v>
      </c>
      <c r="E200" s="11">
        <v>63152.378000000004</v>
      </c>
      <c r="F200" s="13">
        <v>0</v>
      </c>
      <c r="G200" s="13">
        <v>0</v>
      </c>
      <c r="H200" s="14">
        <f t="shared" si="6"/>
        <v>3841.2000000000044</v>
      </c>
      <c r="I200" s="14">
        <f t="shared" si="7"/>
        <v>3841.2000000000044</v>
      </c>
      <c r="J200" s="598" t="s">
        <v>115</v>
      </c>
      <c r="K200" s="302">
        <v>0</v>
      </c>
    </row>
    <row r="201" spans="1:11" x14ac:dyDescent="0.2">
      <c r="A201" s="10">
        <v>54300000</v>
      </c>
      <c r="B201" s="10" t="s">
        <v>359</v>
      </c>
      <c r="C201" s="11">
        <v>0</v>
      </c>
      <c r="D201" s="11">
        <v>0</v>
      </c>
      <c r="E201" s="11">
        <v>0</v>
      </c>
      <c r="F201" s="13">
        <v>0</v>
      </c>
      <c r="G201" s="13">
        <v>0</v>
      </c>
      <c r="H201" s="14">
        <f t="shared" si="6"/>
        <v>0</v>
      </c>
      <c r="I201" s="14">
        <f t="shared" si="7"/>
        <v>0</v>
      </c>
      <c r="J201" s="598"/>
      <c r="K201" s="302">
        <v>0</v>
      </c>
    </row>
    <row r="202" spans="1:11" x14ac:dyDescent="0.2">
      <c r="A202" s="10">
        <v>55010000</v>
      </c>
      <c r="B202" s="10" t="s">
        <v>132</v>
      </c>
      <c r="C202" s="11">
        <v>3000</v>
      </c>
      <c r="D202" s="11">
        <v>0</v>
      </c>
      <c r="E202" s="11">
        <v>0</v>
      </c>
      <c r="F202" s="13">
        <v>0</v>
      </c>
      <c r="G202" s="13">
        <v>0</v>
      </c>
      <c r="H202" s="14">
        <f t="shared" si="6"/>
        <v>0</v>
      </c>
      <c r="I202" s="14">
        <f t="shared" si="7"/>
        <v>3000</v>
      </c>
      <c r="J202" s="598" t="s">
        <v>121</v>
      </c>
      <c r="K202" s="302">
        <v>0</v>
      </c>
    </row>
    <row r="203" spans="1:11" x14ac:dyDescent="0.2">
      <c r="A203" s="10">
        <v>55011000</v>
      </c>
      <c r="B203" s="10" t="s">
        <v>133</v>
      </c>
      <c r="C203" s="11">
        <v>0</v>
      </c>
      <c r="D203" s="11">
        <v>0</v>
      </c>
      <c r="E203" s="11">
        <v>0</v>
      </c>
      <c r="F203" s="13">
        <v>0</v>
      </c>
      <c r="G203" s="13">
        <v>0</v>
      </c>
      <c r="H203" s="14">
        <f t="shared" si="6"/>
        <v>0</v>
      </c>
      <c r="I203" s="14">
        <f t="shared" si="7"/>
        <v>0</v>
      </c>
      <c r="J203" s="598" t="s">
        <v>121</v>
      </c>
      <c r="K203" s="302">
        <v>0</v>
      </c>
    </row>
    <row r="204" spans="1:11" x14ac:dyDescent="0.2">
      <c r="A204" s="10">
        <v>58000000</v>
      </c>
      <c r="B204" s="10" t="s">
        <v>134</v>
      </c>
      <c r="C204" s="11">
        <v>0</v>
      </c>
      <c r="D204" s="11">
        <v>0</v>
      </c>
      <c r="E204" s="11">
        <v>0</v>
      </c>
      <c r="F204" s="13">
        <v>0</v>
      </c>
      <c r="G204" s="13">
        <v>0</v>
      </c>
      <c r="H204" s="14">
        <f t="shared" si="6"/>
        <v>0</v>
      </c>
      <c r="I204" s="14">
        <f t="shared" si="7"/>
        <v>0</v>
      </c>
      <c r="J204" s="598" t="s">
        <v>121</v>
      </c>
      <c r="K204" s="302">
        <v>0</v>
      </c>
    </row>
    <row r="205" spans="1:11" x14ac:dyDescent="0.2">
      <c r="A205" s="10">
        <v>58001000</v>
      </c>
      <c r="B205" s="10" t="s">
        <v>135</v>
      </c>
      <c r="C205" s="11">
        <v>-1.9999593496322632E-4</v>
      </c>
      <c r="D205" s="11">
        <v>0</v>
      </c>
      <c r="E205" s="11">
        <v>0</v>
      </c>
      <c r="F205" s="13">
        <v>0</v>
      </c>
      <c r="G205" s="13">
        <v>0</v>
      </c>
      <c r="H205" s="14">
        <f t="shared" si="6"/>
        <v>0</v>
      </c>
      <c r="I205" s="14">
        <f t="shared" si="7"/>
        <v>-1.9999593496322632E-4</v>
      </c>
      <c r="J205" s="598"/>
      <c r="K205" s="302">
        <v>0</v>
      </c>
    </row>
    <row r="206" spans="1:11" x14ac:dyDescent="0.2">
      <c r="A206" s="10">
        <v>58002000</v>
      </c>
      <c r="B206" s="10" t="s">
        <v>360</v>
      </c>
      <c r="C206" s="11">
        <v>0</v>
      </c>
      <c r="D206" s="11">
        <v>0</v>
      </c>
      <c r="E206" s="11">
        <v>0</v>
      </c>
      <c r="F206" s="13">
        <v>0</v>
      </c>
      <c r="G206" s="13">
        <v>0</v>
      </c>
      <c r="H206" s="14">
        <f t="shared" si="6"/>
        <v>0</v>
      </c>
      <c r="I206" s="14">
        <f t="shared" si="7"/>
        <v>0</v>
      </c>
      <c r="J206" s="598"/>
      <c r="K206" s="302">
        <v>0</v>
      </c>
    </row>
    <row r="207" spans="1:11" x14ac:dyDescent="0.2">
      <c r="A207" s="10">
        <v>58003000</v>
      </c>
      <c r="B207" s="10" t="s">
        <v>136</v>
      </c>
      <c r="C207" s="11">
        <v>1.0100007057189941E-4</v>
      </c>
      <c r="D207" s="11">
        <v>2786877.2429999998</v>
      </c>
      <c r="E207" s="11">
        <v>2786877.2429999998</v>
      </c>
      <c r="F207" s="13">
        <v>0</v>
      </c>
      <c r="G207" s="13">
        <v>0</v>
      </c>
      <c r="H207" s="14">
        <f t="shared" si="6"/>
        <v>0</v>
      </c>
      <c r="I207" s="14">
        <f t="shared" si="7"/>
        <v>1.0100007057189941E-4</v>
      </c>
      <c r="J207" s="598"/>
      <c r="K207" s="302">
        <v>0</v>
      </c>
    </row>
    <row r="208" spans="1:11" x14ac:dyDescent="0.2">
      <c r="A208" s="10">
        <v>58004000</v>
      </c>
      <c r="B208" s="10" t="s">
        <v>361</v>
      </c>
      <c r="C208" s="11">
        <v>0</v>
      </c>
      <c r="D208" s="11">
        <v>0</v>
      </c>
      <c r="E208" s="11">
        <v>0</v>
      </c>
      <c r="F208" s="13">
        <v>0</v>
      </c>
      <c r="G208" s="13">
        <v>0</v>
      </c>
      <c r="H208" s="14">
        <f t="shared" si="6"/>
        <v>0</v>
      </c>
      <c r="I208" s="14">
        <f t="shared" si="7"/>
        <v>0</v>
      </c>
      <c r="J208" s="598"/>
      <c r="K208" s="302">
        <v>0</v>
      </c>
    </row>
    <row r="209" spans="1:11" x14ac:dyDescent="0.2">
      <c r="A209" s="10">
        <v>58005000</v>
      </c>
      <c r="B209" s="10" t="s">
        <v>362</v>
      </c>
      <c r="C209" s="11">
        <v>3.8483738899230957E-4</v>
      </c>
      <c r="D209" s="11">
        <v>12024027.072000001</v>
      </c>
      <c r="E209" s="11">
        <v>12147859.517000001</v>
      </c>
      <c r="F209" s="13">
        <v>0</v>
      </c>
      <c r="G209" s="13">
        <v>0</v>
      </c>
      <c r="H209" s="14">
        <f t="shared" si="6"/>
        <v>-123832.4450000003</v>
      </c>
      <c r="I209" s="14">
        <f t="shared" si="7"/>
        <v>-123832.44461516291</v>
      </c>
      <c r="J209" s="598" t="s">
        <v>121</v>
      </c>
      <c r="K209" s="302">
        <v>0</v>
      </c>
    </row>
    <row r="210" spans="1:11" x14ac:dyDescent="0.2">
      <c r="A210" s="10">
        <v>60110210</v>
      </c>
      <c r="B210" s="10" t="s">
        <v>137</v>
      </c>
      <c r="C210" s="11">
        <v>0</v>
      </c>
      <c r="D210" s="11">
        <v>1633866.1555939999</v>
      </c>
      <c r="E210" s="11">
        <v>62544.171500000011</v>
      </c>
      <c r="F210" s="13">
        <v>0</v>
      </c>
      <c r="G210" s="13">
        <v>0</v>
      </c>
      <c r="H210" s="14">
        <f t="shared" si="6"/>
        <v>1571321.984094</v>
      </c>
      <c r="I210" s="14">
        <f t="shared" si="7"/>
        <v>1571321.984094</v>
      </c>
      <c r="J210" s="598" t="s">
        <v>138</v>
      </c>
      <c r="K210" s="302" t="s">
        <v>509</v>
      </c>
    </row>
    <row r="211" spans="1:11" x14ac:dyDescent="0.2">
      <c r="A211" s="10">
        <v>60110211</v>
      </c>
      <c r="B211" s="10" t="s">
        <v>363</v>
      </c>
      <c r="C211" s="11">
        <v>0</v>
      </c>
      <c r="D211" s="11">
        <v>277237.66535950004</v>
      </c>
      <c r="E211" s="11">
        <v>17815.868699999999</v>
      </c>
      <c r="F211" s="13">
        <v>0</v>
      </c>
      <c r="G211" s="13">
        <v>0</v>
      </c>
      <c r="H211" s="14">
        <f t="shared" si="6"/>
        <v>259421.79665950005</v>
      </c>
      <c r="I211" s="14">
        <f t="shared" si="7"/>
        <v>259421.79665950005</v>
      </c>
      <c r="J211" s="598" t="s">
        <v>138</v>
      </c>
      <c r="K211" s="302" t="s">
        <v>509</v>
      </c>
    </row>
    <row r="212" spans="1:11" x14ac:dyDescent="0.2">
      <c r="A212" s="10">
        <v>60110212</v>
      </c>
      <c r="B212" s="10" t="s">
        <v>7391</v>
      </c>
      <c r="C212" s="11">
        <v>0</v>
      </c>
      <c r="D212" s="11">
        <v>42427.563999999998</v>
      </c>
      <c r="E212" s="11">
        <v>0</v>
      </c>
      <c r="F212" s="13">
        <v>0</v>
      </c>
      <c r="G212" s="13">
        <v>0</v>
      </c>
      <c r="H212" s="14">
        <f t="shared" si="6"/>
        <v>42427.563999999998</v>
      </c>
      <c r="I212" s="14">
        <f t="shared" si="7"/>
        <v>42427.563999999998</v>
      </c>
      <c r="J212" s="598" t="s">
        <v>138</v>
      </c>
      <c r="K212" s="302" t="s">
        <v>509</v>
      </c>
    </row>
    <row r="213" spans="1:11" x14ac:dyDescent="0.2">
      <c r="A213" s="10">
        <v>60110213</v>
      </c>
      <c r="B213" s="10" t="s">
        <v>364</v>
      </c>
      <c r="C213" s="11">
        <v>0</v>
      </c>
      <c r="D213" s="11">
        <v>9453.6</v>
      </c>
      <c r="E213" s="11">
        <v>0</v>
      </c>
      <c r="F213" s="13">
        <v>0</v>
      </c>
      <c r="G213" s="13">
        <v>0</v>
      </c>
      <c r="H213" s="14">
        <f t="shared" si="6"/>
        <v>9453.6</v>
      </c>
      <c r="I213" s="14">
        <f t="shared" si="7"/>
        <v>9453.6</v>
      </c>
      <c r="J213" s="598" t="s">
        <v>138</v>
      </c>
      <c r="K213" s="302" t="s">
        <v>509</v>
      </c>
    </row>
    <row r="214" spans="1:11" x14ac:dyDescent="0.2">
      <c r="A214" s="10">
        <v>60110220</v>
      </c>
      <c r="B214" s="10" t="s">
        <v>139</v>
      </c>
      <c r="C214" s="11">
        <v>0</v>
      </c>
      <c r="D214" s="11">
        <v>2138172.2779175001</v>
      </c>
      <c r="E214" s="11">
        <v>0</v>
      </c>
      <c r="F214" s="13">
        <v>0</v>
      </c>
      <c r="G214" s="13">
        <v>0</v>
      </c>
      <c r="H214" s="14">
        <f t="shared" si="6"/>
        <v>2138172.2779175001</v>
      </c>
      <c r="I214" s="14">
        <f t="shared" si="7"/>
        <v>2138172.2779175001</v>
      </c>
      <c r="J214" s="598" t="s">
        <v>138</v>
      </c>
      <c r="K214" s="302" t="s">
        <v>509</v>
      </c>
    </row>
    <row r="215" spans="1:11" x14ac:dyDescent="0.2">
      <c r="A215" s="10">
        <v>60110300</v>
      </c>
      <c r="B215" s="10" t="s">
        <v>140</v>
      </c>
      <c r="C215" s="11">
        <v>0</v>
      </c>
      <c r="D215" s="11">
        <v>148260.66052249999</v>
      </c>
      <c r="E215" s="11">
        <v>0</v>
      </c>
      <c r="F215" s="13">
        <v>7150.2870000000003</v>
      </c>
      <c r="G215" s="13">
        <v>7150.2870000000003</v>
      </c>
      <c r="H215" s="14">
        <f t="shared" si="6"/>
        <v>148260.66052249999</v>
      </c>
      <c r="I215" s="14">
        <f t="shared" si="7"/>
        <v>148260.66052249999</v>
      </c>
      <c r="J215" s="598" t="s">
        <v>138</v>
      </c>
      <c r="K215" s="302" t="s">
        <v>509</v>
      </c>
    </row>
    <row r="216" spans="1:11" x14ac:dyDescent="0.2">
      <c r="A216" s="10">
        <v>60110310</v>
      </c>
      <c r="B216" s="10" t="s">
        <v>141</v>
      </c>
      <c r="C216" s="11">
        <v>0</v>
      </c>
      <c r="D216" s="11">
        <v>139784.76</v>
      </c>
      <c r="E216" s="11">
        <v>36427.949999999997</v>
      </c>
      <c r="F216" s="13">
        <v>0</v>
      </c>
      <c r="G216" s="13">
        <v>0</v>
      </c>
      <c r="H216" s="14">
        <f t="shared" si="6"/>
        <v>103356.81000000001</v>
      </c>
      <c r="I216" s="14">
        <f t="shared" si="7"/>
        <v>103356.81000000001</v>
      </c>
      <c r="J216" s="598" t="s">
        <v>138</v>
      </c>
      <c r="K216" s="302" t="s">
        <v>509</v>
      </c>
    </row>
    <row r="217" spans="1:11" x14ac:dyDescent="0.2">
      <c r="A217" s="10">
        <v>60110320</v>
      </c>
      <c r="B217" s="10" t="s">
        <v>142</v>
      </c>
      <c r="C217" s="11">
        <v>0</v>
      </c>
      <c r="D217" s="11">
        <v>71169.989427000008</v>
      </c>
      <c r="E217" s="11">
        <v>0</v>
      </c>
      <c r="F217" s="13">
        <v>0</v>
      </c>
      <c r="G217" s="13">
        <v>0</v>
      </c>
      <c r="H217" s="14">
        <f t="shared" si="6"/>
        <v>71169.989427000008</v>
      </c>
      <c r="I217" s="14">
        <f t="shared" si="7"/>
        <v>71169.989427000008</v>
      </c>
      <c r="J217" s="598" t="s">
        <v>138</v>
      </c>
      <c r="K217" s="302" t="s">
        <v>509</v>
      </c>
    </row>
    <row r="218" spans="1:11" x14ac:dyDescent="0.2">
      <c r="A218" s="10">
        <v>60110330</v>
      </c>
      <c r="B218" s="10" t="s">
        <v>143</v>
      </c>
      <c r="C218" s="11">
        <v>0</v>
      </c>
      <c r="D218" s="11">
        <v>47859.581200000001</v>
      </c>
      <c r="E218" s="11">
        <v>0</v>
      </c>
      <c r="F218" s="13">
        <v>0</v>
      </c>
      <c r="G218" s="13">
        <v>0</v>
      </c>
      <c r="H218" s="14">
        <f t="shared" si="6"/>
        <v>47859.581200000001</v>
      </c>
      <c r="I218" s="14">
        <f t="shared" si="7"/>
        <v>47859.581200000001</v>
      </c>
      <c r="J218" s="598" t="s">
        <v>138</v>
      </c>
      <c r="K218" s="302" t="s">
        <v>509</v>
      </c>
    </row>
    <row r="219" spans="1:11" x14ac:dyDescent="0.2">
      <c r="A219" s="10">
        <v>60110350</v>
      </c>
      <c r="B219" s="10" t="s">
        <v>261</v>
      </c>
      <c r="C219" s="11">
        <v>0</v>
      </c>
      <c r="D219" s="11">
        <v>5382.0619999999999</v>
      </c>
      <c r="E219" s="11">
        <v>0</v>
      </c>
      <c r="F219" s="13">
        <v>0</v>
      </c>
      <c r="G219" s="13">
        <v>0</v>
      </c>
      <c r="H219" s="14">
        <f t="shared" si="6"/>
        <v>5382.0619999999999</v>
      </c>
      <c r="I219" s="14">
        <f t="shared" si="7"/>
        <v>5382.0619999999999</v>
      </c>
      <c r="J219" s="598" t="s">
        <v>138</v>
      </c>
      <c r="K219" s="302" t="s">
        <v>509</v>
      </c>
    </row>
    <row r="220" spans="1:11" x14ac:dyDescent="0.2">
      <c r="A220" s="10">
        <v>60110400</v>
      </c>
      <c r="B220" s="10" t="s">
        <v>7392</v>
      </c>
      <c r="C220" s="11">
        <v>0</v>
      </c>
      <c r="D220" s="11">
        <v>1573.3438000000001</v>
      </c>
      <c r="E220" s="11">
        <v>0</v>
      </c>
      <c r="F220" s="13">
        <v>0</v>
      </c>
      <c r="G220" s="13">
        <v>0</v>
      </c>
      <c r="H220" s="14">
        <f t="shared" si="6"/>
        <v>1573.3438000000001</v>
      </c>
      <c r="I220" s="14">
        <f t="shared" si="7"/>
        <v>1573.3438000000001</v>
      </c>
      <c r="J220" s="598" t="s">
        <v>138</v>
      </c>
      <c r="K220" s="302" t="s">
        <v>509</v>
      </c>
    </row>
    <row r="221" spans="1:11" x14ac:dyDescent="0.2">
      <c r="A221" s="10">
        <v>60110500</v>
      </c>
      <c r="B221" s="10" t="s">
        <v>144</v>
      </c>
      <c r="C221" s="11">
        <v>0</v>
      </c>
      <c r="D221" s="11">
        <v>18259.216</v>
      </c>
      <c r="E221" s="11">
        <v>0</v>
      </c>
      <c r="F221" s="13">
        <v>0</v>
      </c>
      <c r="G221" s="13">
        <v>0</v>
      </c>
      <c r="H221" s="14">
        <f t="shared" si="6"/>
        <v>18259.216</v>
      </c>
      <c r="I221" s="14">
        <f t="shared" si="7"/>
        <v>18259.216</v>
      </c>
      <c r="J221" s="598" t="s">
        <v>138</v>
      </c>
      <c r="K221" s="302" t="s">
        <v>509</v>
      </c>
    </row>
    <row r="222" spans="1:11" x14ac:dyDescent="0.2">
      <c r="A222" s="10">
        <v>60110600</v>
      </c>
      <c r="B222" s="10" t="s">
        <v>145</v>
      </c>
      <c r="C222" s="11">
        <v>0</v>
      </c>
      <c r="D222" s="11">
        <v>29179.371000000003</v>
      </c>
      <c r="E222" s="11">
        <v>0</v>
      </c>
      <c r="F222" s="13">
        <v>0</v>
      </c>
      <c r="G222" s="13">
        <v>0</v>
      </c>
      <c r="H222" s="14">
        <f t="shared" si="6"/>
        <v>29179.371000000003</v>
      </c>
      <c r="I222" s="14">
        <f t="shared" si="7"/>
        <v>29179.371000000003</v>
      </c>
      <c r="J222" s="598" t="s">
        <v>138</v>
      </c>
      <c r="K222" s="302" t="s">
        <v>509</v>
      </c>
    </row>
    <row r="223" spans="1:11" x14ac:dyDescent="0.2">
      <c r="A223" s="10">
        <v>60110700</v>
      </c>
      <c r="B223" s="10" t="s">
        <v>146</v>
      </c>
      <c r="C223" s="11">
        <v>0</v>
      </c>
      <c r="D223" s="11">
        <v>13450.472</v>
      </c>
      <c r="E223" s="11">
        <v>0</v>
      </c>
      <c r="F223" s="13">
        <v>0</v>
      </c>
      <c r="G223" s="13">
        <v>0</v>
      </c>
      <c r="H223" s="14">
        <f t="shared" si="6"/>
        <v>13450.472</v>
      </c>
      <c r="I223" s="14">
        <f t="shared" si="7"/>
        <v>13450.472</v>
      </c>
      <c r="J223" s="598" t="s">
        <v>138</v>
      </c>
      <c r="K223" s="302" t="s">
        <v>509</v>
      </c>
    </row>
    <row r="224" spans="1:11" x14ac:dyDescent="0.2">
      <c r="A224" s="10">
        <v>60110800</v>
      </c>
      <c r="B224" s="10" t="s">
        <v>9691</v>
      </c>
      <c r="C224" s="11">
        <v>0</v>
      </c>
      <c r="D224" s="11">
        <v>2608.1999999999998</v>
      </c>
      <c r="E224" s="11">
        <v>2608.1999999999998</v>
      </c>
      <c r="F224" s="13">
        <v>0</v>
      </c>
      <c r="G224" s="13">
        <v>0</v>
      </c>
      <c r="H224" s="14">
        <f t="shared" si="6"/>
        <v>0</v>
      </c>
      <c r="I224" s="14">
        <f t="shared" si="7"/>
        <v>0</v>
      </c>
      <c r="J224" s="598"/>
      <c r="K224" s="302" t="s">
        <v>509</v>
      </c>
    </row>
    <row r="225" spans="1:11" x14ac:dyDescent="0.2">
      <c r="A225" s="10">
        <v>60110900</v>
      </c>
      <c r="B225" s="10" t="s">
        <v>147</v>
      </c>
      <c r="C225" s="11">
        <v>0</v>
      </c>
      <c r="D225" s="11">
        <v>420102.47100000002</v>
      </c>
      <c r="E225" s="11">
        <v>6831.4509999999991</v>
      </c>
      <c r="F225" s="13">
        <v>51486.059000000001</v>
      </c>
      <c r="G225" s="13">
        <v>51486.059000000001</v>
      </c>
      <c r="H225" s="14">
        <f t="shared" si="6"/>
        <v>413271.02</v>
      </c>
      <c r="I225" s="14">
        <f t="shared" si="7"/>
        <v>413271.02</v>
      </c>
      <c r="J225" s="598" t="s">
        <v>138</v>
      </c>
      <c r="K225" s="302" t="s">
        <v>509</v>
      </c>
    </row>
    <row r="226" spans="1:11" x14ac:dyDescent="0.2">
      <c r="A226" s="10">
        <v>60111000</v>
      </c>
      <c r="B226" s="10" t="s">
        <v>148</v>
      </c>
      <c r="C226" s="11">
        <v>0</v>
      </c>
      <c r="D226" s="11">
        <v>22440.747000000003</v>
      </c>
      <c r="E226" s="11">
        <v>0</v>
      </c>
      <c r="F226" s="13">
        <v>0</v>
      </c>
      <c r="G226" s="13">
        <v>0</v>
      </c>
      <c r="H226" s="14">
        <f t="shared" si="6"/>
        <v>22440.747000000003</v>
      </c>
      <c r="I226" s="14">
        <f t="shared" si="7"/>
        <v>22440.747000000003</v>
      </c>
      <c r="J226" s="598" t="s">
        <v>138</v>
      </c>
      <c r="K226" s="302" t="s">
        <v>509</v>
      </c>
    </row>
    <row r="227" spans="1:11" x14ac:dyDescent="0.2">
      <c r="A227" s="10">
        <v>60111010</v>
      </c>
      <c r="B227" s="10" t="s">
        <v>393</v>
      </c>
      <c r="C227" s="11">
        <v>0</v>
      </c>
      <c r="D227" s="11">
        <v>2242.1999999999998</v>
      </c>
      <c r="E227" s="11">
        <v>0</v>
      </c>
      <c r="F227" s="13">
        <v>0</v>
      </c>
      <c r="G227" s="13">
        <v>0</v>
      </c>
      <c r="H227" s="14">
        <f t="shared" si="6"/>
        <v>2242.1999999999998</v>
      </c>
      <c r="I227" s="14">
        <f t="shared" si="7"/>
        <v>2242.1999999999998</v>
      </c>
      <c r="J227" s="598" t="s">
        <v>138</v>
      </c>
      <c r="K227" s="302" t="s">
        <v>509</v>
      </c>
    </row>
    <row r="228" spans="1:11" x14ac:dyDescent="0.2">
      <c r="A228" s="10">
        <v>60120100</v>
      </c>
      <c r="B228" s="10" t="s">
        <v>149</v>
      </c>
      <c r="C228" s="11">
        <v>0</v>
      </c>
      <c r="D228" s="11">
        <v>1571153.47009</v>
      </c>
      <c r="E228" s="11">
        <v>18937.5</v>
      </c>
      <c r="F228" s="13">
        <v>0</v>
      </c>
      <c r="G228" s="13">
        <v>0</v>
      </c>
      <c r="H228" s="14">
        <f t="shared" si="6"/>
        <v>1552215.97009</v>
      </c>
      <c r="I228" s="14">
        <f t="shared" si="7"/>
        <v>1552215.97009</v>
      </c>
      <c r="J228" s="598" t="s">
        <v>138</v>
      </c>
      <c r="K228" s="302" t="s">
        <v>509</v>
      </c>
    </row>
    <row r="229" spans="1:11" x14ac:dyDescent="0.2">
      <c r="A229" s="10">
        <v>60120300</v>
      </c>
      <c r="B229" s="10" t="s">
        <v>150</v>
      </c>
      <c r="C229" s="11">
        <v>0</v>
      </c>
      <c r="D229" s="11">
        <v>10020897.24</v>
      </c>
      <c r="E229" s="11">
        <v>260672.4</v>
      </c>
      <c r="F229" s="13">
        <v>1583834.75</v>
      </c>
      <c r="G229" s="13">
        <v>1375822.85</v>
      </c>
      <c r="H229" s="14">
        <f t="shared" si="6"/>
        <v>9968236.7400000002</v>
      </c>
      <c r="I229" s="14">
        <f t="shared" si="7"/>
        <v>9968236.7400000002</v>
      </c>
      <c r="J229" s="598" t="s">
        <v>138</v>
      </c>
      <c r="K229" s="302" t="s">
        <v>509</v>
      </c>
    </row>
    <row r="230" spans="1:11" x14ac:dyDescent="0.2">
      <c r="A230" s="10">
        <v>60120400</v>
      </c>
      <c r="B230" s="10" t="s">
        <v>365</v>
      </c>
      <c r="C230" s="11">
        <v>0</v>
      </c>
      <c r="D230" s="11">
        <v>1386846.01</v>
      </c>
      <c r="E230" s="11">
        <v>112013.1</v>
      </c>
      <c r="F230" s="13">
        <v>58664.6</v>
      </c>
      <c r="G230" s="13">
        <v>58664.6</v>
      </c>
      <c r="H230" s="14">
        <f t="shared" si="6"/>
        <v>1274832.9099999999</v>
      </c>
      <c r="I230" s="14">
        <f t="shared" si="7"/>
        <v>1274832.9099999999</v>
      </c>
      <c r="J230" s="598" t="s">
        <v>138</v>
      </c>
      <c r="K230" s="302" t="s">
        <v>509</v>
      </c>
    </row>
    <row r="231" spans="1:11" x14ac:dyDescent="0.2">
      <c r="A231" s="10">
        <v>60120800</v>
      </c>
      <c r="B231" s="10" t="s">
        <v>151</v>
      </c>
      <c r="C231" s="11">
        <v>0</v>
      </c>
      <c r="D231" s="11">
        <v>1300006</v>
      </c>
      <c r="E231" s="11">
        <v>0</v>
      </c>
      <c r="F231" s="13">
        <v>0</v>
      </c>
      <c r="G231" s="13">
        <v>0</v>
      </c>
      <c r="H231" s="14">
        <f t="shared" si="6"/>
        <v>1300006</v>
      </c>
      <c r="I231" s="14">
        <f t="shared" si="7"/>
        <v>1300006</v>
      </c>
      <c r="J231" s="598" t="s">
        <v>138</v>
      </c>
      <c r="K231" s="302" t="s">
        <v>509</v>
      </c>
    </row>
    <row r="232" spans="1:11" x14ac:dyDescent="0.2">
      <c r="A232" s="10">
        <v>60120900</v>
      </c>
      <c r="B232" s="10" t="s">
        <v>7393</v>
      </c>
      <c r="C232" s="11">
        <v>0</v>
      </c>
      <c r="D232" s="11">
        <v>94863.352245000002</v>
      </c>
      <c r="E232" s="11">
        <v>0</v>
      </c>
      <c r="F232" s="13">
        <v>0</v>
      </c>
      <c r="G232" s="13">
        <v>0</v>
      </c>
      <c r="H232" s="14">
        <f t="shared" si="6"/>
        <v>94863.352245000002</v>
      </c>
      <c r="I232" s="14">
        <f t="shared" si="7"/>
        <v>94863.352245000002</v>
      </c>
      <c r="J232" s="598" t="s">
        <v>138</v>
      </c>
      <c r="K232" s="302" t="s">
        <v>509</v>
      </c>
    </row>
    <row r="233" spans="1:11" x14ac:dyDescent="0.2">
      <c r="A233" s="10">
        <v>60121010</v>
      </c>
      <c r="B233" s="10" t="s">
        <v>152</v>
      </c>
      <c r="C233" s="11">
        <v>0</v>
      </c>
      <c r="D233" s="11">
        <v>5203270.9817665005</v>
      </c>
      <c r="E233" s="11">
        <v>326113.23258700001</v>
      </c>
      <c r="F233" s="13">
        <v>0</v>
      </c>
      <c r="G233" s="13">
        <v>0</v>
      </c>
      <c r="H233" s="14">
        <f t="shared" si="6"/>
        <v>4877157.7491795002</v>
      </c>
      <c r="I233" s="14">
        <f t="shared" si="7"/>
        <v>4877157.7491795002</v>
      </c>
      <c r="J233" s="598" t="s">
        <v>138</v>
      </c>
      <c r="K233" s="302" t="s">
        <v>509</v>
      </c>
    </row>
    <row r="234" spans="1:11" x14ac:dyDescent="0.2">
      <c r="A234" s="10">
        <v>60121031</v>
      </c>
      <c r="B234" s="10" t="s">
        <v>394</v>
      </c>
      <c r="C234" s="11">
        <v>0</v>
      </c>
      <c r="D234" s="11">
        <v>80289.789124999996</v>
      </c>
      <c r="E234" s="11">
        <v>0</v>
      </c>
      <c r="F234" s="13">
        <v>0</v>
      </c>
      <c r="G234" s="13">
        <v>0</v>
      </c>
      <c r="H234" s="14">
        <f t="shared" si="6"/>
        <v>80289.789124999996</v>
      </c>
      <c r="I234" s="14">
        <f t="shared" si="7"/>
        <v>80289.789124999996</v>
      </c>
      <c r="J234" s="598" t="s">
        <v>138</v>
      </c>
      <c r="K234" s="302" t="s">
        <v>509</v>
      </c>
    </row>
    <row r="235" spans="1:11" x14ac:dyDescent="0.2">
      <c r="A235" s="10">
        <v>60121032</v>
      </c>
      <c r="B235" s="10" t="s">
        <v>8973</v>
      </c>
      <c r="C235" s="11">
        <v>0</v>
      </c>
      <c r="D235" s="11">
        <v>9936.5</v>
      </c>
      <c r="E235" s="11">
        <v>0</v>
      </c>
      <c r="F235" s="13">
        <v>0</v>
      </c>
      <c r="G235" s="13">
        <v>0</v>
      </c>
      <c r="H235" s="14">
        <f t="shared" si="6"/>
        <v>9936.5</v>
      </c>
      <c r="I235" s="14">
        <f t="shared" si="7"/>
        <v>9936.5</v>
      </c>
      <c r="J235" s="598" t="s">
        <v>138</v>
      </c>
      <c r="K235" s="302" t="s">
        <v>509</v>
      </c>
    </row>
    <row r="236" spans="1:11" x14ac:dyDescent="0.2">
      <c r="A236" s="10">
        <v>60121033</v>
      </c>
      <c r="B236" s="10" t="s">
        <v>7718</v>
      </c>
      <c r="C236" s="11">
        <v>0</v>
      </c>
      <c r="D236" s="11">
        <v>17519.478149999999</v>
      </c>
      <c r="E236" s="11">
        <v>0</v>
      </c>
      <c r="F236" s="13">
        <v>0</v>
      </c>
      <c r="G236" s="13">
        <v>0</v>
      </c>
      <c r="H236" s="14">
        <f t="shared" si="6"/>
        <v>17519.478149999999</v>
      </c>
      <c r="I236" s="14">
        <f t="shared" si="7"/>
        <v>17519.478149999999</v>
      </c>
      <c r="J236" s="598" t="s">
        <v>138</v>
      </c>
      <c r="K236" s="302" t="s">
        <v>509</v>
      </c>
    </row>
    <row r="237" spans="1:11" x14ac:dyDescent="0.2">
      <c r="A237" s="10">
        <v>60121035</v>
      </c>
      <c r="B237" s="10" t="s">
        <v>395</v>
      </c>
      <c r="C237" s="11">
        <v>0</v>
      </c>
      <c r="D237" s="11">
        <v>1384.326</v>
      </c>
      <c r="E237" s="11">
        <v>0</v>
      </c>
      <c r="F237" s="13">
        <v>0</v>
      </c>
      <c r="G237" s="13">
        <v>0</v>
      </c>
      <c r="H237" s="14">
        <f t="shared" si="6"/>
        <v>1384.326</v>
      </c>
      <c r="I237" s="14">
        <f t="shared" si="7"/>
        <v>1384.326</v>
      </c>
      <c r="J237" s="598" t="s">
        <v>138</v>
      </c>
      <c r="K237" s="302" t="s">
        <v>509</v>
      </c>
    </row>
    <row r="238" spans="1:11" x14ac:dyDescent="0.2">
      <c r="A238" s="10">
        <v>60121036</v>
      </c>
      <c r="B238" s="10" t="s">
        <v>7394</v>
      </c>
      <c r="C238" s="11">
        <v>0</v>
      </c>
      <c r="D238" s="11">
        <v>976.17600000000004</v>
      </c>
      <c r="E238" s="11">
        <v>0</v>
      </c>
      <c r="F238" s="13">
        <v>0</v>
      </c>
      <c r="G238" s="13">
        <v>0</v>
      </c>
      <c r="H238" s="14">
        <f t="shared" si="6"/>
        <v>976.17600000000004</v>
      </c>
      <c r="I238" s="14">
        <f t="shared" si="7"/>
        <v>976.17600000000004</v>
      </c>
      <c r="J238" s="598" t="s">
        <v>138</v>
      </c>
      <c r="K238" s="302" t="s">
        <v>509</v>
      </c>
    </row>
    <row r="239" spans="1:11" x14ac:dyDescent="0.2">
      <c r="A239" s="10">
        <v>60121040</v>
      </c>
      <c r="B239" s="10" t="s">
        <v>7720</v>
      </c>
      <c r="C239" s="11">
        <v>0</v>
      </c>
      <c r="D239" s="11">
        <v>168116.4</v>
      </c>
      <c r="E239" s="11">
        <v>0</v>
      </c>
      <c r="F239" s="13">
        <v>147239.20000000001</v>
      </c>
      <c r="G239" s="13">
        <v>147239.20000000001</v>
      </c>
      <c r="H239" s="14">
        <f t="shared" si="6"/>
        <v>168116.39999999997</v>
      </c>
      <c r="I239" s="14">
        <f t="shared" si="7"/>
        <v>168116.39999999997</v>
      </c>
      <c r="J239" s="598" t="s">
        <v>138</v>
      </c>
      <c r="K239" s="302" t="s">
        <v>509</v>
      </c>
    </row>
    <row r="240" spans="1:11" x14ac:dyDescent="0.2">
      <c r="A240" s="10">
        <v>60121200</v>
      </c>
      <c r="B240" s="10" t="s">
        <v>7395</v>
      </c>
      <c r="C240" s="11">
        <v>0</v>
      </c>
      <c r="D240" s="11">
        <v>1435</v>
      </c>
      <c r="E240" s="11">
        <v>0</v>
      </c>
      <c r="F240" s="13">
        <v>0</v>
      </c>
      <c r="G240" s="13">
        <v>0</v>
      </c>
      <c r="H240" s="14">
        <f t="shared" si="6"/>
        <v>1435</v>
      </c>
      <c r="I240" s="14">
        <f t="shared" si="7"/>
        <v>1435</v>
      </c>
      <c r="J240" s="598" t="s">
        <v>138</v>
      </c>
      <c r="K240" s="302" t="s">
        <v>509</v>
      </c>
    </row>
    <row r="241" spans="1:11" x14ac:dyDescent="0.2">
      <c r="A241" s="10">
        <v>60121210</v>
      </c>
      <c r="B241" s="10" t="s">
        <v>7400</v>
      </c>
      <c r="C241" s="11">
        <v>0</v>
      </c>
      <c r="D241" s="11">
        <v>65626.954710499995</v>
      </c>
      <c r="E241" s="11">
        <v>0</v>
      </c>
      <c r="F241" s="13">
        <v>0</v>
      </c>
      <c r="G241" s="13">
        <v>0</v>
      </c>
      <c r="H241" s="14">
        <f t="shared" si="6"/>
        <v>65626.954710499995</v>
      </c>
      <c r="I241" s="14">
        <f t="shared" si="7"/>
        <v>65626.954710499995</v>
      </c>
      <c r="J241" s="598" t="s">
        <v>138</v>
      </c>
      <c r="K241" s="302" t="s">
        <v>509</v>
      </c>
    </row>
    <row r="242" spans="1:11" x14ac:dyDescent="0.2">
      <c r="A242" s="10">
        <v>60121400</v>
      </c>
      <c r="B242" s="10" t="s">
        <v>7570</v>
      </c>
      <c r="C242" s="11">
        <v>0</v>
      </c>
      <c r="D242" s="11">
        <v>38966.400000000001</v>
      </c>
      <c r="E242" s="11">
        <v>0</v>
      </c>
      <c r="F242" s="13">
        <v>0</v>
      </c>
      <c r="G242" s="13">
        <v>0</v>
      </c>
      <c r="H242" s="14">
        <f t="shared" si="6"/>
        <v>38966.400000000001</v>
      </c>
      <c r="I242" s="14">
        <f t="shared" si="7"/>
        <v>38966.400000000001</v>
      </c>
      <c r="J242" s="598" t="s">
        <v>138</v>
      </c>
      <c r="K242" s="302" t="s">
        <v>509</v>
      </c>
    </row>
    <row r="243" spans="1:11" x14ac:dyDescent="0.2">
      <c r="A243" s="10">
        <v>60121500</v>
      </c>
      <c r="B243" s="10" t="s">
        <v>404</v>
      </c>
      <c r="C243" s="11">
        <v>0</v>
      </c>
      <c r="D243" s="11">
        <v>115072.5</v>
      </c>
      <c r="E243" s="11">
        <v>0</v>
      </c>
      <c r="F243" s="13">
        <v>0</v>
      </c>
      <c r="G243" s="13">
        <v>0</v>
      </c>
      <c r="H243" s="14">
        <f t="shared" si="6"/>
        <v>115072.5</v>
      </c>
      <c r="I243" s="14">
        <f t="shared" si="7"/>
        <v>115072.5</v>
      </c>
      <c r="J243" s="598" t="s">
        <v>138</v>
      </c>
      <c r="K243" s="302" t="s">
        <v>509</v>
      </c>
    </row>
    <row r="244" spans="1:11" x14ac:dyDescent="0.2">
      <c r="A244" s="10">
        <v>60121600</v>
      </c>
      <c r="B244" s="10" t="s">
        <v>154</v>
      </c>
      <c r="C244" s="11">
        <v>0</v>
      </c>
      <c r="D244" s="11">
        <v>593245.19999999995</v>
      </c>
      <c r="E244" s="11">
        <v>0</v>
      </c>
      <c r="F244" s="13">
        <v>0</v>
      </c>
      <c r="G244" s="13">
        <v>0</v>
      </c>
      <c r="H244" s="14">
        <f t="shared" si="6"/>
        <v>593245.19999999995</v>
      </c>
      <c r="I244" s="14">
        <f t="shared" si="7"/>
        <v>593245.19999999995</v>
      </c>
      <c r="J244" s="598" t="s">
        <v>138</v>
      </c>
      <c r="K244" s="302" t="s">
        <v>509</v>
      </c>
    </row>
    <row r="245" spans="1:11" x14ac:dyDescent="0.2">
      <c r="A245" s="10">
        <v>60121900</v>
      </c>
      <c r="B245" s="10" t="s">
        <v>7568</v>
      </c>
      <c r="C245" s="11">
        <v>0</v>
      </c>
      <c r="D245" s="11">
        <v>120094</v>
      </c>
      <c r="E245" s="11">
        <v>0</v>
      </c>
      <c r="F245" s="13">
        <v>35000.839999999997</v>
      </c>
      <c r="G245" s="13">
        <v>35000.839999999997</v>
      </c>
      <c r="H245" s="14">
        <f t="shared" si="6"/>
        <v>120094</v>
      </c>
      <c r="I245" s="14">
        <f t="shared" si="7"/>
        <v>120094</v>
      </c>
      <c r="J245" s="598" t="s">
        <v>138</v>
      </c>
      <c r="K245" s="302" t="s">
        <v>509</v>
      </c>
    </row>
    <row r="246" spans="1:11" x14ac:dyDescent="0.2">
      <c r="A246" s="10">
        <v>60122100</v>
      </c>
      <c r="B246" s="10" t="s">
        <v>155</v>
      </c>
      <c r="C246" s="11">
        <v>0</v>
      </c>
      <c r="D246" s="11">
        <v>256375</v>
      </c>
      <c r="E246" s="11">
        <v>69625.8</v>
      </c>
      <c r="F246" s="13">
        <v>54410</v>
      </c>
      <c r="G246" s="13">
        <v>54410</v>
      </c>
      <c r="H246" s="14">
        <f t="shared" si="6"/>
        <v>186749.2</v>
      </c>
      <c r="I246" s="14">
        <f t="shared" si="7"/>
        <v>186749.2</v>
      </c>
      <c r="J246" s="598" t="s">
        <v>138</v>
      </c>
      <c r="K246" s="302" t="s">
        <v>509</v>
      </c>
    </row>
    <row r="247" spans="1:11" x14ac:dyDescent="0.2">
      <c r="A247" s="10">
        <v>60122200</v>
      </c>
      <c r="B247" s="10" t="s">
        <v>156</v>
      </c>
      <c r="C247" s="11">
        <v>0</v>
      </c>
      <c r="D247" s="11">
        <v>86582.706999999995</v>
      </c>
      <c r="E247" s="11">
        <v>0</v>
      </c>
      <c r="F247" s="13">
        <v>21995.4</v>
      </c>
      <c r="G247" s="13">
        <v>21995.4</v>
      </c>
      <c r="H247" s="14">
        <f t="shared" si="6"/>
        <v>86582.706999999995</v>
      </c>
      <c r="I247" s="14">
        <f t="shared" si="7"/>
        <v>86582.706999999995</v>
      </c>
      <c r="J247" s="598" t="s">
        <v>138</v>
      </c>
      <c r="K247" s="302" t="s">
        <v>509</v>
      </c>
    </row>
    <row r="248" spans="1:11" x14ac:dyDescent="0.2">
      <c r="A248" s="10">
        <v>60122400</v>
      </c>
      <c r="B248" s="10" t="s">
        <v>7396</v>
      </c>
      <c r="C248" s="11">
        <v>0</v>
      </c>
      <c r="D248" s="11">
        <v>28848.672000000002</v>
      </c>
      <c r="E248" s="11">
        <v>0</v>
      </c>
      <c r="F248" s="13">
        <v>0</v>
      </c>
      <c r="G248" s="13">
        <v>0</v>
      </c>
      <c r="H248" s="14">
        <f t="shared" si="6"/>
        <v>28848.672000000002</v>
      </c>
      <c r="I248" s="14">
        <f t="shared" si="7"/>
        <v>28848.672000000002</v>
      </c>
      <c r="J248" s="598" t="s">
        <v>138</v>
      </c>
      <c r="K248" s="302" t="s">
        <v>509</v>
      </c>
    </row>
    <row r="249" spans="1:11" x14ac:dyDescent="0.2">
      <c r="A249" s="10">
        <v>60122410</v>
      </c>
      <c r="B249" s="10" t="s">
        <v>366</v>
      </c>
      <c r="C249" s="11">
        <v>0</v>
      </c>
      <c r="D249" s="11">
        <v>7350</v>
      </c>
      <c r="E249" s="11">
        <v>0</v>
      </c>
      <c r="F249" s="13">
        <v>0</v>
      </c>
      <c r="G249" s="13">
        <v>0</v>
      </c>
      <c r="H249" s="14">
        <f t="shared" si="6"/>
        <v>7350</v>
      </c>
      <c r="I249" s="14">
        <f t="shared" si="7"/>
        <v>7350</v>
      </c>
      <c r="J249" s="598" t="s">
        <v>138</v>
      </c>
      <c r="K249" s="302" t="s">
        <v>509</v>
      </c>
    </row>
    <row r="250" spans="1:11" x14ac:dyDescent="0.2">
      <c r="A250" s="10">
        <v>60122411</v>
      </c>
      <c r="B250" s="10" t="s">
        <v>367</v>
      </c>
      <c r="C250" s="11">
        <v>0</v>
      </c>
      <c r="D250" s="11">
        <v>51331.1</v>
      </c>
      <c r="E250" s="11">
        <v>0</v>
      </c>
      <c r="F250" s="13">
        <v>2325.5</v>
      </c>
      <c r="G250" s="13">
        <v>2325.5</v>
      </c>
      <c r="H250" s="14">
        <f t="shared" si="6"/>
        <v>51331.1</v>
      </c>
      <c r="I250" s="14">
        <f t="shared" si="7"/>
        <v>51331.1</v>
      </c>
      <c r="J250" s="598" t="s">
        <v>138</v>
      </c>
      <c r="K250" s="302" t="s">
        <v>509</v>
      </c>
    </row>
    <row r="251" spans="1:11" x14ac:dyDescent="0.2">
      <c r="A251" s="10">
        <v>60122510</v>
      </c>
      <c r="B251" s="10" t="s">
        <v>368</v>
      </c>
      <c r="C251" s="11">
        <v>0</v>
      </c>
      <c r="D251" s="11">
        <v>36195.072</v>
      </c>
      <c r="E251" s="11">
        <v>0</v>
      </c>
      <c r="F251" s="13">
        <v>0</v>
      </c>
      <c r="G251" s="13">
        <v>0</v>
      </c>
      <c r="H251" s="14">
        <f t="shared" si="6"/>
        <v>36195.072</v>
      </c>
      <c r="I251" s="14">
        <f t="shared" si="7"/>
        <v>36195.072</v>
      </c>
      <c r="J251" s="598" t="s">
        <v>138</v>
      </c>
      <c r="K251" s="302" t="s">
        <v>509</v>
      </c>
    </row>
    <row r="252" spans="1:11" x14ac:dyDescent="0.2">
      <c r="A252" s="10">
        <v>60122520</v>
      </c>
      <c r="B252" s="10" t="s">
        <v>396</v>
      </c>
      <c r="C252" s="11">
        <v>0</v>
      </c>
      <c r="D252" s="11">
        <v>6993.9519999999993</v>
      </c>
      <c r="E252" s="11">
        <v>0</v>
      </c>
      <c r="F252" s="13">
        <v>0</v>
      </c>
      <c r="G252" s="13">
        <v>0</v>
      </c>
      <c r="H252" s="14">
        <f t="shared" si="6"/>
        <v>6993.9519999999993</v>
      </c>
      <c r="I252" s="14">
        <f t="shared" si="7"/>
        <v>6993.9519999999993</v>
      </c>
      <c r="J252" s="598" t="s">
        <v>138</v>
      </c>
      <c r="K252" s="302" t="s">
        <v>509</v>
      </c>
    </row>
    <row r="253" spans="1:11" x14ac:dyDescent="0.2">
      <c r="A253" s="10">
        <v>60122600</v>
      </c>
      <c r="B253" s="10" t="s">
        <v>9648</v>
      </c>
      <c r="C253" s="11">
        <v>0</v>
      </c>
      <c r="D253" s="11">
        <v>552.5</v>
      </c>
      <c r="E253" s="11">
        <v>0</v>
      </c>
      <c r="F253" s="13">
        <v>0</v>
      </c>
      <c r="G253" s="13">
        <v>0</v>
      </c>
      <c r="H253" s="14">
        <f t="shared" si="6"/>
        <v>552.5</v>
      </c>
      <c r="I253" s="14">
        <f t="shared" si="7"/>
        <v>552.5</v>
      </c>
      <c r="J253" s="598" t="s">
        <v>138</v>
      </c>
      <c r="K253" s="302" t="s">
        <v>509</v>
      </c>
    </row>
    <row r="254" spans="1:11" x14ac:dyDescent="0.2">
      <c r="A254" s="10">
        <v>60122700</v>
      </c>
      <c r="B254" s="10" t="s">
        <v>7567</v>
      </c>
      <c r="C254" s="11">
        <v>0</v>
      </c>
      <c r="D254" s="11">
        <v>7010.9359999999997</v>
      </c>
      <c r="E254" s="11">
        <v>0</v>
      </c>
      <c r="F254" s="13">
        <v>0</v>
      </c>
      <c r="G254" s="13">
        <v>0</v>
      </c>
      <c r="H254" s="14">
        <f t="shared" si="6"/>
        <v>7010.9359999999997</v>
      </c>
      <c r="I254" s="14">
        <f t="shared" si="7"/>
        <v>7010.9359999999997</v>
      </c>
      <c r="J254" s="598" t="s">
        <v>138</v>
      </c>
      <c r="K254" s="302" t="s">
        <v>509</v>
      </c>
    </row>
    <row r="255" spans="1:11" x14ac:dyDescent="0.2">
      <c r="A255" s="10">
        <v>60171000</v>
      </c>
      <c r="B255" s="10" t="s">
        <v>369</v>
      </c>
      <c r="C255" s="11">
        <v>0</v>
      </c>
      <c r="D255" s="11">
        <v>672590.44700000004</v>
      </c>
      <c r="E255" s="11">
        <v>221.779</v>
      </c>
      <c r="F255" s="13">
        <v>0</v>
      </c>
      <c r="G255" s="13">
        <v>0</v>
      </c>
      <c r="H255" s="14">
        <f t="shared" si="6"/>
        <v>672368.66800000006</v>
      </c>
      <c r="I255" s="14">
        <f t="shared" si="7"/>
        <v>672368.66800000006</v>
      </c>
      <c r="J255" s="598" t="s">
        <v>138</v>
      </c>
      <c r="K255" s="302" t="s">
        <v>509</v>
      </c>
    </row>
    <row r="256" spans="1:11" x14ac:dyDescent="0.2">
      <c r="A256" s="10">
        <v>60172000</v>
      </c>
      <c r="B256" s="10" t="s">
        <v>169</v>
      </c>
      <c r="C256" s="11">
        <v>0</v>
      </c>
      <c r="D256" s="11">
        <v>1260192.9709999999</v>
      </c>
      <c r="E256" s="11">
        <v>111375.30699999999</v>
      </c>
      <c r="F256" s="13">
        <v>0</v>
      </c>
      <c r="G256" s="13">
        <v>0</v>
      </c>
      <c r="H256" s="14">
        <f t="shared" si="6"/>
        <v>1148817.6639999999</v>
      </c>
      <c r="I256" s="14">
        <f t="shared" si="7"/>
        <v>1148817.6639999999</v>
      </c>
      <c r="J256" s="598" t="s">
        <v>138</v>
      </c>
      <c r="K256" s="302" t="s">
        <v>509</v>
      </c>
    </row>
    <row r="257" spans="1:11" x14ac:dyDescent="0.2">
      <c r="A257" s="10">
        <v>60173000</v>
      </c>
      <c r="B257" s="10" t="s">
        <v>170</v>
      </c>
      <c r="C257" s="11">
        <v>0</v>
      </c>
      <c r="D257" s="11">
        <v>138037.91</v>
      </c>
      <c r="E257" s="11">
        <v>38925.707999999999</v>
      </c>
      <c r="F257" s="13">
        <v>52289.423000000003</v>
      </c>
      <c r="G257" s="13">
        <v>44054.800999999999</v>
      </c>
      <c r="H257" s="14">
        <f t="shared" si="6"/>
        <v>107346.82399999999</v>
      </c>
      <c r="I257" s="14">
        <f t="shared" si="7"/>
        <v>107346.82399999999</v>
      </c>
      <c r="J257" s="598" t="s">
        <v>138</v>
      </c>
      <c r="K257" s="302" t="s">
        <v>509</v>
      </c>
    </row>
    <row r="258" spans="1:11" x14ac:dyDescent="0.2">
      <c r="A258" s="10">
        <v>60191000</v>
      </c>
      <c r="B258" s="10" t="s">
        <v>158</v>
      </c>
      <c r="C258" s="11">
        <v>0</v>
      </c>
      <c r="D258" s="11">
        <v>1443357.2443039999</v>
      </c>
      <c r="E258" s="11">
        <v>48742.320999999996</v>
      </c>
      <c r="F258" s="13">
        <v>0</v>
      </c>
      <c r="G258" s="13">
        <v>0</v>
      </c>
      <c r="H258" s="14">
        <f t="shared" si="6"/>
        <v>1394614.9233039999</v>
      </c>
      <c r="I258" s="14">
        <f t="shared" si="7"/>
        <v>1394614.9233039999</v>
      </c>
      <c r="J258" s="598" t="s">
        <v>138</v>
      </c>
      <c r="K258" s="302" t="s">
        <v>509</v>
      </c>
    </row>
    <row r="259" spans="1:11" x14ac:dyDescent="0.2">
      <c r="A259" s="10">
        <v>60215000</v>
      </c>
      <c r="B259" s="10" t="s">
        <v>370</v>
      </c>
      <c r="C259" s="11">
        <v>0</v>
      </c>
      <c r="D259" s="11">
        <v>24171.527000000002</v>
      </c>
      <c r="E259" s="11">
        <v>0</v>
      </c>
      <c r="F259" s="13">
        <v>0</v>
      </c>
      <c r="G259" s="13">
        <v>0</v>
      </c>
      <c r="H259" s="14">
        <f t="shared" si="6"/>
        <v>24171.527000000002</v>
      </c>
      <c r="I259" s="14">
        <f t="shared" si="7"/>
        <v>24171.527000000002</v>
      </c>
      <c r="J259" s="598" t="s">
        <v>138</v>
      </c>
      <c r="K259" s="302" t="s">
        <v>509</v>
      </c>
    </row>
    <row r="260" spans="1:11" x14ac:dyDescent="0.2">
      <c r="A260" s="10">
        <v>60216000</v>
      </c>
      <c r="B260" s="10" t="s">
        <v>371</v>
      </c>
      <c r="C260" s="11">
        <v>0</v>
      </c>
      <c r="D260" s="11">
        <v>744924.70609800017</v>
      </c>
      <c r="E260" s="11">
        <v>0</v>
      </c>
      <c r="F260" s="13">
        <v>0</v>
      </c>
      <c r="G260" s="13">
        <v>0</v>
      </c>
      <c r="H260" s="14">
        <f t="shared" ref="H260:H323" si="8">+D260+F260-E260-G260</f>
        <v>744924.70609800017</v>
      </c>
      <c r="I260" s="14">
        <f t="shared" ref="I260:I323" si="9">+H260+C260</f>
        <v>744924.70609800017</v>
      </c>
      <c r="J260" s="598" t="s">
        <v>138</v>
      </c>
      <c r="K260" s="302" t="s">
        <v>509</v>
      </c>
    </row>
    <row r="261" spans="1:11" x14ac:dyDescent="0.2">
      <c r="A261" s="10">
        <v>60260200</v>
      </c>
      <c r="B261" s="10" t="s">
        <v>372</v>
      </c>
      <c r="C261" s="11">
        <v>0</v>
      </c>
      <c r="D261" s="11">
        <v>209507.91499999998</v>
      </c>
      <c r="E261" s="11">
        <v>2249.748</v>
      </c>
      <c r="F261" s="13">
        <v>1224</v>
      </c>
      <c r="G261" s="13">
        <v>1224</v>
      </c>
      <c r="H261" s="14">
        <f t="shared" si="8"/>
        <v>207258.16699999999</v>
      </c>
      <c r="I261" s="14">
        <f t="shared" si="9"/>
        <v>207258.16699999999</v>
      </c>
      <c r="J261" s="598" t="s">
        <v>138</v>
      </c>
      <c r="K261" s="302" t="s">
        <v>509</v>
      </c>
    </row>
    <row r="262" spans="1:11" x14ac:dyDescent="0.2">
      <c r="A262" s="10">
        <v>60260300</v>
      </c>
      <c r="B262" s="10" t="s">
        <v>160</v>
      </c>
      <c r="C262" s="11">
        <v>0</v>
      </c>
      <c r="D262" s="11">
        <v>184971.18699999998</v>
      </c>
      <c r="E262" s="11">
        <v>183266.77299999999</v>
      </c>
      <c r="F262" s="13">
        <v>0</v>
      </c>
      <c r="G262" s="13">
        <v>0</v>
      </c>
      <c r="H262" s="14">
        <f t="shared" si="8"/>
        <v>1704.4139999999898</v>
      </c>
      <c r="I262" s="14">
        <f t="shared" si="9"/>
        <v>1704.4139999999898</v>
      </c>
      <c r="J262" s="598" t="s">
        <v>138</v>
      </c>
      <c r="K262" s="302" t="s">
        <v>509</v>
      </c>
    </row>
    <row r="263" spans="1:11" x14ac:dyDescent="0.2">
      <c r="A263" s="10">
        <v>60260400</v>
      </c>
      <c r="B263" s="10" t="s">
        <v>161</v>
      </c>
      <c r="C263" s="11">
        <v>0</v>
      </c>
      <c r="D263" s="11">
        <v>91797.894</v>
      </c>
      <c r="E263" s="11">
        <v>0</v>
      </c>
      <c r="F263" s="13">
        <v>5940</v>
      </c>
      <c r="G263" s="13">
        <v>5940</v>
      </c>
      <c r="H263" s="14">
        <f t="shared" si="8"/>
        <v>91797.894</v>
      </c>
      <c r="I263" s="14">
        <f t="shared" si="9"/>
        <v>91797.894</v>
      </c>
      <c r="J263" s="598" t="s">
        <v>138</v>
      </c>
      <c r="K263" s="302" t="s">
        <v>509</v>
      </c>
    </row>
    <row r="264" spans="1:11" x14ac:dyDescent="0.2">
      <c r="A264" s="10">
        <v>60260500</v>
      </c>
      <c r="B264" s="10" t="s">
        <v>162</v>
      </c>
      <c r="C264" s="11">
        <v>0</v>
      </c>
      <c r="D264" s="11">
        <v>66834.66</v>
      </c>
      <c r="E264" s="11">
        <v>10496.5</v>
      </c>
      <c r="F264" s="13">
        <v>0</v>
      </c>
      <c r="G264" s="13">
        <v>0</v>
      </c>
      <c r="H264" s="14">
        <f t="shared" si="8"/>
        <v>56338.16</v>
      </c>
      <c r="I264" s="14">
        <f t="shared" si="9"/>
        <v>56338.16</v>
      </c>
      <c r="J264" s="598" t="s">
        <v>138</v>
      </c>
      <c r="K264" s="302" t="s">
        <v>509</v>
      </c>
    </row>
    <row r="265" spans="1:11" x14ac:dyDescent="0.2">
      <c r="A265" s="10">
        <v>60260600</v>
      </c>
      <c r="B265" s="10" t="s">
        <v>7401</v>
      </c>
      <c r="C265" s="11">
        <v>0</v>
      </c>
      <c r="D265" s="11">
        <v>1171.6030000000001</v>
      </c>
      <c r="E265" s="11">
        <v>0</v>
      </c>
      <c r="F265" s="13">
        <v>0</v>
      </c>
      <c r="G265" s="13">
        <v>0</v>
      </c>
      <c r="H265" s="14">
        <f t="shared" si="8"/>
        <v>1171.6030000000001</v>
      </c>
      <c r="I265" s="14">
        <f t="shared" si="9"/>
        <v>1171.6030000000001</v>
      </c>
      <c r="J265" s="598" t="s">
        <v>138</v>
      </c>
      <c r="K265" s="302" t="s">
        <v>509</v>
      </c>
    </row>
    <row r="266" spans="1:11" x14ac:dyDescent="0.2">
      <c r="A266" s="10">
        <v>60260700</v>
      </c>
      <c r="B266" s="10" t="s">
        <v>163</v>
      </c>
      <c r="C266" s="11">
        <v>0</v>
      </c>
      <c r="D266" s="11">
        <v>120706.15</v>
      </c>
      <c r="E266" s="11">
        <v>0</v>
      </c>
      <c r="F266" s="13">
        <v>28290.9</v>
      </c>
      <c r="G266" s="13">
        <v>20449.099999999999</v>
      </c>
      <c r="H266" s="14">
        <f t="shared" si="8"/>
        <v>128547.94999999998</v>
      </c>
      <c r="I266" s="14">
        <f t="shared" si="9"/>
        <v>128547.94999999998</v>
      </c>
      <c r="J266" s="598" t="s">
        <v>138</v>
      </c>
      <c r="K266" s="302" t="s">
        <v>509</v>
      </c>
    </row>
    <row r="267" spans="1:11" x14ac:dyDescent="0.2">
      <c r="A267" s="10">
        <v>60262000</v>
      </c>
      <c r="B267" s="10" t="s">
        <v>164</v>
      </c>
      <c r="C267" s="11">
        <v>0</v>
      </c>
      <c r="D267" s="11">
        <v>235923.61297300001</v>
      </c>
      <c r="E267" s="11">
        <v>0</v>
      </c>
      <c r="F267" s="13">
        <v>16475</v>
      </c>
      <c r="G267" s="13">
        <v>16475</v>
      </c>
      <c r="H267" s="14">
        <f t="shared" si="8"/>
        <v>235923.61297300001</v>
      </c>
      <c r="I267" s="14">
        <f t="shared" si="9"/>
        <v>235923.61297300001</v>
      </c>
      <c r="J267" s="598" t="s">
        <v>138</v>
      </c>
      <c r="K267" s="302" t="s">
        <v>509</v>
      </c>
    </row>
    <row r="268" spans="1:11" x14ac:dyDescent="0.2">
      <c r="A268" s="10">
        <v>60263000</v>
      </c>
      <c r="B268" s="10" t="s">
        <v>165</v>
      </c>
      <c r="C268" s="11">
        <v>0</v>
      </c>
      <c r="D268" s="11">
        <v>50098.590000000004</v>
      </c>
      <c r="E268" s="11">
        <v>0</v>
      </c>
      <c r="F268" s="13">
        <v>526.06299999999999</v>
      </c>
      <c r="G268" s="13">
        <v>526.06299999999999</v>
      </c>
      <c r="H268" s="14">
        <f t="shared" si="8"/>
        <v>50098.590000000004</v>
      </c>
      <c r="I268" s="14">
        <f t="shared" si="9"/>
        <v>50098.590000000004</v>
      </c>
      <c r="J268" s="598" t="s">
        <v>138</v>
      </c>
      <c r="K268" s="302" t="s">
        <v>509</v>
      </c>
    </row>
    <row r="269" spans="1:11" x14ac:dyDescent="0.2">
      <c r="A269" s="10">
        <v>60310000</v>
      </c>
      <c r="B269" s="10" t="s">
        <v>265</v>
      </c>
      <c r="C269" s="11">
        <v>0</v>
      </c>
      <c r="D269" s="11">
        <v>10125104.671</v>
      </c>
      <c r="E269" s="11">
        <v>0</v>
      </c>
      <c r="F269" s="13">
        <v>94157005.011899993</v>
      </c>
      <c r="G269" s="13">
        <v>103739127.23989999</v>
      </c>
      <c r="H269" s="14">
        <f t="shared" si="8"/>
        <v>542982.4430000037</v>
      </c>
      <c r="I269" s="14">
        <f t="shared" si="9"/>
        <v>542982.4430000037</v>
      </c>
      <c r="J269" s="598" t="s">
        <v>138</v>
      </c>
      <c r="K269" s="302" t="s">
        <v>512</v>
      </c>
    </row>
    <row r="270" spans="1:11" x14ac:dyDescent="0.2">
      <c r="A270" s="10">
        <v>60330000</v>
      </c>
      <c r="B270" s="10" t="s">
        <v>266</v>
      </c>
      <c r="C270" s="11">
        <v>0</v>
      </c>
      <c r="D270" s="11">
        <v>583630.65099999995</v>
      </c>
      <c r="E270" s="11">
        <v>0</v>
      </c>
      <c r="F270" s="13">
        <v>6332584.8331000004</v>
      </c>
      <c r="G270" s="13">
        <v>7126706.3731000004</v>
      </c>
      <c r="H270" s="14">
        <f t="shared" si="8"/>
        <v>-210490.88900000043</v>
      </c>
      <c r="I270" s="14">
        <f t="shared" si="9"/>
        <v>-210490.88900000043</v>
      </c>
      <c r="J270" s="598" t="s">
        <v>157</v>
      </c>
      <c r="K270" s="302" t="s">
        <v>512</v>
      </c>
    </row>
    <row r="271" spans="1:11" x14ac:dyDescent="0.2">
      <c r="A271" s="10">
        <v>60401000</v>
      </c>
      <c r="B271" s="10" t="s">
        <v>9692</v>
      </c>
      <c r="C271" s="11">
        <v>0</v>
      </c>
      <c r="D271" s="11">
        <v>0</v>
      </c>
      <c r="E271" s="11">
        <v>0</v>
      </c>
      <c r="F271" s="13">
        <v>229166.666</v>
      </c>
      <c r="G271" s="13">
        <v>0</v>
      </c>
      <c r="H271" s="14">
        <f t="shared" si="8"/>
        <v>229166.666</v>
      </c>
      <c r="I271" s="14">
        <f t="shared" si="9"/>
        <v>229166.666</v>
      </c>
      <c r="J271" s="598" t="s">
        <v>157</v>
      </c>
      <c r="K271" s="302" t="s">
        <v>512</v>
      </c>
    </row>
    <row r="272" spans="1:11" x14ac:dyDescent="0.2">
      <c r="A272" s="10">
        <v>60502000</v>
      </c>
      <c r="B272" s="10" t="s">
        <v>167</v>
      </c>
      <c r="C272" s="11">
        <v>0</v>
      </c>
      <c r="D272" s="11">
        <v>834034.86326750019</v>
      </c>
      <c r="E272" s="11">
        <v>228637.23899999997</v>
      </c>
      <c r="F272" s="13">
        <v>367966.08990000002</v>
      </c>
      <c r="G272" s="13">
        <v>361924.7329</v>
      </c>
      <c r="H272" s="14">
        <f t="shared" si="8"/>
        <v>611438.9812675002</v>
      </c>
      <c r="I272" s="14">
        <f t="shared" si="9"/>
        <v>611438.9812675002</v>
      </c>
      <c r="J272" s="598" t="s">
        <v>157</v>
      </c>
      <c r="K272" s="302" t="s">
        <v>512</v>
      </c>
    </row>
    <row r="273" spans="1:11" x14ac:dyDescent="0.2">
      <c r="A273" s="10">
        <v>60504000</v>
      </c>
      <c r="B273" s="10" t="s">
        <v>168</v>
      </c>
      <c r="C273" s="11">
        <v>0</v>
      </c>
      <c r="D273" s="11">
        <v>5865.4819999999991</v>
      </c>
      <c r="E273" s="11">
        <v>0</v>
      </c>
      <c r="F273" s="13">
        <v>0</v>
      </c>
      <c r="G273" s="13">
        <v>0</v>
      </c>
      <c r="H273" s="14">
        <f t="shared" si="8"/>
        <v>5865.4819999999991</v>
      </c>
      <c r="I273" s="14">
        <f t="shared" si="9"/>
        <v>5865.4819999999991</v>
      </c>
      <c r="J273" s="598" t="s">
        <v>157</v>
      </c>
      <c r="K273" s="302" t="s">
        <v>512</v>
      </c>
    </row>
    <row r="274" spans="1:11" x14ac:dyDescent="0.2">
      <c r="A274" s="10">
        <v>60614000</v>
      </c>
      <c r="B274" s="10" t="s">
        <v>171</v>
      </c>
      <c r="C274" s="11">
        <v>0</v>
      </c>
      <c r="D274" s="11">
        <v>208928.09399999998</v>
      </c>
      <c r="E274" s="11">
        <v>12408.518999999998</v>
      </c>
      <c r="F274" s="13">
        <v>0</v>
      </c>
      <c r="G274" s="13">
        <v>0</v>
      </c>
      <c r="H274" s="14">
        <f t="shared" si="8"/>
        <v>196519.57499999998</v>
      </c>
      <c r="I274" s="14">
        <f t="shared" si="9"/>
        <v>196519.57499999998</v>
      </c>
      <c r="J274" s="598" t="s">
        <v>157</v>
      </c>
      <c r="K274" s="302" t="s">
        <v>512</v>
      </c>
    </row>
    <row r="275" spans="1:11" x14ac:dyDescent="0.2">
      <c r="A275" s="10">
        <v>60620000</v>
      </c>
      <c r="B275" s="10" t="s">
        <v>172</v>
      </c>
      <c r="C275" s="11">
        <v>0</v>
      </c>
      <c r="D275" s="11">
        <v>21876.028999999999</v>
      </c>
      <c r="E275" s="11">
        <v>0</v>
      </c>
      <c r="F275" s="13">
        <v>2415</v>
      </c>
      <c r="G275" s="13">
        <v>2415</v>
      </c>
      <c r="H275" s="14">
        <f t="shared" si="8"/>
        <v>21876.028999999999</v>
      </c>
      <c r="I275" s="14">
        <f t="shared" si="9"/>
        <v>21876.028999999999</v>
      </c>
      <c r="J275" s="598" t="s">
        <v>157</v>
      </c>
      <c r="K275" s="302" t="s">
        <v>512</v>
      </c>
    </row>
    <row r="276" spans="1:11" x14ac:dyDescent="0.2">
      <c r="A276" s="10">
        <v>60650000</v>
      </c>
      <c r="B276" s="10" t="s">
        <v>373</v>
      </c>
      <c r="C276" s="11">
        <v>0</v>
      </c>
      <c r="D276" s="11">
        <v>13350</v>
      </c>
      <c r="E276" s="11">
        <v>0</v>
      </c>
      <c r="F276" s="13">
        <v>1380</v>
      </c>
      <c r="G276" s="13">
        <v>1380</v>
      </c>
      <c r="H276" s="14">
        <f t="shared" si="8"/>
        <v>13350</v>
      </c>
      <c r="I276" s="14">
        <f t="shared" si="9"/>
        <v>13350</v>
      </c>
      <c r="J276" s="598" t="s">
        <v>138</v>
      </c>
      <c r="K276" s="302" t="s">
        <v>509</v>
      </c>
    </row>
    <row r="277" spans="1:11" x14ac:dyDescent="0.2">
      <c r="A277" s="10">
        <v>60660000</v>
      </c>
      <c r="B277" s="10" t="s">
        <v>173</v>
      </c>
      <c r="C277" s="11">
        <v>0</v>
      </c>
      <c r="D277" s="11">
        <v>28020.503999999997</v>
      </c>
      <c r="E277" s="11">
        <v>0</v>
      </c>
      <c r="F277" s="13">
        <v>490</v>
      </c>
      <c r="G277" s="13">
        <v>490</v>
      </c>
      <c r="H277" s="14">
        <f t="shared" si="8"/>
        <v>28020.503999999997</v>
      </c>
      <c r="I277" s="14">
        <f t="shared" si="9"/>
        <v>28020.503999999997</v>
      </c>
      <c r="J277" s="598" t="s">
        <v>157</v>
      </c>
      <c r="K277" s="302" t="s">
        <v>512</v>
      </c>
    </row>
    <row r="278" spans="1:11" x14ac:dyDescent="0.2">
      <c r="A278" s="10">
        <v>60670000</v>
      </c>
      <c r="B278" s="10" t="s">
        <v>174</v>
      </c>
      <c r="C278" s="11">
        <v>0</v>
      </c>
      <c r="D278" s="11">
        <v>13136.465</v>
      </c>
      <c r="E278" s="11">
        <v>0</v>
      </c>
      <c r="F278" s="13">
        <v>0</v>
      </c>
      <c r="G278" s="13">
        <v>0</v>
      </c>
      <c r="H278" s="14">
        <f t="shared" si="8"/>
        <v>13136.465</v>
      </c>
      <c r="I278" s="14">
        <f t="shared" si="9"/>
        <v>13136.465</v>
      </c>
      <c r="J278" s="598" t="s">
        <v>157</v>
      </c>
      <c r="K278" s="302" t="s">
        <v>512</v>
      </c>
    </row>
    <row r="279" spans="1:11" x14ac:dyDescent="0.2">
      <c r="A279" s="10">
        <v>60671000</v>
      </c>
      <c r="B279" s="10" t="s">
        <v>374</v>
      </c>
      <c r="C279" s="11">
        <v>0</v>
      </c>
      <c r="D279" s="11">
        <v>123177.94099999999</v>
      </c>
      <c r="E279" s="11">
        <v>0</v>
      </c>
      <c r="F279" s="13">
        <v>0</v>
      </c>
      <c r="G279" s="13">
        <v>0</v>
      </c>
      <c r="H279" s="14">
        <f t="shared" si="8"/>
        <v>123177.94099999999</v>
      </c>
      <c r="I279" s="14">
        <f t="shared" si="9"/>
        <v>123177.94099999999</v>
      </c>
      <c r="J279" s="598" t="s">
        <v>157</v>
      </c>
      <c r="K279" s="302" t="s">
        <v>512</v>
      </c>
    </row>
    <row r="280" spans="1:11" x14ac:dyDescent="0.2">
      <c r="A280" s="10">
        <v>60672000</v>
      </c>
      <c r="B280" s="10" t="s">
        <v>7569</v>
      </c>
      <c r="C280" s="11">
        <v>0</v>
      </c>
      <c r="D280" s="11">
        <v>7254.5</v>
      </c>
      <c r="E280" s="11">
        <v>0</v>
      </c>
      <c r="F280" s="13">
        <v>0</v>
      </c>
      <c r="G280" s="13">
        <v>0</v>
      </c>
      <c r="H280" s="14">
        <f t="shared" si="8"/>
        <v>7254.5</v>
      </c>
      <c r="I280" s="14">
        <f t="shared" si="9"/>
        <v>7254.5</v>
      </c>
      <c r="J280" s="598" t="s">
        <v>157</v>
      </c>
      <c r="K280" s="302" t="s">
        <v>512</v>
      </c>
    </row>
    <row r="281" spans="1:11" x14ac:dyDescent="0.2">
      <c r="A281" s="10">
        <v>60700000</v>
      </c>
      <c r="B281" s="10" t="s">
        <v>7719</v>
      </c>
      <c r="C281" s="11">
        <v>0</v>
      </c>
      <c r="D281" s="11">
        <v>0</v>
      </c>
      <c r="E281" s="11">
        <v>0</v>
      </c>
      <c r="F281" s="13">
        <v>125664</v>
      </c>
      <c r="G281" s="13">
        <v>109956</v>
      </c>
      <c r="H281" s="14">
        <f t="shared" si="8"/>
        <v>15708</v>
      </c>
      <c r="I281" s="14">
        <f t="shared" si="9"/>
        <v>15708</v>
      </c>
      <c r="J281" s="598" t="s">
        <v>157</v>
      </c>
      <c r="K281" s="302" t="s">
        <v>512</v>
      </c>
    </row>
    <row r="282" spans="1:11" x14ac:dyDescent="0.2">
      <c r="A282" s="10">
        <v>61400000</v>
      </c>
      <c r="B282" s="10" t="s">
        <v>175</v>
      </c>
      <c r="C282" s="11">
        <v>0</v>
      </c>
      <c r="D282" s="11">
        <v>33279.993999999999</v>
      </c>
      <c r="E282" s="11">
        <v>6666.6660000000002</v>
      </c>
      <c r="F282" s="13">
        <v>0</v>
      </c>
      <c r="G282" s="13">
        <v>0</v>
      </c>
      <c r="H282" s="14">
        <f t="shared" si="8"/>
        <v>26613.327999999998</v>
      </c>
      <c r="I282" s="14">
        <f t="shared" si="9"/>
        <v>26613.327999999998</v>
      </c>
      <c r="J282" s="598" t="s">
        <v>157</v>
      </c>
      <c r="K282" s="302" t="s">
        <v>512</v>
      </c>
    </row>
    <row r="283" spans="1:11" x14ac:dyDescent="0.2">
      <c r="A283" s="10">
        <v>61500000</v>
      </c>
      <c r="B283" s="10" t="s">
        <v>176</v>
      </c>
      <c r="C283" s="11">
        <v>0</v>
      </c>
      <c r="D283" s="11">
        <v>379492.17499999999</v>
      </c>
      <c r="E283" s="11">
        <v>95793.354000000007</v>
      </c>
      <c r="F283" s="13">
        <v>163542.924</v>
      </c>
      <c r="G283" s="13">
        <v>133274.82199999999</v>
      </c>
      <c r="H283" s="14">
        <f t="shared" si="8"/>
        <v>313966.92299999995</v>
      </c>
      <c r="I283" s="14">
        <f t="shared" si="9"/>
        <v>313966.92299999995</v>
      </c>
      <c r="J283" s="598" t="s">
        <v>157</v>
      </c>
      <c r="K283" s="302" t="s">
        <v>512</v>
      </c>
    </row>
    <row r="284" spans="1:11" x14ac:dyDescent="0.2">
      <c r="A284" s="10">
        <v>61501000</v>
      </c>
      <c r="B284" s="10" t="s">
        <v>177</v>
      </c>
      <c r="C284" s="11">
        <v>0</v>
      </c>
      <c r="D284" s="11">
        <v>298562.87199999997</v>
      </c>
      <c r="E284" s="11">
        <v>6046.01</v>
      </c>
      <c r="F284" s="13">
        <v>17978.792000000001</v>
      </c>
      <c r="G284" s="13">
        <v>16788.792000000001</v>
      </c>
      <c r="H284" s="14">
        <f t="shared" si="8"/>
        <v>293706.86199999996</v>
      </c>
      <c r="I284" s="14">
        <f t="shared" si="9"/>
        <v>293706.86199999996</v>
      </c>
      <c r="J284" s="598" t="s">
        <v>157</v>
      </c>
      <c r="K284" s="302" t="s">
        <v>512</v>
      </c>
    </row>
    <row r="285" spans="1:11" x14ac:dyDescent="0.2">
      <c r="A285" s="10">
        <v>61600000</v>
      </c>
      <c r="B285" s="10" t="s">
        <v>397</v>
      </c>
      <c r="C285" s="11">
        <v>0</v>
      </c>
      <c r="D285" s="11">
        <v>26302.707000000002</v>
      </c>
      <c r="E285" s="11">
        <v>1140.607</v>
      </c>
      <c r="F285" s="13">
        <v>5146.6660000000002</v>
      </c>
      <c r="G285" s="13">
        <v>5146.6660000000002</v>
      </c>
      <c r="H285" s="14">
        <f t="shared" si="8"/>
        <v>25162.100000000002</v>
      </c>
      <c r="I285" s="14">
        <f t="shared" si="9"/>
        <v>25162.100000000002</v>
      </c>
      <c r="J285" s="598" t="s">
        <v>157</v>
      </c>
      <c r="K285" s="302" t="s">
        <v>512</v>
      </c>
    </row>
    <row r="286" spans="1:11" x14ac:dyDescent="0.2">
      <c r="A286" s="10">
        <v>61603000</v>
      </c>
      <c r="B286" s="10" t="s">
        <v>178</v>
      </c>
      <c r="C286" s="11">
        <v>0</v>
      </c>
      <c r="D286" s="11">
        <v>7078.6970000000001</v>
      </c>
      <c r="E286" s="11">
        <v>0</v>
      </c>
      <c r="F286" s="13">
        <v>25584.3501</v>
      </c>
      <c r="G286" s="13">
        <v>0</v>
      </c>
      <c r="H286" s="14">
        <f t="shared" si="8"/>
        <v>32663.0471</v>
      </c>
      <c r="I286" s="14">
        <f t="shared" si="9"/>
        <v>32663.0471</v>
      </c>
      <c r="J286" s="598" t="s">
        <v>157</v>
      </c>
      <c r="K286" s="302" t="s">
        <v>512</v>
      </c>
    </row>
    <row r="287" spans="1:11" x14ac:dyDescent="0.2">
      <c r="A287" s="10">
        <v>61607000</v>
      </c>
      <c r="B287" s="10" t="s">
        <v>179</v>
      </c>
      <c r="C287" s="11">
        <v>0</v>
      </c>
      <c r="D287" s="11">
        <v>14731.2</v>
      </c>
      <c r="E287" s="11">
        <v>0</v>
      </c>
      <c r="F287" s="13">
        <v>12276</v>
      </c>
      <c r="G287" s="13">
        <v>13503.6</v>
      </c>
      <c r="H287" s="14">
        <f t="shared" si="8"/>
        <v>13503.6</v>
      </c>
      <c r="I287" s="14">
        <f t="shared" si="9"/>
        <v>13503.6</v>
      </c>
      <c r="J287" s="598" t="s">
        <v>157</v>
      </c>
      <c r="K287" s="302" t="s">
        <v>512</v>
      </c>
    </row>
    <row r="288" spans="1:11" x14ac:dyDescent="0.2">
      <c r="A288" s="10">
        <v>62120000</v>
      </c>
      <c r="B288" s="10" t="s">
        <v>180</v>
      </c>
      <c r="C288" s="11">
        <v>0</v>
      </c>
      <c r="D288" s="11">
        <v>59496.94</v>
      </c>
      <c r="E288" s="11">
        <v>0</v>
      </c>
      <c r="F288" s="13">
        <v>0</v>
      </c>
      <c r="G288" s="13">
        <v>0</v>
      </c>
      <c r="H288" s="14">
        <f t="shared" si="8"/>
        <v>59496.94</v>
      </c>
      <c r="I288" s="14">
        <f t="shared" si="9"/>
        <v>59496.94</v>
      </c>
      <c r="J288" s="598" t="s">
        <v>157</v>
      </c>
      <c r="K288" s="302" t="s">
        <v>512</v>
      </c>
    </row>
    <row r="289" spans="1:11" x14ac:dyDescent="0.2">
      <c r="A289" s="10">
        <v>62200000</v>
      </c>
      <c r="B289" s="10" t="s">
        <v>181</v>
      </c>
      <c r="C289" s="11">
        <v>0</v>
      </c>
      <c r="D289" s="11">
        <v>0</v>
      </c>
      <c r="E289" s="11">
        <v>0</v>
      </c>
      <c r="F289" s="13">
        <v>10400.003000000001</v>
      </c>
      <c r="G289" s="13">
        <v>0</v>
      </c>
      <c r="H289" s="14">
        <f t="shared" si="8"/>
        <v>10400.003000000001</v>
      </c>
      <c r="I289" s="14">
        <f t="shared" si="9"/>
        <v>10400.003000000001</v>
      </c>
      <c r="J289" s="598" t="s">
        <v>157</v>
      </c>
      <c r="K289" s="302" t="s">
        <v>512</v>
      </c>
    </row>
    <row r="290" spans="1:11" x14ac:dyDescent="0.2">
      <c r="A290" s="10">
        <v>62210000</v>
      </c>
      <c r="B290" s="10" t="s">
        <v>398</v>
      </c>
      <c r="C290" s="11">
        <v>0</v>
      </c>
      <c r="D290" s="11">
        <v>8685.5040000000008</v>
      </c>
      <c r="E290" s="11">
        <v>0</v>
      </c>
      <c r="F290" s="13">
        <v>0</v>
      </c>
      <c r="G290" s="13">
        <v>0</v>
      </c>
      <c r="H290" s="14">
        <f t="shared" si="8"/>
        <v>8685.5040000000008</v>
      </c>
      <c r="I290" s="14">
        <f t="shared" si="9"/>
        <v>8685.5040000000008</v>
      </c>
      <c r="J290" s="598" t="s">
        <v>157</v>
      </c>
      <c r="K290" s="302" t="s">
        <v>512</v>
      </c>
    </row>
    <row r="291" spans="1:11" x14ac:dyDescent="0.2">
      <c r="A291" s="10">
        <v>62230000</v>
      </c>
      <c r="B291" s="10" t="s">
        <v>375</v>
      </c>
      <c r="C291" s="11">
        <v>0</v>
      </c>
      <c r="D291" s="11">
        <v>104471.26365000001</v>
      </c>
      <c r="E291" s="11">
        <v>0</v>
      </c>
      <c r="F291" s="13">
        <v>0</v>
      </c>
      <c r="G291" s="13">
        <v>0</v>
      </c>
      <c r="H291" s="14">
        <f t="shared" si="8"/>
        <v>104471.26365000001</v>
      </c>
      <c r="I291" s="14">
        <f t="shared" si="9"/>
        <v>104471.26365000001</v>
      </c>
      <c r="J291" s="598" t="s">
        <v>157</v>
      </c>
      <c r="K291" s="302" t="s">
        <v>512</v>
      </c>
    </row>
    <row r="292" spans="1:11" x14ac:dyDescent="0.2">
      <c r="A292" s="10">
        <v>62240000</v>
      </c>
      <c r="B292" s="10" t="s">
        <v>267</v>
      </c>
      <c r="C292" s="11">
        <v>0</v>
      </c>
      <c r="D292" s="11">
        <v>36381.759999999995</v>
      </c>
      <c r="E292" s="11">
        <v>0</v>
      </c>
      <c r="F292" s="13">
        <v>28406.513200000001</v>
      </c>
      <c r="G292" s="13">
        <v>31272.080000000002</v>
      </c>
      <c r="H292" s="14">
        <f t="shared" si="8"/>
        <v>33516.193199999994</v>
      </c>
      <c r="I292" s="14">
        <f t="shared" si="9"/>
        <v>33516.193199999994</v>
      </c>
      <c r="J292" s="598" t="s">
        <v>157</v>
      </c>
      <c r="K292" s="302" t="s">
        <v>512</v>
      </c>
    </row>
    <row r="293" spans="1:11" x14ac:dyDescent="0.2">
      <c r="A293" s="10">
        <v>62250000</v>
      </c>
      <c r="B293" s="10" t="s">
        <v>268</v>
      </c>
      <c r="C293" s="11">
        <v>0</v>
      </c>
      <c r="D293" s="11">
        <v>20240.336000000003</v>
      </c>
      <c r="E293" s="11">
        <v>20240.336000000003</v>
      </c>
      <c r="F293" s="13">
        <v>55000</v>
      </c>
      <c r="G293" s="13">
        <v>0</v>
      </c>
      <c r="H293" s="14">
        <f t="shared" si="8"/>
        <v>55000.000000000007</v>
      </c>
      <c r="I293" s="14">
        <f t="shared" si="9"/>
        <v>55000.000000000007</v>
      </c>
      <c r="J293" s="598" t="s">
        <v>157</v>
      </c>
      <c r="K293" s="302" t="s">
        <v>512</v>
      </c>
    </row>
    <row r="294" spans="1:11" x14ac:dyDescent="0.2">
      <c r="A294" s="10">
        <v>62260000</v>
      </c>
      <c r="B294" s="10" t="s">
        <v>7402</v>
      </c>
      <c r="C294" s="11">
        <v>0</v>
      </c>
      <c r="D294" s="11">
        <v>19797.352999999999</v>
      </c>
      <c r="E294" s="11">
        <v>0</v>
      </c>
      <c r="F294" s="13">
        <v>0</v>
      </c>
      <c r="G294" s="13">
        <v>0</v>
      </c>
      <c r="H294" s="14">
        <f t="shared" si="8"/>
        <v>19797.352999999999</v>
      </c>
      <c r="I294" s="14">
        <f t="shared" si="9"/>
        <v>19797.352999999999</v>
      </c>
      <c r="J294" s="598" t="s">
        <v>157</v>
      </c>
      <c r="K294" s="302" t="s">
        <v>512</v>
      </c>
    </row>
    <row r="295" spans="1:11" x14ac:dyDescent="0.2">
      <c r="A295" s="10">
        <v>62270000</v>
      </c>
      <c r="B295" s="10" t="s">
        <v>399</v>
      </c>
      <c r="C295" s="11">
        <v>0</v>
      </c>
      <c r="D295" s="11">
        <v>988.90699999999993</v>
      </c>
      <c r="E295" s="11">
        <v>0</v>
      </c>
      <c r="F295" s="13">
        <v>0</v>
      </c>
      <c r="G295" s="13">
        <v>0</v>
      </c>
      <c r="H295" s="14">
        <f t="shared" si="8"/>
        <v>988.90699999999993</v>
      </c>
      <c r="I295" s="14">
        <f t="shared" si="9"/>
        <v>988.90699999999993</v>
      </c>
      <c r="J295" s="598" t="s">
        <v>157</v>
      </c>
      <c r="K295" s="302" t="s">
        <v>512</v>
      </c>
    </row>
    <row r="296" spans="1:11" x14ac:dyDescent="0.2">
      <c r="A296" s="10">
        <v>62300000</v>
      </c>
      <c r="B296" s="10" t="s">
        <v>182</v>
      </c>
      <c r="C296" s="11">
        <v>0</v>
      </c>
      <c r="D296" s="11">
        <v>2638.9</v>
      </c>
      <c r="E296" s="11">
        <v>0</v>
      </c>
      <c r="F296" s="13">
        <v>82500</v>
      </c>
      <c r="G296" s="13">
        <v>0</v>
      </c>
      <c r="H296" s="14">
        <f t="shared" si="8"/>
        <v>85138.9</v>
      </c>
      <c r="I296" s="14">
        <f t="shared" si="9"/>
        <v>85138.9</v>
      </c>
      <c r="J296" s="598" t="s">
        <v>157</v>
      </c>
      <c r="K296" s="302" t="s">
        <v>512</v>
      </c>
    </row>
    <row r="297" spans="1:11" x14ac:dyDescent="0.2">
      <c r="A297" s="10">
        <v>62301000</v>
      </c>
      <c r="B297" s="10" t="s">
        <v>7397</v>
      </c>
      <c r="C297" s="11">
        <v>0</v>
      </c>
      <c r="D297" s="11">
        <v>36068.89</v>
      </c>
      <c r="E297" s="11">
        <v>800</v>
      </c>
      <c r="F297" s="13">
        <v>0</v>
      </c>
      <c r="G297" s="13">
        <v>0</v>
      </c>
      <c r="H297" s="14">
        <f t="shared" si="8"/>
        <v>35268.89</v>
      </c>
      <c r="I297" s="14">
        <f t="shared" si="9"/>
        <v>35268.89</v>
      </c>
      <c r="J297" s="598" t="s">
        <v>157</v>
      </c>
      <c r="K297" s="302" t="s">
        <v>512</v>
      </c>
    </row>
    <row r="298" spans="1:11" x14ac:dyDescent="0.2">
      <c r="A298" s="10">
        <v>62410000</v>
      </c>
      <c r="B298" s="10" t="s">
        <v>183</v>
      </c>
      <c r="C298" s="11">
        <v>0</v>
      </c>
      <c r="D298" s="11">
        <v>7942</v>
      </c>
      <c r="E298" s="11">
        <v>0</v>
      </c>
      <c r="F298" s="13">
        <v>1214.7059999999999</v>
      </c>
      <c r="G298" s="13">
        <v>1214.7059999999999</v>
      </c>
      <c r="H298" s="14">
        <f t="shared" si="8"/>
        <v>7942</v>
      </c>
      <c r="I298" s="14">
        <f t="shared" si="9"/>
        <v>7942</v>
      </c>
      <c r="J298" s="598" t="s">
        <v>157</v>
      </c>
      <c r="K298" s="302" t="s">
        <v>512</v>
      </c>
    </row>
    <row r="299" spans="1:11" x14ac:dyDescent="0.2">
      <c r="A299" s="10">
        <v>62420000</v>
      </c>
      <c r="B299" s="10" t="s">
        <v>184</v>
      </c>
      <c r="C299" s="11">
        <v>0</v>
      </c>
      <c r="D299" s="11">
        <v>10730</v>
      </c>
      <c r="E299" s="11">
        <v>0</v>
      </c>
      <c r="F299" s="13">
        <v>3510</v>
      </c>
      <c r="G299" s="13">
        <v>3090</v>
      </c>
      <c r="H299" s="14">
        <f t="shared" si="8"/>
        <v>11150</v>
      </c>
      <c r="I299" s="14">
        <f t="shared" si="9"/>
        <v>11150</v>
      </c>
      <c r="J299" s="598" t="s">
        <v>157</v>
      </c>
      <c r="K299" s="302" t="s">
        <v>512</v>
      </c>
    </row>
    <row r="300" spans="1:11" x14ac:dyDescent="0.2">
      <c r="A300" s="10">
        <v>62430000</v>
      </c>
      <c r="B300" s="10" t="s">
        <v>159</v>
      </c>
      <c r="C300" s="11">
        <v>0</v>
      </c>
      <c r="D300" s="11">
        <v>710281.61300000001</v>
      </c>
      <c r="E300" s="11">
        <v>11174.52</v>
      </c>
      <c r="F300" s="13">
        <v>66041.051999999996</v>
      </c>
      <c r="G300" s="13">
        <v>66041.051999999996</v>
      </c>
      <c r="H300" s="14">
        <f t="shared" si="8"/>
        <v>699107.09299999999</v>
      </c>
      <c r="I300" s="14">
        <f t="shared" si="9"/>
        <v>699107.09299999999</v>
      </c>
      <c r="J300" s="598" t="s">
        <v>157</v>
      </c>
      <c r="K300" s="302" t="s">
        <v>512</v>
      </c>
    </row>
    <row r="301" spans="1:11" x14ac:dyDescent="0.2">
      <c r="A301" s="10">
        <v>62500000</v>
      </c>
      <c r="B301" s="10" t="s">
        <v>185</v>
      </c>
      <c r="C301" s="11">
        <v>0</v>
      </c>
      <c r="D301" s="11">
        <v>875.1</v>
      </c>
      <c r="E301" s="11">
        <v>0</v>
      </c>
      <c r="F301" s="13">
        <v>0</v>
      </c>
      <c r="G301" s="13">
        <v>0</v>
      </c>
      <c r="H301" s="14">
        <f t="shared" si="8"/>
        <v>875.1</v>
      </c>
      <c r="I301" s="14">
        <f t="shared" si="9"/>
        <v>875.1</v>
      </c>
      <c r="J301" s="598" t="s">
        <v>157</v>
      </c>
      <c r="K301" s="302" t="s">
        <v>512</v>
      </c>
    </row>
    <row r="302" spans="1:11" x14ac:dyDescent="0.2">
      <c r="A302" s="10">
        <v>62510000</v>
      </c>
      <c r="B302" s="10" t="s">
        <v>7571</v>
      </c>
      <c r="C302" s="11">
        <v>0</v>
      </c>
      <c r="D302" s="11">
        <v>5831</v>
      </c>
      <c r="E302" s="11">
        <v>0</v>
      </c>
      <c r="F302" s="13">
        <v>0</v>
      </c>
      <c r="G302" s="13">
        <v>0</v>
      </c>
      <c r="H302" s="14">
        <f t="shared" si="8"/>
        <v>5831</v>
      </c>
      <c r="I302" s="14">
        <f t="shared" si="9"/>
        <v>5831</v>
      </c>
      <c r="J302" s="598" t="s">
        <v>157</v>
      </c>
      <c r="K302" s="302" t="s">
        <v>512</v>
      </c>
    </row>
    <row r="303" spans="1:11" x14ac:dyDescent="0.2">
      <c r="A303" s="10">
        <v>62520000</v>
      </c>
      <c r="B303" s="10" t="s">
        <v>7403</v>
      </c>
      <c r="C303" s="11">
        <v>0</v>
      </c>
      <c r="D303" s="11">
        <v>27950.35</v>
      </c>
      <c r="E303" s="11">
        <v>923.7</v>
      </c>
      <c r="F303" s="13">
        <v>0</v>
      </c>
      <c r="G303" s="13">
        <v>0</v>
      </c>
      <c r="H303" s="14">
        <f t="shared" si="8"/>
        <v>27026.649999999998</v>
      </c>
      <c r="I303" s="14">
        <f t="shared" si="9"/>
        <v>27026.649999999998</v>
      </c>
      <c r="J303" s="598" t="s">
        <v>157</v>
      </c>
      <c r="K303" s="302" t="s">
        <v>512</v>
      </c>
    </row>
    <row r="304" spans="1:11" x14ac:dyDescent="0.2">
      <c r="A304" s="10">
        <v>62570000</v>
      </c>
      <c r="B304" s="10" t="s">
        <v>186</v>
      </c>
      <c r="C304" s="11">
        <v>0</v>
      </c>
      <c r="D304" s="11">
        <v>32884.699999999997</v>
      </c>
      <c r="E304" s="11">
        <v>0</v>
      </c>
      <c r="F304" s="13">
        <v>0</v>
      </c>
      <c r="G304" s="13">
        <v>0</v>
      </c>
      <c r="H304" s="14">
        <f t="shared" si="8"/>
        <v>32884.699999999997</v>
      </c>
      <c r="I304" s="14">
        <f t="shared" si="9"/>
        <v>32884.699999999997</v>
      </c>
      <c r="J304" s="598" t="s">
        <v>157</v>
      </c>
      <c r="K304" s="302" t="s">
        <v>512</v>
      </c>
    </row>
    <row r="305" spans="1:11" x14ac:dyDescent="0.2">
      <c r="A305" s="10">
        <v>62571000</v>
      </c>
      <c r="B305" s="10" t="s">
        <v>376</v>
      </c>
      <c r="C305" s="11">
        <v>0</v>
      </c>
      <c r="D305" s="11">
        <v>20951.218000000001</v>
      </c>
      <c r="E305" s="11">
        <v>0</v>
      </c>
      <c r="F305" s="13">
        <v>0</v>
      </c>
      <c r="G305" s="13">
        <v>0</v>
      </c>
      <c r="H305" s="14">
        <f t="shared" si="8"/>
        <v>20951.218000000001</v>
      </c>
      <c r="I305" s="14">
        <f t="shared" si="9"/>
        <v>20951.218000000001</v>
      </c>
      <c r="J305" s="598" t="s">
        <v>157</v>
      </c>
      <c r="K305" s="302" t="s">
        <v>512</v>
      </c>
    </row>
    <row r="306" spans="1:11" x14ac:dyDescent="0.2">
      <c r="A306" s="10">
        <v>62572000</v>
      </c>
      <c r="B306" s="10" t="s">
        <v>377</v>
      </c>
      <c r="C306" s="11">
        <v>0</v>
      </c>
      <c r="D306" s="11">
        <v>15956.9</v>
      </c>
      <c r="E306" s="11">
        <v>0</v>
      </c>
      <c r="F306" s="13">
        <v>0</v>
      </c>
      <c r="G306" s="13">
        <v>0</v>
      </c>
      <c r="H306" s="14">
        <f t="shared" si="8"/>
        <v>15956.9</v>
      </c>
      <c r="I306" s="14">
        <f t="shared" si="9"/>
        <v>15956.9</v>
      </c>
      <c r="J306" s="598" t="s">
        <v>157</v>
      </c>
      <c r="K306" s="302" t="s">
        <v>512</v>
      </c>
    </row>
    <row r="307" spans="1:11" x14ac:dyDescent="0.2">
      <c r="A307" s="10">
        <v>62573000</v>
      </c>
      <c r="B307" s="10" t="s">
        <v>378</v>
      </c>
      <c r="C307" s="11">
        <v>0</v>
      </c>
      <c r="D307" s="11">
        <v>5545.7269999999999</v>
      </c>
      <c r="E307" s="11">
        <v>0</v>
      </c>
      <c r="F307" s="13">
        <v>771.428</v>
      </c>
      <c r="G307" s="13">
        <v>771.428</v>
      </c>
      <c r="H307" s="14">
        <f t="shared" si="8"/>
        <v>5545.7269999999999</v>
      </c>
      <c r="I307" s="14">
        <f t="shared" si="9"/>
        <v>5545.7269999999999</v>
      </c>
      <c r="J307" s="598" t="s">
        <v>157</v>
      </c>
      <c r="K307" s="302" t="s">
        <v>512</v>
      </c>
    </row>
    <row r="308" spans="1:11" x14ac:dyDescent="0.2">
      <c r="A308" s="10">
        <v>62580000</v>
      </c>
      <c r="B308" s="10" t="s">
        <v>187</v>
      </c>
      <c r="C308" s="11">
        <v>0</v>
      </c>
      <c r="D308" s="11">
        <v>22012.5</v>
      </c>
      <c r="E308" s="11">
        <v>7867</v>
      </c>
      <c r="F308" s="13">
        <v>0</v>
      </c>
      <c r="G308" s="13">
        <v>0</v>
      </c>
      <c r="H308" s="14">
        <f t="shared" si="8"/>
        <v>14145.5</v>
      </c>
      <c r="I308" s="14">
        <f t="shared" si="9"/>
        <v>14145.5</v>
      </c>
      <c r="J308" s="598" t="s">
        <v>157</v>
      </c>
      <c r="K308" s="302" t="s">
        <v>512</v>
      </c>
    </row>
    <row r="309" spans="1:11" x14ac:dyDescent="0.2">
      <c r="A309" s="10">
        <v>62600000</v>
      </c>
      <c r="B309" s="10" t="s">
        <v>188</v>
      </c>
      <c r="C309" s="11">
        <v>0</v>
      </c>
      <c r="D309" s="11">
        <v>40791.260999999999</v>
      </c>
      <c r="E309" s="11">
        <v>2288.3589999999999</v>
      </c>
      <c r="F309" s="13">
        <v>10940</v>
      </c>
      <c r="G309" s="13">
        <v>13128</v>
      </c>
      <c r="H309" s="14">
        <f t="shared" si="8"/>
        <v>36314.902000000002</v>
      </c>
      <c r="I309" s="14">
        <f t="shared" si="9"/>
        <v>36314.902000000002</v>
      </c>
      <c r="J309" s="598" t="s">
        <v>157</v>
      </c>
      <c r="K309" s="302" t="s">
        <v>512</v>
      </c>
    </row>
    <row r="310" spans="1:11" x14ac:dyDescent="0.2">
      <c r="A310" s="10">
        <v>62780000</v>
      </c>
      <c r="B310" s="10" t="s">
        <v>189</v>
      </c>
      <c r="C310" s="11">
        <v>0</v>
      </c>
      <c r="D310" s="11">
        <v>149565.14600000001</v>
      </c>
      <c r="E310" s="11">
        <v>30051.367999999999</v>
      </c>
      <c r="F310" s="13">
        <v>103706.463</v>
      </c>
      <c r="G310" s="13">
        <v>65609.207999999999</v>
      </c>
      <c r="H310" s="14">
        <f t="shared" si="8"/>
        <v>157611.033</v>
      </c>
      <c r="I310" s="14">
        <f t="shared" si="9"/>
        <v>157611.033</v>
      </c>
      <c r="J310" s="598" t="s">
        <v>195</v>
      </c>
      <c r="K310" s="302" t="s">
        <v>517</v>
      </c>
    </row>
    <row r="311" spans="1:11" x14ac:dyDescent="0.2">
      <c r="A311" s="10">
        <v>63300000</v>
      </c>
      <c r="B311" s="10" t="s">
        <v>269</v>
      </c>
      <c r="C311" s="11">
        <v>0</v>
      </c>
      <c r="D311" s="11">
        <v>0</v>
      </c>
      <c r="E311" s="11">
        <v>0</v>
      </c>
      <c r="F311" s="13">
        <v>114583.326</v>
      </c>
      <c r="G311" s="13">
        <v>0</v>
      </c>
      <c r="H311" s="14">
        <f t="shared" si="8"/>
        <v>114583.326</v>
      </c>
      <c r="I311" s="14">
        <f t="shared" si="9"/>
        <v>114583.326</v>
      </c>
      <c r="J311" s="598" t="s">
        <v>157</v>
      </c>
      <c r="K311" s="302" t="s">
        <v>512</v>
      </c>
    </row>
    <row r="312" spans="1:11" x14ac:dyDescent="0.2">
      <c r="A312" s="10">
        <v>63602000</v>
      </c>
      <c r="B312" s="10" t="s">
        <v>7573</v>
      </c>
      <c r="C312" s="11">
        <v>0</v>
      </c>
      <c r="D312" s="11">
        <v>0.81900000000000017</v>
      </c>
      <c r="E312" s="11">
        <v>2.2000000000000002E-2</v>
      </c>
      <c r="F312" s="13">
        <v>799388.87100000004</v>
      </c>
      <c r="G312" s="13">
        <v>532925.91399999999</v>
      </c>
      <c r="H312" s="14">
        <f t="shared" si="8"/>
        <v>266463.75400000007</v>
      </c>
      <c r="I312" s="14">
        <f t="shared" si="9"/>
        <v>266463.75400000007</v>
      </c>
      <c r="J312" s="598" t="s">
        <v>157</v>
      </c>
      <c r="K312" s="302" t="s">
        <v>512</v>
      </c>
    </row>
    <row r="313" spans="1:11" x14ac:dyDescent="0.2">
      <c r="A313" s="10">
        <v>63610000</v>
      </c>
      <c r="B313" s="10" t="s">
        <v>7398</v>
      </c>
      <c r="C313" s="11">
        <v>0</v>
      </c>
      <c r="D313" s="11">
        <v>4242.0889999999999</v>
      </c>
      <c r="E313" s="11">
        <v>300</v>
      </c>
      <c r="F313" s="13">
        <v>0</v>
      </c>
      <c r="G313" s="13">
        <v>0</v>
      </c>
      <c r="H313" s="14">
        <f t="shared" si="8"/>
        <v>3942.0889999999999</v>
      </c>
      <c r="I313" s="14">
        <f t="shared" si="9"/>
        <v>3942.0889999999999</v>
      </c>
      <c r="J313" s="598" t="s">
        <v>190</v>
      </c>
      <c r="K313" s="302" t="s">
        <v>519</v>
      </c>
    </row>
    <row r="314" spans="1:11" x14ac:dyDescent="0.2">
      <c r="A314" s="10">
        <v>64001000</v>
      </c>
      <c r="B314" s="10" t="s">
        <v>191</v>
      </c>
      <c r="C314" s="11">
        <v>0</v>
      </c>
      <c r="D314" s="11">
        <v>3934775.19</v>
      </c>
      <c r="E314" s="11">
        <v>312849.11699999997</v>
      </c>
      <c r="F314" s="13">
        <v>556676.24100000004</v>
      </c>
      <c r="G314" s="13">
        <v>0</v>
      </c>
      <c r="H314" s="14">
        <f t="shared" si="8"/>
        <v>4178602.3139999998</v>
      </c>
      <c r="I314" s="14">
        <f t="shared" si="9"/>
        <v>4178602.3139999998</v>
      </c>
      <c r="J314" s="598" t="s">
        <v>192</v>
      </c>
      <c r="K314" s="302" t="s">
        <v>511</v>
      </c>
    </row>
    <row r="315" spans="1:11" x14ac:dyDescent="0.2">
      <c r="A315" s="10">
        <v>64280000</v>
      </c>
      <c r="B315" s="10" t="s">
        <v>193</v>
      </c>
      <c r="C315" s="11">
        <v>0</v>
      </c>
      <c r="D315" s="11">
        <v>9480</v>
      </c>
      <c r="E315" s="11">
        <v>0</v>
      </c>
      <c r="F315" s="13">
        <v>0</v>
      </c>
      <c r="G315" s="13">
        <v>0</v>
      </c>
      <c r="H315" s="14">
        <f t="shared" si="8"/>
        <v>9480</v>
      </c>
      <c r="I315" s="14">
        <f t="shared" si="9"/>
        <v>9480</v>
      </c>
      <c r="J315" s="598" t="s">
        <v>192</v>
      </c>
      <c r="K315" s="302" t="s">
        <v>511</v>
      </c>
    </row>
    <row r="316" spans="1:11" x14ac:dyDescent="0.2">
      <c r="A316" s="10">
        <v>64600100</v>
      </c>
      <c r="B316" s="10" t="s">
        <v>407</v>
      </c>
      <c r="C316" s="11">
        <v>0</v>
      </c>
      <c r="D316" s="11">
        <v>2775482</v>
      </c>
      <c r="E316" s="11">
        <v>2725869.0310000004</v>
      </c>
      <c r="F316" s="13">
        <v>0</v>
      </c>
      <c r="G316" s="13">
        <v>0</v>
      </c>
      <c r="H316" s="14">
        <f t="shared" si="8"/>
        <v>49612.968999999575</v>
      </c>
      <c r="I316" s="14">
        <f t="shared" si="9"/>
        <v>49612.968999999575</v>
      </c>
      <c r="J316" s="598" t="s">
        <v>192</v>
      </c>
      <c r="K316" s="302" t="s">
        <v>511</v>
      </c>
    </row>
    <row r="317" spans="1:11" x14ac:dyDescent="0.2">
      <c r="A317" s="10">
        <v>64603000</v>
      </c>
      <c r="B317" s="10" t="s">
        <v>7404</v>
      </c>
      <c r="C317" s="11">
        <v>0</v>
      </c>
      <c r="D317" s="11">
        <v>8109</v>
      </c>
      <c r="E317" s="11">
        <v>0</v>
      </c>
      <c r="F317" s="13">
        <v>0</v>
      </c>
      <c r="G317" s="13">
        <v>0</v>
      </c>
      <c r="H317" s="14">
        <f t="shared" si="8"/>
        <v>8109</v>
      </c>
      <c r="I317" s="14">
        <f t="shared" si="9"/>
        <v>8109</v>
      </c>
      <c r="J317" s="598" t="s">
        <v>192</v>
      </c>
      <c r="K317" s="302" t="s">
        <v>511</v>
      </c>
    </row>
    <row r="318" spans="1:11" x14ac:dyDescent="0.2">
      <c r="A318" s="10">
        <v>64720000</v>
      </c>
      <c r="B318" s="10" t="s">
        <v>194</v>
      </c>
      <c r="C318" s="11">
        <v>0</v>
      </c>
      <c r="D318" s="11">
        <v>265734.98499999999</v>
      </c>
      <c r="E318" s="11">
        <v>593.29099999999994</v>
      </c>
      <c r="F318" s="13">
        <v>264828.57900000003</v>
      </c>
      <c r="G318" s="13">
        <v>208858.22899999999</v>
      </c>
      <c r="H318" s="14">
        <f t="shared" si="8"/>
        <v>321112.04400000005</v>
      </c>
      <c r="I318" s="14">
        <f t="shared" si="9"/>
        <v>321112.04400000005</v>
      </c>
      <c r="J318" s="598" t="s">
        <v>192</v>
      </c>
      <c r="K318" s="302" t="s">
        <v>511</v>
      </c>
    </row>
    <row r="319" spans="1:11" x14ac:dyDescent="0.2">
      <c r="A319" s="10">
        <v>65110000</v>
      </c>
      <c r="B319" s="10" t="s">
        <v>385</v>
      </c>
      <c r="C319" s="11">
        <v>0</v>
      </c>
      <c r="D319" s="11">
        <v>234030.302</v>
      </c>
      <c r="E319" s="11">
        <v>24698.894</v>
      </c>
      <c r="F319" s="13">
        <v>35098.533300000003</v>
      </c>
      <c r="G319" s="13">
        <v>35098.533300000003</v>
      </c>
      <c r="H319" s="14">
        <f t="shared" si="8"/>
        <v>209331.40799999997</v>
      </c>
      <c r="I319" s="14">
        <f t="shared" si="9"/>
        <v>209331.40799999997</v>
      </c>
      <c r="J319" s="598" t="s">
        <v>195</v>
      </c>
      <c r="K319" s="302" t="s">
        <v>517</v>
      </c>
    </row>
    <row r="320" spans="1:11" x14ac:dyDescent="0.2">
      <c r="A320" s="10">
        <v>65110200</v>
      </c>
      <c r="B320" s="10" t="s">
        <v>196</v>
      </c>
      <c r="C320" s="11">
        <v>0</v>
      </c>
      <c r="D320" s="11">
        <v>299476.34999999998</v>
      </c>
      <c r="E320" s="11">
        <v>0</v>
      </c>
      <c r="F320" s="13">
        <v>332557.93780000001</v>
      </c>
      <c r="G320" s="13">
        <v>265022.22379999998</v>
      </c>
      <c r="H320" s="14">
        <f t="shared" si="8"/>
        <v>367012.06400000007</v>
      </c>
      <c r="I320" s="14">
        <f t="shared" si="9"/>
        <v>367012.06400000007</v>
      </c>
      <c r="J320" s="598" t="s">
        <v>195</v>
      </c>
      <c r="K320" s="302" t="s">
        <v>517</v>
      </c>
    </row>
    <row r="321" spans="1:11" x14ac:dyDescent="0.2">
      <c r="A321" s="10">
        <v>65110400</v>
      </c>
      <c r="B321" s="10" t="s">
        <v>197</v>
      </c>
      <c r="C321" s="11">
        <v>0</v>
      </c>
      <c r="D321" s="11">
        <v>460295.36799999996</v>
      </c>
      <c r="E321" s="11">
        <v>0</v>
      </c>
      <c r="F321" s="13">
        <v>437353.33120000002</v>
      </c>
      <c r="G321" s="13">
        <v>333452.23269999999</v>
      </c>
      <c r="H321" s="14">
        <f t="shared" si="8"/>
        <v>564196.46649999986</v>
      </c>
      <c r="I321" s="14">
        <f t="shared" si="9"/>
        <v>564196.46649999986</v>
      </c>
      <c r="J321" s="598" t="s">
        <v>195</v>
      </c>
      <c r="K321" s="302" t="s">
        <v>517</v>
      </c>
    </row>
    <row r="322" spans="1:11" x14ac:dyDescent="0.2">
      <c r="A322" s="10">
        <v>65110600</v>
      </c>
      <c r="B322" s="10" t="s">
        <v>10088</v>
      </c>
      <c r="C322" s="11">
        <v>0</v>
      </c>
      <c r="D322" s="11">
        <v>3657.5</v>
      </c>
      <c r="E322" s="11">
        <v>0</v>
      </c>
      <c r="F322" s="13">
        <v>0</v>
      </c>
      <c r="G322" s="13">
        <v>0</v>
      </c>
      <c r="H322" s="14">
        <f t="shared" si="8"/>
        <v>3657.5</v>
      </c>
      <c r="I322" s="14">
        <f t="shared" si="9"/>
        <v>3657.5</v>
      </c>
      <c r="J322" s="598" t="s">
        <v>195</v>
      </c>
      <c r="K322" s="302" t="s">
        <v>517</v>
      </c>
    </row>
    <row r="323" spans="1:11" x14ac:dyDescent="0.2">
      <c r="A323" s="10">
        <v>65115000</v>
      </c>
      <c r="B323" s="10" t="s">
        <v>379</v>
      </c>
      <c r="C323" s="11">
        <v>0</v>
      </c>
      <c r="D323" s="11">
        <v>37569.827999999994</v>
      </c>
      <c r="E323" s="11">
        <v>0</v>
      </c>
      <c r="F323" s="13">
        <v>0</v>
      </c>
      <c r="G323" s="13">
        <v>0</v>
      </c>
      <c r="H323" s="14">
        <f t="shared" si="8"/>
        <v>37569.827999999994</v>
      </c>
      <c r="I323" s="14">
        <f t="shared" si="9"/>
        <v>37569.827999999994</v>
      </c>
      <c r="J323" s="598" t="s">
        <v>195</v>
      </c>
      <c r="K323" s="302" t="s">
        <v>517</v>
      </c>
    </row>
    <row r="324" spans="1:11" x14ac:dyDescent="0.2">
      <c r="A324" s="10">
        <v>65150000</v>
      </c>
      <c r="B324" s="10" t="s">
        <v>270</v>
      </c>
      <c r="C324" s="11">
        <v>0</v>
      </c>
      <c r="D324" s="11">
        <v>0</v>
      </c>
      <c r="E324" s="11">
        <v>0</v>
      </c>
      <c r="F324" s="13">
        <v>148313.427</v>
      </c>
      <c r="G324" s="13">
        <v>0</v>
      </c>
      <c r="H324" s="14">
        <f t="shared" ref="H324:H347" si="10">+D324+F324-E324-G324</f>
        <v>148313.427</v>
      </c>
      <c r="I324" s="14">
        <f t="shared" ref="I324:I347" si="11">+H324+C324</f>
        <v>148313.427</v>
      </c>
      <c r="J324" s="598" t="s">
        <v>195</v>
      </c>
      <c r="K324" s="302" t="s">
        <v>517</v>
      </c>
    </row>
    <row r="325" spans="1:11" x14ac:dyDescent="0.2">
      <c r="A325" s="10">
        <v>65160000</v>
      </c>
      <c r="B325" s="10" t="s">
        <v>9649</v>
      </c>
      <c r="C325" s="11">
        <v>0</v>
      </c>
      <c r="D325" s="11">
        <v>435.31400000000002</v>
      </c>
      <c r="E325" s="11">
        <v>435.31400000000002</v>
      </c>
      <c r="F325" s="13">
        <v>0</v>
      </c>
      <c r="G325" s="13">
        <v>0</v>
      </c>
      <c r="H325" s="14">
        <f t="shared" si="10"/>
        <v>0</v>
      </c>
      <c r="I325" s="14">
        <f t="shared" si="11"/>
        <v>0</v>
      </c>
      <c r="J325" s="598" t="s">
        <v>195</v>
      </c>
      <c r="K325" s="302" t="s">
        <v>517</v>
      </c>
    </row>
    <row r="326" spans="1:11" x14ac:dyDescent="0.2">
      <c r="A326" s="10">
        <v>65190000</v>
      </c>
      <c r="B326" s="10" t="s">
        <v>198</v>
      </c>
      <c r="C326" s="11">
        <v>0</v>
      </c>
      <c r="D326" s="11">
        <v>253035.86100000003</v>
      </c>
      <c r="E326" s="11">
        <v>70116.285000000003</v>
      </c>
      <c r="F326" s="13">
        <v>316301.44929999998</v>
      </c>
      <c r="G326" s="13">
        <v>155422.31</v>
      </c>
      <c r="H326" s="14">
        <f t="shared" si="10"/>
        <v>343798.71529999998</v>
      </c>
      <c r="I326" s="14">
        <f t="shared" si="11"/>
        <v>343798.71529999998</v>
      </c>
      <c r="J326" s="598" t="s">
        <v>195</v>
      </c>
      <c r="K326" s="302" t="s">
        <v>517</v>
      </c>
    </row>
    <row r="327" spans="1:11" x14ac:dyDescent="0.2">
      <c r="A327" s="10">
        <v>65500000</v>
      </c>
      <c r="B327" s="10" t="s">
        <v>400</v>
      </c>
      <c r="C327" s="11">
        <v>0</v>
      </c>
      <c r="D327" s="11">
        <v>128211.35716500001</v>
      </c>
      <c r="E327" s="11">
        <v>137119.740509</v>
      </c>
      <c r="F327" s="13">
        <v>33393.7163</v>
      </c>
      <c r="G327" s="13">
        <v>33393.7163</v>
      </c>
      <c r="H327" s="14">
        <f t="shared" si="10"/>
        <v>-8908.3833439999726</v>
      </c>
      <c r="I327" s="14">
        <f t="shared" si="11"/>
        <v>-8908.3833439999726</v>
      </c>
      <c r="J327" s="598" t="s">
        <v>195</v>
      </c>
      <c r="K327" s="302" t="s">
        <v>517</v>
      </c>
    </row>
    <row r="328" spans="1:11" x14ac:dyDescent="0.2">
      <c r="A328" s="10">
        <v>66500000</v>
      </c>
      <c r="B328" s="10" t="s">
        <v>8974</v>
      </c>
      <c r="C328" s="11">
        <v>0</v>
      </c>
      <c r="D328" s="11">
        <v>0</v>
      </c>
      <c r="E328" s="11">
        <v>496.64600000000002</v>
      </c>
      <c r="F328" s="13">
        <v>0</v>
      </c>
      <c r="G328" s="13">
        <v>0</v>
      </c>
      <c r="H328" s="14">
        <f t="shared" si="10"/>
        <v>-496.64600000000002</v>
      </c>
      <c r="I328" s="14">
        <f t="shared" si="11"/>
        <v>-496.64600000000002</v>
      </c>
      <c r="J328" s="598" t="s">
        <v>157</v>
      </c>
      <c r="K328" s="302" t="s">
        <v>512</v>
      </c>
    </row>
    <row r="329" spans="1:11" x14ac:dyDescent="0.2">
      <c r="A329" s="10">
        <v>66520000</v>
      </c>
      <c r="B329" s="10" t="s">
        <v>200</v>
      </c>
      <c r="C329" s="11">
        <v>0</v>
      </c>
      <c r="D329" s="11">
        <v>86178.175000000003</v>
      </c>
      <c r="E329" s="11">
        <v>0</v>
      </c>
      <c r="F329" s="13">
        <v>77071.070999999996</v>
      </c>
      <c r="G329" s="13">
        <v>77071.070999999996</v>
      </c>
      <c r="H329" s="14">
        <f t="shared" si="10"/>
        <v>86178.174999999988</v>
      </c>
      <c r="I329" s="14">
        <f t="shared" si="11"/>
        <v>86178.174999999988</v>
      </c>
      <c r="J329" s="598" t="s">
        <v>157</v>
      </c>
      <c r="K329" s="302" t="s">
        <v>512</v>
      </c>
    </row>
    <row r="330" spans="1:11" x14ac:dyDescent="0.2">
      <c r="A330" s="10">
        <v>66540000</v>
      </c>
      <c r="B330" s="10" t="s">
        <v>201</v>
      </c>
      <c r="C330" s="11">
        <v>0</v>
      </c>
      <c r="D330" s="11">
        <v>10250.281999999999</v>
      </c>
      <c r="E330" s="11">
        <v>327.47699999999998</v>
      </c>
      <c r="F330" s="13">
        <v>0</v>
      </c>
      <c r="G330" s="13">
        <v>0</v>
      </c>
      <c r="H330" s="14">
        <f t="shared" si="10"/>
        <v>9922.8049999999985</v>
      </c>
      <c r="I330" s="14">
        <f t="shared" si="11"/>
        <v>9922.8049999999985</v>
      </c>
      <c r="J330" s="598" t="s">
        <v>157</v>
      </c>
      <c r="K330" s="302" t="s">
        <v>512</v>
      </c>
    </row>
    <row r="331" spans="1:11" x14ac:dyDescent="0.2">
      <c r="A331" s="10">
        <v>66550000</v>
      </c>
      <c r="B331" s="10" t="s">
        <v>202</v>
      </c>
      <c r="C331" s="11">
        <v>0</v>
      </c>
      <c r="D331" s="11">
        <v>2372.9270000000001</v>
      </c>
      <c r="E331" s="11">
        <v>0</v>
      </c>
      <c r="F331" s="13">
        <v>9900</v>
      </c>
      <c r="G331" s="13">
        <v>0</v>
      </c>
      <c r="H331" s="14">
        <f t="shared" si="10"/>
        <v>12272.927</v>
      </c>
      <c r="I331" s="14">
        <f t="shared" si="11"/>
        <v>12272.927</v>
      </c>
      <c r="J331" s="598" t="s">
        <v>157</v>
      </c>
      <c r="K331" s="302" t="s">
        <v>512</v>
      </c>
    </row>
    <row r="332" spans="1:11" x14ac:dyDescent="0.2">
      <c r="A332" s="10">
        <v>68112000</v>
      </c>
      <c r="B332" s="10" t="s">
        <v>271</v>
      </c>
      <c r="C332" s="11">
        <v>0</v>
      </c>
      <c r="D332" s="11">
        <v>0</v>
      </c>
      <c r="E332" s="11">
        <v>0</v>
      </c>
      <c r="F332" s="13">
        <v>4120064.5610000002</v>
      </c>
      <c r="G332" s="13">
        <v>1853292.567</v>
      </c>
      <c r="H332" s="14">
        <f t="shared" si="10"/>
        <v>2266771.9939999999</v>
      </c>
      <c r="I332" s="14">
        <f t="shared" si="11"/>
        <v>2266771.9939999999</v>
      </c>
      <c r="J332" s="598" t="s">
        <v>203</v>
      </c>
      <c r="K332" s="302" t="s">
        <v>7578</v>
      </c>
    </row>
    <row r="333" spans="1:11" x14ac:dyDescent="0.2">
      <c r="A333" s="10">
        <v>70000000</v>
      </c>
      <c r="B333" s="10" t="s">
        <v>205</v>
      </c>
      <c r="C333" s="11">
        <v>0</v>
      </c>
      <c r="D333" s="11">
        <v>3798551.5350000001</v>
      </c>
      <c r="E333" s="11">
        <v>33603759.244000003</v>
      </c>
      <c r="F333" s="13">
        <v>116132.238</v>
      </c>
      <c r="G333" s="13">
        <v>116132.238</v>
      </c>
      <c r="H333" s="14">
        <f t="shared" si="10"/>
        <v>-29805207.709000003</v>
      </c>
      <c r="I333" s="14">
        <f t="shared" si="11"/>
        <v>-29805207.709000003</v>
      </c>
      <c r="J333" s="598" t="s">
        <v>206</v>
      </c>
      <c r="K333" s="302" t="s">
        <v>505</v>
      </c>
    </row>
    <row r="334" spans="1:11" x14ac:dyDescent="0.2">
      <c r="A334" s="10">
        <v>70102000</v>
      </c>
      <c r="B334" s="10" t="s">
        <v>207</v>
      </c>
      <c r="C334" s="11">
        <v>0</v>
      </c>
      <c r="D334" s="11">
        <v>163057.98599999998</v>
      </c>
      <c r="E334" s="11">
        <v>19266966.660379998</v>
      </c>
      <c r="F334" s="13">
        <v>3443683.0359999998</v>
      </c>
      <c r="G334" s="13">
        <v>3281625.05</v>
      </c>
      <c r="H334" s="14">
        <f t="shared" si="10"/>
        <v>-18941850.688379999</v>
      </c>
      <c r="I334" s="14">
        <f t="shared" si="11"/>
        <v>-18941850.688379999</v>
      </c>
      <c r="J334" s="598" t="s">
        <v>227</v>
      </c>
      <c r="K334" s="302" t="s">
        <v>504</v>
      </c>
    </row>
    <row r="335" spans="1:11" x14ac:dyDescent="0.2">
      <c r="A335" s="10">
        <v>70103000</v>
      </c>
      <c r="B335" s="10" t="s">
        <v>380</v>
      </c>
      <c r="C335" s="11">
        <v>0</v>
      </c>
      <c r="D335" s="11">
        <v>20</v>
      </c>
      <c r="E335" s="11">
        <v>61704</v>
      </c>
      <c r="F335" s="13">
        <v>0</v>
      </c>
      <c r="G335" s="13">
        <v>0</v>
      </c>
      <c r="H335" s="14">
        <f t="shared" si="10"/>
        <v>-61684</v>
      </c>
      <c r="I335" s="14">
        <f t="shared" si="11"/>
        <v>-61684</v>
      </c>
      <c r="J335" s="598" t="s">
        <v>206</v>
      </c>
      <c r="K335" s="302" t="s">
        <v>505</v>
      </c>
    </row>
    <row r="336" spans="1:11" x14ac:dyDescent="0.2">
      <c r="A336" s="10">
        <v>70600000</v>
      </c>
      <c r="B336" s="10" t="s">
        <v>381</v>
      </c>
      <c r="C336" s="11">
        <v>0</v>
      </c>
      <c r="D336" s="11">
        <v>0</v>
      </c>
      <c r="E336" s="11">
        <v>140625.38</v>
      </c>
      <c r="F336" s="13">
        <v>0</v>
      </c>
      <c r="G336" s="13">
        <v>0</v>
      </c>
      <c r="H336" s="14">
        <f t="shared" si="10"/>
        <v>-140625.38</v>
      </c>
      <c r="I336" s="14">
        <f t="shared" si="11"/>
        <v>-140625.38</v>
      </c>
      <c r="J336" s="598" t="s">
        <v>206</v>
      </c>
      <c r="K336" s="302" t="s">
        <v>506</v>
      </c>
    </row>
    <row r="337" spans="1:11" x14ac:dyDescent="0.2">
      <c r="A337" s="10">
        <v>70600100</v>
      </c>
      <c r="B337" s="658" t="s">
        <v>7574</v>
      </c>
      <c r="C337" s="11">
        <v>0</v>
      </c>
      <c r="D337" s="11">
        <v>0</v>
      </c>
      <c r="E337" s="11">
        <v>964.02</v>
      </c>
      <c r="F337" s="13">
        <v>0</v>
      </c>
      <c r="G337" s="13">
        <v>0</v>
      </c>
      <c r="H337" s="14">
        <f t="shared" si="10"/>
        <v>-964.02</v>
      </c>
      <c r="I337" s="14">
        <f t="shared" si="11"/>
        <v>-964.02</v>
      </c>
      <c r="J337" s="598" t="s">
        <v>206</v>
      </c>
      <c r="K337" s="302" t="s">
        <v>506</v>
      </c>
    </row>
    <row r="338" spans="1:11" x14ac:dyDescent="0.2">
      <c r="A338" s="10">
        <v>70600500</v>
      </c>
      <c r="B338" s="10" t="s">
        <v>208</v>
      </c>
      <c r="C338" s="11">
        <v>0</v>
      </c>
      <c r="D338" s="11">
        <v>0</v>
      </c>
      <c r="E338" s="11">
        <v>0</v>
      </c>
      <c r="F338" s="13">
        <v>0</v>
      </c>
      <c r="G338" s="13">
        <v>35528.065000000002</v>
      </c>
      <c r="H338" s="14">
        <f t="shared" si="10"/>
        <v>-35528.065000000002</v>
      </c>
      <c r="I338" s="14">
        <f t="shared" si="11"/>
        <v>-35528.065000000002</v>
      </c>
      <c r="J338" s="598" t="s">
        <v>214</v>
      </c>
      <c r="K338" s="302" t="s">
        <v>506</v>
      </c>
    </row>
    <row r="339" spans="1:11" x14ac:dyDescent="0.2">
      <c r="A339" s="10">
        <v>71340000</v>
      </c>
      <c r="B339" s="10" t="s">
        <v>382</v>
      </c>
      <c r="C339" s="11">
        <v>0</v>
      </c>
      <c r="D339" s="11">
        <v>4992501.915</v>
      </c>
      <c r="E339" s="11">
        <v>4992501.915</v>
      </c>
      <c r="F339" s="13">
        <v>4095943.7609999999</v>
      </c>
      <c r="G339" s="13">
        <v>4095943.7609999999</v>
      </c>
      <c r="H339" s="14">
        <f t="shared" si="10"/>
        <v>0</v>
      </c>
      <c r="I339" s="14">
        <f t="shared" si="11"/>
        <v>0</v>
      </c>
      <c r="J339" s="598" t="s">
        <v>210</v>
      </c>
      <c r="K339" s="302" t="s">
        <v>508</v>
      </c>
    </row>
    <row r="340" spans="1:11" x14ac:dyDescent="0.2">
      <c r="A340" s="10">
        <v>71350000</v>
      </c>
      <c r="B340" s="10" t="s">
        <v>209</v>
      </c>
      <c r="C340" s="11">
        <v>0</v>
      </c>
      <c r="D340" s="11">
        <v>4992501.915</v>
      </c>
      <c r="E340" s="11">
        <v>0</v>
      </c>
      <c r="F340" s="13">
        <v>48898951.792999998</v>
      </c>
      <c r="G340" s="13">
        <v>54343291.016000003</v>
      </c>
      <c r="H340" s="14">
        <f t="shared" si="10"/>
        <v>-451837.30800000578</v>
      </c>
      <c r="I340" s="14">
        <f t="shared" si="11"/>
        <v>-451837.30800000578</v>
      </c>
      <c r="J340" s="598" t="s">
        <v>210</v>
      </c>
      <c r="K340" s="302" t="s">
        <v>508</v>
      </c>
    </row>
    <row r="341" spans="1:11" x14ac:dyDescent="0.2">
      <c r="A341" s="10">
        <v>73601000</v>
      </c>
      <c r="B341" s="10" t="s">
        <v>211</v>
      </c>
      <c r="C341" s="11">
        <v>0</v>
      </c>
      <c r="D341" s="11">
        <v>0</v>
      </c>
      <c r="E341" s="11">
        <v>20042</v>
      </c>
      <c r="F341" s="13">
        <v>0</v>
      </c>
      <c r="G341" s="13">
        <v>0</v>
      </c>
      <c r="H341" s="14">
        <f t="shared" si="10"/>
        <v>-20042</v>
      </c>
      <c r="I341" s="14">
        <f t="shared" si="11"/>
        <v>-20042</v>
      </c>
      <c r="J341" s="598" t="s">
        <v>214</v>
      </c>
      <c r="K341" s="302" t="s">
        <v>506</v>
      </c>
    </row>
    <row r="342" spans="1:11" x14ac:dyDescent="0.2">
      <c r="A342" s="10">
        <v>73602000</v>
      </c>
      <c r="B342" s="10" t="s">
        <v>8975</v>
      </c>
      <c r="C342" s="11">
        <v>0</v>
      </c>
      <c r="D342" s="11">
        <v>0</v>
      </c>
      <c r="E342" s="11">
        <v>38449.362000000001</v>
      </c>
      <c r="F342" s="13">
        <v>0</v>
      </c>
      <c r="G342" s="13">
        <v>0</v>
      </c>
      <c r="H342" s="14">
        <f t="shared" si="10"/>
        <v>-38449.362000000001</v>
      </c>
      <c r="I342" s="14">
        <f t="shared" si="11"/>
        <v>-38449.362000000001</v>
      </c>
      <c r="J342" s="598" t="s">
        <v>214</v>
      </c>
      <c r="K342" s="302" t="s">
        <v>506</v>
      </c>
    </row>
    <row r="343" spans="1:11" x14ac:dyDescent="0.2">
      <c r="A343" s="10">
        <v>75000000</v>
      </c>
      <c r="B343" s="10" t="s">
        <v>7575</v>
      </c>
      <c r="C343" s="11">
        <v>0</v>
      </c>
      <c r="D343" s="11">
        <v>0</v>
      </c>
      <c r="E343" s="11">
        <v>1747.3849999999998</v>
      </c>
      <c r="F343" s="13">
        <v>0</v>
      </c>
      <c r="G343" s="13">
        <v>0</v>
      </c>
      <c r="H343" s="14">
        <f t="shared" si="10"/>
        <v>-1747.3849999999998</v>
      </c>
      <c r="I343" s="14">
        <f t="shared" si="11"/>
        <v>-1747.3849999999998</v>
      </c>
      <c r="J343" s="598" t="s">
        <v>195</v>
      </c>
      <c r="K343" s="302" t="s">
        <v>506</v>
      </c>
    </row>
    <row r="344" spans="1:11" x14ac:dyDescent="0.2">
      <c r="A344" s="10">
        <v>75600000</v>
      </c>
      <c r="B344" s="10" t="s">
        <v>215</v>
      </c>
      <c r="C344" s="11">
        <v>0</v>
      </c>
      <c r="D344" s="11">
        <v>213423.9921</v>
      </c>
      <c r="E344" s="11">
        <v>199496.07875599997</v>
      </c>
      <c r="F344" s="13">
        <v>261924.1722</v>
      </c>
      <c r="G344" s="13">
        <v>325266.60720000003</v>
      </c>
      <c r="H344" s="14">
        <f t="shared" si="10"/>
        <v>-49414.521655999997</v>
      </c>
      <c r="I344" s="14">
        <f t="shared" si="11"/>
        <v>-49414.521655999997</v>
      </c>
      <c r="J344" s="598" t="s">
        <v>214</v>
      </c>
      <c r="K344" s="302" t="s">
        <v>517</v>
      </c>
    </row>
    <row r="345" spans="1:11" x14ac:dyDescent="0.2">
      <c r="A345" s="10">
        <v>73900000</v>
      </c>
      <c r="B345" s="10" t="s">
        <v>213</v>
      </c>
      <c r="C345" s="11">
        <v>0</v>
      </c>
      <c r="D345" s="11">
        <v>0</v>
      </c>
      <c r="E345" s="11">
        <v>0</v>
      </c>
      <c r="F345" s="13">
        <v>0</v>
      </c>
      <c r="G345" s="13">
        <v>235794.889</v>
      </c>
      <c r="H345" s="14">
        <f t="shared" si="10"/>
        <v>-235794.889</v>
      </c>
      <c r="I345" s="14">
        <f t="shared" si="11"/>
        <v>-235794.889</v>
      </c>
      <c r="J345" s="598" t="s">
        <v>214</v>
      </c>
      <c r="K345" s="302" t="s">
        <v>517</v>
      </c>
    </row>
    <row r="346" spans="1:11" x14ac:dyDescent="0.2">
      <c r="A346" s="10">
        <v>74100000</v>
      </c>
      <c r="B346" s="10" t="s">
        <v>8980</v>
      </c>
      <c r="C346" s="11">
        <v>0</v>
      </c>
      <c r="D346" s="11">
        <v>0</v>
      </c>
      <c r="E346" s="11">
        <v>1843.7079999999999</v>
      </c>
      <c r="F346" s="13">
        <v>0</v>
      </c>
      <c r="G346" s="13">
        <v>0</v>
      </c>
      <c r="H346" s="14">
        <f t="shared" si="10"/>
        <v>-1843.7079999999999</v>
      </c>
      <c r="I346" s="14">
        <f t="shared" si="11"/>
        <v>-1843.7079999999999</v>
      </c>
      <c r="J346" s="598" t="s">
        <v>214</v>
      </c>
      <c r="K346" s="302" t="s">
        <v>506</v>
      </c>
    </row>
    <row r="347" spans="1:11" x14ac:dyDescent="0.2">
      <c r="A347" s="10">
        <v>77000000</v>
      </c>
      <c r="B347" s="10" t="s">
        <v>216</v>
      </c>
      <c r="C347" s="11">
        <v>0</v>
      </c>
      <c r="D347" s="11">
        <v>7.31</v>
      </c>
      <c r="E347" s="11">
        <v>18.739000000000001</v>
      </c>
      <c r="F347" s="13">
        <v>0</v>
      </c>
      <c r="G347" s="13">
        <v>0</v>
      </c>
      <c r="H347" s="14">
        <f t="shared" si="10"/>
        <v>-11.429000000000002</v>
      </c>
      <c r="I347" s="14">
        <f t="shared" si="11"/>
        <v>-11.429000000000002</v>
      </c>
      <c r="J347" s="598" t="s">
        <v>212</v>
      </c>
      <c r="K347" s="302" t="s">
        <v>518</v>
      </c>
    </row>
    <row r="348" spans="1:11" ht="15" x14ac:dyDescent="0.25">
      <c r="A348"/>
      <c r="B348" s="659"/>
      <c r="C348" s="11">
        <f t="shared" ref="C348:I348" si="12">SUM(C2:C347)</f>
        <v>8.5546495392918587E-4</v>
      </c>
      <c r="D348" s="11">
        <f t="shared" si="12"/>
        <v>412142295.78010541</v>
      </c>
      <c r="E348" s="11">
        <f t="shared" si="12"/>
        <v>412142295.78010547</v>
      </c>
      <c r="F348" s="11">
        <f t="shared" si="12"/>
        <v>349449730.09229976</v>
      </c>
      <c r="G348" s="11">
        <f t="shared" si="12"/>
        <v>349449730.09239978</v>
      </c>
      <c r="H348" s="11">
        <f t="shared" si="12"/>
        <v>-1.0000464422432742E-4</v>
      </c>
      <c r="I348" s="11">
        <f t="shared" si="12"/>
        <v>7.5545611875327268E-4</v>
      </c>
      <c r="J348" s="661"/>
    </row>
  </sheetData>
  <pageMargins left="0.7" right="0.7" top="0.75" bottom="0.75" header="0.3" footer="0.3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S358"/>
  <sheetViews>
    <sheetView workbookViewId="0">
      <pane ySplit="1" topLeftCell="A152" activePane="bottomLeft" state="frozen"/>
      <selection pane="bottomLeft" activeCell="D169" sqref="D169:D173"/>
    </sheetView>
  </sheetViews>
  <sheetFormatPr baseColWidth="10" defaultRowHeight="11.25" x14ac:dyDescent="0.25"/>
  <cols>
    <col min="1" max="1" width="9.85546875" style="667" customWidth="1"/>
    <col min="2" max="2" width="30.5703125" style="667" customWidth="1"/>
    <col min="3" max="3" width="15.85546875" style="667" bestFit="1" customWidth="1"/>
    <col min="4" max="4" width="17.85546875" style="667" customWidth="1"/>
    <col min="5" max="5" width="17.28515625" style="667" bestFit="1" customWidth="1"/>
    <col min="6" max="6" width="16.85546875" style="667" bestFit="1" customWidth="1"/>
    <col min="7" max="7" width="15.85546875" style="667" bestFit="1" customWidth="1"/>
    <col min="8" max="9" width="21.42578125" style="667" customWidth="1"/>
    <col min="10" max="10" width="27.28515625" style="670" customWidth="1"/>
    <col min="11" max="11" width="18.140625" style="670" customWidth="1"/>
    <col min="12" max="12" width="12.28515625" style="670" bestFit="1" customWidth="1"/>
    <col min="13" max="13" width="11.7109375" style="667" bestFit="1" customWidth="1"/>
    <col min="14" max="16384" width="11.42578125" style="667"/>
  </cols>
  <sheetData>
    <row r="1" spans="1:19" ht="16.5" customHeight="1" x14ac:dyDescent="0.2">
      <c r="A1" s="662" t="s">
        <v>4</v>
      </c>
      <c r="B1" s="663" t="s">
        <v>0</v>
      </c>
      <c r="C1" s="6" t="s">
        <v>5</v>
      </c>
      <c r="D1" s="6" t="s">
        <v>2</v>
      </c>
      <c r="E1" s="6" t="s">
        <v>3</v>
      </c>
      <c r="F1" s="6" t="s">
        <v>6</v>
      </c>
      <c r="G1" s="6" t="s">
        <v>262</v>
      </c>
      <c r="H1" s="6" t="s">
        <v>7385</v>
      </c>
      <c r="I1" s="6"/>
    </row>
    <row r="2" spans="1:19" x14ac:dyDescent="0.2">
      <c r="A2" s="10">
        <v>10100000</v>
      </c>
      <c r="B2" s="10" t="s">
        <v>7</v>
      </c>
      <c r="C2" s="11">
        <v>-13500000</v>
      </c>
      <c r="D2" s="11">
        <v>0</v>
      </c>
      <c r="E2" s="11">
        <v>0</v>
      </c>
      <c r="F2" s="12">
        <f>+D2-E2</f>
        <v>0</v>
      </c>
      <c r="G2" s="12">
        <f t="shared" ref="G2:G65" si="0">+C2+F2</f>
        <v>-13500000</v>
      </c>
      <c r="H2" s="664" t="s">
        <v>8</v>
      </c>
      <c r="I2" s="664"/>
      <c r="J2" s="671" t="s">
        <v>10090</v>
      </c>
      <c r="K2" s="671"/>
      <c r="L2" s="671"/>
      <c r="M2" s="666"/>
      <c r="N2" s="665"/>
      <c r="O2" s="665"/>
      <c r="P2" s="665"/>
      <c r="Q2" s="665"/>
      <c r="R2" s="665"/>
      <c r="S2" s="665"/>
    </row>
    <row r="3" spans="1:19" x14ac:dyDescent="0.2">
      <c r="A3" s="10">
        <v>11101000</v>
      </c>
      <c r="B3" s="10" t="s">
        <v>9</v>
      </c>
      <c r="C3" s="11">
        <v>-1200000</v>
      </c>
      <c r="D3" s="11">
        <v>0</v>
      </c>
      <c r="E3" s="11">
        <v>0</v>
      </c>
      <c r="F3" s="12">
        <f t="shared" ref="F3:F66" si="1">+D3-E3</f>
        <v>0</v>
      </c>
      <c r="G3" s="12">
        <f t="shared" si="0"/>
        <v>-1200000</v>
      </c>
      <c r="H3" s="664" t="s">
        <v>10</v>
      </c>
      <c r="I3" s="664"/>
      <c r="J3" s="671"/>
      <c r="K3" s="671"/>
      <c r="L3" s="671"/>
      <c r="M3" s="666"/>
      <c r="N3" s="665"/>
      <c r="O3" s="665"/>
      <c r="P3" s="665"/>
      <c r="Q3" s="665"/>
      <c r="R3" s="665"/>
      <c r="S3" s="665"/>
    </row>
    <row r="4" spans="1:19" x14ac:dyDescent="0.2">
      <c r="A4" s="10">
        <v>12100000</v>
      </c>
      <c r="B4" s="10" t="s">
        <v>11</v>
      </c>
      <c r="C4" s="11">
        <v>-17517372.004645001</v>
      </c>
      <c r="D4" s="11">
        <v>0</v>
      </c>
      <c r="E4" s="11">
        <v>0</v>
      </c>
      <c r="F4" s="12">
        <f t="shared" si="1"/>
        <v>0</v>
      </c>
      <c r="G4" s="12">
        <f t="shared" si="0"/>
        <v>-17517372.004645001</v>
      </c>
      <c r="H4" s="664" t="s">
        <v>12</v>
      </c>
      <c r="I4" s="664"/>
      <c r="J4" s="671"/>
      <c r="K4" s="671"/>
      <c r="L4" s="671"/>
      <c r="M4" s="666"/>
      <c r="N4" s="665"/>
      <c r="O4" s="665"/>
      <c r="P4" s="665"/>
      <c r="Q4" s="665"/>
      <c r="R4" s="665"/>
      <c r="S4" s="665"/>
    </row>
    <row r="5" spans="1:19" x14ac:dyDescent="0.2">
      <c r="A5" s="10">
        <v>12200000</v>
      </c>
      <c r="B5" s="10" t="s">
        <v>272</v>
      </c>
      <c r="C5" s="11">
        <v>0</v>
      </c>
      <c r="D5" s="11">
        <v>0</v>
      </c>
      <c r="E5" s="11">
        <v>0</v>
      </c>
      <c r="F5" s="12">
        <f t="shared" si="1"/>
        <v>0</v>
      </c>
      <c r="G5" s="12">
        <f t="shared" si="0"/>
        <v>0</v>
      </c>
      <c r="H5" s="664"/>
      <c r="I5" s="664"/>
      <c r="J5" s="671"/>
      <c r="K5" s="671"/>
      <c r="L5" s="671"/>
      <c r="M5" s="666"/>
      <c r="N5" s="665"/>
      <c r="O5" s="665"/>
      <c r="P5" s="665"/>
      <c r="Q5" s="665"/>
      <c r="R5" s="665"/>
      <c r="S5" s="665"/>
    </row>
    <row r="6" spans="1:19" x14ac:dyDescent="0.2">
      <c r="A6" s="10">
        <v>12800000</v>
      </c>
      <c r="B6" s="10" t="s">
        <v>13</v>
      </c>
      <c r="C6" s="11">
        <v>3126298.01</v>
      </c>
      <c r="D6" s="11">
        <v>4965118.6569999997</v>
      </c>
      <c r="E6" s="11">
        <v>4965118.6569999997</v>
      </c>
      <c r="F6" s="12">
        <f t="shared" si="1"/>
        <v>0</v>
      </c>
      <c r="G6" s="12">
        <f t="shared" si="0"/>
        <v>3126298.01</v>
      </c>
      <c r="H6" s="664" t="s">
        <v>14</v>
      </c>
      <c r="I6" s="664"/>
      <c r="J6" s="671"/>
      <c r="K6" s="671"/>
      <c r="L6" s="671"/>
      <c r="M6" s="666"/>
      <c r="N6" s="665"/>
      <c r="O6" s="665"/>
      <c r="P6" s="665"/>
      <c r="Q6" s="665"/>
      <c r="R6" s="665"/>
      <c r="S6" s="665"/>
    </row>
    <row r="7" spans="1:19" x14ac:dyDescent="0.2">
      <c r="A7" s="10">
        <v>13000000</v>
      </c>
      <c r="B7" s="10" t="s">
        <v>273</v>
      </c>
      <c r="C7" s="11">
        <v>0</v>
      </c>
      <c r="D7" s="11">
        <v>0</v>
      </c>
      <c r="E7" s="11">
        <v>0</v>
      </c>
      <c r="F7" s="12">
        <f t="shared" si="1"/>
        <v>0</v>
      </c>
      <c r="G7" s="12">
        <f t="shared" si="0"/>
        <v>0</v>
      </c>
      <c r="H7" s="664"/>
      <c r="I7" s="664"/>
      <c r="J7" s="671"/>
      <c r="K7" s="671"/>
      <c r="L7" s="671"/>
      <c r="M7" s="666"/>
      <c r="N7" s="665"/>
      <c r="O7" s="665"/>
      <c r="P7" s="665"/>
      <c r="Q7" s="665"/>
      <c r="R7" s="665"/>
      <c r="S7" s="665"/>
    </row>
    <row r="8" spans="1:19" x14ac:dyDescent="0.2">
      <c r="A8" s="10">
        <v>14500000</v>
      </c>
      <c r="B8" s="10" t="s">
        <v>15</v>
      </c>
      <c r="C8" s="11">
        <v>-3479108.84</v>
      </c>
      <c r="D8" s="11">
        <v>0</v>
      </c>
      <c r="E8" s="11">
        <v>0</v>
      </c>
      <c r="F8" s="12">
        <f t="shared" si="1"/>
        <v>0</v>
      </c>
      <c r="G8" s="12">
        <f t="shared" si="0"/>
        <v>-3479108.84</v>
      </c>
      <c r="H8" s="664" t="s">
        <v>16</v>
      </c>
      <c r="I8" s="664"/>
      <c r="J8" s="671" t="s">
        <v>10091</v>
      </c>
      <c r="K8" s="671"/>
      <c r="L8" s="671"/>
      <c r="M8" s="666"/>
      <c r="N8" s="665"/>
      <c r="O8" s="665"/>
      <c r="P8" s="665"/>
      <c r="Q8" s="665"/>
      <c r="R8" s="665"/>
      <c r="S8" s="665"/>
    </row>
    <row r="9" spans="1:19" x14ac:dyDescent="0.2">
      <c r="A9" s="10">
        <v>14508000</v>
      </c>
      <c r="B9" s="10" t="s">
        <v>17</v>
      </c>
      <c r="C9" s="11">
        <v>2410241.3199999998</v>
      </c>
      <c r="D9" s="11">
        <v>252620.448</v>
      </c>
      <c r="E9" s="11">
        <v>0</v>
      </c>
      <c r="F9" s="12">
        <f t="shared" si="1"/>
        <v>252620.448</v>
      </c>
      <c r="G9" s="12">
        <f t="shared" si="0"/>
        <v>2662861.7679999997</v>
      </c>
      <c r="H9" s="664" t="s">
        <v>18</v>
      </c>
      <c r="I9" s="664"/>
      <c r="J9" s="671"/>
      <c r="K9" s="671"/>
      <c r="L9" s="671"/>
      <c r="M9" s="666"/>
      <c r="N9" s="665"/>
      <c r="O9" s="665"/>
      <c r="P9" s="665"/>
      <c r="Q9" s="665"/>
      <c r="R9" s="665"/>
      <c r="S9" s="665"/>
    </row>
    <row r="10" spans="1:19" x14ac:dyDescent="0.2">
      <c r="A10" s="10">
        <v>15100000</v>
      </c>
      <c r="B10" s="10" t="s">
        <v>19</v>
      </c>
      <c r="C10" s="11">
        <v>-231535.016</v>
      </c>
      <c r="D10" s="11">
        <v>0</v>
      </c>
      <c r="E10" s="11">
        <v>0</v>
      </c>
      <c r="F10" s="12">
        <f t="shared" si="1"/>
        <v>0</v>
      </c>
      <c r="G10" s="12">
        <f t="shared" si="0"/>
        <v>-231535.016</v>
      </c>
      <c r="H10" s="664" t="s">
        <v>20</v>
      </c>
      <c r="I10" s="664"/>
      <c r="J10" s="671" t="s">
        <v>10092</v>
      </c>
      <c r="K10" s="671"/>
      <c r="L10" s="671"/>
      <c r="M10" s="666"/>
      <c r="N10" s="665"/>
      <c r="O10" s="665"/>
      <c r="P10" s="665"/>
      <c r="Q10" s="665"/>
      <c r="R10" s="665"/>
      <c r="S10" s="665"/>
    </row>
    <row r="11" spans="1:19" x14ac:dyDescent="0.2">
      <c r="A11" s="10">
        <v>16210250</v>
      </c>
      <c r="B11" s="10" t="s">
        <v>274</v>
      </c>
      <c r="C11" s="11">
        <v>0</v>
      </c>
      <c r="D11" s="11">
        <v>0</v>
      </c>
      <c r="E11" s="11">
        <v>0</v>
      </c>
      <c r="F11" s="12">
        <f t="shared" si="1"/>
        <v>0</v>
      </c>
      <c r="G11" s="12">
        <f t="shared" si="0"/>
        <v>0</v>
      </c>
      <c r="H11" s="664"/>
      <c r="I11" s="664"/>
      <c r="J11" s="671"/>
      <c r="K11" s="671"/>
      <c r="L11" s="671"/>
      <c r="M11" s="666"/>
      <c r="N11" s="665"/>
      <c r="O11" s="665"/>
      <c r="P11" s="665"/>
      <c r="Q11" s="665"/>
      <c r="R11" s="665"/>
      <c r="S11" s="665"/>
    </row>
    <row r="12" spans="1:19" x14ac:dyDescent="0.2">
      <c r="A12" s="10">
        <v>16210500</v>
      </c>
      <c r="B12" s="10" t="s">
        <v>21</v>
      </c>
      <c r="C12" s="11">
        <v>-1041666.6629999988</v>
      </c>
      <c r="D12" s="11">
        <v>625000</v>
      </c>
      <c r="E12" s="11">
        <v>1000000</v>
      </c>
      <c r="F12" s="12">
        <f t="shared" si="1"/>
        <v>-375000</v>
      </c>
      <c r="G12" s="12">
        <f t="shared" si="0"/>
        <v>-1416666.6629999988</v>
      </c>
      <c r="H12" s="664" t="s">
        <v>22</v>
      </c>
      <c r="I12" s="664"/>
      <c r="J12" s="671" t="s">
        <v>10093</v>
      </c>
      <c r="K12" s="671" t="s">
        <v>10094</v>
      </c>
      <c r="L12" s="671"/>
      <c r="M12" s="666"/>
      <c r="N12" s="665"/>
      <c r="O12" s="665"/>
      <c r="P12" s="665"/>
      <c r="Q12" s="665"/>
      <c r="R12" s="665"/>
      <c r="S12" s="665"/>
    </row>
    <row r="13" spans="1:19" x14ac:dyDescent="0.2">
      <c r="A13" s="10">
        <v>16210960</v>
      </c>
      <c r="B13" s="10" t="s">
        <v>275</v>
      </c>
      <c r="C13" s="11">
        <v>0</v>
      </c>
      <c r="D13" s="11">
        <v>0</v>
      </c>
      <c r="E13" s="11">
        <v>0</v>
      </c>
      <c r="F13" s="12">
        <f t="shared" si="1"/>
        <v>0</v>
      </c>
      <c r="G13" s="12">
        <f t="shared" si="0"/>
        <v>0</v>
      </c>
      <c r="H13" s="664"/>
      <c r="I13" s="664"/>
      <c r="J13" s="671"/>
      <c r="K13" s="671"/>
      <c r="L13" s="671"/>
      <c r="M13" s="666"/>
      <c r="N13" s="665"/>
      <c r="O13" s="665"/>
      <c r="P13" s="665"/>
      <c r="Q13" s="665"/>
      <c r="R13" s="665"/>
      <c r="S13" s="665"/>
    </row>
    <row r="14" spans="1:19" x14ac:dyDescent="0.2">
      <c r="A14" s="10">
        <v>16400000</v>
      </c>
      <c r="B14" s="10" t="s">
        <v>276</v>
      </c>
      <c r="C14" s="11">
        <v>-173470.93400000024</v>
      </c>
      <c r="D14" s="11">
        <v>131884.26800000001</v>
      </c>
      <c r="E14" s="11">
        <v>61996.023000000001</v>
      </c>
      <c r="F14" s="12">
        <f t="shared" si="1"/>
        <v>69888.24500000001</v>
      </c>
      <c r="G14" s="12">
        <f t="shared" si="0"/>
        <v>-103582.68900000023</v>
      </c>
      <c r="H14" s="664" t="s">
        <v>22</v>
      </c>
      <c r="I14" s="664"/>
      <c r="J14" s="671" t="s">
        <v>10093</v>
      </c>
      <c r="K14" s="671"/>
      <c r="L14" s="671"/>
      <c r="M14" s="666"/>
      <c r="N14" s="665"/>
      <c r="O14" s="665"/>
      <c r="P14" s="665"/>
      <c r="Q14" s="665"/>
      <c r="R14" s="665"/>
      <c r="S14" s="665"/>
    </row>
    <row r="15" spans="1:19" x14ac:dyDescent="0.2">
      <c r="A15" s="10">
        <v>18800000</v>
      </c>
      <c r="B15" s="10" t="s">
        <v>23</v>
      </c>
      <c r="C15" s="11">
        <v>0</v>
      </c>
      <c r="D15" s="11">
        <v>0</v>
      </c>
      <c r="E15" s="11">
        <v>0</v>
      </c>
      <c r="F15" s="12">
        <f t="shared" si="1"/>
        <v>0</v>
      </c>
      <c r="G15" s="12">
        <f t="shared" si="0"/>
        <v>0</v>
      </c>
      <c r="H15" s="664"/>
      <c r="I15" s="664"/>
      <c r="J15" s="671"/>
      <c r="K15" s="671"/>
      <c r="L15" s="671"/>
      <c r="M15" s="666"/>
      <c r="N15" s="665"/>
      <c r="O15" s="665"/>
      <c r="P15" s="665"/>
      <c r="Q15" s="665"/>
      <c r="R15" s="665"/>
      <c r="S15" s="665"/>
    </row>
    <row r="16" spans="1:19" x14ac:dyDescent="0.2">
      <c r="A16" s="10">
        <v>21100000</v>
      </c>
      <c r="B16" s="10" t="s">
        <v>277</v>
      </c>
      <c r="C16" s="11">
        <v>0</v>
      </c>
      <c r="D16" s="11">
        <v>0</v>
      </c>
      <c r="E16" s="11">
        <v>0</v>
      </c>
      <c r="F16" s="12">
        <f t="shared" si="1"/>
        <v>0</v>
      </c>
      <c r="G16" s="12">
        <f t="shared" si="0"/>
        <v>0</v>
      </c>
      <c r="H16" s="664"/>
      <c r="I16" s="664"/>
      <c r="J16" s="671"/>
      <c r="K16" s="671"/>
      <c r="L16" s="671"/>
      <c r="M16" s="666"/>
      <c r="N16" s="665"/>
      <c r="O16" s="665"/>
      <c r="P16" s="665"/>
      <c r="Q16" s="665"/>
      <c r="R16" s="665"/>
      <c r="S16" s="665"/>
    </row>
    <row r="17" spans="1:19" x14ac:dyDescent="0.2">
      <c r="A17" s="10">
        <v>21300000</v>
      </c>
      <c r="B17" s="10" t="s">
        <v>24</v>
      </c>
      <c r="C17" s="11">
        <v>80409.226999999999</v>
      </c>
      <c r="D17" s="11">
        <v>12764.7</v>
      </c>
      <c r="E17" s="11">
        <v>0</v>
      </c>
      <c r="F17" s="12">
        <f t="shared" si="1"/>
        <v>12764.7</v>
      </c>
      <c r="G17" s="12">
        <f t="shared" si="0"/>
        <v>93173.926999999996</v>
      </c>
      <c r="H17" s="664" t="s">
        <v>25</v>
      </c>
      <c r="I17" s="664"/>
      <c r="J17" s="671" t="s">
        <v>10095</v>
      </c>
      <c r="K17" s="671" t="s">
        <v>10096</v>
      </c>
      <c r="L17" s="671"/>
      <c r="M17" s="666"/>
      <c r="N17" s="665"/>
      <c r="O17" s="665"/>
      <c r="P17" s="665"/>
      <c r="Q17" s="665"/>
      <c r="R17" s="665"/>
      <c r="S17" s="665"/>
    </row>
    <row r="18" spans="1:19" x14ac:dyDescent="0.2">
      <c r="A18" s="10">
        <v>22000000</v>
      </c>
      <c r="B18" s="10" t="s">
        <v>278</v>
      </c>
      <c r="C18" s="11">
        <v>0</v>
      </c>
      <c r="D18" s="11">
        <v>0</v>
      </c>
      <c r="E18" s="11">
        <v>0</v>
      </c>
      <c r="F18" s="12">
        <f t="shared" si="1"/>
        <v>0</v>
      </c>
      <c r="G18" s="12">
        <f t="shared" si="0"/>
        <v>0</v>
      </c>
      <c r="H18" s="664"/>
      <c r="I18" s="664"/>
      <c r="J18" s="671"/>
      <c r="K18" s="671"/>
      <c r="L18" s="671"/>
      <c r="M18" s="666"/>
      <c r="N18" s="665"/>
      <c r="O18" s="665"/>
      <c r="P18" s="665"/>
      <c r="Q18" s="665"/>
      <c r="R18" s="665"/>
      <c r="S18" s="665"/>
    </row>
    <row r="19" spans="1:19" x14ac:dyDescent="0.2">
      <c r="A19" s="10">
        <v>22100000</v>
      </c>
      <c r="B19" s="10" t="s">
        <v>26</v>
      </c>
      <c r="C19" s="11">
        <v>1275724</v>
      </c>
      <c r="D19" s="11">
        <v>0</v>
      </c>
      <c r="E19" s="11">
        <v>0</v>
      </c>
      <c r="F19" s="12">
        <f t="shared" si="1"/>
        <v>0</v>
      </c>
      <c r="G19" s="12">
        <f t="shared" si="0"/>
        <v>1275724</v>
      </c>
      <c r="H19" s="664" t="s">
        <v>25</v>
      </c>
      <c r="I19" s="664"/>
      <c r="J19" s="671" t="s">
        <v>10095</v>
      </c>
      <c r="K19" s="671" t="s">
        <v>10096</v>
      </c>
      <c r="L19" s="671"/>
      <c r="M19" s="666"/>
      <c r="N19" s="665"/>
      <c r="O19" s="665"/>
      <c r="P19" s="665"/>
      <c r="Q19" s="665"/>
      <c r="R19" s="665"/>
      <c r="S19" s="665"/>
    </row>
    <row r="20" spans="1:19" x14ac:dyDescent="0.2">
      <c r="A20" s="10">
        <v>22160000</v>
      </c>
      <c r="B20" s="10" t="s">
        <v>27</v>
      </c>
      <c r="C20" s="11">
        <v>161921.53600000002</v>
      </c>
      <c r="D20" s="11">
        <v>0</v>
      </c>
      <c r="E20" s="11">
        <v>0</v>
      </c>
      <c r="F20" s="12">
        <f t="shared" si="1"/>
        <v>0</v>
      </c>
      <c r="G20" s="12">
        <f t="shared" si="0"/>
        <v>161921.53600000002</v>
      </c>
      <c r="H20" s="664" t="s">
        <v>25</v>
      </c>
      <c r="I20" s="664"/>
      <c r="J20" s="671" t="s">
        <v>10095</v>
      </c>
      <c r="K20" s="671" t="s">
        <v>10096</v>
      </c>
      <c r="L20" s="671"/>
      <c r="M20" s="666"/>
      <c r="N20" s="665"/>
      <c r="O20" s="665"/>
      <c r="P20" s="665"/>
      <c r="Q20" s="665"/>
      <c r="R20" s="665"/>
      <c r="S20" s="665"/>
    </row>
    <row r="21" spans="1:19" x14ac:dyDescent="0.2">
      <c r="A21" s="10">
        <v>22200000</v>
      </c>
      <c r="B21" s="10" t="s">
        <v>28</v>
      </c>
      <c r="C21" s="11">
        <v>9027583.0759999994</v>
      </c>
      <c r="D21" s="11">
        <v>147315.67300000001</v>
      </c>
      <c r="E21" s="11">
        <v>0</v>
      </c>
      <c r="F21" s="12">
        <f t="shared" si="1"/>
        <v>147315.67300000001</v>
      </c>
      <c r="G21" s="12">
        <f t="shared" si="0"/>
        <v>9174898.7489999998</v>
      </c>
      <c r="H21" s="664" t="s">
        <v>25</v>
      </c>
      <c r="I21" s="664"/>
      <c r="J21" s="671" t="s">
        <v>10095</v>
      </c>
      <c r="K21" s="671" t="s">
        <v>10096</v>
      </c>
      <c r="L21" s="671"/>
      <c r="M21" s="666"/>
      <c r="N21" s="665"/>
      <c r="O21" s="665"/>
      <c r="P21" s="665"/>
      <c r="Q21" s="665"/>
      <c r="R21" s="665"/>
      <c r="S21" s="665"/>
    </row>
    <row r="22" spans="1:19" x14ac:dyDescent="0.2">
      <c r="A22" s="10">
        <v>22250000</v>
      </c>
      <c r="B22" s="10" t="s">
        <v>29</v>
      </c>
      <c r="C22" s="11">
        <v>653493.82499999995</v>
      </c>
      <c r="D22" s="11">
        <v>43180.232999999993</v>
      </c>
      <c r="E22" s="11">
        <v>0</v>
      </c>
      <c r="F22" s="12">
        <f t="shared" si="1"/>
        <v>43180.232999999993</v>
      </c>
      <c r="G22" s="12">
        <f t="shared" si="0"/>
        <v>696674.05799999996</v>
      </c>
      <c r="H22" s="664" t="s">
        <v>25</v>
      </c>
      <c r="I22" s="664"/>
      <c r="J22" s="671" t="s">
        <v>10095</v>
      </c>
      <c r="K22" s="671" t="s">
        <v>10096</v>
      </c>
      <c r="L22" s="671"/>
      <c r="M22" s="666"/>
      <c r="N22" s="665"/>
      <c r="O22" s="665"/>
      <c r="P22" s="665"/>
      <c r="Q22" s="665"/>
      <c r="R22" s="665"/>
      <c r="S22" s="665"/>
    </row>
    <row r="23" spans="1:19" x14ac:dyDescent="0.2">
      <c r="A23" s="10">
        <v>22300000</v>
      </c>
      <c r="B23" s="10" t="s">
        <v>30</v>
      </c>
      <c r="C23" s="11">
        <v>65870.611000000004</v>
      </c>
      <c r="D23" s="11">
        <v>10054.951999999999</v>
      </c>
      <c r="E23" s="11">
        <v>2354.9520000000002</v>
      </c>
      <c r="F23" s="12">
        <f t="shared" si="1"/>
        <v>7699.9999999999991</v>
      </c>
      <c r="G23" s="12">
        <f t="shared" si="0"/>
        <v>73570.611000000004</v>
      </c>
      <c r="H23" s="664" t="s">
        <v>25</v>
      </c>
      <c r="I23" s="664"/>
      <c r="J23" s="671" t="s">
        <v>10095</v>
      </c>
      <c r="K23" s="671" t="s">
        <v>10096</v>
      </c>
      <c r="L23" s="671"/>
      <c r="M23" s="666"/>
      <c r="N23" s="665"/>
      <c r="O23" s="665"/>
      <c r="P23" s="665"/>
      <c r="Q23" s="665"/>
      <c r="R23" s="665"/>
      <c r="S23" s="665"/>
    </row>
    <row r="24" spans="1:19" x14ac:dyDescent="0.2">
      <c r="A24" s="10">
        <v>22310000</v>
      </c>
      <c r="B24" s="10" t="s">
        <v>31</v>
      </c>
      <c r="C24" s="11">
        <v>0</v>
      </c>
      <c r="D24" s="11">
        <v>0</v>
      </c>
      <c r="E24" s="11">
        <v>0</v>
      </c>
      <c r="F24" s="12">
        <f t="shared" si="1"/>
        <v>0</v>
      </c>
      <c r="G24" s="12">
        <f t="shared" si="0"/>
        <v>0</v>
      </c>
      <c r="H24" s="664"/>
      <c r="I24" s="664"/>
      <c r="J24" s="671"/>
      <c r="K24" s="671"/>
      <c r="L24" s="671"/>
      <c r="M24" s="666"/>
      <c r="N24" s="665"/>
      <c r="O24" s="665"/>
      <c r="P24" s="665"/>
      <c r="Q24" s="665"/>
      <c r="R24" s="665"/>
      <c r="S24" s="665"/>
    </row>
    <row r="25" spans="1:19" x14ac:dyDescent="0.2">
      <c r="A25" s="10">
        <v>22340000</v>
      </c>
      <c r="B25" s="10" t="s">
        <v>32</v>
      </c>
      <c r="C25" s="11">
        <v>21854400.979411498</v>
      </c>
      <c r="D25" s="11">
        <v>2835378.3726374996</v>
      </c>
      <c r="E25" s="11">
        <v>13682.470000000001</v>
      </c>
      <c r="F25" s="12">
        <f t="shared" si="1"/>
        <v>2821695.9026374994</v>
      </c>
      <c r="G25" s="12">
        <f t="shared" si="0"/>
        <v>24676096.882048998</v>
      </c>
      <c r="H25" s="664" t="s">
        <v>25</v>
      </c>
      <c r="I25" s="664"/>
      <c r="J25" s="671" t="s">
        <v>10095</v>
      </c>
      <c r="K25" s="671" t="s">
        <v>10096</v>
      </c>
      <c r="L25" s="671"/>
      <c r="M25" s="666"/>
      <c r="N25" s="665"/>
      <c r="O25" s="665"/>
      <c r="P25" s="665"/>
      <c r="Q25" s="665"/>
      <c r="R25" s="665"/>
      <c r="S25" s="665"/>
    </row>
    <row r="26" spans="1:19" x14ac:dyDescent="0.2">
      <c r="A26" s="10">
        <v>22350000</v>
      </c>
      <c r="B26" s="10" t="s">
        <v>33</v>
      </c>
      <c r="C26" s="11">
        <v>595918.12949999981</v>
      </c>
      <c r="D26" s="11">
        <v>55880.005000000005</v>
      </c>
      <c r="E26" s="11">
        <v>0</v>
      </c>
      <c r="F26" s="12">
        <f t="shared" si="1"/>
        <v>55880.005000000005</v>
      </c>
      <c r="G26" s="12">
        <f t="shared" si="0"/>
        <v>651798.13449999981</v>
      </c>
      <c r="H26" s="664" t="s">
        <v>25</v>
      </c>
      <c r="I26" s="664"/>
      <c r="J26" s="671" t="s">
        <v>10095</v>
      </c>
      <c r="K26" s="671" t="s">
        <v>10096</v>
      </c>
      <c r="L26" s="671"/>
      <c r="M26" s="666"/>
      <c r="N26" s="665"/>
      <c r="O26" s="665"/>
      <c r="P26" s="665"/>
      <c r="Q26" s="665"/>
      <c r="R26" s="665"/>
      <c r="S26" s="665"/>
    </row>
    <row r="27" spans="1:19" x14ac:dyDescent="0.2">
      <c r="A27" s="10">
        <v>22370000</v>
      </c>
      <c r="B27" s="10" t="s">
        <v>34</v>
      </c>
      <c r="C27" s="11">
        <v>879252.85599999991</v>
      </c>
      <c r="D27" s="11">
        <v>22340.35</v>
      </c>
      <c r="E27" s="11">
        <v>0</v>
      </c>
      <c r="F27" s="12">
        <f t="shared" si="1"/>
        <v>22340.35</v>
      </c>
      <c r="G27" s="12">
        <f t="shared" si="0"/>
        <v>901593.20599999989</v>
      </c>
      <c r="H27" s="664" t="s">
        <v>25</v>
      </c>
      <c r="I27" s="664"/>
      <c r="J27" s="671" t="s">
        <v>10095</v>
      </c>
      <c r="K27" s="671" t="s">
        <v>10096</v>
      </c>
      <c r="L27" s="671"/>
      <c r="M27" s="666"/>
      <c r="N27" s="665"/>
      <c r="O27" s="665"/>
      <c r="P27" s="665"/>
      <c r="Q27" s="665"/>
      <c r="R27" s="665"/>
      <c r="S27" s="665"/>
    </row>
    <row r="28" spans="1:19" x14ac:dyDescent="0.2">
      <c r="A28" s="10">
        <v>22400000</v>
      </c>
      <c r="B28" s="10" t="s">
        <v>35</v>
      </c>
      <c r="C28" s="11">
        <v>1013855.8879999999</v>
      </c>
      <c r="D28" s="11">
        <v>224304.75100000002</v>
      </c>
      <c r="E28" s="11">
        <v>61848.025000000001</v>
      </c>
      <c r="F28" s="12">
        <f t="shared" si="1"/>
        <v>162456.72600000002</v>
      </c>
      <c r="G28" s="12">
        <f t="shared" si="0"/>
        <v>1176312.6140000001</v>
      </c>
      <c r="H28" s="664" t="s">
        <v>25</v>
      </c>
      <c r="I28" s="664"/>
      <c r="J28" s="671" t="s">
        <v>10095</v>
      </c>
      <c r="K28" s="671" t="s">
        <v>10096</v>
      </c>
      <c r="L28" s="671"/>
      <c r="M28" s="666"/>
      <c r="N28" s="665"/>
      <c r="O28" s="665"/>
      <c r="P28" s="665"/>
      <c r="Q28" s="665"/>
      <c r="R28" s="665"/>
      <c r="S28" s="665"/>
    </row>
    <row r="29" spans="1:19" x14ac:dyDescent="0.2">
      <c r="A29" s="10">
        <v>22810000</v>
      </c>
      <c r="B29" s="10" t="s">
        <v>36</v>
      </c>
      <c r="C29" s="11">
        <v>0</v>
      </c>
      <c r="D29" s="11">
        <v>0</v>
      </c>
      <c r="E29" s="11">
        <v>0</v>
      </c>
      <c r="F29" s="12">
        <f t="shared" si="1"/>
        <v>0</v>
      </c>
      <c r="G29" s="12">
        <f t="shared" si="0"/>
        <v>0</v>
      </c>
      <c r="H29" s="664"/>
      <c r="I29" s="664"/>
      <c r="J29" s="671"/>
      <c r="K29" s="671"/>
      <c r="L29" s="671"/>
      <c r="M29" s="666"/>
      <c r="N29" s="665"/>
      <c r="O29" s="665"/>
      <c r="P29" s="665"/>
      <c r="Q29" s="665"/>
      <c r="R29" s="665"/>
      <c r="S29" s="665"/>
    </row>
    <row r="30" spans="1:19" x14ac:dyDescent="0.2">
      <c r="A30" s="10">
        <v>22820000</v>
      </c>
      <c r="B30" s="10" t="s">
        <v>37</v>
      </c>
      <c r="C30" s="11">
        <v>248575.93114999996</v>
      </c>
      <c r="D30" s="11">
        <v>34566.752999999997</v>
      </c>
      <c r="E30" s="11">
        <v>1971.42</v>
      </c>
      <c r="F30" s="12">
        <f t="shared" si="1"/>
        <v>32595.332999999999</v>
      </c>
      <c r="G30" s="12">
        <f t="shared" si="0"/>
        <v>281171.26414999994</v>
      </c>
      <c r="H30" s="664" t="s">
        <v>25</v>
      </c>
      <c r="I30" s="664"/>
      <c r="J30" s="671" t="s">
        <v>10095</v>
      </c>
      <c r="K30" s="671" t="s">
        <v>10096</v>
      </c>
      <c r="L30" s="671"/>
      <c r="M30" s="666"/>
      <c r="N30" s="665"/>
      <c r="O30" s="665"/>
      <c r="P30" s="665"/>
      <c r="Q30" s="665"/>
      <c r="R30" s="665"/>
      <c r="S30" s="665"/>
    </row>
    <row r="31" spans="1:19" x14ac:dyDescent="0.2">
      <c r="A31" s="10">
        <v>22830000</v>
      </c>
      <c r="B31" s="10" t="s">
        <v>279</v>
      </c>
      <c r="C31" s="11">
        <v>157309.56799999997</v>
      </c>
      <c r="D31" s="11">
        <v>86486.600286000001</v>
      </c>
      <c r="E31" s="11">
        <v>0</v>
      </c>
      <c r="F31" s="12">
        <f t="shared" si="1"/>
        <v>86486.600286000001</v>
      </c>
      <c r="G31" s="12">
        <f t="shared" si="0"/>
        <v>243796.16828599997</v>
      </c>
      <c r="H31" s="664" t="s">
        <v>25</v>
      </c>
      <c r="I31" s="664"/>
      <c r="J31" s="671" t="s">
        <v>10095</v>
      </c>
      <c r="K31" s="671" t="s">
        <v>10096</v>
      </c>
      <c r="L31" s="671"/>
      <c r="M31" s="666"/>
      <c r="N31" s="665"/>
      <c r="O31" s="665"/>
      <c r="P31" s="665"/>
      <c r="Q31" s="665"/>
      <c r="R31" s="665"/>
      <c r="S31" s="665"/>
    </row>
    <row r="32" spans="1:19" x14ac:dyDescent="0.2">
      <c r="A32" s="10">
        <v>23000000</v>
      </c>
      <c r="B32" s="10" t="s">
        <v>280</v>
      </c>
      <c r="C32" s="11">
        <v>2.0000000404252205E-5</v>
      </c>
      <c r="D32" s="11">
        <v>0</v>
      </c>
      <c r="E32" s="11">
        <v>0</v>
      </c>
      <c r="F32" s="12">
        <f t="shared" si="1"/>
        <v>0</v>
      </c>
      <c r="G32" s="12">
        <f t="shared" si="0"/>
        <v>2.0000000404252205E-5</v>
      </c>
      <c r="H32" s="664"/>
      <c r="I32" s="664"/>
      <c r="J32" s="671"/>
      <c r="K32" s="671"/>
      <c r="L32" s="671"/>
      <c r="M32" s="666"/>
      <c r="N32" s="665"/>
      <c r="O32" s="665"/>
      <c r="P32" s="665"/>
      <c r="Q32" s="665"/>
      <c r="R32" s="665"/>
      <c r="S32" s="665"/>
    </row>
    <row r="33" spans="1:19" x14ac:dyDescent="0.2">
      <c r="A33" s="10">
        <v>23200000</v>
      </c>
      <c r="B33" s="10" t="s">
        <v>38</v>
      </c>
      <c r="C33" s="11">
        <v>2440755.4682974992</v>
      </c>
      <c r="D33" s="11">
        <v>0</v>
      </c>
      <c r="E33" s="11">
        <v>2036034.2250000001</v>
      </c>
      <c r="F33" s="12">
        <f t="shared" si="1"/>
        <v>-2036034.2250000001</v>
      </c>
      <c r="G33" s="12">
        <f t="shared" si="0"/>
        <v>404721.24329749914</v>
      </c>
      <c r="H33" s="664" t="s">
        <v>25</v>
      </c>
      <c r="I33" s="664"/>
      <c r="J33" s="671" t="s">
        <v>10095</v>
      </c>
      <c r="K33" s="671" t="s">
        <v>10096</v>
      </c>
      <c r="L33" s="671"/>
      <c r="M33" s="666"/>
      <c r="N33" s="665"/>
      <c r="O33" s="665"/>
      <c r="P33" s="665"/>
      <c r="Q33" s="665"/>
      <c r="R33" s="665"/>
      <c r="S33" s="665"/>
    </row>
    <row r="34" spans="1:19" x14ac:dyDescent="0.2">
      <c r="A34" s="10">
        <v>23220000</v>
      </c>
      <c r="B34" s="10" t="s">
        <v>39</v>
      </c>
      <c r="C34" s="11">
        <v>7912.2339999973774</v>
      </c>
      <c r="D34" s="11">
        <v>139403.43900000001</v>
      </c>
      <c r="E34" s="11">
        <v>147315.67300000001</v>
      </c>
      <c r="F34" s="12">
        <f t="shared" si="1"/>
        <v>-7912.2339999999967</v>
      </c>
      <c r="G34" s="12">
        <f t="shared" si="0"/>
        <v>-2.6193447411060333E-9</v>
      </c>
      <c r="H34" s="664" t="s">
        <v>25</v>
      </c>
      <c r="I34" s="664"/>
      <c r="J34" s="671" t="s">
        <v>10095</v>
      </c>
      <c r="K34" s="671" t="s">
        <v>10096</v>
      </c>
      <c r="L34" s="671"/>
      <c r="M34" s="666"/>
      <c r="N34" s="665"/>
      <c r="O34" s="665"/>
      <c r="P34" s="665"/>
      <c r="Q34" s="665"/>
      <c r="R34" s="665"/>
      <c r="S34" s="665"/>
    </row>
    <row r="35" spans="1:19" x14ac:dyDescent="0.2">
      <c r="A35" s="10">
        <v>23225000</v>
      </c>
      <c r="B35" s="10" t="s">
        <v>281</v>
      </c>
      <c r="C35" s="11">
        <v>0</v>
      </c>
      <c r="D35" s="11">
        <v>0</v>
      </c>
      <c r="E35" s="11">
        <v>0</v>
      </c>
      <c r="F35" s="12">
        <f t="shared" si="1"/>
        <v>0</v>
      </c>
      <c r="G35" s="12">
        <f t="shared" si="0"/>
        <v>0</v>
      </c>
      <c r="H35" s="664"/>
      <c r="I35" s="664"/>
      <c r="J35" s="671"/>
      <c r="K35" s="671"/>
      <c r="L35" s="671"/>
      <c r="M35" s="666"/>
      <c r="N35" s="665"/>
      <c r="O35" s="665"/>
      <c r="P35" s="665"/>
      <c r="Q35" s="665"/>
      <c r="R35" s="665"/>
      <c r="S35" s="665"/>
    </row>
    <row r="36" spans="1:19" x14ac:dyDescent="0.2">
      <c r="A36" s="10">
        <v>23231000</v>
      </c>
      <c r="B36" s="10" t="s">
        <v>282</v>
      </c>
      <c r="C36" s="11">
        <v>0</v>
      </c>
      <c r="D36" s="11">
        <v>0</v>
      </c>
      <c r="E36" s="11">
        <v>0</v>
      </c>
      <c r="F36" s="12">
        <f t="shared" si="1"/>
        <v>0</v>
      </c>
      <c r="G36" s="12">
        <f t="shared" si="0"/>
        <v>0</v>
      </c>
      <c r="H36" s="664"/>
      <c r="I36" s="664"/>
      <c r="J36" s="671"/>
      <c r="K36" s="671"/>
      <c r="L36" s="671"/>
      <c r="M36" s="666"/>
      <c r="N36" s="665"/>
      <c r="O36" s="665"/>
      <c r="P36" s="665"/>
      <c r="Q36" s="665"/>
      <c r="R36" s="665"/>
      <c r="S36" s="665"/>
    </row>
    <row r="37" spans="1:19" x14ac:dyDescent="0.2">
      <c r="A37" s="10">
        <v>23237000</v>
      </c>
      <c r="B37" s="10" t="s">
        <v>283</v>
      </c>
      <c r="C37" s="11">
        <v>0</v>
      </c>
      <c r="D37" s="11">
        <v>0</v>
      </c>
      <c r="E37" s="11">
        <v>0</v>
      </c>
      <c r="F37" s="12">
        <f t="shared" si="1"/>
        <v>0</v>
      </c>
      <c r="G37" s="12">
        <f t="shared" si="0"/>
        <v>0</v>
      </c>
      <c r="H37" s="664"/>
      <c r="I37" s="664"/>
      <c r="J37" s="671"/>
      <c r="K37" s="671"/>
      <c r="L37" s="671"/>
      <c r="M37" s="666"/>
      <c r="N37" s="665"/>
      <c r="O37" s="665"/>
      <c r="P37" s="665"/>
      <c r="Q37" s="665"/>
      <c r="R37" s="665"/>
      <c r="S37" s="665"/>
    </row>
    <row r="38" spans="1:19" x14ac:dyDescent="0.2">
      <c r="A38" s="10">
        <v>23250000</v>
      </c>
      <c r="B38" s="10" t="s">
        <v>284</v>
      </c>
      <c r="C38" s="11">
        <v>0</v>
      </c>
      <c r="D38" s="11">
        <v>0</v>
      </c>
      <c r="E38" s="11">
        <v>0</v>
      </c>
      <c r="F38" s="12">
        <f t="shared" si="1"/>
        <v>0</v>
      </c>
      <c r="G38" s="12">
        <f t="shared" si="0"/>
        <v>0</v>
      </c>
      <c r="H38" s="664"/>
      <c r="I38" s="664"/>
      <c r="J38" s="671"/>
      <c r="K38" s="671"/>
      <c r="L38" s="671"/>
      <c r="M38" s="666"/>
      <c r="N38" s="665"/>
      <c r="O38" s="665"/>
      <c r="P38" s="665"/>
      <c r="Q38" s="665"/>
      <c r="R38" s="665"/>
      <c r="S38" s="665"/>
    </row>
    <row r="39" spans="1:19" x14ac:dyDescent="0.2">
      <c r="A39" s="10">
        <v>23800000</v>
      </c>
      <c r="B39" s="10" t="s">
        <v>285</v>
      </c>
      <c r="C39" s="11">
        <v>0</v>
      </c>
      <c r="D39" s="11">
        <v>0</v>
      </c>
      <c r="E39" s="11">
        <v>0</v>
      </c>
      <c r="F39" s="12">
        <f t="shared" si="1"/>
        <v>0</v>
      </c>
      <c r="G39" s="12">
        <f t="shared" si="0"/>
        <v>0</v>
      </c>
      <c r="H39" s="664"/>
      <c r="I39" s="664"/>
      <c r="J39" s="671"/>
      <c r="K39" s="671"/>
      <c r="L39" s="671"/>
      <c r="M39" s="666"/>
      <c r="N39" s="665"/>
      <c r="O39" s="665"/>
      <c r="P39" s="665"/>
      <c r="Q39" s="665"/>
      <c r="R39" s="665"/>
      <c r="S39" s="665"/>
    </row>
    <row r="40" spans="1:19" x14ac:dyDescent="0.2">
      <c r="A40" s="10">
        <v>24000000</v>
      </c>
      <c r="B40" s="10" t="s">
        <v>40</v>
      </c>
      <c r="C40" s="11">
        <v>703370.37699999998</v>
      </c>
      <c r="D40" s="11">
        <v>86997.273000000016</v>
      </c>
      <c r="E40" s="11">
        <v>20333.891</v>
      </c>
      <c r="F40" s="12">
        <f t="shared" si="1"/>
        <v>66663.382000000012</v>
      </c>
      <c r="G40" s="12">
        <f t="shared" si="0"/>
        <v>770033.75899999996</v>
      </c>
      <c r="H40" s="664" t="s">
        <v>25</v>
      </c>
      <c r="I40" s="664"/>
      <c r="J40" s="671" t="s">
        <v>10095</v>
      </c>
      <c r="K40" s="671" t="s">
        <v>10096</v>
      </c>
      <c r="L40" s="671"/>
      <c r="M40" s="666"/>
      <c r="N40" s="665"/>
      <c r="O40" s="665"/>
      <c r="P40" s="665"/>
      <c r="Q40" s="665"/>
      <c r="R40" s="665"/>
      <c r="S40" s="665"/>
    </row>
    <row r="41" spans="1:19" x14ac:dyDescent="0.2">
      <c r="A41" s="10">
        <v>25100000</v>
      </c>
      <c r="B41" s="10" t="s">
        <v>286</v>
      </c>
      <c r="C41" s="11">
        <v>0</v>
      </c>
      <c r="D41" s="11">
        <v>0</v>
      </c>
      <c r="E41" s="11">
        <v>0</v>
      </c>
      <c r="F41" s="12">
        <f t="shared" si="1"/>
        <v>0</v>
      </c>
      <c r="G41" s="12">
        <f t="shared" si="0"/>
        <v>0</v>
      </c>
      <c r="H41" s="664"/>
      <c r="I41" s="664"/>
      <c r="J41" s="671"/>
      <c r="K41" s="671"/>
      <c r="L41" s="671"/>
      <c r="M41" s="666"/>
      <c r="N41" s="665"/>
      <c r="O41" s="665"/>
      <c r="P41" s="665"/>
      <c r="Q41" s="665"/>
      <c r="R41" s="665"/>
      <c r="S41" s="665"/>
    </row>
    <row r="42" spans="1:19" x14ac:dyDescent="0.2">
      <c r="A42" s="10">
        <v>25110000</v>
      </c>
      <c r="B42" s="10" t="s">
        <v>41</v>
      </c>
      <c r="C42" s="11">
        <v>266820</v>
      </c>
      <c r="D42" s="11">
        <v>0</v>
      </c>
      <c r="E42" s="11">
        <v>0</v>
      </c>
      <c r="F42" s="12">
        <f t="shared" si="1"/>
        <v>0</v>
      </c>
      <c r="G42" s="12">
        <f t="shared" si="0"/>
        <v>266820</v>
      </c>
      <c r="H42" s="664" t="s">
        <v>42</v>
      </c>
      <c r="I42" s="664"/>
      <c r="J42" s="671" t="s">
        <v>10097</v>
      </c>
      <c r="K42" s="671" t="s">
        <v>10098</v>
      </c>
      <c r="L42" s="671"/>
      <c r="M42" s="666"/>
      <c r="N42" s="665"/>
      <c r="O42" s="665"/>
      <c r="P42" s="665"/>
      <c r="Q42" s="665"/>
      <c r="R42" s="665"/>
      <c r="S42" s="665"/>
    </row>
    <row r="43" spans="1:19" x14ac:dyDescent="0.2">
      <c r="A43" s="10">
        <v>25120000</v>
      </c>
      <c r="B43" s="10" t="s">
        <v>287</v>
      </c>
      <c r="C43" s="11">
        <v>512700</v>
      </c>
      <c r="D43" s="11">
        <v>0</v>
      </c>
      <c r="E43" s="11">
        <v>0</v>
      </c>
      <c r="F43" s="12">
        <f t="shared" si="1"/>
        <v>0</v>
      </c>
      <c r="G43" s="12">
        <f t="shared" si="0"/>
        <v>512700</v>
      </c>
      <c r="H43" s="664" t="s">
        <v>42</v>
      </c>
      <c r="I43" s="664"/>
      <c r="J43" s="671" t="s">
        <v>10097</v>
      </c>
      <c r="K43" s="671" t="s">
        <v>10098</v>
      </c>
      <c r="L43" s="671"/>
      <c r="M43" s="666"/>
      <c r="N43" s="665"/>
      <c r="O43" s="665"/>
      <c r="P43" s="665"/>
      <c r="Q43" s="665"/>
      <c r="R43" s="665"/>
      <c r="S43" s="665"/>
    </row>
    <row r="44" spans="1:19" x14ac:dyDescent="0.2">
      <c r="A44" s="10">
        <v>25130000</v>
      </c>
      <c r="B44" s="10" t="s">
        <v>43</v>
      </c>
      <c r="C44" s="11">
        <v>677000</v>
      </c>
      <c r="D44" s="11">
        <v>0</v>
      </c>
      <c r="E44" s="11">
        <v>0</v>
      </c>
      <c r="F44" s="12">
        <f t="shared" si="1"/>
        <v>0</v>
      </c>
      <c r="G44" s="12">
        <f t="shared" si="0"/>
        <v>677000</v>
      </c>
      <c r="H44" s="664" t="s">
        <v>42</v>
      </c>
      <c r="I44" s="664"/>
      <c r="J44" s="671" t="s">
        <v>10097</v>
      </c>
      <c r="K44" s="671" t="s">
        <v>10098</v>
      </c>
      <c r="L44" s="671"/>
      <c r="M44" s="666"/>
      <c r="N44" s="665"/>
      <c r="O44" s="665"/>
      <c r="P44" s="665"/>
      <c r="Q44" s="665"/>
      <c r="R44" s="665"/>
      <c r="S44" s="665"/>
    </row>
    <row r="45" spans="1:19" x14ac:dyDescent="0.2">
      <c r="A45" s="10">
        <v>25140000</v>
      </c>
      <c r="B45" s="10" t="s">
        <v>44</v>
      </c>
      <c r="C45" s="11">
        <v>1575000</v>
      </c>
      <c r="D45" s="11">
        <v>1575000</v>
      </c>
      <c r="E45" s="11">
        <v>0</v>
      </c>
      <c r="F45" s="12">
        <f t="shared" si="1"/>
        <v>1575000</v>
      </c>
      <c r="G45" s="12">
        <f t="shared" si="0"/>
        <v>3150000</v>
      </c>
      <c r="H45" s="664" t="s">
        <v>42</v>
      </c>
      <c r="I45" s="664"/>
      <c r="J45" s="671" t="s">
        <v>10097</v>
      </c>
      <c r="K45" s="671" t="s">
        <v>10098</v>
      </c>
      <c r="L45" s="671"/>
      <c r="M45" s="666"/>
      <c r="N45" s="665"/>
      <c r="O45" s="665"/>
      <c r="P45" s="665"/>
      <c r="Q45" s="665"/>
      <c r="R45" s="665"/>
      <c r="S45" s="665"/>
    </row>
    <row r="46" spans="1:19" x14ac:dyDescent="0.2">
      <c r="A46" s="10">
        <v>25150000</v>
      </c>
      <c r="B46" s="10" t="s">
        <v>387</v>
      </c>
      <c r="C46" s="11">
        <v>0</v>
      </c>
      <c r="D46" s="11">
        <v>319680</v>
      </c>
      <c r="E46" s="11">
        <v>0</v>
      </c>
      <c r="F46" s="12">
        <f t="shared" si="1"/>
        <v>319680</v>
      </c>
      <c r="G46" s="12">
        <f t="shared" si="0"/>
        <v>319680</v>
      </c>
      <c r="H46" s="664" t="s">
        <v>42</v>
      </c>
      <c r="I46" s="664"/>
      <c r="J46" s="671" t="s">
        <v>10097</v>
      </c>
      <c r="K46" s="671" t="s">
        <v>10098</v>
      </c>
      <c r="L46" s="671"/>
      <c r="M46" s="666"/>
      <c r="N46" s="665"/>
      <c r="O46" s="665"/>
      <c r="P46" s="665"/>
      <c r="Q46" s="665"/>
      <c r="R46" s="665"/>
      <c r="S46" s="665"/>
    </row>
    <row r="47" spans="1:19" x14ac:dyDescent="0.2">
      <c r="A47" s="10">
        <v>25700000</v>
      </c>
      <c r="B47" s="10" t="s">
        <v>288</v>
      </c>
      <c r="C47" s="11">
        <v>1575000</v>
      </c>
      <c r="D47" s="11">
        <v>0</v>
      </c>
      <c r="E47" s="11">
        <v>1575000</v>
      </c>
      <c r="F47" s="12">
        <f t="shared" si="1"/>
        <v>-1575000</v>
      </c>
      <c r="G47" s="12">
        <f t="shared" si="0"/>
        <v>0</v>
      </c>
      <c r="H47" s="664" t="s">
        <v>42</v>
      </c>
      <c r="I47" s="664"/>
      <c r="J47" s="671" t="s">
        <v>10097</v>
      </c>
      <c r="K47" s="671" t="s">
        <v>10098</v>
      </c>
      <c r="L47" s="671"/>
      <c r="M47" s="666"/>
      <c r="N47" s="665"/>
      <c r="O47" s="665"/>
      <c r="P47" s="665"/>
      <c r="Q47" s="665"/>
      <c r="R47" s="665"/>
      <c r="S47" s="665"/>
    </row>
    <row r="48" spans="1:19" x14ac:dyDescent="0.2">
      <c r="A48" s="10">
        <v>25810000</v>
      </c>
      <c r="B48" s="10" t="s">
        <v>289</v>
      </c>
      <c r="C48" s="11">
        <v>0</v>
      </c>
      <c r="D48" s="11">
        <v>0</v>
      </c>
      <c r="E48" s="11">
        <v>0</v>
      </c>
      <c r="F48" s="12">
        <f t="shared" si="1"/>
        <v>0</v>
      </c>
      <c r="G48" s="12">
        <f t="shared" si="0"/>
        <v>0</v>
      </c>
      <c r="H48" s="664"/>
      <c r="I48" s="664"/>
      <c r="J48" s="671"/>
      <c r="K48" s="671"/>
      <c r="L48" s="671"/>
      <c r="M48" s="666"/>
      <c r="N48" s="665"/>
      <c r="O48" s="665"/>
      <c r="P48" s="665"/>
      <c r="Q48" s="665"/>
      <c r="R48" s="665"/>
      <c r="S48" s="665"/>
    </row>
    <row r="49" spans="1:19" x14ac:dyDescent="0.2">
      <c r="A49" s="10">
        <v>26400000</v>
      </c>
      <c r="B49" s="10" t="s">
        <v>290</v>
      </c>
      <c r="C49" s="11">
        <v>0</v>
      </c>
      <c r="D49" s="11">
        <v>0</v>
      </c>
      <c r="E49" s="11">
        <v>0</v>
      </c>
      <c r="F49" s="12">
        <f t="shared" si="1"/>
        <v>0</v>
      </c>
      <c r="G49" s="12">
        <f t="shared" si="0"/>
        <v>0</v>
      </c>
      <c r="H49" s="664"/>
      <c r="I49" s="664"/>
      <c r="J49" s="671"/>
      <c r="K49" s="671"/>
      <c r="L49" s="671"/>
      <c r="M49" s="666"/>
      <c r="N49" s="665"/>
      <c r="O49" s="665"/>
      <c r="P49" s="665"/>
      <c r="Q49" s="665"/>
      <c r="R49" s="665"/>
      <c r="S49" s="665"/>
    </row>
    <row r="50" spans="1:19" x14ac:dyDescent="0.2">
      <c r="A50" s="10">
        <v>26430000</v>
      </c>
      <c r="B50" s="10" t="s">
        <v>291</v>
      </c>
      <c r="C50" s="11">
        <v>0</v>
      </c>
      <c r="D50" s="11">
        <v>0</v>
      </c>
      <c r="E50" s="11">
        <v>0</v>
      </c>
      <c r="F50" s="12">
        <f t="shared" si="1"/>
        <v>0</v>
      </c>
      <c r="G50" s="12">
        <f t="shared" si="0"/>
        <v>0</v>
      </c>
      <c r="H50" s="664"/>
      <c r="I50" s="664"/>
      <c r="J50" s="671"/>
      <c r="K50" s="671"/>
      <c r="L50" s="671"/>
      <c r="M50" s="666"/>
      <c r="N50" s="665"/>
      <c r="O50" s="665"/>
      <c r="P50" s="665"/>
      <c r="Q50" s="665"/>
      <c r="R50" s="665"/>
      <c r="S50" s="665"/>
    </row>
    <row r="51" spans="1:19" x14ac:dyDescent="0.2">
      <c r="A51" s="10">
        <v>26500000</v>
      </c>
      <c r="B51" s="10" t="s">
        <v>45</v>
      </c>
      <c r="C51" s="11">
        <v>105597.1440000002</v>
      </c>
      <c r="D51" s="11">
        <v>28159.016000000003</v>
      </c>
      <c r="E51" s="11">
        <v>133756.16</v>
      </c>
      <c r="F51" s="12">
        <f t="shared" si="1"/>
        <v>-105597.144</v>
      </c>
      <c r="G51" s="12">
        <f t="shared" si="0"/>
        <v>2.0372681319713593E-10</v>
      </c>
      <c r="H51" s="664" t="s">
        <v>46</v>
      </c>
      <c r="I51" s="664"/>
      <c r="J51" s="671" t="s">
        <v>10097</v>
      </c>
      <c r="K51" s="671" t="s">
        <v>10098</v>
      </c>
      <c r="L51" s="671"/>
      <c r="M51" s="666"/>
      <c r="N51" s="665"/>
      <c r="O51" s="665"/>
      <c r="P51" s="665"/>
      <c r="Q51" s="665"/>
      <c r="R51" s="665"/>
      <c r="S51" s="665"/>
    </row>
    <row r="52" spans="1:19" x14ac:dyDescent="0.2">
      <c r="A52" s="10">
        <v>26510000</v>
      </c>
      <c r="B52" s="10" t="s">
        <v>292</v>
      </c>
      <c r="C52" s="11">
        <v>0</v>
      </c>
      <c r="D52" s="11">
        <v>0</v>
      </c>
      <c r="E52" s="11">
        <v>0</v>
      </c>
      <c r="F52" s="12">
        <f t="shared" si="1"/>
        <v>0</v>
      </c>
      <c r="G52" s="12">
        <f t="shared" si="0"/>
        <v>0</v>
      </c>
      <c r="H52" s="664"/>
      <c r="I52" s="664"/>
      <c r="J52" s="671"/>
      <c r="K52" s="671"/>
      <c r="L52" s="671"/>
      <c r="M52" s="666"/>
      <c r="N52" s="665"/>
      <c r="O52" s="665"/>
      <c r="P52" s="665"/>
      <c r="Q52" s="665"/>
      <c r="R52" s="665"/>
      <c r="S52" s="665"/>
    </row>
    <row r="53" spans="1:19" x14ac:dyDescent="0.2">
      <c r="A53" s="10">
        <v>26550000</v>
      </c>
      <c r="B53" s="10" t="s">
        <v>293</v>
      </c>
      <c r="C53" s="11">
        <v>0</v>
      </c>
      <c r="D53" s="11">
        <v>0</v>
      </c>
      <c r="E53" s="11">
        <v>0</v>
      </c>
      <c r="F53" s="12">
        <f t="shared" si="1"/>
        <v>0</v>
      </c>
      <c r="G53" s="12">
        <f t="shared" si="0"/>
        <v>0</v>
      </c>
      <c r="H53" s="664"/>
      <c r="I53" s="664"/>
      <c r="J53" s="671"/>
      <c r="K53" s="671"/>
      <c r="L53" s="671"/>
      <c r="M53" s="666"/>
      <c r="N53" s="665"/>
      <c r="O53" s="665"/>
      <c r="P53" s="665"/>
      <c r="Q53" s="665"/>
      <c r="R53" s="665"/>
      <c r="S53" s="665"/>
    </row>
    <row r="54" spans="1:19" x14ac:dyDescent="0.2">
      <c r="A54" s="10">
        <v>26580000</v>
      </c>
      <c r="B54" s="10" t="s">
        <v>23</v>
      </c>
      <c r="C54" s="11">
        <v>0</v>
      </c>
      <c r="D54" s="11">
        <v>5771.2</v>
      </c>
      <c r="E54" s="11">
        <v>0</v>
      </c>
      <c r="F54" s="12">
        <f t="shared" si="1"/>
        <v>5771.2</v>
      </c>
      <c r="G54" s="12">
        <f t="shared" si="0"/>
        <v>5771.2</v>
      </c>
      <c r="H54" s="664" t="s">
        <v>46</v>
      </c>
      <c r="I54" s="664"/>
      <c r="J54" s="671"/>
      <c r="K54" s="671"/>
      <c r="L54" s="671"/>
      <c r="M54" s="666"/>
      <c r="N54" s="665"/>
      <c r="O54" s="665"/>
      <c r="P54" s="665"/>
      <c r="Q54" s="665"/>
      <c r="R54" s="665"/>
      <c r="S54" s="665"/>
    </row>
    <row r="55" spans="1:19" x14ac:dyDescent="0.2">
      <c r="A55" s="10">
        <v>27100000</v>
      </c>
      <c r="B55" s="10" t="s">
        <v>294</v>
      </c>
      <c r="C55" s="11">
        <v>0</v>
      </c>
      <c r="D55" s="11">
        <v>0</v>
      </c>
      <c r="E55" s="11">
        <v>0</v>
      </c>
      <c r="F55" s="12">
        <f t="shared" si="1"/>
        <v>0</v>
      </c>
      <c r="G55" s="12">
        <f t="shared" si="0"/>
        <v>0</v>
      </c>
      <c r="H55" s="664"/>
      <c r="I55" s="664"/>
      <c r="J55" s="671"/>
      <c r="K55" s="671"/>
      <c r="L55" s="671"/>
      <c r="M55" s="666"/>
      <c r="N55" s="665"/>
      <c r="O55" s="665"/>
      <c r="P55" s="665"/>
      <c r="Q55" s="665"/>
      <c r="R55" s="665"/>
      <c r="S55" s="665"/>
    </row>
    <row r="56" spans="1:19" x14ac:dyDescent="0.2">
      <c r="A56" s="10">
        <v>28100000</v>
      </c>
      <c r="B56" s="10" t="s">
        <v>295</v>
      </c>
      <c r="C56" s="11">
        <v>0</v>
      </c>
      <c r="D56" s="11">
        <v>0</v>
      </c>
      <c r="E56" s="11">
        <v>0</v>
      </c>
      <c r="F56" s="12">
        <f t="shared" si="1"/>
        <v>0</v>
      </c>
      <c r="G56" s="12">
        <f t="shared" si="0"/>
        <v>0</v>
      </c>
      <c r="H56" s="664"/>
      <c r="I56" s="664"/>
      <c r="J56" s="671"/>
      <c r="K56" s="671"/>
      <c r="L56" s="671"/>
      <c r="M56" s="666"/>
      <c r="N56" s="665"/>
      <c r="O56" s="665"/>
      <c r="P56" s="665"/>
      <c r="Q56" s="665"/>
      <c r="R56" s="665"/>
      <c r="S56" s="665"/>
    </row>
    <row r="57" spans="1:19" x14ac:dyDescent="0.2">
      <c r="A57" s="10">
        <v>28110000</v>
      </c>
      <c r="B57" s="10" t="s">
        <v>296</v>
      </c>
      <c r="C57" s="11">
        <v>0</v>
      </c>
      <c r="D57" s="11">
        <v>0</v>
      </c>
      <c r="E57" s="11">
        <v>0</v>
      </c>
      <c r="F57" s="12">
        <f t="shared" si="1"/>
        <v>0</v>
      </c>
      <c r="G57" s="12">
        <f t="shared" si="0"/>
        <v>0</v>
      </c>
      <c r="H57" s="664"/>
      <c r="I57" s="664"/>
      <c r="J57" s="671"/>
      <c r="K57" s="671"/>
      <c r="L57" s="671"/>
      <c r="M57" s="666"/>
      <c r="N57" s="665"/>
      <c r="O57" s="665"/>
      <c r="P57" s="665"/>
      <c r="Q57" s="665"/>
      <c r="R57" s="665"/>
      <c r="S57" s="665"/>
    </row>
    <row r="58" spans="1:19" x14ac:dyDescent="0.2">
      <c r="A58" s="10">
        <v>28130000</v>
      </c>
      <c r="B58" s="10" t="s">
        <v>8979</v>
      </c>
      <c r="C58" s="11">
        <v>-67413.094999999987</v>
      </c>
      <c r="D58" s="11">
        <v>0</v>
      </c>
      <c r="E58" s="11">
        <v>7591.8009999999995</v>
      </c>
      <c r="F58" s="12">
        <f t="shared" si="1"/>
        <v>-7591.8009999999995</v>
      </c>
      <c r="G58" s="12">
        <f t="shared" si="0"/>
        <v>-75004.895999999979</v>
      </c>
      <c r="H58" s="664" t="s">
        <v>47</v>
      </c>
      <c r="I58" s="664"/>
      <c r="J58" s="671"/>
      <c r="K58" s="671"/>
      <c r="L58" s="671"/>
      <c r="M58" s="666"/>
      <c r="N58" s="665"/>
      <c r="O58" s="665"/>
      <c r="P58" s="665"/>
      <c r="Q58" s="665"/>
      <c r="R58" s="665"/>
      <c r="S58" s="665"/>
    </row>
    <row r="59" spans="1:19" x14ac:dyDescent="0.2">
      <c r="A59" s="10">
        <v>28216000</v>
      </c>
      <c r="B59" s="10" t="s">
        <v>48</v>
      </c>
      <c r="C59" s="11">
        <v>-145539.11300000001</v>
      </c>
      <c r="D59" s="11">
        <v>0</v>
      </c>
      <c r="E59" s="11">
        <v>2813.6</v>
      </c>
      <c r="F59" s="12">
        <f t="shared" si="1"/>
        <v>-2813.6</v>
      </c>
      <c r="G59" s="12">
        <f t="shared" si="0"/>
        <v>-148352.71300000002</v>
      </c>
      <c r="H59" s="664" t="s">
        <v>47</v>
      </c>
      <c r="I59" s="664"/>
      <c r="J59" s="671"/>
      <c r="K59" s="671"/>
      <c r="L59" s="671"/>
      <c r="M59" s="666"/>
      <c r="N59" s="665"/>
      <c r="O59" s="665"/>
      <c r="P59" s="665"/>
      <c r="Q59" s="665"/>
      <c r="R59" s="665"/>
      <c r="S59" s="665"/>
    </row>
    <row r="60" spans="1:19" x14ac:dyDescent="0.2">
      <c r="A60" s="10">
        <v>28220000</v>
      </c>
      <c r="B60" s="10" t="s">
        <v>49</v>
      </c>
      <c r="C60" s="11">
        <v>-3277711.6239999998</v>
      </c>
      <c r="D60" s="11">
        <v>0</v>
      </c>
      <c r="E60" s="11">
        <v>451440.91799999995</v>
      </c>
      <c r="F60" s="12">
        <f t="shared" si="1"/>
        <v>-451440.91799999995</v>
      </c>
      <c r="G60" s="12">
        <f t="shared" si="0"/>
        <v>-3729152.5419999999</v>
      </c>
      <c r="H60" s="664" t="s">
        <v>47</v>
      </c>
      <c r="I60" s="664"/>
      <c r="J60" s="671"/>
      <c r="K60" s="671"/>
      <c r="L60" s="671"/>
      <c r="M60" s="666"/>
      <c r="N60" s="665"/>
      <c r="O60" s="665"/>
      <c r="P60" s="665"/>
      <c r="Q60" s="665"/>
      <c r="R60" s="665"/>
      <c r="S60" s="665"/>
    </row>
    <row r="61" spans="1:19" x14ac:dyDescent="0.2">
      <c r="A61" s="10">
        <v>28225000</v>
      </c>
      <c r="B61" s="10" t="s">
        <v>50</v>
      </c>
      <c r="C61" s="11">
        <v>-210167.777</v>
      </c>
      <c r="D61" s="11">
        <v>0</v>
      </c>
      <c r="E61" s="11">
        <v>61658.367000000006</v>
      </c>
      <c r="F61" s="12">
        <f t="shared" si="1"/>
        <v>-61658.367000000006</v>
      </c>
      <c r="G61" s="12">
        <f t="shared" si="0"/>
        <v>-271826.14400000003</v>
      </c>
      <c r="H61" s="664" t="s">
        <v>47</v>
      </c>
      <c r="I61" s="664"/>
      <c r="J61" s="671"/>
      <c r="K61" s="671"/>
      <c r="L61" s="671"/>
      <c r="M61" s="666"/>
      <c r="N61" s="665"/>
      <c r="O61" s="665"/>
      <c r="P61" s="665"/>
      <c r="Q61" s="665"/>
      <c r="R61" s="665"/>
      <c r="S61" s="665"/>
    </row>
    <row r="62" spans="1:19" x14ac:dyDescent="0.2">
      <c r="A62" s="10">
        <v>28230000</v>
      </c>
      <c r="B62" s="10" t="s">
        <v>263</v>
      </c>
      <c r="C62" s="11">
        <v>-19731.941999999999</v>
      </c>
      <c r="D62" s="11">
        <v>0</v>
      </c>
      <c r="E62" s="11">
        <v>23398.452999999998</v>
      </c>
      <c r="F62" s="12">
        <f t="shared" si="1"/>
        <v>-23398.452999999998</v>
      </c>
      <c r="G62" s="12">
        <f t="shared" si="0"/>
        <v>-43130.394999999997</v>
      </c>
      <c r="H62" s="664" t="s">
        <v>47</v>
      </c>
      <c r="I62" s="664"/>
      <c r="J62" s="671"/>
      <c r="K62" s="671"/>
      <c r="L62" s="671"/>
      <c r="M62" s="666"/>
      <c r="N62" s="665"/>
      <c r="O62" s="665"/>
      <c r="P62" s="665"/>
      <c r="Q62" s="665"/>
      <c r="R62" s="665"/>
      <c r="S62" s="665"/>
    </row>
    <row r="63" spans="1:19" x14ac:dyDescent="0.2">
      <c r="A63" s="10">
        <v>28234000</v>
      </c>
      <c r="B63" s="10" t="s">
        <v>51</v>
      </c>
      <c r="C63" s="11">
        <v>-14328182.902000001</v>
      </c>
      <c r="D63" s="11">
        <v>69416.207999999999</v>
      </c>
      <c r="E63" s="11">
        <v>1608460.1230000001</v>
      </c>
      <c r="F63" s="12">
        <f t="shared" si="1"/>
        <v>-1539043.915</v>
      </c>
      <c r="G63" s="12">
        <f t="shared" si="0"/>
        <v>-15867226.817000002</v>
      </c>
      <c r="H63" s="664" t="s">
        <v>47</v>
      </c>
      <c r="I63" s="664"/>
      <c r="J63" s="671"/>
      <c r="K63" s="671"/>
      <c r="L63" s="671"/>
      <c r="M63" s="666"/>
      <c r="N63" s="665"/>
      <c r="O63" s="665"/>
      <c r="P63" s="665"/>
      <c r="Q63" s="665"/>
      <c r="R63" s="665"/>
      <c r="S63" s="665"/>
    </row>
    <row r="64" spans="1:19" x14ac:dyDescent="0.2">
      <c r="A64" s="10">
        <v>28235000</v>
      </c>
      <c r="B64" s="10" t="s">
        <v>52</v>
      </c>
      <c r="C64" s="11">
        <v>-286827.478</v>
      </c>
      <c r="D64" s="11">
        <v>0</v>
      </c>
      <c r="E64" s="11">
        <v>68543.288</v>
      </c>
      <c r="F64" s="12">
        <f t="shared" si="1"/>
        <v>-68543.288</v>
      </c>
      <c r="G64" s="12">
        <f t="shared" si="0"/>
        <v>-355370.766</v>
      </c>
      <c r="H64" s="664" t="s">
        <v>47</v>
      </c>
      <c r="I64" s="664"/>
      <c r="J64" s="671"/>
      <c r="K64" s="671"/>
      <c r="L64" s="671"/>
      <c r="M64" s="666"/>
      <c r="N64" s="665"/>
      <c r="O64" s="665"/>
      <c r="P64" s="665"/>
      <c r="Q64" s="665"/>
      <c r="R64" s="665"/>
      <c r="S64" s="665"/>
    </row>
    <row r="65" spans="1:19" x14ac:dyDescent="0.2">
      <c r="A65" s="10">
        <v>28237000</v>
      </c>
      <c r="B65" s="10" t="s">
        <v>53</v>
      </c>
      <c r="C65" s="11">
        <v>-733400.90499999991</v>
      </c>
      <c r="D65" s="11">
        <v>0</v>
      </c>
      <c r="E65" s="11">
        <v>22765.944</v>
      </c>
      <c r="F65" s="12">
        <f t="shared" si="1"/>
        <v>-22765.944</v>
      </c>
      <c r="G65" s="12">
        <f t="shared" si="0"/>
        <v>-756166.84899999993</v>
      </c>
      <c r="H65" s="664" t="s">
        <v>47</v>
      </c>
      <c r="I65" s="664"/>
      <c r="J65" s="671"/>
      <c r="K65" s="671"/>
      <c r="L65" s="671"/>
      <c r="M65" s="666"/>
      <c r="N65" s="665"/>
      <c r="O65" s="665"/>
      <c r="P65" s="665"/>
      <c r="Q65" s="665"/>
      <c r="R65" s="665"/>
      <c r="S65" s="665"/>
    </row>
    <row r="66" spans="1:19" x14ac:dyDescent="0.2">
      <c r="A66" s="10">
        <v>28240000</v>
      </c>
      <c r="B66" s="10" t="s">
        <v>54</v>
      </c>
      <c r="C66" s="11">
        <v>-530600.14599999995</v>
      </c>
      <c r="D66" s="11">
        <v>34983.56</v>
      </c>
      <c r="E66" s="11">
        <v>145766.05699999997</v>
      </c>
      <c r="F66" s="12">
        <f t="shared" si="1"/>
        <v>-110782.49699999997</v>
      </c>
      <c r="G66" s="12">
        <f t="shared" ref="G66:G129" si="2">+C66+F66</f>
        <v>-641382.64299999992</v>
      </c>
      <c r="H66" s="664" t="s">
        <v>47</v>
      </c>
      <c r="I66" s="664"/>
      <c r="J66" s="671"/>
      <c r="K66" s="671"/>
      <c r="L66" s="671"/>
      <c r="M66" s="666"/>
      <c r="N66" s="665"/>
      <c r="O66" s="665"/>
      <c r="P66" s="665"/>
      <c r="Q66" s="665"/>
      <c r="R66" s="665"/>
      <c r="S66" s="665"/>
    </row>
    <row r="67" spans="1:19" x14ac:dyDescent="0.2">
      <c r="A67" s="10">
        <v>28282000</v>
      </c>
      <c r="B67" s="10" t="s">
        <v>55</v>
      </c>
      <c r="C67" s="11">
        <v>-175530.78700000001</v>
      </c>
      <c r="D67" s="11">
        <v>0</v>
      </c>
      <c r="E67" s="11">
        <v>51580.140999999996</v>
      </c>
      <c r="F67" s="12">
        <f t="shared" ref="F67:F130" si="3">+D67-E67</f>
        <v>-51580.140999999996</v>
      </c>
      <c r="G67" s="12">
        <f t="shared" si="2"/>
        <v>-227110.92800000001</v>
      </c>
      <c r="H67" s="664" t="s">
        <v>47</v>
      </c>
      <c r="I67" s="664"/>
      <c r="J67" s="671"/>
      <c r="K67" s="671"/>
      <c r="L67" s="671"/>
      <c r="M67" s="666"/>
      <c r="N67" s="665"/>
      <c r="O67" s="665"/>
      <c r="P67" s="665"/>
      <c r="Q67" s="665"/>
      <c r="R67" s="665"/>
      <c r="S67" s="665"/>
    </row>
    <row r="68" spans="1:19" x14ac:dyDescent="0.2">
      <c r="A68" s="10">
        <v>28283000</v>
      </c>
      <c r="B68" s="10" t="s">
        <v>264</v>
      </c>
      <c r="C68" s="11">
        <v>-94662.618000000017</v>
      </c>
      <c r="D68" s="11">
        <v>0</v>
      </c>
      <c r="E68" s="11">
        <v>34363.017000000007</v>
      </c>
      <c r="F68" s="12">
        <f t="shared" si="3"/>
        <v>-34363.017000000007</v>
      </c>
      <c r="G68" s="12">
        <f t="shared" si="2"/>
        <v>-129025.63500000002</v>
      </c>
      <c r="H68" s="664" t="s">
        <v>47</v>
      </c>
      <c r="I68" s="664"/>
      <c r="J68" s="671"/>
      <c r="K68" s="671"/>
      <c r="L68" s="671"/>
      <c r="M68" s="666"/>
      <c r="N68" s="665"/>
      <c r="O68" s="665"/>
      <c r="P68" s="665"/>
      <c r="Q68" s="665"/>
      <c r="R68" s="665"/>
      <c r="S68" s="665"/>
    </row>
    <row r="69" spans="1:19" x14ac:dyDescent="0.2">
      <c r="A69" s="10">
        <v>28400000</v>
      </c>
      <c r="B69" s="10" t="s">
        <v>56</v>
      </c>
      <c r="C69" s="11">
        <v>-418241.01199999987</v>
      </c>
      <c r="D69" s="11">
        <v>20333.891</v>
      </c>
      <c r="E69" s="11">
        <v>82169.604000000007</v>
      </c>
      <c r="F69" s="12">
        <f t="shared" si="3"/>
        <v>-61835.713000000003</v>
      </c>
      <c r="G69" s="12">
        <f t="shared" si="2"/>
        <v>-480076.72499999986</v>
      </c>
      <c r="H69" s="664" t="s">
        <v>47</v>
      </c>
      <c r="I69" s="664"/>
      <c r="J69" s="671"/>
      <c r="K69" s="671"/>
      <c r="L69" s="671"/>
      <c r="M69" s="666"/>
      <c r="N69" s="665"/>
      <c r="O69" s="665"/>
      <c r="P69" s="665"/>
      <c r="Q69" s="665"/>
      <c r="R69" s="665"/>
      <c r="S69" s="665"/>
    </row>
    <row r="70" spans="1:19" x14ac:dyDescent="0.2">
      <c r="A70" s="10">
        <v>29220000</v>
      </c>
      <c r="B70" s="10" t="s">
        <v>297</v>
      </c>
      <c r="C70" s="11">
        <v>0</v>
      </c>
      <c r="D70" s="11">
        <v>0</v>
      </c>
      <c r="E70" s="11">
        <v>0</v>
      </c>
      <c r="F70" s="12">
        <f t="shared" si="3"/>
        <v>0</v>
      </c>
      <c r="G70" s="12">
        <f t="shared" si="2"/>
        <v>0</v>
      </c>
      <c r="H70" s="664"/>
      <c r="I70" s="664"/>
      <c r="J70" s="671"/>
      <c r="K70" s="671"/>
      <c r="L70" s="671"/>
      <c r="M70" s="666"/>
      <c r="N70" s="665"/>
      <c r="O70" s="665"/>
      <c r="P70" s="665"/>
      <c r="Q70" s="665"/>
      <c r="R70" s="665"/>
      <c r="S70" s="665"/>
    </row>
    <row r="71" spans="1:19" x14ac:dyDescent="0.2">
      <c r="A71" s="10">
        <v>29234000</v>
      </c>
      <c r="B71" s="10" t="s">
        <v>388</v>
      </c>
      <c r="C71" s="11">
        <v>-223876.883</v>
      </c>
      <c r="D71" s="11">
        <v>0</v>
      </c>
      <c r="E71" s="11">
        <v>0</v>
      </c>
      <c r="F71" s="12">
        <f t="shared" si="3"/>
        <v>0</v>
      </c>
      <c r="G71" s="12">
        <f t="shared" si="2"/>
        <v>-223876.883</v>
      </c>
      <c r="H71" s="664" t="s">
        <v>47</v>
      </c>
      <c r="I71" s="664"/>
      <c r="J71" s="671"/>
      <c r="K71" s="671">
        <v>0</v>
      </c>
      <c r="L71" s="671"/>
      <c r="M71" s="666"/>
      <c r="N71" s="665"/>
      <c r="O71" s="665"/>
      <c r="P71" s="665"/>
      <c r="Q71" s="665"/>
      <c r="R71" s="665"/>
      <c r="S71" s="665"/>
    </row>
    <row r="72" spans="1:19" x14ac:dyDescent="0.2">
      <c r="A72" s="10">
        <v>29235000</v>
      </c>
      <c r="B72" s="10" t="s">
        <v>389</v>
      </c>
      <c r="C72" s="11">
        <v>-8171.429000000001</v>
      </c>
      <c r="D72" s="11">
        <v>0</v>
      </c>
      <c r="E72" s="11">
        <v>0</v>
      </c>
      <c r="F72" s="12">
        <f t="shared" si="3"/>
        <v>0</v>
      </c>
      <c r="G72" s="12">
        <f t="shared" si="2"/>
        <v>-8171.429000000001</v>
      </c>
      <c r="H72" s="664" t="s">
        <v>47</v>
      </c>
      <c r="I72" s="664"/>
      <c r="J72" s="671"/>
      <c r="K72" s="671">
        <v>0</v>
      </c>
      <c r="L72" s="671"/>
      <c r="M72" s="666"/>
      <c r="N72" s="665"/>
      <c r="O72" s="665"/>
      <c r="P72" s="665"/>
      <c r="Q72" s="665"/>
      <c r="R72" s="665"/>
      <c r="S72" s="665"/>
    </row>
    <row r="73" spans="1:19" x14ac:dyDescent="0.2">
      <c r="A73" s="10">
        <v>29282000</v>
      </c>
      <c r="B73" s="10" t="s">
        <v>298</v>
      </c>
      <c r="C73" s="11">
        <v>0</v>
      </c>
      <c r="D73" s="11">
        <v>0</v>
      </c>
      <c r="E73" s="11">
        <v>0</v>
      </c>
      <c r="F73" s="12">
        <f t="shared" si="3"/>
        <v>0</v>
      </c>
      <c r="G73" s="12">
        <f t="shared" si="2"/>
        <v>0</v>
      </c>
      <c r="H73" s="664"/>
      <c r="I73" s="664"/>
      <c r="J73" s="671"/>
      <c r="K73" s="671"/>
      <c r="L73" s="671"/>
      <c r="M73" s="666"/>
      <c r="N73" s="665"/>
      <c r="O73" s="665"/>
      <c r="P73" s="665"/>
      <c r="Q73" s="665"/>
      <c r="R73" s="665"/>
      <c r="S73" s="665"/>
    </row>
    <row r="74" spans="1:19" x14ac:dyDescent="0.2">
      <c r="A74" s="10">
        <v>29286500</v>
      </c>
      <c r="B74" s="10" t="s">
        <v>299</v>
      </c>
      <c r="C74" s="11">
        <v>0</v>
      </c>
      <c r="D74" s="11">
        <v>0</v>
      </c>
      <c r="E74" s="11">
        <v>0</v>
      </c>
      <c r="F74" s="12">
        <f t="shared" si="3"/>
        <v>0</v>
      </c>
      <c r="G74" s="12">
        <f t="shared" si="2"/>
        <v>0</v>
      </c>
      <c r="H74" s="664"/>
      <c r="I74" s="664"/>
      <c r="J74" s="671"/>
      <c r="K74" s="671">
        <v>0</v>
      </c>
      <c r="L74" s="671"/>
      <c r="M74" s="666"/>
      <c r="N74" s="665"/>
      <c r="O74" s="665"/>
      <c r="P74" s="665"/>
      <c r="Q74" s="665"/>
      <c r="R74" s="665"/>
      <c r="S74" s="665"/>
    </row>
    <row r="75" spans="1:19" x14ac:dyDescent="0.2">
      <c r="A75" s="10">
        <v>29700000</v>
      </c>
      <c r="B75" s="10" t="s">
        <v>57</v>
      </c>
      <c r="C75" s="11">
        <v>-29257.384999999998</v>
      </c>
      <c r="D75" s="11">
        <v>0</v>
      </c>
      <c r="E75" s="11">
        <v>0</v>
      </c>
      <c r="F75" s="12">
        <f t="shared" si="3"/>
        <v>0</v>
      </c>
      <c r="G75" s="12">
        <f t="shared" si="2"/>
        <v>-29257.384999999998</v>
      </c>
      <c r="H75" s="664" t="s">
        <v>58</v>
      </c>
      <c r="I75" s="664"/>
      <c r="J75" s="671"/>
      <c r="K75" s="671">
        <v>0</v>
      </c>
      <c r="L75" s="671"/>
      <c r="M75" s="666"/>
      <c r="N75" s="665"/>
      <c r="O75" s="665"/>
      <c r="P75" s="665"/>
      <c r="Q75" s="665"/>
      <c r="R75" s="665"/>
      <c r="S75" s="665"/>
    </row>
    <row r="76" spans="1:19" x14ac:dyDescent="0.2">
      <c r="A76" s="10">
        <v>31100000</v>
      </c>
      <c r="B76" s="10" t="s">
        <v>59</v>
      </c>
      <c r="C76" s="11">
        <v>10125104.671000004</v>
      </c>
      <c r="D76" s="11">
        <v>9520075.0199999996</v>
      </c>
      <c r="E76" s="11">
        <v>10125104.671</v>
      </c>
      <c r="F76" s="12">
        <f t="shared" si="3"/>
        <v>-605029.65100000054</v>
      </c>
      <c r="G76" s="12">
        <f t="shared" si="2"/>
        <v>9520075.0200000033</v>
      </c>
      <c r="H76" s="664" t="s">
        <v>60</v>
      </c>
      <c r="I76" s="664"/>
      <c r="J76" s="671" t="s">
        <v>10099</v>
      </c>
      <c r="K76" s="671" t="s">
        <v>10100</v>
      </c>
      <c r="L76" s="671"/>
      <c r="M76" s="666"/>
      <c r="N76" s="665"/>
      <c r="O76" s="665"/>
      <c r="P76" s="665"/>
      <c r="Q76" s="665"/>
      <c r="R76" s="665"/>
      <c r="S76" s="665"/>
    </row>
    <row r="77" spans="1:19" x14ac:dyDescent="0.2">
      <c r="A77" s="10">
        <v>31200000</v>
      </c>
      <c r="B77" s="10" t="s">
        <v>390</v>
      </c>
      <c r="C77" s="11">
        <v>313653.11200000002</v>
      </c>
      <c r="D77" s="11">
        <v>1881173.9140000001</v>
      </c>
      <c r="E77" s="11">
        <v>313653.11200000002</v>
      </c>
      <c r="F77" s="12">
        <f t="shared" si="3"/>
        <v>1567520.8020000001</v>
      </c>
      <c r="G77" s="12">
        <f t="shared" si="2"/>
        <v>1881173.9140000001</v>
      </c>
      <c r="H77" s="664" t="s">
        <v>60</v>
      </c>
      <c r="I77" s="664"/>
      <c r="J77" s="671" t="s">
        <v>10099</v>
      </c>
      <c r="K77" s="671" t="s">
        <v>10100</v>
      </c>
      <c r="L77" s="671"/>
      <c r="M77" s="666"/>
      <c r="N77" s="665"/>
      <c r="O77" s="665"/>
      <c r="P77" s="665"/>
      <c r="Q77" s="665"/>
      <c r="R77" s="665"/>
      <c r="S77" s="665"/>
    </row>
    <row r="78" spans="1:19" x14ac:dyDescent="0.2">
      <c r="A78" s="10">
        <v>32200000</v>
      </c>
      <c r="B78" s="10" t="s">
        <v>61</v>
      </c>
      <c r="C78" s="11">
        <v>583630.65100000054</v>
      </c>
      <c r="D78" s="11">
        <v>662156.429</v>
      </c>
      <c r="E78" s="11">
        <v>583630.65099999995</v>
      </c>
      <c r="F78" s="12">
        <f t="shared" si="3"/>
        <v>78525.778000000049</v>
      </c>
      <c r="G78" s="12">
        <f t="shared" si="2"/>
        <v>662156.42900000059</v>
      </c>
      <c r="H78" s="664" t="s">
        <v>60</v>
      </c>
      <c r="I78" s="664"/>
      <c r="J78" s="671" t="s">
        <v>10099</v>
      </c>
      <c r="K78" s="671" t="s">
        <v>10100</v>
      </c>
      <c r="L78" s="671"/>
      <c r="M78" s="666"/>
      <c r="N78" s="665"/>
      <c r="O78" s="665"/>
      <c r="P78" s="665"/>
      <c r="Q78" s="665"/>
      <c r="R78" s="665"/>
      <c r="S78" s="665"/>
    </row>
    <row r="79" spans="1:19" x14ac:dyDescent="0.2">
      <c r="A79" s="10">
        <v>33100000</v>
      </c>
      <c r="B79" s="10" t="s">
        <v>62</v>
      </c>
      <c r="C79" s="11">
        <v>1140754.9079999998</v>
      </c>
      <c r="D79" s="11">
        <v>3435380.2889999999</v>
      </c>
      <c r="E79" s="11">
        <v>1140754.9080000001</v>
      </c>
      <c r="F79" s="12">
        <f t="shared" si="3"/>
        <v>2294625.3810000001</v>
      </c>
      <c r="G79" s="12">
        <f t="shared" si="2"/>
        <v>3435380.2889999999</v>
      </c>
      <c r="H79" s="664" t="s">
        <v>60</v>
      </c>
      <c r="I79" s="664"/>
      <c r="J79" s="671" t="s">
        <v>10099</v>
      </c>
      <c r="K79" s="671" t="s">
        <v>10100</v>
      </c>
      <c r="L79" s="671"/>
      <c r="M79" s="666"/>
      <c r="N79" s="665"/>
      <c r="O79" s="665"/>
      <c r="P79" s="665"/>
      <c r="Q79" s="665"/>
      <c r="R79" s="665"/>
      <c r="S79" s="665"/>
    </row>
    <row r="80" spans="1:19" x14ac:dyDescent="0.2">
      <c r="A80" s="10">
        <v>33500000</v>
      </c>
      <c r="B80" s="10" t="s">
        <v>300</v>
      </c>
      <c r="C80" s="11">
        <v>0</v>
      </c>
      <c r="D80" s="11">
        <v>0</v>
      </c>
      <c r="E80" s="11">
        <v>0</v>
      </c>
      <c r="F80" s="12">
        <f t="shared" si="3"/>
        <v>0</v>
      </c>
      <c r="G80" s="12">
        <f t="shared" si="2"/>
        <v>0</v>
      </c>
      <c r="H80" s="664"/>
      <c r="I80" s="664"/>
      <c r="J80" s="671"/>
      <c r="K80" s="671"/>
      <c r="L80" s="671"/>
      <c r="M80" s="666"/>
      <c r="N80" s="665"/>
      <c r="O80" s="665"/>
      <c r="P80" s="665"/>
      <c r="Q80" s="665"/>
      <c r="R80" s="665"/>
      <c r="S80" s="665"/>
    </row>
    <row r="81" spans="1:19" x14ac:dyDescent="0.2">
      <c r="A81" s="10">
        <v>34100000</v>
      </c>
      <c r="B81" s="10" t="s">
        <v>301</v>
      </c>
      <c r="C81" s="11">
        <v>0</v>
      </c>
      <c r="D81" s="11">
        <v>0</v>
      </c>
      <c r="E81" s="11">
        <v>0</v>
      </c>
      <c r="F81" s="12">
        <f t="shared" si="3"/>
        <v>0</v>
      </c>
      <c r="G81" s="12">
        <f t="shared" si="2"/>
        <v>0</v>
      </c>
      <c r="H81" s="664"/>
      <c r="I81" s="664"/>
      <c r="J81" s="671"/>
      <c r="K81" s="671"/>
      <c r="L81" s="671"/>
      <c r="M81" s="666"/>
      <c r="N81" s="665"/>
      <c r="O81" s="665"/>
      <c r="P81" s="665"/>
      <c r="Q81" s="665"/>
      <c r="R81" s="665"/>
      <c r="S81" s="665"/>
    </row>
    <row r="82" spans="1:19" x14ac:dyDescent="0.2">
      <c r="A82" s="10">
        <v>35500000</v>
      </c>
      <c r="B82" s="10" t="s">
        <v>63</v>
      </c>
      <c r="C82" s="11">
        <v>3851747.0070000011</v>
      </c>
      <c r="D82" s="11">
        <v>1674504.0190000001</v>
      </c>
      <c r="E82" s="11">
        <v>3851747.0070000002</v>
      </c>
      <c r="F82" s="12">
        <f t="shared" si="3"/>
        <v>-2177242.9879999999</v>
      </c>
      <c r="G82" s="12">
        <f t="shared" si="2"/>
        <v>1674504.0190000013</v>
      </c>
      <c r="H82" s="664" t="s">
        <v>60</v>
      </c>
      <c r="I82" s="664"/>
      <c r="J82" s="671"/>
      <c r="K82" s="671" t="s">
        <v>10100</v>
      </c>
      <c r="L82" s="671"/>
      <c r="M82" s="666"/>
      <c r="N82" s="665"/>
      <c r="O82" s="665"/>
      <c r="P82" s="665"/>
      <c r="Q82" s="665"/>
      <c r="R82" s="665"/>
      <c r="S82" s="665"/>
    </row>
    <row r="83" spans="1:19" x14ac:dyDescent="0.2">
      <c r="A83" s="10">
        <v>39000000</v>
      </c>
      <c r="B83" s="10" t="s">
        <v>64</v>
      </c>
      <c r="C83" s="11">
        <v>-208158.11300000001</v>
      </c>
      <c r="D83" s="11">
        <v>0</v>
      </c>
      <c r="E83" s="11">
        <v>0</v>
      </c>
      <c r="F83" s="12">
        <f t="shared" si="3"/>
        <v>0</v>
      </c>
      <c r="G83" s="12">
        <f t="shared" si="2"/>
        <v>-208158.11300000001</v>
      </c>
      <c r="H83" s="664" t="s">
        <v>65</v>
      </c>
      <c r="I83" s="664"/>
      <c r="J83" s="671" t="s">
        <v>10101</v>
      </c>
      <c r="K83" s="671">
        <v>0</v>
      </c>
      <c r="L83" s="671"/>
      <c r="M83" s="666"/>
      <c r="N83" s="665"/>
      <c r="O83" s="665"/>
      <c r="P83" s="665"/>
      <c r="Q83" s="665"/>
      <c r="R83" s="665"/>
      <c r="S83" s="665"/>
    </row>
    <row r="84" spans="1:19" x14ac:dyDescent="0.2">
      <c r="A84" s="10">
        <v>40100000</v>
      </c>
      <c r="B84" s="10" t="s">
        <v>66</v>
      </c>
      <c r="C84" s="11">
        <v>-3682903.34593153</v>
      </c>
      <c r="D84" s="11">
        <v>47031694.456052989</v>
      </c>
      <c r="E84" s="11">
        <v>46224233.063160993</v>
      </c>
      <c r="F84" s="12">
        <f t="shared" si="3"/>
        <v>807461.39289199561</v>
      </c>
      <c r="G84" s="12">
        <f t="shared" si="2"/>
        <v>-2875441.9530395344</v>
      </c>
      <c r="H84" s="664" t="s">
        <v>67</v>
      </c>
      <c r="I84" s="664"/>
      <c r="J84" s="671" t="s">
        <v>10101</v>
      </c>
      <c r="K84" s="671">
        <v>0</v>
      </c>
      <c r="L84" s="671"/>
      <c r="M84" s="666"/>
      <c r="N84" s="665"/>
      <c r="O84" s="665"/>
      <c r="P84" s="665"/>
      <c r="Q84" s="665"/>
      <c r="R84" s="665"/>
      <c r="S84" s="665"/>
    </row>
    <row r="85" spans="1:19" x14ac:dyDescent="0.2">
      <c r="A85" s="10">
        <v>40300000</v>
      </c>
      <c r="B85" s="10" t="s">
        <v>68</v>
      </c>
      <c r="C85" s="11">
        <v>-474754.25700000674</v>
      </c>
      <c r="D85" s="11">
        <v>2581315.548</v>
      </c>
      <c r="E85" s="11">
        <v>3076980.6410000003</v>
      </c>
      <c r="F85" s="12">
        <f t="shared" si="3"/>
        <v>-495665.09300000034</v>
      </c>
      <c r="G85" s="12">
        <f t="shared" si="2"/>
        <v>-970419.35000000708</v>
      </c>
      <c r="H85" s="664" t="s">
        <v>67</v>
      </c>
      <c r="I85" s="664"/>
      <c r="J85" s="671" t="s">
        <v>10101</v>
      </c>
      <c r="K85" s="671">
        <v>0</v>
      </c>
      <c r="L85" s="671"/>
      <c r="M85" s="666"/>
      <c r="N85" s="665"/>
      <c r="O85" s="665"/>
      <c r="P85" s="665"/>
      <c r="Q85" s="665"/>
      <c r="R85" s="665"/>
      <c r="S85" s="665"/>
    </row>
    <row r="86" spans="1:19" x14ac:dyDescent="0.2">
      <c r="A86" s="10">
        <v>40301000</v>
      </c>
      <c r="B86" s="10" t="s">
        <v>302</v>
      </c>
      <c r="C86" s="11">
        <v>0</v>
      </c>
      <c r="D86" s="11">
        <v>0</v>
      </c>
      <c r="E86" s="11">
        <v>0</v>
      </c>
      <c r="F86" s="12">
        <f t="shared" si="3"/>
        <v>0</v>
      </c>
      <c r="G86" s="12">
        <f t="shared" si="2"/>
        <v>0</v>
      </c>
      <c r="H86" s="664"/>
      <c r="I86" s="664"/>
      <c r="J86" s="671"/>
      <c r="K86" s="671"/>
      <c r="L86" s="671"/>
      <c r="M86" s="666"/>
      <c r="N86" s="665"/>
      <c r="O86" s="665"/>
      <c r="P86" s="665"/>
      <c r="Q86" s="665"/>
      <c r="R86" s="665"/>
      <c r="S86" s="665"/>
    </row>
    <row r="87" spans="1:19" x14ac:dyDescent="0.2">
      <c r="A87" s="10">
        <v>40400000</v>
      </c>
      <c r="B87" s="10" t="s">
        <v>69</v>
      </c>
      <c r="C87" s="11">
        <v>9.999983012676239E-5</v>
      </c>
      <c r="D87" s="11">
        <v>0</v>
      </c>
      <c r="E87" s="11">
        <v>0</v>
      </c>
      <c r="F87" s="12">
        <f t="shared" si="3"/>
        <v>0</v>
      </c>
      <c r="G87" s="12">
        <f t="shared" si="2"/>
        <v>9.999983012676239E-5</v>
      </c>
      <c r="H87" s="664"/>
      <c r="I87" s="664"/>
      <c r="J87" s="671"/>
      <c r="K87" s="671"/>
      <c r="L87" s="671"/>
      <c r="M87" s="666"/>
      <c r="N87" s="665"/>
      <c r="O87" s="665"/>
      <c r="P87" s="665"/>
      <c r="Q87" s="665"/>
      <c r="R87" s="665"/>
      <c r="S87" s="665"/>
    </row>
    <row r="88" spans="1:19" x14ac:dyDescent="0.2">
      <c r="A88" s="10">
        <v>40470000</v>
      </c>
      <c r="B88" s="10" t="s">
        <v>303</v>
      </c>
      <c r="C88" s="11">
        <v>0</v>
      </c>
      <c r="D88" s="11">
        <v>0</v>
      </c>
      <c r="E88" s="11">
        <v>0</v>
      </c>
      <c r="F88" s="12">
        <f t="shared" si="3"/>
        <v>0</v>
      </c>
      <c r="G88" s="12">
        <f t="shared" si="2"/>
        <v>0</v>
      </c>
      <c r="H88" s="664"/>
      <c r="I88" s="664"/>
      <c r="J88" s="671"/>
      <c r="K88" s="671"/>
      <c r="L88" s="671"/>
      <c r="M88" s="666"/>
      <c r="N88" s="665"/>
      <c r="O88" s="665"/>
      <c r="P88" s="665"/>
      <c r="Q88" s="665"/>
      <c r="R88" s="665"/>
      <c r="S88" s="665"/>
    </row>
    <row r="89" spans="1:19" x14ac:dyDescent="0.2">
      <c r="A89" s="10">
        <v>40600000</v>
      </c>
      <c r="B89" s="10" t="s">
        <v>70</v>
      </c>
      <c r="C89" s="11">
        <v>-2618344.924259603</v>
      </c>
      <c r="D89" s="11">
        <v>11245981.489892002</v>
      </c>
      <c r="E89" s="11">
        <v>11739326.994381001</v>
      </c>
      <c r="F89" s="12">
        <f t="shared" si="3"/>
        <v>-493345.50448899902</v>
      </c>
      <c r="G89" s="12">
        <f t="shared" si="2"/>
        <v>-3111690.428748602</v>
      </c>
      <c r="H89" s="664" t="s">
        <v>67</v>
      </c>
      <c r="I89" s="664"/>
      <c r="J89" s="671" t="s">
        <v>10101</v>
      </c>
      <c r="K89" s="671">
        <v>0</v>
      </c>
      <c r="L89" s="671"/>
      <c r="M89" s="666"/>
      <c r="N89" s="665"/>
      <c r="O89" s="665"/>
      <c r="P89" s="665"/>
      <c r="Q89" s="665"/>
      <c r="R89" s="665"/>
      <c r="S89" s="665"/>
    </row>
    <row r="90" spans="1:19" x14ac:dyDescent="0.2">
      <c r="A90" s="10">
        <v>40800000</v>
      </c>
      <c r="B90" s="10" t="s">
        <v>71</v>
      </c>
      <c r="C90" s="11">
        <v>-4980</v>
      </c>
      <c r="D90" s="11">
        <v>0</v>
      </c>
      <c r="E90" s="11">
        <v>0</v>
      </c>
      <c r="F90" s="12">
        <f t="shared" si="3"/>
        <v>0</v>
      </c>
      <c r="G90" s="12">
        <f t="shared" si="2"/>
        <v>-4980</v>
      </c>
      <c r="H90" s="664" t="s">
        <v>67</v>
      </c>
      <c r="I90" s="664"/>
      <c r="J90" s="671" t="s">
        <v>10101</v>
      </c>
      <c r="K90" s="671">
        <v>0</v>
      </c>
      <c r="L90" s="671"/>
      <c r="M90" s="666"/>
      <c r="N90" s="665"/>
      <c r="O90" s="665"/>
      <c r="P90" s="665"/>
      <c r="Q90" s="665"/>
      <c r="R90" s="665"/>
      <c r="S90" s="665"/>
    </row>
    <row r="91" spans="1:19" x14ac:dyDescent="0.2">
      <c r="A91" s="10">
        <v>40810000</v>
      </c>
      <c r="B91" s="10" t="s">
        <v>391</v>
      </c>
      <c r="C91" s="11">
        <v>0</v>
      </c>
      <c r="D91" s="11">
        <v>4713.1750000000002</v>
      </c>
      <c r="E91" s="11">
        <v>46693.752</v>
      </c>
      <c r="F91" s="12">
        <f t="shared" si="3"/>
        <v>-41980.576999999997</v>
      </c>
      <c r="G91" s="12">
        <f t="shared" si="2"/>
        <v>-41980.576999999997</v>
      </c>
      <c r="H91" s="664" t="s">
        <v>67</v>
      </c>
      <c r="I91" s="664"/>
      <c r="J91" s="671"/>
      <c r="K91" s="671"/>
      <c r="L91" s="671"/>
      <c r="M91" s="666"/>
      <c r="N91" s="665"/>
      <c r="O91" s="665"/>
      <c r="P91" s="665"/>
      <c r="Q91" s="665"/>
      <c r="R91" s="665"/>
      <c r="S91" s="665"/>
    </row>
    <row r="92" spans="1:19" x14ac:dyDescent="0.2">
      <c r="A92" s="10">
        <v>40860000</v>
      </c>
      <c r="B92" s="10" t="s">
        <v>304</v>
      </c>
      <c r="C92" s="11">
        <v>0</v>
      </c>
      <c r="D92" s="11">
        <v>0</v>
      </c>
      <c r="E92" s="11">
        <v>0</v>
      </c>
      <c r="F92" s="12">
        <f t="shared" si="3"/>
        <v>0</v>
      </c>
      <c r="G92" s="12">
        <f t="shared" si="2"/>
        <v>0</v>
      </c>
      <c r="H92" s="664"/>
      <c r="I92" s="664"/>
      <c r="J92" s="671"/>
      <c r="K92" s="671"/>
      <c r="L92" s="671"/>
      <c r="M92" s="666"/>
      <c r="N92" s="665"/>
      <c r="O92" s="665"/>
      <c r="P92" s="665"/>
      <c r="Q92" s="665"/>
      <c r="R92" s="665"/>
      <c r="S92" s="665"/>
    </row>
    <row r="93" spans="1:19" x14ac:dyDescent="0.2">
      <c r="A93" s="10">
        <v>40910000</v>
      </c>
      <c r="B93" s="10" t="s">
        <v>72</v>
      </c>
      <c r="C93" s="11">
        <v>579508.96299999964</v>
      </c>
      <c r="D93" s="11">
        <v>14501.861000000001</v>
      </c>
      <c r="E93" s="11">
        <v>594010.82400000002</v>
      </c>
      <c r="F93" s="12">
        <f t="shared" si="3"/>
        <v>-579508.96299999999</v>
      </c>
      <c r="G93" s="12">
        <f t="shared" si="2"/>
        <v>0</v>
      </c>
      <c r="H93" s="664" t="s">
        <v>78</v>
      </c>
      <c r="I93" s="664"/>
      <c r="J93" s="671" t="s">
        <v>10102</v>
      </c>
      <c r="K93" s="671">
        <v>0</v>
      </c>
      <c r="L93" s="671"/>
      <c r="M93" s="666"/>
      <c r="N93" s="665"/>
      <c r="O93" s="665"/>
      <c r="P93" s="665"/>
      <c r="Q93" s="665"/>
      <c r="R93" s="665"/>
      <c r="S93" s="665"/>
    </row>
    <row r="94" spans="1:19" x14ac:dyDescent="0.2">
      <c r="A94" s="10">
        <v>41100000</v>
      </c>
      <c r="B94" s="10" t="s">
        <v>73</v>
      </c>
      <c r="C94" s="11">
        <v>11118442.226302501</v>
      </c>
      <c r="D94" s="11">
        <v>57212916.16838</v>
      </c>
      <c r="E94" s="11">
        <v>52717161.383999996</v>
      </c>
      <c r="F94" s="12">
        <f t="shared" si="3"/>
        <v>4495754.7843800038</v>
      </c>
      <c r="G94" s="12">
        <f t="shared" si="2"/>
        <v>15614197.010682505</v>
      </c>
      <c r="H94" s="664" t="s">
        <v>74</v>
      </c>
      <c r="I94" s="664"/>
      <c r="J94" s="671" t="s">
        <v>10102</v>
      </c>
      <c r="K94" s="671">
        <v>0</v>
      </c>
      <c r="L94" s="671"/>
      <c r="M94" s="666"/>
      <c r="N94" s="665"/>
      <c r="O94" s="665"/>
      <c r="P94" s="665"/>
      <c r="Q94" s="665"/>
      <c r="R94" s="665"/>
      <c r="S94" s="665"/>
    </row>
    <row r="95" spans="1:19" x14ac:dyDescent="0.2">
      <c r="A95" s="10">
        <v>41301000</v>
      </c>
      <c r="B95" s="10" t="s">
        <v>305</v>
      </c>
      <c r="C95" s="11">
        <v>0</v>
      </c>
      <c r="D95" s="11">
        <v>0</v>
      </c>
      <c r="E95" s="11">
        <v>0</v>
      </c>
      <c r="F95" s="12">
        <f t="shared" si="3"/>
        <v>0</v>
      </c>
      <c r="G95" s="12">
        <f t="shared" si="2"/>
        <v>0</v>
      </c>
      <c r="H95" s="664"/>
      <c r="I95" s="664"/>
      <c r="J95" s="671"/>
      <c r="K95" s="671"/>
      <c r="L95" s="671"/>
      <c r="M95" s="666"/>
      <c r="N95" s="665"/>
      <c r="O95" s="665"/>
      <c r="P95" s="665"/>
      <c r="Q95" s="665"/>
      <c r="R95" s="665"/>
      <c r="S95" s="665"/>
    </row>
    <row r="96" spans="1:19" x14ac:dyDescent="0.2">
      <c r="A96" s="10">
        <v>41500000</v>
      </c>
      <c r="B96" s="10" t="s">
        <v>75</v>
      </c>
      <c r="C96" s="11">
        <v>2075282.690135479</v>
      </c>
      <c r="D96" s="11">
        <v>7164295.6358749997</v>
      </c>
      <c r="E96" s="11">
        <v>5889390.1427499996</v>
      </c>
      <c r="F96" s="12">
        <f t="shared" si="3"/>
        <v>1274905.493125</v>
      </c>
      <c r="G96" s="12">
        <f t="shared" si="2"/>
        <v>3350188.183260479</v>
      </c>
      <c r="H96" s="664" t="s">
        <v>74</v>
      </c>
      <c r="I96" s="664"/>
      <c r="J96" s="671" t="s">
        <v>10103</v>
      </c>
      <c r="K96" s="671">
        <v>0</v>
      </c>
      <c r="L96" s="671"/>
      <c r="M96" s="666"/>
      <c r="N96" s="665"/>
      <c r="O96" s="665"/>
      <c r="P96" s="665"/>
      <c r="Q96" s="665"/>
      <c r="R96" s="665"/>
      <c r="S96" s="665"/>
    </row>
    <row r="97" spans="1:19" x14ac:dyDescent="0.2">
      <c r="A97" s="10">
        <v>41601000</v>
      </c>
      <c r="B97" s="10" t="s">
        <v>306</v>
      </c>
      <c r="C97" s="11">
        <v>0</v>
      </c>
      <c r="D97" s="11">
        <v>0</v>
      </c>
      <c r="E97" s="11">
        <v>0</v>
      </c>
      <c r="F97" s="12">
        <f t="shared" si="3"/>
        <v>0</v>
      </c>
      <c r="G97" s="12">
        <f t="shared" si="2"/>
        <v>0</v>
      </c>
      <c r="H97" s="664"/>
      <c r="I97" s="664"/>
      <c r="J97" s="671"/>
      <c r="K97" s="671"/>
      <c r="L97" s="671"/>
      <c r="M97" s="666"/>
      <c r="N97" s="665"/>
      <c r="O97" s="665"/>
      <c r="P97" s="665"/>
      <c r="Q97" s="665"/>
      <c r="R97" s="665"/>
      <c r="S97" s="665"/>
    </row>
    <row r="98" spans="1:19" x14ac:dyDescent="0.2">
      <c r="A98" s="10">
        <v>41800000</v>
      </c>
      <c r="B98" s="10" t="s">
        <v>307</v>
      </c>
      <c r="C98" s="11">
        <v>0</v>
      </c>
      <c r="D98" s="11">
        <v>0</v>
      </c>
      <c r="E98" s="11">
        <v>0</v>
      </c>
      <c r="F98" s="12">
        <f t="shared" si="3"/>
        <v>0</v>
      </c>
      <c r="G98" s="12">
        <f t="shared" si="2"/>
        <v>0</v>
      </c>
      <c r="H98" s="664"/>
      <c r="I98" s="664"/>
      <c r="J98" s="671"/>
      <c r="K98" s="671"/>
      <c r="L98" s="671"/>
      <c r="M98" s="666"/>
      <c r="N98" s="665"/>
      <c r="O98" s="665"/>
      <c r="P98" s="665"/>
      <c r="Q98" s="665"/>
      <c r="R98" s="665"/>
      <c r="S98" s="665"/>
    </row>
    <row r="99" spans="1:19" x14ac:dyDescent="0.2">
      <c r="A99" s="10">
        <v>41910000</v>
      </c>
      <c r="B99" s="10" t="s">
        <v>308</v>
      </c>
      <c r="C99" s="11">
        <v>0</v>
      </c>
      <c r="D99" s="11">
        <v>0</v>
      </c>
      <c r="E99" s="11">
        <v>0</v>
      </c>
      <c r="F99" s="12">
        <f t="shared" si="3"/>
        <v>0</v>
      </c>
      <c r="G99" s="12">
        <f t="shared" si="2"/>
        <v>0</v>
      </c>
      <c r="H99" s="664"/>
      <c r="I99" s="664"/>
      <c r="J99" s="671"/>
      <c r="K99" s="671"/>
      <c r="L99" s="671"/>
      <c r="M99" s="666"/>
      <c r="N99" s="665"/>
      <c r="O99" s="665"/>
      <c r="P99" s="665"/>
      <c r="Q99" s="665"/>
      <c r="R99" s="665"/>
      <c r="S99" s="665"/>
    </row>
    <row r="100" spans="1:19" x14ac:dyDescent="0.2">
      <c r="A100" s="10">
        <v>42100000</v>
      </c>
      <c r="B100" s="10" t="s">
        <v>76</v>
      </c>
      <c r="C100" s="11">
        <v>0</v>
      </c>
      <c r="D100" s="11">
        <v>12703.333999999999</v>
      </c>
      <c r="E100" s="11">
        <v>12703.333999999999</v>
      </c>
      <c r="F100" s="12">
        <f t="shared" si="3"/>
        <v>0</v>
      </c>
      <c r="G100" s="12">
        <f t="shared" si="2"/>
        <v>0</v>
      </c>
      <c r="H100" s="664"/>
      <c r="I100" s="664"/>
      <c r="J100" s="671"/>
      <c r="K100" s="671"/>
      <c r="L100" s="671"/>
      <c r="M100" s="666"/>
      <c r="N100" s="665"/>
      <c r="O100" s="665"/>
      <c r="P100" s="665"/>
      <c r="Q100" s="665"/>
      <c r="R100" s="665"/>
      <c r="S100" s="665"/>
    </row>
    <row r="101" spans="1:19" x14ac:dyDescent="0.2">
      <c r="A101" s="10">
        <v>42110000</v>
      </c>
      <c r="B101" s="10" t="s">
        <v>309</v>
      </c>
      <c r="C101" s="11">
        <v>0</v>
      </c>
      <c r="D101" s="11">
        <v>0</v>
      </c>
      <c r="E101" s="11">
        <v>0</v>
      </c>
      <c r="F101" s="12">
        <f t="shared" si="3"/>
        <v>0</v>
      </c>
      <c r="G101" s="12">
        <f t="shared" si="2"/>
        <v>0</v>
      </c>
      <c r="H101" s="664"/>
      <c r="I101" s="664"/>
      <c r="J101" s="671"/>
      <c r="K101" s="671"/>
      <c r="L101" s="671"/>
      <c r="M101" s="666"/>
      <c r="N101" s="665"/>
      <c r="O101" s="665"/>
      <c r="P101" s="665"/>
      <c r="Q101" s="665"/>
      <c r="R101" s="665"/>
      <c r="S101" s="665"/>
    </row>
    <row r="102" spans="1:19" x14ac:dyDescent="0.2">
      <c r="A102" s="10">
        <v>42120000</v>
      </c>
      <c r="B102" s="10" t="s">
        <v>77</v>
      </c>
      <c r="C102" s="11">
        <v>18991.006999999983</v>
      </c>
      <c r="D102" s="11">
        <v>85633.334000000003</v>
      </c>
      <c r="E102" s="11">
        <v>83484.481</v>
      </c>
      <c r="F102" s="12">
        <f t="shared" si="3"/>
        <v>2148.8530000000028</v>
      </c>
      <c r="G102" s="12">
        <f t="shared" si="2"/>
        <v>21139.859999999986</v>
      </c>
      <c r="H102" s="664" t="s">
        <v>78</v>
      </c>
      <c r="I102" s="664"/>
      <c r="J102" s="671" t="s">
        <v>10104</v>
      </c>
      <c r="K102" s="671">
        <v>0</v>
      </c>
      <c r="L102" s="671"/>
      <c r="M102" s="666"/>
      <c r="N102" s="665"/>
      <c r="O102" s="665"/>
      <c r="P102" s="665"/>
      <c r="Q102" s="665"/>
      <c r="R102" s="665"/>
      <c r="S102" s="665"/>
    </row>
    <row r="103" spans="1:19" x14ac:dyDescent="0.2">
      <c r="A103" s="10">
        <v>42400000</v>
      </c>
      <c r="B103" s="10" t="s">
        <v>79</v>
      </c>
      <c r="C103" s="11">
        <v>0</v>
      </c>
      <c r="D103" s="11">
        <v>0</v>
      </c>
      <c r="E103" s="11">
        <v>0</v>
      </c>
      <c r="F103" s="12">
        <f t="shared" si="3"/>
        <v>0</v>
      </c>
      <c r="G103" s="12">
        <f t="shared" si="2"/>
        <v>0</v>
      </c>
      <c r="H103" s="664"/>
      <c r="I103" s="664"/>
      <c r="J103" s="671"/>
      <c r="K103" s="671"/>
      <c r="L103" s="671"/>
      <c r="M103" s="666"/>
      <c r="N103" s="665"/>
      <c r="O103" s="665"/>
      <c r="P103" s="665"/>
      <c r="Q103" s="665"/>
      <c r="R103" s="665"/>
      <c r="S103" s="665"/>
    </row>
    <row r="104" spans="1:19" x14ac:dyDescent="0.2">
      <c r="A104" s="10">
        <v>42500000</v>
      </c>
      <c r="B104" s="10" t="s">
        <v>80</v>
      </c>
      <c r="C104" s="11">
        <v>-169680.43600000069</v>
      </c>
      <c r="D104" s="11">
        <v>3634970.3170000003</v>
      </c>
      <c r="E104" s="11">
        <v>3646110.0239999993</v>
      </c>
      <c r="F104" s="12">
        <f t="shared" si="3"/>
        <v>-11139.706999999005</v>
      </c>
      <c r="G104" s="12">
        <f t="shared" si="2"/>
        <v>-180820.14299999969</v>
      </c>
      <c r="H104" s="664" t="s">
        <v>81</v>
      </c>
      <c r="I104" s="664"/>
      <c r="J104" s="671" t="s">
        <v>10104</v>
      </c>
      <c r="K104" s="671">
        <v>0</v>
      </c>
      <c r="L104" s="671"/>
      <c r="M104" s="666"/>
      <c r="N104" s="665"/>
      <c r="O104" s="665"/>
      <c r="P104" s="665"/>
      <c r="Q104" s="665"/>
      <c r="R104" s="665"/>
      <c r="S104" s="665"/>
    </row>
    <row r="105" spans="1:19" x14ac:dyDescent="0.2">
      <c r="A105" s="10">
        <v>42700000</v>
      </c>
      <c r="B105" s="10" t="s">
        <v>310</v>
      </c>
      <c r="C105" s="11">
        <v>0</v>
      </c>
      <c r="D105" s="11">
        <v>0</v>
      </c>
      <c r="E105" s="11">
        <v>0</v>
      </c>
      <c r="F105" s="12">
        <f t="shared" si="3"/>
        <v>0</v>
      </c>
      <c r="G105" s="12">
        <f t="shared" si="2"/>
        <v>0</v>
      </c>
      <c r="H105" s="664"/>
      <c r="I105" s="664"/>
      <c r="J105" s="671"/>
      <c r="K105" s="671"/>
      <c r="L105" s="671"/>
      <c r="M105" s="666"/>
      <c r="N105" s="665"/>
      <c r="O105" s="665"/>
      <c r="P105" s="665"/>
      <c r="Q105" s="665"/>
      <c r="R105" s="665"/>
      <c r="S105" s="665"/>
    </row>
    <row r="106" spans="1:19" x14ac:dyDescent="0.2">
      <c r="A106" s="10">
        <v>42710000</v>
      </c>
      <c r="B106" s="10" t="s">
        <v>82</v>
      </c>
      <c r="C106" s="11">
        <v>-913.54400000000169</v>
      </c>
      <c r="D106" s="11">
        <v>13515.092999999999</v>
      </c>
      <c r="E106" s="11">
        <v>15035.075000000001</v>
      </c>
      <c r="F106" s="12">
        <f t="shared" si="3"/>
        <v>-1519.9820000000018</v>
      </c>
      <c r="G106" s="12">
        <f t="shared" si="2"/>
        <v>-2433.5260000000035</v>
      </c>
      <c r="H106" s="664" t="s">
        <v>81</v>
      </c>
      <c r="I106" s="664"/>
      <c r="J106" s="671" t="s">
        <v>10104</v>
      </c>
      <c r="K106" s="671">
        <v>0</v>
      </c>
      <c r="L106" s="671"/>
      <c r="M106" s="666"/>
      <c r="N106" s="665"/>
      <c r="O106" s="665"/>
      <c r="P106" s="665"/>
      <c r="Q106" s="665"/>
      <c r="R106" s="665"/>
      <c r="S106" s="665"/>
    </row>
    <row r="107" spans="1:19" x14ac:dyDescent="0.2">
      <c r="A107" s="10">
        <v>42820000</v>
      </c>
      <c r="B107" s="10" t="s">
        <v>83</v>
      </c>
      <c r="C107" s="11">
        <v>-190404.0419999999</v>
      </c>
      <c r="D107" s="11">
        <v>2965886.0419999999</v>
      </c>
      <c r="E107" s="11">
        <v>3021413.4139999999</v>
      </c>
      <c r="F107" s="12">
        <f t="shared" si="3"/>
        <v>-55527.371999999974</v>
      </c>
      <c r="G107" s="12">
        <f t="shared" si="2"/>
        <v>-245931.41399999987</v>
      </c>
      <c r="H107" s="664" t="s">
        <v>81</v>
      </c>
      <c r="I107" s="664"/>
      <c r="J107" s="671" t="s">
        <v>10104</v>
      </c>
      <c r="K107" s="671">
        <v>0</v>
      </c>
      <c r="L107" s="671"/>
      <c r="M107" s="666"/>
      <c r="N107" s="665"/>
      <c r="O107" s="665"/>
      <c r="P107" s="665"/>
      <c r="Q107" s="665"/>
      <c r="R107" s="665"/>
      <c r="S107" s="665"/>
    </row>
    <row r="108" spans="1:19" x14ac:dyDescent="0.2">
      <c r="A108" s="10">
        <v>43200000</v>
      </c>
      <c r="B108" s="10" t="s">
        <v>311</v>
      </c>
      <c r="C108" s="11">
        <v>0</v>
      </c>
      <c r="D108" s="11">
        <v>0</v>
      </c>
      <c r="E108" s="11">
        <v>0</v>
      </c>
      <c r="F108" s="12">
        <f t="shared" si="3"/>
        <v>0</v>
      </c>
      <c r="G108" s="12">
        <f t="shared" si="2"/>
        <v>0</v>
      </c>
      <c r="H108" s="664"/>
      <c r="I108" s="664"/>
      <c r="J108" s="671"/>
      <c r="K108" s="671"/>
      <c r="L108" s="671"/>
      <c r="M108" s="666"/>
      <c r="N108" s="665"/>
      <c r="O108" s="665"/>
      <c r="P108" s="665"/>
      <c r="Q108" s="665"/>
      <c r="R108" s="665"/>
      <c r="S108" s="665"/>
    </row>
    <row r="109" spans="1:19" x14ac:dyDescent="0.2">
      <c r="A109" s="10">
        <v>43210000</v>
      </c>
      <c r="B109" s="10" t="s">
        <v>84</v>
      </c>
      <c r="C109" s="11">
        <v>0</v>
      </c>
      <c r="D109" s="11">
        <v>839077.87699999998</v>
      </c>
      <c r="E109" s="11">
        <v>839077.87699999998</v>
      </c>
      <c r="F109" s="12">
        <f t="shared" si="3"/>
        <v>0</v>
      </c>
      <c r="G109" s="12">
        <f t="shared" si="2"/>
        <v>0</v>
      </c>
      <c r="H109" s="664"/>
      <c r="I109" s="664"/>
      <c r="J109" s="671"/>
      <c r="K109" s="671"/>
      <c r="L109" s="671"/>
      <c r="M109" s="666"/>
      <c r="N109" s="665"/>
      <c r="O109" s="665"/>
      <c r="P109" s="665"/>
      <c r="Q109" s="665"/>
      <c r="R109" s="665"/>
      <c r="S109" s="665"/>
    </row>
    <row r="110" spans="1:19" x14ac:dyDescent="0.2">
      <c r="A110" s="10">
        <v>43211000</v>
      </c>
      <c r="B110" s="10" t="s">
        <v>312</v>
      </c>
      <c r="C110" s="11">
        <v>0</v>
      </c>
      <c r="D110" s="11">
        <v>5138.5550000000003</v>
      </c>
      <c r="E110" s="11">
        <v>5138.5550000000003</v>
      </c>
      <c r="F110" s="12">
        <f t="shared" si="3"/>
        <v>0</v>
      </c>
      <c r="G110" s="12">
        <f t="shared" si="2"/>
        <v>0</v>
      </c>
      <c r="H110" s="664"/>
      <c r="I110" s="664"/>
      <c r="J110" s="671"/>
      <c r="K110" s="671"/>
      <c r="L110" s="671"/>
      <c r="M110" s="666"/>
      <c r="N110" s="665"/>
      <c r="O110" s="665"/>
      <c r="P110" s="665"/>
      <c r="Q110" s="665"/>
      <c r="R110" s="665"/>
      <c r="S110" s="665"/>
    </row>
    <row r="111" spans="1:19" x14ac:dyDescent="0.2">
      <c r="A111" s="10">
        <v>43211500</v>
      </c>
      <c r="B111" s="10" t="s">
        <v>85</v>
      </c>
      <c r="C111" s="11">
        <v>0</v>
      </c>
      <c r="D111" s="11">
        <v>15.050999999999998</v>
      </c>
      <c r="E111" s="11">
        <v>15.050999999999998</v>
      </c>
      <c r="F111" s="12">
        <f t="shared" si="3"/>
        <v>0</v>
      </c>
      <c r="G111" s="12">
        <f t="shared" si="2"/>
        <v>0</v>
      </c>
      <c r="H111" s="664"/>
      <c r="I111" s="664"/>
      <c r="J111" s="671"/>
      <c r="K111" s="671"/>
      <c r="L111" s="671"/>
      <c r="M111" s="666"/>
      <c r="N111" s="665"/>
      <c r="O111" s="665"/>
      <c r="P111" s="665"/>
      <c r="Q111" s="665"/>
      <c r="R111" s="665"/>
      <c r="S111" s="665"/>
    </row>
    <row r="112" spans="1:19" x14ac:dyDescent="0.2">
      <c r="A112" s="10">
        <v>43212500</v>
      </c>
      <c r="B112" s="10" t="s">
        <v>313</v>
      </c>
      <c r="C112" s="11">
        <v>0</v>
      </c>
      <c r="D112" s="11">
        <v>0</v>
      </c>
      <c r="E112" s="11">
        <v>0</v>
      </c>
      <c r="F112" s="12">
        <f t="shared" si="3"/>
        <v>0</v>
      </c>
      <c r="G112" s="12">
        <f t="shared" si="2"/>
        <v>0</v>
      </c>
      <c r="H112" s="664"/>
      <c r="I112" s="664"/>
      <c r="J112" s="671"/>
      <c r="K112" s="671"/>
      <c r="L112" s="671"/>
      <c r="M112" s="666"/>
      <c r="N112" s="665"/>
      <c r="O112" s="665"/>
      <c r="P112" s="665"/>
      <c r="Q112" s="665"/>
      <c r="R112" s="665"/>
      <c r="S112" s="665"/>
    </row>
    <row r="113" spans="1:19" x14ac:dyDescent="0.2">
      <c r="A113" s="10">
        <v>43215000</v>
      </c>
      <c r="B113" s="10" t="s">
        <v>314</v>
      </c>
      <c r="C113" s="11">
        <v>0</v>
      </c>
      <c r="D113" s="11">
        <v>32.941999999999993</v>
      </c>
      <c r="E113" s="11">
        <v>32.941999999999993</v>
      </c>
      <c r="F113" s="12">
        <f t="shared" si="3"/>
        <v>0</v>
      </c>
      <c r="G113" s="12">
        <f t="shared" si="2"/>
        <v>0</v>
      </c>
      <c r="H113" s="664"/>
      <c r="I113" s="664"/>
      <c r="J113" s="671"/>
      <c r="K113" s="671"/>
      <c r="L113" s="671"/>
      <c r="M113" s="666"/>
      <c r="N113" s="665"/>
      <c r="O113" s="665"/>
      <c r="P113" s="665"/>
      <c r="Q113" s="665"/>
      <c r="R113" s="665"/>
      <c r="S113" s="665"/>
    </row>
    <row r="114" spans="1:19" x14ac:dyDescent="0.2">
      <c r="A114" s="10">
        <v>43220000</v>
      </c>
      <c r="B114" s="10" t="s">
        <v>86</v>
      </c>
      <c r="C114" s="11">
        <v>0</v>
      </c>
      <c r="D114" s="11">
        <v>35766.019</v>
      </c>
      <c r="E114" s="11">
        <v>35766.019</v>
      </c>
      <c r="F114" s="12">
        <f t="shared" si="3"/>
        <v>0</v>
      </c>
      <c r="G114" s="12">
        <f t="shared" si="2"/>
        <v>0</v>
      </c>
      <c r="H114" s="664" t="s">
        <v>81</v>
      </c>
      <c r="I114" s="664"/>
      <c r="J114" s="671" t="s">
        <v>10104</v>
      </c>
      <c r="K114" s="671">
        <v>0</v>
      </c>
      <c r="L114" s="671"/>
      <c r="M114" s="666"/>
      <c r="N114" s="665"/>
      <c r="O114" s="665"/>
      <c r="P114" s="665"/>
      <c r="Q114" s="665"/>
      <c r="R114" s="665"/>
      <c r="S114" s="665"/>
    </row>
    <row r="115" spans="1:19" x14ac:dyDescent="0.2">
      <c r="A115" s="10">
        <v>43220050</v>
      </c>
      <c r="B115" s="10" t="s">
        <v>315</v>
      </c>
      <c r="C115" s="11">
        <v>0</v>
      </c>
      <c r="D115" s="11">
        <v>24162.167000000001</v>
      </c>
      <c r="E115" s="11">
        <v>24162.120000000003</v>
      </c>
      <c r="F115" s="12">
        <f t="shared" si="3"/>
        <v>4.6999999998661224E-2</v>
      </c>
      <c r="G115" s="12">
        <f t="shared" si="2"/>
        <v>4.6999999998661224E-2</v>
      </c>
      <c r="H115" s="664" t="s">
        <v>78</v>
      </c>
      <c r="I115" s="664"/>
      <c r="J115" s="671" t="s">
        <v>10104</v>
      </c>
      <c r="K115" s="671">
        <v>0</v>
      </c>
      <c r="L115" s="671"/>
      <c r="M115" s="666"/>
      <c r="N115" s="665"/>
      <c r="O115" s="665"/>
      <c r="P115" s="665"/>
      <c r="Q115" s="665"/>
      <c r="R115" s="665"/>
      <c r="S115" s="665"/>
    </row>
    <row r="116" spans="1:19" x14ac:dyDescent="0.2">
      <c r="A116" s="10">
        <v>43220100</v>
      </c>
      <c r="B116" s="10" t="s">
        <v>87</v>
      </c>
      <c r="C116" s="11">
        <v>-6.0000000521540642E-3</v>
      </c>
      <c r="D116" s="11">
        <v>232608.70499999999</v>
      </c>
      <c r="E116" s="11">
        <v>232608.69899999996</v>
      </c>
      <c r="F116" s="12">
        <f t="shared" si="3"/>
        <v>6.0000000230502337E-3</v>
      </c>
      <c r="G116" s="12">
        <f t="shared" si="2"/>
        <v>-2.9103830456733704E-11</v>
      </c>
      <c r="H116" s="664" t="s">
        <v>81</v>
      </c>
      <c r="I116" s="664"/>
      <c r="J116" s="671" t="s">
        <v>10104</v>
      </c>
      <c r="K116" s="671">
        <v>0</v>
      </c>
      <c r="L116" s="671"/>
      <c r="M116" s="666"/>
      <c r="N116" s="665"/>
      <c r="O116" s="665"/>
      <c r="P116" s="665"/>
      <c r="Q116" s="665"/>
      <c r="R116" s="665"/>
      <c r="S116" s="665"/>
    </row>
    <row r="117" spans="1:19" x14ac:dyDescent="0.2">
      <c r="A117" s="10">
        <v>43220300</v>
      </c>
      <c r="B117" s="10" t="s">
        <v>88</v>
      </c>
      <c r="C117" s="11">
        <v>-5.9999999998581188E-3</v>
      </c>
      <c r="D117" s="11">
        <v>3764.335</v>
      </c>
      <c r="E117" s="11">
        <v>3764.3290000000002</v>
      </c>
      <c r="F117" s="12">
        <f t="shared" si="3"/>
        <v>5.9999999998581188E-3</v>
      </c>
      <c r="G117" s="12">
        <f t="shared" si="2"/>
        <v>0</v>
      </c>
      <c r="H117" s="664" t="s">
        <v>81</v>
      </c>
      <c r="I117" s="664"/>
      <c r="J117" s="671" t="s">
        <v>10104</v>
      </c>
      <c r="K117" s="671">
        <v>0</v>
      </c>
      <c r="L117" s="671"/>
      <c r="M117" s="666"/>
      <c r="N117" s="665"/>
      <c r="O117" s="665"/>
      <c r="P117" s="665"/>
      <c r="Q117" s="665"/>
      <c r="R117" s="665"/>
      <c r="S117" s="665"/>
    </row>
    <row r="118" spans="1:19" x14ac:dyDescent="0.2">
      <c r="A118" s="10">
        <v>43221000</v>
      </c>
      <c r="B118" s="10" t="s">
        <v>89</v>
      </c>
      <c r="C118" s="11">
        <v>-1.9999999785795808E-3</v>
      </c>
      <c r="D118" s="11">
        <v>1961.1060000000002</v>
      </c>
      <c r="E118" s="11">
        <v>1961.104</v>
      </c>
      <c r="F118" s="12">
        <f t="shared" si="3"/>
        <v>2.00000000018008E-3</v>
      </c>
      <c r="G118" s="12">
        <f t="shared" si="2"/>
        <v>2.1600499167107046E-11</v>
      </c>
      <c r="H118" s="664" t="s">
        <v>81</v>
      </c>
      <c r="I118" s="664"/>
      <c r="J118" s="671" t="s">
        <v>10104</v>
      </c>
      <c r="K118" s="671">
        <v>0</v>
      </c>
      <c r="L118" s="671"/>
      <c r="M118" s="666"/>
      <c r="N118" s="665"/>
      <c r="O118" s="665"/>
      <c r="P118" s="665"/>
      <c r="Q118" s="665"/>
      <c r="R118" s="665"/>
      <c r="S118" s="665"/>
    </row>
    <row r="119" spans="1:19" x14ac:dyDescent="0.2">
      <c r="A119" s="10">
        <v>43222000</v>
      </c>
      <c r="B119" s="10" t="s">
        <v>316</v>
      </c>
      <c r="C119" s="11">
        <v>0</v>
      </c>
      <c r="D119" s="11">
        <v>85000</v>
      </c>
      <c r="E119" s="11">
        <v>85000</v>
      </c>
      <c r="F119" s="12">
        <f t="shared" si="3"/>
        <v>0</v>
      </c>
      <c r="G119" s="12">
        <f t="shared" si="2"/>
        <v>0</v>
      </c>
      <c r="H119" s="664" t="s">
        <v>81</v>
      </c>
      <c r="I119" s="664"/>
      <c r="J119" s="671" t="s">
        <v>10104</v>
      </c>
      <c r="K119" s="671">
        <v>0</v>
      </c>
      <c r="L119" s="671"/>
      <c r="M119" s="666"/>
      <c r="N119" s="665"/>
      <c r="O119" s="665"/>
      <c r="P119" s="665"/>
      <c r="Q119" s="665"/>
      <c r="R119" s="665"/>
      <c r="S119" s="665"/>
    </row>
    <row r="120" spans="1:19" x14ac:dyDescent="0.2">
      <c r="A120" s="10">
        <v>43223000</v>
      </c>
      <c r="B120" s="10" t="s">
        <v>90</v>
      </c>
      <c r="C120" s="11">
        <v>-10696.540000000008</v>
      </c>
      <c r="D120" s="11">
        <v>73842.155999999988</v>
      </c>
      <c r="E120" s="11">
        <v>104057.67600000001</v>
      </c>
      <c r="F120" s="12">
        <f t="shared" si="3"/>
        <v>-30215.520000000019</v>
      </c>
      <c r="G120" s="12">
        <f t="shared" si="2"/>
        <v>-40912.060000000027</v>
      </c>
      <c r="H120" s="664" t="s">
        <v>81</v>
      </c>
      <c r="I120" s="664"/>
      <c r="J120" s="671" t="s">
        <v>10103</v>
      </c>
      <c r="K120" s="671">
        <v>0</v>
      </c>
      <c r="L120" s="671"/>
      <c r="M120" s="666"/>
      <c r="N120" s="665"/>
      <c r="O120" s="665"/>
      <c r="P120" s="665"/>
      <c r="Q120" s="665"/>
      <c r="R120" s="665"/>
      <c r="S120" s="665"/>
    </row>
    <row r="121" spans="1:19" x14ac:dyDescent="0.2">
      <c r="A121" s="10">
        <v>43310000</v>
      </c>
      <c r="B121" s="10" t="s">
        <v>317</v>
      </c>
      <c r="C121" s="11">
        <v>0</v>
      </c>
      <c r="D121" s="11">
        <v>0</v>
      </c>
      <c r="E121" s="11">
        <v>0</v>
      </c>
      <c r="F121" s="12">
        <f t="shared" si="3"/>
        <v>0</v>
      </c>
      <c r="G121" s="12">
        <f t="shared" si="2"/>
        <v>0</v>
      </c>
      <c r="H121" s="664"/>
      <c r="I121" s="664"/>
      <c r="J121" s="671"/>
      <c r="K121" s="671"/>
      <c r="L121" s="671"/>
      <c r="M121" s="666"/>
      <c r="N121" s="665"/>
      <c r="O121" s="665"/>
      <c r="P121" s="665"/>
      <c r="Q121" s="665"/>
      <c r="R121" s="665"/>
      <c r="S121" s="665"/>
    </row>
    <row r="122" spans="1:19" x14ac:dyDescent="0.2">
      <c r="A122" s="10">
        <v>43400000</v>
      </c>
      <c r="B122" s="10" t="s">
        <v>91</v>
      </c>
      <c r="C122" s="11">
        <v>329177.01199999999</v>
      </c>
      <c r="D122" s="11">
        <v>1091310.3359999999</v>
      </c>
      <c r="E122" s="11">
        <v>452757.696</v>
      </c>
      <c r="F122" s="12">
        <f t="shared" si="3"/>
        <v>638552.6399999999</v>
      </c>
      <c r="G122" s="12">
        <f t="shared" si="2"/>
        <v>967729.65199999989</v>
      </c>
      <c r="H122" s="664" t="s">
        <v>78</v>
      </c>
      <c r="I122" s="664"/>
      <c r="J122" s="671" t="s">
        <v>10103</v>
      </c>
      <c r="K122" s="671">
        <v>0</v>
      </c>
      <c r="L122" s="671"/>
      <c r="M122" s="666"/>
      <c r="N122" s="665"/>
      <c r="O122" s="665"/>
      <c r="P122" s="665"/>
      <c r="Q122" s="665"/>
      <c r="R122" s="665"/>
      <c r="S122" s="665"/>
    </row>
    <row r="123" spans="1:19" x14ac:dyDescent="0.2">
      <c r="A123" s="10">
        <v>43410000</v>
      </c>
      <c r="B123" s="10" t="s">
        <v>318</v>
      </c>
      <c r="C123" s="11">
        <v>416572.75599999982</v>
      </c>
      <c r="D123" s="11">
        <v>416895.12600000005</v>
      </c>
      <c r="E123" s="11">
        <v>833467.88199999998</v>
      </c>
      <c r="F123" s="12">
        <f t="shared" si="3"/>
        <v>-416572.75599999994</v>
      </c>
      <c r="G123" s="12">
        <f t="shared" si="2"/>
        <v>0</v>
      </c>
      <c r="H123" s="664" t="s">
        <v>78</v>
      </c>
      <c r="I123" s="664"/>
      <c r="J123" s="671" t="s">
        <v>10103</v>
      </c>
      <c r="K123" s="671">
        <v>0</v>
      </c>
      <c r="L123" s="671"/>
      <c r="M123" s="666"/>
      <c r="N123" s="665"/>
      <c r="O123" s="665"/>
      <c r="P123" s="665"/>
      <c r="Q123" s="665"/>
      <c r="R123" s="665"/>
      <c r="S123" s="665"/>
    </row>
    <row r="124" spans="1:19" x14ac:dyDescent="0.2">
      <c r="A124" s="10">
        <v>43420000</v>
      </c>
      <c r="B124" s="10" t="s">
        <v>92</v>
      </c>
      <c r="C124" s="11">
        <v>0</v>
      </c>
      <c r="D124" s="11">
        <v>0</v>
      </c>
      <c r="E124" s="11">
        <v>0</v>
      </c>
      <c r="F124" s="12">
        <f t="shared" si="3"/>
        <v>0</v>
      </c>
      <c r="G124" s="12">
        <f t="shared" si="2"/>
        <v>0</v>
      </c>
      <c r="H124" s="664"/>
      <c r="I124" s="664"/>
      <c r="J124" s="671"/>
      <c r="K124" s="671"/>
      <c r="L124" s="671"/>
      <c r="M124" s="666"/>
      <c r="N124" s="665"/>
      <c r="O124" s="665"/>
      <c r="P124" s="665"/>
      <c r="Q124" s="665"/>
      <c r="R124" s="665"/>
      <c r="S124" s="665"/>
    </row>
    <row r="125" spans="1:19" x14ac:dyDescent="0.2">
      <c r="A125" s="10">
        <v>43430000</v>
      </c>
      <c r="B125" s="10" t="s">
        <v>319</v>
      </c>
      <c r="C125" s="11">
        <v>0</v>
      </c>
      <c r="D125" s="11">
        <v>17547.174999999999</v>
      </c>
      <c r="E125" s="11">
        <v>17547.174999999999</v>
      </c>
      <c r="F125" s="12">
        <f t="shared" si="3"/>
        <v>0</v>
      </c>
      <c r="G125" s="12">
        <f t="shared" si="2"/>
        <v>0</v>
      </c>
      <c r="H125" s="664"/>
      <c r="I125" s="664"/>
      <c r="J125" s="671"/>
      <c r="K125" s="671"/>
      <c r="L125" s="671"/>
      <c r="M125" s="666"/>
      <c r="N125" s="665"/>
      <c r="O125" s="665"/>
      <c r="P125" s="665"/>
      <c r="Q125" s="665"/>
      <c r="R125" s="665"/>
      <c r="S125" s="665"/>
    </row>
    <row r="126" spans="1:19" x14ac:dyDescent="0.2">
      <c r="A126" s="10">
        <v>43440000</v>
      </c>
      <c r="B126" s="10" t="s">
        <v>320</v>
      </c>
      <c r="C126" s="11">
        <v>0</v>
      </c>
      <c r="D126" s="11">
        <v>0</v>
      </c>
      <c r="E126" s="11">
        <v>0</v>
      </c>
      <c r="F126" s="12">
        <f t="shared" si="3"/>
        <v>0</v>
      </c>
      <c r="G126" s="12">
        <f t="shared" si="2"/>
        <v>0</v>
      </c>
      <c r="H126" s="664"/>
      <c r="I126" s="664"/>
      <c r="J126" s="671"/>
      <c r="K126" s="671"/>
      <c r="L126" s="671"/>
      <c r="M126" s="666"/>
      <c r="N126" s="665"/>
      <c r="O126" s="665"/>
      <c r="P126" s="665"/>
      <c r="Q126" s="665"/>
      <c r="R126" s="665"/>
      <c r="S126" s="665"/>
    </row>
    <row r="127" spans="1:19" x14ac:dyDescent="0.2">
      <c r="A127" s="10">
        <v>43500000</v>
      </c>
      <c r="B127" s="10" t="s">
        <v>321</v>
      </c>
      <c r="C127" s="11">
        <v>0</v>
      </c>
      <c r="D127" s="11">
        <v>574433.58899999992</v>
      </c>
      <c r="E127" s="11">
        <v>644841.85899999994</v>
      </c>
      <c r="F127" s="12">
        <f t="shared" si="3"/>
        <v>-70408.270000000019</v>
      </c>
      <c r="G127" s="12">
        <f t="shared" si="2"/>
        <v>-70408.270000000019</v>
      </c>
      <c r="H127" s="664" t="s">
        <v>81</v>
      </c>
      <c r="I127" s="664"/>
      <c r="J127" s="671"/>
      <c r="K127" s="671"/>
      <c r="L127" s="671"/>
      <c r="M127" s="666"/>
      <c r="N127" s="665"/>
      <c r="O127" s="665"/>
      <c r="P127" s="665"/>
      <c r="Q127" s="665"/>
      <c r="R127" s="665"/>
      <c r="S127" s="665"/>
    </row>
    <row r="128" spans="1:19" x14ac:dyDescent="0.2">
      <c r="A128" s="10">
        <v>43600000</v>
      </c>
      <c r="B128" s="10" t="s">
        <v>93</v>
      </c>
      <c r="C128" s="11">
        <v>324233.75899998844</v>
      </c>
      <c r="D128" s="11">
        <v>9533893.1219999995</v>
      </c>
      <c r="E128" s="11">
        <v>9160507.2190000005</v>
      </c>
      <c r="F128" s="12">
        <f t="shared" si="3"/>
        <v>373385.902999999</v>
      </c>
      <c r="G128" s="12">
        <f t="shared" si="2"/>
        <v>697619.66199998744</v>
      </c>
      <c r="H128" s="664" t="s">
        <v>78</v>
      </c>
      <c r="I128" s="664"/>
      <c r="J128" s="671" t="s">
        <v>10103</v>
      </c>
      <c r="K128" s="671">
        <v>0</v>
      </c>
      <c r="L128" s="671"/>
      <c r="M128" s="666"/>
      <c r="N128" s="665"/>
      <c r="O128" s="665"/>
      <c r="P128" s="665"/>
      <c r="Q128" s="665"/>
      <c r="R128" s="665"/>
      <c r="S128" s="665"/>
    </row>
    <row r="129" spans="1:19" x14ac:dyDescent="0.2">
      <c r="A129" s="10">
        <v>43625000</v>
      </c>
      <c r="B129" s="10" t="s">
        <v>94</v>
      </c>
      <c r="C129" s="11">
        <v>1.999999862164259E-3</v>
      </c>
      <c r="D129" s="11">
        <v>322123.40100000001</v>
      </c>
      <c r="E129" s="11">
        <v>322123.40300000005</v>
      </c>
      <c r="F129" s="12">
        <f t="shared" si="3"/>
        <v>-2.0000000367872417E-3</v>
      </c>
      <c r="G129" s="12">
        <f t="shared" si="2"/>
        <v>-1.7462298274040222E-10</v>
      </c>
      <c r="H129" s="664" t="s">
        <v>78</v>
      </c>
      <c r="I129" s="664"/>
      <c r="J129" s="671" t="s">
        <v>10103</v>
      </c>
      <c r="K129" s="671">
        <v>0</v>
      </c>
      <c r="L129" s="671"/>
      <c r="M129" s="666"/>
      <c r="N129" s="665"/>
      <c r="O129" s="665"/>
      <c r="P129" s="665"/>
      <c r="Q129" s="665"/>
      <c r="R129" s="665"/>
      <c r="S129" s="665"/>
    </row>
    <row r="130" spans="1:19" x14ac:dyDescent="0.2">
      <c r="A130" s="10">
        <v>43627000</v>
      </c>
      <c r="B130" s="10" t="s">
        <v>95</v>
      </c>
      <c r="C130" s="11">
        <v>0</v>
      </c>
      <c r="D130" s="11">
        <v>2254863.7609999999</v>
      </c>
      <c r="E130" s="11">
        <v>2254863.75</v>
      </c>
      <c r="F130" s="12">
        <f t="shared" si="3"/>
        <v>1.0999999940395355E-2</v>
      </c>
      <c r="G130" s="12">
        <f t="shared" ref="G130:G193" si="4">+C130+F130</f>
        <v>1.0999999940395355E-2</v>
      </c>
      <c r="H130" s="664" t="s">
        <v>78</v>
      </c>
      <c r="I130" s="664"/>
      <c r="J130" s="671" t="s">
        <v>10103</v>
      </c>
      <c r="K130" s="671">
        <v>0</v>
      </c>
      <c r="L130" s="671"/>
      <c r="M130" s="666"/>
      <c r="N130" s="665"/>
      <c r="O130" s="665"/>
      <c r="P130" s="665"/>
      <c r="Q130" s="665"/>
      <c r="R130" s="665"/>
      <c r="S130" s="665"/>
    </row>
    <row r="131" spans="1:19" x14ac:dyDescent="0.2">
      <c r="A131" s="10">
        <v>43630600</v>
      </c>
      <c r="B131" s="10" t="s">
        <v>322</v>
      </c>
      <c r="C131" s="11">
        <v>0</v>
      </c>
      <c r="D131" s="11">
        <v>0</v>
      </c>
      <c r="E131" s="11">
        <v>0</v>
      </c>
      <c r="F131" s="12">
        <f t="shared" ref="F131:F194" si="5">+D131-E131</f>
        <v>0</v>
      </c>
      <c r="G131" s="12">
        <f t="shared" si="4"/>
        <v>0</v>
      </c>
      <c r="H131" s="664"/>
      <c r="I131" s="664"/>
      <c r="J131" s="671"/>
      <c r="K131" s="671"/>
      <c r="L131" s="671"/>
      <c r="M131" s="666"/>
      <c r="N131" s="665"/>
      <c r="O131" s="665"/>
      <c r="P131" s="665"/>
      <c r="Q131" s="665"/>
      <c r="R131" s="665"/>
      <c r="S131" s="665"/>
    </row>
    <row r="132" spans="1:19" x14ac:dyDescent="0.2">
      <c r="A132" s="10">
        <v>43630700</v>
      </c>
      <c r="B132" s="10" t="s">
        <v>96</v>
      </c>
      <c r="C132" s="11">
        <v>0</v>
      </c>
      <c r="D132" s="11">
        <v>496018.98100000003</v>
      </c>
      <c r="E132" s="11">
        <v>489618.10399999999</v>
      </c>
      <c r="F132" s="12">
        <f t="shared" si="5"/>
        <v>6400.8770000000368</v>
      </c>
      <c r="G132" s="12">
        <f t="shared" si="4"/>
        <v>6400.8770000000368</v>
      </c>
      <c r="H132" s="664" t="s">
        <v>78</v>
      </c>
      <c r="I132" s="664"/>
      <c r="J132" s="671" t="s">
        <v>10103</v>
      </c>
      <c r="K132" s="671"/>
      <c r="L132" s="671"/>
      <c r="M132" s="666"/>
      <c r="N132" s="665"/>
      <c r="O132" s="665"/>
      <c r="P132" s="665"/>
      <c r="Q132" s="665"/>
      <c r="R132" s="665"/>
      <c r="S132" s="665"/>
    </row>
    <row r="133" spans="1:19" x14ac:dyDescent="0.2">
      <c r="A133" s="10">
        <v>43631000</v>
      </c>
      <c r="B133" s="10" t="s">
        <v>323</v>
      </c>
      <c r="C133" s="11">
        <v>0</v>
      </c>
      <c r="D133" s="11">
        <v>0</v>
      </c>
      <c r="E133" s="11">
        <v>0</v>
      </c>
      <c r="F133" s="12">
        <f t="shared" si="5"/>
        <v>0</v>
      </c>
      <c r="G133" s="12">
        <f t="shared" si="4"/>
        <v>0</v>
      </c>
      <c r="H133" s="664"/>
      <c r="I133" s="664"/>
      <c r="J133" s="671"/>
      <c r="K133" s="671"/>
      <c r="L133" s="671"/>
      <c r="M133" s="666"/>
      <c r="N133" s="665"/>
      <c r="O133" s="665"/>
      <c r="P133" s="665"/>
      <c r="Q133" s="665"/>
      <c r="R133" s="665"/>
      <c r="S133" s="665"/>
    </row>
    <row r="134" spans="1:19" x14ac:dyDescent="0.2">
      <c r="A134" s="10">
        <v>43631300</v>
      </c>
      <c r="B134" s="10" t="s">
        <v>324</v>
      </c>
      <c r="C134" s="11">
        <v>126.09999999999127</v>
      </c>
      <c r="D134" s="11">
        <v>22285.138999999999</v>
      </c>
      <c r="E134" s="11">
        <v>22411.238999999998</v>
      </c>
      <c r="F134" s="12">
        <f t="shared" si="5"/>
        <v>-126.09999999999854</v>
      </c>
      <c r="G134" s="12">
        <f t="shared" si="4"/>
        <v>-7.2759576141834259E-12</v>
      </c>
      <c r="H134" s="664"/>
      <c r="I134" s="664"/>
      <c r="J134" s="671"/>
      <c r="K134" s="671"/>
      <c r="L134" s="671"/>
      <c r="M134" s="666"/>
      <c r="N134" s="665"/>
      <c r="O134" s="665"/>
      <c r="P134" s="665"/>
      <c r="Q134" s="665"/>
      <c r="R134" s="665"/>
      <c r="S134" s="665"/>
    </row>
    <row r="135" spans="1:19" x14ac:dyDescent="0.2">
      <c r="A135" s="10">
        <v>43631800</v>
      </c>
      <c r="B135" s="10" t="s">
        <v>325</v>
      </c>
      <c r="C135" s="11">
        <v>0</v>
      </c>
      <c r="D135" s="11">
        <v>0</v>
      </c>
      <c r="E135" s="11">
        <v>0</v>
      </c>
      <c r="F135" s="12">
        <f t="shared" si="5"/>
        <v>0</v>
      </c>
      <c r="G135" s="12">
        <f t="shared" si="4"/>
        <v>0</v>
      </c>
      <c r="H135" s="664"/>
      <c r="I135" s="664"/>
      <c r="J135" s="671"/>
      <c r="K135" s="671"/>
      <c r="L135" s="671"/>
      <c r="M135" s="666"/>
      <c r="N135" s="665"/>
      <c r="O135" s="665"/>
      <c r="P135" s="665"/>
      <c r="Q135" s="665"/>
      <c r="R135" s="665"/>
      <c r="S135" s="665"/>
    </row>
    <row r="136" spans="1:19" x14ac:dyDescent="0.2">
      <c r="A136" s="10">
        <v>43631900</v>
      </c>
      <c r="B136" s="10" t="s">
        <v>97</v>
      </c>
      <c r="C136" s="11">
        <v>-2490566.561999999</v>
      </c>
      <c r="D136" s="11">
        <v>11989693.515000001</v>
      </c>
      <c r="E136" s="11">
        <v>9499126.9570000004</v>
      </c>
      <c r="F136" s="12">
        <f t="shared" si="5"/>
        <v>2490566.5580000002</v>
      </c>
      <c r="G136" s="12">
        <f t="shared" si="4"/>
        <v>-3.9999987930059433E-3</v>
      </c>
      <c r="H136" s="664" t="s">
        <v>81</v>
      </c>
      <c r="I136" s="664"/>
      <c r="J136" s="671" t="s">
        <v>10104</v>
      </c>
      <c r="K136" s="671">
        <v>0</v>
      </c>
      <c r="L136" s="671"/>
      <c r="M136" s="666"/>
      <c r="N136" s="665"/>
      <c r="O136" s="665"/>
      <c r="P136" s="665"/>
      <c r="Q136" s="665"/>
      <c r="R136" s="665"/>
      <c r="S136" s="665"/>
    </row>
    <row r="137" spans="1:19" x14ac:dyDescent="0.2">
      <c r="A137" s="10">
        <v>43661800</v>
      </c>
      <c r="B137" s="10" t="s">
        <v>326</v>
      </c>
      <c r="C137" s="11">
        <v>0</v>
      </c>
      <c r="D137" s="11">
        <v>0</v>
      </c>
      <c r="E137" s="11">
        <v>0</v>
      </c>
      <c r="F137" s="12">
        <f t="shared" si="5"/>
        <v>0</v>
      </c>
      <c r="G137" s="12">
        <f t="shared" si="4"/>
        <v>0</v>
      </c>
      <c r="H137" s="664"/>
      <c r="I137" s="664"/>
      <c r="J137" s="671"/>
      <c r="K137" s="671"/>
      <c r="L137" s="671"/>
      <c r="M137" s="666"/>
      <c r="N137" s="665"/>
      <c r="O137" s="665"/>
      <c r="P137" s="665"/>
      <c r="Q137" s="665"/>
      <c r="R137" s="665"/>
      <c r="S137" s="665"/>
    </row>
    <row r="138" spans="1:19" x14ac:dyDescent="0.2">
      <c r="A138" s="10">
        <v>43671000</v>
      </c>
      <c r="B138" s="10" t="s">
        <v>98</v>
      </c>
      <c r="C138" s="11">
        <v>458.43999999761581</v>
      </c>
      <c r="D138" s="11">
        <v>6759715.1129999999</v>
      </c>
      <c r="E138" s="11">
        <v>6760173.5530000003</v>
      </c>
      <c r="F138" s="12">
        <f t="shared" si="5"/>
        <v>-458.44000000040978</v>
      </c>
      <c r="G138" s="12">
        <f t="shared" si="4"/>
        <v>-2.7939677238464355E-9</v>
      </c>
      <c r="H138" s="664" t="s">
        <v>78</v>
      </c>
      <c r="I138" s="664"/>
      <c r="J138" s="671" t="s">
        <v>10104</v>
      </c>
      <c r="K138" s="671">
        <v>0</v>
      </c>
      <c r="L138" s="671"/>
      <c r="M138" s="666"/>
      <c r="N138" s="665"/>
      <c r="O138" s="665"/>
      <c r="P138" s="665"/>
      <c r="Q138" s="665"/>
      <c r="R138" s="665"/>
      <c r="S138" s="665"/>
    </row>
    <row r="139" spans="1:19" x14ac:dyDescent="0.2">
      <c r="A139" s="10">
        <v>43700000</v>
      </c>
      <c r="B139" s="10" t="s">
        <v>99</v>
      </c>
      <c r="C139" s="11">
        <v>0</v>
      </c>
      <c r="D139" s="11">
        <v>53</v>
      </c>
      <c r="E139" s="11">
        <v>53</v>
      </c>
      <c r="F139" s="12">
        <f t="shared" si="5"/>
        <v>0</v>
      </c>
      <c r="G139" s="12">
        <f t="shared" si="4"/>
        <v>0</v>
      </c>
      <c r="H139" s="664"/>
      <c r="I139" s="664"/>
      <c r="J139" s="671"/>
      <c r="K139" s="671"/>
      <c r="L139" s="671"/>
      <c r="M139" s="666"/>
      <c r="N139" s="665"/>
      <c r="O139" s="665"/>
      <c r="P139" s="665"/>
      <c r="Q139" s="665"/>
      <c r="R139" s="665"/>
      <c r="S139" s="665"/>
    </row>
    <row r="140" spans="1:19" x14ac:dyDescent="0.2">
      <c r="A140" s="10">
        <v>43720000</v>
      </c>
      <c r="B140" s="10" t="s">
        <v>327</v>
      </c>
      <c r="C140" s="11">
        <v>0</v>
      </c>
      <c r="D140" s="11">
        <v>1843.7079999999999</v>
      </c>
      <c r="E140" s="11">
        <v>1843.7079999999999</v>
      </c>
      <c r="F140" s="12">
        <f t="shared" si="5"/>
        <v>0</v>
      </c>
      <c r="G140" s="12">
        <f t="shared" si="4"/>
        <v>0</v>
      </c>
      <c r="H140" s="664"/>
      <c r="I140" s="664"/>
      <c r="J140" s="671"/>
      <c r="K140" s="671"/>
      <c r="L140" s="671"/>
      <c r="M140" s="666"/>
      <c r="N140" s="665"/>
      <c r="O140" s="665"/>
      <c r="P140" s="665"/>
      <c r="Q140" s="665"/>
      <c r="R140" s="665"/>
      <c r="S140" s="665"/>
    </row>
    <row r="141" spans="1:19" x14ac:dyDescent="0.2">
      <c r="A141" s="10">
        <v>43756000</v>
      </c>
      <c r="B141" s="10" t="s">
        <v>328</v>
      </c>
      <c r="C141" s="11">
        <v>0</v>
      </c>
      <c r="D141" s="11">
        <v>0</v>
      </c>
      <c r="E141" s="11">
        <v>0</v>
      </c>
      <c r="F141" s="12">
        <f t="shared" si="5"/>
        <v>0</v>
      </c>
      <c r="G141" s="12">
        <f t="shared" si="4"/>
        <v>0</v>
      </c>
      <c r="H141" s="664"/>
      <c r="I141" s="664"/>
      <c r="J141" s="671"/>
      <c r="K141" s="671"/>
      <c r="L141" s="671"/>
      <c r="M141" s="666"/>
      <c r="N141" s="665"/>
      <c r="O141" s="665"/>
      <c r="P141" s="665"/>
      <c r="Q141" s="665"/>
      <c r="R141" s="665"/>
      <c r="S141" s="665"/>
    </row>
    <row r="142" spans="1:19" x14ac:dyDescent="0.2">
      <c r="A142" s="10">
        <v>44100000</v>
      </c>
      <c r="B142" s="10" t="s">
        <v>329</v>
      </c>
      <c r="C142" s="11">
        <v>0</v>
      </c>
      <c r="D142" s="11">
        <v>0</v>
      </c>
      <c r="E142" s="11">
        <v>0</v>
      </c>
      <c r="F142" s="12">
        <f t="shared" si="5"/>
        <v>0</v>
      </c>
      <c r="G142" s="12">
        <f t="shared" si="4"/>
        <v>0</v>
      </c>
      <c r="H142" s="664"/>
      <c r="I142" s="664"/>
      <c r="J142" s="671"/>
      <c r="K142" s="671"/>
      <c r="L142" s="671"/>
      <c r="M142" s="666"/>
      <c r="N142" s="665"/>
      <c r="O142" s="665"/>
      <c r="P142" s="665"/>
      <c r="Q142" s="665"/>
      <c r="R142" s="665"/>
      <c r="S142" s="665"/>
    </row>
    <row r="143" spans="1:19" x14ac:dyDescent="0.2">
      <c r="A143" s="10">
        <v>44101000</v>
      </c>
      <c r="B143" s="10" t="s">
        <v>7717</v>
      </c>
      <c r="C143" s="11">
        <v>0</v>
      </c>
      <c r="D143" s="11">
        <v>57066.353000000003</v>
      </c>
      <c r="E143" s="11">
        <v>57066.353000000003</v>
      </c>
      <c r="F143" s="12">
        <f t="shared" si="5"/>
        <v>0</v>
      </c>
      <c r="G143" s="12">
        <f t="shared" si="4"/>
        <v>0</v>
      </c>
      <c r="H143" s="664"/>
      <c r="I143" s="664"/>
      <c r="J143" s="671"/>
      <c r="K143" s="671"/>
      <c r="L143" s="671"/>
      <c r="M143" s="666"/>
      <c r="N143" s="665"/>
      <c r="O143" s="665"/>
      <c r="P143" s="665"/>
      <c r="Q143" s="665"/>
      <c r="R143" s="665"/>
      <c r="S143" s="665"/>
    </row>
    <row r="144" spans="1:19" x14ac:dyDescent="0.2">
      <c r="A144" s="10">
        <v>44200000</v>
      </c>
      <c r="B144" s="10" t="s">
        <v>330</v>
      </c>
      <c r="C144" s="11">
        <v>0</v>
      </c>
      <c r="D144" s="11">
        <v>0</v>
      </c>
      <c r="E144" s="11">
        <v>0</v>
      </c>
      <c r="F144" s="12">
        <f t="shared" si="5"/>
        <v>0</v>
      </c>
      <c r="G144" s="12">
        <f t="shared" si="4"/>
        <v>0</v>
      </c>
      <c r="H144" s="664"/>
      <c r="I144" s="664"/>
      <c r="J144" s="671"/>
      <c r="K144" s="671"/>
      <c r="L144" s="671"/>
      <c r="M144" s="666"/>
      <c r="N144" s="665"/>
      <c r="O144" s="665"/>
      <c r="P144" s="665"/>
      <c r="Q144" s="665"/>
      <c r="R144" s="665"/>
      <c r="S144" s="665"/>
    </row>
    <row r="145" spans="1:19" x14ac:dyDescent="0.2">
      <c r="A145" s="10">
        <v>44201000</v>
      </c>
      <c r="B145" s="10" t="s">
        <v>10105</v>
      </c>
      <c r="C145" s="11">
        <v>0</v>
      </c>
      <c r="D145" s="11">
        <v>2516473.8969999999</v>
      </c>
      <c r="E145" s="11">
        <v>2471975.5959999999</v>
      </c>
      <c r="F145" s="12">
        <f t="shared" si="5"/>
        <v>44498.300999999978</v>
      </c>
      <c r="G145" s="12">
        <f t="shared" si="4"/>
        <v>44498.300999999978</v>
      </c>
      <c r="H145" s="664" t="s">
        <v>78</v>
      </c>
      <c r="I145" s="664"/>
      <c r="J145" s="671"/>
      <c r="K145" s="671"/>
      <c r="L145" s="671"/>
      <c r="M145" s="666"/>
      <c r="N145" s="665"/>
      <c r="O145" s="665"/>
      <c r="P145" s="665"/>
      <c r="Q145" s="665"/>
      <c r="R145" s="665"/>
      <c r="S145" s="665"/>
    </row>
    <row r="146" spans="1:19" x14ac:dyDescent="0.2">
      <c r="A146" s="10">
        <v>44202000</v>
      </c>
      <c r="B146" s="10" t="s">
        <v>332</v>
      </c>
      <c r="C146" s="11">
        <v>0</v>
      </c>
      <c r="D146" s="11">
        <v>0</v>
      </c>
      <c r="E146" s="11">
        <v>0</v>
      </c>
      <c r="F146" s="12">
        <f t="shared" si="5"/>
        <v>0</v>
      </c>
      <c r="G146" s="12">
        <f t="shared" si="4"/>
        <v>0</v>
      </c>
      <c r="H146" s="664"/>
      <c r="I146" s="664"/>
      <c r="J146" s="671"/>
      <c r="K146" s="671"/>
      <c r="L146" s="671"/>
      <c r="M146" s="666"/>
      <c r="N146" s="665"/>
      <c r="O146" s="665"/>
      <c r="P146" s="665"/>
      <c r="Q146" s="665"/>
      <c r="R146" s="665"/>
      <c r="S146" s="665"/>
    </row>
    <row r="147" spans="1:19" x14ac:dyDescent="0.2">
      <c r="A147" s="10">
        <v>44203000</v>
      </c>
      <c r="B147" s="10" t="s">
        <v>333</v>
      </c>
      <c r="C147" s="11">
        <v>0</v>
      </c>
      <c r="D147" s="11">
        <v>0</v>
      </c>
      <c r="E147" s="11">
        <v>0</v>
      </c>
      <c r="F147" s="12">
        <f t="shared" si="5"/>
        <v>0</v>
      </c>
      <c r="G147" s="12">
        <f t="shared" si="4"/>
        <v>0</v>
      </c>
      <c r="H147" s="664"/>
      <c r="I147" s="664"/>
      <c r="J147" s="671"/>
      <c r="K147" s="671"/>
      <c r="L147" s="671"/>
      <c r="M147" s="666"/>
      <c r="N147" s="665"/>
      <c r="O147" s="665"/>
      <c r="P147" s="665"/>
      <c r="Q147" s="665"/>
      <c r="R147" s="665"/>
      <c r="S147" s="665"/>
    </row>
    <row r="148" spans="1:19" x14ac:dyDescent="0.2">
      <c r="A148" s="10">
        <v>44204000</v>
      </c>
      <c r="B148" s="10" t="s">
        <v>334</v>
      </c>
      <c r="C148" s="11">
        <v>0</v>
      </c>
      <c r="D148" s="11">
        <v>0</v>
      </c>
      <c r="E148" s="11">
        <v>0</v>
      </c>
      <c r="F148" s="12">
        <f t="shared" si="5"/>
        <v>0</v>
      </c>
      <c r="G148" s="12">
        <f t="shared" si="4"/>
        <v>0</v>
      </c>
      <c r="H148" s="664"/>
      <c r="I148" s="664"/>
      <c r="J148" s="671"/>
      <c r="K148" s="671"/>
      <c r="L148" s="671"/>
      <c r="M148" s="666"/>
      <c r="N148" s="665"/>
      <c r="O148" s="665"/>
      <c r="P148" s="665"/>
      <c r="Q148" s="665"/>
      <c r="R148" s="665"/>
      <c r="S148" s="665"/>
    </row>
    <row r="149" spans="1:19" x14ac:dyDescent="0.2">
      <c r="A149" s="10">
        <v>44205000</v>
      </c>
      <c r="B149" s="10" t="s">
        <v>335</v>
      </c>
      <c r="C149" s="11">
        <v>0</v>
      </c>
      <c r="D149" s="11">
        <v>0</v>
      </c>
      <c r="E149" s="11">
        <v>0</v>
      </c>
      <c r="F149" s="12">
        <f t="shared" si="5"/>
        <v>0</v>
      </c>
      <c r="G149" s="12">
        <f t="shared" si="4"/>
        <v>0</v>
      </c>
      <c r="H149" s="664"/>
      <c r="I149" s="664"/>
      <c r="J149" s="671"/>
      <c r="K149" s="671"/>
      <c r="L149" s="671"/>
      <c r="M149" s="666"/>
      <c r="N149" s="665"/>
      <c r="O149" s="665"/>
      <c r="P149" s="665"/>
      <c r="Q149" s="665"/>
      <c r="R149" s="665"/>
      <c r="S149" s="665"/>
    </row>
    <row r="150" spans="1:19" x14ac:dyDescent="0.2">
      <c r="A150" s="10">
        <v>44206000</v>
      </c>
      <c r="B150" s="10" t="s">
        <v>100</v>
      </c>
      <c r="C150" s="11">
        <v>-764999.99999999988</v>
      </c>
      <c r="D150" s="11">
        <v>325000</v>
      </c>
      <c r="E150" s="11">
        <v>0</v>
      </c>
      <c r="F150" s="12">
        <f t="shared" si="5"/>
        <v>325000</v>
      </c>
      <c r="G150" s="12">
        <f t="shared" si="4"/>
        <v>-439999.99999999988</v>
      </c>
      <c r="H150" s="664" t="s">
        <v>81</v>
      </c>
      <c r="I150" s="664"/>
      <c r="J150" s="671" t="s">
        <v>10103</v>
      </c>
      <c r="K150" s="671" t="s">
        <v>10106</v>
      </c>
      <c r="L150" s="671"/>
      <c r="M150" s="666"/>
      <c r="N150" s="665"/>
      <c r="O150" s="665"/>
      <c r="P150" s="665"/>
      <c r="Q150" s="665"/>
      <c r="R150" s="665"/>
      <c r="S150" s="665"/>
    </row>
    <row r="151" spans="1:19" x14ac:dyDescent="0.2">
      <c r="A151" s="10">
        <v>44207000</v>
      </c>
      <c r="B151" s="10" t="s">
        <v>336</v>
      </c>
      <c r="C151" s="11">
        <v>50000</v>
      </c>
      <c r="D151" s="11">
        <v>115000</v>
      </c>
      <c r="E151" s="11">
        <v>0</v>
      </c>
      <c r="F151" s="12">
        <f t="shared" si="5"/>
        <v>115000</v>
      </c>
      <c r="G151" s="12">
        <f t="shared" si="4"/>
        <v>165000</v>
      </c>
      <c r="H151" s="664" t="s">
        <v>78</v>
      </c>
      <c r="I151" s="664"/>
      <c r="J151" s="671" t="s">
        <v>10104</v>
      </c>
      <c r="K151" s="671" t="s">
        <v>10107</v>
      </c>
      <c r="L151" s="671"/>
      <c r="M151" s="666"/>
      <c r="N151" s="665"/>
      <c r="O151" s="665"/>
      <c r="P151" s="665"/>
      <c r="Q151" s="665"/>
      <c r="R151" s="665"/>
      <c r="S151" s="665"/>
    </row>
    <row r="152" spans="1:19" x14ac:dyDescent="0.2">
      <c r="A152" s="10">
        <v>44208000</v>
      </c>
      <c r="B152" s="10" t="s">
        <v>337</v>
      </c>
      <c r="C152" s="11">
        <v>2270.971</v>
      </c>
      <c r="D152" s="11">
        <v>0</v>
      </c>
      <c r="E152" s="11">
        <v>0</v>
      </c>
      <c r="F152" s="12">
        <f t="shared" si="5"/>
        <v>0</v>
      </c>
      <c r="G152" s="12">
        <f t="shared" si="4"/>
        <v>2270.971</v>
      </c>
      <c r="H152" s="664" t="s">
        <v>78</v>
      </c>
      <c r="I152" s="664"/>
      <c r="J152" s="671" t="s">
        <v>10104</v>
      </c>
      <c r="K152" s="671">
        <v>0</v>
      </c>
      <c r="L152" s="671"/>
      <c r="M152" s="666"/>
      <c r="N152" s="665"/>
      <c r="O152" s="665"/>
      <c r="P152" s="665"/>
      <c r="Q152" s="665"/>
      <c r="R152" s="665"/>
      <c r="S152" s="665"/>
    </row>
    <row r="153" spans="1:19" x14ac:dyDescent="0.2">
      <c r="A153" s="10">
        <v>44209000</v>
      </c>
      <c r="B153" s="10" t="s">
        <v>392</v>
      </c>
      <c r="C153" s="11">
        <v>0</v>
      </c>
      <c r="D153" s="11">
        <v>1403715.2280000001</v>
      </c>
      <c r="E153" s="11">
        <v>1400088.3459999999</v>
      </c>
      <c r="F153" s="12">
        <f t="shared" si="5"/>
        <v>3626.8820000002161</v>
      </c>
      <c r="G153" s="12">
        <f t="shared" si="4"/>
        <v>3626.8820000002161</v>
      </c>
      <c r="H153" s="664" t="s">
        <v>78</v>
      </c>
      <c r="I153" s="664"/>
      <c r="J153" s="671" t="s">
        <v>10104</v>
      </c>
      <c r="K153" s="671"/>
      <c r="L153" s="671"/>
      <c r="M153" s="666"/>
      <c r="N153" s="665"/>
      <c r="O153" s="665"/>
      <c r="P153" s="665"/>
      <c r="Q153" s="665"/>
      <c r="R153" s="665"/>
      <c r="S153" s="665"/>
    </row>
    <row r="154" spans="1:19" x14ac:dyDescent="0.2">
      <c r="A154" s="10">
        <v>44210000</v>
      </c>
      <c r="B154" s="10" t="s">
        <v>338</v>
      </c>
      <c r="C154" s="11">
        <v>0</v>
      </c>
      <c r="D154" s="11">
        <v>0</v>
      </c>
      <c r="E154" s="11">
        <v>0</v>
      </c>
      <c r="F154" s="12">
        <f t="shared" si="5"/>
        <v>0</v>
      </c>
      <c r="G154" s="12">
        <f t="shared" si="4"/>
        <v>0</v>
      </c>
      <c r="H154" s="664"/>
      <c r="I154" s="664"/>
      <c r="J154" s="671"/>
      <c r="K154" s="671"/>
      <c r="L154" s="671"/>
      <c r="M154" s="666"/>
      <c r="N154" s="665"/>
      <c r="O154" s="665"/>
      <c r="P154" s="665"/>
      <c r="Q154" s="665"/>
      <c r="R154" s="665"/>
      <c r="S154" s="665"/>
    </row>
    <row r="155" spans="1:19" x14ac:dyDescent="0.2">
      <c r="A155" s="10">
        <v>44600000</v>
      </c>
      <c r="B155" s="10" t="s">
        <v>339</v>
      </c>
      <c r="C155" s="11">
        <v>0</v>
      </c>
      <c r="D155" s="11">
        <v>0</v>
      </c>
      <c r="E155" s="11">
        <v>0</v>
      </c>
      <c r="F155" s="12">
        <f t="shared" si="5"/>
        <v>0</v>
      </c>
      <c r="G155" s="12">
        <f t="shared" si="4"/>
        <v>0</v>
      </c>
      <c r="H155" s="664"/>
      <c r="I155" s="664"/>
      <c r="J155" s="671"/>
      <c r="K155" s="671"/>
      <c r="L155" s="671"/>
      <c r="M155" s="666"/>
      <c r="N155" s="665"/>
      <c r="O155" s="665"/>
      <c r="P155" s="665"/>
      <c r="Q155" s="665"/>
      <c r="R155" s="665"/>
      <c r="S155" s="665"/>
    </row>
    <row r="156" spans="1:19" x14ac:dyDescent="0.2">
      <c r="A156" s="10">
        <v>44700000</v>
      </c>
      <c r="B156" s="10" t="s">
        <v>101</v>
      </c>
      <c r="C156" s="11">
        <v>0</v>
      </c>
      <c r="D156" s="11">
        <v>0</v>
      </c>
      <c r="E156" s="11">
        <v>0</v>
      </c>
      <c r="F156" s="12">
        <f t="shared" si="5"/>
        <v>0</v>
      </c>
      <c r="G156" s="12">
        <f t="shared" si="4"/>
        <v>0</v>
      </c>
      <c r="H156" s="664"/>
      <c r="I156" s="664"/>
      <c r="J156" s="671"/>
      <c r="K156" s="671"/>
      <c r="L156" s="671"/>
      <c r="M156" s="666"/>
      <c r="N156" s="665"/>
      <c r="O156" s="665"/>
      <c r="P156" s="665"/>
      <c r="Q156" s="665"/>
      <c r="R156" s="665"/>
      <c r="S156" s="665"/>
    </row>
    <row r="157" spans="1:19" x14ac:dyDescent="0.2">
      <c r="A157" s="10">
        <v>45000000</v>
      </c>
      <c r="B157" s="10" t="s">
        <v>102</v>
      </c>
      <c r="C157" s="11">
        <v>-1587699.9999999995</v>
      </c>
      <c r="D157" s="11">
        <v>1575000</v>
      </c>
      <c r="E157" s="11">
        <v>0</v>
      </c>
      <c r="F157" s="12">
        <f t="shared" si="5"/>
        <v>1575000</v>
      </c>
      <c r="G157" s="12">
        <f t="shared" si="4"/>
        <v>-12699.999999999534</v>
      </c>
      <c r="H157" s="664" t="s">
        <v>81</v>
      </c>
      <c r="I157" s="664"/>
      <c r="J157" s="671"/>
      <c r="K157" s="671">
        <v>0</v>
      </c>
      <c r="L157" s="671"/>
      <c r="M157" s="666"/>
      <c r="N157" s="665"/>
      <c r="O157" s="665"/>
      <c r="P157" s="665"/>
      <c r="Q157" s="665"/>
      <c r="R157" s="665"/>
      <c r="S157" s="665"/>
    </row>
    <row r="158" spans="1:19" x14ac:dyDescent="0.2">
      <c r="A158" s="10">
        <v>45200000</v>
      </c>
      <c r="B158" s="10" t="s">
        <v>103</v>
      </c>
      <c r="C158" s="11">
        <v>0</v>
      </c>
      <c r="D158" s="11">
        <v>50000</v>
      </c>
      <c r="E158" s="11">
        <v>52500</v>
      </c>
      <c r="F158" s="12">
        <f t="shared" si="5"/>
        <v>-2500</v>
      </c>
      <c r="G158" s="12">
        <f t="shared" si="4"/>
        <v>-2500</v>
      </c>
      <c r="H158" s="664" t="s">
        <v>81</v>
      </c>
      <c r="I158" s="664"/>
      <c r="J158" s="671" t="s">
        <v>10104</v>
      </c>
      <c r="K158" s="671">
        <v>0</v>
      </c>
      <c r="L158" s="671"/>
      <c r="M158" s="666"/>
      <c r="N158" s="665"/>
      <c r="O158" s="665"/>
      <c r="P158" s="665"/>
      <c r="Q158" s="665"/>
      <c r="R158" s="665"/>
      <c r="S158" s="665"/>
    </row>
    <row r="159" spans="1:19" x14ac:dyDescent="0.2">
      <c r="A159" s="10">
        <v>45310000</v>
      </c>
      <c r="B159" s="10" t="s">
        <v>104</v>
      </c>
      <c r="C159" s="11">
        <v>-216427.84700000007</v>
      </c>
      <c r="D159" s="11">
        <v>792365.96400000004</v>
      </c>
      <c r="E159" s="11">
        <v>819948.48800000001</v>
      </c>
      <c r="F159" s="12">
        <f t="shared" si="5"/>
        <v>-27582.523999999976</v>
      </c>
      <c r="G159" s="12">
        <f t="shared" si="4"/>
        <v>-244010.37100000004</v>
      </c>
      <c r="H159" s="664" t="s">
        <v>81</v>
      </c>
      <c r="I159" s="664"/>
      <c r="J159" s="671" t="s">
        <v>10103</v>
      </c>
      <c r="K159" s="671">
        <v>0</v>
      </c>
      <c r="L159" s="671"/>
      <c r="M159" s="666"/>
      <c r="N159" s="665"/>
      <c r="O159" s="665"/>
      <c r="P159" s="665"/>
      <c r="Q159" s="665"/>
      <c r="R159" s="665"/>
      <c r="S159" s="665"/>
    </row>
    <row r="160" spans="1:19" x14ac:dyDescent="0.2">
      <c r="A160" s="10">
        <v>45700000</v>
      </c>
      <c r="B160" s="10" t="s">
        <v>105</v>
      </c>
      <c r="C160" s="11">
        <v>5876</v>
      </c>
      <c r="D160" s="11">
        <v>1246.9680000000001</v>
      </c>
      <c r="E160" s="11">
        <v>0</v>
      </c>
      <c r="F160" s="12">
        <f t="shared" si="5"/>
        <v>1246.9680000000001</v>
      </c>
      <c r="G160" s="12">
        <f t="shared" si="4"/>
        <v>7122.9679999999998</v>
      </c>
      <c r="H160" s="664" t="s">
        <v>78</v>
      </c>
      <c r="I160" s="664"/>
      <c r="J160" s="671" t="s">
        <v>10104</v>
      </c>
      <c r="K160" s="671">
        <v>0</v>
      </c>
      <c r="L160" s="671"/>
      <c r="M160" s="666"/>
      <c r="N160" s="665"/>
      <c r="O160" s="665"/>
      <c r="P160" s="665"/>
      <c r="Q160" s="665"/>
      <c r="R160" s="665"/>
      <c r="S160" s="665"/>
    </row>
    <row r="161" spans="1:19" x14ac:dyDescent="0.2">
      <c r="A161" s="10">
        <v>45860000</v>
      </c>
      <c r="B161" s="10" t="s">
        <v>106</v>
      </c>
      <c r="C161" s="11">
        <v>-1088724.6109999996</v>
      </c>
      <c r="D161" s="11">
        <v>1309691.702</v>
      </c>
      <c r="E161" s="11">
        <v>2093937.273</v>
      </c>
      <c r="F161" s="12">
        <f t="shared" si="5"/>
        <v>-784245.571</v>
      </c>
      <c r="G161" s="12">
        <f t="shared" si="4"/>
        <v>-1872970.1819999996</v>
      </c>
      <c r="H161" s="664" t="s">
        <v>81</v>
      </c>
      <c r="I161" s="664"/>
      <c r="J161" s="671"/>
      <c r="K161" s="671">
        <v>0</v>
      </c>
      <c r="L161" s="671"/>
      <c r="M161" s="666"/>
      <c r="N161" s="665"/>
      <c r="O161" s="665"/>
      <c r="P161" s="665"/>
      <c r="Q161" s="665"/>
      <c r="R161" s="665"/>
      <c r="S161" s="665"/>
    </row>
    <row r="162" spans="1:19" x14ac:dyDescent="0.2">
      <c r="A162" s="10">
        <v>45870000</v>
      </c>
      <c r="B162" s="10" t="s">
        <v>107</v>
      </c>
      <c r="C162" s="11">
        <v>2433533.5490000001</v>
      </c>
      <c r="D162" s="11">
        <v>2472304.0669999998</v>
      </c>
      <c r="E162" s="11">
        <v>4867067.0980000002</v>
      </c>
      <c r="F162" s="12">
        <f t="shared" si="5"/>
        <v>-2394763.0310000004</v>
      </c>
      <c r="G162" s="12">
        <f t="shared" si="4"/>
        <v>38770.517999999691</v>
      </c>
      <c r="H162" s="664" t="s">
        <v>78</v>
      </c>
      <c r="I162" s="664"/>
      <c r="J162" s="671"/>
      <c r="K162" s="671">
        <v>0</v>
      </c>
      <c r="L162" s="671"/>
      <c r="M162" s="666"/>
      <c r="N162" s="665"/>
      <c r="O162" s="665"/>
      <c r="P162" s="665"/>
      <c r="Q162" s="665"/>
      <c r="R162" s="665"/>
      <c r="S162" s="665"/>
    </row>
    <row r="163" spans="1:19" x14ac:dyDescent="0.2">
      <c r="A163" s="10">
        <v>46100000</v>
      </c>
      <c r="B163" s="10" t="s">
        <v>340</v>
      </c>
      <c r="C163" s="11">
        <v>0</v>
      </c>
      <c r="D163" s="11">
        <v>67699.255999999994</v>
      </c>
      <c r="E163" s="11">
        <v>67699.255999999994</v>
      </c>
      <c r="F163" s="12">
        <f t="shared" si="5"/>
        <v>0</v>
      </c>
      <c r="G163" s="12">
        <f t="shared" si="4"/>
        <v>0</v>
      </c>
      <c r="H163" s="664"/>
      <c r="I163" s="664"/>
      <c r="J163" s="671" t="s">
        <v>10103</v>
      </c>
      <c r="K163" s="671">
        <v>0</v>
      </c>
      <c r="L163" s="671"/>
      <c r="M163" s="666"/>
      <c r="N163" s="665"/>
      <c r="O163" s="665"/>
      <c r="P163" s="665"/>
      <c r="Q163" s="665"/>
      <c r="R163" s="665"/>
      <c r="S163" s="665"/>
    </row>
    <row r="164" spans="1:19" x14ac:dyDescent="0.2">
      <c r="A164" s="10">
        <v>46800000</v>
      </c>
      <c r="B164" s="10" t="s">
        <v>108</v>
      </c>
      <c r="C164" s="11">
        <v>0</v>
      </c>
      <c r="D164" s="11">
        <v>0</v>
      </c>
      <c r="E164" s="11">
        <v>0</v>
      </c>
      <c r="F164" s="12">
        <f t="shared" si="5"/>
        <v>0</v>
      </c>
      <c r="G164" s="12">
        <f t="shared" si="4"/>
        <v>0</v>
      </c>
      <c r="H164" s="664"/>
      <c r="I164" s="664"/>
      <c r="J164" s="671"/>
      <c r="K164" s="671"/>
      <c r="L164" s="671"/>
      <c r="M164" s="666"/>
      <c r="N164" s="665"/>
      <c r="O164" s="665"/>
      <c r="P164" s="665"/>
      <c r="Q164" s="665"/>
      <c r="R164" s="665"/>
      <c r="S164" s="665"/>
    </row>
    <row r="165" spans="1:19" x14ac:dyDescent="0.2">
      <c r="A165" s="10">
        <v>47100000</v>
      </c>
      <c r="B165" s="10" t="s">
        <v>109</v>
      </c>
      <c r="C165" s="11">
        <v>213151.36084600014</v>
      </c>
      <c r="D165" s="11">
        <v>818151.45299999998</v>
      </c>
      <c r="E165" s="11">
        <v>809283.89199999999</v>
      </c>
      <c r="F165" s="12">
        <f t="shared" si="5"/>
        <v>8867.560999999987</v>
      </c>
      <c r="G165" s="12">
        <f t="shared" si="4"/>
        <v>222018.92184600013</v>
      </c>
      <c r="H165" s="664" t="s">
        <v>78</v>
      </c>
      <c r="I165" s="664"/>
      <c r="J165" s="671"/>
      <c r="K165" s="671"/>
      <c r="L165" s="671"/>
      <c r="M165" s="666"/>
      <c r="N165" s="665"/>
      <c r="O165" s="665"/>
      <c r="P165" s="665"/>
      <c r="Q165" s="665"/>
      <c r="R165" s="665"/>
      <c r="S165" s="665"/>
    </row>
    <row r="166" spans="1:19" x14ac:dyDescent="0.2">
      <c r="A166" s="10">
        <v>47200000</v>
      </c>
      <c r="B166" s="10" t="s">
        <v>341</v>
      </c>
      <c r="C166" s="11">
        <v>0</v>
      </c>
      <c r="D166" s="11">
        <v>0</v>
      </c>
      <c r="E166" s="11">
        <v>0</v>
      </c>
      <c r="F166" s="12">
        <f t="shared" si="5"/>
        <v>0</v>
      </c>
      <c r="G166" s="12">
        <f t="shared" si="4"/>
        <v>0</v>
      </c>
      <c r="H166" s="664"/>
      <c r="I166" s="664"/>
      <c r="J166" s="671"/>
      <c r="K166" s="671"/>
      <c r="L166" s="671"/>
      <c r="M166" s="666"/>
      <c r="N166" s="665"/>
      <c r="O166" s="665"/>
      <c r="P166" s="665"/>
      <c r="Q166" s="665"/>
      <c r="R166" s="665"/>
      <c r="S166" s="665"/>
    </row>
    <row r="167" spans="1:19" x14ac:dyDescent="0.2">
      <c r="A167" s="10">
        <v>49100000</v>
      </c>
      <c r="B167" s="10" t="s">
        <v>110</v>
      </c>
      <c r="C167" s="11">
        <v>-457129.14999999991</v>
      </c>
      <c r="D167" s="11">
        <v>0</v>
      </c>
      <c r="E167" s="11">
        <v>0</v>
      </c>
      <c r="F167" s="12">
        <f t="shared" si="5"/>
        <v>0</v>
      </c>
      <c r="G167" s="12">
        <f t="shared" si="4"/>
        <v>-457129.14999999991</v>
      </c>
      <c r="H167" s="664" t="s">
        <v>111</v>
      </c>
      <c r="I167" s="664"/>
      <c r="J167" s="671"/>
      <c r="K167" s="671">
        <v>0</v>
      </c>
      <c r="L167" s="671"/>
      <c r="M167" s="666"/>
      <c r="N167" s="665"/>
      <c r="O167" s="665"/>
      <c r="P167" s="665"/>
      <c r="Q167" s="665"/>
      <c r="R167" s="665"/>
      <c r="S167" s="665"/>
    </row>
    <row r="168" spans="1:19" x14ac:dyDescent="0.2">
      <c r="A168" s="10">
        <v>49600000</v>
      </c>
      <c r="B168" s="10" t="s">
        <v>112</v>
      </c>
      <c r="C168" s="11">
        <v>-288613.68499999994</v>
      </c>
      <c r="D168" s="11">
        <v>0</v>
      </c>
      <c r="E168" s="11">
        <v>0</v>
      </c>
      <c r="F168" s="12">
        <f t="shared" si="5"/>
        <v>0</v>
      </c>
      <c r="G168" s="12">
        <f t="shared" si="4"/>
        <v>-288613.68499999994</v>
      </c>
      <c r="H168" s="664" t="s">
        <v>113</v>
      </c>
      <c r="I168" s="664"/>
      <c r="J168" s="671" t="s">
        <v>10108</v>
      </c>
      <c r="K168" s="671" t="s">
        <v>10109</v>
      </c>
      <c r="L168" s="671"/>
      <c r="M168" s="666"/>
      <c r="N168" s="665"/>
      <c r="O168" s="665"/>
      <c r="P168" s="665"/>
      <c r="Q168" s="665"/>
      <c r="R168" s="665"/>
      <c r="S168" s="665"/>
    </row>
    <row r="169" spans="1:19" x14ac:dyDescent="0.2">
      <c r="A169" s="10">
        <v>50130000</v>
      </c>
      <c r="B169" s="10" t="s">
        <v>114</v>
      </c>
      <c r="C169" s="11">
        <v>-6000000</v>
      </c>
      <c r="D169" s="11">
        <v>24000000</v>
      </c>
      <c r="E169" s="11">
        <v>24000000</v>
      </c>
      <c r="F169" s="12">
        <f t="shared" si="5"/>
        <v>0</v>
      </c>
      <c r="G169" s="12">
        <f t="shared" si="4"/>
        <v>-6000000</v>
      </c>
      <c r="H169" s="664" t="s">
        <v>115</v>
      </c>
      <c r="I169" s="664"/>
      <c r="J169" s="671" t="s">
        <v>10108</v>
      </c>
      <c r="K169" s="671" t="s">
        <v>10109</v>
      </c>
      <c r="L169" s="671"/>
      <c r="M169" s="666"/>
      <c r="N169" s="665"/>
      <c r="O169" s="665"/>
      <c r="P169" s="665"/>
      <c r="Q169" s="665"/>
      <c r="R169" s="665"/>
      <c r="S169" s="665"/>
    </row>
    <row r="170" spans="1:19" x14ac:dyDescent="0.2">
      <c r="A170" s="10">
        <v>50140000</v>
      </c>
      <c r="B170" s="10" t="s">
        <v>116</v>
      </c>
      <c r="C170" s="11">
        <v>-4000000</v>
      </c>
      <c r="D170" s="11">
        <v>16000000</v>
      </c>
      <c r="E170" s="11">
        <v>16000000</v>
      </c>
      <c r="F170" s="12">
        <f t="shared" si="5"/>
        <v>0</v>
      </c>
      <c r="G170" s="12">
        <f t="shared" si="4"/>
        <v>-4000000</v>
      </c>
      <c r="H170" s="664" t="s">
        <v>115</v>
      </c>
      <c r="I170" s="664"/>
      <c r="J170" s="671"/>
      <c r="K170" s="671">
        <v>0</v>
      </c>
      <c r="L170" s="671"/>
      <c r="M170" s="666"/>
      <c r="N170" s="665"/>
      <c r="O170" s="665"/>
      <c r="P170" s="665"/>
      <c r="Q170" s="665"/>
      <c r="R170" s="665"/>
      <c r="S170" s="665"/>
    </row>
    <row r="171" spans="1:19" x14ac:dyDescent="0.2">
      <c r="A171" s="10">
        <v>50500000</v>
      </c>
      <c r="B171" s="10" t="s">
        <v>117</v>
      </c>
      <c r="C171" s="11">
        <v>-916666.6670000013</v>
      </c>
      <c r="D171" s="11">
        <v>916666.66299999994</v>
      </c>
      <c r="E171" s="11">
        <v>625000</v>
      </c>
      <c r="F171" s="12">
        <f t="shared" si="5"/>
        <v>291666.66299999994</v>
      </c>
      <c r="G171" s="12">
        <f t="shared" si="4"/>
        <v>-625000.00400000135</v>
      </c>
      <c r="H171" s="664" t="s">
        <v>115</v>
      </c>
      <c r="I171" s="664"/>
      <c r="J171" s="671"/>
      <c r="K171" s="671" t="s">
        <v>10094</v>
      </c>
      <c r="L171" s="671"/>
      <c r="M171" s="666"/>
      <c r="N171" s="665"/>
      <c r="O171" s="665"/>
      <c r="P171" s="665"/>
      <c r="Q171" s="665"/>
      <c r="R171" s="665"/>
      <c r="S171" s="665"/>
    </row>
    <row r="172" spans="1:19" x14ac:dyDescent="0.2">
      <c r="A172" s="10">
        <v>50515000</v>
      </c>
      <c r="B172" s="10" t="s">
        <v>118</v>
      </c>
      <c r="C172" s="11">
        <v>-89643.378000000142</v>
      </c>
      <c r="D172" s="11">
        <v>114657.317</v>
      </c>
      <c r="E172" s="11">
        <v>156885.51800000001</v>
      </c>
      <c r="F172" s="12">
        <f t="shared" si="5"/>
        <v>-42228.201000000015</v>
      </c>
      <c r="G172" s="12">
        <f t="shared" si="4"/>
        <v>-131871.57900000014</v>
      </c>
      <c r="H172" s="664" t="s">
        <v>115</v>
      </c>
      <c r="I172" s="664"/>
      <c r="J172" s="671"/>
      <c r="K172" s="671">
        <v>0</v>
      </c>
      <c r="L172" s="671"/>
      <c r="M172" s="666"/>
      <c r="N172" s="665"/>
      <c r="O172" s="665"/>
      <c r="P172" s="665"/>
      <c r="Q172" s="665"/>
      <c r="R172" s="665"/>
      <c r="S172" s="665"/>
    </row>
    <row r="173" spans="1:19" x14ac:dyDescent="0.2">
      <c r="A173" s="10">
        <v>50610100</v>
      </c>
      <c r="B173" s="10" t="s">
        <v>342</v>
      </c>
      <c r="C173" s="11">
        <v>0</v>
      </c>
      <c r="D173" s="11">
        <v>0</v>
      </c>
      <c r="E173" s="11">
        <v>0</v>
      </c>
      <c r="F173" s="12">
        <f t="shared" si="5"/>
        <v>0</v>
      </c>
      <c r="G173" s="12">
        <f t="shared" si="4"/>
        <v>0</v>
      </c>
      <c r="H173" s="664" t="s">
        <v>115</v>
      </c>
      <c r="I173" s="664"/>
      <c r="J173" s="671"/>
      <c r="K173" s="671"/>
      <c r="L173" s="671"/>
      <c r="M173" s="666"/>
      <c r="N173" s="665"/>
      <c r="O173" s="665"/>
      <c r="P173" s="665"/>
      <c r="Q173" s="665"/>
      <c r="R173" s="665"/>
      <c r="S173" s="665"/>
    </row>
    <row r="174" spans="1:19" x14ac:dyDescent="0.2">
      <c r="A174" s="10">
        <v>50610900</v>
      </c>
      <c r="B174" s="10" t="s">
        <v>119</v>
      </c>
      <c r="C174" s="11">
        <v>3.7650018930435181E-4</v>
      </c>
      <c r="D174" s="11">
        <v>4886595.5487670004</v>
      </c>
      <c r="E174" s="11">
        <v>6234460.5097670006</v>
      </c>
      <c r="F174" s="12">
        <f t="shared" si="5"/>
        <v>-1347864.9610000001</v>
      </c>
      <c r="G174" s="12">
        <f t="shared" si="4"/>
        <v>-1347864.9606234999</v>
      </c>
      <c r="H174" s="664" t="s">
        <v>115</v>
      </c>
      <c r="I174" s="664"/>
      <c r="J174" s="671"/>
      <c r="K174" s="671"/>
      <c r="L174" s="671"/>
      <c r="M174" s="666"/>
      <c r="N174" s="665"/>
      <c r="O174" s="665"/>
      <c r="P174" s="665"/>
      <c r="Q174" s="665"/>
      <c r="R174" s="665"/>
      <c r="S174" s="665"/>
    </row>
    <row r="175" spans="1:19" x14ac:dyDescent="0.2">
      <c r="A175" s="10">
        <v>50630000</v>
      </c>
      <c r="B175" s="10" t="s">
        <v>343</v>
      </c>
      <c r="C175" s="11">
        <v>0</v>
      </c>
      <c r="D175" s="11">
        <v>450000</v>
      </c>
      <c r="E175" s="11">
        <v>893000</v>
      </c>
      <c r="F175" s="12">
        <f t="shared" si="5"/>
        <v>-443000</v>
      </c>
      <c r="G175" s="12">
        <f t="shared" si="4"/>
        <v>-443000</v>
      </c>
      <c r="H175" s="664" t="s">
        <v>115</v>
      </c>
      <c r="I175" s="664"/>
      <c r="J175" s="671"/>
      <c r="K175" s="671"/>
      <c r="L175" s="671"/>
      <c r="M175" s="666"/>
      <c r="N175" s="665"/>
      <c r="O175" s="665"/>
      <c r="P175" s="665"/>
      <c r="Q175" s="665"/>
      <c r="R175" s="665"/>
      <c r="S175" s="665"/>
    </row>
    <row r="176" spans="1:19" x14ac:dyDescent="0.2">
      <c r="A176" s="10">
        <v>50800000</v>
      </c>
      <c r="B176" s="10" t="s">
        <v>344</v>
      </c>
      <c r="C176" s="11">
        <v>-24263.579999999994</v>
      </c>
      <c r="D176" s="11">
        <v>24263.579999999998</v>
      </c>
      <c r="E176" s="11">
        <v>31533.957000000002</v>
      </c>
      <c r="F176" s="12">
        <f t="shared" si="5"/>
        <v>-7270.377000000004</v>
      </c>
      <c r="G176" s="12">
        <f t="shared" si="4"/>
        <v>-31533.956999999999</v>
      </c>
      <c r="H176" s="664" t="s">
        <v>115</v>
      </c>
      <c r="I176" s="664"/>
      <c r="J176" s="671"/>
      <c r="K176" s="671" t="s">
        <v>10094</v>
      </c>
      <c r="L176" s="671"/>
      <c r="M176" s="666"/>
      <c r="N176" s="665"/>
      <c r="O176" s="665"/>
      <c r="P176" s="665"/>
      <c r="Q176" s="665"/>
      <c r="R176" s="665"/>
      <c r="S176" s="665"/>
    </row>
    <row r="177" spans="1:19" x14ac:dyDescent="0.2">
      <c r="A177" s="10">
        <v>52000000</v>
      </c>
      <c r="B177" s="10" t="s">
        <v>345</v>
      </c>
      <c r="C177" s="11">
        <v>0</v>
      </c>
      <c r="D177" s="11">
        <v>0</v>
      </c>
      <c r="E177" s="11">
        <v>0</v>
      </c>
      <c r="F177" s="12">
        <f t="shared" si="5"/>
        <v>0</v>
      </c>
      <c r="G177" s="12">
        <f t="shared" si="4"/>
        <v>0</v>
      </c>
      <c r="H177" s="664"/>
      <c r="I177" s="664"/>
      <c r="J177" s="671"/>
      <c r="K177" s="671"/>
      <c r="L177" s="671"/>
      <c r="M177" s="666"/>
      <c r="N177" s="665"/>
      <c r="O177" s="665"/>
      <c r="P177" s="665"/>
      <c r="Q177" s="665"/>
      <c r="R177" s="665"/>
      <c r="S177" s="665"/>
    </row>
    <row r="178" spans="1:19" x14ac:dyDescent="0.2">
      <c r="A178" s="10">
        <v>52001100</v>
      </c>
      <c r="B178" s="10" t="s">
        <v>346</v>
      </c>
      <c r="C178" s="11">
        <v>0</v>
      </c>
      <c r="D178" s="11">
        <v>0</v>
      </c>
      <c r="E178" s="11">
        <v>0</v>
      </c>
      <c r="F178" s="12">
        <f t="shared" si="5"/>
        <v>0</v>
      </c>
      <c r="G178" s="12">
        <f t="shared" si="4"/>
        <v>0</v>
      </c>
      <c r="H178" s="664"/>
      <c r="I178" s="664"/>
      <c r="J178" s="671"/>
      <c r="K178" s="671"/>
      <c r="L178" s="671"/>
      <c r="M178" s="666"/>
      <c r="N178" s="665"/>
      <c r="O178" s="665"/>
      <c r="P178" s="665"/>
      <c r="Q178" s="665"/>
      <c r="R178" s="665"/>
      <c r="S178" s="665"/>
    </row>
    <row r="179" spans="1:19" x14ac:dyDescent="0.2">
      <c r="A179" s="10">
        <v>53140000</v>
      </c>
      <c r="B179" s="10" t="s">
        <v>347</v>
      </c>
      <c r="C179" s="11">
        <v>0</v>
      </c>
      <c r="D179" s="11">
        <v>0</v>
      </c>
      <c r="E179" s="11">
        <v>0</v>
      </c>
      <c r="F179" s="12">
        <f t="shared" si="5"/>
        <v>0</v>
      </c>
      <c r="G179" s="12">
        <f t="shared" si="4"/>
        <v>0</v>
      </c>
      <c r="H179" s="664"/>
      <c r="I179" s="664"/>
      <c r="J179" s="671"/>
      <c r="K179" s="671"/>
      <c r="L179" s="671"/>
      <c r="M179" s="666"/>
      <c r="N179" s="665"/>
      <c r="O179" s="665"/>
      <c r="P179" s="665"/>
      <c r="Q179" s="665"/>
      <c r="R179" s="665"/>
      <c r="S179" s="665"/>
    </row>
    <row r="180" spans="1:19" x14ac:dyDescent="0.2">
      <c r="A180" s="10">
        <v>53200000</v>
      </c>
      <c r="B180" s="10" t="s">
        <v>120</v>
      </c>
      <c r="C180" s="11">
        <v>0</v>
      </c>
      <c r="D180" s="11">
        <v>41387512.607000001</v>
      </c>
      <c r="E180" s="11">
        <v>41201713.045999996</v>
      </c>
      <c r="F180" s="12">
        <f t="shared" si="5"/>
        <v>185799.56100000441</v>
      </c>
      <c r="G180" s="12">
        <f t="shared" si="4"/>
        <v>185799.56100000441</v>
      </c>
      <c r="H180" s="664" t="s">
        <v>121</v>
      </c>
      <c r="I180" s="664"/>
      <c r="J180" s="671" t="s">
        <v>10110</v>
      </c>
      <c r="K180" s="671" t="s">
        <v>10111</v>
      </c>
      <c r="L180" s="671"/>
      <c r="M180" s="666"/>
      <c r="N180" s="665"/>
      <c r="O180" s="665"/>
      <c r="P180" s="665"/>
      <c r="Q180" s="665"/>
      <c r="R180" s="665"/>
      <c r="S180" s="665"/>
    </row>
    <row r="181" spans="1:19" x14ac:dyDescent="0.2">
      <c r="A181" s="10">
        <v>53201000</v>
      </c>
      <c r="B181" s="10" t="s">
        <v>348</v>
      </c>
      <c r="C181" s="11">
        <v>0</v>
      </c>
      <c r="D181" s="11">
        <v>0</v>
      </c>
      <c r="E181" s="11">
        <v>0</v>
      </c>
      <c r="F181" s="12">
        <f t="shared" si="5"/>
        <v>0</v>
      </c>
      <c r="G181" s="12">
        <f t="shared" si="4"/>
        <v>0</v>
      </c>
      <c r="H181" s="664"/>
      <c r="I181" s="664"/>
      <c r="J181" s="671"/>
      <c r="K181" s="671"/>
      <c r="L181" s="671"/>
      <c r="M181" s="666"/>
      <c r="N181" s="665"/>
      <c r="O181" s="665"/>
      <c r="P181" s="665"/>
      <c r="Q181" s="665"/>
      <c r="R181" s="665"/>
      <c r="S181" s="665"/>
    </row>
    <row r="182" spans="1:19" x14ac:dyDescent="0.2">
      <c r="A182" s="10">
        <v>53202000</v>
      </c>
      <c r="B182" s="10" t="s">
        <v>122</v>
      </c>
      <c r="C182" s="11">
        <v>435.74199999962002</v>
      </c>
      <c r="D182" s="11">
        <v>0</v>
      </c>
      <c r="E182" s="11">
        <v>0</v>
      </c>
      <c r="F182" s="12">
        <f t="shared" si="5"/>
        <v>0</v>
      </c>
      <c r="G182" s="12">
        <f t="shared" si="4"/>
        <v>435.74199999962002</v>
      </c>
      <c r="H182" s="664" t="s">
        <v>121</v>
      </c>
      <c r="I182" s="664"/>
      <c r="J182" s="671" t="s">
        <v>10110</v>
      </c>
      <c r="K182" s="671" t="s">
        <v>10111</v>
      </c>
      <c r="L182" s="671"/>
      <c r="M182" s="666"/>
      <c r="N182" s="665"/>
      <c r="O182" s="665"/>
      <c r="P182" s="665"/>
      <c r="Q182" s="665"/>
      <c r="R182" s="665"/>
      <c r="S182" s="665"/>
    </row>
    <row r="183" spans="1:19" x14ac:dyDescent="0.2">
      <c r="A183" s="10">
        <v>53203000</v>
      </c>
      <c r="B183" s="10" t="s">
        <v>349</v>
      </c>
      <c r="C183" s="11">
        <v>341558.32200000016</v>
      </c>
      <c r="D183" s="11">
        <v>4516561.3679999998</v>
      </c>
      <c r="E183" s="11">
        <v>4698312.4579999996</v>
      </c>
      <c r="F183" s="12">
        <f t="shared" si="5"/>
        <v>-181751.08999999985</v>
      </c>
      <c r="G183" s="12">
        <f t="shared" si="4"/>
        <v>159807.23200000031</v>
      </c>
      <c r="H183" s="664" t="s">
        <v>121</v>
      </c>
      <c r="I183" s="664"/>
      <c r="J183" s="671" t="s">
        <v>10110</v>
      </c>
      <c r="K183" s="671" t="s">
        <v>10111</v>
      </c>
      <c r="L183" s="671"/>
      <c r="M183" s="666"/>
      <c r="N183" s="665"/>
      <c r="O183" s="665"/>
      <c r="P183" s="665"/>
      <c r="Q183" s="665"/>
      <c r="R183" s="665"/>
      <c r="S183" s="665"/>
    </row>
    <row r="184" spans="1:19" x14ac:dyDescent="0.2">
      <c r="A184" s="10">
        <v>53204000</v>
      </c>
      <c r="B184" s="10" t="s">
        <v>350</v>
      </c>
      <c r="C184" s="11">
        <v>0</v>
      </c>
      <c r="D184" s="11">
        <v>0</v>
      </c>
      <c r="E184" s="11">
        <v>0</v>
      </c>
      <c r="F184" s="12">
        <f t="shared" si="5"/>
        <v>0</v>
      </c>
      <c r="G184" s="12">
        <f t="shared" si="4"/>
        <v>0</v>
      </c>
      <c r="H184" s="664"/>
      <c r="I184" s="664"/>
      <c r="J184" s="671"/>
      <c r="K184" s="671"/>
      <c r="L184" s="671"/>
      <c r="M184" s="666"/>
      <c r="N184" s="665"/>
      <c r="O184" s="665"/>
      <c r="P184" s="665"/>
      <c r="Q184" s="665"/>
      <c r="R184" s="665"/>
      <c r="S184" s="665"/>
    </row>
    <row r="185" spans="1:19" x14ac:dyDescent="0.2">
      <c r="A185" s="10">
        <v>53204100</v>
      </c>
      <c r="B185" s="10" t="s">
        <v>351</v>
      </c>
      <c r="C185" s="11">
        <v>0</v>
      </c>
      <c r="D185" s="11">
        <v>0</v>
      </c>
      <c r="E185" s="11">
        <v>0</v>
      </c>
      <c r="F185" s="12">
        <f t="shared" si="5"/>
        <v>0</v>
      </c>
      <c r="G185" s="12">
        <f t="shared" si="4"/>
        <v>0</v>
      </c>
      <c r="H185" s="664"/>
      <c r="I185" s="664"/>
      <c r="J185" s="671"/>
      <c r="K185" s="671"/>
      <c r="L185" s="671"/>
      <c r="M185" s="666"/>
      <c r="N185" s="665"/>
      <c r="O185" s="665"/>
      <c r="P185" s="665"/>
      <c r="Q185" s="665"/>
      <c r="R185" s="665"/>
      <c r="S185" s="665"/>
    </row>
    <row r="186" spans="1:19" x14ac:dyDescent="0.2">
      <c r="A186" s="10">
        <v>53204500</v>
      </c>
      <c r="B186" s="10" t="s">
        <v>123</v>
      </c>
      <c r="C186" s="11">
        <v>5874.02</v>
      </c>
      <c r="D186" s="11">
        <v>0</v>
      </c>
      <c r="E186" s="11">
        <v>0</v>
      </c>
      <c r="F186" s="12">
        <f t="shared" si="5"/>
        <v>0</v>
      </c>
      <c r="G186" s="12">
        <f t="shared" si="4"/>
        <v>5874.02</v>
      </c>
      <c r="H186" s="664" t="s">
        <v>121</v>
      </c>
      <c r="I186" s="664"/>
      <c r="J186" s="671" t="s">
        <v>10110</v>
      </c>
      <c r="K186" s="671" t="s">
        <v>10111</v>
      </c>
      <c r="L186" s="671"/>
      <c r="M186" s="666"/>
      <c r="N186" s="665"/>
      <c r="O186" s="665"/>
      <c r="P186" s="665"/>
      <c r="Q186" s="665"/>
      <c r="R186" s="665"/>
      <c r="S186" s="665"/>
    </row>
    <row r="187" spans="1:19" x14ac:dyDescent="0.2">
      <c r="A187" s="10">
        <v>53205000</v>
      </c>
      <c r="B187" s="10" t="s">
        <v>124</v>
      </c>
      <c r="C187" s="11">
        <v>21818.723999977112</v>
      </c>
      <c r="D187" s="11">
        <v>111942.38199999998</v>
      </c>
      <c r="E187" s="11">
        <v>120836.022</v>
      </c>
      <c r="F187" s="12">
        <f t="shared" si="5"/>
        <v>-8893.640000000014</v>
      </c>
      <c r="G187" s="12">
        <f t="shared" si="4"/>
        <v>12925.083999977098</v>
      </c>
      <c r="H187" s="664" t="s">
        <v>121</v>
      </c>
      <c r="I187" s="664"/>
      <c r="J187" s="671" t="s">
        <v>10110</v>
      </c>
      <c r="K187" s="671" t="s">
        <v>10111</v>
      </c>
      <c r="L187" s="671"/>
      <c r="M187" s="666"/>
      <c r="N187" s="665"/>
      <c r="O187" s="665"/>
      <c r="P187" s="665"/>
      <c r="Q187" s="665"/>
      <c r="R187" s="665"/>
      <c r="S187" s="665"/>
    </row>
    <row r="188" spans="1:19" x14ac:dyDescent="0.2">
      <c r="A188" s="10">
        <v>53205300</v>
      </c>
      <c r="B188" s="10" t="s">
        <v>125</v>
      </c>
      <c r="C188" s="11">
        <v>0</v>
      </c>
      <c r="D188" s="11">
        <v>0</v>
      </c>
      <c r="E188" s="11">
        <v>0</v>
      </c>
      <c r="F188" s="12">
        <f t="shared" si="5"/>
        <v>0</v>
      </c>
      <c r="G188" s="12">
        <f t="shared" si="4"/>
        <v>0</v>
      </c>
      <c r="H188" s="664" t="s">
        <v>121</v>
      </c>
      <c r="I188" s="664"/>
      <c r="J188" s="671" t="s">
        <v>10110</v>
      </c>
      <c r="K188" s="671" t="s">
        <v>10111</v>
      </c>
      <c r="L188" s="671"/>
      <c r="M188" s="666"/>
      <c r="N188" s="665"/>
      <c r="O188" s="665"/>
      <c r="P188" s="665"/>
      <c r="Q188" s="665"/>
      <c r="R188" s="665"/>
      <c r="S188" s="665"/>
    </row>
    <row r="189" spans="1:19" x14ac:dyDescent="0.2">
      <c r="A189" s="10">
        <v>53205400</v>
      </c>
      <c r="B189" s="10" t="s">
        <v>126</v>
      </c>
      <c r="C189" s="11">
        <v>0</v>
      </c>
      <c r="D189" s="11">
        <v>0</v>
      </c>
      <c r="E189" s="11">
        <v>0</v>
      </c>
      <c r="F189" s="12">
        <f t="shared" si="5"/>
        <v>0</v>
      </c>
      <c r="G189" s="12">
        <f t="shared" si="4"/>
        <v>0</v>
      </c>
      <c r="H189" s="664"/>
      <c r="I189" s="664"/>
      <c r="J189" s="671"/>
      <c r="K189" s="671"/>
      <c r="L189" s="671"/>
      <c r="M189" s="666"/>
      <c r="N189" s="665"/>
      <c r="O189" s="665"/>
      <c r="P189" s="665"/>
      <c r="Q189" s="665"/>
      <c r="R189" s="665"/>
      <c r="S189" s="665"/>
    </row>
    <row r="190" spans="1:19" x14ac:dyDescent="0.2">
      <c r="A190" s="10">
        <v>53205500</v>
      </c>
      <c r="B190" s="10" t="s">
        <v>127</v>
      </c>
      <c r="C190" s="11">
        <v>0</v>
      </c>
      <c r="D190" s="11">
        <v>0</v>
      </c>
      <c r="E190" s="11">
        <v>0</v>
      </c>
      <c r="F190" s="12">
        <f t="shared" si="5"/>
        <v>0</v>
      </c>
      <c r="G190" s="12">
        <f t="shared" si="4"/>
        <v>0</v>
      </c>
      <c r="H190" s="664"/>
      <c r="I190" s="664"/>
      <c r="J190" s="671"/>
      <c r="K190" s="671"/>
      <c r="L190" s="671"/>
      <c r="M190" s="666"/>
      <c r="N190" s="665"/>
      <c r="O190" s="665"/>
      <c r="P190" s="665"/>
      <c r="Q190" s="665"/>
      <c r="R190" s="665"/>
      <c r="S190" s="665"/>
    </row>
    <row r="191" spans="1:19" x14ac:dyDescent="0.2">
      <c r="A191" s="10">
        <v>53205600</v>
      </c>
      <c r="B191" s="10" t="s">
        <v>128</v>
      </c>
      <c r="C191" s="11">
        <v>-1790511.6069999337</v>
      </c>
      <c r="D191" s="11">
        <v>84538402.224000007</v>
      </c>
      <c r="E191" s="11">
        <v>86048874.525999993</v>
      </c>
      <c r="F191" s="12">
        <f t="shared" si="5"/>
        <v>-1510472.3019999862</v>
      </c>
      <c r="G191" s="12">
        <f t="shared" si="4"/>
        <v>-3300983.9089999199</v>
      </c>
      <c r="H191" s="664" t="s">
        <v>115</v>
      </c>
      <c r="I191" s="664"/>
      <c r="J191" s="671" t="s">
        <v>10110</v>
      </c>
      <c r="K191" s="671" t="s">
        <v>10111</v>
      </c>
      <c r="L191" s="671"/>
      <c r="M191" s="666"/>
      <c r="N191" s="665"/>
      <c r="O191" s="665"/>
      <c r="P191" s="665"/>
      <c r="Q191" s="665"/>
      <c r="R191" s="665"/>
      <c r="S191" s="665"/>
    </row>
    <row r="192" spans="1:19" x14ac:dyDescent="0.2">
      <c r="A192" s="10">
        <v>53205700</v>
      </c>
      <c r="B192" s="10" t="s">
        <v>129</v>
      </c>
      <c r="C192" s="11">
        <v>687712.25572220236</v>
      </c>
      <c r="D192" s="11">
        <v>12142264.54775</v>
      </c>
      <c r="E192" s="11">
        <v>10865687.592875</v>
      </c>
      <c r="F192" s="12">
        <f t="shared" si="5"/>
        <v>1276576.9548749998</v>
      </c>
      <c r="G192" s="12">
        <f t="shared" si="4"/>
        <v>1964289.2105972022</v>
      </c>
      <c r="H192" s="664" t="s">
        <v>121</v>
      </c>
      <c r="I192" s="664"/>
      <c r="J192" s="671" t="s">
        <v>10110</v>
      </c>
      <c r="K192" s="671" t="s">
        <v>10111</v>
      </c>
      <c r="L192" s="671"/>
      <c r="M192" s="666"/>
      <c r="N192" s="665"/>
      <c r="O192" s="665"/>
      <c r="P192" s="665"/>
      <c r="Q192" s="665"/>
      <c r="R192" s="665"/>
      <c r="S192" s="665"/>
    </row>
    <row r="193" spans="1:19" x14ac:dyDescent="0.2">
      <c r="A193" s="10">
        <v>53205800</v>
      </c>
      <c r="B193" s="10" t="s">
        <v>130</v>
      </c>
      <c r="C193" s="11">
        <v>710140.7650000006</v>
      </c>
      <c r="D193" s="11">
        <v>2642165.9469999997</v>
      </c>
      <c r="E193" s="11">
        <v>3419303.0649999999</v>
      </c>
      <c r="F193" s="12">
        <f t="shared" si="5"/>
        <v>-777137.11800000025</v>
      </c>
      <c r="G193" s="12">
        <f t="shared" si="4"/>
        <v>-66996.352999999654</v>
      </c>
      <c r="H193" s="664" t="s">
        <v>115</v>
      </c>
      <c r="I193" s="664"/>
      <c r="J193" s="671" t="s">
        <v>10110</v>
      </c>
      <c r="K193" s="671" t="s">
        <v>10111</v>
      </c>
      <c r="L193" s="671"/>
      <c r="M193" s="666"/>
      <c r="N193" s="665"/>
      <c r="O193" s="665"/>
      <c r="P193" s="665"/>
      <c r="Q193" s="665"/>
      <c r="R193" s="665"/>
      <c r="S193" s="665"/>
    </row>
    <row r="194" spans="1:19" x14ac:dyDescent="0.2">
      <c r="A194" s="10">
        <v>53207000</v>
      </c>
      <c r="B194" s="10" t="s">
        <v>352</v>
      </c>
      <c r="C194" s="11">
        <v>0</v>
      </c>
      <c r="D194" s="11">
        <v>0</v>
      </c>
      <c r="E194" s="11">
        <v>0</v>
      </c>
      <c r="F194" s="12">
        <f t="shared" si="5"/>
        <v>0</v>
      </c>
      <c r="G194" s="12">
        <f t="shared" ref="G194:G257" si="6">+C194+F194</f>
        <v>0</v>
      </c>
      <c r="H194" s="664"/>
      <c r="I194" s="664"/>
      <c r="J194" s="671"/>
      <c r="K194" s="671"/>
      <c r="L194" s="671"/>
      <c r="M194" s="666"/>
      <c r="N194" s="665"/>
      <c r="O194" s="665"/>
      <c r="P194" s="665"/>
      <c r="Q194" s="665"/>
      <c r="R194" s="665"/>
      <c r="S194" s="665"/>
    </row>
    <row r="195" spans="1:19" x14ac:dyDescent="0.2">
      <c r="A195" s="10">
        <v>53207100</v>
      </c>
      <c r="B195" s="10" t="s">
        <v>353</v>
      </c>
      <c r="C195" s="11">
        <v>0</v>
      </c>
      <c r="D195" s="11">
        <v>0</v>
      </c>
      <c r="E195" s="11">
        <v>0</v>
      </c>
      <c r="F195" s="12">
        <f t="shared" ref="F195:F258" si="7">+D195-E195</f>
        <v>0</v>
      </c>
      <c r="G195" s="12">
        <f t="shared" si="6"/>
        <v>0</v>
      </c>
      <c r="H195" s="664"/>
      <c r="I195" s="664"/>
      <c r="J195" s="671"/>
      <c r="K195" s="671"/>
      <c r="L195" s="671"/>
      <c r="M195" s="666"/>
      <c r="N195" s="665"/>
      <c r="O195" s="665"/>
      <c r="P195" s="665"/>
      <c r="Q195" s="665"/>
      <c r="R195" s="665"/>
      <c r="S195" s="665"/>
    </row>
    <row r="196" spans="1:19" x14ac:dyDescent="0.2">
      <c r="A196" s="10">
        <v>53207200</v>
      </c>
      <c r="B196" s="10" t="s">
        <v>354</v>
      </c>
      <c r="C196" s="11">
        <v>0</v>
      </c>
      <c r="D196" s="11">
        <v>0</v>
      </c>
      <c r="E196" s="11">
        <v>0</v>
      </c>
      <c r="F196" s="12">
        <f t="shared" si="7"/>
        <v>0</v>
      </c>
      <c r="G196" s="12">
        <f t="shared" si="6"/>
        <v>0</v>
      </c>
      <c r="H196" s="664"/>
      <c r="I196" s="664"/>
      <c r="J196" s="671"/>
      <c r="K196" s="671"/>
      <c r="L196" s="671"/>
      <c r="M196" s="666"/>
      <c r="N196" s="665"/>
      <c r="O196" s="665"/>
      <c r="P196" s="665"/>
      <c r="Q196" s="665"/>
      <c r="R196" s="665"/>
      <c r="S196" s="665"/>
    </row>
    <row r="197" spans="1:19" x14ac:dyDescent="0.2">
      <c r="A197" s="10">
        <v>53208000</v>
      </c>
      <c r="B197" s="10" t="s">
        <v>355</v>
      </c>
      <c r="C197" s="11">
        <v>485.66199999954551</v>
      </c>
      <c r="D197" s="11">
        <v>0</v>
      </c>
      <c r="E197" s="11">
        <v>0</v>
      </c>
      <c r="F197" s="12">
        <f t="shared" si="7"/>
        <v>0</v>
      </c>
      <c r="G197" s="12">
        <f t="shared" si="6"/>
        <v>485.66199999954551</v>
      </c>
      <c r="H197" s="664" t="s">
        <v>121</v>
      </c>
      <c r="I197" s="664"/>
      <c r="J197" s="671"/>
      <c r="K197" s="671"/>
      <c r="L197" s="671"/>
      <c r="M197" s="666"/>
      <c r="N197" s="665"/>
      <c r="O197" s="665"/>
      <c r="P197" s="665"/>
      <c r="Q197" s="665"/>
      <c r="R197" s="665"/>
      <c r="S197" s="665"/>
    </row>
    <row r="198" spans="1:19" x14ac:dyDescent="0.2">
      <c r="A198" s="10">
        <v>53208100</v>
      </c>
      <c r="B198" s="10" t="s">
        <v>356</v>
      </c>
      <c r="C198" s="11">
        <v>0</v>
      </c>
      <c r="D198" s="11">
        <v>0</v>
      </c>
      <c r="E198" s="11">
        <v>0</v>
      </c>
      <c r="F198" s="12">
        <f t="shared" si="7"/>
        <v>0</v>
      </c>
      <c r="G198" s="12">
        <f t="shared" si="6"/>
        <v>0</v>
      </c>
      <c r="H198" s="664"/>
      <c r="I198" s="664"/>
      <c r="J198" s="671"/>
      <c r="K198" s="671"/>
      <c r="L198" s="671"/>
      <c r="M198" s="666"/>
      <c r="N198" s="665"/>
      <c r="O198" s="665"/>
      <c r="P198" s="665"/>
      <c r="Q198" s="665"/>
      <c r="R198" s="665"/>
      <c r="S198" s="665"/>
    </row>
    <row r="199" spans="1:19" x14ac:dyDescent="0.2">
      <c r="A199" s="10">
        <v>53208500</v>
      </c>
      <c r="B199" s="10" t="s">
        <v>357</v>
      </c>
      <c r="C199" s="11">
        <v>0</v>
      </c>
      <c r="D199" s="11">
        <v>0</v>
      </c>
      <c r="E199" s="11">
        <v>0</v>
      </c>
      <c r="F199" s="12">
        <f t="shared" si="7"/>
        <v>0</v>
      </c>
      <c r="G199" s="12">
        <f t="shared" si="6"/>
        <v>0</v>
      </c>
      <c r="H199" s="664"/>
      <c r="I199" s="664"/>
      <c r="J199" s="671"/>
      <c r="K199" s="671"/>
      <c r="L199" s="671"/>
      <c r="M199" s="666"/>
      <c r="N199" s="665"/>
      <c r="O199" s="665"/>
      <c r="P199" s="665"/>
      <c r="Q199" s="665"/>
      <c r="R199" s="665"/>
      <c r="S199" s="665"/>
    </row>
    <row r="200" spans="1:19" x14ac:dyDescent="0.2">
      <c r="A200" s="10">
        <v>54000000</v>
      </c>
      <c r="B200" s="10" t="s">
        <v>358</v>
      </c>
      <c r="C200" s="11">
        <v>0</v>
      </c>
      <c r="D200" s="11">
        <v>1178.046</v>
      </c>
      <c r="E200" s="11">
        <v>1178.046</v>
      </c>
      <c r="F200" s="12">
        <f t="shared" si="7"/>
        <v>0</v>
      </c>
      <c r="G200" s="12">
        <f t="shared" si="6"/>
        <v>0</v>
      </c>
      <c r="H200" s="664"/>
      <c r="I200" s="664"/>
      <c r="J200" s="671"/>
      <c r="K200" s="671"/>
      <c r="L200" s="671"/>
      <c r="M200" s="666"/>
      <c r="N200" s="665"/>
      <c r="O200" s="665"/>
      <c r="P200" s="665"/>
      <c r="Q200" s="665"/>
      <c r="R200" s="665"/>
      <c r="S200" s="665"/>
    </row>
    <row r="201" spans="1:19" x14ac:dyDescent="0.2">
      <c r="A201" s="10">
        <v>54100000</v>
      </c>
      <c r="B201" s="10" t="s">
        <v>131</v>
      </c>
      <c r="C201" s="11">
        <v>0</v>
      </c>
      <c r="D201" s="11">
        <v>77907.724000000002</v>
      </c>
      <c r="E201" s="11">
        <v>77890.724000000002</v>
      </c>
      <c r="F201" s="12">
        <f t="shared" si="7"/>
        <v>17</v>
      </c>
      <c r="G201" s="12">
        <f t="shared" si="6"/>
        <v>17</v>
      </c>
      <c r="H201" s="664" t="s">
        <v>121</v>
      </c>
      <c r="I201" s="664"/>
      <c r="J201" s="671" t="s">
        <v>10110</v>
      </c>
      <c r="K201" s="671" t="s">
        <v>10111</v>
      </c>
      <c r="L201" s="671"/>
      <c r="M201" s="666"/>
      <c r="N201" s="665"/>
      <c r="O201" s="665"/>
      <c r="P201" s="665"/>
      <c r="Q201" s="665"/>
      <c r="R201" s="665"/>
      <c r="S201" s="665"/>
    </row>
    <row r="202" spans="1:19" x14ac:dyDescent="0.2">
      <c r="A202" s="10">
        <v>54300000</v>
      </c>
      <c r="B202" s="10" t="s">
        <v>359</v>
      </c>
      <c r="C202" s="11">
        <v>0</v>
      </c>
      <c r="D202" s="11">
        <v>0</v>
      </c>
      <c r="E202" s="11">
        <v>0</v>
      </c>
      <c r="F202" s="12">
        <f t="shared" si="7"/>
        <v>0</v>
      </c>
      <c r="G202" s="12">
        <f t="shared" si="6"/>
        <v>0</v>
      </c>
      <c r="H202" s="664"/>
      <c r="I202" s="664"/>
      <c r="J202" s="671"/>
      <c r="K202" s="671"/>
      <c r="L202" s="671"/>
      <c r="M202" s="666"/>
      <c r="N202" s="665"/>
      <c r="O202" s="665"/>
      <c r="P202" s="665"/>
      <c r="Q202" s="665"/>
      <c r="R202" s="665"/>
      <c r="S202" s="665"/>
    </row>
    <row r="203" spans="1:19" x14ac:dyDescent="0.2">
      <c r="A203" s="10">
        <v>55010000</v>
      </c>
      <c r="B203" s="10" t="s">
        <v>132</v>
      </c>
      <c r="C203" s="11">
        <v>3000</v>
      </c>
      <c r="D203" s="11">
        <v>0</v>
      </c>
      <c r="E203" s="11">
        <v>0</v>
      </c>
      <c r="F203" s="12">
        <f t="shared" si="7"/>
        <v>0</v>
      </c>
      <c r="G203" s="12">
        <f t="shared" si="6"/>
        <v>3000</v>
      </c>
      <c r="H203" s="664" t="s">
        <v>121</v>
      </c>
      <c r="I203" s="664"/>
      <c r="J203" s="671" t="s">
        <v>10110</v>
      </c>
      <c r="K203" s="671" t="s">
        <v>10111</v>
      </c>
      <c r="L203" s="671"/>
      <c r="M203" s="666"/>
      <c r="N203" s="665"/>
      <c r="O203" s="665"/>
      <c r="P203" s="665"/>
      <c r="Q203" s="665"/>
      <c r="R203" s="665"/>
      <c r="S203" s="665"/>
    </row>
    <row r="204" spans="1:19" x14ac:dyDescent="0.2">
      <c r="A204" s="10">
        <v>55011000</v>
      </c>
      <c r="B204" s="10" t="s">
        <v>133</v>
      </c>
      <c r="C204" s="11">
        <v>0</v>
      </c>
      <c r="D204" s="11">
        <v>0</v>
      </c>
      <c r="E204" s="11">
        <v>0</v>
      </c>
      <c r="F204" s="12">
        <f t="shared" si="7"/>
        <v>0</v>
      </c>
      <c r="G204" s="12">
        <f t="shared" si="6"/>
        <v>0</v>
      </c>
      <c r="H204" s="664"/>
      <c r="I204" s="664"/>
      <c r="J204" s="671" t="s">
        <v>10110</v>
      </c>
      <c r="K204" s="671" t="s">
        <v>10111</v>
      </c>
      <c r="L204" s="671"/>
      <c r="M204" s="666"/>
      <c r="N204" s="665"/>
      <c r="O204" s="665"/>
      <c r="P204" s="665"/>
      <c r="Q204" s="665"/>
      <c r="R204" s="665"/>
      <c r="S204" s="665"/>
    </row>
    <row r="205" spans="1:19" x14ac:dyDescent="0.2">
      <c r="A205" s="10">
        <v>58000000</v>
      </c>
      <c r="B205" s="10" t="s">
        <v>134</v>
      </c>
      <c r="C205" s="11">
        <v>0</v>
      </c>
      <c r="D205" s="11">
        <v>0</v>
      </c>
      <c r="E205" s="11">
        <v>0</v>
      </c>
      <c r="F205" s="12">
        <f t="shared" si="7"/>
        <v>0</v>
      </c>
      <c r="G205" s="12">
        <f t="shared" si="6"/>
        <v>0</v>
      </c>
      <c r="H205" s="664"/>
      <c r="I205" s="664"/>
      <c r="J205" s="671"/>
      <c r="K205" s="671"/>
      <c r="L205" s="671"/>
      <c r="M205" s="666"/>
      <c r="N205" s="665"/>
      <c r="O205" s="665"/>
      <c r="P205" s="665"/>
      <c r="Q205" s="665"/>
      <c r="R205" s="665"/>
      <c r="S205" s="665"/>
    </row>
    <row r="206" spans="1:19" x14ac:dyDescent="0.2">
      <c r="A206" s="10">
        <v>58001000</v>
      </c>
      <c r="B206" s="10" t="s">
        <v>135</v>
      </c>
      <c r="C206" s="11">
        <v>-1.9999593496322632E-4</v>
      </c>
      <c r="D206" s="11">
        <v>0</v>
      </c>
      <c r="E206" s="11">
        <v>0</v>
      </c>
      <c r="F206" s="12">
        <f t="shared" si="7"/>
        <v>0</v>
      </c>
      <c r="G206" s="12">
        <f t="shared" si="6"/>
        <v>-1.9999593496322632E-4</v>
      </c>
      <c r="H206" s="664"/>
      <c r="I206" s="664"/>
      <c r="J206" s="671"/>
      <c r="K206" s="671"/>
      <c r="L206" s="671"/>
      <c r="M206" s="666"/>
      <c r="N206" s="665"/>
      <c r="O206" s="665"/>
      <c r="P206" s="665"/>
      <c r="Q206" s="665"/>
      <c r="R206" s="665"/>
      <c r="S206" s="665"/>
    </row>
    <row r="207" spans="1:19" x14ac:dyDescent="0.2">
      <c r="A207" s="10">
        <v>58002000</v>
      </c>
      <c r="B207" s="10" t="s">
        <v>360</v>
      </c>
      <c r="C207" s="11">
        <v>0</v>
      </c>
      <c r="D207" s="11">
        <v>0</v>
      </c>
      <c r="E207" s="11">
        <v>0</v>
      </c>
      <c r="F207" s="12">
        <f t="shared" si="7"/>
        <v>0</v>
      </c>
      <c r="G207" s="12">
        <f t="shared" si="6"/>
        <v>0</v>
      </c>
      <c r="H207" s="664"/>
      <c r="I207" s="664"/>
      <c r="J207" s="671"/>
      <c r="K207" s="671"/>
      <c r="L207" s="671"/>
      <c r="M207" s="666"/>
      <c r="N207" s="665"/>
      <c r="O207" s="665"/>
      <c r="P207" s="665"/>
      <c r="Q207" s="665"/>
      <c r="R207" s="665"/>
      <c r="S207" s="665"/>
    </row>
    <row r="208" spans="1:19" x14ac:dyDescent="0.2">
      <c r="A208" s="10">
        <v>58003000</v>
      </c>
      <c r="B208" s="10" t="s">
        <v>136</v>
      </c>
      <c r="C208" s="11">
        <v>1.0100007057189941E-4</v>
      </c>
      <c r="D208" s="11">
        <v>2786877.2429999998</v>
      </c>
      <c r="E208" s="11">
        <v>2786877.2429999998</v>
      </c>
      <c r="F208" s="12">
        <f t="shared" si="7"/>
        <v>0</v>
      </c>
      <c r="G208" s="12">
        <f t="shared" si="6"/>
        <v>1.0100007057189941E-4</v>
      </c>
      <c r="H208" s="664"/>
      <c r="I208" s="664"/>
      <c r="J208" s="671"/>
      <c r="K208" s="671"/>
      <c r="L208" s="671"/>
      <c r="M208" s="666"/>
      <c r="N208" s="665"/>
      <c r="O208" s="665"/>
      <c r="P208" s="665"/>
      <c r="Q208" s="665"/>
      <c r="R208" s="665"/>
      <c r="S208" s="665"/>
    </row>
    <row r="209" spans="1:19" x14ac:dyDescent="0.2">
      <c r="A209" s="10">
        <v>58004000</v>
      </c>
      <c r="B209" s="10" t="s">
        <v>361</v>
      </c>
      <c r="C209" s="11">
        <v>0</v>
      </c>
      <c r="D209" s="11">
        <v>0</v>
      </c>
      <c r="E209" s="11">
        <v>0</v>
      </c>
      <c r="F209" s="12">
        <f t="shared" si="7"/>
        <v>0</v>
      </c>
      <c r="G209" s="12">
        <f t="shared" si="6"/>
        <v>0</v>
      </c>
      <c r="H209" s="664"/>
      <c r="I209" s="664"/>
      <c r="J209" s="671"/>
      <c r="K209" s="671"/>
      <c r="L209" s="671"/>
      <c r="M209" s="666"/>
      <c r="N209" s="665"/>
      <c r="O209" s="665"/>
      <c r="P209" s="665"/>
      <c r="Q209" s="665"/>
      <c r="R209" s="665"/>
      <c r="S209" s="665"/>
    </row>
    <row r="210" spans="1:19" x14ac:dyDescent="0.2">
      <c r="A210" s="10">
        <v>58005000</v>
      </c>
      <c r="B210" s="10" t="s">
        <v>362</v>
      </c>
      <c r="C210" s="11">
        <v>3.8483738899230957E-4</v>
      </c>
      <c r="D210" s="11">
        <v>13819725.006000001</v>
      </c>
      <c r="E210" s="11">
        <v>13819725.006000001</v>
      </c>
      <c r="F210" s="12">
        <f t="shared" si="7"/>
        <v>0</v>
      </c>
      <c r="G210" s="12">
        <f t="shared" si="6"/>
        <v>3.8483738899230957E-4</v>
      </c>
      <c r="H210" s="664" t="s">
        <v>115</v>
      </c>
      <c r="I210" s="664"/>
      <c r="J210" s="671"/>
      <c r="K210" s="671"/>
      <c r="L210" s="671"/>
      <c r="M210" s="666"/>
      <c r="N210" s="665"/>
      <c r="O210" s="665"/>
      <c r="P210" s="665"/>
      <c r="Q210" s="665"/>
      <c r="R210" s="665"/>
      <c r="S210" s="665"/>
    </row>
    <row r="211" spans="1:19" x14ac:dyDescent="0.2">
      <c r="A211" s="10">
        <v>60110110</v>
      </c>
      <c r="B211" s="10" t="s">
        <v>403</v>
      </c>
      <c r="C211" s="11">
        <v>0</v>
      </c>
      <c r="D211" s="11">
        <v>1136780.078</v>
      </c>
      <c r="E211" s="11">
        <v>0</v>
      </c>
      <c r="F211" s="12">
        <f t="shared" si="7"/>
        <v>1136780.078</v>
      </c>
      <c r="G211" s="12">
        <f t="shared" si="6"/>
        <v>1136780.078</v>
      </c>
      <c r="H211" s="664" t="s">
        <v>138</v>
      </c>
      <c r="I211" s="664" t="s">
        <v>509</v>
      </c>
      <c r="J211" s="671"/>
      <c r="K211" s="671"/>
      <c r="L211" s="671"/>
      <c r="M211" s="666"/>
      <c r="N211" s="665"/>
      <c r="O211" s="665"/>
      <c r="P211" s="665"/>
      <c r="Q211" s="665"/>
      <c r="R211" s="665"/>
      <c r="S211" s="665"/>
    </row>
    <row r="212" spans="1:19" x14ac:dyDescent="0.2">
      <c r="A212" s="10">
        <v>60110210</v>
      </c>
      <c r="B212" s="10" t="s">
        <v>137</v>
      </c>
      <c r="C212" s="11">
        <v>0</v>
      </c>
      <c r="D212" s="11">
        <v>1914471.6449315001</v>
      </c>
      <c r="E212" s="11">
        <v>62544.171500000011</v>
      </c>
      <c r="F212" s="12">
        <f t="shared" si="7"/>
        <v>1851927.4734315001</v>
      </c>
      <c r="G212" s="12">
        <f t="shared" si="6"/>
        <v>1851927.4734315001</v>
      </c>
      <c r="H212" s="664" t="s">
        <v>138</v>
      </c>
      <c r="I212" s="664" t="s">
        <v>509</v>
      </c>
      <c r="J212" s="671"/>
      <c r="K212" s="671"/>
      <c r="L212" s="671"/>
      <c r="M212" s="666"/>
      <c r="N212" s="665"/>
      <c r="O212" s="665"/>
      <c r="P212" s="665"/>
      <c r="Q212" s="665"/>
      <c r="R212" s="665"/>
      <c r="S212" s="665"/>
    </row>
    <row r="213" spans="1:19" x14ac:dyDescent="0.2">
      <c r="A213" s="10">
        <v>60110211</v>
      </c>
      <c r="B213" s="10" t="s">
        <v>363</v>
      </c>
      <c r="C213" s="11">
        <v>0</v>
      </c>
      <c r="D213" s="11">
        <v>338464.18931700004</v>
      </c>
      <c r="E213" s="11">
        <v>17815.868699999999</v>
      </c>
      <c r="F213" s="12">
        <f t="shared" si="7"/>
        <v>320648.32061700005</v>
      </c>
      <c r="G213" s="12">
        <f t="shared" si="6"/>
        <v>320648.32061700005</v>
      </c>
      <c r="H213" s="664" t="s">
        <v>138</v>
      </c>
      <c r="I213" s="664" t="s">
        <v>509</v>
      </c>
      <c r="J213" s="671"/>
      <c r="K213" s="671"/>
      <c r="L213" s="671"/>
      <c r="M213" s="666"/>
      <c r="N213" s="665"/>
      <c r="O213" s="665"/>
      <c r="P213" s="665"/>
      <c r="Q213" s="665"/>
      <c r="R213" s="665"/>
      <c r="S213" s="665"/>
    </row>
    <row r="214" spans="1:19" x14ac:dyDescent="0.2">
      <c r="A214" s="10">
        <v>60110212</v>
      </c>
      <c r="B214" s="10" t="s">
        <v>7391</v>
      </c>
      <c r="C214" s="11">
        <v>0</v>
      </c>
      <c r="D214" s="11">
        <v>52138.206250000003</v>
      </c>
      <c r="E214" s="11">
        <v>0</v>
      </c>
      <c r="F214" s="12">
        <f t="shared" si="7"/>
        <v>52138.206250000003</v>
      </c>
      <c r="G214" s="12">
        <f t="shared" si="6"/>
        <v>52138.206250000003</v>
      </c>
      <c r="H214" s="664" t="s">
        <v>138</v>
      </c>
      <c r="I214" s="664" t="s">
        <v>509</v>
      </c>
      <c r="J214" s="671"/>
      <c r="K214" s="671"/>
      <c r="L214" s="671"/>
      <c r="M214" s="666"/>
      <c r="N214" s="665"/>
      <c r="O214" s="665"/>
      <c r="P214" s="665"/>
      <c r="Q214" s="665"/>
      <c r="R214" s="665"/>
      <c r="S214" s="665"/>
    </row>
    <row r="215" spans="1:19" x14ac:dyDescent="0.2">
      <c r="A215" s="10">
        <v>60110213</v>
      </c>
      <c r="B215" s="10" t="s">
        <v>364</v>
      </c>
      <c r="C215" s="11">
        <v>0</v>
      </c>
      <c r="D215" s="11">
        <v>9453.6</v>
      </c>
      <c r="E215" s="11">
        <v>0</v>
      </c>
      <c r="F215" s="12">
        <f t="shared" si="7"/>
        <v>9453.6</v>
      </c>
      <c r="G215" s="12">
        <f t="shared" si="6"/>
        <v>9453.6</v>
      </c>
      <c r="H215" s="664" t="s">
        <v>138</v>
      </c>
      <c r="I215" s="664" t="s">
        <v>509</v>
      </c>
      <c r="J215" s="671"/>
      <c r="K215" s="671"/>
      <c r="L215" s="671"/>
      <c r="M215" s="666"/>
      <c r="N215" s="665"/>
      <c r="O215" s="665"/>
      <c r="P215" s="665"/>
      <c r="Q215" s="665"/>
      <c r="R215" s="665"/>
      <c r="S215" s="665"/>
    </row>
    <row r="216" spans="1:19" x14ac:dyDescent="0.2">
      <c r="A216" s="10">
        <v>60110220</v>
      </c>
      <c r="B216" s="10" t="s">
        <v>139</v>
      </c>
      <c r="C216" s="11">
        <v>0</v>
      </c>
      <c r="D216" s="11">
        <v>2332626.313085</v>
      </c>
      <c r="E216" s="11">
        <v>0</v>
      </c>
      <c r="F216" s="12">
        <f t="shared" si="7"/>
        <v>2332626.313085</v>
      </c>
      <c r="G216" s="12">
        <f t="shared" si="6"/>
        <v>2332626.313085</v>
      </c>
      <c r="H216" s="664" t="s">
        <v>138</v>
      </c>
      <c r="I216" s="664" t="s">
        <v>509</v>
      </c>
      <c r="J216" s="671"/>
      <c r="K216" s="671"/>
      <c r="L216" s="671"/>
      <c r="M216" s="666"/>
      <c r="N216" s="665"/>
      <c r="O216" s="665"/>
      <c r="P216" s="665"/>
      <c r="Q216" s="665"/>
      <c r="R216" s="665"/>
      <c r="S216" s="665"/>
    </row>
    <row r="217" spans="1:19" x14ac:dyDescent="0.2">
      <c r="A217" s="10">
        <v>60110300</v>
      </c>
      <c r="B217" s="10" t="s">
        <v>140</v>
      </c>
      <c r="C217" s="11">
        <v>0</v>
      </c>
      <c r="D217" s="11">
        <v>171420.03677249997</v>
      </c>
      <c r="E217" s="11">
        <v>0</v>
      </c>
      <c r="F217" s="12">
        <f t="shared" si="7"/>
        <v>171420.03677249997</v>
      </c>
      <c r="G217" s="12">
        <f t="shared" si="6"/>
        <v>171420.03677249997</v>
      </c>
      <c r="H217" s="664" t="s">
        <v>138</v>
      </c>
      <c r="I217" s="664" t="s">
        <v>509</v>
      </c>
      <c r="J217" s="671"/>
      <c r="K217" s="671"/>
      <c r="L217" s="671"/>
      <c r="M217" s="666"/>
      <c r="N217" s="665"/>
      <c r="O217" s="665"/>
      <c r="P217" s="665"/>
      <c r="Q217" s="665"/>
      <c r="R217" s="665"/>
      <c r="S217" s="665"/>
    </row>
    <row r="218" spans="1:19" x14ac:dyDescent="0.2">
      <c r="A218" s="10">
        <v>60110310</v>
      </c>
      <c r="B218" s="10" t="s">
        <v>141</v>
      </c>
      <c r="C218" s="11">
        <v>0</v>
      </c>
      <c r="D218" s="11">
        <v>139784.76</v>
      </c>
      <c r="E218" s="11">
        <v>36427.949999999997</v>
      </c>
      <c r="F218" s="12">
        <f t="shared" si="7"/>
        <v>103356.81000000001</v>
      </c>
      <c r="G218" s="12">
        <f t="shared" si="6"/>
        <v>103356.81000000001</v>
      </c>
      <c r="H218" s="664" t="s">
        <v>138</v>
      </c>
      <c r="I218" s="664" t="s">
        <v>509</v>
      </c>
      <c r="J218" s="671"/>
      <c r="K218" s="671"/>
      <c r="L218" s="671"/>
      <c r="M218" s="666"/>
      <c r="N218" s="665"/>
      <c r="O218" s="665"/>
      <c r="P218" s="665"/>
      <c r="Q218" s="665"/>
      <c r="R218" s="665"/>
      <c r="S218" s="665"/>
    </row>
    <row r="219" spans="1:19" x14ac:dyDescent="0.2">
      <c r="A219" s="10">
        <v>60110320</v>
      </c>
      <c r="B219" s="10" t="s">
        <v>142</v>
      </c>
      <c r="C219" s="11">
        <v>0</v>
      </c>
      <c r="D219" s="11">
        <v>73673.712243000002</v>
      </c>
      <c r="E219" s="11">
        <v>0</v>
      </c>
      <c r="F219" s="12">
        <f t="shared" si="7"/>
        <v>73673.712243000002</v>
      </c>
      <c r="G219" s="12">
        <f t="shared" si="6"/>
        <v>73673.712243000002</v>
      </c>
      <c r="H219" s="664" t="s">
        <v>138</v>
      </c>
      <c r="I219" s="664" t="s">
        <v>509</v>
      </c>
      <c r="J219" s="671"/>
      <c r="K219" s="671"/>
      <c r="L219" s="671"/>
      <c r="M219" s="666"/>
      <c r="N219" s="665"/>
      <c r="O219" s="665"/>
      <c r="P219" s="665"/>
      <c r="Q219" s="665"/>
      <c r="R219" s="665"/>
      <c r="S219" s="665"/>
    </row>
    <row r="220" spans="1:19" x14ac:dyDescent="0.2">
      <c r="A220" s="10">
        <v>60110330</v>
      </c>
      <c r="B220" s="10" t="s">
        <v>143</v>
      </c>
      <c r="C220" s="11">
        <v>0</v>
      </c>
      <c r="D220" s="11">
        <v>47859.581200000001</v>
      </c>
      <c r="E220" s="11">
        <v>0</v>
      </c>
      <c r="F220" s="12">
        <f t="shared" si="7"/>
        <v>47859.581200000001</v>
      </c>
      <c r="G220" s="12">
        <f t="shared" si="6"/>
        <v>47859.581200000001</v>
      </c>
      <c r="H220" s="664" t="s">
        <v>138</v>
      </c>
      <c r="I220" s="664" t="s">
        <v>509</v>
      </c>
      <c r="J220" s="671"/>
      <c r="K220" s="671"/>
      <c r="L220" s="671"/>
      <c r="M220" s="666"/>
      <c r="N220" s="665"/>
      <c r="O220" s="665"/>
      <c r="P220" s="665"/>
      <c r="Q220" s="665"/>
      <c r="R220" s="665"/>
      <c r="S220" s="665"/>
    </row>
    <row r="221" spans="1:19" x14ac:dyDescent="0.2">
      <c r="A221" s="10">
        <v>60110350</v>
      </c>
      <c r="B221" s="10" t="s">
        <v>261</v>
      </c>
      <c r="C221" s="11">
        <v>0</v>
      </c>
      <c r="D221" s="11">
        <v>5382.0619999999999</v>
      </c>
      <c r="E221" s="11">
        <v>0</v>
      </c>
      <c r="F221" s="12">
        <f t="shared" si="7"/>
        <v>5382.0619999999999</v>
      </c>
      <c r="G221" s="12">
        <f t="shared" si="6"/>
        <v>5382.0619999999999</v>
      </c>
      <c r="H221" s="664" t="s">
        <v>138</v>
      </c>
      <c r="I221" s="664" t="s">
        <v>509</v>
      </c>
      <c r="J221" s="671"/>
      <c r="K221" s="671"/>
      <c r="L221" s="671"/>
      <c r="M221" s="666"/>
      <c r="N221" s="665"/>
      <c r="O221" s="665"/>
      <c r="P221" s="665"/>
      <c r="Q221" s="665"/>
      <c r="R221" s="665"/>
      <c r="S221" s="665"/>
    </row>
    <row r="222" spans="1:19" x14ac:dyDescent="0.2">
      <c r="A222" s="10">
        <v>60110400</v>
      </c>
      <c r="B222" s="10" t="s">
        <v>7392</v>
      </c>
      <c r="C222" s="11">
        <v>0</v>
      </c>
      <c r="D222" s="11">
        <v>2523.0747249999999</v>
      </c>
      <c r="E222" s="11">
        <v>0</v>
      </c>
      <c r="F222" s="12">
        <f t="shared" si="7"/>
        <v>2523.0747249999999</v>
      </c>
      <c r="G222" s="12">
        <f t="shared" si="6"/>
        <v>2523.0747249999999</v>
      </c>
      <c r="H222" s="664" t="s">
        <v>138</v>
      </c>
      <c r="I222" s="664" t="s">
        <v>509</v>
      </c>
      <c r="J222" s="671"/>
      <c r="K222" s="671"/>
      <c r="L222" s="671"/>
      <c r="M222" s="666"/>
      <c r="N222" s="665"/>
      <c r="O222" s="665"/>
      <c r="P222" s="665"/>
      <c r="Q222" s="665"/>
      <c r="R222" s="665"/>
      <c r="S222" s="665"/>
    </row>
    <row r="223" spans="1:19" x14ac:dyDescent="0.2">
      <c r="A223" s="10">
        <v>60110500</v>
      </c>
      <c r="B223" s="10" t="s">
        <v>144</v>
      </c>
      <c r="C223" s="11">
        <v>0</v>
      </c>
      <c r="D223" s="11">
        <v>18259.216</v>
      </c>
      <c r="E223" s="11">
        <v>0</v>
      </c>
      <c r="F223" s="12">
        <f t="shared" si="7"/>
        <v>18259.216</v>
      </c>
      <c r="G223" s="12">
        <f t="shared" si="6"/>
        <v>18259.216</v>
      </c>
      <c r="H223" s="664" t="s">
        <v>138</v>
      </c>
      <c r="I223" s="664" t="s">
        <v>509</v>
      </c>
      <c r="J223" s="671"/>
      <c r="K223" s="671"/>
      <c r="L223" s="671"/>
      <c r="M223" s="666"/>
      <c r="N223" s="665"/>
      <c r="O223" s="665"/>
      <c r="P223" s="665"/>
      <c r="Q223" s="665"/>
      <c r="R223" s="665"/>
      <c r="S223" s="665"/>
    </row>
    <row r="224" spans="1:19" x14ac:dyDescent="0.2">
      <c r="A224" s="10">
        <v>60110600</v>
      </c>
      <c r="B224" s="10" t="s">
        <v>145</v>
      </c>
      <c r="C224" s="11">
        <v>0</v>
      </c>
      <c r="D224" s="11">
        <v>29179.371000000003</v>
      </c>
      <c r="E224" s="11">
        <v>0</v>
      </c>
      <c r="F224" s="12">
        <f t="shared" si="7"/>
        <v>29179.371000000003</v>
      </c>
      <c r="G224" s="12">
        <f t="shared" si="6"/>
        <v>29179.371000000003</v>
      </c>
      <c r="H224" s="664" t="s">
        <v>138</v>
      </c>
      <c r="I224" s="664" t="s">
        <v>509</v>
      </c>
      <c r="J224" s="671"/>
      <c r="K224" s="671"/>
      <c r="L224" s="671"/>
      <c r="M224" s="666"/>
      <c r="N224" s="665"/>
      <c r="O224" s="665"/>
      <c r="P224" s="665"/>
      <c r="Q224" s="665"/>
      <c r="R224" s="665"/>
      <c r="S224" s="665"/>
    </row>
    <row r="225" spans="1:19" x14ac:dyDescent="0.2">
      <c r="A225" s="10">
        <v>60110700</v>
      </c>
      <c r="B225" s="10" t="s">
        <v>146</v>
      </c>
      <c r="C225" s="11">
        <v>0</v>
      </c>
      <c r="D225" s="11">
        <v>13450.472</v>
      </c>
      <c r="E225" s="11">
        <v>0</v>
      </c>
      <c r="F225" s="12">
        <f t="shared" si="7"/>
        <v>13450.472</v>
      </c>
      <c r="G225" s="12">
        <f t="shared" si="6"/>
        <v>13450.472</v>
      </c>
      <c r="H225" s="664" t="s">
        <v>138</v>
      </c>
      <c r="I225" s="664" t="s">
        <v>509</v>
      </c>
      <c r="J225" s="671"/>
      <c r="K225" s="671"/>
      <c r="L225" s="671"/>
      <c r="M225" s="666"/>
      <c r="N225" s="665"/>
      <c r="O225" s="665"/>
      <c r="P225" s="665"/>
      <c r="Q225" s="665"/>
      <c r="R225" s="665"/>
      <c r="S225" s="665"/>
    </row>
    <row r="226" spans="1:19" x14ac:dyDescent="0.2">
      <c r="A226" s="10">
        <v>60110800</v>
      </c>
      <c r="B226" s="10" t="s">
        <v>9691</v>
      </c>
      <c r="C226" s="11">
        <v>0</v>
      </c>
      <c r="D226" s="11">
        <v>2608.1999999999998</v>
      </c>
      <c r="E226" s="11">
        <v>2608.1999999999998</v>
      </c>
      <c r="F226" s="12">
        <f t="shared" si="7"/>
        <v>0</v>
      </c>
      <c r="G226" s="12">
        <f t="shared" si="6"/>
        <v>0</v>
      </c>
      <c r="H226" s="664" t="s">
        <v>138</v>
      </c>
      <c r="I226" s="664" t="s">
        <v>509</v>
      </c>
      <c r="J226" s="671"/>
      <c r="K226" s="671"/>
      <c r="L226" s="671"/>
      <c r="M226" s="666"/>
      <c r="N226" s="665"/>
      <c r="O226" s="665"/>
      <c r="P226" s="665"/>
      <c r="Q226" s="665"/>
      <c r="R226" s="665"/>
      <c r="S226" s="665"/>
    </row>
    <row r="227" spans="1:19" x14ac:dyDescent="0.2">
      <c r="A227" s="10">
        <v>60110900</v>
      </c>
      <c r="B227" s="10" t="s">
        <v>147</v>
      </c>
      <c r="C227" s="11">
        <v>0</v>
      </c>
      <c r="D227" s="11">
        <v>513180.96500000003</v>
      </c>
      <c r="E227" s="11">
        <v>6831.4509999999991</v>
      </c>
      <c r="F227" s="12">
        <f t="shared" si="7"/>
        <v>506349.51400000002</v>
      </c>
      <c r="G227" s="12">
        <f t="shared" si="6"/>
        <v>506349.51400000002</v>
      </c>
      <c r="H227" s="664" t="s">
        <v>138</v>
      </c>
      <c r="I227" s="664" t="s">
        <v>509</v>
      </c>
      <c r="J227" s="671"/>
      <c r="K227" s="671"/>
      <c r="L227" s="671"/>
      <c r="M227" s="666"/>
      <c r="N227" s="665"/>
      <c r="O227" s="665"/>
      <c r="P227" s="665"/>
      <c r="Q227" s="665"/>
      <c r="R227" s="665"/>
      <c r="S227" s="665"/>
    </row>
    <row r="228" spans="1:19" x14ac:dyDescent="0.2">
      <c r="A228" s="10">
        <v>60111000</v>
      </c>
      <c r="B228" s="10" t="s">
        <v>148</v>
      </c>
      <c r="C228" s="11">
        <v>0</v>
      </c>
      <c r="D228" s="11">
        <v>23602.247000000003</v>
      </c>
      <c r="E228" s="11">
        <v>0</v>
      </c>
      <c r="F228" s="12">
        <f t="shared" si="7"/>
        <v>23602.247000000003</v>
      </c>
      <c r="G228" s="12">
        <f t="shared" si="6"/>
        <v>23602.247000000003</v>
      </c>
      <c r="H228" s="664" t="s">
        <v>138</v>
      </c>
      <c r="I228" s="664" t="s">
        <v>509</v>
      </c>
      <c r="J228" s="671"/>
      <c r="K228" s="671"/>
      <c r="L228" s="671"/>
      <c r="M228" s="666"/>
      <c r="N228" s="665"/>
      <c r="O228" s="665"/>
      <c r="P228" s="665"/>
      <c r="Q228" s="665"/>
      <c r="R228" s="665"/>
      <c r="S228" s="665"/>
    </row>
    <row r="229" spans="1:19" x14ac:dyDescent="0.2">
      <c r="A229" s="10">
        <v>60111010</v>
      </c>
      <c r="B229" s="10" t="s">
        <v>393</v>
      </c>
      <c r="C229" s="11">
        <v>0</v>
      </c>
      <c r="D229" s="11">
        <v>2646.2</v>
      </c>
      <c r="E229" s="11">
        <v>0</v>
      </c>
      <c r="F229" s="12">
        <f t="shared" si="7"/>
        <v>2646.2</v>
      </c>
      <c r="G229" s="12">
        <f t="shared" si="6"/>
        <v>2646.2</v>
      </c>
      <c r="H229" s="664" t="s">
        <v>138</v>
      </c>
      <c r="I229" s="664" t="s">
        <v>509</v>
      </c>
      <c r="J229" s="671"/>
      <c r="K229" s="671"/>
      <c r="L229" s="671"/>
      <c r="M229" s="666"/>
      <c r="N229" s="665"/>
      <c r="O229" s="665"/>
      <c r="P229" s="665"/>
      <c r="Q229" s="665"/>
      <c r="R229" s="665"/>
      <c r="S229" s="665"/>
    </row>
    <row r="230" spans="1:19" x14ac:dyDescent="0.2">
      <c r="A230" s="10">
        <v>60120100</v>
      </c>
      <c r="B230" s="10" t="s">
        <v>149</v>
      </c>
      <c r="C230" s="11">
        <v>0</v>
      </c>
      <c r="D230" s="11">
        <v>1828972.4837770001</v>
      </c>
      <c r="E230" s="11">
        <v>18937.5</v>
      </c>
      <c r="F230" s="12">
        <f t="shared" si="7"/>
        <v>1810034.9837770001</v>
      </c>
      <c r="G230" s="12">
        <f t="shared" si="6"/>
        <v>1810034.9837770001</v>
      </c>
      <c r="H230" s="664" t="s">
        <v>138</v>
      </c>
      <c r="I230" s="664" t="s">
        <v>509</v>
      </c>
      <c r="J230" s="671"/>
      <c r="K230" s="671"/>
      <c r="L230" s="671"/>
      <c r="M230" s="666"/>
      <c r="N230" s="665"/>
      <c r="O230" s="665"/>
      <c r="P230" s="665"/>
      <c r="Q230" s="665"/>
      <c r="R230" s="665"/>
      <c r="S230" s="665"/>
    </row>
    <row r="231" spans="1:19" x14ac:dyDescent="0.2">
      <c r="A231" s="10">
        <v>60120300</v>
      </c>
      <c r="B231" s="10" t="s">
        <v>150</v>
      </c>
      <c r="C231" s="11">
        <v>0</v>
      </c>
      <c r="D231" s="11">
        <v>11457825.540000001</v>
      </c>
      <c r="E231" s="11">
        <v>261272.4</v>
      </c>
      <c r="F231" s="12">
        <f t="shared" si="7"/>
        <v>11196553.140000001</v>
      </c>
      <c r="G231" s="12">
        <f t="shared" si="6"/>
        <v>11196553.140000001</v>
      </c>
      <c r="H231" s="664" t="s">
        <v>138</v>
      </c>
      <c r="I231" s="664" t="s">
        <v>509</v>
      </c>
      <c r="J231" s="671"/>
      <c r="K231" s="671"/>
      <c r="L231" s="671"/>
      <c r="M231" s="666"/>
      <c r="N231" s="665"/>
      <c r="O231" s="665"/>
      <c r="P231" s="665"/>
      <c r="Q231" s="665"/>
      <c r="R231" s="665"/>
      <c r="S231" s="665"/>
    </row>
    <row r="232" spans="1:19" x14ac:dyDescent="0.2">
      <c r="A232" s="10">
        <v>60120400</v>
      </c>
      <c r="B232" s="10" t="s">
        <v>365</v>
      </c>
      <c r="C232" s="11">
        <v>0</v>
      </c>
      <c r="D232" s="11">
        <v>1404996.01</v>
      </c>
      <c r="E232" s="11">
        <v>112013.1</v>
      </c>
      <c r="F232" s="12">
        <f t="shared" si="7"/>
        <v>1292982.9099999999</v>
      </c>
      <c r="G232" s="12">
        <f t="shared" si="6"/>
        <v>1292982.9099999999</v>
      </c>
      <c r="H232" s="664" t="s">
        <v>138</v>
      </c>
      <c r="I232" s="664" t="s">
        <v>509</v>
      </c>
      <c r="J232" s="671"/>
      <c r="K232" s="671"/>
      <c r="L232" s="671"/>
      <c r="M232" s="666"/>
      <c r="N232" s="665"/>
      <c r="O232" s="665"/>
      <c r="P232" s="665"/>
      <c r="Q232" s="665"/>
      <c r="R232" s="665"/>
      <c r="S232" s="665"/>
    </row>
    <row r="233" spans="1:19" x14ac:dyDescent="0.2">
      <c r="A233" s="10">
        <v>60120800</v>
      </c>
      <c r="B233" s="10" t="s">
        <v>151</v>
      </c>
      <c r="C233" s="11">
        <v>0</v>
      </c>
      <c r="D233" s="11">
        <v>1300006</v>
      </c>
      <c r="E233" s="11">
        <v>0</v>
      </c>
      <c r="F233" s="12">
        <f t="shared" si="7"/>
        <v>1300006</v>
      </c>
      <c r="G233" s="12">
        <f t="shared" si="6"/>
        <v>1300006</v>
      </c>
      <c r="H233" s="664" t="s">
        <v>138</v>
      </c>
      <c r="I233" s="664" t="s">
        <v>509</v>
      </c>
      <c r="J233" s="671"/>
      <c r="K233" s="671"/>
      <c r="L233" s="671"/>
      <c r="M233" s="666"/>
      <c r="N233" s="665"/>
      <c r="O233" s="665"/>
      <c r="P233" s="665"/>
      <c r="Q233" s="665"/>
      <c r="R233" s="665"/>
      <c r="S233" s="665"/>
    </row>
    <row r="234" spans="1:19" x14ac:dyDescent="0.2">
      <c r="A234" s="10">
        <v>60120900</v>
      </c>
      <c r="B234" s="10" t="s">
        <v>7393</v>
      </c>
      <c r="C234" s="11">
        <v>0</v>
      </c>
      <c r="D234" s="11">
        <v>195068.03374499999</v>
      </c>
      <c r="E234" s="11">
        <v>0</v>
      </c>
      <c r="F234" s="12">
        <f t="shared" si="7"/>
        <v>195068.03374499999</v>
      </c>
      <c r="G234" s="12">
        <f t="shared" si="6"/>
        <v>195068.03374499999</v>
      </c>
      <c r="H234" s="664" t="s">
        <v>138</v>
      </c>
      <c r="I234" s="664" t="s">
        <v>509</v>
      </c>
      <c r="J234" s="671"/>
      <c r="K234" s="671"/>
      <c r="L234" s="671"/>
      <c r="M234" s="666"/>
      <c r="N234" s="665"/>
      <c r="O234" s="665"/>
      <c r="P234" s="665"/>
      <c r="Q234" s="665"/>
      <c r="R234" s="665"/>
      <c r="S234" s="665"/>
    </row>
    <row r="235" spans="1:19" x14ac:dyDescent="0.2">
      <c r="A235" s="10">
        <v>60121010</v>
      </c>
      <c r="B235" s="10" t="s">
        <v>152</v>
      </c>
      <c r="C235" s="11">
        <v>0</v>
      </c>
      <c r="D235" s="11">
        <v>5549661.5747985002</v>
      </c>
      <c r="E235" s="11">
        <v>326113.23258700001</v>
      </c>
      <c r="F235" s="12">
        <f t="shared" si="7"/>
        <v>5223548.3422114998</v>
      </c>
      <c r="G235" s="12">
        <f t="shared" si="6"/>
        <v>5223548.3422114998</v>
      </c>
      <c r="H235" s="664" t="s">
        <v>138</v>
      </c>
      <c r="I235" s="664" t="s">
        <v>509</v>
      </c>
      <c r="J235" s="671"/>
      <c r="K235" s="671"/>
      <c r="L235" s="671"/>
      <c r="M235" s="666"/>
      <c r="N235" s="665"/>
      <c r="O235" s="665"/>
      <c r="P235" s="665"/>
      <c r="Q235" s="665"/>
      <c r="R235" s="665"/>
      <c r="S235" s="665"/>
    </row>
    <row r="236" spans="1:19" x14ac:dyDescent="0.2">
      <c r="A236" s="10">
        <v>60121031</v>
      </c>
      <c r="B236" s="10" t="s">
        <v>394</v>
      </c>
      <c r="C236" s="11">
        <v>0</v>
      </c>
      <c r="D236" s="11">
        <v>80289.789124999996</v>
      </c>
      <c r="E236" s="11">
        <v>0</v>
      </c>
      <c r="F236" s="12">
        <f t="shared" si="7"/>
        <v>80289.789124999996</v>
      </c>
      <c r="G236" s="12">
        <f t="shared" si="6"/>
        <v>80289.789124999996</v>
      </c>
      <c r="H236" s="664" t="s">
        <v>138</v>
      </c>
      <c r="I236" s="664" t="s">
        <v>509</v>
      </c>
      <c r="J236" s="671"/>
      <c r="K236" s="671"/>
      <c r="L236" s="671"/>
      <c r="M236" s="666"/>
      <c r="N236" s="665"/>
      <c r="O236" s="665"/>
      <c r="P236" s="665"/>
      <c r="Q236" s="665"/>
      <c r="R236" s="665"/>
      <c r="S236" s="665"/>
    </row>
    <row r="237" spans="1:19" x14ac:dyDescent="0.2">
      <c r="A237" s="10">
        <v>60121032</v>
      </c>
      <c r="B237" s="10" t="s">
        <v>8973</v>
      </c>
      <c r="C237" s="11">
        <v>0</v>
      </c>
      <c r="D237" s="11">
        <v>9936.5</v>
      </c>
      <c r="E237" s="11">
        <v>0</v>
      </c>
      <c r="F237" s="12">
        <f t="shared" si="7"/>
        <v>9936.5</v>
      </c>
      <c r="G237" s="12">
        <f t="shared" si="6"/>
        <v>9936.5</v>
      </c>
      <c r="H237" s="664" t="s">
        <v>138</v>
      </c>
      <c r="I237" s="664" t="s">
        <v>509</v>
      </c>
      <c r="J237" s="671"/>
      <c r="K237" s="671"/>
      <c r="L237" s="671"/>
      <c r="M237" s="666"/>
      <c r="N237" s="665"/>
      <c r="O237" s="665"/>
      <c r="P237" s="665"/>
      <c r="Q237" s="665"/>
      <c r="R237" s="665"/>
      <c r="S237" s="665"/>
    </row>
    <row r="238" spans="1:19" x14ac:dyDescent="0.2">
      <c r="A238" s="10">
        <v>60121033</v>
      </c>
      <c r="B238" s="10" t="s">
        <v>7718</v>
      </c>
      <c r="C238" s="11">
        <v>0</v>
      </c>
      <c r="D238" s="11">
        <v>17519.478149999999</v>
      </c>
      <c r="E238" s="11">
        <v>0</v>
      </c>
      <c r="F238" s="12">
        <f t="shared" si="7"/>
        <v>17519.478149999999</v>
      </c>
      <c r="G238" s="12">
        <f t="shared" si="6"/>
        <v>17519.478149999999</v>
      </c>
      <c r="H238" s="664" t="s">
        <v>138</v>
      </c>
      <c r="I238" s="664" t="s">
        <v>509</v>
      </c>
      <c r="J238" s="671"/>
      <c r="K238" s="671"/>
      <c r="L238" s="671"/>
      <c r="M238" s="666"/>
      <c r="N238" s="665"/>
      <c r="O238" s="665"/>
      <c r="P238" s="665"/>
      <c r="Q238" s="665"/>
      <c r="R238" s="665"/>
      <c r="S238" s="665"/>
    </row>
    <row r="239" spans="1:19" x14ac:dyDescent="0.2">
      <c r="A239" s="10">
        <v>60121035</v>
      </c>
      <c r="B239" s="10" t="s">
        <v>395</v>
      </c>
      <c r="C239" s="11">
        <v>0</v>
      </c>
      <c r="D239" s="11">
        <v>2076.489</v>
      </c>
      <c r="E239" s="11">
        <v>0</v>
      </c>
      <c r="F239" s="12">
        <f t="shared" si="7"/>
        <v>2076.489</v>
      </c>
      <c r="G239" s="12">
        <f t="shared" si="6"/>
        <v>2076.489</v>
      </c>
      <c r="H239" s="664" t="s">
        <v>138</v>
      </c>
      <c r="I239" s="664" t="s">
        <v>509</v>
      </c>
      <c r="J239" s="671"/>
      <c r="K239" s="671"/>
      <c r="L239" s="671"/>
      <c r="M239" s="666"/>
      <c r="N239" s="665"/>
      <c r="O239" s="665"/>
      <c r="P239" s="665"/>
      <c r="Q239" s="665"/>
      <c r="R239" s="665"/>
      <c r="S239" s="665"/>
    </row>
    <row r="240" spans="1:19" x14ac:dyDescent="0.2">
      <c r="A240" s="10">
        <v>60121036</v>
      </c>
      <c r="B240" s="10" t="s">
        <v>7394</v>
      </c>
      <c r="C240" s="11">
        <v>0</v>
      </c>
      <c r="D240" s="11">
        <v>976.17600000000004</v>
      </c>
      <c r="E240" s="11">
        <v>0</v>
      </c>
      <c r="F240" s="12">
        <f t="shared" si="7"/>
        <v>976.17600000000004</v>
      </c>
      <c r="G240" s="12">
        <f t="shared" si="6"/>
        <v>976.17600000000004</v>
      </c>
      <c r="H240" s="664" t="s">
        <v>138</v>
      </c>
      <c r="I240" s="664" t="s">
        <v>509</v>
      </c>
      <c r="J240" s="671"/>
      <c r="K240" s="671"/>
      <c r="L240" s="671"/>
      <c r="M240" s="666"/>
      <c r="N240" s="665"/>
      <c r="O240" s="665"/>
      <c r="P240" s="665"/>
      <c r="Q240" s="665"/>
      <c r="R240" s="665"/>
      <c r="S240" s="665"/>
    </row>
    <row r="241" spans="1:19" x14ac:dyDescent="0.2">
      <c r="A241" s="10">
        <v>60121040</v>
      </c>
      <c r="B241" s="10" t="s">
        <v>7720</v>
      </c>
      <c r="C241" s="11">
        <v>0</v>
      </c>
      <c r="D241" s="11">
        <v>168116.4</v>
      </c>
      <c r="E241" s="11">
        <v>0</v>
      </c>
      <c r="F241" s="12">
        <f t="shared" si="7"/>
        <v>168116.4</v>
      </c>
      <c r="G241" s="12">
        <f t="shared" si="6"/>
        <v>168116.4</v>
      </c>
      <c r="H241" s="664" t="s">
        <v>138</v>
      </c>
      <c r="I241" s="664" t="s">
        <v>509</v>
      </c>
      <c r="J241" s="671"/>
      <c r="K241" s="671"/>
      <c r="L241" s="671"/>
      <c r="M241" s="666"/>
      <c r="N241" s="665"/>
      <c r="O241" s="665"/>
      <c r="P241" s="665"/>
      <c r="Q241" s="665"/>
      <c r="R241" s="665"/>
      <c r="S241" s="665"/>
    </row>
    <row r="242" spans="1:19" x14ac:dyDescent="0.2">
      <c r="A242" s="10">
        <v>60121200</v>
      </c>
      <c r="B242" s="10" t="s">
        <v>7395</v>
      </c>
      <c r="C242" s="11">
        <v>0</v>
      </c>
      <c r="D242" s="11">
        <v>1435</v>
      </c>
      <c r="E242" s="11">
        <v>0</v>
      </c>
      <c r="F242" s="12">
        <f t="shared" si="7"/>
        <v>1435</v>
      </c>
      <c r="G242" s="12">
        <f t="shared" si="6"/>
        <v>1435</v>
      </c>
      <c r="H242" s="664" t="s">
        <v>138</v>
      </c>
      <c r="I242" s="664" t="s">
        <v>509</v>
      </c>
      <c r="J242" s="671"/>
      <c r="K242" s="671"/>
      <c r="L242" s="671"/>
      <c r="M242" s="666"/>
      <c r="N242" s="665"/>
      <c r="O242" s="665"/>
      <c r="P242" s="665"/>
      <c r="Q242" s="665"/>
      <c r="R242" s="665"/>
      <c r="S242" s="665"/>
    </row>
    <row r="243" spans="1:19" x14ac:dyDescent="0.2">
      <c r="A243" s="10">
        <v>60121210</v>
      </c>
      <c r="B243" s="10" t="s">
        <v>7400</v>
      </c>
      <c r="C243" s="11">
        <v>0</v>
      </c>
      <c r="D243" s="11">
        <v>153347.74001150002</v>
      </c>
      <c r="E243" s="11">
        <v>0</v>
      </c>
      <c r="F243" s="12">
        <f t="shared" si="7"/>
        <v>153347.74001150002</v>
      </c>
      <c r="G243" s="12">
        <f t="shared" si="6"/>
        <v>153347.74001150002</v>
      </c>
      <c r="H243" s="664" t="s">
        <v>138</v>
      </c>
      <c r="I243" s="664" t="s">
        <v>509</v>
      </c>
      <c r="J243" s="671"/>
      <c r="K243" s="671"/>
      <c r="L243" s="671"/>
      <c r="M243" s="666"/>
      <c r="N243" s="665"/>
      <c r="O243" s="665"/>
      <c r="P243" s="665"/>
      <c r="Q243" s="665"/>
      <c r="R243" s="665"/>
      <c r="S243" s="665"/>
    </row>
    <row r="244" spans="1:19" x14ac:dyDescent="0.2">
      <c r="A244" s="10">
        <v>60121400</v>
      </c>
      <c r="B244" s="10" t="s">
        <v>7570</v>
      </c>
      <c r="C244" s="11">
        <v>0</v>
      </c>
      <c r="D244" s="11">
        <v>52207.795200000008</v>
      </c>
      <c r="E244" s="11">
        <v>0</v>
      </c>
      <c r="F244" s="12">
        <f t="shared" si="7"/>
        <v>52207.795200000008</v>
      </c>
      <c r="G244" s="12">
        <f t="shared" si="6"/>
        <v>52207.795200000008</v>
      </c>
      <c r="H244" s="664" t="s">
        <v>138</v>
      </c>
      <c r="I244" s="664" t="s">
        <v>509</v>
      </c>
      <c r="J244" s="671"/>
      <c r="K244" s="671"/>
      <c r="L244" s="671"/>
      <c r="M244" s="666"/>
      <c r="N244" s="665"/>
      <c r="O244" s="665"/>
      <c r="P244" s="665"/>
      <c r="Q244" s="665"/>
      <c r="R244" s="665"/>
      <c r="S244" s="665"/>
    </row>
    <row r="245" spans="1:19" x14ac:dyDescent="0.2">
      <c r="A245" s="10">
        <v>60121500</v>
      </c>
      <c r="B245" s="10" t="s">
        <v>404</v>
      </c>
      <c r="C245" s="11">
        <v>0</v>
      </c>
      <c r="D245" s="11">
        <v>115072.5</v>
      </c>
      <c r="E245" s="11">
        <v>0</v>
      </c>
      <c r="F245" s="12">
        <f t="shared" si="7"/>
        <v>115072.5</v>
      </c>
      <c r="G245" s="12">
        <f t="shared" si="6"/>
        <v>115072.5</v>
      </c>
      <c r="H245" s="664" t="s">
        <v>138</v>
      </c>
      <c r="I245" s="664" t="s">
        <v>509</v>
      </c>
      <c r="J245" s="671"/>
      <c r="K245" s="671"/>
      <c r="L245" s="671"/>
      <c r="M245" s="666"/>
      <c r="N245" s="665"/>
      <c r="O245" s="665"/>
      <c r="P245" s="665"/>
      <c r="Q245" s="665"/>
      <c r="R245" s="665"/>
      <c r="S245" s="665"/>
    </row>
    <row r="246" spans="1:19" x14ac:dyDescent="0.2">
      <c r="A246" s="10">
        <v>60121600</v>
      </c>
      <c r="B246" s="10" t="s">
        <v>154</v>
      </c>
      <c r="C246" s="11">
        <v>0</v>
      </c>
      <c r="D246" s="11">
        <v>632533.19999999995</v>
      </c>
      <c r="E246" s="11">
        <v>0</v>
      </c>
      <c r="F246" s="12">
        <f t="shared" si="7"/>
        <v>632533.19999999995</v>
      </c>
      <c r="G246" s="12">
        <f t="shared" si="6"/>
        <v>632533.19999999995</v>
      </c>
      <c r="H246" s="664" t="s">
        <v>138</v>
      </c>
      <c r="I246" s="664" t="s">
        <v>509</v>
      </c>
      <c r="J246" s="671"/>
      <c r="K246" s="671"/>
      <c r="L246" s="671"/>
      <c r="M246" s="666"/>
      <c r="N246" s="665"/>
      <c r="O246" s="665"/>
      <c r="P246" s="665"/>
      <c r="Q246" s="665"/>
      <c r="R246" s="665"/>
      <c r="S246" s="665"/>
    </row>
    <row r="247" spans="1:19" x14ac:dyDescent="0.2">
      <c r="A247" s="10">
        <v>60121900</v>
      </c>
      <c r="B247" s="10" t="s">
        <v>7568</v>
      </c>
      <c r="C247" s="11">
        <v>0</v>
      </c>
      <c r="D247" s="11">
        <v>138604</v>
      </c>
      <c r="E247" s="11">
        <v>0</v>
      </c>
      <c r="F247" s="12">
        <f t="shared" si="7"/>
        <v>138604</v>
      </c>
      <c r="G247" s="12">
        <f t="shared" si="6"/>
        <v>138604</v>
      </c>
      <c r="H247" s="664" t="s">
        <v>138</v>
      </c>
      <c r="I247" s="664" t="s">
        <v>509</v>
      </c>
      <c r="J247" s="671"/>
      <c r="K247" s="671"/>
      <c r="L247" s="671"/>
      <c r="M247" s="666"/>
      <c r="N247" s="665"/>
      <c r="O247" s="665"/>
      <c r="P247" s="665"/>
      <c r="Q247" s="665"/>
      <c r="R247" s="665"/>
      <c r="S247" s="665"/>
    </row>
    <row r="248" spans="1:19" x14ac:dyDescent="0.2">
      <c r="A248" s="10">
        <v>60122000</v>
      </c>
      <c r="B248" s="10" t="s">
        <v>9638</v>
      </c>
      <c r="C248" s="11">
        <v>0</v>
      </c>
      <c r="D248" s="11">
        <v>4588.8525</v>
      </c>
      <c r="E248" s="11">
        <v>0</v>
      </c>
      <c r="F248" s="12">
        <f t="shared" si="7"/>
        <v>4588.8525</v>
      </c>
      <c r="G248" s="12">
        <f t="shared" si="6"/>
        <v>4588.8525</v>
      </c>
      <c r="H248" s="664" t="s">
        <v>138</v>
      </c>
      <c r="I248" s="664" t="s">
        <v>509</v>
      </c>
      <c r="J248" s="671"/>
      <c r="K248" s="671"/>
      <c r="L248" s="671"/>
      <c r="M248" s="666"/>
      <c r="N248" s="665"/>
      <c r="O248" s="665"/>
      <c r="P248" s="665"/>
      <c r="Q248" s="665"/>
      <c r="R248" s="665"/>
      <c r="S248" s="665"/>
    </row>
    <row r="249" spans="1:19" x14ac:dyDescent="0.2">
      <c r="A249" s="10">
        <v>60122100</v>
      </c>
      <c r="B249" s="10" t="s">
        <v>155</v>
      </c>
      <c r="C249" s="11">
        <v>0</v>
      </c>
      <c r="D249" s="11">
        <v>256375</v>
      </c>
      <c r="E249" s="11">
        <v>69625.8</v>
      </c>
      <c r="F249" s="12">
        <f t="shared" si="7"/>
        <v>186749.2</v>
      </c>
      <c r="G249" s="12">
        <f t="shared" si="6"/>
        <v>186749.2</v>
      </c>
      <c r="H249" s="664" t="s">
        <v>138</v>
      </c>
      <c r="I249" s="664" t="s">
        <v>509</v>
      </c>
      <c r="J249" s="671"/>
      <c r="K249" s="671"/>
      <c r="L249" s="671"/>
      <c r="M249" s="666"/>
      <c r="N249" s="665"/>
      <c r="O249" s="665"/>
      <c r="P249" s="665"/>
      <c r="Q249" s="665"/>
      <c r="R249" s="665"/>
      <c r="S249" s="665"/>
    </row>
    <row r="250" spans="1:19" x14ac:dyDescent="0.2">
      <c r="A250" s="10">
        <v>60122200</v>
      </c>
      <c r="B250" s="10" t="s">
        <v>156</v>
      </c>
      <c r="C250" s="11">
        <v>0</v>
      </c>
      <c r="D250" s="11">
        <v>103305.007</v>
      </c>
      <c r="E250" s="11">
        <v>0</v>
      </c>
      <c r="F250" s="12">
        <f t="shared" si="7"/>
        <v>103305.007</v>
      </c>
      <c r="G250" s="12">
        <f t="shared" si="6"/>
        <v>103305.007</v>
      </c>
      <c r="H250" s="664" t="s">
        <v>138</v>
      </c>
      <c r="I250" s="664" t="s">
        <v>509</v>
      </c>
      <c r="J250" s="671"/>
      <c r="K250" s="671"/>
      <c r="L250" s="671"/>
      <c r="M250" s="666"/>
      <c r="N250" s="665"/>
      <c r="O250" s="665"/>
      <c r="P250" s="665"/>
      <c r="Q250" s="665"/>
      <c r="R250" s="665"/>
      <c r="S250" s="665"/>
    </row>
    <row r="251" spans="1:19" x14ac:dyDescent="0.2">
      <c r="A251" s="10">
        <v>60122400</v>
      </c>
      <c r="B251" s="10" t="s">
        <v>7396</v>
      </c>
      <c r="C251" s="11">
        <v>0</v>
      </c>
      <c r="D251" s="11">
        <v>38607.696000000004</v>
      </c>
      <c r="E251" s="11">
        <v>0</v>
      </c>
      <c r="F251" s="12">
        <f t="shared" si="7"/>
        <v>38607.696000000004</v>
      </c>
      <c r="G251" s="12">
        <f t="shared" si="6"/>
        <v>38607.696000000004</v>
      </c>
      <c r="H251" s="664" t="s">
        <v>138</v>
      </c>
      <c r="I251" s="664" t="s">
        <v>509</v>
      </c>
      <c r="J251" s="671"/>
      <c r="K251" s="671"/>
      <c r="L251" s="671"/>
      <c r="M251" s="666"/>
      <c r="N251" s="665"/>
      <c r="O251" s="665"/>
      <c r="P251" s="665"/>
      <c r="Q251" s="665"/>
      <c r="R251" s="665"/>
      <c r="S251" s="665"/>
    </row>
    <row r="252" spans="1:19" x14ac:dyDescent="0.2">
      <c r="A252" s="10">
        <v>60122410</v>
      </c>
      <c r="B252" s="10" t="s">
        <v>366</v>
      </c>
      <c r="C252" s="11">
        <v>0</v>
      </c>
      <c r="D252" s="11">
        <v>7350</v>
      </c>
      <c r="E252" s="11">
        <v>0</v>
      </c>
      <c r="F252" s="12">
        <f t="shared" si="7"/>
        <v>7350</v>
      </c>
      <c r="G252" s="12">
        <f t="shared" si="6"/>
        <v>7350</v>
      </c>
      <c r="H252" s="664" t="s">
        <v>138</v>
      </c>
      <c r="I252" s="664" t="s">
        <v>509</v>
      </c>
      <c r="J252" s="671"/>
      <c r="K252" s="671"/>
      <c r="L252" s="671"/>
      <c r="M252" s="666"/>
      <c r="N252" s="665"/>
      <c r="O252" s="665"/>
      <c r="P252" s="665"/>
      <c r="Q252" s="665"/>
      <c r="R252" s="665"/>
      <c r="S252" s="665"/>
    </row>
    <row r="253" spans="1:19" x14ac:dyDescent="0.2">
      <c r="A253" s="10">
        <v>60122411</v>
      </c>
      <c r="B253" s="10" t="s">
        <v>367</v>
      </c>
      <c r="C253" s="11">
        <v>0</v>
      </c>
      <c r="D253" s="11">
        <v>56079.1</v>
      </c>
      <c r="E253" s="11">
        <v>0</v>
      </c>
      <c r="F253" s="12">
        <f t="shared" si="7"/>
        <v>56079.1</v>
      </c>
      <c r="G253" s="12">
        <f t="shared" si="6"/>
        <v>56079.1</v>
      </c>
      <c r="H253" s="664" t="s">
        <v>138</v>
      </c>
      <c r="I253" s="664" t="s">
        <v>509</v>
      </c>
      <c r="J253" s="671"/>
      <c r="K253" s="671"/>
      <c r="L253" s="671"/>
      <c r="M253" s="666"/>
      <c r="N253" s="665"/>
      <c r="O253" s="665"/>
      <c r="P253" s="665"/>
      <c r="Q253" s="665"/>
      <c r="R253" s="665"/>
      <c r="S253" s="665"/>
    </row>
    <row r="254" spans="1:19" x14ac:dyDescent="0.2">
      <c r="A254" s="10">
        <v>60122510</v>
      </c>
      <c r="B254" s="10" t="s">
        <v>368</v>
      </c>
      <c r="C254" s="11">
        <v>0</v>
      </c>
      <c r="D254" s="11">
        <v>40627.192000000003</v>
      </c>
      <c r="E254" s="11">
        <v>0</v>
      </c>
      <c r="F254" s="12">
        <f t="shared" si="7"/>
        <v>40627.192000000003</v>
      </c>
      <c r="G254" s="12">
        <f t="shared" si="6"/>
        <v>40627.192000000003</v>
      </c>
      <c r="H254" s="664" t="s">
        <v>138</v>
      </c>
      <c r="I254" s="664" t="s">
        <v>509</v>
      </c>
      <c r="J254" s="671"/>
      <c r="K254" s="671"/>
      <c r="L254" s="671"/>
      <c r="M254" s="666"/>
      <c r="N254" s="665"/>
      <c r="O254" s="665"/>
      <c r="P254" s="665"/>
      <c r="Q254" s="665"/>
      <c r="R254" s="665"/>
      <c r="S254" s="665"/>
    </row>
    <row r="255" spans="1:19" x14ac:dyDescent="0.2">
      <c r="A255" s="10">
        <v>60122520</v>
      </c>
      <c r="B255" s="10" t="s">
        <v>396</v>
      </c>
      <c r="C255" s="11">
        <v>0</v>
      </c>
      <c r="D255" s="11">
        <v>7795.0759999999991</v>
      </c>
      <c r="E255" s="11">
        <v>0</v>
      </c>
      <c r="F255" s="12">
        <f t="shared" si="7"/>
        <v>7795.0759999999991</v>
      </c>
      <c r="G255" s="12">
        <f t="shared" si="6"/>
        <v>7795.0759999999991</v>
      </c>
      <c r="H255" s="664" t="s">
        <v>138</v>
      </c>
      <c r="I255" s="664" t="s">
        <v>509</v>
      </c>
      <c r="J255" s="671"/>
      <c r="K255" s="671"/>
      <c r="L255" s="671"/>
      <c r="M255" s="666"/>
      <c r="N255" s="665"/>
      <c r="O255" s="665"/>
      <c r="P255" s="665"/>
      <c r="Q255" s="665"/>
      <c r="R255" s="665"/>
      <c r="S255" s="665"/>
    </row>
    <row r="256" spans="1:19" x14ac:dyDescent="0.2">
      <c r="A256" s="10">
        <v>60122600</v>
      </c>
      <c r="B256" s="10" t="s">
        <v>9648</v>
      </c>
      <c r="C256" s="11">
        <v>0</v>
      </c>
      <c r="D256" s="11">
        <v>552.5</v>
      </c>
      <c r="E256" s="11">
        <v>0</v>
      </c>
      <c r="F256" s="12">
        <f t="shared" si="7"/>
        <v>552.5</v>
      </c>
      <c r="G256" s="12">
        <f t="shared" si="6"/>
        <v>552.5</v>
      </c>
      <c r="H256" s="664" t="s">
        <v>138</v>
      </c>
      <c r="I256" s="664" t="s">
        <v>509</v>
      </c>
      <c r="J256" s="671"/>
      <c r="K256" s="671"/>
      <c r="L256" s="671"/>
      <c r="M256" s="666"/>
      <c r="N256" s="665"/>
      <c r="O256" s="665"/>
      <c r="P256" s="665"/>
      <c r="Q256" s="665"/>
      <c r="R256" s="665"/>
      <c r="S256" s="665"/>
    </row>
    <row r="257" spans="1:19" x14ac:dyDescent="0.2">
      <c r="A257" s="10">
        <v>60122700</v>
      </c>
      <c r="B257" s="10" t="s">
        <v>7567</v>
      </c>
      <c r="C257" s="11">
        <v>0</v>
      </c>
      <c r="D257" s="11">
        <v>7798.4359999999997</v>
      </c>
      <c r="E257" s="11">
        <v>0</v>
      </c>
      <c r="F257" s="12">
        <f t="shared" si="7"/>
        <v>7798.4359999999997</v>
      </c>
      <c r="G257" s="12">
        <f t="shared" si="6"/>
        <v>7798.4359999999997</v>
      </c>
      <c r="H257" s="664" t="s">
        <v>138</v>
      </c>
      <c r="I257" s="664" t="s">
        <v>509</v>
      </c>
      <c r="J257" s="671"/>
      <c r="K257" s="671"/>
      <c r="L257" s="671"/>
      <c r="M257" s="666"/>
      <c r="N257" s="665"/>
      <c r="O257" s="665"/>
      <c r="P257" s="665"/>
      <c r="Q257" s="665"/>
      <c r="R257" s="665"/>
      <c r="S257" s="665"/>
    </row>
    <row r="258" spans="1:19" x14ac:dyDescent="0.2">
      <c r="A258" s="10">
        <v>60171000</v>
      </c>
      <c r="B258" s="10" t="s">
        <v>369</v>
      </c>
      <c r="C258" s="11">
        <v>0</v>
      </c>
      <c r="D258" s="11">
        <v>746344.924</v>
      </c>
      <c r="E258" s="11">
        <v>221.779</v>
      </c>
      <c r="F258" s="12">
        <f t="shared" si="7"/>
        <v>746123.14500000002</v>
      </c>
      <c r="G258" s="12">
        <f t="shared" ref="G258:G321" si="8">+C258+F258</f>
        <v>746123.14500000002</v>
      </c>
      <c r="H258" s="664" t="s">
        <v>138</v>
      </c>
      <c r="I258" s="664" t="s">
        <v>509</v>
      </c>
      <c r="J258" s="671"/>
      <c r="K258" s="671"/>
      <c r="L258" s="671"/>
      <c r="M258" s="666"/>
      <c r="N258" s="665"/>
      <c r="O258" s="665"/>
      <c r="P258" s="665"/>
      <c r="Q258" s="665"/>
      <c r="R258" s="665"/>
      <c r="S258" s="665"/>
    </row>
    <row r="259" spans="1:19" x14ac:dyDescent="0.2">
      <c r="A259" s="10">
        <v>60172000</v>
      </c>
      <c r="B259" s="10" t="s">
        <v>169</v>
      </c>
      <c r="C259" s="11">
        <v>0</v>
      </c>
      <c r="D259" s="11">
        <v>1380741.8819999998</v>
      </c>
      <c r="E259" s="11">
        <v>111375.30699999999</v>
      </c>
      <c r="F259" s="12">
        <f t="shared" ref="F259:F322" si="9">+D259-E259</f>
        <v>1269366.5749999997</v>
      </c>
      <c r="G259" s="12">
        <f t="shared" si="8"/>
        <v>1269366.5749999997</v>
      </c>
      <c r="H259" s="664" t="s">
        <v>138</v>
      </c>
      <c r="I259" s="664" t="s">
        <v>509</v>
      </c>
      <c r="J259" s="671"/>
      <c r="K259" s="671"/>
      <c r="L259" s="671"/>
      <c r="M259" s="666"/>
      <c r="N259" s="665"/>
      <c r="O259" s="665"/>
      <c r="P259" s="665"/>
      <c r="Q259" s="665"/>
      <c r="R259" s="665"/>
      <c r="S259" s="665"/>
    </row>
    <row r="260" spans="1:19" x14ac:dyDescent="0.2">
      <c r="A260" s="10">
        <v>60173000</v>
      </c>
      <c r="B260" s="10" t="s">
        <v>170</v>
      </c>
      <c r="C260" s="11">
        <v>0</v>
      </c>
      <c r="D260" s="11">
        <v>155894.74300000002</v>
      </c>
      <c r="E260" s="11">
        <v>38925.707999999999</v>
      </c>
      <c r="F260" s="12">
        <f t="shared" si="9"/>
        <v>116969.03500000002</v>
      </c>
      <c r="G260" s="12">
        <f t="shared" si="8"/>
        <v>116969.03500000002</v>
      </c>
      <c r="H260" s="664" t="s">
        <v>138</v>
      </c>
      <c r="I260" s="664" t="s">
        <v>509</v>
      </c>
      <c r="J260" s="671"/>
      <c r="K260" s="671"/>
      <c r="L260" s="671"/>
      <c r="M260" s="666"/>
      <c r="N260" s="665"/>
      <c r="O260" s="665"/>
      <c r="P260" s="665"/>
      <c r="Q260" s="665"/>
      <c r="R260" s="665"/>
      <c r="S260" s="665"/>
    </row>
    <row r="261" spans="1:19" x14ac:dyDescent="0.2">
      <c r="A261" s="10">
        <v>60191000</v>
      </c>
      <c r="B261" s="10" t="s">
        <v>158</v>
      </c>
      <c r="C261" s="11">
        <v>0</v>
      </c>
      <c r="D261" s="11">
        <v>1653948.7333160001</v>
      </c>
      <c r="E261" s="11">
        <v>50525.930999999997</v>
      </c>
      <c r="F261" s="12">
        <f t="shared" si="9"/>
        <v>1603422.802316</v>
      </c>
      <c r="G261" s="12">
        <f t="shared" si="8"/>
        <v>1603422.802316</v>
      </c>
      <c r="H261" s="664" t="s">
        <v>138</v>
      </c>
      <c r="I261" s="664" t="s">
        <v>509</v>
      </c>
      <c r="J261" s="671"/>
      <c r="K261" s="671"/>
      <c r="L261" s="671"/>
      <c r="M261" s="666"/>
      <c r="N261" s="665"/>
      <c r="O261" s="665"/>
      <c r="P261" s="665"/>
      <c r="Q261" s="665"/>
      <c r="R261" s="665"/>
      <c r="S261" s="665"/>
    </row>
    <row r="262" spans="1:19" x14ac:dyDescent="0.2">
      <c r="A262" s="10">
        <v>60215000</v>
      </c>
      <c r="B262" s="10" t="s">
        <v>370</v>
      </c>
      <c r="C262" s="11">
        <v>0</v>
      </c>
      <c r="D262" s="11">
        <v>24171.527000000002</v>
      </c>
      <c r="E262" s="11">
        <v>0</v>
      </c>
      <c r="F262" s="12">
        <f t="shared" si="9"/>
        <v>24171.527000000002</v>
      </c>
      <c r="G262" s="12">
        <f t="shared" si="8"/>
        <v>24171.527000000002</v>
      </c>
      <c r="H262" s="664" t="s">
        <v>138</v>
      </c>
      <c r="I262" s="664" t="s">
        <v>509</v>
      </c>
      <c r="J262" s="671"/>
      <c r="K262" s="671"/>
      <c r="L262" s="671"/>
      <c r="M262" s="666"/>
      <c r="N262" s="665"/>
      <c r="O262" s="665"/>
      <c r="P262" s="665"/>
      <c r="Q262" s="665"/>
      <c r="R262" s="665"/>
      <c r="S262" s="665"/>
    </row>
    <row r="263" spans="1:19" x14ac:dyDescent="0.2">
      <c r="A263" s="10">
        <v>60216000</v>
      </c>
      <c r="B263" s="10" t="s">
        <v>371</v>
      </c>
      <c r="C263" s="11">
        <v>0</v>
      </c>
      <c r="D263" s="11">
        <v>744924.70609800017</v>
      </c>
      <c r="E263" s="11">
        <v>0</v>
      </c>
      <c r="F263" s="12">
        <f t="shared" si="9"/>
        <v>744924.70609800017</v>
      </c>
      <c r="G263" s="12">
        <f t="shared" si="8"/>
        <v>744924.70609800017</v>
      </c>
      <c r="H263" s="664" t="s">
        <v>138</v>
      </c>
      <c r="I263" s="664" t="s">
        <v>509</v>
      </c>
      <c r="J263" s="671"/>
      <c r="K263" s="671"/>
      <c r="L263" s="671"/>
      <c r="M263" s="666"/>
      <c r="N263" s="665"/>
      <c r="O263" s="665"/>
      <c r="P263" s="665"/>
      <c r="Q263" s="665"/>
      <c r="R263" s="665"/>
      <c r="S263" s="665"/>
    </row>
    <row r="264" spans="1:19" x14ac:dyDescent="0.2">
      <c r="A264" s="10">
        <v>60260200</v>
      </c>
      <c r="B264" s="10" t="s">
        <v>372</v>
      </c>
      <c r="C264" s="11">
        <v>0</v>
      </c>
      <c r="D264" s="11">
        <v>210388.51499999998</v>
      </c>
      <c r="E264" s="11">
        <v>2249.748</v>
      </c>
      <c r="F264" s="12">
        <f t="shared" si="9"/>
        <v>208138.76699999999</v>
      </c>
      <c r="G264" s="12">
        <f t="shared" si="8"/>
        <v>208138.76699999999</v>
      </c>
      <c r="H264" s="664" t="s">
        <v>138</v>
      </c>
      <c r="I264" s="664" t="s">
        <v>509</v>
      </c>
      <c r="J264" s="671"/>
      <c r="K264" s="671"/>
      <c r="L264" s="671"/>
      <c r="M264" s="666"/>
      <c r="N264" s="665"/>
      <c r="O264" s="665"/>
      <c r="P264" s="665"/>
      <c r="Q264" s="665"/>
      <c r="R264" s="665"/>
      <c r="S264" s="665"/>
    </row>
    <row r="265" spans="1:19" x14ac:dyDescent="0.2">
      <c r="A265" s="10">
        <v>60260300</v>
      </c>
      <c r="B265" s="10" t="s">
        <v>160</v>
      </c>
      <c r="C265" s="11">
        <v>0</v>
      </c>
      <c r="D265" s="11">
        <v>184971.18699999998</v>
      </c>
      <c r="E265" s="11">
        <v>183266.77299999999</v>
      </c>
      <c r="F265" s="12">
        <f t="shared" si="9"/>
        <v>1704.4139999999898</v>
      </c>
      <c r="G265" s="12">
        <f t="shared" si="8"/>
        <v>1704.4139999999898</v>
      </c>
      <c r="H265" s="664" t="s">
        <v>138</v>
      </c>
      <c r="I265" s="664" t="s">
        <v>509</v>
      </c>
      <c r="J265" s="671"/>
      <c r="K265" s="671"/>
      <c r="L265" s="671"/>
      <c r="M265" s="666"/>
      <c r="N265" s="665"/>
      <c r="O265" s="665"/>
      <c r="P265" s="665"/>
      <c r="Q265" s="665"/>
      <c r="R265" s="665"/>
      <c r="S265" s="665"/>
    </row>
    <row r="266" spans="1:19" x14ac:dyDescent="0.2">
      <c r="A266" s="10">
        <v>60260400</v>
      </c>
      <c r="B266" s="10" t="s">
        <v>161</v>
      </c>
      <c r="C266" s="11">
        <v>0</v>
      </c>
      <c r="D266" s="11">
        <v>98823.763999999996</v>
      </c>
      <c r="E266" s="11">
        <v>0</v>
      </c>
      <c r="F266" s="12">
        <f t="shared" si="9"/>
        <v>98823.763999999996</v>
      </c>
      <c r="G266" s="12">
        <f t="shared" si="8"/>
        <v>98823.763999999996</v>
      </c>
      <c r="H266" s="664" t="s">
        <v>138</v>
      </c>
      <c r="I266" s="664" t="s">
        <v>509</v>
      </c>
      <c r="J266" s="671"/>
      <c r="K266" s="671"/>
      <c r="L266" s="671"/>
      <c r="M266" s="666"/>
      <c r="N266" s="665"/>
      <c r="O266" s="665"/>
      <c r="P266" s="665"/>
      <c r="Q266" s="665"/>
      <c r="R266" s="665"/>
      <c r="S266" s="665"/>
    </row>
    <row r="267" spans="1:19" x14ac:dyDescent="0.2">
      <c r="A267" s="10">
        <v>60260500</v>
      </c>
      <c r="B267" s="10" t="s">
        <v>162</v>
      </c>
      <c r="C267" s="11">
        <v>0</v>
      </c>
      <c r="D267" s="11">
        <v>66834.66</v>
      </c>
      <c r="E267" s="11">
        <v>10496.5</v>
      </c>
      <c r="F267" s="12">
        <f t="shared" si="9"/>
        <v>56338.16</v>
      </c>
      <c r="G267" s="12">
        <f t="shared" si="8"/>
        <v>56338.16</v>
      </c>
      <c r="H267" s="664" t="s">
        <v>138</v>
      </c>
      <c r="I267" s="664" t="s">
        <v>509</v>
      </c>
      <c r="J267" s="671"/>
      <c r="K267" s="671"/>
      <c r="L267" s="671"/>
      <c r="M267" s="666"/>
      <c r="N267" s="665"/>
      <c r="O267" s="665"/>
      <c r="P267" s="665"/>
      <c r="Q267" s="665"/>
      <c r="R267" s="665"/>
      <c r="S267" s="665"/>
    </row>
    <row r="268" spans="1:19" x14ac:dyDescent="0.2">
      <c r="A268" s="10">
        <v>60260600</v>
      </c>
      <c r="B268" s="10" t="s">
        <v>7401</v>
      </c>
      <c r="C268" s="11">
        <v>0</v>
      </c>
      <c r="D268" s="11">
        <v>1171.6030000000001</v>
      </c>
      <c r="E268" s="11">
        <v>0</v>
      </c>
      <c r="F268" s="12">
        <f t="shared" si="9"/>
        <v>1171.6030000000001</v>
      </c>
      <c r="G268" s="12">
        <f t="shared" si="8"/>
        <v>1171.6030000000001</v>
      </c>
      <c r="H268" s="664" t="s">
        <v>138</v>
      </c>
      <c r="I268" s="664" t="s">
        <v>509</v>
      </c>
      <c r="J268" s="671"/>
      <c r="K268" s="671"/>
      <c r="L268" s="671"/>
      <c r="M268" s="666"/>
      <c r="N268" s="665"/>
      <c r="O268" s="665"/>
      <c r="P268" s="665"/>
      <c r="Q268" s="665"/>
      <c r="R268" s="665"/>
      <c r="S268" s="665"/>
    </row>
    <row r="269" spans="1:19" x14ac:dyDescent="0.2">
      <c r="A269" s="10">
        <v>60260700</v>
      </c>
      <c r="B269" s="10" t="s">
        <v>163</v>
      </c>
      <c r="C269" s="11">
        <v>0</v>
      </c>
      <c r="D269" s="11">
        <v>137026.9</v>
      </c>
      <c r="E269" s="11">
        <v>4125</v>
      </c>
      <c r="F269" s="12">
        <f t="shared" si="9"/>
        <v>132901.9</v>
      </c>
      <c r="G269" s="12">
        <f t="shared" si="8"/>
        <v>132901.9</v>
      </c>
      <c r="H269" s="664" t="s">
        <v>138</v>
      </c>
      <c r="I269" s="664" t="s">
        <v>509</v>
      </c>
      <c r="J269" s="671"/>
      <c r="K269" s="671"/>
      <c r="L269" s="671"/>
      <c r="M269" s="666"/>
      <c r="N269" s="665"/>
      <c r="O269" s="665"/>
      <c r="P269" s="665"/>
      <c r="Q269" s="665"/>
      <c r="R269" s="665"/>
      <c r="S269" s="665"/>
    </row>
    <row r="270" spans="1:19" x14ac:dyDescent="0.2">
      <c r="A270" s="10">
        <v>60262000</v>
      </c>
      <c r="B270" s="10" t="s">
        <v>164</v>
      </c>
      <c r="C270" s="11">
        <v>0</v>
      </c>
      <c r="D270" s="11">
        <v>254728.00929800002</v>
      </c>
      <c r="E270" s="11">
        <v>0</v>
      </c>
      <c r="F270" s="12">
        <f t="shared" si="9"/>
        <v>254728.00929800002</v>
      </c>
      <c r="G270" s="12">
        <f t="shared" si="8"/>
        <v>254728.00929800002</v>
      </c>
      <c r="H270" s="664" t="s">
        <v>138</v>
      </c>
      <c r="I270" s="664" t="s">
        <v>509</v>
      </c>
      <c r="J270" s="671"/>
      <c r="K270" s="671"/>
      <c r="L270" s="671"/>
      <c r="M270" s="666"/>
      <c r="N270" s="665"/>
      <c r="O270" s="665"/>
      <c r="P270" s="665"/>
      <c r="Q270" s="665"/>
      <c r="R270" s="665"/>
      <c r="S270" s="665"/>
    </row>
    <row r="271" spans="1:19" x14ac:dyDescent="0.2">
      <c r="A271" s="10">
        <v>60263000</v>
      </c>
      <c r="B271" s="10" t="s">
        <v>165</v>
      </c>
      <c r="C271" s="11">
        <v>0</v>
      </c>
      <c r="D271" s="11">
        <v>54364.83</v>
      </c>
      <c r="E271" s="11">
        <v>0</v>
      </c>
      <c r="F271" s="12">
        <f t="shared" si="9"/>
        <v>54364.83</v>
      </c>
      <c r="G271" s="12">
        <f t="shared" si="8"/>
        <v>54364.83</v>
      </c>
      <c r="H271" s="664" t="s">
        <v>138</v>
      </c>
      <c r="I271" s="664" t="s">
        <v>509</v>
      </c>
      <c r="J271" s="671"/>
      <c r="K271" s="671"/>
      <c r="L271" s="671"/>
      <c r="M271" s="666"/>
      <c r="N271" s="665"/>
      <c r="O271" s="665"/>
      <c r="P271" s="665"/>
      <c r="Q271" s="665"/>
      <c r="R271" s="665"/>
      <c r="S271" s="665"/>
    </row>
    <row r="272" spans="1:19" x14ac:dyDescent="0.2">
      <c r="A272" s="10">
        <v>60310000</v>
      </c>
      <c r="B272" s="10" t="s">
        <v>265</v>
      </c>
      <c r="C272" s="11">
        <v>0</v>
      </c>
      <c r="D272" s="11">
        <v>10125104.671</v>
      </c>
      <c r="E272" s="11">
        <v>10656855.097999999</v>
      </c>
      <c r="F272" s="12">
        <f t="shared" si="9"/>
        <v>-531750.42699999921</v>
      </c>
      <c r="G272" s="12">
        <f t="shared" si="8"/>
        <v>-531750.42699999921</v>
      </c>
      <c r="H272" s="664" t="s">
        <v>138</v>
      </c>
      <c r="I272" s="664" t="s">
        <v>509</v>
      </c>
      <c r="J272" s="671"/>
      <c r="K272" s="671"/>
      <c r="L272" s="671"/>
      <c r="M272" s="666"/>
      <c r="N272" s="665"/>
      <c r="O272" s="665"/>
      <c r="P272" s="665"/>
      <c r="Q272" s="665"/>
      <c r="R272" s="665"/>
      <c r="S272" s="665"/>
    </row>
    <row r="273" spans="1:19" x14ac:dyDescent="0.2">
      <c r="A273" s="10">
        <v>60330000</v>
      </c>
      <c r="B273" s="10" t="s">
        <v>266</v>
      </c>
      <c r="C273" s="11">
        <v>0</v>
      </c>
      <c r="D273" s="11">
        <v>583630.65099999995</v>
      </c>
      <c r="E273" s="11">
        <v>662156.429</v>
      </c>
      <c r="F273" s="12">
        <f t="shared" si="9"/>
        <v>-78525.778000000049</v>
      </c>
      <c r="G273" s="12">
        <f t="shared" si="8"/>
        <v>-78525.778000000049</v>
      </c>
      <c r="H273" s="664" t="s">
        <v>157</v>
      </c>
      <c r="I273" s="664" t="s">
        <v>512</v>
      </c>
      <c r="J273" s="671"/>
      <c r="K273" s="671"/>
      <c r="L273" s="671"/>
      <c r="M273" s="666"/>
      <c r="N273" s="665"/>
      <c r="O273" s="665"/>
      <c r="P273" s="665"/>
      <c r="Q273" s="665"/>
      <c r="R273" s="665"/>
      <c r="S273" s="665"/>
    </row>
    <row r="274" spans="1:19" x14ac:dyDescent="0.2">
      <c r="A274" s="10">
        <v>60401000</v>
      </c>
      <c r="B274" s="10" t="s">
        <v>166</v>
      </c>
      <c r="C274" s="11">
        <v>0</v>
      </c>
      <c r="D274" s="11">
        <v>275000</v>
      </c>
      <c r="E274" s="11">
        <v>0</v>
      </c>
      <c r="F274" s="12">
        <f t="shared" si="9"/>
        <v>275000</v>
      </c>
      <c r="G274" s="12">
        <f t="shared" si="8"/>
        <v>275000</v>
      </c>
      <c r="H274" s="664" t="s">
        <v>157</v>
      </c>
      <c r="I274" s="664" t="s">
        <v>512</v>
      </c>
      <c r="J274" s="671"/>
      <c r="K274" s="671"/>
      <c r="L274" s="671"/>
      <c r="M274" s="666"/>
      <c r="N274" s="665"/>
      <c r="O274" s="665"/>
      <c r="P274" s="665"/>
      <c r="Q274" s="665"/>
      <c r="R274" s="665"/>
      <c r="S274" s="665"/>
    </row>
    <row r="275" spans="1:19" x14ac:dyDescent="0.2">
      <c r="A275" s="10">
        <v>60502000</v>
      </c>
      <c r="B275" s="10" t="s">
        <v>167</v>
      </c>
      <c r="C275" s="11">
        <v>0</v>
      </c>
      <c r="D275" s="11">
        <v>911487.77926749992</v>
      </c>
      <c r="E275" s="11">
        <v>230667.59899999999</v>
      </c>
      <c r="F275" s="12">
        <f t="shared" si="9"/>
        <v>680820.18026749999</v>
      </c>
      <c r="G275" s="12">
        <f t="shared" si="8"/>
        <v>680820.18026749999</v>
      </c>
      <c r="H275" s="664" t="s">
        <v>157</v>
      </c>
      <c r="I275" s="664" t="s">
        <v>512</v>
      </c>
      <c r="J275" s="671"/>
      <c r="K275" s="671"/>
      <c r="L275" s="671"/>
      <c r="M275" s="666"/>
      <c r="N275" s="665"/>
      <c r="O275" s="665"/>
      <c r="P275" s="665"/>
      <c r="Q275" s="665"/>
      <c r="R275" s="665"/>
      <c r="S275" s="665"/>
    </row>
    <row r="276" spans="1:19" x14ac:dyDescent="0.2">
      <c r="A276" s="10">
        <v>60504000</v>
      </c>
      <c r="B276" s="10" t="s">
        <v>168</v>
      </c>
      <c r="C276" s="11">
        <v>0</v>
      </c>
      <c r="D276" s="11">
        <v>6265.4819999999991</v>
      </c>
      <c r="E276" s="11">
        <v>0</v>
      </c>
      <c r="F276" s="12">
        <f t="shared" si="9"/>
        <v>6265.4819999999991</v>
      </c>
      <c r="G276" s="12">
        <f t="shared" si="8"/>
        <v>6265.4819999999991</v>
      </c>
      <c r="H276" s="664" t="s">
        <v>157</v>
      </c>
      <c r="I276" s="664" t="s">
        <v>512</v>
      </c>
      <c r="J276" s="671"/>
      <c r="K276" s="671"/>
      <c r="L276" s="671"/>
      <c r="M276" s="666"/>
      <c r="N276" s="665"/>
      <c r="O276" s="665"/>
      <c r="P276" s="665"/>
      <c r="Q276" s="665"/>
      <c r="R276" s="665"/>
      <c r="S276" s="665"/>
    </row>
    <row r="277" spans="1:19" x14ac:dyDescent="0.2">
      <c r="A277" s="10">
        <v>60614000</v>
      </c>
      <c r="B277" s="10" t="s">
        <v>171</v>
      </c>
      <c r="C277" s="11">
        <v>0</v>
      </c>
      <c r="D277" s="11">
        <v>242850.45</v>
      </c>
      <c r="E277" s="11">
        <v>25264.172999999999</v>
      </c>
      <c r="F277" s="12">
        <f t="shared" si="9"/>
        <v>217586.277</v>
      </c>
      <c r="G277" s="12">
        <f t="shared" si="8"/>
        <v>217586.277</v>
      </c>
      <c r="H277" s="664" t="s">
        <v>157</v>
      </c>
      <c r="I277" s="664" t="s">
        <v>512</v>
      </c>
      <c r="J277" s="671"/>
      <c r="K277" s="671"/>
      <c r="L277" s="671"/>
      <c r="M277" s="666"/>
      <c r="N277" s="665"/>
      <c r="O277" s="665"/>
      <c r="P277" s="665"/>
      <c r="Q277" s="665"/>
      <c r="R277" s="665"/>
      <c r="S277" s="665"/>
    </row>
    <row r="278" spans="1:19" x14ac:dyDescent="0.2">
      <c r="A278" s="10">
        <v>60620000</v>
      </c>
      <c r="B278" s="10" t="s">
        <v>172</v>
      </c>
      <c r="C278" s="11">
        <v>0</v>
      </c>
      <c r="D278" s="11">
        <v>23867.477999999996</v>
      </c>
      <c r="E278" s="11">
        <v>0</v>
      </c>
      <c r="F278" s="12">
        <f t="shared" si="9"/>
        <v>23867.477999999996</v>
      </c>
      <c r="G278" s="12">
        <f t="shared" si="8"/>
        <v>23867.477999999996</v>
      </c>
      <c r="H278" s="664" t="s">
        <v>157</v>
      </c>
      <c r="I278" s="664" t="s">
        <v>512</v>
      </c>
      <c r="J278" s="671"/>
      <c r="K278" s="671"/>
      <c r="L278" s="671"/>
      <c r="M278" s="666"/>
      <c r="N278" s="665"/>
      <c r="O278" s="665"/>
      <c r="P278" s="665"/>
      <c r="Q278" s="665"/>
      <c r="R278" s="665"/>
      <c r="S278" s="665"/>
    </row>
    <row r="279" spans="1:19" x14ac:dyDescent="0.2">
      <c r="A279" s="10">
        <v>60650000</v>
      </c>
      <c r="B279" s="10" t="s">
        <v>373</v>
      </c>
      <c r="C279" s="11">
        <v>0</v>
      </c>
      <c r="D279" s="11">
        <v>13350</v>
      </c>
      <c r="E279" s="11">
        <v>0</v>
      </c>
      <c r="F279" s="12">
        <f t="shared" si="9"/>
        <v>13350</v>
      </c>
      <c r="G279" s="12">
        <f t="shared" si="8"/>
        <v>13350</v>
      </c>
      <c r="H279" s="664" t="s">
        <v>138</v>
      </c>
      <c r="I279" s="664" t="s">
        <v>509</v>
      </c>
      <c r="J279" s="671"/>
      <c r="K279" s="671"/>
      <c r="L279" s="671"/>
      <c r="M279" s="666"/>
      <c r="N279" s="665"/>
      <c r="O279" s="665"/>
      <c r="P279" s="665"/>
      <c r="Q279" s="665"/>
      <c r="R279" s="665"/>
      <c r="S279" s="665"/>
    </row>
    <row r="280" spans="1:19" x14ac:dyDescent="0.2">
      <c r="A280" s="10">
        <v>60660000</v>
      </c>
      <c r="B280" s="10" t="s">
        <v>173</v>
      </c>
      <c r="C280" s="11">
        <v>0</v>
      </c>
      <c r="D280" s="11">
        <v>31433.833999999995</v>
      </c>
      <c r="E280" s="11">
        <v>0</v>
      </c>
      <c r="F280" s="12">
        <f t="shared" si="9"/>
        <v>31433.833999999995</v>
      </c>
      <c r="G280" s="12">
        <f t="shared" si="8"/>
        <v>31433.833999999995</v>
      </c>
      <c r="H280" s="664" t="s">
        <v>157</v>
      </c>
      <c r="I280" s="664" t="s">
        <v>512</v>
      </c>
      <c r="J280" s="671"/>
      <c r="K280" s="671"/>
      <c r="L280" s="671"/>
      <c r="M280" s="666"/>
      <c r="N280" s="665"/>
      <c r="O280" s="665"/>
      <c r="P280" s="665"/>
      <c r="Q280" s="665"/>
      <c r="R280" s="665"/>
      <c r="S280" s="665"/>
    </row>
    <row r="281" spans="1:19" x14ac:dyDescent="0.2">
      <c r="A281" s="10">
        <v>60670000</v>
      </c>
      <c r="B281" s="10" t="s">
        <v>174</v>
      </c>
      <c r="C281" s="11">
        <v>0</v>
      </c>
      <c r="D281" s="11">
        <v>15118.564999999999</v>
      </c>
      <c r="E281" s="11">
        <v>0</v>
      </c>
      <c r="F281" s="12">
        <f t="shared" si="9"/>
        <v>15118.564999999999</v>
      </c>
      <c r="G281" s="12">
        <f t="shared" si="8"/>
        <v>15118.564999999999</v>
      </c>
      <c r="H281" s="664" t="s">
        <v>157</v>
      </c>
      <c r="I281" s="664" t="s">
        <v>512</v>
      </c>
      <c r="J281" s="671"/>
      <c r="K281" s="671"/>
      <c r="L281" s="671"/>
      <c r="M281" s="666"/>
      <c r="N281" s="665"/>
      <c r="O281" s="665"/>
      <c r="P281" s="665"/>
      <c r="Q281" s="665"/>
      <c r="R281" s="665"/>
      <c r="S281" s="665"/>
    </row>
    <row r="282" spans="1:19" x14ac:dyDescent="0.2">
      <c r="A282" s="10">
        <v>60671000</v>
      </c>
      <c r="B282" s="10" t="s">
        <v>374</v>
      </c>
      <c r="C282" s="11">
        <v>0</v>
      </c>
      <c r="D282" s="11">
        <v>151977.42499999999</v>
      </c>
      <c r="E282" s="11">
        <v>0</v>
      </c>
      <c r="F282" s="12">
        <f t="shared" si="9"/>
        <v>151977.42499999999</v>
      </c>
      <c r="G282" s="12">
        <f t="shared" si="8"/>
        <v>151977.42499999999</v>
      </c>
      <c r="H282" s="664" t="s">
        <v>157</v>
      </c>
      <c r="I282" s="664" t="s">
        <v>512</v>
      </c>
      <c r="J282" s="671"/>
      <c r="K282" s="671"/>
      <c r="L282" s="671"/>
      <c r="M282" s="666"/>
      <c r="N282" s="665"/>
      <c r="O282" s="665"/>
      <c r="P282" s="665"/>
      <c r="Q282" s="665"/>
      <c r="R282" s="665"/>
      <c r="S282" s="665"/>
    </row>
    <row r="283" spans="1:19" x14ac:dyDescent="0.2">
      <c r="A283" s="10">
        <v>60672000</v>
      </c>
      <c r="B283" s="10" t="s">
        <v>7569</v>
      </c>
      <c r="C283" s="11">
        <v>0</v>
      </c>
      <c r="D283" s="11">
        <v>7377</v>
      </c>
      <c r="E283" s="11">
        <v>0</v>
      </c>
      <c r="F283" s="12">
        <f t="shared" si="9"/>
        <v>7377</v>
      </c>
      <c r="G283" s="12">
        <f t="shared" si="8"/>
        <v>7377</v>
      </c>
      <c r="H283" s="664" t="s">
        <v>157</v>
      </c>
      <c r="I283" s="664" t="s">
        <v>512</v>
      </c>
      <c r="J283" s="671"/>
      <c r="K283" s="671"/>
      <c r="L283" s="671"/>
      <c r="M283" s="666"/>
      <c r="N283" s="665"/>
      <c r="O283" s="665"/>
      <c r="P283" s="665"/>
      <c r="Q283" s="665"/>
      <c r="R283" s="665"/>
      <c r="S283" s="665"/>
    </row>
    <row r="284" spans="1:19" x14ac:dyDescent="0.2">
      <c r="A284" s="10">
        <v>60713000</v>
      </c>
      <c r="B284" s="10" t="s">
        <v>10112</v>
      </c>
      <c r="C284" s="11">
        <v>0</v>
      </c>
      <c r="D284" s="11">
        <v>15708</v>
      </c>
      <c r="E284" s="11">
        <v>0</v>
      </c>
      <c r="F284" s="12">
        <f t="shared" si="9"/>
        <v>15708</v>
      </c>
      <c r="G284" s="12">
        <f t="shared" si="8"/>
        <v>15708</v>
      </c>
      <c r="H284" s="664" t="s">
        <v>157</v>
      </c>
      <c r="I284" s="664" t="s">
        <v>512</v>
      </c>
      <c r="J284" s="671"/>
      <c r="K284" s="671"/>
      <c r="L284" s="671"/>
      <c r="M284" s="666"/>
      <c r="N284" s="665"/>
      <c r="O284" s="665"/>
      <c r="P284" s="665"/>
      <c r="Q284" s="665"/>
      <c r="R284" s="665"/>
      <c r="S284" s="665"/>
    </row>
    <row r="285" spans="1:19" x14ac:dyDescent="0.2">
      <c r="A285" s="10">
        <v>61400000</v>
      </c>
      <c r="B285" s="10" t="s">
        <v>175</v>
      </c>
      <c r="C285" s="11">
        <v>0</v>
      </c>
      <c r="D285" s="11">
        <v>35329.737999999998</v>
      </c>
      <c r="E285" s="11">
        <v>6666.6660000000002</v>
      </c>
      <c r="F285" s="12">
        <f t="shared" si="9"/>
        <v>28663.071999999996</v>
      </c>
      <c r="G285" s="12">
        <f t="shared" si="8"/>
        <v>28663.071999999996</v>
      </c>
      <c r="H285" s="664" t="s">
        <v>157</v>
      </c>
      <c r="I285" s="664" t="s">
        <v>512</v>
      </c>
      <c r="J285" s="671"/>
      <c r="K285" s="671"/>
      <c r="L285" s="671"/>
      <c r="M285" s="666"/>
      <c r="N285" s="665"/>
      <c r="O285" s="665"/>
      <c r="P285" s="665"/>
      <c r="Q285" s="665"/>
      <c r="R285" s="665"/>
      <c r="S285" s="665"/>
    </row>
    <row r="286" spans="1:19" x14ac:dyDescent="0.2">
      <c r="A286" s="10">
        <v>61500000</v>
      </c>
      <c r="B286" s="10" t="s">
        <v>176</v>
      </c>
      <c r="C286" s="11">
        <v>0</v>
      </c>
      <c r="D286" s="11">
        <v>443500.59100000001</v>
      </c>
      <c r="E286" s="11">
        <v>134957.421</v>
      </c>
      <c r="F286" s="12">
        <f t="shared" si="9"/>
        <v>308543.17000000004</v>
      </c>
      <c r="G286" s="12">
        <f t="shared" si="8"/>
        <v>308543.17000000004</v>
      </c>
      <c r="H286" s="664" t="s">
        <v>157</v>
      </c>
      <c r="I286" s="664" t="s">
        <v>512</v>
      </c>
      <c r="J286" s="671"/>
      <c r="K286" s="671"/>
      <c r="L286" s="671"/>
      <c r="M286" s="666"/>
      <c r="N286" s="665"/>
      <c r="O286" s="665"/>
      <c r="P286" s="665"/>
      <c r="Q286" s="665"/>
      <c r="R286" s="665"/>
      <c r="S286" s="665"/>
    </row>
    <row r="287" spans="1:19" x14ac:dyDescent="0.2">
      <c r="A287" s="10">
        <v>61501000</v>
      </c>
      <c r="B287" s="10" t="s">
        <v>177</v>
      </c>
      <c r="C287" s="11">
        <v>0</v>
      </c>
      <c r="D287" s="11">
        <v>321388.83899999998</v>
      </c>
      <c r="E287" s="11">
        <v>33713.715000000004</v>
      </c>
      <c r="F287" s="12">
        <f t="shared" si="9"/>
        <v>287675.12399999995</v>
      </c>
      <c r="G287" s="12">
        <f t="shared" si="8"/>
        <v>287675.12399999995</v>
      </c>
      <c r="H287" s="664" t="s">
        <v>157</v>
      </c>
      <c r="I287" s="664" t="s">
        <v>512</v>
      </c>
      <c r="J287" s="671"/>
      <c r="K287" s="671"/>
      <c r="L287" s="671"/>
      <c r="M287" s="666"/>
      <c r="N287" s="665"/>
      <c r="O287" s="665"/>
      <c r="P287" s="665"/>
      <c r="Q287" s="665"/>
      <c r="R287" s="665"/>
      <c r="S287" s="665"/>
    </row>
    <row r="288" spans="1:19" x14ac:dyDescent="0.2">
      <c r="A288" s="10">
        <v>61600000</v>
      </c>
      <c r="B288" s="10" t="s">
        <v>397</v>
      </c>
      <c r="C288" s="11">
        <v>0</v>
      </c>
      <c r="D288" s="11">
        <v>41033.906999999999</v>
      </c>
      <c r="E288" s="11">
        <v>15871.807000000001</v>
      </c>
      <c r="F288" s="12">
        <f t="shared" si="9"/>
        <v>25162.1</v>
      </c>
      <c r="G288" s="12">
        <f t="shared" si="8"/>
        <v>25162.1</v>
      </c>
      <c r="H288" s="664" t="s">
        <v>157</v>
      </c>
      <c r="I288" s="664" t="s">
        <v>512</v>
      </c>
      <c r="J288" s="671"/>
      <c r="K288" s="671"/>
      <c r="L288" s="671"/>
      <c r="M288" s="666"/>
      <c r="N288" s="665"/>
      <c r="O288" s="665"/>
      <c r="P288" s="665"/>
      <c r="Q288" s="665"/>
      <c r="R288" s="665"/>
      <c r="S288" s="665"/>
    </row>
    <row r="289" spans="1:19" x14ac:dyDescent="0.2">
      <c r="A289" s="10">
        <v>61603000</v>
      </c>
      <c r="B289" s="10" t="s">
        <v>178</v>
      </c>
      <c r="C289" s="11">
        <v>0</v>
      </c>
      <c r="D289" s="11">
        <v>35388.715000000004</v>
      </c>
      <c r="E289" s="11">
        <v>0</v>
      </c>
      <c r="F289" s="12">
        <f t="shared" si="9"/>
        <v>35388.715000000004</v>
      </c>
      <c r="G289" s="12">
        <f t="shared" si="8"/>
        <v>35388.715000000004</v>
      </c>
      <c r="H289" s="664" t="s">
        <v>157</v>
      </c>
      <c r="I289" s="664" t="s">
        <v>512</v>
      </c>
      <c r="J289" s="671"/>
      <c r="K289" s="671"/>
      <c r="L289" s="671"/>
      <c r="M289" s="666"/>
      <c r="N289" s="665"/>
      <c r="O289" s="665"/>
      <c r="P289" s="665"/>
      <c r="Q289" s="665"/>
      <c r="R289" s="665"/>
      <c r="S289" s="665"/>
    </row>
    <row r="290" spans="1:19" x14ac:dyDescent="0.2">
      <c r="A290" s="10">
        <v>61607000</v>
      </c>
      <c r="B290" s="10" t="s">
        <v>179</v>
      </c>
      <c r="C290" s="11">
        <v>0</v>
      </c>
      <c r="D290" s="11">
        <v>14731.2</v>
      </c>
      <c r="E290" s="11">
        <v>0</v>
      </c>
      <c r="F290" s="12">
        <f t="shared" si="9"/>
        <v>14731.2</v>
      </c>
      <c r="G290" s="12">
        <f t="shared" si="8"/>
        <v>14731.2</v>
      </c>
      <c r="H290" s="664" t="s">
        <v>157</v>
      </c>
      <c r="I290" s="664" t="s">
        <v>512</v>
      </c>
      <c r="J290" s="671"/>
      <c r="K290" s="671"/>
      <c r="L290" s="671"/>
      <c r="M290" s="666"/>
      <c r="N290" s="665"/>
      <c r="O290" s="665"/>
      <c r="P290" s="665"/>
      <c r="Q290" s="665"/>
      <c r="R290" s="665"/>
      <c r="S290" s="665"/>
    </row>
    <row r="291" spans="1:19" x14ac:dyDescent="0.2">
      <c r="A291" s="10">
        <v>62120000</v>
      </c>
      <c r="B291" s="10" t="s">
        <v>180</v>
      </c>
      <c r="C291" s="11">
        <v>0</v>
      </c>
      <c r="D291" s="11">
        <v>63058.94</v>
      </c>
      <c r="E291" s="11">
        <v>0</v>
      </c>
      <c r="F291" s="12">
        <f t="shared" si="9"/>
        <v>63058.94</v>
      </c>
      <c r="G291" s="12">
        <f t="shared" si="8"/>
        <v>63058.94</v>
      </c>
      <c r="H291" s="664" t="s">
        <v>157</v>
      </c>
      <c r="I291" s="664" t="s">
        <v>512</v>
      </c>
      <c r="J291" s="671"/>
      <c r="K291" s="671"/>
      <c r="L291" s="671"/>
      <c r="M291" s="666"/>
      <c r="N291" s="665"/>
      <c r="O291" s="665"/>
      <c r="P291" s="665"/>
      <c r="Q291" s="665"/>
      <c r="R291" s="665"/>
      <c r="S291" s="665"/>
    </row>
    <row r="292" spans="1:19" x14ac:dyDescent="0.2">
      <c r="A292" s="10">
        <v>62210000</v>
      </c>
      <c r="B292" s="10" t="s">
        <v>398</v>
      </c>
      <c r="C292" s="11">
        <v>0</v>
      </c>
      <c r="D292" s="11">
        <v>8685.5040000000008</v>
      </c>
      <c r="E292" s="11">
        <v>0</v>
      </c>
      <c r="F292" s="12">
        <f t="shared" si="9"/>
        <v>8685.5040000000008</v>
      </c>
      <c r="G292" s="12">
        <f t="shared" si="8"/>
        <v>8685.5040000000008</v>
      </c>
      <c r="H292" s="664" t="s">
        <v>157</v>
      </c>
      <c r="I292" s="664" t="s">
        <v>512</v>
      </c>
      <c r="J292" s="671"/>
      <c r="K292" s="671"/>
      <c r="L292" s="671"/>
      <c r="M292" s="666"/>
      <c r="N292" s="665"/>
      <c r="O292" s="665"/>
      <c r="P292" s="665"/>
      <c r="Q292" s="665"/>
      <c r="R292" s="665"/>
      <c r="S292" s="665"/>
    </row>
    <row r="293" spans="1:19" x14ac:dyDescent="0.2">
      <c r="A293" s="10">
        <v>62220000</v>
      </c>
      <c r="B293" s="10" t="s">
        <v>10113</v>
      </c>
      <c r="C293" s="11">
        <v>0</v>
      </c>
      <c r="D293" s="11">
        <v>25823.361000000001</v>
      </c>
      <c r="E293" s="11">
        <v>0</v>
      </c>
      <c r="F293" s="12">
        <f t="shared" si="9"/>
        <v>25823.361000000001</v>
      </c>
      <c r="G293" s="12">
        <f t="shared" si="8"/>
        <v>25823.361000000001</v>
      </c>
      <c r="H293" s="664" t="s">
        <v>157</v>
      </c>
      <c r="I293" s="664" t="s">
        <v>512</v>
      </c>
      <c r="J293" s="671"/>
      <c r="K293" s="671"/>
      <c r="L293" s="671"/>
      <c r="M293" s="666"/>
      <c r="N293" s="665"/>
      <c r="O293" s="665"/>
      <c r="P293" s="665"/>
      <c r="Q293" s="665"/>
      <c r="R293" s="665"/>
      <c r="S293" s="665"/>
    </row>
    <row r="294" spans="1:19" x14ac:dyDescent="0.2">
      <c r="A294" s="10">
        <v>62230000</v>
      </c>
      <c r="B294" s="10" t="s">
        <v>375</v>
      </c>
      <c r="C294" s="11">
        <v>0</v>
      </c>
      <c r="D294" s="11">
        <v>105198.46365000001</v>
      </c>
      <c r="E294" s="11">
        <v>25823.361000000001</v>
      </c>
      <c r="F294" s="12">
        <f t="shared" si="9"/>
        <v>79375.102650000001</v>
      </c>
      <c r="G294" s="12">
        <f t="shared" si="8"/>
        <v>79375.102650000001</v>
      </c>
      <c r="H294" s="664" t="s">
        <v>157</v>
      </c>
      <c r="I294" s="664" t="s">
        <v>512</v>
      </c>
      <c r="J294" s="671"/>
      <c r="K294" s="671"/>
      <c r="L294" s="671"/>
      <c r="M294" s="666"/>
      <c r="N294" s="665"/>
      <c r="O294" s="665"/>
      <c r="P294" s="665"/>
      <c r="Q294" s="665"/>
      <c r="R294" s="665"/>
      <c r="S294" s="665"/>
    </row>
    <row r="295" spans="1:19" x14ac:dyDescent="0.2">
      <c r="A295" s="10">
        <v>62240000</v>
      </c>
      <c r="B295" s="10" t="s">
        <v>267</v>
      </c>
      <c r="C295" s="11">
        <v>0</v>
      </c>
      <c r="D295" s="11">
        <v>40437.923999999999</v>
      </c>
      <c r="E295" s="11">
        <v>2100</v>
      </c>
      <c r="F295" s="12">
        <f t="shared" si="9"/>
        <v>38337.923999999999</v>
      </c>
      <c r="G295" s="12">
        <f t="shared" si="8"/>
        <v>38337.923999999999</v>
      </c>
      <c r="H295" s="664" t="s">
        <v>157</v>
      </c>
      <c r="I295" s="664" t="s">
        <v>512</v>
      </c>
      <c r="J295" s="671"/>
      <c r="K295" s="671"/>
      <c r="L295" s="671"/>
      <c r="M295" s="666"/>
      <c r="N295" s="665"/>
      <c r="O295" s="665"/>
      <c r="P295" s="665"/>
      <c r="Q295" s="665"/>
      <c r="R295" s="665"/>
      <c r="S295" s="665"/>
    </row>
    <row r="296" spans="1:19" x14ac:dyDescent="0.2">
      <c r="A296" s="10">
        <v>62250000</v>
      </c>
      <c r="B296" s="10" t="s">
        <v>268</v>
      </c>
      <c r="C296" s="11">
        <v>0</v>
      </c>
      <c r="D296" s="11">
        <v>119053.33599999998</v>
      </c>
      <c r="E296" s="11">
        <v>60240.335999999996</v>
      </c>
      <c r="F296" s="12">
        <f t="shared" si="9"/>
        <v>58812.999999999985</v>
      </c>
      <c r="G296" s="12">
        <f t="shared" si="8"/>
        <v>58812.999999999985</v>
      </c>
      <c r="H296" s="664" t="s">
        <v>157</v>
      </c>
      <c r="I296" s="664" t="s">
        <v>512</v>
      </c>
      <c r="J296" s="671"/>
      <c r="K296" s="671"/>
      <c r="L296" s="671"/>
      <c r="M296" s="666"/>
      <c r="N296" s="665"/>
      <c r="O296" s="665"/>
      <c r="P296" s="665"/>
      <c r="Q296" s="665"/>
      <c r="R296" s="665"/>
      <c r="S296" s="665"/>
    </row>
    <row r="297" spans="1:19" x14ac:dyDescent="0.2">
      <c r="A297" s="10">
        <v>62260000</v>
      </c>
      <c r="B297" s="10" t="s">
        <v>7402</v>
      </c>
      <c r="C297" s="11">
        <v>0</v>
      </c>
      <c r="D297" s="11">
        <v>19970.233</v>
      </c>
      <c r="E297" s="11">
        <v>0</v>
      </c>
      <c r="F297" s="12">
        <f t="shared" si="9"/>
        <v>19970.233</v>
      </c>
      <c r="G297" s="12">
        <f t="shared" si="8"/>
        <v>19970.233</v>
      </c>
      <c r="H297" s="664" t="s">
        <v>157</v>
      </c>
      <c r="I297" s="664" t="s">
        <v>512</v>
      </c>
      <c r="J297" s="671"/>
      <c r="K297" s="671"/>
      <c r="L297" s="671"/>
      <c r="M297" s="666"/>
      <c r="N297" s="665"/>
      <c r="O297" s="665"/>
      <c r="P297" s="665"/>
      <c r="Q297" s="665"/>
      <c r="R297" s="665"/>
      <c r="S297" s="665"/>
    </row>
    <row r="298" spans="1:19" x14ac:dyDescent="0.2">
      <c r="A298" s="10">
        <v>62270000</v>
      </c>
      <c r="B298" s="10" t="s">
        <v>399</v>
      </c>
      <c r="C298" s="11">
        <v>0</v>
      </c>
      <c r="D298" s="11">
        <v>1438.9070000000002</v>
      </c>
      <c r="E298" s="11">
        <v>0</v>
      </c>
      <c r="F298" s="12">
        <f t="shared" si="9"/>
        <v>1438.9070000000002</v>
      </c>
      <c r="G298" s="12">
        <f t="shared" si="8"/>
        <v>1438.9070000000002</v>
      </c>
      <c r="H298" s="664" t="s">
        <v>157</v>
      </c>
      <c r="I298" s="664" t="s">
        <v>512</v>
      </c>
      <c r="J298" s="671"/>
      <c r="K298" s="671"/>
      <c r="L298" s="671"/>
      <c r="M298" s="666"/>
      <c r="N298" s="665"/>
      <c r="O298" s="665"/>
      <c r="P298" s="665"/>
      <c r="Q298" s="665"/>
      <c r="R298" s="665"/>
      <c r="S298" s="665"/>
    </row>
    <row r="299" spans="1:19" x14ac:dyDescent="0.2">
      <c r="A299" s="10">
        <v>62300000</v>
      </c>
      <c r="B299" s="10" t="s">
        <v>182</v>
      </c>
      <c r="C299" s="11">
        <v>0</v>
      </c>
      <c r="D299" s="11">
        <v>280253.57999999996</v>
      </c>
      <c r="E299" s="11">
        <v>137307.34</v>
      </c>
      <c r="F299" s="12">
        <f t="shared" si="9"/>
        <v>142946.23999999996</v>
      </c>
      <c r="G299" s="12">
        <f t="shared" si="8"/>
        <v>142946.23999999996</v>
      </c>
      <c r="H299" s="664" t="s">
        <v>157</v>
      </c>
      <c r="I299" s="664" t="s">
        <v>512</v>
      </c>
      <c r="J299" s="671"/>
      <c r="K299" s="671"/>
      <c r="L299" s="671"/>
      <c r="M299" s="666"/>
      <c r="N299" s="665"/>
      <c r="O299" s="665"/>
      <c r="P299" s="665"/>
      <c r="Q299" s="665"/>
      <c r="R299" s="665"/>
      <c r="S299" s="665"/>
    </row>
    <row r="300" spans="1:19" x14ac:dyDescent="0.2">
      <c r="A300" s="10">
        <v>62301000</v>
      </c>
      <c r="B300" s="10" t="s">
        <v>7397</v>
      </c>
      <c r="C300" s="11">
        <v>0</v>
      </c>
      <c r="D300" s="11">
        <v>52096.469000000005</v>
      </c>
      <c r="E300" s="11">
        <v>12620</v>
      </c>
      <c r="F300" s="12">
        <f t="shared" si="9"/>
        <v>39476.469000000005</v>
      </c>
      <c r="G300" s="12">
        <f t="shared" si="8"/>
        <v>39476.469000000005</v>
      </c>
      <c r="H300" s="664" t="s">
        <v>157</v>
      </c>
      <c r="I300" s="664" t="s">
        <v>512</v>
      </c>
      <c r="J300" s="671"/>
      <c r="K300" s="671"/>
      <c r="L300" s="671"/>
      <c r="M300" s="666"/>
      <c r="N300" s="665"/>
      <c r="O300" s="665"/>
      <c r="P300" s="665"/>
      <c r="Q300" s="665"/>
      <c r="R300" s="665"/>
      <c r="S300" s="665"/>
    </row>
    <row r="301" spans="1:19" x14ac:dyDescent="0.2">
      <c r="A301" s="10">
        <v>62410000</v>
      </c>
      <c r="B301" s="10" t="s">
        <v>183</v>
      </c>
      <c r="C301" s="11">
        <v>0</v>
      </c>
      <c r="D301" s="11">
        <v>9752</v>
      </c>
      <c r="E301" s="11">
        <v>0</v>
      </c>
      <c r="F301" s="12">
        <f t="shared" si="9"/>
        <v>9752</v>
      </c>
      <c r="G301" s="12">
        <f t="shared" si="8"/>
        <v>9752</v>
      </c>
      <c r="H301" s="664" t="s">
        <v>157</v>
      </c>
      <c r="I301" s="664" t="s">
        <v>512</v>
      </c>
      <c r="J301" s="671"/>
      <c r="K301" s="671"/>
      <c r="L301" s="671"/>
      <c r="M301" s="666"/>
      <c r="N301" s="665"/>
      <c r="O301" s="665"/>
      <c r="P301" s="665"/>
      <c r="Q301" s="665"/>
      <c r="R301" s="665"/>
      <c r="S301" s="665"/>
    </row>
    <row r="302" spans="1:19" x14ac:dyDescent="0.2">
      <c r="A302" s="10">
        <v>62420000</v>
      </c>
      <c r="B302" s="10" t="s">
        <v>184</v>
      </c>
      <c r="C302" s="11">
        <v>0</v>
      </c>
      <c r="D302" s="11">
        <v>11150</v>
      </c>
      <c r="E302" s="11">
        <v>0</v>
      </c>
      <c r="F302" s="12">
        <f t="shared" si="9"/>
        <v>11150</v>
      </c>
      <c r="G302" s="12">
        <f t="shared" si="8"/>
        <v>11150</v>
      </c>
      <c r="H302" s="664" t="s">
        <v>157</v>
      </c>
      <c r="I302" s="664" t="s">
        <v>512</v>
      </c>
      <c r="J302" s="671"/>
      <c r="K302" s="671"/>
      <c r="L302" s="671"/>
      <c r="M302" s="666"/>
      <c r="N302" s="665"/>
      <c r="O302" s="665"/>
      <c r="P302" s="665"/>
      <c r="Q302" s="665"/>
      <c r="R302" s="665"/>
      <c r="S302" s="665"/>
    </row>
    <row r="303" spans="1:19" x14ac:dyDescent="0.2">
      <c r="A303" s="10">
        <v>62430000</v>
      </c>
      <c r="B303" s="10" t="s">
        <v>159</v>
      </c>
      <c r="C303" s="11">
        <v>0</v>
      </c>
      <c r="D303" s="11">
        <v>822006.87299999991</v>
      </c>
      <c r="E303" s="11">
        <v>17367.645</v>
      </c>
      <c r="F303" s="12">
        <f t="shared" si="9"/>
        <v>804639.22799999989</v>
      </c>
      <c r="G303" s="12">
        <f t="shared" si="8"/>
        <v>804639.22799999989</v>
      </c>
      <c r="H303" s="664" t="s">
        <v>157</v>
      </c>
      <c r="I303" s="664" t="s">
        <v>512</v>
      </c>
      <c r="J303" s="671"/>
      <c r="K303" s="671"/>
      <c r="L303" s="671"/>
      <c r="M303" s="666"/>
      <c r="N303" s="665"/>
      <c r="O303" s="665"/>
      <c r="P303" s="665"/>
      <c r="Q303" s="665"/>
      <c r="R303" s="665"/>
      <c r="S303" s="665"/>
    </row>
    <row r="304" spans="1:19" x14ac:dyDescent="0.2">
      <c r="A304" s="10">
        <v>62500000</v>
      </c>
      <c r="B304" s="10" t="s">
        <v>185</v>
      </c>
      <c r="C304" s="11">
        <v>0</v>
      </c>
      <c r="D304" s="11">
        <v>1693.8</v>
      </c>
      <c r="E304" s="11">
        <v>0</v>
      </c>
      <c r="F304" s="12">
        <f t="shared" si="9"/>
        <v>1693.8</v>
      </c>
      <c r="G304" s="12">
        <f t="shared" si="8"/>
        <v>1693.8</v>
      </c>
      <c r="H304" s="664" t="s">
        <v>157</v>
      </c>
      <c r="I304" s="664" t="s">
        <v>512</v>
      </c>
      <c r="J304" s="671"/>
      <c r="K304" s="671"/>
      <c r="L304" s="671"/>
      <c r="M304" s="666"/>
      <c r="N304" s="665"/>
      <c r="O304" s="665"/>
      <c r="P304" s="665"/>
      <c r="Q304" s="665"/>
      <c r="R304" s="665"/>
      <c r="S304" s="665"/>
    </row>
    <row r="305" spans="1:19" x14ac:dyDescent="0.2">
      <c r="A305" s="10">
        <v>62510000</v>
      </c>
      <c r="B305" s="10" t="s">
        <v>7571</v>
      </c>
      <c r="C305" s="11">
        <v>0</v>
      </c>
      <c r="D305" s="11">
        <v>5831</v>
      </c>
      <c r="E305" s="11">
        <v>0</v>
      </c>
      <c r="F305" s="12">
        <f t="shared" si="9"/>
        <v>5831</v>
      </c>
      <c r="G305" s="12">
        <f t="shared" si="8"/>
        <v>5831</v>
      </c>
      <c r="H305" s="664" t="s">
        <v>157</v>
      </c>
      <c r="I305" s="664" t="s">
        <v>512</v>
      </c>
      <c r="J305" s="671"/>
      <c r="K305" s="671"/>
      <c r="L305" s="671"/>
      <c r="M305" s="666"/>
      <c r="N305" s="665"/>
      <c r="O305" s="665"/>
      <c r="P305" s="665"/>
      <c r="Q305" s="665"/>
      <c r="R305" s="665"/>
      <c r="S305" s="665"/>
    </row>
    <row r="306" spans="1:19" x14ac:dyDescent="0.2">
      <c r="A306" s="10">
        <v>62520000</v>
      </c>
      <c r="B306" s="10" t="s">
        <v>7403</v>
      </c>
      <c r="C306" s="11">
        <v>0</v>
      </c>
      <c r="D306" s="11">
        <v>32593.85</v>
      </c>
      <c r="E306" s="11">
        <v>923.7</v>
      </c>
      <c r="F306" s="12">
        <f t="shared" si="9"/>
        <v>31670.149999999998</v>
      </c>
      <c r="G306" s="12">
        <f t="shared" si="8"/>
        <v>31670.149999999998</v>
      </c>
      <c r="H306" s="664" t="s">
        <v>157</v>
      </c>
      <c r="I306" s="664" t="s">
        <v>512</v>
      </c>
      <c r="J306" s="671"/>
      <c r="K306" s="671"/>
      <c r="L306" s="671"/>
      <c r="M306" s="666"/>
      <c r="N306" s="665"/>
      <c r="O306" s="665"/>
      <c r="P306" s="665"/>
      <c r="Q306" s="665"/>
      <c r="R306" s="665"/>
      <c r="S306" s="665"/>
    </row>
    <row r="307" spans="1:19" x14ac:dyDescent="0.2">
      <c r="A307" s="10">
        <v>62570000</v>
      </c>
      <c r="B307" s="10" t="s">
        <v>186</v>
      </c>
      <c r="C307" s="11">
        <v>0</v>
      </c>
      <c r="D307" s="11">
        <v>46676.817000000003</v>
      </c>
      <c r="E307" s="11">
        <v>0</v>
      </c>
      <c r="F307" s="12">
        <f t="shared" si="9"/>
        <v>46676.817000000003</v>
      </c>
      <c r="G307" s="12">
        <f t="shared" si="8"/>
        <v>46676.817000000003</v>
      </c>
      <c r="H307" s="664" t="s">
        <v>157</v>
      </c>
      <c r="I307" s="664" t="s">
        <v>512</v>
      </c>
      <c r="J307" s="671"/>
      <c r="K307" s="671"/>
      <c r="L307" s="671"/>
      <c r="M307" s="666"/>
      <c r="N307" s="665"/>
      <c r="O307" s="665"/>
      <c r="P307" s="665"/>
      <c r="Q307" s="665"/>
      <c r="R307" s="665"/>
      <c r="S307" s="665"/>
    </row>
    <row r="308" spans="1:19" x14ac:dyDescent="0.2">
      <c r="A308" s="10">
        <v>62571000</v>
      </c>
      <c r="B308" s="10" t="s">
        <v>376</v>
      </c>
      <c r="C308" s="11">
        <v>0</v>
      </c>
      <c r="D308" s="11">
        <v>24039.768</v>
      </c>
      <c r="E308" s="11">
        <v>0</v>
      </c>
      <c r="F308" s="12">
        <f t="shared" si="9"/>
        <v>24039.768</v>
      </c>
      <c r="G308" s="12">
        <f t="shared" si="8"/>
        <v>24039.768</v>
      </c>
      <c r="H308" s="664" t="s">
        <v>157</v>
      </c>
      <c r="I308" s="664" t="s">
        <v>512</v>
      </c>
      <c r="J308" s="671"/>
      <c r="K308" s="671"/>
      <c r="L308" s="671"/>
      <c r="M308" s="666"/>
      <c r="N308" s="665"/>
      <c r="O308" s="665"/>
      <c r="P308" s="665"/>
      <c r="Q308" s="665"/>
      <c r="R308" s="665"/>
      <c r="S308" s="665"/>
    </row>
    <row r="309" spans="1:19" x14ac:dyDescent="0.2">
      <c r="A309" s="10">
        <v>62572000</v>
      </c>
      <c r="B309" s="10" t="s">
        <v>377</v>
      </c>
      <c r="C309" s="11">
        <v>0</v>
      </c>
      <c r="D309" s="11">
        <v>18107.3</v>
      </c>
      <c r="E309" s="11">
        <v>0</v>
      </c>
      <c r="F309" s="12">
        <f t="shared" si="9"/>
        <v>18107.3</v>
      </c>
      <c r="G309" s="12">
        <f t="shared" si="8"/>
        <v>18107.3</v>
      </c>
      <c r="H309" s="664" t="s">
        <v>157</v>
      </c>
      <c r="I309" s="664" t="s">
        <v>512</v>
      </c>
      <c r="J309" s="671"/>
      <c r="K309" s="671"/>
      <c r="L309" s="671"/>
      <c r="M309" s="666"/>
      <c r="N309" s="665"/>
      <c r="O309" s="665"/>
      <c r="P309" s="665"/>
      <c r="Q309" s="665"/>
      <c r="R309" s="665"/>
      <c r="S309" s="665"/>
    </row>
    <row r="310" spans="1:19" x14ac:dyDescent="0.2">
      <c r="A310" s="10">
        <v>62573000</v>
      </c>
      <c r="B310" s="10" t="s">
        <v>378</v>
      </c>
      <c r="C310" s="11">
        <v>0</v>
      </c>
      <c r="D310" s="11">
        <v>9605.9269999999997</v>
      </c>
      <c r="E310" s="11">
        <v>4060.2</v>
      </c>
      <c r="F310" s="12">
        <f t="shared" si="9"/>
        <v>5545.7269999999999</v>
      </c>
      <c r="G310" s="12">
        <f t="shared" si="8"/>
        <v>5545.7269999999999</v>
      </c>
      <c r="H310" s="664" t="s">
        <v>157</v>
      </c>
      <c r="I310" s="664" t="s">
        <v>512</v>
      </c>
      <c r="J310" s="671"/>
      <c r="K310" s="671"/>
      <c r="L310" s="671"/>
      <c r="M310" s="666"/>
      <c r="N310" s="665"/>
      <c r="O310" s="665"/>
      <c r="P310" s="665"/>
      <c r="Q310" s="665"/>
      <c r="R310" s="665"/>
      <c r="S310" s="665"/>
    </row>
    <row r="311" spans="1:19" x14ac:dyDescent="0.2">
      <c r="A311" s="10">
        <v>62580000</v>
      </c>
      <c r="B311" s="10" t="s">
        <v>187</v>
      </c>
      <c r="C311" s="11">
        <v>0</v>
      </c>
      <c r="D311" s="11">
        <v>22358</v>
      </c>
      <c r="E311" s="11">
        <v>7867</v>
      </c>
      <c r="F311" s="12">
        <f t="shared" si="9"/>
        <v>14491</v>
      </c>
      <c r="G311" s="12">
        <f t="shared" si="8"/>
        <v>14491</v>
      </c>
      <c r="H311" s="664" t="s">
        <v>157</v>
      </c>
      <c r="I311" s="664" t="s">
        <v>512</v>
      </c>
      <c r="J311" s="671"/>
      <c r="K311" s="671"/>
      <c r="L311" s="671"/>
      <c r="M311" s="666"/>
      <c r="N311" s="665"/>
      <c r="O311" s="665"/>
      <c r="P311" s="665"/>
      <c r="Q311" s="665"/>
      <c r="R311" s="665"/>
      <c r="S311" s="665"/>
    </row>
    <row r="312" spans="1:19" x14ac:dyDescent="0.2">
      <c r="A312" s="10">
        <v>62600000</v>
      </c>
      <c r="B312" s="10" t="s">
        <v>188</v>
      </c>
      <c r="C312" s="11">
        <v>0</v>
      </c>
      <c r="D312" s="11">
        <v>41940.034999999996</v>
      </c>
      <c r="E312" s="11">
        <v>2288.3589999999999</v>
      </c>
      <c r="F312" s="12">
        <f t="shared" si="9"/>
        <v>39651.675999999999</v>
      </c>
      <c r="G312" s="12">
        <f t="shared" si="8"/>
        <v>39651.675999999999</v>
      </c>
      <c r="H312" s="664" t="s">
        <v>157</v>
      </c>
      <c r="I312" s="664" t="s">
        <v>512</v>
      </c>
      <c r="J312" s="671"/>
      <c r="K312" s="671"/>
      <c r="L312" s="671"/>
      <c r="M312" s="666"/>
      <c r="N312" s="665"/>
      <c r="O312" s="665"/>
      <c r="P312" s="665"/>
      <c r="Q312" s="665"/>
      <c r="R312" s="665"/>
      <c r="S312" s="665"/>
    </row>
    <row r="313" spans="1:19" x14ac:dyDescent="0.2">
      <c r="A313" s="10">
        <v>62780000</v>
      </c>
      <c r="B313" s="10" t="s">
        <v>189</v>
      </c>
      <c r="C313" s="11">
        <v>0</v>
      </c>
      <c r="D313" s="11">
        <v>204677.758</v>
      </c>
      <c r="E313" s="11">
        <v>30054.343000000001</v>
      </c>
      <c r="F313" s="12">
        <f t="shared" si="9"/>
        <v>174623.41500000001</v>
      </c>
      <c r="G313" s="12">
        <f t="shared" si="8"/>
        <v>174623.41500000001</v>
      </c>
      <c r="H313" s="664" t="s">
        <v>195</v>
      </c>
      <c r="I313" s="664" t="s">
        <v>517</v>
      </c>
      <c r="J313" s="671"/>
      <c r="K313" s="671"/>
      <c r="L313" s="671"/>
      <c r="M313" s="666"/>
      <c r="N313" s="665"/>
      <c r="O313" s="665"/>
      <c r="P313" s="665"/>
      <c r="Q313" s="665"/>
      <c r="R313" s="665"/>
      <c r="S313" s="665"/>
    </row>
    <row r="314" spans="1:19" x14ac:dyDescent="0.2">
      <c r="A314" s="10">
        <v>63300000</v>
      </c>
      <c r="B314" s="10" t="s">
        <v>269</v>
      </c>
      <c r="C314" s="11">
        <v>0</v>
      </c>
      <c r="D314" s="11">
        <v>125000</v>
      </c>
      <c r="E314" s="11">
        <v>0</v>
      </c>
      <c r="F314" s="12">
        <f t="shared" si="9"/>
        <v>125000</v>
      </c>
      <c r="G314" s="12">
        <f t="shared" si="8"/>
        <v>125000</v>
      </c>
      <c r="H314" s="664" t="s">
        <v>157</v>
      </c>
      <c r="I314" s="664" t="s">
        <v>512</v>
      </c>
      <c r="J314" s="671"/>
      <c r="K314" s="671"/>
      <c r="L314" s="671"/>
      <c r="M314" s="666"/>
      <c r="N314" s="665"/>
      <c r="O314" s="665"/>
      <c r="P314" s="665"/>
      <c r="Q314" s="665"/>
      <c r="R314" s="665"/>
      <c r="S314" s="665"/>
    </row>
    <row r="315" spans="1:19" x14ac:dyDescent="0.2">
      <c r="A315" s="10">
        <v>63602000</v>
      </c>
      <c r="B315" s="10" t="s">
        <v>7573</v>
      </c>
      <c r="C315" s="11">
        <v>0</v>
      </c>
      <c r="D315" s="11">
        <v>220412.02100000001</v>
      </c>
      <c r="E315" s="11">
        <v>2.2000000000000002E-2</v>
      </c>
      <c r="F315" s="12">
        <f t="shared" si="9"/>
        <v>220411.99900000001</v>
      </c>
      <c r="G315" s="12">
        <f t="shared" si="8"/>
        <v>220411.99900000001</v>
      </c>
      <c r="H315" s="664" t="s">
        <v>157</v>
      </c>
      <c r="I315" s="664" t="s">
        <v>512</v>
      </c>
      <c r="J315" s="671"/>
      <c r="K315" s="671"/>
      <c r="L315" s="671"/>
      <c r="M315" s="666"/>
      <c r="N315" s="665"/>
      <c r="O315" s="665"/>
      <c r="P315" s="665"/>
      <c r="Q315" s="665"/>
      <c r="R315" s="665"/>
      <c r="S315" s="665"/>
    </row>
    <row r="316" spans="1:19" x14ac:dyDescent="0.2">
      <c r="A316" s="10">
        <v>63610000</v>
      </c>
      <c r="B316" s="10" t="s">
        <v>7398</v>
      </c>
      <c r="C316" s="11">
        <v>0</v>
      </c>
      <c r="D316" s="11">
        <v>22880.147999999997</v>
      </c>
      <c r="E316" s="11">
        <v>300</v>
      </c>
      <c r="F316" s="12">
        <f t="shared" si="9"/>
        <v>22580.147999999997</v>
      </c>
      <c r="G316" s="12">
        <f t="shared" si="8"/>
        <v>22580.147999999997</v>
      </c>
      <c r="H316" s="664" t="s">
        <v>190</v>
      </c>
      <c r="I316" s="664" t="s">
        <v>519</v>
      </c>
      <c r="J316" s="671" t="s">
        <v>10114</v>
      </c>
      <c r="K316" s="671"/>
      <c r="L316" s="671"/>
      <c r="M316" s="666"/>
      <c r="N316" s="665"/>
      <c r="O316" s="665"/>
      <c r="P316" s="665"/>
      <c r="Q316" s="665"/>
      <c r="R316" s="665"/>
      <c r="S316" s="665"/>
    </row>
    <row r="317" spans="1:19" x14ac:dyDescent="0.2">
      <c r="A317" s="10">
        <v>64001000</v>
      </c>
      <c r="B317" s="10" t="s">
        <v>191</v>
      </c>
      <c r="C317" s="11">
        <v>0</v>
      </c>
      <c r="D317" s="11">
        <v>5525237.608</v>
      </c>
      <c r="E317" s="11">
        <v>729230.55400000012</v>
      </c>
      <c r="F317" s="12">
        <f t="shared" si="9"/>
        <v>4796007.0539999995</v>
      </c>
      <c r="G317" s="12">
        <f t="shared" si="8"/>
        <v>4796007.0539999995</v>
      </c>
      <c r="H317" s="664" t="s">
        <v>192</v>
      </c>
      <c r="I317" s="664" t="s">
        <v>511</v>
      </c>
      <c r="J317" s="671"/>
      <c r="K317" s="671"/>
      <c r="L317" s="671"/>
      <c r="M317" s="666"/>
      <c r="N317" s="665"/>
      <c r="O317" s="665"/>
      <c r="P317" s="665"/>
      <c r="Q317" s="665"/>
      <c r="R317" s="665"/>
      <c r="S317" s="665"/>
    </row>
    <row r="318" spans="1:19" x14ac:dyDescent="0.2">
      <c r="A318" s="10">
        <v>64280000</v>
      </c>
      <c r="B318" s="10" t="s">
        <v>193</v>
      </c>
      <c r="C318" s="11">
        <v>0</v>
      </c>
      <c r="D318" s="11">
        <v>24780</v>
      </c>
      <c r="E318" s="11">
        <v>0</v>
      </c>
      <c r="F318" s="12">
        <f t="shared" si="9"/>
        <v>24780</v>
      </c>
      <c r="G318" s="12">
        <f t="shared" si="8"/>
        <v>24780</v>
      </c>
      <c r="H318" s="664" t="s">
        <v>192</v>
      </c>
      <c r="I318" s="664" t="s">
        <v>511</v>
      </c>
      <c r="J318" s="671"/>
      <c r="K318" s="671"/>
      <c r="L318" s="671"/>
      <c r="M318" s="666"/>
      <c r="N318" s="665"/>
      <c r="O318" s="665"/>
      <c r="P318" s="665"/>
      <c r="Q318" s="665"/>
      <c r="R318" s="665"/>
      <c r="S318" s="665"/>
    </row>
    <row r="319" spans="1:19" x14ac:dyDescent="0.2">
      <c r="A319" s="10">
        <v>64600100</v>
      </c>
      <c r="B319" s="10" t="s">
        <v>407</v>
      </c>
      <c r="C319" s="11">
        <v>0</v>
      </c>
      <c r="D319" s="11">
        <v>3021413.4139999999</v>
      </c>
      <c r="E319" s="11">
        <v>2965886.0419999999</v>
      </c>
      <c r="F319" s="12">
        <f t="shared" si="9"/>
        <v>55527.371999999974</v>
      </c>
      <c r="G319" s="12">
        <f t="shared" si="8"/>
        <v>55527.371999999974</v>
      </c>
      <c r="H319" s="664" t="s">
        <v>192</v>
      </c>
      <c r="I319" s="664" t="s">
        <v>511</v>
      </c>
      <c r="J319" s="671"/>
      <c r="K319" s="671"/>
      <c r="L319" s="671"/>
      <c r="M319" s="666"/>
      <c r="N319" s="665"/>
      <c r="O319" s="665"/>
      <c r="P319" s="665"/>
      <c r="Q319" s="665"/>
      <c r="R319" s="665"/>
      <c r="S319" s="665"/>
    </row>
    <row r="320" spans="1:19" x14ac:dyDescent="0.2">
      <c r="A320" s="10">
        <v>64603000</v>
      </c>
      <c r="B320" s="10" t="s">
        <v>7404</v>
      </c>
      <c r="C320" s="11">
        <v>0</v>
      </c>
      <c r="D320" s="11">
        <v>8109</v>
      </c>
      <c r="E320" s="11">
        <v>0</v>
      </c>
      <c r="F320" s="12">
        <f t="shared" si="9"/>
        <v>8109</v>
      </c>
      <c r="G320" s="12">
        <f t="shared" si="8"/>
        <v>8109</v>
      </c>
      <c r="H320" s="664" t="s">
        <v>157</v>
      </c>
      <c r="I320" s="664" t="s">
        <v>519</v>
      </c>
      <c r="J320" s="671"/>
      <c r="K320" s="671"/>
      <c r="L320" s="671"/>
      <c r="M320" s="666"/>
      <c r="N320" s="665"/>
      <c r="O320" s="665"/>
      <c r="P320" s="665"/>
      <c r="Q320" s="665"/>
      <c r="R320" s="665"/>
      <c r="S320" s="665"/>
    </row>
    <row r="321" spans="1:19" x14ac:dyDescent="0.2">
      <c r="A321" s="10">
        <v>64720000</v>
      </c>
      <c r="B321" s="10" t="s">
        <v>194</v>
      </c>
      <c r="C321" s="11">
        <v>0</v>
      </c>
      <c r="D321" s="11">
        <v>425058.59399999992</v>
      </c>
      <c r="E321" s="11">
        <v>13587.376</v>
      </c>
      <c r="F321" s="12">
        <f t="shared" si="9"/>
        <v>411471.21799999994</v>
      </c>
      <c r="G321" s="12">
        <f t="shared" si="8"/>
        <v>411471.21799999994</v>
      </c>
      <c r="H321" s="664" t="s">
        <v>192</v>
      </c>
      <c r="I321" s="664" t="s">
        <v>511</v>
      </c>
      <c r="J321" s="671"/>
      <c r="K321" s="671"/>
      <c r="L321" s="671"/>
      <c r="M321" s="666"/>
      <c r="N321" s="665"/>
      <c r="O321" s="665"/>
      <c r="P321" s="665"/>
      <c r="Q321" s="665"/>
      <c r="R321" s="665"/>
      <c r="S321" s="665"/>
    </row>
    <row r="322" spans="1:19" x14ac:dyDescent="0.2">
      <c r="A322" s="10">
        <v>65110000</v>
      </c>
      <c r="B322" s="10" t="s">
        <v>8978</v>
      </c>
      <c r="C322" s="11">
        <v>0</v>
      </c>
      <c r="D322" s="11">
        <v>433736.75800000003</v>
      </c>
      <c r="E322" s="11">
        <v>116139.98999999999</v>
      </c>
      <c r="F322" s="12">
        <f t="shared" si="9"/>
        <v>317596.76800000004</v>
      </c>
      <c r="G322" s="12">
        <f t="shared" ref="G322:G351" si="10">+C322+F322</f>
        <v>317596.76800000004</v>
      </c>
      <c r="H322" s="664" t="s">
        <v>195</v>
      </c>
      <c r="I322" s="664" t="s">
        <v>517</v>
      </c>
      <c r="J322" s="671"/>
      <c r="K322" s="671"/>
      <c r="L322" s="671"/>
      <c r="M322" s="666"/>
      <c r="N322" s="665"/>
      <c r="O322" s="665"/>
      <c r="P322" s="665"/>
      <c r="Q322" s="665"/>
      <c r="R322" s="665"/>
      <c r="S322" s="665"/>
    </row>
    <row r="323" spans="1:19" x14ac:dyDescent="0.2">
      <c r="A323" s="10">
        <v>65110200</v>
      </c>
      <c r="B323" s="10" t="s">
        <v>196</v>
      </c>
      <c r="C323" s="11">
        <v>0</v>
      </c>
      <c r="D323" s="11">
        <v>471030.00200000004</v>
      </c>
      <c r="E323" s="11">
        <v>72220.296999999991</v>
      </c>
      <c r="F323" s="12">
        <f t="shared" ref="F323:F351" si="11">+D323-E323</f>
        <v>398809.70500000007</v>
      </c>
      <c r="G323" s="12">
        <f t="shared" si="10"/>
        <v>398809.70500000007</v>
      </c>
      <c r="H323" s="664" t="s">
        <v>195</v>
      </c>
      <c r="I323" s="664" t="s">
        <v>517</v>
      </c>
      <c r="J323" s="671"/>
      <c r="K323" s="671"/>
      <c r="L323" s="671"/>
      <c r="M323" s="666"/>
      <c r="N323" s="665"/>
      <c r="O323" s="665"/>
      <c r="P323" s="665"/>
      <c r="Q323" s="665"/>
      <c r="R323" s="665"/>
      <c r="S323" s="665"/>
    </row>
    <row r="324" spans="1:19" x14ac:dyDescent="0.2">
      <c r="A324" s="10">
        <v>65110400</v>
      </c>
      <c r="B324" s="10" t="s">
        <v>197</v>
      </c>
      <c r="C324" s="11">
        <v>0</v>
      </c>
      <c r="D324" s="11">
        <v>724227.95</v>
      </c>
      <c r="E324" s="11">
        <v>111111</v>
      </c>
      <c r="F324" s="12">
        <f t="shared" si="11"/>
        <v>613116.94999999995</v>
      </c>
      <c r="G324" s="12">
        <f t="shared" si="10"/>
        <v>613116.94999999995</v>
      </c>
      <c r="H324" s="664" t="s">
        <v>195</v>
      </c>
      <c r="I324" s="664" t="s">
        <v>517</v>
      </c>
      <c r="J324" s="671"/>
      <c r="K324" s="671"/>
      <c r="L324" s="671"/>
      <c r="M324" s="666"/>
      <c r="N324" s="665"/>
      <c r="O324" s="665"/>
      <c r="P324" s="665"/>
      <c r="Q324" s="665"/>
      <c r="R324" s="665"/>
      <c r="S324" s="665"/>
    </row>
    <row r="325" spans="1:19" x14ac:dyDescent="0.2">
      <c r="A325" s="10">
        <v>65110600</v>
      </c>
      <c r="B325" s="10" t="s">
        <v>10115</v>
      </c>
      <c r="C325" s="11">
        <v>0</v>
      </c>
      <c r="D325" s="11">
        <v>7332.7100000000009</v>
      </c>
      <c r="E325" s="11">
        <v>0</v>
      </c>
      <c r="F325" s="12">
        <f t="shared" si="11"/>
        <v>7332.7100000000009</v>
      </c>
      <c r="G325" s="12">
        <f t="shared" si="10"/>
        <v>7332.7100000000009</v>
      </c>
      <c r="H325" s="664" t="s">
        <v>195</v>
      </c>
      <c r="I325" s="664" t="s">
        <v>517</v>
      </c>
      <c r="J325" s="671"/>
      <c r="K325" s="671"/>
      <c r="L325" s="671"/>
      <c r="M325" s="666"/>
      <c r="N325" s="665"/>
      <c r="O325" s="665"/>
      <c r="P325" s="665"/>
      <c r="Q325" s="665"/>
      <c r="R325" s="665"/>
      <c r="S325" s="665"/>
    </row>
    <row r="326" spans="1:19" x14ac:dyDescent="0.2">
      <c r="A326" s="10">
        <v>65115000</v>
      </c>
      <c r="B326" s="10" t="s">
        <v>379</v>
      </c>
      <c r="C326" s="11">
        <v>0</v>
      </c>
      <c r="D326" s="11">
        <v>40303.639000000003</v>
      </c>
      <c r="E326" s="11">
        <v>0</v>
      </c>
      <c r="F326" s="12">
        <f t="shared" si="11"/>
        <v>40303.639000000003</v>
      </c>
      <c r="G326" s="12">
        <f t="shared" si="10"/>
        <v>40303.639000000003</v>
      </c>
      <c r="H326" s="664" t="s">
        <v>195</v>
      </c>
      <c r="I326" s="664" t="s">
        <v>517</v>
      </c>
      <c r="J326" s="671"/>
      <c r="K326" s="671"/>
      <c r="L326" s="671"/>
      <c r="M326" s="666"/>
      <c r="N326" s="665"/>
      <c r="O326" s="665"/>
      <c r="P326" s="665"/>
      <c r="Q326" s="665"/>
      <c r="R326" s="665"/>
      <c r="S326" s="665"/>
    </row>
    <row r="327" spans="1:19" x14ac:dyDescent="0.2">
      <c r="A327" s="10">
        <v>65150000</v>
      </c>
      <c r="B327" s="10" t="s">
        <v>270</v>
      </c>
      <c r="C327" s="11">
        <v>0</v>
      </c>
      <c r="D327" s="11">
        <v>91441.09599999999</v>
      </c>
      <c r="E327" s="11">
        <v>0</v>
      </c>
      <c r="F327" s="12">
        <f t="shared" si="11"/>
        <v>91441.09599999999</v>
      </c>
      <c r="G327" s="12">
        <f t="shared" si="10"/>
        <v>91441.09599999999</v>
      </c>
      <c r="H327" s="664" t="s">
        <v>195</v>
      </c>
      <c r="I327" s="664" t="s">
        <v>517</v>
      </c>
      <c r="J327" s="671"/>
      <c r="K327" s="671"/>
      <c r="L327" s="671"/>
      <c r="M327" s="666"/>
      <c r="N327" s="665"/>
      <c r="O327" s="665"/>
      <c r="P327" s="665"/>
      <c r="Q327" s="665"/>
      <c r="R327" s="665"/>
      <c r="S327" s="665"/>
    </row>
    <row r="328" spans="1:19" x14ac:dyDescent="0.2">
      <c r="A328" s="10">
        <v>65160000</v>
      </c>
      <c r="B328" s="10" t="s">
        <v>9649</v>
      </c>
      <c r="C328" s="11">
        <v>0</v>
      </c>
      <c r="D328" s="11">
        <v>435.31400000000002</v>
      </c>
      <c r="E328" s="11">
        <v>1266.7189999999998</v>
      </c>
      <c r="F328" s="12">
        <f t="shared" si="11"/>
        <v>-831.40499999999975</v>
      </c>
      <c r="G328" s="12">
        <f t="shared" si="10"/>
        <v>-831.40499999999975</v>
      </c>
      <c r="H328" s="664" t="s">
        <v>195</v>
      </c>
      <c r="I328" s="664" t="s">
        <v>517</v>
      </c>
      <c r="J328" s="671"/>
      <c r="K328" s="671"/>
      <c r="L328" s="671"/>
      <c r="M328" s="666"/>
      <c r="N328" s="665"/>
      <c r="O328" s="665"/>
      <c r="P328" s="665"/>
      <c r="Q328" s="665"/>
      <c r="R328" s="665"/>
      <c r="S328" s="665"/>
    </row>
    <row r="329" spans="1:19" x14ac:dyDescent="0.2">
      <c r="A329" s="10">
        <v>65190000</v>
      </c>
      <c r="B329" s="10" t="s">
        <v>198</v>
      </c>
      <c r="C329" s="11">
        <v>0</v>
      </c>
      <c r="D329" s="11">
        <v>422936.76399999997</v>
      </c>
      <c r="E329" s="11">
        <v>70116.285000000003</v>
      </c>
      <c r="F329" s="12">
        <f t="shared" si="11"/>
        <v>352820.47899999993</v>
      </c>
      <c r="G329" s="12">
        <f t="shared" si="10"/>
        <v>352820.47899999993</v>
      </c>
      <c r="H329" s="664" t="s">
        <v>195</v>
      </c>
      <c r="I329" s="664" t="s">
        <v>517</v>
      </c>
      <c r="J329" s="671"/>
      <c r="K329" s="671"/>
      <c r="L329" s="671"/>
      <c r="M329" s="666"/>
      <c r="N329" s="665"/>
      <c r="O329" s="665"/>
      <c r="P329" s="665"/>
      <c r="Q329" s="665"/>
      <c r="R329" s="665"/>
      <c r="S329" s="665"/>
    </row>
    <row r="330" spans="1:19" x14ac:dyDescent="0.2">
      <c r="A330" s="10">
        <v>65500000</v>
      </c>
      <c r="B330" s="10" t="s">
        <v>400</v>
      </c>
      <c r="C330" s="11">
        <v>0</v>
      </c>
      <c r="D330" s="11">
        <v>213740.291165</v>
      </c>
      <c r="E330" s="11">
        <v>137119.740509</v>
      </c>
      <c r="F330" s="12">
        <f t="shared" si="11"/>
        <v>76620.550656000007</v>
      </c>
      <c r="G330" s="12">
        <f t="shared" si="10"/>
        <v>76620.550656000007</v>
      </c>
      <c r="H330" s="664" t="s">
        <v>195</v>
      </c>
      <c r="I330" s="664" t="s">
        <v>517</v>
      </c>
      <c r="J330" s="671"/>
      <c r="K330" s="671"/>
      <c r="L330" s="671"/>
      <c r="M330" s="666"/>
      <c r="N330" s="665"/>
      <c r="O330" s="665"/>
      <c r="P330" s="665"/>
      <c r="Q330" s="665"/>
      <c r="R330" s="665"/>
      <c r="S330" s="665"/>
    </row>
    <row r="331" spans="1:19" x14ac:dyDescent="0.2">
      <c r="A331" s="10">
        <v>66500000</v>
      </c>
      <c r="B331" s="10" t="s">
        <v>8974</v>
      </c>
      <c r="C331" s="11">
        <v>0</v>
      </c>
      <c r="D331" s="11">
        <v>85789.38</v>
      </c>
      <c r="E331" s="11">
        <v>42710.855999999992</v>
      </c>
      <c r="F331" s="12">
        <f t="shared" si="11"/>
        <v>43078.524000000012</v>
      </c>
      <c r="G331" s="12">
        <f t="shared" si="10"/>
        <v>43078.524000000012</v>
      </c>
      <c r="H331" s="664" t="s">
        <v>157</v>
      </c>
      <c r="I331" s="664" t="s">
        <v>512</v>
      </c>
      <c r="J331" s="671"/>
      <c r="K331" s="671"/>
      <c r="L331" s="671"/>
      <c r="M331" s="666"/>
      <c r="N331" s="665"/>
      <c r="O331" s="665"/>
      <c r="P331" s="665"/>
      <c r="Q331" s="665"/>
      <c r="R331" s="665"/>
      <c r="S331" s="665"/>
    </row>
    <row r="332" spans="1:19" x14ac:dyDescent="0.2">
      <c r="A332" s="10">
        <v>66520000</v>
      </c>
      <c r="B332" s="10" t="s">
        <v>200</v>
      </c>
      <c r="C332" s="11">
        <v>0</v>
      </c>
      <c r="D332" s="11">
        <v>110813.44300000001</v>
      </c>
      <c r="E332" s="11">
        <v>8116.2339999999995</v>
      </c>
      <c r="F332" s="12">
        <f t="shared" si="11"/>
        <v>102697.20900000002</v>
      </c>
      <c r="G332" s="12">
        <f t="shared" si="10"/>
        <v>102697.20900000002</v>
      </c>
      <c r="H332" s="664" t="s">
        <v>157</v>
      </c>
      <c r="I332" s="664" t="s">
        <v>512</v>
      </c>
      <c r="J332" s="671"/>
      <c r="K332" s="671"/>
      <c r="L332" s="671"/>
      <c r="M332" s="666"/>
      <c r="N332" s="665"/>
      <c r="O332" s="665"/>
      <c r="P332" s="665"/>
      <c r="Q332" s="665"/>
      <c r="R332" s="665"/>
      <c r="S332" s="665"/>
    </row>
    <row r="333" spans="1:19" x14ac:dyDescent="0.2">
      <c r="A333" s="10">
        <v>66540000</v>
      </c>
      <c r="B333" s="10" t="s">
        <v>201</v>
      </c>
      <c r="C333" s="11">
        <v>0</v>
      </c>
      <c r="D333" s="11">
        <v>11113.281000000001</v>
      </c>
      <c r="E333" s="11">
        <v>333.47699999999998</v>
      </c>
      <c r="F333" s="12">
        <f t="shared" si="11"/>
        <v>10779.804</v>
      </c>
      <c r="G333" s="12">
        <f t="shared" si="10"/>
        <v>10779.804</v>
      </c>
      <c r="H333" s="664" t="s">
        <v>157</v>
      </c>
      <c r="I333" s="664" t="s">
        <v>512</v>
      </c>
      <c r="J333" s="671"/>
      <c r="K333" s="671"/>
      <c r="L333" s="671"/>
      <c r="M333" s="666"/>
      <c r="N333" s="665"/>
      <c r="O333" s="665"/>
      <c r="P333" s="665"/>
      <c r="Q333" s="665"/>
      <c r="R333" s="665"/>
      <c r="S333" s="665"/>
    </row>
    <row r="334" spans="1:19" x14ac:dyDescent="0.2">
      <c r="A334" s="10">
        <v>66550000</v>
      </c>
      <c r="B334" s="10" t="s">
        <v>202</v>
      </c>
      <c r="C334" s="11">
        <v>0</v>
      </c>
      <c r="D334" s="11">
        <v>22859.924999999999</v>
      </c>
      <c r="E334" s="11">
        <v>10800</v>
      </c>
      <c r="F334" s="12">
        <f t="shared" si="11"/>
        <v>12059.924999999999</v>
      </c>
      <c r="G334" s="12">
        <f t="shared" si="10"/>
        <v>12059.924999999999</v>
      </c>
      <c r="H334" s="664" t="s">
        <v>157</v>
      </c>
      <c r="I334" s="664" t="s">
        <v>512</v>
      </c>
      <c r="J334" s="671"/>
      <c r="K334" s="671"/>
      <c r="L334" s="671"/>
      <c r="M334" s="666"/>
      <c r="N334" s="665"/>
      <c r="O334" s="665"/>
      <c r="P334" s="665"/>
      <c r="Q334" s="665"/>
      <c r="R334" s="665"/>
      <c r="S334" s="665"/>
    </row>
    <row r="335" spans="1:19" x14ac:dyDescent="0.2">
      <c r="A335" s="10">
        <v>68112000</v>
      </c>
      <c r="B335" s="10" t="s">
        <v>7390</v>
      </c>
      <c r="C335" s="11">
        <v>0</v>
      </c>
      <c r="D335" s="11">
        <v>2559067.415</v>
      </c>
      <c r="E335" s="11">
        <v>68695.562000000005</v>
      </c>
      <c r="F335" s="12">
        <f t="shared" si="11"/>
        <v>2490371.8530000001</v>
      </c>
      <c r="G335" s="12">
        <f t="shared" si="10"/>
        <v>2490371.8530000001</v>
      </c>
      <c r="H335" s="664" t="s">
        <v>203</v>
      </c>
      <c r="I335" s="664" t="s">
        <v>7578</v>
      </c>
      <c r="J335" s="671"/>
      <c r="K335" s="671"/>
      <c r="L335" s="671"/>
      <c r="M335" s="666"/>
      <c r="N335" s="665"/>
      <c r="O335" s="665"/>
      <c r="P335" s="665"/>
      <c r="Q335" s="665"/>
      <c r="R335" s="665"/>
      <c r="S335" s="665"/>
    </row>
    <row r="336" spans="1:19" x14ac:dyDescent="0.2">
      <c r="A336" s="10">
        <v>69000000</v>
      </c>
      <c r="B336" s="10" t="s">
        <v>10116</v>
      </c>
      <c r="C336" s="11">
        <v>0</v>
      </c>
      <c r="D336" s="11">
        <v>414114.15</v>
      </c>
      <c r="E336" s="11">
        <v>209071.05</v>
      </c>
      <c r="F336" s="11">
        <f t="shared" si="11"/>
        <v>205043.10000000003</v>
      </c>
      <c r="G336" s="11">
        <f t="shared" si="10"/>
        <v>205043.10000000003</v>
      </c>
      <c r="H336" s="664" t="s">
        <v>204</v>
      </c>
      <c r="I336" s="664" t="s">
        <v>10427</v>
      </c>
      <c r="J336" s="671"/>
      <c r="K336" s="671"/>
      <c r="L336" s="671"/>
      <c r="M336" s="666"/>
      <c r="N336" s="665"/>
      <c r="O336" s="665"/>
      <c r="P336" s="665"/>
      <c r="Q336" s="665"/>
      <c r="R336" s="665"/>
      <c r="S336" s="665"/>
    </row>
    <row r="337" spans="1:19" x14ac:dyDescent="0.2">
      <c r="A337" s="10">
        <v>70000000</v>
      </c>
      <c r="B337" s="10" t="s">
        <v>205</v>
      </c>
      <c r="C337" s="11">
        <v>0</v>
      </c>
      <c r="D337" s="11">
        <v>4018862.889</v>
      </c>
      <c r="E337" s="11">
        <v>35992426.285999998</v>
      </c>
      <c r="F337" s="12">
        <f t="shared" si="11"/>
        <v>-31973563.397</v>
      </c>
      <c r="G337" s="12">
        <f t="shared" si="10"/>
        <v>-31973563.397</v>
      </c>
      <c r="H337" s="664" t="s">
        <v>206</v>
      </c>
      <c r="I337" s="664" t="s">
        <v>505</v>
      </c>
      <c r="J337" s="671" t="s">
        <v>10117</v>
      </c>
      <c r="K337" s="671" t="s">
        <v>214</v>
      </c>
      <c r="L337" s="671"/>
      <c r="M337" s="666"/>
      <c r="N337" s="665"/>
      <c r="O337" s="665"/>
      <c r="P337" s="665"/>
      <c r="Q337" s="665"/>
      <c r="R337" s="665"/>
      <c r="S337" s="665"/>
    </row>
    <row r="338" spans="1:19" x14ac:dyDescent="0.2">
      <c r="A338" s="10">
        <v>70102000</v>
      </c>
      <c r="B338" s="10" t="s">
        <v>207</v>
      </c>
      <c r="C338" s="11">
        <v>0</v>
      </c>
      <c r="D338" s="11">
        <v>1359278.9109999998</v>
      </c>
      <c r="E338" s="11">
        <v>20865952.61138</v>
      </c>
      <c r="F338" s="12">
        <f t="shared" si="11"/>
        <v>-19506673.700380001</v>
      </c>
      <c r="G338" s="12">
        <f t="shared" si="10"/>
        <v>-19506673.700380001</v>
      </c>
      <c r="H338" s="664" t="s">
        <v>227</v>
      </c>
      <c r="I338" s="664" t="s">
        <v>504</v>
      </c>
      <c r="J338" s="671" t="s">
        <v>10118</v>
      </c>
      <c r="K338" s="671" t="s">
        <v>10119</v>
      </c>
      <c r="L338" s="671"/>
      <c r="M338" s="666"/>
      <c r="N338" s="665"/>
      <c r="O338" s="665"/>
      <c r="P338" s="665"/>
      <c r="Q338" s="665"/>
      <c r="R338" s="665"/>
      <c r="S338" s="665"/>
    </row>
    <row r="339" spans="1:19" x14ac:dyDescent="0.2">
      <c r="A339" s="10">
        <v>70103000</v>
      </c>
      <c r="B339" s="10" t="s">
        <v>380</v>
      </c>
      <c r="C339" s="11">
        <v>0</v>
      </c>
      <c r="D339" s="11">
        <v>20</v>
      </c>
      <c r="E339" s="11">
        <v>63269</v>
      </c>
      <c r="F339" s="12">
        <f t="shared" si="11"/>
        <v>-63249</v>
      </c>
      <c r="G339" s="12">
        <f t="shared" si="10"/>
        <v>-63249</v>
      </c>
      <c r="H339" s="664" t="s">
        <v>206</v>
      </c>
      <c r="I339" s="664" t="s">
        <v>505</v>
      </c>
      <c r="J339" s="671" t="s">
        <v>10117</v>
      </c>
      <c r="K339" s="671" t="s">
        <v>10120</v>
      </c>
      <c r="L339" s="671"/>
      <c r="M339" s="666"/>
      <c r="N339" s="665"/>
      <c r="O339" s="665"/>
      <c r="P339" s="665"/>
      <c r="Q339" s="665"/>
      <c r="R339" s="665"/>
      <c r="S339" s="665"/>
    </row>
    <row r="340" spans="1:19" x14ac:dyDescent="0.2">
      <c r="A340" s="10">
        <v>70600000</v>
      </c>
      <c r="B340" s="10" t="s">
        <v>381</v>
      </c>
      <c r="C340" s="11">
        <v>0</v>
      </c>
      <c r="D340" s="11">
        <v>0</v>
      </c>
      <c r="E340" s="11">
        <v>140625.38</v>
      </c>
      <c r="F340" s="12">
        <f t="shared" si="11"/>
        <v>-140625.38</v>
      </c>
      <c r="G340" s="12">
        <f t="shared" si="10"/>
        <v>-140625.38</v>
      </c>
      <c r="H340" s="664" t="s">
        <v>214</v>
      </c>
      <c r="I340" s="664" t="s">
        <v>506</v>
      </c>
      <c r="J340" s="671" t="s">
        <v>10117</v>
      </c>
      <c r="K340" s="671"/>
      <c r="L340" s="671"/>
      <c r="M340" s="666"/>
      <c r="N340" s="665"/>
      <c r="O340" s="665"/>
      <c r="P340" s="665"/>
      <c r="Q340" s="665"/>
      <c r="R340" s="665"/>
      <c r="S340" s="665"/>
    </row>
    <row r="341" spans="1:19" x14ac:dyDescent="0.2">
      <c r="A341" s="10">
        <v>70600100</v>
      </c>
      <c r="B341" s="10" t="s">
        <v>7574</v>
      </c>
      <c r="C341" s="11">
        <v>0</v>
      </c>
      <c r="D341" s="11">
        <v>0</v>
      </c>
      <c r="E341" s="11">
        <v>964.0200000000001</v>
      </c>
      <c r="F341" s="12">
        <f t="shared" si="11"/>
        <v>-964.0200000000001</v>
      </c>
      <c r="G341" s="12">
        <f t="shared" si="10"/>
        <v>-964.0200000000001</v>
      </c>
      <c r="H341" s="664" t="s">
        <v>214</v>
      </c>
      <c r="I341" s="664" t="s">
        <v>506</v>
      </c>
      <c r="J341" s="671"/>
      <c r="K341" s="671"/>
      <c r="L341" s="671"/>
      <c r="M341" s="666"/>
      <c r="N341" s="665"/>
      <c r="O341" s="665"/>
      <c r="P341" s="665"/>
      <c r="Q341" s="665"/>
      <c r="R341" s="665"/>
      <c r="S341" s="665"/>
    </row>
    <row r="342" spans="1:19" x14ac:dyDescent="0.2">
      <c r="A342" s="10">
        <v>70600500</v>
      </c>
      <c r="B342" s="10" t="s">
        <v>208</v>
      </c>
      <c r="C342" s="11">
        <v>0</v>
      </c>
      <c r="D342" s="11">
        <v>0</v>
      </c>
      <c r="E342" s="11">
        <v>38770.517999999996</v>
      </c>
      <c r="F342" s="12">
        <f t="shared" si="11"/>
        <v>-38770.517999999996</v>
      </c>
      <c r="G342" s="12">
        <f t="shared" si="10"/>
        <v>-38770.517999999996</v>
      </c>
      <c r="H342" s="664" t="s">
        <v>214</v>
      </c>
      <c r="I342" s="664" t="s">
        <v>506</v>
      </c>
      <c r="J342" s="671" t="s">
        <v>10117</v>
      </c>
      <c r="K342" s="671"/>
      <c r="L342" s="671"/>
      <c r="M342" s="666"/>
      <c r="N342" s="665"/>
      <c r="O342" s="665"/>
      <c r="P342" s="665"/>
      <c r="Q342" s="665"/>
      <c r="R342" s="665"/>
      <c r="S342" s="665"/>
    </row>
    <row r="343" spans="1:19" x14ac:dyDescent="0.2">
      <c r="A343" s="10">
        <v>71340000</v>
      </c>
      <c r="B343" s="10" t="s">
        <v>382</v>
      </c>
      <c r="C343" s="11">
        <v>0</v>
      </c>
      <c r="D343" s="11">
        <v>4992501.915</v>
      </c>
      <c r="E343" s="11">
        <v>5736895.7510000002</v>
      </c>
      <c r="F343" s="12">
        <f t="shared" si="11"/>
        <v>-744393.83600000013</v>
      </c>
      <c r="G343" s="12">
        <f t="shared" si="10"/>
        <v>-744393.83600000013</v>
      </c>
      <c r="H343" s="664" t="s">
        <v>210</v>
      </c>
      <c r="I343" s="664" t="s">
        <v>508</v>
      </c>
      <c r="J343" s="671"/>
      <c r="K343" s="671"/>
      <c r="L343" s="671"/>
      <c r="M343" s="666"/>
      <c r="N343" s="665"/>
      <c r="O343" s="665"/>
      <c r="P343" s="665"/>
      <c r="Q343" s="665"/>
      <c r="R343" s="665"/>
      <c r="S343" s="665"/>
    </row>
    <row r="344" spans="1:19" x14ac:dyDescent="0.2">
      <c r="A344" s="10">
        <v>71350000</v>
      </c>
      <c r="B344" s="10" t="s">
        <v>209</v>
      </c>
      <c r="C344" s="11">
        <v>0</v>
      </c>
      <c r="D344" s="11">
        <v>4992501.915</v>
      </c>
      <c r="E344" s="11">
        <v>5109884.3080000002</v>
      </c>
      <c r="F344" s="12">
        <f t="shared" si="11"/>
        <v>-117382.39300000016</v>
      </c>
      <c r="G344" s="12">
        <f t="shared" si="10"/>
        <v>-117382.39300000016</v>
      </c>
      <c r="H344" s="664" t="s">
        <v>210</v>
      </c>
      <c r="I344" s="664" t="s">
        <v>508</v>
      </c>
      <c r="J344" s="671"/>
      <c r="K344" s="671"/>
      <c r="L344" s="671"/>
      <c r="M344" s="666"/>
      <c r="N344" s="665"/>
      <c r="O344" s="665"/>
      <c r="P344" s="665"/>
      <c r="Q344" s="665"/>
      <c r="R344" s="665"/>
      <c r="S344" s="665"/>
    </row>
    <row r="345" spans="1:19" x14ac:dyDescent="0.2">
      <c r="A345" s="10">
        <v>73601000</v>
      </c>
      <c r="B345" s="10" t="s">
        <v>211</v>
      </c>
      <c r="C345" s="11">
        <v>0</v>
      </c>
      <c r="D345" s="11">
        <v>0</v>
      </c>
      <c r="E345" s="11">
        <v>20042</v>
      </c>
      <c r="F345" s="12">
        <f t="shared" si="11"/>
        <v>-20042</v>
      </c>
      <c r="G345" s="12">
        <f t="shared" si="10"/>
        <v>-20042</v>
      </c>
      <c r="H345" s="664" t="s">
        <v>214</v>
      </c>
      <c r="I345" s="664" t="s">
        <v>506</v>
      </c>
      <c r="J345" s="671" t="s">
        <v>10121</v>
      </c>
      <c r="K345" s="671"/>
      <c r="L345" s="671"/>
      <c r="M345" s="666"/>
      <c r="N345" s="665"/>
      <c r="O345" s="665"/>
      <c r="P345" s="665"/>
      <c r="Q345" s="665"/>
      <c r="R345" s="665"/>
      <c r="S345" s="665"/>
    </row>
    <row r="346" spans="1:19" x14ac:dyDescent="0.2">
      <c r="A346" s="10">
        <v>73602000</v>
      </c>
      <c r="B346" s="10" t="s">
        <v>8975</v>
      </c>
      <c r="C346" s="11">
        <v>0</v>
      </c>
      <c r="D346" s="11">
        <v>38442.046000000002</v>
      </c>
      <c r="E346" s="11">
        <v>98106.680000000008</v>
      </c>
      <c r="F346" s="12">
        <f t="shared" si="11"/>
        <v>-59664.634000000005</v>
      </c>
      <c r="G346" s="12">
        <f t="shared" si="10"/>
        <v>-59664.634000000005</v>
      </c>
      <c r="H346" s="664" t="s">
        <v>214</v>
      </c>
      <c r="I346" s="664" t="s">
        <v>506</v>
      </c>
      <c r="J346" s="671"/>
      <c r="K346" s="671"/>
      <c r="L346" s="671"/>
      <c r="M346" s="666"/>
      <c r="N346" s="665"/>
      <c r="O346" s="665"/>
      <c r="P346" s="665"/>
      <c r="Q346" s="665"/>
      <c r="R346" s="665"/>
      <c r="S346" s="665"/>
    </row>
    <row r="347" spans="1:19" x14ac:dyDescent="0.2">
      <c r="A347" s="10">
        <v>73900000</v>
      </c>
      <c r="B347" s="10" t="s">
        <v>213</v>
      </c>
      <c r="C347" s="11">
        <v>0</v>
      </c>
      <c r="D347" s="11">
        <v>0</v>
      </c>
      <c r="E347" s="11">
        <v>252620.448</v>
      </c>
      <c r="F347" s="12">
        <f t="shared" si="11"/>
        <v>-252620.448</v>
      </c>
      <c r="G347" s="12">
        <f t="shared" si="10"/>
        <v>-252620.448</v>
      </c>
      <c r="H347" s="664" t="s">
        <v>214</v>
      </c>
      <c r="I347" s="664" t="s">
        <v>506</v>
      </c>
      <c r="J347" s="671" t="s">
        <v>10122</v>
      </c>
      <c r="K347" s="671"/>
      <c r="L347" s="671"/>
      <c r="M347" s="666"/>
      <c r="N347" s="665"/>
      <c r="O347" s="665"/>
      <c r="P347" s="665"/>
      <c r="Q347" s="665"/>
      <c r="R347" s="665"/>
      <c r="S347" s="665"/>
    </row>
    <row r="348" spans="1:19" x14ac:dyDescent="0.2">
      <c r="A348" s="10">
        <v>74100000</v>
      </c>
      <c r="B348" s="10" t="s">
        <v>8980</v>
      </c>
      <c r="C348" s="11">
        <v>0</v>
      </c>
      <c r="D348" s="11">
        <v>0</v>
      </c>
      <c r="E348" s="11">
        <v>1843.7079999999999</v>
      </c>
      <c r="F348" s="12">
        <f t="shared" si="11"/>
        <v>-1843.7079999999999</v>
      </c>
      <c r="G348" s="12">
        <f t="shared" si="10"/>
        <v>-1843.7079999999999</v>
      </c>
      <c r="H348" s="664" t="s">
        <v>214</v>
      </c>
      <c r="I348" s="664" t="s">
        <v>506</v>
      </c>
      <c r="J348" s="671"/>
      <c r="K348" s="671"/>
      <c r="L348" s="671"/>
      <c r="M348" s="666"/>
      <c r="N348" s="665"/>
      <c r="O348" s="665"/>
      <c r="P348" s="665"/>
      <c r="Q348" s="665"/>
      <c r="R348" s="665"/>
      <c r="S348" s="665"/>
    </row>
    <row r="349" spans="1:19" x14ac:dyDescent="0.2">
      <c r="A349" s="10">
        <v>75000000</v>
      </c>
      <c r="B349" s="10" t="s">
        <v>7575</v>
      </c>
      <c r="C349" s="11">
        <v>0</v>
      </c>
      <c r="D349" s="11">
        <v>0</v>
      </c>
      <c r="E349" s="11">
        <v>1747.3849999999998</v>
      </c>
      <c r="F349" s="12">
        <f t="shared" si="11"/>
        <v>-1747.3849999999998</v>
      </c>
      <c r="G349" s="12">
        <f t="shared" si="10"/>
        <v>-1747.3849999999998</v>
      </c>
      <c r="H349" s="664" t="s">
        <v>195</v>
      </c>
      <c r="I349" s="664" t="s">
        <v>517</v>
      </c>
      <c r="J349" s="671"/>
      <c r="K349" s="671"/>
      <c r="L349" s="671"/>
      <c r="M349" s="666"/>
      <c r="N349" s="665"/>
      <c r="O349" s="665"/>
      <c r="P349" s="665"/>
      <c r="Q349" s="665"/>
      <c r="R349" s="665"/>
      <c r="S349" s="665"/>
    </row>
    <row r="350" spans="1:19" x14ac:dyDescent="0.2">
      <c r="A350" s="10">
        <v>75600000</v>
      </c>
      <c r="B350" s="10" t="s">
        <v>215</v>
      </c>
      <c r="C350" s="11">
        <v>0</v>
      </c>
      <c r="D350" s="11">
        <v>344807.99310000002</v>
      </c>
      <c r="E350" s="11">
        <v>398136.11175600003</v>
      </c>
      <c r="F350" s="12">
        <f t="shared" si="11"/>
        <v>-53328.118656000006</v>
      </c>
      <c r="G350" s="12">
        <f t="shared" si="10"/>
        <v>-53328.118656000006</v>
      </c>
      <c r="H350" s="664" t="s">
        <v>195</v>
      </c>
      <c r="I350" s="664" t="s">
        <v>517</v>
      </c>
      <c r="J350" s="671"/>
      <c r="K350" s="671"/>
      <c r="L350" s="671"/>
      <c r="M350" s="666"/>
      <c r="N350" s="665"/>
      <c r="O350" s="665"/>
      <c r="P350" s="665"/>
      <c r="Q350" s="665"/>
      <c r="R350" s="665"/>
      <c r="S350" s="665"/>
    </row>
    <row r="351" spans="1:19" x14ac:dyDescent="0.2">
      <c r="A351" s="10">
        <v>77000000</v>
      </c>
      <c r="B351" s="10" t="s">
        <v>216</v>
      </c>
      <c r="C351" s="11">
        <v>0</v>
      </c>
      <c r="D351" s="11">
        <v>7.3109999999999999</v>
      </c>
      <c r="E351" s="11">
        <v>18.739000000000001</v>
      </c>
      <c r="F351" s="12">
        <f t="shared" si="11"/>
        <v>-11.428000000000001</v>
      </c>
      <c r="G351" s="12">
        <f t="shared" si="10"/>
        <v>-11.428000000000001</v>
      </c>
      <c r="H351" s="664" t="s">
        <v>214</v>
      </c>
      <c r="I351" s="664" t="s">
        <v>506</v>
      </c>
      <c r="J351" s="671"/>
      <c r="K351" s="671"/>
      <c r="L351" s="671"/>
      <c r="M351" s="666"/>
      <c r="N351" s="665"/>
      <c r="O351" s="665"/>
      <c r="P351" s="665"/>
      <c r="Q351" s="665"/>
      <c r="R351" s="665"/>
      <c r="S351" s="665"/>
    </row>
    <row r="352" spans="1:19" x14ac:dyDescent="0.2">
      <c r="C352" s="669">
        <f>SUBTOTAL(9,C2:C351)</f>
        <v>3.1141238287091255E-4</v>
      </c>
      <c r="D352" s="669">
        <f t="shared" ref="D352:G352" si="12">SUBTOTAL(9,D2:D351)</f>
        <v>497733349.98236597</v>
      </c>
      <c r="E352" s="669">
        <f t="shared" si="12"/>
        <v>497733349.98236591</v>
      </c>
      <c r="F352" s="669">
        <f t="shared" si="12"/>
        <v>-9.3351708585487359E-9</v>
      </c>
      <c r="G352" s="669">
        <f t="shared" si="12"/>
        <v>3.1139513145816977E-4</v>
      </c>
      <c r="H352" s="664"/>
      <c r="I352" s="664"/>
      <c r="J352" s="671"/>
      <c r="K352" s="671"/>
      <c r="L352" s="671"/>
      <c r="M352" s="666"/>
      <c r="N352" s="665"/>
      <c r="O352" s="665"/>
      <c r="P352" s="665"/>
      <c r="Q352" s="665"/>
      <c r="R352" s="665"/>
      <c r="S352" s="665"/>
    </row>
    <row r="354" spans="4:9" x14ac:dyDescent="0.25">
      <c r="D354" s="668"/>
    </row>
    <row r="355" spans="4:9" x14ac:dyDescent="0.25">
      <c r="D355" s="665"/>
    </row>
    <row r="358" spans="4:9" x14ac:dyDescent="0.25">
      <c r="I358" s="665"/>
    </row>
  </sheetData>
  <autoFilter ref="A1:J351" xr:uid="{00000000-0009-0000-0000-000014000000}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0000"/>
  </sheetPr>
  <dimension ref="A1:G79"/>
  <sheetViews>
    <sheetView topLeftCell="A43" workbookViewId="0">
      <selection activeCell="G85" sqref="G85"/>
    </sheetView>
  </sheetViews>
  <sheetFormatPr baseColWidth="10" defaultColWidth="11.42578125" defaultRowHeight="11.25" x14ac:dyDescent="0.2"/>
  <cols>
    <col min="1" max="1" width="10.42578125" style="15" bestFit="1" customWidth="1"/>
    <col min="2" max="2" width="20.5703125" style="15" bestFit="1" customWidth="1"/>
    <col min="3" max="3" width="12" style="15" bestFit="1" customWidth="1"/>
    <col min="4" max="4" width="13.42578125" style="15" bestFit="1" customWidth="1"/>
    <col min="5" max="5" width="11.42578125" style="15"/>
    <col min="6" max="7" width="11.85546875" style="15" bestFit="1" customWidth="1"/>
    <col min="8" max="16384" width="11.42578125" style="15"/>
  </cols>
  <sheetData>
    <row r="1" spans="1:7" x14ac:dyDescent="0.2">
      <c r="A1" s="2" t="s">
        <v>4</v>
      </c>
      <c r="B1" s="2" t="s">
        <v>0</v>
      </c>
      <c r="C1" s="3" t="s">
        <v>5</v>
      </c>
      <c r="D1" s="3" t="s">
        <v>2</v>
      </c>
      <c r="E1" s="3" t="s">
        <v>3</v>
      </c>
      <c r="F1" s="3" t="s">
        <v>6</v>
      </c>
      <c r="G1" s="3" t="s">
        <v>262</v>
      </c>
    </row>
    <row r="2" spans="1:7" x14ac:dyDescent="0.2">
      <c r="A2" s="310">
        <v>13000000</v>
      </c>
      <c r="B2" s="311" t="s">
        <v>273</v>
      </c>
      <c r="C2" s="311">
        <v>-1E-4</v>
      </c>
      <c r="D2" s="311">
        <v>0</v>
      </c>
      <c r="E2" s="311">
        <v>0</v>
      </c>
      <c r="F2" s="311">
        <v>0</v>
      </c>
      <c r="G2" s="311">
        <v>-1E-4</v>
      </c>
    </row>
    <row r="3" spans="1:7" x14ac:dyDescent="0.2">
      <c r="A3" s="312">
        <v>14508000</v>
      </c>
      <c r="B3" s="311" t="s">
        <v>17</v>
      </c>
      <c r="C3" s="311">
        <v>20282.419000000002</v>
      </c>
      <c r="D3" s="311">
        <v>40564.838000000003</v>
      </c>
      <c r="E3" s="311">
        <v>20282.419000000002</v>
      </c>
      <c r="F3" s="311">
        <v>20282.419000000002</v>
      </c>
      <c r="G3" s="311">
        <v>40564.838000000003</v>
      </c>
    </row>
    <row r="4" spans="1:7" x14ac:dyDescent="0.2">
      <c r="A4" s="312">
        <v>22825000</v>
      </c>
      <c r="B4" s="313"/>
      <c r="C4" s="311">
        <v>2.0000000000000001E-4</v>
      </c>
      <c r="D4" s="311">
        <v>0</v>
      </c>
      <c r="E4" s="311">
        <v>0</v>
      </c>
      <c r="F4" s="311">
        <v>0</v>
      </c>
      <c r="G4" s="311">
        <v>2.0000000000000001E-4</v>
      </c>
    </row>
    <row r="5" spans="1:7" x14ac:dyDescent="0.2">
      <c r="A5" s="312">
        <v>28130000</v>
      </c>
      <c r="B5" s="311" t="s">
        <v>24</v>
      </c>
      <c r="C5" s="311">
        <v>-845.57989999999995</v>
      </c>
      <c r="D5" s="311">
        <v>845.58</v>
      </c>
      <c r="E5" s="311">
        <v>1662.973</v>
      </c>
      <c r="F5" s="311">
        <v>-817.39300000000003</v>
      </c>
      <c r="G5" s="311">
        <v>-1662.9729</v>
      </c>
    </row>
    <row r="6" spans="1:7" x14ac:dyDescent="0.2">
      <c r="A6" s="312">
        <v>28216000</v>
      </c>
      <c r="B6" s="311" t="s">
        <v>48</v>
      </c>
      <c r="C6" s="311">
        <v>-231.8896</v>
      </c>
      <c r="D6" s="311">
        <v>231.89</v>
      </c>
      <c r="E6" s="311">
        <v>456.05099999999999</v>
      </c>
      <c r="F6" s="311">
        <v>-224.161</v>
      </c>
      <c r="G6" s="311">
        <v>-456.05059999999997</v>
      </c>
    </row>
    <row r="7" spans="1:7" x14ac:dyDescent="0.2">
      <c r="A7" s="312">
        <v>28220000</v>
      </c>
      <c r="B7" s="311" t="s">
        <v>49</v>
      </c>
      <c r="C7" s="311">
        <v>-37813.739200000004</v>
      </c>
      <c r="D7" s="311">
        <v>37813.739000000001</v>
      </c>
      <c r="E7" s="311">
        <v>74367.02</v>
      </c>
      <c r="F7" s="311">
        <v>-36553.281000000003</v>
      </c>
      <c r="G7" s="311">
        <v>-74367.020199999999</v>
      </c>
    </row>
    <row r="8" spans="1:7" x14ac:dyDescent="0.2">
      <c r="A8" s="312">
        <v>28225000</v>
      </c>
      <c r="B8" s="311" t="s">
        <v>50</v>
      </c>
      <c r="C8" s="311">
        <v>-10482.1566</v>
      </c>
      <c r="D8" s="311">
        <v>10482.156999999999</v>
      </c>
      <c r="E8" s="311">
        <v>15589.425999999999</v>
      </c>
      <c r="F8" s="311">
        <v>-5107.2690000000002</v>
      </c>
      <c r="G8" s="311">
        <v>-15589.4256</v>
      </c>
    </row>
    <row r="9" spans="1:7" x14ac:dyDescent="0.2">
      <c r="A9" s="312">
        <v>28230000</v>
      </c>
      <c r="B9" s="311" t="s">
        <v>263</v>
      </c>
      <c r="C9" s="311">
        <v>-2036.4970000000001</v>
      </c>
      <c r="D9" s="311">
        <v>2036.4970000000001</v>
      </c>
      <c r="E9" s="311">
        <v>4044.373</v>
      </c>
      <c r="F9" s="311">
        <v>-2007.876</v>
      </c>
      <c r="G9" s="311">
        <v>-4044.373</v>
      </c>
    </row>
    <row r="10" spans="1:7" x14ac:dyDescent="0.2">
      <c r="A10" s="312">
        <v>28231000</v>
      </c>
      <c r="B10" s="311" t="s">
        <v>402</v>
      </c>
      <c r="C10" s="311">
        <v>-74.162999999999997</v>
      </c>
      <c r="D10" s="311">
        <v>74.162999999999997</v>
      </c>
      <c r="E10" s="311">
        <v>132.291</v>
      </c>
      <c r="F10" s="311">
        <v>-58.128</v>
      </c>
      <c r="G10" s="311">
        <v>-132.291</v>
      </c>
    </row>
    <row r="11" spans="1:7" x14ac:dyDescent="0.2">
      <c r="A11" s="312">
        <v>28234000</v>
      </c>
      <c r="B11" s="311" t="s">
        <v>51</v>
      </c>
      <c r="C11" s="311">
        <v>-134999.4774</v>
      </c>
      <c r="D11" s="311">
        <v>134999.47700000001</v>
      </c>
      <c r="E11" s="311">
        <v>264207.45</v>
      </c>
      <c r="F11" s="311">
        <v>-129207.973</v>
      </c>
      <c r="G11" s="311">
        <v>-264207.45039999997</v>
      </c>
    </row>
    <row r="12" spans="1:7" x14ac:dyDescent="0.2">
      <c r="A12" s="312">
        <v>28235000</v>
      </c>
      <c r="B12" s="311" t="s">
        <v>52</v>
      </c>
      <c r="C12" s="311">
        <v>-4702.4229999999998</v>
      </c>
      <c r="D12" s="311">
        <v>4702.4229999999998</v>
      </c>
      <c r="E12" s="311">
        <v>9248.0519999999997</v>
      </c>
      <c r="F12" s="311">
        <v>-4545.6289999999999</v>
      </c>
      <c r="G12" s="311">
        <v>-9248.0519999999997</v>
      </c>
    </row>
    <row r="13" spans="1:7" x14ac:dyDescent="0.2">
      <c r="A13" s="312">
        <v>28237000</v>
      </c>
      <c r="B13" s="311" t="s">
        <v>53</v>
      </c>
      <c r="C13" s="311">
        <v>-1988.9292</v>
      </c>
      <c r="D13" s="311">
        <v>1988.9290000000001</v>
      </c>
      <c r="E13" s="311">
        <v>3911.5610000000001</v>
      </c>
      <c r="F13" s="311">
        <v>-1922.6320000000001</v>
      </c>
      <c r="G13" s="311">
        <v>-3911.5612000000001</v>
      </c>
    </row>
    <row r="14" spans="1:7" x14ac:dyDescent="0.2">
      <c r="A14" s="312">
        <v>28240000</v>
      </c>
      <c r="B14" s="311" t="s">
        <v>54</v>
      </c>
      <c r="C14" s="311">
        <v>-14121.329299999999</v>
      </c>
      <c r="D14" s="311">
        <v>14121.329</v>
      </c>
      <c r="E14" s="311">
        <v>27263.611000000001</v>
      </c>
      <c r="F14" s="311">
        <v>-13142.281999999999</v>
      </c>
      <c r="G14" s="311">
        <v>-27263.6113</v>
      </c>
    </row>
    <row r="15" spans="1:7" x14ac:dyDescent="0.2">
      <c r="A15" s="312">
        <v>28282000</v>
      </c>
      <c r="B15" s="311" t="s">
        <v>55</v>
      </c>
      <c r="C15" s="311">
        <v>-4256.7017999999998</v>
      </c>
      <c r="D15" s="311">
        <v>4256.7020000000002</v>
      </c>
      <c r="E15" s="311">
        <v>8730.6830000000009</v>
      </c>
      <c r="F15" s="311">
        <v>-4473.9809999999998</v>
      </c>
      <c r="G15" s="311">
        <v>-8730.6828000000005</v>
      </c>
    </row>
    <row r="16" spans="1:7" x14ac:dyDescent="0.2">
      <c r="A16" s="312">
        <v>28283000</v>
      </c>
      <c r="B16" s="311" t="s">
        <v>7389</v>
      </c>
      <c r="C16" s="311">
        <v>-3746.1448999999998</v>
      </c>
      <c r="D16" s="311">
        <v>3746.145</v>
      </c>
      <c r="E16" s="311">
        <v>7410.5349999999999</v>
      </c>
      <c r="F16" s="311">
        <v>-3664.39</v>
      </c>
      <c r="G16" s="311">
        <v>-7410.5348999999997</v>
      </c>
    </row>
    <row r="17" spans="1:7" x14ac:dyDescent="0.2">
      <c r="A17" s="312">
        <v>28400000</v>
      </c>
      <c r="B17" s="311" t="s">
        <v>56</v>
      </c>
      <c r="C17" s="311">
        <v>-6357.3689999999997</v>
      </c>
      <c r="D17" s="311">
        <v>6357.3689999999997</v>
      </c>
      <c r="E17" s="311">
        <v>12502.825000000001</v>
      </c>
      <c r="F17" s="311">
        <v>-6145.4560000000001</v>
      </c>
      <c r="G17" s="311">
        <v>-12502.825000000001</v>
      </c>
    </row>
    <row r="18" spans="1:7" x14ac:dyDescent="0.2">
      <c r="A18" s="312">
        <v>31100000</v>
      </c>
      <c r="B18" s="311" t="s">
        <v>59</v>
      </c>
      <c r="C18" s="311">
        <v>151103.23430000001</v>
      </c>
      <c r="D18" s="311">
        <v>19925973.357700001</v>
      </c>
      <c r="E18" s="311">
        <v>19191253.273699999</v>
      </c>
      <c r="F18" s="311">
        <v>734720.08400000003</v>
      </c>
      <c r="G18" s="311">
        <v>885823.31830000004</v>
      </c>
    </row>
    <row r="19" spans="1:7" x14ac:dyDescent="0.2">
      <c r="A19" s="312">
        <v>31200000</v>
      </c>
      <c r="B19" s="311" t="s">
        <v>390</v>
      </c>
      <c r="C19" s="311">
        <v>-1037112.439</v>
      </c>
      <c r="D19" s="311">
        <v>1037112.439</v>
      </c>
      <c r="E19" s="311">
        <v>1037112.439</v>
      </c>
      <c r="F19" s="311">
        <v>0</v>
      </c>
      <c r="G19" s="311">
        <v>-1037112.439</v>
      </c>
    </row>
    <row r="20" spans="1:7" x14ac:dyDescent="0.2">
      <c r="A20" s="312">
        <v>32200000</v>
      </c>
      <c r="B20" s="311" t="s">
        <v>61</v>
      </c>
      <c r="C20" s="311">
        <v>31905.458500000001</v>
      </c>
      <c r="D20" s="311">
        <v>1267764.3104999999</v>
      </c>
      <c r="E20" s="311">
        <v>1356218.3174999999</v>
      </c>
      <c r="F20" s="311">
        <v>-88454.006999999998</v>
      </c>
      <c r="G20" s="311">
        <v>-56548.548499999997</v>
      </c>
    </row>
    <row r="21" spans="1:7" x14ac:dyDescent="0.2">
      <c r="A21" s="312">
        <v>33100000</v>
      </c>
      <c r="B21" s="311" t="s">
        <v>62</v>
      </c>
      <c r="C21" s="311">
        <v>104197.9474</v>
      </c>
      <c r="D21" s="311">
        <v>6015848.5356000001</v>
      </c>
      <c r="E21" s="311">
        <v>6974958.5246000001</v>
      </c>
      <c r="F21" s="311">
        <v>-959109.98899999994</v>
      </c>
      <c r="G21" s="311">
        <v>-854912.0416</v>
      </c>
    </row>
    <row r="22" spans="1:7" x14ac:dyDescent="0.2">
      <c r="A22" s="312">
        <v>35500000</v>
      </c>
      <c r="B22" s="311" t="s">
        <v>63</v>
      </c>
      <c r="C22" s="311">
        <v>-94647.266000000003</v>
      </c>
      <c r="D22" s="311">
        <v>3678729.1230000001</v>
      </c>
      <c r="E22" s="311">
        <v>3254360.7719999999</v>
      </c>
      <c r="F22" s="311">
        <v>424368.35100000002</v>
      </c>
      <c r="G22" s="311">
        <v>329721.08500000002</v>
      </c>
    </row>
    <row r="23" spans="1:7" x14ac:dyDescent="0.2">
      <c r="A23" s="312">
        <v>40100000</v>
      </c>
      <c r="B23" s="314" t="s">
        <v>66</v>
      </c>
      <c r="C23" s="311">
        <v>0</v>
      </c>
      <c r="D23" s="311">
        <v>0</v>
      </c>
      <c r="E23" s="311">
        <v>0</v>
      </c>
      <c r="F23" s="311">
        <v>0</v>
      </c>
      <c r="G23" s="311">
        <v>0</v>
      </c>
    </row>
    <row r="24" spans="1:7" x14ac:dyDescent="0.2">
      <c r="A24" s="312">
        <v>40120000</v>
      </c>
      <c r="B24" s="314" t="s">
        <v>386</v>
      </c>
      <c r="C24" s="311">
        <v>2.9999999999999997E-4</v>
      </c>
      <c r="D24" s="311">
        <v>0</v>
      </c>
      <c r="E24" s="311">
        <v>0</v>
      </c>
      <c r="F24" s="311">
        <v>0</v>
      </c>
      <c r="G24" s="311">
        <v>2.9999999999999997E-4</v>
      </c>
    </row>
    <row r="25" spans="1:7" x14ac:dyDescent="0.2">
      <c r="A25" s="312">
        <v>40600000</v>
      </c>
      <c r="B25" s="314" t="s">
        <v>70</v>
      </c>
      <c r="C25" s="311">
        <v>346630.21600000001</v>
      </c>
      <c r="D25" s="311">
        <v>342100.61</v>
      </c>
      <c r="E25" s="311">
        <v>346630.21600000001</v>
      </c>
      <c r="F25" s="311">
        <v>-4529.6059999999998</v>
      </c>
      <c r="G25" s="311">
        <v>342100.61</v>
      </c>
    </row>
    <row r="26" spans="1:7" x14ac:dyDescent="0.2">
      <c r="A26" s="312">
        <v>40800000</v>
      </c>
      <c r="B26" s="314" t="s">
        <v>71</v>
      </c>
      <c r="C26" s="311">
        <v>1E-4</v>
      </c>
      <c r="D26" s="311">
        <v>0</v>
      </c>
      <c r="E26" s="311">
        <v>0</v>
      </c>
      <c r="F26" s="311">
        <v>0</v>
      </c>
      <c r="G26" s="311">
        <v>1E-4</v>
      </c>
    </row>
    <row r="27" spans="1:7" x14ac:dyDescent="0.2">
      <c r="A27" s="312">
        <v>41100000</v>
      </c>
      <c r="B27" s="314" t="s">
        <v>73</v>
      </c>
      <c r="C27" s="311">
        <v>-4.0000000000000002E-4</v>
      </c>
      <c r="D27" s="311">
        <v>0</v>
      </c>
      <c r="E27" s="311">
        <v>0</v>
      </c>
      <c r="F27" s="311">
        <v>0</v>
      </c>
      <c r="G27" s="311">
        <v>-4.0000000000000002E-4</v>
      </c>
    </row>
    <row r="28" spans="1:7" x14ac:dyDescent="0.2">
      <c r="A28" s="312">
        <v>41500000</v>
      </c>
      <c r="B28" s="314" t="s">
        <v>75</v>
      </c>
      <c r="C28" s="311">
        <v>274473.84659999999</v>
      </c>
      <c r="D28" s="311">
        <v>1741401.969</v>
      </c>
      <c r="E28" s="311">
        <v>1007937.9080000001</v>
      </c>
      <c r="F28" s="311">
        <v>733464.06099999999</v>
      </c>
      <c r="G28" s="311">
        <v>1007937.9076</v>
      </c>
    </row>
    <row r="29" spans="1:7" x14ac:dyDescent="0.2">
      <c r="A29" s="312">
        <v>41800000</v>
      </c>
      <c r="B29" s="314" t="s">
        <v>307</v>
      </c>
      <c r="C29" s="311">
        <v>4.0000000000000002E-4</v>
      </c>
      <c r="D29" s="311">
        <v>0</v>
      </c>
      <c r="E29" s="311">
        <v>0</v>
      </c>
      <c r="F29" s="311">
        <v>0</v>
      </c>
      <c r="G29" s="311">
        <v>4.0000000000000002E-4</v>
      </c>
    </row>
    <row r="30" spans="1:7" x14ac:dyDescent="0.2">
      <c r="A30" s="312">
        <v>42820000</v>
      </c>
      <c r="B30" s="311" t="s">
        <v>83</v>
      </c>
      <c r="C30" s="311">
        <v>-9000</v>
      </c>
      <c r="D30" s="311">
        <v>500862.82799999998</v>
      </c>
      <c r="E30" s="311">
        <v>509862.82799999998</v>
      </c>
      <c r="F30" s="311">
        <v>-9000</v>
      </c>
      <c r="G30" s="311">
        <v>-18000</v>
      </c>
    </row>
    <row r="31" spans="1:7" x14ac:dyDescent="0.2">
      <c r="A31" s="312">
        <v>45310000</v>
      </c>
      <c r="B31" s="311" t="s">
        <v>104</v>
      </c>
      <c r="C31" s="311">
        <v>-43186.953000000001</v>
      </c>
      <c r="D31" s="311">
        <v>43186.953000000001</v>
      </c>
      <c r="E31" s="311">
        <v>86373.906000000003</v>
      </c>
      <c r="F31" s="311">
        <v>-43186.953000000001</v>
      </c>
      <c r="G31" s="311">
        <v>-86373.906000000003</v>
      </c>
    </row>
    <row r="32" spans="1:7" x14ac:dyDescent="0.2">
      <c r="A32" s="312">
        <v>45860000</v>
      </c>
      <c r="B32" s="311" t="s">
        <v>106</v>
      </c>
      <c r="C32" s="311">
        <v>-401124.38630000001</v>
      </c>
      <c r="D32" s="311">
        <v>607883.82799999998</v>
      </c>
      <c r="E32" s="311">
        <v>633791.72400000005</v>
      </c>
      <c r="F32" s="311">
        <v>-25907.896000000001</v>
      </c>
      <c r="G32" s="311">
        <v>-427032.28230000002</v>
      </c>
    </row>
    <row r="33" spans="1:7" x14ac:dyDescent="0.2">
      <c r="A33" s="312">
        <v>45870000</v>
      </c>
      <c r="B33" s="311" t="s">
        <v>107</v>
      </c>
      <c r="C33" s="311">
        <v>3242.453</v>
      </c>
      <c r="D33" s="311">
        <v>6484.9059999999999</v>
      </c>
      <c r="E33" s="311">
        <v>3242.453</v>
      </c>
      <c r="F33" s="311">
        <v>3242.453</v>
      </c>
      <c r="G33" s="311">
        <v>6484.9059999999999</v>
      </c>
    </row>
    <row r="34" spans="1:7" x14ac:dyDescent="0.2">
      <c r="A34" s="312">
        <v>47100000</v>
      </c>
      <c r="B34" s="311" t="s">
        <v>109</v>
      </c>
      <c r="C34" s="311">
        <v>-41485.878900000003</v>
      </c>
      <c r="D34" s="311">
        <v>144922.91099999999</v>
      </c>
      <c r="E34" s="311">
        <v>211124.38500000001</v>
      </c>
      <c r="F34" s="311">
        <v>-66201.474000000002</v>
      </c>
      <c r="G34" s="311">
        <v>-107687.3529</v>
      </c>
    </row>
    <row r="35" spans="1:7" x14ac:dyDescent="0.2">
      <c r="A35" s="312">
        <v>53205700</v>
      </c>
      <c r="B35" s="311" t="s">
        <v>129</v>
      </c>
      <c r="C35" s="311">
        <v>-37410.451999999997</v>
      </c>
      <c r="D35" s="311">
        <v>53911.612999999998</v>
      </c>
      <c r="E35" s="311">
        <v>65883.168000000005</v>
      </c>
      <c r="F35" s="311">
        <v>-11971.555</v>
      </c>
      <c r="G35" s="311">
        <v>-49382.006999999998</v>
      </c>
    </row>
    <row r="36" spans="1:7" x14ac:dyDescent="0.2">
      <c r="A36" s="312">
        <v>53205800</v>
      </c>
      <c r="B36" s="311" t="s">
        <v>130</v>
      </c>
      <c r="C36" s="311">
        <v>63.481000000000002</v>
      </c>
      <c r="D36" s="311">
        <v>55.765000000000001</v>
      </c>
      <c r="E36" s="311">
        <v>63.481000000000002</v>
      </c>
      <c r="F36" s="311">
        <v>-7.7160000000000002</v>
      </c>
      <c r="G36" s="311">
        <v>55.765000000000001</v>
      </c>
    </row>
    <row r="37" spans="1:7" x14ac:dyDescent="0.2">
      <c r="A37" s="312">
        <v>60110110</v>
      </c>
      <c r="B37" s="311" t="s">
        <v>403</v>
      </c>
      <c r="C37" s="311">
        <v>-292718.603</v>
      </c>
      <c r="D37" s="311">
        <v>585437.20600000001</v>
      </c>
      <c r="E37" s="311">
        <v>292718.603</v>
      </c>
      <c r="F37" s="311">
        <v>292718.603</v>
      </c>
      <c r="G37" s="311">
        <v>0</v>
      </c>
    </row>
    <row r="38" spans="1:7" x14ac:dyDescent="0.2">
      <c r="A38" s="312">
        <v>60110500</v>
      </c>
      <c r="B38" s="311" t="s">
        <v>144</v>
      </c>
      <c r="C38" s="311">
        <v>3677.7440000000001</v>
      </c>
      <c r="D38" s="311">
        <v>0</v>
      </c>
      <c r="E38" s="311">
        <v>3677.7440000000001</v>
      </c>
      <c r="F38" s="311">
        <v>-3677.7440000000001</v>
      </c>
      <c r="G38" s="311">
        <v>0</v>
      </c>
    </row>
    <row r="39" spans="1:7" x14ac:dyDescent="0.2">
      <c r="A39" s="312">
        <v>60110900</v>
      </c>
      <c r="B39" s="311" t="s">
        <v>147</v>
      </c>
      <c r="C39" s="311">
        <v>3590.55</v>
      </c>
      <c r="D39" s="311">
        <v>29000.5</v>
      </c>
      <c r="E39" s="311">
        <v>3590.55</v>
      </c>
      <c r="F39" s="311">
        <v>25409.95</v>
      </c>
      <c r="G39" s="311">
        <v>29000.5</v>
      </c>
    </row>
    <row r="40" spans="1:7" x14ac:dyDescent="0.2">
      <c r="A40" s="312">
        <v>60120300</v>
      </c>
      <c r="B40" s="311" t="s">
        <v>150</v>
      </c>
      <c r="C40" s="311">
        <v>115187.1</v>
      </c>
      <c r="D40" s="311">
        <v>85578.85</v>
      </c>
      <c r="E40" s="311">
        <v>115187.1</v>
      </c>
      <c r="F40" s="311">
        <v>-29608.25</v>
      </c>
      <c r="G40" s="311">
        <v>85578.85</v>
      </c>
    </row>
    <row r="41" spans="1:7" x14ac:dyDescent="0.2">
      <c r="A41" s="312">
        <v>60121500</v>
      </c>
      <c r="B41" s="311" t="s">
        <v>404</v>
      </c>
      <c r="C41" s="311">
        <v>43200</v>
      </c>
      <c r="D41" s="311">
        <v>0</v>
      </c>
      <c r="E41" s="311">
        <v>43200</v>
      </c>
      <c r="F41" s="311">
        <v>-43200</v>
      </c>
      <c r="G41" s="311">
        <v>0</v>
      </c>
    </row>
    <row r="42" spans="1:7" x14ac:dyDescent="0.2">
      <c r="A42" s="312">
        <v>60122411</v>
      </c>
      <c r="B42" s="311" t="s">
        <v>367</v>
      </c>
      <c r="C42" s="311">
        <v>474.8</v>
      </c>
      <c r="D42" s="311">
        <v>0</v>
      </c>
      <c r="E42" s="311">
        <v>474.8</v>
      </c>
      <c r="F42" s="311">
        <v>-474.8</v>
      </c>
      <c r="G42" s="311">
        <v>0</v>
      </c>
    </row>
    <row r="43" spans="1:7" x14ac:dyDescent="0.2">
      <c r="A43" s="312">
        <v>60171000</v>
      </c>
      <c r="B43" s="311" t="s">
        <v>369</v>
      </c>
      <c r="C43" s="311">
        <v>0</v>
      </c>
      <c r="D43" s="311">
        <v>72500</v>
      </c>
      <c r="E43" s="311">
        <v>0</v>
      </c>
      <c r="F43" s="311">
        <v>72500</v>
      </c>
      <c r="G43" s="311">
        <v>72500</v>
      </c>
    </row>
    <row r="44" spans="1:7" x14ac:dyDescent="0.2">
      <c r="A44" s="312">
        <v>60172000</v>
      </c>
      <c r="B44" s="311" t="s">
        <v>169</v>
      </c>
      <c r="C44" s="311">
        <v>0</v>
      </c>
      <c r="D44" s="311">
        <v>102000</v>
      </c>
      <c r="E44" s="311">
        <v>0</v>
      </c>
      <c r="F44" s="311">
        <v>102000</v>
      </c>
      <c r="G44" s="311">
        <v>102000</v>
      </c>
    </row>
    <row r="45" spans="1:7" x14ac:dyDescent="0.2">
      <c r="A45" s="312">
        <v>60173000</v>
      </c>
      <c r="B45" s="311" t="s">
        <v>170</v>
      </c>
      <c r="C45" s="311">
        <v>0</v>
      </c>
      <c r="D45" s="311">
        <v>8234.6219999999994</v>
      </c>
      <c r="E45" s="311">
        <v>0</v>
      </c>
      <c r="F45" s="311">
        <v>8234.6219999999994</v>
      </c>
      <c r="G45" s="311">
        <v>8234.6219999999994</v>
      </c>
    </row>
    <row r="46" spans="1:7" x14ac:dyDescent="0.2">
      <c r="A46" s="312">
        <v>60260400</v>
      </c>
      <c r="B46" s="311" t="s">
        <v>161</v>
      </c>
      <c r="C46" s="311">
        <v>0</v>
      </c>
      <c r="D46" s="311">
        <v>5376.6</v>
      </c>
      <c r="E46" s="311">
        <v>0</v>
      </c>
      <c r="F46" s="311">
        <v>5376.6</v>
      </c>
      <c r="G46" s="311">
        <v>5376.6</v>
      </c>
    </row>
    <row r="47" spans="1:7" x14ac:dyDescent="0.2">
      <c r="A47" s="312">
        <v>60262000</v>
      </c>
      <c r="B47" s="311" t="s">
        <v>164</v>
      </c>
      <c r="C47" s="311">
        <v>2250</v>
      </c>
      <c r="D47" s="311">
        <v>6175</v>
      </c>
      <c r="E47" s="311">
        <v>2250</v>
      </c>
      <c r="F47" s="311">
        <v>3925</v>
      </c>
      <c r="G47" s="311">
        <v>6175</v>
      </c>
    </row>
    <row r="48" spans="1:7" x14ac:dyDescent="0.2">
      <c r="A48" s="312">
        <v>60310000</v>
      </c>
      <c r="B48" s="311" t="s">
        <v>265</v>
      </c>
      <c r="C48" s="311">
        <v>141615.36869999999</v>
      </c>
      <c r="D48" s="311">
        <v>19483971.876699999</v>
      </c>
      <c r="E48" s="311">
        <v>20511410.5627</v>
      </c>
      <c r="F48" s="311">
        <v>-1027438.686</v>
      </c>
      <c r="G48" s="311">
        <v>-885823.3173</v>
      </c>
    </row>
    <row r="49" spans="1:7" x14ac:dyDescent="0.2">
      <c r="A49" s="312">
        <v>60330000</v>
      </c>
      <c r="B49" s="311" t="s">
        <v>266</v>
      </c>
      <c r="C49" s="311">
        <v>-31905.458500000001</v>
      </c>
      <c r="D49" s="311">
        <v>1356218.3174999999</v>
      </c>
      <c r="E49" s="311">
        <v>1267764.3104999999</v>
      </c>
      <c r="F49" s="311">
        <v>88454.006999999998</v>
      </c>
      <c r="G49" s="311">
        <v>56548.548499999997</v>
      </c>
    </row>
    <row r="50" spans="1:7" x14ac:dyDescent="0.2">
      <c r="A50" s="312">
        <v>60401000</v>
      </c>
      <c r="B50" s="311" t="s">
        <v>166</v>
      </c>
      <c r="C50" s="311">
        <v>22916.667000000001</v>
      </c>
      <c r="D50" s="311">
        <v>45833.334000000003</v>
      </c>
      <c r="E50" s="311">
        <v>22916.667000000001</v>
      </c>
      <c r="F50" s="311">
        <v>22916.667000000001</v>
      </c>
      <c r="G50" s="311">
        <v>45833.334000000003</v>
      </c>
    </row>
    <row r="51" spans="1:7" x14ac:dyDescent="0.2">
      <c r="A51" s="312">
        <v>60502000</v>
      </c>
      <c r="B51" s="311" t="s">
        <v>167</v>
      </c>
      <c r="C51" s="311">
        <v>14236.486999999999</v>
      </c>
      <c r="D51" s="311">
        <v>16815.056</v>
      </c>
      <c r="E51" s="311">
        <v>14236.486999999999</v>
      </c>
      <c r="F51" s="311">
        <v>2578.569</v>
      </c>
      <c r="G51" s="311">
        <v>16815.056</v>
      </c>
    </row>
    <row r="52" spans="1:7" x14ac:dyDescent="0.2">
      <c r="A52" s="312">
        <v>60620000</v>
      </c>
      <c r="B52" s="311" t="s">
        <v>172</v>
      </c>
      <c r="C52" s="311">
        <v>443</v>
      </c>
      <c r="D52" s="311">
        <v>754.7</v>
      </c>
      <c r="E52" s="311">
        <v>443</v>
      </c>
      <c r="F52" s="311">
        <v>311.7</v>
      </c>
      <c r="G52" s="311">
        <v>754.7</v>
      </c>
    </row>
    <row r="53" spans="1:7" x14ac:dyDescent="0.2">
      <c r="A53" s="312">
        <v>61500000</v>
      </c>
      <c r="B53" s="311" t="s">
        <v>176</v>
      </c>
      <c r="C53" s="311">
        <v>11849.991</v>
      </c>
      <c r="D53" s="311">
        <v>0</v>
      </c>
      <c r="E53" s="311">
        <v>14620.873</v>
      </c>
      <c r="F53" s="311">
        <v>-14620.873</v>
      </c>
      <c r="G53" s="311">
        <v>-2770.8820000000001</v>
      </c>
    </row>
    <row r="54" spans="1:7" x14ac:dyDescent="0.2">
      <c r="A54" s="312">
        <v>61600000</v>
      </c>
      <c r="B54" s="311" t="s">
        <v>397</v>
      </c>
      <c r="C54" s="311">
        <v>1227.5999999999999</v>
      </c>
      <c r="D54" s="311">
        <v>0</v>
      </c>
      <c r="E54" s="311">
        <v>13503.6</v>
      </c>
      <c r="F54" s="311">
        <v>-13503.6</v>
      </c>
      <c r="G54" s="311">
        <v>-12276</v>
      </c>
    </row>
    <row r="55" spans="1:7" x14ac:dyDescent="0.2">
      <c r="A55" s="312">
        <v>61603000</v>
      </c>
      <c r="B55" s="311" t="s">
        <v>178</v>
      </c>
      <c r="C55" s="311">
        <v>2359.1680000000001</v>
      </c>
      <c r="D55" s="311">
        <v>4718.3360000000002</v>
      </c>
      <c r="E55" s="311">
        <v>2359.1680000000001</v>
      </c>
      <c r="F55" s="311">
        <v>2359.1680000000001</v>
      </c>
      <c r="G55" s="311">
        <v>4718.3360000000002</v>
      </c>
    </row>
    <row r="56" spans="1:7" x14ac:dyDescent="0.2">
      <c r="A56" s="312">
        <v>62240000</v>
      </c>
      <c r="B56" s="311" t="s">
        <v>267</v>
      </c>
      <c r="C56" s="311">
        <v>-42861.317000000003</v>
      </c>
      <c r="D56" s="311">
        <v>42861.317000000003</v>
      </c>
      <c r="E56" s="311">
        <v>38964.832999999999</v>
      </c>
      <c r="F56" s="311">
        <v>3896.4839999999999</v>
      </c>
      <c r="G56" s="311">
        <v>-38964.832999999999</v>
      </c>
    </row>
    <row r="57" spans="1:7" x14ac:dyDescent="0.2">
      <c r="A57" s="312">
        <v>62250000</v>
      </c>
      <c r="B57" s="311" t="s">
        <v>268</v>
      </c>
      <c r="C57" s="311">
        <v>2500</v>
      </c>
      <c r="D57" s="311">
        <v>5000</v>
      </c>
      <c r="E57" s="311">
        <v>2500</v>
      </c>
      <c r="F57" s="311">
        <v>2500</v>
      </c>
      <c r="G57" s="311">
        <v>5000</v>
      </c>
    </row>
    <row r="58" spans="1:7" x14ac:dyDescent="0.2">
      <c r="A58" s="312">
        <v>62300000</v>
      </c>
      <c r="B58" s="311" t="s">
        <v>182</v>
      </c>
      <c r="C58" s="311">
        <v>11500</v>
      </c>
      <c r="D58" s="311">
        <v>23000</v>
      </c>
      <c r="E58" s="311">
        <v>11500</v>
      </c>
      <c r="F58" s="311">
        <v>11500</v>
      </c>
      <c r="G58" s="311">
        <v>23000</v>
      </c>
    </row>
    <row r="59" spans="1:7" x14ac:dyDescent="0.2">
      <c r="A59" s="312">
        <v>62600000</v>
      </c>
      <c r="B59" s="311" t="s">
        <v>188</v>
      </c>
      <c r="C59" s="311">
        <v>-4376</v>
      </c>
      <c r="D59" s="311">
        <v>4376</v>
      </c>
      <c r="E59" s="311">
        <v>2188</v>
      </c>
      <c r="F59" s="311">
        <v>2188</v>
      </c>
      <c r="G59" s="311">
        <v>-2188</v>
      </c>
    </row>
    <row r="60" spans="1:7" x14ac:dyDescent="0.2">
      <c r="A60" s="312">
        <v>62780000</v>
      </c>
      <c r="B60" s="311" t="s">
        <v>189</v>
      </c>
      <c r="C60" s="311">
        <v>8298.4580000000005</v>
      </c>
      <c r="D60" s="311">
        <v>16596.916000000001</v>
      </c>
      <c r="E60" s="311">
        <v>8298.4580000000005</v>
      </c>
      <c r="F60" s="311">
        <v>8298.4580000000005</v>
      </c>
      <c r="G60" s="311">
        <v>16596.916000000001</v>
      </c>
    </row>
    <row r="61" spans="1:7" x14ac:dyDescent="0.2">
      <c r="A61" s="312">
        <v>63300000</v>
      </c>
      <c r="B61" s="311" t="s">
        <v>269</v>
      </c>
      <c r="C61" s="311">
        <v>10416.666999999999</v>
      </c>
      <c r="D61" s="311">
        <v>20833.333999999999</v>
      </c>
      <c r="E61" s="311">
        <v>10416.666999999999</v>
      </c>
      <c r="F61" s="311">
        <v>10416.666999999999</v>
      </c>
      <c r="G61" s="311">
        <v>20833.333999999999</v>
      </c>
    </row>
    <row r="62" spans="1:7" x14ac:dyDescent="0.2">
      <c r="A62" s="312">
        <v>64001000</v>
      </c>
      <c r="B62" s="311" t="s">
        <v>191</v>
      </c>
      <c r="C62" s="311">
        <v>0</v>
      </c>
      <c r="D62" s="311">
        <v>0</v>
      </c>
      <c r="E62" s="311">
        <v>206759.44200000001</v>
      </c>
      <c r="F62" s="311">
        <v>-206759.44200000001</v>
      </c>
      <c r="G62" s="311">
        <v>-206759.44200000001</v>
      </c>
    </row>
    <row r="63" spans="1:7" x14ac:dyDescent="0.2">
      <c r="A63" s="312">
        <v>64001100</v>
      </c>
      <c r="B63" s="311" t="s">
        <v>405</v>
      </c>
      <c r="C63" s="311">
        <v>25000</v>
      </c>
      <c r="D63" s="311">
        <v>50000</v>
      </c>
      <c r="E63" s="311">
        <v>25000</v>
      </c>
      <c r="F63" s="311">
        <v>25000</v>
      </c>
      <c r="G63" s="311">
        <v>50000</v>
      </c>
    </row>
    <row r="64" spans="1:7" x14ac:dyDescent="0.2">
      <c r="A64" s="312">
        <v>64020000</v>
      </c>
      <c r="B64" s="311" t="s">
        <v>406</v>
      </c>
      <c r="C64" s="311">
        <v>82615.376999999993</v>
      </c>
      <c r="D64" s="311">
        <v>67117.327000000005</v>
      </c>
      <c r="E64" s="311">
        <v>82615.376999999993</v>
      </c>
      <c r="F64" s="311">
        <v>-15498.05</v>
      </c>
      <c r="G64" s="311">
        <v>67117.327000000005</v>
      </c>
    </row>
    <row r="65" spans="1:7" x14ac:dyDescent="0.2">
      <c r="A65" s="312">
        <v>64600100</v>
      </c>
      <c r="B65" s="311" t="s">
        <v>407</v>
      </c>
      <c r="C65" s="311">
        <v>9000</v>
      </c>
      <c r="D65" s="311">
        <v>509862.82799999998</v>
      </c>
      <c r="E65" s="311">
        <v>500862.82799999998</v>
      </c>
      <c r="F65" s="311">
        <v>9000</v>
      </c>
      <c r="G65" s="311">
        <v>18000</v>
      </c>
    </row>
    <row r="66" spans="1:7" x14ac:dyDescent="0.2">
      <c r="A66" s="312">
        <v>64720000</v>
      </c>
      <c r="B66" s="311" t="s">
        <v>194</v>
      </c>
      <c r="C66" s="311">
        <v>43186.953000000001</v>
      </c>
      <c r="D66" s="311">
        <v>86373.906000000003</v>
      </c>
      <c r="E66" s="311">
        <v>43186.953000000001</v>
      </c>
      <c r="F66" s="311">
        <v>43186.953000000001</v>
      </c>
      <c r="G66" s="311">
        <v>86373.906000000003</v>
      </c>
    </row>
    <row r="67" spans="1:7" x14ac:dyDescent="0.2">
      <c r="A67" s="312">
        <v>65110200</v>
      </c>
      <c r="B67" s="311" t="s">
        <v>196</v>
      </c>
      <c r="C67" s="311">
        <v>33921.654999999999</v>
      </c>
      <c r="D67" s="311">
        <v>64560.567999999999</v>
      </c>
      <c r="E67" s="311">
        <v>33921.654999999999</v>
      </c>
      <c r="F67" s="311">
        <v>30638.913</v>
      </c>
      <c r="G67" s="311">
        <v>64560.567999999999</v>
      </c>
    </row>
    <row r="68" spans="1:7" x14ac:dyDescent="0.2">
      <c r="A68" s="312">
        <v>65110400</v>
      </c>
      <c r="B68" s="311" t="s">
        <v>197</v>
      </c>
      <c r="C68" s="311">
        <v>52188.5</v>
      </c>
      <c r="D68" s="311">
        <v>99326.5</v>
      </c>
      <c r="E68" s="311">
        <v>52188.5</v>
      </c>
      <c r="F68" s="311">
        <v>47138</v>
      </c>
      <c r="G68" s="311">
        <v>99326.5</v>
      </c>
    </row>
    <row r="69" spans="1:7" x14ac:dyDescent="0.2">
      <c r="A69" s="312">
        <v>65150000</v>
      </c>
      <c r="B69" s="311" t="s">
        <v>270</v>
      </c>
      <c r="C69" s="311">
        <v>2989.5889999999999</v>
      </c>
      <c r="D69" s="311">
        <v>5882.74</v>
      </c>
      <c r="E69" s="311">
        <v>2989.5889999999999</v>
      </c>
      <c r="F69" s="311">
        <v>2893.1509999999998</v>
      </c>
      <c r="G69" s="311">
        <v>5882.74</v>
      </c>
    </row>
    <row r="70" spans="1:7" x14ac:dyDescent="0.2">
      <c r="A70" s="312">
        <v>65190000</v>
      </c>
      <c r="B70" s="311" t="s">
        <v>198</v>
      </c>
      <c r="C70" s="311">
        <v>29302.803</v>
      </c>
      <c r="D70" s="311">
        <v>58605.606</v>
      </c>
      <c r="E70" s="311">
        <v>29302.803</v>
      </c>
      <c r="F70" s="311">
        <v>29302.803</v>
      </c>
      <c r="G70" s="311">
        <v>58605.606</v>
      </c>
    </row>
    <row r="71" spans="1:7" x14ac:dyDescent="0.2">
      <c r="A71" s="312">
        <v>66520000</v>
      </c>
      <c r="B71" s="311" t="s">
        <v>200</v>
      </c>
      <c r="C71" s="311">
        <v>8801.4259999999995</v>
      </c>
      <c r="D71" s="311">
        <v>7968.8029999999999</v>
      </c>
      <c r="E71" s="311">
        <v>8801.4259999999995</v>
      </c>
      <c r="F71" s="311">
        <v>-832.62300000000005</v>
      </c>
      <c r="G71" s="311">
        <v>7968.8029999999999</v>
      </c>
    </row>
    <row r="72" spans="1:7" x14ac:dyDescent="0.2">
      <c r="A72" s="312">
        <v>66550000</v>
      </c>
      <c r="B72" s="311" t="s">
        <v>202</v>
      </c>
      <c r="C72" s="311">
        <v>900</v>
      </c>
      <c r="D72" s="311">
        <v>1800</v>
      </c>
      <c r="E72" s="311">
        <v>900</v>
      </c>
      <c r="F72" s="311">
        <v>900</v>
      </c>
      <c r="G72" s="311">
        <v>1800</v>
      </c>
    </row>
    <row r="73" spans="1:7" x14ac:dyDescent="0.2">
      <c r="A73" s="312">
        <v>68112000</v>
      </c>
      <c r="B73" s="311" t="s">
        <v>7390</v>
      </c>
      <c r="C73" s="311">
        <v>221656.4</v>
      </c>
      <c r="D73" s="311">
        <v>429526.85100000002</v>
      </c>
      <c r="E73" s="311">
        <v>221656.4</v>
      </c>
      <c r="F73" s="311">
        <v>207870.451</v>
      </c>
      <c r="G73" s="311">
        <v>429526.85100000002</v>
      </c>
    </row>
    <row r="74" spans="1:7" x14ac:dyDescent="0.2">
      <c r="A74" s="312">
        <v>70102000</v>
      </c>
      <c r="B74" s="311" t="s">
        <v>207</v>
      </c>
      <c r="C74" s="311">
        <v>-274473.84700000001</v>
      </c>
      <c r="D74" s="311">
        <v>1007937.9080000001</v>
      </c>
      <c r="E74" s="311">
        <v>1741401.969</v>
      </c>
      <c r="F74" s="311">
        <v>-733464.06099999999</v>
      </c>
      <c r="G74" s="311">
        <v>-1007937.9080000001</v>
      </c>
    </row>
    <row r="75" spans="1:7" x14ac:dyDescent="0.2">
      <c r="A75" s="312">
        <v>70600500</v>
      </c>
      <c r="B75" s="311" t="s">
        <v>208</v>
      </c>
      <c r="C75" s="311">
        <v>-3242.453</v>
      </c>
      <c r="D75" s="311">
        <v>3242.453</v>
      </c>
      <c r="E75" s="311">
        <v>6484.9059999999999</v>
      </c>
      <c r="F75" s="311">
        <v>-3242.453</v>
      </c>
      <c r="G75" s="311">
        <v>-6484.9059999999999</v>
      </c>
    </row>
    <row r="76" spans="1:7" x14ac:dyDescent="0.2">
      <c r="A76" s="312">
        <v>71340000</v>
      </c>
      <c r="B76" s="311" t="s">
        <v>382</v>
      </c>
      <c r="C76" s="311">
        <v>744393.83600000001</v>
      </c>
      <c r="D76" s="311">
        <v>744393.83600000001</v>
      </c>
      <c r="E76" s="311">
        <v>744393.83600000001</v>
      </c>
      <c r="F76" s="311">
        <v>0</v>
      </c>
      <c r="G76" s="311">
        <v>744393.83600000001</v>
      </c>
    </row>
    <row r="77" spans="1:7" x14ac:dyDescent="0.2">
      <c r="A77" s="312">
        <v>71350000</v>
      </c>
      <c r="B77" s="311" t="s">
        <v>209</v>
      </c>
      <c r="C77" s="311">
        <v>-9550.6813999999995</v>
      </c>
      <c r="D77" s="311">
        <v>10229319.296599999</v>
      </c>
      <c r="E77" s="311">
        <v>9694577.6596000008</v>
      </c>
      <c r="F77" s="311">
        <v>534741.63699999999</v>
      </c>
      <c r="G77" s="311">
        <v>525190.95559999999</v>
      </c>
    </row>
    <row r="78" spans="1:7" x14ac:dyDescent="0.2">
      <c r="A78" s="312">
        <v>73900000</v>
      </c>
      <c r="B78" s="311" t="s">
        <v>213</v>
      </c>
      <c r="C78" s="311">
        <v>-20282.419000000002</v>
      </c>
      <c r="D78" s="311">
        <v>20282.419000000002</v>
      </c>
      <c r="E78" s="311">
        <v>40564.838000000003</v>
      </c>
      <c r="F78" s="311">
        <v>-20282.419000000002</v>
      </c>
      <c r="G78" s="311">
        <v>-40564.838000000003</v>
      </c>
    </row>
    <row r="79" spans="1:7" x14ac:dyDescent="0.2">
      <c r="A79" s="312">
        <v>75600000</v>
      </c>
      <c r="B79" s="311" t="s">
        <v>215</v>
      </c>
      <c r="C79" s="311">
        <v>-16564.642</v>
      </c>
      <c r="D79" s="311">
        <v>16564.642</v>
      </c>
      <c r="E79" s="311">
        <v>55.765000000000001</v>
      </c>
      <c r="F79" s="311">
        <v>16508.877</v>
      </c>
      <c r="G79" s="311">
        <v>-55.765000000000001</v>
      </c>
    </row>
  </sheetData>
  <autoFilter ref="A1:G57" xr:uid="{00000000-0009-0000-0000-000015000000}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G91"/>
  <sheetViews>
    <sheetView workbookViewId="0">
      <selection activeCell="C49" sqref="C49"/>
    </sheetView>
  </sheetViews>
  <sheetFormatPr baseColWidth="10" defaultRowHeight="11.25" x14ac:dyDescent="0.2"/>
  <cols>
    <col min="1" max="1" width="10.42578125" style="15" bestFit="1" customWidth="1"/>
    <col min="2" max="2" width="33.28515625" style="15" bestFit="1" customWidth="1"/>
    <col min="3" max="3" width="12" style="15" bestFit="1" customWidth="1"/>
    <col min="4" max="4" width="13.42578125" style="15" bestFit="1" customWidth="1"/>
    <col min="5" max="5" width="13.7109375" style="15" bestFit="1" customWidth="1"/>
    <col min="6" max="7" width="13.28515625" style="15" bestFit="1" customWidth="1"/>
    <col min="8" max="16384" width="11.42578125" style="15"/>
  </cols>
  <sheetData>
    <row r="1" spans="1:7" x14ac:dyDescent="0.2">
      <c r="A1" s="2" t="s">
        <v>4</v>
      </c>
      <c r="B1" s="2" t="s">
        <v>0</v>
      </c>
      <c r="C1" s="3" t="s">
        <v>5</v>
      </c>
      <c r="D1" s="3" t="s">
        <v>2</v>
      </c>
      <c r="E1" s="3" t="s">
        <v>3</v>
      </c>
      <c r="F1" s="3" t="s">
        <v>6</v>
      </c>
      <c r="G1" s="3" t="s">
        <v>262</v>
      </c>
    </row>
    <row r="2" spans="1:7" x14ac:dyDescent="0.2">
      <c r="A2" s="345">
        <v>13000000</v>
      </c>
      <c r="B2" s="346" t="s">
        <v>273</v>
      </c>
      <c r="C2" s="346">
        <v>-1E-4</v>
      </c>
      <c r="D2" s="346">
        <v>0</v>
      </c>
      <c r="E2" s="346">
        <v>0</v>
      </c>
      <c r="F2" s="346">
        <v>0</v>
      </c>
      <c r="G2" s="346">
        <v>-1E-4</v>
      </c>
    </row>
    <row r="3" spans="1:7" x14ac:dyDescent="0.2">
      <c r="A3" s="347">
        <v>14508000</v>
      </c>
      <c r="B3" s="346" t="s">
        <v>17</v>
      </c>
      <c r="C3" s="346">
        <v>0</v>
      </c>
      <c r="D3" s="346">
        <v>202824.19</v>
      </c>
      <c r="E3" s="346">
        <v>121694.514</v>
      </c>
      <c r="F3" s="346">
        <v>81129.676000000007</v>
      </c>
      <c r="G3" s="346">
        <v>81129.676000000007</v>
      </c>
    </row>
    <row r="4" spans="1:7" x14ac:dyDescent="0.2">
      <c r="A4" s="347">
        <v>22825000</v>
      </c>
      <c r="B4" s="348"/>
      <c r="C4" s="346">
        <v>2.0000000000000001E-4</v>
      </c>
      <c r="D4" s="346">
        <v>0</v>
      </c>
      <c r="E4" s="346">
        <v>0</v>
      </c>
      <c r="F4" s="346">
        <v>0</v>
      </c>
      <c r="G4" s="346">
        <v>2.0000000000000001E-4</v>
      </c>
    </row>
    <row r="5" spans="1:7" x14ac:dyDescent="0.2">
      <c r="A5" s="347">
        <v>28130000</v>
      </c>
      <c r="B5" s="346" t="s">
        <v>24</v>
      </c>
      <c r="C5" s="346">
        <v>1E-4</v>
      </c>
      <c r="D5" s="346">
        <v>5045.2910000000002</v>
      </c>
      <c r="E5" s="346">
        <v>8427.6090000000004</v>
      </c>
      <c r="F5" s="346">
        <v>-3382.3180000000002</v>
      </c>
      <c r="G5" s="346">
        <v>-3382.3179</v>
      </c>
    </row>
    <row r="6" spans="1:7" x14ac:dyDescent="0.2">
      <c r="A6" s="347">
        <v>28216000</v>
      </c>
      <c r="B6" s="346" t="s">
        <v>48</v>
      </c>
      <c r="C6" s="346">
        <v>4.0000000000000002E-4</v>
      </c>
      <c r="D6" s="346">
        <v>1383.6110000000001</v>
      </c>
      <c r="E6" s="346">
        <v>2311.1709999999998</v>
      </c>
      <c r="F6" s="346">
        <v>-927.56</v>
      </c>
      <c r="G6" s="346">
        <v>-927.55960000000005</v>
      </c>
    </row>
    <row r="7" spans="1:7" x14ac:dyDescent="0.2">
      <c r="A7" s="347">
        <v>28220000</v>
      </c>
      <c r="B7" s="346" t="s">
        <v>49</v>
      </c>
      <c r="C7" s="346">
        <v>-2.0000000000000001E-4</v>
      </c>
      <c r="D7" s="346">
        <v>225621.97700000001</v>
      </c>
      <c r="E7" s="346">
        <v>376876.93400000001</v>
      </c>
      <c r="F7" s="346">
        <v>-151254.95699999999</v>
      </c>
      <c r="G7" s="346">
        <v>-151254.9572</v>
      </c>
    </row>
    <row r="8" spans="1:7" x14ac:dyDescent="0.2">
      <c r="A8" s="347">
        <v>28225000</v>
      </c>
      <c r="B8" s="346" t="s">
        <v>50</v>
      </c>
      <c r="C8" s="346">
        <v>4.0000000000000002E-4</v>
      </c>
      <c r="D8" s="346">
        <v>47150.741000000002</v>
      </c>
      <c r="E8" s="346">
        <v>73816.324999999997</v>
      </c>
      <c r="F8" s="346">
        <v>-26665.583999999999</v>
      </c>
      <c r="G8" s="346">
        <v>-26665.583600000002</v>
      </c>
    </row>
    <row r="9" spans="1:7" x14ac:dyDescent="0.2">
      <c r="A9" s="347">
        <v>28230000</v>
      </c>
      <c r="B9" s="346" t="s">
        <v>263</v>
      </c>
      <c r="C9" s="346">
        <v>0</v>
      </c>
      <c r="D9" s="346">
        <v>12271.593000000001</v>
      </c>
      <c r="E9" s="346">
        <v>20608.751</v>
      </c>
      <c r="F9" s="346">
        <v>-8337.1579999999994</v>
      </c>
      <c r="G9" s="346">
        <v>-8337.1579999999994</v>
      </c>
    </row>
    <row r="10" spans="1:7" x14ac:dyDescent="0.2">
      <c r="A10" s="347">
        <v>28231000</v>
      </c>
      <c r="B10" s="346" t="s">
        <v>402</v>
      </c>
      <c r="C10" s="346">
        <v>0</v>
      </c>
      <c r="D10" s="346">
        <v>400.88200000000001</v>
      </c>
      <c r="E10" s="346">
        <v>655.44200000000001</v>
      </c>
      <c r="F10" s="346">
        <v>-254.56</v>
      </c>
      <c r="G10" s="346">
        <v>-254.56</v>
      </c>
    </row>
    <row r="11" spans="1:7" x14ac:dyDescent="0.2">
      <c r="A11" s="347">
        <v>28234000</v>
      </c>
      <c r="B11" s="346" t="s">
        <v>51</v>
      </c>
      <c r="C11" s="346">
        <v>-4.0000000000000002E-4</v>
      </c>
      <c r="D11" s="346">
        <v>801851.76300000004</v>
      </c>
      <c r="E11" s="346">
        <v>1338126.7520000001</v>
      </c>
      <c r="F11" s="346">
        <v>-536274.98899999994</v>
      </c>
      <c r="G11" s="346">
        <v>-536274.98939999996</v>
      </c>
    </row>
    <row r="12" spans="1:7" x14ac:dyDescent="0.2">
      <c r="A12" s="347">
        <v>28235000</v>
      </c>
      <c r="B12" s="346" t="s">
        <v>52</v>
      </c>
      <c r="C12" s="346">
        <v>0</v>
      </c>
      <c r="D12" s="346">
        <v>28090.901000000002</v>
      </c>
      <c r="E12" s="346">
        <v>47110.33</v>
      </c>
      <c r="F12" s="346">
        <v>-19019.429</v>
      </c>
      <c r="G12" s="346">
        <v>-19019.429</v>
      </c>
    </row>
    <row r="13" spans="1:7" x14ac:dyDescent="0.2">
      <c r="A13" s="347">
        <v>28237000</v>
      </c>
      <c r="B13" s="346" t="s">
        <v>53</v>
      </c>
      <c r="C13" s="346">
        <v>-2.0000000000000001E-4</v>
      </c>
      <c r="D13" s="346">
        <v>11907.458000000001</v>
      </c>
      <c r="E13" s="346">
        <v>19970.323</v>
      </c>
      <c r="F13" s="346">
        <v>-8062.8649999999998</v>
      </c>
      <c r="G13" s="346">
        <v>-8062.8652000000002</v>
      </c>
    </row>
    <row r="14" spans="1:7" x14ac:dyDescent="0.2">
      <c r="A14" s="347">
        <v>28240000</v>
      </c>
      <c r="B14" s="346" t="s">
        <v>54</v>
      </c>
      <c r="C14" s="346">
        <v>-2.9999999999999997E-4</v>
      </c>
      <c r="D14" s="346">
        <v>80967.649999999994</v>
      </c>
      <c r="E14" s="346">
        <v>132266.47</v>
      </c>
      <c r="F14" s="346">
        <v>-51298.82</v>
      </c>
      <c r="G14" s="346">
        <v>-51298.820299999999</v>
      </c>
    </row>
    <row r="15" spans="1:7" x14ac:dyDescent="0.2">
      <c r="A15" s="347">
        <v>28282000</v>
      </c>
      <c r="B15" s="346" t="s">
        <v>55</v>
      </c>
      <c r="C15" s="346">
        <v>2.0000000000000001E-4</v>
      </c>
      <c r="D15" s="346">
        <v>26454.108</v>
      </c>
      <c r="E15" s="346">
        <v>44330.873</v>
      </c>
      <c r="F15" s="346">
        <v>-17876.764999999999</v>
      </c>
      <c r="G15" s="346">
        <v>-17876.764800000001</v>
      </c>
    </row>
    <row r="16" spans="1:7" x14ac:dyDescent="0.2">
      <c r="A16" s="347">
        <v>28283000</v>
      </c>
      <c r="B16" s="346" t="s">
        <v>7389</v>
      </c>
      <c r="C16" s="346">
        <v>1E-4</v>
      </c>
      <c r="D16" s="346">
        <v>22494.427</v>
      </c>
      <c r="E16" s="346">
        <v>37613.790999999997</v>
      </c>
      <c r="F16" s="346">
        <v>-15119.364</v>
      </c>
      <c r="G16" s="346">
        <v>-15119.3639</v>
      </c>
    </row>
    <row r="17" spans="1:7" x14ac:dyDescent="0.2">
      <c r="A17" s="347">
        <v>28400000</v>
      </c>
      <c r="B17" s="346" t="s">
        <v>56</v>
      </c>
      <c r="C17" s="346">
        <v>0</v>
      </c>
      <c r="D17" s="346">
        <v>48983.864999999998</v>
      </c>
      <c r="E17" s="346">
        <v>99628.767000000007</v>
      </c>
      <c r="F17" s="346">
        <v>-50644.902000000002</v>
      </c>
      <c r="G17" s="346">
        <v>-50644.902000000002</v>
      </c>
    </row>
    <row r="18" spans="1:7" x14ac:dyDescent="0.2">
      <c r="A18" s="347">
        <v>31100000</v>
      </c>
      <c r="B18" s="346" t="s">
        <v>59</v>
      </c>
      <c r="C18" s="346">
        <v>0</v>
      </c>
      <c r="D18" s="346">
        <v>67358764.827099994</v>
      </c>
      <c r="E18" s="346">
        <v>57721472.228100002</v>
      </c>
      <c r="F18" s="346">
        <v>9637292.5989999995</v>
      </c>
      <c r="G18" s="346">
        <v>9637292.5989999995</v>
      </c>
    </row>
    <row r="19" spans="1:7" x14ac:dyDescent="0.2">
      <c r="A19" s="347">
        <v>31200000</v>
      </c>
      <c r="B19" s="346" t="s">
        <v>390</v>
      </c>
      <c r="C19" s="346">
        <v>0</v>
      </c>
      <c r="D19" s="346">
        <v>3111337.3169999998</v>
      </c>
      <c r="E19" s="346">
        <v>3111337.3169999998</v>
      </c>
      <c r="F19" s="346">
        <v>0</v>
      </c>
      <c r="G19" s="346">
        <v>0</v>
      </c>
    </row>
    <row r="20" spans="1:7" x14ac:dyDescent="0.2">
      <c r="A20" s="347">
        <v>32200000</v>
      </c>
      <c r="B20" s="346" t="s">
        <v>61</v>
      </c>
      <c r="C20" s="346">
        <v>0</v>
      </c>
      <c r="D20" s="346">
        <v>4515833.4694999997</v>
      </c>
      <c r="E20" s="346">
        <v>3892519.7455000002</v>
      </c>
      <c r="F20" s="346">
        <v>623313.72400000005</v>
      </c>
      <c r="G20" s="346">
        <v>623313.72400000005</v>
      </c>
    </row>
    <row r="21" spans="1:7" x14ac:dyDescent="0.2">
      <c r="A21" s="347">
        <v>33100000</v>
      </c>
      <c r="B21" s="346" t="s">
        <v>62</v>
      </c>
      <c r="C21" s="346">
        <v>0</v>
      </c>
      <c r="D21" s="346">
        <v>24805877.481800001</v>
      </c>
      <c r="E21" s="346">
        <v>20251237.215799998</v>
      </c>
      <c r="F21" s="346">
        <v>4554640.2659999998</v>
      </c>
      <c r="G21" s="346">
        <v>4554640.2659999998</v>
      </c>
    </row>
    <row r="22" spans="1:7" x14ac:dyDescent="0.2">
      <c r="A22" s="347">
        <v>35500000</v>
      </c>
      <c r="B22" s="346" t="s">
        <v>63</v>
      </c>
      <c r="C22" s="346">
        <v>0</v>
      </c>
      <c r="D22" s="346">
        <v>11533059.295</v>
      </c>
      <c r="E22" s="346">
        <v>9671434.8440000005</v>
      </c>
      <c r="F22" s="346">
        <v>1861624.4509999999</v>
      </c>
      <c r="G22" s="346">
        <v>1861624.4509999999</v>
      </c>
    </row>
    <row r="23" spans="1:7" x14ac:dyDescent="0.2">
      <c r="A23" s="347">
        <v>40100000</v>
      </c>
      <c r="B23" s="349" t="s">
        <v>66</v>
      </c>
      <c r="C23" s="346">
        <v>0</v>
      </c>
      <c r="D23" s="346">
        <v>0</v>
      </c>
      <c r="E23" s="346">
        <v>0</v>
      </c>
      <c r="F23" s="346">
        <v>0</v>
      </c>
      <c r="G23" s="346">
        <v>0</v>
      </c>
    </row>
    <row r="24" spans="1:7" x14ac:dyDescent="0.2">
      <c r="A24" s="347">
        <v>40120000</v>
      </c>
      <c r="B24" s="349" t="s">
        <v>386</v>
      </c>
      <c r="C24" s="346">
        <v>2.9999999999999997E-4</v>
      </c>
      <c r="D24" s="346">
        <v>0</v>
      </c>
      <c r="E24" s="346">
        <v>0</v>
      </c>
      <c r="F24" s="346">
        <v>0</v>
      </c>
      <c r="G24" s="346">
        <v>2.9999999999999997E-4</v>
      </c>
    </row>
    <row r="25" spans="1:7" x14ac:dyDescent="0.2">
      <c r="A25" s="347">
        <v>40600000</v>
      </c>
      <c r="B25" s="349" t="s">
        <v>70</v>
      </c>
      <c r="C25" s="346">
        <v>0</v>
      </c>
      <c r="D25" s="346">
        <v>1070340.0279999999</v>
      </c>
      <c r="E25" s="346">
        <v>1021702.188</v>
      </c>
      <c r="F25" s="346">
        <v>48637.84</v>
      </c>
      <c r="G25" s="346">
        <v>48637.84</v>
      </c>
    </row>
    <row r="26" spans="1:7" x14ac:dyDescent="0.2">
      <c r="A26" s="347">
        <v>40800000</v>
      </c>
      <c r="B26" s="349" t="s">
        <v>71</v>
      </c>
      <c r="C26" s="346">
        <v>1E-4</v>
      </c>
      <c r="D26" s="346">
        <v>0</v>
      </c>
      <c r="E26" s="346">
        <v>0</v>
      </c>
      <c r="F26" s="346">
        <v>0</v>
      </c>
      <c r="G26" s="346">
        <v>1E-4</v>
      </c>
    </row>
    <row r="27" spans="1:7" x14ac:dyDescent="0.2">
      <c r="A27" s="347">
        <v>41100000</v>
      </c>
      <c r="B27" s="349" t="s">
        <v>73</v>
      </c>
      <c r="C27" s="346">
        <v>-4.0000000000000002E-4</v>
      </c>
      <c r="D27" s="346">
        <v>0</v>
      </c>
      <c r="E27" s="346">
        <v>0</v>
      </c>
      <c r="F27" s="346">
        <v>0</v>
      </c>
      <c r="G27" s="346">
        <v>-4.0000000000000002E-4</v>
      </c>
    </row>
    <row r="28" spans="1:7" x14ac:dyDescent="0.2">
      <c r="A28" s="347">
        <v>41500000</v>
      </c>
      <c r="B28" s="349" t="s">
        <v>75</v>
      </c>
      <c r="C28" s="346">
        <v>-4.0000000000000002E-4</v>
      </c>
      <c r="D28" s="346">
        <v>3757277.7850000001</v>
      </c>
      <c r="E28" s="346">
        <v>3757277.7850000001</v>
      </c>
      <c r="F28" s="346">
        <v>0</v>
      </c>
      <c r="G28" s="346">
        <v>-4.0000000000000002E-4</v>
      </c>
    </row>
    <row r="29" spans="1:7" x14ac:dyDescent="0.2">
      <c r="A29" s="347">
        <v>41800000</v>
      </c>
      <c r="B29" s="349" t="s">
        <v>307</v>
      </c>
      <c r="C29" s="346">
        <v>4.0000000000000002E-4</v>
      </c>
      <c r="D29" s="346">
        <v>0</v>
      </c>
      <c r="E29" s="346">
        <v>0</v>
      </c>
      <c r="F29" s="346">
        <v>0</v>
      </c>
      <c r="G29" s="346">
        <v>4.0000000000000002E-4</v>
      </c>
    </row>
    <row r="30" spans="1:7" x14ac:dyDescent="0.2">
      <c r="A30" s="347">
        <v>42820000</v>
      </c>
      <c r="B30" s="346" t="s">
        <v>83</v>
      </c>
      <c r="C30" s="346">
        <v>0</v>
      </c>
      <c r="D30" s="346">
        <v>1521765.5430000001</v>
      </c>
      <c r="E30" s="346">
        <v>1792874.0160000001</v>
      </c>
      <c r="F30" s="346">
        <v>-271108.473</v>
      </c>
      <c r="G30" s="346">
        <v>-271108.473</v>
      </c>
    </row>
    <row r="31" spans="1:7" x14ac:dyDescent="0.2">
      <c r="A31" s="347">
        <v>45310000</v>
      </c>
      <c r="B31" s="346" t="s">
        <v>104</v>
      </c>
      <c r="C31" s="346">
        <v>0</v>
      </c>
      <c r="D31" s="346">
        <v>259121.71799999999</v>
      </c>
      <c r="E31" s="346">
        <v>302670.05</v>
      </c>
      <c r="F31" s="346">
        <v>-43548.332000000002</v>
      </c>
      <c r="G31" s="346">
        <v>-43548.332000000002</v>
      </c>
    </row>
    <row r="32" spans="1:7" x14ac:dyDescent="0.2">
      <c r="A32" s="347">
        <v>45860000</v>
      </c>
      <c r="B32" s="346" t="s">
        <v>106</v>
      </c>
      <c r="C32" s="346">
        <v>-2.9999999999999997E-4</v>
      </c>
      <c r="D32" s="346">
        <v>2291790.7999999998</v>
      </c>
      <c r="E32" s="346">
        <v>3224365.6889999998</v>
      </c>
      <c r="F32" s="346">
        <v>-932574.88899999997</v>
      </c>
      <c r="G32" s="346">
        <v>-932574.88930000004</v>
      </c>
    </row>
    <row r="33" spans="1:7" x14ac:dyDescent="0.2">
      <c r="A33" s="347">
        <v>45870000</v>
      </c>
      <c r="B33" s="346" t="s">
        <v>107</v>
      </c>
      <c r="C33" s="346">
        <v>0</v>
      </c>
      <c r="D33" s="346">
        <v>32424.53</v>
      </c>
      <c r="E33" s="346">
        <v>19454.718000000001</v>
      </c>
      <c r="F33" s="346">
        <v>12969.812</v>
      </c>
      <c r="G33" s="346">
        <v>12969.812</v>
      </c>
    </row>
    <row r="34" spans="1:7" x14ac:dyDescent="0.2">
      <c r="A34" s="347">
        <v>47100000</v>
      </c>
      <c r="B34" s="346" t="s">
        <v>109</v>
      </c>
      <c r="C34" s="346">
        <v>1E-4</v>
      </c>
      <c r="D34" s="346">
        <v>760687.26800000004</v>
      </c>
      <c r="E34" s="346">
        <v>606235.50899999996</v>
      </c>
      <c r="F34" s="346">
        <v>154451.75899999999</v>
      </c>
      <c r="G34" s="346">
        <v>154451.7591</v>
      </c>
    </row>
    <row r="35" spans="1:7" x14ac:dyDescent="0.2">
      <c r="A35" s="347">
        <v>49100000</v>
      </c>
      <c r="B35" s="346" t="s">
        <v>110</v>
      </c>
      <c r="C35" s="346">
        <v>0</v>
      </c>
      <c r="D35" s="346">
        <v>200000</v>
      </c>
      <c r="E35" s="346">
        <v>400000</v>
      </c>
      <c r="F35" s="346">
        <v>-200000</v>
      </c>
      <c r="G35" s="346">
        <v>-200000</v>
      </c>
    </row>
    <row r="36" spans="1:7" x14ac:dyDescent="0.2">
      <c r="A36" s="347">
        <v>53205700</v>
      </c>
      <c r="B36" s="346" t="s">
        <v>129</v>
      </c>
      <c r="C36" s="346">
        <v>0</v>
      </c>
      <c r="D36" s="346">
        <v>166195.541</v>
      </c>
      <c r="E36" s="346">
        <v>224804.133</v>
      </c>
      <c r="F36" s="346">
        <v>-58608.591999999997</v>
      </c>
      <c r="G36" s="346">
        <v>-58608.591999999997</v>
      </c>
    </row>
    <row r="37" spans="1:7" x14ac:dyDescent="0.2">
      <c r="A37" s="347">
        <v>53205800</v>
      </c>
      <c r="B37" s="346" t="s">
        <v>130</v>
      </c>
      <c r="C37" s="346">
        <v>0</v>
      </c>
      <c r="D37" s="346">
        <v>259.01400000000001</v>
      </c>
      <c r="E37" s="346">
        <v>182.745</v>
      </c>
      <c r="F37" s="346">
        <v>76.269000000000005</v>
      </c>
      <c r="G37" s="346">
        <v>76.269000000000005</v>
      </c>
    </row>
    <row r="38" spans="1:7" x14ac:dyDescent="0.2">
      <c r="A38" s="347">
        <v>60110110</v>
      </c>
      <c r="B38" s="346" t="s">
        <v>403</v>
      </c>
      <c r="C38" s="346">
        <v>0</v>
      </c>
      <c r="D38" s="346">
        <v>1463593.0149999999</v>
      </c>
      <c r="E38" s="346">
        <v>1463593.0149999999</v>
      </c>
      <c r="F38" s="346">
        <v>0</v>
      </c>
      <c r="G38" s="346">
        <v>0</v>
      </c>
    </row>
    <row r="39" spans="1:7" x14ac:dyDescent="0.2">
      <c r="A39" s="347">
        <v>60110500</v>
      </c>
      <c r="B39" s="346" t="s">
        <v>144</v>
      </c>
      <c r="C39" s="346">
        <v>0</v>
      </c>
      <c r="D39" s="346">
        <v>3677.7440000000001</v>
      </c>
      <c r="E39" s="346">
        <v>3677.7440000000001</v>
      </c>
      <c r="F39" s="346">
        <v>0</v>
      </c>
      <c r="G39" s="346">
        <v>0</v>
      </c>
    </row>
    <row r="40" spans="1:7" x14ac:dyDescent="0.2">
      <c r="A40" s="347">
        <v>60110900</v>
      </c>
      <c r="B40" s="346" t="s">
        <v>147</v>
      </c>
      <c r="C40" s="346">
        <v>0</v>
      </c>
      <c r="D40" s="346">
        <v>99509.387000000002</v>
      </c>
      <c r="E40" s="346">
        <v>57243.120999999999</v>
      </c>
      <c r="F40" s="346">
        <v>42266.266000000003</v>
      </c>
      <c r="G40" s="346">
        <v>42266.266000000003</v>
      </c>
    </row>
    <row r="41" spans="1:7" x14ac:dyDescent="0.2">
      <c r="A41" s="347">
        <v>60120300</v>
      </c>
      <c r="B41" s="346" t="s">
        <v>409</v>
      </c>
      <c r="C41" s="346">
        <v>0</v>
      </c>
      <c r="D41" s="346">
        <v>370968.11</v>
      </c>
      <c r="E41" s="346">
        <v>293082.55</v>
      </c>
      <c r="F41" s="346">
        <v>77885.56</v>
      </c>
      <c r="G41" s="346">
        <v>77885.56</v>
      </c>
    </row>
    <row r="42" spans="1:7" x14ac:dyDescent="0.2">
      <c r="A42" s="347">
        <v>60121500</v>
      </c>
      <c r="B42" s="346" t="s">
        <v>404</v>
      </c>
      <c r="C42" s="346">
        <v>0</v>
      </c>
      <c r="D42" s="346">
        <v>43200</v>
      </c>
      <c r="E42" s="346">
        <v>43200</v>
      </c>
      <c r="F42" s="346">
        <v>0</v>
      </c>
      <c r="G42" s="346">
        <v>0</v>
      </c>
    </row>
    <row r="43" spans="1:7" x14ac:dyDescent="0.2">
      <c r="A43" s="347">
        <v>60122200</v>
      </c>
      <c r="B43" s="346" t="s">
        <v>156</v>
      </c>
      <c r="C43" s="346">
        <v>0</v>
      </c>
      <c r="D43" s="346">
        <v>12789</v>
      </c>
      <c r="E43" s="346">
        <v>12789</v>
      </c>
      <c r="F43" s="346">
        <v>0</v>
      </c>
      <c r="G43" s="346">
        <v>0</v>
      </c>
    </row>
    <row r="44" spans="1:7" x14ac:dyDescent="0.2">
      <c r="A44" s="347">
        <v>60122411</v>
      </c>
      <c r="B44" s="346" t="s">
        <v>367</v>
      </c>
      <c r="C44" s="346">
        <v>0</v>
      </c>
      <c r="D44" s="346">
        <v>474.8</v>
      </c>
      <c r="E44" s="346">
        <v>474.8</v>
      </c>
      <c r="F44" s="346">
        <v>0</v>
      </c>
      <c r="G44" s="346">
        <v>0</v>
      </c>
    </row>
    <row r="45" spans="1:7" x14ac:dyDescent="0.2">
      <c r="A45" s="347">
        <v>60122700</v>
      </c>
      <c r="B45" s="346" t="s">
        <v>7567</v>
      </c>
      <c r="C45" s="346">
        <v>0</v>
      </c>
      <c r="D45" s="346">
        <v>12212.5</v>
      </c>
      <c r="E45" s="346">
        <v>8712.5</v>
      </c>
      <c r="F45" s="346">
        <v>3500</v>
      </c>
      <c r="G45" s="346">
        <v>3500</v>
      </c>
    </row>
    <row r="46" spans="1:7" x14ac:dyDescent="0.2">
      <c r="A46" s="347">
        <v>60171000</v>
      </c>
      <c r="B46" s="346" t="s">
        <v>369</v>
      </c>
      <c r="C46" s="346">
        <v>0</v>
      </c>
      <c r="D46" s="346">
        <v>195028.44</v>
      </c>
      <c r="E46" s="346">
        <v>138117.19200000001</v>
      </c>
      <c r="F46" s="346">
        <v>56911.248</v>
      </c>
      <c r="G46" s="346">
        <v>56911.248</v>
      </c>
    </row>
    <row r="47" spans="1:7" x14ac:dyDescent="0.2">
      <c r="A47" s="347">
        <v>60172000</v>
      </c>
      <c r="B47" s="346" t="s">
        <v>169</v>
      </c>
      <c r="C47" s="346">
        <v>0</v>
      </c>
      <c r="D47" s="346">
        <v>293194.239</v>
      </c>
      <c r="E47" s="346">
        <v>198085.959</v>
      </c>
      <c r="F47" s="346">
        <v>95108.28</v>
      </c>
      <c r="G47" s="346">
        <v>95108.28</v>
      </c>
    </row>
    <row r="48" spans="1:7" x14ac:dyDescent="0.2">
      <c r="A48" s="347">
        <v>60173000</v>
      </c>
      <c r="B48" s="346" t="s">
        <v>170</v>
      </c>
      <c r="C48" s="346">
        <v>0</v>
      </c>
      <c r="D48" s="346">
        <v>25129.195</v>
      </c>
      <c r="E48" s="346">
        <v>15894.249</v>
      </c>
      <c r="F48" s="346">
        <v>9234.9459999999999</v>
      </c>
      <c r="G48" s="346">
        <v>9234.9459999999999</v>
      </c>
    </row>
    <row r="49" spans="1:7" x14ac:dyDescent="0.2">
      <c r="A49" s="347">
        <v>60260400</v>
      </c>
      <c r="B49" s="346" t="s">
        <v>161</v>
      </c>
      <c r="C49" s="346">
        <v>0</v>
      </c>
      <c r="D49" s="346">
        <v>9653.4</v>
      </c>
      <c r="E49" s="346">
        <v>9653.4</v>
      </c>
      <c r="F49" s="346">
        <v>0</v>
      </c>
      <c r="G49" s="346">
        <v>0</v>
      </c>
    </row>
    <row r="50" spans="1:7" x14ac:dyDescent="0.2">
      <c r="A50" s="347">
        <v>60260700</v>
      </c>
      <c r="B50" s="346" t="s">
        <v>163</v>
      </c>
      <c r="C50" s="346">
        <v>0</v>
      </c>
      <c r="D50" s="346">
        <v>4045.7</v>
      </c>
      <c r="E50" s="346">
        <v>1955</v>
      </c>
      <c r="F50" s="346">
        <v>2090.6999999999998</v>
      </c>
      <c r="G50" s="346">
        <v>2090.6999999999998</v>
      </c>
    </row>
    <row r="51" spans="1:7" x14ac:dyDescent="0.2">
      <c r="A51" s="347">
        <v>60262000</v>
      </c>
      <c r="B51" s="346" t="s">
        <v>164</v>
      </c>
      <c r="C51" s="346">
        <v>0</v>
      </c>
      <c r="D51" s="346">
        <v>9785</v>
      </c>
      <c r="E51" s="346">
        <v>8425</v>
      </c>
      <c r="F51" s="346">
        <v>1360</v>
      </c>
      <c r="G51" s="346">
        <v>1360</v>
      </c>
    </row>
    <row r="52" spans="1:7" x14ac:dyDescent="0.2">
      <c r="A52" s="347">
        <v>60310000</v>
      </c>
      <c r="B52" s="346" t="s">
        <v>265</v>
      </c>
      <c r="C52" s="346">
        <v>0</v>
      </c>
      <c r="D52" s="346">
        <v>59185065.2421</v>
      </c>
      <c r="E52" s="346">
        <v>68822357.841100007</v>
      </c>
      <c r="F52" s="346">
        <v>-9637292.5989999995</v>
      </c>
      <c r="G52" s="346">
        <v>-9637292.5989999995</v>
      </c>
    </row>
    <row r="53" spans="1:7" x14ac:dyDescent="0.2">
      <c r="A53" s="347">
        <v>60330000</v>
      </c>
      <c r="B53" s="346" t="s">
        <v>266</v>
      </c>
      <c r="C53" s="346">
        <v>0</v>
      </c>
      <c r="D53" s="346">
        <v>3892519.7455000002</v>
      </c>
      <c r="E53" s="346">
        <v>4515833.4694999997</v>
      </c>
      <c r="F53" s="346">
        <v>-623313.72400000005</v>
      </c>
      <c r="G53" s="346">
        <v>-623313.72400000005</v>
      </c>
    </row>
    <row r="54" spans="1:7" x14ac:dyDescent="0.2">
      <c r="A54" s="347">
        <v>60401000</v>
      </c>
      <c r="B54" s="346" t="s">
        <v>166</v>
      </c>
      <c r="C54" s="346">
        <v>0</v>
      </c>
      <c r="D54" s="346">
        <v>163551.00099999999</v>
      </c>
      <c r="E54" s="346">
        <v>109379.001</v>
      </c>
      <c r="F54" s="346">
        <v>54172</v>
      </c>
      <c r="G54" s="346">
        <v>54172</v>
      </c>
    </row>
    <row r="55" spans="1:7" x14ac:dyDescent="0.2">
      <c r="A55" s="347">
        <v>60502000</v>
      </c>
      <c r="B55" s="346" t="s">
        <v>167</v>
      </c>
      <c r="C55" s="346">
        <v>0</v>
      </c>
      <c r="D55" s="346">
        <v>49793.364000000001</v>
      </c>
      <c r="E55" s="346">
        <v>35453.442999999999</v>
      </c>
      <c r="F55" s="346">
        <v>14339.921</v>
      </c>
      <c r="G55" s="346">
        <v>14339.921</v>
      </c>
    </row>
    <row r="56" spans="1:7" x14ac:dyDescent="0.2">
      <c r="A56" s="347">
        <v>60620000</v>
      </c>
      <c r="B56" s="346" t="s">
        <v>172</v>
      </c>
      <c r="C56" s="346">
        <v>0</v>
      </c>
      <c r="D56" s="346">
        <v>2067.6999999999998</v>
      </c>
      <c r="E56" s="346">
        <v>1632.7</v>
      </c>
      <c r="F56" s="346">
        <v>435</v>
      </c>
      <c r="G56" s="346">
        <v>435</v>
      </c>
    </row>
    <row r="57" spans="1:7" x14ac:dyDescent="0.2">
      <c r="A57" s="347">
        <v>60650000</v>
      </c>
      <c r="B57" s="346" t="s">
        <v>373</v>
      </c>
      <c r="C57" s="346">
        <v>0</v>
      </c>
      <c r="D57" s="346">
        <v>1350</v>
      </c>
      <c r="E57" s="346">
        <v>0</v>
      </c>
      <c r="F57" s="346">
        <v>1350</v>
      </c>
      <c r="G57" s="346">
        <v>1350</v>
      </c>
    </row>
    <row r="58" spans="1:7" x14ac:dyDescent="0.2">
      <c r="A58" s="347">
        <v>60671000</v>
      </c>
      <c r="B58" s="346" t="s">
        <v>374</v>
      </c>
      <c r="C58" s="346">
        <v>0</v>
      </c>
      <c r="D58" s="346">
        <v>3577.85</v>
      </c>
      <c r="E58" s="346">
        <v>2830</v>
      </c>
      <c r="F58" s="346">
        <v>747.85</v>
      </c>
      <c r="G58" s="346">
        <v>747.85</v>
      </c>
    </row>
    <row r="59" spans="1:7" x14ac:dyDescent="0.2">
      <c r="A59" s="347">
        <v>61500000</v>
      </c>
      <c r="B59" s="346" t="s">
        <v>176</v>
      </c>
      <c r="C59" s="346">
        <v>0</v>
      </c>
      <c r="D59" s="346">
        <v>60455.093000000001</v>
      </c>
      <c r="E59" s="346">
        <v>62747.237999999998</v>
      </c>
      <c r="F59" s="346">
        <v>-2292.145</v>
      </c>
      <c r="G59" s="346">
        <v>-2292.145</v>
      </c>
    </row>
    <row r="60" spans="1:7" x14ac:dyDescent="0.2">
      <c r="A60" s="347">
        <v>61600000</v>
      </c>
      <c r="B60" s="346" t="s">
        <v>397</v>
      </c>
      <c r="C60" s="346">
        <v>0</v>
      </c>
      <c r="D60" s="346">
        <v>24552</v>
      </c>
      <c r="E60" s="346">
        <v>34372.800000000003</v>
      </c>
      <c r="F60" s="346">
        <v>-9820.7999999999993</v>
      </c>
      <c r="G60" s="346">
        <v>-9820.7999999999993</v>
      </c>
    </row>
    <row r="61" spans="1:7" x14ac:dyDescent="0.2">
      <c r="A61" s="347">
        <v>61603000</v>
      </c>
      <c r="B61" s="346" t="s">
        <v>178</v>
      </c>
      <c r="C61" s="346">
        <v>0</v>
      </c>
      <c r="D61" s="346">
        <v>27333.088</v>
      </c>
      <c r="E61" s="346">
        <v>14155.008</v>
      </c>
      <c r="F61" s="346">
        <v>13178.08</v>
      </c>
      <c r="G61" s="346">
        <v>13178.08</v>
      </c>
    </row>
    <row r="62" spans="1:7" x14ac:dyDescent="0.2">
      <c r="A62" s="347">
        <v>62230000</v>
      </c>
      <c r="B62" s="346" t="s">
        <v>375</v>
      </c>
      <c r="C62" s="346">
        <v>0</v>
      </c>
      <c r="D62" s="346">
        <v>300</v>
      </c>
      <c r="E62" s="346">
        <v>566.66700000000003</v>
      </c>
      <c r="F62" s="346">
        <v>-266.66699999999997</v>
      </c>
      <c r="G62" s="346">
        <v>-266.66699999999997</v>
      </c>
    </row>
    <row r="63" spans="1:7" x14ac:dyDescent="0.2">
      <c r="A63" s="347">
        <v>62240000</v>
      </c>
      <c r="B63" s="346" t="s">
        <v>267</v>
      </c>
      <c r="C63" s="346">
        <v>0</v>
      </c>
      <c r="D63" s="346">
        <v>116894.5</v>
      </c>
      <c r="E63" s="346">
        <v>148066.367</v>
      </c>
      <c r="F63" s="346">
        <v>-31171.866999999998</v>
      </c>
      <c r="G63" s="346">
        <v>-31171.866999999998</v>
      </c>
    </row>
    <row r="64" spans="1:7" x14ac:dyDescent="0.2">
      <c r="A64" s="347">
        <v>62250000</v>
      </c>
      <c r="B64" s="346" t="s">
        <v>268</v>
      </c>
      <c r="C64" s="346">
        <v>0</v>
      </c>
      <c r="D64" s="346">
        <v>25000</v>
      </c>
      <c r="E64" s="346">
        <v>15000</v>
      </c>
      <c r="F64" s="346">
        <v>10000</v>
      </c>
      <c r="G64" s="346">
        <v>10000</v>
      </c>
    </row>
    <row r="65" spans="1:7" x14ac:dyDescent="0.2">
      <c r="A65" s="347">
        <v>62300000</v>
      </c>
      <c r="B65" s="346" t="s">
        <v>182</v>
      </c>
      <c r="C65" s="346">
        <v>0</v>
      </c>
      <c r="D65" s="346">
        <v>115000</v>
      </c>
      <c r="E65" s="346">
        <v>69000</v>
      </c>
      <c r="F65" s="346">
        <v>46000</v>
      </c>
      <c r="G65" s="346">
        <v>46000</v>
      </c>
    </row>
    <row r="66" spans="1:7" x14ac:dyDescent="0.2">
      <c r="A66" s="347">
        <v>62430000</v>
      </c>
      <c r="B66" s="346" t="s">
        <v>159</v>
      </c>
      <c r="C66" s="346">
        <v>0</v>
      </c>
      <c r="D66" s="346">
        <v>42256.45</v>
      </c>
      <c r="E66" s="346">
        <v>23256.45</v>
      </c>
      <c r="F66" s="346">
        <v>19000</v>
      </c>
      <c r="G66" s="346">
        <v>19000</v>
      </c>
    </row>
    <row r="67" spans="1:7" x14ac:dyDescent="0.2">
      <c r="A67" s="347">
        <v>62600000</v>
      </c>
      <c r="B67" s="346" t="s">
        <v>188</v>
      </c>
      <c r="C67" s="346">
        <v>0</v>
      </c>
      <c r="D67" s="346">
        <v>6564</v>
      </c>
      <c r="E67" s="346">
        <v>10940</v>
      </c>
      <c r="F67" s="346">
        <v>-4376</v>
      </c>
      <c r="G67" s="346">
        <v>-4376</v>
      </c>
    </row>
    <row r="68" spans="1:7" x14ac:dyDescent="0.2">
      <c r="A68" s="347">
        <v>62780000</v>
      </c>
      <c r="B68" s="346" t="s">
        <v>189</v>
      </c>
      <c r="C68" s="346">
        <v>0</v>
      </c>
      <c r="D68" s="346">
        <v>82984.58</v>
      </c>
      <c r="E68" s="346">
        <v>49790.748</v>
      </c>
      <c r="F68" s="346">
        <v>33193.832000000002</v>
      </c>
      <c r="G68" s="346">
        <v>33193.832000000002</v>
      </c>
    </row>
    <row r="69" spans="1:7" x14ac:dyDescent="0.2">
      <c r="A69" s="347">
        <v>63300000</v>
      </c>
      <c r="B69" s="346" t="s">
        <v>269</v>
      </c>
      <c r="C69" s="346">
        <v>0</v>
      </c>
      <c r="D69" s="346">
        <v>104166.66800000001</v>
      </c>
      <c r="E69" s="346">
        <v>62500.000999999997</v>
      </c>
      <c r="F69" s="346">
        <v>41666.667000000001</v>
      </c>
      <c r="G69" s="346">
        <v>41666.667000000001</v>
      </c>
    </row>
    <row r="70" spans="1:7" x14ac:dyDescent="0.2">
      <c r="A70" s="347">
        <v>64001000</v>
      </c>
      <c r="B70" s="346" t="s">
        <v>191</v>
      </c>
      <c r="C70" s="346">
        <v>0</v>
      </c>
      <c r="D70" s="346">
        <v>413518.88400000002</v>
      </c>
      <c r="E70" s="346">
        <v>413518.88400000002</v>
      </c>
      <c r="F70" s="346">
        <v>0</v>
      </c>
      <c r="G70" s="346">
        <v>0</v>
      </c>
    </row>
    <row r="71" spans="1:7" x14ac:dyDescent="0.2">
      <c r="A71" s="347">
        <v>64001100</v>
      </c>
      <c r="B71" s="346" t="s">
        <v>405</v>
      </c>
      <c r="C71" s="346">
        <v>0</v>
      </c>
      <c r="D71" s="346">
        <v>250000</v>
      </c>
      <c r="E71" s="346">
        <v>150000</v>
      </c>
      <c r="F71" s="346">
        <v>100000</v>
      </c>
      <c r="G71" s="346">
        <v>100000</v>
      </c>
    </row>
    <row r="72" spans="1:7" x14ac:dyDescent="0.2">
      <c r="A72" s="347">
        <v>64020000</v>
      </c>
      <c r="B72" s="346" t="s">
        <v>406</v>
      </c>
      <c r="C72" s="346">
        <v>0</v>
      </c>
      <c r="D72" s="346">
        <v>384643.34899999999</v>
      </c>
      <c r="E72" s="346">
        <v>250408.69500000001</v>
      </c>
      <c r="F72" s="346">
        <v>134234.65400000001</v>
      </c>
      <c r="G72" s="346">
        <v>134234.65400000001</v>
      </c>
    </row>
    <row r="73" spans="1:7" x14ac:dyDescent="0.2">
      <c r="A73" s="347">
        <v>64600100</v>
      </c>
      <c r="B73" s="346" t="s">
        <v>407</v>
      </c>
      <c r="C73" s="346">
        <v>0</v>
      </c>
      <c r="D73" s="346">
        <v>1792874.0160000001</v>
      </c>
      <c r="E73" s="346">
        <v>1521765.5430000001</v>
      </c>
      <c r="F73" s="346">
        <v>271108.473</v>
      </c>
      <c r="G73" s="346">
        <v>271108.473</v>
      </c>
    </row>
    <row r="74" spans="1:7" x14ac:dyDescent="0.2">
      <c r="A74" s="347">
        <v>64720000</v>
      </c>
      <c r="B74" s="346" t="s">
        <v>194</v>
      </c>
      <c r="C74" s="346">
        <v>0</v>
      </c>
      <c r="D74" s="346">
        <v>302670.05</v>
      </c>
      <c r="E74" s="346">
        <v>259121.71799999999</v>
      </c>
      <c r="F74" s="346">
        <v>43548.332000000002</v>
      </c>
      <c r="G74" s="346">
        <v>43548.332000000002</v>
      </c>
    </row>
    <row r="75" spans="1:7" x14ac:dyDescent="0.2">
      <c r="A75" s="347">
        <v>65110200</v>
      </c>
      <c r="B75" s="346" t="s">
        <v>196</v>
      </c>
      <c r="C75" s="346">
        <v>0</v>
      </c>
      <c r="D75" s="346">
        <v>177226.44699999999</v>
      </c>
      <c r="E75" s="346">
        <v>219059.31599999999</v>
      </c>
      <c r="F75" s="346">
        <v>-41832.868999999999</v>
      </c>
      <c r="G75" s="346">
        <v>-41832.868999999999</v>
      </c>
    </row>
    <row r="76" spans="1:7" x14ac:dyDescent="0.2">
      <c r="A76" s="347">
        <v>65110400</v>
      </c>
      <c r="B76" s="346" t="s">
        <v>197</v>
      </c>
      <c r="C76" s="346">
        <v>0</v>
      </c>
      <c r="D76" s="346">
        <v>272385.91600000003</v>
      </c>
      <c r="E76" s="346">
        <v>336598.59</v>
      </c>
      <c r="F76" s="346">
        <v>-64212.673999999999</v>
      </c>
      <c r="G76" s="346">
        <v>-64212.673999999999</v>
      </c>
    </row>
    <row r="77" spans="1:7" x14ac:dyDescent="0.2">
      <c r="A77" s="347">
        <v>65150000</v>
      </c>
      <c r="B77" s="346" t="s">
        <v>270</v>
      </c>
      <c r="C77" s="346">
        <v>0</v>
      </c>
      <c r="D77" s="346">
        <v>29678.904999999999</v>
      </c>
      <c r="E77" s="346">
        <v>17814.794999999998</v>
      </c>
      <c r="F77" s="346">
        <v>11864.11</v>
      </c>
      <c r="G77" s="346">
        <v>11864.11</v>
      </c>
    </row>
    <row r="78" spans="1:7" x14ac:dyDescent="0.2">
      <c r="A78" s="347">
        <v>65190000</v>
      </c>
      <c r="B78" s="346" t="s">
        <v>198</v>
      </c>
      <c r="C78" s="346">
        <v>0</v>
      </c>
      <c r="D78" s="346">
        <v>293028.03000000003</v>
      </c>
      <c r="E78" s="346">
        <v>175816.818</v>
      </c>
      <c r="F78" s="346">
        <v>117211.212</v>
      </c>
      <c r="G78" s="346">
        <v>117211.212</v>
      </c>
    </row>
    <row r="79" spans="1:7" x14ac:dyDescent="0.2">
      <c r="A79" s="347">
        <v>65500000</v>
      </c>
      <c r="B79" s="346" t="s">
        <v>7722</v>
      </c>
      <c r="C79" s="346">
        <v>0</v>
      </c>
      <c r="D79" s="346">
        <v>9970.7520000000004</v>
      </c>
      <c r="E79" s="346">
        <v>0</v>
      </c>
      <c r="F79" s="346">
        <v>9970.7520000000004</v>
      </c>
      <c r="G79" s="346">
        <v>9970.7520000000004</v>
      </c>
    </row>
    <row r="80" spans="1:7" x14ac:dyDescent="0.2">
      <c r="A80" s="347">
        <v>66520000</v>
      </c>
      <c r="B80" s="346" t="s">
        <v>200</v>
      </c>
      <c r="C80" s="346">
        <v>0</v>
      </c>
      <c r="D80" s="346">
        <v>29990.190999999999</v>
      </c>
      <c r="E80" s="346">
        <v>24739.031999999999</v>
      </c>
      <c r="F80" s="346">
        <v>5251.1589999999997</v>
      </c>
      <c r="G80" s="346">
        <v>5251.1589999999997</v>
      </c>
    </row>
    <row r="81" spans="1:7" x14ac:dyDescent="0.2">
      <c r="A81" s="347">
        <v>66550000</v>
      </c>
      <c r="B81" s="346" t="s">
        <v>202</v>
      </c>
      <c r="C81" s="346">
        <v>0</v>
      </c>
      <c r="D81" s="346">
        <v>9000</v>
      </c>
      <c r="E81" s="346">
        <v>5400</v>
      </c>
      <c r="F81" s="346">
        <v>3600</v>
      </c>
      <c r="G81" s="346">
        <v>3600</v>
      </c>
    </row>
    <row r="82" spans="1:7" x14ac:dyDescent="0.2">
      <c r="A82" s="347">
        <v>68112000</v>
      </c>
      <c r="B82" s="346" t="s">
        <v>7390</v>
      </c>
      <c r="C82" s="346">
        <v>0</v>
      </c>
      <c r="D82" s="346">
        <v>2267359.2050000001</v>
      </c>
      <c r="E82" s="346">
        <v>1340745.267</v>
      </c>
      <c r="F82" s="346">
        <v>926613.93799999997</v>
      </c>
      <c r="G82" s="346">
        <v>926613.93799999997</v>
      </c>
    </row>
    <row r="83" spans="1:7" x14ac:dyDescent="0.2">
      <c r="A83" s="347">
        <v>68170000</v>
      </c>
      <c r="B83" s="346" t="s">
        <v>7577</v>
      </c>
      <c r="C83" s="346">
        <v>0</v>
      </c>
      <c r="D83" s="346">
        <v>400000</v>
      </c>
      <c r="E83" s="346">
        <v>200000</v>
      </c>
      <c r="F83" s="346">
        <v>200000</v>
      </c>
      <c r="G83" s="346">
        <v>200000</v>
      </c>
    </row>
    <row r="84" spans="1:7" x14ac:dyDescent="0.2">
      <c r="A84" s="347">
        <v>70102000</v>
      </c>
      <c r="B84" s="346" t="s">
        <v>207</v>
      </c>
      <c r="C84" s="346">
        <v>0</v>
      </c>
      <c r="D84" s="346">
        <v>3757277.7850000001</v>
      </c>
      <c r="E84" s="346">
        <v>3757277.7850000001</v>
      </c>
      <c r="F84" s="346">
        <v>0</v>
      </c>
      <c r="G84" s="346">
        <v>0</v>
      </c>
    </row>
    <row r="85" spans="1:7" x14ac:dyDescent="0.2">
      <c r="A85" s="347">
        <v>70600500</v>
      </c>
      <c r="B85" s="346" t="s">
        <v>208</v>
      </c>
      <c r="C85" s="346">
        <v>0</v>
      </c>
      <c r="D85" s="346">
        <v>19454.718000000001</v>
      </c>
      <c r="E85" s="346">
        <v>32424.53</v>
      </c>
      <c r="F85" s="346">
        <v>-12969.812</v>
      </c>
      <c r="G85" s="346">
        <v>-12969.812</v>
      </c>
    </row>
    <row r="86" spans="1:7" x14ac:dyDescent="0.2">
      <c r="A86" s="347">
        <v>71340000</v>
      </c>
      <c r="B86" s="346" t="s">
        <v>382</v>
      </c>
      <c r="C86" s="346">
        <v>0</v>
      </c>
      <c r="D86" s="346">
        <v>2233181.5079999999</v>
      </c>
      <c r="E86" s="346">
        <v>2233181.5079999999</v>
      </c>
      <c r="F86" s="346">
        <v>0</v>
      </c>
      <c r="G86" s="346">
        <v>0</v>
      </c>
    </row>
    <row r="87" spans="1:7" x14ac:dyDescent="0.2">
      <c r="A87" s="347">
        <v>71350000</v>
      </c>
      <c r="B87" s="346" t="s">
        <v>209</v>
      </c>
      <c r="C87" s="346">
        <v>0</v>
      </c>
      <c r="D87" s="346">
        <v>29922672.060800001</v>
      </c>
      <c r="E87" s="346">
        <v>36338936.777800001</v>
      </c>
      <c r="F87" s="346">
        <v>-6416264.7170000002</v>
      </c>
      <c r="G87" s="346">
        <v>-6416264.7170000002</v>
      </c>
    </row>
    <row r="88" spans="1:7" x14ac:dyDescent="0.2">
      <c r="A88" s="347">
        <v>73900000</v>
      </c>
      <c r="B88" s="346" t="s">
        <v>213</v>
      </c>
      <c r="C88" s="346">
        <v>0</v>
      </c>
      <c r="D88" s="346">
        <v>121694.514</v>
      </c>
      <c r="E88" s="346">
        <v>202824.19</v>
      </c>
      <c r="F88" s="346">
        <v>-81129.676000000007</v>
      </c>
      <c r="G88" s="346">
        <v>-81129.676000000007</v>
      </c>
    </row>
    <row r="89" spans="1:7" x14ac:dyDescent="0.2">
      <c r="A89" s="347">
        <v>75600000</v>
      </c>
      <c r="B89" s="346" t="s">
        <v>215</v>
      </c>
      <c r="C89" s="346">
        <v>0</v>
      </c>
      <c r="D89" s="346">
        <v>22831.906999999999</v>
      </c>
      <c r="E89" s="346">
        <v>22908.175999999999</v>
      </c>
      <c r="F89" s="346">
        <v>-76.269000000000005</v>
      </c>
      <c r="G89" s="346">
        <v>-76.269000000000005</v>
      </c>
    </row>
    <row r="90" spans="1:7" x14ac:dyDescent="0.2">
      <c r="A90" s="343"/>
      <c r="B90" s="342"/>
      <c r="C90" s="342"/>
      <c r="D90" s="342"/>
      <c r="E90" s="342"/>
      <c r="F90" s="342"/>
      <c r="G90" s="342"/>
    </row>
    <row r="91" spans="1:7" x14ac:dyDescent="0.2">
      <c r="A91" s="343"/>
      <c r="B91" s="342"/>
      <c r="C91" s="342"/>
      <c r="D91" s="342"/>
      <c r="E91" s="342"/>
      <c r="F91" s="342"/>
      <c r="G91" s="342"/>
    </row>
  </sheetData>
  <autoFilter ref="A1:G57" xr:uid="{00000000-0009-0000-0000-000016000000}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FF0000"/>
  </sheetPr>
  <dimension ref="A2:N331"/>
  <sheetViews>
    <sheetView workbookViewId="0">
      <pane ySplit="2" topLeftCell="A3" activePane="bottomLeft" state="frozen"/>
      <selection activeCell="A2" sqref="A2"/>
      <selection pane="bottomLeft" activeCell="F250" sqref="F250"/>
    </sheetView>
  </sheetViews>
  <sheetFormatPr baseColWidth="10" defaultColWidth="11.42578125" defaultRowHeight="15" x14ac:dyDescent="0.25"/>
  <cols>
    <col min="1" max="1" width="11.5703125" customWidth="1"/>
    <col min="2" max="2" width="23.7109375" style="302" bestFit="1" customWidth="1"/>
    <col min="3" max="3" width="14.42578125" style="305" bestFit="1" customWidth="1"/>
    <col min="4" max="5" width="13.7109375" style="305" bestFit="1" customWidth="1"/>
    <col min="6" max="6" width="12.85546875" style="305" bestFit="1" customWidth="1"/>
    <col min="7" max="7" width="13.5703125" style="305" bestFit="1" customWidth="1"/>
    <col min="8" max="9" width="12.7109375" style="305" bestFit="1" customWidth="1"/>
    <col min="10" max="10" width="25" style="302" customWidth="1"/>
    <col min="11" max="11" width="11.42578125" style="302" customWidth="1"/>
    <col min="12" max="16384" width="11.42578125" style="302"/>
  </cols>
  <sheetData>
    <row r="2" spans="1:14" ht="11.25" x14ac:dyDescent="0.2">
      <c r="A2" s="6" t="s">
        <v>1</v>
      </c>
      <c r="B2" s="6" t="s">
        <v>0</v>
      </c>
      <c r="C2" s="7" t="s">
        <v>5</v>
      </c>
      <c r="D2" s="7" t="s">
        <v>2</v>
      </c>
      <c r="E2" s="7" t="s">
        <v>260</v>
      </c>
      <c r="F2" s="7" t="s">
        <v>218</v>
      </c>
      <c r="G2" s="7" t="s">
        <v>219</v>
      </c>
      <c r="H2" s="7" t="s">
        <v>6</v>
      </c>
      <c r="I2" s="7" t="s">
        <v>217</v>
      </c>
      <c r="J2" s="6" t="s">
        <v>412</v>
      </c>
    </row>
    <row r="3" spans="1:14" s="9" customFormat="1" ht="11.25" x14ac:dyDescent="0.2">
      <c r="A3" s="10">
        <v>10100000</v>
      </c>
      <c r="B3" s="10" t="s">
        <v>7</v>
      </c>
      <c r="C3" s="11">
        <v>-13500000</v>
      </c>
      <c r="D3" s="11">
        <v>0</v>
      </c>
      <c r="E3" s="11">
        <v>0</v>
      </c>
      <c r="F3" s="13">
        <f>SUMIF('OD 02-24'!A:A,A3,'OD 02-24'!D:D)</f>
        <v>0</v>
      </c>
      <c r="G3" s="13">
        <f>SUMIF('OD 02-24'!A:A,A3,'OD 02-24'!E:E)</f>
        <v>0</v>
      </c>
      <c r="H3" s="14">
        <f t="shared" ref="H3:H70" si="0">+D3+F3-E3-G3</f>
        <v>0</v>
      </c>
      <c r="I3" s="14">
        <f t="shared" ref="I3:I70" si="1">+H3+C3</f>
        <v>-13500000</v>
      </c>
      <c r="J3" s="8" t="s">
        <v>8</v>
      </c>
      <c r="M3" s="9">
        <f>VLOOKUP($A3,'BAL 01-24'!$A$3:$I$322,9,0)</f>
        <v>-13500000</v>
      </c>
      <c r="N3" s="315">
        <f>+C3-M3</f>
        <v>0</v>
      </c>
    </row>
    <row r="4" spans="1:14" s="9" customFormat="1" ht="11.25" x14ac:dyDescent="0.2">
      <c r="A4" s="10">
        <v>11101000</v>
      </c>
      <c r="B4" s="10" t="s">
        <v>9</v>
      </c>
      <c r="C4" s="11">
        <v>-1200000</v>
      </c>
      <c r="D4" s="11">
        <v>0</v>
      </c>
      <c r="E4" s="11">
        <v>0</v>
      </c>
      <c r="F4" s="13">
        <f>SUMIF('OD 02-24'!A:A,A4,'OD 02-24'!D:D)</f>
        <v>0</v>
      </c>
      <c r="G4" s="13">
        <f>SUMIF('OD 02-24'!A:A,A4,'OD 02-24'!E:E)</f>
        <v>0</v>
      </c>
      <c r="H4" s="14">
        <f t="shared" si="0"/>
        <v>0</v>
      </c>
      <c r="I4" s="14">
        <f t="shared" si="1"/>
        <v>-1200000</v>
      </c>
      <c r="J4" s="8" t="s">
        <v>10</v>
      </c>
      <c r="M4" s="9">
        <f>VLOOKUP($A4,'BAL 01-24'!$A$3:$I$322,9,0)</f>
        <v>-1200000</v>
      </c>
      <c r="N4" s="315">
        <f t="shared" ref="N4:N67" si="2">+C4-M4</f>
        <v>0</v>
      </c>
    </row>
    <row r="5" spans="1:14" s="9" customFormat="1" ht="11.25" x14ac:dyDescent="0.2">
      <c r="A5" s="10">
        <v>12100000</v>
      </c>
      <c r="B5" s="10" t="s">
        <v>11</v>
      </c>
      <c r="C5" s="11">
        <v>-22285718.9384012</v>
      </c>
      <c r="D5" s="11">
        <v>0</v>
      </c>
      <c r="E5" s="11">
        <v>0</v>
      </c>
      <c r="F5" s="13">
        <f>SUMIF('OD 02-24'!A:A,A5,'OD 02-24'!D:D)</f>
        <v>0</v>
      </c>
      <c r="G5" s="13">
        <f>SUMIF('OD 02-24'!A:A,A5,'OD 02-24'!E:E)</f>
        <v>0</v>
      </c>
      <c r="H5" s="14">
        <f t="shared" si="0"/>
        <v>0</v>
      </c>
      <c r="I5" s="14">
        <f t="shared" si="1"/>
        <v>-22285718.9384012</v>
      </c>
      <c r="J5" s="8" t="s">
        <v>12</v>
      </c>
      <c r="M5" s="9">
        <f>VLOOKUP($A5,'BAL 01-24'!$A$3:$I$322,9,0)</f>
        <v>-22285718.9384012</v>
      </c>
      <c r="N5" s="315">
        <f t="shared" si="2"/>
        <v>0</v>
      </c>
    </row>
    <row r="6" spans="1:14" s="9" customFormat="1" ht="11.25" x14ac:dyDescent="0.2">
      <c r="A6" s="10">
        <v>12200000</v>
      </c>
      <c r="B6" s="10" t="s">
        <v>272</v>
      </c>
      <c r="C6" s="11">
        <v>0</v>
      </c>
      <c r="D6" s="11">
        <v>0</v>
      </c>
      <c r="E6" s="11">
        <v>0</v>
      </c>
      <c r="F6" s="13">
        <f>SUMIF('OD 02-24'!A:A,A6,'OD 02-24'!D:D)</f>
        <v>0</v>
      </c>
      <c r="G6" s="13">
        <f>SUMIF('OD 02-24'!A:A,A6,'OD 02-24'!E:E)</f>
        <v>0</v>
      </c>
      <c r="H6" s="14">
        <f t="shared" si="0"/>
        <v>0</v>
      </c>
      <c r="I6" s="14">
        <f t="shared" si="1"/>
        <v>0</v>
      </c>
      <c r="J6" s="8"/>
      <c r="M6" s="9">
        <f>VLOOKUP($A6,'BAL 01-24'!$A$3:$I$322,9,0)</f>
        <v>0</v>
      </c>
      <c r="N6" s="315">
        <f t="shared" si="2"/>
        <v>0</v>
      </c>
    </row>
    <row r="7" spans="1:14" s="9" customFormat="1" ht="11.25" x14ac:dyDescent="0.2">
      <c r="A7" s="10">
        <v>12800000</v>
      </c>
      <c r="B7" s="10" t="s">
        <v>13</v>
      </c>
      <c r="C7" s="11">
        <v>3126298.01</v>
      </c>
      <c r="D7" s="11">
        <v>0</v>
      </c>
      <c r="E7" s="11">
        <v>0</v>
      </c>
      <c r="F7" s="13">
        <f>SUMIF('OD 02-24'!A:A,A7,'OD 02-24'!D:D)</f>
        <v>0</v>
      </c>
      <c r="G7" s="13">
        <f>SUMIF('OD 02-24'!A:A,A7,'OD 02-24'!E:E)</f>
        <v>0</v>
      </c>
      <c r="H7" s="14">
        <f t="shared" si="0"/>
        <v>0</v>
      </c>
      <c r="I7" s="14">
        <f t="shared" si="1"/>
        <v>3126298.01</v>
      </c>
      <c r="J7" s="8" t="s">
        <v>14</v>
      </c>
      <c r="M7" s="9">
        <f>VLOOKUP($A7,'BAL 01-24'!$A$3:$I$322,9,0)</f>
        <v>3126298.01</v>
      </c>
      <c r="N7" s="315">
        <f t="shared" si="2"/>
        <v>0</v>
      </c>
    </row>
    <row r="8" spans="1:14" s="9" customFormat="1" ht="11.25" x14ac:dyDescent="0.2">
      <c r="A8" s="10">
        <v>13000000</v>
      </c>
      <c r="B8" s="10" t="s">
        <v>273</v>
      </c>
      <c r="C8" s="11">
        <v>0</v>
      </c>
      <c r="D8" s="11">
        <v>0</v>
      </c>
      <c r="E8" s="11">
        <v>0</v>
      </c>
      <c r="F8" s="13">
        <f>SUMIF('OD 02-24'!A:A,A8,'OD 02-24'!D:D)</f>
        <v>0</v>
      </c>
      <c r="G8" s="13">
        <f>SUMIF('OD 02-24'!A:A,A8,'OD 02-24'!E:E)</f>
        <v>0</v>
      </c>
      <c r="H8" s="14">
        <f t="shared" si="0"/>
        <v>0</v>
      </c>
      <c r="I8" s="14">
        <f t="shared" si="1"/>
        <v>0</v>
      </c>
      <c r="J8" s="8"/>
      <c r="M8" s="9">
        <f>VLOOKUP($A8,'BAL 01-24'!$A$3:$I$322,9,0)</f>
        <v>0</v>
      </c>
      <c r="N8" s="315">
        <f t="shared" si="2"/>
        <v>0</v>
      </c>
    </row>
    <row r="9" spans="1:14" s="9" customFormat="1" ht="11.25" x14ac:dyDescent="0.2">
      <c r="A9" s="10">
        <v>14500000</v>
      </c>
      <c r="B9" s="10" t="s">
        <v>15</v>
      </c>
      <c r="C9" s="11">
        <v>-3479108.84</v>
      </c>
      <c r="D9" s="11">
        <v>0</v>
      </c>
      <c r="E9" s="11">
        <v>0</v>
      </c>
      <c r="F9" s="13">
        <f>SUMIF('OD 02-24'!A:A,A9,'OD 02-24'!D:D)</f>
        <v>0</v>
      </c>
      <c r="G9" s="13">
        <f>SUMIF('OD 02-24'!A:A,A9,'OD 02-24'!E:E)</f>
        <v>0</v>
      </c>
      <c r="H9" s="14">
        <f t="shared" si="0"/>
        <v>0</v>
      </c>
      <c r="I9" s="14">
        <f t="shared" si="1"/>
        <v>-3479108.84</v>
      </c>
      <c r="J9" s="8" t="s">
        <v>16</v>
      </c>
      <c r="M9" s="9">
        <f>VLOOKUP($A9,'BAL 01-24'!$A$3:$I$322,9,0)</f>
        <v>-3479108.84</v>
      </c>
      <c r="N9" s="315">
        <f t="shared" si="2"/>
        <v>0</v>
      </c>
    </row>
    <row r="10" spans="1:14" s="9" customFormat="1" ht="11.25" x14ac:dyDescent="0.2">
      <c r="A10" s="10">
        <v>14508000</v>
      </c>
      <c r="B10" s="10" t="s">
        <v>17</v>
      </c>
      <c r="C10" s="11">
        <v>2683144.1870000004</v>
      </c>
      <c r="D10" s="11">
        <v>0</v>
      </c>
      <c r="E10" s="11">
        <v>0</v>
      </c>
      <c r="F10" s="13">
        <f>SUMIF('OD 02-24'!A:A,A10,'OD 02-24'!D:D)</f>
        <v>40564.838000000003</v>
      </c>
      <c r="G10" s="13">
        <f>SUMIF('OD 02-24'!A:A,A10,'OD 02-24'!E:E)</f>
        <v>20282.419000000002</v>
      </c>
      <c r="H10" s="14">
        <f t="shared" si="0"/>
        <v>20282.419000000002</v>
      </c>
      <c r="I10" s="14">
        <f t="shared" si="1"/>
        <v>2703426.6060000006</v>
      </c>
      <c r="J10" s="8" t="s">
        <v>18</v>
      </c>
      <c r="M10" s="9">
        <f>VLOOKUP($A10,'BAL 01-24'!$A$3:$I$322,9,0)</f>
        <v>2683144.1870000004</v>
      </c>
      <c r="N10" s="315">
        <f t="shared" si="2"/>
        <v>0</v>
      </c>
    </row>
    <row r="11" spans="1:14" s="9" customFormat="1" ht="11.25" x14ac:dyDescent="0.2">
      <c r="A11" s="10">
        <v>15100000</v>
      </c>
      <c r="B11" s="10" t="s">
        <v>19</v>
      </c>
      <c r="C11" s="11">
        <v>-231535.016</v>
      </c>
      <c r="D11" s="11">
        <v>0</v>
      </c>
      <c r="E11" s="11">
        <v>0</v>
      </c>
      <c r="F11" s="13">
        <f>SUMIF('OD 02-24'!A:A,A11,'OD 02-24'!D:D)</f>
        <v>0</v>
      </c>
      <c r="G11" s="13">
        <f>SUMIF('OD 02-24'!A:A,A11,'OD 02-24'!E:E)</f>
        <v>0</v>
      </c>
      <c r="H11" s="14">
        <f t="shared" si="0"/>
        <v>0</v>
      </c>
      <c r="I11" s="14">
        <f t="shared" si="1"/>
        <v>-231535.016</v>
      </c>
      <c r="J11" s="8" t="s">
        <v>20</v>
      </c>
      <c r="M11" s="9">
        <f>VLOOKUP($A11,'BAL 01-24'!$A$3:$I$322,9,0)</f>
        <v>-231535.016</v>
      </c>
      <c r="N11" s="315">
        <f t="shared" si="2"/>
        <v>0</v>
      </c>
    </row>
    <row r="12" spans="1:14" s="9" customFormat="1" ht="11.25" x14ac:dyDescent="0.2">
      <c r="A12" s="10">
        <v>16210250</v>
      </c>
      <c r="B12" s="10" t="s">
        <v>274</v>
      </c>
      <c r="C12" s="11">
        <v>0</v>
      </c>
      <c r="D12" s="11">
        <v>0</v>
      </c>
      <c r="E12" s="11">
        <v>0</v>
      </c>
      <c r="F12" s="13">
        <f>SUMIF('OD 02-24'!A:A,A12,'OD 02-24'!D:D)</f>
        <v>0</v>
      </c>
      <c r="G12" s="13">
        <f>SUMIF('OD 02-24'!A:A,A12,'OD 02-24'!E:E)</f>
        <v>0</v>
      </c>
      <c r="H12" s="14">
        <f t="shared" si="0"/>
        <v>0</v>
      </c>
      <c r="I12" s="14">
        <f t="shared" si="1"/>
        <v>0</v>
      </c>
      <c r="J12" s="8"/>
      <c r="M12" s="9">
        <f>VLOOKUP($A12,'BAL 01-24'!$A$3:$I$322,9,0)</f>
        <v>0</v>
      </c>
      <c r="N12" s="315">
        <f t="shared" si="2"/>
        <v>0</v>
      </c>
    </row>
    <row r="13" spans="1:14" s="9" customFormat="1" ht="11.25" x14ac:dyDescent="0.2">
      <c r="A13" s="10">
        <v>16210500</v>
      </c>
      <c r="B13" s="10" t="s">
        <v>21</v>
      </c>
      <c r="C13" s="11">
        <v>-2041666.6629999988</v>
      </c>
      <c r="D13" s="11">
        <v>0</v>
      </c>
      <c r="E13" s="11">
        <v>0</v>
      </c>
      <c r="F13" s="13">
        <f>SUMIF('OD 02-24'!A:A,A13,'OD 02-24'!D:D)</f>
        <v>0</v>
      </c>
      <c r="G13" s="13">
        <f>SUMIF('OD 02-24'!A:A,A13,'OD 02-24'!E:E)</f>
        <v>0</v>
      </c>
      <c r="H13" s="14">
        <f t="shared" si="0"/>
        <v>0</v>
      </c>
      <c r="I13" s="14">
        <f t="shared" si="1"/>
        <v>-2041666.6629999988</v>
      </c>
      <c r="J13" s="8" t="s">
        <v>22</v>
      </c>
      <c r="M13" s="9">
        <f>VLOOKUP($A13,'BAL 01-24'!$A$3:$I$322,9,0)</f>
        <v>-2041666.6629999988</v>
      </c>
      <c r="N13" s="315">
        <f t="shared" si="2"/>
        <v>0</v>
      </c>
    </row>
    <row r="14" spans="1:14" s="9" customFormat="1" ht="11.25" x14ac:dyDescent="0.2">
      <c r="A14" s="10">
        <v>16210960</v>
      </c>
      <c r="B14" s="10" t="s">
        <v>275</v>
      </c>
      <c r="C14" s="11">
        <v>0</v>
      </c>
      <c r="D14" s="11">
        <v>0</v>
      </c>
      <c r="E14" s="11">
        <v>0</v>
      </c>
      <c r="F14" s="13">
        <f>SUMIF('OD 02-24'!A:A,A14,'OD 02-24'!D:D)</f>
        <v>0</v>
      </c>
      <c r="G14" s="13">
        <f>SUMIF('OD 02-24'!A:A,A14,'OD 02-24'!E:E)</f>
        <v>0</v>
      </c>
      <c r="H14" s="14">
        <f t="shared" si="0"/>
        <v>0</v>
      </c>
      <c r="I14" s="14">
        <f t="shared" si="1"/>
        <v>0</v>
      </c>
      <c r="J14" s="8"/>
      <c r="M14" s="9">
        <f>VLOOKUP($A14,'BAL 01-24'!$A$3:$I$322,9,0)</f>
        <v>0</v>
      </c>
      <c r="N14" s="315">
        <f t="shared" si="2"/>
        <v>0</v>
      </c>
    </row>
    <row r="15" spans="1:14" s="9" customFormat="1" ht="11.25" x14ac:dyDescent="0.2">
      <c r="A15" s="10">
        <v>16400000</v>
      </c>
      <c r="B15" s="10" t="s">
        <v>276</v>
      </c>
      <c r="C15" s="11">
        <v>-103582.68900000001</v>
      </c>
      <c r="D15" s="11">
        <v>0</v>
      </c>
      <c r="E15" s="11">
        <v>0</v>
      </c>
      <c r="F15" s="13">
        <f>SUMIF('OD 02-24'!A:A,A15,'OD 02-24'!D:D)</f>
        <v>0</v>
      </c>
      <c r="G15" s="13">
        <f>SUMIF('OD 02-24'!A:A,A15,'OD 02-24'!E:E)</f>
        <v>0</v>
      </c>
      <c r="H15" s="14">
        <f t="shared" si="0"/>
        <v>0</v>
      </c>
      <c r="I15" s="14">
        <f t="shared" si="1"/>
        <v>-103582.68900000001</v>
      </c>
      <c r="J15" s="8" t="s">
        <v>22</v>
      </c>
      <c r="M15" s="9">
        <f>VLOOKUP($A15,'BAL 01-24'!$A$3:$I$322,9,0)</f>
        <v>-103582.68900000001</v>
      </c>
      <c r="N15" s="315">
        <f t="shared" si="2"/>
        <v>0</v>
      </c>
    </row>
    <row r="16" spans="1:14" s="9" customFormat="1" ht="11.25" x14ac:dyDescent="0.2">
      <c r="A16" s="10">
        <v>18800000</v>
      </c>
      <c r="B16" s="10" t="s">
        <v>23</v>
      </c>
      <c r="C16" s="11">
        <v>0</v>
      </c>
      <c r="D16" s="11">
        <v>0</v>
      </c>
      <c r="E16" s="11">
        <v>0</v>
      </c>
      <c r="F16" s="13">
        <f>SUMIF('OD 02-24'!A:A,A16,'OD 02-24'!D:D)</f>
        <v>0</v>
      </c>
      <c r="G16" s="13">
        <f>SUMIF('OD 02-24'!A:A,A16,'OD 02-24'!E:E)</f>
        <v>0</v>
      </c>
      <c r="H16" s="14">
        <f t="shared" si="0"/>
        <v>0</v>
      </c>
      <c r="I16" s="14">
        <f t="shared" si="1"/>
        <v>0</v>
      </c>
      <c r="J16" s="8"/>
      <c r="M16" s="9">
        <f>VLOOKUP($A16,'BAL 01-24'!$A$3:$I$322,9,0)</f>
        <v>0</v>
      </c>
      <c r="N16" s="315">
        <f t="shared" si="2"/>
        <v>0</v>
      </c>
    </row>
    <row r="17" spans="1:14" s="9" customFormat="1" ht="11.25" x14ac:dyDescent="0.2">
      <c r="A17" s="10">
        <v>21100000</v>
      </c>
      <c r="B17" s="10" t="s">
        <v>277</v>
      </c>
      <c r="C17" s="11">
        <v>0</v>
      </c>
      <c r="D17" s="11">
        <v>0</v>
      </c>
      <c r="E17" s="11">
        <v>0</v>
      </c>
      <c r="F17" s="13">
        <f>SUMIF('OD 02-24'!A:A,A17,'OD 02-24'!D:D)</f>
        <v>0</v>
      </c>
      <c r="G17" s="13">
        <f>SUMIF('OD 02-24'!A:A,A17,'OD 02-24'!E:E)</f>
        <v>0</v>
      </c>
      <c r="H17" s="14">
        <f t="shared" si="0"/>
        <v>0</v>
      </c>
      <c r="I17" s="14">
        <f t="shared" si="1"/>
        <v>0</v>
      </c>
      <c r="J17" s="8"/>
      <c r="M17" s="9">
        <f>VLOOKUP($A17,'BAL 01-24'!$A$3:$I$322,9,0)</f>
        <v>0</v>
      </c>
      <c r="N17" s="315">
        <f t="shared" si="2"/>
        <v>0</v>
      </c>
    </row>
    <row r="18" spans="1:14" s="9" customFormat="1" ht="11.25" x14ac:dyDescent="0.2">
      <c r="A18" s="10">
        <v>21300000</v>
      </c>
      <c r="B18" s="10" t="s">
        <v>24</v>
      </c>
      <c r="C18" s="11">
        <v>93173.926999999996</v>
      </c>
      <c r="D18" s="11">
        <v>0</v>
      </c>
      <c r="E18" s="11">
        <v>0</v>
      </c>
      <c r="F18" s="13">
        <f>SUMIF('OD 02-24'!A:A,A18,'OD 02-24'!D:D)</f>
        <v>0</v>
      </c>
      <c r="G18" s="13">
        <f>SUMIF('OD 02-24'!A:A,A18,'OD 02-24'!E:E)</f>
        <v>0</v>
      </c>
      <c r="H18" s="14">
        <f t="shared" si="0"/>
        <v>0</v>
      </c>
      <c r="I18" s="14">
        <f t="shared" si="1"/>
        <v>93173.926999999996</v>
      </c>
      <c r="J18" s="8" t="s">
        <v>25</v>
      </c>
      <c r="M18" s="9">
        <f>VLOOKUP($A18,'BAL 01-24'!$A$3:$I$322,9,0)</f>
        <v>93173.926999999996</v>
      </c>
      <c r="N18" s="315">
        <f t="shared" si="2"/>
        <v>0</v>
      </c>
    </row>
    <row r="19" spans="1:14" s="9" customFormat="1" ht="11.25" x14ac:dyDescent="0.2">
      <c r="A19" s="10">
        <v>22000000</v>
      </c>
      <c r="B19" s="10" t="s">
        <v>278</v>
      </c>
      <c r="C19" s="11">
        <v>0</v>
      </c>
      <c r="D19" s="11">
        <v>0</v>
      </c>
      <c r="E19" s="11">
        <v>0</v>
      </c>
      <c r="F19" s="13">
        <f>SUMIF('OD 02-24'!A:A,A19,'OD 02-24'!D:D)</f>
        <v>0</v>
      </c>
      <c r="G19" s="13">
        <f>SUMIF('OD 02-24'!A:A,A19,'OD 02-24'!E:E)</f>
        <v>0</v>
      </c>
      <c r="H19" s="14">
        <f t="shared" si="0"/>
        <v>0</v>
      </c>
      <c r="I19" s="14">
        <f t="shared" si="1"/>
        <v>0</v>
      </c>
      <c r="J19" s="8"/>
      <c r="M19" s="9">
        <f>VLOOKUP($A19,'BAL 01-24'!$A$3:$I$322,9,0)</f>
        <v>0</v>
      </c>
      <c r="N19" s="315">
        <f t="shared" si="2"/>
        <v>0</v>
      </c>
    </row>
    <row r="20" spans="1:14" s="9" customFormat="1" ht="11.25" x14ac:dyDescent="0.2">
      <c r="A20" s="10">
        <v>22100000</v>
      </c>
      <c r="B20" s="10" t="s">
        <v>26</v>
      </c>
      <c r="C20" s="11">
        <v>1275724</v>
      </c>
      <c r="D20" s="11">
        <v>0</v>
      </c>
      <c r="E20" s="11">
        <v>0</v>
      </c>
      <c r="F20" s="13">
        <f>SUMIF('OD 02-24'!A:A,A20,'OD 02-24'!D:D)</f>
        <v>0</v>
      </c>
      <c r="G20" s="13">
        <f>SUMIF('OD 02-24'!A:A,A20,'OD 02-24'!E:E)</f>
        <v>0</v>
      </c>
      <c r="H20" s="14">
        <f t="shared" si="0"/>
        <v>0</v>
      </c>
      <c r="I20" s="14">
        <f t="shared" si="1"/>
        <v>1275724</v>
      </c>
      <c r="J20" s="8" t="s">
        <v>25</v>
      </c>
      <c r="M20" s="9">
        <f>VLOOKUP($A20,'BAL 01-24'!$A$3:$I$322,9,0)</f>
        <v>1275724</v>
      </c>
      <c r="N20" s="315">
        <f t="shared" si="2"/>
        <v>0</v>
      </c>
    </row>
    <row r="21" spans="1:14" s="9" customFormat="1" ht="11.25" x14ac:dyDescent="0.2">
      <c r="A21" s="10">
        <v>22160000</v>
      </c>
      <c r="B21" s="10" t="s">
        <v>27</v>
      </c>
      <c r="C21" s="11">
        <v>161921.53600000002</v>
      </c>
      <c r="D21" s="11">
        <v>0</v>
      </c>
      <c r="E21" s="11">
        <v>0</v>
      </c>
      <c r="F21" s="13">
        <f>SUMIF('OD 02-24'!A:A,A21,'OD 02-24'!D:D)</f>
        <v>0</v>
      </c>
      <c r="G21" s="13">
        <f>SUMIF('OD 02-24'!A:A,A21,'OD 02-24'!E:E)</f>
        <v>0</v>
      </c>
      <c r="H21" s="14">
        <f t="shared" si="0"/>
        <v>0</v>
      </c>
      <c r="I21" s="14">
        <f t="shared" si="1"/>
        <v>161921.53600000002</v>
      </c>
      <c r="J21" s="8" t="s">
        <v>25</v>
      </c>
      <c r="M21" s="9">
        <f>VLOOKUP($A21,'BAL 01-24'!$A$3:$I$322,9,0)</f>
        <v>161921.53600000002</v>
      </c>
      <c r="N21" s="315">
        <f t="shared" si="2"/>
        <v>0</v>
      </c>
    </row>
    <row r="22" spans="1:14" s="9" customFormat="1" ht="11.25" x14ac:dyDescent="0.2">
      <c r="A22" s="10">
        <v>22200000</v>
      </c>
      <c r="B22" s="10" t="s">
        <v>28</v>
      </c>
      <c r="C22" s="11">
        <v>9174898.748999998</v>
      </c>
      <c r="D22" s="11">
        <v>0</v>
      </c>
      <c r="E22" s="11">
        <v>0</v>
      </c>
      <c r="F22" s="13">
        <f>SUMIF('OD 02-24'!A:A,A22,'OD 02-24'!D:D)</f>
        <v>0</v>
      </c>
      <c r="G22" s="13">
        <f>SUMIF('OD 02-24'!A:A,A22,'OD 02-24'!E:E)</f>
        <v>0</v>
      </c>
      <c r="H22" s="14">
        <f t="shared" si="0"/>
        <v>0</v>
      </c>
      <c r="I22" s="14">
        <f t="shared" si="1"/>
        <v>9174898.748999998</v>
      </c>
      <c r="J22" s="8" t="s">
        <v>25</v>
      </c>
      <c r="M22" s="9">
        <f>VLOOKUP($A22,'BAL 01-24'!$A$3:$I$322,9,0)</f>
        <v>9174898.748999998</v>
      </c>
      <c r="N22" s="315">
        <f t="shared" si="2"/>
        <v>0</v>
      </c>
    </row>
    <row r="23" spans="1:14" s="9" customFormat="1" ht="11.25" x14ac:dyDescent="0.2">
      <c r="A23" s="10">
        <v>22250000</v>
      </c>
      <c r="B23" s="10" t="s">
        <v>29</v>
      </c>
      <c r="C23" s="11">
        <v>703557.41200000001</v>
      </c>
      <c r="D23" s="11">
        <v>4977.7309999999998</v>
      </c>
      <c r="E23" s="11">
        <v>0</v>
      </c>
      <c r="F23" s="13">
        <f>SUMIF('OD 02-24'!A:A,A23,'OD 02-24'!D:D)</f>
        <v>0</v>
      </c>
      <c r="G23" s="13">
        <f>SUMIF('OD 02-24'!A:A,A23,'OD 02-24'!E:E)</f>
        <v>0</v>
      </c>
      <c r="H23" s="14">
        <f t="shared" si="0"/>
        <v>4977.7309999999998</v>
      </c>
      <c r="I23" s="14">
        <f t="shared" si="1"/>
        <v>708535.14300000004</v>
      </c>
      <c r="J23" s="8" t="s">
        <v>25</v>
      </c>
      <c r="M23" s="9">
        <f>VLOOKUP($A23,'BAL 01-24'!$A$3:$I$322,9,0)</f>
        <v>703557.41200000001</v>
      </c>
      <c r="N23" s="315">
        <f t="shared" si="2"/>
        <v>0</v>
      </c>
    </row>
    <row r="24" spans="1:14" s="9" customFormat="1" ht="11.25" x14ac:dyDescent="0.2">
      <c r="A24" s="10">
        <v>22300000</v>
      </c>
      <c r="B24" s="10" t="s">
        <v>30</v>
      </c>
      <c r="C24" s="11">
        <v>76370.611000000004</v>
      </c>
      <c r="D24" s="11">
        <v>0</v>
      </c>
      <c r="E24" s="11">
        <v>0</v>
      </c>
      <c r="F24" s="13">
        <f>SUMIF('OD 02-24'!A:A,A24,'OD 02-24'!D:D)</f>
        <v>0</v>
      </c>
      <c r="G24" s="13">
        <f>SUMIF('OD 02-24'!A:A,A24,'OD 02-24'!E:E)</f>
        <v>0</v>
      </c>
      <c r="H24" s="14">
        <f t="shared" si="0"/>
        <v>0</v>
      </c>
      <c r="I24" s="14">
        <f t="shared" si="1"/>
        <v>76370.611000000004</v>
      </c>
      <c r="J24" s="8" t="s">
        <v>25</v>
      </c>
      <c r="M24" s="9">
        <f>VLOOKUP($A24,'BAL 01-24'!$A$3:$I$322,9,0)</f>
        <v>76370.611000000004</v>
      </c>
      <c r="N24" s="315">
        <f t="shared" si="2"/>
        <v>0</v>
      </c>
    </row>
    <row r="25" spans="1:14" s="9" customFormat="1" ht="11.25" x14ac:dyDescent="0.2">
      <c r="A25" s="10">
        <v>22310000</v>
      </c>
      <c r="B25" s="10" t="s">
        <v>31</v>
      </c>
      <c r="C25" s="11">
        <v>2210.924</v>
      </c>
      <c r="D25" s="11">
        <v>0</v>
      </c>
      <c r="E25" s="11">
        <v>0</v>
      </c>
      <c r="F25" s="13">
        <f>SUMIF('OD 02-24'!A:A,A25,'OD 02-24'!D:D)</f>
        <v>0</v>
      </c>
      <c r="G25" s="13">
        <f>SUMIF('OD 02-24'!A:A,A25,'OD 02-24'!E:E)</f>
        <v>0</v>
      </c>
      <c r="H25" s="14">
        <f t="shared" si="0"/>
        <v>0</v>
      </c>
      <c r="I25" s="14">
        <f t="shared" si="1"/>
        <v>2210.924</v>
      </c>
      <c r="J25" s="8" t="s">
        <v>25</v>
      </c>
      <c r="M25" s="9">
        <f>VLOOKUP($A25,'BAL 01-24'!$A$3:$I$322,9,0)</f>
        <v>2210.924</v>
      </c>
      <c r="N25" s="315">
        <f t="shared" si="2"/>
        <v>0</v>
      </c>
    </row>
    <row r="26" spans="1:14" s="9" customFormat="1" ht="11.25" x14ac:dyDescent="0.2">
      <c r="A26" s="10">
        <v>22340000</v>
      </c>
      <c r="B26" s="10" t="s">
        <v>32</v>
      </c>
      <c r="C26" s="11">
        <v>24696352.732049003</v>
      </c>
      <c r="D26" s="11">
        <v>4929.5</v>
      </c>
      <c r="E26" s="11">
        <v>0</v>
      </c>
      <c r="F26" s="13">
        <f>SUMIF('OD 02-24'!A:A,A26,'OD 02-24'!D:D)</f>
        <v>0</v>
      </c>
      <c r="G26" s="13">
        <f>SUMIF('OD 02-24'!A:A,A26,'OD 02-24'!E:E)</f>
        <v>0</v>
      </c>
      <c r="H26" s="14">
        <f t="shared" si="0"/>
        <v>4929.5</v>
      </c>
      <c r="I26" s="14">
        <f t="shared" si="1"/>
        <v>24701282.232049003</v>
      </c>
      <c r="J26" s="8" t="s">
        <v>25</v>
      </c>
      <c r="M26" s="9">
        <f>VLOOKUP($A26,'BAL 01-24'!$A$3:$I$322,9,0)</f>
        <v>24696352.732049003</v>
      </c>
      <c r="N26" s="315">
        <f t="shared" si="2"/>
        <v>0</v>
      </c>
    </row>
    <row r="27" spans="1:14" s="9" customFormat="1" ht="11.25" x14ac:dyDescent="0.2">
      <c r="A27" s="10">
        <v>22350000</v>
      </c>
      <c r="B27" s="10" t="s">
        <v>33</v>
      </c>
      <c r="C27" s="11">
        <v>654488.13449999969</v>
      </c>
      <c r="D27" s="11">
        <v>6115</v>
      </c>
      <c r="E27" s="11">
        <v>0</v>
      </c>
      <c r="F27" s="13">
        <f>SUMIF('OD 02-24'!A:A,A27,'OD 02-24'!D:D)</f>
        <v>0</v>
      </c>
      <c r="G27" s="13">
        <f>SUMIF('OD 02-24'!A:A,A27,'OD 02-24'!E:E)</f>
        <v>0</v>
      </c>
      <c r="H27" s="14">
        <f t="shared" si="0"/>
        <v>6115</v>
      </c>
      <c r="I27" s="14">
        <f t="shared" si="1"/>
        <v>660603.13449999969</v>
      </c>
      <c r="J27" s="8" t="s">
        <v>25</v>
      </c>
      <c r="M27" s="9">
        <f>VLOOKUP($A27,'BAL 01-24'!$A$3:$I$322,9,0)</f>
        <v>654488.13449999969</v>
      </c>
      <c r="N27" s="315">
        <f t="shared" si="2"/>
        <v>0</v>
      </c>
    </row>
    <row r="28" spans="1:14" s="9" customFormat="1" ht="11.25" x14ac:dyDescent="0.2">
      <c r="A28" s="10">
        <v>22370000</v>
      </c>
      <c r="B28" s="10" t="s">
        <v>34</v>
      </c>
      <c r="C28" s="11">
        <v>901593.20599999989</v>
      </c>
      <c r="D28" s="11">
        <v>0</v>
      </c>
      <c r="E28" s="11">
        <v>0</v>
      </c>
      <c r="F28" s="13">
        <f>SUMIF('OD 02-24'!A:A,A28,'OD 02-24'!D:D)</f>
        <v>0</v>
      </c>
      <c r="G28" s="13">
        <f>SUMIF('OD 02-24'!A:A,A28,'OD 02-24'!E:E)</f>
        <v>0</v>
      </c>
      <c r="H28" s="14">
        <f t="shared" si="0"/>
        <v>0</v>
      </c>
      <c r="I28" s="14">
        <f t="shared" si="1"/>
        <v>901593.20599999989</v>
      </c>
      <c r="J28" s="8" t="s">
        <v>25</v>
      </c>
      <c r="M28" s="9">
        <f>VLOOKUP($A28,'BAL 01-24'!$A$3:$I$322,9,0)</f>
        <v>901593.20599999989</v>
      </c>
      <c r="N28" s="315">
        <f t="shared" si="2"/>
        <v>0</v>
      </c>
    </row>
    <row r="29" spans="1:14" s="9" customFormat="1" ht="11.25" x14ac:dyDescent="0.2">
      <c r="A29" s="10">
        <v>22400000</v>
      </c>
      <c r="B29" s="10" t="s">
        <v>35</v>
      </c>
      <c r="C29" s="11">
        <v>1180430.1140000001</v>
      </c>
      <c r="D29" s="11">
        <v>2728.6099999999997</v>
      </c>
      <c r="E29" s="11">
        <v>0</v>
      </c>
      <c r="F29" s="13">
        <f>SUMIF('OD 02-24'!A:A,A29,'OD 02-24'!D:D)</f>
        <v>0</v>
      </c>
      <c r="G29" s="13">
        <f>SUMIF('OD 02-24'!A:A,A29,'OD 02-24'!E:E)</f>
        <v>0</v>
      </c>
      <c r="H29" s="14">
        <f t="shared" si="0"/>
        <v>2728.6099999999997</v>
      </c>
      <c r="I29" s="14">
        <f t="shared" si="1"/>
        <v>1183158.7240000002</v>
      </c>
      <c r="J29" s="8" t="s">
        <v>25</v>
      </c>
      <c r="M29" s="9">
        <f>VLOOKUP($A29,'BAL 01-24'!$A$3:$I$322,9,0)</f>
        <v>1180430.1140000001</v>
      </c>
      <c r="N29" s="315">
        <f t="shared" si="2"/>
        <v>0</v>
      </c>
    </row>
    <row r="30" spans="1:14" s="9" customFormat="1" ht="11.25" x14ac:dyDescent="0.2">
      <c r="A30" s="10">
        <v>22810000</v>
      </c>
      <c r="B30" s="10" t="s">
        <v>36</v>
      </c>
      <c r="C30" s="11">
        <v>0</v>
      </c>
      <c r="D30" s="11">
        <v>0</v>
      </c>
      <c r="E30" s="11">
        <v>0</v>
      </c>
      <c r="F30" s="13">
        <f>SUMIF('OD 02-24'!A:A,A30,'OD 02-24'!D:D)</f>
        <v>0</v>
      </c>
      <c r="G30" s="13">
        <f>SUMIF('OD 02-24'!A:A,A30,'OD 02-24'!E:E)</f>
        <v>0</v>
      </c>
      <c r="H30" s="14">
        <f t="shared" si="0"/>
        <v>0</v>
      </c>
      <c r="I30" s="14">
        <f t="shared" si="1"/>
        <v>0</v>
      </c>
      <c r="J30" s="8"/>
      <c r="M30" s="9">
        <f>VLOOKUP($A30,'BAL 01-24'!$A$3:$I$322,9,0)</f>
        <v>0</v>
      </c>
      <c r="N30" s="315">
        <f t="shared" si="2"/>
        <v>0</v>
      </c>
    </row>
    <row r="31" spans="1:14" s="9" customFormat="1" ht="11.25" x14ac:dyDescent="0.2">
      <c r="A31" s="10">
        <v>22820000</v>
      </c>
      <c r="B31" s="10" t="s">
        <v>37</v>
      </c>
      <c r="C31" s="11">
        <v>293688.38415</v>
      </c>
      <c r="D31" s="11">
        <v>7692.51</v>
      </c>
      <c r="E31" s="11">
        <v>0</v>
      </c>
      <c r="F31" s="13">
        <f>SUMIF('OD 02-24'!A:A,A31,'OD 02-24'!D:D)</f>
        <v>0</v>
      </c>
      <c r="G31" s="13">
        <f>SUMIF('OD 02-24'!A:A,A31,'OD 02-24'!E:E)</f>
        <v>0</v>
      </c>
      <c r="H31" s="14">
        <f t="shared" si="0"/>
        <v>7692.51</v>
      </c>
      <c r="I31" s="14">
        <f t="shared" si="1"/>
        <v>301380.89415000001</v>
      </c>
      <c r="J31" s="8" t="s">
        <v>25</v>
      </c>
      <c r="M31" s="9">
        <f>VLOOKUP($A31,'BAL 01-24'!$A$3:$I$322,9,0)</f>
        <v>293688.38415</v>
      </c>
      <c r="N31" s="315">
        <f t="shared" si="2"/>
        <v>0</v>
      </c>
    </row>
    <row r="32" spans="1:14" s="9" customFormat="1" ht="11.25" x14ac:dyDescent="0.2">
      <c r="A32" s="10">
        <v>22830000</v>
      </c>
      <c r="B32" s="10" t="s">
        <v>279</v>
      </c>
      <c r="C32" s="11">
        <v>243796.16828599994</v>
      </c>
      <c r="D32" s="11">
        <v>2803.0859999999998</v>
      </c>
      <c r="E32" s="11">
        <v>0</v>
      </c>
      <c r="F32" s="13">
        <f>SUMIF('OD 02-24'!A:A,A32,'OD 02-24'!D:D)</f>
        <v>0</v>
      </c>
      <c r="G32" s="13">
        <f>SUMIF('OD 02-24'!A:A,A32,'OD 02-24'!E:E)</f>
        <v>0</v>
      </c>
      <c r="H32" s="14">
        <f t="shared" si="0"/>
        <v>2803.0859999999998</v>
      </c>
      <c r="I32" s="14">
        <f t="shared" si="1"/>
        <v>246599.25428599995</v>
      </c>
      <c r="J32" s="8" t="s">
        <v>25</v>
      </c>
      <c r="M32" s="9">
        <f>VLOOKUP($A32,'BAL 01-24'!$A$3:$I$322,9,0)</f>
        <v>243796.16828599994</v>
      </c>
      <c r="N32" s="315">
        <f t="shared" si="2"/>
        <v>0</v>
      </c>
    </row>
    <row r="33" spans="1:14" s="9" customFormat="1" ht="11.25" x14ac:dyDescent="0.2">
      <c r="A33" s="10">
        <v>23000000</v>
      </c>
      <c r="B33" s="10" t="s">
        <v>280</v>
      </c>
      <c r="C33" s="11">
        <v>2.0000000404252205E-5</v>
      </c>
      <c r="D33" s="11">
        <v>0</v>
      </c>
      <c r="E33" s="11">
        <v>0</v>
      </c>
      <c r="F33" s="13">
        <f>SUMIF('OD 02-24'!A:A,A33,'OD 02-24'!D:D)</f>
        <v>0</v>
      </c>
      <c r="G33" s="13">
        <f>SUMIF('OD 02-24'!A:A,A33,'OD 02-24'!E:E)</f>
        <v>0</v>
      </c>
      <c r="H33" s="14">
        <f t="shared" si="0"/>
        <v>0</v>
      </c>
      <c r="I33" s="14">
        <f t="shared" si="1"/>
        <v>2.0000000404252205E-5</v>
      </c>
      <c r="J33" s="8"/>
      <c r="M33" s="9">
        <f>VLOOKUP($A33,'BAL 01-24'!$A$3:$I$322,9,0)</f>
        <v>2.0000000404252205E-5</v>
      </c>
      <c r="N33" s="315">
        <f t="shared" si="2"/>
        <v>0</v>
      </c>
    </row>
    <row r="34" spans="1:14" s="9" customFormat="1" ht="11.25" x14ac:dyDescent="0.2">
      <c r="A34" s="10">
        <v>23100000</v>
      </c>
      <c r="B34" s="10" t="s">
        <v>7399</v>
      </c>
      <c r="C34" s="11">
        <v>0</v>
      </c>
      <c r="D34" s="11">
        <v>17045.8</v>
      </c>
      <c r="E34" s="11">
        <v>0</v>
      </c>
      <c r="F34" s="13">
        <f>SUMIF('OD 02-24'!A:A,A34,'OD 02-24'!D:D)</f>
        <v>0</v>
      </c>
      <c r="G34" s="13">
        <f>SUMIF('OD 02-24'!A:A,A34,'OD 02-24'!E:E)</f>
        <v>0</v>
      </c>
      <c r="H34" s="14">
        <f t="shared" si="0"/>
        <v>17045.8</v>
      </c>
      <c r="I34" s="14">
        <f t="shared" si="1"/>
        <v>17045.8</v>
      </c>
      <c r="J34" s="8" t="s">
        <v>25</v>
      </c>
      <c r="M34" s="9" t="e">
        <f>VLOOKUP($A34,'BAL 01-24'!$A$3:$I$322,9,0)</f>
        <v>#N/A</v>
      </c>
      <c r="N34" s="315" t="e">
        <f t="shared" si="2"/>
        <v>#N/A</v>
      </c>
    </row>
    <row r="35" spans="1:14" s="9" customFormat="1" ht="11.25" x14ac:dyDescent="0.2">
      <c r="A35" s="10">
        <v>23200000</v>
      </c>
      <c r="B35" s="10" t="s">
        <v>38</v>
      </c>
      <c r="C35" s="11">
        <v>404721.24329749867</v>
      </c>
      <c r="D35" s="11">
        <v>0</v>
      </c>
      <c r="E35" s="11">
        <v>0</v>
      </c>
      <c r="F35" s="13">
        <f>SUMIF('OD 02-24'!A:A,A35,'OD 02-24'!D:D)</f>
        <v>0</v>
      </c>
      <c r="G35" s="13">
        <f>SUMIF('OD 02-24'!A:A,A35,'OD 02-24'!E:E)</f>
        <v>0</v>
      </c>
      <c r="H35" s="14">
        <f t="shared" si="0"/>
        <v>0</v>
      </c>
      <c r="I35" s="14">
        <f t="shared" si="1"/>
        <v>404721.24329749867</v>
      </c>
      <c r="J35" s="8" t="s">
        <v>25</v>
      </c>
      <c r="M35" s="9">
        <f>VLOOKUP($A35,'BAL 01-24'!$A$3:$I$322,9,0)</f>
        <v>404721.24329749867</v>
      </c>
      <c r="N35" s="315">
        <f t="shared" si="2"/>
        <v>0</v>
      </c>
    </row>
    <row r="36" spans="1:14" s="9" customFormat="1" ht="11.25" x14ac:dyDescent="0.2">
      <c r="A36" s="10">
        <v>23220000</v>
      </c>
      <c r="B36" s="10" t="s">
        <v>39</v>
      </c>
      <c r="C36" s="11">
        <v>0</v>
      </c>
      <c r="D36" s="11">
        <v>0</v>
      </c>
      <c r="E36" s="11">
        <v>0</v>
      </c>
      <c r="F36" s="13">
        <f>SUMIF('OD 02-24'!A:A,A36,'OD 02-24'!D:D)</f>
        <v>0</v>
      </c>
      <c r="G36" s="13">
        <f>SUMIF('OD 02-24'!A:A,A36,'OD 02-24'!E:E)</f>
        <v>0</v>
      </c>
      <c r="H36" s="14">
        <f t="shared" si="0"/>
        <v>0</v>
      </c>
      <c r="I36" s="14">
        <f t="shared" si="1"/>
        <v>0</v>
      </c>
      <c r="J36" s="8" t="s">
        <v>25</v>
      </c>
      <c r="M36" s="9">
        <f>VLOOKUP($A36,'BAL 01-24'!$A$3:$I$322,9,0)</f>
        <v>0</v>
      </c>
      <c r="N36" s="315">
        <f t="shared" si="2"/>
        <v>0</v>
      </c>
    </row>
    <row r="37" spans="1:14" s="9" customFormat="1" ht="11.25" x14ac:dyDescent="0.2">
      <c r="A37" s="10">
        <v>23225000</v>
      </c>
      <c r="B37" s="10" t="s">
        <v>281</v>
      </c>
      <c r="C37" s="11">
        <v>0</v>
      </c>
      <c r="D37" s="11">
        <v>0</v>
      </c>
      <c r="E37" s="11">
        <v>0</v>
      </c>
      <c r="F37" s="13">
        <f>SUMIF('OD 02-24'!A:A,A37,'OD 02-24'!D:D)</f>
        <v>0</v>
      </c>
      <c r="G37" s="13">
        <f>SUMIF('OD 02-24'!A:A,A37,'OD 02-24'!E:E)</f>
        <v>0</v>
      </c>
      <c r="H37" s="14">
        <f t="shared" si="0"/>
        <v>0</v>
      </c>
      <c r="I37" s="14">
        <f t="shared" si="1"/>
        <v>0</v>
      </c>
      <c r="J37" s="8"/>
      <c r="M37" s="9">
        <f>VLOOKUP($A37,'BAL 01-24'!$A$3:$I$322,9,0)</f>
        <v>0</v>
      </c>
      <c r="N37" s="315">
        <f t="shared" si="2"/>
        <v>0</v>
      </c>
    </row>
    <row r="38" spans="1:14" s="9" customFormat="1" ht="11.25" x14ac:dyDescent="0.2">
      <c r="A38" s="10">
        <v>23231000</v>
      </c>
      <c r="B38" s="10" t="s">
        <v>282</v>
      </c>
      <c r="C38" s="11">
        <v>0</v>
      </c>
      <c r="D38" s="11">
        <v>0</v>
      </c>
      <c r="E38" s="11">
        <v>0</v>
      </c>
      <c r="F38" s="13">
        <f>SUMIF('OD 02-24'!A:A,A38,'OD 02-24'!D:D)</f>
        <v>0</v>
      </c>
      <c r="G38" s="13">
        <f>SUMIF('OD 02-24'!A:A,A38,'OD 02-24'!E:E)</f>
        <v>0</v>
      </c>
      <c r="H38" s="14">
        <f t="shared" si="0"/>
        <v>0</v>
      </c>
      <c r="I38" s="14">
        <f t="shared" si="1"/>
        <v>0</v>
      </c>
      <c r="J38" s="8"/>
      <c r="M38" s="9">
        <f>VLOOKUP($A38,'BAL 01-24'!$A$3:$I$322,9,0)</f>
        <v>0</v>
      </c>
      <c r="N38" s="315">
        <f t="shared" si="2"/>
        <v>0</v>
      </c>
    </row>
    <row r="39" spans="1:14" s="9" customFormat="1" ht="11.25" x14ac:dyDescent="0.2">
      <c r="A39" s="10">
        <v>23237000</v>
      </c>
      <c r="B39" s="10" t="s">
        <v>283</v>
      </c>
      <c r="C39" s="11">
        <v>0</v>
      </c>
      <c r="D39" s="11">
        <v>0</v>
      </c>
      <c r="E39" s="11">
        <v>0</v>
      </c>
      <c r="F39" s="13">
        <f>SUMIF('OD 02-24'!A:A,A39,'OD 02-24'!D:D)</f>
        <v>0</v>
      </c>
      <c r="G39" s="13">
        <f>SUMIF('OD 02-24'!A:A,A39,'OD 02-24'!E:E)</f>
        <v>0</v>
      </c>
      <c r="H39" s="14">
        <f t="shared" si="0"/>
        <v>0</v>
      </c>
      <c r="I39" s="14">
        <f t="shared" si="1"/>
        <v>0</v>
      </c>
      <c r="J39" s="8"/>
      <c r="M39" s="9">
        <f>VLOOKUP($A39,'BAL 01-24'!$A$3:$I$322,9,0)</f>
        <v>0</v>
      </c>
      <c r="N39" s="315">
        <f t="shared" si="2"/>
        <v>0</v>
      </c>
    </row>
    <row r="40" spans="1:14" s="9" customFormat="1" ht="11.25" x14ac:dyDescent="0.2">
      <c r="A40" s="10">
        <v>23250000</v>
      </c>
      <c r="B40" s="10" t="s">
        <v>284</v>
      </c>
      <c r="C40" s="11">
        <v>0</v>
      </c>
      <c r="D40" s="11">
        <v>0</v>
      </c>
      <c r="E40" s="11">
        <v>0</v>
      </c>
      <c r="F40" s="13">
        <f>SUMIF('OD 02-24'!A:A,A40,'OD 02-24'!D:D)</f>
        <v>0</v>
      </c>
      <c r="G40" s="13">
        <f>SUMIF('OD 02-24'!A:A,A40,'OD 02-24'!E:E)</f>
        <v>0</v>
      </c>
      <c r="H40" s="14">
        <f t="shared" si="0"/>
        <v>0</v>
      </c>
      <c r="I40" s="14">
        <f t="shared" si="1"/>
        <v>0</v>
      </c>
      <c r="J40" s="8"/>
      <c r="M40" s="9">
        <f>VLOOKUP($A40,'BAL 01-24'!$A$3:$I$322,9,0)</f>
        <v>0</v>
      </c>
      <c r="N40" s="315">
        <f t="shared" si="2"/>
        <v>0</v>
      </c>
    </row>
    <row r="41" spans="1:14" s="9" customFormat="1" ht="11.25" x14ac:dyDescent="0.2">
      <c r="A41" s="10">
        <v>23800000</v>
      </c>
      <c r="B41" s="10" t="s">
        <v>285</v>
      </c>
      <c r="C41" s="11">
        <v>0</v>
      </c>
      <c r="D41" s="11">
        <v>0</v>
      </c>
      <c r="E41" s="11">
        <v>0</v>
      </c>
      <c r="F41" s="13">
        <f>SUMIF('OD 02-24'!A:A,A41,'OD 02-24'!D:D)</f>
        <v>0</v>
      </c>
      <c r="G41" s="13">
        <f>SUMIF('OD 02-24'!A:A,A41,'OD 02-24'!E:E)</f>
        <v>0</v>
      </c>
      <c r="H41" s="14">
        <f t="shared" si="0"/>
        <v>0</v>
      </c>
      <c r="I41" s="14">
        <f t="shared" si="1"/>
        <v>0</v>
      </c>
      <c r="J41" s="8"/>
      <c r="M41" s="9">
        <f>VLOOKUP($A41,'BAL 01-24'!$A$3:$I$322,9,0)</f>
        <v>0</v>
      </c>
      <c r="N41" s="315">
        <f t="shared" si="2"/>
        <v>0</v>
      </c>
    </row>
    <row r="42" spans="1:14" s="9" customFormat="1" ht="11.25" x14ac:dyDescent="0.2">
      <c r="A42" s="10">
        <v>24000000</v>
      </c>
      <c r="B42" s="10" t="s">
        <v>40</v>
      </c>
      <c r="C42" s="11">
        <v>770033.75899999996</v>
      </c>
      <c r="D42" s="11">
        <v>0</v>
      </c>
      <c r="E42" s="11">
        <v>0</v>
      </c>
      <c r="F42" s="13">
        <f>SUMIF('OD 02-24'!A:A,A42,'OD 02-24'!D:D)</f>
        <v>0</v>
      </c>
      <c r="G42" s="13">
        <f>SUMIF('OD 02-24'!A:A,A42,'OD 02-24'!E:E)</f>
        <v>0</v>
      </c>
      <c r="H42" s="14">
        <f t="shared" si="0"/>
        <v>0</v>
      </c>
      <c r="I42" s="14">
        <f t="shared" si="1"/>
        <v>770033.75899999996</v>
      </c>
      <c r="J42" s="8" t="s">
        <v>25</v>
      </c>
      <c r="M42" s="9">
        <f>VLOOKUP($A42,'BAL 01-24'!$A$3:$I$322,9,0)</f>
        <v>770033.75899999996</v>
      </c>
      <c r="N42" s="315">
        <f t="shared" si="2"/>
        <v>0</v>
      </c>
    </row>
    <row r="43" spans="1:14" s="9" customFormat="1" ht="11.25" x14ac:dyDescent="0.2">
      <c r="A43" s="10">
        <v>25100000</v>
      </c>
      <c r="B43" s="10" t="s">
        <v>286</v>
      </c>
      <c r="C43" s="11">
        <v>0</v>
      </c>
      <c r="D43" s="11">
        <v>0</v>
      </c>
      <c r="E43" s="11">
        <v>0</v>
      </c>
      <c r="F43" s="13">
        <f>SUMIF('OD 02-24'!A:A,A43,'OD 02-24'!D:D)</f>
        <v>0</v>
      </c>
      <c r="G43" s="13">
        <f>SUMIF('OD 02-24'!A:A,A43,'OD 02-24'!E:E)</f>
        <v>0</v>
      </c>
      <c r="H43" s="14">
        <f t="shared" si="0"/>
        <v>0</v>
      </c>
      <c r="I43" s="14">
        <f t="shared" si="1"/>
        <v>0</v>
      </c>
      <c r="J43" s="8"/>
      <c r="M43" s="9">
        <f>VLOOKUP($A43,'BAL 01-24'!$A$3:$I$322,9,0)</f>
        <v>0</v>
      </c>
      <c r="N43" s="315">
        <f t="shared" si="2"/>
        <v>0</v>
      </c>
    </row>
    <row r="44" spans="1:14" s="9" customFormat="1" ht="11.25" x14ac:dyDescent="0.2">
      <c r="A44" s="10">
        <v>25110000</v>
      </c>
      <c r="B44" s="10" t="s">
        <v>41</v>
      </c>
      <c r="C44" s="11">
        <v>266820</v>
      </c>
      <c r="D44" s="11">
        <v>0</v>
      </c>
      <c r="E44" s="11">
        <v>0</v>
      </c>
      <c r="F44" s="13">
        <f>SUMIF('OD 02-24'!A:A,A44,'OD 02-24'!D:D)</f>
        <v>0</v>
      </c>
      <c r="G44" s="13">
        <f>SUMIF('OD 02-24'!A:A,A44,'OD 02-24'!E:E)</f>
        <v>0</v>
      </c>
      <c r="H44" s="14">
        <f t="shared" si="0"/>
        <v>0</v>
      </c>
      <c r="I44" s="14">
        <f t="shared" si="1"/>
        <v>266820</v>
      </c>
      <c r="J44" s="8" t="s">
        <v>42</v>
      </c>
      <c r="M44" s="9">
        <f>VLOOKUP($A44,'BAL 01-24'!$A$3:$I$322,9,0)</f>
        <v>266820</v>
      </c>
      <c r="N44" s="315">
        <f t="shared" si="2"/>
        <v>0</v>
      </c>
    </row>
    <row r="45" spans="1:14" s="9" customFormat="1" ht="11.25" x14ac:dyDescent="0.2">
      <c r="A45" s="10">
        <v>25120000</v>
      </c>
      <c r="B45" s="10" t="s">
        <v>287</v>
      </c>
      <c r="C45" s="11">
        <v>512700</v>
      </c>
      <c r="D45" s="11">
        <v>0</v>
      </c>
      <c r="E45" s="11">
        <v>0</v>
      </c>
      <c r="F45" s="13">
        <f>SUMIF('OD 02-24'!A:A,A45,'OD 02-24'!D:D)</f>
        <v>0</v>
      </c>
      <c r="G45" s="13">
        <f>SUMIF('OD 02-24'!A:A,A45,'OD 02-24'!E:E)</f>
        <v>0</v>
      </c>
      <c r="H45" s="14">
        <f t="shared" si="0"/>
        <v>0</v>
      </c>
      <c r="I45" s="14">
        <f t="shared" si="1"/>
        <v>512700</v>
      </c>
      <c r="J45" s="8" t="s">
        <v>42</v>
      </c>
      <c r="M45" s="9">
        <f>VLOOKUP($A45,'BAL 01-24'!$A$3:$I$322,9,0)</f>
        <v>512700</v>
      </c>
      <c r="N45" s="315">
        <f t="shared" si="2"/>
        <v>0</v>
      </c>
    </row>
    <row r="46" spans="1:14" s="9" customFormat="1" ht="11.25" x14ac:dyDescent="0.2">
      <c r="A46" s="10">
        <v>25130000</v>
      </c>
      <c r="B46" s="10" t="s">
        <v>43</v>
      </c>
      <c r="C46" s="11">
        <v>677000</v>
      </c>
      <c r="D46" s="11">
        <v>0</v>
      </c>
      <c r="E46" s="11">
        <v>0</v>
      </c>
      <c r="F46" s="13">
        <f>SUMIF('OD 02-24'!A:A,A46,'OD 02-24'!D:D)</f>
        <v>0</v>
      </c>
      <c r="G46" s="13">
        <f>SUMIF('OD 02-24'!A:A,A46,'OD 02-24'!E:E)</f>
        <v>0</v>
      </c>
      <c r="H46" s="14">
        <f t="shared" si="0"/>
        <v>0</v>
      </c>
      <c r="I46" s="14">
        <f t="shared" si="1"/>
        <v>677000</v>
      </c>
      <c r="J46" s="8" t="s">
        <v>42</v>
      </c>
      <c r="M46" s="9">
        <f>VLOOKUP($A46,'BAL 01-24'!$A$3:$I$322,9,0)</f>
        <v>677000</v>
      </c>
      <c r="N46" s="315">
        <f t="shared" si="2"/>
        <v>0</v>
      </c>
    </row>
    <row r="47" spans="1:14" s="9" customFormat="1" ht="11.25" x14ac:dyDescent="0.2">
      <c r="A47" s="10">
        <v>25140000</v>
      </c>
      <c r="B47" s="10" t="s">
        <v>44</v>
      </c>
      <c r="C47" s="11">
        <v>3150000</v>
      </c>
      <c r="D47" s="11">
        <v>0</v>
      </c>
      <c r="E47" s="11">
        <v>0</v>
      </c>
      <c r="F47" s="13">
        <f>SUMIF('OD 02-24'!A:A,A47,'OD 02-24'!D:D)</f>
        <v>0</v>
      </c>
      <c r="G47" s="13">
        <f>SUMIF('OD 02-24'!A:A,A47,'OD 02-24'!E:E)</f>
        <v>0</v>
      </c>
      <c r="H47" s="14">
        <f t="shared" si="0"/>
        <v>0</v>
      </c>
      <c r="I47" s="14">
        <f t="shared" si="1"/>
        <v>3150000</v>
      </c>
      <c r="J47" s="8" t="s">
        <v>42</v>
      </c>
      <c r="M47" s="9">
        <f>VLOOKUP($A47,'BAL 01-24'!$A$3:$I$322,9,0)</f>
        <v>3150000</v>
      </c>
      <c r="N47" s="315">
        <f t="shared" si="2"/>
        <v>0</v>
      </c>
    </row>
    <row r="48" spans="1:14" s="9" customFormat="1" ht="11.25" x14ac:dyDescent="0.2">
      <c r="A48" s="10">
        <v>25150000</v>
      </c>
      <c r="B48" s="10" t="s">
        <v>387</v>
      </c>
      <c r="C48" s="11">
        <v>319680</v>
      </c>
      <c r="D48" s="11">
        <v>0</v>
      </c>
      <c r="E48" s="11">
        <v>0</v>
      </c>
      <c r="F48" s="13">
        <f>SUMIF('OD 02-24'!A:A,A48,'OD 02-24'!D:D)</f>
        <v>0</v>
      </c>
      <c r="G48" s="13">
        <f>SUMIF('OD 02-24'!A:A,A48,'OD 02-24'!E:E)</f>
        <v>0</v>
      </c>
      <c r="H48" s="14">
        <f t="shared" si="0"/>
        <v>0</v>
      </c>
      <c r="I48" s="14">
        <f t="shared" si="1"/>
        <v>319680</v>
      </c>
      <c r="J48" s="8" t="s">
        <v>42</v>
      </c>
      <c r="M48" s="9">
        <f>VLOOKUP($A48,'BAL 01-24'!$A$3:$I$322,9,0)</f>
        <v>319680</v>
      </c>
      <c r="N48" s="315">
        <f t="shared" si="2"/>
        <v>0</v>
      </c>
    </row>
    <row r="49" spans="1:14" s="9" customFormat="1" ht="11.25" x14ac:dyDescent="0.2">
      <c r="A49" s="10">
        <v>25700000</v>
      </c>
      <c r="B49" s="10" t="s">
        <v>288</v>
      </c>
      <c r="C49" s="11">
        <v>0</v>
      </c>
      <c r="D49" s="11">
        <v>0</v>
      </c>
      <c r="E49" s="11">
        <v>0</v>
      </c>
      <c r="F49" s="13">
        <f>SUMIF('OD 02-24'!A:A,A49,'OD 02-24'!D:D)</f>
        <v>0</v>
      </c>
      <c r="G49" s="13">
        <f>SUMIF('OD 02-24'!A:A,A49,'OD 02-24'!E:E)</f>
        <v>0</v>
      </c>
      <c r="H49" s="14">
        <f t="shared" si="0"/>
        <v>0</v>
      </c>
      <c r="I49" s="14">
        <f t="shared" si="1"/>
        <v>0</v>
      </c>
      <c r="J49" s="8" t="s">
        <v>42</v>
      </c>
      <c r="M49" s="9">
        <f>VLOOKUP($A49,'BAL 01-24'!$A$3:$I$322,9,0)</f>
        <v>0</v>
      </c>
      <c r="N49" s="315">
        <f t="shared" si="2"/>
        <v>0</v>
      </c>
    </row>
    <row r="50" spans="1:14" s="9" customFormat="1" ht="11.25" x14ac:dyDescent="0.2">
      <c r="A50" s="10">
        <v>25810000</v>
      </c>
      <c r="B50" s="10" t="s">
        <v>289</v>
      </c>
      <c r="C50" s="11">
        <v>0</v>
      </c>
      <c r="D50" s="11">
        <v>0</v>
      </c>
      <c r="E50" s="11">
        <v>0</v>
      </c>
      <c r="F50" s="13">
        <f>SUMIF('OD 02-24'!A:A,A50,'OD 02-24'!D:D)</f>
        <v>0</v>
      </c>
      <c r="G50" s="13">
        <f>SUMIF('OD 02-24'!A:A,A50,'OD 02-24'!E:E)</f>
        <v>0</v>
      </c>
      <c r="H50" s="14">
        <f t="shared" si="0"/>
        <v>0</v>
      </c>
      <c r="I50" s="14">
        <f t="shared" si="1"/>
        <v>0</v>
      </c>
      <c r="J50" s="8"/>
      <c r="M50" s="9">
        <f>VLOOKUP($A50,'BAL 01-24'!$A$3:$I$322,9,0)</f>
        <v>0</v>
      </c>
      <c r="N50" s="315">
        <f t="shared" si="2"/>
        <v>0</v>
      </c>
    </row>
    <row r="51" spans="1:14" s="9" customFormat="1" ht="11.25" x14ac:dyDescent="0.2">
      <c r="A51" s="10">
        <v>26400000</v>
      </c>
      <c r="B51" s="10" t="s">
        <v>290</v>
      </c>
      <c r="C51" s="11">
        <v>0</v>
      </c>
      <c r="D51" s="11">
        <v>0</v>
      </c>
      <c r="E51" s="11">
        <v>100</v>
      </c>
      <c r="F51" s="13">
        <f>SUMIF('OD 02-24'!A:A,A51,'OD 02-24'!D:D)</f>
        <v>0</v>
      </c>
      <c r="G51" s="13">
        <f>SUMIF('OD 02-24'!A:A,A51,'OD 02-24'!E:E)</f>
        <v>0</v>
      </c>
      <c r="H51" s="14">
        <f t="shared" si="0"/>
        <v>-100</v>
      </c>
      <c r="I51" s="14">
        <f t="shared" si="1"/>
        <v>-100</v>
      </c>
      <c r="J51" s="8"/>
      <c r="M51" s="9">
        <f>VLOOKUP($A51,'BAL 01-24'!$A$3:$I$322,9,0)</f>
        <v>0</v>
      </c>
      <c r="N51" s="315">
        <f t="shared" si="2"/>
        <v>0</v>
      </c>
    </row>
    <row r="52" spans="1:14" s="9" customFormat="1" ht="11.25" x14ac:dyDescent="0.2">
      <c r="A52" s="10">
        <v>26430000</v>
      </c>
      <c r="B52" s="10" t="s">
        <v>291</v>
      </c>
      <c r="C52" s="11">
        <v>0</v>
      </c>
      <c r="D52" s="11">
        <v>0</v>
      </c>
      <c r="E52" s="11">
        <v>0</v>
      </c>
      <c r="F52" s="13">
        <f>SUMIF('OD 02-24'!A:A,A52,'OD 02-24'!D:D)</f>
        <v>0</v>
      </c>
      <c r="G52" s="13">
        <f>SUMIF('OD 02-24'!A:A,A52,'OD 02-24'!E:E)</f>
        <v>0</v>
      </c>
      <c r="H52" s="14">
        <f t="shared" si="0"/>
        <v>0</v>
      </c>
      <c r="I52" s="14">
        <f t="shared" si="1"/>
        <v>0</v>
      </c>
      <c r="J52" s="8"/>
      <c r="M52" s="9">
        <f>VLOOKUP($A52,'BAL 01-24'!$A$3:$I$322,9,0)</f>
        <v>0</v>
      </c>
      <c r="N52" s="315">
        <f t="shared" si="2"/>
        <v>0</v>
      </c>
    </row>
    <row r="53" spans="1:14" s="9" customFormat="1" ht="11.25" x14ac:dyDescent="0.2">
      <c r="A53" s="10">
        <v>26500000</v>
      </c>
      <c r="B53" s="10" t="s">
        <v>45</v>
      </c>
      <c r="C53" s="11">
        <v>-15159.015999999829</v>
      </c>
      <c r="D53" s="11">
        <v>0</v>
      </c>
      <c r="E53" s="11">
        <v>0</v>
      </c>
      <c r="F53" s="13">
        <f>SUMIF('OD 02-24'!A:A,A53,'OD 02-24'!D:D)</f>
        <v>0</v>
      </c>
      <c r="G53" s="13">
        <f>SUMIF('OD 02-24'!A:A,A53,'OD 02-24'!E:E)</f>
        <v>0</v>
      </c>
      <c r="H53" s="14">
        <f t="shared" si="0"/>
        <v>0</v>
      </c>
      <c r="I53" s="14">
        <f t="shared" si="1"/>
        <v>-15159.015999999829</v>
      </c>
      <c r="J53" s="8" t="s">
        <v>46</v>
      </c>
      <c r="M53" s="9">
        <f>VLOOKUP($A53,'BAL 01-24'!$A$3:$I$322,9,0)</f>
        <v>-15159.015999999829</v>
      </c>
      <c r="N53" s="315">
        <f t="shared" si="2"/>
        <v>0</v>
      </c>
    </row>
    <row r="54" spans="1:14" s="9" customFormat="1" ht="11.25" x14ac:dyDescent="0.2">
      <c r="A54" s="10">
        <v>26510000</v>
      </c>
      <c r="B54" s="10" t="s">
        <v>292</v>
      </c>
      <c r="C54" s="11">
        <v>0</v>
      </c>
      <c r="D54" s="11">
        <v>0</v>
      </c>
      <c r="E54" s="11">
        <v>0</v>
      </c>
      <c r="F54" s="13">
        <f>SUMIF('OD 02-24'!A:A,A54,'OD 02-24'!D:D)</f>
        <v>0</v>
      </c>
      <c r="G54" s="13">
        <f>SUMIF('OD 02-24'!A:A,A54,'OD 02-24'!E:E)</f>
        <v>0</v>
      </c>
      <c r="H54" s="14">
        <f t="shared" si="0"/>
        <v>0</v>
      </c>
      <c r="I54" s="14">
        <f t="shared" si="1"/>
        <v>0</v>
      </c>
      <c r="J54" s="8"/>
      <c r="M54" s="9">
        <f>VLOOKUP($A54,'BAL 01-24'!$A$3:$I$322,9,0)</f>
        <v>0</v>
      </c>
      <c r="N54" s="315">
        <f t="shared" si="2"/>
        <v>0</v>
      </c>
    </row>
    <row r="55" spans="1:14" s="9" customFormat="1" ht="11.25" x14ac:dyDescent="0.2">
      <c r="A55" s="10">
        <v>26550000</v>
      </c>
      <c r="B55" s="10" t="s">
        <v>293</v>
      </c>
      <c r="C55" s="11">
        <v>0</v>
      </c>
      <c r="D55" s="11">
        <v>0</v>
      </c>
      <c r="E55" s="11">
        <v>0</v>
      </c>
      <c r="F55" s="13">
        <f>SUMIF('OD 02-24'!A:A,A55,'OD 02-24'!D:D)</f>
        <v>0</v>
      </c>
      <c r="G55" s="13">
        <f>SUMIF('OD 02-24'!A:A,A55,'OD 02-24'!E:E)</f>
        <v>0</v>
      </c>
      <c r="H55" s="14">
        <f t="shared" si="0"/>
        <v>0</v>
      </c>
      <c r="I55" s="14">
        <f t="shared" si="1"/>
        <v>0</v>
      </c>
      <c r="J55" s="8"/>
      <c r="M55" s="9">
        <f>VLOOKUP($A55,'BAL 01-24'!$A$3:$I$322,9,0)</f>
        <v>0</v>
      </c>
      <c r="N55" s="315">
        <f t="shared" si="2"/>
        <v>0</v>
      </c>
    </row>
    <row r="56" spans="1:14" s="9" customFormat="1" ht="11.25" x14ac:dyDescent="0.2">
      <c r="A56" s="10">
        <v>26580000</v>
      </c>
      <c r="B56" s="10" t="s">
        <v>23</v>
      </c>
      <c r="C56" s="11">
        <v>5771.2</v>
      </c>
      <c r="D56" s="11">
        <v>0</v>
      </c>
      <c r="E56" s="11">
        <v>0</v>
      </c>
      <c r="F56" s="13">
        <v>0</v>
      </c>
      <c r="G56" s="13">
        <f>SUMIF('OD 02-24'!A:A,A56,'OD 02-24'!E:E)</f>
        <v>0</v>
      </c>
      <c r="H56" s="14">
        <f t="shared" si="0"/>
        <v>0</v>
      </c>
      <c r="I56" s="14">
        <f t="shared" si="1"/>
        <v>5771.2</v>
      </c>
      <c r="J56" s="8" t="s">
        <v>46</v>
      </c>
      <c r="M56" s="9">
        <f>VLOOKUP($A56,'BAL 01-24'!$A$3:$I$322,9,0)</f>
        <v>5771.2</v>
      </c>
      <c r="N56" s="315">
        <f t="shared" si="2"/>
        <v>0</v>
      </c>
    </row>
    <row r="57" spans="1:14" s="9" customFormat="1" ht="11.25" x14ac:dyDescent="0.2">
      <c r="A57" s="10">
        <v>27100000</v>
      </c>
      <c r="B57" s="10" t="s">
        <v>294</v>
      </c>
      <c r="C57" s="11">
        <v>0</v>
      </c>
      <c r="D57" s="11">
        <v>0</v>
      </c>
      <c r="E57" s="11">
        <v>0</v>
      </c>
      <c r="F57" s="13">
        <f>SUMIF('OD 02-24'!A:A,A57,'OD 02-24'!D:D)</f>
        <v>0</v>
      </c>
      <c r="G57" s="13">
        <f>SUMIF('OD 02-24'!A:A,A57,'OD 02-24'!E:E)</f>
        <v>0</v>
      </c>
      <c r="H57" s="14">
        <f t="shared" si="0"/>
        <v>0</v>
      </c>
      <c r="I57" s="14">
        <f t="shared" si="1"/>
        <v>0</v>
      </c>
      <c r="J57" s="8"/>
      <c r="M57" s="9">
        <f>VLOOKUP($A57,'BAL 01-24'!$A$3:$I$322,9,0)</f>
        <v>0</v>
      </c>
      <c r="N57" s="315">
        <f t="shared" si="2"/>
        <v>0</v>
      </c>
    </row>
    <row r="58" spans="1:14" s="9" customFormat="1" ht="11.25" x14ac:dyDescent="0.2">
      <c r="A58" s="10">
        <v>28100000</v>
      </c>
      <c r="B58" s="10" t="s">
        <v>295</v>
      </c>
      <c r="C58" s="11">
        <v>0</v>
      </c>
      <c r="D58" s="11">
        <v>0</v>
      </c>
      <c r="E58" s="11">
        <v>0</v>
      </c>
      <c r="F58" s="13">
        <f>SUMIF('OD 02-24'!A:A,A58,'OD 02-24'!D:D)</f>
        <v>0</v>
      </c>
      <c r="G58" s="13">
        <f>SUMIF('OD 02-24'!A:A,A58,'OD 02-24'!E:E)</f>
        <v>0</v>
      </c>
      <c r="H58" s="14">
        <f t="shared" si="0"/>
        <v>0</v>
      </c>
      <c r="I58" s="14">
        <f t="shared" si="1"/>
        <v>0</v>
      </c>
      <c r="J58" s="8"/>
      <c r="M58" s="9">
        <f>VLOOKUP($A58,'BAL 01-24'!$A$3:$I$322,9,0)</f>
        <v>0</v>
      </c>
      <c r="N58" s="315">
        <f t="shared" si="2"/>
        <v>0</v>
      </c>
    </row>
    <row r="59" spans="1:14" s="9" customFormat="1" ht="11.25" x14ac:dyDescent="0.2">
      <c r="A59" s="10">
        <v>28110000</v>
      </c>
      <c r="B59" s="10" t="s">
        <v>296</v>
      </c>
      <c r="C59" s="11">
        <v>0</v>
      </c>
      <c r="D59" s="11">
        <v>0</v>
      </c>
      <c r="E59" s="11">
        <v>0</v>
      </c>
      <c r="F59" s="13">
        <f>SUMIF('OD 02-24'!A:A,A59,'OD 02-24'!D:D)</f>
        <v>0</v>
      </c>
      <c r="G59" s="13">
        <f>SUMIF('OD 02-24'!A:A,A59,'OD 02-24'!E:E)</f>
        <v>0</v>
      </c>
      <c r="H59" s="14">
        <f t="shared" si="0"/>
        <v>0</v>
      </c>
      <c r="I59" s="14">
        <f t="shared" si="1"/>
        <v>0</v>
      </c>
      <c r="J59" s="8"/>
      <c r="M59" s="9">
        <f>VLOOKUP($A59,'BAL 01-24'!$A$3:$I$322,9,0)</f>
        <v>0</v>
      </c>
      <c r="N59" s="315">
        <f t="shared" si="2"/>
        <v>0</v>
      </c>
    </row>
    <row r="60" spans="1:14" s="9" customFormat="1" ht="11.25" x14ac:dyDescent="0.2">
      <c r="A60" s="10">
        <v>28130000</v>
      </c>
      <c r="B60" s="10" t="s">
        <v>24</v>
      </c>
      <c r="C60" s="11">
        <v>-75850.475999999995</v>
      </c>
      <c r="D60" s="11">
        <v>0</v>
      </c>
      <c r="E60" s="11">
        <v>0</v>
      </c>
      <c r="F60" s="13">
        <f>SUMIF('OD 02-24'!A:A,A60,'OD 02-24'!D:D)</f>
        <v>845.58</v>
      </c>
      <c r="G60" s="13">
        <f>SUMIF('OD 02-24'!A:A,A60,'OD 02-24'!E:E)</f>
        <v>1662.973</v>
      </c>
      <c r="H60" s="14">
        <f t="shared" si="0"/>
        <v>-817.39299999999992</v>
      </c>
      <c r="I60" s="14">
        <f t="shared" si="1"/>
        <v>-76667.868999999992</v>
      </c>
      <c r="J60" s="8" t="s">
        <v>47</v>
      </c>
      <c r="M60" s="9">
        <f>VLOOKUP($A60,'BAL 01-24'!$A$3:$I$322,9,0)</f>
        <v>-75850.475999999995</v>
      </c>
      <c r="N60" s="315">
        <f t="shared" si="2"/>
        <v>0</v>
      </c>
    </row>
    <row r="61" spans="1:14" s="9" customFormat="1" ht="11.25" x14ac:dyDescent="0.2">
      <c r="A61" s="10">
        <v>28216000</v>
      </c>
      <c r="B61" s="10" t="s">
        <v>48</v>
      </c>
      <c r="C61" s="11">
        <v>-148584.603</v>
      </c>
      <c r="D61" s="11">
        <v>0</v>
      </c>
      <c r="E61" s="11">
        <v>0</v>
      </c>
      <c r="F61" s="13">
        <f>SUMIF('OD 02-24'!A:A,A61,'OD 02-24'!D:D)</f>
        <v>231.89</v>
      </c>
      <c r="G61" s="13">
        <f>SUMIF('OD 02-24'!A:A,A61,'OD 02-24'!E:E)</f>
        <v>456.05099999999999</v>
      </c>
      <c r="H61" s="14">
        <f t="shared" si="0"/>
        <v>-224.161</v>
      </c>
      <c r="I61" s="14">
        <f t="shared" si="1"/>
        <v>-148808.764</v>
      </c>
      <c r="J61" s="8" t="s">
        <v>47</v>
      </c>
      <c r="M61" s="9">
        <f>VLOOKUP($A61,'BAL 01-24'!$A$3:$I$322,9,0)</f>
        <v>-148584.603</v>
      </c>
      <c r="N61" s="315">
        <f t="shared" si="2"/>
        <v>0</v>
      </c>
    </row>
    <row r="62" spans="1:14" s="9" customFormat="1" ht="11.25" x14ac:dyDescent="0.2">
      <c r="A62" s="10">
        <v>28220000</v>
      </c>
      <c r="B62" s="10" t="s">
        <v>49</v>
      </c>
      <c r="C62" s="11">
        <v>-3766966.281</v>
      </c>
      <c r="D62" s="11">
        <v>0</v>
      </c>
      <c r="E62" s="11">
        <v>0</v>
      </c>
      <c r="F62" s="13">
        <f>SUMIF('OD 02-24'!A:A,A62,'OD 02-24'!D:D)</f>
        <v>37813.739000000001</v>
      </c>
      <c r="G62" s="13">
        <f>SUMIF('OD 02-24'!A:A,A62,'OD 02-24'!E:E)</f>
        <v>74367.02</v>
      </c>
      <c r="H62" s="14">
        <f t="shared" si="0"/>
        <v>-36553.281000000003</v>
      </c>
      <c r="I62" s="14">
        <f t="shared" si="1"/>
        <v>-3803519.5619999999</v>
      </c>
      <c r="J62" s="8" t="s">
        <v>47</v>
      </c>
      <c r="M62" s="9">
        <f>VLOOKUP($A62,'BAL 01-24'!$A$3:$I$322,9,0)</f>
        <v>-3766966.281</v>
      </c>
      <c r="N62" s="315">
        <f t="shared" si="2"/>
        <v>0</v>
      </c>
    </row>
    <row r="63" spans="1:14" s="9" customFormat="1" ht="11.25" x14ac:dyDescent="0.2">
      <c r="A63" s="10">
        <v>28225000</v>
      </c>
      <c r="B63" s="10" t="s">
        <v>50</v>
      </c>
      <c r="C63" s="11">
        <v>-282308.30099999998</v>
      </c>
      <c r="D63" s="11">
        <v>0</v>
      </c>
      <c r="E63" s="11">
        <v>0</v>
      </c>
      <c r="F63" s="13">
        <f>SUMIF('OD 02-24'!A:A,A63,'OD 02-24'!D:D)</f>
        <v>10482.156999999999</v>
      </c>
      <c r="G63" s="13">
        <f>SUMIF('OD 02-24'!A:A,A63,'OD 02-24'!E:E)</f>
        <v>15589.425999999999</v>
      </c>
      <c r="H63" s="14">
        <f t="shared" si="0"/>
        <v>-5107.2690000000002</v>
      </c>
      <c r="I63" s="14">
        <f t="shared" si="1"/>
        <v>-287415.56999999995</v>
      </c>
      <c r="J63" s="8" t="s">
        <v>47</v>
      </c>
      <c r="M63" s="9">
        <f>VLOOKUP($A63,'BAL 01-24'!$A$3:$I$322,9,0)</f>
        <v>-282308.30099999998</v>
      </c>
      <c r="N63" s="315">
        <f t="shared" si="2"/>
        <v>0</v>
      </c>
    </row>
    <row r="64" spans="1:14" s="9" customFormat="1" ht="11.25" x14ac:dyDescent="0.2">
      <c r="A64" s="10">
        <v>28230000</v>
      </c>
      <c r="B64" s="10" t="s">
        <v>263</v>
      </c>
      <c r="C64" s="11">
        <v>-45166.892000000007</v>
      </c>
      <c r="D64" s="11">
        <v>0</v>
      </c>
      <c r="E64" s="11">
        <v>0</v>
      </c>
      <c r="F64" s="13">
        <f>SUMIF('OD 02-24'!A:A,A64,'OD 02-24'!D:D)</f>
        <v>2036.4970000000001</v>
      </c>
      <c r="G64" s="13">
        <f>SUMIF('OD 02-24'!A:A,A64,'OD 02-24'!E:E)</f>
        <v>4044.373</v>
      </c>
      <c r="H64" s="14">
        <f t="shared" si="0"/>
        <v>-2007.876</v>
      </c>
      <c r="I64" s="14">
        <f t="shared" si="1"/>
        <v>-47174.768000000004</v>
      </c>
      <c r="J64" s="8" t="s">
        <v>47</v>
      </c>
      <c r="M64" s="9">
        <f>VLOOKUP($A64,'BAL 01-24'!$A$3:$I$322,9,0)</f>
        <v>-45166.892000000007</v>
      </c>
      <c r="N64" s="315">
        <f t="shared" si="2"/>
        <v>0</v>
      </c>
    </row>
    <row r="65" spans="1:14" s="9" customFormat="1" ht="11.25" x14ac:dyDescent="0.2">
      <c r="A65" s="10">
        <v>28231000</v>
      </c>
      <c r="B65" s="10" t="s">
        <v>402</v>
      </c>
      <c r="C65" s="11">
        <v>-74.162999999999997</v>
      </c>
      <c r="D65" s="11">
        <v>0</v>
      </c>
      <c r="E65" s="11">
        <v>0</v>
      </c>
      <c r="F65" s="13">
        <f>SUMIF('OD 02-24'!A:A,A65,'OD 02-24'!D:D)</f>
        <v>74.162999999999997</v>
      </c>
      <c r="G65" s="13">
        <f>SUMIF('OD 02-24'!A:A,A65,'OD 02-24'!E:E)</f>
        <v>132.291</v>
      </c>
      <c r="H65" s="14">
        <f t="shared" si="0"/>
        <v>-58.128</v>
      </c>
      <c r="I65" s="14">
        <f t="shared" si="1"/>
        <v>-132.291</v>
      </c>
      <c r="J65" s="8" t="s">
        <v>47</v>
      </c>
      <c r="M65" s="9">
        <f>VLOOKUP($A65,'BAL 01-24'!$A$3:$I$322,9,0)</f>
        <v>-74.162999999999997</v>
      </c>
      <c r="N65" s="315">
        <f t="shared" si="2"/>
        <v>0</v>
      </c>
    </row>
    <row r="66" spans="1:14" s="9" customFormat="1" ht="11.25" x14ac:dyDescent="0.2">
      <c r="A66" s="10">
        <v>28234000</v>
      </c>
      <c r="B66" s="10" t="s">
        <v>51</v>
      </c>
      <c r="C66" s="11">
        <v>-16002226.294000002</v>
      </c>
      <c r="D66" s="11">
        <v>0</v>
      </c>
      <c r="E66" s="11">
        <v>0</v>
      </c>
      <c r="F66" s="13">
        <f>SUMIF('OD 02-24'!A:A,A66,'OD 02-24'!D:D)</f>
        <v>134999.47700000001</v>
      </c>
      <c r="G66" s="13">
        <f>SUMIF('OD 02-24'!A:A,A66,'OD 02-24'!E:E)</f>
        <v>264207.45</v>
      </c>
      <c r="H66" s="14">
        <f t="shared" si="0"/>
        <v>-129207.973</v>
      </c>
      <c r="I66" s="14">
        <f t="shared" si="1"/>
        <v>-16131434.267000001</v>
      </c>
      <c r="J66" s="8" t="s">
        <v>47</v>
      </c>
      <c r="M66" s="9">
        <f>VLOOKUP($A66,'BAL 01-24'!$A$3:$I$322,9,0)</f>
        <v>-16002226.294000002</v>
      </c>
      <c r="N66" s="315">
        <f t="shared" si="2"/>
        <v>0</v>
      </c>
    </row>
    <row r="67" spans="1:14" s="9" customFormat="1" ht="11.25" x14ac:dyDescent="0.2">
      <c r="A67" s="10">
        <v>28235000</v>
      </c>
      <c r="B67" s="10" t="s">
        <v>52</v>
      </c>
      <c r="C67" s="11">
        <v>-360073.18900000007</v>
      </c>
      <c r="D67" s="11">
        <v>0</v>
      </c>
      <c r="E67" s="11">
        <v>0</v>
      </c>
      <c r="F67" s="13">
        <f>SUMIF('OD 02-24'!A:A,A67,'OD 02-24'!D:D)</f>
        <v>4702.4229999999998</v>
      </c>
      <c r="G67" s="13">
        <f>SUMIF('OD 02-24'!A:A,A67,'OD 02-24'!E:E)</f>
        <v>9248.0519999999997</v>
      </c>
      <c r="H67" s="14">
        <f t="shared" si="0"/>
        <v>-4545.6289999999999</v>
      </c>
      <c r="I67" s="14">
        <f t="shared" si="1"/>
        <v>-364618.81800000009</v>
      </c>
      <c r="J67" s="8" t="s">
        <v>47</v>
      </c>
      <c r="M67" s="9">
        <f>VLOOKUP($A67,'BAL 01-24'!$A$3:$I$322,9,0)</f>
        <v>-360073.18900000007</v>
      </c>
      <c r="N67" s="315">
        <f t="shared" si="2"/>
        <v>0</v>
      </c>
    </row>
    <row r="68" spans="1:14" s="9" customFormat="1" ht="11.25" x14ac:dyDescent="0.2">
      <c r="A68" s="10">
        <v>28237000</v>
      </c>
      <c r="B68" s="10" t="s">
        <v>53</v>
      </c>
      <c r="C68" s="11">
        <v>-758155.77799999993</v>
      </c>
      <c r="D68" s="11">
        <v>0</v>
      </c>
      <c r="E68" s="11">
        <v>0</v>
      </c>
      <c r="F68" s="13">
        <f>SUMIF('OD 02-24'!A:A,A68,'OD 02-24'!D:D)</f>
        <v>1988.9290000000001</v>
      </c>
      <c r="G68" s="13">
        <f>SUMIF('OD 02-24'!A:A,A68,'OD 02-24'!E:E)</f>
        <v>3911.5610000000001</v>
      </c>
      <c r="H68" s="14">
        <f t="shared" si="0"/>
        <v>-1922.6320000000001</v>
      </c>
      <c r="I68" s="14">
        <f t="shared" si="1"/>
        <v>-760078.40999999992</v>
      </c>
      <c r="J68" s="8" t="s">
        <v>47</v>
      </c>
      <c r="M68" s="9">
        <f>VLOOKUP($A68,'BAL 01-24'!$A$3:$I$322,9,0)</f>
        <v>-758155.77799999993</v>
      </c>
      <c r="N68" s="315">
        <f t="shared" ref="N68:N131" si="3">+C68-M68</f>
        <v>0</v>
      </c>
    </row>
    <row r="69" spans="1:14" s="9" customFormat="1" ht="11.25" x14ac:dyDescent="0.2">
      <c r="A69" s="10">
        <v>28240000</v>
      </c>
      <c r="B69" s="10" t="s">
        <v>54</v>
      </c>
      <c r="C69" s="11">
        <v>-655503.97199999995</v>
      </c>
      <c r="D69" s="11">
        <v>0</v>
      </c>
      <c r="E69" s="11">
        <v>0</v>
      </c>
      <c r="F69" s="13">
        <f>SUMIF('OD 02-24'!A:A,A69,'OD 02-24'!D:D)</f>
        <v>14121.329</v>
      </c>
      <c r="G69" s="13">
        <f>SUMIF('OD 02-24'!A:A,A69,'OD 02-24'!E:E)</f>
        <v>27263.611000000001</v>
      </c>
      <c r="H69" s="14">
        <f t="shared" si="0"/>
        <v>-13142.282000000001</v>
      </c>
      <c r="I69" s="14">
        <f t="shared" si="1"/>
        <v>-668646.25399999996</v>
      </c>
      <c r="J69" s="8" t="s">
        <v>47</v>
      </c>
      <c r="M69" s="9">
        <f>VLOOKUP($A69,'BAL 01-24'!$A$3:$I$322,9,0)</f>
        <v>-655503.97199999995</v>
      </c>
      <c r="N69" s="315">
        <f t="shared" si="3"/>
        <v>0</v>
      </c>
    </row>
    <row r="70" spans="1:14" s="9" customFormat="1" ht="11.25" x14ac:dyDescent="0.2">
      <c r="A70" s="10">
        <v>28282000</v>
      </c>
      <c r="B70" s="10" t="s">
        <v>55</v>
      </c>
      <c r="C70" s="11">
        <v>-231367.63</v>
      </c>
      <c r="D70" s="11">
        <v>0</v>
      </c>
      <c r="E70" s="11">
        <v>0</v>
      </c>
      <c r="F70" s="13">
        <f>SUMIF('OD 02-24'!A:A,A70,'OD 02-24'!D:D)</f>
        <v>4256.7020000000002</v>
      </c>
      <c r="G70" s="13">
        <f>SUMIF('OD 02-24'!A:A,A70,'OD 02-24'!E:E)</f>
        <v>8730.6830000000009</v>
      </c>
      <c r="H70" s="14">
        <f t="shared" si="0"/>
        <v>-4473.9810000000007</v>
      </c>
      <c r="I70" s="14">
        <f t="shared" si="1"/>
        <v>-235841.611</v>
      </c>
      <c r="J70" s="8" t="s">
        <v>47</v>
      </c>
      <c r="M70" s="9">
        <f>VLOOKUP($A70,'BAL 01-24'!$A$3:$I$322,9,0)</f>
        <v>-231367.63</v>
      </c>
      <c r="N70" s="315">
        <f t="shared" si="3"/>
        <v>0</v>
      </c>
    </row>
    <row r="71" spans="1:14" s="9" customFormat="1" ht="11.25" x14ac:dyDescent="0.2">
      <c r="A71" s="10">
        <v>28283000</v>
      </c>
      <c r="B71" s="10" t="s">
        <v>264</v>
      </c>
      <c r="C71" s="11">
        <v>-132771.78</v>
      </c>
      <c r="D71" s="11">
        <v>0</v>
      </c>
      <c r="E71" s="11">
        <v>0</v>
      </c>
      <c r="F71" s="13">
        <f>SUMIF('OD 02-24'!A:A,A71,'OD 02-24'!D:D)</f>
        <v>3746.145</v>
      </c>
      <c r="G71" s="13">
        <f>SUMIF('OD 02-24'!A:A,A71,'OD 02-24'!E:E)</f>
        <v>7410.5349999999999</v>
      </c>
      <c r="H71" s="14">
        <f t="shared" ref="H71:H138" si="4">+D71+F71-E71-G71</f>
        <v>-3664.39</v>
      </c>
      <c r="I71" s="14">
        <f t="shared" ref="I71:I138" si="5">+H71+C71</f>
        <v>-136436.17000000001</v>
      </c>
      <c r="J71" s="8" t="s">
        <v>47</v>
      </c>
      <c r="M71" s="9">
        <f>VLOOKUP($A71,'BAL 01-24'!$A$3:$I$322,9,0)</f>
        <v>-132771.78</v>
      </c>
      <c r="N71" s="315">
        <f t="shared" si="3"/>
        <v>0</v>
      </c>
    </row>
    <row r="72" spans="1:14" s="9" customFormat="1" ht="11.25" x14ac:dyDescent="0.2">
      <c r="A72" s="10">
        <v>28400000</v>
      </c>
      <c r="B72" s="10" t="s">
        <v>56</v>
      </c>
      <c r="C72" s="11">
        <v>-486434.0940000001</v>
      </c>
      <c r="D72" s="11">
        <v>0</v>
      </c>
      <c r="E72" s="11">
        <v>0</v>
      </c>
      <c r="F72" s="13">
        <f>SUMIF('OD 02-24'!A:A,A72,'OD 02-24'!D:D)</f>
        <v>6357.3689999999997</v>
      </c>
      <c r="G72" s="13">
        <f>SUMIF('OD 02-24'!A:A,A72,'OD 02-24'!E:E)</f>
        <v>12502.825000000001</v>
      </c>
      <c r="H72" s="14">
        <f t="shared" si="4"/>
        <v>-6145.456000000001</v>
      </c>
      <c r="I72" s="14">
        <f t="shared" si="5"/>
        <v>-492579.5500000001</v>
      </c>
      <c r="J72" s="8" t="s">
        <v>47</v>
      </c>
      <c r="M72" s="9">
        <f>VLOOKUP($A72,'BAL 01-24'!$A$3:$I$322,9,0)</f>
        <v>-486434.0940000001</v>
      </c>
      <c r="N72" s="315">
        <f t="shared" si="3"/>
        <v>0</v>
      </c>
    </row>
    <row r="73" spans="1:14" s="9" customFormat="1" ht="11.25" x14ac:dyDescent="0.2">
      <c r="A73" s="10">
        <v>29220000</v>
      </c>
      <c r="B73" s="10" t="s">
        <v>297</v>
      </c>
      <c r="C73" s="11">
        <v>0</v>
      </c>
      <c r="D73" s="11">
        <v>0</v>
      </c>
      <c r="E73" s="11">
        <v>0</v>
      </c>
      <c r="F73" s="13">
        <f>SUMIF('OD 02-24'!A:A,A73,'OD 02-24'!D:D)</f>
        <v>0</v>
      </c>
      <c r="G73" s="13">
        <f>SUMIF('OD 02-24'!A:A,A73,'OD 02-24'!E:E)</f>
        <v>0</v>
      </c>
      <c r="H73" s="14">
        <f t="shared" si="4"/>
        <v>0</v>
      </c>
      <c r="I73" s="14">
        <f t="shared" si="5"/>
        <v>0</v>
      </c>
      <c r="J73" s="8"/>
      <c r="M73" s="9">
        <f>VLOOKUP($A73,'BAL 01-24'!$A$3:$I$322,9,0)</f>
        <v>0</v>
      </c>
      <c r="N73" s="315">
        <f t="shared" si="3"/>
        <v>0</v>
      </c>
    </row>
    <row r="74" spans="1:14" s="9" customFormat="1" ht="11.25" x14ac:dyDescent="0.2">
      <c r="A74" s="10">
        <v>29234000</v>
      </c>
      <c r="B74" s="10" t="s">
        <v>388</v>
      </c>
      <c r="C74" s="11">
        <v>-223876.883</v>
      </c>
      <c r="D74" s="11">
        <v>0</v>
      </c>
      <c r="E74" s="11">
        <v>0</v>
      </c>
      <c r="F74" s="13">
        <v>0</v>
      </c>
      <c r="G74" s="13">
        <f>SUMIF('OD 02-24'!A:A,A74,'OD 02-24'!E:E)</f>
        <v>0</v>
      </c>
      <c r="H74" s="14">
        <f t="shared" si="4"/>
        <v>0</v>
      </c>
      <c r="I74" s="14">
        <f t="shared" si="5"/>
        <v>-223876.883</v>
      </c>
      <c r="J74" s="8" t="s">
        <v>401</v>
      </c>
      <c r="M74" s="9">
        <f>VLOOKUP($A74,'BAL 01-24'!$A$3:$I$322,9,0)</f>
        <v>-223876.883</v>
      </c>
      <c r="N74" s="315">
        <f t="shared" si="3"/>
        <v>0</v>
      </c>
    </row>
    <row r="75" spans="1:14" s="9" customFormat="1" ht="11.25" x14ac:dyDescent="0.2">
      <c r="A75" s="10">
        <v>29235000</v>
      </c>
      <c r="B75" s="10" t="s">
        <v>389</v>
      </c>
      <c r="C75" s="11">
        <v>-8171.429000000001</v>
      </c>
      <c r="D75" s="11">
        <v>0</v>
      </c>
      <c r="E75" s="11">
        <v>0</v>
      </c>
      <c r="F75" s="13">
        <v>0</v>
      </c>
      <c r="G75" s="13">
        <f>SUMIF('OD 02-24'!A:A,A75,'OD 02-24'!E:E)</f>
        <v>0</v>
      </c>
      <c r="H75" s="14">
        <f t="shared" si="4"/>
        <v>0</v>
      </c>
      <c r="I75" s="14">
        <f t="shared" si="5"/>
        <v>-8171.429000000001</v>
      </c>
      <c r="J75" s="8" t="s">
        <v>401</v>
      </c>
      <c r="M75" s="9">
        <f>VLOOKUP($A75,'BAL 01-24'!$A$3:$I$322,9,0)</f>
        <v>-8171.429000000001</v>
      </c>
      <c r="N75" s="315">
        <f t="shared" si="3"/>
        <v>0</v>
      </c>
    </row>
    <row r="76" spans="1:14" s="9" customFormat="1" ht="11.25" x14ac:dyDescent="0.2">
      <c r="A76" s="10">
        <v>29282000</v>
      </c>
      <c r="B76" s="10" t="s">
        <v>298</v>
      </c>
      <c r="C76" s="11">
        <v>0</v>
      </c>
      <c r="D76" s="11">
        <v>0</v>
      </c>
      <c r="E76" s="11">
        <v>0</v>
      </c>
      <c r="F76" s="13">
        <f>SUMIF('OD 02-24'!A:A,A76,'OD 02-24'!D:D)</f>
        <v>0</v>
      </c>
      <c r="G76" s="13">
        <f>SUMIF('OD 02-24'!A:A,A76,'OD 02-24'!E:E)</f>
        <v>0</v>
      </c>
      <c r="H76" s="14">
        <f t="shared" si="4"/>
        <v>0</v>
      </c>
      <c r="I76" s="14">
        <f t="shared" si="5"/>
        <v>0</v>
      </c>
      <c r="J76" s="8"/>
      <c r="M76" s="9">
        <f>VLOOKUP($A76,'BAL 01-24'!$A$3:$I$322,9,0)</f>
        <v>0</v>
      </c>
      <c r="N76" s="315">
        <f t="shared" si="3"/>
        <v>0</v>
      </c>
    </row>
    <row r="77" spans="1:14" s="9" customFormat="1" ht="11.25" x14ac:dyDescent="0.2">
      <c r="A77" s="10">
        <v>29286500</v>
      </c>
      <c r="B77" s="10" t="s">
        <v>299</v>
      </c>
      <c r="C77" s="11">
        <v>0</v>
      </c>
      <c r="D77" s="11">
        <v>0</v>
      </c>
      <c r="E77" s="11">
        <v>0</v>
      </c>
      <c r="F77" s="13">
        <f>SUMIF('OD 02-24'!A:A,A77,'OD 02-24'!D:D)</f>
        <v>0</v>
      </c>
      <c r="G77" s="13">
        <f>SUMIF('OD 02-24'!A:A,A77,'OD 02-24'!E:E)</f>
        <v>0</v>
      </c>
      <c r="H77" s="14">
        <f t="shared" si="4"/>
        <v>0</v>
      </c>
      <c r="I77" s="14">
        <f t="shared" si="5"/>
        <v>0</v>
      </c>
      <c r="J77" s="8" t="s">
        <v>25</v>
      </c>
      <c r="M77" s="9">
        <f>VLOOKUP($A77,'BAL 01-24'!$A$3:$I$322,9,0)</f>
        <v>0</v>
      </c>
      <c r="N77" s="315">
        <f t="shared" si="3"/>
        <v>0</v>
      </c>
    </row>
    <row r="78" spans="1:14" s="9" customFormat="1" ht="11.25" x14ac:dyDescent="0.2">
      <c r="A78" s="10">
        <v>29700000</v>
      </c>
      <c r="B78" s="10" t="s">
        <v>57</v>
      </c>
      <c r="C78" s="11">
        <v>-29257.384999999998</v>
      </c>
      <c r="D78" s="11">
        <v>0</v>
      </c>
      <c r="E78" s="11">
        <v>0</v>
      </c>
      <c r="F78" s="13">
        <f>SUMIF('OD 02-24'!A:A,A78,'OD 02-24'!D:D)</f>
        <v>0</v>
      </c>
      <c r="G78" s="13">
        <f>SUMIF('OD 02-24'!A:A,A78,'OD 02-24'!E:E)</f>
        <v>0</v>
      </c>
      <c r="H78" s="14">
        <f t="shared" si="4"/>
        <v>0</v>
      </c>
      <c r="I78" s="14">
        <f t="shared" si="5"/>
        <v>-29257.384999999998</v>
      </c>
      <c r="J78" s="8" t="s">
        <v>58</v>
      </c>
      <c r="M78" s="9">
        <f>VLOOKUP($A78,'BAL 01-24'!$A$3:$I$322,9,0)</f>
        <v>-29257.384999999998</v>
      </c>
      <c r="N78" s="315">
        <f t="shared" si="3"/>
        <v>0</v>
      </c>
    </row>
    <row r="79" spans="1:14" s="9" customFormat="1" ht="11.25" x14ac:dyDescent="0.2">
      <c r="A79" s="10">
        <v>31100000</v>
      </c>
      <c r="B79" s="10" t="s">
        <v>59</v>
      </c>
      <c r="C79" s="11">
        <v>9671178.2543000113</v>
      </c>
      <c r="D79" s="11">
        <v>0</v>
      </c>
      <c r="E79" s="11">
        <v>0</v>
      </c>
      <c r="F79" s="13">
        <f>SUMIF('OD 02-24'!A:A,A79,'OD 02-24'!D:D)</f>
        <v>19925973.357700001</v>
      </c>
      <c r="G79" s="13">
        <f>SUMIF('OD 02-24'!A:A,A79,'OD 02-24'!E:E)</f>
        <v>19191253.273699999</v>
      </c>
      <c r="H79" s="14">
        <f t="shared" si="4"/>
        <v>734720.08400000259</v>
      </c>
      <c r="I79" s="14">
        <f t="shared" si="5"/>
        <v>10405898.338300014</v>
      </c>
      <c r="J79" s="8" t="s">
        <v>60</v>
      </c>
      <c r="M79" s="9">
        <f>VLOOKUP($A79,'BAL 01-24'!$A$3:$I$322,9,0)</f>
        <v>9671178.2543000113</v>
      </c>
      <c r="N79" s="315">
        <f t="shared" si="3"/>
        <v>0</v>
      </c>
    </row>
    <row r="80" spans="1:14" s="9" customFormat="1" ht="11.25" x14ac:dyDescent="0.2">
      <c r="A80" s="10">
        <v>31200000</v>
      </c>
      <c r="B80" s="10" t="s">
        <v>390</v>
      </c>
      <c r="C80" s="11">
        <v>0</v>
      </c>
      <c r="D80" s="11">
        <v>0</v>
      </c>
      <c r="E80" s="11">
        <v>0</v>
      </c>
      <c r="F80" s="13">
        <f>SUMIF('OD 02-24'!A:A,A80,'OD 02-24'!D:D)</f>
        <v>1037112.439</v>
      </c>
      <c r="G80" s="13">
        <f>SUMIF('OD 02-24'!A:A,A80,'OD 02-24'!E:E)</f>
        <v>1037112.439</v>
      </c>
      <c r="H80" s="14">
        <f t="shared" si="4"/>
        <v>0</v>
      </c>
      <c r="I80" s="14">
        <f t="shared" si="5"/>
        <v>0</v>
      </c>
      <c r="J80" s="8" t="s">
        <v>60</v>
      </c>
      <c r="M80" s="9">
        <f>VLOOKUP($A80,'BAL 01-24'!$A$3:$I$322,9,0)</f>
        <v>0</v>
      </c>
      <c r="N80" s="315">
        <f t="shared" si="3"/>
        <v>0</v>
      </c>
    </row>
    <row r="81" spans="1:14" s="9" customFormat="1" ht="11.25" x14ac:dyDescent="0.2">
      <c r="A81" s="10">
        <v>32200000</v>
      </c>
      <c r="B81" s="10" t="s">
        <v>61</v>
      </c>
      <c r="C81" s="11">
        <v>694061.8874999996</v>
      </c>
      <c r="D81" s="11">
        <v>0</v>
      </c>
      <c r="E81" s="11">
        <v>0</v>
      </c>
      <c r="F81" s="13">
        <f>SUMIF('OD 02-24'!A:A,A81,'OD 02-24'!D:D)</f>
        <v>1267764.3104999999</v>
      </c>
      <c r="G81" s="13">
        <f>SUMIF('OD 02-24'!A:A,A81,'OD 02-24'!E:E)</f>
        <v>1356218.3174999999</v>
      </c>
      <c r="H81" s="14">
        <f t="shared" si="4"/>
        <v>-88454.006999999983</v>
      </c>
      <c r="I81" s="14">
        <f t="shared" si="5"/>
        <v>605607.88049999962</v>
      </c>
      <c r="J81" s="8" t="s">
        <v>60</v>
      </c>
      <c r="M81" s="9">
        <f>VLOOKUP($A81,'BAL 01-24'!$A$3:$I$322,9,0)</f>
        <v>694061.8874999996</v>
      </c>
      <c r="N81" s="315">
        <f t="shared" si="3"/>
        <v>0</v>
      </c>
    </row>
    <row r="82" spans="1:14" s="9" customFormat="1" ht="11.25" x14ac:dyDescent="0.2">
      <c r="A82" s="10">
        <v>33100000</v>
      </c>
      <c r="B82" s="10" t="s">
        <v>62</v>
      </c>
      <c r="C82" s="11">
        <v>3539578.2364000008</v>
      </c>
      <c r="D82" s="11">
        <v>0</v>
      </c>
      <c r="E82" s="11">
        <v>0</v>
      </c>
      <c r="F82" s="13">
        <f>SUMIF('OD 02-24'!A:A,A82,'OD 02-24'!D:D)</f>
        <v>6015848.5356000001</v>
      </c>
      <c r="G82" s="13">
        <f>SUMIF('OD 02-24'!A:A,A82,'OD 02-24'!E:E)</f>
        <v>6974958.5246000001</v>
      </c>
      <c r="H82" s="14">
        <f t="shared" si="4"/>
        <v>-959109.98900000006</v>
      </c>
      <c r="I82" s="14">
        <f t="shared" si="5"/>
        <v>2580468.2474000007</v>
      </c>
      <c r="J82" s="8" t="s">
        <v>60</v>
      </c>
      <c r="M82" s="9">
        <f>VLOOKUP($A82,'BAL 01-24'!$A$3:$I$322,9,0)</f>
        <v>3539578.2364000008</v>
      </c>
      <c r="N82" s="315">
        <f t="shared" si="3"/>
        <v>0</v>
      </c>
    </row>
    <row r="83" spans="1:14" s="9" customFormat="1" ht="11.25" x14ac:dyDescent="0.2">
      <c r="A83" s="10">
        <v>33500000</v>
      </c>
      <c r="B83" s="10" t="s">
        <v>300</v>
      </c>
      <c r="C83" s="11">
        <v>0</v>
      </c>
      <c r="D83" s="11">
        <v>0</v>
      </c>
      <c r="E83" s="11">
        <v>0</v>
      </c>
      <c r="F83" s="13">
        <f>SUMIF('OD 02-24'!A:A,A83,'OD 02-24'!D:D)</f>
        <v>0</v>
      </c>
      <c r="G83" s="13">
        <f>SUMIF('OD 02-24'!A:A,A83,'OD 02-24'!E:E)</f>
        <v>0</v>
      </c>
      <c r="H83" s="14">
        <f t="shared" si="4"/>
        <v>0</v>
      </c>
      <c r="I83" s="14">
        <f t="shared" si="5"/>
        <v>0</v>
      </c>
      <c r="J83" s="8"/>
      <c r="M83" s="9">
        <f>VLOOKUP($A83,'BAL 01-24'!$A$3:$I$322,9,0)</f>
        <v>0</v>
      </c>
      <c r="N83" s="315">
        <f t="shared" si="3"/>
        <v>0</v>
      </c>
    </row>
    <row r="84" spans="1:14" s="9" customFormat="1" ht="11.25" x14ac:dyDescent="0.2">
      <c r="A84" s="10">
        <v>34100000</v>
      </c>
      <c r="B84" s="10" t="s">
        <v>301</v>
      </c>
      <c r="C84" s="11">
        <v>0</v>
      </c>
      <c r="D84" s="11">
        <v>0</v>
      </c>
      <c r="E84" s="11">
        <v>0</v>
      </c>
      <c r="F84" s="13">
        <f>SUMIF('OD 02-24'!A:A,A84,'OD 02-24'!D:D)</f>
        <v>0</v>
      </c>
      <c r="G84" s="13">
        <f>SUMIF('OD 02-24'!A:A,A84,'OD 02-24'!E:E)</f>
        <v>0</v>
      </c>
      <c r="H84" s="14">
        <f t="shared" si="4"/>
        <v>0</v>
      </c>
      <c r="I84" s="14">
        <f t="shared" si="5"/>
        <v>0</v>
      </c>
      <c r="J84" s="8"/>
      <c r="M84" s="9">
        <f>VLOOKUP($A84,'BAL 01-24'!$A$3:$I$322,9,0)</f>
        <v>0</v>
      </c>
      <c r="N84" s="315">
        <f t="shared" si="3"/>
        <v>0</v>
      </c>
    </row>
    <row r="85" spans="1:14" s="9" customFormat="1" ht="11.25" x14ac:dyDescent="0.2">
      <c r="A85" s="10">
        <v>35500000</v>
      </c>
      <c r="B85" s="10" t="s">
        <v>63</v>
      </c>
      <c r="C85" s="11">
        <v>1579856.7529999993</v>
      </c>
      <c r="D85" s="11">
        <v>0</v>
      </c>
      <c r="E85" s="11">
        <v>0</v>
      </c>
      <c r="F85" s="13">
        <f>SUMIF('OD 02-24'!A:A,A85,'OD 02-24'!D:D)</f>
        <v>3678729.1230000001</v>
      </c>
      <c r="G85" s="13">
        <f>SUMIF('OD 02-24'!A:A,A85,'OD 02-24'!E:E)</f>
        <v>3254360.7719999999</v>
      </c>
      <c r="H85" s="14">
        <f t="shared" si="4"/>
        <v>424368.35100000026</v>
      </c>
      <c r="I85" s="14">
        <f t="shared" si="5"/>
        <v>2004225.1039999996</v>
      </c>
      <c r="J85" s="8" t="s">
        <v>60</v>
      </c>
      <c r="M85" s="9">
        <f>VLOOKUP($A85,'BAL 01-24'!$A$3:$I$322,9,0)</f>
        <v>1579856.7529999993</v>
      </c>
      <c r="N85" s="315">
        <f t="shared" si="3"/>
        <v>0</v>
      </c>
    </row>
    <row r="86" spans="1:14" s="9" customFormat="1" ht="11.25" x14ac:dyDescent="0.2">
      <c r="A86" s="10">
        <v>39000000</v>
      </c>
      <c r="B86" s="10" t="s">
        <v>64</v>
      </c>
      <c r="C86" s="11">
        <v>-208158.11300000001</v>
      </c>
      <c r="D86" s="11">
        <v>0</v>
      </c>
      <c r="E86" s="11">
        <v>0</v>
      </c>
      <c r="F86" s="13">
        <f>SUMIF('OD 02-24'!A:A,A86,'OD 02-24'!D:D)</f>
        <v>0</v>
      </c>
      <c r="G86" s="13">
        <f>SUMIF('OD 02-24'!A:A,A86,'OD 02-24'!E:E)</f>
        <v>0</v>
      </c>
      <c r="H86" s="14">
        <f t="shared" si="4"/>
        <v>0</v>
      </c>
      <c r="I86" s="14">
        <f t="shared" si="5"/>
        <v>-208158.11300000001</v>
      </c>
      <c r="J86" s="8" t="s">
        <v>65</v>
      </c>
      <c r="M86" s="9">
        <f>VLOOKUP($A86,'BAL 01-24'!$A$3:$I$322,9,0)</f>
        <v>-208158.11300000001</v>
      </c>
      <c r="N86" s="315">
        <f t="shared" si="3"/>
        <v>0</v>
      </c>
    </row>
    <row r="87" spans="1:14" s="9" customFormat="1" ht="11.25" x14ac:dyDescent="0.2">
      <c r="A87" s="10">
        <v>40100000</v>
      </c>
      <c r="B87" s="10" t="s">
        <v>66</v>
      </c>
      <c r="C87" s="11">
        <v>-2195143.3493514974</v>
      </c>
      <c r="D87" s="11">
        <v>3444573.6570000001</v>
      </c>
      <c r="E87" s="11">
        <v>4219202.2455194993</v>
      </c>
      <c r="F87" s="13">
        <f>SUMIF('OD 02-24'!A:A,A87,'OD 02-24'!D:D)</f>
        <v>0</v>
      </c>
      <c r="G87" s="13">
        <f>SUMIF('OD 02-24'!A:A,A87,'OD 02-24'!E:E)</f>
        <v>0</v>
      </c>
      <c r="H87" s="14">
        <f t="shared" si="4"/>
        <v>-774628.58851949917</v>
      </c>
      <c r="I87" s="14">
        <f t="shared" si="5"/>
        <v>-2969771.9378709965</v>
      </c>
      <c r="J87" s="8" t="s">
        <v>67</v>
      </c>
      <c r="M87" s="9">
        <f>VLOOKUP($A87,'BAL 01-24'!$A$3:$I$322,9,0)</f>
        <v>-2203429.1123514972</v>
      </c>
      <c r="N87" s="315">
        <f t="shared" si="3"/>
        <v>8285.7629999998026</v>
      </c>
    </row>
    <row r="88" spans="1:14" s="9" customFormat="1" ht="11.25" x14ac:dyDescent="0.2">
      <c r="A88" s="10">
        <v>40300000</v>
      </c>
      <c r="B88" s="10" t="s">
        <v>68</v>
      </c>
      <c r="C88" s="11">
        <v>-367320.8750000014</v>
      </c>
      <c r="D88" s="11">
        <v>205336.86600000001</v>
      </c>
      <c r="E88" s="11">
        <v>136017.77499999999</v>
      </c>
      <c r="F88" s="13">
        <f>SUMIF('OD 02-24'!A:A,A88,'OD 02-24'!D:D)</f>
        <v>0</v>
      </c>
      <c r="G88" s="13">
        <f>SUMIF('OD 02-24'!A:A,A88,'OD 02-24'!E:E)</f>
        <v>0</v>
      </c>
      <c r="H88" s="14">
        <f t="shared" si="4"/>
        <v>69319.091000000015</v>
      </c>
      <c r="I88" s="14">
        <f t="shared" si="5"/>
        <v>-298001.78400000138</v>
      </c>
      <c r="J88" s="8" t="s">
        <v>67</v>
      </c>
      <c r="M88" s="9">
        <f>VLOOKUP($A88,'BAL 01-24'!$A$3:$I$322,9,0)</f>
        <v>-367320.8750000014</v>
      </c>
      <c r="N88" s="315">
        <f t="shared" si="3"/>
        <v>0</v>
      </c>
    </row>
    <row r="89" spans="1:14" s="9" customFormat="1" ht="11.25" x14ac:dyDescent="0.2">
      <c r="A89" s="10">
        <v>40301000</v>
      </c>
      <c r="B89" s="10" t="s">
        <v>302</v>
      </c>
      <c r="C89" s="11">
        <v>0</v>
      </c>
      <c r="D89" s="11">
        <v>0</v>
      </c>
      <c r="E89" s="11">
        <v>0</v>
      </c>
      <c r="F89" s="13">
        <f>SUMIF('OD 02-24'!A:A,A89,'OD 02-24'!D:D)</f>
        <v>0</v>
      </c>
      <c r="G89" s="13">
        <f>SUMIF('OD 02-24'!A:A,A89,'OD 02-24'!E:E)</f>
        <v>0</v>
      </c>
      <c r="H89" s="14">
        <f t="shared" si="4"/>
        <v>0</v>
      </c>
      <c r="I89" s="14">
        <f t="shared" si="5"/>
        <v>0</v>
      </c>
      <c r="J89" s="8"/>
      <c r="M89" s="9">
        <f>VLOOKUP($A89,'BAL 01-24'!$A$3:$I$322,9,0)</f>
        <v>0</v>
      </c>
      <c r="N89" s="315">
        <f t="shared" si="3"/>
        <v>0</v>
      </c>
    </row>
    <row r="90" spans="1:14" s="9" customFormat="1" ht="11.25" x14ac:dyDescent="0.2">
      <c r="A90" s="10">
        <v>40400000</v>
      </c>
      <c r="B90" s="10" t="s">
        <v>69</v>
      </c>
      <c r="C90" s="11">
        <v>9.999983012676239E-5</v>
      </c>
      <c r="D90" s="11">
        <v>0</v>
      </c>
      <c r="E90" s="11">
        <v>0</v>
      </c>
      <c r="F90" s="13">
        <f>SUMIF('OD 02-24'!A:A,A90,'OD 02-24'!D:D)</f>
        <v>0</v>
      </c>
      <c r="G90" s="13">
        <f>SUMIF('OD 02-24'!A:A,A90,'OD 02-24'!E:E)</f>
        <v>0</v>
      </c>
      <c r="H90" s="14">
        <f t="shared" si="4"/>
        <v>0</v>
      </c>
      <c r="I90" s="14">
        <f t="shared" si="5"/>
        <v>9.999983012676239E-5</v>
      </c>
      <c r="J90" s="8"/>
      <c r="M90" s="9">
        <f>VLOOKUP($A90,'BAL 01-24'!$A$3:$I$322,9,0)</f>
        <v>9.999983012676239E-5</v>
      </c>
      <c r="N90" s="315">
        <f t="shared" si="3"/>
        <v>0</v>
      </c>
    </row>
    <row r="91" spans="1:14" s="9" customFormat="1" ht="11.25" x14ac:dyDescent="0.2">
      <c r="A91" s="10">
        <v>40470000</v>
      </c>
      <c r="B91" s="10" t="s">
        <v>303</v>
      </c>
      <c r="C91" s="11">
        <v>0</v>
      </c>
      <c r="D91" s="11">
        <v>0</v>
      </c>
      <c r="E91" s="11">
        <v>0</v>
      </c>
      <c r="F91" s="13">
        <f>SUMIF('OD 02-24'!A:A,A91,'OD 02-24'!D:D)</f>
        <v>0</v>
      </c>
      <c r="G91" s="13">
        <f>SUMIF('OD 02-24'!A:A,A91,'OD 02-24'!E:E)</f>
        <v>0</v>
      </c>
      <c r="H91" s="14">
        <f t="shared" si="4"/>
        <v>0</v>
      </c>
      <c r="I91" s="14">
        <f t="shared" si="5"/>
        <v>0</v>
      </c>
      <c r="J91" s="8"/>
      <c r="M91" s="9">
        <f>VLOOKUP($A91,'BAL 01-24'!$A$3:$I$322,9,0)</f>
        <v>0</v>
      </c>
      <c r="N91" s="315">
        <f t="shared" si="3"/>
        <v>0</v>
      </c>
    </row>
    <row r="92" spans="1:14" s="9" customFormat="1" ht="11.25" x14ac:dyDescent="0.2">
      <c r="A92" s="10">
        <v>40600000</v>
      </c>
      <c r="B92" s="10" t="s">
        <v>70</v>
      </c>
      <c r="C92" s="11">
        <v>-1594769.8011176288</v>
      </c>
      <c r="D92" s="11">
        <v>315974.772</v>
      </c>
      <c r="E92" s="11">
        <v>529177.27490199998</v>
      </c>
      <c r="F92" s="13">
        <f>SUMIF('OD 02-24'!A:A,A92,'OD 02-24'!D:D)</f>
        <v>342100.61</v>
      </c>
      <c r="G92" s="13">
        <f>SUMIF('OD 02-24'!A:A,A92,'OD 02-24'!E:E)</f>
        <v>346630.21600000001</v>
      </c>
      <c r="H92" s="14">
        <f t="shared" si="4"/>
        <v>-217732.10890200001</v>
      </c>
      <c r="I92" s="14">
        <f t="shared" si="5"/>
        <v>-1812501.9100196287</v>
      </c>
      <c r="J92" s="8" t="s">
        <v>67</v>
      </c>
      <c r="M92" s="9">
        <f>VLOOKUP($A92,'BAL 01-24'!$A$3:$I$322,9,0)</f>
        <v>-1594769.8011176288</v>
      </c>
      <c r="N92" s="315">
        <f t="shared" si="3"/>
        <v>0</v>
      </c>
    </row>
    <row r="93" spans="1:14" s="9" customFormat="1" ht="11.25" x14ac:dyDescent="0.2">
      <c r="A93" s="10">
        <v>40800000</v>
      </c>
      <c r="B93" s="10" t="s">
        <v>71</v>
      </c>
      <c r="C93" s="11">
        <v>-4980</v>
      </c>
      <c r="D93" s="11">
        <v>0</v>
      </c>
      <c r="E93" s="11">
        <v>0</v>
      </c>
      <c r="F93" s="13">
        <f>SUMIF('OD 02-24'!A:A,A93,'OD 02-24'!D:D)</f>
        <v>0</v>
      </c>
      <c r="G93" s="13">
        <f>SUMIF('OD 02-24'!A:A,A93,'OD 02-24'!E:E)</f>
        <v>0</v>
      </c>
      <c r="H93" s="14">
        <f t="shared" si="4"/>
        <v>0</v>
      </c>
      <c r="I93" s="14">
        <f t="shared" si="5"/>
        <v>-4980</v>
      </c>
      <c r="J93" s="8" t="s">
        <v>67</v>
      </c>
      <c r="M93" s="9">
        <f>VLOOKUP($A93,'BAL 01-24'!$A$3:$I$322,9,0)</f>
        <v>-4980</v>
      </c>
      <c r="N93" s="315">
        <f t="shared" si="3"/>
        <v>0</v>
      </c>
    </row>
    <row r="94" spans="1:14" s="9" customFormat="1" ht="11.25" x14ac:dyDescent="0.2">
      <c r="A94" s="10">
        <v>40810000</v>
      </c>
      <c r="B94" s="10" t="s">
        <v>391</v>
      </c>
      <c r="C94" s="11">
        <v>-13874.613999999998</v>
      </c>
      <c r="D94" s="11">
        <v>6581.25</v>
      </c>
      <c r="E94" s="11">
        <v>0</v>
      </c>
      <c r="F94" s="13">
        <f>SUMIF('OD 02-24'!A:A,A94,'OD 02-24'!D:D)</f>
        <v>0</v>
      </c>
      <c r="G94" s="13">
        <f>SUMIF('OD 02-24'!A:A,A94,'OD 02-24'!E:E)</f>
        <v>0</v>
      </c>
      <c r="H94" s="14">
        <f t="shared" si="4"/>
        <v>6581.25</v>
      </c>
      <c r="I94" s="14">
        <f t="shared" si="5"/>
        <v>-7293.3639999999978</v>
      </c>
      <c r="J94" s="8" t="s">
        <v>67</v>
      </c>
      <c r="M94" s="9">
        <f>VLOOKUP($A94,'BAL 01-24'!$A$3:$I$322,9,0)</f>
        <v>-13874.613999999998</v>
      </c>
      <c r="N94" s="315">
        <f t="shared" si="3"/>
        <v>0</v>
      </c>
    </row>
    <row r="95" spans="1:14" s="9" customFormat="1" ht="11.25" x14ac:dyDescent="0.2">
      <c r="A95" s="10">
        <v>40860000</v>
      </c>
      <c r="B95" s="10" t="s">
        <v>304</v>
      </c>
      <c r="C95" s="11">
        <v>0</v>
      </c>
      <c r="D95" s="11">
        <v>0</v>
      </c>
      <c r="E95" s="11">
        <v>0</v>
      </c>
      <c r="F95" s="13">
        <f>SUMIF('OD 02-24'!A:A,A95,'OD 02-24'!D:D)</f>
        <v>0</v>
      </c>
      <c r="G95" s="13">
        <f>SUMIF('OD 02-24'!A:A,A95,'OD 02-24'!E:E)</f>
        <v>0</v>
      </c>
      <c r="H95" s="14">
        <f t="shared" si="4"/>
        <v>0</v>
      </c>
      <c r="I95" s="14">
        <f t="shared" si="5"/>
        <v>0</v>
      </c>
      <c r="J95" s="8"/>
      <c r="M95" s="9">
        <f>VLOOKUP($A95,'BAL 01-24'!$A$3:$I$322,9,0)</f>
        <v>0</v>
      </c>
      <c r="N95" s="315">
        <f t="shared" si="3"/>
        <v>0</v>
      </c>
    </row>
    <row r="96" spans="1:14" s="9" customFormat="1" ht="11.25" x14ac:dyDescent="0.2">
      <c r="A96" s="10">
        <v>40910000</v>
      </c>
      <c r="B96" s="10" t="s">
        <v>72</v>
      </c>
      <c r="C96" s="11">
        <v>0</v>
      </c>
      <c r="D96" s="11">
        <v>0</v>
      </c>
      <c r="E96" s="11">
        <v>0</v>
      </c>
      <c r="F96" s="13">
        <f>SUMIF('OD 02-24'!A:A,A96,'OD 02-24'!D:D)</f>
        <v>0</v>
      </c>
      <c r="G96" s="13">
        <f>SUMIF('OD 02-24'!A:A,A96,'OD 02-24'!E:E)</f>
        <v>0</v>
      </c>
      <c r="H96" s="14">
        <f t="shared" si="4"/>
        <v>0</v>
      </c>
      <c r="I96" s="14">
        <f t="shared" si="5"/>
        <v>0</v>
      </c>
      <c r="J96" s="8" t="s">
        <v>78</v>
      </c>
      <c r="M96" s="9">
        <f>VLOOKUP($A96,'BAL 01-24'!$A$3:$I$322,9,0)</f>
        <v>0</v>
      </c>
      <c r="N96" s="315">
        <f t="shared" si="3"/>
        <v>0</v>
      </c>
    </row>
    <row r="97" spans="1:14" s="9" customFormat="1" ht="11.25" x14ac:dyDescent="0.2">
      <c r="A97" s="10">
        <v>41100000</v>
      </c>
      <c r="B97" s="10" t="s">
        <v>73</v>
      </c>
      <c r="C97" s="11">
        <v>14458590.146682508</v>
      </c>
      <c r="D97" s="11">
        <v>5228042.3820000002</v>
      </c>
      <c r="E97" s="11">
        <v>5194536.932</v>
      </c>
      <c r="F97" s="13">
        <f>SUMIF('OD 02-24'!A:A,A97,'OD 02-24'!D:D)</f>
        <v>0</v>
      </c>
      <c r="G97" s="13">
        <f>SUMIF('OD 02-24'!A:A,A97,'OD 02-24'!E:E)</f>
        <v>0</v>
      </c>
      <c r="H97" s="14">
        <f t="shared" si="4"/>
        <v>33505.450000000186</v>
      </c>
      <c r="I97" s="14">
        <f t="shared" si="5"/>
        <v>14492095.596682508</v>
      </c>
      <c r="J97" s="8" t="s">
        <v>74</v>
      </c>
      <c r="M97" s="9">
        <f>VLOOKUP($A97,'BAL 01-24'!$A$3:$I$322,9,0)</f>
        <v>14458590.146682508</v>
      </c>
      <c r="N97" s="315">
        <f t="shared" si="3"/>
        <v>0</v>
      </c>
    </row>
    <row r="98" spans="1:14" s="9" customFormat="1" ht="11.25" x14ac:dyDescent="0.2">
      <c r="A98" s="10">
        <v>41301000</v>
      </c>
      <c r="B98" s="10" t="s">
        <v>305</v>
      </c>
      <c r="C98" s="11">
        <v>0</v>
      </c>
      <c r="D98" s="11">
        <v>0</v>
      </c>
      <c r="E98" s="11">
        <v>0</v>
      </c>
      <c r="F98" s="13">
        <f>SUMIF('OD 02-24'!A:A,A98,'OD 02-24'!D:D)</f>
        <v>0</v>
      </c>
      <c r="G98" s="13">
        <f>SUMIF('OD 02-24'!A:A,A98,'OD 02-24'!E:E)</f>
        <v>0</v>
      </c>
      <c r="H98" s="14">
        <f t="shared" si="4"/>
        <v>0</v>
      </c>
      <c r="I98" s="14">
        <f t="shared" si="5"/>
        <v>0</v>
      </c>
      <c r="J98" s="8"/>
      <c r="M98" s="9">
        <f>VLOOKUP($A98,'BAL 01-24'!$A$3:$I$322,9,0)</f>
        <v>0</v>
      </c>
      <c r="N98" s="315">
        <f t="shared" si="3"/>
        <v>0</v>
      </c>
    </row>
    <row r="99" spans="1:14" s="9" customFormat="1" ht="11.25" x14ac:dyDescent="0.2">
      <c r="A99" s="10">
        <v>41500000</v>
      </c>
      <c r="B99" s="10" t="s">
        <v>75</v>
      </c>
      <c r="C99" s="11">
        <v>2261844.395260497</v>
      </c>
      <c r="D99" s="11">
        <v>788482.56299999997</v>
      </c>
      <c r="E99" s="11">
        <v>72757.707000000009</v>
      </c>
      <c r="F99" s="13">
        <f>SUMIF('OD 02-24'!A:A,A99,'OD 02-24'!D:D)</f>
        <v>1741401.969</v>
      </c>
      <c r="G99" s="13">
        <f>SUMIF('OD 02-24'!A:A,A99,'OD 02-24'!E:E)</f>
        <v>1007937.9080000001</v>
      </c>
      <c r="H99" s="14">
        <f t="shared" si="4"/>
        <v>1449188.9170000001</v>
      </c>
      <c r="I99" s="14">
        <f t="shared" si="5"/>
        <v>3711033.3122604974</v>
      </c>
      <c r="J99" s="8" t="s">
        <v>74</v>
      </c>
      <c r="M99" s="9">
        <f>VLOOKUP($A99,'BAL 01-24'!$A$3:$I$322,9,0)</f>
        <v>2261844.395260497</v>
      </c>
      <c r="N99" s="315">
        <f t="shared" si="3"/>
        <v>0</v>
      </c>
    </row>
    <row r="100" spans="1:14" s="9" customFormat="1" ht="11.25" x14ac:dyDescent="0.2">
      <c r="A100" s="10">
        <v>41601000</v>
      </c>
      <c r="B100" s="10" t="s">
        <v>306</v>
      </c>
      <c r="C100" s="11">
        <v>0</v>
      </c>
      <c r="D100" s="11">
        <v>0</v>
      </c>
      <c r="E100" s="11">
        <v>0</v>
      </c>
      <c r="F100" s="13">
        <f>SUMIF('OD 02-24'!A:A,A100,'OD 02-24'!D:D)</f>
        <v>0</v>
      </c>
      <c r="G100" s="13">
        <f>SUMIF('OD 02-24'!A:A,A100,'OD 02-24'!E:E)</f>
        <v>0</v>
      </c>
      <c r="H100" s="14">
        <f t="shared" si="4"/>
        <v>0</v>
      </c>
      <c r="I100" s="14">
        <f t="shared" si="5"/>
        <v>0</v>
      </c>
      <c r="J100" s="8"/>
      <c r="M100" s="9">
        <f>VLOOKUP($A100,'BAL 01-24'!$A$3:$I$322,9,0)</f>
        <v>0</v>
      </c>
      <c r="N100" s="315">
        <f t="shared" si="3"/>
        <v>0</v>
      </c>
    </row>
    <row r="101" spans="1:14" s="9" customFormat="1" ht="11.25" x14ac:dyDescent="0.2">
      <c r="A101" s="10">
        <v>41800000</v>
      </c>
      <c r="B101" s="10" t="s">
        <v>307</v>
      </c>
      <c r="C101" s="11">
        <v>0</v>
      </c>
      <c r="D101" s="11">
        <v>0</v>
      </c>
      <c r="E101" s="11">
        <v>0</v>
      </c>
      <c r="F101" s="13">
        <f>SUMIF('OD 02-24'!A:A,A101,'OD 02-24'!D:D)</f>
        <v>0</v>
      </c>
      <c r="G101" s="13">
        <f>SUMIF('OD 02-24'!A:A,A101,'OD 02-24'!E:E)</f>
        <v>0</v>
      </c>
      <c r="H101" s="14">
        <f t="shared" si="4"/>
        <v>0</v>
      </c>
      <c r="I101" s="14">
        <f t="shared" si="5"/>
        <v>0</v>
      </c>
      <c r="J101" s="8"/>
      <c r="M101" s="9">
        <f>VLOOKUP($A101,'BAL 01-24'!$A$3:$I$322,9,0)</f>
        <v>0</v>
      </c>
      <c r="N101" s="315">
        <f t="shared" si="3"/>
        <v>0</v>
      </c>
    </row>
    <row r="102" spans="1:14" s="9" customFormat="1" ht="11.25" x14ac:dyDescent="0.2">
      <c r="A102" s="10">
        <v>41910000</v>
      </c>
      <c r="B102" s="10" t="s">
        <v>308</v>
      </c>
      <c r="C102" s="11">
        <v>0</v>
      </c>
      <c r="D102" s="11">
        <v>0</v>
      </c>
      <c r="E102" s="11">
        <v>0</v>
      </c>
      <c r="F102" s="13">
        <f>SUMIF('OD 02-24'!A:A,A102,'OD 02-24'!D:D)</f>
        <v>0</v>
      </c>
      <c r="G102" s="13">
        <f>SUMIF('OD 02-24'!A:A,A102,'OD 02-24'!E:E)</f>
        <v>0</v>
      </c>
      <c r="H102" s="14">
        <f t="shared" si="4"/>
        <v>0</v>
      </c>
      <c r="I102" s="14">
        <f t="shared" si="5"/>
        <v>0</v>
      </c>
      <c r="J102" s="8"/>
      <c r="M102" s="9">
        <f>VLOOKUP($A102,'BAL 01-24'!$A$3:$I$322,9,0)</f>
        <v>0</v>
      </c>
      <c r="N102" s="315">
        <f t="shared" si="3"/>
        <v>0</v>
      </c>
    </row>
    <row r="103" spans="1:14" s="9" customFormat="1" ht="11.25" x14ac:dyDescent="0.2">
      <c r="A103" s="10">
        <v>42100000</v>
      </c>
      <c r="B103" s="10" t="s">
        <v>76</v>
      </c>
      <c r="C103" s="11">
        <v>0</v>
      </c>
      <c r="D103" s="11">
        <v>0</v>
      </c>
      <c r="E103" s="11">
        <v>0</v>
      </c>
      <c r="F103" s="13">
        <f>SUMIF('OD 02-24'!A:A,A103,'OD 02-24'!D:D)</f>
        <v>0</v>
      </c>
      <c r="G103" s="13">
        <f>SUMIF('OD 02-24'!A:A,A103,'OD 02-24'!E:E)</f>
        <v>0</v>
      </c>
      <c r="H103" s="14">
        <f t="shared" si="4"/>
        <v>0</v>
      </c>
      <c r="I103" s="14">
        <f t="shared" si="5"/>
        <v>0</v>
      </c>
      <c r="J103" s="8"/>
      <c r="M103" s="9">
        <f>VLOOKUP($A103,'BAL 01-24'!$A$3:$I$322,9,0)</f>
        <v>0</v>
      </c>
      <c r="N103" s="315">
        <f t="shared" si="3"/>
        <v>0</v>
      </c>
    </row>
    <row r="104" spans="1:14" s="9" customFormat="1" ht="11.25" x14ac:dyDescent="0.2">
      <c r="A104" s="10">
        <v>42110000</v>
      </c>
      <c r="B104" s="10" t="s">
        <v>309</v>
      </c>
      <c r="C104" s="11">
        <v>0</v>
      </c>
      <c r="D104" s="11">
        <v>0</v>
      </c>
      <c r="E104" s="11">
        <v>0</v>
      </c>
      <c r="F104" s="13">
        <f>SUMIF('OD 02-24'!A:A,A104,'OD 02-24'!D:D)</f>
        <v>0</v>
      </c>
      <c r="G104" s="13">
        <f>SUMIF('OD 02-24'!A:A,A104,'OD 02-24'!E:E)</f>
        <v>0</v>
      </c>
      <c r="H104" s="14">
        <f t="shared" si="4"/>
        <v>0</v>
      </c>
      <c r="I104" s="14">
        <f t="shared" si="5"/>
        <v>0</v>
      </c>
      <c r="J104" s="8"/>
      <c r="M104" s="9">
        <f>VLOOKUP($A104,'BAL 01-24'!$A$3:$I$322,9,0)</f>
        <v>0</v>
      </c>
      <c r="N104" s="315">
        <f t="shared" si="3"/>
        <v>0</v>
      </c>
    </row>
    <row r="105" spans="1:14" s="9" customFormat="1" ht="11.25" x14ac:dyDescent="0.2">
      <c r="A105" s="10">
        <v>42120000</v>
      </c>
      <c r="B105" s="10" t="s">
        <v>77</v>
      </c>
      <c r="C105" s="11">
        <v>15839.859999999986</v>
      </c>
      <c r="D105" s="11">
        <v>100</v>
      </c>
      <c r="E105" s="11">
        <v>5540</v>
      </c>
      <c r="F105" s="13">
        <f>SUMIF('OD 02-24'!A:A,A105,'OD 02-24'!D:D)</f>
        <v>0</v>
      </c>
      <c r="G105" s="13">
        <f>SUMIF('OD 02-24'!A:A,A105,'OD 02-24'!E:E)</f>
        <v>0</v>
      </c>
      <c r="H105" s="14">
        <f t="shared" si="4"/>
        <v>-5440</v>
      </c>
      <c r="I105" s="14">
        <f t="shared" si="5"/>
        <v>10399.859999999986</v>
      </c>
      <c r="J105" s="8" t="s">
        <v>78</v>
      </c>
      <c r="M105" s="9">
        <f>VLOOKUP($A105,'BAL 01-24'!$A$3:$I$322,9,0)</f>
        <v>15839.859999999986</v>
      </c>
      <c r="N105" s="315">
        <f t="shared" si="3"/>
        <v>0</v>
      </c>
    </row>
    <row r="106" spans="1:14" s="9" customFormat="1" ht="11.25" x14ac:dyDescent="0.2">
      <c r="A106" s="10">
        <v>42400000</v>
      </c>
      <c r="B106" s="10" t="s">
        <v>79</v>
      </c>
      <c r="C106" s="11">
        <v>0</v>
      </c>
      <c r="D106" s="11">
        <v>0</v>
      </c>
      <c r="E106" s="11">
        <v>0</v>
      </c>
      <c r="F106" s="13">
        <f>SUMIF('OD 02-24'!A:A,A106,'OD 02-24'!D:D)</f>
        <v>0</v>
      </c>
      <c r="G106" s="13">
        <f>SUMIF('OD 02-24'!A:A,A106,'OD 02-24'!E:E)</f>
        <v>0</v>
      </c>
      <c r="H106" s="14">
        <f t="shared" si="4"/>
        <v>0</v>
      </c>
      <c r="I106" s="14">
        <f t="shared" si="5"/>
        <v>0</v>
      </c>
      <c r="J106" s="8"/>
      <c r="M106" s="9">
        <f>VLOOKUP($A106,'BAL 01-24'!$A$3:$I$322,9,0)</f>
        <v>0</v>
      </c>
      <c r="N106" s="315">
        <f t="shared" si="3"/>
        <v>0</v>
      </c>
    </row>
    <row r="107" spans="1:14" s="9" customFormat="1" ht="11.25" x14ac:dyDescent="0.2">
      <c r="A107" s="10">
        <v>42500000</v>
      </c>
      <c r="B107" s="10" t="s">
        <v>80</v>
      </c>
      <c r="C107" s="11">
        <v>-366648.95599999552</v>
      </c>
      <c r="D107" s="11">
        <v>79001.788</v>
      </c>
      <c r="E107" s="11">
        <v>437772.45299999992</v>
      </c>
      <c r="F107" s="13">
        <f>SUMIF('OD 02-24'!A:A,A107,'OD 02-24'!D:D)</f>
        <v>0</v>
      </c>
      <c r="G107" s="13">
        <f>SUMIF('OD 02-24'!A:A,A107,'OD 02-24'!E:E)</f>
        <v>0</v>
      </c>
      <c r="H107" s="14">
        <f t="shared" si="4"/>
        <v>-358770.66499999992</v>
      </c>
      <c r="I107" s="14">
        <f t="shared" si="5"/>
        <v>-725419.62099999539</v>
      </c>
      <c r="J107" s="8" t="s">
        <v>81</v>
      </c>
      <c r="M107" s="9">
        <f>VLOOKUP($A107,'BAL 01-24'!$A$3:$I$322,9,0)</f>
        <v>-366648.95599999552</v>
      </c>
      <c r="N107" s="315">
        <f t="shared" si="3"/>
        <v>0</v>
      </c>
    </row>
    <row r="108" spans="1:14" s="9" customFormat="1" ht="11.25" x14ac:dyDescent="0.2">
      <c r="A108" s="10">
        <v>42700000</v>
      </c>
      <c r="B108" s="10" t="s">
        <v>310</v>
      </c>
      <c r="C108" s="11">
        <v>0</v>
      </c>
      <c r="D108" s="11">
        <v>0</v>
      </c>
      <c r="E108" s="11">
        <v>0</v>
      </c>
      <c r="F108" s="13">
        <f>SUMIF('OD 02-24'!A:A,A108,'OD 02-24'!D:D)</f>
        <v>0</v>
      </c>
      <c r="G108" s="13">
        <f>SUMIF('OD 02-24'!A:A,A108,'OD 02-24'!E:E)</f>
        <v>0</v>
      </c>
      <c r="H108" s="14">
        <f t="shared" si="4"/>
        <v>0</v>
      </c>
      <c r="I108" s="14">
        <f t="shared" si="5"/>
        <v>0</v>
      </c>
      <c r="J108" s="8"/>
      <c r="M108" s="9">
        <f>VLOOKUP($A108,'BAL 01-24'!$A$3:$I$322,9,0)</f>
        <v>0</v>
      </c>
      <c r="N108" s="315">
        <f t="shared" si="3"/>
        <v>0</v>
      </c>
    </row>
    <row r="109" spans="1:14" s="9" customFormat="1" ht="11.25" x14ac:dyDescent="0.2">
      <c r="A109" s="10">
        <v>42710000</v>
      </c>
      <c r="B109" s="10" t="s">
        <v>82</v>
      </c>
      <c r="C109" s="11">
        <v>-2009.6969999999906</v>
      </c>
      <c r="D109" s="11">
        <v>0</v>
      </c>
      <c r="E109" s="11">
        <v>750.01800000000003</v>
      </c>
      <c r="F109" s="13">
        <f>SUMIF('OD 02-24'!A:A,A109,'OD 02-24'!D:D)</f>
        <v>0</v>
      </c>
      <c r="G109" s="13">
        <f>SUMIF('OD 02-24'!A:A,A109,'OD 02-24'!E:E)</f>
        <v>0</v>
      </c>
      <c r="H109" s="14">
        <f t="shared" si="4"/>
        <v>-750.01800000000003</v>
      </c>
      <c r="I109" s="14">
        <f t="shared" si="5"/>
        <v>-2759.7149999999906</v>
      </c>
      <c r="J109" s="8" t="s">
        <v>81</v>
      </c>
      <c r="M109" s="9">
        <f>VLOOKUP($A109,'BAL 01-24'!$A$3:$I$322,9,0)</f>
        <v>-2009.6969999999906</v>
      </c>
      <c r="N109" s="315">
        <f t="shared" si="3"/>
        <v>0</v>
      </c>
    </row>
    <row r="110" spans="1:14" s="9" customFormat="1" ht="11.25" x14ac:dyDescent="0.2">
      <c r="A110" s="10">
        <v>42820000</v>
      </c>
      <c r="B110" s="10" t="s">
        <v>83</v>
      </c>
      <c r="C110" s="11">
        <v>-254931.41399999941</v>
      </c>
      <c r="D110" s="11">
        <v>0</v>
      </c>
      <c r="E110" s="11">
        <v>0</v>
      </c>
      <c r="F110" s="13">
        <f>SUMIF('OD 02-24'!A:A,A110,'OD 02-24'!D:D)</f>
        <v>500862.82799999998</v>
      </c>
      <c r="G110" s="13">
        <f>SUMIF('OD 02-24'!A:A,A110,'OD 02-24'!E:E)</f>
        <v>509862.82799999998</v>
      </c>
      <c r="H110" s="14">
        <f t="shared" si="4"/>
        <v>-9000</v>
      </c>
      <c r="I110" s="14">
        <f t="shared" si="5"/>
        <v>-263931.41399999941</v>
      </c>
      <c r="J110" s="8" t="s">
        <v>81</v>
      </c>
      <c r="M110" s="9">
        <f>VLOOKUP($A110,'BAL 01-24'!$A$3:$I$322,9,0)</f>
        <v>-254931.41399999941</v>
      </c>
      <c r="N110" s="315">
        <f t="shared" si="3"/>
        <v>0</v>
      </c>
    </row>
    <row r="111" spans="1:14" s="9" customFormat="1" ht="11.25" x14ac:dyDescent="0.2">
      <c r="A111" s="10">
        <v>43200000</v>
      </c>
      <c r="B111" s="10" t="s">
        <v>311</v>
      </c>
      <c r="C111" s="11">
        <v>0</v>
      </c>
      <c r="D111" s="11">
        <v>0</v>
      </c>
      <c r="E111" s="11">
        <v>0</v>
      </c>
      <c r="F111" s="13">
        <f>SUMIF('OD 02-24'!A:A,A111,'OD 02-24'!D:D)</f>
        <v>0</v>
      </c>
      <c r="G111" s="13">
        <f>SUMIF('OD 02-24'!A:A,A111,'OD 02-24'!E:E)</f>
        <v>0</v>
      </c>
      <c r="H111" s="14">
        <f t="shared" si="4"/>
        <v>0</v>
      </c>
      <c r="I111" s="14">
        <f t="shared" si="5"/>
        <v>0</v>
      </c>
      <c r="J111" s="8"/>
      <c r="M111" s="9">
        <f>VLOOKUP($A111,'BAL 01-24'!$A$3:$I$322,9,0)</f>
        <v>0</v>
      </c>
      <c r="N111" s="315">
        <f t="shared" si="3"/>
        <v>0</v>
      </c>
    </row>
    <row r="112" spans="1:14" s="9" customFormat="1" ht="11.25" x14ac:dyDescent="0.2">
      <c r="A112" s="10">
        <v>43210000</v>
      </c>
      <c r="B112" s="10" t="s">
        <v>84</v>
      </c>
      <c r="C112" s="11">
        <v>-43414.902999999998</v>
      </c>
      <c r="D112" s="11">
        <v>63482.289000000004</v>
      </c>
      <c r="E112" s="11">
        <v>139987.18400000001</v>
      </c>
      <c r="F112" s="13">
        <f>SUMIF('OD 02-24'!A:A,A112,'OD 02-24'!D:D)</f>
        <v>0</v>
      </c>
      <c r="G112" s="13">
        <f>SUMIF('OD 02-24'!A:A,A112,'OD 02-24'!E:E)</f>
        <v>0</v>
      </c>
      <c r="H112" s="14">
        <f t="shared" si="4"/>
        <v>-76504.895000000004</v>
      </c>
      <c r="I112" s="14">
        <f t="shared" si="5"/>
        <v>-119919.79800000001</v>
      </c>
      <c r="J112" s="8" t="s">
        <v>81</v>
      </c>
      <c r="M112" s="9">
        <f>VLOOKUP($A112,'BAL 01-24'!$A$3:$I$322,9,0)</f>
        <v>-43414.902999999998</v>
      </c>
      <c r="N112" s="315">
        <f t="shared" si="3"/>
        <v>0</v>
      </c>
    </row>
    <row r="113" spans="1:14" s="9" customFormat="1" ht="11.25" x14ac:dyDescent="0.2">
      <c r="A113" s="10">
        <v>43211000</v>
      </c>
      <c r="B113" s="10" t="s">
        <v>312</v>
      </c>
      <c r="C113" s="11">
        <v>0</v>
      </c>
      <c r="D113" s="11">
        <v>0</v>
      </c>
      <c r="E113" s="11">
        <v>0</v>
      </c>
      <c r="F113" s="13">
        <f>SUMIF('OD 02-24'!A:A,A113,'OD 02-24'!D:D)</f>
        <v>0</v>
      </c>
      <c r="G113" s="13">
        <f>SUMIF('OD 02-24'!A:A,A113,'OD 02-24'!E:E)</f>
        <v>0</v>
      </c>
      <c r="H113" s="14">
        <f t="shared" si="4"/>
        <v>0</v>
      </c>
      <c r="I113" s="14">
        <f t="shared" si="5"/>
        <v>0</v>
      </c>
      <c r="J113" s="8"/>
      <c r="M113" s="9">
        <f>VLOOKUP($A113,'BAL 01-24'!$A$3:$I$322,9,0)</f>
        <v>0</v>
      </c>
      <c r="N113" s="315">
        <f t="shared" si="3"/>
        <v>0</v>
      </c>
    </row>
    <row r="114" spans="1:14" s="9" customFormat="1" ht="11.25" x14ac:dyDescent="0.2">
      <c r="A114" s="10">
        <v>43211500</v>
      </c>
      <c r="B114" s="10" t="s">
        <v>85</v>
      </c>
      <c r="C114" s="11">
        <v>0</v>
      </c>
      <c r="D114" s="11">
        <v>0</v>
      </c>
      <c r="E114" s="11">
        <v>0</v>
      </c>
      <c r="F114" s="13">
        <f>SUMIF('OD 02-24'!A:A,A114,'OD 02-24'!D:D)</f>
        <v>0</v>
      </c>
      <c r="G114" s="13">
        <f>SUMIF('OD 02-24'!A:A,A114,'OD 02-24'!E:E)</f>
        <v>0</v>
      </c>
      <c r="H114" s="14">
        <f t="shared" si="4"/>
        <v>0</v>
      </c>
      <c r="I114" s="14">
        <f t="shared" si="5"/>
        <v>0</v>
      </c>
      <c r="J114" s="8"/>
      <c r="M114" s="9">
        <f>VLOOKUP($A114,'BAL 01-24'!$A$3:$I$322,9,0)</f>
        <v>0</v>
      </c>
      <c r="N114" s="315">
        <f t="shared" si="3"/>
        <v>0</v>
      </c>
    </row>
    <row r="115" spans="1:14" s="9" customFormat="1" ht="11.25" x14ac:dyDescent="0.2">
      <c r="A115" s="10">
        <v>43212500</v>
      </c>
      <c r="B115" s="10" t="s">
        <v>313</v>
      </c>
      <c r="C115" s="11">
        <v>0</v>
      </c>
      <c r="D115" s="11">
        <v>0</v>
      </c>
      <c r="E115" s="11">
        <v>0</v>
      </c>
      <c r="F115" s="13">
        <f>SUMIF('OD 02-24'!A:A,A115,'OD 02-24'!D:D)</f>
        <v>0</v>
      </c>
      <c r="G115" s="13">
        <f>SUMIF('OD 02-24'!A:A,A115,'OD 02-24'!E:E)</f>
        <v>0</v>
      </c>
      <c r="H115" s="14">
        <f t="shared" si="4"/>
        <v>0</v>
      </c>
      <c r="I115" s="14">
        <f t="shared" si="5"/>
        <v>0</v>
      </c>
      <c r="J115" s="8"/>
      <c r="M115" s="9">
        <f>VLOOKUP($A115,'BAL 01-24'!$A$3:$I$322,9,0)</f>
        <v>0</v>
      </c>
      <c r="N115" s="315">
        <f t="shared" si="3"/>
        <v>0</v>
      </c>
    </row>
    <row r="116" spans="1:14" s="9" customFormat="1" ht="11.25" x14ac:dyDescent="0.2">
      <c r="A116" s="10">
        <v>43215000</v>
      </c>
      <c r="B116" s="10" t="s">
        <v>314</v>
      </c>
      <c r="C116" s="11">
        <v>0</v>
      </c>
      <c r="D116" s="11">
        <v>0</v>
      </c>
      <c r="E116" s="11">
        <v>0</v>
      </c>
      <c r="F116" s="13">
        <f>SUMIF('OD 02-24'!A:A,A116,'OD 02-24'!D:D)</f>
        <v>0</v>
      </c>
      <c r="G116" s="13">
        <f>SUMIF('OD 02-24'!A:A,A116,'OD 02-24'!E:E)</f>
        <v>0</v>
      </c>
      <c r="H116" s="14">
        <f t="shared" si="4"/>
        <v>0</v>
      </c>
      <c r="I116" s="14">
        <f t="shared" si="5"/>
        <v>0</v>
      </c>
      <c r="J116" s="8"/>
      <c r="M116" s="9">
        <f>VLOOKUP($A116,'BAL 01-24'!$A$3:$I$322,9,0)</f>
        <v>0</v>
      </c>
      <c r="N116" s="315">
        <f t="shared" si="3"/>
        <v>0</v>
      </c>
    </row>
    <row r="117" spans="1:14" s="9" customFormat="1" ht="11.25" x14ac:dyDescent="0.2">
      <c r="A117" s="10">
        <v>43220000</v>
      </c>
      <c r="B117" s="10" t="s">
        <v>86</v>
      </c>
      <c r="C117" s="11">
        <v>0</v>
      </c>
      <c r="D117" s="11">
        <v>0</v>
      </c>
      <c r="E117" s="11">
        <v>0</v>
      </c>
      <c r="F117" s="13">
        <f>SUMIF('OD 02-24'!A:A,A117,'OD 02-24'!D:D)</f>
        <v>0</v>
      </c>
      <c r="G117" s="13">
        <f>SUMIF('OD 02-24'!A:A,A117,'OD 02-24'!E:E)</f>
        <v>0</v>
      </c>
      <c r="H117" s="14">
        <f t="shared" si="4"/>
        <v>0</v>
      </c>
      <c r="I117" s="14">
        <f t="shared" si="5"/>
        <v>0</v>
      </c>
      <c r="J117" s="8" t="s">
        <v>81</v>
      </c>
      <c r="M117" s="9">
        <f>VLOOKUP($A117,'BAL 01-24'!$A$3:$I$322,9,0)</f>
        <v>0</v>
      </c>
      <c r="N117" s="315">
        <f t="shared" si="3"/>
        <v>0</v>
      </c>
    </row>
    <row r="118" spans="1:14" s="9" customFormat="1" ht="11.25" x14ac:dyDescent="0.2">
      <c r="A118" s="10">
        <v>43220050</v>
      </c>
      <c r="B118" s="10" t="s">
        <v>315</v>
      </c>
      <c r="C118" s="11">
        <v>4.6999999998661224E-2</v>
      </c>
      <c r="D118" s="11">
        <v>0</v>
      </c>
      <c r="E118" s="11">
        <v>0</v>
      </c>
      <c r="F118" s="13">
        <f>SUMIF('OD 02-24'!A:A,A118,'OD 02-24'!D:D)</f>
        <v>0</v>
      </c>
      <c r="G118" s="13">
        <f>SUMIF('OD 02-24'!A:A,A118,'OD 02-24'!E:E)</f>
        <v>0</v>
      </c>
      <c r="H118" s="14">
        <f t="shared" si="4"/>
        <v>0</v>
      </c>
      <c r="I118" s="14">
        <f t="shared" si="5"/>
        <v>4.6999999998661224E-2</v>
      </c>
      <c r="J118" s="8" t="s">
        <v>78</v>
      </c>
      <c r="M118" s="9">
        <f>VLOOKUP($A118,'BAL 01-24'!$A$3:$I$322,9,0)</f>
        <v>4.6999999998661224E-2</v>
      </c>
      <c r="N118" s="315">
        <f t="shared" si="3"/>
        <v>0</v>
      </c>
    </row>
    <row r="119" spans="1:14" s="9" customFormat="1" ht="11.25" x14ac:dyDescent="0.2">
      <c r="A119" s="10">
        <v>43220100</v>
      </c>
      <c r="B119" s="10" t="s">
        <v>87</v>
      </c>
      <c r="C119" s="11">
        <v>-21198.716</v>
      </c>
      <c r="D119" s="11">
        <v>21198.716</v>
      </c>
      <c r="E119" s="11">
        <v>17881.310000000001</v>
      </c>
      <c r="F119" s="13">
        <f>SUMIF('OD 02-24'!A:A,A119,'OD 02-24'!D:D)</f>
        <v>0</v>
      </c>
      <c r="G119" s="13">
        <f>SUMIF('OD 02-24'!A:A,A119,'OD 02-24'!E:E)</f>
        <v>0</v>
      </c>
      <c r="H119" s="14">
        <f t="shared" si="4"/>
        <v>3317.405999999999</v>
      </c>
      <c r="I119" s="14">
        <f t="shared" si="5"/>
        <v>-17881.310000000001</v>
      </c>
      <c r="J119" s="8" t="s">
        <v>81</v>
      </c>
      <c r="M119" s="9">
        <f>VLOOKUP($A119,'BAL 01-24'!$A$3:$I$322,9,0)</f>
        <v>-21198.716</v>
      </c>
      <c r="N119" s="315">
        <f t="shared" si="3"/>
        <v>0</v>
      </c>
    </row>
    <row r="120" spans="1:14" s="9" customFormat="1" ht="11.25" x14ac:dyDescent="0.2">
      <c r="A120" s="10">
        <v>43220300</v>
      </c>
      <c r="B120" s="10" t="s">
        <v>88</v>
      </c>
      <c r="C120" s="11">
        <v>-270.077</v>
      </c>
      <c r="D120" s="11">
        <v>270.077</v>
      </c>
      <c r="E120" s="11">
        <v>732.89100000000008</v>
      </c>
      <c r="F120" s="13">
        <f>SUMIF('OD 02-24'!A:A,A120,'OD 02-24'!D:D)</f>
        <v>0</v>
      </c>
      <c r="G120" s="13">
        <f>SUMIF('OD 02-24'!A:A,A120,'OD 02-24'!E:E)</f>
        <v>0</v>
      </c>
      <c r="H120" s="14">
        <f t="shared" si="4"/>
        <v>-462.81400000000008</v>
      </c>
      <c r="I120" s="14">
        <f t="shared" si="5"/>
        <v>-732.89100000000008</v>
      </c>
      <c r="J120" s="8" t="s">
        <v>81</v>
      </c>
      <c r="M120" s="9">
        <f>VLOOKUP($A120,'BAL 01-24'!$A$3:$I$322,9,0)</f>
        <v>-270.077</v>
      </c>
      <c r="N120" s="315">
        <f t="shared" si="3"/>
        <v>0</v>
      </c>
    </row>
    <row r="121" spans="1:14" s="9" customFormat="1" ht="11.25" x14ac:dyDescent="0.2">
      <c r="A121" s="10">
        <v>43221000</v>
      </c>
      <c r="B121" s="10" t="s">
        <v>89</v>
      </c>
      <c r="C121" s="11">
        <v>0</v>
      </c>
      <c r="D121" s="11">
        <v>0</v>
      </c>
      <c r="E121" s="11">
        <v>0</v>
      </c>
      <c r="F121" s="13">
        <f>SUMIF('OD 02-24'!A:A,A121,'OD 02-24'!D:D)</f>
        <v>0</v>
      </c>
      <c r="G121" s="13">
        <f>SUMIF('OD 02-24'!A:A,A121,'OD 02-24'!E:E)</f>
        <v>0</v>
      </c>
      <c r="H121" s="14">
        <f t="shared" si="4"/>
        <v>0</v>
      </c>
      <c r="I121" s="14">
        <f t="shared" si="5"/>
        <v>0</v>
      </c>
      <c r="J121" s="8" t="s">
        <v>81</v>
      </c>
      <c r="M121" s="9">
        <f>VLOOKUP($A121,'BAL 01-24'!$A$3:$I$322,9,0)</f>
        <v>0</v>
      </c>
      <c r="N121" s="315">
        <f t="shared" si="3"/>
        <v>0</v>
      </c>
    </row>
    <row r="122" spans="1:14" s="9" customFormat="1" ht="11.25" x14ac:dyDescent="0.2">
      <c r="A122" s="10">
        <v>43222000</v>
      </c>
      <c r="B122" s="10" t="s">
        <v>316</v>
      </c>
      <c r="C122" s="11">
        <v>-19568.395</v>
      </c>
      <c r="D122" s="11">
        <v>19568.395</v>
      </c>
      <c r="E122" s="11">
        <v>0</v>
      </c>
      <c r="F122" s="13">
        <f>SUMIF('OD 02-24'!A:A,A122,'OD 02-24'!D:D)</f>
        <v>0</v>
      </c>
      <c r="G122" s="13">
        <f>SUMIF('OD 02-24'!A:A,A122,'OD 02-24'!E:E)</f>
        <v>0</v>
      </c>
      <c r="H122" s="14">
        <f t="shared" si="4"/>
        <v>19568.395</v>
      </c>
      <c r="I122" s="14">
        <f t="shared" si="5"/>
        <v>0</v>
      </c>
      <c r="J122" s="8" t="s">
        <v>81</v>
      </c>
      <c r="M122" s="9">
        <f>VLOOKUP($A122,'BAL 01-24'!$A$3:$I$322,9,0)</f>
        <v>-19568.395</v>
      </c>
      <c r="N122" s="315">
        <f t="shared" si="3"/>
        <v>0</v>
      </c>
    </row>
    <row r="123" spans="1:14" s="9" customFormat="1" ht="11.25" x14ac:dyDescent="0.2">
      <c r="A123" s="10">
        <v>43223000</v>
      </c>
      <c r="B123" s="10" t="s">
        <v>90</v>
      </c>
      <c r="C123" s="11">
        <v>-674.57699999997317</v>
      </c>
      <c r="D123" s="11">
        <v>1509.912</v>
      </c>
      <c r="E123" s="11">
        <v>2734.0559999999996</v>
      </c>
      <c r="F123" s="13">
        <f>SUMIF('OD 02-24'!A:A,A123,'OD 02-24'!D:D)</f>
        <v>0</v>
      </c>
      <c r="G123" s="13">
        <f>SUMIF('OD 02-24'!A:A,A123,'OD 02-24'!E:E)</f>
        <v>0</v>
      </c>
      <c r="H123" s="14">
        <f t="shared" si="4"/>
        <v>-1224.1439999999996</v>
      </c>
      <c r="I123" s="14">
        <f t="shared" si="5"/>
        <v>-1898.7209999999727</v>
      </c>
      <c r="J123" s="8" t="s">
        <v>81</v>
      </c>
      <c r="M123" s="9">
        <f>VLOOKUP($A123,'BAL 01-24'!$A$3:$I$322,9,0)</f>
        <v>-674.57699999997317</v>
      </c>
      <c r="N123" s="315">
        <f t="shared" si="3"/>
        <v>0</v>
      </c>
    </row>
    <row r="124" spans="1:14" s="9" customFormat="1" ht="11.25" x14ac:dyDescent="0.2">
      <c r="A124" s="10">
        <v>43310000</v>
      </c>
      <c r="B124" s="10" t="s">
        <v>317</v>
      </c>
      <c r="C124" s="11">
        <v>0</v>
      </c>
      <c r="D124" s="11">
        <v>0</v>
      </c>
      <c r="E124" s="11">
        <v>0</v>
      </c>
      <c r="F124" s="13">
        <f>SUMIF('OD 02-24'!A:A,A124,'OD 02-24'!D:D)</f>
        <v>0</v>
      </c>
      <c r="G124" s="13">
        <f>SUMIF('OD 02-24'!A:A,A124,'OD 02-24'!E:E)</f>
        <v>0</v>
      </c>
      <c r="H124" s="14">
        <f t="shared" si="4"/>
        <v>0</v>
      </c>
      <c r="I124" s="14">
        <f t="shared" si="5"/>
        <v>0</v>
      </c>
      <c r="J124" s="8"/>
      <c r="M124" s="9">
        <f>VLOOKUP($A124,'BAL 01-24'!$A$3:$I$322,9,0)</f>
        <v>0</v>
      </c>
      <c r="N124" s="315">
        <f t="shared" si="3"/>
        <v>0</v>
      </c>
    </row>
    <row r="125" spans="1:14" s="9" customFormat="1" ht="11.25" x14ac:dyDescent="0.2">
      <c r="A125" s="10">
        <v>43400000</v>
      </c>
      <c r="B125" s="10" t="s">
        <v>91</v>
      </c>
      <c r="C125" s="11">
        <v>758150.41399999987</v>
      </c>
      <c r="D125" s="11">
        <v>0</v>
      </c>
      <c r="E125" s="11">
        <v>0</v>
      </c>
      <c r="F125" s="13">
        <f>SUMIF('OD 02-24'!A:A,A125,'OD 02-24'!D:D)</f>
        <v>0</v>
      </c>
      <c r="G125" s="13">
        <f>SUMIF('OD 02-24'!A:A,A125,'OD 02-24'!E:E)</f>
        <v>0</v>
      </c>
      <c r="H125" s="14">
        <f t="shared" si="4"/>
        <v>0</v>
      </c>
      <c r="I125" s="14">
        <f t="shared" si="5"/>
        <v>758150.41399999987</v>
      </c>
      <c r="J125" s="8" t="s">
        <v>78</v>
      </c>
      <c r="M125" s="9">
        <f>VLOOKUP($A125,'BAL 01-24'!$A$3:$I$322,9,0)</f>
        <v>758150.41399999987</v>
      </c>
      <c r="N125" s="315">
        <f t="shared" si="3"/>
        <v>0</v>
      </c>
    </row>
    <row r="126" spans="1:14" s="9" customFormat="1" ht="11.25" x14ac:dyDescent="0.2">
      <c r="A126" s="10">
        <v>43410000</v>
      </c>
      <c r="B126" s="10" t="s">
        <v>318</v>
      </c>
      <c r="C126" s="11">
        <v>451834.45100000023</v>
      </c>
      <c r="D126" s="11">
        <v>37012.252999999997</v>
      </c>
      <c r="E126" s="11">
        <v>0</v>
      </c>
      <c r="F126" s="13">
        <f>SUMIF('OD 02-24'!A:A,A126,'OD 02-24'!D:D)</f>
        <v>0</v>
      </c>
      <c r="G126" s="13">
        <f>SUMIF('OD 02-24'!A:A,A126,'OD 02-24'!E:E)</f>
        <v>0</v>
      </c>
      <c r="H126" s="14">
        <f t="shared" si="4"/>
        <v>37012.252999999997</v>
      </c>
      <c r="I126" s="14">
        <f t="shared" si="5"/>
        <v>488846.70400000026</v>
      </c>
      <c r="J126" s="8" t="s">
        <v>78</v>
      </c>
      <c r="M126" s="9">
        <f>VLOOKUP($A126,'BAL 01-24'!$A$3:$I$322,9,0)</f>
        <v>451834.45100000023</v>
      </c>
      <c r="N126" s="315">
        <f t="shared" si="3"/>
        <v>0</v>
      </c>
    </row>
    <row r="127" spans="1:14" s="9" customFormat="1" ht="11.25" x14ac:dyDescent="0.2">
      <c r="A127" s="10">
        <v>43420000</v>
      </c>
      <c r="B127" s="10" t="s">
        <v>92</v>
      </c>
      <c r="C127" s="11">
        <v>0</v>
      </c>
      <c r="D127" s="11">
        <v>0</v>
      </c>
      <c r="E127" s="11">
        <v>0</v>
      </c>
      <c r="F127" s="13">
        <f>SUMIF('OD 02-24'!A:A,A127,'OD 02-24'!D:D)</f>
        <v>0</v>
      </c>
      <c r="G127" s="13">
        <f>SUMIF('OD 02-24'!A:A,A127,'OD 02-24'!E:E)</f>
        <v>0</v>
      </c>
      <c r="H127" s="14">
        <f t="shared" si="4"/>
        <v>0</v>
      </c>
      <c r="I127" s="14">
        <f t="shared" si="5"/>
        <v>0</v>
      </c>
      <c r="J127" s="8"/>
      <c r="M127" s="9">
        <f>VLOOKUP($A127,'BAL 01-24'!$A$3:$I$322,9,0)</f>
        <v>0</v>
      </c>
      <c r="N127" s="315">
        <f t="shared" si="3"/>
        <v>0</v>
      </c>
    </row>
    <row r="128" spans="1:14" s="9" customFormat="1" ht="11.25" x14ac:dyDescent="0.2">
      <c r="A128" s="10">
        <v>43430000</v>
      </c>
      <c r="B128" s="10" t="s">
        <v>319</v>
      </c>
      <c r="C128" s="11">
        <v>0</v>
      </c>
      <c r="D128" s="11">
        <v>0</v>
      </c>
      <c r="E128" s="11">
        <v>0</v>
      </c>
      <c r="F128" s="13">
        <f>SUMIF('OD 02-24'!A:A,A128,'OD 02-24'!D:D)</f>
        <v>0</v>
      </c>
      <c r="G128" s="13">
        <f>SUMIF('OD 02-24'!A:A,A128,'OD 02-24'!E:E)</f>
        <v>0</v>
      </c>
      <c r="H128" s="14">
        <f t="shared" si="4"/>
        <v>0</v>
      </c>
      <c r="I128" s="14">
        <f t="shared" si="5"/>
        <v>0</v>
      </c>
      <c r="J128" s="8" t="s">
        <v>78</v>
      </c>
      <c r="M128" s="9">
        <f>VLOOKUP($A128,'BAL 01-24'!$A$3:$I$322,9,0)</f>
        <v>0</v>
      </c>
      <c r="N128" s="315">
        <f t="shared" si="3"/>
        <v>0</v>
      </c>
    </row>
    <row r="129" spans="1:14" s="9" customFormat="1" ht="11.25" x14ac:dyDescent="0.2">
      <c r="A129" s="10">
        <v>43440000</v>
      </c>
      <c r="B129" s="10" t="s">
        <v>320</v>
      </c>
      <c r="C129" s="11">
        <v>0</v>
      </c>
      <c r="D129" s="11">
        <v>0</v>
      </c>
      <c r="E129" s="11">
        <v>0</v>
      </c>
      <c r="F129" s="13">
        <f>SUMIF('OD 02-24'!A:A,A129,'OD 02-24'!D:D)</f>
        <v>0</v>
      </c>
      <c r="G129" s="13">
        <f>SUMIF('OD 02-24'!A:A,A129,'OD 02-24'!E:E)</f>
        <v>0</v>
      </c>
      <c r="H129" s="14">
        <f t="shared" si="4"/>
        <v>0</v>
      </c>
      <c r="I129" s="14">
        <f t="shared" si="5"/>
        <v>0</v>
      </c>
      <c r="J129" s="8" t="s">
        <v>78</v>
      </c>
      <c r="M129" s="9">
        <f>VLOOKUP($A129,'BAL 01-24'!$A$3:$I$322,9,0)</f>
        <v>0</v>
      </c>
      <c r="N129" s="315">
        <f t="shared" si="3"/>
        <v>0</v>
      </c>
    </row>
    <row r="130" spans="1:14" s="9" customFormat="1" ht="11.25" x14ac:dyDescent="0.2">
      <c r="A130" s="10">
        <v>43500000</v>
      </c>
      <c r="B130" s="10" t="s">
        <v>321</v>
      </c>
      <c r="C130" s="11">
        <v>-70408.270000000484</v>
      </c>
      <c r="D130" s="11">
        <v>0</v>
      </c>
      <c r="E130" s="11">
        <v>171386.52399999998</v>
      </c>
      <c r="F130" s="13">
        <f>SUMIF('OD 02-24'!A:A,A130,'OD 02-24'!D:D)</f>
        <v>0</v>
      </c>
      <c r="G130" s="13">
        <f>SUMIF('OD 02-24'!A:A,A130,'OD 02-24'!E:E)</f>
        <v>0</v>
      </c>
      <c r="H130" s="14">
        <f t="shared" si="4"/>
        <v>-171386.52399999998</v>
      </c>
      <c r="I130" s="14">
        <f t="shared" si="5"/>
        <v>-241794.79400000046</v>
      </c>
      <c r="J130" s="8" t="s">
        <v>81</v>
      </c>
      <c r="M130" s="9">
        <f>VLOOKUP($A130,'BAL 01-24'!$A$3:$I$322,9,0)</f>
        <v>-70408.270000000484</v>
      </c>
      <c r="N130" s="315">
        <f t="shared" si="3"/>
        <v>0</v>
      </c>
    </row>
    <row r="131" spans="1:14" s="9" customFormat="1" ht="11.25" x14ac:dyDescent="0.2">
      <c r="A131" s="10">
        <v>43600000</v>
      </c>
      <c r="B131" s="10" t="s">
        <v>93</v>
      </c>
      <c r="C131" s="11">
        <v>816798.1800000004</v>
      </c>
      <c r="D131" s="11">
        <v>176654.69899999996</v>
      </c>
      <c r="E131" s="11">
        <v>176654.69899999996</v>
      </c>
      <c r="F131" s="13">
        <f>SUMIF('OD 02-24'!A:A,A131,'OD 02-24'!D:D)</f>
        <v>0</v>
      </c>
      <c r="G131" s="13">
        <f>SUMIF('OD 02-24'!A:A,A131,'OD 02-24'!E:E)</f>
        <v>0</v>
      </c>
      <c r="H131" s="14">
        <f t="shared" si="4"/>
        <v>0</v>
      </c>
      <c r="I131" s="14">
        <f t="shared" si="5"/>
        <v>816798.1800000004</v>
      </c>
      <c r="J131" s="8" t="s">
        <v>78</v>
      </c>
      <c r="M131" s="9">
        <f>VLOOKUP($A131,'BAL 01-24'!$A$3:$I$322,9,0)</f>
        <v>816798.1800000004</v>
      </c>
      <c r="N131" s="315">
        <f t="shared" si="3"/>
        <v>0</v>
      </c>
    </row>
    <row r="132" spans="1:14" s="9" customFormat="1" ht="11.25" x14ac:dyDescent="0.2">
      <c r="A132" s="10">
        <v>43625000</v>
      </c>
      <c r="B132" s="10" t="s">
        <v>94</v>
      </c>
      <c r="C132" s="11">
        <v>-22081.837</v>
      </c>
      <c r="D132" s="11">
        <v>23535.022999999997</v>
      </c>
      <c r="E132" s="11">
        <v>22927.192999999999</v>
      </c>
      <c r="F132" s="13">
        <f>SUMIF('OD 02-24'!A:A,A132,'OD 02-24'!D:D)</f>
        <v>0</v>
      </c>
      <c r="G132" s="13">
        <f>SUMIF('OD 02-24'!A:A,A132,'OD 02-24'!E:E)</f>
        <v>0</v>
      </c>
      <c r="H132" s="14">
        <f t="shared" si="4"/>
        <v>607.82999999999811</v>
      </c>
      <c r="I132" s="14">
        <f t="shared" si="5"/>
        <v>-21474.007000000001</v>
      </c>
      <c r="J132" s="8" t="s">
        <v>81</v>
      </c>
      <c r="M132" s="9">
        <f>VLOOKUP($A132,'BAL 01-24'!$A$3:$I$322,9,0)</f>
        <v>-22081.837</v>
      </c>
      <c r="N132" s="315">
        <f t="shared" ref="N132:N195" si="6">+C132-M132</f>
        <v>0</v>
      </c>
    </row>
    <row r="133" spans="1:14" s="9" customFormat="1" ht="11.25" x14ac:dyDescent="0.2">
      <c r="A133" s="10">
        <v>43627000</v>
      </c>
      <c r="B133" s="10" t="s">
        <v>95</v>
      </c>
      <c r="C133" s="11">
        <v>-154572.85100000005</v>
      </c>
      <c r="D133" s="11">
        <v>164745.16400000002</v>
      </c>
      <c r="E133" s="11">
        <v>160490.34300000002</v>
      </c>
      <c r="F133" s="13">
        <f>SUMIF('OD 02-24'!A:A,A133,'OD 02-24'!D:D)</f>
        <v>0</v>
      </c>
      <c r="G133" s="13">
        <f>SUMIF('OD 02-24'!A:A,A133,'OD 02-24'!E:E)</f>
        <v>0</v>
      </c>
      <c r="H133" s="14">
        <f t="shared" si="4"/>
        <v>4254.8209999999963</v>
      </c>
      <c r="I133" s="14">
        <f t="shared" si="5"/>
        <v>-150318.03000000006</v>
      </c>
      <c r="J133" s="8" t="s">
        <v>81</v>
      </c>
      <c r="M133" s="9">
        <f>VLOOKUP($A133,'BAL 01-24'!$A$3:$I$322,9,0)</f>
        <v>-154572.85100000005</v>
      </c>
      <c r="N133" s="315">
        <f t="shared" si="6"/>
        <v>0</v>
      </c>
    </row>
    <row r="134" spans="1:14" s="9" customFormat="1" ht="11.25" x14ac:dyDescent="0.2">
      <c r="A134" s="10">
        <v>43630600</v>
      </c>
      <c r="B134" s="10" t="s">
        <v>322</v>
      </c>
      <c r="C134" s="11">
        <v>0</v>
      </c>
      <c r="D134" s="11">
        <v>0</v>
      </c>
      <c r="E134" s="11">
        <v>0</v>
      </c>
      <c r="F134" s="13">
        <f>SUMIF('OD 02-24'!A:A,A134,'OD 02-24'!D:D)</f>
        <v>0</v>
      </c>
      <c r="G134" s="13">
        <f>SUMIF('OD 02-24'!A:A,A134,'OD 02-24'!E:E)</f>
        <v>0</v>
      </c>
      <c r="H134" s="14">
        <f t="shared" si="4"/>
        <v>0</v>
      </c>
      <c r="I134" s="14">
        <f t="shared" si="5"/>
        <v>0</v>
      </c>
      <c r="J134" s="8"/>
      <c r="M134" s="9">
        <f>VLOOKUP($A134,'BAL 01-24'!$A$3:$I$322,9,0)</f>
        <v>0</v>
      </c>
      <c r="N134" s="315">
        <f t="shared" si="6"/>
        <v>0</v>
      </c>
    </row>
    <row r="135" spans="1:14" s="9" customFormat="1" ht="11.25" x14ac:dyDescent="0.2">
      <c r="A135" s="10">
        <v>43630700</v>
      </c>
      <c r="B135" s="10" t="s">
        <v>96</v>
      </c>
      <c r="C135" s="11">
        <v>0</v>
      </c>
      <c r="D135" s="11">
        <v>1399.421</v>
      </c>
      <c r="E135" s="11">
        <v>0</v>
      </c>
      <c r="F135" s="13">
        <f>SUMIF('OD 02-24'!A:A,A135,'OD 02-24'!D:D)</f>
        <v>0</v>
      </c>
      <c r="G135" s="13">
        <f>SUMIF('OD 02-24'!A:A,A135,'OD 02-24'!E:E)</f>
        <v>0</v>
      </c>
      <c r="H135" s="14">
        <f t="shared" si="4"/>
        <v>1399.421</v>
      </c>
      <c r="I135" s="14">
        <f t="shared" si="5"/>
        <v>1399.421</v>
      </c>
      <c r="J135" s="8" t="s">
        <v>78</v>
      </c>
      <c r="M135" s="9">
        <f>VLOOKUP($A135,'BAL 01-24'!$A$3:$I$322,9,0)</f>
        <v>0</v>
      </c>
      <c r="N135" s="315">
        <f t="shared" si="6"/>
        <v>0</v>
      </c>
    </row>
    <row r="136" spans="1:14" s="9" customFormat="1" ht="11.25" x14ac:dyDescent="0.2">
      <c r="A136" s="10">
        <v>43631000</v>
      </c>
      <c r="B136" s="10" t="s">
        <v>323</v>
      </c>
      <c r="C136" s="11">
        <v>0</v>
      </c>
      <c r="D136" s="11">
        <v>0</v>
      </c>
      <c r="E136" s="11">
        <v>0</v>
      </c>
      <c r="F136" s="13">
        <f>SUMIF('OD 02-24'!A:A,A136,'OD 02-24'!D:D)</f>
        <v>0</v>
      </c>
      <c r="G136" s="13">
        <f>SUMIF('OD 02-24'!A:A,A136,'OD 02-24'!E:E)</f>
        <v>0</v>
      </c>
      <c r="H136" s="14">
        <f t="shared" si="4"/>
        <v>0</v>
      </c>
      <c r="I136" s="14">
        <f t="shared" si="5"/>
        <v>0</v>
      </c>
      <c r="J136" s="8"/>
      <c r="M136" s="9">
        <f>VLOOKUP($A136,'BAL 01-24'!$A$3:$I$322,9,0)</f>
        <v>0</v>
      </c>
      <c r="N136" s="315">
        <f t="shared" si="6"/>
        <v>0</v>
      </c>
    </row>
    <row r="137" spans="1:14" s="9" customFormat="1" ht="11.25" x14ac:dyDescent="0.2">
      <c r="A137" s="10">
        <v>43631300</v>
      </c>
      <c r="B137" s="10" t="s">
        <v>324</v>
      </c>
      <c r="C137" s="11">
        <v>0</v>
      </c>
      <c r="D137" s="11">
        <v>3593.8679999999999</v>
      </c>
      <c r="E137" s="11">
        <v>0</v>
      </c>
      <c r="F137" s="13">
        <f>SUMIF('OD 02-24'!A:A,A137,'OD 02-24'!D:D)</f>
        <v>0</v>
      </c>
      <c r="G137" s="13">
        <f>SUMIF('OD 02-24'!A:A,A137,'OD 02-24'!E:E)</f>
        <v>0</v>
      </c>
      <c r="H137" s="14">
        <f t="shared" si="4"/>
        <v>3593.8679999999999</v>
      </c>
      <c r="I137" s="14">
        <f t="shared" si="5"/>
        <v>3593.8679999999999</v>
      </c>
      <c r="J137" s="8" t="s">
        <v>78</v>
      </c>
      <c r="M137" s="9">
        <f>VLOOKUP($A137,'BAL 01-24'!$A$3:$I$322,9,0)</f>
        <v>0</v>
      </c>
      <c r="N137" s="315">
        <f t="shared" si="6"/>
        <v>0</v>
      </c>
    </row>
    <row r="138" spans="1:14" s="9" customFormat="1" ht="11.25" x14ac:dyDescent="0.2">
      <c r="A138" s="10">
        <v>43631800</v>
      </c>
      <c r="B138" s="10" t="s">
        <v>325</v>
      </c>
      <c r="C138" s="11">
        <v>0</v>
      </c>
      <c r="D138" s="11">
        <v>0</v>
      </c>
      <c r="E138" s="11">
        <v>0</v>
      </c>
      <c r="F138" s="13">
        <f>SUMIF('OD 02-24'!A:A,A138,'OD 02-24'!D:D)</f>
        <v>0</v>
      </c>
      <c r="G138" s="13">
        <f>SUMIF('OD 02-24'!A:A,A138,'OD 02-24'!E:E)</f>
        <v>0</v>
      </c>
      <c r="H138" s="14">
        <f t="shared" si="4"/>
        <v>0</v>
      </c>
      <c r="I138" s="14">
        <f t="shared" si="5"/>
        <v>0</v>
      </c>
      <c r="J138" s="8"/>
      <c r="M138" s="9">
        <f>VLOOKUP($A138,'BAL 01-24'!$A$3:$I$322,9,0)</f>
        <v>0</v>
      </c>
      <c r="N138" s="315">
        <f t="shared" si="6"/>
        <v>0</v>
      </c>
    </row>
    <row r="139" spans="1:14" s="9" customFormat="1" ht="11.25" x14ac:dyDescent="0.2">
      <c r="A139" s="10">
        <v>43631900</v>
      </c>
      <c r="B139" s="10" t="s">
        <v>97</v>
      </c>
      <c r="C139" s="11">
        <v>-3.9999932050704956E-3</v>
      </c>
      <c r="D139" s="11">
        <v>679264.25400000007</v>
      </c>
      <c r="E139" s="11">
        <v>14688.41</v>
      </c>
      <c r="F139" s="13">
        <f>SUMIF('OD 02-24'!A:A,A139,'OD 02-24'!D:D)</f>
        <v>0</v>
      </c>
      <c r="G139" s="13">
        <f>SUMIF('OD 02-24'!A:A,A139,'OD 02-24'!E:E)</f>
        <v>0</v>
      </c>
      <c r="H139" s="14">
        <f t="shared" ref="H139:H203" si="7">+D139+F139-E139-G139</f>
        <v>664575.84400000004</v>
      </c>
      <c r="I139" s="14">
        <f t="shared" ref="I139:I203" si="8">+H139+C139</f>
        <v>664575.84000000684</v>
      </c>
      <c r="J139" s="8" t="s">
        <v>78</v>
      </c>
      <c r="M139" s="9">
        <f>VLOOKUP($A139,'BAL 01-24'!$A$3:$I$322,9,0)</f>
        <v>-3.9999932050704956E-3</v>
      </c>
      <c r="N139" s="315">
        <f t="shared" si="6"/>
        <v>0</v>
      </c>
    </row>
    <row r="140" spans="1:14" s="9" customFormat="1" ht="11.25" x14ac:dyDescent="0.2">
      <c r="A140" s="10">
        <v>43661800</v>
      </c>
      <c r="B140" s="10" t="s">
        <v>326</v>
      </c>
      <c r="C140" s="11">
        <v>0</v>
      </c>
      <c r="D140" s="11">
        <v>0</v>
      </c>
      <c r="E140" s="11">
        <v>0</v>
      </c>
      <c r="F140" s="13">
        <f>SUMIF('OD 02-24'!A:A,A140,'OD 02-24'!D:D)</f>
        <v>0</v>
      </c>
      <c r="G140" s="13">
        <f>SUMIF('OD 02-24'!A:A,A140,'OD 02-24'!E:E)</f>
        <v>0</v>
      </c>
      <c r="H140" s="14">
        <f t="shared" si="7"/>
        <v>0</v>
      </c>
      <c r="I140" s="14">
        <f t="shared" si="8"/>
        <v>0</v>
      </c>
      <c r="J140" s="8"/>
      <c r="M140" s="9">
        <f>VLOOKUP($A140,'BAL 01-24'!$A$3:$I$322,9,0)</f>
        <v>0</v>
      </c>
      <c r="N140" s="315">
        <f t="shared" si="6"/>
        <v>0</v>
      </c>
    </row>
    <row r="141" spans="1:14" s="9" customFormat="1" ht="11.25" x14ac:dyDescent="0.2">
      <c r="A141" s="10">
        <v>43671000</v>
      </c>
      <c r="B141" s="10" t="s">
        <v>98</v>
      </c>
      <c r="C141" s="11">
        <v>-1.0000000474974513E-3</v>
      </c>
      <c r="D141" s="11">
        <v>29819.377999999997</v>
      </c>
      <c r="E141" s="11">
        <v>475241.69700000004</v>
      </c>
      <c r="F141" s="13">
        <f>SUMIF('OD 02-24'!A:A,A141,'OD 02-24'!D:D)</f>
        <v>0</v>
      </c>
      <c r="G141" s="13">
        <f>SUMIF('OD 02-24'!A:A,A141,'OD 02-24'!E:E)</f>
        <v>0</v>
      </c>
      <c r="H141" s="14">
        <f t="shared" si="7"/>
        <v>-445422.31900000002</v>
      </c>
      <c r="I141" s="14">
        <f t="shared" si="8"/>
        <v>-445422.32000000007</v>
      </c>
      <c r="J141" s="8" t="s">
        <v>81</v>
      </c>
      <c r="M141" s="9">
        <f>VLOOKUP($A141,'BAL 01-24'!$A$3:$I$322,9,0)</f>
        <v>-1.0000000474974513E-3</v>
      </c>
      <c r="N141" s="315">
        <f t="shared" si="6"/>
        <v>0</v>
      </c>
    </row>
    <row r="142" spans="1:14" s="9" customFormat="1" ht="11.25" x14ac:dyDescent="0.2">
      <c r="A142" s="10">
        <v>43700000</v>
      </c>
      <c r="B142" s="10" t="s">
        <v>99</v>
      </c>
      <c r="C142" s="11">
        <v>-4</v>
      </c>
      <c r="D142" s="11">
        <v>4</v>
      </c>
      <c r="E142" s="11">
        <v>3</v>
      </c>
      <c r="F142" s="13">
        <f>SUMIF('OD 02-24'!A:A,A142,'OD 02-24'!D:D)</f>
        <v>0</v>
      </c>
      <c r="G142" s="13">
        <f>SUMIF('OD 02-24'!A:A,A142,'OD 02-24'!E:E)</f>
        <v>0</v>
      </c>
      <c r="H142" s="14">
        <f t="shared" si="7"/>
        <v>1</v>
      </c>
      <c r="I142" s="14">
        <f t="shared" si="8"/>
        <v>-3</v>
      </c>
      <c r="J142" s="8" t="s">
        <v>81</v>
      </c>
      <c r="M142" s="9">
        <f>VLOOKUP($A142,'BAL 01-24'!$A$3:$I$322,9,0)</f>
        <v>-4</v>
      </c>
      <c r="N142" s="315">
        <f t="shared" si="6"/>
        <v>0</v>
      </c>
    </row>
    <row r="143" spans="1:14" s="9" customFormat="1" ht="11.25" x14ac:dyDescent="0.2">
      <c r="A143" s="10">
        <v>43720000</v>
      </c>
      <c r="B143" s="10" t="s">
        <v>327</v>
      </c>
      <c r="C143" s="11">
        <v>0</v>
      </c>
      <c r="D143" s="11">
        <v>0</v>
      </c>
      <c r="E143" s="11">
        <v>0</v>
      </c>
      <c r="F143" s="13">
        <f>SUMIF('OD 02-24'!A:A,A143,'OD 02-24'!D:D)</f>
        <v>0</v>
      </c>
      <c r="G143" s="13">
        <f>SUMIF('OD 02-24'!A:A,A143,'OD 02-24'!E:E)</f>
        <v>0</v>
      </c>
      <c r="H143" s="14">
        <f t="shared" si="7"/>
        <v>0</v>
      </c>
      <c r="I143" s="14">
        <f t="shared" si="8"/>
        <v>0</v>
      </c>
      <c r="J143" s="8"/>
      <c r="M143" s="9">
        <f>VLOOKUP($A143,'BAL 01-24'!$A$3:$I$322,9,0)</f>
        <v>0</v>
      </c>
      <c r="N143" s="315">
        <f t="shared" si="6"/>
        <v>0</v>
      </c>
    </row>
    <row r="144" spans="1:14" s="9" customFormat="1" ht="11.25" x14ac:dyDescent="0.2">
      <c r="A144" s="10">
        <v>43756000</v>
      </c>
      <c r="B144" s="10" t="s">
        <v>328</v>
      </c>
      <c r="C144" s="11">
        <v>0</v>
      </c>
      <c r="D144" s="11">
        <v>0</v>
      </c>
      <c r="E144" s="11">
        <v>0</v>
      </c>
      <c r="F144" s="13">
        <f>SUMIF('OD 02-24'!A:A,A144,'OD 02-24'!D:D)</f>
        <v>0</v>
      </c>
      <c r="G144" s="13">
        <f>SUMIF('OD 02-24'!A:A,A144,'OD 02-24'!E:E)</f>
        <v>0</v>
      </c>
      <c r="H144" s="14">
        <f t="shared" si="7"/>
        <v>0</v>
      </c>
      <c r="I144" s="14">
        <f t="shared" si="8"/>
        <v>0</v>
      </c>
      <c r="J144" s="8"/>
      <c r="M144" s="9">
        <f>VLOOKUP($A144,'BAL 01-24'!$A$3:$I$322,9,0)</f>
        <v>0</v>
      </c>
      <c r="N144" s="315">
        <f t="shared" si="6"/>
        <v>0</v>
      </c>
    </row>
    <row r="145" spans="1:14" s="9" customFormat="1" ht="11.25" x14ac:dyDescent="0.2">
      <c r="A145" s="10">
        <v>44100000</v>
      </c>
      <c r="B145" s="10" t="s">
        <v>329</v>
      </c>
      <c r="C145" s="11">
        <v>0</v>
      </c>
      <c r="D145" s="11">
        <v>0</v>
      </c>
      <c r="E145" s="11">
        <v>0</v>
      </c>
      <c r="F145" s="13">
        <f>SUMIF('OD 02-24'!A:A,A145,'OD 02-24'!D:D)</f>
        <v>0</v>
      </c>
      <c r="G145" s="13">
        <f>SUMIF('OD 02-24'!A:A,A145,'OD 02-24'!E:E)</f>
        <v>0</v>
      </c>
      <c r="H145" s="14">
        <f t="shared" si="7"/>
        <v>0</v>
      </c>
      <c r="I145" s="14">
        <f t="shared" si="8"/>
        <v>0</v>
      </c>
      <c r="J145" s="8"/>
      <c r="M145" s="9">
        <f>VLOOKUP($A145,'BAL 01-24'!$A$3:$I$322,9,0)</f>
        <v>0</v>
      </c>
      <c r="N145" s="315">
        <f t="shared" si="6"/>
        <v>0</v>
      </c>
    </row>
    <row r="146" spans="1:14" s="9" customFormat="1" ht="11.25" x14ac:dyDescent="0.2">
      <c r="A146" s="10">
        <v>44200000</v>
      </c>
      <c r="B146" s="10" t="s">
        <v>330</v>
      </c>
      <c r="C146" s="11">
        <v>0</v>
      </c>
      <c r="D146" s="11">
        <v>0</v>
      </c>
      <c r="E146" s="11">
        <v>0</v>
      </c>
      <c r="F146" s="13">
        <f>SUMIF('OD 02-24'!A:A,A146,'OD 02-24'!D:D)</f>
        <v>0</v>
      </c>
      <c r="G146" s="13">
        <f>SUMIF('OD 02-24'!A:A,A146,'OD 02-24'!E:E)</f>
        <v>0</v>
      </c>
      <c r="H146" s="14">
        <f t="shared" si="7"/>
        <v>0</v>
      </c>
      <c r="I146" s="14">
        <f t="shared" si="8"/>
        <v>0</v>
      </c>
      <c r="J146" s="8"/>
      <c r="M146" s="9">
        <f>VLOOKUP($A146,'BAL 01-24'!$A$3:$I$322,9,0)</f>
        <v>0</v>
      </c>
      <c r="N146" s="315">
        <f t="shared" si="6"/>
        <v>0</v>
      </c>
    </row>
    <row r="147" spans="1:14" s="9" customFormat="1" ht="11.25" x14ac:dyDescent="0.2">
      <c r="A147" s="10">
        <v>44201000</v>
      </c>
      <c r="B147" s="10" t="s">
        <v>331</v>
      </c>
      <c r="C147" s="11">
        <v>44498.300999999978</v>
      </c>
      <c r="D147" s="11">
        <v>0</v>
      </c>
      <c r="E147" s="11">
        <v>0</v>
      </c>
      <c r="F147" s="13">
        <f>SUMIF('OD 02-24'!A:A,A147,'OD 02-24'!D:D)</f>
        <v>0</v>
      </c>
      <c r="G147" s="13">
        <f>SUMIF('OD 02-24'!A:A,A147,'OD 02-24'!E:E)</f>
        <v>0</v>
      </c>
      <c r="H147" s="14">
        <f t="shared" si="7"/>
        <v>0</v>
      </c>
      <c r="I147" s="14">
        <f t="shared" si="8"/>
        <v>44498.300999999978</v>
      </c>
      <c r="J147" s="8" t="s">
        <v>78</v>
      </c>
      <c r="M147" s="9">
        <f>VLOOKUP($A147,'BAL 01-24'!$A$3:$I$322,9,0)</f>
        <v>44498.300999999978</v>
      </c>
      <c r="N147" s="315">
        <f t="shared" si="6"/>
        <v>0</v>
      </c>
    </row>
    <row r="148" spans="1:14" s="9" customFormat="1" ht="11.25" x14ac:dyDescent="0.2">
      <c r="A148" s="10">
        <v>44202000</v>
      </c>
      <c r="B148" s="10" t="s">
        <v>332</v>
      </c>
      <c r="C148" s="11">
        <v>0</v>
      </c>
      <c r="D148" s="11">
        <v>0</v>
      </c>
      <c r="E148" s="11">
        <v>0</v>
      </c>
      <c r="F148" s="13">
        <f>SUMIF('OD 02-24'!A:A,A148,'OD 02-24'!D:D)</f>
        <v>0</v>
      </c>
      <c r="G148" s="13">
        <f>SUMIF('OD 02-24'!A:A,A148,'OD 02-24'!E:E)</f>
        <v>0</v>
      </c>
      <c r="H148" s="14">
        <f t="shared" si="7"/>
        <v>0</v>
      </c>
      <c r="I148" s="14">
        <f t="shared" si="8"/>
        <v>0</v>
      </c>
      <c r="J148" s="8"/>
      <c r="M148" s="9">
        <f>VLOOKUP($A148,'BAL 01-24'!$A$3:$I$322,9,0)</f>
        <v>0</v>
      </c>
      <c r="N148" s="315">
        <f t="shared" si="6"/>
        <v>0</v>
      </c>
    </row>
    <row r="149" spans="1:14" s="9" customFormat="1" ht="11.25" x14ac:dyDescent="0.2">
      <c r="A149" s="10">
        <v>44203000</v>
      </c>
      <c r="B149" s="10" t="s">
        <v>333</v>
      </c>
      <c r="C149" s="11">
        <v>0</v>
      </c>
      <c r="D149" s="11">
        <v>0</v>
      </c>
      <c r="E149" s="11">
        <v>0</v>
      </c>
      <c r="F149" s="13">
        <f>SUMIF('OD 02-24'!A:A,A149,'OD 02-24'!D:D)</f>
        <v>0</v>
      </c>
      <c r="G149" s="13">
        <f>SUMIF('OD 02-24'!A:A,A149,'OD 02-24'!E:E)</f>
        <v>0</v>
      </c>
      <c r="H149" s="14">
        <f t="shared" si="7"/>
        <v>0</v>
      </c>
      <c r="I149" s="14">
        <f t="shared" si="8"/>
        <v>0</v>
      </c>
      <c r="J149" s="8"/>
      <c r="M149" s="9">
        <f>VLOOKUP($A149,'BAL 01-24'!$A$3:$I$322,9,0)</f>
        <v>0</v>
      </c>
      <c r="N149" s="315">
        <f t="shared" si="6"/>
        <v>0</v>
      </c>
    </row>
    <row r="150" spans="1:14" s="9" customFormat="1" ht="11.25" x14ac:dyDescent="0.2">
      <c r="A150" s="10">
        <v>44204000</v>
      </c>
      <c r="B150" s="10" t="s">
        <v>334</v>
      </c>
      <c r="C150" s="11">
        <v>0</v>
      </c>
      <c r="D150" s="11">
        <v>0</v>
      </c>
      <c r="E150" s="11">
        <v>0</v>
      </c>
      <c r="F150" s="13">
        <f>SUMIF('OD 02-24'!A:A,A150,'OD 02-24'!D:D)</f>
        <v>0</v>
      </c>
      <c r="G150" s="13">
        <f>SUMIF('OD 02-24'!A:A,A150,'OD 02-24'!E:E)</f>
        <v>0</v>
      </c>
      <c r="H150" s="14">
        <f t="shared" si="7"/>
        <v>0</v>
      </c>
      <c r="I150" s="14">
        <f t="shared" si="8"/>
        <v>0</v>
      </c>
      <c r="J150" s="8"/>
      <c r="M150" s="9">
        <f>VLOOKUP($A150,'BAL 01-24'!$A$3:$I$322,9,0)</f>
        <v>0</v>
      </c>
      <c r="N150" s="315">
        <f t="shared" si="6"/>
        <v>0</v>
      </c>
    </row>
    <row r="151" spans="1:14" s="9" customFormat="1" ht="11.25" x14ac:dyDescent="0.2">
      <c r="A151" s="10">
        <v>44205000</v>
      </c>
      <c r="B151" s="10" t="s">
        <v>335</v>
      </c>
      <c r="C151" s="11">
        <v>0</v>
      </c>
      <c r="D151" s="11">
        <v>0</v>
      </c>
      <c r="E151" s="11">
        <v>0</v>
      </c>
      <c r="F151" s="13">
        <f>SUMIF('OD 02-24'!A:A,A151,'OD 02-24'!D:D)</f>
        <v>0</v>
      </c>
      <c r="G151" s="13">
        <f>SUMIF('OD 02-24'!A:A,A151,'OD 02-24'!E:E)</f>
        <v>0</v>
      </c>
      <c r="H151" s="14">
        <f t="shared" si="7"/>
        <v>0</v>
      </c>
      <c r="I151" s="14">
        <f t="shared" si="8"/>
        <v>0</v>
      </c>
      <c r="J151" s="8"/>
      <c r="M151" s="9">
        <f>VLOOKUP($A151,'BAL 01-24'!$A$3:$I$322,9,0)</f>
        <v>0</v>
      </c>
      <c r="N151" s="315">
        <f t="shared" si="6"/>
        <v>0</v>
      </c>
    </row>
    <row r="152" spans="1:14" s="9" customFormat="1" ht="11.25" x14ac:dyDescent="0.2">
      <c r="A152" s="10">
        <v>44206000</v>
      </c>
      <c r="B152" s="10" t="s">
        <v>100</v>
      </c>
      <c r="C152" s="11">
        <v>-439999.99999999988</v>
      </c>
      <c r="D152" s="11">
        <v>10000</v>
      </c>
      <c r="E152" s="11">
        <v>0</v>
      </c>
      <c r="F152" s="13">
        <f>SUMIF('OD 02-24'!A:A,A152,'OD 02-24'!D:D)</f>
        <v>0</v>
      </c>
      <c r="G152" s="13">
        <f>SUMIF('OD 02-24'!A:A,A152,'OD 02-24'!E:E)</f>
        <v>0</v>
      </c>
      <c r="H152" s="14">
        <f t="shared" si="7"/>
        <v>10000</v>
      </c>
      <c r="I152" s="14">
        <f t="shared" si="8"/>
        <v>-429999.99999999988</v>
      </c>
      <c r="J152" s="8" t="s">
        <v>81</v>
      </c>
      <c r="M152" s="9">
        <f>VLOOKUP($A152,'BAL 01-24'!$A$3:$I$322,9,0)</f>
        <v>-439999.99999999988</v>
      </c>
      <c r="N152" s="315">
        <f t="shared" si="6"/>
        <v>0</v>
      </c>
    </row>
    <row r="153" spans="1:14" s="9" customFormat="1" ht="11.25" x14ac:dyDescent="0.2">
      <c r="A153" s="10">
        <v>44207000</v>
      </c>
      <c r="B153" s="10" t="s">
        <v>336</v>
      </c>
      <c r="C153" s="11">
        <v>165000</v>
      </c>
      <c r="D153" s="11">
        <v>0</v>
      </c>
      <c r="E153" s="11">
        <v>0</v>
      </c>
      <c r="F153" s="13">
        <f>SUMIF('OD 02-24'!A:A,A153,'OD 02-24'!D:D)</f>
        <v>0</v>
      </c>
      <c r="G153" s="13">
        <f>SUMIF('OD 02-24'!A:A,A153,'OD 02-24'!E:E)</f>
        <v>0</v>
      </c>
      <c r="H153" s="14">
        <f t="shared" si="7"/>
        <v>0</v>
      </c>
      <c r="I153" s="14">
        <f t="shared" si="8"/>
        <v>165000</v>
      </c>
      <c r="J153" s="8" t="s">
        <v>78</v>
      </c>
      <c r="M153" s="9">
        <f>VLOOKUP($A153,'BAL 01-24'!$A$3:$I$322,9,0)</f>
        <v>165000</v>
      </c>
      <c r="N153" s="315">
        <f t="shared" si="6"/>
        <v>0</v>
      </c>
    </row>
    <row r="154" spans="1:14" s="9" customFormat="1" ht="11.25" x14ac:dyDescent="0.2">
      <c r="A154" s="10">
        <v>44208000</v>
      </c>
      <c r="B154" s="10" t="s">
        <v>337</v>
      </c>
      <c r="C154" s="11">
        <v>2270.971</v>
      </c>
      <c r="D154" s="11">
        <v>0</v>
      </c>
      <c r="E154" s="11">
        <v>0</v>
      </c>
      <c r="F154" s="13">
        <f>SUMIF('OD 02-24'!A:A,A154,'OD 02-24'!D:D)</f>
        <v>0</v>
      </c>
      <c r="G154" s="13">
        <f>SUMIF('OD 02-24'!A:A,A154,'OD 02-24'!E:E)</f>
        <v>0</v>
      </c>
      <c r="H154" s="14">
        <f t="shared" si="7"/>
        <v>0</v>
      </c>
      <c r="I154" s="14">
        <f t="shared" si="8"/>
        <v>2270.971</v>
      </c>
      <c r="J154" s="8" t="s">
        <v>78</v>
      </c>
      <c r="M154" s="9">
        <f>VLOOKUP($A154,'BAL 01-24'!$A$3:$I$322,9,0)</f>
        <v>2270.971</v>
      </c>
      <c r="N154" s="315">
        <f t="shared" si="6"/>
        <v>0</v>
      </c>
    </row>
    <row r="155" spans="1:14" s="9" customFormat="1" ht="11.25" x14ac:dyDescent="0.2">
      <c r="A155" s="10">
        <v>44209000</v>
      </c>
      <c r="B155" s="10" t="s">
        <v>392</v>
      </c>
      <c r="C155" s="11">
        <v>3626.8820000002161</v>
      </c>
      <c r="D155" s="11">
        <v>0</v>
      </c>
      <c r="E155" s="11">
        <v>0</v>
      </c>
      <c r="F155" s="13">
        <f>SUMIF('OD 02-24'!A:A,A155,'OD 02-24'!D:D)</f>
        <v>0</v>
      </c>
      <c r="G155" s="13">
        <f>SUMIF('OD 02-24'!A:A,A155,'OD 02-24'!E:E)</f>
        <v>0</v>
      </c>
      <c r="H155" s="14">
        <f t="shared" si="7"/>
        <v>0</v>
      </c>
      <c r="I155" s="14">
        <f t="shared" si="8"/>
        <v>3626.8820000002161</v>
      </c>
      <c r="J155" s="8" t="s">
        <v>78</v>
      </c>
      <c r="M155" s="9">
        <f>VLOOKUP($A155,'BAL 01-24'!$A$3:$I$322,9,0)</f>
        <v>3626.8820000002161</v>
      </c>
      <c r="N155" s="315">
        <f t="shared" si="6"/>
        <v>0</v>
      </c>
    </row>
    <row r="156" spans="1:14" s="9" customFormat="1" ht="11.25" x14ac:dyDescent="0.2">
      <c r="A156" s="10">
        <v>44210000</v>
      </c>
      <c r="B156" s="10" t="s">
        <v>338</v>
      </c>
      <c r="C156" s="11">
        <v>0</v>
      </c>
      <c r="D156" s="11">
        <v>0</v>
      </c>
      <c r="E156" s="11">
        <v>0</v>
      </c>
      <c r="F156" s="13">
        <f>SUMIF('OD 02-24'!A:A,A156,'OD 02-24'!D:D)</f>
        <v>0</v>
      </c>
      <c r="G156" s="13">
        <f>SUMIF('OD 02-24'!A:A,A156,'OD 02-24'!E:E)</f>
        <v>0</v>
      </c>
      <c r="H156" s="14">
        <f t="shared" si="7"/>
        <v>0</v>
      </c>
      <c r="I156" s="14">
        <f t="shared" si="8"/>
        <v>0</v>
      </c>
      <c r="J156" s="8"/>
      <c r="M156" s="9">
        <f>VLOOKUP($A156,'BAL 01-24'!$A$3:$I$322,9,0)</f>
        <v>0</v>
      </c>
      <c r="N156" s="315">
        <f t="shared" si="6"/>
        <v>0</v>
      </c>
    </row>
    <row r="157" spans="1:14" s="9" customFormat="1" ht="11.25" x14ac:dyDescent="0.2">
      <c r="A157" s="10">
        <v>44600000</v>
      </c>
      <c r="B157" s="10" t="s">
        <v>339</v>
      </c>
      <c r="C157" s="11">
        <v>0</v>
      </c>
      <c r="D157" s="11">
        <v>0</v>
      </c>
      <c r="E157" s="11">
        <v>0</v>
      </c>
      <c r="F157" s="13">
        <f>SUMIF('OD 02-24'!A:A,A157,'OD 02-24'!D:D)</f>
        <v>0</v>
      </c>
      <c r="G157" s="13">
        <f>SUMIF('OD 02-24'!A:A,A157,'OD 02-24'!E:E)</f>
        <v>0</v>
      </c>
      <c r="H157" s="14">
        <f t="shared" si="7"/>
        <v>0</v>
      </c>
      <c r="I157" s="14">
        <f t="shared" si="8"/>
        <v>0</v>
      </c>
      <c r="J157" s="8"/>
      <c r="M157" s="9">
        <f>VLOOKUP($A157,'BAL 01-24'!$A$3:$I$322,9,0)</f>
        <v>0</v>
      </c>
      <c r="N157" s="315">
        <f t="shared" si="6"/>
        <v>0</v>
      </c>
    </row>
    <row r="158" spans="1:14" s="9" customFormat="1" ht="11.25" x14ac:dyDescent="0.2">
      <c r="A158" s="10">
        <v>44700000</v>
      </c>
      <c r="B158" s="10" t="s">
        <v>101</v>
      </c>
      <c r="C158" s="11">
        <v>0</v>
      </c>
      <c r="D158" s="11">
        <v>0</v>
      </c>
      <c r="E158" s="11">
        <v>0</v>
      </c>
      <c r="F158" s="13">
        <f>SUMIF('OD 02-24'!A:A,A158,'OD 02-24'!D:D)</f>
        <v>0</v>
      </c>
      <c r="G158" s="13">
        <f>SUMIF('OD 02-24'!A:A,A158,'OD 02-24'!E:E)</f>
        <v>0</v>
      </c>
      <c r="H158" s="14">
        <f t="shared" si="7"/>
        <v>0</v>
      </c>
      <c r="I158" s="14">
        <f t="shared" si="8"/>
        <v>0</v>
      </c>
      <c r="J158" s="8"/>
      <c r="M158" s="9">
        <f>VLOOKUP($A158,'BAL 01-24'!$A$3:$I$322,9,0)</f>
        <v>0</v>
      </c>
      <c r="N158" s="315">
        <f t="shared" si="6"/>
        <v>0</v>
      </c>
    </row>
    <row r="159" spans="1:14" s="9" customFormat="1" ht="11.25" x14ac:dyDescent="0.2">
      <c r="A159" s="10">
        <v>45000000</v>
      </c>
      <c r="B159" s="10" t="s">
        <v>102</v>
      </c>
      <c r="C159" s="11">
        <v>-12700</v>
      </c>
      <c r="D159" s="11">
        <v>0</v>
      </c>
      <c r="E159" s="11">
        <v>0</v>
      </c>
      <c r="F159" s="13">
        <f>SUMIF('OD 02-24'!A:A,A159,'OD 02-24'!D:D)</f>
        <v>0</v>
      </c>
      <c r="G159" s="13">
        <f>SUMIF('OD 02-24'!A:A,A159,'OD 02-24'!E:E)</f>
        <v>0</v>
      </c>
      <c r="H159" s="14">
        <f t="shared" si="7"/>
        <v>0</v>
      </c>
      <c r="I159" s="14">
        <f t="shared" si="8"/>
        <v>-12700</v>
      </c>
      <c r="J159" s="8" t="s">
        <v>81</v>
      </c>
      <c r="M159" s="9">
        <f>VLOOKUP($A159,'BAL 01-24'!$A$3:$I$322,9,0)</f>
        <v>-12700</v>
      </c>
      <c r="N159" s="315">
        <f t="shared" si="6"/>
        <v>0</v>
      </c>
    </row>
    <row r="160" spans="1:14" s="9" customFormat="1" ht="11.25" x14ac:dyDescent="0.2">
      <c r="A160" s="10">
        <v>45200000</v>
      </c>
      <c r="B160" s="10" t="s">
        <v>103</v>
      </c>
      <c r="C160" s="11">
        <v>-2500</v>
      </c>
      <c r="D160" s="11">
        <v>0</v>
      </c>
      <c r="E160" s="11">
        <v>0</v>
      </c>
      <c r="F160" s="13">
        <f>SUMIF('OD 02-24'!A:A,A160,'OD 02-24'!D:D)</f>
        <v>0</v>
      </c>
      <c r="G160" s="13">
        <f>SUMIF('OD 02-24'!A:A,A160,'OD 02-24'!E:E)</f>
        <v>0</v>
      </c>
      <c r="H160" s="14">
        <f t="shared" si="7"/>
        <v>0</v>
      </c>
      <c r="I160" s="14">
        <f t="shared" si="8"/>
        <v>-2500</v>
      </c>
      <c r="J160" s="8" t="s">
        <v>81</v>
      </c>
      <c r="M160" s="9">
        <f>VLOOKUP($A160,'BAL 01-24'!$A$3:$I$322,9,0)</f>
        <v>-2500</v>
      </c>
      <c r="N160" s="315">
        <f t="shared" si="6"/>
        <v>0</v>
      </c>
    </row>
    <row r="161" spans="1:14" s="9" customFormat="1" ht="11.25" x14ac:dyDescent="0.2">
      <c r="A161" s="10">
        <v>45310000</v>
      </c>
      <c r="B161" s="10" t="s">
        <v>104</v>
      </c>
      <c r="C161" s="11">
        <v>-64972.058000000456</v>
      </c>
      <c r="D161" s="11">
        <v>6021.8780000000006</v>
      </c>
      <c r="E161" s="11">
        <v>61325.970999999998</v>
      </c>
      <c r="F161" s="13">
        <f>SUMIF('OD 02-24'!A:A,A161,'OD 02-24'!D:D)</f>
        <v>43186.953000000001</v>
      </c>
      <c r="G161" s="13">
        <f>SUMIF('OD 02-24'!A:A,A161,'OD 02-24'!E:E)</f>
        <v>86373.906000000003</v>
      </c>
      <c r="H161" s="14">
        <f t="shared" si="7"/>
        <v>-98491.046000000002</v>
      </c>
      <c r="I161" s="14">
        <f t="shared" si="8"/>
        <v>-163463.10400000046</v>
      </c>
      <c r="J161" s="8" t="s">
        <v>81</v>
      </c>
      <c r="M161" s="9">
        <f>VLOOKUP($A161,'BAL 01-24'!$A$3:$I$322,9,0)</f>
        <v>-64972.058000000456</v>
      </c>
      <c r="N161" s="315">
        <f t="shared" si="6"/>
        <v>0</v>
      </c>
    </row>
    <row r="162" spans="1:14" s="9" customFormat="1" ht="11.25" x14ac:dyDescent="0.2">
      <c r="A162" s="10">
        <v>45700000</v>
      </c>
      <c r="B162" s="10" t="s">
        <v>105</v>
      </c>
      <c r="C162" s="11">
        <v>7122.9679999998771</v>
      </c>
      <c r="D162" s="11">
        <v>0</v>
      </c>
      <c r="E162" s="11">
        <v>0</v>
      </c>
      <c r="F162" s="13">
        <f>SUMIF('OD 02-24'!A:A,A162,'OD 02-24'!D:D)</f>
        <v>0</v>
      </c>
      <c r="G162" s="13">
        <f>SUMIF('OD 02-24'!A:A,A162,'OD 02-24'!E:E)</f>
        <v>0</v>
      </c>
      <c r="H162" s="14">
        <f t="shared" si="7"/>
        <v>0</v>
      </c>
      <c r="I162" s="14">
        <f t="shared" si="8"/>
        <v>7122.9679999998771</v>
      </c>
      <c r="J162" s="8" t="s">
        <v>78</v>
      </c>
      <c r="M162" s="9">
        <f>VLOOKUP($A162,'BAL 01-24'!$A$3:$I$322,9,0)</f>
        <v>7122.9679999998771</v>
      </c>
      <c r="N162" s="315">
        <f t="shared" si="6"/>
        <v>0</v>
      </c>
    </row>
    <row r="163" spans="1:14" s="9" customFormat="1" ht="11.25" x14ac:dyDescent="0.2">
      <c r="A163" s="10">
        <v>45860000</v>
      </c>
      <c r="B163" s="10" t="s">
        <v>106</v>
      </c>
      <c r="C163" s="11">
        <v>-2172964.9040000001</v>
      </c>
      <c r="D163" s="11">
        <v>0</v>
      </c>
      <c r="E163" s="11">
        <v>0</v>
      </c>
      <c r="F163" s="13">
        <f>SUMIF('OD 02-24'!A:A,A163,'OD 02-24'!D:D)</f>
        <v>607883.82799999998</v>
      </c>
      <c r="G163" s="13">
        <f>SUMIF('OD 02-24'!A:A,A163,'OD 02-24'!E:E)</f>
        <v>633791.72400000005</v>
      </c>
      <c r="H163" s="14">
        <f t="shared" si="7"/>
        <v>-25907.896000000066</v>
      </c>
      <c r="I163" s="14">
        <f t="shared" si="8"/>
        <v>-2198872.8000000003</v>
      </c>
      <c r="J163" s="8" t="s">
        <v>81</v>
      </c>
      <c r="M163" s="9">
        <f>VLOOKUP($A163,'BAL 01-24'!$A$3:$I$322,9,0)</f>
        <v>-2172964.9040000001</v>
      </c>
      <c r="N163" s="315">
        <f t="shared" si="6"/>
        <v>0</v>
      </c>
    </row>
    <row r="164" spans="1:14" s="9" customFormat="1" ht="11.25" x14ac:dyDescent="0.2">
      <c r="A164" s="10">
        <v>45870000</v>
      </c>
      <c r="B164" s="10" t="s">
        <v>107</v>
      </c>
      <c r="C164" s="11">
        <v>42012.970999999226</v>
      </c>
      <c r="D164" s="11">
        <v>0</v>
      </c>
      <c r="E164" s="11">
        <v>0</v>
      </c>
      <c r="F164" s="13">
        <f>SUMIF('OD 02-24'!A:A,A164,'OD 02-24'!D:D)</f>
        <v>6484.9059999999999</v>
      </c>
      <c r="G164" s="13">
        <f>SUMIF('OD 02-24'!A:A,A164,'OD 02-24'!E:E)</f>
        <v>3242.453</v>
      </c>
      <c r="H164" s="14">
        <f t="shared" si="7"/>
        <v>3242.453</v>
      </c>
      <c r="I164" s="14">
        <f t="shared" si="8"/>
        <v>45255.423999999228</v>
      </c>
      <c r="J164" s="8" t="s">
        <v>78</v>
      </c>
      <c r="M164" s="9">
        <f>VLOOKUP($A164,'BAL 01-24'!$A$3:$I$322,9,0)</f>
        <v>42012.970999999226</v>
      </c>
      <c r="N164" s="315">
        <f t="shared" si="6"/>
        <v>0</v>
      </c>
    </row>
    <row r="165" spans="1:14" s="9" customFormat="1" ht="11.25" x14ac:dyDescent="0.2">
      <c r="A165" s="10">
        <v>46100000</v>
      </c>
      <c r="B165" s="10" t="s">
        <v>340</v>
      </c>
      <c r="C165" s="11">
        <v>0</v>
      </c>
      <c r="D165" s="11">
        <v>0</v>
      </c>
      <c r="E165" s="11">
        <v>0</v>
      </c>
      <c r="F165" s="13">
        <f>SUMIF('OD 02-24'!A:A,A165,'OD 02-24'!D:D)</f>
        <v>0</v>
      </c>
      <c r="G165" s="13">
        <f>SUMIF('OD 02-24'!A:A,A165,'OD 02-24'!E:E)</f>
        <v>0</v>
      </c>
      <c r="H165" s="14">
        <f t="shared" si="7"/>
        <v>0</v>
      </c>
      <c r="I165" s="14">
        <f t="shared" si="8"/>
        <v>0</v>
      </c>
      <c r="J165" s="8"/>
      <c r="M165" s="9">
        <f>VLOOKUP($A165,'BAL 01-24'!$A$3:$I$322,9,0)</f>
        <v>0</v>
      </c>
      <c r="N165" s="315">
        <f t="shared" si="6"/>
        <v>0</v>
      </c>
    </row>
    <row r="166" spans="1:14" s="9" customFormat="1" ht="11.25" x14ac:dyDescent="0.2">
      <c r="A166" s="10">
        <v>46800000</v>
      </c>
      <c r="B166" s="10" t="s">
        <v>108</v>
      </c>
      <c r="C166" s="11">
        <v>0</v>
      </c>
      <c r="D166" s="11">
        <v>0</v>
      </c>
      <c r="E166" s="11">
        <v>0</v>
      </c>
      <c r="F166" s="13">
        <f>SUMIF('OD 02-24'!A:A,A166,'OD 02-24'!D:D)</f>
        <v>0</v>
      </c>
      <c r="G166" s="13">
        <f>SUMIF('OD 02-24'!A:A,A166,'OD 02-24'!E:E)</f>
        <v>0</v>
      </c>
      <c r="H166" s="14">
        <f t="shared" si="7"/>
        <v>0</v>
      </c>
      <c r="I166" s="14">
        <f t="shared" si="8"/>
        <v>0</v>
      </c>
      <c r="J166" s="8"/>
      <c r="M166" s="9">
        <f>VLOOKUP($A166,'BAL 01-24'!$A$3:$I$322,9,0)</f>
        <v>0</v>
      </c>
      <c r="N166" s="315">
        <f t="shared" si="6"/>
        <v>0</v>
      </c>
    </row>
    <row r="167" spans="1:14" s="9" customFormat="1" ht="11.25" x14ac:dyDescent="0.2">
      <c r="A167" s="10">
        <v>47100000</v>
      </c>
      <c r="B167" s="10" t="s">
        <v>109</v>
      </c>
      <c r="C167" s="11">
        <v>248082.35284599965</v>
      </c>
      <c r="D167" s="11">
        <v>0</v>
      </c>
      <c r="E167" s="11">
        <v>0</v>
      </c>
      <c r="F167" s="13">
        <f>SUMIF('OD 02-24'!A:A,A167,'OD 02-24'!D:D)</f>
        <v>144922.91099999999</v>
      </c>
      <c r="G167" s="13">
        <f>SUMIF('OD 02-24'!A:A,A167,'OD 02-24'!E:E)</f>
        <v>211124.38500000001</v>
      </c>
      <c r="H167" s="14">
        <f t="shared" si="7"/>
        <v>-66201.474000000017</v>
      </c>
      <c r="I167" s="14">
        <f t="shared" si="8"/>
        <v>181880.87884599963</v>
      </c>
      <c r="J167" s="8" t="s">
        <v>78</v>
      </c>
      <c r="M167" s="9">
        <f>VLOOKUP($A167,'BAL 01-24'!$A$3:$I$322,9,0)</f>
        <v>248082.35284599965</v>
      </c>
      <c r="N167" s="315">
        <f t="shared" si="6"/>
        <v>0</v>
      </c>
    </row>
    <row r="168" spans="1:14" s="9" customFormat="1" ht="11.25" x14ac:dyDescent="0.2">
      <c r="A168" s="10">
        <v>47200000</v>
      </c>
      <c r="B168" s="10" t="s">
        <v>341</v>
      </c>
      <c r="C168" s="11">
        <v>0</v>
      </c>
      <c r="D168" s="11">
        <v>0</v>
      </c>
      <c r="E168" s="11">
        <v>0</v>
      </c>
      <c r="F168" s="13">
        <f>SUMIF('OD 02-24'!A:A,A168,'OD 02-24'!D:D)</f>
        <v>0</v>
      </c>
      <c r="G168" s="13">
        <f>SUMIF('OD 02-24'!A:A,A168,'OD 02-24'!E:E)</f>
        <v>0</v>
      </c>
      <c r="H168" s="14">
        <f t="shared" si="7"/>
        <v>0</v>
      </c>
      <c r="I168" s="14">
        <f t="shared" si="8"/>
        <v>0</v>
      </c>
      <c r="J168" s="8"/>
      <c r="M168" s="9">
        <f>VLOOKUP($A168,'BAL 01-24'!$A$3:$I$322,9,0)</f>
        <v>0</v>
      </c>
      <c r="N168" s="315">
        <f t="shared" si="6"/>
        <v>0</v>
      </c>
    </row>
    <row r="169" spans="1:14" s="9" customFormat="1" ht="11.25" x14ac:dyDescent="0.2">
      <c r="A169" s="10">
        <v>49100000</v>
      </c>
      <c r="B169" s="10" t="s">
        <v>110</v>
      </c>
      <c r="C169" s="11">
        <v>-457129.14999999991</v>
      </c>
      <c r="D169" s="11">
        <v>0</v>
      </c>
      <c r="E169" s="11">
        <v>0</v>
      </c>
      <c r="F169" s="13">
        <f>SUMIF('OD 02-24'!A:A,A169,'OD 02-24'!D:D)</f>
        <v>0</v>
      </c>
      <c r="G169" s="13">
        <f>SUMIF('OD 02-24'!A:A,A169,'OD 02-24'!E:E)</f>
        <v>0</v>
      </c>
      <c r="H169" s="14">
        <f t="shared" si="7"/>
        <v>0</v>
      </c>
      <c r="I169" s="14">
        <f t="shared" si="8"/>
        <v>-457129.14999999991</v>
      </c>
      <c r="J169" s="8" t="s">
        <v>111</v>
      </c>
      <c r="M169" s="9">
        <f>VLOOKUP($A169,'BAL 01-24'!$A$3:$I$322,9,0)</f>
        <v>-457129.14999999991</v>
      </c>
      <c r="N169" s="315">
        <f t="shared" si="6"/>
        <v>0</v>
      </c>
    </row>
    <row r="170" spans="1:14" s="9" customFormat="1" ht="11.25" x14ac:dyDescent="0.2">
      <c r="A170" s="10">
        <v>49600000</v>
      </c>
      <c r="B170" s="10" t="s">
        <v>112</v>
      </c>
      <c r="C170" s="11">
        <v>-288613.68499999994</v>
      </c>
      <c r="D170" s="11">
        <v>0</v>
      </c>
      <c r="E170" s="11">
        <v>0</v>
      </c>
      <c r="F170" s="13">
        <f>SUMIF('OD 02-24'!A:A,A170,'OD 02-24'!D:D)</f>
        <v>0</v>
      </c>
      <c r="G170" s="13">
        <f>SUMIF('OD 02-24'!A:A,A170,'OD 02-24'!E:E)</f>
        <v>0</v>
      </c>
      <c r="H170" s="14">
        <f t="shared" si="7"/>
        <v>0</v>
      </c>
      <c r="I170" s="14">
        <f t="shared" si="8"/>
        <v>-288613.68499999994</v>
      </c>
      <c r="J170" s="8" t="s">
        <v>113</v>
      </c>
      <c r="M170" s="9">
        <f>VLOOKUP($A170,'BAL 01-24'!$A$3:$I$322,9,0)</f>
        <v>-288613.68499999994</v>
      </c>
      <c r="N170" s="315">
        <f t="shared" si="6"/>
        <v>0</v>
      </c>
    </row>
    <row r="171" spans="1:14" s="9" customFormat="1" ht="11.25" x14ac:dyDescent="0.2">
      <c r="A171" s="10">
        <v>50130000</v>
      </c>
      <c r="B171" s="10" t="s">
        <v>114</v>
      </c>
      <c r="C171" s="11">
        <v>-6000000</v>
      </c>
      <c r="D171" s="11">
        <v>0</v>
      </c>
      <c r="E171" s="11">
        <v>0</v>
      </c>
      <c r="F171" s="13">
        <f>SUMIF('OD 02-24'!A:A,A171,'OD 02-24'!D:D)</f>
        <v>0</v>
      </c>
      <c r="G171" s="13">
        <f>SUMIF('OD 02-24'!A:A,A171,'OD 02-24'!E:E)</f>
        <v>0</v>
      </c>
      <c r="H171" s="14">
        <f t="shared" si="7"/>
        <v>0</v>
      </c>
      <c r="I171" s="14">
        <f t="shared" si="8"/>
        <v>-6000000</v>
      </c>
      <c r="J171" s="8" t="s">
        <v>115</v>
      </c>
      <c r="M171" s="9">
        <f>VLOOKUP($A171,'BAL 01-24'!$A$3:$I$322,9,0)</f>
        <v>-6000000</v>
      </c>
      <c r="N171" s="315">
        <f t="shared" si="6"/>
        <v>0</v>
      </c>
    </row>
    <row r="172" spans="1:14" s="9" customFormat="1" ht="11.25" x14ac:dyDescent="0.2">
      <c r="A172" s="10">
        <v>50140000</v>
      </c>
      <c r="B172" s="10" t="s">
        <v>116</v>
      </c>
      <c r="C172" s="11">
        <v>-4000000</v>
      </c>
      <c r="D172" s="11">
        <v>0</v>
      </c>
      <c r="E172" s="11">
        <v>0</v>
      </c>
      <c r="F172" s="13">
        <f>SUMIF('OD 02-24'!A:A,A172,'OD 02-24'!D:D)</f>
        <v>0</v>
      </c>
      <c r="G172" s="13">
        <f>SUMIF('OD 02-24'!A:A,A172,'OD 02-24'!E:E)</f>
        <v>0</v>
      </c>
      <c r="H172" s="14">
        <f t="shared" si="7"/>
        <v>0</v>
      </c>
      <c r="I172" s="14">
        <f t="shared" si="8"/>
        <v>-4000000</v>
      </c>
      <c r="J172" s="8" t="s">
        <v>115</v>
      </c>
      <c r="M172" s="9">
        <f>VLOOKUP($A172,'BAL 01-24'!$A$3:$I$322,9,0)</f>
        <v>-4000000</v>
      </c>
      <c r="N172" s="315">
        <f t="shared" si="6"/>
        <v>0</v>
      </c>
    </row>
    <row r="173" spans="1:14" s="9" customFormat="1" ht="11.25" x14ac:dyDescent="0.2">
      <c r="A173" s="10">
        <v>50500000</v>
      </c>
      <c r="B173" s="10" t="s">
        <v>117</v>
      </c>
      <c r="C173" s="11">
        <v>-4.0000025182962418E-3</v>
      </c>
      <c r="D173" s="11">
        <v>104166.66699999999</v>
      </c>
      <c r="E173" s="11">
        <v>0</v>
      </c>
      <c r="F173" s="13">
        <f>SUMIF('OD 02-24'!A:A,A173,'OD 02-24'!D:D)</f>
        <v>0</v>
      </c>
      <c r="G173" s="13">
        <f>SUMIF('OD 02-24'!A:A,A173,'OD 02-24'!E:E)</f>
        <v>0</v>
      </c>
      <c r="H173" s="14">
        <f t="shared" si="7"/>
        <v>104166.66699999999</v>
      </c>
      <c r="I173" s="14">
        <f t="shared" si="8"/>
        <v>104166.66299999747</v>
      </c>
      <c r="J173" s="8" t="s">
        <v>115</v>
      </c>
      <c r="M173" s="9">
        <f>VLOOKUP($A173,'BAL 01-24'!$A$3:$I$322,9,0)</f>
        <v>-4.0000025182962418E-3</v>
      </c>
      <c r="N173" s="315">
        <f t="shared" si="6"/>
        <v>0</v>
      </c>
    </row>
    <row r="174" spans="1:14" s="9" customFormat="1" ht="11.25" x14ac:dyDescent="0.2">
      <c r="A174" s="10">
        <v>50515000</v>
      </c>
      <c r="B174" s="10" t="s">
        <v>118</v>
      </c>
      <c r="C174" s="11">
        <v>-115790.71299999992</v>
      </c>
      <c r="D174" s="11">
        <v>18115.023000000001</v>
      </c>
      <c r="E174" s="11">
        <v>0</v>
      </c>
      <c r="F174" s="13">
        <f>SUMIF('OD 02-24'!A:A,A174,'OD 02-24'!D:D)</f>
        <v>0</v>
      </c>
      <c r="G174" s="13">
        <f>SUMIF('OD 02-24'!A:A,A174,'OD 02-24'!E:E)</f>
        <v>0</v>
      </c>
      <c r="H174" s="14">
        <f t="shared" si="7"/>
        <v>18115.023000000001</v>
      </c>
      <c r="I174" s="14">
        <f t="shared" si="8"/>
        <v>-97675.689999999915</v>
      </c>
      <c r="J174" s="8" t="s">
        <v>115</v>
      </c>
      <c r="M174" s="9">
        <f>VLOOKUP($A174,'BAL 01-24'!$A$3:$I$322,9,0)</f>
        <v>-115790.71299999992</v>
      </c>
      <c r="N174" s="315">
        <f t="shared" si="6"/>
        <v>0</v>
      </c>
    </row>
    <row r="175" spans="1:14" s="9" customFormat="1" ht="11.25" x14ac:dyDescent="0.2">
      <c r="A175" s="10">
        <v>50610100</v>
      </c>
      <c r="B175" s="10" t="s">
        <v>342</v>
      </c>
      <c r="C175" s="11">
        <v>0</v>
      </c>
      <c r="D175" s="11">
        <v>0</v>
      </c>
      <c r="E175" s="11">
        <v>0</v>
      </c>
      <c r="F175" s="13">
        <f>SUMIF('OD 02-24'!A:A,A175,'OD 02-24'!D:D)</f>
        <v>0</v>
      </c>
      <c r="G175" s="13">
        <f>SUMIF('OD 02-24'!A:A,A175,'OD 02-24'!E:E)</f>
        <v>0</v>
      </c>
      <c r="H175" s="14">
        <f t="shared" si="7"/>
        <v>0</v>
      </c>
      <c r="I175" s="14">
        <f t="shared" si="8"/>
        <v>0</v>
      </c>
      <c r="J175" s="8"/>
      <c r="M175" s="9">
        <f>VLOOKUP($A175,'BAL 01-24'!$A$3:$I$322,9,0)</f>
        <v>0</v>
      </c>
      <c r="N175" s="315">
        <f t="shared" si="6"/>
        <v>0</v>
      </c>
    </row>
    <row r="176" spans="1:14" s="9" customFormat="1" ht="11.25" x14ac:dyDescent="0.2">
      <c r="A176" s="10">
        <v>50610900</v>
      </c>
      <c r="B176" s="10" t="s">
        <v>119</v>
      </c>
      <c r="C176" s="11">
        <v>-834714.44062350271</v>
      </c>
      <c r="D176" s="11">
        <v>831150.74199999997</v>
      </c>
      <c r="E176" s="11">
        <v>0</v>
      </c>
      <c r="F176" s="13">
        <f>SUMIF('OD 02-24'!A:A,A176,'OD 02-24'!D:D)</f>
        <v>0</v>
      </c>
      <c r="G176" s="13">
        <f>SUMIF('OD 02-24'!A:A,A176,'OD 02-24'!E:E)</f>
        <v>0</v>
      </c>
      <c r="H176" s="14">
        <f t="shared" si="7"/>
        <v>831150.74199999997</v>
      </c>
      <c r="I176" s="14">
        <f t="shared" si="8"/>
        <v>-3563.6986235027434</v>
      </c>
      <c r="J176" s="8" t="s">
        <v>115</v>
      </c>
      <c r="M176" s="9">
        <f>VLOOKUP($A176,'BAL 01-24'!$A$3:$I$322,9,0)</f>
        <v>-834714.44062350271</v>
      </c>
      <c r="N176" s="315">
        <f t="shared" si="6"/>
        <v>0</v>
      </c>
    </row>
    <row r="177" spans="1:14" s="9" customFormat="1" ht="11.25" x14ac:dyDescent="0.2">
      <c r="A177" s="10">
        <v>50630000</v>
      </c>
      <c r="B177" s="10" t="s">
        <v>343</v>
      </c>
      <c r="C177" s="11">
        <v>-295000</v>
      </c>
      <c r="D177" s="11">
        <v>295000</v>
      </c>
      <c r="E177" s="11">
        <v>0</v>
      </c>
      <c r="F177" s="13">
        <f>SUMIF('OD 02-24'!A:A,A177,'OD 02-24'!D:D)</f>
        <v>0</v>
      </c>
      <c r="G177" s="13">
        <f>SUMIF('OD 02-24'!A:A,A177,'OD 02-24'!E:E)</f>
        <v>0</v>
      </c>
      <c r="H177" s="14">
        <f t="shared" si="7"/>
        <v>295000</v>
      </c>
      <c r="I177" s="14">
        <f t="shared" si="8"/>
        <v>0</v>
      </c>
      <c r="J177" s="8" t="s">
        <v>115</v>
      </c>
      <c r="M177" s="9">
        <f>VLOOKUP($A177,'BAL 01-24'!$A$3:$I$322,9,0)</f>
        <v>-295000</v>
      </c>
      <c r="N177" s="315">
        <f t="shared" si="6"/>
        <v>0</v>
      </c>
    </row>
    <row r="178" spans="1:14" s="9" customFormat="1" ht="11.25" x14ac:dyDescent="0.2">
      <c r="A178" s="10">
        <v>50800000</v>
      </c>
      <c r="B178" s="10" t="s">
        <v>344</v>
      </c>
      <c r="C178" s="11">
        <v>-31533.957000000002</v>
      </c>
      <c r="D178" s="11">
        <v>0</v>
      </c>
      <c r="E178" s="11">
        <v>0</v>
      </c>
      <c r="F178" s="13">
        <f>SUMIF('OD 02-24'!A:A,A178,'OD 02-24'!D:D)</f>
        <v>0</v>
      </c>
      <c r="G178" s="13">
        <f>SUMIF('OD 02-24'!A:A,A178,'OD 02-24'!E:E)</f>
        <v>0</v>
      </c>
      <c r="H178" s="14">
        <f t="shared" si="7"/>
        <v>0</v>
      </c>
      <c r="I178" s="14">
        <f t="shared" si="8"/>
        <v>-31533.957000000002</v>
      </c>
      <c r="J178" s="8" t="s">
        <v>115</v>
      </c>
      <c r="M178" s="9">
        <f>VLOOKUP($A178,'BAL 01-24'!$A$3:$I$322,9,0)</f>
        <v>-31533.957000000002</v>
      </c>
      <c r="N178" s="315">
        <f t="shared" si="6"/>
        <v>0</v>
      </c>
    </row>
    <row r="179" spans="1:14" s="9" customFormat="1" ht="11.25" x14ac:dyDescent="0.2">
      <c r="A179" s="10">
        <v>52000000</v>
      </c>
      <c r="B179" s="10" t="s">
        <v>345</v>
      </c>
      <c r="C179" s="11">
        <v>0</v>
      </c>
      <c r="D179" s="11">
        <v>0</v>
      </c>
      <c r="E179" s="11">
        <v>0</v>
      </c>
      <c r="F179" s="13">
        <f>SUMIF('OD 02-24'!A:A,A179,'OD 02-24'!D:D)</f>
        <v>0</v>
      </c>
      <c r="G179" s="13">
        <f>SUMIF('OD 02-24'!A:A,A179,'OD 02-24'!E:E)</f>
        <v>0</v>
      </c>
      <c r="H179" s="14">
        <f t="shared" si="7"/>
        <v>0</v>
      </c>
      <c r="I179" s="14">
        <f t="shared" si="8"/>
        <v>0</v>
      </c>
      <c r="J179" s="8"/>
      <c r="M179" s="9">
        <f>VLOOKUP($A179,'BAL 01-24'!$A$3:$I$322,9,0)</f>
        <v>0</v>
      </c>
      <c r="N179" s="315">
        <f t="shared" si="6"/>
        <v>0</v>
      </c>
    </row>
    <row r="180" spans="1:14" s="9" customFormat="1" ht="11.25" x14ac:dyDescent="0.2">
      <c r="A180" s="10">
        <v>52001100</v>
      </c>
      <c r="B180" s="10" t="s">
        <v>346</v>
      </c>
      <c r="C180" s="11">
        <v>0</v>
      </c>
      <c r="D180" s="11">
        <v>0</v>
      </c>
      <c r="E180" s="11">
        <v>0</v>
      </c>
      <c r="F180" s="13">
        <f>SUMIF('OD 02-24'!A:A,A180,'OD 02-24'!D:D)</f>
        <v>0</v>
      </c>
      <c r="G180" s="13">
        <f>SUMIF('OD 02-24'!A:A,A180,'OD 02-24'!E:E)</f>
        <v>0</v>
      </c>
      <c r="H180" s="14">
        <f t="shared" si="7"/>
        <v>0</v>
      </c>
      <c r="I180" s="14">
        <f t="shared" si="8"/>
        <v>0</v>
      </c>
      <c r="J180" s="8"/>
      <c r="M180" s="9">
        <f>VLOOKUP($A180,'BAL 01-24'!$A$3:$I$322,9,0)</f>
        <v>0</v>
      </c>
      <c r="N180" s="315">
        <f t="shared" si="6"/>
        <v>0</v>
      </c>
    </row>
    <row r="181" spans="1:14" s="9" customFormat="1" ht="11.25" x14ac:dyDescent="0.2">
      <c r="A181" s="10">
        <v>53140000</v>
      </c>
      <c r="B181" s="10" t="s">
        <v>347</v>
      </c>
      <c r="C181" s="11">
        <v>0</v>
      </c>
      <c r="D181" s="11">
        <v>0</v>
      </c>
      <c r="E181" s="11">
        <v>0</v>
      </c>
      <c r="F181" s="13">
        <f>SUMIF('OD 02-24'!A:A,A181,'OD 02-24'!D:D)</f>
        <v>0</v>
      </c>
      <c r="G181" s="13">
        <f>SUMIF('OD 02-24'!A:A,A181,'OD 02-24'!E:E)</f>
        <v>0</v>
      </c>
      <c r="H181" s="14">
        <f t="shared" si="7"/>
        <v>0</v>
      </c>
      <c r="I181" s="14">
        <f t="shared" si="8"/>
        <v>0</v>
      </c>
      <c r="J181" s="8"/>
      <c r="M181" s="9">
        <f>VLOOKUP($A181,'BAL 01-24'!$A$3:$I$322,9,0)</f>
        <v>0</v>
      </c>
      <c r="N181" s="315">
        <f t="shared" si="6"/>
        <v>0</v>
      </c>
    </row>
    <row r="182" spans="1:14" s="9" customFormat="1" ht="11.25" x14ac:dyDescent="0.2">
      <c r="A182" s="10">
        <v>53200000</v>
      </c>
      <c r="B182" s="10" t="s">
        <v>120</v>
      </c>
      <c r="C182" s="11">
        <v>139299.56100001931</v>
      </c>
      <c r="D182" s="11">
        <v>3164214.06</v>
      </c>
      <c r="E182" s="11">
        <v>3199089.06</v>
      </c>
      <c r="F182" s="13">
        <f>SUMIF('OD 02-24'!A:A,A182,'OD 02-24'!D:D)</f>
        <v>0</v>
      </c>
      <c r="G182" s="13">
        <f>SUMIF('OD 02-24'!A:A,A182,'OD 02-24'!E:E)</f>
        <v>0</v>
      </c>
      <c r="H182" s="14">
        <f t="shared" si="7"/>
        <v>-34875</v>
      </c>
      <c r="I182" s="14">
        <f t="shared" si="8"/>
        <v>104424.56100001931</v>
      </c>
      <c r="J182" s="8" t="s">
        <v>121</v>
      </c>
      <c r="M182" s="9">
        <f>VLOOKUP($A182,'BAL 01-24'!$A$3:$I$322,9,0)</f>
        <v>139299.56100001931</v>
      </c>
      <c r="N182" s="315">
        <f t="shared" si="6"/>
        <v>0</v>
      </c>
    </row>
    <row r="183" spans="1:14" s="9" customFormat="1" ht="11.25" x14ac:dyDescent="0.2">
      <c r="A183" s="10">
        <v>53201000</v>
      </c>
      <c r="B183" s="10" t="s">
        <v>348</v>
      </c>
      <c r="C183" s="11">
        <v>0</v>
      </c>
      <c r="D183" s="11">
        <v>0</v>
      </c>
      <c r="E183" s="11">
        <v>0</v>
      </c>
      <c r="F183" s="13">
        <f>SUMIF('OD 02-24'!A:A,A183,'OD 02-24'!D:D)</f>
        <v>0</v>
      </c>
      <c r="G183" s="13">
        <f>SUMIF('OD 02-24'!A:A,A183,'OD 02-24'!E:E)</f>
        <v>0</v>
      </c>
      <c r="H183" s="14">
        <f t="shared" si="7"/>
        <v>0</v>
      </c>
      <c r="I183" s="14">
        <f t="shared" si="8"/>
        <v>0</v>
      </c>
      <c r="J183" s="8"/>
      <c r="M183" s="9">
        <f>VLOOKUP($A183,'BAL 01-24'!$A$3:$I$322,9,0)</f>
        <v>0</v>
      </c>
      <c r="N183" s="315">
        <f t="shared" si="6"/>
        <v>0</v>
      </c>
    </row>
    <row r="184" spans="1:14" s="9" customFormat="1" ht="11.25" x14ac:dyDescent="0.2">
      <c r="A184" s="10">
        <v>53202000</v>
      </c>
      <c r="B184" s="10" t="s">
        <v>122</v>
      </c>
      <c r="C184" s="11">
        <v>435.74199999962002</v>
      </c>
      <c r="D184" s="11">
        <v>0</v>
      </c>
      <c r="E184" s="11">
        <v>0</v>
      </c>
      <c r="F184" s="13">
        <f>SUMIF('OD 02-24'!A:A,A184,'OD 02-24'!D:D)</f>
        <v>0</v>
      </c>
      <c r="G184" s="13">
        <f>SUMIF('OD 02-24'!A:A,A184,'OD 02-24'!E:E)</f>
        <v>0</v>
      </c>
      <c r="H184" s="14">
        <f t="shared" si="7"/>
        <v>0</v>
      </c>
      <c r="I184" s="14">
        <f t="shared" si="8"/>
        <v>435.74199999962002</v>
      </c>
      <c r="J184" s="8" t="s">
        <v>121</v>
      </c>
      <c r="M184" s="9">
        <f>VLOOKUP($A184,'BAL 01-24'!$A$3:$I$322,9,0)</f>
        <v>435.74199999962002</v>
      </c>
      <c r="N184" s="315">
        <f t="shared" si="6"/>
        <v>0</v>
      </c>
    </row>
    <row r="185" spans="1:14" s="9" customFormat="1" ht="11.25" x14ac:dyDescent="0.2">
      <c r="A185" s="10">
        <v>53203000</v>
      </c>
      <c r="B185" s="10" t="s">
        <v>349</v>
      </c>
      <c r="C185" s="11">
        <v>158203.05099999893</v>
      </c>
      <c r="D185" s="11">
        <v>34875</v>
      </c>
      <c r="E185" s="11">
        <v>2.9189999999999996</v>
      </c>
      <c r="F185" s="13">
        <f>SUMIF('OD 02-24'!A:A,A185,'OD 02-24'!D:D)</f>
        <v>0</v>
      </c>
      <c r="G185" s="13">
        <f>SUMIF('OD 02-24'!A:A,A185,'OD 02-24'!E:E)</f>
        <v>0</v>
      </c>
      <c r="H185" s="14">
        <f t="shared" si="7"/>
        <v>34872.080999999998</v>
      </c>
      <c r="I185" s="14">
        <f t="shared" si="8"/>
        <v>193075.13199999894</v>
      </c>
      <c r="J185" s="8" t="s">
        <v>121</v>
      </c>
      <c r="M185" s="9">
        <f>VLOOKUP($A185,'BAL 01-24'!$A$3:$I$322,9,0)</f>
        <v>158203.05099999893</v>
      </c>
      <c r="N185" s="315">
        <f t="shared" si="6"/>
        <v>0</v>
      </c>
    </row>
    <row r="186" spans="1:14" s="9" customFormat="1" ht="11.25" x14ac:dyDescent="0.2">
      <c r="A186" s="10">
        <v>53204000</v>
      </c>
      <c r="B186" s="10" t="s">
        <v>350</v>
      </c>
      <c r="C186" s="11">
        <v>0</v>
      </c>
      <c r="D186" s="11">
        <v>0</v>
      </c>
      <c r="E186" s="11">
        <v>0</v>
      </c>
      <c r="F186" s="13">
        <f>SUMIF('OD 02-24'!A:A,A186,'OD 02-24'!D:D)</f>
        <v>0</v>
      </c>
      <c r="G186" s="13">
        <f>SUMIF('OD 02-24'!A:A,A186,'OD 02-24'!E:E)</f>
        <v>0</v>
      </c>
      <c r="H186" s="14">
        <f t="shared" si="7"/>
        <v>0</v>
      </c>
      <c r="I186" s="14">
        <f t="shared" si="8"/>
        <v>0</v>
      </c>
      <c r="J186" s="8"/>
      <c r="M186" s="9">
        <f>VLOOKUP($A186,'BAL 01-24'!$A$3:$I$322,9,0)</f>
        <v>0</v>
      </c>
      <c r="N186" s="315">
        <f t="shared" si="6"/>
        <v>0</v>
      </c>
    </row>
    <row r="187" spans="1:14" s="9" customFormat="1" ht="11.25" x14ac:dyDescent="0.2">
      <c r="A187" s="10">
        <v>53204100</v>
      </c>
      <c r="B187" s="10" t="s">
        <v>351</v>
      </c>
      <c r="C187" s="11">
        <v>0</v>
      </c>
      <c r="D187" s="11">
        <v>0</v>
      </c>
      <c r="E187" s="11">
        <v>0</v>
      </c>
      <c r="F187" s="13">
        <f>SUMIF('OD 02-24'!A:A,A187,'OD 02-24'!D:D)</f>
        <v>0</v>
      </c>
      <c r="G187" s="13">
        <f>SUMIF('OD 02-24'!A:A,A187,'OD 02-24'!E:E)</f>
        <v>0</v>
      </c>
      <c r="H187" s="14">
        <f t="shared" si="7"/>
        <v>0</v>
      </c>
      <c r="I187" s="14">
        <f t="shared" si="8"/>
        <v>0</v>
      </c>
      <c r="J187" s="8"/>
      <c r="M187" s="9">
        <f>VLOOKUP($A187,'BAL 01-24'!$A$3:$I$322,9,0)</f>
        <v>0</v>
      </c>
      <c r="N187" s="315">
        <f t="shared" si="6"/>
        <v>0</v>
      </c>
    </row>
    <row r="188" spans="1:14" s="9" customFormat="1" ht="11.25" x14ac:dyDescent="0.2">
      <c r="A188" s="10">
        <v>53204500</v>
      </c>
      <c r="B188" s="10" t="s">
        <v>123</v>
      </c>
      <c r="C188" s="11">
        <v>5874.02</v>
      </c>
      <c r="D188" s="11">
        <v>0</v>
      </c>
      <c r="E188" s="11">
        <v>0</v>
      </c>
      <c r="F188" s="13">
        <f>SUMIF('OD 02-24'!A:A,A188,'OD 02-24'!D:D)</f>
        <v>0</v>
      </c>
      <c r="G188" s="13">
        <f>SUMIF('OD 02-24'!A:A,A188,'OD 02-24'!E:E)</f>
        <v>0</v>
      </c>
      <c r="H188" s="14">
        <f t="shared" si="7"/>
        <v>0</v>
      </c>
      <c r="I188" s="14">
        <f t="shared" si="8"/>
        <v>5874.02</v>
      </c>
      <c r="J188" s="8" t="s">
        <v>121</v>
      </c>
      <c r="M188" s="9">
        <f>VLOOKUP($A188,'BAL 01-24'!$A$3:$I$322,9,0)</f>
        <v>5874.02</v>
      </c>
      <c r="N188" s="315">
        <f t="shared" si="6"/>
        <v>0</v>
      </c>
    </row>
    <row r="189" spans="1:14" s="9" customFormat="1" ht="11.25" x14ac:dyDescent="0.2">
      <c r="A189" s="10">
        <v>53205000</v>
      </c>
      <c r="B189" s="10" t="s">
        <v>124</v>
      </c>
      <c r="C189" s="11">
        <v>12925.083999991417</v>
      </c>
      <c r="D189" s="11">
        <v>0</v>
      </c>
      <c r="E189" s="11">
        <v>0</v>
      </c>
      <c r="F189" s="13">
        <f>SUMIF('OD 02-24'!A:A,A189,'OD 02-24'!D:D)</f>
        <v>0</v>
      </c>
      <c r="G189" s="13">
        <f>SUMIF('OD 02-24'!A:A,A189,'OD 02-24'!E:E)</f>
        <v>0</v>
      </c>
      <c r="H189" s="14">
        <f t="shared" si="7"/>
        <v>0</v>
      </c>
      <c r="I189" s="14">
        <f t="shared" si="8"/>
        <v>12925.083999991417</v>
      </c>
      <c r="J189" s="8" t="s">
        <v>121</v>
      </c>
      <c r="M189" s="9">
        <f>VLOOKUP($A189,'BAL 01-24'!$A$3:$I$322,9,0)</f>
        <v>12925.083999991417</v>
      </c>
      <c r="N189" s="315">
        <f t="shared" si="6"/>
        <v>0</v>
      </c>
    </row>
    <row r="190" spans="1:14" s="9" customFormat="1" ht="11.25" x14ac:dyDescent="0.2">
      <c r="A190" s="10">
        <v>53205300</v>
      </c>
      <c r="B190" s="10" t="s">
        <v>125</v>
      </c>
      <c r="C190" s="11">
        <v>0</v>
      </c>
      <c r="D190" s="11">
        <v>0</v>
      </c>
      <c r="E190" s="11">
        <v>0</v>
      </c>
      <c r="F190" s="13">
        <f>SUMIF('OD 02-24'!A:A,A190,'OD 02-24'!D:D)</f>
        <v>0</v>
      </c>
      <c r="G190" s="13">
        <f>SUMIF('OD 02-24'!A:A,A190,'OD 02-24'!E:E)</f>
        <v>0</v>
      </c>
      <c r="H190" s="14">
        <f t="shared" si="7"/>
        <v>0</v>
      </c>
      <c r="I190" s="14">
        <f t="shared" si="8"/>
        <v>0</v>
      </c>
      <c r="J190" s="8" t="s">
        <v>121</v>
      </c>
      <c r="M190" s="9">
        <f>VLOOKUP($A190,'BAL 01-24'!$A$3:$I$322,9,0)</f>
        <v>0</v>
      </c>
      <c r="N190" s="315">
        <f t="shared" si="6"/>
        <v>0</v>
      </c>
    </row>
    <row r="191" spans="1:14" s="9" customFormat="1" ht="11.25" x14ac:dyDescent="0.2">
      <c r="A191" s="10">
        <v>53205400</v>
      </c>
      <c r="B191" s="10" t="s">
        <v>126</v>
      </c>
      <c r="C191" s="11">
        <v>0</v>
      </c>
      <c r="D191" s="11">
        <v>0</v>
      </c>
      <c r="E191" s="11">
        <v>0</v>
      </c>
      <c r="F191" s="13">
        <f>SUMIF('OD 02-24'!A:A,A191,'OD 02-24'!D:D)</f>
        <v>0</v>
      </c>
      <c r="G191" s="13">
        <f>SUMIF('OD 02-24'!A:A,A191,'OD 02-24'!E:E)</f>
        <v>0</v>
      </c>
      <c r="H191" s="14">
        <f t="shared" si="7"/>
        <v>0</v>
      </c>
      <c r="I191" s="14">
        <f t="shared" si="8"/>
        <v>0</v>
      </c>
      <c r="J191" s="8"/>
      <c r="M191" s="9">
        <f>VLOOKUP($A191,'BAL 01-24'!$A$3:$I$322,9,0)</f>
        <v>0</v>
      </c>
      <c r="N191" s="315">
        <f t="shared" si="6"/>
        <v>0</v>
      </c>
    </row>
    <row r="192" spans="1:14" s="9" customFormat="1" ht="11.25" x14ac:dyDescent="0.2">
      <c r="A192" s="10">
        <v>53205500</v>
      </c>
      <c r="B192" s="10" t="s">
        <v>127</v>
      </c>
      <c r="C192" s="11">
        <v>0</v>
      </c>
      <c r="D192" s="11">
        <v>0</v>
      </c>
      <c r="E192" s="11">
        <v>0</v>
      </c>
      <c r="F192" s="13">
        <f>SUMIF('OD 02-24'!A:A,A192,'OD 02-24'!D:D)</f>
        <v>0</v>
      </c>
      <c r="G192" s="13">
        <f>SUMIF('OD 02-24'!A:A,A192,'OD 02-24'!E:E)</f>
        <v>0</v>
      </c>
      <c r="H192" s="14">
        <f t="shared" si="7"/>
        <v>0</v>
      </c>
      <c r="I192" s="14">
        <f t="shared" si="8"/>
        <v>0</v>
      </c>
      <c r="J192" s="8"/>
      <c r="M192" s="9">
        <f>VLOOKUP($A192,'BAL 01-24'!$A$3:$I$322,9,0)</f>
        <v>0</v>
      </c>
      <c r="N192" s="315">
        <f t="shared" si="6"/>
        <v>0</v>
      </c>
    </row>
    <row r="193" spans="1:14" s="9" customFormat="1" ht="11.25" x14ac:dyDescent="0.2">
      <c r="A193" s="10">
        <v>53205600</v>
      </c>
      <c r="B193" s="10" t="s">
        <v>128</v>
      </c>
      <c r="C193" s="11">
        <v>-3678065.7860000227</v>
      </c>
      <c r="D193" s="11">
        <v>3664314.06</v>
      </c>
      <c r="E193" s="11">
        <v>3117557.7760000001</v>
      </c>
      <c r="F193" s="13">
        <f>SUMIF('OD 02-24'!A:A,A193,'OD 02-24'!D:D)</f>
        <v>0</v>
      </c>
      <c r="G193" s="13">
        <f>SUMIF('OD 02-24'!A:A,A193,'OD 02-24'!E:E)</f>
        <v>0</v>
      </c>
      <c r="H193" s="14">
        <f t="shared" si="7"/>
        <v>546756.28399999999</v>
      </c>
      <c r="I193" s="14">
        <f t="shared" si="8"/>
        <v>-3131309.5020000227</v>
      </c>
      <c r="J193" s="8" t="s">
        <v>115</v>
      </c>
      <c r="M193" s="9">
        <f>VLOOKUP($A193,'BAL 01-24'!$A$3:$I$322,9,0)</f>
        <v>-3669780.0230000229</v>
      </c>
      <c r="N193" s="315">
        <f t="shared" si="6"/>
        <v>-8285.7629999998026</v>
      </c>
    </row>
    <row r="194" spans="1:14" s="9" customFormat="1" ht="11.25" x14ac:dyDescent="0.2">
      <c r="A194" s="10">
        <v>53205700</v>
      </c>
      <c r="B194" s="10" t="s">
        <v>129</v>
      </c>
      <c r="C194" s="11">
        <v>4081990.3925971943</v>
      </c>
      <c r="D194" s="11">
        <v>1379304.855</v>
      </c>
      <c r="E194" s="11">
        <v>2937494.8610000005</v>
      </c>
      <c r="F194" s="13">
        <f>SUMIF('OD 02-24'!A:A,A194,'OD 02-24'!D:D)</f>
        <v>53911.612999999998</v>
      </c>
      <c r="G194" s="13">
        <f>SUMIF('OD 02-24'!A:A,A194,'OD 02-24'!E:E)</f>
        <v>65883.168000000005</v>
      </c>
      <c r="H194" s="14">
        <f t="shared" si="7"/>
        <v>-1570161.5610000007</v>
      </c>
      <c r="I194" s="14">
        <f t="shared" si="8"/>
        <v>2511828.8315971936</v>
      </c>
      <c r="J194" s="8" t="s">
        <v>121</v>
      </c>
      <c r="M194" s="9">
        <f>VLOOKUP($A194,'BAL 01-24'!$A$3:$I$322,9,0)</f>
        <v>4081990.3925971943</v>
      </c>
      <c r="N194" s="315">
        <f t="shared" si="6"/>
        <v>0</v>
      </c>
    </row>
    <row r="195" spans="1:14" s="9" customFormat="1" ht="11.25" x14ac:dyDescent="0.2">
      <c r="A195" s="10">
        <v>53205800</v>
      </c>
      <c r="B195" s="10" t="s">
        <v>130</v>
      </c>
      <c r="C195" s="11">
        <v>86989.993000000235</v>
      </c>
      <c r="D195" s="11">
        <v>0</v>
      </c>
      <c r="E195" s="11">
        <v>865.452</v>
      </c>
      <c r="F195" s="13">
        <f>SUMIF('OD 02-24'!A:A,A195,'OD 02-24'!D:D)</f>
        <v>55.765000000000001</v>
      </c>
      <c r="G195" s="13">
        <f>SUMIF('OD 02-24'!A:A,A195,'OD 02-24'!E:E)</f>
        <v>63.481000000000002</v>
      </c>
      <c r="H195" s="14">
        <f t="shared" si="7"/>
        <v>-873.16800000000001</v>
      </c>
      <c r="I195" s="14">
        <f t="shared" si="8"/>
        <v>86116.82500000023</v>
      </c>
      <c r="J195" s="8" t="s">
        <v>121</v>
      </c>
      <c r="M195" s="9">
        <f>VLOOKUP($A195,'BAL 01-24'!$A$3:$I$322,9,0)</f>
        <v>86989.993000000235</v>
      </c>
      <c r="N195" s="315">
        <f t="shared" si="6"/>
        <v>0</v>
      </c>
    </row>
    <row r="196" spans="1:14" s="9" customFormat="1" ht="11.25" x14ac:dyDescent="0.2">
      <c r="A196" s="10">
        <v>53207000</v>
      </c>
      <c r="B196" s="10" t="s">
        <v>352</v>
      </c>
      <c r="C196" s="11">
        <v>0</v>
      </c>
      <c r="D196" s="11">
        <v>0</v>
      </c>
      <c r="E196" s="11">
        <v>0</v>
      </c>
      <c r="F196" s="13">
        <f>SUMIF('OD 02-24'!A:A,A196,'OD 02-24'!D:D)</f>
        <v>0</v>
      </c>
      <c r="G196" s="13">
        <f>SUMIF('OD 02-24'!A:A,A196,'OD 02-24'!E:E)</f>
        <v>0</v>
      </c>
      <c r="H196" s="14">
        <f t="shared" si="7"/>
        <v>0</v>
      </c>
      <c r="I196" s="14">
        <f t="shared" si="8"/>
        <v>0</v>
      </c>
      <c r="J196" s="8"/>
      <c r="M196" s="9">
        <f>VLOOKUP($A196,'BAL 01-24'!$A$3:$I$322,9,0)</f>
        <v>0</v>
      </c>
      <c r="N196" s="315">
        <f t="shared" ref="N196:N259" si="9">+C196-M196</f>
        <v>0</v>
      </c>
    </row>
    <row r="197" spans="1:14" s="9" customFormat="1" ht="11.25" x14ac:dyDescent="0.2">
      <c r="A197" s="10">
        <v>53207100</v>
      </c>
      <c r="B197" s="10" t="s">
        <v>353</v>
      </c>
      <c r="C197" s="11">
        <v>0</v>
      </c>
      <c r="D197" s="11">
        <v>0</v>
      </c>
      <c r="E197" s="11">
        <v>0</v>
      </c>
      <c r="F197" s="13">
        <f>SUMIF('OD 02-24'!A:A,A197,'OD 02-24'!D:D)</f>
        <v>0</v>
      </c>
      <c r="G197" s="13">
        <f>SUMIF('OD 02-24'!A:A,A197,'OD 02-24'!E:E)</f>
        <v>0</v>
      </c>
      <c r="H197" s="14">
        <f t="shared" si="7"/>
        <v>0</v>
      </c>
      <c r="I197" s="14">
        <f t="shared" si="8"/>
        <v>0</v>
      </c>
      <c r="J197" s="8"/>
      <c r="M197" s="9">
        <f>VLOOKUP($A197,'BAL 01-24'!$A$3:$I$322,9,0)</f>
        <v>0</v>
      </c>
      <c r="N197" s="315">
        <f t="shared" si="9"/>
        <v>0</v>
      </c>
    </row>
    <row r="198" spans="1:14" s="9" customFormat="1" ht="11.25" x14ac:dyDescent="0.2">
      <c r="A198" s="10">
        <v>53207200</v>
      </c>
      <c r="B198" s="10" t="s">
        <v>354</v>
      </c>
      <c r="C198" s="11">
        <v>0</v>
      </c>
      <c r="D198" s="11">
        <v>0</v>
      </c>
      <c r="E198" s="11">
        <v>0</v>
      </c>
      <c r="F198" s="13">
        <f>SUMIF('OD 02-24'!A:A,A198,'OD 02-24'!D:D)</f>
        <v>0</v>
      </c>
      <c r="G198" s="13">
        <f>SUMIF('OD 02-24'!A:A,A198,'OD 02-24'!E:E)</f>
        <v>0</v>
      </c>
      <c r="H198" s="14">
        <f t="shared" si="7"/>
        <v>0</v>
      </c>
      <c r="I198" s="14">
        <f t="shared" si="8"/>
        <v>0</v>
      </c>
      <c r="J198" s="8"/>
      <c r="M198" s="9">
        <f>VLOOKUP($A198,'BAL 01-24'!$A$3:$I$322,9,0)</f>
        <v>0</v>
      </c>
      <c r="N198" s="315">
        <f t="shared" si="9"/>
        <v>0</v>
      </c>
    </row>
    <row r="199" spans="1:14" s="9" customFormat="1" ht="11.25" x14ac:dyDescent="0.2">
      <c r="A199" s="10">
        <v>53208000</v>
      </c>
      <c r="B199" s="10" t="s">
        <v>355</v>
      </c>
      <c r="C199" s="11">
        <v>485.66199999954551</v>
      </c>
      <c r="D199" s="11">
        <v>0</v>
      </c>
      <c r="E199" s="11">
        <v>0</v>
      </c>
      <c r="F199" s="13">
        <f>SUMIF('OD 02-24'!A:A,A199,'OD 02-24'!D:D)</f>
        <v>0</v>
      </c>
      <c r="G199" s="13">
        <f>SUMIF('OD 02-24'!A:A,A199,'OD 02-24'!E:E)</f>
        <v>0</v>
      </c>
      <c r="H199" s="14">
        <f t="shared" si="7"/>
        <v>0</v>
      </c>
      <c r="I199" s="14">
        <f t="shared" si="8"/>
        <v>485.66199999954551</v>
      </c>
      <c r="J199" s="8" t="s">
        <v>121</v>
      </c>
      <c r="M199" s="9">
        <f>VLOOKUP($A199,'BAL 01-24'!$A$3:$I$322,9,0)</f>
        <v>485.66199999954551</v>
      </c>
      <c r="N199" s="315">
        <f t="shared" si="9"/>
        <v>0</v>
      </c>
    </row>
    <row r="200" spans="1:14" s="9" customFormat="1" ht="11.25" x14ac:dyDescent="0.2">
      <c r="A200" s="10">
        <v>53208100</v>
      </c>
      <c r="B200" s="10" t="s">
        <v>356</v>
      </c>
      <c r="C200" s="11">
        <v>0</v>
      </c>
      <c r="D200" s="11">
        <v>0</v>
      </c>
      <c r="E200" s="11">
        <v>0</v>
      </c>
      <c r="F200" s="13">
        <f>SUMIF('OD 02-24'!A:A,A200,'OD 02-24'!D:D)</f>
        <v>0</v>
      </c>
      <c r="G200" s="13">
        <f>SUMIF('OD 02-24'!A:A,A200,'OD 02-24'!E:E)</f>
        <v>0</v>
      </c>
      <c r="H200" s="14">
        <f t="shared" si="7"/>
        <v>0</v>
      </c>
      <c r="I200" s="14">
        <f t="shared" si="8"/>
        <v>0</v>
      </c>
      <c r="J200" s="8"/>
      <c r="M200" s="9">
        <f>VLOOKUP($A200,'BAL 01-24'!$A$3:$I$322,9,0)</f>
        <v>0</v>
      </c>
      <c r="N200" s="315">
        <f t="shared" si="9"/>
        <v>0</v>
      </c>
    </row>
    <row r="201" spans="1:14" s="9" customFormat="1" ht="11.25" x14ac:dyDescent="0.2">
      <c r="A201" s="10">
        <v>53208500</v>
      </c>
      <c r="B201" s="10" t="s">
        <v>357</v>
      </c>
      <c r="C201" s="11">
        <v>0</v>
      </c>
      <c r="D201" s="11">
        <v>0</v>
      </c>
      <c r="E201" s="11">
        <v>0</v>
      </c>
      <c r="F201" s="13">
        <f>SUMIF('OD 02-24'!A:A,A201,'OD 02-24'!D:D)</f>
        <v>0</v>
      </c>
      <c r="G201" s="13">
        <f>SUMIF('OD 02-24'!A:A,A201,'OD 02-24'!E:E)</f>
        <v>0</v>
      </c>
      <c r="H201" s="14">
        <f t="shared" si="7"/>
        <v>0</v>
      </c>
      <c r="I201" s="14">
        <f t="shared" si="8"/>
        <v>0</v>
      </c>
      <c r="J201" s="8"/>
      <c r="M201" s="9">
        <f>VLOOKUP($A201,'BAL 01-24'!$A$3:$I$322,9,0)</f>
        <v>0</v>
      </c>
      <c r="N201" s="315">
        <f t="shared" si="9"/>
        <v>0</v>
      </c>
    </row>
    <row r="202" spans="1:14" s="9" customFormat="1" ht="11.25" x14ac:dyDescent="0.2">
      <c r="A202" s="10">
        <v>54000000</v>
      </c>
      <c r="B202" s="10" t="s">
        <v>358</v>
      </c>
      <c r="C202" s="11">
        <v>0</v>
      </c>
      <c r="D202" s="11">
        <v>0</v>
      </c>
      <c r="E202" s="11">
        <v>0</v>
      </c>
      <c r="F202" s="13">
        <f>SUMIF('OD 02-24'!A:A,A202,'OD 02-24'!D:D)</f>
        <v>0</v>
      </c>
      <c r="G202" s="13">
        <f>SUMIF('OD 02-24'!A:A,A202,'OD 02-24'!E:E)</f>
        <v>0</v>
      </c>
      <c r="H202" s="14">
        <f t="shared" si="7"/>
        <v>0</v>
      </c>
      <c r="I202" s="14">
        <f t="shared" si="8"/>
        <v>0</v>
      </c>
      <c r="J202" s="8"/>
      <c r="M202" s="9">
        <f>VLOOKUP($A202,'BAL 01-24'!$A$3:$I$322,9,0)</f>
        <v>0</v>
      </c>
      <c r="N202" s="315">
        <f t="shared" si="9"/>
        <v>0</v>
      </c>
    </row>
    <row r="203" spans="1:14" s="9" customFormat="1" ht="11.25" x14ac:dyDescent="0.2">
      <c r="A203" s="10">
        <v>54100000</v>
      </c>
      <c r="B203" s="10" t="s">
        <v>131</v>
      </c>
      <c r="C203" s="11">
        <v>4890.1500000000233</v>
      </c>
      <c r="D203" s="11">
        <v>8572.9330000000009</v>
      </c>
      <c r="E203" s="11">
        <v>8573.7330000000002</v>
      </c>
      <c r="F203" s="13">
        <f>SUMIF('OD 02-24'!A:A,A203,'OD 02-24'!D:D)</f>
        <v>0</v>
      </c>
      <c r="G203" s="13">
        <f>SUMIF('OD 02-24'!A:A,A203,'OD 02-24'!E:E)</f>
        <v>0</v>
      </c>
      <c r="H203" s="14">
        <f t="shared" si="7"/>
        <v>-0.7999999999992724</v>
      </c>
      <c r="I203" s="14">
        <f t="shared" si="8"/>
        <v>4889.350000000024</v>
      </c>
      <c r="J203" s="8" t="s">
        <v>115</v>
      </c>
      <c r="M203" s="9">
        <f>VLOOKUP($A203,'BAL 01-24'!$A$3:$I$322,9,0)</f>
        <v>4890.1500000000233</v>
      </c>
      <c r="N203" s="315">
        <f t="shared" si="9"/>
        <v>0</v>
      </c>
    </row>
    <row r="204" spans="1:14" s="9" customFormat="1" ht="11.25" x14ac:dyDescent="0.2">
      <c r="A204" s="10">
        <v>54300000</v>
      </c>
      <c r="B204" s="10" t="s">
        <v>359</v>
      </c>
      <c r="C204" s="11">
        <v>0</v>
      </c>
      <c r="D204" s="11">
        <v>0</v>
      </c>
      <c r="E204" s="11">
        <v>0</v>
      </c>
      <c r="F204" s="13">
        <f>SUMIF('OD 02-24'!A:A,A204,'OD 02-24'!D:D)</f>
        <v>0</v>
      </c>
      <c r="G204" s="13">
        <f>SUMIF('OD 02-24'!A:A,A204,'OD 02-24'!E:E)</f>
        <v>0</v>
      </c>
      <c r="H204" s="14">
        <f t="shared" ref="H204:H273" si="10">+D204+F204-E204-G204</f>
        <v>0</v>
      </c>
      <c r="I204" s="14">
        <f t="shared" ref="I204:I273" si="11">+H204+C204</f>
        <v>0</v>
      </c>
      <c r="J204" s="8"/>
      <c r="M204" s="9">
        <f>VLOOKUP($A204,'BAL 01-24'!$A$3:$I$322,9,0)</f>
        <v>0</v>
      </c>
      <c r="N204" s="315">
        <f t="shared" si="9"/>
        <v>0</v>
      </c>
    </row>
    <row r="205" spans="1:14" s="9" customFormat="1" ht="11.25" x14ac:dyDescent="0.2">
      <c r="A205" s="10">
        <v>55010000</v>
      </c>
      <c r="B205" s="10" t="s">
        <v>132</v>
      </c>
      <c r="C205" s="11">
        <v>3000</v>
      </c>
      <c r="D205" s="11">
        <v>0</v>
      </c>
      <c r="E205" s="11">
        <v>0</v>
      </c>
      <c r="F205" s="13">
        <f>SUMIF('OD 02-24'!A:A,A205,'OD 02-24'!D:D)</f>
        <v>0</v>
      </c>
      <c r="G205" s="13">
        <f>SUMIF('OD 02-24'!A:A,A205,'OD 02-24'!E:E)</f>
        <v>0</v>
      </c>
      <c r="H205" s="14">
        <f t="shared" si="10"/>
        <v>0</v>
      </c>
      <c r="I205" s="14">
        <f t="shared" si="11"/>
        <v>3000</v>
      </c>
      <c r="J205" s="8" t="s">
        <v>121</v>
      </c>
      <c r="M205" s="9">
        <f>VLOOKUP($A205,'BAL 01-24'!$A$3:$I$322,9,0)</f>
        <v>3000</v>
      </c>
      <c r="N205" s="315">
        <f t="shared" si="9"/>
        <v>0</v>
      </c>
    </row>
    <row r="206" spans="1:14" s="9" customFormat="1" ht="11.25" x14ac:dyDescent="0.2">
      <c r="A206" s="10">
        <v>55011000</v>
      </c>
      <c r="B206" s="10" t="s">
        <v>133</v>
      </c>
      <c r="C206" s="11">
        <v>0</v>
      </c>
      <c r="D206" s="11">
        <v>0</v>
      </c>
      <c r="E206" s="11">
        <v>0</v>
      </c>
      <c r="F206" s="13">
        <f>SUMIF('OD 02-24'!A:A,A206,'OD 02-24'!D:D)</f>
        <v>0</v>
      </c>
      <c r="G206" s="13">
        <f>SUMIF('OD 02-24'!A:A,A206,'OD 02-24'!E:E)</f>
        <v>0</v>
      </c>
      <c r="H206" s="14">
        <f t="shared" si="10"/>
        <v>0</v>
      </c>
      <c r="I206" s="14">
        <f t="shared" si="11"/>
        <v>0</v>
      </c>
      <c r="J206" s="8" t="s">
        <v>121</v>
      </c>
      <c r="M206" s="9">
        <f>VLOOKUP($A206,'BAL 01-24'!$A$3:$I$322,9,0)</f>
        <v>0</v>
      </c>
      <c r="N206" s="315">
        <f t="shared" si="9"/>
        <v>0</v>
      </c>
    </row>
    <row r="207" spans="1:14" s="9" customFormat="1" ht="11.25" x14ac:dyDescent="0.2">
      <c r="A207" s="10">
        <v>58000000</v>
      </c>
      <c r="B207" s="10" t="s">
        <v>134</v>
      </c>
      <c r="C207" s="11">
        <v>0</v>
      </c>
      <c r="D207" s="11">
        <v>0</v>
      </c>
      <c r="E207" s="11">
        <v>0</v>
      </c>
      <c r="F207" s="13">
        <f>SUMIF('OD 02-24'!A:A,A207,'OD 02-24'!D:D)</f>
        <v>0</v>
      </c>
      <c r="G207" s="13">
        <f>SUMIF('OD 02-24'!A:A,A207,'OD 02-24'!E:E)</f>
        <v>0</v>
      </c>
      <c r="H207" s="14">
        <f t="shared" si="10"/>
        <v>0</v>
      </c>
      <c r="I207" s="14">
        <f t="shared" si="11"/>
        <v>0</v>
      </c>
      <c r="J207" s="8" t="s">
        <v>121</v>
      </c>
      <c r="M207" s="9">
        <f>VLOOKUP($A207,'BAL 01-24'!$A$3:$I$322,9,0)</f>
        <v>0</v>
      </c>
      <c r="N207" s="315">
        <f t="shared" si="9"/>
        <v>0</v>
      </c>
    </row>
    <row r="208" spans="1:14" s="9" customFormat="1" ht="11.25" x14ac:dyDescent="0.2">
      <c r="A208" s="10">
        <v>58001000</v>
      </c>
      <c r="B208" s="10" t="s">
        <v>135</v>
      </c>
      <c r="C208" s="11">
        <v>-1.9999593496322632E-4</v>
      </c>
      <c r="D208" s="11">
        <v>0</v>
      </c>
      <c r="E208" s="11">
        <v>0</v>
      </c>
      <c r="F208" s="13">
        <f>SUMIF('OD 02-24'!A:A,A208,'OD 02-24'!D:D)</f>
        <v>0</v>
      </c>
      <c r="G208" s="13">
        <f>SUMIF('OD 02-24'!A:A,A208,'OD 02-24'!E:E)</f>
        <v>0</v>
      </c>
      <c r="H208" s="14">
        <f t="shared" si="10"/>
        <v>0</v>
      </c>
      <c r="I208" s="14">
        <f t="shared" si="11"/>
        <v>-1.9999593496322632E-4</v>
      </c>
      <c r="J208" s="8"/>
      <c r="M208" s="9">
        <f>VLOOKUP($A208,'BAL 01-24'!$A$3:$I$322,9,0)</f>
        <v>-1.9999593496322632E-4</v>
      </c>
      <c r="N208" s="315">
        <f t="shared" si="9"/>
        <v>0</v>
      </c>
    </row>
    <row r="209" spans="1:14" s="9" customFormat="1" ht="11.25" x14ac:dyDescent="0.2">
      <c r="A209" s="10">
        <v>58002000</v>
      </c>
      <c r="B209" s="10" t="s">
        <v>360</v>
      </c>
      <c r="C209" s="11">
        <v>0</v>
      </c>
      <c r="D209" s="11">
        <v>0</v>
      </c>
      <c r="E209" s="11">
        <v>0</v>
      </c>
      <c r="F209" s="13">
        <f>SUMIF('OD 02-24'!A:A,A209,'OD 02-24'!D:D)</f>
        <v>0</v>
      </c>
      <c r="G209" s="13">
        <f>SUMIF('OD 02-24'!A:A,A209,'OD 02-24'!E:E)</f>
        <v>0</v>
      </c>
      <c r="H209" s="14">
        <f t="shared" si="10"/>
        <v>0</v>
      </c>
      <c r="I209" s="14">
        <f t="shared" si="11"/>
        <v>0</v>
      </c>
      <c r="J209" s="8"/>
      <c r="M209" s="9">
        <f>VLOOKUP($A209,'BAL 01-24'!$A$3:$I$322,9,0)</f>
        <v>0</v>
      </c>
      <c r="N209" s="315">
        <f t="shared" si="9"/>
        <v>0</v>
      </c>
    </row>
    <row r="210" spans="1:14" s="9" customFormat="1" ht="11.25" x14ac:dyDescent="0.2">
      <c r="A210" s="10">
        <v>58003000</v>
      </c>
      <c r="B210" s="10" t="s">
        <v>136</v>
      </c>
      <c r="C210" s="11">
        <v>1.0100007057189941E-4</v>
      </c>
      <c r="D210" s="11">
        <v>524722.39700000011</v>
      </c>
      <c r="E210" s="11">
        <v>19972.397000000001</v>
      </c>
      <c r="F210" s="13">
        <f>SUMIF('OD 02-24'!A:A,A210,'OD 02-24'!D:D)</f>
        <v>0</v>
      </c>
      <c r="G210" s="13">
        <f>SUMIF('OD 02-24'!A:A,A210,'OD 02-24'!E:E)</f>
        <v>0</v>
      </c>
      <c r="H210" s="14">
        <f t="shared" si="10"/>
        <v>504750.00000000012</v>
      </c>
      <c r="I210" s="14">
        <f t="shared" si="11"/>
        <v>504750.00010100019</v>
      </c>
      <c r="J210" s="8"/>
      <c r="M210" s="9">
        <f>VLOOKUP($A210,'BAL 01-24'!$A$3:$I$322,9,0)</f>
        <v>1.0100007057189941E-4</v>
      </c>
      <c r="N210" s="315">
        <f t="shared" si="9"/>
        <v>0</v>
      </c>
    </row>
    <row r="211" spans="1:14" s="9" customFormat="1" ht="11.25" x14ac:dyDescent="0.2">
      <c r="A211" s="10">
        <v>58004000</v>
      </c>
      <c r="B211" s="10" t="s">
        <v>361</v>
      </c>
      <c r="C211" s="11">
        <v>0</v>
      </c>
      <c r="D211" s="11">
        <v>0</v>
      </c>
      <c r="E211" s="11">
        <v>0</v>
      </c>
      <c r="F211" s="13">
        <f>SUMIF('OD 02-24'!A:A,A211,'OD 02-24'!D:D)</f>
        <v>0</v>
      </c>
      <c r="G211" s="13">
        <f>SUMIF('OD 02-24'!A:A,A211,'OD 02-24'!E:E)</f>
        <v>0</v>
      </c>
      <c r="H211" s="14">
        <f t="shared" si="10"/>
        <v>0</v>
      </c>
      <c r="I211" s="14">
        <f t="shared" si="11"/>
        <v>0</v>
      </c>
      <c r="J211" s="8"/>
      <c r="M211" s="9">
        <f>VLOOKUP($A211,'BAL 01-24'!$A$3:$I$322,9,0)</f>
        <v>0</v>
      </c>
      <c r="N211" s="315">
        <f t="shared" si="9"/>
        <v>0</v>
      </c>
    </row>
    <row r="212" spans="1:14" s="9" customFormat="1" ht="11.25" x14ac:dyDescent="0.2">
      <c r="A212" s="10">
        <v>58005000</v>
      </c>
      <c r="B212" s="10" t="s">
        <v>362</v>
      </c>
      <c r="C212" s="11">
        <v>3.8483738899230957E-4</v>
      </c>
      <c r="D212" s="11">
        <v>1426318.6030000001</v>
      </c>
      <c r="E212" s="11">
        <v>1426318.6030000001</v>
      </c>
      <c r="F212" s="13">
        <f>SUMIF('OD 02-24'!A:A,A212,'OD 02-24'!D:D)</f>
        <v>0</v>
      </c>
      <c r="G212" s="13">
        <f>SUMIF('OD 02-24'!A:A,A212,'OD 02-24'!E:E)</f>
        <v>0</v>
      </c>
      <c r="H212" s="14">
        <f t="shared" si="10"/>
        <v>0</v>
      </c>
      <c r="I212" s="14">
        <f t="shared" si="11"/>
        <v>3.8483738899230957E-4</v>
      </c>
      <c r="J212" s="8" t="s">
        <v>121</v>
      </c>
      <c r="M212" s="9">
        <f>VLOOKUP($A212,'BAL 01-24'!$A$3:$I$322,9,0)</f>
        <v>3.8483738899230957E-4</v>
      </c>
      <c r="N212" s="315">
        <f t="shared" si="9"/>
        <v>0</v>
      </c>
    </row>
    <row r="213" spans="1:14" s="9" customFormat="1" ht="11.25" x14ac:dyDescent="0.2">
      <c r="A213" s="10">
        <v>60110110</v>
      </c>
      <c r="B213" s="10" t="s">
        <v>403</v>
      </c>
      <c r="C213" s="11">
        <v>-292718.603</v>
      </c>
      <c r="D213" s="11">
        <v>0</v>
      </c>
      <c r="E213" s="11">
        <v>0</v>
      </c>
      <c r="F213" s="13">
        <f>SUMIF('OD 02-24'!A:A,A213,'OD 02-24'!D:D)</f>
        <v>585437.20600000001</v>
      </c>
      <c r="G213" s="13">
        <f>SUMIF('OD 02-24'!A:A,A213,'OD 02-24'!E:E)</f>
        <v>292718.603</v>
      </c>
      <c r="H213" s="14">
        <f>+D213+F213-E213-G213</f>
        <v>292718.603</v>
      </c>
      <c r="I213" s="14">
        <f>+H213+C213</f>
        <v>0</v>
      </c>
      <c r="J213" s="8" t="s">
        <v>138</v>
      </c>
      <c r="K213" s="9" t="s">
        <v>509</v>
      </c>
      <c r="M213" s="9">
        <f>VLOOKUP($A213,'BAL 01-24'!$A$3:$I$322,9,0)</f>
        <v>-292718.603</v>
      </c>
      <c r="N213" s="315">
        <f t="shared" si="9"/>
        <v>0</v>
      </c>
    </row>
    <row r="214" spans="1:14" s="9" customFormat="1" ht="11.25" x14ac:dyDescent="0.2">
      <c r="A214" s="10">
        <v>60110212</v>
      </c>
      <c r="B214" s="10" t="s">
        <v>7391</v>
      </c>
      <c r="C214" s="11">
        <v>0</v>
      </c>
      <c r="D214" s="11">
        <v>5790.6584999999995</v>
      </c>
      <c r="E214" s="11">
        <v>0</v>
      </c>
      <c r="F214" s="13">
        <f>SUMIF('OD 02-24'!A:A,A214,'OD 02-24'!D:D)</f>
        <v>0</v>
      </c>
      <c r="G214" s="13">
        <f>SUMIF('OD 02-24'!A:A,A214,'OD 02-24'!E:E)</f>
        <v>0</v>
      </c>
      <c r="H214" s="14">
        <f>+D214+F214-E214-G214</f>
        <v>5790.6584999999995</v>
      </c>
      <c r="I214" s="14">
        <f>+H214+C214</f>
        <v>5790.6584999999995</v>
      </c>
      <c r="J214" s="8" t="s">
        <v>138</v>
      </c>
      <c r="K214" s="9" t="s">
        <v>509</v>
      </c>
      <c r="M214" s="9" t="e">
        <f>VLOOKUP($A214,'BAL 01-24'!$A$3:$I$322,9,0)</f>
        <v>#N/A</v>
      </c>
      <c r="N214" s="315" t="e">
        <f t="shared" si="9"/>
        <v>#N/A</v>
      </c>
    </row>
    <row r="215" spans="1:14" s="9" customFormat="1" ht="11.25" x14ac:dyDescent="0.2">
      <c r="A215" s="10">
        <v>60110210</v>
      </c>
      <c r="B215" s="10" t="s">
        <v>137</v>
      </c>
      <c r="C215" s="11">
        <v>138288.4100685</v>
      </c>
      <c r="D215" s="11">
        <v>155840.42450250001</v>
      </c>
      <c r="E215" s="11">
        <v>0</v>
      </c>
      <c r="F215" s="13">
        <f>SUMIF('OD 02-24'!A:A,A215,'OD 02-24'!D:D)</f>
        <v>0</v>
      </c>
      <c r="G215" s="13">
        <f>SUMIF('OD 02-24'!A:A,A215,'OD 02-24'!E:E)</f>
        <v>0</v>
      </c>
      <c r="H215" s="14">
        <f t="shared" si="10"/>
        <v>155840.42450250001</v>
      </c>
      <c r="I215" s="14">
        <f t="shared" si="11"/>
        <v>294128.83457100001</v>
      </c>
      <c r="J215" s="8" t="s">
        <v>138</v>
      </c>
      <c r="K215" s="9" t="s">
        <v>509</v>
      </c>
      <c r="M215" s="9">
        <f>VLOOKUP($A215,'BAL 01-24'!$A$3:$I$322,9,0)</f>
        <v>138288.4100685</v>
      </c>
      <c r="N215" s="315">
        <f t="shared" si="9"/>
        <v>0</v>
      </c>
    </row>
    <row r="216" spans="1:14" s="9" customFormat="1" ht="11.25" x14ac:dyDescent="0.2">
      <c r="A216" s="10">
        <v>60110211</v>
      </c>
      <c r="B216" s="10" t="s">
        <v>363</v>
      </c>
      <c r="C216" s="11">
        <v>2639.0803185000004</v>
      </c>
      <c r="D216" s="11">
        <v>29269.942451999999</v>
      </c>
      <c r="E216" s="11">
        <v>0</v>
      </c>
      <c r="F216" s="13">
        <f>SUMIF('OD 02-24'!A:A,A216,'OD 02-24'!D:D)</f>
        <v>0</v>
      </c>
      <c r="G216" s="13">
        <f>SUMIF('OD 02-24'!A:A,A216,'OD 02-24'!E:E)</f>
        <v>0</v>
      </c>
      <c r="H216" s="14">
        <f t="shared" si="10"/>
        <v>29269.942451999999</v>
      </c>
      <c r="I216" s="14">
        <f t="shared" si="11"/>
        <v>31909.0227705</v>
      </c>
      <c r="J216" s="8" t="s">
        <v>138</v>
      </c>
      <c r="K216" s="9" t="s">
        <v>509</v>
      </c>
      <c r="M216" s="9">
        <f>VLOOKUP($A216,'BAL 01-24'!$A$3:$I$322,9,0)</f>
        <v>2639.0803185000004</v>
      </c>
      <c r="N216" s="315">
        <f t="shared" si="9"/>
        <v>0</v>
      </c>
    </row>
    <row r="217" spans="1:14" s="9" customFormat="1" ht="11.25" x14ac:dyDescent="0.2">
      <c r="A217" s="10">
        <v>60110213</v>
      </c>
      <c r="B217" s="10" t="s">
        <v>364</v>
      </c>
      <c r="C217" s="11">
        <v>2787.6</v>
      </c>
      <c r="D217" s="11">
        <v>969.6</v>
      </c>
      <c r="E217" s="11">
        <v>0</v>
      </c>
      <c r="F217" s="13">
        <f>SUMIF('OD 02-24'!A:A,A217,'OD 02-24'!D:D)</f>
        <v>0</v>
      </c>
      <c r="G217" s="13">
        <f>SUMIF('OD 02-24'!A:A,A217,'OD 02-24'!E:E)</f>
        <v>0</v>
      </c>
      <c r="H217" s="14">
        <f t="shared" si="10"/>
        <v>969.6</v>
      </c>
      <c r="I217" s="14">
        <f t="shared" si="11"/>
        <v>3757.2</v>
      </c>
      <c r="J217" s="8" t="s">
        <v>138</v>
      </c>
      <c r="K217" s="9" t="s">
        <v>509</v>
      </c>
      <c r="M217" s="9">
        <f>VLOOKUP($A217,'BAL 01-24'!$A$3:$I$322,9,0)</f>
        <v>2787.6</v>
      </c>
      <c r="N217" s="315">
        <f t="shared" si="9"/>
        <v>0</v>
      </c>
    </row>
    <row r="218" spans="1:14" s="9" customFormat="1" ht="11.25" x14ac:dyDescent="0.2">
      <c r="A218" s="10">
        <v>60110220</v>
      </c>
      <c r="B218" s="10" t="s">
        <v>139</v>
      </c>
      <c r="C218" s="11">
        <v>202850.37257999997</v>
      </c>
      <c r="D218" s="11">
        <v>161773.09600799999</v>
      </c>
      <c r="E218" s="11">
        <v>12546.76</v>
      </c>
      <c r="F218" s="13">
        <f>SUMIF('OD 02-24'!A:A,A218,'OD 02-24'!D:D)</f>
        <v>0</v>
      </c>
      <c r="G218" s="13">
        <f>SUMIF('OD 02-24'!A:A,A218,'OD 02-24'!E:E)</f>
        <v>0</v>
      </c>
      <c r="H218" s="14">
        <f t="shared" si="10"/>
        <v>149226.33600799998</v>
      </c>
      <c r="I218" s="14">
        <f t="shared" si="11"/>
        <v>352076.70858799992</v>
      </c>
      <c r="J218" s="8" t="s">
        <v>138</v>
      </c>
      <c r="K218" s="9" t="s">
        <v>509</v>
      </c>
      <c r="M218" s="9">
        <f>VLOOKUP($A218,'BAL 01-24'!$A$3:$I$322,9,0)</f>
        <v>202850.37257999997</v>
      </c>
      <c r="N218" s="315">
        <f t="shared" si="9"/>
        <v>0</v>
      </c>
    </row>
    <row r="219" spans="1:14" s="9" customFormat="1" ht="11.25" x14ac:dyDescent="0.2">
      <c r="A219" s="10">
        <v>60110230</v>
      </c>
      <c r="B219" s="10" t="s">
        <v>7566</v>
      </c>
      <c r="C219" s="11">
        <v>0</v>
      </c>
      <c r="D219" s="11">
        <v>71024.114700000006</v>
      </c>
      <c r="E219" s="11">
        <v>0</v>
      </c>
      <c r="F219" s="13">
        <f>SUMIF('OD 02-24'!A:A,A219,'OD 02-24'!D:D)</f>
        <v>0</v>
      </c>
      <c r="G219" s="13">
        <f>SUMIF('OD 02-24'!A:A,A219,'OD 02-24'!E:E)</f>
        <v>0</v>
      </c>
      <c r="H219" s="14">
        <f t="shared" ref="H219:H220" si="12">+D219+F219-E219-G219</f>
        <v>71024.114700000006</v>
      </c>
      <c r="I219" s="14">
        <f t="shared" ref="I219:I220" si="13">+H219+C219</f>
        <v>71024.114700000006</v>
      </c>
      <c r="J219" s="8" t="s">
        <v>138</v>
      </c>
      <c r="K219" s="9" t="s">
        <v>509</v>
      </c>
      <c r="M219" s="9" t="e">
        <f>VLOOKUP($A219,'BAL 01-24'!$A$3:$I$322,9,0)</f>
        <v>#N/A</v>
      </c>
      <c r="N219" s="315" t="e">
        <f t="shared" si="9"/>
        <v>#N/A</v>
      </c>
    </row>
    <row r="220" spans="1:14" s="9" customFormat="1" ht="11.25" x14ac:dyDescent="0.2">
      <c r="A220" s="10">
        <v>60110300</v>
      </c>
      <c r="B220" s="10" t="s">
        <v>140</v>
      </c>
      <c r="C220" s="11">
        <v>11507.364984000002</v>
      </c>
      <c r="D220" s="11">
        <v>2135.7629999999999</v>
      </c>
      <c r="E220" s="11">
        <v>7802.6440000000002</v>
      </c>
      <c r="F220" s="13">
        <f>SUMIF('OD 02-24'!A:A,A220,'OD 02-24'!D:D)</f>
        <v>0</v>
      </c>
      <c r="G220" s="13">
        <f>SUMIF('OD 02-24'!A:A,A220,'OD 02-24'!E:E)</f>
        <v>0</v>
      </c>
      <c r="H220" s="14">
        <f t="shared" si="12"/>
        <v>-5666.8810000000003</v>
      </c>
      <c r="I220" s="14">
        <f t="shared" si="13"/>
        <v>5840.4839840000013</v>
      </c>
      <c r="J220" s="8" t="s">
        <v>138</v>
      </c>
      <c r="K220" s="9" t="s">
        <v>509</v>
      </c>
      <c r="M220" s="9">
        <f>VLOOKUP($A220,'BAL 01-24'!$A$3:$I$322,9,0)</f>
        <v>11507.364984000002</v>
      </c>
      <c r="N220" s="315">
        <f t="shared" si="9"/>
        <v>0</v>
      </c>
    </row>
    <row r="221" spans="1:14" s="9" customFormat="1" ht="11.25" x14ac:dyDescent="0.2">
      <c r="A221" s="10">
        <v>60110310</v>
      </c>
      <c r="B221" s="10" t="s">
        <v>141</v>
      </c>
      <c r="C221" s="11">
        <v>0</v>
      </c>
      <c r="D221" s="11">
        <v>40744.080000000002</v>
      </c>
      <c r="E221" s="11">
        <v>0</v>
      </c>
      <c r="F221" s="13">
        <f>SUMIF('OD 02-24'!A:A,A221,'OD 02-24'!D:D)</f>
        <v>0</v>
      </c>
      <c r="G221" s="13">
        <f>SUMIF('OD 02-24'!A:A,A221,'OD 02-24'!E:E)</f>
        <v>0</v>
      </c>
      <c r="H221" s="14">
        <f t="shared" si="10"/>
        <v>40744.080000000002</v>
      </c>
      <c r="I221" s="14">
        <f t="shared" si="11"/>
        <v>40744.080000000002</v>
      </c>
      <c r="J221" s="8" t="s">
        <v>138</v>
      </c>
      <c r="K221" s="9" t="s">
        <v>509</v>
      </c>
      <c r="M221" s="9">
        <f>VLOOKUP($A221,'BAL 01-24'!$A$3:$I$322,9,0)</f>
        <v>0</v>
      </c>
      <c r="N221" s="315">
        <f t="shared" si="9"/>
        <v>0</v>
      </c>
    </row>
    <row r="222" spans="1:14" s="9" customFormat="1" ht="11.25" x14ac:dyDescent="0.2">
      <c r="A222" s="10">
        <v>60110320</v>
      </c>
      <c r="B222" s="10" t="s">
        <v>142</v>
      </c>
      <c r="C222" s="11">
        <v>11277.705238</v>
      </c>
      <c r="D222" s="11">
        <v>7802.5160000000005</v>
      </c>
      <c r="E222" s="11">
        <v>0</v>
      </c>
      <c r="F222" s="13">
        <f>SUMIF('OD 02-24'!A:A,A222,'OD 02-24'!D:D)</f>
        <v>0</v>
      </c>
      <c r="G222" s="13">
        <f>SUMIF('OD 02-24'!A:A,A222,'OD 02-24'!E:E)</f>
        <v>0</v>
      </c>
      <c r="H222" s="14">
        <f t="shared" si="10"/>
        <v>7802.5160000000005</v>
      </c>
      <c r="I222" s="14">
        <f t="shared" si="11"/>
        <v>19080.221238000002</v>
      </c>
      <c r="J222" s="8" t="s">
        <v>138</v>
      </c>
      <c r="K222" s="9" t="s">
        <v>509</v>
      </c>
      <c r="M222" s="9">
        <f>VLOOKUP($A222,'BAL 01-24'!$A$3:$I$322,9,0)</f>
        <v>11277.705238</v>
      </c>
      <c r="N222" s="315">
        <f t="shared" si="9"/>
        <v>0</v>
      </c>
    </row>
    <row r="223" spans="1:14" s="9" customFormat="1" ht="11.25" x14ac:dyDescent="0.2">
      <c r="A223" s="10">
        <v>60110330</v>
      </c>
      <c r="B223" s="10" t="s">
        <v>143</v>
      </c>
      <c r="C223" s="11">
        <v>0</v>
      </c>
      <c r="D223" s="11">
        <v>18757.082000000002</v>
      </c>
      <c r="E223" s="11">
        <v>0</v>
      </c>
      <c r="F223" s="13">
        <f>SUMIF('OD 02-24'!A:A,A223,'OD 02-24'!D:D)</f>
        <v>0</v>
      </c>
      <c r="G223" s="13">
        <f>SUMIF('OD 02-24'!A:A,A223,'OD 02-24'!E:E)</f>
        <v>0</v>
      </c>
      <c r="H223" s="14">
        <f t="shared" si="10"/>
        <v>18757.082000000002</v>
      </c>
      <c r="I223" s="14">
        <f t="shared" si="11"/>
        <v>18757.082000000002</v>
      </c>
      <c r="J223" s="8" t="s">
        <v>138</v>
      </c>
      <c r="K223" s="9" t="s">
        <v>509</v>
      </c>
      <c r="M223" s="9">
        <f>VLOOKUP($A223,'BAL 01-24'!$A$3:$I$322,9,0)</f>
        <v>0</v>
      </c>
      <c r="N223" s="315">
        <f t="shared" si="9"/>
        <v>0</v>
      </c>
    </row>
    <row r="224" spans="1:14" s="9" customFormat="1" ht="11.25" x14ac:dyDescent="0.2">
      <c r="A224" s="10">
        <v>60110350</v>
      </c>
      <c r="B224" s="10" t="s">
        <v>261</v>
      </c>
      <c r="C224" s="11">
        <v>0</v>
      </c>
      <c r="D224" s="11">
        <v>0</v>
      </c>
      <c r="E224" s="11">
        <v>0</v>
      </c>
      <c r="F224" s="13">
        <f>SUMIF('OD 02-24'!A:A,A224,'OD 02-24'!D:D)</f>
        <v>0</v>
      </c>
      <c r="G224" s="13">
        <f>SUMIF('OD 02-24'!A:A,A224,'OD 02-24'!E:E)</f>
        <v>0</v>
      </c>
      <c r="H224" s="14">
        <f t="shared" si="10"/>
        <v>0</v>
      </c>
      <c r="I224" s="14">
        <f t="shared" si="11"/>
        <v>0</v>
      </c>
      <c r="J224" s="8" t="s">
        <v>138</v>
      </c>
      <c r="K224" s="9" t="s">
        <v>509</v>
      </c>
      <c r="M224" s="9">
        <f>VLOOKUP($A224,'BAL 01-24'!$A$3:$I$322,9,0)</f>
        <v>0</v>
      </c>
      <c r="N224" s="315">
        <f t="shared" si="9"/>
        <v>0</v>
      </c>
    </row>
    <row r="225" spans="1:14" s="9" customFormat="1" ht="11.25" x14ac:dyDescent="0.2">
      <c r="A225" s="10">
        <v>60110500</v>
      </c>
      <c r="B225" s="10" t="s">
        <v>144</v>
      </c>
      <c r="C225" s="11">
        <v>3677.7440000000001</v>
      </c>
      <c r="D225" s="11">
        <v>1842.2249999999999</v>
      </c>
      <c r="E225" s="11">
        <v>0</v>
      </c>
      <c r="F225" s="13">
        <f>SUMIF('OD 02-24'!A:A,A225,'OD 02-24'!D:D)</f>
        <v>0</v>
      </c>
      <c r="G225" s="13">
        <f>SUMIF('OD 02-24'!A:A,A225,'OD 02-24'!E:E)</f>
        <v>3677.7440000000001</v>
      </c>
      <c r="H225" s="14">
        <f t="shared" si="10"/>
        <v>-1835.5190000000002</v>
      </c>
      <c r="I225" s="14">
        <f t="shared" si="11"/>
        <v>1842.2249999999999</v>
      </c>
      <c r="J225" s="8" t="s">
        <v>138</v>
      </c>
      <c r="K225" s="9" t="s">
        <v>509</v>
      </c>
      <c r="M225" s="9">
        <f>VLOOKUP($A225,'BAL 01-24'!$A$3:$I$322,9,0)</f>
        <v>3677.7440000000001</v>
      </c>
      <c r="N225" s="315">
        <f t="shared" si="9"/>
        <v>0</v>
      </c>
    </row>
    <row r="226" spans="1:14" s="9" customFormat="1" ht="11.25" x14ac:dyDescent="0.2">
      <c r="A226" s="10">
        <v>60110600</v>
      </c>
      <c r="B226" s="10" t="s">
        <v>145</v>
      </c>
      <c r="C226" s="11">
        <v>8373.5470000000005</v>
      </c>
      <c r="D226" s="11">
        <v>6550.652</v>
      </c>
      <c r="E226" s="11">
        <v>0</v>
      </c>
      <c r="F226" s="13">
        <f>SUMIF('OD 02-24'!A:A,A226,'OD 02-24'!D:D)</f>
        <v>0</v>
      </c>
      <c r="G226" s="13">
        <f>SUMIF('OD 02-24'!A:A,A226,'OD 02-24'!E:E)</f>
        <v>0</v>
      </c>
      <c r="H226" s="14">
        <f t="shared" si="10"/>
        <v>6550.652</v>
      </c>
      <c r="I226" s="14">
        <f t="shared" si="11"/>
        <v>14924.199000000001</v>
      </c>
      <c r="J226" s="8" t="s">
        <v>138</v>
      </c>
      <c r="K226" s="9" t="s">
        <v>509</v>
      </c>
      <c r="M226" s="9">
        <f>VLOOKUP($A226,'BAL 01-24'!$A$3:$I$322,9,0)</f>
        <v>8373.5470000000005</v>
      </c>
      <c r="N226" s="315">
        <f t="shared" si="9"/>
        <v>0</v>
      </c>
    </row>
    <row r="227" spans="1:14" s="9" customFormat="1" ht="11.25" x14ac:dyDescent="0.2">
      <c r="A227" s="10">
        <v>60110700</v>
      </c>
      <c r="B227" s="10" t="s">
        <v>146</v>
      </c>
      <c r="C227" s="11">
        <v>0</v>
      </c>
      <c r="D227" s="11">
        <v>0</v>
      </c>
      <c r="E227" s="11">
        <v>0</v>
      </c>
      <c r="F227" s="13">
        <f>SUMIF('OD 02-24'!A:A,A227,'OD 02-24'!D:D)</f>
        <v>0</v>
      </c>
      <c r="G227" s="13">
        <f>SUMIF('OD 02-24'!A:A,A227,'OD 02-24'!E:E)</f>
        <v>0</v>
      </c>
      <c r="H227" s="14">
        <f t="shared" si="10"/>
        <v>0</v>
      </c>
      <c r="I227" s="14">
        <f t="shared" si="11"/>
        <v>0</v>
      </c>
      <c r="J227" s="8" t="s">
        <v>138</v>
      </c>
      <c r="K227" s="9" t="s">
        <v>509</v>
      </c>
      <c r="M227" s="9">
        <f>VLOOKUP($A227,'BAL 01-24'!$A$3:$I$322,9,0)</f>
        <v>0</v>
      </c>
      <c r="N227" s="315">
        <f t="shared" si="9"/>
        <v>0</v>
      </c>
    </row>
    <row r="228" spans="1:14" s="9" customFormat="1" ht="11.25" x14ac:dyDescent="0.2">
      <c r="A228" s="10">
        <v>60110900</v>
      </c>
      <c r="B228" s="10" t="s">
        <v>147</v>
      </c>
      <c r="C228" s="11">
        <v>15034.050999999999</v>
      </c>
      <c r="D228" s="11">
        <v>35698.786999999997</v>
      </c>
      <c r="E228" s="11">
        <v>0</v>
      </c>
      <c r="F228" s="13">
        <f>SUMIF('OD 02-24'!A:A,A228,'OD 02-24'!D:D)</f>
        <v>29000.5</v>
      </c>
      <c r="G228" s="13">
        <f>SUMIF('OD 02-24'!A:A,A228,'OD 02-24'!E:E)</f>
        <v>3590.55</v>
      </c>
      <c r="H228" s="14">
        <f>+D228+F228-E228-G228</f>
        <v>61108.736999999994</v>
      </c>
      <c r="I228" s="14">
        <f>+H228+C228</f>
        <v>76142.788</v>
      </c>
      <c r="J228" s="8" t="s">
        <v>138</v>
      </c>
      <c r="K228" s="9" t="s">
        <v>509</v>
      </c>
      <c r="M228" s="9">
        <f>VLOOKUP($A228,'BAL 01-24'!$A$3:$I$322,9,0)</f>
        <v>15034.050999999999</v>
      </c>
      <c r="N228" s="315">
        <f t="shared" si="9"/>
        <v>0</v>
      </c>
    </row>
    <row r="229" spans="1:14" s="9" customFormat="1" ht="11.25" x14ac:dyDescent="0.2">
      <c r="A229" s="10">
        <v>60111000</v>
      </c>
      <c r="B229" s="10" t="s">
        <v>148</v>
      </c>
      <c r="C229" s="11">
        <v>0</v>
      </c>
      <c r="D229" s="11">
        <v>0</v>
      </c>
      <c r="E229" s="11">
        <v>0</v>
      </c>
      <c r="F229" s="13">
        <f>SUMIF('OD 02-24'!A:A,A229,'OD 02-24'!D:D)</f>
        <v>0</v>
      </c>
      <c r="G229" s="13">
        <f>SUMIF('OD 02-24'!A:A,A229,'OD 02-24'!E:E)</f>
        <v>0</v>
      </c>
      <c r="H229" s="14">
        <f t="shared" si="10"/>
        <v>0</v>
      </c>
      <c r="I229" s="14">
        <f t="shared" si="11"/>
        <v>0</v>
      </c>
      <c r="J229" s="8" t="s">
        <v>138</v>
      </c>
      <c r="K229" s="9" t="s">
        <v>509</v>
      </c>
      <c r="M229" s="9">
        <f>VLOOKUP($A229,'BAL 01-24'!$A$3:$I$322,9,0)</f>
        <v>0</v>
      </c>
      <c r="N229" s="315">
        <f t="shared" si="9"/>
        <v>0</v>
      </c>
    </row>
    <row r="230" spans="1:14" s="9" customFormat="1" ht="11.25" x14ac:dyDescent="0.2">
      <c r="A230" s="10">
        <v>60111010</v>
      </c>
      <c r="B230" s="10" t="s">
        <v>393</v>
      </c>
      <c r="C230" s="11">
        <v>404</v>
      </c>
      <c r="D230" s="11">
        <v>404</v>
      </c>
      <c r="E230" s="11">
        <v>0</v>
      </c>
      <c r="F230" s="13">
        <f>SUMIF('OD 02-24'!A:A,A230,'OD 02-24'!D:D)</f>
        <v>0</v>
      </c>
      <c r="G230" s="13">
        <f>SUMIF('OD 02-24'!A:A,A230,'OD 02-24'!E:E)</f>
        <v>0</v>
      </c>
      <c r="H230" s="14">
        <f t="shared" si="10"/>
        <v>404</v>
      </c>
      <c r="I230" s="14">
        <f t="shared" si="11"/>
        <v>808</v>
      </c>
      <c r="J230" s="8" t="s">
        <v>138</v>
      </c>
      <c r="K230" s="9" t="s">
        <v>509</v>
      </c>
      <c r="M230" s="9">
        <f>VLOOKUP($A230,'BAL 01-24'!$A$3:$I$322,9,0)</f>
        <v>404</v>
      </c>
      <c r="N230" s="315">
        <f t="shared" si="9"/>
        <v>0</v>
      </c>
    </row>
    <row r="231" spans="1:14" s="9" customFormat="1" ht="11.25" x14ac:dyDescent="0.2">
      <c r="A231" s="10">
        <v>60120100</v>
      </c>
      <c r="B231" s="10" t="s">
        <v>149</v>
      </c>
      <c r="C231" s="11">
        <v>124638.21303499999</v>
      </c>
      <c r="D231" s="11">
        <v>0</v>
      </c>
      <c r="E231" s="11">
        <v>0</v>
      </c>
      <c r="F231" s="13">
        <f>SUMIF('OD 02-24'!A:A,A231,'OD 02-24'!D:D)</f>
        <v>0</v>
      </c>
      <c r="G231" s="13">
        <f>SUMIF('OD 02-24'!A:A,A231,'OD 02-24'!E:E)</f>
        <v>0</v>
      </c>
      <c r="H231" s="14">
        <f t="shared" si="10"/>
        <v>0</v>
      </c>
      <c r="I231" s="14">
        <f t="shared" si="11"/>
        <v>124638.21303499999</v>
      </c>
      <c r="J231" s="8" t="s">
        <v>138</v>
      </c>
      <c r="K231" s="9" t="s">
        <v>509</v>
      </c>
      <c r="M231" s="9">
        <f>VLOOKUP($A231,'BAL 01-24'!$A$3:$I$322,9,0)</f>
        <v>124638.21303499999</v>
      </c>
      <c r="N231" s="315">
        <f t="shared" si="9"/>
        <v>0</v>
      </c>
    </row>
    <row r="232" spans="1:14" s="9" customFormat="1" ht="11.25" x14ac:dyDescent="0.2">
      <c r="A232" s="10">
        <v>60120300</v>
      </c>
      <c r="B232" s="10" t="s">
        <v>150</v>
      </c>
      <c r="C232" s="11">
        <v>1233791.27</v>
      </c>
      <c r="D232" s="11">
        <v>1105611.8500000001</v>
      </c>
      <c r="E232" s="11">
        <v>70770</v>
      </c>
      <c r="F232" s="13">
        <f>SUMIF('OD 02-24'!A:A,A232,'OD 02-24'!D:D)</f>
        <v>85578.85</v>
      </c>
      <c r="G232" s="13">
        <f>SUMIF('OD 02-24'!A:A,A232,'OD 02-24'!E:E)</f>
        <v>115187.1</v>
      </c>
      <c r="H232" s="14">
        <f t="shared" si="10"/>
        <v>1005233.6000000002</v>
      </c>
      <c r="I232" s="14">
        <f t="shared" si="11"/>
        <v>2239024.87</v>
      </c>
      <c r="J232" s="8" t="s">
        <v>138</v>
      </c>
      <c r="K232" s="9" t="s">
        <v>509</v>
      </c>
      <c r="M232" s="9">
        <f>VLOOKUP($A232,'BAL 01-24'!$A$3:$I$322,9,0)</f>
        <v>1233791.27</v>
      </c>
      <c r="N232" s="315">
        <f t="shared" si="9"/>
        <v>0</v>
      </c>
    </row>
    <row r="233" spans="1:14" s="9" customFormat="1" ht="11.25" x14ac:dyDescent="0.2">
      <c r="A233" s="10">
        <v>60120400</v>
      </c>
      <c r="B233" s="10" t="s">
        <v>365</v>
      </c>
      <c r="C233" s="11">
        <v>21488.5</v>
      </c>
      <c r="D233" s="11">
        <v>0</v>
      </c>
      <c r="E233" s="11">
        <v>0</v>
      </c>
      <c r="F233" s="13">
        <f>SUMIF('OD 02-24'!A:A,A233,'OD 02-24'!D:D)</f>
        <v>0</v>
      </c>
      <c r="G233" s="13">
        <f>SUMIF('OD 02-24'!A:A,A233,'OD 02-24'!E:E)</f>
        <v>0</v>
      </c>
      <c r="H233" s="14">
        <f t="shared" si="10"/>
        <v>0</v>
      </c>
      <c r="I233" s="14">
        <f t="shared" si="11"/>
        <v>21488.5</v>
      </c>
      <c r="J233" s="8" t="s">
        <v>138</v>
      </c>
      <c r="K233" s="9" t="s">
        <v>509</v>
      </c>
      <c r="M233" s="9">
        <f>VLOOKUP($A233,'BAL 01-24'!$A$3:$I$322,9,0)</f>
        <v>21488.5</v>
      </c>
      <c r="N233" s="315">
        <f t="shared" si="9"/>
        <v>0</v>
      </c>
    </row>
    <row r="234" spans="1:14" s="9" customFormat="1" ht="11.25" x14ac:dyDescent="0.2">
      <c r="A234" s="10">
        <v>60120800</v>
      </c>
      <c r="B234" s="10" t="s">
        <v>151</v>
      </c>
      <c r="C234" s="11">
        <v>183006.5</v>
      </c>
      <c r="D234" s="11">
        <v>0</v>
      </c>
      <c r="E234" s="11">
        <v>0</v>
      </c>
      <c r="F234" s="13">
        <f>SUMIF('OD 02-24'!A:A,A234,'OD 02-24'!D:D)</f>
        <v>0</v>
      </c>
      <c r="G234" s="13">
        <f>SUMIF('OD 02-24'!A:A,A234,'OD 02-24'!E:E)</f>
        <v>0</v>
      </c>
      <c r="H234" s="14">
        <f t="shared" si="10"/>
        <v>0</v>
      </c>
      <c r="I234" s="14">
        <f t="shared" si="11"/>
        <v>183006.5</v>
      </c>
      <c r="J234" s="8" t="s">
        <v>138</v>
      </c>
      <c r="K234" s="9" t="s">
        <v>509</v>
      </c>
      <c r="M234" s="9">
        <f>VLOOKUP($A234,'BAL 01-24'!$A$3:$I$322,9,0)</f>
        <v>183006.5</v>
      </c>
      <c r="N234" s="315">
        <f t="shared" si="9"/>
        <v>0</v>
      </c>
    </row>
    <row r="235" spans="1:14" s="9" customFormat="1" ht="11.25" x14ac:dyDescent="0.2">
      <c r="A235" s="10">
        <v>60121010</v>
      </c>
      <c r="B235" s="10" t="s">
        <v>152</v>
      </c>
      <c r="C235" s="11">
        <v>519021.66572199995</v>
      </c>
      <c r="D235" s="11">
        <v>1366930.8773194999</v>
      </c>
      <c r="E235" s="11">
        <v>0</v>
      </c>
      <c r="F235" s="13">
        <f>SUMIF('OD 02-24'!A:A,A235,'OD 02-24'!D:D)</f>
        <v>0</v>
      </c>
      <c r="G235" s="13">
        <f>SUMIF('OD 02-24'!A:A,A235,'OD 02-24'!E:E)</f>
        <v>0</v>
      </c>
      <c r="H235" s="14">
        <f t="shared" si="10"/>
        <v>1366930.8773194999</v>
      </c>
      <c r="I235" s="14">
        <f t="shared" si="11"/>
        <v>1885952.5430414998</v>
      </c>
      <c r="J235" s="8" t="s">
        <v>138</v>
      </c>
      <c r="K235" s="9" t="s">
        <v>509</v>
      </c>
      <c r="M235" s="9">
        <f>VLOOKUP($A235,'BAL 01-24'!$A$3:$I$322,9,0)</f>
        <v>519021.66572199995</v>
      </c>
      <c r="N235" s="315">
        <f t="shared" si="9"/>
        <v>0</v>
      </c>
    </row>
    <row r="236" spans="1:14" s="9" customFormat="1" ht="11.25" x14ac:dyDescent="0.2">
      <c r="A236" s="10">
        <v>60121020</v>
      </c>
      <c r="B236" s="10" t="s">
        <v>153</v>
      </c>
      <c r="C236" s="11">
        <v>0</v>
      </c>
      <c r="D236" s="11">
        <v>0</v>
      </c>
      <c r="E236" s="11">
        <v>0</v>
      </c>
      <c r="F236" s="13">
        <f>SUMIF('OD 02-24'!A:A,A236,'OD 02-24'!D:D)</f>
        <v>0</v>
      </c>
      <c r="G236" s="13">
        <f>SUMIF('OD 02-24'!A:A,A236,'OD 02-24'!E:E)</f>
        <v>0</v>
      </c>
      <c r="H236" s="14">
        <f t="shared" si="10"/>
        <v>0</v>
      </c>
      <c r="I236" s="14">
        <f t="shared" si="11"/>
        <v>0</v>
      </c>
      <c r="J236" s="8" t="s">
        <v>138</v>
      </c>
      <c r="K236" s="9" t="s">
        <v>509</v>
      </c>
      <c r="M236" s="9">
        <f>VLOOKUP($A236,'BAL 01-24'!$A$3:$I$322,9,0)</f>
        <v>0</v>
      </c>
      <c r="N236" s="315">
        <f t="shared" si="9"/>
        <v>0</v>
      </c>
    </row>
    <row r="237" spans="1:14" s="9" customFormat="1" ht="11.25" x14ac:dyDescent="0.2">
      <c r="A237" s="10">
        <v>60121031</v>
      </c>
      <c r="B237" s="10" t="s">
        <v>394</v>
      </c>
      <c r="C237" s="11">
        <v>18282.510000000002</v>
      </c>
      <c r="D237" s="11">
        <v>22613.626420000001</v>
      </c>
      <c r="E237" s="11">
        <v>0</v>
      </c>
      <c r="F237" s="13">
        <f>SUMIF('OD 02-24'!A:A,A237,'OD 02-24'!D:D)</f>
        <v>0</v>
      </c>
      <c r="G237" s="13">
        <f>SUMIF('OD 02-24'!A:A,A237,'OD 02-24'!E:E)</f>
        <v>0</v>
      </c>
      <c r="H237" s="14">
        <f t="shared" si="10"/>
        <v>22613.626420000001</v>
      </c>
      <c r="I237" s="14">
        <f t="shared" si="11"/>
        <v>40896.136420000003</v>
      </c>
      <c r="J237" s="8" t="s">
        <v>138</v>
      </c>
      <c r="K237" s="9" t="s">
        <v>509</v>
      </c>
      <c r="M237" s="9">
        <f>VLOOKUP($A237,'BAL 01-24'!$A$3:$I$322,9,0)</f>
        <v>18282.510000000002</v>
      </c>
      <c r="N237" s="315">
        <f t="shared" si="9"/>
        <v>0</v>
      </c>
    </row>
    <row r="238" spans="1:14" s="9" customFormat="1" ht="11.25" x14ac:dyDescent="0.2">
      <c r="A238" s="10">
        <v>60121035</v>
      </c>
      <c r="B238" s="10" t="s">
        <v>395</v>
      </c>
      <c r="C238" s="11">
        <v>726.77100000000007</v>
      </c>
      <c r="D238" s="11">
        <v>726.77100000000007</v>
      </c>
      <c r="E238" s="11">
        <v>0</v>
      </c>
      <c r="F238" s="13">
        <f>SUMIF('OD 02-24'!A:A,A238,'OD 02-24'!D:D)</f>
        <v>0</v>
      </c>
      <c r="G238" s="13">
        <f>SUMIF('OD 02-24'!A:A,A238,'OD 02-24'!E:E)</f>
        <v>0</v>
      </c>
      <c r="H238" s="14">
        <f t="shared" si="10"/>
        <v>726.77100000000007</v>
      </c>
      <c r="I238" s="14">
        <f t="shared" si="11"/>
        <v>1453.5420000000001</v>
      </c>
      <c r="J238" s="8" t="s">
        <v>138</v>
      </c>
      <c r="K238" s="9" t="s">
        <v>509</v>
      </c>
      <c r="M238" s="9">
        <f>VLOOKUP($A238,'BAL 01-24'!$A$3:$I$322,9,0)</f>
        <v>726.77100000000007</v>
      </c>
      <c r="N238" s="315">
        <f t="shared" si="9"/>
        <v>0</v>
      </c>
    </row>
    <row r="239" spans="1:14" s="9" customFormat="1" ht="11.25" x14ac:dyDescent="0.2">
      <c r="A239" s="10">
        <v>60121210</v>
      </c>
      <c r="B239" s="10" t="s">
        <v>7400</v>
      </c>
      <c r="C239" s="11">
        <v>0</v>
      </c>
      <c r="D239" s="11">
        <v>60430.133700000006</v>
      </c>
      <c r="E239" s="11">
        <v>0</v>
      </c>
      <c r="F239" s="13">
        <f>SUMIF('OD 02-24'!A:A,A239,'OD 02-24'!D:D)</f>
        <v>0</v>
      </c>
      <c r="G239" s="13">
        <f>SUMIF('OD 02-24'!A:A,A239,'OD 02-24'!E:E)</f>
        <v>0</v>
      </c>
      <c r="H239" s="14">
        <f t="shared" si="10"/>
        <v>60430.133700000006</v>
      </c>
      <c r="I239" s="14">
        <f t="shared" si="11"/>
        <v>60430.133700000006</v>
      </c>
      <c r="J239" s="8" t="s">
        <v>138</v>
      </c>
      <c r="K239" s="9" t="s">
        <v>509</v>
      </c>
      <c r="M239" s="9" t="e">
        <f>VLOOKUP($A239,'BAL 01-24'!$A$3:$I$322,9,0)</f>
        <v>#N/A</v>
      </c>
      <c r="N239" s="315" t="e">
        <f t="shared" si="9"/>
        <v>#N/A</v>
      </c>
    </row>
    <row r="240" spans="1:14" s="9" customFormat="1" ht="11.25" x14ac:dyDescent="0.2">
      <c r="A240" s="10">
        <v>60121500</v>
      </c>
      <c r="B240" s="10" t="s">
        <v>404</v>
      </c>
      <c r="C240" s="11">
        <v>43200</v>
      </c>
      <c r="D240" s="11">
        <v>43200</v>
      </c>
      <c r="E240" s="11">
        <v>0</v>
      </c>
      <c r="F240" s="13">
        <f>SUMIF('OD 02-24'!A:A,A240,'OD 02-24'!D:D)</f>
        <v>0</v>
      </c>
      <c r="G240" s="13">
        <f>SUMIF('OD 02-24'!A:A,A240,'OD 02-24'!E:E)</f>
        <v>43200</v>
      </c>
      <c r="H240" s="14">
        <f t="shared" si="10"/>
        <v>0</v>
      </c>
      <c r="I240" s="14">
        <f t="shared" si="11"/>
        <v>43200</v>
      </c>
      <c r="J240" s="8" t="s">
        <v>138</v>
      </c>
      <c r="K240" s="9" t="s">
        <v>509</v>
      </c>
      <c r="M240" s="9">
        <f>VLOOKUP($A240,'BAL 01-24'!$A$3:$I$322,9,0)</f>
        <v>43200</v>
      </c>
      <c r="N240" s="315">
        <f t="shared" si="9"/>
        <v>0</v>
      </c>
    </row>
    <row r="241" spans="1:14" s="9" customFormat="1" ht="11.25" x14ac:dyDescent="0.2">
      <c r="A241" s="10">
        <v>60121600</v>
      </c>
      <c r="B241" s="10" t="s">
        <v>154</v>
      </c>
      <c r="C241" s="11">
        <v>63816</v>
      </c>
      <c r="D241" s="11">
        <v>26628</v>
      </c>
      <c r="E241" s="11">
        <v>0</v>
      </c>
      <c r="F241" s="13">
        <f>SUMIF('OD 02-24'!A:A,A241,'OD 02-24'!D:D)</f>
        <v>0</v>
      </c>
      <c r="G241" s="13">
        <f>SUMIF('OD 02-24'!A:A,A241,'OD 02-24'!E:E)</f>
        <v>0</v>
      </c>
      <c r="H241" s="14">
        <f t="shared" si="10"/>
        <v>26628</v>
      </c>
      <c r="I241" s="14">
        <f t="shared" si="11"/>
        <v>90444</v>
      </c>
      <c r="J241" s="8" t="s">
        <v>138</v>
      </c>
      <c r="K241" s="9" t="s">
        <v>509</v>
      </c>
      <c r="M241" s="9">
        <f>VLOOKUP($A241,'BAL 01-24'!$A$3:$I$322,9,0)</f>
        <v>63816</v>
      </c>
      <c r="N241" s="315">
        <f t="shared" si="9"/>
        <v>0</v>
      </c>
    </row>
    <row r="242" spans="1:14" s="9" customFormat="1" ht="11.25" x14ac:dyDescent="0.2">
      <c r="A242" s="10">
        <v>60122100</v>
      </c>
      <c r="B242" s="10" t="s">
        <v>155</v>
      </c>
      <c r="C242" s="11">
        <v>28350</v>
      </c>
      <c r="D242" s="11">
        <v>9450</v>
      </c>
      <c r="E242" s="11">
        <v>0</v>
      </c>
      <c r="F242" s="13">
        <f>SUMIF('OD 02-24'!A:A,A242,'OD 02-24'!D:D)</f>
        <v>0</v>
      </c>
      <c r="G242" s="13">
        <f>SUMIF('OD 02-24'!A:A,A242,'OD 02-24'!E:E)</f>
        <v>0</v>
      </c>
      <c r="H242" s="14">
        <f t="shared" si="10"/>
        <v>9450</v>
      </c>
      <c r="I242" s="14">
        <f t="shared" si="11"/>
        <v>37800</v>
      </c>
      <c r="J242" s="8" t="s">
        <v>138</v>
      </c>
      <c r="K242" s="9" t="s">
        <v>509</v>
      </c>
      <c r="M242" s="9">
        <f>VLOOKUP($A242,'BAL 01-24'!$A$3:$I$322,9,0)</f>
        <v>28350</v>
      </c>
      <c r="N242" s="315">
        <f t="shared" si="9"/>
        <v>0</v>
      </c>
    </row>
    <row r="243" spans="1:14" s="9" customFormat="1" ht="11.25" x14ac:dyDescent="0.2">
      <c r="A243" s="10">
        <v>60122200</v>
      </c>
      <c r="B243" s="10" t="s">
        <v>156</v>
      </c>
      <c r="C243" s="11">
        <v>0</v>
      </c>
      <c r="D243" s="11">
        <v>12882.448999999999</v>
      </c>
      <c r="E243" s="11">
        <v>0</v>
      </c>
      <c r="F243" s="13">
        <f>SUMIF('OD 02-24'!A:A,A243,'OD 02-24'!D:D)</f>
        <v>0</v>
      </c>
      <c r="G243" s="13">
        <f>SUMIF('OD 02-24'!A:A,A243,'OD 02-24'!E:E)</f>
        <v>0</v>
      </c>
      <c r="H243" s="14">
        <f t="shared" si="10"/>
        <v>12882.448999999999</v>
      </c>
      <c r="I243" s="14">
        <f t="shared" si="11"/>
        <v>12882.448999999999</v>
      </c>
      <c r="J243" s="8" t="s">
        <v>138</v>
      </c>
      <c r="K243" s="9" t="s">
        <v>509</v>
      </c>
      <c r="M243" s="9">
        <f>VLOOKUP($A243,'BAL 01-24'!$A$3:$I$322,9,0)</f>
        <v>0</v>
      </c>
      <c r="N243" s="315">
        <f t="shared" si="9"/>
        <v>0</v>
      </c>
    </row>
    <row r="244" spans="1:14" s="9" customFormat="1" ht="11.25" x14ac:dyDescent="0.2">
      <c r="A244" s="10">
        <v>60122410</v>
      </c>
      <c r="B244" s="10" t="s">
        <v>366</v>
      </c>
      <c r="C244" s="11">
        <v>0</v>
      </c>
      <c r="D244" s="11">
        <v>0</v>
      </c>
      <c r="E244" s="11">
        <v>0</v>
      </c>
      <c r="F244" s="13">
        <f>SUMIF('OD 02-24'!A:A,A244,'OD 02-24'!D:D)</f>
        <v>0</v>
      </c>
      <c r="G244" s="13">
        <f>SUMIF('OD 02-24'!A:A,A244,'OD 02-24'!E:E)</f>
        <v>0</v>
      </c>
      <c r="H244" s="14">
        <f t="shared" si="10"/>
        <v>0</v>
      </c>
      <c r="I244" s="14">
        <f t="shared" si="11"/>
        <v>0</v>
      </c>
      <c r="J244" s="8" t="s">
        <v>138</v>
      </c>
      <c r="K244" s="9" t="s">
        <v>509</v>
      </c>
      <c r="M244" s="9">
        <f>VLOOKUP($A244,'BAL 01-24'!$A$3:$I$322,9,0)</f>
        <v>0</v>
      </c>
      <c r="N244" s="315">
        <f t="shared" si="9"/>
        <v>0</v>
      </c>
    </row>
    <row r="245" spans="1:14" s="9" customFormat="1" ht="11.25" x14ac:dyDescent="0.2">
      <c r="A245" s="10">
        <v>60122411</v>
      </c>
      <c r="B245" s="10" t="s">
        <v>367</v>
      </c>
      <c r="C245" s="11">
        <v>5222.8</v>
      </c>
      <c r="D245" s="11">
        <v>9496</v>
      </c>
      <c r="E245" s="11">
        <v>0</v>
      </c>
      <c r="F245" s="13">
        <f>SUMIF('OD 02-24'!A:A,A245,'OD 02-24'!D:D)</f>
        <v>0</v>
      </c>
      <c r="G245" s="13">
        <f>SUMIF('OD 02-24'!A:A,A245,'OD 02-24'!E:E)</f>
        <v>474.8</v>
      </c>
      <c r="H245" s="14">
        <f t="shared" si="10"/>
        <v>9021.2000000000007</v>
      </c>
      <c r="I245" s="14">
        <f t="shared" si="11"/>
        <v>14244</v>
      </c>
      <c r="J245" s="8" t="s">
        <v>138</v>
      </c>
      <c r="K245" s="9" t="s">
        <v>509</v>
      </c>
      <c r="M245" s="9">
        <f>VLOOKUP($A245,'BAL 01-24'!$A$3:$I$322,9,0)</f>
        <v>5222.8</v>
      </c>
      <c r="N245" s="315">
        <f t="shared" si="9"/>
        <v>0</v>
      </c>
    </row>
    <row r="246" spans="1:14" s="9" customFormat="1" ht="11.25" x14ac:dyDescent="0.2">
      <c r="A246" s="10">
        <v>60122510</v>
      </c>
      <c r="B246" s="10" t="s">
        <v>368</v>
      </c>
      <c r="C246" s="11">
        <v>2878.1059999999998</v>
      </c>
      <c r="D246" s="11">
        <v>5318.5599999999995</v>
      </c>
      <c r="E246" s="11">
        <v>0</v>
      </c>
      <c r="F246" s="13">
        <f>SUMIF('OD 02-24'!A:A,A246,'OD 02-24'!D:D)</f>
        <v>0</v>
      </c>
      <c r="G246" s="13">
        <f>SUMIF('OD 02-24'!A:A,A246,'OD 02-24'!E:E)</f>
        <v>0</v>
      </c>
      <c r="H246" s="14">
        <f t="shared" si="10"/>
        <v>5318.5599999999995</v>
      </c>
      <c r="I246" s="14">
        <f t="shared" si="11"/>
        <v>8196.6659999999993</v>
      </c>
      <c r="J246" s="8" t="s">
        <v>138</v>
      </c>
      <c r="K246" s="9" t="s">
        <v>509</v>
      </c>
      <c r="M246" s="9">
        <f>VLOOKUP($A246,'BAL 01-24'!$A$3:$I$322,9,0)</f>
        <v>2878.1059999999998</v>
      </c>
      <c r="N246" s="315">
        <f t="shared" si="9"/>
        <v>0</v>
      </c>
    </row>
    <row r="247" spans="1:14" s="9" customFormat="1" ht="11.25" x14ac:dyDescent="0.2">
      <c r="A247" s="10">
        <v>60122520</v>
      </c>
      <c r="B247" s="10" t="s">
        <v>396</v>
      </c>
      <c r="C247" s="11">
        <v>308</v>
      </c>
      <c r="D247" s="11">
        <v>308</v>
      </c>
      <c r="E247" s="11">
        <v>0</v>
      </c>
      <c r="F247" s="13">
        <f>SUMIF('OD 02-24'!A:A,A247,'OD 02-24'!D:D)</f>
        <v>0</v>
      </c>
      <c r="G247" s="13">
        <f>SUMIF('OD 02-24'!A:A,A247,'OD 02-24'!E:E)</f>
        <v>0</v>
      </c>
      <c r="H247" s="14">
        <f t="shared" si="10"/>
        <v>308</v>
      </c>
      <c r="I247" s="14">
        <f t="shared" si="11"/>
        <v>616</v>
      </c>
      <c r="J247" s="8" t="s">
        <v>138</v>
      </c>
      <c r="K247" s="9" t="s">
        <v>509</v>
      </c>
      <c r="M247" s="9">
        <f>VLOOKUP($A247,'BAL 01-24'!$A$3:$I$322,9,0)</f>
        <v>308</v>
      </c>
      <c r="N247" s="315">
        <f t="shared" si="9"/>
        <v>0</v>
      </c>
    </row>
    <row r="248" spans="1:14" s="9" customFormat="1" ht="11.25" x14ac:dyDescent="0.2">
      <c r="A248" s="10">
        <v>60171000</v>
      </c>
      <c r="B248" s="10" t="s">
        <v>369</v>
      </c>
      <c r="C248" s="11">
        <v>72572.615999999995</v>
      </c>
      <c r="D248" s="11">
        <v>0</v>
      </c>
      <c r="E248" s="11">
        <v>0</v>
      </c>
      <c r="F248" s="13">
        <f>SUMIF('OD 02-24'!A:A,A248,'OD 02-24'!D:D)</f>
        <v>72500</v>
      </c>
      <c r="G248" s="13">
        <f>SUMIF('OD 02-24'!A:A,A248,'OD 02-24'!E:E)</f>
        <v>0</v>
      </c>
      <c r="H248" s="14">
        <f t="shared" si="10"/>
        <v>72500</v>
      </c>
      <c r="I248" s="14">
        <f t="shared" si="11"/>
        <v>145072.61599999998</v>
      </c>
      <c r="J248" s="8" t="s">
        <v>138</v>
      </c>
      <c r="K248" s="9" t="s">
        <v>509</v>
      </c>
      <c r="M248" s="9">
        <f>VLOOKUP($A248,'BAL 01-24'!$A$3:$I$322,9,0)</f>
        <v>72572.615999999995</v>
      </c>
      <c r="N248" s="315">
        <f t="shared" si="9"/>
        <v>0</v>
      </c>
    </row>
    <row r="249" spans="1:14" s="9" customFormat="1" ht="11.25" x14ac:dyDescent="0.2">
      <c r="A249" s="10">
        <v>60172000</v>
      </c>
      <c r="B249" s="10" t="s">
        <v>169</v>
      </c>
      <c r="C249" s="11">
        <v>102074.925</v>
      </c>
      <c r="D249" s="11">
        <v>0</v>
      </c>
      <c r="E249" s="11">
        <v>0</v>
      </c>
      <c r="F249" s="13">
        <f>SUMIF('OD 02-24'!A:A,A249,'OD 02-24'!D:D)</f>
        <v>102000</v>
      </c>
      <c r="G249" s="13">
        <f>SUMIF('OD 02-24'!A:A,A249,'OD 02-24'!E:E)</f>
        <v>0</v>
      </c>
      <c r="H249" s="14">
        <f t="shared" si="10"/>
        <v>102000</v>
      </c>
      <c r="I249" s="14">
        <f t="shared" si="11"/>
        <v>204074.92499999999</v>
      </c>
      <c r="J249" s="8" t="s">
        <v>138</v>
      </c>
      <c r="K249" s="9" t="s">
        <v>509</v>
      </c>
      <c r="M249" s="9">
        <f>VLOOKUP($A249,'BAL 01-24'!$A$3:$I$322,9,0)</f>
        <v>102074.925</v>
      </c>
      <c r="N249" s="315">
        <f t="shared" si="9"/>
        <v>0</v>
      </c>
    </row>
    <row r="250" spans="1:14" s="9" customFormat="1" ht="11.25" x14ac:dyDescent="0.2">
      <c r="A250" s="10">
        <v>60173000</v>
      </c>
      <c r="B250" s="10" t="s">
        <v>170</v>
      </c>
      <c r="C250" s="11">
        <v>8242.1450000000004</v>
      </c>
      <c r="D250" s="11">
        <v>16484.291000000001</v>
      </c>
      <c r="E250" s="11">
        <v>16484.29</v>
      </c>
      <c r="F250" s="13">
        <f>SUMIF('OD 02-24'!A:A,A250,'OD 02-24'!D:D)</f>
        <v>8234.6219999999994</v>
      </c>
      <c r="G250" s="13">
        <f>SUMIF('OD 02-24'!A:A,A250,'OD 02-24'!E:E)</f>
        <v>0</v>
      </c>
      <c r="H250" s="14">
        <f t="shared" si="10"/>
        <v>8234.6229999999996</v>
      </c>
      <c r="I250" s="14">
        <f t="shared" si="11"/>
        <v>16476.768</v>
      </c>
      <c r="J250" s="8" t="s">
        <v>138</v>
      </c>
      <c r="K250" s="9" t="s">
        <v>509</v>
      </c>
      <c r="M250" s="9">
        <f>VLOOKUP($A250,'BAL 01-24'!$A$3:$I$322,9,0)</f>
        <v>8242.1450000000004</v>
      </c>
      <c r="N250" s="315">
        <f t="shared" si="9"/>
        <v>0</v>
      </c>
    </row>
    <row r="251" spans="1:14" s="9" customFormat="1" ht="11.25" x14ac:dyDescent="0.2">
      <c r="A251" s="10">
        <v>60191000</v>
      </c>
      <c r="B251" s="10" t="s">
        <v>158</v>
      </c>
      <c r="C251" s="11">
        <v>106287.78599999999</v>
      </c>
      <c r="D251" s="11">
        <v>136854.33433200003</v>
      </c>
      <c r="E251" s="11">
        <v>0</v>
      </c>
      <c r="F251" s="13">
        <f>SUMIF('OD 02-24'!A:A,A251,'OD 02-24'!D:D)</f>
        <v>0</v>
      </c>
      <c r="G251" s="13">
        <f>SUMIF('OD 02-24'!A:A,A251,'OD 02-24'!E:E)</f>
        <v>0</v>
      </c>
      <c r="H251" s="14">
        <f t="shared" si="10"/>
        <v>136854.33433200003</v>
      </c>
      <c r="I251" s="14">
        <f t="shared" si="11"/>
        <v>243142.12033200002</v>
      </c>
      <c r="J251" s="8" t="s">
        <v>138</v>
      </c>
      <c r="K251" s="9" t="s">
        <v>509</v>
      </c>
      <c r="M251" s="9">
        <f>VLOOKUP($A251,'BAL 01-24'!$A$3:$I$322,9,0)</f>
        <v>106287.78599999999</v>
      </c>
      <c r="N251" s="315">
        <f t="shared" si="9"/>
        <v>0</v>
      </c>
    </row>
    <row r="252" spans="1:14" s="9" customFormat="1" ht="11.25" x14ac:dyDescent="0.2">
      <c r="A252" s="10">
        <v>60215000</v>
      </c>
      <c r="B252" s="10" t="s">
        <v>370</v>
      </c>
      <c r="C252" s="11">
        <v>0</v>
      </c>
      <c r="D252" s="11">
        <v>0</v>
      </c>
      <c r="E252" s="11">
        <v>0</v>
      </c>
      <c r="F252" s="13">
        <f>SUMIF('OD 02-24'!A:A,A252,'OD 02-24'!D:D)</f>
        <v>0</v>
      </c>
      <c r="G252" s="13">
        <f>SUMIF('OD 02-24'!A:A,A252,'OD 02-24'!E:E)</f>
        <v>0</v>
      </c>
      <c r="H252" s="14">
        <f t="shared" si="10"/>
        <v>0</v>
      </c>
      <c r="I252" s="14">
        <f t="shared" si="11"/>
        <v>0</v>
      </c>
      <c r="J252" s="8" t="s">
        <v>138</v>
      </c>
      <c r="K252" s="9" t="s">
        <v>509</v>
      </c>
      <c r="M252" s="9">
        <f>VLOOKUP($A252,'BAL 01-24'!$A$3:$I$322,9,0)</f>
        <v>0</v>
      </c>
      <c r="N252" s="315">
        <f t="shared" si="9"/>
        <v>0</v>
      </c>
    </row>
    <row r="253" spans="1:14" s="9" customFormat="1" ht="11.25" x14ac:dyDescent="0.2">
      <c r="A253" s="10">
        <v>60216000</v>
      </c>
      <c r="B253" s="10" t="s">
        <v>371</v>
      </c>
      <c r="C253" s="11">
        <v>0</v>
      </c>
      <c r="D253" s="11">
        <v>49376.160600000003</v>
      </c>
      <c r="E253" s="11">
        <v>0</v>
      </c>
      <c r="F253" s="13">
        <f>SUMIF('OD 02-24'!A:A,A253,'OD 02-24'!D:D)</f>
        <v>0</v>
      </c>
      <c r="G253" s="13">
        <f>SUMIF('OD 02-24'!A:A,A253,'OD 02-24'!E:E)</f>
        <v>0</v>
      </c>
      <c r="H253" s="14">
        <f t="shared" si="10"/>
        <v>49376.160600000003</v>
      </c>
      <c r="I253" s="14">
        <f t="shared" si="11"/>
        <v>49376.160600000003</v>
      </c>
      <c r="J253" s="8" t="s">
        <v>138</v>
      </c>
      <c r="K253" s="9" t="s">
        <v>509</v>
      </c>
      <c r="M253" s="9">
        <f>VLOOKUP($A253,'BAL 01-24'!$A$3:$I$322,9,0)</f>
        <v>0</v>
      </c>
      <c r="N253" s="315">
        <f t="shared" si="9"/>
        <v>0</v>
      </c>
    </row>
    <row r="254" spans="1:14" s="9" customFormat="1" ht="11.25" x14ac:dyDescent="0.2">
      <c r="A254" s="10">
        <v>60260200</v>
      </c>
      <c r="B254" s="10" t="s">
        <v>372</v>
      </c>
      <c r="C254" s="11">
        <v>1859.65</v>
      </c>
      <c r="D254" s="11">
        <v>1295</v>
      </c>
      <c r="E254" s="11">
        <v>0</v>
      </c>
      <c r="F254" s="13">
        <f>SUMIF('OD 02-24'!A:A,A254,'OD 02-24'!D:D)</f>
        <v>0</v>
      </c>
      <c r="G254" s="13">
        <f>SUMIF('OD 02-24'!A:A,A254,'OD 02-24'!E:E)</f>
        <v>0</v>
      </c>
      <c r="H254" s="14">
        <f t="shared" si="10"/>
        <v>1295</v>
      </c>
      <c r="I254" s="14">
        <f t="shared" si="11"/>
        <v>3154.65</v>
      </c>
      <c r="J254" s="8" t="s">
        <v>138</v>
      </c>
      <c r="K254" s="9" t="s">
        <v>509</v>
      </c>
      <c r="M254" s="9">
        <f>VLOOKUP($A254,'BAL 01-24'!$A$3:$I$322,9,0)</f>
        <v>1859.65</v>
      </c>
      <c r="N254" s="315">
        <f t="shared" si="9"/>
        <v>0</v>
      </c>
    </row>
    <row r="255" spans="1:14" s="9" customFormat="1" ht="11.25" x14ac:dyDescent="0.2">
      <c r="A255" s="10">
        <v>60260300</v>
      </c>
      <c r="B255" s="10" t="s">
        <v>160</v>
      </c>
      <c r="C255" s="11">
        <v>0</v>
      </c>
      <c r="D255" s="11">
        <v>10200</v>
      </c>
      <c r="E255" s="11">
        <v>0</v>
      </c>
      <c r="F255" s="13">
        <f>SUMIF('OD 02-24'!A:A,A255,'OD 02-24'!D:D)</f>
        <v>0</v>
      </c>
      <c r="G255" s="13">
        <f>SUMIF('OD 02-24'!A:A,A255,'OD 02-24'!E:E)</f>
        <v>0</v>
      </c>
      <c r="H255" s="14">
        <f t="shared" si="10"/>
        <v>10200</v>
      </c>
      <c r="I255" s="14">
        <f t="shared" si="11"/>
        <v>10200</v>
      </c>
      <c r="J255" s="8" t="s">
        <v>138</v>
      </c>
      <c r="K255" s="9" t="s">
        <v>509</v>
      </c>
      <c r="M255" s="9">
        <f>VLOOKUP($A255,'BAL 01-24'!$A$3:$I$322,9,0)</f>
        <v>0</v>
      </c>
      <c r="N255" s="315">
        <f t="shared" si="9"/>
        <v>0</v>
      </c>
    </row>
    <row r="256" spans="1:14" s="9" customFormat="1" ht="11.25" x14ac:dyDescent="0.2">
      <c r="A256" s="10">
        <v>60260400</v>
      </c>
      <c r="B256" s="10" t="s">
        <v>161</v>
      </c>
      <c r="C256" s="11">
        <v>6285.6</v>
      </c>
      <c r="D256" s="11">
        <v>5749.92</v>
      </c>
      <c r="E256" s="11">
        <v>0</v>
      </c>
      <c r="F256" s="13">
        <f>SUMIF('OD 02-24'!A:A,A256,'OD 02-24'!D:D)</f>
        <v>5376.6</v>
      </c>
      <c r="G256" s="13">
        <f>SUMIF('OD 02-24'!A:A,A256,'OD 02-24'!E:E)</f>
        <v>0</v>
      </c>
      <c r="H256" s="14">
        <f t="shared" si="10"/>
        <v>11126.52</v>
      </c>
      <c r="I256" s="14">
        <f t="shared" si="11"/>
        <v>17412.120000000003</v>
      </c>
      <c r="J256" s="8" t="s">
        <v>138</v>
      </c>
      <c r="K256" s="9" t="s">
        <v>509</v>
      </c>
      <c r="M256" s="9">
        <f>VLOOKUP($A256,'BAL 01-24'!$A$3:$I$322,9,0)</f>
        <v>6285.6</v>
      </c>
      <c r="N256" s="315">
        <f t="shared" si="9"/>
        <v>0</v>
      </c>
    </row>
    <row r="257" spans="1:14" s="9" customFormat="1" ht="11.25" x14ac:dyDescent="0.2">
      <c r="A257" s="10">
        <v>60260500</v>
      </c>
      <c r="B257" s="10" t="s">
        <v>162</v>
      </c>
      <c r="C257" s="11">
        <v>3549</v>
      </c>
      <c r="D257" s="11">
        <v>3798.0039999999999</v>
      </c>
      <c r="E257" s="11">
        <v>0</v>
      </c>
      <c r="F257" s="13">
        <f>SUMIF('OD 02-24'!A:A,A257,'OD 02-24'!D:D)</f>
        <v>0</v>
      </c>
      <c r="G257" s="13">
        <f>SUMIF('OD 02-24'!A:A,A257,'OD 02-24'!E:E)</f>
        <v>0</v>
      </c>
      <c r="H257" s="14">
        <f t="shared" si="10"/>
        <v>3798.0039999999999</v>
      </c>
      <c r="I257" s="14">
        <f t="shared" si="11"/>
        <v>7347.0039999999999</v>
      </c>
      <c r="J257" s="8" t="s">
        <v>138</v>
      </c>
      <c r="K257" s="9" t="s">
        <v>509</v>
      </c>
      <c r="M257" s="9">
        <f>VLOOKUP($A257,'BAL 01-24'!$A$3:$I$322,9,0)</f>
        <v>3549</v>
      </c>
      <c r="N257" s="315">
        <f t="shared" si="9"/>
        <v>0</v>
      </c>
    </row>
    <row r="258" spans="1:14" s="9" customFormat="1" ht="11.25" x14ac:dyDescent="0.2">
      <c r="A258" s="10">
        <v>60260600</v>
      </c>
      <c r="B258" s="10" t="s">
        <v>7401</v>
      </c>
      <c r="C258" s="11">
        <v>0</v>
      </c>
      <c r="D258" s="11">
        <v>439.35</v>
      </c>
      <c r="E258" s="11">
        <v>0</v>
      </c>
      <c r="F258" s="13">
        <f>SUMIF('OD 02-24'!A:A,A258,'OD 02-24'!D:D)</f>
        <v>0</v>
      </c>
      <c r="G258" s="13">
        <f>SUMIF('OD 02-24'!A:A,A258,'OD 02-24'!E:E)</f>
        <v>0</v>
      </c>
      <c r="H258" s="14">
        <f t="shared" si="10"/>
        <v>439.35</v>
      </c>
      <c r="I258" s="14">
        <f t="shared" si="11"/>
        <v>439.35</v>
      </c>
      <c r="J258" s="8" t="s">
        <v>138</v>
      </c>
      <c r="K258" s="9" t="s">
        <v>509</v>
      </c>
      <c r="M258" s="9" t="e">
        <f>VLOOKUP($A258,'BAL 01-24'!$A$3:$I$322,9,0)</f>
        <v>#N/A</v>
      </c>
      <c r="N258" s="315" t="e">
        <f t="shared" si="9"/>
        <v>#N/A</v>
      </c>
    </row>
    <row r="259" spans="1:14" s="9" customFormat="1" ht="11.25" x14ac:dyDescent="0.2">
      <c r="A259" s="10">
        <v>60260700</v>
      </c>
      <c r="B259" s="10" t="s">
        <v>163</v>
      </c>
      <c r="C259" s="11">
        <v>9292</v>
      </c>
      <c r="D259" s="11">
        <v>5923.65</v>
      </c>
      <c r="E259" s="11">
        <v>0</v>
      </c>
      <c r="F259" s="13">
        <f>SUMIF('OD 02-24'!A:A,A259,'OD 02-24'!D:D)</f>
        <v>0</v>
      </c>
      <c r="G259" s="13">
        <f>SUMIF('OD 02-24'!A:A,A259,'OD 02-24'!E:E)</f>
        <v>0</v>
      </c>
      <c r="H259" s="14">
        <f t="shared" si="10"/>
        <v>5923.65</v>
      </c>
      <c r="I259" s="14">
        <f t="shared" si="11"/>
        <v>15215.65</v>
      </c>
      <c r="J259" s="8" t="s">
        <v>138</v>
      </c>
      <c r="K259" s="9" t="s">
        <v>509</v>
      </c>
      <c r="M259" s="9">
        <f>VLOOKUP($A259,'BAL 01-24'!$A$3:$I$322,9,0)</f>
        <v>9292</v>
      </c>
      <c r="N259" s="315">
        <f t="shared" si="9"/>
        <v>0</v>
      </c>
    </row>
    <row r="260" spans="1:14" s="9" customFormat="1" ht="11.25" x14ac:dyDescent="0.2">
      <c r="A260" s="10">
        <v>60262000</v>
      </c>
      <c r="B260" s="10" t="s">
        <v>164</v>
      </c>
      <c r="C260" s="11">
        <v>22826.204734999999</v>
      </c>
      <c r="D260" s="11">
        <v>20872.6488875</v>
      </c>
      <c r="E260" s="11">
        <v>0</v>
      </c>
      <c r="F260" s="13">
        <f>SUMIF('OD 02-24'!A:A,A260,'OD 02-24'!D:D)</f>
        <v>6175</v>
      </c>
      <c r="G260" s="13">
        <f>SUMIF('OD 02-24'!A:A,A260,'OD 02-24'!E:E)</f>
        <v>2250</v>
      </c>
      <c r="H260" s="14">
        <f t="shared" si="10"/>
        <v>24797.6488875</v>
      </c>
      <c r="I260" s="14">
        <f t="shared" si="11"/>
        <v>47623.853622499999</v>
      </c>
      <c r="J260" s="8" t="s">
        <v>138</v>
      </c>
      <c r="K260" s="9" t="s">
        <v>509</v>
      </c>
      <c r="M260" s="9">
        <f>VLOOKUP($A260,'BAL 01-24'!$A$3:$I$322,9,0)</f>
        <v>22826.204734999999</v>
      </c>
      <c r="N260" s="315">
        <f t="shared" ref="N260:N323" si="14">+C260-M260</f>
        <v>0</v>
      </c>
    </row>
    <row r="261" spans="1:14" s="9" customFormat="1" ht="11.25" x14ac:dyDescent="0.2">
      <c r="A261" s="10">
        <v>60263000</v>
      </c>
      <c r="B261" s="10" t="s">
        <v>165</v>
      </c>
      <c r="C261" s="11">
        <v>5106.5599999999995</v>
      </c>
      <c r="D261" s="11">
        <v>6546.7300000000005</v>
      </c>
      <c r="E261" s="11">
        <v>0</v>
      </c>
      <c r="F261" s="13">
        <f>SUMIF('OD 02-24'!A:A,A261,'OD 02-24'!D:D)</f>
        <v>0</v>
      </c>
      <c r="G261" s="13">
        <f>SUMIF('OD 02-24'!A:A,A261,'OD 02-24'!E:E)</f>
        <v>0</v>
      </c>
      <c r="H261" s="14">
        <f t="shared" si="10"/>
        <v>6546.7300000000005</v>
      </c>
      <c r="I261" s="14">
        <f t="shared" si="11"/>
        <v>11653.29</v>
      </c>
      <c r="J261" s="8" t="s">
        <v>138</v>
      </c>
      <c r="K261" s="9" t="s">
        <v>509</v>
      </c>
      <c r="M261" s="9">
        <f>VLOOKUP($A261,'BAL 01-24'!$A$3:$I$322,9,0)</f>
        <v>5106.5599999999995</v>
      </c>
      <c r="N261" s="315">
        <f t="shared" si="14"/>
        <v>0</v>
      </c>
    </row>
    <row r="262" spans="1:14" s="9" customFormat="1" ht="11.25" x14ac:dyDescent="0.2">
      <c r="A262" s="10">
        <v>60310000</v>
      </c>
      <c r="B262" s="10" t="s">
        <v>265</v>
      </c>
      <c r="C262" s="11">
        <v>141615.36869999953</v>
      </c>
      <c r="D262" s="11">
        <v>0</v>
      </c>
      <c r="E262" s="11">
        <v>0</v>
      </c>
      <c r="F262" s="13">
        <f>SUMIF('OD 02-24'!A:A,A262,'OD 02-24'!D:D)</f>
        <v>19483971.876699999</v>
      </c>
      <c r="G262" s="13">
        <f>SUMIF('OD 02-24'!A:A,A262,'OD 02-24'!E:E)</f>
        <v>20511410.5627</v>
      </c>
      <c r="H262" s="14">
        <f t="shared" si="10"/>
        <v>-1027438.6860000007</v>
      </c>
      <c r="I262" s="14">
        <f t="shared" si="11"/>
        <v>-885823.31730000116</v>
      </c>
      <c r="J262" s="8" t="s">
        <v>138</v>
      </c>
      <c r="K262" s="9" t="s">
        <v>509</v>
      </c>
      <c r="M262" s="9">
        <f>VLOOKUP($A262,'BAL 01-24'!$A$3:$I$322,9,0)</f>
        <v>141615.36869999953</v>
      </c>
      <c r="N262" s="315">
        <f t="shared" si="14"/>
        <v>0</v>
      </c>
    </row>
    <row r="263" spans="1:14" s="9" customFormat="1" ht="11.25" x14ac:dyDescent="0.2">
      <c r="A263" s="10">
        <v>60330000</v>
      </c>
      <c r="B263" s="10" t="s">
        <v>266</v>
      </c>
      <c r="C263" s="11">
        <v>-31905.458500000066</v>
      </c>
      <c r="D263" s="11">
        <v>0</v>
      </c>
      <c r="E263" s="11">
        <v>0</v>
      </c>
      <c r="F263" s="13">
        <f>SUMIF('OD 02-24'!A:A,A263,'OD 02-24'!D:D)</f>
        <v>1356218.3174999999</v>
      </c>
      <c r="G263" s="13">
        <f>SUMIF('OD 02-24'!A:A,A263,'OD 02-24'!E:E)</f>
        <v>1267764.3104999999</v>
      </c>
      <c r="H263" s="14">
        <f t="shared" si="10"/>
        <v>88454.006999999983</v>
      </c>
      <c r="I263" s="14">
        <f t="shared" si="11"/>
        <v>56548.548499999917</v>
      </c>
      <c r="J263" s="8" t="s">
        <v>157</v>
      </c>
      <c r="K263" s="9" t="s">
        <v>512</v>
      </c>
      <c r="M263" s="9">
        <f>VLOOKUP($A263,'BAL 01-24'!$A$3:$I$322,9,0)</f>
        <v>-31905.458500000066</v>
      </c>
      <c r="N263" s="315">
        <f t="shared" si="14"/>
        <v>0</v>
      </c>
    </row>
    <row r="264" spans="1:14" s="9" customFormat="1" ht="11.25" x14ac:dyDescent="0.2">
      <c r="A264" s="10">
        <v>60401000</v>
      </c>
      <c r="B264" s="10" t="s">
        <v>166</v>
      </c>
      <c r="C264" s="11">
        <v>22916.667000000001</v>
      </c>
      <c r="D264" s="11">
        <v>0</v>
      </c>
      <c r="E264" s="11">
        <v>0</v>
      </c>
      <c r="F264" s="13">
        <f>SUMIF('OD 02-24'!A:A,A264,'OD 02-24'!D:D)</f>
        <v>45833.334000000003</v>
      </c>
      <c r="G264" s="13">
        <f>SUMIF('OD 02-24'!A:A,A264,'OD 02-24'!E:E)</f>
        <v>22916.667000000001</v>
      </c>
      <c r="H264" s="14">
        <f t="shared" si="10"/>
        <v>22916.667000000001</v>
      </c>
      <c r="I264" s="14">
        <f t="shared" si="11"/>
        <v>45833.334000000003</v>
      </c>
      <c r="J264" s="8" t="s">
        <v>157</v>
      </c>
      <c r="K264" s="9" t="s">
        <v>512</v>
      </c>
      <c r="M264" s="9">
        <f>VLOOKUP($A264,'BAL 01-24'!$A$3:$I$322,9,0)</f>
        <v>22916.667000000001</v>
      </c>
      <c r="N264" s="315">
        <f t="shared" si="14"/>
        <v>0</v>
      </c>
    </row>
    <row r="265" spans="1:14" s="9" customFormat="1" ht="11.25" x14ac:dyDescent="0.2">
      <c r="A265" s="10">
        <v>60502000</v>
      </c>
      <c r="B265" s="10" t="s">
        <v>167</v>
      </c>
      <c r="C265" s="11">
        <v>25583.701999999997</v>
      </c>
      <c r="D265" s="11">
        <v>31934.521000000001</v>
      </c>
      <c r="E265" s="11">
        <v>0</v>
      </c>
      <c r="F265" s="13">
        <f>SUMIF('OD 02-24'!A:A,A265,'OD 02-24'!D:D)</f>
        <v>16815.056</v>
      </c>
      <c r="G265" s="13">
        <f>SUMIF('OD 02-24'!A:A,A265,'OD 02-24'!E:E)</f>
        <v>14236.486999999999</v>
      </c>
      <c r="H265" s="14">
        <f t="shared" si="10"/>
        <v>34513.090000000004</v>
      </c>
      <c r="I265" s="14">
        <f t="shared" si="11"/>
        <v>60096.792000000001</v>
      </c>
      <c r="J265" s="8" t="s">
        <v>157</v>
      </c>
      <c r="K265" s="9" t="s">
        <v>512</v>
      </c>
      <c r="M265" s="9">
        <f>VLOOKUP($A265,'BAL 01-24'!$A$3:$I$322,9,0)</f>
        <v>25583.701999999997</v>
      </c>
      <c r="N265" s="315">
        <f t="shared" si="14"/>
        <v>0</v>
      </c>
    </row>
    <row r="266" spans="1:14" s="9" customFormat="1" ht="11.25" x14ac:dyDescent="0.2">
      <c r="A266" s="10">
        <v>60504000</v>
      </c>
      <c r="B266" s="10" t="s">
        <v>168</v>
      </c>
      <c r="C266" s="11">
        <v>1360</v>
      </c>
      <c r="D266" s="11">
        <v>400</v>
      </c>
      <c r="E266" s="11">
        <v>0</v>
      </c>
      <c r="F266" s="13">
        <f>SUMIF('OD 02-24'!A:A,A266,'OD 02-24'!D:D)</f>
        <v>0</v>
      </c>
      <c r="G266" s="13">
        <f>SUMIF('OD 02-24'!A:A,A266,'OD 02-24'!E:E)</f>
        <v>0</v>
      </c>
      <c r="H266" s="14">
        <f t="shared" si="10"/>
        <v>400</v>
      </c>
      <c r="I266" s="14">
        <f t="shared" si="11"/>
        <v>1760</v>
      </c>
      <c r="J266" s="8" t="s">
        <v>157</v>
      </c>
      <c r="K266" s="9" t="s">
        <v>512</v>
      </c>
      <c r="M266" s="9">
        <f>VLOOKUP($A266,'BAL 01-24'!$A$3:$I$322,9,0)</f>
        <v>1360</v>
      </c>
      <c r="N266" s="315">
        <f t="shared" si="14"/>
        <v>0</v>
      </c>
    </row>
    <row r="267" spans="1:14" s="9" customFormat="1" ht="11.25" x14ac:dyDescent="0.2">
      <c r="A267" s="10">
        <v>60614000</v>
      </c>
      <c r="B267" s="10" t="s">
        <v>171</v>
      </c>
      <c r="C267" s="11">
        <v>23889.333999999999</v>
      </c>
      <c r="D267" s="11">
        <v>33110.733999999997</v>
      </c>
      <c r="E267" s="11">
        <v>0</v>
      </c>
      <c r="F267" s="13">
        <f>SUMIF('OD 02-24'!A:A,A267,'OD 02-24'!D:D)</f>
        <v>0</v>
      </c>
      <c r="G267" s="13">
        <f>SUMIF('OD 02-24'!A:A,A267,'OD 02-24'!E:E)</f>
        <v>0</v>
      </c>
      <c r="H267" s="14">
        <f t="shared" si="10"/>
        <v>33110.733999999997</v>
      </c>
      <c r="I267" s="14">
        <f t="shared" si="11"/>
        <v>57000.067999999999</v>
      </c>
      <c r="J267" s="8" t="s">
        <v>157</v>
      </c>
      <c r="K267" s="9" t="s">
        <v>512</v>
      </c>
      <c r="M267" s="9">
        <f>VLOOKUP($A267,'BAL 01-24'!$A$3:$I$322,9,0)</f>
        <v>23889.333999999999</v>
      </c>
      <c r="N267" s="315">
        <f t="shared" si="14"/>
        <v>0</v>
      </c>
    </row>
    <row r="268" spans="1:14" s="9" customFormat="1" ht="11.25" x14ac:dyDescent="0.2">
      <c r="A268" s="10">
        <v>60620000</v>
      </c>
      <c r="B268" s="10" t="s">
        <v>172</v>
      </c>
      <c r="C268" s="11">
        <v>3586.7040000000002</v>
      </c>
      <c r="D268" s="11">
        <v>4915.8729999999996</v>
      </c>
      <c r="E268" s="11">
        <v>0</v>
      </c>
      <c r="F268" s="13">
        <f>SUMIF('OD 02-24'!A:A,A268,'OD 02-24'!D:D)</f>
        <v>754.7</v>
      </c>
      <c r="G268" s="13">
        <f>SUMIF('OD 02-24'!A:A,A268,'OD 02-24'!E:E)</f>
        <v>443</v>
      </c>
      <c r="H268" s="14">
        <f t="shared" si="10"/>
        <v>5227.5729999999994</v>
      </c>
      <c r="I268" s="14">
        <f t="shared" si="11"/>
        <v>8814.277</v>
      </c>
      <c r="J268" s="8" t="s">
        <v>157</v>
      </c>
      <c r="K268" s="9" t="s">
        <v>512</v>
      </c>
      <c r="M268" s="9">
        <f>VLOOKUP($A268,'BAL 01-24'!$A$3:$I$322,9,0)</f>
        <v>3586.7040000000002</v>
      </c>
      <c r="N268" s="315">
        <f t="shared" si="14"/>
        <v>0</v>
      </c>
    </row>
    <row r="269" spans="1:14" s="9" customFormat="1" ht="11.25" x14ac:dyDescent="0.2">
      <c r="A269" s="10">
        <v>60650000</v>
      </c>
      <c r="B269" s="10" t="s">
        <v>373</v>
      </c>
      <c r="C269" s="11">
        <v>0</v>
      </c>
      <c r="D269" s="11">
        <v>2700</v>
      </c>
      <c r="E269" s="11">
        <v>0</v>
      </c>
      <c r="F269" s="13">
        <f>SUMIF('OD 02-24'!A:A,A269,'OD 02-24'!D:D)</f>
        <v>0</v>
      </c>
      <c r="G269" s="13">
        <f>SUMIF('OD 02-24'!A:A,A269,'OD 02-24'!E:E)</f>
        <v>0</v>
      </c>
      <c r="H269" s="14">
        <f t="shared" si="10"/>
        <v>2700</v>
      </c>
      <c r="I269" s="14">
        <f t="shared" si="11"/>
        <v>2700</v>
      </c>
      <c r="J269" s="8" t="s">
        <v>138</v>
      </c>
      <c r="K269" s="9" t="s">
        <v>509</v>
      </c>
      <c r="M269" s="9">
        <f>VLOOKUP($A269,'BAL 01-24'!$A$3:$I$322,9,0)</f>
        <v>0</v>
      </c>
      <c r="N269" s="315">
        <f t="shared" si="14"/>
        <v>0</v>
      </c>
    </row>
    <row r="270" spans="1:14" s="9" customFormat="1" ht="11.25" x14ac:dyDescent="0.2">
      <c r="A270" s="10">
        <v>60660000</v>
      </c>
      <c r="B270" s="10" t="s">
        <v>173</v>
      </c>
      <c r="C270" s="11">
        <v>747.3</v>
      </c>
      <c r="D270" s="11">
        <v>2336.7449999999999</v>
      </c>
      <c r="E270" s="11">
        <v>0</v>
      </c>
      <c r="F270" s="13">
        <f>SUMIF('OD 02-24'!A:A,A270,'OD 02-24'!D:D)</f>
        <v>0</v>
      </c>
      <c r="G270" s="13">
        <f>SUMIF('OD 02-24'!A:A,A270,'OD 02-24'!E:E)</f>
        <v>0</v>
      </c>
      <c r="H270" s="14">
        <f t="shared" si="10"/>
        <v>2336.7449999999999</v>
      </c>
      <c r="I270" s="14">
        <f t="shared" si="11"/>
        <v>3084.0450000000001</v>
      </c>
      <c r="J270" s="8" t="s">
        <v>157</v>
      </c>
      <c r="K270" s="9" t="s">
        <v>512</v>
      </c>
      <c r="M270" s="9">
        <f>VLOOKUP($A270,'BAL 01-24'!$A$3:$I$322,9,0)</f>
        <v>747.3</v>
      </c>
      <c r="N270" s="315">
        <f t="shared" si="14"/>
        <v>0</v>
      </c>
    </row>
    <row r="271" spans="1:14" s="9" customFormat="1" ht="11.25" x14ac:dyDescent="0.2">
      <c r="A271" s="10">
        <v>60670000</v>
      </c>
      <c r="B271" s="10" t="s">
        <v>174</v>
      </c>
      <c r="C271" s="11">
        <v>2063.7599999999998</v>
      </c>
      <c r="D271" s="11">
        <v>1877.9</v>
      </c>
      <c r="E271" s="11">
        <v>0</v>
      </c>
      <c r="F271" s="13">
        <f>SUMIF('OD 02-24'!A:A,A271,'OD 02-24'!D:D)</f>
        <v>0</v>
      </c>
      <c r="G271" s="13">
        <f>SUMIF('OD 02-24'!A:A,A271,'OD 02-24'!E:E)</f>
        <v>0</v>
      </c>
      <c r="H271" s="14">
        <f t="shared" si="10"/>
        <v>1877.9</v>
      </c>
      <c r="I271" s="14">
        <f t="shared" si="11"/>
        <v>3941.66</v>
      </c>
      <c r="J271" s="8" t="s">
        <v>157</v>
      </c>
      <c r="K271" s="9" t="s">
        <v>512</v>
      </c>
      <c r="M271" s="9">
        <f>VLOOKUP($A271,'BAL 01-24'!$A$3:$I$322,9,0)</f>
        <v>2063.7599999999998</v>
      </c>
      <c r="N271" s="315">
        <f t="shared" si="14"/>
        <v>0</v>
      </c>
    </row>
    <row r="272" spans="1:14" s="9" customFormat="1" ht="11.25" x14ac:dyDescent="0.2">
      <c r="A272" s="10">
        <v>60671000</v>
      </c>
      <c r="B272" s="10" t="s">
        <v>374</v>
      </c>
      <c r="C272" s="11">
        <v>25454.258999999998</v>
      </c>
      <c r="D272" s="11">
        <v>8148.9</v>
      </c>
      <c r="E272" s="11">
        <v>0</v>
      </c>
      <c r="F272" s="13">
        <f>SUMIF('OD 02-24'!A:A,A272,'OD 02-24'!D:D)</f>
        <v>0</v>
      </c>
      <c r="G272" s="13">
        <f>SUMIF('OD 02-24'!A:A,A272,'OD 02-24'!E:E)</f>
        <v>0</v>
      </c>
      <c r="H272" s="14">
        <f t="shared" si="10"/>
        <v>8148.9</v>
      </c>
      <c r="I272" s="14">
        <f t="shared" si="11"/>
        <v>33603.159</v>
      </c>
      <c r="J272" s="8" t="s">
        <v>157</v>
      </c>
      <c r="K272" s="9" t="s">
        <v>512</v>
      </c>
      <c r="M272" s="9">
        <f>VLOOKUP($A272,'BAL 01-24'!$A$3:$I$322,9,0)</f>
        <v>25454.258999999998</v>
      </c>
      <c r="N272" s="315">
        <f t="shared" si="14"/>
        <v>0</v>
      </c>
    </row>
    <row r="273" spans="1:14" s="9" customFormat="1" ht="11.25" x14ac:dyDescent="0.2">
      <c r="A273" s="10">
        <v>61400000</v>
      </c>
      <c r="B273" s="10" t="s">
        <v>175</v>
      </c>
      <c r="C273" s="11">
        <v>2580</v>
      </c>
      <c r="D273" s="11">
        <v>3200</v>
      </c>
      <c r="E273" s="11">
        <v>0</v>
      </c>
      <c r="F273" s="13">
        <f>SUMIF('OD 02-24'!A:A,A273,'OD 02-24'!D:D)</f>
        <v>0</v>
      </c>
      <c r="G273" s="13">
        <f>SUMIF('OD 02-24'!A:A,A273,'OD 02-24'!E:E)</f>
        <v>0</v>
      </c>
      <c r="H273" s="14">
        <f t="shared" si="10"/>
        <v>3200</v>
      </c>
      <c r="I273" s="14">
        <f t="shared" si="11"/>
        <v>5780</v>
      </c>
      <c r="J273" s="8" t="s">
        <v>157</v>
      </c>
      <c r="K273" s="9" t="s">
        <v>512</v>
      </c>
      <c r="M273" s="9">
        <f>VLOOKUP($A273,'BAL 01-24'!$A$3:$I$322,9,0)</f>
        <v>2580</v>
      </c>
      <c r="N273" s="315">
        <f t="shared" si="14"/>
        <v>0</v>
      </c>
    </row>
    <row r="274" spans="1:14" s="9" customFormat="1" ht="11.25" x14ac:dyDescent="0.2">
      <c r="A274" s="10">
        <v>61500000</v>
      </c>
      <c r="B274" s="10" t="s">
        <v>176</v>
      </c>
      <c r="C274" s="11">
        <v>48405.508000000009</v>
      </c>
      <c r="D274" s="11">
        <v>28966.400000000001</v>
      </c>
      <c r="E274" s="11">
        <v>6581.25</v>
      </c>
      <c r="F274" s="13">
        <f>SUMIF('OD 02-24'!A:A,A274,'OD 02-24'!D:D)</f>
        <v>0</v>
      </c>
      <c r="G274" s="13">
        <f>SUMIF('OD 02-24'!A:A,A274,'OD 02-24'!E:E)</f>
        <v>14620.873</v>
      </c>
      <c r="H274" s="14">
        <f t="shared" ref="H274:H330" si="15">+D274+F274-E274-G274</f>
        <v>7764.2770000000019</v>
      </c>
      <c r="I274" s="14">
        <f t="shared" ref="I274:I330" si="16">+H274+C274</f>
        <v>56169.785000000011</v>
      </c>
      <c r="J274" s="8" t="s">
        <v>157</v>
      </c>
      <c r="K274" s="9" t="s">
        <v>512</v>
      </c>
      <c r="M274" s="9">
        <f>VLOOKUP($A274,'BAL 01-24'!$A$3:$I$322,9,0)</f>
        <v>48405.508000000009</v>
      </c>
      <c r="N274" s="315">
        <f t="shared" si="14"/>
        <v>0</v>
      </c>
    </row>
    <row r="275" spans="1:14" s="9" customFormat="1" ht="11.25" x14ac:dyDescent="0.2">
      <c r="A275" s="10">
        <v>61501000</v>
      </c>
      <c r="B275" s="10" t="s">
        <v>177</v>
      </c>
      <c r="C275" s="11">
        <v>11375.592000000001</v>
      </c>
      <c r="D275" s="11">
        <v>17152.178999999996</v>
      </c>
      <c r="E275" s="11">
        <v>0</v>
      </c>
      <c r="F275" s="13">
        <f>SUMIF('OD 02-24'!A:A,A275,'OD 02-24'!D:D)</f>
        <v>0</v>
      </c>
      <c r="G275" s="13">
        <f>SUMIF('OD 02-24'!A:A,A275,'OD 02-24'!E:E)</f>
        <v>0</v>
      </c>
      <c r="H275" s="14">
        <f t="shared" si="15"/>
        <v>17152.178999999996</v>
      </c>
      <c r="I275" s="14">
        <f t="shared" si="16"/>
        <v>28527.770999999997</v>
      </c>
      <c r="J275" s="8" t="s">
        <v>157</v>
      </c>
      <c r="K275" s="9" t="s">
        <v>512</v>
      </c>
      <c r="M275" s="9">
        <f>VLOOKUP($A275,'BAL 01-24'!$A$3:$I$322,9,0)</f>
        <v>11375.592000000001</v>
      </c>
      <c r="N275" s="315">
        <f t="shared" si="14"/>
        <v>0</v>
      </c>
    </row>
    <row r="276" spans="1:14" s="9" customFormat="1" ht="11.25" x14ac:dyDescent="0.2">
      <c r="A276" s="10">
        <v>61600000</v>
      </c>
      <c r="B276" s="10" t="s">
        <v>397</v>
      </c>
      <c r="C276" s="11">
        <v>16200</v>
      </c>
      <c r="D276" s="11">
        <v>16622.400000000001</v>
      </c>
      <c r="E276" s="11">
        <v>0</v>
      </c>
      <c r="F276" s="13">
        <f>SUMIF('OD 02-24'!A:A,A276,'OD 02-24'!D:D)</f>
        <v>0</v>
      </c>
      <c r="G276" s="13">
        <f>SUMIF('OD 02-24'!A:A,A276,'OD 02-24'!E:E)</f>
        <v>13503.6</v>
      </c>
      <c r="H276" s="14">
        <f t="shared" si="15"/>
        <v>3118.8000000000011</v>
      </c>
      <c r="I276" s="14">
        <f t="shared" si="16"/>
        <v>19318.800000000003</v>
      </c>
      <c r="J276" s="8" t="s">
        <v>157</v>
      </c>
      <c r="K276" s="9" t="s">
        <v>512</v>
      </c>
      <c r="M276" s="9">
        <f>VLOOKUP($A276,'BAL 01-24'!$A$3:$I$322,9,0)</f>
        <v>16200</v>
      </c>
      <c r="N276" s="315">
        <f t="shared" si="14"/>
        <v>0</v>
      </c>
    </row>
    <row r="277" spans="1:14" s="9" customFormat="1" ht="11.25" x14ac:dyDescent="0.2">
      <c r="A277" s="10">
        <v>61603000</v>
      </c>
      <c r="B277" s="10" t="s">
        <v>178</v>
      </c>
      <c r="C277" s="11">
        <v>2359.1680000000001</v>
      </c>
      <c r="D277" s="11">
        <v>0</v>
      </c>
      <c r="E277" s="11">
        <v>0</v>
      </c>
      <c r="F277" s="13">
        <f>SUMIF('OD 02-24'!A:A,A277,'OD 02-24'!D:D)</f>
        <v>4718.3360000000002</v>
      </c>
      <c r="G277" s="13">
        <f>SUMIF('OD 02-24'!A:A,A277,'OD 02-24'!E:E)</f>
        <v>2359.1680000000001</v>
      </c>
      <c r="H277" s="14">
        <f t="shared" si="15"/>
        <v>2359.1680000000001</v>
      </c>
      <c r="I277" s="14">
        <f t="shared" si="16"/>
        <v>4718.3360000000002</v>
      </c>
      <c r="J277" s="8" t="s">
        <v>157</v>
      </c>
      <c r="K277" s="9" t="s">
        <v>512</v>
      </c>
      <c r="M277" s="9">
        <f>VLOOKUP($A277,'BAL 01-24'!$A$3:$I$322,9,0)</f>
        <v>2359.1680000000001</v>
      </c>
      <c r="N277" s="315">
        <f t="shared" si="14"/>
        <v>0</v>
      </c>
    </row>
    <row r="278" spans="1:14" s="9" customFormat="1" ht="11.25" x14ac:dyDescent="0.2">
      <c r="A278" s="10">
        <v>61607000</v>
      </c>
      <c r="B278" s="10" t="s">
        <v>179</v>
      </c>
      <c r="C278" s="11">
        <v>0</v>
      </c>
      <c r="D278" s="11">
        <v>0</v>
      </c>
      <c r="E278" s="11">
        <v>0</v>
      </c>
      <c r="F278" s="13">
        <f>SUMIF('OD 02-24'!A:A,A278,'OD 02-24'!D:D)</f>
        <v>0</v>
      </c>
      <c r="G278" s="13">
        <f>SUMIF('OD 02-24'!A:A,A278,'OD 02-24'!E:E)</f>
        <v>0</v>
      </c>
      <c r="H278" s="14">
        <f t="shared" si="15"/>
        <v>0</v>
      </c>
      <c r="I278" s="14">
        <f t="shared" si="16"/>
        <v>0</v>
      </c>
      <c r="J278" s="8" t="s">
        <v>157</v>
      </c>
      <c r="K278" s="9" t="s">
        <v>512</v>
      </c>
      <c r="M278" s="9">
        <f>VLOOKUP($A278,'BAL 01-24'!$A$3:$I$322,9,0)</f>
        <v>0</v>
      </c>
      <c r="N278" s="315">
        <f t="shared" si="14"/>
        <v>0</v>
      </c>
    </row>
    <row r="279" spans="1:14" s="9" customFormat="1" ht="11.25" x14ac:dyDescent="0.2">
      <c r="A279" s="10">
        <v>62120000</v>
      </c>
      <c r="B279" s="10" t="s">
        <v>180</v>
      </c>
      <c r="C279" s="11">
        <v>5222.7800000000007</v>
      </c>
      <c r="D279" s="11">
        <v>5491.58</v>
      </c>
      <c r="E279" s="11">
        <v>0</v>
      </c>
      <c r="F279" s="13">
        <f>SUMIF('OD 02-24'!A:A,A279,'OD 02-24'!D:D)</f>
        <v>0</v>
      </c>
      <c r="G279" s="13">
        <f>SUMIF('OD 02-24'!A:A,A279,'OD 02-24'!E:E)</f>
        <v>0</v>
      </c>
      <c r="H279" s="14">
        <f t="shared" si="15"/>
        <v>5491.58</v>
      </c>
      <c r="I279" s="14">
        <f t="shared" si="16"/>
        <v>10714.36</v>
      </c>
      <c r="J279" s="8" t="s">
        <v>157</v>
      </c>
      <c r="K279" s="9" t="s">
        <v>512</v>
      </c>
      <c r="M279" s="9">
        <f>VLOOKUP($A279,'BAL 01-24'!$A$3:$I$322,9,0)</f>
        <v>5222.7800000000007</v>
      </c>
      <c r="N279" s="315">
        <f t="shared" si="14"/>
        <v>0</v>
      </c>
    </row>
    <row r="280" spans="1:14" s="9" customFormat="1" ht="11.25" x14ac:dyDescent="0.2">
      <c r="A280" s="10">
        <v>62200000</v>
      </c>
      <c r="B280" s="10" t="s">
        <v>181</v>
      </c>
      <c r="C280" s="11">
        <v>20529.16</v>
      </c>
      <c r="D280" s="11">
        <v>0</v>
      </c>
      <c r="E280" s="11">
        <v>0</v>
      </c>
      <c r="F280" s="13">
        <f>SUMIF('OD 02-24'!A:A,A280,'OD 02-24'!D:D)</f>
        <v>0</v>
      </c>
      <c r="G280" s="13">
        <f>SUMIF('OD 02-24'!A:A,A280,'OD 02-24'!E:E)</f>
        <v>0</v>
      </c>
      <c r="H280" s="14">
        <f t="shared" si="15"/>
        <v>0</v>
      </c>
      <c r="I280" s="14">
        <f t="shared" si="16"/>
        <v>20529.16</v>
      </c>
      <c r="J280" s="8" t="s">
        <v>157</v>
      </c>
      <c r="K280" s="9" t="s">
        <v>512</v>
      </c>
      <c r="M280" s="9">
        <f>VLOOKUP($A280,'BAL 01-24'!$A$3:$I$322,9,0)</f>
        <v>20529.16</v>
      </c>
      <c r="N280" s="315">
        <f t="shared" si="14"/>
        <v>0</v>
      </c>
    </row>
    <row r="281" spans="1:14" s="9" customFormat="1" ht="11.25" x14ac:dyDescent="0.2">
      <c r="A281" s="10">
        <v>62210000</v>
      </c>
      <c r="B281" s="10" t="s">
        <v>398</v>
      </c>
      <c r="C281" s="11">
        <v>7600</v>
      </c>
      <c r="D281" s="11">
        <v>0</v>
      </c>
      <c r="E281" s="11">
        <v>0</v>
      </c>
      <c r="F281" s="13">
        <f>SUMIF('OD 02-24'!A:A,A281,'OD 02-24'!D:D)</f>
        <v>0</v>
      </c>
      <c r="G281" s="13">
        <f>SUMIF('OD 02-24'!A:A,A281,'OD 02-24'!E:E)</f>
        <v>0</v>
      </c>
      <c r="H281" s="14">
        <f t="shared" si="15"/>
        <v>0</v>
      </c>
      <c r="I281" s="14">
        <f t="shared" si="16"/>
        <v>7600</v>
      </c>
      <c r="J281" s="8" t="s">
        <v>157</v>
      </c>
      <c r="K281" s="9" t="s">
        <v>512</v>
      </c>
      <c r="M281" s="9">
        <f>VLOOKUP($A281,'BAL 01-24'!$A$3:$I$322,9,0)</f>
        <v>7600</v>
      </c>
      <c r="N281" s="315">
        <f t="shared" si="14"/>
        <v>0</v>
      </c>
    </row>
    <row r="282" spans="1:14" s="9" customFormat="1" ht="11.25" x14ac:dyDescent="0.2">
      <c r="A282" s="10">
        <v>62230000</v>
      </c>
      <c r="B282" s="10" t="s">
        <v>375</v>
      </c>
      <c r="C282" s="11">
        <v>2629.6</v>
      </c>
      <c r="D282" s="11">
        <v>1500</v>
      </c>
      <c r="E282" s="11">
        <v>0</v>
      </c>
      <c r="F282" s="13">
        <f>SUMIF('OD 02-24'!A:A,A282,'OD 02-24'!D:D)</f>
        <v>0</v>
      </c>
      <c r="G282" s="13">
        <f>SUMIF('OD 02-24'!A:A,A282,'OD 02-24'!E:E)</f>
        <v>0</v>
      </c>
      <c r="H282" s="14">
        <f t="shared" si="15"/>
        <v>1500</v>
      </c>
      <c r="I282" s="14">
        <f t="shared" si="16"/>
        <v>4129.6000000000004</v>
      </c>
      <c r="J282" s="8" t="s">
        <v>157</v>
      </c>
      <c r="K282" s="9" t="s">
        <v>512</v>
      </c>
      <c r="M282" s="9">
        <f>VLOOKUP($A282,'BAL 01-24'!$A$3:$I$322,9,0)</f>
        <v>2629.6</v>
      </c>
      <c r="N282" s="315">
        <f t="shared" si="14"/>
        <v>0</v>
      </c>
    </row>
    <row r="283" spans="1:14" s="9" customFormat="1" ht="11.25" x14ac:dyDescent="0.2">
      <c r="A283" s="10">
        <v>62240000</v>
      </c>
      <c r="B283" s="10" t="s">
        <v>267</v>
      </c>
      <c r="C283" s="11">
        <v>5996.4830000000002</v>
      </c>
      <c r="D283" s="11">
        <v>0</v>
      </c>
      <c r="E283" s="11">
        <v>0</v>
      </c>
      <c r="F283" s="13">
        <f>SUMIF('OD 02-24'!A:A,A283,'OD 02-24'!D:D)</f>
        <v>42861.317000000003</v>
      </c>
      <c r="G283" s="13">
        <f>SUMIF('OD 02-24'!A:A,A283,'OD 02-24'!E:E)</f>
        <v>38964.832999999999</v>
      </c>
      <c r="H283" s="14">
        <f t="shared" si="15"/>
        <v>3896.484000000004</v>
      </c>
      <c r="I283" s="14">
        <f t="shared" si="16"/>
        <v>9892.9670000000042</v>
      </c>
      <c r="J283" s="8" t="s">
        <v>157</v>
      </c>
      <c r="K283" s="9" t="s">
        <v>512</v>
      </c>
      <c r="M283" s="9">
        <f>VLOOKUP($A283,'BAL 01-24'!$A$3:$I$322,9,0)</f>
        <v>5996.4830000000002</v>
      </c>
      <c r="N283" s="315">
        <f t="shared" si="14"/>
        <v>0</v>
      </c>
    </row>
    <row r="284" spans="1:14" s="9" customFormat="1" ht="11.25" x14ac:dyDescent="0.2">
      <c r="A284" s="10">
        <v>62250000</v>
      </c>
      <c r="B284" s="10" t="s">
        <v>268</v>
      </c>
      <c r="C284" s="11">
        <v>2500</v>
      </c>
      <c r="D284" s="11">
        <v>0</v>
      </c>
      <c r="E284" s="11">
        <v>0</v>
      </c>
      <c r="F284" s="13">
        <f>SUMIF('OD 02-24'!A:A,A284,'OD 02-24'!D:D)</f>
        <v>5000</v>
      </c>
      <c r="G284" s="13">
        <f>SUMIF('OD 02-24'!A:A,A284,'OD 02-24'!E:E)</f>
        <v>2500</v>
      </c>
      <c r="H284" s="14">
        <f t="shared" si="15"/>
        <v>2500</v>
      </c>
      <c r="I284" s="14">
        <f t="shared" si="16"/>
        <v>5000</v>
      </c>
      <c r="J284" s="8" t="s">
        <v>157</v>
      </c>
      <c r="K284" s="9" t="s">
        <v>512</v>
      </c>
      <c r="M284" s="9">
        <f>VLOOKUP($A284,'BAL 01-24'!$A$3:$I$322,9,0)</f>
        <v>2500</v>
      </c>
      <c r="N284" s="315">
        <f t="shared" si="14"/>
        <v>0</v>
      </c>
    </row>
    <row r="285" spans="1:14" s="9" customFormat="1" ht="11.25" x14ac:dyDescent="0.2">
      <c r="A285" s="10">
        <v>62260000</v>
      </c>
      <c r="B285" s="10" t="s">
        <v>7402</v>
      </c>
      <c r="C285" s="11">
        <v>0</v>
      </c>
      <c r="D285" s="11">
        <v>1618</v>
      </c>
      <c r="E285" s="11">
        <v>0</v>
      </c>
      <c r="F285" s="13">
        <f>SUMIF('OD 02-24'!A:A,A285,'OD 02-24'!D:D)</f>
        <v>0</v>
      </c>
      <c r="G285" s="13">
        <f>SUMIF('OD 02-24'!A:A,A285,'OD 02-24'!E:E)</f>
        <v>0</v>
      </c>
      <c r="H285" s="14">
        <f t="shared" si="15"/>
        <v>1618</v>
      </c>
      <c r="I285" s="14">
        <f t="shared" si="16"/>
        <v>1618</v>
      </c>
      <c r="J285" s="8" t="s">
        <v>157</v>
      </c>
      <c r="K285" s="9" t="s">
        <v>512</v>
      </c>
      <c r="M285" s="9" t="e">
        <f>VLOOKUP($A285,'BAL 01-24'!$A$3:$I$322,9,0)</f>
        <v>#N/A</v>
      </c>
      <c r="N285" s="315" t="e">
        <f t="shared" si="14"/>
        <v>#N/A</v>
      </c>
    </row>
    <row r="286" spans="1:14" s="9" customFormat="1" ht="11.25" x14ac:dyDescent="0.2">
      <c r="A286" s="10">
        <v>62270000</v>
      </c>
      <c r="B286" s="10" t="s">
        <v>399</v>
      </c>
      <c r="C286" s="11">
        <v>64.486000000000004</v>
      </c>
      <c r="D286" s="11">
        <v>20</v>
      </c>
      <c r="E286" s="11">
        <v>0</v>
      </c>
      <c r="F286" s="13">
        <f>SUMIF('OD 02-24'!A:A,A286,'OD 02-24'!D:D)</f>
        <v>0</v>
      </c>
      <c r="G286" s="13">
        <f>SUMIF('OD 02-24'!A:A,A286,'OD 02-24'!E:E)</f>
        <v>0</v>
      </c>
      <c r="H286" s="14">
        <f t="shared" si="15"/>
        <v>20</v>
      </c>
      <c r="I286" s="14">
        <f t="shared" si="16"/>
        <v>84.486000000000004</v>
      </c>
      <c r="J286" s="8" t="s">
        <v>157</v>
      </c>
      <c r="K286" s="9" t="s">
        <v>512</v>
      </c>
      <c r="M286" s="9">
        <f>VLOOKUP($A286,'BAL 01-24'!$A$3:$I$322,9,0)</f>
        <v>64.486000000000004</v>
      </c>
      <c r="N286" s="315">
        <f t="shared" si="14"/>
        <v>0</v>
      </c>
    </row>
    <row r="287" spans="1:14" s="9" customFormat="1" ht="11.25" x14ac:dyDescent="0.2">
      <c r="A287" s="10">
        <v>62300000</v>
      </c>
      <c r="B287" s="10" t="s">
        <v>182</v>
      </c>
      <c r="C287" s="11">
        <v>11500</v>
      </c>
      <c r="D287" s="11">
        <v>1576</v>
      </c>
      <c r="E287" s="11">
        <v>0</v>
      </c>
      <c r="F287" s="13">
        <f>SUMIF('OD 02-24'!A:A,A287,'OD 02-24'!D:D)</f>
        <v>23000</v>
      </c>
      <c r="G287" s="13">
        <f>SUMIF('OD 02-24'!A:A,A287,'OD 02-24'!E:E)</f>
        <v>11500</v>
      </c>
      <c r="H287" s="14">
        <f t="shared" si="15"/>
        <v>13076</v>
      </c>
      <c r="I287" s="14">
        <f t="shared" si="16"/>
        <v>24576</v>
      </c>
      <c r="J287" s="8" t="s">
        <v>157</v>
      </c>
      <c r="K287" s="9" t="s">
        <v>512</v>
      </c>
      <c r="M287" s="9">
        <f>VLOOKUP($A287,'BAL 01-24'!$A$3:$I$322,9,0)</f>
        <v>11500</v>
      </c>
      <c r="N287" s="315">
        <f t="shared" si="14"/>
        <v>0</v>
      </c>
    </row>
    <row r="288" spans="1:14" s="9" customFormat="1" ht="11.25" x14ac:dyDescent="0.2">
      <c r="A288" s="10">
        <v>62410000</v>
      </c>
      <c r="B288" s="10" t="s">
        <v>183</v>
      </c>
      <c r="C288" s="11">
        <v>160</v>
      </c>
      <c r="D288" s="11">
        <v>1233</v>
      </c>
      <c r="E288" s="11">
        <v>0</v>
      </c>
      <c r="F288" s="13">
        <f>SUMIF('OD 02-24'!A:A,A288,'OD 02-24'!D:D)</f>
        <v>0</v>
      </c>
      <c r="G288" s="13">
        <f>SUMIF('OD 02-24'!A:A,A288,'OD 02-24'!E:E)</f>
        <v>0</v>
      </c>
      <c r="H288" s="14">
        <f t="shared" si="15"/>
        <v>1233</v>
      </c>
      <c r="I288" s="14">
        <f t="shared" si="16"/>
        <v>1393</v>
      </c>
      <c r="J288" s="8" t="s">
        <v>157</v>
      </c>
      <c r="K288" s="9" t="s">
        <v>512</v>
      </c>
      <c r="M288" s="9">
        <f>VLOOKUP($A288,'BAL 01-24'!$A$3:$I$322,9,0)</f>
        <v>160</v>
      </c>
      <c r="N288" s="315">
        <f t="shared" si="14"/>
        <v>0</v>
      </c>
    </row>
    <row r="289" spans="1:14" s="9" customFormat="1" ht="11.25" x14ac:dyDescent="0.2">
      <c r="A289" s="10">
        <v>62420000</v>
      </c>
      <c r="B289" s="10" t="s">
        <v>184</v>
      </c>
      <c r="C289" s="11">
        <v>420</v>
      </c>
      <c r="D289" s="11">
        <v>0</v>
      </c>
      <c r="E289" s="11">
        <v>0</v>
      </c>
      <c r="F289" s="13">
        <f>SUMIF('OD 02-24'!A:A,A289,'OD 02-24'!D:D)</f>
        <v>0</v>
      </c>
      <c r="G289" s="13">
        <f>SUMIF('OD 02-24'!A:A,A289,'OD 02-24'!E:E)</f>
        <v>0</v>
      </c>
      <c r="H289" s="14">
        <f t="shared" si="15"/>
        <v>0</v>
      </c>
      <c r="I289" s="14">
        <f t="shared" si="16"/>
        <v>420</v>
      </c>
      <c r="J289" s="8" t="s">
        <v>157</v>
      </c>
      <c r="K289" s="9" t="s">
        <v>512</v>
      </c>
      <c r="M289" s="9">
        <f>VLOOKUP($A289,'BAL 01-24'!$A$3:$I$322,9,0)</f>
        <v>420</v>
      </c>
      <c r="N289" s="315">
        <f t="shared" si="14"/>
        <v>0</v>
      </c>
    </row>
    <row r="290" spans="1:14" s="9" customFormat="1" ht="11.25" x14ac:dyDescent="0.2">
      <c r="A290" s="10">
        <v>62430000</v>
      </c>
      <c r="B290" s="10" t="s">
        <v>159</v>
      </c>
      <c r="C290" s="11">
        <v>104670.92</v>
      </c>
      <c r="D290" s="11">
        <v>100862.12</v>
      </c>
      <c r="E290" s="11">
        <v>0</v>
      </c>
      <c r="F290" s="13">
        <f>SUMIF('OD 02-24'!A:A,A290,'OD 02-24'!D:D)</f>
        <v>0</v>
      </c>
      <c r="G290" s="13">
        <f>SUMIF('OD 02-24'!A:A,A290,'OD 02-24'!E:E)</f>
        <v>0</v>
      </c>
      <c r="H290" s="14">
        <f t="shared" si="15"/>
        <v>100862.12</v>
      </c>
      <c r="I290" s="14">
        <f t="shared" si="16"/>
        <v>205533.03999999998</v>
      </c>
      <c r="J290" s="8" t="s">
        <v>157</v>
      </c>
      <c r="K290" s="9" t="s">
        <v>512</v>
      </c>
      <c r="M290" s="9">
        <f>VLOOKUP($A290,'BAL 01-24'!$A$3:$I$322,9,0)</f>
        <v>104670.92</v>
      </c>
      <c r="N290" s="315">
        <f t="shared" si="14"/>
        <v>0</v>
      </c>
    </row>
    <row r="291" spans="1:14" s="9" customFormat="1" ht="11.25" x14ac:dyDescent="0.2">
      <c r="A291" s="10">
        <v>62500000</v>
      </c>
      <c r="B291" s="10" t="s">
        <v>185</v>
      </c>
      <c r="C291" s="11">
        <v>21.2</v>
      </c>
      <c r="D291" s="11">
        <v>223.55500000000001</v>
      </c>
      <c r="E291" s="11">
        <v>0</v>
      </c>
      <c r="F291" s="13">
        <f>SUMIF('OD 02-24'!A:A,A291,'OD 02-24'!D:D)</f>
        <v>0</v>
      </c>
      <c r="G291" s="13">
        <f>SUMIF('OD 02-24'!A:A,A291,'OD 02-24'!E:E)</f>
        <v>0</v>
      </c>
      <c r="H291" s="14">
        <f t="shared" si="15"/>
        <v>223.55500000000001</v>
      </c>
      <c r="I291" s="14">
        <f t="shared" si="16"/>
        <v>244.755</v>
      </c>
      <c r="J291" s="8" t="s">
        <v>157</v>
      </c>
      <c r="K291" s="9" t="s">
        <v>512</v>
      </c>
      <c r="M291" s="9">
        <f>VLOOKUP($A291,'BAL 01-24'!$A$3:$I$322,9,0)</f>
        <v>21.2</v>
      </c>
      <c r="N291" s="315">
        <f t="shared" si="14"/>
        <v>0</v>
      </c>
    </row>
    <row r="292" spans="1:14" s="9" customFormat="1" ht="11.25" x14ac:dyDescent="0.2">
      <c r="A292" s="10">
        <v>62520000</v>
      </c>
      <c r="B292" s="10" t="s">
        <v>7403</v>
      </c>
      <c r="C292" s="11">
        <v>0</v>
      </c>
      <c r="D292" s="11">
        <v>2176</v>
      </c>
      <c r="E292" s="11">
        <v>0</v>
      </c>
      <c r="F292" s="13">
        <f>SUMIF('OD 02-24'!A:A,A292,'OD 02-24'!D:D)</f>
        <v>0</v>
      </c>
      <c r="G292" s="13">
        <f>SUMIF('OD 02-24'!A:A,A292,'OD 02-24'!E:E)</f>
        <v>0</v>
      </c>
      <c r="H292" s="14">
        <f t="shared" si="15"/>
        <v>2176</v>
      </c>
      <c r="I292" s="14">
        <f t="shared" si="16"/>
        <v>2176</v>
      </c>
      <c r="J292" s="8" t="s">
        <v>157</v>
      </c>
      <c r="K292" s="9" t="s">
        <v>512</v>
      </c>
      <c r="M292" s="9" t="e">
        <f>VLOOKUP($A292,'BAL 01-24'!$A$3:$I$322,9,0)</f>
        <v>#N/A</v>
      </c>
      <c r="N292" s="315" t="e">
        <f t="shared" si="14"/>
        <v>#N/A</v>
      </c>
    </row>
    <row r="293" spans="1:14" s="9" customFormat="1" ht="11.25" x14ac:dyDescent="0.2">
      <c r="A293" s="10">
        <v>62570000</v>
      </c>
      <c r="B293" s="10" t="s">
        <v>186</v>
      </c>
      <c r="C293" s="11">
        <v>213.46999999999997</v>
      </c>
      <c r="D293" s="11">
        <v>4789.2</v>
      </c>
      <c r="E293" s="11">
        <v>0</v>
      </c>
      <c r="F293" s="13">
        <f>SUMIF('OD 02-24'!A:A,A293,'OD 02-24'!D:D)</f>
        <v>0</v>
      </c>
      <c r="G293" s="13">
        <f>SUMIF('OD 02-24'!A:A,A293,'OD 02-24'!E:E)</f>
        <v>0</v>
      </c>
      <c r="H293" s="14">
        <f t="shared" si="15"/>
        <v>4789.2</v>
      </c>
      <c r="I293" s="14">
        <f t="shared" si="16"/>
        <v>5002.67</v>
      </c>
      <c r="J293" s="8" t="s">
        <v>157</v>
      </c>
      <c r="K293" s="9" t="s">
        <v>512</v>
      </c>
      <c r="M293" s="9">
        <f>VLOOKUP($A293,'BAL 01-24'!$A$3:$I$322,9,0)</f>
        <v>213.46999999999997</v>
      </c>
      <c r="N293" s="315">
        <f t="shared" si="14"/>
        <v>0</v>
      </c>
    </row>
    <row r="294" spans="1:14" s="9" customFormat="1" ht="11.25" x14ac:dyDescent="0.2">
      <c r="A294" s="10">
        <v>62571000</v>
      </c>
      <c r="B294" s="10" t="s">
        <v>376</v>
      </c>
      <c r="C294" s="11">
        <v>2269.4</v>
      </c>
      <c r="D294" s="11">
        <v>1319.7</v>
      </c>
      <c r="E294" s="11">
        <v>0</v>
      </c>
      <c r="F294" s="13">
        <f>SUMIF('OD 02-24'!A:A,A294,'OD 02-24'!D:D)</f>
        <v>0</v>
      </c>
      <c r="G294" s="13">
        <f>SUMIF('OD 02-24'!A:A,A294,'OD 02-24'!E:E)</f>
        <v>0</v>
      </c>
      <c r="H294" s="14">
        <f t="shared" si="15"/>
        <v>1319.7</v>
      </c>
      <c r="I294" s="14">
        <f t="shared" si="16"/>
        <v>3589.1000000000004</v>
      </c>
      <c r="J294" s="8" t="s">
        <v>157</v>
      </c>
      <c r="K294" s="9" t="s">
        <v>512</v>
      </c>
      <c r="M294" s="9">
        <f>VLOOKUP($A294,'BAL 01-24'!$A$3:$I$322,9,0)</f>
        <v>2269.4</v>
      </c>
      <c r="N294" s="315">
        <f t="shared" si="14"/>
        <v>0</v>
      </c>
    </row>
    <row r="295" spans="1:14" s="9" customFormat="1" ht="11.25" x14ac:dyDescent="0.2">
      <c r="A295" s="10">
        <v>62572000</v>
      </c>
      <c r="B295" s="10" t="s">
        <v>377</v>
      </c>
      <c r="C295" s="11">
        <v>1843.2</v>
      </c>
      <c r="D295" s="11">
        <v>894.4</v>
      </c>
      <c r="E295" s="11">
        <v>0</v>
      </c>
      <c r="F295" s="13">
        <f>SUMIF('OD 02-24'!A:A,A295,'OD 02-24'!D:D)</f>
        <v>0</v>
      </c>
      <c r="G295" s="13">
        <f>SUMIF('OD 02-24'!A:A,A295,'OD 02-24'!E:E)</f>
        <v>0</v>
      </c>
      <c r="H295" s="14">
        <f t="shared" si="15"/>
        <v>894.4</v>
      </c>
      <c r="I295" s="14">
        <f t="shared" si="16"/>
        <v>2737.6</v>
      </c>
      <c r="J295" s="8" t="s">
        <v>157</v>
      </c>
      <c r="K295" s="9" t="s">
        <v>512</v>
      </c>
      <c r="M295" s="9">
        <f>VLOOKUP($A295,'BAL 01-24'!$A$3:$I$322,9,0)</f>
        <v>1843.2</v>
      </c>
      <c r="N295" s="315">
        <f t="shared" si="14"/>
        <v>0</v>
      </c>
    </row>
    <row r="296" spans="1:14" s="9" customFormat="1" ht="11.25" x14ac:dyDescent="0.2">
      <c r="A296" s="10">
        <v>62573000</v>
      </c>
      <c r="B296" s="10" t="s">
        <v>378</v>
      </c>
      <c r="C296" s="11">
        <v>0</v>
      </c>
      <c r="D296" s="11">
        <v>324.46300000000002</v>
      </c>
      <c r="E296" s="11">
        <v>0</v>
      </c>
      <c r="F296" s="13">
        <f>SUMIF('OD 02-24'!A:A,A296,'OD 02-24'!D:D)</f>
        <v>0</v>
      </c>
      <c r="G296" s="13">
        <f>SUMIF('OD 02-24'!A:A,A296,'OD 02-24'!E:E)</f>
        <v>0</v>
      </c>
      <c r="H296" s="14">
        <f t="shared" si="15"/>
        <v>324.46300000000002</v>
      </c>
      <c r="I296" s="14">
        <f t="shared" si="16"/>
        <v>324.46300000000002</v>
      </c>
      <c r="J296" s="8" t="s">
        <v>157</v>
      </c>
      <c r="K296" s="9" t="s">
        <v>512</v>
      </c>
      <c r="M296" s="9">
        <f>VLOOKUP($A296,'BAL 01-24'!$A$3:$I$322,9,0)</f>
        <v>0</v>
      </c>
      <c r="N296" s="315">
        <f t="shared" si="14"/>
        <v>0</v>
      </c>
    </row>
    <row r="297" spans="1:14" s="9" customFormat="1" ht="11.25" x14ac:dyDescent="0.2">
      <c r="A297" s="10">
        <v>62580000</v>
      </c>
      <c r="B297" s="10" t="s">
        <v>187</v>
      </c>
      <c r="C297" s="11">
        <v>339.7</v>
      </c>
      <c r="D297" s="11">
        <v>410</v>
      </c>
      <c r="E297" s="11">
        <v>0</v>
      </c>
      <c r="F297" s="13">
        <f>SUMIF('OD 02-24'!A:A,A297,'OD 02-24'!D:D)</f>
        <v>0</v>
      </c>
      <c r="G297" s="13">
        <f>SUMIF('OD 02-24'!A:A,A297,'OD 02-24'!E:E)</f>
        <v>0</v>
      </c>
      <c r="H297" s="14">
        <f t="shared" si="15"/>
        <v>410</v>
      </c>
      <c r="I297" s="14">
        <f t="shared" si="16"/>
        <v>749.7</v>
      </c>
      <c r="J297" s="8" t="s">
        <v>157</v>
      </c>
      <c r="K297" s="9" t="s">
        <v>512</v>
      </c>
      <c r="M297" s="9">
        <f>VLOOKUP($A297,'BAL 01-24'!$A$3:$I$322,9,0)</f>
        <v>339.7</v>
      </c>
      <c r="N297" s="315">
        <f t="shared" si="14"/>
        <v>0</v>
      </c>
    </row>
    <row r="298" spans="1:14" s="9" customFormat="1" ht="11.25" x14ac:dyDescent="0.2">
      <c r="A298" s="10">
        <v>62600000</v>
      </c>
      <c r="B298" s="10" t="s">
        <v>188</v>
      </c>
      <c r="C298" s="11">
        <v>3191.0180000000009</v>
      </c>
      <c r="D298" s="11">
        <v>1066.895</v>
      </c>
      <c r="E298" s="11">
        <v>0</v>
      </c>
      <c r="F298" s="13">
        <f>SUMIF('OD 02-24'!A:A,A298,'OD 02-24'!D:D)</f>
        <v>4376</v>
      </c>
      <c r="G298" s="13">
        <f>SUMIF('OD 02-24'!A:A,A298,'OD 02-24'!E:E)</f>
        <v>2188</v>
      </c>
      <c r="H298" s="14">
        <f t="shared" si="15"/>
        <v>3254.8950000000004</v>
      </c>
      <c r="I298" s="14">
        <f t="shared" si="16"/>
        <v>6445.9130000000014</v>
      </c>
      <c r="J298" s="8" t="s">
        <v>157</v>
      </c>
      <c r="K298" s="9" t="s">
        <v>512</v>
      </c>
      <c r="M298" s="9">
        <f>VLOOKUP($A298,'BAL 01-24'!$A$3:$I$322,9,0)</f>
        <v>3191.0180000000009</v>
      </c>
      <c r="N298" s="315">
        <f t="shared" si="14"/>
        <v>0</v>
      </c>
    </row>
    <row r="299" spans="1:14" s="9" customFormat="1" ht="11.25" x14ac:dyDescent="0.2">
      <c r="A299" s="10">
        <v>62780000</v>
      </c>
      <c r="B299" s="10" t="s">
        <v>189</v>
      </c>
      <c r="C299" s="11">
        <v>25452.846999999998</v>
      </c>
      <c r="D299" s="11">
        <v>4159.875</v>
      </c>
      <c r="E299" s="11">
        <v>2E-3</v>
      </c>
      <c r="F299" s="13">
        <f>SUMIF('OD 02-24'!A:A,A299,'OD 02-24'!D:D)</f>
        <v>16596.916000000001</v>
      </c>
      <c r="G299" s="13">
        <f>SUMIF('OD 02-24'!A:A,A299,'OD 02-24'!E:E)</f>
        <v>8298.4580000000005</v>
      </c>
      <c r="H299" s="14">
        <f t="shared" si="15"/>
        <v>12458.331</v>
      </c>
      <c r="I299" s="14">
        <f t="shared" si="16"/>
        <v>37911.178</v>
      </c>
      <c r="J299" s="8" t="s">
        <v>157</v>
      </c>
      <c r="K299" s="9" t="s">
        <v>512</v>
      </c>
      <c r="M299" s="9">
        <f>VLOOKUP($A299,'BAL 01-24'!$A$3:$I$322,9,0)</f>
        <v>25452.846999999998</v>
      </c>
      <c r="N299" s="315">
        <f t="shared" si="14"/>
        <v>0</v>
      </c>
    </row>
    <row r="300" spans="1:14" s="9" customFormat="1" ht="11.25" x14ac:dyDescent="0.2">
      <c r="A300" s="10">
        <v>63300000</v>
      </c>
      <c r="B300" s="10" t="s">
        <v>269</v>
      </c>
      <c r="C300" s="11">
        <v>10416.666999999999</v>
      </c>
      <c r="D300" s="11">
        <v>0</v>
      </c>
      <c r="E300" s="11">
        <v>0</v>
      </c>
      <c r="F300" s="13">
        <f>SUMIF('OD 02-24'!A:A,A300,'OD 02-24'!D:D)</f>
        <v>20833.333999999999</v>
      </c>
      <c r="G300" s="13">
        <f>SUMIF('OD 02-24'!A:A,A300,'OD 02-24'!E:E)</f>
        <v>10416.666999999999</v>
      </c>
      <c r="H300" s="14">
        <f t="shared" si="15"/>
        <v>10416.666999999999</v>
      </c>
      <c r="I300" s="14">
        <f t="shared" si="16"/>
        <v>20833.333999999999</v>
      </c>
      <c r="J300" s="8" t="s">
        <v>157</v>
      </c>
      <c r="K300" s="9" t="s">
        <v>512</v>
      </c>
      <c r="M300" s="9">
        <f>VLOOKUP($A300,'BAL 01-24'!$A$3:$I$322,9,0)</f>
        <v>10416.666999999999</v>
      </c>
      <c r="N300" s="315">
        <f t="shared" si="14"/>
        <v>0</v>
      </c>
    </row>
    <row r="301" spans="1:14" s="9" customFormat="1" ht="11.25" x14ac:dyDescent="0.2">
      <c r="A301" s="10">
        <v>64001000</v>
      </c>
      <c r="B301" s="10" t="s">
        <v>191</v>
      </c>
      <c r="C301" s="11">
        <v>289086.19899999996</v>
      </c>
      <c r="D301" s="11">
        <v>648109.68200000003</v>
      </c>
      <c r="E301" s="11">
        <v>76336.498999999996</v>
      </c>
      <c r="F301" s="13">
        <f>SUMIF('OD 02-24'!A:A,A301,'OD 02-24'!D:D)</f>
        <v>0</v>
      </c>
      <c r="G301" s="13">
        <f>SUMIF('OD 02-24'!A:A,A301,'OD 02-24'!E:E)</f>
        <v>206759.44200000001</v>
      </c>
      <c r="H301" s="14">
        <f t="shared" si="15"/>
        <v>365013.74100000004</v>
      </c>
      <c r="I301" s="14">
        <f t="shared" si="16"/>
        <v>654099.93999999994</v>
      </c>
      <c r="J301" s="8" t="s">
        <v>192</v>
      </c>
      <c r="K301" s="9" t="s">
        <v>511</v>
      </c>
      <c r="M301" s="9">
        <f>VLOOKUP($A301,'BAL 01-24'!$A$3:$I$322,9,0)</f>
        <v>289086.19899999996</v>
      </c>
      <c r="N301" s="315">
        <f t="shared" si="14"/>
        <v>0</v>
      </c>
    </row>
    <row r="302" spans="1:14" s="9" customFormat="1" ht="11.25" x14ac:dyDescent="0.2">
      <c r="A302" s="10">
        <v>64001100</v>
      </c>
      <c r="B302" s="10" t="s">
        <v>408</v>
      </c>
      <c r="C302" s="11">
        <v>25000</v>
      </c>
      <c r="D302" s="11">
        <v>0</v>
      </c>
      <c r="E302" s="11">
        <v>0</v>
      </c>
      <c r="F302" s="13">
        <f>SUMIF('OD 02-24'!A:A,A302,'OD 02-24'!D:D)</f>
        <v>50000</v>
      </c>
      <c r="G302" s="13">
        <f>SUMIF('OD 02-24'!A:A,A302,'OD 02-24'!E:E)</f>
        <v>25000</v>
      </c>
      <c r="H302" s="14">
        <f t="shared" si="15"/>
        <v>25000</v>
      </c>
      <c r="I302" s="14">
        <f t="shared" si="16"/>
        <v>50000</v>
      </c>
      <c r="J302" s="8" t="s">
        <v>192</v>
      </c>
      <c r="K302" s="9" t="s">
        <v>511</v>
      </c>
      <c r="M302" s="9">
        <f>VLOOKUP($A302,'BAL 01-24'!$A$3:$I$322,9,0)</f>
        <v>25000</v>
      </c>
      <c r="N302" s="315">
        <f t="shared" si="14"/>
        <v>0</v>
      </c>
    </row>
    <row r="303" spans="1:14" s="9" customFormat="1" ht="11.25" x14ac:dyDescent="0.2">
      <c r="A303" s="10">
        <v>64020000</v>
      </c>
      <c r="B303" s="10" t="s">
        <v>406</v>
      </c>
      <c r="C303" s="11">
        <v>82615.376999999993</v>
      </c>
      <c r="D303" s="11">
        <v>0</v>
      </c>
      <c r="E303" s="11">
        <v>0</v>
      </c>
      <c r="F303" s="13">
        <f>SUMIF('OD 02-24'!A:A,A303,'OD 02-24'!D:D)</f>
        <v>67117.327000000005</v>
      </c>
      <c r="G303" s="13">
        <f>SUMIF('OD 02-24'!A:A,A303,'OD 02-24'!E:E)</f>
        <v>82615.376999999993</v>
      </c>
      <c r="H303" s="14">
        <f t="shared" si="15"/>
        <v>-15498.049999999988</v>
      </c>
      <c r="I303" s="14">
        <f t="shared" si="16"/>
        <v>67117.327000000005</v>
      </c>
      <c r="J303" s="8" t="s">
        <v>192</v>
      </c>
      <c r="K303" s="9" t="s">
        <v>511</v>
      </c>
      <c r="M303" s="9">
        <f>VLOOKUP($A303,'BAL 01-24'!$A$3:$I$322,9,0)</f>
        <v>82615.376999999993</v>
      </c>
      <c r="N303" s="315">
        <f t="shared" si="14"/>
        <v>0</v>
      </c>
    </row>
    <row r="304" spans="1:14" s="9" customFormat="1" ht="11.25" x14ac:dyDescent="0.2">
      <c r="A304" s="10">
        <v>64280000</v>
      </c>
      <c r="B304" s="10" t="s">
        <v>193</v>
      </c>
      <c r="C304" s="11">
        <v>0</v>
      </c>
      <c r="D304" s="11">
        <v>0</v>
      </c>
      <c r="E304" s="11">
        <v>0</v>
      </c>
      <c r="F304" s="13">
        <f>SUMIF('OD 02-24'!A:A,A304,'OD 02-24'!D:D)</f>
        <v>0</v>
      </c>
      <c r="G304" s="13">
        <f>SUMIF('OD 02-24'!A:A,A304,'OD 02-24'!E:E)</f>
        <v>0</v>
      </c>
      <c r="H304" s="14">
        <f t="shared" si="15"/>
        <v>0</v>
      </c>
      <c r="I304" s="14">
        <f t="shared" si="16"/>
        <v>0</v>
      </c>
      <c r="J304" s="8" t="s">
        <v>192</v>
      </c>
      <c r="K304" s="9" t="s">
        <v>511</v>
      </c>
      <c r="M304" s="9">
        <f>VLOOKUP($A304,'BAL 01-24'!$A$3:$I$322,9,0)</f>
        <v>0</v>
      </c>
      <c r="N304" s="315">
        <f t="shared" si="14"/>
        <v>0</v>
      </c>
    </row>
    <row r="305" spans="1:14" s="9" customFormat="1" ht="11.25" x14ac:dyDescent="0.2">
      <c r="A305" s="10">
        <v>64600100</v>
      </c>
      <c r="B305" s="10" t="s">
        <v>407</v>
      </c>
      <c r="C305" s="11">
        <v>9000</v>
      </c>
      <c r="D305" s="11">
        <v>0</v>
      </c>
      <c r="E305" s="11">
        <v>0</v>
      </c>
      <c r="F305" s="13">
        <f>SUMIF('OD 02-24'!A:A,A305,'OD 02-24'!D:D)</f>
        <v>509862.82799999998</v>
      </c>
      <c r="G305" s="13">
        <f>SUMIF('OD 02-24'!A:A,A305,'OD 02-24'!E:E)</f>
        <v>500862.82799999998</v>
      </c>
      <c r="H305" s="14">
        <f t="shared" si="15"/>
        <v>9000</v>
      </c>
      <c r="I305" s="14">
        <f t="shared" si="16"/>
        <v>18000</v>
      </c>
      <c r="J305" s="8" t="s">
        <v>192</v>
      </c>
      <c r="K305" s="9" t="s">
        <v>511</v>
      </c>
      <c r="M305" s="9">
        <f>VLOOKUP($A305,'BAL 01-24'!$A$3:$I$322,9,0)</f>
        <v>9000</v>
      </c>
      <c r="N305" s="315">
        <f t="shared" si="14"/>
        <v>0</v>
      </c>
    </row>
    <row r="306" spans="1:14" s="9" customFormat="1" ht="11.25" x14ac:dyDescent="0.2">
      <c r="A306" s="10">
        <v>64603000</v>
      </c>
      <c r="B306" s="10" t="s">
        <v>7404</v>
      </c>
      <c r="C306" s="11">
        <v>0</v>
      </c>
      <c r="D306" s="11">
        <v>13458.25</v>
      </c>
      <c r="E306" s="11">
        <v>0</v>
      </c>
      <c r="F306" s="13">
        <f>SUMIF('OD 02-24'!A:A,A306,'OD 02-24'!D:D)</f>
        <v>0</v>
      </c>
      <c r="G306" s="13">
        <f>SUMIF('OD 02-24'!A:A,A306,'OD 02-24'!E:E)</f>
        <v>0</v>
      </c>
      <c r="H306" s="14">
        <f t="shared" si="15"/>
        <v>13458.25</v>
      </c>
      <c r="I306" s="14">
        <f t="shared" si="16"/>
        <v>13458.25</v>
      </c>
      <c r="J306" s="8" t="s">
        <v>192</v>
      </c>
      <c r="K306" s="9" t="s">
        <v>511</v>
      </c>
      <c r="M306" s="9" t="e">
        <f>VLOOKUP($A306,'BAL 01-24'!$A$3:$I$322,9,0)</f>
        <v>#N/A</v>
      </c>
      <c r="N306" s="315" t="e">
        <f t="shared" si="14"/>
        <v>#N/A</v>
      </c>
    </row>
    <row r="307" spans="1:14" s="9" customFormat="1" ht="11.25" x14ac:dyDescent="0.2">
      <c r="A307" s="10">
        <v>64720000</v>
      </c>
      <c r="B307" s="10" t="s">
        <v>194</v>
      </c>
      <c r="C307" s="11">
        <v>43186.953000000001</v>
      </c>
      <c r="D307" s="11">
        <v>0</v>
      </c>
      <c r="E307" s="11">
        <v>0</v>
      </c>
      <c r="F307" s="13">
        <f>SUMIF('OD 02-24'!A:A,A307,'OD 02-24'!D:D)</f>
        <v>86373.906000000003</v>
      </c>
      <c r="G307" s="13">
        <f>SUMIF('OD 02-24'!A:A,A307,'OD 02-24'!E:E)</f>
        <v>43186.953000000001</v>
      </c>
      <c r="H307" s="14">
        <f t="shared" si="15"/>
        <v>43186.953000000001</v>
      </c>
      <c r="I307" s="14">
        <f t="shared" si="16"/>
        <v>86373.906000000003</v>
      </c>
      <c r="J307" s="8" t="s">
        <v>192</v>
      </c>
      <c r="K307" s="9" t="s">
        <v>511</v>
      </c>
      <c r="M307" s="9">
        <f>VLOOKUP($A307,'BAL 01-24'!$A$3:$I$322,9,0)</f>
        <v>43186.953000000001</v>
      </c>
      <c r="N307" s="315">
        <f t="shared" si="14"/>
        <v>0</v>
      </c>
    </row>
    <row r="308" spans="1:14" s="9" customFormat="1" ht="11.25" x14ac:dyDescent="0.2">
      <c r="A308" s="10">
        <v>65110000</v>
      </c>
      <c r="B308" s="10" t="s">
        <v>385</v>
      </c>
      <c r="C308" s="11">
        <v>8933.9600000000009</v>
      </c>
      <c r="D308" s="11">
        <v>67975.236000000004</v>
      </c>
      <c r="E308" s="11">
        <v>0</v>
      </c>
      <c r="F308" s="13">
        <f>SUMIF('OD 02-24'!A:A,A308,'OD 02-24'!D:D)</f>
        <v>0</v>
      </c>
      <c r="G308" s="13">
        <f>SUMIF('OD 02-24'!A:A,A308,'OD 02-24'!E:E)</f>
        <v>0</v>
      </c>
      <c r="H308" s="14">
        <f t="shared" si="15"/>
        <v>67975.236000000004</v>
      </c>
      <c r="I308" s="14">
        <f t="shared" si="16"/>
        <v>76909.196000000011</v>
      </c>
      <c r="J308" s="8" t="s">
        <v>195</v>
      </c>
      <c r="K308" s="9" t="s">
        <v>517</v>
      </c>
      <c r="M308" s="9">
        <f>VLOOKUP($A308,'BAL 01-24'!$A$3:$I$322,9,0)</f>
        <v>8933.9600000000009</v>
      </c>
      <c r="N308" s="315">
        <f t="shared" si="14"/>
        <v>0</v>
      </c>
    </row>
    <row r="309" spans="1:14" s="9" customFormat="1" ht="11.25" x14ac:dyDescent="0.2">
      <c r="A309" s="10">
        <v>65110200</v>
      </c>
      <c r="B309" s="10" t="s">
        <v>196</v>
      </c>
      <c r="C309" s="11">
        <v>33921.654999999999</v>
      </c>
      <c r="D309" s="11">
        <v>0</v>
      </c>
      <c r="E309" s="11">
        <v>0</v>
      </c>
      <c r="F309" s="13">
        <f>SUMIF('OD 02-24'!A:A,A309,'OD 02-24'!D:D)</f>
        <v>64560.567999999999</v>
      </c>
      <c r="G309" s="13">
        <f>SUMIF('OD 02-24'!A:A,A309,'OD 02-24'!E:E)</f>
        <v>33921.654999999999</v>
      </c>
      <c r="H309" s="14">
        <f t="shared" si="15"/>
        <v>30638.913</v>
      </c>
      <c r="I309" s="14">
        <f t="shared" si="16"/>
        <v>64560.567999999999</v>
      </c>
      <c r="J309" s="8" t="s">
        <v>195</v>
      </c>
      <c r="K309" s="9" t="s">
        <v>517</v>
      </c>
      <c r="M309" s="9">
        <f>VLOOKUP($A309,'BAL 01-24'!$A$3:$I$322,9,0)</f>
        <v>33921.654999999999</v>
      </c>
      <c r="N309" s="315">
        <f t="shared" si="14"/>
        <v>0</v>
      </c>
    </row>
    <row r="310" spans="1:14" s="9" customFormat="1" ht="11.25" x14ac:dyDescent="0.2">
      <c r="A310" s="10">
        <v>65110400</v>
      </c>
      <c r="B310" s="10" t="s">
        <v>197</v>
      </c>
      <c r="C310" s="11">
        <v>52188.5</v>
      </c>
      <c r="D310" s="11">
        <v>0</v>
      </c>
      <c r="E310" s="11">
        <v>0</v>
      </c>
      <c r="F310" s="13">
        <f>SUMIF('OD 02-24'!A:A,A310,'OD 02-24'!D:D)</f>
        <v>99326.5</v>
      </c>
      <c r="G310" s="13">
        <f>SUMIF('OD 02-24'!A:A,A310,'OD 02-24'!E:E)</f>
        <v>52188.5</v>
      </c>
      <c r="H310" s="14">
        <f t="shared" si="15"/>
        <v>47138</v>
      </c>
      <c r="I310" s="14">
        <f t="shared" si="16"/>
        <v>99326.5</v>
      </c>
      <c r="J310" s="8" t="s">
        <v>195</v>
      </c>
      <c r="K310" s="9" t="s">
        <v>517</v>
      </c>
      <c r="M310" s="9">
        <f>VLOOKUP($A310,'BAL 01-24'!$A$3:$I$322,9,0)</f>
        <v>52188.5</v>
      </c>
      <c r="N310" s="315">
        <f t="shared" si="14"/>
        <v>0</v>
      </c>
    </row>
    <row r="311" spans="1:14" s="9" customFormat="1" ht="11.25" x14ac:dyDescent="0.2">
      <c r="A311" s="10">
        <v>65115000</v>
      </c>
      <c r="B311" s="10" t="s">
        <v>379</v>
      </c>
      <c r="C311" s="11">
        <v>5116.3099999999995</v>
      </c>
      <c r="D311" s="11">
        <v>5690.3639999999996</v>
      </c>
      <c r="E311" s="11">
        <v>0</v>
      </c>
      <c r="F311" s="13">
        <f>SUMIF('OD 02-24'!A:A,A311,'OD 02-24'!D:D)</f>
        <v>0</v>
      </c>
      <c r="G311" s="13">
        <f>SUMIF('OD 02-24'!A:A,A311,'OD 02-24'!E:E)</f>
        <v>0</v>
      </c>
      <c r="H311" s="14">
        <f t="shared" si="15"/>
        <v>5690.3639999999996</v>
      </c>
      <c r="I311" s="14">
        <f t="shared" si="16"/>
        <v>10806.673999999999</v>
      </c>
      <c r="J311" s="8" t="s">
        <v>195</v>
      </c>
      <c r="K311" s="9" t="s">
        <v>517</v>
      </c>
      <c r="M311" s="9">
        <f>VLOOKUP($A311,'BAL 01-24'!$A$3:$I$322,9,0)</f>
        <v>5116.3099999999995</v>
      </c>
      <c r="N311" s="315">
        <f t="shared" si="14"/>
        <v>0</v>
      </c>
    </row>
    <row r="312" spans="1:14" s="9" customFormat="1" ht="11.25" x14ac:dyDescent="0.2">
      <c r="A312" s="10">
        <v>65150000</v>
      </c>
      <c r="B312" s="10" t="s">
        <v>270</v>
      </c>
      <c r="C312" s="11">
        <v>2989.5889999999999</v>
      </c>
      <c r="D312" s="11">
        <v>0</v>
      </c>
      <c r="E312" s="11">
        <v>0</v>
      </c>
      <c r="F312" s="13">
        <f>SUMIF('OD 02-24'!A:A,A312,'OD 02-24'!D:D)</f>
        <v>5882.74</v>
      </c>
      <c r="G312" s="13">
        <f>SUMIF('OD 02-24'!A:A,A312,'OD 02-24'!E:E)</f>
        <v>2989.5889999999999</v>
      </c>
      <c r="H312" s="14">
        <f t="shared" si="15"/>
        <v>2893.1509999999998</v>
      </c>
      <c r="I312" s="14">
        <f t="shared" si="16"/>
        <v>5882.74</v>
      </c>
      <c r="J312" s="8" t="s">
        <v>195</v>
      </c>
      <c r="K312" s="9" t="s">
        <v>517</v>
      </c>
      <c r="M312" s="9">
        <f>VLOOKUP($A312,'BAL 01-24'!$A$3:$I$322,9,0)</f>
        <v>2989.5889999999999</v>
      </c>
      <c r="N312" s="315">
        <f t="shared" si="14"/>
        <v>0</v>
      </c>
    </row>
    <row r="313" spans="1:14" s="9" customFormat="1" ht="11.25" x14ac:dyDescent="0.2">
      <c r="A313" s="10">
        <v>65190000</v>
      </c>
      <c r="B313" s="10" t="s">
        <v>198</v>
      </c>
      <c r="C313" s="11">
        <v>29302.803</v>
      </c>
      <c r="D313" s="11">
        <v>0</v>
      </c>
      <c r="E313" s="11">
        <v>0</v>
      </c>
      <c r="F313" s="13">
        <f>SUMIF('OD 02-24'!A:A,A313,'OD 02-24'!D:D)</f>
        <v>58605.606</v>
      </c>
      <c r="G313" s="13">
        <f>SUMIF('OD 02-24'!A:A,A313,'OD 02-24'!E:E)</f>
        <v>29302.803</v>
      </c>
      <c r="H313" s="14">
        <f t="shared" si="15"/>
        <v>29302.803</v>
      </c>
      <c r="I313" s="14">
        <f t="shared" si="16"/>
        <v>58605.606</v>
      </c>
      <c r="J313" s="8" t="s">
        <v>195</v>
      </c>
      <c r="K313" s="9" t="s">
        <v>517</v>
      </c>
      <c r="M313" s="9">
        <f>VLOOKUP($A313,'BAL 01-24'!$A$3:$I$322,9,0)</f>
        <v>29302.803</v>
      </c>
      <c r="N313" s="315">
        <f t="shared" si="14"/>
        <v>0</v>
      </c>
    </row>
    <row r="314" spans="1:14" s="9" customFormat="1" ht="11.25" x14ac:dyDescent="0.2">
      <c r="A314" s="10">
        <v>65500000</v>
      </c>
      <c r="B314" s="10" t="s">
        <v>400</v>
      </c>
      <c r="C314" s="11">
        <v>2857.223</v>
      </c>
      <c r="D314" s="11">
        <v>274.84199999999998</v>
      </c>
      <c r="E314" s="11">
        <v>0</v>
      </c>
      <c r="F314" s="13">
        <f>SUMIF('OD 02-24'!A:A,A314,'OD 02-24'!D:D)</f>
        <v>0</v>
      </c>
      <c r="G314" s="13">
        <f>SUMIF('OD 02-24'!A:A,A314,'OD 02-24'!E:E)</f>
        <v>0</v>
      </c>
      <c r="H314" s="14">
        <f t="shared" si="15"/>
        <v>274.84199999999998</v>
      </c>
      <c r="I314" s="14">
        <f t="shared" si="16"/>
        <v>3132.0650000000001</v>
      </c>
      <c r="J314" s="8" t="s">
        <v>195</v>
      </c>
      <c r="K314" s="9" t="s">
        <v>517</v>
      </c>
      <c r="M314" s="9">
        <f>VLOOKUP($A314,'BAL 01-24'!$A$3:$I$322,9,0)</f>
        <v>2857.223</v>
      </c>
      <c r="N314" s="315">
        <f t="shared" si="14"/>
        <v>0</v>
      </c>
    </row>
    <row r="315" spans="1:14" s="9" customFormat="1" ht="11.25" x14ac:dyDescent="0.2">
      <c r="A315" s="10">
        <v>66520000</v>
      </c>
      <c r="B315" s="10" t="s">
        <v>200</v>
      </c>
      <c r="C315" s="11">
        <v>8801.4259999999995</v>
      </c>
      <c r="D315" s="11">
        <v>8801.4259999999995</v>
      </c>
      <c r="E315" s="11">
        <v>0</v>
      </c>
      <c r="F315" s="13">
        <f>SUMIF('OD 02-24'!A:A,A315,'OD 02-24'!D:D)</f>
        <v>7968.8029999999999</v>
      </c>
      <c r="G315" s="13">
        <f>SUMIF('OD 02-24'!A:A,A315,'OD 02-24'!E:E)</f>
        <v>8801.4259999999995</v>
      </c>
      <c r="H315" s="14">
        <f t="shared" si="15"/>
        <v>7968.8029999999999</v>
      </c>
      <c r="I315" s="14">
        <f t="shared" si="16"/>
        <v>16770.228999999999</v>
      </c>
      <c r="J315" s="8" t="s">
        <v>157</v>
      </c>
      <c r="K315" s="9" t="s">
        <v>512</v>
      </c>
      <c r="M315" s="9">
        <f>VLOOKUP($A315,'BAL 01-24'!$A$3:$I$322,9,0)</f>
        <v>8801.4259999999995</v>
      </c>
      <c r="N315" s="315">
        <f t="shared" si="14"/>
        <v>0</v>
      </c>
    </row>
    <row r="316" spans="1:14" s="9" customFormat="1" ht="11.25" x14ac:dyDescent="0.2">
      <c r="A316" s="10">
        <v>66540000</v>
      </c>
      <c r="B316" s="10" t="s">
        <v>201</v>
      </c>
      <c r="C316" s="11">
        <v>1616.3700000000001</v>
      </c>
      <c r="D316" s="11">
        <v>415.39600000000002</v>
      </c>
      <c r="E316" s="11">
        <v>1</v>
      </c>
      <c r="F316" s="13">
        <f>SUMIF('OD 02-24'!A:A,A316,'OD 02-24'!D:D)</f>
        <v>0</v>
      </c>
      <c r="G316" s="13">
        <f>SUMIF('OD 02-24'!A:A,A316,'OD 02-24'!E:E)</f>
        <v>0</v>
      </c>
      <c r="H316" s="14">
        <f t="shared" si="15"/>
        <v>414.39600000000002</v>
      </c>
      <c r="I316" s="14">
        <f t="shared" si="16"/>
        <v>2030.7660000000001</v>
      </c>
      <c r="J316" s="8" t="s">
        <v>157</v>
      </c>
      <c r="K316" s="9" t="s">
        <v>512</v>
      </c>
      <c r="M316" s="9">
        <f>VLOOKUP($A316,'BAL 01-24'!$A$3:$I$322,9,0)</f>
        <v>1616.3700000000001</v>
      </c>
      <c r="N316" s="315">
        <f t="shared" si="14"/>
        <v>0</v>
      </c>
    </row>
    <row r="317" spans="1:14" s="9" customFormat="1" ht="11.25" x14ac:dyDescent="0.2">
      <c r="A317" s="10">
        <v>66550000</v>
      </c>
      <c r="B317" s="10" t="s">
        <v>202</v>
      </c>
      <c r="C317" s="11">
        <v>14380</v>
      </c>
      <c r="D317" s="11">
        <v>297.81700000000001</v>
      </c>
      <c r="E317" s="11">
        <v>0</v>
      </c>
      <c r="F317" s="13">
        <f>SUMIF('OD 02-24'!A:A,A317,'OD 02-24'!D:D)</f>
        <v>1800</v>
      </c>
      <c r="G317" s="13">
        <f>SUMIF('OD 02-24'!A:A,A317,'OD 02-24'!E:E)</f>
        <v>900</v>
      </c>
      <c r="H317" s="14">
        <f t="shared" si="15"/>
        <v>1197.817</v>
      </c>
      <c r="I317" s="14">
        <f t="shared" si="16"/>
        <v>15577.816999999999</v>
      </c>
      <c r="J317" s="8" t="s">
        <v>157</v>
      </c>
      <c r="K317" s="9" t="s">
        <v>512</v>
      </c>
      <c r="M317" s="9">
        <f>VLOOKUP($A317,'BAL 01-24'!$A$3:$I$322,9,0)</f>
        <v>14380</v>
      </c>
      <c r="N317" s="315">
        <f t="shared" si="14"/>
        <v>0</v>
      </c>
    </row>
    <row r="318" spans="1:14" s="9" customFormat="1" ht="11.25" x14ac:dyDescent="0.2">
      <c r="A318" s="10">
        <v>68112000</v>
      </c>
      <c r="B318" s="10" t="s">
        <v>271</v>
      </c>
      <c r="C318" s="11">
        <v>221656.4</v>
      </c>
      <c r="D318" s="11">
        <v>0</v>
      </c>
      <c r="E318" s="11">
        <v>0</v>
      </c>
      <c r="F318" s="13">
        <f>SUMIF('OD 02-24'!A:A,A318,'OD 02-24'!D:D)</f>
        <v>429526.85100000002</v>
      </c>
      <c r="G318" s="13">
        <f>SUMIF('OD 02-24'!A:A,A318,'OD 02-24'!E:E)</f>
        <v>221656.4</v>
      </c>
      <c r="H318" s="14">
        <f t="shared" si="15"/>
        <v>207870.45100000003</v>
      </c>
      <c r="I318" s="14">
        <f t="shared" si="16"/>
        <v>429526.85100000002</v>
      </c>
      <c r="J318" s="8" t="s">
        <v>203</v>
      </c>
      <c r="K318" s="9" t="s">
        <v>515</v>
      </c>
      <c r="M318" s="9">
        <f>VLOOKUP($A318,'BAL 01-24'!$A$3:$I$322,9,0)</f>
        <v>221656.4</v>
      </c>
      <c r="N318" s="315">
        <f t="shared" si="14"/>
        <v>0</v>
      </c>
    </row>
    <row r="319" spans="1:14" s="9" customFormat="1" ht="11.25" x14ac:dyDescent="0.2">
      <c r="A319" s="10">
        <v>70000000</v>
      </c>
      <c r="B319" s="10" t="s">
        <v>205</v>
      </c>
      <c r="C319" s="11">
        <v>-2261553.5559999999</v>
      </c>
      <c r="D319" s="11">
        <v>153730.448</v>
      </c>
      <c r="E319" s="11">
        <v>2332979.56</v>
      </c>
      <c r="F319" s="13">
        <f>SUMIF('OD 02-24'!A:A,A319,'OD 02-24'!D:D)</f>
        <v>0</v>
      </c>
      <c r="G319" s="13">
        <f>SUMIF('OD 02-24'!A:A,A319,'OD 02-24'!E:E)</f>
        <v>0</v>
      </c>
      <c r="H319" s="14">
        <f t="shared" si="15"/>
        <v>-2179249.1120000002</v>
      </c>
      <c r="I319" s="14">
        <f t="shared" si="16"/>
        <v>-4440802.6679999996</v>
      </c>
      <c r="J319" s="8" t="s">
        <v>206</v>
      </c>
      <c r="K319" s="9" t="s">
        <v>505</v>
      </c>
      <c r="M319" s="9">
        <f>VLOOKUP($A319,'BAL 01-24'!$A$3:$I$322,9,0)</f>
        <v>-2261553.5559999999</v>
      </c>
      <c r="N319" s="315">
        <f t="shared" si="14"/>
        <v>0</v>
      </c>
    </row>
    <row r="320" spans="1:14" s="9" customFormat="1" ht="11.25" x14ac:dyDescent="0.2">
      <c r="A320" s="10">
        <v>70102000</v>
      </c>
      <c r="B320" s="10" t="s">
        <v>207</v>
      </c>
      <c r="C320" s="11">
        <v>-3280133.3430000003</v>
      </c>
      <c r="D320" s="11">
        <v>0</v>
      </c>
      <c r="E320" s="11">
        <v>2367457.8909999998</v>
      </c>
      <c r="F320" s="13">
        <f>SUMIF('OD 02-24'!A:A,A320,'OD 02-24'!D:D)</f>
        <v>1007937.9080000001</v>
      </c>
      <c r="G320" s="13">
        <f>SUMIF('OD 02-24'!A:A,A320,'OD 02-24'!E:E)</f>
        <v>1741401.969</v>
      </c>
      <c r="H320" s="14">
        <f t="shared" si="15"/>
        <v>-3100921.9519999996</v>
      </c>
      <c r="I320" s="14">
        <f t="shared" si="16"/>
        <v>-6381055.2949999999</v>
      </c>
      <c r="J320" s="8" t="s">
        <v>227</v>
      </c>
      <c r="K320" s="9" t="s">
        <v>504</v>
      </c>
      <c r="M320" s="9">
        <f>VLOOKUP($A320,'BAL 01-24'!$A$3:$I$322,9,0)</f>
        <v>-3280133.3430000003</v>
      </c>
      <c r="N320" s="315">
        <f t="shared" si="14"/>
        <v>0</v>
      </c>
    </row>
    <row r="321" spans="1:14" s="9" customFormat="1" ht="11.25" x14ac:dyDescent="0.2">
      <c r="A321" s="10">
        <v>70103000</v>
      </c>
      <c r="B321" s="10" t="s">
        <v>380</v>
      </c>
      <c r="C321" s="11">
        <v>-3180</v>
      </c>
      <c r="D321" s="11">
        <v>0</v>
      </c>
      <c r="E321" s="11">
        <v>0</v>
      </c>
      <c r="F321" s="13">
        <f>SUMIF('OD 02-24'!A:A,A321,'OD 02-24'!D:D)</f>
        <v>0</v>
      </c>
      <c r="G321" s="13">
        <f>SUMIF('OD 02-24'!A:A,A321,'OD 02-24'!E:E)</f>
        <v>0</v>
      </c>
      <c r="H321" s="14">
        <f t="shared" si="15"/>
        <v>0</v>
      </c>
      <c r="I321" s="14">
        <f t="shared" si="16"/>
        <v>-3180</v>
      </c>
      <c r="J321" s="8" t="s">
        <v>206</v>
      </c>
      <c r="K321" s="9" t="s">
        <v>505</v>
      </c>
      <c r="M321" s="9">
        <f>VLOOKUP($A321,'BAL 01-24'!$A$3:$I$322,9,0)</f>
        <v>-3180</v>
      </c>
      <c r="N321" s="315">
        <f t="shared" si="14"/>
        <v>0</v>
      </c>
    </row>
    <row r="322" spans="1:14" s="9" customFormat="1" ht="11.25" x14ac:dyDescent="0.2">
      <c r="A322" s="10">
        <v>70600000</v>
      </c>
      <c r="B322" s="10" t="s">
        <v>381</v>
      </c>
      <c r="C322" s="11">
        <v>0</v>
      </c>
      <c r="D322" s="11">
        <v>0</v>
      </c>
      <c r="E322" s="11">
        <v>0</v>
      </c>
      <c r="F322" s="13">
        <f>SUMIF('OD 02-24'!A:A,A322,'OD 02-24'!D:D)</f>
        <v>0</v>
      </c>
      <c r="G322" s="13">
        <f>SUMIF('OD 02-24'!A:A,A322,'OD 02-24'!E:E)</f>
        <v>0</v>
      </c>
      <c r="H322" s="14">
        <f t="shared" si="15"/>
        <v>0</v>
      </c>
      <c r="I322" s="14">
        <f t="shared" si="16"/>
        <v>0</v>
      </c>
      <c r="J322" s="8" t="s">
        <v>206</v>
      </c>
      <c r="K322" s="9" t="s">
        <v>505</v>
      </c>
      <c r="M322" s="9">
        <f>VLOOKUP($A322,'BAL 01-24'!$A$3:$I$322,9,0)</f>
        <v>0</v>
      </c>
      <c r="N322" s="315">
        <f t="shared" si="14"/>
        <v>0</v>
      </c>
    </row>
    <row r="323" spans="1:14" s="9" customFormat="1" ht="11.25" x14ac:dyDescent="0.2">
      <c r="A323" s="10">
        <v>70600500</v>
      </c>
      <c r="B323" s="10" t="s">
        <v>208</v>
      </c>
      <c r="C323" s="11">
        <v>-3242.453</v>
      </c>
      <c r="D323" s="11">
        <v>0</v>
      </c>
      <c r="E323" s="11">
        <v>0</v>
      </c>
      <c r="F323" s="13">
        <f>SUMIF('OD 02-24'!A:A,A323,'OD 02-24'!D:D)</f>
        <v>3242.453</v>
      </c>
      <c r="G323" s="13">
        <f>SUMIF('OD 02-24'!A:A,A323,'OD 02-24'!E:E)</f>
        <v>6484.9059999999999</v>
      </c>
      <c r="H323" s="14">
        <f t="shared" si="15"/>
        <v>-3242.453</v>
      </c>
      <c r="I323" s="14">
        <f t="shared" si="16"/>
        <v>-6484.9059999999999</v>
      </c>
      <c r="J323" s="8" t="s">
        <v>206</v>
      </c>
      <c r="K323" s="9" t="s">
        <v>506</v>
      </c>
      <c r="M323" s="9">
        <f>VLOOKUP($A323,'BAL 01-24'!$A$3:$I$322,9,0)</f>
        <v>-3242.453</v>
      </c>
      <c r="N323" s="315">
        <f t="shared" si="14"/>
        <v>0</v>
      </c>
    </row>
    <row r="324" spans="1:14" s="9" customFormat="1" ht="11.25" x14ac:dyDescent="0.2">
      <c r="A324" s="10">
        <v>71340000</v>
      </c>
      <c r="B324" s="10" t="s">
        <v>382</v>
      </c>
      <c r="C324" s="11">
        <v>744393.83600000001</v>
      </c>
      <c r="D324" s="11">
        <v>0</v>
      </c>
      <c r="E324" s="11">
        <v>0</v>
      </c>
      <c r="F324" s="13">
        <f>SUMIF('OD 02-24'!A:A,A324,'OD 02-24'!D:D)</f>
        <v>744393.83600000001</v>
      </c>
      <c r="G324" s="13">
        <f>SUMIF('OD 02-24'!A:A,A324,'OD 02-24'!E:E)</f>
        <v>744393.83600000001</v>
      </c>
      <c r="H324" s="14">
        <f t="shared" si="15"/>
        <v>0</v>
      </c>
      <c r="I324" s="14">
        <f t="shared" si="16"/>
        <v>744393.83600000001</v>
      </c>
      <c r="J324" s="8" t="s">
        <v>210</v>
      </c>
      <c r="K324" s="9" t="s">
        <v>508</v>
      </c>
      <c r="M324" s="9">
        <f>VLOOKUP($A324,'BAL 01-24'!$A$3:$I$322,9,0)</f>
        <v>744393.83600000001</v>
      </c>
      <c r="N324" s="315">
        <f t="shared" ref="N324:N331" si="17">+C324-M324</f>
        <v>0</v>
      </c>
    </row>
    <row r="325" spans="1:14" s="9" customFormat="1" ht="11.25" x14ac:dyDescent="0.2">
      <c r="A325" s="10">
        <v>71350000</v>
      </c>
      <c r="B325" s="10" t="s">
        <v>209</v>
      </c>
      <c r="C325" s="11">
        <v>-9550.6814000001177</v>
      </c>
      <c r="D325" s="11">
        <v>0</v>
      </c>
      <c r="E325" s="11">
        <v>0</v>
      </c>
      <c r="F325" s="13">
        <f>SUMIF('OD 02-24'!A:A,A325,'OD 02-24'!D:D)</f>
        <v>10229319.296599999</v>
      </c>
      <c r="G325" s="13">
        <f>SUMIF('OD 02-24'!A:A,A325,'OD 02-24'!E:E)</f>
        <v>9694577.6596000008</v>
      </c>
      <c r="H325" s="14">
        <f t="shared" si="15"/>
        <v>534741.63699999824</v>
      </c>
      <c r="I325" s="14">
        <f t="shared" si="16"/>
        <v>525190.95559999812</v>
      </c>
      <c r="J325" s="8" t="s">
        <v>210</v>
      </c>
      <c r="K325" s="9" t="s">
        <v>508</v>
      </c>
      <c r="M325" s="9">
        <f>VLOOKUP($A325,'BAL 01-24'!$A$3:$I$322,9,0)</f>
        <v>-9550.6814000001177</v>
      </c>
      <c r="N325" s="315">
        <f t="shared" si="17"/>
        <v>0</v>
      </c>
    </row>
    <row r="326" spans="1:14" s="9" customFormat="1" ht="11.25" x14ac:dyDescent="0.2">
      <c r="A326" s="10">
        <v>73601000</v>
      </c>
      <c r="B326" s="8" t="s">
        <v>211</v>
      </c>
      <c r="C326" s="11">
        <v>0</v>
      </c>
      <c r="D326" s="11">
        <v>0</v>
      </c>
      <c r="E326" s="11">
        <v>0</v>
      </c>
      <c r="F326" s="13">
        <f>SUMIF('OD 02-24'!A:A,A326,'OD 02-24'!D:D)</f>
        <v>0</v>
      </c>
      <c r="G326" s="13">
        <f>SUMIF('OD 02-24'!A:A,A326,'OD 02-24'!E:E)</f>
        <v>0</v>
      </c>
      <c r="H326" s="14">
        <f t="shared" si="15"/>
        <v>0</v>
      </c>
      <c r="I326" s="14">
        <f t="shared" si="16"/>
        <v>0</v>
      </c>
      <c r="J326" s="8" t="s">
        <v>214</v>
      </c>
      <c r="K326" s="9" t="s">
        <v>518</v>
      </c>
      <c r="M326" s="9">
        <f>VLOOKUP($A326,'BAL 01-24'!$A$3:$I$322,9,0)</f>
        <v>0</v>
      </c>
      <c r="N326" s="315">
        <f t="shared" si="17"/>
        <v>0</v>
      </c>
    </row>
    <row r="327" spans="1:14" s="9" customFormat="1" ht="11.25" x14ac:dyDescent="0.2">
      <c r="A327" s="10">
        <v>73900000</v>
      </c>
      <c r="B327" s="10" t="s">
        <v>213</v>
      </c>
      <c r="C327" s="11">
        <v>-20282.419000000002</v>
      </c>
      <c r="D327" s="11">
        <v>0</v>
      </c>
      <c r="E327" s="11">
        <v>0</v>
      </c>
      <c r="F327" s="13">
        <f>SUMIF('OD 02-24'!A:A,A327,'OD 02-24'!D:D)</f>
        <v>20282.419000000002</v>
      </c>
      <c r="G327" s="13">
        <f>SUMIF('OD 02-24'!A:A,A327,'OD 02-24'!E:E)</f>
        <v>40564.838000000003</v>
      </c>
      <c r="H327" s="14">
        <f t="shared" si="15"/>
        <v>-20282.419000000002</v>
      </c>
      <c r="I327" s="14">
        <f t="shared" si="16"/>
        <v>-40564.838000000003</v>
      </c>
      <c r="J327" s="8" t="s">
        <v>214</v>
      </c>
      <c r="K327" s="9" t="s">
        <v>506</v>
      </c>
      <c r="M327" s="9">
        <f>VLOOKUP($A327,'BAL 01-24'!$A$3:$I$322,9,0)</f>
        <v>-20282.419000000002</v>
      </c>
      <c r="N327" s="315">
        <f t="shared" si="17"/>
        <v>0</v>
      </c>
    </row>
    <row r="328" spans="1:14" s="9" customFormat="1" ht="11.25" x14ac:dyDescent="0.2">
      <c r="A328" s="10">
        <v>75600000</v>
      </c>
      <c r="B328" s="10" t="s">
        <v>215</v>
      </c>
      <c r="C328" s="11">
        <v>-16564.642</v>
      </c>
      <c r="D328" s="11">
        <v>0</v>
      </c>
      <c r="E328" s="11">
        <v>0</v>
      </c>
      <c r="F328" s="13">
        <f>SUMIF('OD 02-24'!A:A,A328,'OD 02-24'!D:D)</f>
        <v>16564.642</v>
      </c>
      <c r="G328" s="13">
        <f>SUMIF('OD 02-24'!A:A,A328,'OD 02-24'!E:E)</f>
        <v>55.765000000000001</v>
      </c>
      <c r="H328" s="14">
        <f t="shared" si="15"/>
        <v>16508.877</v>
      </c>
      <c r="I328" s="14">
        <f t="shared" si="16"/>
        <v>-55.764999999999418</v>
      </c>
      <c r="J328" s="8" t="s">
        <v>195</v>
      </c>
      <c r="K328" s="9" t="s">
        <v>517</v>
      </c>
      <c r="M328" s="9">
        <f>VLOOKUP($A328,'BAL 01-24'!$A$3:$I$322,9,0)</f>
        <v>-16564.642</v>
      </c>
      <c r="N328" s="315">
        <f t="shared" si="17"/>
        <v>0</v>
      </c>
    </row>
    <row r="329" spans="1:14" s="9" customFormat="1" ht="11.25" x14ac:dyDescent="0.2">
      <c r="A329" s="10">
        <v>77000000</v>
      </c>
      <c r="B329" s="10" t="s">
        <v>216</v>
      </c>
      <c r="C329" s="11">
        <v>0</v>
      </c>
      <c r="D329" s="11">
        <v>0</v>
      </c>
      <c r="E329" s="11">
        <v>0</v>
      </c>
      <c r="F329" s="13">
        <f>SUMIF('OD 02-24'!A:A,A329,'OD 02-24'!D:D)</f>
        <v>0</v>
      </c>
      <c r="G329" s="13">
        <f>SUMIF('OD 02-24'!A:A,A329,'OD 02-24'!E:E)</f>
        <v>0</v>
      </c>
      <c r="H329" s="14">
        <f t="shared" si="15"/>
        <v>0</v>
      </c>
      <c r="I329" s="14">
        <f t="shared" si="16"/>
        <v>0</v>
      </c>
      <c r="J329" s="8" t="s">
        <v>212</v>
      </c>
      <c r="K329" s="9" t="s">
        <v>518</v>
      </c>
      <c r="M329" s="9">
        <f>VLOOKUP($A329,'BAL 01-24'!$A$3:$I$322,9,0)</f>
        <v>0</v>
      </c>
      <c r="N329" s="315">
        <f t="shared" si="17"/>
        <v>0</v>
      </c>
    </row>
    <row r="330" spans="1:14" s="9" customFormat="1" ht="11.25" x14ac:dyDescent="0.2">
      <c r="A330" s="10">
        <v>79999999</v>
      </c>
      <c r="B330" s="10" t="s">
        <v>383</v>
      </c>
      <c r="C330" s="11">
        <v>-2.6040943339467049E-4</v>
      </c>
      <c r="D330" s="11">
        <v>0</v>
      </c>
      <c r="E330" s="11">
        <v>0</v>
      </c>
      <c r="F330" s="13">
        <f>SUMIF('OD 02-24'!A:A,A330,'OD 02-24'!D:D)</f>
        <v>0</v>
      </c>
      <c r="G330" s="13">
        <f>SUMIF('OD 02-24'!A:A,A330,'OD 02-24'!E:E)</f>
        <v>0</v>
      </c>
      <c r="H330" s="14">
        <f t="shared" si="15"/>
        <v>0</v>
      </c>
      <c r="I330" s="14">
        <f t="shared" si="16"/>
        <v>-2.6040943339467049E-4</v>
      </c>
      <c r="J330" s="8"/>
      <c r="M330" s="9">
        <f>VLOOKUP($A330,'BAL 01-24'!$A$3:$I$322,9,0)</f>
        <v>-2.6040943339467049E-4</v>
      </c>
      <c r="N330" s="315">
        <f t="shared" si="17"/>
        <v>0</v>
      </c>
    </row>
    <row r="331" spans="1:14" x14ac:dyDescent="0.25">
      <c r="C331" s="305">
        <v>1.2981327017769217E-6</v>
      </c>
      <c r="D331" s="305">
        <f t="shared" ref="D331:I331" si="18">SUM(D3:D330)</f>
        <v>27440742.380421501</v>
      </c>
      <c r="E331" s="305">
        <f t="shared" si="18"/>
        <v>27440742.380421504</v>
      </c>
      <c r="F331" s="305">
        <f t="shared" si="18"/>
        <v>70946508.035600051</v>
      </c>
      <c r="G331" s="305">
        <f t="shared" si="18"/>
        <v>70946508.035600021</v>
      </c>
      <c r="H331" s="305">
        <f t="shared" si="18"/>
        <v>2.459273673593998E-9</v>
      </c>
      <c r="I331" s="305">
        <f t="shared" si="18"/>
        <v>1.2954697012901306E-6</v>
      </c>
      <c r="M331" s="9" t="e">
        <f>VLOOKUP($A331,'BAL 01-24'!$A$3:$I$322,9,0)</f>
        <v>#N/A</v>
      </c>
      <c r="N331" s="315" t="e">
        <f t="shared" si="17"/>
        <v>#N/A</v>
      </c>
    </row>
  </sheetData>
  <autoFilter ref="A2:K325" xr:uid="{00000000-0009-0000-0000-000017000000}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N347"/>
  <sheetViews>
    <sheetView workbookViewId="0">
      <pane ySplit="2" topLeftCell="A3" activePane="bottomLeft" state="frozen"/>
      <selection activeCell="A2" sqref="A2"/>
      <selection pane="bottomLeft" activeCell="C5" sqref="C5"/>
    </sheetView>
  </sheetViews>
  <sheetFormatPr baseColWidth="10" defaultRowHeight="15" x14ac:dyDescent="0.25"/>
  <cols>
    <col min="1" max="1" width="11.5703125" customWidth="1"/>
    <col min="2" max="2" width="23.7109375" style="302" bestFit="1" customWidth="1"/>
    <col min="3" max="3" width="14.42578125" style="305" bestFit="1" customWidth="1"/>
    <col min="4" max="4" width="16.7109375" style="305" customWidth="1"/>
    <col min="5" max="5" width="16.85546875" style="305" customWidth="1"/>
    <col min="6" max="6" width="15.42578125" style="305" customWidth="1"/>
    <col min="7" max="7" width="14.42578125" style="305" bestFit="1" customWidth="1"/>
    <col min="8" max="9" width="12.7109375" style="305" bestFit="1" customWidth="1"/>
    <col min="10" max="10" width="25.5703125" style="302" customWidth="1"/>
    <col min="11" max="11" width="11.42578125" style="302" customWidth="1"/>
    <col min="12" max="12" width="11.42578125" style="302"/>
    <col min="13" max="13" width="14.140625" style="302" bestFit="1" customWidth="1"/>
    <col min="14" max="16384" width="11.42578125" style="302"/>
  </cols>
  <sheetData>
    <row r="2" spans="1:14" ht="11.25" x14ac:dyDescent="0.2">
      <c r="A2" s="6" t="s">
        <v>1</v>
      </c>
      <c r="B2" s="6" t="s">
        <v>0</v>
      </c>
      <c r="C2" s="7" t="s">
        <v>5</v>
      </c>
      <c r="D2" s="7" t="s">
        <v>2</v>
      </c>
      <c r="E2" s="7" t="s">
        <v>260</v>
      </c>
      <c r="F2" s="7" t="s">
        <v>218</v>
      </c>
      <c r="G2" s="7" t="s">
        <v>219</v>
      </c>
      <c r="H2" s="7" t="s">
        <v>6</v>
      </c>
      <c r="I2" s="7" t="s">
        <v>217</v>
      </c>
      <c r="J2" s="6" t="s">
        <v>412</v>
      </c>
    </row>
    <row r="3" spans="1:14" s="9" customFormat="1" ht="11.25" x14ac:dyDescent="0.2">
      <c r="A3" s="10">
        <v>10100000</v>
      </c>
      <c r="B3" s="10" t="s">
        <v>7</v>
      </c>
      <c r="C3" s="11">
        <v>-13500000</v>
      </c>
      <c r="D3" s="11">
        <v>0</v>
      </c>
      <c r="E3" s="11">
        <v>0</v>
      </c>
      <c r="F3" s="13">
        <f>SUMIF('OD 04-24'!A:A,A3,'OD 04-24'!D:D)</f>
        <v>0</v>
      </c>
      <c r="G3" s="13">
        <f>SUMIF('OD 04-24'!A:A,A3,'OD 04-24'!E:E)</f>
        <v>0</v>
      </c>
      <c r="H3" s="14">
        <f t="shared" ref="H3:H66" si="0">+D3+F3-E3-G3</f>
        <v>0</v>
      </c>
      <c r="I3" s="14">
        <f t="shared" ref="I3:I66" si="1">+H3+C3</f>
        <v>-13500000</v>
      </c>
      <c r="J3" s="8" t="s">
        <v>8</v>
      </c>
      <c r="K3" s="8">
        <v>0</v>
      </c>
      <c r="M3" s="339"/>
      <c r="N3" s="315"/>
    </row>
    <row r="4" spans="1:14" s="9" customFormat="1" ht="11.25" x14ac:dyDescent="0.2">
      <c r="A4" s="10">
        <v>11101000</v>
      </c>
      <c r="B4" s="10" t="s">
        <v>9</v>
      </c>
      <c r="C4" s="11">
        <v>-1200000</v>
      </c>
      <c r="D4" s="11">
        <v>0</v>
      </c>
      <c r="E4" s="11">
        <v>0</v>
      </c>
      <c r="F4" s="13">
        <f>SUMIF('OD 04-24'!A:A,A4,'OD 04-24'!D:D)</f>
        <v>0</v>
      </c>
      <c r="G4" s="13">
        <f>SUMIF('OD 04-24'!A:A,A4,'OD 04-24'!E:E)</f>
        <v>0</v>
      </c>
      <c r="H4" s="14">
        <f t="shared" si="0"/>
        <v>0</v>
      </c>
      <c r="I4" s="14">
        <f t="shared" si="1"/>
        <v>-1200000</v>
      </c>
      <c r="J4" s="8" t="s">
        <v>10</v>
      </c>
      <c r="K4" s="8">
        <v>0</v>
      </c>
      <c r="M4" s="339"/>
      <c r="N4" s="315"/>
    </row>
    <row r="5" spans="1:14" s="9" customFormat="1" ht="11.25" x14ac:dyDescent="0.2">
      <c r="A5" s="10">
        <v>12100000</v>
      </c>
      <c r="B5" s="10" t="s">
        <v>11</v>
      </c>
      <c r="C5" s="11">
        <v>-22107150.85440243</v>
      </c>
      <c r="D5" s="11">
        <v>0</v>
      </c>
      <c r="E5" s="11">
        <v>0</v>
      </c>
      <c r="F5" s="13">
        <f>SUMIF('OD 04-24'!A:A,A5,'OD 04-24'!D:D)</f>
        <v>0</v>
      </c>
      <c r="G5" s="13">
        <f>SUMIF('OD 04-24'!A:A,A5,'OD 04-24'!E:E)</f>
        <v>0</v>
      </c>
      <c r="H5" s="14">
        <f t="shared" si="0"/>
        <v>0</v>
      </c>
      <c r="I5" s="14">
        <f t="shared" si="1"/>
        <v>-22107150.85440243</v>
      </c>
      <c r="J5" s="8" t="s">
        <v>12</v>
      </c>
      <c r="K5" s="8">
        <v>0</v>
      </c>
      <c r="M5" s="339"/>
      <c r="N5" s="315"/>
    </row>
    <row r="6" spans="1:14" s="9" customFormat="1" ht="11.25" x14ac:dyDescent="0.2">
      <c r="A6" s="10">
        <v>12200000</v>
      </c>
      <c r="B6" s="10" t="s">
        <v>272</v>
      </c>
      <c r="C6" s="11">
        <v>0</v>
      </c>
      <c r="D6" s="11">
        <v>0</v>
      </c>
      <c r="E6" s="11">
        <v>0</v>
      </c>
      <c r="F6" s="13">
        <f>SUMIF('OD 04-24'!A:A,A6,'OD 04-24'!D:D)</f>
        <v>0</v>
      </c>
      <c r="G6" s="13">
        <f>SUMIF('OD 04-24'!A:A,A6,'OD 04-24'!E:E)</f>
        <v>0</v>
      </c>
      <c r="H6" s="14">
        <f t="shared" si="0"/>
        <v>0</v>
      </c>
      <c r="I6" s="14">
        <f t="shared" si="1"/>
        <v>0</v>
      </c>
      <c r="J6" s="8">
        <v>0</v>
      </c>
      <c r="K6" s="8">
        <v>0</v>
      </c>
      <c r="M6" s="339"/>
      <c r="N6" s="315"/>
    </row>
    <row r="7" spans="1:14" s="9" customFormat="1" ht="11.25" x14ac:dyDescent="0.2">
      <c r="A7" s="10">
        <v>12800000</v>
      </c>
      <c r="B7" s="10" t="s">
        <v>13</v>
      </c>
      <c r="C7" s="11">
        <v>3126298.01</v>
      </c>
      <c r="D7" s="11">
        <v>0</v>
      </c>
      <c r="E7" s="11">
        <v>0</v>
      </c>
      <c r="F7" s="13">
        <f>SUMIF('OD 04-24'!A:A,A7,'OD 04-24'!D:D)</f>
        <v>0</v>
      </c>
      <c r="G7" s="13">
        <f>SUMIF('OD 04-24'!A:A,A7,'OD 04-24'!E:E)</f>
        <v>0</v>
      </c>
      <c r="H7" s="14">
        <f t="shared" si="0"/>
        <v>0</v>
      </c>
      <c r="I7" s="14">
        <f t="shared" si="1"/>
        <v>3126298.01</v>
      </c>
      <c r="J7" s="8" t="s">
        <v>14</v>
      </c>
      <c r="K7" s="8">
        <v>0</v>
      </c>
      <c r="M7" s="339"/>
      <c r="N7" s="315"/>
    </row>
    <row r="8" spans="1:14" s="9" customFormat="1" ht="11.25" x14ac:dyDescent="0.2">
      <c r="A8" s="10">
        <v>13000000</v>
      </c>
      <c r="B8" s="10" t="s">
        <v>273</v>
      </c>
      <c r="C8" s="11">
        <v>0</v>
      </c>
      <c r="D8" s="11">
        <v>0</v>
      </c>
      <c r="E8" s="11">
        <v>0</v>
      </c>
      <c r="F8" s="13">
        <f>SUMIF('OD 04-24'!A:A,A8,'OD 04-24'!D:D)</f>
        <v>0</v>
      </c>
      <c r="G8" s="13">
        <f>SUMIF('OD 04-24'!A:A,A8,'OD 04-24'!E:E)</f>
        <v>0</v>
      </c>
      <c r="H8" s="14">
        <f t="shared" si="0"/>
        <v>0</v>
      </c>
      <c r="I8" s="14">
        <f t="shared" si="1"/>
        <v>0</v>
      </c>
      <c r="J8" s="8">
        <v>0</v>
      </c>
      <c r="K8" s="8">
        <v>0</v>
      </c>
      <c r="M8" s="339"/>
      <c r="N8" s="315"/>
    </row>
    <row r="9" spans="1:14" s="9" customFormat="1" ht="11.25" x14ac:dyDescent="0.2">
      <c r="A9" s="10">
        <v>14500000</v>
      </c>
      <c r="B9" s="10" t="s">
        <v>15</v>
      </c>
      <c r="C9" s="11">
        <v>-3479108.84</v>
      </c>
      <c r="D9" s="11">
        <v>0</v>
      </c>
      <c r="E9" s="11">
        <v>0</v>
      </c>
      <c r="F9" s="13">
        <f>SUMIF('OD 04-24'!A:A,A9,'OD 04-24'!D:D)</f>
        <v>0</v>
      </c>
      <c r="G9" s="13">
        <f>SUMIF('OD 04-24'!A:A,A9,'OD 04-24'!E:E)</f>
        <v>0</v>
      </c>
      <c r="H9" s="14">
        <f t="shared" si="0"/>
        <v>0</v>
      </c>
      <c r="I9" s="14">
        <f t="shared" si="1"/>
        <v>-3479108.84</v>
      </c>
      <c r="J9" s="8" t="s">
        <v>16</v>
      </c>
      <c r="K9" s="8">
        <v>0</v>
      </c>
      <c r="M9" s="339"/>
      <c r="N9" s="315"/>
    </row>
    <row r="10" spans="1:14" s="9" customFormat="1" ht="11.25" x14ac:dyDescent="0.2">
      <c r="A10" s="10">
        <v>14508000</v>
      </c>
      <c r="B10" s="10" t="s">
        <v>17</v>
      </c>
      <c r="C10" s="11">
        <v>2662861.7680000002</v>
      </c>
      <c r="D10" s="11">
        <v>0</v>
      </c>
      <c r="E10" s="11">
        <v>0</v>
      </c>
      <c r="F10" s="13">
        <f>SUMIF('OD 04-24'!A:A,A10,'OD 04-24'!D:D)</f>
        <v>202824.19</v>
      </c>
      <c r="G10" s="13">
        <f>SUMIF('OD 04-24'!A:A,A10,'OD 04-24'!E:E)</f>
        <v>121694.514</v>
      </c>
      <c r="H10" s="14">
        <f t="shared" si="0"/>
        <v>81129.676000000007</v>
      </c>
      <c r="I10" s="14">
        <f t="shared" si="1"/>
        <v>2743991.4440000001</v>
      </c>
      <c r="J10" s="8" t="s">
        <v>18</v>
      </c>
      <c r="K10" s="8">
        <v>0</v>
      </c>
      <c r="M10" s="339"/>
      <c r="N10" s="315"/>
    </row>
    <row r="11" spans="1:14" s="9" customFormat="1" ht="11.25" x14ac:dyDescent="0.2">
      <c r="A11" s="10">
        <v>15100000</v>
      </c>
      <c r="B11" s="10" t="s">
        <v>19</v>
      </c>
      <c r="C11" s="11">
        <v>-231535.016</v>
      </c>
      <c r="D11" s="11">
        <v>0</v>
      </c>
      <c r="E11" s="11">
        <v>0</v>
      </c>
      <c r="F11" s="13">
        <f>SUMIF('OD 04-24'!A:A,A11,'OD 04-24'!D:D)</f>
        <v>0</v>
      </c>
      <c r="G11" s="13">
        <f>SUMIF('OD 04-24'!A:A,A11,'OD 04-24'!E:E)</f>
        <v>0</v>
      </c>
      <c r="H11" s="14">
        <f t="shared" si="0"/>
        <v>0</v>
      </c>
      <c r="I11" s="14">
        <f t="shared" si="1"/>
        <v>-231535.016</v>
      </c>
      <c r="J11" s="8" t="s">
        <v>20</v>
      </c>
      <c r="K11" s="8">
        <v>0</v>
      </c>
      <c r="M11" s="339"/>
      <c r="N11" s="315"/>
    </row>
    <row r="12" spans="1:14" s="9" customFormat="1" ht="11.25" x14ac:dyDescent="0.2">
      <c r="A12" s="10">
        <v>16210250</v>
      </c>
      <c r="B12" s="10" t="s">
        <v>274</v>
      </c>
      <c r="C12" s="11">
        <v>0</v>
      </c>
      <c r="D12" s="11">
        <v>0</v>
      </c>
      <c r="E12" s="11">
        <v>0</v>
      </c>
      <c r="F12" s="13">
        <f>SUMIF('OD 04-24'!A:A,A12,'OD 04-24'!D:D)</f>
        <v>0</v>
      </c>
      <c r="G12" s="13">
        <f>SUMIF('OD 04-24'!A:A,A12,'OD 04-24'!E:E)</f>
        <v>0</v>
      </c>
      <c r="H12" s="14">
        <f t="shared" si="0"/>
        <v>0</v>
      </c>
      <c r="I12" s="14">
        <f t="shared" si="1"/>
        <v>0</v>
      </c>
      <c r="J12" s="8">
        <v>0</v>
      </c>
      <c r="K12" s="8">
        <v>0</v>
      </c>
      <c r="M12" s="339"/>
      <c r="N12" s="315"/>
    </row>
    <row r="13" spans="1:14" s="9" customFormat="1" ht="11.25" x14ac:dyDescent="0.2">
      <c r="A13" s="10">
        <v>16210500</v>
      </c>
      <c r="B13" s="10" t="s">
        <v>21</v>
      </c>
      <c r="C13" s="11">
        <v>-1416666.6629999988</v>
      </c>
      <c r="D13" s="11">
        <v>0</v>
      </c>
      <c r="E13" s="11">
        <v>0</v>
      </c>
      <c r="F13" s="13">
        <f>SUMIF('OD 04-24'!A:A,A13,'OD 04-24'!D:D)</f>
        <v>0</v>
      </c>
      <c r="G13" s="13">
        <f>SUMIF('OD 04-24'!A:A,A13,'OD 04-24'!E:E)</f>
        <v>0</v>
      </c>
      <c r="H13" s="14">
        <f t="shared" si="0"/>
        <v>0</v>
      </c>
      <c r="I13" s="14">
        <f t="shared" si="1"/>
        <v>-1416666.6629999988</v>
      </c>
      <c r="J13" s="8" t="s">
        <v>22</v>
      </c>
      <c r="K13" s="8">
        <v>0</v>
      </c>
      <c r="M13" s="339"/>
      <c r="N13" s="315"/>
    </row>
    <row r="14" spans="1:14" s="9" customFormat="1" ht="11.25" x14ac:dyDescent="0.2">
      <c r="A14" s="10">
        <v>16210960</v>
      </c>
      <c r="B14" s="10" t="s">
        <v>275</v>
      </c>
      <c r="C14" s="11">
        <v>0</v>
      </c>
      <c r="D14" s="11">
        <v>0</v>
      </c>
      <c r="E14" s="11">
        <v>0</v>
      </c>
      <c r="F14" s="13">
        <f>SUMIF('OD 04-24'!A:A,A14,'OD 04-24'!D:D)</f>
        <v>0</v>
      </c>
      <c r="G14" s="13">
        <f>SUMIF('OD 04-24'!A:A,A14,'OD 04-24'!E:E)</f>
        <v>0</v>
      </c>
      <c r="H14" s="14">
        <f t="shared" si="0"/>
        <v>0</v>
      </c>
      <c r="I14" s="14">
        <f t="shared" si="1"/>
        <v>0</v>
      </c>
      <c r="J14" s="8">
        <v>0</v>
      </c>
      <c r="K14" s="8">
        <v>0</v>
      </c>
      <c r="M14" s="339"/>
      <c r="N14" s="315"/>
    </row>
    <row r="15" spans="1:14" s="9" customFormat="1" ht="11.25" x14ac:dyDescent="0.2">
      <c r="A15" s="10">
        <v>16400000</v>
      </c>
      <c r="B15" s="10" t="s">
        <v>276</v>
      </c>
      <c r="C15" s="11">
        <v>-103582.68900000001</v>
      </c>
      <c r="D15" s="11">
        <v>0</v>
      </c>
      <c r="E15" s="11">
        <v>334713.73499999999</v>
      </c>
      <c r="F15" s="13">
        <f>SUMIF('OD 04-24'!A:A,A15,'OD 04-24'!D:D)</f>
        <v>0</v>
      </c>
      <c r="G15" s="13">
        <f>SUMIF('OD 04-24'!A:A,A15,'OD 04-24'!E:E)</f>
        <v>0</v>
      </c>
      <c r="H15" s="14">
        <f t="shared" si="0"/>
        <v>-334713.73499999999</v>
      </c>
      <c r="I15" s="14">
        <f t="shared" si="1"/>
        <v>-438296.424</v>
      </c>
      <c r="J15" s="8" t="s">
        <v>22</v>
      </c>
      <c r="K15" s="8">
        <v>0</v>
      </c>
      <c r="M15" s="339"/>
      <c r="N15" s="315"/>
    </row>
    <row r="16" spans="1:14" s="9" customFormat="1" ht="11.25" x14ac:dyDescent="0.2">
      <c r="A16" s="10">
        <v>18800000</v>
      </c>
      <c r="B16" s="10" t="s">
        <v>23</v>
      </c>
      <c r="C16" s="11">
        <v>0</v>
      </c>
      <c r="D16" s="11">
        <v>0</v>
      </c>
      <c r="E16" s="11">
        <v>0</v>
      </c>
      <c r="F16" s="13">
        <f>SUMIF('OD 04-24'!A:A,A16,'OD 04-24'!D:D)</f>
        <v>0</v>
      </c>
      <c r="G16" s="13">
        <f>SUMIF('OD 04-24'!A:A,A16,'OD 04-24'!E:E)</f>
        <v>0</v>
      </c>
      <c r="H16" s="14">
        <f t="shared" si="0"/>
        <v>0</v>
      </c>
      <c r="I16" s="14">
        <f t="shared" si="1"/>
        <v>0</v>
      </c>
      <c r="J16" s="8">
        <v>0</v>
      </c>
      <c r="K16" s="8">
        <v>0</v>
      </c>
      <c r="M16" s="339"/>
      <c r="N16" s="315"/>
    </row>
    <row r="17" spans="1:14" s="9" customFormat="1" ht="11.25" x14ac:dyDescent="0.2">
      <c r="A17" s="10">
        <v>21100000</v>
      </c>
      <c r="B17" s="10" t="s">
        <v>277</v>
      </c>
      <c r="C17" s="11">
        <v>0</v>
      </c>
      <c r="D17" s="11">
        <v>0</v>
      </c>
      <c r="E17" s="11">
        <v>0</v>
      </c>
      <c r="F17" s="13">
        <f>SUMIF('OD 04-24'!A:A,A17,'OD 04-24'!D:D)</f>
        <v>0</v>
      </c>
      <c r="G17" s="13">
        <f>SUMIF('OD 04-24'!A:A,A17,'OD 04-24'!E:E)</f>
        <v>0</v>
      </c>
      <c r="H17" s="14">
        <f t="shared" si="0"/>
        <v>0</v>
      </c>
      <c r="I17" s="14">
        <f t="shared" si="1"/>
        <v>0</v>
      </c>
      <c r="J17" s="8">
        <v>0</v>
      </c>
      <c r="K17" s="8">
        <v>0</v>
      </c>
      <c r="M17" s="339"/>
      <c r="N17" s="315"/>
    </row>
    <row r="18" spans="1:14" s="9" customFormat="1" ht="11.25" x14ac:dyDescent="0.2">
      <c r="A18" s="10">
        <v>21300000</v>
      </c>
      <c r="B18" s="10" t="s">
        <v>24</v>
      </c>
      <c r="C18" s="11">
        <v>93173.926999999996</v>
      </c>
      <c r="D18" s="11">
        <v>0</v>
      </c>
      <c r="E18" s="11">
        <v>0</v>
      </c>
      <c r="F18" s="13">
        <f>SUMIF('OD 04-24'!A:A,A18,'OD 04-24'!D:D)</f>
        <v>0</v>
      </c>
      <c r="G18" s="13">
        <f>SUMIF('OD 04-24'!A:A,A18,'OD 04-24'!E:E)</f>
        <v>0</v>
      </c>
      <c r="H18" s="14">
        <f t="shared" si="0"/>
        <v>0</v>
      </c>
      <c r="I18" s="14">
        <f t="shared" si="1"/>
        <v>93173.926999999996</v>
      </c>
      <c r="J18" s="8" t="s">
        <v>25</v>
      </c>
      <c r="K18" s="8">
        <v>0</v>
      </c>
      <c r="M18" s="339"/>
      <c r="N18" s="315"/>
    </row>
    <row r="19" spans="1:14" s="9" customFormat="1" ht="11.25" x14ac:dyDescent="0.2">
      <c r="A19" s="10">
        <v>22000000</v>
      </c>
      <c r="B19" s="10" t="s">
        <v>278</v>
      </c>
      <c r="C19" s="11">
        <v>0</v>
      </c>
      <c r="D19" s="11">
        <v>0</v>
      </c>
      <c r="E19" s="11">
        <v>0</v>
      </c>
      <c r="F19" s="13">
        <f>SUMIF('OD 04-24'!A:A,A19,'OD 04-24'!D:D)</f>
        <v>0</v>
      </c>
      <c r="G19" s="13">
        <f>SUMIF('OD 04-24'!A:A,A19,'OD 04-24'!E:E)</f>
        <v>0</v>
      </c>
      <c r="H19" s="14">
        <f t="shared" si="0"/>
        <v>0</v>
      </c>
      <c r="I19" s="14">
        <f t="shared" si="1"/>
        <v>0</v>
      </c>
      <c r="J19" s="8">
        <v>0</v>
      </c>
      <c r="K19" s="8">
        <v>0</v>
      </c>
      <c r="M19" s="339"/>
      <c r="N19" s="315"/>
    </row>
    <row r="20" spans="1:14" s="9" customFormat="1" ht="11.25" x14ac:dyDescent="0.2">
      <c r="A20" s="10">
        <v>22100000</v>
      </c>
      <c r="B20" s="10" t="s">
        <v>26</v>
      </c>
      <c r="C20" s="11">
        <v>1275724</v>
      </c>
      <c r="D20" s="11">
        <v>0</v>
      </c>
      <c r="E20" s="11">
        <v>0</v>
      </c>
      <c r="F20" s="13">
        <f>SUMIF('OD 04-24'!A:A,A20,'OD 04-24'!D:D)</f>
        <v>0</v>
      </c>
      <c r="G20" s="13">
        <f>SUMIF('OD 04-24'!A:A,A20,'OD 04-24'!E:E)</f>
        <v>0</v>
      </c>
      <c r="H20" s="14">
        <f t="shared" si="0"/>
        <v>0</v>
      </c>
      <c r="I20" s="14">
        <f t="shared" si="1"/>
        <v>1275724</v>
      </c>
      <c r="J20" s="8" t="s">
        <v>25</v>
      </c>
      <c r="K20" s="8">
        <v>0</v>
      </c>
      <c r="M20" s="339"/>
      <c r="N20" s="315"/>
    </row>
    <row r="21" spans="1:14" s="9" customFormat="1" ht="11.25" x14ac:dyDescent="0.2">
      <c r="A21" s="10">
        <v>22160000</v>
      </c>
      <c r="B21" s="10" t="s">
        <v>27</v>
      </c>
      <c r="C21" s="11">
        <v>161921.53600000002</v>
      </c>
      <c r="D21" s="11">
        <v>0</v>
      </c>
      <c r="E21" s="11">
        <v>0</v>
      </c>
      <c r="F21" s="13">
        <f>SUMIF('OD 04-24'!A:A,A21,'OD 04-24'!D:D)</f>
        <v>0</v>
      </c>
      <c r="G21" s="13">
        <f>SUMIF('OD 04-24'!A:A,A21,'OD 04-24'!E:E)</f>
        <v>0</v>
      </c>
      <c r="H21" s="14">
        <f t="shared" si="0"/>
        <v>0</v>
      </c>
      <c r="I21" s="14">
        <f t="shared" si="1"/>
        <v>161921.53600000002</v>
      </c>
      <c r="J21" s="8" t="s">
        <v>25</v>
      </c>
      <c r="K21" s="8">
        <v>0</v>
      </c>
      <c r="M21" s="339"/>
      <c r="N21" s="315"/>
    </row>
    <row r="22" spans="1:14" s="9" customFormat="1" ht="11.25" x14ac:dyDescent="0.2">
      <c r="A22" s="10">
        <v>22200000</v>
      </c>
      <c r="B22" s="10" t="s">
        <v>28</v>
      </c>
      <c r="C22" s="11">
        <v>9174898.748999998</v>
      </c>
      <c r="D22" s="11">
        <v>0</v>
      </c>
      <c r="E22" s="11">
        <v>0</v>
      </c>
      <c r="F22" s="13">
        <f>SUMIF('OD 04-24'!A:A,A22,'OD 04-24'!D:D)</f>
        <v>0</v>
      </c>
      <c r="G22" s="13">
        <f>SUMIF('OD 04-24'!A:A,A22,'OD 04-24'!E:E)</f>
        <v>0</v>
      </c>
      <c r="H22" s="14">
        <f t="shared" si="0"/>
        <v>0</v>
      </c>
      <c r="I22" s="14">
        <f t="shared" si="1"/>
        <v>9174898.748999998</v>
      </c>
      <c r="J22" s="8" t="s">
        <v>25</v>
      </c>
      <c r="K22" s="8">
        <v>0</v>
      </c>
      <c r="M22" s="339"/>
      <c r="N22" s="315"/>
    </row>
    <row r="23" spans="1:14" s="9" customFormat="1" ht="11.25" x14ac:dyDescent="0.2">
      <c r="A23" s="10">
        <v>22250000</v>
      </c>
      <c r="B23" s="10" t="s">
        <v>29</v>
      </c>
      <c r="C23" s="11">
        <v>696674.05799999996</v>
      </c>
      <c r="D23" s="11">
        <v>53475.964</v>
      </c>
      <c r="E23" s="11">
        <v>0</v>
      </c>
      <c r="F23" s="13">
        <f>SUMIF('OD 04-24'!A:A,A23,'OD 04-24'!D:D)</f>
        <v>0</v>
      </c>
      <c r="G23" s="13">
        <f>SUMIF('OD 04-24'!A:A,A23,'OD 04-24'!E:E)</f>
        <v>0</v>
      </c>
      <c r="H23" s="14">
        <f t="shared" si="0"/>
        <v>53475.964</v>
      </c>
      <c r="I23" s="14">
        <f t="shared" si="1"/>
        <v>750150.022</v>
      </c>
      <c r="J23" s="8" t="s">
        <v>25</v>
      </c>
      <c r="K23" s="8">
        <v>0</v>
      </c>
      <c r="M23" s="339"/>
      <c r="N23" s="315"/>
    </row>
    <row r="24" spans="1:14" s="9" customFormat="1" ht="11.25" x14ac:dyDescent="0.2">
      <c r="A24" s="10">
        <v>22300000</v>
      </c>
      <c r="B24" s="10" t="s">
        <v>30</v>
      </c>
      <c r="C24" s="11">
        <v>73570.611000000004</v>
      </c>
      <c r="D24" s="11">
        <v>16942</v>
      </c>
      <c r="E24" s="11">
        <v>0</v>
      </c>
      <c r="F24" s="13">
        <f>SUMIF('OD 04-24'!A:A,A24,'OD 04-24'!D:D)</f>
        <v>0</v>
      </c>
      <c r="G24" s="13">
        <f>SUMIF('OD 04-24'!A:A,A24,'OD 04-24'!E:E)</f>
        <v>0</v>
      </c>
      <c r="H24" s="14">
        <f t="shared" si="0"/>
        <v>16942</v>
      </c>
      <c r="I24" s="14">
        <f t="shared" si="1"/>
        <v>90512.611000000004</v>
      </c>
      <c r="J24" s="8" t="s">
        <v>25</v>
      </c>
      <c r="K24" s="8">
        <v>0</v>
      </c>
      <c r="M24" s="339"/>
      <c r="N24" s="315"/>
    </row>
    <row r="25" spans="1:14" s="9" customFormat="1" ht="11.25" x14ac:dyDescent="0.2">
      <c r="A25" s="10">
        <v>22310000</v>
      </c>
      <c r="B25" s="10" t="s">
        <v>31</v>
      </c>
      <c r="C25" s="11">
        <v>0</v>
      </c>
      <c r="D25" s="11">
        <v>2210.924</v>
      </c>
      <c r="E25" s="11">
        <v>0</v>
      </c>
      <c r="F25" s="13">
        <f>SUMIF('OD 04-24'!A:A,A25,'OD 04-24'!D:D)</f>
        <v>0</v>
      </c>
      <c r="G25" s="13">
        <f>SUMIF('OD 04-24'!A:A,A25,'OD 04-24'!E:E)</f>
        <v>0</v>
      </c>
      <c r="H25" s="14">
        <f t="shared" si="0"/>
        <v>2210.924</v>
      </c>
      <c r="I25" s="14">
        <f t="shared" si="1"/>
        <v>2210.924</v>
      </c>
      <c r="J25" s="8" t="s">
        <v>25</v>
      </c>
      <c r="K25" s="8">
        <v>0</v>
      </c>
      <c r="M25" s="339"/>
      <c r="N25" s="315"/>
    </row>
    <row r="26" spans="1:14" s="9" customFormat="1" ht="11.25" x14ac:dyDescent="0.2">
      <c r="A26" s="10">
        <v>22340000</v>
      </c>
      <c r="B26" s="10" t="s">
        <v>32</v>
      </c>
      <c r="C26" s="11">
        <v>24676096.882049002</v>
      </c>
      <c r="D26" s="11">
        <v>351441.6115</v>
      </c>
      <c r="E26" s="11">
        <v>308083.82999999996</v>
      </c>
      <c r="F26" s="13">
        <f>SUMIF('OD 04-24'!A:A,A26,'OD 04-24'!D:D)</f>
        <v>0</v>
      </c>
      <c r="G26" s="13">
        <f>SUMIF('OD 04-24'!A:A,A26,'OD 04-24'!E:E)</f>
        <v>0</v>
      </c>
      <c r="H26" s="14">
        <f t="shared" si="0"/>
        <v>43357.781500000041</v>
      </c>
      <c r="I26" s="14">
        <f t="shared" si="1"/>
        <v>24719454.663549002</v>
      </c>
      <c r="J26" s="8" t="s">
        <v>25</v>
      </c>
      <c r="K26" s="8">
        <v>0</v>
      </c>
      <c r="M26" s="339"/>
      <c r="N26" s="315"/>
    </row>
    <row r="27" spans="1:14" s="9" customFormat="1" ht="11.25" x14ac:dyDescent="0.2">
      <c r="A27" s="10">
        <v>22350000</v>
      </c>
      <c r="B27" s="10" t="s">
        <v>33</v>
      </c>
      <c r="C27" s="11">
        <v>651798.13449999969</v>
      </c>
      <c r="D27" s="11">
        <v>28334.712</v>
      </c>
      <c r="E27" s="11">
        <v>0</v>
      </c>
      <c r="F27" s="13">
        <f>SUMIF('OD 04-24'!A:A,A27,'OD 04-24'!D:D)</f>
        <v>0</v>
      </c>
      <c r="G27" s="13">
        <f>SUMIF('OD 04-24'!A:A,A27,'OD 04-24'!E:E)</f>
        <v>0</v>
      </c>
      <c r="H27" s="14">
        <f t="shared" si="0"/>
        <v>28334.712</v>
      </c>
      <c r="I27" s="14">
        <f t="shared" si="1"/>
        <v>680132.84649999975</v>
      </c>
      <c r="J27" s="8" t="s">
        <v>25</v>
      </c>
      <c r="K27" s="8">
        <v>0</v>
      </c>
      <c r="M27" s="339"/>
      <c r="N27" s="315"/>
    </row>
    <row r="28" spans="1:14" s="9" customFormat="1" ht="11.25" x14ac:dyDescent="0.2">
      <c r="A28" s="10">
        <v>22370000</v>
      </c>
      <c r="B28" s="10" t="s">
        <v>34</v>
      </c>
      <c r="C28" s="11">
        <v>901593.20599999989</v>
      </c>
      <c r="D28" s="11">
        <v>8125.4519999999993</v>
      </c>
      <c r="E28" s="11">
        <v>0</v>
      </c>
      <c r="F28" s="13">
        <f>SUMIF('OD 04-24'!A:A,A28,'OD 04-24'!D:D)</f>
        <v>0</v>
      </c>
      <c r="G28" s="13">
        <f>SUMIF('OD 04-24'!A:A,A28,'OD 04-24'!E:E)</f>
        <v>0</v>
      </c>
      <c r="H28" s="14">
        <f t="shared" si="0"/>
        <v>8125.4519999999993</v>
      </c>
      <c r="I28" s="14">
        <f t="shared" si="1"/>
        <v>909718.65799999994</v>
      </c>
      <c r="J28" s="8" t="s">
        <v>25</v>
      </c>
      <c r="K28" s="8">
        <v>0</v>
      </c>
      <c r="M28" s="339"/>
      <c r="N28" s="315"/>
    </row>
    <row r="29" spans="1:14" s="9" customFormat="1" ht="11.25" x14ac:dyDescent="0.2">
      <c r="A29" s="10">
        <v>22400000</v>
      </c>
      <c r="B29" s="10" t="s">
        <v>35</v>
      </c>
      <c r="C29" s="11">
        <v>1176312.6140000001</v>
      </c>
      <c r="D29" s="11">
        <v>21102.11</v>
      </c>
      <c r="E29" s="11">
        <v>51000</v>
      </c>
      <c r="F29" s="13">
        <f>SUMIF('OD 04-24'!A:A,A29,'OD 04-24'!D:D)</f>
        <v>0</v>
      </c>
      <c r="G29" s="13">
        <f>SUMIF('OD 04-24'!A:A,A29,'OD 04-24'!E:E)</f>
        <v>0</v>
      </c>
      <c r="H29" s="14">
        <f t="shared" si="0"/>
        <v>-29897.89</v>
      </c>
      <c r="I29" s="14">
        <f t="shared" si="1"/>
        <v>1146414.7240000002</v>
      </c>
      <c r="J29" s="8" t="s">
        <v>25</v>
      </c>
      <c r="K29" s="8">
        <v>0</v>
      </c>
      <c r="M29" s="339"/>
      <c r="N29" s="315"/>
    </row>
    <row r="30" spans="1:14" s="9" customFormat="1" ht="11.25" x14ac:dyDescent="0.2">
      <c r="A30" s="10">
        <v>22810000</v>
      </c>
      <c r="B30" s="10" t="s">
        <v>36</v>
      </c>
      <c r="C30" s="11">
        <v>0</v>
      </c>
      <c r="D30" s="11">
        <v>0</v>
      </c>
      <c r="E30" s="11">
        <v>0</v>
      </c>
      <c r="F30" s="13">
        <f>SUMIF('OD 04-24'!A:A,A30,'OD 04-24'!D:D)</f>
        <v>0</v>
      </c>
      <c r="G30" s="13">
        <f>SUMIF('OD 04-24'!A:A,A30,'OD 04-24'!E:E)</f>
        <v>0</v>
      </c>
      <c r="H30" s="14">
        <f t="shared" si="0"/>
        <v>0</v>
      </c>
      <c r="I30" s="14">
        <f t="shared" si="1"/>
        <v>0</v>
      </c>
      <c r="J30" s="8">
        <v>0</v>
      </c>
      <c r="K30" s="8">
        <v>0</v>
      </c>
      <c r="M30" s="339"/>
      <c r="N30" s="315"/>
    </row>
    <row r="31" spans="1:14" s="9" customFormat="1" ht="11.25" x14ac:dyDescent="0.2">
      <c r="A31" s="10">
        <v>22820000</v>
      </c>
      <c r="B31" s="10" t="s">
        <v>37</v>
      </c>
      <c r="C31" s="11">
        <v>281171.26415</v>
      </c>
      <c r="D31" s="11">
        <v>23408.07</v>
      </c>
      <c r="E31" s="11">
        <v>313.10000000000002</v>
      </c>
      <c r="F31" s="13">
        <f>SUMIF('OD 04-24'!A:A,A31,'OD 04-24'!D:D)</f>
        <v>0</v>
      </c>
      <c r="G31" s="13">
        <f>SUMIF('OD 04-24'!A:A,A31,'OD 04-24'!E:E)</f>
        <v>0</v>
      </c>
      <c r="H31" s="14">
        <f t="shared" si="0"/>
        <v>23094.97</v>
      </c>
      <c r="I31" s="14">
        <f t="shared" si="1"/>
        <v>304266.23415000003</v>
      </c>
      <c r="J31" s="8" t="s">
        <v>25</v>
      </c>
      <c r="K31" s="8">
        <v>0</v>
      </c>
      <c r="M31" s="339"/>
      <c r="N31" s="315"/>
    </row>
    <row r="32" spans="1:14" s="9" customFormat="1" ht="11.25" x14ac:dyDescent="0.2">
      <c r="A32" s="10">
        <v>22830000</v>
      </c>
      <c r="B32" s="10" t="s">
        <v>279</v>
      </c>
      <c r="C32" s="11">
        <v>243796.16828599994</v>
      </c>
      <c r="D32" s="11">
        <v>13818.086000000001</v>
      </c>
      <c r="E32" s="11">
        <v>0</v>
      </c>
      <c r="F32" s="13">
        <f>SUMIF('OD 04-24'!A:A,A32,'OD 04-24'!D:D)</f>
        <v>0</v>
      </c>
      <c r="G32" s="13">
        <f>SUMIF('OD 04-24'!A:A,A32,'OD 04-24'!E:E)</f>
        <v>0</v>
      </c>
      <c r="H32" s="14">
        <f t="shared" si="0"/>
        <v>13818.086000000001</v>
      </c>
      <c r="I32" s="14">
        <f t="shared" si="1"/>
        <v>257614.25428599995</v>
      </c>
      <c r="J32" s="8" t="s">
        <v>25</v>
      </c>
      <c r="K32" s="8">
        <v>0</v>
      </c>
      <c r="M32" s="339"/>
      <c r="N32" s="315"/>
    </row>
    <row r="33" spans="1:14" s="9" customFormat="1" ht="11.25" x14ac:dyDescent="0.2">
      <c r="A33" s="10">
        <v>23000000</v>
      </c>
      <c r="B33" s="10" t="s">
        <v>280</v>
      </c>
      <c r="C33" s="11">
        <v>2.0000000404252205E-5</v>
      </c>
      <c r="D33" s="11">
        <v>0</v>
      </c>
      <c r="E33" s="11">
        <v>0</v>
      </c>
      <c r="F33" s="13">
        <f>SUMIF('OD 04-24'!A:A,A33,'OD 04-24'!D:D)</f>
        <v>0</v>
      </c>
      <c r="G33" s="13">
        <f>SUMIF('OD 04-24'!A:A,A33,'OD 04-24'!E:E)</f>
        <v>0</v>
      </c>
      <c r="H33" s="14">
        <f t="shared" si="0"/>
        <v>0</v>
      </c>
      <c r="I33" s="14">
        <f t="shared" si="1"/>
        <v>2.0000000404252205E-5</v>
      </c>
      <c r="J33" s="8">
        <v>0</v>
      </c>
      <c r="K33" s="8">
        <v>0</v>
      </c>
      <c r="M33" s="339"/>
      <c r="N33" s="315"/>
    </row>
    <row r="34" spans="1:14" s="9" customFormat="1" ht="11.25" x14ac:dyDescent="0.2">
      <c r="A34" s="10">
        <v>23100000</v>
      </c>
      <c r="B34" s="10" t="s">
        <v>7399</v>
      </c>
      <c r="C34" s="11">
        <v>0</v>
      </c>
      <c r="D34" s="11">
        <v>17045.8</v>
      </c>
      <c r="E34" s="11">
        <v>0</v>
      </c>
      <c r="F34" s="13">
        <f>SUMIF('OD 04-24'!A:A,A34,'OD 04-24'!D:D)</f>
        <v>0</v>
      </c>
      <c r="G34" s="13">
        <f>SUMIF('OD 04-24'!A:A,A34,'OD 04-24'!E:E)</f>
        <v>0</v>
      </c>
      <c r="H34" s="14">
        <f t="shared" si="0"/>
        <v>17045.8</v>
      </c>
      <c r="I34" s="14">
        <f t="shared" si="1"/>
        <v>17045.8</v>
      </c>
      <c r="J34" s="8" t="s">
        <v>25</v>
      </c>
      <c r="K34" s="8">
        <v>0</v>
      </c>
      <c r="M34" s="339"/>
      <c r="N34" s="315"/>
    </row>
    <row r="35" spans="1:14" s="9" customFormat="1" ht="11.25" x14ac:dyDescent="0.2">
      <c r="A35" s="10">
        <v>23200000</v>
      </c>
      <c r="B35" s="10" t="s">
        <v>38</v>
      </c>
      <c r="C35" s="11">
        <v>404721.24329749867</v>
      </c>
      <c r="D35" s="11">
        <v>161.595</v>
      </c>
      <c r="E35" s="11">
        <v>144.87899999999999</v>
      </c>
      <c r="F35" s="13">
        <f>SUMIF('OD 04-24'!A:A,A35,'OD 04-24'!D:D)</f>
        <v>0</v>
      </c>
      <c r="G35" s="13">
        <f>SUMIF('OD 04-24'!A:A,A35,'OD 04-24'!E:E)</f>
        <v>0</v>
      </c>
      <c r="H35" s="14">
        <f t="shared" si="0"/>
        <v>16.716000000000008</v>
      </c>
      <c r="I35" s="14">
        <f t="shared" si="1"/>
        <v>404737.95929749869</v>
      </c>
      <c r="J35" s="8" t="s">
        <v>25</v>
      </c>
      <c r="K35" s="8">
        <v>0</v>
      </c>
      <c r="M35" s="339"/>
      <c r="N35" s="315"/>
    </row>
    <row r="36" spans="1:14" s="9" customFormat="1" ht="11.25" x14ac:dyDescent="0.2">
      <c r="A36" s="10">
        <v>23220000</v>
      </c>
      <c r="B36" s="10" t="s">
        <v>39</v>
      </c>
      <c r="C36" s="11">
        <v>0</v>
      </c>
      <c r="D36" s="11">
        <v>0</v>
      </c>
      <c r="E36" s="11">
        <v>0</v>
      </c>
      <c r="F36" s="13">
        <f>SUMIF('OD 04-24'!A:A,A36,'OD 04-24'!D:D)</f>
        <v>0</v>
      </c>
      <c r="G36" s="13">
        <f>SUMIF('OD 04-24'!A:A,A36,'OD 04-24'!E:E)</f>
        <v>0</v>
      </c>
      <c r="H36" s="14">
        <f t="shared" si="0"/>
        <v>0</v>
      </c>
      <c r="I36" s="14">
        <f t="shared" si="1"/>
        <v>0</v>
      </c>
      <c r="J36" s="8" t="s">
        <v>25</v>
      </c>
      <c r="K36" s="8">
        <v>0</v>
      </c>
      <c r="M36" s="339"/>
      <c r="N36" s="315"/>
    </row>
    <row r="37" spans="1:14" s="9" customFormat="1" ht="11.25" x14ac:dyDescent="0.2">
      <c r="A37" s="10">
        <v>23225000</v>
      </c>
      <c r="B37" s="10" t="s">
        <v>281</v>
      </c>
      <c r="C37" s="11">
        <v>0</v>
      </c>
      <c r="D37" s="11">
        <v>0</v>
      </c>
      <c r="E37" s="11">
        <v>0</v>
      </c>
      <c r="F37" s="13">
        <f>SUMIF('OD 04-24'!A:A,A37,'OD 04-24'!D:D)</f>
        <v>0</v>
      </c>
      <c r="G37" s="13">
        <f>SUMIF('OD 04-24'!A:A,A37,'OD 04-24'!E:E)</f>
        <v>0</v>
      </c>
      <c r="H37" s="14">
        <f t="shared" si="0"/>
        <v>0</v>
      </c>
      <c r="I37" s="14">
        <f t="shared" si="1"/>
        <v>0</v>
      </c>
      <c r="J37" s="8">
        <v>0</v>
      </c>
      <c r="K37" s="8">
        <v>0</v>
      </c>
      <c r="M37" s="339"/>
      <c r="N37" s="315"/>
    </row>
    <row r="38" spans="1:14" s="9" customFormat="1" ht="11.25" x14ac:dyDescent="0.2">
      <c r="A38" s="10">
        <v>23231000</v>
      </c>
      <c r="B38" s="10" t="s">
        <v>282</v>
      </c>
      <c r="C38" s="11">
        <v>0</v>
      </c>
      <c r="D38" s="11">
        <v>0</v>
      </c>
      <c r="E38" s="11">
        <v>0</v>
      </c>
      <c r="F38" s="13">
        <f>SUMIF('OD 04-24'!A:A,A38,'OD 04-24'!D:D)</f>
        <v>0</v>
      </c>
      <c r="G38" s="13">
        <f>SUMIF('OD 04-24'!A:A,A38,'OD 04-24'!E:E)</f>
        <v>0</v>
      </c>
      <c r="H38" s="14">
        <f t="shared" si="0"/>
        <v>0</v>
      </c>
      <c r="I38" s="14">
        <f t="shared" si="1"/>
        <v>0</v>
      </c>
      <c r="J38" s="8">
        <v>0</v>
      </c>
      <c r="K38" s="8">
        <v>0</v>
      </c>
      <c r="M38" s="339"/>
      <c r="N38" s="315"/>
    </row>
    <row r="39" spans="1:14" s="9" customFormat="1" ht="11.25" x14ac:dyDescent="0.2">
      <c r="A39" s="10">
        <v>23237000</v>
      </c>
      <c r="B39" s="10" t="s">
        <v>283</v>
      </c>
      <c r="C39" s="11">
        <v>0</v>
      </c>
      <c r="D39" s="11">
        <v>0</v>
      </c>
      <c r="E39" s="11">
        <v>0</v>
      </c>
      <c r="F39" s="13">
        <f>SUMIF('OD 04-24'!A:A,A39,'OD 04-24'!D:D)</f>
        <v>0</v>
      </c>
      <c r="G39" s="13">
        <f>SUMIF('OD 04-24'!A:A,A39,'OD 04-24'!E:E)</f>
        <v>0</v>
      </c>
      <c r="H39" s="14">
        <f t="shared" si="0"/>
        <v>0</v>
      </c>
      <c r="I39" s="14">
        <f t="shared" si="1"/>
        <v>0</v>
      </c>
      <c r="J39" s="8">
        <v>0</v>
      </c>
      <c r="K39" s="8">
        <v>0</v>
      </c>
      <c r="M39" s="339"/>
      <c r="N39" s="315"/>
    </row>
    <row r="40" spans="1:14" s="9" customFormat="1" ht="11.25" x14ac:dyDescent="0.2">
      <c r="A40" s="10">
        <v>23250000</v>
      </c>
      <c r="B40" s="10" t="s">
        <v>284</v>
      </c>
      <c r="C40" s="11">
        <v>0</v>
      </c>
      <c r="D40" s="11">
        <v>0</v>
      </c>
      <c r="E40" s="11">
        <v>0</v>
      </c>
      <c r="F40" s="13">
        <f>SUMIF('OD 04-24'!A:A,A40,'OD 04-24'!D:D)</f>
        <v>0</v>
      </c>
      <c r="G40" s="13">
        <f>SUMIF('OD 04-24'!A:A,A40,'OD 04-24'!E:E)</f>
        <v>0</v>
      </c>
      <c r="H40" s="14">
        <f t="shared" si="0"/>
        <v>0</v>
      </c>
      <c r="I40" s="14">
        <f t="shared" si="1"/>
        <v>0</v>
      </c>
      <c r="J40" s="8">
        <v>0</v>
      </c>
      <c r="K40" s="8">
        <v>0</v>
      </c>
      <c r="M40" s="339"/>
      <c r="N40" s="315"/>
    </row>
    <row r="41" spans="1:14" s="9" customFormat="1" ht="11.25" x14ac:dyDescent="0.2">
      <c r="A41" s="10">
        <v>23800000</v>
      </c>
      <c r="B41" s="10" t="s">
        <v>285</v>
      </c>
      <c r="C41" s="11">
        <v>0</v>
      </c>
      <c r="D41" s="11">
        <v>0</v>
      </c>
      <c r="E41" s="11">
        <v>0</v>
      </c>
      <c r="F41" s="13">
        <f>SUMIF('OD 04-24'!A:A,A41,'OD 04-24'!D:D)</f>
        <v>0</v>
      </c>
      <c r="G41" s="13">
        <f>SUMIF('OD 04-24'!A:A,A41,'OD 04-24'!E:E)</f>
        <v>0</v>
      </c>
      <c r="H41" s="14">
        <f t="shared" si="0"/>
        <v>0</v>
      </c>
      <c r="I41" s="14">
        <f t="shared" si="1"/>
        <v>0</v>
      </c>
      <c r="J41" s="8">
        <v>0</v>
      </c>
      <c r="K41" s="8">
        <v>0</v>
      </c>
      <c r="M41" s="339"/>
      <c r="N41" s="315"/>
    </row>
    <row r="42" spans="1:14" s="9" customFormat="1" ht="11.25" x14ac:dyDescent="0.2">
      <c r="A42" s="10">
        <v>24000000</v>
      </c>
      <c r="B42" s="10" t="s">
        <v>40</v>
      </c>
      <c r="C42" s="11">
        <v>770033.75899999996</v>
      </c>
      <c r="D42" s="11">
        <v>502070.6</v>
      </c>
      <c r="E42" s="11">
        <v>94339.096999999994</v>
      </c>
      <c r="F42" s="13">
        <f>SUMIF('OD 04-24'!A:A,A42,'OD 04-24'!D:D)</f>
        <v>0</v>
      </c>
      <c r="G42" s="13">
        <f>SUMIF('OD 04-24'!A:A,A42,'OD 04-24'!E:E)</f>
        <v>0</v>
      </c>
      <c r="H42" s="14">
        <f t="shared" si="0"/>
        <v>407731.50299999997</v>
      </c>
      <c r="I42" s="14">
        <f t="shared" si="1"/>
        <v>1177765.2619999999</v>
      </c>
      <c r="J42" s="8" t="s">
        <v>25</v>
      </c>
      <c r="K42" s="8">
        <v>0</v>
      </c>
      <c r="M42" s="339"/>
      <c r="N42" s="315"/>
    </row>
    <row r="43" spans="1:14" s="9" customFormat="1" ht="11.25" x14ac:dyDescent="0.2">
      <c r="A43" s="10">
        <v>25100000</v>
      </c>
      <c r="B43" s="10" t="s">
        <v>286</v>
      </c>
      <c r="C43" s="11">
        <v>0</v>
      </c>
      <c r="D43" s="11">
        <v>0</v>
      </c>
      <c r="E43" s="11">
        <v>0</v>
      </c>
      <c r="F43" s="13">
        <f>SUMIF('OD 04-24'!A:A,A43,'OD 04-24'!D:D)</f>
        <v>0</v>
      </c>
      <c r="G43" s="13">
        <f>SUMIF('OD 04-24'!A:A,A43,'OD 04-24'!E:E)</f>
        <v>0</v>
      </c>
      <c r="H43" s="14">
        <f t="shared" si="0"/>
        <v>0</v>
      </c>
      <c r="I43" s="14">
        <f t="shared" si="1"/>
        <v>0</v>
      </c>
      <c r="J43" s="8">
        <v>0</v>
      </c>
      <c r="K43" s="8">
        <v>0</v>
      </c>
      <c r="M43" s="339"/>
      <c r="N43" s="315"/>
    </row>
    <row r="44" spans="1:14" s="9" customFormat="1" ht="11.25" x14ac:dyDescent="0.2">
      <c r="A44" s="10">
        <v>25110000</v>
      </c>
      <c r="B44" s="10" t="s">
        <v>41</v>
      </c>
      <c r="C44" s="11">
        <v>266820</v>
      </c>
      <c r="D44" s="11">
        <v>0</v>
      </c>
      <c r="E44" s="11">
        <v>0</v>
      </c>
      <c r="F44" s="13">
        <f>SUMIF('OD 04-24'!A:A,A44,'OD 04-24'!D:D)</f>
        <v>0</v>
      </c>
      <c r="G44" s="13">
        <f>SUMIF('OD 04-24'!A:A,A44,'OD 04-24'!E:E)</f>
        <v>0</v>
      </c>
      <c r="H44" s="14">
        <f t="shared" si="0"/>
        <v>0</v>
      </c>
      <c r="I44" s="14">
        <f t="shared" si="1"/>
        <v>266820</v>
      </c>
      <c r="J44" s="8" t="s">
        <v>42</v>
      </c>
      <c r="K44" s="8">
        <v>0</v>
      </c>
      <c r="M44" s="339"/>
      <c r="N44" s="315"/>
    </row>
    <row r="45" spans="1:14" s="9" customFormat="1" ht="11.25" x14ac:dyDescent="0.2">
      <c r="A45" s="10">
        <v>25120000</v>
      </c>
      <c r="B45" s="10" t="s">
        <v>287</v>
      </c>
      <c r="C45" s="11">
        <v>512700</v>
      </c>
      <c r="D45" s="11">
        <v>0</v>
      </c>
      <c r="E45" s="11">
        <v>0</v>
      </c>
      <c r="F45" s="13">
        <f>SUMIF('OD 04-24'!A:A,A45,'OD 04-24'!D:D)</f>
        <v>0</v>
      </c>
      <c r="G45" s="13">
        <f>SUMIF('OD 04-24'!A:A,A45,'OD 04-24'!E:E)</f>
        <v>0</v>
      </c>
      <c r="H45" s="14">
        <f t="shared" si="0"/>
        <v>0</v>
      </c>
      <c r="I45" s="14">
        <f t="shared" si="1"/>
        <v>512700</v>
      </c>
      <c r="J45" s="8" t="s">
        <v>42</v>
      </c>
      <c r="K45" s="8">
        <v>0</v>
      </c>
      <c r="M45" s="339"/>
      <c r="N45" s="315"/>
    </row>
    <row r="46" spans="1:14" s="9" customFormat="1" ht="11.25" x14ac:dyDescent="0.2">
      <c r="A46" s="10">
        <v>25130000</v>
      </c>
      <c r="B46" s="10" t="s">
        <v>43</v>
      </c>
      <c r="C46" s="11">
        <v>677000</v>
      </c>
      <c r="D46" s="11">
        <v>0</v>
      </c>
      <c r="E46" s="11">
        <v>0</v>
      </c>
      <c r="F46" s="13">
        <f>SUMIF('OD 04-24'!A:A,A46,'OD 04-24'!D:D)</f>
        <v>0</v>
      </c>
      <c r="G46" s="13">
        <f>SUMIF('OD 04-24'!A:A,A46,'OD 04-24'!E:E)</f>
        <v>0</v>
      </c>
      <c r="H46" s="14">
        <f t="shared" si="0"/>
        <v>0</v>
      </c>
      <c r="I46" s="14">
        <f t="shared" si="1"/>
        <v>677000</v>
      </c>
      <c r="J46" s="8" t="s">
        <v>42</v>
      </c>
      <c r="K46" s="8">
        <v>0</v>
      </c>
      <c r="M46" s="339"/>
      <c r="N46" s="315"/>
    </row>
    <row r="47" spans="1:14" s="9" customFormat="1" ht="11.25" x14ac:dyDescent="0.2">
      <c r="A47" s="10">
        <v>25140000</v>
      </c>
      <c r="B47" s="10" t="s">
        <v>44</v>
      </c>
      <c r="C47" s="11">
        <v>3150000</v>
      </c>
      <c r="D47" s="11">
        <v>0</v>
      </c>
      <c r="E47" s="11">
        <v>0</v>
      </c>
      <c r="F47" s="13">
        <f>SUMIF('OD 04-24'!A:A,A47,'OD 04-24'!D:D)</f>
        <v>0</v>
      </c>
      <c r="G47" s="13">
        <f>SUMIF('OD 04-24'!A:A,A47,'OD 04-24'!E:E)</f>
        <v>0</v>
      </c>
      <c r="H47" s="14">
        <f t="shared" si="0"/>
        <v>0</v>
      </c>
      <c r="I47" s="14">
        <f t="shared" si="1"/>
        <v>3150000</v>
      </c>
      <c r="J47" s="8" t="s">
        <v>42</v>
      </c>
      <c r="K47" s="8">
        <v>0</v>
      </c>
      <c r="M47" s="339"/>
      <c r="N47" s="315"/>
    </row>
    <row r="48" spans="1:14" s="9" customFormat="1" ht="11.25" x14ac:dyDescent="0.2">
      <c r="A48" s="10">
        <v>25150000</v>
      </c>
      <c r="B48" s="10" t="s">
        <v>387</v>
      </c>
      <c r="C48" s="11">
        <v>319680</v>
      </c>
      <c r="D48" s="11">
        <v>0</v>
      </c>
      <c r="E48" s="11">
        <v>0</v>
      </c>
      <c r="F48" s="13">
        <f>SUMIF('OD 04-24'!A:A,A48,'OD 04-24'!D:D)</f>
        <v>0</v>
      </c>
      <c r="G48" s="13">
        <f>SUMIF('OD 04-24'!A:A,A48,'OD 04-24'!E:E)</f>
        <v>0</v>
      </c>
      <c r="H48" s="14">
        <f t="shared" si="0"/>
        <v>0</v>
      </c>
      <c r="I48" s="14">
        <f t="shared" si="1"/>
        <v>319680</v>
      </c>
      <c r="J48" s="8" t="s">
        <v>42</v>
      </c>
      <c r="K48" s="8">
        <v>0</v>
      </c>
      <c r="M48" s="339"/>
      <c r="N48" s="315"/>
    </row>
    <row r="49" spans="1:14" s="9" customFormat="1" ht="11.25" x14ac:dyDescent="0.2">
      <c r="A49" s="10">
        <v>25700000</v>
      </c>
      <c r="B49" s="10" t="s">
        <v>288</v>
      </c>
      <c r="C49" s="11">
        <v>0</v>
      </c>
      <c r="D49" s="11">
        <v>0</v>
      </c>
      <c r="E49" s="11">
        <v>0</v>
      </c>
      <c r="F49" s="13">
        <f>SUMIF('OD 04-24'!A:A,A49,'OD 04-24'!D:D)</f>
        <v>0</v>
      </c>
      <c r="G49" s="13">
        <f>SUMIF('OD 04-24'!A:A,A49,'OD 04-24'!E:E)</f>
        <v>0</v>
      </c>
      <c r="H49" s="14">
        <f t="shared" si="0"/>
        <v>0</v>
      </c>
      <c r="I49" s="14">
        <f t="shared" si="1"/>
        <v>0</v>
      </c>
      <c r="J49" s="8" t="s">
        <v>42</v>
      </c>
      <c r="K49" s="8">
        <v>0</v>
      </c>
      <c r="M49" s="339"/>
      <c r="N49" s="315"/>
    </row>
    <row r="50" spans="1:14" s="9" customFormat="1" ht="11.25" x14ac:dyDescent="0.2">
      <c r="A50" s="10">
        <v>25810000</v>
      </c>
      <c r="B50" s="10" t="s">
        <v>289</v>
      </c>
      <c r="C50" s="11">
        <v>0</v>
      </c>
      <c r="D50" s="11">
        <v>0</v>
      </c>
      <c r="E50" s="11">
        <v>0</v>
      </c>
      <c r="F50" s="13">
        <f>SUMIF('OD 04-24'!A:A,A50,'OD 04-24'!D:D)</f>
        <v>0</v>
      </c>
      <c r="G50" s="13">
        <f>SUMIF('OD 04-24'!A:A,A50,'OD 04-24'!E:E)</f>
        <v>0</v>
      </c>
      <c r="H50" s="14">
        <f t="shared" si="0"/>
        <v>0</v>
      </c>
      <c r="I50" s="14">
        <f t="shared" si="1"/>
        <v>0</v>
      </c>
      <c r="J50" s="8">
        <v>0</v>
      </c>
      <c r="K50" s="8">
        <v>0</v>
      </c>
      <c r="M50" s="339"/>
      <c r="N50" s="315"/>
    </row>
    <row r="51" spans="1:14" s="9" customFormat="1" ht="11.25" x14ac:dyDescent="0.2">
      <c r="A51" s="10">
        <v>26400000</v>
      </c>
      <c r="B51" s="10" t="s">
        <v>290</v>
      </c>
      <c r="C51" s="11">
        <v>0</v>
      </c>
      <c r="D51" s="11">
        <v>100</v>
      </c>
      <c r="E51" s="11">
        <v>100</v>
      </c>
      <c r="F51" s="13">
        <f>SUMIF('OD 04-24'!A:A,A51,'OD 04-24'!D:D)</f>
        <v>0</v>
      </c>
      <c r="G51" s="13">
        <f>SUMIF('OD 04-24'!A:A,A51,'OD 04-24'!E:E)</f>
        <v>0</v>
      </c>
      <c r="H51" s="14">
        <f t="shared" si="0"/>
        <v>0</v>
      </c>
      <c r="I51" s="14">
        <f t="shared" si="1"/>
        <v>0</v>
      </c>
      <c r="J51" s="8">
        <v>0</v>
      </c>
      <c r="K51" s="8">
        <v>0</v>
      </c>
      <c r="M51" s="339"/>
      <c r="N51" s="315"/>
    </row>
    <row r="52" spans="1:14" s="9" customFormat="1" ht="11.25" x14ac:dyDescent="0.2">
      <c r="A52" s="10">
        <v>26430000</v>
      </c>
      <c r="B52" s="10" t="s">
        <v>291</v>
      </c>
      <c r="C52" s="11">
        <v>0</v>
      </c>
      <c r="D52" s="11">
        <v>141500</v>
      </c>
      <c r="E52" s="11">
        <v>141500</v>
      </c>
      <c r="F52" s="13">
        <f>SUMIF('OD 04-24'!A:A,A52,'OD 04-24'!D:D)</f>
        <v>0</v>
      </c>
      <c r="G52" s="13">
        <f>SUMIF('OD 04-24'!A:A,A52,'OD 04-24'!E:E)</f>
        <v>0</v>
      </c>
      <c r="H52" s="14">
        <f t="shared" si="0"/>
        <v>0</v>
      </c>
      <c r="I52" s="14">
        <f t="shared" si="1"/>
        <v>0</v>
      </c>
      <c r="J52" s="8">
        <v>0</v>
      </c>
      <c r="K52" s="8">
        <v>0</v>
      </c>
      <c r="M52" s="339"/>
      <c r="N52" s="315"/>
    </row>
    <row r="53" spans="1:14" s="9" customFormat="1" ht="11.25" x14ac:dyDescent="0.2">
      <c r="A53" s="10">
        <v>26500000</v>
      </c>
      <c r="B53" s="10" t="s">
        <v>45</v>
      </c>
      <c r="C53" s="11">
        <v>0</v>
      </c>
      <c r="D53" s="11">
        <v>0</v>
      </c>
      <c r="E53" s="11">
        <v>0</v>
      </c>
      <c r="F53" s="13">
        <f>SUMIF('OD 04-24'!A:A,A53,'OD 04-24'!D:D)</f>
        <v>0</v>
      </c>
      <c r="G53" s="13">
        <f>SUMIF('OD 04-24'!A:A,A53,'OD 04-24'!E:E)</f>
        <v>0</v>
      </c>
      <c r="H53" s="14">
        <f t="shared" si="0"/>
        <v>0</v>
      </c>
      <c r="I53" s="14">
        <f t="shared" si="1"/>
        <v>0</v>
      </c>
      <c r="J53" s="8" t="s">
        <v>46</v>
      </c>
      <c r="K53" s="8">
        <v>0</v>
      </c>
      <c r="M53" s="339"/>
      <c r="N53" s="315"/>
    </row>
    <row r="54" spans="1:14" s="9" customFormat="1" ht="11.25" x14ac:dyDescent="0.2">
      <c r="A54" s="10">
        <v>26510000</v>
      </c>
      <c r="B54" s="10" t="s">
        <v>292</v>
      </c>
      <c r="C54" s="11">
        <v>0</v>
      </c>
      <c r="D54" s="11">
        <v>0</v>
      </c>
      <c r="E54" s="11">
        <v>0</v>
      </c>
      <c r="F54" s="13">
        <f>SUMIF('OD 04-24'!A:A,A54,'OD 04-24'!D:D)</f>
        <v>0</v>
      </c>
      <c r="G54" s="13">
        <f>SUMIF('OD 04-24'!A:A,A54,'OD 04-24'!E:E)</f>
        <v>0</v>
      </c>
      <c r="H54" s="14">
        <f t="shared" si="0"/>
        <v>0</v>
      </c>
      <c r="I54" s="14">
        <f t="shared" si="1"/>
        <v>0</v>
      </c>
      <c r="J54" s="8">
        <v>0</v>
      </c>
      <c r="K54" s="8">
        <v>0</v>
      </c>
      <c r="M54" s="339"/>
      <c r="N54" s="315"/>
    </row>
    <row r="55" spans="1:14" s="9" customFormat="1" ht="11.25" x14ac:dyDescent="0.2">
      <c r="A55" s="10">
        <v>26550000</v>
      </c>
      <c r="B55" s="10" t="s">
        <v>293</v>
      </c>
      <c r="C55" s="11">
        <v>0</v>
      </c>
      <c r="D55" s="11">
        <v>0</v>
      </c>
      <c r="E55" s="11">
        <v>0</v>
      </c>
      <c r="F55" s="13">
        <f>SUMIF('OD 04-24'!A:A,A55,'OD 04-24'!D:D)</f>
        <v>0</v>
      </c>
      <c r="G55" s="13">
        <f>SUMIF('OD 04-24'!A:A,A55,'OD 04-24'!E:E)</f>
        <v>0</v>
      </c>
      <c r="H55" s="14">
        <f t="shared" si="0"/>
        <v>0</v>
      </c>
      <c r="I55" s="14">
        <f t="shared" si="1"/>
        <v>0</v>
      </c>
      <c r="J55" s="8">
        <v>0</v>
      </c>
      <c r="K55" s="8">
        <v>0</v>
      </c>
      <c r="M55" s="339"/>
      <c r="N55" s="315"/>
    </row>
    <row r="56" spans="1:14" s="9" customFormat="1" ht="11.25" x14ac:dyDescent="0.2">
      <c r="A56" s="10">
        <v>26580000</v>
      </c>
      <c r="B56" s="10" t="s">
        <v>23</v>
      </c>
      <c r="C56" s="11">
        <v>5771.2</v>
      </c>
      <c r="D56" s="11">
        <v>0</v>
      </c>
      <c r="E56" s="11">
        <v>0</v>
      </c>
      <c r="F56" s="13">
        <f>SUMIF('OD 04-24'!A:A,A56,'OD 04-24'!D:D)</f>
        <v>0</v>
      </c>
      <c r="G56" s="13">
        <f>SUMIF('OD 04-24'!A:A,A56,'OD 04-24'!E:E)</f>
        <v>0</v>
      </c>
      <c r="H56" s="14">
        <f t="shared" si="0"/>
        <v>0</v>
      </c>
      <c r="I56" s="14">
        <f t="shared" si="1"/>
        <v>5771.2</v>
      </c>
      <c r="J56" s="8" t="s">
        <v>46</v>
      </c>
      <c r="K56" s="8">
        <v>0</v>
      </c>
      <c r="M56" s="339"/>
      <c r="N56" s="315"/>
    </row>
    <row r="57" spans="1:14" s="9" customFormat="1" ht="11.25" x14ac:dyDescent="0.2">
      <c r="A57" s="10">
        <v>27100000</v>
      </c>
      <c r="B57" s="10" t="s">
        <v>294</v>
      </c>
      <c r="C57" s="11">
        <v>0</v>
      </c>
      <c r="D57" s="11">
        <v>0</v>
      </c>
      <c r="E57" s="11">
        <v>0</v>
      </c>
      <c r="F57" s="13">
        <f>SUMIF('OD 04-24'!A:A,A57,'OD 04-24'!D:D)</f>
        <v>0</v>
      </c>
      <c r="G57" s="13">
        <f>SUMIF('OD 04-24'!A:A,A57,'OD 04-24'!E:E)</f>
        <v>0</v>
      </c>
      <c r="H57" s="14">
        <f t="shared" si="0"/>
        <v>0</v>
      </c>
      <c r="I57" s="14">
        <f t="shared" si="1"/>
        <v>0</v>
      </c>
      <c r="J57" s="8">
        <v>0</v>
      </c>
      <c r="K57" s="8">
        <v>0</v>
      </c>
      <c r="M57" s="339"/>
      <c r="N57" s="315"/>
    </row>
    <row r="58" spans="1:14" s="9" customFormat="1" ht="11.25" x14ac:dyDescent="0.2">
      <c r="A58" s="10">
        <v>28100000</v>
      </c>
      <c r="B58" s="10" t="s">
        <v>295</v>
      </c>
      <c r="C58" s="11">
        <v>0</v>
      </c>
      <c r="D58" s="11">
        <v>0</v>
      </c>
      <c r="E58" s="11">
        <v>0</v>
      </c>
      <c r="F58" s="13">
        <f>SUMIF('OD 04-24'!A:A,A58,'OD 04-24'!D:D)</f>
        <v>0</v>
      </c>
      <c r="G58" s="13">
        <f>SUMIF('OD 04-24'!A:A,A58,'OD 04-24'!E:E)</f>
        <v>0</v>
      </c>
      <c r="H58" s="14">
        <f t="shared" si="0"/>
        <v>0</v>
      </c>
      <c r="I58" s="14">
        <f t="shared" si="1"/>
        <v>0</v>
      </c>
      <c r="J58" s="8">
        <v>0</v>
      </c>
      <c r="K58" s="8">
        <v>0</v>
      </c>
      <c r="M58" s="339"/>
      <c r="N58" s="315"/>
    </row>
    <row r="59" spans="1:14" s="9" customFormat="1" ht="11.25" x14ac:dyDescent="0.2">
      <c r="A59" s="10">
        <v>28110000</v>
      </c>
      <c r="B59" s="10" t="s">
        <v>296</v>
      </c>
      <c r="C59" s="11">
        <v>0</v>
      </c>
      <c r="D59" s="11">
        <v>0</v>
      </c>
      <c r="E59" s="11">
        <v>0</v>
      </c>
      <c r="F59" s="13">
        <f>SUMIF('OD 04-24'!A:A,A59,'OD 04-24'!D:D)</f>
        <v>0</v>
      </c>
      <c r="G59" s="13">
        <f>SUMIF('OD 04-24'!A:A,A59,'OD 04-24'!E:E)</f>
        <v>0</v>
      </c>
      <c r="H59" s="14">
        <f t="shared" si="0"/>
        <v>0</v>
      </c>
      <c r="I59" s="14">
        <f t="shared" si="1"/>
        <v>0</v>
      </c>
      <c r="J59" s="8">
        <v>0</v>
      </c>
      <c r="K59" s="8">
        <v>0</v>
      </c>
      <c r="M59" s="339"/>
      <c r="N59" s="315"/>
    </row>
    <row r="60" spans="1:14" s="9" customFormat="1" ht="11.25" x14ac:dyDescent="0.2">
      <c r="A60" s="10">
        <v>28130000</v>
      </c>
      <c r="B60" s="10" t="s">
        <v>24</v>
      </c>
      <c r="C60" s="11">
        <v>-75004.895999999993</v>
      </c>
      <c r="D60" s="11">
        <v>0</v>
      </c>
      <c r="E60" s="11">
        <v>0</v>
      </c>
      <c r="F60" s="13">
        <f>SUMIF('OD 04-24'!A:A,A60,'OD 04-24'!D:D)</f>
        <v>5045.2910000000002</v>
      </c>
      <c r="G60" s="13">
        <f>SUMIF('OD 04-24'!A:A,A60,'OD 04-24'!E:E)</f>
        <v>8427.6090000000004</v>
      </c>
      <c r="H60" s="14">
        <f t="shared" si="0"/>
        <v>-3382.3180000000002</v>
      </c>
      <c r="I60" s="14">
        <f t="shared" si="1"/>
        <v>-78387.213999999993</v>
      </c>
      <c r="J60" s="8" t="s">
        <v>47</v>
      </c>
      <c r="K60" s="8">
        <v>0</v>
      </c>
      <c r="M60" s="339"/>
      <c r="N60" s="315"/>
    </row>
    <row r="61" spans="1:14" s="9" customFormat="1" ht="11.25" x14ac:dyDescent="0.2">
      <c r="A61" s="10">
        <v>28216000</v>
      </c>
      <c r="B61" s="10" t="s">
        <v>48</v>
      </c>
      <c r="C61" s="11">
        <v>-148352.71299999999</v>
      </c>
      <c r="D61" s="11">
        <v>0</v>
      </c>
      <c r="E61" s="11">
        <v>0</v>
      </c>
      <c r="F61" s="13">
        <f>SUMIF('OD 04-24'!A:A,A61,'OD 04-24'!D:D)</f>
        <v>1383.6110000000001</v>
      </c>
      <c r="G61" s="13">
        <f>SUMIF('OD 04-24'!A:A,A61,'OD 04-24'!E:E)</f>
        <v>2311.1709999999998</v>
      </c>
      <c r="H61" s="14">
        <f t="shared" si="0"/>
        <v>-927.55999999999972</v>
      </c>
      <c r="I61" s="14">
        <f t="shared" si="1"/>
        <v>-149280.27299999999</v>
      </c>
      <c r="J61" s="8" t="s">
        <v>47</v>
      </c>
      <c r="K61" s="8">
        <v>0</v>
      </c>
      <c r="M61" s="339"/>
      <c r="N61" s="315"/>
    </row>
    <row r="62" spans="1:14" s="9" customFormat="1" ht="11.25" x14ac:dyDescent="0.2">
      <c r="A62" s="10">
        <v>28220000</v>
      </c>
      <c r="B62" s="10" t="s">
        <v>49</v>
      </c>
      <c r="C62" s="11">
        <v>-3729152.5419999999</v>
      </c>
      <c r="D62" s="11">
        <v>0</v>
      </c>
      <c r="E62" s="11">
        <v>0</v>
      </c>
      <c r="F62" s="13">
        <f>SUMIF('OD 04-24'!A:A,A62,'OD 04-24'!D:D)</f>
        <v>225621.97700000001</v>
      </c>
      <c r="G62" s="13">
        <f>SUMIF('OD 04-24'!A:A,A62,'OD 04-24'!E:E)</f>
        <v>376876.93400000001</v>
      </c>
      <c r="H62" s="14">
        <f t="shared" si="0"/>
        <v>-151254.95699999999</v>
      </c>
      <c r="I62" s="14">
        <f t="shared" si="1"/>
        <v>-3880407.4989999998</v>
      </c>
      <c r="J62" s="8" t="s">
        <v>47</v>
      </c>
      <c r="K62" s="8">
        <v>0</v>
      </c>
      <c r="M62" s="339"/>
      <c r="N62" s="315"/>
    </row>
    <row r="63" spans="1:14" s="9" customFormat="1" ht="11.25" x14ac:dyDescent="0.2">
      <c r="A63" s="10">
        <v>28225000</v>
      </c>
      <c r="B63" s="10" t="s">
        <v>50</v>
      </c>
      <c r="C63" s="11">
        <v>-271826.14399999997</v>
      </c>
      <c r="D63" s="11">
        <v>0</v>
      </c>
      <c r="E63" s="11">
        <v>0</v>
      </c>
      <c r="F63" s="13">
        <f>SUMIF('OD 04-24'!A:A,A63,'OD 04-24'!D:D)</f>
        <v>47150.741000000002</v>
      </c>
      <c r="G63" s="13">
        <f>SUMIF('OD 04-24'!A:A,A63,'OD 04-24'!E:E)</f>
        <v>73816.324999999997</v>
      </c>
      <c r="H63" s="14">
        <f t="shared" si="0"/>
        <v>-26665.583999999995</v>
      </c>
      <c r="I63" s="14">
        <f t="shared" si="1"/>
        <v>-298491.72799999994</v>
      </c>
      <c r="J63" s="8" t="s">
        <v>47</v>
      </c>
      <c r="K63" s="8">
        <v>0</v>
      </c>
      <c r="M63" s="339"/>
      <c r="N63" s="315"/>
    </row>
    <row r="64" spans="1:14" s="9" customFormat="1" ht="11.25" x14ac:dyDescent="0.2">
      <c r="A64" s="10">
        <v>28230000</v>
      </c>
      <c r="B64" s="10" t="s">
        <v>263</v>
      </c>
      <c r="C64" s="11">
        <v>-43130.395000000004</v>
      </c>
      <c r="D64" s="11">
        <v>0</v>
      </c>
      <c r="E64" s="11">
        <v>0</v>
      </c>
      <c r="F64" s="13">
        <f>SUMIF('OD 04-24'!A:A,A64,'OD 04-24'!D:D)</f>
        <v>12271.593000000001</v>
      </c>
      <c r="G64" s="13">
        <f>SUMIF('OD 04-24'!A:A,A64,'OD 04-24'!E:E)</f>
        <v>20608.751</v>
      </c>
      <c r="H64" s="14">
        <f t="shared" si="0"/>
        <v>-8337.1579999999994</v>
      </c>
      <c r="I64" s="14">
        <f t="shared" si="1"/>
        <v>-51467.553</v>
      </c>
      <c r="J64" s="8" t="s">
        <v>47</v>
      </c>
      <c r="K64" s="8">
        <v>0</v>
      </c>
      <c r="M64" s="339"/>
      <c r="N64" s="315"/>
    </row>
    <row r="65" spans="1:14" s="9" customFormat="1" ht="11.25" x14ac:dyDescent="0.2">
      <c r="A65" s="10">
        <v>28231000</v>
      </c>
      <c r="B65" s="10" t="s">
        <v>402</v>
      </c>
      <c r="C65" s="11">
        <v>0</v>
      </c>
      <c r="D65" s="11">
        <v>0</v>
      </c>
      <c r="E65" s="11">
        <v>0</v>
      </c>
      <c r="F65" s="13">
        <f>SUMIF('OD 04-24'!A:A,A65,'OD 04-24'!D:D)</f>
        <v>400.88200000000001</v>
      </c>
      <c r="G65" s="13">
        <f>SUMIF('OD 04-24'!A:A,A65,'OD 04-24'!E:E)</f>
        <v>655.44200000000001</v>
      </c>
      <c r="H65" s="14">
        <f t="shared" si="0"/>
        <v>-254.56</v>
      </c>
      <c r="I65" s="14">
        <f t="shared" si="1"/>
        <v>-254.56</v>
      </c>
      <c r="J65" s="8" t="s">
        <v>47</v>
      </c>
      <c r="K65" s="8">
        <v>0</v>
      </c>
      <c r="M65" s="339"/>
      <c r="N65" s="315"/>
    </row>
    <row r="66" spans="1:14" s="9" customFormat="1" ht="11.25" x14ac:dyDescent="0.2">
      <c r="A66" s="10">
        <v>28234000</v>
      </c>
      <c r="B66" s="10" t="s">
        <v>51</v>
      </c>
      <c r="C66" s="11">
        <v>-15867226.817000002</v>
      </c>
      <c r="D66" s="11">
        <v>308083.82999999996</v>
      </c>
      <c r="E66" s="11">
        <v>0</v>
      </c>
      <c r="F66" s="13">
        <f>SUMIF('OD 04-24'!A:A,A66,'OD 04-24'!D:D)</f>
        <v>801851.76300000004</v>
      </c>
      <c r="G66" s="13">
        <f>SUMIF('OD 04-24'!A:A,A66,'OD 04-24'!E:E)</f>
        <v>1338126.7520000001</v>
      </c>
      <c r="H66" s="14">
        <f t="shared" si="0"/>
        <v>-228191.15900000022</v>
      </c>
      <c r="I66" s="14">
        <f t="shared" si="1"/>
        <v>-16095417.976000002</v>
      </c>
      <c r="J66" s="8" t="s">
        <v>47</v>
      </c>
      <c r="K66" s="8">
        <v>0</v>
      </c>
      <c r="M66" s="339"/>
      <c r="N66" s="315"/>
    </row>
    <row r="67" spans="1:14" s="9" customFormat="1" ht="11.25" x14ac:dyDescent="0.2">
      <c r="A67" s="10">
        <v>28235000</v>
      </c>
      <c r="B67" s="10" t="s">
        <v>52</v>
      </c>
      <c r="C67" s="11">
        <v>-355370.76600000006</v>
      </c>
      <c r="D67" s="11">
        <v>0</v>
      </c>
      <c r="E67" s="11">
        <v>0</v>
      </c>
      <c r="F67" s="13">
        <f>SUMIF('OD 04-24'!A:A,A67,'OD 04-24'!D:D)</f>
        <v>28090.901000000002</v>
      </c>
      <c r="G67" s="13">
        <f>SUMIF('OD 04-24'!A:A,A67,'OD 04-24'!E:E)</f>
        <v>47110.33</v>
      </c>
      <c r="H67" s="14">
        <f t="shared" ref="H67:H130" si="2">+D67+F67-E67-G67</f>
        <v>-19019.429</v>
      </c>
      <c r="I67" s="14">
        <f t="shared" ref="I67:I130" si="3">+H67+C67</f>
        <v>-374390.19500000007</v>
      </c>
      <c r="J67" s="8" t="s">
        <v>47</v>
      </c>
      <c r="K67" s="8">
        <v>0</v>
      </c>
      <c r="M67" s="339"/>
      <c r="N67" s="315"/>
    </row>
    <row r="68" spans="1:14" s="9" customFormat="1" ht="11.25" x14ac:dyDescent="0.2">
      <c r="A68" s="10">
        <v>28237000</v>
      </c>
      <c r="B68" s="10" t="s">
        <v>53</v>
      </c>
      <c r="C68" s="11">
        <v>-756166.84899999993</v>
      </c>
      <c r="D68" s="11">
        <v>0</v>
      </c>
      <c r="E68" s="11">
        <v>0</v>
      </c>
      <c r="F68" s="13">
        <f>SUMIF('OD 04-24'!A:A,A68,'OD 04-24'!D:D)</f>
        <v>11907.458000000001</v>
      </c>
      <c r="G68" s="13">
        <f>SUMIF('OD 04-24'!A:A,A68,'OD 04-24'!E:E)</f>
        <v>19970.323</v>
      </c>
      <c r="H68" s="14">
        <f t="shared" si="2"/>
        <v>-8062.8649999999998</v>
      </c>
      <c r="I68" s="14">
        <f t="shared" si="3"/>
        <v>-764229.71399999992</v>
      </c>
      <c r="J68" s="8" t="s">
        <v>47</v>
      </c>
      <c r="K68" s="8">
        <v>0</v>
      </c>
      <c r="M68" s="339"/>
      <c r="N68" s="315"/>
    </row>
    <row r="69" spans="1:14" s="9" customFormat="1" ht="11.25" x14ac:dyDescent="0.2">
      <c r="A69" s="10">
        <v>28240000</v>
      </c>
      <c r="B69" s="10" t="s">
        <v>54</v>
      </c>
      <c r="C69" s="11">
        <v>-641382.64299999992</v>
      </c>
      <c r="D69" s="11">
        <v>30121.977999999996</v>
      </c>
      <c r="E69" s="11">
        <v>0</v>
      </c>
      <c r="F69" s="13">
        <f>SUMIF('OD 04-24'!A:A,A69,'OD 04-24'!D:D)</f>
        <v>80967.649999999994</v>
      </c>
      <c r="G69" s="13">
        <f>SUMIF('OD 04-24'!A:A,A69,'OD 04-24'!E:E)</f>
        <v>132266.47</v>
      </c>
      <c r="H69" s="14">
        <f t="shared" si="2"/>
        <v>-21176.842000000004</v>
      </c>
      <c r="I69" s="14">
        <f t="shared" si="3"/>
        <v>-662559.48499999987</v>
      </c>
      <c r="J69" s="8" t="s">
        <v>47</v>
      </c>
      <c r="K69" s="8">
        <v>0</v>
      </c>
      <c r="M69" s="339"/>
      <c r="N69" s="315"/>
    </row>
    <row r="70" spans="1:14" s="9" customFormat="1" ht="11.25" x14ac:dyDescent="0.2">
      <c r="A70" s="10">
        <v>28282000</v>
      </c>
      <c r="B70" s="10" t="s">
        <v>55</v>
      </c>
      <c r="C70" s="11">
        <v>-227110.92800000001</v>
      </c>
      <c r="D70" s="11">
        <v>0</v>
      </c>
      <c r="E70" s="11">
        <v>0</v>
      </c>
      <c r="F70" s="13">
        <f>SUMIF('OD 04-24'!A:A,A70,'OD 04-24'!D:D)</f>
        <v>26454.108</v>
      </c>
      <c r="G70" s="13">
        <f>SUMIF('OD 04-24'!A:A,A70,'OD 04-24'!E:E)</f>
        <v>44330.873</v>
      </c>
      <c r="H70" s="14">
        <f t="shared" si="2"/>
        <v>-17876.764999999999</v>
      </c>
      <c r="I70" s="14">
        <f t="shared" si="3"/>
        <v>-244987.69300000003</v>
      </c>
      <c r="J70" s="8" t="s">
        <v>47</v>
      </c>
      <c r="K70" s="8">
        <v>0</v>
      </c>
      <c r="M70" s="339"/>
      <c r="N70" s="315"/>
    </row>
    <row r="71" spans="1:14" s="9" customFormat="1" ht="11.25" x14ac:dyDescent="0.2">
      <c r="A71" s="10">
        <v>28283000</v>
      </c>
      <c r="B71" s="10" t="s">
        <v>264</v>
      </c>
      <c r="C71" s="11">
        <v>-129025.63500000001</v>
      </c>
      <c r="D71" s="11">
        <v>0</v>
      </c>
      <c r="E71" s="11">
        <v>0</v>
      </c>
      <c r="F71" s="13">
        <f>SUMIF('OD 04-24'!A:A,A71,'OD 04-24'!D:D)</f>
        <v>22494.427</v>
      </c>
      <c r="G71" s="13">
        <f>SUMIF('OD 04-24'!A:A,A71,'OD 04-24'!E:E)</f>
        <v>37613.790999999997</v>
      </c>
      <c r="H71" s="14">
        <f t="shared" si="2"/>
        <v>-15119.363999999998</v>
      </c>
      <c r="I71" s="14">
        <f t="shared" si="3"/>
        <v>-144144.99900000001</v>
      </c>
      <c r="J71" s="8" t="s">
        <v>47</v>
      </c>
      <c r="K71" s="8">
        <v>0</v>
      </c>
      <c r="M71" s="339"/>
      <c r="N71" s="315"/>
    </row>
    <row r="72" spans="1:14" s="9" customFormat="1" ht="11.25" x14ac:dyDescent="0.2">
      <c r="A72" s="10">
        <v>28400000</v>
      </c>
      <c r="B72" s="10" t="s">
        <v>56</v>
      </c>
      <c r="C72" s="11">
        <v>-480076.72500000009</v>
      </c>
      <c r="D72" s="11">
        <v>94339.096999999994</v>
      </c>
      <c r="E72" s="11">
        <v>0</v>
      </c>
      <c r="F72" s="13">
        <f>SUMIF('OD 04-24'!A:A,A72,'OD 04-24'!D:D)</f>
        <v>48983.864999999998</v>
      </c>
      <c r="G72" s="13">
        <f>SUMIF('OD 04-24'!A:A,A72,'OD 04-24'!E:E)</f>
        <v>99628.767000000007</v>
      </c>
      <c r="H72" s="14">
        <f t="shared" si="2"/>
        <v>43694.194999999992</v>
      </c>
      <c r="I72" s="14">
        <f t="shared" si="3"/>
        <v>-436382.53000000009</v>
      </c>
      <c r="J72" s="8" t="s">
        <v>47</v>
      </c>
      <c r="K72" s="8">
        <v>0</v>
      </c>
      <c r="M72" s="339"/>
      <c r="N72" s="315"/>
    </row>
    <row r="73" spans="1:14" s="9" customFormat="1" ht="11.25" x14ac:dyDescent="0.2">
      <c r="A73" s="10">
        <v>29220000</v>
      </c>
      <c r="B73" s="10" t="s">
        <v>297</v>
      </c>
      <c r="C73" s="11">
        <v>0</v>
      </c>
      <c r="D73" s="11">
        <v>0</v>
      </c>
      <c r="E73" s="11">
        <v>0</v>
      </c>
      <c r="F73" s="13">
        <f>SUMIF('OD 04-24'!A:A,A73,'OD 04-24'!D:D)</f>
        <v>0</v>
      </c>
      <c r="G73" s="13">
        <f>SUMIF('OD 04-24'!A:A,A73,'OD 04-24'!E:E)</f>
        <v>0</v>
      </c>
      <c r="H73" s="14">
        <f t="shared" si="2"/>
        <v>0</v>
      </c>
      <c r="I73" s="14">
        <f t="shared" si="3"/>
        <v>0</v>
      </c>
      <c r="J73" s="8">
        <v>0</v>
      </c>
      <c r="K73" s="8">
        <v>0</v>
      </c>
      <c r="M73" s="339"/>
      <c r="N73" s="315"/>
    </row>
    <row r="74" spans="1:14" s="9" customFormat="1" ht="11.25" x14ac:dyDescent="0.2">
      <c r="A74" s="10">
        <v>29234000</v>
      </c>
      <c r="B74" s="10" t="s">
        <v>388</v>
      </c>
      <c r="C74" s="11">
        <v>-223876.883</v>
      </c>
      <c r="D74" s="11">
        <v>59797.479000000007</v>
      </c>
      <c r="E74" s="11">
        <v>0</v>
      </c>
      <c r="F74" s="13">
        <f>SUMIF('OD 04-24'!A:A,A74,'OD 04-24'!D:D)</f>
        <v>0</v>
      </c>
      <c r="G74" s="13">
        <f>SUMIF('OD 04-24'!A:A,A74,'OD 04-24'!E:E)</f>
        <v>0</v>
      </c>
      <c r="H74" s="14">
        <f t="shared" si="2"/>
        <v>59797.479000000007</v>
      </c>
      <c r="I74" s="14">
        <f t="shared" si="3"/>
        <v>-164079.40399999998</v>
      </c>
      <c r="J74" s="8" t="s">
        <v>401</v>
      </c>
      <c r="K74" s="8">
        <v>0</v>
      </c>
      <c r="M74" s="339"/>
      <c r="N74" s="315"/>
    </row>
    <row r="75" spans="1:14" s="9" customFormat="1" ht="11.25" x14ac:dyDescent="0.2">
      <c r="A75" s="10">
        <v>29235000</v>
      </c>
      <c r="B75" s="10" t="s">
        <v>389</v>
      </c>
      <c r="C75" s="11">
        <v>-8171.429000000001</v>
      </c>
      <c r="D75" s="11">
        <v>0</v>
      </c>
      <c r="E75" s="11">
        <v>0</v>
      </c>
      <c r="F75" s="13">
        <f>SUMIF('OD 04-24'!A:A,A75,'OD 04-24'!D:D)</f>
        <v>0</v>
      </c>
      <c r="G75" s="13">
        <f>SUMIF('OD 04-24'!A:A,A75,'OD 04-24'!E:E)</f>
        <v>0</v>
      </c>
      <c r="H75" s="14">
        <f t="shared" si="2"/>
        <v>0</v>
      </c>
      <c r="I75" s="14">
        <f t="shared" si="3"/>
        <v>-8171.429000000001</v>
      </c>
      <c r="J75" s="8" t="s">
        <v>401</v>
      </c>
      <c r="K75" s="8">
        <v>0</v>
      </c>
      <c r="M75" s="339"/>
      <c r="N75" s="315"/>
    </row>
    <row r="76" spans="1:14" s="9" customFormat="1" ht="11.25" x14ac:dyDescent="0.2">
      <c r="A76" s="10">
        <v>29282000</v>
      </c>
      <c r="B76" s="10" t="s">
        <v>298</v>
      </c>
      <c r="C76" s="11">
        <v>0</v>
      </c>
      <c r="D76" s="11">
        <v>0</v>
      </c>
      <c r="E76" s="11">
        <v>0</v>
      </c>
      <c r="F76" s="13">
        <f>SUMIF('OD 04-24'!A:A,A76,'OD 04-24'!D:D)</f>
        <v>0</v>
      </c>
      <c r="G76" s="13">
        <f>SUMIF('OD 04-24'!A:A,A76,'OD 04-24'!E:E)</f>
        <v>0</v>
      </c>
      <c r="H76" s="14">
        <f t="shared" si="2"/>
        <v>0</v>
      </c>
      <c r="I76" s="14">
        <f t="shared" si="3"/>
        <v>0</v>
      </c>
      <c r="J76" s="8">
        <v>0</v>
      </c>
      <c r="K76" s="8">
        <v>0</v>
      </c>
      <c r="M76" s="339"/>
      <c r="N76" s="315"/>
    </row>
    <row r="77" spans="1:14" s="9" customFormat="1" ht="11.25" x14ac:dyDescent="0.2">
      <c r="A77" s="10">
        <v>29286500</v>
      </c>
      <c r="B77" s="10" t="s">
        <v>299</v>
      </c>
      <c r="C77" s="11">
        <v>0</v>
      </c>
      <c r="D77" s="11">
        <v>0</v>
      </c>
      <c r="E77" s="11">
        <v>0</v>
      </c>
      <c r="F77" s="13">
        <f>SUMIF('OD 04-24'!A:A,A77,'OD 04-24'!D:D)</f>
        <v>0</v>
      </c>
      <c r="G77" s="13">
        <f>SUMIF('OD 04-24'!A:A,A77,'OD 04-24'!E:E)</f>
        <v>0</v>
      </c>
      <c r="H77" s="14">
        <f t="shared" si="2"/>
        <v>0</v>
      </c>
      <c r="I77" s="14">
        <f t="shared" si="3"/>
        <v>0</v>
      </c>
      <c r="J77" s="8" t="s">
        <v>25</v>
      </c>
      <c r="K77" s="8">
        <v>0</v>
      </c>
      <c r="M77" s="339"/>
      <c r="N77" s="315"/>
    </row>
    <row r="78" spans="1:14" s="9" customFormat="1" ht="11.25" x14ac:dyDescent="0.2">
      <c r="A78" s="10">
        <v>29700000</v>
      </c>
      <c r="B78" s="10" t="s">
        <v>57</v>
      </c>
      <c r="C78" s="11">
        <v>-29257.384999999998</v>
      </c>
      <c r="D78" s="11">
        <v>0</v>
      </c>
      <c r="E78" s="11">
        <v>0</v>
      </c>
      <c r="F78" s="13">
        <f>SUMIF('OD 04-24'!A:A,A78,'OD 04-24'!D:D)</f>
        <v>0</v>
      </c>
      <c r="G78" s="13">
        <f>SUMIF('OD 04-24'!A:A,A78,'OD 04-24'!E:E)</f>
        <v>0</v>
      </c>
      <c r="H78" s="14">
        <f t="shared" si="2"/>
        <v>0</v>
      </c>
      <c r="I78" s="14">
        <f t="shared" si="3"/>
        <v>-29257.384999999998</v>
      </c>
      <c r="J78" s="8" t="s">
        <v>58</v>
      </c>
      <c r="K78" s="8">
        <v>0</v>
      </c>
      <c r="M78" s="339"/>
      <c r="N78" s="315"/>
    </row>
    <row r="79" spans="1:14" s="9" customFormat="1" ht="11.25" x14ac:dyDescent="0.2">
      <c r="A79" s="10">
        <v>31100000</v>
      </c>
      <c r="B79" s="10" t="s">
        <v>59</v>
      </c>
      <c r="C79" s="11">
        <v>9520075.0200000107</v>
      </c>
      <c r="D79" s="11">
        <v>0</v>
      </c>
      <c r="E79" s="11">
        <v>9520075.0199999996</v>
      </c>
      <c r="F79" s="13">
        <f>SUMIF('OD 04-24'!A:A,A79,'OD 04-24'!D:D)</f>
        <v>67358764.827099994</v>
      </c>
      <c r="G79" s="13">
        <f>SUMIF('OD 04-24'!A:A,A79,'OD 04-24'!E:E)</f>
        <v>57721472.228100002</v>
      </c>
      <c r="H79" s="14">
        <f t="shared" si="2"/>
        <v>117217.57899999619</v>
      </c>
      <c r="I79" s="14">
        <f t="shared" si="3"/>
        <v>9637292.5990000069</v>
      </c>
      <c r="J79" s="8" t="s">
        <v>60</v>
      </c>
      <c r="K79" s="8">
        <v>0</v>
      </c>
      <c r="M79" s="339"/>
      <c r="N79" s="315"/>
    </row>
    <row r="80" spans="1:14" s="9" customFormat="1" ht="11.25" x14ac:dyDescent="0.2">
      <c r="A80" s="10">
        <v>31200000</v>
      </c>
      <c r="B80" s="10" t="s">
        <v>390</v>
      </c>
      <c r="C80" s="11">
        <v>1881173.9139999996</v>
      </c>
      <c r="D80" s="11">
        <v>0</v>
      </c>
      <c r="E80" s="11">
        <v>1881173.9140000001</v>
      </c>
      <c r="F80" s="13">
        <f>SUMIF('OD 04-24'!A:A,A80,'OD 04-24'!D:D)</f>
        <v>3111337.3169999998</v>
      </c>
      <c r="G80" s="13">
        <f>SUMIF('OD 04-24'!A:A,A80,'OD 04-24'!E:E)</f>
        <v>3111337.3169999998</v>
      </c>
      <c r="H80" s="14">
        <f t="shared" si="2"/>
        <v>-1881173.9140000001</v>
      </c>
      <c r="I80" s="14">
        <f t="shared" si="3"/>
        <v>0</v>
      </c>
      <c r="J80" s="8" t="s">
        <v>60</v>
      </c>
      <c r="K80" s="8">
        <v>0</v>
      </c>
      <c r="M80" s="339"/>
      <c r="N80" s="315"/>
    </row>
    <row r="81" spans="1:14" s="9" customFormat="1" ht="11.25" x14ac:dyDescent="0.2">
      <c r="A81" s="10">
        <v>32200000</v>
      </c>
      <c r="B81" s="10" t="s">
        <v>61</v>
      </c>
      <c r="C81" s="11">
        <v>662156.42899999954</v>
      </c>
      <c r="D81" s="11">
        <v>0</v>
      </c>
      <c r="E81" s="11">
        <v>662156.429</v>
      </c>
      <c r="F81" s="13">
        <f>SUMIF('OD 04-24'!A:A,A81,'OD 04-24'!D:D)</f>
        <v>4515833.4694999997</v>
      </c>
      <c r="G81" s="13">
        <f>SUMIF('OD 04-24'!A:A,A81,'OD 04-24'!E:E)</f>
        <v>3892519.7455000002</v>
      </c>
      <c r="H81" s="14">
        <f t="shared" si="2"/>
        <v>-38842.70500000054</v>
      </c>
      <c r="I81" s="14">
        <f t="shared" si="3"/>
        <v>623313.723999999</v>
      </c>
      <c r="J81" s="8" t="s">
        <v>60</v>
      </c>
      <c r="K81" s="8">
        <v>0</v>
      </c>
      <c r="M81" s="339"/>
      <c r="N81" s="315"/>
    </row>
    <row r="82" spans="1:14" s="9" customFormat="1" ht="11.25" x14ac:dyDescent="0.2">
      <c r="A82" s="10">
        <v>33100000</v>
      </c>
      <c r="B82" s="10" t="s">
        <v>62</v>
      </c>
      <c r="C82" s="11">
        <v>3435380.2890000008</v>
      </c>
      <c r="D82" s="11">
        <v>0</v>
      </c>
      <c r="E82" s="11">
        <v>3435380.2889999999</v>
      </c>
      <c r="F82" s="13">
        <f>SUMIF('OD 04-24'!A:A,A82,'OD 04-24'!D:D)</f>
        <v>24805877.481800001</v>
      </c>
      <c r="G82" s="13">
        <f>SUMIF('OD 04-24'!A:A,A82,'OD 04-24'!E:E)</f>
        <v>20251237.215799998</v>
      </c>
      <c r="H82" s="14">
        <f t="shared" si="2"/>
        <v>1119259.9770000018</v>
      </c>
      <c r="I82" s="14">
        <f t="shared" si="3"/>
        <v>4554640.2660000026</v>
      </c>
      <c r="J82" s="8" t="s">
        <v>60</v>
      </c>
      <c r="K82" s="8">
        <v>0</v>
      </c>
      <c r="M82" s="339"/>
      <c r="N82" s="315"/>
    </row>
    <row r="83" spans="1:14" s="9" customFormat="1" ht="11.25" x14ac:dyDescent="0.2">
      <c r="A83" s="10">
        <v>33500000</v>
      </c>
      <c r="B83" s="10" t="s">
        <v>300</v>
      </c>
      <c r="C83" s="11">
        <v>0</v>
      </c>
      <c r="D83" s="11">
        <v>0</v>
      </c>
      <c r="E83" s="11">
        <v>0</v>
      </c>
      <c r="F83" s="13">
        <f>SUMIF('OD 04-24'!A:A,A83,'OD 04-24'!D:D)</f>
        <v>0</v>
      </c>
      <c r="G83" s="13">
        <f>SUMIF('OD 04-24'!A:A,A83,'OD 04-24'!E:E)</f>
        <v>0</v>
      </c>
      <c r="H83" s="14">
        <f t="shared" si="2"/>
        <v>0</v>
      </c>
      <c r="I83" s="14">
        <f t="shared" si="3"/>
        <v>0</v>
      </c>
      <c r="J83" s="8">
        <v>0</v>
      </c>
      <c r="K83" s="8">
        <v>0</v>
      </c>
      <c r="M83" s="339"/>
      <c r="N83" s="315"/>
    </row>
    <row r="84" spans="1:14" s="9" customFormat="1" ht="11.25" x14ac:dyDescent="0.2">
      <c r="A84" s="10">
        <v>34100000</v>
      </c>
      <c r="B84" s="10" t="s">
        <v>301</v>
      </c>
      <c r="C84" s="11">
        <v>0</v>
      </c>
      <c r="D84" s="11">
        <v>0</v>
      </c>
      <c r="E84" s="11">
        <v>0</v>
      </c>
      <c r="F84" s="13">
        <f>SUMIF('OD 04-24'!A:A,A84,'OD 04-24'!D:D)</f>
        <v>0</v>
      </c>
      <c r="G84" s="13">
        <f>SUMIF('OD 04-24'!A:A,A84,'OD 04-24'!E:E)</f>
        <v>0</v>
      </c>
      <c r="H84" s="14">
        <f t="shared" si="2"/>
        <v>0</v>
      </c>
      <c r="I84" s="14">
        <f t="shared" si="3"/>
        <v>0</v>
      </c>
      <c r="J84" s="8">
        <v>0</v>
      </c>
      <c r="K84" s="8">
        <v>0</v>
      </c>
      <c r="M84" s="339"/>
      <c r="N84" s="315"/>
    </row>
    <row r="85" spans="1:14" s="9" customFormat="1" ht="11.25" x14ac:dyDescent="0.2">
      <c r="A85" s="10">
        <v>35500000</v>
      </c>
      <c r="B85" s="10" t="s">
        <v>63</v>
      </c>
      <c r="C85" s="11">
        <v>1674504.0189999994</v>
      </c>
      <c r="D85" s="11">
        <v>0</v>
      </c>
      <c r="E85" s="11">
        <v>1674504.0190000001</v>
      </c>
      <c r="F85" s="13">
        <f>SUMIF('OD 04-24'!A:A,A85,'OD 04-24'!D:D)</f>
        <v>11533059.295</v>
      </c>
      <c r="G85" s="13">
        <f>SUMIF('OD 04-24'!A:A,A85,'OD 04-24'!E:E)</f>
        <v>9671434.8440000005</v>
      </c>
      <c r="H85" s="14">
        <f t="shared" si="2"/>
        <v>187120.43200000003</v>
      </c>
      <c r="I85" s="14">
        <f t="shared" si="3"/>
        <v>1861624.4509999994</v>
      </c>
      <c r="J85" s="8" t="s">
        <v>60</v>
      </c>
      <c r="K85" s="8">
        <v>0</v>
      </c>
      <c r="M85" s="339"/>
      <c r="N85" s="315"/>
    </row>
    <row r="86" spans="1:14" s="9" customFormat="1" ht="11.25" x14ac:dyDescent="0.2">
      <c r="A86" s="10">
        <v>39000000</v>
      </c>
      <c r="B86" s="10" t="s">
        <v>64</v>
      </c>
      <c r="C86" s="11">
        <v>-208158.11300000001</v>
      </c>
      <c r="D86" s="11">
        <v>0</v>
      </c>
      <c r="E86" s="11">
        <v>0</v>
      </c>
      <c r="F86" s="13">
        <f>SUMIF('OD 04-24'!A:A,A86,'OD 04-24'!D:D)</f>
        <v>0</v>
      </c>
      <c r="G86" s="13">
        <f>SUMIF('OD 04-24'!A:A,A86,'OD 04-24'!E:E)</f>
        <v>0</v>
      </c>
      <c r="H86" s="14">
        <f t="shared" si="2"/>
        <v>0</v>
      </c>
      <c r="I86" s="14">
        <f t="shared" si="3"/>
        <v>-208158.11300000001</v>
      </c>
      <c r="J86" s="8" t="s">
        <v>65</v>
      </c>
      <c r="K86" s="8">
        <v>0</v>
      </c>
      <c r="M86" s="339"/>
      <c r="N86" s="315"/>
    </row>
    <row r="87" spans="1:14" s="9" customFormat="1" ht="11.25" x14ac:dyDescent="0.2">
      <c r="A87" s="10">
        <v>40100000</v>
      </c>
      <c r="B87" s="10" t="s">
        <v>66</v>
      </c>
      <c r="C87" s="11">
        <v>-2875441.9530395269</v>
      </c>
      <c r="D87" s="11">
        <v>16657303.158049997</v>
      </c>
      <c r="E87" s="11">
        <v>15848667.136506502</v>
      </c>
      <c r="F87" s="13">
        <f>SUMIF('OD 04-24'!A:A,A87,'OD 04-24'!D:D)</f>
        <v>0</v>
      </c>
      <c r="G87" s="13">
        <f>SUMIF('OD 04-24'!A:A,A87,'OD 04-24'!E:E)</f>
        <v>0</v>
      </c>
      <c r="H87" s="14">
        <f t="shared" si="2"/>
        <v>808636.02154349536</v>
      </c>
      <c r="I87" s="14">
        <f t="shared" si="3"/>
        <v>-2066805.9314960316</v>
      </c>
      <c r="J87" s="8" t="s">
        <v>67</v>
      </c>
      <c r="K87" s="8">
        <v>0</v>
      </c>
      <c r="M87" s="339"/>
      <c r="N87" s="315"/>
    </row>
    <row r="88" spans="1:14" s="9" customFormat="1" ht="11.25" x14ac:dyDescent="0.2">
      <c r="A88" s="10">
        <v>40300000</v>
      </c>
      <c r="B88" s="10" t="s">
        <v>68</v>
      </c>
      <c r="C88" s="11">
        <v>-970419.35000000149</v>
      </c>
      <c r="D88" s="11">
        <v>1314936.828</v>
      </c>
      <c r="E88" s="11">
        <v>614491.08799999999</v>
      </c>
      <c r="F88" s="13">
        <f>SUMIF('OD 04-24'!A:A,A88,'OD 04-24'!D:D)</f>
        <v>0</v>
      </c>
      <c r="G88" s="13">
        <f>SUMIF('OD 04-24'!A:A,A88,'OD 04-24'!E:E)</f>
        <v>0</v>
      </c>
      <c r="H88" s="14">
        <f t="shared" si="2"/>
        <v>700445.74</v>
      </c>
      <c r="I88" s="14">
        <f t="shared" si="3"/>
        <v>-269973.6100000015</v>
      </c>
      <c r="J88" s="8" t="s">
        <v>67</v>
      </c>
      <c r="K88" s="8">
        <v>0</v>
      </c>
      <c r="M88" s="339"/>
      <c r="N88" s="315"/>
    </row>
    <row r="89" spans="1:14" s="9" customFormat="1" ht="11.25" x14ac:dyDescent="0.2">
      <c r="A89" s="10">
        <v>40301000</v>
      </c>
      <c r="B89" s="10" t="s">
        <v>302</v>
      </c>
      <c r="C89" s="11">
        <v>0</v>
      </c>
      <c r="D89" s="11">
        <v>0</v>
      </c>
      <c r="E89" s="11">
        <v>0</v>
      </c>
      <c r="F89" s="13">
        <f>SUMIF('OD 04-24'!A:A,A89,'OD 04-24'!D:D)</f>
        <v>0</v>
      </c>
      <c r="G89" s="13">
        <f>SUMIF('OD 04-24'!A:A,A89,'OD 04-24'!E:E)</f>
        <v>0</v>
      </c>
      <c r="H89" s="14">
        <f t="shared" si="2"/>
        <v>0</v>
      </c>
      <c r="I89" s="14">
        <f t="shared" si="3"/>
        <v>0</v>
      </c>
      <c r="J89" s="8">
        <v>0</v>
      </c>
      <c r="K89" s="8">
        <v>0</v>
      </c>
      <c r="M89" s="339"/>
      <c r="N89" s="315"/>
    </row>
    <row r="90" spans="1:14" s="9" customFormat="1" ht="11.25" x14ac:dyDescent="0.2">
      <c r="A90" s="10">
        <v>40400000</v>
      </c>
      <c r="B90" s="10" t="s">
        <v>69</v>
      </c>
      <c r="C90" s="11">
        <v>9.999983012676239E-5</v>
      </c>
      <c r="D90" s="11">
        <v>0</v>
      </c>
      <c r="E90" s="11">
        <v>0</v>
      </c>
      <c r="F90" s="13">
        <f>SUMIF('OD 04-24'!A:A,A90,'OD 04-24'!D:D)</f>
        <v>0</v>
      </c>
      <c r="G90" s="13">
        <f>SUMIF('OD 04-24'!A:A,A90,'OD 04-24'!E:E)</f>
        <v>0</v>
      </c>
      <c r="H90" s="14">
        <f t="shared" si="2"/>
        <v>0</v>
      </c>
      <c r="I90" s="14">
        <f t="shared" si="3"/>
        <v>9.999983012676239E-5</v>
      </c>
      <c r="J90" s="8">
        <v>0</v>
      </c>
      <c r="K90" s="8">
        <v>0</v>
      </c>
      <c r="M90" s="339"/>
      <c r="N90" s="315"/>
    </row>
    <row r="91" spans="1:14" s="9" customFormat="1" ht="11.25" x14ac:dyDescent="0.2">
      <c r="A91" s="10">
        <v>40470000</v>
      </c>
      <c r="B91" s="10" t="s">
        <v>303</v>
      </c>
      <c r="C91" s="11">
        <v>0</v>
      </c>
      <c r="D91" s="11">
        <v>0</v>
      </c>
      <c r="E91" s="11">
        <v>0</v>
      </c>
      <c r="F91" s="13">
        <f>SUMIF('OD 04-24'!A:A,A91,'OD 04-24'!D:D)</f>
        <v>0</v>
      </c>
      <c r="G91" s="13">
        <f>SUMIF('OD 04-24'!A:A,A91,'OD 04-24'!E:E)</f>
        <v>0</v>
      </c>
      <c r="H91" s="14">
        <f t="shared" si="2"/>
        <v>0</v>
      </c>
      <c r="I91" s="14">
        <f t="shared" si="3"/>
        <v>0</v>
      </c>
      <c r="J91" s="8">
        <v>0</v>
      </c>
      <c r="K91" s="8">
        <v>0</v>
      </c>
      <c r="M91" s="339"/>
      <c r="N91" s="315"/>
    </row>
    <row r="92" spans="1:14" s="9" customFormat="1" ht="11.25" x14ac:dyDescent="0.2">
      <c r="A92" s="10">
        <v>40600000</v>
      </c>
      <c r="B92" s="10" t="s">
        <v>70</v>
      </c>
      <c r="C92" s="11">
        <v>-3111690.4287486374</v>
      </c>
      <c r="D92" s="11">
        <v>3253305.3384024999</v>
      </c>
      <c r="E92" s="11">
        <v>1940508.685724</v>
      </c>
      <c r="F92" s="13">
        <f>SUMIF('OD 04-24'!A:A,A92,'OD 04-24'!D:D)</f>
        <v>1070340.0279999999</v>
      </c>
      <c r="G92" s="13">
        <f>SUMIF('OD 04-24'!A:A,A92,'OD 04-24'!E:E)</f>
        <v>1021702.188</v>
      </c>
      <c r="H92" s="14">
        <f t="shared" si="2"/>
        <v>1361434.4926784993</v>
      </c>
      <c r="I92" s="14">
        <f t="shared" si="3"/>
        <v>-1750255.9360701381</v>
      </c>
      <c r="J92" s="8" t="s">
        <v>67</v>
      </c>
      <c r="K92" s="8">
        <v>0</v>
      </c>
      <c r="M92" s="339"/>
      <c r="N92" s="315"/>
    </row>
    <row r="93" spans="1:14" s="9" customFormat="1" ht="11.25" x14ac:dyDescent="0.2">
      <c r="A93" s="10">
        <v>40800000</v>
      </c>
      <c r="B93" s="10" t="s">
        <v>71</v>
      </c>
      <c r="C93" s="11">
        <v>-4980</v>
      </c>
      <c r="D93" s="11">
        <v>0</v>
      </c>
      <c r="E93" s="11">
        <v>0</v>
      </c>
      <c r="F93" s="13">
        <f>SUMIF('OD 04-24'!A:A,A93,'OD 04-24'!D:D)</f>
        <v>0</v>
      </c>
      <c r="G93" s="13">
        <f>SUMIF('OD 04-24'!A:A,A93,'OD 04-24'!E:E)</f>
        <v>0</v>
      </c>
      <c r="H93" s="14">
        <f t="shared" si="2"/>
        <v>0</v>
      </c>
      <c r="I93" s="14">
        <f t="shared" si="3"/>
        <v>-4980</v>
      </c>
      <c r="J93" s="8" t="s">
        <v>67</v>
      </c>
      <c r="K93" s="8">
        <v>0</v>
      </c>
      <c r="M93" s="339"/>
      <c r="N93" s="315"/>
    </row>
    <row r="94" spans="1:14" s="9" customFormat="1" ht="11.25" x14ac:dyDescent="0.2">
      <c r="A94" s="10">
        <v>40810000</v>
      </c>
      <c r="B94" s="10" t="s">
        <v>391</v>
      </c>
      <c r="C94" s="11">
        <v>-41980.576999999997</v>
      </c>
      <c r="D94" s="11">
        <v>39904.247000000003</v>
      </c>
      <c r="E94" s="11">
        <v>3169.0909999999994</v>
      </c>
      <c r="F94" s="13">
        <f>SUMIF('OD 04-24'!A:A,A94,'OD 04-24'!D:D)</f>
        <v>0</v>
      </c>
      <c r="G94" s="13">
        <f>SUMIF('OD 04-24'!A:A,A94,'OD 04-24'!E:E)</f>
        <v>0</v>
      </c>
      <c r="H94" s="14">
        <f t="shared" si="2"/>
        <v>36735.156000000003</v>
      </c>
      <c r="I94" s="14">
        <f t="shared" si="3"/>
        <v>-5245.4209999999948</v>
      </c>
      <c r="J94" s="8" t="s">
        <v>67</v>
      </c>
      <c r="K94" s="8">
        <v>0</v>
      </c>
      <c r="M94" s="339"/>
      <c r="N94" s="315"/>
    </row>
    <row r="95" spans="1:14" s="9" customFormat="1" ht="11.25" x14ac:dyDescent="0.2">
      <c r="A95" s="10">
        <v>40860000</v>
      </c>
      <c r="B95" s="10" t="s">
        <v>304</v>
      </c>
      <c r="C95" s="11">
        <v>0</v>
      </c>
      <c r="D95" s="11">
        <v>0</v>
      </c>
      <c r="E95" s="11">
        <v>0</v>
      </c>
      <c r="F95" s="13">
        <f>SUMIF('OD 04-24'!A:A,A95,'OD 04-24'!D:D)</f>
        <v>0</v>
      </c>
      <c r="G95" s="13">
        <f>SUMIF('OD 04-24'!A:A,A95,'OD 04-24'!E:E)</f>
        <v>0</v>
      </c>
      <c r="H95" s="14">
        <f t="shared" si="2"/>
        <v>0</v>
      </c>
      <c r="I95" s="14">
        <f t="shared" si="3"/>
        <v>0</v>
      </c>
      <c r="J95" s="8">
        <v>0</v>
      </c>
      <c r="K95" s="8">
        <v>0</v>
      </c>
      <c r="M95" s="339"/>
      <c r="N95" s="315"/>
    </row>
    <row r="96" spans="1:14" s="9" customFormat="1" ht="11.25" x14ac:dyDescent="0.2">
      <c r="A96" s="10">
        <v>40910000</v>
      </c>
      <c r="B96" s="10" t="s">
        <v>72</v>
      </c>
      <c r="C96" s="11">
        <v>0</v>
      </c>
      <c r="D96" s="11">
        <v>0</v>
      </c>
      <c r="E96" s="11">
        <v>0</v>
      </c>
      <c r="F96" s="13">
        <f>SUMIF('OD 04-24'!A:A,A96,'OD 04-24'!D:D)</f>
        <v>0</v>
      </c>
      <c r="G96" s="13">
        <f>SUMIF('OD 04-24'!A:A,A96,'OD 04-24'!E:E)</f>
        <v>0</v>
      </c>
      <c r="H96" s="14">
        <f t="shared" si="2"/>
        <v>0</v>
      </c>
      <c r="I96" s="14">
        <f t="shared" si="3"/>
        <v>0</v>
      </c>
      <c r="J96" s="8" t="s">
        <v>78</v>
      </c>
      <c r="K96" s="8">
        <v>0</v>
      </c>
      <c r="M96" s="339"/>
      <c r="N96" s="315"/>
    </row>
    <row r="97" spans="1:14" s="9" customFormat="1" ht="11.25" x14ac:dyDescent="0.2">
      <c r="A97" s="10">
        <v>41100000</v>
      </c>
      <c r="B97" s="10" t="s">
        <v>73</v>
      </c>
      <c r="C97" s="11">
        <v>15614197.010682464</v>
      </c>
      <c r="D97" s="11">
        <v>21206116.798</v>
      </c>
      <c r="E97" s="11">
        <v>24116899.039000001</v>
      </c>
      <c r="F97" s="13">
        <f>SUMIF('OD 04-24'!A:A,A97,'OD 04-24'!D:D)</f>
        <v>0</v>
      </c>
      <c r="G97" s="13">
        <f>SUMIF('OD 04-24'!A:A,A97,'OD 04-24'!E:E)</f>
        <v>0</v>
      </c>
      <c r="H97" s="14">
        <f t="shared" si="2"/>
        <v>-2910782.2410000004</v>
      </c>
      <c r="I97" s="14">
        <f t="shared" si="3"/>
        <v>12703414.769682463</v>
      </c>
      <c r="J97" s="8" t="s">
        <v>74</v>
      </c>
      <c r="K97" s="8">
        <v>0</v>
      </c>
      <c r="M97" s="339"/>
      <c r="N97" s="315"/>
    </row>
    <row r="98" spans="1:14" s="9" customFormat="1" ht="11.25" x14ac:dyDescent="0.2">
      <c r="A98" s="10">
        <v>41301000</v>
      </c>
      <c r="B98" s="10" t="s">
        <v>305</v>
      </c>
      <c r="C98" s="11">
        <v>0</v>
      </c>
      <c r="D98" s="11">
        <v>0</v>
      </c>
      <c r="E98" s="11">
        <v>0</v>
      </c>
      <c r="F98" s="13">
        <f>SUMIF('OD 04-24'!A:A,A98,'OD 04-24'!D:D)</f>
        <v>0</v>
      </c>
      <c r="G98" s="13">
        <f>SUMIF('OD 04-24'!A:A,A98,'OD 04-24'!E:E)</f>
        <v>0</v>
      </c>
      <c r="H98" s="14">
        <f t="shared" si="2"/>
        <v>0</v>
      </c>
      <c r="I98" s="14">
        <f t="shared" si="3"/>
        <v>0</v>
      </c>
      <c r="J98" s="8">
        <v>0</v>
      </c>
      <c r="K98" s="8">
        <v>0</v>
      </c>
      <c r="M98" s="339"/>
      <c r="N98" s="315"/>
    </row>
    <row r="99" spans="1:14" s="9" customFormat="1" ht="11.25" x14ac:dyDescent="0.2">
      <c r="A99" s="10">
        <v>41500000</v>
      </c>
      <c r="B99" s="10" t="s">
        <v>75</v>
      </c>
      <c r="C99" s="11">
        <v>3350188.1832604855</v>
      </c>
      <c r="D99" s="11">
        <v>4212218.1140000001</v>
      </c>
      <c r="E99" s="11">
        <v>3294653.0880000005</v>
      </c>
      <c r="F99" s="13">
        <f>SUMIF('OD 04-24'!A:A,A99,'OD 04-24'!D:D)</f>
        <v>3757277.7850000001</v>
      </c>
      <c r="G99" s="13">
        <f>SUMIF('OD 04-24'!A:A,A99,'OD 04-24'!E:E)</f>
        <v>3757277.7850000001</v>
      </c>
      <c r="H99" s="14">
        <f t="shared" si="2"/>
        <v>917565.02599999961</v>
      </c>
      <c r="I99" s="14">
        <f t="shared" si="3"/>
        <v>4267753.2092604851</v>
      </c>
      <c r="J99" s="8" t="s">
        <v>74</v>
      </c>
      <c r="K99" s="8">
        <v>0</v>
      </c>
      <c r="M99" s="339"/>
      <c r="N99" s="315"/>
    </row>
    <row r="100" spans="1:14" s="9" customFormat="1" ht="11.25" x14ac:dyDescent="0.2">
      <c r="A100" s="10">
        <v>41601000</v>
      </c>
      <c r="B100" s="10" t="s">
        <v>306</v>
      </c>
      <c r="C100" s="11">
        <v>0</v>
      </c>
      <c r="D100" s="11">
        <v>0</v>
      </c>
      <c r="E100" s="11">
        <v>0</v>
      </c>
      <c r="F100" s="13">
        <f>SUMIF('OD 04-24'!A:A,A100,'OD 04-24'!D:D)</f>
        <v>0</v>
      </c>
      <c r="G100" s="13">
        <f>SUMIF('OD 04-24'!A:A,A100,'OD 04-24'!E:E)</f>
        <v>0</v>
      </c>
      <c r="H100" s="14">
        <f t="shared" si="2"/>
        <v>0</v>
      </c>
      <c r="I100" s="14">
        <f t="shared" si="3"/>
        <v>0</v>
      </c>
      <c r="J100" s="8">
        <v>0</v>
      </c>
      <c r="K100" s="8">
        <v>0</v>
      </c>
      <c r="M100" s="339"/>
      <c r="N100" s="315"/>
    </row>
    <row r="101" spans="1:14" s="9" customFormat="1" ht="11.25" x14ac:dyDescent="0.2">
      <c r="A101" s="10">
        <v>41800000</v>
      </c>
      <c r="B101" s="10" t="s">
        <v>307</v>
      </c>
      <c r="C101" s="11">
        <v>0</v>
      </c>
      <c r="D101" s="11">
        <v>0</v>
      </c>
      <c r="E101" s="11">
        <v>0</v>
      </c>
      <c r="F101" s="13">
        <f>SUMIF('OD 04-24'!A:A,A101,'OD 04-24'!D:D)</f>
        <v>0</v>
      </c>
      <c r="G101" s="13">
        <f>SUMIF('OD 04-24'!A:A,A101,'OD 04-24'!E:E)</f>
        <v>0</v>
      </c>
      <c r="H101" s="14">
        <f t="shared" si="2"/>
        <v>0</v>
      </c>
      <c r="I101" s="14">
        <f t="shared" si="3"/>
        <v>0</v>
      </c>
      <c r="J101" s="8">
        <v>0</v>
      </c>
      <c r="K101" s="8">
        <v>0</v>
      </c>
      <c r="M101" s="339"/>
      <c r="N101" s="315"/>
    </row>
    <row r="102" spans="1:14" s="9" customFormat="1" ht="11.25" x14ac:dyDescent="0.2">
      <c r="A102" s="10">
        <v>41910000</v>
      </c>
      <c r="B102" s="10" t="s">
        <v>308</v>
      </c>
      <c r="C102" s="11">
        <v>0</v>
      </c>
      <c r="D102" s="11">
        <v>0</v>
      </c>
      <c r="E102" s="11">
        <v>0</v>
      </c>
      <c r="F102" s="13">
        <f>SUMIF('OD 04-24'!A:A,A102,'OD 04-24'!D:D)</f>
        <v>0</v>
      </c>
      <c r="G102" s="13">
        <f>SUMIF('OD 04-24'!A:A,A102,'OD 04-24'!E:E)</f>
        <v>0</v>
      </c>
      <c r="H102" s="14">
        <f t="shared" si="2"/>
        <v>0</v>
      </c>
      <c r="I102" s="14">
        <f t="shared" si="3"/>
        <v>0</v>
      </c>
      <c r="J102" s="8">
        <v>0</v>
      </c>
      <c r="K102" s="8">
        <v>0</v>
      </c>
      <c r="M102" s="339"/>
      <c r="N102" s="315"/>
    </row>
    <row r="103" spans="1:14" s="9" customFormat="1" ht="11.25" x14ac:dyDescent="0.2">
      <c r="A103" s="10">
        <v>42100000</v>
      </c>
      <c r="B103" s="10" t="s">
        <v>76</v>
      </c>
      <c r="C103" s="11">
        <v>0</v>
      </c>
      <c r="D103" s="11">
        <v>240</v>
      </c>
      <c r="E103" s="11">
        <v>240</v>
      </c>
      <c r="F103" s="13">
        <f>SUMIF('OD 04-24'!A:A,A103,'OD 04-24'!D:D)</f>
        <v>0</v>
      </c>
      <c r="G103" s="13">
        <f>SUMIF('OD 04-24'!A:A,A103,'OD 04-24'!E:E)</f>
        <v>0</v>
      </c>
      <c r="H103" s="14">
        <f t="shared" si="2"/>
        <v>0</v>
      </c>
      <c r="I103" s="14">
        <f t="shared" si="3"/>
        <v>0</v>
      </c>
      <c r="J103" s="8">
        <v>0</v>
      </c>
      <c r="K103" s="8">
        <v>0</v>
      </c>
      <c r="M103" s="339"/>
      <c r="N103" s="315"/>
    </row>
    <row r="104" spans="1:14" s="9" customFormat="1" ht="11.25" x14ac:dyDescent="0.2">
      <c r="A104" s="10">
        <v>42110000</v>
      </c>
      <c r="B104" s="10" t="s">
        <v>309</v>
      </c>
      <c r="C104" s="11">
        <v>0</v>
      </c>
      <c r="D104" s="11">
        <v>0</v>
      </c>
      <c r="E104" s="11">
        <v>0</v>
      </c>
      <c r="F104" s="13">
        <f>SUMIF('OD 04-24'!A:A,A104,'OD 04-24'!D:D)</f>
        <v>0</v>
      </c>
      <c r="G104" s="13">
        <f>SUMIF('OD 04-24'!A:A,A104,'OD 04-24'!E:E)</f>
        <v>0</v>
      </c>
      <c r="H104" s="14">
        <f t="shared" si="2"/>
        <v>0</v>
      </c>
      <c r="I104" s="14">
        <f t="shared" si="3"/>
        <v>0</v>
      </c>
      <c r="J104" s="8">
        <v>0</v>
      </c>
      <c r="K104" s="8">
        <v>0</v>
      </c>
      <c r="M104" s="339"/>
      <c r="N104" s="315"/>
    </row>
    <row r="105" spans="1:14" s="9" customFormat="1" ht="11.25" x14ac:dyDescent="0.2">
      <c r="A105" s="10">
        <v>42120000</v>
      </c>
      <c r="B105" s="10" t="s">
        <v>77</v>
      </c>
      <c r="C105" s="11">
        <v>21139.859999999986</v>
      </c>
      <c r="D105" s="11">
        <f>100+21400+240</f>
        <v>21740</v>
      </c>
      <c r="E105" s="11">
        <v>16840</v>
      </c>
      <c r="F105" s="13">
        <f>SUMIF('OD 04-24'!A:A,A105,'OD 04-24'!D:D)</f>
        <v>0</v>
      </c>
      <c r="G105" s="13">
        <f>SUMIF('OD 04-24'!A:A,A105,'OD 04-24'!E:E)</f>
        <v>0</v>
      </c>
      <c r="H105" s="14">
        <f t="shared" si="2"/>
        <v>4900</v>
      </c>
      <c r="I105" s="14">
        <f t="shared" si="3"/>
        <v>26039.859999999986</v>
      </c>
      <c r="J105" s="8" t="s">
        <v>78</v>
      </c>
      <c r="K105" s="8">
        <v>0</v>
      </c>
      <c r="M105" s="339"/>
      <c r="N105" s="315"/>
    </row>
    <row r="106" spans="1:14" s="9" customFormat="1" ht="11.25" x14ac:dyDescent="0.2">
      <c r="A106" s="10">
        <v>42400000</v>
      </c>
      <c r="B106" s="10" t="s">
        <v>79</v>
      </c>
      <c r="C106" s="11">
        <v>0</v>
      </c>
      <c r="D106" s="11">
        <v>0</v>
      </c>
      <c r="E106" s="11">
        <v>0</v>
      </c>
      <c r="F106" s="13">
        <f>SUMIF('OD 04-24'!A:A,A106,'OD 04-24'!D:D)</f>
        <v>0</v>
      </c>
      <c r="G106" s="13">
        <f>SUMIF('OD 04-24'!A:A,A106,'OD 04-24'!E:E)</f>
        <v>0</v>
      </c>
      <c r="H106" s="14">
        <f t="shared" si="2"/>
        <v>0</v>
      </c>
      <c r="I106" s="14">
        <f t="shared" si="3"/>
        <v>0</v>
      </c>
      <c r="J106" s="8">
        <v>0</v>
      </c>
      <c r="K106" s="8">
        <v>0</v>
      </c>
      <c r="M106" s="339"/>
      <c r="N106" s="315"/>
    </row>
    <row r="107" spans="1:14" s="9" customFormat="1" ht="11.25" x14ac:dyDescent="0.2">
      <c r="A107" s="10">
        <v>42500000</v>
      </c>
      <c r="B107" s="10" t="s">
        <v>80</v>
      </c>
      <c r="C107" s="11">
        <v>-180820.1429999955</v>
      </c>
      <c r="D107" s="11">
        <v>1438277.138</v>
      </c>
      <c r="E107" s="11">
        <v>1263053.75</v>
      </c>
      <c r="F107" s="13">
        <f>SUMIF('OD 04-24'!A:A,A107,'OD 04-24'!D:D)</f>
        <v>0</v>
      </c>
      <c r="G107" s="13">
        <f>SUMIF('OD 04-24'!A:A,A107,'OD 04-24'!E:E)</f>
        <v>0</v>
      </c>
      <c r="H107" s="14">
        <f t="shared" si="2"/>
        <v>175223.38800000004</v>
      </c>
      <c r="I107" s="14">
        <f t="shared" si="3"/>
        <v>-5596.7549999954645</v>
      </c>
      <c r="J107" s="8" t="s">
        <v>81</v>
      </c>
      <c r="K107" s="8">
        <v>0</v>
      </c>
      <c r="M107" s="339"/>
      <c r="N107" s="315"/>
    </row>
    <row r="108" spans="1:14" s="9" customFormat="1" ht="11.25" x14ac:dyDescent="0.2">
      <c r="A108" s="10">
        <v>42700000</v>
      </c>
      <c r="B108" s="10" t="s">
        <v>310</v>
      </c>
      <c r="C108" s="11">
        <v>0</v>
      </c>
      <c r="D108" s="11">
        <v>0</v>
      </c>
      <c r="E108" s="11">
        <v>0</v>
      </c>
      <c r="F108" s="13">
        <f>SUMIF('OD 04-24'!A:A,A108,'OD 04-24'!D:D)</f>
        <v>0</v>
      </c>
      <c r="G108" s="13">
        <f>SUMIF('OD 04-24'!A:A,A108,'OD 04-24'!E:E)</f>
        <v>0</v>
      </c>
      <c r="H108" s="14">
        <f t="shared" si="2"/>
        <v>0</v>
      </c>
      <c r="I108" s="14">
        <f t="shared" si="3"/>
        <v>0</v>
      </c>
      <c r="J108" s="8">
        <v>0</v>
      </c>
      <c r="K108" s="8">
        <v>0</v>
      </c>
      <c r="M108" s="339"/>
      <c r="N108" s="315"/>
    </row>
    <row r="109" spans="1:14" s="9" customFormat="1" ht="11.25" x14ac:dyDescent="0.2">
      <c r="A109" s="10">
        <v>42710000</v>
      </c>
      <c r="B109" s="10" t="s">
        <v>82</v>
      </c>
      <c r="C109" s="11">
        <v>-2433.5259999999907</v>
      </c>
      <c r="D109" s="11">
        <v>3506.5229999999997</v>
      </c>
      <c r="E109" s="11">
        <v>2810.9700000000003</v>
      </c>
      <c r="F109" s="13">
        <f>SUMIF('OD 04-24'!A:A,A109,'OD 04-24'!D:D)</f>
        <v>0</v>
      </c>
      <c r="G109" s="13">
        <f>SUMIF('OD 04-24'!A:A,A109,'OD 04-24'!E:E)</f>
        <v>0</v>
      </c>
      <c r="H109" s="14">
        <f t="shared" si="2"/>
        <v>695.55299999999943</v>
      </c>
      <c r="I109" s="14">
        <f t="shared" si="3"/>
        <v>-1737.9729999999913</v>
      </c>
      <c r="J109" s="8" t="s">
        <v>81</v>
      </c>
      <c r="K109" s="8">
        <v>0</v>
      </c>
      <c r="M109" s="339"/>
      <c r="N109" s="315"/>
    </row>
    <row r="110" spans="1:14" s="9" customFormat="1" ht="11.25" x14ac:dyDescent="0.2">
      <c r="A110" s="10">
        <v>42820000</v>
      </c>
      <c r="B110" s="10" t="s">
        <v>83</v>
      </c>
      <c r="C110" s="11">
        <v>-245931.41399999941</v>
      </c>
      <c r="D110" s="11">
        <v>245931.41399999996</v>
      </c>
      <c r="E110" s="11">
        <v>0</v>
      </c>
      <c r="F110" s="13">
        <f>SUMIF('OD 04-24'!A:A,A110,'OD 04-24'!D:D)</f>
        <v>1521765.5430000001</v>
      </c>
      <c r="G110" s="13">
        <f>SUMIF('OD 04-24'!A:A,A110,'OD 04-24'!E:E)</f>
        <v>1792874.0160000001</v>
      </c>
      <c r="H110" s="14">
        <f t="shared" si="2"/>
        <v>-25177.059000000125</v>
      </c>
      <c r="I110" s="14">
        <f t="shared" si="3"/>
        <v>-271108.47299999953</v>
      </c>
      <c r="J110" s="8" t="s">
        <v>81</v>
      </c>
      <c r="K110" s="8">
        <v>0</v>
      </c>
      <c r="M110" s="339"/>
      <c r="N110" s="315"/>
    </row>
    <row r="111" spans="1:14" s="9" customFormat="1" ht="11.25" x14ac:dyDescent="0.2">
      <c r="A111" s="10">
        <v>43200000</v>
      </c>
      <c r="B111" s="10" t="s">
        <v>311</v>
      </c>
      <c r="C111" s="11">
        <v>0</v>
      </c>
      <c r="D111" s="11">
        <v>0</v>
      </c>
      <c r="E111" s="11">
        <v>0</v>
      </c>
      <c r="F111" s="13">
        <f>SUMIF('OD 04-24'!A:A,A111,'OD 04-24'!D:D)</f>
        <v>0</v>
      </c>
      <c r="G111" s="13">
        <f>SUMIF('OD 04-24'!A:A,A111,'OD 04-24'!E:E)</f>
        <v>0</v>
      </c>
      <c r="H111" s="14">
        <f t="shared" si="2"/>
        <v>0</v>
      </c>
      <c r="I111" s="14">
        <f t="shared" si="3"/>
        <v>0</v>
      </c>
      <c r="J111" s="8">
        <v>0</v>
      </c>
      <c r="K111" s="8">
        <v>0</v>
      </c>
      <c r="M111" s="339"/>
      <c r="N111" s="315"/>
    </row>
    <row r="112" spans="1:14" s="9" customFormat="1" ht="11.25" x14ac:dyDescent="0.2">
      <c r="A112" s="10">
        <v>43210000</v>
      </c>
      <c r="B112" s="10" t="s">
        <v>84</v>
      </c>
      <c r="C112" s="11">
        <v>0</v>
      </c>
      <c r="D112" s="11">
        <v>236602.98199999999</v>
      </c>
      <c r="E112" s="11">
        <v>293580.57299999997</v>
      </c>
      <c r="F112" s="13">
        <f>SUMIF('OD 04-24'!A:A,A112,'OD 04-24'!D:D)</f>
        <v>0</v>
      </c>
      <c r="G112" s="13">
        <f>SUMIF('OD 04-24'!A:A,A112,'OD 04-24'!E:E)</f>
        <v>0</v>
      </c>
      <c r="H112" s="14">
        <f t="shared" si="2"/>
        <v>-56977.590999999986</v>
      </c>
      <c r="I112" s="14">
        <f t="shared" si="3"/>
        <v>-56977.590999999986</v>
      </c>
      <c r="J112" s="8" t="s">
        <v>81</v>
      </c>
      <c r="K112" s="8">
        <v>0</v>
      </c>
      <c r="M112" s="339"/>
      <c r="N112" s="315"/>
    </row>
    <row r="113" spans="1:14" s="9" customFormat="1" ht="11.25" x14ac:dyDescent="0.2">
      <c r="A113" s="10">
        <v>43211000</v>
      </c>
      <c r="B113" s="10" t="s">
        <v>312</v>
      </c>
      <c r="C113" s="11">
        <v>0</v>
      </c>
      <c r="D113" s="11">
        <v>0</v>
      </c>
      <c r="E113" s="11">
        <v>0</v>
      </c>
      <c r="F113" s="13">
        <f>SUMIF('OD 04-24'!A:A,A113,'OD 04-24'!D:D)</f>
        <v>0</v>
      </c>
      <c r="G113" s="13">
        <f>SUMIF('OD 04-24'!A:A,A113,'OD 04-24'!E:E)</f>
        <v>0</v>
      </c>
      <c r="H113" s="14">
        <f t="shared" si="2"/>
        <v>0</v>
      </c>
      <c r="I113" s="14">
        <f t="shared" si="3"/>
        <v>0</v>
      </c>
      <c r="J113" s="8">
        <v>0</v>
      </c>
      <c r="K113" s="8">
        <v>0</v>
      </c>
      <c r="M113" s="339"/>
      <c r="N113" s="315"/>
    </row>
    <row r="114" spans="1:14" s="9" customFormat="1" ht="11.25" x14ac:dyDescent="0.2">
      <c r="A114" s="10">
        <v>43211500</v>
      </c>
      <c r="B114" s="10" t="s">
        <v>85</v>
      </c>
      <c r="C114" s="11">
        <v>0</v>
      </c>
      <c r="D114" s="11">
        <v>0</v>
      </c>
      <c r="E114" s="11">
        <v>0</v>
      </c>
      <c r="F114" s="13">
        <f>SUMIF('OD 04-24'!A:A,A114,'OD 04-24'!D:D)</f>
        <v>0</v>
      </c>
      <c r="G114" s="13">
        <f>SUMIF('OD 04-24'!A:A,A114,'OD 04-24'!E:E)</f>
        <v>0</v>
      </c>
      <c r="H114" s="14">
        <f t="shared" si="2"/>
        <v>0</v>
      </c>
      <c r="I114" s="14">
        <f t="shared" si="3"/>
        <v>0</v>
      </c>
      <c r="J114" s="8">
        <v>0</v>
      </c>
      <c r="K114" s="8">
        <v>0</v>
      </c>
      <c r="M114" s="339"/>
      <c r="N114" s="315"/>
    </row>
    <row r="115" spans="1:14" s="9" customFormat="1" ht="11.25" x14ac:dyDescent="0.2">
      <c r="A115" s="10">
        <v>43212500</v>
      </c>
      <c r="B115" s="10" t="s">
        <v>313</v>
      </c>
      <c r="C115" s="11">
        <v>0</v>
      </c>
      <c r="D115" s="11">
        <v>0</v>
      </c>
      <c r="E115" s="11">
        <v>0</v>
      </c>
      <c r="F115" s="13">
        <f>SUMIF('OD 04-24'!A:A,A115,'OD 04-24'!D:D)</f>
        <v>0</v>
      </c>
      <c r="G115" s="13">
        <f>SUMIF('OD 04-24'!A:A,A115,'OD 04-24'!E:E)</f>
        <v>0</v>
      </c>
      <c r="H115" s="14">
        <f t="shared" si="2"/>
        <v>0</v>
      </c>
      <c r="I115" s="14">
        <f t="shared" si="3"/>
        <v>0</v>
      </c>
      <c r="J115" s="8">
        <v>0</v>
      </c>
      <c r="K115" s="8">
        <v>0</v>
      </c>
      <c r="M115" s="339"/>
      <c r="N115" s="315"/>
    </row>
    <row r="116" spans="1:14" s="9" customFormat="1" ht="11.25" x14ac:dyDescent="0.2">
      <c r="A116" s="10">
        <v>43215000</v>
      </c>
      <c r="B116" s="10" t="s">
        <v>314</v>
      </c>
      <c r="C116" s="11">
        <v>0</v>
      </c>
      <c r="D116" s="11">
        <v>0</v>
      </c>
      <c r="E116" s="11">
        <v>0</v>
      </c>
      <c r="F116" s="13">
        <f>SUMIF('OD 04-24'!A:A,A116,'OD 04-24'!D:D)</f>
        <v>0</v>
      </c>
      <c r="G116" s="13">
        <f>SUMIF('OD 04-24'!A:A,A116,'OD 04-24'!E:E)</f>
        <v>0</v>
      </c>
      <c r="H116" s="14">
        <f t="shared" si="2"/>
        <v>0</v>
      </c>
      <c r="I116" s="14">
        <f t="shared" si="3"/>
        <v>0</v>
      </c>
      <c r="J116" s="8">
        <v>0</v>
      </c>
      <c r="K116" s="8">
        <v>0</v>
      </c>
      <c r="M116" s="339"/>
      <c r="N116" s="315"/>
    </row>
    <row r="117" spans="1:14" s="9" customFormat="1" ht="11.25" x14ac:dyDescent="0.2">
      <c r="A117" s="10">
        <v>43220000</v>
      </c>
      <c r="B117" s="10" t="s">
        <v>86</v>
      </c>
      <c r="C117" s="11">
        <v>0</v>
      </c>
      <c r="D117" s="11">
        <v>12808.723000000002</v>
      </c>
      <c r="E117" s="11">
        <v>42808.759000000005</v>
      </c>
      <c r="F117" s="13">
        <f>SUMIF('OD 04-24'!A:A,A117,'OD 04-24'!D:D)</f>
        <v>0</v>
      </c>
      <c r="G117" s="13">
        <f>SUMIF('OD 04-24'!A:A,A117,'OD 04-24'!E:E)</f>
        <v>0</v>
      </c>
      <c r="H117" s="14">
        <f t="shared" si="2"/>
        <v>-30000.036000000004</v>
      </c>
      <c r="I117" s="14">
        <f t="shared" si="3"/>
        <v>-30000.036000000004</v>
      </c>
      <c r="J117" s="8" t="s">
        <v>81</v>
      </c>
      <c r="K117" s="8">
        <v>0</v>
      </c>
      <c r="M117" s="339"/>
      <c r="N117" s="315"/>
    </row>
    <row r="118" spans="1:14" s="9" customFormat="1" ht="11.25" x14ac:dyDescent="0.2">
      <c r="A118" s="10">
        <v>43220050</v>
      </c>
      <c r="B118" s="10" t="s">
        <v>315</v>
      </c>
      <c r="C118" s="11">
        <v>4.7000000002299203E-2</v>
      </c>
      <c r="D118" s="11">
        <v>2.98</v>
      </c>
      <c r="E118" s="11">
        <v>2.98</v>
      </c>
      <c r="F118" s="13">
        <f>SUMIF('OD 04-24'!A:A,A118,'OD 04-24'!D:D)</f>
        <v>0</v>
      </c>
      <c r="G118" s="13">
        <f>SUMIF('OD 04-24'!A:A,A118,'OD 04-24'!E:E)</f>
        <v>0</v>
      </c>
      <c r="H118" s="14">
        <f t="shared" si="2"/>
        <v>0</v>
      </c>
      <c r="I118" s="14">
        <f t="shared" si="3"/>
        <v>4.7000000002299203E-2</v>
      </c>
      <c r="J118" s="8" t="s">
        <v>78</v>
      </c>
      <c r="K118" s="8">
        <v>0</v>
      </c>
      <c r="M118" s="339"/>
      <c r="N118" s="315"/>
    </row>
    <row r="119" spans="1:14" s="9" customFormat="1" ht="11.25" x14ac:dyDescent="0.2">
      <c r="A119" s="10">
        <v>43220100</v>
      </c>
      <c r="B119" s="10" t="s">
        <v>87</v>
      </c>
      <c r="C119" s="11">
        <v>0</v>
      </c>
      <c r="D119" s="11">
        <v>53966.14</v>
      </c>
      <c r="E119" s="11">
        <v>69697.857000000004</v>
      </c>
      <c r="F119" s="13">
        <f>SUMIF('OD 04-24'!A:A,A119,'OD 04-24'!D:D)</f>
        <v>0</v>
      </c>
      <c r="G119" s="13">
        <f>SUMIF('OD 04-24'!A:A,A119,'OD 04-24'!E:E)</f>
        <v>0</v>
      </c>
      <c r="H119" s="14">
        <f t="shared" si="2"/>
        <v>-15731.717000000004</v>
      </c>
      <c r="I119" s="14">
        <f t="shared" si="3"/>
        <v>-15731.717000000004</v>
      </c>
      <c r="J119" s="8" t="s">
        <v>81</v>
      </c>
      <c r="K119" s="8">
        <v>0</v>
      </c>
      <c r="M119" s="339"/>
      <c r="N119" s="315"/>
    </row>
    <row r="120" spans="1:14" s="9" customFormat="1" ht="11.25" x14ac:dyDescent="0.2">
      <c r="A120" s="10">
        <v>43220300</v>
      </c>
      <c r="B120" s="10" t="s">
        <v>88</v>
      </c>
      <c r="C120" s="11">
        <v>0</v>
      </c>
      <c r="D120" s="11">
        <v>1789.9489999999998</v>
      </c>
      <c r="E120" s="11">
        <v>1789.9489999999998</v>
      </c>
      <c r="F120" s="13">
        <f>SUMIF('OD 04-24'!A:A,A120,'OD 04-24'!D:D)</f>
        <v>0</v>
      </c>
      <c r="G120" s="13">
        <f>SUMIF('OD 04-24'!A:A,A120,'OD 04-24'!E:E)</f>
        <v>0</v>
      </c>
      <c r="H120" s="14">
        <f t="shared" si="2"/>
        <v>0</v>
      </c>
      <c r="I120" s="14">
        <f t="shared" si="3"/>
        <v>0</v>
      </c>
      <c r="J120" s="8" t="s">
        <v>81</v>
      </c>
      <c r="K120" s="8">
        <v>0</v>
      </c>
      <c r="M120" s="339"/>
      <c r="N120" s="315"/>
    </row>
    <row r="121" spans="1:14" s="9" customFormat="1" ht="11.25" x14ac:dyDescent="0.2">
      <c r="A121" s="10">
        <v>43221000</v>
      </c>
      <c r="B121" s="10" t="s">
        <v>89</v>
      </c>
      <c r="C121" s="11">
        <v>0</v>
      </c>
      <c r="D121" s="11">
        <v>0</v>
      </c>
      <c r="E121" s="11">
        <v>0</v>
      </c>
      <c r="F121" s="13">
        <f>SUMIF('OD 04-24'!A:A,A121,'OD 04-24'!D:D)</f>
        <v>0</v>
      </c>
      <c r="G121" s="13">
        <f>SUMIF('OD 04-24'!A:A,A121,'OD 04-24'!E:E)</f>
        <v>0</v>
      </c>
      <c r="H121" s="14">
        <f t="shared" si="2"/>
        <v>0</v>
      </c>
      <c r="I121" s="14">
        <f t="shared" si="3"/>
        <v>0</v>
      </c>
      <c r="J121" s="8" t="s">
        <v>81</v>
      </c>
      <c r="K121" s="8">
        <v>0</v>
      </c>
      <c r="M121" s="339"/>
      <c r="N121" s="315"/>
    </row>
    <row r="122" spans="1:14" s="9" customFormat="1" ht="11.25" x14ac:dyDescent="0.2">
      <c r="A122" s="10">
        <v>43222000</v>
      </c>
      <c r="B122" s="10" t="s">
        <v>316</v>
      </c>
      <c r="C122" s="11">
        <v>0</v>
      </c>
      <c r="D122" s="11">
        <v>32068.395</v>
      </c>
      <c r="E122" s="11">
        <v>32068.395</v>
      </c>
      <c r="F122" s="13">
        <f>SUMIF('OD 04-24'!A:A,A122,'OD 04-24'!D:D)</f>
        <v>0</v>
      </c>
      <c r="G122" s="13">
        <f>SUMIF('OD 04-24'!A:A,A122,'OD 04-24'!E:E)</f>
        <v>0</v>
      </c>
      <c r="H122" s="14">
        <f t="shared" si="2"/>
        <v>0</v>
      </c>
      <c r="I122" s="14">
        <f t="shared" si="3"/>
        <v>0</v>
      </c>
      <c r="J122" s="8" t="s">
        <v>81</v>
      </c>
      <c r="K122" s="8">
        <v>0</v>
      </c>
      <c r="M122" s="339"/>
      <c r="N122" s="315"/>
    </row>
    <row r="123" spans="1:14" s="9" customFormat="1" ht="11.25" x14ac:dyDescent="0.2">
      <c r="A123" s="10">
        <v>43223000</v>
      </c>
      <c r="B123" s="10" t="s">
        <v>90</v>
      </c>
      <c r="C123" s="11">
        <v>-41717.650000000023</v>
      </c>
      <c r="D123" s="11">
        <v>46147.349000000002</v>
      </c>
      <c r="E123" s="11">
        <v>6712.054000000001</v>
      </c>
      <c r="F123" s="13">
        <f>SUMIF('OD 04-24'!A:A,A123,'OD 04-24'!D:D)</f>
        <v>0</v>
      </c>
      <c r="G123" s="13">
        <f>SUMIF('OD 04-24'!A:A,A123,'OD 04-24'!E:E)</f>
        <v>0</v>
      </c>
      <c r="H123" s="14">
        <f t="shared" si="2"/>
        <v>39435.294999999998</v>
      </c>
      <c r="I123" s="14">
        <f t="shared" si="3"/>
        <v>-2282.355000000025</v>
      </c>
      <c r="J123" s="8" t="s">
        <v>81</v>
      </c>
      <c r="K123" s="8">
        <v>0</v>
      </c>
      <c r="M123" s="339"/>
      <c r="N123" s="315"/>
    </row>
    <row r="124" spans="1:14" s="9" customFormat="1" ht="11.25" x14ac:dyDescent="0.2">
      <c r="A124" s="10">
        <v>43310000</v>
      </c>
      <c r="B124" s="10" t="s">
        <v>317</v>
      </c>
      <c r="C124" s="11">
        <v>0</v>
      </c>
      <c r="D124" s="11">
        <v>0</v>
      </c>
      <c r="E124" s="11">
        <v>0</v>
      </c>
      <c r="F124" s="13">
        <f>SUMIF('OD 04-24'!A:A,A124,'OD 04-24'!D:D)</f>
        <v>0</v>
      </c>
      <c r="G124" s="13">
        <f>SUMIF('OD 04-24'!A:A,A124,'OD 04-24'!E:E)</f>
        <v>0</v>
      </c>
      <c r="H124" s="14">
        <f t="shared" si="2"/>
        <v>0</v>
      </c>
      <c r="I124" s="14">
        <f t="shared" si="3"/>
        <v>0</v>
      </c>
      <c r="J124" s="8">
        <v>0</v>
      </c>
      <c r="K124" s="8">
        <v>0</v>
      </c>
      <c r="M124" s="339"/>
      <c r="N124" s="315"/>
    </row>
    <row r="125" spans="1:14" s="9" customFormat="1" ht="11.25" x14ac:dyDescent="0.2">
      <c r="A125" s="10">
        <v>43400000</v>
      </c>
      <c r="B125" s="10" t="s">
        <v>91</v>
      </c>
      <c r="C125" s="11">
        <v>963701.70199999982</v>
      </c>
      <c r="D125" s="11">
        <v>0</v>
      </c>
      <c r="E125" s="11">
        <v>0</v>
      </c>
      <c r="F125" s="13">
        <f>SUMIF('OD 04-24'!A:A,A125,'OD 04-24'!D:D)</f>
        <v>0</v>
      </c>
      <c r="G125" s="13">
        <f>SUMIF('OD 04-24'!A:A,A125,'OD 04-24'!E:E)</f>
        <v>0</v>
      </c>
      <c r="H125" s="14">
        <f t="shared" si="2"/>
        <v>0</v>
      </c>
      <c r="I125" s="14">
        <f t="shared" si="3"/>
        <v>963701.70199999982</v>
      </c>
      <c r="J125" s="8" t="s">
        <v>78</v>
      </c>
      <c r="K125" s="8">
        <v>0</v>
      </c>
      <c r="M125" s="339"/>
      <c r="N125" s="315"/>
    </row>
    <row r="126" spans="1:14" s="9" customFormat="1" ht="11.25" x14ac:dyDescent="0.2">
      <c r="A126" s="10">
        <v>43410000</v>
      </c>
      <c r="B126" s="10" t="s">
        <v>318</v>
      </c>
      <c r="C126" s="11">
        <v>0</v>
      </c>
      <c r="D126" s="11">
        <v>127173.126</v>
      </c>
      <c r="E126" s="11">
        <v>0</v>
      </c>
      <c r="F126" s="13">
        <f>SUMIF('OD 04-24'!A:A,A126,'OD 04-24'!D:D)</f>
        <v>0</v>
      </c>
      <c r="G126" s="13">
        <f>SUMIF('OD 04-24'!A:A,A126,'OD 04-24'!E:E)</f>
        <v>0</v>
      </c>
      <c r="H126" s="14">
        <f t="shared" si="2"/>
        <v>127173.126</v>
      </c>
      <c r="I126" s="14">
        <f t="shared" si="3"/>
        <v>127173.126</v>
      </c>
      <c r="J126" s="8" t="s">
        <v>78</v>
      </c>
      <c r="K126" s="8">
        <v>0</v>
      </c>
      <c r="M126" s="339"/>
      <c r="N126" s="315"/>
    </row>
    <row r="127" spans="1:14" s="9" customFormat="1" ht="11.25" x14ac:dyDescent="0.2">
      <c r="A127" s="10">
        <v>43420000</v>
      </c>
      <c r="B127" s="10" t="s">
        <v>92</v>
      </c>
      <c r="C127" s="11">
        <v>0</v>
      </c>
      <c r="D127" s="11">
        <v>0</v>
      </c>
      <c r="E127" s="11">
        <v>0</v>
      </c>
      <c r="F127" s="13">
        <f>SUMIF('OD 04-24'!A:A,A127,'OD 04-24'!D:D)</f>
        <v>0</v>
      </c>
      <c r="G127" s="13">
        <f>SUMIF('OD 04-24'!A:A,A127,'OD 04-24'!E:E)</f>
        <v>0</v>
      </c>
      <c r="H127" s="14">
        <f t="shared" si="2"/>
        <v>0</v>
      </c>
      <c r="I127" s="14">
        <f t="shared" si="3"/>
        <v>0</v>
      </c>
      <c r="J127" s="8">
        <v>0</v>
      </c>
      <c r="K127" s="8">
        <v>0</v>
      </c>
      <c r="M127" s="339"/>
      <c r="N127" s="315"/>
    </row>
    <row r="128" spans="1:14" s="9" customFormat="1" ht="11.25" x14ac:dyDescent="0.2">
      <c r="A128" s="10">
        <v>43430000</v>
      </c>
      <c r="B128" s="10" t="s">
        <v>319</v>
      </c>
      <c r="C128" s="11">
        <v>0</v>
      </c>
      <c r="D128" s="11">
        <v>0</v>
      </c>
      <c r="E128" s="11">
        <v>0</v>
      </c>
      <c r="F128" s="13">
        <f>SUMIF('OD 04-24'!A:A,A128,'OD 04-24'!D:D)</f>
        <v>0</v>
      </c>
      <c r="G128" s="13">
        <f>SUMIF('OD 04-24'!A:A,A128,'OD 04-24'!E:E)</f>
        <v>0</v>
      </c>
      <c r="H128" s="14">
        <f t="shared" si="2"/>
        <v>0</v>
      </c>
      <c r="I128" s="14">
        <f t="shared" si="3"/>
        <v>0</v>
      </c>
      <c r="J128" s="8" t="s">
        <v>78</v>
      </c>
      <c r="K128" s="8">
        <v>0</v>
      </c>
      <c r="M128" s="339"/>
      <c r="N128" s="315"/>
    </row>
    <row r="129" spans="1:14" s="9" customFormat="1" ht="11.25" x14ac:dyDescent="0.2">
      <c r="A129" s="10">
        <v>43440000</v>
      </c>
      <c r="B129" s="10" t="s">
        <v>320</v>
      </c>
      <c r="C129" s="11">
        <v>0</v>
      </c>
      <c r="D129" s="11">
        <v>6135.9</v>
      </c>
      <c r="E129" s="11">
        <v>6135.9</v>
      </c>
      <c r="F129" s="13">
        <f>SUMIF('OD 04-24'!A:A,A129,'OD 04-24'!D:D)</f>
        <v>0</v>
      </c>
      <c r="G129" s="13">
        <f>SUMIF('OD 04-24'!A:A,A129,'OD 04-24'!E:E)</f>
        <v>0</v>
      </c>
      <c r="H129" s="14">
        <f t="shared" si="2"/>
        <v>0</v>
      </c>
      <c r="I129" s="14">
        <f t="shared" si="3"/>
        <v>0</v>
      </c>
      <c r="J129" s="8" t="s">
        <v>78</v>
      </c>
      <c r="K129" s="8">
        <v>0</v>
      </c>
      <c r="M129" s="339"/>
      <c r="N129" s="315"/>
    </row>
    <row r="130" spans="1:14" s="9" customFormat="1" ht="11.25" x14ac:dyDescent="0.2">
      <c r="A130" s="10">
        <v>43500000</v>
      </c>
      <c r="B130" s="10" t="s">
        <v>321</v>
      </c>
      <c r="C130" s="11">
        <v>-70408.270000000484</v>
      </c>
      <c r="D130" s="11">
        <v>70408.26999999999</v>
      </c>
      <c r="E130" s="11">
        <v>171386.52399999998</v>
      </c>
      <c r="F130" s="13">
        <f>SUMIF('OD 04-24'!A:A,A130,'OD 04-24'!D:D)</f>
        <v>0</v>
      </c>
      <c r="G130" s="13">
        <f>SUMIF('OD 04-24'!A:A,A130,'OD 04-24'!E:E)</f>
        <v>0</v>
      </c>
      <c r="H130" s="14">
        <f t="shared" si="2"/>
        <v>-100978.25399999999</v>
      </c>
      <c r="I130" s="14">
        <f t="shared" si="3"/>
        <v>-171386.52400000047</v>
      </c>
      <c r="J130" s="8" t="s">
        <v>81</v>
      </c>
      <c r="K130" s="8">
        <v>0</v>
      </c>
      <c r="M130" s="339"/>
      <c r="N130" s="315"/>
    </row>
    <row r="131" spans="1:14" s="9" customFormat="1" ht="11.25" x14ac:dyDescent="0.2">
      <c r="A131" s="10">
        <v>43600000</v>
      </c>
      <c r="B131" s="10" t="s">
        <v>93</v>
      </c>
      <c r="C131" s="11">
        <v>697619.66200000048</v>
      </c>
      <c r="D131" s="11">
        <v>2198396.128</v>
      </c>
      <c r="E131" s="11">
        <v>1785369.6949999998</v>
      </c>
      <c r="F131" s="13">
        <f>SUMIF('OD 04-24'!A:A,A131,'OD 04-24'!D:D)</f>
        <v>0</v>
      </c>
      <c r="G131" s="13">
        <f>SUMIF('OD 04-24'!A:A,A131,'OD 04-24'!E:E)</f>
        <v>0</v>
      </c>
      <c r="H131" s="14">
        <f t="shared" ref="H131:H194" si="4">+D131+F131-E131-G131</f>
        <v>413026.43300000019</v>
      </c>
      <c r="I131" s="14">
        <f t="shared" ref="I131:I194" si="5">+H131+C131</f>
        <v>1110646.0950000007</v>
      </c>
      <c r="J131" s="8" t="s">
        <v>78</v>
      </c>
      <c r="K131" s="8">
        <v>0</v>
      </c>
      <c r="M131" s="339"/>
      <c r="N131" s="315"/>
    </row>
    <row r="132" spans="1:14" s="9" customFormat="1" ht="11.25" x14ac:dyDescent="0.2">
      <c r="A132" s="10">
        <v>43625000</v>
      </c>
      <c r="B132" s="10" t="s">
        <v>94</v>
      </c>
      <c r="C132" s="11">
        <v>0</v>
      </c>
      <c r="D132" s="11">
        <v>71564.845000000001</v>
      </c>
      <c r="E132" s="11">
        <v>91392.145999999993</v>
      </c>
      <c r="F132" s="13">
        <f>SUMIF('OD 04-24'!A:A,A132,'OD 04-24'!D:D)</f>
        <v>0</v>
      </c>
      <c r="G132" s="13">
        <f>SUMIF('OD 04-24'!A:A,A132,'OD 04-24'!E:E)</f>
        <v>0</v>
      </c>
      <c r="H132" s="14">
        <f t="shared" si="4"/>
        <v>-19827.300999999992</v>
      </c>
      <c r="I132" s="14">
        <f t="shared" si="5"/>
        <v>-19827.300999999992</v>
      </c>
      <c r="J132" s="8" t="s">
        <v>81</v>
      </c>
      <c r="K132" s="8">
        <v>0</v>
      </c>
      <c r="M132" s="339"/>
      <c r="N132" s="315"/>
    </row>
    <row r="133" spans="1:14" s="9" customFormat="1" ht="11.25" x14ac:dyDescent="0.2">
      <c r="A133" s="10">
        <v>43627000</v>
      </c>
      <c r="B133" s="10" t="s">
        <v>95</v>
      </c>
      <c r="C133" s="11">
        <v>1.0999999940395355E-2</v>
      </c>
      <c r="D133" s="11">
        <v>500953.91700000002</v>
      </c>
      <c r="E133" s="11">
        <v>639744.99300000002</v>
      </c>
      <c r="F133" s="13">
        <f>SUMIF('OD 04-24'!A:A,A133,'OD 04-24'!D:D)</f>
        <v>0</v>
      </c>
      <c r="G133" s="13">
        <f>SUMIF('OD 04-24'!A:A,A133,'OD 04-24'!E:E)</f>
        <v>0</v>
      </c>
      <c r="H133" s="14">
        <f t="shared" si="4"/>
        <v>-138791.076</v>
      </c>
      <c r="I133" s="14">
        <f t="shared" si="5"/>
        <v>-138791.06500000006</v>
      </c>
      <c r="J133" s="8" t="s">
        <v>81</v>
      </c>
      <c r="K133" s="8">
        <v>0</v>
      </c>
      <c r="M133" s="339"/>
      <c r="N133" s="315"/>
    </row>
    <row r="134" spans="1:14" s="9" customFormat="1" ht="11.25" x14ac:dyDescent="0.2">
      <c r="A134" s="10">
        <v>43630600</v>
      </c>
      <c r="B134" s="10" t="s">
        <v>322</v>
      </c>
      <c r="C134" s="11">
        <v>0</v>
      </c>
      <c r="D134" s="11">
        <v>0</v>
      </c>
      <c r="E134" s="11">
        <v>0</v>
      </c>
      <c r="F134" s="13">
        <f>SUMIF('OD 04-24'!A:A,A134,'OD 04-24'!D:D)</f>
        <v>0</v>
      </c>
      <c r="G134" s="13">
        <f>SUMIF('OD 04-24'!A:A,A134,'OD 04-24'!E:E)</f>
        <v>0</v>
      </c>
      <c r="H134" s="14">
        <f t="shared" si="4"/>
        <v>0</v>
      </c>
      <c r="I134" s="14">
        <f t="shared" si="5"/>
        <v>0</v>
      </c>
      <c r="J134" s="8">
        <v>0</v>
      </c>
      <c r="K134" s="8">
        <v>0</v>
      </c>
      <c r="M134" s="339"/>
      <c r="N134" s="315"/>
    </row>
    <row r="135" spans="1:14" s="9" customFormat="1" ht="11.25" x14ac:dyDescent="0.2">
      <c r="A135" s="10">
        <v>43630700</v>
      </c>
      <c r="B135" s="10" t="s">
        <v>96</v>
      </c>
      <c r="C135" s="11">
        <v>6400.8769999999786</v>
      </c>
      <c r="D135" s="11">
        <v>4276.3740000000007</v>
      </c>
      <c r="E135" s="11">
        <v>2925.692</v>
      </c>
      <c r="F135" s="13">
        <f>SUMIF('OD 04-24'!A:A,A135,'OD 04-24'!D:D)</f>
        <v>0</v>
      </c>
      <c r="G135" s="13">
        <f>SUMIF('OD 04-24'!A:A,A135,'OD 04-24'!E:E)</f>
        <v>0</v>
      </c>
      <c r="H135" s="14">
        <f t="shared" si="4"/>
        <v>1350.6820000000007</v>
      </c>
      <c r="I135" s="14">
        <f t="shared" si="5"/>
        <v>7751.5589999999793</v>
      </c>
      <c r="J135" s="8" t="s">
        <v>78</v>
      </c>
      <c r="K135" s="8">
        <v>0</v>
      </c>
      <c r="M135" s="339"/>
      <c r="N135" s="315"/>
    </row>
    <row r="136" spans="1:14" s="9" customFormat="1" ht="11.25" x14ac:dyDescent="0.2">
      <c r="A136" s="10">
        <v>43631000</v>
      </c>
      <c r="B136" s="10" t="s">
        <v>323</v>
      </c>
      <c r="C136" s="11">
        <v>0</v>
      </c>
      <c r="D136" s="11">
        <v>0</v>
      </c>
      <c r="E136" s="11">
        <v>0</v>
      </c>
      <c r="F136" s="13">
        <f>SUMIF('OD 04-24'!A:A,A136,'OD 04-24'!D:D)</f>
        <v>0</v>
      </c>
      <c r="G136" s="13">
        <f>SUMIF('OD 04-24'!A:A,A136,'OD 04-24'!E:E)</f>
        <v>0</v>
      </c>
      <c r="H136" s="14">
        <f t="shared" si="4"/>
        <v>0</v>
      </c>
      <c r="I136" s="14">
        <f t="shared" si="5"/>
        <v>0</v>
      </c>
      <c r="J136" s="8">
        <v>0</v>
      </c>
      <c r="K136" s="8">
        <v>0</v>
      </c>
      <c r="M136" s="339"/>
      <c r="N136" s="315"/>
    </row>
    <row r="137" spans="1:14" s="9" customFormat="1" ht="11.25" x14ac:dyDescent="0.2">
      <c r="A137" s="10">
        <v>43631300</v>
      </c>
      <c r="B137" s="10" t="s">
        <v>324</v>
      </c>
      <c r="C137" s="11">
        <v>0</v>
      </c>
      <c r="D137" s="11">
        <v>7054.4800000000005</v>
      </c>
      <c r="E137" s="11">
        <v>5013.8580000000002</v>
      </c>
      <c r="F137" s="13">
        <f>SUMIF('OD 04-24'!A:A,A137,'OD 04-24'!D:D)</f>
        <v>0</v>
      </c>
      <c r="G137" s="13">
        <f>SUMIF('OD 04-24'!A:A,A137,'OD 04-24'!E:E)</f>
        <v>0</v>
      </c>
      <c r="H137" s="14">
        <f t="shared" si="4"/>
        <v>2040.6220000000003</v>
      </c>
      <c r="I137" s="14">
        <f t="shared" si="5"/>
        <v>2040.6220000000003</v>
      </c>
      <c r="J137" s="8" t="s">
        <v>78</v>
      </c>
      <c r="K137" s="8">
        <v>0</v>
      </c>
      <c r="M137" s="339"/>
      <c r="N137" s="315"/>
    </row>
    <row r="138" spans="1:14" s="9" customFormat="1" ht="11.25" x14ac:dyDescent="0.2">
      <c r="A138" s="10">
        <v>43631800</v>
      </c>
      <c r="B138" s="10" t="s">
        <v>325</v>
      </c>
      <c r="C138" s="11">
        <v>0</v>
      </c>
      <c r="D138" s="11">
        <v>0</v>
      </c>
      <c r="E138" s="11">
        <v>0</v>
      </c>
      <c r="F138" s="13">
        <f>SUMIF('OD 04-24'!A:A,A138,'OD 04-24'!D:D)</f>
        <v>0</v>
      </c>
      <c r="G138" s="13">
        <f>SUMIF('OD 04-24'!A:A,A138,'OD 04-24'!E:E)</f>
        <v>0</v>
      </c>
      <c r="H138" s="14">
        <f t="shared" si="4"/>
        <v>0</v>
      </c>
      <c r="I138" s="14">
        <f t="shared" si="5"/>
        <v>0</v>
      </c>
      <c r="J138" s="8">
        <v>0</v>
      </c>
      <c r="K138" s="8">
        <v>0</v>
      </c>
      <c r="M138" s="339"/>
      <c r="N138" s="315"/>
    </row>
    <row r="139" spans="1:14" s="9" customFormat="1" ht="11.25" x14ac:dyDescent="0.2">
      <c r="A139" s="10">
        <v>43631900</v>
      </c>
      <c r="B139" s="10" t="s">
        <v>97</v>
      </c>
      <c r="C139" s="11">
        <v>-3.9999932050704956E-3</v>
      </c>
      <c r="D139" s="11">
        <v>2499456.1630000002</v>
      </c>
      <c r="E139" s="11">
        <v>1712447.5080000001</v>
      </c>
      <c r="F139" s="13">
        <f>SUMIF('OD 04-24'!A:A,A139,'OD 04-24'!D:D)</f>
        <v>0</v>
      </c>
      <c r="G139" s="13">
        <f>SUMIF('OD 04-24'!A:A,A139,'OD 04-24'!E:E)</f>
        <v>0</v>
      </c>
      <c r="H139" s="14">
        <f t="shared" si="4"/>
        <v>787008.65500000003</v>
      </c>
      <c r="I139" s="14">
        <f t="shared" si="5"/>
        <v>787008.65100000682</v>
      </c>
      <c r="J139" s="8" t="s">
        <v>78</v>
      </c>
      <c r="K139" s="8">
        <v>0</v>
      </c>
      <c r="M139" s="339"/>
      <c r="N139" s="315"/>
    </row>
    <row r="140" spans="1:14" s="9" customFormat="1" ht="11.25" x14ac:dyDescent="0.2">
      <c r="A140" s="10">
        <v>43661800</v>
      </c>
      <c r="B140" s="10" t="s">
        <v>326</v>
      </c>
      <c r="C140" s="11">
        <v>0</v>
      </c>
      <c r="D140" s="11">
        <v>0</v>
      </c>
      <c r="E140" s="11">
        <v>0</v>
      </c>
      <c r="F140" s="13">
        <f>SUMIF('OD 04-24'!A:A,A140,'OD 04-24'!D:D)</f>
        <v>0</v>
      </c>
      <c r="G140" s="13">
        <f>SUMIF('OD 04-24'!A:A,A140,'OD 04-24'!E:E)</f>
        <v>0</v>
      </c>
      <c r="H140" s="14">
        <f t="shared" si="4"/>
        <v>0</v>
      </c>
      <c r="I140" s="14">
        <f t="shared" si="5"/>
        <v>0</v>
      </c>
      <c r="J140" s="8">
        <v>0</v>
      </c>
      <c r="K140" s="8">
        <v>0</v>
      </c>
      <c r="M140" s="339"/>
      <c r="N140" s="315"/>
    </row>
    <row r="141" spans="1:14" s="9" customFormat="1" ht="11.25" x14ac:dyDescent="0.2">
      <c r="A141" s="10">
        <v>43671000</v>
      </c>
      <c r="B141" s="10" t="s">
        <v>98</v>
      </c>
      <c r="C141" s="11">
        <v>0</v>
      </c>
      <c r="D141" s="11">
        <v>1534518.6199999999</v>
      </c>
      <c r="E141" s="11">
        <v>1963971.1259999997</v>
      </c>
      <c r="F141" s="13">
        <f>SUMIF('OD 04-24'!A:A,A141,'OD 04-24'!D:D)</f>
        <v>0</v>
      </c>
      <c r="G141" s="13">
        <f>SUMIF('OD 04-24'!A:A,A141,'OD 04-24'!E:E)</f>
        <v>0</v>
      </c>
      <c r="H141" s="14">
        <f t="shared" si="4"/>
        <v>-429452.50599999982</v>
      </c>
      <c r="I141" s="14">
        <f t="shared" si="5"/>
        <v>-429452.50599999982</v>
      </c>
      <c r="J141" s="8" t="s">
        <v>81</v>
      </c>
      <c r="K141" s="8">
        <v>0</v>
      </c>
      <c r="M141" s="339"/>
      <c r="N141" s="315"/>
    </row>
    <row r="142" spans="1:14" s="9" customFormat="1" ht="11.25" x14ac:dyDescent="0.2">
      <c r="A142" s="10">
        <v>43700000</v>
      </c>
      <c r="B142" s="10" t="s">
        <v>99</v>
      </c>
      <c r="C142" s="11">
        <v>0</v>
      </c>
      <c r="D142" s="11">
        <v>12</v>
      </c>
      <c r="E142" s="11">
        <v>17</v>
      </c>
      <c r="F142" s="13">
        <f>SUMIF('OD 04-24'!A:A,A142,'OD 04-24'!D:D)</f>
        <v>0</v>
      </c>
      <c r="G142" s="13">
        <f>SUMIF('OD 04-24'!A:A,A142,'OD 04-24'!E:E)</f>
        <v>0</v>
      </c>
      <c r="H142" s="14">
        <f t="shared" si="4"/>
        <v>-5</v>
      </c>
      <c r="I142" s="14">
        <f t="shared" si="5"/>
        <v>-5</v>
      </c>
      <c r="J142" s="8" t="s">
        <v>81</v>
      </c>
      <c r="K142" s="8">
        <v>0</v>
      </c>
      <c r="M142" s="339"/>
      <c r="N142" s="315"/>
    </row>
    <row r="143" spans="1:14" s="9" customFormat="1" ht="11.25" x14ac:dyDescent="0.2">
      <c r="A143" s="10">
        <v>43720000</v>
      </c>
      <c r="B143" s="10" t="s">
        <v>327</v>
      </c>
      <c r="C143" s="11">
        <v>0</v>
      </c>
      <c r="D143" s="11">
        <v>0</v>
      </c>
      <c r="E143" s="11">
        <v>0</v>
      </c>
      <c r="F143" s="13">
        <f>SUMIF('OD 04-24'!A:A,A143,'OD 04-24'!D:D)</f>
        <v>0</v>
      </c>
      <c r="G143" s="13">
        <f>SUMIF('OD 04-24'!A:A,A143,'OD 04-24'!E:E)</f>
        <v>0</v>
      </c>
      <c r="H143" s="14">
        <f t="shared" si="4"/>
        <v>0</v>
      </c>
      <c r="I143" s="14">
        <f t="shared" si="5"/>
        <v>0</v>
      </c>
      <c r="J143" s="8">
        <v>0</v>
      </c>
      <c r="K143" s="8">
        <v>0</v>
      </c>
      <c r="M143" s="339"/>
      <c r="N143" s="315"/>
    </row>
    <row r="144" spans="1:14" s="9" customFormat="1" ht="11.25" x14ac:dyDescent="0.2">
      <c r="A144" s="10">
        <v>43756000</v>
      </c>
      <c r="B144" s="10" t="s">
        <v>328</v>
      </c>
      <c r="C144" s="11">
        <v>0</v>
      </c>
      <c r="D144" s="11">
        <v>0</v>
      </c>
      <c r="E144" s="11">
        <v>0</v>
      </c>
      <c r="F144" s="13">
        <f>SUMIF('OD 04-24'!A:A,A144,'OD 04-24'!D:D)</f>
        <v>0</v>
      </c>
      <c r="G144" s="13">
        <f>SUMIF('OD 04-24'!A:A,A144,'OD 04-24'!E:E)</f>
        <v>0</v>
      </c>
      <c r="H144" s="14">
        <f t="shared" si="4"/>
        <v>0</v>
      </c>
      <c r="I144" s="14">
        <f t="shared" si="5"/>
        <v>0</v>
      </c>
      <c r="J144" s="8">
        <v>0</v>
      </c>
      <c r="K144" s="8">
        <v>0</v>
      </c>
      <c r="M144" s="339"/>
      <c r="N144" s="315"/>
    </row>
    <row r="145" spans="1:14" s="9" customFormat="1" ht="11.25" x14ac:dyDescent="0.2">
      <c r="A145" s="10">
        <v>44100000</v>
      </c>
      <c r="B145" s="10" t="s">
        <v>329</v>
      </c>
      <c r="C145" s="11">
        <v>0</v>
      </c>
      <c r="D145" s="11">
        <v>0</v>
      </c>
      <c r="E145" s="11">
        <v>0</v>
      </c>
      <c r="F145" s="13">
        <f>SUMIF('OD 04-24'!A:A,A145,'OD 04-24'!D:D)</f>
        <v>0</v>
      </c>
      <c r="G145" s="13">
        <f>SUMIF('OD 04-24'!A:A,A145,'OD 04-24'!E:E)</f>
        <v>0</v>
      </c>
      <c r="H145" s="14">
        <f t="shared" si="4"/>
        <v>0</v>
      </c>
      <c r="I145" s="14">
        <f t="shared" si="5"/>
        <v>0</v>
      </c>
      <c r="J145" s="8">
        <v>0</v>
      </c>
      <c r="K145" s="8">
        <v>0</v>
      </c>
      <c r="M145" s="339"/>
      <c r="N145" s="315"/>
    </row>
    <row r="146" spans="1:14" s="9" customFormat="1" ht="11.25" x14ac:dyDescent="0.2">
      <c r="A146" s="10">
        <v>44101000</v>
      </c>
      <c r="B146" s="10" t="s">
        <v>7717</v>
      </c>
      <c r="C146" s="11">
        <v>0</v>
      </c>
      <c r="D146" s="11">
        <v>0</v>
      </c>
      <c r="E146" s="11">
        <v>0</v>
      </c>
      <c r="F146" s="13">
        <f>SUMIF('OD 04-24'!A:A,A146,'OD 04-24'!D:D)</f>
        <v>0</v>
      </c>
      <c r="G146" s="13">
        <f>SUMIF('OD 04-24'!A:A,A146,'OD 04-24'!E:E)</f>
        <v>0</v>
      </c>
      <c r="H146" s="14">
        <f t="shared" si="4"/>
        <v>0</v>
      </c>
      <c r="I146" s="14">
        <f t="shared" si="5"/>
        <v>0</v>
      </c>
      <c r="J146" s="8">
        <v>0</v>
      </c>
      <c r="K146" s="8">
        <v>0</v>
      </c>
      <c r="M146" s="339"/>
      <c r="N146" s="315"/>
    </row>
    <row r="147" spans="1:14" s="9" customFormat="1" ht="11.25" x14ac:dyDescent="0.2">
      <c r="A147" s="10">
        <v>44200000</v>
      </c>
      <c r="B147" s="10" t="s">
        <v>330</v>
      </c>
      <c r="C147" s="11">
        <v>0</v>
      </c>
      <c r="D147" s="11">
        <v>0</v>
      </c>
      <c r="E147" s="11">
        <v>0</v>
      </c>
      <c r="F147" s="13">
        <f>SUMIF('OD 04-24'!A:A,A147,'OD 04-24'!D:D)</f>
        <v>0</v>
      </c>
      <c r="G147" s="13">
        <f>SUMIF('OD 04-24'!A:A,A147,'OD 04-24'!E:E)</f>
        <v>0</v>
      </c>
      <c r="H147" s="14">
        <f t="shared" si="4"/>
        <v>0</v>
      </c>
      <c r="I147" s="14">
        <f t="shared" si="5"/>
        <v>0</v>
      </c>
      <c r="J147" s="8">
        <v>0</v>
      </c>
      <c r="K147" s="8">
        <v>0</v>
      </c>
      <c r="M147" s="339"/>
      <c r="N147" s="315"/>
    </row>
    <row r="148" spans="1:14" s="9" customFormat="1" ht="11.25" x14ac:dyDescent="0.2">
      <c r="A148" s="10">
        <v>44201000</v>
      </c>
      <c r="B148" s="10" t="s">
        <v>331</v>
      </c>
      <c r="C148" s="11">
        <v>44498.300999999978</v>
      </c>
      <c r="D148" s="11">
        <v>0</v>
      </c>
      <c r="E148" s="11">
        <v>44498.302000000003</v>
      </c>
      <c r="F148" s="13">
        <f>SUMIF('OD 04-24'!A:A,A148,'OD 04-24'!D:D)</f>
        <v>0</v>
      </c>
      <c r="G148" s="13">
        <f>SUMIF('OD 04-24'!A:A,A148,'OD 04-24'!E:E)</f>
        <v>0</v>
      </c>
      <c r="H148" s="14">
        <f t="shared" si="4"/>
        <v>-44498.302000000003</v>
      </c>
      <c r="I148" s="14">
        <f t="shared" si="5"/>
        <v>-1.0000000256695785E-3</v>
      </c>
      <c r="J148" s="8" t="s">
        <v>78</v>
      </c>
      <c r="K148" s="8">
        <v>0</v>
      </c>
      <c r="M148" s="339"/>
      <c r="N148" s="315"/>
    </row>
    <row r="149" spans="1:14" s="9" customFormat="1" ht="11.25" x14ac:dyDescent="0.2">
      <c r="A149" s="10">
        <v>44202000</v>
      </c>
      <c r="B149" s="10" t="s">
        <v>332</v>
      </c>
      <c r="C149" s="11">
        <v>0</v>
      </c>
      <c r="D149" s="11">
        <v>0</v>
      </c>
      <c r="E149" s="11">
        <v>0</v>
      </c>
      <c r="F149" s="13">
        <f>SUMIF('OD 04-24'!A:A,A149,'OD 04-24'!D:D)</f>
        <v>0</v>
      </c>
      <c r="G149" s="13">
        <f>SUMIF('OD 04-24'!A:A,A149,'OD 04-24'!E:E)</f>
        <v>0</v>
      </c>
      <c r="H149" s="14">
        <f t="shared" si="4"/>
        <v>0</v>
      </c>
      <c r="I149" s="14">
        <f t="shared" si="5"/>
        <v>0</v>
      </c>
      <c r="J149" s="8">
        <v>0</v>
      </c>
      <c r="K149" s="8">
        <v>0</v>
      </c>
      <c r="M149" s="339"/>
      <c r="N149" s="315"/>
    </row>
    <row r="150" spans="1:14" s="9" customFormat="1" ht="11.25" x14ac:dyDescent="0.2">
      <c r="A150" s="10">
        <v>44203000</v>
      </c>
      <c r="B150" s="10" t="s">
        <v>333</v>
      </c>
      <c r="C150" s="11">
        <v>0</v>
      </c>
      <c r="D150" s="11">
        <v>0</v>
      </c>
      <c r="E150" s="11">
        <v>0</v>
      </c>
      <c r="F150" s="13">
        <f>SUMIF('OD 04-24'!A:A,A150,'OD 04-24'!D:D)</f>
        <v>0</v>
      </c>
      <c r="G150" s="13">
        <f>SUMIF('OD 04-24'!A:A,A150,'OD 04-24'!E:E)</f>
        <v>0</v>
      </c>
      <c r="H150" s="14">
        <f t="shared" si="4"/>
        <v>0</v>
      </c>
      <c r="I150" s="14">
        <f t="shared" si="5"/>
        <v>0</v>
      </c>
      <c r="J150" s="8">
        <v>0</v>
      </c>
      <c r="K150" s="8">
        <v>0</v>
      </c>
      <c r="M150" s="339"/>
      <c r="N150" s="315"/>
    </row>
    <row r="151" spans="1:14" s="9" customFormat="1" ht="11.25" x14ac:dyDescent="0.2">
      <c r="A151" s="10">
        <v>44204000</v>
      </c>
      <c r="B151" s="10" t="s">
        <v>334</v>
      </c>
      <c r="C151" s="11">
        <v>0</v>
      </c>
      <c r="D151" s="11">
        <v>0</v>
      </c>
      <c r="E151" s="11">
        <v>0</v>
      </c>
      <c r="F151" s="13">
        <f>SUMIF('OD 04-24'!A:A,A151,'OD 04-24'!D:D)</f>
        <v>0</v>
      </c>
      <c r="G151" s="13">
        <f>SUMIF('OD 04-24'!A:A,A151,'OD 04-24'!E:E)</f>
        <v>0</v>
      </c>
      <c r="H151" s="14">
        <f t="shared" si="4"/>
        <v>0</v>
      </c>
      <c r="I151" s="14">
        <f t="shared" si="5"/>
        <v>0</v>
      </c>
      <c r="J151" s="8">
        <v>0</v>
      </c>
      <c r="K151" s="8">
        <v>0</v>
      </c>
      <c r="M151" s="339"/>
      <c r="N151" s="315"/>
    </row>
    <row r="152" spans="1:14" s="9" customFormat="1" ht="11.25" x14ac:dyDescent="0.2">
      <c r="A152" s="10">
        <v>44205000</v>
      </c>
      <c r="B152" s="10" t="s">
        <v>335</v>
      </c>
      <c r="C152" s="11">
        <v>0</v>
      </c>
      <c r="D152" s="11">
        <v>0</v>
      </c>
      <c r="E152" s="11">
        <v>0</v>
      </c>
      <c r="F152" s="13">
        <f>SUMIF('OD 04-24'!A:A,A152,'OD 04-24'!D:D)</f>
        <v>0</v>
      </c>
      <c r="G152" s="13">
        <f>SUMIF('OD 04-24'!A:A,A152,'OD 04-24'!E:E)</f>
        <v>0</v>
      </c>
      <c r="H152" s="14">
        <f t="shared" si="4"/>
        <v>0</v>
      </c>
      <c r="I152" s="14">
        <f t="shared" si="5"/>
        <v>0</v>
      </c>
      <c r="J152" s="8">
        <v>0</v>
      </c>
      <c r="K152" s="8">
        <v>0</v>
      </c>
      <c r="M152" s="339"/>
      <c r="N152" s="315"/>
    </row>
    <row r="153" spans="1:14" s="9" customFormat="1" ht="11.25" x14ac:dyDescent="0.2">
      <c r="A153" s="10">
        <v>44206000</v>
      </c>
      <c r="B153" s="10" t="s">
        <v>100</v>
      </c>
      <c r="C153" s="11">
        <v>-439999.99999999988</v>
      </c>
      <c r="D153" s="11">
        <v>45000</v>
      </c>
      <c r="E153" s="11">
        <v>0</v>
      </c>
      <c r="F153" s="13">
        <f>SUMIF('OD 04-24'!A:A,A153,'OD 04-24'!D:D)</f>
        <v>0</v>
      </c>
      <c r="G153" s="13">
        <f>SUMIF('OD 04-24'!A:A,A153,'OD 04-24'!E:E)</f>
        <v>0</v>
      </c>
      <c r="H153" s="14">
        <f t="shared" si="4"/>
        <v>45000</v>
      </c>
      <c r="I153" s="14">
        <f t="shared" si="5"/>
        <v>-394999.99999999988</v>
      </c>
      <c r="J153" s="8" t="s">
        <v>81</v>
      </c>
      <c r="K153" s="8">
        <v>0</v>
      </c>
      <c r="M153" s="339"/>
      <c r="N153" s="315"/>
    </row>
    <row r="154" spans="1:14" s="9" customFormat="1" ht="11.25" x14ac:dyDescent="0.2">
      <c r="A154" s="10">
        <v>44207000</v>
      </c>
      <c r="B154" s="10" t="s">
        <v>336</v>
      </c>
      <c r="C154" s="11">
        <v>165000</v>
      </c>
      <c r="D154" s="11">
        <v>40000</v>
      </c>
      <c r="E154" s="11">
        <v>0</v>
      </c>
      <c r="F154" s="13">
        <f>SUMIF('OD 04-24'!A:A,A154,'OD 04-24'!D:D)</f>
        <v>0</v>
      </c>
      <c r="G154" s="13">
        <f>SUMIF('OD 04-24'!A:A,A154,'OD 04-24'!E:E)</f>
        <v>0</v>
      </c>
      <c r="H154" s="14">
        <f t="shared" si="4"/>
        <v>40000</v>
      </c>
      <c r="I154" s="14">
        <f t="shared" si="5"/>
        <v>205000</v>
      </c>
      <c r="J154" s="8" t="s">
        <v>78</v>
      </c>
      <c r="K154" s="8">
        <v>0</v>
      </c>
      <c r="M154" s="339"/>
      <c r="N154" s="315"/>
    </row>
    <row r="155" spans="1:14" s="9" customFormat="1" ht="11.25" x14ac:dyDescent="0.2">
      <c r="A155" s="10">
        <v>44208000</v>
      </c>
      <c r="B155" s="10" t="s">
        <v>337</v>
      </c>
      <c r="C155" s="11">
        <v>2270.971</v>
      </c>
      <c r="D155" s="11">
        <v>0</v>
      </c>
      <c r="E155" s="11">
        <v>0</v>
      </c>
      <c r="F155" s="13">
        <f>SUMIF('OD 04-24'!A:A,A155,'OD 04-24'!D:D)</f>
        <v>0</v>
      </c>
      <c r="G155" s="13">
        <f>SUMIF('OD 04-24'!A:A,A155,'OD 04-24'!E:E)</f>
        <v>0</v>
      </c>
      <c r="H155" s="14">
        <f t="shared" si="4"/>
        <v>0</v>
      </c>
      <c r="I155" s="14">
        <f t="shared" si="5"/>
        <v>2270.971</v>
      </c>
      <c r="J155" s="8" t="s">
        <v>78</v>
      </c>
      <c r="K155" s="8">
        <v>0</v>
      </c>
      <c r="M155" s="339"/>
      <c r="N155" s="315"/>
    </row>
    <row r="156" spans="1:14" s="9" customFormat="1" ht="11.25" x14ac:dyDescent="0.2">
      <c r="A156" s="10">
        <v>44209000</v>
      </c>
      <c r="B156" s="10" t="s">
        <v>392</v>
      </c>
      <c r="C156" s="11">
        <v>3626.8820000002161</v>
      </c>
      <c r="D156" s="11">
        <v>0</v>
      </c>
      <c r="E156" s="11">
        <v>0</v>
      </c>
      <c r="F156" s="13">
        <f>SUMIF('OD 04-24'!A:A,A156,'OD 04-24'!D:D)</f>
        <v>0</v>
      </c>
      <c r="G156" s="13">
        <f>SUMIF('OD 04-24'!A:A,A156,'OD 04-24'!E:E)</f>
        <v>0</v>
      </c>
      <c r="H156" s="14">
        <f t="shared" si="4"/>
        <v>0</v>
      </c>
      <c r="I156" s="14">
        <f t="shared" si="5"/>
        <v>3626.8820000002161</v>
      </c>
      <c r="J156" s="8" t="s">
        <v>78</v>
      </c>
      <c r="K156" s="8">
        <v>0</v>
      </c>
      <c r="M156" s="339"/>
      <c r="N156" s="315"/>
    </row>
    <row r="157" spans="1:14" s="9" customFormat="1" ht="11.25" x14ac:dyDescent="0.2">
      <c r="A157" s="10">
        <v>44210000</v>
      </c>
      <c r="B157" s="10" t="s">
        <v>338</v>
      </c>
      <c r="C157" s="11">
        <v>0</v>
      </c>
      <c r="D157" s="11">
        <v>0</v>
      </c>
      <c r="E157" s="11">
        <v>0</v>
      </c>
      <c r="F157" s="13">
        <f>SUMIF('OD 04-24'!A:A,A157,'OD 04-24'!D:D)</f>
        <v>0</v>
      </c>
      <c r="G157" s="13">
        <f>SUMIF('OD 04-24'!A:A,A157,'OD 04-24'!E:E)</f>
        <v>0</v>
      </c>
      <c r="H157" s="14">
        <f t="shared" si="4"/>
        <v>0</v>
      </c>
      <c r="I157" s="14">
        <f t="shared" si="5"/>
        <v>0</v>
      </c>
      <c r="J157" s="8">
        <v>0</v>
      </c>
      <c r="K157" s="8">
        <v>0</v>
      </c>
      <c r="M157" s="339"/>
      <c r="N157" s="315"/>
    </row>
    <row r="158" spans="1:14" s="9" customFormat="1" ht="11.25" x14ac:dyDescent="0.2">
      <c r="A158" s="10">
        <v>44600000</v>
      </c>
      <c r="B158" s="10" t="s">
        <v>339</v>
      </c>
      <c r="C158" s="11">
        <v>0</v>
      </c>
      <c r="D158" s="11">
        <v>0</v>
      </c>
      <c r="E158" s="11">
        <v>0</v>
      </c>
      <c r="F158" s="13">
        <f>SUMIF('OD 04-24'!A:A,A158,'OD 04-24'!D:D)</f>
        <v>0</v>
      </c>
      <c r="G158" s="13">
        <f>SUMIF('OD 04-24'!A:A,A158,'OD 04-24'!E:E)</f>
        <v>0</v>
      </c>
      <c r="H158" s="14">
        <f t="shared" si="4"/>
        <v>0</v>
      </c>
      <c r="I158" s="14">
        <f t="shared" si="5"/>
        <v>0</v>
      </c>
      <c r="J158" s="8">
        <v>0</v>
      </c>
      <c r="K158" s="8">
        <v>0</v>
      </c>
      <c r="M158" s="339"/>
      <c r="N158" s="315"/>
    </row>
    <row r="159" spans="1:14" s="9" customFormat="1" ht="11.25" x14ac:dyDescent="0.2">
      <c r="A159" s="10">
        <v>44700000</v>
      </c>
      <c r="B159" s="10" t="s">
        <v>101</v>
      </c>
      <c r="C159" s="11">
        <v>0</v>
      </c>
      <c r="D159" s="11">
        <v>0</v>
      </c>
      <c r="E159" s="11">
        <v>0</v>
      </c>
      <c r="F159" s="13">
        <f>SUMIF('OD 04-24'!A:A,A159,'OD 04-24'!D:D)</f>
        <v>0</v>
      </c>
      <c r="G159" s="13">
        <f>SUMIF('OD 04-24'!A:A,A159,'OD 04-24'!E:E)</f>
        <v>0</v>
      </c>
      <c r="H159" s="14">
        <f t="shared" si="4"/>
        <v>0</v>
      </c>
      <c r="I159" s="14">
        <f t="shared" si="5"/>
        <v>0</v>
      </c>
      <c r="J159" s="8">
        <v>0</v>
      </c>
      <c r="K159" s="8">
        <v>0</v>
      </c>
      <c r="M159" s="339"/>
      <c r="N159" s="315"/>
    </row>
    <row r="160" spans="1:14" s="9" customFormat="1" ht="11.25" x14ac:dyDescent="0.2">
      <c r="A160" s="10">
        <v>45000000</v>
      </c>
      <c r="B160" s="10" t="s">
        <v>102</v>
      </c>
      <c r="C160" s="11">
        <v>-12700</v>
      </c>
      <c r="D160" s="11">
        <v>0</v>
      </c>
      <c r="E160" s="11">
        <v>0</v>
      </c>
      <c r="F160" s="13">
        <f>SUMIF('OD 04-24'!A:A,A160,'OD 04-24'!D:D)</f>
        <v>0</v>
      </c>
      <c r="G160" s="13">
        <f>SUMIF('OD 04-24'!A:A,A160,'OD 04-24'!E:E)</f>
        <v>0</v>
      </c>
      <c r="H160" s="14">
        <f t="shared" si="4"/>
        <v>0</v>
      </c>
      <c r="I160" s="14">
        <f t="shared" si="5"/>
        <v>-12700</v>
      </c>
      <c r="J160" s="8" t="s">
        <v>81</v>
      </c>
      <c r="K160" s="8">
        <v>0</v>
      </c>
      <c r="M160" s="339"/>
      <c r="N160" s="315"/>
    </row>
    <row r="161" spans="1:14" s="9" customFormat="1" ht="11.25" x14ac:dyDescent="0.2">
      <c r="A161" s="10">
        <v>45200000</v>
      </c>
      <c r="B161" s="10" t="s">
        <v>103</v>
      </c>
      <c r="C161" s="11">
        <v>-2500</v>
      </c>
      <c r="D161" s="11">
        <v>56000</v>
      </c>
      <c r="E161" s="11">
        <v>56000</v>
      </c>
      <c r="F161" s="13">
        <f>SUMIF('OD 04-24'!A:A,A161,'OD 04-24'!D:D)</f>
        <v>0</v>
      </c>
      <c r="G161" s="13">
        <f>SUMIF('OD 04-24'!A:A,A161,'OD 04-24'!E:E)</f>
        <v>0</v>
      </c>
      <c r="H161" s="14">
        <f t="shared" si="4"/>
        <v>0</v>
      </c>
      <c r="I161" s="14">
        <f t="shared" si="5"/>
        <v>-2500</v>
      </c>
      <c r="J161" s="8" t="s">
        <v>81</v>
      </c>
      <c r="K161" s="8">
        <v>0</v>
      </c>
      <c r="M161" s="339"/>
      <c r="N161" s="315"/>
    </row>
    <row r="162" spans="1:14" s="9" customFormat="1" ht="11.25" x14ac:dyDescent="0.2">
      <c r="A162" s="10">
        <v>45310000</v>
      </c>
      <c r="B162" s="10" t="s">
        <v>104</v>
      </c>
      <c r="C162" s="11">
        <v>-244010.37100000028</v>
      </c>
      <c r="D162" s="11">
        <v>500113.12299999996</v>
      </c>
      <c r="E162" s="11">
        <v>279167.22700000001</v>
      </c>
      <c r="F162" s="13">
        <f>SUMIF('OD 04-24'!A:A,A162,'OD 04-24'!D:D)</f>
        <v>259121.71799999999</v>
      </c>
      <c r="G162" s="13">
        <f>SUMIF('OD 04-24'!A:A,A162,'OD 04-24'!E:E)</f>
        <v>302670.05</v>
      </c>
      <c r="H162" s="14">
        <f t="shared" si="4"/>
        <v>177397.56400000001</v>
      </c>
      <c r="I162" s="14">
        <f t="shared" si="5"/>
        <v>-66612.807000000263</v>
      </c>
      <c r="J162" s="8" t="s">
        <v>81</v>
      </c>
      <c r="K162" s="8">
        <v>0</v>
      </c>
      <c r="M162" s="339"/>
      <c r="N162" s="315"/>
    </row>
    <row r="163" spans="1:14" s="9" customFormat="1" ht="11.25" x14ac:dyDescent="0.2">
      <c r="A163" s="10">
        <v>45700000</v>
      </c>
      <c r="B163" s="10" t="s">
        <v>105</v>
      </c>
      <c r="C163" s="11">
        <v>7122.9679999998771</v>
      </c>
      <c r="D163" s="11">
        <v>0</v>
      </c>
      <c r="E163" s="11">
        <v>0</v>
      </c>
      <c r="F163" s="13">
        <f>SUMIF('OD 04-24'!A:A,A163,'OD 04-24'!D:D)</f>
        <v>0</v>
      </c>
      <c r="G163" s="13">
        <f>SUMIF('OD 04-24'!A:A,A163,'OD 04-24'!E:E)</f>
        <v>0</v>
      </c>
      <c r="H163" s="14">
        <f t="shared" si="4"/>
        <v>0</v>
      </c>
      <c r="I163" s="14">
        <f t="shared" si="5"/>
        <v>7122.9679999998771</v>
      </c>
      <c r="J163" s="8" t="s">
        <v>78</v>
      </c>
      <c r="K163" s="8">
        <v>0</v>
      </c>
      <c r="M163" s="339"/>
      <c r="N163" s="315"/>
    </row>
    <row r="164" spans="1:14" s="9" customFormat="1" ht="11.25" x14ac:dyDescent="0.2">
      <c r="A164" s="10">
        <v>45860000</v>
      </c>
      <c r="B164" s="10" t="s">
        <v>106</v>
      </c>
      <c r="C164" s="11">
        <v>-1872970.182</v>
      </c>
      <c r="D164" s="11">
        <v>841594.21200000006</v>
      </c>
      <c r="E164" s="11">
        <v>1686.6510000000003</v>
      </c>
      <c r="F164" s="13">
        <f>SUMIF('OD 04-24'!A:A,A164,'OD 04-24'!D:D)</f>
        <v>2291790.7999999998</v>
      </c>
      <c r="G164" s="13">
        <f>SUMIF('OD 04-24'!A:A,A164,'OD 04-24'!E:E)</f>
        <v>3224365.6889999998</v>
      </c>
      <c r="H164" s="14">
        <f t="shared" si="4"/>
        <v>-92667.327999999747</v>
      </c>
      <c r="I164" s="14">
        <f t="shared" si="5"/>
        <v>-1965637.5099999998</v>
      </c>
      <c r="J164" s="8" t="s">
        <v>81</v>
      </c>
      <c r="K164" s="8">
        <v>0</v>
      </c>
      <c r="M164" s="339"/>
      <c r="N164" s="315"/>
    </row>
    <row r="165" spans="1:14" s="9" customFormat="1" ht="11.25" x14ac:dyDescent="0.2">
      <c r="A165" s="10">
        <v>45870000</v>
      </c>
      <c r="B165" s="10" t="s">
        <v>107</v>
      </c>
      <c r="C165" s="11">
        <v>38770.517999999225</v>
      </c>
      <c r="D165" s="11">
        <v>0</v>
      </c>
      <c r="E165" s="11">
        <v>0</v>
      </c>
      <c r="F165" s="13">
        <f>SUMIF('OD 04-24'!A:A,A165,'OD 04-24'!D:D)</f>
        <v>32424.53</v>
      </c>
      <c r="G165" s="13">
        <f>SUMIF('OD 04-24'!A:A,A165,'OD 04-24'!E:E)</f>
        <v>19454.718000000001</v>
      </c>
      <c r="H165" s="14">
        <f t="shared" si="4"/>
        <v>12969.811999999998</v>
      </c>
      <c r="I165" s="14">
        <f t="shared" si="5"/>
        <v>51740.329999999223</v>
      </c>
      <c r="J165" s="8" t="s">
        <v>78</v>
      </c>
      <c r="K165" s="8">
        <v>0</v>
      </c>
      <c r="M165" s="339"/>
      <c r="N165" s="315"/>
    </row>
    <row r="166" spans="1:14" s="9" customFormat="1" ht="11.25" x14ac:dyDescent="0.2">
      <c r="A166" s="10">
        <v>46100000</v>
      </c>
      <c r="B166" s="10" t="s">
        <v>340</v>
      </c>
      <c r="C166" s="11">
        <v>0</v>
      </c>
      <c r="D166" s="11">
        <v>0</v>
      </c>
      <c r="E166" s="11">
        <v>0</v>
      </c>
      <c r="F166" s="13">
        <f>SUMIF('OD 04-24'!A:A,A166,'OD 04-24'!D:D)</f>
        <v>0</v>
      </c>
      <c r="G166" s="13">
        <f>SUMIF('OD 04-24'!A:A,A166,'OD 04-24'!E:E)</f>
        <v>0</v>
      </c>
      <c r="H166" s="14">
        <f t="shared" si="4"/>
        <v>0</v>
      </c>
      <c r="I166" s="14">
        <f t="shared" si="5"/>
        <v>0</v>
      </c>
      <c r="J166" s="8">
        <v>0</v>
      </c>
      <c r="K166" s="8">
        <v>0</v>
      </c>
      <c r="M166" s="339"/>
      <c r="N166" s="315"/>
    </row>
    <row r="167" spans="1:14" s="9" customFormat="1" ht="11.25" x14ac:dyDescent="0.2">
      <c r="A167" s="10">
        <v>46800000</v>
      </c>
      <c r="B167" s="10" t="s">
        <v>108</v>
      </c>
      <c r="C167" s="11">
        <v>0</v>
      </c>
      <c r="D167" s="11">
        <v>0</v>
      </c>
      <c r="E167" s="11">
        <v>0</v>
      </c>
      <c r="F167" s="13">
        <f>SUMIF('OD 04-24'!A:A,A167,'OD 04-24'!D:D)</f>
        <v>0</v>
      </c>
      <c r="G167" s="13">
        <f>SUMIF('OD 04-24'!A:A,A167,'OD 04-24'!E:E)</f>
        <v>0</v>
      </c>
      <c r="H167" s="14">
        <f t="shared" si="4"/>
        <v>0</v>
      </c>
      <c r="I167" s="14">
        <f t="shared" si="5"/>
        <v>0</v>
      </c>
      <c r="J167" s="8">
        <v>0</v>
      </c>
      <c r="K167" s="8">
        <v>0</v>
      </c>
      <c r="M167" s="339"/>
      <c r="N167" s="315"/>
    </row>
    <row r="168" spans="1:14" s="9" customFormat="1" ht="11.25" x14ac:dyDescent="0.2">
      <c r="A168" s="10">
        <v>47100000</v>
      </c>
      <c r="B168" s="10" t="s">
        <v>109</v>
      </c>
      <c r="C168" s="11">
        <v>319255.08584599965</v>
      </c>
      <c r="D168" s="11">
        <v>0</v>
      </c>
      <c r="E168" s="11">
        <v>213018.15100000001</v>
      </c>
      <c r="F168" s="13">
        <f>SUMIF('OD 04-24'!A:A,A168,'OD 04-24'!D:D)</f>
        <v>760687.26800000004</v>
      </c>
      <c r="G168" s="13">
        <f>SUMIF('OD 04-24'!A:A,A168,'OD 04-24'!E:E)</f>
        <v>606235.50899999996</v>
      </c>
      <c r="H168" s="14">
        <f t="shared" si="4"/>
        <v>-58566.391999999876</v>
      </c>
      <c r="I168" s="14">
        <f t="shared" si="5"/>
        <v>260688.69384599978</v>
      </c>
      <c r="J168" s="8" t="s">
        <v>78</v>
      </c>
      <c r="K168" s="8">
        <v>0</v>
      </c>
      <c r="M168" s="339"/>
      <c r="N168" s="315"/>
    </row>
    <row r="169" spans="1:14" s="9" customFormat="1" ht="11.25" x14ac:dyDescent="0.2">
      <c r="A169" s="10">
        <v>47200000</v>
      </c>
      <c r="B169" s="10" t="s">
        <v>341</v>
      </c>
      <c r="C169" s="11">
        <v>0</v>
      </c>
      <c r="D169" s="11">
        <v>0</v>
      </c>
      <c r="E169" s="11">
        <v>0</v>
      </c>
      <c r="F169" s="13">
        <f>SUMIF('OD 04-24'!A:A,A169,'OD 04-24'!D:D)</f>
        <v>0</v>
      </c>
      <c r="G169" s="13">
        <f>SUMIF('OD 04-24'!A:A,A169,'OD 04-24'!E:E)</f>
        <v>0</v>
      </c>
      <c r="H169" s="14">
        <f t="shared" si="4"/>
        <v>0</v>
      </c>
      <c r="I169" s="14">
        <f t="shared" si="5"/>
        <v>0</v>
      </c>
      <c r="J169" s="8">
        <v>0</v>
      </c>
      <c r="K169" s="8">
        <v>0</v>
      </c>
      <c r="M169" s="339"/>
      <c r="N169" s="315"/>
    </row>
    <row r="170" spans="1:14" s="9" customFormat="1" ht="11.25" x14ac:dyDescent="0.2">
      <c r="A170" s="10">
        <v>49100000</v>
      </c>
      <c r="B170" s="10" t="s">
        <v>110</v>
      </c>
      <c r="C170" s="11">
        <v>-457129.14999999991</v>
      </c>
      <c r="D170" s="11">
        <v>0</v>
      </c>
      <c r="E170" s="11">
        <v>0</v>
      </c>
      <c r="F170" s="13">
        <f>SUMIF('OD 04-24'!A:A,A170,'OD 04-24'!D:D)</f>
        <v>200000</v>
      </c>
      <c r="G170" s="13">
        <f>SUMIF('OD 04-24'!A:A,A170,'OD 04-24'!E:E)</f>
        <v>400000</v>
      </c>
      <c r="H170" s="14">
        <f t="shared" si="4"/>
        <v>-200000</v>
      </c>
      <c r="I170" s="14">
        <f t="shared" si="5"/>
        <v>-657129.14999999991</v>
      </c>
      <c r="J170" s="8" t="s">
        <v>111</v>
      </c>
      <c r="K170" s="8">
        <v>0</v>
      </c>
      <c r="M170" s="339"/>
      <c r="N170" s="315"/>
    </row>
    <row r="171" spans="1:14" s="9" customFormat="1" ht="11.25" x14ac:dyDescent="0.2">
      <c r="A171" s="10">
        <v>49600000</v>
      </c>
      <c r="B171" s="10" t="s">
        <v>112</v>
      </c>
      <c r="C171" s="11">
        <v>-288613.68499999994</v>
      </c>
      <c r="D171" s="11">
        <v>0</v>
      </c>
      <c r="E171" s="11">
        <v>0</v>
      </c>
      <c r="F171" s="13">
        <f>SUMIF('OD 04-24'!A:A,A171,'OD 04-24'!D:D)</f>
        <v>0</v>
      </c>
      <c r="G171" s="13">
        <f>SUMIF('OD 04-24'!A:A,A171,'OD 04-24'!E:E)</f>
        <v>0</v>
      </c>
      <c r="H171" s="14">
        <f t="shared" si="4"/>
        <v>0</v>
      </c>
      <c r="I171" s="14">
        <f t="shared" si="5"/>
        <v>-288613.68499999994</v>
      </c>
      <c r="J171" s="8" t="s">
        <v>113</v>
      </c>
      <c r="K171" s="8">
        <v>0</v>
      </c>
      <c r="M171" s="339"/>
      <c r="N171" s="315"/>
    </row>
    <row r="172" spans="1:14" s="9" customFormat="1" ht="11.25" x14ac:dyDescent="0.2">
      <c r="A172" s="10">
        <v>50130000</v>
      </c>
      <c r="B172" s="10" t="s">
        <v>114</v>
      </c>
      <c r="C172" s="11">
        <v>-6000000</v>
      </c>
      <c r="D172" s="11">
        <v>6000000</v>
      </c>
      <c r="E172" s="11">
        <v>6000000</v>
      </c>
      <c r="F172" s="13">
        <f>SUMIF('OD 04-24'!A:A,A172,'OD 04-24'!D:D)</f>
        <v>0</v>
      </c>
      <c r="G172" s="13">
        <f>SUMIF('OD 04-24'!A:A,A172,'OD 04-24'!E:E)</f>
        <v>0</v>
      </c>
      <c r="H172" s="14">
        <f t="shared" si="4"/>
        <v>0</v>
      </c>
      <c r="I172" s="14">
        <f t="shared" si="5"/>
        <v>-6000000</v>
      </c>
      <c r="J172" s="8" t="s">
        <v>115</v>
      </c>
      <c r="K172" s="8">
        <v>0</v>
      </c>
      <c r="M172" s="339"/>
      <c r="N172" s="315"/>
    </row>
    <row r="173" spans="1:14" s="9" customFormat="1" ht="11.25" x14ac:dyDescent="0.2">
      <c r="A173" s="10">
        <v>50140000</v>
      </c>
      <c r="B173" s="10" t="s">
        <v>116</v>
      </c>
      <c r="C173" s="11">
        <v>-4000000</v>
      </c>
      <c r="D173" s="11">
        <v>4000000</v>
      </c>
      <c r="E173" s="11">
        <v>4000000</v>
      </c>
      <c r="F173" s="13">
        <f>SUMIF('OD 04-24'!A:A,A173,'OD 04-24'!D:D)</f>
        <v>0</v>
      </c>
      <c r="G173" s="13">
        <f>SUMIF('OD 04-24'!A:A,A173,'OD 04-24'!E:E)</f>
        <v>0</v>
      </c>
      <c r="H173" s="14">
        <f t="shared" si="4"/>
        <v>0</v>
      </c>
      <c r="I173" s="14">
        <f t="shared" si="5"/>
        <v>-4000000</v>
      </c>
      <c r="J173" s="8" t="s">
        <v>115</v>
      </c>
      <c r="K173" s="8">
        <v>0</v>
      </c>
      <c r="M173" s="339"/>
      <c r="N173" s="315"/>
    </row>
    <row r="174" spans="1:14" s="9" customFormat="1" ht="11.25" x14ac:dyDescent="0.2">
      <c r="A174" s="10">
        <v>50500000</v>
      </c>
      <c r="B174" s="10" t="s">
        <v>117</v>
      </c>
      <c r="C174" s="11">
        <v>-625000.00400000252</v>
      </c>
      <c r="D174" s="11">
        <v>312500</v>
      </c>
      <c r="E174" s="11">
        <v>0</v>
      </c>
      <c r="F174" s="13">
        <f>SUMIF('OD 04-24'!A:A,A174,'OD 04-24'!D:D)</f>
        <v>0</v>
      </c>
      <c r="G174" s="13">
        <f>SUMIF('OD 04-24'!A:A,A174,'OD 04-24'!E:E)</f>
        <v>0</v>
      </c>
      <c r="H174" s="14">
        <f t="shared" si="4"/>
        <v>312500</v>
      </c>
      <c r="I174" s="14">
        <f t="shared" si="5"/>
        <v>-312500.00400000252</v>
      </c>
      <c r="J174" s="8" t="s">
        <v>115</v>
      </c>
      <c r="K174" s="8">
        <v>0</v>
      </c>
      <c r="M174" s="339"/>
      <c r="N174" s="315"/>
    </row>
    <row r="175" spans="1:14" s="9" customFormat="1" ht="11.25" x14ac:dyDescent="0.2">
      <c r="A175" s="10">
        <v>50515000</v>
      </c>
      <c r="B175" s="10" t="s">
        <v>118</v>
      </c>
      <c r="C175" s="11">
        <v>-131871.57899999991</v>
      </c>
      <c r="D175" s="11">
        <v>75609.649000000005</v>
      </c>
      <c r="E175" s="11">
        <v>177069.25399999999</v>
      </c>
      <c r="F175" s="13">
        <f>SUMIF('OD 04-24'!A:A,A175,'OD 04-24'!D:D)</f>
        <v>0</v>
      </c>
      <c r="G175" s="13">
        <f>SUMIF('OD 04-24'!A:A,A175,'OD 04-24'!E:E)</f>
        <v>0</v>
      </c>
      <c r="H175" s="14">
        <f t="shared" si="4"/>
        <v>-101459.60499999998</v>
      </c>
      <c r="I175" s="14">
        <f t="shared" si="5"/>
        <v>-233331.18399999989</v>
      </c>
      <c r="J175" s="8" t="s">
        <v>115</v>
      </c>
      <c r="K175" s="8">
        <v>0</v>
      </c>
      <c r="M175" s="339"/>
      <c r="N175" s="315"/>
    </row>
    <row r="176" spans="1:14" s="9" customFormat="1" ht="11.25" x14ac:dyDescent="0.2">
      <c r="A176" s="10">
        <v>50610100</v>
      </c>
      <c r="B176" s="10" t="s">
        <v>342</v>
      </c>
      <c r="C176" s="11">
        <v>0</v>
      </c>
      <c r="D176" s="11">
        <v>0</v>
      </c>
      <c r="E176" s="11">
        <v>0</v>
      </c>
      <c r="F176" s="13">
        <f>SUMIF('OD 04-24'!A:A,A176,'OD 04-24'!D:D)</f>
        <v>0</v>
      </c>
      <c r="G176" s="13">
        <f>SUMIF('OD 04-24'!A:A,A176,'OD 04-24'!E:E)</f>
        <v>0</v>
      </c>
      <c r="H176" s="14">
        <f t="shared" si="4"/>
        <v>0</v>
      </c>
      <c r="I176" s="14">
        <f t="shared" si="5"/>
        <v>0</v>
      </c>
      <c r="J176" s="8">
        <v>0</v>
      </c>
      <c r="K176" s="8">
        <v>0</v>
      </c>
      <c r="M176" s="339"/>
      <c r="N176" s="315"/>
    </row>
    <row r="177" spans="1:14" s="9" customFormat="1" ht="11.25" x14ac:dyDescent="0.2">
      <c r="A177" s="10">
        <v>50610900</v>
      </c>
      <c r="B177" s="10" t="s">
        <v>119</v>
      </c>
      <c r="C177" s="11">
        <v>-1347864.9606235027</v>
      </c>
      <c r="D177" s="11">
        <v>1359732.8840000001</v>
      </c>
      <c r="E177" s="11">
        <v>11867.923000000001</v>
      </c>
      <c r="F177" s="13">
        <f>SUMIF('OD 04-24'!A:A,A177,'OD 04-24'!D:D)</f>
        <v>0</v>
      </c>
      <c r="G177" s="13">
        <f>SUMIF('OD 04-24'!A:A,A177,'OD 04-24'!E:E)</f>
        <v>0</v>
      </c>
      <c r="H177" s="14">
        <f t="shared" si="4"/>
        <v>1347864.9610000001</v>
      </c>
      <c r="I177" s="14">
        <f t="shared" si="5"/>
        <v>3.7649739533662796E-4</v>
      </c>
      <c r="J177" s="8" t="s">
        <v>115</v>
      </c>
      <c r="K177" s="8">
        <v>0</v>
      </c>
      <c r="M177" s="339"/>
      <c r="N177" s="315"/>
    </row>
    <row r="178" spans="1:14" s="9" customFormat="1" ht="11.25" x14ac:dyDescent="0.2">
      <c r="A178" s="10">
        <v>50630000</v>
      </c>
      <c r="B178" s="10" t="s">
        <v>343</v>
      </c>
      <c r="C178" s="11">
        <v>-443000</v>
      </c>
      <c r="D178" s="11">
        <v>443000</v>
      </c>
      <c r="E178" s="11">
        <v>0</v>
      </c>
      <c r="F178" s="13">
        <f>SUMIF('OD 04-24'!A:A,A178,'OD 04-24'!D:D)</f>
        <v>0</v>
      </c>
      <c r="G178" s="13">
        <f>SUMIF('OD 04-24'!A:A,A178,'OD 04-24'!E:E)</f>
        <v>0</v>
      </c>
      <c r="H178" s="14">
        <f t="shared" si="4"/>
        <v>443000</v>
      </c>
      <c r="I178" s="14">
        <f t="shared" si="5"/>
        <v>0</v>
      </c>
      <c r="J178" s="8" t="s">
        <v>115</v>
      </c>
      <c r="K178" s="8">
        <v>0</v>
      </c>
      <c r="M178" s="339"/>
      <c r="N178" s="315"/>
    </row>
    <row r="179" spans="1:14" s="9" customFormat="1" ht="11.25" x14ac:dyDescent="0.2">
      <c r="A179" s="10">
        <v>50800000</v>
      </c>
      <c r="B179" s="10" t="s">
        <v>344</v>
      </c>
      <c r="C179" s="11">
        <v>-31533.957000000002</v>
      </c>
      <c r="D179" s="11">
        <v>0</v>
      </c>
      <c r="E179" s="11">
        <v>0</v>
      </c>
      <c r="F179" s="13">
        <f>SUMIF('OD 04-24'!A:A,A179,'OD 04-24'!D:D)</f>
        <v>0</v>
      </c>
      <c r="G179" s="13">
        <f>SUMIF('OD 04-24'!A:A,A179,'OD 04-24'!E:E)</f>
        <v>0</v>
      </c>
      <c r="H179" s="14">
        <f t="shared" si="4"/>
        <v>0</v>
      </c>
      <c r="I179" s="14">
        <f t="shared" si="5"/>
        <v>-31533.957000000002</v>
      </c>
      <c r="J179" s="8" t="s">
        <v>115</v>
      </c>
      <c r="K179" s="8">
        <v>0</v>
      </c>
      <c r="M179" s="339"/>
      <c r="N179" s="315"/>
    </row>
    <row r="180" spans="1:14" s="9" customFormat="1" ht="11.25" x14ac:dyDescent="0.2">
      <c r="A180" s="10">
        <v>52000000</v>
      </c>
      <c r="B180" s="10" t="s">
        <v>345</v>
      </c>
      <c r="C180" s="11">
        <v>0</v>
      </c>
      <c r="D180" s="11">
        <v>0</v>
      </c>
      <c r="E180" s="11">
        <v>0</v>
      </c>
      <c r="F180" s="13">
        <f>SUMIF('OD 04-24'!A:A,A180,'OD 04-24'!D:D)</f>
        <v>0</v>
      </c>
      <c r="G180" s="13">
        <f>SUMIF('OD 04-24'!A:A,A180,'OD 04-24'!E:E)</f>
        <v>0</v>
      </c>
      <c r="H180" s="14">
        <f t="shared" si="4"/>
        <v>0</v>
      </c>
      <c r="I180" s="14">
        <f t="shared" si="5"/>
        <v>0</v>
      </c>
      <c r="J180" s="8">
        <v>0</v>
      </c>
      <c r="K180" s="8">
        <v>0</v>
      </c>
      <c r="M180" s="339"/>
      <c r="N180" s="315"/>
    </row>
    <row r="181" spans="1:14" s="9" customFormat="1" ht="11.25" x14ac:dyDescent="0.2">
      <c r="A181" s="10">
        <v>52001100</v>
      </c>
      <c r="B181" s="10" t="s">
        <v>346</v>
      </c>
      <c r="C181" s="11">
        <v>0</v>
      </c>
      <c r="D181" s="11">
        <v>0</v>
      </c>
      <c r="E181" s="11">
        <v>0</v>
      </c>
      <c r="F181" s="13">
        <f>SUMIF('OD 04-24'!A:A,A181,'OD 04-24'!D:D)</f>
        <v>0</v>
      </c>
      <c r="G181" s="13">
        <f>SUMIF('OD 04-24'!A:A,A181,'OD 04-24'!E:E)</f>
        <v>0</v>
      </c>
      <c r="H181" s="14">
        <f t="shared" si="4"/>
        <v>0</v>
      </c>
      <c r="I181" s="14">
        <f t="shared" si="5"/>
        <v>0</v>
      </c>
      <c r="J181" s="8">
        <v>0</v>
      </c>
      <c r="K181" s="8">
        <v>0</v>
      </c>
      <c r="M181" s="339"/>
      <c r="N181" s="315"/>
    </row>
    <row r="182" spans="1:14" s="9" customFormat="1" ht="11.25" x14ac:dyDescent="0.2">
      <c r="A182" s="10">
        <v>53140000</v>
      </c>
      <c r="B182" s="10" t="s">
        <v>347</v>
      </c>
      <c r="C182" s="11">
        <v>0</v>
      </c>
      <c r="D182" s="11">
        <v>0</v>
      </c>
      <c r="E182" s="11">
        <v>0</v>
      </c>
      <c r="F182" s="13">
        <f>SUMIF('OD 04-24'!A:A,A182,'OD 04-24'!D:D)</f>
        <v>0</v>
      </c>
      <c r="G182" s="13">
        <f>SUMIF('OD 04-24'!A:A,A182,'OD 04-24'!E:E)</f>
        <v>0</v>
      </c>
      <c r="H182" s="14">
        <f t="shared" si="4"/>
        <v>0</v>
      </c>
      <c r="I182" s="14">
        <f t="shared" si="5"/>
        <v>0</v>
      </c>
      <c r="J182" s="8">
        <v>0</v>
      </c>
      <c r="K182" s="8">
        <v>0</v>
      </c>
      <c r="M182" s="339"/>
      <c r="N182" s="315"/>
    </row>
    <row r="183" spans="1:14" s="9" customFormat="1" ht="11.25" x14ac:dyDescent="0.2">
      <c r="A183" s="10">
        <v>53200000</v>
      </c>
      <c r="B183" s="10" t="s">
        <v>120</v>
      </c>
      <c r="C183" s="11">
        <v>185799.56100001931</v>
      </c>
      <c r="D183" s="11">
        <v>11773907.138</v>
      </c>
      <c r="E183" s="11">
        <v>11948282.138</v>
      </c>
      <c r="F183" s="13">
        <f>SUMIF('OD 04-24'!A:A,A183,'OD 04-24'!D:D)</f>
        <v>0</v>
      </c>
      <c r="G183" s="13">
        <f>SUMIF('OD 04-24'!A:A,A183,'OD 04-24'!E:E)</f>
        <v>0</v>
      </c>
      <c r="H183" s="14">
        <f t="shared" si="4"/>
        <v>-174375</v>
      </c>
      <c r="I183" s="14">
        <f t="shared" si="5"/>
        <v>11424.561000019312</v>
      </c>
      <c r="J183" s="8" t="s">
        <v>121</v>
      </c>
      <c r="K183" s="8">
        <v>0</v>
      </c>
      <c r="M183" s="339"/>
      <c r="N183" s="315"/>
    </row>
    <row r="184" spans="1:14" s="9" customFormat="1" ht="11.25" x14ac:dyDescent="0.2">
      <c r="A184" s="10">
        <v>53201000</v>
      </c>
      <c r="B184" s="10" t="s">
        <v>348</v>
      </c>
      <c r="C184" s="11">
        <v>0</v>
      </c>
      <c r="D184" s="11">
        <v>0</v>
      </c>
      <c r="E184" s="11">
        <v>0</v>
      </c>
      <c r="F184" s="13">
        <f>SUMIF('OD 04-24'!A:A,A184,'OD 04-24'!D:D)</f>
        <v>0</v>
      </c>
      <c r="G184" s="13">
        <f>SUMIF('OD 04-24'!A:A,A184,'OD 04-24'!E:E)</f>
        <v>0</v>
      </c>
      <c r="H184" s="14">
        <f t="shared" si="4"/>
        <v>0</v>
      </c>
      <c r="I184" s="14">
        <f t="shared" si="5"/>
        <v>0</v>
      </c>
      <c r="J184" s="8">
        <v>0</v>
      </c>
      <c r="K184" s="8">
        <v>0</v>
      </c>
      <c r="M184" s="339"/>
      <c r="N184" s="315"/>
    </row>
    <row r="185" spans="1:14" s="9" customFormat="1" ht="11.25" x14ac:dyDescent="0.2">
      <c r="A185" s="10">
        <v>53202000</v>
      </c>
      <c r="B185" s="10" t="s">
        <v>122</v>
      </c>
      <c r="C185" s="11">
        <v>435.74199999962002</v>
      </c>
      <c r="D185" s="11">
        <v>0</v>
      </c>
      <c r="E185" s="11">
        <v>0</v>
      </c>
      <c r="F185" s="13">
        <f>SUMIF('OD 04-24'!A:A,A185,'OD 04-24'!D:D)</f>
        <v>0</v>
      </c>
      <c r="G185" s="13">
        <f>SUMIF('OD 04-24'!A:A,A185,'OD 04-24'!E:E)</f>
        <v>0</v>
      </c>
      <c r="H185" s="14">
        <f t="shared" si="4"/>
        <v>0</v>
      </c>
      <c r="I185" s="14">
        <f t="shared" si="5"/>
        <v>435.74199999962002</v>
      </c>
      <c r="J185" s="8" t="s">
        <v>121</v>
      </c>
      <c r="K185" s="8">
        <v>0</v>
      </c>
      <c r="M185" s="339"/>
      <c r="N185" s="315"/>
    </row>
    <row r="186" spans="1:14" s="9" customFormat="1" ht="11.25" x14ac:dyDescent="0.2">
      <c r="A186" s="10">
        <v>53203000</v>
      </c>
      <c r="B186" s="10" t="s">
        <v>349</v>
      </c>
      <c r="C186" s="11">
        <v>159807.23199999891</v>
      </c>
      <c r="D186" s="11">
        <v>175094.91999999998</v>
      </c>
      <c r="E186" s="11">
        <v>307230.45899999997</v>
      </c>
      <c r="F186" s="13">
        <f>SUMIF('OD 04-24'!A:A,A186,'OD 04-24'!D:D)</f>
        <v>0</v>
      </c>
      <c r="G186" s="13">
        <f>SUMIF('OD 04-24'!A:A,A186,'OD 04-24'!E:E)</f>
        <v>0</v>
      </c>
      <c r="H186" s="14">
        <f t="shared" si="4"/>
        <v>-132135.53899999999</v>
      </c>
      <c r="I186" s="14">
        <f t="shared" si="5"/>
        <v>27671.692999998922</v>
      </c>
      <c r="J186" s="8" t="s">
        <v>121</v>
      </c>
      <c r="K186" s="8">
        <v>0</v>
      </c>
      <c r="M186" s="339"/>
      <c r="N186" s="315"/>
    </row>
    <row r="187" spans="1:14" s="9" customFormat="1" ht="11.25" x14ac:dyDescent="0.2">
      <c r="A187" s="10">
        <v>53204000</v>
      </c>
      <c r="B187" s="10" t="s">
        <v>350</v>
      </c>
      <c r="C187" s="11">
        <v>0</v>
      </c>
      <c r="D187" s="11">
        <v>0</v>
      </c>
      <c r="E187" s="11">
        <v>0</v>
      </c>
      <c r="F187" s="13">
        <f>SUMIF('OD 04-24'!A:A,A187,'OD 04-24'!D:D)</f>
        <v>0</v>
      </c>
      <c r="G187" s="13">
        <f>SUMIF('OD 04-24'!A:A,A187,'OD 04-24'!E:E)</f>
        <v>0</v>
      </c>
      <c r="H187" s="14">
        <f t="shared" si="4"/>
        <v>0</v>
      </c>
      <c r="I187" s="14">
        <f t="shared" si="5"/>
        <v>0</v>
      </c>
      <c r="J187" s="8">
        <v>0</v>
      </c>
      <c r="K187" s="8">
        <v>0</v>
      </c>
      <c r="M187" s="339"/>
      <c r="N187" s="315"/>
    </row>
    <row r="188" spans="1:14" s="9" customFormat="1" ht="11.25" x14ac:dyDescent="0.2">
      <c r="A188" s="10">
        <v>53204100</v>
      </c>
      <c r="B188" s="10" t="s">
        <v>351</v>
      </c>
      <c r="C188" s="11">
        <v>0</v>
      </c>
      <c r="D188" s="11">
        <v>0</v>
      </c>
      <c r="E188" s="11">
        <v>0</v>
      </c>
      <c r="F188" s="13">
        <f>SUMIF('OD 04-24'!A:A,A188,'OD 04-24'!D:D)</f>
        <v>0</v>
      </c>
      <c r="G188" s="13">
        <f>SUMIF('OD 04-24'!A:A,A188,'OD 04-24'!E:E)</f>
        <v>0</v>
      </c>
      <c r="H188" s="14">
        <f t="shared" si="4"/>
        <v>0</v>
      </c>
      <c r="I188" s="14">
        <f t="shared" si="5"/>
        <v>0</v>
      </c>
      <c r="J188" s="8">
        <v>0</v>
      </c>
      <c r="K188" s="8">
        <v>0</v>
      </c>
      <c r="M188" s="339"/>
      <c r="N188" s="315"/>
    </row>
    <row r="189" spans="1:14" s="9" customFormat="1" ht="11.25" x14ac:dyDescent="0.2">
      <c r="A189" s="10">
        <v>53204500</v>
      </c>
      <c r="B189" s="10" t="s">
        <v>123</v>
      </c>
      <c r="C189" s="11">
        <v>5874.02</v>
      </c>
      <c r="D189" s="11">
        <v>0</v>
      </c>
      <c r="E189" s="11">
        <v>0</v>
      </c>
      <c r="F189" s="13">
        <f>SUMIF('OD 04-24'!A:A,A189,'OD 04-24'!D:D)</f>
        <v>0</v>
      </c>
      <c r="G189" s="13">
        <f>SUMIF('OD 04-24'!A:A,A189,'OD 04-24'!E:E)</f>
        <v>0</v>
      </c>
      <c r="H189" s="14">
        <f t="shared" si="4"/>
        <v>0</v>
      </c>
      <c r="I189" s="14">
        <f t="shared" si="5"/>
        <v>5874.02</v>
      </c>
      <c r="J189" s="8" t="s">
        <v>121</v>
      </c>
      <c r="K189" s="8">
        <v>0</v>
      </c>
      <c r="M189" s="339"/>
      <c r="N189" s="315"/>
    </row>
    <row r="190" spans="1:14" s="9" customFormat="1" ht="11.25" x14ac:dyDescent="0.2">
      <c r="A190" s="10">
        <v>53205000</v>
      </c>
      <c r="B190" s="10" t="s">
        <v>124</v>
      </c>
      <c r="C190" s="11">
        <v>12925.083999991417</v>
      </c>
      <c r="D190" s="11">
        <v>0</v>
      </c>
      <c r="E190" s="11">
        <v>0</v>
      </c>
      <c r="F190" s="13">
        <f>SUMIF('OD 04-24'!A:A,A190,'OD 04-24'!D:D)</f>
        <v>0</v>
      </c>
      <c r="G190" s="13">
        <f>SUMIF('OD 04-24'!A:A,A190,'OD 04-24'!E:E)</f>
        <v>0</v>
      </c>
      <c r="H190" s="14">
        <f t="shared" si="4"/>
        <v>0</v>
      </c>
      <c r="I190" s="14">
        <f t="shared" si="5"/>
        <v>12925.083999991417</v>
      </c>
      <c r="J190" s="8" t="s">
        <v>121</v>
      </c>
      <c r="K190" s="8">
        <v>0</v>
      </c>
      <c r="M190" s="339"/>
      <c r="N190" s="315"/>
    </row>
    <row r="191" spans="1:14" s="9" customFormat="1" ht="11.25" x14ac:dyDescent="0.2">
      <c r="A191" s="10">
        <v>53205300</v>
      </c>
      <c r="B191" s="10" t="s">
        <v>125</v>
      </c>
      <c r="C191" s="11">
        <v>0</v>
      </c>
      <c r="D191" s="11">
        <v>0</v>
      </c>
      <c r="E191" s="11">
        <v>0</v>
      </c>
      <c r="F191" s="13">
        <f>SUMIF('OD 04-24'!A:A,A191,'OD 04-24'!D:D)</f>
        <v>0</v>
      </c>
      <c r="G191" s="13">
        <f>SUMIF('OD 04-24'!A:A,A191,'OD 04-24'!E:E)</f>
        <v>0</v>
      </c>
      <c r="H191" s="14">
        <f t="shared" si="4"/>
        <v>0</v>
      </c>
      <c r="I191" s="14">
        <f t="shared" si="5"/>
        <v>0</v>
      </c>
      <c r="J191" s="8" t="s">
        <v>121</v>
      </c>
      <c r="K191" s="8">
        <v>0</v>
      </c>
      <c r="M191" s="339"/>
      <c r="N191" s="315"/>
    </row>
    <row r="192" spans="1:14" s="9" customFormat="1" ht="11.25" x14ac:dyDescent="0.2">
      <c r="A192" s="10">
        <v>53205400</v>
      </c>
      <c r="B192" s="10" t="s">
        <v>126</v>
      </c>
      <c r="C192" s="11">
        <v>0</v>
      </c>
      <c r="D192" s="11">
        <v>0</v>
      </c>
      <c r="E192" s="11">
        <v>0</v>
      </c>
      <c r="F192" s="13">
        <f>SUMIF('OD 04-24'!A:A,A192,'OD 04-24'!D:D)</f>
        <v>0</v>
      </c>
      <c r="G192" s="13">
        <f>SUMIF('OD 04-24'!A:A,A192,'OD 04-24'!E:E)</f>
        <v>0</v>
      </c>
      <c r="H192" s="14">
        <f t="shared" si="4"/>
        <v>0</v>
      </c>
      <c r="I192" s="14">
        <f t="shared" si="5"/>
        <v>0</v>
      </c>
      <c r="J192" s="8">
        <v>0</v>
      </c>
      <c r="K192" s="8">
        <v>0</v>
      </c>
      <c r="M192" s="339"/>
      <c r="N192" s="315"/>
    </row>
    <row r="193" spans="1:14" s="9" customFormat="1" ht="11.25" x14ac:dyDescent="0.2">
      <c r="A193" s="10">
        <v>53205500</v>
      </c>
      <c r="B193" s="10" t="s">
        <v>127</v>
      </c>
      <c r="C193" s="11">
        <v>0</v>
      </c>
      <c r="D193" s="11">
        <v>0</v>
      </c>
      <c r="E193" s="11">
        <v>0</v>
      </c>
      <c r="F193" s="13">
        <f>SUMIF('OD 04-24'!A:A,A193,'OD 04-24'!D:D)</f>
        <v>0</v>
      </c>
      <c r="G193" s="13">
        <f>SUMIF('OD 04-24'!A:A,A193,'OD 04-24'!E:E)</f>
        <v>0</v>
      </c>
      <c r="H193" s="14">
        <f t="shared" si="4"/>
        <v>0</v>
      </c>
      <c r="I193" s="14">
        <f t="shared" si="5"/>
        <v>0</v>
      </c>
      <c r="J193" s="8">
        <v>0</v>
      </c>
      <c r="K193" s="8">
        <v>0</v>
      </c>
      <c r="M193" s="339"/>
      <c r="N193" s="315"/>
    </row>
    <row r="194" spans="1:14" s="9" customFormat="1" ht="11.25" x14ac:dyDescent="0.2">
      <c r="A194" s="10">
        <v>53205600</v>
      </c>
      <c r="B194" s="10" t="s">
        <v>128</v>
      </c>
      <c r="C194" s="11">
        <v>-3300983.9089999795</v>
      </c>
      <c r="D194" s="11">
        <v>25261261.125</v>
      </c>
      <c r="E194" s="11">
        <v>26074964.780999999</v>
      </c>
      <c r="F194" s="13">
        <f>SUMIF('OD 04-24'!A:A,A194,'OD 04-24'!D:D)</f>
        <v>0</v>
      </c>
      <c r="G194" s="13">
        <f>SUMIF('OD 04-24'!A:A,A194,'OD 04-24'!E:E)</f>
        <v>0</v>
      </c>
      <c r="H194" s="14">
        <f t="shared" si="4"/>
        <v>-813703.65599999949</v>
      </c>
      <c r="I194" s="14">
        <f t="shared" si="5"/>
        <v>-4114687.564999979</v>
      </c>
      <c r="J194" s="8" t="s">
        <v>115</v>
      </c>
      <c r="K194" s="8">
        <v>0</v>
      </c>
      <c r="M194" s="339"/>
      <c r="N194" s="315"/>
    </row>
    <row r="195" spans="1:14" s="9" customFormat="1" ht="11.25" x14ac:dyDescent="0.2">
      <c r="A195" s="10">
        <v>53205700</v>
      </c>
      <c r="B195" s="10" t="s">
        <v>129</v>
      </c>
      <c r="C195" s="11">
        <v>1964289.2105972022</v>
      </c>
      <c r="D195" s="11">
        <v>12966973.685999999</v>
      </c>
      <c r="E195" s="11">
        <v>11697630.024</v>
      </c>
      <c r="F195" s="13">
        <f>SUMIF('OD 04-24'!A:A,A195,'OD 04-24'!D:D)</f>
        <v>166195.541</v>
      </c>
      <c r="G195" s="13">
        <f>SUMIF('OD 04-24'!A:A,A195,'OD 04-24'!E:E)</f>
        <v>224804.133</v>
      </c>
      <c r="H195" s="14">
        <f t="shared" ref="H195:H258" si="6">+D195+F195-E195-G195</f>
        <v>1210735.069999998</v>
      </c>
      <c r="I195" s="14">
        <f t="shared" ref="I195:I258" si="7">+H195+C195</f>
        <v>3175024.2805972002</v>
      </c>
      <c r="J195" s="8" t="s">
        <v>121</v>
      </c>
      <c r="K195" s="8">
        <v>0</v>
      </c>
      <c r="M195" s="339"/>
      <c r="N195" s="315"/>
    </row>
    <row r="196" spans="1:14" s="9" customFormat="1" ht="11.25" x14ac:dyDescent="0.2">
      <c r="A196" s="10">
        <v>53205800</v>
      </c>
      <c r="B196" s="10" t="s">
        <v>130</v>
      </c>
      <c r="C196" s="11">
        <v>-66996.353000000119</v>
      </c>
      <c r="D196" s="11">
        <v>0</v>
      </c>
      <c r="E196" s="11">
        <v>925.05899999999997</v>
      </c>
      <c r="F196" s="13">
        <f>SUMIF('OD 04-24'!A:A,A196,'OD 04-24'!D:D)</f>
        <v>259.01400000000001</v>
      </c>
      <c r="G196" s="13">
        <f>SUMIF('OD 04-24'!A:A,A196,'OD 04-24'!E:E)</f>
        <v>182.745</v>
      </c>
      <c r="H196" s="14">
        <f t="shared" si="6"/>
        <v>-848.79</v>
      </c>
      <c r="I196" s="14">
        <f t="shared" si="7"/>
        <v>-67845.143000000113</v>
      </c>
      <c r="J196" s="8" t="s">
        <v>115</v>
      </c>
      <c r="K196" s="8">
        <v>0</v>
      </c>
      <c r="M196" s="339"/>
      <c r="N196" s="315"/>
    </row>
    <row r="197" spans="1:14" s="9" customFormat="1" ht="11.25" x14ac:dyDescent="0.2">
      <c r="A197" s="10">
        <v>53207000</v>
      </c>
      <c r="B197" s="10" t="s">
        <v>352</v>
      </c>
      <c r="C197" s="11">
        <v>0</v>
      </c>
      <c r="D197" s="11">
        <v>0</v>
      </c>
      <c r="E197" s="11">
        <v>0</v>
      </c>
      <c r="F197" s="13">
        <f>SUMIF('OD 04-24'!A:A,A197,'OD 04-24'!D:D)</f>
        <v>0</v>
      </c>
      <c r="G197" s="13">
        <f>SUMIF('OD 04-24'!A:A,A197,'OD 04-24'!E:E)</f>
        <v>0</v>
      </c>
      <c r="H197" s="14">
        <f t="shared" si="6"/>
        <v>0</v>
      </c>
      <c r="I197" s="14">
        <f t="shared" si="7"/>
        <v>0</v>
      </c>
      <c r="J197" s="8">
        <v>0</v>
      </c>
      <c r="K197" s="8">
        <v>0</v>
      </c>
      <c r="M197" s="339"/>
      <c r="N197" s="315"/>
    </row>
    <row r="198" spans="1:14" s="9" customFormat="1" ht="11.25" x14ac:dyDescent="0.2">
      <c r="A198" s="10">
        <v>53207100</v>
      </c>
      <c r="B198" s="10" t="s">
        <v>353</v>
      </c>
      <c r="C198" s="11">
        <v>0</v>
      </c>
      <c r="D198" s="11">
        <v>0</v>
      </c>
      <c r="E198" s="11">
        <v>0</v>
      </c>
      <c r="F198" s="13">
        <f>SUMIF('OD 04-24'!A:A,A198,'OD 04-24'!D:D)</f>
        <v>0</v>
      </c>
      <c r="G198" s="13">
        <f>SUMIF('OD 04-24'!A:A,A198,'OD 04-24'!E:E)</f>
        <v>0</v>
      </c>
      <c r="H198" s="14">
        <f t="shared" si="6"/>
        <v>0</v>
      </c>
      <c r="I198" s="14">
        <f t="shared" si="7"/>
        <v>0</v>
      </c>
      <c r="J198" s="8">
        <v>0</v>
      </c>
      <c r="K198" s="8">
        <v>0</v>
      </c>
      <c r="M198" s="339"/>
      <c r="N198" s="315"/>
    </row>
    <row r="199" spans="1:14" s="9" customFormat="1" ht="11.25" x14ac:dyDescent="0.2">
      <c r="A199" s="10">
        <v>53207200</v>
      </c>
      <c r="B199" s="10" t="s">
        <v>354</v>
      </c>
      <c r="C199" s="11">
        <v>0</v>
      </c>
      <c r="D199" s="11">
        <v>0</v>
      </c>
      <c r="E199" s="11">
        <v>0</v>
      </c>
      <c r="F199" s="13">
        <f>SUMIF('OD 04-24'!A:A,A199,'OD 04-24'!D:D)</f>
        <v>0</v>
      </c>
      <c r="G199" s="13">
        <f>SUMIF('OD 04-24'!A:A,A199,'OD 04-24'!E:E)</f>
        <v>0</v>
      </c>
      <c r="H199" s="14">
        <f t="shared" si="6"/>
        <v>0</v>
      </c>
      <c r="I199" s="14">
        <f t="shared" si="7"/>
        <v>0</v>
      </c>
      <c r="J199" s="8">
        <v>0</v>
      </c>
      <c r="K199" s="8">
        <v>0</v>
      </c>
      <c r="M199" s="339"/>
      <c r="N199" s="315"/>
    </row>
    <row r="200" spans="1:14" s="9" customFormat="1" ht="11.25" x14ac:dyDescent="0.2">
      <c r="A200" s="10">
        <v>53208000</v>
      </c>
      <c r="B200" s="10" t="s">
        <v>355</v>
      </c>
      <c r="C200" s="11">
        <v>485.66199999954551</v>
      </c>
      <c r="D200" s="11">
        <v>0</v>
      </c>
      <c r="E200" s="11">
        <v>0</v>
      </c>
      <c r="F200" s="13">
        <f>SUMIF('OD 04-24'!A:A,A200,'OD 04-24'!D:D)</f>
        <v>0</v>
      </c>
      <c r="G200" s="13">
        <f>SUMIF('OD 04-24'!A:A,A200,'OD 04-24'!E:E)</f>
        <v>0</v>
      </c>
      <c r="H200" s="14">
        <f t="shared" si="6"/>
        <v>0</v>
      </c>
      <c r="I200" s="14">
        <f t="shared" si="7"/>
        <v>485.66199999954551</v>
      </c>
      <c r="J200" s="8" t="s">
        <v>121</v>
      </c>
      <c r="K200" s="8">
        <v>0</v>
      </c>
      <c r="M200" s="339"/>
      <c r="N200" s="315"/>
    </row>
    <row r="201" spans="1:14" s="9" customFormat="1" ht="11.25" x14ac:dyDescent="0.2">
      <c r="A201" s="10">
        <v>53208100</v>
      </c>
      <c r="B201" s="10" t="s">
        <v>356</v>
      </c>
      <c r="C201" s="11">
        <v>0</v>
      </c>
      <c r="D201" s="11">
        <v>0</v>
      </c>
      <c r="E201" s="11">
        <v>0</v>
      </c>
      <c r="F201" s="13">
        <f>SUMIF('OD 04-24'!A:A,A201,'OD 04-24'!D:D)</f>
        <v>0</v>
      </c>
      <c r="G201" s="13">
        <f>SUMIF('OD 04-24'!A:A,A201,'OD 04-24'!E:E)</f>
        <v>0</v>
      </c>
      <c r="H201" s="14">
        <f t="shared" si="6"/>
        <v>0</v>
      </c>
      <c r="I201" s="14">
        <f t="shared" si="7"/>
        <v>0</v>
      </c>
      <c r="J201" s="8">
        <v>0</v>
      </c>
      <c r="K201" s="8">
        <v>0</v>
      </c>
      <c r="M201" s="339"/>
      <c r="N201" s="315"/>
    </row>
    <row r="202" spans="1:14" s="9" customFormat="1" ht="11.25" x14ac:dyDescent="0.2">
      <c r="A202" s="10">
        <v>53208500</v>
      </c>
      <c r="B202" s="10" t="s">
        <v>357</v>
      </c>
      <c r="C202" s="11">
        <v>0</v>
      </c>
      <c r="D202" s="11">
        <v>0</v>
      </c>
      <c r="E202" s="11">
        <v>0</v>
      </c>
      <c r="F202" s="13">
        <f>SUMIF('OD 04-24'!A:A,A202,'OD 04-24'!D:D)</f>
        <v>0</v>
      </c>
      <c r="G202" s="13">
        <f>SUMIF('OD 04-24'!A:A,A202,'OD 04-24'!E:E)</f>
        <v>0</v>
      </c>
      <c r="H202" s="14">
        <f t="shared" si="6"/>
        <v>0</v>
      </c>
      <c r="I202" s="14">
        <f t="shared" si="7"/>
        <v>0</v>
      </c>
      <c r="J202" s="8">
        <v>0</v>
      </c>
      <c r="K202" s="8">
        <v>0</v>
      </c>
      <c r="M202" s="339"/>
      <c r="N202" s="315"/>
    </row>
    <row r="203" spans="1:14" s="9" customFormat="1" ht="11.25" x14ac:dyDescent="0.2">
      <c r="A203" s="10">
        <v>54000000</v>
      </c>
      <c r="B203" s="10" t="s">
        <v>358</v>
      </c>
      <c r="C203" s="11">
        <v>0</v>
      </c>
      <c r="D203" s="11">
        <v>16489.436000000002</v>
      </c>
      <c r="E203" s="11">
        <v>16489.436000000002</v>
      </c>
      <c r="F203" s="13">
        <f>SUMIF('OD 04-24'!A:A,A203,'OD 04-24'!D:D)</f>
        <v>0</v>
      </c>
      <c r="G203" s="13">
        <f>SUMIF('OD 04-24'!A:A,A203,'OD 04-24'!E:E)</f>
        <v>0</v>
      </c>
      <c r="H203" s="14">
        <f t="shared" si="6"/>
        <v>0</v>
      </c>
      <c r="I203" s="14">
        <f t="shared" si="7"/>
        <v>0</v>
      </c>
      <c r="J203" s="8">
        <v>0</v>
      </c>
      <c r="K203" s="8">
        <v>0</v>
      </c>
      <c r="M203" s="339"/>
      <c r="N203" s="315"/>
    </row>
    <row r="204" spans="1:14" s="9" customFormat="1" ht="11.25" x14ac:dyDescent="0.2">
      <c r="A204" s="10">
        <v>54100000</v>
      </c>
      <c r="B204" s="10" t="s">
        <v>131</v>
      </c>
      <c r="C204" s="11">
        <v>17</v>
      </c>
      <c r="D204" s="11">
        <v>30038.137999999999</v>
      </c>
      <c r="E204" s="11">
        <v>30048.153999999999</v>
      </c>
      <c r="F204" s="13">
        <f>SUMIF('OD 04-24'!A:A,A204,'OD 04-24'!D:D)</f>
        <v>0</v>
      </c>
      <c r="G204" s="13">
        <f>SUMIF('OD 04-24'!A:A,A204,'OD 04-24'!E:E)</f>
        <v>0</v>
      </c>
      <c r="H204" s="14">
        <f t="shared" si="6"/>
        <v>-10.015999999999622</v>
      </c>
      <c r="I204" s="14">
        <f t="shared" si="7"/>
        <v>6.9840000000003783</v>
      </c>
      <c r="J204" s="8" t="s">
        <v>121</v>
      </c>
      <c r="K204" s="8">
        <v>0</v>
      </c>
      <c r="M204" s="339"/>
      <c r="N204" s="315"/>
    </row>
    <row r="205" spans="1:14" s="9" customFormat="1" ht="11.25" x14ac:dyDescent="0.2">
      <c r="A205" s="10">
        <v>54300000</v>
      </c>
      <c r="B205" s="10" t="s">
        <v>359</v>
      </c>
      <c r="C205" s="11">
        <v>0</v>
      </c>
      <c r="D205" s="11">
        <v>0</v>
      </c>
      <c r="E205" s="11">
        <v>0</v>
      </c>
      <c r="F205" s="13">
        <f>SUMIF('OD 04-24'!A:A,A205,'OD 04-24'!D:D)</f>
        <v>0</v>
      </c>
      <c r="G205" s="13">
        <f>SUMIF('OD 04-24'!A:A,A205,'OD 04-24'!E:E)</f>
        <v>0</v>
      </c>
      <c r="H205" s="14">
        <f t="shared" si="6"/>
        <v>0</v>
      </c>
      <c r="I205" s="14">
        <f t="shared" si="7"/>
        <v>0</v>
      </c>
      <c r="J205" s="8">
        <v>0</v>
      </c>
      <c r="K205" s="8">
        <v>0</v>
      </c>
      <c r="M205" s="339"/>
      <c r="N205" s="315"/>
    </row>
    <row r="206" spans="1:14" s="9" customFormat="1" ht="11.25" x14ac:dyDescent="0.2">
      <c r="A206" s="10">
        <v>55010000</v>
      </c>
      <c r="B206" s="10" t="s">
        <v>132</v>
      </c>
      <c r="C206" s="11">
        <v>3000</v>
      </c>
      <c r="D206" s="11">
        <v>0</v>
      </c>
      <c r="E206" s="11">
        <v>0</v>
      </c>
      <c r="F206" s="13">
        <f>SUMIF('OD 04-24'!A:A,A206,'OD 04-24'!D:D)</f>
        <v>0</v>
      </c>
      <c r="G206" s="13">
        <f>SUMIF('OD 04-24'!A:A,A206,'OD 04-24'!E:E)</f>
        <v>0</v>
      </c>
      <c r="H206" s="14">
        <f t="shared" si="6"/>
        <v>0</v>
      </c>
      <c r="I206" s="14">
        <f t="shared" si="7"/>
        <v>3000</v>
      </c>
      <c r="J206" s="8" t="s">
        <v>121</v>
      </c>
      <c r="K206" s="8">
        <v>0</v>
      </c>
      <c r="M206" s="339"/>
      <c r="N206" s="315"/>
    </row>
    <row r="207" spans="1:14" s="9" customFormat="1" ht="11.25" x14ac:dyDescent="0.2">
      <c r="A207" s="10">
        <v>55011000</v>
      </c>
      <c r="B207" s="10" t="s">
        <v>133</v>
      </c>
      <c r="C207" s="11">
        <v>0</v>
      </c>
      <c r="D207" s="11">
        <v>0</v>
      </c>
      <c r="E207" s="11">
        <v>0</v>
      </c>
      <c r="F207" s="13">
        <f>SUMIF('OD 04-24'!A:A,A207,'OD 04-24'!D:D)</f>
        <v>0</v>
      </c>
      <c r="G207" s="13">
        <f>SUMIF('OD 04-24'!A:A,A207,'OD 04-24'!E:E)</f>
        <v>0</v>
      </c>
      <c r="H207" s="14">
        <f t="shared" si="6"/>
        <v>0</v>
      </c>
      <c r="I207" s="14">
        <f t="shared" si="7"/>
        <v>0</v>
      </c>
      <c r="J207" s="8" t="s">
        <v>121</v>
      </c>
      <c r="K207" s="8">
        <v>0</v>
      </c>
      <c r="M207" s="339"/>
      <c r="N207" s="315"/>
    </row>
    <row r="208" spans="1:14" s="9" customFormat="1" ht="11.25" x14ac:dyDescent="0.2">
      <c r="A208" s="10">
        <v>58000000</v>
      </c>
      <c r="B208" s="10" t="s">
        <v>134</v>
      </c>
      <c r="C208" s="11">
        <v>0</v>
      </c>
      <c r="D208" s="11">
        <v>0</v>
      </c>
      <c r="E208" s="11">
        <v>0</v>
      </c>
      <c r="F208" s="13">
        <f>SUMIF('OD 04-24'!A:A,A208,'OD 04-24'!D:D)</f>
        <v>0</v>
      </c>
      <c r="G208" s="13">
        <f>SUMIF('OD 04-24'!A:A,A208,'OD 04-24'!E:E)</f>
        <v>0</v>
      </c>
      <c r="H208" s="14">
        <f t="shared" si="6"/>
        <v>0</v>
      </c>
      <c r="I208" s="14">
        <f t="shared" si="7"/>
        <v>0</v>
      </c>
      <c r="J208" s="8" t="s">
        <v>121</v>
      </c>
      <c r="K208" s="8">
        <v>0</v>
      </c>
      <c r="M208" s="339"/>
      <c r="N208" s="315"/>
    </row>
    <row r="209" spans="1:14" s="9" customFormat="1" ht="11.25" x14ac:dyDescent="0.2">
      <c r="A209" s="10">
        <v>58001000</v>
      </c>
      <c r="B209" s="10" t="s">
        <v>135</v>
      </c>
      <c r="C209" s="11">
        <v>-1.9999593496322632E-4</v>
      </c>
      <c r="D209" s="11">
        <v>0</v>
      </c>
      <c r="E209" s="11">
        <v>0</v>
      </c>
      <c r="F209" s="13">
        <f>SUMIF('OD 04-24'!A:A,A209,'OD 04-24'!D:D)</f>
        <v>0</v>
      </c>
      <c r="G209" s="13">
        <f>SUMIF('OD 04-24'!A:A,A209,'OD 04-24'!E:E)</f>
        <v>0</v>
      </c>
      <c r="H209" s="14">
        <f t="shared" si="6"/>
        <v>0</v>
      </c>
      <c r="I209" s="14">
        <f t="shared" si="7"/>
        <v>-1.9999593496322632E-4</v>
      </c>
      <c r="J209" s="8">
        <v>0</v>
      </c>
      <c r="K209" s="8">
        <v>0</v>
      </c>
      <c r="M209" s="339"/>
      <c r="N209" s="315"/>
    </row>
    <row r="210" spans="1:14" s="9" customFormat="1" ht="11.25" x14ac:dyDescent="0.2">
      <c r="A210" s="10">
        <v>58002000</v>
      </c>
      <c r="B210" s="10" t="s">
        <v>360</v>
      </c>
      <c r="C210" s="11">
        <v>0</v>
      </c>
      <c r="D210" s="11">
        <v>0</v>
      </c>
      <c r="E210" s="11">
        <v>0</v>
      </c>
      <c r="F210" s="13">
        <f>SUMIF('OD 04-24'!A:A,A210,'OD 04-24'!D:D)</f>
        <v>0</v>
      </c>
      <c r="G210" s="13">
        <f>SUMIF('OD 04-24'!A:A,A210,'OD 04-24'!E:E)</f>
        <v>0</v>
      </c>
      <c r="H210" s="14">
        <f t="shared" si="6"/>
        <v>0</v>
      </c>
      <c r="I210" s="14">
        <f t="shared" si="7"/>
        <v>0</v>
      </c>
      <c r="J210" s="8">
        <v>0</v>
      </c>
      <c r="K210" s="8">
        <v>0</v>
      </c>
      <c r="M210" s="339"/>
      <c r="N210" s="315"/>
    </row>
    <row r="211" spans="1:14" s="9" customFormat="1" ht="11.25" x14ac:dyDescent="0.2">
      <c r="A211" s="10">
        <v>58003000</v>
      </c>
      <c r="B211" s="10" t="s">
        <v>136</v>
      </c>
      <c r="C211" s="11">
        <v>1.0100007057189941E-4</v>
      </c>
      <c r="D211" s="11">
        <v>2668751.1680000001</v>
      </c>
      <c r="E211" s="11">
        <v>2668751.1680000001</v>
      </c>
      <c r="F211" s="13">
        <f>SUMIF('OD 04-24'!A:A,A211,'OD 04-24'!D:D)</f>
        <v>0</v>
      </c>
      <c r="G211" s="13">
        <f>SUMIF('OD 04-24'!A:A,A211,'OD 04-24'!E:E)</f>
        <v>0</v>
      </c>
      <c r="H211" s="14">
        <f t="shared" si="6"/>
        <v>0</v>
      </c>
      <c r="I211" s="14">
        <f t="shared" si="7"/>
        <v>1.0100007057189941E-4</v>
      </c>
      <c r="J211" s="8">
        <v>0</v>
      </c>
      <c r="K211" s="8">
        <v>0</v>
      </c>
      <c r="M211" s="339"/>
      <c r="N211" s="315"/>
    </row>
    <row r="212" spans="1:14" s="9" customFormat="1" ht="11.25" x14ac:dyDescent="0.2">
      <c r="A212" s="10">
        <v>58004000</v>
      </c>
      <c r="B212" s="10" t="s">
        <v>361</v>
      </c>
      <c r="C212" s="11">
        <v>0</v>
      </c>
      <c r="D212" s="11">
        <v>0</v>
      </c>
      <c r="E212" s="11">
        <v>0</v>
      </c>
      <c r="F212" s="13">
        <f>SUMIF('OD 04-24'!A:A,A212,'OD 04-24'!D:D)</f>
        <v>0</v>
      </c>
      <c r="G212" s="13">
        <f>SUMIF('OD 04-24'!A:A,A212,'OD 04-24'!E:E)</f>
        <v>0</v>
      </c>
      <c r="H212" s="14">
        <f t="shared" si="6"/>
        <v>0</v>
      </c>
      <c r="I212" s="14">
        <f t="shared" si="7"/>
        <v>0</v>
      </c>
      <c r="J212" s="8">
        <v>0</v>
      </c>
      <c r="K212" s="8">
        <v>0</v>
      </c>
      <c r="M212" s="339"/>
      <c r="N212" s="315"/>
    </row>
    <row r="213" spans="1:14" s="9" customFormat="1" ht="11.25" x14ac:dyDescent="0.2">
      <c r="A213" s="10">
        <v>58005000</v>
      </c>
      <c r="B213" s="10" t="s">
        <v>362</v>
      </c>
      <c r="C213" s="11">
        <v>3.8483738899230957E-4</v>
      </c>
      <c r="D213" s="11">
        <v>8533774.7650000006</v>
      </c>
      <c r="E213" s="11">
        <v>8533774.7650000006</v>
      </c>
      <c r="F213" s="13">
        <f>SUMIF('OD 04-24'!A:A,A213,'OD 04-24'!D:D)</f>
        <v>0</v>
      </c>
      <c r="G213" s="13">
        <f>SUMIF('OD 04-24'!A:A,A213,'OD 04-24'!E:E)</f>
        <v>0</v>
      </c>
      <c r="H213" s="14">
        <f t="shared" si="6"/>
        <v>0</v>
      </c>
      <c r="I213" s="14">
        <f t="shared" si="7"/>
        <v>3.8483738899230957E-4</v>
      </c>
      <c r="J213" s="8" t="s">
        <v>121</v>
      </c>
      <c r="K213" s="8">
        <v>0</v>
      </c>
      <c r="M213" s="339"/>
      <c r="N213" s="315"/>
    </row>
    <row r="214" spans="1:14" s="9" customFormat="1" ht="11.25" x14ac:dyDescent="0.2">
      <c r="A214" s="10">
        <v>60110110</v>
      </c>
      <c r="B214" s="10" t="s">
        <v>403</v>
      </c>
      <c r="C214" s="11">
        <v>0</v>
      </c>
      <c r="D214" s="11">
        <v>1136780.078</v>
      </c>
      <c r="E214" s="11">
        <v>1136780.078</v>
      </c>
      <c r="F214" s="13">
        <f>SUMIF('OD 04-24'!A:A,A214,'OD 04-24'!D:D)</f>
        <v>1463593.0149999999</v>
      </c>
      <c r="G214" s="13">
        <f>SUMIF('OD 04-24'!A:A,A214,'OD 04-24'!E:E)</f>
        <v>1463593.0149999999</v>
      </c>
      <c r="H214" s="14">
        <f t="shared" si="6"/>
        <v>0</v>
      </c>
      <c r="I214" s="14">
        <f t="shared" si="7"/>
        <v>0</v>
      </c>
      <c r="J214" s="8" t="s">
        <v>138</v>
      </c>
      <c r="K214" s="8" t="s">
        <v>509</v>
      </c>
      <c r="M214" s="339"/>
      <c r="N214" s="315"/>
    </row>
    <row r="215" spans="1:14" s="9" customFormat="1" ht="11.25" x14ac:dyDescent="0.2">
      <c r="A215" s="10">
        <v>60110212</v>
      </c>
      <c r="B215" s="10" t="s">
        <v>7391</v>
      </c>
      <c r="C215" s="11">
        <v>0</v>
      </c>
      <c r="D215" s="11">
        <v>19318.875749999999</v>
      </c>
      <c r="E215" s="11">
        <v>0</v>
      </c>
      <c r="F215" s="13">
        <f>SUMIF('OD 04-24'!A:A,A215,'OD 04-24'!D:D)</f>
        <v>0</v>
      </c>
      <c r="G215" s="13">
        <f>SUMIF('OD 04-24'!A:A,A215,'OD 04-24'!E:E)</f>
        <v>0</v>
      </c>
      <c r="H215" s="14">
        <f t="shared" si="6"/>
        <v>19318.875749999999</v>
      </c>
      <c r="I215" s="14">
        <f t="shared" si="7"/>
        <v>19318.875749999999</v>
      </c>
      <c r="J215" s="8" t="s">
        <v>138</v>
      </c>
      <c r="K215" s="8" t="s">
        <v>509</v>
      </c>
      <c r="M215" s="339"/>
      <c r="N215" s="315"/>
    </row>
    <row r="216" spans="1:14" s="9" customFormat="1" ht="11.25" x14ac:dyDescent="0.2">
      <c r="A216" s="10">
        <v>60110210</v>
      </c>
      <c r="B216" s="10" t="s">
        <v>137</v>
      </c>
      <c r="C216" s="11">
        <v>0</v>
      </c>
      <c r="D216" s="11">
        <v>438454.24773699994</v>
      </c>
      <c r="E216" s="11">
        <v>0</v>
      </c>
      <c r="F216" s="13">
        <f>SUMIF('OD 04-24'!A:A,A216,'OD 04-24'!D:D)</f>
        <v>0</v>
      </c>
      <c r="G216" s="13">
        <f>SUMIF('OD 04-24'!A:A,A216,'OD 04-24'!E:E)</f>
        <v>0</v>
      </c>
      <c r="H216" s="14">
        <f t="shared" si="6"/>
        <v>438454.24773699994</v>
      </c>
      <c r="I216" s="14">
        <f t="shared" si="7"/>
        <v>438454.24773699994</v>
      </c>
      <c r="J216" s="8" t="s">
        <v>138</v>
      </c>
      <c r="K216" s="8" t="s">
        <v>509</v>
      </c>
      <c r="M216" s="339"/>
      <c r="N216" s="315"/>
    </row>
    <row r="217" spans="1:14" s="9" customFormat="1" ht="11.25" x14ac:dyDescent="0.2">
      <c r="A217" s="10">
        <v>60110211</v>
      </c>
      <c r="B217" s="10" t="s">
        <v>363</v>
      </c>
      <c r="C217" s="11">
        <v>0</v>
      </c>
      <c r="D217" s="11">
        <v>61081.399444499999</v>
      </c>
      <c r="E217" s="11">
        <v>0</v>
      </c>
      <c r="F217" s="13">
        <f>SUMIF('OD 04-24'!A:A,A217,'OD 04-24'!D:D)</f>
        <v>0</v>
      </c>
      <c r="G217" s="13">
        <f>SUMIF('OD 04-24'!A:A,A217,'OD 04-24'!E:E)</f>
        <v>0</v>
      </c>
      <c r="H217" s="14">
        <f t="shared" si="6"/>
        <v>61081.399444499999</v>
      </c>
      <c r="I217" s="14">
        <f t="shared" si="7"/>
        <v>61081.399444499999</v>
      </c>
      <c r="J217" s="8" t="s">
        <v>138</v>
      </c>
      <c r="K217" s="8" t="s">
        <v>509</v>
      </c>
      <c r="M217" s="339"/>
      <c r="N217" s="315"/>
    </row>
    <row r="218" spans="1:14" s="9" customFormat="1" ht="11.25" x14ac:dyDescent="0.2">
      <c r="A218" s="10">
        <v>60110213</v>
      </c>
      <c r="B218" s="10" t="s">
        <v>364</v>
      </c>
      <c r="C218" s="11">
        <v>0</v>
      </c>
      <c r="D218" s="11">
        <v>3757.2</v>
      </c>
      <c r="E218" s="11">
        <v>0</v>
      </c>
      <c r="F218" s="13">
        <f>SUMIF('OD 04-24'!A:A,A218,'OD 04-24'!D:D)</f>
        <v>0</v>
      </c>
      <c r="G218" s="13">
        <f>SUMIF('OD 04-24'!A:A,A218,'OD 04-24'!E:E)</f>
        <v>0</v>
      </c>
      <c r="H218" s="14">
        <f t="shared" si="6"/>
        <v>3757.2</v>
      </c>
      <c r="I218" s="14">
        <f t="shared" si="7"/>
        <v>3757.2</v>
      </c>
      <c r="J218" s="8" t="s">
        <v>138</v>
      </c>
      <c r="K218" s="8" t="s">
        <v>509</v>
      </c>
      <c r="M218" s="339"/>
      <c r="N218" s="315"/>
    </row>
    <row r="219" spans="1:14" s="9" customFormat="1" ht="11.25" x14ac:dyDescent="0.2">
      <c r="A219" s="10">
        <v>60110220</v>
      </c>
      <c r="B219" s="10" t="s">
        <v>139</v>
      </c>
      <c r="C219" s="11">
        <v>0</v>
      </c>
      <c r="D219" s="11">
        <v>648814.95417149994</v>
      </c>
      <c r="E219" s="11">
        <v>12546.76</v>
      </c>
      <c r="F219" s="13">
        <f>SUMIF('OD 04-24'!A:A,A219,'OD 04-24'!D:D)</f>
        <v>0</v>
      </c>
      <c r="G219" s="13">
        <f>SUMIF('OD 04-24'!A:A,A219,'OD 04-24'!E:E)</f>
        <v>0</v>
      </c>
      <c r="H219" s="14">
        <f t="shared" si="6"/>
        <v>636268.19417149993</v>
      </c>
      <c r="I219" s="14">
        <f t="shared" si="7"/>
        <v>636268.19417149993</v>
      </c>
      <c r="J219" s="8" t="s">
        <v>138</v>
      </c>
      <c r="K219" s="8" t="s">
        <v>509</v>
      </c>
      <c r="M219" s="339"/>
      <c r="N219" s="315"/>
    </row>
    <row r="220" spans="1:14" s="9" customFormat="1" ht="11.25" x14ac:dyDescent="0.2">
      <c r="A220" s="10">
        <v>60110230</v>
      </c>
      <c r="B220" s="10" t="s">
        <v>7566</v>
      </c>
      <c r="C220" s="11">
        <v>0</v>
      </c>
      <c r="D220" s="11">
        <v>71024.114700000006</v>
      </c>
      <c r="E220" s="11">
        <v>0</v>
      </c>
      <c r="F220" s="13">
        <f>SUMIF('OD 04-24'!A:A,A220,'OD 04-24'!D:D)</f>
        <v>0</v>
      </c>
      <c r="G220" s="13">
        <f>SUMIF('OD 04-24'!A:A,A220,'OD 04-24'!E:E)</f>
        <v>0</v>
      </c>
      <c r="H220" s="14">
        <f t="shared" si="6"/>
        <v>71024.114700000006</v>
      </c>
      <c r="I220" s="14">
        <f t="shared" si="7"/>
        <v>71024.114700000006</v>
      </c>
      <c r="J220" s="8" t="s">
        <v>138</v>
      </c>
      <c r="K220" s="8" t="s">
        <v>509</v>
      </c>
      <c r="M220" s="339"/>
      <c r="N220" s="315"/>
    </row>
    <row r="221" spans="1:14" s="9" customFormat="1" ht="11.25" x14ac:dyDescent="0.2">
      <c r="A221" s="10">
        <v>60110300</v>
      </c>
      <c r="B221" s="10" t="s">
        <v>140</v>
      </c>
      <c r="C221" s="11">
        <v>0</v>
      </c>
      <c r="D221" s="11">
        <v>19543.525734000003</v>
      </c>
      <c r="E221" s="11">
        <v>7802.6440000000002</v>
      </c>
      <c r="F221" s="13">
        <f>SUMIF('OD 04-24'!A:A,A221,'OD 04-24'!D:D)</f>
        <v>0</v>
      </c>
      <c r="G221" s="13">
        <f>SUMIF('OD 04-24'!A:A,A221,'OD 04-24'!E:E)</f>
        <v>0</v>
      </c>
      <c r="H221" s="14">
        <f t="shared" si="6"/>
        <v>11740.881734000002</v>
      </c>
      <c r="I221" s="14">
        <f t="shared" si="7"/>
        <v>11740.881734000002</v>
      </c>
      <c r="J221" s="8" t="s">
        <v>138</v>
      </c>
      <c r="K221" s="8" t="s">
        <v>509</v>
      </c>
      <c r="M221" s="339"/>
      <c r="N221" s="315"/>
    </row>
    <row r="222" spans="1:14" s="9" customFormat="1" ht="11.25" x14ac:dyDescent="0.2">
      <c r="A222" s="10">
        <v>60110310</v>
      </c>
      <c r="B222" s="10" t="s">
        <v>141</v>
      </c>
      <c r="C222" s="11">
        <v>0</v>
      </c>
      <c r="D222" s="11">
        <v>40744.080000000002</v>
      </c>
      <c r="E222" s="11">
        <v>0</v>
      </c>
      <c r="F222" s="13">
        <f>SUMIF('OD 04-24'!A:A,A222,'OD 04-24'!D:D)</f>
        <v>0</v>
      </c>
      <c r="G222" s="13">
        <f>SUMIF('OD 04-24'!A:A,A222,'OD 04-24'!E:E)</f>
        <v>0</v>
      </c>
      <c r="H222" s="14">
        <f t="shared" si="6"/>
        <v>40744.080000000002</v>
      </c>
      <c r="I222" s="14">
        <f t="shared" si="7"/>
        <v>40744.080000000002</v>
      </c>
      <c r="J222" s="8" t="s">
        <v>138</v>
      </c>
      <c r="K222" s="8" t="s">
        <v>509</v>
      </c>
      <c r="M222" s="339"/>
      <c r="N222" s="315"/>
    </row>
    <row r="223" spans="1:14" s="9" customFormat="1" ht="11.25" x14ac:dyDescent="0.2">
      <c r="A223" s="10">
        <v>60110320</v>
      </c>
      <c r="B223" s="10" t="s">
        <v>142</v>
      </c>
      <c r="C223" s="11">
        <v>0</v>
      </c>
      <c r="D223" s="11">
        <v>44893.273368999995</v>
      </c>
      <c r="E223" s="11">
        <v>0</v>
      </c>
      <c r="F223" s="13">
        <f>SUMIF('OD 04-24'!A:A,A223,'OD 04-24'!D:D)</f>
        <v>0</v>
      </c>
      <c r="G223" s="13">
        <f>SUMIF('OD 04-24'!A:A,A223,'OD 04-24'!E:E)</f>
        <v>0</v>
      </c>
      <c r="H223" s="14">
        <f t="shared" si="6"/>
        <v>44893.273368999995</v>
      </c>
      <c r="I223" s="14">
        <f t="shared" si="7"/>
        <v>44893.273368999995</v>
      </c>
      <c r="J223" s="8" t="s">
        <v>138</v>
      </c>
      <c r="K223" s="8" t="s">
        <v>509</v>
      </c>
      <c r="M223" s="339"/>
      <c r="N223" s="315"/>
    </row>
    <row r="224" spans="1:14" s="9" customFormat="1" ht="11.25" x14ac:dyDescent="0.2">
      <c r="A224" s="10">
        <v>60110330</v>
      </c>
      <c r="B224" s="10" t="s">
        <v>143</v>
      </c>
      <c r="C224" s="11">
        <v>0</v>
      </c>
      <c r="D224" s="11">
        <v>27966.137999999999</v>
      </c>
      <c r="E224" s="11">
        <v>0</v>
      </c>
      <c r="F224" s="13">
        <f>SUMIF('OD 04-24'!A:A,A224,'OD 04-24'!D:D)</f>
        <v>0</v>
      </c>
      <c r="G224" s="13">
        <f>SUMIF('OD 04-24'!A:A,A224,'OD 04-24'!E:E)</f>
        <v>0</v>
      </c>
      <c r="H224" s="14">
        <f t="shared" si="6"/>
        <v>27966.137999999999</v>
      </c>
      <c r="I224" s="14">
        <f t="shared" si="7"/>
        <v>27966.137999999999</v>
      </c>
      <c r="J224" s="8" t="s">
        <v>138</v>
      </c>
      <c r="K224" s="8" t="s">
        <v>509</v>
      </c>
      <c r="M224" s="339"/>
      <c r="N224" s="315"/>
    </row>
    <row r="225" spans="1:14" s="9" customFormat="1" ht="11.25" x14ac:dyDescent="0.2">
      <c r="A225" s="10">
        <v>60110350</v>
      </c>
      <c r="B225" s="10" t="s">
        <v>261</v>
      </c>
      <c r="C225" s="11">
        <v>0</v>
      </c>
      <c r="D225" s="11">
        <v>0</v>
      </c>
      <c r="E225" s="11">
        <v>0</v>
      </c>
      <c r="F225" s="13">
        <f>SUMIF('OD 04-24'!A:A,A225,'OD 04-24'!D:D)</f>
        <v>0</v>
      </c>
      <c r="G225" s="13">
        <f>SUMIF('OD 04-24'!A:A,A225,'OD 04-24'!E:E)</f>
        <v>0</v>
      </c>
      <c r="H225" s="14">
        <f t="shared" si="6"/>
        <v>0</v>
      </c>
      <c r="I225" s="14">
        <f t="shared" si="7"/>
        <v>0</v>
      </c>
      <c r="J225" s="8" t="s">
        <v>138</v>
      </c>
      <c r="K225" s="8" t="s">
        <v>509</v>
      </c>
      <c r="M225" s="339"/>
      <c r="N225" s="315"/>
    </row>
    <row r="226" spans="1:14" s="9" customFormat="1" ht="11.25" x14ac:dyDescent="0.2">
      <c r="A226" s="10">
        <v>60110500</v>
      </c>
      <c r="B226" s="10" t="s">
        <v>144</v>
      </c>
      <c r="C226" s="11">
        <v>0</v>
      </c>
      <c r="D226" s="11">
        <v>2695.105</v>
      </c>
      <c r="E226" s="11">
        <v>0.06</v>
      </c>
      <c r="F226" s="13">
        <f>SUMIF('OD 04-24'!A:A,A226,'OD 04-24'!D:D)</f>
        <v>3677.7440000000001</v>
      </c>
      <c r="G226" s="13">
        <f>SUMIF('OD 04-24'!A:A,A226,'OD 04-24'!E:E)</f>
        <v>3677.7440000000001</v>
      </c>
      <c r="H226" s="14">
        <f t="shared" si="6"/>
        <v>2695.0449999999996</v>
      </c>
      <c r="I226" s="14">
        <f t="shared" si="7"/>
        <v>2695.0449999999996</v>
      </c>
      <c r="J226" s="8" t="s">
        <v>138</v>
      </c>
      <c r="K226" s="8" t="s">
        <v>509</v>
      </c>
      <c r="M226" s="339"/>
      <c r="N226" s="315"/>
    </row>
    <row r="227" spans="1:14" s="9" customFormat="1" ht="11.25" x14ac:dyDescent="0.2">
      <c r="A227" s="10">
        <v>60110600</v>
      </c>
      <c r="B227" s="10" t="s">
        <v>145</v>
      </c>
      <c r="C227" s="11">
        <v>0</v>
      </c>
      <c r="D227" s="11">
        <v>14924.198999999999</v>
      </c>
      <c r="E227" s="11">
        <v>0</v>
      </c>
      <c r="F227" s="13">
        <f>SUMIF('OD 04-24'!A:A,A227,'OD 04-24'!D:D)</f>
        <v>0</v>
      </c>
      <c r="G227" s="13">
        <f>SUMIF('OD 04-24'!A:A,A227,'OD 04-24'!E:E)</f>
        <v>0</v>
      </c>
      <c r="H227" s="14">
        <f t="shared" si="6"/>
        <v>14924.198999999999</v>
      </c>
      <c r="I227" s="14">
        <f t="shared" si="7"/>
        <v>14924.198999999999</v>
      </c>
      <c r="J227" s="8" t="s">
        <v>138</v>
      </c>
      <c r="K227" s="8" t="s">
        <v>509</v>
      </c>
      <c r="M227" s="339"/>
      <c r="N227" s="315"/>
    </row>
    <row r="228" spans="1:14" s="9" customFormat="1" ht="11.25" x14ac:dyDescent="0.2">
      <c r="A228" s="10">
        <v>60110700</v>
      </c>
      <c r="B228" s="10" t="s">
        <v>146</v>
      </c>
      <c r="C228" s="11">
        <v>0</v>
      </c>
      <c r="D228" s="11">
        <v>204.67500000000001</v>
      </c>
      <c r="E228" s="11">
        <v>0</v>
      </c>
      <c r="F228" s="13">
        <f>SUMIF('OD 04-24'!A:A,A228,'OD 04-24'!D:D)</f>
        <v>0</v>
      </c>
      <c r="G228" s="13">
        <f>SUMIF('OD 04-24'!A:A,A228,'OD 04-24'!E:E)</f>
        <v>0</v>
      </c>
      <c r="H228" s="14">
        <f t="shared" si="6"/>
        <v>204.67500000000001</v>
      </c>
      <c r="I228" s="14">
        <f t="shared" si="7"/>
        <v>204.67500000000001</v>
      </c>
      <c r="J228" s="8" t="s">
        <v>138</v>
      </c>
      <c r="K228" s="8" t="s">
        <v>509</v>
      </c>
      <c r="M228" s="339"/>
      <c r="N228" s="315"/>
    </row>
    <row r="229" spans="1:14" s="9" customFormat="1" ht="11.25" x14ac:dyDescent="0.2">
      <c r="A229" s="10">
        <v>60110900</v>
      </c>
      <c r="B229" s="10" t="s">
        <v>147</v>
      </c>
      <c r="C229" s="11">
        <v>0</v>
      </c>
      <c r="D229" s="11">
        <v>109326.70600000001</v>
      </c>
      <c r="E229" s="11">
        <v>0</v>
      </c>
      <c r="F229" s="13">
        <f>SUMIF('OD 04-24'!A:A,A229,'OD 04-24'!D:D)</f>
        <v>99509.387000000002</v>
      </c>
      <c r="G229" s="13">
        <f>SUMIF('OD 04-24'!A:A,A229,'OD 04-24'!E:E)</f>
        <v>57243.120999999999</v>
      </c>
      <c r="H229" s="14">
        <f t="shared" si="6"/>
        <v>151592.97200000001</v>
      </c>
      <c r="I229" s="14">
        <f t="shared" si="7"/>
        <v>151592.97200000001</v>
      </c>
      <c r="J229" s="8" t="s">
        <v>138</v>
      </c>
      <c r="K229" s="8" t="s">
        <v>509</v>
      </c>
      <c r="M229" s="339"/>
      <c r="N229" s="315"/>
    </row>
    <row r="230" spans="1:14" s="9" customFormat="1" ht="11.25" x14ac:dyDescent="0.2">
      <c r="A230" s="10">
        <v>60111000</v>
      </c>
      <c r="B230" s="10" t="s">
        <v>148</v>
      </c>
      <c r="C230" s="11">
        <v>0</v>
      </c>
      <c r="D230" s="11">
        <v>0</v>
      </c>
      <c r="E230" s="11">
        <v>0</v>
      </c>
      <c r="F230" s="13">
        <f>SUMIF('OD 04-24'!A:A,A230,'OD 04-24'!D:D)</f>
        <v>0</v>
      </c>
      <c r="G230" s="13">
        <f>SUMIF('OD 04-24'!A:A,A230,'OD 04-24'!E:E)</f>
        <v>0</v>
      </c>
      <c r="H230" s="14">
        <f t="shared" si="6"/>
        <v>0</v>
      </c>
      <c r="I230" s="14">
        <f t="shared" si="7"/>
        <v>0</v>
      </c>
      <c r="J230" s="8" t="s">
        <v>138</v>
      </c>
      <c r="K230" s="8" t="s">
        <v>509</v>
      </c>
      <c r="M230" s="339"/>
      <c r="N230" s="315"/>
    </row>
    <row r="231" spans="1:14" s="9" customFormat="1" ht="11.25" x14ac:dyDescent="0.2">
      <c r="A231" s="10">
        <v>60111010</v>
      </c>
      <c r="B231" s="10" t="s">
        <v>393</v>
      </c>
      <c r="C231" s="11">
        <v>0</v>
      </c>
      <c r="D231" s="11">
        <v>808</v>
      </c>
      <c r="E231" s="11">
        <v>0</v>
      </c>
      <c r="F231" s="13">
        <f>SUMIF('OD 04-24'!A:A,A231,'OD 04-24'!D:D)</f>
        <v>0</v>
      </c>
      <c r="G231" s="13">
        <f>SUMIF('OD 04-24'!A:A,A231,'OD 04-24'!E:E)</f>
        <v>0</v>
      </c>
      <c r="H231" s="14">
        <f t="shared" si="6"/>
        <v>808</v>
      </c>
      <c r="I231" s="14">
        <f t="shared" si="7"/>
        <v>808</v>
      </c>
      <c r="J231" s="8" t="s">
        <v>138</v>
      </c>
      <c r="K231" s="8" t="s">
        <v>509</v>
      </c>
      <c r="M231" s="339"/>
      <c r="N231" s="315"/>
    </row>
    <row r="232" spans="1:14" s="9" customFormat="1" ht="11.25" x14ac:dyDescent="0.2">
      <c r="A232" s="10">
        <v>60120100</v>
      </c>
      <c r="B232" s="10" t="s">
        <v>149</v>
      </c>
      <c r="C232" s="11">
        <v>0</v>
      </c>
      <c r="D232" s="11">
        <v>286673.65495450003</v>
      </c>
      <c r="E232" s="11">
        <v>7608.6944025000003</v>
      </c>
      <c r="F232" s="13">
        <f>SUMIF('OD 04-24'!A:A,A232,'OD 04-24'!D:D)</f>
        <v>0</v>
      </c>
      <c r="G232" s="13">
        <f>SUMIF('OD 04-24'!A:A,A232,'OD 04-24'!E:E)</f>
        <v>0</v>
      </c>
      <c r="H232" s="14">
        <f t="shared" si="6"/>
        <v>279064.96055200003</v>
      </c>
      <c r="I232" s="14">
        <f t="shared" si="7"/>
        <v>279064.96055200003</v>
      </c>
      <c r="J232" s="8" t="s">
        <v>138</v>
      </c>
      <c r="K232" s="8" t="s">
        <v>509</v>
      </c>
      <c r="M232" s="339"/>
      <c r="N232" s="315"/>
    </row>
    <row r="233" spans="1:14" s="9" customFormat="1" ht="11.25" x14ac:dyDescent="0.2">
      <c r="A233" s="10">
        <v>60120300</v>
      </c>
      <c r="B233" s="10" t="s">
        <v>150</v>
      </c>
      <c r="C233" s="11">
        <v>0</v>
      </c>
      <c r="D233" s="11">
        <v>3920372.3670000001</v>
      </c>
      <c r="E233" s="11">
        <v>72828.75</v>
      </c>
      <c r="F233" s="13">
        <f>SUMIF('OD 04-24'!A:A,A233,'OD 04-24'!D:D)</f>
        <v>370968.11</v>
      </c>
      <c r="G233" s="13">
        <f>SUMIF('OD 04-24'!A:A,A233,'OD 04-24'!E:E)</f>
        <v>293082.55</v>
      </c>
      <c r="H233" s="14">
        <f t="shared" si="6"/>
        <v>3925429.1770000001</v>
      </c>
      <c r="I233" s="14">
        <f t="shared" si="7"/>
        <v>3925429.1770000001</v>
      </c>
      <c r="J233" s="8" t="s">
        <v>138</v>
      </c>
      <c r="K233" s="8" t="s">
        <v>509</v>
      </c>
      <c r="M233" s="339"/>
      <c r="N233" s="315"/>
    </row>
    <row r="234" spans="1:14" s="9" customFormat="1" ht="11.25" x14ac:dyDescent="0.2">
      <c r="A234" s="10">
        <v>60120400</v>
      </c>
      <c r="B234" s="10" t="s">
        <v>365</v>
      </c>
      <c r="C234" s="11">
        <v>0</v>
      </c>
      <c r="D234" s="11">
        <v>339456.7</v>
      </c>
      <c r="E234" s="11">
        <v>0</v>
      </c>
      <c r="F234" s="13">
        <f>SUMIF('OD 04-24'!A:A,A234,'OD 04-24'!D:D)</f>
        <v>0</v>
      </c>
      <c r="G234" s="13">
        <f>SUMIF('OD 04-24'!A:A,A234,'OD 04-24'!E:E)</f>
        <v>0</v>
      </c>
      <c r="H234" s="14">
        <f t="shared" si="6"/>
        <v>339456.7</v>
      </c>
      <c r="I234" s="14">
        <f t="shared" si="7"/>
        <v>339456.7</v>
      </c>
      <c r="J234" s="8" t="s">
        <v>138</v>
      </c>
      <c r="K234" s="8" t="s">
        <v>509</v>
      </c>
      <c r="M234" s="339"/>
      <c r="N234" s="315"/>
    </row>
    <row r="235" spans="1:14" s="9" customFormat="1" ht="11.25" x14ac:dyDescent="0.2">
      <c r="A235" s="10">
        <v>60120800</v>
      </c>
      <c r="B235" s="10" t="s">
        <v>151</v>
      </c>
      <c r="C235" s="11">
        <v>0</v>
      </c>
      <c r="D235" s="11">
        <v>183006.5</v>
      </c>
      <c r="E235" s="11">
        <v>0</v>
      </c>
      <c r="F235" s="13">
        <f>SUMIF('OD 04-24'!A:A,A235,'OD 04-24'!D:D)</f>
        <v>0</v>
      </c>
      <c r="G235" s="13">
        <f>SUMIF('OD 04-24'!A:A,A235,'OD 04-24'!E:E)</f>
        <v>0</v>
      </c>
      <c r="H235" s="14">
        <f t="shared" si="6"/>
        <v>183006.5</v>
      </c>
      <c r="I235" s="14">
        <f t="shared" si="7"/>
        <v>183006.5</v>
      </c>
      <c r="J235" s="8" t="s">
        <v>138</v>
      </c>
      <c r="K235" s="8" t="s">
        <v>509</v>
      </c>
      <c r="M235" s="339"/>
      <c r="N235" s="315"/>
    </row>
    <row r="236" spans="1:14" s="9" customFormat="1" ht="11.25" x14ac:dyDescent="0.2">
      <c r="A236" s="10">
        <v>60120900</v>
      </c>
      <c r="B236" s="10" t="s">
        <v>7393</v>
      </c>
      <c r="C236" s="11">
        <v>0</v>
      </c>
      <c r="D236" s="11">
        <v>39825</v>
      </c>
      <c r="E236" s="11">
        <v>0</v>
      </c>
      <c r="F236" s="13">
        <f>SUMIF('OD 04-24'!A:A,A236,'OD 04-24'!D:D)</f>
        <v>0</v>
      </c>
      <c r="G236" s="13">
        <f>SUMIF('OD 04-24'!A:A,A236,'OD 04-24'!E:E)</f>
        <v>0</v>
      </c>
      <c r="H236" s="14">
        <f t="shared" si="6"/>
        <v>39825</v>
      </c>
      <c r="I236" s="14">
        <f t="shared" si="7"/>
        <v>39825</v>
      </c>
      <c r="J236" s="8" t="s">
        <v>138</v>
      </c>
      <c r="K236" s="8" t="s">
        <v>509</v>
      </c>
      <c r="M236" s="339"/>
      <c r="N236" s="315"/>
    </row>
    <row r="237" spans="1:14" s="9" customFormat="1" ht="11.25" x14ac:dyDescent="0.2">
      <c r="A237" s="10">
        <v>60121010</v>
      </c>
      <c r="B237" s="10" t="s">
        <v>152</v>
      </c>
      <c r="C237" s="11">
        <v>0</v>
      </c>
      <c r="D237" s="11">
        <v>4210775.5145749999</v>
      </c>
      <c r="E237" s="11">
        <v>0</v>
      </c>
      <c r="F237" s="13">
        <f>SUMIF('OD 04-24'!A:A,A237,'OD 04-24'!D:D)</f>
        <v>0</v>
      </c>
      <c r="G237" s="13">
        <f>SUMIF('OD 04-24'!A:A,A237,'OD 04-24'!E:E)</f>
        <v>0</v>
      </c>
      <c r="H237" s="14">
        <f t="shared" si="6"/>
        <v>4210775.5145749999</v>
      </c>
      <c r="I237" s="14">
        <f t="shared" si="7"/>
        <v>4210775.5145749999</v>
      </c>
      <c r="J237" s="8" t="s">
        <v>138</v>
      </c>
      <c r="K237" s="8" t="s">
        <v>509</v>
      </c>
      <c r="M237" s="339"/>
      <c r="N237" s="315"/>
    </row>
    <row r="238" spans="1:14" s="9" customFormat="1" ht="11.25" x14ac:dyDescent="0.2">
      <c r="A238" s="10">
        <v>60121020</v>
      </c>
      <c r="B238" s="10" t="s">
        <v>153</v>
      </c>
      <c r="C238" s="11">
        <v>0</v>
      </c>
      <c r="D238" s="11">
        <v>4664</v>
      </c>
      <c r="E238" s="11">
        <v>4664</v>
      </c>
      <c r="F238" s="13">
        <f>SUMIF('OD 04-24'!A:A,A238,'OD 04-24'!D:D)</f>
        <v>0</v>
      </c>
      <c r="G238" s="13">
        <f>SUMIF('OD 04-24'!A:A,A238,'OD 04-24'!E:E)</f>
        <v>0</v>
      </c>
      <c r="H238" s="14">
        <f t="shared" si="6"/>
        <v>0</v>
      </c>
      <c r="I238" s="14">
        <f t="shared" si="7"/>
        <v>0</v>
      </c>
      <c r="J238" s="8" t="s">
        <v>138</v>
      </c>
      <c r="K238" s="8" t="s">
        <v>509</v>
      </c>
      <c r="M238" s="339"/>
      <c r="N238" s="315"/>
    </row>
    <row r="239" spans="1:14" s="9" customFormat="1" ht="11.25" x14ac:dyDescent="0.2">
      <c r="A239" s="10">
        <v>60121031</v>
      </c>
      <c r="B239" s="10" t="s">
        <v>394</v>
      </c>
      <c r="C239" s="11">
        <v>0</v>
      </c>
      <c r="D239" s="11">
        <v>59140.306420000001</v>
      </c>
      <c r="E239" s="11">
        <v>0</v>
      </c>
      <c r="F239" s="13">
        <f>SUMIF('OD 04-24'!A:A,A239,'OD 04-24'!D:D)</f>
        <v>0</v>
      </c>
      <c r="G239" s="13">
        <f>SUMIF('OD 04-24'!A:A,A239,'OD 04-24'!E:E)</f>
        <v>0</v>
      </c>
      <c r="H239" s="14">
        <f t="shared" si="6"/>
        <v>59140.306420000001</v>
      </c>
      <c r="I239" s="14">
        <f t="shared" si="7"/>
        <v>59140.306420000001</v>
      </c>
      <c r="J239" s="8" t="s">
        <v>138</v>
      </c>
      <c r="K239" s="8" t="s">
        <v>509</v>
      </c>
      <c r="M239" s="339"/>
      <c r="N239" s="315"/>
    </row>
    <row r="240" spans="1:14" s="9" customFormat="1" ht="11.25" x14ac:dyDescent="0.2">
      <c r="A240" s="10">
        <v>60121035</v>
      </c>
      <c r="B240" s="10" t="s">
        <v>395</v>
      </c>
      <c r="C240" s="11">
        <v>0</v>
      </c>
      <c r="D240" s="11">
        <v>1453.5420000000001</v>
      </c>
      <c r="E240" s="11">
        <v>0</v>
      </c>
      <c r="F240" s="13">
        <f>SUMIF('OD 04-24'!A:A,A240,'OD 04-24'!D:D)</f>
        <v>0</v>
      </c>
      <c r="G240" s="13">
        <f>SUMIF('OD 04-24'!A:A,A240,'OD 04-24'!E:E)</f>
        <v>0</v>
      </c>
      <c r="H240" s="14">
        <f t="shared" si="6"/>
        <v>1453.5420000000001</v>
      </c>
      <c r="I240" s="14">
        <f t="shared" si="7"/>
        <v>1453.5420000000001</v>
      </c>
      <c r="J240" s="8" t="s">
        <v>138</v>
      </c>
      <c r="K240" s="8" t="s">
        <v>509</v>
      </c>
      <c r="M240" s="339"/>
      <c r="N240" s="315"/>
    </row>
    <row r="241" spans="1:14" s="9" customFormat="1" ht="11.25" x14ac:dyDescent="0.2">
      <c r="A241" s="10">
        <v>60121040</v>
      </c>
      <c r="B241" s="10" t="s">
        <v>7720</v>
      </c>
      <c r="C241" s="11">
        <v>0</v>
      </c>
      <c r="D241" s="11">
        <v>2058.75</v>
      </c>
      <c r="E241" s="11">
        <v>0</v>
      </c>
      <c r="F241" s="13">
        <f>SUMIF('OD 04-24'!A:A,A241,'OD 04-24'!D:D)</f>
        <v>0</v>
      </c>
      <c r="G241" s="13">
        <f>SUMIF('OD 04-24'!A:A,A241,'OD 04-24'!E:E)</f>
        <v>0</v>
      </c>
      <c r="H241" s="14">
        <f t="shared" si="6"/>
        <v>2058.75</v>
      </c>
      <c r="I241" s="14">
        <f t="shared" si="7"/>
        <v>2058.75</v>
      </c>
      <c r="J241" s="8" t="s">
        <v>138</v>
      </c>
      <c r="K241" s="8" t="s">
        <v>509</v>
      </c>
      <c r="M241" s="339"/>
      <c r="N241" s="315"/>
    </row>
    <row r="242" spans="1:14" s="9" customFormat="1" ht="11.25" x14ac:dyDescent="0.2">
      <c r="A242" s="10">
        <v>60121210</v>
      </c>
      <c r="B242" s="10" t="s">
        <v>7400</v>
      </c>
      <c r="C242" s="11">
        <v>0</v>
      </c>
      <c r="D242" s="11">
        <v>60430.133700000006</v>
      </c>
      <c r="E242" s="11">
        <v>0</v>
      </c>
      <c r="F242" s="13">
        <f>SUMIF('OD 04-24'!A:A,A242,'OD 04-24'!D:D)</f>
        <v>0</v>
      </c>
      <c r="G242" s="13">
        <f>SUMIF('OD 04-24'!A:A,A242,'OD 04-24'!E:E)</f>
        <v>0</v>
      </c>
      <c r="H242" s="14">
        <f t="shared" si="6"/>
        <v>60430.133700000006</v>
      </c>
      <c r="I242" s="14">
        <f t="shared" si="7"/>
        <v>60430.133700000006</v>
      </c>
      <c r="J242" s="8" t="s">
        <v>138</v>
      </c>
      <c r="K242" s="8" t="s">
        <v>509</v>
      </c>
      <c r="M242" s="339"/>
      <c r="N242" s="315"/>
    </row>
    <row r="243" spans="1:14" s="9" customFormat="1" ht="11.25" x14ac:dyDescent="0.2">
      <c r="A243" s="10">
        <v>60121400</v>
      </c>
      <c r="B243" s="10" t="s">
        <v>7570</v>
      </c>
      <c r="C243" s="11">
        <v>0</v>
      </c>
      <c r="D243" s="11">
        <v>27054.816000000003</v>
      </c>
      <c r="E243" s="11">
        <v>0</v>
      </c>
      <c r="F243" s="13">
        <f>SUMIF('OD 04-24'!A:A,A243,'OD 04-24'!D:D)</f>
        <v>0</v>
      </c>
      <c r="G243" s="13">
        <f>SUMIF('OD 04-24'!A:A,A243,'OD 04-24'!E:E)</f>
        <v>0</v>
      </c>
      <c r="H243" s="14">
        <f t="shared" si="6"/>
        <v>27054.816000000003</v>
      </c>
      <c r="I243" s="14">
        <f t="shared" si="7"/>
        <v>27054.816000000003</v>
      </c>
      <c r="J243" s="8" t="s">
        <v>138</v>
      </c>
      <c r="K243" s="8" t="s">
        <v>509</v>
      </c>
      <c r="M243" s="339"/>
      <c r="N243" s="315"/>
    </row>
    <row r="244" spans="1:14" s="9" customFormat="1" ht="11.25" x14ac:dyDescent="0.2">
      <c r="A244" s="10">
        <v>60121500</v>
      </c>
      <c r="B244" s="10" t="s">
        <v>404</v>
      </c>
      <c r="C244" s="11">
        <v>0</v>
      </c>
      <c r="D244" s="11">
        <v>43200</v>
      </c>
      <c r="E244" s="11">
        <v>0</v>
      </c>
      <c r="F244" s="13">
        <f>SUMIF('OD 04-24'!A:A,A244,'OD 04-24'!D:D)</f>
        <v>43200</v>
      </c>
      <c r="G244" s="13">
        <f>SUMIF('OD 04-24'!A:A,A244,'OD 04-24'!E:E)</f>
        <v>43200</v>
      </c>
      <c r="H244" s="14">
        <f t="shared" si="6"/>
        <v>43200</v>
      </c>
      <c r="I244" s="14">
        <f t="shared" si="7"/>
        <v>43200</v>
      </c>
      <c r="J244" s="8" t="s">
        <v>138</v>
      </c>
      <c r="K244" s="8" t="s">
        <v>509</v>
      </c>
      <c r="M244" s="339"/>
      <c r="N244" s="315"/>
    </row>
    <row r="245" spans="1:14" s="9" customFormat="1" ht="11.25" x14ac:dyDescent="0.2">
      <c r="A245" s="10">
        <v>60121600</v>
      </c>
      <c r="B245" s="10" t="s">
        <v>154</v>
      </c>
      <c r="C245" s="11">
        <v>0</v>
      </c>
      <c r="D245" s="11">
        <v>157380</v>
      </c>
      <c r="E245" s="11">
        <v>0</v>
      </c>
      <c r="F245" s="13">
        <f>SUMIF('OD 04-24'!A:A,A245,'OD 04-24'!D:D)</f>
        <v>0</v>
      </c>
      <c r="G245" s="13">
        <f>SUMIF('OD 04-24'!A:A,A245,'OD 04-24'!E:E)</f>
        <v>0</v>
      </c>
      <c r="H245" s="14">
        <f t="shared" si="6"/>
        <v>157380</v>
      </c>
      <c r="I245" s="14">
        <f t="shared" si="7"/>
        <v>157380</v>
      </c>
      <c r="J245" s="8" t="s">
        <v>138</v>
      </c>
      <c r="K245" s="8" t="s">
        <v>509</v>
      </c>
      <c r="M245" s="339"/>
      <c r="N245" s="315"/>
    </row>
    <row r="246" spans="1:14" s="9" customFormat="1" ht="11.25" x14ac:dyDescent="0.2">
      <c r="A246" s="10">
        <v>60121900</v>
      </c>
      <c r="B246" s="10" t="s">
        <v>7568</v>
      </c>
      <c r="C246" s="11">
        <v>0</v>
      </c>
      <c r="D246" s="11">
        <v>33763.75</v>
      </c>
      <c r="E246" s="11">
        <v>0</v>
      </c>
      <c r="F246" s="13">
        <f>SUMIF('OD 04-24'!A:A,A246,'OD 04-24'!D:D)</f>
        <v>0</v>
      </c>
      <c r="G246" s="13">
        <f>SUMIF('OD 04-24'!A:A,A246,'OD 04-24'!E:E)</f>
        <v>0</v>
      </c>
      <c r="H246" s="14">
        <f t="shared" si="6"/>
        <v>33763.75</v>
      </c>
      <c r="I246" s="14">
        <f t="shared" si="7"/>
        <v>33763.75</v>
      </c>
      <c r="J246" s="8" t="s">
        <v>138</v>
      </c>
      <c r="K246" s="8" t="s">
        <v>509</v>
      </c>
      <c r="M246" s="339"/>
      <c r="N246" s="315"/>
    </row>
    <row r="247" spans="1:14" s="9" customFormat="1" ht="11.25" x14ac:dyDescent="0.2">
      <c r="A247" s="10">
        <v>60122100</v>
      </c>
      <c r="B247" s="10" t="s">
        <v>155</v>
      </c>
      <c r="C247" s="11">
        <v>0</v>
      </c>
      <c r="D247" s="11">
        <v>51705</v>
      </c>
      <c r="E247" s="11">
        <v>0</v>
      </c>
      <c r="F247" s="13">
        <f>SUMIF('OD 04-24'!A:A,A247,'OD 04-24'!D:D)</f>
        <v>0</v>
      </c>
      <c r="G247" s="13">
        <f>SUMIF('OD 04-24'!A:A,A247,'OD 04-24'!E:E)</f>
        <v>0</v>
      </c>
      <c r="H247" s="14">
        <f t="shared" si="6"/>
        <v>51705</v>
      </c>
      <c r="I247" s="14">
        <f t="shared" si="7"/>
        <v>51705</v>
      </c>
      <c r="J247" s="8" t="s">
        <v>138</v>
      </c>
      <c r="K247" s="8" t="s">
        <v>509</v>
      </c>
      <c r="M247" s="339"/>
      <c r="N247" s="315"/>
    </row>
    <row r="248" spans="1:14" s="9" customFormat="1" ht="11.25" x14ac:dyDescent="0.2">
      <c r="A248" s="10">
        <v>60122200</v>
      </c>
      <c r="B248" s="10" t="s">
        <v>156</v>
      </c>
      <c r="C248" s="11">
        <v>0</v>
      </c>
      <c r="D248" s="11">
        <v>39588.048999999999</v>
      </c>
      <c r="E248" s="11">
        <v>0</v>
      </c>
      <c r="F248" s="13">
        <f>SUMIF('OD 04-24'!A:A,A248,'OD 04-24'!D:D)</f>
        <v>12789</v>
      </c>
      <c r="G248" s="13">
        <f>SUMIF('OD 04-24'!A:A,A248,'OD 04-24'!E:E)</f>
        <v>12789</v>
      </c>
      <c r="H248" s="14">
        <f t="shared" si="6"/>
        <v>39588.048999999999</v>
      </c>
      <c r="I248" s="14">
        <f t="shared" si="7"/>
        <v>39588.048999999999</v>
      </c>
      <c r="J248" s="8" t="s">
        <v>138</v>
      </c>
      <c r="K248" s="8" t="s">
        <v>509</v>
      </c>
      <c r="M248" s="339"/>
      <c r="N248" s="315"/>
    </row>
    <row r="249" spans="1:14" s="9" customFormat="1" ht="11.25" x14ac:dyDescent="0.2">
      <c r="A249" s="10">
        <v>60122410</v>
      </c>
      <c r="B249" s="10" t="s">
        <v>366</v>
      </c>
      <c r="C249" s="11">
        <v>0</v>
      </c>
      <c r="D249" s="11">
        <v>2300</v>
      </c>
      <c r="E249" s="11">
        <v>0</v>
      </c>
      <c r="F249" s="13">
        <f>SUMIF('OD 04-24'!A:A,A249,'OD 04-24'!D:D)</f>
        <v>0</v>
      </c>
      <c r="G249" s="13">
        <f>SUMIF('OD 04-24'!A:A,A249,'OD 04-24'!E:E)</f>
        <v>0</v>
      </c>
      <c r="H249" s="14">
        <f t="shared" si="6"/>
        <v>2300</v>
      </c>
      <c r="I249" s="14">
        <f t="shared" si="7"/>
        <v>2300</v>
      </c>
      <c r="J249" s="8" t="s">
        <v>138</v>
      </c>
      <c r="K249" s="8" t="s">
        <v>509</v>
      </c>
      <c r="M249" s="339"/>
      <c r="N249" s="315"/>
    </row>
    <row r="250" spans="1:14" s="9" customFormat="1" ht="11.25" x14ac:dyDescent="0.2">
      <c r="A250" s="10">
        <v>60122411</v>
      </c>
      <c r="B250" s="10" t="s">
        <v>367</v>
      </c>
      <c r="C250" s="11">
        <v>0</v>
      </c>
      <c r="D250" s="11">
        <v>23740</v>
      </c>
      <c r="E250" s="11">
        <v>0</v>
      </c>
      <c r="F250" s="13">
        <f>SUMIF('OD 04-24'!A:A,A250,'OD 04-24'!D:D)</f>
        <v>474.8</v>
      </c>
      <c r="G250" s="13">
        <f>SUMIF('OD 04-24'!A:A,A250,'OD 04-24'!E:E)</f>
        <v>474.8</v>
      </c>
      <c r="H250" s="14">
        <f t="shared" si="6"/>
        <v>23740</v>
      </c>
      <c r="I250" s="14">
        <f t="shared" si="7"/>
        <v>23740</v>
      </c>
      <c r="J250" s="8" t="s">
        <v>138</v>
      </c>
      <c r="K250" s="8" t="s">
        <v>509</v>
      </c>
      <c r="M250" s="339"/>
      <c r="N250" s="315"/>
    </row>
    <row r="251" spans="1:14" s="9" customFormat="1" ht="11.25" x14ac:dyDescent="0.2">
      <c r="A251" s="10">
        <v>60122510</v>
      </c>
      <c r="B251" s="10" t="s">
        <v>368</v>
      </c>
      <c r="C251" s="11">
        <v>0</v>
      </c>
      <c r="D251" s="11">
        <v>14180.046000000002</v>
      </c>
      <c r="E251" s="11">
        <v>0</v>
      </c>
      <c r="F251" s="13">
        <f>SUMIF('OD 04-24'!A:A,A251,'OD 04-24'!D:D)</f>
        <v>0</v>
      </c>
      <c r="G251" s="13">
        <f>SUMIF('OD 04-24'!A:A,A251,'OD 04-24'!E:E)</f>
        <v>0</v>
      </c>
      <c r="H251" s="14">
        <f t="shared" si="6"/>
        <v>14180.046000000002</v>
      </c>
      <c r="I251" s="14">
        <f t="shared" si="7"/>
        <v>14180.046000000002</v>
      </c>
      <c r="J251" s="8" t="s">
        <v>138</v>
      </c>
      <c r="K251" s="8" t="s">
        <v>509</v>
      </c>
      <c r="M251" s="339"/>
      <c r="N251" s="315"/>
    </row>
    <row r="252" spans="1:14" s="9" customFormat="1" ht="11.25" x14ac:dyDescent="0.2">
      <c r="A252" s="10">
        <v>60122520</v>
      </c>
      <c r="B252" s="10" t="s">
        <v>396</v>
      </c>
      <c r="C252" s="11">
        <v>0</v>
      </c>
      <c r="D252" s="11">
        <v>1640.461</v>
      </c>
      <c r="E252" s="11">
        <v>0</v>
      </c>
      <c r="F252" s="13">
        <f>SUMIF('OD 04-24'!A:A,A252,'OD 04-24'!D:D)</f>
        <v>0</v>
      </c>
      <c r="G252" s="13">
        <f>SUMIF('OD 04-24'!A:A,A252,'OD 04-24'!E:E)</f>
        <v>0</v>
      </c>
      <c r="H252" s="14">
        <f t="shared" si="6"/>
        <v>1640.461</v>
      </c>
      <c r="I252" s="14">
        <f t="shared" si="7"/>
        <v>1640.461</v>
      </c>
      <c r="J252" s="8" t="s">
        <v>138</v>
      </c>
      <c r="K252" s="8" t="s">
        <v>509</v>
      </c>
      <c r="M252" s="339"/>
      <c r="N252" s="315"/>
    </row>
    <row r="253" spans="1:14" s="9" customFormat="1" ht="11.25" x14ac:dyDescent="0.2">
      <c r="A253" s="10">
        <v>60122700</v>
      </c>
      <c r="B253" s="10" t="s">
        <v>7567</v>
      </c>
      <c r="C253" s="11">
        <v>0</v>
      </c>
      <c r="D253" s="11">
        <v>0</v>
      </c>
      <c r="E253" s="11">
        <v>0</v>
      </c>
      <c r="F253" s="13">
        <f>SUMIF('OD 04-24'!A:A,A253,'OD 04-24'!D:D)</f>
        <v>12212.5</v>
      </c>
      <c r="G253" s="13">
        <f>SUMIF('OD 04-24'!A:A,A253,'OD 04-24'!E:E)</f>
        <v>8712.5</v>
      </c>
      <c r="H253" s="14">
        <f t="shared" si="6"/>
        <v>3500</v>
      </c>
      <c r="I253" s="14">
        <f t="shared" si="7"/>
        <v>3500</v>
      </c>
      <c r="J253" s="8" t="s">
        <v>138</v>
      </c>
      <c r="K253" s="8" t="s">
        <v>509</v>
      </c>
      <c r="M253" s="339"/>
      <c r="N253" s="315"/>
    </row>
    <row r="254" spans="1:14" s="9" customFormat="1" ht="11.25" x14ac:dyDescent="0.2">
      <c r="A254" s="10">
        <v>60171000</v>
      </c>
      <c r="B254" s="10" t="s">
        <v>369</v>
      </c>
      <c r="C254" s="11">
        <v>0</v>
      </c>
      <c r="D254" s="11">
        <v>198413.864</v>
      </c>
      <c r="E254" s="11">
        <v>325.53100000000001</v>
      </c>
      <c r="F254" s="13">
        <f>SUMIF('OD 04-24'!A:A,A254,'OD 04-24'!D:D)</f>
        <v>195028.44</v>
      </c>
      <c r="G254" s="13">
        <f>SUMIF('OD 04-24'!A:A,A254,'OD 04-24'!E:E)</f>
        <v>138117.19200000001</v>
      </c>
      <c r="H254" s="14">
        <f t="shared" si="6"/>
        <v>254999.58099999998</v>
      </c>
      <c r="I254" s="14">
        <f t="shared" si="7"/>
        <v>254999.58099999998</v>
      </c>
      <c r="J254" s="8" t="s">
        <v>138</v>
      </c>
      <c r="K254" s="8" t="s">
        <v>509</v>
      </c>
      <c r="M254" s="339"/>
      <c r="N254" s="315"/>
    </row>
    <row r="255" spans="1:14" s="9" customFormat="1" ht="11.25" x14ac:dyDescent="0.2">
      <c r="A255" s="10">
        <v>60172000</v>
      </c>
      <c r="B255" s="10" t="s">
        <v>169</v>
      </c>
      <c r="C255" s="11">
        <v>0</v>
      </c>
      <c r="D255" s="11">
        <v>295239.63799999998</v>
      </c>
      <c r="E255" s="11">
        <v>1970.4739999999997</v>
      </c>
      <c r="F255" s="13">
        <f>SUMIF('OD 04-24'!A:A,A255,'OD 04-24'!D:D)</f>
        <v>293194.239</v>
      </c>
      <c r="G255" s="13">
        <f>SUMIF('OD 04-24'!A:A,A255,'OD 04-24'!E:E)</f>
        <v>198085.959</v>
      </c>
      <c r="H255" s="14">
        <f t="shared" si="6"/>
        <v>388377.4439999999</v>
      </c>
      <c r="I255" s="14">
        <f t="shared" si="7"/>
        <v>388377.4439999999</v>
      </c>
      <c r="J255" s="8" t="s">
        <v>138</v>
      </c>
      <c r="K255" s="8" t="s">
        <v>509</v>
      </c>
      <c r="M255" s="339"/>
      <c r="N255" s="315"/>
    </row>
    <row r="256" spans="1:14" s="9" customFormat="1" ht="11.25" x14ac:dyDescent="0.2">
      <c r="A256" s="10">
        <v>60173000</v>
      </c>
      <c r="B256" s="10" t="s">
        <v>170</v>
      </c>
      <c r="C256" s="11">
        <v>0</v>
      </c>
      <c r="D256" s="11">
        <v>41621.008999999998</v>
      </c>
      <c r="E256" s="11">
        <v>16484.29</v>
      </c>
      <c r="F256" s="13">
        <f>SUMIF('OD 04-24'!A:A,A256,'OD 04-24'!D:D)</f>
        <v>25129.195</v>
      </c>
      <c r="G256" s="13">
        <f>SUMIF('OD 04-24'!A:A,A256,'OD 04-24'!E:E)</f>
        <v>15894.249</v>
      </c>
      <c r="H256" s="14">
        <f t="shared" si="6"/>
        <v>34371.664999999994</v>
      </c>
      <c r="I256" s="14">
        <f t="shared" si="7"/>
        <v>34371.664999999994</v>
      </c>
      <c r="J256" s="8" t="s">
        <v>138</v>
      </c>
      <c r="K256" s="8" t="s">
        <v>509</v>
      </c>
      <c r="M256" s="339"/>
      <c r="N256" s="315"/>
    </row>
    <row r="257" spans="1:14" s="9" customFormat="1" ht="11.25" x14ac:dyDescent="0.2">
      <c r="A257" s="10">
        <v>60191000</v>
      </c>
      <c r="B257" s="10" t="s">
        <v>158</v>
      </c>
      <c r="C257" s="11">
        <v>0</v>
      </c>
      <c r="D257" s="11">
        <v>475921.02304</v>
      </c>
      <c r="E257" s="11">
        <v>20163.7</v>
      </c>
      <c r="F257" s="13">
        <f>SUMIF('OD 04-24'!A:A,A257,'OD 04-24'!D:D)</f>
        <v>0</v>
      </c>
      <c r="G257" s="13">
        <f>SUMIF('OD 04-24'!A:A,A257,'OD 04-24'!E:E)</f>
        <v>0</v>
      </c>
      <c r="H257" s="14">
        <f t="shared" si="6"/>
        <v>455757.32303999999</v>
      </c>
      <c r="I257" s="14">
        <f t="shared" si="7"/>
        <v>455757.32303999999</v>
      </c>
      <c r="J257" s="8" t="s">
        <v>138</v>
      </c>
      <c r="K257" s="8" t="s">
        <v>509</v>
      </c>
      <c r="M257" s="339"/>
      <c r="N257" s="315"/>
    </row>
    <row r="258" spans="1:14" s="9" customFormat="1" ht="11.25" x14ac:dyDescent="0.2">
      <c r="A258" s="10">
        <v>60215000</v>
      </c>
      <c r="B258" s="10" t="s">
        <v>370</v>
      </c>
      <c r="C258" s="11">
        <v>0</v>
      </c>
      <c r="D258" s="11">
        <v>0</v>
      </c>
      <c r="E258" s="11">
        <v>0</v>
      </c>
      <c r="F258" s="13">
        <f>SUMIF('OD 04-24'!A:A,A258,'OD 04-24'!D:D)</f>
        <v>0</v>
      </c>
      <c r="G258" s="13">
        <f>SUMIF('OD 04-24'!A:A,A258,'OD 04-24'!E:E)</f>
        <v>0</v>
      </c>
      <c r="H258" s="14">
        <f t="shared" si="6"/>
        <v>0</v>
      </c>
      <c r="I258" s="14">
        <f t="shared" si="7"/>
        <v>0</v>
      </c>
      <c r="J258" s="8" t="s">
        <v>138</v>
      </c>
      <c r="K258" s="8" t="s">
        <v>509</v>
      </c>
      <c r="M258" s="339"/>
      <c r="N258" s="315"/>
    </row>
    <row r="259" spans="1:14" s="9" customFormat="1" ht="11.25" x14ac:dyDescent="0.2">
      <c r="A259" s="10">
        <v>60216000</v>
      </c>
      <c r="B259" s="10" t="s">
        <v>371</v>
      </c>
      <c r="C259" s="11">
        <v>0</v>
      </c>
      <c r="D259" s="11">
        <v>146182.40016250001</v>
      </c>
      <c r="E259" s="11">
        <v>0</v>
      </c>
      <c r="F259" s="13">
        <f>SUMIF('OD 04-24'!A:A,A259,'OD 04-24'!D:D)</f>
        <v>0</v>
      </c>
      <c r="G259" s="13">
        <f>SUMIF('OD 04-24'!A:A,A259,'OD 04-24'!E:E)</f>
        <v>0</v>
      </c>
      <c r="H259" s="14">
        <f t="shared" ref="H259:H322" si="8">+D259+F259-E259-G259</f>
        <v>146182.40016250001</v>
      </c>
      <c r="I259" s="14">
        <f t="shared" ref="I259:I322" si="9">+H259+C259</f>
        <v>146182.40016250001</v>
      </c>
      <c r="J259" s="8" t="s">
        <v>138</v>
      </c>
      <c r="K259" s="8" t="s">
        <v>509</v>
      </c>
      <c r="M259" s="339"/>
      <c r="N259" s="315"/>
    </row>
    <row r="260" spans="1:14" s="9" customFormat="1" ht="11.25" x14ac:dyDescent="0.2">
      <c r="A260" s="10">
        <v>60260200</v>
      </c>
      <c r="B260" s="10" t="s">
        <v>372</v>
      </c>
      <c r="C260" s="11">
        <v>0</v>
      </c>
      <c r="D260" s="11">
        <v>3879.85</v>
      </c>
      <c r="E260" s="11">
        <v>0</v>
      </c>
      <c r="F260" s="13">
        <f>SUMIF('OD 04-24'!A:A,A260,'OD 04-24'!D:D)</f>
        <v>0</v>
      </c>
      <c r="G260" s="13">
        <f>SUMIF('OD 04-24'!A:A,A260,'OD 04-24'!E:E)</f>
        <v>0</v>
      </c>
      <c r="H260" s="14">
        <f t="shared" si="8"/>
        <v>3879.85</v>
      </c>
      <c r="I260" s="14">
        <f t="shared" si="9"/>
        <v>3879.85</v>
      </c>
      <c r="J260" s="8" t="s">
        <v>138</v>
      </c>
      <c r="K260" s="8" t="s">
        <v>509</v>
      </c>
      <c r="M260" s="339"/>
      <c r="N260" s="315"/>
    </row>
    <row r="261" spans="1:14" s="9" customFormat="1" ht="11.25" x14ac:dyDescent="0.2">
      <c r="A261" s="10">
        <v>60260300</v>
      </c>
      <c r="B261" s="10" t="s">
        <v>160</v>
      </c>
      <c r="C261" s="11">
        <v>0</v>
      </c>
      <c r="D261" s="11">
        <v>31749.05</v>
      </c>
      <c r="E261" s="11">
        <v>0</v>
      </c>
      <c r="F261" s="13">
        <f>SUMIF('OD 04-24'!A:A,A261,'OD 04-24'!D:D)</f>
        <v>0</v>
      </c>
      <c r="G261" s="13">
        <f>SUMIF('OD 04-24'!A:A,A261,'OD 04-24'!E:E)</f>
        <v>0</v>
      </c>
      <c r="H261" s="14">
        <f t="shared" si="8"/>
        <v>31749.05</v>
      </c>
      <c r="I261" s="14">
        <f t="shared" si="9"/>
        <v>31749.05</v>
      </c>
      <c r="J261" s="8" t="s">
        <v>138</v>
      </c>
      <c r="K261" s="8" t="s">
        <v>509</v>
      </c>
      <c r="M261" s="339"/>
      <c r="N261" s="315"/>
    </row>
    <row r="262" spans="1:14" s="9" customFormat="1" ht="11.25" x14ac:dyDescent="0.2">
      <c r="A262" s="10">
        <v>60260400</v>
      </c>
      <c r="B262" s="10" t="s">
        <v>161</v>
      </c>
      <c r="C262" s="11">
        <v>0</v>
      </c>
      <c r="D262" s="11">
        <v>28593.132999999994</v>
      </c>
      <c r="E262" s="11">
        <v>0</v>
      </c>
      <c r="F262" s="13">
        <f>SUMIF('OD 04-24'!A:A,A262,'OD 04-24'!D:D)</f>
        <v>9653.4</v>
      </c>
      <c r="G262" s="13">
        <f>SUMIF('OD 04-24'!A:A,A262,'OD 04-24'!E:E)</f>
        <v>9653.4</v>
      </c>
      <c r="H262" s="14">
        <f t="shared" si="8"/>
        <v>28593.132999999994</v>
      </c>
      <c r="I262" s="14">
        <f t="shared" si="9"/>
        <v>28593.132999999994</v>
      </c>
      <c r="J262" s="8" t="s">
        <v>138</v>
      </c>
      <c r="K262" s="8" t="s">
        <v>509</v>
      </c>
      <c r="M262" s="339"/>
      <c r="N262" s="315"/>
    </row>
    <row r="263" spans="1:14" s="9" customFormat="1" ht="11.25" x14ac:dyDescent="0.2">
      <c r="A263" s="10">
        <v>60260500</v>
      </c>
      <c r="B263" s="10" t="s">
        <v>162</v>
      </c>
      <c r="C263" s="11">
        <v>0</v>
      </c>
      <c r="D263" s="11">
        <v>7347.0040000000008</v>
      </c>
      <c r="E263" s="11">
        <v>0</v>
      </c>
      <c r="F263" s="13">
        <f>SUMIF('OD 04-24'!A:A,A263,'OD 04-24'!D:D)</f>
        <v>0</v>
      </c>
      <c r="G263" s="13">
        <f>SUMIF('OD 04-24'!A:A,A263,'OD 04-24'!E:E)</f>
        <v>0</v>
      </c>
      <c r="H263" s="14">
        <f t="shared" si="8"/>
        <v>7347.0040000000008</v>
      </c>
      <c r="I263" s="14">
        <f t="shared" si="9"/>
        <v>7347.0040000000008</v>
      </c>
      <c r="J263" s="8" t="s">
        <v>138</v>
      </c>
      <c r="K263" s="8" t="s">
        <v>509</v>
      </c>
      <c r="M263" s="339"/>
      <c r="N263" s="315"/>
    </row>
    <row r="264" spans="1:14" s="9" customFormat="1" ht="11.25" x14ac:dyDescent="0.2">
      <c r="A264" s="10">
        <v>60260600</v>
      </c>
      <c r="B264" s="10" t="s">
        <v>7401</v>
      </c>
      <c r="C264" s="11">
        <v>0</v>
      </c>
      <c r="D264" s="11">
        <v>1222.0999999999999</v>
      </c>
      <c r="E264" s="11">
        <v>0</v>
      </c>
      <c r="F264" s="13">
        <f>SUMIF('OD 04-24'!A:A,A264,'OD 04-24'!D:D)</f>
        <v>0</v>
      </c>
      <c r="G264" s="13">
        <f>SUMIF('OD 04-24'!A:A,A264,'OD 04-24'!E:E)</f>
        <v>0</v>
      </c>
      <c r="H264" s="14">
        <f t="shared" si="8"/>
        <v>1222.0999999999999</v>
      </c>
      <c r="I264" s="14">
        <f t="shared" si="9"/>
        <v>1222.0999999999999</v>
      </c>
      <c r="J264" s="8" t="s">
        <v>138</v>
      </c>
      <c r="K264" s="8" t="s">
        <v>509</v>
      </c>
      <c r="M264" s="339"/>
      <c r="N264" s="315"/>
    </row>
    <row r="265" spans="1:14" s="9" customFormat="1" ht="11.25" x14ac:dyDescent="0.2">
      <c r="A265" s="10">
        <v>60260700</v>
      </c>
      <c r="B265" s="10" t="s">
        <v>163</v>
      </c>
      <c r="C265" s="11">
        <v>0</v>
      </c>
      <c r="D265" s="11">
        <v>33683.5</v>
      </c>
      <c r="E265" s="11">
        <v>3368.35</v>
      </c>
      <c r="F265" s="13">
        <f>SUMIF('OD 04-24'!A:A,A265,'OD 04-24'!D:D)</f>
        <v>4045.7</v>
      </c>
      <c r="G265" s="13">
        <f>SUMIF('OD 04-24'!A:A,A265,'OD 04-24'!E:E)</f>
        <v>1955</v>
      </c>
      <c r="H265" s="14">
        <f t="shared" si="8"/>
        <v>32405.85</v>
      </c>
      <c r="I265" s="14">
        <f t="shared" si="9"/>
        <v>32405.85</v>
      </c>
      <c r="J265" s="8" t="s">
        <v>138</v>
      </c>
      <c r="K265" s="8" t="s">
        <v>509</v>
      </c>
      <c r="M265" s="339"/>
      <c r="N265" s="315"/>
    </row>
    <row r="266" spans="1:14" s="9" customFormat="1" ht="11.25" x14ac:dyDescent="0.2">
      <c r="A266" s="10">
        <v>60262000</v>
      </c>
      <c r="B266" s="10" t="s">
        <v>164</v>
      </c>
      <c r="C266" s="11">
        <v>0</v>
      </c>
      <c r="D266" s="11">
        <v>77914.320922500003</v>
      </c>
      <c r="E266" s="11">
        <v>0</v>
      </c>
      <c r="F266" s="13">
        <f>SUMIF('OD 04-24'!A:A,A266,'OD 04-24'!D:D)</f>
        <v>9785</v>
      </c>
      <c r="G266" s="13">
        <f>SUMIF('OD 04-24'!A:A,A266,'OD 04-24'!E:E)</f>
        <v>8425</v>
      </c>
      <c r="H266" s="14">
        <f t="shared" si="8"/>
        <v>79274.320922500003</v>
      </c>
      <c r="I266" s="14">
        <f t="shared" si="9"/>
        <v>79274.320922500003</v>
      </c>
      <c r="J266" s="8" t="s">
        <v>138</v>
      </c>
      <c r="K266" s="8" t="s">
        <v>509</v>
      </c>
      <c r="M266" s="339"/>
      <c r="N266" s="315"/>
    </row>
    <row r="267" spans="1:14" s="9" customFormat="1" ht="11.25" x14ac:dyDescent="0.2">
      <c r="A267" s="10">
        <v>60263000</v>
      </c>
      <c r="B267" s="10" t="s">
        <v>165</v>
      </c>
      <c r="C267" s="11">
        <v>0</v>
      </c>
      <c r="D267" s="11">
        <v>15099.914999999999</v>
      </c>
      <c r="E267" s="11">
        <v>3446.625</v>
      </c>
      <c r="F267" s="13">
        <f>SUMIF('OD 04-24'!A:A,A267,'OD 04-24'!D:D)</f>
        <v>0</v>
      </c>
      <c r="G267" s="13">
        <f>SUMIF('OD 04-24'!A:A,A267,'OD 04-24'!E:E)</f>
        <v>0</v>
      </c>
      <c r="H267" s="14">
        <f t="shared" si="8"/>
        <v>11653.289999999999</v>
      </c>
      <c r="I267" s="14">
        <f t="shared" si="9"/>
        <v>11653.289999999999</v>
      </c>
      <c r="J267" s="8" t="s">
        <v>138</v>
      </c>
      <c r="K267" s="8" t="s">
        <v>509</v>
      </c>
      <c r="M267" s="339"/>
      <c r="N267" s="315"/>
    </row>
    <row r="268" spans="1:14" s="9" customFormat="1" ht="11.25" x14ac:dyDescent="0.2">
      <c r="A268" s="10">
        <v>60310000</v>
      </c>
      <c r="B268" s="10" t="s">
        <v>265</v>
      </c>
      <c r="C268" s="11">
        <v>0</v>
      </c>
      <c r="D268" s="11">
        <v>10656855.097999999</v>
      </c>
      <c r="E268" s="11">
        <v>1136780.078</v>
      </c>
      <c r="F268" s="13">
        <f>SUMIF('OD 04-24'!A:A,A268,'OD 04-24'!D:D)</f>
        <v>59185065.2421</v>
      </c>
      <c r="G268" s="13">
        <f>SUMIF('OD 04-24'!A:A,A268,'OD 04-24'!E:E)</f>
        <v>68822357.841100007</v>
      </c>
      <c r="H268" s="14">
        <f t="shared" si="8"/>
        <v>-117217.57899999619</v>
      </c>
      <c r="I268" s="14">
        <f t="shared" si="9"/>
        <v>-117217.57899999619</v>
      </c>
      <c r="J268" s="8" t="s">
        <v>138</v>
      </c>
      <c r="K268" s="8" t="s">
        <v>509</v>
      </c>
      <c r="M268" s="339"/>
      <c r="N268" s="315"/>
    </row>
    <row r="269" spans="1:14" s="9" customFormat="1" ht="11.25" x14ac:dyDescent="0.2">
      <c r="A269" s="10">
        <v>60330000</v>
      </c>
      <c r="B269" s="10" t="s">
        <v>266</v>
      </c>
      <c r="C269" s="11">
        <v>0</v>
      </c>
      <c r="D269" s="11">
        <v>662156.429</v>
      </c>
      <c r="E269" s="11">
        <v>0</v>
      </c>
      <c r="F269" s="13">
        <f>SUMIF('OD 04-24'!A:A,A269,'OD 04-24'!D:D)</f>
        <v>3892519.7455000002</v>
      </c>
      <c r="G269" s="13">
        <f>SUMIF('OD 04-24'!A:A,A269,'OD 04-24'!E:E)</f>
        <v>4515833.4694999997</v>
      </c>
      <c r="H269" s="14">
        <f t="shared" si="8"/>
        <v>38842.705000000075</v>
      </c>
      <c r="I269" s="14">
        <f t="shared" si="9"/>
        <v>38842.705000000075</v>
      </c>
      <c r="J269" s="8" t="s">
        <v>157</v>
      </c>
      <c r="K269" s="8" t="s">
        <v>512</v>
      </c>
      <c r="M269" s="339"/>
      <c r="N269" s="315"/>
    </row>
    <row r="270" spans="1:14" s="9" customFormat="1" ht="11.25" x14ac:dyDescent="0.2">
      <c r="A270" s="10">
        <v>60401000</v>
      </c>
      <c r="B270" s="10" t="s">
        <v>166</v>
      </c>
      <c r="C270" s="11">
        <v>0</v>
      </c>
      <c r="D270" s="11">
        <v>0</v>
      </c>
      <c r="E270" s="11">
        <v>0</v>
      </c>
      <c r="F270" s="13">
        <f>SUMIF('OD 04-24'!A:A,A270,'OD 04-24'!D:D)</f>
        <v>163551.00099999999</v>
      </c>
      <c r="G270" s="13">
        <f>SUMIF('OD 04-24'!A:A,A270,'OD 04-24'!E:E)</f>
        <v>109379.001</v>
      </c>
      <c r="H270" s="14">
        <f t="shared" si="8"/>
        <v>54171.999999999985</v>
      </c>
      <c r="I270" s="14">
        <f t="shared" si="9"/>
        <v>54171.999999999985</v>
      </c>
      <c r="J270" s="8" t="s">
        <v>157</v>
      </c>
      <c r="K270" s="8" t="s">
        <v>512</v>
      </c>
      <c r="M270" s="339"/>
      <c r="N270" s="315"/>
    </row>
    <row r="271" spans="1:14" s="9" customFormat="1" ht="11.25" x14ac:dyDescent="0.2">
      <c r="A271" s="10">
        <v>60502000</v>
      </c>
      <c r="B271" s="10" t="s">
        <v>167</v>
      </c>
      <c r="C271" s="11">
        <v>0</v>
      </c>
      <c r="D271" s="11">
        <v>243326.72705000002</v>
      </c>
      <c r="E271" s="11">
        <v>30590.612050000003</v>
      </c>
      <c r="F271" s="13">
        <f>SUMIF('OD 04-24'!A:A,A271,'OD 04-24'!D:D)</f>
        <v>49793.364000000001</v>
      </c>
      <c r="G271" s="13">
        <f>SUMIF('OD 04-24'!A:A,A271,'OD 04-24'!E:E)</f>
        <v>35453.442999999999</v>
      </c>
      <c r="H271" s="14">
        <f t="shared" si="8"/>
        <v>227076.03600000005</v>
      </c>
      <c r="I271" s="14">
        <f t="shared" si="9"/>
        <v>227076.03600000005</v>
      </c>
      <c r="J271" s="8" t="s">
        <v>157</v>
      </c>
      <c r="K271" s="8" t="s">
        <v>512</v>
      </c>
      <c r="M271" s="339"/>
      <c r="N271" s="315"/>
    </row>
    <row r="272" spans="1:14" s="9" customFormat="1" ht="11.25" x14ac:dyDescent="0.2">
      <c r="A272" s="10">
        <v>60504000</v>
      </c>
      <c r="B272" s="10" t="s">
        <v>168</v>
      </c>
      <c r="C272" s="11">
        <v>0</v>
      </c>
      <c r="D272" s="11">
        <v>8462</v>
      </c>
      <c r="E272" s="11">
        <v>0</v>
      </c>
      <c r="F272" s="13">
        <f>SUMIF('OD 04-24'!A:A,A272,'OD 04-24'!D:D)</f>
        <v>0</v>
      </c>
      <c r="G272" s="13">
        <f>SUMIF('OD 04-24'!A:A,A272,'OD 04-24'!E:E)</f>
        <v>0</v>
      </c>
      <c r="H272" s="14">
        <f t="shared" si="8"/>
        <v>8462</v>
      </c>
      <c r="I272" s="14">
        <f t="shared" si="9"/>
        <v>8462</v>
      </c>
      <c r="J272" s="8" t="s">
        <v>157</v>
      </c>
      <c r="K272" s="8" t="s">
        <v>512</v>
      </c>
      <c r="M272" s="339"/>
      <c r="N272" s="315"/>
    </row>
    <row r="273" spans="1:14" s="9" customFormat="1" ht="11.25" x14ac:dyDescent="0.2">
      <c r="A273" s="10">
        <v>60614000</v>
      </c>
      <c r="B273" s="10" t="s">
        <v>171</v>
      </c>
      <c r="C273" s="11">
        <v>0</v>
      </c>
      <c r="D273" s="11">
        <v>90950.535999999993</v>
      </c>
      <c r="E273" s="11">
        <v>4625</v>
      </c>
      <c r="F273" s="13">
        <f>SUMIF('OD 04-24'!A:A,A273,'OD 04-24'!D:D)</f>
        <v>0</v>
      </c>
      <c r="G273" s="13">
        <f>SUMIF('OD 04-24'!A:A,A273,'OD 04-24'!E:E)</f>
        <v>0</v>
      </c>
      <c r="H273" s="14">
        <f t="shared" si="8"/>
        <v>86325.535999999993</v>
      </c>
      <c r="I273" s="14">
        <f t="shared" si="9"/>
        <v>86325.535999999993</v>
      </c>
      <c r="J273" s="8" t="s">
        <v>157</v>
      </c>
      <c r="K273" s="8" t="s">
        <v>512</v>
      </c>
      <c r="M273" s="339"/>
      <c r="N273" s="315"/>
    </row>
    <row r="274" spans="1:14" s="9" customFormat="1" ht="11.25" x14ac:dyDescent="0.2">
      <c r="A274" s="10">
        <v>60620000</v>
      </c>
      <c r="B274" s="10" t="s">
        <v>172</v>
      </c>
      <c r="C274" s="11">
        <v>0</v>
      </c>
      <c r="D274" s="11">
        <v>11406.936000000002</v>
      </c>
      <c r="E274" s="11">
        <v>0</v>
      </c>
      <c r="F274" s="13">
        <f>SUMIF('OD 04-24'!A:A,A274,'OD 04-24'!D:D)</f>
        <v>2067.6999999999998</v>
      </c>
      <c r="G274" s="13">
        <f>SUMIF('OD 04-24'!A:A,A274,'OD 04-24'!E:E)</f>
        <v>1632.7</v>
      </c>
      <c r="H274" s="14">
        <f t="shared" si="8"/>
        <v>11841.936000000002</v>
      </c>
      <c r="I274" s="14">
        <f t="shared" si="9"/>
        <v>11841.936000000002</v>
      </c>
      <c r="J274" s="8" t="s">
        <v>157</v>
      </c>
      <c r="K274" s="8" t="s">
        <v>512</v>
      </c>
      <c r="M274" s="339"/>
      <c r="N274" s="315"/>
    </row>
    <row r="275" spans="1:14" s="9" customFormat="1" ht="11.25" x14ac:dyDescent="0.2">
      <c r="A275" s="10">
        <v>60650000</v>
      </c>
      <c r="B275" s="10" t="s">
        <v>373</v>
      </c>
      <c r="C275" s="11">
        <v>0</v>
      </c>
      <c r="D275" s="11">
        <v>4050</v>
      </c>
      <c r="E275" s="11">
        <v>0</v>
      </c>
      <c r="F275" s="13">
        <f>SUMIF('OD 04-24'!A:A,A275,'OD 04-24'!D:D)</f>
        <v>1350</v>
      </c>
      <c r="G275" s="13">
        <f>SUMIF('OD 04-24'!A:A,A275,'OD 04-24'!E:E)</f>
        <v>0</v>
      </c>
      <c r="H275" s="14">
        <f t="shared" si="8"/>
        <v>5400</v>
      </c>
      <c r="I275" s="14">
        <f t="shared" si="9"/>
        <v>5400</v>
      </c>
      <c r="J275" s="8" t="s">
        <v>138</v>
      </c>
      <c r="K275" s="8" t="s">
        <v>509</v>
      </c>
      <c r="M275" s="339"/>
      <c r="N275" s="315"/>
    </row>
    <row r="276" spans="1:14" s="9" customFormat="1" ht="11.25" x14ac:dyDescent="0.2">
      <c r="A276" s="10">
        <v>60660000</v>
      </c>
      <c r="B276" s="10" t="s">
        <v>173</v>
      </c>
      <c r="C276" s="11">
        <v>0</v>
      </c>
      <c r="D276" s="11">
        <v>6142.875</v>
      </c>
      <c r="E276" s="11">
        <v>0</v>
      </c>
      <c r="F276" s="13">
        <f>SUMIF('OD 04-24'!A:A,A276,'OD 04-24'!D:D)</f>
        <v>0</v>
      </c>
      <c r="G276" s="13">
        <f>SUMIF('OD 04-24'!A:A,A276,'OD 04-24'!E:E)</f>
        <v>0</v>
      </c>
      <c r="H276" s="14">
        <f t="shared" si="8"/>
        <v>6142.875</v>
      </c>
      <c r="I276" s="14">
        <f t="shared" si="9"/>
        <v>6142.875</v>
      </c>
      <c r="J276" s="8" t="s">
        <v>157</v>
      </c>
      <c r="K276" s="8" t="s">
        <v>512</v>
      </c>
      <c r="M276" s="339"/>
      <c r="N276" s="315"/>
    </row>
    <row r="277" spans="1:14" s="9" customFormat="1" ht="11.25" x14ac:dyDescent="0.2">
      <c r="A277" s="10">
        <v>60670000</v>
      </c>
      <c r="B277" s="10" t="s">
        <v>174</v>
      </c>
      <c r="C277" s="11">
        <v>0</v>
      </c>
      <c r="D277" s="11">
        <v>6053.51</v>
      </c>
      <c r="E277" s="11">
        <v>0</v>
      </c>
      <c r="F277" s="13">
        <f>SUMIF('OD 04-24'!A:A,A277,'OD 04-24'!D:D)</f>
        <v>0</v>
      </c>
      <c r="G277" s="13">
        <f>SUMIF('OD 04-24'!A:A,A277,'OD 04-24'!E:E)</f>
        <v>0</v>
      </c>
      <c r="H277" s="14">
        <f t="shared" si="8"/>
        <v>6053.51</v>
      </c>
      <c r="I277" s="14">
        <f t="shared" si="9"/>
        <v>6053.51</v>
      </c>
      <c r="J277" s="8" t="s">
        <v>157</v>
      </c>
      <c r="K277" s="8" t="s">
        <v>512</v>
      </c>
      <c r="M277" s="339"/>
      <c r="N277" s="315"/>
    </row>
    <row r="278" spans="1:14" s="9" customFormat="1" ht="11.25" x14ac:dyDescent="0.2">
      <c r="A278" s="10">
        <v>60671000</v>
      </c>
      <c r="B278" s="10" t="s">
        <v>374</v>
      </c>
      <c r="C278" s="11">
        <v>0</v>
      </c>
      <c r="D278" s="11">
        <v>58649.385999999999</v>
      </c>
      <c r="E278" s="11">
        <v>0</v>
      </c>
      <c r="F278" s="13">
        <f>SUMIF('OD 04-24'!A:A,A278,'OD 04-24'!D:D)</f>
        <v>3577.85</v>
      </c>
      <c r="G278" s="13">
        <f>SUMIF('OD 04-24'!A:A,A278,'OD 04-24'!E:E)</f>
        <v>2830</v>
      </c>
      <c r="H278" s="14">
        <f t="shared" si="8"/>
        <v>59397.235999999997</v>
      </c>
      <c r="I278" s="14">
        <f t="shared" si="9"/>
        <v>59397.235999999997</v>
      </c>
      <c r="J278" s="8" t="s">
        <v>157</v>
      </c>
      <c r="K278" s="8" t="s">
        <v>512</v>
      </c>
      <c r="M278" s="339"/>
      <c r="N278" s="315"/>
    </row>
    <row r="279" spans="1:14" s="9" customFormat="1" ht="11.25" x14ac:dyDescent="0.2">
      <c r="A279" s="10">
        <v>61400000</v>
      </c>
      <c r="B279" s="10" t="s">
        <v>175</v>
      </c>
      <c r="C279" s="11">
        <v>0</v>
      </c>
      <c r="D279" s="11">
        <v>25433.332000000002</v>
      </c>
      <c r="E279" s="11">
        <v>0</v>
      </c>
      <c r="F279" s="13">
        <f>SUMIF('OD 04-24'!A:A,A279,'OD 04-24'!D:D)</f>
        <v>0</v>
      </c>
      <c r="G279" s="13">
        <f>SUMIF('OD 04-24'!A:A,A279,'OD 04-24'!E:E)</f>
        <v>0</v>
      </c>
      <c r="H279" s="14">
        <f t="shared" si="8"/>
        <v>25433.332000000002</v>
      </c>
      <c r="I279" s="14">
        <f t="shared" si="9"/>
        <v>25433.332000000002</v>
      </c>
      <c r="J279" s="8" t="s">
        <v>157</v>
      </c>
      <c r="K279" s="8" t="s">
        <v>512</v>
      </c>
      <c r="M279" s="339"/>
      <c r="N279" s="315"/>
    </row>
    <row r="280" spans="1:14" s="9" customFormat="1" ht="11.25" x14ac:dyDescent="0.2">
      <c r="A280" s="10">
        <v>61500000</v>
      </c>
      <c r="B280" s="10" t="s">
        <v>176</v>
      </c>
      <c r="C280" s="11">
        <v>0</v>
      </c>
      <c r="D280" s="11">
        <v>159823.342</v>
      </c>
      <c r="E280" s="11">
        <v>89533.87</v>
      </c>
      <c r="F280" s="13">
        <f>SUMIF('OD 04-24'!A:A,A280,'OD 04-24'!D:D)</f>
        <v>60455.093000000001</v>
      </c>
      <c r="G280" s="13">
        <f>SUMIF('OD 04-24'!A:A,A280,'OD 04-24'!E:E)</f>
        <v>62747.237999999998</v>
      </c>
      <c r="H280" s="14">
        <f t="shared" si="8"/>
        <v>67997.327000000005</v>
      </c>
      <c r="I280" s="14">
        <f t="shared" si="9"/>
        <v>67997.327000000005</v>
      </c>
      <c r="J280" s="8" t="s">
        <v>157</v>
      </c>
      <c r="K280" s="8" t="s">
        <v>512</v>
      </c>
      <c r="M280" s="339"/>
      <c r="N280" s="315"/>
    </row>
    <row r="281" spans="1:14" s="9" customFormat="1" ht="11.25" x14ac:dyDescent="0.2">
      <c r="A281" s="10">
        <v>61501000</v>
      </c>
      <c r="B281" s="10" t="s">
        <v>177</v>
      </c>
      <c r="C281" s="11">
        <v>0</v>
      </c>
      <c r="D281" s="11">
        <v>68718.790999999997</v>
      </c>
      <c r="E281" s="11">
        <v>1905.373</v>
      </c>
      <c r="F281" s="13">
        <f>SUMIF('OD 04-24'!A:A,A281,'OD 04-24'!D:D)</f>
        <v>0</v>
      </c>
      <c r="G281" s="13">
        <f>SUMIF('OD 04-24'!A:A,A281,'OD 04-24'!E:E)</f>
        <v>0</v>
      </c>
      <c r="H281" s="14">
        <f t="shared" si="8"/>
        <v>66813.417999999991</v>
      </c>
      <c r="I281" s="14">
        <f t="shared" si="9"/>
        <v>66813.417999999991</v>
      </c>
      <c r="J281" s="8" t="s">
        <v>157</v>
      </c>
      <c r="K281" s="8" t="s">
        <v>512</v>
      </c>
      <c r="M281" s="339"/>
      <c r="N281" s="315"/>
    </row>
    <row r="282" spans="1:14" s="9" customFormat="1" ht="11.25" x14ac:dyDescent="0.2">
      <c r="A282" s="10">
        <v>61600000</v>
      </c>
      <c r="B282" s="10" t="s">
        <v>397</v>
      </c>
      <c r="C282" s="11">
        <v>0</v>
      </c>
      <c r="D282" s="11">
        <v>31594.799999999999</v>
      </c>
      <c r="E282" s="11">
        <v>0</v>
      </c>
      <c r="F282" s="13">
        <f>SUMIF('OD 04-24'!A:A,A282,'OD 04-24'!D:D)</f>
        <v>24552</v>
      </c>
      <c r="G282" s="13">
        <f>SUMIF('OD 04-24'!A:A,A282,'OD 04-24'!E:E)</f>
        <v>34372.800000000003</v>
      </c>
      <c r="H282" s="14">
        <f t="shared" si="8"/>
        <v>21774</v>
      </c>
      <c r="I282" s="14">
        <f t="shared" si="9"/>
        <v>21774</v>
      </c>
      <c r="J282" s="8" t="s">
        <v>157</v>
      </c>
      <c r="K282" s="8" t="s">
        <v>512</v>
      </c>
      <c r="M282" s="339"/>
      <c r="N282" s="315"/>
    </row>
    <row r="283" spans="1:14" s="9" customFormat="1" ht="11.25" x14ac:dyDescent="0.2">
      <c r="A283" s="10">
        <v>61603000</v>
      </c>
      <c r="B283" s="10" t="s">
        <v>178</v>
      </c>
      <c r="C283" s="11">
        <v>0</v>
      </c>
      <c r="D283" s="11">
        <v>29988.795000000002</v>
      </c>
      <c r="E283" s="11">
        <v>28310.018</v>
      </c>
      <c r="F283" s="13">
        <f>SUMIF('OD 04-24'!A:A,A283,'OD 04-24'!D:D)</f>
        <v>27333.088</v>
      </c>
      <c r="G283" s="13">
        <f>SUMIF('OD 04-24'!A:A,A283,'OD 04-24'!E:E)</f>
        <v>14155.008</v>
      </c>
      <c r="H283" s="14">
        <f t="shared" si="8"/>
        <v>14856.857000000002</v>
      </c>
      <c r="I283" s="14">
        <f t="shared" si="9"/>
        <v>14856.857000000002</v>
      </c>
      <c r="J283" s="8" t="s">
        <v>157</v>
      </c>
      <c r="K283" s="8" t="s">
        <v>512</v>
      </c>
      <c r="M283" s="339"/>
      <c r="N283" s="315"/>
    </row>
    <row r="284" spans="1:14" s="9" customFormat="1" ht="11.25" x14ac:dyDescent="0.2">
      <c r="A284" s="10">
        <v>61607000</v>
      </c>
      <c r="B284" s="10" t="s">
        <v>179</v>
      </c>
      <c r="C284" s="11">
        <v>0</v>
      </c>
      <c r="D284" s="11">
        <v>0</v>
      </c>
      <c r="E284" s="11">
        <v>0</v>
      </c>
      <c r="F284" s="13">
        <f>SUMIF('OD 04-24'!A:A,A284,'OD 04-24'!D:D)</f>
        <v>0</v>
      </c>
      <c r="G284" s="13">
        <f>SUMIF('OD 04-24'!A:A,A284,'OD 04-24'!E:E)</f>
        <v>0</v>
      </c>
      <c r="H284" s="14">
        <f t="shared" si="8"/>
        <v>0</v>
      </c>
      <c r="I284" s="14">
        <f t="shared" si="9"/>
        <v>0</v>
      </c>
      <c r="J284" s="8" t="s">
        <v>157</v>
      </c>
      <c r="K284" s="8" t="s">
        <v>512</v>
      </c>
      <c r="M284" s="339"/>
      <c r="N284" s="315"/>
    </row>
    <row r="285" spans="1:14" s="9" customFormat="1" ht="11.25" x14ac:dyDescent="0.2">
      <c r="A285" s="10">
        <v>62120000</v>
      </c>
      <c r="B285" s="10" t="s">
        <v>180</v>
      </c>
      <c r="C285" s="11">
        <v>0</v>
      </c>
      <c r="D285" s="11">
        <v>16585.560000000001</v>
      </c>
      <c r="E285" s="11">
        <v>0</v>
      </c>
      <c r="F285" s="13">
        <f>SUMIF('OD 04-24'!A:A,A285,'OD 04-24'!D:D)</f>
        <v>0</v>
      </c>
      <c r="G285" s="13">
        <f>SUMIF('OD 04-24'!A:A,A285,'OD 04-24'!E:E)</f>
        <v>0</v>
      </c>
      <c r="H285" s="14">
        <f t="shared" si="8"/>
        <v>16585.560000000001</v>
      </c>
      <c r="I285" s="14">
        <f t="shared" si="9"/>
        <v>16585.560000000001</v>
      </c>
      <c r="J285" s="8" t="s">
        <v>157</v>
      </c>
      <c r="K285" s="8" t="s">
        <v>512</v>
      </c>
      <c r="M285" s="339"/>
      <c r="N285" s="315"/>
    </row>
    <row r="286" spans="1:14" s="9" customFormat="1" ht="11.25" x14ac:dyDescent="0.2">
      <c r="A286" s="10">
        <v>62200000</v>
      </c>
      <c r="B286" s="10" t="s">
        <v>181</v>
      </c>
      <c r="C286" s="11">
        <v>0</v>
      </c>
      <c r="D286" s="11">
        <v>25529.16</v>
      </c>
      <c r="E286" s="11">
        <v>0</v>
      </c>
      <c r="F286" s="13">
        <f>SUMIF('OD 04-24'!A:A,A286,'OD 04-24'!D:D)</f>
        <v>0</v>
      </c>
      <c r="G286" s="13">
        <f>SUMIF('OD 04-24'!A:A,A286,'OD 04-24'!E:E)</f>
        <v>0</v>
      </c>
      <c r="H286" s="14">
        <f t="shared" si="8"/>
        <v>25529.16</v>
      </c>
      <c r="I286" s="14">
        <f t="shared" si="9"/>
        <v>25529.16</v>
      </c>
      <c r="J286" s="8" t="s">
        <v>157</v>
      </c>
      <c r="K286" s="8" t="s">
        <v>512</v>
      </c>
      <c r="M286" s="339"/>
      <c r="N286" s="315"/>
    </row>
    <row r="287" spans="1:14" s="9" customFormat="1" ht="11.25" x14ac:dyDescent="0.2">
      <c r="A287" s="10">
        <v>62210000</v>
      </c>
      <c r="B287" s="10" t="s">
        <v>398</v>
      </c>
      <c r="C287" s="11">
        <v>0</v>
      </c>
      <c r="D287" s="11">
        <v>7600</v>
      </c>
      <c r="E287" s="11">
        <v>0</v>
      </c>
      <c r="F287" s="13">
        <f>SUMIF('OD 04-24'!A:A,A287,'OD 04-24'!D:D)</f>
        <v>0</v>
      </c>
      <c r="G287" s="13">
        <f>SUMIF('OD 04-24'!A:A,A287,'OD 04-24'!E:E)</f>
        <v>0</v>
      </c>
      <c r="H287" s="14">
        <f t="shared" si="8"/>
        <v>7600</v>
      </c>
      <c r="I287" s="14">
        <f t="shared" si="9"/>
        <v>7600</v>
      </c>
      <c r="J287" s="8" t="s">
        <v>157</v>
      </c>
      <c r="K287" s="8" t="s">
        <v>512</v>
      </c>
      <c r="M287" s="339"/>
      <c r="N287" s="315"/>
    </row>
    <row r="288" spans="1:14" s="9" customFormat="1" ht="11.25" x14ac:dyDescent="0.2">
      <c r="A288" s="10">
        <v>62230000</v>
      </c>
      <c r="B288" s="10" t="s">
        <v>375</v>
      </c>
      <c r="C288" s="11">
        <v>0</v>
      </c>
      <c r="D288" s="11">
        <v>5951.6</v>
      </c>
      <c r="E288" s="11">
        <v>0</v>
      </c>
      <c r="F288" s="13">
        <f>SUMIF('OD 04-24'!A:A,A288,'OD 04-24'!D:D)</f>
        <v>300</v>
      </c>
      <c r="G288" s="13">
        <f>SUMIF('OD 04-24'!A:A,A288,'OD 04-24'!E:E)</f>
        <v>566.66700000000003</v>
      </c>
      <c r="H288" s="14">
        <f t="shared" si="8"/>
        <v>5684.933</v>
      </c>
      <c r="I288" s="14">
        <f t="shared" si="9"/>
        <v>5684.933</v>
      </c>
      <c r="J288" s="8" t="s">
        <v>157</v>
      </c>
      <c r="K288" s="8" t="s">
        <v>512</v>
      </c>
      <c r="M288" s="339"/>
      <c r="N288" s="315"/>
    </row>
    <row r="289" spans="1:14" s="9" customFormat="1" ht="11.25" x14ac:dyDescent="0.2">
      <c r="A289" s="10">
        <v>62240000</v>
      </c>
      <c r="B289" s="10" t="s">
        <v>267</v>
      </c>
      <c r="C289" s="11">
        <v>0</v>
      </c>
      <c r="D289" s="11">
        <v>48857.8</v>
      </c>
      <c r="E289" s="11">
        <v>0</v>
      </c>
      <c r="F289" s="13">
        <f>SUMIF('OD 04-24'!A:A,A289,'OD 04-24'!D:D)</f>
        <v>116894.5</v>
      </c>
      <c r="G289" s="13">
        <f>SUMIF('OD 04-24'!A:A,A289,'OD 04-24'!E:E)</f>
        <v>148066.367</v>
      </c>
      <c r="H289" s="14">
        <f t="shared" si="8"/>
        <v>17685.93299999999</v>
      </c>
      <c r="I289" s="14">
        <f t="shared" si="9"/>
        <v>17685.93299999999</v>
      </c>
      <c r="J289" s="8" t="s">
        <v>157</v>
      </c>
      <c r="K289" s="8" t="s">
        <v>512</v>
      </c>
      <c r="M289" s="339"/>
      <c r="N289" s="315"/>
    </row>
    <row r="290" spans="1:14" s="9" customFormat="1" ht="11.25" x14ac:dyDescent="0.2">
      <c r="A290" s="10">
        <v>62250000</v>
      </c>
      <c r="B290" s="10" t="s">
        <v>268</v>
      </c>
      <c r="C290" s="11">
        <v>0</v>
      </c>
      <c r="D290" s="11">
        <v>0</v>
      </c>
      <c r="E290" s="11">
        <v>0</v>
      </c>
      <c r="F290" s="13">
        <f>SUMIF('OD 04-24'!A:A,A290,'OD 04-24'!D:D)</f>
        <v>25000</v>
      </c>
      <c r="G290" s="13">
        <f>SUMIF('OD 04-24'!A:A,A290,'OD 04-24'!E:E)</f>
        <v>15000</v>
      </c>
      <c r="H290" s="14">
        <f t="shared" si="8"/>
        <v>10000</v>
      </c>
      <c r="I290" s="14">
        <f t="shared" si="9"/>
        <v>10000</v>
      </c>
      <c r="J290" s="8" t="s">
        <v>157</v>
      </c>
      <c r="K290" s="8" t="s">
        <v>512</v>
      </c>
      <c r="M290" s="339"/>
      <c r="N290" s="315"/>
    </row>
    <row r="291" spans="1:14" s="9" customFormat="1" ht="11.25" x14ac:dyDescent="0.2">
      <c r="A291" s="10">
        <v>62260000</v>
      </c>
      <c r="B291" s="10" t="s">
        <v>7402</v>
      </c>
      <c r="C291" s="11">
        <v>0</v>
      </c>
      <c r="D291" s="11">
        <v>1618</v>
      </c>
      <c r="E291" s="11">
        <v>0</v>
      </c>
      <c r="F291" s="13">
        <f>SUMIF('OD 04-24'!A:A,A291,'OD 04-24'!D:D)</f>
        <v>0</v>
      </c>
      <c r="G291" s="13">
        <f>SUMIF('OD 04-24'!A:A,A291,'OD 04-24'!E:E)</f>
        <v>0</v>
      </c>
      <c r="H291" s="14">
        <f t="shared" si="8"/>
        <v>1618</v>
      </c>
      <c r="I291" s="14">
        <f t="shared" si="9"/>
        <v>1618</v>
      </c>
      <c r="J291" s="8" t="s">
        <v>157</v>
      </c>
      <c r="K291" s="8" t="s">
        <v>512</v>
      </c>
      <c r="M291" s="339"/>
      <c r="N291" s="315"/>
    </row>
    <row r="292" spans="1:14" s="9" customFormat="1" ht="11.25" x14ac:dyDescent="0.2">
      <c r="A292" s="10">
        <v>62270000</v>
      </c>
      <c r="B292" s="10" t="s">
        <v>399</v>
      </c>
      <c r="C292" s="11">
        <v>0</v>
      </c>
      <c r="D292" s="11">
        <v>84.486000000000004</v>
      </c>
      <c r="E292" s="11">
        <v>0</v>
      </c>
      <c r="F292" s="13">
        <f>SUMIF('OD 04-24'!A:A,A292,'OD 04-24'!D:D)</f>
        <v>0</v>
      </c>
      <c r="G292" s="13">
        <f>SUMIF('OD 04-24'!A:A,A292,'OD 04-24'!E:E)</f>
        <v>0</v>
      </c>
      <c r="H292" s="14">
        <f t="shared" si="8"/>
        <v>84.486000000000004</v>
      </c>
      <c r="I292" s="14">
        <f t="shared" si="9"/>
        <v>84.486000000000004</v>
      </c>
      <c r="J292" s="8" t="s">
        <v>157</v>
      </c>
      <c r="K292" s="8" t="s">
        <v>512</v>
      </c>
      <c r="M292" s="339"/>
      <c r="N292" s="315"/>
    </row>
    <row r="293" spans="1:14" s="9" customFormat="1" ht="11.25" x14ac:dyDescent="0.2">
      <c r="A293" s="10">
        <v>62280000</v>
      </c>
      <c r="B293" s="10" t="s">
        <v>7721</v>
      </c>
      <c r="C293" s="11">
        <v>0</v>
      </c>
      <c r="D293" s="11">
        <v>25980</v>
      </c>
      <c r="E293" s="11">
        <v>24780</v>
      </c>
      <c r="F293" s="13">
        <f>SUMIF('OD 04-24'!A:A,A293,'OD 04-24'!D:D)</f>
        <v>0</v>
      </c>
      <c r="G293" s="13">
        <f>SUMIF('OD 04-24'!A:A,A293,'OD 04-24'!E:E)</f>
        <v>0</v>
      </c>
      <c r="H293" s="14">
        <f t="shared" si="8"/>
        <v>1200</v>
      </c>
      <c r="I293" s="14">
        <f t="shared" si="9"/>
        <v>1200</v>
      </c>
      <c r="J293" s="8" t="s">
        <v>157</v>
      </c>
      <c r="K293" s="8" t="s">
        <v>512</v>
      </c>
      <c r="M293" s="339"/>
      <c r="N293" s="315"/>
    </row>
    <row r="294" spans="1:14" s="9" customFormat="1" ht="11.25" x14ac:dyDescent="0.2">
      <c r="A294" s="10">
        <v>62300000</v>
      </c>
      <c r="B294" s="10" t="s">
        <v>182</v>
      </c>
      <c r="C294" s="11">
        <v>0</v>
      </c>
      <c r="D294" s="11">
        <v>1576</v>
      </c>
      <c r="E294" s="11">
        <v>0</v>
      </c>
      <c r="F294" s="13">
        <f>SUMIF('OD 04-24'!A:A,A294,'OD 04-24'!D:D)</f>
        <v>115000</v>
      </c>
      <c r="G294" s="13">
        <f>SUMIF('OD 04-24'!A:A,A294,'OD 04-24'!E:E)</f>
        <v>69000</v>
      </c>
      <c r="H294" s="14">
        <f t="shared" si="8"/>
        <v>47576</v>
      </c>
      <c r="I294" s="14">
        <f t="shared" si="9"/>
        <v>47576</v>
      </c>
      <c r="J294" s="8" t="s">
        <v>157</v>
      </c>
      <c r="K294" s="8" t="s">
        <v>512</v>
      </c>
      <c r="M294" s="339"/>
      <c r="N294" s="315"/>
    </row>
    <row r="295" spans="1:14" s="9" customFormat="1" ht="11.25" x14ac:dyDescent="0.2">
      <c r="A295" s="10">
        <v>62301000</v>
      </c>
      <c r="B295" s="10" t="s">
        <v>7397</v>
      </c>
      <c r="C295" s="11">
        <v>0</v>
      </c>
      <c r="D295" s="11">
        <v>30036.9</v>
      </c>
      <c r="E295" s="11">
        <v>0</v>
      </c>
      <c r="F295" s="13">
        <f>SUMIF('OD 04-24'!A:A,A295,'OD 04-24'!D:D)</f>
        <v>0</v>
      </c>
      <c r="G295" s="13">
        <f>SUMIF('OD 04-24'!A:A,A295,'OD 04-24'!E:E)</f>
        <v>0</v>
      </c>
      <c r="H295" s="14">
        <f t="shared" si="8"/>
        <v>30036.9</v>
      </c>
      <c r="I295" s="14">
        <f t="shared" si="9"/>
        <v>30036.9</v>
      </c>
      <c r="J295" s="8" t="s">
        <v>157</v>
      </c>
      <c r="K295" s="8" t="s">
        <v>512</v>
      </c>
      <c r="M295" s="339"/>
      <c r="N295" s="315"/>
    </row>
    <row r="296" spans="1:14" s="9" customFormat="1" ht="11.25" x14ac:dyDescent="0.2">
      <c r="A296" s="10">
        <v>62410000</v>
      </c>
      <c r="B296" s="10" t="s">
        <v>183</v>
      </c>
      <c r="C296" s="11">
        <v>0</v>
      </c>
      <c r="D296" s="11">
        <v>2108</v>
      </c>
      <c r="E296" s="11">
        <v>0</v>
      </c>
      <c r="F296" s="13">
        <f>SUMIF('OD 04-24'!A:A,A296,'OD 04-24'!D:D)</f>
        <v>0</v>
      </c>
      <c r="G296" s="13">
        <f>SUMIF('OD 04-24'!A:A,A296,'OD 04-24'!E:E)</f>
        <v>0</v>
      </c>
      <c r="H296" s="14">
        <f t="shared" si="8"/>
        <v>2108</v>
      </c>
      <c r="I296" s="14">
        <f t="shared" si="9"/>
        <v>2108</v>
      </c>
      <c r="J296" s="8" t="s">
        <v>157</v>
      </c>
      <c r="K296" s="8" t="s">
        <v>512</v>
      </c>
      <c r="M296" s="339"/>
      <c r="N296" s="315"/>
    </row>
    <row r="297" spans="1:14" s="9" customFormat="1" ht="11.25" x14ac:dyDescent="0.2">
      <c r="A297" s="10">
        <v>62420000</v>
      </c>
      <c r="B297" s="10" t="s">
        <v>184</v>
      </c>
      <c r="C297" s="11">
        <v>0</v>
      </c>
      <c r="D297" s="11">
        <v>420</v>
      </c>
      <c r="E297" s="11">
        <v>0</v>
      </c>
      <c r="F297" s="13">
        <f>SUMIF('OD 04-24'!A:A,A297,'OD 04-24'!D:D)</f>
        <v>0</v>
      </c>
      <c r="G297" s="13">
        <f>SUMIF('OD 04-24'!A:A,A297,'OD 04-24'!E:E)</f>
        <v>0</v>
      </c>
      <c r="H297" s="14">
        <f t="shared" si="8"/>
        <v>420</v>
      </c>
      <c r="I297" s="14">
        <f t="shared" si="9"/>
        <v>420</v>
      </c>
      <c r="J297" s="8" t="s">
        <v>157</v>
      </c>
      <c r="K297" s="8" t="s">
        <v>512</v>
      </c>
      <c r="M297" s="339"/>
      <c r="N297" s="315"/>
    </row>
    <row r="298" spans="1:14" s="9" customFormat="1" ht="11.25" x14ac:dyDescent="0.2">
      <c r="A298" s="10">
        <v>62430000</v>
      </c>
      <c r="B298" s="10" t="s">
        <v>159</v>
      </c>
      <c r="C298" s="11">
        <v>0</v>
      </c>
      <c r="D298" s="11">
        <v>365102.89600000001</v>
      </c>
      <c r="E298" s="11">
        <v>16741.47</v>
      </c>
      <c r="F298" s="13">
        <f>SUMIF('OD 04-24'!A:A,A298,'OD 04-24'!D:D)</f>
        <v>42256.45</v>
      </c>
      <c r="G298" s="13">
        <f>SUMIF('OD 04-24'!A:A,A298,'OD 04-24'!E:E)</f>
        <v>23256.45</v>
      </c>
      <c r="H298" s="14">
        <f t="shared" si="8"/>
        <v>367361.42600000004</v>
      </c>
      <c r="I298" s="14">
        <f t="shared" si="9"/>
        <v>367361.42600000004</v>
      </c>
      <c r="J298" s="8" t="s">
        <v>157</v>
      </c>
      <c r="K298" s="8" t="s">
        <v>512</v>
      </c>
      <c r="M298" s="339"/>
      <c r="N298" s="315"/>
    </row>
    <row r="299" spans="1:14" s="9" customFormat="1" ht="11.25" x14ac:dyDescent="0.2">
      <c r="A299" s="10">
        <v>62500000</v>
      </c>
      <c r="B299" s="10" t="s">
        <v>185</v>
      </c>
      <c r="C299" s="11">
        <v>0</v>
      </c>
      <c r="D299" s="11">
        <v>3311.1790000000001</v>
      </c>
      <c r="E299" s="11">
        <v>2039.8370000000002</v>
      </c>
      <c r="F299" s="13">
        <f>SUMIF('OD 04-24'!A:A,A299,'OD 04-24'!D:D)</f>
        <v>0</v>
      </c>
      <c r="G299" s="13">
        <f>SUMIF('OD 04-24'!A:A,A299,'OD 04-24'!E:E)</f>
        <v>0</v>
      </c>
      <c r="H299" s="14">
        <f t="shared" si="8"/>
        <v>1271.3419999999999</v>
      </c>
      <c r="I299" s="14">
        <f t="shared" si="9"/>
        <v>1271.3419999999999</v>
      </c>
      <c r="J299" s="8" t="s">
        <v>157</v>
      </c>
      <c r="K299" s="8" t="s">
        <v>512</v>
      </c>
      <c r="M299" s="339"/>
      <c r="N299" s="315"/>
    </row>
    <row r="300" spans="1:14" s="9" customFormat="1" ht="11.25" x14ac:dyDescent="0.2">
      <c r="A300" s="10">
        <v>62510000</v>
      </c>
      <c r="B300" s="10" t="s">
        <v>7571</v>
      </c>
      <c r="C300" s="11">
        <v>0</v>
      </c>
      <c r="D300" s="11">
        <v>5102</v>
      </c>
      <c r="E300" s="11">
        <v>0</v>
      </c>
      <c r="F300" s="13">
        <f>SUMIF('OD 04-24'!A:A,A300,'OD 04-24'!D:D)</f>
        <v>0</v>
      </c>
      <c r="G300" s="13">
        <f>SUMIF('OD 04-24'!A:A,A300,'OD 04-24'!E:E)</f>
        <v>0</v>
      </c>
      <c r="H300" s="14">
        <f t="shared" si="8"/>
        <v>5102</v>
      </c>
      <c r="I300" s="14">
        <f t="shared" si="9"/>
        <v>5102</v>
      </c>
      <c r="J300" s="8" t="s">
        <v>157</v>
      </c>
      <c r="K300" s="8" t="s">
        <v>512</v>
      </c>
      <c r="M300" s="339"/>
      <c r="N300" s="315"/>
    </row>
    <row r="301" spans="1:14" s="9" customFormat="1" ht="11.25" x14ac:dyDescent="0.2">
      <c r="A301" s="10">
        <v>62520000</v>
      </c>
      <c r="B301" s="10" t="s">
        <v>7403</v>
      </c>
      <c r="C301" s="11">
        <v>0</v>
      </c>
      <c r="D301" s="11">
        <v>4776</v>
      </c>
      <c r="E301" s="11">
        <v>0</v>
      </c>
      <c r="F301" s="13">
        <f>SUMIF('OD 04-24'!A:A,A301,'OD 04-24'!D:D)</f>
        <v>0</v>
      </c>
      <c r="G301" s="13">
        <f>SUMIF('OD 04-24'!A:A,A301,'OD 04-24'!E:E)</f>
        <v>0</v>
      </c>
      <c r="H301" s="14">
        <f t="shared" si="8"/>
        <v>4776</v>
      </c>
      <c r="I301" s="14">
        <f t="shared" si="9"/>
        <v>4776</v>
      </c>
      <c r="J301" s="8" t="s">
        <v>157</v>
      </c>
      <c r="K301" s="8" t="s">
        <v>512</v>
      </c>
      <c r="M301" s="339"/>
      <c r="N301" s="315"/>
    </row>
    <row r="302" spans="1:14" s="9" customFormat="1" ht="11.25" x14ac:dyDescent="0.2">
      <c r="A302" s="10">
        <v>62570000</v>
      </c>
      <c r="B302" s="10" t="s">
        <v>186</v>
      </c>
      <c r="C302" s="11">
        <v>0</v>
      </c>
      <c r="D302" s="11">
        <v>7907.13</v>
      </c>
      <c r="E302" s="11">
        <v>857.94299999999998</v>
      </c>
      <c r="F302" s="13">
        <f>SUMIF('OD 04-24'!A:A,A302,'OD 04-24'!D:D)</f>
        <v>0</v>
      </c>
      <c r="G302" s="13">
        <f>SUMIF('OD 04-24'!A:A,A302,'OD 04-24'!E:E)</f>
        <v>0</v>
      </c>
      <c r="H302" s="14">
        <f t="shared" si="8"/>
        <v>7049.1869999999999</v>
      </c>
      <c r="I302" s="14">
        <f t="shared" si="9"/>
        <v>7049.1869999999999</v>
      </c>
      <c r="J302" s="8" t="s">
        <v>157</v>
      </c>
      <c r="K302" s="8" t="s">
        <v>512</v>
      </c>
      <c r="M302" s="339"/>
      <c r="N302" s="315"/>
    </row>
    <row r="303" spans="1:14" s="9" customFormat="1" ht="11.25" x14ac:dyDescent="0.2">
      <c r="A303" s="10">
        <v>62571000</v>
      </c>
      <c r="B303" s="10" t="s">
        <v>376</v>
      </c>
      <c r="C303" s="11">
        <v>0</v>
      </c>
      <c r="D303" s="11">
        <v>3937.9</v>
      </c>
      <c r="E303" s="11">
        <v>0</v>
      </c>
      <c r="F303" s="13">
        <f>SUMIF('OD 04-24'!A:A,A303,'OD 04-24'!D:D)</f>
        <v>0</v>
      </c>
      <c r="G303" s="13">
        <f>SUMIF('OD 04-24'!A:A,A303,'OD 04-24'!E:E)</f>
        <v>0</v>
      </c>
      <c r="H303" s="14">
        <f t="shared" si="8"/>
        <v>3937.9</v>
      </c>
      <c r="I303" s="14">
        <f t="shared" si="9"/>
        <v>3937.9</v>
      </c>
      <c r="J303" s="8" t="s">
        <v>157</v>
      </c>
      <c r="K303" s="8" t="s">
        <v>512</v>
      </c>
      <c r="M303" s="339"/>
      <c r="N303" s="315"/>
    </row>
    <row r="304" spans="1:14" s="9" customFormat="1" ht="11.25" x14ac:dyDescent="0.2">
      <c r="A304" s="10">
        <v>62572000</v>
      </c>
      <c r="B304" s="10" t="s">
        <v>377</v>
      </c>
      <c r="C304" s="11">
        <v>0</v>
      </c>
      <c r="D304" s="11">
        <v>5246.4</v>
      </c>
      <c r="E304" s="11">
        <v>0</v>
      </c>
      <c r="F304" s="13">
        <f>SUMIF('OD 04-24'!A:A,A304,'OD 04-24'!D:D)</f>
        <v>0</v>
      </c>
      <c r="G304" s="13">
        <f>SUMIF('OD 04-24'!A:A,A304,'OD 04-24'!E:E)</f>
        <v>0</v>
      </c>
      <c r="H304" s="14">
        <f t="shared" si="8"/>
        <v>5246.4</v>
      </c>
      <c r="I304" s="14">
        <f t="shared" si="9"/>
        <v>5246.4</v>
      </c>
      <c r="J304" s="8" t="s">
        <v>157</v>
      </c>
      <c r="K304" s="8" t="s">
        <v>512</v>
      </c>
      <c r="M304" s="339"/>
      <c r="N304" s="315"/>
    </row>
    <row r="305" spans="1:14" s="9" customFormat="1" ht="11.25" x14ac:dyDescent="0.2">
      <c r="A305" s="10">
        <v>62573000</v>
      </c>
      <c r="B305" s="10" t="s">
        <v>378</v>
      </c>
      <c r="C305" s="11">
        <v>0</v>
      </c>
      <c r="D305" s="11">
        <v>1165.5840000000001</v>
      </c>
      <c r="E305" s="11">
        <v>0</v>
      </c>
      <c r="F305" s="13">
        <f>SUMIF('OD 04-24'!A:A,A305,'OD 04-24'!D:D)</f>
        <v>0</v>
      </c>
      <c r="G305" s="13">
        <f>SUMIF('OD 04-24'!A:A,A305,'OD 04-24'!E:E)</f>
        <v>0</v>
      </c>
      <c r="H305" s="14">
        <f t="shared" si="8"/>
        <v>1165.5840000000001</v>
      </c>
      <c r="I305" s="14">
        <f t="shared" si="9"/>
        <v>1165.5840000000001</v>
      </c>
      <c r="J305" s="8" t="s">
        <v>157</v>
      </c>
      <c r="K305" s="8" t="s">
        <v>512</v>
      </c>
      <c r="M305" s="339"/>
      <c r="N305" s="315"/>
    </row>
    <row r="306" spans="1:14" s="9" customFormat="1" ht="11.25" x14ac:dyDescent="0.2">
      <c r="A306" s="10">
        <v>62580000</v>
      </c>
      <c r="B306" s="10" t="s">
        <v>187</v>
      </c>
      <c r="C306" s="11">
        <v>0</v>
      </c>
      <c r="D306" s="11">
        <v>862.7</v>
      </c>
      <c r="E306" s="11">
        <v>0</v>
      </c>
      <c r="F306" s="13">
        <f>SUMIF('OD 04-24'!A:A,A306,'OD 04-24'!D:D)</f>
        <v>0</v>
      </c>
      <c r="G306" s="13">
        <f>SUMIF('OD 04-24'!A:A,A306,'OD 04-24'!E:E)</f>
        <v>0</v>
      </c>
      <c r="H306" s="14">
        <f t="shared" si="8"/>
        <v>862.7</v>
      </c>
      <c r="I306" s="14">
        <f t="shared" si="9"/>
        <v>862.7</v>
      </c>
      <c r="J306" s="8" t="s">
        <v>157</v>
      </c>
      <c r="K306" s="8" t="s">
        <v>512</v>
      </c>
      <c r="M306" s="339"/>
      <c r="N306" s="315"/>
    </row>
    <row r="307" spans="1:14" s="9" customFormat="1" ht="11.25" x14ac:dyDescent="0.2">
      <c r="A307" s="10">
        <v>62600000</v>
      </c>
      <c r="B307" s="10" t="s">
        <v>188</v>
      </c>
      <c r="C307" s="11">
        <v>0</v>
      </c>
      <c r="D307" s="11">
        <v>17728.226000000002</v>
      </c>
      <c r="E307" s="11">
        <v>0</v>
      </c>
      <c r="F307" s="13">
        <f>SUMIF('OD 04-24'!A:A,A307,'OD 04-24'!D:D)</f>
        <v>6564</v>
      </c>
      <c r="G307" s="13">
        <f>SUMIF('OD 04-24'!A:A,A307,'OD 04-24'!E:E)</f>
        <v>10940</v>
      </c>
      <c r="H307" s="14">
        <f t="shared" si="8"/>
        <v>13352.226000000002</v>
      </c>
      <c r="I307" s="14">
        <f t="shared" si="9"/>
        <v>13352.226000000002</v>
      </c>
      <c r="J307" s="8" t="s">
        <v>157</v>
      </c>
      <c r="K307" s="8" t="s">
        <v>512</v>
      </c>
      <c r="M307" s="339"/>
      <c r="N307" s="315"/>
    </row>
    <row r="308" spans="1:14" s="9" customFormat="1" ht="11.25" x14ac:dyDescent="0.2">
      <c r="A308" s="10">
        <v>62780000</v>
      </c>
      <c r="B308" s="10" t="s">
        <v>189</v>
      </c>
      <c r="C308" s="11">
        <v>0</v>
      </c>
      <c r="D308" s="11">
        <v>65069.902000000002</v>
      </c>
      <c r="E308" s="11">
        <v>13.992000000000001</v>
      </c>
      <c r="F308" s="13">
        <f>SUMIF('OD 04-24'!A:A,A308,'OD 04-24'!D:D)</f>
        <v>82984.58</v>
      </c>
      <c r="G308" s="13">
        <f>SUMIF('OD 04-24'!A:A,A308,'OD 04-24'!E:E)</f>
        <v>49790.748</v>
      </c>
      <c r="H308" s="14">
        <f t="shared" si="8"/>
        <v>98249.742000000027</v>
      </c>
      <c r="I308" s="14">
        <f t="shared" si="9"/>
        <v>98249.742000000027</v>
      </c>
      <c r="J308" s="8" t="s">
        <v>195</v>
      </c>
      <c r="K308" s="8" t="s">
        <v>517</v>
      </c>
      <c r="M308" s="339"/>
      <c r="N308" s="315"/>
    </row>
    <row r="309" spans="1:14" s="9" customFormat="1" ht="11.25" x14ac:dyDescent="0.2">
      <c r="A309" s="10">
        <v>63601000</v>
      </c>
      <c r="B309" s="10" t="s">
        <v>7572</v>
      </c>
      <c r="C309" s="11">
        <v>0</v>
      </c>
      <c r="D309" s="11">
        <v>20878.022000000001</v>
      </c>
      <c r="E309" s="11">
        <v>0</v>
      </c>
      <c r="F309" s="13">
        <f>SUMIF('OD 04-24'!A:A,A309,'OD 04-24'!D:D)</f>
        <v>0</v>
      </c>
      <c r="G309" s="13">
        <f>SUMIF('OD 04-24'!A:A,A309,'OD 04-24'!E:E)</f>
        <v>0</v>
      </c>
      <c r="H309" s="14">
        <f t="shared" si="8"/>
        <v>20878.022000000001</v>
      </c>
      <c r="I309" s="14">
        <f t="shared" si="9"/>
        <v>20878.022000000001</v>
      </c>
      <c r="J309" s="8" t="s">
        <v>157</v>
      </c>
      <c r="K309" s="8" t="s">
        <v>512</v>
      </c>
      <c r="M309" s="339"/>
      <c r="N309" s="315"/>
    </row>
    <row r="310" spans="1:14" s="9" customFormat="1" ht="11.25" x14ac:dyDescent="0.2">
      <c r="A310" s="10">
        <v>63602000</v>
      </c>
      <c r="B310" s="10" t="s">
        <v>7573</v>
      </c>
      <c r="C310" s="11">
        <v>0</v>
      </c>
      <c r="D310" s="11">
        <v>51238.869000000006</v>
      </c>
      <c r="E310" s="11">
        <v>31766.782999999996</v>
      </c>
      <c r="F310" s="13">
        <f>SUMIF('OD 04-24'!A:A,A310,'OD 04-24'!D:D)</f>
        <v>0</v>
      </c>
      <c r="G310" s="13">
        <f>SUMIF('OD 04-24'!A:A,A310,'OD 04-24'!E:E)</f>
        <v>0</v>
      </c>
      <c r="H310" s="14">
        <f t="shared" si="8"/>
        <v>19472.08600000001</v>
      </c>
      <c r="I310" s="14">
        <f t="shared" si="9"/>
        <v>19472.08600000001</v>
      </c>
      <c r="J310" s="8" t="s">
        <v>7715</v>
      </c>
      <c r="K310" s="8" t="s">
        <v>7716</v>
      </c>
      <c r="M310" s="339"/>
      <c r="N310" s="315"/>
    </row>
    <row r="311" spans="1:14" s="9" customFormat="1" ht="11.25" x14ac:dyDescent="0.2">
      <c r="A311" s="10">
        <v>63610000</v>
      </c>
      <c r="B311" s="10" t="s">
        <v>7398</v>
      </c>
      <c r="C311" s="11">
        <v>0</v>
      </c>
      <c r="D311" s="11">
        <v>1100</v>
      </c>
      <c r="E311" s="11">
        <v>0</v>
      </c>
      <c r="F311" s="13">
        <f>SUMIF('OD 04-24'!A:A,A311,'OD 04-24'!D:D)</f>
        <v>0</v>
      </c>
      <c r="G311" s="13">
        <f>SUMIF('OD 04-24'!A:A,A311,'OD 04-24'!E:E)</f>
        <v>0</v>
      </c>
      <c r="H311" s="14">
        <f t="shared" si="8"/>
        <v>1100</v>
      </c>
      <c r="I311" s="14">
        <f t="shared" si="9"/>
        <v>1100</v>
      </c>
      <c r="J311" s="8" t="s">
        <v>157</v>
      </c>
      <c r="K311" s="8" t="s">
        <v>512</v>
      </c>
      <c r="M311" s="339"/>
      <c r="N311" s="315"/>
    </row>
    <row r="312" spans="1:14" s="9" customFormat="1" ht="11.25" x14ac:dyDescent="0.2">
      <c r="A312" s="10">
        <v>63300000</v>
      </c>
      <c r="B312" s="10" t="s">
        <v>269</v>
      </c>
      <c r="C312" s="11">
        <v>0</v>
      </c>
      <c r="D312" s="11">
        <v>0</v>
      </c>
      <c r="E312" s="11">
        <v>0</v>
      </c>
      <c r="F312" s="13">
        <f>SUMIF('OD 04-24'!A:A,A312,'OD 04-24'!D:D)</f>
        <v>104166.66800000001</v>
      </c>
      <c r="G312" s="13">
        <f>SUMIF('OD 04-24'!A:A,A312,'OD 04-24'!E:E)</f>
        <v>62500.000999999997</v>
      </c>
      <c r="H312" s="14">
        <f t="shared" si="8"/>
        <v>41666.667000000009</v>
      </c>
      <c r="I312" s="14">
        <f t="shared" si="9"/>
        <v>41666.667000000009</v>
      </c>
      <c r="J312" s="8" t="s">
        <v>157</v>
      </c>
      <c r="K312" s="8" t="s">
        <v>512</v>
      </c>
      <c r="M312" s="339"/>
      <c r="N312" s="315"/>
    </row>
    <row r="313" spans="1:14" s="9" customFormat="1" ht="11.25" x14ac:dyDescent="0.2">
      <c r="A313" s="10">
        <v>64001000</v>
      </c>
      <c r="B313" s="10" t="s">
        <v>191</v>
      </c>
      <c r="C313" s="11">
        <v>0</v>
      </c>
      <c r="D313" s="11">
        <v>1630131.5090000001</v>
      </c>
      <c r="E313" s="11">
        <v>267982.07699999999</v>
      </c>
      <c r="F313" s="13">
        <f>SUMIF('OD 04-24'!A:A,A313,'OD 04-24'!D:D)</f>
        <v>413518.88400000002</v>
      </c>
      <c r="G313" s="13">
        <f>SUMIF('OD 04-24'!A:A,A313,'OD 04-24'!E:E)</f>
        <v>413518.88400000002</v>
      </c>
      <c r="H313" s="14">
        <f t="shared" si="8"/>
        <v>1362149.432</v>
      </c>
      <c r="I313" s="14">
        <f t="shared" si="9"/>
        <v>1362149.432</v>
      </c>
      <c r="J313" s="8" t="s">
        <v>192</v>
      </c>
      <c r="K313" s="8" t="s">
        <v>511</v>
      </c>
      <c r="M313" s="339"/>
      <c r="N313" s="315"/>
    </row>
    <row r="314" spans="1:14" s="9" customFormat="1" ht="11.25" x14ac:dyDescent="0.2">
      <c r="A314" s="10">
        <v>64001100</v>
      </c>
      <c r="B314" s="10" t="s">
        <v>408</v>
      </c>
      <c r="C314" s="11">
        <v>0</v>
      </c>
      <c r="D314" s="11">
        <v>0</v>
      </c>
      <c r="E314" s="11">
        <v>0</v>
      </c>
      <c r="F314" s="13">
        <f>SUMIF('OD 04-24'!A:A,A314,'OD 04-24'!D:D)</f>
        <v>250000</v>
      </c>
      <c r="G314" s="13">
        <f>SUMIF('OD 04-24'!A:A,A314,'OD 04-24'!E:E)</f>
        <v>150000</v>
      </c>
      <c r="H314" s="14">
        <f t="shared" si="8"/>
        <v>100000</v>
      </c>
      <c r="I314" s="14">
        <f t="shared" si="9"/>
        <v>100000</v>
      </c>
      <c r="J314" s="8" t="s">
        <v>192</v>
      </c>
      <c r="K314" s="8" t="s">
        <v>511</v>
      </c>
      <c r="M314" s="339"/>
      <c r="N314" s="315"/>
    </row>
    <row r="315" spans="1:14" s="9" customFormat="1" ht="11.25" x14ac:dyDescent="0.2">
      <c r="A315" s="10">
        <v>64020000</v>
      </c>
      <c r="B315" s="10" t="s">
        <v>406</v>
      </c>
      <c r="C315" s="11">
        <v>0</v>
      </c>
      <c r="D315" s="11">
        <v>0</v>
      </c>
      <c r="E315" s="11">
        <v>0</v>
      </c>
      <c r="F315" s="13">
        <f>SUMIF('OD 04-24'!A:A,A315,'OD 04-24'!D:D)</f>
        <v>384643.34899999999</v>
      </c>
      <c r="G315" s="13">
        <f>SUMIF('OD 04-24'!A:A,A315,'OD 04-24'!E:E)</f>
        <v>250408.69500000001</v>
      </c>
      <c r="H315" s="14">
        <f t="shared" si="8"/>
        <v>134234.65399999998</v>
      </c>
      <c r="I315" s="14">
        <f t="shared" si="9"/>
        <v>134234.65399999998</v>
      </c>
      <c r="J315" s="8" t="s">
        <v>192</v>
      </c>
      <c r="K315" s="8" t="s">
        <v>511</v>
      </c>
      <c r="M315" s="339"/>
      <c r="N315" s="315"/>
    </row>
    <row r="316" spans="1:14" s="9" customFormat="1" ht="11.25" x14ac:dyDescent="0.2">
      <c r="A316" s="10">
        <v>64280000</v>
      </c>
      <c r="B316" s="10" t="s">
        <v>193</v>
      </c>
      <c r="C316" s="11">
        <v>0</v>
      </c>
      <c r="D316" s="11">
        <v>39080</v>
      </c>
      <c r="E316" s="11">
        <v>39080</v>
      </c>
      <c r="F316" s="13">
        <f>SUMIF('OD 04-24'!A:A,A316,'OD 04-24'!D:D)</f>
        <v>0</v>
      </c>
      <c r="G316" s="13">
        <f>SUMIF('OD 04-24'!A:A,A316,'OD 04-24'!E:E)</f>
        <v>0</v>
      </c>
      <c r="H316" s="14">
        <f t="shared" si="8"/>
        <v>0</v>
      </c>
      <c r="I316" s="14">
        <f t="shared" si="9"/>
        <v>0</v>
      </c>
      <c r="J316" s="8" t="s">
        <v>192</v>
      </c>
      <c r="K316" s="8" t="s">
        <v>511</v>
      </c>
      <c r="M316" s="339"/>
      <c r="N316" s="315"/>
    </row>
    <row r="317" spans="1:14" s="9" customFormat="1" ht="11.25" x14ac:dyDescent="0.2">
      <c r="A317" s="10">
        <v>64600100</v>
      </c>
      <c r="B317" s="10" t="s">
        <v>407</v>
      </c>
      <c r="C317" s="11">
        <v>0</v>
      </c>
      <c r="D317" s="11">
        <v>1686.6510000000003</v>
      </c>
      <c r="E317" s="11">
        <v>247618.065</v>
      </c>
      <c r="F317" s="13">
        <f>SUMIF('OD 04-24'!A:A,A317,'OD 04-24'!D:D)</f>
        <v>1792874.0160000001</v>
      </c>
      <c r="G317" s="13">
        <f>SUMIF('OD 04-24'!A:A,A317,'OD 04-24'!E:E)</f>
        <v>1521765.5430000001</v>
      </c>
      <c r="H317" s="14">
        <f t="shared" si="8"/>
        <v>25177.059000000125</v>
      </c>
      <c r="I317" s="14">
        <f t="shared" si="9"/>
        <v>25177.059000000125</v>
      </c>
      <c r="J317" s="8" t="s">
        <v>192</v>
      </c>
      <c r="K317" s="8" t="s">
        <v>511</v>
      </c>
      <c r="M317" s="339"/>
      <c r="N317" s="315"/>
    </row>
    <row r="318" spans="1:14" s="9" customFormat="1" ht="11.25" x14ac:dyDescent="0.2">
      <c r="A318" s="10">
        <v>64603000</v>
      </c>
      <c r="B318" s="10" t="s">
        <v>7404</v>
      </c>
      <c r="C318" s="11">
        <v>0</v>
      </c>
      <c r="D318" s="11">
        <v>14367.25</v>
      </c>
      <c r="E318" s="11">
        <v>0</v>
      </c>
      <c r="F318" s="13">
        <f>SUMIF('OD 04-24'!A:A,A318,'OD 04-24'!D:D)</f>
        <v>0</v>
      </c>
      <c r="G318" s="13">
        <f>SUMIF('OD 04-24'!A:A,A318,'OD 04-24'!E:E)</f>
        <v>0</v>
      </c>
      <c r="H318" s="14">
        <f t="shared" si="8"/>
        <v>14367.25</v>
      </c>
      <c r="I318" s="14">
        <f t="shared" si="9"/>
        <v>14367.25</v>
      </c>
      <c r="J318" s="8" t="s">
        <v>192</v>
      </c>
      <c r="K318" s="8" t="s">
        <v>511</v>
      </c>
      <c r="M318" s="339"/>
      <c r="N318" s="315"/>
    </row>
    <row r="319" spans="1:14" s="9" customFormat="1" ht="11.25" x14ac:dyDescent="0.2">
      <c r="A319" s="10">
        <v>64720000</v>
      </c>
      <c r="B319" s="10" t="s">
        <v>194</v>
      </c>
      <c r="C319" s="11">
        <v>0</v>
      </c>
      <c r="D319" s="11">
        <v>130644.997</v>
      </c>
      <c r="E319" s="11">
        <v>21778.701000000001</v>
      </c>
      <c r="F319" s="13">
        <f>SUMIF('OD 04-24'!A:A,A319,'OD 04-24'!D:D)</f>
        <v>302670.05</v>
      </c>
      <c r="G319" s="13">
        <f>SUMIF('OD 04-24'!A:A,A319,'OD 04-24'!E:E)</f>
        <v>259121.71799999999</v>
      </c>
      <c r="H319" s="14">
        <f t="shared" si="8"/>
        <v>152414.62800000003</v>
      </c>
      <c r="I319" s="14">
        <f t="shared" si="9"/>
        <v>152414.62800000003</v>
      </c>
      <c r="J319" s="8" t="s">
        <v>192</v>
      </c>
      <c r="K319" s="8" t="s">
        <v>511</v>
      </c>
      <c r="M319" s="339"/>
      <c r="N319" s="315"/>
    </row>
    <row r="320" spans="1:14" s="9" customFormat="1" ht="11.25" x14ac:dyDescent="0.2">
      <c r="A320" s="10">
        <v>65110000</v>
      </c>
      <c r="B320" s="10" t="s">
        <v>385</v>
      </c>
      <c r="C320" s="11">
        <v>0</v>
      </c>
      <c r="D320" s="11">
        <v>100862.321</v>
      </c>
      <c r="E320" s="11">
        <v>0</v>
      </c>
      <c r="F320" s="13">
        <f>SUMIF('OD 04-24'!A:A,A320,'OD 04-24'!D:D)</f>
        <v>0</v>
      </c>
      <c r="G320" s="13">
        <f>SUMIF('OD 04-24'!A:A,A320,'OD 04-24'!E:E)</f>
        <v>0</v>
      </c>
      <c r="H320" s="14">
        <f t="shared" si="8"/>
        <v>100862.321</v>
      </c>
      <c r="I320" s="14">
        <f t="shared" si="9"/>
        <v>100862.321</v>
      </c>
      <c r="J320" s="8" t="s">
        <v>195</v>
      </c>
      <c r="K320" s="8" t="s">
        <v>517</v>
      </c>
      <c r="M320" s="339"/>
      <c r="N320" s="315"/>
    </row>
    <row r="321" spans="1:14" s="9" customFormat="1" ht="11.25" x14ac:dyDescent="0.2">
      <c r="A321" s="10">
        <v>65110200</v>
      </c>
      <c r="B321" s="10" t="s">
        <v>196</v>
      </c>
      <c r="C321" s="11">
        <v>0</v>
      </c>
      <c r="D321" s="11">
        <v>184184.74100000001</v>
      </c>
      <c r="E321" s="11">
        <v>0</v>
      </c>
      <c r="F321" s="13">
        <f>SUMIF('OD 04-24'!A:A,A321,'OD 04-24'!D:D)</f>
        <v>177226.44699999999</v>
      </c>
      <c r="G321" s="13">
        <f>SUMIF('OD 04-24'!A:A,A321,'OD 04-24'!E:E)</f>
        <v>219059.31599999999</v>
      </c>
      <c r="H321" s="14">
        <f t="shared" si="8"/>
        <v>142351.87199999997</v>
      </c>
      <c r="I321" s="14">
        <f t="shared" si="9"/>
        <v>142351.87199999997</v>
      </c>
      <c r="J321" s="8" t="s">
        <v>195</v>
      </c>
      <c r="K321" s="8" t="s">
        <v>517</v>
      </c>
      <c r="M321" s="339"/>
      <c r="N321" s="315"/>
    </row>
    <row r="322" spans="1:14" s="9" customFormat="1" ht="11.25" x14ac:dyDescent="0.2">
      <c r="A322" s="10">
        <v>65110400</v>
      </c>
      <c r="B322" s="10" t="s">
        <v>197</v>
      </c>
      <c r="C322" s="11">
        <v>0</v>
      </c>
      <c r="D322" s="11">
        <v>282974.33299999998</v>
      </c>
      <c r="E322" s="11">
        <v>0</v>
      </c>
      <c r="F322" s="13">
        <f>SUMIF('OD 04-24'!A:A,A322,'OD 04-24'!D:D)</f>
        <v>272385.91600000003</v>
      </c>
      <c r="G322" s="13">
        <f>SUMIF('OD 04-24'!A:A,A322,'OD 04-24'!E:E)</f>
        <v>336598.59</v>
      </c>
      <c r="H322" s="14">
        <f t="shared" si="8"/>
        <v>218761.65900000004</v>
      </c>
      <c r="I322" s="14">
        <f t="shared" si="9"/>
        <v>218761.65900000004</v>
      </c>
      <c r="J322" s="8" t="s">
        <v>195</v>
      </c>
      <c r="K322" s="8" t="s">
        <v>517</v>
      </c>
      <c r="M322" s="339"/>
      <c r="N322" s="315"/>
    </row>
    <row r="323" spans="1:14" s="9" customFormat="1" ht="11.25" x14ac:dyDescent="0.2">
      <c r="A323" s="10">
        <v>65115000</v>
      </c>
      <c r="B323" s="10" t="s">
        <v>379</v>
      </c>
      <c r="C323" s="11">
        <v>0</v>
      </c>
      <c r="D323" s="11">
        <v>24483.574000000001</v>
      </c>
      <c r="E323" s="11">
        <v>2060.0309999999999</v>
      </c>
      <c r="F323" s="13">
        <f>SUMIF('OD 04-24'!A:A,A323,'OD 04-24'!D:D)</f>
        <v>0</v>
      </c>
      <c r="G323" s="13">
        <f>SUMIF('OD 04-24'!A:A,A323,'OD 04-24'!E:E)</f>
        <v>0</v>
      </c>
      <c r="H323" s="14">
        <f t="shared" ref="H323:H346" si="10">+D323+F323-E323-G323</f>
        <v>22423.543000000001</v>
      </c>
      <c r="I323" s="14">
        <f t="shared" ref="I323:I346" si="11">+H323+C323</f>
        <v>22423.543000000001</v>
      </c>
      <c r="J323" s="8" t="s">
        <v>195</v>
      </c>
      <c r="K323" s="8" t="s">
        <v>517</v>
      </c>
      <c r="M323" s="339"/>
      <c r="N323" s="315"/>
    </row>
    <row r="324" spans="1:14" s="9" customFormat="1" ht="11.25" x14ac:dyDescent="0.2">
      <c r="A324" s="10">
        <v>65150000</v>
      </c>
      <c r="B324" s="10" t="s">
        <v>270</v>
      </c>
      <c r="C324" s="11">
        <v>0</v>
      </c>
      <c r="D324" s="11">
        <v>0</v>
      </c>
      <c r="E324" s="11">
        <v>0</v>
      </c>
      <c r="F324" s="13">
        <f>SUMIF('OD 04-24'!A:A,A324,'OD 04-24'!D:D)</f>
        <v>29678.904999999999</v>
      </c>
      <c r="G324" s="13">
        <f>SUMIF('OD 04-24'!A:A,A324,'OD 04-24'!E:E)</f>
        <v>17814.794999999998</v>
      </c>
      <c r="H324" s="14">
        <f t="shared" si="10"/>
        <v>11864.11</v>
      </c>
      <c r="I324" s="14">
        <f t="shared" si="11"/>
        <v>11864.11</v>
      </c>
      <c r="J324" s="8" t="s">
        <v>195</v>
      </c>
      <c r="K324" s="8" t="s">
        <v>517</v>
      </c>
      <c r="M324" s="339"/>
      <c r="N324" s="315"/>
    </row>
    <row r="325" spans="1:14" s="9" customFormat="1" ht="11.25" x14ac:dyDescent="0.2">
      <c r="A325" s="10">
        <v>65190000</v>
      </c>
      <c r="B325" s="10" t="s">
        <v>198</v>
      </c>
      <c r="C325" s="11">
        <v>0</v>
      </c>
      <c r="D325" s="11">
        <v>0</v>
      </c>
      <c r="E325" s="11">
        <v>0</v>
      </c>
      <c r="F325" s="13">
        <f>SUMIF('OD 04-24'!A:A,A325,'OD 04-24'!D:D)</f>
        <v>293028.03000000003</v>
      </c>
      <c r="G325" s="13">
        <f>SUMIF('OD 04-24'!A:A,A325,'OD 04-24'!E:E)</f>
        <v>175816.818</v>
      </c>
      <c r="H325" s="14">
        <f t="shared" si="10"/>
        <v>117211.21200000003</v>
      </c>
      <c r="I325" s="14">
        <f t="shared" si="11"/>
        <v>117211.21200000003</v>
      </c>
      <c r="J325" s="8" t="s">
        <v>195</v>
      </c>
      <c r="K325" s="8" t="s">
        <v>517</v>
      </c>
      <c r="M325" s="339"/>
      <c r="N325" s="315"/>
    </row>
    <row r="326" spans="1:14" s="9" customFormat="1" ht="11.25" x14ac:dyDescent="0.2">
      <c r="A326" s="10">
        <v>65500000</v>
      </c>
      <c r="B326" s="10" t="s">
        <v>400</v>
      </c>
      <c r="C326" s="11">
        <v>0</v>
      </c>
      <c r="D326" s="11">
        <v>19683.219000000001</v>
      </c>
      <c r="E326" s="11">
        <v>15431.621999999999</v>
      </c>
      <c r="F326" s="13">
        <f>SUMIF('OD 04-24'!A:A,A326,'OD 04-24'!D:D)</f>
        <v>9970.7520000000004</v>
      </c>
      <c r="G326" s="13">
        <f>SUMIF('OD 04-24'!A:A,A326,'OD 04-24'!E:E)</f>
        <v>0</v>
      </c>
      <c r="H326" s="14">
        <f t="shared" si="10"/>
        <v>14222.349000000002</v>
      </c>
      <c r="I326" s="14">
        <f t="shared" si="11"/>
        <v>14222.349000000002</v>
      </c>
      <c r="J326" s="8" t="s">
        <v>195</v>
      </c>
      <c r="K326" s="8" t="s">
        <v>517</v>
      </c>
      <c r="M326" s="339"/>
      <c r="N326" s="315"/>
    </row>
    <row r="327" spans="1:14" s="9" customFormat="1" ht="11.25" x14ac:dyDescent="0.2">
      <c r="A327" s="10">
        <v>66520000</v>
      </c>
      <c r="B327" s="10" t="s">
        <v>200</v>
      </c>
      <c r="C327" s="11">
        <v>0</v>
      </c>
      <c r="D327" s="11">
        <v>25477.154999999999</v>
      </c>
      <c r="E327" s="11">
        <v>0</v>
      </c>
      <c r="F327" s="13">
        <f>SUMIF('OD 04-24'!A:A,A327,'OD 04-24'!D:D)</f>
        <v>29990.190999999999</v>
      </c>
      <c r="G327" s="13">
        <f>SUMIF('OD 04-24'!A:A,A327,'OD 04-24'!E:E)</f>
        <v>24739.031999999999</v>
      </c>
      <c r="H327" s="14">
        <f t="shared" si="10"/>
        <v>30728.313999999998</v>
      </c>
      <c r="I327" s="14">
        <f t="shared" si="11"/>
        <v>30728.313999999998</v>
      </c>
      <c r="J327" s="8" t="s">
        <v>157</v>
      </c>
      <c r="K327" s="8" t="s">
        <v>512</v>
      </c>
      <c r="M327" s="339"/>
      <c r="N327" s="315"/>
    </row>
    <row r="328" spans="1:14" s="9" customFormat="1" ht="11.25" x14ac:dyDescent="0.2">
      <c r="A328" s="10">
        <v>66540000</v>
      </c>
      <c r="B328" s="10" t="s">
        <v>201</v>
      </c>
      <c r="C328" s="11">
        <v>0</v>
      </c>
      <c r="D328" s="11">
        <v>3854.2750000000001</v>
      </c>
      <c r="E328" s="11">
        <v>15</v>
      </c>
      <c r="F328" s="13">
        <f>SUMIF('OD 04-24'!A:A,A328,'OD 04-24'!D:D)</f>
        <v>0</v>
      </c>
      <c r="G328" s="13">
        <f>SUMIF('OD 04-24'!A:A,A328,'OD 04-24'!E:E)</f>
        <v>0</v>
      </c>
      <c r="H328" s="14">
        <f t="shared" si="10"/>
        <v>3839.2750000000001</v>
      </c>
      <c r="I328" s="14">
        <f t="shared" si="11"/>
        <v>3839.2750000000001</v>
      </c>
      <c r="J328" s="8" t="s">
        <v>157</v>
      </c>
      <c r="K328" s="8" t="s">
        <v>512</v>
      </c>
      <c r="M328" s="339"/>
      <c r="N328" s="315"/>
    </row>
    <row r="329" spans="1:14" s="9" customFormat="1" ht="11.25" x14ac:dyDescent="0.2">
      <c r="A329" s="10">
        <v>66550000</v>
      </c>
      <c r="B329" s="10" t="s">
        <v>202</v>
      </c>
      <c r="C329" s="11">
        <v>0</v>
      </c>
      <c r="D329" s="11">
        <v>14826.238999999998</v>
      </c>
      <c r="E329" s="11">
        <v>0</v>
      </c>
      <c r="F329" s="13">
        <f>SUMIF('OD 04-24'!A:A,A329,'OD 04-24'!D:D)</f>
        <v>9000</v>
      </c>
      <c r="G329" s="13">
        <f>SUMIF('OD 04-24'!A:A,A329,'OD 04-24'!E:E)</f>
        <v>5400</v>
      </c>
      <c r="H329" s="14">
        <f t="shared" si="10"/>
        <v>18426.238999999998</v>
      </c>
      <c r="I329" s="14">
        <f t="shared" si="11"/>
        <v>18426.238999999998</v>
      </c>
      <c r="J329" s="8" t="s">
        <v>157</v>
      </c>
      <c r="K329" s="8" t="s">
        <v>512</v>
      </c>
      <c r="M329" s="339"/>
      <c r="N329" s="315"/>
    </row>
    <row r="330" spans="1:14" s="9" customFormat="1" ht="11.25" x14ac:dyDescent="0.2">
      <c r="A330" s="10">
        <v>68112000</v>
      </c>
      <c r="B330" s="10" t="s">
        <v>271</v>
      </c>
      <c r="C330" s="11">
        <v>0</v>
      </c>
      <c r="D330" s="11">
        <v>0</v>
      </c>
      <c r="E330" s="11">
        <v>0</v>
      </c>
      <c r="F330" s="13">
        <f>SUMIF('OD 04-24'!A:A,A330,'OD 04-24'!D:D)</f>
        <v>2267359.2050000001</v>
      </c>
      <c r="G330" s="13">
        <f>SUMIF('OD 04-24'!A:A,A330,'OD 04-24'!E:E)</f>
        <v>1340745.267</v>
      </c>
      <c r="H330" s="14">
        <f t="shared" si="10"/>
        <v>926613.93800000008</v>
      </c>
      <c r="I330" s="14">
        <f t="shared" si="11"/>
        <v>926613.93800000008</v>
      </c>
      <c r="J330" s="8" t="s">
        <v>203</v>
      </c>
      <c r="K330" s="8" t="s">
        <v>7578</v>
      </c>
      <c r="M330" s="339"/>
    </row>
    <row r="331" spans="1:14" s="9" customFormat="1" ht="11.25" x14ac:dyDescent="0.2">
      <c r="A331" s="10">
        <v>68170000</v>
      </c>
      <c r="B331" s="10" t="s">
        <v>7577</v>
      </c>
      <c r="C331" s="11">
        <v>0</v>
      </c>
      <c r="D331" s="11">
        <v>0</v>
      </c>
      <c r="E331" s="11">
        <v>0</v>
      </c>
      <c r="F331" s="13">
        <f>SUMIF('OD 04-24'!A:A,A331,'OD 04-24'!D:D)</f>
        <v>400000</v>
      </c>
      <c r="G331" s="13">
        <f>SUMIF('OD 04-24'!A:A,A331,'OD 04-24'!E:E)</f>
        <v>200000</v>
      </c>
      <c r="H331" s="14">
        <f t="shared" si="10"/>
        <v>200000</v>
      </c>
      <c r="I331" s="14">
        <f t="shared" si="11"/>
        <v>200000</v>
      </c>
      <c r="J331" s="8" t="s">
        <v>7715</v>
      </c>
      <c r="K331" s="8" t="s">
        <v>7716</v>
      </c>
      <c r="M331" s="339"/>
      <c r="N331" s="315"/>
    </row>
    <row r="332" spans="1:14" s="9" customFormat="1" ht="11.25" x14ac:dyDescent="0.2">
      <c r="A332" s="10">
        <v>70000000</v>
      </c>
      <c r="B332" s="10" t="s">
        <v>205</v>
      </c>
      <c r="C332" s="11">
        <v>0</v>
      </c>
      <c r="D332" s="11">
        <f>1223056.683+123743</f>
        <v>1346799.683</v>
      </c>
      <c r="E332" s="11">
        <v>9743238.9920000006</v>
      </c>
      <c r="F332" s="13">
        <f>SUMIF('OD 04-24'!A:A,A332,'OD 04-24'!D:D)</f>
        <v>0</v>
      </c>
      <c r="G332" s="13">
        <f>SUMIF('OD 04-24'!A:A,A332,'OD 04-24'!E:E)</f>
        <v>0</v>
      </c>
      <c r="H332" s="14">
        <f t="shared" si="10"/>
        <v>-8396439.3090000004</v>
      </c>
      <c r="I332" s="14">
        <f t="shared" si="11"/>
        <v>-8396439.3090000004</v>
      </c>
      <c r="J332" s="8" t="s">
        <v>206</v>
      </c>
      <c r="K332" s="8" t="s">
        <v>505</v>
      </c>
      <c r="M332" s="339"/>
      <c r="N332" s="315"/>
    </row>
    <row r="333" spans="1:14" s="9" customFormat="1" ht="11.25" x14ac:dyDescent="0.2">
      <c r="A333" s="10">
        <v>70102000</v>
      </c>
      <c r="B333" s="10" t="s">
        <v>207</v>
      </c>
      <c r="C333" s="11">
        <v>0</v>
      </c>
      <c r="D333" s="11">
        <v>0</v>
      </c>
      <c r="E333" s="11">
        <v>11177648.984000001</v>
      </c>
      <c r="F333" s="13">
        <f>SUMIF('OD 04-24'!A:A,A333,'OD 04-24'!D:D)</f>
        <v>3757277.7850000001</v>
      </c>
      <c r="G333" s="13">
        <f>SUMIF('OD 04-24'!A:A,A333,'OD 04-24'!E:E)</f>
        <v>3757277.7850000001</v>
      </c>
      <c r="H333" s="14">
        <f t="shared" si="10"/>
        <v>-11177648.984000001</v>
      </c>
      <c r="I333" s="14">
        <f t="shared" si="11"/>
        <v>-11177648.984000001</v>
      </c>
      <c r="J333" s="8" t="s">
        <v>227</v>
      </c>
      <c r="K333" s="8" t="s">
        <v>504</v>
      </c>
      <c r="M333" s="339"/>
      <c r="N333" s="315"/>
    </row>
    <row r="334" spans="1:14" s="9" customFormat="1" ht="11.25" x14ac:dyDescent="0.2">
      <c r="A334" s="10">
        <v>70103000</v>
      </c>
      <c r="B334" s="10" t="s">
        <v>380</v>
      </c>
      <c r="C334" s="11">
        <v>0</v>
      </c>
      <c r="D334" s="11">
        <v>0</v>
      </c>
      <c r="E334" s="11">
        <v>3225</v>
      </c>
      <c r="F334" s="13">
        <f>SUMIF('OD 04-24'!A:A,A334,'OD 04-24'!D:D)</f>
        <v>0</v>
      </c>
      <c r="G334" s="13">
        <f>SUMIF('OD 04-24'!A:A,A334,'OD 04-24'!E:E)</f>
        <v>0</v>
      </c>
      <c r="H334" s="14">
        <f t="shared" si="10"/>
        <v>-3225</v>
      </c>
      <c r="I334" s="14">
        <f t="shared" si="11"/>
        <v>-3225</v>
      </c>
      <c r="J334" s="8" t="s">
        <v>206</v>
      </c>
      <c r="K334" s="8" t="s">
        <v>505</v>
      </c>
      <c r="M334" s="339"/>
      <c r="N334" s="315"/>
    </row>
    <row r="335" spans="1:14" s="9" customFormat="1" ht="11.25" x14ac:dyDescent="0.2">
      <c r="A335" s="10">
        <v>70600000</v>
      </c>
      <c r="B335" s="10" t="s">
        <v>381</v>
      </c>
      <c r="C335" s="11">
        <v>0</v>
      </c>
      <c r="D335" s="11">
        <v>0</v>
      </c>
      <c r="E335" s="11">
        <v>123743</v>
      </c>
      <c r="F335" s="13">
        <f>SUMIF('OD 04-24'!A:A,A335,'OD 04-24'!D:D)</f>
        <v>0</v>
      </c>
      <c r="G335" s="13">
        <f>SUMIF('OD 04-24'!A:A,A335,'OD 04-24'!E:E)</f>
        <v>0</v>
      </c>
      <c r="H335" s="14">
        <f t="shared" si="10"/>
        <v>-123743</v>
      </c>
      <c r="I335" s="14">
        <f t="shared" si="11"/>
        <v>-123743</v>
      </c>
      <c r="J335" s="8" t="s">
        <v>206</v>
      </c>
      <c r="K335" s="8" t="s">
        <v>505</v>
      </c>
      <c r="M335" s="339"/>
      <c r="N335" s="315"/>
    </row>
    <row r="336" spans="1:14" s="9" customFormat="1" ht="11.25" x14ac:dyDescent="0.2">
      <c r="A336" s="10">
        <v>70600100</v>
      </c>
      <c r="B336" s="10" t="s">
        <v>7574</v>
      </c>
      <c r="C336" s="11">
        <v>0</v>
      </c>
      <c r="D336" s="11">
        <v>0</v>
      </c>
      <c r="E336" s="11">
        <v>337.34300000000002</v>
      </c>
      <c r="F336" s="13">
        <f>SUMIF('OD 04-24'!A:A,A336,'OD 04-24'!D:D)</f>
        <v>0</v>
      </c>
      <c r="G336" s="13">
        <f>SUMIF('OD 04-24'!A:A,A336,'OD 04-24'!E:E)</f>
        <v>0</v>
      </c>
      <c r="H336" s="14">
        <f t="shared" si="10"/>
        <v>-337.34300000000002</v>
      </c>
      <c r="I336" s="14">
        <f t="shared" si="11"/>
        <v>-337.34300000000002</v>
      </c>
      <c r="J336" s="8" t="s">
        <v>214</v>
      </c>
      <c r="K336" s="8" t="s">
        <v>506</v>
      </c>
      <c r="M336" s="339"/>
      <c r="N336" s="315"/>
    </row>
    <row r="337" spans="1:14" s="9" customFormat="1" ht="11.25" x14ac:dyDescent="0.2">
      <c r="A337" s="10">
        <v>70600500</v>
      </c>
      <c r="B337" s="10" t="s">
        <v>208</v>
      </c>
      <c r="C337" s="11">
        <v>0</v>
      </c>
      <c r="D337" s="11">
        <v>0</v>
      </c>
      <c r="E337" s="11">
        <v>0</v>
      </c>
      <c r="F337" s="13">
        <f>SUMIF('OD 04-24'!A:A,A337,'OD 04-24'!D:D)</f>
        <v>19454.718000000001</v>
      </c>
      <c r="G337" s="13">
        <f>SUMIF('OD 04-24'!A:A,A337,'OD 04-24'!E:E)</f>
        <v>32424.53</v>
      </c>
      <c r="H337" s="14">
        <f t="shared" si="10"/>
        <v>-12969.811999999998</v>
      </c>
      <c r="I337" s="14">
        <f t="shared" si="11"/>
        <v>-12969.811999999998</v>
      </c>
      <c r="J337" s="8" t="s">
        <v>214</v>
      </c>
      <c r="K337" s="8" t="s">
        <v>506</v>
      </c>
      <c r="M337" s="339"/>
      <c r="N337" s="315"/>
    </row>
    <row r="338" spans="1:14" s="9" customFormat="1" ht="11.25" x14ac:dyDescent="0.2">
      <c r="A338" s="10">
        <v>71340000</v>
      </c>
      <c r="B338" s="10" t="s">
        <v>382</v>
      </c>
      <c r="C338" s="11">
        <v>0</v>
      </c>
      <c r="D338" s="11">
        <v>744393.83599999989</v>
      </c>
      <c r="E338" s="11">
        <v>0</v>
      </c>
      <c r="F338" s="13">
        <f>SUMIF('OD 04-24'!A:A,A338,'OD 04-24'!D:D)</f>
        <v>2233181.5079999999</v>
      </c>
      <c r="G338" s="13">
        <f>SUMIF('OD 04-24'!A:A,A338,'OD 04-24'!E:E)</f>
        <v>2233181.5079999999</v>
      </c>
      <c r="H338" s="14">
        <f t="shared" si="10"/>
        <v>744393.83599999966</v>
      </c>
      <c r="I338" s="14">
        <f t="shared" si="11"/>
        <v>744393.83599999966</v>
      </c>
      <c r="J338" s="8" t="s">
        <v>210</v>
      </c>
      <c r="K338" s="8" t="s">
        <v>508</v>
      </c>
      <c r="M338" s="339"/>
      <c r="N338" s="315"/>
    </row>
    <row r="339" spans="1:14" s="9" customFormat="1" ht="11.25" x14ac:dyDescent="0.2">
      <c r="A339" s="10">
        <v>71350000</v>
      </c>
      <c r="B339" s="10" t="s">
        <v>209</v>
      </c>
      <c r="C339" s="11">
        <v>0</v>
      </c>
      <c r="D339" s="11">
        <v>5109884.3080000002</v>
      </c>
      <c r="E339" s="11">
        <v>0</v>
      </c>
      <c r="F339" s="13">
        <f>SUMIF('OD 04-24'!A:A,A339,'OD 04-24'!D:D)</f>
        <v>29922672.060800001</v>
      </c>
      <c r="G339" s="13">
        <f>SUMIF('OD 04-24'!A:A,A339,'OD 04-24'!E:E)</f>
        <v>36338936.777800001</v>
      </c>
      <c r="H339" s="14">
        <f t="shared" si="10"/>
        <v>-1306380.4090000018</v>
      </c>
      <c r="I339" s="14">
        <f t="shared" si="11"/>
        <v>-1306380.4090000018</v>
      </c>
      <c r="J339" s="8" t="s">
        <v>210</v>
      </c>
      <c r="K339" s="8" t="s">
        <v>508</v>
      </c>
      <c r="M339" s="339"/>
      <c r="N339" s="315"/>
    </row>
    <row r="340" spans="1:14" s="9" customFormat="1" ht="11.25" x14ac:dyDescent="0.2">
      <c r="A340" s="10">
        <v>73601000</v>
      </c>
      <c r="B340" s="10" t="s">
        <v>211</v>
      </c>
      <c r="C340" s="11">
        <v>0</v>
      </c>
      <c r="D340" s="11">
        <v>0</v>
      </c>
      <c r="E340" s="11">
        <v>74991.596999999994</v>
      </c>
      <c r="F340" s="13">
        <f>SUMIF('OD 04-24'!A:A,A340,'OD 04-24'!D:D)</f>
        <v>0</v>
      </c>
      <c r="G340" s="13">
        <f>SUMIF('OD 04-24'!A:A,A340,'OD 04-24'!E:E)</f>
        <v>0</v>
      </c>
      <c r="H340" s="14">
        <f t="shared" si="10"/>
        <v>-74991.596999999994</v>
      </c>
      <c r="I340" s="14">
        <f t="shared" si="11"/>
        <v>-74991.596999999994</v>
      </c>
      <c r="J340" s="8" t="s">
        <v>214</v>
      </c>
      <c r="K340" s="8" t="s">
        <v>506</v>
      </c>
      <c r="M340" s="339"/>
      <c r="N340" s="315"/>
    </row>
    <row r="341" spans="1:14" s="9" customFormat="1" ht="11.25" x14ac:dyDescent="0.2">
      <c r="A341" s="10">
        <v>75000000</v>
      </c>
      <c r="B341" s="10" t="s">
        <v>7575</v>
      </c>
      <c r="C341" s="11">
        <v>0</v>
      </c>
      <c r="D341" s="11">
        <v>0</v>
      </c>
      <c r="E341" s="11">
        <v>899.9</v>
      </c>
      <c r="F341" s="13">
        <f>SUMIF('OD 04-24'!A:A,A341,'OD 04-24'!D:D)</f>
        <v>0</v>
      </c>
      <c r="G341" s="13">
        <f>SUMIF('OD 04-24'!A:A,A341,'OD 04-24'!E:E)</f>
        <v>0</v>
      </c>
      <c r="H341" s="14">
        <f t="shared" si="10"/>
        <v>-899.9</v>
      </c>
      <c r="I341" s="14">
        <f t="shared" si="11"/>
        <v>-899.9</v>
      </c>
      <c r="J341" s="8" t="s">
        <v>195</v>
      </c>
      <c r="K341" s="8" t="s">
        <v>517</v>
      </c>
      <c r="M341" s="339"/>
      <c r="N341" s="315"/>
    </row>
    <row r="342" spans="1:14" s="9" customFormat="1" ht="11.25" x14ac:dyDescent="0.2">
      <c r="A342" s="10">
        <v>73900000</v>
      </c>
      <c r="B342" s="10" t="s">
        <v>213</v>
      </c>
      <c r="C342" s="11">
        <v>0</v>
      </c>
      <c r="D342" s="11">
        <v>0</v>
      </c>
      <c r="E342" s="11">
        <v>0</v>
      </c>
      <c r="F342" s="13">
        <f>SUMIF('OD 04-24'!A:A,A342,'OD 04-24'!D:D)</f>
        <v>121694.514</v>
      </c>
      <c r="G342" s="13">
        <f>SUMIF('OD 04-24'!A:A,A342,'OD 04-24'!E:E)</f>
        <v>202824.19</v>
      </c>
      <c r="H342" s="14">
        <f t="shared" si="10"/>
        <v>-81129.676000000007</v>
      </c>
      <c r="I342" s="14">
        <f t="shared" si="11"/>
        <v>-81129.676000000007</v>
      </c>
      <c r="J342" s="8" t="s">
        <v>214</v>
      </c>
      <c r="K342" s="8" t="s">
        <v>506</v>
      </c>
      <c r="M342" s="339"/>
      <c r="N342" s="315"/>
    </row>
    <row r="343" spans="1:14" s="9" customFormat="1" ht="11.25" x14ac:dyDescent="0.2">
      <c r="A343" s="10">
        <v>75600000</v>
      </c>
      <c r="B343" s="10" t="s">
        <v>215</v>
      </c>
      <c r="C343" s="11">
        <v>0</v>
      </c>
      <c r="D343" s="11">
        <v>1E-3</v>
      </c>
      <c r="E343" s="11">
        <v>0</v>
      </c>
      <c r="F343" s="13">
        <f>SUMIF('OD 04-24'!A:A,A343,'OD 04-24'!D:D)</f>
        <v>22831.906999999999</v>
      </c>
      <c r="G343" s="13">
        <f>SUMIF('OD 04-24'!A:A,A343,'OD 04-24'!E:E)</f>
        <v>22908.175999999999</v>
      </c>
      <c r="H343" s="14">
        <f t="shared" si="10"/>
        <v>-76.268000000000029</v>
      </c>
      <c r="I343" s="14">
        <f t="shared" si="11"/>
        <v>-76.268000000000029</v>
      </c>
      <c r="J343" s="8" t="s">
        <v>195</v>
      </c>
      <c r="K343" s="8" t="s">
        <v>517</v>
      </c>
      <c r="M343" s="339"/>
      <c r="N343" s="315"/>
    </row>
    <row r="344" spans="1:14" s="9" customFormat="1" ht="11.25" x14ac:dyDescent="0.2">
      <c r="A344" s="10">
        <v>77000000</v>
      </c>
      <c r="B344" s="10" t="s">
        <v>216</v>
      </c>
      <c r="C344" s="11">
        <v>0</v>
      </c>
      <c r="D344" s="11">
        <v>0</v>
      </c>
      <c r="E344" s="11">
        <v>0</v>
      </c>
      <c r="F344" s="13">
        <f>SUMIF('OD 04-24'!A:A,A344,'OD 04-24'!D:D)</f>
        <v>0</v>
      </c>
      <c r="G344" s="13">
        <f>SUMIF('OD 04-24'!A:A,A344,'OD 04-24'!E:E)</f>
        <v>0</v>
      </c>
      <c r="H344" s="14">
        <f t="shared" si="10"/>
        <v>0</v>
      </c>
      <c r="I344" s="14">
        <f t="shared" si="11"/>
        <v>0</v>
      </c>
      <c r="J344" s="8" t="s">
        <v>212</v>
      </c>
      <c r="K344" s="8" t="s">
        <v>518</v>
      </c>
      <c r="M344" s="339"/>
      <c r="N344" s="315"/>
    </row>
    <row r="345" spans="1:14" s="9" customFormat="1" ht="11.25" x14ac:dyDescent="0.2">
      <c r="A345" s="10">
        <v>78000000</v>
      </c>
      <c r="B345" s="10" t="s">
        <v>7576</v>
      </c>
      <c r="C345" s="11">
        <v>0</v>
      </c>
      <c r="D345" s="11">
        <v>0</v>
      </c>
      <c r="E345" s="11">
        <v>59797.479000000007</v>
      </c>
      <c r="F345" s="13">
        <f>SUMIF('OD 04-24'!A:A,A345,'OD 04-24'!D:D)</f>
        <v>0</v>
      </c>
      <c r="G345" s="13">
        <f>SUMIF('OD 04-24'!A:A,A345,'OD 04-24'!E:E)</f>
        <v>0</v>
      </c>
      <c r="H345" s="14">
        <f t="shared" si="10"/>
        <v>-59797.479000000007</v>
      </c>
      <c r="I345" s="14">
        <f t="shared" si="11"/>
        <v>-59797.479000000007</v>
      </c>
      <c r="J345" s="8" t="s">
        <v>7715</v>
      </c>
      <c r="K345" s="8" t="s">
        <v>7716</v>
      </c>
      <c r="M345" s="339"/>
      <c r="N345" s="315"/>
    </row>
    <row r="346" spans="1:14" s="9" customFormat="1" ht="11.25" x14ac:dyDescent="0.2">
      <c r="A346" s="10">
        <v>79999999</v>
      </c>
      <c r="B346" s="10" t="s">
        <v>383</v>
      </c>
      <c r="C346" s="11">
        <v>-2.6040943339467049E-4</v>
      </c>
      <c r="D346" s="11">
        <v>0</v>
      </c>
      <c r="E346" s="11">
        <v>0</v>
      </c>
      <c r="F346" s="13">
        <f>SUMIF('OD 04-24'!A:A,A346,'OD 04-24'!D:D)</f>
        <v>0</v>
      </c>
      <c r="G346" s="13">
        <f>SUMIF('OD 04-24'!A:A,A346,'OD 04-24'!E:E)</f>
        <v>0</v>
      </c>
      <c r="H346" s="14">
        <f t="shared" si="10"/>
        <v>0</v>
      </c>
      <c r="I346" s="14">
        <f t="shared" si="11"/>
        <v>-2.6040943339467049E-4</v>
      </c>
      <c r="J346" s="8"/>
      <c r="K346" s="8"/>
      <c r="M346" s="339"/>
      <c r="N346" s="315"/>
    </row>
    <row r="347" spans="1:14" x14ac:dyDescent="0.25">
      <c r="C347" s="344">
        <f>SUM(C3:C346)</f>
        <v>2.2817403078079224E-8</v>
      </c>
      <c r="D347" s="344">
        <f t="shared" ref="D347:I347" si="12">SUM(D3:D346)</f>
        <v>168525068.38468304</v>
      </c>
      <c r="E347" s="344">
        <f t="shared" si="12"/>
        <v>168525068.38468298</v>
      </c>
      <c r="F347" s="344">
        <f t="shared" si="12"/>
        <v>232056333.12379998</v>
      </c>
      <c r="G347" s="344">
        <f t="shared" si="12"/>
        <v>232056333.12379995</v>
      </c>
      <c r="H347" s="344">
        <f t="shared" si="12"/>
        <v>-7.7707227319478989E-9</v>
      </c>
      <c r="I347" s="344">
        <f t="shared" si="12"/>
        <v>2.1565938368439674E-8</v>
      </c>
      <c r="M347" s="9"/>
      <c r="N347" s="315"/>
    </row>
  </sheetData>
  <autoFilter ref="A2:K347" xr:uid="{00000000-0009-0000-0000-000018000000}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92D050"/>
  </sheetPr>
  <dimension ref="A1:M3734"/>
  <sheetViews>
    <sheetView topLeftCell="B1" workbookViewId="0">
      <selection activeCell="I35" sqref="I35"/>
    </sheetView>
  </sheetViews>
  <sheetFormatPr baseColWidth="10" defaultColWidth="11.42578125" defaultRowHeight="15" x14ac:dyDescent="0.25"/>
  <cols>
    <col min="1" max="1" width="5.42578125" customWidth="1"/>
    <col min="2" max="2" width="8.5703125" bestFit="1" customWidth="1"/>
    <col min="3" max="3" width="20.5703125" bestFit="1" customWidth="1"/>
    <col min="4" max="4" width="55.42578125" bestFit="1" customWidth="1"/>
    <col min="5" max="5" width="9.5703125" customWidth="1"/>
    <col min="6" max="6" width="19.42578125" style="187" customWidth="1"/>
    <col min="7" max="7" width="12.7109375" style="187" customWidth="1"/>
    <col min="8" max="8" width="14.85546875" bestFit="1" customWidth="1"/>
    <col min="9" max="9" width="20.85546875" customWidth="1"/>
    <col min="12" max="12" width="13.140625" bestFit="1" customWidth="1"/>
    <col min="13" max="13" width="20" customWidth="1"/>
  </cols>
  <sheetData>
    <row r="1" spans="1:13" x14ac:dyDescent="0.25">
      <c r="F1" s="186">
        <v>9430042.5899</v>
      </c>
      <c r="H1" s="306">
        <f>SUM(H5:H3734)</f>
        <v>15596199.569233717</v>
      </c>
      <c r="J1" s="188"/>
      <c r="K1" s="188"/>
    </row>
    <row r="2" spans="1:13" x14ac:dyDescent="0.25">
      <c r="D2" s="188"/>
    </row>
    <row r="3" spans="1:13" x14ac:dyDescent="0.25">
      <c r="A3" s="189"/>
      <c r="B3" s="189"/>
      <c r="C3" s="189"/>
      <c r="D3" s="189"/>
      <c r="E3" s="189"/>
      <c r="F3" s="190"/>
      <c r="G3" s="191"/>
      <c r="H3" s="191"/>
      <c r="I3" s="189"/>
      <c r="L3" s="307"/>
      <c r="M3" s="307"/>
    </row>
    <row r="4" spans="1:13" x14ac:dyDescent="0.25">
      <c r="A4" s="192" t="s">
        <v>524</v>
      </c>
      <c r="B4" s="193" t="s">
        <v>525</v>
      </c>
      <c r="C4" s="193" t="s">
        <v>526</v>
      </c>
      <c r="D4" s="193" t="s">
        <v>527</v>
      </c>
      <c r="E4" s="193" t="s">
        <v>528</v>
      </c>
      <c r="F4" s="194" t="s">
        <v>7405</v>
      </c>
      <c r="G4" s="194" t="s">
        <v>7406</v>
      </c>
      <c r="H4" s="195" t="s">
        <v>7407</v>
      </c>
      <c r="I4" s="193" t="s">
        <v>7385</v>
      </c>
      <c r="L4" s="309" t="s">
        <v>7563</v>
      </c>
      <c r="M4" s="307" t="s">
        <v>7564</v>
      </c>
    </row>
    <row r="5" spans="1:13" x14ac:dyDescent="0.25">
      <c r="A5" s="192" t="s">
        <v>220</v>
      </c>
      <c r="B5" s="193" t="s">
        <v>802</v>
      </c>
      <c r="C5" s="193" t="s">
        <v>7408</v>
      </c>
      <c r="D5" s="193" t="s">
        <v>7409</v>
      </c>
      <c r="E5" s="193" t="s">
        <v>535</v>
      </c>
      <c r="F5" s="194">
        <v>1344</v>
      </c>
      <c r="G5" s="194">
        <v>6.8397620870135958</v>
      </c>
      <c r="H5" s="195">
        <v>9192.640244946273</v>
      </c>
      <c r="I5" s="193" t="s">
        <v>541</v>
      </c>
      <c r="L5" s="308" t="s">
        <v>1911</v>
      </c>
      <c r="M5" s="307">
        <v>2004225.1043689554</v>
      </c>
    </row>
    <row r="6" spans="1:13" x14ac:dyDescent="0.25">
      <c r="A6" s="192" t="s">
        <v>220</v>
      </c>
      <c r="B6" s="193" t="s">
        <v>802</v>
      </c>
      <c r="C6" s="193" t="s">
        <v>7410</v>
      </c>
      <c r="D6" s="193"/>
      <c r="E6" s="193" t="s">
        <v>535</v>
      </c>
      <c r="F6" s="194">
        <v>565</v>
      </c>
      <c r="G6" s="194">
        <v>7.6484658307538593</v>
      </c>
      <c r="H6" s="195">
        <v>4321.3831943759305</v>
      </c>
      <c r="I6" s="193" t="s">
        <v>541</v>
      </c>
      <c r="L6" s="308" t="s">
        <v>541</v>
      </c>
      <c r="M6" s="307">
        <v>10405898.336764719</v>
      </c>
    </row>
    <row r="7" spans="1:13" x14ac:dyDescent="0.25">
      <c r="A7" s="192" t="s">
        <v>220</v>
      </c>
      <c r="B7" s="193" t="s">
        <v>802</v>
      </c>
      <c r="C7" s="193" t="s">
        <v>7411</v>
      </c>
      <c r="D7" s="193"/>
      <c r="E7" s="193" t="s">
        <v>535</v>
      </c>
      <c r="F7" s="195">
        <v>242.4</v>
      </c>
      <c r="G7" s="194">
        <v>7.5715771114644959</v>
      </c>
      <c r="H7" s="195">
        <v>1835.3502918189938</v>
      </c>
      <c r="I7" s="193" t="s">
        <v>541</v>
      </c>
      <c r="L7" s="308" t="s">
        <v>2354</v>
      </c>
      <c r="M7" s="307">
        <v>605607.88091259624</v>
      </c>
    </row>
    <row r="8" spans="1:13" x14ac:dyDescent="0.25">
      <c r="A8" s="192" t="s">
        <v>220</v>
      </c>
      <c r="B8" s="193" t="s">
        <v>802</v>
      </c>
      <c r="C8" s="193" t="s">
        <v>7412</v>
      </c>
      <c r="D8" s="193"/>
      <c r="E8" s="193" t="s">
        <v>535</v>
      </c>
      <c r="F8" s="195">
        <v>2448</v>
      </c>
      <c r="G8" s="194">
        <v>6.8542391322811929</v>
      </c>
      <c r="H8" s="195">
        <v>16779.177395824361</v>
      </c>
      <c r="I8" s="193" t="s">
        <v>541</v>
      </c>
      <c r="L8" s="308" t="s">
        <v>536</v>
      </c>
      <c r="M8" s="307">
        <v>2580468.247187438</v>
      </c>
    </row>
    <row r="9" spans="1:13" x14ac:dyDescent="0.25">
      <c r="A9" s="192" t="s">
        <v>220</v>
      </c>
      <c r="B9" s="193" t="s">
        <v>802</v>
      </c>
      <c r="C9" s="193" t="s">
        <v>7413</v>
      </c>
      <c r="D9" s="193"/>
      <c r="E9" s="193" t="s">
        <v>535</v>
      </c>
      <c r="F9" s="195">
        <v>709</v>
      </c>
      <c r="G9" s="194">
        <v>7.0606592205289838</v>
      </c>
      <c r="H9" s="195">
        <v>5006.0073873550491</v>
      </c>
      <c r="I9" s="193" t="s">
        <v>541</v>
      </c>
      <c r="L9" s="308" t="s">
        <v>7565</v>
      </c>
      <c r="M9" s="307">
        <v>15596199.569233708</v>
      </c>
    </row>
    <row r="10" spans="1:13" x14ac:dyDescent="0.25">
      <c r="A10" s="192" t="s">
        <v>220</v>
      </c>
      <c r="B10" s="193" t="s">
        <v>802</v>
      </c>
      <c r="C10" s="193" t="s">
        <v>7414</v>
      </c>
      <c r="D10" s="193"/>
      <c r="E10" s="193" t="s">
        <v>535</v>
      </c>
      <c r="F10" s="195">
        <v>530</v>
      </c>
      <c r="G10" s="194">
        <v>7.1205337634286776</v>
      </c>
      <c r="H10" s="195">
        <v>3773.8828946171993</v>
      </c>
      <c r="I10" s="193" t="s">
        <v>541</v>
      </c>
      <c r="L10" s="307"/>
      <c r="M10" s="307"/>
    </row>
    <row r="11" spans="1:13" x14ac:dyDescent="0.25">
      <c r="A11" s="192" t="s">
        <v>220</v>
      </c>
      <c r="B11" s="193" t="s">
        <v>588</v>
      </c>
      <c r="C11" s="193" t="s">
        <v>7415</v>
      </c>
      <c r="D11" s="193" t="s">
        <v>7416</v>
      </c>
      <c r="E11" s="193" t="s">
        <v>535</v>
      </c>
      <c r="F11" s="195">
        <v>36264</v>
      </c>
      <c r="G11" s="194">
        <v>5.5880182149105089</v>
      </c>
      <c r="H11" s="195">
        <v>202643.89254551468</v>
      </c>
      <c r="I11" s="193" t="s">
        <v>541</v>
      </c>
    </row>
    <row r="12" spans="1:13" x14ac:dyDescent="0.25">
      <c r="A12" s="192" t="s">
        <v>220</v>
      </c>
      <c r="B12" s="193" t="s">
        <v>532</v>
      </c>
      <c r="C12" s="193" t="s">
        <v>843</v>
      </c>
      <c r="D12" s="193" t="s">
        <v>844</v>
      </c>
      <c r="E12" s="193" t="s">
        <v>545</v>
      </c>
      <c r="F12" s="195">
        <v>557</v>
      </c>
      <c r="G12" s="194">
        <v>5.9648175593552235</v>
      </c>
      <c r="H12" s="195">
        <v>3322.4033805608597</v>
      </c>
      <c r="I12" s="193" t="s">
        <v>541</v>
      </c>
    </row>
    <row r="13" spans="1:13" x14ac:dyDescent="0.25">
      <c r="A13" s="192" t="s">
        <v>220</v>
      </c>
      <c r="B13" s="193" t="s">
        <v>532</v>
      </c>
      <c r="C13" s="193" t="s">
        <v>853</v>
      </c>
      <c r="D13" s="193" t="s">
        <v>854</v>
      </c>
      <c r="E13" s="193" t="s">
        <v>545</v>
      </c>
      <c r="F13" s="195">
        <v>150</v>
      </c>
      <c r="G13" s="194">
        <v>6.5069026234189895</v>
      </c>
      <c r="H13" s="195">
        <v>976.03539351284837</v>
      </c>
      <c r="I13" s="193" t="s">
        <v>541</v>
      </c>
    </row>
    <row r="14" spans="1:13" x14ac:dyDescent="0.25">
      <c r="A14" s="192" t="s">
        <v>220</v>
      </c>
      <c r="B14" s="193" t="s">
        <v>532</v>
      </c>
      <c r="C14" s="193" t="s">
        <v>7417</v>
      </c>
      <c r="D14" s="193" t="s">
        <v>7418</v>
      </c>
      <c r="E14" s="193" t="s">
        <v>545</v>
      </c>
      <c r="F14" s="195">
        <v>19</v>
      </c>
      <c r="G14" s="194">
        <v>4</v>
      </c>
      <c r="H14" s="195">
        <v>76</v>
      </c>
      <c r="I14" s="193" t="s">
        <v>536</v>
      </c>
    </row>
    <row r="15" spans="1:13" x14ac:dyDescent="0.25">
      <c r="A15" s="192" t="s">
        <v>220</v>
      </c>
      <c r="B15" s="193" t="s">
        <v>532</v>
      </c>
      <c r="C15" s="193" t="s">
        <v>839</v>
      </c>
      <c r="D15" s="193" t="s">
        <v>840</v>
      </c>
      <c r="E15" s="193" t="s">
        <v>545</v>
      </c>
      <c r="F15" s="195">
        <v>29</v>
      </c>
      <c r="G15" s="194">
        <v>5.4413322199389604</v>
      </c>
      <c r="H15" s="195">
        <v>157.79863437822985</v>
      </c>
      <c r="I15" s="193" t="s">
        <v>541</v>
      </c>
    </row>
    <row r="16" spans="1:13" x14ac:dyDescent="0.25">
      <c r="A16" s="192" t="s">
        <v>220</v>
      </c>
      <c r="B16" s="193" t="s">
        <v>532</v>
      </c>
      <c r="C16" s="193" t="s">
        <v>833</v>
      </c>
      <c r="D16" s="193" t="s">
        <v>834</v>
      </c>
      <c r="E16" s="193" t="s">
        <v>545</v>
      </c>
      <c r="F16" s="195">
        <v>96</v>
      </c>
      <c r="G16" s="194">
        <v>5.8978684019301877</v>
      </c>
      <c r="H16" s="195">
        <v>566.19536658529796</v>
      </c>
      <c r="I16" s="193" t="s">
        <v>541</v>
      </c>
    </row>
    <row r="17" spans="1:9" x14ac:dyDescent="0.25">
      <c r="A17" s="192" t="s">
        <v>220</v>
      </c>
      <c r="B17" s="193" t="s">
        <v>532</v>
      </c>
      <c r="C17" s="193" t="s">
        <v>853</v>
      </c>
      <c r="D17" s="193" t="s">
        <v>854</v>
      </c>
      <c r="E17" s="193" t="s">
        <v>545</v>
      </c>
      <c r="F17" s="195">
        <v>748</v>
      </c>
      <c r="G17" s="194">
        <v>6.5069026234189895</v>
      </c>
      <c r="H17" s="195">
        <v>4867.1631623174044</v>
      </c>
      <c r="I17" s="193" t="s">
        <v>541</v>
      </c>
    </row>
    <row r="18" spans="1:9" x14ac:dyDescent="0.25">
      <c r="A18" s="192" t="s">
        <v>220</v>
      </c>
      <c r="B18" s="193" t="s">
        <v>532</v>
      </c>
      <c r="C18" s="193" t="s">
        <v>843</v>
      </c>
      <c r="D18" s="193" t="s">
        <v>844</v>
      </c>
      <c r="E18" s="193" t="s">
        <v>545</v>
      </c>
      <c r="F18" s="195">
        <v>1857</v>
      </c>
      <c r="G18" s="194">
        <v>5.9648175593552235</v>
      </c>
      <c r="H18" s="195">
        <v>11076.66620772265</v>
      </c>
      <c r="I18" s="193" t="s">
        <v>541</v>
      </c>
    </row>
    <row r="19" spans="1:9" x14ac:dyDescent="0.25">
      <c r="A19" s="192" t="s">
        <v>220</v>
      </c>
      <c r="B19" s="193" t="s">
        <v>532</v>
      </c>
      <c r="C19" s="193" t="s">
        <v>859</v>
      </c>
      <c r="D19" s="193" t="s">
        <v>860</v>
      </c>
      <c r="E19" s="193" t="s">
        <v>545</v>
      </c>
      <c r="F19" s="195">
        <v>13</v>
      </c>
      <c r="G19" s="194">
        <v>6.0477779713082231</v>
      </c>
      <c r="H19" s="195">
        <v>78.621113627006906</v>
      </c>
      <c r="I19" s="193" t="s">
        <v>541</v>
      </c>
    </row>
    <row r="20" spans="1:9" x14ac:dyDescent="0.25">
      <c r="A20" s="192" t="s">
        <v>220</v>
      </c>
      <c r="B20" s="193" t="s">
        <v>532</v>
      </c>
      <c r="C20" s="193" t="s">
        <v>853</v>
      </c>
      <c r="D20" s="193" t="s">
        <v>854</v>
      </c>
      <c r="E20" s="193" t="s">
        <v>545</v>
      </c>
      <c r="F20" s="195">
        <v>238</v>
      </c>
      <c r="G20" s="194">
        <v>6.5069026234189895</v>
      </c>
      <c r="H20" s="195">
        <v>1548.6428243737196</v>
      </c>
      <c r="I20" s="193" t="s">
        <v>541</v>
      </c>
    </row>
    <row r="21" spans="1:9" x14ac:dyDescent="0.25">
      <c r="A21" s="192" t="s">
        <v>220</v>
      </c>
      <c r="B21" s="193" t="s">
        <v>532</v>
      </c>
      <c r="C21" s="193" t="s">
        <v>884</v>
      </c>
      <c r="D21" s="193" t="s">
        <v>885</v>
      </c>
      <c r="E21" s="193" t="s">
        <v>545</v>
      </c>
      <c r="F21" s="195">
        <v>7</v>
      </c>
      <c r="G21" s="194">
        <v>9.0982141647888408</v>
      </c>
      <c r="H21" s="195">
        <v>63.687499153521884</v>
      </c>
      <c r="I21" s="193" t="s">
        <v>541</v>
      </c>
    </row>
    <row r="22" spans="1:9" x14ac:dyDescent="0.25">
      <c r="A22" s="192" t="s">
        <v>220</v>
      </c>
      <c r="B22" s="193" t="s">
        <v>532</v>
      </c>
      <c r="C22" s="193" t="s">
        <v>839</v>
      </c>
      <c r="D22" s="193" t="s">
        <v>840</v>
      </c>
      <c r="E22" s="193" t="s">
        <v>545</v>
      </c>
      <c r="F22" s="195">
        <v>372</v>
      </c>
      <c r="G22" s="194">
        <v>5.4413322199389604</v>
      </c>
      <c r="H22" s="195">
        <v>2024.1755858172933</v>
      </c>
      <c r="I22" s="193" t="s">
        <v>541</v>
      </c>
    </row>
    <row r="23" spans="1:9" x14ac:dyDescent="0.25">
      <c r="A23" s="192" t="s">
        <v>220</v>
      </c>
      <c r="B23" s="193" t="s">
        <v>532</v>
      </c>
      <c r="C23" s="193" t="s">
        <v>7419</v>
      </c>
      <c r="D23" s="193" t="s">
        <v>7420</v>
      </c>
      <c r="E23" s="193" t="s">
        <v>545</v>
      </c>
      <c r="F23" s="195">
        <v>748</v>
      </c>
      <c r="G23" s="194">
        <v>3.8617859999999999</v>
      </c>
      <c r="H23" s="195">
        <v>2888.6159280000002</v>
      </c>
      <c r="I23" s="193" t="s">
        <v>536</v>
      </c>
    </row>
    <row r="24" spans="1:9" x14ac:dyDescent="0.25">
      <c r="A24" s="192" t="s">
        <v>220</v>
      </c>
      <c r="B24" s="193" t="s">
        <v>532</v>
      </c>
      <c r="C24" s="193" t="s">
        <v>937</v>
      </c>
      <c r="D24" s="193" t="s">
        <v>938</v>
      </c>
      <c r="E24" s="193" t="s">
        <v>545</v>
      </c>
      <c r="F24" s="195">
        <v>1857</v>
      </c>
      <c r="G24" s="194">
        <v>4.0436779169907302</v>
      </c>
      <c r="H24" s="195">
        <v>7509.1098918517864</v>
      </c>
      <c r="I24" s="193" t="s">
        <v>541</v>
      </c>
    </row>
    <row r="25" spans="1:9" x14ac:dyDescent="0.25">
      <c r="A25" s="192" t="s">
        <v>220</v>
      </c>
      <c r="B25" s="193" t="s">
        <v>532</v>
      </c>
      <c r="C25" s="193" t="s">
        <v>7421</v>
      </c>
      <c r="D25" s="193"/>
      <c r="E25" s="193" t="s">
        <v>545</v>
      </c>
      <c r="F25" s="195">
        <v>13</v>
      </c>
      <c r="G25" s="194">
        <v>4.7047499999999998</v>
      </c>
      <c r="H25" s="195">
        <v>61.161749999999998</v>
      </c>
      <c r="I25" s="193" t="s">
        <v>536</v>
      </c>
    </row>
    <row r="26" spans="1:9" x14ac:dyDescent="0.25">
      <c r="A26" s="192" t="s">
        <v>220</v>
      </c>
      <c r="B26" s="193" t="s">
        <v>532</v>
      </c>
      <c r="C26" s="193" t="s">
        <v>7421</v>
      </c>
      <c r="D26" s="193"/>
      <c r="E26" s="193" t="s">
        <v>545</v>
      </c>
      <c r="F26" s="195">
        <v>238</v>
      </c>
      <c r="G26" s="194">
        <v>4.7047499999999998</v>
      </c>
      <c r="H26" s="195">
        <v>1119.7304999999999</v>
      </c>
      <c r="I26" s="193" t="s">
        <v>536</v>
      </c>
    </row>
    <row r="27" spans="1:9" x14ac:dyDescent="0.25">
      <c r="A27" s="192" t="s">
        <v>220</v>
      </c>
      <c r="B27" s="193" t="s">
        <v>532</v>
      </c>
      <c r="C27" s="193" t="s">
        <v>1029</v>
      </c>
      <c r="D27" s="193" t="s">
        <v>1030</v>
      </c>
      <c r="E27" s="193" t="s">
        <v>545</v>
      </c>
      <c r="F27" s="195">
        <v>7</v>
      </c>
      <c r="G27" s="194">
        <v>4.4280281866652915</v>
      </c>
      <c r="H27" s="195">
        <v>30.996197306657042</v>
      </c>
      <c r="I27" s="193" t="s">
        <v>541</v>
      </c>
    </row>
    <row r="28" spans="1:9" x14ac:dyDescent="0.25">
      <c r="A28" s="193" t="s">
        <v>220</v>
      </c>
      <c r="B28" s="193" t="s">
        <v>532</v>
      </c>
      <c r="C28" s="193" t="s">
        <v>943</v>
      </c>
      <c r="D28" s="193" t="s">
        <v>944</v>
      </c>
      <c r="E28" s="193" t="s">
        <v>545</v>
      </c>
      <c r="F28" s="196">
        <v>372</v>
      </c>
      <c r="G28" s="194">
        <v>4.8445442390232882</v>
      </c>
      <c r="H28" s="195">
        <v>1802.1704569166632</v>
      </c>
      <c r="I28" s="193" t="s">
        <v>541</v>
      </c>
    </row>
    <row r="29" spans="1:9" x14ac:dyDescent="0.25">
      <c r="A29" s="193" t="s">
        <v>220</v>
      </c>
      <c r="B29" s="193" t="s">
        <v>532</v>
      </c>
      <c r="C29" s="193" t="s">
        <v>7408</v>
      </c>
      <c r="D29" s="193"/>
      <c r="E29" s="193" t="s">
        <v>535</v>
      </c>
      <c r="F29" s="196">
        <v>2376.192</v>
      </c>
      <c r="G29" s="194">
        <v>6.8397620870135958</v>
      </c>
      <c r="H29" s="195">
        <v>16252.587953065011</v>
      </c>
      <c r="I29" s="193" t="s">
        <v>536</v>
      </c>
    </row>
    <row r="30" spans="1:9" x14ac:dyDescent="0.25">
      <c r="A30" s="193" t="s">
        <v>220</v>
      </c>
      <c r="B30" s="193" t="s">
        <v>532</v>
      </c>
      <c r="C30" s="193" t="s">
        <v>7422</v>
      </c>
      <c r="D30" s="193"/>
      <c r="E30" s="193" t="s">
        <v>535</v>
      </c>
      <c r="F30" s="196">
        <v>1246.0319999999999</v>
      </c>
      <c r="G30" s="194">
        <v>6.7277519755667461</v>
      </c>
      <c r="H30" s="195">
        <v>8382.9942496193835</v>
      </c>
      <c r="I30" s="193" t="s">
        <v>536</v>
      </c>
    </row>
    <row r="31" spans="1:9" x14ac:dyDescent="0.25">
      <c r="A31" s="193" t="s">
        <v>220</v>
      </c>
      <c r="B31" s="193" t="s">
        <v>532</v>
      </c>
      <c r="C31" s="193" t="s">
        <v>539</v>
      </c>
      <c r="D31" s="193" t="s">
        <v>540</v>
      </c>
      <c r="E31" s="193" t="s">
        <v>535</v>
      </c>
      <c r="F31" s="196">
        <v>12967.3619</v>
      </c>
      <c r="G31" s="194">
        <v>5.6104583436708264</v>
      </c>
      <c r="H31" s="195">
        <v>72752.843767254177</v>
      </c>
      <c r="I31" s="193" t="s">
        <v>541</v>
      </c>
    </row>
    <row r="32" spans="1:9" x14ac:dyDescent="0.25">
      <c r="A32" s="193" t="s">
        <v>220</v>
      </c>
      <c r="B32" s="193" t="s">
        <v>532</v>
      </c>
      <c r="C32" s="193" t="s">
        <v>1113</v>
      </c>
      <c r="D32" s="193" t="s">
        <v>1114</v>
      </c>
      <c r="E32" s="193" t="s">
        <v>545</v>
      </c>
      <c r="F32" s="196">
        <v>744</v>
      </c>
      <c r="G32" s="194">
        <v>2.5499392853000642</v>
      </c>
      <c r="H32" s="195">
        <v>1897.1548282632477</v>
      </c>
      <c r="I32" s="193" t="s">
        <v>541</v>
      </c>
    </row>
    <row r="33" spans="1:9" x14ac:dyDescent="0.25">
      <c r="A33" s="193" t="s">
        <v>220</v>
      </c>
      <c r="B33" s="193" t="s">
        <v>532</v>
      </c>
      <c r="C33" s="193" t="s">
        <v>839</v>
      </c>
      <c r="D33" s="193" t="s">
        <v>840</v>
      </c>
      <c r="E33" s="193" t="s">
        <v>545</v>
      </c>
      <c r="F33" s="196">
        <v>1200</v>
      </c>
      <c r="G33" s="194">
        <v>5.4413322199389604</v>
      </c>
      <c r="H33" s="195">
        <v>6529.5986639267521</v>
      </c>
      <c r="I33" s="193" t="s">
        <v>541</v>
      </c>
    </row>
    <row r="34" spans="1:9" x14ac:dyDescent="0.25">
      <c r="A34" s="193" t="s">
        <v>220</v>
      </c>
      <c r="B34" s="193" t="s">
        <v>532</v>
      </c>
      <c r="C34" s="193" t="s">
        <v>871</v>
      </c>
      <c r="D34" s="193" t="s">
        <v>872</v>
      </c>
      <c r="E34" s="193" t="s">
        <v>545</v>
      </c>
      <c r="F34" s="196">
        <v>720</v>
      </c>
      <c r="G34" s="194">
        <v>6.357308778341916</v>
      </c>
      <c r="H34" s="195">
        <v>4577.2623204061792</v>
      </c>
      <c r="I34" s="193" t="s">
        <v>541</v>
      </c>
    </row>
    <row r="35" spans="1:9" x14ac:dyDescent="0.25">
      <c r="A35" s="193" t="s">
        <v>220</v>
      </c>
      <c r="B35" s="193" t="s">
        <v>532</v>
      </c>
      <c r="C35" s="193" t="s">
        <v>953</v>
      </c>
      <c r="D35" s="193" t="s">
        <v>954</v>
      </c>
      <c r="E35" s="193" t="s">
        <v>545</v>
      </c>
      <c r="F35" s="196">
        <v>1176</v>
      </c>
      <c r="G35" s="194">
        <v>4.4099669915444535</v>
      </c>
      <c r="H35" s="195">
        <v>5186.1211820562776</v>
      </c>
      <c r="I35" s="193" t="s">
        <v>541</v>
      </c>
    </row>
    <row r="36" spans="1:9" x14ac:dyDescent="0.25">
      <c r="A36" s="193" t="s">
        <v>220</v>
      </c>
      <c r="B36" s="193" t="s">
        <v>532</v>
      </c>
      <c r="C36" s="193" t="s">
        <v>7421</v>
      </c>
      <c r="D36" s="193"/>
      <c r="E36" s="193" t="s">
        <v>545</v>
      </c>
      <c r="F36" s="196">
        <v>231</v>
      </c>
      <c r="G36" s="194">
        <v>4.7047499999999998</v>
      </c>
      <c r="H36" s="195">
        <v>1086.7972499999998</v>
      </c>
      <c r="I36" s="193" t="s">
        <v>536</v>
      </c>
    </row>
    <row r="37" spans="1:9" x14ac:dyDescent="0.25">
      <c r="A37" s="193" t="s">
        <v>220</v>
      </c>
      <c r="B37" s="193" t="s">
        <v>532</v>
      </c>
      <c r="C37" s="193" t="s">
        <v>937</v>
      </c>
      <c r="D37" s="193" t="s">
        <v>938</v>
      </c>
      <c r="E37" s="193" t="s">
        <v>545</v>
      </c>
      <c r="F37" s="196">
        <v>392</v>
      </c>
      <c r="G37" s="194">
        <v>4.0436779169907302</v>
      </c>
      <c r="H37" s="195">
        <v>1585.1217434603661</v>
      </c>
      <c r="I37" s="193" t="s">
        <v>541</v>
      </c>
    </row>
    <row r="38" spans="1:9" x14ac:dyDescent="0.25">
      <c r="A38" s="193" t="s">
        <v>220</v>
      </c>
      <c r="B38" s="193" t="s">
        <v>532</v>
      </c>
      <c r="C38" s="193" t="s">
        <v>971</v>
      </c>
      <c r="D38" s="193" t="s">
        <v>972</v>
      </c>
      <c r="E38" s="193" t="s">
        <v>545</v>
      </c>
      <c r="F38" s="196">
        <v>88</v>
      </c>
      <c r="G38" s="194">
        <v>5.1094136548213882</v>
      </c>
      <c r="H38" s="195">
        <v>449.62840162428216</v>
      </c>
      <c r="I38" s="193" t="s">
        <v>541</v>
      </c>
    </row>
    <row r="39" spans="1:9" x14ac:dyDescent="0.25">
      <c r="A39" s="193" t="s">
        <v>220</v>
      </c>
      <c r="B39" s="193" t="s">
        <v>532</v>
      </c>
      <c r="C39" s="193" t="s">
        <v>7408</v>
      </c>
      <c r="D39" s="193"/>
      <c r="E39" s="193" t="s">
        <v>535</v>
      </c>
      <c r="F39" s="196">
        <v>1100.3423229566718</v>
      </c>
      <c r="G39" s="194">
        <v>6.8397620870135958</v>
      </c>
      <c r="H39" s="195">
        <v>7526.0797032955134</v>
      </c>
      <c r="I39" s="193" t="s">
        <v>536</v>
      </c>
    </row>
    <row r="40" spans="1:9" x14ac:dyDescent="0.25">
      <c r="A40" s="193" t="s">
        <v>220</v>
      </c>
      <c r="B40" s="193" t="s">
        <v>532</v>
      </c>
      <c r="C40" s="193" t="s">
        <v>7422</v>
      </c>
      <c r="D40" s="193"/>
      <c r="E40" s="193" t="s">
        <v>535</v>
      </c>
      <c r="F40" s="196">
        <v>1243.6576770433282</v>
      </c>
      <c r="G40" s="194">
        <v>6.7277519755667461</v>
      </c>
      <c r="H40" s="195">
        <v>8367.0203936570015</v>
      </c>
      <c r="I40" s="193" t="s">
        <v>536</v>
      </c>
    </row>
    <row r="41" spans="1:9" x14ac:dyDescent="0.25">
      <c r="A41" s="193" t="s">
        <v>220</v>
      </c>
      <c r="B41" s="193" t="s">
        <v>532</v>
      </c>
      <c r="C41" s="193" t="s">
        <v>7423</v>
      </c>
      <c r="D41" s="193"/>
      <c r="E41" s="193" t="s">
        <v>535</v>
      </c>
      <c r="F41" s="196">
        <v>196.30434782608697</v>
      </c>
      <c r="G41" s="194">
        <v>7.7243830647258251</v>
      </c>
      <c r="H41" s="195">
        <v>1516.3299798798739</v>
      </c>
      <c r="I41" s="193" t="s">
        <v>536</v>
      </c>
    </row>
    <row r="42" spans="1:9" x14ac:dyDescent="0.25">
      <c r="A42" s="193" t="s">
        <v>220</v>
      </c>
      <c r="B42" s="193" t="s">
        <v>532</v>
      </c>
      <c r="C42" s="193" t="s">
        <v>7412</v>
      </c>
      <c r="D42" s="193"/>
      <c r="E42" s="193" t="s">
        <v>535</v>
      </c>
      <c r="F42" s="196">
        <v>190.69565217391306</v>
      </c>
      <c r="G42" s="194">
        <v>6.8542391322811929</v>
      </c>
      <c r="H42" s="195">
        <v>1307.073601486318</v>
      </c>
      <c r="I42" s="193" t="s">
        <v>536</v>
      </c>
    </row>
    <row r="43" spans="1:9" x14ac:dyDescent="0.25">
      <c r="A43" s="193" t="s">
        <v>220</v>
      </c>
      <c r="B43" s="193" t="s">
        <v>532</v>
      </c>
      <c r="C43" s="193" t="s">
        <v>7408</v>
      </c>
      <c r="D43" s="193"/>
      <c r="E43" s="193" t="s">
        <v>535</v>
      </c>
      <c r="F43" s="196">
        <v>12550.271999999999</v>
      </c>
      <c r="G43" s="194">
        <v>6.8397620870135958</v>
      </c>
      <c r="H43" s="195">
        <v>85840.874607308288</v>
      </c>
      <c r="I43" s="193" t="s">
        <v>536</v>
      </c>
    </row>
    <row r="44" spans="1:9" x14ac:dyDescent="0.25">
      <c r="A44" s="193" t="s">
        <v>220</v>
      </c>
      <c r="B44" s="193" t="s">
        <v>532</v>
      </c>
      <c r="C44" s="193" t="s">
        <v>7422</v>
      </c>
      <c r="D44" s="193"/>
      <c r="E44" s="193" t="s">
        <v>535</v>
      </c>
      <c r="F44" s="196">
        <v>11803.031999999999</v>
      </c>
      <c r="G44" s="194">
        <v>6.7277519755667461</v>
      </c>
      <c r="H44" s="195">
        <v>79407.871855677513</v>
      </c>
      <c r="I44" s="193" t="s">
        <v>536</v>
      </c>
    </row>
    <row r="45" spans="1:9" x14ac:dyDescent="0.25">
      <c r="A45" s="193" t="s">
        <v>220</v>
      </c>
      <c r="B45" s="193" t="s">
        <v>532</v>
      </c>
      <c r="C45" s="193" t="s">
        <v>7410</v>
      </c>
      <c r="D45" s="193"/>
      <c r="E45" s="193" t="s">
        <v>535</v>
      </c>
      <c r="F45" s="196">
        <v>51.527999999999999</v>
      </c>
      <c r="G45" s="194">
        <v>7.6484658307538593</v>
      </c>
      <c r="H45" s="195">
        <v>394.11014732708486</v>
      </c>
      <c r="I45" s="193" t="s">
        <v>536</v>
      </c>
    </row>
    <row r="46" spans="1:9" x14ac:dyDescent="0.25">
      <c r="A46" s="193" t="s">
        <v>220</v>
      </c>
      <c r="B46" s="193" t="s">
        <v>532</v>
      </c>
      <c r="C46" s="193" t="s">
        <v>7411</v>
      </c>
      <c r="D46" s="193"/>
      <c r="E46" s="193" t="s">
        <v>535</v>
      </c>
      <c r="F46" s="196">
        <v>46.055999999999997</v>
      </c>
      <c r="G46" s="194">
        <v>7.5715771114644959</v>
      </c>
      <c r="H46" s="195">
        <v>348.71655544560878</v>
      </c>
      <c r="I46" s="193" t="s">
        <v>536</v>
      </c>
    </row>
    <row r="47" spans="1:9" x14ac:dyDescent="0.25">
      <c r="A47" s="193" t="s">
        <v>220</v>
      </c>
      <c r="B47" s="193" t="s">
        <v>532</v>
      </c>
      <c r="C47" s="193" t="s">
        <v>7423</v>
      </c>
      <c r="D47" s="193"/>
      <c r="E47" s="193" t="s">
        <v>535</v>
      </c>
      <c r="F47" s="196">
        <v>52.92</v>
      </c>
      <c r="G47" s="194">
        <v>7.7243830647258251</v>
      </c>
      <c r="H47" s="195">
        <v>408.77435178529066</v>
      </c>
      <c r="I47" s="193" t="s">
        <v>536</v>
      </c>
    </row>
    <row r="48" spans="1:9" x14ac:dyDescent="0.25">
      <c r="A48" s="193" t="s">
        <v>220</v>
      </c>
      <c r="B48" s="193" t="s">
        <v>532</v>
      </c>
      <c r="C48" s="193" t="s">
        <v>7412</v>
      </c>
      <c r="D48" s="193"/>
      <c r="E48" s="193" t="s">
        <v>535</v>
      </c>
      <c r="F48" s="196">
        <v>51.408000000000008</v>
      </c>
      <c r="G48" s="194">
        <v>6.8542391322811929</v>
      </c>
      <c r="H48" s="195">
        <v>352.36272531231162</v>
      </c>
      <c r="I48" s="193" t="s">
        <v>536</v>
      </c>
    </row>
    <row r="49" spans="1:9" x14ac:dyDescent="0.25">
      <c r="A49" s="193" t="s">
        <v>587</v>
      </c>
      <c r="B49" s="193" t="s">
        <v>591</v>
      </c>
      <c r="C49" s="193" t="s">
        <v>598</v>
      </c>
      <c r="D49" s="193" t="s">
        <v>599</v>
      </c>
      <c r="E49" s="193" t="s">
        <v>535</v>
      </c>
      <c r="F49" s="196">
        <v>10972</v>
      </c>
      <c r="G49" s="194">
        <v>7.3343057120014175</v>
      </c>
      <c r="H49" s="195">
        <v>80472.002272079553</v>
      </c>
      <c r="I49" s="193" t="s">
        <v>541</v>
      </c>
    </row>
    <row r="50" spans="1:9" x14ac:dyDescent="0.25">
      <c r="A50" s="193" t="s">
        <v>587</v>
      </c>
      <c r="B50" s="193" t="s">
        <v>591</v>
      </c>
      <c r="C50" s="193" t="s">
        <v>7424</v>
      </c>
      <c r="D50" s="193" t="s">
        <v>7425</v>
      </c>
      <c r="E50" s="193" t="s">
        <v>535</v>
      </c>
      <c r="F50" s="196">
        <v>3600</v>
      </c>
      <c r="G50" s="194">
        <v>6.9617577371773702</v>
      </c>
      <c r="H50" s="195">
        <v>25062.327853838531</v>
      </c>
      <c r="I50" s="193" t="s">
        <v>541</v>
      </c>
    </row>
    <row r="51" spans="1:9" x14ac:dyDescent="0.25">
      <c r="A51" s="193" t="s">
        <v>587</v>
      </c>
      <c r="B51" s="193" t="s">
        <v>591</v>
      </c>
      <c r="C51" s="193" t="s">
        <v>672</v>
      </c>
      <c r="D51" s="193" t="s">
        <v>673</v>
      </c>
      <c r="E51" s="193" t="s">
        <v>535</v>
      </c>
      <c r="F51" s="196">
        <v>4500</v>
      </c>
      <c r="G51" s="194">
        <v>5.5880182149105089</v>
      </c>
      <c r="H51" s="195">
        <v>25146.081967097289</v>
      </c>
      <c r="I51" s="193" t="s">
        <v>541</v>
      </c>
    </row>
    <row r="52" spans="1:9" x14ac:dyDescent="0.25">
      <c r="A52" s="193" t="s">
        <v>587</v>
      </c>
      <c r="B52" s="193" t="s">
        <v>591</v>
      </c>
      <c r="C52" s="193" t="s">
        <v>675</v>
      </c>
      <c r="D52" s="193" t="s">
        <v>7426</v>
      </c>
      <c r="E52" s="193" t="s">
        <v>535</v>
      </c>
      <c r="F52" s="196">
        <v>18550</v>
      </c>
      <c r="G52" s="194">
        <v>5.9448965406431897</v>
      </c>
      <c r="H52" s="195">
        <v>110277.83082893117</v>
      </c>
      <c r="I52" s="193" t="s">
        <v>541</v>
      </c>
    </row>
    <row r="53" spans="1:9" x14ac:dyDescent="0.25">
      <c r="A53" s="193" t="s">
        <v>587</v>
      </c>
      <c r="B53" s="193" t="s">
        <v>591</v>
      </c>
      <c r="C53" s="193" t="s">
        <v>677</v>
      </c>
      <c r="D53" s="193" t="s">
        <v>7427</v>
      </c>
      <c r="E53" s="193" t="s">
        <v>535</v>
      </c>
      <c r="F53" s="196">
        <v>13500</v>
      </c>
      <c r="G53" s="194">
        <v>5.5939631280173145</v>
      </c>
      <c r="H53" s="195">
        <v>75518.502228233745</v>
      </c>
      <c r="I53" s="193" t="s">
        <v>541</v>
      </c>
    </row>
    <row r="54" spans="1:9" x14ac:dyDescent="0.25">
      <c r="A54" s="193" t="s">
        <v>587</v>
      </c>
      <c r="B54" s="193" t="s">
        <v>591</v>
      </c>
      <c r="C54" s="193" t="s">
        <v>677</v>
      </c>
      <c r="D54" s="193" t="s">
        <v>679</v>
      </c>
      <c r="E54" s="193" t="s">
        <v>535</v>
      </c>
      <c r="F54" s="196">
        <v>829</v>
      </c>
      <c r="G54" s="194">
        <v>5.5939631280173145</v>
      </c>
      <c r="H54" s="195">
        <v>4637.395433126354</v>
      </c>
      <c r="I54" s="193" t="s">
        <v>541</v>
      </c>
    </row>
    <row r="55" spans="1:9" x14ac:dyDescent="0.25">
      <c r="A55" s="193" t="s">
        <v>587</v>
      </c>
      <c r="B55" s="193" t="s">
        <v>591</v>
      </c>
      <c r="C55" s="193"/>
      <c r="D55" s="193" t="s">
        <v>2342</v>
      </c>
      <c r="E55" s="193" t="s">
        <v>535</v>
      </c>
      <c r="F55" s="196">
        <v>224</v>
      </c>
      <c r="G55" s="194">
        <v>6.8663267071618233</v>
      </c>
      <c r="H55" s="195">
        <v>1538.0571824042484</v>
      </c>
      <c r="I55" s="193" t="s">
        <v>541</v>
      </c>
    </row>
    <row r="56" spans="1:9" x14ac:dyDescent="0.25">
      <c r="A56" s="193" t="s">
        <v>587</v>
      </c>
      <c r="B56" s="193" t="s">
        <v>591</v>
      </c>
      <c r="C56" s="193"/>
      <c r="D56" s="193" t="s">
        <v>2343</v>
      </c>
      <c r="E56" s="193" t="s">
        <v>535</v>
      </c>
      <c r="F56" s="196">
        <v>223</v>
      </c>
      <c r="G56" s="194">
        <v>6.8663267071618233</v>
      </c>
      <c r="H56" s="195">
        <v>1531.1908556970866</v>
      </c>
      <c r="I56" s="193" t="s">
        <v>541</v>
      </c>
    </row>
    <row r="57" spans="1:9" x14ac:dyDescent="0.25">
      <c r="A57" s="193" t="s">
        <v>587</v>
      </c>
      <c r="B57" s="193" t="s">
        <v>591</v>
      </c>
      <c r="C57" s="193"/>
      <c r="D57" s="193" t="s">
        <v>2344</v>
      </c>
      <c r="E57" s="193" t="s">
        <v>535</v>
      </c>
      <c r="F57" s="196">
        <v>341</v>
      </c>
      <c r="G57" s="194">
        <v>6.8663267071618233</v>
      </c>
      <c r="H57" s="195">
        <v>2341.4174071421817</v>
      </c>
      <c r="I57" s="193" t="s">
        <v>541</v>
      </c>
    </row>
    <row r="58" spans="1:9" x14ac:dyDescent="0.25">
      <c r="A58" s="193" t="s">
        <v>587</v>
      </c>
      <c r="B58" s="193" t="s">
        <v>591</v>
      </c>
      <c r="C58" s="193" t="s">
        <v>7428</v>
      </c>
      <c r="D58" s="193" t="s">
        <v>7429</v>
      </c>
      <c r="E58" s="193" t="s">
        <v>535</v>
      </c>
      <c r="F58" s="196">
        <v>39020</v>
      </c>
      <c r="G58" s="194">
        <v>7.6706193705802175</v>
      </c>
      <c r="H58" s="195">
        <v>299307.56784004008</v>
      </c>
      <c r="I58" s="193" t="s">
        <v>541</v>
      </c>
    </row>
    <row r="59" spans="1:9" x14ac:dyDescent="0.25">
      <c r="A59" s="193" t="s">
        <v>587</v>
      </c>
      <c r="B59" s="193" t="s">
        <v>591</v>
      </c>
      <c r="C59" s="193" t="s">
        <v>803</v>
      </c>
      <c r="D59" s="193" t="s">
        <v>7430</v>
      </c>
      <c r="E59" s="193" t="s">
        <v>535</v>
      </c>
      <c r="F59" s="196">
        <v>44186</v>
      </c>
      <c r="G59" s="194">
        <v>7.6153615529949921</v>
      </c>
      <c r="H59" s="195">
        <v>336492.36558063672</v>
      </c>
      <c r="I59" s="193" t="s">
        <v>541</v>
      </c>
    </row>
    <row r="60" spans="1:9" x14ac:dyDescent="0.25">
      <c r="A60" s="193" t="s">
        <v>587</v>
      </c>
      <c r="B60" s="193" t="s">
        <v>591</v>
      </c>
      <c r="C60" s="193" t="s">
        <v>7431</v>
      </c>
      <c r="D60" s="193" t="s">
        <v>7432</v>
      </c>
      <c r="E60" s="193" t="s">
        <v>535</v>
      </c>
      <c r="F60" s="196">
        <v>11500</v>
      </c>
      <c r="G60" s="194">
        <v>5.792149489508577</v>
      </c>
      <c r="H60" s="195">
        <v>66609.719129348639</v>
      </c>
      <c r="I60" s="193" t="s">
        <v>541</v>
      </c>
    </row>
    <row r="61" spans="1:9" x14ac:dyDescent="0.25">
      <c r="A61" s="193" t="s">
        <v>220</v>
      </c>
      <c r="B61" s="193" t="s">
        <v>532</v>
      </c>
      <c r="C61" s="193"/>
      <c r="D61" s="193" t="s">
        <v>7433</v>
      </c>
      <c r="E61" s="193" t="s">
        <v>535</v>
      </c>
      <c r="F61" s="196">
        <v>265</v>
      </c>
      <c r="G61" s="194">
        <v>3.9913046639999994</v>
      </c>
      <c r="H61" s="195">
        <v>1057.6957359599999</v>
      </c>
      <c r="I61" s="193" t="s">
        <v>536</v>
      </c>
    </row>
    <row r="62" spans="1:9" x14ac:dyDescent="0.25">
      <c r="A62" s="193" t="s">
        <v>220</v>
      </c>
      <c r="B62" s="193" t="s">
        <v>532</v>
      </c>
      <c r="C62" s="193"/>
      <c r="D62" s="193" t="s">
        <v>7434</v>
      </c>
      <c r="E62" s="193" t="s">
        <v>535</v>
      </c>
      <c r="F62" s="196">
        <v>219</v>
      </c>
      <c r="G62" s="194">
        <v>3.9913046639999994</v>
      </c>
      <c r="H62" s="195">
        <v>874.09572141599983</v>
      </c>
      <c r="I62" s="193" t="s">
        <v>536</v>
      </c>
    </row>
    <row r="63" spans="1:9" x14ac:dyDescent="0.25">
      <c r="A63" s="193" t="s">
        <v>220</v>
      </c>
      <c r="B63" s="193" t="s">
        <v>532</v>
      </c>
      <c r="C63" s="193"/>
      <c r="D63" s="193" t="s">
        <v>7435</v>
      </c>
      <c r="E63" s="193" t="s">
        <v>535</v>
      </c>
      <c r="F63" s="196">
        <v>804</v>
      </c>
      <c r="G63" s="194">
        <v>3.9913046639999994</v>
      </c>
      <c r="H63" s="195">
        <v>3209.0089498559996</v>
      </c>
      <c r="I63" s="193" t="s">
        <v>536</v>
      </c>
    </row>
    <row r="64" spans="1:9" x14ac:dyDescent="0.25">
      <c r="A64" s="193" t="s">
        <v>220</v>
      </c>
      <c r="B64" s="193" t="s">
        <v>532</v>
      </c>
      <c r="C64" s="193"/>
      <c r="D64" s="193" t="s">
        <v>7436</v>
      </c>
      <c r="E64" s="193" t="s">
        <v>535</v>
      </c>
      <c r="F64" s="196">
        <v>118</v>
      </c>
      <c r="G64" s="194">
        <v>2.2000000000000002</v>
      </c>
      <c r="H64" s="195">
        <v>259.60000000000002</v>
      </c>
      <c r="I64" s="193" t="s">
        <v>536</v>
      </c>
    </row>
    <row r="65" spans="1:9" x14ac:dyDescent="0.25">
      <c r="A65" s="193" t="s">
        <v>220</v>
      </c>
      <c r="B65" s="193" t="s">
        <v>702</v>
      </c>
      <c r="C65" s="193" t="s">
        <v>703</v>
      </c>
      <c r="D65" s="193" t="s">
        <v>704</v>
      </c>
      <c r="E65" s="193" t="s">
        <v>535</v>
      </c>
      <c r="F65" s="196">
        <v>43920</v>
      </c>
      <c r="G65" s="194">
        <v>0.60148039894786609</v>
      </c>
      <c r="H65" s="195">
        <v>26417.019121790279</v>
      </c>
      <c r="I65" s="193" t="s">
        <v>541</v>
      </c>
    </row>
    <row r="66" spans="1:9" x14ac:dyDescent="0.25">
      <c r="A66" s="193" t="s">
        <v>220</v>
      </c>
      <c r="B66" s="193" t="s">
        <v>702</v>
      </c>
      <c r="C66" s="193" t="s">
        <v>705</v>
      </c>
      <c r="D66" s="193" t="s">
        <v>706</v>
      </c>
      <c r="E66" s="193" t="s">
        <v>535</v>
      </c>
      <c r="F66" s="196">
        <v>100</v>
      </c>
      <c r="G66" s="194">
        <v>2.8988715896651813</v>
      </c>
      <c r="H66" s="195">
        <v>289.88715896651814</v>
      </c>
      <c r="I66" s="193" t="s">
        <v>541</v>
      </c>
    </row>
    <row r="67" spans="1:9" x14ac:dyDescent="0.25">
      <c r="A67" s="193" t="s">
        <v>220</v>
      </c>
      <c r="B67" s="193" t="s">
        <v>702</v>
      </c>
      <c r="C67" s="193" t="s">
        <v>707</v>
      </c>
      <c r="D67" s="193" t="s">
        <v>373</v>
      </c>
      <c r="E67" s="193" t="s">
        <v>535</v>
      </c>
      <c r="F67" s="196">
        <v>550</v>
      </c>
      <c r="G67" s="194">
        <v>1.35</v>
      </c>
      <c r="H67" s="195">
        <v>742.5</v>
      </c>
      <c r="I67" s="193" t="s">
        <v>541</v>
      </c>
    </row>
    <row r="68" spans="1:9" x14ac:dyDescent="0.25">
      <c r="A68" s="193" t="s">
        <v>220</v>
      </c>
      <c r="B68" s="193" t="s">
        <v>702</v>
      </c>
      <c r="C68" s="193"/>
      <c r="D68" s="193" t="s">
        <v>708</v>
      </c>
      <c r="E68" s="193" t="s">
        <v>535</v>
      </c>
      <c r="F68" s="196">
        <v>31250</v>
      </c>
      <c r="G68" s="194">
        <v>0.20898112965805649</v>
      </c>
      <c r="H68" s="195">
        <v>6530.660301814265</v>
      </c>
      <c r="I68" s="193" t="s">
        <v>541</v>
      </c>
    </row>
    <row r="69" spans="1:9" x14ac:dyDescent="0.25">
      <c r="A69" s="193" t="s">
        <v>220</v>
      </c>
      <c r="B69" s="193" t="s">
        <v>702</v>
      </c>
      <c r="C69" s="193"/>
      <c r="D69" s="193" t="s">
        <v>709</v>
      </c>
      <c r="E69" s="193" t="s">
        <v>535</v>
      </c>
      <c r="F69" s="196">
        <v>6216</v>
      </c>
      <c r="G69" s="194">
        <v>0.20898112965805649</v>
      </c>
      <c r="H69" s="195">
        <v>1299.0267019544792</v>
      </c>
      <c r="I69" s="193" t="s">
        <v>541</v>
      </c>
    </row>
    <row r="70" spans="1:9" x14ac:dyDescent="0.25">
      <c r="A70" s="193" t="s">
        <v>220</v>
      </c>
      <c r="B70" s="193" t="s">
        <v>702</v>
      </c>
      <c r="C70" s="193"/>
      <c r="D70" s="193" t="s">
        <v>710</v>
      </c>
      <c r="E70" s="193" t="s">
        <v>535</v>
      </c>
      <c r="F70" s="196">
        <v>7000</v>
      </c>
      <c r="G70" s="194">
        <v>0.20898112965805649</v>
      </c>
      <c r="H70" s="195">
        <v>1462.8679076063954</v>
      </c>
      <c r="I70" s="193" t="s">
        <v>541</v>
      </c>
    </row>
    <row r="71" spans="1:9" x14ac:dyDescent="0.25">
      <c r="A71" s="193" t="s">
        <v>220</v>
      </c>
      <c r="B71" s="193" t="s">
        <v>702</v>
      </c>
      <c r="C71" s="193"/>
      <c r="D71" s="193" t="s">
        <v>711</v>
      </c>
      <c r="E71" s="193" t="s">
        <v>535</v>
      </c>
      <c r="F71" s="196">
        <v>16000</v>
      </c>
      <c r="G71" s="194">
        <v>0.02</v>
      </c>
      <c r="H71" s="195">
        <v>320</v>
      </c>
      <c r="I71" s="193" t="s">
        <v>541</v>
      </c>
    </row>
    <row r="72" spans="1:9" x14ac:dyDescent="0.25">
      <c r="A72" s="193" t="s">
        <v>220</v>
      </c>
      <c r="B72" s="193" t="s">
        <v>702</v>
      </c>
      <c r="C72" s="193"/>
      <c r="D72" s="193" t="s">
        <v>712</v>
      </c>
      <c r="E72" s="193" t="s">
        <v>535</v>
      </c>
      <c r="F72" s="196">
        <v>775</v>
      </c>
      <c r="G72" s="194">
        <v>1.25</v>
      </c>
      <c r="H72" s="195">
        <v>968.75</v>
      </c>
      <c r="I72" s="193" t="s">
        <v>541</v>
      </c>
    </row>
    <row r="73" spans="1:9" x14ac:dyDescent="0.25">
      <c r="A73" s="193" t="s">
        <v>747</v>
      </c>
      <c r="B73" s="193" t="s">
        <v>748</v>
      </c>
      <c r="C73" s="193" t="s">
        <v>539</v>
      </c>
      <c r="D73" s="193" t="s">
        <v>7437</v>
      </c>
      <c r="E73" s="193" t="s">
        <v>535</v>
      </c>
      <c r="F73" s="196">
        <v>2416</v>
      </c>
      <c r="G73" s="194">
        <v>5.6104583436708264</v>
      </c>
      <c r="H73" s="195">
        <v>13554.867358308717</v>
      </c>
      <c r="I73" s="193" t="s">
        <v>541</v>
      </c>
    </row>
    <row r="74" spans="1:9" x14ac:dyDescent="0.25">
      <c r="A74" s="193" t="s">
        <v>747</v>
      </c>
      <c r="B74" s="193" t="s">
        <v>748</v>
      </c>
      <c r="C74" s="193" t="s">
        <v>539</v>
      </c>
      <c r="D74" s="193" t="s">
        <v>750</v>
      </c>
      <c r="E74" s="193" t="s">
        <v>535</v>
      </c>
      <c r="F74" s="196">
        <v>557</v>
      </c>
      <c r="G74" s="194">
        <v>5.6104583436708264</v>
      </c>
      <c r="H74" s="195">
        <v>3125.0252974246505</v>
      </c>
      <c r="I74" s="193" t="s">
        <v>541</v>
      </c>
    </row>
    <row r="75" spans="1:9" x14ac:dyDescent="0.25">
      <c r="A75" s="193" t="s">
        <v>747</v>
      </c>
      <c r="B75" s="193" t="s">
        <v>748</v>
      </c>
      <c r="C75" s="193" t="s">
        <v>751</v>
      </c>
      <c r="D75" s="193" t="s">
        <v>752</v>
      </c>
      <c r="E75" s="193" t="s">
        <v>535</v>
      </c>
      <c r="F75" s="196">
        <v>788</v>
      </c>
      <c r="G75" s="194">
        <v>35.734415246466412</v>
      </c>
      <c r="H75" s="195">
        <v>28158.719214215533</v>
      </c>
      <c r="I75" s="193" t="s">
        <v>541</v>
      </c>
    </row>
    <row r="76" spans="1:9" x14ac:dyDescent="0.25">
      <c r="A76" s="193" t="s">
        <v>747</v>
      </c>
      <c r="B76" s="193" t="s">
        <v>748</v>
      </c>
      <c r="C76" s="193" t="s">
        <v>753</v>
      </c>
      <c r="D76" s="193" t="s">
        <v>754</v>
      </c>
      <c r="E76" s="193" t="s">
        <v>535</v>
      </c>
      <c r="F76" s="196">
        <v>9000</v>
      </c>
      <c r="G76" s="194">
        <v>1.7293944785196564</v>
      </c>
      <c r="H76" s="195">
        <v>15564.550306676909</v>
      </c>
      <c r="I76" s="193" t="s">
        <v>541</v>
      </c>
    </row>
    <row r="77" spans="1:9" x14ac:dyDescent="0.25">
      <c r="A77" s="193" t="s">
        <v>747</v>
      </c>
      <c r="B77" s="193" t="s">
        <v>748</v>
      </c>
      <c r="C77" s="193" t="s">
        <v>755</v>
      </c>
      <c r="D77" s="193" t="s">
        <v>756</v>
      </c>
      <c r="E77" s="193" t="s">
        <v>535</v>
      </c>
      <c r="F77" s="196">
        <v>12000</v>
      </c>
      <c r="G77" s="194">
        <v>4.649969091542248</v>
      </c>
      <c r="H77" s="195">
        <v>55799.629098506979</v>
      </c>
      <c r="I77" s="193" t="s">
        <v>541</v>
      </c>
    </row>
    <row r="78" spans="1:9" x14ac:dyDescent="0.25">
      <c r="A78" s="193" t="s">
        <v>747</v>
      </c>
      <c r="B78" s="193" t="s">
        <v>748</v>
      </c>
      <c r="C78" s="193" t="s">
        <v>757</v>
      </c>
      <c r="D78" s="193" t="s">
        <v>758</v>
      </c>
      <c r="E78" s="193" t="s">
        <v>535</v>
      </c>
      <c r="F78" s="196">
        <v>300</v>
      </c>
      <c r="G78" s="194">
        <v>17.880161480494536</v>
      </c>
      <c r="H78" s="195">
        <v>5364.0484441483604</v>
      </c>
      <c r="I78" s="193" t="s">
        <v>541</v>
      </c>
    </row>
    <row r="79" spans="1:9" x14ac:dyDescent="0.25">
      <c r="A79" s="193" t="s">
        <v>747</v>
      </c>
      <c r="B79" s="193" t="s">
        <v>748</v>
      </c>
      <c r="C79" s="193" t="s">
        <v>759</v>
      </c>
      <c r="D79" s="193" t="s">
        <v>760</v>
      </c>
      <c r="E79" s="193" t="s">
        <v>535</v>
      </c>
      <c r="F79" s="196">
        <v>25</v>
      </c>
      <c r="G79" s="194">
        <v>197.21741898134346</v>
      </c>
      <c r="H79" s="195">
        <v>4930.4354745335868</v>
      </c>
      <c r="I79" s="193" t="s">
        <v>541</v>
      </c>
    </row>
    <row r="80" spans="1:9" x14ac:dyDescent="0.25">
      <c r="A80" s="193" t="s">
        <v>747</v>
      </c>
      <c r="B80" s="193" t="s">
        <v>748</v>
      </c>
      <c r="C80" s="193" t="s">
        <v>761</v>
      </c>
      <c r="D80" s="193" t="s">
        <v>762</v>
      </c>
      <c r="E80" s="193" t="s">
        <v>535</v>
      </c>
      <c r="F80" s="196">
        <v>312</v>
      </c>
      <c r="G80" s="194">
        <v>74.515419847328246</v>
      </c>
      <c r="H80" s="195">
        <v>23248.810992366412</v>
      </c>
      <c r="I80" s="193" t="s">
        <v>541</v>
      </c>
    </row>
    <row r="81" spans="1:9" x14ac:dyDescent="0.25">
      <c r="A81" s="193" t="s">
        <v>747</v>
      </c>
      <c r="B81" s="193" t="s">
        <v>748</v>
      </c>
      <c r="C81" s="193" t="s">
        <v>763</v>
      </c>
      <c r="D81" s="193" t="s">
        <v>764</v>
      </c>
      <c r="E81" s="193" t="s">
        <v>535</v>
      </c>
      <c r="F81" s="196">
        <v>888</v>
      </c>
      <c r="G81" s="194">
        <v>49.65731251956079</v>
      </c>
      <c r="H81" s="195">
        <v>44095.693517369982</v>
      </c>
      <c r="I81" s="193" t="s">
        <v>541</v>
      </c>
    </row>
    <row r="82" spans="1:9" x14ac:dyDescent="0.25">
      <c r="A82" s="193" t="s">
        <v>747</v>
      </c>
      <c r="B82" s="193" t="s">
        <v>748</v>
      </c>
      <c r="C82" s="193" t="s">
        <v>765</v>
      </c>
      <c r="D82" s="193" t="s">
        <v>766</v>
      </c>
      <c r="E82" s="193" t="s">
        <v>535</v>
      </c>
      <c r="F82" s="196">
        <v>25500</v>
      </c>
      <c r="G82" s="194">
        <v>0.10853554818637101</v>
      </c>
      <c r="H82" s="195">
        <v>2767.6564787524608</v>
      </c>
      <c r="I82" s="193" t="s">
        <v>541</v>
      </c>
    </row>
    <row r="83" spans="1:9" x14ac:dyDescent="0.25">
      <c r="A83" s="193" t="s">
        <v>747</v>
      </c>
      <c r="B83" s="193" t="s">
        <v>748</v>
      </c>
      <c r="C83" s="193" t="s">
        <v>767</v>
      </c>
      <c r="D83" s="193" t="s">
        <v>768</v>
      </c>
      <c r="E83" s="193" t="s">
        <v>535</v>
      </c>
      <c r="F83" s="196">
        <v>45480</v>
      </c>
      <c r="G83" s="194">
        <v>1.4931377491061697</v>
      </c>
      <c r="H83" s="195">
        <v>67907.904829348598</v>
      </c>
      <c r="I83" s="193" t="s">
        <v>541</v>
      </c>
    </row>
    <row r="84" spans="1:9" x14ac:dyDescent="0.25">
      <c r="A84" s="193" t="s">
        <v>747</v>
      </c>
      <c r="B84" s="193" t="s">
        <v>748</v>
      </c>
      <c r="C84" s="193" t="s">
        <v>769</v>
      </c>
      <c r="D84" s="193" t="s">
        <v>770</v>
      </c>
      <c r="E84" s="193" t="s">
        <v>535</v>
      </c>
      <c r="F84" s="196">
        <v>1740</v>
      </c>
      <c r="G84" s="194">
        <v>54.277015258012213</v>
      </c>
      <c r="H84" s="195">
        <v>94442.006548941252</v>
      </c>
      <c r="I84" s="193" t="s">
        <v>541</v>
      </c>
    </row>
    <row r="85" spans="1:9" x14ac:dyDescent="0.25">
      <c r="A85" s="192" t="s">
        <v>747</v>
      </c>
      <c r="B85" s="193" t="s">
        <v>748</v>
      </c>
      <c r="C85" s="193" t="s">
        <v>771</v>
      </c>
      <c r="D85" s="193" t="s">
        <v>772</v>
      </c>
      <c r="E85" s="193" t="s">
        <v>535</v>
      </c>
      <c r="F85" s="196">
        <v>3011</v>
      </c>
      <c r="G85" s="194">
        <v>46.676453028263801</v>
      </c>
      <c r="H85" s="195">
        <v>140542.80006810231</v>
      </c>
      <c r="I85" s="193" t="s">
        <v>541</v>
      </c>
    </row>
    <row r="86" spans="1:9" x14ac:dyDescent="0.25">
      <c r="A86" s="192" t="s">
        <v>747</v>
      </c>
      <c r="B86" s="193" t="s">
        <v>748</v>
      </c>
      <c r="C86" s="193" t="s">
        <v>773</v>
      </c>
      <c r="D86" s="193" t="s">
        <v>774</v>
      </c>
      <c r="E86" s="193" t="s">
        <v>535</v>
      </c>
      <c r="F86" s="196">
        <v>2009</v>
      </c>
      <c r="G86" s="194">
        <v>49.937318465304863</v>
      </c>
      <c r="H86" s="195">
        <v>100324.07279679747</v>
      </c>
      <c r="I86" s="193" t="s">
        <v>541</v>
      </c>
    </row>
    <row r="87" spans="1:9" x14ac:dyDescent="0.25">
      <c r="A87" s="192" t="s">
        <v>747</v>
      </c>
      <c r="B87" s="193" t="s">
        <v>748</v>
      </c>
      <c r="C87" s="193" t="s">
        <v>775</v>
      </c>
      <c r="D87" s="193" t="s">
        <v>776</v>
      </c>
      <c r="E87" s="193" t="s">
        <v>535</v>
      </c>
      <c r="F87" s="196">
        <v>7450</v>
      </c>
      <c r="G87" s="194">
        <v>2.9749817670186536</v>
      </c>
      <c r="H87" s="195">
        <v>22163.614164288971</v>
      </c>
      <c r="I87" s="193" t="s">
        <v>541</v>
      </c>
    </row>
    <row r="88" spans="1:9" x14ac:dyDescent="0.25">
      <c r="A88" s="192" t="s">
        <v>747</v>
      </c>
      <c r="B88" s="193" t="s">
        <v>748</v>
      </c>
      <c r="C88" s="193" t="s">
        <v>675</v>
      </c>
      <c r="D88" s="193" t="s">
        <v>777</v>
      </c>
      <c r="E88" s="193" t="s">
        <v>535</v>
      </c>
      <c r="F88" s="196">
        <v>3969</v>
      </c>
      <c r="G88" s="194">
        <v>5.9448965406431897</v>
      </c>
      <c r="H88" s="195">
        <v>23595.294369812818</v>
      </c>
      <c r="I88" s="193" t="s">
        <v>541</v>
      </c>
    </row>
    <row r="89" spans="1:9" x14ac:dyDescent="0.25">
      <c r="A89" s="192" t="s">
        <v>747</v>
      </c>
      <c r="B89" s="193" t="s">
        <v>748</v>
      </c>
      <c r="C89" s="193" t="s">
        <v>778</v>
      </c>
      <c r="D89" s="193" t="s">
        <v>779</v>
      </c>
      <c r="E89" s="193" t="s">
        <v>535</v>
      </c>
      <c r="F89" s="196">
        <v>240</v>
      </c>
      <c r="G89" s="194">
        <v>42.783016776638242</v>
      </c>
      <c r="H89" s="195">
        <v>10267.924026393179</v>
      </c>
      <c r="I89" s="193" t="s">
        <v>541</v>
      </c>
    </row>
    <row r="90" spans="1:9" x14ac:dyDescent="0.25">
      <c r="A90" s="192" t="s">
        <v>747</v>
      </c>
      <c r="B90" s="193" t="s">
        <v>748</v>
      </c>
      <c r="C90" s="193" t="s">
        <v>705</v>
      </c>
      <c r="D90" s="193" t="s">
        <v>792</v>
      </c>
      <c r="E90" s="193" t="s">
        <v>535</v>
      </c>
      <c r="F90" s="196">
        <v>125</v>
      </c>
      <c r="G90" s="194">
        <v>2.8988715896651813</v>
      </c>
      <c r="H90" s="195">
        <v>362.35894870814769</v>
      </c>
      <c r="I90" s="193" t="s">
        <v>541</v>
      </c>
    </row>
    <row r="91" spans="1:9" x14ac:dyDescent="0.25">
      <c r="A91" s="192" t="s">
        <v>747</v>
      </c>
      <c r="B91" s="193" t="s">
        <v>748</v>
      </c>
      <c r="C91" s="193" t="s">
        <v>677</v>
      </c>
      <c r="D91" s="193" t="s">
        <v>7438</v>
      </c>
      <c r="E91" s="193" t="s">
        <v>535</v>
      </c>
      <c r="F91" s="196">
        <v>30197</v>
      </c>
      <c r="G91" s="194">
        <v>5.5939631280173145</v>
      </c>
      <c r="H91" s="195">
        <v>168920.90457673886</v>
      </c>
      <c r="I91" s="193" t="s">
        <v>541</v>
      </c>
    </row>
    <row r="92" spans="1:9" x14ac:dyDescent="0.25">
      <c r="A92" s="192" t="s">
        <v>747</v>
      </c>
      <c r="B92" s="193" t="s">
        <v>748</v>
      </c>
      <c r="C92" s="193" t="s">
        <v>823</v>
      </c>
      <c r="D92" s="193" t="s">
        <v>824</v>
      </c>
      <c r="E92" s="193" t="s">
        <v>535</v>
      </c>
      <c r="F92" s="196">
        <v>415</v>
      </c>
      <c r="G92" s="194">
        <v>5.3658935406675319</v>
      </c>
      <c r="H92" s="195">
        <v>2226.8458193770257</v>
      </c>
      <c r="I92" s="193" t="s">
        <v>541</v>
      </c>
    </row>
    <row r="93" spans="1:9" x14ac:dyDescent="0.25">
      <c r="A93" s="193" t="s">
        <v>747</v>
      </c>
      <c r="B93" s="193" t="s">
        <v>748</v>
      </c>
      <c r="C93" s="193" t="s">
        <v>797</v>
      </c>
      <c r="D93" s="193" t="s">
        <v>798</v>
      </c>
      <c r="E93" s="193" t="s">
        <v>535</v>
      </c>
      <c r="F93" s="196">
        <v>74</v>
      </c>
      <c r="G93" s="194">
        <v>49.937318465304863</v>
      </c>
      <c r="H93" s="195">
        <v>3695.3615664325598</v>
      </c>
      <c r="I93" s="193" t="s">
        <v>541</v>
      </c>
    </row>
    <row r="94" spans="1:9" x14ac:dyDescent="0.25">
      <c r="A94" s="193" t="s">
        <v>747</v>
      </c>
      <c r="B94" s="193" t="s">
        <v>748</v>
      </c>
      <c r="C94" s="193"/>
      <c r="D94" s="193" t="s">
        <v>7439</v>
      </c>
      <c r="E94" s="193" t="s">
        <v>535</v>
      </c>
      <c r="F94" s="196">
        <v>1583</v>
      </c>
      <c r="G94" s="194">
        <v>2.2200000000000002</v>
      </c>
      <c r="H94" s="195">
        <v>3514.26</v>
      </c>
      <c r="I94" s="193" t="s">
        <v>541</v>
      </c>
    </row>
    <row r="95" spans="1:9" x14ac:dyDescent="0.25">
      <c r="A95" s="193" t="s">
        <v>747</v>
      </c>
      <c r="B95" s="193" t="s">
        <v>748</v>
      </c>
      <c r="C95" s="193"/>
      <c r="D95" s="193" t="s">
        <v>7440</v>
      </c>
      <c r="E95" s="193" t="s">
        <v>535</v>
      </c>
      <c r="F95" s="196">
        <v>13809</v>
      </c>
      <c r="G95" s="194">
        <v>1.65</v>
      </c>
      <c r="H95" s="195">
        <v>22784.85</v>
      </c>
      <c r="I95" s="193" t="s">
        <v>541</v>
      </c>
    </row>
    <row r="96" spans="1:9" x14ac:dyDescent="0.25">
      <c r="A96" s="193" t="s">
        <v>747</v>
      </c>
      <c r="B96" s="193" t="s">
        <v>781</v>
      </c>
      <c r="C96" s="193" t="s">
        <v>782</v>
      </c>
      <c r="D96" s="193" t="s">
        <v>783</v>
      </c>
      <c r="E96" s="193" t="s">
        <v>535</v>
      </c>
      <c r="F96" s="196">
        <v>50490</v>
      </c>
      <c r="G96" s="194">
        <v>2.1692502929778552</v>
      </c>
      <c r="H96" s="195">
        <v>109525.44729245191</v>
      </c>
      <c r="I96" s="193" t="s">
        <v>541</v>
      </c>
    </row>
    <row r="97" spans="1:9" x14ac:dyDescent="0.25">
      <c r="A97" s="193" t="s">
        <v>747</v>
      </c>
      <c r="B97" s="193" t="s">
        <v>781</v>
      </c>
      <c r="C97" s="193" t="s">
        <v>784</v>
      </c>
      <c r="D97" s="193" t="s">
        <v>785</v>
      </c>
      <c r="E97" s="193" t="s">
        <v>535</v>
      </c>
      <c r="F97" s="196">
        <v>86485</v>
      </c>
      <c r="G97" s="194">
        <v>3.2122536430439368</v>
      </c>
      <c r="H97" s="195">
        <v>277811.75631865487</v>
      </c>
      <c r="I97" s="193" t="s">
        <v>541</v>
      </c>
    </row>
    <row r="98" spans="1:9" x14ac:dyDescent="0.25">
      <c r="A98" s="193" t="s">
        <v>747</v>
      </c>
      <c r="B98" s="193" t="s">
        <v>781</v>
      </c>
      <c r="C98" s="193" t="s">
        <v>788</v>
      </c>
      <c r="D98" s="193" t="s">
        <v>789</v>
      </c>
      <c r="E98" s="193" t="s">
        <v>535</v>
      </c>
      <c r="F98" s="196">
        <v>5300</v>
      </c>
      <c r="G98" s="194">
        <v>3.4721050875476722</v>
      </c>
      <c r="H98" s="195">
        <v>18402.156964002661</v>
      </c>
      <c r="I98" s="193" t="s">
        <v>541</v>
      </c>
    </row>
    <row r="99" spans="1:9" x14ac:dyDescent="0.25">
      <c r="A99" s="193" t="s">
        <v>747</v>
      </c>
      <c r="B99" s="193" t="s">
        <v>781</v>
      </c>
      <c r="C99" s="193" t="s">
        <v>790</v>
      </c>
      <c r="D99" s="193" t="s">
        <v>791</v>
      </c>
      <c r="E99" s="193" t="s">
        <v>535</v>
      </c>
      <c r="F99" s="196">
        <v>29857</v>
      </c>
      <c r="G99" s="194">
        <v>2.4203166331921486</v>
      </c>
      <c r="H99" s="195">
        <v>72263.393717217987</v>
      </c>
      <c r="I99" s="193" t="s">
        <v>541</v>
      </c>
    </row>
    <row r="100" spans="1:9" x14ac:dyDescent="0.25">
      <c r="A100" s="193" t="s">
        <v>747</v>
      </c>
      <c r="B100" s="193" t="s">
        <v>781</v>
      </c>
      <c r="C100" s="193" t="s">
        <v>753</v>
      </c>
      <c r="D100" s="193" t="s">
        <v>754</v>
      </c>
      <c r="E100" s="193" t="s">
        <v>535</v>
      </c>
      <c r="F100" s="196">
        <v>100</v>
      </c>
      <c r="G100" s="194">
        <v>1.7293944785196564</v>
      </c>
      <c r="H100" s="195">
        <v>172.93944785196564</v>
      </c>
      <c r="I100" s="193" t="s">
        <v>541</v>
      </c>
    </row>
    <row r="101" spans="1:9" x14ac:dyDescent="0.25">
      <c r="A101" s="193" t="s">
        <v>747</v>
      </c>
      <c r="B101" s="193" t="s">
        <v>781</v>
      </c>
      <c r="C101" s="193" t="s">
        <v>755</v>
      </c>
      <c r="D101" s="193" t="s">
        <v>756</v>
      </c>
      <c r="E101" s="193" t="s">
        <v>535</v>
      </c>
      <c r="F101" s="196">
        <v>750</v>
      </c>
      <c r="G101" s="194">
        <v>4.649969091542248</v>
      </c>
      <c r="H101" s="195">
        <v>3487.4768186566862</v>
      </c>
      <c r="I101" s="193" t="s">
        <v>541</v>
      </c>
    </row>
    <row r="102" spans="1:9" x14ac:dyDescent="0.25">
      <c r="A102" s="193" t="s">
        <v>747</v>
      </c>
      <c r="B102" s="193" t="s">
        <v>781</v>
      </c>
      <c r="C102" s="193" t="s">
        <v>757</v>
      </c>
      <c r="D102" s="193" t="s">
        <v>758</v>
      </c>
      <c r="E102" s="193" t="s">
        <v>535</v>
      </c>
      <c r="F102" s="196">
        <v>33</v>
      </c>
      <c r="G102" s="194">
        <v>17.880161480494536</v>
      </c>
      <c r="H102" s="195">
        <v>590.04532885631966</v>
      </c>
      <c r="I102" s="193" t="s">
        <v>541</v>
      </c>
    </row>
    <row r="103" spans="1:9" x14ac:dyDescent="0.25">
      <c r="A103" s="193" t="s">
        <v>747</v>
      </c>
      <c r="B103" s="193" t="s">
        <v>781</v>
      </c>
      <c r="C103" s="193" t="s">
        <v>759</v>
      </c>
      <c r="D103" s="193" t="s">
        <v>760</v>
      </c>
      <c r="E103" s="193" t="s">
        <v>535</v>
      </c>
      <c r="F103" s="196">
        <v>1.3</v>
      </c>
      <c r="G103" s="194">
        <v>197.21741898134346</v>
      </c>
      <c r="H103" s="195">
        <v>256.38264467574652</v>
      </c>
      <c r="I103" s="193" t="s">
        <v>541</v>
      </c>
    </row>
    <row r="104" spans="1:9" x14ac:dyDescent="0.25">
      <c r="A104" s="193" t="s">
        <v>747</v>
      </c>
      <c r="B104" s="193" t="s">
        <v>781</v>
      </c>
      <c r="C104" s="193" t="s">
        <v>705</v>
      </c>
      <c r="D104" s="193" t="s">
        <v>792</v>
      </c>
      <c r="E104" s="193" t="s">
        <v>535</v>
      </c>
      <c r="F104" s="196">
        <v>55</v>
      </c>
      <c r="G104" s="194">
        <v>2.8988715896651813</v>
      </c>
      <c r="H104" s="195">
        <v>159.43793743158497</v>
      </c>
      <c r="I104" s="193" t="s">
        <v>541</v>
      </c>
    </row>
    <row r="105" spans="1:9" x14ac:dyDescent="0.25">
      <c r="A105" s="193" t="s">
        <v>747</v>
      </c>
      <c r="B105" s="193" t="s">
        <v>781</v>
      </c>
      <c r="C105" s="193" t="s">
        <v>775</v>
      </c>
      <c r="D105" s="193" t="s">
        <v>793</v>
      </c>
      <c r="E105" s="193" t="s">
        <v>535</v>
      </c>
      <c r="F105" s="196">
        <v>325</v>
      </c>
      <c r="G105" s="194">
        <v>2.9749817670186536</v>
      </c>
      <c r="H105" s="195">
        <v>966.86907428106247</v>
      </c>
      <c r="I105" s="193" t="s">
        <v>541</v>
      </c>
    </row>
    <row r="106" spans="1:9" x14ac:dyDescent="0.25">
      <c r="A106" s="193" t="s">
        <v>747</v>
      </c>
      <c r="B106" s="193" t="s">
        <v>781</v>
      </c>
      <c r="C106" s="193"/>
      <c r="D106" s="193" t="s">
        <v>7441</v>
      </c>
      <c r="E106" s="193" t="s">
        <v>535</v>
      </c>
      <c r="F106" s="196">
        <v>939</v>
      </c>
      <c r="G106" s="194">
        <v>5.4148896250374703</v>
      </c>
      <c r="H106" s="195">
        <v>5084.581357910185</v>
      </c>
      <c r="I106" s="193" t="s">
        <v>541</v>
      </c>
    </row>
    <row r="107" spans="1:9" x14ac:dyDescent="0.25">
      <c r="A107" s="193" t="s">
        <v>747</v>
      </c>
      <c r="B107" s="193" t="s">
        <v>781</v>
      </c>
      <c r="C107" s="193" t="s">
        <v>751</v>
      </c>
      <c r="D107" s="193" t="s">
        <v>796</v>
      </c>
      <c r="E107" s="193" t="s">
        <v>535</v>
      </c>
      <c r="F107" s="197">
        <v>19</v>
      </c>
      <c r="G107" s="194">
        <v>35.734415246466412</v>
      </c>
      <c r="H107" s="195">
        <v>678.95388968286181</v>
      </c>
      <c r="I107" s="193" t="s">
        <v>541</v>
      </c>
    </row>
    <row r="108" spans="1:9" x14ac:dyDescent="0.25">
      <c r="A108" s="193" t="s">
        <v>747</v>
      </c>
      <c r="B108" s="193" t="s">
        <v>781</v>
      </c>
      <c r="C108" s="193" t="s">
        <v>799</v>
      </c>
      <c r="D108" s="193" t="s">
        <v>800</v>
      </c>
      <c r="E108" s="193" t="s">
        <v>535</v>
      </c>
      <c r="F108" s="196">
        <v>16500</v>
      </c>
      <c r="G108" s="194">
        <v>4.5619011476117679</v>
      </c>
      <c r="H108" s="195">
        <v>75271.368935594175</v>
      </c>
      <c r="I108" s="193" t="s">
        <v>541</v>
      </c>
    </row>
    <row r="109" spans="1:9" x14ac:dyDescent="0.25">
      <c r="A109" s="193" t="s">
        <v>747</v>
      </c>
      <c r="B109" s="193" t="s">
        <v>781</v>
      </c>
      <c r="C109" s="193" t="s">
        <v>767</v>
      </c>
      <c r="D109" s="193" t="s">
        <v>768</v>
      </c>
      <c r="E109" s="193" t="s">
        <v>535</v>
      </c>
      <c r="F109" s="198">
        <v>2250</v>
      </c>
      <c r="G109" s="194">
        <v>1.4931377491061697</v>
      </c>
      <c r="H109" s="195">
        <v>3359.5599354888818</v>
      </c>
      <c r="I109" s="193" t="s">
        <v>541</v>
      </c>
    </row>
    <row r="110" spans="1:9" x14ac:dyDescent="0.25">
      <c r="A110" s="193" t="s">
        <v>747</v>
      </c>
      <c r="B110" s="193" t="s">
        <v>781</v>
      </c>
      <c r="C110" s="193" t="s">
        <v>773</v>
      </c>
      <c r="D110" s="193" t="s">
        <v>774</v>
      </c>
      <c r="E110" s="193" t="s">
        <v>535</v>
      </c>
      <c r="F110" s="196">
        <v>24</v>
      </c>
      <c r="G110" s="194">
        <v>49.937318465304863</v>
      </c>
      <c r="H110" s="195">
        <v>1198.4956431673168</v>
      </c>
      <c r="I110" s="193" t="s">
        <v>541</v>
      </c>
    </row>
    <row r="111" spans="1:9" x14ac:dyDescent="0.25">
      <c r="A111" s="193" t="s">
        <v>747</v>
      </c>
      <c r="B111" s="193" t="s">
        <v>781</v>
      </c>
      <c r="C111" s="193"/>
      <c r="D111" s="193" t="s">
        <v>2348</v>
      </c>
      <c r="E111" s="193" t="s">
        <v>535</v>
      </c>
      <c r="F111" s="196">
        <v>2263</v>
      </c>
      <c r="G111" s="199">
        <v>3.9913046639999994</v>
      </c>
      <c r="H111" s="195">
        <v>9032.322454631998</v>
      </c>
      <c r="I111" s="193" t="s">
        <v>541</v>
      </c>
    </row>
    <row r="112" spans="1:9" x14ac:dyDescent="0.25">
      <c r="A112" s="193" t="s">
        <v>747</v>
      </c>
      <c r="B112" s="193" t="s">
        <v>781</v>
      </c>
      <c r="C112" s="193"/>
      <c r="D112" s="193" t="s">
        <v>2349</v>
      </c>
      <c r="E112" s="193" t="s">
        <v>535</v>
      </c>
      <c r="F112" s="196">
        <v>1476</v>
      </c>
      <c r="G112" s="199">
        <v>3.9913046639999994</v>
      </c>
      <c r="H112" s="195">
        <v>5891.1656840639989</v>
      </c>
      <c r="I112" s="193" t="s">
        <v>541</v>
      </c>
    </row>
    <row r="113" spans="1:9" x14ac:dyDescent="0.25">
      <c r="A113" s="193" t="s">
        <v>747</v>
      </c>
      <c r="B113" s="193" t="s">
        <v>781</v>
      </c>
      <c r="C113" s="193"/>
      <c r="D113" s="193" t="s">
        <v>7442</v>
      </c>
      <c r="E113" s="193" t="s">
        <v>535</v>
      </c>
      <c r="F113" s="196">
        <v>537</v>
      </c>
      <c r="G113" s="199">
        <v>3.9913046639999994</v>
      </c>
      <c r="H113" s="195">
        <v>2143.3306045679997</v>
      </c>
      <c r="I113" s="193" t="s">
        <v>541</v>
      </c>
    </row>
    <row r="114" spans="1:9" x14ac:dyDescent="0.25">
      <c r="A114" s="193" t="s">
        <v>747</v>
      </c>
      <c r="B114" s="193" t="s">
        <v>781</v>
      </c>
      <c r="C114" s="193"/>
      <c r="D114" s="193" t="s">
        <v>7443</v>
      </c>
      <c r="E114" s="193" t="s">
        <v>535</v>
      </c>
      <c r="F114" s="196">
        <v>783</v>
      </c>
      <c r="G114" s="199">
        <v>3.9913046639999994</v>
      </c>
      <c r="H114" s="195">
        <v>3125.1915519119993</v>
      </c>
      <c r="I114" s="193" t="s">
        <v>541</v>
      </c>
    </row>
    <row r="115" spans="1:9" x14ac:dyDescent="0.25">
      <c r="A115" s="193" t="s">
        <v>747</v>
      </c>
      <c r="B115" s="193" t="s">
        <v>781</v>
      </c>
      <c r="C115" s="193" t="s">
        <v>763</v>
      </c>
      <c r="D115" s="193" t="s">
        <v>764</v>
      </c>
      <c r="E115" s="193" t="s">
        <v>535</v>
      </c>
      <c r="F115" s="196">
        <v>17.600000000000001</v>
      </c>
      <c r="G115" s="199">
        <v>49.65731251956079</v>
      </c>
      <c r="H115" s="195">
        <v>873.96870034427002</v>
      </c>
      <c r="I115" s="193" t="s">
        <v>541</v>
      </c>
    </row>
    <row r="116" spans="1:9" x14ac:dyDescent="0.25">
      <c r="A116" s="193" t="s">
        <v>747</v>
      </c>
      <c r="B116" s="193" t="s">
        <v>781</v>
      </c>
      <c r="C116" s="193"/>
      <c r="D116" s="193" t="s">
        <v>7444</v>
      </c>
      <c r="E116" s="193" t="s">
        <v>535</v>
      </c>
      <c r="F116" s="196">
        <v>7475</v>
      </c>
      <c r="G116" s="199">
        <v>3.9913046639999994</v>
      </c>
      <c r="H116" s="195">
        <v>29835.002363399995</v>
      </c>
      <c r="I116" s="193" t="s">
        <v>541</v>
      </c>
    </row>
    <row r="117" spans="1:9" x14ac:dyDescent="0.25">
      <c r="A117" s="193" t="s">
        <v>747</v>
      </c>
      <c r="B117" s="193" t="s">
        <v>781</v>
      </c>
      <c r="C117" s="193"/>
      <c r="D117" s="193" t="s">
        <v>7445</v>
      </c>
      <c r="E117" s="193" t="s">
        <v>535</v>
      </c>
      <c r="F117" s="196">
        <v>547917</v>
      </c>
      <c r="G117" s="199">
        <v>2.1095288883837413</v>
      </c>
      <c r="H117" s="195">
        <v>1155846.7399365543</v>
      </c>
      <c r="I117" s="193" t="s">
        <v>541</v>
      </c>
    </row>
    <row r="118" spans="1:9" x14ac:dyDescent="0.25">
      <c r="A118" s="193" t="s">
        <v>747</v>
      </c>
      <c r="B118" s="193" t="s">
        <v>781</v>
      </c>
      <c r="C118" s="193" t="s">
        <v>7446</v>
      </c>
      <c r="D118" s="193" t="s">
        <v>787</v>
      </c>
      <c r="E118" s="193" t="s">
        <v>535</v>
      </c>
      <c r="F118" s="196">
        <v>3765028</v>
      </c>
      <c r="G118" s="199">
        <v>0.75424646045855603</v>
      </c>
      <c r="H118" s="195">
        <v>2839759.0425273562</v>
      </c>
      <c r="I118" s="193" t="s">
        <v>541</v>
      </c>
    </row>
    <row r="119" spans="1:9" x14ac:dyDescent="0.25">
      <c r="A119" s="193" t="s">
        <v>587</v>
      </c>
      <c r="B119" s="193" t="s">
        <v>588</v>
      </c>
      <c r="C119" s="193" t="s">
        <v>589</v>
      </c>
      <c r="D119" s="193" t="s">
        <v>590</v>
      </c>
      <c r="E119" s="193" t="s">
        <v>535</v>
      </c>
      <c r="F119" s="196">
        <v>125</v>
      </c>
      <c r="G119" s="199">
        <v>12.59525825408878</v>
      </c>
      <c r="H119" s="195">
        <v>1574.4072817610975</v>
      </c>
      <c r="I119" s="193" t="s">
        <v>541</v>
      </c>
    </row>
    <row r="120" spans="1:9" x14ac:dyDescent="0.25">
      <c r="A120" s="193" t="s">
        <v>587</v>
      </c>
      <c r="B120" s="193" t="s">
        <v>588</v>
      </c>
      <c r="C120" s="193" t="s">
        <v>637</v>
      </c>
      <c r="D120" s="193" t="s">
        <v>638</v>
      </c>
      <c r="E120" s="193" t="s">
        <v>639</v>
      </c>
      <c r="F120" s="196">
        <v>49040</v>
      </c>
      <c r="G120" s="199">
        <v>0.16125131554631233</v>
      </c>
      <c r="H120" s="195">
        <v>7907.7645143911568</v>
      </c>
      <c r="I120" s="193" t="s">
        <v>541</v>
      </c>
    </row>
    <row r="121" spans="1:9" x14ac:dyDescent="0.25">
      <c r="A121" s="193" t="s">
        <v>587</v>
      </c>
      <c r="B121" s="193" t="s">
        <v>588</v>
      </c>
      <c r="C121" s="193" t="s">
        <v>640</v>
      </c>
      <c r="D121" s="193" t="s">
        <v>641</v>
      </c>
      <c r="E121" s="193" t="s">
        <v>639</v>
      </c>
      <c r="F121" s="196">
        <v>149680</v>
      </c>
      <c r="G121" s="199">
        <v>0.17487530736052098</v>
      </c>
      <c r="H121" s="195">
        <v>26175.33600572278</v>
      </c>
      <c r="I121" s="193" t="s">
        <v>541</v>
      </c>
    </row>
    <row r="122" spans="1:9" x14ac:dyDescent="0.25">
      <c r="A122" s="193" t="s">
        <v>587</v>
      </c>
      <c r="B122" s="193" t="s">
        <v>588</v>
      </c>
      <c r="C122" s="193" t="s">
        <v>642</v>
      </c>
      <c r="D122" s="193" t="s">
        <v>643</v>
      </c>
      <c r="E122" s="193" t="s">
        <v>639</v>
      </c>
      <c r="F122" s="196">
        <v>41184</v>
      </c>
      <c r="G122" s="199">
        <v>0.17960028418424487</v>
      </c>
      <c r="H122" s="195">
        <v>7396.6581038439408</v>
      </c>
      <c r="I122" s="193" t="s">
        <v>541</v>
      </c>
    </row>
    <row r="123" spans="1:9" x14ac:dyDescent="0.25">
      <c r="A123" s="193" t="s">
        <v>587</v>
      </c>
      <c r="B123" s="193" t="s">
        <v>588</v>
      </c>
      <c r="C123" s="193" t="s">
        <v>644</v>
      </c>
      <c r="D123" s="193" t="s">
        <v>645</v>
      </c>
      <c r="E123" s="193" t="s">
        <v>545</v>
      </c>
      <c r="F123" s="196">
        <v>4254</v>
      </c>
      <c r="G123" s="199">
        <v>0.9110590188837957</v>
      </c>
      <c r="H123" s="195">
        <v>3875.6450663316668</v>
      </c>
      <c r="I123" s="193" t="s">
        <v>541</v>
      </c>
    </row>
    <row r="124" spans="1:9" x14ac:dyDescent="0.25">
      <c r="A124" s="193" t="s">
        <v>587</v>
      </c>
      <c r="B124" s="193" t="s">
        <v>588</v>
      </c>
      <c r="C124" s="193" t="s">
        <v>646</v>
      </c>
      <c r="D124" s="193" t="s">
        <v>647</v>
      </c>
      <c r="E124" s="193" t="s">
        <v>545</v>
      </c>
      <c r="F124" s="196">
        <v>2720</v>
      </c>
      <c r="G124" s="199">
        <v>1.2732299853104208</v>
      </c>
      <c r="H124" s="195">
        <v>3463.1855600443446</v>
      </c>
      <c r="I124" s="193" t="s">
        <v>541</v>
      </c>
    </row>
    <row r="125" spans="1:9" x14ac:dyDescent="0.25">
      <c r="A125" s="193" t="s">
        <v>587</v>
      </c>
      <c r="B125" s="193" t="s">
        <v>588</v>
      </c>
      <c r="C125" s="193" t="s">
        <v>648</v>
      </c>
      <c r="D125" s="193" t="s">
        <v>649</v>
      </c>
      <c r="E125" s="193" t="s">
        <v>545</v>
      </c>
      <c r="F125" s="196">
        <v>5642</v>
      </c>
      <c r="G125" s="199">
        <v>1.1599999999999999</v>
      </c>
      <c r="H125" s="195">
        <v>6544.7199999999993</v>
      </c>
      <c r="I125" s="193" t="s">
        <v>541</v>
      </c>
    </row>
    <row r="126" spans="1:9" x14ac:dyDescent="0.25">
      <c r="A126" s="193" t="s">
        <v>587</v>
      </c>
      <c r="B126" s="193" t="s">
        <v>588</v>
      </c>
      <c r="C126" s="193" t="s">
        <v>650</v>
      </c>
      <c r="D126" s="193" t="s">
        <v>651</v>
      </c>
      <c r="E126" s="193" t="s">
        <v>545</v>
      </c>
      <c r="F126" s="196">
        <v>4073</v>
      </c>
      <c r="G126" s="199">
        <v>1.5528073028453109</v>
      </c>
      <c r="H126" s="195">
        <v>6324.5841444889511</v>
      </c>
      <c r="I126" s="193" t="s">
        <v>541</v>
      </c>
    </row>
    <row r="127" spans="1:9" x14ac:dyDescent="0.25">
      <c r="A127" s="193" t="s">
        <v>587</v>
      </c>
      <c r="B127" s="193" t="s">
        <v>588</v>
      </c>
      <c r="C127" s="193" t="s">
        <v>652</v>
      </c>
      <c r="D127" s="193" t="s">
        <v>653</v>
      </c>
      <c r="E127" s="193" t="s">
        <v>545</v>
      </c>
      <c r="F127" s="196">
        <v>12702</v>
      </c>
      <c r="G127" s="199">
        <v>2.0020728508573535</v>
      </c>
      <c r="H127" s="195">
        <v>25430.329351590106</v>
      </c>
      <c r="I127" s="193" t="s">
        <v>541</v>
      </c>
    </row>
    <row r="128" spans="1:9" x14ac:dyDescent="0.25">
      <c r="A128" s="193" t="s">
        <v>587</v>
      </c>
      <c r="B128" s="193" t="s">
        <v>588</v>
      </c>
      <c r="C128" s="193" t="s">
        <v>654</v>
      </c>
      <c r="D128" s="193" t="s">
        <v>655</v>
      </c>
      <c r="E128" s="193" t="s">
        <v>545</v>
      </c>
      <c r="F128" s="196">
        <v>6137</v>
      </c>
      <c r="G128" s="199">
        <v>2.0513940839436202</v>
      </c>
      <c r="H128" s="195">
        <v>12589.405493161998</v>
      </c>
      <c r="I128" s="193" t="s">
        <v>541</v>
      </c>
    </row>
    <row r="129" spans="1:9" x14ac:dyDescent="0.25">
      <c r="A129" s="193" t="s">
        <v>587</v>
      </c>
      <c r="B129" s="193" t="s">
        <v>588</v>
      </c>
      <c r="C129" s="193" t="s">
        <v>656</v>
      </c>
      <c r="D129" s="193" t="s">
        <v>657</v>
      </c>
      <c r="E129" s="193" t="s">
        <v>545</v>
      </c>
      <c r="F129" s="200">
        <v>6322</v>
      </c>
      <c r="G129" s="199">
        <v>2.4307877683110286</v>
      </c>
      <c r="H129" s="195">
        <v>15367.440271262323</v>
      </c>
      <c r="I129" s="193" t="s">
        <v>541</v>
      </c>
    </row>
    <row r="130" spans="1:9" x14ac:dyDescent="0.25">
      <c r="A130" s="193" t="s">
        <v>587</v>
      </c>
      <c r="B130" s="193" t="s">
        <v>588</v>
      </c>
      <c r="C130" s="193" t="s">
        <v>658</v>
      </c>
      <c r="D130" s="193" t="s">
        <v>659</v>
      </c>
      <c r="E130" s="193" t="s">
        <v>545</v>
      </c>
      <c r="F130" s="200">
        <v>1500</v>
      </c>
      <c r="G130" s="199">
        <v>0.16930875675675675</v>
      </c>
      <c r="H130" s="195">
        <v>253.9631351351351</v>
      </c>
      <c r="I130" s="193" t="s">
        <v>541</v>
      </c>
    </row>
    <row r="131" spans="1:9" x14ac:dyDescent="0.25">
      <c r="A131" s="193" t="s">
        <v>587</v>
      </c>
      <c r="B131" s="193" t="s">
        <v>588</v>
      </c>
      <c r="C131" s="193" t="s">
        <v>660</v>
      </c>
      <c r="D131" s="193" t="s">
        <v>661</v>
      </c>
      <c r="E131" s="193" t="s">
        <v>545</v>
      </c>
      <c r="F131" s="200">
        <v>6000</v>
      </c>
      <c r="G131" s="199">
        <v>0.20156250000000001</v>
      </c>
      <c r="H131" s="195">
        <v>1209.375</v>
      </c>
      <c r="I131" s="193" t="s">
        <v>541</v>
      </c>
    </row>
    <row r="132" spans="1:9" x14ac:dyDescent="0.25">
      <c r="A132" s="193" t="s">
        <v>587</v>
      </c>
      <c r="B132" s="193" t="s">
        <v>588</v>
      </c>
      <c r="C132" s="193" t="s">
        <v>662</v>
      </c>
      <c r="D132" s="193" t="s">
        <v>663</v>
      </c>
      <c r="E132" s="193" t="s">
        <v>535</v>
      </c>
      <c r="F132" s="200">
        <v>43.2</v>
      </c>
      <c r="G132" s="199">
        <v>4.9119230518542043</v>
      </c>
      <c r="H132" s="195">
        <v>212.19507584010165</v>
      </c>
      <c r="I132" s="193" t="s">
        <v>541</v>
      </c>
    </row>
    <row r="133" spans="1:9" x14ac:dyDescent="0.25">
      <c r="A133" s="193" t="s">
        <v>587</v>
      </c>
      <c r="B133" s="193" t="s">
        <v>588</v>
      </c>
      <c r="C133" s="193" t="s">
        <v>664</v>
      </c>
      <c r="D133" s="193" t="s">
        <v>665</v>
      </c>
      <c r="E133" s="193" t="s">
        <v>545</v>
      </c>
      <c r="F133" s="200">
        <v>140</v>
      </c>
      <c r="G133" s="199">
        <v>3.2312791788981139</v>
      </c>
      <c r="H133" s="195">
        <v>452.37908504573596</v>
      </c>
      <c r="I133" s="193" t="s">
        <v>541</v>
      </c>
    </row>
    <row r="134" spans="1:9" x14ac:dyDescent="0.25">
      <c r="A134" s="193" t="s">
        <v>587</v>
      </c>
      <c r="B134" s="193" t="s">
        <v>588</v>
      </c>
      <c r="C134" s="193" t="s">
        <v>666</v>
      </c>
      <c r="D134" s="193" t="s">
        <v>667</v>
      </c>
      <c r="E134" s="193" t="s">
        <v>535</v>
      </c>
      <c r="F134" s="200">
        <v>160</v>
      </c>
      <c r="G134" s="199">
        <v>14.447026627672727</v>
      </c>
      <c r="H134" s="195">
        <v>2311.5242604276364</v>
      </c>
      <c r="I134" s="193" t="s">
        <v>541</v>
      </c>
    </row>
    <row r="135" spans="1:9" x14ac:dyDescent="0.25">
      <c r="A135" s="193" t="s">
        <v>587</v>
      </c>
      <c r="B135" s="193" t="s">
        <v>588</v>
      </c>
      <c r="C135" s="193" t="s">
        <v>668</v>
      </c>
      <c r="D135" s="193" t="s">
        <v>669</v>
      </c>
      <c r="E135" s="193" t="s">
        <v>535</v>
      </c>
      <c r="F135" s="200">
        <v>640</v>
      </c>
      <c r="G135" s="199">
        <v>13.541652250000002</v>
      </c>
      <c r="H135" s="195">
        <v>8666.6574400000009</v>
      </c>
      <c r="I135" s="193" t="s">
        <v>541</v>
      </c>
    </row>
    <row r="136" spans="1:9" x14ac:dyDescent="0.25">
      <c r="A136" s="193" t="s">
        <v>587</v>
      </c>
      <c r="B136" s="193" t="s">
        <v>588</v>
      </c>
      <c r="C136" s="193" t="s">
        <v>670</v>
      </c>
      <c r="D136" s="193" t="s">
        <v>671</v>
      </c>
      <c r="E136" s="193" t="s">
        <v>535</v>
      </c>
      <c r="F136" s="200">
        <v>25</v>
      </c>
      <c r="G136" s="199">
        <v>23</v>
      </c>
      <c r="H136" s="195">
        <v>575</v>
      </c>
      <c r="I136" s="193" t="s">
        <v>541</v>
      </c>
    </row>
    <row r="137" spans="1:9" x14ac:dyDescent="0.25">
      <c r="A137" s="193" t="s">
        <v>587</v>
      </c>
      <c r="B137" s="193" t="s">
        <v>588</v>
      </c>
      <c r="C137" s="193" t="s">
        <v>680</v>
      </c>
      <c r="D137" s="193" t="s">
        <v>681</v>
      </c>
      <c r="E137" s="193" t="s">
        <v>545</v>
      </c>
      <c r="F137" s="200">
        <v>33</v>
      </c>
      <c r="G137" s="199">
        <v>5.4087843099460295</v>
      </c>
      <c r="H137" s="195">
        <v>178.48988222821899</v>
      </c>
      <c r="I137" s="193" t="s">
        <v>541</v>
      </c>
    </row>
    <row r="138" spans="1:9" x14ac:dyDescent="0.25">
      <c r="A138" s="193" t="s">
        <v>587</v>
      </c>
      <c r="B138" s="193" t="s">
        <v>588</v>
      </c>
      <c r="C138" s="193" t="s">
        <v>682</v>
      </c>
      <c r="D138" s="193" t="s">
        <v>683</v>
      </c>
      <c r="E138" s="193" t="s">
        <v>545</v>
      </c>
      <c r="F138" s="200">
        <v>1500</v>
      </c>
      <c r="G138" s="199">
        <v>0.20200000000000001</v>
      </c>
      <c r="H138" s="195">
        <v>303</v>
      </c>
      <c r="I138" s="193" t="s">
        <v>541</v>
      </c>
    </row>
    <row r="139" spans="1:9" x14ac:dyDescent="0.25">
      <c r="A139" s="193" t="s">
        <v>587</v>
      </c>
      <c r="B139" s="193" t="s">
        <v>588</v>
      </c>
      <c r="C139" s="193" t="s">
        <v>684</v>
      </c>
      <c r="D139" s="193" t="s">
        <v>685</v>
      </c>
      <c r="E139" s="193" t="s">
        <v>545</v>
      </c>
      <c r="F139" s="200">
        <v>500</v>
      </c>
      <c r="G139" s="199">
        <v>0.35349999999999998</v>
      </c>
      <c r="H139" s="195">
        <v>176.75</v>
      </c>
      <c r="I139" s="193" t="s">
        <v>541</v>
      </c>
    </row>
    <row r="140" spans="1:9" x14ac:dyDescent="0.25">
      <c r="A140" s="193" t="s">
        <v>587</v>
      </c>
      <c r="B140" s="193" t="s">
        <v>588</v>
      </c>
      <c r="C140" s="193" t="s">
        <v>686</v>
      </c>
      <c r="D140" s="193" t="s">
        <v>687</v>
      </c>
      <c r="E140" s="193" t="s">
        <v>545</v>
      </c>
      <c r="F140" s="200">
        <v>500</v>
      </c>
      <c r="G140" s="199">
        <v>0.35349999999999998</v>
      </c>
      <c r="H140" s="195">
        <v>176.75</v>
      </c>
      <c r="I140" s="193" t="s">
        <v>541</v>
      </c>
    </row>
    <row r="141" spans="1:9" x14ac:dyDescent="0.25">
      <c r="A141" s="193" t="s">
        <v>587</v>
      </c>
      <c r="B141" s="193" t="s">
        <v>588</v>
      </c>
      <c r="C141" s="193" t="s">
        <v>688</v>
      </c>
      <c r="D141" s="193" t="s">
        <v>689</v>
      </c>
      <c r="E141" s="193" t="s">
        <v>545</v>
      </c>
      <c r="F141" s="200">
        <v>9</v>
      </c>
      <c r="G141" s="199">
        <v>352.43900000000002</v>
      </c>
      <c r="H141" s="195">
        <v>3171.951</v>
      </c>
      <c r="I141" s="193" t="s">
        <v>541</v>
      </c>
    </row>
    <row r="142" spans="1:9" x14ac:dyDescent="0.25">
      <c r="A142" s="193" t="s">
        <v>587</v>
      </c>
      <c r="B142" s="193" t="s">
        <v>588</v>
      </c>
      <c r="C142" s="193" t="s">
        <v>700</v>
      </c>
      <c r="D142" s="193" t="s">
        <v>701</v>
      </c>
      <c r="E142" s="193" t="s">
        <v>545</v>
      </c>
      <c r="F142" s="200">
        <v>2</v>
      </c>
      <c r="G142" s="199">
        <v>30.505706430295458</v>
      </c>
      <c r="H142" s="195">
        <v>61.011412860590916</v>
      </c>
      <c r="I142" s="193" t="s">
        <v>541</v>
      </c>
    </row>
    <row r="143" spans="1:9" x14ac:dyDescent="0.25">
      <c r="A143" s="193" t="s">
        <v>587</v>
      </c>
      <c r="B143" s="193" t="s">
        <v>588</v>
      </c>
      <c r="C143" s="193" t="s">
        <v>713</v>
      </c>
      <c r="D143" s="193" t="s">
        <v>714</v>
      </c>
      <c r="E143" s="193" t="s">
        <v>639</v>
      </c>
      <c r="F143" s="200">
        <v>52320</v>
      </c>
      <c r="G143" s="199">
        <v>0.15580064491637435</v>
      </c>
      <c r="H143" s="195">
        <v>8151.4897420247062</v>
      </c>
      <c r="I143" s="193" t="s">
        <v>541</v>
      </c>
    </row>
    <row r="144" spans="1:9" x14ac:dyDescent="0.25">
      <c r="A144" s="193" t="s">
        <v>587</v>
      </c>
      <c r="B144" s="193" t="s">
        <v>588</v>
      </c>
      <c r="C144" s="193" t="s">
        <v>715</v>
      </c>
      <c r="D144" s="193" t="s">
        <v>716</v>
      </c>
      <c r="E144" s="193" t="s">
        <v>639</v>
      </c>
      <c r="F144" s="200">
        <v>23968</v>
      </c>
      <c r="G144" s="199">
        <v>1.1673196483156583</v>
      </c>
      <c r="H144" s="195">
        <v>27978.317330829697</v>
      </c>
      <c r="I144" s="193" t="s">
        <v>541</v>
      </c>
    </row>
    <row r="145" spans="1:9" x14ac:dyDescent="0.25">
      <c r="A145" s="193" t="s">
        <v>587</v>
      </c>
      <c r="B145" s="193" t="s">
        <v>588</v>
      </c>
      <c r="C145" s="193" t="s">
        <v>717</v>
      </c>
      <c r="D145" s="193" t="s">
        <v>718</v>
      </c>
      <c r="E145" s="193" t="s">
        <v>639</v>
      </c>
      <c r="F145" s="200">
        <v>36948</v>
      </c>
      <c r="G145" s="199">
        <v>1.1673196483156583</v>
      </c>
      <c r="H145" s="195">
        <v>43130.126365966942</v>
      </c>
      <c r="I145" s="193" t="s">
        <v>541</v>
      </c>
    </row>
    <row r="146" spans="1:9" x14ac:dyDescent="0.25">
      <c r="A146" s="192" t="s">
        <v>587</v>
      </c>
      <c r="B146" s="201" t="s">
        <v>588</v>
      </c>
      <c r="C146" s="193" t="s">
        <v>719</v>
      </c>
      <c r="D146" s="193" t="s">
        <v>720</v>
      </c>
      <c r="E146" s="201" t="s">
        <v>545</v>
      </c>
      <c r="F146" s="196">
        <v>166400</v>
      </c>
      <c r="G146" s="202">
        <v>0.21457018061935432</v>
      </c>
      <c r="H146" s="195">
        <v>35704.478055060557</v>
      </c>
      <c r="I146" s="201" t="s">
        <v>541</v>
      </c>
    </row>
    <row r="147" spans="1:9" x14ac:dyDescent="0.25">
      <c r="A147" s="192" t="s">
        <v>587</v>
      </c>
      <c r="B147" s="201" t="s">
        <v>588</v>
      </c>
      <c r="C147" s="193" t="s">
        <v>721</v>
      </c>
      <c r="D147" s="193" t="s">
        <v>722</v>
      </c>
      <c r="E147" s="201" t="s">
        <v>535</v>
      </c>
      <c r="F147" s="196">
        <v>980</v>
      </c>
      <c r="G147" s="202">
        <v>15.400714025036519</v>
      </c>
      <c r="H147" s="195">
        <v>15092.699744535788</v>
      </c>
      <c r="I147" s="201" t="s">
        <v>541</v>
      </c>
    </row>
    <row r="148" spans="1:9" x14ac:dyDescent="0.25">
      <c r="A148" s="192" t="s">
        <v>587</v>
      </c>
      <c r="B148" s="201" t="s">
        <v>588</v>
      </c>
      <c r="C148" s="193" t="s">
        <v>723</v>
      </c>
      <c r="D148" s="193" t="s">
        <v>724</v>
      </c>
      <c r="E148" s="201" t="s">
        <v>535</v>
      </c>
      <c r="F148" s="196">
        <v>120</v>
      </c>
      <c r="G148" s="202">
        <v>26.512264150943395</v>
      </c>
      <c r="H148" s="195">
        <v>3181.4716981132074</v>
      </c>
      <c r="I148" s="201" t="s">
        <v>541</v>
      </c>
    </row>
    <row r="149" spans="1:9" x14ac:dyDescent="0.25">
      <c r="A149" s="192" t="s">
        <v>587</v>
      </c>
      <c r="B149" s="201" t="s">
        <v>588</v>
      </c>
      <c r="C149" s="193" t="s">
        <v>725</v>
      </c>
      <c r="D149" s="193" t="s">
        <v>726</v>
      </c>
      <c r="E149" s="201" t="s">
        <v>535</v>
      </c>
      <c r="F149" s="196">
        <v>1926</v>
      </c>
      <c r="G149" s="202">
        <v>14.987247296727341</v>
      </c>
      <c r="H149" s="195">
        <v>28865.43829349686</v>
      </c>
      <c r="I149" s="201" t="s">
        <v>541</v>
      </c>
    </row>
    <row r="150" spans="1:9" x14ac:dyDescent="0.25">
      <c r="A150" s="192" t="s">
        <v>587</v>
      </c>
      <c r="B150" s="201" t="s">
        <v>588</v>
      </c>
      <c r="C150" s="193" t="s">
        <v>727</v>
      </c>
      <c r="D150" s="193" t="s">
        <v>728</v>
      </c>
      <c r="E150" s="201" t="s">
        <v>535</v>
      </c>
      <c r="F150" s="196">
        <v>3100</v>
      </c>
      <c r="G150" s="202">
        <v>13.827783737305175</v>
      </c>
      <c r="H150" s="195">
        <v>42866.129585646042</v>
      </c>
      <c r="I150" s="201" t="s">
        <v>541</v>
      </c>
    </row>
    <row r="151" spans="1:9" x14ac:dyDescent="0.25">
      <c r="A151" s="192" t="s">
        <v>587</v>
      </c>
      <c r="B151" s="201" t="s">
        <v>588</v>
      </c>
      <c r="C151" s="193" t="s">
        <v>729</v>
      </c>
      <c r="D151" s="193" t="s">
        <v>730</v>
      </c>
      <c r="E151" s="193" t="s">
        <v>545</v>
      </c>
      <c r="F151" s="196">
        <v>100</v>
      </c>
      <c r="G151" s="202">
        <v>109.33333333333331</v>
      </c>
      <c r="H151" s="195">
        <v>10933.333333333332</v>
      </c>
      <c r="I151" s="193" t="s">
        <v>541</v>
      </c>
    </row>
    <row r="152" spans="1:9" x14ac:dyDescent="0.25">
      <c r="A152" s="192" t="s">
        <v>587</v>
      </c>
      <c r="B152" s="201" t="s">
        <v>588</v>
      </c>
      <c r="C152" s="193" t="s">
        <v>731</v>
      </c>
      <c r="D152" s="193" t="s">
        <v>732</v>
      </c>
      <c r="E152" s="201" t="s">
        <v>545</v>
      </c>
      <c r="F152" s="196">
        <v>1</v>
      </c>
      <c r="G152" s="194">
        <v>145</v>
      </c>
      <c r="H152" s="195">
        <v>145</v>
      </c>
      <c r="I152" s="201" t="s">
        <v>541</v>
      </c>
    </row>
    <row r="153" spans="1:9" x14ac:dyDescent="0.25">
      <c r="A153" s="192" t="s">
        <v>587</v>
      </c>
      <c r="B153" s="201" t="s">
        <v>588</v>
      </c>
      <c r="C153" s="201"/>
      <c r="D153" s="201" t="s">
        <v>733</v>
      </c>
      <c r="E153" s="201" t="s">
        <v>535</v>
      </c>
      <c r="F153" s="196">
        <v>150</v>
      </c>
      <c r="G153" s="194">
        <v>55.491637499999996</v>
      </c>
      <c r="H153" s="195">
        <v>8323.7456249999996</v>
      </c>
      <c r="I153" s="201" t="s">
        <v>541</v>
      </c>
    </row>
    <row r="154" spans="1:9" x14ac:dyDescent="0.25">
      <c r="A154" s="192" t="s">
        <v>587</v>
      </c>
      <c r="B154" s="201" t="s">
        <v>588</v>
      </c>
      <c r="C154" s="201" t="s">
        <v>734</v>
      </c>
      <c r="D154" s="201" t="s">
        <v>735</v>
      </c>
      <c r="E154" s="201" t="s">
        <v>545</v>
      </c>
      <c r="F154" s="196">
        <v>200</v>
      </c>
      <c r="G154" s="194">
        <v>0.2525</v>
      </c>
      <c r="H154" s="195">
        <v>50.5</v>
      </c>
      <c r="I154" s="201" t="s">
        <v>541</v>
      </c>
    </row>
    <row r="155" spans="1:9" x14ac:dyDescent="0.25">
      <c r="A155" s="192" t="s">
        <v>587</v>
      </c>
      <c r="B155" s="201" t="s">
        <v>588</v>
      </c>
      <c r="C155" s="201" t="s">
        <v>736</v>
      </c>
      <c r="D155" s="201" t="s">
        <v>737</v>
      </c>
      <c r="E155" s="201" t="s">
        <v>639</v>
      </c>
      <c r="F155" s="196">
        <v>79296</v>
      </c>
      <c r="G155" s="194">
        <v>0.13900000000000001</v>
      </c>
      <c r="H155" s="195">
        <v>11022.144</v>
      </c>
      <c r="I155" s="201" t="s">
        <v>541</v>
      </c>
    </row>
    <row r="156" spans="1:9" x14ac:dyDescent="0.25">
      <c r="A156" s="192" t="s">
        <v>587</v>
      </c>
      <c r="B156" s="201" t="s">
        <v>588</v>
      </c>
      <c r="C156" s="193" t="s">
        <v>725</v>
      </c>
      <c r="D156" s="193" t="s">
        <v>738</v>
      </c>
      <c r="E156" s="201" t="s">
        <v>535</v>
      </c>
      <c r="F156" s="196">
        <v>2087</v>
      </c>
      <c r="G156" s="194">
        <v>14.987247296727341</v>
      </c>
      <c r="H156" s="195">
        <v>31278.385108269962</v>
      </c>
      <c r="I156" s="201" t="s">
        <v>541</v>
      </c>
    </row>
    <row r="157" spans="1:9" x14ac:dyDescent="0.25">
      <c r="A157" s="193" t="s">
        <v>587</v>
      </c>
      <c r="B157" s="193" t="s">
        <v>588</v>
      </c>
      <c r="C157" s="193" t="s">
        <v>739</v>
      </c>
      <c r="D157" s="193" t="s">
        <v>740</v>
      </c>
      <c r="E157" s="193" t="s">
        <v>545</v>
      </c>
      <c r="F157" s="200">
        <v>2302</v>
      </c>
      <c r="G157" s="199">
        <v>1.0793751893085692</v>
      </c>
      <c r="H157" s="195">
        <v>2484.7216857883263</v>
      </c>
      <c r="I157" s="193" t="s">
        <v>541</v>
      </c>
    </row>
    <row r="158" spans="1:9" x14ac:dyDescent="0.25">
      <c r="A158" s="193" t="s">
        <v>587</v>
      </c>
      <c r="B158" s="193" t="s">
        <v>588</v>
      </c>
      <c r="C158" s="193" t="s">
        <v>741</v>
      </c>
      <c r="D158" s="193" t="s">
        <v>742</v>
      </c>
      <c r="E158" s="193" t="s">
        <v>545</v>
      </c>
      <c r="F158" s="196">
        <v>1842</v>
      </c>
      <c r="G158" s="194">
        <v>1.5132252167621694</v>
      </c>
      <c r="H158" s="195">
        <v>2787.3608492759158</v>
      </c>
      <c r="I158" s="193" t="s">
        <v>541</v>
      </c>
    </row>
    <row r="159" spans="1:9" x14ac:dyDescent="0.25">
      <c r="A159" s="193" t="s">
        <v>587</v>
      </c>
      <c r="B159" s="193" t="s">
        <v>588</v>
      </c>
      <c r="C159" s="193" t="s">
        <v>745</v>
      </c>
      <c r="D159" s="193" t="s">
        <v>746</v>
      </c>
      <c r="E159" s="193" t="s">
        <v>545</v>
      </c>
      <c r="F159" s="196">
        <v>5113</v>
      </c>
      <c r="G159" s="194">
        <v>0.64329877412327052</v>
      </c>
      <c r="H159" s="195">
        <v>3289.1866320922823</v>
      </c>
      <c r="I159" s="193" t="s">
        <v>541</v>
      </c>
    </row>
    <row r="160" spans="1:9" x14ac:dyDescent="0.25">
      <c r="A160" s="193" t="s">
        <v>587</v>
      </c>
      <c r="B160" s="193" t="s">
        <v>588</v>
      </c>
      <c r="C160" s="193"/>
      <c r="D160" s="193" t="s">
        <v>2346</v>
      </c>
      <c r="E160" s="193" t="s">
        <v>535</v>
      </c>
      <c r="F160" s="196">
        <v>225</v>
      </c>
      <c r="G160" s="194">
        <v>0</v>
      </c>
      <c r="H160" s="195">
        <v>0</v>
      </c>
      <c r="I160" s="193" t="s">
        <v>541</v>
      </c>
    </row>
    <row r="161" spans="1:9" x14ac:dyDescent="0.25">
      <c r="A161" s="193" t="s">
        <v>587</v>
      </c>
      <c r="B161" s="193" t="s">
        <v>588</v>
      </c>
      <c r="C161" s="193" t="s">
        <v>658</v>
      </c>
      <c r="D161" s="193" t="s">
        <v>2347</v>
      </c>
      <c r="E161" s="193" t="s">
        <v>545</v>
      </c>
      <c r="F161" s="196">
        <v>1000</v>
      </c>
      <c r="G161" s="194">
        <v>0.16930875675675675</v>
      </c>
      <c r="H161" s="195">
        <v>169.30875675675674</v>
      </c>
      <c r="I161" s="193" t="s">
        <v>541</v>
      </c>
    </row>
    <row r="162" spans="1:9" x14ac:dyDescent="0.25">
      <c r="A162" s="193" t="s">
        <v>587</v>
      </c>
      <c r="B162" s="193" t="s">
        <v>588</v>
      </c>
      <c r="C162" s="193"/>
      <c r="D162" s="193" t="s">
        <v>7447</v>
      </c>
      <c r="E162" s="193" t="s">
        <v>639</v>
      </c>
      <c r="F162" s="196">
        <v>251544</v>
      </c>
      <c r="G162" s="194">
        <v>0.13900000000000001</v>
      </c>
      <c r="H162" s="195">
        <v>34964.616000000002</v>
      </c>
      <c r="I162" s="193" t="s">
        <v>541</v>
      </c>
    </row>
    <row r="163" spans="1:9" x14ac:dyDescent="0.25">
      <c r="A163" s="193" t="s">
        <v>220</v>
      </c>
      <c r="B163" s="193" t="s">
        <v>7448</v>
      </c>
      <c r="C163" s="193" t="s">
        <v>1909</v>
      </c>
      <c r="D163" s="193" t="s">
        <v>1910</v>
      </c>
      <c r="E163" s="193" t="s">
        <v>545</v>
      </c>
      <c r="F163" s="196">
        <v>817</v>
      </c>
      <c r="G163" s="194">
        <v>72.685741473669125</v>
      </c>
      <c r="H163" s="195">
        <v>59384.250783987678</v>
      </c>
      <c r="I163" s="193" t="s">
        <v>1911</v>
      </c>
    </row>
    <row r="164" spans="1:9" x14ac:dyDescent="0.25">
      <c r="A164" s="193" t="s">
        <v>220</v>
      </c>
      <c r="B164" s="193" t="s">
        <v>7448</v>
      </c>
      <c r="C164" s="193" t="s">
        <v>1912</v>
      </c>
      <c r="D164" s="193" t="s">
        <v>1913</v>
      </c>
      <c r="E164" s="193" t="s">
        <v>545</v>
      </c>
      <c r="F164" s="196">
        <v>378</v>
      </c>
      <c r="G164" s="194">
        <v>83.18852910446428</v>
      </c>
      <c r="H164" s="195">
        <v>31445.264001487496</v>
      </c>
      <c r="I164" s="193" t="s">
        <v>1911</v>
      </c>
    </row>
    <row r="165" spans="1:9" x14ac:dyDescent="0.25">
      <c r="A165" s="193" t="s">
        <v>220</v>
      </c>
      <c r="B165" s="193" t="s">
        <v>7448</v>
      </c>
      <c r="C165" s="193" t="s">
        <v>1914</v>
      </c>
      <c r="D165" s="193" t="s">
        <v>1915</v>
      </c>
      <c r="E165" s="193" t="s">
        <v>545</v>
      </c>
      <c r="F165" s="196">
        <v>1189</v>
      </c>
      <c r="G165" s="194">
        <v>93.656713247244056</v>
      </c>
      <c r="H165" s="195">
        <v>111357.83205097319</v>
      </c>
      <c r="I165" s="193" t="s">
        <v>1911</v>
      </c>
    </row>
    <row r="166" spans="1:9" x14ac:dyDescent="0.25">
      <c r="A166" s="193" t="s">
        <v>220</v>
      </c>
      <c r="B166" s="193" t="s">
        <v>7448</v>
      </c>
      <c r="C166" s="193" t="s">
        <v>1916</v>
      </c>
      <c r="D166" s="193" t="s">
        <v>1917</v>
      </c>
      <c r="E166" s="193" t="s">
        <v>545</v>
      </c>
      <c r="F166" s="196">
        <v>434</v>
      </c>
      <c r="G166" s="194">
        <v>126.58860491485309</v>
      </c>
      <c r="H166" s="195">
        <v>54939.454533046242</v>
      </c>
      <c r="I166" s="193" t="s">
        <v>1911</v>
      </c>
    </row>
    <row r="167" spans="1:9" x14ac:dyDescent="0.25">
      <c r="A167" s="193" t="s">
        <v>220</v>
      </c>
      <c r="B167" s="193" t="s">
        <v>7448</v>
      </c>
      <c r="C167" s="193" t="s">
        <v>1918</v>
      </c>
      <c r="D167" s="193" t="s">
        <v>1919</v>
      </c>
      <c r="E167" s="193" t="s">
        <v>545</v>
      </c>
      <c r="F167" s="196">
        <v>65</v>
      </c>
      <c r="G167" s="194">
        <v>67.217032061213288</v>
      </c>
      <c r="H167" s="195">
        <v>4369.1070839788636</v>
      </c>
      <c r="I167" s="193" t="s">
        <v>1911</v>
      </c>
    </row>
    <row r="168" spans="1:9" x14ac:dyDescent="0.25">
      <c r="A168" s="193" t="s">
        <v>220</v>
      </c>
      <c r="B168" s="193" t="s">
        <v>7448</v>
      </c>
      <c r="C168" s="193" t="s">
        <v>1920</v>
      </c>
      <c r="D168" s="193" t="s">
        <v>1921</v>
      </c>
      <c r="E168" s="193" t="s">
        <v>545</v>
      </c>
      <c r="F168" s="196">
        <v>343</v>
      </c>
      <c r="G168" s="194">
        <v>71.131130145126761</v>
      </c>
      <c r="H168" s="195">
        <v>24397.977639778481</v>
      </c>
      <c r="I168" s="193" t="s">
        <v>1911</v>
      </c>
    </row>
    <row r="169" spans="1:9" x14ac:dyDescent="0.25">
      <c r="A169" s="193" t="s">
        <v>220</v>
      </c>
      <c r="B169" s="193" t="s">
        <v>7448</v>
      </c>
      <c r="C169" s="193" t="s">
        <v>1922</v>
      </c>
      <c r="D169" s="193" t="s">
        <v>1923</v>
      </c>
      <c r="E169" s="193" t="s">
        <v>545</v>
      </c>
      <c r="F169" s="196">
        <v>100</v>
      </c>
      <c r="G169" s="194">
        <v>60.187428599986745</v>
      </c>
      <c r="H169" s="195">
        <v>6018.7428599986742</v>
      </c>
      <c r="I169" s="193" t="s">
        <v>1911</v>
      </c>
    </row>
    <row r="170" spans="1:9" x14ac:dyDescent="0.25">
      <c r="A170" s="193" t="s">
        <v>220</v>
      </c>
      <c r="B170" s="193" t="s">
        <v>7448</v>
      </c>
      <c r="C170" s="193" t="s">
        <v>1924</v>
      </c>
      <c r="D170" s="193" t="s">
        <v>1925</v>
      </c>
      <c r="E170" s="193" t="s">
        <v>545</v>
      </c>
      <c r="F170" s="196">
        <v>28</v>
      </c>
      <c r="G170" s="194">
        <v>78.019203624395047</v>
      </c>
      <c r="H170" s="195">
        <v>2184.5377014830615</v>
      </c>
      <c r="I170" s="193" t="s">
        <v>1911</v>
      </c>
    </row>
    <row r="171" spans="1:9" x14ac:dyDescent="0.25">
      <c r="A171" s="193" t="s">
        <v>220</v>
      </c>
      <c r="B171" s="193" t="s">
        <v>7448</v>
      </c>
      <c r="C171" s="193" t="s">
        <v>1926</v>
      </c>
      <c r="D171" s="193" t="s">
        <v>1927</v>
      </c>
      <c r="E171" s="193" t="s">
        <v>545</v>
      </c>
      <c r="F171" s="196">
        <v>461</v>
      </c>
      <c r="G171" s="194">
        <v>77.164095976740441</v>
      </c>
      <c r="H171" s="195">
        <v>35572.648245277342</v>
      </c>
      <c r="I171" s="193" t="s">
        <v>1911</v>
      </c>
    </row>
    <row r="172" spans="1:9" x14ac:dyDescent="0.25">
      <c r="A172" s="193" t="s">
        <v>220</v>
      </c>
      <c r="B172" s="193" t="s">
        <v>7448</v>
      </c>
      <c r="C172" s="193" t="s">
        <v>1928</v>
      </c>
      <c r="D172" s="193" t="s">
        <v>1929</v>
      </c>
      <c r="E172" s="193" t="s">
        <v>545</v>
      </c>
      <c r="F172" s="196">
        <v>165</v>
      </c>
      <c r="G172" s="194">
        <v>90.283204096625596</v>
      </c>
      <c r="H172" s="195">
        <v>14896.728675943223</v>
      </c>
      <c r="I172" s="193" t="s">
        <v>1911</v>
      </c>
    </row>
    <row r="173" spans="1:9" x14ac:dyDescent="0.25">
      <c r="A173" s="193" t="s">
        <v>220</v>
      </c>
      <c r="B173" s="193" t="s">
        <v>7448</v>
      </c>
      <c r="C173" s="193" t="s">
        <v>1930</v>
      </c>
      <c r="D173" s="193" t="s">
        <v>1931</v>
      </c>
      <c r="E173" s="193" t="s">
        <v>545</v>
      </c>
      <c r="F173" s="196">
        <v>439</v>
      </c>
      <c r="G173" s="194">
        <v>88.779786180633138</v>
      </c>
      <c r="H173" s="195">
        <v>38974.326133297945</v>
      </c>
      <c r="I173" s="193" t="s">
        <v>1911</v>
      </c>
    </row>
    <row r="174" spans="1:9" x14ac:dyDescent="0.25">
      <c r="A174" s="193" t="s">
        <v>220</v>
      </c>
      <c r="B174" s="193" t="s">
        <v>7448</v>
      </c>
      <c r="C174" s="193" t="s">
        <v>1932</v>
      </c>
      <c r="D174" s="193" t="s">
        <v>1933</v>
      </c>
      <c r="E174" s="193" t="s">
        <v>545</v>
      </c>
      <c r="F174" s="196">
        <v>220</v>
      </c>
      <c r="G174" s="194">
        <v>58.941708747640163</v>
      </c>
      <c r="H174" s="195">
        <v>12967.175924480836</v>
      </c>
      <c r="I174" s="193" t="s">
        <v>1911</v>
      </c>
    </row>
    <row r="175" spans="1:9" x14ac:dyDescent="0.25">
      <c r="A175" s="193" t="s">
        <v>220</v>
      </c>
      <c r="B175" s="193" t="s">
        <v>7448</v>
      </c>
      <c r="C175" s="193" t="s">
        <v>1934</v>
      </c>
      <c r="D175" s="193" t="s">
        <v>1935</v>
      </c>
      <c r="E175" s="193" t="s">
        <v>545</v>
      </c>
      <c r="F175" s="196">
        <v>8</v>
      </c>
      <c r="G175" s="194">
        <v>63.176862929853229</v>
      </c>
      <c r="H175" s="195">
        <v>505.41490343882583</v>
      </c>
      <c r="I175" s="193" t="s">
        <v>1911</v>
      </c>
    </row>
    <row r="176" spans="1:9" x14ac:dyDescent="0.25">
      <c r="A176" s="193" t="s">
        <v>220</v>
      </c>
      <c r="B176" s="193" t="s">
        <v>7448</v>
      </c>
      <c r="C176" s="193" t="s">
        <v>1936</v>
      </c>
      <c r="D176" s="193" t="s">
        <v>1937</v>
      </c>
      <c r="E176" s="193" t="s">
        <v>545</v>
      </c>
      <c r="F176" s="196">
        <v>43</v>
      </c>
      <c r="G176" s="194">
        <v>74.372386813765175</v>
      </c>
      <c r="H176" s="195">
        <v>3198.0126329919026</v>
      </c>
      <c r="I176" s="193" t="s">
        <v>1911</v>
      </c>
    </row>
    <row r="177" spans="1:9" x14ac:dyDescent="0.25">
      <c r="A177" s="193" t="s">
        <v>220</v>
      </c>
      <c r="B177" s="193" t="s">
        <v>7448</v>
      </c>
      <c r="C177" s="193" t="s">
        <v>1938</v>
      </c>
      <c r="D177" s="193" t="s">
        <v>1939</v>
      </c>
      <c r="E177" s="193" t="s">
        <v>545</v>
      </c>
      <c r="F177" s="196">
        <v>127</v>
      </c>
      <c r="G177" s="194">
        <v>104.83021388353322</v>
      </c>
      <c r="H177" s="195">
        <v>13313.437163208719</v>
      </c>
      <c r="I177" s="193" t="s">
        <v>1911</v>
      </c>
    </row>
    <row r="178" spans="1:9" x14ac:dyDescent="0.25">
      <c r="A178" s="193" t="s">
        <v>220</v>
      </c>
      <c r="B178" s="193" t="s">
        <v>7448</v>
      </c>
      <c r="C178" s="193" t="s">
        <v>1940</v>
      </c>
      <c r="D178" s="193" t="s">
        <v>1941</v>
      </c>
      <c r="E178" s="193" t="s">
        <v>545</v>
      </c>
      <c r="F178" s="196">
        <v>171</v>
      </c>
      <c r="G178" s="194">
        <v>110.47926111267003</v>
      </c>
      <c r="H178" s="195">
        <v>18891.953650266576</v>
      </c>
      <c r="I178" s="193" t="s">
        <v>1911</v>
      </c>
    </row>
    <row r="179" spans="1:9" x14ac:dyDescent="0.25">
      <c r="A179" s="193" t="s">
        <v>220</v>
      </c>
      <c r="B179" s="193" t="s">
        <v>7448</v>
      </c>
      <c r="C179" s="193" t="s">
        <v>1942</v>
      </c>
      <c r="D179" s="193" t="s">
        <v>1943</v>
      </c>
      <c r="E179" s="193" t="s">
        <v>545</v>
      </c>
      <c r="F179" s="196">
        <v>32</v>
      </c>
      <c r="G179" s="194">
        <v>113.67016699885335</v>
      </c>
      <c r="H179" s="195">
        <v>3637.4453439633071</v>
      </c>
      <c r="I179" s="193" t="s">
        <v>1911</v>
      </c>
    </row>
    <row r="180" spans="1:9" x14ac:dyDescent="0.25">
      <c r="A180" s="193" t="s">
        <v>220</v>
      </c>
      <c r="B180" s="193" t="s">
        <v>7448</v>
      </c>
      <c r="C180" s="193" t="s">
        <v>1944</v>
      </c>
      <c r="D180" s="193" t="s">
        <v>1945</v>
      </c>
      <c r="E180" s="193" t="s">
        <v>545</v>
      </c>
      <c r="F180" s="196">
        <v>233</v>
      </c>
      <c r="G180" s="194">
        <v>140.21211837489781</v>
      </c>
      <c r="H180" s="195">
        <v>32669.423581351191</v>
      </c>
      <c r="I180" s="193" t="s">
        <v>1911</v>
      </c>
    </row>
    <row r="181" spans="1:9" x14ac:dyDescent="0.25">
      <c r="A181" s="193" t="s">
        <v>220</v>
      </c>
      <c r="B181" s="193" t="s">
        <v>7448</v>
      </c>
      <c r="C181" s="193" t="s">
        <v>1946</v>
      </c>
      <c r="D181" s="193" t="s">
        <v>1947</v>
      </c>
      <c r="E181" s="193" t="s">
        <v>545</v>
      </c>
      <c r="F181" s="196">
        <v>191</v>
      </c>
      <c r="G181" s="194">
        <v>140.21211837489781</v>
      </c>
      <c r="H181" s="195">
        <v>26780.514609605481</v>
      </c>
      <c r="I181" s="193" t="s">
        <v>1911</v>
      </c>
    </row>
    <row r="182" spans="1:9" x14ac:dyDescent="0.25">
      <c r="A182" s="193" t="s">
        <v>220</v>
      </c>
      <c r="B182" s="193" t="s">
        <v>7448</v>
      </c>
      <c r="C182" s="193" t="s">
        <v>1948</v>
      </c>
      <c r="D182" s="193" t="s">
        <v>1949</v>
      </c>
      <c r="E182" s="193" t="s">
        <v>545</v>
      </c>
      <c r="F182" s="196">
        <v>402</v>
      </c>
      <c r="G182" s="194">
        <v>67.465775052437905</v>
      </c>
      <c r="H182" s="195">
        <v>27121.241571080038</v>
      </c>
      <c r="I182" s="193" t="s">
        <v>1911</v>
      </c>
    </row>
    <row r="183" spans="1:9" x14ac:dyDescent="0.25">
      <c r="A183" s="193" t="s">
        <v>220</v>
      </c>
      <c r="B183" s="193" t="s">
        <v>7448</v>
      </c>
      <c r="C183" s="193" t="s">
        <v>1950</v>
      </c>
      <c r="D183" s="193" t="s">
        <v>1951</v>
      </c>
      <c r="E183" s="193" t="s">
        <v>545</v>
      </c>
      <c r="F183" s="196">
        <v>458</v>
      </c>
      <c r="G183" s="194">
        <v>77.632283680213334</v>
      </c>
      <c r="H183" s="195">
        <v>35555.585925537707</v>
      </c>
      <c r="I183" s="193" t="s">
        <v>1911</v>
      </c>
    </row>
    <row r="184" spans="1:9" x14ac:dyDescent="0.25">
      <c r="A184" s="193" t="s">
        <v>220</v>
      </c>
      <c r="B184" s="193" t="s">
        <v>7448</v>
      </c>
      <c r="C184" s="193" t="s">
        <v>1952</v>
      </c>
      <c r="D184" s="193" t="s">
        <v>1953</v>
      </c>
      <c r="E184" s="193" t="s">
        <v>545</v>
      </c>
      <c r="F184" s="196">
        <v>573</v>
      </c>
      <c r="G184" s="194">
        <v>93.268688780299371</v>
      </c>
      <c r="H184" s="195">
        <v>53442.958671111541</v>
      </c>
      <c r="I184" s="193" t="s">
        <v>1911</v>
      </c>
    </row>
    <row r="185" spans="1:9" x14ac:dyDescent="0.25">
      <c r="A185" s="193" t="s">
        <v>220</v>
      </c>
      <c r="B185" s="193" t="s">
        <v>7448</v>
      </c>
      <c r="C185" s="193" t="s">
        <v>1954</v>
      </c>
      <c r="D185" s="193" t="s">
        <v>1955</v>
      </c>
      <c r="E185" s="193" t="s">
        <v>545</v>
      </c>
      <c r="F185" s="196">
        <v>1</v>
      </c>
      <c r="G185" s="194">
        <v>89.948789856948025</v>
      </c>
      <c r="H185" s="195">
        <v>89.948789856948025</v>
      </c>
      <c r="I185" s="193" t="s">
        <v>1911</v>
      </c>
    </row>
    <row r="186" spans="1:9" x14ac:dyDescent="0.25">
      <c r="A186" s="193" t="s">
        <v>220</v>
      </c>
      <c r="B186" s="193" t="s">
        <v>7448</v>
      </c>
      <c r="C186" s="193" t="s">
        <v>1956</v>
      </c>
      <c r="D186" s="193" t="s">
        <v>1957</v>
      </c>
      <c r="E186" s="193" t="s">
        <v>545</v>
      </c>
      <c r="F186" s="196">
        <v>121</v>
      </c>
      <c r="G186" s="194">
        <v>108.2019760944152</v>
      </c>
      <c r="H186" s="195">
        <v>13092.439107424239</v>
      </c>
      <c r="I186" s="193" t="s">
        <v>1911</v>
      </c>
    </row>
    <row r="187" spans="1:9" x14ac:dyDescent="0.25">
      <c r="A187" s="193" t="s">
        <v>220</v>
      </c>
      <c r="B187" s="193" t="s">
        <v>7448</v>
      </c>
      <c r="C187" s="193" t="s">
        <v>1958</v>
      </c>
      <c r="D187" s="193" t="s">
        <v>1959</v>
      </c>
      <c r="E187" s="193" t="s">
        <v>545</v>
      </c>
      <c r="F187" s="196">
        <v>1</v>
      </c>
      <c r="G187" s="194">
        <v>155.10987712536115</v>
      </c>
      <c r="H187" s="195">
        <v>155.10987712536115</v>
      </c>
      <c r="I187" s="193" t="s">
        <v>1911</v>
      </c>
    </row>
    <row r="188" spans="1:9" x14ac:dyDescent="0.25">
      <c r="A188" s="193" t="s">
        <v>220</v>
      </c>
      <c r="B188" s="193" t="s">
        <v>7448</v>
      </c>
      <c r="C188" s="193" t="s">
        <v>1960</v>
      </c>
      <c r="D188" s="193" t="s">
        <v>1961</v>
      </c>
      <c r="E188" s="193" t="s">
        <v>545</v>
      </c>
      <c r="F188" s="196">
        <v>1027</v>
      </c>
      <c r="G188" s="194">
        <v>88.159978085742637</v>
      </c>
      <c r="H188" s="195">
        <v>90540.297494057682</v>
      </c>
      <c r="I188" s="193" t="s">
        <v>1911</v>
      </c>
    </row>
    <row r="189" spans="1:9" x14ac:dyDescent="0.25">
      <c r="A189" s="193" t="s">
        <v>220</v>
      </c>
      <c r="B189" s="193" t="s">
        <v>7448</v>
      </c>
      <c r="C189" s="193" t="s">
        <v>1962</v>
      </c>
      <c r="D189" s="193" t="s">
        <v>1963</v>
      </c>
      <c r="E189" s="193" t="s">
        <v>545</v>
      </c>
      <c r="F189" s="196">
        <v>288</v>
      </c>
      <c r="G189" s="194">
        <v>97.468596265010717</v>
      </c>
      <c r="H189" s="195">
        <v>28070.955724323088</v>
      </c>
      <c r="I189" s="193" t="s">
        <v>1911</v>
      </c>
    </row>
    <row r="190" spans="1:9" x14ac:dyDescent="0.25">
      <c r="A190" s="193" t="s">
        <v>220</v>
      </c>
      <c r="B190" s="193" t="s">
        <v>7448</v>
      </c>
      <c r="C190" s="193" t="s">
        <v>1964</v>
      </c>
      <c r="D190" s="193" t="s">
        <v>1965</v>
      </c>
      <c r="E190" s="193" t="s">
        <v>545</v>
      </c>
      <c r="F190" s="196">
        <v>428</v>
      </c>
      <c r="G190" s="203">
        <v>136.47822356969888</v>
      </c>
      <c r="H190" s="195">
        <v>58412.679687831122</v>
      </c>
      <c r="I190" s="193" t="s">
        <v>1911</v>
      </c>
    </row>
    <row r="191" spans="1:9" x14ac:dyDescent="0.25">
      <c r="A191" s="193" t="s">
        <v>220</v>
      </c>
      <c r="B191" s="193" t="s">
        <v>7448</v>
      </c>
      <c r="C191" s="193" t="s">
        <v>1966</v>
      </c>
      <c r="D191" s="193" t="s">
        <v>1967</v>
      </c>
      <c r="E191" s="193" t="s">
        <v>545</v>
      </c>
      <c r="F191" s="196">
        <v>57</v>
      </c>
      <c r="G191" s="194">
        <v>129.06362574974258</v>
      </c>
      <c r="H191" s="195">
        <v>7356.6266677353269</v>
      </c>
      <c r="I191" s="193" t="s">
        <v>1911</v>
      </c>
    </row>
    <row r="192" spans="1:9" x14ac:dyDescent="0.25">
      <c r="A192" s="193" t="s">
        <v>220</v>
      </c>
      <c r="B192" s="193" t="s">
        <v>7448</v>
      </c>
      <c r="C192" s="193" t="s">
        <v>1968</v>
      </c>
      <c r="D192" s="193" t="s">
        <v>1969</v>
      </c>
      <c r="E192" s="193" t="s">
        <v>545</v>
      </c>
      <c r="F192" s="196">
        <v>39</v>
      </c>
      <c r="G192" s="194">
        <v>134.41722296813123</v>
      </c>
      <c r="H192" s="195">
        <v>5242.2716957571174</v>
      </c>
      <c r="I192" s="193" t="s">
        <v>1911</v>
      </c>
    </row>
    <row r="193" spans="1:9" x14ac:dyDescent="0.25">
      <c r="A193" s="193" t="s">
        <v>220</v>
      </c>
      <c r="B193" s="193" t="s">
        <v>7448</v>
      </c>
      <c r="C193" s="193" t="s">
        <v>1970</v>
      </c>
      <c r="D193" s="193" t="s">
        <v>1971</v>
      </c>
      <c r="E193" s="193" t="s">
        <v>545</v>
      </c>
      <c r="F193" s="196">
        <v>320</v>
      </c>
      <c r="G193" s="194">
        <v>124.64288361726786</v>
      </c>
      <c r="H193" s="195">
        <v>39885.722757525713</v>
      </c>
      <c r="I193" s="193" t="s">
        <v>1911</v>
      </c>
    </row>
    <row r="194" spans="1:9" x14ac:dyDescent="0.25">
      <c r="A194" s="193" t="s">
        <v>220</v>
      </c>
      <c r="B194" s="193" t="s">
        <v>7448</v>
      </c>
      <c r="C194" s="193" t="s">
        <v>1972</v>
      </c>
      <c r="D194" s="193" t="s">
        <v>1973</v>
      </c>
      <c r="E194" s="193" t="s">
        <v>545</v>
      </c>
      <c r="F194" s="196">
        <v>82</v>
      </c>
      <c r="G194" s="194">
        <v>142.31511267353068</v>
      </c>
      <c r="H194" s="195">
        <v>11669.839239229515</v>
      </c>
      <c r="I194" s="193" t="s">
        <v>1911</v>
      </c>
    </row>
    <row r="195" spans="1:9" x14ac:dyDescent="0.25">
      <c r="A195" s="193" t="s">
        <v>220</v>
      </c>
      <c r="B195" s="193" t="s">
        <v>7448</v>
      </c>
      <c r="C195" s="193" t="s">
        <v>1974</v>
      </c>
      <c r="D195" s="193" t="s">
        <v>1975</v>
      </c>
      <c r="E195" s="193" t="s">
        <v>545</v>
      </c>
      <c r="F195" s="196">
        <v>60</v>
      </c>
      <c r="G195" s="194">
        <v>160.50202787217594</v>
      </c>
      <c r="H195" s="195">
        <v>9630.121672330557</v>
      </c>
      <c r="I195" s="193" t="s">
        <v>1911</v>
      </c>
    </row>
    <row r="196" spans="1:9" x14ac:dyDescent="0.25">
      <c r="A196" s="193" t="s">
        <v>220</v>
      </c>
      <c r="B196" s="193" t="s">
        <v>7448</v>
      </c>
      <c r="C196" s="193" t="s">
        <v>1978</v>
      </c>
      <c r="D196" s="193" t="s">
        <v>1979</v>
      </c>
      <c r="E196" s="193" t="s">
        <v>545</v>
      </c>
      <c r="F196" s="196">
        <v>347</v>
      </c>
      <c r="G196" s="194">
        <v>171.04008668587466</v>
      </c>
      <c r="H196" s="195">
        <v>59350.910079998503</v>
      </c>
      <c r="I196" s="193" t="s">
        <v>1911</v>
      </c>
    </row>
    <row r="197" spans="1:9" x14ac:dyDescent="0.25">
      <c r="A197" s="193" t="s">
        <v>220</v>
      </c>
      <c r="B197" s="193" t="s">
        <v>7448</v>
      </c>
      <c r="C197" s="193" t="s">
        <v>1980</v>
      </c>
      <c r="D197" s="193" t="s">
        <v>1981</v>
      </c>
      <c r="E197" s="193" t="s">
        <v>545</v>
      </c>
      <c r="F197" s="196">
        <v>116</v>
      </c>
      <c r="G197" s="194">
        <v>199.77070244438534</v>
      </c>
      <c r="H197" s="195">
        <v>23173.4014835487</v>
      </c>
      <c r="I197" s="193" t="s">
        <v>1911</v>
      </c>
    </row>
    <row r="198" spans="1:9" x14ac:dyDescent="0.25">
      <c r="A198" s="193" t="s">
        <v>220</v>
      </c>
      <c r="B198" s="193" t="s">
        <v>7448</v>
      </c>
      <c r="C198" s="193" t="s">
        <v>1982</v>
      </c>
      <c r="D198" s="193" t="s">
        <v>1983</v>
      </c>
      <c r="E198" s="193" t="s">
        <v>545</v>
      </c>
      <c r="F198" s="196">
        <v>173</v>
      </c>
      <c r="G198" s="194">
        <v>219.08</v>
      </c>
      <c r="H198" s="195">
        <v>37900.840000000004</v>
      </c>
      <c r="I198" s="193" t="s">
        <v>1911</v>
      </c>
    </row>
    <row r="199" spans="1:9" x14ac:dyDescent="0.25">
      <c r="A199" s="193" t="s">
        <v>220</v>
      </c>
      <c r="B199" s="193" t="s">
        <v>7448</v>
      </c>
      <c r="C199" s="193" t="s">
        <v>1984</v>
      </c>
      <c r="D199" s="193" t="s">
        <v>1985</v>
      </c>
      <c r="E199" s="193" t="s">
        <v>545</v>
      </c>
      <c r="F199" s="196">
        <v>54</v>
      </c>
      <c r="G199" s="194">
        <v>228.32164206822068</v>
      </c>
      <c r="H199" s="195">
        <v>12329.368671683917</v>
      </c>
      <c r="I199" s="193" t="s">
        <v>1911</v>
      </c>
    </row>
    <row r="200" spans="1:9" x14ac:dyDescent="0.25">
      <c r="A200" s="193" t="s">
        <v>220</v>
      </c>
      <c r="B200" s="193" t="s">
        <v>7448</v>
      </c>
      <c r="C200" s="193" t="s">
        <v>1986</v>
      </c>
      <c r="D200" s="193" t="s">
        <v>1987</v>
      </c>
      <c r="E200" s="193" t="s">
        <v>545</v>
      </c>
      <c r="F200" s="196">
        <v>8</v>
      </c>
      <c r="G200" s="194">
        <v>97.468596265010717</v>
      </c>
      <c r="H200" s="195">
        <v>779.74877012008574</v>
      </c>
      <c r="I200" s="193" t="s">
        <v>1911</v>
      </c>
    </row>
    <row r="201" spans="1:9" x14ac:dyDescent="0.25">
      <c r="A201" s="193" t="s">
        <v>220</v>
      </c>
      <c r="B201" s="193" t="s">
        <v>7448</v>
      </c>
      <c r="C201" s="193" t="s">
        <v>1988</v>
      </c>
      <c r="D201" s="193" t="s">
        <v>1989</v>
      </c>
      <c r="E201" s="193" t="s">
        <v>545</v>
      </c>
      <c r="F201" s="196">
        <v>1</v>
      </c>
      <c r="G201" s="194">
        <v>154.21426812681023</v>
      </c>
      <c r="H201" s="195">
        <v>154.21426812681023</v>
      </c>
      <c r="I201" s="193" t="s">
        <v>1911</v>
      </c>
    </row>
    <row r="202" spans="1:9" x14ac:dyDescent="0.25">
      <c r="A202" s="193" t="s">
        <v>220</v>
      </c>
      <c r="B202" s="193" t="s">
        <v>7448</v>
      </c>
      <c r="C202" s="193" t="s">
        <v>1990</v>
      </c>
      <c r="D202" s="193" t="s">
        <v>1991</v>
      </c>
      <c r="E202" s="193" t="s">
        <v>545</v>
      </c>
      <c r="F202" s="196">
        <v>3</v>
      </c>
      <c r="G202" s="194">
        <v>57.764929053745149</v>
      </c>
      <c r="H202" s="195">
        <v>173.29478716123543</v>
      </c>
      <c r="I202" s="193" t="s">
        <v>1911</v>
      </c>
    </row>
    <row r="203" spans="1:9" x14ac:dyDescent="0.25">
      <c r="A203" s="193" t="s">
        <v>220</v>
      </c>
      <c r="B203" s="193" t="s">
        <v>7448</v>
      </c>
      <c r="C203" s="193" t="s">
        <v>1992</v>
      </c>
      <c r="D203" s="193" t="s">
        <v>1993</v>
      </c>
      <c r="E203" s="193" t="s">
        <v>545</v>
      </c>
      <c r="F203" s="196">
        <v>19</v>
      </c>
      <c r="G203" s="194">
        <v>57.205630253978335</v>
      </c>
      <c r="H203" s="195">
        <v>1086.9069748255883</v>
      </c>
      <c r="I203" s="193" t="s">
        <v>1911</v>
      </c>
    </row>
    <row r="204" spans="1:9" x14ac:dyDescent="0.25">
      <c r="A204" s="193" t="s">
        <v>220</v>
      </c>
      <c r="B204" s="193" t="s">
        <v>7448</v>
      </c>
      <c r="C204" s="193" t="s">
        <v>1994</v>
      </c>
      <c r="D204" s="193" t="s">
        <v>1995</v>
      </c>
      <c r="E204" s="193" t="s">
        <v>545</v>
      </c>
      <c r="F204" s="196">
        <v>5</v>
      </c>
      <c r="G204" s="194"/>
      <c r="H204" s="195">
        <v>0</v>
      </c>
      <c r="I204" s="193" t="s">
        <v>1911</v>
      </c>
    </row>
    <row r="205" spans="1:9" x14ac:dyDescent="0.25">
      <c r="A205" s="193" t="s">
        <v>220</v>
      </c>
      <c r="B205" s="193" t="s">
        <v>7448</v>
      </c>
      <c r="C205" s="193" t="s">
        <v>1998</v>
      </c>
      <c r="D205" s="193" t="s">
        <v>1998</v>
      </c>
      <c r="E205" s="193" t="s">
        <v>545</v>
      </c>
      <c r="F205" s="196">
        <v>25</v>
      </c>
      <c r="G205" s="194">
        <v>77.632283680213334</v>
      </c>
      <c r="H205" s="195">
        <v>1940.8070920053333</v>
      </c>
      <c r="I205" s="193" t="s">
        <v>1911</v>
      </c>
    </row>
    <row r="206" spans="1:9" x14ac:dyDescent="0.25">
      <c r="A206" s="193" t="s">
        <v>220</v>
      </c>
      <c r="B206" s="193" t="s">
        <v>7448</v>
      </c>
      <c r="C206" s="193" t="s">
        <v>1998</v>
      </c>
      <c r="D206" s="193" t="s">
        <v>1998</v>
      </c>
      <c r="E206" s="193" t="s">
        <v>545</v>
      </c>
      <c r="F206" s="196">
        <v>4</v>
      </c>
      <c r="G206" s="194">
        <v>77.632283680213334</v>
      </c>
      <c r="H206" s="195">
        <v>310.52913472085334</v>
      </c>
      <c r="I206" s="193" t="s">
        <v>1911</v>
      </c>
    </row>
    <row r="207" spans="1:9" x14ac:dyDescent="0.25">
      <c r="A207" s="193" t="s">
        <v>220</v>
      </c>
      <c r="B207" s="193" t="s">
        <v>7448</v>
      </c>
      <c r="C207" s="193" t="s">
        <v>1999</v>
      </c>
      <c r="D207" s="193" t="s">
        <v>2000</v>
      </c>
      <c r="E207" s="193" t="s">
        <v>545</v>
      </c>
      <c r="F207" s="196">
        <v>1</v>
      </c>
      <c r="G207" s="194">
        <v>77.821653094955408</v>
      </c>
      <c r="H207" s="195">
        <v>77.821653094955408</v>
      </c>
      <c r="I207" s="193" t="s">
        <v>1911</v>
      </c>
    </row>
    <row r="208" spans="1:9" x14ac:dyDescent="0.25">
      <c r="A208" s="193" t="s">
        <v>220</v>
      </c>
      <c r="B208" s="193" t="s">
        <v>7448</v>
      </c>
      <c r="C208" s="193" t="s">
        <v>2001</v>
      </c>
      <c r="D208" s="193" t="s">
        <v>2002</v>
      </c>
      <c r="E208" s="193" t="s">
        <v>545</v>
      </c>
      <c r="F208" s="196">
        <v>1</v>
      </c>
      <c r="G208" s="194">
        <v>95.590047136637295</v>
      </c>
      <c r="H208" s="195">
        <v>95.590047136637295</v>
      </c>
      <c r="I208" s="193" t="s">
        <v>1911</v>
      </c>
    </row>
    <row r="209" spans="1:9" x14ac:dyDescent="0.25">
      <c r="A209" s="193" t="s">
        <v>220</v>
      </c>
      <c r="B209" s="193" t="s">
        <v>7448</v>
      </c>
      <c r="C209" s="193" t="s">
        <v>2003</v>
      </c>
      <c r="D209" s="193" t="s">
        <v>2004</v>
      </c>
      <c r="E209" s="193" t="s">
        <v>545</v>
      </c>
      <c r="F209" s="196">
        <v>5</v>
      </c>
      <c r="G209" s="194">
        <v>163.73729882871604</v>
      </c>
      <c r="H209" s="195">
        <v>818.68649414358015</v>
      </c>
      <c r="I209" s="193" t="s">
        <v>1911</v>
      </c>
    </row>
    <row r="210" spans="1:9" x14ac:dyDescent="0.25">
      <c r="A210" s="193" t="s">
        <v>220</v>
      </c>
      <c r="B210" s="193" t="s">
        <v>7448</v>
      </c>
      <c r="C210" s="193" t="s">
        <v>2005</v>
      </c>
      <c r="D210" s="193" t="s">
        <v>2006</v>
      </c>
      <c r="E210" s="193" t="s">
        <v>545</v>
      </c>
      <c r="F210" s="196">
        <v>4</v>
      </c>
      <c r="G210" s="194">
        <v>213.446854510154</v>
      </c>
      <c r="H210" s="195">
        <v>853.78741804061599</v>
      </c>
      <c r="I210" s="193" t="s">
        <v>1911</v>
      </c>
    </row>
    <row r="211" spans="1:9" x14ac:dyDescent="0.25">
      <c r="A211" s="193" t="s">
        <v>220</v>
      </c>
      <c r="B211" s="193" t="s">
        <v>7448</v>
      </c>
      <c r="C211" s="193" t="s">
        <v>2005</v>
      </c>
      <c r="D211" s="193" t="s">
        <v>2006</v>
      </c>
      <c r="E211" s="193" t="s">
        <v>545</v>
      </c>
      <c r="F211" s="196">
        <v>4</v>
      </c>
      <c r="G211" s="194">
        <v>213.446854510154</v>
      </c>
      <c r="H211" s="195">
        <v>853.78741804061599</v>
      </c>
      <c r="I211" s="193" t="s">
        <v>1911</v>
      </c>
    </row>
    <row r="212" spans="1:9" x14ac:dyDescent="0.25">
      <c r="A212" s="193" t="s">
        <v>220</v>
      </c>
      <c r="B212" s="193" t="s">
        <v>7448</v>
      </c>
      <c r="C212" s="193" t="s">
        <v>2007</v>
      </c>
      <c r="D212" s="193" t="s">
        <v>2007</v>
      </c>
      <c r="E212" s="193" t="s">
        <v>545</v>
      </c>
      <c r="F212" s="196">
        <v>84</v>
      </c>
      <c r="G212" s="194">
        <v>120.1</v>
      </c>
      <c r="H212" s="195">
        <v>10088.4</v>
      </c>
      <c r="I212" s="193" t="s">
        <v>1911</v>
      </c>
    </row>
    <row r="213" spans="1:9" x14ac:dyDescent="0.25">
      <c r="A213" s="193" t="s">
        <v>220</v>
      </c>
      <c r="B213" s="193" t="s">
        <v>7448</v>
      </c>
      <c r="C213" s="193" t="s">
        <v>2008</v>
      </c>
      <c r="D213" s="193" t="s">
        <v>2008</v>
      </c>
      <c r="E213" s="193" t="s">
        <v>545</v>
      </c>
      <c r="F213" s="196">
        <v>71</v>
      </c>
      <c r="G213" s="194">
        <v>120.1</v>
      </c>
      <c r="H213" s="195">
        <v>8527.1</v>
      </c>
      <c r="I213" s="193" t="s">
        <v>1911</v>
      </c>
    </row>
    <row r="214" spans="1:9" x14ac:dyDescent="0.25">
      <c r="A214" s="193" t="s">
        <v>220</v>
      </c>
      <c r="B214" s="193" t="s">
        <v>7448</v>
      </c>
      <c r="C214" s="193" t="s">
        <v>2009</v>
      </c>
      <c r="D214" s="193" t="s">
        <v>2010</v>
      </c>
      <c r="E214" s="193" t="s">
        <v>545</v>
      </c>
      <c r="F214" s="196">
        <v>66</v>
      </c>
      <c r="G214" s="194">
        <v>51.993700479736873</v>
      </c>
      <c r="H214" s="195">
        <v>3431.5842316626336</v>
      </c>
      <c r="I214" s="193" t="s">
        <v>1911</v>
      </c>
    </row>
    <row r="215" spans="1:9" x14ac:dyDescent="0.25">
      <c r="A215" s="193" t="s">
        <v>220</v>
      </c>
      <c r="B215" s="193" t="s">
        <v>7448</v>
      </c>
      <c r="C215" s="193" t="s">
        <v>2011</v>
      </c>
      <c r="D215" s="193" t="s">
        <v>2012</v>
      </c>
      <c r="E215" s="193" t="s">
        <v>545</v>
      </c>
      <c r="F215" s="196">
        <v>105</v>
      </c>
      <c r="G215" s="194">
        <v>55.742218378629929</v>
      </c>
      <c r="H215" s="195">
        <v>5852.9329297561426</v>
      </c>
      <c r="I215" s="193" t="s">
        <v>1911</v>
      </c>
    </row>
    <row r="216" spans="1:9" x14ac:dyDescent="0.25">
      <c r="A216" s="193" t="s">
        <v>220</v>
      </c>
      <c r="B216" s="193" t="s">
        <v>7448</v>
      </c>
      <c r="C216" s="193" t="s">
        <v>2013</v>
      </c>
      <c r="D216" s="193" t="s">
        <v>2014</v>
      </c>
      <c r="E216" s="193" t="s">
        <v>545</v>
      </c>
      <c r="F216" s="196">
        <v>26</v>
      </c>
      <c r="G216" s="194">
        <v>77.485631905206517</v>
      </c>
      <c r="H216" s="195">
        <v>2014.6264295353694</v>
      </c>
      <c r="I216" s="193" t="s">
        <v>1911</v>
      </c>
    </row>
    <row r="217" spans="1:9" x14ac:dyDescent="0.25">
      <c r="A217" s="193" t="s">
        <v>220</v>
      </c>
      <c r="B217" s="193" t="s">
        <v>7448</v>
      </c>
      <c r="C217" s="193" t="s">
        <v>2015</v>
      </c>
      <c r="D217" s="193" t="s">
        <v>2016</v>
      </c>
      <c r="E217" s="193" t="s">
        <v>545</v>
      </c>
      <c r="F217" s="196">
        <v>55</v>
      </c>
      <c r="G217" s="194">
        <v>72.44792068894715</v>
      </c>
      <c r="H217" s="195">
        <v>3984.6356378920932</v>
      </c>
      <c r="I217" s="193" t="s">
        <v>1911</v>
      </c>
    </row>
    <row r="218" spans="1:9" x14ac:dyDescent="0.25">
      <c r="A218" s="193" t="s">
        <v>220</v>
      </c>
      <c r="B218" s="193" t="s">
        <v>7448</v>
      </c>
      <c r="C218" s="193" t="s">
        <v>2017</v>
      </c>
      <c r="D218" s="193" t="s">
        <v>2018</v>
      </c>
      <c r="E218" s="193" t="s">
        <v>545</v>
      </c>
      <c r="F218" s="196">
        <v>18</v>
      </c>
      <c r="G218" s="194">
        <v>71.763322608181909</v>
      </c>
      <c r="H218" s="195">
        <v>1291.7398069472742</v>
      </c>
      <c r="I218" s="193" t="s">
        <v>1911</v>
      </c>
    </row>
    <row r="219" spans="1:9" x14ac:dyDescent="0.25">
      <c r="A219" s="193" t="s">
        <v>220</v>
      </c>
      <c r="B219" s="193" t="s">
        <v>7448</v>
      </c>
      <c r="C219" s="193" t="s">
        <v>2019</v>
      </c>
      <c r="D219" s="193" t="s">
        <v>2020</v>
      </c>
      <c r="E219" s="193" t="s">
        <v>545</v>
      </c>
      <c r="F219" s="196">
        <v>30</v>
      </c>
      <c r="G219" s="194">
        <v>87.272045424390939</v>
      </c>
      <c r="H219" s="195">
        <v>2618.1613627317283</v>
      </c>
      <c r="I219" s="193" t="s">
        <v>1911</v>
      </c>
    </row>
    <row r="220" spans="1:9" x14ac:dyDescent="0.25">
      <c r="A220" s="193" t="s">
        <v>220</v>
      </c>
      <c r="B220" s="193" t="s">
        <v>7448</v>
      </c>
      <c r="C220" s="193" t="s">
        <v>1914</v>
      </c>
      <c r="D220" s="193" t="s">
        <v>1915</v>
      </c>
      <c r="E220" s="193" t="s">
        <v>545</v>
      </c>
      <c r="F220" s="196">
        <v>57</v>
      </c>
      <c r="G220" s="194">
        <v>93.656713247244056</v>
      </c>
      <c r="H220" s="195">
        <v>5338.4326550929109</v>
      </c>
      <c r="I220" s="193" t="s">
        <v>1911</v>
      </c>
    </row>
    <row r="221" spans="1:9" x14ac:dyDescent="0.25">
      <c r="A221" s="193" t="s">
        <v>220</v>
      </c>
      <c r="B221" s="193" t="s">
        <v>7448</v>
      </c>
      <c r="C221" s="193" t="s">
        <v>2021</v>
      </c>
      <c r="D221" s="193" t="s">
        <v>2022</v>
      </c>
      <c r="E221" s="193" t="s">
        <v>545</v>
      </c>
      <c r="F221" s="196">
        <v>16</v>
      </c>
      <c r="G221" s="194">
        <v>93.598755060087385</v>
      </c>
      <c r="H221" s="195">
        <v>1497.5800809613982</v>
      </c>
      <c r="I221" s="193" t="s">
        <v>1911</v>
      </c>
    </row>
    <row r="222" spans="1:9" x14ac:dyDescent="0.25">
      <c r="A222" s="193" t="s">
        <v>220</v>
      </c>
      <c r="B222" s="193" t="s">
        <v>7448</v>
      </c>
      <c r="C222" s="193" t="s">
        <v>1916</v>
      </c>
      <c r="D222" s="193" t="s">
        <v>1917</v>
      </c>
      <c r="E222" s="193" t="s">
        <v>545</v>
      </c>
      <c r="F222" s="196">
        <v>48</v>
      </c>
      <c r="G222" s="194">
        <v>126.58860491485309</v>
      </c>
      <c r="H222" s="195">
        <v>6076.2530359129487</v>
      </c>
      <c r="I222" s="193" t="s">
        <v>1911</v>
      </c>
    </row>
    <row r="223" spans="1:9" x14ac:dyDescent="0.25">
      <c r="A223" s="193" t="s">
        <v>220</v>
      </c>
      <c r="B223" s="193" t="s">
        <v>7448</v>
      </c>
      <c r="C223" s="193" t="s">
        <v>1920</v>
      </c>
      <c r="D223" s="193" t="s">
        <v>1921</v>
      </c>
      <c r="E223" s="193" t="s">
        <v>545</v>
      </c>
      <c r="F223" s="196">
        <v>16</v>
      </c>
      <c r="G223" s="194">
        <v>71.131130145126761</v>
      </c>
      <c r="H223" s="195">
        <v>1138.0980823220282</v>
      </c>
      <c r="I223" s="193" t="s">
        <v>1911</v>
      </c>
    </row>
    <row r="224" spans="1:9" x14ac:dyDescent="0.25">
      <c r="A224" s="193" t="s">
        <v>220</v>
      </c>
      <c r="B224" s="193" t="s">
        <v>7448</v>
      </c>
      <c r="C224" s="193" t="s">
        <v>1924</v>
      </c>
      <c r="D224" s="193" t="s">
        <v>1925</v>
      </c>
      <c r="E224" s="193" t="s">
        <v>545</v>
      </c>
      <c r="F224" s="196">
        <v>28</v>
      </c>
      <c r="G224" s="194">
        <v>78.019203624395047</v>
      </c>
      <c r="H224" s="195">
        <v>2184.5377014830615</v>
      </c>
      <c r="I224" s="193" t="s">
        <v>1911</v>
      </c>
    </row>
    <row r="225" spans="1:9" x14ac:dyDescent="0.25">
      <c r="A225" s="193" t="s">
        <v>220</v>
      </c>
      <c r="B225" s="193" t="s">
        <v>7448</v>
      </c>
      <c r="C225" s="193" t="s">
        <v>1928</v>
      </c>
      <c r="D225" s="193" t="s">
        <v>1929</v>
      </c>
      <c r="E225" s="193" t="s">
        <v>545</v>
      </c>
      <c r="F225" s="196">
        <v>69</v>
      </c>
      <c r="G225" s="194">
        <v>90.283204096625596</v>
      </c>
      <c r="H225" s="195">
        <v>6229.5410826671659</v>
      </c>
      <c r="I225" s="193" t="s">
        <v>1911</v>
      </c>
    </row>
    <row r="226" spans="1:9" x14ac:dyDescent="0.25">
      <c r="A226" s="193" t="s">
        <v>220</v>
      </c>
      <c r="B226" s="193" t="s">
        <v>7448</v>
      </c>
      <c r="C226" s="193" t="s">
        <v>2024</v>
      </c>
      <c r="D226" s="193" t="s">
        <v>2025</v>
      </c>
      <c r="E226" s="193" t="s">
        <v>545</v>
      </c>
      <c r="F226" s="196">
        <v>8</v>
      </c>
      <c r="G226" s="194">
        <v>128.63333770081582</v>
      </c>
      <c r="H226" s="195">
        <v>1029.0667016065265</v>
      </c>
      <c r="I226" s="193" t="s">
        <v>1911</v>
      </c>
    </row>
    <row r="227" spans="1:9" x14ac:dyDescent="0.25">
      <c r="A227" s="193" t="s">
        <v>220</v>
      </c>
      <c r="B227" s="193" t="s">
        <v>7448</v>
      </c>
      <c r="C227" s="193" t="s">
        <v>1936</v>
      </c>
      <c r="D227" s="193" t="s">
        <v>1937</v>
      </c>
      <c r="E227" s="193" t="s">
        <v>545</v>
      </c>
      <c r="F227" s="196">
        <v>70</v>
      </c>
      <c r="G227" s="194">
        <v>74.372386813765175</v>
      </c>
      <c r="H227" s="195">
        <v>5206.0670769635626</v>
      </c>
      <c r="I227" s="193" t="s">
        <v>1911</v>
      </c>
    </row>
    <row r="228" spans="1:9" x14ac:dyDescent="0.25">
      <c r="A228" s="193" t="s">
        <v>220</v>
      </c>
      <c r="B228" s="193" t="s">
        <v>7448</v>
      </c>
      <c r="C228" s="193" t="s">
        <v>2027</v>
      </c>
      <c r="D228" s="193" t="s">
        <v>2028</v>
      </c>
      <c r="E228" s="193" t="s">
        <v>545</v>
      </c>
      <c r="F228" s="196">
        <v>8</v>
      </c>
      <c r="G228" s="194">
        <v>91.295004755193148</v>
      </c>
      <c r="H228" s="195">
        <v>730.36003804154518</v>
      </c>
      <c r="I228" s="193" t="s">
        <v>1911</v>
      </c>
    </row>
    <row r="229" spans="1:9" x14ac:dyDescent="0.25">
      <c r="A229" s="193" t="s">
        <v>220</v>
      </c>
      <c r="B229" s="193" t="s">
        <v>7448</v>
      </c>
      <c r="C229" s="193" t="s">
        <v>1942</v>
      </c>
      <c r="D229" s="193" t="s">
        <v>1943</v>
      </c>
      <c r="E229" s="193" t="s">
        <v>545</v>
      </c>
      <c r="F229" s="196">
        <v>273</v>
      </c>
      <c r="G229" s="194">
        <v>113.67016699885335</v>
      </c>
      <c r="H229" s="195">
        <v>31031.955590686965</v>
      </c>
      <c r="I229" s="193" t="s">
        <v>1911</v>
      </c>
    </row>
    <row r="230" spans="1:9" x14ac:dyDescent="0.25">
      <c r="A230" s="193" t="s">
        <v>220</v>
      </c>
      <c r="B230" s="193" t="s">
        <v>7448</v>
      </c>
      <c r="C230" s="193" t="s">
        <v>1944</v>
      </c>
      <c r="D230" s="193" t="s">
        <v>1945</v>
      </c>
      <c r="E230" s="193" t="s">
        <v>545</v>
      </c>
      <c r="F230" s="196">
        <v>171</v>
      </c>
      <c r="G230" s="194">
        <v>140.21211837489781</v>
      </c>
      <c r="H230" s="195">
        <v>23976.272242107527</v>
      </c>
      <c r="I230" s="193" t="s">
        <v>1911</v>
      </c>
    </row>
    <row r="231" spans="1:9" x14ac:dyDescent="0.25">
      <c r="A231" s="193" t="s">
        <v>220</v>
      </c>
      <c r="B231" s="193" t="s">
        <v>7448</v>
      </c>
      <c r="C231" s="193" t="s">
        <v>1946</v>
      </c>
      <c r="D231" s="193" t="s">
        <v>1947</v>
      </c>
      <c r="E231" s="193" t="s">
        <v>545</v>
      </c>
      <c r="F231" s="196">
        <v>171</v>
      </c>
      <c r="G231" s="194">
        <v>140.21211837489781</v>
      </c>
      <c r="H231" s="195">
        <v>23976.272242107527</v>
      </c>
      <c r="I231" s="193" t="s">
        <v>1911</v>
      </c>
    </row>
    <row r="232" spans="1:9" x14ac:dyDescent="0.25">
      <c r="A232" s="193" t="s">
        <v>220</v>
      </c>
      <c r="B232" s="193" t="s">
        <v>7448</v>
      </c>
      <c r="C232" s="193" t="s">
        <v>1944</v>
      </c>
      <c r="D232" s="193" t="s">
        <v>1945</v>
      </c>
      <c r="E232" s="193" t="s">
        <v>545</v>
      </c>
      <c r="F232" s="196">
        <v>84</v>
      </c>
      <c r="G232" s="194">
        <v>140.21211837489781</v>
      </c>
      <c r="H232" s="195">
        <v>11777.817943491416</v>
      </c>
      <c r="I232" s="193" t="s">
        <v>1911</v>
      </c>
    </row>
    <row r="233" spans="1:9" x14ac:dyDescent="0.25">
      <c r="A233" s="193" t="s">
        <v>220</v>
      </c>
      <c r="B233" s="193" t="s">
        <v>7448</v>
      </c>
      <c r="C233" s="193" t="s">
        <v>2029</v>
      </c>
      <c r="D233" s="193" t="s">
        <v>2030</v>
      </c>
      <c r="E233" s="193" t="s">
        <v>545</v>
      </c>
      <c r="F233" s="196">
        <v>3</v>
      </c>
      <c r="G233" s="194">
        <v>71.56032382797784</v>
      </c>
      <c r="H233" s="195">
        <v>214.68097148393352</v>
      </c>
      <c r="I233" s="193" t="s">
        <v>1911</v>
      </c>
    </row>
    <row r="234" spans="1:9" x14ac:dyDescent="0.25">
      <c r="A234" s="193" t="s">
        <v>220</v>
      </c>
      <c r="B234" s="193" t="s">
        <v>7448</v>
      </c>
      <c r="C234" s="193" t="s">
        <v>2031</v>
      </c>
      <c r="D234" s="193" t="s">
        <v>2032</v>
      </c>
      <c r="E234" s="193" t="s">
        <v>545</v>
      </c>
      <c r="F234" s="196">
        <v>15</v>
      </c>
      <c r="G234" s="194">
        <v>66.960379734822865</v>
      </c>
      <c r="H234" s="195">
        <v>1004.405696022343</v>
      </c>
      <c r="I234" s="193" t="s">
        <v>1911</v>
      </c>
    </row>
    <row r="235" spans="1:9" x14ac:dyDescent="0.25">
      <c r="A235" s="193" t="s">
        <v>220</v>
      </c>
      <c r="B235" s="193" t="s">
        <v>7448</v>
      </c>
      <c r="C235" s="193" t="s">
        <v>2035</v>
      </c>
      <c r="D235" s="193" t="s">
        <v>2036</v>
      </c>
      <c r="E235" s="193" t="s">
        <v>545</v>
      </c>
      <c r="F235" s="196">
        <v>34</v>
      </c>
      <c r="G235" s="194">
        <v>66.134554018222957</v>
      </c>
      <c r="H235" s="195">
        <v>2248.5748366195803</v>
      </c>
      <c r="I235" s="193" t="s">
        <v>1911</v>
      </c>
    </row>
    <row r="236" spans="1:9" x14ac:dyDescent="0.25">
      <c r="A236" s="193" t="s">
        <v>220</v>
      </c>
      <c r="B236" s="193" t="s">
        <v>7448</v>
      </c>
      <c r="C236" s="193" t="s">
        <v>2037</v>
      </c>
      <c r="D236" s="193" t="s">
        <v>2038</v>
      </c>
      <c r="E236" s="193" t="s">
        <v>545</v>
      </c>
      <c r="F236" s="196">
        <v>19</v>
      </c>
      <c r="G236" s="194">
        <v>66.041264241858556</v>
      </c>
      <c r="H236" s="195">
        <v>1254.7840205953125</v>
      </c>
      <c r="I236" s="193" t="s">
        <v>1911</v>
      </c>
    </row>
    <row r="237" spans="1:9" x14ac:dyDescent="0.25">
      <c r="A237" s="193" t="s">
        <v>220</v>
      </c>
      <c r="B237" s="193" t="s">
        <v>7448</v>
      </c>
      <c r="C237" s="193" t="s">
        <v>1950</v>
      </c>
      <c r="D237" s="193" t="s">
        <v>1951</v>
      </c>
      <c r="E237" s="193" t="s">
        <v>545</v>
      </c>
      <c r="F237" s="196">
        <v>63</v>
      </c>
      <c r="G237" s="194">
        <v>77.632283680213334</v>
      </c>
      <c r="H237" s="195">
        <v>4890.8338718534396</v>
      </c>
      <c r="I237" s="193" t="s">
        <v>1911</v>
      </c>
    </row>
    <row r="238" spans="1:9" x14ac:dyDescent="0.25">
      <c r="A238" s="193" t="s">
        <v>220</v>
      </c>
      <c r="B238" s="193" t="s">
        <v>7448</v>
      </c>
      <c r="C238" s="193" t="s">
        <v>2040</v>
      </c>
      <c r="D238" s="193" t="s">
        <v>2041</v>
      </c>
      <c r="E238" s="193" t="s">
        <v>545</v>
      </c>
      <c r="F238" s="196">
        <v>24</v>
      </c>
      <c r="G238" s="194">
        <v>80.424642980995117</v>
      </c>
      <c r="H238" s="195">
        <v>1930.1914315438828</v>
      </c>
      <c r="I238" s="193" t="s">
        <v>1911</v>
      </c>
    </row>
    <row r="239" spans="1:9" x14ac:dyDescent="0.25">
      <c r="A239" s="193" t="s">
        <v>220</v>
      </c>
      <c r="B239" s="193" t="s">
        <v>7448</v>
      </c>
      <c r="C239" s="193" t="s">
        <v>2042</v>
      </c>
      <c r="D239" s="193" t="s">
        <v>2043</v>
      </c>
      <c r="E239" s="193" t="s">
        <v>545</v>
      </c>
      <c r="F239" s="196">
        <v>15</v>
      </c>
      <c r="G239" s="194">
        <v>76.30927148045626</v>
      </c>
      <c r="H239" s="195">
        <v>1144.6390722068438</v>
      </c>
      <c r="I239" s="193" t="s">
        <v>1911</v>
      </c>
    </row>
    <row r="240" spans="1:9" x14ac:dyDescent="0.25">
      <c r="A240" s="193" t="s">
        <v>220</v>
      </c>
      <c r="B240" s="193" t="s">
        <v>7448</v>
      </c>
      <c r="C240" s="193" t="s">
        <v>1954</v>
      </c>
      <c r="D240" s="193" t="s">
        <v>1955</v>
      </c>
      <c r="E240" s="193" t="s">
        <v>545</v>
      </c>
      <c r="F240" s="196">
        <v>2451</v>
      </c>
      <c r="G240" s="194">
        <v>89.948789856948025</v>
      </c>
      <c r="H240" s="195">
        <v>220464.4839393796</v>
      </c>
      <c r="I240" s="193" t="s">
        <v>1911</v>
      </c>
    </row>
    <row r="241" spans="1:9" x14ac:dyDescent="0.25">
      <c r="A241" s="193" t="s">
        <v>220</v>
      </c>
      <c r="B241" s="193" t="s">
        <v>7448</v>
      </c>
      <c r="C241" s="193" t="s">
        <v>2044</v>
      </c>
      <c r="D241" s="193" t="s">
        <v>2045</v>
      </c>
      <c r="E241" s="193" t="s">
        <v>545</v>
      </c>
      <c r="F241" s="196">
        <v>2304</v>
      </c>
      <c r="G241" s="194">
        <v>88.471908571918888</v>
      </c>
      <c r="H241" s="195">
        <v>203839.27734970112</v>
      </c>
      <c r="I241" s="193" t="s">
        <v>1911</v>
      </c>
    </row>
    <row r="242" spans="1:9" x14ac:dyDescent="0.25">
      <c r="A242" s="193" t="s">
        <v>220</v>
      </c>
      <c r="B242" s="193" t="s">
        <v>7448</v>
      </c>
      <c r="C242" s="193" t="s">
        <v>1952</v>
      </c>
      <c r="D242" s="193" t="s">
        <v>1953</v>
      </c>
      <c r="E242" s="193" t="s">
        <v>545</v>
      </c>
      <c r="F242" s="196">
        <v>95</v>
      </c>
      <c r="G242" s="194">
        <v>93.268688780299371</v>
      </c>
      <c r="H242" s="195">
        <v>8860.5254341284399</v>
      </c>
      <c r="I242" s="193" t="s">
        <v>1911</v>
      </c>
    </row>
    <row r="243" spans="1:9" x14ac:dyDescent="0.25">
      <c r="A243" s="193" t="s">
        <v>220</v>
      </c>
      <c r="B243" s="193" t="s">
        <v>7448</v>
      </c>
      <c r="C243" s="193" t="s">
        <v>2046</v>
      </c>
      <c r="D243" s="193" t="s">
        <v>2047</v>
      </c>
      <c r="E243" s="193" t="s">
        <v>545</v>
      </c>
      <c r="F243" s="196">
        <v>75</v>
      </c>
      <c r="G243" s="194">
        <v>87.096353812242896</v>
      </c>
      <c r="H243" s="195">
        <v>6532.2265359182175</v>
      </c>
      <c r="I243" s="193" t="s">
        <v>1911</v>
      </c>
    </row>
    <row r="244" spans="1:9" x14ac:dyDescent="0.25">
      <c r="A244" s="193" t="s">
        <v>220</v>
      </c>
      <c r="B244" s="193" t="s">
        <v>7448</v>
      </c>
      <c r="C244" s="193" t="s">
        <v>2049</v>
      </c>
      <c r="D244" s="193" t="s">
        <v>2050</v>
      </c>
      <c r="E244" s="193" t="s">
        <v>545</v>
      </c>
      <c r="F244" s="196">
        <v>29</v>
      </c>
      <c r="G244" s="194">
        <v>119.49145785962052</v>
      </c>
      <c r="H244" s="195">
        <v>3465.2522779289952</v>
      </c>
      <c r="I244" s="193" t="s">
        <v>1911</v>
      </c>
    </row>
    <row r="245" spans="1:9" x14ac:dyDescent="0.25">
      <c r="A245" s="193" t="s">
        <v>220</v>
      </c>
      <c r="B245" s="193" t="s">
        <v>7448</v>
      </c>
      <c r="C245" s="193" t="s">
        <v>7449</v>
      </c>
      <c r="D245" s="193" t="s">
        <v>1937</v>
      </c>
      <c r="E245" s="193" t="s">
        <v>545</v>
      </c>
      <c r="F245" s="196">
        <v>398</v>
      </c>
      <c r="G245" s="194">
        <v>76.767456189816343</v>
      </c>
      <c r="H245" s="195">
        <v>30553.447563546906</v>
      </c>
      <c r="I245" s="193" t="s">
        <v>1911</v>
      </c>
    </row>
    <row r="246" spans="1:9" x14ac:dyDescent="0.25">
      <c r="A246" s="193" t="s">
        <v>220</v>
      </c>
      <c r="B246" s="193" t="s">
        <v>7448</v>
      </c>
      <c r="C246" s="193" t="s">
        <v>2051</v>
      </c>
      <c r="D246" s="193" t="s">
        <v>2052</v>
      </c>
      <c r="E246" s="193" t="s">
        <v>545</v>
      </c>
      <c r="F246" s="196">
        <v>4</v>
      </c>
      <c r="G246" s="194">
        <v>71.050055820345733</v>
      </c>
      <c r="H246" s="195">
        <v>284.20022328138293</v>
      </c>
      <c r="I246" s="193" t="s">
        <v>1911</v>
      </c>
    </row>
    <row r="247" spans="1:9" x14ac:dyDescent="0.25">
      <c r="A247" s="193" t="s">
        <v>220</v>
      </c>
      <c r="B247" s="193" t="s">
        <v>7448</v>
      </c>
      <c r="C247" s="193" t="s">
        <v>2053</v>
      </c>
      <c r="D247" s="193" t="s">
        <v>2054</v>
      </c>
      <c r="E247" s="193" t="s">
        <v>545</v>
      </c>
      <c r="F247" s="196">
        <v>42</v>
      </c>
      <c r="G247" s="194">
        <v>107.19954031499478</v>
      </c>
      <c r="H247" s="195">
        <v>4502.3806932297803</v>
      </c>
      <c r="I247" s="193" t="s">
        <v>1911</v>
      </c>
    </row>
    <row r="248" spans="1:9" x14ac:dyDescent="0.25">
      <c r="A248" s="193" t="s">
        <v>220</v>
      </c>
      <c r="B248" s="193" t="s">
        <v>7448</v>
      </c>
      <c r="C248" s="193" t="s">
        <v>2055</v>
      </c>
      <c r="D248" s="193" t="s">
        <v>2056</v>
      </c>
      <c r="E248" s="193" t="s">
        <v>545</v>
      </c>
      <c r="F248" s="196">
        <v>191</v>
      </c>
      <c r="G248" s="194">
        <v>106.99129289231436</v>
      </c>
      <c r="H248" s="195">
        <v>20435.336942432044</v>
      </c>
      <c r="I248" s="193" t="s">
        <v>1911</v>
      </c>
    </row>
    <row r="249" spans="1:9" x14ac:dyDescent="0.25">
      <c r="A249" s="193" t="s">
        <v>220</v>
      </c>
      <c r="B249" s="193" t="s">
        <v>7448</v>
      </c>
      <c r="C249" s="193" t="s">
        <v>2057</v>
      </c>
      <c r="D249" s="193" t="s">
        <v>2058</v>
      </c>
      <c r="E249" s="193" t="s">
        <v>545</v>
      </c>
      <c r="F249" s="196">
        <v>36</v>
      </c>
      <c r="G249" s="194">
        <v>109.42274478352324</v>
      </c>
      <c r="H249" s="195">
        <v>3939.2188122068369</v>
      </c>
      <c r="I249" s="193" t="s">
        <v>1911</v>
      </c>
    </row>
    <row r="250" spans="1:9" x14ac:dyDescent="0.25">
      <c r="A250" s="193" t="s">
        <v>220</v>
      </c>
      <c r="B250" s="193" t="s">
        <v>7448</v>
      </c>
      <c r="C250" s="193" t="s">
        <v>2059</v>
      </c>
      <c r="D250" s="193" t="s">
        <v>2060</v>
      </c>
      <c r="E250" s="193" t="s">
        <v>545</v>
      </c>
      <c r="F250" s="196">
        <v>2</v>
      </c>
      <c r="G250" s="194">
        <v>109.42274478352324</v>
      </c>
      <c r="H250" s="195">
        <v>218.84548956704649</v>
      </c>
      <c r="I250" s="193" t="s">
        <v>1911</v>
      </c>
    </row>
    <row r="251" spans="1:9" x14ac:dyDescent="0.25">
      <c r="A251" s="193" t="s">
        <v>220</v>
      </c>
      <c r="B251" s="193" t="s">
        <v>7448</v>
      </c>
      <c r="C251" s="193" t="s">
        <v>2061</v>
      </c>
      <c r="D251" s="193" t="s">
        <v>2062</v>
      </c>
      <c r="E251" s="193" t="s">
        <v>545</v>
      </c>
      <c r="F251" s="196">
        <v>5</v>
      </c>
      <c r="G251" s="194">
        <v>104.83021388353322</v>
      </c>
      <c r="H251" s="195">
        <v>524.15106941766612</v>
      </c>
      <c r="I251" s="193" t="s">
        <v>1911</v>
      </c>
    </row>
    <row r="252" spans="1:9" x14ac:dyDescent="0.25">
      <c r="A252" s="193" t="s">
        <v>220</v>
      </c>
      <c r="B252" s="193" t="s">
        <v>2063</v>
      </c>
      <c r="C252" s="193" t="s">
        <v>2064</v>
      </c>
      <c r="D252" s="193" t="s">
        <v>1910</v>
      </c>
      <c r="E252" s="193" t="s">
        <v>545</v>
      </c>
      <c r="F252" s="196">
        <v>2917</v>
      </c>
      <c r="G252" s="194">
        <v>66.134554018222957</v>
      </c>
      <c r="H252" s="195">
        <v>192914.49407115637</v>
      </c>
      <c r="I252" s="193" t="s">
        <v>536</v>
      </c>
    </row>
    <row r="253" spans="1:9" x14ac:dyDescent="0.25">
      <c r="A253" s="193" t="s">
        <v>220</v>
      </c>
      <c r="B253" s="193" t="s">
        <v>2063</v>
      </c>
      <c r="C253" s="193" t="s">
        <v>2065</v>
      </c>
      <c r="D253" s="193" t="s">
        <v>1913</v>
      </c>
      <c r="E253" s="193" t="s">
        <v>545</v>
      </c>
      <c r="F253" s="196">
        <v>4</v>
      </c>
      <c r="G253" s="194">
        <v>75.595781157578614</v>
      </c>
      <c r="H253" s="195">
        <v>302.38312463031446</v>
      </c>
      <c r="I253" s="193" t="s">
        <v>536</v>
      </c>
    </row>
    <row r="254" spans="1:9" x14ac:dyDescent="0.25">
      <c r="A254" s="193" t="s">
        <v>220</v>
      </c>
      <c r="B254" s="193" t="s">
        <v>2063</v>
      </c>
      <c r="C254" s="193" t="s">
        <v>2067</v>
      </c>
      <c r="D254" s="193" t="s">
        <v>1917</v>
      </c>
      <c r="E254" s="193" t="s">
        <v>545</v>
      </c>
      <c r="F254" s="196">
        <v>36</v>
      </c>
      <c r="G254" s="194">
        <v>114.58126160421584</v>
      </c>
      <c r="H254" s="195">
        <v>4124.9254177517705</v>
      </c>
      <c r="I254" s="193" t="s">
        <v>536</v>
      </c>
    </row>
    <row r="255" spans="1:9" x14ac:dyDescent="0.25">
      <c r="A255" s="193" t="s">
        <v>220</v>
      </c>
      <c r="B255" s="193" t="s">
        <v>2063</v>
      </c>
      <c r="C255" s="193" t="s">
        <v>2068</v>
      </c>
      <c r="D255" s="193" t="s">
        <v>1919</v>
      </c>
      <c r="E255" s="193" t="s">
        <v>545</v>
      </c>
      <c r="F255" s="196">
        <v>451</v>
      </c>
      <c r="G255" s="194">
        <v>60.033893899112869</v>
      </c>
      <c r="H255" s="195">
        <v>27075.286148499905</v>
      </c>
      <c r="I255" s="193" t="s">
        <v>536</v>
      </c>
    </row>
    <row r="256" spans="1:9" x14ac:dyDescent="0.25">
      <c r="A256" s="193" t="s">
        <v>220</v>
      </c>
      <c r="B256" s="193" t="s">
        <v>2063</v>
      </c>
      <c r="C256" s="193" t="s">
        <v>2070</v>
      </c>
      <c r="D256" s="193" t="s">
        <v>1923</v>
      </c>
      <c r="E256" s="193" t="s">
        <v>545</v>
      </c>
      <c r="F256" s="196">
        <v>420</v>
      </c>
      <c r="G256" s="194">
        <v>54.410420181950983</v>
      </c>
      <c r="H256" s="195">
        <v>22852.376476419413</v>
      </c>
      <c r="I256" s="193" t="s">
        <v>536</v>
      </c>
    </row>
    <row r="257" spans="1:9" x14ac:dyDescent="0.25">
      <c r="A257" s="193" t="s">
        <v>220</v>
      </c>
      <c r="B257" s="193" t="s">
        <v>2063</v>
      </c>
      <c r="C257" s="193" t="s">
        <v>2071</v>
      </c>
      <c r="D257" s="193" t="s">
        <v>1927</v>
      </c>
      <c r="E257" s="193" t="s">
        <v>545</v>
      </c>
      <c r="F257" s="196">
        <v>20</v>
      </c>
      <c r="G257" s="194">
        <v>77.485631905206517</v>
      </c>
      <c r="H257" s="195">
        <v>1549.7126381041303</v>
      </c>
      <c r="I257" s="193" t="s">
        <v>536</v>
      </c>
    </row>
    <row r="258" spans="1:9" x14ac:dyDescent="0.25">
      <c r="A258" s="193" t="s">
        <v>220</v>
      </c>
      <c r="B258" s="193" t="s">
        <v>2063</v>
      </c>
      <c r="C258" s="193" t="s">
        <v>2072</v>
      </c>
      <c r="D258" s="193" t="s">
        <v>1931</v>
      </c>
      <c r="E258" s="193" t="s">
        <v>545</v>
      </c>
      <c r="F258" s="196">
        <v>30</v>
      </c>
      <c r="G258" s="194">
        <v>80.823564648000257</v>
      </c>
      <c r="H258" s="195">
        <v>2424.7069394400078</v>
      </c>
      <c r="I258" s="193" t="s">
        <v>536</v>
      </c>
    </row>
    <row r="259" spans="1:9" x14ac:dyDescent="0.25">
      <c r="A259" s="193" t="s">
        <v>220</v>
      </c>
      <c r="B259" s="193" t="s">
        <v>2063</v>
      </c>
      <c r="C259" s="193" t="s">
        <v>2073</v>
      </c>
      <c r="D259" s="193" t="s">
        <v>1933</v>
      </c>
      <c r="E259" s="193" t="s">
        <v>545</v>
      </c>
      <c r="F259" s="196">
        <v>1914</v>
      </c>
      <c r="G259" s="194">
        <v>53.399175760128202</v>
      </c>
      <c r="H259" s="195">
        <v>102206.02240488539</v>
      </c>
      <c r="I259" s="193" t="s">
        <v>536</v>
      </c>
    </row>
    <row r="260" spans="1:9" x14ac:dyDescent="0.25">
      <c r="A260" s="193" t="s">
        <v>220</v>
      </c>
      <c r="B260" s="193" t="s">
        <v>2063</v>
      </c>
      <c r="C260" s="193" t="s">
        <v>2074</v>
      </c>
      <c r="D260" s="193" t="s">
        <v>1935</v>
      </c>
      <c r="E260" s="193" t="s">
        <v>545</v>
      </c>
      <c r="F260" s="196">
        <v>191</v>
      </c>
      <c r="G260" s="194">
        <v>57.605556537142398</v>
      </c>
      <c r="H260" s="195">
        <v>11002.661298594197</v>
      </c>
      <c r="I260" s="193" t="s">
        <v>536</v>
      </c>
    </row>
    <row r="261" spans="1:9" x14ac:dyDescent="0.25">
      <c r="A261" s="193" t="s">
        <v>220</v>
      </c>
      <c r="B261" s="193" t="s">
        <v>2063</v>
      </c>
      <c r="C261" s="193" t="s">
        <v>2075</v>
      </c>
      <c r="D261" s="193" t="s">
        <v>1937</v>
      </c>
      <c r="E261" s="193" t="s">
        <v>545</v>
      </c>
      <c r="F261" s="196">
        <v>1329</v>
      </c>
      <c r="G261" s="194">
        <v>68.015238052007305</v>
      </c>
      <c r="H261" s="195">
        <v>90392.251371117702</v>
      </c>
      <c r="I261" s="193" t="s">
        <v>536</v>
      </c>
    </row>
    <row r="262" spans="1:9" x14ac:dyDescent="0.25">
      <c r="A262" s="193" t="s">
        <v>220</v>
      </c>
      <c r="B262" s="193" t="s">
        <v>2063</v>
      </c>
      <c r="C262" s="193" t="s">
        <v>2076</v>
      </c>
      <c r="D262" s="193" t="s">
        <v>1939</v>
      </c>
      <c r="E262" s="193" t="s">
        <v>545</v>
      </c>
      <c r="F262" s="196">
        <v>84</v>
      </c>
      <c r="G262" s="194">
        <v>91.295004755193148</v>
      </c>
      <c r="H262" s="195">
        <v>7668.7803994362248</v>
      </c>
      <c r="I262" s="193" t="s">
        <v>536</v>
      </c>
    </row>
    <row r="263" spans="1:9" x14ac:dyDescent="0.25">
      <c r="A263" s="193" t="s">
        <v>220</v>
      </c>
      <c r="B263" s="193" t="s">
        <v>2063</v>
      </c>
      <c r="C263" s="193" t="s">
        <v>2077</v>
      </c>
      <c r="D263" s="193" t="s">
        <v>1941</v>
      </c>
      <c r="E263" s="193" t="s">
        <v>545</v>
      </c>
      <c r="F263" s="196">
        <v>970</v>
      </c>
      <c r="G263" s="194">
        <v>96.938008737320715</v>
      </c>
      <c r="H263" s="195">
        <v>94029.868475201089</v>
      </c>
      <c r="I263" s="193" t="s">
        <v>536</v>
      </c>
    </row>
    <row r="264" spans="1:9" x14ac:dyDescent="0.25">
      <c r="A264" s="193" t="s">
        <v>220</v>
      </c>
      <c r="B264" s="193" t="s">
        <v>2063</v>
      </c>
      <c r="C264" s="193" t="s">
        <v>2078</v>
      </c>
      <c r="D264" s="193" t="s">
        <v>1943</v>
      </c>
      <c r="E264" s="193" t="s">
        <v>545</v>
      </c>
      <c r="F264" s="196">
        <v>753</v>
      </c>
      <c r="G264" s="194">
        <v>102.65399824172911</v>
      </c>
      <c r="H264" s="195">
        <v>77298.460676022019</v>
      </c>
      <c r="I264" s="193" t="s">
        <v>536</v>
      </c>
    </row>
    <row r="265" spans="1:9" x14ac:dyDescent="0.25">
      <c r="A265" s="193" t="s">
        <v>220</v>
      </c>
      <c r="B265" s="193" t="s">
        <v>2063</v>
      </c>
      <c r="C265" s="193" t="s">
        <v>1944</v>
      </c>
      <c r="D265" s="193" t="s">
        <v>1945</v>
      </c>
      <c r="E265" s="193" t="s">
        <v>545</v>
      </c>
      <c r="F265" s="196">
        <v>395</v>
      </c>
      <c r="G265" s="194">
        <v>140.21211837489781</v>
      </c>
      <c r="H265" s="195">
        <v>55383.786758084636</v>
      </c>
      <c r="I265" s="193" t="s">
        <v>1911</v>
      </c>
    </row>
    <row r="266" spans="1:9" x14ac:dyDescent="0.25">
      <c r="A266" s="193" t="s">
        <v>220</v>
      </c>
      <c r="B266" s="193" t="s">
        <v>2063</v>
      </c>
      <c r="C266" s="193" t="s">
        <v>1946</v>
      </c>
      <c r="D266" s="193" t="s">
        <v>1947</v>
      </c>
      <c r="E266" s="193" t="s">
        <v>545</v>
      </c>
      <c r="F266" s="196">
        <v>120</v>
      </c>
      <c r="G266" s="194">
        <v>140.21211837489781</v>
      </c>
      <c r="H266" s="195">
        <v>16825.454204987738</v>
      </c>
      <c r="I266" s="193" t="s">
        <v>1911</v>
      </c>
    </row>
    <row r="267" spans="1:9" x14ac:dyDescent="0.25">
      <c r="A267" s="193" t="s">
        <v>220</v>
      </c>
      <c r="B267" s="193" t="s">
        <v>2063</v>
      </c>
      <c r="C267" s="193" t="s">
        <v>2080</v>
      </c>
      <c r="D267" s="193" t="s">
        <v>2081</v>
      </c>
      <c r="E267" s="193" t="s">
        <v>545</v>
      </c>
      <c r="F267" s="196">
        <v>78</v>
      </c>
      <c r="G267" s="194">
        <v>63.916314169503288</v>
      </c>
      <c r="H267" s="195">
        <v>4985.4725052212561</v>
      </c>
      <c r="I267" s="193" t="s">
        <v>536</v>
      </c>
    </row>
    <row r="268" spans="1:9" x14ac:dyDescent="0.25">
      <c r="A268" s="193" t="s">
        <v>220</v>
      </c>
      <c r="B268" s="193" t="s">
        <v>2063</v>
      </c>
      <c r="C268" s="193" t="s">
        <v>2082</v>
      </c>
      <c r="D268" s="193" t="s">
        <v>1951</v>
      </c>
      <c r="E268" s="193" t="s">
        <v>545</v>
      </c>
      <c r="F268" s="196">
        <v>6</v>
      </c>
      <c r="G268" s="194">
        <v>66.041264241858556</v>
      </c>
      <c r="H268" s="195">
        <v>396.24758545115134</v>
      </c>
      <c r="I268" s="193" t="s">
        <v>536</v>
      </c>
    </row>
    <row r="269" spans="1:9" x14ac:dyDescent="0.25">
      <c r="A269" s="193" t="s">
        <v>220</v>
      </c>
      <c r="B269" s="193" t="s">
        <v>2063</v>
      </c>
      <c r="C269" s="193" t="s">
        <v>2083</v>
      </c>
      <c r="D269" s="193" t="s">
        <v>2084</v>
      </c>
      <c r="E269" s="193" t="s">
        <v>545</v>
      </c>
      <c r="F269" s="196">
        <v>35</v>
      </c>
      <c r="G269" s="194">
        <v>76.691342354007034</v>
      </c>
      <c r="H269" s="195">
        <v>2684.1969823902464</v>
      </c>
      <c r="I269" s="193" t="s">
        <v>536</v>
      </c>
    </row>
    <row r="270" spans="1:9" x14ac:dyDescent="0.25">
      <c r="A270" s="193" t="s">
        <v>220</v>
      </c>
      <c r="B270" s="193" t="s">
        <v>2063</v>
      </c>
      <c r="C270" s="193" t="s">
        <v>2086</v>
      </c>
      <c r="D270" s="193" t="s">
        <v>1957</v>
      </c>
      <c r="E270" s="193" t="s">
        <v>545</v>
      </c>
      <c r="F270" s="196">
        <v>513</v>
      </c>
      <c r="G270" s="194">
        <v>101.10925669356116</v>
      </c>
      <c r="H270" s="195">
        <v>51869.048683796878</v>
      </c>
      <c r="I270" s="193" t="s">
        <v>536</v>
      </c>
    </row>
    <row r="271" spans="1:9" x14ac:dyDescent="0.25">
      <c r="A271" s="193" t="s">
        <v>220</v>
      </c>
      <c r="B271" s="193" t="s">
        <v>2063</v>
      </c>
      <c r="C271" s="193" t="s">
        <v>2087</v>
      </c>
      <c r="D271" s="193" t="s">
        <v>1959</v>
      </c>
      <c r="E271" s="193" t="s">
        <v>545</v>
      </c>
      <c r="F271" s="196">
        <v>564</v>
      </c>
      <c r="G271" s="194">
        <v>137.56191368150289</v>
      </c>
      <c r="H271" s="195">
        <v>77584.919316367625</v>
      </c>
      <c r="I271" s="193" t="s">
        <v>536</v>
      </c>
    </row>
    <row r="272" spans="1:9" x14ac:dyDescent="0.25">
      <c r="A272" s="193" t="s">
        <v>220</v>
      </c>
      <c r="B272" s="193" t="s">
        <v>2063</v>
      </c>
      <c r="C272" s="193" t="s">
        <v>2088</v>
      </c>
      <c r="D272" s="193" t="s">
        <v>1961</v>
      </c>
      <c r="E272" s="193" t="s">
        <v>545</v>
      </c>
      <c r="F272" s="196">
        <v>1125</v>
      </c>
      <c r="G272" s="194">
        <v>81.213788257329114</v>
      </c>
      <c r="H272" s="195">
        <v>91365.511789495256</v>
      </c>
      <c r="I272" s="193" t="s">
        <v>536</v>
      </c>
    </row>
    <row r="273" spans="1:9" x14ac:dyDescent="0.25">
      <c r="A273" s="193" t="s">
        <v>220</v>
      </c>
      <c r="B273" s="193" t="s">
        <v>2063</v>
      </c>
      <c r="C273" s="193" t="s">
        <v>821</v>
      </c>
      <c r="D273" s="193" t="s">
        <v>822</v>
      </c>
      <c r="E273" s="193" t="s">
        <v>545</v>
      </c>
      <c r="F273" s="196">
        <v>535</v>
      </c>
      <c r="G273" s="194">
        <v>89.94746759559122</v>
      </c>
      <c r="H273" s="195">
        <v>48121.895163641304</v>
      </c>
      <c r="I273" s="193" t="s">
        <v>536</v>
      </c>
    </row>
    <row r="274" spans="1:9" x14ac:dyDescent="0.25">
      <c r="A274" s="193" t="s">
        <v>220</v>
      </c>
      <c r="B274" s="193" t="s">
        <v>2063</v>
      </c>
      <c r="C274" s="193" t="s">
        <v>2090</v>
      </c>
      <c r="D274" s="193" t="s">
        <v>1967</v>
      </c>
      <c r="E274" s="193" t="s">
        <v>545</v>
      </c>
      <c r="F274" s="196">
        <v>104</v>
      </c>
      <c r="G274" s="194">
        <v>119.25267938760871</v>
      </c>
      <c r="H274" s="195">
        <v>12402.278656311306</v>
      </c>
      <c r="I274" s="193" t="s">
        <v>536</v>
      </c>
    </row>
    <row r="275" spans="1:9" x14ac:dyDescent="0.25">
      <c r="A275" s="193" t="s">
        <v>220</v>
      </c>
      <c r="B275" s="193" t="s">
        <v>2063</v>
      </c>
      <c r="C275" s="193" t="s">
        <v>2092</v>
      </c>
      <c r="D275" s="193" t="s">
        <v>1971</v>
      </c>
      <c r="E275" s="193" t="s">
        <v>545</v>
      </c>
      <c r="F275" s="196">
        <v>1090</v>
      </c>
      <c r="G275" s="194">
        <v>114.83228081032046</v>
      </c>
      <c r="H275" s="195">
        <v>125167.1860832493</v>
      </c>
      <c r="I275" s="193" t="s">
        <v>536</v>
      </c>
    </row>
    <row r="276" spans="1:9" x14ac:dyDescent="0.25">
      <c r="A276" s="193" t="s">
        <v>220</v>
      </c>
      <c r="B276" s="193" t="s">
        <v>2063</v>
      </c>
      <c r="C276" s="193" t="s">
        <v>2093</v>
      </c>
      <c r="D276" s="193" t="s">
        <v>1973</v>
      </c>
      <c r="E276" s="193" t="s">
        <v>545</v>
      </c>
      <c r="F276" s="196">
        <v>176</v>
      </c>
      <c r="G276" s="194">
        <v>129.11692918865256</v>
      </c>
      <c r="H276" s="195">
        <v>22724.579537202851</v>
      </c>
      <c r="I276" s="193" t="s">
        <v>536</v>
      </c>
    </row>
    <row r="277" spans="1:9" x14ac:dyDescent="0.25">
      <c r="A277" s="193" t="s">
        <v>220</v>
      </c>
      <c r="B277" s="193" t="s">
        <v>2063</v>
      </c>
      <c r="C277" s="193" t="s">
        <v>2094</v>
      </c>
      <c r="D277" s="193" t="s">
        <v>1975</v>
      </c>
      <c r="E277" s="193" t="s">
        <v>545</v>
      </c>
      <c r="F277" s="196">
        <v>287</v>
      </c>
      <c r="G277" s="194">
        <v>148.47895189180289</v>
      </c>
      <c r="H277" s="195">
        <v>42613.459192947434</v>
      </c>
      <c r="I277" s="193" t="s">
        <v>536</v>
      </c>
    </row>
    <row r="278" spans="1:9" x14ac:dyDescent="0.25">
      <c r="A278" s="193" t="s">
        <v>220</v>
      </c>
      <c r="B278" s="193" t="s">
        <v>2063</v>
      </c>
      <c r="C278" s="193" t="s">
        <v>2095</v>
      </c>
      <c r="D278" s="193" t="s">
        <v>1977</v>
      </c>
      <c r="E278" s="193" t="s">
        <v>545</v>
      </c>
      <c r="F278" s="196">
        <v>30</v>
      </c>
      <c r="G278" s="194">
        <v>264.0754348043202</v>
      </c>
      <c r="H278" s="195">
        <v>7922.263044129606</v>
      </c>
      <c r="I278" s="193" t="s">
        <v>536</v>
      </c>
    </row>
    <row r="279" spans="1:9" x14ac:dyDescent="0.25">
      <c r="A279" s="193" t="s">
        <v>220</v>
      </c>
      <c r="B279" s="193" t="s">
        <v>2063</v>
      </c>
      <c r="C279" s="193" t="s">
        <v>2096</v>
      </c>
      <c r="D279" s="193" t="s">
        <v>1979</v>
      </c>
      <c r="E279" s="193" t="s">
        <v>545</v>
      </c>
      <c r="F279" s="196">
        <v>1174</v>
      </c>
      <c r="G279" s="194">
        <v>157.86791085795375</v>
      </c>
      <c r="H279" s="195">
        <v>185336.92734723771</v>
      </c>
      <c r="I279" s="193" t="s">
        <v>536</v>
      </c>
    </row>
    <row r="280" spans="1:9" x14ac:dyDescent="0.25">
      <c r="A280" s="193" t="s">
        <v>220</v>
      </c>
      <c r="B280" s="193" t="s">
        <v>2063</v>
      </c>
      <c r="C280" s="193" t="s">
        <v>2097</v>
      </c>
      <c r="D280" s="193" t="s">
        <v>1981</v>
      </c>
      <c r="E280" s="193" t="s">
        <v>545</v>
      </c>
      <c r="F280" s="196">
        <v>21</v>
      </c>
      <c r="G280" s="194">
        <v>184.86021851776422</v>
      </c>
      <c r="H280" s="195">
        <v>3882.0645888730487</v>
      </c>
      <c r="I280" s="193" t="s">
        <v>536</v>
      </c>
    </row>
    <row r="281" spans="1:9" x14ac:dyDescent="0.25">
      <c r="A281" s="193" t="s">
        <v>220</v>
      </c>
      <c r="B281" s="193" t="s">
        <v>2063</v>
      </c>
      <c r="C281" s="193" t="s">
        <v>2098</v>
      </c>
      <c r="D281" s="193" t="s">
        <v>1985</v>
      </c>
      <c r="E281" s="193" t="s">
        <v>545</v>
      </c>
      <c r="F281" s="196">
        <v>105</v>
      </c>
      <c r="G281" s="194">
        <v>211.2142103114667</v>
      </c>
      <c r="H281" s="195">
        <v>22177.492082704004</v>
      </c>
      <c r="I281" s="193" t="s">
        <v>536</v>
      </c>
    </row>
    <row r="282" spans="1:9" x14ac:dyDescent="0.25">
      <c r="A282" s="193" t="s">
        <v>220</v>
      </c>
      <c r="B282" s="193" t="s">
        <v>2063</v>
      </c>
      <c r="C282" s="193" t="s">
        <v>7450</v>
      </c>
      <c r="D282" s="193" t="s">
        <v>7451</v>
      </c>
      <c r="E282" s="193" t="s">
        <v>545</v>
      </c>
      <c r="F282" s="196">
        <v>8</v>
      </c>
      <c r="G282" s="194">
        <v>204.74763125696805</v>
      </c>
      <c r="H282" s="195">
        <v>1637.9810500557444</v>
      </c>
      <c r="I282" s="193" t="s">
        <v>536</v>
      </c>
    </row>
    <row r="283" spans="1:9" x14ac:dyDescent="0.25">
      <c r="A283" s="193" t="s">
        <v>220</v>
      </c>
      <c r="B283" s="193" t="s">
        <v>2063</v>
      </c>
      <c r="C283" s="193" t="s">
        <v>2101</v>
      </c>
      <c r="D283" s="193" t="s">
        <v>2102</v>
      </c>
      <c r="E283" s="193" t="s">
        <v>545</v>
      </c>
      <c r="F283" s="196">
        <v>44</v>
      </c>
      <c r="G283" s="194">
        <v>95.71964480759506</v>
      </c>
      <c r="H283" s="195">
        <v>4211.6643715341825</v>
      </c>
      <c r="I283" s="193" t="s">
        <v>536</v>
      </c>
    </row>
    <row r="284" spans="1:9" x14ac:dyDescent="0.25">
      <c r="A284" s="193" t="s">
        <v>220</v>
      </c>
      <c r="B284" s="193" t="s">
        <v>2063</v>
      </c>
      <c r="C284" s="193" t="s">
        <v>1986</v>
      </c>
      <c r="D284" s="193" t="s">
        <v>1987</v>
      </c>
      <c r="E284" s="193" t="s">
        <v>545</v>
      </c>
      <c r="F284" s="196">
        <v>100</v>
      </c>
      <c r="G284" s="194">
        <v>97.468596265010717</v>
      </c>
      <c r="H284" s="195">
        <v>9746.859626501071</v>
      </c>
      <c r="I284" s="193" t="s">
        <v>1911</v>
      </c>
    </row>
    <row r="285" spans="1:9" x14ac:dyDescent="0.25">
      <c r="A285" s="193" t="s">
        <v>220</v>
      </c>
      <c r="B285" s="193" t="s">
        <v>2063</v>
      </c>
      <c r="C285" s="193" t="s">
        <v>1989</v>
      </c>
      <c r="D285" s="193" t="s">
        <v>1989</v>
      </c>
      <c r="E285" s="193" t="s">
        <v>545</v>
      </c>
      <c r="F285" s="196">
        <v>128</v>
      </c>
      <c r="G285" s="194">
        <v>154.21426812681023</v>
      </c>
      <c r="H285" s="195">
        <v>19739.426320231709</v>
      </c>
      <c r="I285" s="193" t="s">
        <v>536</v>
      </c>
    </row>
    <row r="286" spans="1:9" x14ac:dyDescent="0.25">
      <c r="A286" s="193" t="s">
        <v>220</v>
      </c>
      <c r="B286" s="193" t="s">
        <v>2063</v>
      </c>
      <c r="C286" s="193" t="s">
        <v>2103</v>
      </c>
      <c r="D286" s="193" t="s">
        <v>2103</v>
      </c>
      <c r="E286" s="193" t="s">
        <v>545</v>
      </c>
      <c r="F286" s="196">
        <v>239</v>
      </c>
      <c r="G286" s="194">
        <v>200.0903661965707</v>
      </c>
      <c r="H286" s="195">
        <v>47821.597520980395</v>
      </c>
      <c r="I286" s="193" t="s">
        <v>536</v>
      </c>
    </row>
    <row r="287" spans="1:9" x14ac:dyDescent="0.25">
      <c r="A287" s="193" t="s">
        <v>220</v>
      </c>
      <c r="B287" s="193" t="s">
        <v>2063</v>
      </c>
      <c r="C287" s="193" t="s">
        <v>2104</v>
      </c>
      <c r="D287" s="193" t="s">
        <v>2105</v>
      </c>
      <c r="E287" s="193" t="s">
        <v>545</v>
      </c>
      <c r="F287" s="196">
        <v>64</v>
      </c>
      <c r="G287" s="194">
        <v>217.68217630957304</v>
      </c>
      <c r="H287" s="195">
        <v>13931.659283812674</v>
      </c>
      <c r="I287" s="193" t="s">
        <v>536</v>
      </c>
    </row>
    <row r="288" spans="1:9" x14ac:dyDescent="0.25">
      <c r="A288" s="193" t="s">
        <v>220</v>
      </c>
      <c r="B288" s="193" t="s">
        <v>2063</v>
      </c>
      <c r="C288" s="193" t="s">
        <v>2106</v>
      </c>
      <c r="D288" s="193" t="s">
        <v>2106</v>
      </c>
      <c r="E288" s="193" t="s">
        <v>545</v>
      </c>
      <c r="F288" s="196">
        <v>302</v>
      </c>
      <c r="G288" s="194">
        <v>159.59694941386559</v>
      </c>
      <c r="H288" s="195">
        <v>48198.278722987408</v>
      </c>
      <c r="I288" s="193" t="s">
        <v>536</v>
      </c>
    </row>
    <row r="289" spans="1:9" x14ac:dyDescent="0.25">
      <c r="A289" s="193" t="s">
        <v>220</v>
      </c>
      <c r="B289" s="193" t="s">
        <v>2063</v>
      </c>
      <c r="C289" s="193" t="s">
        <v>2107</v>
      </c>
      <c r="D289" s="193" t="s">
        <v>2107</v>
      </c>
      <c r="E289" s="193" t="s">
        <v>545</v>
      </c>
      <c r="F289" s="196">
        <v>197</v>
      </c>
      <c r="G289" s="194">
        <v>160.10382203415</v>
      </c>
      <c r="H289" s="195">
        <v>31540.452940727551</v>
      </c>
      <c r="I289" s="193" t="s">
        <v>536</v>
      </c>
    </row>
    <row r="290" spans="1:9" x14ac:dyDescent="0.25">
      <c r="A290" s="193" t="s">
        <v>220</v>
      </c>
      <c r="B290" s="193" t="s">
        <v>2063</v>
      </c>
      <c r="C290" s="193" t="s">
        <v>2108</v>
      </c>
      <c r="D290" s="193" t="s">
        <v>2109</v>
      </c>
      <c r="E290" s="193" t="s">
        <v>545</v>
      </c>
      <c r="F290" s="196">
        <v>72</v>
      </c>
      <c r="G290" s="194">
        <v>66.957540866666747</v>
      </c>
      <c r="H290" s="195">
        <v>4820.9429424000054</v>
      </c>
      <c r="I290" s="193" t="s">
        <v>536</v>
      </c>
    </row>
    <row r="291" spans="1:9" x14ac:dyDescent="0.25">
      <c r="A291" s="193" t="s">
        <v>220</v>
      </c>
      <c r="B291" s="193" t="s">
        <v>2063</v>
      </c>
      <c r="C291" s="193" t="s">
        <v>2110</v>
      </c>
      <c r="D291" s="193" t="s">
        <v>2111</v>
      </c>
      <c r="E291" s="193" t="s">
        <v>545</v>
      </c>
      <c r="F291" s="196">
        <v>51</v>
      </c>
      <c r="G291" s="194">
        <v>81.213788257329114</v>
      </c>
      <c r="H291" s="195">
        <v>4141.903201123785</v>
      </c>
      <c r="I291" s="193" t="s">
        <v>536</v>
      </c>
    </row>
    <row r="292" spans="1:9" x14ac:dyDescent="0.25">
      <c r="A292" s="193" t="s">
        <v>220</v>
      </c>
      <c r="B292" s="193" t="s">
        <v>2063</v>
      </c>
      <c r="C292" s="193" t="s">
        <v>2112</v>
      </c>
      <c r="D292" s="193" t="s">
        <v>2113</v>
      </c>
      <c r="E292" s="193" t="s">
        <v>545</v>
      </c>
      <c r="F292" s="196">
        <v>66</v>
      </c>
      <c r="G292" s="194">
        <v>107.9431281306293</v>
      </c>
      <c r="H292" s="195">
        <v>7124.246456621534</v>
      </c>
      <c r="I292" s="193" t="s">
        <v>536</v>
      </c>
    </row>
    <row r="293" spans="1:9" x14ac:dyDescent="0.25">
      <c r="A293" s="193" t="s">
        <v>220</v>
      </c>
      <c r="B293" s="193" t="s">
        <v>2063</v>
      </c>
      <c r="C293" s="193" t="s">
        <v>2114</v>
      </c>
      <c r="D293" s="193" t="s">
        <v>1991</v>
      </c>
      <c r="E293" s="193" t="s">
        <v>545</v>
      </c>
      <c r="F293" s="196">
        <v>219</v>
      </c>
      <c r="G293" s="194">
        <v>65.632972530598181</v>
      </c>
      <c r="H293" s="195">
        <v>14373.620984201001</v>
      </c>
      <c r="I293" s="193" t="s">
        <v>536</v>
      </c>
    </row>
    <row r="294" spans="1:9" x14ac:dyDescent="0.25">
      <c r="A294" s="193" t="s">
        <v>220</v>
      </c>
      <c r="B294" s="193" t="s">
        <v>2063</v>
      </c>
      <c r="C294" s="193" t="s">
        <v>2115</v>
      </c>
      <c r="D294" s="193" t="s">
        <v>1993</v>
      </c>
      <c r="E294" s="193" t="s">
        <v>545</v>
      </c>
      <c r="F294" s="196">
        <v>106</v>
      </c>
      <c r="G294" s="194">
        <v>65.632972530598181</v>
      </c>
      <c r="H294" s="195">
        <v>6957.0950882434072</v>
      </c>
      <c r="I294" s="193" t="s">
        <v>536</v>
      </c>
    </row>
    <row r="295" spans="1:9" x14ac:dyDescent="0.25">
      <c r="A295" s="193" t="s">
        <v>220</v>
      </c>
      <c r="B295" s="193" t="s">
        <v>2063</v>
      </c>
      <c r="C295" s="193" t="s">
        <v>2116</v>
      </c>
      <c r="D295" s="193" t="s">
        <v>1995</v>
      </c>
      <c r="E295" s="193" t="s">
        <v>545</v>
      </c>
      <c r="F295" s="196">
        <v>60</v>
      </c>
      <c r="G295" s="194">
        <v>65.466482910695433</v>
      </c>
      <c r="H295" s="195">
        <v>3927.9889746417261</v>
      </c>
      <c r="I295" s="193" t="s">
        <v>536</v>
      </c>
    </row>
    <row r="296" spans="1:9" x14ac:dyDescent="0.25">
      <c r="A296" s="193" t="s">
        <v>220</v>
      </c>
      <c r="B296" s="193" t="s">
        <v>2063</v>
      </c>
      <c r="C296" s="193" t="s">
        <v>2117</v>
      </c>
      <c r="D296" s="193" t="s">
        <v>2118</v>
      </c>
      <c r="E296" s="193" t="s">
        <v>545</v>
      </c>
      <c r="F296" s="196">
        <v>8</v>
      </c>
      <c r="G296" s="194">
        <v>59.791362391731219</v>
      </c>
      <c r="H296" s="195">
        <v>478.33089913384975</v>
      </c>
      <c r="I296" s="193" t="s">
        <v>536</v>
      </c>
    </row>
    <row r="297" spans="1:9" x14ac:dyDescent="0.25">
      <c r="A297" s="193" t="s">
        <v>220</v>
      </c>
      <c r="B297" s="193" t="s">
        <v>2063</v>
      </c>
      <c r="C297" s="193" t="s">
        <v>2119</v>
      </c>
      <c r="D297" s="193" t="s">
        <v>2120</v>
      </c>
      <c r="E297" s="193" t="s">
        <v>545</v>
      </c>
      <c r="F297" s="196">
        <v>76</v>
      </c>
      <c r="G297" s="194">
        <v>79.497368821645978</v>
      </c>
      <c r="H297" s="195">
        <v>6041.8000304450943</v>
      </c>
      <c r="I297" s="193" t="s">
        <v>536</v>
      </c>
    </row>
    <row r="298" spans="1:9" x14ac:dyDescent="0.25">
      <c r="A298" s="193" t="s">
        <v>220</v>
      </c>
      <c r="B298" s="193" t="s">
        <v>2063</v>
      </c>
      <c r="C298" s="193" t="s">
        <v>2121</v>
      </c>
      <c r="D298" s="193" t="s">
        <v>2122</v>
      </c>
      <c r="E298" s="193" t="s">
        <v>545</v>
      </c>
      <c r="F298" s="196">
        <v>68</v>
      </c>
      <c r="G298" s="194">
        <v>187.94070714060348</v>
      </c>
      <c r="H298" s="195">
        <v>12779.968085561037</v>
      </c>
      <c r="I298" s="193" t="s">
        <v>536</v>
      </c>
    </row>
    <row r="299" spans="1:9" x14ac:dyDescent="0.25">
      <c r="A299" s="193" t="s">
        <v>220</v>
      </c>
      <c r="B299" s="193" t="s">
        <v>2063</v>
      </c>
      <c r="C299" s="193" t="s">
        <v>1998</v>
      </c>
      <c r="D299" s="193" t="s">
        <v>1998</v>
      </c>
      <c r="E299" s="193" t="s">
        <v>545</v>
      </c>
      <c r="F299" s="196">
        <v>22</v>
      </c>
      <c r="G299" s="194">
        <v>66.041264241858556</v>
      </c>
      <c r="H299" s="195">
        <v>1452.9078133208882</v>
      </c>
      <c r="I299" s="193" t="s">
        <v>1911</v>
      </c>
    </row>
    <row r="300" spans="1:9" x14ac:dyDescent="0.25">
      <c r="A300" s="193" t="s">
        <v>220</v>
      </c>
      <c r="B300" s="193" t="s">
        <v>2063</v>
      </c>
      <c r="C300" s="193" t="s">
        <v>2123</v>
      </c>
      <c r="D300" s="193" t="s">
        <v>2002</v>
      </c>
      <c r="E300" s="193" t="s">
        <v>545</v>
      </c>
      <c r="F300" s="196">
        <v>19</v>
      </c>
      <c r="G300" s="194">
        <v>87.635225844616713</v>
      </c>
      <c r="H300" s="195">
        <v>1665.0692910477176</v>
      </c>
      <c r="I300" s="193" t="s">
        <v>536</v>
      </c>
    </row>
    <row r="301" spans="1:9" x14ac:dyDescent="0.25">
      <c r="A301" s="193" t="s">
        <v>220</v>
      </c>
      <c r="B301" s="193" t="s">
        <v>2063</v>
      </c>
      <c r="C301" s="193" t="s">
        <v>2003</v>
      </c>
      <c r="D301" s="193" t="s">
        <v>2004</v>
      </c>
      <c r="E301" s="193" t="s">
        <v>545</v>
      </c>
      <c r="F301" s="196">
        <v>27</v>
      </c>
      <c r="G301" s="194">
        <v>163.73729882871604</v>
      </c>
      <c r="H301" s="195">
        <v>4420.9070683753325</v>
      </c>
      <c r="I301" s="193" t="s">
        <v>1911</v>
      </c>
    </row>
    <row r="302" spans="1:9" x14ac:dyDescent="0.25">
      <c r="A302" s="193" t="s">
        <v>220</v>
      </c>
      <c r="B302" s="193" t="s">
        <v>2063</v>
      </c>
      <c r="C302" s="193" t="s">
        <v>2124</v>
      </c>
      <c r="D302" s="193" t="s">
        <v>2125</v>
      </c>
      <c r="E302" s="193" t="s">
        <v>545</v>
      </c>
      <c r="F302" s="196">
        <v>35</v>
      </c>
      <c r="G302" s="194">
        <v>102.65399824172911</v>
      </c>
      <c r="H302" s="195">
        <v>3592.8899384605188</v>
      </c>
      <c r="I302" s="193" t="s">
        <v>536</v>
      </c>
    </row>
    <row r="303" spans="1:9" x14ac:dyDescent="0.25">
      <c r="A303" s="193" t="s">
        <v>220</v>
      </c>
      <c r="B303" s="193" t="s">
        <v>2063</v>
      </c>
      <c r="C303" s="193" t="s">
        <v>2126</v>
      </c>
      <c r="D303" s="193" t="s">
        <v>2127</v>
      </c>
      <c r="E303" s="193" t="s">
        <v>545</v>
      </c>
      <c r="F303" s="196">
        <v>3</v>
      </c>
      <c r="G303" s="194">
        <v>65.258463097092985</v>
      </c>
      <c r="H303" s="195">
        <v>195.77538929127894</v>
      </c>
      <c r="I303" s="193" t="s">
        <v>536</v>
      </c>
    </row>
    <row r="304" spans="1:9" x14ac:dyDescent="0.25">
      <c r="A304" s="193" t="s">
        <v>220</v>
      </c>
      <c r="B304" s="193" t="s">
        <v>2063</v>
      </c>
      <c r="C304" s="193" t="s">
        <v>2009</v>
      </c>
      <c r="D304" s="193" t="s">
        <v>2010</v>
      </c>
      <c r="E304" s="193" t="s">
        <v>545</v>
      </c>
      <c r="F304" s="196">
        <v>200</v>
      </c>
      <c r="G304" s="194">
        <v>51.993700479736873</v>
      </c>
      <c r="H304" s="195">
        <v>10398.740095947374</v>
      </c>
      <c r="I304" s="193" t="s">
        <v>1911</v>
      </c>
    </row>
    <row r="305" spans="1:9" x14ac:dyDescent="0.25">
      <c r="A305" s="193" t="s">
        <v>220</v>
      </c>
      <c r="B305" s="193" t="s">
        <v>2063</v>
      </c>
      <c r="C305" s="193" t="s">
        <v>2128</v>
      </c>
      <c r="D305" s="193" t="s">
        <v>2012</v>
      </c>
      <c r="E305" s="193" t="s">
        <v>545</v>
      </c>
      <c r="F305" s="196">
        <v>54</v>
      </c>
      <c r="G305" s="194">
        <v>50.343119318817088</v>
      </c>
      <c r="H305" s="195">
        <v>2718.5284432161229</v>
      </c>
      <c r="I305" s="193" t="s">
        <v>536</v>
      </c>
    </row>
    <row r="306" spans="1:9" x14ac:dyDescent="0.25">
      <c r="A306" s="193" t="s">
        <v>220</v>
      </c>
      <c r="B306" s="193" t="s">
        <v>2063</v>
      </c>
      <c r="C306" s="193" t="s">
        <v>2129</v>
      </c>
      <c r="D306" s="193" t="s">
        <v>2016</v>
      </c>
      <c r="E306" s="193" t="s">
        <v>545</v>
      </c>
      <c r="F306" s="196">
        <v>96</v>
      </c>
      <c r="G306" s="194">
        <v>70.497159296462797</v>
      </c>
      <c r="H306" s="195">
        <v>6767.7272924604285</v>
      </c>
      <c r="I306" s="193" t="s">
        <v>536</v>
      </c>
    </row>
    <row r="307" spans="1:9" x14ac:dyDescent="0.25">
      <c r="A307" s="193" t="s">
        <v>220</v>
      </c>
      <c r="B307" s="193" t="s">
        <v>2063</v>
      </c>
      <c r="C307" s="193" t="s">
        <v>2130</v>
      </c>
      <c r="D307" s="193" t="s">
        <v>2131</v>
      </c>
      <c r="E307" s="193" t="s">
        <v>545</v>
      </c>
      <c r="F307" s="196">
        <v>87</v>
      </c>
      <c r="G307" s="194">
        <v>101.10925669356116</v>
      </c>
      <c r="H307" s="195">
        <v>8796.5053323398206</v>
      </c>
      <c r="I307" s="193" t="s">
        <v>536</v>
      </c>
    </row>
    <row r="308" spans="1:9" x14ac:dyDescent="0.25">
      <c r="A308" s="193" t="s">
        <v>220</v>
      </c>
      <c r="B308" s="193" t="s">
        <v>2063</v>
      </c>
      <c r="C308" s="193" t="s">
        <v>2064</v>
      </c>
      <c r="D308" s="193" t="s">
        <v>1910</v>
      </c>
      <c r="E308" s="193" t="s">
        <v>545</v>
      </c>
      <c r="F308" s="196">
        <v>572</v>
      </c>
      <c r="G308" s="194">
        <v>66.134554018222957</v>
      </c>
      <c r="H308" s="195">
        <v>37828.964898423532</v>
      </c>
      <c r="I308" s="193" t="s">
        <v>536</v>
      </c>
    </row>
    <row r="309" spans="1:9" x14ac:dyDescent="0.25">
      <c r="A309" s="193" t="s">
        <v>220</v>
      </c>
      <c r="B309" s="193" t="s">
        <v>2063</v>
      </c>
      <c r="C309" s="193" t="s">
        <v>2132</v>
      </c>
      <c r="D309" s="193" t="s">
        <v>2018</v>
      </c>
      <c r="E309" s="193" t="s">
        <v>545</v>
      </c>
      <c r="F309" s="196">
        <v>401</v>
      </c>
      <c r="G309" s="194">
        <v>70.497159296462797</v>
      </c>
      <c r="H309" s="195">
        <v>28269.360877881583</v>
      </c>
      <c r="I309" s="193" t="s">
        <v>536</v>
      </c>
    </row>
    <row r="310" spans="1:9" x14ac:dyDescent="0.25">
      <c r="A310" s="193" t="s">
        <v>220</v>
      </c>
      <c r="B310" s="193" t="s">
        <v>2063</v>
      </c>
      <c r="C310" s="193" t="s">
        <v>2133</v>
      </c>
      <c r="D310" s="193" t="s">
        <v>2020</v>
      </c>
      <c r="E310" s="193" t="s">
        <v>545</v>
      </c>
      <c r="F310" s="196">
        <v>361</v>
      </c>
      <c r="G310" s="194">
        <v>83.397366448101963</v>
      </c>
      <c r="H310" s="195">
        <v>30106.449287764808</v>
      </c>
      <c r="I310" s="193" t="s">
        <v>536</v>
      </c>
    </row>
    <row r="311" spans="1:9" x14ac:dyDescent="0.25">
      <c r="A311" s="193" t="s">
        <v>220</v>
      </c>
      <c r="B311" s="193" t="s">
        <v>2063</v>
      </c>
      <c r="C311" s="193" t="s">
        <v>2066</v>
      </c>
      <c r="D311" s="193" t="s">
        <v>1915</v>
      </c>
      <c r="E311" s="193" t="s">
        <v>545</v>
      </c>
      <c r="F311" s="196">
        <v>259</v>
      </c>
      <c r="G311" s="194">
        <v>85.110514865913331</v>
      </c>
      <c r="H311" s="195">
        <v>22043.623350271551</v>
      </c>
      <c r="I311" s="193" t="s">
        <v>536</v>
      </c>
    </row>
    <row r="312" spans="1:9" x14ac:dyDescent="0.25">
      <c r="A312" s="193" t="s">
        <v>220</v>
      </c>
      <c r="B312" s="193" t="s">
        <v>2063</v>
      </c>
      <c r="C312" s="193" t="s">
        <v>2068</v>
      </c>
      <c r="D312" s="193" t="s">
        <v>1919</v>
      </c>
      <c r="E312" s="193" t="s">
        <v>545</v>
      </c>
      <c r="F312" s="196">
        <v>1493</v>
      </c>
      <c r="G312" s="194">
        <v>60.033893899112869</v>
      </c>
      <c r="H312" s="195">
        <v>89630.603591375519</v>
      </c>
      <c r="I312" s="193" t="s">
        <v>536</v>
      </c>
    </row>
    <row r="313" spans="1:9" x14ac:dyDescent="0.25">
      <c r="A313" s="193" t="s">
        <v>220</v>
      </c>
      <c r="B313" s="193" t="s">
        <v>2063</v>
      </c>
      <c r="C313" s="193" t="s">
        <v>2070</v>
      </c>
      <c r="D313" s="193" t="s">
        <v>1923</v>
      </c>
      <c r="E313" s="193" t="s">
        <v>545</v>
      </c>
      <c r="F313" s="196">
        <v>386</v>
      </c>
      <c r="G313" s="194">
        <v>54.410420181950983</v>
      </c>
      <c r="H313" s="195">
        <v>21002.422190233079</v>
      </c>
      <c r="I313" s="193" t="s">
        <v>536</v>
      </c>
    </row>
    <row r="314" spans="1:9" x14ac:dyDescent="0.25">
      <c r="A314" s="193" t="s">
        <v>220</v>
      </c>
      <c r="B314" s="193" t="s">
        <v>2063</v>
      </c>
      <c r="C314" s="193" t="s">
        <v>2134</v>
      </c>
      <c r="D314" s="193" t="s">
        <v>1925</v>
      </c>
      <c r="E314" s="193" t="s">
        <v>545</v>
      </c>
      <c r="F314" s="196">
        <v>304</v>
      </c>
      <c r="G314" s="194">
        <v>70.04604098953196</v>
      </c>
      <c r="H314" s="195">
        <v>21293.996460817714</v>
      </c>
      <c r="I314" s="193" t="s">
        <v>536</v>
      </c>
    </row>
    <row r="315" spans="1:9" x14ac:dyDescent="0.25">
      <c r="A315" s="193" t="s">
        <v>220</v>
      </c>
      <c r="B315" s="193" t="s">
        <v>2063</v>
      </c>
      <c r="C315" s="193" t="s">
        <v>2071</v>
      </c>
      <c r="D315" s="193" t="s">
        <v>1927</v>
      </c>
      <c r="E315" s="193" t="s">
        <v>545</v>
      </c>
      <c r="F315" s="196">
        <v>192</v>
      </c>
      <c r="G315" s="194">
        <v>77.485631905206517</v>
      </c>
      <c r="H315" s="195">
        <v>14877.241325799652</v>
      </c>
      <c r="I315" s="193" t="s">
        <v>536</v>
      </c>
    </row>
    <row r="316" spans="1:9" x14ac:dyDescent="0.25">
      <c r="A316" s="193" t="s">
        <v>220</v>
      </c>
      <c r="B316" s="193" t="s">
        <v>2063</v>
      </c>
      <c r="C316" s="193" t="s">
        <v>2135</v>
      </c>
      <c r="D316" s="193" t="s">
        <v>1929</v>
      </c>
      <c r="E316" s="193" t="s">
        <v>545</v>
      </c>
      <c r="F316" s="196">
        <v>528</v>
      </c>
      <c r="G316" s="194">
        <v>81.580203449969304</v>
      </c>
      <c r="H316" s="195">
        <v>43074.347421583792</v>
      </c>
      <c r="I316" s="193" t="s">
        <v>536</v>
      </c>
    </row>
    <row r="317" spans="1:9" x14ac:dyDescent="0.25">
      <c r="A317" s="193" t="s">
        <v>220</v>
      </c>
      <c r="B317" s="193" t="s">
        <v>2063</v>
      </c>
      <c r="C317" s="193" t="s">
        <v>2072</v>
      </c>
      <c r="D317" s="193" t="s">
        <v>1931</v>
      </c>
      <c r="E317" s="193" t="s">
        <v>545</v>
      </c>
      <c r="F317" s="196">
        <v>34</v>
      </c>
      <c r="G317" s="194">
        <v>80.823564648000257</v>
      </c>
      <c r="H317" s="195">
        <v>2748.0011980320087</v>
      </c>
      <c r="I317" s="193" t="s">
        <v>536</v>
      </c>
    </row>
    <row r="318" spans="1:9" x14ac:dyDescent="0.25">
      <c r="A318" s="193" t="s">
        <v>220</v>
      </c>
      <c r="B318" s="193" t="s">
        <v>2063</v>
      </c>
      <c r="C318" s="193" t="s">
        <v>2136</v>
      </c>
      <c r="D318" s="193" t="s">
        <v>2025</v>
      </c>
      <c r="E318" s="193" t="s">
        <v>545</v>
      </c>
      <c r="F318" s="196">
        <v>810</v>
      </c>
      <c r="G318" s="194">
        <v>101.59952688767287</v>
      </c>
      <c r="H318" s="195">
        <v>82295.616779015021</v>
      </c>
      <c r="I318" s="193" t="s">
        <v>536</v>
      </c>
    </row>
    <row r="319" spans="1:9" x14ac:dyDescent="0.25">
      <c r="A319" s="193" t="s">
        <v>220</v>
      </c>
      <c r="B319" s="193" t="s">
        <v>2063</v>
      </c>
      <c r="C319" s="193" t="s">
        <v>2027</v>
      </c>
      <c r="D319" s="193" t="s">
        <v>2028</v>
      </c>
      <c r="E319" s="193" t="s">
        <v>545</v>
      </c>
      <c r="F319" s="196">
        <v>30</v>
      </c>
      <c r="G319" s="194">
        <v>91.295004755193148</v>
      </c>
      <c r="H319" s="195">
        <v>2738.8501426557946</v>
      </c>
      <c r="I319" s="193" t="s">
        <v>1911</v>
      </c>
    </row>
    <row r="320" spans="1:9" x14ac:dyDescent="0.25">
      <c r="A320" s="193" t="s">
        <v>220</v>
      </c>
      <c r="B320" s="193" t="s">
        <v>2063</v>
      </c>
      <c r="C320" s="193" t="s">
        <v>2076</v>
      </c>
      <c r="D320" s="193" t="s">
        <v>1939</v>
      </c>
      <c r="E320" s="193" t="s">
        <v>545</v>
      </c>
      <c r="F320" s="196">
        <v>99</v>
      </c>
      <c r="G320" s="194">
        <v>91.295004755193148</v>
      </c>
      <c r="H320" s="195">
        <v>9038.2054707641219</v>
      </c>
      <c r="I320" s="193" t="s">
        <v>536</v>
      </c>
    </row>
    <row r="321" spans="1:9" x14ac:dyDescent="0.25">
      <c r="A321" s="193" t="s">
        <v>220</v>
      </c>
      <c r="B321" s="193" t="s">
        <v>2063</v>
      </c>
      <c r="C321" s="193" t="s">
        <v>2078</v>
      </c>
      <c r="D321" s="193" t="s">
        <v>1943</v>
      </c>
      <c r="E321" s="193" t="s">
        <v>545</v>
      </c>
      <c r="F321" s="196">
        <v>6</v>
      </c>
      <c r="G321" s="194">
        <v>102.65399824172911</v>
      </c>
      <c r="H321" s="195">
        <v>615.92398945037462</v>
      </c>
      <c r="I321" s="193" t="s">
        <v>536</v>
      </c>
    </row>
    <row r="322" spans="1:9" x14ac:dyDescent="0.25">
      <c r="A322" s="193" t="s">
        <v>220</v>
      </c>
      <c r="B322" s="193" t="s">
        <v>2063</v>
      </c>
      <c r="C322" s="193" t="s">
        <v>1944</v>
      </c>
      <c r="D322" s="193" t="s">
        <v>1945</v>
      </c>
      <c r="E322" s="193" t="s">
        <v>545</v>
      </c>
      <c r="F322" s="196">
        <v>44</v>
      </c>
      <c r="G322" s="194">
        <v>140.21211837489781</v>
      </c>
      <c r="H322" s="195">
        <v>6169.3332084955036</v>
      </c>
      <c r="I322" s="193" t="s">
        <v>1911</v>
      </c>
    </row>
    <row r="323" spans="1:9" x14ac:dyDescent="0.25">
      <c r="A323" s="193" t="s">
        <v>220</v>
      </c>
      <c r="B323" s="193" t="s">
        <v>2063</v>
      </c>
      <c r="C323" s="193" t="s">
        <v>1946</v>
      </c>
      <c r="D323" s="193" t="s">
        <v>1947</v>
      </c>
      <c r="E323" s="193" t="s">
        <v>545</v>
      </c>
      <c r="F323" s="196">
        <v>90</v>
      </c>
      <c r="G323" s="194">
        <v>140.21211837489781</v>
      </c>
      <c r="H323" s="195">
        <v>12619.090653740803</v>
      </c>
      <c r="I323" s="193" t="s">
        <v>1911</v>
      </c>
    </row>
    <row r="324" spans="1:9" x14ac:dyDescent="0.25">
      <c r="A324" s="193" t="s">
        <v>220</v>
      </c>
      <c r="B324" s="193" t="s">
        <v>2063</v>
      </c>
      <c r="C324" s="193" t="s">
        <v>1944</v>
      </c>
      <c r="D324" s="193" t="s">
        <v>1945</v>
      </c>
      <c r="E324" s="193" t="s">
        <v>545</v>
      </c>
      <c r="F324" s="196">
        <v>395</v>
      </c>
      <c r="G324" s="194">
        <v>140.21211837489781</v>
      </c>
      <c r="H324" s="195">
        <v>55383.786758084636</v>
      </c>
      <c r="I324" s="193" t="s">
        <v>1911</v>
      </c>
    </row>
    <row r="325" spans="1:9" x14ac:dyDescent="0.25">
      <c r="A325" s="193" t="s">
        <v>220</v>
      </c>
      <c r="B325" s="193" t="s">
        <v>2063</v>
      </c>
      <c r="C325" s="193" t="s">
        <v>2137</v>
      </c>
      <c r="D325" s="193" t="s">
        <v>2030</v>
      </c>
      <c r="E325" s="193" t="s">
        <v>545</v>
      </c>
      <c r="F325" s="196">
        <v>21</v>
      </c>
      <c r="G325" s="194">
        <v>64.588885803460641</v>
      </c>
      <c r="H325" s="195">
        <v>1356.3666018726735</v>
      </c>
      <c r="I325" s="193" t="s">
        <v>536</v>
      </c>
    </row>
    <row r="326" spans="1:9" x14ac:dyDescent="0.25">
      <c r="A326" s="193" t="s">
        <v>220</v>
      </c>
      <c r="B326" s="193" t="s">
        <v>2063</v>
      </c>
      <c r="C326" s="193" t="s">
        <v>2138</v>
      </c>
      <c r="D326" s="193" t="s">
        <v>2032</v>
      </c>
      <c r="E326" s="193" t="s">
        <v>545</v>
      </c>
      <c r="F326" s="196">
        <v>31</v>
      </c>
      <c r="G326" s="194">
        <v>55.079538929631518</v>
      </c>
      <c r="H326" s="195">
        <v>1707.465706818577</v>
      </c>
      <c r="I326" s="193" t="s">
        <v>536</v>
      </c>
    </row>
    <row r="327" spans="1:9" x14ac:dyDescent="0.25">
      <c r="A327" s="193" t="s">
        <v>220</v>
      </c>
      <c r="B327" s="193" t="s">
        <v>2063</v>
      </c>
      <c r="C327" s="193" t="s">
        <v>2139</v>
      </c>
      <c r="D327" s="193" t="s">
        <v>2140</v>
      </c>
      <c r="E327" s="193" t="s">
        <v>545</v>
      </c>
      <c r="F327" s="196">
        <v>207</v>
      </c>
      <c r="G327" s="194">
        <v>59.791362391731219</v>
      </c>
      <c r="H327" s="195">
        <v>12376.812015088362</v>
      </c>
      <c r="I327" s="193" t="s">
        <v>536</v>
      </c>
    </row>
    <row r="328" spans="1:9" x14ac:dyDescent="0.25">
      <c r="A328" s="193" t="s">
        <v>220</v>
      </c>
      <c r="B328" s="193" t="s">
        <v>2063</v>
      </c>
      <c r="C328" s="193" t="s">
        <v>2141</v>
      </c>
      <c r="D328" s="193" t="s">
        <v>2038</v>
      </c>
      <c r="E328" s="193" t="s">
        <v>545</v>
      </c>
      <c r="F328" s="196">
        <v>72</v>
      </c>
      <c r="G328" s="194">
        <v>69.796520753384939</v>
      </c>
      <c r="H328" s="195">
        <v>5025.3494942437155</v>
      </c>
      <c r="I328" s="193" t="s">
        <v>536</v>
      </c>
    </row>
    <row r="329" spans="1:9" x14ac:dyDescent="0.25">
      <c r="A329" s="193" t="s">
        <v>220</v>
      </c>
      <c r="B329" s="193" t="s">
        <v>2063</v>
      </c>
      <c r="C329" s="193" t="s">
        <v>2141</v>
      </c>
      <c r="D329" s="193" t="s">
        <v>2038</v>
      </c>
      <c r="E329" s="193" t="s">
        <v>545</v>
      </c>
      <c r="F329" s="196">
        <v>8</v>
      </c>
      <c r="G329" s="194">
        <v>69.796520753384939</v>
      </c>
      <c r="H329" s="195">
        <v>558.37216602707952</v>
      </c>
      <c r="I329" s="193" t="s">
        <v>536</v>
      </c>
    </row>
    <row r="330" spans="1:9" x14ac:dyDescent="0.25">
      <c r="A330" s="193" t="s">
        <v>220</v>
      </c>
      <c r="B330" s="193" t="s">
        <v>2063</v>
      </c>
      <c r="C330" s="193" t="s">
        <v>2042</v>
      </c>
      <c r="D330" s="193" t="s">
        <v>2043</v>
      </c>
      <c r="E330" s="193" t="s">
        <v>545</v>
      </c>
      <c r="F330" s="196">
        <v>88</v>
      </c>
      <c r="G330" s="194">
        <v>76.30927148045626</v>
      </c>
      <c r="H330" s="195">
        <v>6715.2158902801511</v>
      </c>
      <c r="I330" s="193" t="s">
        <v>1911</v>
      </c>
    </row>
    <row r="331" spans="1:9" x14ac:dyDescent="0.25">
      <c r="A331" s="193" t="s">
        <v>220</v>
      </c>
      <c r="B331" s="193" t="s">
        <v>2063</v>
      </c>
      <c r="C331" s="193" t="s">
        <v>2142</v>
      </c>
      <c r="D331" s="193" t="s">
        <v>2143</v>
      </c>
      <c r="E331" s="193" t="s">
        <v>545</v>
      </c>
      <c r="F331" s="196">
        <v>1621</v>
      </c>
      <c r="G331" s="194">
        <v>76.30927148045626</v>
      </c>
      <c r="H331" s="195">
        <v>123697.32906981959</v>
      </c>
      <c r="I331" s="193" t="s">
        <v>536</v>
      </c>
    </row>
    <row r="332" spans="1:9" x14ac:dyDescent="0.25">
      <c r="A332" s="193" t="s">
        <v>220</v>
      </c>
      <c r="B332" s="193" t="s">
        <v>2063</v>
      </c>
      <c r="C332" s="193" t="s">
        <v>2044</v>
      </c>
      <c r="D332" s="193" t="s">
        <v>2045</v>
      </c>
      <c r="E332" s="193" t="s">
        <v>545</v>
      </c>
      <c r="F332" s="196">
        <v>583</v>
      </c>
      <c r="G332" s="194">
        <v>88.471908571918888</v>
      </c>
      <c r="H332" s="195">
        <v>51579.122697428713</v>
      </c>
      <c r="I332" s="193" t="s">
        <v>1911</v>
      </c>
    </row>
    <row r="333" spans="1:9" x14ac:dyDescent="0.25">
      <c r="A333" s="193" t="s">
        <v>220</v>
      </c>
      <c r="B333" s="193" t="s">
        <v>2063</v>
      </c>
      <c r="C333" s="193" t="s">
        <v>2144</v>
      </c>
      <c r="D333" s="193" t="s">
        <v>2145</v>
      </c>
      <c r="E333" s="193" t="s">
        <v>545</v>
      </c>
      <c r="F333" s="196">
        <v>31</v>
      </c>
      <c r="G333" s="194">
        <v>103.55478701637841</v>
      </c>
      <c r="H333" s="195">
        <v>3210.198397507731</v>
      </c>
      <c r="I333" s="193" t="s">
        <v>536</v>
      </c>
    </row>
    <row r="334" spans="1:9" x14ac:dyDescent="0.25">
      <c r="A334" s="193" t="s">
        <v>220</v>
      </c>
      <c r="B334" s="193" t="s">
        <v>2063</v>
      </c>
      <c r="C334" s="193" t="s">
        <v>2046</v>
      </c>
      <c r="D334" s="193" t="s">
        <v>2047</v>
      </c>
      <c r="E334" s="193" t="s">
        <v>545</v>
      </c>
      <c r="F334" s="196">
        <v>432</v>
      </c>
      <c r="G334" s="194">
        <v>87.096353812242896</v>
      </c>
      <c r="H334" s="195">
        <v>37625.624846888932</v>
      </c>
      <c r="I334" s="193" t="s">
        <v>1911</v>
      </c>
    </row>
    <row r="335" spans="1:9" x14ac:dyDescent="0.25">
      <c r="A335" s="193" t="s">
        <v>220</v>
      </c>
      <c r="B335" s="193" t="s">
        <v>2063</v>
      </c>
      <c r="C335" s="193" t="s">
        <v>2147</v>
      </c>
      <c r="D335" s="193" t="s">
        <v>2148</v>
      </c>
      <c r="E335" s="193" t="s">
        <v>545</v>
      </c>
      <c r="F335" s="196">
        <v>1023</v>
      </c>
      <c r="G335" s="194">
        <v>90.440563013426612</v>
      </c>
      <c r="H335" s="195">
        <v>92520.695962735423</v>
      </c>
      <c r="I335" s="193" t="s">
        <v>536</v>
      </c>
    </row>
    <row r="336" spans="1:9" x14ac:dyDescent="0.25">
      <c r="A336" s="193" t="s">
        <v>220</v>
      </c>
      <c r="B336" s="193" t="s">
        <v>2063</v>
      </c>
      <c r="C336" s="193" t="s">
        <v>2086</v>
      </c>
      <c r="D336" s="193" t="s">
        <v>1957</v>
      </c>
      <c r="E336" s="193" t="s">
        <v>545</v>
      </c>
      <c r="F336" s="196">
        <v>3</v>
      </c>
      <c r="G336" s="194">
        <v>101.10925669356116</v>
      </c>
      <c r="H336" s="195">
        <v>303.32777008068348</v>
      </c>
      <c r="I336" s="193" t="s">
        <v>536</v>
      </c>
    </row>
    <row r="337" spans="1:9" x14ac:dyDescent="0.25">
      <c r="A337" s="193" t="s">
        <v>220</v>
      </c>
      <c r="B337" s="193" t="s">
        <v>2063</v>
      </c>
      <c r="C337" s="193" t="s">
        <v>2049</v>
      </c>
      <c r="D337" s="193" t="s">
        <v>2050</v>
      </c>
      <c r="E337" s="193" t="s">
        <v>545</v>
      </c>
      <c r="F337" s="196">
        <v>26</v>
      </c>
      <c r="G337" s="194">
        <v>119.49145785962052</v>
      </c>
      <c r="H337" s="195">
        <v>3106.7779043501337</v>
      </c>
      <c r="I337" s="193" t="s">
        <v>1911</v>
      </c>
    </row>
    <row r="338" spans="1:9" x14ac:dyDescent="0.25">
      <c r="A338" s="193" t="s">
        <v>220</v>
      </c>
      <c r="B338" s="193" t="s">
        <v>2063</v>
      </c>
      <c r="C338" s="193" t="s">
        <v>2149</v>
      </c>
      <c r="D338" s="193" t="s">
        <v>2052</v>
      </c>
      <c r="E338" s="193" t="s">
        <v>545</v>
      </c>
      <c r="F338" s="196">
        <v>60</v>
      </c>
      <c r="G338" s="194">
        <v>61.78861078020703</v>
      </c>
      <c r="H338" s="195">
        <v>3707.3166468124218</v>
      </c>
      <c r="I338" s="193" t="s">
        <v>536</v>
      </c>
    </row>
    <row r="339" spans="1:9" x14ac:dyDescent="0.25">
      <c r="A339" s="193" t="s">
        <v>220</v>
      </c>
      <c r="B339" s="193" t="s">
        <v>2063</v>
      </c>
      <c r="C339" s="193" t="s">
        <v>2149</v>
      </c>
      <c r="D339" s="193" t="s">
        <v>2052</v>
      </c>
      <c r="E339" s="193" t="s">
        <v>545</v>
      </c>
      <c r="F339" s="196">
        <v>39</v>
      </c>
      <c r="G339" s="194">
        <v>61.78861078020703</v>
      </c>
      <c r="H339" s="195">
        <v>2409.755820428074</v>
      </c>
      <c r="I339" s="193" t="s">
        <v>536</v>
      </c>
    </row>
    <row r="340" spans="1:9" x14ac:dyDescent="0.25">
      <c r="A340" s="193" t="s">
        <v>220</v>
      </c>
      <c r="B340" s="193" t="s">
        <v>2063</v>
      </c>
      <c r="C340" s="193" t="s">
        <v>2150</v>
      </c>
      <c r="D340" s="193" t="s">
        <v>2054</v>
      </c>
      <c r="E340" s="193" t="s">
        <v>545</v>
      </c>
      <c r="F340" s="196">
        <v>106</v>
      </c>
      <c r="G340" s="194">
        <v>86.56512100181402</v>
      </c>
      <c r="H340" s="195">
        <v>9175.9028261922867</v>
      </c>
      <c r="I340" s="193" t="s">
        <v>536</v>
      </c>
    </row>
    <row r="341" spans="1:9" x14ac:dyDescent="0.25">
      <c r="A341" s="193" t="s">
        <v>220</v>
      </c>
      <c r="B341" s="193" t="s">
        <v>2063</v>
      </c>
      <c r="C341" s="193" t="s">
        <v>2150</v>
      </c>
      <c r="D341" s="193" t="s">
        <v>2054</v>
      </c>
      <c r="E341" s="193" t="s">
        <v>545</v>
      </c>
      <c r="F341" s="196">
        <v>114</v>
      </c>
      <c r="G341" s="194">
        <v>86.56512100181402</v>
      </c>
      <c r="H341" s="195">
        <v>9868.4237942067975</v>
      </c>
      <c r="I341" s="193" t="s">
        <v>536</v>
      </c>
    </row>
    <row r="342" spans="1:9" x14ac:dyDescent="0.25">
      <c r="A342" s="193" t="s">
        <v>220</v>
      </c>
      <c r="B342" s="193" t="s">
        <v>2063</v>
      </c>
      <c r="C342" s="193" t="s">
        <v>7452</v>
      </c>
      <c r="D342" s="193" t="s">
        <v>7453</v>
      </c>
      <c r="E342" s="193" t="s">
        <v>545</v>
      </c>
      <c r="F342" s="196">
        <v>101</v>
      </c>
      <c r="G342" s="194">
        <v>108.50455003875163</v>
      </c>
      <c r="H342" s="195">
        <v>10958.959553913915</v>
      </c>
      <c r="I342" s="193" t="s">
        <v>536</v>
      </c>
    </row>
    <row r="343" spans="1:9" x14ac:dyDescent="0.25">
      <c r="A343" s="193" t="s">
        <v>220</v>
      </c>
      <c r="B343" s="193" t="s">
        <v>2063</v>
      </c>
      <c r="C343" s="193" t="s">
        <v>7452</v>
      </c>
      <c r="D343" s="193" t="s">
        <v>7454</v>
      </c>
      <c r="E343" s="193" t="s">
        <v>545</v>
      </c>
      <c r="F343" s="196">
        <v>97</v>
      </c>
      <c r="G343" s="194">
        <v>108.50455003875163</v>
      </c>
      <c r="H343" s="195">
        <v>10524.941353758908</v>
      </c>
      <c r="I343" s="193" t="s">
        <v>536</v>
      </c>
    </row>
    <row r="344" spans="1:9" x14ac:dyDescent="0.25">
      <c r="A344" s="193" t="s">
        <v>220</v>
      </c>
      <c r="B344" s="193" t="s">
        <v>7455</v>
      </c>
      <c r="C344" s="193" t="s">
        <v>1909</v>
      </c>
      <c r="D344" s="193"/>
      <c r="E344" s="193" t="s">
        <v>545</v>
      </c>
      <c r="F344" s="196">
        <v>5</v>
      </c>
      <c r="G344" s="194">
        <v>72.685741473669125</v>
      </c>
      <c r="H344" s="195">
        <v>363.42870736834561</v>
      </c>
      <c r="I344" s="193" t="s">
        <v>1911</v>
      </c>
    </row>
    <row r="345" spans="1:9" x14ac:dyDescent="0.25">
      <c r="A345" s="193" t="s">
        <v>220</v>
      </c>
      <c r="B345" s="193" t="s">
        <v>7455</v>
      </c>
      <c r="C345" s="193" t="s">
        <v>1912</v>
      </c>
      <c r="D345" s="193"/>
      <c r="E345" s="193" t="s">
        <v>545</v>
      </c>
      <c r="F345" s="196">
        <v>26</v>
      </c>
      <c r="G345" s="194">
        <v>83.18852910446428</v>
      </c>
      <c r="H345" s="195">
        <v>2162.9017567160713</v>
      </c>
      <c r="I345" s="193" t="s">
        <v>1911</v>
      </c>
    </row>
    <row r="346" spans="1:9" x14ac:dyDescent="0.25">
      <c r="A346" s="193" t="s">
        <v>220</v>
      </c>
      <c r="B346" s="193" t="s">
        <v>7455</v>
      </c>
      <c r="C346" s="193" t="s">
        <v>1914</v>
      </c>
      <c r="D346" s="193"/>
      <c r="E346" s="193" t="s">
        <v>545</v>
      </c>
      <c r="F346" s="196">
        <v>1</v>
      </c>
      <c r="G346" s="194">
        <v>93.656713247244056</v>
      </c>
      <c r="H346" s="195">
        <v>93.656713247244056</v>
      </c>
      <c r="I346" s="193" t="s">
        <v>1911</v>
      </c>
    </row>
    <row r="347" spans="1:9" x14ac:dyDescent="0.25">
      <c r="A347" s="193" t="s">
        <v>220</v>
      </c>
      <c r="B347" s="193" t="s">
        <v>7455</v>
      </c>
      <c r="C347" s="193" t="s">
        <v>1916</v>
      </c>
      <c r="D347" s="193"/>
      <c r="E347" s="193" t="s">
        <v>545</v>
      </c>
      <c r="F347" s="196">
        <v>37</v>
      </c>
      <c r="G347" s="194">
        <v>126.58860491485309</v>
      </c>
      <c r="H347" s="195">
        <v>4683.7783818495645</v>
      </c>
      <c r="I347" s="193" t="s">
        <v>1911</v>
      </c>
    </row>
    <row r="348" spans="1:9" x14ac:dyDescent="0.25">
      <c r="A348" s="193" t="s">
        <v>220</v>
      </c>
      <c r="B348" s="193" t="s">
        <v>7455</v>
      </c>
      <c r="C348" s="193" t="s">
        <v>1928</v>
      </c>
      <c r="D348" s="193"/>
      <c r="E348" s="193" t="s">
        <v>545</v>
      </c>
      <c r="F348" s="196">
        <v>1</v>
      </c>
      <c r="G348" s="194">
        <v>90.283204096625596</v>
      </c>
      <c r="H348" s="195">
        <v>90.283204096625596</v>
      </c>
      <c r="I348" s="193" t="s">
        <v>1911</v>
      </c>
    </row>
    <row r="349" spans="1:9" x14ac:dyDescent="0.25">
      <c r="A349" s="193" t="s">
        <v>220</v>
      </c>
      <c r="B349" s="193" t="s">
        <v>7455</v>
      </c>
      <c r="C349" s="193" t="s">
        <v>1930</v>
      </c>
      <c r="D349" s="193"/>
      <c r="E349" s="193" t="s">
        <v>545</v>
      </c>
      <c r="F349" s="196">
        <v>2</v>
      </c>
      <c r="G349" s="194">
        <v>88.779786180633138</v>
      </c>
      <c r="H349" s="195">
        <v>177.55957236126628</v>
      </c>
      <c r="I349" s="193" t="s">
        <v>1911</v>
      </c>
    </row>
    <row r="350" spans="1:9" x14ac:dyDescent="0.25">
      <c r="A350" s="193" t="s">
        <v>220</v>
      </c>
      <c r="B350" s="193" t="s">
        <v>7455</v>
      </c>
      <c r="C350" s="193" t="s">
        <v>1932</v>
      </c>
      <c r="D350" s="193" t="s">
        <v>1933</v>
      </c>
      <c r="E350" s="193" t="s">
        <v>545</v>
      </c>
      <c r="F350" s="196">
        <v>2</v>
      </c>
      <c r="G350" s="194">
        <v>58.941708747640163</v>
      </c>
      <c r="H350" s="195">
        <v>117.88341749528033</v>
      </c>
      <c r="I350" s="193" t="s">
        <v>1911</v>
      </c>
    </row>
    <row r="351" spans="1:9" x14ac:dyDescent="0.25">
      <c r="A351" s="193" t="s">
        <v>220</v>
      </c>
      <c r="B351" s="193" t="s">
        <v>7455</v>
      </c>
      <c r="C351" s="193" t="s">
        <v>1936</v>
      </c>
      <c r="D351" s="193" t="s">
        <v>1937</v>
      </c>
      <c r="E351" s="193" t="s">
        <v>545</v>
      </c>
      <c r="F351" s="196">
        <v>1</v>
      </c>
      <c r="G351" s="194">
        <v>74.372386813765175</v>
      </c>
      <c r="H351" s="195">
        <v>74.372386813765175</v>
      </c>
      <c r="I351" s="193" t="s">
        <v>1911</v>
      </c>
    </row>
    <row r="352" spans="1:9" x14ac:dyDescent="0.25">
      <c r="A352" s="193" t="s">
        <v>220</v>
      </c>
      <c r="B352" s="193" t="s">
        <v>7455</v>
      </c>
      <c r="C352" s="193" t="s">
        <v>1940</v>
      </c>
      <c r="D352" s="193"/>
      <c r="E352" s="193" t="s">
        <v>545</v>
      </c>
      <c r="F352" s="196">
        <v>1</v>
      </c>
      <c r="G352" s="194">
        <v>110.47926111267003</v>
      </c>
      <c r="H352" s="195">
        <v>110.47926111267003</v>
      </c>
      <c r="I352" s="193" t="s">
        <v>1911</v>
      </c>
    </row>
    <row r="353" spans="1:9" x14ac:dyDescent="0.25">
      <c r="A353" s="193" t="s">
        <v>220</v>
      </c>
      <c r="B353" s="193" t="s">
        <v>7455</v>
      </c>
      <c r="C353" s="193" t="s">
        <v>1942</v>
      </c>
      <c r="D353" s="193"/>
      <c r="E353" s="193" t="s">
        <v>545</v>
      </c>
      <c r="F353" s="196">
        <v>3</v>
      </c>
      <c r="G353" s="194">
        <v>113.67016699885335</v>
      </c>
      <c r="H353" s="195">
        <v>341.01050099656004</v>
      </c>
      <c r="I353" s="193" t="s">
        <v>1911</v>
      </c>
    </row>
    <row r="354" spans="1:9" x14ac:dyDescent="0.25">
      <c r="A354" s="193" t="s">
        <v>220</v>
      </c>
      <c r="B354" s="193" t="s">
        <v>7455</v>
      </c>
      <c r="C354" s="193" t="s">
        <v>1944</v>
      </c>
      <c r="D354" s="193" t="s">
        <v>7456</v>
      </c>
      <c r="E354" s="193" t="s">
        <v>545</v>
      </c>
      <c r="F354" s="196">
        <v>12</v>
      </c>
      <c r="G354" s="194">
        <v>140.21211837489781</v>
      </c>
      <c r="H354" s="195">
        <v>1682.5454204987736</v>
      </c>
      <c r="I354" s="193" t="s">
        <v>1911</v>
      </c>
    </row>
    <row r="355" spans="1:9" x14ac:dyDescent="0.25">
      <c r="A355" s="193" t="s">
        <v>220</v>
      </c>
      <c r="B355" s="193" t="s">
        <v>7455</v>
      </c>
      <c r="C355" s="193" t="s">
        <v>1946</v>
      </c>
      <c r="D355" s="193" t="s">
        <v>7456</v>
      </c>
      <c r="E355" s="193" t="s">
        <v>545</v>
      </c>
      <c r="F355" s="196">
        <v>9</v>
      </c>
      <c r="G355" s="194">
        <v>140.21211837489781</v>
      </c>
      <c r="H355" s="195">
        <v>1261.9090653740802</v>
      </c>
      <c r="I355" s="193" t="s">
        <v>1911</v>
      </c>
    </row>
    <row r="356" spans="1:9" x14ac:dyDescent="0.25">
      <c r="A356" s="193" t="s">
        <v>220</v>
      </c>
      <c r="B356" s="193" t="s">
        <v>7455</v>
      </c>
      <c r="C356" s="193" t="s">
        <v>1948</v>
      </c>
      <c r="D356" s="193"/>
      <c r="E356" s="193" t="s">
        <v>545</v>
      </c>
      <c r="F356" s="196">
        <v>2</v>
      </c>
      <c r="G356" s="194">
        <v>67.465775052437905</v>
      </c>
      <c r="H356" s="195">
        <v>134.93155010487581</v>
      </c>
      <c r="I356" s="193" t="s">
        <v>1911</v>
      </c>
    </row>
    <row r="357" spans="1:9" x14ac:dyDescent="0.25">
      <c r="A357" s="193" t="s">
        <v>220</v>
      </c>
      <c r="B357" s="193" t="s">
        <v>7455</v>
      </c>
      <c r="C357" s="193" t="s">
        <v>1952</v>
      </c>
      <c r="D357" s="193"/>
      <c r="E357" s="193" t="s">
        <v>545</v>
      </c>
      <c r="F357" s="196">
        <v>26</v>
      </c>
      <c r="G357" s="194">
        <v>93.268688780299371</v>
      </c>
      <c r="H357" s="195">
        <v>2424.9859082877838</v>
      </c>
      <c r="I357" s="193" t="s">
        <v>1911</v>
      </c>
    </row>
    <row r="358" spans="1:9" x14ac:dyDescent="0.25">
      <c r="A358" s="193" t="s">
        <v>220</v>
      </c>
      <c r="B358" s="193" t="s">
        <v>7455</v>
      </c>
      <c r="C358" s="193" t="s">
        <v>1956</v>
      </c>
      <c r="D358" s="193"/>
      <c r="E358" s="193" t="s">
        <v>545</v>
      </c>
      <c r="F358" s="196">
        <v>1</v>
      </c>
      <c r="G358" s="194">
        <v>108.2019760944152</v>
      </c>
      <c r="H358" s="195">
        <v>108.2019760944152</v>
      </c>
      <c r="I358" s="193" t="s">
        <v>1911</v>
      </c>
    </row>
    <row r="359" spans="1:9" x14ac:dyDescent="0.25">
      <c r="A359" s="193" t="s">
        <v>220</v>
      </c>
      <c r="B359" s="193" t="s">
        <v>7455</v>
      </c>
      <c r="C359" s="193" t="s">
        <v>1958</v>
      </c>
      <c r="D359" s="193"/>
      <c r="E359" s="193" t="s">
        <v>545</v>
      </c>
      <c r="F359" s="196">
        <v>37</v>
      </c>
      <c r="G359" s="194">
        <v>155.10987712536115</v>
      </c>
      <c r="H359" s="195">
        <v>5739.0654536383627</v>
      </c>
      <c r="I359" s="193" t="s">
        <v>1911</v>
      </c>
    </row>
    <row r="360" spans="1:9" x14ac:dyDescent="0.25">
      <c r="A360" s="193" t="s">
        <v>220</v>
      </c>
      <c r="B360" s="193" t="s">
        <v>7455</v>
      </c>
      <c r="C360" s="193" t="s">
        <v>1962</v>
      </c>
      <c r="D360" s="193"/>
      <c r="E360" s="193" t="s">
        <v>545</v>
      </c>
      <c r="F360" s="196">
        <v>6</v>
      </c>
      <c r="G360" s="194">
        <v>97.468596265010717</v>
      </c>
      <c r="H360" s="195">
        <v>584.8115775900643</v>
      </c>
      <c r="I360" s="193" t="s">
        <v>1911</v>
      </c>
    </row>
    <row r="361" spans="1:9" x14ac:dyDescent="0.25">
      <c r="A361" s="193" t="s">
        <v>220</v>
      </c>
      <c r="B361" s="193" t="s">
        <v>7455</v>
      </c>
      <c r="C361" s="193" t="s">
        <v>1972</v>
      </c>
      <c r="D361" s="193"/>
      <c r="E361" s="193" t="s">
        <v>545</v>
      </c>
      <c r="F361" s="196">
        <v>4</v>
      </c>
      <c r="G361" s="194">
        <v>142.31511267353068</v>
      </c>
      <c r="H361" s="195">
        <v>569.26045069412271</v>
      </c>
      <c r="I361" s="193" t="s">
        <v>1911</v>
      </c>
    </row>
    <row r="362" spans="1:9" x14ac:dyDescent="0.25">
      <c r="A362" s="193" t="s">
        <v>220</v>
      </c>
      <c r="B362" s="193" t="s">
        <v>7455</v>
      </c>
      <c r="C362" s="193" t="s">
        <v>1976</v>
      </c>
      <c r="D362" s="193"/>
      <c r="E362" s="193" t="s">
        <v>545</v>
      </c>
      <c r="F362" s="196">
        <v>30</v>
      </c>
      <c r="G362" s="194">
        <v>286.52274291242145</v>
      </c>
      <c r="H362" s="195">
        <v>8595.6822873726433</v>
      </c>
      <c r="I362" s="193" t="s">
        <v>1911</v>
      </c>
    </row>
    <row r="363" spans="1:9" x14ac:dyDescent="0.25">
      <c r="A363" s="193" t="s">
        <v>220</v>
      </c>
      <c r="B363" s="193" t="s">
        <v>7455</v>
      </c>
      <c r="C363" s="193" t="s">
        <v>1978</v>
      </c>
      <c r="D363" s="193"/>
      <c r="E363" s="193" t="s">
        <v>545</v>
      </c>
      <c r="F363" s="196">
        <v>2</v>
      </c>
      <c r="G363" s="194">
        <v>171.04008668587466</v>
      </c>
      <c r="H363" s="195">
        <v>342.08017337174931</v>
      </c>
      <c r="I363" s="193" t="s">
        <v>1911</v>
      </c>
    </row>
    <row r="364" spans="1:9" x14ac:dyDescent="0.25">
      <c r="A364" s="193" t="s">
        <v>220</v>
      </c>
      <c r="B364" s="193" t="s">
        <v>7455</v>
      </c>
      <c r="C364" s="193" t="s">
        <v>1980</v>
      </c>
      <c r="D364" s="193"/>
      <c r="E364" s="193" t="s">
        <v>545</v>
      </c>
      <c r="F364" s="196">
        <v>6</v>
      </c>
      <c r="G364" s="194">
        <v>199.77070244438534</v>
      </c>
      <c r="H364" s="195">
        <v>1198.6242146663121</v>
      </c>
      <c r="I364" s="193" t="s">
        <v>1911</v>
      </c>
    </row>
    <row r="365" spans="1:9" x14ac:dyDescent="0.25">
      <c r="A365" s="193" t="s">
        <v>220</v>
      </c>
      <c r="B365" s="193" t="s">
        <v>7455</v>
      </c>
      <c r="C365" s="193" t="s">
        <v>1982</v>
      </c>
      <c r="D365" s="193" t="s">
        <v>7457</v>
      </c>
      <c r="E365" s="193" t="s">
        <v>545</v>
      </c>
      <c r="F365" s="196">
        <v>10</v>
      </c>
      <c r="G365" s="194">
        <v>219.08</v>
      </c>
      <c r="H365" s="195">
        <v>2190.8000000000002</v>
      </c>
      <c r="I365" s="193" t="s">
        <v>1911</v>
      </c>
    </row>
    <row r="366" spans="1:9" x14ac:dyDescent="0.25">
      <c r="A366" s="193" t="s">
        <v>220</v>
      </c>
      <c r="B366" s="193" t="s">
        <v>7455</v>
      </c>
      <c r="C366" s="193" t="s">
        <v>1984</v>
      </c>
      <c r="D366" s="193"/>
      <c r="E366" s="193" t="s">
        <v>545</v>
      </c>
      <c r="F366" s="196">
        <v>1</v>
      </c>
      <c r="G366" s="194">
        <v>228.32164206822068</v>
      </c>
      <c r="H366" s="195">
        <v>228.32164206822068</v>
      </c>
      <c r="I366" s="193" t="s">
        <v>1911</v>
      </c>
    </row>
    <row r="367" spans="1:9" x14ac:dyDescent="0.25">
      <c r="A367" s="193" t="s">
        <v>220</v>
      </c>
      <c r="B367" s="193" t="s">
        <v>7455</v>
      </c>
      <c r="C367" s="193" t="s">
        <v>7458</v>
      </c>
      <c r="D367" s="193" t="s">
        <v>7459</v>
      </c>
      <c r="E367" s="193" t="s">
        <v>545</v>
      </c>
      <c r="F367" s="196">
        <v>1</v>
      </c>
      <c r="G367" s="194">
        <v>249.51965932105838</v>
      </c>
      <c r="H367" s="195">
        <v>249.51965932105838</v>
      </c>
      <c r="I367" s="193" t="s">
        <v>1911</v>
      </c>
    </row>
    <row r="368" spans="1:9" x14ac:dyDescent="0.25">
      <c r="A368" s="193" t="s">
        <v>220</v>
      </c>
      <c r="B368" s="193" t="s">
        <v>7455</v>
      </c>
      <c r="C368" s="193" t="s">
        <v>1986</v>
      </c>
      <c r="D368" s="193" t="s">
        <v>822</v>
      </c>
      <c r="E368" s="193" t="s">
        <v>545</v>
      </c>
      <c r="F368" s="196">
        <v>1</v>
      </c>
      <c r="G368" s="194">
        <v>89.94746759559122</v>
      </c>
      <c r="H368" s="195">
        <v>89.94746759559122</v>
      </c>
      <c r="I368" s="193" t="s">
        <v>1911</v>
      </c>
    </row>
    <row r="369" spans="1:9" x14ac:dyDescent="0.25">
      <c r="A369" s="193" t="s">
        <v>220</v>
      </c>
      <c r="B369" s="193" t="s">
        <v>7455</v>
      </c>
      <c r="C369" s="193" t="s">
        <v>2017</v>
      </c>
      <c r="D369" s="193"/>
      <c r="E369" s="193" t="s">
        <v>545</v>
      </c>
      <c r="F369" s="196">
        <v>5</v>
      </c>
      <c r="G369" s="194">
        <v>71.763322608181909</v>
      </c>
      <c r="H369" s="195">
        <v>358.81661304090954</v>
      </c>
      <c r="I369" s="193" t="s">
        <v>1911</v>
      </c>
    </row>
    <row r="370" spans="1:9" x14ac:dyDescent="0.25">
      <c r="A370" s="193" t="s">
        <v>220</v>
      </c>
      <c r="B370" s="193" t="s">
        <v>7455</v>
      </c>
      <c r="C370" s="193" t="s">
        <v>2019</v>
      </c>
      <c r="D370" s="193"/>
      <c r="E370" s="193" t="s">
        <v>545</v>
      </c>
      <c r="F370" s="196">
        <v>1</v>
      </c>
      <c r="G370" s="194">
        <v>87.272045424390939</v>
      </c>
      <c r="H370" s="195">
        <v>87.272045424390939</v>
      </c>
      <c r="I370" s="193" t="s">
        <v>1911</v>
      </c>
    </row>
    <row r="371" spans="1:9" x14ac:dyDescent="0.25">
      <c r="A371" s="193" t="s">
        <v>220</v>
      </c>
      <c r="B371" s="193" t="s">
        <v>7455</v>
      </c>
      <c r="C371" s="193" t="s">
        <v>2021</v>
      </c>
      <c r="D371" s="193"/>
      <c r="E371" s="193" t="s">
        <v>545</v>
      </c>
      <c r="F371" s="196">
        <v>1</v>
      </c>
      <c r="G371" s="194">
        <v>93.598755060087385</v>
      </c>
      <c r="H371" s="195">
        <v>93.598755060087385</v>
      </c>
      <c r="I371" s="193" t="s">
        <v>1911</v>
      </c>
    </row>
    <row r="372" spans="1:9" x14ac:dyDescent="0.25">
      <c r="A372" s="193" t="s">
        <v>220</v>
      </c>
      <c r="B372" s="193" t="s">
        <v>7455</v>
      </c>
      <c r="C372" s="193" t="s">
        <v>1924</v>
      </c>
      <c r="D372" s="193"/>
      <c r="E372" s="193" t="s">
        <v>545</v>
      </c>
      <c r="F372" s="196">
        <v>4</v>
      </c>
      <c r="G372" s="194">
        <v>78.019203624395047</v>
      </c>
      <c r="H372" s="195">
        <v>312.07681449758019</v>
      </c>
      <c r="I372" s="193" t="s">
        <v>1911</v>
      </c>
    </row>
    <row r="373" spans="1:9" x14ac:dyDescent="0.25">
      <c r="A373" s="193" t="s">
        <v>220</v>
      </c>
      <c r="B373" s="193" t="s">
        <v>7455</v>
      </c>
      <c r="C373" s="193" t="s">
        <v>2024</v>
      </c>
      <c r="D373" s="193"/>
      <c r="E373" s="193" t="s">
        <v>545</v>
      </c>
      <c r="F373" s="196">
        <v>19</v>
      </c>
      <c r="G373" s="194">
        <v>128.63333770081582</v>
      </c>
      <c r="H373" s="195">
        <v>2444.0334163155003</v>
      </c>
      <c r="I373" s="193" t="s">
        <v>1911</v>
      </c>
    </row>
    <row r="374" spans="1:9" x14ac:dyDescent="0.25">
      <c r="A374" s="193" t="s">
        <v>220</v>
      </c>
      <c r="B374" s="193" t="s">
        <v>7455</v>
      </c>
      <c r="C374" s="193" t="s">
        <v>7460</v>
      </c>
      <c r="D374" s="193" t="s">
        <v>1945</v>
      </c>
      <c r="E374" s="193" t="s">
        <v>545</v>
      </c>
      <c r="F374" s="196">
        <v>2</v>
      </c>
      <c r="G374" s="194">
        <v>123.16192308170614</v>
      </c>
      <c r="H374" s="195">
        <v>246.32384616341227</v>
      </c>
      <c r="I374" s="193" t="s">
        <v>1911</v>
      </c>
    </row>
    <row r="375" spans="1:9" x14ac:dyDescent="0.25">
      <c r="A375" s="193" t="s">
        <v>220</v>
      </c>
      <c r="B375" s="193" t="s">
        <v>7455</v>
      </c>
      <c r="C375" s="193" t="s">
        <v>7461</v>
      </c>
      <c r="D375" s="193" t="s">
        <v>1947</v>
      </c>
      <c r="E375" s="193" t="s">
        <v>545</v>
      </c>
      <c r="F375" s="196">
        <v>5</v>
      </c>
      <c r="G375" s="194">
        <v>119.2106003741703</v>
      </c>
      <c r="H375" s="195">
        <v>596.05300187085152</v>
      </c>
      <c r="I375" s="193" t="s">
        <v>1911</v>
      </c>
    </row>
    <row r="376" spans="1:9" x14ac:dyDescent="0.25">
      <c r="A376" s="193" t="s">
        <v>587</v>
      </c>
      <c r="B376" s="193" t="s">
        <v>591</v>
      </c>
      <c r="C376" s="193" t="s">
        <v>600</v>
      </c>
      <c r="D376" s="193" t="s">
        <v>601</v>
      </c>
      <c r="E376" s="193" t="s">
        <v>535</v>
      </c>
      <c r="F376" s="196">
        <v>639.9</v>
      </c>
      <c r="G376" s="194">
        <v>7.0506304738667156</v>
      </c>
      <c r="H376" s="195">
        <v>4511.698440227311</v>
      </c>
      <c r="I376" s="193" t="s">
        <v>536</v>
      </c>
    </row>
    <row r="377" spans="1:9" x14ac:dyDescent="0.25">
      <c r="A377" s="193" t="s">
        <v>587</v>
      </c>
      <c r="B377" s="193" t="s">
        <v>591</v>
      </c>
      <c r="C377" s="193" t="s">
        <v>602</v>
      </c>
      <c r="D377" s="193" t="s">
        <v>603</v>
      </c>
      <c r="E377" s="193" t="s">
        <v>535</v>
      </c>
      <c r="F377" s="196">
        <v>84.215999999999994</v>
      </c>
      <c r="G377" s="194">
        <v>7.6650690415057579</v>
      </c>
      <c r="H377" s="195">
        <v>645.52145439944888</v>
      </c>
      <c r="I377" s="193" t="s">
        <v>536</v>
      </c>
    </row>
    <row r="378" spans="1:9" x14ac:dyDescent="0.25">
      <c r="A378" s="193" t="s">
        <v>587</v>
      </c>
      <c r="B378" s="193" t="s">
        <v>591</v>
      </c>
      <c r="C378" s="193" t="s">
        <v>604</v>
      </c>
      <c r="D378" s="193" t="s">
        <v>605</v>
      </c>
      <c r="E378" s="193" t="s">
        <v>535</v>
      </c>
      <c r="F378" s="196">
        <v>213.2</v>
      </c>
      <c r="G378" s="194">
        <v>7.4361530964440723</v>
      </c>
      <c r="H378" s="195">
        <v>1585.3878401618761</v>
      </c>
      <c r="I378" s="193" t="s">
        <v>536</v>
      </c>
    </row>
    <row r="379" spans="1:9" x14ac:dyDescent="0.25">
      <c r="A379" s="193" t="s">
        <v>587</v>
      </c>
      <c r="B379" s="193" t="s">
        <v>591</v>
      </c>
      <c r="C379" s="193" t="s">
        <v>606</v>
      </c>
      <c r="D379" s="193" t="s">
        <v>607</v>
      </c>
      <c r="E379" s="193" t="s">
        <v>535</v>
      </c>
      <c r="F379" s="196">
        <v>822.68600000000004</v>
      </c>
      <c r="G379" s="194">
        <v>7.7544167830568647</v>
      </c>
      <c r="H379" s="195">
        <v>6379.4501255859204</v>
      </c>
      <c r="I379" s="193" t="s">
        <v>536</v>
      </c>
    </row>
    <row r="380" spans="1:9" x14ac:dyDescent="0.25">
      <c r="A380" s="193" t="s">
        <v>587</v>
      </c>
      <c r="B380" s="193" t="s">
        <v>591</v>
      </c>
      <c r="C380" s="193" t="s">
        <v>608</v>
      </c>
      <c r="D380" s="193" t="s">
        <v>609</v>
      </c>
      <c r="E380" s="193" t="s">
        <v>535</v>
      </c>
      <c r="F380" s="196">
        <v>121.2</v>
      </c>
      <c r="G380" s="194">
        <v>8.4769598691220054</v>
      </c>
      <c r="H380" s="195">
        <v>1027.4075361375872</v>
      </c>
      <c r="I380" s="193" t="s">
        <v>536</v>
      </c>
    </row>
    <row r="381" spans="1:9" x14ac:dyDescent="0.25">
      <c r="A381" s="193" t="s">
        <v>587</v>
      </c>
      <c r="B381" s="193" t="s">
        <v>591</v>
      </c>
      <c r="C381" s="193" t="s">
        <v>610</v>
      </c>
      <c r="D381" s="193" t="s">
        <v>611</v>
      </c>
      <c r="E381" s="193" t="s">
        <v>535</v>
      </c>
      <c r="F381" s="196">
        <v>477.59999999999997</v>
      </c>
      <c r="G381" s="194">
        <v>8.5028180959957549</v>
      </c>
      <c r="H381" s="195">
        <v>4060.9459226475724</v>
      </c>
      <c r="I381" s="193" t="s">
        <v>536</v>
      </c>
    </row>
    <row r="382" spans="1:9" x14ac:dyDescent="0.25">
      <c r="A382" s="193" t="s">
        <v>587</v>
      </c>
      <c r="B382" s="193" t="s">
        <v>591</v>
      </c>
      <c r="C382" s="193" t="s">
        <v>612</v>
      </c>
      <c r="D382" s="193" t="s">
        <v>613</v>
      </c>
      <c r="E382" s="193" t="s">
        <v>535</v>
      </c>
      <c r="F382" s="196">
        <v>575.83000000000004</v>
      </c>
      <c r="G382" s="194">
        <v>8.832298905597483</v>
      </c>
      <c r="H382" s="195">
        <v>5085.9026788101992</v>
      </c>
      <c r="I382" s="193" t="s">
        <v>536</v>
      </c>
    </row>
    <row r="383" spans="1:9" x14ac:dyDescent="0.25">
      <c r="A383" s="193" t="s">
        <v>587</v>
      </c>
      <c r="B383" s="193" t="s">
        <v>591</v>
      </c>
      <c r="C383" s="193" t="s">
        <v>614</v>
      </c>
      <c r="D383" s="193" t="s">
        <v>615</v>
      </c>
      <c r="E383" s="193" t="s">
        <v>535</v>
      </c>
      <c r="F383" s="196">
        <v>1194.2349999999999</v>
      </c>
      <c r="G383" s="194">
        <v>8.8391259371829669</v>
      </c>
      <c r="H383" s="195">
        <v>10555.993563591699</v>
      </c>
      <c r="I383" s="193" t="s">
        <v>536</v>
      </c>
    </row>
    <row r="384" spans="1:9" x14ac:dyDescent="0.25">
      <c r="A384" s="193" t="s">
        <v>587</v>
      </c>
      <c r="B384" s="193" t="s">
        <v>591</v>
      </c>
      <c r="C384" s="193" t="s">
        <v>616</v>
      </c>
      <c r="D384" s="193" t="s">
        <v>617</v>
      </c>
      <c r="E384" s="193" t="s">
        <v>535</v>
      </c>
      <c r="F384" s="196">
        <v>33.6</v>
      </c>
      <c r="G384" s="194">
        <v>8.0921512644837961</v>
      </c>
      <c r="H384" s="195">
        <v>271.89628248665554</v>
      </c>
      <c r="I384" s="193" t="s">
        <v>536</v>
      </c>
    </row>
    <row r="385" spans="1:9" x14ac:dyDescent="0.25">
      <c r="A385" s="193" t="s">
        <v>587</v>
      </c>
      <c r="B385" s="193" t="s">
        <v>591</v>
      </c>
      <c r="C385" s="193" t="s">
        <v>618</v>
      </c>
      <c r="D385" s="193" t="s">
        <v>619</v>
      </c>
      <c r="E385" s="193" t="s">
        <v>535</v>
      </c>
      <c r="F385" s="196">
        <v>190.5</v>
      </c>
      <c r="G385" s="194">
        <v>7.4283869622155629</v>
      </c>
      <c r="H385" s="195">
        <v>1415.1077163020648</v>
      </c>
      <c r="I385" s="193" t="s">
        <v>536</v>
      </c>
    </row>
    <row r="386" spans="1:9" x14ac:dyDescent="0.25">
      <c r="A386" s="193" t="s">
        <v>587</v>
      </c>
      <c r="B386" s="193" t="s">
        <v>591</v>
      </c>
      <c r="C386" s="193" t="s">
        <v>620</v>
      </c>
      <c r="D386" s="193" t="s">
        <v>621</v>
      </c>
      <c r="E386" s="193" t="s">
        <v>535</v>
      </c>
      <c r="F386" s="196"/>
      <c r="G386" s="194">
        <v>7.7544167830568647</v>
      </c>
      <c r="H386" s="195">
        <v>0</v>
      </c>
      <c r="I386" s="193" t="s">
        <v>536</v>
      </c>
    </row>
    <row r="387" spans="1:9" x14ac:dyDescent="0.25">
      <c r="A387" s="193" t="s">
        <v>587</v>
      </c>
      <c r="B387" s="193" t="s">
        <v>591</v>
      </c>
      <c r="C387" s="193" t="s">
        <v>622</v>
      </c>
      <c r="D387" s="193" t="s">
        <v>623</v>
      </c>
      <c r="E387" s="193" t="s">
        <v>535</v>
      </c>
      <c r="F387" s="196">
        <v>1314</v>
      </c>
      <c r="G387" s="194">
        <v>7.3772161732989794</v>
      </c>
      <c r="H387" s="195">
        <v>9693.6620517148585</v>
      </c>
      <c r="I387" s="193" t="s">
        <v>536</v>
      </c>
    </row>
    <row r="388" spans="1:9" x14ac:dyDescent="0.25">
      <c r="A388" s="193" t="s">
        <v>587</v>
      </c>
      <c r="B388" s="193" t="s">
        <v>591</v>
      </c>
      <c r="C388" s="193" t="s">
        <v>624</v>
      </c>
      <c r="D388" s="193" t="s">
        <v>625</v>
      </c>
      <c r="E388" s="193" t="s">
        <v>535</v>
      </c>
      <c r="F388" s="196">
        <v>259.38</v>
      </c>
      <c r="G388" s="194">
        <v>8.7299647277285519</v>
      </c>
      <c r="H388" s="195">
        <v>2264.3782510782316</v>
      </c>
      <c r="I388" s="193" t="s">
        <v>536</v>
      </c>
    </row>
    <row r="389" spans="1:9" x14ac:dyDescent="0.25">
      <c r="A389" s="193" t="s">
        <v>587</v>
      </c>
      <c r="B389" s="193" t="s">
        <v>591</v>
      </c>
      <c r="C389" s="193" t="s">
        <v>626</v>
      </c>
      <c r="D389" s="193" t="s">
        <v>627</v>
      </c>
      <c r="E389" s="193" t="s">
        <v>535</v>
      </c>
      <c r="F389" s="196">
        <v>1255.8</v>
      </c>
      <c r="G389" s="194">
        <v>8.6902090225683519</v>
      </c>
      <c r="H389" s="195">
        <v>10913.164490541336</v>
      </c>
      <c r="I389" s="193" t="s">
        <v>536</v>
      </c>
    </row>
    <row r="390" spans="1:9" x14ac:dyDescent="0.25">
      <c r="A390" s="193" t="s">
        <v>587</v>
      </c>
      <c r="B390" s="193" t="s">
        <v>591</v>
      </c>
      <c r="C390" s="193" t="s">
        <v>628</v>
      </c>
      <c r="D390" s="193" t="s">
        <v>629</v>
      </c>
      <c r="E390" s="193" t="s">
        <v>535</v>
      </c>
      <c r="F390" s="196">
        <v>19.37</v>
      </c>
      <c r="G390" s="194">
        <v>6.8178738539770114</v>
      </c>
      <c r="H390" s="195">
        <v>132.0622165515347</v>
      </c>
      <c r="I390" s="193" t="s">
        <v>536</v>
      </c>
    </row>
    <row r="391" spans="1:9" x14ac:dyDescent="0.25">
      <c r="A391" s="193" t="s">
        <v>587</v>
      </c>
      <c r="B391" s="193" t="s">
        <v>591</v>
      </c>
      <c r="C391" s="193" t="s">
        <v>630</v>
      </c>
      <c r="D391" s="193" t="s">
        <v>631</v>
      </c>
      <c r="E391" s="193" t="s">
        <v>535</v>
      </c>
      <c r="F391" s="196">
        <v>40.020000000000003</v>
      </c>
      <c r="G391" s="194">
        <v>6.8589529357986541</v>
      </c>
      <c r="H391" s="195">
        <v>274.49529649066216</v>
      </c>
      <c r="I391" s="193" t="s">
        <v>536</v>
      </c>
    </row>
    <row r="392" spans="1:9" x14ac:dyDescent="0.25">
      <c r="A392" s="193" t="s">
        <v>587</v>
      </c>
      <c r="B392" s="193" t="s">
        <v>591</v>
      </c>
      <c r="C392" s="193" t="s">
        <v>632</v>
      </c>
      <c r="D392" s="193" t="s">
        <v>633</v>
      </c>
      <c r="E392" s="193" t="s">
        <v>535</v>
      </c>
      <c r="F392" s="196">
        <v>648.1160000000001</v>
      </c>
      <c r="G392" s="194">
        <v>6.5569278975198806</v>
      </c>
      <c r="H392" s="195">
        <v>4249.6498812289956</v>
      </c>
      <c r="I392" s="193" t="s">
        <v>536</v>
      </c>
    </row>
    <row r="393" spans="1:9" x14ac:dyDescent="0.25">
      <c r="A393" s="193" t="s">
        <v>587</v>
      </c>
      <c r="B393" s="193" t="s">
        <v>591</v>
      </c>
      <c r="C393" s="193" t="s">
        <v>634</v>
      </c>
      <c r="D393" s="193" t="s">
        <v>635</v>
      </c>
      <c r="E393" s="193" t="s">
        <v>535</v>
      </c>
      <c r="F393" s="196">
        <v>151.76</v>
      </c>
      <c r="G393" s="194">
        <v>6.2847301690408353</v>
      </c>
      <c r="H393" s="195">
        <v>953.77065045363713</v>
      </c>
      <c r="I393" s="193" t="s">
        <v>536</v>
      </c>
    </row>
    <row r="394" spans="1:9" x14ac:dyDescent="0.25">
      <c r="A394" s="193" t="s">
        <v>587</v>
      </c>
      <c r="B394" s="193" t="s">
        <v>591</v>
      </c>
      <c r="C394" s="193" t="s">
        <v>690</v>
      </c>
      <c r="D394" s="193" t="s">
        <v>691</v>
      </c>
      <c r="E394" s="193" t="s">
        <v>535</v>
      </c>
      <c r="F394" s="196">
        <v>959.4</v>
      </c>
      <c r="G394" s="194">
        <v>6.3979047810123637</v>
      </c>
      <c r="H394" s="195">
        <v>6138.1498469032613</v>
      </c>
      <c r="I394" s="193" t="s">
        <v>536</v>
      </c>
    </row>
    <row r="395" spans="1:9" x14ac:dyDescent="0.25">
      <c r="A395" s="193" t="s">
        <v>587</v>
      </c>
      <c r="B395" s="193" t="s">
        <v>591</v>
      </c>
      <c r="C395" s="193" t="s">
        <v>7462</v>
      </c>
      <c r="D395" s="193" t="s">
        <v>7463</v>
      </c>
      <c r="E395" s="193" t="s">
        <v>535</v>
      </c>
      <c r="F395" s="196">
        <v>22.324999999999999</v>
      </c>
      <c r="G395" s="194">
        <v>7.8756609838037219</v>
      </c>
      <c r="H395" s="195">
        <v>175.8241314634181</v>
      </c>
      <c r="I395" s="193" t="s">
        <v>541</v>
      </c>
    </row>
    <row r="396" spans="1:9" x14ac:dyDescent="0.25">
      <c r="A396" s="193" t="s">
        <v>587</v>
      </c>
      <c r="B396" s="193" t="s">
        <v>591</v>
      </c>
      <c r="C396" s="193" t="s">
        <v>7464</v>
      </c>
      <c r="D396" s="193" t="s">
        <v>7465</v>
      </c>
      <c r="E396" s="193" t="s">
        <v>535</v>
      </c>
      <c r="F396" s="196">
        <v>557.26</v>
      </c>
      <c r="G396" s="194">
        <v>8.4029636771717744</v>
      </c>
      <c r="H396" s="195">
        <v>4682.635538740743</v>
      </c>
      <c r="I396" s="193" t="s">
        <v>541</v>
      </c>
    </row>
    <row r="397" spans="1:9" x14ac:dyDescent="0.25">
      <c r="A397" s="193" t="s">
        <v>587</v>
      </c>
      <c r="B397" s="193" t="s">
        <v>591</v>
      </c>
      <c r="C397" s="193" t="s">
        <v>592</v>
      </c>
      <c r="D397" s="193" t="s">
        <v>593</v>
      </c>
      <c r="E397" s="193" t="s">
        <v>535</v>
      </c>
      <c r="F397" s="196">
        <v>126</v>
      </c>
      <c r="G397" s="194">
        <v>6.9041202636019259</v>
      </c>
      <c r="H397" s="195">
        <v>869.91915321384261</v>
      </c>
      <c r="I397" s="193" t="s">
        <v>541</v>
      </c>
    </row>
    <row r="398" spans="1:9" x14ac:dyDescent="0.25">
      <c r="A398" s="193" t="s">
        <v>587</v>
      </c>
      <c r="B398" s="193" t="s">
        <v>591</v>
      </c>
      <c r="C398" s="193" t="s">
        <v>7466</v>
      </c>
      <c r="D398" s="193" t="s">
        <v>7467</v>
      </c>
      <c r="E398" s="193" t="s">
        <v>535</v>
      </c>
      <c r="F398" s="196">
        <v>46.050000000000004</v>
      </c>
      <c r="G398" s="194">
        <v>6.9119990407504748</v>
      </c>
      <c r="H398" s="195">
        <v>318.2975558265594</v>
      </c>
      <c r="I398" s="193" t="s">
        <v>541</v>
      </c>
    </row>
    <row r="399" spans="1:9" x14ac:dyDescent="0.25">
      <c r="A399" s="193" t="s">
        <v>587</v>
      </c>
      <c r="B399" s="193" t="s">
        <v>591</v>
      </c>
      <c r="C399" s="193" t="s">
        <v>7468</v>
      </c>
      <c r="D399" s="193" t="s">
        <v>7469</v>
      </c>
      <c r="E399" s="193" t="s">
        <v>535</v>
      </c>
      <c r="F399" s="196">
        <v>103.49999999999999</v>
      </c>
      <c r="G399" s="194">
        <v>7.5629554991898136</v>
      </c>
      <c r="H399" s="195">
        <v>782.76589416614559</v>
      </c>
      <c r="I399" s="193" t="s">
        <v>541</v>
      </c>
    </row>
    <row r="400" spans="1:9" x14ac:dyDescent="0.25">
      <c r="A400" s="193" t="s">
        <v>587</v>
      </c>
      <c r="B400" s="193" t="s">
        <v>591</v>
      </c>
      <c r="C400" s="193" t="s">
        <v>692</v>
      </c>
      <c r="D400" s="193" t="s">
        <v>693</v>
      </c>
      <c r="E400" s="193" t="s">
        <v>535</v>
      </c>
      <c r="F400" s="196">
        <v>235.44</v>
      </c>
      <c r="G400" s="194">
        <v>6.8663267071618215</v>
      </c>
      <c r="H400" s="195">
        <v>1616.6079599341792</v>
      </c>
      <c r="I400" s="193" t="s">
        <v>536</v>
      </c>
    </row>
    <row r="401" spans="1:9" x14ac:dyDescent="0.25">
      <c r="A401" s="193" t="s">
        <v>587</v>
      </c>
      <c r="B401" s="193" t="s">
        <v>591</v>
      </c>
      <c r="C401" s="193" t="s">
        <v>694</v>
      </c>
      <c r="D401" s="193" t="s">
        <v>695</v>
      </c>
      <c r="E401" s="193" t="s">
        <v>535</v>
      </c>
      <c r="F401" s="196">
        <v>237.3</v>
      </c>
      <c r="G401" s="194">
        <v>6.8987045098292814</v>
      </c>
      <c r="H401" s="195">
        <v>1637.0625801824885</v>
      </c>
      <c r="I401" s="193" t="s">
        <v>536</v>
      </c>
    </row>
    <row r="402" spans="1:9" x14ac:dyDescent="0.25">
      <c r="A402" s="193" t="s">
        <v>587</v>
      </c>
      <c r="B402" s="193" t="s">
        <v>591</v>
      </c>
      <c r="C402" s="193" t="s">
        <v>696</v>
      </c>
      <c r="D402" s="193" t="s">
        <v>697</v>
      </c>
      <c r="E402" s="193" t="s">
        <v>535</v>
      </c>
      <c r="F402" s="196">
        <v>144</v>
      </c>
      <c r="G402" s="194">
        <v>6.9313281354440477</v>
      </c>
      <c r="H402" s="195">
        <v>998.11125150394287</v>
      </c>
      <c r="I402" s="193" t="s">
        <v>536</v>
      </c>
    </row>
    <row r="403" spans="1:9" x14ac:dyDescent="0.25">
      <c r="A403" s="193" t="s">
        <v>587</v>
      </c>
      <c r="B403" s="193" t="s">
        <v>591</v>
      </c>
      <c r="C403" s="193" t="s">
        <v>698</v>
      </c>
      <c r="D403" s="193" t="s">
        <v>699</v>
      </c>
      <c r="E403" s="193" t="s">
        <v>535</v>
      </c>
      <c r="F403" s="196">
        <v>616.1</v>
      </c>
      <c r="G403" s="194">
        <v>6.8663267071618224</v>
      </c>
      <c r="H403" s="195">
        <v>4230.3438842823989</v>
      </c>
      <c r="I403" s="193" t="s">
        <v>536</v>
      </c>
    </row>
    <row r="404" spans="1:9" x14ac:dyDescent="0.25">
      <c r="A404" s="193" t="s">
        <v>587</v>
      </c>
      <c r="B404" s="193" t="s">
        <v>591</v>
      </c>
      <c r="C404" s="193" t="s">
        <v>7470</v>
      </c>
      <c r="D404" s="193" t="s">
        <v>7471</v>
      </c>
      <c r="E404" s="193" t="s">
        <v>535</v>
      </c>
      <c r="F404" s="196">
        <v>540</v>
      </c>
      <c r="G404" s="194">
        <v>7.0286889224747169</v>
      </c>
      <c r="H404" s="195">
        <v>3795.4920181363473</v>
      </c>
      <c r="I404" s="193" t="s">
        <v>541</v>
      </c>
    </row>
    <row r="405" spans="1:9" x14ac:dyDescent="0.25">
      <c r="A405" s="193" t="s">
        <v>587</v>
      </c>
      <c r="B405" s="193" t="s">
        <v>591</v>
      </c>
      <c r="C405" s="193" t="s">
        <v>539</v>
      </c>
      <c r="D405" s="193" t="s">
        <v>749</v>
      </c>
      <c r="E405" s="193"/>
      <c r="F405" s="196">
        <v>4664</v>
      </c>
      <c r="G405" s="194">
        <v>5.6104583436708264</v>
      </c>
      <c r="H405" s="195">
        <v>26167.177714880734</v>
      </c>
      <c r="I405" s="193" t="s">
        <v>541</v>
      </c>
    </row>
    <row r="406" spans="1:9" x14ac:dyDescent="0.25">
      <c r="A406" s="193" t="s">
        <v>220</v>
      </c>
      <c r="B406" s="193" t="s">
        <v>7472</v>
      </c>
      <c r="C406" s="193" t="s">
        <v>7473</v>
      </c>
      <c r="D406" s="193" t="s">
        <v>7456</v>
      </c>
      <c r="E406" s="193" t="s">
        <v>528</v>
      </c>
      <c r="F406" s="196">
        <v>7</v>
      </c>
      <c r="G406" s="194">
        <v>140.21211837489781</v>
      </c>
      <c r="H406" s="195">
        <v>981.48482862428466</v>
      </c>
      <c r="I406" s="193" t="s">
        <v>541</v>
      </c>
    </row>
    <row r="407" spans="1:9" x14ac:dyDescent="0.25">
      <c r="A407" s="193" t="s">
        <v>220</v>
      </c>
      <c r="B407" s="193" t="s">
        <v>7472</v>
      </c>
      <c r="C407" s="193" t="s">
        <v>554</v>
      </c>
      <c r="D407" s="193" t="s">
        <v>7474</v>
      </c>
      <c r="E407" s="193" t="s">
        <v>528</v>
      </c>
      <c r="F407" s="196">
        <v>2</v>
      </c>
      <c r="G407" s="194">
        <v>78.140734266829696</v>
      </c>
      <c r="H407" s="195">
        <v>156.28146853365939</v>
      </c>
      <c r="I407" s="193" t="s">
        <v>541</v>
      </c>
    </row>
    <row r="408" spans="1:9" x14ac:dyDescent="0.25">
      <c r="A408" s="193" t="s">
        <v>220</v>
      </c>
      <c r="B408" s="193" t="s">
        <v>7472</v>
      </c>
      <c r="C408" s="193" t="s">
        <v>7475</v>
      </c>
      <c r="D408" s="193" t="s">
        <v>7476</v>
      </c>
      <c r="E408" s="193" t="s">
        <v>528</v>
      </c>
      <c r="F408" s="196">
        <v>2</v>
      </c>
      <c r="G408" s="194">
        <v>76.691342354007034</v>
      </c>
      <c r="H408" s="195">
        <v>153.38268470801407</v>
      </c>
      <c r="I408" s="193" t="s">
        <v>541</v>
      </c>
    </row>
    <row r="409" spans="1:9" x14ac:dyDescent="0.25">
      <c r="A409" s="193" t="s">
        <v>220</v>
      </c>
      <c r="B409" s="193" t="s">
        <v>7472</v>
      </c>
      <c r="C409" s="193" t="s">
        <v>7477</v>
      </c>
      <c r="D409" s="193" t="s">
        <v>7478</v>
      </c>
      <c r="E409" s="193" t="s">
        <v>528</v>
      </c>
      <c r="F409" s="196">
        <v>2</v>
      </c>
      <c r="G409" s="194">
        <v>98.857988630945627</v>
      </c>
      <c r="H409" s="195">
        <v>197.71597726189125</v>
      </c>
      <c r="I409" s="193" t="s">
        <v>541</v>
      </c>
    </row>
    <row r="410" spans="1:9" x14ac:dyDescent="0.25">
      <c r="A410" s="193" t="s">
        <v>220</v>
      </c>
      <c r="B410" s="193" t="s">
        <v>7472</v>
      </c>
      <c r="C410" s="193" t="s">
        <v>580</v>
      </c>
      <c r="D410" s="193" t="s">
        <v>7479</v>
      </c>
      <c r="E410" s="193" t="s">
        <v>528</v>
      </c>
      <c r="F410" s="196">
        <v>2</v>
      </c>
      <c r="G410" s="194">
        <v>109.93111322585349</v>
      </c>
      <c r="H410" s="195">
        <v>219.86222645170699</v>
      </c>
      <c r="I410" s="193" t="s">
        <v>541</v>
      </c>
    </row>
    <row r="411" spans="1:9" x14ac:dyDescent="0.25">
      <c r="A411" s="193" t="s">
        <v>220</v>
      </c>
      <c r="B411" s="193" t="s">
        <v>7472</v>
      </c>
      <c r="C411" s="193" t="s">
        <v>7480</v>
      </c>
      <c r="D411" s="193" t="s">
        <v>7481</v>
      </c>
      <c r="E411" s="193" t="s">
        <v>528</v>
      </c>
      <c r="F411" s="196">
        <v>2</v>
      </c>
      <c r="G411" s="194">
        <v>87.096353812242896</v>
      </c>
      <c r="H411" s="195">
        <v>174.19270762448579</v>
      </c>
      <c r="I411" s="193" t="s">
        <v>541</v>
      </c>
    </row>
    <row r="412" spans="1:9" x14ac:dyDescent="0.25">
      <c r="A412" s="193" t="s">
        <v>220</v>
      </c>
      <c r="B412" s="193" t="s">
        <v>7472</v>
      </c>
      <c r="C412" s="193" t="s">
        <v>7482</v>
      </c>
      <c r="D412" s="193" t="s">
        <v>7483</v>
      </c>
      <c r="E412" s="193" t="s">
        <v>528</v>
      </c>
      <c r="F412" s="196">
        <v>2</v>
      </c>
      <c r="G412" s="194">
        <v>131.13418290345163</v>
      </c>
      <c r="H412" s="195">
        <v>262.26836580690326</v>
      </c>
      <c r="I412" s="193" t="s">
        <v>541</v>
      </c>
    </row>
    <row r="413" spans="1:9" x14ac:dyDescent="0.25">
      <c r="A413" s="193" t="s">
        <v>220</v>
      </c>
      <c r="B413" s="193" t="s">
        <v>7472</v>
      </c>
      <c r="C413" s="193" t="s">
        <v>1966</v>
      </c>
      <c r="D413" s="193" t="s">
        <v>7484</v>
      </c>
      <c r="E413" s="193" t="s">
        <v>528</v>
      </c>
      <c r="F413" s="196">
        <v>2</v>
      </c>
      <c r="G413" s="194">
        <v>129.06362574974258</v>
      </c>
      <c r="H413" s="195">
        <v>258.12725149948517</v>
      </c>
      <c r="I413" s="193" t="s">
        <v>1911</v>
      </c>
    </row>
    <row r="414" spans="1:9" x14ac:dyDescent="0.25">
      <c r="A414" s="193" t="s">
        <v>220</v>
      </c>
      <c r="B414" s="193" t="s">
        <v>7472</v>
      </c>
      <c r="C414" s="193" t="s">
        <v>2005</v>
      </c>
      <c r="D414" s="193" t="s">
        <v>7485</v>
      </c>
      <c r="E414" s="193" t="s">
        <v>528</v>
      </c>
      <c r="F414" s="196">
        <v>2</v>
      </c>
      <c r="G414" s="194">
        <v>213.446854510154</v>
      </c>
      <c r="H414" s="195">
        <v>426.89370902030799</v>
      </c>
      <c r="I414" s="193" t="s">
        <v>1911</v>
      </c>
    </row>
    <row r="415" spans="1:9" x14ac:dyDescent="0.25">
      <c r="A415" s="193" t="s">
        <v>220</v>
      </c>
      <c r="B415" s="193" t="s">
        <v>7472</v>
      </c>
      <c r="C415" s="193" t="s">
        <v>1982</v>
      </c>
      <c r="D415" s="193" t="s">
        <v>7457</v>
      </c>
      <c r="E415" s="193" t="s">
        <v>528</v>
      </c>
      <c r="F415" s="196">
        <v>2</v>
      </c>
      <c r="G415" s="194">
        <v>219.08</v>
      </c>
      <c r="H415" s="195">
        <v>438.16</v>
      </c>
      <c r="I415" s="193" t="s">
        <v>1911</v>
      </c>
    </row>
    <row r="416" spans="1:9" x14ac:dyDescent="0.25">
      <c r="A416" s="193" t="s">
        <v>220</v>
      </c>
      <c r="B416" s="193" t="s">
        <v>7472</v>
      </c>
      <c r="C416" s="193" t="s">
        <v>2003</v>
      </c>
      <c r="D416" s="193" t="s">
        <v>2004</v>
      </c>
      <c r="E416" s="193" t="s">
        <v>528</v>
      </c>
      <c r="F416" s="196">
        <v>2</v>
      </c>
      <c r="G416" s="194">
        <v>163.73729882871604</v>
      </c>
      <c r="H416" s="195">
        <v>327.47459765743207</v>
      </c>
      <c r="I416" s="193" t="s">
        <v>1911</v>
      </c>
    </row>
    <row r="417" spans="1:9" x14ac:dyDescent="0.25">
      <c r="A417" s="193" t="s">
        <v>220</v>
      </c>
      <c r="B417" s="193" t="s">
        <v>7472</v>
      </c>
      <c r="C417" s="193" t="s">
        <v>1960</v>
      </c>
      <c r="D417" s="193" t="s">
        <v>7486</v>
      </c>
      <c r="E417" s="193" t="s">
        <v>528</v>
      </c>
      <c r="F417" s="196">
        <v>2</v>
      </c>
      <c r="G417" s="194">
        <v>88.159978085742637</v>
      </c>
      <c r="H417" s="195">
        <v>176.31995617148527</v>
      </c>
      <c r="I417" s="193" t="s">
        <v>1911</v>
      </c>
    </row>
    <row r="418" spans="1:9" x14ac:dyDescent="0.25">
      <c r="A418" s="193" t="s">
        <v>220</v>
      </c>
      <c r="B418" s="193" t="s">
        <v>7472</v>
      </c>
      <c r="C418" s="193" t="s">
        <v>1974</v>
      </c>
      <c r="D418" s="193" t="s">
        <v>7487</v>
      </c>
      <c r="E418" s="193" t="s">
        <v>528</v>
      </c>
      <c r="F418" s="196">
        <v>2</v>
      </c>
      <c r="G418" s="194">
        <v>160.50202787217594</v>
      </c>
      <c r="H418" s="195">
        <v>321.00405574435189</v>
      </c>
      <c r="I418" s="193" t="s">
        <v>1911</v>
      </c>
    </row>
    <row r="419" spans="1:9" x14ac:dyDescent="0.25">
      <c r="A419" s="193" t="s">
        <v>220</v>
      </c>
      <c r="B419" s="193" t="s">
        <v>7472</v>
      </c>
      <c r="C419" s="193" t="s">
        <v>1916</v>
      </c>
      <c r="D419" s="193" t="s">
        <v>7488</v>
      </c>
      <c r="E419" s="193" t="s">
        <v>528</v>
      </c>
      <c r="F419" s="196">
        <v>2</v>
      </c>
      <c r="G419" s="194">
        <v>126.58860491485309</v>
      </c>
      <c r="H419" s="195">
        <v>253.17720982970619</v>
      </c>
      <c r="I419" s="193" t="s">
        <v>1911</v>
      </c>
    </row>
    <row r="420" spans="1:9" x14ac:dyDescent="0.25">
      <c r="A420" s="193" t="s">
        <v>220</v>
      </c>
      <c r="B420" s="193" t="s">
        <v>7472</v>
      </c>
      <c r="C420" s="193" t="s">
        <v>7489</v>
      </c>
      <c r="D420" s="193" t="s">
        <v>7490</v>
      </c>
      <c r="E420" s="193" t="s">
        <v>528</v>
      </c>
      <c r="F420" s="196">
        <v>2</v>
      </c>
      <c r="G420" s="194">
        <v>143.15003520193218</v>
      </c>
      <c r="H420" s="195">
        <v>286.30007040386437</v>
      </c>
      <c r="I420" s="193" t="s">
        <v>541</v>
      </c>
    </row>
    <row r="421" spans="1:9" x14ac:dyDescent="0.25">
      <c r="A421" s="193" t="s">
        <v>220</v>
      </c>
      <c r="B421" s="193" t="s">
        <v>7472</v>
      </c>
      <c r="C421" s="193" t="s">
        <v>1970</v>
      </c>
      <c r="D421" s="193" t="s">
        <v>7491</v>
      </c>
      <c r="E421" s="193" t="s">
        <v>528</v>
      </c>
      <c r="F421" s="196">
        <v>1</v>
      </c>
      <c r="G421" s="194">
        <v>124.64288361726786</v>
      </c>
      <c r="H421" s="195">
        <v>124.64288361726786</v>
      </c>
      <c r="I421" s="193" t="s">
        <v>1911</v>
      </c>
    </row>
    <row r="422" spans="1:9" x14ac:dyDescent="0.25">
      <c r="A422" s="193" t="s">
        <v>220</v>
      </c>
      <c r="B422" s="193" t="s">
        <v>7492</v>
      </c>
      <c r="C422" s="193" t="s">
        <v>7493</v>
      </c>
      <c r="D422" s="193" t="s">
        <v>7494</v>
      </c>
      <c r="E422" s="193"/>
      <c r="F422" s="196">
        <v>11</v>
      </c>
      <c r="G422" s="194">
        <v>184.86021851776422</v>
      </c>
      <c r="H422" s="195">
        <v>2033.4624036954065</v>
      </c>
      <c r="I422" s="193" t="s">
        <v>541</v>
      </c>
    </row>
    <row r="423" spans="1:9" x14ac:dyDescent="0.25">
      <c r="A423" s="193" t="s">
        <v>220</v>
      </c>
      <c r="B423" s="193" t="s">
        <v>7492</v>
      </c>
      <c r="C423" s="193" t="s">
        <v>2071</v>
      </c>
      <c r="D423" s="193" t="s">
        <v>7495</v>
      </c>
      <c r="E423" s="193"/>
      <c r="F423" s="196">
        <v>18</v>
      </c>
      <c r="G423" s="194">
        <v>77.485631905206517</v>
      </c>
      <c r="H423" s="195">
        <v>1394.7413742937174</v>
      </c>
      <c r="I423" s="193" t="s">
        <v>536</v>
      </c>
    </row>
    <row r="424" spans="1:9" x14ac:dyDescent="0.25">
      <c r="A424" s="193" t="s">
        <v>220</v>
      </c>
      <c r="B424" s="193" t="s">
        <v>7492</v>
      </c>
      <c r="C424" s="193" t="s">
        <v>7496</v>
      </c>
      <c r="D424" s="193" t="s">
        <v>7497</v>
      </c>
      <c r="E424" s="193"/>
      <c r="F424" s="196">
        <v>26</v>
      </c>
      <c r="G424" s="194">
        <v>129.13387861005873</v>
      </c>
      <c r="H424" s="195">
        <v>3357.4808438615269</v>
      </c>
      <c r="I424" s="193" t="s">
        <v>541</v>
      </c>
    </row>
    <row r="425" spans="1:9" x14ac:dyDescent="0.25">
      <c r="A425" s="193" t="s">
        <v>220</v>
      </c>
      <c r="B425" s="193" t="s">
        <v>7492</v>
      </c>
      <c r="C425" s="193" t="s">
        <v>7498</v>
      </c>
      <c r="D425" s="193" t="s">
        <v>7499</v>
      </c>
      <c r="E425" s="193"/>
      <c r="F425" s="196">
        <v>5</v>
      </c>
      <c r="G425" s="194">
        <v>81.580203449969304</v>
      </c>
      <c r="H425" s="195">
        <v>407.90101724984652</v>
      </c>
      <c r="I425" s="193" t="s">
        <v>541</v>
      </c>
    </row>
    <row r="426" spans="1:9" x14ac:dyDescent="0.25">
      <c r="A426" s="193" t="s">
        <v>220</v>
      </c>
      <c r="B426" s="193" t="s">
        <v>7492</v>
      </c>
      <c r="C426" s="193" t="s">
        <v>2075</v>
      </c>
      <c r="D426" s="193" t="s">
        <v>7500</v>
      </c>
      <c r="E426" s="193"/>
      <c r="F426" s="196">
        <v>4</v>
      </c>
      <c r="G426" s="194">
        <v>68.015238052007305</v>
      </c>
      <c r="H426" s="195">
        <v>272.06095220802922</v>
      </c>
      <c r="I426" s="193" t="s">
        <v>536</v>
      </c>
    </row>
    <row r="427" spans="1:9" x14ac:dyDescent="0.25">
      <c r="A427" s="193" t="s">
        <v>220</v>
      </c>
      <c r="B427" s="193" t="s">
        <v>7492</v>
      </c>
      <c r="C427" s="193" t="s">
        <v>2086</v>
      </c>
      <c r="D427" s="193" t="s">
        <v>7501</v>
      </c>
      <c r="E427" s="193"/>
      <c r="F427" s="196">
        <v>2</v>
      </c>
      <c r="G427" s="194">
        <v>101.10925669356116</v>
      </c>
      <c r="H427" s="195">
        <v>202.21851338712233</v>
      </c>
      <c r="I427" s="193" t="s">
        <v>536</v>
      </c>
    </row>
    <row r="428" spans="1:9" x14ac:dyDescent="0.25">
      <c r="A428" s="193" t="s">
        <v>220</v>
      </c>
      <c r="B428" s="193" t="s">
        <v>7492</v>
      </c>
      <c r="C428" s="193" t="s">
        <v>2082</v>
      </c>
      <c r="D428" s="193" t="s">
        <v>7502</v>
      </c>
      <c r="E428" s="193"/>
      <c r="F428" s="196">
        <v>1</v>
      </c>
      <c r="G428" s="194">
        <v>66.041264241858556</v>
      </c>
      <c r="H428" s="195">
        <v>66.041264241858556</v>
      </c>
      <c r="I428" s="193" t="s">
        <v>536</v>
      </c>
    </row>
    <row r="429" spans="1:9" x14ac:dyDescent="0.25">
      <c r="A429" s="193" t="s">
        <v>220</v>
      </c>
      <c r="B429" s="193" t="s">
        <v>7492</v>
      </c>
      <c r="C429" s="193" t="s">
        <v>2098</v>
      </c>
      <c r="D429" s="193" t="s">
        <v>7503</v>
      </c>
      <c r="E429" s="193"/>
      <c r="F429" s="196">
        <v>3</v>
      </c>
      <c r="G429" s="194">
        <v>211.2142103114667</v>
      </c>
      <c r="H429" s="195">
        <v>633.64263093440013</v>
      </c>
      <c r="I429" s="193" t="s">
        <v>536</v>
      </c>
    </row>
    <row r="430" spans="1:9" x14ac:dyDescent="0.25">
      <c r="A430" s="193" t="s">
        <v>220</v>
      </c>
      <c r="B430" s="193" t="s">
        <v>7492</v>
      </c>
      <c r="C430" s="193" t="s">
        <v>2088</v>
      </c>
      <c r="D430" s="193" t="s">
        <v>7504</v>
      </c>
      <c r="E430" s="193"/>
      <c r="F430" s="196">
        <v>5</v>
      </c>
      <c r="G430" s="194">
        <v>81.213788257329114</v>
      </c>
      <c r="H430" s="195">
        <v>406.06894128664555</v>
      </c>
      <c r="I430" s="193" t="s">
        <v>536</v>
      </c>
    </row>
    <row r="431" spans="1:9" x14ac:dyDescent="0.25">
      <c r="A431" s="193" t="s">
        <v>220</v>
      </c>
      <c r="B431" s="193" t="s">
        <v>7492</v>
      </c>
      <c r="C431" s="193" t="s">
        <v>7505</v>
      </c>
      <c r="D431" s="193" t="s">
        <v>7506</v>
      </c>
      <c r="E431" s="193"/>
      <c r="F431" s="196">
        <v>7</v>
      </c>
      <c r="G431" s="194">
        <v>96.938008737320715</v>
      </c>
      <c r="H431" s="195">
        <v>678.56606116124499</v>
      </c>
      <c r="I431" s="193" t="s">
        <v>541</v>
      </c>
    </row>
    <row r="432" spans="1:9" x14ac:dyDescent="0.25">
      <c r="A432" s="193" t="s">
        <v>220</v>
      </c>
      <c r="B432" s="193" t="s">
        <v>7492</v>
      </c>
      <c r="C432" s="193" t="s">
        <v>2092</v>
      </c>
      <c r="D432" s="193" t="s">
        <v>7507</v>
      </c>
      <c r="E432" s="193"/>
      <c r="F432" s="196">
        <v>1</v>
      </c>
      <c r="G432" s="194">
        <v>114.83228081032046</v>
      </c>
      <c r="H432" s="195">
        <v>114.83228081032046</v>
      </c>
      <c r="I432" s="193" t="s">
        <v>536</v>
      </c>
    </row>
    <row r="433" spans="1:9" x14ac:dyDescent="0.25">
      <c r="A433" s="193" t="s">
        <v>220</v>
      </c>
      <c r="B433" s="193" t="s">
        <v>7492</v>
      </c>
      <c r="C433" s="193" t="s">
        <v>7508</v>
      </c>
      <c r="D433" s="193" t="s">
        <v>1913</v>
      </c>
      <c r="E433" s="193"/>
      <c r="F433" s="196">
        <v>4</v>
      </c>
      <c r="G433" s="194">
        <v>73.907105357728199</v>
      </c>
      <c r="H433" s="195">
        <v>295.62842143091279</v>
      </c>
      <c r="I433" s="193" t="s">
        <v>541</v>
      </c>
    </row>
    <row r="434" spans="1:9" x14ac:dyDescent="0.25">
      <c r="A434" s="193" t="s">
        <v>220</v>
      </c>
      <c r="B434" s="193" t="s">
        <v>7492</v>
      </c>
      <c r="C434" s="193" t="s">
        <v>7509</v>
      </c>
      <c r="D434" s="193" t="s">
        <v>1917</v>
      </c>
      <c r="E434" s="193"/>
      <c r="F434" s="196">
        <v>5</v>
      </c>
      <c r="G434" s="194">
        <v>114.58126160421584</v>
      </c>
      <c r="H434" s="195">
        <v>572.90630802107921</v>
      </c>
      <c r="I434" s="193" t="s">
        <v>541</v>
      </c>
    </row>
    <row r="435" spans="1:9" x14ac:dyDescent="0.25">
      <c r="A435" s="193" t="s">
        <v>220</v>
      </c>
      <c r="B435" s="193" t="s">
        <v>7492</v>
      </c>
      <c r="C435" s="193" t="s">
        <v>2098</v>
      </c>
      <c r="D435" s="193" t="s">
        <v>7503</v>
      </c>
      <c r="E435" s="193"/>
      <c r="F435" s="196">
        <v>1</v>
      </c>
      <c r="G435" s="194">
        <v>211.2142103114667</v>
      </c>
      <c r="H435" s="195">
        <v>211.2142103114667</v>
      </c>
      <c r="I435" s="193" t="s">
        <v>536</v>
      </c>
    </row>
    <row r="436" spans="1:9" x14ac:dyDescent="0.25">
      <c r="A436" s="193" t="s">
        <v>220</v>
      </c>
      <c r="B436" s="193" t="s">
        <v>7492</v>
      </c>
      <c r="C436" s="193" t="s">
        <v>7510</v>
      </c>
      <c r="D436" s="193" t="s">
        <v>7511</v>
      </c>
      <c r="E436" s="193"/>
      <c r="F436" s="196">
        <v>1</v>
      </c>
      <c r="G436" s="194">
        <v>184.86021851776422</v>
      </c>
      <c r="H436" s="195">
        <v>184.86021851776422</v>
      </c>
      <c r="I436" s="193" t="s">
        <v>541</v>
      </c>
    </row>
    <row r="437" spans="1:9" x14ac:dyDescent="0.25">
      <c r="A437" s="193" t="s">
        <v>220</v>
      </c>
      <c r="B437" s="193" t="s">
        <v>7492</v>
      </c>
      <c r="C437" s="193" t="s">
        <v>7512</v>
      </c>
      <c r="D437" s="193" t="s">
        <v>7513</v>
      </c>
      <c r="E437" s="193"/>
      <c r="F437" s="196">
        <v>6</v>
      </c>
      <c r="G437" s="194">
        <v>53.399175760128202</v>
      </c>
      <c r="H437" s="195">
        <v>320.39505456076921</v>
      </c>
      <c r="I437" s="193" t="s">
        <v>541</v>
      </c>
    </row>
    <row r="438" spans="1:9" x14ac:dyDescent="0.25">
      <c r="A438" s="193" t="s">
        <v>220</v>
      </c>
      <c r="B438" s="193" t="s">
        <v>7492</v>
      </c>
      <c r="C438" s="193" t="s">
        <v>2079</v>
      </c>
      <c r="D438" s="193" t="s">
        <v>7514</v>
      </c>
      <c r="E438" s="193"/>
      <c r="F438" s="196">
        <v>2</v>
      </c>
      <c r="G438" s="194">
        <v>57.044280562793176</v>
      </c>
      <c r="H438" s="195">
        <v>114.08856112558635</v>
      </c>
      <c r="I438" s="193" t="s">
        <v>536</v>
      </c>
    </row>
    <row r="439" spans="1:9" x14ac:dyDescent="0.25">
      <c r="A439" s="193" t="s">
        <v>220</v>
      </c>
      <c r="B439" s="193" t="s">
        <v>7492</v>
      </c>
      <c r="C439" s="193" t="s">
        <v>7498</v>
      </c>
      <c r="D439" s="193" t="s">
        <v>7515</v>
      </c>
      <c r="E439" s="193"/>
      <c r="F439" s="196">
        <v>2</v>
      </c>
      <c r="G439" s="194">
        <v>81.580203449969304</v>
      </c>
      <c r="H439" s="195">
        <v>163.16040689993861</v>
      </c>
      <c r="I439" s="193" t="s">
        <v>541</v>
      </c>
    </row>
    <row r="440" spans="1:9" x14ac:dyDescent="0.25">
      <c r="A440" s="193" t="s">
        <v>220</v>
      </c>
      <c r="B440" s="193" t="s">
        <v>7492</v>
      </c>
      <c r="C440" s="193" t="s">
        <v>2082</v>
      </c>
      <c r="D440" s="193" t="s">
        <v>7502</v>
      </c>
      <c r="E440" s="193"/>
      <c r="F440" s="196">
        <v>3</v>
      </c>
      <c r="G440" s="194">
        <v>66.041264241858556</v>
      </c>
      <c r="H440" s="195">
        <v>198.12379272557567</v>
      </c>
      <c r="I440" s="193" t="s">
        <v>536</v>
      </c>
    </row>
    <row r="441" spans="1:9" x14ac:dyDescent="0.25">
      <c r="A441" s="193" t="s">
        <v>220</v>
      </c>
      <c r="B441" s="193" t="s">
        <v>7492</v>
      </c>
      <c r="C441" s="193" t="s">
        <v>2071</v>
      </c>
      <c r="D441" s="193" t="s">
        <v>7495</v>
      </c>
      <c r="E441" s="193"/>
      <c r="F441" s="196">
        <v>1</v>
      </c>
      <c r="G441" s="194">
        <v>77.485631905206517</v>
      </c>
      <c r="H441" s="195">
        <v>77.485631905206517</v>
      </c>
      <c r="I441" s="193" t="s">
        <v>536</v>
      </c>
    </row>
    <row r="442" spans="1:9" x14ac:dyDescent="0.25">
      <c r="A442" s="193" t="s">
        <v>220</v>
      </c>
      <c r="B442" s="193" t="s">
        <v>7492</v>
      </c>
      <c r="C442" s="193" t="s">
        <v>7516</v>
      </c>
      <c r="D442" s="193" t="s">
        <v>7517</v>
      </c>
      <c r="E442" s="193"/>
      <c r="F442" s="196">
        <v>1</v>
      </c>
      <c r="G442" s="194">
        <v>81.580203449969304</v>
      </c>
      <c r="H442" s="195">
        <v>81.580203449969304</v>
      </c>
      <c r="I442" s="193" t="s">
        <v>541</v>
      </c>
    </row>
    <row r="443" spans="1:9" x14ac:dyDescent="0.25">
      <c r="A443" s="193" t="s">
        <v>220</v>
      </c>
      <c r="B443" s="193" t="s">
        <v>7492</v>
      </c>
      <c r="C443" s="193" t="s">
        <v>7505</v>
      </c>
      <c r="D443" s="193" t="s">
        <v>7518</v>
      </c>
      <c r="E443" s="193"/>
      <c r="F443" s="196">
        <v>1</v>
      </c>
      <c r="G443" s="194">
        <v>96.938008737320715</v>
      </c>
      <c r="H443" s="195">
        <v>96.938008737320715</v>
      </c>
      <c r="I443" s="193" t="s">
        <v>541</v>
      </c>
    </row>
    <row r="444" spans="1:9" x14ac:dyDescent="0.25">
      <c r="A444" s="193" t="s">
        <v>220</v>
      </c>
      <c r="B444" s="193" t="s">
        <v>7492</v>
      </c>
      <c r="C444" s="193" t="s">
        <v>7519</v>
      </c>
      <c r="D444" s="193" t="s">
        <v>7520</v>
      </c>
      <c r="E444" s="193"/>
      <c r="F444" s="196">
        <v>3</v>
      </c>
      <c r="G444" s="194">
        <v>83.845136136870181</v>
      </c>
      <c r="H444" s="195">
        <v>251.53540841061056</v>
      </c>
      <c r="I444" s="193" t="s">
        <v>541</v>
      </c>
    </row>
    <row r="445" spans="1:9" x14ac:dyDescent="0.25">
      <c r="A445" s="193" t="s">
        <v>220</v>
      </c>
      <c r="B445" s="193" t="s">
        <v>7492</v>
      </c>
      <c r="C445" s="193" t="s">
        <v>7512</v>
      </c>
      <c r="D445" s="193" t="s">
        <v>7521</v>
      </c>
      <c r="E445" s="193"/>
      <c r="F445" s="196">
        <v>2</v>
      </c>
      <c r="G445" s="194">
        <v>53.399175760128202</v>
      </c>
      <c r="H445" s="195">
        <v>106.7983515202564</v>
      </c>
      <c r="I445" s="193" t="s">
        <v>541</v>
      </c>
    </row>
    <row r="446" spans="1:9" x14ac:dyDescent="0.25">
      <c r="A446" s="193" t="s">
        <v>220</v>
      </c>
      <c r="B446" s="193" t="s">
        <v>7492</v>
      </c>
      <c r="C446" s="193" t="s">
        <v>2092</v>
      </c>
      <c r="D446" s="193" t="s">
        <v>7507</v>
      </c>
      <c r="E446" s="193"/>
      <c r="F446" s="196">
        <v>3</v>
      </c>
      <c r="G446" s="194">
        <v>114.83228081032046</v>
      </c>
      <c r="H446" s="195">
        <v>344.49684243096135</v>
      </c>
      <c r="I446" s="193" t="s">
        <v>536</v>
      </c>
    </row>
    <row r="447" spans="1:9" x14ac:dyDescent="0.25">
      <c r="A447" s="193" t="s">
        <v>220</v>
      </c>
      <c r="B447" s="193" t="s">
        <v>7492</v>
      </c>
      <c r="C447" s="193" t="s">
        <v>2112</v>
      </c>
      <c r="D447" s="193" t="s">
        <v>7522</v>
      </c>
      <c r="E447" s="193"/>
      <c r="F447" s="196">
        <v>3</v>
      </c>
      <c r="G447" s="194">
        <v>107.9431281306293</v>
      </c>
      <c r="H447" s="195">
        <v>323.82938439188791</v>
      </c>
      <c r="I447" s="193" t="s">
        <v>536</v>
      </c>
    </row>
    <row r="448" spans="1:9" x14ac:dyDescent="0.25">
      <c r="A448" s="193" t="s">
        <v>220</v>
      </c>
      <c r="B448" s="193" t="s">
        <v>7492</v>
      </c>
      <c r="C448" s="193" t="s">
        <v>2138</v>
      </c>
      <c r="D448" s="193" t="s">
        <v>7523</v>
      </c>
      <c r="E448" s="193"/>
      <c r="F448" s="197">
        <v>4</v>
      </c>
      <c r="G448" s="194">
        <v>55.079538929631518</v>
      </c>
      <c r="H448" s="195">
        <v>220.31815571852607</v>
      </c>
      <c r="I448" s="193" t="s">
        <v>536</v>
      </c>
    </row>
    <row r="449" spans="1:9" x14ac:dyDescent="0.25">
      <c r="A449" s="193" t="s">
        <v>220</v>
      </c>
      <c r="B449" s="193" t="s">
        <v>7492</v>
      </c>
      <c r="C449" s="193" t="s">
        <v>7498</v>
      </c>
      <c r="D449" s="193" t="s">
        <v>7515</v>
      </c>
      <c r="E449" s="193"/>
      <c r="F449" s="196">
        <v>3</v>
      </c>
      <c r="G449" s="194">
        <v>81.580203449969304</v>
      </c>
      <c r="H449" s="195">
        <v>244.74061034990791</v>
      </c>
      <c r="I449" s="193" t="s">
        <v>541</v>
      </c>
    </row>
    <row r="450" spans="1:9" x14ac:dyDescent="0.25">
      <c r="A450" s="193" t="s">
        <v>220</v>
      </c>
      <c r="B450" s="193" t="s">
        <v>7492</v>
      </c>
      <c r="C450" s="193" t="s">
        <v>2079</v>
      </c>
      <c r="D450" s="193" t="s">
        <v>7524</v>
      </c>
      <c r="E450" s="193"/>
      <c r="F450" s="198">
        <v>3</v>
      </c>
      <c r="G450" s="194">
        <v>57.044280562793176</v>
      </c>
      <c r="H450" s="195">
        <v>171.13284168837953</v>
      </c>
      <c r="I450" s="193" t="s">
        <v>536</v>
      </c>
    </row>
    <row r="451" spans="1:9" x14ac:dyDescent="0.25">
      <c r="A451" s="193" t="s">
        <v>220</v>
      </c>
      <c r="B451" s="193" t="s">
        <v>7492</v>
      </c>
      <c r="C451" s="193" t="s">
        <v>7525</v>
      </c>
      <c r="D451" s="193" t="s">
        <v>7526</v>
      </c>
      <c r="E451" s="193"/>
      <c r="F451" s="196">
        <v>3</v>
      </c>
      <c r="G451" s="194">
        <v>57.044280562793176</v>
      </c>
      <c r="H451" s="195">
        <v>171.13284168837953</v>
      </c>
      <c r="I451" s="193" t="s">
        <v>541</v>
      </c>
    </row>
    <row r="452" spans="1:9" x14ac:dyDescent="0.25">
      <c r="A452" s="193" t="s">
        <v>220</v>
      </c>
      <c r="B452" s="193" t="s">
        <v>7492</v>
      </c>
      <c r="C452" s="193" t="s">
        <v>2086</v>
      </c>
      <c r="D452" s="193" t="s">
        <v>7527</v>
      </c>
      <c r="E452" s="193"/>
      <c r="F452" s="196">
        <v>1</v>
      </c>
      <c r="G452" s="194">
        <v>101.10925669356116</v>
      </c>
      <c r="H452" s="195">
        <v>101.10925669356116</v>
      </c>
      <c r="I452" s="193" t="s">
        <v>536</v>
      </c>
    </row>
    <row r="453" spans="1:9" x14ac:dyDescent="0.25">
      <c r="A453" s="193" t="s">
        <v>220</v>
      </c>
      <c r="B453" s="193" t="s">
        <v>7492</v>
      </c>
      <c r="C453" s="193" t="s">
        <v>2066</v>
      </c>
      <c r="D453" s="193" t="s">
        <v>7528</v>
      </c>
      <c r="E453" s="193"/>
      <c r="F453" s="196">
        <v>3</v>
      </c>
      <c r="G453" s="194">
        <v>85.110514865913331</v>
      </c>
      <c r="H453" s="195">
        <v>255.33154459773999</v>
      </c>
      <c r="I453" s="193" t="s">
        <v>536</v>
      </c>
    </row>
    <row r="454" spans="1:9" x14ac:dyDescent="0.25">
      <c r="A454" s="193" t="s">
        <v>220</v>
      </c>
      <c r="B454" s="193" t="s">
        <v>7492</v>
      </c>
      <c r="C454" s="193" t="s">
        <v>2082</v>
      </c>
      <c r="D454" s="193" t="s">
        <v>7502</v>
      </c>
      <c r="E454" s="193"/>
      <c r="F454" s="196">
        <v>3</v>
      </c>
      <c r="G454" s="194">
        <v>66.041264241858556</v>
      </c>
      <c r="H454" s="195">
        <v>198.12379272557567</v>
      </c>
      <c r="I454" s="193" t="s">
        <v>536</v>
      </c>
    </row>
    <row r="455" spans="1:9" x14ac:dyDescent="0.25">
      <c r="A455" s="193" t="s">
        <v>220</v>
      </c>
      <c r="B455" s="193" t="s">
        <v>7492</v>
      </c>
      <c r="C455" s="193" t="s">
        <v>2086</v>
      </c>
      <c r="D455" s="193" t="s">
        <v>7501</v>
      </c>
      <c r="E455" s="193"/>
      <c r="F455" s="196">
        <v>3</v>
      </c>
      <c r="G455" s="194">
        <v>101.10925669356116</v>
      </c>
      <c r="H455" s="195">
        <v>303.32777008068348</v>
      </c>
      <c r="I455" s="193" t="s">
        <v>536</v>
      </c>
    </row>
    <row r="456" spans="1:9" x14ac:dyDescent="0.25">
      <c r="A456" s="193" t="s">
        <v>220</v>
      </c>
      <c r="B456" s="193" t="s">
        <v>7492</v>
      </c>
      <c r="C456" s="193" t="s">
        <v>2088</v>
      </c>
      <c r="D456" s="193" t="s">
        <v>7504</v>
      </c>
      <c r="E456" s="193"/>
      <c r="F456" s="196">
        <v>3</v>
      </c>
      <c r="G456" s="194">
        <v>81.213788257329114</v>
      </c>
      <c r="H456" s="195">
        <v>243.64136477198736</v>
      </c>
      <c r="I456" s="193" t="s">
        <v>536</v>
      </c>
    </row>
    <row r="457" spans="1:9" x14ac:dyDescent="0.25">
      <c r="A457" s="193" t="s">
        <v>220</v>
      </c>
      <c r="B457" s="193" t="s">
        <v>7492</v>
      </c>
      <c r="C457" s="193" t="s">
        <v>2082</v>
      </c>
      <c r="D457" s="193" t="s">
        <v>7502</v>
      </c>
      <c r="E457" s="193"/>
      <c r="F457" s="196">
        <v>3</v>
      </c>
      <c r="G457" s="194">
        <v>66.041264241858556</v>
      </c>
      <c r="H457" s="195">
        <v>198.12379272557567</v>
      </c>
      <c r="I457" s="193" t="s">
        <v>536</v>
      </c>
    </row>
    <row r="458" spans="1:9" x14ac:dyDescent="0.25">
      <c r="A458" s="193" t="s">
        <v>220</v>
      </c>
      <c r="B458" s="193" t="s">
        <v>7492</v>
      </c>
      <c r="C458" s="193" t="s">
        <v>7493</v>
      </c>
      <c r="D458" s="193" t="s">
        <v>7494</v>
      </c>
      <c r="E458" s="193"/>
      <c r="F458" s="196">
        <v>3</v>
      </c>
      <c r="G458" s="194">
        <v>184.86021851776422</v>
      </c>
      <c r="H458" s="195">
        <v>554.58065555329267</v>
      </c>
      <c r="I458" s="193" t="s">
        <v>541</v>
      </c>
    </row>
    <row r="459" spans="1:9" x14ac:dyDescent="0.25">
      <c r="A459" s="193" t="s">
        <v>220</v>
      </c>
      <c r="B459" s="193" t="s">
        <v>7492</v>
      </c>
      <c r="C459" s="193" t="s">
        <v>2087</v>
      </c>
      <c r="D459" s="193" t="s">
        <v>7529</v>
      </c>
      <c r="E459" s="193"/>
      <c r="F459" s="196">
        <v>2</v>
      </c>
      <c r="G459" s="194">
        <v>137.56191368150289</v>
      </c>
      <c r="H459" s="195">
        <v>275.12382736300577</v>
      </c>
      <c r="I459" s="193" t="s">
        <v>536</v>
      </c>
    </row>
    <row r="460" spans="1:9" x14ac:dyDescent="0.25">
      <c r="A460" s="193" t="s">
        <v>220</v>
      </c>
      <c r="B460" s="193" t="s">
        <v>7492</v>
      </c>
      <c r="C460" s="193" t="s">
        <v>7530</v>
      </c>
      <c r="D460" s="193" t="s">
        <v>7514</v>
      </c>
      <c r="E460" s="193"/>
      <c r="F460" s="196">
        <v>1</v>
      </c>
      <c r="G460" s="194">
        <v>57.044280562793176</v>
      </c>
      <c r="H460" s="195">
        <v>57.044280562793176</v>
      </c>
      <c r="I460" s="193" t="s">
        <v>541</v>
      </c>
    </row>
    <row r="461" spans="1:9" x14ac:dyDescent="0.25">
      <c r="A461" s="193" t="s">
        <v>220</v>
      </c>
      <c r="B461" s="193" t="s">
        <v>7492</v>
      </c>
      <c r="C461" s="193" t="s">
        <v>7531</v>
      </c>
      <c r="D461" s="193" t="s">
        <v>7532</v>
      </c>
      <c r="E461" s="193"/>
      <c r="F461" s="196">
        <v>1</v>
      </c>
      <c r="G461" s="194">
        <v>102.65399824172911</v>
      </c>
      <c r="H461" s="195">
        <v>102.65399824172911</v>
      </c>
      <c r="I461" s="193" t="s">
        <v>541</v>
      </c>
    </row>
    <row r="462" spans="1:9" x14ac:dyDescent="0.25">
      <c r="A462" s="193" t="s">
        <v>220</v>
      </c>
      <c r="B462" s="193" t="s">
        <v>7492</v>
      </c>
      <c r="C462" s="193" t="s">
        <v>7512</v>
      </c>
      <c r="D462" s="193" t="s">
        <v>7513</v>
      </c>
      <c r="E462" s="193"/>
      <c r="F462" s="196">
        <v>1</v>
      </c>
      <c r="G462" s="194">
        <v>53.399175760128202</v>
      </c>
      <c r="H462" s="195">
        <v>53.399175760128202</v>
      </c>
      <c r="I462" s="193" t="s">
        <v>541</v>
      </c>
    </row>
    <row r="463" spans="1:9" x14ac:dyDescent="0.25">
      <c r="A463" s="193" t="s">
        <v>220</v>
      </c>
      <c r="B463" s="193" t="s">
        <v>588</v>
      </c>
      <c r="C463" s="193" t="s">
        <v>825</v>
      </c>
      <c r="D463" s="193" t="s">
        <v>826</v>
      </c>
      <c r="E463" s="193" t="s">
        <v>545</v>
      </c>
      <c r="F463" s="196">
        <v>861</v>
      </c>
      <c r="G463" s="194">
        <v>12.373890012648957</v>
      </c>
      <c r="H463" s="195">
        <v>10653.919300890751</v>
      </c>
      <c r="I463" s="193" t="s">
        <v>541</v>
      </c>
    </row>
    <row r="464" spans="1:9" x14ac:dyDescent="0.25">
      <c r="A464" s="193" t="s">
        <v>220</v>
      </c>
      <c r="B464" s="193" t="s">
        <v>588</v>
      </c>
      <c r="C464" s="193" t="s">
        <v>827</v>
      </c>
      <c r="D464" s="193" t="s">
        <v>828</v>
      </c>
      <c r="E464" s="193" t="s">
        <v>545</v>
      </c>
      <c r="F464" s="196">
        <v>325</v>
      </c>
      <c r="G464" s="194">
        <v>7.9457692462815741</v>
      </c>
      <c r="H464" s="195">
        <v>2582.3750050415115</v>
      </c>
      <c r="I464" s="193" t="s">
        <v>541</v>
      </c>
    </row>
    <row r="465" spans="1:9" x14ac:dyDescent="0.25">
      <c r="A465" s="193" t="s">
        <v>220</v>
      </c>
      <c r="B465" s="193" t="s">
        <v>588</v>
      </c>
      <c r="C465" s="193" t="s">
        <v>829</v>
      </c>
      <c r="D465" s="193" t="s">
        <v>830</v>
      </c>
      <c r="E465" s="193" t="s">
        <v>545</v>
      </c>
      <c r="F465" s="196">
        <v>5646</v>
      </c>
      <c r="G465" s="194">
        <v>7.9462486792276872</v>
      </c>
      <c r="H465" s="195">
        <v>44864.520042919525</v>
      </c>
      <c r="I465" s="193" t="s">
        <v>541</v>
      </c>
    </row>
    <row r="466" spans="1:9" x14ac:dyDescent="0.25">
      <c r="A466" s="193" t="s">
        <v>220</v>
      </c>
      <c r="B466" s="193" t="s">
        <v>588</v>
      </c>
      <c r="C466" s="193" t="s">
        <v>831</v>
      </c>
      <c r="D466" s="193" t="s">
        <v>832</v>
      </c>
      <c r="E466" s="193" t="s">
        <v>545</v>
      </c>
      <c r="F466" s="196">
        <v>4310</v>
      </c>
      <c r="G466" s="194">
        <v>5.3909308724328993</v>
      </c>
      <c r="H466" s="195">
        <v>23234.912060185798</v>
      </c>
      <c r="I466" s="193" t="s">
        <v>541</v>
      </c>
    </row>
    <row r="467" spans="1:9" x14ac:dyDescent="0.25">
      <c r="A467" s="193" t="s">
        <v>220</v>
      </c>
      <c r="B467" s="193" t="s">
        <v>588</v>
      </c>
      <c r="C467" s="193" t="s">
        <v>833</v>
      </c>
      <c r="D467" s="193" t="s">
        <v>834</v>
      </c>
      <c r="E467" s="193" t="s">
        <v>545</v>
      </c>
      <c r="F467" s="196">
        <v>1040</v>
      </c>
      <c r="G467" s="194">
        <v>5.8978684019301877</v>
      </c>
      <c r="H467" s="195">
        <v>6133.7831380073949</v>
      </c>
      <c r="I467" s="193" t="s">
        <v>541</v>
      </c>
    </row>
    <row r="468" spans="1:9" x14ac:dyDescent="0.25">
      <c r="A468" s="193" t="s">
        <v>220</v>
      </c>
      <c r="B468" s="193" t="s">
        <v>588</v>
      </c>
      <c r="C468" s="193" t="s">
        <v>835</v>
      </c>
      <c r="D468" s="193" t="s">
        <v>836</v>
      </c>
      <c r="E468" s="193" t="s">
        <v>545</v>
      </c>
      <c r="F468" s="196">
        <v>1120</v>
      </c>
      <c r="G468" s="194">
        <v>4.2500357223489855</v>
      </c>
      <c r="H468" s="195">
        <v>4760.040009030864</v>
      </c>
      <c r="I468" s="193" t="s">
        <v>541</v>
      </c>
    </row>
    <row r="469" spans="1:9" x14ac:dyDescent="0.25">
      <c r="A469" s="193" t="s">
        <v>220</v>
      </c>
      <c r="B469" s="193" t="s">
        <v>588</v>
      </c>
      <c r="C469" s="193" t="s">
        <v>837</v>
      </c>
      <c r="D469" s="193" t="s">
        <v>838</v>
      </c>
      <c r="E469" s="193" t="s">
        <v>545</v>
      </c>
      <c r="F469" s="196">
        <v>2120</v>
      </c>
      <c r="G469" s="194">
        <v>5.2467793515841628</v>
      </c>
      <c r="H469" s="195">
        <v>11123.172225358425</v>
      </c>
      <c r="I469" s="193" t="s">
        <v>541</v>
      </c>
    </row>
    <row r="470" spans="1:9" x14ac:dyDescent="0.25">
      <c r="A470" s="193" t="s">
        <v>220</v>
      </c>
      <c r="B470" s="193" t="s">
        <v>588</v>
      </c>
      <c r="C470" s="193" t="s">
        <v>839</v>
      </c>
      <c r="D470" s="193" t="s">
        <v>840</v>
      </c>
      <c r="E470" s="193" t="s">
        <v>545</v>
      </c>
      <c r="F470" s="196">
        <v>5748</v>
      </c>
      <c r="G470" s="194">
        <v>5.4413322199389604</v>
      </c>
      <c r="H470" s="195">
        <v>31276.777600209145</v>
      </c>
      <c r="I470" s="193" t="s">
        <v>541</v>
      </c>
    </row>
    <row r="471" spans="1:9" x14ac:dyDescent="0.25">
      <c r="A471" s="193" t="s">
        <v>220</v>
      </c>
      <c r="B471" s="193" t="s">
        <v>588</v>
      </c>
      <c r="C471" s="193" t="s">
        <v>841</v>
      </c>
      <c r="D471" s="193" t="s">
        <v>842</v>
      </c>
      <c r="E471" s="193" t="s">
        <v>545</v>
      </c>
      <c r="F471" s="196">
        <v>2925</v>
      </c>
      <c r="G471" s="194">
        <v>4.1249721771996413</v>
      </c>
      <c r="H471" s="195">
        <v>12065.543618308951</v>
      </c>
      <c r="I471" s="193" t="s">
        <v>541</v>
      </c>
    </row>
    <row r="472" spans="1:9" x14ac:dyDescent="0.25">
      <c r="A472" s="193" t="s">
        <v>220</v>
      </c>
      <c r="B472" s="193" t="s">
        <v>588</v>
      </c>
      <c r="C472" s="193" t="s">
        <v>843</v>
      </c>
      <c r="D472" s="193" t="s">
        <v>844</v>
      </c>
      <c r="E472" s="193" t="s">
        <v>545</v>
      </c>
      <c r="F472" s="196">
        <v>6320</v>
      </c>
      <c r="G472" s="194">
        <v>5.9648175593552235</v>
      </c>
      <c r="H472" s="195">
        <v>37697.646975125012</v>
      </c>
      <c r="I472" s="193" t="s">
        <v>541</v>
      </c>
    </row>
    <row r="473" spans="1:9" x14ac:dyDescent="0.25">
      <c r="A473" s="193" t="s">
        <v>220</v>
      </c>
      <c r="B473" s="193" t="s">
        <v>588</v>
      </c>
      <c r="C473" s="193" t="s">
        <v>845</v>
      </c>
      <c r="D473" s="193" t="s">
        <v>846</v>
      </c>
      <c r="E473" s="193" t="s">
        <v>545</v>
      </c>
      <c r="F473" s="196">
        <v>3077</v>
      </c>
      <c r="G473" s="194">
        <v>5.6453024753020058</v>
      </c>
      <c r="H473" s="195">
        <v>17370.595716504271</v>
      </c>
      <c r="I473" s="193" t="s">
        <v>541</v>
      </c>
    </row>
    <row r="474" spans="1:9" x14ac:dyDescent="0.25">
      <c r="A474" s="193" t="s">
        <v>220</v>
      </c>
      <c r="B474" s="193" t="s">
        <v>588</v>
      </c>
      <c r="C474" s="193" t="s">
        <v>847</v>
      </c>
      <c r="D474" s="193" t="s">
        <v>848</v>
      </c>
      <c r="E474" s="193" t="s">
        <v>545</v>
      </c>
      <c r="F474" s="196">
        <v>2807</v>
      </c>
      <c r="G474" s="194">
        <v>5.7323337064227609</v>
      </c>
      <c r="H474" s="195">
        <v>16090.66071392869</v>
      </c>
      <c r="I474" s="193" t="s">
        <v>541</v>
      </c>
    </row>
    <row r="475" spans="1:9" x14ac:dyDescent="0.25">
      <c r="A475" s="193" t="s">
        <v>220</v>
      </c>
      <c r="B475" s="193" t="s">
        <v>588</v>
      </c>
      <c r="C475" s="193" t="s">
        <v>849</v>
      </c>
      <c r="D475" s="193" t="s">
        <v>850</v>
      </c>
      <c r="E475" s="193" t="s">
        <v>545</v>
      </c>
      <c r="F475" s="196">
        <v>432</v>
      </c>
      <c r="G475" s="194">
        <v>4.3059139447251029</v>
      </c>
      <c r="H475" s="195">
        <v>1860.1548241212445</v>
      </c>
      <c r="I475" s="193" t="s">
        <v>541</v>
      </c>
    </row>
    <row r="476" spans="1:9" x14ac:dyDescent="0.25">
      <c r="A476" s="193" t="s">
        <v>220</v>
      </c>
      <c r="B476" s="193" t="s">
        <v>588</v>
      </c>
      <c r="C476" s="193" t="s">
        <v>851</v>
      </c>
      <c r="D476" s="193" t="s">
        <v>852</v>
      </c>
      <c r="E476" s="193" t="s">
        <v>545</v>
      </c>
      <c r="F476" s="196">
        <v>10158</v>
      </c>
      <c r="G476" s="194">
        <v>5.4782695444978593</v>
      </c>
      <c r="H476" s="195">
        <v>55648.262033009254</v>
      </c>
      <c r="I476" s="193" t="s">
        <v>541</v>
      </c>
    </row>
    <row r="477" spans="1:9" x14ac:dyDescent="0.25">
      <c r="A477" s="193" t="s">
        <v>220</v>
      </c>
      <c r="B477" s="193" t="s">
        <v>588</v>
      </c>
      <c r="C477" s="193" t="s">
        <v>7533</v>
      </c>
      <c r="D477" s="193" t="s">
        <v>7534</v>
      </c>
      <c r="E477" s="193" t="s">
        <v>545</v>
      </c>
      <c r="F477" s="196">
        <v>8891</v>
      </c>
      <c r="G477" s="194">
        <v>5.7141595590273235</v>
      </c>
      <c r="H477" s="195">
        <v>50804.592639311937</v>
      </c>
      <c r="I477" s="193" t="s">
        <v>541</v>
      </c>
    </row>
    <row r="478" spans="1:9" x14ac:dyDescent="0.25">
      <c r="A478" s="193" t="s">
        <v>220</v>
      </c>
      <c r="B478" s="193" t="s">
        <v>588</v>
      </c>
      <c r="C478" s="193" t="s">
        <v>855</v>
      </c>
      <c r="D478" s="193" t="s">
        <v>856</v>
      </c>
      <c r="E478" s="193" t="s">
        <v>545</v>
      </c>
      <c r="F478" s="196">
        <v>2019</v>
      </c>
      <c r="G478" s="194">
        <v>3.5545831049279544</v>
      </c>
      <c r="H478" s="195">
        <v>7176.7032888495396</v>
      </c>
      <c r="I478" s="193" t="s">
        <v>541</v>
      </c>
    </row>
    <row r="479" spans="1:9" x14ac:dyDescent="0.25">
      <c r="A479" s="193" t="s">
        <v>220</v>
      </c>
      <c r="B479" s="193" t="s">
        <v>588</v>
      </c>
      <c r="C479" s="193" t="s">
        <v>857</v>
      </c>
      <c r="D479" s="193" t="s">
        <v>858</v>
      </c>
      <c r="E479" s="193" t="s">
        <v>545</v>
      </c>
      <c r="F479" s="196">
        <v>5259</v>
      </c>
      <c r="G479" s="194">
        <v>5.9468506015183964</v>
      </c>
      <c r="H479" s="195">
        <v>31274.487313385245</v>
      </c>
      <c r="I479" s="193" t="s">
        <v>541</v>
      </c>
    </row>
    <row r="480" spans="1:9" x14ac:dyDescent="0.25">
      <c r="A480" s="193" t="s">
        <v>220</v>
      </c>
      <c r="B480" s="193" t="s">
        <v>588</v>
      </c>
      <c r="C480" s="193" t="s">
        <v>859</v>
      </c>
      <c r="D480" s="193" t="s">
        <v>860</v>
      </c>
      <c r="E480" s="193" t="s">
        <v>545</v>
      </c>
      <c r="F480" s="196">
        <v>14102</v>
      </c>
      <c r="G480" s="194">
        <v>6.0477779713082231</v>
      </c>
      <c r="H480" s="195">
        <v>85285.76495138857</v>
      </c>
      <c r="I480" s="193" t="s">
        <v>541</v>
      </c>
    </row>
    <row r="481" spans="1:9" x14ac:dyDescent="0.25">
      <c r="A481" s="193" t="s">
        <v>220</v>
      </c>
      <c r="B481" s="193" t="s">
        <v>588</v>
      </c>
      <c r="C481" s="193" t="s">
        <v>861</v>
      </c>
      <c r="D481" s="193" t="s">
        <v>862</v>
      </c>
      <c r="E481" s="193" t="s">
        <v>545</v>
      </c>
      <c r="F481" s="196">
        <v>842</v>
      </c>
      <c r="G481" s="194">
        <v>5.9680923504620749</v>
      </c>
      <c r="H481" s="195">
        <v>5025.1337590890671</v>
      </c>
      <c r="I481" s="193" t="s">
        <v>541</v>
      </c>
    </row>
    <row r="482" spans="1:9" x14ac:dyDescent="0.25">
      <c r="A482" s="193" t="s">
        <v>220</v>
      </c>
      <c r="B482" s="193" t="s">
        <v>588</v>
      </c>
      <c r="C482" s="193" t="s">
        <v>863</v>
      </c>
      <c r="D482" s="193" t="s">
        <v>864</v>
      </c>
      <c r="E482" s="193" t="s">
        <v>545</v>
      </c>
      <c r="F482" s="196">
        <v>66</v>
      </c>
      <c r="G482" s="194">
        <v>3.4771593863103991</v>
      </c>
      <c r="H482" s="195">
        <v>229.49251949648635</v>
      </c>
      <c r="I482" s="193" t="s">
        <v>541</v>
      </c>
    </row>
    <row r="483" spans="1:9" x14ac:dyDescent="0.25">
      <c r="A483" s="193" t="s">
        <v>220</v>
      </c>
      <c r="B483" s="193" t="s">
        <v>588</v>
      </c>
      <c r="C483" s="193" t="s">
        <v>865</v>
      </c>
      <c r="D483" s="193" t="s">
        <v>866</v>
      </c>
      <c r="E483" s="193" t="s">
        <v>545</v>
      </c>
      <c r="F483" s="196">
        <v>3744</v>
      </c>
      <c r="G483" s="194">
        <v>6.3368180094906368</v>
      </c>
      <c r="H483" s="195">
        <v>23725.046627532945</v>
      </c>
      <c r="I483" s="193" t="s">
        <v>541</v>
      </c>
    </row>
    <row r="484" spans="1:9" x14ac:dyDescent="0.25">
      <c r="A484" s="193" t="s">
        <v>220</v>
      </c>
      <c r="B484" s="193" t="s">
        <v>588</v>
      </c>
      <c r="C484" s="193" t="s">
        <v>867</v>
      </c>
      <c r="D484" s="193" t="s">
        <v>868</v>
      </c>
      <c r="E484" s="193" t="s">
        <v>545</v>
      </c>
      <c r="F484" s="196">
        <v>122</v>
      </c>
      <c r="G484" s="194">
        <v>4.346584430574163</v>
      </c>
      <c r="H484" s="195">
        <v>530.28330053004788</v>
      </c>
      <c r="I484" s="193" t="s">
        <v>541</v>
      </c>
    </row>
    <row r="485" spans="1:9" x14ac:dyDescent="0.25">
      <c r="A485" s="193" t="s">
        <v>220</v>
      </c>
      <c r="B485" s="193" t="s">
        <v>588</v>
      </c>
      <c r="C485" s="193" t="s">
        <v>869</v>
      </c>
      <c r="D485" s="193" t="s">
        <v>870</v>
      </c>
      <c r="E485" s="193" t="s">
        <v>545</v>
      </c>
      <c r="F485" s="196">
        <v>1049</v>
      </c>
      <c r="G485" s="194">
        <v>8.535108410318708</v>
      </c>
      <c r="H485" s="195">
        <v>8953.328722424325</v>
      </c>
      <c r="I485" s="193" t="s">
        <v>541</v>
      </c>
    </row>
    <row r="486" spans="1:9" x14ac:dyDescent="0.25">
      <c r="A486" s="193" t="s">
        <v>220</v>
      </c>
      <c r="B486" s="193" t="s">
        <v>588</v>
      </c>
      <c r="C486" s="193" t="s">
        <v>871</v>
      </c>
      <c r="D486" s="193" t="s">
        <v>872</v>
      </c>
      <c r="E486" s="193" t="s">
        <v>545</v>
      </c>
      <c r="F486" s="196">
        <v>1043</v>
      </c>
      <c r="G486" s="194">
        <v>6.357308778341916</v>
      </c>
      <c r="H486" s="195">
        <v>6630.6730558106183</v>
      </c>
      <c r="I486" s="193" t="s">
        <v>541</v>
      </c>
    </row>
    <row r="487" spans="1:9" x14ac:dyDescent="0.25">
      <c r="A487" s="193" t="s">
        <v>220</v>
      </c>
      <c r="B487" s="193" t="s">
        <v>588</v>
      </c>
      <c r="C487" s="193" t="s">
        <v>873</v>
      </c>
      <c r="D487" s="193" t="s">
        <v>874</v>
      </c>
      <c r="E487" s="193" t="s">
        <v>545</v>
      </c>
      <c r="F487" s="196">
        <v>33</v>
      </c>
      <c r="G487" s="194">
        <v>6.6805025161624272</v>
      </c>
      <c r="H487" s="195">
        <v>220.45658303336009</v>
      </c>
      <c r="I487" s="193" t="s">
        <v>541</v>
      </c>
    </row>
    <row r="488" spans="1:9" x14ac:dyDescent="0.25">
      <c r="A488" s="193" t="s">
        <v>220</v>
      </c>
      <c r="B488" s="193" t="s">
        <v>588</v>
      </c>
      <c r="C488" s="193" t="s">
        <v>817</v>
      </c>
      <c r="D488" s="193" t="s">
        <v>875</v>
      </c>
      <c r="E488" s="193" t="s">
        <v>545</v>
      </c>
      <c r="F488" s="196">
        <v>6057</v>
      </c>
      <c r="G488" s="194">
        <v>7.9040076645121999</v>
      </c>
      <c r="H488" s="195">
        <v>47874.574423950398</v>
      </c>
      <c r="I488" s="193" t="s">
        <v>541</v>
      </c>
    </row>
    <row r="489" spans="1:9" x14ac:dyDescent="0.25">
      <c r="A489" s="193" t="s">
        <v>220</v>
      </c>
      <c r="B489" s="193" t="s">
        <v>588</v>
      </c>
      <c r="C489" s="193" t="s">
        <v>876</v>
      </c>
      <c r="D489" s="193" t="s">
        <v>877</v>
      </c>
      <c r="E489" s="193" t="s">
        <v>545</v>
      </c>
      <c r="F489" s="196">
        <v>3423</v>
      </c>
      <c r="G489" s="194">
        <v>8.053227749015468</v>
      </c>
      <c r="H489" s="195">
        <v>27566.198584879949</v>
      </c>
      <c r="I489" s="193" t="s">
        <v>541</v>
      </c>
    </row>
    <row r="490" spans="1:9" x14ac:dyDescent="0.25">
      <c r="A490" s="193" t="s">
        <v>220</v>
      </c>
      <c r="B490" s="193" t="s">
        <v>588</v>
      </c>
      <c r="C490" s="193" t="s">
        <v>882</v>
      </c>
      <c r="D490" s="193" t="s">
        <v>883</v>
      </c>
      <c r="E490" s="193" t="s">
        <v>545</v>
      </c>
      <c r="F490" s="196">
        <v>1317</v>
      </c>
      <c r="G490" s="194">
        <v>13.114255649661915</v>
      </c>
      <c r="H490" s="195">
        <v>17271.474690604744</v>
      </c>
      <c r="I490" s="193" t="s">
        <v>541</v>
      </c>
    </row>
    <row r="491" spans="1:9" x14ac:dyDescent="0.25">
      <c r="A491" s="193" t="s">
        <v>220</v>
      </c>
      <c r="B491" s="193" t="s">
        <v>588</v>
      </c>
      <c r="C491" s="193" t="s">
        <v>884</v>
      </c>
      <c r="D491" s="193" t="s">
        <v>885</v>
      </c>
      <c r="E491" s="193" t="s">
        <v>545</v>
      </c>
      <c r="F491" s="196">
        <v>140</v>
      </c>
      <c r="G491" s="194">
        <v>9.0982141647888408</v>
      </c>
      <c r="H491" s="195">
        <v>1273.7499830704378</v>
      </c>
      <c r="I491" s="193" t="s">
        <v>541</v>
      </c>
    </row>
    <row r="492" spans="1:9" x14ac:dyDescent="0.25">
      <c r="A492" s="193" t="s">
        <v>220</v>
      </c>
      <c r="B492" s="193" t="s">
        <v>588</v>
      </c>
      <c r="C492" s="193" t="s">
        <v>886</v>
      </c>
      <c r="D492" s="193" t="s">
        <v>887</v>
      </c>
      <c r="E492" s="193" t="s">
        <v>545</v>
      </c>
      <c r="F492" s="196">
        <v>2603</v>
      </c>
      <c r="G492" s="194">
        <v>17.839552188080578</v>
      </c>
      <c r="H492" s="195">
        <v>46436.354345573745</v>
      </c>
      <c r="I492" s="193" t="s">
        <v>541</v>
      </c>
    </row>
    <row r="493" spans="1:9" x14ac:dyDescent="0.25">
      <c r="A493" s="193" t="s">
        <v>220</v>
      </c>
      <c r="B493" s="193" t="s">
        <v>588</v>
      </c>
      <c r="C493" s="193" t="s">
        <v>7535</v>
      </c>
      <c r="D493" s="193" t="s">
        <v>889</v>
      </c>
      <c r="E493" s="193" t="s">
        <v>545</v>
      </c>
      <c r="F493" s="196">
        <v>1584</v>
      </c>
      <c r="G493" s="194">
        <v>8.983765</v>
      </c>
      <c r="H493" s="195">
        <v>14230.28376</v>
      </c>
      <c r="I493" s="193" t="s">
        <v>541</v>
      </c>
    </row>
    <row r="494" spans="1:9" x14ac:dyDescent="0.25">
      <c r="A494" s="193" t="s">
        <v>220</v>
      </c>
      <c r="B494" s="193" t="s">
        <v>588</v>
      </c>
      <c r="C494" s="193" t="s">
        <v>890</v>
      </c>
      <c r="D494" s="193" t="s">
        <v>891</v>
      </c>
      <c r="E494" s="193" t="s">
        <v>545</v>
      </c>
      <c r="F494" s="196">
        <v>198</v>
      </c>
      <c r="G494" s="194">
        <v>16.100236678529633</v>
      </c>
      <c r="H494" s="195">
        <v>3187.8468623488675</v>
      </c>
      <c r="I494" s="193" t="s">
        <v>541</v>
      </c>
    </row>
    <row r="495" spans="1:9" x14ac:dyDescent="0.25">
      <c r="A495" s="193" t="s">
        <v>220</v>
      </c>
      <c r="B495" s="193" t="s">
        <v>588</v>
      </c>
      <c r="C495" s="193" t="s">
        <v>892</v>
      </c>
      <c r="D495" s="193" t="s">
        <v>893</v>
      </c>
      <c r="E495" s="193" t="s">
        <v>545</v>
      </c>
      <c r="F495" s="196">
        <v>120</v>
      </c>
      <c r="G495" s="194">
        <v>9.478747837080391</v>
      </c>
      <c r="H495" s="195">
        <v>1137.4497404496469</v>
      </c>
      <c r="I495" s="193" t="s">
        <v>541</v>
      </c>
    </row>
    <row r="496" spans="1:9" x14ac:dyDescent="0.25">
      <c r="A496" s="193" t="s">
        <v>220</v>
      </c>
      <c r="B496" s="193" t="s">
        <v>588</v>
      </c>
      <c r="C496" s="193" t="s">
        <v>894</v>
      </c>
      <c r="D496" s="193" t="s">
        <v>895</v>
      </c>
      <c r="E496" s="193" t="s">
        <v>545</v>
      </c>
      <c r="F496" s="196">
        <v>577</v>
      </c>
      <c r="G496" s="194">
        <v>23.127588104431553</v>
      </c>
      <c r="H496" s="195">
        <v>13344.618336257006</v>
      </c>
      <c r="I496" s="193" t="s">
        <v>541</v>
      </c>
    </row>
    <row r="497" spans="1:9" x14ac:dyDescent="0.25">
      <c r="A497" s="193" t="s">
        <v>220</v>
      </c>
      <c r="B497" s="193" t="s">
        <v>588</v>
      </c>
      <c r="C497" s="193" t="s">
        <v>896</v>
      </c>
      <c r="D497" s="193" t="s">
        <v>897</v>
      </c>
      <c r="E497" s="193" t="s">
        <v>545</v>
      </c>
      <c r="F497" s="196">
        <v>712</v>
      </c>
      <c r="G497" s="194">
        <v>18.647961786293347</v>
      </c>
      <c r="H497" s="195">
        <v>13277.348791840863</v>
      </c>
      <c r="I497" s="193" t="s">
        <v>541</v>
      </c>
    </row>
    <row r="498" spans="1:9" x14ac:dyDescent="0.25">
      <c r="A498" s="193" t="s">
        <v>220</v>
      </c>
      <c r="B498" s="193" t="s">
        <v>588</v>
      </c>
      <c r="C498" s="193" t="s">
        <v>898</v>
      </c>
      <c r="D498" s="193" t="s">
        <v>899</v>
      </c>
      <c r="E498" s="193" t="s">
        <v>545</v>
      </c>
      <c r="F498" s="196">
        <v>60</v>
      </c>
      <c r="G498" s="194">
        <v>14.21146013360571</v>
      </c>
      <c r="H498" s="195">
        <v>852.68760801634266</v>
      </c>
      <c r="I498" s="193" t="s">
        <v>541</v>
      </c>
    </row>
    <row r="499" spans="1:9" x14ac:dyDescent="0.25">
      <c r="A499" s="193" t="s">
        <v>220</v>
      </c>
      <c r="B499" s="193" t="s">
        <v>588</v>
      </c>
      <c r="C499" s="193" t="s">
        <v>900</v>
      </c>
      <c r="D499" s="193" t="s">
        <v>901</v>
      </c>
      <c r="E499" s="193" t="s">
        <v>545</v>
      </c>
      <c r="F499" s="196">
        <v>100</v>
      </c>
      <c r="G499" s="194">
        <v>12.246265453746195</v>
      </c>
      <c r="H499" s="195">
        <v>1224.6265453746196</v>
      </c>
      <c r="I499" s="193" t="s">
        <v>541</v>
      </c>
    </row>
    <row r="500" spans="1:9" x14ac:dyDescent="0.25">
      <c r="A500" s="193" t="s">
        <v>220</v>
      </c>
      <c r="B500" s="193" t="s">
        <v>588</v>
      </c>
      <c r="C500" s="193" t="s">
        <v>902</v>
      </c>
      <c r="D500" s="193" t="s">
        <v>903</v>
      </c>
      <c r="E500" s="193" t="s">
        <v>545</v>
      </c>
      <c r="F500" s="196">
        <v>1755</v>
      </c>
      <c r="G500" s="194">
        <v>8.2255219304087159</v>
      </c>
      <c r="H500" s="195">
        <v>14435.790987867296</v>
      </c>
      <c r="I500" s="193" t="s">
        <v>541</v>
      </c>
    </row>
    <row r="501" spans="1:9" x14ac:dyDescent="0.25">
      <c r="A501" s="193" t="s">
        <v>220</v>
      </c>
      <c r="B501" s="193" t="s">
        <v>588</v>
      </c>
      <c r="C501" s="193" t="s">
        <v>813</v>
      </c>
      <c r="D501" s="193" t="s">
        <v>904</v>
      </c>
      <c r="E501" s="193" t="s">
        <v>545</v>
      </c>
      <c r="F501" s="196">
        <v>3253</v>
      </c>
      <c r="G501" s="194">
        <v>8.3328387556776438</v>
      </c>
      <c r="H501" s="195">
        <v>27106.724472219375</v>
      </c>
      <c r="I501" s="193" t="s">
        <v>541</v>
      </c>
    </row>
    <row r="502" spans="1:9" x14ac:dyDescent="0.25">
      <c r="A502" s="193" t="s">
        <v>220</v>
      </c>
      <c r="B502" s="193" t="s">
        <v>588</v>
      </c>
      <c r="C502" s="193" t="s">
        <v>905</v>
      </c>
      <c r="D502" s="193" t="s">
        <v>906</v>
      </c>
      <c r="E502" s="193" t="s">
        <v>545</v>
      </c>
      <c r="F502" s="196">
        <v>384</v>
      </c>
      <c r="G502" s="194">
        <v>6.8624613913190524</v>
      </c>
      <c r="H502" s="195">
        <v>2635.1851742665162</v>
      </c>
      <c r="I502" s="193" t="s">
        <v>541</v>
      </c>
    </row>
    <row r="503" spans="1:9" x14ac:dyDescent="0.25">
      <c r="A503" s="193" t="s">
        <v>220</v>
      </c>
      <c r="B503" s="193" t="s">
        <v>588</v>
      </c>
      <c r="C503" s="193" t="s">
        <v>907</v>
      </c>
      <c r="D503" s="193" t="s">
        <v>908</v>
      </c>
      <c r="E503" s="193" t="s">
        <v>545</v>
      </c>
      <c r="F503" s="196">
        <v>104</v>
      </c>
      <c r="G503" s="194">
        <v>36.09955101660929</v>
      </c>
      <c r="H503" s="195">
        <v>3754.3533057273662</v>
      </c>
      <c r="I503" s="193" t="s">
        <v>541</v>
      </c>
    </row>
    <row r="504" spans="1:9" x14ac:dyDescent="0.25">
      <c r="A504" s="193" t="s">
        <v>220</v>
      </c>
      <c r="B504" s="193" t="s">
        <v>588</v>
      </c>
      <c r="C504" s="193" t="s">
        <v>909</v>
      </c>
      <c r="D504" s="193" t="s">
        <v>910</v>
      </c>
      <c r="E504" s="193" t="s">
        <v>545</v>
      </c>
      <c r="F504" s="196">
        <v>800</v>
      </c>
      <c r="G504" s="194">
        <v>5.2865873581565594</v>
      </c>
      <c r="H504" s="195">
        <v>4229.2698865252478</v>
      </c>
      <c r="I504" s="193" t="s">
        <v>541</v>
      </c>
    </row>
    <row r="505" spans="1:9" x14ac:dyDescent="0.25">
      <c r="A505" s="193" t="s">
        <v>220</v>
      </c>
      <c r="B505" s="193" t="s">
        <v>588</v>
      </c>
      <c r="C505" s="193" t="s">
        <v>911</v>
      </c>
      <c r="D505" s="193" t="s">
        <v>912</v>
      </c>
      <c r="E505" s="193" t="s">
        <v>545</v>
      </c>
      <c r="F505" s="196">
        <v>460</v>
      </c>
      <c r="G505" s="194">
        <v>5.6790230360969103</v>
      </c>
      <c r="H505" s="195">
        <v>2612.3505966045786</v>
      </c>
      <c r="I505" s="193" t="s">
        <v>541</v>
      </c>
    </row>
    <row r="506" spans="1:9" x14ac:dyDescent="0.25">
      <c r="A506" s="193" t="s">
        <v>220</v>
      </c>
      <c r="B506" s="193" t="s">
        <v>588</v>
      </c>
      <c r="C506" s="193" t="s">
        <v>913</v>
      </c>
      <c r="D506" s="193" t="s">
        <v>914</v>
      </c>
      <c r="E506" s="193" t="s">
        <v>545</v>
      </c>
      <c r="F506" s="196">
        <v>469</v>
      </c>
      <c r="G506" s="194">
        <v>5.854190761007608</v>
      </c>
      <c r="H506" s="195">
        <v>2745.6154669125681</v>
      </c>
      <c r="I506" s="193" t="s">
        <v>541</v>
      </c>
    </row>
    <row r="507" spans="1:9" x14ac:dyDescent="0.25">
      <c r="A507" s="193" t="s">
        <v>220</v>
      </c>
      <c r="B507" s="193" t="s">
        <v>588</v>
      </c>
      <c r="C507" s="193" t="s">
        <v>915</v>
      </c>
      <c r="D507" s="193" t="s">
        <v>916</v>
      </c>
      <c r="E507" s="193" t="s">
        <v>545</v>
      </c>
      <c r="F507" s="196">
        <v>268</v>
      </c>
      <c r="G507" s="194">
        <v>7.1624044123330366</v>
      </c>
      <c r="H507" s="195">
        <v>1919.5243825052537</v>
      </c>
      <c r="I507" s="193" t="s">
        <v>541</v>
      </c>
    </row>
    <row r="508" spans="1:9" x14ac:dyDescent="0.25">
      <c r="A508" s="193" t="s">
        <v>220</v>
      </c>
      <c r="B508" s="193" t="s">
        <v>588</v>
      </c>
      <c r="C508" s="193" t="s">
        <v>917</v>
      </c>
      <c r="D508" s="193" t="s">
        <v>918</v>
      </c>
      <c r="E508" s="193" t="s">
        <v>545</v>
      </c>
      <c r="F508" s="196">
        <v>229</v>
      </c>
      <c r="G508" s="194">
        <v>4.5909629006197479</v>
      </c>
      <c r="H508" s="195">
        <v>1051.3305042419222</v>
      </c>
      <c r="I508" s="193" t="s">
        <v>541</v>
      </c>
    </row>
    <row r="509" spans="1:9" x14ac:dyDescent="0.25">
      <c r="A509" s="193" t="s">
        <v>220</v>
      </c>
      <c r="B509" s="193" t="s">
        <v>588</v>
      </c>
      <c r="C509" s="193" t="s">
        <v>919</v>
      </c>
      <c r="D509" s="193" t="s">
        <v>920</v>
      </c>
      <c r="E509" s="193" t="s">
        <v>545</v>
      </c>
      <c r="F509" s="196">
        <v>4000</v>
      </c>
      <c r="G509" s="194">
        <v>4.4719410869346516</v>
      </c>
      <c r="H509" s="195">
        <v>17887.764347738608</v>
      </c>
      <c r="I509" s="193" t="s">
        <v>541</v>
      </c>
    </row>
    <row r="510" spans="1:9" x14ac:dyDescent="0.25">
      <c r="A510" s="193" t="s">
        <v>220</v>
      </c>
      <c r="B510" s="193" t="s">
        <v>588</v>
      </c>
      <c r="C510" s="193" t="s">
        <v>921</v>
      </c>
      <c r="D510" s="193" t="s">
        <v>922</v>
      </c>
      <c r="E510" s="193" t="s">
        <v>545</v>
      </c>
      <c r="F510" s="196">
        <v>2502</v>
      </c>
      <c r="G510" s="194">
        <v>4.4514939447333353</v>
      </c>
      <c r="H510" s="195">
        <v>11137.637849722805</v>
      </c>
      <c r="I510" s="193" t="s">
        <v>541</v>
      </c>
    </row>
    <row r="511" spans="1:9" x14ac:dyDescent="0.25">
      <c r="A511" s="193" t="s">
        <v>220</v>
      </c>
      <c r="B511" s="193" t="s">
        <v>588</v>
      </c>
      <c r="C511" s="193" t="s">
        <v>923</v>
      </c>
      <c r="D511" s="193" t="s">
        <v>924</v>
      </c>
      <c r="E511" s="193" t="s">
        <v>545</v>
      </c>
      <c r="F511" s="196">
        <v>33</v>
      </c>
      <c r="G511" s="194">
        <v>1.8058866423822733</v>
      </c>
      <c r="H511" s="195">
        <v>59.594259198615021</v>
      </c>
      <c r="I511" s="193" t="s">
        <v>541</v>
      </c>
    </row>
    <row r="512" spans="1:9" x14ac:dyDescent="0.25">
      <c r="A512" s="193" t="s">
        <v>220</v>
      </c>
      <c r="B512" s="193" t="s">
        <v>588</v>
      </c>
      <c r="C512" s="193" t="s">
        <v>925</v>
      </c>
      <c r="D512" s="193" t="s">
        <v>926</v>
      </c>
      <c r="E512" s="193" t="s">
        <v>545</v>
      </c>
      <c r="F512" s="196">
        <v>100</v>
      </c>
      <c r="G512" s="194">
        <v>1.6838572466932886</v>
      </c>
      <c r="H512" s="195">
        <v>168.38572466932885</v>
      </c>
      <c r="I512" s="193" t="s">
        <v>541</v>
      </c>
    </row>
    <row r="513" spans="1:9" x14ac:dyDescent="0.25">
      <c r="A513" s="193" t="s">
        <v>220</v>
      </c>
      <c r="B513" s="193" t="s">
        <v>588</v>
      </c>
      <c r="C513" s="193" t="s">
        <v>927</v>
      </c>
      <c r="D513" s="193" t="s">
        <v>928</v>
      </c>
      <c r="E513" s="193" t="s">
        <v>545</v>
      </c>
      <c r="F513" s="196">
        <v>166</v>
      </c>
      <c r="G513" s="194">
        <v>1.7375056995890412</v>
      </c>
      <c r="H513" s="195">
        <v>288.42594613178085</v>
      </c>
      <c r="I513" s="193" t="s">
        <v>541</v>
      </c>
    </row>
    <row r="514" spans="1:9" x14ac:dyDescent="0.25">
      <c r="A514" s="193" t="s">
        <v>220</v>
      </c>
      <c r="B514" s="193" t="s">
        <v>588</v>
      </c>
      <c r="C514" s="193" t="s">
        <v>929</v>
      </c>
      <c r="D514" s="193" t="s">
        <v>930</v>
      </c>
      <c r="E514" s="193" t="s">
        <v>545</v>
      </c>
      <c r="F514" s="196">
        <v>2400</v>
      </c>
      <c r="G514" s="194">
        <v>3.1509544104832674</v>
      </c>
      <c r="H514" s="195">
        <v>7562.2905851598416</v>
      </c>
      <c r="I514" s="193" t="s">
        <v>541</v>
      </c>
    </row>
    <row r="515" spans="1:9" x14ac:dyDescent="0.25">
      <c r="A515" s="193" t="s">
        <v>220</v>
      </c>
      <c r="B515" s="193" t="s">
        <v>588</v>
      </c>
      <c r="C515" s="193" t="s">
        <v>931</v>
      </c>
      <c r="D515" s="193" t="s">
        <v>932</v>
      </c>
      <c r="E515" s="193" t="s">
        <v>545</v>
      </c>
      <c r="F515" s="196">
        <v>600</v>
      </c>
      <c r="G515" s="194">
        <v>3.1509544104832674</v>
      </c>
      <c r="H515" s="195">
        <v>1890.5726462899604</v>
      </c>
      <c r="I515" s="193" t="s">
        <v>541</v>
      </c>
    </row>
    <row r="516" spans="1:9" x14ac:dyDescent="0.25">
      <c r="A516" s="193" t="s">
        <v>220</v>
      </c>
      <c r="B516" s="193" t="s">
        <v>588</v>
      </c>
      <c r="C516" s="193" t="s">
        <v>933</v>
      </c>
      <c r="D516" s="193" t="s">
        <v>934</v>
      </c>
      <c r="E516" s="193" t="s">
        <v>545</v>
      </c>
      <c r="F516" s="196">
        <v>126</v>
      </c>
      <c r="G516" s="194">
        <v>3.587914531954393</v>
      </c>
      <c r="H516" s="195">
        <v>452.07723102625351</v>
      </c>
      <c r="I516" s="193" t="s">
        <v>541</v>
      </c>
    </row>
    <row r="517" spans="1:9" x14ac:dyDescent="0.25">
      <c r="A517" s="193" t="s">
        <v>220</v>
      </c>
      <c r="B517" s="193" t="s">
        <v>588</v>
      </c>
      <c r="C517" s="193" t="s">
        <v>935</v>
      </c>
      <c r="D517" s="193" t="s">
        <v>936</v>
      </c>
      <c r="E517" s="193" t="s">
        <v>545</v>
      </c>
      <c r="F517" s="196">
        <v>112</v>
      </c>
      <c r="G517" s="194">
        <v>3.6576161250341985</v>
      </c>
      <c r="H517" s="195">
        <v>409.65300600383023</v>
      </c>
      <c r="I517" s="193" t="s">
        <v>541</v>
      </c>
    </row>
    <row r="518" spans="1:9" x14ac:dyDescent="0.25">
      <c r="A518" s="193" t="s">
        <v>220</v>
      </c>
      <c r="B518" s="193" t="s">
        <v>588</v>
      </c>
      <c r="C518" s="193" t="s">
        <v>937</v>
      </c>
      <c r="D518" s="193" t="s">
        <v>938</v>
      </c>
      <c r="E518" s="193" t="s">
        <v>545</v>
      </c>
      <c r="F518" s="196">
        <v>6373</v>
      </c>
      <c r="G518" s="194">
        <v>4.0436779169907302</v>
      </c>
      <c r="H518" s="195">
        <v>25770.359364981923</v>
      </c>
      <c r="I518" s="193" t="s">
        <v>541</v>
      </c>
    </row>
    <row r="519" spans="1:9" x14ac:dyDescent="0.25">
      <c r="A519" s="193" t="s">
        <v>220</v>
      </c>
      <c r="B519" s="193" t="s">
        <v>588</v>
      </c>
      <c r="C519" s="193" t="s">
        <v>939</v>
      </c>
      <c r="D519" s="193" t="s">
        <v>940</v>
      </c>
      <c r="E519" s="193" t="s">
        <v>545</v>
      </c>
      <c r="F519" s="196">
        <v>5208</v>
      </c>
      <c r="G519" s="194">
        <v>4.0455078400798747</v>
      </c>
      <c r="H519" s="195">
        <v>21069.004831135986</v>
      </c>
      <c r="I519" s="193" t="s">
        <v>541</v>
      </c>
    </row>
    <row r="520" spans="1:9" x14ac:dyDescent="0.25">
      <c r="A520" s="193" t="s">
        <v>220</v>
      </c>
      <c r="B520" s="193" t="s">
        <v>588</v>
      </c>
      <c r="C520" s="193" t="s">
        <v>941</v>
      </c>
      <c r="D520" s="193" t="s">
        <v>942</v>
      </c>
      <c r="E520" s="193" t="s">
        <v>545</v>
      </c>
      <c r="F520" s="196">
        <v>182</v>
      </c>
      <c r="G520" s="194">
        <v>0.24200000000000002</v>
      </c>
      <c r="H520" s="195">
        <v>44.044000000000004</v>
      </c>
      <c r="I520" s="193" t="s">
        <v>541</v>
      </c>
    </row>
    <row r="521" spans="1:9" x14ac:dyDescent="0.25">
      <c r="A521" s="193" t="s">
        <v>220</v>
      </c>
      <c r="B521" s="193" t="s">
        <v>588</v>
      </c>
      <c r="C521" s="193" t="s">
        <v>943</v>
      </c>
      <c r="D521" s="193" t="s">
        <v>944</v>
      </c>
      <c r="E521" s="193" t="s">
        <v>545</v>
      </c>
      <c r="F521" s="196">
        <v>414</v>
      </c>
      <c r="G521" s="194">
        <v>4.8445442390232882</v>
      </c>
      <c r="H521" s="195">
        <v>2005.6413149556413</v>
      </c>
      <c r="I521" s="193" t="s">
        <v>541</v>
      </c>
    </row>
    <row r="522" spans="1:9" x14ac:dyDescent="0.25">
      <c r="A522" s="193" t="s">
        <v>220</v>
      </c>
      <c r="B522" s="193" t="s">
        <v>588</v>
      </c>
      <c r="C522" s="193" t="s">
        <v>945</v>
      </c>
      <c r="D522" s="193" t="s">
        <v>946</v>
      </c>
      <c r="E522" s="193" t="s">
        <v>545</v>
      </c>
      <c r="F522" s="196">
        <v>774</v>
      </c>
      <c r="G522" s="194">
        <v>4.07</v>
      </c>
      <c r="H522" s="195">
        <v>3150.1800000000003</v>
      </c>
      <c r="I522" s="193" t="s">
        <v>541</v>
      </c>
    </row>
    <row r="523" spans="1:9" x14ac:dyDescent="0.25">
      <c r="A523" s="193" t="s">
        <v>220</v>
      </c>
      <c r="B523" s="193" t="s">
        <v>588</v>
      </c>
      <c r="C523" s="193" t="s">
        <v>947</v>
      </c>
      <c r="D523" s="193" t="s">
        <v>948</v>
      </c>
      <c r="E523" s="193" t="s">
        <v>545</v>
      </c>
      <c r="F523" s="196">
        <v>51</v>
      </c>
      <c r="G523" s="194">
        <v>5.2794782884201883</v>
      </c>
      <c r="H523" s="195">
        <v>269.25339270942959</v>
      </c>
      <c r="I523" s="193" t="s">
        <v>541</v>
      </c>
    </row>
    <row r="524" spans="1:9" x14ac:dyDescent="0.25">
      <c r="A524" s="193" t="s">
        <v>220</v>
      </c>
      <c r="B524" s="193" t="s">
        <v>588</v>
      </c>
      <c r="C524" s="193" t="s">
        <v>949</v>
      </c>
      <c r="D524" s="193" t="s">
        <v>950</v>
      </c>
      <c r="E524" s="193" t="s">
        <v>545</v>
      </c>
      <c r="F524" s="196">
        <v>2560</v>
      </c>
      <c r="G524" s="194">
        <v>4.6089807827158351</v>
      </c>
      <c r="H524" s="195">
        <v>11798.990803752538</v>
      </c>
      <c r="I524" s="193" t="s">
        <v>541</v>
      </c>
    </row>
    <row r="525" spans="1:9" x14ac:dyDescent="0.25">
      <c r="A525" s="193" t="s">
        <v>220</v>
      </c>
      <c r="B525" s="193" t="s">
        <v>588</v>
      </c>
      <c r="C525" s="193" t="s">
        <v>951</v>
      </c>
      <c r="D525" s="193" t="s">
        <v>952</v>
      </c>
      <c r="E525" s="193" t="s">
        <v>545</v>
      </c>
      <c r="F525" s="196">
        <v>449</v>
      </c>
      <c r="G525" s="194">
        <v>4.803858124576502</v>
      </c>
      <c r="H525" s="195">
        <v>2156.9322979348494</v>
      </c>
      <c r="I525" s="193" t="s">
        <v>541</v>
      </c>
    </row>
    <row r="526" spans="1:9" x14ac:dyDescent="0.25">
      <c r="A526" s="193" t="s">
        <v>220</v>
      </c>
      <c r="B526" s="193" t="s">
        <v>588</v>
      </c>
      <c r="C526" s="193" t="s">
        <v>953</v>
      </c>
      <c r="D526" s="193" t="s">
        <v>954</v>
      </c>
      <c r="E526" s="193" t="s">
        <v>545</v>
      </c>
      <c r="F526" s="196">
        <v>1765</v>
      </c>
      <c r="G526" s="194">
        <v>4.4099669915444535</v>
      </c>
      <c r="H526" s="195">
        <v>7783.5917400759608</v>
      </c>
      <c r="I526" s="193" t="s">
        <v>541</v>
      </c>
    </row>
    <row r="527" spans="1:9" x14ac:dyDescent="0.25">
      <c r="A527" s="193" t="s">
        <v>220</v>
      </c>
      <c r="B527" s="193" t="s">
        <v>588</v>
      </c>
      <c r="C527" s="193" t="s">
        <v>955</v>
      </c>
      <c r="D527" s="193" t="s">
        <v>956</v>
      </c>
      <c r="E527" s="193" t="s">
        <v>545</v>
      </c>
      <c r="F527" s="196">
        <v>6432</v>
      </c>
      <c r="G527" s="194">
        <v>4.3893574056383295</v>
      </c>
      <c r="H527" s="195">
        <v>28232.346833065734</v>
      </c>
      <c r="I527" s="193" t="s">
        <v>541</v>
      </c>
    </row>
    <row r="528" spans="1:9" x14ac:dyDescent="0.25">
      <c r="A528" s="193" t="s">
        <v>220</v>
      </c>
      <c r="B528" s="193" t="s">
        <v>588</v>
      </c>
      <c r="C528" s="193" t="s">
        <v>957</v>
      </c>
      <c r="D528" s="193" t="s">
        <v>958</v>
      </c>
      <c r="E528" s="193" t="s">
        <v>545</v>
      </c>
      <c r="F528" s="196">
        <v>2751</v>
      </c>
      <c r="G528" s="194">
        <v>4.3222877881831794</v>
      </c>
      <c r="H528" s="195">
        <v>11890.613705291926</v>
      </c>
      <c r="I528" s="193" t="s">
        <v>541</v>
      </c>
    </row>
    <row r="529" spans="1:9" x14ac:dyDescent="0.25">
      <c r="A529" s="193" t="s">
        <v>220</v>
      </c>
      <c r="B529" s="193" t="s">
        <v>588</v>
      </c>
      <c r="C529" s="193" t="s">
        <v>959</v>
      </c>
      <c r="D529" s="193" t="s">
        <v>960</v>
      </c>
      <c r="E529" s="193" t="s">
        <v>545</v>
      </c>
      <c r="F529" s="196">
        <v>16641</v>
      </c>
      <c r="G529" s="194">
        <v>4.3236851050961489</v>
      </c>
      <c r="H529" s="195">
        <v>71950.44383390501</v>
      </c>
      <c r="I529" s="193" t="s">
        <v>541</v>
      </c>
    </row>
    <row r="530" spans="1:9" x14ac:dyDescent="0.25">
      <c r="A530" s="193" t="s">
        <v>220</v>
      </c>
      <c r="B530" s="193" t="s">
        <v>588</v>
      </c>
      <c r="C530" s="193" t="s">
        <v>961</v>
      </c>
      <c r="D530" s="193" t="s">
        <v>962</v>
      </c>
      <c r="E530" s="193" t="s">
        <v>545</v>
      </c>
      <c r="F530" s="196">
        <v>271</v>
      </c>
      <c r="G530" s="194">
        <v>4.9036150838996004</v>
      </c>
      <c r="H530" s="195">
        <v>1328.8796877367918</v>
      </c>
      <c r="I530" s="193" t="s">
        <v>541</v>
      </c>
    </row>
    <row r="531" spans="1:9" x14ac:dyDescent="0.25">
      <c r="A531" s="193" t="s">
        <v>220</v>
      </c>
      <c r="B531" s="193" t="s">
        <v>588</v>
      </c>
      <c r="C531" s="193" t="s">
        <v>963</v>
      </c>
      <c r="D531" s="193" t="s">
        <v>964</v>
      </c>
      <c r="E531" s="193" t="s">
        <v>545</v>
      </c>
      <c r="F531" s="196">
        <v>1435</v>
      </c>
      <c r="G531" s="194">
        <v>3.2293108743729602</v>
      </c>
      <c r="H531" s="195">
        <v>4634.0611047251978</v>
      </c>
      <c r="I531" s="193" t="s">
        <v>541</v>
      </c>
    </row>
    <row r="532" spans="1:9" x14ac:dyDescent="0.25">
      <c r="A532" s="193" t="s">
        <v>220</v>
      </c>
      <c r="B532" s="193" t="s">
        <v>588</v>
      </c>
      <c r="C532" s="193" t="s">
        <v>965</v>
      </c>
      <c r="D532" s="193" t="s">
        <v>966</v>
      </c>
      <c r="E532" s="193" t="s">
        <v>545</v>
      </c>
      <c r="F532" s="196">
        <v>384</v>
      </c>
      <c r="G532" s="194">
        <v>5.5569070193330568</v>
      </c>
      <c r="H532" s="195">
        <v>2133.8522954238938</v>
      </c>
      <c r="I532" s="193" t="s">
        <v>541</v>
      </c>
    </row>
    <row r="533" spans="1:9" x14ac:dyDescent="0.25">
      <c r="A533" s="193" t="s">
        <v>220</v>
      </c>
      <c r="B533" s="193" t="s">
        <v>588</v>
      </c>
      <c r="C533" s="193" t="s">
        <v>967</v>
      </c>
      <c r="D533" s="193" t="s">
        <v>968</v>
      </c>
      <c r="E533" s="193" t="s">
        <v>545</v>
      </c>
      <c r="F533" s="196">
        <v>3500</v>
      </c>
      <c r="G533" s="194">
        <v>4.8250600596433681</v>
      </c>
      <c r="H533" s="195">
        <v>16887.710208751789</v>
      </c>
      <c r="I533" s="193" t="s">
        <v>541</v>
      </c>
    </row>
    <row r="534" spans="1:9" x14ac:dyDescent="0.25">
      <c r="A534" s="193" t="s">
        <v>220</v>
      </c>
      <c r="B534" s="193" t="s">
        <v>588</v>
      </c>
      <c r="C534" s="193" t="s">
        <v>969</v>
      </c>
      <c r="D534" s="193" t="s">
        <v>970</v>
      </c>
      <c r="E534" s="193" t="s">
        <v>545</v>
      </c>
      <c r="F534" s="196">
        <v>14524</v>
      </c>
      <c r="G534" s="194">
        <v>4.535083835994218</v>
      </c>
      <c r="H534" s="195">
        <v>65867.557633980017</v>
      </c>
      <c r="I534" s="193" t="s">
        <v>541</v>
      </c>
    </row>
    <row r="535" spans="1:9" x14ac:dyDescent="0.25">
      <c r="A535" s="193" t="s">
        <v>220</v>
      </c>
      <c r="B535" s="193" t="s">
        <v>588</v>
      </c>
      <c r="C535" s="193" t="s">
        <v>971</v>
      </c>
      <c r="D535" s="193" t="s">
        <v>972</v>
      </c>
      <c r="E535" s="193" t="s">
        <v>545</v>
      </c>
      <c r="F535" s="196">
        <v>13111</v>
      </c>
      <c r="G535" s="194">
        <v>5.1094136548213882</v>
      </c>
      <c r="H535" s="195">
        <v>66989.522428363227</v>
      </c>
      <c r="I535" s="193" t="s">
        <v>541</v>
      </c>
    </row>
    <row r="536" spans="1:9" x14ac:dyDescent="0.25">
      <c r="A536" s="193" t="s">
        <v>220</v>
      </c>
      <c r="B536" s="193" t="s">
        <v>588</v>
      </c>
      <c r="C536" s="193" t="s">
        <v>973</v>
      </c>
      <c r="D536" s="193" t="s">
        <v>974</v>
      </c>
      <c r="E536" s="193" t="s">
        <v>545</v>
      </c>
      <c r="F536" s="196">
        <v>35</v>
      </c>
      <c r="G536" s="194">
        <v>6.2201157594826944</v>
      </c>
      <c r="H536" s="195">
        <v>217.7040515818943</v>
      </c>
      <c r="I536" s="193" t="s">
        <v>541</v>
      </c>
    </row>
    <row r="537" spans="1:9" x14ac:dyDescent="0.25">
      <c r="A537" s="193" t="s">
        <v>220</v>
      </c>
      <c r="B537" s="193" t="s">
        <v>588</v>
      </c>
      <c r="C537" s="193" t="s">
        <v>975</v>
      </c>
      <c r="D537" s="193" t="s">
        <v>976</v>
      </c>
      <c r="E537" s="193" t="s">
        <v>545</v>
      </c>
      <c r="F537" s="196">
        <v>29</v>
      </c>
      <c r="G537" s="194">
        <v>5.5717188019478296</v>
      </c>
      <c r="H537" s="195">
        <v>161.57984525648706</v>
      </c>
      <c r="I537" s="193" t="s">
        <v>541</v>
      </c>
    </row>
    <row r="538" spans="1:9" x14ac:dyDescent="0.25">
      <c r="A538" s="193" t="s">
        <v>220</v>
      </c>
      <c r="B538" s="193" t="s">
        <v>588</v>
      </c>
      <c r="C538" s="193" t="s">
        <v>977</v>
      </c>
      <c r="D538" s="193" t="s">
        <v>978</v>
      </c>
      <c r="E538" s="193" t="s">
        <v>545</v>
      </c>
      <c r="F538" s="196">
        <v>44</v>
      </c>
      <c r="G538" s="194">
        <v>6.8493448357360753</v>
      </c>
      <c r="H538" s="195">
        <v>301.3711727723873</v>
      </c>
      <c r="I538" s="193" t="s">
        <v>541</v>
      </c>
    </row>
    <row r="539" spans="1:9" x14ac:dyDescent="0.25">
      <c r="A539" s="193" t="s">
        <v>220</v>
      </c>
      <c r="B539" s="193" t="s">
        <v>588</v>
      </c>
      <c r="C539" s="193" t="s">
        <v>979</v>
      </c>
      <c r="D539" s="193" t="s">
        <v>980</v>
      </c>
      <c r="E539" s="193" t="s">
        <v>545</v>
      </c>
      <c r="F539" s="196">
        <v>2740</v>
      </c>
      <c r="G539" s="194">
        <v>5.0414773035907157</v>
      </c>
      <c r="H539" s="195">
        <v>13813.64781183856</v>
      </c>
      <c r="I539" s="193" t="s">
        <v>541</v>
      </c>
    </row>
    <row r="540" spans="1:9" x14ac:dyDescent="0.25">
      <c r="A540" s="193" t="s">
        <v>220</v>
      </c>
      <c r="B540" s="193" t="s">
        <v>588</v>
      </c>
      <c r="C540" s="193" t="s">
        <v>981</v>
      </c>
      <c r="D540" s="193" t="s">
        <v>982</v>
      </c>
      <c r="E540" s="193" t="s">
        <v>545</v>
      </c>
      <c r="F540" s="196">
        <v>15840</v>
      </c>
      <c r="G540" s="194">
        <v>4.689254383144843</v>
      </c>
      <c r="H540" s="195">
        <v>74277.789429014316</v>
      </c>
      <c r="I540" s="193" t="s">
        <v>541</v>
      </c>
    </row>
    <row r="541" spans="1:9" x14ac:dyDescent="0.25">
      <c r="A541" s="193" t="s">
        <v>220</v>
      </c>
      <c r="B541" s="193" t="s">
        <v>588</v>
      </c>
      <c r="C541" s="193" t="s">
        <v>983</v>
      </c>
      <c r="D541" s="193" t="s">
        <v>984</v>
      </c>
      <c r="E541" s="193" t="s">
        <v>545</v>
      </c>
      <c r="F541" s="196">
        <v>1520</v>
      </c>
      <c r="G541" s="194">
        <v>5.9459098552887735</v>
      </c>
      <c r="H541" s="195">
        <v>9037.7829800389354</v>
      </c>
      <c r="I541" s="193" t="s">
        <v>541</v>
      </c>
    </row>
    <row r="542" spans="1:9" x14ac:dyDescent="0.25">
      <c r="A542" s="193" t="s">
        <v>220</v>
      </c>
      <c r="B542" s="193" t="s">
        <v>588</v>
      </c>
      <c r="C542" s="193" t="s">
        <v>987</v>
      </c>
      <c r="D542" s="193" t="s">
        <v>988</v>
      </c>
      <c r="E542" s="193" t="s">
        <v>545</v>
      </c>
      <c r="F542" s="196">
        <v>699</v>
      </c>
      <c r="G542" s="194">
        <v>0.45100000000000001</v>
      </c>
      <c r="H542" s="195">
        <v>315.24900000000002</v>
      </c>
      <c r="I542" s="193" t="s">
        <v>541</v>
      </c>
    </row>
    <row r="543" spans="1:9" x14ac:dyDescent="0.25">
      <c r="A543" s="193" t="s">
        <v>220</v>
      </c>
      <c r="B543" s="193" t="s">
        <v>588</v>
      </c>
      <c r="C543" s="193" t="s">
        <v>989</v>
      </c>
      <c r="D543" s="193" t="s">
        <v>990</v>
      </c>
      <c r="E543" s="193" t="s">
        <v>545</v>
      </c>
      <c r="F543" s="196">
        <v>27</v>
      </c>
      <c r="G543" s="194">
        <v>6.4735627942378278</v>
      </c>
      <c r="H543" s="195">
        <v>174.78619544442134</v>
      </c>
      <c r="I543" s="193" t="s">
        <v>541</v>
      </c>
    </row>
    <row r="544" spans="1:9" x14ac:dyDescent="0.25">
      <c r="A544" s="193" t="s">
        <v>220</v>
      </c>
      <c r="B544" s="193" t="s">
        <v>588</v>
      </c>
      <c r="C544" s="193" t="s">
        <v>991</v>
      </c>
      <c r="D544" s="193" t="s">
        <v>992</v>
      </c>
      <c r="E544" s="193" t="s">
        <v>545</v>
      </c>
      <c r="F544" s="196">
        <v>862</v>
      </c>
      <c r="G544" s="194">
        <v>4.2218079140908236</v>
      </c>
      <c r="H544" s="195">
        <v>3639.1984219462897</v>
      </c>
      <c r="I544" s="193" t="s">
        <v>541</v>
      </c>
    </row>
    <row r="545" spans="1:9" x14ac:dyDescent="0.25">
      <c r="A545" s="193" t="s">
        <v>220</v>
      </c>
      <c r="B545" s="193" t="s">
        <v>588</v>
      </c>
      <c r="C545" s="193" t="s">
        <v>993</v>
      </c>
      <c r="D545" s="193" t="s">
        <v>994</v>
      </c>
      <c r="E545" s="193" t="s">
        <v>545</v>
      </c>
      <c r="F545" s="196">
        <v>127</v>
      </c>
      <c r="G545" s="194">
        <v>3.6604320471050991</v>
      </c>
      <c r="H545" s="195">
        <v>464.8748699823476</v>
      </c>
      <c r="I545" s="193" t="s">
        <v>541</v>
      </c>
    </row>
    <row r="546" spans="1:9" x14ac:dyDescent="0.25">
      <c r="A546" s="193" t="s">
        <v>220</v>
      </c>
      <c r="B546" s="193" t="s">
        <v>588</v>
      </c>
      <c r="C546" s="193" t="s">
        <v>995</v>
      </c>
      <c r="D546" s="193" t="s">
        <v>996</v>
      </c>
      <c r="E546" s="193" t="s">
        <v>545</v>
      </c>
      <c r="F546" s="196">
        <v>918</v>
      </c>
      <c r="G546" s="194">
        <v>5.0516859086628108</v>
      </c>
      <c r="H546" s="195">
        <v>4637.4476641524607</v>
      </c>
      <c r="I546" s="193" t="s">
        <v>541</v>
      </c>
    </row>
    <row r="547" spans="1:9" x14ac:dyDescent="0.25">
      <c r="A547" s="193" t="s">
        <v>220</v>
      </c>
      <c r="B547" s="193" t="s">
        <v>588</v>
      </c>
      <c r="C547" s="193" t="s">
        <v>999</v>
      </c>
      <c r="D547" s="193" t="s">
        <v>1000</v>
      </c>
      <c r="E547" s="193" t="s">
        <v>545</v>
      </c>
      <c r="F547" s="196">
        <v>1666</v>
      </c>
      <c r="G547" s="194">
        <v>5.0558064198649921</v>
      </c>
      <c r="H547" s="195">
        <v>8422.9734954950763</v>
      </c>
      <c r="I547" s="193" t="s">
        <v>541</v>
      </c>
    </row>
    <row r="548" spans="1:9" x14ac:dyDescent="0.25">
      <c r="A548" s="193" t="s">
        <v>220</v>
      </c>
      <c r="B548" s="193" t="s">
        <v>588</v>
      </c>
      <c r="C548" s="193" t="s">
        <v>1001</v>
      </c>
      <c r="D548" s="193" t="s">
        <v>1002</v>
      </c>
      <c r="E548" s="193"/>
      <c r="F548" s="196">
        <v>32</v>
      </c>
      <c r="G548" s="194">
        <v>9.0035729357088083</v>
      </c>
      <c r="H548" s="195">
        <v>288.11433394268187</v>
      </c>
      <c r="I548" s="193" t="s">
        <v>541</v>
      </c>
    </row>
    <row r="549" spans="1:9" x14ac:dyDescent="0.25">
      <c r="A549" s="193" t="s">
        <v>220</v>
      </c>
      <c r="B549" s="193" t="s">
        <v>588</v>
      </c>
      <c r="C549" s="193" t="s">
        <v>819</v>
      </c>
      <c r="D549" s="193" t="s">
        <v>820</v>
      </c>
      <c r="E549" s="193" t="s">
        <v>545</v>
      </c>
      <c r="F549" s="196">
        <v>7362</v>
      </c>
      <c r="G549" s="194">
        <v>3.1402019961046164</v>
      </c>
      <c r="H549" s="195">
        <v>23118.167095322187</v>
      </c>
      <c r="I549" s="193" t="s">
        <v>541</v>
      </c>
    </row>
    <row r="550" spans="1:9" x14ac:dyDescent="0.25">
      <c r="A550" s="193" t="s">
        <v>220</v>
      </c>
      <c r="B550" s="193" t="s">
        <v>588</v>
      </c>
      <c r="C550" s="193" t="s">
        <v>1003</v>
      </c>
      <c r="D550" s="193" t="s">
        <v>1004</v>
      </c>
      <c r="E550" s="193" t="s">
        <v>545</v>
      </c>
      <c r="F550" s="196">
        <v>241</v>
      </c>
      <c r="G550" s="194">
        <v>4.0065036896362285</v>
      </c>
      <c r="H550" s="195">
        <v>965.56738920233101</v>
      </c>
      <c r="I550" s="193" t="s">
        <v>541</v>
      </c>
    </row>
    <row r="551" spans="1:9" x14ac:dyDescent="0.25">
      <c r="A551" s="193" t="s">
        <v>220</v>
      </c>
      <c r="B551" s="193" t="s">
        <v>588</v>
      </c>
      <c r="C551" s="193" t="s">
        <v>1005</v>
      </c>
      <c r="D551" s="193" t="s">
        <v>1006</v>
      </c>
      <c r="E551" s="193" t="s">
        <v>545</v>
      </c>
      <c r="F551" s="196">
        <v>758</v>
      </c>
      <c r="G551" s="194">
        <v>3.0321303557388903</v>
      </c>
      <c r="H551" s="195">
        <v>2298.354809650079</v>
      </c>
      <c r="I551" s="193" t="s">
        <v>541</v>
      </c>
    </row>
    <row r="552" spans="1:9" x14ac:dyDescent="0.25">
      <c r="A552" s="193" t="s">
        <v>220</v>
      </c>
      <c r="B552" s="193" t="s">
        <v>588</v>
      </c>
      <c r="C552" s="193" t="s">
        <v>1011</v>
      </c>
      <c r="D552" s="193" t="s">
        <v>1012</v>
      </c>
      <c r="E552" s="193" t="s">
        <v>545</v>
      </c>
      <c r="F552" s="196">
        <v>3977</v>
      </c>
      <c r="G552" s="194">
        <v>3.7932290595826137</v>
      </c>
      <c r="H552" s="195">
        <v>15085.671969960054</v>
      </c>
      <c r="I552" s="193" t="s">
        <v>541</v>
      </c>
    </row>
    <row r="553" spans="1:9" x14ac:dyDescent="0.25">
      <c r="A553" s="193" t="s">
        <v>220</v>
      </c>
      <c r="B553" s="193" t="s">
        <v>588</v>
      </c>
      <c r="C553" s="193" t="s">
        <v>1013</v>
      </c>
      <c r="D553" s="193" t="s">
        <v>1014</v>
      </c>
      <c r="E553" s="193" t="s">
        <v>545</v>
      </c>
      <c r="F553" s="196">
        <v>1790</v>
      </c>
      <c r="G553" s="194">
        <v>3.8291108592534551</v>
      </c>
      <c r="H553" s="195">
        <v>6854.1084380636848</v>
      </c>
      <c r="I553" s="193" t="s">
        <v>541</v>
      </c>
    </row>
    <row r="554" spans="1:9" x14ac:dyDescent="0.25">
      <c r="A554" s="193" t="s">
        <v>220</v>
      </c>
      <c r="B554" s="193" t="s">
        <v>588</v>
      </c>
      <c r="C554" s="193" t="s">
        <v>1015</v>
      </c>
      <c r="D554" s="193" t="s">
        <v>1016</v>
      </c>
      <c r="E554" s="193" t="s">
        <v>545</v>
      </c>
      <c r="F554" s="196">
        <v>394</v>
      </c>
      <c r="G554" s="194">
        <v>4.0292730848688931</v>
      </c>
      <c r="H554" s="195">
        <v>1587.5335954383438</v>
      </c>
      <c r="I554" s="193" t="s">
        <v>541</v>
      </c>
    </row>
    <row r="555" spans="1:9" x14ac:dyDescent="0.25">
      <c r="A555" s="193" t="s">
        <v>220</v>
      </c>
      <c r="B555" s="193" t="s">
        <v>588</v>
      </c>
      <c r="C555" s="193" t="s">
        <v>1017</v>
      </c>
      <c r="D555" s="193" t="s">
        <v>1018</v>
      </c>
      <c r="E555" s="193" t="s">
        <v>545</v>
      </c>
      <c r="F555" s="196">
        <v>382</v>
      </c>
      <c r="G555" s="194">
        <v>5.4119601166528746</v>
      </c>
      <c r="H555" s="195">
        <v>2067.3687645613982</v>
      </c>
      <c r="I555" s="193" t="s">
        <v>541</v>
      </c>
    </row>
    <row r="556" spans="1:9" x14ac:dyDescent="0.25">
      <c r="A556" s="193" t="s">
        <v>220</v>
      </c>
      <c r="B556" s="193" t="s">
        <v>588</v>
      </c>
      <c r="C556" s="193" t="s">
        <v>1019</v>
      </c>
      <c r="D556" s="193" t="s">
        <v>1020</v>
      </c>
      <c r="E556" s="193" t="s">
        <v>545</v>
      </c>
      <c r="F556" s="196">
        <v>61</v>
      </c>
      <c r="G556" s="194">
        <v>3.799210713387116</v>
      </c>
      <c r="H556" s="195">
        <v>231.75185351661409</v>
      </c>
      <c r="I556" s="193" t="s">
        <v>541</v>
      </c>
    </row>
    <row r="557" spans="1:9" x14ac:dyDescent="0.25">
      <c r="A557" s="193" t="s">
        <v>220</v>
      </c>
      <c r="B557" s="193" t="s">
        <v>588</v>
      </c>
      <c r="C557" s="193" t="s">
        <v>1021</v>
      </c>
      <c r="D557" s="193" t="s">
        <v>1022</v>
      </c>
      <c r="E557" s="193" t="s">
        <v>545</v>
      </c>
      <c r="F557" s="196">
        <v>139</v>
      </c>
      <c r="G557" s="194">
        <v>4.3210521017805297</v>
      </c>
      <c r="H557" s="195">
        <v>600.6262421474936</v>
      </c>
      <c r="I557" s="193" t="s">
        <v>541</v>
      </c>
    </row>
    <row r="558" spans="1:9" x14ac:dyDescent="0.25">
      <c r="A558" s="193" t="s">
        <v>220</v>
      </c>
      <c r="B558" s="193" t="s">
        <v>588</v>
      </c>
      <c r="C558" s="193" t="s">
        <v>1023</v>
      </c>
      <c r="D558" s="193" t="s">
        <v>1024</v>
      </c>
      <c r="E558" s="193" t="s">
        <v>545</v>
      </c>
      <c r="F558" s="196">
        <v>65</v>
      </c>
      <c r="G558" s="194">
        <v>4.6381336790317551</v>
      </c>
      <c r="H558" s="195">
        <v>301.47868913706407</v>
      </c>
      <c r="I558" s="193" t="s">
        <v>541</v>
      </c>
    </row>
    <row r="559" spans="1:9" x14ac:dyDescent="0.25">
      <c r="A559" s="193" t="s">
        <v>220</v>
      </c>
      <c r="B559" s="193" t="s">
        <v>588</v>
      </c>
      <c r="C559" s="193" t="s">
        <v>1025</v>
      </c>
      <c r="D559" s="193" t="s">
        <v>1026</v>
      </c>
      <c r="E559" s="193" t="s">
        <v>545</v>
      </c>
      <c r="F559" s="196">
        <v>264</v>
      </c>
      <c r="G559" s="194">
        <v>7.0219269199166785</v>
      </c>
      <c r="H559" s="195">
        <v>1853.788706858003</v>
      </c>
      <c r="I559" s="193" t="s">
        <v>541</v>
      </c>
    </row>
    <row r="560" spans="1:9" x14ac:dyDescent="0.25">
      <c r="A560" s="193" t="s">
        <v>220</v>
      </c>
      <c r="B560" s="193" t="s">
        <v>588</v>
      </c>
      <c r="C560" s="193" t="s">
        <v>1027</v>
      </c>
      <c r="D560" s="193" t="s">
        <v>1028</v>
      </c>
      <c r="E560" s="193" t="s">
        <v>545</v>
      </c>
      <c r="F560" s="196">
        <v>877</v>
      </c>
      <c r="G560" s="194">
        <v>10.890478945301657</v>
      </c>
      <c r="H560" s="195">
        <v>9550.950035029553</v>
      </c>
      <c r="I560" s="193" t="s">
        <v>541</v>
      </c>
    </row>
    <row r="561" spans="1:9" x14ac:dyDescent="0.25">
      <c r="A561" s="193" t="s">
        <v>220</v>
      </c>
      <c r="B561" s="193" t="s">
        <v>588</v>
      </c>
      <c r="C561" s="193" t="s">
        <v>1029</v>
      </c>
      <c r="D561" s="193" t="s">
        <v>1030</v>
      </c>
      <c r="E561" s="193" t="s">
        <v>545</v>
      </c>
      <c r="F561" s="196">
        <v>140</v>
      </c>
      <c r="G561" s="194">
        <v>4.4280281866652915</v>
      </c>
      <c r="H561" s="195">
        <v>619.92394613314082</v>
      </c>
      <c r="I561" s="193" t="s">
        <v>541</v>
      </c>
    </row>
    <row r="562" spans="1:9" x14ac:dyDescent="0.25">
      <c r="A562" s="193" t="s">
        <v>220</v>
      </c>
      <c r="B562" s="193" t="s">
        <v>588</v>
      </c>
      <c r="C562" s="193" t="s">
        <v>1031</v>
      </c>
      <c r="D562" s="193" t="s">
        <v>1032</v>
      </c>
      <c r="E562" s="193" t="s">
        <v>545</v>
      </c>
      <c r="F562" s="196">
        <v>1664</v>
      </c>
      <c r="G562" s="194">
        <v>6.5543579342593912</v>
      </c>
      <c r="H562" s="195">
        <v>10906.451602607627</v>
      </c>
      <c r="I562" s="193" t="s">
        <v>541</v>
      </c>
    </row>
    <row r="563" spans="1:9" x14ac:dyDescent="0.25">
      <c r="A563" s="193" t="s">
        <v>220</v>
      </c>
      <c r="B563" s="193" t="s">
        <v>588</v>
      </c>
      <c r="C563" s="193" t="s">
        <v>1033</v>
      </c>
      <c r="D563" s="193" t="s">
        <v>1034</v>
      </c>
      <c r="E563" s="193" t="s">
        <v>545</v>
      </c>
      <c r="F563" s="196">
        <v>32</v>
      </c>
      <c r="G563" s="194">
        <v>3.4670000000000001</v>
      </c>
      <c r="H563" s="195">
        <v>110.944</v>
      </c>
      <c r="I563" s="193" t="s">
        <v>541</v>
      </c>
    </row>
    <row r="564" spans="1:9" x14ac:dyDescent="0.25">
      <c r="A564" s="193" t="s">
        <v>220</v>
      </c>
      <c r="B564" s="193" t="s">
        <v>588</v>
      </c>
      <c r="C564" s="193" t="s">
        <v>1035</v>
      </c>
      <c r="D564" s="193" t="s">
        <v>1036</v>
      </c>
      <c r="E564" s="193" t="s">
        <v>545</v>
      </c>
      <c r="F564" s="196">
        <v>1582</v>
      </c>
      <c r="G564" s="194">
        <v>7.48506167831078</v>
      </c>
      <c r="H564" s="195">
        <v>11841.367575087654</v>
      </c>
      <c r="I564" s="193" t="s">
        <v>541</v>
      </c>
    </row>
    <row r="565" spans="1:9" x14ac:dyDescent="0.25">
      <c r="A565" s="193" t="s">
        <v>220</v>
      </c>
      <c r="B565" s="193" t="s">
        <v>588</v>
      </c>
      <c r="C565" s="193" t="s">
        <v>1037</v>
      </c>
      <c r="D565" s="193" t="s">
        <v>1038</v>
      </c>
      <c r="E565" s="193" t="s">
        <v>545</v>
      </c>
      <c r="F565" s="196">
        <v>163</v>
      </c>
      <c r="G565" s="194">
        <v>8.9541844410378246</v>
      </c>
      <c r="H565" s="195">
        <v>1459.5320638891653</v>
      </c>
      <c r="I565" s="193" t="s">
        <v>541</v>
      </c>
    </row>
    <row r="566" spans="1:9" x14ac:dyDescent="0.25">
      <c r="A566" s="193" t="s">
        <v>220</v>
      </c>
      <c r="B566" s="193" t="s">
        <v>588</v>
      </c>
      <c r="C566" s="193" t="s">
        <v>1039</v>
      </c>
      <c r="D566" s="193" t="s">
        <v>1040</v>
      </c>
      <c r="E566" s="193" t="s">
        <v>545</v>
      </c>
      <c r="F566" s="196">
        <v>49</v>
      </c>
      <c r="G566" s="194">
        <v>12.199833565124555</v>
      </c>
      <c r="H566" s="195">
        <v>597.79184469110317</v>
      </c>
      <c r="I566" s="193" t="s">
        <v>541</v>
      </c>
    </row>
    <row r="567" spans="1:9" x14ac:dyDescent="0.25">
      <c r="A567" s="193" t="s">
        <v>220</v>
      </c>
      <c r="B567" s="193" t="s">
        <v>588</v>
      </c>
      <c r="C567" s="193" t="s">
        <v>1041</v>
      </c>
      <c r="D567" s="193" t="s">
        <v>1042</v>
      </c>
      <c r="E567" s="193" t="s">
        <v>545</v>
      </c>
      <c r="F567" s="196">
        <v>120</v>
      </c>
      <c r="G567" s="194">
        <v>4.8431558291651617</v>
      </c>
      <c r="H567" s="195">
        <v>581.17869949981946</v>
      </c>
      <c r="I567" s="193" t="s">
        <v>541</v>
      </c>
    </row>
    <row r="568" spans="1:9" x14ac:dyDescent="0.25">
      <c r="A568" s="193" t="s">
        <v>220</v>
      </c>
      <c r="B568" s="193" t="s">
        <v>588</v>
      </c>
      <c r="C568" s="193" t="s">
        <v>1043</v>
      </c>
      <c r="D568" s="193" t="s">
        <v>1044</v>
      </c>
      <c r="E568" s="193" t="s">
        <v>545</v>
      </c>
      <c r="F568" s="196">
        <v>1448</v>
      </c>
      <c r="G568" s="194">
        <v>7.6451385138131265</v>
      </c>
      <c r="H568" s="195">
        <v>11070.160568001407</v>
      </c>
      <c r="I568" s="193" t="s">
        <v>541</v>
      </c>
    </row>
    <row r="569" spans="1:9" x14ac:dyDescent="0.25">
      <c r="A569" s="193" t="s">
        <v>220</v>
      </c>
      <c r="B569" s="193" t="s">
        <v>588</v>
      </c>
      <c r="C569" s="193" t="s">
        <v>1045</v>
      </c>
      <c r="D569" s="193" t="s">
        <v>1046</v>
      </c>
      <c r="E569" s="193"/>
      <c r="F569" s="196">
        <v>92</v>
      </c>
      <c r="G569" s="194">
        <v>4.8170351583590918</v>
      </c>
      <c r="H569" s="195">
        <v>443.16723456903645</v>
      </c>
      <c r="I569" s="193" t="s">
        <v>541</v>
      </c>
    </row>
    <row r="570" spans="1:9" x14ac:dyDescent="0.25">
      <c r="A570" s="193" t="s">
        <v>220</v>
      </c>
      <c r="B570" s="193" t="s">
        <v>588</v>
      </c>
      <c r="C570" s="193" t="s">
        <v>1047</v>
      </c>
      <c r="D570" s="193" t="s">
        <v>1048</v>
      </c>
      <c r="E570" s="193" t="s">
        <v>545</v>
      </c>
      <c r="F570" s="196">
        <v>692</v>
      </c>
      <c r="G570" s="194">
        <v>8.5418546470319363</v>
      </c>
      <c r="H570" s="195">
        <v>5910.9634157460996</v>
      </c>
      <c r="I570" s="193" t="s">
        <v>541</v>
      </c>
    </row>
    <row r="571" spans="1:9" x14ac:dyDescent="0.25">
      <c r="A571" s="193" t="s">
        <v>220</v>
      </c>
      <c r="B571" s="193" t="s">
        <v>588</v>
      </c>
      <c r="C571" s="193" t="s">
        <v>1049</v>
      </c>
      <c r="D571" s="193" t="s">
        <v>1050</v>
      </c>
      <c r="E571" s="193" t="s">
        <v>545</v>
      </c>
      <c r="F571" s="196">
        <v>326</v>
      </c>
      <c r="G571" s="194">
        <v>7.1065880653533515</v>
      </c>
      <c r="H571" s="195">
        <v>2316.7477093051925</v>
      </c>
      <c r="I571" s="193" t="s">
        <v>541</v>
      </c>
    </row>
    <row r="572" spans="1:9" x14ac:dyDescent="0.25">
      <c r="A572" s="193" t="s">
        <v>220</v>
      </c>
      <c r="B572" s="193" t="s">
        <v>588</v>
      </c>
      <c r="C572" s="193" t="s">
        <v>1051</v>
      </c>
      <c r="D572" s="193" t="s">
        <v>1052</v>
      </c>
      <c r="E572" s="193" t="s">
        <v>545</v>
      </c>
      <c r="F572" s="196">
        <v>752</v>
      </c>
      <c r="G572" s="194">
        <v>12.9869196015842</v>
      </c>
      <c r="H572" s="195">
        <v>9766.1635403913187</v>
      </c>
      <c r="I572" s="193" t="s">
        <v>541</v>
      </c>
    </row>
    <row r="573" spans="1:9" x14ac:dyDescent="0.25">
      <c r="A573" s="193" t="s">
        <v>220</v>
      </c>
      <c r="B573" s="193" t="s">
        <v>588</v>
      </c>
      <c r="C573" s="193" t="s">
        <v>1053</v>
      </c>
      <c r="D573" s="193" t="s">
        <v>1054</v>
      </c>
      <c r="E573" s="193" t="s">
        <v>545</v>
      </c>
      <c r="F573" s="196">
        <v>100</v>
      </c>
      <c r="G573" s="194">
        <v>5.5004412631232924</v>
      </c>
      <c r="H573" s="195">
        <v>550.04412631232924</v>
      </c>
      <c r="I573" s="193" t="s">
        <v>541</v>
      </c>
    </row>
    <row r="574" spans="1:9" x14ac:dyDescent="0.25">
      <c r="A574" s="193" t="s">
        <v>220</v>
      </c>
      <c r="B574" s="193" t="s">
        <v>588</v>
      </c>
      <c r="C574" s="193" t="s">
        <v>1055</v>
      </c>
      <c r="D574" s="193" t="s">
        <v>1056</v>
      </c>
      <c r="E574" s="193" t="s">
        <v>545</v>
      </c>
      <c r="F574" s="196">
        <v>134</v>
      </c>
      <c r="G574" s="194">
        <v>5.3951399315746089</v>
      </c>
      <c r="H574" s="195">
        <v>722.9487508309976</v>
      </c>
      <c r="I574" s="193" t="s">
        <v>541</v>
      </c>
    </row>
    <row r="575" spans="1:9" x14ac:dyDescent="0.25">
      <c r="A575" s="193" t="s">
        <v>220</v>
      </c>
      <c r="B575" s="193" t="s">
        <v>588</v>
      </c>
      <c r="C575" s="193" t="s">
        <v>1057</v>
      </c>
      <c r="D575" s="193" t="s">
        <v>1058</v>
      </c>
      <c r="E575" s="193" t="s">
        <v>545</v>
      </c>
      <c r="F575" s="196">
        <v>640</v>
      </c>
      <c r="G575" s="194">
        <v>6.390525900598095</v>
      </c>
      <c r="H575" s="195">
        <v>4089.9365763827809</v>
      </c>
      <c r="I575" s="193" t="s">
        <v>541</v>
      </c>
    </row>
    <row r="576" spans="1:9" x14ac:dyDescent="0.25">
      <c r="A576" s="193" t="s">
        <v>220</v>
      </c>
      <c r="B576" s="193" t="s">
        <v>588</v>
      </c>
      <c r="C576" s="193" t="s">
        <v>1059</v>
      </c>
      <c r="D576" s="193" t="s">
        <v>1060</v>
      </c>
      <c r="E576" s="193" t="s">
        <v>545</v>
      </c>
      <c r="F576" s="196">
        <v>484</v>
      </c>
      <c r="G576" s="194">
        <v>3.2336327000489491</v>
      </c>
      <c r="H576" s="195">
        <v>1565.0782268236915</v>
      </c>
      <c r="I576" s="193" t="s">
        <v>541</v>
      </c>
    </row>
    <row r="577" spans="1:9" x14ac:dyDescent="0.25">
      <c r="A577" s="193" t="s">
        <v>220</v>
      </c>
      <c r="B577" s="193" t="s">
        <v>588</v>
      </c>
      <c r="C577" s="193" t="s">
        <v>1061</v>
      </c>
      <c r="D577" s="193" t="s">
        <v>1062</v>
      </c>
      <c r="E577" s="193" t="s">
        <v>545</v>
      </c>
      <c r="F577" s="196">
        <v>169</v>
      </c>
      <c r="G577" s="194">
        <v>2.9343711995187785</v>
      </c>
      <c r="H577" s="195">
        <v>495.90873271867355</v>
      </c>
      <c r="I577" s="193" t="s">
        <v>541</v>
      </c>
    </row>
    <row r="578" spans="1:9" x14ac:dyDescent="0.25">
      <c r="A578" s="193" t="s">
        <v>220</v>
      </c>
      <c r="B578" s="193" t="s">
        <v>588</v>
      </c>
      <c r="C578" s="193" t="s">
        <v>1063</v>
      </c>
      <c r="D578" s="193" t="s">
        <v>1064</v>
      </c>
      <c r="E578" s="193" t="s">
        <v>545</v>
      </c>
      <c r="F578" s="196">
        <v>69</v>
      </c>
      <c r="G578" s="194">
        <v>2.934371199518778</v>
      </c>
      <c r="H578" s="195">
        <v>202.47161276679569</v>
      </c>
      <c r="I578" s="193" t="s">
        <v>541</v>
      </c>
    </row>
    <row r="579" spans="1:9" x14ac:dyDescent="0.25">
      <c r="A579" s="193" t="s">
        <v>220</v>
      </c>
      <c r="B579" s="193" t="s">
        <v>588</v>
      </c>
      <c r="C579" s="193" t="s">
        <v>1065</v>
      </c>
      <c r="D579" s="193" t="s">
        <v>1066</v>
      </c>
      <c r="E579" s="193" t="s">
        <v>545</v>
      </c>
      <c r="F579" s="196">
        <v>340</v>
      </c>
      <c r="G579" s="194">
        <v>4.7065467692809513</v>
      </c>
      <c r="H579" s="195">
        <v>1600.2259015555235</v>
      </c>
      <c r="I579" s="193" t="s">
        <v>541</v>
      </c>
    </row>
    <row r="580" spans="1:9" x14ac:dyDescent="0.25">
      <c r="A580" s="193" t="s">
        <v>220</v>
      </c>
      <c r="B580" s="193" t="s">
        <v>588</v>
      </c>
      <c r="C580" s="193" t="s">
        <v>1067</v>
      </c>
      <c r="D580" s="193" t="s">
        <v>1068</v>
      </c>
      <c r="E580" s="193" t="s">
        <v>545</v>
      </c>
      <c r="F580" s="196">
        <v>2491</v>
      </c>
      <c r="G580" s="194">
        <v>4.4630730216745906</v>
      </c>
      <c r="H580" s="195">
        <v>11117.514896991404</v>
      </c>
      <c r="I580" s="193" t="s">
        <v>541</v>
      </c>
    </row>
    <row r="581" spans="1:9" x14ac:dyDescent="0.25">
      <c r="A581" s="193" t="s">
        <v>220</v>
      </c>
      <c r="B581" s="193" t="s">
        <v>588</v>
      </c>
      <c r="C581" s="193" t="s">
        <v>1069</v>
      </c>
      <c r="D581" s="193" t="s">
        <v>1070</v>
      </c>
      <c r="E581" s="193" t="s">
        <v>545</v>
      </c>
      <c r="F581" s="196">
        <v>596</v>
      </c>
      <c r="G581" s="194">
        <v>4.4968846514170711</v>
      </c>
      <c r="H581" s="195">
        <v>2680.1432522445743</v>
      </c>
      <c r="I581" s="193" t="s">
        <v>541</v>
      </c>
    </row>
    <row r="582" spans="1:9" x14ac:dyDescent="0.25">
      <c r="A582" s="193" t="s">
        <v>220</v>
      </c>
      <c r="B582" s="193" t="s">
        <v>588</v>
      </c>
      <c r="C582" s="193" t="s">
        <v>1071</v>
      </c>
      <c r="D582" s="193" t="s">
        <v>1072</v>
      </c>
      <c r="E582" s="193" t="s">
        <v>545</v>
      </c>
      <c r="F582" s="196">
        <v>2353</v>
      </c>
      <c r="G582" s="194">
        <v>4.6824795990752524</v>
      </c>
      <c r="H582" s="195">
        <v>11017.874496624068</v>
      </c>
      <c r="I582" s="193" t="s">
        <v>541</v>
      </c>
    </row>
    <row r="583" spans="1:9" x14ac:dyDescent="0.25">
      <c r="A583" s="193" t="s">
        <v>220</v>
      </c>
      <c r="B583" s="193" t="s">
        <v>588</v>
      </c>
      <c r="C583" s="193" t="s">
        <v>1073</v>
      </c>
      <c r="D583" s="193" t="s">
        <v>1074</v>
      </c>
      <c r="E583" s="193" t="s">
        <v>545</v>
      </c>
      <c r="F583" s="196">
        <v>1008</v>
      </c>
      <c r="G583" s="194">
        <v>4.6826123881533972</v>
      </c>
      <c r="H583" s="195">
        <v>4720.0732872586241</v>
      </c>
      <c r="I583" s="193" t="s">
        <v>541</v>
      </c>
    </row>
    <row r="584" spans="1:9" x14ac:dyDescent="0.25">
      <c r="A584" s="193" t="s">
        <v>220</v>
      </c>
      <c r="B584" s="193" t="s">
        <v>588</v>
      </c>
      <c r="C584" s="193" t="s">
        <v>1075</v>
      </c>
      <c r="D584" s="193" t="s">
        <v>1076</v>
      </c>
      <c r="E584" s="193" t="s">
        <v>545</v>
      </c>
      <c r="F584" s="196">
        <v>252</v>
      </c>
      <c r="G584" s="194">
        <v>3.7557741381350422</v>
      </c>
      <c r="H584" s="195">
        <v>946.4550828100306</v>
      </c>
      <c r="I584" s="193" t="s">
        <v>541</v>
      </c>
    </row>
    <row r="585" spans="1:9" x14ac:dyDescent="0.25">
      <c r="A585" s="193" t="s">
        <v>220</v>
      </c>
      <c r="B585" s="193" t="s">
        <v>588</v>
      </c>
      <c r="C585" s="193" t="s">
        <v>1077</v>
      </c>
      <c r="D585" s="193" t="s">
        <v>1078</v>
      </c>
      <c r="E585" s="193" t="s">
        <v>545</v>
      </c>
      <c r="F585" s="196">
        <v>220</v>
      </c>
      <c r="G585" s="194">
        <v>3.7910068628949665</v>
      </c>
      <c r="H585" s="195">
        <v>834.02150983689262</v>
      </c>
      <c r="I585" s="193" t="s">
        <v>541</v>
      </c>
    </row>
    <row r="586" spans="1:9" x14ac:dyDescent="0.25">
      <c r="A586" s="193" t="s">
        <v>220</v>
      </c>
      <c r="B586" s="193" t="s">
        <v>588</v>
      </c>
      <c r="C586" s="193" t="s">
        <v>1079</v>
      </c>
      <c r="D586" s="193" t="s">
        <v>1080</v>
      </c>
      <c r="E586" s="193" t="s">
        <v>545</v>
      </c>
      <c r="F586" s="196">
        <v>416</v>
      </c>
      <c r="G586" s="194">
        <v>3.5997570689072611</v>
      </c>
      <c r="H586" s="195">
        <v>1497.4989406654206</v>
      </c>
      <c r="I586" s="193" t="s">
        <v>541</v>
      </c>
    </row>
    <row r="587" spans="1:9" x14ac:dyDescent="0.25">
      <c r="A587" s="193" t="s">
        <v>220</v>
      </c>
      <c r="B587" s="193" t="s">
        <v>588</v>
      </c>
      <c r="C587" s="193" t="s">
        <v>1081</v>
      </c>
      <c r="D587" s="193" t="s">
        <v>1082</v>
      </c>
      <c r="E587" s="193" t="s">
        <v>545</v>
      </c>
      <c r="F587" s="196">
        <v>258</v>
      </c>
      <c r="G587" s="194">
        <v>3.6825427709029004</v>
      </c>
      <c r="H587" s="195">
        <v>950.0960348929483</v>
      </c>
      <c r="I587" s="193" t="s">
        <v>541</v>
      </c>
    </row>
    <row r="588" spans="1:9" x14ac:dyDescent="0.25">
      <c r="A588" s="193" t="s">
        <v>220</v>
      </c>
      <c r="B588" s="193" t="s">
        <v>588</v>
      </c>
      <c r="C588" s="193" t="s">
        <v>1083</v>
      </c>
      <c r="D588" s="193" t="s">
        <v>1084</v>
      </c>
      <c r="E588" s="193" t="s">
        <v>545</v>
      </c>
      <c r="F588" s="196">
        <v>110</v>
      </c>
      <c r="G588" s="194">
        <v>14.521924566237061</v>
      </c>
      <c r="H588" s="195">
        <v>1597.4117022860767</v>
      </c>
      <c r="I588" s="193" t="s">
        <v>541</v>
      </c>
    </row>
    <row r="589" spans="1:9" x14ac:dyDescent="0.25">
      <c r="A589" s="193" t="s">
        <v>220</v>
      </c>
      <c r="B589" s="193" t="s">
        <v>588</v>
      </c>
      <c r="C589" s="193" t="s">
        <v>1085</v>
      </c>
      <c r="D589" s="193" t="s">
        <v>1086</v>
      </c>
      <c r="E589" s="193" t="s">
        <v>545</v>
      </c>
      <c r="F589" s="196">
        <v>201</v>
      </c>
      <c r="G589" s="194">
        <v>5.5481160630178872</v>
      </c>
      <c r="H589" s="195">
        <v>1115.1713286665954</v>
      </c>
      <c r="I589" s="193" t="s">
        <v>541</v>
      </c>
    </row>
    <row r="590" spans="1:9" x14ac:dyDescent="0.25">
      <c r="A590" s="193" t="s">
        <v>220</v>
      </c>
      <c r="B590" s="193" t="s">
        <v>588</v>
      </c>
      <c r="C590" s="193" t="s">
        <v>1087</v>
      </c>
      <c r="D590" s="193" t="s">
        <v>1088</v>
      </c>
      <c r="E590" s="193" t="s">
        <v>545</v>
      </c>
      <c r="F590" s="196">
        <v>1208</v>
      </c>
      <c r="G590" s="194">
        <v>6.061147378368406</v>
      </c>
      <c r="H590" s="195">
        <v>7321.8660330690345</v>
      </c>
      <c r="I590" s="193" t="s">
        <v>541</v>
      </c>
    </row>
    <row r="591" spans="1:9" x14ac:dyDescent="0.25">
      <c r="A591" s="193" t="s">
        <v>220</v>
      </c>
      <c r="B591" s="193" t="s">
        <v>588</v>
      </c>
      <c r="C591" s="193" t="s">
        <v>1089</v>
      </c>
      <c r="D591" s="193" t="s">
        <v>1090</v>
      </c>
      <c r="E591" s="193" t="s">
        <v>545</v>
      </c>
      <c r="F591" s="196">
        <v>1497</v>
      </c>
      <c r="G591" s="194">
        <v>6.1706129697112155</v>
      </c>
      <c r="H591" s="195">
        <v>9237.4076156576903</v>
      </c>
      <c r="I591" s="193" t="s">
        <v>541</v>
      </c>
    </row>
    <row r="592" spans="1:9" x14ac:dyDescent="0.25">
      <c r="A592" s="193" t="s">
        <v>220</v>
      </c>
      <c r="B592" s="193" t="s">
        <v>588</v>
      </c>
      <c r="C592" s="193" t="s">
        <v>1091</v>
      </c>
      <c r="D592" s="193" t="s">
        <v>1092</v>
      </c>
      <c r="E592" s="193" t="s">
        <v>545</v>
      </c>
      <c r="F592" s="196">
        <v>112</v>
      </c>
      <c r="G592" s="194">
        <v>5.9537973873009085</v>
      </c>
      <c r="H592" s="195">
        <v>666.82530737770173</v>
      </c>
      <c r="I592" s="193" t="s">
        <v>541</v>
      </c>
    </row>
    <row r="593" spans="1:9" x14ac:dyDescent="0.25">
      <c r="A593" s="193" t="s">
        <v>220</v>
      </c>
      <c r="B593" s="193" t="s">
        <v>588</v>
      </c>
      <c r="C593" s="193" t="s">
        <v>1093</v>
      </c>
      <c r="D593" s="193" t="s">
        <v>1094</v>
      </c>
      <c r="E593" s="193" t="s">
        <v>545</v>
      </c>
      <c r="F593" s="196">
        <v>746</v>
      </c>
      <c r="G593" s="194">
        <v>3.7243101293343202</v>
      </c>
      <c r="H593" s="195">
        <v>2778.3353564834028</v>
      </c>
      <c r="I593" s="193" t="s">
        <v>541</v>
      </c>
    </row>
    <row r="594" spans="1:9" x14ac:dyDescent="0.25">
      <c r="A594" s="193" t="s">
        <v>220</v>
      </c>
      <c r="B594" s="193" t="s">
        <v>588</v>
      </c>
      <c r="C594" s="193" t="s">
        <v>1095</v>
      </c>
      <c r="D594" s="193" t="s">
        <v>1096</v>
      </c>
      <c r="E594" s="193" t="s">
        <v>545</v>
      </c>
      <c r="F594" s="196">
        <v>816</v>
      </c>
      <c r="G594" s="194">
        <v>3.7259121124582602</v>
      </c>
      <c r="H594" s="195">
        <v>3040.3442837659404</v>
      </c>
      <c r="I594" s="193" t="s">
        <v>541</v>
      </c>
    </row>
    <row r="595" spans="1:9" x14ac:dyDescent="0.25">
      <c r="A595" s="193" t="s">
        <v>220</v>
      </c>
      <c r="B595" s="193" t="s">
        <v>588</v>
      </c>
      <c r="C595" s="193" t="s">
        <v>1097</v>
      </c>
      <c r="D595" s="193" t="s">
        <v>1098</v>
      </c>
      <c r="E595" s="193" t="s">
        <v>545</v>
      </c>
      <c r="F595" s="196">
        <v>794</v>
      </c>
      <c r="G595" s="194">
        <v>6.4336815331759523</v>
      </c>
      <c r="H595" s="195">
        <v>5108.3431373417061</v>
      </c>
      <c r="I595" s="193" t="s">
        <v>541</v>
      </c>
    </row>
    <row r="596" spans="1:9" x14ac:dyDescent="0.25">
      <c r="A596" s="193" t="s">
        <v>220</v>
      </c>
      <c r="B596" s="193" t="s">
        <v>588</v>
      </c>
      <c r="C596" s="193" t="s">
        <v>1099</v>
      </c>
      <c r="D596" s="193" t="s">
        <v>1100</v>
      </c>
      <c r="E596" s="193" t="s">
        <v>545</v>
      </c>
      <c r="F596" s="196">
        <v>560</v>
      </c>
      <c r="G596" s="194">
        <v>6.5476639429128749</v>
      </c>
      <c r="H596" s="195">
        <v>3666.6918080312098</v>
      </c>
      <c r="I596" s="193" t="s">
        <v>541</v>
      </c>
    </row>
    <row r="597" spans="1:9" x14ac:dyDescent="0.25">
      <c r="A597" s="193" t="s">
        <v>220</v>
      </c>
      <c r="B597" s="193" t="s">
        <v>588</v>
      </c>
      <c r="C597" s="193" t="s">
        <v>1101</v>
      </c>
      <c r="D597" s="193" t="s">
        <v>1102</v>
      </c>
      <c r="E597" s="193" t="s">
        <v>545</v>
      </c>
      <c r="F597" s="196">
        <v>980</v>
      </c>
      <c r="G597" s="194">
        <v>4.1031072880323141</v>
      </c>
      <c r="H597" s="195">
        <v>4021.0451422716678</v>
      </c>
      <c r="I597" s="193" t="s">
        <v>541</v>
      </c>
    </row>
    <row r="598" spans="1:9" x14ac:dyDescent="0.25">
      <c r="A598" s="193" t="s">
        <v>220</v>
      </c>
      <c r="B598" s="193" t="s">
        <v>588</v>
      </c>
      <c r="C598" s="193" t="s">
        <v>1103</v>
      </c>
      <c r="D598" s="193" t="s">
        <v>1104</v>
      </c>
      <c r="E598" s="193" t="s">
        <v>545</v>
      </c>
      <c r="F598" s="196">
        <v>1092</v>
      </c>
      <c r="G598" s="194">
        <v>3.9785766482005323</v>
      </c>
      <c r="H598" s="195">
        <v>4344.6056998349814</v>
      </c>
      <c r="I598" s="193" t="s">
        <v>541</v>
      </c>
    </row>
    <row r="599" spans="1:9" x14ac:dyDescent="0.25">
      <c r="A599" s="193" t="s">
        <v>220</v>
      </c>
      <c r="B599" s="193" t="s">
        <v>588</v>
      </c>
      <c r="C599" s="193" t="s">
        <v>1107</v>
      </c>
      <c r="D599" s="193" t="s">
        <v>1108</v>
      </c>
      <c r="E599" s="193" t="s">
        <v>639</v>
      </c>
      <c r="F599" s="196">
        <v>6122</v>
      </c>
      <c r="G599" s="194">
        <v>3.1653547978026202</v>
      </c>
      <c r="H599" s="195">
        <v>19378.302072147642</v>
      </c>
      <c r="I599" s="193" t="s">
        <v>541</v>
      </c>
    </row>
    <row r="600" spans="1:9" x14ac:dyDescent="0.25">
      <c r="A600" s="193" t="s">
        <v>220</v>
      </c>
      <c r="B600" s="193" t="s">
        <v>588</v>
      </c>
      <c r="C600" s="193" t="s">
        <v>1109</v>
      </c>
      <c r="D600" s="193" t="s">
        <v>1110</v>
      </c>
      <c r="E600" s="193" t="s">
        <v>639</v>
      </c>
      <c r="F600" s="196">
        <v>2229</v>
      </c>
      <c r="G600" s="194">
        <v>6.8234158705656993</v>
      </c>
      <c r="H600" s="195">
        <v>15209.393975490944</v>
      </c>
      <c r="I600" s="193" t="s">
        <v>541</v>
      </c>
    </row>
    <row r="601" spans="1:9" x14ac:dyDescent="0.25">
      <c r="A601" s="193" t="s">
        <v>220</v>
      </c>
      <c r="B601" s="193" t="s">
        <v>588</v>
      </c>
      <c r="C601" s="193" t="s">
        <v>1111</v>
      </c>
      <c r="D601" s="193" t="s">
        <v>1112</v>
      </c>
      <c r="E601" s="193" t="s">
        <v>639</v>
      </c>
      <c r="F601" s="196">
        <v>24671</v>
      </c>
      <c r="G601" s="194">
        <v>2.3766446035550297</v>
      </c>
      <c r="H601" s="195">
        <v>58634.199014306141</v>
      </c>
      <c r="I601" s="193" t="s">
        <v>541</v>
      </c>
    </row>
    <row r="602" spans="1:9" x14ac:dyDescent="0.25">
      <c r="A602" s="193" t="s">
        <v>220</v>
      </c>
      <c r="B602" s="193" t="s">
        <v>588</v>
      </c>
      <c r="C602" s="193" t="s">
        <v>1113</v>
      </c>
      <c r="D602" s="193" t="s">
        <v>1114</v>
      </c>
      <c r="E602" s="193" t="s">
        <v>639</v>
      </c>
      <c r="F602" s="196">
        <v>77804</v>
      </c>
      <c r="G602" s="194">
        <v>2.5499392853000642</v>
      </c>
      <c r="H602" s="195">
        <v>198395.4761534862</v>
      </c>
      <c r="I602" s="193" t="s">
        <v>541</v>
      </c>
    </row>
    <row r="603" spans="1:9" x14ac:dyDescent="0.25">
      <c r="A603" s="193" t="s">
        <v>220</v>
      </c>
      <c r="B603" s="193" t="s">
        <v>588</v>
      </c>
      <c r="C603" s="193" t="s">
        <v>1115</v>
      </c>
      <c r="D603" s="193" t="s">
        <v>1116</v>
      </c>
      <c r="E603" s="193" t="s">
        <v>639</v>
      </c>
      <c r="F603" s="196">
        <v>13779</v>
      </c>
      <c r="G603" s="194">
        <v>3.0112839398343723</v>
      </c>
      <c r="H603" s="195">
        <v>41492.481406977815</v>
      </c>
      <c r="I603" s="193" t="s">
        <v>541</v>
      </c>
    </row>
    <row r="604" spans="1:9" x14ac:dyDescent="0.25">
      <c r="A604" s="193" t="s">
        <v>220</v>
      </c>
      <c r="B604" s="193" t="s">
        <v>588</v>
      </c>
      <c r="C604" s="193" t="s">
        <v>1117</v>
      </c>
      <c r="D604" s="193" t="s">
        <v>1118</v>
      </c>
      <c r="E604" s="193" t="s">
        <v>545</v>
      </c>
      <c r="F604" s="196">
        <v>3325</v>
      </c>
      <c r="G604" s="194">
        <v>0.67534447642341611</v>
      </c>
      <c r="H604" s="195">
        <v>2245.5203841078587</v>
      </c>
      <c r="I604" s="193" t="s">
        <v>541</v>
      </c>
    </row>
    <row r="605" spans="1:9" x14ac:dyDescent="0.25">
      <c r="A605" s="193" t="s">
        <v>220</v>
      </c>
      <c r="B605" s="193" t="s">
        <v>588</v>
      </c>
      <c r="C605" s="193" t="s">
        <v>739</v>
      </c>
      <c r="D605" s="193" t="s">
        <v>1119</v>
      </c>
      <c r="E605" s="193" t="s">
        <v>545</v>
      </c>
      <c r="F605" s="196">
        <v>5264</v>
      </c>
      <c r="G605" s="194">
        <v>1.0793751893085692</v>
      </c>
      <c r="H605" s="195">
        <v>5681.8309965203089</v>
      </c>
      <c r="I605" s="193" t="s">
        <v>541</v>
      </c>
    </row>
    <row r="606" spans="1:9" x14ac:dyDescent="0.25">
      <c r="A606" s="193" t="s">
        <v>220</v>
      </c>
      <c r="B606" s="193" t="s">
        <v>588</v>
      </c>
      <c r="C606" s="193" t="s">
        <v>1120</v>
      </c>
      <c r="D606" s="193" t="s">
        <v>1121</v>
      </c>
      <c r="E606" s="193" t="s">
        <v>545</v>
      </c>
      <c r="F606" s="196">
        <v>3684</v>
      </c>
      <c r="G606" s="194">
        <v>1.5132252167621694</v>
      </c>
      <c r="H606" s="195">
        <v>5574.7216985518317</v>
      </c>
      <c r="I606" s="193" t="s">
        <v>541</v>
      </c>
    </row>
    <row r="607" spans="1:9" x14ac:dyDescent="0.25">
      <c r="A607" s="193" t="s">
        <v>220</v>
      </c>
      <c r="B607" s="193" t="s">
        <v>588</v>
      </c>
      <c r="C607" s="193" t="s">
        <v>1122</v>
      </c>
      <c r="D607" s="193" t="s">
        <v>1123</v>
      </c>
      <c r="E607" s="193" t="s">
        <v>545</v>
      </c>
      <c r="F607" s="196">
        <v>2000</v>
      </c>
      <c r="G607" s="194">
        <v>0.74569773950216922</v>
      </c>
      <c r="H607" s="195">
        <v>1491.3954790043385</v>
      </c>
      <c r="I607" s="193" t="s">
        <v>541</v>
      </c>
    </row>
    <row r="608" spans="1:9" x14ac:dyDescent="0.25">
      <c r="A608" s="193" t="s">
        <v>220</v>
      </c>
      <c r="B608" s="193" t="s">
        <v>588</v>
      </c>
      <c r="C608" s="193" t="s">
        <v>1124</v>
      </c>
      <c r="D608" s="193" t="s">
        <v>1125</v>
      </c>
      <c r="E608" s="193" t="s">
        <v>545</v>
      </c>
      <c r="F608" s="196">
        <v>5000</v>
      </c>
      <c r="G608" s="194">
        <v>0.16800000000000001</v>
      </c>
      <c r="H608" s="195">
        <v>840</v>
      </c>
      <c r="I608" s="193" t="s">
        <v>541</v>
      </c>
    </row>
    <row r="609" spans="1:9" x14ac:dyDescent="0.25">
      <c r="A609" s="193" t="s">
        <v>220</v>
      </c>
      <c r="B609" s="193" t="s">
        <v>588</v>
      </c>
      <c r="C609" s="193" t="s">
        <v>1126</v>
      </c>
      <c r="D609" s="193" t="s">
        <v>1127</v>
      </c>
      <c r="E609" s="193" t="s">
        <v>545</v>
      </c>
      <c r="F609" s="196">
        <v>2800</v>
      </c>
      <c r="G609" s="194">
        <v>0.17177000000000001</v>
      </c>
      <c r="H609" s="195">
        <v>480.95600000000002</v>
      </c>
      <c r="I609" s="193" t="s">
        <v>541</v>
      </c>
    </row>
    <row r="610" spans="1:9" x14ac:dyDescent="0.25">
      <c r="A610" s="193" t="s">
        <v>220</v>
      </c>
      <c r="B610" s="193" t="s">
        <v>588</v>
      </c>
      <c r="C610" s="193" t="s">
        <v>1128</v>
      </c>
      <c r="D610" s="193" t="s">
        <v>1129</v>
      </c>
      <c r="E610" s="193" t="s">
        <v>545</v>
      </c>
      <c r="F610" s="196">
        <v>17700</v>
      </c>
      <c r="G610" s="194">
        <v>0.45423024232466941</v>
      </c>
      <c r="H610" s="195">
        <v>8039.8752891466484</v>
      </c>
      <c r="I610" s="193" t="s">
        <v>541</v>
      </c>
    </row>
    <row r="611" spans="1:9" x14ac:dyDescent="0.25">
      <c r="A611" s="193" t="s">
        <v>220</v>
      </c>
      <c r="B611" s="193" t="s">
        <v>588</v>
      </c>
      <c r="C611" s="193" t="s">
        <v>1130</v>
      </c>
      <c r="D611" s="193" t="s">
        <v>1131</v>
      </c>
      <c r="E611" s="193" t="s">
        <v>545</v>
      </c>
      <c r="F611" s="196">
        <v>14000</v>
      </c>
      <c r="G611" s="194">
        <v>4.2423225523259056E-2</v>
      </c>
      <c r="H611" s="195">
        <v>593.92515732562674</v>
      </c>
      <c r="I611" s="193" t="s">
        <v>541</v>
      </c>
    </row>
    <row r="612" spans="1:9" x14ac:dyDescent="0.25">
      <c r="A612" s="193" t="s">
        <v>220</v>
      </c>
      <c r="B612" s="193" t="s">
        <v>588</v>
      </c>
      <c r="C612" s="193" t="s">
        <v>1132</v>
      </c>
      <c r="D612" s="193" t="s">
        <v>1133</v>
      </c>
      <c r="E612" s="193" t="s">
        <v>545</v>
      </c>
      <c r="F612" s="196">
        <v>550</v>
      </c>
      <c r="G612" s="194">
        <v>0.26982530896707219</v>
      </c>
      <c r="H612" s="195">
        <v>148.4039199318897</v>
      </c>
      <c r="I612" s="193" t="s">
        <v>541</v>
      </c>
    </row>
    <row r="613" spans="1:9" x14ac:dyDescent="0.25">
      <c r="A613" s="193" t="s">
        <v>220</v>
      </c>
      <c r="B613" s="193" t="s">
        <v>588</v>
      </c>
      <c r="C613" s="193" t="s">
        <v>1134</v>
      </c>
      <c r="D613" s="193" t="s">
        <v>1135</v>
      </c>
      <c r="E613" s="193" t="s">
        <v>545</v>
      </c>
      <c r="F613" s="196">
        <v>8000</v>
      </c>
      <c r="G613" s="194">
        <v>7.2081642607498053E-2</v>
      </c>
      <c r="H613" s="195">
        <v>576.65314085998443</v>
      </c>
      <c r="I613" s="193" t="s">
        <v>541</v>
      </c>
    </row>
    <row r="614" spans="1:9" x14ac:dyDescent="0.25">
      <c r="A614" s="193" t="s">
        <v>220</v>
      </c>
      <c r="B614" s="193" t="s">
        <v>588</v>
      </c>
      <c r="C614" s="193" t="s">
        <v>1136</v>
      </c>
      <c r="D614" s="193" t="s">
        <v>1137</v>
      </c>
      <c r="E614" s="193" t="s">
        <v>545</v>
      </c>
      <c r="F614" s="196">
        <v>15800</v>
      </c>
      <c r="G614" s="194">
        <v>0.12586663453850466</v>
      </c>
      <c r="H614" s="195">
        <v>1988.6928257083737</v>
      </c>
      <c r="I614" s="193" t="s">
        <v>541</v>
      </c>
    </row>
    <row r="615" spans="1:9" x14ac:dyDescent="0.25">
      <c r="A615" s="193" t="s">
        <v>220</v>
      </c>
      <c r="B615" s="193" t="s">
        <v>588</v>
      </c>
      <c r="C615" s="193" t="s">
        <v>1138</v>
      </c>
      <c r="D615" s="193" t="s">
        <v>1139</v>
      </c>
      <c r="E615" s="193" t="s">
        <v>545</v>
      </c>
      <c r="F615" s="196">
        <v>126000</v>
      </c>
      <c r="G615" s="194">
        <v>0.12030651236000431</v>
      </c>
      <c r="H615" s="195">
        <v>15158.620557360542</v>
      </c>
      <c r="I615" s="193" t="s">
        <v>541</v>
      </c>
    </row>
    <row r="616" spans="1:9" x14ac:dyDescent="0.25">
      <c r="A616" s="193" t="s">
        <v>220</v>
      </c>
      <c r="B616" s="193" t="s">
        <v>588</v>
      </c>
      <c r="C616" s="193" t="s">
        <v>1140</v>
      </c>
      <c r="D616" s="193" t="s">
        <v>1141</v>
      </c>
      <c r="E616" s="193" t="s">
        <v>545</v>
      </c>
      <c r="F616" s="196">
        <v>36000</v>
      </c>
      <c r="G616" s="194">
        <v>9.9137774151080577E-2</v>
      </c>
      <c r="H616" s="195">
        <v>3568.9598694389006</v>
      </c>
      <c r="I616" s="193" t="s">
        <v>541</v>
      </c>
    </row>
    <row r="617" spans="1:9" x14ac:dyDescent="0.25">
      <c r="A617" s="193" t="s">
        <v>220</v>
      </c>
      <c r="B617" s="193" t="s">
        <v>588</v>
      </c>
      <c r="C617" s="193" t="s">
        <v>1142</v>
      </c>
      <c r="D617" s="193" t="s">
        <v>1143</v>
      </c>
      <c r="E617" s="193" t="s">
        <v>545</v>
      </c>
      <c r="F617" s="196">
        <v>52000</v>
      </c>
      <c r="G617" s="194">
        <v>0.11538675798219111</v>
      </c>
      <c r="H617" s="195">
        <v>6000.1114150739377</v>
      </c>
      <c r="I617" s="193" t="s">
        <v>541</v>
      </c>
    </row>
    <row r="618" spans="1:9" x14ac:dyDescent="0.25">
      <c r="A618" s="193" t="s">
        <v>220</v>
      </c>
      <c r="B618" s="193" t="s">
        <v>588</v>
      </c>
      <c r="C618" s="193" t="s">
        <v>1144</v>
      </c>
      <c r="D618" s="193" t="s">
        <v>1145</v>
      </c>
      <c r="E618" s="193" t="s">
        <v>545</v>
      </c>
      <c r="F618" s="196">
        <v>8200</v>
      </c>
      <c r="G618" s="194">
        <v>6.2E-2</v>
      </c>
      <c r="H618" s="195">
        <v>508.4</v>
      </c>
      <c r="I618" s="193" t="s">
        <v>541</v>
      </c>
    </row>
    <row r="619" spans="1:9" x14ac:dyDescent="0.25">
      <c r="A619" s="193" t="s">
        <v>220</v>
      </c>
      <c r="B619" s="193" t="s">
        <v>588</v>
      </c>
      <c r="C619" s="193" t="s">
        <v>1146</v>
      </c>
      <c r="D619" s="193" t="s">
        <v>1147</v>
      </c>
      <c r="E619" s="193" t="s">
        <v>545</v>
      </c>
      <c r="F619" s="196">
        <v>1100</v>
      </c>
      <c r="G619" s="194">
        <v>0.04</v>
      </c>
      <c r="H619" s="195">
        <v>44</v>
      </c>
      <c r="I619" s="193" t="s">
        <v>541</v>
      </c>
    </row>
    <row r="620" spans="1:9" x14ac:dyDescent="0.25">
      <c r="A620" s="193" t="s">
        <v>220</v>
      </c>
      <c r="B620" s="193" t="s">
        <v>588</v>
      </c>
      <c r="C620" s="193" t="s">
        <v>1148</v>
      </c>
      <c r="D620" s="193" t="s">
        <v>1149</v>
      </c>
      <c r="E620" s="193" t="s">
        <v>545</v>
      </c>
      <c r="F620" s="196">
        <v>84500</v>
      </c>
      <c r="G620" s="194">
        <v>0.12182541520774003</v>
      </c>
      <c r="H620" s="195">
        <v>10294.247585054032</v>
      </c>
      <c r="I620" s="193" t="s">
        <v>541</v>
      </c>
    </row>
    <row r="621" spans="1:9" x14ac:dyDescent="0.25">
      <c r="A621" s="193" t="s">
        <v>220</v>
      </c>
      <c r="B621" s="193" t="s">
        <v>588</v>
      </c>
      <c r="C621" s="193" t="s">
        <v>1150</v>
      </c>
      <c r="D621" s="193" t="s">
        <v>1151</v>
      </c>
      <c r="E621" s="193" t="s">
        <v>545</v>
      </c>
      <c r="F621" s="196">
        <v>39000</v>
      </c>
      <c r="G621" s="194">
        <v>9.294162627161931E-2</v>
      </c>
      <c r="H621" s="195">
        <v>3624.7234245931531</v>
      </c>
      <c r="I621" s="193" t="s">
        <v>541</v>
      </c>
    </row>
    <row r="622" spans="1:9" x14ac:dyDescent="0.25">
      <c r="A622" s="193" t="s">
        <v>220</v>
      </c>
      <c r="B622" s="193" t="s">
        <v>588</v>
      </c>
      <c r="C622" s="193" t="s">
        <v>1152</v>
      </c>
      <c r="D622" s="193" t="s">
        <v>1153</v>
      </c>
      <c r="E622" s="193" t="s">
        <v>545</v>
      </c>
      <c r="F622" s="196">
        <v>13000</v>
      </c>
      <c r="G622" s="194">
        <v>0.45058882505142306</v>
      </c>
      <c r="H622" s="195">
        <v>5857.6547256684999</v>
      </c>
      <c r="I622" s="193" t="s">
        <v>541</v>
      </c>
    </row>
    <row r="623" spans="1:9" x14ac:dyDescent="0.25">
      <c r="A623" s="193" t="s">
        <v>220</v>
      </c>
      <c r="B623" s="193" t="s">
        <v>588</v>
      </c>
      <c r="C623" s="193" t="s">
        <v>1154</v>
      </c>
      <c r="D623" s="193" t="s">
        <v>1155</v>
      </c>
      <c r="E623" s="193" t="s">
        <v>545</v>
      </c>
      <c r="F623" s="196">
        <v>4000</v>
      </c>
      <c r="G623" s="194">
        <v>0.45058882505142306</v>
      </c>
      <c r="H623" s="195">
        <v>1802.3553002056922</v>
      </c>
      <c r="I623" s="193" t="s">
        <v>541</v>
      </c>
    </row>
    <row r="624" spans="1:9" x14ac:dyDescent="0.25">
      <c r="A624" s="193" t="s">
        <v>220</v>
      </c>
      <c r="B624" s="193" t="s">
        <v>588</v>
      </c>
      <c r="C624" s="193" t="s">
        <v>1156</v>
      </c>
      <c r="D624" s="193" t="s">
        <v>1157</v>
      </c>
      <c r="E624" s="193" t="s">
        <v>545</v>
      </c>
      <c r="F624" s="196">
        <v>65000</v>
      </c>
      <c r="G624" s="194">
        <v>0.20857667735914859</v>
      </c>
      <c r="H624" s="195">
        <v>13557.484028344657</v>
      </c>
      <c r="I624" s="193" t="s">
        <v>541</v>
      </c>
    </row>
    <row r="625" spans="1:9" x14ac:dyDescent="0.25">
      <c r="A625" s="193" t="s">
        <v>220</v>
      </c>
      <c r="B625" s="193" t="s">
        <v>588</v>
      </c>
      <c r="C625" s="193" t="s">
        <v>1158</v>
      </c>
      <c r="D625" s="193" t="s">
        <v>1159</v>
      </c>
      <c r="E625" s="193" t="s">
        <v>545</v>
      </c>
      <c r="F625" s="196">
        <v>36960</v>
      </c>
      <c r="G625" s="194">
        <v>1.0299507058430681</v>
      </c>
      <c r="H625" s="195">
        <v>38066.978087959797</v>
      </c>
      <c r="I625" s="193" t="s">
        <v>541</v>
      </c>
    </row>
    <row r="626" spans="1:9" x14ac:dyDescent="0.25">
      <c r="A626" s="193" t="s">
        <v>220</v>
      </c>
      <c r="B626" s="193" t="s">
        <v>588</v>
      </c>
      <c r="C626" s="193" t="s">
        <v>1160</v>
      </c>
      <c r="D626" s="193" t="s">
        <v>1161</v>
      </c>
      <c r="E626" s="193" t="s">
        <v>545</v>
      </c>
      <c r="F626" s="196">
        <v>6000</v>
      </c>
      <c r="G626" s="194">
        <v>7.2081642607498053E-2</v>
      </c>
      <c r="H626" s="195">
        <v>432.48985564498832</v>
      </c>
      <c r="I626" s="193" t="s">
        <v>541</v>
      </c>
    </row>
    <row r="627" spans="1:9" x14ac:dyDescent="0.25">
      <c r="A627" s="193" t="s">
        <v>220</v>
      </c>
      <c r="B627" s="193" t="s">
        <v>588</v>
      </c>
      <c r="C627" s="193" t="s">
        <v>1162</v>
      </c>
      <c r="D627" s="193" t="s">
        <v>1163</v>
      </c>
      <c r="E627" s="193" t="s">
        <v>545</v>
      </c>
      <c r="F627" s="196">
        <v>230500</v>
      </c>
      <c r="G627" s="194">
        <v>0.11979794529420783</v>
      </c>
      <c r="H627" s="195">
        <v>27613.426390314904</v>
      </c>
      <c r="I627" s="193" t="s">
        <v>541</v>
      </c>
    </row>
    <row r="628" spans="1:9" x14ac:dyDescent="0.25">
      <c r="A628" s="193" t="s">
        <v>220</v>
      </c>
      <c r="B628" s="193" t="s">
        <v>588</v>
      </c>
      <c r="C628" s="193" t="s">
        <v>1164</v>
      </c>
      <c r="D628" s="193" t="s">
        <v>1165</v>
      </c>
      <c r="E628" s="193" t="s">
        <v>545</v>
      </c>
      <c r="F628" s="196">
        <v>40000</v>
      </c>
      <c r="G628" s="194">
        <v>1.2058452589383868</v>
      </c>
      <c r="H628" s="195">
        <v>48233.810357535469</v>
      </c>
      <c r="I628" s="193" t="s">
        <v>541</v>
      </c>
    </row>
    <row r="629" spans="1:9" x14ac:dyDescent="0.25">
      <c r="A629" s="193" t="s">
        <v>220</v>
      </c>
      <c r="B629" s="193" t="s">
        <v>588</v>
      </c>
      <c r="C629" s="193" t="s">
        <v>1166</v>
      </c>
      <c r="D629" s="193" t="s">
        <v>1167</v>
      </c>
      <c r="E629" s="193" t="s">
        <v>545</v>
      </c>
      <c r="F629" s="196">
        <v>82500</v>
      </c>
      <c r="G629" s="194">
        <v>0.3353815087095105</v>
      </c>
      <c r="H629" s="195">
        <v>27668.974468534616</v>
      </c>
      <c r="I629" s="193" t="s">
        <v>541</v>
      </c>
    </row>
    <row r="630" spans="1:9" x14ac:dyDescent="0.25">
      <c r="A630" s="193" t="s">
        <v>220</v>
      </c>
      <c r="B630" s="193" t="s">
        <v>588</v>
      </c>
      <c r="C630" s="193" t="s">
        <v>1168</v>
      </c>
      <c r="D630" s="193" t="s">
        <v>1169</v>
      </c>
      <c r="E630" s="193" t="s">
        <v>545</v>
      </c>
      <c r="F630" s="196">
        <v>104000</v>
      </c>
      <c r="G630" s="194">
        <v>0.12701501758475559</v>
      </c>
      <c r="H630" s="195">
        <v>13209.561828814582</v>
      </c>
      <c r="I630" s="193" t="s">
        <v>541</v>
      </c>
    </row>
    <row r="631" spans="1:9" x14ac:dyDescent="0.25">
      <c r="A631" s="193" t="s">
        <v>220</v>
      </c>
      <c r="B631" s="193" t="s">
        <v>588</v>
      </c>
      <c r="C631" s="193" t="s">
        <v>1170</v>
      </c>
      <c r="D631" s="193" t="s">
        <v>1171</v>
      </c>
      <c r="E631" s="193" t="s">
        <v>545</v>
      </c>
      <c r="F631" s="196">
        <v>2300</v>
      </c>
      <c r="G631" s="194">
        <v>0.93449681548994601</v>
      </c>
      <c r="H631" s="195">
        <v>2149.3426756268759</v>
      </c>
      <c r="I631" s="193" t="s">
        <v>541</v>
      </c>
    </row>
    <row r="632" spans="1:9" x14ac:dyDescent="0.25">
      <c r="A632" s="193" t="s">
        <v>220</v>
      </c>
      <c r="B632" s="193" t="s">
        <v>588</v>
      </c>
      <c r="C632" s="193" t="s">
        <v>1172</v>
      </c>
      <c r="D632" s="193" t="s">
        <v>1173</v>
      </c>
      <c r="E632" s="193" t="s">
        <v>545</v>
      </c>
      <c r="F632" s="196">
        <v>17000</v>
      </c>
      <c r="G632" s="194">
        <v>0.45292966504642573</v>
      </c>
      <c r="H632" s="195">
        <v>7699.8043057892373</v>
      </c>
      <c r="I632" s="193" t="s">
        <v>541</v>
      </c>
    </row>
    <row r="633" spans="1:9" x14ac:dyDescent="0.25">
      <c r="A633" s="193" t="s">
        <v>220</v>
      </c>
      <c r="B633" s="193" t="s">
        <v>588</v>
      </c>
      <c r="C633" s="193" t="s">
        <v>1176</v>
      </c>
      <c r="D633" s="193" t="s">
        <v>1177</v>
      </c>
      <c r="E633" s="193" t="s">
        <v>545</v>
      </c>
      <c r="F633" s="196">
        <v>6000</v>
      </c>
      <c r="G633" s="194">
        <v>0.50005156797129557</v>
      </c>
      <c r="H633" s="195">
        <v>3000.3094078277736</v>
      </c>
      <c r="I633" s="193" t="s">
        <v>541</v>
      </c>
    </row>
    <row r="634" spans="1:9" x14ac:dyDescent="0.25">
      <c r="A634" s="193" t="s">
        <v>220</v>
      </c>
      <c r="B634" s="193" t="s">
        <v>588</v>
      </c>
      <c r="C634" s="193" t="s">
        <v>1178</v>
      </c>
      <c r="D634" s="193" t="s">
        <v>1179</v>
      </c>
      <c r="E634" s="193" t="s">
        <v>545</v>
      </c>
      <c r="F634" s="196">
        <v>80000</v>
      </c>
      <c r="G634" s="194">
        <v>9.7537290075823582E-2</v>
      </c>
      <c r="H634" s="195">
        <v>7802.9832060658864</v>
      </c>
      <c r="I634" s="193" t="s">
        <v>541</v>
      </c>
    </row>
    <row r="635" spans="1:9" x14ac:dyDescent="0.25">
      <c r="A635" s="193" t="s">
        <v>220</v>
      </c>
      <c r="B635" s="193" t="s">
        <v>588</v>
      </c>
      <c r="C635" s="193" t="s">
        <v>7536</v>
      </c>
      <c r="D635" s="193" t="s">
        <v>7537</v>
      </c>
      <c r="E635" s="193" t="s">
        <v>545</v>
      </c>
      <c r="F635" s="196">
        <v>96000</v>
      </c>
      <c r="G635" s="194">
        <v>0.40680899999999998</v>
      </c>
      <c r="H635" s="195">
        <v>39053.663999999997</v>
      </c>
      <c r="I635" s="193" t="s">
        <v>541</v>
      </c>
    </row>
    <row r="636" spans="1:9" x14ac:dyDescent="0.25">
      <c r="A636" s="193" t="s">
        <v>220</v>
      </c>
      <c r="B636" s="193" t="s">
        <v>588</v>
      </c>
      <c r="C636" s="193" t="s">
        <v>1180</v>
      </c>
      <c r="D636" s="193" t="s">
        <v>1181</v>
      </c>
      <c r="E636" s="193" t="s">
        <v>545</v>
      </c>
      <c r="F636" s="196">
        <v>53000</v>
      </c>
      <c r="G636" s="194">
        <v>8.9777293041835862E-2</v>
      </c>
      <c r="H636" s="195">
        <v>4758.1965312173006</v>
      </c>
      <c r="I636" s="193" t="s">
        <v>541</v>
      </c>
    </row>
    <row r="637" spans="1:9" x14ac:dyDescent="0.25">
      <c r="A637" s="193" t="s">
        <v>220</v>
      </c>
      <c r="B637" s="193" t="s">
        <v>588</v>
      </c>
      <c r="C637" s="193" t="s">
        <v>1182</v>
      </c>
      <c r="D637" s="193" t="s">
        <v>1183</v>
      </c>
      <c r="E637" s="193" t="s">
        <v>545</v>
      </c>
      <c r="F637" s="196">
        <v>8000</v>
      </c>
      <c r="G637" s="194">
        <v>5.0160191444765453E-2</v>
      </c>
      <c r="H637" s="195">
        <v>401.28153155812362</v>
      </c>
      <c r="I637" s="193" t="s">
        <v>541</v>
      </c>
    </row>
    <row r="638" spans="1:9" x14ac:dyDescent="0.25">
      <c r="A638" s="193" t="s">
        <v>220</v>
      </c>
      <c r="B638" s="193" t="s">
        <v>588</v>
      </c>
      <c r="C638" s="193" t="s">
        <v>1184</v>
      </c>
      <c r="D638" s="193" t="s">
        <v>1185</v>
      </c>
      <c r="E638" s="193" t="s">
        <v>545</v>
      </c>
      <c r="F638" s="196">
        <v>9000</v>
      </c>
      <c r="G638" s="194">
        <v>5.8254564271935781E-2</v>
      </c>
      <c r="H638" s="195">
        <v>524.29107844742202</v>
      </c>
      <c r="I638" s="193" t="s">
        <v>541</v>
      </c>
    </row>
    <row r="639" spans="1:9" x14ac:dyDescent="0.25">
      <c r="A639" s="193" t="s">
        <v>220</v>
      </c>
      <c r="B639" s="193" t="s">
        <v>588</v>
      </c>
      <c r="C639" s="193" t="s">
        <v>1186</v>
      </c>
      <c r="D639" s="193" t="s">
        <v>1187</v>
      </c>
      <c r="E639" s="193" t="s">
        <v>545</v>
      </c>
      <c r="F639" s="196">
        <v>15000</v>
      </c>
      <c r="G639" s="194">
        <v>0.17441023280505299</v>
      </c>
      <c r="H639" s="195">
        <v>2616.1534920757949</v>
      </c>
      <c r="I639" s="193" t="s">
        <v>541</v>
      </c>
    </row>
    <row r="640" spans="1:9" x14ac:dyDescent="0.25">
      <c r="A640" s="193" t="s">
        <v>220</v>
      </c>
      <c r="B640" s="193" t="s">
        <v>588</v>
      </c>
      <c r="C640" s="193" t="s">
        <v>1188</v>
      </c>
      <c r="D640" s="193" t="s">
        <v>1189</v>
      </c>
      <c r="E640" s="193" t="s">
        <v>545</v>
      </c>
      <c r="F640" s="196">
        <v>51000</v>
      </c>
      <c r="G640" s="194">
        <v>0.11390237598642186</v>
      </c>
      <c r="H640" s="195">
        <v>5809.0211753075146</v>
      </c>
      <c r="I640" s="193" t="s">
        <v>541</v>
      </c>
    </row>
    <row r="641" spans="1:9" x14ac:dyDescent="0.25">
      <c r="A641" s="193" t="s">
        <v>220</v>
      </c>
      <c r="B641" s="193" t="s">
        <v>588</v>
      </c>
      <c r="C641" s="193" t="s">
        <v>1192</v>
      </c>
      <c r="D641" s="193" t="s">
        <v>1193</v>
      </c>
      <c r="E641" s="193" t="s">
        <v>545</v>
      </c>
      <c r="F641" s="196">
        <v>1500</v>
      </c>
      <c r="G641" s="194">
        <v>1.5958152173460487</v>
      </c>
      <c r="H641" s="195">
        <v>2393.7228260190732</v>
      </c>
      <c r="I641" s="193" t="s">
        <v>541</v>
      </c>
    </row>
    <row r="642" spans="1:9" x14ac:dyDescent="0.25">
      <c r="A642" s="193" t="s">
        <v>220</v>
      </c>
      <c r="B642" s="193" t="s">
        <v>588</v>
      </c>
      <c r="C642" s="193" t="s">
        <v>1194</v>
      </c>
      <c r="D642" s="193" t="s">
        <v>1195</v>
      </c>
      <c r="E642" s="193" t="s">
        <v>545</v>
      </c>
      <c r="F642" s="196">
        <v>1500</v>
      </c>
      <c r="G642" s="194">
        <v>1.5899074534561188</v>
      </c>
      <c r="H642" s="195">
        <v>2384.8611801841785</v>
      </c>
      <c r="I642" s="193" t="s">
        <v>541</v>
      </c>
    </row>
    <row r="643" spans="1:9" x14ac:dyDescent="0.25">
      <c r="A643" s="193" t="s">
        <v>220</v>
      </c>
      <c r="B643" s="193" t="s">
        <v>588</v>
      </c>
      <c r="C643" s="193" t="s">
        <v>1196</v>
      </c>
      <c r="D643" s="193" t="s">
        <v>1197</v>
      </c>
      <c r="E643" s="193" t="s">
        <v>545</v>
      </c>
      <c r="F643" s="196">
        <v>3850</v>
      </c>
      <c r="G643" s="194">
        <v>0.30656946187705758</v>
      </c>
      <c r="H643" s="195">
        <v>1180.2924282266717</v>
      </c>
      <c r="I643" s="193" t="s">
        <v>541</v>
      </c>
    </row>
    <row r="644" spans="1:9" x14ac:dyDescent="0.25">
      <c r="A644" s="193" t="s">
        <v>220</v>
      </c>
      <c r="B644" s="193" t="s">
        <v>588</v>
      </c>
      <c r="C644" s="193" t="s">
        <v>1198</v>
      </c>
      <c r="D644" s="193" t="s">
        <v>1199</v>
      </c>
      <c r="E644" s="193" t="s">
        <v>545</v>
      </c>
      <c r="F644" s="196">
        <v>4500</v>
      </c>
      <c r="G644" s="194">
        <v>0.31121829529102618</v>
      </c>
      <c r="H644" s="195">
        <v>1400.4823288096179</v>
      </c>
      <c r="I644" s="193" t="s">
        <v>541</v>
      </c>
    </row>
    <row r="645" spans="1:9" x14ac:dyDescent="0.25">
      <c r="A645" s="193" t="s">
        <v>220</v>
      </c>
      <c r="B645" s="193" t="s">
        <v>588</v>
      </c>
      <c r="C645" s="193" t="s">
        <v>1200</v>
      </c>
      <c r="D645" s="193" t="s">
        <v>1201</v>
      </c>
      <c r="E645" s="193" t="s">
        <v>545</v>
      </c>
      <c r="F645" s="196">
        <v>1650</v>
      </c>
      <c r="G645" s="194">
        <v>0.19247513901472693</v>
      </c>
      <c r="H645" s="195">
        <v>317.58397937429942</v>
      </c>
      <c r="I645" s="193" t="s">
        <v>541</v>
      </c>
    </row>
    <row r="646" spans="1:9" x14ac:dyDescent="0.25">
      <c r="A646" s="193" t="s">
        <v>220</v>
      </c>
      <c r="B646" s="193" t="s">
        <v>588</v>
      </c>
      <c r="C646" s="193" t="s">
        <v>1202</v>
      </c>
      <c r="D646" s="193" t="s">
        <v>1203</v>
      </c>
      <c r="E646" s="193" t="s">
        <v>545</v>
      </c>
      <c r="F646" s="196">
        <v>550</v>
      </c>
      <c r="G646" s="194">
        <v>0.19247513901472693</v>
      </c>
      <c r="H646" s="195">
        <v>105.86132645809981</v>
      </c>
      <c r="I646" s="193" t="s">
        <v>541</v>
      </c>
    </row>
    <row r="647" spans="1:9" x14ac:dyDescent="0.25">
      <c r="A647" s="193" t="s">
        <v>220</v>
      </c>
      <c r="B647" s="193" t="s">
        <v>588</v>
      </c>
      <c r="C647" s="193" t="s">
        <v>1204</v>
      </c>
      <c r="D647" s="193" t="s">
        <v>1205</v>
      </c>
      <c r="E647" s="193" t="s">
        <v>545</v>
      </c>
      <c r="F647" s="196">
        <v>38500</v>
      </c>
      <c r="G647" s="194">
        <v>3.894817091860367E-2</v>
      </c>
      <c r="H647" s="195">
        <v>1499.5045803662413</v>
      </c>
      <c r="I647" s="193" t="s">
        <v>541</v>
      </c>
    </row>
    <row r="648" spans="1:9" x14ac:dyDescent="0.25">
      <c r="A648" s="193" t="s">
        <v>220</v>
      </c>
      <c r="B648" s="193" t="s">
        <v>588</v>
      </c>
      <c r="C648" s="193" t="s">
        <v>1206</v>
      </c>
      <c r="D648" s="193" t="s">
        <v>1207</v>
      </c>
      <c r="E648" s="193" t="s">
        <v>545</v>
      </c>
      <c r="F648" s="196">
        <v>17500</v>
      </c>
      <c r="G648" s="194">
        <v>2.9152998195158684E-2</v>
      </c>
      <c r="H648" s="195">
        <v>510.17746841527696</v>
      </c>
      <c r="I648" s="193" t="s">
        <v>541</v>
      </c>
    </row>
    <row r="649" spans="1:9" x14ac:dyDescent="0.25">
      <c r="A649" s="193" t="s">
        <v>220</v>
      </c>
      <c r="B649" s="193" t="s">
        <v>588</v>
      </c>
      <c r="C649" s="193" t="s">
        <v>1208</v>
      </c>
      <c r="D649" s="193" t="s">
        <v>1209</v>
      </c>
      <c r="E649" s="193" t="s">
        <v>545</v>
      </c>
      <c r="F649" s="196">
        <v>3500</v>
      </c>
      <c r="G649" s="194">
        <v>6.8229999999999999E-2</v>
      </c>
      <c r="H649" s="195">
        <v>238.80500000000001</v>
      </c>
      <c r="I649" s="193" t="s">
        <v>541</v>
      </c>
    </row>
    <row r="650" spans="1:9" x14ac:dyDescent="0.25">
      <c r="A650" s="193" t="s">
        <v>220</v>
      </c>
      <c r="B650" s="193" t="s">
        <v>588</v>
      </c>
      <c r="C650" s="193" t="s">
        <v>1210</v>
      </c>
      <c r="D650" s="193" t="s">
        <v>1211</v>
      </c>
      <c r="E650" s="193" t="s">
        <v>545</v>
      </c>
      <c r="F650" s="196">
        <v>3500</v>
      </c>
      <c r="G650" s="194">
        <v>7.4069999999999997E-2</v>
      </c>
      <c r="H650" s="195">
        <v>259.245</v>
      </c>
      <c r="I650" s="193" t="s">
        <v>541</v>
      </c>
    </row>
    <row r="651" spans="1:9" x14ac:dyDescent="0.25">
      <c r="A651" s="193" t="s">
        <v>220</v>
      </c>
      <c r="B651" s="193" t="s">
        <v>588</v>
      </c>
      <c r="C651" s="193" t="s">
        <v>1212</v>
      </c>
      <c r="D651" s="193" t="s">
        <v>1213</v>
      </c>
      <c r="E651" s="193" t="s">
        <v>545</v>
      </c>
      <c r="F651" s="196">
        <v>31500</v>
      </c>
      <c r="G651" s="194">
        <v>0.02</v>
      </c>
      <c r="H651" s="195">
        <v>630</v>
      </c>
      <c r="I651" s="193" t="s">
        <v>541</v>
      </c>
    </row>
    <row r="652" spans="1:9" x14ac:dyDescent="0.25">
      <c r="A652" s="193" t="s">
        <v>220</v>
      </c>
      <c r="B652" s="193" t="s">
        <v>588</v>
      </c>
      <c r="C652" s="193" t="s">
        <v>1214</v>
      </c>
      <c r="D652" s="193" t="s">
        <v>1215</v>
      </c>
      <c r="E652" s="193" t="s">
        <v>545</v>
      </c>
      <c r="F652" s="196">
        <v>31500</v>
      </c>
      <c r="G652" s="194">
        <v>2.9920898765432101E-2</v>
      </c>
      <c r="H652" s="195">
        <v>942.5083111111112</v>
      </c>
      <c r="I652" s="193" t="s">
        <v>541</v>
      </c>
    </row>
    <row r="653" spans="1:9" x14ac:dyDescent="0.25">
      <c r="A653" s="193" t="s">
        <v>220</v>
      </c>
      <c r="B653" s="193" t="s">
        <v>588</v>
      </c>
      <c r="C653" s="193" t="s">
        <v>1216</v>
      </c>
      <c r="D653" s="193" t="s">
        <v>1217</v>
      </c>
      <c r="E653" s="193" t="s">
        <v>545</v>
      </c>
      <c r="F653" s="196">
        <v>6500</v>
      </c>
      <c r="G653" s="194">
        <v>0.20321989343556637</v>
      </c>
      <c r="H653" s="195">
        <v>1320.9293073311815</v>
      </c>
      <c r="I653" s="193" t="s">
        <v>541</v>
      </c>
    </row>
    <row r="654" spans="1:9" x14ac:dyDescent="0.25">
      <c r="A654" s="193" t="s">
        <v>220</v>
      </c>
      <c r="B654" s="193" t="s">
        <v>588</v>
      </c>
      <c r="C654" s="193" t="s">
        <v>1218</v>
      </c>
      <c r="D654" s="193" t="s">
        <v>1219</v>
      </c>
      <c r="E654" s="193" t="s">
        <v>545</v>
      </c>
      <c r="F654" s="196">
        <v>7000</v>
      </c>
      <c r="G654" s="194">
        <v>0.20230847523194981</v>
      </c>
      <c r="H654" s="195">
        <v>1416.1593266236487</v>
      </c>
      <c r="I654" s="193" t="s">
        <v>541</v>
      </c>
    </row>
    <row r="655" spans="1:9" x14ac:dyDescent="0.25">
      <c r="A655" s="193" t="s">
        <v>220</v>
      </c>
      <c r="B655" s="193" t="s">
        <v>588</v>
      </c>
      <c r="C655" s="193" t="s">
        <v>1220</v>
      </c>
      <c r="D655" s="193" t="s">
        <v>1221</v>
      </c>
      <c r="E655" s="193" t="s">
        <v>545</v>
      </c>
      <c r="F655" s="196">
        <v>15500</v>
      </c>
      <c r="G655" s="194">
        <v>0.5534376468067399</v>
      </c>
      <c r="H655" s="195">
        <v>8578.2835255044683</v>
      </c>
      <c r="I655" s="193" t="s">
        <v>541</v>
      </c>
    </row>
    <row r="656" spans="1:9" x14ac:dyDescent="0.25">
      <c r="A656" s="193" t="s">
        <v>220</v>
      </c>
      <c r="B656" s="193" t="s">
        <v>588</v>
      </c>
      <c r="C656" s="193" t="s">
        <v>1222</v>
      </c>
      <c r="D656" s="193" t="s">
        <v>1223</v>
      </c>
      <c r="E656" s="193" t="s">
        <v>545</v>
      </c>
      <c r="F656" s="196">
        <v>17000</v>
      </c>
      <c r="G656" s="194">
        <v>0.54982663805230358</v>
      </c>
      <c r="H656" s="195">
        <v>9347.0528468891607</v>
      </c>
      <c r="I656" s="193" t="s">
        <v>541</v>
      </c>
    </row>
    <row r="657" spans="1:9" x14ac:dyDescent="0.25">
      <c r="A657" s="193" t="s">
        <v>220</v>
      </c>
      <c r="B657" s="193" t="s">
        <v>588</v>
      </c>
      <c r="C657" s="193" t="s">
        <v>1224</v>
      </c>
      <c r="D657" s="193" t="s">
        <v>1225</v>
      </c>
      <c r="E657" s="193" t="s">
        <v>545</v>
      </c>
      <c r="F657" s="196">
        <v>1000</v>
      </c>
      <c r="G657" s="194">
        <v>0.76890957509608171</v>
      </c>
      <c r="H657" s="195">
        <v>768.90957509608165</v>
      </c>
      <c r="I657" s="193" t="s">
        <v>541</v>
      </c>
    </row>
    <row r="658" spans="1:9" x14ac:dyDescent="0.25">
      <c r="A658" s="193" t="s">
        <v>220</v>
      </c>
      <c r="B658" s="193" t="s">
        <v>588</v>
      </c>
      <c r="C658" s="193" t="s">
        <v>1226</v>
      </c>
      <c r="D658" s="193" t="s">
        <v>1227</v>
      </c>
      <c r="E658" s="193" t="s">
        <v>545</v>
      </c>
      <c r="F658" s="196">
        <v>1500</v>
      </c>
      <c r="G658" s="194">
        <v>0.7630457642971944</v>
      </c>
      <c r="H658" s="195">
        <v>1144.5686464457915</v>
      </c>
      <c r="I658" s="193" t="s">
        <v>541</v>
      </c>
    </row>
    <row r="659" spans="1:9" x14ac:dyDescent="0.25">
      <c r="A659" s="193" t="s">
        <v>220</v>
      </c>
      <c r="B659" s="193" t="s">
        <v>588</v>
      </c>
      <c r="C659" s="193" t="s">
        <v>1228</v>
      </c>
      <c r="D659" s="193" t="s">
        <v>1229</v>
      </c>
      <c r="E659" s="193" t="s">
        <v>545</v>
      </c>
      <c r="F659" s="196">
        <v>21000</v>
      </c>
      <c r="G659" s="194">
        <v>0.16297568959053735</v>
      </c>
      <c r="H659" s="195">
        <v>3422.4894814012841</v>
      </c>
      <c r="I659" s="193" t="s">
        <v>541</v>
      </c>
    </row>
    <row r="660" spans="1:9" x14ac:dyDescent="0.25">
      <c r="A660" s="193" t="s">
        <v>220</v>
      </c>
      <c r="B660" s="193" t="s">
        <v>588</v>
      </c>
      <c r="C660" s="193" t="s">
        <v>1230</v>
      </c>
      <c r="D660" s="193" t="s">
        <v>1231</v>
      </c>
      <c r="E660" s="193" t="s">
        <v>545</v>
      </c>
      <c r="F660" s="196">
        <v>16500</v>
      </c>
      <c r="G660" s="194">
        <v>0.1882655995028247</v>
      </c>
      <c r="H660" s="195">
        <v>3106.3823917966074</v>
      </c>
      <c r="I660" s="193" t="s">
        <v>541</v>
      </c>
    </row>
    <row r="661" spans="1:9" x14ac:dyDescent="0.25">
      <c r="A661" s="193" t="s">
        <v>220</v>
      </c>
      <c r="B661" s="193" t="s">
        <v>588</v>
      </c>
      <c r="C661" s="193" t="s">
        <v>1232</v>
      </c>
      <c r="D661" s="193" t="s">
        <v>1233</v>
      </c>
      <c r="E661" s="193" t="s">
        <v>545</v>
      </c>
      <c r="F661" s="196">
        <v>7500</v>
      </c>
      <c r="G661" s="194">
        <v>0.20633450960964342</v>
      </c>
      <c r="H661" s="195">
        <v>1547.5088220723255</v>
      </c>
      <c r="I661" s="193" t="s">
        <v>541</v>
      </c>
    </row>
    <row r="662" spans="1:9" x14ac:dyDescent="0.25">
      <c r="A662" s="193" t="s">
        <v>220</v>
      </c>
      <c r="B662" s="193" t="s">
        <v>588</v>
      </c>
      <c r="C662" s="193" t="s">
        <v>1234</v>
      </c>
      <c r="D662" s="193" t="s">
        <v>1235</v>
      </c>
      <c r="E662" s="193" t="s">
        <v>545</v>
      </c>
      <c r="F662" s="196">
        <v>17400</v>
      </c>
      <c r="G662" s="194">
        <v>6.8861855497382204E-2</v>
      </c>
      <c r="H662" s="195">
        <v>1198.1962856544503</v>
      </c>
      <c r="I662" s="193" t="s">
        <v>541</v>
      </c>
    </row>
    <row r="663" spans="1:9" x14ac:dyDescent="0.25">
      <c r="A663" s="193" t="s">
        <v>220</v>
      </c>
      <c r="B663" s="193" t="s">
        <v>588</v>
      </c>
      <c r="C663" s="193" t="s">
        <v>1236</v>
      </c>
      <c r="D663" s="193" t="s">
        <v>1237</v>
      </c>
      <c r="E663" s="193" t="s">
        <v>545</v>
      </c>
      <c r="F663" s="196">
        <v>700</v>
      </c>
      <c r="G663" s="194">
        <v>0.11899999999999998</v>
      </c>
      <c r="H663" s="195">
        <v>83.299999999999983</v>
      </c>
      <c r="I663" s="193" t="s">
        <v>541</v>
      </c>
    </row>
    <row r="664" spans="1:9" x14ac:dyDescent="0.25">
      <c r="A664" s="193" t="s">
        <v>220</v>
      </c>
      <c r="B664" s="193" t="s">
        <v>588</v>
      </c>
      <c r="C664" s="193" t="s">
        <v>1238</v>
      </c>
      <c r="D664" s="193" t="s">
        <v>1239</v>
      </c>
      <c r="E664" s="193" t="s">
        <v>545</v>
      </c>
      <c r="F664" s="196">
        <v>57100</v>
      </c>
      <c r="G664" s="194">
        <v>0.21493302998837036</v>
      </c>
      <c r="H664" s="195">
        <v>12272.676012335947</v>
      </c>
      <c r="I664" s="193" t="s">
        <v>541</v>
      </c>
    </row>
    <row r="665" spans="1:9" x14ac:dyDescent="0.25">
      <c r="A665" s="193" t="s">
        <v>220</v>
      </c>
      <c r="B665" s="193" t="s">
        <v>588</v>
      </c>
      <c r="C665" s="193" t="s">
        <v>1240</v>
      </c>
      <c r="D665" s="193" t="s">
        <v>1241</v>
      </c>
      <c r="E665" s="193" t="s">
        <v>545</v>
      </c>
      <c r="F665" s="196">
        <v>13500</v>
      </c>
      <c r="G665" s="194">
        <v>0.24174015750057906</v>
      </c>
      <c r="H665" s="195">
        <v>3263.4921262578173</v>
      </c>
      <c r="I665" s="193" t="s">
        <v>541</v>
      </c>
    </row>
    <row r="666" spans="1:9" x14ac:dyDescent="0.25">
      <c r="A666" s="193" t="s">
        <v>220</v>
      </c>
      <c r="B666" s="193" t="s">
        <v>588</v>
      </c>
      <c r="C666" s="193" t="s">
        <v>1242</v>
      </c>
      <c r="D666" s="193" t="s">
        <v>1243</v>
      </c>
      <c r="E666" s="193" t="s">
        <v>545</v>
      </c>
      <c r="F666" s="196">
        <v>7750</v>
      </c>
      <c r="G666" s="194">
        <v>0.15</v>
      </c>
      <c r="H666" s="195">
        <v>1162.5</v>
      </c>
      <c r="I666" s="193" t="s">
        <v>541</v>
      </c>
    </row>
    <row r="667" spans="1:9" x14ac:dyDescent="0.25">
      <c r="A667" s="193" t="s">
        <v>220</v>
      </c>
      <c r="B667" s="193" t="s">
        <v>588</v>
      </c>
      <c r="C667" s="193" t="s">
        <v>1244</v>
      </c>
      <c r="D667" s="193" t="s">
        <v>1245</v>
      </c>
      <c r="E667" s="193" t="s">
        <v>545</v>
      </c>
      <c r="F667" s="196">
        <v>39000</v>
      </c>
      <c r="G667" s="194">
        <v>0.27298834526912963</v>
      </c>
      <c r="H667" s="195">
        <v>10646.545465496056</v>
      </c>
      <c r="I667" s="193" t="s">
        <v>541</v>
      </c>
    </row>
    <row r="668" spans="1:9" x14ac:dyDescent="0.25">
      <c r="A668" s="193" t="s">
        <v>220</v>
      </c>
      <c r="B668" s="193" t="s">
        <v>588</v>
      </c>
      <c r="C668" s="193" t="s">
        <v>1246</v>
      </c>
      <c r="D668" s="193" t="s">
        <v>1247</v>
      </c>
      <c r="E668" s="193" t="s">
        <v>545</v>
      </c>
      <c r="F668" s="196">
        <v>25000</v>
      </c>
      <c r="G668" s="194">
        <v>0.27468642448940533</v>
      </c>
      <c r="H668" s="195">
        <v>6867.1606122351332</v>
      </c>
      <c r="I668" s="193" t="s">
        <v>541</v>
      </c>
    </row>
    <row r="669" spans="1:9" x14ac:dyDescent="0.25">
      <c r="A669" s="193" t="s">
        <v>220</v>
      </c>
      <c r="B669" s="193" t="s">
        <v>588</v>
      </c>
      <c r="C669" s="193" t="s">
        <v>1248</v>
      </c>
      <c r="D669" s="193" t="s">
        <v>1249</v>
      </c>
      <c r="E669" s="193" t="s">
        <v>545</v>
      </c>
      <c r="F669" s="196">
        <v>300</v>
      </c>
      <c r="G669" s="194">
        <v>0.3805336722915485</v>
      </c>
      <c r="H669" s="195">
        <v>114.16010168746455</v>
      </c>
      <c r="I669" s="193" t="s">
        <v>541</v>
      </c>
    </row>
    <row r="670" spans="1:9" x14ac:dyDescent="0.25">
      <c r="A670" s="193" t="s">
        <v>220</v>
      </c>
      <c r="B670" s="193" t="s">
        <v>588</v>
      </c>
      <c r="C670" s="193" t="s">
        <v>1250</v>
      </c>
      <c r="D670" s="193" t="s">
        <v>1251</v>
      </c>
      <c r="E670" s="193" t="s">
        <v>545</v>
      </c>
      <c r="F670" s="196">
        <v>300</v>
      </c>
      <c r="G670" s="194">
        <v>0.44972161270819377</v>
      </c>
      <c r="H670" s="195">
        <v>134.91648381245813</v>
      </c>
      <c r="I670" s="193" t="s">
        <v>541</v>
      </c>
    </row>
    <row r="671" spans="1:9" x14ac:dyDescent="0.25">
      <c r="A671" s="193" t="s">
        <v>220</v>
      </c>
      <c r="B671" s="193" t="s">
        <v>588</v>
      </c>
      <c r="C671" s="193" t="s">
        <v>1252</v>
      </c>
      <c r="D671" s="193" t="s">
        <v>1253</v>
      </c>
      <c r="E671" s="193" t="s">
        <v>545</v>
      </c>
      <c r="F671" s="196">
        <v>300</v>
      </c>
      <c r="G671" s="194">
        <v>0.48431558291651633</v>
      </c>
      <c r="H671" s="195">
        <v>145.29467487495489</v>
      </c>
      <c r="I671" s="193" t="s">
        <v>541</v>
      </c>
    </row>
    <row r="672" spans="1:9" x14ac:dyDescent="0.25">
      <c r="A672" s="193" t="s">
        <v>220</v>
      </c>
      <c r="B672" s="193" t="s">
        <v>588</v>
      </c>
      <c r="C672" s="193" t="s">
        <v>1254</v>
      </c>
      <c r="D672" s="193" t="s">
        <v>1255</v>
      </c>
      <c r="E672" s="193" t="s">
        <v>545</v>
      </c>
      <c r="F672" s="196">
        <v>300</v>
      </c>
      <c r="G672" s="194">
        <v>0.51890955312483877</v>
      </c>
      <c r="H672" s="195">
        <v>155.67286593745163</v>
      </c>
      <c r="I672" s="193" t="s">
        <v>541</v>
      </c>
    </row>
    <row r="673" spans="1:9" x14ac:dyDescent="0.25">
      <c r="A673" s="193" t="s">
        <v>220</v>
      </c>
      <c r="B673" s="193" t="s">
        <v>588</v>
      </c>
      <c r="C673" s="193" t="s">
        <v>1256</v>
      </c>
      <c r="D673" s="193" t="s">
        <v>1257</v>
      </c>
      <c r="E673" s="193" t="s">
        <v>545</v>
      </c>
      <c r="F673" s="196">
        <v>300</v>
      </c>
      <c r="G673" s="194">
        <v>0.51890955312483877</v>
      </c>
      <c r="H673" s="195">
        <v>155.67286593745163</v>
      </c>
      <c r="I673" s="193" t="s">
        <v>541</v>
      </c>
    </row>
    <row r="674" spans="1:9" x14ac:dyDescent="0.25">
      <c r="A674" s="193" t="s">
        <v>220</v>
      </c>
      <c r="B674" s="193" t="s">
        <v>588</v>
      </c>
      <c r="C674" s="193" t="s">
        <v>1258</v>
      </c>
      <c r="D674" s="193" t="s">
        <v>1259</v>
      </c>
      <c r="E674" s="193" t="s">
        <v>545</v>
      </c>
      <c r="F674" s="196">
        <v>300</v>
      </c>
      <c r="G674" s="194">
        <v>0.41512764249987105</v>
      </c>
      <c r="H674" s="195">
        <v>124.53829274996131</v>
      </c>
      <c r="I674" s="193" t="s">
        <v>541</v>
      </c>
    </row>
    <row r="675" spans="1:9" x14ac:dyDescent="0.25">
      <c r="A675" s="193" t="s">
        <v>220</v>
      </c>
      <c r="B675" s="193" t="s">
        <v>588</v>
      </c>
      <c r="C675" s="193" t="s">
        <v>1260</v>
      </c>
      <c r="D675" s="193" t="s">
        <v>1261</v>
      </c>
      <c r="E675" s="193" t="s">
        <v>545</v>
      </c>
      <c r="F675" s="196">
        <v>300</v>
      </c>
      <c r="G675" s="194">
        <v>0.65728543395812911</v>
      </c>
      <c r="H675" s="195">
        <v>197.18563018743873</v>
      </c>
      <c r="I675" s="193" t="s">
        <v>541</v>
      </c>
    </row>
    <row r="676" spans="1:9" x14ac:dyDescent="0.25">
      <c r="A676" s="193" t="s">
        <v>220</v>
      </c>
      <c r="B676" s="193" t="s">
        <v>588</v>
      </c>
      <c r="C676" s="193" t="s">
        <v>1262</v>
      </c>
      <c r="D676" s="193" t="s">
        <v>1263</v>
      </c>
      <c r="E676" s="193" t="s">
        <v>545</v>
      </c>
      <c r="F676" s="196">
        <v>25000</v>
      </c>
      <c r="G676" s="194">
        <v>5.2999999999999999E-2</v>
      </c>
      <c r="H676" s="195">
        <v>1325</v>
      </c>
      <c r="I676" s="193" t="s">
        <v>541</v>
      </c>
    </row>
    <row r="677" spans="1:9" x14ac:dyDescent="0.25">
      <c r="A677" s="193" t="s">
        <v>220</v>
      </c>
      <c r="B677" s="193" t="s">
        <v>588</v>
      </c>
      <c r="C677" s="193" t="s">
        <v>1264</v>
      </c>
      <c r="D677" s="193" t="s">
        <v>1265</v>
      </c>
      <c r="E677" s="193" t="s">
        <v>545</v>
      </c>
      <c r="F677" s="196">
        <v>30000</v>
      </c>
      <c r="G677" s="194">
        <v>5.6416434286875206E-2</v>
      </c>
      <c r="H677" s="195">
        <v>1692.4930286062561</v>
      </c>
      <c r="I677" s="193" t="s">
        <v>541</v>
      </c>
    </row>
    <row r="678" spans="1:9" x14ac:dyDescent="0.25">
      <c r="A678" s="193" t="s">
        <v>220</v>
      </c>
      <c r="B678" s="193" t="s">
        <v>588</v>
      </c>
      <c r="C678" s="193" t="s">
        <v>1266</v>
      </c>
      <c r="D678" s="193" t="s">
        <v>1267</v>
      </c>
      <c r="E678" s="193" t="s">
        <v>545</v>
      </c>
      <c r="F678" s="196">
        <v>28800</v>
      </c>
      <c r="G678" s="194">
        <v>2.7019999999999995E-2</v>
      </c>
      <c r="H678" s="195">
        <v>778.17599999999982</v>
      </c>
      <c r="I678" s="193" t="s">
        <v>541</v>
      </c>
    </row>
    <row r="679" spans="1:9" x14ac:dyDescent="0.25">
      <c r="A679" s="193" t="s">
        <v>220</v>
      </c>
      <c r="B679" s="193" t="s">
        <v>588</v>
      </c>
      <c r="C679" s="193" t="s">
        <v>1268</v>
      </c>
      <c r="D679" s="193" t="s">
        <v>1269</v>
      </c>
      <c r="E679" s="193" t="s">
        <v>545</v>
      </c>
      <c r="F679" s="196">
        <v>7000</v>
      </c>
      <c r="G679" s="194">
        <v>2.6958747617727846E-2</v>
      </c>
      <c r="H679" s="195">
        <v>188.71123332409493</v>
      </c>
      <c r="I679" s="193" t="s">
        <v>541</v>
      </c>
    </row>
    <row r="680" spans="1:9" x14ac:dyDescent="0.25">
      <c r="A680" s="193" t="s">
        <v>220</v>
      </c>
      <c r="B680" s="193" t="s">
        <v>588</v>
      </c>
      <c r="C680" s="193" t="s">
        <v>1270</v>
      </c>
      <c r="D680" s="193" t="s">
        <v>1271</v>
      </c>
      <c r="E680" s="193" t="s">
        <v>545</v>
      </c>
      <c r="F680" s="196">
        <v>15000</v>
      </c>
      <c r="G680" s="194">
        <v>2.728495119508461E-2</v>
      </c>
      <c r="H680" s="195">
        <v>409.27426792626915</v>
      </c>
      <c r="I680" s="193" t="s">
        <v>541</v>
      </c>
    </row>
    <row r="681" spans="1:9" x14ac:dyDescent="0.25">
      <c r="A681" s="193" t="s">
        <v>220</v>
      </c>
      <c r="B681" s="193" t="s">
        <v>588</v>
      </c>
      <c r="C681" s="193" t="s">
        <v>1272</v>
      </c>
      <c r="D681" s="193" t="s">
        <v>1273</v>
      </c>
      <c r="E681" s="193" t="s">
        <v>545</v>
      </c>
      <c r="F681" s="196">
        <v>13500</v>
      </c>
      <c r="G681" s="194">
        <v>1.3510000000000001E-2</v>
      </c>
      <c r="H681" s="195">
        <v>182.38500000000002</v>
      </c>
      <c r="I681" s="193" t="s">
        <v>541</v>
      </c>
    </row>
    <row r="682" spans="1:9" x14ac:dyDescent="0.25">
      <c r="A682" s="193" t="s">
        <v>220</v>
      </c>
      <c r="B682" s="193" t="s">
        <v>588</v>
      </c>
      <c r="C682" s="193" t="s">
        <v>1274</v>
      </c>
      <c r="D682" s="193" t="s">
        <v>1275</v>
      </c>
      <c r="E682" s="193" t="s">
        <v>545</v>
      </c>
      <c r="F682" s="196">
        <v>8000</v>
      </c>
      <c r="G682" s="194">
        <v>7.3099999999999998E-2</v>
      </c>
      <c r="H682" s="195">
        <v>584.79999999999995</v>
      </c>
      <c r="I682" s="193" t="s">
        <v>541</v>
      </c>
    </row>
    <row r="683" spans="1:9" x14ac:dyDescent="0.25">
      <c r="A683" s="193" t="s">
        <v>220</v>
      </c>
      <c r="B683" s="193" t="s">
        <v>588</v>
      </c>
      <c r="C683" s="193" t="s">
        <v>1276</v>
      </c>
      <c r="D683" s="193" t="s">
        <v>1277</v>
      </c>
      <c r="E683" s="193" t="s">
        <v>545</v>
      </c>
      <c r="F683" s="196">
        <v>8000</v>
      </c>
      <c r="G683" s="194">
        <v>7.0514705882352938E-2</v>
      </c>
      <c r="H683" s="195">
        <v>564.11764705882354</v>
      </c>
      <c r="I683" s="193" t="s">
        <v>541</v>
      </c>
    </row>
    <row r="684" spans="1:9" x14ac:dyDescent="0.25">
      <c r="A684" s="193" t="s">
        <v>220</v>
      </c>
      <c r="B684" s="193" t="s">
        <v>588</v>
      </c>
      <c r="C684" s="193" t="s">
        <v>1278</v>
      </c>
      <c r="D684" s="193" t="s">
        <v>1279</v>
      </c>
      <c r="E684" s="193" t="s">
        <v>545</v>
      </c>
      <c r="F684" s="196">
        <v>7200</v>
      </c>
      <c r="G684" s="194">
        <v>1.7624734881306676</v>
      </c>
      <c r="H684" s="195">
        <v>12689.809114540807</v>
      </c>
      <c r="I684" s="193" t="s">
        <v>541</v>
      </c>
    </row>
    <row r="685" spans="1:9" x14ac:dyDescent="0.25">
      <c r="A685" s="193" t="s">
        <v>220</v>
      </c>
      <c r="B685" s="193" t="s">
        <v>588</v>
      </c>
      <c r="C685" s="193" t="s">
        <v>1280</v>
      </c>
      <c r="D685" s="193" t="s">
        <v>1281</v>
      </c>
      <c r="E685" s="193" t="s">
        <v>545</v>
      </c>
      <c r="F685" s="196">
        <v>5520</v>
      </c>
      <c r="G685" s="194">
        <v>1.815099252541148</v>
      </c>
      <c r="H685" s="195">
        <v>10019.347874027137</v>
      </c>
      <c r="I685" s="193" t="s">
        <v>541</v>
      </c>
    </row>
    <row r="686" spans="1:9" x14ac:dyDescent="0.25">
      <c r="A686" s="193" t="s">
        <v>220</v>
      </c>
      <c r="B686" s="193" t="s">
        <v>588</v>
      </c>
      <c r="C686" s="193" t="s">
        <v>1282</v>
      </c>
      <c r="D686" s="193" t="s">
        <v>1283</v>
      </c>
      <c r="E686" s="193" t="s">
        <v>545</v>
      </c>
      <c r="F686" s="196">
        <v>4608</v>
      </c>
      <c r="G686" s="194">
        <v>1.9190203489271771</v>
      </c>
      <c r="H686" s="195">
        <v>8842.8457678564318</v>
      </c>
      <c r="I686" s="193" t="s">
        <v>541</v>
      </c>
    </row>
    <row r="687" spans="1:9" x14ac:dyDescent="0.25">
      <c r="A687" s="193" t="s">
        <v>220</v>
      </c>
      <c r="B687" s="193" t="s">
        <v>588</v>
      </c>
      <c r="C687" s="193" t="s">
        <v>1284</v>
      </c>
      <c r="D687" s="193" t="s">
        <v>1285</v>
      </c>
      <c r="E687" s="193" t="s">
        <v>545</v>
      </c>
      <c r="F687" s="196">
        <v>10296</v>
      </c>
      <c r="G687" s="194">
        <v>1.4268611588435918</v>
      </c>
      <c r="H687" s="195">
        <v>14690.962491453622</v>
      </c>
      <c r="I687" s="193" t="s">
        <v>541</v>
      </c>
    </row>
    <row r="688" spans="1:9" x14ac:dyDescent="0.25">
      <c r="A688" s="193" t="s">
        <v>220</v>
      </c>
      <c r="B688" s="193" t="s">
        <v>588</v>
      </c>
      <c r="C688" s="193" t="s">
        <v>1286</v>
      </c>
      <c r="D688" s="193" t="s">
        <v>1287</v>
      </c>
      <c r="E688" s="193" t="s">
        <v>545</v>
      </c>
      <c r="F688" s="196">
        <v>3264</v>
      </c>
      <c r="G688" s="194">
        <v>1.4450582455291476</v>
      </c>
      <c r="H688" s="195">
        <v>4716.6701134071382</v>
      </c>
      <c r="I688" s="193" t="s">
        <v>541</v>
      </c>
    </row>
    <row r="689" spans="1:9" x14ac:dyDescent="0.25">
      <c r="A689" s="193" t="s">
        <v>220</v>
      </c>
      <c r="B689" s="193" t="s">
        <v>588</v>
      </c>
      <c r="C689" s="193" t="s">
        <v>1288</v>
      </c>
      <c r="D689" s="193" t="s">
        <v>1289</v>
      </c>
      <c r="E689" s="193" t="s">
        <v>545</v>
      </c>
      <c r="F689" s="196">
        <v>15730</v>
      </c>
      <c r="G689" s="194">
        <v>1.5153198858058068</v>
      </c>
      <c r="H689" s="195">
        <v>23835.981803725339</v>
      </c>
      <c r="I689" s="193" t="s">
        <v>541</v>
      </c>
    </row>
    <row r="690" spans="1:9" x14ac:dyDescent="0.25">
      <c r="A690" s="193" t="s">
        <v>220</v>
      </c>
      <c r="B690" s="193" t="s">
        <v>588</v>
      </c>
      <c r="C690" s="193" t="s">
        <v>1290</v>
      </c>
      <c r="D690" s="193" t="s">
        <v>1291</v>
      </c>
      <c r="E690" s="193" t="s">
        <v>545</v>
      </c>
      <c r="F690" s="196">
        <v>2880</v>
      </c>
      <c r="G690" s="194">
        <v>1.58534255930487</v>
      </c>
      <c r="H690" s="195">
        <v>4565.7865707980254</v>
      </c>
      <c r="I690" s="193" t="s">
        <v>541</v>
      </c>
    </row>
    <row r="691" spans="1:9" x14ac:dyDescent="0.25">
      <c r="A691" s="193" t="s">
        <v>220</v>
      </c>
      <c r="B691" s="193" t="s">
        <v>588</v>
      </c>
      <c r="C691" s="193" t="s">
        <v>1292</v>
      </c>
      <c r="D691" s="193" t="s">
        <v>1293</v>
      </c>
      <c r="E691" s="193" t="s">
        <v>545</v>
      </c>
      <c r="F691" s="196">
        <v>16060</v>
      </c>
      <c r="G691" s="194">
        <v>1.5693694467420258</v>
      </c>
      <c r="H691" s="195">
        <v>25204.073314676934</v>
      </c>
      <c r="I691" s="193" t="s">
        <v>541</v>
      </c>
    </row>
    <row r="692" spans="1:9" x14ac:dyDescent="0.25">
      <c r="A692" s="193" t="s">
        <v>220</v>
      </c>
      <c r="B692" s="193" t="s">
        <v>588</v>
      </c>
      <c r="C692" s="193" t="s">
        <v>1294</v>
      </c>
      <c r="D692" s="193" t="s">
        <v>1295</v>
      </c>
      <c r="E692" s="193" t="s">
        <v>545</v>
      </c>
      <c r="F692" s="196">
        <v>3024</v>
      </c>
      <c r="G692" s="194">
        <v>1.7999036584262238</v>
      </c>
      <c r="H692" s="195">
        <v>5442.9086630809006</v>
      </c>
      <c r="I692" s="193" t="s">
        <v>541</v>
      </c>
    </row>
    <row r="693" spans="1:9" x14ac:dyDescent="0.25">
      <c r="A693" s="193" t="s">
        <v>220</v>
      </c>
      <c r="B693" s="193" t="s">
        <v>588</v>
      </c>
      <c r="C693" s="193" t="s">
        <v>1296</v>
      </c>
      <c r="D693" s="193" t="s">
        <v>1297</v>
      </c>
      <c r="E693" s="193" t="s">
        <v>545</v>
      </c>
      <c r="F693" s="196">
        <v>2464</v>
      </c>
      <c r="G693" s="194">
        <v>1.7344485239482599</v>
      </c>
      <c r="H693" s="195">
        <v>4273.6811630085122</v>
      </c>
      <c r="I693" s="193" t="s">
        <v>541</v>
      </c>
    </row>
    <row r="694" spans="1:9" x14ac:dyDescent="0.25">
      <c r="A694" s="193" t="s">
        <v>220</v>
      </c>
      <c r="B694" s="193" t="s">
        <v>588</v>
      </c>
      <c r="C694" s="193" t="s">
        <v>1298</v>
      </c>
      <c r="D694" s="193" t="s">
        <v>1299</v>
      </c>
      <c r="E694" s="193" t="s">
        <v>545</v>
      </c>
      <c r="F694" s="196">
        <v>864</v>
      </c>
      <c r="G694" s="194">
        <v>1.9057951727128553</v>
      </c>
      <c r="H694" s="195">
        <v>1646.6070292239069</v>
      </c>
      <c r="I694" s="193" t="s">
        <v>541</v>
      </c>
    </row>
    <row r="695" spans="1:9" x14ac:dyDescent="0.25">
      <c r="A695" s="193" t="s">
        <v>220</v>
      </c>
      <c r="B695" s="193" t="s">
        <v>588</v>
      </c>
      <c r="C695" s="193" t="s">
        <v>1300</v>
      </c>
      <c r="D695" s="193" t="s">
        <v>1301</v>
      </c>
      <c r="E695" s="193" t="s">
        <v>545</v>
      </c>
      <c r="F695" s="196">
        <v>2496</v>
      </c>
      <c r="G695" s="194">
        <v>1.5295158137805818</v>
      </c>
      <c r="H695" s="195">
        <v>3817.6714711963323</v>
      </c>
      <c r="I695" s="193" t="s">
        <v>541</v>
      </c>
    </row>
    <row r="696" spans="1:9" x14ac:dyDescent="0.25">
      <c r="A696" s="193" t="s">
        <v>220</v>
      </c>
      <c r="B696" s="193" t="s">
        <v>588</v>
      </c>
      <c r="C696" s="193" t="s">
        <v>1302</v>
      </c>
      <c r="D696" s="193" t="s">
        <v>1303</v>
      </c>
      <c r="E696" s="193" t="s">
        <v>545</v>
      </c>
      <c r="F696" s="196">
        <v>2640</v>
      </c>
      <c r="G696" s="194">
        <v>1.6556066175490081</v>
      </c>
      <c r="H696" s="195">
        <v>4370.8014703293811</v>
      </c>
      <c r="I696" s="193" t="s">
        <v>541</v>
      </c>
    </row>
    <row r="697" spans="1:9" x14ac:dyDescent="0.25">
      <c r="A697" s="193" t="s">
        <v>220</v>
      </c>
      <c r="B697" s="193" t="s">
        <v>588</v>
      </c>
      <c r="C697" s="193" t="s">
        <v>743</v>
      </c>
      <c r="D697" s="193" t="s">
        <v>1304</v>
      </c>
      <c r="E697" s="193" t="s">
        <v>545</v>
      </c>
      <c r="F697" s="196">
        <v>3325</v>
      </c>
      <c r="G697" s="194">
        <v>0.56883332117009466</v>
      </c>
      <c r="H697" s="195">
        <v>1891.3707928905646</v>
      </c>
      <c r="I697" s="193" t="s">
        <v>541</v>
      </c>
    </row>
    <row r="698" spans="1:9" x14ac:dyDescent="0.25">
      <c r="A698" s="193" t="s">
        <v>220</v>
      </c>
      <c r="B698" s="193" t="s">
        <v>588</v>
      </c>
      <c r="C698" s="193" t="s">
        <v>745</v>
      </c>
      <c r="D698" s="193" t="s">
        <v>1305</v>
      </c>
      <c r="E698" s="193" t="s">
        <v>545</v>
      </c>
      <c r="F698" s="196">
        <v>9000</v>
      </c>
      <c r="G698" s="194">
        <v>0.64329877412327052</v>
      </c>
      <c r="H698" s="195">
        <v>5789.688967109435</v>
      </c>
      <c r="I698" s="193" t="s">
        <v>541</v>
      </c>
    </row>
    <row r="699" spans="1:9" x14ac:dyDescent="0.25">
      <c r="A699" s="193" t="s">
        <v>220</v>
      </c>
      <c r="B699" s="193" t="s">
        <v>588</v>
      </c>
      <c r="C699" s="193" t="s">
        <v>1306</v>
      </c>
      <c r="D699" s="193" t="s">
        <v>1307</v>
      </c>
      <c r="E699" s="193" t="s">
        <v>545</v>
      </c>
      <c r="F699" s="196">
        <v>1000</v>
      </c>
      <c r="G699" s="194">
        <v>0.30528988899645421</v>
      </c>
      <c r="H699" s="195">
        <v>305.28988899645418</v>
      </c>
      <c r="I699" s="193" t="s">
        <v>541</v>
      </c>
    </row>
    <row r="700" spans="1:9" x14ac:dyDescent="0.25">
      <c r="A700" s="193" t="s">
        <v>220</v>
      </c>
      <c r="B700" s="193" t="s">
        <v>588</v>
      </c>
      <c r="C700" s="193" t="s">
        <v>1308</v>
      </c>
      <c r="D700" s="193" t="s">
        <v>1309</v>
      </c>
      <c r="E700" s="193" t="s">
        <v>545</v>
      </c>
      <c r="F700" s="196">
        <v>2000</v>
      </c>
      <c r="G700" s="194">
        <v>0.54727052307402646</v>
      </c>
      <c r="H700" s="195">
        <v>1094.5410461480528</v>
      </c>
      <c r="I700" s="193" t="s">
        <v>541</v>
      </c>
    </row>
    <row r="701" spans="1:9" x14ac:dyDescent="0.25">
      <c r="A701" s="193" t="s">
        <v>220</v>
      </c>
      <c r="B701" s="193" t="s">
        <v>588</v>
      </c>
      <c r="C701" s="193" t="s">
        <v>1310</v>
      </c>
      <c r="D701" s="193" t="s">
        <v>1311</v>
      </c>
      <c r="E701" s="193" t="s">
        <v>545</v>
      </c>
      <c r="F701" s="196">
        <v>470</v>
      </c>
      <c r="G701" s="194">
        <v>1.3230641258607909</v>
      </c>
      <c r="H701" s="195">
        <v>621.84013915457172</v>
      </c>
      <c r="I701" s="193" t="s">
        <v>541</v>
      </c>
    </row>
    <row r="702" spans="1:9" x14ac:dyDescent="0.25">
      <c r="A702" s="193" t="s">
        <v>220</v>
      </c>
      <c r="B702" s="193" t="s">
        <v>588</v>
      </c>
      <c r="C702" s="193" t="s">
        <v>1312</v>
      </c>
      <c r="D702" s="193" t="s">
        <v>1313</v>
      </c>
      <c r="E702" s="193" t="s">
        <v>545</v>
      </c>
      <c r="F702" s="196">
        <v>500</v>
      </c>
      <c r="G702" s="202">
        <v>0.22800000000000001</v>
      </c>
      <c r="H702" s="195">
        <v>114</v>
      </c>
      <c r="I702" s="193" t="s">
        <v>541</v>
      </c>
    </row>
    <row r="703" spans="1:9" x14ac:dyDescent="0.25">
      <c r="A703" s="193" t="s">
        <v>220</v>
      </c>
      <c r="B703" s="193" t="s">
        <v>588</v>
      </c>
      <c r="C703" s="193" t="s">
        <v>1314</v>
      </c>
      <c r="D703" s="193" t="s">
        <v>1315</v>
      </c>
      <c r="E703" s="193" t="s">
        <v>545</v>
      </c>
      <c r="F703" s="196">
        <v>500</v>
      </c>
      <c r="G703" s="194">
        <v>0.28799999999999998</v>
      </c>
      <c r="H703" s="195">
        <v>144</v>
      </c>
      <c r="I703" s="193" t="s">
        <v>541</v>
      </c>
    </row>
    <row r="704" spans="1:9" x14ac:dyDescent="0.25">
      <c r="A704" s="193" t="s">
        <v>220</v>
      </c>
      <c r="B704" s="193" t="s">
        <v>588</v>
      </c>
      <c r="C704" s="193" t="s">
        <v>1316</v>
      </c>
      <c r="D704" s="193" t="s">
        <v>1317</v>
      </c>
      <c r="E704" s="193" t="s">
        <v>545</v>
      </c>
      <c r="F704" s="196">
        <v>2500</v>
      </c>
      <c r="G704" s="194">
        <v>0.55041091954022991</v>
      </c>
      <c r="H704" s="195">
        <v>1376.0272988505749</v>
      </c>
      <c r="I704" s="193" t="s">
        <v>541</v>
      </c>
    </row>
    <row r="705" spans="1:9" x14ac:dyDescent="0.25">
      <c r="A705" s="193" t="s">
        <v>220</v>
      </c>
      <c r="B705" s="193" t="s">
        <v>588</v>
      </c>
      <c r="C705" s="193" t="s">
        <v>1318</v>
      </c>
      <c r="D705" s="193" t="s">
        <v>1319</v>
      </c>
      <c r="E705" s="193" t="s">
        <v>545</v>
      </c>
      <c r="F705" s="196">
        <v>600</v>
      </c>
      <c r="G705" s="194">
        <v>0.60599999999999998</v>
      </c>
      <c r="H705" s="195">
        <v>363.59999999999997</v>
      </c>
      <c r="I705" s="193" t="s">
        <v>541</v>
      </c>
    </row>
    <row r="706" spans="1:9" x14ac:dyDescent="0.25">
      <c r="A706" s="193" t="s">
        <v>220</v>
      </c>
      <c r="B706" s="193" t="s">
        <v>588</v>
      </c>
      <c r="C706" s="193" t="s">
        <v>1320</v>
      </c>
      <c r="D706" s="193" t="s">
        <v>1321</v>
      </c>
      <c r="E706" s="193" t="s">
        <v>545</v>
      </c>
      <c r="F706" s="196">
        <v>1200</v>
      </c>
      <c r="G706" s="194">
        <v>0.37369999999999998</v>
      </c>
      <c r="H706" s="195">
        <v>448.44</v>
      </c>
      <c r="I706" s="193" t="s">
        <v>541</v>
      </c>
    </row>
    <row r="707" spans="1:9" x14ac:dyDescent="0.25">
      <c r="A707" s="193" t="s">
        <v>220</v>
      </c>
      <c r="B707" s="193" t="s">
        <v>588</v>
      </c>
      <c r="C707" s="193" t="s">
        <v>1322</v>
      </c>
      <c r="D707" s="193" t="s">
        <v>1323</v>
      </c>
      <c r="E707" s="193" t="s">
        <v>545</v>
      </c>
      <c r="F707" s="196">
        <v>2000</v>
      </c>
      <c r="G707" s="194">
        <v>0.62975590861764652</v>
      </c>
      <c r="H707" s="195">
        <v>1259.5118172352929</v>
      </c>
      <c r="I707" s="193" t="s">
        <v>541</v>
      </c>
    </row>
    <row r="708" spans="1:9" x14ac:dyDescent="0.25">
      <c r="A708" s="193" t="s">
        <v>220</v>
      </c>
      <c r="B708" s="193" t="s">
        <v>588</v>
      </c>
      <c r="C708" s="193" t="s">
        <v>1324</v>
      </c>
      <c r="D708" s="193" t="s">
        <v>1325</v>
      </c>
      <c r="E708" s="193" t="s">
        <v>545</v>
      </c>
      <c r="F708" s="196">
        <v>500</v>
      </c>
      <c r="G708" s="194">
        <v>0.63034323522701341</v>
      </c>
      <c r="H708" s="195">
        <v>315.17161761350673</v>
      </c>
      <c r="I708" s="193" t="s">
        <v>541</v>
      </c>
    </row>
    <row r="709" spans="1:9" x14ac:dyDescent="0.25">
      <c r="A709" s="193" t="s">
        <v>220</v>
      </c>
      <c r="B709" s="193" t="s">
        <v>588</v>
      </c>
      <c r="C709" s="193" t="s">
        <v>1326</v>
      </c>
      <c r="D709" s="193" t="s">
        <v>1327</v>
      </c>
      <c r="E709" s="193" t="s">
        <v>545</v>
      </c>
      <c r="F709" s="196">
        <v>500</v>
      </c>
      <c r="G709" s="194">
        <v>0.43934999999999996</v>
      </c>
      <c r="H709" s="195">
        <v>219.67499999999998</v>
      </c>
      <c r="I709" s="193" t="s">
        <v>541</v>
      </c>
    </row>
    <row r="710" spans="1:9" x14ac:dyDescent="0.25">
      <c r="A710" s="193" t="s">
        <v>220</v>
      </c>
      <c r="B710" s="193" t="s">
        <v>588</v>
      </c>
      <c r="C710" s="193" t="s">
        <v>1328</v>
      </c>
      <c r="D710" s="193" t="s">
        <v>1329</v>
      </c>
      <c r="E710" s="193" t="s">
        <v>545</v>
      </c>
      <c r="F710" s="196">
        <v>3000</v>
      </c>
      <c r="G710" s="194">
        <v>0.45070999999999994</v>
      </c>
      <c r="H710" s="195">
        <v>1352.1299999999999</v>
      </c>
      <c r="I710" s="193" t="s">
        <v>541</v>
      </c>
    </row>
    <row r="711" spans="1:9" x14ac:dyDescent="0.25">
      <c r="A711" s="193" t="s">
        <v>220</v>
      </c>
      <c r="B711" s="193" t="s">
        <v>588</v>
      </c>
      <c r="C711" s="193" t="s">
        <v>1330</v>
      </c>
      <c r="D711" s="193" t="s">
        <v>1331</v>
      </c>
      <c r="E711" s="193" t="s">
        <v>545</v>
      </c>
      <c r="F711" s="196">
        <v>2700</v>
      </c>
      <c r="G711" s="194">
        <v>0.34292948456921724</v>
      </c>
      <c r="H711" s="195">
        <v>925.90960833688655</v>
      </c>
      <c r="I711" s="193" t="s">
        <v>541</v>
      </c>
    </row>
    <row r="712" spans="1:9" x14ac:dyDescent="0.25">
      <c r="A712" s="193" t="s">
        <v>220</v>
      </c>
      <c r="B712" s="193" t="s">
        <v>588</v>
      </c>
      <c r="C712" s="193" t="s">
        <v>1332</v>
      </c>
      <c r="D712" s="193" t="s">
        <v>1333</v>
      </c>
      <c r="E712" s="193" t="s">
        <v>545</v>
      </c>
      <c r="F712" s="196">
        <v>1060</v>
      </c>
      <c r="G712" s="194">
        <v>0.33050791018468506</v>
      </c>
      <c r="H712" s="195">
        <v>350.33838479576616</v>
      </c>
      <c r="I712" s="193" t="s">
        <v>541</v>
      </c>
    </row>
    <row r="713" spans="1:9" x14ac:dyDescent="0.25">
      <c r="A713" s="193" t="s">
        <v>220</v>
      </c>
      <c r="B713" s="193" t="s">
        <v>588</v>
      </c>
      <c r="C713" s="193" t="s">
        <v>1334</v>
      </c>
      <c r="D713" s="193" t="s">
        <v>1335</v>
      </c>
      <c r="E713" s="193" t="s">
        <v>545</v>
      </c>
      <c r="F713" s="196">
        <v>3400</v>
      </c>
      <c r="G713" s="194">
        <v>0.46855693910358942</v>
      </c>
      <c r="H713" s="195">
        <v>1593.0935929522041</v>
      </c>
      <c r="I713" s="193" t="s">
        <v>541</v>
      </c>
    </row>
    <row r="714" spans="1:9" x14ac:dyDescent="0.25">
      <c r="A714" s="193" t="s">
        <v>220</v>
      </c>
      <c r="B714" s="193" t="s">
        <v>588</v>
      </c>
      <c r="C714" s="193" t="s">
        <v>1338</v>
      </c>
      <c r="D714" s="193" t="s">
        <v>1339</v>
      </c>
      <c r="E714" s="193" t="s">
        <v>545</v>
      </c>
      <c r="F714" s="196">
        <v>5330</v>
      </c>
      <c r="G714" s="194">
        <v>0.58967420262664161</v>
      </c>
      <c r="H714" s="195">
        <v>3142.9634999999998</v>
      </c>
      <c r="I714" s="193" t="s">
        <v>541</v>
      </c>
    </row>
    <row r="715" spans="1:9" x14ac:dyDescent="0.25">
      <c r="A715" s="193" t="s">
        <v>220</v>
      </c>
      <c r="B715" s="193" t="s">
        <v>588</v>
      </c>
      <c r="C715" s="193" t="s">
        <v>1340</v>
      </c>
      <c r="D715" s="193" t="s">
        <v>1341</v>
      </c>
      <c r="E715" s="193" t="s">
        <v>545</v>
      </c>
      <c r="F715" s="196">
        <v>500</v>
      </c>
      <c r="G715" s="194">
        <v>0.45421295335219619</v>
      </c>
      <c r="H715" s="195">
        <v>227.10647667609808</v>
      </c>
      <c r="I715" s="193" t="s">
        <v>541</v>
      </c>
    </row>
    <row r="716" spans="1:9" x14ac:dyDescent="0.25">
      <c r="A716" s="193" t="s">
        <v>220</v>
      </c>
      <c r="B716" s="193" t="s">
        <v>588</v>
      </c>
      <c r="C716" s="193" t="s">
        <v>1342</v>
      </c>
      <c r="D716" s="193" t="s">
        <v>1343</v>
      </c>
      <c r="E716" s="193" t="s">
        <v>545</v>
      </c>
      <c r="F716" s="196">
        <v>740</v>
      </c>
      <c r="G716" s="194">
        <v>0.45388112745098042</v>
      </c>
      <c r="H716" s="195">
        <v>335.87203431372552</v>
      </c>
      <c r="I716" s="193" t="s">
        <v>541</v>
      </c>
    </row>
    <row r="717" spans="1:9" x14ac:dyDescent="0.25">
      <c r="A717" s="193" t="s">
        <v>220</v>
      </c>
      <c r="B717" s="193" t="s">
        <v>588</v>
      </c>
      <c r="C717" s="193" t="s">
        <v>1344</v>
      </c>
      <c r="D717" s="193" t="s">
        <v>1345</v>
      </c>
      <c r="E717" s="193" t="s">
        <v>545</v>
      </c>
      <c r="F717" s="196">
        <v>800</v>
      </c>
      <c r="G717" s="194">
        <v>0.57672191917554938</v>
      </c>
      <c r="H717" s="195">
        <v>461.37753534043952</v>
      </c>
      <c r="I717" s="193" t="s">
        <v>541</v>
      </c>
    </row>
    <row r="718" spans="1:9" x14ac:dyDescent="0.25">
      <c r="A718" s="193" t="s">
        <v>220</v>
      </c>
      <c r="B718" s="193" t="s">
        <v>588</v>
      </c>
      <c r="C718" s="193" t="s">
        <v>1346</v>
      </c>
      <c r="D718" s="193" t="s">
        <v>1347</v>
      </c>
      <c r="E718" s="193" t="s">
        <v>545</v>
      </c>
      <c r="F718" s="196">
        <v>8000</v>
      </c>
      <c r="G718" s="194">
        <v>0.48544954806954338</v>
      </c>
      <c r="H718" s="195">
        <v>3883.5963845563469</v>
      </c>
      <c r="I718" s="193" t="s">
        <v>541</v>
      </c>
    </row>
    <row r="719" spans="1:9" x14ac:dyDescent="0.25">
      <c r="A719" s="193" t="s">
        <v>220</v>
      </c>
      <c r="B719" s="193" t="s">
        <v>588</v>
      </c>
      <c r="C719" s="193" t="s">
        <v>1350</v>
      </c>
      <c r="D719" s="193" t="s">
        <v>1351</v>
      </c>
      <c r="E719" s="193" t="s">
        <v>545</v>
      </c>
      <c r="F719" s="196">
        <v>1270</v>
      </c>
      <c r="G719" s="194">
        <v>0.64144036697247697</v>
      </c>
      <c r="H719" s="195">
        <v>814.62926605504572</v>
      </c>
      <c r="I719" s="193" t="s">
        <v>541</v>
      </c>
    </row>
    <row r="720" spans="1:9" x14ac:dyDescent="0.25">
      <c r="A720" s="193" t="s">
        <v>220</v>
      </c>
      <c r="B720" s="193" t="s">
        <v>588</v>
      </c>
      <c r="C720" s="193" t="s">
        <v>1352</v>
      </c>
      <c r="D720" s="193" t="s">
        <v>1353</v>
      </c>
      <c r="E720" s="193" t="s">
        <v>545</v>
      </c>
      <c r="F720" s="196">
        <v>3780</v>
      </c>
      <c r="G720" s="194">
        <v>0.25519348880166237</v>
      </c>
      <c r="H720" s="195">
        <v>964.63138767028374</v>
      </c>
      <c r="I720" s="193" t="s">
        <v>541</v>
      </c>
    </row>
    <row r="721" spans="1:9" x14ac:dyDescent="0.25">
      <c r="A721" s="193" t="s">
        <v>220</v>
      </c>
      <c r="B721" s="193" t="s">
        <v>588</v>
      </c>
      <c r="C721" s="193" t="s">
        <v>1354</v>
      </c>
      <c r="D721" s="193" t="s">
        <v>1355</v>
      </c>
      <c r="E721" s="193" t="s">
        <v>545</v>
      </c>
      <c r="F721" s="196">
        <v>2640</v>
      </c>
      <c r="G721" s="194">
        <v>0.32320000000000004</v>
      </c>
      <c r="H721" s="195">
        <v>853.24800000000016</v>
      </c>
      <c r="I721" s="193" t="s">
        <v>541</v>
      </c>
    </row>
    <row r="722" spans="1:9" x14ac:dyDescent="0.25">
      <c r="A722" s="193" t="s">
        <v>220</v>
      </c>
      <c r="B722" s="193" t="s">
        <v>588</v>
      </c>
      <c r="C722" s="193" t="s">
        <v>1358</v>
      </c>
      <c r="D722" s="193" t="s">
        <v>1359</v>
      </c>
      <c r="E722" s="193" t="s">
        <v>545</v>
      </c>
      <c r="F722" s="196">
        <v>1530</v>
      </c>
      <c r="G722" s="194">
        <v>0.60015503738685561</v>
      </c>
      <c r="H722" s="195">
        <v>918.23720720188908</v>
      </c>
      <c r="I722" s="193" t="s">
        <v>541</v>
      </c>
    </row>
    <row r="723" spans="1:9" x14ac:dyDescent="0.25">
      <c r="A723" s="193" t="s">
        <v>220</v>
      </c>
      <c r="B723" s="193" t="s">
        <v>588</v>
      </c>
      <c r="C723" s="193" t="s">
        <v>7538</v>
      </c>
      <c r="D723" s="193" t="s">
        <v>7539</v>
      </c>
      <c r="E723" s="193" t="s">
        <v>545</v>
      </c>
      <c r="F723" s="196">
        <v>3000</v>
      </c>
      <c r="G723" s="194">
        <v>0.35349999999999998</v>
      </c>
      <c r="H723" s="195">
        <v>1060.5</v>
      </c>
      <c r="I723" s="193" t="s">
        <v>541</v>
      </c>
    </row>
    <row r="724" spans="1:9" x14ac:dyDescent="0.25">
      <c r="A724" s="193" t="s">
        <v>220</v>
      </c>
      <c r="B724" s="193" t="s">
        <v>588</v>
      </c>
      <c r="C724" s="193" t="s">
        <v>1360</v>
      </c>
      <c r="D724" s="193" t="s">
        <v>1361</v>
      </c>
      <c r="E724" s="193" t="s">
        <v>545</v>
      </c>
      <c r="F724" s="196">
        <v>4400</v>
      </c>
      <c r="G724" s="194">
        <v>0.34496445386064029</v>
      </c>
      <c r="H724" s="195">
        <v>1517.8435969868171</v>
      </c>
      <c r="I724" s="193" t="s">
        <v>541</v>
      </c>
    </row>
    <row r="725" spans="1:9" x14ac:dyDescent="0.25">
      <c r="A725" s="193" t="s">
        <v>220</v>
      </c>
      <c r="B725" s="193" t="s">
        <v>588</v>
      </c>
      <c r="C725" s="193" t="s">
        <v>1362</v>
      </c>
      <c r="D725" s="193" t="s">
        <v>1363</v>
      </c>
      <c r="E725" s="193" t="s">
        <v>545</v>
      </c>
      <c r="F725" s="196">
        <v>4580</v>
      </c>
      <c r="G725" s="194">
        <v>0.38379999999999992</v>
      </c>
      <c r="H725" s="195">
        <v>1757.8039999999996</v>
      </c>
      <c r="I725" s="193" t="s">
        <v>541</v>
      </c>
    </row>
    <row r="726" spans="1:9" x14ac:dyDescent="0.25">
      <c r="A726" s="193" t="s">
        <v>220</v>
      </c>
      <c r="B726" s="193" t="s">
        <v>588</v>
      </c>
      <c r="C726" s="193" t="s">
        <v>1364</v>
      </c>
      <c r="D726" s="193" t="s">
        <v>1365</v>
      </c>
      <c r="E726" s="193" t="s">
        <v>545</v>
      </c>
      <c r="F726" s="196">
        <v>5070</v>
      </c>
      <c r="G726" s="194">
        <v>0.38379999999999997</v>
      </c>
      <c r="H726" s="195">
        <v>1945.8659999999998</v>
      </c>
      <c r="I726" s="193" t="s">
        <v>541</v>
      </c>
    </row>
    <row r="727" spans="1:9" x14ac:dyDescent="0.25">
      <c r="A727" s="193" t="s">
        <v>220</v>
      </c>
      <c r="B727" s="193" t="s">
        <v>588</v>
      </c>
      <c r="C727" s="193" t="s">
        <v>1366</v>
      </c>
      <c r="D727" s="193" t="s">
        <v>1367</v>
      </c>
      <c r="E727" s="193" t="s">
        <v>545</v>
      </c>
      <c r="F727" s="196">
        <v>2796</v>
      </c>
      <c r="G727" s="194">
        <v>0.45450000000000002</v>
      </c>
      <c r="H727" s="195">
        <v>1270.7820000000002</v>
      </c>
      <c r="I727" s="193" t="s">
        <v>541</v>
      </c>
    </row>
    <row r="728" spans="1:9" x14ac:dyDescent="0.25">
      <c r="A728" s="193" t="s">
        <v>220</v>
      </c>
      <c r="B728" s="193" t="s">
        <v>588</v>
      </c>
      <c r="C728" s="193" t="s">
        <v>1368</v>
      </c>
      <c r="D728" s="193" t="s">
        <v>1369</v>
      </c>
      <c r="E728" s="193" t="s">
        <v>545</v>
      </c>
      <c r="F728" s="196">
        <v>3730</v>
      </c>
      <c r="G728" s="194">
        <v>0.42420000000000002</v>
      </c>
      <c r="H728" s="195">
        <v>1582.2660000000001</v>
      </c>
      <c r="I728" s="193" t="s">
        <v>541</v>
      </c>
    </row>
    <row r="729" spans="1:9" x14ac:dyDescent="0.25">
      <c r="A729" s="193" t="s">
        <v>220</v>
      </c>
      <c r="B729" s="193" t="s">
        <v>588</v>
      </c>
      <c r="C729" s="193" t="s">
        <v>1372</v>
      </c>
      <c r="D729" s="193" t="s">
        <v>1373</v>
      </c>
      <c r="E729" s="193" t="s">
        <v>545</v>
      </c>
      <c r="F729" s="196">
        <v>5600</v>
      </c>
      <c r="G729" s="194">
        <v>0.37369999999999998</v>
      </c>
      <c r="H729" s="195">
        <v>2092.7199999999998</v>
      </c>
      <c r="I729" s="193" t="s">
        <v>541</v>
      </c>
    </row>
    <row r="730" spans="1:9" x14ac:dyDescent="0.25">
      <c r="A730" s="193" t="s">
        <v>220</v>
      </c>
      <c r="B730" s="193" t="s">
        <v>588</v>
      </c>
      <c r="C730" s="193" t="s">
        <v>1374</v>
      </c>
      <c r="D730" s="193" t="s">
        <v>1375</v>
      </c>
      <c r="E730" s="193" t="s">
        <v>545</v>
      </c>
      <c r="F730" s="196">
        <v>2000</v>
      </c>
      <c r="G730" s="194">
        <v>0.45450000000000002</v>
      </c>
      <c r="H730" s="195">
        <v>909</v>
      </c>
      <c r="I730" s="193" t="s">
        <v>541</v>
      </c>
    </row>
    <row r="731" spans="1:9" x14ac:dyDescent="0.25">
      <c r="A731" s="193" t="s">
        <v>220</v>
      </c>
      <c r="B731" s="193" t="s">
        <v>588</v>
      </c>
      <c r="C731" s="193" t="s">
        <v>1376</v>
      </c>
      <c r="D731" s="193" t="s">
        <v>1377</v>
      </c>
      <c r="E731" s="193" t="s">
        <v>545</v>
      </c>
      <c r="F731" s="196">
        <v>2220</v>
      </c>
      <c r="G731" s="194">
        <v>0.42420000000000002</v>
      </c>
      <c r="H731" s="195">
        <v>941.72400000000005</v>
      </c>
      <c r="I731" s="193" t="s">
        <v>541</v>
      </c>
    </row>
    <row r="732" spans="1:9" x14ac:dyDescent="0.25">
      <c r="A732" s="193" t="s">
        <v>220</v>
      </c>
      <c r="B732" s="193" t="s">
        <v>588</v>
      </c>
      <c r="C732" s="193" t="s">
        <v>1378</v>
      </c>
      <c r="D732" s="193" t="s">
        <v>1379</v>
      </c>
      <c r="E732" s="193" t="s">
        <v>545</v>
      </c>
      <c r="F732" s="196">
        <v>4000</v>
      </c>
      <c r="G732" s="194">
        <v>0.37369999999999992</v>
      </c>
      <c r="H732" s="195">
        <v>1494.7999999999997</v>
      </c>
      <c r="I732" s="193" t="s">
        <v>541</v>
      </c>
    </row>
    <row r="733" spans="1:9" x14ac:dyDescent="0.25">
      <c r="A733" s="193" t="s">
        <v>220</v>
      </c>
      <c r="B733" s="193" t="s">
        <v>588</v>
      </c>
      <c r="C733" s="193" t="s">
        <v>1380</v>
      </c>
      <c r="D733" s="193" t="s">
        <v>1381</v>
      </c>
      <c r="E733" s="193" t="s">
        <v>545</v>
      </c>
      <c r="F733" s="196">
        <v>3600</v>
      </c>
      <c r="G733" s="194">
        <v>0.47470000000000001</v>
      </c>
      <c r="H733" s="195">
        <v>1708.92</v>
      </c>
      <c r="I733" s="193" t="s">
        <v>541</v>
      </c>
    </row>
    <row r="734" spans="1:9" x14ac:dyDescent="0.25">
      <c r="A734" s="193" t="s">
        <v>220</v>
      </c>
      <c r="B734" s="193" t="s">
        <v>588</v>
      </c>
      <c r="C734" s="193" t="s">
        <v>1382</v>
      </c>
      <c r="D734" s="193" t="s">
        <v>1383</v>
      </c>
      <c r="E734" s="193" t="s">
        <v>545</v>
      </c>
      <c r="F734" s="196">
        <v>1100</v>
      </c>
      <c r="G734" s="194">
        <v>0.70699999999999985</v>
      </c>
      <c r="H734" s="195">
        <v>777.69999999999982</v>
      </c>
      <c r="I734" s="193" t="s">
        <v>541</v>
      </c>
    </row>
    <row r="735" spans="1:9" x14ac:dyDescent="0.25">
      <c r="A735" s="193" t="s">
        <v>220</v>
      </c>
      <c r="B735" s="193" t="s">
        <v>588</v>
      </c>
      <c r="C735" s="193" t="s">
        <v>1384</v>
      </c>
      <c r="D735" s="193" t="s">
        <v>1385</v>
      </c>
      <c r="E735" s="193" t="s">
        <v>545</v>
      </c>
      <c r="F735" s="196">
        <v>900</v>
      </c>
      <c r="G735" s="194">
        <v>0.79285000000000005</v>
      </c>
      <c r="H735" s="195">
        <v>713.56500000000005</v>
      </c>
      <c r="I735" s="193" t="s">
        <v>541</v>
      </c>
    </row>
    <row r="736" spans="1:9" x14ac:dyDescent="0.25">
      <c r="A736" s="193" t="s">
        <v>220</v>
      </c>
      <c r="B736" s="193" t="s">
        <v>588</v>
      </c>
      <c r="C736" s="193" t="s">
        <v>1386</v>
      </c>
      <c r="D736" s="193" t="s">
        <v>1387</v>
      </c>
      <c r="E736" s="193" t="s">
        <v>545</v>
      </c>
      <c r="F736" s="196">
        <v>700</v>
      </c>
      <c r="G736" s="194">
        <v>0.79285000000000005</v>
      </c>
      <c r="H736" s="195">
        <v>554.995</v>
      </c>
      <c r="I736" s="193" t="s">
        <v>541</v>
      </c>
    </row>
    <row r="737" spans="1:9" x14ac:dyDescent="0.25">
      <c r="A737" s="193" t="s">
        <v>220</v>
      </c>
      <c r="B737" s="193" t="s">
        <v>588</v>
      </c>
      <c r="C737" s="193" t="s">
        <v>1388</v>
      </c>
      <c r="D737" s="193" t="s">
        <v>1389</v>
      </c>
      <c r="E737" s="193" t="s">
        <v>545</v>
      </c>
      <c r="F737" s="196">
        <v>3500</v>
      </c>
      <c r="G737" s="194">
        <v>9.1999999999999998E-2</v>
      </c>
      <c r="H737" s="195">
        <v>322</v>
      </c>
      <c r="I737" s="193" t="s">
        <v>541</v>
      </c>
    </row>
    <row r="738" spans="1:9" x14ac:dyDescent="0.25">
      <c r="A738" s="193" t="s">
        <v>220</v>
      </c>
      <c r="B738" s="193" t="s">
        <v>588</v>
      </c>
      <c r="C738" s="193" t="s">
        <v>1390</v>
      </c>
      <c r="D738" s="193" t="s">
        <v>1391</v>
      </c>
      <c r="E738" s="193" t="s">
        <v>545</v>
      </c>
      <c r="F738" s="196">
        <v>1400</v>
      </c>
      <c r="G738" s="194">
        <v>9.2000000000000012E-2</v>
      </c>
      <c r="H738" s="195">
        <v>128.80000000000001</v>
      </c>
      <c r="I738" s="193" t="s">
        <v>541</v>
      </c>
    </row>
    <row r="739" spans="1:9" x14ac:dyDescent="0.25">
      <c r="A739" s="193" t="s">
        <v>220</v>
      </c>
      <c r="B739" s="193" t="s">
        <v>588</v>
      </c>
      <c r="C739" s="193" t="s">
        <v>1392</v>
      </c>
      <c r="D739" s="193" t="s">
        <v>1393</v>
      </c>
      <c r="E739" s="193" t="s">
        <v>545</v>
      </c>
      <c r="F739" s="196">
        <v>9500</v>
      </c>
      <c r="G739" s="194">
        <v>0.30073257356344602</v>
      </c>
      <c r="H739" s="195">
        <v>2856.9594488527373</v>
      </c>
      <c r="I739" s="193" t="s">
        <v>541</v>
      </c>
    </row>
    <row r="740" spans="1:9" x14ac:dyDescent="0.25">
      <c r="A740" s="193" t="s">
        <v>220</v>
      </c>
      <c r="B740" s="193" t="s">
        <v>588</v>
      </c>
      <c r="C740" s="193" t="s">
        <v>1394</v>
      </c>
      <c r="D740" s="193" t="s">
        <v>1395</v>
      </c>
      <c r="E740" s="193" t="s">
        <v>545</v>
      </c>
      <c r="F740" s="196">
        <v>1400</v>
      </c>
      <c r="G740" s="194">
        <v>0.27</v>
      </c>
      <c r="H740" s="195">
        <v>378</v>
      </c>
      <c r="I740" s="193" t="s">
        <v>541</v>
      </c>
    </row>
    <row r="741" spans="1:9" x14ac:dyDescent="0.25">
      <c r="A741" s="193" t="s">
        <v>220</v>
      </c>
      <c r="B741" s="193" t="s">
        <v>588</v>
      </c>
      <c r="C741" s="193" t="s">
        <v>1396</v>
      </c>
      <c r="D741" s="193" t="s">
        <v>1397</v>
      </c>
      <c r="E741" s="193" t="s">
        <v>545</v>
      </c>
      <c r="F741" s="196">
        <v>2600</v>
      </c>
      <c r="G741" s="194">
        <v>0.42</v>
      </c>
      <c r="H741" s="195">
        <v>1092</v>
      </c>
      <c r="I741" s="193" t="s">
        <v>541</v>
      </c>
    </row>
    <row r="742" spans="1:9" x14ac:dyDescent="0.25">
      <c r="A742" s="193" t="s">
        <v>220</v>
      </c>
      <c r="B742" s="193" t="s">
        <v>588</v>
      </c>
      <c r="C742" s="193" t="s">
        <v>1398</v>
      </c>
      <c r="D742" s="193" t="s">
        <v>1399</v>
      </c>
      <c r="E742" s="193" t="s">
        <v>545</v>
      </c>
      <c r="F742" s="196">
        <v>1500</v>
      </c>
      <c r="G742" s="194">
        <v>0.23643</v>
      </c>
      <c r="H742" s="195">
        <v>354.64499999999998</v>
      </c>
      <c r="I742" s="193" t="s">
        <v>541</v>
      </c>
    </row>
    <row r="743" spans="1:9" x14ac:dyDescent="0.25">
      <c r="A743" s="193" t="s">
        <v>220</v>
      </c>
      <c r="B743" s="193" t="s">
        <v>588</v>
      </c>
      <c r="C743" s="193" t="s">
        <v>1400</v>
      </c>
      <c r="D743" s="193" t="s">
        <v>1401</v>
      </c>
      <c r="E743" s="193" t="s">
        <v>545</v>
      </c>
      <c r="F743" s="196">
        <v>8700</v>
      </c>
      <c r="G743" s="194">
        <v>0.30131539823084258</v>
      </c>
      <c r="H743" s="195">
        <v>2621.4439646083306</v>
      </c>
      <c r="I743" s="193" t="s">
        <v>541</v>
      </c>
    </row>
    <row r="744" spans="1:9" x14ac:dyDescent="0.25">
      <c r="A744" s="193" t="s">
        <v>220</v>
      </c>
      <c r="B744" s="193" t="s">
        <v>588</v>
      </c>
      <c r="C744" s="193" t="s">
        <v>1402</v>
      </c>
      <c r="D744" s="193" t="s">
        <v>1403</v>
      </c>
      <c r="E744" s="193" t="s">
        <v>545</v>
      </c>
      <c r="F744" s="196">
        <v>2500</v>
      </c>
      <c r="G744" s="194">
        <v>0.28905333333333333</v>
      </c>
      <c r="H744" s="195">
        <v>722.63333333333333</v>
      </c>
      <c r="I744" s="193" t="s">
        <v>541</v>
      </c>
    </row>
    <row r="745" spans="1:9" x14ac:dyDescent="0.25">
      <c r="A745" s="193" t="s">
        <v>220</v>
      </c>
      <c r="B745" s="193" t="s">
        <v>588</v>
      </c>
      <c r="C745" s="193" t="s">
        <v>1404</v>
      </c>
      <c r="D745" s="193" t="s">
        <v>1405</v>
      </c>
      <c r="E745" s="193" t="s">
        <v>545</v>
      </c>
      <c r="F745" s="196">
        <v>2500</v>
      </c>
      <c r="G745" s="194">
        <v>0.42</v>
      </c>
      <c r="H745" s="195">
        <v>1050</v>
      </c>
      <c r="I745" s="193" t="s">
        <v>541</v>
      </c>
    </row>
    <row r="746" spans="1:9" x14ac:dyDescent="0.25">
      <c r="A746" s="193" t="s">
        <v>220</v>
      </c>
      <c r="B746" s="193" t="s">
        <v>588</v>
      </c>
      <c r="C746" s="193" t="s">
        <v>1406</v>
      </c>
      <c r="D746" s="193" t="s">
        <v>1407</v>
      </c>
      <c r="E746" s="193" t="s">
        <v>545</v>
      </c>
      <c r="F746" s="196">
        <v>1500</v>
      </c>
      <c r="G746" s="194">
        <v>0.2727</v>
      </c>
      <c r="H746" s="195">
        <v>409.05</v>
      </c>
      <c r="I746" s="193" t="s">
        <v>541</v>
      </c>
    </row>
    <row r="747" spans="1:9" x14ac:dyDescent="0.25">
      <c r="A747" s="193" t="s">
        <v>220</v>
      </c>
      <c r="B747" s="193" t="s">
        <v>588</v>
      </c>
      <c r="C747" s="193" t="s">
        <v>1408</v>
      </c>
      <c r="D747" s="193" t="s">
        <v>1409</v>
      </c>
      <c r="E747" s="193" t="s">
        <v>545</v>
      </c>
      <c r="F747" s="196">
        <v>3000</v>
      </c>
      <c r="G747" s="194">
        <v>0.29794999999999999</v>
      </c>
      <c r="H747" s="195">
        <v>893.85</v>
      </c>
      <c r="I747" s="193" t="s">
        <v>541</v>
      </c>
    </row>
    <row r="748" spans="1:9" x14ac:dyDescent="0.25">
      <c r="A748" s="193" t="s">
        <v>220</v>
      </c>
      <c r="B748" s="193" t="s">
        <v>588</v>
      </c>
      <c r="C748" s="193" t="s">
        <v>1410</v>
      </c>
      <c r="D748" s="193" t="s">
        <v>1411</v>
      </c>
      <c r="E748" s="193" t="s">
        <v>545</v>
      </c>
      <c r="F748" s="196">
        <v>2300</v>
      </c>
      <c r="G748" s="194">
        <v>0.2727</v>
      </c>
      <c r="H748" s="195">
        <v>627.21</v>
      </c>
      <c r="I748" s="193" t="s">
        <v>541</v>
      </c>
    </row>
    <row r="749" spans="1:9" x14ac:dyDescent="0.25">
      <c r="A749" s="193" t="s">
        <v>220</v>
      </c>
      <c r="B749" s="193" t="s">
        <v>588</v>
      </c>
      <c r="C749" s="193" t="s">
        <v>1412</v>
      </c>
      <c r="D749" s="193" t="s">
        <v>1413</v>
      </c>
      <c r="E749" s="193" t="s">
        <v>545</v>
      </c>
      <c r="F749" s="196">
        <v>2500</v>
      </c>
      <c r="G749" s="194">
        <v>0.29794999999999999</v>
      </c>
      <c r="H749" s="195">
        <v>744.875</v>
      </c>
      <c r="I749" s="193" t="s">
        <v>541</v>
      </c>
    </row>
    <row r="750" spans="1:9" x14ac:dyDescent="0.25">
      <c r="A750" s="193" t="s">
        <v>220</v>
      </c>
      <c r="B750" s="193" t="s">
        <v>588</v>
      </c>
      <c r="C750" s="193" t="s">
        <v>1414</v>
      </c>
      <c r="D750" s="193" t="s">
        <v>1415</v>
      </c>
      <c r="E750" s="193" t="s">
        <v>545</v>
      </c>
      <c r="F750" s="196">
        <v>5000</v>
      </c>
      <c r="G750" s="194">
        <v>0.33835000000000004</v>
      </c>
      <c r="H750" s="195">
        <v>1691.7500000000002</v>
      </c>
      <c r="I750" s="193" t="s">
        <v>541</v>
      </c>
    </row>
    <row r="751" spans="1:9" x14ac:dyDescent="0.25">
      <c r="A751" s="193" t="s">
        <v>220</v>
      </c>
      <c r="B751" s="193" t="s">
        <v>588</v>
      </c>
      <c r="C751" s="193" t="s">
        <v>1416</v>
      </c>
      <c r="D751" s="193" t="s">
        <v>1417</v>
      </c>
      <c r="E751" s="193" t="s">
        <v>545</v>
      </c>
      <c r="F751" s="196">
        <v>5100</v>
      </c>
      <c r="G751" s="194">
        <v>0.5252</v>
      </c>
      <c r="H751" s="195">
        <v>2678.52</v>
      </c>
      <c r="I751" s="193" t="s">
        <v>541</v>
      </c>
    </row>
    <row r="752" spans="1:9" x14ac:dyDescent="0.25">
      <c r="A752" s="193" t="s">
        <v>220</v>
      </c>
      <c r="B752" s="193" t="s">
        <v>588</v>
      </c>
      <c r="C752" s="193" t="s">
        <v>1418</v>
      </c>
      <c r="D752" s="193" t="s">
        <v>1419</v>
      </c>
      <c r="E752" s="193" t="s">
        <v>545</v>
      </c>
      <c r="F752" s="196">
        <v>5000</v>
      </c>
      <c r="G752" s="194">
        <v>0.18179999999999999</v>
      </c>
      <c r="H752" s="195">
        <v>909</v>
      </c>
      <c r="I752" s="193" t="s">
        <v>541</v>
      </c>
    </row>
    <row r="753" spans="1:9" x14ac:dyDescent="0.25">
      <c r="A753" s="193" t="s">
        <v>220</v>
      </c>
      <c r="B753" s="193" t="s">
        <v>588</v>
      </c>
      <c r="C753" s="193" t="s">
        <v>1420</v>
      </c>
      <c r="D753" s="193" t="s">
        <v>1421</v>
      </c>
      <c r="E753" s="193" t="s">
        <v>545</v>
      </c>
      <c r="F753" s="196">
        <v>2080</v>
      </c>
      <c r="G753" s="194">
        <v>0.37874999999999998</v>
      </c>
      <c r="H753" s="195">
        <v>787.8</v>
      </c>
      <c r="I753" s="193" t="s">
        <v>541</v>
      </c>
    </row>
    <row r="754" spans="1:9" x14ac:dyDescent="0.25">
      <c r="A754" s="193" t="s">
        <v>220</v>
      </c>
      <c r="B754" s="193" t="s">
        <v>588</v>
      </c>
      <c r="C754" s="193" t="s">
        <v>1422</v>
      </c>
      <c r="D754" s="193" t="s">
        <v>1423</v>
      </c>
      <c r="E754" s="193" t="s">
        <v>545</v>
      </c>
      <c r="F754" s="196">
        <v>2000</v>
      </c>
      <c r="G754" s="194">
        <v>0.45450000000000002</v>
      </c>
      <c r="H754" s="195">
        <v>909</v>
      </c>
      <c r="I754" s="193" t="s">
        <v>541</v>
      </c>
    </row>
    <row r="755" spans="1:9" x14ac:dyDescent="0.25">
      <c r="A755" s="193" t="s">
        <v>220</v>
      </c>
      <c r="B755" s="193" t="s">
        <v>588</v>
      </c>
      <c r="C755" s="193" t="s">
        <v>1424</v>
      </c>
      <c r="D755" s="193" t="s">
        <v>1425</v>
      </c>
      <c r="E755" s="193" t="s">
        <v>545</v>
      </c>
      <c r="F755" s="196">
        <v>2000</v>
      </c>
      <c r="G755" s="194">
        <v>0.46925649350649351</v>
      </c>
      <c r="H755" s="195">
        <v>938.51298701298697</v>
      </c>
      <c r="I755" s="193" t="s">
        <v>541</v>
      </c>
    </row>
    <row r="756" spans="1:9" x14ac:dyDescent="0.25">
      <c r="A756" s="193" t="s">
        <v>220</v>
      </c>
      <c r="B756" s="193" t="s">
        <v>588</v>
      </c>
      <c r="C756" s="193" t="s">
        <v>1426</v>
      </c>
      <c r="D756" s="193" t="s">
        <v>1427</v>
      </c>
      <c r="E756" s="193" t="s">
        <v>545</v>
      </c>
      <c r="F756" s="196">
        <v>2500</v>
      </c>
      <c r="G756" s="194">
        <v>0.65649999999999997</v>
      </c>
      <c r="H756" s="195">
        <v>1641.25</v>
      </c>
      <c r="I756" s="193" t="s">
        <v>541</v>
      </c>
    </row>
    <row r="757" spans="1:9" x14ac:dyDescent="0.25">
      <c r="A757" s="193" t="s">
        <v>220</v>
      </c>
      <c r="B757" s="193" t="s">
        <v>588</v>
      </c>
      <c r="C757" s="193" t="s">
        <v>2233</v>
      </c>
      <c r="D757" s="193" t="s">
        <v>2234</v>
      </c>
      <c r="E757" s="193" t="s">
        <v>545</v>
      </c>
      <c r="F757" s="196">
        <v>3200</v>
      </c>
      <c r="G757" s="194">
        <v>0.36605889272446068</v>
      </c>
      <c r="H757" s="195">
        <v>1171.3884567182743</v>
      </c>
      <c r="I757" s="193" t="s">
        <v>541</v>
      </c>
    </row>
    <row r="758" spans="1:9" x14ac:dyDescent="0.25">
      <c r="A758" s="193" t="s">
        <v>220</v>
      </c>
      <c r="B758" s="193" t="s">
        <v>588</v>
      </c>
      <c r="C758" s="193" t="s">
        <v>1428</v>
      </c>
      <c r="D758" s="193" t="s">
        <v>1429</v>
      </c>
      <c r="E758" s="193" t="s">
        <v>545</v>
      </c>
      <c r="F758" s="196">
        <v>3000</v>
      </c>
      <c r="G758" s="194">
        <v>0.39777166666666669</v>
      </c>
      <c r="H758" s="195">
        <v>1193.3150000000001</v>
      </c>
      <c r="I758" s="193" t="s">
        <v>541</v>
      </c>
    </row>
    <row r="759" spans="1:9" x14ac:dyDescent="0.25">
      <c r="A759" s="193" t="s">
        <v>220</v>
      </c>
      <c r="B759" s="193" t="s">
        <v>588</v>
      </c>
      <c r="C759" s="193" t="s">
        <v>1430</v>
      </c>
      <c r="D759" s="193" t="s">
        <v>1431</v>
      </c>
      <c r="E759" s="193" t="s">
        <v>545</v>
      </c>
      <c r="F759" s="196">
        <v>1000</v>
      </c>
      <c r="G759" s="194">
        <v>0.35469657378740971</v>
      </c>
      <c r="H759" s="195">
        <v>354.6965737874097</v>
      </c>
      <c r="I759" s="193" t="s">
        <v>541</v>
      </c>
    </row>
    <row r="760" spans="1:9" x14ac:dyDescent="0.25">
      <c r="A760" s="193" t="s">
        <v>220</v>
      </c>
      <c r="B760" s="193" t="s">
        <v>588</v>
      </c>
      <c r="C760" s="193" t="s">
        <v>1432</v>
      </c>
      <c r="D760" s="193" t="s">
        <v>1433</v>
      </c>
      <c r="E760" s="193" t="s">
        <v>545</v>
      </c>
      <c r="F760" s="196">
        <v>3000</v>
      </c>
      <c r="G760" s="194">
        <v>0.47470000000000007</v>
      </c>
      <c r="H760" s="195">
        <v>1424.1000000000001</v>
      </c>
      <c r="I760" s="193" t="s">
        <v>541</v>
      </c>
    </row>
    <row r="761" spans="1:9" x14ac:dyDescent="0.25">
      <c r="A761" s="193" t="s">
        <v>220</v>
      </c>
      <c r="B761" s="193" t="s">
        <v>588</v>
      </c>
      <c r="C761" s="193" t="s">
        <v>1434</v>
      </c>
      <c r="D761" s="193" t="s">
        <v>1435</v>
      </c>
      <c r="E761" s="193" t="s">
        <v>545</v>
      </c>
      <c r="F761" s="196">
        <v>2500</v>
      </c>
      <c r="G761" s="194">
        <v>0.48984999999999995</v>
      </c>
      <c r="H761" s="195">
        <v>1224.6249999999998</v>
      </c>
      <c r="I761" s="193" t="s">
        <v>541</v>
      </c>
    </row>
    <row r="762" spans="1:9" x14ac:dyDescent="0.25">
      <c r="A762" s="193" t="s">
        <v>220</v>
      </c>
      <c r="B762" s="193" t="s">
        <v>588</v>
      </c>
      <c r="C762" s="193" t="s">
        <v>1436</v>
      </c>
      <c r="D762" s="193" t="s">
        <v>1437</v>
      </c>
      <c r="E762" s="193" t="s">
        <v>545</v>
      </c>
      <c r="F762" s="196">
        <v>2000</v>
      </c>
      <c r="G762" s="194">
        <v>0.63629999999999998</v>
      </c>
      <c r="H762" s="195">
        <v>1272.5999999999999</v>
      </c>
      <c r="I762" s="193" t="s">
        <v>541</v>
      </c>
    </row>
    <row r="763" spans="1:9" x14ac:dyDescent="0.25">
      <c r="A763" s="193" t="s">
        <v>220</v>
      </c>
      <c r="B763" s="193" t="s">
        <v>588</v>
      </c>
      <c r="C763" s="193" t="s">
        <v>7540</v>
      </c>
      <c r="D763" s="193" t="s">
        <v>7541</v>
      </c>
      <c r="E763" s="193" t="s">
        <v>545</v>
      </c>
      <c r="F763" s="196">
        <v>1000</v>
      </c>
      <c r="G763" s="194">
        <v>0.30299999999999999</v>
      </c>
      <c r="H763" s="195">
        <v>303</v>
      </c>
      <c r="I763" s="193" t="s">
        <v>541</v>
      </c>
    </row>
    <row r="764" spans="1:9" x14ac:dyDescent="0.25">
      <c r="A764" s="193" t="s">
        <v>220</v>
      </c>
      <c r="B764" s="193" t="s">
        <v>588</v>
      </c>
      <c r="C764" s="193" t="s">
        <v>1438</v>
      </c>
      <c r="D764" s="193" t="s">
        <v>1439</v>
      </c>
      <c r="E764" s="193" t="s">
        <v>545</v>
      </c>
      <c r="F764" s="196">
        <v>2050</v>
      </c>
      <c r="G764" s="194">
        <v>0.33827199965200749</v>
      </c>
      <c r="H764" s="195">
        <v>693.45759928661539</v>
      </c>
      <c r="I764" s="193" t="s">
        <v>541</v>
      </c>
    </row>
    <row r="765" spans="1:9" x14ac:dyDescent="0.25">
      <c r="A765" s="193" t="s">
        <v>220</v>
      </c>
      <c r="B765" s="193" t="s">
        <v>588</v>
      </c>
      <c r="C765" s="193" t="s">
        <v>1440</v>
      </c>
      <c r="D765" s="193" t="s">
        <v>1441</v>
      </c>
      <c r="E765" s="193"/>
      <c r="F765" s="196"/>
      <c r="G765" s="194">
        <v>0.89385000000000003</v>
      </c>
      <c r="H765" s="195">
        <v>0</v>
      </c>
      <c r="I765" s="193" t="s">
        <v>541</v>
      </c>
    </row>
    <row r="766" spans="1:9" x14ac:dyDescent="0.25">
      <c r="A766" s="193" t="s">
        <v>220</v>
      </c>
      <c r="B766" s="193" t="s">
        <v>588</v>
      </c>
      <c r="C766" s="193" t="s">
        <v>1442</v>
      </c>
      <c r="D766" s="193" t="s">
        <v>1443</v>
      </c>
      <c r="E766" s="193" t="s">
        <v>545</v>
      </c>
      <c r="F766" s="196">
        <v>1980</v>
      </c>
      <c r="G766" s="194">
        <v>0.36098745437956203</v>
      </c>
      <c r="H766" s="195">
        <v>714.75515967153285</v>
      </c>
      <c r="I766" s="193" t="s">
        <v>541</v>
      </c>
    </row>
    <row r="767" spans="1:9" x14ac:dyDescent="0.25">
      <c r="A767" s="193" t="s">
        <v>220</v>
      </c>
      <c r="B767" s="193" t="s">
        <v>588</v>
      </c>
      <c r="C767" s="193" t="s">
        <v>7542</v>
      </c>
      <c r="D767" s="193" t="s">
        <v>7543</v>
      </c>
      <c r="E767" s="193" t="s">
        <v>545</v>
      </c>
      <c r="F767" s="196">
        <v>4000</v>
      </c>
      <c r="G767" s="194">
        <v>0.31309999999999999</v>
      </c>
      <c r="H767" s="195">
        <v>1252.3999999999999</v>
      </c>
      <c r="I767" s="193" t="s">
        <v>541</v>
      </c>
    </row>
    <row r="768" spans="1:9" x14ac:dyDescent="0.25">
      <c r="A768" s="193" t="s">
        <v>220</v>
      </c>
      <c r="B768" s="193" t="s">
        <v>588</v>
      </c>
      <c r="C768" s="193" t="s">
        <v>7544</v>
      </c>
      <c r="D768" s="193" t="s">
        <v>7545</v>
      </c>
      <c r="E768" s="193" t="s">
        <v>545</v>
      </c>
      <c r="F768" s="196">
        <v>3500</v>
      </c>
      <c r="G768" s="194">
        <v>0.23483000000000001</v>
      </c>
      <c r="H768" s="195">
        <v>821.90500000000009</v>
      </c>
      <c r="I768" s="193" t="s">
        <v>541</v>
      </c>
    </row>
    <row r="769" spans="1:9" x14ac:dyDescent="0.25">
      <c r="A769" s="193" t="s">
        <v>220</v>
      </c>
      <c r="B769" s="193" t="s">
        <v>588</v>
      </c>
      <c r="C769" s="193" t="s">
        <v>1444</v>
      </c>
      <c r="D769" s="193" t="s">
        <v>1445</v>
      </c>
      <c r="E769" s="193"/>
      <c r="F769" s="196"/>
      <c r="G769" s="194">
        <v>1.09585</v>
      </c>
      <c r="H769" s="195">
        <v>0</v>
      </c>
      <c r="I769" s="193" t="s">
        <v>541</v>
      </c>
    </row>
    <row r="770" spans="1:9" x14ac:dyDescent="0.25">
      <c r="A770" s="193" t="s">
        <v>220</v>
      </c>
      <c r="B770" s="193" t="s">
        <v>588</v>
      </c>
      <c r="C770" s="193" t="s">
        <v>1446</v>
      </c>
      <c r="D770" s="193" t="s">
        <v>1447</v>
      </c>
      <c r="E770" s="193" t="s">
        <v>545</v>
      </c>
      <c r="F770" s="196">
        <v>850</v>
      </c>
      <c r="G770" s="194">
        <v>0.70699999999999985</v>
      </c>
      <c r="H770" s="195">
        <v>600.94999999999982</v>
      </c>
      <c r="I770" s="193" t="s">
        <v>541</v>
      </c>
    </row>
    <row r="771" spans="1:9" x14ac:dyDescent="0.25">
      <c r="A771" s="193" t="s">
        <v>220</v>
      </c>
      <c r="B771" s="193" t="s">
        <v>588</v>
      </c>
      <c r="C771" s="193" t="s">
        <v>1448</v>
      </c>
      <c r="D771" s="193" t="s">
        <v>1449</v>
      </c>
      <c r="E771" s="193" t="s">
        <v>545</v>
      </c>
      <c r="F771" s="196">
        <v>1000</v>
      </c>
      <c r="G771" s="194">
        <v>8.0985849056603762E-2</v>
      </c>
      <c r="H771" s="195">
        <v>80.985849056603769</v>
      </c>
      <c r="I771" s="193" t="s">
        <v>541</v>
      </c>
    </row>
    <row r="772" spans="1:9" x14ac:dyDescent="0.25">
      <c r="A772" s="193" t="s">
        <v>220</v>
      </c>
      <c r="B772" s="193" t="s">
        <v>588</v>
      </c>
      <c r="C772" s="193" t="s">
        <v>1450</v>
      </c>
      <c r="D772" s="193" t="s">
        <v>1451</v>
      </c>
      <c r="E772" s="193" t="s">
        <v>545</v>
      </c>
      <c r="F772" s="196">
        <v>3810</v>
      </c>
      <c r="G772" s="194">
        <v>0.16139539099174807</v>
      </c>
      <c r="H772" s="195">
        <v>614.91643967856021</v>
      </c>
      <c r="I772" s="193" t="s">
        <v>541</v>
      </c>
    </row>
    <row r="773" spans="1:9" x14ac:dyDescent="0.25">
      <c r="A773" s="193" t="s">
        <v>220</v>
      </c>
      <c r="B773" s="193" t="s">
        <v>588</v>
      </c>
      <c r="C773" s="193" t="s">
        <v>1452</v>
      </c>
      <c r="D773" s="193" t="s">
        <v>1453</v>
      </c>
      <c r="E773" s="193" t="s">
        <v>545</v>
      </c>
      <c r="F773" s="196">
        <v>2670</v>
      </c>
      <c r="G773" s="194">
        <v>0.16159999999999999</v>
      </c>
      <c r="H773" s="195">
        <v>431.47199999999998</v>
      </c>
      <c r="I773" s="193" t="s">
        <v>541</v>
      </c>
    </row>
    <row r="774" spans="1:9" x14ac:dyDescent="0.25">
      <c r="A774" s="193" t="s">
        <v>220</v>
      </c>
      <c r="B774" s="193" t="s">
        <v>588</v>
      </c>
      <c r="C774" s="193" t="s">
        <v>1454</v>
      </c>
      <c r="D774" s="193" t="s">
        <v>1455</v>
      </c>
      <c r="E774" s="193" t="s">
        <v>545</v>
      </c>
      <c r="F774" s="196">
        <v>1000</v>
      </c>
      <c r="G774" s="194">
        <v>7.5999999999999998E-2</v>
      </c>
      <c r="H774" s="195">
        <v>76</v>
      </c>
      <c r="I774" s="193" t="s">
        <v>541</v>
      </c>
    </row>
    <row r="775" spans="1:9" x14ac:dyDescent="0.25">
      <c r="A775" s="193" t="s">
        <v>220</v>
      </c>
      <c r="B775" s="193" t="s">
        <v>588</v>
      </c>
      <c r="C775" s="193" t="s">
        <v>1456</v>
      </c>
      <c r="D775" s="193" t="s">
        <v>1457</v>
      </c>
      <c r="E775" s="193" t="s">
        <v>545</v>
      </c>
      <c r="F775" s="196">
        <v>3040</v>
      </c>
      <c r="G775" s="194">
        <v>0.16137312971566267</v>
      </c>
      <c r="H775" s="195">
        <v>490.57431433561453</v>
      </c>
      <c r="I775" s="193" t="s">
        <v>541</v>
      </c>
    </row>
    <row r="776" spans="1:9" x14ac:dyDescent="0.25">
      <c r="A776" s="193" t="s">
        <v>220</v>
      </c>
      <c r="B776" s="193" t="s">
        <v>588</v>
      </c>
      <c r="C776" s="193" t="s">
        <v>1460</v>
      </c>
      <c r="D776" s="193" t="s">
        <v>1461</v>
      </c>
      <c r="E776" s="193" t="s">
        <v>545</v>
      </c>
      <c r="F776" s="196">
        <v>3400</v>
      </c>
      <c r="G776" s="194">
        <v>0.27448235294117646</v>
      </c>
      <c r="H776" s="195">
        <v>933.2399999999999</v>
      </c>
      <c r="I776" s="193" t="s">
        <v>541</v>
      </c>
    </row>
    <row r="777" spans="1:9" x14ac:dyDescent="0.25">
      <c r="A777" s="193" t="s">
        <v>220</v>
      </c>
      <c r="B777" s="193" t="s">
        <v>588</v>
      </c>
      <c r="C777" s="193" t="s">
        <v>1462</v>
      </c>
      <c r="D777" s="193" t="s">
        <v>1463</v>
      </c>
      <c r="E777" s="193" t="s">
        <v>545</v>
      </c>
      <c r="F777" s="196">
        <v>1330</v>
      </c>
      <c r="G777" s="194">
        <v>0.27430750750750749</v>
      </c>
      <c r="H777" s="195">
        <v>364.82898498498497</v>
      </c>
      <c r="I777" s="193" t="s">
        <v>541</v>
      </c>
    </row>
    <row r="778" spans="1:9" x14ac:dyDescent="0.25">
      <c r="A778" s="193" t="s">
        <v>220</v>
      </c>
      <c r="B778" s="193" t="s">
        <v>588</v>
      </c>
      <c r="C778" s="193" t="s">
        <v>1466</v>
      </c>
      <c r="D778" s="193" t="s">
        <v>1467</v>
      </c>
      <c r="E778" s="193" t="s">
        <v>545</v>
      </c>
      <c r="F778" s="196">
        <v>5000</v>
      </c>
      <c r="G778" s="194">
        <v>0.35207445392388215</v>
      </c>
      <c r="H778" s="195">
        <v>1760.3722696194106</v>
      </c>
      <c r="I778" s="193" t="s">
        <v>541</v>
      </c>
    </row>
    <row r="779" spans="1:9" x14ac:dyDescent="0.25">
      <c r="A779" s="193" t="s">
        <v>220</v>
      </c>
      <c r="B779" s="193" t="s">
        <v>588</v>
      </c>
      <c r="C779" s="193" t="s">
        <v>1468</v>
      </c>
      <c r="D779" s="193" t="s">
        <v>1469</v>
      </c>
      <c r="E779" s="193" t="s">
        <v>545</v>
      </c>
      <c r="F779" s="196">
        <v>2800</v>
      </c>
      <c r="G779" s="194">
        <v>0.26841498652291107</v>
      </c>
      <c r="H779" s="195">
        <v>751.56196226415102</v>
      </c>
      <c r="I779" s="193" t="s">
        <v>541</v>
      </c>
    </row>
    <row r="780" spans="1:9" x14ac:dyDescent="0.25">
      <c r="A780" s="193" t="s">
        <v>220</v>
      </c>
      <c r="B780" s="193" t="s">
        <v>588</v>
      </c>
      <c r="C780" s="193" t="s">
        <v>1470</v>
      </c>
      <c r="D780" s="193" t="s">
        <v>1471</v>
      </c>
      <c r="E780" s="193" t="s">
        <v>545</v>
      </c>
      <c r="F780" s="196">
        <v>3880</v>
      </c>
      <c r="G780" s="194">
        <v>0.32753402061855674</v>
      </c>
      <c r="H780" s="195">
        <v>1270.8320000000001</v>
      </c>
      <c r="I780" s="193" t="s">
        <v>541</v>
      </c>
    </row>
    <row r="781" spans="1:9" x14ac:dyDescent="0.25">
      <c r="A781" s="193" t="s">
        <v>220</v>
      </c>
      <c r="B781" s="193" t="s">
        <v>588</v>
      </c>
      <c r="C781" s="193" t="s">
        <v>1472</v>
      </c>
      <c r="D781" s="193" t="s">
        <v>1473</v>
      </c>
      <c r="E781" s="193" t="s">
        <v>545</v>
      </c>
      <c r="F781" s="196">
        <v>2800</v>
      </c>
      <c r="G781" s="194">
        <v>0.35140092058335409</v>
      </c>
      <c r="H781" s="195">
        <v>983.92257763339148</v>
      </c>
      <c r="I781" s="193" t="s">
        <v>541</v>
      </c>
    </row>
    <row r="782" spans="1:9" x14ac:dyDescent="0.25">
      <c r="A782" s="193" t="s">
        <v>220</v>
      </c>
      <c r="B782" s="193" t="s">
        <v>588</v>
      </c>
      <c r="C782" s="193" t="s">
        <v>1474</v>
      </c>
      <c r="D782" s="193" t="s">
        <v>1475</v>
      </c>
      <c r="E782" s="193" t="s">
        <v>545</v>
      </c>
      <c r="F782" s="196">
        <v>3000</v>
      </c>
      <c r="G782" s="194">
        <v>0.35350000000000004</v>
      </c>
      <c r="H782" s="195">
        <v>1060.5</v>
      </c>
      <c r="I782" s="193" t="s">
        <v>541</v>
      </c>
    </row>
    <row r="783" spans="1:9" x14ac:dyDescent="0.25">
      <c r="A783" s="193" t="s">
        <v>220</v>
      </c>
      <c r="B783" s="193" t="s">
        <v>588</v>
      </c>
      <c r="C783" s="193" t="s">
        <v>1476</v>
      </c>
      <c r="D783" s="193" t="s">
        <v>1477</v>
      </c>
      <c r="E783" s="193" t="s">
        <v>545</v>
      </c>
      <c r="F783" s="196">
        <v>6930</v>
      </c>
      <c r="G783" s="194">
        <v>0.35803067599660765</v>
      </c>
      <c r="H783" s="195">
        <v>2481.1525846564909</v>
      </c>
      <c r="I783" s="193" t="s">
        <v>541</v>
      </c>
    </row>
    <row r="784" spans="1:9" x14ac:dyDescent="0.25">
      <c r="A784" s="193" t="s">
        <v>220</v>
      </c>
      <c r="B784" s="193" t="s">
        <v>588</v>
      </c>
      <c r="C784" s="193" t="s">
        <v>2264</v>
      </c>
      <c r="D784" s="193" t="s">
        <v>2265</v>
      </c>
      <c r="E784" s="193" t="s">
        <v>545</v>
      </c>
      <c r="F784" s="196">
        <v>3500</v>
      </c>
      <c r="G784" s="194">
        <v>0.344665</v>
      </c>
      <c r="H784" s="195">
        <v>1206.3275000000001</v>
      </c>
      <c r="I784" s="193" t="s">
        <v>541</v>
      </c>
    </row>
    <row r="785" spans="1:9" x14ac:dyDescent="0.25">
      <c r="A785" s="193" t="s">
        <v>220</v>
      </c>
      <c r="B785" s="193" t="s">
        <v>588</v>
      </c>
      <c r="C785" s="193" t="s">
        <v>1478</v>
      </c>
      <c r="D785" s="193" t="s">
        <v>1479</v>
      </c>
      <c r="E785" s="193" t="s">
        <v>545</v>
      </c>
      <c r="F785" s="196">
        <v>2600</v>
      </c>
      <c r="G785" s="194">
        <v>0.25755</v>
      </c>
      <c r="H785" s="195">
        <v>669.63</v>
      </c>
      <c r="I785" s="193" t="s">
        <v>541</v>
      </c>
    </row>
    <row r="786" spans="1:9" x14ac:dyDescent="0.25">
      <c r="A786" s="193" t="s">
        <v>220</v>
      </c>
      <c r="B786" s="193" t="s">
        <v>588</v>
      </c>
      <c r="C786" s="193" t="s">
        <v>1480</v>
      </c>
      <c r="D786" s="193" t="s">
        <v>1481</v>
      </c>
      <c r="E786" s="193" t="s">
        <v>545</v>
      </c>
      <c r="F786" s="196">
        <v>3000</v>
      </c>
      <c r="G786" s="194">
        <v>0.30804999999999999</v>
      </c>
      <c r="H786" s="195">
        <v>924.15</v>
      </c>
      <c r="I786" s="193" t="s">
        <v>541</v>
      </c>
    </row>
    <row r="787" spans="1:9" x14ac:dyDescent="0.25">
      <c r="A787" s="193" t="s">
        <v>220</v>
      </c>
      <c r="B787" s="193" t="s">
        <v>588</v>
      </c>
      <c r="C787" s="193" t="s">
        <v>1482</v>
      </c>
      <c r="D787" s="193" t="s">
        <v>1483</v>
      </c>
      <c r="E787" s="193" t="s">
        <v>545</v>
      </c>
      <c r="F787" s="196">
        <v>2220</v>
      </c>
      <c r="G787" s="194">
        <v>0.42419999999999997</v>
      </c>
      <c r="H787" s="195">
        <v>941.72399999999993</v>
      </c>
      <c r="I787" s="193" t="s">
        <v>541</v>
      </c>
    </row>
    <row r="788" spans="1:9" x14ac:dyDescent="0.25">
      <c r="A788" s="193" t="s">
        <v>220</v>
      </c>
      <c r="B788" s="193" t="s">
        <v>588</v>
      </c>
      <c r="C788" s="193" t="s">
        <v>1484</v>
      </c>
      <c r="D788" s="193" t="s">
        <v>1485</v>
      </c>
      <c r="E788" s="193" t="s">
        <v>545</v>
      </c>
      <c r="F788" s="196">
        <v>3000</v>
      </c>
      <c r="G788" s="194">
        <v>0.2828</v>
      </c>
      <c r="H788" s="195">
        <v>848.4</v>
      </c>
      <c r="I788" s="193" t="s">
        <v>541</v>
      </c>
    </row>
    <row r="789" spans="1:9" x14ac:dyDescent="0.25">
      <c r="A789" s="193" t="s">
        <v>220</v>
      </c>
      <c r="B789" s="193" t="s">
        <v>588</v>
      </c>
      <c r="C789" s="193" t="s">
        <v>1486</v>
      </c>
      <c r="D789" s="193" t="s">
        <v>1487</v>
      </c>
      <c r="E789" s="193" t="s">
        <v>545</v>
      </c>
      <c r="F789" s="196">
        <v>9100</v>
      </c>
      <c r="G789" s="194">
        <v>0.2828</v>
      </c>
      <c r="H789" s="195">
        <v>2573.48</v>
      </c>
      <c r="I789" s="193" t="s">
        <v>541</v>
      </c>
    </row>
    <row r="790" spans="1:9" x14ac:dyDescent="0.25">
      <c r="A790" s="193" t="s">
        <v>220</v>
      </c>
      <c r="B790" s="193" t="s">
        <v>588</v>
      </c>
      <c r="C790" s="193" t="s">
        <v>1488</v>
      </c>
      <c r="D790" s="193" t="s">
        <v>1489</v>
      </c>
      <c r="E790" s="193" t="s">
        <v>545</v>
      </c>
      <c r="F790" s="196">
        <v>4000</v>
      </c>
      <c r="G790" s="194">
        <v>0.35349999999999998</v>
      </c>
      <c r="H790" s="195">
        <v>1414</v>
      </c>
      <c r="I790" s="193" t="s">
        <v>541</v>
      </c>
    </row>
    <row r="791" spans="1:9" x14ac:dyDescent="0.25">
      <c r="A791" s="193" t="s">
        <v>220</v>
      </c>
      <c r="B791" s="193" t="s">
        <v>588</v>
      </c>
      <c r="C791" s="193" t="s">
        <v>1490</v>
      </c>
      <c r="D791" s="193" t="s">
        <v>1491</v>
      </c>
      <c r="E791" s="193" t="s">
        <v>545</v>
      </c>
      <c r="F791" s="196">
        <v>5500</v>
      </c>
      <c r="G791" s="194">
        <v>0.35349999999999998</v>
      </c>
      <c r="H791" s="195">
        <v>1944.25</v>
      </c>
      <c r="I791" s="193" t="s">
        <v>541</v>
      </c>
    </row>
    <row r="792" spans="1:9" x14ac:dyDescent="0.25">
      <c r="A792" s="193" t="s">
        <v>220</v>
      </c>
      <c r="B792" s="193" t="s">
        <v>588</v>
      </c>
      <c r="C792" s="193" t="s">
        <v>1492</v>
      </c>
      <c r="D792" s="193" t="s">
        <v>1493</v>
      </c>
      <c r="E792" s="193" t="s">
        <v>545</v>
      </c>
      <c r="F792" s="196">
        <v>7100</v>
      </c>
      <c r="G792" s="194">
        <v>0.38380000000000003</v>
      </c>
      <c r="H792" s="195">
        <v>2724.98</v>
      </c>
      <c r="I792" s="193" t="s">
        <v>541</v>
      </c>
    </row>
    <row r="793" spans="1:9" x14ac:dyDescent="0.25">
      <c r="A793" s="193" t="s">
        <v>220</v>
      </c>
      <c r="B793" s="193" t="s">
        <v>588</v>
      </c>
      <c r="C793" s="193" t="s">
        <v>1494</v>
      </c>
      <c r="D793" s="193" t="s">
        <v>1495</v>
      </c>
      <c r="E793" s="193" t="s">
        <v>545</v>
      </c>
      <c r="F793" s="196">
        <v>7080</v>
      </c>
      <c r="G793" s="194">
        <v>0.38379999999999997</v>
      </c>
      <c r="H793" s="195">
        <v>2717.3039999999996</v>
      </c>
      <c r="I793" s="193" t="s">
        <v>541</v>
      </c>
    </row>
    <row r="794" spans="1:9" x14ac:dyDescent="0.25">
      <c r="A794" s="193" t="s">
        <v>220</v>
      </c>
      <c r="B794" s="193" t="s">
        <v>588</v>
      </c>
      <c r="C794" s="193" t="s">
        <v>1496</v>
      </c>
      <c r="D794" s="193" t="s">
        <v>1497</v>
      </c>
      <c r="E794" s="193" t="s">
        <v>545</v>
      </c>
      <c r="F794" s="196">
        <v>2080</v>
      </c>
      <c r="G794" s="194">
        <v>0.42420000000000008</v>
      </c>
      <c r="H794" s="195">
        <v>882.33600000000013</v>
      </c>
      <c r="I794" s="193" t="s">
        <v>541</v>
      </c>
    </row>
    <row r="795" spans="1:9" x14ac:dyDescent="0.25">
      <c r="A795" s="193" t="s">
        <v>220</v>
      </c>
      <c r="B795" s="193" t="s">
        <v>588</v>
      </c>
      <c r="C795" s="193" t="s">
        <v>1498</v>
      </c>
      <c r="D795" s="193" t="s">
        <v>1499</v>
      </c>
      <c r="E795" s="193" t="s">
        <v>545</v>
      </c>
      <c r="F795" s="196">
        <v>1000</v>
      </c>
      <c r="G795" s="194">
        <v>0.30299999999999999</v>
      </c>
      <c r="H795" s="195">
        <v>303</v>
      </c>
      <c r="I795" s="193" t="s">
        <v>541</v>
      </c>
    </row>
    <row r="796" spans="1:9" x14ac:dyDescent="0.25">
      <c r="A796" s="193" t="s">
        <v>220</v>
      </c>
      <c r="B796" s="193" t="s">
        <v>588</v>
      </c>
      <c r="C796" s="193" t="s">
        <v>1500</v>
      </c>
      <c r="D796" s="193" t="s">
        <v>1501</v>
      </c>
      <c r="E796" s="193" t="s">
        <v>545</v>
      </c>
      <c r="F796" s="196">
        <v>1000</v>
      </c>
      <c r="G796" s="194">
        <v>0.32319999999999999</v>
      </c>
      <c r="H796" s="195">
        <v>323.2</v>
      </c>
      <c r="I796" s="193" t="s">
        <v>541</v>
      </c>
    </row>
    <row r="797" spans="1:9" x14ac:dyDescent="0.25">
      <c r="A797" s="193" t="s">
        <v>220</v>
      </c>
      <c r="B797" s="193" t="s">
        <v>588</v>
      </c>
      <c r="C797" s="193" t="s">
        <v>1502</v>
      </c>
      <c r="D797" s="193" t="s">
        <v>1503</v>
      </c>
      <c r="E797" s="193" t="s">
        <v>545</v>
      </c>
      <c r="F797" s="196">
        <v>4600</v>
      </c>
      <c r="G797" s="194">
        <v>0.26259999999999994</v>
      </c>
      <c r="H797" s="195">
        <v>1207.9599999999998</v>
      </c>
      <c r="I797" s="193" t="s">
        <v>541</v>
      </c>
    </row>
    <row r="798" spans="1:9" x14ac:dyDescent="0.25">
      <c r="A798" s="193" t="s">
        <v>220</v>
      </c>
      <c r="B798" s="193" t="s">
        <v>588</v>
      </c>
      <c r="C798" s="193" t="s">
        <v>1504</v>
      </c>
      <c r="D798" s="193" t="s">
        <v>1505</v>
      </c>
      <c r="E798" s="193" t="s">
        <v>545</v>
      </c>
      <c r="F798" s="196">
        <v>200</v>
      </c>
      <c r="G798" s="194">
        <v>0.30071575047882365</v>
      </c>
      <c r="H798" s="195">
        <v>60.143150095764732</v>
      </c>
      <c r="I798" s="193" t="s">
        <v>541</v>
      </c>
    </row>
    <row r="799" spans="1:9" x14ac:dyDescent="0.25">
      <c r="A799" s="193" t="s">
        <v>220</v>
      </c>
      <c r="B799" s="193" t="s">
        <v>588</v>
      </c>
      <c r="C799" s="193" t="s">
        <v>1506</v>
      </c>
      <c r="D799" s="193" t="s">
        <v>1507</v>
      </c>
      <c r="E799" s="193" t="s">
        <v>545</v>
      </c>
      <c r="F799" s="196">
        <v>8000</v>
      </c>
      <c r="G799" s="194">
        <v>0.33811545234426588</v>
      </c>
      <c r="H799" s="195">
        <v>2704.9236187541269</v>
      </c>
      <c r="I799" s="193" t="s">
        <v>541</v>
      </c>
    </row>
    <row r="800" spans="1:9" x14ac:dyDescent="0.25">
      <c r="A800" s="193" t="s">
        <v>220</v>
      </c>
      <c r="B800" s="193" t="s">
        <v>588</v>
      </c>
      <c r="C800" s="193" t="s">
        <v>1508</v>
      </c>
      <c r="D800" s="193" t="s">
        <v>1509</v>
      </c>
      <c r="E800" s="193" t="s">
        <v>545</v>
      </c>
      <c r="F800" s="196">
        <v>5100</v>
      </c>
      <c r="G800" s="194">
        <v>0.30299999999999999</v>
      </c>
      <c r="H800" s="195">
        <v>1545.3</v>
      </c>
      <c r="I800" s="193" t="s">
        <v>541</v>
      </c>
    </row>
    <row r="801" spans="1:9" x14ac:dyDescent="0.25">
      <c r="A801" s="193" t="s">
        <v>220</v>
      </c>
      <c r="B801" s="193" t="s">
        <v>588</v>
      </c>
      <c r="C801" s="193" t="s">
        <v>1510</v>
      </c>
      <c r="D801" s="193" t="s">
        <v>1511</v>
      </c>
      <c r="E801" s="193" t="s">
        <v>545</v>
      </c>
      <c r="F801" s="196">
        <v>500</v>
      </c>
      <c r="G801" s="194">
        <v>0.42420000000000002</v>
      </c>
      <c r="H801" s="195">
        <v>212.10000000000002</v>
      </c>
      <c r="I801" s="193" t="s">
        <v>541</v>
      </c>
    </row>
    <row r="802" spans="1:9" x14ac:dyDescent="0.25">
      <c r="A802" s="193" t="s">
        <v>220</v>
      </c>
      <c r="B802" s="193" t="s">
        <v>588</v>
      </c>
      <c r="C802" s="193" t="s">
        <v>1512</v>
      </c>
      <c r="D802" s="193" t="s">
        <v>1513</v>
      </c>
      <c r="E802" s="193" t="s">
        <v>545</v>
      </c>
      <c r="F802" s="196">
        <v>2000</v>
      </c>
      <c r="G802" s="194">
        <v>0.26480555555555563</v>
      </c>
      <c r="H802" s="195">
        <v>529.6111111111112</v>
      </c>
      <c r="I802" s="193" t="s">
        <v>541</v>
      </c>
    </row>
    <row r="803" spans="1:9" x14ac:dyDescent="0.25">
      <c r="A803" s="193" t="s">
        <v>220</v>
      </c>
      <c r="B803" s="193" t="s">
        <v>588</v>
      </c>
      <c r="C803" s="193" t="s">
        <v>1514</v>
      </c>
      <c r="D803" s="193" t="s">
        <v>1515</v>
      </c>
      <c r="E803" s="193" t="s">
        <v>545</v>
      </c>
      <c r="F803" s="196">
        <v>1400</v>
      </c>
      <c r="G803" s="194">
        <v>0.32319999999999999</v>
      </c>
      <c r="H803" s="195">
        <v>452.47999999999996</v>
      </c>
      <c r="I803" s="193" t="s">
        <v>541</v>
      </c>
    </row>
    <row r="804" spans="1:9" x14ac:dyDescent="0.25">
      <c r="A804" s="193" t="s">
        <v>220</v>
      </c>
      <c r="B804" s="193" t="s">
        <v>588</v>
      </c>
      <c r="C804" s="193" t="s">
        <v>1516</v>
      </c>
      <c r="D804" s="193" t="s">
        <v>1517</v>
      </c>
      <c r="E804" s="193" t="s">
        <v>545</v>
      </c>
      <c r="F804" s="196">
        <v>2250</v>
      </c>
      <c r="G804" s="194">
        <v>0.35295722527875129</v>
      </c>
      <c r="H804" s="195">
        <v>794.1537568771904</v>
      </c>
      <c r="I804" s="193" t="s">
        <v>541</v>
      </c>
    </row>
    <row r="805" spans="1:9" x14ac:dyDescent="0.25">
      <c r="A805" s="193" t="s">
        <v>220</v>
      </c>
      <c r="B805" s="193" t="s">
        <v>588</v>
      </c>
      <c r="C805" s="193" t="s">
        <v>1518</v>
      </c>
      <c r="D805" s="193" t="s">
        <v>1519</v>
      </c>
      <c r="E805" s="193" t="s">
        <v>545</v>
      </c>
      <c r="F805" s="196">
        <v>2000</v>
      </c>
      <c r="G805" s="194">
        <v>0.23626010935804323</v>
      </c>
      <c r="H805" s="195">
        <v>472.52021871608645</v>
      </c>
      <c r="I805" s="193" t="s">
        <v>541</v>
      </c>
    </row>
    <row r="806" spans="1:9" x14ac:dyDescent="0.25">
      <c r="A806" s="193" t="s">
        <v>220</v>
      </c>
      <c r="B806" s="193" t="s">
        <v>588</v>
      </c>
      <c r="C806" s="193" t="s">
        <v>1520</v>
      </c>
      <c r="D806" s="193" t="s">
        <v>1521</v>
      </c>
      <c r="E806" s="193" t="s">
        <v>545</v>
      </c>
      <c r="F806" s="196">
        <v>71</v>
      </c>
      <c r="G806" s="194">
        <v>19.461406375192606</v>
      </c>
      <c r="H806" s="195">
        <v>1381.7598526386751</v>
      </c>
      <c r="I806" s="193" t="s">
        <v>541</v>
      </c>
    </row>
    <row r="807" spans="1:9" x14ac:dyDescent="0.25">
      <c r="A807" s="193" t="s">
        <v>220</v>
      </c>
      <c r="B807" s="193" t="s">
        <v>588</v>
      </c>
      <c r="C807" s="193" t="s">
        <v>1522</v>
      </c>
      <c r="D807" s="193" t="s">
        <v>1523</v>
      </c>
      <c r="E807" s="193" t="s">
        <v>545</v>
      </c>
      <c r="F807" s="196">
        <v>43000</v>
      </c>
      <c r="G807" s="194">
        <v>9.356662383270245E-2</v>
      </c>
      <c r="H807" s="195">
        <v>4023.3648248062054</v>
      </c>
      <c r="I807" s="193" t="s">
        <v>541</v>
      </c>
    </row>
    <row r="808" spans="1:9" x14ac:dyDescent="0.25">
      <c r="A808" s="193" t="s">
        <v>220</v>
      </c>
      <c r="B808" s="193" t="s">
        <v>588</v>
      </c>
      <c r="C808" s="193" t="s">
        <v>7546</v>
      </c>
      <c r="D808" s="193" t="s">
        <v>7547</v>
      </c>
      <c r="E808" s="193" t="s">
        <v>545</v>
      </c>
      <c r="F808" s="196">
        <v>36</v>
      </c>
      <c r="G808" s="194">
        <v>5.2519999999999998</v>
      </c>
      <c r="H808" s="195">
        <v>189.072</v>
      </c>
      <c r="I808" s="193" t="s">
        <v>541</v>
      </c>
    </row>
    <row r="809" spans="1:9" x14ac:dyDescent="0.25">
      <c r="A809" s="193" t="s">
        <v>220</v>
      </c>
      <c r="B809" s="193" t="s">
        <v>588</v>
      </c>
      <c r="C809" s="193" t="s">
        <v>1524</v>
      </c>
      <c r="D809" s="193" t="s">
        <v>1525</v>
      </c>
      <c r="E809" s="193" t="s">
        <v>545</v>
      </c>
      <c r="F809" s="196">
        <v>5250</v>
      </c>
      <c r="G809" s="194">
        <v>0.20200000000000001</v>
      </c>
      <c r="H809" s="195">
        <v>1060.5</v>
      </c>
      <c r="I809" s="193" t="s">
        <v>541</v>
      </c>
    </row>
    <row r="810" spans="1:9" x14ac:dyDescent="0.25">
      <c r="A810" s="193" t="s">
        <v>220</v>
      </c>
      <c r="B810" s="193" t="s">
        <v>588</v>
      </c>
      <c r="C810" s="193" t="s">
        <v>1526</v>
      </c>
      <c r="D810" s="193" t="s">
        <v>1527</v>
      </c>
      <c r="E810" s="193" t="s">
        <v>545</v>
      </c>
      <c r="F810" s="196">
        <v>2500</v>
      </c>
      <c r="G810" s="194">
        <v>0.45450000000000002</v>
      </c>
      <c r="H810" s="195">
        <v>1136.25</v>
      </c>
      <c r="I810" s="193" t="s">
        <v>541</v>
      </c>
    </row>
    <row r="811" spans="1:9" x14ac:dyDescent="0.25">
      <c r="A811" s="193" t="s">
        <v>220</v>
      </c>
      <c r="B811" s="193" t="s">
        <v>588</v>
      </c>
      <c r="C811" s="193" t="s">
        <v>1528</v>
      </c>
      <c r="D811" s="193" t="s">
        <v>1529</v>
      </c>
      <c r="E811" s="193" t="s">
        <v>545</v>
      </c>
      <c r="F811" s="196">
        <v>5000</v>
      </c>
      <c r="G811" s="194">
        <v>8.0799999999999997E-2</v>
      </c>
      <c r="H811" s="195">
        <v>404</v>
      </c>
      <c r="I811" s="193" t="s">
        <v>541</v>
      </c>
    </row>
    <row r="812" spans="1:9" x14ac:dyDescent="0.25">
      <c r="A812" s="193" t="s">
        <v>220</v>
      </c>
      <c r="B812" s="193" t="s">
        <v>588</v>
      </c>
      <c r="C812" s="193" t="s">
        <v>1530</v>
      </c>
      <c r="D812" s="193" t="s">
        <v>1531</v>
      </c>
      <c r="E812" s="193" t="s">
        <v>545</v>
      </c>
      <c r="F812" s="196">
        <v>16500</v>
      </c>
      <c r="G812" s="194">
        <v>8.9890000000000012E-2</v>
      </c>
      <c r="H812" s="195">
        <v>1483.1850000000002</v>
      </c>
      <c r="I812" s="193" t="s">
        <v>541</v>
      </c>
    </row>
    <row r="813" spans="1:9" x14ac:dyDescent="0.25">
      <c r="A813" s="193" t="s">
        <v>220</v>
      </c>
      <c r="B813" s="193" t="s">
        <v>588</v>
      </c>
      <c r="C813" s="193" t="s">
        <v>658</v>
      </c>
      <c r="D813" s="193" t="s">
        <v>1532</v>
      </c>
      <c r="E813" s="193" t="s">
        <v>545</v>
      </c>
      <c r="F813" s="196">
        <v>1000</v>
      </c>
      <c r="G813" s="194">
        <v>0.16930875675675675</v>
      </c>
      <c r="H813" s="195">
        <v>169.30875675675674</v>
      </c>
      <c r="I813" s="193" t="s">
        <v>541</v>
      </c>
    </row>
    <row r="814" spans="1:9" x14ac:dyDescent="0.25">
      <c r="A814" s="193" t="s">
        <v>220</v>
      </c>
      <c r="B814" s="193" t="s">
        <v>588</v>
      </c>
      <c r="C814" s="193" t="s">
        <v>682</v>
      </c>
      <c r="D814" s="193" t="s">
        <v>683</v>
      </c>
      <c r="E814" s="193" t="s">
        <v>545</v>
      </c>
      <c r="F814" s="196">
        <v>1500</v>
      </c>
      <c r="G814" s="194">
        <v>0.20200000000000001</v>
      </c>
      <c r="H814" s="195">
        <v>303</v>
      </c>
      <c r="I814" s="193" t="s">
        <v>541</v>
      </c>
    </row>
    <row r="815" spans="1:9" x14ac:dyDescent="0.25">
      <c r="A815" s="193" t="s">
        <v>220</v>
      </c>
      <c r="B815" s="193" t="s">
        <v>588</v>
      </c>
      <c r="C815" s="193" t="s">
        <v>660</v>
      </c>
      <c r="D815" s="193" t="s">
        <v>661</v>
      </c>
      <c r="E815" s="193" t="s">
        <v>545</v>
      </c>
      <c r="F815" s="196">
        <v>2000</v>
      </c>
      <c r="G815" s="194">
        <v>0.20156250000000001</v>
      </c>
      <c r="H815" s="195">
        <v>403.125</v>
      </c>
      <c r="I815" s="193" t="s">
        <v>541</v>
      </c>
    </row>
    <row r="816" spans="1:9" x14ac:dyDescent="0.25">
      <c r="A816" s="193" t="s">
        <v>220</v>
      </c>
      <c r="B816" s="193" t="s">
        <v>588</v>
      </c>
      <c r="C816" s="193" t="s">
        <v>684</v>
      </c>
      <c r="D816" s="193" t="s">
        <v>685</v>
      </c>
      <c r="E816" s="193" t="s">
        <v>545</v>
      </c>
      <c r="F816" s="196">
        <v>500</v>
      </c>
      <c r="G816" s="194">
        <v>0.35349999999999998</v>
      </c>
      <c r="H816" s="195">
        <v>176.75</v>
      </c>
      <c r="I816" s="193" t="s">
        <v>541</v>
      </c>
    </row>
    <row r="817" spans="1:9" x14ac:dyDescent="0.25">
      <c r="A817" s="193" t="s">
        <v>220</v>
      </c>
      <c r="B817" s="193" t="s">
        <v>588</v>
      </c>
      <c r="C817" s="193" t="s">
        <v>686</v>
      </c>
      <c r="D817" s="193" t="s">
        <v>687</v>
      </c>
      <c r="E817" s="193" t="s">
        <v>545</v>
      </c>
      <c r="F817" s="196">
        <v>500</v>
      </c>
      <c r="G817" s="194">
        <v>0.35349999999999998</v>
      </c>
      <c r="H817" s="195">
        <v>176.75</v>
      </c>
      <c r="I817" s="193" t="s">
        <v>541</v>
      </c>
    </row>
    <row r="818" spans="1:9" x14ac:dyDescent="0.25">
      <c r="A818" s="193" t="s">
        <v>220</v>
      </c>
      <c r="B818" s="193" t="s">
        <v>588</v>
      </c>
      <c r="C818" s="193" t="s">
        <v>1533</v>
      </c>
      <c r="D818" s="193" t="s">
        <v>1534</v>
      </c>
      <c r="E818" s="193" t="s">
        <v>545</v>
      </c>
      <c r="F818" s="196">
        <v>1750</v>
      </c>
      <c r="G818" s="194">
        <v>0.2</v>
      </c>
      <c r="H818" s="195">
        <v>350</v>
      </c>
      <c r="I818" s="193" t="s">
        <v>541</v>
      </c>
    </row>
    <row r="819" spans="1:9" x14ac:dyDescent="0.25">
      <c r="A819" s="193" t="s">
        <v>220</v>
      </c>
      <c r="B819" s="193" t="s">
        <v>588</v>
      </c>
      <c r="C819" s="193" t="s">
        <v>1535</v>
      </c>
      <c r="D819" s="193" t="s">
        <v>1536</v>
      </c>
      <c r="E819" s="193" t="s">
        <v>545</v>
      </c>
      <c r="F819" s="196">
        <v>4000</v>
      </c>
      <c r="G819" s="194">
        <v>7.8508288043478272E-2</v>
      </c>
      <c r="H819" s="195">
        <v>314.03315217391309</v>
      </c>
      <c r="I819" s="193" t="s">
        <v>541</v>
      </c>
    </row>
    <row r="820" spans="1:9" x14ac:dyDescent="0.25">
      <c r="A820" s="193" t="s">
        <v>220</v>
      </c>
      <c r="B820" s="193" t="s">
        <v>588</v>
      </c>
      <c r="C820" s="193" t="s">
        <v>1537</v>
      </c>
      <c r="D820" s="193" t="s">
        <v>1538</v>
      </c>
      <c r="E820" s="193" t="s">
        <v>545</v>
      </c>
      <c r="F820" s="196">
        <v>15000</v>
      </c>
      <c r="G820" s="194">
        <v>0.19714046669937446</v>
      </c>
      <c r="H820" s="195">
        <v>2957.1070004906169</v>
      </c>
      <c r="I820" s="193" t="s">
        <v>541</v>
      </c>
    </row>
    <row r="821" spans="1:9" x14ac:dyDescent="0.25">
      <c r="A821" s="193" t="s">
        <v>220</v>
      </c>
      <c r="B821" s="193" t="s">
        <v>588</v>
      </c>
      <c r="C821" s="193" t="s">
        <v>1539</v>
      </c>
      <c r="D821" s="193" t="s">
        <v>1540</v>
      </c>
      <c r="E821" s="193" t="s">
        <v>545</v>
      </c>
      <c r="F821" s="196">
        <v>12500</v>
      </c>
      <c r="G821" s="194">
        <v>0.11109840089016103</v>
      </c>
      <c r="H821" s="195">
        <v>1388.7300111270129</v>
      </c>
      <c r="I821" s="193" t="s">
        <v>541</v>
      </c>
    </row>
    <row r="822" spans="1:9" x14ac:dyDescent="0.25">
      <c r="A822" s="193" t="s">
        <v>220</v>
      </c>
      <c r="B822" s="193" t="s">
        <v>588</v>
      </c>
      <c r="C822" s="193" t="s">
        <v>1541</v>
      </c>
      <c r="D822" s="193" t="s">
        <v>1542</v>
      </c>
      <c r="E822" s="193" t="s">
        <v>545</v>
      </c>
      <c r="F822" s="196">
        <v>10400</v>
      </c>
      <c r="G822" s="194">
        <v>0.13101716436710481</v>
      </c>
      <c r="H822" s="195">
        <v>1362.57850941789</v>
      </c>
      <c r="I822" s="193" t="s">
        <v>541</v>
      </c>
    </row>
    <row r="823" spans="1:9" x14ac:dyDescent="0.25">
      <c r="A823" s="193" t="s">
        <v>220</v>
      </c>
      <c r="B823" s="193" t="s">
        <v>588</v>
      </c>
      <c r="C823" s="193" t="s">
        <v>1543</v>
      </c>
      <c r="D823" s="193" t="s">
        <v>1544</v>
      </c>
      <c r="E823" s="193" t="s">
        <v>545</v>
      </c>
      <c r="F823" s="196">
        <v>37000</v>
      </c>
      <c r="G823" s="194">
        <v>2.5748804833685576E-2</v>
      </c>
      <c r="H823" s="195">
        <v>952.70577884636634</v>
      </c>
      <c r="I823" s="193" t="s">
        <v>541</v>
      </c>
    </row>
    <row r="824" spans="1:9" x14ac:dyDescent="0.25">
      <c r="A824" s="193" t="s">
        <v>220</v>
      </c>
      <c r="B824" s="193" t="s">
        <v>588</v>
      </c>
      <c r="C824" s="193" t="s">
        <v>1545</v>
      </c>
      <c r="D824" s="193" t="s">
        <v>1546</v>
      </c>
      <c r="E824" s="193" t="s">
        <v>545</v>
      </c>
      <c r="F824" s="196">
        <v>10500</v>
      </c>
      <c r="G824" s="194">
        <v>0.10309115209053761</v>
      </c>
      <c r="H824" s="195">
        <v>1082.4570969506449</v>
      </c>
      <c r="I824" s="193" t="s">
        <v>541</v>
      </c>
    </row>
    <row r="825" spans="1:9" x14ac:dyDescent="0.25">
      <c r="A825" s="193" t="s">
        <v>220</v>
      </c>
      <c r="B825" s="193" t="s">
        <v>588</v>
      </c>
      <c r="C825" s="193" t="s">
        <v>1547</v>
      </c>
      <c r="D825" s="193" t="s">
        <v>1548</v>
      </c>
      <c r="E825" s="193" t="s">
        <v>545</v>
      </c>
      <c r="F825" s="196">
        <v>2000</v>
      </c>
      <c r="G825" s="194">
        <v>0.22</v>
      </c>
      <c r="H825" s="195">
        <v>440</v>
      </c>
      <c r="I825" s="193" t="s">
        <v>541</v>
      </c>
    </row>
    <row r="826" spans="1:9" x14ac:dyDescent="0.25">
      <c r="A826" s="193" t="s">
        <v>220</v>
      </c>
      <c r="B826" s="193" t="s">
        <v>588</v>
      </c>
      <c r="C826" s="193" t="s">
        <v>1549</v>
      </c>
      <c r="D826" s="193" t="s">
        <v>1550</v>
      </c>
      <c r="E826" s="193" t="s">
        <v>545</v>
      </c>
      <c r="F826" s="196">
        <v>1000</v>
      </c>
      <c r="G826" s="194">
        <v>0.22</v>
      </c>
      <c r="H826" s="195">
        <v>220</v>
      </c>
      <c r="I826" s="193" t="s">
        <v>541</v>
      </c>
    </row>
    <row r="827" spans="1:9" x14ac:dyDescent="0.25">
      <c r="A827" s="193" t="s">
        <v>220</v>
      </c>
      <c r="B827" s="193" t="s">
        <v>588</v>
      </c>
      <c r="C827" s="193" t="s">
        <v>1551</v>
      </c>
      <c r="D827" s="193" t="s">
        <v>1552</v>
      </c>
      <c r="E827" s="193" t="s">
        <v>545</v>
      </c>
      <c r="F827" s="196">
        <v>8000</v>
      </c>
      <c r="G827" s="194">
        <v>0.22</v>
      </c>
      <c r="H827" s="195">
        <v>1760</v>
      </c>
      <c r="I827" s="193" t="s">
        <v>541</v>
      </c>
    </row>
    <row r="828" spans="1:9" x14ac:dyDescent="0.25">
      <c r="A828" s="193" t="s">
        <v>220</v>
      </c>
      <c r="B828" s="193" t="s">
        <v>588</v>
      </c>
      <c r="C828" s="193" t="s">
        <v>1553</v>
      </c>
      <c r="D828" s="193" t="s">
        <v>1554</v>
      </c>
      <c r="E828" s="193" t="s">
        <v>545</v>
      </c>
      <c r="F828" s="196">
        <v>13000</v>
      </c>
      <c r="G828" s="194">
        <v>0.18271721810827421</v>
      </c>
      <c r="H828" s="195">
        <v>2375.3238354075647</v>
      </c>
      <c r="I828" s="193" t="s">
        <v>541</v>
      </c>
    </row>
    <row r="829" spans="1:9" x14ac:dyDescent="0.25">
      <c r="A829" s="193" t="s">
        <v>220</v>
      </c>
      <c r="B829" s="193" t="s">
        <v>588</v>
      </c>
      <c r="C829" s="193" t="s">
        <v>1555</v>
      </c>
      <c r="D829" s="193" t="s">
        <v>1556</v>
      </c>
      <c r="E829" s="193" t="s">
        <v>545</v>
      </c>
      <c r="F829" s="196">
        <v>1000</v>
      </c>
      <c r="G829" s="194">
        <v>4.632E-2</v>
      </c>
      <c r="H829" s="195">
        <v>46.32</v>
      </c>
      <c r="I829" s="193" t="s">
        <v>541</v>
      </c>
    </row>
    <row r="830" spans="1:9" x14ac:dyDescent="0.25">
      <c r="A830" s="193" t="s">
        <v>220</v>
      </c>
      <c r="B830" s="193" t="s">
        <v>588</v>
      </c>
      <c r="C830" s="193" t="s">
        <v>1557</v>
      </c>
      <c r="D830" s="193" t="s">
        <v>1558</v>
      </c>
      <c r="E830" s="193" t="s">
        <v>545</v>
      </c>
      <c r="F830" s="196">
        <v>3800</v>
      </c>
      <c r="G830" s="194">
        <v>0.04</v>
      </c>
      <c r="H830" s="195">
        <v>152</v>
      </c>
      <c r="I830" s="193" t="s">
        <v>541</v>
      </c>
    </row>
    <row r="831" spans="1:9" x14ac:dyDescent="0.25">
      <c r="A831" s="193" t="s">
        <v>220</v>
      </c>
      <c r="B831" s="193" t="s">
        <v>588</v>
      </c>
      <c r="C831" s="193" t="s">
        <v>1559</v>
      </c>
      <c r="D831" s="193" t="s">
        <v>1560</v>
      </c>
      <c r="E831" s="193" t="s">
        <v>545</v>
      </c>
      <c r="F831" s="196">
        <v>4000</v>
      </c>
      <c r="G831" s="194">
        <v>9.6970161290322585E-2</v>
      </c>
      <c r="H831" s="195">
        <v>387.88064516129032</v>
      </c>
      <c r="I831" s="193" t="s">
        <v>541</v>
      </c>
    </row>
    <row r="832" spans="1:9" x14ac:dyDescent="0.25">
      <c r="A832" s="193" t="s">
        <v>220</v>
      </c>
      <c r="B832" s="193" t="s">
        <v>588</v>
      </c>
      <c r="C832" s="193" t="s">
        <v>1561</v>
      </c>
      <c r="D832" s="193" t="s">
        <v>1562</v>
      </c>
      <c r="E832" s="193" t="s">
        <v>545</v>
      </c>
      <c r="F832" s="196">
        <v>6000</v>
      </c>
      <c r="G832" s="194">
        <v>0.04</v>
      </c>
      <c r="H832" s="195">
        <v>240</v>
      </c>
      <c r="I832" s="193" t="s">
        <v>541</v>
      </c>
    </row>
    <row r="833" spans="1:9" x14ac:dyDescent="0.25">
      <c r="A833" s="193" t="s">
        <v>220</v>
      </c>
      <c r="B833" s="193" t="s">
        <v>588</v>
      </c>
      <c r="C833" s="193" t="s">
        <v>1563</v>
      </c>
      <c r="D833" s="193" t="s">
        <v>1564</v>
      </c>
      <c r="E833" s="193" t="s">
        <v>545</v>
      </c>
      <c r="F833" s="196">
        <v>3000</v>
      </c>
      <c r="G833" s="194">
        <v>3.7999999999999999E-2</v>
      </c>
      <c r="H833" s="195">
        <v>114</v>
      </c>
      <c r="I833" s="193" t="s">
        <v>541</v>
      </c>
    </row>
    <row r="834" spans="1:9" x14ac:dyDescent="0.25">
      <c r="A834" s="193" t="s">
        <v>220</v>
      </c>
      <c r="B834" s="193" t="s">
        <v>588</v>
      </c>
      <c r="C834" s="193" t="s">
        <v>1565</v>
      </c>
      <c r="D834" s="193" t="s">
        <v>1566</v>
      </c>
      <c r="E834" s="193" t="s">
        <v>545</v>
      </c>
      <c r="F834" s="196">
        <v>2800</v>
      </c>
      <c r="G834" s="194">
        <v>0.04</v>
      </c>
      <c r="H834" s="195">
        <v>112</v>
      </c>
      <c r="I834" s="193" t="s">
        <v>541</v>
      </c>
    </row>
    <row r="835" spans="1:9" x14ac:dyDescent="0.25">
      <c r="A835" s="193" t="s">
        <v>220</v>
      </c>
      <c r="B835" s="193" t="s">
        <v>588</v>
      </c>
      <c r="C835" s="193" t="s">
        <v>1567</v>
      </c>
      <c r="D835" s="193" t="s">
        <v>1568</v>
      </c>
      <c r="E835" s="193" t="s">
        <v>545</v>
      </c>
      <c r="F835" s="196">
        <v>2200</v>
      </c>
      <c r="G835" s="194">
        <v>8.5849999999999996E-2</v>
      </c>
      <c r="H835" s="195">
        <v>188.87</v>
      </c>
      <c r="I835" s="193" t="s">
        <v>541</v>
      </c>
    </row>
    <row r="836" spans="1:9" x14ac:dyDescent="0.25">
      <c r="A836" s="193" t="s">
        <v>220</v>
      </c>
      <c r="B836" s="193" t="s">
        <v>588</v>
      </c>
      <c r="C836" s="193" t="s">
        <v>1569</v>
      </c>
      <c r="D836" s="193" t="s">
        <v>1570</v>
      </c>
      <c r="E836" s="193" t="s">
        <v>545</v>
      </c>
      <c r="F836" s="196">
        <v>3500</v>
      </c>
      <c r="G836" s="194">
        <v>4.632E-2</v>
      </c>
      <c r="H836" s="195">
        <v>162.12</v>
      </c>
      <c r="I836" s="193" t="s">
        <v>541</v>
      </c>
    </row>
    <row r="837" spans="1:9" x14ac:dyDescent="0.25">
      <c r="A837" s="193" t="s">
        <v>220</v>
      </c>
      <c r="B837" s="193" t="s">
        <v>588</v>
      </c>
      <c r="C837" s="193" t="s">
        <v>1571</v>
      </c>
      <c r="D837" s="193" t="s">
        <v>1572</v>
      </c>
      <c r="E837" s="193" t="s">
        <v>545</v>
      </c>
      <c r="F837" s="196">
        <v>1500</v>
      </c>
      <c r="G837" s="194">
        <v>0.1</v>
      </c>
      <c r="H837" s="195">
        <v>150</v>
      </c>
      <c r="I837" s="193" t="s">
        <v>541</v>
      </c>
    </row>
    <row r="838" spans="1:9" x14ac:dyDescent="0.25">
      <c r="A838" s="193" t="s">
        <v>220</v>
      </c>
      <c r="B838" s="193" t="s">
        <v>588</v>
      </c>
      <c r="C838" s="193" t="s">
        <v>1573</v>
      </c>
      <c r="D838" s="193" t="s">
        <v>1574</v>
      </c>
      <c r="E838" s="193" t="s">
        <v>545</v>
      </c>
      <c r="F838" s="196">
        <v>2000</v>
      </c>
      <c r="G838" s="194">
        <v>0.04</v>
      </c>
      <c r="H838" s="195">
        <v>80</v>
      </c>
      <c r="I838" s="193" t="s">
        <v>541</v>
      </c>
    </row>
    <row r="839" spans="1:9" x14ac:dyDescent="0.25">
      <c r="A839" s="193" t="s">
        <v>220</v>
      </c>
      <c r="B839" s="193" t="s">
        <v>588</v>
      </c>
      <c r="C839" s="193" t="s">
        <v>1575</v>
      </c>
      <c r="D839" s="193" t="s">
        <v>1576</v>
      </c>
      <c r="E839" s="193" t="s">
        <v>545</v>
      </c>
      <c r="F839" s="196">
        <v>2000</v>
      </c>
      <c r="G839" s="194">
        <v>0.04</v>
      </c>
      <c r="H839" s="195">
        <v>80</v>
      </c>
      <c r="I839" s="193" t="s">
        <v>541</v>
      </c>
    </row>
    <row r="840" spans="1:9" x14ac:dyDescent="0.25">
      <c r="A840" s="193" t="s">
        <v>220</v>
      </c>
      <c r="B840" s="193" t="s">
        <v>588</v>
      </c>
      <c r="C840" s="193" t="s">
        <v>1577</v>
      </c>
      <c r="D840" s="193" t="s">
        <v>1578</v>
      </c>
      <c r="E840" s="193" t="s">
        <v>545</v>
      </c>
      <c r="F840" s="196">
        <v>475</v>
      </c>
      <c r="G840" s="194">
        <v>0.02</v>
      </c>
      <c r="H840" s="195">
        <v>9.5</v>
      </c>
      <c r="I840" s="193" t="s">
        <v>541</v>
      </c>
    </row>
    <row r="841" spans="1:9" x14ac:dyDescent="0.25">
      <c r="A841" s="193" t="s">
        <v>220</v>
      </c>
      <c r="B841" s="193" t="s">
        <v>588</v>
      </c>
      <c r="C841" s="193" t="s">
        <v>1579</v>
      </c>
      <c r="D841" s="193" t="s">
        <v>1580</v>
      </c>
      <c r="E841" s="193" t="s">
        <v>545</v>
      </c>
      <c r="F841" s="196">
        <v>700</v>
      </c>
      <c r="G841" s="194">
        <v>0.02</v>
      </c>
      <c r="H841" s="195">
        <v>14</v>
      </c>
      <c r="I841" s="193" t="s">
        <v>541</v>
      </c>
    </row>
    <row r="842" spans="1:9" x14ac:dyDescent="0.25">
      <c r="A842" s="193" t="s">
        <v>220</v>
      </c>
      <c r="B842" s="193" t="s">
        <v>588</v>
      </c>
      <c r="C842" s="193" t="s">
        <v>1581</v>
      </c>
      <c r="D842" s="193" t="s">
        <v>1582</v>
      </c>
      <c r="E842" s="193" t="s">
        <v>545</v>
      </c>
      <c r="F842" s="196">
        <v>1500</v>
      </c>
      <c r="G842" s="194">
        <v>0.1</v>
      </c>
      <c r="H842" s="195">
        <v>150</v>
      </c>
      <c r="I842" s="193" t="s">
        <v>541</v>
      </c>
    </row>
    <row r="843" spans="1:9" x14ac:dyDescent="0.25">
      <c r="A843" s="193" t="s">
        <v>220</v>
      </c>
      <c r="B843" s="193" t="s">
        <v>588</v>
      </c>
      <c r="C843" s="193" t="s">
        <v>1583</v>
      </c>
      <c r="D843" s="193" t="s">
        <v>1584</v>
      </c>
      <c r="E843" s="193" t="s">
        <v>545</v>
      </c>
      <c r="F843" s="196">
        <v>800</v>
      </c>
      <c r="G843" s="194">
        <v>0.5</v>
      </c>
      <c r="H843" s="195">
        <v>400</v>
      </c>
      <c r="I843" s="193" t="s">
        <v>541</v>
      </c>
    </row>
    <row r="844" spans="1:9" x14ac:dyDescent="0.25">
      <c r="A844" s="193" t="s">
        <v>220</v>
      </c>
      <c r="B844" s="193" t="s">
        <v>588</v>
      </c>
      <c r="C844" s="193" t="s">
        <v>1585</v>
      </c>
      <c r="D844" s="193" t="s">
        <v>1586</v>
      </c>
      <c r="E844" s="193" t="s">
        <v>545</v>
      </c>
      <c r="F844" s="196">
        <v>500</v>
      </c>
      <c r="G844" s="194">
        <v>7.3804819277108427E-2</v>
      </c>
      <c r="H844" s="195">
        <v>36.902409638554211</v>
      </c>
      <c r="I844" s="193" t="s">
        <v>541</v>
      </c>
    </row>
    <row r="845" spans="1:9" x14ac:dyDescent="0.25">
      <c r="A845" s="193" t="s">
        <v>220</v>
      </c>
      <c r="B845" s="193" t="s">
        <v>588</v>
      </c>
      <c r="C845" s="193" t="s">
        <v>1587</v>
      </c>
      <c r="D845" s="193" t="s">
        <v>1588</v>
      </c>
      <c r="E845" s="193" t="s">
        <v>545</v>
      </c>
      <c r="F845" s="196">
        <v>2000</v>
      </c>
      <c r="G845" s="194">
        <v>0.19261557329462989</v>
      </c>
      <c r="H845" s="195">
        <v>385.23114658925977</v>
      </c>
      <c r="I845" s="193" t="s">
        <v>541</v>
      </c>
    </row>
    <row r="846" spans="1:9" x14ac:dyDescent="0.25">
      <c r="A846" s="193" t="s">
        <v>220</v>
      </c>
      <c r="B846" s="193" t="s">
        <v>588</v>
      </c>
      <c r="C846" s="193" t="s">
        <v>1589</v>
      </c>
      <c r="D846" s="193" t="s">
        <v>1590</v>
      </c>
      <c r="E846" s="193" t="s">
        <v>545</v>
      </c>
      <c r="F846" s="196">
        <v>3700</v>
      </c>
      <c r="G846" s="194">
        <v>0.16409220779220779</v>
      </c>
      <c r="H846" s="195">
        <v>607.14116883116878</v>
      </c>
      <c r="I846" s="193" t="s">
        <v>541</v>
      </c>
    </row>
    <row r="847" spans="1:9" x14ac:dyDescent="0.25">
      <c r="A847" s="193" t="s">
        <v>220</v>
      </c>
      <c r="B847" s="193" t="s">
        <v>588</v>
      </c>
      <c r="C847" s="193" t="s">
        <v>1591</v>
      </c>
      <c r="D847" s="193" t="s">
        <v>1592</v>
      </c>
      <c r="E847" s="193" t="s">
        <v>545</v>
      </c>
      <c r="F847" s="196">
        <v>2500</v>
      </c>
      <c r="G847" s="194">
        <v>6.239999999999999E-2</v>
      </c>
      <c r="H847" s="195">
        <v>155.99999999999997</v>
      </c>
      <c r="I847" s="193" t="s">
        <v>541</v>
      </c>
    </row>
    <row r="848" spans="1:9" x14ac:dyDescent="0.25">
      <c r="A848" s="193" t="s">
        <v>220</v>
      </c>
      <c r="B848" s="193" t="s">
        <v>588</v>
      </c>
      <c r="C848" s="193" t="s">
        <v>1593</v>
      </c>
      <c r="D848" s="193" t="s">
        <v>1594</v>
      </c>
      <c r="E848" s="193" t="s">
        <v>545</v>
      </c>
      <c r="F848" s="196">
        <v>7700</v>
      </c>
      <c r="G848" s="194">
        <v>0.14368813320825516</v>
      </c>
      <c r="H848" s="195">
        <v>1106.3986257035647</v>
      </c>
      <c r="I848" s="193" t="s">
        <v>541</v>
      </c>
    </row>
    <row r="849" spans="1:9" x14ac:dyDescent="0.25">
      <c r="A849" s="193" t="s">
        <v>220</v>
      </c>
      <c r="B849" s="193" t="s">
        <v>588</v>
      </c>
      <c r="C849" s="193" t="s">
        <v>1595</v>
      </c>
      <c r="D849" s="193" t="s">
        <v>1596</v>
      </c>
      <c r="E849" s="193" t="s">
        <v>545</v>
      </c>
      <c r="F849" s="196">
        <v>2000</v>
      </c>
      <c r="G849" s="194">
        <v>0.18179999999999999</v>
      </c>
      <c r="H849" s="195">
        <v>363.59999999999997</v>
      </c>
      <c r="I849" s="193" t="s">
        <v>541</v>
      </c>
    </row>
    <row r="850" spans="1:9" x14ac:dyDescent="0.25">
      <c r="A850" s="193" t="s">
        <v>220</v>
      </c>
      <c r="B850" s="193" t="s">
        <v>588</v>
      </c>
      <c r="C850" s="193" t="s">
        <v>1597</v>
      </c>
      <c r="D850" s="193" t="s">
        <v>1598</v>
      </c>
      <c r="E850" s="193" t="s">
        <v>545</v>
      </c>
      <c r="F850" s="196">
        <v>2000</v>
      </c>
      <c r="G850" s="194">
        <v>7.648421052631578E-2</v>
      </c>
      <c r="H850" s="195">
        <v>152.96842105263156</v>
      </c>
      <c r="I850" s="193" t="s">
        <v>541</v>
      </c>
    </row>
    <row r="851" spans="1:9" x14ac:dyDescent="0.25">
      <c r="A851" s="193" t="s">
        <v>220</v>
      </c>
      <c r="B851" s="193" t="s">
        <v>588</v>
      </c>
      <c r="C851" s="193" t="s">
        <v>1599</v>
      </c>
      <c r="D851" s="193" t="s">
        <v>1600</v>
      </c>
      <c r="E851" s="193" t="s">
        <v>545</v>
      </c>
      <c r="F851" s="196">
        <v>1000</v>
      </c>
      <c r="G851" s="194">
        <v>3.6799999999999999E-2</v>
      </c>
      <c r="H851" s="195">
        <v>36.799999999999997</v>
      </c>
      <c r="I851" s="193" t="s">
        <v>541</v>
      </c>
    </row>
    <row r="852" spans="1:9" x14ac:dyDescent="0.25">
      <c r="A852" s="193" t="s">
        <v>220</v>
      </c>
      <c r="B852" s="193" t="s">
        <v>588</v>
      </c>
      <c r="C852" s="193" t="s">
        <v>1601</v>
      </c>
      <c r="D852" s="193" t="s">
        <v>1602</v>
      </c>
      <c r="E852" s="193" t="s">
        <v>545</v>
      </c>
      <c r="F852" s="196">
        <v>3000</v>
      </c>
      <c r="G852" s="194">
        <v>0.24112265193370169</v>
      </c>
      <c r="H852" s="195">
        <v>723.36795580110504</v>
      </c>
      <c r="I852" s="193" t="s">
        <v>541</v>
      </c>
    </row>
    <row r="853" spans="1:9" x14ac:dyDescent="0.25">
      <c r="A853" s="193" t="s">
        <v>220</v>
      </c>
      <c r="B853" s="193" t="s">
        <v>588</v>
      </c>
      <c r="C853" s="193" t="s">
        <v>1603</v>
      </c>
      <c r="D853" s="193" t="s">
        <v>1604</v>
      </c>
      <c r="E853" s="193" t="s">
        <v>545</v>
      </c>
      <c r="F853" s="196">
        <v>1500</v>
      </c>
      <c r="G853" s="194">
        <v>0.217</v>
      </c>
      <c r="H853" s="195">
        <v>325.5</v>
      </c>
      <c r="I853" s="193" t="s">
        <v>541</v>
      </c>
    </row>
    <row r="854" spans="1:9" x14ac:dyDescent="0.25">
      <c r="A854" s="193" t="s">
        <v>220</v>
      </c>
      <c r="B854" s="193" t="s">
        <v>588</v>
      </c>
      <c r="C854" s="193" t="s">
        <v>1605</v>
      </c>
      <c r="D854" s="193" t="s">
        <v>1606</v>
      </c>
      <c r="E854" s="193" t="s">
        <v>545</v>
      </c>
      <c r="F854" s="196">
        <v>3700</v>
      </c>
      <c r="G854" s="194">
        <v>0.24612894736842103</v>
      </c>
      <c r="H854" s="195">
        <v>910.67710526315784</v>
      </c>
      <c r="I854" s="193" t="s">
        <v>541</v>
      </c>
    </row>
    <row r="855" spans="1:9" x14ac:dyDescent="0.25">
      <c r="A855" s="193" t="s">
        <v>220</v>
      </c>
      <c r="B855" s="193" t="s">
        <v>588</v>
      </c>
      <c r="C855" s="193" t="s">
        <v>1607</v>
      </c>
      <c r="D855" s="193" t="s">
        <v>1608</v>
      </c>
      <c r="E855" s="193" t="s">
        <v>545</v>
      </c>
      <c r="F855" s="196">
        <v>500</v>
      </c>
      <c r="G855" s="194">
        <v>0.221</v>
      </c>
      <c r="H855" s="195">
        <v>110.5</v>
      </c>
      <c r="I855" s="193" t="s">
        <v>541</v>
      </c>
    </row>
    <row r="856" spans="1:9" x14ac:dyDescent="0.25">
      <c r="A856" s="193" t="s">
        <v>220</v>
      </c>
      <c r="B856" s="193" t="s">
        <v>588</v>
      </c>
      <c r="C856" s="193" t="s">
        <v>1609</v>
      </c>
      <c r="D856" s="193" t="s">
        <v>1610</v>
      </c>
      <c r="E856" s="193" t="s">
        <v>545</v>
      </c>
      <c r="F856" s="196">
        <v>3000</v>
      </c>
      <c r="G856" s="194">
        <v>0.15185128205128204</v>
      </c>
      <c r="H856" s="195">
        <v>455.55384615384611</v>
      </c>
      <c r="I856" s="193" t="s">
        <v>541</v>
      </c>
    </row>
    <row r="857" spans="1:9" x14ac:dyDescent="0.25">
      <c r="A857" s="193" t="s">
        <v>220</v>
      </c>
      <c r="B857" s="193" t="s">
        <v>588</v>
      </c>
      <c r="C857" s="193" t="s">
        <v>1611</v>
      </c>
      <c r="D857" s="193" t="s">
        <v>1612</v>
      </c>
      <c r="E857" s="193" t="s">
        <v>545</v>
      </c>
      <c r="F857" s="196">
        <v>1000</v>
      </c>
      <c r="G857" s="194">
        <v>0.5</v>
      </c>
      <c r="H857" s="195">
        <v>500</v>
      </c>
      <c r="I857" s="193" t="s">
        <v>541</v>
      </c>
    </row>
    <row r="858" spans="1:9" x14ac:dyDescent="0.25">
      <c r="A858" s="193" t="s">
        <v>220</v>
      </c>
      <c r="B858" s="193" t="s">
        <v>588</v>
      </c>
      <c r="C858" s="193" t="s">
        <v>1613</v>
      </c>
      <c r="D858" s="193" t="s">
        <v>1614</v>
      </c>
      <c r="E858" s="193" t="s">
        <v>545</v>
      </c>
      <c r="F858" s="196">
        <v>5200</v>
      </c>
      <c r="G858" s="194">
        <v>0.15802043257091605</v>
      </c>
      <c r="H858" s="195">
        <v>821.70624936876345</v>
      </c>
      <c r="I858" s="193" t="s">
        <v>541</v>
      </c>
    </row>
    <row r="859" spans="1:9" x14ac:dyDescent="0.25">
      <c r="A859" s="193" t="s">
        <v>220</v>
      </c>
      <c r="B859" s="193" t="s">
        <v>588</v>
      </c>
      <c r="C859" s="193" t="s">
        <v>1615</v>
      </c>
      <c r="D859" s="193" t="s">
        <v>1616</v>
      </c>
      <c r="E859" s="193" t="s">
        <v>545</v>
      </c>
      <c r="F859" s="196">
        <v>9600</v>
      </c>
      <c r="G859" s="194">
        <v>0.159</v>
      </c>
      <c r="H859" s="195">
        <v>1526.4</v>
      </c>
      <c r="I859" s="193" t="s">
        <v>541</v>
      </c>
    </row>
    <row r="860" spans="1:9" x14ac:dyDescent="0.25">
      <c r="A860" s="193" t="s">
        <v>220</v>
      </c>
      <c r="B860" s="193" t="s">
        <v>588</v>
      </c>
      <c r="C860" s="193" t="s">
        <v>1617</v>
      </c>
      <c r="D860" s="193" t="s">
        <v>1618</v>
      </c>
      <c r="E860" s="193" t="s">
        <v>545</v>
      </c>
      <c r="F860" s="196">
        <v>3200</v>
      </c>
      <c r="G860" s="194">
        <v>0.18179999999999999</v>
      </c>
      <c r="H860" s="195">
        <v>581.76</v>
      </c>
      <c r="I860" s="193" t="s">
        <v>541</v>
      </c>
    </row>
    <row r="861" spans="1:9" x14ac:dyDescent="0.25">
      <c r="A861" s="193" t="s">
        <v>220</v>
      </c>
      <c r="B861" s="193" t="s">
        <v>588</v>
      </c>
      <c r="C861" s="193" t="s">
        <v>1619</v>
      </c>
      <c r="D861" s="193" t="s">
        <v>1620</v>
      </c>
      <c r="E861" s="193" t="s">
        <v>545</v>
      </c>
      <c r="F861" s="196">
        <v>7000</v>
      </c>
      <c r="G861" s="194">
        <v>6.565E-2</v>
      </c>
      <c r="H861" s="195">
        <v>459.55</v>
      </c>
      <c r="I861" s="193" t="s">
        <v>541</v>
      </c>
    </row>
    <row r="862" spans="1:9" x14ac:dyDescent="0.25">
      <c r="A862" s="193" t="s">
        <v>220</v>
      </c>
      <c r="B862" s="193" t="s">
        <v>588</v>
      </c>
      <c r="C862" s="193" t="s">
        <v>1621</v>
      </c>
      <c r="D862" s="193" t="s">
        <v>1622</v>
      </c>
      <c r="E862" s="193" t="s">
        <v>545</v>
      </c>
      <c r="F862" s="196">
        <v>1000</v>
      </c>
      <c r="G862" s="194">
        <v>0.2224008620689655</v>
      </c>
      <c r="H862" s="195">
        <v>222.40086206896549</v>
      </c>
      <c r="I862" s="193" t="s">
        <v>541</v>
      </c>
    </row>
    <row r="863" spans="1:9" x14ac:dyDescent="0.25">
      <c r="A863" s="193" t="s">
        <v>220</v>
      </c>
      <c r="B863" s="193" t="s">
        <v>588</v>
      </c>
      <c r="C863" s="193" t="s">
        <v>1623</v>
      </c>
      <c r="D863" s="193" t="s">
        <v>1624</v>
      </c>
      <c r="E863" s="193" t="s">
        <v>545</v>
      </c>
      <c r="F863" s="196">
        <v>1000</v>
      </c>
      <c r="G863" s="194">
        <v>0.221</v>
      </c>
      <c r="H863" s="195">
        <v>221</v>
      </c>
      <c r="I863" s="193" t="s">
        <v>541</v>
      </c>
    </row>
    <row r="864" spans="1:9" x14ac:dyDescent="0.25">
      <c r="A864" s="193" t="s">
        <v>220</v>
      </c>
      <c r="B864" s="193" t="s">
        <v>588</v>
      </c>
      <c r="C864" s="193" t="s">
        <v>1625</v>
      </c>
      <c r="D864" s="193" t="s">
        <v>1626</v>
      </c>
      <c r="E864" s="193" t="s">
        <v>545</v>
      </c>
      <c r="F864" s="196">
        <v>2100</v>
      </c>
      <c r="G864" s="194">
        <v>0.22500000000000001</v>
      </c>
      <c r="H864" s="195">
        <v>472.5</v>
      </c>
      <c r="I864" s="193" t="s">
        <v>541</v>
      </c>
    </row>
    <row r="865" spans="1:9" x14ac:dyDescent="0.25">
      <c r="A865" s="193" t="s">
        <v>220</v>
      </c>
      <c r="B865" s="193" t="s">
        <v>588</v>
      </c>
      <c r="C865" s="193" t="s">
        <v>1627</v>
      </c>
      <c r="D865" s="193" t="s">
        <v>1628</v>
      </c>
      <c r="E865" s="193" t="s">
        <v>545</v>
      </c>
      <c r="F865" s="196">
        <v>3500</v>
      </c>
      <c r="G865" s="194">
        <v>0.24947</v>
      </c>
      <c r="H865" s="195">
        <v>873.14499999999998</v>
      </c>
      <c r="I865" s="193" t="s">
        <v>541</v>
      </c>
    </row>
    <row r="866" spans="1:9" x14ac:dyDescent="0.25">
      <c r="A866" s="193" t="s">
        <v>220</v>
      </c>
      <c r="B866" s="193" t="s">
        <v>588</v>
      </c>
      <c r="C866" s="193" t="s">
        <v>1629</v>
      </c>
      <c r="D866" s="193" t="s">
        <v>1630</v>
      </c>
      <c r="E866" s="193" t="s">
        <v>545</v>
      </c>
      <c r="F866" s="196">
        <v>500</v>
      </c>
      <c r="G866" s="194">
        <v>5.8000000000000003E-2</v>
      </c>
      <c r="H866" s="195">
        <v>29</v>
      </c>
      <c r="I866" s="193" t="s">
        <v>541</v>
      </c>
    </row>
    <row r="867" spans="1:9" x14ac:dyDescent="0.25">
      <c r="A867" s="193" t="s">
        <v>220</v>
      </c>
      <c r="B867" s="193" t="s">
        <v>588</v>
      </c>
      <c r="C867" s="193" t="s">
        <v>1631</v>
      </c>
      <c r="D867" s="193" t="s">
        <v>1632</v>
      </c>
      <c r="E867" s="193" t="s">
        <v>545</v>
      </c>
      <c r="F867" s="196">
        <v>2200</v>
      </c>
      <c r="G867" s="194">
        <v>9.6559444444444448E-2</v>
      </c>
      <c r="H867" s="195">
        <v>212.43077777777779</v>
      </c>
      <c r="I867" s="193" t="s">
        <v>541</v>
      </c>
    </row>
    <row r="868" spans="1:9" x14ac:dyDescent="0.25">
      <c r="A868" s="193" t="s">
        <v>220</v>
      </c>
      <c r="B868" s="193" t="s">
        <v>588</v>
      </c>
      <c r="C868" s="193" t="s">
        <v>1633</v>
      </c>
      <c r="D868" s="193" t="s">
        <v>1634</v>
      </c>
      <c r="E868" s="193" t="s">
        <v>545</v>
      </c>
      <c r="F868" s="196">
        <v>2000</v>
      </c>
      <c r="G868" s="194">
        <v>0.18596489361702126</v>
      </c>
      <c r="H868" s="195">
        <v>371.92978723404252</v>
      </c>
      <c r="I868" s="193" t="s">
        <v>541</v>
      </c>
    </row>
    <row r="869" spans="1:9" x14ac:dyDescent="0.25">
      <c r="A869" s="193" t="s">
        <v>220</v>
      </c>
      <c r="B869" s="193" t="s">
        <v>588</v>
      </c>
      <c r="C869" s="193" t="s">
        <v>1635</v>
      </c>
      <c r="D869" s="193" t="s">
        <v>1636</v>
      </c>
      <c r="E869" s="193" t="s">
        <v>545</v>
      </c>
      <c r="F869" s="196">
        <v>2000</v>
      </c>
      <c r="G869" s="194">
        <v>0.22049999999999997</v>
      </c>
      <c r="H869" s="195">
        <v>440.99999999999994</v>
      </c>
      <c r="I869" s="193" t="s">
        <v>541</v>
      </c>
    </row>
    <row r="870" spans="1:9" x14ac:dyDescent="0.25">
      <c r="A870" s="193" t="s">
        <v>220</v>
      </c>
      <c r="B870" s="193" t="s">
        <v>588</v>
      </c>
      <c r="C870" s="193" t="s">
        <v>1637</v>
      </c>
      <c r="D870" s="193" t="s">
        <v>1638</v>
      </c>
      <c r="E870" s="193" t="s">
        <v>545</v>
      </c>
      <c r="F870" s="196">
        <v>3500</v>
      </c>
      <c r="G870" s="194">
        <v>0.21712999999999993</v>
      </c>
      <c r="H870" s="195">
        <v>759.95499999999981</v>
      </c>
      <c r="I870" s="193" t="s">
        <v>541</v>
      </c>
    </row>
    <row r="871" spans="1:9" x14ac:dyDescent="0.25">
      <c r="A871" s="193" t="s">
        <v>220</v>
      </c>
      <c r="B871" s="193" t="s">
        <v>588</v>
      </c>
      <c r="C871" s="193" t="s">
        <v>1639</v>
      </c>
      <c r="D871" s="193" t="s">
        <v>1640</v>
      </c>
      <c r="E871" s="193" t="s">
        <v>545</v>
      </c>
      <c r="F871" s="196">
        <v>2000</v>
      </c>
      <c r="G871" s="194">
        <v>0.10500000000000001</v>
      </c>
      <c r="H871" s="195">
        <v>210.00000000000003</v>
      </c>
      <c r="I871" s="193" t="s">
        <v>541</v>
      </c>
    </row>
    <row r="872" spans="1:9" x14ac:dyDescent="0.25">
      <c r="A872" s="193" t="s">
        <v>220</v>
      </c>
      <c r="B872" s="193" t="s">
        <v>588</v>
      </c>
      <c r="C872" s="193" t="s">
        <v>1641</v>
      </c>
      <c r="D872" s="193" t="s">
        <v>1642</v>
      </c>
      <c r="E872" s="193" t="s">
        <v>545</v>
      </c>
      <c r="F872" s="196">
        <v>2500</v>
      </c>
      <c r="G872" s="194">
        <v>0.21358551020408162</v>
      </c>
      <c r="H872" s="195">
        <v>533.96377551020407</v>
      </c>
      <c r="I872" s="193" t="s">
        <v>541</v>
      </c>
    </row>
    <row r="873" spans="1:9" x14ac:dyDescent="0.25">
      <c r="A873" s="193" t="s">
        <v>220</v>
      </c>
      <c r="B873" s="193" t="s">
        <v>588</v>
      </c>
      <c r="C873" s="193" t="s">
        <v>1643</v>
      </c>
      <c r="D873" s="193" t="s">
        <v>1644</v>
      </c>
      <c r="E873" s="193" t="s">
        <v>545</v>
      </c>
      <c r="F873" s="196">
        <v>2000</v>
      </c>
      <c r="G873" s="194">
        <v>0.155</v>
      </c>
      <c r="H873" s="195">
        <v>310</v>
      </c>
      <c r="I873" s="193" t="s">
        <v>541</v>
      </c>
    </row>
    <row r="874" spans="1:9" x14ac:dyDescent="0.25">
      <c r="A874" s="193" t="s">
        <v>220</v>
      </c>
      <c r="B874" s="193" t="s">
        <v>588</v>
      </c>
      <c r="C874" s="193" t="s">
        <v>1645</v>
      </c>
      <c r="D874" s="193" t="s">
        <v>1646</v>
      </c>
      <c r="E874" s="193" t="s">
        <v>545</v>
      </c>
      <c r="F874" s="196">
        <v>500</v>
      </c>
      <c r="G874" s="194">
        <v>6.720000000000001E-2</v>
      </c>
      <c r="H874" s="195">
        <v>33.6</v>
      </c>
      <c r="I874" s="193" t="s">
        <v>541</v>
      </c>
    </row>
    <row r="875" spans="1:9" x14ac:dyDescent="0.25">
      <c r="A875" s="193" t="s">
        <v>220</v>
      </c>
      <c r="B875" s="193" t="s">
        <v>588</v>
      </c>
      <c r="C875" s="193" t="s">
        <v>1647</v>
      </c>
      <c r="D875" s="193" t="s">
        <v>1648</v>
      </c>
      <c r="E875" s="193" t="s">
        <v>545</v>
      </c>
      <c r="F875" s="196">
        <v>3000</v>
      </c>
      <c r="G875" s="194">
        <v>3.0720000000000004E-2</v>
      </c>
      <c r="H875" s="195">
        <v>92.160000000000011</v>
      </c>
      <c r="I875" s="193" t="s">
        <v>541</v>
      </c>
    </row>
    <row r="876" spans="1:9" x14ac:dyDescent="0.25">
      <c r="A876" s="193" t="s">
        <v>220</v>
      </c>
      <c r="B876" s="193" t="s">
        <v>588</v>
      </c>
      <c r="C876" s="193" t="s">
        <v>1649</v>
      </c>
      <c r="D876" s="193" t="s">
        <v>1650</v>
      </c>
      <c r="E876" s="193" t="s">
        <v>545</v>
      </c>
      <c r="F876" s="196">
        <v>1000</v>
      </c>
      <c r="G876" s="194">
        <v>3.5000000000000003E-2</v>
      </c>
      <c r="H876" s="195">
        <v>35</v>
      </c>
      <c r="I876" s="193" t="s">
        <v>541</v>
      </c>
    </row>
    <row r="877" spans="1:9" x14ac:dyDescent="0.25">
      <c r="A877" s="193" t="s">
        <v>220</v>
      </c>
      <c r="B877" s="193" t="s">
        <v>588</v>
      </c>
      <c r="C877" s="193" t="s">
        <v>1651</v>
      </c>
      <c r="D877" s="193" t="s">
        <v>1652</v>
      </c>
      <c r="E877" s="193" t="s">
        <v>545</v>
      </c>
      <c r="F877" s="196">
        <v>3000</v>
      </c>
      <c r="G877" s="194">
        <v>6.720000000000001E-2</v>
      </c>
      <c r="H877" s="195">
        <v>201.60000000000002</v>
      </c>
      <c r="I877" s="193" t="s">
        <v>541</v>
      </c>
    </row>
    <row r="878" spans="1:9" x14ac:dyDescent="0.25">
      <c r="A878" s="193" t="s">
        <v>220</v>
      </c>
      <c r="B878" s="193" t="s">
        <v>588</v>
      </c>
      <c r="C878" s="193" t="s">
        <v>1653</v>
      </c>
      <c r="D878" s="193" t="s">
        <v>1654</v>
      </c>
      <c r="E878" s="193" t="s">
        <v>545</v>
      </c>
      <c r="F878" s="196">
        <v>4000</v>
      </c>
      <c r="G878" s="194">
        <v>0.228495</v>
      </c>
      <c r="H878" s="195">
        <v>913.98</v>
      </c>
      <c r="I878" s="193" t="s">
        <v>541</v>
      </c>
    </row>
    <row r="879" spans="1:9" x14ac:dyDescent="0.25">
      <c r="A879" s="193" t="s">
        <v>220</v>
      </c>
      <c r="B879" s="193" t="s">
        <v>588</v>
      </c>
      <c r="C879" s="193" t="s">
        <v>1655</v>
      </c>
      <c r="D879" s="193" t="s">
        <v>1656</v>
      </c>
      <c r="E879" s="193" t="s">
        <v>545</v>
      </c>
      <c r="F879" s="196">
        <v>1000</v>
      </c>
      <c r="G879" s="194">
        <v>0.14879999999999999</v>
      </c>
      <c r="H879" s="195">
        <v>148.79999999999998</v>
      </c>
      <c r="I879" s="193" t="s">
        <v>541</v>
      </c>
    </row>
    <row r="880" spans="1:9" x14ac:dyDescent="0.25">
      <c r="A880" s="193" t="s">
        <v>220</v>
      </c>
      <c r="B880" s="193" t="s">
        <v>588</v>
      </c>
      <c r="C880" s="193" t="s">
        <v>1657</v>
      </c>
      <c r="D880" s="193" t="s">
        <v>1658</v>
      </c>
      <c r="E880" s="193" t="s">
        <v>545</v>
      </c>
      <c r="F880" s="196">
        <v>3300</v>
      </c>
      <c r="G880" s="194">
        <v>0.1515</v>
      </c>
      <c r="H880" s="195">
        <v>499.95</v>
      </c>
      <c r="I880" s="193" t="s">
        <v>541</v>
      </c>
    </row>
    <row r="881" spans="1:9" x14ac:dyDescent="0.25">
      <c r="A881" s="193" t="s">
        <v>220</v>
      </c>
      <c r="B881" s="193" t="s">
        <v>588</v>
      </c>
      <c r="C881" s="193" t="s">
        <v>1659</v>
      </c>
      <c r="D881" s="193" t="s">
        <v>1660</v>
      </c>
      <c r="E881" s="193" t="s">
        <v>545</v>
      </c>
      <c r="F881" s="196">
        <v>1500</v>
      </c>
      <c r="G881" s="194">
        <v>3.3600000000000005E-2</v>
      </c>
      <c r="H881" s="195">
        <v>50.400000000000006</v>
      </c>
      <c r="I881" s="193" t="s">
        <v>541</v>
      </c>
    </row>
    <row r="882" spans="1:9" x14ac:dyDescent="0.25">
      <c r="A882" s="193" t="s">
        <v>220</v>
      </c>
      <c r="B882" s="193" t="s">
        <v>588</v>
      </c>
      <c r="C882" s="193" t="s">
        <v>1661</v>
      </c>
      <c r="D882" s="193" t="s">
        <v>1662</v>
      </c>
      <c r="E882" s="193" t="s">
        <v>545</v>
      </c>
      <c r="F882" s="196">
        <v>1000</v>
      </c>
      <c r="G882" s="194">
        <v>0.20316491228070174</v>
      </c>
      <c r="H882" s="195">
        <v>203.16491228070174</v>
      </c>
      <c r="I882" s="193" t="s">
        <v>541</v>
      </c>
    </row>
    <row r="883" spans="1:9" x14ac:dyDescent="0.25">
      <c r="A883" s="193" t="s">
        <v>220</v>
      </c>
      <c r="B883" s="193" t="s">
        <v>588</v>
      </c>
      <c r="C883" s="193" t="s">
        <v>1663</v>
      </c>
      <c r="D883" s="193" t="s">
        <v>1664</v>
      </c>
      <c r="E883" s="193" t="s">
        <v>545</v>
      </c>
      <c r="F883" s="196">
        <v>3400</v>
      </c>
      <c r="G883" s="194">
        <v>9.6687558107738575E-2</v>
      </c>
      <c r="H883" s="195">
        <v>328.73769756631117</v>
      </c>
      <c r="I883" s="193" t="s">
        <v>541</v>
      </c>
    </row>
    <row r="884" spans="1:9" x14ac:dyDescent="0.25">
      <c r="A884" s="193" t="s">
        <v>220</v>
      </c>
      <c r="B884" s="193" t="s">
        <v>588</v>
      </c>
      <c r="C884" s="193" t="s">
        <v>1665</v>
      </c>
      <c r="D884" s="193" t="s">
        <v>1666</v>
      </c>
      <c r="E884" s="193" t="s">
        <v>545</v>
      </c>
      <c r="F884" s="196">
        <v>2500</v>
      </c>
      <c r="G884" s="194">
        <v>0.216</v>
      </c>
      <c r="H884" s="195">
        <v>540</v>
      </c>
      <c r="I884" s="193" t="s">
        <v>541</v>
      </c>
    </row>
    <row r="885" spans="1:9" x14ac:dyDescent="0.25">
      <c r="A885" s="193" t="s">
        <v>220</v>
      </c>
      <c r="B885" s="193" t="s">
        <v>588</v>
      </c>
      <c r="C885" s="193" t="s">
        <v>1667</v>
      </c>
      <c r="D885" s="193" t="s">
        <v>1668</v>
      </c>
      <c r="E885" s="193" t="s">
        <v>545</v>
      </c>
      <c r="F885" s="196">
        <v>3500</v>
      </c>
      <c r="G885" s="194">
        <v>0.25755</v>
      </c>
      <c r="H885" s="195">
        <v>901.42499999999995</v>
      </c>
      <c r="I885" s="193" t="s">
        <v>541</v>
      </c>
    </row>
    <row r="886" spans="1:9" x14ac:dyDescent="0.25">
      <c r="A886" s="193" t="s">
        <v>220</v>
      </c>
      <c r="B886" s="193" t="s">
        <v>588</v>
      </c>
      <c r="C886" s="193" t="s">
        <v>1669</v>
      </c>
      <c r="D886" s="193" t="s">
        <v>1670</v>
      </c>
      <c r="E886" s="193" t="s">
        <v>545</v>
      </c>
      <c r="F886" s="196">
        <v>3300</v>
      </c>
      <c r="G886" s="194">
        <v>0.29289999999999999</v>
      </c>
      <c r="H886" s="195">
        <v>966.56999999999994</v>
      </c>
      <c r="I886" s="193" t="s">
        <v>541</v>
      </c>
    </row>
    <row r="887" spans="1:9" x14ac:dyDescent="0.25">
      <c r="A887" s="193" t="s">
        <v>220</v>
      </c>
      <c r="B887" s="193" t="s">
        <v>588</v>
      </c>
      <c r="C887" s="193" t="s">
        <v>1671</v>
      </c>
      <c r="D887" s="193" t="s">
        <v>1672</v>
      </c>
      <c r="E887" s="193" t="s">
        <v>545</v>
      </c>
      <c r="F887" s="196">
        <v>2500</v>
      </c>
      <c r="G887" s="194">
        <v>0.25755</v>
      </c>
      <c r="H887" s="195">
        <v>643.875</v>
      </c>
      <c r="I887" s="193" t="s">
        <v>541</v>
      </c>
    </row>
    <row r="888" spans="1:9" x14ac:dyDescent="0.25">
      <c r="A888" s="193" t="s">
        <v>220</v>
      </c>
      <c r="B888" s="193" t="s">
        <v>588</v>
      </c>
      <c r="C888" s="193" t="s">
        <v>1673</v>
      </c>
      <c r="D888" s="193" t="s">
        <v>1674</v>
      </c>
      <c r="E888" s="193" t="s">
        <v>545</v>
      </c>
      <c r="F888" s="196">
        <v>3000</v>
      </c>
      <c r="G888" s="194">
        <v>0.29289999999999999</v>
      </c>
      <c r="H888" s="195">
        <v>878.69999999999993</v>
      </c>
      <c r="I888" s="193" t="s">
        <v>541</v>
      </c>
    </row>
    <row r="889" spans="1:9" x14ac:dyDescent="0.25">
      <c r="A889" s="193" t="s">
        <v>220</v>
      </c>
      <c r="B889" s="193" t="s">
        <v>588</v>
      </c>
      <c r="C889" s="193" t="s">
        <v>1675</v>
      </c>
      <c r="D889" s="193" t="s">
        <v>1676</v>
      </c>
      <c r="E889" s="193" t="s">
        <v>545</v>
      </c>
      <c r="F889" s="196">
        <v>2000</v>
      </c>
      <c r="G889" s="194">
        <v>0.20705000000000004</v>
      </c>
      <c r="H889" s="195">
        <v>414.10000000000008</v>
      </c>
      <c r="I889" s="193" t="s">
        <v>541</v>
      </c>
    </row>
    <row r="890" spans="1:9" x14ac:dyDescent="0.25">
      <c r="A890" s="193" t="s">
        <v>220</v>
      </c>
      <c r="B890" s="193" t="s">
        <v>588</v>
      </c>
      <c r="C890" s="193" t="s">
        <v>1677</v>
      </c>
      <c r="D890" s="193" t="s">
        <v>1678</v>
      </c>
      <c r="E890" s="193" t="s">
        <v>545</v>
      </c>
      <c r="F890" s="196">
        <v>3000</v>
      </c>
      <c r="G890" s="194">
        <v>0.21210000000000001</v>
      </c>
      <c r="H890" s="195">
        <v>636.30000000000007</v>
      </c>
      <c r="I890" s="193" t="s">
        <v>541</v>
      </c>
    </row>
    <row r="891" spans="1:9" x14ac:dyDescent="0.25">
      <c r="A891" s="193" t="s">
        <v>220</v>
      </c>
      <c r="B891" s="193" t="s">
        <v>588</v>
      </c>
      <c r="C891" s="193" t="s">
        <v>1679</v>
      </c>
      <c r="D891" s="193" t="s">
        <v>1680</v>
      </c>
      <c r="E891" s="193" t="s">
        <v>545</v>
      </c>
      <c r="F891" s="196">
        <v>3700</v>
      </c>
      <c r="G891" s="194">
        <v>0.20891192341166234</v>
      </c>
      <c r="H891" s="195">
        <v>772.97411662315062</v>
      </c>
      <c r="I891" s="193" t="s">
        <v>541</v>
      </c>
    </row>
    <row r="892" spans="1:9" x14ac:dyDescent="0.25">
      <c r="A892" s="193" t="s">
        <v>220</v>
      </c>
      <c r="B892" s="193" t="s">
        <v>588</v>
      </c>
      <c r="C892" s="193" t="s">
        <v>1681</v>
      </c>
      <c r="D892" s="193" t="s">
        <v>1682</v>
      </c>
      <c r="E892" s="193" t="s">
        <v>545</v>
      </c>
      <c r="F892" s="196">
        <v>2220</v>
      </c>
      <c r="G892" s="194">
        <v>0.20388062827225134</v>
      </c>
      <c r="H892" s="195">
        <v>452.61499476439798</v>
      </c>
      <c r="I892" s="193" t="s">
        <v>541</v>
      </c>
    </row>
    <row r="893" spans="1:9" x14ac:dyDescent="0.25">
      <c r="A893" s="193" t="s">
        <v>220</v>
      </c>
      <c r="B893" s="193" t="s">
        <v>588</v>
      </c>
      <c r="C893" s="193" t="s">
        <v>1683</v>
      </c>
      <c r="D893" s="193" t="s">
        <v>1684</v>
      </c>
      <c r="E893" s="193" t="s">
        <v>545</v>
      </c>
      <c r="F893" s="196">
        <v>3820</v>
      </c>
      <c r="G893" s="194">
        <v>0.18387219917012451</v>
      </c>
      <c r="H893" s="195">
        <v>702.39180082987559</v>
      </c>
      <c r="I893" s="193" t="s">
        <v>541</v>
      </c>
    </row>
    <row r="894" spans="1:9" x14ac:dyDescent="0.25">
      <c r="A894" s="193" t="s">
        <v>220</v>
      </c>
      <c r="B894" s="193" t="s">
        <v>588</v>
      </c>
      <c r="C894" s="193" t="s">
        <v>1685</v>
      </c>
      <c r="D894" s="193" t="s">
        <v>1686</v>
      </c>
      <c r="E894" s="193" t="s">
        <v>545</v>
      </c>
      <c r="F894" s="196">
        <v>21000</v>
      </c>
      <c r="G894" s="194">
        <v>0.1816888681204569</v>
      </c>
      <c r="H894" s="195">
        <v>3815.4662305295947</v>
      </c>
      <c r="I894" s="193" t="s">
        <v>541</v>
      </c>
    </row>
    <row r="895" spans="1:9" x14ac:dyDescent="0.25">
      <c r="A895" s="193" t="s">
        <v>220</v>
      </c>
      <c r="B895" s="193" t="s">
        <v>588</v>
      </c>
      <c r="C895" s="193" t="s">
        <v>1687</v>
      </c>
      <c r="D895" s="193" t="s">
        <v>1688</v>
      </c>
      <c r="E895" s="193" t="s">
        <v>545</v>
      </c>
      <c r="F895" s="196">
        <v>2850</v>
      </c>
      <c r="G895" s="194">
        <v>0.21210000000000001</v>
      </c>
      <c r="H895" s="195">
        <v>604.48500000000001</v>
      </c>
      <c r="I895" s="193" t="s">
        <v>541</v>
      </c>
    </row>
    <row r="896" spans="1:9" x14ac:dyDescent="0.25">
      <c r="A896" s="193" t="s">
        <v>220</v>
      </c>
      <c r="B896" s="193" t="s">
        <v>588</v>
      </c>
      <c r="C896" s="193" t="s">
        <v>1689</v>
      </c>
      <c r="D896" s="193" t="s">
        <v>1690</v>
      </c>
      <c r="E896" s="193" t="s">
        <v>545</v>
      </c>
      <c r="F896" s="196">
        <v>2850</v>
      </c>
      <c r="G896" s="194">
        <v>0.2828</v>
      </c>
      <c r="H896" s="195">
        <v>805.98</v>
      </c>
      <c r="I896" s="193" t="s">
        <v>541</v>
      </c>
    </row>
    <row r="897" spans="1:9" x14ac:dyDescent="0.25">
      <c r="A897" s="193" t="s">
        <v>220</v>
      </c>
      <c r="B897" s="193" t="s">
        <v>588</v>
      </c>
      <c r="C897" s="193" t="s">
        <v>1691</v>
      </c>
      <c r="D897" s="193" t="s">
        <v>1692</v>
      </c>
      <c r="E897" s="193" t="s">
        <v>545</v>
      </c>
      <c r="F897" s="196">
        <v>2850</v>
      </c>
      <c r="G897" s="194">
        <v>0.21210000000000001</v>
      </c>
      <c r="H897" s="195">
        <v>604.48500000000001</v>
      </c>
      <c r="I897" s="193" t="s">
        <v>541</v>
      </c>
    </row>
    <row r="898" spans="1:9" x14ac:dyDescent="0.25">
      <c r="A898" s="193" t="s">
        <v>220</v>
      </c>
      <c r="B898" s="193" t="s">
        <v>588</v>
      </c>
      <c r="C898" s="193" t="s">
        <v>1693</v>
      </c>
      <c r="D898" s="193" t="s">
        <v>1694</v>
      </c>
      <c r="E898" s="193" t="s">
        <v>545</v>
      </c>
      <c r="F898" s="196">
        <v>2850</v>
      </c>
      <c r="G898" s="194">
        <v>0.30299999999999999</v>
      </c>
      <c r="H898" s="195">
        <v>863.55</v>
      </c>
      <c r="I898" s="193" t="s">
        <v>541</v>
      </c>
    </row>
    <row r="899" spans="1:9" x14ac:dyDescent="0.25">
      <c r="A899" s="193" t="s">
        <v>220</v>
      </c>
      <c r="B899" s="193" t="s">
        <v>588</v>
      </c>
      <c r="C899" s="193" t="s">
        <v>1695</v>
      </c>
      <c r="D899" s="193" t="s">
        <v>1696</v>
      </c>
      <c r="E899" s="193" t="s">
        <v>545</v>
      </c>
      <c r="F899" s="196">
        <v>2850</v>
      </c>
      <c r="G899" s="194">
        <v>0.21210000000000001</v>
      </c>
      <c r="H899" s="195">
        <v>604.48500000000001</v>
      </c>
      <c r="I899" s="193" t="s">
        <v>541</v>
      </c>
    </row>
    <row r="900" spans="1:9" x14ac:dyDescent="0.25">
      <c r="A900" s="193" t="s">
        <v>220</v>
      </c>
      <c r="B900" s="193" t="s">
        <v>588</v>
      </c>
      <c r="C900" s="193" t="s">
        <v>1697</v>
      </c>
      <c r="D900" s="193" t="s">
        <v>1698</v>
      </c>
      <c r="E900" s="193" t="s">
        <v>545</v>
      </c>
      <c r="F900" s="197">
        <v>2850</v>
      </c>
      <c r="G900" s="194">
        <v>0.30299999999999999</v>
      </c>
      <c r="H900" s="195">
        <v>863.55</v>
      </c>
      <c r="I900" s="193" t="s">
        <v>541</v>
      </c>
    </row>
    <row r="901" spans="1:9" x14ac:dyDescent="0.25">
      <c r="A901" s="193" t="s">
        <v>220</v>
      </c>
      <c r="B901" s="193" t="s">
        <v>588</v>
      </c>
      <c r="C901" s="193" t="s">
        <v>1699</v>
      </c>
      <c r="D901" s="193" t="s">
        <v>1700</v>
      </c>
      <c r="E901" s="193" t="s">
        <v>545</v>
      </c>
      <c r="F901" s="196">
        <v>2200</v>
      </c>
      <c r="G901" s="194">
        <v>0.2828</v>
      </c>
      <c r="H901" s="195">
        <v>622.16</v>
      </c>
      <c r="I901" s="193" t="s">
        <v>541</v>
      </c>
    </row>
    <row r="902" spans="1:9" x14ac:dyDescent="0.25">
      <c r="A902" s="193" t="s">
        <v>220</v>
      </c>
      <c r="B902" s="193" t="s">
        <v>588</v>
      </c>
      <c r="C902" s="193" t="s">
        <v>1701</v>
      </c>
      <c r="D902" s="193" t="s">
        <v>1702</v>
      </c>
      <c r="E902" s="193" t="s">
        <v>545</v>
      </c>
      <c r="F902" s="198">
        <v>2200</v>
      </c>
      <c r="G902" s="194">
        <v>0.2828</v>
      </c>
      <c r="H902" s="195">
        <v>622.16</v>
      </c>
      <c r="I902" s="193" t="s">
        <v>541</v>
      </c>
    </row>
    <row r="903" spans="1:9" x14ac:dyDescent="0.25">
      <c r="A903" s="193" t="s">
        <v>220</v>
      </c>
      <c r="B903" s="193" t="s">
        <v>588</v>
      </c>
      <c r="C903" s="193" t="s">
        <v>1703</v>
      </c>
      <c r="D903" s="193" t="s">
        <v>1704</v>
      </c>
      <c r="E903" s="193" t="s">
        <v>545</v>
      </c>
      <c r="F903" s="196">
        <v>2500</v>
      </c>
      <c r="G903" s="194">
        <v>0.34945999999999999</v>
      </c>
      <c r="H903" s="195">
        <v>873.65</v>
      </c>
      <c r="I903" s="193" t="s">
        <v>541</v>
      </c>
    </row>
    <row r="904" spans="1:9" x14ac:dyDescent="0.25">
      <c r="A904" s="193" t="s">
        <v>220</v>
      </c>
      <c r="B904" s="193" t="s">
        <v>588</v>
      </c>
      <c r="C904" s="193" t="s">
        <v>1705</v>
      </c>
      <c r="D904" s="193" t="s">
        <v>1706</v>
      </c>
      <c r="E904" s="193" t="s">
        <v>545</v>
      </c>
      <c r="F904" s="196">
        <v>2500</v>
      </c>
      <c r="G904" s="194">
        <v>0.34945999999999999</v>
      </c>
      <c r="H904" s="195">
        <v>873.65</v>
      </c>
      <c r="I904" s="193" t="s">
        <v>541</v>
      </c>
    </row>
    <row r="905" spans="1:9" x14ac:dyDescent="0.25">
      <c r="A905" s="193" t="s">
        <v>220</v>
      </c>
      <c r="B905" s="193" t="s">
        <v>588</v>
      </c>
      <c r="C905" s="204" t="s">
        <v>1707</v>
      </c>
      <c r="D905" s="193" t="s">
        <v>1708</v>
      </c>
      <c r="E905" s="193" t="s">
        <v>545</v>
      </c>
      <c r="F905" s="196">
        <v>2250</v>
      </c>
      <c r="G905" s="194">
        <v>0.40400000000000003</v>
      </c>
      <c r="H905" s="195">
        <v>909.00000000000011</v>
      </c>
      <c r="I905" s="193" t="s">
        <v>541</v>
      </c>
    </row>
    <row r="906" spans="1:9" x14ac:dyDescent="0.25">
      <c r="A906" s="193" t="s">
        <v>220</v>
      </c>
      <c r="B906" s="193" t="s">
        <v>588</v>
      </c>
      <c r="C906" s="204" t="s">
        <v>1709</v>
      </c>
      <c r="D906" s="193" t="s">
        <v>1710</v>
      </c>
      <c r="E906" s="193" t="s">
        <v>545</v>
      </c>
      <c r="F906" s="196">
        <v>2370</v>
      </c>
      <c r="G906" s="194">
        <v>0.40400000000000003</v>
      </c>
      <c r="H906" s="195">
        <v>957.48</v>
      </c>
      <c r="I906" s="193" t="s">
        <v>541</v>
      </c>
    </row>
    <row r="907" spans="1:9" x14ac:dyDescent="0.25">
      <c r="A907" s="193" t="s">
        <v>220</v>
      </c>
      <c r="B907" s="193" t="s">
        <v>588</v>
      </c>
      <c r="C907" s="204" t="s">
        <v>1711</v>
      </c>
      <c r="D907" s="193" t="s">
        <v>1712</v>
      </c>
      <c r="E907" s="193" t="s">
        <v>545</v>
      </c>
      <c r="F907" s="196">
        <v>1870</v>
      </c>
      <c r="G907" s="194">
        <v>0.45449999999999996</v>
      </c>
      <c r="H907" s="195">
        <v>849.91499999999996</v>
      </c>
      <c r="I907" s="193" t="s">
        <v>541</v>
      </c>
    </row>
    <row r="908" spans="1:9" x14ac:dyDescent="0.25">
      <c r="A908" s="193" t="s">
        <v>220</v>
      </c>
      <c r="B908" s="193" t="s">
        <v>588</v>
      </c>
      <c r="C908" s="204" t="s">
        <v>1713</v>
      </c>
      <c r="D908" s="193" t="s">
        <v>1714</v>
      </c>
      <c r="E908" s="193" t="s">
        <v>545</v>
      </c>
      <c r="F908" s="196">
        <v>2370</v>
      </c>
      <c r="G908" s="194">
        <v>0.55549999999999999</v>
      </c>
      <c r="H908" s="195">
        <v>1316.5350000000001</v>
      </c>
      <c r="I908" s="193" t="s">
        <v>541</v>
      </c>
    </row>
    <row r="909" spans="1:9" x14ac:dyDescent="0.25">
      <c r="A909" s="193" t="s">
        <v>220</v>
      </c>
      <c r="B909" s="193" t="s">
        <v>588</v>
      </c>
      <c r="C909" s="204" t="s">
        <v>1715</v>
      </c>
      <c r="D909" s="193" t="s">
        <v>1716</v>
      </c>
      <c r="E909" s="193" t="s">
        <v>545</v>
      </c>
      <c r="F909" s="196">
        <v>1000</v>
      </c>
      <c r="G909" s="194">
        <v>0.21210000000000001</v>
      </c>
      <c r="H909" s="195">
        <v>212.10000000000002</v>
      </c>
      <c r="I909" s="193" t="s">
        <v>541</v>
      </c>
    </row>
    <row r="910" spans="1:9" x14ac:dyDescent="0.25">
      <c r="A910" s="193" t="s">
        <v>220</v>
      </c>
      <c r="B910" s="193" t="s">
        <v>588</v>
      </c>
      <c r="C910" s="204" t="s">
        <v>1717</v>
      </c>
      <c r="D910" s="193" t="s">
        <v>1718</v>
      </c>
      <c r="E910" s="193" t="s">
        <v>545</v>
      </c>
      <c r="F910" s="196">
        <v>1000</v>
      </c>
      <c r="G910" s="194">
        <v>0.35349999999999998</v>
      </c>
      <c r="H910" s="195">
        <v>353.5</v>
      </c>
      <c r="I910" s="193" t="s">
        <v>541</v>
      </c>
    </row>
    <row r="911" spans="1:9" x14ac:dyDescent="0.25">
      <c r="A911" s="193" t="s">
        <v>220</v>
      </c>
      <c r="B911" s="193" t="s">
        <v>588</v>
      </c>
      <c r="C911" s="204" t="s">
        <v>1719</v>
      </c>
      <c r="D911" s="193" t="s">
        <v>1720</v>
      </c>
      <c r="E911" s="193" t="s">
        <v>545</v>
      </c>
      <c r="F911" s="196">
        <v>1250</v>
      </c>
      <c r="G911" s="194">
        <v>0.2525</v>
      </c>
      <c r="H911" s="195">
        <v>315.625</v>
      </c>
      <c r="I911" s="193" t="s">
        <v>541</v>
      </c>
    </row>
    <row r="912" spans="1:9" x14ac:dyDescent="0.25">
      <c r="A912" s="193" t="s">
        <v>220</v>
      </c>
      <c r="B912" s="193" t="s">
        <v>588</v>
      </c>
      <c r="C912" s="204" t="s">
        <v>1721</v>
      </c>
      <c r="D912" s="193" t="s">
        <v>1722</v>
      </c>
      <c r="E912" s="193" t="s">
        <v>545</v>
      </c>
      <c r="F912" s="196">
        <v>1250</v>
      </c>
      <c r="G912" s="194">
        <v>0.43935000000000002</v>
      </c>
      <c r="H912" s="195">
        <v>549.1875</v>
      </c>
      <c r="I912" s="193" t="s">
        <v>541</v>
      </c>
    </row>
    <row r="913" spans="1:9" x14ac:dyDescent="0.25">
      <c r="A913" s="193" t="s">
        <v>220</v>
      </c>
      <c r="B913" s="193" t="s">
        <v>588</v>
      </c>
      <c r="C913" s="204" t="s">
        <v>1723</v>
      </c>
      <c r="D913" s="193" t="s">
        <v>1724</v>
      </c>
      <c r="E913" s="193" t="s">
        <v>545</v>
      </c>
      <c r="F913" s="196">
        <v>1500</v>
      </c>
      <c r="G913" s="194">
        <v>0.2525</v>
      </c>
      <c r="H913" s="195">
        <v>378.75</v>
      </c>
      <c r="I913" s="193" t="s">
        <v>541</v>
      </c>
    </row>
    <row r="914" spans="1:9" x14ac:dyDescent="0.25">
      <c r="A914" s="193" t="s">
        <v>220</v>
      </c>
      <c r="B914" s="193" t="s">
        <v>588</v>
      </c>
      <c r="C914" s="204" t="s">
        <v>1725</v>
      </c>
      <c r="D914" s="193" t="s">
        <v>1726</v>
      </c>
      <c r="E914" s="193" t="s">
        <v>545</v>
      </c>
      <c r="F914" s="196">
        <v>1500</v>
      </c>
      <c r="G914" s="194">
        <v>0.43934999999999996</v>
      </c>
      <c r="H914" s="195">
        <v>659.02499999999998</v>
      </c>
      <c r="I914" s="193" t="s">
        <v>541</v>
      </c>
    </row>
    <row r="915" spans="1:9" x14ac:dyDescent="0.25">
      <c r="A915" s="193" t="s">
        <v>220</v>
      </c>
      <c r="B915" s="193" t="s">
        <v>588</v>
      </c>
      <c r="C915" s="204" t="s">
        <v>1727</v>
      </c>
      <c r="D915" s="193" t="s">
        <v>1728</v>
      </c>
      <c r="E915" s="193" t="s">
        <v>545</v>
      </c>
      <c r="F915" s="196">
        <v>2000</v>
      </c>
      <c r="G915" s="194">
        <v>0.42925000000000002</v>
      </c>
      <c r="H915" s="195">
        <v>858.5</v>
      </c>
      <c r="I915" s="193" t="s">
        <v>541</v>
      </c>
    </row>
    <row r="916" spans="1:9" x14ac:dyDescent="0.25">
      <c r="A916" s="193" t="s">
        <v>220</v>
      </c>
      <c r="B916" s="193" t="s">
        <v>588</v>
      </c>
      <c r="C916" s="204" t="s">
        <v>1729</v>
      </c>
      <c r="D916" s="193" t="s">
        <v>1730</v>
      </c>
      <c r="E916" s="193" t="s">
        <v>545</v>
      </c>
      <c r="F916" s="196">
        <v>2000</v>
      </c>
      <c r="G916" s="194">
        <v>0.42925000000000002</v>
      </c>
      <c r="H916" s="195">
        <v>858.5</v>
      </c>
      <c r="I916" s="193" t="s">
        <v>541</v>
      </c>
    </row>
    <row r="917" spans="1:9" x14ac:dyDescent="0.25">
      <c r="A917" s="193" t="s">
        <v>220</v>
      </c>
      <c r="B917" s="193" t="s">
        <v>588</v>
      </c>
      <c r="C917" s="204" t="s">
        <v>1731</v>
      </c>
      <c r="D917" s="193" t="s">
        <v>1732</v>
      </c>
      <c r="E917" s="193" t="s">
        <v>545</v>
      </c>
      <c r="F917" s="196">
        <v>1550</v>
      </c>
      <c r="G917" s="194">
        <v>0.42499999999999999</v>
      </c>
      <c r="H917" s="195">
        <v>658.75</v>
      </c>
      <c r="I917" s="193" t="s">
        <v>541</v>
      </c>
    </row>
    <row r="918" spans="1:9" x14ac:dyDescent="0.25">
      <c r="A918" s="193" t="s">
        <v>220</v>
      </c>
      <c r="B918" s="193" t="s">
        <v>588</v>
      </c>
      <c r="C918" s="204" t="s">
        <v>1733</v>
      </c>
      <c r="D918" s="193" t="s">
        <v>1734</v>
      </c>
      <c r="E918" s="193" t="s">
        <v>545</v>
      </c>
      <c r="F918" s="196">
        <v>1550</v>
      </c>
      <c r="G918" s="194">
        <v>0.42924999999999996</v>
      </c>
      <c r="H918" s="195">
        <v>665.33749999999998</v>
      </c>
      <c r="I918" s="193" t="s">
        <v>541</v>
      </c>
    </row>
    <row r="919" spans="1:9" x14ac:dyDescent="0.25">
      <c r="A919" s="193" t="s">
        <v>220</v>
      </c>
      <c r="B919" s="193" t="s">
        <v>588</v>
      </c>
      <c r="C919" s="204" t="s">
        <v>1735</v>
      </c>
      <c r="D919" s="193" t="s">
        <v>1736</v>
      </c>
      <c r="E919" s="193" t="s">
        <v>545</v>
      </c>
      <c r="F919" s="196">
        <v>1750</v>
      </c>
      <c r="G919" s="194">
        <v>0.47975000000000001</v>
      </c>
      <c r="H919" s="195">
        <v>839.5625</v>
      </c>
      <c r="I919" s="193" t="s">
        <v>541</v>
      </c>
    </row>
    <row r="920" spans="1:9" x14ac:dyDescent="0.25">
      <c r="A920" s="193" t="s">
        <v>220</v>
      </c>
      <c r="B920" s="193" t="s">
        <v>588</v>
      </c>
      <c r="C920" s="204" t="s">
        <v>1737</v>
      </c>
      <c r="D920" s="193" t="s">
        <v>1738</v>
      </c>
      <c r="E920" s="193" t="s">
        <v>545</v>
      </c>
      <c r="F920" s="196">
        <v>1500</v>
      </c>
      <c r="G920" s="194">
        <v>0.47975000000000001</v>
      </c>
      <c r="H920" s="195">
        <v>719.625</v>
      </c>
      <c r="I920" s="193" t="s">
        <v>541</v>
      </c>
    </row>
    <row r="921" spans="1:9" x14ac:dyDescent="0.25">
      <c r="A921" s="193" t="s">
        <v>220</v>
      </c>
      <c r="B921" s="193" t="s">
        <v>588</v>
      </c>
      <c r="C921" s="204" t="s">
        <v>1739</v>
      </c>
      <c r="D921" s="193" t="s">
        <v>1740</v>
      </c>
      <c r="E921" s="193" t="s">
        <v>545</v>
      </c>
      <c r="F921" s="196">
        <v>2250</v>
      </c>
      <c r="G921" s="194">
        <v>0.47975000000000001</v>
      </c>
      <c r="H921" s="195">
        <v>1079.4375</v>
      </c>
      <c r="I921" s="193" t="s">
        <v>541</v>
      </c>
    </row>
    <row r="922" spans="1:9" x14ac:dyDescent="0.25">
      <c r="A922" s="193" t="s">
        <v>220</v>
      </c>
      <c r="B922" s="193" t="s">
        <v>588</v>
      </c>
      <c r="C922" s="204" t="s">
        <v>1741</v>
      </c>
      <c r="D922" s="193" t="s">
        <v>1742</v>
      </c>
      <c r="E922" s="193" t="s">
        <v>545</v>
      </c>
      <c r="F922" s="196">
        <v>2000</v>
      </c>
      <c r="G922" s="194">
        <v>0.47975000000000001</v>
      </c>
      <c r="H922" s="195">
        <v>959.5</v>
      </c>
      <c r="I922" s="193" t="s">
        <v>541</v>
      </c>
    </row>
    <row r="923" spans="1:9" x14ac:dyDescent="0.25">
      <c r="A923" s="193" t="s">
        <v>220</v>
      </c>
      <c r="B923" s="193" t="s">
        <v>588</v>
      </c>
      <c r="C923" s="204" t="s">
        <v>1743</v>
      </c>
      <c r="D923" s="193" t="s">
        <v>1744</v>
      </c>
      <c r="E923" s="193" t="s">
        <v>545</v>
      </c>
      <c r="F923" s="196">
        <v>3500</v>
      </c>
      <c r="G923" s="194">
        <v>0.60398000000000007</v>
      </c>
      <c r="H923" s="195">
        <v>2113.9300000000003</v>
      </c>
      <c r="I923" s="193" t="s">
        <v>541</v>
      </c>
    </row>
    <row r="924" spans="1:9" x14ac:dyDescent="0.25">
      <c r="A924" s="193" t="s">
        <v>220</v>
      </c>
      <c r="B924" s="193" t="s">
        <v>588</v>
      </c>
      <c r="C924" s="204" t="s">
        <v>1745</v>
      </c>
      <c r="D924" s="193" t="s">
        <v>1746</v>
      </c>
      <c r="E924" s="193" t="s">
        <v>545</v>
      </c>
      <c r="F924" s="196">
        <v>3500</v>
      </c>
      <c r="G924" s="194">
        <v>0.61609999999999998</v>
      </c>
      <c r="H924" s="195">
        <v>2156.35</v>
      </c>
      <c r="I924" s="193" t="s">
        <v>541</v>
      </c>
    </row>
    <row r="925" spans="1:9" x14ac:dyDescent="0.25">
      <c r="A925" s="193" t="s">
        <v>220</v>
      </c>
      <c r="B925" s="193" t="s">
        <v>588</v>
      </c>
      <c r="C925" s="204" t="s">
        <v>1747</v>
      </c>
      <c r="D925" s="193" t="s">
        <v>1748</v>
      </c>
      <c r="E925" s="193" t="s">
        <v>545</v>
      </c>
      <c r="F925" s="196">
        <v>1500</v>
      </c>
      <c r="G925" s="194">
        <v>0.61609999999999998</v>
      </c>
      <c r="H925" s="195">
        <v>924.15</v>
      </c>
      <c r="I925" s="193" t="s">
        <v>541</v>
      </c>
    </row>
    <row r="926" spans="1:9" x14ac:dyDescent="0.25">
      <c r="A926" s="193" t="s">
        <v>220</v>
      </c>
      <c r="B926" s="193" t="s">
        <v>588</v>
      </c>
      <c r="C926" s="204" t="s">
        <v>1749</v>
      </c>
      <c r="D926" s="193" t="s">
        <v>1750</v>
      </c>
      <c r="E926" s="193" t="s">
        <v>545</v>
      </c>
      <c r="F926" s="196">
        <v>2000</v>
      </c>
      <c r="G926" s="194">
        <v>0.66154999999999997</v>
      </c>
      <c r="H926" s="195">
        <v>1323.1</v>
      </c>
      <c r="I926" s="193" t="s">
        <v>541</v>
      </c>
    </row>
    <row r="927" spans="1:9" x14ac:dyDescent="0.25">
      <c r="A927" s="193" t="s">
        <v>220</v>
      </c>
      <c r="B927" s="193" t="s">
        <v>588</v>
      </c>
      <c r="C927" s="204" t="s">
        <v>1751</v>
      </c>
      <c r="D927" s="193" t="s">
        <v>1752</v>
      </c>
      <c r="E927" s="193" t="s">
        <v>545</v>
      </c>
      <c r="F927" s="196">
        <v>500</v>
      </c>
      <c r="G927" s="194">
        <v>0.66155000000000008</v>
      </c>
      <c r="H927" s="195">
        <v>330.77500000000003</v>
      </c>
      <c r="I927" s="193" t="s">
        <v>541</v>
      </c>
    </row>
    <row r="928" spans="1:9" x14ac:dyDescent="0.25">
      <c r="A928" s="193" t="s">
        <v>220</v>
      </c>
      <c r="B928" s="193" t="s">
        <v>588</v>
      </c>
      <c r="C928" s="204" t="s">
        <v>1753</v>
      </c>
      <c r="D928" s="193" t="s">
        <v>1754</v>
      </c>
      <c r="E928" s="193" t="s">
        <v>545</v>
      </c>
      <c r="F928" s="196">
        <v>1500</v>
      </c>
      <c r="G928" s="194">
        <v>0.70194999999999996</v>
      </c>
      <c r="H928" s="195">
        <v>1052.925</v>
      </c>
      <c r="I928" s="193" t="s">
        <v>541</v>
      </c>
    </row>
    <row r="929" spans="1:9" x14ac:dyDescent="0.25">
      <c r="A929" s="193" t="s">
        <v>220</v>
      </c>
      <c r="B929" s="193" t="s">
        <v>588</v>
      </c>
      <c r="C929" s="204" t="s">
        <v>1755</v>
      </c>
      <c r="D929" s="193" t="s">
        <v>1756</v>
      </c>
      <c r="E929" s="193" t="s">
        <v>545</v>
      </c>
      <c r="F929" s="196">
        <v>1500</v>
      </c>
      <c r="G929" s="194">
        <v>0.70194999999999996</v>
      </c>
      <c r="H929" s="195">
        <v>1052.925</v>
      </c>
      <c r="I929" s="193" t="s">
        <v>541</v>
      </c>
    </row>
    <row r="930" spans="1:9" x14ac:dyDescent="0.25">
      <c r="A930" s="193" t="s">
        <v>220</v>
      </c>
      <c r="B930" s="193" t="s">
        <v>588</v>
      </c>
      <c r="C930" s="204" t="s">
        <v>1757</v>
      </c>
      <c r="D930" s="193" t="s">
        <v>1758</v>
      </c>
      <c r="E930" s="193" t="s">
        <v>545</v>
      </c>
      <c r="F930" s="196">
        <v>1500</v>
      </c>
      <c r="G930" s="194">
        <v>0.70194999999999996</v>
      </c>
      <c r="H930" s="195">
        <v>1052.925</v>
      </c>
      <c r="I930" s="193" t="s">
        <v>541</v>
      </c>
    </row>
    <row r="931" spans="1:9" x14ac:dyDescent="0.25">
      <c r="A931" s="193" t="s">
        <v>220</v>
      </c>
      <c r="B931" s="193" t="s">
        <v>588</v>
      </c>
      <c r="C931" s="204" t="s">
        <v>1759</v>
      </c>
      <c r="D931" s="193" t="s">
        <v>1760</v>
      </c>
      <c r="E931" s="193" t="s">
        <v>545</v>
      </c>
      <c r="F931" s="196">
        <v>1000</v>
      </c>
      <c r="G931" s="194">
        <v>0.31025851613783012</v>
      </c>
      <c r="H931" s="195">
        <v>310.2585161378301</v>
      </c>
      <c r="I931" s="193" t="s">
        <v>541</v>
      </c>
    </row>
    <row r="932" spans="1:9" x14ac:dyDescent="0.25">
      <c r="A932" s="193" t="s">
        <v>220</v>
      </c>
      <c r="B932" s="193" t="s">
        <v>588</v>
      </c>
      <c r="C932" s="204" t="s">
        <v>1761</v>
      </c>
      <c r="D932" s="193" t="s">
        <v>1762</v>
      </c>
      <c r="E932" s="193" t="s">
        <v>545</v>
      </c>
      <c r="F932" s="196">
        <v>3500</v>
      </c>
      <c r="G932" s="194">
        <v>0.48080313646980316</v>
      </c>
      <c r="H932" s="195">
        <v>1682.8109776443112</v>
      </c>
      <c r="I932" s="193" t="s">
        <v>541</v>
      </c>
    </row>
    <row r="933" spans="1:9" x14ac:dyDescent="0.25">
      <c r="A933" s="193" t="s">
        <v>220</v>
      </c>
      <c r="B933" s="193" t="s">
        <v>588</v>
      </c>
      <c r="C933" s="204" t="s">
        <v>1763</v>
      </c>
      <c r="D933" s="193" t="s">
        <v>1764</v>
      </c>
      <c r="E933" s="193" t="s">
        <v>545</v>
      </c>
      <c r="F933" s="196">
        <v>2000</v>
      </c>
      <c r="G933" s="194">
        <v>0.48318024083196498</v>
      </c>
      <c r="H933" s="195">
        <v>966.36048166392993</v>
      </c>
      <c r="I933" s="193" t="s">
        <v>541</v>
      </c>
    </row>
    <row r="934" spans="1:9" x14ac:dyDescent="0.25">
      <c r="A934" s="193" t="s">
        <v>220</v>
      </c>
      <c r="B934" s="193" t="s">
        <v>588</v>
      </c>
      <c r="C934" s="204" t="s">
        <v>1765</v>
      </c>
      <c r="D934" s="193" t="s">
        <v>1766</v>
      </c>
      <c r="E934" s="193" t="s">
        <v>545</v>
      </c>
      <c r="F934" s="196">
        <v>2500</v>
      </c>
      <c r="G934" s="194">
        <v>0.52519999999999989</v>
      </c>
      <c r="H934" s="195">
        <v>1312.9999999999998</v>
      </c>
      <c r="I934" s="193" t="s">
        <v>541</v>
      </c>
    </row>
    <row r="935" spans="1:9" x14ac:dyDescent="0.25">
      <c r="A935" s="193" t="s">
        <v>220</v>
      </c>
      <c r="B935" s="193" t="s">
        <v>588</v>
      </c>
      <c r="C935" s="204" t="s">
        <v>1767</v>
      </c>
      <c r="D935" s="193" t="s">
        <v>1768</v>
      </c>
      <c r="E935" s="193" t="s">
        <v>545</v>
      </c>
      <c r="F935" s="196">
        <v>2000</v>
      </c>
      <c r="G935" s="194">
        <v>0.50384074051075545</v>
      </c>
      <c r="H935" s="195">
        <v>1007.6814810215109</v>
      </c>
      <c r="I935" s="193" t="s">
        <v>541</v>
      </c>
    </row>
    <row r="936" spans="1:9" x14ac:dyDescent="0.25">
      <c r="A936" s="193" t="s">
        <v>220</v>
      </c>
      <c r="B936" s="193" t="s">
        <v>588</v>
      </c>
      <c r="C936" s="204" t="s">
        <v>1769</v>
      </c>
      <c r="D936" s="193" t="s">
        <v>1770</v>
      </c>
      <c r="E936" s="193" t="s">
        <v>545</v>
      </c>
      <c r="F936" s="196">
        <v>3000</v>
      </c>
      <c r="G936" s="194">
        <v>0.68174999999999997</v>
      </c>
      <c r="H936" s="195">
        <v>2045.25</v>
      </c>
      <c r="I936" s="193" t="s">
        <v>541</v>
      </c>
    </row>
    <row r="937" spans="1:9" x14ac:dyDescent="0.25">
      <c r="A937" s="193" t="s">
        <v>220</v>
      </c>
      <c r="B937" s="193" t="s">
        <v>588</v>
      </c>
      <c r="C937" s="204" t="s">
        <v>1771</v>
      </c>
      <c r="D937" s="193" t="s">
        <v>1772</v>
      </c>
      <c r="E937" s="193"/>
      <c r="F937" s="196">
        <v>7500</v>
      </c>
      <c r="G937" s="194">
        <v>0.39895000000000008</v>
      </c>
      <c r="H937" s="195">
        <v>2992.1250000000005</v>
      </c>
      <c r="I937" s="193" t="s">
        <v>541</v>
      </c>
    </row>
    <row r="938" spans="1:9" x14ac:dyDescent="0.25">
      <c r="A938" s="193" t="s">
        <v>220</v>
      </c>
      <c r="B938" s="193" t="s">
        <v>588</v>
      </c>
      <c r="C938" s="204" t="s">
        <v>1773</v>
      </c>
      <c r="D938" s="193" t="s">
        <v>1774</v>
      </c>
      <c r="E938" s="193" t="s">
        <v>545</v>
      </c>
      <c r="F938" s="196">
        <v>7498</v>
      </c>
      <c r="G938" s="194">
        <v>0.47469999999999996</v>
      </c>
      <c r="H938" s="195">
        <v>3559.3005999999996</v>
      </c>
      <c r="I938" s="193" t="s">
        <v>541</v>
      </c>
    </row>
    <row r="939" spans="1:9" x14ac:dyDescent="0.25">
      <c r="A939" s="193" t="s">
        <v>220</v>
      </c>
      <c r="B939" s="193" t="s">
        <v>588</v>
      </c>
      <c r="C939" s="204" t="s">
        <v>1775</v>
      </c>
      <c r="D939" s="193" t="s">
        <v>1776</v>
      </c>
      <c r="E939" s="193" t="s">
        <v>545</v>
      </c>
      <c r="F939" s="196">
        <v>3730</v>
      </c>
      <c r="G939" s="194">
        <v>0.505</v>
      </c>
      <c r="H939" s="195">
        <v>1883.65</v>
      </c>
      <c r="I939" s="193" t="s">
        <v>541</v>
      </c>
    </row>
    <row r="940" spans="1:9" x14ac:dyDescent="0.25">
      <c r="A940" s="193" t="s">
        <v>220</v>
      </c>
      <c r="B940" s="193" t="s">
        <v>588</v>
      </c>
      <c r="C940" s="204" t="s">
        <v>1777</v>
      </c>
      <c r="D940" s="193" t="s">
        <v>1778</v>
      </c>
      <c r="E940" s="193" t="s">
        <v>545</v>
      </c>
      <c r="F940" s="196">
        <v>6930</v>
      </c>
      <c r="G940" s="194">
        <v>0.57569999999999999</v>
      </c>
      <c r="H940" s="195">
        <v>3989.6010000000001</v>
      </c>
      <c r="I940" s="193" t="s">
        <v>541</v>
      </c>
    </row>
    <row r="941" spans="1:9" x14ac:dyDescent="0.25">
      <c r="A941" s="193" t="s">
        <v>220</v>
      </c>
      <c r="B941" s="193" t="s">
        <v>588</v>
      </c>
      <c r="C941" s="204" t="s">
        <v>1779</v>
      </c>
      <c r="D941" s="193" t="s">
        <v>1780</v>
      </c>
      <c r="E941" s="193" t="s">
        <v>545</v>
      </c>
      <c r="F941" s="196">
        <v>3145</v>
      </c>
      <c r="G941" s="194">
        <v>0.55044999999999999</v>
      </c>
      <c r="H941" s="195">
        <v>1731.16525</v>
      </c>
      <c r="I941" s="193" t="s">
        <v>541</v>
      </c>
    </row>
    <row r="942" spans="1:9" x14ac:dyDescent="0.25">
      <c r="A942" s="193" t="s">
        <v>220</v>
      </c>
      <c r="B942" s="193" t="s">
        <v>588</v>
      </c>
      <c r="C942" s="204" t="s">
        <v>1781</v>
      </c>
      <c r="D942" s="193" t="s">
        <v>1782</v>
      </c>
      <c r="E942" s="193" t="s">
        <v>545</v>
      </c>
      <c r="F942" s="196">
        <v>3835</v>
      </c>
      <c r="G942" s="194">
        <v>0.68679999999999997</v>
      </c>
      <c r="H942" s="195">
        <v>2633.8779999999997</v>
      </c>
      <c r="I942" s="193" t="s">
        <v>541</v>
      </c>
    </row>
    <row r="943" spans="1:9" x14ac:dyDescent="0.25">
      <c r="A943" s="193" t="s">
        <v>220</v>
      </c>
      <c r="B943" s="193" t="s">
        <v>588</v>
      </c>
      <c r="C943" s="204" t="s">
        <v>1783</v>
      </c>
      <c r="D943" s="193" t="s">
        <v>1784</v>
      </c>
      <c r="E943" s="193" t="s">
        <v>545</v>
      </c>
      <c r="F943" s="196">
        <v>2080</v>
      </c>
      <c r="G943" s="194">
        <v>0.22219999999999998</v>
      </c>
      <c r="H943" s="195">
        <v>462.17599999999999</v>
      </c>
      <c r="I943" s="193" t="s">
        <v>541</v>
      </c>
    </row>
    <row r="944" spans="1:9" x14ac:dyDescent="0.25">
      <c r="A944" s="193" t="s">
        <v>220</v>
      </c>
      <c r="B944" s="193" t="s">
        <v>588</v>
      </c>
      <c r="C944" s="204" t="s">
        <v>1785</v>
      </c>
      <c r="D944" s="193" t="s">
        <v>1786</v>
      </c>
      <c r="E944" s="193" t="s">
        <v>545</v>
      </c>
      <c r="F944" s="196">
        <v>2860</v>
      </c>
      <c r="G944" s="194">
        <v>0.38379999999999997</v>
      </c>
      <c r="H944" s="195">
        <v>1097.6679999999999</v>
      </c>
      <c r="I944" s="193" t="s">
        <v>541</v>
      </c>
    </row>
    <row r="945" spans="1:9" x14ac:dyDescent="0.25">
      <c r="A945" s="193" t="s">
        <v>220</v>
      </c>
      <c r="B945" s="193" t="s">
        <v>588</v>
      </c>
      <c r="C945" s="204" t="s">
        <v>1787</v>
      </c>
      <c r="D945" s="193" t="s">
        <v>1788</v>
      </c>
      <c r="E945" s="193" t="s">
        <v>545</v>
      </c>
      <c r="F945" s="196">
        <v>3480</v>
      </c>
      <c r="G945" s="194">
        <v>0.38379999999999992</v>
      </c>
      <c r="H945" s="195">
        <v>1335.6239999999998</v>
      </c>
      <c r="I945" s="193" t="s">
        <v>541</v>
      </c>
    </row>
    <row r="946" spans="1:9" x14ac:dyDescent="0.25">
      <c r="A946" s="193" t="s">
        <v>220</v>
      </c>
      <c r="B946" s="193" t="s">
        <v>588</v>
      </c>
      <c r="C946" s="204" t="s">
        <v>1789</v>
      </c>
      <c r="D946" s="193" t="s">
        <v>1790</v>
      </c>
      <c r="E946" s="193" t="s">
        <v>545</v>
      </c>
      <c r="F946" s="196">
        <v>19400</v>
      </c>
      <c r="G946" s="194">
        <v>0.11613982249557735</v>
      </c>
      <c r="H946" s="195">
        <v>2253.1125564142008</v>
      </c>
      <c r="I946" s="193" t="s">
        <v>541</v>
      </c>
    </row>
    <row r="947" spans="1:9" x14ac:dyDescent="0.25">
      <c r="A947" s="193" t="s">
        <v>220</v>
      </c>
      <c r="B947" s="193" t="s">
        <v>588</v>
      </c>
      <c r="C947" s="204" t="s">
        <v>1791</v>
      </c>
      <c r="D947" s="193" t="s">
        <v>1792</v>
      </c>
      <c r="E947" s="193" t="s">
        <v>545</v>
      </c>
      <c r="F947" s="196">
        <v>16800</v>
      </c>
      <c r="G947" s="194">
        <v>0.11615</v>
      </c>
      <c r="H947" s="195">
        <v>1951.3200000000002</v>
      </c>
      <c r="I947" s="193" t="s">
        <v>541</v>
      </c>
    </row>
    <row r="948" spans="1:9" x14ac:dyDescent="0.25">
      <c r="A948" s="193" t="s">
        <v>220</v>
      </c>
      <c r="B948" s="193" t="s">
        <v>588</v>
      </c>
      <c r="C948" s="204" t="s">
        <v>1793</v>
      </c>
      <c r="D948" s="193" t="s">
        <v>1794</v>
      </c>
      <c r="E948" s="193" t="s">
        <v>545</v>
      </c>
      <c r="F948" s="196">
        <v>7500</v>
      </c>
      <c r="G948" s="194">
        <v>0.1313</v>
      </c>
      <c r="H948" s="195">
        <v>984.75</v>
      </c>
      <c r="I948" s="193" t="s">
        <v>541</v>
      </c>
    </row>
    <row r="949" spans="1:9" x14ac:dyDescent="0.25">
      <c r="A949" s="193" t="s">
        <v>220</v>
      </c>
      <c r="B949" s="193" t="s">
        <v>588</v>
      </c>
      <c r="C949" s="204" t="s">
        <v>1795</v>
      </c>
      <c r="D949" s="193" t="s">
        <v>1796</v>
      </c>
      <c r="E949" s="193" t="s">
        <v>545</v>
      </c>
      <c r="F949" s="196">
        <v>900</v>
      </c>
      <c r="G949" s="194">
        <v>0.1212</v>
      </c>
      <c r="H949" s="195">
        <v>109.08</v>
      </c>
      <c r="I949" s="193" t="s">
        <v>541</v>
      </c>
    </row>
    <row r="950" spans="1:9" x14ac:dyDescent="0.25">
      <c r="A950" s="193" t="s">
        <v>220</v>
      </c>
      <c r="B950" s="193" t="s">
        <v>588</v>
      </c>
      <c r="C950" s="204" t="s">
        <v>1797</v>
      </c>
      <c r="D950" s="193" t="s">
        <v>1798</v>
      </c>
      <c r="E950" s="193" t="s">
        <v>545</v>
      </c>
      <c r="F950" s="196">
        <v>4510</v>
      </c>
      <c r="G950" s="194">
        <v>11.607676243473144</v>
      </c>
      <c r="H950" s="195">
        <v>52350.619858063874</v>
      </c>
      <c r="I950" s="193" t="s">
        <v>541</v>
      </c>
    </row>
    <row r="951" spans="1:9" x14ac:dyDescent="0.25">
      <c r="A951" s="193" t="s">
        <v>220</v>
      </c>
      <c r="B951" s="193" t="s">
        <v>588</v>
      </c>
      <c r="C951" s="204" t="s">
        <v>1799</v>
      </c>
      <c r="D951" s="193" t="s">
        <v>1800</v>
      </c>
      <c r="E951" s="193" t="s">
        <v>545</v>
      </c>
      <c r="F951" s="196">
        <v>2420</v>
      </c>
      <c r="G951" s="194">
        <v>0.51462629309645624</v>
      </c>
      <c r="H951" s="195">
        <v>1245.395629293424</v>
      </c>
      <c r="I951" s="193" t="s">
        <v>541</v>
      </c>
    </row>
    <row r="952" spans="1:9" x14ac:dyDescent="0.25">
      <c r="A952" s="193" t="s">
        <v>220</v>
      </c>
      <c r="B952" s="193" t="s">
        <v>588</v>
      </c>
      <c r="C952" s="204" t="s">
        <v>1801</v>
      </c>
      <c r="D952" s="193" t="s">
        <v>1802</v>
      </c>
      <c r="E952" s="193" t="s">
        <v>545</v>
      </c>
      <c r="F952" s="196">
        <v>57</v>
      </c>
      <c r="G952" s="194">
        <v>0.22000000000000003</v>
      </c>
      <c r="H952" s="195">
        <v>12.540000000000001</v>
      </c>
      <c r="I952" s="193" t="s">
        <v>541</v>
      </c>
    </row>
    <row r="953" spans="1:9" x14ac:dyDescent="0.25">
      <c r="A953" s="193" t="s">
        <v>220</v>
      </c>
      <c r="B953" s="193" t="s">
        <v>588</v>
      </c>
      <c r="C953" s="204" t="s">
        <v>1803</v>
      </c>
      <c r="D953" s="193" t="s">
        <v>1804</v>
      </c>
      <c r="E953" s="193" t="s">
        <v>545</v>
      </c>
      <c r="F953" s="196">
        <v>230</v>
      </c>
      <c r="G953" s="194">
        <v>0.253</v>
      </c>
      <c r="H953" s="195">
        <v>58.19</v>
      </c>
      <c r="I953" s="193" t="s">
        <v>541</v>
      </c>
    </row>
    <row r="954" spans="1:9" x14ac:dyDescent="0.25">
      <c r="A954" s="193" t="s">
        <v>220</v>
      </c>
      <c r="B954" s="193" t="s">
        <v>588</v>
      </c>
      <c r="C954" s="204" t="s">
        <v>1805</v>
      </c>
      <c r="D954" s="193" t="s">
        <v>1806</v>
      </c>
      <c r="E954" s="193" t="s">
        <v>545</v>
      </c>
      <c r="F954" s="196">
        <v>35</v>
      </c>
      <c r="G954" s="194">
        <v>0.29099999999999998</v>
      </c>
      <c r="H954" s="195">
        <v>10.184999999999999</v>
      </c>
      <c r="I954" s="193" t="s">
        <v>541</v>
      </c>
    </row>
    <row r="955" spans="1:9" x14ac:dyDescent="0.25">
      <c r="A955" s="193" t="s">
        <v>220</v>
      </c>
      <c r="B955" s="193" t="s">
        <v>588</v>
      </c>
      <c r="C955" s="204" t="s">
        <v>1807</v>
      </c>
      <c r="D955" s="193" t="s">
        <v>1808</v>
      </c>
      <c r="E955" s="193" t="s">
        <v>545</v>
      </c>
      <c r="F955" s="196">
        <v>168</v>
      </c>
      <c r="G955" s="194">
        <v>0.10925000000000001</v>
      </c>
      <c r="H955" s="195">
        <v>18.354000000000003</v>
      </c>
      <c r="I955" s="193" t="s">
        <v>541</v>
      </c>
    </row>
    <row r="956" spans="1:9" x14ac:dyDescent="0.25">
      <c r="A956" s="193" t="s">
        <v>220</v>
      </c>
      <c r="B956" s="193" t="s">
        <v>588</v>
      </c>
      <c r="C956" s="204" t="s">
        <v>1809</v>
      </c>
      <c r="D956" s="193" t="s">
        <v>1810</v>
      </c>
      <c r="E956" s="193" t="s">
        <v>545</v>
      </c>
      <c r="F956" s="196">
        <v>340</v>
      </c>
      <c r="G956" s="194">
        <v>0.13355081967213117</v>
      </c>
      <c r="H956" s="195">
        <v>45.407278688524599</v>
      </c>
      <c r="I956" s="193" t="s">
        <v>541</v>
      </c>
    </row>
    <row r="957" spans="1:9" x14ac:dyDescent="0.25">
      <c r="A957" s="193" t="s">
        <v>220</v>
      </c>
      <c r="B957" s="193" t="s">
        <v>588</v>
      </c>
      <c r="C957" s="204" t="s">
        <v>1811</v>
      </c>
      <c r="D957" s="193" t="s">
        <v>1812</v>
      </c>
      <c r="E957" s="193" t="s">
        <v>545</v>
      </c>
      <c r="F957" s="196">
        <v>103</v>
      </c>
      <c r="G957" s="194">
        <v>0.152</v>
      </c>
      <c r="H957" s="195">
        <v>15.655999999999999</v>
      </c>
      <c r="I957" s="193" t="s">
        <v>541</v>
      </c>
    </row>
    <row r="958" spans="1:9" x14ac:dyDescent="0.25">
      <c r="A958" s="193" t="s">
        <v>220</v>
      </c>
      <c r="B958" s="193" t="s">
        <v>588</v>
      </c>
      <c r="C958" s="204" t="s">
        <v>1813</v>
      </c>
      <c r="D958" s="193" t="s">
        <v>1814</v>
      </c>
      <c r="E958" s="193" t="s">
        <v>545</v>
      </c>
      <c r="F958" s="196">
        <v>653</v>
      </c>
      <c r="G958" s="194">
        <v>0.19</v>
      </c>
      <c r="H958" s="195">
        <v>124.07000000000001</v>
      </c>
      <c r="I958" s="193" t="s">
        <v>541</v>
      </c>
    </row>
    <row r="959" spans="1:9" x14ac:dyDescent="0.25">
      <c r="A959" s="193" t="s">
        <v>220</v>
      </c>
      <c r="B959" s="193" t="s">
        <v>588</v>
      </c>
      <c r="C959" s="204" t="s">
        <v>1815</v>
      </c>
      <c r="D959" s="193" t="s">
        <v>1816</v>
      </c>
      <c r="E959" s="193" t="s">
        <v>545</v>
      </c>
      <c r="F959" s="196">
        <v>14</v>
      </c>
      <c r="G959" s="194">
        <v>0.11</v>
      </c>
      <c r="H959" s="195">
        <v>1.54</v>
      </c>
      <c r="I959" s="193" t="s">
        <v>541</v>
      </c>
    </row>
    <row r="960" spans="1:9" x14ac:dyDescent="0.25">
      <c r="A960" s="193" t="s">
        <v>220</v>
      </c>
      <c r="B960" s="193" t="s">
        <v>588</v>
      </c>
      <c r="C960" s="204" t="s">
        <v>1817</v>
      </c>
      <c r="D960" s="193" t="s">
        <v>1818</v>
      </c>
      <c r="E960" s="193" t="s">
        <v>545</v>
      </c>
      <c r="F960" s="196">
        <v>267</v>
      </c>
      <c r="G960" s="194">
        <v>0.12654081632653061</v>
      </c>
      <c r="H960" s="195">
        <v>33.786397959183674</v>
      </c>
      <c r="I960" s="193" t="s">
        <v>541</v>
      </c>
    </row>
    <row r="961" spans="1:9" x14ac:dyDescent="0.25">
      <c r="A961" s="193" t="s">
        <v>220</v>
      </c>
      <c r="B961" s="193" t="s">
        <v>588</v>
      </c>
      <c r="C961" s="204" t="s">
        <v>1819</v>
      </c>
      <c r="D961" s="193" t="s">
        <v>1820</v>
      </c>
      <c r="E961" s="193" t="s">
        <v>545</v>
      </c>
      <c r="F961" s="196">
        <v>1000</v>
      </c>
      <c r="G961" s="194">
        <v>0.14552119499394428</v>
      </c>
      <c r="H961" s="195">
        <v>145.52119499394428</v>
      </c>
      <c r="I961" s="193" t="s">
        <v>541</v>
      </c>
    </row>
    <row r="962" spans="1:9" x14ac:dyDescent="0.25">
      <c r="A962" s="193" t="s">
        <v>220</v>
      </c>
      <c r="B962" s="193" t="s">
        <v>588</v>
      </c>
      <c r="C962" s="204" t="s">
        <v>1821</v>
      </c>
      <c r="D962" s="193" t="s">
        <v>1822</v>
      </c>
      <c r="E962" s="193" t="s">
        <v>545</v>
      </c>
      <c r="F962" s="196">
        <v>780</v>
      </c>
      <c r="G962" s="194">
        <v>5.3529999999999998</v>
      </c>
      <c r="H962" s="195">
        <v>4175.34</v>
      </c>
      <c r="I962" s="193" t="s">
        <v>541</v>
      </c>
    </row>
    <row r="963" spans="1:9" x14ac:dyDescent="0.25">
      <c r="A963" s="193" t="s">
        <v>220</v>
      </c>
      <c r="B963" s="193" t="s">
        <v>588</v>
      </c>
      <c r="C963" s="204" t="s">
        <v>1823</v>
      </c>
      <c r="D963" s="193" t="s">
        <v>1824</v>
      </c>
      <c r="E963" s="193" t="s">
        <v>545</v>
      </c>
      <c r="F963" s="196">
        <v>520</v>
      </c>
      <c r="G963" s="194">
        <v>5.5549999999999997</v>
      </c>
      <c r="H963" s="195">
        <v>2888.6</v>
      </c>
      <c r="I963" s="193" t="s">
        <v>541</v>
      </c>
    </row>
    <row r="964" spans="1:9" x14ac:dyDescent="0.25">
      <c r="A964" s="193" t="s">
        <v>220</v>
      </c>
      <c r="B964" s="193" t="s">
        <v>588</v>
      </c>
      <c r="C964" s="204" t="s">
        <v>1825</v>
      </c>
      <c r="D964" s="193" t="s">
        <v>1826</v>
      </c>
      <c r="E964" s="193" t="s">
        <v>545</v>
      </c>
      <c r="F964" s="196">
        <v>895</v>
      </c>
      <c r="G964" s="194">
        <v>4.8479999999999999</v>
      </c>
      <c r="H964" s="195">
        <v>4338.96</v>
      </c>
      <c r="I964" s="193" t="s">
        <v>541</v>
      </c>
    </row>
    <row r="965" spans="1:9" x14ac:dyDescent="0.25">
      <c r="A965" s="193" t="s">
        <v>220</v>
      </c>
      <c r="B965" s="193" t="s">
        <v>588</v>
      </c>
      <c r="C965" s="204" t="s">
        <v>1827</v>
      </c>
      <c r="D965" s="193" t="s">
        <v>1828</v>
      </c>
      <c r="E965" s="193" t="s">
        <v>545</v>
      </c>
      <c r="F965" s="196">
        <v>1000</v>
      </c>
      <c r="G965" s="194">
        <v>7.3730000000000002</v>
      </c>
      <c r="H965" s="195">
        <v>7373</v>
      </c>
      <c r="I965" s="193" t="s">
        <v>541</v>
      </c>
    </row>
    <row r="966" spans="1:9" x14ac:dyDescent="0.25">
      <c r="A966" s="193" t="s">
        <v>220</v>
      </c>
      <c r="B966" s="193" t="s">
        <v>588</v>
      </c>
      <c r="C966" s="204" t="s">
        <v>1829</v>
      </c>
      <c r="D966" s="193" t="s">
        <v>1830</v>
      </c>
      <c r="E966" s="193" t="s">
        <v>545</v>
      </c>
      <c r="F966" s="196">
        <v>866</v>
      </c>
      <c r="G966" s="194">
        <v>5.05</v>
      </c>
      <c r="H966" s="195">
        <v>4373.3</v>
      </c>
      <c r="I966" s="193" t="s">
        <v>541</v>
      </c>
    </row>
    <row r="967" spans="1:9" x14ac:dyDescent="0.25">
      <c r="A967" s="193" t="s">
        <v>220</v>
      </c>
      <c r="B967" s="193" t="s">
        <v>588</v>
      </c>
      <c r="C967" s="204" t="s">
        <v>1831</v>
      </c>
      <c r="D967" s="193" t="s">
        <v>1832</v>
      </c>
      <c r="E967" s="193" t="s">
        <v>545</v>
      </c>
      <c r="F967" s="196">
        <v>660</v>
      </c>
      <c r="G967" s="194">
        <v>5.9589999999999996</v>
      </c>
      <c r="H967" s="195">
        <v>3932.9399999999996</v>
      </c>
      <c r="I967" s="193" t="s">
        <v>541</v>
      </c>
    </row>
    <row r="968" spans="1:9" x14ac:dyDescent="0.25">
      <c r="A968" s="193" t="s">
        <v>220</v>
      </c>
      <c r="B968" s="193" t="s">
        <v>588</v>
      </c>
      <c r="C968" s="204" t="s">
        <v>1833</v>
      </c>
      <c r="D968" s="193" t="s">
        <v>1834</v>
      </c>
      <c r="E968" s="193" t="s">
        <v>545</v>
      </c>
      <c r="F968" s="196">
        <v>750</v>
      </c>
      <c r="G968" s="194">
        <v>6.3630000000000004</v>
      </c>
      <c r="H968" s="195">
        <v>4772.25</v>
      </c>
      <c r="I968" s="193" t="s">
        <v>541</v>
      </c>
    </row>
    <row r="969" spans="1:9" x14ac:dyDescent="0.25">
      <c r="A969" s="193" t="s">
        <v>220</v>
      </c>
      <c r="B969" s="193" t="s">
        <v>588</v>
      </c>
      <c r="C969" s="204" t="s">
        <v>1835</v>
      </c>
      <c r="D969" s="193" t="s">
        <v>1836</v>
      </c>
      <c r="E969" s="193" t="s">
        <v>545</v>
      </c>
      <c r="F969" s="196">
        <v>909</v>
      </c>
      <c r="G969" s="194">
        <v>7.676000000000001</v>
      </c>
      <c r="H969" s="195">
        <v>6977.4840000000013</v>
      </c>
      <c r="I969" s="193" t="s">
        <v>541</v>
      </c>
    </row>
    <row r="970" spans="1:9" x14ac:dyDescent="0.25">
      <c r="A970" s="193" t="s">
        <v>220</v>
      </c>
      <c r="B970" s="193" t="s">
        <v>588</v>
      </c>
      <c r="C970" s="204" t="s">
        <v>7548</v>
      </c>
      <c r="D970" s="193" t="s">
        <v>7549</v>
      </c>
      <c r="E970" s="193" t="s">
        <v>545</v>
      </c>
      <c r="F970" s="196">
        <v>300</v>
      </c>
      <c r="G970" s="194">
        <v>5.2519999999999998</v>
      </c>
      <c r="H970" s="195">
        <v>1575.6</v>
      </c>
      <c r="I970" s="193" t="s">
        <v>541</v>
      </c>
    </row>
    <row r="971" spans="1:9" x14ac:dyDescent="0.25">
      <c r="A971" s="193" t="s">
        <v>220</v>
      </c>
      <c r="B971" s="193" t="s">
        <v>588</v>
      </c>
      <c r="C971" s="204" t="s">
        <v>1837</v>
      </c>
      <c r="D971" s="193" t="s">
        <v>1838</v>
      </c>
      <c r="E971" s="193" t="s">
        <v>545</v>
      </c>
      <c r="F971" s="196">
        <v>1100</v>
      </c>
      <c r="G971" s="194">
        <v>5.3529999999999998</v>
      </c>
      <c r="H971" s="195">
        <v>5888.3</v>
      </c>
      <c r="I971" s="193" t="s">
        <v>541</v>
      </c>
    </row>
    <row r="972" spans="1:9" x14ac:dyDescent="0.25">
      <c r="A972" s="193" t="s">
        <v>220</v>
      </c>
      <c r="B972" s="193" t="s">
        <v>588</v>
      </c>
      <c r="C972" s="204" t="s">
        <v>1839</v>
      </c>
      <c r="D972" s="193" t="s">
        <v>1840</v>
      </c>
      <c r="E972" s="193" t="s">
        <v>545</v>
      </c>
      <c r="F972" s="196">
        <v>464</v>
      </c>
      <c r="G972" s="194">
        <v>5.5549999999999997</v>
      </c>
      <c r="H972" s="195">
        <v>2577.52</v>
      </c>
      <c r="I972" s="193" t="s">
        <v>541</v>
      </c>
    </row>
    <row r="973" spans="1:9" x14ac:dyDescent="0.25">
      <c r="A973" s="193" t="s">
        <v>220</v>
      </c>
      <c r="B973" s="193" t="s">
        <v>588</v>
      </c>
      <c r="C973" s="204" t="s">
        <v>7550</v>
      </c>
      <c r="D973" s="193" t="s">
        <v>7551</v>
      </c>
      <c r="E973" s="193" t="s">
        <v>545</v>
      </c>
      <c r="F973" s="196">
        <v>175</v>
      </c>
      <c r="G973" s="194">
        <v>4.8479999999999999</v>
      </c>
      <c r="H973" s="195">
        <v>848.4</v>
      </c>
      <c r="I973" s="193" t="s">
        <v>541</v>
      </c>
    </row>
    <row r="974" spans="1:9" x14ac:dyDescent="0.25">
      <c r="A974" s="193" t="s">
        <v>220</v>
      </c>
      <c r="B974" s="193" t="s">
        <v>588</v>
      </c>
      <c r="C974" s="204" t="s">
        <v>7552</v>
      </c>
      <c r="D974" s="193" t="s">
        <v>7553</v>
      </c>
      <c r="E974" s="193" t="s">
        <v>545</v>
      </c>
      <c r="F974" s="196">
        <v>90</v>
      </c>
      <c r="G974" s="194">
        <v>4.8479999999999999</v>
      </c>
      <c r="H974" s="195">
        <v>436.32</v>
      </c>
      <c r="I974" s="193" t="s">
        <v>541</v>
      </c>
    </row>
    <row r="975" spans="1:9" x14ac:dyDescent="0.25">
      <c r="A975" s="193" t="s">
        <v>220</v>
      </c>
      <c r="B975" s="193" t="s">
        <v>588</v>
      </c>
      <c r="C975" s="204" t="s">
        <v>1841</v>
      </c>
      <c r="D975" s="193" t="s">
        <v>1842</v>
      </c>
      <c r="E975" s="193" t="s">
        <v>545</v>
      </c>
      <c r="F975" s="196">
        <v>769</v>
      </c>
      <c r="G975" s="194">
        <v>7.3730000000000002</v>
      </c>
      <c r="H975" s="195">
        <v>5669.8370000000004</v>
      </c>
      <c r="I975" s="193" t="s">
        <v>541</v>
      </c>
    </row>
    <row r="976" spans="1:9" x14ac:dyDescent="0.25">
      <c r="A976" s="193" t="s">
        <v>220</v>
      </c>
      <c r="B976" s="193" t="s">
        <v>588</v>
      </c>
      <c r="C976" s="204" t="s">
        <v>1843</v>
      </c>
      <c r="D976" s="193" t="s">
        <v>1844</v>
      </c>
      <c r="E976" s="193" t="s">
        <v>545</v>
      </c>
      <c r="F976" s="196">
        <v>975</v>
      </c>
      <c r="G976" s="194">
        <v>7.3730000000000002</v>
      </c>
      <c r="H976" s="195">
        <v>7188.6750000000002</v>
      </c>
      <c r="I976" s="193" t="s">
        <v>541</v>
      </c>
    </row>
    <row r="977" spans="1:9" x14ac:dyDescent="0.25">
      <c r="A977" s="193" t="s">
        <v>220</v>
      </c>
      <c r="B977" s="193" t="s">
        <v>588</v>
      </c>
      <c r="C977" s="204" t="s">
        <v>1845</v>
      </c>
      <c r="D977" s="193" t="s">
        <v>1846</v>
      </c>
      <c r="E977" s="193" t="s">
        <v>545</v>
      </c>
      <c r="F977" s="196">
        <v>1083</v>
      </c>
      <c r="G977" s="194">
        <v>4.8985000000000003</v>
      </c>
      <c r="H977" s="195">
        <v>5305.0754999999999</v>
      </c>
      <c r="I977" s="193" t="s">
        <v>541</v>
      </c>
    </row>
    <row r="978" spans="1:9" x14ac:dyDescent="0.25">
      <c r="A978" s="193" t="s">
        <v>220</v>
      </c>
      <c r="B978" s="193" t="s">
        <v>588</v>
      </c>
      <c r="C978" s="204" t="s">
        <v>1847</v>
      </c>
      <c r="D978" s="193" t="s">
        <v>1846</v>
      </c>
      <c r="E978" s="193" t="s">
        <v>545</v>
      </c>
      <c r="F978" s="196">
        <v>948</v>
      </c>
      <c r="G978" s="194">
        <v>4.964672413793104</v>
      </c>
      <c r="H978" s="195">
        <v>4706.5094482758623</v>
      </c>
      <c r="I978" s="193" t="s">
        <v>541</v>
      </c>
    </row>
    <row r="979" spans="1:9" x14ac:dyDescent="0.25">
      <c r="A979" s="193" t="s">
        <v>220</v>
      </c>
      <c r="B979" s="193" t="s">
        <v>588</v>
      </c>
      <c r="C979" s="204" t="s">
        <v>1848</v>
      </c>
      <c r="D979" s="193" t="s">
        <v>1849</v>
      </c>
      <c r="E979" s="193" t="s">
        <v>545</v>
      </c>
      <c r="F979" s="196">
        <v>89</v>
      </c>
      <c r="G979" s="194">
        <v>5.7569999999999997</v>
      </c>
      <c r="H979" s="195">
        <v>512.37299999999993</v>
      </c>
      <c r="I979" s="193" t="s">
        <v>541</v>
      </c>
    </row>
    <row r="980" spans="1:9" x14ac:dyDescent="0.25">
      <c r="A980" s="193" t="s">
        <v>220</v>
      </c>
      <c r="B980" s="193" t="s">
        <v>588</v>
      </c>
      <c r="C980" s="204" t="s">
        <v>1850</v>
      </c>
      <c r="D980" s="193" t="s">
        <v>1851</v>
      </c>
      <c r="E980" s="193" t="s">
        <v>545</v>
      </c>
      <c r="F980" s="196">
        <v>665</v>
      </c>
      <c r="G980" s="194">
        <v>5.9589999999999996</v>
      </c>
      <c r="H980" s="195">
        <v>3962.7349999999997</v>
      </c>
      <c r="I980" s="193" t="s">
        <v>541</v>
      </c>
    </row>
    <row r="981" spans="1:9" x14ac:dyDescent="0.25">
      <c r="A981" s="193" t="s">
        <v>220</v>
      </c>
      <c r="B981" s="193" t="s">
        <v>588</v>
      </c>
      <c r="C981" s="204" t="s">
        <v>1852</v>
      </c>
      <c r="D981" s="193" t="s">
        <v>1853</v>
      </c>
      <c r="E981" s="193" t="s">
        <v>545</v>
      </c>
      <c r="F981" s="196">
        <v>40</v>
      </c>
      <c r="G981" s="194">
        <v>6.1609999999999996</v>
      </c>
      <c r="H981" s="195">
        <v>246.44</v>
      </c>
      <c r="I981" s="193" t="s">
        <v>541</v>
      </c>
    </row>
    <row r="982" spans="1:9" x14ac:dyDescent="0.25">
      <c r="A982" s="193" t="s">
        <v>220</v>
      </c>
      <c r="B982" s="193" t="s">
        <v>588</v>
      </c>
      <c r="C982" s="204" t="s">
        <v>7554</v>
      </c>
      <c r="D982" s="193" t="s">
        <v>7555</v>
      </c>
      <c r="E982" s="193" t="s">
        <v>545</v>
      </c>
      <c r="F982" s="196">
        <v>39</v>
      </c>
      <c r="G982" s="194">
        <v>6.1609999999999996</v>
      </c>
      <c r="H982" s="195">
        <v>240.279</v>
      </c>
      <c r="I982" s="193" t="s">
        <v>541</v>
      </c>
    </row>
    <row r="983" spans="1:9" x14ac:dyDescent="0.25">
      <c r="A983" s="193" t="s">
        <v>220</v>
      </c>
      <c r="B983" s="193" t="s">
        <v>588</v>
      </c>
      <c r="C983" s="204" t="s">
        <v>1854</v>
      </c>
      <c r="D983" s="193" t="s">
        <v>1855</v>
      </c>
      <c r="E983" s="193" t="s">
        <v>545</v>
      </c>
      <c r="F983" s="196">
        <v>825</v>
      </c>
      <c r="G983" s="194">
        <v>6.3630000000000004</v>
      </c>
      <c r="H983" s="195">
        <v>5249.4750000000004</v>
      </c>
      <c r="I983" s="193" t="s">
        <v>541</v>
      </c>
    </row>
    <row r="984" spans="1:9" x14ac:dyDescent="0.25">
      <c r="A984" s="193" t="s">
        <v>220</v>
      </c>
      <c r="B984" s="193" t="s">
        <v>588</v>
      </c>
      <c r="C984" s="204" t="s">
        <v>1856</v>
      </c>
      <c r="D984" s="193" t="s">
        <v>1857</v>
      </c>
      <c r="E984" s="193" t="s">
        <v>545</v>
      </c>
      <c r="F984" s="196">
        <v>550</v>
      </c>
      <c r="G984" s="194">
        <v>6.3630000000000004</v>
      </c>
      <c r="H984" s="195">
        <v>3499.65</v>
      </c>
      <c r="I984" s="193" t="s">
        <v>541</v>
      </c>
    </row>
    <row r="985" spans="1:9" x14ac:dyDescent="0.25">
      <c r="A985" s="193" t="s">
        <v>220</v>
      </c>
      <c r="B985" s="193" t="s">
        <v>588</v>
      </c>
      <c r="C985" s="204" t="s">
        <v>1858</v>
      </c>
      <c r="D985" s="193" t="s">
        <v>1859</v>
      </c>
      <c r="E985" s="193" t="s">
        <v>545</v>
      </c>
      <c r="F985" s="196">
        <v>600</v>
      </c>
      <c r="G985" s="194">
        <v>7.6760000000000019</v>
      </c>
      <c r="H985" s="195">
        <v>4605.6000000000013</v>
      </c>
      <c r="I985" s="193" t="s">
        <v>541</v>
      </c>
    </row>
    <row r="986" spans="1:9" x14ac:dyDescent="0.25">
      <c r="A986" s="193" t="s">
        <v>220</v>
      </c>
      <c r="B986" s="193" t="s">
        <v>588</v>
      </c>
      <c r="C986" s="204" t="s">
        <v>1860</v>
      </c>
      <c r="D986" s="193" t="s">
        <v>1861</v>
      </c>
      <c r="E986" s="193" t="s">
        <v>545</v>
      </c>
      <c r="F986" s="196">
        <v>300</v>
      </c>
      <c r="G986" s="194">
        <v>7.6760000000000002</v>
      </c>
      <c r="H986" s="195">
        <v>2302.8000000000002</v>
      </c>
      <c r="I986" s="193" t="s">
        <v>541</v>
      </c>
    </row>
    <row r="987" spans="1:9" x14ac:dyDescent="0.25">
      <c r="A987" s="193" t="s">
        <v>220</v>
      </c>
      <c r="B987" s="193" t="s">
        <v>588</v>
      </c>
      <c r="C987" s="204" t="s">
        <v>1862</v>
      </c>
      <c r="D987" s="193" t="s">
        <v>1863</v>
      </c>
      <c r="E987" s="193" t="s">
        <v>545</v>
      </c>
      <c r="F987" s="196">
        <v>420</v>
      </c>
      <c r="G987" s="194">
        <v>7.6760000000000002</v>
      </c>
      <c r="H987" s="195">
        <v>3223.92</v>
      </c>
      <c r="I987" s="193" t="s">
        <v>541</v>
      </c>
    </row>
    <row r="988" spans="1:9" x14ac:dyDescent="0.25">
      <c r="A988" s="193" t="s">
        <v>220</v>
      </c>
      <c r="B988" s="193" t="s">
        <v>588</v>
      </c>
      <c r="C988" s="204" t="s">
        <v>1864</v>
      </c>
      <c r="D988" s="193" t="s">
        <v>1865</v>
      </c>
      <c r="E988" s="193" t="s">
        <v>545</v>
      </c>
      <c r="F988" s="196">
        <v>80</v>
      </c>
      <c r="G988" s="194">
        <v>0.52629617977528087</v>
      </c>
      <c r="H988" s="195">
        <v>42.103694382022468</v>
      </c>
      <c r="I988" s="193" t="s">
        <v>541</v>
      </c>
    </row>
    <row r="989" spans="1:9" x14ac:dyDescent="0.25">
      <c r="A989" s="193" t="s">
        <v>220</v>
      </c>
      <c r="B989" s="193" t="s">
        <v>588</v>
      </c>
      <c r="C989" s="204" t="s">
        <v>7556</v>
      </c>
      <c r="D989" s="193" t="s">
        <v>7557</v>
      </c>
      <c r="E989" s="193" t="s">
        <v>545</v>
      </c>
      <c r="F989" s="196">
        <v>120</v>
      </c>
      <c r="G989" s="194">
        <v>0.39389999999999997</v>
      </c>
      <c r="H989" s="195">
        <v>47.267999999999994</v>
      </c>
      <c r="I989" s="193" t="s">
        <v>541</v>
      </c>
    </row>
    <row r="990" spans="1:9" x14ac:dyDescent="0.25">
      <c r="A990" s="193" t="s">
        <v>220</v>
      </c>
      <c r="B990" s="193" t="s">
        <v>588</v>
      </c>
      <c r="C990" s="204" t="s">
        <v>1867</v>
      </c>
      <c r="D990" s="193" t="s">
        <v>1868</v>
      </c>
      <c r="E990" s="193" t="s">
        <v>535</v>
      </c>
      <c r="F990" s="196">
        <v>803.2</v>
      </c>
      <c r="G990" s="194">
        <v>5.573250291004328</v>
      </c>
      <c r="H990" s="195">
        <v>4476.4346337346769</v>
      </c>
      <c r="I990" s="193" t="s">
        <v>541</v>
      </c>
    </row>
    <row r="991" spans="1:9" x14ac:dyDescent="0.25">
      <c r="A991" s="193" t="s">
        <v>220</v>
      </c>
      <c r="B991" s="193" t="s">
        <v>588</v>
      </c>
      <c r="C991" s="204" t="s">
        <v>1869</v>
      </c>
      <c r="D991" s="193" t="s">
        <v>1870</v>
      </c>
      <c r="E991" s="193" t="s">
        <v>535</v>
      </c>
      <c r="F991" s="196">
        <v>579.20000000000005</v>
      </c>
      <c r="G991" s="194">
        <v>7.0251807777721247</v>
      </c>
      <c r="H991" s="195">
        <v>4068.9847064856149</v>
      </c>
      <c r="I991" s="193" t="s">
        <v>541</v>
      </c>
    </row>
    <row r="992" spans="1:9" x14ac:dyDescent="0.25">
      <c r="A992" s="193" t="s">
        <v>220</v>
      </c>
      <c r="B992" s="193" t="s">
        <v>588</v>
      </c>
      <c r="C992" s="204" t="s">
        <v>1871</v>
      </c>
      <c r="D992" s="193" t="s">
        <v>1872</v>
      </c>
      <c r="E992" s="193" t="s">
        <v>535</v>
      </c>
      <c r="F992" s="196">
        <v>658.3</v>
      </c>
      <c r="G992" s="194">
        <v>6.9762636401470353</v>
      </c>
      <c r="H992" s="195">
        <v>4592.4743543087934</v>
      </c>
      <c r="I992" s="193" t="s">
        <v>541</v>
      </c>
    </row>
    <row r="993" spans="1:9" x14ac:dyDescent="0.25">
      <c r="A993" s="193" t="s">
        <v>220</v>
      </c>
      <c r="B993" s="193" t="s">
        <v>588</v>
      </c>
      <c r="C993" s="204" t="s">
        <v>1873</v>
      </c>
      <c r="D993" s="193" t="s">
        <v>1874</v>
      </c>
      <c r="E993" s="193" t="s">
        <v>535</v>
      </c>
      <c r="F993" s="196">
        <v>923.4</v>
      </c>
      <c r="G993" s="194">
        <v>4.8500000000000005</v>
      </c>
      <c r="H993" s="195">
        <v>4478.4900000000007</v>
      </c>
      <c r="I993" s="193" t="s">
        <v>541</v>
      </c>
    </row>
    <row r="994" spans="1:9" x14ac:dyDescent="0.25">
      <c r="A994" s="193" t="s">
        <v>220</v>
      </c>
      <c r="B994" s="193" t="s">
        <v>588</v>
      </c>
      <c r="C994" s="204" t="s">
        <v>1875</v>
      </c>
      <c r="D994" s="193" t="s">
        <v>1876</v>
      </c>
      <c r="E994" s="193" t="s">
        <v>535</v>
      </c>
      <c r="F994" s="196">
        <v>389.4</v>
      </c>
      <c r="G994" s="194">
        <v>6.9067564842611908</v>
      </c>
      <c r="H994" s="195">
        <v>2689.4909749713074</v>
      </c>
      <c r="I994" s="193" t="s">
        <v>541</v>
      </c>
    </row>
    <row r="995" spans="1:9" x14ac:dyDescent="0.25">
      <c r="A995" s="193" t="s">
        <v>220</v>
      </c>
      <c r="B995" s="193" t="s">
        <v>588</v>
      </c>
      <c r="C995" s="204" t="s">
        <v>1877</v>
      </c>
      <c r="D995" s="193" t="s">
        <v>1878</v>
      </c>
      <c r="E995" s="193" t="s">
        <v>535</v>
      </c>
      <c r="F995" s="196">
        <v>710</v>
      </c>
      <c r="G995" s="194">
        <v>7.0987832461235545</v>
      </c>
      <c r="H995" s="195">
        <v>5040.1361047477239</v>
      </c>
      <c r="I995" s="193" t="s">
        <v>541</v>
      </c>
    </row>
    <row r="996" spans="1:9" x14ac:dyDescent="0.25">
      <c r="A996" s="193" t="s">
        <v>220</v>
      </c>
      <c r="B996" s="193" t="s">
        <v>588</v>
      </c>
      <c r="C996" s="204" t="s">
        <v>1879</v>
      </c>
      <c r="D996" s="193" t="s">
        <v>1880</v>
      </c>
      <c r="E996" s="193" t="s">
        <v>545</v>
      </c>
      <c r="F996" s="196">
        <v>378</v>
      </c>
      <c r="G996" s="194">
        <v>6.0440149045179323</v>
      </c>
      <c r="H996" s="195">
        <v>2284.6376339077783</v>
      </c>
      <c r="I996" s="193" t="s">
        <v>541</v>
      </c>
    </row>
    <row r="997" spans="1:9" x14ac:dyDescent="0.25">
      <c r="A997" s="193" t="s">
        <v>220</v>
      </c>
      <c r="B997" s="193" t="s">
        <v>588</v>
      </c>
      <c r="C997" s="204" t="s">
        <v>1881</v>
      </c>
      <c r="D997" s="193" t="s">
        <v>1882</v>
      </c>
      <c r="E997" s="193" t="s">
        <v>545</v>
      </c>
      <c r="F997" s="196">
        <v>1348</v>
      </c>
      <c r="G997" s="194">
        <v>33.26469736219822</v>
      </c>
      <c r="H997" s="195">
        <v>44840.812044243197</v>
      </c>
      <c r="I997" s="193" t="s">
        <v>541</v>
      </c>
    </row>
    <row r="998" spans="1:9" x14ac:dyDescent="0.25">
      <c r="A998" s="193" t="s">
        <v>220</v>
      </c>
      <c r="B998" s="193" t="s">
        <v>588</v>
      </c>
      <c r="C998" s="204" t="s">
        <v>1883</v>
      </c>
      <c r="D998" s="193" t="s">
        <v>1884</v>
      </c>
      <c r="E998" s="193" t="s">
        <v>545</v>
      </c>
      <c r="F998" s="196">
        <v>151</v>
      </c>
      <c r="G998" s="194">
        <v>17.112072879693891</v>
      </c>
      <c r="H998" s="195">
        <v>2583.9230048337777</v>
      </c>
      <c r="I998" s="193" t="s">
        <v>541</v>
      </c>
    </row>
    <row r="999" spans="1:9" x14ac:dyDescent="0.25">
      <c r="A999" s="193" t="s">
        <v>220</v>
      </c>
      <c r="B999" s="193" t="s">
        <v>588</v>
      </c>
      <c r="C999" s="204" t="s">
        <v>1885</v>
      </c>
      <c r="D999" s="193" t="s">
        <v>1886</v>
      </c>
      <c r="E999" s="193" t="s">
        <v>545</v>
      </c>
      <c r="F999" s="196">
        <v>17</v>
      </c>
      <c r="G999" s="194">
        <v>17</v>
      </c>
      <c r="H999" s="195">
        <v>289</v>
      </c>
      <c r="I999" s="193" t="s">
        <v>541</v>
      </c>
    </row>
    <row r="1000" spans="1:9" x14ac:dyDescent="0.25">
      <c r="A1000" s="193" t="s">
        <v>220</v>
      </c>
      <c r="B1000" s="193" t="s">
        <v>588</v>
      </c>
      <c r="C1000" s="204" t="s">
        <v>1887</v>
      </c>
      <c r="D1000" s="193" t="s">
        <v>1888</v>
      </c>
      <c r="E1000" s="193" t="s">
        <v>545</v>
      </c>
      <c r="F1000" s="196">
        <v>119</v>
      </c>
      <c r="G1000" s="194">
        <v>27</v>
      </c>
      <c r="H1000" s="195">
        <v>3213</v>
      </c>
      <c r="I1000" s="193" t="s">
        <v>541</v>
      </c>
    </row>
    <row r="1001" spans="1:9" x14ac:dyDescent="0.25">
      <c r="A1001" s="193" t="s">
        <v>220</v>
      </c>
      <c r="B1001" s="193" t="s">
        <v>588</v>
      </c>
      <c r="C1001" s="204" t="s">
        <v>1889</v>
      </c>
      <c r="D1001" s="193" t="s">
        <v>1890</v>
      </c>
      <c r="E1001" s="193" t="s">
        <v>545</v>
      </c>
      <c r="F1001" s="196">
        <v>1000</v>
      </c>
      <c r="G1001" s="194">
        <v>28</v>
      </c>
      <c r="H1001" s="195">
        <v>28000</v>
      </c>
      <c r="I1001" s="193" t="s">
        <v>541</v>
      </c>
    </row>
    <row r="1002" spans="1:9" x14ac:dyDescent="0.25">
      <c r="A1002" s="193" t="s">
        <v>220</v>
      </c>
      <c r="B1002" s="193" t="s">
        <v>588</v>
      </c>
      <c r="C1002" s="204" t="s">
        <v>664</v>
      </c>
      <c r="D1002" s="193" t="s">
        <v>1891</v>
      </c>
      <c r="E1002" s="193" t="s">
        <v>545</v>
      </c>
      <c r="F1002" s="196">
        <v>1095</v>
      </c>
      <c r="G1002" s="194">
        <v>3.2312791788981139</v>
      </c>
      <c r="H1002" s="195">
        <v>3538.2507008934349</v>
      </c>
      <c r="I1002" s="193" t="s">
        <v>541</v>
      </c>
    </row>
    <row r="1003" spans="1:9" x14ac:dyDescent="0.25">
      <c r="A1003" s="193" t="s">
        <v>220</v>
      </c>
      <c r="B1003" s="193" t="s">
        <v>588</v>
      </c>
      <c r="C1003" s="204" t="s">
        <v>1892</v>
      </c>
      <c r="D1003" s="193" t="s">
        <v>1893</v>
      </c>
      <c r="E1003" s="193" t="s">
        <v>1894</v>
      </c>
      <c r="F1003" s="196">
        <v>140</v>
      </c>
      <c r="G1003" s="194">
        <v>3.0348837209302326</v>
      </c>
      <c r="H1003" s="195">
        <v>424.88372093023258</v>
      </c>
      <c r="I1003" s="193" t="s">
        <v>541</v>
      </c>
    </row>
    <row r="1004" spans="1:9" x14ac:dyDescent="0.25">
      <c r="A1004" s="193" t="s">
        <v>220</v>
      </c>
      <c r="B1004" s="193" t="s">
        <v>588</v>
      </c>
      <c r="C1004" s="204" t="s">
        <v>1895</v>
      </c>
      <c r="D1004" s="193" t="s">
        <v>1896</v>
      </c>
      <c r="E1004" s="193" t="s">
        <v>1894</v>
      </c>
      <c r="F1004" s="196">
        <v>400</v>
      </c>
      <c r="G1004" s="194">
        <v>23.74</v>
      </c>
      <c r="H1004" s="195">
        <v>9496</v>
      </c>
      <c r="I1004" s="193" t="s">
        <v>541</v>
      </c>
    </row>
    <row r="1005" spans="1:9" x14ac:dyDescent="0.25">
      <c r="A1005" s="193" t="s">
        <v>220</v>
      </c>
      <c r="B1005" s="193" t="s">
        <v>588</v>
      </c>
      <c r="C1005" s="204" t="s">
        <v>1897</v>
      </c>
      <c r="D1005" s="193" t="s">
        <v>1898</v>
      </c>
      <c r="E1005" s="193" t="s">
        <v>535</v>
      </c>
      <c r="F1005" s="196">
        <v>180</v>
      </c>
      <c r="G1005" s="194">
        <v>55.001795704000003</v>
      </c>
      <c r="H1005" s="195">
        <v>9900.3232267200001</v>
      </c>
      <c r="I1005" s="193" t="s">
        <v>541</v>
      </c>
    </row>
    <row r="1006" spans="1:9" x14ac:dyDescent="0.25">
      <c r="A1006" s="193" t="s">
        <v>220</v>
      </c>
      <c r="B1006" s="193" t="s">
        <v>588</v>
      </c>
      <c r="C1006" s="204" t="s">
        <v>707</v>
      </c>
      <c r="D1006" s="193" t="s">
        <v>373</v>
      </c>
      <c r="E1006" s="193" t="s">
        <v>535</v>
      </c>
      <c r="F1006" s="196">
        <v>975</v>
      </c>
      <c r="G1006" s="194">
        <v>1.35</v>
      </c>
      <c r="H1006" s="195">
        <v>1316.25</v>
      </c>
      <c r="I1006" s="193" t="s">
        <v>541</v>
      </c>
    </row>
    <row r="1007" spans="1:9" x14ac:dyDescent="0.25">
      <c r="A1007" s="193" t="s">
        <v>220</v>
      </c>
      <c r="B1007" s="193" t="s">
        <v>588</v>
      </c>
      <c r="C1007" s="204" t="s">
        <v>700</v>
      </c>
      <c r="D1007" s="193" t="s">
        <v>701</v>
      </c>
      <c r="E1007" s="193" t="s">
        <v>545</v>
      </c>
      <c r="F1007" s="196">
        <v>105</v>
      </c>
      <c r="G1007" s="194">
        <v>30.505706430295458</v>
      </c>
      <c r="H1007" s="195">
        <v>3203.0991751810229</v>
      </c>
      <c r="I1007" s="193" t="s">
        <v>541</v>
      </c>
    </row>
    <row r="1008" spans="1:9" x14ac:dyDescent="0.25">
      <c r="A1008" s="193" t="s">
        <v>220</v>
      </c>
      <c r="B1008" s="193" t="s">
        <v>588</v>
      </c>
      <c r="C1008" s="204" t="s">
        <v>1899</v>
      </c>
      <c r="D1008" s="193" t="s">
        <v>1900</v>
      </c>
      <c r="E1008" s="193" t="s">
        <v>535</v>
      </c>
      <c r="F1008" s="196">
        <v>315</v>
      </c>
      <c r="G1008" s="194">
        <v>19.719606724089637</v>
      </c>
      <c r="H1008" s="195">
        <v>6211.6761180882359</v>
      </c>
      <c r="I1008" s="193" t="s">
        <v>541</v>
      </c>
    </row>
    <row r="1009" spans="1:9" x14ac:dyDescent="0.25">
      <c r="A1009" s="193" t="s">
        <v>220</v>
      </c>
      <c r="B1009" s="193" t="s">
        <v>588</v>
      </c>
      <c r="C1009" s="204" t="s">
        <v>1901</v>
      </c>
      <c r="D1009" s="193" t="s">
        <v>1902</v>
      </c>
      <c r="E1009" s="193" t="s">
        <v>1894</v>
      </c>
      <c r="F1009" s="196">
        <v>120</v>
      </c>
      <c r="G1009" s="194">
        <v>36.402450000000002</v>
      </c>
      <c r="H1009" s="195">
        <v>4368.2939999999999</v>
      </c>
      <c r="I1009" s="193" t="s">
        <v>541</v>
      </c>
    </row>
    <row r="1010" spans="1:9" x14ac:dyDescent="0.25">
      <c r="A1010" s="193" t="s">
        <v>220</v>
      </c>
      <c r="B1010" s="193" t="s">
        <v>588</v>
      </c>
      <c r="C1010" s="204" t="s">
        <v>731</v>
      </c>
      <c r="D1010" s="193" t="s">
        <v>1903</v>
      </c>
      <c r="E1010" s="193" t="s">
        <v>545</v>
      </c>
      <c r="F1010" s="196">
        <v>3</v>
      </c>
      <c r="G1010" s="194">
        <v>145</v>
      </c>
      <c r="H1010" s="195">
        <v>435</v>
      </c>
      <c r="I1010" s="193" t="s">
        <v>541</v>
      </c>
    </row>
    <row r="1011" spans="1:9" x14ac:dyDescent="0.25">
      <c r="A1011" s="193" t="s">
        <v>220</v>
      </c>
      <c r="B1011" s="193" t="s">
        <v>588</v>
      </c>
      <c r="C1011" s="204" t="s">
        <v>1904</v>
      </c>
      <c r="D1011" s="193" t="s">
        <v>1905</v>
      </c>
      <c r="E1011" s="193" t="s">
        <v>545</v>
      </c>
      <c r="F1011" s="196">
        <v>2</v>
      </c>
      <c r="G1011" s="194">
        <v>48.329666666666668</v>
      </c>
      <c r="H1011" s="195">
        <v>96.659333333333336</v>
      </c>
      <c r="I1011" s="193" t="s">
        <v>541</v>
      </c>
    </row>
    <row r="1012" spans="1:9" x14ac:dyDescent="0.25">
      <c r="A1012" s="193" t="s">
        <v>220</v>
      </c>
      <c r="B1012" s="193" t="s">
        <v>588</v>
      </c>
      <c r="C1012" s="204" t="s">
        <v>1906</v>
      </c>
      <c r="D1012" s="193" t="s">
        <v>1907</v>
      </c>
      <c r="E1012" s="193" t="s">
        <v>545</v>
      </c>
      <c r="F1012" s="196">
        <v>16</v>
      </c>
      <c r="G1012" s="194">
        <v>92.91</v>
      </c>
      <c r="H1012" s="195">
        <v>1486.56</v>
      </c>
      <c r="I1012" s="193" t="s">
        <v>541</v>
      </c>
    </row>
    <row r="1013" spans="1:9" x14ac:dyDescent="0.25">
      <c r="A1013" s="193" t="s">
        <v>220</v>
      </c>
      <c r="B1013" s="193" t="s">
        <v>2152</v>
      </c>
      <c r="C1013" s="204" t="s">
        <v>827</v>
      </c>
      <c r="D1013" s="193" t="s">
        <v>828</v>
      </c>
      <c r="E1013" s="193" t="s">
        <v>545</v>
      </c>
      <c r="F1013" s="196">
        <v>283</v>
      </c>
      <c r="G1013" s="194">
        <v>7.9457692462815741</v>
      </c>
      <c r="H1013" s="195">
        <v>2248.6526966976853</v>
      </c>
      <c r="I1013" s="193" t="s">
        <v>541</v>
      </c>
    </row>
    <row r="1014" spans="1:9" x14ac:dyDescent="0.25">
      <c r="A1014" s="193" t="s">
        <v>220</v>
      </c>
      <c r="B1014" s="193" t="s">
        <v>2152</v>
      </c>
      <c r="C1014" s="204" t="s">
        <v>851</v>
      </c>
      <c r="D1014" s="193" t="s">
        <v>852</v>
      </c>
      <c r="E1014" s="193" t="s">
        <v>545</v>
      </c>
      <c r="F1014" s="196">
        <v>216</v>
      </c>
      <c r="G1014" s="194">
        <v>5.4782695444978593</v>
      </c>
      <c r="H1014" s="195">
        <v>1183.3062216115377</v>
      </c>
      <c r="I1014" s="193" t="s">
        <v>541</v>
      </c>
    </row>
    <row r="1015" spans="1:9" x14ac:dyDescent="0.25">
      <c r="A1015" s="193" t="s">
        <v>220</v>
      </c>
      <c r="B1015" s="193" t="s">
        <v>2152</v>
      </c>
      <c r="C1015" s="204" t="s">
        <v>857</v>
      </c>
      <c r="D1015" s="193" t="s">
        <v>858</v>
      </c>
      <c r="E1015" s="193" t="s">
        <v>545</v>
      </c>
      <c r="F1015" s="196">
        <v>123</v>
      </c>
      <c r="G1015" s="194">
        <v>5.9468506015183964</v>
      </c>
      <c r="H1015" s="195">
        <v>731.46262398676276</v>
      </c>
      <c r="I1015" s="193" t="s">
        <v>541</v>
      </c>
    </row>
    <row r="1016" spans="1:9" x14ac:dyDescent="0.25">
      <c r="A1016" s="193" t="s">
        <v>220</v>
      </c>
      <c r="B1016" s="193" t="s">
        <v>2152</v>
      </c>
      <c r="C1016" s="204" t="s">
        <v>2153</v>
      </c>
      <c r="D1016" s="193" t="s">
        <v>2154</v>
      </c>
      <c r="E1016" s="193" t="s">
        <v>545</v>
      </c>
      <c r="F1016" s="196">
        <v>211</v>
      </c>
      <c r="G1016" s="194">
        <v>9.7258153946003176</v>
      </c>
      <c r="H1016" s="195">
        <v>2052.1470482606669</v>
      </c>
      <c r="I1016" s="193" t="s">
        <v>541</v>
      </c>
    </row>
    <row r="1017" spans="1:9" x14ac:dyDescent="0.25">
      <c r="A1017" s="193" t="s">
        <v>220</v>
      </c>
      <c r="B1017" s="193" t="s">
        <v>2152</v>
      </c>
      <c r="C1017" s="204" t="s">
        <v>876</v>
      </c>
      <c r="D1017" s="193" t="s">
        <v>877</v>
      </c>
      <c r="E1017" s="193" t="s">
        <v>545</v>
      </c>
      <c r="F1017" s="196">
        <v>103</v>
      </c>
      <c r="G1017" s="202">
        <v>8.053227749015468</v>
      </c>
      <c r="H1017" s="195">
        <v>829.4824581485932</v>
      </c>
      <c r="I1017" s="193" t="s">
        <v>541</v>
      </c>
    </row>
    <row r="1018" spans="1:9" x14ac:dyDescent="0.25">
      <c r="A1018" s="193" t="s">
        <v>220</v>
      </c>
      <c r="B1018" s="193" t="s">
        <v>2152</v>
      </c>
      <c r="C1018" s="204" t="s">
        <v>894</v>
      </c>
      <c r="D1018" s="193" t="s">
        <v>895</v>
      </c>
      <c r="E1018" s="193" t="s">
        <v>545</v>
      </c>
      <c r="F1018" s="196">
        <v>19</v>
      </c>
      <c r="G1018" s="194">
        <v>23.127588104431553</v>
      </c>
      <c r="H1018" s="195">
        <v>439.42417398419951</v>
      </c>
      <c r="I1018" s="193" t="s">
        <v>541</v>
      </c>
    </row>
    <row r="1019" spans="1:9" x14ac:dyDescent="0.25">
      <c r="A1019" s="193" t="s">
        <v>220</v>
      </c>
      <c r="B1019" s="193" t="s">
        <v>2152</v>
      </c>
      <c r="C1019" s="204" t="s">
        <v>902</v>
      </c>
      <c r="D1019" s="193" t="s">
        <v>903</v>
      </c>
      <c r="E1019" s="193" t="s">
        <v>545</v>
      </c>
      <c r="F1019" s="196">
        <v>131</v>
      </c>
      <c r="G1019" s="194">
        <v>8.2255219304087159</v>
      </c>
      <c r="H1019" s="195">
        <v>1077.5433728835417</v>
      </c>
      <c r="I1019" s="193" t="s">
        <v>541</v>
      </c>
    </row>
    <row r="1020" spans="1:9" x14ac:dyDescent="0.25">
      <c r="A1020" s="193" t="s">
        <v>220</v>
      </c>
      <c r="B1020" s="193" t="s">
        <v>2152</v>
      </c>
      <c r="C1020" s="204" t="s">
        <v>2155</v>
      </c>
      <c r="D1020" s="193" t="s">
        <v>2156</v>
      </c>
      <c r="E1020" s="193" t="s">
        <v>545</v>
      </c>
      <c r="F1020" s="196">
        <v>736</v>
      </c>
      <c r="G1020" s="194">
        <v>7.5318441523671078</v>
      </c>
      <c r="H1020" s="195">
        <v>5543.4372961421914</v>
      </c>
      <c r="I1020" s="193" t="s">
        <v>541</v>
      </c>
    </row>
    <row r="1021" spans="1:9" x14ac:dyDescent="0.25">
      <c r="A1021" s="193" t="s">
        <v>220</v>
      </c>
      <c r="B1021" s="193" t="s">
        <v>2152</v>
      </c>
      <c r="C1021" s="204" t="s">
        <v>909</v>
      </c>
      <c r="D1021" s="193" t="s">
        <v>2157</v>
      </c>
      <c r="E1021" s="193" t="s">
        <v>545</v>
      </c>
      <c r="F1021" s="196">
        <v>360</v>
      </c>
      <c r="G1021" s="194">
        <v>5.2865873581565594</v>
      </c>
      <c r="H1021" s="195">
        <v>1903.1714489363615</v>
      </c>
      <c r="I1021" s="193" t="s">
        <v>541</v>
      </c>
    </row>
    <row r="1022" spans="1:9" x14ac:dyDescent="0.25">
      <c r="A1022" t="s">
        <v>220</v>
      </c>
      <c r="B1022" s="205" t="s">
        <v>2152</v>
      </c>
      <c r="C1022" s="206" t="s">
        <v>911</v>
      </c>
      <c r="D1022" s="205" t="s">
        <v>2158</v>
      </c>
      <c r="E1022" s="205" t="s">
        <v>545</v>
      </c>
      <c r="F1022" s="198">
        <v>770</v>
      </c>
      <c r="G1022" s="207">
        <v>5.6790230360969103</v>
      </c>
      <c r="H1022" s="208">
        <v>4372.847737794621</v>
      </c>
      <c r="I1022" s="205" t="s">
        <v>541</v>
      </c>
    </row>
    <row r="1023" spans="1:9" x14ac:dyDescent="0.25">
      <c r="A1023" s="193" t="s">
        <v>220</v>
      </c>
      <c r="B1023" s="193" t="s">
        <v>2152</v>
      </c>
      <c r="C1023" s="204" t="s">
        <v>913</v>
      </c>
      <c r="D1023" s="193" t="s">
        <v>2159</v>
      </c>
      <c r="E1023" s="193" t="s">
        <v>545</v>
      </c>
      <c r="F1023" s="196">
        <v>1370</v>
      </c>
      <c r="G1023" s="194">
        <v>5.854190761007608</v>
      </c>
      <c r="H1023" s="195">
        <v>8020.2413425804234</v>
      </c>
      <c r="I1023" s="193" t="s">
        <v>541</v>
      </c>
    </row>
    <row r="1024" spans="1:9" x14ac:dyDescent="0.25">
      <c r="A1024" s="193" t="s">
        <v>220</v>
      </c>
      <c r="B1024" s="193" t="s">
        <v>2152</v>
      </c>
      <c r="C1024" s="204" t="s">
        <v>937</v>
      </c>
      <c r="D1024" s="193" t="s">
        <v>2160</v>
      </c>
      <c r="E1024" s="193" t="s">
        <v>545</v>
      </c>
      <c r="F1024" s="196">
        <v>1908</v>
      </c>
      <c r="G1024" s="194">
        <v>4.0436779169907302</v>
      </c>
      <c r="H1024" s="195">
        <v>7715.3374656183132</v>
      </c>
      <c r="I1024" s="193" t="s">
        <v>541</v>
      </c>
    </row>
    <row r="1025" spans="1:9" x14ac:dyDescent="0.25">
      <c r="A1025" s="193" t="s">
        <v>220</v>
      </c>
      <c r="B1025" s="193" t="s">
        <v>2152</v>
      </c>
      <c r="C1025" s="204" t="s">
        <v>957</v>
      </c>
      <c r="D1025" s="193" t="s">
        <v>958</v>
      </c>
      <c r="E1025" s="193" t="s">
        <v>545</v>
      </c>
      <c r="F1025" s="196">
        <v>650</v>
      </c>
      <c r="G1025" s="194">
        <v>4.3222877881831794</v>
      </c>
      <c r="H1025" s="195">
        <v>2809.4870623190668</v>
      </c>
      <c r="I1025" s="193" t="s">
        <v>541</v>
      </c>
    </row>
    <row r="1026" spans="1:9" x14ac:dyDescent="0.25">
      <c r="A1026" s="193" t="s">
        <v>220</v>
      </c>
      <c r="B1026" s="193" t="s">
        <v>2152</v>
      </c>
      <c r="C1026" s="201" t="s">
        <v>959</v>
      </c>
      <c r="D1026" s="193" t="s">
        <v>2161</v>
      </c>
      <c r="E1026" s="201" t="s">
        <v>545</v>
      </c>
      <c r="F1026" s="196">
        <v>3941</v>
      </c>
      <c r="G1026" s="202">
        <v>4.3236851050961489</v>
      </c>
      <c r="H1026" s="195">
        <v>17039.642999183921</v>
      </c>
      <c r="I1026" s="201" t="s">
        <v>541</v>
      </c>
    </row>
    <row r="1027" spans="1:9" x14ac:dyDescent="0.25">
      <c r="A1027" s="193" t="s">
        <v>220</v>
      </c>
      <c r="B1027" s="193" t="s">
        <v>2152</v>
      </c>
      <c r="C1027" s="201" t="s">
        <v>971</v>
      </c>
      <c r="D1027" s="193" t="s">
        <v>2162</v>
      </c>
      <c r="E1027" s="201" t="s">
        <v>545</v>
      </c>
      <c r="F1027" s="196">
        <v>2199</v>
      </c>
      <c r="G1027" s="202">
        <v>5.1094136548213882</v>
      </c>
      <c r="H1027" s="195">
        <v>11235.600626952233</v>
      </c>
      <c r="I1027" s="201" t="s">
        <v>541</v>
      </c>
    </row>
    <row r="1028" spans="1:9" x14ac:dyDescent="0.25">
      <c r="A1028" s="193" t="s">
        <v>220</v>
      </c>
      <c r="B1028" s="193" t="s">
        <v>2152</v>
      </c>
      <c r="C1028" s="193" t="s">
        <v>985</v>
      </c>
      <c r="D1028" s="193" t="s">
        <v>2163</v>
      </c>
      <c r="E1028" s="201" t="s">
        <v>545</v>
      </c>
      <c r="F1028" s="196">
        <v>5746</v>
      </c>
      <c r="G1028" s="202">
        <v>5.2384684435120272</v>
      </c>
      <c r="H1028" s="195">
        <v>30100.239676420108</v>
      </c>
      <c r="I1028" s="201" t="s">
        <v>541</v>
      </c>
    </row>
    <row r="1029" spans="1:9" x14ac:dyDescent="0.25">
      <c r="A1029" s="193" t="s">
        <v>220</v>
      </c>
      <c r="B1029" s="193" t="s">
        <v>2152</v>
      </c>
      <c r="C1029" s="193" t="s">
        <v>1007</v>
      </c>
      <c r="D1029" s="193" t="s">
        <v>2164</v>
      </c>
      <c r="E1029" s="201" t="s">
        <v>545</v>
      </c>
      <c r="F1029" s="196">
        <v>661</v>
      </c>
      <c r="G1029" s="194">
        <v>7.0411855665611025</v>
      </c>
      <c r="H1029" s="195">
        <v>4654.223659496889</v>
      </c>
      <c r="I1029" s="201" t="s">
        <v>541</v>
      </c>
    </row>
    <row r="1030" spans="1:9" x14ac:dyDescent="0.25">
      <c r="A1030" s="193" t="s">
        <v>220</v>
      </c>
      <c r="B1030" s="193" t="s">
        <v>2152</v>
      </c>
      <c r="C1030" s="193" t="s">
        <v>1009</v>
      </c>
      <c r="D1030" s="193" t="s">
        <v>2165</v>
      </c>
      <c r="E1030" s="201" t="s">
        <v>545</v>
      </c>
      <c r="F1030" s="196">
        <v>210</v>
      </c>
      <c r="G1030" s="194">
        <v>7.1245275922579561</v>
      </c>
      <c r="H1030" s="195">
        <v>1496.1507943741708</v>
      </c>
      <c r="I1030" s="201" t="s">
        <v>541</v>
      </c>
    </row>
    <row r="1031" spans="1:9" x14ac:dyDescent="0.25">
      <c r="A1031" s="193" t="s">
        <v>220</v>
      </c>
      <c r="B1031" s="193" t="s">
        <v>2152</v>
      </c>
      <c r="C1031" s="193" t="s">
        <v>2166</v>
      </c>
      <c r="D1031" s="193" t="s">
        <v>2167</v>
      </c>
      <c r="E1031" s="201" t="s">
        <v>545</v>
      </c>
      <c r="F1031" s="196">
        <v>1164</v>
      </c>
      <c r="G1031" s="194">
        <v>7.6764845528992485</v>
      </c>
      <c r="H1031" s="195">
        <v>8935.4280195747251</v>
      </c>
      <c r="I1031" s="201" t="s">
        <v>541</v>
      </c>
    </row>
    <row r="1032" spans="1:9" x14ac:dyDescent="0.25">
      <c r="A1032" s="193" t="s">
        <v>220</v>
      </c>
      <c r="B1032" s="193" t="s">
        <v>2152</v>
      </c>
      <c r="C1032" s="193" t="s">
        <v>2168</v>
      </c>
      <c r="D1032" s="193" t="s">
        <v>2169</v>
      </c>
      <c r="E1032" s="193" t="s">
        <v>545</v>
      </c>
      <c r="F1032" s="196">
        <v>455</v>
      </c>
      <c r="G1032" s="202">
        <v>7.560044501699501</v>
      </c>
      <c r="H1032" s="195">
        <v>3439.8202482732731</v>
      </c>
      <c r="I1032" s="193" t="s">
        <v>541</v>
      </c>
    </row>
    <row r="1033" spans="1:9" x14ac:dyDescent="0.25">
      <c r="A1033" s="193" t="s">
        <v>220</v>
      </c>
      <c r="B1033" s="193" t="s">
        <v>2152</v>
      </c>
      <c r="C1033" s="193" t="s">
        <v>1146</v>
      </c>
      <c r="D1033" s="193" t="s">
        <v>2170</v>
      </c>
      <c r="E1033" s="193" t="s">
        <v>545</v>
      </c>
      <c r="F1033" s="196">
        <v>1400</v>
      </c>
      <c r="G1033" s="194">
        <v>0.04</v>
      </c>
      <c r="H1033" s="195">
        <v>56</v>
      </c>
      <c r="I1033" s="193" t="s">
        <v>541</v>
      </c>
    </row>
    <row r="1034" spans="1:9" x14ac:dyDescent="0.25">
      <c r="A1034" s="193" t="s">
        <v>220</v>
      </c>
      <c r="B1034" s="193" t="s">
        <v>2152</v>
      </c>
      <c r="C1034" s="193" t="s">
        <v>2171</v>
      </c>
      <c r="D1034" s="193" t="s">
        <v>2172</v>
      </c>
      <c r="E1034" s="201" t="s">
        <v>545</v>
      </c>
      <c r="F1034" s="196">
        <v>2670</v>
      </c>
      <c r="G1034" s="194">
        <v>0.27994328621908127</v>
      </c>
      <c r="H1034" s="195">
        <v>747.44857420494702</v>
      </c>
      <c r="I1034" s="201" t="s">
        <v>541</v>
      </c>
    </row>
    <row r="1035" spans="1:9" x14ac:dyDescent="0.25">
      <c r="A1035" s="193" t="s">
        <v>220</v>
      </c>
      <c r="B1035" s="193" t="s">
        <v>2152</v>
      </c>
      <c r="C1035" s="193" t="s">
        <v>2173</v>
      </c>
      <c r="D1035" s="193" t="s">
        <v>2174</v>
      </c>
      <c r="E1035" s="193" t="s">
        <v>545</v>
      </c>
      <c r="F1035" s="195">
        <v>1500</v>
      </c>
      <c r="G1035" s="202">
        <v>0.21687358490566039</v>
      </c>
      <c r="H1035" s="195">
        <v>325.3103773584906</v>
      </c>
      <c r="I1035" s="193" t="s">
        <v>541</v>
      </c>
    </row>
    <row r="1036" spans="1:9" x14ac:dyDescent="0.25">
      <c r="A1036" s="193" t="s">
        <v>220</v>
      </c>
      <c r="B1036" s="193" t="s">
        <v>2152</v>
      </c>
      <c r="C1036" s="193" t="s">
        <v>2175</v>
      </c>
      <c r="D1036" s="193" t="s">
        <v>2176</v>
      </c>
      <c r="E1036" s="193" t="s">
        <v>545</v>
      </c>
      <c r="F1036" s="195">
        <v>400</v>
      </c>
      <c r="G1036" s="194">
        <v>0.13</v>
      </c>
      <c r="H1036" s="195">
        <v>52</v>
      </c>
      <c r="I1036" s="193" t="s">
        <v>541</v>
      </c>
    </row>
    <row r="1037" spans="1:9" x14ac:dyDescent="0.25">
      <c r="A1037" s="193" t="s">
        <v>220</v>
      </c>
      <c r="B1037" s="193" t="s">
        <v>2152</v>
      </c>
      <c r="C1037" s="193" t="s">
        <v>2177</v>
      </c>
      <c r="D1037" s="193" t="s">
        <v>2178</v>
      </c>
      <c r="E1037" s="193" t="s">
        <v>545</v>
      </c>
      <c r="F1037" s="200">
        <v>150</v>
      </c>
      <c r="G1037" s="199">
        <v>2.9794999999999998</v>
      </c>
      <c r="H1037" s="195">
        <v>446.92499999999995</v>
      </c>
      <c r="I1037" s="193" t="s">
        <v>541</v>
      </c>
    </row>
    <row r="1038" spans="1:9" x14ac:dyDescent="0.25">
      <c r="A1038" s="193" t="s">
        <v>220</v>
      </c>
      <c r="B1038" s="193" t="s">
        <v>2152</v>
      </c>
      <c r="C1038" s="193" t="s">
        <v>2179</v>
      </c>
      <c r="D1038" s="193" t="s">
        <v>2180</v>
      </c>
      <c r="E1038" s="193" t="s">
        <v>545</v>
      </c>
      <c r="F1038" s="209">
        <v>1500</v>
      </c>
      <c r="G1038" s="199">
        <v>0.25755</v>
      </c>
      <c r="H1038" s="195">
        <v>386.32499999999999</v>
      </c>
      <c r="I1038" s="193" t="s">
        <v>541</v>
      </c>
    </row>
    <row r="1039" spans="1:9" x14ac:dyDescent="0.25">
      <c r="A1039" s="193" t="s">
        <v>220</v>
      </c>
      <c r="B1039" s="193" t="s">
        <v>2152</v>
      </c>
      <c r="C1039" s="193" t="s">
        <v>2181</v>
      </c>
      <c r="D1039" s="193" t="s">
        <v>2182</v>
      </c>
      <c r="E1039" s="193" t="s">
        <v>545</v>
      </c>
      <c r="F1039" s="195">
        <v>1500</v>
      </c>
      <c r="G1039" s="199">
        <v>0.31655998148353298</v>
      </c>
      <c r="H1039" s="195">
        <v>474.83997222529945</v>
      </c>
      <c r="I1039" s="193" t="s">
        <v>541</v>
      </c>
    </row>
    <row r="1040" spans="1:9" x14ac:dyDescent="0.25">
      <c r="A1040" s="193" t="s">
        <v>220</v>
      </c>
      <c r="B1040" s="193" t="s">
        <v>2152</v>
      </c>
      <c r="C1040" s="193" t="s">
        <v>2183</v>
      </c>
      <c r="D1040" s="193" t="s">
        <v>2184</v>
      </c>
      <c r="E1040" s="193" t="s">
        <v>545</v>
      </c>
      <c r="F1040" s="195">
        <v>1000</v>
      </c>
      <c r="G1040" s="199">
        <v>0.24745</v>
      </c>
      <c r="H1040" s="195">
        <v>247.45000000000002</v>
      </c>
      <c r="I1040" s="193" t="s">
        <v>541</v>
      </c>
    </row>
    <row r="1041" spans="1:9" x14ac:dyDescent="0.25">
      <c r="A1041" s="193" t="s">
        <v>220</v>
      </c>
      <c r="B1041" s="193" t="s">
        <v>2152</v>
      </c>
      <c r="C1041" s="193" t="s">
        <v>2185</v>
      </c>
      <c r="D1041" s="193" t="s">
        <v>2186</v>
      </c>
      <c r="E1041" s="201" t="s">
        <v>545</v>
      </c>
      <c r="F1041" s="210">
        <v>1000</v>
      </c>
      <c r="G1041" s="194">
        <v>0.38031635542247016</v>
      </c>
      <c r="H1041" s="195">
        <v>380.31635542247017</v>
      </c>
      <c r="I1041" s="201" t="s">
        <v>541</v>
      </c>
    </row>
    <row r="1042" spans="1:9" x14ac:dyDescent="0.25">
      <c r="A1042" s="193" t="s">
        <v>220</v>
      </c>
      <c r="B1042" s="193" t="s">
        <v>2152</v>
      </c>
      <c r="C1042" s="211" t="s">
        <v>2187</v>
      </c>
      <c r="D1042" s="205" t="s">
        <v>2188</v>
      </c>
      <c r="E1042" s="212" t="s">
        <v>545</v>
      </c>
      <c r="F1042" s="213">
        <v>2500</v>
      </c>
      <c r="G1042" s="194">
        <v>0.34593227430373091</v>
      </c>
      <c r="H1042" s="195">
        <v>864.83068575932725</v>
      </c>
      <c r="I1042" s="212" t="s">
        <v>541</v>
      </c>
    </row>
    <row r="1043" spans="1:9" x14ac:dyDescent="0.25">
      <c r="A1043" s="193" t="s">
        <v>220</v>
      </c>
      <c r="B1043" s="193" t="s">
        <v>2152</v>
      </c>
      <c r="C1043" s="214" t="s">
        <v>2189</v>
      </c>
      <c r="D1043" s="193" t="s">
        <v>2190</v>
      </c>
      <c r="E1043" s="212" t="s">
        <v>545</v>
      </c>
      <c r="F1043" s="213">
        <v>3000</v>
      </c>
      <c r="G1043" s="194">
        <v>0.52613787528868361</v>
      </c>
      <c r="H1043" s="195">
        <v>1578.4136258660508</v>
      </c>
      <c r="I1043" s="212" t="s">
        <v>541</v>
      </c>
    </row>
    <row r="1044" spans="1:9" x14ac:dyDescent="0.25">
      <c r="A1044" s="193" t="s">
        <v>220</v>
      </c>
      <c r="B1044" s="193" t="s">
        <v>2152</v>
      </c>
      <c r="C1044" s="214" t="s">
        <v>2191</v>
      </c>
      <c r="D1044" s="193" t="s">
        <v>2192</v>
      </c>
      <c r="E1044" s="212" t="s">
        <v>545</v>
      </c>
      <c r="F1044" s="213">
        <v>2000</v>
      </c>
      <c r="G1044" s="194">
        <v>0.25755</v>
      </c>
      <c r="H1044" s="195">
        <v>515.1</v>
      </c>
      <c r="I1044" s="212" t="s">
        <v>541</v>
      </c>
    </row>
    <row r="1045" spans="1:9" x14ac:dyDescent="0.25">
      <c r="A1045" s="193" t="s">
        <v>220</v>
      </c>
      <c r="B1045" s="193" t="s">
        <v>2152</v>
      </c>
      <c r="C1045" s="214" t="s">
        <v>2193</v>
      </c>
      <c r="D1045" s="193" t="s">
        <v>2194</v>
      </c>
      <c r="E1045" s="212" t="s">
        <v>545</v>
      </c>
      <c r="F1045" s="213">
        <v>3000</v>
      </c>
      <c r="G1045" s="194">
        <v>0.23520000000000002</v>
      </c>
      <c r="H1045" s="195">
        <v>705.6</v>
      </c>
      <c r="I1045" s="212" t="s">
        <v>541</v>
      </c>
    </row>
    <row r="1046" spans="1:9" x14ac:dyDescent="0.25">
      <c r="A1046" s="193" t="s">
        <v>220</v>
      </c>
      <c r="B1046" s="193" t="s">
        <v>2152</v>
      </c>
      <c r="C1046" s="214" t="s">
        <v>2195</v>
      </c>
      <c r="D1046" s="193" t="s">
        <v>2196</v>
      </c>
      <c r="E1046" s="212" t="s">
        <v>545</v>
      </c>
      <c r="F1046" s="213">
        <v>500</v>
      </c>
      <c r="G1046" s="194">
        <v>0.24</v>
      </c>
      <c r="H1046" s="195">
        <v>120</v>
      </c>
      <c r="I1046" s="212" t="s">
        <v>541</v>
      </c>
    </row>
    <row r="1047" spans="1:9" x14ac:dyDescent="0.25">
      <c r="A1047" s="193" t="s">
        <v>220</v>
      </c>
      <c r="B1047" s="193" t="s">
        <v>2152</v>
      </c>
      <c r="C1047" s="214" t="s">
        <v>2197</v>
      </c>
      <c r="D1047" s="193" t="s">
        <v>2198</v>
      </c>
      <c r="E1047" s="212" t="s">
        <v>545</v>
      </c>
      <c r="F1047" s="213">
        <v>3100</v>
      </c>
      <c r="G1047" s="194">
        <v>0.27929999999999999</v>
      </c>
      <c r="H1047" s="195">
        <v>865.82999999999993</v>
      </c>
      <c r="I1047" s="212" t="s">
        <v>541</v>
      </c>
    </row>
    <row r="1048" spans="1:9" x14ac:dyDescent="0.25">
      <c r="A1048" s="193" t="s">
        <v>220</v>
      </c>
      <c r="B1048" s="193" t="s">
        <v>2152</v>
      </c>
      <c r="C1048" s="214" t="s">
        <v>1306</v>
      </c>
      <c r="D1048" s="193" t="s">
        <v>1307</v>
      </c>
      <c r="E1048" s="212" t="s">
        <v>545</v>
      </c>
      <c r="F1048" s="213">
        <v>1500</v>
      </c>
      <c r="G1048" s="194">
        <v>0.30528988899645421</v>
      </c>
      <c r="H1048" s="195">
        <v>457.9348334946813</v>
      </c>
      <c r="I1048" s="212" t="s">
        <v>541</v>
      </c>
    </row>
    <row r="1049" spans="1:9" x14ac:dyDescent="0.25">
      <c r="A1049" s="193" t="s">
        <v>220</v>
      </c>
      <c r="B1049" s="193" t="s">
        <v>2152</v>
      </c>
      <c r="C1049" s="214" t="s">
        <v>1308</v>
      </c>
      <c r="D1049" s="193" t="s">
        <v>1309</v>
      </c>
      <c r="E1049" s="212" t="s">
        <v>545</v>
      </c>
      <c r="F1049" s="213">
        <v>2500</v>
      </c>
      <c r="G1049" s="194">
        <v>0.54727052307402646</v>
      </c>
      <c r="H1049" s="195">
        <v>1368.1763076850661</v>
      </c>
      <c r="I1049" s="212" t="s">
        <v>541</v>
      </c>
    </row>
    <row r="1050" spans="1:9" x14ac:dyDescent="0.25">
      <c r="A1050" s="193" t="s">
        <v>220</v>
      </c>
      <c r="B1050" s="193" t="s">
        <v>2152</v>
      </c>
      <c r="C1050" s="214" t="s">
        <v>2199</v>
      </c>
      <c r="D1050" s="193" t="s">
        <v>2200</v>
      </c>
      <c r="E1050" s="212" t="s">
        <v>545</v>
      </c>
      <c r="F1050" s="213">
        <v>4512</v>
      </c>
      <c r="G1050" s="194">
        <v>0.5179883361683012</v>
      </c>
      <c r="H1050" s="195">
        <v>2337.163372791375</v>
      </c>
      <c r="I1050" s="212" t="s">
        <v>541</v>
      </c>
    </row>
    <row r="1051" spans="1:9" x14ac:dyDescent="0.25">
      <c r="A1051" s="193" t="s">
        <v>220</v>
      </c>
      <c r="B1051" s="193" t="s">
        <v>2152</v>
      </c>
      <c r="C1051" s="214" t="s">
        <v>1310</v>
      </c>
      <c r="D1051" s="193" t="s">
        <v>1311</v>
      </c>
      <c r="E1051" s="212" t="s">
        <v>545</v>
      </c>
      <c r="F1051" s="213">
        <v>400</v>
      </c>
      <c r="G1051" s="194">
        <v>1.3230641258607909</v>
      </c>
      <c r="H1051" s="195">
        <v>529.22565034431636</v>
      </c>
      <c r="I1051" s="212" t="s">
        <v>541</v>
      </c>
    </row>
    <row r="1052" spans="1:9" x14ac:dyDescent="0.25">
      <c r="A1052" s="193" t="s">
        <v>220</v>
      </c>
      <c r="B1052" s="193" t="s">
        <v>2152</v>
      </c>
      <c r="C1052" s="214" t="s">
        <v>2201</v>
      </c>
      <c r="D1052" s="193" t="s">
        <v>2202</v>
      </c>
      <c r="E1052" s="212" t="s">
        <v>545</v>
      </c>
      <c r="F1052" s="215">
        <v>1700</v>
      </c>
      <c r="G1052" s="194">
        <v>0.5252</v>
      </c>
      <c r="H1052" s="195">
        <v>892.84</v>
      </c>
      <c r="I1052" s="212" t="s">
        <v>541</v>
      </c>
    </row>
    <row r="1053" spans="1:9" x14ac:dyDescent="0.25">
      <c r="A1053" s="193" t="s">
        <v>220</v>
      </c>
      <c r="B1053" s="193" t="s">
        <v>2152</v>
      </c>
      <c r="C1053" s="214" t="s">
        <v>2203</v>
      </c>
      <c r="D1053" s="193" t="s">
        <v>2204</v>
      </c>
      <c r="E1053" s="212" t="s">
        <v>545</v>
      </c>
      <c r="F1053" s="213">
        <v>2922</v>
      </c>
      <c r="G1053" s="194">
        <v>0.43394054054054054</v>
      </c>
      <c r="H1053" s="195">
        <v>1267.9742594594595</v>
      </c>
      <c r="I1053" s="212" t="s">
        <v>541</v>
      </c>
    </row>
    <row r="1054" spans="1:9" x14ac:dyDescent="0.25">
      <c r="A1054" s="193" t="s">
        <v>220</v>
      </c>
      <c r="B1054" s="193" t="s">
        <v>2152</v>
      </c>
      <c r="C1054" s="214" t="s">
        <v>2205</v>
      </c>
      <c r="D1054" s="193" t="s">
        <v>2206</v>
      </c>
      <c r="E1054" s="212" t="s">
        <v>545</v>
      </c>
      <c r="F1054" s="213">
        <v>500</v>
      </c>
      <c r="G1054" s="194">
        <v>0.30804999999999999</v>
      </c>
      <c r="H1054" s="195">
        <v>154.02500000000001</v>
      </c>
      <c r="I1054" s="212" t="s">
        <v>541</v>
      </c>
    </row>
    <row r="1055" spans="1:9" x14ac:dyDescent="0.25">
      <c r="A1055" s="193" t="s">
        <v>220</v>
      </c>
      <c r="B1055" s="193" t="s">
        <v>2152</v>
      </c>
      <c r="C1055" s="214" t="s">
        <v>2207</v>
      </c>
      <c r="D1055" s="193" t="s">
        <v>2208</v>
      </c>
      <c r="E1055" s="212" t="s">
        <v>545</v>
      </c>
      <c r="F1055" s="213">
        <v>1000</v>
      </c>
      <c r="G1055" s="194">
        <v>0.38887059473350172</v>
      </c>
      <c r="H1055" s="195">
        <v>388.87059473350172</v>
      </c>
      <c r="I1055" s="212" t="s">
        <v>541</v>
      </c>
    </row>
    <row r="1056" spans="1:9" x14ac:dyDescent="0.25">
      <c r="A1056" s="193" t="s">
        <v>220</v>
      </c>
      <c r="B1056" s="193" t="s">
        <v>2152</v>
      </c>
      <c r="C1056" s="214" t="s">
        <v>2209</v>
      </c>
      <c r="D1056" s="193" t="s">
        <v>2210</v>
      </c>
      <c r="E1056" s="212" t="s">
        <v>545</v>
      </c>
      <c r="F1056" s="213">
        <v>1500</v>
      </c>
      <c r="G1056" s="194">
        <v>0.27777639182522906</v>
      </c>
      <c r="H1056" s="195">
        <v>416.66458773784359</v>
      </c>
      <c r="I1056" s="212" t="s">
        <v>541</v>
      </c>
    </row>
    <row r="1057" spans="1:9" x14ac:dyDescent="0.25">
      <c r="A1057" s="193" t="s">
        <v>220</v>
      </c>
      <c r="B1057" s="193" t="s">
        <v>2152</v>
      </c>
      <c r="C1057" s="214" t="s">
        <v>2211</v>
      </c>
      <c r="D1057" s="193" t="s">
        <v>2212</v>
      </c>
      <c r="E1057" s="212" t="s">
        <v>545</v>
      </c>
      <c r="F1057" s="213">
        <v>2000</v>
      </c>
      <c r="G1057" s="194">
        <v>0.5252</v>
      </c>
      <c r="H1057" s="195">
        <v>1050.4000000000001</v>
      </c>
      <c r="I1057" s="212" t="s">
        <v>541</v>
      </c>
    </row>
    <row r="1058" spans="1:9" x14ac:dyDescent="0.25">
      <c r="A1058" s="193" t="s">
        <v>220</v>
      </c>
      <c r="B1058" s="193" t="s">
        <v>2152</v>
      </c>
      <c r="C1058" s="214" t="s">
        <v>2213</v>
      </c>
      <c r="D1058" s="193" t="s">
        <v>2214</v>
      </c>
      <c r="E1058" s="212" t="s">
        <v>545</v>
      </c>
      <c r="F1058" s="213">
        <v>1000</v>
      </c>
      <c r="G1058" s="194">
        <v>0.17728474576271186</v>
      </c>
      <c r="H1058" s="195">
        <v>177.28474576271185</v>
      </c>
      <c r="I1058" s="212" t="s">
        <v>541</v>
      </c>
    </row>
    <row r="1059" spans="1:9" x14ac:dyDescent="0.25">
      <c r="A1059" s="193" t="s">
        <v>220</v>
      </c>
      <c r="B1059" s="193" t="s">
        <v>2152</v>
      </c>
      <c r="C1059" s="214" t="s">
        <v>2215</v>
      </c>
      <c r="D1059" s="193" t="s">
        <v>2216</v>
      </c>
      <c r="E1059" s="212" t="s">
        <v>545</v>
      </c>
      <c r="F1059" s="213">
        <v>2600</v>
      </c>
      <c r="G1059" s="194">
        <v>0.2643177602198557</v>
      </c>
      <c r="H1059" s="195">
        <v>687.22617657162482</v>
      </c>
      <c r="I1059" s="212" t="s">
        <v>541</v>
      </c>
    </row>
    <row r="1060" spans="1:9" x14ac:dyDescent="0.25">
      <c r="A1060" s="193" t="s">
        <v>220</v>
      </c>
      <c r="B1060" s="193" t="s">
        <v>2152</v>
      </c>
      <c r="C1060" s="214" t="s">
        <v>2217</v>
      </c>
      <c r="D1060" s="193" t="s">
        <v>2218</v>
      </c>
      <c r="E1060" s="212" t="s">
        <v>545</v>
      </c>
      <c r="F1060" s="213">
        <v>2000</v>
      </c>
      <c r="G1060" s="194">
        <v>0.21210000000000001</v>
      </c>
      <c r="H1060" s="195">
        <v>424.20000000000005</v>
      </c>
      <c r="I1060" s="212" t="s">
        <v>541</v>
      </c>
    </row>
    <row r="1061" spans="1:9" x14ac:dyDescent="0.25">
      <c r="A1061" s="193" t="s">
        <v>220</v>
      </c>
      <c r="B1061" s="193" t="s">
        <v>2152</v>
      </c>
      <c r="C1061" s="214" t="s">
        <v>2219</v>
      </c>
      <c r="D1061" s="193" t="s">
        <v>2220</v>
      </c>
      <c r="E1061" s="212" t="s">
        <v>545</v>
      </c>
      <c r="F1061" s="213">
        <v>1100</v>
      </c>
      <c r="G1061" s="194">
        <v>0.31303508531644125</v>
      </c>
      <c r="H1061" s="195">
        <v>344.3385938480854</v>
      </c>
      <c r="I1061" s="212" t="s">
        <v>541</v>
      </c>
    </row>
    <row r="1062" spans="1:9" x14ac:dyDescent="0.25">
      <c r="A1062" s="193" t="s">
        <v>220</v>
      </c>
      <c r="B1062" s="193" t="s">
        <v>2152</v>
      </c>
      <c r="C1062" s="214" t="s">
        <v>2221</v>
      </c>
      <c r="D1062" s="193" t="s">
        <v>2222</v>
      </c>
      <c r="E1062" s="212" t="s">
        <v>545</v>
      </c>
      <c r="F1062" s="213">
        <v>2100</v>
      </c>
      <c r="G1062" s="194">
        <v>0.36359999999999998</v>
      </c>
      <c r="H1062" s="195">
        <v>763.56</v>
      </c>
      <c r="I1062" s="212" t="s">
        <v>541</v>
      </c>
    </row>
    <row r="1063" spans="1:9" x14ac:dyDescent="0.25">
      <c r="A1063" s="193" t="s">
        <v>220</v>
      </c>
      <c r="B1063" s="193" t="s">
        <v>2152</v>
      </c>
      <c r="C1063" s="214" t="s">
        <v>2223</v>
      </c>
      <c r="D1063" s="193" t="s">
        <v>2224</v>
      </c>
      <c r="E1063" s="212" t="s">
        <v>545</v>
      </c>
      <c r="F1063" s="213">
        <v>1000</v>
      </c>
      <c r="G1063" s="194">
        <v>0.2727</v>
      </c>
      <c r="H1063" s="195">
        <v>272.7</v>
      </c>
      <c r="I1063" s="212" t="s">
        <v>541</v>
      </c>
    </row>
    <row r="1064" spans="1:9" x14ac:dyDescent="0.25">
      <c r="A1064" s="193" t="s">
        <v>220</v>
      </c>
      <c r="B1064" s="193" t="s">
        <v>2152</v>
      </c>
      <c r="C1064" s="214" t="s">
        <v>2225</v>
      </c>
      <c r="D1064" s="193" t="s">
        <v>2226</v>
      </c>
      <c r="E1064" s="212" t="s">
        <v>545</v>
      </c>
      <c r="F1064" s="213">
        <v>500</v>
      </c>
      <c r="G1064" s="194">
        <v>0.30804999999999999</v>
      </c>
      <c r="H1064" s="195">
        <v>154.02500000000001</v>
      </c>
      <c r="I1064" s="212" t="s">
        <v>541</v>
      </c>
    </row>
    <row r="1065" spans="1:9" x14ac:dyDescent="0.25">
      <c r="A1065" s="193" t="s">
        <v>220</v>
      </c>
      <c r="B1065" s="193" t="s">
        <v>2152</v>
      </c>
      <c r="C1065" s="214" t="s">
        <v>2227</v>
      </c>
      <c r="D1065" s="193" t="s">
        <v>2228</v>
      </c>
      <c r="E1065" s="212" t="s">
        <v>545</v>
      </c>
      <c r="F1065" s="213">
        <v>1000</v>
      </c>
      <c r="G1065" s="194">
        <v>0.60599999999999998</v>
      </c>
      <c r="H1065" s="195">
        <v>606</v>
      </c>
      <c r="I1065" s="212" t="s">
        <v>541</v>
      </c>
    </row>
    <row r="1066" spans="1:9" x14ac:dyDescent="0.25">
      <c r="A1066" s="193" t="s">
        <v>220</v>
      </c>
      <c r="B1066" s="193" t="s">
        <v>2152</v>
      </c>
      <c r="C1066" s="214" t="s">
        <v>2229</v>
      </c>
      <c r="D1066" s="193" t="s">
        <v>2230</v>
      </c>
      <c r="E1066" s="212" t="s">
        <v>545</v>
      </c>
      <c r="F1066" s="213">
        <v>2000</v>
      </c>
      <c r="G1066" s="194">
        <v>0.23786557377049181</v>
      </c>
      <c r="H1066" s="195">
        <v>475.73114754098361</v>
      </c>
      <c r="I1066" s="212" t="s">
        <v>541</v>
      </c>
    </row>
    <row r="1067" spans="1:9" x14ac:dyDescent="0.25">
      <c r="A1067" s="193" t="s">
        <v>220</v>
      </c>
      <c r="B1067" s="193" t="s">
        <v>2152</v>
      </c>
      <c r="C1067" s="214" t="s">
        <v>2231</v>
      </c>
      <c r="D1067" s="193" t="s">
        <v>2232</v>
      </c>
      <c r="E1067" s="212" t="s">
        <v>545</v>
      </c>
      <c r="F1067" s="213">
        <v>2000</v>
      </c>
      <c r="G1067" s="194">
        <v>0.29795000000000005</v>
      </c>
      <c r="H1067" s="195">
        <v>595.90000000000009</v>
      </c>
      <c r="I1067" s="212" t="s">
        <v>541</v>
      </c>
    </row>
    <row r="1068" spans="1:9" x14ac:dyDescent="0.25">
      <c r="A1068" s="193" t="s">
        <v>220</v>
      </c>
      <c r="B1068" s="193" t="s">
        <v>2152</v>
      </c>
      <c r="C1068" s="214" t="s">
        <v>2233</v>
      </c>
      <c r="D1068" s="193" t="s">
        <v>2234</v>
      </c>
      <c r="E1068" s="212" t="s">
        <v>545</v>
      </c>
      <c r="F1068" s="213">
        <v>4130</v>
      </c>
      <c r="G1068" s="194">
        <v>0.36605889272446068</v>
      </c>
      <c r="H1068" s="195">
        <v>1511.8232269520227</v>
      </c>
      <c r="I1068" s="212" t="s">
        <v>541</v>
      </c>
    </row>
    <row r="1069" spans="1:9" x14ac:dyDescent="0.25">
      <c r="A1069" s="193" t="s">
        <v>220</v>
      </c>
      <c r="B1069" s="193" t="s">
        <v>2152</v>
      </c>
      <c r="C1069" s="214" t="s">
        <v>1428</v>
      </c>
      <c r="D1069" s="193" t="s">
        <v>1429</v>
      </c>
      <c r="E1069" s="212" t="s">
        <v>545</v>
      </c>
      <c r="F1069" s="213">
        <v>3000</v>
      </c>
      <c r="G1069" s="194">
        <v>0.39777166666666669</v>
      </c>
      <c r="H1069" s="195">
        <v>1193.3150000000001</v>
      </c>
      <c r="I1069" s="212" t="s">
        <v>541</v>
      </c>
    </row>
    <row r="1070" spans="1:9" x14ac:dyDescent="0.25">
      <c r="A1070" s="193" t="s">
        <v>220</v>
      </c>
      <c r="B1070" s="193" t="s">
        <v>2152</v>
      </c>
      <c r="C1070" s="214" t="s">
        <v>1430</v>
      </c>
      <c r="D1070" s="193" t="s">
        <v>1431</v>
      </c>
      <c r="E1070" s="212" t="s">
        <v>545</v>
      </c>
      <c r="F1070" s="213">
        <v>5000</v>
      </c>
      <c r="G1070" s="194">
        <v>0.35469657378740971</v>
      </c>
      <c r="H1070" s="195">
        <v>1773.4828689370486</v>
      </c>
      <c r="I1070" s="212" t="s">
        <v>541</v>
      </c>
    </row>
    <row r="1071" spans="1:9" x14ac:dyDescent="0.25">
      <c r="A1071" s="193" t="s">
        <v>220</v>
      </c>
      <c r="B1071" s="193" t="s">
        <v>2152</v>
      </c>
      <c r="C1071" s="214" t="s">
        <v>1432</v>
      </c>
      <c r="D1071" s="193" t="s">
        <v>1433</v>
      </c>
      <c r="E1071" s="212" t="s">
        <v>545</v>
      </c>
      <c r="F1071" s="213">
        <v>3050</v>
      </c>
      <c r="G1071" s="194">
        <v>0.47470000000000007</v>
      </c>
      <c r="H1071" s="195">
        <v>1447.8350000000003</v>
      </c>
      <c r="I1071" s="212" t="s">
        <v>541</v>
      </c>
    </row>
    <row r="1072" spans="1:9" x14ac:dyDescent="0.25">
      <c r="A1072" s="193" t="s">
        <v>220</v>
      </c>
      <c r="B1072" s="193" t="s">
        <v>2152</v>
      </c>
      <c r="C1072" s="214" t="s">
        <v>1434</v>
      </c>
      <c r="D1072" s="193" t="s">
        <v>1435</v>
      </c>
      <c r="E1072" s="212" t="s">
        <v>545</v>
      </c>
      <c r="F1072" s="213">
        <v>3096</v>
      </c>
      <c r="G1072" s="194">
        <v>0.48984999999999995</v>
      </c>
      <c r="H1072" s="195">
        <v>1516.5755999999999</v>
      </c>
      <c r="I1072" s="212" t="s">
        <v>541</v>
      </c>
    </row>
    <row r="1073" spans="1:9" x14ac:dyDescent="0.25">
      <c r="A1073" s="193" t="s">
        <v>220</v>
      </c>
      <c r="B1073" s="193" t="s">
        <v>2152</v>
      </c>
      <c r="C1073" s="214" t="s">
        <v>2235</v>
      </c>
      <c r="D1073" s="193" t="s">
        <v>1437</v>
      </c>
      <c r="E1073" s="212" t="s">
        <v>545</v>
      </c>
      <c r="F1073" s="213">
        <v>1000</v>
      </c>
      <c r="G1073" s="194">
        <v>0.63629999999999998</v>
      </c>
      <c r="H1073" s="195">
        <v>636.29999999999995</v>
      </c>
      <c r="I1073" s="212" t="s">
        <v>541</v>
      </c>
    </row>
    <row r="1074" spans="1:9" x14ac:dyDescent="0.25">
      <c r="A1074" s="193" t="s">
        <v>220</v>
      </c>
      <c r="B1074" s="193" t="s">
        <v>2152</v>
      </c>
      <c r="C1074" s="214" t="s">
        <v>2236</v>
      </c>
      <c r="D1074" s="193" t="s">
        <v>2237</v>
      </c>
      <c r="E1074" s="212" t="s">
        <v>545</v>
      </c>
      <c r="F1074" s="213">
        <v>3000</v>
      </c>
      <c r="G1074" s="194">
        <v>0.1</v>
      </c>
      <c r="H1074" s="195">
        <v>300</v>
      </c>
      <c r="I1074" s="212" t="s">
        <v>541</v>
      </c>
    </row>
    <row r="1075" spans="1:9" x14ac:dyDescent="0.25">
      <c r="A1075" s="193" t="s">
        <v>220</v>
      </c>
      <c r="B1075" s="193" t="s">
        <v>2152</v>
      </c>
      <c r="C1075" s="214" t="s">
        <v>2238</v>
      </c>
      <c r="D1075" s="193" t="s">
        <v>2239</v>
      </c>
      <c r="E1075" s="212" t="s">
        <v>545</v>
      </c>
      <c r="F1075" s="213">
        <v>2500</v>
      </c>
      <c r="G1075" s="194">
        <v>0.06</v>
      </c>
      <c r="H1075" s="195">
        <v>150</v>
      </c>
      <c r="I1075" s="212" t="s">
        <v>541</v>
      </c>
    </row>
    <row r="1076" spans="1:9" x14ac:dyDescent="0.25">
      <c r="A1076" s="193" t="s">
        <v>220</v>
      </c>
      <c r="B1076" s="193" t="s">
        <v>2152</v>
      </c>
      <c r="C1076" s="214" t="s">
        <v>2240</v>
      </c>
      <c r="D1076" s="193" t="s">
        <v>2241</v>
      </c>
      <c r="E1076" s="212" t="s">
        <v>545</v>
      </c>
      <c r="F1076" s="213">
        <v>2500</v>
      </c>
      <c r="G1076" s="194">
        <v>0.2518296529968454</v>
      </c>
      <c r="H1076" s="195">
        <v>629.57413249211345</v>
      </c>
      <c r="I1076" s="212" t="s">
        <v>541</v>
      </c>
    </row>
    <row r="1077" spans="1:9" x14ac:dyDescent="0.25">
      <c r="A1077" s="193" t="s">
        <v>220</v>
      </c>
      <c r="B1077" s="193" t="s">
        <v>2152</v>
      </c>
      <c r="C1077" s="214" t="s">
        <v>2242</v>
      </c>
      <c r="D1077" s="193" t="s">
        <v>2243</v>
      </c>
      <c r="E1077" s="212" t="s">
        <v>545</v>
      </c>
      <c r="F1077" s="213">
        <v>2000</v>
      </c>
      <c r="G1077" s="194">
        <v>0.22724999999999995</v>
      </c>
      <c r="H1077" s="195">
        <v>454.49999999999989</v>
      </c>
      <c r="I1077" s="212" t="s">
        <v>541</v>
      </c>
    </row>
    <row r="1078" spans="1:9" x14ac:dyDescent="0.25">
      <c r="A1078" s="193" t="s">
        <v>220</v>
      </c>
      <c r="B1078" s="193" t="s">
        <v>2152</v>
      </c>
      <c r="C1078" s="214" t="s">
        <v>2244</v>
      </c>
      <c r="D1078" s="193" t="s">
        <v>2245</v>
      </c>
      <c r="E1078" s="212" t="s">
        <v>545</v>
      </c>
      <c r="F1078" s="213">
        <v>1500</v>
      </c>
      <c r="G1078" s="194">
        <v>0.27659480063693587</v>
      </c>
      <c r="H1078" s="195">
        <v>414.89220095540378</v>
      </c>
      <c r="I1078" s="212" t="s">
        <v>541</v>
      </c>
    </row>
    <row r="1079" spans="1:9" x14ac:dyDescent="0.25">
      <c r="A1079" s="193" t="s">
        <v>220</v>
      </c>
      <c r="B1079" s="193" t="s">
        <v>2152</v>
      </c>
      <c r="C1079" s="214" t="s">
        <v>2246</v>
      </c>
      <c r="D1079" s="193" t="s">
        <v>2247</v>
      </c>
      <c r="E1079" s="212" t="s">
        <v>545</v>
      </c>
      <c r="F1079" s="213">
        <v>2200</v>
      </c>
      <c r="G1079" s="194">
        <v>0.30299999999999999</v>
      </c>
      <c r="H1079" s="195">
        <v>666.6</v>
      </c>
      <c r="I1079" s="212" t="s">
        <v>541</v>
      </c>
    </row>
    <row r="1080" spans="1:9" x14ac:dyDescent="0.25">
      <c r="A1080" s="193" t="s">
        <v>220</v>
      </c>
      <c r="B1080" s="193" t="s">
        <v>2152</v>
      </c>
      <c r="C1080" s="214" t="s">
        <v>2248</v>
      </c>
      <c r="D1080" s="193" t="s">
        <v>2249</v>
      </c>
      <c r="E1080" s="212" t="s">
        <v>545</v>
      </c>
      <c r="F1080" s="213">
        <v>2200</v>
      </c>
      <c r="G1080" s="194">
        <v>0.30299999999999999</v>
      </c>
      <c r="H1080" s="195">
        <v>666.6</v>
      </c>
      <c r="I1080" s="212" t="s">
        <v>541</v>
      </c>
    </row>
    <row r="1081" spans="1:9" x14ac:dyDescent="0.25">
      <c r="A1081" s="193" t="s">
        <v>220</v>
      </c>
      <c r="B1081" s="193" t="s">
        <v>2152</v>
      </c>
      <c r="C1081" s="214" t="s">
        <v>2250</v>
      </c>
      <c r="D1081" s="193" t="s">
        <v>2251</v>
      </c>
      <c r="E1081" s="212" t="s">
        <v>545</v>
      </c>
      <c r="F1081" s="215">
        <v>3000</v>
      </c>
      <c r="G1081" s="194">
        <v>0.37010515374331554</v>
      </c>
      <c r="H1081" s="195">
        <v>1110.3154612299465</v>
      </c>
      <c r="I1081" s="212" t="s">
        <v>541</v>
      </c>
    </row>
    <row r="1082" spans="1:9" x14ac:dyDescent="0.25">
      <c r="A1082" s="193" t="s">
        <v>220</v>
      </c>
      <c r="B1082" s="193" t="s">
        <v>2152</v>
      </c>
      <c r="C1082" s="214" t="s">
        <v>2252</v>
      </c>
      <c r="D1082" s="193" t="s">
        <v>2253</v>
      </c>
      <c r="E1082" s="212" t="s">
        <v>545</v>
      </c>
      <c r="F1082" s="215">
        <v>1000</v>
      </c>
      <c r="G1082" s="194">
        <v>0.82820000000000005</v>
      </c>
      <c r="H1082" s="195">
        <v>828.2</v>
      </c>
      <c r="I1082" s="212" t="s">
        <v>541</v>
      </c>
    </row>
    <row r="1083" spans="1:9" x14ac:dyDescent="0.25">
      <c r="A1083" s="193" t="s">
        <v>220</v>
      </c>
      <c r="B1083" s="193" t="s">
        <v>2152</v>
      </c>
      <c r="C1083" s="214" t="s">
        <v>2254</v>
      </c>
      <c r="D1083" s="193" t="s">
        <v>2255</v>
      </c>
      <c r="E1083" s="212" t="s">
        <v>545</v>
      </c>
      <c r="F1083" s="215">
        <v>2300</v>
      </c>
      <c r="G1083" s="194">
        <v>0.1340995507705729</v>
      </c>
      <c r="H1083" s="195">
        <v>308.42896677231766</v>
      </c>
      <c r="I1083" s="212" t="s">
        <v>541</v>
      </c>
    </row>
    <row r="1084" spans="1:9" x14ac:dyDescent="0.25">
      <c r="A1084" s="193" t="s">
        <v>220</v>
      </c>
      <c r="B1084" s="193" t="s">
        <v>2152</v>
      </c>
      <c r="C1084" s="214" t="s">
        <v>2256</v>
      </c>
      <c r="D1084" s="193" t="s">
        <v>2257</v>
      </c>
      <c r="E1084" s="212" t="s">
        <v>545</v>
      </c>
      <c r="F1084" s="213">
        <v>500</v>
      </c>
      <c r="G1084" s="194">
        <v>7.5999999999999998E-2</v>
      </c>
      <c r="H1084" s="195">
        <v>38</v>
      </c>
      <c r="I1084" s="212" t="s">
        <v>541</v>
      </c>
    </row>
    <row r="1085" spans="1:9" x14ac:dyDescent="0.25">
      <c r="A1085" s="193" t="s">
        <v>220</v>
      </c>
      <c r="B1085" s="193" t="s">
        <v>2152</v>
      </c>
      <c r="C1085" s="214" t="s">
        <v>2258</v>
      </c>
      <c r="D1085" s="193" t="s">
        <v>2259</v>
      </c>
      <c r="E1085" s="212" t="s">
        <v>545</v>
      </c>
      <c r="F1085" s="213">
        <v>1000</v>
      </c>
      <c r="G1085" s="194">
        <v>0.10545201249132548</v>
      </c>
      <c r="H1085" s="195">
        <v>105.45201249132548</v>
      </c>
      <c r="I1085" s="212" t="s">
        <v>541</v>
      </c>
    </row>
    <row r="1086" spans="1:9" x14ac:dyDescent="0.25">
      <c r="A1086" s="193" t="s">
        <v>220</v>
      </c>
      <c r="B1086" s="193" t="s">
        <v>2152</v>
      </c>
      <c r="C1086" s="214" t="s">
        <v>2260</v>
      </c>
      <c r="D1086" s="193" t="s">
        <v>2261</v>
      </c>
      <c r="E1086" s="212" t="s">
        <v>545</v>
      </c>
      <c r="F1086" s="213">
        <v>2400</v>
      </c>
      <c r="G1086" s="194">
        <v>0.30299999999999999</v>
      </c>
      <c r="H1086" s="195">
        <v>727.19999999999993</v>
      </c>
      <c r="I1086" s="212" t="s">
        <v>541</v>
      </c>
    </row>
    <row r="1087" spans="1:9" x14ac:dyDescent="0.25">
      <c r="A1087" s="193" t="s">
        <v>220</v>
      </c>
      <c r="B1087" s="193" t="s">
        <v>2152</v>
      </c>
      <c r="C1087" s="214" t="s">
        <v>2262</v>
      </c>
      <c r="D1087" s="193" t="s">
        <v>2263</v>
      </c>
      <c r="E1087" s="212" t="s">
        <v>545</v>
      </c>
      <c r="F1087" s="215">
        <v>2000</v>
      </c>
      <c r="G1087" s="194">
        <v>0.26722962706336201</v>
      </c>
      <c r="H1087" s="195">
        <v>534.45925412672398</v>
      </c>
      <c r="I1087" s="212" t="s">
        <v>541</v>
      </c>
    </row>
    <row r="1088" spans="1:9" x14ac:dyDescent="0.25">
      <c r="A1088" s="193" t="s">
        <v>220</v>
      </c>
      <c r="B1088" s="193" t="s">
        <v>2152</v>
      </c>
      <c r="C1088" s="214" t="s">
        <v>1476</v>
      </c>
      <c r="D1088" s="193" t="s">
        <v>1477</v>
      </c>
      <c r="E1088" s="212" t="s">
        <v>545</v>
      </c>
      <c r="F1088" s="215">
        <v>1500</v>
      </c>
      <c r="G1088" s="194">
        <v>0.35803067599660765</v>
      </c>
      <c r="H1088" s="195">
        <v>537.0460139949115</v>
      </c>
      <c r="I1088" s="212" t="s">
        <v>541</v>
      </c>
    </row>
    <row r="1089" spans="1:9" x14ac:dyDescent="0.25">
      <c r="A1089" s="193" t="s">
        <v>220</v>
      </c>
      <c r="B1089" s="193" t="s">
        <v>2152</v>
      </c>
      <c r="C1089" s="214" t="s">
        <v>2264</v>
      </c>
      <c r="D1089" s="193" t="s">
        <v>2265</v>
      </c>
      <c r="E1089" s="212" t="s">
        <v>545</v>
      </c>
      <c r="F1089" s="213">
        <v>1830</v>
      </c>
      <c r="G1089" s="194">
        <v>0.344665</v>
      </c>
      <c r="H1089" s="195">
        <v>630.73694999999998</v>
      </c>
      <c r="I1089" s="212" t="s">
        <v>541</v>
      </c>
    </row>
    <row r="1090" spans="1:9" x14ac:dyDescent="0.25">
      <c r="A1090" s="193" t="s">
        <v>220</v>
      </c>
      <c r="B1090" s="193" t="s">
        <v>2152</v>
      </c>
      <c r="C1090" s="214" t="s">
        <v>2266</v>
      </c>
      <c r="D1090" s="193" t="s">
        <v>2267</v>
      </c>
      <c r="E1090" s="212" t="s">
        <v>545</v>
      </c>
      <c r="F1090" s="213">
        <v>2000</v>
      </c>
      <c r="G1090" s="194">
        <v>0.29289999999999999</v>
      </c>
      <c r="H1090" s="195">
        <v>585.79999999999995</v>
      </c>
      <c r="I1090" s="212" t="s">
        <v>541</v>
      </c>
    </row>
    <row r="1091" spans="1:9" x14ac:dyDescent="0.25">
      <c r="A1091" s="193" t="s">
        <v>220</v>
      </c>
      <c r="B1091" s="193" t="s">
        <v>2152</v>
      </c>
      <c r="C1091" s="214" t="s">
        <v>2268</v>
      </c>
      <c r="D1091" s="193" t="s">
        <v>2269</v>
      </c>
      <c r="E1091" s="212" t="s">
        <v>545</v>
      </c>
      <c r="F1091" s="213">
        <v>2500</v>
      </c>
      <c r="G1091" s="194">
        <v>0.14661583064481437</v>
      </c>
      <c r="H1091" s="195">
        <v>366.53957661203594</v>
      </c>
      <c r="I1091" s="212" t="s">
        <v>541</v>
      </c>
    </row>
    <row r="1092" spans="1:9" x14ac:dyDescent="0.25">
      <c r="A1092" s="193" t="s">
        <v>220</v>
      </c>
      <c r="B1092" s="193" t="s">
        <v>2152</v>
      </c>
      <c r="C1092" s="214" t="s">
        <v>2270</v>
      </c>
      <c r="D1092" s="193" t="s">
        <v>2271</v>
      </c>
      <c r="E1092" s="212" t="s">
        <v>545</v>
      </c>
      <c r="F1092" s="213">
        <v>1000</v>
      </c>
      <c r="G1092" s="194">
        <v>0.18640952380952377</v>
      </c>
      <c r="H1092" s="195">
        <v>186.40952380952376</v>
      </c>
      <c r="I1092" s="212" t="s">
        <v>541</v>
      </c>
    </row>
    <row r="1093" spans="1:9" x14ac:dyDescent="0.25">
      <c r="A1093" s="193" t="s">
        <v>220</v>
      </c>
      <c r="B1093" s="193" t="s">
        <v>2152</v>
      </c>
      <c r="C1093" s="214" t="s">
        <v>2272</v>
      </c>
      <c r="D1093" s="193" t="s">
        <v>2273</v>
      </c>
      <c r="E1093" s="212" t="s">
        <v>545</v>
      </c>
      <c r="F1093" s="213">
        <v>1000</v>
      </c>
      <c r="G1093" s="194">
        <v>0.20049655340859748</v>
      </c>
      <c r="H1093" s="195">
        <v>200.49655340859749</v>
      </c>
      <c r="I1093" s="212" t="s">
        <v>541</v>
      </c>
    </row>
    <row r="1094" spans="1:9" x14ac:dyDescent="0.25">
      <c r="A1094" s="193" t="s">
        <v>220</v>
      </c>
      <c r="B1094" s="193" t="s">
        <v>2152</v>
      </c>
      <c r="C1094" s="214" t="s">
        <v>2274</v>
      </c>
      <c r="D1094" s="193" t="s">
        <v>2275</v>
      </c>
      <c r="E1094" s="212" t="s">
        <v>545</v>
      </c>
      <c r="F1094" s="213">
        <v>2000</v>
      </c>
      <c r="G1094" s="194">
        <v>8.0799999999999997E-2</v>
      </c>
      <c r="H1094" s="195">
        <v>161.6</v>
      </c>
      <c r="I1094" s="212" t="s">
        <v>541</v>
      </c>
    </row>
    <row r="1095" spans="1:9" x14ac:dyDescent="0.25">
      <c r="A1095" s="193" t="s">
        <v>220</v>
      </c>
      <c r="B1095" s="193" t="s">
        <v>2152</v>
      </c>
      <c r="C1095" s="214" t="s">
        <v>2276</v>
      </c>
      <c r="D1095" s="193" t="s">
        <v>2277</v>
      </c>
      <c r="E1095" s="212" t="s">
        <v>545</v>
      </c>
      <c r="F1095" s="215">
        <v>700</v>
      </c>
      <c r="G1095" s="194">
        <v>0.22219999999999998</v>
      </c>
      <c r="H1095" s="195">
        <v>155.54</v>
      </c>
      <c r="I1095" s="212" t="s">
        <v>541</v>
      </c>
    </row>
    <row r="1096" spans="1:9" x14ac:dyDescent="0.25">
      <c r="A1096" s="193" t="s">
        <v>220</v>
      </c>
      <c r="B1096" s="193" t="s">
        <v>2152</v>
      </c>
      <c r="C1096" s="214" t="s">
        <v>2278</v>
      </c>
      <c r="D1096" s="193" t="s">
        <v>2279</v>
      </c>
      <c r="E1096" s="212" t="s">
        <v>545</v>
      </c>
      <c r="F1096" s="213">
        <v>1000</v>
      </c>
      <c r="G1096" s="194">
        <v>0.27158617327144191</v>
      </c>
      <c r="H1096" s="195">
        <v>271.58617327144191</v>
      </c>
      <c r="I1096" s="212" t="s">
        <v>541</v>
      </c>
    </row>
    <row r="1097" spans="1:9" x14ac:dyDescent="0.25">
      <c r="A1097" s="193" t="s">
        <v>220</v>
      </c>
      <c r="B1097" s="193" t="s">
        <v>2152</v>
      </c>
      <c r="C1097" s="214" t="s">
        <v>2280</v>
      </c>
      <c r="D1097" s="193" t="s">
        <v>2281</v>
      </c>
      <c r="E1097" s="212" t="s">
        <v>545</v>
      </c>
      <c r="F1097" s="213">
        <v>1700</v>
      </c>
      <c r="G1097" s="194">
        <v>0.25646241902594008</v>
      </c>
      <c r="H1097" s="195">
        <v>435.98611234409816</v>
      </c>
      <c r="I1097" s="212" t="s">
        <v>541</v>
      </c>
    </row>
    <row r="1098" spans="1:9" x14ac:dyDescent="0.25">
      <c r="A1098" s="193" t="s">
        <v>220</v>
      </c>
      <c r="B1098" s="193" t="s">
        <v>2152</v>
      </c>
      <c r="C1098" s="214" t="s">
        <v>2282</v>
      </c>
      <c r="D1098" s="193" t="s">
        <v>2283</v>
      </c>
      <c r="E1098" s="212" t="s">
        <v>545</v>
      </c>
      <c r="F1098" s="213">
        <v>1000</v>
      </c>
      <c r="G1098" s="194">
        <v>0.24569383034335271</v>
      </c>
      <c r="H1098" s="195">
        <v>245.69383034335272</v>
      </c>
      <c r="I1098" s="212" t="s">
        <v>541</v>
      </c>
    </row>
    <row r="1099" spans="1:9" x14ac:dyDescent="0.25">
      <c r="A1099" s="193" t="s">
        <v>220</v>
      </c>
      <c r="B1099" s="193" t="s">
        <v>2152</v>
      </c>
      <c r="C1099" s="214" t="s">
        <v>2284</v>
      </c>
      <c r="D1099" s="193" t="s">
        <v>2285</v>
      </c>
      <c r="E1099" s="212" t="s">
        <v>545</v>
      </c>
      <c r="F1099" s="213">
        <v>2000</v>
      </c>
      <c r="G1099" s="194">
        <v>0.17410476190476185</v>
      </c>
      <c r="H1099" s="195">
        <v>348.20952380952372</v>
      </c>
      <c r="I1099" s="212" t="s">
        <v>541</v>
      </c>
    </row>
    <row r="1100" spans="1:9" x14ac:dyDescent="0.25">
      <c r="A1100" s="193" t="s">
        <v>220</v>
      </c>
      <c r="B1100" s="193" t="s">
        <v>2152</v>
      </c>
      <c r="C1100" s="214" t="s">
        <v>2286</v>
      </c>
      <c r="D1100" s="193" t="s">
        <v>2287</v>
      </c>
      <c r="E1100" s="212" t="s">
        <v>545</v>
      </c>
      <c r="F1100" s="215">
        <v>2000</v>
      </c>
      <c r="G1100" s="194">
        <v>0.2525</v>
      </c>
      <c r="H1100" s="195">
        <v>505</v>
      </c>
      <c r="I1100" s="212" t="s">
        <v>541</v>
      </c>
    </row>
    <row r="1101" spans="1:9" x14ac:dyDescent="0.25">
      <c r="A1101" s="193" t="s">
        <v>220</v>
      </c>
      <c r="B1101" s="193" t="s">
        <v>2152</v>
      </c>
      <c r="C1101" s="214" t="s">
        <v>2288</v>
      </c>
      <c r="D1101" s="193" t="s">
        <v>2289</v>
      </c>
      <c r="E1101" s="212" t="s">
        <v>545</v>
      </c>
      <c r="F1101" s="213">
        <v>2000</v>
      </c>
      <c r="G1101" s="194">
        <v>0.26352316456834513</v>
      </c>
      <c r="H1101" s="195">
        <v>527.04632913669025</v>
      </c>
      <c r="I1101" s="212" t="s">
        <v>541</v>
      </c>
    </row>
    <row r="1102" spans="1:9" x14ac:dyDescent="0.25">
      <c r="A1102" s="193" t="s">
        <v>220</v>
      </c>
      <c r="B1102" s="193" t="s">
        <v>2152</v>
      </c>
      <c r="C1102" s="214" t="s">
        <v>2290</v>
      </c>
      <c r="D1102" s="193" t="s">
        <v>2291</v>
      </c>
      <c r="E1102" s="212" t="s">
        <v>545</v>
      </c>
      <c r="F1102" s="213">
        <v>1900</v>
      </c>
      <c r="G1102" s="194">
        <v>0.10610834090417477</v>
      </c>
      <c r="H1102" s="195">
        <v>201.60584771793208</v>
      </c>
      <c r="I1102" s="212" t="s">
        <v>541</v>
      </c>
    </row>
    <row r="1103" spans="1:9" x14ac:dyDescent="0.25">
      <c r="A1103" s="193" t="s">
        <v>220</v>
      </c>
      <c r="B1103" s="193" t="s">
        <v>2152</v>
      </c>
      <c r="C1103" s="214" t="s">
        <v>1504</v>
      </c>
      <c r="D1103" s="193" t="s">
        <v>1505</v>
      </c>
      <c r="E1103" s="212" t="s">
        <v>545</v>
      </c>
      <c r="F1103" s="213">
        <v>460</v>
      </c>
      <c r="G1103" s="194">
        <v>0.30071575047882365</v>
      </c>
      <c r="H1103" s="195">
        <v>138.32924522025888</v>
      </c>
      <c r="I1103" s="212" t="s">
        <v>541</v>
      </c>
    </row>
    <row r="1104" spans="1:9" x14ac:dyDescent="0.25">
      <c r="A1104" s="193" t="s">
        <v>220</v>
      </c>
      <c r="B1104" s="193" t="s">
        <v>2152</v>
      </c>
      <c r="C1104" s="214" t="s">
        <v>2292</v>
      </c>
      <c r="D1104" s="193" t="s">
        <v>2293</v>
      </c>
      <c r="E1104" s="212" t="s">
        <v>545</v>
      </c>
      <c r="F1104" s="210">
        <v>3500</v>
      </c>
      <c r="G1104" s="194">
        <v>0.125</v>
      </c>
      <c r="H1104" s="195">
        <v>437.5</v>
      </c>
      <c r="I1104" s="212" t="s">
        <v>541</v>
      </c>
    </row>
    <row r="1105" spans="1:9" x14ac:dyDescent="0.25">
      <c r="A1105" s="193" t="s">
        <v>220</v>
      </c>
      <c r="B1105" s="193" t="s">
        <v>2152</v>
      </c>
      <c r="C1105" s="214" t="s">
        <v>2294</v>
      </c>
      <c r="D1105" s="193" t="s">
        <v>2295</v>
      </c>
      <c r="E1105" s="212" t="s">
        <v>545</v>
      </c>
      <c r="F1105" s="213">
        <v>1000</v>
      </c>
      <c r="G1105" s="194">
        <v>3.3489166387679951E-2</v>
      </c>
      <c r="H1105" s="195">
        <v>33.489166387679951</v>
      </c>
      <c r="I1105" s="212" t="s">
        <v>541</v>
      </c>
    </row>
    <row r="1106" spans="1:9" x14ac:dyDescent="0.25">
      <c r="A1106" s="193" t="s">
        <v>220</v>
      </c>
      <c r="B1106" s="193" t="s">
        <v>2152</v>
      </c>
      <c r="C1106" s="214" t="s">
        <v>2296</v>
      </c>
      <c r="D1106" s="193" t="s">
        <v>2297</v>
      </c>
      <c r="E1106" s="212" t="s">
        <v>545</v>
      </c>
      <c r="F1106" s="215">
        <v>1000</v>
      </c>
      <c r="G1106" s="194">
        <v>0.15866131221719457</v>
      </c>
      <c r="H1106" s="195">
        <v>158.66131221719456</v>
      </c>
      <c r="I1106" s="212" t="s">
        <v>541</v>
      </c>
    </row>
    <row r="1107" spans="1:9" x14ac:dyDescent="0.25">
      <c r="A1107" s="193" t="s">
        <v>220</v>
      </c>
      <c r="B1107" s="193" t="s">
        <v>2152</v>
      </c>
      <c r="C1107" s="214" t="s">
        <v>2298</v>
      </c>
      <c r="D1107" s="193" t="s">
        <v>2299</v>
      </c>
      <c r="E1107" s="212" t="s">
        <v>545</v>
      </c>
      <c r="F1107" s="215">
        <v>3400</v>
      </c>
      <c r="G1107" s="194">
        <v>0.17169999999999999</v>
      </c>
      <c r="H1107" s="195">
        <v>583.78</v>
      </c>
      <c r="I1107" s="212" t="s">
        <v>541</v>
      </c>
    </row>
    <row r="1108" spans="1:9" x14ac:dyDescent="0.25">
      <c r="A1108" s="193" t="s">
        <v>220</v>
      </c>
      <c r="B1108" s="193" t="s">
        <v>2152</v>
      </c>
      <c r="C1108" s="214" t="s">
        <v>2300</v>
      </c>
      <c r="D1108" s="193" t="s">
        <v>2301</v>
      </c>
      <c r="E1108" s="212" t="s">
        <v>545</v>
      </c>
      <c r="F1108" s="215">
        <v>5000</v>
      </c>
      <c r="G1108" s="194">
        <v>0.17729165545879538</v>
      </c>
      <c r="H1108" s="195">
        <v>886.45827729397695</v>
      </c>
      <c r="I1108" s="212" t="s">
        <v>541</v>
      </c>
    </row>
    <row r="1109" spans="1:9" x14ac:dyDescent="0.25">
      <c r="A1109" s="193" t="s">
        <v>220</v>
      </c>
      <c r="B1109" s="193" t="s">
        <v>2351</v>
      </c>
      <c r="C1109" s="214" t="s">
        <v>5366</v>
      </c>
      <c r="D1109" s="193" t="s">
        <v>5367</v>
      </c>
      <c r="E1109" s="212" t="s">
        <v>545</v>
      </c>
      <c r="F1109" s="215">
        <v>2</v>
      </c>
      <c r="G1109" s="194">
        <v>0</v>
      </c>
      <c r="H1109" s="195">
        <v>0</v>
      </c>
      <c r="I1109" s="212" t="s">
        <v>2354</v>
      </c>
    </row>
    <row r="1110" spans="1:9" x14ac:dyDescent="0.25">
      <c r="A1110" s="193" t="s">
        <v>220</v>
      </c>
      <c r="B1110" s="193" t="s">
        <v>2351</v>
      </c>
      <c r="C1110" s="214" t="s">
        <v>5368</v>
      </c>
      <c r="D1110" s="193" t="s">
        <v>5369</v>
      </c>
      <c r="E1110" s="212" t="s">
        <v>545</v>
      </c>
      <c r="F1110" s="215">
        <v>2</v>
      </c>
      <c r="G1110" s="194">
        <v>0</v>
      </c>
      <c r="H1110" s="195">
        <v>0</v>
      </c>
      <c r="I1110" s="212" t="s">
        <v>2354</v>
      </c>
    </row>
    <row r="1111" spans="1:9" x14ac:dyDescent="0.25">
      <c r="A1111" s="193" t="s">
        <v>220</v>
      </c>
      <c r="B1111" s="193" t="s">
        <v>2351</v>
      </c>
      <c r="C1111" s="214" t="s">
        <v>2568</v>
      </c>
      <c r="D1111" s="193" t="s">
        <v>2569</v>
      </c>
      <c r="E1111" s="212" t="s">
        <v>545</v>
      </c>
      <c r="F1111" s="215">
        <v>1</v>
      </c>
      <c r="G1111" s="194">
        <v>0</v>
      </c>
      <c r="H1111" s="195">
        <v>0</v>
      </c>
      <c r="I1111" s="212" t="s">
        <v>2354</v>
      </c>
    </row>
    <row r="1112" spans="1:9" x14ac:dyDescent="0.25">
      <c r="A1112" s="193" t="s">
        <v>220</v>
      </c>
      <c r="B1112" s="193" t="s">
        <v>2351</v>
      </c>
      <c r="C1112" s="214" t="s">
        <v>2646</v>
      </c>
      <c r="D1112" s="193" t="s">
        <v>2647</v>
      </c>
      <c r="E1112" s="212" t="s">
        <v>545</v>
      </c>
      <c r="F1112" s="215">
        <v>1</v>
      </c>
      <c r="G1112" s="194">
        <v>0</v>
      </c>
      <c r="H1112" s="195">
        <v>0</v>
      </c>
      <c r="I1112" s="212" t="s">
        <v>2354</v>
      </c>
    </row>
    <row r="1113" spans="1:9" x14ac:dyDescent="0.25">
      <c r="A1113" s="193" t="s">
        <v>220</v>
      </c>
      <c r="B1113" s="193" t="s">
        <v>2351</v>
      </c>
      <c r="C1113" s="214" t="s">
        <v>2670</v>
      </c>
      <c r="D1113" s="193" t="s">
        <v>2671</v>
      </c>
      <c r="E1113" s="212" t="s">
        <v>545</v>
      </c>
      <c r="F1113" s="215">
        <v>1</v>
      </c>
      <c r="G1113" s="194">
        <v>0</v>
      </c>
      <c r="H1113" s="195">
        <v>0</v>
      </c>
      <c r="I1113" s="212" t="s">
        <v>2354</v>
      </c>
    </row>
    <row r="1114" spans="1:9" x14ac:dyDescent="0.25">
      <c r="A1114" s="193" t="s">
        <v>220</v>
      </c>
      <c r="B1114" s="193" t="s">
        <v>2351</v>
      </c>
      <c r="C1114" s="214" t="s">
        <v>2750</v>
      </c>
      <c r="D1114" s="193" t="s">
        <v>2751</v>
      </c>
      <c r="E1114" s="212" t="s">
        <v>545</v>
      </c>
      <c r="F1114" s="213">
        <v>7</v>
      </c>
      <c r="G1114" s="194">
        <v>0</v>
      </c>
      <c r="H1114" s="195">
        <v>0</v>
      </c>
      <c r="I1114" s="212" t="s">
        <v>2354</v>
      </c>
    </row>
    <row r="1115" spans="1:9" x14ac:dyDescent="0.25">
      <c r="A1115" s="193" t="s">
        <v>220</v>
      </c>
      <c r="B1115" s="193" t="s">
        <v>2351</v>
      </c>
      <c r="C1115" s="214" t="s">
        <v>2752</v>
      </c>
      <c r="D1115" s="193" t="s">
        <v>2753</v>
      </c>
      <c r="E1115" s="212" t="s">
        <v>545</v>
      </c>
      <c r="F1115" s="215">
        <v>1</v>
      </c>
      <c r="G1115" s="194">
        <v>0</v>
      </c>
      <c r="H1115" s="195">
        <v>0</v>
      </c>
      <c r="I1115" s="212" t="s">
        <v>2354</v>
      </c>
    </row>
    <row r="1116" spans="1:9" x14ac:dyDescent="0.25">
      <c r="A1116" s="193" t="s">
        <v>220</v>
      </c>
      <c r="B1116" s="193" t="s">
        <v>2351</v>
      </c>
      <c r="C1116" s="214" t="s">
        <v>2754</v>
      </c>
      <c r="D1116" s="193" t="s">
        <v>2755</v>
      </c>
      <c r="E1116" s="212" t="s">
        <v>545</v>
      </c>
      <c r="F1116" s="215">
        <v>1</v>
      </c>
      <c r="G1116" s="194">
        <v>0</v>
      </c>
      <c r="H1116" s="195">
        <v>0</v>
      </c>
      <c r="I1116" s="212" t="s">
        <v>2354</v>
      </c>
    </row>
    <row r="1117" spans="1:9" x14ac:dyDescent="0.25">
      <c r="A1117" s="193" t="s">
        <v>220</v>
      </c>
      <c r="B1117" s="193" t="s">
        <v>2351</v>
      </c>
      <c r="C1117" s="214" t="s">
        <v>2756</v>
      </c>
      <c r="D1117" s="193" t="s">
        <v>2757</v>
      </c>
      <c r="E1117" s="212" t="s">
        <v>545</v>
      </c>
      <c r="F1117" s="215">
        <v>1</v>
      </c>
      <c r="G1117" s="194">
        <v>0</v>
      </c>
      <c r="H1117" s="195">
        <v>0</v>
      </c>
      <c r="I1117" s="212" t="s">
        <v>2354</v>
      </c>
    </row>
    <row r="1118" spans="1:9" x14ac:dyDescent="0.25">
      <c r="A1118" s="193" t="s">
        <v>220</v>
      </c>
      <c r="B1118" s="193" t="s">
        <v>2351</v>
      </c>
      <c r="C1118" s="214" t="s">
        <v>2758</v>
      </c>
      <c r="D1118" s="193" t="s">
        <v>2759</v>
      </c>
      <c r="E1118" s="212" t="s">
        <v>545</v>
      </c>
      <c r="F1118" s="215">
        <v>2</v>
      </c>
      <c r="G1118" s="194">
        <v>0</v>
      </c>
      <c r="H1118" s="195">
        <v>0</v>
      </c>
      <c r="I1118" s="212" t="s">
        <v>2354</v>
      </c>
    </row>
    <row r="1119" spans="1:9" x14ac:dyDescent="0.25">
      <c r="A1119" s="193" t="s">
        <v>220</v>
      </c>
      <c r="B1119" s="193" t="s">
        <v>2351</v>
      </c>
      <c r="C1119" s="214" t="s">
        <v>2760</v>
      </c>
      <c r="D1119" s="193" t="s">
        <v>2761</v>
      </c>
      <c r="E1119" s="212" t="s">
        <v>545</v>
      </c>
      <c r="F1119" s="215">
        <v>1</v>
      </c>
      <c r="G1119" s="194">
        <v>0</v>
      </c>
      <c r="H1119" s="195">
        <v>0</v>
      </c>
      <c r="I1119" s="212" t="s">
        <v>2354</v>
      </c>
    </row>
    <row r="1120" spans="1:9" x14ac:dyDescent="0.25">
      <c r="A1120" s="193" t="s">
        <v>220</v>
      </c>
      <c r="B1120" s="193" t="s">
        <v>2351</v>
      </c>
      <c r="C1120" s="214" t="s">
        <v>2764</v>
      </c>
      <c r="D1120" s="193" t="s">
        <v>2765</v>
      </c>
      <c r="E1120" s="212" t="s">
        <v>545</v>
      </c>
      <c r="F1120" s="215">
        <v>4</v>
      </c>
      <c r="G1120" s="194">
        <v>0</v>
      </c>
      <c r="H1120" s="195">
        <v>0</v>
      </c>
      <c r="I1120" s="212" t="s">
        <v>2354</v>
      </c>
    </row>
    <row r="1121" spans="1:9" x14ac:dyDescent="0.25">
      <c r="A1121" s="193" t="s">
        <v>220</v>
      </c>
      <c r="B1121" s="193" t="s">
        <v>2351</v>
      </c>
      <c r="C1121" s="214" t="s">
        <v>2772</v>
      </c>
      <c r="D1121" s="193" t="s">
        <v>2773</v>
      </c>
      <c r="E1121" s="212" t="s">
        <v>545</v>
      </c>
      <c r="F1121" s="215">
        <v>2</v>
      </c>
      <c r="G1121" s="194">
        <v>0</v>
      </c>
      <c r="H1121" s="195">
        <v>0</v>
      </c>
      <c r="I1121" s="212" t="s">
        <v>2354</v>
      </c>
    </row>
    <row r="1122" spans="1:9" x14ac:dyDescent="0.25">
      <c r="A1122" s="193" t="s">
        <v>220</v>
      </c>
      <c r="B1122" s="193" t="s">
        <v>2351</v>
      </c>
      <c r="C1122" s="214" t="s">
        <v>2874</v>
      </c>
      <c r="D1122" s="193" t="s">
        <v>2875</v>
      </c>
      <c r="E1122" s="212" t="s">
        <v>545</v>
      </c>
      <c r="F1122" s="215">
        <v>3</v>
      </c>
      <c r="G1122" s="194">
        <v>0</v>
      </c>
      <c r="H1122" s="195">
        <v>0</v>
      </c>
      <c r="I1122" s="212" t="s">
        <v>2354</v>
      </c>
    </row>
    <row r="1123" spans="1:9" x14ac:dyDescent="0.25">
      <c r="A1123" s="193" t="s">
        <v>220</v>
      </c>
      <c r="B1123" s="193" t="s">
        <v>2351</v>
      </c>
      <c r="C1123" s="214" t="s">
        <v>2978</v>
      </c>
      <c r="D1123" s="193" t="s">
        <v>2979</v>
      </c>
      <c r="E1123" s="212" t="s">
        <v>545</v>
      </c>
      <c r="F1123" s="215">
        <v>2</v>
      </c>
      <c r="G1123" s="194">
        <v>0</v>
      </c>
      <c r="H1123" s="195">
        <v>0</v>
      </c>
      <c r="I1123" s="212" t="s">
        <v>2354</v>
      </c>
    </row>
    <row r="1124" spans="1:9" x14ac:dyDescent="0.25">
      <c r="A1124" s="193" t="s">
        <v>220</v>
      </c>
      <c r="B1124" s="193" t="s">
        <v>2351</v>
      </c>
      <c r="C1124" s="214" t="s">
        <v>2980</v>
      </c>
      <c r="D1124" s="193" t="s">
        <v>2981</v>
      </c>
      <c r="E1124" s="212" t="s">
        <v>545</v>
      </c>
      <c r="F1124" s="215">
        <v>22</v>
      </c>
      <c r="G1124" s="194">
        <v>0</v>
      </c>
      <c r="H1124" s="195">
        <v>0</v>
      </c>
      <c r="I1124" s="212" t="s">
        <v>2354</v>
      </c>
    </row>
    <row r="1125" spans="1:9" x14ac:dyDescent="0.25">
      <c r="A1125" s="193" t="s">
        <v>220</v>
      </c>
      <c r="B1125" s="193" t="s">
        <v>2351</v>
      </c>
      <c r="C1125" s="214" t="s">
        <v>2982</v>
      </c>
      <c r="D1125" s="193" t="s">
        <v>2983</v>
      </c>
      <c r="E1125" s="212" t="s">
        <v>545</v>
      </c>
      <c r="F1125" s="215">
        <v>2</v>
      </c>
      <c r="G1125" s="194">
        <v>0</v>
      </c>
      <c r="H1125" s="195">
        <v>0</v>
      </c>
      <c r="I1125" s="212" t="s">
        <v>2354</v>
      </c>
    </row>
    <row r="1126" spans="1:9" x14ac:dyDescent="0.25">
      <c r="A1126" s="193" t="s">
        <v>220</v>
      </c>
      <c r="B1126" s="193" t="s">
        <v>2351</v>
      </c>
      <c r="C1126" s="214" t="s">
        <v>3036</v>
      </c>
      <c r="D1126" s="193" t="s">
        <v>3037</v>
      </c>
      <c r="E1126" s="212" t="s">
        <v>545</v>
      </c>
      <c r="F1126" s="215">
        <v>4</v>
      </c>
      <c r="G1126" s="194">
        <v>0</v>
      </c>
      <c r="H1126" s="195">
        <v>0</v>
      </c>
      <c r="I1126" s="212" t="s">
        <v>2354</v>
      </c>
    </row>
    <row r="1127" spans="1:9" x14ac:dyDescent="0.25">
      <c r="A1127" s="193" t="s">
        <v>220</v>
      </c>
      <c r="B1127" s="193" t="s">
        <v>2351</v>
      </c>
      <c r="C1127" s="214" t="s">
        <v>3097</v>
      </c>
      <c r="D1127" s="193" t="s">
        <v>3098</v>
      </c>
      <c r="E1127" s="212" t="s">
        <v>545</v>
      </c>
      <c r="F1127" s="215">
        <v>1</v>
      </c>
      <c r="G1127" s="194">
        <v>0</v>
      </c>
      <c r="H1127" s="195">
        <v>0</v>
      </c>
      <c r="I1127" s="212" t="s">
        <v>2354</v>
      </c>
    </row>
    <row r="1128" spans="1:9" x14ac:dyDescent="0.25">
      <c r="A1128" s="193" t="s">
        <v>220</v>
      </c>
      <c r="B1128" s="193" t="s">
        <v>2351</v>
      </c>
      <c r="C1128" s="214" t="s">
        <v>3105</v>
      </c>
      <c r="D1128" s="193" t="s">
        <v>3106</v>
      </c>
      <c r="E1128" s="212" t="s">
        <v>545</v>
      </c>
      <c r="F1128" s="215">
        <v>1</v>
      </c>
      <c r="G1128" s="194">
        <v>0</v>
      </c>
      <c r="H1128" s="195">
        <v>0</v>
      </c>
      <c r="I1128" s="212" t="s">
        <v>2354</v>
      </c>
    </row>
    <row r="1129" spans="1:9" x14ac:dyDescent="0.25">
      <c r="A1129" s="193" t="s">
        <v>220</v>
      </c>
      <c r="B1129" s="193" t="s">
        <v>2351</v>
      </c>
      <c r="C1129" s="214" t="s">
        <v>3107</v>
      </c>
      <c r="D1129" s="193" t="s">
        <v>3108</v>
      </c>
      <c r="E1129" s="212" t="s">
        <v>545</v>
      </c>
      <c r="F1129" s="215">
        <v>2</v>
      </c>
      <c r="G1129" s="194">
        <v>0</v>
      </c>
      <c r="H1129" s="195">
        <v>0</v>
      </c>
      <c r="I1129" s="212" t="s">
        <v>2354</v>
      </c>
    </row>
    <row r="1130" spans="1:9" x14ac:dyDescent="0.25">
      <c r="A1130" s="193" t="s">
        <v>220</v>
      </c>
      <c r="B1130" s="193" t="s">
        <v>2351</v>
      </c>
      <c r="C1130" s="214" t="s">
        <v>3109</v>
      </c>
      <c r="D1130" s="193" t="s">
        <v>3110</v>
      </c>
      <c r="E1130" s="212" t="s">
        <v>545</v>
      </c>
      <c r="F1130" s="215">
        <v>1</v>
      </c>
      <c r="G1130" s="194">
        <v>0</v>
      </c>
      <c r="H1130" s="195">
        <v>0</v>
      </c>
      <c r="I1130" s="212" t="s">
        <v>2354</v>
      </c>
    </row>
    <row r="1131" spans="1:9" x14ac:dyDescent="0.25">
      <c r="A1131" s="193" t="s">
        <v>220</v>
      </c>
      <c r="B1131" s="193" t="s">
        <v>2351</v>
      </c>
      <c r="C1131" s="214" t="s">
        <v>3117</v>
      </c>
      <c r="D1131" s="193" t="s">
        <v>3118</v>
      </c>
      <c r="E1131" s="212" t="s">
        <v>545</v>
      </c>
      <c r="F1131" s="213">
        <v>1</v>
      </c>
      <c r="G1131" s="194">
        <v>0</v>
      </c>
      <c r="H1131" s="195">
        <v>0</v>
      </c>
      <c r="I1131" s="212" t="s">
        <v>2354</v>
      </c>
    </row>
    <row r="1132" spans="1:9" x14ac:dyDescent="0.25">
      <c r="A1132" s="193" t="s">
        <v>220</v>
      </c>
      <c r="B1132" s="193" t="s">
        <v>2351</v>
      </c>
      <c r="C1132" s="214" t="s">
        <v>3119</v>
      </c>
      <c r="D1132" s="193" t="s">
        <v>3120</v>
      </c>
      <c r="E1132" s="212" t="s">
        <v>545</v>
      </c>
      <c r="F1132" s="215">
        <v>1</v>
      </c>
      <c r="G1132" s="194">
        <v>0</v>
      </c>
      <c r="H1132" s="195">
        <v>0</v>
      </c>
      <c r="I1132" s="212" t="s">
        <v>2354</v>
      </c>
    </row>
    <row r="1133" spans="1:9" x14ac:dyDescent="0.25">
      <c r="A1133" s="193" t="s">
        <v>220</v>
      </c>
      <c r="B1133" s="193" t="s">
        <v>2351</v>
      </c>
      <c r="C1133" s="214" t="s">
        <v>3161</v>
      </c>
      <c r="D1133" s="193" t="s">
        <v>3162</v>
      </c>
      <c r="E1133" s="212" t="s">
        <v>545</v>
      </c>
      <c r="F1133" s="215">
        <v>14</v>
      </c>
      <c r="G1133" s="194">
        <v>0</v>
      </c>
      <c r="H1133" s="195">
        <v>0</v>
      </c>
      <c r="I1133" s="212" t="s">
        <v>2354</v>
      </c>
    </row>
    <row r="1134" spans="1:9" x14ac:dyDescent="0.25">
      <c r="A1134" s="193" t="s">
        <v>220</v>
      </c>
      <c r="B1134" s="193" t="s">
        <v>2351</v>
      </c>
      <c r="C1134" s="214" t="s">
        <v>3169</v>
      </c>
      <c r="D1134" s="193" t="s">
        <v>3170</v>
      </c>
      <c r="E1134" s="212" t="s">
        <v>2387</v>
      </c>
      <c r="F1134" s="215">
        <v>2</v>
      </c>
      <c r="G1134" s="194">
        <v>0</v>
      </c>
      <c r="H1134" s="195">
        <v>0</v>
      </c>
      <c r="I1134" s="212" t="s">
        <v>2354</v>
      </c>
    </row>
    <row r="1135" spans="1:9" x14ac:dyDescent="0.25">
      <c r="A1135" s="193" t="s">
        <v>220</v>
      </c>
      <c r="B1135" s="193" t="s">
        <v>2351</v>
      </c>
      <c r="C1135" s="214" t="s">
        <v>3175</v>
      </c>
      <c r="D1135" s="193" t="s">
        <v>3176</v>
      </c>
      <c r="E1135" s="212" t="s">
        <v>2387</v>
      </c>
      <c r="F1135" s="213">
        <v>4</v>
      </c>
      <c r="G1135" s="194">
        <v>0</v>
      </c>
      <c r="H1135" s="195">
        <v>0</v>
      </c>
      <c r="I1135" s="212" t="s">
        <v>2354</v>
      </c>
    </row>
    <row r="1136" spans="1:9" x14ac:dyDescent="0.25">
      <c r="A1136" s="193" t="s">
        <v>220</v>
      </c>
      <c r="B1136" s="193" t="s">
        <v>2351</v>
      </c>
      <c r="C1136" s="214" t="s">
        <v>3177</v>
      </c>
      <c r="D1136" s="193" t="s">
        <v>3178</v>
      </c>
      <c r="E1136" s="212" t="s">
        <v>545</v>
      </c>
      <c r="F1136" s="215">
        <v>3</v>
      </c>
      <c r="G1136" s="194">
        <v>0</v>
      </c>
      <c r="H1136" s="195">
        <v>0</v>
      </c>
      <c r="I1136" s="212" t="s">
        <v>2354</v>
      </c>
    </row>
    <row r="1137" spans="1:9" x14ac:dyDescent="0.25">
      <c r="A1137" s="193" t="s">
        <v>220</v>
      </c>
      <c r="B1137" s="193" t="s">
        <v>2351</v>
      </c>
      <c r="C1137" s="214" t="s">
        <v>3179</v>
      </c>
      <c r="D1137" s="193" t="s">
        <v>3180</v>
      </c>
      <c r="E1137" s="212" t="s">
        <v>545</v>
      </c>
      <c r="F1137" s="213">
        <v>4</v>
      </c>
      <c r="G1137" s="194">
        <v>0</v>
      </c>
      <c r="H1137" s="195">
        <v>0</v>
      </c>
      <c r="I1137" s="212" t="s">
        <v>2354</v>
      </c>
    </row>
    <row r="1138" spans="1:9" x14ac:dyDescent="0.25">
      <c r="A1138" s="193" t="s">
        <v>220</v>
      </c>
      <c r="B1138" s="193" t="s">
        <v>2351</v>
      </c>
      <c r="C1138" s="214" t="s">
        <v>3181</v>
      </c>
      <c r="D1138" s="193" t="s">
        <v>3182</v>
      </c>
      <c r="E1138" s="212" t="s">
        <v>545</v>
      </c>
      <c r="F1138" s="215">
        <v>8</v>
      </c>
      <c r="G1138" s="194">
        <v>0</v>
      </c>
      <c r="H1138" s="195">
        <v>0</v>
      </c>
      <c r="I1138" s="212" t="s">
        <v>2354</v>
      </c>
    </row>
    <row r="1139" spans="1:9" x14ac:dyDescent="0.25">
      <c r="A1139" s="193" t="s">
        <v>220</v>
      </c>
      <c r="B1139" s="193" t="s">
        <v>2351</v>
      </c>
      <c r="C1139" s="214" t="s">
        <v>3221</v>
      </c>
      <c r="D1139" s="193" t="s">
        <v>3222</v>
      </c>
      <c r="E1139" s="212" t="s">
        <v>545</v>
      </c>
      <c r="F1139" s="215">
        <v>2</v>
      </c>
      <c r="G1139" s="194">
        <v>0</v>
      </c>
      <c r="H1139" s="195">
        <v>0</v>
      </c>
      <c r="I1139" s="212" t="s">
        <v>2354</v>
      </c>
    </row>
    <row r="1140" spans="1:9" x14ac:dyDescent="0.25">
      <c r="A1140" s="193" t="s">
        <v>220</v>
      </c>
      <c r="B1140" s="193" t="s">
        <v>2351</v>
      </c>
      <c r="C1140" s="214" t="s">
        <v>5309</v>
      </c>
      <c r="D1140" s="193" t="s">
        <v>5310</v>
      </c>
      <c r="E1140" s="212" t="s">
        <v>545</v>
      </c>
      <c r="F1140" s="215">
        <v>1</v>
      </c>
      <c r="G1140" s="194">
        <v>0</v>
      </c>
      <c r="H1140" s="195">
        <v>0</v>
      </c>
      <c r="I1140" s="212" t="s">
        <v>2354</v>
      </c>
    </row>
    <row r="1141" spans="1:9" x14ac:dyDescent="0.25">
      <c r="A1141" s="193" t="s">
        <v>220</v>
      </c>
      <c r="B1141" s="193" t="s">
        <v>2351</v>
      </c>
      <c r="C1141" s="214" t="s">
        <v>5335</v>
      </c>
      <c r="D1141" s="193" t="s">
        <v>5336</v>
      </c>
      <c r="E1141" s="212" t="s">
        <v>545</v>
      </c>
      <c r="F1141" s="215">
        <v>2</v>
      </c>
      <c r="G1141" s="194">
        <v>0</v>
      </c>
      <c r="H1141" s="195">
        <v>0</v>
      </c>
      <c r="I1141" s="212" t="s">
        <v>2354</v>
      </c>
    </row>
    <row r="1142" spans="1:9" x14ac:dyDescent="0.25">
      <c r="A1142" s="193" t="s">
        <v>220</v>
      </c>
      <c r="B1142" s="193" t="s">
        <v>2351</v>
      </c>
      <c r="C1142" s="214" t="s">
        <v>5358</v>
      </c>
      <c r="D1142" s="193" t="s">
        <v>5359</v>
      </c>
      <c r="E1142" s="212" t="s">
        <v>545</v>
      </c>
      <c r="F1142" s="215">
        <v>2</v>
      </c>
      <c r="G1142" s="194">
        <v>0</v>
      </c>
      <c r="H1142" s="195">
        <v>0</v>
      </c>
      <c r="I1142" s="212" t="s">
        <v>2354</v>
      </c>
    </row>
    <row r="1143" spans="1:9" x14ac:dyDescent="0.25">
      <c r="A1143" s="193" t="s">
        <v>220</v>
      </c>
      <c r="B1143" s="193" t="s">
        <v>2351</v>
      </c>
      <c r="C1143" s="214" t="s">
        <v>5323</v>
      </c>
      <c r="D1143" s="193" t="s">
        <v>5324</v>
      </c>
      <c r="E1143" s="212" t="s">
        <v>545</v>
      </c>
      <c r="F1143" s="215">
        <v>2</v>
      </c>
      <c r="G1143" s="194">
        <v>0</v>
      </c>
      <c r="H1143" s="195">
        <v>0</v>
      </c>
      <c r="I1143" s="212" t="s">
        <v>2354</v>
      </c>
    </row>
    <row r="1144" spans="1:9" x14ac:dyDescent="0.25">
      <c r="A1144" s="193" t="s">
        <v>220</v>
      </c>
      <c r="B1144" s="193" t="s">
        <v>2351</v>
      </c>
      <c r="C1144" s="214" t="s">
        <v>3603</v>
      </c>
      <c r="D1144" s="193" t="s">
        <v>3604</v>
      </c>
      <c r="E1144" s="212" t="s">
        <v>545</v>
      </c>
      <c r="F1144" s="215">
        <v>5</v>
      </c>
      <c r="G1144" s="194">
        <v>0</v>
      </c>
      <c r="H1144" s="195">
        <v>0</v>
      </c>
      <c r="I1144" s="212" t="s">
        <v>2354</v>
      </c>
    </row>
    <row r="1145" spans="1:9" x14ac:dyDescent="0.25">
      <c r="A1145" s="193" t="s">
        <v>220</v>
      </c>
      <c r="B1145" s="193" t="s">
        <v>2351</v>
      </c>
      <c r="C1145" s="214" t="s">
        <v>5327</v>
      </c>
      <c r="D1145" s="193" t="s">
        <v>5328</v>
      </c>
      <c r="E1145" s="212" t="s">
        <v>545</v>
      </c>
      <c r="F1145" s="215">
        <v>3</v>
      </c>
      <c r="G1145" s="194">
        <v>0</v>
      </c>
      <c r="H1145" s="195">
        <v>0</v>
      </c>
      <c r="I1145" s="212" t="s">
        <v>2354</v>
      </c>
    </row>
    <row r="1146" spans="1:9" x14ac:dyDescent="0.25">
      <c r="A1146" s="193" t="s">
        <v>220</v>
      </c>
      <c r="B1146" s="193" t="s">
        <v>2351</v>
      </c>
      <c r="C1146" s="214" t="s">
        <v>5325</v>
      </c>
      <c r="D1146" s="193" t="s">
        <v>5326</v>
      </c>
      <c r="E1146" s="212" t="s">
        <v>545</v>
      </c>
      <c r="F1146" s="215">
        <v>4</v>
      </c>
      <c r="G1146" s="194">
        <v>0</v>
      </c>
      <c r="H1146" s="195">
        <v>0</v>
      </c>
      <c r="I1146" s="212" t="s">
        <v>2354</v>
      </c>
    </row>
    <row r="1147" spans="1:9" x14ac:dyDescent="0.25">
      <c r="A1147" s="193" t="s">
        <v>220</v>
      </c>
      <c r="B1147" s="193" t="s">
        <v>2351</v>
      </c>
      <c r="C1147" s="214" t="s">
        <v>5364</v>
      </c>
      <c r="D1147" s="193" t="s">
        <v>5365</v>
      </c>
      <c r="E1147" s="212" t="s">
        <v>545</v>
      </c>
      <c r="F1147" s="215">
        <v>1</v>
      </c>
      <c r="G1147" s="194">
        <v>0</v>
      </c>
      <c r="H1147" s="195">
        <v>0</v>
      </c>
      <c r="I1147" s="212" t="s">
        <v>2354</v>
      </c>
    </row>
    <row r="1148" spans="1:9" x14ac:dyDescent="0.25">
      <c r="A1148" s="193" t="s">
        <v>220</v>
      </c>
      <c r="B1148" s="193" t="s">
        <v>2351</v>
      </c>
      <c r="C1148" s="214" t="s">
        <v>5360</v>
      </c>
      <c r="D1148" s="193" t="s">
        <v>5361</v>
      </c>
      <c r="E1148" s="212" t="s">
        <v>545</v>
      </c>
      <c r="F1148" s="215">
        <v>5</v>
      </c>
      <c r="G1148" s="194">
        <v>0</v>
      </c>
      <c r="H1148" s="195">
        <v>0</v>
      </c>
      <c r="I1148" s="212" t="s">
        <v>2354</v>
      </c>
    </row>
    <row r="1149" spans="1:9" x14ac:dyDescent="0.25">
      <c r="A1149" s="193" t="s">
        <v>220</v>
      </c>
      <c r="B1149" s="193" t="s">
        <v>2351</v>
      </c>
      <c r="C1149" s="214" t="s">
        <v>5348</v>
      </c>
      <c r="D1149" s="193" t="s">
        <v>5349</v>
      </c>
      <c r="E1149" s="212" t="s">
        <v>545</v>
      </c>
      <c r="F1149" s="215">
        <v>2</v>
      </c>
      <c r="G1149" s="194">
        <v>0</v>
      </c>
      <c r="H1149" s="195">
        <v>0</v>
      </c>
      <c r="I1149" s="212" t="s">
        <v>2354</v>
      </c>
    </row>
    <row r="1150" spans="1:9" x14ac:dyDescent="0.25">
      <c r="A1150" s="193" t="s">
        <v>220</v>
      </c>
      <c r="B1150" s="193" t="s">
        <v>2351</v>
      </c>
      <c r="C1150" s="214" t="s">
        <v>5362</v>
      </c>
      <c r="D1150" s="193" t="s">
        <v>5363</v>
      </c>
      <c r="E1150" s="212" t="s">
        <v>545</v>
      </c>
      <c r="F1150" s="215">
        <v>2</v>
      </c>
      <c r="G1150" s="194">
        <v>0</v>
      </c>
      <c r="H1150" s="195">
        <v>0</v>
      </c>
      <c r="I1150" s="212" t="s">
        <v>2354</v>
      </c>
    </row>
    <row r="1151" spans="1:9" x14ac:dyDescent="0.25">
      <c r="A1151" s="193" t="s">
        <v>220</v>
      </c>
      <c r="B1151" s="193" t="s">
        <v>2351</v>
      </c>
      <c r="C1151" s="214" t="s">
        <v>5341</v>
      </c>
      <c r="D1151" s="193" t="s">
        <v>5342</v>
      </c>
      <c r="E1151" s="212" t="s">
        <v>545</v>
      </c>
      <c r="F1151" s="215">
        <v>7</v>
      </c>
      <c r="G1151" s="194">
        <v>0</v>
      </c>
      <c r="H1151" s="195">
        <v>0</v>
      </c>
      <c r="I1151" s="212" t="s">
        <v>2354</v>
      </c>
    </row>
    <row r="1152" spans="1:9" x14ac:dyDescent="0.25">
      <c r="A1152" s="193" t="s">
        <v>220</v>
      </c>
      <c r="B1152" s="193" t="s">
        <v>2351</v>
      </c>
      <c r="C1152" s="214" t="s">
        <v>5350</v>
      </c>
      <c r="D1152" s="193" t="s">
        <v>5351</v>
      </c>
      <c r="E1152" s="212" t="s">
        <v>545</v>
      </c>
      <c r="F1152" s="215">
        <v>2</v>
      </c>
      <c r="G1152" s="194">
        <v>0</v>
      </c>
      <c r="H1152" s="195">
        <v>0</v>
      </c>
      <c r="I1152" s="212" t="s">
        <v>2354</v>
      </c>
    </row>
    <row r="1153" spans="1:9" x14ac:dyDescent="0.25">
      <c r="A1153" s="193" t="s">
        <v>220</v>
      </c>
      <c r="B1153" s="193" t="s">
        <v>2351</v>
      </c>
      <c r="C1153" s="214" t="s">
        <v>5352</v>
      </c>
      <c r="D1153" s="193" t="s">
        <v>5353</v>
      </c>
      <c r="E1153" s="212" t="s">
        <v>545</v>
      </c>
      <c r="F1153" s="215">
        <v>2</v>
      </c>
      <c r="G1153" s="194">
        <v>0</v>
      </c>
      <c r="H1153" s="195">
        <v>0</v>
      </c>
      <c r="I1153" s="212" t="s">
        <v>2354</v>
      </c>
    </row>
    <row r="1154" spans="1:9" x14ac:dyDescent="0.25">
      <c r="A1154" s="193" t="s">
        <v>220</v>
      </c>
      <c r="B1154" s="193" t="s">
        <v>2351</v>
      </c>
      <c r="C1154" s="214" t="s">
        <v>5311</v>
      </c>
      <c r="D1154" s="193" t="s">
        <v>5312</v>
      </c>
      <c r="E1154" s="212" t="s">
        <v>545</v>
      </c>
      <c r="F1154" s="215">
        <v>1</v>
      </c>
      <c r="G1154" s="194">
        <v>0</v>
      </c>
      <c r="H1154" s="195">
        <v>0</v>
      </c>
      <c r="I1154" s="212" t="s">
        <v>2354</v>
      </c>
    </row>
    <row r="1155" spans="1:9" x14ac:dyDescent="0.25">
      <c r="A1155" s="193" t="s">
        <v>220</v>
      </c>
      <c r="B1155" s="193" t="s">
        <v>2351</v>
      </c>
      <c r="C1155" s="214" t="s">
        <v>3823</v>
      </c>
      <c r="D1155" s="193" t="s">
        <v>3824</v>
      </c>
      <c r="E1155" s="212" t="s">
        <v>545</v>
      </c>
      <c r="F1155" s="215">
        <v>5</v>
      </c>
      <c r="G1155" s="194">
        <v>0</v>
      </c>
      <c r="H1155" s="195">
        <v>0</v>
      </c>
      <c r="I1155" s="212" t="s">
        <v>2354</v>
      </c>
    </row>
    <row r="1156" spans="1:9" x14ac:dyDescent="0.25">
      <c r="A1156" s="193" t="s">
        <v>220</v>
      </c>
      <c r="B1156" s="193" t="s">
        <v>2351</v>
      </c>
      <c r="C1156" s="214" t="s">
        <v>5321</v>
      </c>
      <c r="D1156" s="193" t="s">
        <v>5322</v>
      </c>
      <c r="E1156" s="212" t="s">
        <v>545</v>
      </c>
      <c r="F1156" s="213">
        <v>1</v>
      </c>
      <c r="G1156" s="194">
        <v>0</v>
      </c>
      <c r="H1156" s="195">
        <v>0</v>
      </c>
      <c r="I1156" s="212" t="s">
        <v>2354</v>
      </c>
    </row>
    <row r="1157" spans="1:9" x14ac:dyDescent="0.25">
      <c r="A1157" s="193" t="s">
        <v>220</v>
      </c>
      <c r="B1157" s="193" t="s">
        <v>2351</v>
      </c>
      <c r="C1157" s="214" t="s">
        <v>5317</v>
      </c>
      <c r="D1157" s="193" t="s">
        <v>5318</v>
      </c>
      <c r="E1157" s="212" t="s">
        <v>545</v>
      </c>
      <c r="F1157" s="215">
        <v>1</v>
      </c>
      <c r="G1157" s="194">
        <v>0</v>
      </c>
      <c r="H1157" s="195">
        <v>0</v>
      </c>
      <c r="I1157" s="212" t="s">
        <v>2354</v>
      </c>
    </row>
    <row r="1158" spans="1:9" x14ac:dyDescent="0.25">
      <c r="A1158" s="193" t="s">
        <v>220</v>
      </c>
      <c r="B1158" s="193" t="s">
        <v>2351</v>
      </c>
      <c r="C1158" s="214" t="s">
        <v>5319</v>
      </c>
      <c r="D1158" s="193" t="s">
        <v>5320</v>
      </c>
      <c r="E1158" s="212" t="s">
        <v>545</v>
      </c>
      <c r="F1158" s="215">
        <v>2</v>
      </c>
      <c r="G1158" s="194">
        <v>0</v>
      </c>
      <c r="H1158" s="195">
        <v>0</v>
      </c>
      <c r="I1158" s="212" t="s">
        <v>2354</v>
      </c>
    </row>
    <row r="1159" spans="1:9" x14ac:dyDescent="0.25">
      <c r="A1159" s="193" t="s">
        <v>220</v>
      </c>
      <c r="B1159" s="193" t="s">
        <v>2351</v>
      </c>
      <c r="C1159" s="214" t="s">
        <v>3915</v>
      </c>
      <c r="D1159" s="193" t="s">
        <v>3916</v>
      </c>
      <c r="E1159" s="212" t="s">
        <v>545</v>
      </c>
      <c r="F1159" s="215">
        <v>5</v>
      </c>
      <c r="G1159" s="194">
        <v>0</v>
      </c>
      <c r="H1159" s="195">
        <v>0</v>
      </c>
      <c r="I1159" s="212" t="s">
        <v>2354</v>
      </c>
    </row>
    <row r="1160" spans="1:9" x14ac:dyDescent="0.25">
      <c r="A1160" s="193" t="s">
        <v>220</v>
      </c>
      <c r="B1160" s="193" t="s">
        <v>2351</v>
      </c>
      <c r="C1160" s="214" t="s">
        <v>3917</v>
      </c>
      <c r="D1160" s="193" t="s">
        <v>3918</v>
      </c>
      <c r="E1160" s="212" t="s">
        <v>545</v>
      </c>
      <c r="F1160" s="215">
        <v>9</v>
      </c>
      <c r="G1160" s="194">
        <v>0</v>
      </c>
      <c r="H1160" s="195">
        <v>0</v>
      </c>
      <c r="I1160" s="212" t="s">
        <v>2354</v>
      </c>
    </row>
    <row r="1161" spans="1:9" x14ac:dyDescent="0.25">
      <c r="A1161" s="193" t="s">
        <v>220</v>
      </c>
      <c r="B1161" s="193" t="s">
        <v>2351</v>
      </c>
      <c r="C1161" s="214" t="s">
        <v>3919</v>
      </c>
      <c r="D1161" s="193" t="s">
        <v>3920</v>
      </c>
      <c r="E1161" s="212" t="s">
        <v>545</v>
      </c>
      <c r="F1161" s="213">
        <v>11</v>
      </c>
      <c r="G1161" s="194">
        <v>0</v>
      </c>
      <c r="H1161" s="195">
        <v>0</v>
      </c>
      <c r="I1161" s="212" t="s">
        <v>2354</v>
      </c>
    </row>
    <row r="1162" spans="1:9" x14ac:dyDescent="0.25">
      <c r="A1162" s="193" t="s">
        <v>220</v>
      </c>
      <c r="B1162" s="193" t="s">
        <v>2351</v>
      </c>
      <c r="C1162" s="214" t="s">
        <v>4003</v>
      </c>
      <c r="D1162" s="193" t="s">
        <v>4004</v>
      </c>
      <c r="E1162" s="212" t="s">
        <v>545</v>
      </c>
      <c r="F1162" s="215">
        <v>1</v>
      </c>
      <c r="G1162" s="194">
        <v>0</v>
      </c>
      <c r="H1162" s="195">
        <v>0</v>
      </c>
      <c r="I1162" s="212" t="s">
        <v>2354</v>
      </c>
    </row>
    <row r="1163" spans="1:9" x14ac:dyDescent="0.25">
      <c r="A1163" s="193" t="s">
        <v>220</v>
      </c>
      <c r="B1163" s="193" t="s">
        <v>2351</v>
      </c>
      <c r="C1163" s="214" t="s">
        <v>4005</v>
      </c>
      <c r="D1163" s="193" t="s">
        <v>4006</v>
      </c>
      <c r="E1163" s="212" t="s">
        <v>545</v>
      </c>
      <c r="F1163" s="215">
        <v>4</v>
      </c>
      <c r="G1163" s="194">
        <v>0</v>
      </c>
      <c r="H1163" s="195">
        <v>0</v>
      </c>
      <c r="I1163" s="212" t="s">
        <v>2354</v>
      </c>
    </row>
    <row r="1164" spans="1:9" x14ac:dyDescent="0.25">
      <c r="A1164" s="193" t="s">
        <v>220</v>
      </c>
      <c r="B1164" s="193" t="s">
        <v>2351</v>
      </c>
      <c r="C1164" s="214" t="s">
        <v>4007</v>
      </c>
      <c r="D1164" s="193" t="s">
        <v>4008</v>
      </c>
      <c r="E1164" s="212" t="s">
        <v>545</v>
      </c>
      <c r="F1164" s="215">
        <v>7</v>
      </c>
      <c r="G1164" s="194">
        <v>0</v>
      </c>
      <c r="H1164" s="195">
        <v>0</v>
      </c>
      <c r="I1164" s="212" t="s">
        <v>2354</v>
      </c>
    </row>
    <row r="1165" spans="1:9" x14ac:dyDescent="0.25">
      <c r="A1165" s="193" t="s">
        <v>220</v>
      </c>
      <c r="B1165" s="193" t="s">
        <v>2351</v>
      </c>
      <c r="C1165" s="214" t="s">
        <v>4013</v>
      </c>
      <c r="D1165" s="193" t="s">
        <v>4014</v>
      </c>
      <c r="E1165" s="212" t="s">
        <v>545</v>
      </c>
      <c r="F1165" s="215">
        <v>4</v>
      </c>
      <c r="G1165" s="194">
        <v>0</v>
      </c>
      <c r="H1165" s="195">
        <v>0</v>
      </c>
      <c r="I1165" s="212" t="s">
        <v>2354</v>
      </c>
    </row>
    <row r="1166" spans="1:9" x14ac:dyDescent="0.25">
      <c r="A1166" s="193" t="s">
        <v>220</v>
      </c>
      <c r="B1166" s="193" t="s">
        <v>2351</v>
      </c>
      <c r="C1166" s="214" t="s">
        <v>5329</v>
      </c>
      <c r="D1166" s="193" t="s">
        <v>5330</v>
      </c>
      <c r="E1166" s="212" t="s">
        <v>545</v>
      </c>
      <c r="F1166" s="215">
        <v>20</v>
      </c>
      <c r="G1166" s="194">
        <v>0</v>
      </c>
      <c r="H1166" s="195">
        <v>0</v>
      </c>
      <c r="I1166" s="212" t="s">
        <v>2354</v>
      </c>
    </row>
    <row r="1167" spans="1:9" x14ac:dyDescent="0.25">
      <c r="A1167" s="193" t="s">
        <v>220</v>
      </c>
      <c r="B1167" s="193" t="s">
        <v>2351</v>
      </c>
      <c r="C1167" s="214" t="s">
        <v>5332</v>
      </c>
      <c r="D1167" s="193" t="s">
        <v>5333</v>
      </c>
      <c r="E1167" s="212" t="s">
        <v>545</v>
      </c>
      <c r="F1167" s="215">
        <v>3</v>
      </c>
      <c r="G1167" s="194">
        <v>0</v>
      </c>
      <c r="H1167" s="195">
        <v>0</v>
      </c>
      <c r="I1167" s="212" t="s">
        <v>2354</v>
      </c>
    </row>
    <row r="1168" spans="1:9" x14ac:dyDescent="0.25">
      <c r="A1168" s="193" t="s">
        <v>220</v>
      </c>
      <c r="B1168" s="193" t="s">
        <v>2351</v>
      </c>
      <c r="C1168" s="214" t="s">
        <v>4111</v>
      </c>
      <c r="D1168" s="193" t="s">
        <v>4112</v>
      </c>
      <c r="E1168" s="212" t="s">
        <v>545</v>
      </c>
      <c r="F1168" s="215">
        <v>1</v>
      </c>
      <c r="G1168" s="194">
        <v>0</v>
      </c>
      <c r="H1168" s="195">
        <v>0</v>
      </c>
      <c r="I1168" s="212" t="s">
        <v>2354</v>
      </c>
    </row>
    <row r="1169" spans="1:9" x14ac:dyDescent="0.25">
      <c r="A1169" s="193" t="s">
        <v>220</v>
      </c>
      <c r="B1169" s="193" t="s">
        <v>2351</v>
      </c>
      <c r="C1169" s="214" t="s">
        <v>4113</v>
      </c>
      <c r="D1169" s="193" t="s">
        <v>4114</v>
      </c>
      <c r="E1169" s="212" t="s">
        <v>545</v>
      </c>
      <c r="F1169" s="215">
        <v>1</v>
      </c>
      <c r="G1169" s="194">
        <v>0</v>
      </c>
      <c r="H1169" s="195">
        <v>0</v>
      </c>
      <c r="I1169" s="212" t="s">
        <v>2354</v>
      </c>
    </row>
    <row r="1170" spans="1:9" x14ac:dyDescent="0.25">
      <c r="A1170" s="193" t="s">
        <v>220</v>
      </c>
      <c r="B1170" s="193" t="s">
        <v>2351</v>
      </c>
      <c r="C1170" s="214" t="s">
        <v>4125</v>
      </c>
      <c r="D1170" s="193" t="s">
        <v>4126</v>
      </c>
      <c r="E1170" s="212" t="s">
        <v>545</v>
      </c>
      <c r="F1170" s="213">
        <v>1</v>
      </c>
      <c r="G1170" s="194">
        <v>0</v>
      </c>
      <c r="H1170" s="195">
        <v>0</v>
      </c>
      <c r="I1170" s="212" t="s">
        <v>2354</v>
      </c>
    </row>
    <row r="1171" spans="1:9" x14ac:dyDescent="0.25">
      <c r="A1171" s="193" t="s">
        <v>220</v>
      </c>
      <c r="B1171" s="193" t="s">
        <v>2351</v>
      </c>
      <c r="C1171" s="214" t="s">
        <v>4171</v>
      </c>
      <c r="D1171" s="193" t="s">
        <v>4172</v>
      </c>
      <c r="E1171" s="212" t="s">
        <v>545</v>
      </c>
      <c r="F1171" s="213">
        <v>1</v>
      </c>
      <c r="G1171" s="194">
        <v>0</v>
      </c>
      <c r="H1171" s="195">
        <v>0</v>
      </c>
      <c r="I1171" s="212" t="s">
        <v>2354</v>
      </c>
    </row>
    <row r="1172" spans="1:9" x14ac:dyDescent="0.25">
      <c r="A1172" s="193" t="s">
        <v>220</v>
      </c>
      <c r="B1172" s="193" t="s">
        <v>2351</v>
      </c>
      <c r="C1172" s="214" t="s">
        <v>4311</v>
      </c>
      <c r="D1172" s="193" t="s">
        <v>4312</v>
      </c>
      <c r="E1172" s="212" t="s">
        <v>545</v>
      </c>
      <c r="F1172" s="215">
        <v>8</v>
      </c>
      <c r="G1172" s="194">
        <v>0</v>
      </c>
      <c r="H1172" s="195">
        <v>0</v>
      </c>
      <c r="I1172" s="212" t="s">
        <v>2354</v>
      </c>
    </row>
    <row r="1173" spans="1:9" x14ac:dyDescent="0.25">
      <c r="A1173" s="193" t="s">
        <v>220</v>
      </c>
      <c r="B1173" s="193" t="s">
        <v>2351</v>
      </c>
      <c r="C1173" s="214" t="s">
        <v>4373</v>
      </c>
      <c r="D1173" s="193" t="s">
        <v>4374</v>
      </c>
      <c r="E1173" s="212" t="s">
        <v>545</v>
      </c>
      <c r="F1173" s="215">
        <v>2</v>
      </c>
      <c r="G1173" s="194">
        <v>0</v>
      </c>
      <c r="H1173" s="195">
        <v>0</v>
      </c>
      <c r="I1173" s="212" t="s">
        <v>2354</v>
      </c>
    </row>
    <row r="1174" spans="1:9" x14ac:dyDescent="0.25">
      <c r="A1174" s="193" t="s">
        <v>220</v>
      </c>
      <c r="B1174" s="193" t="s">
        <v>2351</v>
      </c>
      <c r="C1174" s="214" t="s">
        <v>5410</v>
      </c>
      <c r="D1174" s="193" t="s">
        <v>5411</v>
      </c>
      <c r="E1174" s="212" t="s">
        <v>545</v>
      </c>
      <c r="F1174" s="213">
        <v>6</v>
      </c>
      <c r="G1174" s="194">
        <v>0</v>
      </c>
      <c r="H1174" s="195">
        <v>0</v>
      </c>
      <c r="I1174" s="212" t="s">
        <v>2354</v>
      </c>
    </row>
    <row r="1175" spans="1:9" x14ac:dyDescent="0.25">
      <c r="A1175" s="193" t="s">
        <v>220</v>
      </c>
      <c r="B1175" s="193" t="s">
        <v>2351</v>
      </c>
      <c r="C1175" s="214" t="s">
        <v>4576</v>
      </c>
      <c r="D1175" s="193" t="s">
        <v>4577</v>
      </c>
      <c r="E1175" s="212" t="s">
        <v>2473</v>
      </c>
      <c r="F1175" s="215">
        <v>2</v>
      </c>
      <c r="G1175" s="194">
        <v>0</v>
      </c>
      <c r="H1175" s="195">
        <v>0</v>
      </c>
      <c r="I1175" s="212" t="s">
        <v>2354</v>
      </c>
    </row>
    <row r="1176" spans="1:9" x14ac:dyDescent="0.25">
      <c r="A1176" s="193" t="s">
        <v>220</v>
      </c>
      <c r="B1176" s="193" t="s">
        <v>2351</v>
      </c>
      <c r="C1176" s="214" t="s">
        <v>4578</v>
      </c>
      <c r="D1176" s="193" t="s">
        <v>4579</v>
      </c>
      <c r="E1176" s="212" t="s">
        <v>2387</v>
      </c>
      <c r="F1176" s="215">
        <v>2</v>
      </c>
      <c r="G1176" s="194">
        <v>0</v>
      </c>
      <c r="H1176" s="195">
        <v>0</v>
      </c>
      <c r="I1176" s="212" t="s">
        <v>2354</v>
      </c>
    </row>
    <row r="1177" spans="1:9" x14ac:dyDescent="0.25">
      <c r="A1177" s="193" t="s">
        <v>220</v>
      </c>
      <c r="B1177" s="193" t="s">
        <v>2351</v>
      </c>
      <c r="C1177" s="214" t="s">
        <v>5378</v>
      </c>
      <c r="D1177" s="193" t="s">
        <v>5379</v>
      </c>
      <c r="E1177" s="212" t="s">
        <v>545</v>
      </c>
      <c r="F1177" s="213">
        <v>20</v>
      </c>
      <c r="G1177" s="194">
        <v>1.6559999999999999</v>
      </c>
      <c r="H1177" s="195">
        <v>33.119999999999997</v>
      </c>
      <c r="I1177" s="212" t="s">
        <v>2354</v>
      </c>
    </row>
    <row r="1178" spans="1:9" x14ac:dyDescent="0.25">
      <c r="A1178" s="193" t="s">
        <v>220</v>
      </c>
      <c r="B1178" s="193" t="s">
        <v>2351</v>
      </c>
      <c r="C1178" s="214" t="s">
        <v>4632</v>
      </c>
      <c r="D1178" s="193" t="s">
        <v>4633</v>
      </c>
      <c r="E1178" s="212" t="s">
        <v>545</v>
      </c>
      <c r="F1178" s="213">
        <v>1</v>
      </c>
      <c r="G1178" s="194">
        <v>0</v>
      </c>
      <c r="H1178" s="195">
        <v>0</v>
      </c>
      <c r="I1178" s="212" t="s">
        <v>2354</v>
      </c>
    </row>
    <row r="1179" spans="1:9" x14ac:dyDescent="0.25">
      <c r="A1179" s="193" t="s">
        <v>220</v>
      </c>
      <c r="B1179" s="193" t="s">
        <v>2351</v>
      </c>
      <c r="C1179" s="214" t="s">
        <v>4796</v>
      </c>
      <c r="D1179" s="193" t="s">
        <v>4797</v>
      </c>
      <c r="E1179" s="212" t="s">
        <v>545</v>
      </c>
      <c r="F1179" s="215">
        <v>250</v>
      </c>
      <c r="G1179" s="194">
        <v>0</v>
      </c>
      <c r="H1179" s="195">
        <v>0</v>
      </c>
      <c r="I1179" s="212" t="s">
        <v>2354</v>
      </c>
    </row>
    <row r="1180" spans="1:9" x14ac:dyDescent="0.25">
      <c r="A1180" s="193" t="s">
        <v>220</v>
      </c>
      <c r="B1180" s="193" t="s">
        <v>2351</v>
      </c>
      <c r="C1180" s="214" t="s">
        <v>4879</v>
      </c>
      <c r="D1180" s="193" t="s">
        <v>4880</v>
      </c>
      <c r="E1180" s="212" t="s">
        <v>545</v>
      </c>
      <c r="F1180" s="215">
        <v>140</v>
      </c>
      <c r="G1180" s="194">
        <v>0</v>
      </c>
      <c r="H1180" s="195">
        <v>0</v>
      </c>
      <c r="I1180" s="212" t="s">
        <v>2354</v>
      </c>
    </row>
    <row r="1181" spans="1:9" x14ac:dyDescent="0.25">
      <c r="A1181" s="193" t="s">
        <v>220</v>
      </c>
      <c r="B1181" s="193" t="s">
        <v>2351</v>
      </c>
      <c r="C1181" s="214" t="s">
        <v>5044</v>
      </c>
      <c r="D1181" s="193" t="s">
        <v>5045</v>
      </c>
      <c r="E1181" s="212" t="s">
        <v>545</v>
      </c>
      <c r="F1181" s="215">
        <v>58</v>
      </c>
      <c r="G1181" s="194">
        <v>0</v>
      </c>
      <c r="H1181" s="195">
        <v>0</v>
      </c>
      <c r="I1181" s="212" t="s">
        <v>2354</v>
      </c>
    </row>
    <row r="1182" spans="1:9" x14ac:dyDescent="0.25">
      <c r="A1182" s="193" t="s">
        <v>220</v>
      </c>
      <c r="B1182" s="193" t="s">
        <v>2351</v>
      </c>
      <c r="C1182" s="214" t="s">
        <v>5108</v>
      </c>
      <c r="D1182" s="193" t="s">
        <v>5109</v>
      </c>
      <c r="E1182" s="212" t="s">
        <v>545</v>
      </c>
      <c r="F1182" s="215">
        <v>35</v>
      </c>
      <c r="G1182" s="194">
        <v>0</v>
      </c>
      <c r="H1182" s="195">
        <v>0</v>
      </c>
      <c r="I1182" s="212" t="s">
        <v>2354</v>
      </c>
    </row>
    <row r="1183" spans="1:9" x14ac:dyDescent="0.25">
      <c r="A1183" s="193" t="s">
        <v>220</v>
      </c>
      <c r="B1183" s="193" t="s">
        <v>2351</v>
      </c>
      <c r="C1183" s="214" t="s">
        <v>5114</v>
      </c>
      <c r="D1183" s="193" t="s">
        <v>5115</v>
      </c>
      <c r="E1183" s="212" t="s">
        <v>545</v>
      </c>
      <c r="F1183" s="215">
        <v>420</v>
      </c>
      <c r="G1183" s="194">
        <v>0</v>
      </c>
      <c r="H1183" s="195">
        <v>0</v>
      </c>
      <c r="I1183" s="212" t="s">
        <v>2354</v>
      </c>
    </row>
    <row r="1184" spans="1:9" x14ac:dyDescent="0.25">
      <c r="A1184" s="193" t="s">
        <v>220</v>
      </c>
      <c r="B1184" s="193" t="s">
        <v>2351</v>
      </c>
      <c r="C1184" s="214" t="s">
        <v>5134</v>
      </c>
      <c r="D1184" s="193" t="s">
        <v>5135</v>
      </c>
      <c r="E1184" s="212" t="s">
        <v>545</v>
      </c>
      <c r="F1184" s="215">
        <v>93</v>
      </c>
      <c r="G1184" s="194">
        <v>0</v>
      </c>
      <c r="H1184" s="195">
        <v>0</v>
      </c>
      <c r="I1184" s="212" t="s">
        <v>2354</v>
      </c>
    </row>
    <row r="1185" spans="1:9" x14ac:dyDescent="0.25">
      <c r="A1185" s="193" t="s">
        <v>220</v>
      </c>
      <c r="B1185" s="193" t="s">
        <v>2351</v>
      </c>
      <c r="C1185" s="214"/>
      <c r="D1185" s="193" t="s">
        <v>5355</v>
      </c>
      <c r="E1185" s="212" t="s">
        <v>545</v>
      </c>
      <c r="F1185" s="215">
        <v>1</v>
      </c>
      <c r="G1185" s="194">
        <v>5.4729999999999999</v>
      </c>
      <c r="H1185" s="195">
        <v>5.4729999999999999</v>
      </c>
      <c r="I1185" s="212" t="s">
        <v>2354</v>
      </c>
    </row>
    <row r="1186" spans="1:9" x14ac:dyDescent="0.25">
      <c r="A1186" s="193" t="s">
        <v>220</v>
      </c>
      <c r="B1186" s="193" t="s">
        <v>5430</v>
      </c>
      <c r="C1186" s="214" t="s">
        <v>5431</v>
      </c>
      <c r="D1186" s="193" t="s">
        <v>5432</v>
      </c>
      <c r="E1186" s="212" t="s">
        <v>545</v>
      </c>
      <c r="F1186" s="215">
        <v>4</v>
      </c>
      <c r="G1186" s="194">
        <v>0</v>
      </c>
      <c r="H1186" s="195">
        <v>0</v>
      </c>
      <c r="I1186" s="212" t="s">
        <v>2354</v>
      </c>
    </row>
    <row r="1187" spans="1:9" x14ac:dyDescent="0.25">
      <c r="A1187" s="193" t="s">
        <v>220</v>
      </c>
      <c r="B1187" s="193" t="s">
        <v>5430</v>
      </c>
      <c r="C1187" s="214"/>
      <c r="D1187" s="193" t="s">
        <v>5470</v>
      </c>
      <c r="E1187" s="212" t="s">
        <v>545</v>
      </c>
      <c r="F1187" s="213">
        <v>18</v>
      </c>
      <c r="G1187" s="194">
        <v>6.7640000000000002</v>
      </c>
      <c r="H1187" s="195">
        <v>121.75200000000001</v>
      </c>
      <c r="I1187" s="212" t="s">
        <v>2354</v>
      </c>
    </row>
    <row r="1188" spans="1:9" x14ac:dyDescent="0.25">
      <c r="A1188" s="193" t="s">
        <v>220</v>
      </c>
      <c r="B1188" s="193" t="s">
        <v>5430</v>
      </c>
      <c r="C1188" s="214" t="s">
        <v>5492</v>
      </c>
      <c r="D1188" s="193" t="s">
        <v>5493</v>
      </c>
      <c r="E1188" s="212" t="s">
        <v>545</v>
      </c>
      <c r="F1188" s="215">
        <v>1</v>
      </c>
      <c r="G1188" s="194">
        <v>0</v>
      </c>
      <c r="H1188" s="195">
        <v>0</v>
      </c>
      <c r="I1188" s="212" t="s">
        <v>2354</v>
      </c>
    </row>
    <row r="1189" spans="1:9" x14ac:dyDescent="0.25">
      <c r="A1189" s="193" t="s">
        <v>220</v>
      </c>
      <c r="B1189" s="193" t="s">
        <v>5430</v>
      </c>
      <c r="C1189" s="214" t="s">
        <v>5514</v>
      </c>
      <c r="D1189" s="193" t="s">
        <v>5515</v>
      </c>
      <c r="E1189" s="212" t="s">
        <v>545</v>
      </c>
      <c r="F1189" s="215">
        <v>1</v>
      </c>
      <c r="G1189" s="194">
        <v>0</v>
      </c>
      <c r="H1189" s="195">
        <v>0</v>
      </c>
      <c r="I1189" s="212" t="s">
        <v>2354</v>
      </c>
    </row>
    <row r="1190" spans="1:9" x14ac:dyDescent="0.25">
      <c r="A1190" s="193" t="s">
        <v>220</v>
      </c>
      <c r="B1190" s="193" t="s">
        <v>5430</v>
      </c>
      <c r="C1190" s="214" t="s">
        <v>5516</v>
      </c>
      <c r="D1190" s="193" t="s">
        <v>5517</v>
      </c>
      <c r="E1190" s="212" t="s">
        <v>545</v>
      </c>
      <c r="F1190" s="215">
        <v>2</v>
      </c>
      <c r="G1190" s="194">
        <v>0</v>
      </c>
      <c r="H1190" s="195">
        <v>0</v>
      </c>
      <c r="I1190" s="212" t="s">
        <v>2354</v>
      </c>
    </row>
    <row r="1191" spans="1:9" x14ac:dyDescent="0.25">
      <c r="A1191" s="193" t="s">
        <v>220</v>
      </c>
      <c r="B1191" s="193" t="s">
        <v>5430</v>
      </c>
      <c r="C1191" s="214" t="s">
        <v>5518</v>
      </c>
      <c r="D1191" s="193" t="s">
        <v>5519</v>
      </c>
      <c r="E1191" s="212" t="s">
        <v>545</v>
      </c>
      <c r="F1191" s="215">
        <v>4</v>
      </c>
      <c r="G1191" s="194">
        <v>0</v>
      </c>
      <c r="H1191" s="195">
        <v>0</v>
      </c>
      <c r="I1191" s="212" t="s">
        <v>2354</v>
      </c>
    </row>
    <row r="1192" spans="1:9" x14ac:dyDescent="0.25">
      <c r="A1192" s="193" t="s">
        <v>220</v>
      </c>
      <c r="B1192" s="193" t="s">
        <v>5430</v>
      </c>
      <c r="C1192" s="214" t="s">
        <v>5520</v>
      </c>
      <c r="D1192" s="193" t="s">
        <v>5521</v>
      </c>
      <c r="E1192" s="212" t="s">
        <v>545</v>
      </c>
      <c r="F1192" s="213">
        <v>1</v>
      </c>
      <c r="G1192" s="194">
        <v>0</v>
      </c>
      <c r="H1192" s="195">
        <v>0</v>
      </c>
      <c r="I1192" s="212" t="s">
        <v>2354</v>
      </c>
    </row>
    <row r="1193" spans="1:9" x14ac:dyDescent="0.25">
      <c r="A1193" s="193" t="s">
        <v>220</v>
      </c>
      <c r="B1193" s="193" t="s">
        <v>5430</v>
      </c>
      <c r="C1193" s="214" t="s">
        <v>5534</v>
      </c>
      <c r="D1193" s="193" t="s">
        <v>5535</v>
      </c>
      <c r="E1193" s="212" t="s">
        <v>545</v>
      </c>
      <c r="F1193" s="215">
        <v>1</v>
      </c>
      <c r="G1193" s="194">
        <v>0</v>
      </c>
      <c r="H1193" s="195">
        <v>0</v>
      </c>
      <c r="I1193" s="212" t="s">
        <v>2354</v>
      </c>
    </row>
    <row r="1194" spans="1:9" x14ac:dyDescent="0.25">
      <c r="A1194" s="193" t="s">
        <v>220</v>
      </c>
      <c r="B1194" s="193" t="s">
        <v>5430</v>
      </c>
      <c r="C1194" s="214" t="s">
        <v>5536</v>
      </c>
      <c r="D1194" s="193" t="s">
        <v>5537</v>
      </c>
      <c r="E1194" s="212" t="s">
        <v>545</v>
      </c>
      <c r="F1194" s="215">
        <v>1</v>
      </c>
      <c r="G1194" s="194">
        <v>0</v>
      </c>
      <c r="H1194" s="195">
        <v>0</v>
      </c>
      <c r="I1194" s="212" t="s">
        <v>2354</v>
      </c>
    </row>
    <row r="1195" spans="1:9" x14ac:dyDescent="0.25">
      <c r="A1195" s="193" t="s">
        <v>220</v>
      </c>
      <c r="B1195" s="193" t="s">
        <v>5430</v>
      </c>
      <c r="C1195" s="214" t="s">
        <v>5550</v>
      </c>
      <c r="D1195" s="193" t="s">
        <v>5551</v>
      </c>
      <c r="E1195" s="212" t="s">
        <v>545</v>
      </c>
      <c r="F1195" s="215">
        <v>2</v>
      </c>
      <c r="G1195" s="194">
        <v>0</v>
      </c>
      <c r="H1195" s="195">
        <v>0</v>
      </c>
      <c r="I1195" s="212" t="s">
        <v>2354</v>
      </c>
    </row>
    <row r="1196" spans="1:9" x14ac:dyDescent="0.25">
      <c r="A1196" s="193" t="s">
        <v>220</v>
      </c>
      <c r="B1196" s="193" t="s">
        <v>5430</v>
      </c>
      <c r="C1196" s="214" t="s">
        <v>5588</v>
      </c>
      <c r="D1196" s="193" t="s">
        <v>5589</v>
      </c>
      <c r="E1196" s="212" t="s">
        <v>545</v>
      </c>
      <c r="F1196" s="215">
        <v>6</v>
      </c>
      <c r="G1196" s="194">
        <v>0</v>
      </c>
      <c r="H1196" s="195">
        <v>0</v>
      </c>
      <c r="I1196" s="212" t="s">
        <v>2354</v>
      </c>
    </row>
    <row r="1197" spans="1:9" x14ac:dyDescent="0.25">
      <c r="A1197" s="193" t="s">
        <v>220</v>
      </c>
      <c r="B1197" s="193" t="s">
        <v>5430</v>
      </c>
      <c r="C1197" s="214" t="s">
        <v>5590</v>
      </c>
      <c r="D1197" s="193" t="s">
        <v>5591</v>
      </c>
      <c r="E1197" s="212" t="s">
        <v>545</v>
      </c>
      <c r="F1197" s="215">
        <v>1</v>
      </c>
      <c r="G1197" s="194">
        <v>0</v>
      </c>
      <c r="H1197" s="195">
        <v>0</v>
      </c>
      <c r="I1197" s="212" t="s">
        <v>2354</v>
      </c>
    </row>
    <row r="1198" spans="1:9" x14ac:dyDescent="0.25">
      <c r="A1198" s="193" t="s">
        <v>220</v>
      </c>
      <c r="B1198" s="193" t="s">
        <v>5430</v>
      </c>
      <c r="C1198" s="214" t="s">
        <v>5592</v>
      </c>
      <c r="D1198" s="193" t="s">
        <v>5593</v>
      </c>
      <c r="E1198" s="212" t="s">
        <v>545</v>
      </c>
      <c r="F1198" s="215">
        <v>2</v>
      </c>
      <c r="G1198" s="194">
        <v>0</v>
      </c>
      <c r="H1198" s="195">
        <v>0</v>
      </c>
      <c r="I1198" s="212" t="s">
        <v>2354</v>
      </c>
    </row>
    <row r="1199" spans="1:9" x14ac:dyDescent="0.25">
      <c r="A1199" s="193" t="s">
        <v>220</v>
      </c>
      <c r="B1199" s="193" t="s">
        <v>5430</v>
      </c>
      <c r="C1199" s="214" t="s">
        <v>5594</v>
      </c>
      <c r="D1199" s="193" t="s">
        <v>5595</v>
      </c>
      <c r="E1199" s="212" t="s">
        <v>545</v>
      </c>
      <c r="F1199" s="215">
        <v>1</v>
      </c>
      <c r="G1199" s="194">
        <v>0</v>
      </c>
      <c r="H1199" s="195">
        <v>0</v>
      </c>
      <c r="I1199" s="212" t="s">
        <v>2354</v>
      </c>
    </row>
    <row r="1200" spans="1:9" x14ac:dyDescent="0.25">
      <c r="A1200" s="193" t="s">
        <v>220</v>
      </c>
      <c r="B1200" s="193" t="s">
        <v>5430</v>
      </c>
      <c r="C1200" s="214" t="s">
        <v>5596</v>
      </c>
      <c r="D1200" s="193" t="s">
        <v>5597</v>
      </c>
      <c r="E1200" s="212" t="s">
        <v>545</v>
      </c>
      <c r="F1200" s="215">
        <v>2</v>
      </c>
      <c r="G1200" s="194">
        <v>0</v>
      </c>
      <c r="H1200" s="195">
        <v>0</v>
      </c>
      <c r="I1200" s="212" t="s">
        <v>2354</v>
      </c>
    </row>
    <row r="1201" spans="1:9" x14ac:dyDescent="0.25">
      <c r="A1201" s="193" t="s">
        <v>220</v>
      </c>
      <c r="B1201" s="193" t="s">
        <v>5430</v>
      </c>
      <c r="C1201" s="214" t="s">
        <v>5598</v>
      </c>
      <c r="D1201" s="193" t="s">
        <v>5599</v>
      </c>
      <c r="E1201" s="212" t="s">
        <v>545</v>
      </c>
      <c r="F1201" s="215">
        <v>1</v>
      </c>
      <c r="G1201" s="194">
        <v>0</v>
      </c>
      <c r="H1201" s="195">
        <v>0</v>
      </c>
      <c r="I1201" s="212" t="s">
        <v>2354</v>
      </c>
    </row>
    <row r="1202" spans="1:9" x14ac:dyDescent="0.25">
      <c r="A1202" s="193" t="s">
        <v>220</v>
      </c>
      <c r="B1202" s="193" t="s">
        <v>5430</v>
      </c>
      <c r="C1202" s="214" t="s">
        <v>5600</v>
      </c>
      <c r="D1202" s="193" t="s">
        <v>5599</v>
      </c>
      <c r="E1202" s="212" t="s">
        <v>545</v>
      </c>
      <c r="F1202" s="213">
        <v>1</v>
      </c>
      <c r="G1202" s="194">
        <v>0</v>
      </c>
      <c r="H1202" s="195">
        <v>0</v>
      </c>
      <c r="I1202" s="212" t="s">
        <v>2354</v>
      </c>
    </row>
    <row r="1203" spans="1:9" x14ac:dyDescent="0.25">
      <c r="A1203" s="193" t="s">
        <v>220</v>
      </c>
      <c r="B1203" s="193" t="s">
        <v>5430</v>
      </c>
      <c r="C1203" s="214" t="s">
        <v>5601</v>
      </c>
      <c r="D1203" s="193" t="s">
        <v>5602</v>
      </c>
      <c r="E1203" s="212" t="s">
        <v>545</v>
      </c>
      <c r="F1203" s="213">
        <v>2</v>
      </c>
      <c r="G1203" s="194">
        <v>0</v>
      </c>
      <c r="H1203" s="195">
        <v>0</v>
      </c>
      <c r="I1203" s="212" t="s">
        <v>2354</v>
      </c>
    </row>
    <row r="1204" spans="1:9" x14ac:dyDescent="0.25">
      <c r="A1204" s="193" t="s">
        <v>220</v>
      </c>
      <c r="B1204" s="193" t="s">
        <v>5430</v>
      </c>
      <c r="C1204" s="214" t="s">
        <v>5603</v>
      </c>
      <c r="D1204" s="193" t="s">
        <v>5604</v>
      </c>
      <c r="E1204" s="212" t="s">
        <v>545</v>
      </c>
      <c r="F1204" s="215">
        <v>3</v>
      </c>
      <c r="G1204" s="194">
        <v>0</v>
      </c>
      <c r="H1204" s="195">
        <v>0</v>
      </c>
      <c r="I1204" s="212" t="s">
        <v>2354</v>
      </c>
    </row>
    <row r="1205" spans="1:9" x14ac:dyDescent="0.25">
      <c r="A1205" s="193" t="s">
        <v>220</v>
      </c>
      <c r="B1205" s="193" t="s">
        <v>5430</v>
      </c>
      <c r="C1205" s="214" t="s">
        <v>5605</v>
      </c>
      <c r="D1205" s="193" t="s">
        <v>5606</v>
      </c>
      <c r="E1205" s="212" t="s">
        <v>545</v>
      </c>
      <c r="F1205" s="215">
        <v>2</v>
      </c>
      <c r="G1205" s="194">
        <v>0</v>
      </c>
      <c r="H1205" s="195">
        <v>0</v>
      </c>
      <c r="I1205" s="212" t="s">
        <v>2354</v>
      </c>
    </row>
    <row r="1206" spans="1:9" x14ac:dyDescent="0.25">
      <c r="A1206" s="193" t="s">
        <v>220</v>
      </c>
      <c r="B1206" s="193" t="s">
        <v>5430</v>
      </c>
      <c r="C1206" s="214" t="s">
        <v>5607</v>
      </c>
      <c r="D1206" s="193" t="s">
        <v>5608</v>
      </c>
      <c r="E1206" s="212" t="s">
        <v>545</v>
      </c>
      <c r="F1206" s="215">
        <v>1</v>
      </c>
      <c r="G1206" s="194">
        <v>0</v>
      </c>
      <c r="H1206" s="195">
        <v>0</v>
      </c>
      <c r="I1206" s="212" t="s">
        <v>2354</v>
      </c>
    </row>
    <row r="1207" spans="1:9" x14ac:dyDescent="0.25">
      <c r="A1207" s="193" t="s">
        <v>220</v>
      </c>
      <c r="B1207" s="193" t="s">
        <v>5430</v>
      </c>
      <c r="C1207" s="214" t="s">
        <v>5609</v>
      </c>
      <c r="D1207" s="193" t="s">
        <v>5610</v>
      </c>
      <c r="E1207" s="212" t="s">
        <v>545</v>
      </c>
      <c r="F1207" s="213">
        <v>1</v>
      </c>
      <c r="G1207" s="194">
        <v>0</v>
      </c>
      <c r="H1207" s="195">
        <v>0</v>
      </c>
      <c r="I1207" s="212" t="s">
        <v>2354</v>
      </c>
    </row>
    <row r="1208" spans="1:9" x14ac:dyDescent="0.25">
      <c r="A1208" s="193" t="s">
        <v>220</v>
      </c>
      <c r="B1208" s="193" t="s">
        <v>5430</v>
      </c>
      <c r="C1208" s="214" t="s">
        <v>5611</v>
      </c>
      <c r="D1208" s="193" t="s">
        <v>5612</v>
      </c>
      <c r="E1208" s="212" t="s">
        <v>545</v>
      </c>
      <c r="F1208" s="215">
        <v>1</v>
      </c>
      <c r="G1208" s="194">
        <v>0</v>
      </c>
      <c r="H1208" s="195">
        <v>0</v>
      </c>
      <c r="I1208" s="212" t="s">
        <v>2354</v>
      </c>
    </row>
    <row r="1209" spans="1:9" x14ac:dyDescent="0.25">
      <c r="A1209" s="193" t="s">
        <v>220</v>
      </c>
      <c r="B1209" s="193" t="s">
        <v>5430</v>
      </c>
      <c r="C1209" s="214" t="s">
        <v>5613</v>
      </c>
      <c r="D1209" s="193" t="s">
        <v>5614</v>
      </c>
      <c r="E1209" s="212" t="s">
        <v>545</v>
      </c>
      <c r="F1209" s="213">
        <v>1</v>
      </c>
      <c r="G1209" s="194">
        <v>0</v>
      </c>
      <c r="H1209" s="195">
        <v>0</v>
      </c>
      <c r="I1209" s="212" t="s">
        <v>2354</v>
      </c>
    </row>
    <row r="1210" spans="1:9" x14ac:dyDescent="0.25">
      <c r="A1210" s="193" t="s">
        <v>220</v>
      </c>
      <c r="B1210" s="193" t="s">
        <v>5430</v>
      </c>
      <c r="C1210" s="214" t="s">
        <v>5615</v>
      </c>
      <c r="D1210" s="193" t="s">
        <v>5616</v>
      </c>
      <c r="E1210" s="212" t="s">
        <v>545</v>
      </c>
      <c r="F1210" s="213">
        <v>2</v>
      </c>
      <c r="G1210" s="194">
        <v>0</v>
      </c>
      <c r="H1210" s="195">
        <v>0</v>
      </c>
      <c r="I1210" s="212" t="s">
        <v>2354</v>
      </c>
    </row>
    <row r="1211" spans="1:9" x14ac:dyDescent="0.25">
      <c r="A1211" s="193" t="s">
        <v>220</v>
      </c>
      <c r="B1211" s="193" t="s">
        <v>5430</v>
      </c>
      <c r="C1211" s="214" t="s">
        <v>5617</v>
      </c>
      <c r="D1211" s="193" t="s">
        <v>5618</v>
      </c>
      <c r="E1211" s="212" t="s">
        <v>545</v>
      </c>
      <c r="F1211" s="215">
        <v>1</v>
      </c>
      <c r="G1211" s="194">
        <v>0</v>
      </c>
      <c r="H1211" s="195">
        <v>0</v>
      </c>
      <c r="I1211" s="212" t="s">
        <v>2354</v>
      </c>
    </row>
    <row r="1212" spans="1:9" x14ac:dyDescent="0.25">
      <c r="A1212" s="193" t="s">
        <v>220</v>
      </c>
      <c r="B1212" s="193" t="s">
        <v>5430</v>
      </c>
      <c r="C1212" s="214" t="s">
        <v>5619</v>
      </c>
      <c r="D1212" s="193" t="s">
        <v>5620</v>
      </c>
      <c r="E1212" s="212" t="s">
        <v>545</v>
      </c>
      <c r="F1212" s="213">
        <v>1</v>
      </c>
      <c r="G1212" s="194">
        <v>0</v>
      </c>
      <c r="H1212" s="195">
        <v>0</v>
      </c>
      <c r="I1212" s="212" t="s">
        <v>2354</v>
      </c>
    </row>
    <row r="1213" spans="1:9" x14ac:dyDescent="0.25">
      <c r="A1213" s="193" t="s">
        <v>220</v>
      </c>
      <c r="B1213" s="193" t="s">
        <v>5430</v>
      </c>
      <c r="C1213" s="214" t="s">
        <v>5621</v>
      </c>
      <c r="D1213" s="193" t="s">
        <v>5622</v>
      </c>
      <c r="E1213" s="212" t="s">
        <v>545</v>
      </c>
      <c r="F1213" s="215">
        <v>1</v>
      </c>
      <c r="G1213" s="194">
        <v>0</v>
      </c>
      <c r="H1213" s="195">
        <v>0</v>
      </c>
      <c r="I1213" s="212" t="s">
        <v>2354</v>
      </c>
    </row>
    <row r="1214" spans="1:9" x14ac:dyDescent="0.25">
      <c r="A1214" s="193" t="s">
        <v>220</v>
      </c>
      <c r="B1214" s="193" t="s">
        <v>5430</v>
      </c>
      <c r="C1214" s="214" t="s">
        <v>5623</v>
      </c>
      <c r="D1214" s="193" t="s">
        <v>5624</v>
      </c>
      <c r="E1214" s="212" t="s">
        <v>545</v>
      </c>
      <c r="F1214" s="215">
        <v>1</v>
      </c>
      <c r="G1214" s="194">
        <v>0</v>
      </c>
      <c r="H1214" s="195">
        <v>0</v>
      </c>
      <c r="I1214" s="212" t="s">
        <v>2354</v>
      </c>
    </row>
    <row r="1215" spans="1:9" x14ac:dyDescent="0.25">
      <c r="A1215" s="193" t="s">
        <v>220</v>
      </c>
      <c r="B1215" s="193" t="s">
        <v>5430</v>
      </c>
      <c r="C1215" s="214" t="s">
        <v>5625</v>
      </c>
      <c r="D1215" s="193" t="s">
        <v>5626</v>
      </c>
      <c r="E1215" s="212" t="s">
        <v>545</v>
      </c>
      <c r="F1215" s="215">
        <v>1</v>
      </c>
      <c r="G1215" s="194">
        <v>0</v>
      </c>
      <c r="H1215" s="195">
        <v>0</v>
      </c>
      <c r="I1215" s="212" t="s">
        <v>2354</v>
      </c>
    </row>
    <row r="1216" spans="1:9" x14ac:dyDescent="0.25">
      <c r="A1216" s="193" t="s">
        <v>220</v>
      </c>
      <c r="B1216" s="193" t="s">
        <v>5430</v>
      </c>
      <c r="C1216" s="214" t="s">
        <v>5627</v>
      </c>
      <c r="D1216" s="193" t="s">
        <v>5628</v>
      </c>
      <c r="E1216" s="212" t="s">
        <v>545</v>
      </c>
      <c r="F1216" s="215">
        <v>2</v>
      </c>
      <c r="G1216" s="194">
        <v>0</v>
      </c>
      <c r="H1216" s="195">
        <v>0</v>
      </c>
      <c r="I1216" s="212" t="s">
        <v>2354</v>
      </c>
    </row>
    <row r="1217" spans="1:9" x14ac:dyDescent="0.25">
      <c r="A1217" s="193" t="s">
        <v>220</v>
      </c>
      <c r="B1217" s="193" t="s">
        <v>5430</v>
      </c>
      <c r="C1217" s="214" t="s">
        <v>5633</v>
      </c>
      <c r="D1217" s="193" t="s">
        <v>5634</v>
      </c>
      <c r="E1217" s="212" t="s">
        <v>545</v>
      </c>
      <c r="F1217" s="215">
        <v>3</v>
      </c>
      <c r="G1217" s="194">
        <v>0</v>
      </c>
      <c r="H1217" s="195">
        <v>0</v>
      </c>
      <c r="I1217" s="212" t="s">
        <v>2354</v>
      </c>
    </row>
    <row r="1218" spans="1:9" x14ac:dyDescent="0.25">
      <c r="A1218" s="193" t="s">
        <v>220</v>
      </c>
      <c r="B1218" s="193" t="s">
        <v>5430</v>
      </c>
      <c r="C1218" s="214" t="s">
        <v>5635</v>
      </c>
      <c r="D1218" s="193" t="s">
        <v>5636</v>
      </c>
      <c r="E1218" s="212" t="s">
        <v>545</v>
      </c>
      <c r="F1218" s="215">
        <v>4</v>
      </c>
      <c r="G1218" s="194">
        <v>0</v>
      </c>
      <c r="H1218" s="195">
        <v>0</v>
      </c>
      <c r="I1218" s="212" t="s">
        <v>2354</v>
      </c>
    </row>
    <row r="1219" spans="1:9" x14ac:dyDescent="0.25">
      <c r="A1219" s="193" t="s">
        <v>220</v>
      </c>
      <c r="B1219" s="193" t="s">
        <v>5430</v>
      </c>
      <c r="C1219" s="214" t="s">
        <v>5641</v>
      </c>
      <c r="D1219" s="193" t="s">
        <v>5642</v>
      </c>
      <c r="E1219" s="212" t="s">
        <v>545</v>
      </c>
      <c r="F1219" s="215">
        <v>2</v>
      </c>
      <c r="G1219" s="194">
        <v>0</v>
      </c>
      <c r="H1219" s="195">
        <v>0</v>
      </c>
      <c r="I1219" s="212" t="s">
        <v>2354</v>
      </c>
    </row>
    <row r="1220" spans="1:9" x14ac:dyDescent="0.25">
      <c r="A1220" s="193" t="s">
        <v>220</v>
      </c>
      <c r="B1220" s="193" t="s">
        <v>5430</v>
      </c>
      <c r="C1220" s="214" t="s">
        <v>5660</v>
      </c>
      <c r="D1220" s="193" t="s">
        <v>5661</v>
      </c>
      <c r="E1220" s="212" t="s">
        <v>545</v>
      </c>
      <c r="F1220" s="215">
        <v>1</v>
      </c>
      <c r="G1220" s="194">
        <v>0</v>
      </c>
      <c r="H1220" s="195">
        <v>0</v>
      </c>
      <c r="I1220" s="212" t="s">
        <v>2354</v>
      </c>
    </row>
    <row r="1221" spans="1:9" x14ac:dyDescent="0.25">
      <c r="A1221" s="193" t="s">
        <v>220</v>
      </c>
      <c r="B1221" s="193" t="s">
        <v>5430</v>
      </c>
      <c r="C1221" s="214" t="s">
        <v>5703</v>
      </c>
      <c r="D1221" s="193" t="s">
        <v>5704</v>
      </c>
      <c r="E1221" s="212" t="s">
        <v>545</v>
      </c>
      <c r="F1221" s="215">
        <v>2</v>
      </c>
      <c r="G1221" s="194">
        <v>0</v>
      </c>
      <c r="H1221" s="195">
        <v>0</v>
      </c>
      <c r="I1221" s="212" t="s">
        <v>2354</v>
      </c>
    </row>
    <row r="1222" spans="1:9" x14ac:dyDescent="0.25">
      <c r="A1222" s="193" t="s">
        <v>220</v>
      </c>
      <c r="B1222" s="193" t="s">
        <v>5430</v>
      </c>
      <c r="C1222" s="214" t="s">
        <v>5705</v>
      </c>
      <c r="D1222" s="193" t="s">
        <v>5706</v>
      </c>
      <c r="E1222" s="212" t="s">
        <v>545</v>
      </c>
      <c r="F1222" s="215">
        <v>2</v>
      </c>
      <c r="G1222" s="194">
        <v>0</v>
      </c>
      <c r="H1222" s="195">
        <v>0</v>
      </c>
      <c r="I1222" s="212" t="s">
        <v>2354</v>
      </c>
    </row>
    <row r="1223" spans="1:9" x14ac:dyDescent="0.25">
      <c r="A1223" s="193" t="s">
        <v>220</v>
      </c>
      <c r="B1223" s="193" t="s">
        <v>5430</v>
      </c>
      <c r="C1223" s="214" t="s">
        <v>5707</v>
      </c>
      <c r="D1223" s="193" t="s">
        <v>5708</v>
      </c>
      <c r="E1223" s="212" t="s">
        <v>545</v>
      </c>
      <c r="F1223" s="215">
        <v>1</v>
      </c>
      <c r="G1223" s="194">
        <v>0</v>
      </c>
      <c r="H1223" s="195">
        <v>0</v>
      </c>
      <c r="I1223" s="212" t="s">
        <v>2354</v>
      </c>
    </row>
    <row r="1224" spans="1:9" x14ac:dyDescent="0.25">
      <c r="A1224" s="193" t="s">
        <v>220</v>
      </c>
      <c r="B1224" s="193" t="s">
        <v>5430</v>
      </c>
      <c r="C1224" s="214" t="s">
        <v>5709</v>
      </c>
      <c r="D1224" s="193" t="s">
        <v>5710</v>
      </c>
      <c r="E1224" s="212" t="s">
        <v>545</v>
      </c>
      <c r="F1224" s="215">
        <v>2</v>
      </c>
      <c r="G1224" s="194">
        <v>0</v>
      </c>
      <c r="H1224" s="195">
        <v>0</v>
      </c>
      <c r="I1224" s="212" t="s">
        <v>2354</v>
      </c>
    </row>
    <row r="1225" spans="1:9" x14ac:dyDescent="0.25">
      <c r="A1225" s="193" t="s">
        <v>220</v>
      </c>
      <c r="B1225" s="193" t="s">
        <v>5430</v>
      </c>
      <c r="C1225" s="214" t="s">
        <v>5753</v>
      </c>
      <c r="D1225" s="193" t="s">
        <v>5754</v>
      </c>
      <c r="E1225" s="212" t="s">
        <v>545</v>
      </c>
      <c r="F1225" s="215">
        <v>5</v>
      </c>
      <c r="G1225" s="194">
        <v>0</v>
      </c>
      <c r="H1225" s="195">
        <v>0</v>
      </c>
      <c r="I1225" s="212" t="s">
        <v>2354</v>
      </c>
    </row>
    <row r="1226" spans="1:9" x14ac:dyDescent="0.25">
      <c r="A1226" s="193" t="s">
        <v>220</v>
      </c>
      <c r="B1226" s="193" t="s">
        <v>5430</v>
      </c>
      <c r="C1226" s="214" t="s">
        <v>5797</v>
      </c>
      <c r="D1226" s="193" t="s">
        <v>5798</v>
      </c>
      <c r="E1226" s="212" t="s">
        <v>545</v>
      </c>
      <c r="F1226" s="215">
        <v>1</v>
      </c>
      <c r="G1226" s="194">
        <v>0</v>
      </c>
      <c r="H1226" s="195">
        <v>0</v>
      </c>
      <c r="I1226" s="212" t="s">
        <v>2354</v>
      </c>
    </row>
    <row r="1227" spans="1:9" x14ac:dyDescent="0.25">
      <c r="A1227" s="193" t="s">
        <v>220</v>
      </c>
      <c r="B1227" s="193" t="s">
        <v>5430</v>
      </c>
      <c r="C1227" s="214" t="s">
        <v>5799</v>
      </c>
      <c r="D1227" s="193" t="s">
        <v>5800</v>
      </c>
      <c r="E1227" s="212" t="s">
        <v>545</v>
      </c>
      <c r="F1227" s="215">
        <v>2</v>
      </c>
      <c r="G1227" s="194">
        <v>0</v>
      </c>
      <c r="H1227" s="195">
        <v>0</v>
      </c>
      <c r="I1227" s="212" t="s">
        <v>2354</v>
      </c>
    </row>
    <row r="1228" spans="1:9" x14ac:dyDescent="0.25">
      <c r="A1228" s="193" t="s">
        <v>220</v>
      </c>
      <c r="B1228" s="193" t="s">
        <v>5430</v>
      </c>
      <c r="C1228" s="214" t="s">
        <v>5825</v>
      </c>
      <c r="D1228" s="193" t="s">
        <v>5826</v>
      </c>
      <c r="E1228" s="212" t="s">
        <v>545</v>
      </c>
      <c r="F1228" s="215">
        <v>2</v>
      </c>
      <c r="G1228" s="194">
        <v>0</v>
      </c>
      <c r="H1228" s="195">
        <v>0</v>
      </c>
      <c r="I1228" s="212" t="s">
        <v>2354</v>
      </c>
    </row>
    <row r="1229" spans="1:9" x14ac:dyDescent="0.25">
      <c r="A1229" s="193" t="s">
        <v>220</v>
      </c>
      <c r="B1229" s="193" t="s">
        <v>5430</v>
      </c>
      <c r="C1229" s="214" t="s">
        <v>5838</v>
      </c>
      <c r="D1229" s="193" t="s">
        <v>5839</v>
      </c>
      <c r="E1229" s="212" t="s">
        <v>545</v>
      </c>
      <c r="F1229" s="215">
        <v>4</v>
      </c>
      <c r="G1229" s="194">
        <v>0</v>
      </c>
      <c r="H1229" s="195">
        <v>0</v>
      </c>
      <c r="I1229" s="212" t="s">
        <v>2354</v>
      </c>
    </row>
    <row r="1230" spans="1:9" x14ac:dyDescent="0.25">
      <c r="A1230" s="193" t="s">
        <v>220</v>
      </c>
      <c r="B1230" s="193" t="s">
        <v>5430</v>
      </c>
      <c r="C1230" s="214" t="s">
        <v>5862</v>
      </c>
      <c r="D1230" s="193" t="s">
        <v>5863</v>
      </c>
      <c r="E1230" s="212" t="s">
        <v>545</v>
      </c>
      <c r="F1230" s="215">
        <v>1</v>
      </c>
      <c r="G1230" s="194">
        <v>0</v>
      </c>
      <c r="H1230" s="195">
        <v>0</v>
      </c>
      <c r="I1230" s="212" t="s">
        <v>2354</v>
      </c>
    </row>
    <row r="1231" spans="1:9" x14ac:dyDescent="0.25">
      <c r="A1231" s="193" t="s">
        <v>220</v>
      </c>
      <c r="B1231" s="193" t="s">
        <v>5430</v>
      </c>
      <c r="C1231" s="214" t="s">
        <v>5921</v>
      </c>
      <c r="D1231" s="193" t="s">
        <v>5922</v>
      </c>
      <c r="E1231" s="212" t="s">
        <v>545</v>
      </c>
      <c r="F1231" s="215">
        <v>1</v>
      </c>
      <c r="G1231" s="194">
        <v>0</v>
      </c>
      <c r="H1231" s="195">
        <v>0</v>
      </c>
      <c r="I1231" s="212" t="s">
        <v>2354</v>
      </c>
    </row>
    <row r="1232" spans="1:9" x14ac:dyDescent="0.25">
      <c r="A1232" s="193" t="s">
        <v>220</v>
      </c>
      <c r="B1232" s="193" t="s">
        <v>5430</v>
      </c>
      <c r="C1232" s="214" t="s">
        <v>5955</v>
      </c>
      <c r="D1232" s="193" t="s">
        <v>5956</v>
      </c>
      <c r="E1232" s="212" t="s">
        <v>545</v>
      </c>
      <c r="F1232" s="215">
        <v>4</v>
      </c>
      <c r="G1232" s="194">
        <v>0</v>
      </c>
      <c r="H1232" s="195">
        <v>0</v>
      </c>
      <c r="I1232" s="212" t="s">
        <v>2354</v>
      </c>
    </row>
    <row r="1233" spans="1:9" x14ac:dyDescent="0.25">
      <c r="A1233" s="193" t="s">
        <v>220</v>
      </c>
      <c r="B1233" s="193" t="s">
        <v>5430</v>
      </c>
      <c r="C1233" s="214" t="s">
        <v>5957</v>
      </c>
      <c r="D1233" s="193" t="s">
        <v>5958</v>
      </c>
      <c r="E1233" s="212" t="s">
        <v>545</v>
      </c>
      <c r="F1233" s="215">
        <v>3</v>
      </c>
      <c r="G1233" s="194">
        <v>0</v>
      </c>
      <c r="H1233" s="195">
        <v>0</v>
      </c>
      <c r="I1233" s="212" t="s">
        <v>2354</v>
      </c>
    </row>
    <row r="1234" spans="1:9" x14ac:dyDescent="0.25">
      <c r="A1234" s="193" t="s">
        <v>220</v>
      </c>
      <c r="B1234" s="193" t="s">
        <v>5430</v>
      </c>
      <c r="C1234" s="214" t="s">
        <v>5959</v>
      </c>
      <c r="D1234" s="193" t="s">
        <v>5960</v>
      </c>
      <c r="E1234" s="212" t="s">
        <v>545</v>
      </c>
      <c r="F1234" s="215">
        <v>5</v>
      </c>
      <c r="G1234" s="194">
        <v>0</v>
      </c>
      <c r="H1234" s="195">
        <v>0</v>
      </c>
      <c r="I1234" s="212" t="s">
        <v>2354</v>
      </c>
    </row>
    <row r="1235" spans="1:9" x14ac:dyDescent="0.25">
      <c r="A1235" s="193" t="s">
        <v>220</v>
      </c>
      <c r="B1235" s="193" t="s">
        <v>5430</v>
      </c>
      <c r="C1235" s="214" t="s">
        <v>5961</v>
      </c>
      <c r="D1235" s="193" t="s">
        <v>5962</v>
      </c>
      <c r="E1235" s="212" t="s">
        <v>545</v>
      </c>
      <c r="F1235" s="215">
        <v>4</v>
      </c>
      <c r="G1235" s="194">
        <v>0</v>
      </c>
      <c r="H1235" s="195">
        <v>0</v>
      </c>
      <c r="I1235" s="212" t="s">
        <v>2354</v>
      </c>
    </row>
    <row r="1236" spans="1:9" x14ac:dyDescent="0.25">
      <c r="A1236" s="193" t="s">
        <v>220</v>
      </c>
      <c r="B1236" s="193" t="s">
        <v>5430</v>
      </c>
      <c r="C1236" s="214" t="s">
        <v>5967</v>
      </c>
      <c r="D1236" s="193" t="s">
        <v>5968</v>
      </c>
      <c r="E1236" s="212" t="s">
        <v>545</v>
      </c>
      <c r="F1236" s="215">
        <v>2</v>
      </c>
      <c r="G1236" s="194">
        <v>0</v>
      </c>
      <c r="H1236" s="195">
        <v>0</v>
      </c>
      <c r="I1236" s="212" t="s">
        <v>2354</v>
      </c>
    </row>
    <row r="1237" spans="1:9" x14ac:dyDescent="0.25">
      <c r="A1237" s="193" t="s">
        <v>220</v>
      </c>
      <c r="B1237" s="193" t="s">
        <v>5430</v>
      </c>
      <c r="C1237" s="214" t="s">
        <v>5989</v>
      </c>
      <c r="D1237" s="193" t="s">
        <v>5990</v>
      </c>
      <c r="E1237" s="212" t="s">
        <v>545</v>
      </c>
      <c r="F1237" s="215">
        <v>1</v>
      </c>
      <c r="G1237" s="194">
        <v>0</v>
      </c>
      <c r="H1237" s="195">
        <v>0</v>
      </c>
      <c r="I1237" s="212" t="s">
        <v>2354</v>
      </c>
    </row>
    <row r="1238" spans="1:9" x14ac:dyDescent="0.25">
      <c r="A1238" s="193" t="s">
        <v>220</v>
      </c>
      <c r="B1238" s="193" t="s">
        <v>5430</v>
      </c>
      <c r="C1238" s="214" t="s">
        <v>6067</v>
      </c>
      <c r="D1238" s="193" t="s">
        <v>6068</v>
      </c>
      <c r="E1238" s="212" t="s">
        <v>545</v>
      </c>
      <c r="F1238" s="215">
        <v>2</v>
      </c>
      <c r="G1238" s="194">
        <v>0</v>
      </c>
      <c r="H1238" s="195">
        <v>0</v>
      </c>
      <c r="I1238" s="212" t="s">
        <v>2354</v>
      </c>
    </row>
    <row r="1239" spans="1:9" x14ac:dyDescent="0.25">
      <c r="A1239" s="193" t="s">
        <v>220</v>
      </c>
      <c r="B1239" s="193" t="s">
        <v>5430</v>
      </c>
      <c r="C1239" s="214" t="s">
        <v>6117</v>
      </c>
      <c r="D1239" s="193" t="s">
        <v>6118</v>
      </c>
      <c r="E1239" s="212" t="s">
        <v>545</v>
      </c>
      <c r="F1239" s="215">
        <v>2</v>
      </c>
      <c r="G1239" s="194">
        <v>0</v>
      </c>
      <c r="H1239" s="195">
        <v>0</v>
      </c>
      <c r="I1239" s="212" t="s">
        <v>2354</v>
      </c>
    </row>
    <row r="1240" spans="1:9" x14ac:dyDescent="0.25">
      <c r="A1240" s="193" t="s">
        <v>220</v>
      </c>
      <c r="B1240" s="193" t="s">
        <v>5430</v>
      </c>
      <c r="C1240" s="214" t="s">
        <v>6119</v>
      </c>
      <c r="D1240" s="193" t="s">
        <v>6120</v>
      </c>
      <c r="E1240" s="212" t="s">
        <v>545</v>
      </c>
      <c r="F1240" s="215">
        <v>2</v>
      </c>
      <c r="G1240" s="194">
        <v>0</v>
      </c>
      <c r="H1240" s="195">
        <v>0</v>
      </c>
      <c r="I1240" s="212" t="s">
        <v>2354</v>
      </c>
    </row>
    <row r="1241" spans="1:9" x14ac:dyDescent="0.25">
      <c r="A1241" s="193" t="s">
        <v>220</v>
      </c>
      <c r="B1241" s="193" t="s">
        <v>5430</v>
      </c>
      <c r="C1241" s="214" t="s">
        <v>6158</v>
      </c>
      <c r="D1241" s="193" t="s">
        <v>6159</v>
      </c>
      <c r="E1241" s="212" t="s">
        <v>545</v>
      </c>
      <c r="F1241" s="215">
        <v>1</v>
      </c>
      <c r="G1241" s="194">
        <v>0</v>
      </c>
      <c r="H1241" s="195">
        <v>0</v>
      </c>
      <c r="I1241" s="212" t="s">
        <v>2354</v>
      </c>
    </row>
    <row r="1242" spans="1:9" x14ac:dyDescent="0.25">
      <c r="A1242" s="193" t="s">
        <v>220</v>
      </c>
      <c r="B1242" s="193" t="s">
        <v>5430</v>
      </c>
      <c r="C1242" s="214" t="s">
        <v>6184</v>
      </c>
      <c r="D1242" s="193" t="s">
        <v>6185</v>
      </c>
      <c r="E1242" s="212" t="s">
        <v>545</v>
      </c>
      <c r="F1242" s="215">
        <v>2</v>
      </c>
      <c r="G1242" s="194">
        <v>0</v>
      </c>
      <c r="H1242" s="195">
        <v>0</v>
      </c>
      <c r="I1242" s="212" t="s">
        <v>2354</v>
      </c>
    </row>
    <row r="1243" spans="1:9" x14ac:dyDescent="0.25">
      <c r="A1243" s="193" t="s">
        <v>220</v>
      </c>
      <c r="B1243" s="193" t="s">
        <v>5430</v>
      </c>
      <c r="C1243" s="214" t="s">
        <v>6204</v>
      </c>
      <c r="D1243" s="193" t="s">
        <v>6205</v>
      </c>
      <c r="E1243" s="212" t="s">
        <v>545</v>
      </c>
      <c r="F1243" s="215">
        <v>1</v>
      </c>
      <c r="G1243" s="194">
        <v>0</v>
      </c>
      <c r="H1243" s="195">
        <v>0</v>
      </c>
      <c r="I1243" s="212" t="s">
        <v>2354</v>
      </c>
    </row>
    <row r="1244" spans="1:9" x14ac:dyDescent="0.25">
      <c r="A1244" s="193" t="s">
        <v>220</v>
      </c>
      <c r="B1244" s="193" t="s">
        <v>5430</v>
      </c>
      <c r="C1244" s="214" t="s">
        <v>6206</v>
      </c>
      <c r="D1244" s="193" t="s">
        <v>6207</v>
      </c>
      <c r="E1244" s="212" t="s">
        <v>545</v>
      </c>
      <c r="F1244" s="215">
        <v>2</v>
      </c>
      <c r="G1244" s="194">
        <v>0</v>
      </c>
      <c r="H1244" s="195">
        <v>0</v>
      </c>
      <c r="I1244" s="212" t="s">
        <v>2354</v>
      </c>
    </row>
    <row r="1245" spans="1:9" x14ac:dyDescent="0.25">
      <c r="A1245" s="193" t="s">
        <v>220</v>
      </c>
      <c r="B1245" s="193" t="s">
        <v>5430</v>
      </c>
      <c r="C1245" s="214" t="s">
        <v>6208</v>
      </c>
      <c r="D1245" s="193" t="s">
        <v>6209</v>
      </c>
      <c r="E1245" s="212" t="s">
        <v>545</v>
      </c>
      <c r="F1245" s="215">
        <v>2</v>
      </c>
      <c r="G1245" s="194">
        <v>0</v>
      </c>
      <c r="H1245" s="195">
        <v>0</v>
      </c>
      <c r="I1245" s="212" t="s">
        <v>2354</v>
      </c>
    </row>
    <row r="1246" spans="1:9" x14ac:dyDescent="0.25">
      <c r="A1246" s="193" t="s">
        <v>220</v>
      </c>
      <c r="B1246" s="193" t="s">
        <v>5430</v>
      </c>
      <c r="C1246" s="214" t="s">
        <v>3221</v>
      </c>
      <c r="D1246" s="193" t="s">
        <v>3222</v>
      </c>
      <c r="E1246" s="212" t="s">
        <v>545</v>
      </c>
      <c r="F1246" s="215">
        <v>3</v>
      </c>
      <c r="G1246" s="194">
        <v>0</v>
      </c>
      <c r="H1246" s="195">
        <v>0</v>
      </c>
      <c r="I1246" s="212" t="s">
        <v>2354</v>
      </c>
    </row>
    <row r="1247" spans="1:9" x14ac:dyDescent="0.25">
      <c r="A1247" s="193" t="s">
        <v>220</v>
      </c>
      <c r="B1247" s="193" t="s">
        <v>5430</v>
      </c>
      <c r="C1247" s="214" t="s">
        <v>6349</v>
      </c>
      <c r="D1247" s="193" t="s">
        <v>6350</v>
      </c>
      <c r="E1247" s="212" t="s">
        <v>545</v>
      </c>
      <c r="F1247" s="215">
        <v>23</v>
      </c>
      <c r="G1247" s="194">
        <v>0</v>
      </c>
      <c r="H1247" s="195">
        <v>0</v>
      </c>
      <c r="I1247" s="212" t="s">
        <v>2354</v>
      </c>
    </row>
    <row r="1248" spans="1:9" x14ac:dyDescent="0.25">
      <c r="A1248" s="193" t="s">
        <v>220</v>
      </c>
      <c r="B1248" s="193" t="s">
        <v>5430</v>
      </c>
      <c r="C1248" s="214" t="s">
        <v>6455</v>
      </c>
      <c r="D1248" s="193" t="s">
        <v>6456</v>
      </c>
      <c r="E1248" s="212" t="s">
        <v>545</v>
      </c>
      <c r="F1248" s="215">
        <v>4</v>
      </c>
      <c r="G1248" s="194">
        <v>0</v>
      </c>
      <c r="H1248" s="195">
        <v>0</v>
      </c>
      <c r="I1248" s="212" t="s">
        <v>2354</v>
      </c>
    </row>
    <row r="1249" spans="1:9" x14ac:dyDescent="0.25">
      <c r="A1249" s="193" t="s">
        <v>220</v>
      </c>
      <c r="B1249" s="193" t="s">
        <v>5430</v>
      </c>
      <c r="C1249" s="214" t="s">
        <v>6461</v>
      </c>
      <c r="D1249" s="193" t="s">
        <v>6462</v>
      </c>
      <c r="E1249" s="212" t="s">
        <v>545</v>
      </c>
      <c r="F1249" s="213">
        <v>2</v>
      </c>
      <c r="G1249" s="194">
        <v>0</v>
      </c>
      <c r="H1249" s="195">
        <v>0</v>
      </c>
      <c r="I1249" s="212" t="s">
        <v>2354</v>
      </c>
    </row>
    <row r="1250" spans="1:9" x14ac:dyDescent="0.25">
      <c r="A1250" s="193" t="s">
        <v>220</v>
      </c>
      <c r="B1250" s="193" t="s">
        <v>5430</v>
      </c>
      <c r="C1250" s="214" t="s">
        <v>6509</v>
      </c>
      <c r="D1250" s="193" t="s">
        <v>6510</v>
      </c>
      <c r="E1250" s="212" t="s">
        <v>545</v>
      </c>
      <c r="F1250" s="215">
        <v>4</v>
      </c>
      <c r="G1250" s="194">
        <v>0</v>
      </c>
      <c r="H1250" s="195">
        <v>0</v>
      </c>
      <c r="I1250" s="212" t="s">
        <v>2354</v>
      </c>
    </row>
    <row r="1251" spans="1:9" x14ac:dyDescent="0.25">
      <c r="A1251" s="193" t="s">
        <v>220</v>
      </c>
      <c r="B1251" s="193" t="s">
        <v>5430</v>
      </c>
      <c r="C1251" s="214" t="s">
        <v>6519</v>
      </c>
      <c r="D1251" s="193" t="s">
        <v>6520</v>
      </c>
      <c r="E1251" s="212" t="s">
        <v>545</v>
      </c>
      <c r="F1251" s="215">
        <v>4</v>
      </c>
      <c r="G1251" s="194">
        <v>0</v>
      </c>
      <c r="H1251" s="195">
        <v>0</v>
      </c>
      <c r="I1251" s="212" t="s">
        <v>2354</v>
      </c>
    </row>
    <row r="1252" spans="1:9" x14ac:dyDescent="0.25">
      <c r="A1252" s="193" t="s">
        <v>220</v>
      </c>
      <c r="B1252" s="193" t="s">
        <v>5430</v>
      </c>
      <c r="C1252" s="214" t="s">
        <v>6528</v>
      </c>
      <c r="D1252" s="193" t="s">
        <v>6529</v>
      </c>
      <c r="E1252" s="212" t="s">
        <v>545</v>
      </c>
      <c r="F1252" s="215">
        <v>8</v>
      </c>
      <c r="G1252" s="194">
        <v>0</v>
      </c>
      <c r="H1252" s="195">
        <v>0</v>
      </c>
      <c r="I1252" s="212" t="s">
        <v>2354</v>
      </c>
    </row>
    <row r="1253" spans="1:9" x14ac:dyDescent="0.25">
      <c r="A1253" s="193" t="s">
        <v>220</v>
      </c>
      <c r="B1253" s="193" t="s">
        <v>5430</v>
      </c>
      <c r="C1253" s="214" t="s">
        <v>6557</v>
      </c>
      <c r="D1253" s="193" t="s">
        <v>6558</v>
      </c>
      <c r="E1253" s="212" t="s">
        <v>545</v>
      </c>
      <c r="F1253" s="215">
        <v>2</v>
      </c>
      <c r="G1253" s="194">
        <v>0</v>
      </c>
      <c r="H1253" s="195">
        <v>0</v>
      </c>
      <c r="I1253" s="212" t="s">
        <v>2354</v>
      </c>
    </row>
    <row r="1254" spans="1:9" x14ac:dyDescent="0.25">
      <c r="A1254" s="193" t="s">
        <v>220</v>
      </c>
      <c r="B1254" s="193" t="s">
        <v>5430</v>
      </c>
      <c r="C1254" s="214" t="s">
        <v>6595</v>
      </c>
      <c r="D1254" s="193" t="s">
        <v>6596</v>
      </c>
      <c r="E1254" s="212" t="s">
        <v>545</v>
      </c>
      <c r="F1254" s="215">
        <v>2</v>
      </c>
      <c r="G1254" s="194">
        <v>0</v>
      </c>
      <c r="H1254" s="195">
        <v>0</v>
      </c>
      <c r="I1254" s="212" t="s">
        <v>2354</v>
      </c>
    </row>
    <row r="1255" spans="1:9" x14ac:dyDescent="0.25">
      <c r="A1255" s="193" t="s">
        <v>220</v>
      </c>
      <c r="B1255" s="193" t="s">
        <v>5430</v>
      </c>
      <c r="C1255" s="214" t="s">
        <v>6628</v>
      </c>
      <c r="D1255" s="193" t="s">
        <v>6629</v>
      </c>
      <c r="E1255" s="212" t="s">
        <v>545</v>
      </c>
      <c r="F1255" s="215">
        <v>2</v>
      </c>
      <c r="G1255" s="194">
        <v>0</v>
      </c>
      <c r="H1255" s="195">
        <v>0</v>
      </c>
      <c r="I1255" s="212" t="s">
        <v>2354</v>
      </c>
    </row>
    <row r="1256" spans="1:9" x14ac:dyDescent="0.25">
      <c r="A1256" s="193" t="s">
        <v>220</v>
      </c>
      <c r="B1256" s="193" t="s">
        <v>5430</v>
      </c>
      <c r="C1256" s="214" t="s">
        <v>6636</v>
      </c>
      <c r="D1256" s="193" t="s">
        <v>6637</v>
      </c>
      <c r="E1256" s="212" t="s">
        <v>545</v>
      </c>
      <c r="F1256" s="215">
        <v>2</v>
      </c>
      <c r="G1256" s="194">
        <v>0</v>
      </c>
      <c r="H1256" s="195">
        <v>0</v>
      </c>
      <c r="I1256" s="212" t="s">
        <v>2354</v>
      </c>
    </row>
    <row r="1257" spans="1:9" x14ac:dyDescent="0.25">
      <c r="A1257" s="193" t="s">
        <v>220</v>
      </c>
      <c r="B1257" s="193" t="s">
        <v>5430</v>
      </c>
      <c r="C1257" s="214" t="s">
        <v>6638</v>
      </c>
      <c r="D1257" s="193" t="s">
        <v>6639</v>
      </c>
      <c r="E1257" s="212" t="s">
        <v>545</v>
      </c>
      <c r="F1257" s="215">
        <v>2</v>
      </c>
      <c r="G1257" s="194">
        <v>0</v>
      </c>
      <c r="H1257" s="195">
        <v>0</v>
      </c>
      <c r="I1257" s="212" t="s">
        <v>2354</v>
      </c>
    </row>
    <row r="1258" spans="1:9" x14ac:dyDescent="0.25">
      <c r="A1258" s="193" t="s">
        <v>220</v>
      </c>
      <c r="B1258" s="193" t="s">
        <v>5430</v>
      </c>
      <c r="C1258" s="214" t="s">
        <v>6642</v>
      </c>
      <c r="D1258" s="193" t="s">
        <v>6643</v>
      </c>
      <c r="E1258" s="212" t="s">
        <v>545</v>
      </c>
      <c r="F1258" s="215">
        <v>1</v>
      </c>
      <c r="G1258" s="194">
        <v>0</v>
      </c>
      <c r="H1258" s="195">
        <v>0</v>
      </c>
      <c r="I1258" s="212" t="s">
        <v>2354</v>
      </c>
    </row>
    <row r="1259" spans="1:9" x14ac:dyDescent="0.25">
      <c r="A1259" s="193" t="s">
        <v>220</v>
      </c>
      <c r="B1259" s="193" t="s">
        <v>5430</v>
      </c>
      <c r="C1259" s="214" t="s">
        <v>6644</v>
      </c>
      <c r="D1259" s="193" t="s">
        <v>6645</v>
      </c>
      <c r="E1259" s="212" t="s">
        <v>545</v>
      </c>
      <c r="F1259" s="215">
        <v>1</v>
      </c>
      <c r="G1259" s="194">
        <v>0</v>
      </c>
      <c r="H1259" s="195">
        <v>0</v>
      </c>
      <c r="I1259" s="212" t="s">
        <v>2354</v>
      </c>
    </row>
    <row r="1260" spans="1:9" x14ac:dyDescent="0.25">
      <c r="A1260" s="193" t="s">
        <v>220</v>
      </c>
      <c r="B1260" s="193" t="s">
        <v>5430</v>
      </c>
      <c r="C1260" s="214" t="s">
        <v>6646</v>
      </c>
      <c r="D1260" s="193" t="s">
        <v>6647</v>
      </c>
      <c r="E1260" s="212" t="s">
        <v>545</v>
      </c>
      <c r="F1260" s="215">
        <v>2</v>
      </c>
      <c r="G1260" s="194">
        <v>0</v>
      </c>
      <c r="H1260" s="195">
        <v>0</v>
      </c>
      <c r="I1260" s="212" t="s">
        <v>2354</v>
      </c>
    </row>
    <row r="1261" spans="1:9" x14ac:dyDescent="0.25">
      <c r="A1261" s="193" t="s">
        <v>220</v>
      </c>
      <c r="B1261" s="193" t="s">
        <v>5430</v>
      </c>
      <c r="C1261" s="214" t="s">
        <v>6648</v>
      </c>
      <c r="D1261" s="193" t="s">
        <v>6649</v>
      </c>
      <c r="E1261" s="212" t="s">
        <v>545</v>
      </c>
      <c r="F1261" s="215">
        <v>1</v>
      </c>
      <c r="G1261" s="194">
        <v>0</v>
      </c>
      <c r="H1261" s="195">
        <v>0</v>
      </c>
      <c r="I1261" s="212" t="s">
        <v>2354</v>
      </c>
    </row>
    <row r="1262" spans="1:9" x14ac:dyDescent="0.25">
      <c r="A1262" s="193" t="s">
        <v>220</v>
      </c>
      <c r="B1262" s="193" t="s">
        <v>5430</v>
      </c>
      <c r="C1262" s="214" t="s">
        <v>6650</v>
      </c>
      <c r="D1262" s="193" t="s">
        <v>6651</v>
      </c>
      <c r="E1262" s="212" t="s">
        <v>545</v>
      </c>
      <c r="F1262" s="215">
        <v>1</v>
      </c>
      <c r="G1262" s="194">
        <v>0</v>
      </c>
      <c r="H1262" s="195">
        <v>0</v>
      </c>
      <c r="I1262" s="212" t="s">
        <v>2354</v>
      </c>
    </row>
    <row r="1263" spans="1:9" x14ac:dyDescent="0.25">
      <c r="A1263" s="193" t="s">
        <v>220</v>
      </c>
      <c r="B1263" s="193" t="s">
        <v>5430</v>
      </c>
      <c r="C1263" s="214" t="s">
        <v>6652</v>
      </c>
      <c r="D1263" s="193" t="s">
        <v>6653</v>
      </c>
      <c r="E1263" s="212" t="s">
        <v>545</v>
      </c>
      <c r="F1263" s="215">
        <v>1</v>
      </c>
      <c r="G1263" s="194">
        <v>0</v>
      </c>
      <c r="H1263" s="195">
        <v>0</v>
      </c>
      <c r="I1263" s="212" t="s">
        <v>2354</v>
      </c>
    </row>
    <row r="1264" spans="1:9" x14ac:dyDescent="0.25">
      <c r="A1264" s="193" t="s">
        <v>220</v>
      </c>
      <c r="B1264" s="193" t="s">
        <v>5430</v>
      </c>
      <c r="C1264" s="214" t="s">
        <v>6654</v>
      </c>
      <c r="D1264" s="193" t="s">
        <v>6655</v>
      </c>
      <c r="E1264" s="212" t="s">
        <v>545</v>
      </c>
      <c r="F1264" s="215">
        <v>1</v>
      </c>
      <c r="G1264" s="194">
        <v>0</v>
      </c>
      <c r="H1264" s="195">
        <v>0</v>
      </c>
      <c r="I1264" s="212" t="s">
        <v>2354</v>
      </c>
    </row>
    <row r="1265" spans="1:9" x14ac:dyDescent="0.25">
      <c r="A1265" s="193" t="s">
        <v>220</v>
      </c>
      <c r="B1265" s="193" t="s">
        <v>5430</v>
      </c>
      <c r="C1265" s="214" t="s">
        <v>6656</v>
      </c>
      <c r="D1265" s="193" t="s">
        <v>6657</v>
      </c>
      <c r="E1265" s="212" t="s">
        <v>545</v>
      </c>
      <c r="F1265" s="215">
        <v>1</v>
      </c>
      <c r="G1265" s="194">
        <v>0</v>
      </c>
      <c r="H1265" s="195">
        <v>0</v>
      </c>
      <c r="I1265" s="212" t="s">
        <v>2354</v>
      </c>
    </row>
    <row r="1266" spans="1:9" x14ac:dyDescent="0.25">
      <c r="A1266" s="193" t="s">
        <v>220</v>
      </c>
      <c r="B1266" s="193" t="s">
        <v>5430</v>
      </c>
      <c r="C1266" s="214" t="s">
        <v>6658</v>
      </c>
      <c r="D1266" s="193" t="s">
        <v>6659</v>
      </c>
      <c r="E1266" s="212" t="s">
        <v>545</v>
      </c>
      <c r="F1266" s="215">
        <v>1</v>
      </c>
      <c r="G1266" s="194">
        <v>0</v>
      </c>
      <c r="H1266" s="195">
        <v>0</v>
      </c>
      <c r="I1266" s="212" t="s">
        <v>2354</v>
      </c>
    </row>
    <row r="1267" spans="1:9" x14ac:dyDescent="0.25">
      <c r="A1267" s="193" t="s">
        <v>220</v>
      </c>
      <c r="B1267" s="193" t="s">
        <v>5430</v>
      </c>
      <c r="C1267" s="214" t="s">
        <v>6660</v>
      </c>
      <c r="D1267" s="193" t="s">
        <v>6661</v>
      </c>
      <c r="E1267" s="212" t="s">
        <v>545</v>
      </c>
      <c r="F1267" s="215">
        <v>2</v>
      </c>
      <c r="G1267" s="194">
        <v>0</v>
      </c>
      <c r="H1267" s="195">
        <v>0</v>
      </c>
      <c r="I1267" s="212" t="s">
        <v>2354</v>
      </c>
    </row>
    <row r="1268" spans="1:9" x14ac:dyDescent="0.25">
      <c r="A1268" s="193" t="s">
        <v>220</v>
      </c>
      <c r="B1268" s="193" t="s">
        <v>5430</v>
      </c>
      <c r="C1268" s="214" t="s">
        <v>6662</v>
      </c>
      <c r="D1268" s="193" t="s">
        <v>6663</v>
      </c>
      <c r="E1268" s="212" t="s">
        <v>545</v>
      </c>
      <c r="F1268" s="215">
        <v>1</v>
      </c>
      <c r="G1268" s="194">
        <v>0</v>
      </c>
      <c r="H1268" s="195">
        <v>0</v>
      </c>
      <c r="I1268" s="212" t="s">
        <v>2354</v>
      </c>
    </row>
    <row r="1269" spans="1:9" x14ac:dyDescent="0.25">
      <c r="A1269" s="193" t="s">
        <v>220</v>
      </c>
      <c r="B1269" s="193" t="s">
        <v>5430</v>
      </c>
      <c r="C1269" s="214" t="s">
        <v>6664</v>
      </c>
      <c r="D1269" s="193" t="s">
        <v>6665</v>
      </c>
      <c r="E1269" s="212" t="s">
        <v>545</v>
      </c>
      <c r="F1269" s="215">
        <v>1</v>
      </c>
      <c r="G1269" s="194">
        <v>0</v>
      </c>
      <c r="H1269" s="195">
        <v>0</v>
      </c>
      <c r="I1269" s="212" t="s">
        <v>2354</v>
      </c>
    </row>
    <row r="1270" spans="1:9" x14ac:dyDescent="0.25">
      <c r="A1270" s="193" t="s">
        <v>220</v>
      </c>
      <c r="B1270" s="193" t="s">
        <v>5430</v>
      </c>
      <c r="C1270" s="214" t="s">
        <v>6666</v>
      </c>
      <c r="D1270" s="193" t="s">
        <v>6667</v>
      </c>
      <c r="E1270" s="212" t="s">
        <v>545</v>
      </c>
      <c r="F1270" s="215">
        <v>1</v>
      </c>
      <c r="G1270" s="194">
        <v>0</v>
      </c>
      <c r="H1270" s="195">
        <v>0</v>
      </c>
      <c r="I1270" s="212" t="s">
        <v>2354</v>
      </c>
    </row>
    <row r="1271" spans="1:9" x14ac:dyDescent="0.25">
      <c r="A1271" s="193" t="s">
        <v>220</v>
      </c>
      <c r="B1271" s="193" t="s">
        <v>5430</v>
      </c>
      <c r="C1271" s="214" t="s">
        <v>6668</v>
      </c>
      <c r="D1271" s="193" t="s">
        <v>6669</v>
      </c>
      <c r="E1271" s="212" t="s">
        <v>545</v>
      </c>
      <c r="F1271" s="215">
        <v>5</v>
      </c>
      <c r="G1271" s="194">
        <v>0</v>
      </c>
      <c r="H1271" s="195">
        <v>0</v>
      </c>
      <c r="I1271" s="212" t="s">
        <v>2354</v>
      </c>
    </row>
    <row r="1272" spans="1:9" x14ac:dyDescent="0.25">
      <c r="A1272" s="193" t="s">
        <v>220</v>
      </c>
      <c r="B1272" s="193" t="s">
        <v>5430</v>
      </c>
      <c r="C1272" s="214" t="s">
        <v>6672</v>
      </c>
      <c r="D1272" s="193" t="s">
        <v>6673</v>
      </c>
      <c r="E1272" s="212" t="s">
        <v>545</v>
      </c>
      <c r="F1272" s="215">
        <v>4</v>
      </c>
      <c r="G1272" s="194">
        <v>0</v>
      </c>
      <c r="H1272" s="195">
        <v>0</v>
      </c>
      <c r="I1272" s="212" t="s">
        <v>2354</v>
      </c>
    </row>
    <row r="1273" spans="1:9" x14ac:dyDescent="0.25">
      <c r="A1273" s="193" t="s">
        <v>220</v>
      </c>
      <c r="B1273" s="193" t="s">
        <v>5430</v>
      </c>
      <c r="C1273" s="214" t="s">
        <v>6674</v>
      </c>
      <c r="D1273" s="193" t="s">
        <v>6675</v>
      </c>
      <c r="E1273" s="212" t="s">
        <v>545</v>
      </c>
      <c r="F1273" s="215">
        <v>1</v>
      </c>
      <c r="G1273" s="194">
        <v>0</v>
      </c>
      <c r="H1273" s="195">
        <v>0</v>
      </c>
      <c r="I1273" s="212" t="s">
        <v>2354</v>
      </c>
    </row>
    <row r="1274" spans="1:9" x14ac:dyDescent="0.25">
      <c r="A1274" s="193" t="s">
        <v>220</v>
      </c>
      <c r="B1274" s="193" t="s">
        <v>5430</v>
      </c>
      <c r="C1274" s="214" t="s">
        <v>6676</v>
      </c>
      <c r="D1274" s="193" t="s">
        <v>6677</v>
      </c>
      <c r="E1274" s="212" t="s">
        <v>545</v>
      </c>
      <c r="F1274" s="215">
        <v>1</v>
      </c>
      <c r="G1274" s="194">
        <v>0</v>
      </c>
      <c r="H1274" s="195">
        <v>0</v>
      </c>
      <c r="I1274" s="212" t="s">
        <v>2354</v>
      </c>
    </row>
    <row r="1275" spans="1:9" x14ac:dyDescent="0.25">
      <c r="A1275" s="193" t="s">
        <v>220</v>
      </c>
      <c r="B1275" s="193" t="s">
        <v>5430</v>
      </c>
      <c r="C1275" s="214" t="s">
        <v>6678</v>
      </c>
      <c r="D1275" s="193" t="s">
        <v>6679</v>
      </c>
      <c r="E1275" s="212" t="s">
        <v>545</v>
      </c>
      <c r="F1275" s="215">
        <v>5</v>
      </c>
      <c r="G1275" s="194">
        <v>0</v>
      </c>
      <c r="H1275" s="195">
        <v>0</v>
      </c>
      <c r="I1275" s="212" t="s">
        <v>2354</v>
      </c>
    </row>
    <row r="1276" spans="1:9" x14ac:dyDescent="0.25">
      <c r="A1276" s="193" t="s">
        <v>220</v>
      </c>
      <c r="B1276" s="193" t="s">
        <v>5430</v>
      </c>
      <c r="C1276" s="214" t="s">
        <v>6680</v>
      </c>
      <c r="D1276" s="193" t="s">
        <v>6681</v>
      </c>
      <c r="E1276" s="212" t="s">
        <v>545</v>
      </c>
      <c r="F1276" s="215">
        <v>1</v>
      </c>
      <c r="G1276" s="194">
        <v>0</v>
      </c>
      <c r="H1276" s="195">
        <v>0</v>
      </c>
      <c r="I1276" s="212" t="s">
        <v>2354</v>
      </c>
    </row>
    <row r="1277" spans="1:9" x14ac:dyDescent="0.25">
      <c r="A1277" s="193" t="s">
        <v>220</v>
      </c>
      <c r="B1277" s="193" t="s">
        <v>5430</v>
      </c>
      <c r="C1277" s="214" t="s">
        <v>3823</v>
      </c>
      <c r="D1277" s="193" t="s">
        <v>3824</v>
      </c>
      <c r="E1277" s="212" t="s">
        <v>545</v>
      </c>
      <c r="F1277" s="215">
        <v>1</v>
      </c>
      <c r="G1277" s="194">
        <v>0</v>
      </c>
      <c r="H1277" s="195">
        <v>0</v>
      </c>
      <c r="I1277" s="212" t="s">
        <v>2354</v>
      </c>
    </row>
    <row r="1278" spans="1:9" x14ac:dyDescent="0.25">
      <c r="A1278" s="193" t="s">
        <v>220</v>
      </c>
      <c r="B1278" s="193" t="s">
        <v>5430</v>
      </c>
      <c r="C1278" s="214" t="s">
        <v>6682</v>
      </c>
      <c r="D1278" s="193" t="s">
        <v>6683</v>
      </c>
      <c r="E1278" s="212" t="s">
        <v>545</v>
      </c>
      <c r="F1278" s="215">
        <v>6</v>
      </c>
      <c r="G1278" s="194">
        <v>0</v>
      </c>
      <c r="H1278" s="195">
        <v>0</v>
      </c>
      <c r="I1278" s="212" t="s">
        <v>2354</v>
      </c>
    </row>
    <row r="1279" spans="1:9" x14ac:dyDescent="0.25">
      <c r="A1279" s="193" t="s">
        <v>220</v>
      </c>
      <c r="B1279" s="193" t="s">
        <v>5430</v>
      </c>
      <c r="C1279" s="214" t="s">
        <v>6684</v>
      </c>
      <c r="D1279" s="193" t="s">
        <v>6685</v>
      </c>
      <c r="E1279" s="212" t="s">
        <v>545</v>
      </c>
      <c r="F1279" s="215">
        <v>2</v>
      </c>
      <c r="G1279" s="194">
        <v>0</v>
      </c>
      <c r="H1279" s="195">
        <v>0</v>
      </c>
      <c r="I1279" s="212" t="s">
        <v>2354</v>
      </c>
    </row>
    <row r="1280" spans="1:9" x14ac:dyDescent="0.25">
      <c r="A1280" s="193" t="s">
        <v>220</v>
      </c>
      <c r="B1280" s="193" t="s">
        <v>5430</v>
      </c>
      <c r="C1280" s="214" t="s">
        <v>6686</v>
      </c>
      <c r="D1280" s="193" t="s">
        <v>6687</v>
      </c>
      <c r="E1280" s="212" t="s">
        <v>545</v>
      </c>
      <c r="F1280" s="215">
        <v>2</v>
      </c>
      <c r="G1280" s="194">
        <v>0</v>
      </c>
      <c r="H1280" s="195">
        <v>0</v>
      </c>
      <c r="I1280" s="212" t="s">
        <v>2354</v>
      </c>
    </row>
    <row r="1281" spans="1:9" x14ac:dyDescent="0.25">
      <c r="A1281" s="193" t="s">
        <v>220</v>
      </c>
      <c r="B1281" s="193" t="s">
        <v>5430</v>
      </c>
      <c r="C1281" s="214" t="s">
        <v>6688</v>
      </c>
      <c r="D1281" s="193" t="s">
        <v>6689</v>
      </c>
      <c r="E1281" s="212" t="s">
        <v>545</v>
      </c>
      <c r="F1281" s="215">
        <v>1</v>
      </c>
      <c r="G1281" s="194">
        <v>0</v>
      </c>
      <c r="H1281" s="195">
        <v>0</v>
      </c>
      <c r="I1281" s="212" t="s">
        <v>2354</v>
      </c>
    </row>
    <row r="1282" spans="1:9" x14ac:dyDescent="0.25">
      <c r="A1282" s="193" t="s">
        <v>220</v>
      </c>
      <c r="B1282" s="193" t="s">
        <v>5430</v>
      </c>
      <c r="C1282" s="214" t="s">
        <v>6712</v>
      </c>
      <c r="D1282" s="193" t="s">
        <v>6713</v>
      </c>
      <c r="E1282" s="212" t="s">
        <v>545</v>
      </c>
      <c r="F1282" s="215">
        <v>1</v>
      </c>
      <c r="G1282" s="194">
        <v>0</v>
      </c>
      <c r="H1282" s="195">
        <v>0</v>
      </c>
      <c r="I1282" s="212" t="s">
        <v>2354</v>
      </c>
    </row>
    <row r="1283" spans="1:9" x14ac:dyDescent="0.25">
      <c r="A1283" s="193" t="s">
        <v>220</v>
      </c>
      <c r="B1283" s="193" t="s">
        <v>5430</v>
      </c>
      <c r="C1283" s="214" t="s">
        <v>6739</v>
      </c>
      <c r="D1283" s="193" t="s">
        <v>6740</v>
      </c>
      <c r="E1283" s="212" t="s">
        <v>545</v>
      </c>
      <c r="F1283" s="215">
        <v>10</v>
      </c>
      <c r="G1283" s="194">
        <v>0</v>
      </c>
      <c r="H1283" s="195">
        <v>0</v>
      </c>
      <c r="I1283" s="212" t="s">
        <v>2354</v>
      </c>
    </row>
    <row r="1284" spans="1:9" x14ac:dyDescent="0.25">
      <c r="A1284" s="193" t="s">
        <v>220</v>
      </c>
      <c r="B1284" s="193" t="s">
        <v>5430</v>
      </c>
      <c r="C1284" s="214" t="s">
        <v>6747</v>
      </c>
      <c r="D1284" s="193" t="s">
        <v>6748</v>
      </c>
      <c r="E1284" s="212" t="s">
        <v>545</v>
      </c>
      <c r="F1284" s="215">
        <v>3</v>
      </c>
      <c r="G1284" s="194">
        <v>0</v>
      </c>
      <c r="H1284" s="195">
        <v>0</v>
      </c>
      <c r="I1284" s="212" t="s">
        <v>2354</v>
      </c>
    </row>
    <row r="1285" spans="1:9" x14ac:dyDescent="0.25">
      <c r="A1285" s="193" t="s">
        <v>220</v>
      </c>
      <c r="B1285" s="193" t="s">
        <v>5430</v>
      </c>
      <c r="C1285" s="214" t="s">
        <v>6753</v>
      </c>
      <c r="D1285" s="193" t="s">
        <v>6754</v>
      </c>
      <c r="E1285" s="212" t="s">
        <v>545</v>
      </c>
      <c r="F1285" s="215">
        <v>2</v>
      </c>
      <c r="G1285" s="194">
        <v>0</v>
      </c>
      <c r="H1285" s="195">
        <v>0</v>
      </c>
      <c r="I1285" s="212" t="s">
        <v>2354</v>
      </c>
    </row>
    <row r="1286" spans="1:9" x14ac:dyDescent="0.25">
      <c r="A1286" s="193" t="s">
        <v>220</v>
      </c>
      <c r="B1286" s="193" t="s">
        <v>5430</v>
      </c>
      <c r="C1286" s="214" t="s">
        <v>6755</v>
      </c>
      <c r="D1286" s="193" t="s">
        <v>6756</v>
      </c>
      <c r="E1286" s="212" t="s">
        <v>545</v>
      </c>
      <c r="F1286" s="215">
        <v>1</v>
      </c>
      <c r="G1286" s="194">
        <v>0</v>
      </c>
      <c r="H1286" s="195">
        <v>0</v>
      </c>
      <c r="I1286" s="212" t="s">
        <v>2354</v>
      </c>
    </row>
    <row r="1287" spans="1:9" x14ac:dyDescent="0.25">
      <c r="A1287" s="193" t="s">
        <v>220</v>
      </c>
      <c r="B1287" s="193" t="s">
        <v>5430</v>
      </c>
      <c r="C1287" s="214" t="s">
        <v>6757</v>
      </c>
      <c r="D1287" s="193" t="s">
        <v>6758</v>
      </c>
      <c r="E1287" s="212" t="s">
        <v>545</v>
      </c>
      <c r="F1287" s="215">
        <v>1</v>
      </c>
      <c r="G1287" s="194">
        <v>0</v>
      </c>
      <c r="H1287" s="195">
        <v>0</v>
      </c>
      <c r="I1287" s="212" t="s">
        <v>2354</v>
      </c>
    </row>
    <row r="1288" spans="1:9" x14ac:dyDescent="0.25">
      <c r="A1288" s="193" t="s">
        <v>220</v>
      </c>
      <c r="B1288" s="193" t="s">
        <v>5430</v>
      </c>
      <c r="C1288" s="214" t="s">
        <v>6759</v>
      </c>
      <c r="D1288" s="193" t="s">
        <v>6760</v>
      </c>
      <c r="E1288" s="212" t="s">
        <v>545</v>
      </c>
      <c r="F1288" s="215">
        <v>1</v>
      </c>
      <c r="G1288" s="194">
        <v>0</v>
      </c>
      <c r="H1288" s="195">
        <v>0</v>
      </c>
      <c r="I1288" s="212" t="s">
        <v>2354</v>
      </c>
    </row>
    <row r="1289" spans="1:9" x14ac:dyDescent="0.25">
      <c r="A1289" s="193" t="s">
        <v>220</v>
      </c>
      <c r="B1289" s="193" t="s">
        <v>5430</v>
      </c>
      <c r="C1289" s="214" t="s">
        <v>6761</v>
      </c>
      <c r="D1289" s="193" t="s">
        <v>6762</v>
      </c>
      <c r="E1289" s="212" t="s">
        <v>545</v>
      </c>
      <c r="F1289" s="215">
        <v>2</v>
      </c>
      <c r="G1289" s="194">
        <v>0</v>
      </c>
      <c r="H1289" s="195">
        <v>0</v>
      </c>
      <c r="I1289" s="212" t="s">
        <v>2354</v>
      </c>
    </row>
    <row r="1290" spans="1:9" x14ac:dyDescent="0.25">
      <c r="A1290" s="193" t="s">
        <v>220</v>
      </c>
      <c r="B1290" s="193" t="s">
        <v>5430</v>
      </c>
      <c r="C1290" s="214" t="s">
        <v>6779</v>
      </c>
      <c r="D1290" s="193" t="s">
        <v>6780</v>
      </c>
      <c r="E1290" s="212" t="s">
        <v>545</v>
      </c>
      <c r="F1290" s="215">
        <v>1</v>
      </c>
      <c r="G1290" s="194">
        <v>0</v>
      </c>
      <c r="H1290" s="195">
        <v>0</v>
      </c>
      <c r="I1290" s="212" t="s">
        <v>2354</v>
      </c>
    </row>
    <row r="1291" spans="1:9" x14ac:dyDescent="0.25">
      <c r="A1291" s="193" t="s">
        <v>220</v>
      </c>
      <c r="B1291" s="193" t="s">
        <v>5430</v>
      </c>
      <c r="C1291" s="214" t="s">
        <v>6795</v>
      </c>
      <c r="D1291" s="193" t="s">
        <v>6796</v>
      </c>
      <c r="E1291" s="212" t="s">
        <v>545</v>
      </c>
      <c r="F1291" s="215">
        <v>1</v>
      </c>
      <c r="G1291" s="194">
        <v>0</v>
      </c>
      <c r="H1291" s="195">
        <v>0</v>
      </c>
      <c r="I1291" s="212" t="s">
        <v>2354</v>
      </c>
    </row>
    <row r="1292" spans="1:9" x14ac:dyDescent="0.25">
      <c r="A1292" s="193" t="s">
        <v>220</v>
      </c>
      <c r="B1292" s="193" t="s">
        <v>5430</v>
      </c>
      <c r="C1292" s="214" t="s">
        <v>6801</v>
      </c>
      <c r="D1292" s="193" t="s">
        <v>6802</v>
      </c>
      <c r="E1292" s="212" t="s">
        <v>545</v>
      </c>
      <c r="F1292" s="215">
        <v>1</v>
      </c>
      <c r="G1292" s="194">
        <v>0</v>
      </c>
      <c r="H1292" s="195">
        <v>0</v>
      </c>
      <c r="I1292" s="212" t="s">
        <v>2354</v>
      </c>
    </row>
    <row r="1293" spans="1:9" x14ac:dyDescent="0.25">
      <c r="A1293" s="193" t="s">
        <v>220</v>
      </c>
      <c r="B1293" s="193" t="s">
        <v>5430</v>
      </c>
      <c r="C1293" s="214" t="s">
        <v>6823</v>
      </c>
      <c r="D1293" s="193" t="s">
        <v>6824</v>
      </c>
      <c r="E1293" s="212" t="s">
        <v>545</v>
      </c>
      <c r="F1293" s="215">
        <v>1</v>
      </c>
      <c r="G1293" s="194">
        <v>0</v>
      </c>
      <c r="H1293" s="195">
        <v>0</v>
      </c>
      <c r="I1293" s="212" t="s">
        <v>2354</v>
      </c>
    </row>
    <row r="1294" spans="1:9" x14ac:dyDescent="0.25">
      <c r="A1294" s="193" t="s">
        <v>220</v>
      </c>
      <c r="B1294" s="193" t="s">
        <v>5430</v>
      </c>
      <c r="C1294" s="214" t="s">
        <v>6825</v>
      </c>
      <c r="D1294" s="193" t="s">
        <v>6826</v>
      </c>
      <c r="E1294" s="212" t="s">
        <v>545</v>
      </c>
      <c r="F1294" s="215">
        <v>1</v>
      </c>
      <c r="G1294" s="194">
        <v>0</v>
      </c>
      <c r="H1294" s="195">
        <v>0</v>
      </c>
      <c r="I1294" s="212" t="s">
        <v>2354</v>
      </c>
    </row>
    <row r="1295" spans="1:9" x14ac:dyDescent="0.25">
      <c r="A1295" s="193" t="s">
        <v>220</v>
      </c>
      <c r="B1295" s="193" t="s">
        <v>5430</v>
      </c>
      <c r="C1295" s="214" t="s">
        <v>6827</v>
      </c>
      <c r="D1295" s="193" t="s">
        <v>6828</v>
      </c>
      <c r="E1295" s="212" t="s">
        <v>545</v>
      </c>
      <c r="F1295" s="215">
        <v>1</v>
      </c>
      <c r="G1295" s="194">
        <v>0</v>
      </c>
      <c r="H1295" s="195">
        <v>0</v>
      </c>
      <c r="I1295" s="212" t="s">
        <v>2354</v>
      </c>
    </row>
    <row r="1296" spans="1:9" x14ac:dyDescent="0.25">
      <c r="A1296" s="193" t="s">
        <v>220</v>
      </c>
      <c r="B1296" s="193" t="s">
        <v>5430</v>
      </c>
      <c r="C1296" s="214" t="s">
        <v>6829</v>
      </c>
      <c r="D1296" s="193" t="s">
        <v>6830</v>
      </c>
      <c r="E1296" s="212" t="s">
        <v>545</v>
      </c>
      <c r="F1296" s="215">
        <v>2</v>
      </c>
      <c r="G1296" s="194">
        <v>0</v>
      </c>
      <c r="H1296" s="195">
        <v>0</v>
      </c>
      <c r="I1296" s="212" t="s">
        <v>2354</v>
      </c>
    </row>
    <row r="1297" spans="1:9" x14ac:dyDescent="0.25">
      <c r="A1297" s="193" t="s">
        <v>220</v>
      </c>
      <c r="B1297" s="193" t="s">
        <v>5430</v>
      </c>
      <c r="C1297" s="214" t="s">
        <v>6881</v>
      </c>
      <c r="D1297" s="193" t="s">
        <v>6882</v>
      </c>
      <c r="E1297" s="212" t="s">
        <v>545</v>
      </c>
      <c r="F1297" s="215">
        <v>6</v>
      </c>
      <c r="G1297" s="194">
        <v>0</v>
      </c>
      <c r="H1297" s="195">
        <v>0</v>
      </c>
      <c r="I1297" s="212" t="s">
        <v>2354</v>
      </c>
    </row>
    <row r="1298" spans="1:9" x14ac:dyDescent="0.25">
      <c r="A1298" s="193" t="s">
        <v>220</v>
      </c>
      <c r="B1298" s="193" t="s">
        <v>5430</v>
      </c>
      <c r="C1298" s="214" t="s">
        <v>6883</v>
      </c>
      <c r="D1298" s="193" t="s">
        <v>6884</v>
      </c>
      <c r="E1298" s="212" t="s">
        <v>545</v>
      </c>
      <c r="F1298" s="215">
        <v>2</v>
      </c>
      <c r="G1298" s="194">
        <v>0</v>
      </c>
      <c r="H1298" s="195">
        <v>0</v>
      </c>
      <c r="I1298" s="212" t="s">
        <v>2354</v>
      </c>
    </row>
    <row r="1299" spans="1:9" x14ac:dyDescent="0.25">
      <c r="A1299" s="193" t="s">
        <v>220</v>
      </c>
      <c r="B1299" s="193" t="s">
        <v>5430</v>
      </c>
      <c r="C1299" s="214" t="s">
        <v>6913</v>
      </c>
      <c r="D1299" s="193" t="s">
        <v>6914</v>
      </c>
      <c r="E1299" s="212" t="s">
        <v>545</v>
      </c>
      <c r="F1299" s="215">
        <v>1</v>
      </c>
      <c r="G1299" s="194">
        <v>0</v>
      </c>
      <c r="H1299" s="195">
        <v>0</v>
      </c>
      <c r="I1299" s="212" t="s">
        <v>2354</v>
      </c>
    </row>
    <row r="1300" spans="1:9" x14ac:dyDescent="0.25">
      <c r="A1300" s="193" t="s">
        <v>220</v>
      </c>
      <c r="B1300" s="193" t="s">
        <v>5430</v>
      </c>
      <c r="C1300" s="214" t="s">
        <v>6915</v>
      </c>
      <c r="D1300" s="193" t="s">
        <v>6916</v>
      </c>
      <c r="E1300" s="212" t="s">
        <v>545</v>
      </c>
      <c r="F1300" s="215">
        <v>1</v>
      </c>
      <c r="G1300" s="194">
        <v>0</v>
      </c>
      <c r="H1300" s="195">
        <v>0</v>
      </c>
      <c r="I1300" s="212" t="s">
        <v>2354</v>
      </c>
    </row>
    <row r="1301" spans="1:9" x14ac:dyDescent="0.25">
      <c r="A1301" s="193" t="s">
        <v>220</v>
      </c>
      <c r="B1301" s="193" t="s">
        <v>5430</v>
      </c>
      <c r="C1301" s="214" t="s">
        <v>6948</v>
      </c>
      <c r="D1301" s="193" t="s">
        <v>6949</v>
      </c>
      <c r="E1301" s="212" t="s">
        <v>545</v>
      </c>
      <c r="F1301" s="215">
        <v>3</v>
      </c>
      <c r="G1301" s="194">
        <v>0</v>
      </c>
      <c r="H1301" s="195">
        <v>0</v>
      </c>
      <c r="I1301" s="212" t="s">
        <v>2354</v>
      </c>
    </row>
    <row r="1302" spans="1:9" x14ac:dyDescent="0.25">
      <c r="A1302" s="193" t="s">
        <v>220</v>
      </c>
      <c r="B1302" s="193" t="s">
        <v>5430</v>
      </c>
      <c r="C1302" s="214" t="s">
        <v>6965</v>
      </c>
      <c r="D1302" s="193" t="s">
        <v>6966</v>
      </c>
      <c r="E1302" s="212" t="s">
        <v>545</v>
      </c>
      <c r="F1302" s="215">
        <v>2</v>
      </c>
      <c r="G1302" s="194">
        <v>0</v>
      </c>
      <c r="H1302" s="195">
        <v>0</v>
      </c>
      <c r="I1302" s="212" t="s">
        <v>2354</v>
      </c>
    </row>
    <row r="1303" spans="1:9" x14ac:dyDescent="0.25">
      <c r="A1303" s="193" t="s">
        <v>220</v>
      </c>
      <c r="B1303" s="193" t="s">
        <v>5430</v>
      </c>
      <c r="C1303" s="214" t="s">
        <v>6967</v>
      </c>
      <c r="D1303" s="193" t="s">
        <v>6968</v>
      </c>
      <c r="E1303" s="212" t="s">
        <v>545</v>
      </c>
      <c r="F1303" s="215">
        <v>1</v>
      </c>
      <c r="G1303" s="194">
        <v>0</v>
      </c>
      <c r="H1303" s="195">
        <v>0</v>
      </c>
      <c r="I1303" s="212" t="s">
        <v>2354</v>
      </c>
    </row>
    <row r="1304" spans="1:9" x14ac:dyDescent="0.25">
      <c r="A1304" s="193" t="s">
        <v>220</v>
      </c>
      <c r="B1304" s="193" t="s">
        <v>5430</v>
      </c>
      <c r="C1304" s="214" t="s">
        <v>6969</v>
      </c>
      <c r="D1304" s="193" t="s">
        <v>6970</v>
      </c>
      <c r="E1304" s="212" t="s">
        <v>545</v>
      </c>
      <c r="F1304" s="215">
        <v>10</v>
      </c>
      <c r="G1304" s="194">
        <v>0</v>
      </c>
      <c r="H1304" s="195">
        <v>0</v>
      </c>
      <c r="I1304" s="212" t="s">
        <v>2354</v>
      </c>
    </row>
    <row r="1305" spans="1:9" x14ac:dyDescent="0.25">
      <c r="A1305" s="193" t="s">
        <v>220</v>
      </c>
      <c r="B1305" s="193" t="s">
        <v>5430</v>
      </c>
      <c r="C1305" s="214" t="s">
        <v>7229</v>
      </c>
      <c r="D1305" s="193" t="s">
        <v>7230</v>
      </c>
      <c r="E1305" s="212" t="s">
        <v>545</v>
      </c>
      <c r="F1305" s="215">
        <v>8</v>
      </c>
      <c r="G1305" s="194">
        <v>0</v>
      </c>
      <c r="H1305" s="195">
        <v>0</v>
      </c>
      <c r="I1305" s="212" t="s">
        <v>2354</v>
      </c>
    </row>
    <row r="1306" spans="1:9" x14ac:dyDescent="0.25">
      <c r="A1306" s="193" t="s">
        <v>220</v>
      </c>
      <c r="B1306" s="193" t="s">
        <v>2351</v>
      </c>
      <c r="C1306" s="214" t="s">
        <v>4999</v>
      </c>
      <c r="D1306" s="193" t="s">
        <v>5000</v>
      </c>
      <c r="E1306" s="212" t="s">
        <v>545</v>
      </c>
      <c r="F1306" s="215">
        <v>65</v>
      </c>
      <c r="G1306" s="194">
        <v>6.0000000000000001E-3</v>
      </c>
      <c r="H1306" s="195">
        <v>0.39</v>
      </c>
      <c r="I1306" s="212" t="s">
        <v>2354</v>
      </c>
    </row>
    <row r="1307" spans="1:9" x14ac:dyDescent="0.25">
      <c r="A1307" s="193" t="s">
        <v>220</v>
      </c>
      <c r="B1307" s="193" t="s">
        <v>2351</v>
      </c>
      <c r="C1307" s="214" t="s">
        <v>4917</v>
      </c>
      <c r="D1307" s="193" t="s">
        <v>4918</v>
      </c>
      <c r="E1307" s="212" t="s">
        <v>545</v>
      </c>
      <c r="F1307" s="215">
        <v>53</v>
      </c>
      <c r="G1307" s="194">
        <v>1.069E-2</v>
      </c>
      <c r="H1307" s="195">
        <v>0.56657000000000002</v>
      </c>
      <c r="I1307" s="212" t="s">
        <v>2354</v>
      </c>
    </row>
    <row r="1308" spans="1:9" x14ac:dyDescent="0.25">
      <c r="A1308" s="193" t="s">
        <v>220</v>
      </c>
      <c r="B1308" s="193" t="s">
        <v>2351</v>
      </c>
      <c r="C1308" s="214" t="s">
        <v>3837</v>
      </c>
      <c r="D1308" s="193" t="s">
        <v>3838</v>
      </c>
      <c r="E1308" s="212" t="s">
        <v>545</v>
      </c>
      <c r="F1308" s="215">
        <v>4</v>
      </c>
      <c r="G1308" s="194">
        <v>0.17199999999999999</v>
      </c>
      <c r="H1308" s="195">
        <v>0.68799999999999994</v>
      </c>
      <c r="I1308" s="212" t="s">
        <v>2354</v>
      </c>
    </row>
    <row r="1309" spans="1:9" x14ac:dyDescent="0.25">
      <c r="A1309" s="193" t="s">
        <v>220</v>
      </c>
      <c r="B1309" s="193" t="s">
        <v>2351</v>
      </c>
      <c r="C1309" s="214" t="s">
        <v>5068</v>
      </c>
      <c r="D1309" s="193" t="s">
        <v>5069</v>
      </c>
      <c r="E1309" s="212" t="s">
        <v>545</v>
      </c>
      <c r="F1309" s="215">
        <v>5</v>
      </c>
      <c r="G1309" s="194">
        <v>0.13950000000000001</v>
      </c>
      <c r="H1309" s="195">
        <v>0.69750000000000001</v>
      </c>
      <c r="I1309" s="212" t="s">
        <v>2354</v>
      </c>
    </row>
    <row r="1310" spans="1:9" x14ac:dyDescent="0.25">
      <c r="A1310" s="193" t="s">
        <v>220</v>
      </c>
      <c r="B1310" s="193" t="s">
        <v>5430</v>
      </c>
      <c r="C1310" s="214" t="s">
        <v>4973</v>
      </c>
      <c r="D1310" s="193" t="s">
        <v>4974</v>
      </c>
      <c r="E1310" s="212" t="s">
        <v>545</v>
      </c>
      <c r="F1310" s="215">
        <v>120</v>
      </c>
      <c r="G1310" s="194">
        <v>6.1900000000000002E-3</v>
      </c>
      <c r="H1310" s="195">
        <v>0.74280000000000002</v>
      </c>
      <c r="I1310" s="212" t="s">
        <v>2354</v>
      </c>
    </row>
    <row r="1311" spans="1:9" x14ac:dyDescent="0.25">
      <c r="A1311" s="193" t="s">
        <v>220</v>
      </c>
      <c r="B1311" s="193" t="s">
        <v>5430</v>
      </c>
      <c r="C1311" s="214" t="s">
        <v>4919</v>
      </c>
      <c r="D1311" s="193" t="s">
        <v>4920</v>
      </c>
      <c r="E1311" s="212" t="s">
        <v>545</v>
      </c>
      <c r="F1311" s="215">
        <v>62</v>
      </c>
      <c r="G1311" s="194">
        <v>1.4279999999999999E-2</v>
      </c>
      <c r="H1311" s="195">
        <v>0.88535999999999992</v>
      </c>
      <c r="I1311" s="212" t="s">
        <v>2354</v>
      </c>
    </row>
    <row r="1312" spans="1:9" x14ac:dyDescent="0.25">
      <c r="A1312" s="193" t="s">
        <v>220</v>
      </c>
      <c r="B1312" s="193" t="s">
        <v>5430</v>
      </c>
      <c r="C1312" s="214" t="s">
        <v>5014</v>
      </c>
      <c r="D1312" s="193" t="s">
        <v>5015</v>
      </c>
      <c r="E1312" s="212" t="s">
        <v>545</v>
      </c>
      <c r="F1312" s="215">
        <v>23</v>
      </c>
      <c r="G1312" s="194">
        <v>3.9600000000000003E-2</v>
      </c>
      <c r="H1312" s="195">
        <v>0.91080000000000005</v>
      </c>
      <c r="I1312" s="212" t="s">
        <v>2354</v>
      </c>
    </row>
    <row r="1313" spans="1:9" x14ac:dyDescent="0.25">
      <c r="A1313" s="193" t="s">
        <v>220</v>
      </c>
      <c r="B1313" s="193" t="s">
        <v>5430</v>
      </c>
      <c r="C1313" s="214" t="s">
        <v>6859</v>
      </c>
      <c r="D1313" s="193" t="s">
        <v>6860</v>
      </c>
      <c r="E1313" s="212" t="s">
        <v>545</v>
      </c>
      <c r="F1313" s="215">
        <v>5</v>
      </c>
      <c r="G1313" s="194">
        <v>0.19800000000000001</v>
      </c>
      <c r="H1313" s="195">
        <v>0.99</v>
      </c>
      <c r="I1313" s="212" t="s">
        <v>2354</v>
      </c>
    </row>
    <row r="1314" spans="1:9" x14ac:dyDescent="0.25">
      <c r="A1314" s="193" t="s">
        <v>220</v>
      </c>
      <c r="B1314" s="193" t="s">
        <v>2351</v>
      </c>
      <c r="C1314" s="214" t="s">
        <v>5196</v>
      </c>
      <c r="D1314" s="193" t="s">
        <v>5197</v>
      </c>
      <c r="E1314" s="212" t="s">
        <v>545</v>
      </c>
      <c r="F1314" s="215">
        <v>9</v>
      </c>
      <c r="G1314" s="194">
        <v>0.112</v>
      </c>
      <c r="H1314" s="195">
        <v>1.008</v>
      </c>
      <c r="I1314" s="212" t="s">
        <v>2354</v>
      </c>
    </row>
    <row r="1315" spans="1:9" x14ac:dyDescent="0.25">
      <c r="A1315" s="193" t="s">
        <v>220</v>
      </c>
      <c r="B1315" s="193" t="s">
        <v>5430</v>
      </c>
      <c r="C1315" s="214" t="s">
        <v>5374</v>
      </c>
      <c r="D1315" s="193" t="s">
        <v>5375</v>
      </c>
      <c r="E1315" s="212" t="s">
        <v>545</v>
      </c>
      <c r="F1315" s="215">
        <v>35</v>
      </c>
      <c r="G1315" s="194">
        <v>2.8799999999999999E-2</v>
      </c>
      <c r="H1315" s="195">
        <v>1.008</v>
      </c>
      <c r="I1315" s="212" t="s">
        <v>2354</v>
      </c>
    </row>
    <row r="1316" spans="1:9" x14ac:dyDescent="0.25">
      <c r="A1316" s="193" t="s">
        <v>220</v>
      </c>
      <c r="B1316" s="193" t="s">
        <v>5430</v>
      </c>
      <c r="C1316" s="214" t="s">
        <v>6292</v>
      </c>
      <c r="D1316" s="193" t="s">
        <v>6293</v>
      </c>
      <c r="E1316" s="212" t="s">
        <v>545</v>
      </c>
      <c r="F1316" s="215">
        <v>1</v>
      </c>
      <c r="G1316" s="194">
        <v>1.04</v>
      </c>
      <c r="H1316" s="195">
        <v>1.04</v>
      </c>
      <c r="I1316" s="212" t="s">
        <v>2354</v>
      </c>
    </row>
    <row r="1317" spans="1:9" x14ac:dyDescent="0.25">
      <c r="A1317" s="193" t="s">
        <v>220</v>
      </c>
      <c r="B1317" s="193" t="s">
        <v>5430</v>
      </c>
      <c r="C1317" s="214" t="s">
        <v>5138</v>
      </c>
      <c r="D1317" s="193" t="s">
        <v>5139</v>
      </c>
      <c r="E1317" s="212" t="s">
        <v>545</v>
      </c>
      <c r="F1317" s="215">
        <v>10</v>
      </c>
      <c r="G1317" s="194">
        <v>0.10878985088138404</v>
      </c>
      <c r="H1317" s="195">
        <v>1.0878985088138404</v>
      </c>
      <c r="I1317" s="212" t="s">
        <v>2354</v>
      </c>
    </row>
    <row r="1318" spans="1:9" x14ac:dyDescent="0.25">
      <c r="A1318" s="193" t="s">
        <v>220</v>
      </c>
      <c r="B1318" s="193" t="s">
        <v>5430</v>
      </c>
      <c r="C1318" s="214" t="s">
        <v>6563</v>
      </c>
      <c r="D1318" s="193" t="s">
        <v>6564</v>
      </c>
      <c r="E1318" s="212" t="s">
        <v>545</v>
      </c>
      <c r="F1318" s="215">
        <v>1</v>
      </c>
      <c r="G1318" s="194">
        <v>1.0922499999999999</v>
      </c>
      <c r="H1318" s="195">
        <v>1.0922499999999999</v>
      </c>
      <c r="I1318" s="212" t="s">
        <v>2354</v>
      </c>
    </row>
    <row r="1319" spans="1:9" x14ac:dyDescent="0.25">
      <c r="A1319" s="193" t="s">
        <v>220</v>
      </c>
      <c r="B1319" s="193" t="s">
        <v>5430</v>
      </c>
      <c r="C1319" s="214" t="s">
        <v>6985</v>
      </c>
      <c r="D1319" s="193" t="s">
        <v>4447</v>
      </c>
      <c r="E1319" s="212" t="s">
        <v>545</v>
      </c>
      <c r="F1319" s="215">
        <v>3</v>
      </c>
      <c r="G1319" s="194">
        <v>0.37309999999999999</v>
      </c>
      <c r="H1319" s="195">
        <v>1.1193</v>
      </c>
      <c r="I1319" s="212" t="s">
        <v>2354</v>
      </c>
    </row>
    <row r="1320" spans="1:9" x14ac:dyDescent="0.25">
      <c r="A1320" s="193" t="s">
        <v>220</v>
      </c>
      <c r="B1320" s="193" t="s">
        <v>2351</v>
      </c>
      <c r="C1320" s="214" t="s">
        <v>4993</v>
      </c>
      <c r="D1320" s="193" t="s">
        <v>4994</v>
      </c>
      <c r="E1320" s="212" t="s">
        <v>545</v>
      </c>
      <c r="F1320" s="215">
        <v>62</v>
      </c>
      <c r="G1320" s="194">
        <v>1.9E-2</v>
      </c>
      <c r="H1320" s="195">
        <v>1.1779999999999999</v>
      </c>
      <c r="I1320" s="212" t="s">
        <v>2354</v>
      </c>
    </row>
    <row r="1321" spans="1:9" x14ac:dyDescent="0.25">
      <c r="A1321" s="193" t="s">
        <v>220</v>
      </c>
      <c r="B1321" s="193" t="s">
        <v>2351</v>
      </c>
      <c r="C1321" s="214" t="s">
        <v>4766</v>
      </c>
      <c r="D1321" s="193" t="s">
        <v>4767</v>
      </c>
      <c r="E1321" s="212" t="s">
        <v>545</v>
      </c>
      <c r="F1321" s="215">
        <v>25</v>
      </c>
      <c r="G1321" s="194">
        <v>0.05</v>
      </c>
      <c r="H1321" s="195">
        <v>1.25</v>
      </c>
      <c r="I1321" s="212" t="s">
        <v>2354</v>
      </c>
    </row>
    <row r="1322" spans="1:9" x14ac:dyDescent="0.25">
      <c r="A1322" s="193" t="s">
        <v>220</v>
      </c>
      <c r="B1322" s="193" t="s">
        <v>5430</v>
      </c>
      <c r="C1322" s="214" t="s">
        <v>4444</v>
      </c>
      <c r="D1322" s="193" t="s">
        <v>4445</v>
      </c>
      <c r="E1322" s="212" t="s">
        <v>545</v>
      </c>
      <c r="F1322" s="215">
        <v>5</v>
      </c>
      <c r="G1322" s="194">
        <v>0.252</v>
      </c>
      <c r="H1322" s="195">
        <v>1.26</v>
      </c>
      <c r="I1322" s="212" t="s">
        <v>2354</v>
      </c>
    </row>
    <row r="1323" spans="1:9" x14ac:dyDescent="0.25">
      <c r="A1323" s="193" t="s">
        <v>220</v>
      </c>
      <c r="B1323" s="193" t="s">
        <v>2351</v>
      </c>
      <c r="C1323" s="214" t="s">
        <v>3695</v>
      </c>
      <c r="D1323" s="193" t="s">
        <v>3696</v>
      </c>
      <c r="E1323" s="212" t="s">
        <v>545</v>
      </c>
      <c r="F1323" s="215">
        <v>3</v>
      </c>
      <c r="G1323" s="194">
        <v>0.42499999999999999</v>
      </c>
      <c r="H1323" s="195">
        <v>1.2749999999999999</v>
      </c>
      <c r="I1323" s="212" t="s">
        <v>2354</v>
      </c>
    </row>
    <row r="1324" spans="1:9" x14ac:dyDescent="0.25">
      <c r="A1324" s="193" t="s">
        <v>220</v>
      </c>
      <c r="B1324" s="193" t="s">
        <v>2351</v>
      </c>
      <c r="C1324" s="214" t="s">
        <v>4185</v>
      </c>
      <c r="D1324" s="193" t="s">
        <v>4186</v>
      </c>
      <c r="E1324" s="212" t="s">
        <v>545</v>
      </c>
      <c r="F1324" s="215">
        <v>2</v>
      </c>
      <c r="G1324" s="194">
        <v>0.63749999999999996</v>
      </c>
      <c r="H1324" s="195">
        <v>1.2749999999999999</v>
      </c>
      <c r="I1324" s="212" t="s">
        <v>2354</v>
      </c>
    </row>
    <row r="1325" spans="1:9" x14ac:dyDescent="0.25">
      <c r="A1325" s="193" t="s">
        <v>220</v>
      </c>
      <c r="B1325" s="193" t="s">
        <v>5430</v>
      </c>
      <c r="C1325" s="214" t="s">
        <v>7161</v>
      </c>
      <c r="D1325" s="193" t="s">
        <v>4797</v>
      </c>
      <c r="E1325" s="212" t="s">
        <v>545</v>
      </c>
      <c r="F1325" s="215">
        <v>24</v>
      </c>
      <c r="G1325" s="194">
        <v>5.3550000000000007E-2</v>
      </c>
      <c r="H1325" s="195">
        <v>1.2852000000000001</v>
      </c>
      <c r="I1325" s="212" t="s">
        <v>2354</v>
      </c>
    </row>
    <row r="1326" spans="1:9" x14ac:dyDescent="0.25">
      <c r="A1326" s="193" t="s">
        <v>220</v>
      </c>
      <c r="B1326" s="193" t="s">
        <v>2351</v>
      </c>
      <c r="C1326" s="214" t="s">
        <v>5074</v>
      </c>
      <c r="D1326" s="193" t="s">
        <v>5075</v>
      </c>
      <c r="E1326" s="212" t="s">
        <v>545</v>
      </c>
      <c r="F1326" s="215">
        <v>5</v>
      </c>
      <c r="G1326" s="194">
        <v>0.25740000000000002</v>
      </c>
      <c r="H1326" s="195">
        <v>1.2870000000000001</v>
      </c>
      <c r="I1326" s="212" t="s">
        <v>2354</v>
      </c>
    </row>
    <row r="1327" spans="1:9" x14ac:dyDescent="0.25">
      <c r="A1327" s="193" t="s">
        <v>220</v>
      </c>
      <c r="B1327" s="193" t="s">
        <v>2351</v>
      </c>
      <c r="C1327" s="214" t="s">
        <v>3921</v>
      </c>
      <c r="D1327" s="193" t="s">
        <v>3922</v>
      </c>
      <c r="E1327" s="212" t="s">
        <v>545</v>
      </c>
      <c r="F1327" s="215">
        <v>12</v>
      </c>
      <c r="G1327" s="194">
        <v>0.127</v>
      </c>
      <c r="H1327" s="195">
        <v>1.524</v>
      </c>
      <c r="I1327" s="212" t="s">
        <v>2354</v>
      </c>
    </row>
    <row r="1328" spans="1:9" x14ac:dyDescent="0.25">
      <c r="A1328" s="193" t="s">
        <v>220</v>
      </c>
      <c r="B1328" s="193" t="s">
        <v>2351</v>
      </c>
      <c r="C1328" s="214" t="s">
        <v>4973</v>
      </c>
      <c r="D1328" s="193" t="s">
        <v>4974</v>
      </c>
      <c r="E1328" s="212" t="s">
        <v>545</v>
      </c>
      <c r="F1328" s="215">
        <v>250</v>
      </c>
      <c r="G1328" s="194">
        <v>6.1900000000000002E-3</v>
      </c>
      <c r="H1328" s="195">
        <v>1.5475000000000001</v>
      </c>
      <c r="I1328" s="212" t="s">
        <v>2354</v>
      </c>
    </row>
    <row r="1329" spans="1:9" x14ac:dyDescent="0.25">
      <c r="A1329" s="193" t="s">
        <v>220</v>
      </c>
      <c r="B1329" s="193" t="s">
        <v>2351</v>
      </c>
      <c r="C1329" s="214" t="s">
        <v>3187</v>
      </c>
      <c r="D1329" s="193" t="s">
        <v>3188</v>
      </c>
      <c r="E1329" s="212" t="s">
        <v>545</v>
      </c>
      <c r="F1329" s="215">
        <v>14</v>
      </c>
      <c r="G1329" s="194">
        <v>0.114</v>
      </c>
      <c r="H1329" s="195">
        <v>1.5960000000000001</v>
      </c>
      <c r="I1329" s="212" t="s">
        <v>2354</v>
      </c>
    </row>
    <row r="1330" spans="1:9" x14ac:dyDescent="0.25">
      <c r="A1330" s="193" t="s">
        <v>220</v>
      </c>
      <c r="B1330" s="193" t="s">
        <v>2351</v>
      </c>
      <c r="C1330" s="214" t="s">
        <v>3489</v>
      </c>
      <c r="D1330" s="193" t="s">
        <v>3490</v>
      </c>
      <c r="E1330" s="212" t="s">
        <v>545</v>
      </c>
      <c r="F1330" s="215">
        <v>2</v>
      </c>
      <c r="G1330" s="194">
        <v>0.81430000000000002</v>
      </c>
      <c r="H1330" s="195">
        <v>1.6286</v>
      </c>
      <c r="I1330" s="212" t="s">
        <v>2354</v>
      </c>
    </row>
    <row r="1331" spans="1:9" x14ac:dyDescent="0.25">
      <c r="A1331" s="193" t="s">
        <v>220</v>
      </c>
      <c r="B1331" s="193" t="s">
        <v>2351</v>
      </c>
      <c r="C1331" s="214" t="s">
        <v>5172</v>
      </c>
      <c r="D1331" s="193" t="s">
        <v>5173</v>
      </c>
      <c r="E1331" s="212" t="s">
        <v>545</v>
      </c>
      <c r="F1331" s="215">
        <v>1</v>
      </c>
      <c r="G1331" s="194">
        <v>1.63</v>
      </c>
      <c r="H1331" s="195">
        <v>1.63</v>
      </c>
      <c r="I1331" s="212" t="s">
        <v>2354</v>
      </c>
    </row>
    <row r="1332" spans="1:9" x14ac:dyDescent="0.25">
      <c r="A1332" s="193" t="s">
        <v>220</v>
      </c>
      <c r="B1332" s="193" t="s">
        <v>2351</v>
      </c>
      <c r="C1332" s="214" t="s">
        <v>5132</v>
      </c>
      <c r="D1332" s="193" t="s">
        <v>5133</v>
      </c>
      <c r="E1332" s="212" t="s">
        <v>545</v>
      </c>
      <c r="F1332" s="215">
        <v>12</v>
      </c>
      <c r="G1332" s="194">
        <v>0.13600000000000001</v>
      </c>
      <c r="H1332" s="195">
        <v>1.6320000000000001</v>
      </c>
      <c r="I1332" s="212" t="s">
        <v>2354</v>
      </c>
    </row>
    <row r="1333" spans="1:9" x14ac:dyDescent="0.25">
      <c r="A1333" s="193" t="s">
        <v>220</v>
      </c>
      <c r="B1333" s="193" t="s">
        <v>2351</v>
      </c>
      <c r="C1333" s="214" t="s">
        <v>3711</v>
      </c>
      <c r="D1333" s="193" t="s">
        <v>3712</v>
      </c>
      <c r="E1333" s="212" t="s">
        <v>545</v>
      </c>
      <c r="F1333" s="215">
        <v>1</v>
      </c>
      <c r="G1333" s="194">
        <v>1.6575</v>
      </c>
      <c r="H1333" s="195">
        <v>1.6575</v>
      </c>
      <c r="I1333" s="212" t="s">
        <v>2354</v>
      </c>
    </row>
    <row r="1334" spans="1:9" x14ac:dyDescent="0.25">
      <c r="A1334" s="193" t="s">
        <v>220</v>
      </c>
      <c r="B1334" s="193" t="s">
        <v>2351</v>
      </c>
      <c r="C1334" s="214" t="s">
        <v>5190</v>
      </c>
      <c r="D1334" s="193" t="s">
        <v>5191</v>
      </c>
      <c r="E1334" s="212" t="s">
        <v>545</v>
      </c>
      <c r="F1334" s="215">
        <v>5</v>
      </c>
      <c r="G1334" s="194">
        <v>0.33700000000000002</v>
      </c>
      <c r="H1334" s="195">
        <v>1.6850000000000001</v>
      </c>
      <c r="I1334" s="212" t="s">
        <v>2354</v>
      </c>
    </row>
    <row r="1335" spans="1:9" x14ac:dyDescent="0.25">
      <c r="A1335" s="193" t="s">
        <v>220</v>
      </c>
      <c r="B1335" s="193" t="s">
        <v>2351</v>
      </c>
      <c r="C1335" s="214" t="s">
        <v>4440</v>
      </c>
      <c r="D1335" s="193" t="s">
        <v>4441</v>
      </c>
      <c r="E1335" s="212" t="s">
        <v>545</v>
      </c>
      <c r="F1335" s="215">
        <v>120</v>
      </c>
      <c r="G1335" s="194">
        <v>1.439E-2</v>
      </c>
      <c r="H1335" s="195">
        <v>1.7267999999999999</v>
      </c>
      <c r="I1335" s="212" t="s">
        <v>2354</v>
      </c>
    </row>
    <row r="1336" spans="1:9" x14ac:dyDescent="0.25">
      <c r="A1336" s="193" t="s">
        <v>220</v>
      </c>
      <c r="B1336" s="193" t="s">
        <v>5430</v>
      </c>
      <c r="C1336" s="214" t="s">
        <v>6585</v>
      </c>
      <c r="D1336" s="193" t="s">
        <v>6586</v>
      </c>
      <c r="E1336" s="212" t="s">
        <v>545</v>
      </c>
      <c r="F1336" s="215">
        <v>2</v>
      </c>
      <c r="G1336" s="194">
        <v>0.86699999999999999</v>
      </c>
      <c r="H1336" s="195">
        <v>1.734</v>
      </c>
      <c r="I1336" s="212" t="s">
        <v>2354</v>
      </c>
    </row>
    <row r="1337" spans="1:9" x14ac:dyDescent="0.25">
      <c r="A1337" s="193" t="s">
        <v>220</v>
      </c>
      <c r="B1337" s="193" t="s">
        <v>2351</v>
      </c>
      <c r="C1337" s="214" t="s">
        <v>5001</v>
      </c>
      <c r="D1337" s="193" t="s">
        <v>4994</v>
      </c>
      <c r="E1337" s="212" t="s">
        <v>545</v>
      </c>
      <c r="F1337" s="215">
        <v>79</v>
      </c>
      <c r="G1337" s="194">
        <v>2.1999999999999999E-2</v>
      </c>
      <c r="H1337" s="195">
        <v>1.738</v>
      </c>
      <c r="I1337" s="212" t="s">
        <v>2354</v>
      </c>
    </row>
    <row r="1338" spans="1:9" x14ac:dyDescent="0.25">
      <c r="A1338" s="193" t="s">
        <v>220</v>
      </c>
      <c r="B1338" s="193" t="s">
        <v>5430</v>
      </c>
      <c r="C1338" s="214" t="s">
        <v>5012</v>
      </c>
      <c r="D1338" s="193" t="s">
        <v>5013</v>
      </c>
      <c r="E1338" s="212" t="s">
        <v>545</v>
      </c>
      <c r="F1338" s="215">
        <v>35</v>
      </c>
      <c r="G1338" s="194">
        <v>5.04E-2</v>
      </c>
      <c r="H1338" s="195">
        <v>1.764</v>
      </c>
      <c r="I1338" s="212" t="s">
        <v>2354</v>
      </c>
    </row>
    <row r="1339" spans="1:9" x14ac:dyDescent="0.25">
      <c r="A1339" s="193" t="s">
        <v>220</v>
      </c>
      <c r="B1339" s="193" t="s">
        <v>2351</v>
      </c>
      <c r="C1339" s="214" t="s">
        <v>4482</v>
      </c>
      <c r="D1339" s="193" t="s">
        <v>4483</v>
      </c>
      <c r="E1339" s="212" t="s">
        <v>545</v>
      </c>
      <c r="F1339" s="215">
        <v>24</v>
      </c>
      <c r="G1339" s="194">
        <v>7.4620000000000006E-2</v>
      </c>
      <c r="H1339" s="195">
        <v>1.79088</v>
      </c>
      <c r="I1339" s="212" t="s">
        <v>2354</v>
      </c>
    </row>
    <row r="1340" spans="1:9" x14ac:dyDescent="0.25">
      <c r="A1340" s="193" t="s">
        <v>220</v>
      </c>
      <c r="B1340" s="193" t="s">
        <v>5430</v>
      </c>
      <c r="C1340" s="214" t="s">
        <v>4403</v>
      </c>
      <c r="D1340" s="193" t="s">
        <v>4404</v>
      </c>
      <c r="E1340" s="212" t="s">
        <v>545</v>
      </c>
      <c r="F1340" s="215">
        <v>2</v>
      </c>
      <c r="G1340" s="194">
        <v>0.91877982456140361</v>
      </c>
      <c r="H1340" s="195">
        <v>1.8375596491228072</v>
      </c>
      <c r="I1340" s="212" t="s">
        <v>2354</v>
      </c>
    </row>
    <row r="1341" spans="1:9" x14ac:dyDescent="0.25">
      <c r="A1341" s="193" t="s">
        <v>220</v>
      </c>
      <c r="B1341" s="193" t="s">
        <v>5430</v>
      </c>
      <c r="C1341" s="214" t="s">
        <v>6714</v>
      </c>
      <c r="D1341" s="193" t="s">
        <v>6715</v>
      </c>
      <c r="E1341" s="212" t="s">
        <v>545</v>
      </c>
      <c r="F1341" s="215">
        <v>23</v>
      </c>
      <c r="G1341" s="194">
        <v>8.0100000000000005E-2</v>
      </c>
      <c r="H1341" s="195">
        <v>1.8423</v>
      </c>
      <c r="I1341" s="212" t="s">
        <v>2354</v>
      </c>
    </row>
    <row r="1342" spans="1:9" x14ac:dyDescent="0.25">
      <c r="A1342" s="193" t="s">
        <v>220</v>
      </c>
      <c r="B1342" s="193" t="s">
        <v>5430</v>
      </c>
      <c r="C1342" s="214" t="s">
        <v>4145</v>
      </c>
      <c r="D1342" s="193" t="s">
        <v>4146</v>
      </c>
      <c r="E1342" s="212" t="s">
        <v>545</v>
      </c>
      <c r="F1342" s="215">
        <v>7</v>
      </c>
      <c r="G1342" s="194">
        <v>0.26371428571428573</v>
      </c>
      <c r="H1342" s="195">
        <v>1.8460000000000001</v>
      </c>
      <c r="I1342" s="212" t="s">
        <v>2354</v>
      </c>
    </row>
    <row r="1343" spans="1:9" x14ac:dyDescent="0.25">
      <c r="A1343" s="193" t="s">
        <v>220</v>
      </c>
      <c r="B1343" s="193" t="s">
        <v>2351</v>
      </c>
      <c r="C1343" s="214" t="s">
        <v>5194</v>
      </c>
      <c r="D1343" s="193" t="s">
        <v>5195</v>
      </c>
      <c r="E1343" s="212" t="s">
        <v>545</v>
      </c>
      <c r="F1343" s="215">
        <v>4</v>
      </c>
      <c r="G1343" s="194">
        <v>0.46500000000000002</v>
      </c>
      <c r="H1343" s="195">
        <v>1.86</v>
      </c>
      <c r="I1343" s="212" t="s">
        <v>2354</v>
      </c>
    </row>
    <row r="1344" spans="1:9" x14ac:dyDescent="0.25">
      <c r="A1344" s="193" t="s">
        <v>220</v>
      </c>
      <c r="B1344" s="193" t="s">
        <v>2351</v>
      </c>
      <c r="C1344" s="214" t="s">
        <v>4474</v>
      </c>
      <c r="D1344" s="193" t="s">
        <v>4475</v>
      </c>
      <c r="E1344" s="212" t="s">
        <v>545</v>
      </c>
      <c r="F1344" s="215">
        <v>25</v>
      </c>
      <c r="G1344" s="194">
        <v>7.4620000000000006E-2</v>
      </c>
      <c r="H1344" s="195">
        <v>1.8655000000000002</v>
      </c>
      <c r="I1344" s="212" t="s">
        <v>2354</v>
      </c>
    </row>
    <row r="1345" spans="1:9" x14ac:dyDescent="0.25">
      <c r="A1345" s="193" t="s">
        <v>220</v>
      </c>
      <c r="B1345" s="193" t="s">
        <v>2351</v>
      </c>
      <c r="C1345" s="214" t="s">
        <v>4480</v>
      </c>
      <c r="D1345" s="193" t="s">
        <v>4481</v>
      </c>
      <c r="E1345" s="212" t="s">
        <v>545</v>
      </c>
      <c r="F1345" s="215">
        <v>25</v>
      </c>
      <c r="G1345" s="194">
        <v>7.4620000000000006E-2</v>
      </c>
      <c r="H1345" s="195">
        <v>1.8655000000000002</v>
      </c>
      <c r="I1345" s="212" t="s">
        <v>2354</v>
      </c>
    </row>
    <row r="1346" spans="1:9" x14ac:dyDescent="0.25">
      <c r="A1346" s="193" t="s">
        <v>220</v>
      </c>
      <c r="B1346" s="193" t="s">
        <v>2351</v>
      </c>
      <c r="C1346" s="214" t="s">
        <v>4486</v>
      </c>
      <c r="D1346" s="193" t="s">
        <v>4487</v>
      </c>
      <c r="E1346" s="212" t="s">
        <v>545</v>
      </c>
      <c r="F1346" s="215">
        <v>25</v>
      </c>
      <c r="G1346" s="194">
        <v>7.4620000000000006E-2</v>
      </c>
      <c r="H1346" s="195">
        <v>1.8655000000000002</v>
      </c>
      <c r="I1346" s="212" t="s">
        <v>2354</v>
      </c>
    </row>
    <row r="1347" spans="1:9" x14ac:dyDescent="0.25">
      <c r="A1347" s="193" t="s">
        <v>220</v>
      </c>
      <c r="B1347" s="193" t="s">
        <v>5430</v>
      </c>
      <c r="C1347" s="214" t="s">
        <v>3321</v>
      </c>
      <c r="D1347" s="193" t="s">
        <v>3322</v>
      </c>
      <c r="E1347" s="212" t="s">
        <v>545</v>
      </c>
      <c r="F1347" s="215">
        <v>10</v>
      </c>
      <c r="G1347" s="194">
        <v>0.18990909090909092</v>
      </c>
      <c r="H1347" s="195">
        <v>1.8990909090909092</v>
      </c>
      <c r="I1347" s="212" t="s">
        <v>2354</v>
      </c>
    </row>
    <row r="1348" spans="1:9" x14ac:dyDescent="0.25">
      <c r="A1348" s="193" t="s">
        <v>220</v>
      </c>
      <c r="B1348" s="193" t="s">
        <v>5430</v>
      </c>
      <c r="C1348" s="214" t="s">
        <v>6097</v>
      </c>
      <c r="D1348" s="193" t="s">
        <v>6098</v>
      </c>
      <c r="E1348" s="212" t="s">
        <v>545</v>
      </c>
      <c r="F1348" s="215">
        <v>4</v>
      </c>
      <c r="G1348" s="194">
        <v>0.47770000000000001</v>
      </c>
      <c r="H1348" s="195">
        <v>1.9108000000000001</v>
      </c>
      <c r="I1348" s="212" t="s">
        <v>2354</v>
      </c>
    </row>
    <row r="1349" spans="1:9" x14ac:dyDescent="0.25">
      <c r="A1349" s="193" t="s">
        <v>220</v>
      </c>
      <c r="B1349" s="193" t="s">
        <v>5430</v>
      </c>
      <c r="C1349" s="214" t="s">
        <v>4175</v>
      </c>
      <c r="D1349" s="193" t="s">
        <v>4176</v>
      </c>
      <c r="E1349" s="212" t="s">
        <v>545</v>
      </c>
      <c r="F1349" s="215">
        <v>1</v>
      </c>
      <c r="G1349" s="194">
        <v>1.9125000000000001</v>
      </c>
      <c r="H1349" s="195">
        <v>1.9125000000000001</v>
      </c>
      <c r="I1349" s="212" t="s">
        <v>2354</v>
      </c>
    </row>
    <row r="1350" spans="1:9" x14ac:dyDescent="0.25">
      <c r="A1350" s="193" t="s">
        <v>220</v>
      </c>
      <c r="B1350" s="193" t="s">
        <v>5430</v>
      </c>
      <c r="C1350" s="214" t="s">
        <v>4141</v>
      </c>
      <c r="D1350" s="193" t="s">
        <v>4142</v>
      </c>
      <c r="E1350" s="212" t="s">
        <v>545</v>
      </c>
      <c r="F1350" s="215">
        <v>4</v>
      </c>
      <c r="G1350" s="194">
        <v>0.47970000000000007</v>
      </c>
      <c r="H1350" s="195">
        <v>1.9188000000000003</v>
      </c>
      <c r="I1350" s="212" t="s">
        <v>2354</v>
      </c>
    </row>
    <row r="1351" spans="1:9" x14ac:dyDescent="0.25">
      <c r="A1351" s="193" t="s">
        <v>220</v>
      </c>
      <c r="B1351" s="193" t="s">
        <v>2351</v>
      </c>
      <c r="C1351" s="214" t="s">
        <v>5148</v>
      </c>
      <c r="D1351" s="193" t="s">
        <v>5149</v>
      </c>
      <c r="E1351" s="212" t="s">
        <v>545</v>
      </c>
      <c r="F1351" s="215">
        <v>15</v>
      </c>
      <c r="G1351" s="194">
        <v>0.129</v>
      </c>
      <c r="H1351" s="195">
        <v>1.9350000000000001</v>
      </c>
      <c r="I1351" s="212" t="s">
        <v>2354</v>
      </c>
    </row>
    <row r="1352" spans="1:9" x14ac:dyDescent="0.25">
      <c r="A1352" s="193" t="s">
        <v>220</v>
      </c>
      <c r="B1352" s="193" t="s">
        <v>5430</v>
      </c>
      <c r="C1352" s="214" t="s">
        <v>6474</v>
      </c>
      <c r="D1352" s="193" t="s">
        <v>6475</v>
      </c>
      <c r="E1352" s="212" t="s">
        <v>545</v>
      </c>
      <c r="F1352" s="215">
        <v>1</v>
      </c>
      <c r="G1352" s="194">
        <v>1.9519066666666667</v>
      </c>
      <c r="H1352" s="195">
        <v>1.9519066666666667</v>
      </c>
      <c r="I1352" s="212" t="s">
        <v>2354</v>
      </c>
    </row>
    <row r="1353" spans="1:9" x14ac:dyDescent="0.25">
      <c r="A1353" s="193" t="s">
        <v>220</v>
      </c>
      <c r="B1353" s="193" t="s">
        <v>2351</v>
      </c>
      <c r="C1353" s="214" t="s">
        <v>5200</v>
      </c>
      <c r="D1353" s="193" t="s">
        <v>5201</v>
      </c>
      <c r="E1353" s="212" t="s">
        <v>545</v>
      </c>
      <c r="F1353" s="215">
        <v>6</v>
      </c>
      <c r="G1353" s="194">
        <v>0.33700000000000002</v>
      </c>
      <c r="H1353" s="195">
        <v>2.0220000000000002</v>
      </c>
      <c r="I1353" s="212" t="s">
        <v>2354</v>
      </c>
    </row>
    <row r="1354" spans="1:9" x14ac:dyDescent="0.25">
      <c r="A1354" s="193" t="s">
        <v>220</v>
      </c>
      <c r="B1354" s="193" t="s">
        <v>2351</v>
      </c>
      <c r="C1354" s="214" t="s">
        <v>3527</v>
      </c>
      <c r="D1354" s="193" t="s">
        <v>3528</v>
      </c>
      <c r="E1354" s="212" t="s">
        <v>545</v>
      </c>
      <c r="F1354" s="215">
        <v>2</v>
      </c>
      <c r="G1354" s="194">
        <v>1.0250999999999999</v>
      </c>
      <c r="H1354" s="195">
        <v>2.0501999999999998</v>
      </c>
      <c r="I1354" s="212" t="s">
        <v>2354</v>
      </c>
    </row>
    <row r="1355" spans="1:9" x14ac:dyDescent="0.25">
      <c r="A1355" s="193" t="s">
        <v>220</v>
      </c>
      <c r="B1355" s="193" t="s">
        <v>5430</v>
      </c>
      <c r="C1355" s="214" t="s">
        <v>4832</v>
      </c>
      <c r="D1355" s="193" t="s">
        <v>4833</v>
      </c>
      <c r="E1355" s="212" t="s">
        <v>545</v>
      </c>
      <c r="F1355" s="215">
        <v>35</v>
      </c>
      <c r="G1355" s="194">
        <v>5.9033281409406252E-2</v>
      </c>
      <c r="H1355" s="195">
        <v>2.0661648493292186</v>
      </c>
      <c r="I1355" s="212" t="s">
        <v>2354</v>
      </c>
    </row>
    <row r="1356" spans="1:9" x14ac:dyDescent="0.25">
      <c r="A1356" s="193" t="s">
        <v>220</v>
      </c>
      <c r="B1356" s="193" t="s">
        <v>2351</v>
      </c>
      <c r="C1356" s="214" t="s">
        <v>3685</v>
      </c>
      <c r="D1356" s="193" t="s">
        <v>3686</v>
      </c>
      <c r="E1356" s="212" t="s">
        <v>545</v>
      </c>
      <c r="F1356" s="215">
        <v>5</v>
      </c>
      <c r="G1356" s="194">
        <v>0.42499999999999999</v>
      </c>
      <c r="H1356" s="195">
        <v>2.125</v>
      </c>
      <c r="I1356" s="212" t="s">
        <v>2354</v>
      </c>
    </row>
    <row r="1357" spans="1:9" x14ac:dyDescent="0.25">
      <c r="A1357" s="193" t="s">
        <v>220</v>
      </c>
      <c r="B1357" s="193" t="s">
        <v>2351</v>
      </c>
      <c r="C1357" s="214" t="s">
        <v>3663</v>
      </c>
      <c r="D1357" s="193" t="s">
        <v>3664</v>
      </c>
      <c r="E1357" s="212" t="s">
        <v>545</v>
      </c>
      <c r="F1357" s="215">
        <v>1</v>
      </c>
      <c r="G1357" s="194">
        <v>2.17</v>
      </c>
      <c r="H1357" s="195">
        <v>2.17</v>
      </c>
      <c r="I1357" s="212" t="s">
        <v>2354</v>
      </c>
    </row>
    <row r="1358" spans="1:9" x14ac:dyDescent="0.25">
      <c r="A1358" s="193" t="s">
        <v>220</v>
      </c>
      <c r="B1358" s="193" t="s">
        <v>2351</v>
      </c>
      <c r="C1358" s="214" t="s">
        <v>4189</v>
      </c>
      <c r="D1358" s="193" t="s">
        <v>4190</v>
      </c>
      <c r="E1358" s="212" t="s">
        <v>545</v>
      </c>
      <c r="F1358" s="215">
        <v>12</v>
      </c>
      <c r="G1358" s="194">
        <v>0.184</v>
      </c>
      <c r="H1358" s="195">
        <v>2.2080000000000002</v>
      </c>
      <c r="I1358" s="212" t="s">
        <v>2354</v>
      </c>
    </row>
    <row r="1359" spans="1:9" x14ac:dyDescent="0.25">
      <c r="A1359" s="193" t="s">
        <v>220</v>
      </c>
      <c r="B1359" s="193" t="s">
        <v>2351</v>
      </c>
      <c r="C1359" s="214" t="s">
        <v>5174</v>
      </c>
      <c r="D1359" s="193" t="s">
        <v>5175</v>
      </c>
      <c r="E1359" s="212" t="s">
        <v>545</v>
      </c>
      <c r="F1359" s="215">
        <v>1</v>
      </c>
      <c r="G1359" s="194">
        <v>2.512</v>
      </c>
      <c r="H1359" s="195">
        <v>2.512</v>
      </c>
      <c r="I1359" s="212" t="s">
        <v>2354</v>
      </c>
    </row>
    <row r="1360" spans="1:9" x14ac:dyDescent="0.25">
      <c r="A1360" s="193" t="s">
        <v>220</v>
      </c>
      <c r="B1360" s="193" t="s">
        <v>2351</v>
      </c>
      <c r="C1360" s="214" t="s">
        <v>5070</v>
      </c>
      <c r="D1360" s="193" t="s">
        <v>5071</v>
      </c>
      <c r="E1360" s="212" t="s">
        <v>545</v>
      </c>
      <c r="F1360" s="215">
        <v>14</v>
      </c>
      <c r="G1360" s="194">
        <v>0.18</v>
      </c>
      <c r="H1360" s="195">
        <v>2.52</v>
      </c>
      <c r="I1360" s="212" t="s">
        <v>2354</v>
      </c>
    </row>
    <row r="1361" spans="1:9" x14ac:dyDescent="0.25">
      <c r="A1361" s="193" t="s">
        <v>220</v>
      </c>
      <c r="B1361" s="193" t="s">
        <v>5430</v>
      </c>
      <c r="C1361" s="214" t="s">
        <v>6571</v>
      </c>
      <c r="D1361" s="193" t="s">
        <v>6572</v>
      </c>
      <c r="E1361" s="212" t="s">
        <v>545</v>
      </c>
      <c r="F1361" s="215">
        <v>2</v>
      </c>
      <c r="G1361" s="194">
        <v>1.26</v>
      </c>
      <c r="H1361" s="195">
        <v>2.52</v>
      </c>
      <c r="I1361" s="212" t="s">
        <v>2354</v>
      </c>
    </row>
    <row r="1362" spans="1:9" x14ac:dyDescent="0.25">
      <c r="A1362" s="193" t="s">
        <v>220</v>
      </c>
      <c r="B1362" s="193" t="s">
        <v>5430</v>
      </c>
      <c r="C1362" s="214" t="s">
        <v>6284</v>
      </c>
      <c r="D1362" s="193" t="s">
        <v>6285</v>
      </c>
      <c r="E1362" s="212" t="s">
        <v>545</v>
      </c>
      <c r="F1362" s="215">
        <v>5</v>
      </c>
      <c r="G1362" s="194">
        <v>0.51</v>
      </c>
      <c r="H1362" s="195">
        <v>2.5499999999999998</v>
      </c>
      <c r="I1362" s="212" t="s">
        <v>2354</v>
      </c>
    </row>
    <row r="1363" spans="1:9" x14ac:dyDescent="0.25">
      <c r="A1363" s="193" t="s">
        <v>220</v>
      </c>
      <c r="B1363" s="193" t="s">
        <v>2351</v>
      </c>
      <c r="C1363" s="214" t="s">
        <v>4187</v>
      </c>
      <c r="D1363" s="193" t="s">
        <v>4188</v>
      </c>
      <c r="E1363" s="212" t="s">
        <v>545</v>
      </c>
      <c r="F1363" s="215">
        <v>5</v>
      </c>
      <c r="G1363" s="194">
        <v>0.52025434782608682</v>
      </c>
      <c r="H1363" s="195">
        <v>2.6012717391304339</v>
      </c>
      <c r="I1363" s="212" t="s">
        <v>2354</v>
      </c>
    </row>
    <row r="1364" spans="1:9" x14ac:dyDescent="0.25">
      <c r="A1364" s="193" t="s">
        <v>220</v>
      </c>
      <c r="B1364" s="193" t="s">
        <v>2351</v>
      </c>
      <c r="C1364" s="214" t="s">
        <v>5212</v>
      </c>
      <c r="D1364" s="193" t="s">
        <v>5213</v>
      </c>
      <c r="E1364" s="212" t="s">
        <v>545</v>
      </c>
      <c r="F1364" s="215">
        <v>1</v>
      </c>
      <c r="G1364" s="194">
        <v>2.6070000000000002</v>
      </c>
      <c r="H1364" s="195">
        <v>2.6070000000000002</v>
      </c>
      <c r="I1364" s="212" t="s">
        <v>2354</v>
      </c>
    </row>
    <row r="1365" spans="1:9" x14ac:dyDescent="0.25">
      <c r="A1365" s="193" t="s">
        <v>220</v>
      </c>
      <c r="B1365" s="193" t="s">
        <v>2351</v>
      </c>
      <c r="C1365" s="214" t="s">
        <v>4476</v>
      </c>
      <c r="D1365" s="193" t="s">
        <v>4477</v>
      </c>
      <c r="E1365" s="212" t="s">
        <v>545</v>
      </c>
      <c r="F1365" s="215">
        <v>35</v>
      </c>
      <c r="G1365" s="194">
        <v>7.4620000000000006E-2</v>
      </c>
      <c r="H1365" s="195">
        <v>2.6117000000000004</v>
      </c>
      <c r="I1365" s="212" t="s">
        <v>2354</v>
      </c>
    </row>
    <row r="1366" spans="1:9" x14ac:dyDescent="0.25">
      <c r="A1366" s="193" t="s">
        <v>220</v>
      </c>
      <c r="B1366" s="193" t="s">
        <v>2351</v>
      </c>
      <c r="C1366" s="214" t="s">
        <v>4478</v>
      </c>
      <c r="D1366" s="193" t="s">
        <v>4479</v>
      </c>
      <c r="E1366" s="212" t="s">
        <v>545</v>
      </c>
      <c r="F1366" s="215">
        <v>36</v>
      </c>
      <c r="G1366" s="194">
        <v>7.4620000000000006E-2</v>
      </c>
      <c r="H1366" s="195">
        <v>2.6863200000000003</v>
      </c>
      <c r="I1366" s="212" t="s">
        <v>2354</v>
      </c>
    </row>
    <row r="1367" spans="1:9" x14ac:dyDescent="0.25">
      <c r="A1367" s="193" t="s">
        <v>220</v>
      </c>
      <c r="B1367" s="193" t="s">
        <v>2351</v>
      </c>
      <c r="C1367" s="214" t="s">
        <v>4484</v>
      </c>
      <c r="D1367" s="193" t="s">
        <v>4485</v>
      </c>
      <c r="E1367" s="212" t="s">
        <v>545</v>
      </c>
      <c r="F1367" s="215">
        <v>36</v>
      </c>
      <c r="G1367" s="194">
        <v>7.4620000000000006E-2</v>
      </c>
      <c r="H1367" s="195">
        <v>2.6863200000000003</v>
      </c>
      <c r="I1367" s="212" t="s">
        <v>2354</v>
      </c>
    </row>
    <row r="1368" spans="1:9" x14ac:dyDescent="0.25">
      <c r="A1368" s="193" t="s">
        <v>220</v>
      </c>
      <c r="B1368" s="193" t="s">
        <v>2351</v>
      </c>
      <c r="C1368" s="214" t="s">
        <v>3165</v>
      </c>
      <c r="D1368" s="193" t="s">
        <v>3166</v>
      </c>
      <c r="E1368" s="212" t="s">
        <v>1894</v>
      </c>
      <c r="F1368" s="215">
        <v>4</v>
      </c>
      <c r="G1368" s="194">
        <v>0.67500000000000004</v>
      </c>
      <c r="H1368" s="195">
        <v>2.7</v>
      </c>
      <c r="I1368" s="212" t="s">
        <v>2354</v>
      </c>
    </row>
    <row r="1369" spans="1:9" x14ac:dyDescent="0.25">
      <c r="A1369" s="193" t="s">
        <v>220</v>
      </c>
      <c r="B1369" s="193" t="s">
        <v>2351</v>
      </c>
      <c r="C1369" s="214" t="s">
        <v>4700</v>
      </c>
      <c r="D1369" s="193" t="s">
        <v>4701</v>
      </c>
      <c r="E1369" s="212" t="s">
        <v>545</v>
      </c>
      <c r="F1369" s="215">
        <v>110</v>
      </c>
      <c r="G1369" s="194">
        <v>2.5437308868501526E-2</v>
      </c>
      <c r="H1369" s="195">
        <v>2.798103975535168</v>
      </c>
      <c r="I1369" s="212" t="s">
        <v>2354</v>
      </c>
    </row>
    <row r="1370" spans="1:9" x14ac:dyDescent="0.25">
      <c r="A1370" s="193" t="s">
        <v>220</v>
      </c>
      <c r="B1370" s="193" t="s">
        <v>5430</v>
      </c>
      <c r="C1370" s="214" t="s">
        <v>7111</v>
      </c>
      <c r="D1370" s="193" t="s">
        <v>7112</v>
      </c>
      <c r="E1370" s="212" t="s">
        <v>545</v>
      </c>
      <c r="F1370" s="215">
        <v>32</v>
      </c>
      <c r="G1370" s="194">
        <v>8.9249999999999996E-2</v>
      </c>
      <c r="H1370" s="195">
        <v>2.8559999999999999</v>
      </c>
      <c r="I1370" s="212" t="s">
        <v>2354</v>
      </c>
    </row>
    <row r="1371" spans="1:9" x14ac:dyDescent="0.25">
      <c r="A1371" s="193" t="s">
        <v>220</v>
      </c>
      <c r="B1371" s="193" t="s">
        <v>2351</v>
      </c>
      <c r="C1371" s="214" t="s">
        <v>3661</v>
      </c>
      <c r="D1371" s="193" t="s">
        <v>3662</v>
      </c>
      <c r="E1371" s="212" t="s">
        <v>545</v>
      </c>
      <c r="F1371" s="215">
        <v>1</v>
      </c>
      <c r="G1371" s="194">
        <v>2.9</v>
      </c>
      <c r="H1371" s="195">
        <v>2.9</v>
      </c>
      <c r="I1371" s="212" t="s">
        <v>2354</v>
      </c>
    </row>
    <row r="1372" spans="1:9" x14ac:dyDescent="0.25">
      <c r="A1372" s="193" t="s">
        <v>220</v>
      </c>
      <c r="B1372" s="193" t="s">
        <v>2351</v>
      </c>
      <c r="C1372" s="214" t="s">
        <v>5339</v>
      </c>
      <c r="D1372" s="193" t="s">
        <v>5340</v>
      </c>
      <c r="E1372" s="212" t="s">
        <v>545</v>
      </c>
      <c r="F1372" s="215">
        <v>2</v>
      </c>
      <c r="G1372" s="194">
        <v>1.464</v>
      </c>
      <c r="H1372" s="195">
        <v>2.9279999999999999</v>
      </c>
      <c r="I1372" s="212" t="s">
        <v>2354</v>
      </c>
    </row>
    <row r="1373" spans="1:9" x14ac:dyDescent="0.25">
      <c r="A1373" s="193" t="s">
        <v>220</v>
      </c>
      <c r="B1373" s="193" t="s">
        <v>5430</v>
      </c>
      <c r="C1373" s="214" t="s">
        <v>6331</v>
      </c>
      <c r="D1373" s="193" t="s">
        <v>6332</v>
      </c>
      <c r="E1373" s="212" t="s">
        <v>545</v>
      </c>
      <c r="F1373" s="215">
        <v>4</v>
      </c>
      <c r="G1373" s="194">
        <v>0.73307</v>
      </c>
      <c r="H1373" s="195">
        <v>2.93228</v>
      </c>
      <c r="I1373" s="212" t="s">
        <v>2354</v>
      </c>
    </row>
    <row r="1374" spans="1:9" x14ac:dyDescent="0.25">
      <c r="A1374" s="193" t="s">
        <v>220</v>
      </c>
      <c r="B1374" s="193" t="s">
        <v>2351</v>
      </c>
      <c r="C1374" s="214" t="s">
        <v>3399</v>
      </c>
      <c r="D1374" s="193" t="s">
        <v>3400</v>
      </c>
      <c r="E1374" s="212" t="s">
        <v>545</v>
      </c>
      <c r="F1374" s="215">
        <v>2</v>
      </c>
      <c r="G1374" s="194">
        <v>1.4670000000000001</v>
      </c>
      <c r="H1374" s="195">
        <v>2.9340000000000002</v>
      </c>
      <c r="I1374" s="212" t="s">
        <v>2354</v>
      </c>
    </row>
    <row r="1375" spans="1:9" x14ac:dyDescent="0.25">
      <c r="A1375" s="193" t="s">
        <v>220</v>
      </c>
      <c r="B1375" s="193" t="s">
        <v>5430</v>
      </c>
      <c r="C1375" s="214" t="s">
        <v>3667</v>
      </c>
      <c r="D1375" s="193" t="s">
        <v>3668</v>
      </c>
      <c r="E1375" s="212" t="s">
        <v>545</v>
      </c>
      <c r="F1375" s="215">
        <v>2</v>
      </c>
      <c r="G1375" s="194">
        <v>1.472</v>
      </c>
      <c r="H1375" s="195">
        <v>2.944</v>
      </c>
      <c r="I1375" s="212" t="s">
        <v>2354</v>
      </c>
    </row>
    <row r="1376" spans="1:9" x14ac:dyDescent="0.25">
      <c r="A1376" s="193" t="s">
        <v>220</v>
      </c>
      <c r="B1376" s="193" t="s">
        <v>2351</v>
      </c>
      <c r="C1376" s="214" t="s">
        <v>4472</v>
      </c>
      <c r="D1376" s="193" t="s">
        <v>4473</v>
      </c>
      <c r="E1376" s="212" t="s">
        <v>545</v>
      </c>
      <c r="F1376" s="215">
        <v>40</v>
      </c>
      <c r="G1376" s="194">
        <v>7.4620000000000006E-2</v>
      </c>
      <c r="H1376" s="195">
        <v>2.9848000000000003</v>
      </c>
      <c r="I1376" s="212" t="s">
        <v>2354</v>
      </c>
    </row>
    <row r="1377" spans="1:9" x14ac:dyDescent="0.25">
      <c r="A1377" s="193" t="s">
        <v>220</v>
      </c>
      <c r="B1377" s="193" t="s">
        <v>2351</v>
      </c>
      <c r="C1377" s="214" t="s">
        <v>5296</v>
      </c>
      <c r="D1377" s="193" t="s">
        <v>2392</v>
      </c>
      <c r="E1377" s="212" t="s">
        <v>545</v>
      </c>
      <c r="F1377" s="215">
        <v>5</v>
      </c>
      <c r="G1377" s="194">
        <v>0.59940000000000004</v>
      </c>
      <c r="H1377" s="195">
        <v>2.9970000000000003</v>
      </c>
      <c r="I1377" s="212" t="s">
        <v>2354</v>
      </c>
    </row>
    <row r="1378" spans="1:9" x14ac:dyDescent="0.25">
      <c r="A1378" s="193" t="s">
        <v>220</v>
      </c>
      <c r="B1378" s="193" t="s">
        <v>5430</v>
      </c>
      <c r="C1378" s="214" t="s">
        <v>4923</v>
      </c>
      <c r="D1378" s="193" t="s">
        <v>4924</v>
      </c>
      <c r="E1378" s="212" t="s">
        <v>545</v>
      </c>
      <c r="F1378" s="215">
        <v>54</v>
      </c>
      <c r="G1378" s="194">
        <v>5.6169999999999998E-2</v>
      </c>
      <c r="H1378" s="195">
        <v>3.0331799999999998</v>
      </c>
      <c r="I1378" s="212" t="s">
        <v>2354</v>
      </c>
    </row>
    <row r="1379" spans="1:9" x14ac:dyDescent="0.25">
      <c r="A1379" s="193" t="s">
        <v>220</v>
      </c>
      <c r="B1379" s="193" t="s">
        <v>5430</v>
      </c>
      <c r="C1379" s="214" t="s">
        <v>4650</v>
      </c>
      <c r="D1379" s="193" t="s">
        <v>4651</v>
      </c>
      <c r="E1379" s="212" t="s">
        <v>545</v>
      </c>
      <c r="F1379" s="215">
        <v>10</v>
      </c>
      <c r="G1379" s="194">
        <v>0.31014000000000003</v>
      </c>
      <c r="H1379" s="195">
        <v>3.1014000000000004</v>
      </c>
      <c r="I1379" s="212" t="s">
        <v>2354</v>
      </c>
    </row>
    <row r="1380" spans="1:9" x14ac:dyDescent="0.25">
      <c r="A1380" s="193" t="s">
        <v>220</v>
      </c>
      <c r="B1380" s="193" t="s">
        <v>2351</v>
      </c>
      <c r="C1380" s="214" t="s">
        <v>4069</v>
      </c>
      <c r="D1380" s="193" t="s">
        <v>4070</v>
      </c>
      <c r="E1380" s="212" t="s">
        <v>545</v>
      </c>
      <c r="F1380" s="215">
        <v>45</v>
      </c>
      <c r="G1380" s="194">
        <v>7.2999999999999995E-2</v>
      </c>
      <c r="H1380" s="195">
        <v>3.2849999999999997</v>
      </c>
      <c r="I1380" s="212" t="s">
        <v>2354</v>
      </c>
    </row>
    <row r="1381" spans="1:9" x14ac:dyDescent="0.25">
      <c r="A1381" s="193" t="s">
        <v>220</v>
      </c>
      <c r="B1381" s="193" t="s">
        <v>2351</v>
      </c>
      <c r="C1381" s="214" t="s">
        <v>4498</v>
      </c>
      <c r="D1381" s="193" t="s">
        <v>4499</v>
      </c>
      <c r="E1381" s="212" t="s">
        <v>545</v>
      </c>
      <c r="F1381" s="215">
        <v>1</v>
      </c>
      <c r="G1381" s="194">
        <v>3.2899526066350711</v>
      </c>
      <c r="H1381" s="195">
        <v>3.2899526066350711</v>
      </c>
      <c r="I1381" s="212" t="s">
        <v>2354</v>
      </c>
    </row>
    <row r="1382" spans="1:9" x14ac:dyDescent="0.25">
      <c r="A1382" s="193" t="s">
        <v>220</v>
      </c>
      <c r="B1382" s="193" t="s">
        <v>5430</v>
      </c>
      <c r="C1382" s="214" t="s">
        <v>7141</v>
      </c>
      <c r="D1382" s="193" t="s">
        <v>4765</v>
      </c>
      <c r="E1382" s="212" t="s">
        <v>545</v>
      </c>
      <c r="F1382" s="215">
        <v>100</v>
      </c>
      <c r="G1382" s="194">
        <v>3.3000000000000002E-2</v>
      </c>
      <c r="H1382" s="195">
        <v>3.3000000000000003</v>
      </c>
      <c r="I1382" s="212" t="s">
        <v>2354</v>
      </c>
    </row>
    <row r="1383" spans="1:9" x14ac:dyDescent="0.25">
      <c r="A1383" s="193" t="s">
        <v>220</v>
      </c>
      <c r="B1383" s="193" t="s">
        <v>2351</v>
      </c>
      <c r="C1383" s="214"/>
      <c r="D1383" s="193" t="s">
        <v>2392</v>
      </c>
      <c r="E1383" s="212" t="s">
        <v>545</v>
      </c>
      <c r="F1383" s="215">
        <v>5</v>
      </c>
      <c r="G1383" s="194">
        <v>0.66600000000000004</v>
      </c>
      <c r="H1383" s="195">
        <v>3.33</v>
      </c>
      <c r="I1383" s="212" t="s">
        <v>2354</v>
      </c>
    </row>
    <row r="1384" spans="1:9" x14ac:dyDescent="0.25">
      <c r="A1384" s="193" t="s">
        <v>220</v>
      </c>
      <c r="B1384" s="193" t="s">
        <v>5430</v>
      </c>
      <c r="C1384" s="214" t="s">
        <v>4945</v>
      </c>
      <c r="D1384" s="193" t="s">
        <v>4946</v>
      </c>
      <c r="E1384" s="212" t="s">
        <v>545</v>
      </c>
      <c r="F1384" s="215">
        <v>20</v>
      </c>
      <c r="G1384" s="194">
        <v>0.16788</v>
      </c>
      <c r="H1384" s="195">
        <v>3.3576000000000001</v>
      </c>
      <c r="I1384" s="212" t="s">
        <v>2354</v>
      </c>
    </row>
    <row r="1385" spans="1:9" x14ac:dyDescent="0.25">
      <c r="A1385" s="193" t="s">
        <v>220</v>
      </c>
      <c r="B1385" s="193" t="s">
        <v>2351</v>
      </c>
      <c r="C1385" s="214" t="s">
        <v>5078</v>
      </c>
      <c r="D1385" s="193" t="s">
        <v>5079</v>
      </c>
      <c r="E1385" s="212" t="s">
        <v>545</v>
      </c>
      <c r="F1385" s="215">
        <v>10</v>
      </c>
      <c r="G1385" s="194">
        <v>0.33750000000000002</v>
      </c>
      <c r="H1385" s="195">
        <v>3.375</v>
      </c>
      <c r="I1385" s="212" t="s">
        <v>2354</v>
      </c>
    </row>
    <row r="1386" spans="1:9" x14ac:dyDescent="0.25">
      <c r="A1386" s="193" t="s">
        <v>220</v>
      </c>
      <c r="B1386" s="193" t="s">
        <v>5430</v>
      </c>
      <c r="C1386" s="214" t="s">
        <v>3295</v>
      </c>
      <c r="D1386" s="193" t="s">
        <v>3296</v>
      </c>
      <c r="E1386" s="212" t="s">
        <v>545</v>
      </c>
      <c r="F1386" s="215">
        <v>1</v>
      </c>
      <c r="G1386" s="194">
        <v>3.3797142857142854</v>
      </c>
      <c r="H1386" s="195">
        <v>3.3797142857142854</v>
      </c>
      <c r="I1386" s="212" t="s">
        <v>2354</v>
      </c>
    </row>
    <row r="1387" spans="1:9" x14ac:dyDescent="0.25">
      <c r="A1387" s="193" t="s">
        <v>220</v>
      </c>
      <c r="B1387" s="193" t="s">
        <v>2351</v>
      </c>
      <c r="C1387" s="214" t="s">
        <v>3185</v>
      </c>
      <c r="D1387" s="193" t="s">
        <v>3186</v>
      </c>
      <c r="E1387" s="212" t="s">
        <v>545</v>
      </c>
      <c r="F1387" s="215">
        <v>15</v>
      </c>
      <c r="G1387" s="194">
        <v>0.22900000000000001</v>
      </c>
      <c r="H1387" s="195">
        <v>3.4350000000000001</v>
      </c>
      <c r="I1387" s="212" t="s">
        <v>2354</v>
      </c>
    </row>
    <row r="1388" spans="1:9" x14ac:dyDescent="0.25">
      <c r="A1388" s="193" t="s">
        <v>220</v>
      </c>
      <c r="B1388" s="193" t="s">
        <v>2351</v>
      </c>
      <c r="C1388" s="214" t="s">
        <v>4179</v>
      </c>
      <c r="D1388" s="193" t="s">
        <v>4180</v>
      </c>
      <c r="E1388" s="212" t="s">
        <v>545</v>
      </c>
      <c r="F1388" s="215">
        <v>14</v>
      </c>
      <c r="G1388" s="194">
        <v>0.2475</v>
      </c>
      <c r="H1388" s="195">
        <v>3.4649999999999999</v>
      </c>
      <c r="I1388" s="212" t="s">
        <v>2354</v>
      </c>
    </row>
    <row r="1389" spans="1:9" x14ac:dyDescent="0.25">
      <c r="A1389" s="193" t="s">
        <v>220</v>
      </c>
      <c r="B1389" s="193" t="s">
        <v>2351</v>
      </c>
      <c r="C1389" s="214"/>
      <c r="D1389" s="193" t="s">
        <v>2358</v>
      </c>
      <c r="E1389" s="212" t="s">
        <v>545</v>
      </c>
      <c r="F1389" s="215">
        <v>1</v>
      </c>
      <c r="G1389" s="194">
        <v>3.4860000000000002</v>
      </c>
      <c r="H1389" s="195">
        <v>3.4860000000000002</v>
      </c>
      <c r="I1389" s="212" t="s">
        <v>2354</v>
      </c>
    </row>
    <row r="1390" spans="1:9" x14ac:dyDescent="0.25">
      <c r="A1390" s="193" t="s">
        <v>220</v>
      </c>
      <c r="B1390" s="193" t="s">
        <v>2351</v>
      </c>
      <c r="C1390" s="214" t="s">
        <v>5246</v>
      </c>
      <c r="D1390" s="193" t="s">
        <v>5247</v>
      </c>
      <c r="E1390" s="212" t="s">
        <v>545</v>
      </c>
      <c r="F1390" s="215">
        <v>18</v>
      </c>
      <c r="G1390" s="194">
        <v>0.1953</v>
      </c>
      <c r="H1390" s="195">
        <v>3.5154000000000001</v>
      </c>
      <c r="I1390" s="212" t="s">
        <v>2354</v>
      </c>
    </row>
    <row r="1391" spans="1:9" x14ac:dyDescent="0.25">
      <c r="A1391" s="193" t="s">
        <v>220</v>
      </c>
      <c r="B1391" s="193" t="s">
        <v>2351</v>
      </c>
      <c r="C1391" s="214" t="s">
        <v>4991</v>
      </c>
      <c r="D1391" s="193" t="s">
        <v>4992</v>
      </c>
      <c r="E1391" s="212" t="s">
        <v>545</v>
      </c>
      <c r="F1391" s="215">
        <v>352</v>
      </c>
      <c r="G1391" s="194">
        <v>0.01</v>
      </c>
      <c r="H1391" s="195">
        <v>3.52</v>
      </c>
      <c r="I1391" s="212" t="s">
        <v>2354</v>
      </c>
    </row>
    <row r="1392" spans="1:9" x14ac:dyDescent="0.25">
      <c r="A1392" s="193" t="s">
        <v>220</v>
      </c>
      <c r="B1392" s="193" t="s">
        <v>2351</v>
      </c>
      <c r="C1392" s="214" t="s">
        <v>4828</v>
      </c>
      <c r="D1392" s="193" t="s">
        <v>4829</v>
      </c>
      <c r="E1392" s="212" t="s">
        <v>545</v>
      </c>
      <c r="F1392" s="215">
        <v>22</v>
      </c>
      <c r="G1392" s="194">
        <v>0.16116</v>
      </c>
      <c r="H1392" s="195">
        <v>3.5455199999999998</v>
      </c>
      <c r="I1392" s="212" t="s">
        <v>2354</v>
      </c>
    </row>
    <row r="1393" spans="1:9" x14ac:dyDescent="0.25">
      <c r="A1393" s="193" t="s">
        <v>220</v>
      </c>
      <c r="B1393" s="193" t="s">
        <v>2351</v>
      </c>
      <c r="C1393" s="214" t="s">
        <v>3137</v>
      </c>
      <c r="D1393" s="193" t="s">
        <v>3138</v>
      </c>
      <c r="E1393" s="212" t="s">
        <v>545</v>
      </c>
      <c r="F1393" s="215">
        <v>7</v>
      </c>
      <c r="G1393" s="194">
        <v>0.52715999999999996</v>
      </c>
      <c r="H1393" s="195">
        <v>3.6901199999999998</v>
      </c>
      <c r="I1393" s="212" t="s">
        <v>2354</v>
      </c>
    </row>
    <row r="1394" spans="1:9" x14ac:dyDescent="0.25">
      <c r="A1394" s="193" t="s">
        <v>220</v>
      </c>
      <c r="B1394" s="193" t="s">
        <v>2351</v>
      </c>
      <c r="C1394" s="214" t="s">
        <v>4413</v>
      </c>
      <c r="D1394" s="193" t="s">
        <v>4414</v>
      </c>
      <c r="E1394" s="212" t="s">
        <v>545</v>
      </c>
      <c r="F1394" s="215">
        <v>1</v>
      </c>
      <c r="G1394" s="194">
        <v>3.6972</v>
      </c>
      <c r="H1394" s="195">
        <v>3.6972</v>
      </c>
      <c r="I1394" s="212" t="s">
        <v>2354</v>
      </c>
    </row>
    <row r="1395" spans="1:9" x14ac:dyDescent="0.25">
      <c r="A1395" s="193" t="s">
        <v>220</v>
      </c>
      <c r="B1395" s="193" t="s">
        <v>5430</v>
      </c>
      <c r="C1395" s="214" t="s">
        <v>3687</v>
      </c>
      <c r="D1395" s="193" t="s">
        <v>3688</v>
      </c>
      <c r="E1395" s="212" t="s">
        <v>545</v>
      </c>
      <c r="F1395" s="215">
        <v>2</v>
      </c>
      <c r="G1395" s="194">
        <v>1.852153846153846</v>
      </c>
      <c r="H1395" s="195">
        <v>3.7043076923076921</v>
      </c>
      <c r="I1395" s="212" t="s">
        <v>2354</v>
      </c>
    </row>
    <row r="1396" spans="1:9" x14ac:dyDescent="0.25">
      <c r="A1396" s="193" t="s">
        <v>220</v>
      </c>
      <c r="B1396" s="193" t="s">
        <v>5430</v>
      </c>
      <c r="C1396" s="214" t="s">
        <v>4179</v>
      </c>
      <c r="D1396" s="193" t="s">
        <v>4180</v>
      </c>
      <c r="E1396" s="212" t="s">
        <v>545</v>
      </c>
      <c r="F1396" s="215">
        <v>15</v>
      </c>
      <c r="G1396" s="194">
        <v>0.2475</v>
      </c>
      <c r="H1396" s="195">
        <v>3.7124999999999999</v>
      </c>
      <c r="I1396" s="212" t="s">
        <v>2354</v>
      </c>
    </row>
    <row r="1397" spans="1:9" x14ac:dyDescent="0.25">
      <c r="A1397" s="193" t="s">
        <v>220</v>
      </c>
      <c r="B1397" s="193" t="s">
        <v>2351</v>
      </c>
      <c r="C1397" s="214" t="s">
        <v>5088</v>
      </c>
      <c r="D1397" s="193" t="s">
        <v>5089</v>
      </c>
      <c r="E1397" s="212" t="s">
        <v>545</v>
      </c>
      <c r="F1397" s="215">
        <v>78</v>
      </c>
      <c r="G1397" s="194">
        <v>4.7600000000000003E-2</v>
      </c>
      <c r="H1397" s="195">
        <v>3.7128000000000001</v>
      </c>
      <c r="I1397" s="212" t="s">
        <v>2354</v>
      </c>
    </row>
    <row r="1398" spans="1:9" x14ac:dyDescent="0.25">
      <c r="A1398" s="193" t="s">
        <v>220</v>
      </c>
      <c r="B1398" s="193" t="s">
        <v>5430</v>
      </c>
      <c r="C1398" s="214" t="s">
        <v>6851</v>
      </c>
      <c r="D1398" s="193" t="s">
        <v>6852</v>
      </c>
      <c r="E1398" s="212" t="s">
        <v>545</v>
      </c>
      <c r="F1398" s="215">
        <v>5</v>
      </c>
      <c r="G1398" s="194">
        <v>0.75</v>
      </c>
      <c r="H1398" s="195">
        <v>3.75</v>
      </c>
      <c r="I1398" s="212" t="s">
        <v>2354</v>
      </c>
    </row>
    <row r="1399" spans="1:9" x14ac:dyDescent="0.25">
      <c r="A1399" s="193" t="s">
        <v>220</v>
      </c>
      <c r="B1399" s="193" t="s">
        <v>5430</v>
      </c>
      <c r="C1399" s="214" t="s">
        <v>7060</v>
      </c>
      <c r="D1399" s="193" t="s">
        <v>7061</v>
      </c>
      <c r="E1399" s="212" t="s">
        <v>545</v>
      </c>
      <c r="F1399" s="215">
        <v>4</v>
      </c>
      <c r="G1399" s="194">
        <v>0.95625000000000004</v>
      </c>
      <c r="H1399" s="195">
        <v>3.8250000000000002</v>
      </c>
      <c r="I1399" s="212" t="s">
        <v>2354</v>
      </c>
    </row>
    <row r="1400" spans="1:9" x14ac:dyDescent="0.25">
      <c r="A1400" s="193" t="s">
        <v>220</v>
      </c>
      <c r="B1400" s="193" t="s">
        <v>5430</v>
      </c>
      <c r="C1400" s="214" t="s">
        <v>5116</v>
      </c>
      <c r="D1400" s="193" t="s">
        <v>5117</v>
      </c>
      <c r="E1400" s="212" t="s">
        <v>545</v>
      </c>
      <c r="F1400" s="215">
        <v>75</v>
      </c>
      <c r="G1400" s="194">
        <v>5.1999999999999998E-2</v>
      </c>
      <c r="H1400" s="195">
        <v>3.9</v>
      </c>
      <c r="I1400" s="212" t="s">
        <v>2354</v>
      </c>
    </row>
    <row r="1401" spans="1:9" x14ac:dyDescent="0.25">
      <c r="A1401" s="193" t="s">
        <v>220</v>
      </c>
      <c r="B1401" s="193" t="s">
        <v>5430</v>
      </c>
      <c r="C1401" s="214" t="s">
        <v>7016</v>
      </c>
      <c r="D1401" s="193" t="s">
        <v>7017</v>
      </c>
      <c r="E1401" s="212" t="s">
        <v>545</v>
      </c>
      <c r="F1401" s="215">
        <v>1</v>
      </c>
      <c r="G1401" s="194">
        <v>3.903</v>
      </c>
      <c r="H1401" s="195">
        <v>3.903</v>
      </c>
      <c r="I1401" s="212" t="s">
        <v>2354</v>
      </c>
    </row>
    <row r="1402" spans="1:9" x14ac:dyDescent="0.25">
      <c r="A1402" s="193" t="s">
        <v>220</v>
      </c>
      <c r="B1402" s="193" t="s">
        <v>2351</v>
      </c>
      <c r="C1402" s="214" t="s">
        <v>5208</v>
      </c>
      <c r="D1402" s="193" t="s">
        <v>5209</v>
      </c>
      <c r="E1402" s="212" t="s">
        <v>545</v>
      </c>
      <c r="F1402" s="215">
        <v>3</v>
      </c>
      <c r="G1402" s="194">
        <v>1.304</v>
      </c>
      <c r="H1402" s="195">
        <v>3.9119999999999999</v>
      </c>
      <c r="I1402" s="212" t="s">
        <v>2354</v>
      </c>
    </row>
    <row r="1403" spans="1:9" x14ac:dyDescent="0.25">
      <c r="A1403" s="193" t="s">
        <v>220</v>
      </c>
      <c r="B1403" s="193" t="s">
        <v>2351</v>
      </c>
      <c r="C1403" s="214" t="s">
        <v>5016</v>
      </c>
      <c r="D1403" s="193" t="s">
        <v>5017</v>
      </c>
      <c r="E1403" s="212" t="s">
        <v>545</v>
      </c>
      <c r="F1403" s="215">
        <v>150</v>
      </c>
      <c r="G1403" s="194">
        <v>2.6100000000000002E-2</v>
      </c>
      <c r="H1403" s="195">
        <v>3.915</v>
      </c>
      <c r="I1403" s="212" t="s">
        <v>2354</v>
      </c>
    </row>
    <row r="1404" spans="1:9" x14ac:dyDescent="0.25">
      <c r="A1404" s="193" t="s">
        <v>220</v>
      </c>
      <c r="B1404" s="193" t="s">
        <v>5430</v>
      </c>
      <c r="C1404" s="214" t="s">
        <v>3521</v>
      </c>
      <c r="D1404" s="193" t="s">
        <v>3522</v>
      </c>
      <c r="E1404" s="212" t="s">
        <v>545</v>
      </c>
      <c r="F1404" s="215">
        <v>1</v>
      </c>
      <c r="G1404" s="194">
        <v>4.0460000000000003</v>
      </c>
      <c r="H1404" s="195">
        <v>4.0460000000000003</v>
      </c>
      <c r="I1404" s="212" t="s">
        <v>2354</v>
      </c>
    </row>
    <row r="1405" spans="1:9" x14ac:dyDescent="0.25">
      <c r="A1405" s="193" t="s">
        <v>220</v>
      </c>
      <c r="B1405" s="193" t="s">
        <v>2351</v>
      </c>
      <c r="C1405" s="214" t="s">
        <v>3683</v>
      </c>
      <c r="D1405" s="193" t="s">
        <v>3684</v>
      </c>
      <c r="E1405" s="212" t="s">
        <v>545</v>
      </c>
      <c r="F1405" s="215">
        <v>2</v>
      </c>
      <c r="G1405" s="194">
        <v>2.0278500000000004</v>
      </c>
      <c r="H1405" s="195">
        <v>4.0557000000000007</v>
      </c>
      <c r="I1405" s="212" t="s">
        <v>2354</v>
      </c>
    </row>
    <row r="1406" spans="1:9" x14ac:dyDescent="0.25">
      <c r="A1406" s="193" t="s">
        <v>220</v>
      </c>
      <c r="B1406" s="193" t="s">
        <v>5430</v>
      </c>
      <c r="C1406" s="214" t="s">
        <v>3211</v>
      </c>
      <c r="D1406" s="193" t="s">
        <v>3212</v>
      </c>
      <c r="E1406" s="212" t="s">
        <v>545</v>
      </c>
      <c r="F1406" s="215">
        <v>10</v>
      </c>
      <c r="G1406" s="194">
        <v>0.41129999999999994</v>
      </c>
      <c r="H1406" s="195">
        <v>4.1129999999999995</v>
      </c>
      <c r="I1406" s="212" t="s">
        <v>2354</v>
      </c>
    </row>
    <row r="1407" spans="1:9" x14ac:dyDescent="0.25">
      <c r="A1407" s="193" t="s">
        <v>220</v>
      </c>
      <c r="B1407" s="193" t="s">
        <v>5430</v>
      </c>
      <c r="C1407" s="214" t="s">
        <v>4939</v>
      </c>
      <c r="D1407" s="193" t="s">
        <v>4940</v>
      </c>
      <c r="E1407" s="212" t="s">
        <v>545</v>
      </c>
      <c r="F1407" s="215">
        <v>15</v>
      </c>
      <c r="G1407" s="194">
        <v>0.27565000000000001</v>
      </c>
      <c r="H1407" s="195">
        <v>4.1347500000000004</v>
      </c>
      <c r="I1407" s="212" t="s">
        <v>2354</v>
      </c>
    </row>
    <row r="1408" spans="1:9" x14ac:dyDescent="0.25">
      <c r="A1408" s="193" t="s">
        <v>220</v>
      </c>
      <c r="B1408" s="193" t="s">
        <v>2351</v>
      </c>
      <c r="C1408" s="214" t="s">
        <v>4794</v>
      </c>
      <c r="D1408" s="193" t="s">
        <v>4795</v>
      </c>
      <c r="E1408" s="212" t="s">
        <v>545</v>
      </c>
      <c r="F1408" s="215">
        <v>82</v>
      </c>
      <c r="G1408" s="194">
        <v>5.058E-2</v>
      </c>
      <c r="H1408" s="195">
        <v>4.1475600000000004</v>
      </c>
      <c r="I1408" s="212" t="s">
        <v>2354</v>
      </c>
    </row>
    <row r="1409" spans="1:9" x14ac:dyDescent="0.25">
      <c r="A1409" s="193" t="s">
        <v>220</v>
      </c>
      <c r="B1409" s="193" t="s">
        <v>2351</v>
      </c>
      <c r="C1409" s="214" t="s">
        <v>5210</v>
      </c>
      <c r="D1409" s="193" t="s">
        <v>5211</v>
      </c>
      <c r="E1409" s="212" t="s">
        <v>545</v>
      </c>
      <c r="F1409" s="215">
        <v>3</v>
      </c>
      <c r="G1409" s="194">
        <v>1.4</v>
      </c>
      <c r="H1409" s="195">
        <v>4.1999999999999993</v>
      </c>
      <c r="I1409" s="212" t="s">
        <v>2354</v>
      </c>
    </row>
    <row r="1410" spans="1:9" x14ac:dyDescent="0.25">
      <c r="A1410" s="193" t="s">
        <v>220</v>
      </c>
      <c r="B1410" s="193" t="s">
        <v>2351</v>
      </c>
      <c r="C1410" s="214" t="s">
        <v>3193</v>
      </c>
      <c r="D1410" s="193" t="s">
        <v>3194</v>
      </c>
      <c r="E1410" s="212" t="s">
        <v>545</v>
      </c>
      <c r="F1410" s="215">
        <v>10</v>
      </c>
      <c r="G1410" s="194">
        <v>0.42</v>
      </c>
      <c r="H1410" s="195">
        <v>4.2</v>
      </c>
      <c r="I1410" s="212" t="s">
        <v>2354</v>
      </c>
    </row>
    <row r="1411" spans="1:9" x14ac:dyDescent="0.25">
      <c r="A1411" s="193" t="s">
        <v>220</v>
      </c>
      <c r="B1411" s="193" t="s">
        <v>2351</v>
      </c>
      <c r="C1411" s="214" t="s">
        <v>5054</v>
      </c>
      <c r="D1411" s="193" t="s">
        <v>5055</v>
      </c>
      <c r="E1411" s="212" t="s">
        <v>545</v>
      </c>
      <c r="F1411" s="215">
        <v>25</v>
      </c>
      <c r="G1411" s="194">
        <v>0.16800000000000001</v>
      </c>
      <c r="H1411" s="195">
        <v>4.2</v>
      </c>
      <c r="I1411" s="212" t="s">
        <v>2354</v>
      </c>
    </row>
    <row r="1412" spans="1:9" x14ac:dyDescent="0.25">
      <c r="A1412" s="193" t="s">
        <v>220</v>
      </c>
      <c r="B1412" s="193" t="s">
        <v>5430</v>
      </c>
      <c r="C1412" s="214" t="s">
        <v>6282</v>
      </c>
      <c r="D1412" s="193" t="s">
        <v>6283</v>
      </c>
      <c r="E1412" s="212" t="s">
        <v>545</v>
      </c>
      <c r="F1412" s="215">
        <v>5</v>
      </c>
      <c r="G1412" s="194">
        <v>0.84</v>
      </c>
      <c r="H1412" s="195">
        <v>4.2</v>
      </c>
      <c r="I1412" s="212" t="s">
        <v>2354</v>
      </c>
    </row>
    <row r="1413" spans="1:9" x14ac:dyDescent="0.25">
      <c r="A1413" s="193" t="s">
        <v>220</v>
      </c>
      <c r="B1413" s="193" t="s">
        <v>2351</v>
      </c>
      <c r="C1413" s="214" t="s">
        <v>3291</v>
      </c>
      <c r="D1413" s="193" t="s">
        <v>3292</v>
      </c>
      <c r="E1413" s="212" t="s">
        <v>545</v>
      </c>
      <c r="F1413" s="215">
        <v>1</v>
      </c>
      <c r="G1413" s="194">
        <v>4.2069999999999999</v>
      </c>
      <c r="H1413" s="195">
        <v>4.2069999999999999</v>
      </c>
      <c r="I1413" s="212" t="s">
        <v>2354</v>
      </c>
    </row>
    <row r="1414" spans="1:9" x14ac:dyDescent="0.25">
      <c r="A1414" s="193" t="s">
        <v>220</v>
      </c>
      <c r="B1414" s="193" t="s">
        <v>2351</v>
      </c>
      <c r="C1414" s="214"/>
      <c r="D1414" s="193" t="s">
        <v>2399</v>
      </c>
      <c r="E1414" s="212" t="s">
        <v>545</v>
      </c>
      <c r="F1414" s="215">
        <v>5</v>
      </c>
      <c r="G1414" s="194">
        <v>0.85499999999999998</v>
      </c>
      <c r="H1414" s="195">
        <v>4.2750000000000004</v>
      </c>
      <c r="I1414" s="212" t="s">
        <v>2354</v>
      </c>
    </row>
    <row r="1415" spans="1:9" x14ac:dyDescent="0.25">
      <c r="A1415" s="193" t="s">
        <v>220</v>
      </c>
      <c r="B1415" s="193" t="s">
        <v>2351</v>
      </c>
      <c r="C1415" s="214" t="s">
        <v>3519</v>
      </c>
      <c r="D1415" s="193" t="s">
        <v>3520</v>
      </c>
      <c r="E1415" s="212" t="s">
        <v>545</v>
      </c>
      <c r="F1415" s="215">
        <v>2</v>
      </c>
      <c r="G1415" s="194">
        <v>2.1383999999999999</v>
      </c>
      <c r="H1415" s="195">
        <v>4.2767999999999997</v>
      </c>
      <c r="I1415" s="212" t="s">
        <v>2354</v>
      </c>
    </row>
    <row r="1416" spans="1:9" x14ac:dyDescent="0.25">
      <c r="A1416" s="193" t="s">
        <v>220</v>
      </c>
      <c r="B1416" s="193" t="s">
        <v>5430</v>
      </c>
      <c r="C1416" s="214" t="s">
        <v>4636</v>
      </c>
      <c r="D1416" s="193" t="s">
        <v>4637</v>
      </c>
      <c r="E1416" s="212" t="s">
        <v>545</v>
      </c>
      <c r="F1416" s="215">
        <v>22</v>
      </c>
      <c r="G1416" s="194">
        <v>0.19656000000000001</v>
      </c>
      <c r="H1416" s="195">
        <v>4.3243200000000002</v>
      </c>
      <c r="I1416" s="212" t="s">
        <v>2354</v>
      </c>
    </row>
    <row r="1417" spans="1:9" x14ac:dyDescent="0.25">
      <c r="A1417" s="193" t="s">
        <v>220</v>
      </c>
      <c r="B1417" s="193" t="s">
        <v>2351</v>
      </c>
      <c r="C1417" s="214" t="s">
        <v>4450</v>
      </c>
      <c r="D1417" s="193" t="s">
        <v>4451</v>
      </c>
      <c r="E1417" s="212" t="s">
        <v>545</v>
      </c>
      <c r="F1417" s="215">
        <v>4</v>
      </c>
      <c r="G1417" s="194">
        <v>1.0857000000000001</v>
      </c>
      <c r="H1417" s="195">
        <v>4.3428000000000004</v>
      </c>
      <c r="I1417" s="212" t="s">
        <v>2354</v>
      </c>
    </row>
    <row r="1418" spans="1:9" x14ac:dyDescent="0.25">
      <c r="A1418" s="193" t="s">
        <v>220</v>
      </c>
      <c r="B1418" s="193" t="s">
        <v>2351</v>
      </c>
      <c r="C1418" s="214" t="s">
        <v>5072</v>
      </c>
      <c r="D1418" s="193" t="s">
        <v>5073</v>
      </c>
      <c r="E1418" s="212" t="s">
        <v>545</v>
      </c>
      <c r="F1418" s="215">
        <v>22</v>
      </c>
      <c r="G1418" s="194">
        <v>0.19800000000000001</v>
      </c>
      <c r="H1418" s="195">
        <v>4.3559999999999999</v>
      </c>
      <c r="I1418" s="212" t="s">
        <v>2354</v>
      </c>
    </row>
    <row r="1419" spans="1:9" x14ac:dyDescent="0.25">
      <c r="A1419" s="193" t="s">
        <v>220</v>
      </c>
      <c r="B1419" s="193" t="s">
        <v>2351</v>
      </c>
      <c r="C1419" s="214" t="s">
        <v>5012</v>
      </c>
      <c r="D1419" s="193" t="s">
        <v>5013</v>
      </c>
      <c r="E1419" s="212" t="s">
        <v>545</v>
      </c>
      <c r="F1419" s="215">
        <v>87</v>
      </c>
      <c r="G1419" s="194">
        <v>5.04E-2</v>
      </c>
      <c r="H1419" s="195">
        <v>4.3848000000000003</v>
      </c>
      <c r="I1419" s="212" t="s">
        <v>2354</v>
      </c>
    </row>
    <row r="1420" spans="1:9" x14ac:dyDescent="0.25">
      <c r="A1420" s="193" t="s">
        <v>220</v>
      </c>
      <c r="B1420" s="193" t="s">
        <v>2351</v>
      </c>
      <c r="C1420" s="214" t="s">
        <v>3317</v>
      </c>
      <c r="D1420" s="193" t="s">
        <v>3318</v>
      </c>
      <c r="E1420" s="212" t="s">
        <v>545</v>
      </c>
      <c r="F1420" s="215">
        <v>3</v>
      </c>
      <c r="G1420" s="194">
        <v>1.464</v>
      </c>
      <c r="H1420" s="195">
        <v>4.3919999999999995</v>
      </c>
      <c r="I1420" s="212" t="s">
        <v>2354</v>
      </c>
    </row>
    <row r="1421" spans="1:9" x14ac:dyDescent="0.25">
      <c r="A1421" s="193" t="s">
        <v>220</v>
      </c>
      <c r="B1421" s="193" t="s">
        <v>5430</v>
      </c>
      <c r="C1421" s="214" t="s">
        <v>6972</v>
      </c>
      <c r="D1421" s="193" t="s">
        <v>6973</v>
      </c>
      <c r="E1421" s="212" t="s">
        <v>545</v>
      </c>
      <c r="F1421" s="215">
        <v>4</v>
      </c>
      <c r="G1421" s="194">
        <v>1.1025</v>
      </c>
      <c r="H1421" s="195">
        <v>4.41</v>
      </c>
      <c r="I1421" s="212" t="s">
        <v>2354</v>
      </c>
    </row>
    <row r="1422" spans="1:9" x14ac:dyDescent="0.25">
      <c r="A1422" s="193" t="s">
        <v>220</v>
      </c>
      <c r="B1422" s="193" t="s">
        <v>5430</v>
      </c>
      <c r="C1422" s="214" t="s">
        <v>3293</v>
      </c>
      <c r="D1422" s="193" t="s">
        <v>3294</v>
      </c>
      <c r="E1422" s="212" t="s">
        <v>545</v>
      </c>
      <c r="F1422" s="215">
        <v>4</v>
      </c>
      <c r="G1422" s="194">
        <v>1.105</v>
      </c>
      <c r="H1422" s="195">
        <v>4.42</v>
      </c>
      <c r="I1422" s="212" t="s">
        <v>2354</v>
      </c>
    </row>
    <row r="1423" spans="1:9" x14ac:dyDescent="0.25">
      <c r="A1423" s="193" t="s">
        <v>220</v>
      </c>
      <c r="B1423" s="193" t="s">
        <v>2351</v>
      </c>
      <c r="C1423" s="214" t="s">
        <v>3229</v>
      </c>
      <c r="D1423" s="193" t="s">
        <v>3230</v>
      </c>
      <c r="E1423" s="212" t="s">
        <v>545</v>
      </c>
      <c r="F1423" s="215">
        <v>5</v>
      </c>
      <c r="G1423" s="194">
        <v>0.88700000000000001</v>
      </c>
      <c r="H1423" s="195">
        <v>4.4350000000000005</v>
      </c>
      <c r="I1423" s="212" t="s">
        <v>2354</v>
      </c>
    </row>
    <row r="1424" spans="1:9" x14ac:dyDescent="0.25">
      <c r="A1424" s="193" t="s">
        <v>220</v>
      </c>
      <c r="B1424" s="193" t="s">
        <v>5430</v>
      </c>
      <c r="C1424" s="214" t="s">
        <v>3229</v>
      </c>
      <c r="D1424" s="193" t="s">
        <v>3230</v>
      </c>
      <c r="E1424" s="212" t="s">
        <v>545</v>
      </c>
      <c r="F1424" s="215">
        <v>5</v>
      </c>
      <c r="G1424" s="194">
        <v>0.88700000000000001</v>
      </c>
      <c r="H1424" s="195">
        <v>4.4350000000000005</v>
      </c>
      <c r="I1424" s="212" t="s">
        <v>2354</v>
      </c>
    </row>
    <row r="1425" spans="1:9" x14ac:dyDescent="0.25">
      <c r="A1425" s="193" t="s">
        <v>220</v>
      </c>
      <c r="B1425" s="193" t="s">
        <v>5430</v>
      </c>
      <c r="C1425" s="214" t="s">
        <v>4760</v>
      </c>
      <c r="D1425" s="193" t="s">
        <v>4761</v>
      </c>
      <c r="E1425" s="212" t="s">
        <v>545</v>
      </c>
      <c r="F1425" s="215">
        <v>35</v>
      </c>
      <c r="G1425" s="194">
        <v>0.127</v>
      </c>
      <c r="H1425" s="195">
        <v>4.4450000000000003</v>
      </c>
      <c r="I1425" s="212" t="s">
        <v>2354</v>
      </c>
    </row>
    <row r="1426" spans="1:9" x14ac:dyDescent="0.25">
      <c r="A1426" s="193" t="s">
        <v>220</v>
      </c>
      <c r="B1426" s="193" t="s">
        <v>5430</v>
      </c>
      <c r="C1426" s="214" t="s">
        <v>4905</v>
      </c>
      <c r="D1426" s="193" t="s">
        <v>4906</v>
      </c>
      <c r="E1426" s="212" t="s">
        <v>545</v>
      </c>
      <c r="F1426" s="215">
        <v>10</v>
      </c>
      <c r="G1426" s="194">
        <v>0.44500000000000001</v>
      </c>
      <c r="H1426" s="195">
        <v>4.45</v>
      </c>
      <c r="I1426" s="212" t="s">
        <v>2354</v>
      </c>
    </row>
    <row r="1427" spans="1:9" x14ac:dyDescent="0.25">
      <c r="A1427" s="193" t="s">
        <v>220</v>
      </c>
      <c r="B1427" s="193" t="s">
        <v>2351</v>
      </c>
      <c r="C1427" s="214" t="s">
        <v>4768</v>
      </c>
      <c r="D1427" s="193" t="s">
        <v>4769</v>
      </c>
      <c r="E1427" s="212" t="s">
        <v>545</v>
      </c>
      <c r="F1427" s="215">
        <v>5</v>
      </c>
      <c r="G1427" s="194">
        <v>0.89280000000000004</v>
      </c>
      <c r="H1427" s="195">
        <v>4.4640000000000004</v>
      </c>
      <c r="I1427" s="212" t="s">
        <v>2354</v>
      </c>
    </row>
    <row r="1428" spans="1:9" x14ac:dyDescent="0.25">
      <c r="A1428" s="193" t="s">
        <v>220</v>
      </c>
      <c r="B1428" s="193" t="s">
        <v>2351</v>
      </c>
      <c r="C1428" s="214" t="s">
        <v>2518</v>
      </c>
      <c r="D1428" s="193" t="s">
        <v>2519</v>
      </c>
      <c r="E1428" s="212" t="s">
        <v>545</v>
      </c>
      <c r="F1428" s="215">
        <v>1</v>
      </c>
      <c r="G1428" s="194">
        <v>4.59</v>
      </c>
      <c r="H1428" s="195">
        <v>4.59</v>
      </c>
      <c r="I1428" s="212" t="s">
        <v>2354</v>
      </c>
    </row>
    <row r="1429" spans="1:9" x14ac:dyDescent="0.25">
      <c r="A1429" s="193" t="s">
        <v>220</v>
      </c>
      <c r="B1429" s="193" t="s">
        <v>2351</v>
      </c>
      <c r="C1429" s="214" t="s">
        <v>3709</v>
      </c>
      <c r="D1429" s="193" t="s">
        <v>3710</v>
      </c>
      <c r="E1429" s="212" t="s">
        <v>545</v>
      </c>
      <c r="F1429" s="215">
        <v>1</v>
      </c>
      <c r="G1429" s="194">
        <v>4.6154999999999999</v>
      </c>
      <c r="H1429" s="195">
        <v>4.6154999999999999</v>
      </c>
      <c r="I1429" s="212" t="s">
        <v>2354</v>
      </c>
    </row>
    <row r="1430" spans="1:9" x14ac:dyDescent="0.25">
      <c r="A1430" s="193" t="s">
        <v>220</v>
      </c>
      <c r="B1430" s="193" t="s">
        <v>2351</v>
      </c>
      <c r="C1430" s="214" t="s">
        <v>4901</v>
      </c>
      <c r="D1430" s="193" t="s">
        <v>4902</v>
      </c>
      <c r="E1430" s="212" t="s">
        <v>545</v>
      </c>
      <c r="F1430" s="215">
        <v>22</v>
      </c>
      <c r="G1430" s="194">
        <v>0.21</v>
      </c>
      <c r="H1430" s="195">
        <v>4.62</v>
      </c>
      <c r="I1430" s="212" t="s">
        <v>2354</v>
      </c>
    </row>
    <row r="1431" spans="1:9" x14ac:dyDescent="0.25">
      <c r="A1431" s="193" t="s">
        <v>220</v>
      </c>
      <c r="B1431" s="193" t="s">
        <v>5430</v>
      </c>
      <c r="C1431" s="214" t="s">
        <v>3575</v>
      </c>
      <c r="D1431" s="193" t="s">
        <v>3576</v>
      </c>
      <c r="E1431" s="212" t="s">
        <v>545</v>
      </c>
      <c r="F1431" s="215">
        <v>2</v>
      </c>
      <c r="G1431" s="194">
        <v>2.3111666666666668</v>
      </c>
      <c r="H1431" s="195">
        <v>4.6223333333333336</v>
      </c>
      <c r="I1431" s="212" t="s">
        <v>2354</v>
      </c>
    </row>
    <row r="1432" spans="1:9" x14ac:dyDescent="0.25">
      <c r="A1432" s="193" t="s">
        <v>220</v>
      </c>
      <c r="B1432" s="193" t="s">
        <v>2351</v>
      </c>
      <c r="C1432" s="214" t="s">
        <v>5186</v>
      </c>
      <c r="D1432" s="193" t="s">
        <v>5187</v>
      </c>
      <c r="E1432" s="212" t="s">
        <v>545</v>
      </c>
      <c r="F1432" s="215">
        <v>4</v>
      </c>
      <c r="G1432" s="194">
        <v>1.1559999999999999</v>
      </c>
      <c r="H1432" s="195">
        <v>4.6239999999999997</v>
      </c>
      <c r="I1432" s="212" t="s">
        <v>2354</v>
      </c>
    </row>
    <row r="1433" spans="1:9" x14ac:dyDescent="0.25">
      <c r="A1433" s="193" t="s">
        <v>220</v>
      </c>
      <c r="B1433" s="193" t="s">
        <v>2351</v>
      </c>
      <c r="C1433" s="214" t="s">
        <v>3307</v>
      </c>
      <c r="D1433" s="193" t="s">
        <v>3308</v>
      </c>
      <c r="E1433" s="212" t="s">
        <v>545</v>
      </c>
      <c r="F1433" s="215">
        <v>1</v>
      </c>
      <c r="G1433" s="194">
        <v>4.6580000000000004</v>
      </c>
      <c r="H1433" s="195">
        <v>4.6580000000000004</v>
      </c>
      <c r="I1433" s="212" t="s">
        <v>2354</v>
      </c>
    </row>
    <row r="1434" spans="1:9" x14ac:dyDescent="0.25">
      <c r="A1434" s="193" t="s">
        <v>220</v>
      </c>
      <c r="B1434" s="193" t="s">
        <v>5430</v>
      </c>
      <c r="C1434" s="214" t="s">
        <v>7256</v>
      </c>
      <c r="D1434" s="193" t="s">
        <v>7257</v>
      </c>
      <c r="E1434" s="212" t="s">
        <v>545</v>
      </c>
      <c r="F1434" s="215">
        <v>1</v>
      </c>
      <c r="G1434" s="194">
        <v>4.6749999999999998</v>
      </c>
      <c r="H1434" s="195">
        <v>4.6749999999999998</v>
      </c>
      <c r="I1434" s="212" t="s">
        <v>2354</v>
      </c>
    </row>
    <row r="1435" spans="1:9" x14ac:dyDescent="0.25">
      <c r="A1435" s="193" t="s">
        <v>220</v>
      </c>
      <c r="B1435" s="193" t="s">
        <v>2351</v>
      </c>
      <c r="C1435" s="214" t="s">
        <v>4442</v>
      </c>
      <c r="D1435" s="193" t="s">
        <v>4443</v>
      </c>
      <c r="E1435" s="212" t="s">
        <v>545</v>
      </c>
      <c r="F1435" s="215">
        <v>20</v>
      </c>
      <c r="G1435" s="194">
        <v>0.23452000000000001</v>
      </c>
      <c r="H1435" s="195">
        <v>4.6904000000000003</v>
      </c>
      <c r="I1435" s="212" t="s">
        <v>2354</v>
      </c>
    </row>
    <row r="1436" spans="1:9" x14ac:dyDescent="0.25">
      <c r="A1436" s="193" t="s">
        <v>220</v>
      </c>
      <c r="B1436" s="193" t="s">
        <v>2351</v>
      </c>
      <c r="C1436" s="214" t="s">
        <v>5152</v>
      </c>
      <c r="D1436" s="193" t="s">
        <v>5153</v>
      </c>
      <c r="E1436" s="212" t="s">
        <v>545</v>
      </c>
      <c r="F1436" s="215">
        <v>12</v>
      </c>
      <c r="G1436" s="194">
        <v>0.39100000000000001</v>
      </c>
      <c r="H1436" s="195">
        <v>4.6920000000000002</v>
      </c>
      <c r="I1436" s="212" t="s">
        <v>2354</v>
      </c>
    </row>
    <row r="1437" spans="1:9" x14ac:dyDescent="0.25">
      <c r="A1437" s="193" t="s">
        <v>220</v>
      </c>
      <c r="B1437" s="193" t="s">
        <v>2351</v>
      </c>
      <c r="C1437" s="214" t="s">
        <v>4460</v>
      </c>
      <c r="D1437" s="193" t="s">
        <v>4461</v>
      </c>
      <c r="E1437" s="212" t="s">
        <v>545</v>
      </c>
      <c r="F1437" s="215">
        <v>75</v>
      </c>
      <c r="G1437" s="194">
        <v>6.3960000000000003E-2</v>
      </c>
      <c r="H1437" s="195">
        <v>4.7970000000000006</v>
      </c>
      <c r="I1437" s="212" t="s">
        <v>2354</v>
      </c>
    </row>
    <row r="1438" spans="1:9" x14ac:dyDescent="0.25">
      <c r="A1438" s="193" t="s">
        <v>220</v>
      </c>
      <c r="B1438" s="193" t="s">
        <v>5430</v>
      </c>
      <c r="C1438" s="214" t="s">
        <v>6468</v>
      </c>
      <c r="D1438" s="193" t="s">
        <v>6469</v>
      </c>
      <c r="E1438" s="212" t="s">
        <v>545</v>
      </c>
      <c r="F1438" s="215">
        <v>1</v>
      </c>
      <c r="G1438" s="194">
        <v>4.8140999999999998</v>
      </c>
      <c r="H1438" s="195">
        <v>4.8140999999999998</v>
      </c>
      <c r="I1438" s="212" t="s">
        <v>2354</v>
      </c>
    </row>
    <row r="1439" spans="1:9" x14ac:dyDescent="0.25">
      <c r="A1439" s="193" t="s">
        <v>220</v>
      </c>
      <c r="B1439" s="193" t="s">
        <v>2351</v>
      </c>
      <c r="C1439" s="214" t="s">
        <v>5086</v>
      </c>
      <c r="D1439" s="193" t="s">
        <v>5087</v>
      </c>
      <c r="E1439" s="212" t="s">
        <v>545</v>
      </c>
      <c r="F1439" s="215">
        <v>56</v>
      </c>
      <c r="G1439" s="194">
        <v>8.5980000000000001E-2</v>
      </c>
      <c r="H1439" s="195">
        <v>4.8148800000000005</v>
      </c>
      <c r="I1439" s="212" t="s">
        <v>2354</v>
      </c>
    </row>
    <row r="1440" spans="1:9" x14ac:dyDescent="0.25">
      <c r="A1440" s="193" t="s">
        <v>220</v>
      </c>
      <c r="B1440" s="193" t="s">
        <v>5430</v>
      </c>
      <c r="C1440" s="214" t="s">
        <v>6272</v>
      </c>
      <c r="D1440" s="193" t="s">
        <v>6273</v>
      </c>
      <c r="E1440" s="212" t="s">
        <v>545</v>
      </c>
      <c r="F1440" s="215">
        <v>10</v>
      </c>
      <c r="G1440" s="194">
        <v>0.48166715686274514</v>
      </c>
      <c r="H1440" s="195">
        <v>4.8166715686274513</v>
      </c>
      <c r="I1440" s="212" t="s">
        <v>2354</v>
      </c>
    </row>
    <row r="1441" spans="1:9" x14ac:dyDescent="0.25">
      <c r="A1441" s="193" t="s">
        <v>220</v>
      </c>
      <c r="B1441" s="193" t="s">
        <v>2351</v>
      </c>
      <c r="C1441" s="214" t="s">
        <v>5345</v>
      </c>
      <c r="D1441" s="193" t="s">
        <v>5346</v>
      </c>
      <c r="E1441" s="212" t="s">
        <v>545</v>
      </c>
      <c r="F1441" s="215">
        <v>4</v>
      </c>
      <c r="G1441" s="194">
        <v>1.2050000000000001</v>
      </c>
      <c r="H1441" s="195">
        <v>4.82</v>
      </c>
      <c r="I1441" s="212" t="s">
        <v>2354</v>
      </c>
    </row>
    <row r="1442" spans="1:9" x14ac:dyDescent="0.25">
      <c r="A1442" s="193" t="s">
        <v>220</v>
      </c>
      <c r="B1442" s="193" t="s">
        <v>2351</v>
      </c>
      <c r="C1442" s="214" t="s">
        <v>3335</v>
      </c>
      <c r="D1442" s="193" t="s">
        <v>3336</v>
      </c>
      <c r="E1442" s="212" t="s">
        <v>545</v>
      </c>
      <c r="F1442" s="215">
        <v>16</v>
      </c>
      <c r="G1442" s="194">
        <v>0.30199999999999999</v>
      </c>
      <c r="H1442" s="195">
        <v>4.8319999999999999</v>
      </c>
      <c r="I1442" s="212" t="s">
        <v>2354</v>
      </c>
    </row>
    <row r="1443" spans="1:9" x14ac:dyDescent="0.25">
      <c r="A1443" s="193" t="s">
        <v>220</v>
      </c>
      <c r="B1443" s="193" t="s">
        <v>2351</v>
      </c>
      <c r="C1443" s="214" t="s">
        <v>3383</v>
      </c>
      <c r="D1443" s="193" t="s">
        <v>3384</v>
      </c>
      <c r="E1443" s="212" t="s">
        <v>545</v>
      </c>
      <c r="F1443" s="215">
        <v>1</v>
      </c>
      <c r="G1443" s="194">
        <v>4.8330000000000002</v>
      </c>
      <c r="H1443" s="195">
        <v>4.8330000000000002</v>
      </c>
      <c r="I1443" s="212" t="s">
        <v>2354</v>
      </c>
    </row>
    <row r="1444" spans="1:9" x14ac:dyDescent="0.25">
      <c r="A1444" s="193" t="s">
        <v>220</v>
      </c>
      <c r="B1444" s="193" t="s">
        <v>5430</v>
      </c>
      <c r="C1444" s="214" t="s">
        <v>5869</v>
      </c>
      <c r="D1444" s="193" t="s">
        <v>5870</v>
      </c>
      <c r="E1444" s="212" t="s">
        <v>545</v>
      </c>
      <c r="F1444" s="215">
        <v>1</v>
      </c>
      <c r="G1444" s="194">
        <v>4.9490999999999996</v>
      </c>
      <c r="H1444" s="195">
        <v>4.9490999999999996</v>
      </c>
      <c r="I1444" s="212" t="s">
        <v>2354</v>
      </c>
    </row>
    <row r="1445" spans="1:9" x14ac:dyDescent="0.25">
      <c r="A1445" s="193" t="s">
        <v>220</v>
      </c>
      <c r="B1445" s="193" t="s">
        <v>5430</v>
      </c>
      <c r="C1445" s="214" t="s">
        <v>6861</v>
      </c>
      <c r="D1445" s="193" t="s">
        <v>6862</v>
      </c>
      <c r="E1445" s="212" t="s">
        <v>545</v>
      </c>
      <c r="F1445" s="215">
        <v>1</v>
      </c>
      <c r="G1445" s="194">
        <v>4.9793000000000003</v>
      </c>
      <c r="H1445" s="195">
        <v>4.9793000000000003</v>
      </c>
      <c r="I1445" s="212" t="s">
        <v>2354</v>
      </c>
    </row>
    <row r="1446" spans="1:9" x14ac:dyDescent="0.25">
      <c r="A1446" s="193" t="s">
        <v>220</v>
      </c>
      <c r="B1446" s="193" t="s">
        <v>2351</v>
      </c>
      <c r="C1446" s="214" t="s">
        <v>4458</v>
      </c>
      <c r="D1446" s="193" t="s">
        <v>4459</v>
      </c>
      <c r="E1446" s="212" t="s">
        <v>545</v>
      </c>
      <c r="F1446" s="215">
        <v>78</v>
      </c>
      <c r="G1446" s="194">
        <v>6.3960000000000003E-2</v>
      </c>
      <c r="H1446" s="195">
        <v>4.98888</v>
      </c>
      <c r="I1446" s="212" t="s">
        <v>2354</v>
      </c>
    </row>
    <row r="1447" spans="1:9" x14ac:dyDescent="0.25">
      <c r="A1447" s="193" t="s">
        <v>220</v>
      </c>
      <c r="B1447" s="193" t="s">
        <v>2351</v>
      </c>
      <c r="C1447" s="214" t="s">
        <v>3183</v>
      </c>
      <c r="D1447" s="193" t="s">
        <v>3184</v>
      </c>
      <c r="E1447" s="212" t="s">
        <v>545</v>
      </c>
      <c r="F1447" s="215">
        <v>13</v>
      </c>
      <c r="G1447" s="194">
        <v>0.38900000000000001</v>
      </c>
      <c r="H1447" s="195">
        <v>5.0570000000000004</v>
      </c>
      <c r="I1447" s="212" t="s">
        <v>2354</v>
      </c>
    </row>
    <row r="1448" spans="1:9" x14ac:dyDescent="0.25">
      <c r="A1448" s="193" t="s">
        <v>220</v>
      </c>
      <c r="B1448" s="193" t="s">
        <v>5430</v>
      </c>
      <c r="C1448" s="214" t="s">
        <v>4185</v>
      </c>
      <c r="D1448" s="193" t="s">
        <v>4186</v>
      </c>
      <c r="E1448" s="212" t="s">
        <v>545</v>
      </c>
      <c r="F1448" s="215">
        <v>8</v>
      </c>
      <c r="G1448" s="194">
        <v>0.63749999999999996</v>
      </c>
      <c r="H1448" s="195">
        <v>5.0999999999999996</v>
      </c>
      <c r="I1448" s="212" t="s">
        <v>2354</v>
      </c>
    </row>
    <row r="1449" spans="1:9" x14ac:dyDescent="0.25">
      <c r="A1449" s="193" t="s">
        <v>220</v>
      </c>
      <c r="B1449" s="193" t="s">
        <v>5430</v>
      </c>
      <c r="C1449" s="214" t="s">
        <v>6587</v>
      </c>
      <c r="D1449" s="193" t="s">
        <v>6588</v>
      </c>
      <c r="E1449" s="212" t="s">
        <v>545</v>
      </c>
      <c r="F1449" s="215">
        <v>10</v>
      </c>
      <c r="G1449" s="194">
        <v>0.51</v>
      </c>
      <c r="H1449" s="195">
        <v>5.0999999999999996</v>
      </c>
      <c r="I1449" s="212" t="s">
        <v>2354</v>
      </c>
    </row>
    <row r="1450" spans="1:9" x14ac:dyDescent="0.25">
      <c r="A1450" s="193" t="s">
        <v>220</v>
      </c>
      <c r="B1450" s="193" t="s">
        <v>5430</v>
      </c>
      <c r="C1450" s="214" t="s">
        <v>3527</v>
      </c>
      <c r="D1450" s="193" t="s">
        <v>3528</v>
      </c>
      <c r="E1450" s="212" t="s">
        <v>545</v>
      </c>
      <c r="F1450" s="215">
        <v>5</v>
      </c>
      <c r="G1450" s="194">
        <v>1.0250999999999999</v>
      </c>
      <c r="H1450" s="195">
        <v>5.1254999999999997</v>
      </c>
      <c r="I1450" s="212" t="s">
        <v>2354</v>
      </c>
    </row>
    <row r="1451" spans="1:9" x14ac:dyDescent="0.25">
      <c r="A1451" s="193" t="s">
        <v>220</v>
      </c>
      <c r="B1451" s="193" t="s">
        <v>2351</v>
      </c>
      <c r="C1451" s="214" t="s">
        <v>3277</v>
      </c>
      <c r="D1451" s="193" t="s">
        <v>3278</v>
      </c>
      <c r="E1451" s="212" t="s">
        <v>545</v>
      </c>
      <c r="F1451" s="215">
        <v>5</v>
      </c>
      <c r="G1451" s="194">
        <v>1.048</v>
      </c>
      <c r="H1451" s="195">
        <v>5.24</v>
      </c>
      <c r="I1451" s="212" t="s">
        <v>2354</v>
      </c>
    </row>
    <row r="1452" spans="1:9" x14ac:dyDescent="0.25">
      <c r="A1452" s="193" t="s">
        <v>220</v>
      </c>
      <c r="B1452" s="193" t="s">
        <v>5430</v>
      </c>
      <c r="C1452" s="214" t="s">
        <v>6575</v>
      </c>
      <c r="D1452" s="193" t="s">
        <v>6576</v>
      </c>
      <c r="E1452" s="212" t="s">
        <v>545</v>
      </c>
      <c r="F1452" s="215">
        <v>2</v>
      </c>
      <c r="G1452" s="194">
        <v>2.6433</v>
      </c>
      <c r="H1452" s="195">
        <v>5.2866</v>
      </c>
      <c r="I1452" s="212" t="s">
        <v>2354</v>
      </c>
    </row>
    <row r="1453" spans="1:9" x14ac:dyDescent="0.25">
      <c r="A1453" s="193" t="s">
        <v>220</v>
      </c>
      <c r="B1453" s="193" t="s">
        <v>2351</v>
      </c>
      <c r="C1453" s="214" t="s">
        <v>4444</v>
      </c>
      <c r="D1453" s="193" t="s">
        <v>4445</v>
      </c>
      <c r="E1453" s="212" t="s">
        <v>545</v>
      </c>
      <c r="F1453" s="215">
        <v>21</v>
      </c>
      <c r="G1453" s="194">
        <v>0.252</v>
      </c>
      <c r="H1453" s="195">
        <v>5.2919999999999998</v>
      </c>
      <c r="I1453" s="212" t="s">
        <v>2354</v>
      </c>
    </row>
    <row r="1454" spans="1:9" x14ac:dyDescent="0.25">
      <c r="A1454" s="193" t="s">
        <v>220</v>
      </c>
      <c r="B1454" s="193" t="s">
        <v>5430</v>
      </c>
      <c r="C1454" s="214" t="s">
        <v>4147</v>
      </c>
      <c r="D1454" s="193" t="s">
        <v>4148</v>
      </c>
      <c r="E1454" s="212" t="s">
        <v>545</v>
      </c>
      <c r="F1454" s="215">
        <v>5</v>
      </c>
      <c r="G1454" s="194">
        <v>1.067278911564626</v>
      </c>
      <c r="H1454" s="195">
        <v>5.3363945578231302</v>
      </c>
      <c r="I1454" s="212" t="s">
        <v>2354</v>
      </c>
    </row>
    <row r="1455" spans="1:9" x14ac:dyDescent="0.25">
      <c r="A1455" s="193" t="s">
        <v>220</v>
      </c>
      <c r="B1455" s="193" t="s">
        <v>2351</v>
      </c>
      <c r="C1455" s="214" t="s">
        <v>3943</v>
      </c>
      <c r="D1455" s="193" t="s">
        <v>3944</v>
      </c>
      <c r="E1455" s="212" t="s">
        <v>545</v>
      </c>
      <c r="F1455" s="215">
        <v>3</v>
      </c>
      <c r="G1455" s="194">
        <v>1.7869999999999999</v>
      </c>
      <c r="H1455" s="195">
        <v>5.3609999999999998</v>
      </c>
      <c r="I1455" s="212" t="s">
        <v>2354</v>
      </c>
    </row>
    <row r="1456" spans="1:9" x14ac:dyDescent="0.25">
      <c r="A1456" s="193" t="s">
        <v>220</v>
      </c>
      <c r="B1456" s="193" t="s">
        <v>2351</v>
      </c>
      <c r="C1456" s="214" t="s">
        <v>5386</v>
      </c>
      <c r="D1456" s="193" t="s">
        <v>5387</v>
      </c>
      <c r="E1456" s="212" t="s">
        <v>545</v>
      </c>
      <c r="F1456" s="215">
        <v>120</v>
      </c>
      <c r="G1456" s="194">
        <v>4.505E-2</v>
      </c>
      <c r="H1456" s="195">
        <v>5.4059999999999997</v>
      </c>
      <c r="I1456" s="212" t="s">
        <v>2354</v>
      </c>
    </row>
    <row r="1457" spans="1:9" x14ac:dyDescent="0.25">
      <c r="A1457" s="193" t="s">
        <v>220</v>
      </c>
      <c r="B1457" s="193" t="s">
        <v>2351</v>
      </c>
      <c r="C1457" s="214" t="s">
        <v>4464</v>
      </c>
      <c r="D1457" s="193" t="s">
        <v>4465</v>
      </c>
      <c r="E1457" s="212" t="s">
        <v>545</v>
      </c>
      <c r="F1457" s="215">
        <v>85</v>
      </c>
      <c r="G1457" s="194">
        <v>6.3960000000000003E-2</v>
      </c>
      <c r="H1457" s="195">
        <v>5.4366000000000003</v>
      </c>
      <c r="I1457" s="212" t="s">
        <v>2354</v>
      </c>
    </row>
    <row r="1458" spans="1:9" x14ac:dyDescent="0.25">
      <c r="A1458" s="193" t="s">
        <v>220</v>
      </c>
      <c r="B1458" s="193" t="s">
        <v>2351</v>
      </c>
      <c r="C1458" s="214" t="s">
        <v>3513</v>
      </c>
      <c r="D1458" s="193" t="s">
        <v>3514</v>
      </c>
      <c r="E1458" s="212" t="s">
        <v>545</v>
      </c>
      <c r="F1458" s="215">
        <v>2</v>
      </c>
      <c r="G1458" s="194">
        <v>2.7709999999999999</v>
      </c>
      <c r="H1458" s="195">
        <v>5.5419999999999998</v>
      </c>
      <c r="I1458" s="212" t="s">
        <v>2354</v>
      </c>
    </row>
    <row r="1459" spans="1:9" x14ac:dyDescent="0.25">
      <c r="A1459" s="193" t="s">
        <v>220</v>
      </c>
      <c r="B1459" s="193" t="s">
        <v>5430</v>
      </c>
      <c r="C1459" s="214" t="s">
        <v>7348</v>
      </c>
      <c r="D1459" s="193" t="s">
        <v>7349</v>
      </c>
      <c r="E1459" s="212" t="s">
        <v>545</v>
      </c>
      <c r="F1459" s="215">
        <v>2</v>
      </c>
      <c r="G1459" s="194">
        <v>2.7861500000000001</v>
      </c>
      <c r="H1459" s="195">
        <v>5.5723000000000003</v>
      </c>
      <c r="I1459" s="212" t="s">
        <v>2354</v>
      </c>
    </row>
    <row r="1460" spans="1:9" x14ac:dyDescent="0.25">
      <c r="A1460" s="193" t="s">
        <v>220</v>
      </c>
      <c r="B1460" s="193" t="s">
        <v>5430</v>
      </c>
      <c r="C1460" s="214" t="s">
        <v>5917</v>
      </c>
      <c r="D1460" s="193" t="s">
        <v>5918</v>
      </c>
      <c r="E1460" s="212" t="s">
        <v>545</v>
      </c>
      <c r="F1460" s="215">
        <v>1</v>
      </c>
      <c r="G1460" s="194">
        <v>5.58</v>
      </c>
      <c r="H1460" s="195">
        <v>5.58</v>
      </c>
      <c r="I1460" s="212" t="s">
        <v>2354</v>
      </c>
    </row>
    <row r="1461" spans="1:9" x14ac:dyDescent="0.25">
      <c r="A1461" s="193" t="s">
        <v>220</v>
      </c>
      <c r="B1461" s="193" t="s">
        <v>2351</v>
      </c>
      <c r="C1461" s="214" t="s">
        <v>4446</v>
      </c>
      <c r="D1461" s="193" t="s">
        <v>4447</v>
      </c>
      <c r="E1461" s="212" t="s">
        <v>545</v>
      </c>
      <c r="F1461" s="215">
        <v>15</v>
      </c>
      <c r="G1461" s="194">
        <v>0.37309999999999999</v>
      </c>
      <c r="H1461" s="195">
        <v>5.5964999999999998</v>
      </c>
      <c r="I1461" s="212" t="s">
        <v>2354</v>
      </c>
    </row>
    <row r="1462" spans="1:9" x14ac:dyDescent="0.25">
      <c r="A1462" s="193" t="s">
        <v>220</v>
      </c>
      <c r="B1462" s="193" t="s">
        <v>2351</v>
      </c>
      <c r="C1462" s="214" t="s">
        <v>3525</v>
      </c>
      <c r="D1462" s="193" t="s">
        <v>3526</v>
      </c>
      <c r="E1462" s="212" t="s">
        <v>545</v>
      </c>
      <c r="F1462" s="215">
        <v>7</v>
      </c>
      <c r="G1462" s="194">
        <v>0.8075</v>
      </c>
      <c r="H1462" s="195">
        <v>5.6524999999999999</v>
      </c>
      <c r="I1462" s="212" t="s">
        <v>2354</v>
      </c>
    </row>
    <row r="1463" spans="1:9" x14ac:dyDescent="0.25">
      <c r="A1463" s="193" t="s">
        <v>220</v>
      </c>
      <c r="B1463" s="193" t="s">
        <v>2351</v>
      </c>
      <c r="C1463" s="214" t="s">
        <v>4758</v>
      </c>
      <c r="D1463" s="193" t="s">
        <v>4759</v>
      </c>
      <c r="E1463" s="212" t="s">
        <v>545</v>
      </c>
      <c r="F1463" s="215">
        <v>98</v>
      </c>
      <c r="G1463" s="194">
        <v>5.8009999999999999E-2</v>
      </c>
      <c r="H1463" s="195">
        <v>5.6849799999999995</v>
      </c>
      <c r="I1463" s="212" t="s">
        <v>2354</v>
      </c>
    </row>
    <row r="1464" spans="1:9" x14ac:dyDescent="0.25">
      <c r="A1464" s="193" t="s">
        <v>220</v>
      </c>
      <c r="B1464" s="193" t="s">
        <v>5430</v>
      </c>
      <c r="C1464" s="214" t="s">
        <v>5915</v>
      </c>
      <c r="D1464" s="193" t="s">
        <v>5916</v>
      </c>
      <c r="E1464" s="212" t="s">
        <v>545</v>
      </c>
      <c r="F1464" s="215">
        <v>1</v>
      </c>
      <c r="G1464" s="194">
        <v>5.7366000000000001</v>
      </c>
      <c r="H1464" s="195">
        <v>5.7366000000000001</v>
      </c>
      <c r="I1464" s="212" t="s">
        <v>2354</v>
      </c>
    </row>
    <row r="1465" spans="1:9" x14ac:dyDescent="0.25">
      <c r="A1465" s="193" t="s">
        <v>220</v>
      </c>
      <c r="B1465" s="193" t="s">
        <v>2351</v>
      </c>
      <c r="C1465" s="214" t="s">
        <v>4145</v>
      </c>
      <c r="D1465" s="193" t="s">
        <v>4146</v>
      </c>
      <c r="E1465" s="212" t="s">
        <v>545</v>
      </c>
      <c r="F1465" s="215">
        <v>22</v>
      </c>
      <c r="G1465" s="194">
        <v>0.26371428571428573</v>
      </c>
      <c r="H1465" s="195">
        <v>5.8017142857142865</v>
      </c>
      <c r="I1465" s="212" t="s">
        <v>2354</v>
      </c>
    </row>
    <row r="1466" spans="1:9" x14ac:dyDescent="0.25">
      <c r="A1466" s="193" t="s">
        <v>220</v>
      </c>
      <c r="B1466" s="193" t="s">
        <v>2351</v>
      </c>
      <c r="C1466" s="214" t="s">
        <v>2938</v>
      </c>
      <c r="D1466" s="193" t="s">
        <v>2939</v>
      </c>
      <c r="E1466" s="212" t="s">
        <v>545</v>
      </c>
      <c r="F1466" s="215">
        <v>3</v>
      </c>
      <c r="G1466" s="194">
        <v>1.9431</v>
      </c>
      <c r="H1466" s="195">
        <v>5.8292999999999999</v>
      </c>
      <c r="I1466" s="212" t="s">
        <v>2354</v>
      </c>
    </row>
    <row r="1467" spans="1:9" x14ac:dyDescent="0.25">
      <c r="A1467" s="193" t="s">
        <v>220</v>
      </c>
      <c r="B1467" s="193" t="s">
        <v>2351</v>
      </c>
      <c r="C1467" s="214" t="s">
        <v>5102</v>
      </c>
      <c r="D1467" s="193" t="s">
        <v>5103</v>
      </c>
      <c r="E1467" s="212" t="s">
        <v>545</v>
      </c>
      <c r="F1467" s="215">
        <v>22</v>
      </c>
      <c r="G1467" s="194">
        <v>0.26656000000000002</v>
      </c>
      <c r="H1467" s="195">
        <v>5.8643200000000002</v>
      </c>
      <c r="I1467" s="212" t="s">
        <v>2354</v>
      </c>
    </row>
    <row r="1468" spans="1:9" x14ac:dyDescent="0.25">
      <c r="A1468" s="193" t="s">
        <v>220</v>
      </c>
      <c r="B1468" s="193" t="s">
        <v>2351</v>
      </c>
      <c r="C1468" s="214" t="s">
        <v>4191</v>
      </c>
      <c r="D1468" s="193" t="s">
        <v>4192</v>
      </c>
      <c r="E1468" s="212" t="s">
        <v>545</v>
      </c>
      <c r="F1468" s="215">
        <v>14</v>
      </c>
      <c r="G1468" s="194">
        <v>0.42415254237288136</v>
      </c>
      <c r="H1468" s="195">
        <v>5.9381355932203395</v>
      </c>
      <c r="I1468" s="212" t="s">
        <v>2354</v>
      </c>
    </row>
    <row r="1469" spans="1:9" x14ac:dyDescent="0.25">
      <c r="A1469" s="193" t="s">
        <v>220</v>
      </c>
      <c r="B1469" s="193" t="s">
        <v>5430</v>
      </c>
      <c r="C1469" s="214" t="s">
        <v>4959</v>
      </c>
      <c r="D1469" s="193" t="s">
        <v>4960</v>
      </c>
      <c r="E1469" s="212" t="s">
        <v>545</v>
      </c>
      <c r="F1469" s="215">
        <v>21</v>
      </c>
      <c r="G1469" s="194">
        <v>0.28334745762711866</v>
      </c>
      <c r="H1469" s="195">
        <v>5.9502966101694916</v>
      </c>
      <c r="I1469" s="212" t="s">
        <v>2354</v>
      </c>
    </row>
    <row r="1470" spans="1:9" x14ac:dyDescent="0.25">
      <c r="A1470" s="193" t="s">
        <v>220</v>
      </c>
      <c r="B1470" s="193" t="s">
        <v>2351</v>
      </c>
      <c r="C1470" s="214" t="s">
        <v>5198</v>
      </c>
      <c r="D1470" s="193" t="s">
        <v>5199</v>
      </c>
      <c r="E1470" s="212" t="s">
        <v>545</v>
      </c>
      <c r="F1470" s="215">
        <v>6</v>
      </c>
      <c r="G1470" s="194">
        <v>1.0025999999999999</v>
      </c>
      <c r="H1470" s="195">
        <v>6.0155999999999992</v>
      </c>
      <c r="I1470" s="212" t="s">
        <v>2354</v>
      </c>
    </row>
    <row r="1471" spans="1:9" x14ac:dyDescent="0.25">
      <c r="A1471" s="193" t="s">
        <v>220</v>
      </c>
      <c r="B1471" s="193" t="s">
        <v>2351</v>
      </c>
      <c r="C1471" s="214" t="s">
        <v>4782</v>
      </c>
      <c r="D1471" s="193" t="s">
        <v>4783</v>
      </c>
      <c r="E1471" s="212" t="s">
        <v>545</v>
      </c>
      <c r="F1471" s="215">
        <v>35</v>
      </c>
      <c r="G1471" s="194">
        <v>0.17199999999999999</v>
      </c>
      <c r="H1471" s="195">
        <v>6.02</v>
      </c>
      <c r="I1471" s="212" t="s">
        <v>2354</v>
      </c>
    </row>
    <row r="1472" spans="1:9" x14ac:dyDescent="0.25">
      <c r="A1472" s="193" t="s">
        <v>220</v>
      </c>
      <c r="B1472" s="193" t="s">
        <v>2351</v>
      </c>
      <c r="C1472" s="214" t="s">
        <v>5374</v>
      </c>
      <c r="D1472" s="193" t="s">
        <v>5375</v>
      </c>
      <c r="E1472" s="212" t="s">
        <v>545</v>
      </c>
      <c r="F1472" s="215">
        <v>210</v>
      </c>
      <c r="G1472" s="194">
        <v>2.8799999999999999E-2</v>
      </c>
      <c r="H1472" s="195">
        <v>6.048</v>
      </c>
      <c r="I1472" s="212" t="s">
        <v>2354</v>
      </c>
    </row>
    <row r="1473" spans="1:9" x14ac:dyDescent="0.25">
      <c r="A1473" s="193" t="s">
        <v>220</v>
      </c>
      <c r="B1473" s="193" t="s">
        <v>2351</v>
      </c>
      <c r="C1473" s="214" t="s">
        <v>5202</v>
      </c>
      <c r="D1473" s="193" t="s">
        <v>5203</v>
      </c>
      <c r="E1473" s="212" t="s">
        <v>545</v>
      </c>
      <c r="F1473" s="215">
        <v>8</v>
      </c>
      <c r="G1473" s="194">
        <v>0.75700000000000001</v>
      </c>
      <c r="H1473" s="195">
        <v>6.056</v>
      </c>
      <c r="I1473" s="212" t="s">
        <v>2354</v>
      </c>
    </row>
    <row r="1474" spans="1:9" x14ac:dyDescent="0.25">
      <c r="A1474" s="193" t="s">
        <v>220</v>
      </c>
      <c r="B1474" s="193" t="s">
        <v>2351</v>
      </c>
      <c r="C1474" s="214" t="s">
        <v>4462</v>
      </c>
      <c r="D1474" s="193" t="s">
        <v>4463</v>
      </c>
      <c r="E1474" s="212" t="s">
        <v>545</v>
      </c>
      <c r="F1474" s="215">
        <v>95</v>
      </c>
      <c r="G1474" s="194">
        <v>6.3960000000000003E-2</v>
      </c>
      <c r="H1474" s="195">
        <v>6.0762</v>
      </c>
      <c r="I1474" s="212" t="s">
        <v>2354</v>
      </c>
    </row>
    <row r="1475" spans="1:9" x14ac:dyDescent="0.25">
      <c r="A1475" s="193" t="s">
        <v>220</v>
      </c>
      <c r="B1475" s="193" t="s">
        <v>2351</v>
      </c>
      <c r="C1475" s="214" t="s">
        <v>3785</v>
      </c>
      <c r="D1475" s="193" t="s">
        <v>3786</v>
      </c>
      <c r="E1475" s="212" t="s">
        <v>545</v>
      </c>
      <c r="F1475" s="215">
        <v>1</v>
      </c>
      <c r="G1475" s="194">
        <v>6.1020500000000002</v>
      </c>
      <c r="H1475" s="195">
        <v>6.1020500000000002</v>
      </c>
      <c r="I1475" s="212" t="s">
        <v>2354</v>
      </c>
    </row>
    <row r="1476" spans="1:9" x14ac:dyDescent="0.25">
      <c r="A1476" s="193" t="s">
        <v>220</v>
      </c>
      <c r="B1476" s="193" t="s">
        <v>2351</v>
      </c>
      <c r="C1476" s="214" t="s">
        <v>3657</v>
      </c>
      <c r="D1476" s="193" t="s">
        <v>3658</v>
      </c>
      <c r="E1476" s="212" t="s">
        <v>545</v>
      </c>
      <c r="F1476" s="215">
        <v>1</v>
      </c>
      <c r="G1476" s="194">
        <v>6.2409999999999997</v>
      </c>
      <c r="H1476" s="195">
        <v>6.2409999999999997</v>
      </c>
      <c r="I1476" s="212" t="s">
        <v>2354</v>
      </c>
    </row>
    <row r="1477" spans="1:9" x14ac:dyDescent="0.25">
      <c r="A1477" s="193" t="s">
        <v>220</v>
      </c>
      <c r="B1477" s="193" t="s">
        <v>5430</v>
      </c>
      <c r="C1477" s="214" t="s">
        <v>6868</v>
      </c>
      <c r="D1477" s="193" t="s">
        <v>6869</v>
      </c>
      <c r="E1477" s="212" t="s">
        <v>545</v>
      </c>
      <c r="F1477" s="215">
        <v>2</v>
      </c>
      <c r="G1477" s="194">
        <v>3.15</v>
      </c>
      <c r="H1477" s="195">
        <v>6.3</v>
      </c>
      <c r="I1477" s="212" t="s">
        <v>2354</v>
      </c>
    </row>
    <row r="1478" spans="1:9" x14ac:dyDescent="0.25">
      <c r="A1478" s="193" t="s">
        <v>220</v>
      </c>
      <c r="B1478" s="193" t="s">
        <v>5430</v>
      </c>
      <c r="C1478" s="214" t="s">
        <v>7012</v>
      </c>
      <c r="D1478" s="193" t="s">
        <v>7013</v>
      </c>
      <c r="E1478" s="212" t="s">
        <v>545</v>
      </c>
      <c r="F1478" s="215">
        <v>142</v>
      </c>
      <c r="G1478" s="194">
        <v>4.4640000000000006E-2</v>
      </c>
      <c r="H1478" s="195">
        <v>6.3388800000000005</v>
      </c>
      <c r="I1478" s="212" t="s">
        <v>2354</v>
      </c>
    </row>
    <row r="1479" spans="1:9" x14ac:dyDescent="0.25">
      <c r="A1479" s="193" t="s">
        <v>220</v>
      </c>
      <c r="B1479" s="193" t="s">
        <v>2351</v>
      </c>
      <c r="C1479" s="214" t="s">
        <v>4466</v>
      </c>
      <c r="D1479" s="193" t="s">
        <v>4467</v>
      </c>
      <c r="E1479" s="212" t="s">
        <v>545</v>
      </c>
      <c r="F1479" s="215">
        <v>100</v>
      </c>
      <c r="G1479" s="194">
        <v>6.3960000000000003E-2</v>
      </c>
      <c r="H1479" s="195">
        <v>6.3959999999999999</v>
      </c>
      <c r="I1479" s="212" t="s">
        <v>2354</v>
      </c>
    </row>
    <row r="1480" spans="1:9" x14ac:dyDescent="0.25">
      <c r="A1480" s="193" t="s">
        <v>220</v>
      </c>
      <c r="B1480" s="193" t="s">
        <v>2351</v>
      </c>
      <c r="C1480" s="214" t="s">
        <v>4468</v>
      </c>
      <c r="D1480" s="193" t="s">
        <v>4469</v>
      </c>
      <c r="E1480" s="212" t="s">
        <v>545</v>
      </c>
      <c r="F1480" s="215">
        <v>100</v>
      </c>
      <c r="G1480" s="194">
        <v>6.3960000000000003E-2</v>
      </c>
      <c r="H1480" s="195">
        <v>6.3959999999999999</v>
      </c>
      <c r="I1480" s="212" t="s">
        <v>2354</v>
      </c>
    </row>
    <row r="1481" spans="1:9" x14ac:dyDescent="0.25">
      <c r="A1481" s="193" t="s">
        <v>220</v>
      </c>
      <c r="B1481" s="193" t="s">
        <v>2351</v>
      </c>
      <c r="C1481" s="214" t="s">
        <v>4470</v>
      </c>
      <c r="D1481" s="193" t="s">
        <v>4471</v>
      </c>
      <c r="E1481" s="212" t="s">
        <v>545</v>
      </c>
      <c r="F1481" s="215">
        <v>100</v>
      </c>
      <c r="G1481" s="194">
        <v>6.3960000000000003E-2</v>
      </c>
      <c r="H1481" s="195">
        <v>6.3959999999999999</v>
      </c>
      <c r="I1481" s="212" t="s">
        <v>2354</v>
      </c>
    </row>
    <row r="1482" spans="1:9" x14ac:dyDescent="0.25">
      <c r="A1482" s="193" t="s">
        <v>220</v>
      </c>
      <c r="B1482" s="193" t="s">
        <v>2351</v>
      </c>
      <c r="C1482" s="214" t="s">
        <v>5116</v>
      </c>
      <c r="D1482" s="193" t="s">
        <v>5117</v>
      </c>
      <c r="E1482" s="212" t="s">
        <v>545</v>
      </c>
      <c r="F1482" s="215">
        <v>123</v>
      </c>
      <c r="G1482" s="194">
        <v>5.1999999999999998E-2</v>
      </c>
      <c r="H1482" s="195">
        <v>6.3959999999999999</v>
      </c>
      <c r="I1482" s="212" t="s">
        <v>2354</v>
      </c>
    </row>
    <row r="1483" spans="1:9" x14ac:dyDescent="0.25">
      <c r="A1483" s="193" t="s">
        <v>220</v>
      </c>
      <c r="B1483" s="193" t="s">
        <v>2351</v>
      </c>
      <c r="C1483" s="214" t="s">
        <v>4716</v>
      </c>
      <c r="D1483" s="193" t="s">
        <v>4717</v>
      </c>
      <c r="E1483" s="212" t="s">
        <v>545</v>
      </c>
      <c r="F1483" s="215">
        <v>25</v>
      </c>
      <c r="G1483" s="194">
        <v>0.25700000000000001</v>
      </c>
      <c r="H1483" s="195">
        <v>6.4249999999999998</v>
      </c>
      <c r="I1483" s="212" t="s">
        <v>2354</v>
      </c>
    </row>
    <row r="1484" spans="1:9" x14ac:dyDescent="0.25">
      <c r="A1484" s="193" t="s">
        <v>220</v>
      </c>
      <c r="B1484" s="193" t="s">
        <v>5430</v>
      </c>
      <c r="C1484" s="214" t="s">
        <v>5881</v>
      </c>
      <c r="D1484" s="193" t="s">
        <v>5882</v>
      </c>
      <c r="E1484" s="212" t="s">
        <v>545</v>
      </c>
      <c r="F1484" s="215">
        <v>3</v>
      </c>
      <c r="G1484" s="194">
        <v>2.1429</v>
      </c>
      <c r="H1484" s="195">
        <v>6.4287000000000001</v>
      </c>
      <c r="I1484" s="212" t="s">
        <v>2354</v>
      </c>
    </row>
    <row r="1485" spans="1:9" x14ac:dyDescent="0.25">
      <c r="A1485" s="193" t="s">
        <v>220</v>
      </c>
      <c r="B1485" s="193" t="s">
        <v>5430</v>
      </c>
      <c r="C1485" s="214" t="s">
        <v>7227</v>
      </c>
      <c r="D1485" s="193" t="s">
        <v>7228</v>
      </c>
      <c r="E1485" s="212" t="s">
        <v>545</v>
      </c>
      <c r="F1485" s="215">
        <v>1</v>
      </c>
      <c r="G1485" s="194">
        <v>6.4349999999999996</v>
      </c>
      <c r="H1485" s="195">
        <v>6.4349999999999996</v>
      </c>
      <c r="I1485" s="212" t="s">
        <v>2354</v>
      </c>
    </row>
    <row r="1486" spans="1:9" x14ac:dyDescent="0.25">
      <c r="A1486" s="193" t="s">
        <v>220</v>
      </c>
      <c r="B1486" s="193" t="s">
        <v>5430</v>
      </c>
      <c r="C1486" s="214" t="s">
        <v>4921</v>
      </c>
      <c r="D1486" s="193" t="s">
        <v>4922</v>
      </c>
      <c r="E1486" s="212" t="s">
        <v>545</v>
      </c>
      <c r="F1486" s="215">
        <v>280</v>
      </c>
      <c r="G1486" s="194">
        <v>2.3E-2</v>
      </c>
      <c r="H1486" s="195">
        <v>6.4399999999999995</v>
      </c>
      <c r="I1486" s="212" t="s">
        <v>2354</v>
      </c>
    </row>
    <row r="1487" spans="1:9" x14ac:dyDescent="0.25">
      <c r="A1487" s="193" t="s">
        <v>220</v>
      </c>
      <c r="B1487" s="193" t="s">
        <v>5430</v>
      </c>
      <c r="C1487" s="214" t="s">
        <v>5887</v>
      </c>
      <c r="D1487" s="193" t="s">
        <v>5888</v>
      </c>
      <c r="E1487" s="212" t="s">
        <v>545</v>
      </c>
      <c r="F1487" s="215">
        <v>2</v>
      </c>
      <c r="G1487" s="194">
        <v>3.2309999999999999</v>
      </c>
      <c r="H1487" s="195">
        <v>6.4619999999999997</v>
      </c>
      <c r="I1487" s="212" t="s">
        <v>2354</v>
      </c>
    </row>
    <row r="1488" spans="1:9" x14ac:dyDescent="0.25">
      <c r="A1488" s="193" t="s">
        <v>220</v>
      </c>
      <c r="B1488" s="193" t="s">
        <v>5430</v>
      </c>
      <c r="C1488" s="214" t="s">
        <v>4071</v>
      </c>
      <c r="D1488" s="193" t="s">
        <v>4072</v>
      </c>
      <c r="E1488" s="212" t="s">
        <v>2473</v>
      </c>
      <c r="F1488" s="215">
        <v>56</v>
      </c>
      <c r="G1488" s="194">
        <v>0.11814</v>
      </c>
      <c r="H1488" s="195">
        <v>6.6158399999999995</v>
      </c>
      <c r="I1488" s="212" t="s">
        <v>2354</v>
      </c>
    </row>
    <row r="1489" spans="1:9" x14ac:dyDescent="0.25">
      <c r="A1489" s="193" t="s">
        <v>220</v>
      </c>
      <c r="B1489" s="193" t="s">
        <v>2351</v>
      </c>
      <c r="C1489" s="214" t="s">
        <v>3393</v>
      </c>
      <c r="D1489" s="193" t="s">
        <v>3394</v>
      </c>
      <c r="E1489" s="212" t="s">
        <v>545</v>
      </c>
      <c r="F1489" s="215">
        <v>2</v>
      </c>
      <c r="G1489" s="194">
        <v>3.3359999999999999</v>
      </c>
      <c r="H1489" s="195">
        <v>6.6719999999999997</v>
      </c>
      <c r="I1489" s="212" t="s">
        <v>2354</v>
      </c>
    </row>
    <row r="1490" spans="1:9" x14ac:dyDescent="0.25">
      <c r="A1490" s="193" t="s">
        <v>220</v>
      </c>
      <c r="B1490" s="193" t="s">
        <v>2351</v>
      </c>
      <c r="C1490" s="214" t="s">
        <v>5218</v>
      </c>
      <c r="D1490" s="193" t="s">
        <v>5219</v>
      </c>
      <c r="E1490" s="212" t="s">
        <v>545</v>
      </c>
      <c r="F1490" s="215">
        <v>1</v>
      </c>
      <c r="G1490" s="194">
        <v>6.718</v>
      </c>
      <c r="H1490" s="195">
        <v>6.718</v>
      </c>
      <c r="I1490" s="212" t="s">
        <v>2354</v>
      </c>
    </row>
    <row r="1491" spans="1:9" x14ac:dyDescent="0.25">
      <c r="A1491" s="193" t="s">
        <v>220</v>
      </c>
      <c r="B1491" s="193" t="s">
        <v>2351</v>
      </c>
      <c r="C1491" s="214" t="s">
        <v>4963</v>
      </c>
      <c r="D1491" s="193" t="s">
        <v>4964</v>
      </c>
      <c r="E1491" s="212" t="s">
        <v>545</v>
      </c>
      <c r="F1491" s="215">
        <v>3</v>
      </c>
      <c r="G1491" s="194">
        <v>2.2429999999999999</v>
      </c>
      <c r="H1491" s="195">
        <v>6.7289999999999992</v>
      </c>
      <c r="I1491" s="212" t="s">
        <v>2354</v>
      </c>
    </row>
    <row r="1492" spans="1:9" x14ac:dyDescent="0.25">
      <c r="A1492" s="193" t="s">
        <v>220</v>
      </c>
      <c r="B1492" s="193" t="s">
        <v>5430</v>
      </c>
      <c r="C1492" s="214" t="s">
        <v>6276</v>
      </c>
      <c r="D1492" s="193" t="s">
        <v>6277</v>
      </c>
      <c r="E1492" s="212" t="s">
        <v>545</v>
      </c>
      <c r="F1492" s="215">
        <v>3</v>
      </c>
      <c r="G1492" s="194">
        <v>2.25</v>
      </c>
      <c r="H1492" s="195">
        <v>6.75</v>
      </c>
      <c r="I1492" s="212" t="s">
        <v>2354</v>
      </c>
    </row>
    <row r="1493" spans="1:9" x14ac:dyDescent="0.25">
      <c r="A1493" s="193" t="s">
        <v>220</v>
      </c>
      <c r="B1493" s="193" t="s">
        <v>5430</v>
      </c>
      <c r="C1493" s="214" t="s">
        <v>4067</v>
      </c>
      <c r="D1493" s="193" t="s">
        <v>4068</v>
      </c>
      <c r="E1493" s="212" t="s">
        <v>545</v>
      </c>
      <c r="F1493" s="215">
        <v>35</v>
      </c>
      <c r="G1493" s="194">
        <v>0.19326999999999997</v>
      </c>
      <c r="H1493" s="195">
        <v>6.7644499999999992</v>
      </c>
      <c r="I1493" s="212" t="s">
        <v>2354</v>
      </c>
    </row>
    <row r="1494" spans="1:9" x14ac:dyDescent="0.25">
      <c r="A1494" s="193" t="s">
        <v>220</v>
      </c>
      <c r="B1494" s="193" t="s">
        <v>5430</v>
      </c>
      <c r="C1494" s="214" t="s">
        <v>6977</v>
      </c>
      <c r="D1494" s="193" t="s">
        <v>6978</v>
      </c>
      <c r="E1494" s="212" t="s">
        <v>545</v>
      </c>
      <c r="F1494" s="215">
        <v>1</v>
      </c>
      <c r="G1494" s="194">
        <v>6.806</v>
      </c>
      <c r="H1494" s="195">
        <v>6.806</v>
      </c>
      <c r="I1494" s="212" t="s">
        <v>2354</v>
      </c>
    </row>
    <row r="1495" spans="1:9" x14ac:dyDescent="0.25">
      <c r="A1495" s="193" t="s">
        <v>220</v>
      </c>
      <c r="B1495" s="193" t="s">
        <v>2351</v>
      </c>
      <c r="C1495" s="214" t="s">
        <v>3691</v>
      </c>
      <c r="D1495" s="193" t="s">
        <v>3692</v>
      </c>
      <c r="E1495" s="212" t="s">
        <v>545</v>
      </c>
      <c r="F1495" s="215">
        <v>7</v>
      </c>
      <c r="G1495" s="194">
        <v>0.97240000000000004</v>
      </c>
      <c r="H1495" s="195">
        <v>6.8068</v>
      </c>
      <c r="I1495" s="212" t="s">
        <v>2354</v>
      </c>
    </row>
    <row r="1496" spans="1:9" x14ac:dyDescent="0.25">
      <c r="A1496" s="193" t="s">
        <v>220</v>
      </c>
      <c r="B1496" s="193" t="s">
        <v>5430</v>
      </c>
      <c r="C1496" s="214" t="s">
        <v>6847</v>
      </c>
      <c r="D1496" s="193" t="s">
        <v>6848</v>
      </c>
      <c r="E1496" s="212" t="s">
        <v>545</v>
      </c>
      <c r="F1496" s="215">
        <v>4</v>
      </c>
      <c r="G1496" s="194">
        <v>1.72</v>
      </c>
      <c r="H1496" s="195">
        <v>6.88</v>
      </c>
      <c r="I1496" s="212" t="s">
        <v>2354</v>
      </c>
    </row>
    <row r="1497" spans="1:9" x14ac:dyDescent="0.25">
      <c r="A1497" s="193" t="s">
        <v>220</v>
      </c>
      <c r="B1497" s="193" t="s">
        <v>5430</v>
      </c>
      <c r="C1497" s="214" t="s">
        <v>7113</v>
      </c>
      <c r="D1497" s="193" t="s">
        <v>7114</v>
      </c>
      <c r="E1497" s="212" t="s">
        <v>545</v>
      </c>
      <c r="F1497" s="215">
        <v>42</v>
      </c>
      <c r="G1497" s="194">
        <v>0.16392999999999999</v>
      </c>
      <c r="H1497" s="195">
        <v>6.8850599999999993</v>
      </c>
      <c r="I1497" s="212" t="s">
        <v>2354</v>
      </c>
    </row>
    <row r="1498" spans="1:9" x14ac:dyDescent="0.25">
      <c r="A1498" s="193" t="s">
        <v>220</v>
      </c>
      <c r="B1498" s="193" t="s">
        <v>2351</v>
      </c>
      <c r="C1498" s="214"/>
      <c r="D1498" s="193" t="s">
        <v>2388</v>
      </c>
      <c r="E1498" s="212" t="s">
        <v>545</v>
      </c>
      <c r="F1498" s="215">
        <v>89</v>
      </c>
      <c r="G1498" s="194">
        <v>7.739E-2</v>
      </c>
      <c r="H1498" s="195">
        <v>6.8877100000000002</v>
      </c>
      <c r="I1498" s="212" t="s">
        <v>2354</v>
      </c>
    </row>
    <row r="1499" spans="1:9" x14ac:dyDescent="0.25">
      <c r="A1499" s="193" t="s">
        <v>220</v>
      </c>
      <c r="B1499" s="193" t="s">
        <v>2351</v>
      </c>
      <c r="C1499" s="214" t="s">
        <v>4063</v>
      </c>
      <c r="D1499" s="193" t="s">
        <v>4064</v>
      </c>
      <c r="E1499" s="212" t="s">
        <v>545</v>
      </c>
      <c r="F1499" s="215">
        <v>92</v>
      </c>
      <c r="G1499" s="194">
        <v>7.4999999999999997E-2</v>
      </c>
      <c r="H1499" s="195">
        <v>6.8999999999999995</v>
      </c>
      <c r="I1499" s="212" t="s">
        <v>2354</v>
      </c>
    </row>
    <row r="1500" spans="1:9" x14ac:dyDescent="0.25">
      <c r="A1500" s="193" t="s">
        <v>220</v>
      </c>
      <c r="B1500" s="193" t="s">
        <v>5430</v>
      </c>
      <c r="C1500" s="214" t="s">
        <v>7264</v>
      </c>
      <c r="D1500" s="193" t="s">
        <v>7265</v>
      </c>
      <c r="E1500" s="212" t="s">
        <v>545</v>
      </c>
      <c r="F1500" s="215">
        <v>1</v>
      </c>
      <c r="G1500" s="194">
        <v>6.9121500000000005</v>
      </c>
      <c r="H1500" s="195">
        <v>6.9121500000000005</v>
      </c>
      <c r="I1500" s="212" t="s">
        <v>2354</v>
      </c>
    </row>
    <row r="1501" spans="1:9" x14ac:dyDescent="0.25">
      <c r="A1501" s="193" t="s">
        <v>220</v>
      </c>
      <c r="B1501" s="193" t="s">
        <v>2351</v>
      </c>
      <c r="C1501" s="214" t="s">
        <v>4538</v>
      </c>
      <c r="D1501" s="193" t="s">
        <v>4539</v>
      </c>
      <c r="E1501" s="212" t="s">
        <v>545</v>
      </c>
      <c r="F1501" s="215">
        <v>2</v>
      </c>
      <c r="G1501" s="194">
        <v>3.4620000000000002</v>
      </c>
      <c r="H1501" s="195">
        <v>6.9240000000000004</v>
      </c>
      <c r="I1501" s="212" t="s">
        <v>2354</v>
      </c>
    </row>
    <row r="1502" spans="1:9" x14ac:dyDescent="0.25">
      <c r="A1502" s="193" t="s">
        <v>220</v>
      </c>
      <c r="B1502" s="193" t="s">
        <v>5430</v>
      </c>
      <c r="C1502" s="214" t="s">
        <v>5879</v>
      </c>
      <c r="D1502" s="193" t="s">
        <v>5880</v>
      </c>
      <c r="E1502" s="212" t="s">
        <v>545</v>
      </c>
      <c r="F1502" s="215">
        <v>2</v>
      </c>
      <c r="G1502" s="194">
        <v>3.4695</v>
      </c>
      <c r="H1502" s="195">
        <v>6.9390000000000001</v>
      </c>
      <c r="I1502" s="212" t="s">
        <v>2354</v>
      </c>
    </row>
    <row r="1503" spans="1:9" x14ac:dyDescent="0.25">
      <c r="A1503" s="193" t="s">
        <v>220</v>
      </c>
      <c r="B1503" s="193" t="s">
        <v>5430</v>
      </c>
      <c r="C1503" s="214" t="s">
        <v>6589</v>
      </c>
      <c r="D1503" s="193" t="s">
        <v>6590</v>
      </c>
      <c r="E1503" s="212" t="s">
        <v>545</v>
      </c>
      <c r="F1503" s="215">
        <v>4</v>
      </c>
      <c r="G1503" s="194">
        <v>1.75</v>
      </c>
      <c r="H1503" s="195">
        <v>7</v>
      </c>
      <c r="I1503" s="212" t="s">
        <v>2354</v>
      </c>
    </row>
    <row r="1504" spans="1:9" x14ac:dyDescent="0.25">
      <c r="A1504" s="193" t="s">
        <v>220</v>
      </c>
      <c r="B1504" s="193" t="s">
        <v>5430</v>
      </c>
      <c r="C1504" s="214" t="s">
        <v>4798</v>
      </c>
      <c r="D1504" s="193" t="s">
        <v>4799</v>
      </c>
      <c r="E1504" s="212" t="s">
        <v>545</v>
      </c>
      <c r="F1504" s="215">
        <v>186</v>
      </c>
      <c r="G1504" s="194">
        <v>3.78E-2</v>
      </c>
      <c r="H1504" s="195">
        <v>7.0308000000000002</v>
      </c>
      <c r="I1504" s="212" t="s">
        <v>2354</v>
      </c>
    </row>
    <row r="1505" spans="1:9" x14ac:dyDescent="0.25">
      <c r="A1505" s="193" t="s">
        <v>220</v>
      </c>
      <c r="B1505" s="193" t="s">
        <v>5430</v>
      </c>
      <c r="C1505" s="214" t="s">
        <v>6722</v>
      </c>
      <c r="D1505" s="193" t="s">
        <v>6723</v>
      </c>
      <c r="E1505" s="212" t="s">
        <v>545</v>
      </c>
      <c r="F1505" s="215">
        <v>4</v>
      </c>
      <c r="G1505" s="194">
        <v>1.8</v>
      </c>
      <c r="H1505" s="195">
        <v>7.2</v>
      </c>
      <c r="I1505" s="212" t="s">
        <v>2354</v>
      </c>
    </row>
    <row r="1506" spans="1:9" x14ac:dyDescent="0.25">
      <c r="A1506" s="193" t="s">
        <v>220</v>
      </c>
      <c r="B1506" s="193" t="s">
        <v>2351</v>
      </c>
      <c r="C1506" s="214" t="s">
        <v>3625</v>
      </c>
      <c r="D1506" s="193" t="s">
        <v>3626</v>
      </c>
      <c r="E1506" s="212" t="s">
        <v>545</v>
      </c>
      <c r="F1506" s="215">
        <v>1</v>
      </c>
      <c r="G1506" s="194">
        <v>7.2249999999999996</v>
      </c>
      <c r="H1506" s="195">
        <v>7.2249999999999996</v>
      </c>
      <c r="I1506" s="212" t="s">
        <v>2354</v>
      </c>
    </row>
    <row r="1507" spans="1:9" x14ac:dyDescent="0.25">
      <c r="A1507" s="193" t="s">
        <v>220</v>
      </c>
      <c r="B1507" s="193" t="s">
        <v>5430</v>
      </c>
      <c r="C1507" s="214" t="s">
        <v>3689</v>
      </c>
      <c r="D1507" s="193" t="s">
        <v>3690</v>
      </c>
      <c r="E1507" s="212" t="s">
        <v>545</v>
      </c>
      <c r="F1507" s="215">
        <v>5</v>
      </c>
      <c r="G1507" s="194">
        <v>1.4553636363636364</v>
      </c>
      <c r="H1507" s="195">
        <v>7.2768181818181823</v>
      </c>
      <c r="I1507" s="212" t="s">
        <v>2354</v>
      </c>
    </row>
    <row r="1508" spans="1:9" x14ac:dyDescent="0.25">
      <c r="A1508" s="193" t="s">
        <v>220</v>
      </c>
      <c r="B1508" s="193" t="s">
        <v>5430</v>
      </c>
      <c r="C1508" s="214" t="s">
        <v>7174</v>
      </c>
      <c r="D1508" s="193" t="s">
        <v>4874</v>
      </c>
      <c r="E1508" s="212" t="s">
        <v>545</v>
      </c>
      <c r="F1508" s="215">
        <v>12</v>
      </c>
      <c r="G1508" s="194">
        <v>0.63500000000000001</v>
      </c>
      <c r="H1508" s="195">
        <v>7.62</v>
      </c>
      <c r="I1508" s="212" t="s">
        <v>2354</v>
      </c>
    </row>
    <row r="1509" spans="1:9" x14ac:dyDescent="0.25">
      <c r="A1509" s="193" t="s">
        <v>220</v>
      </c>
      <c r="B1509" s="193" t="s">
        <v>5430</v>
      </c>
      <c r="C1509" s="214" t="s">
        <v>4355</v>
      </c>
      <c r="D1509" s="193" t="s">
        <v>4356</v>
      </c>
      <c r="E1509" s="212" t="s">
        <v>545</v>
      </c>
      <c r="F1509" s="215">
        <v>2</v>
      </c>
      <c r="G1509" s="194">
        <v>3.8250000000000002</v>
      </c>
      <c r="H1509" s="195">
        <v>7.65</v>
      </c>
      <c r="I1509" s="212" t="s">
        <v>2354</v>
      </c>
    </row>
    <row r="1510" spans="1:9" x14ac:dyDescent="0.25">
      <c r="A1510" s="193" t="s">
        <v>220</v>
      </c>
      <c r="B1510" s="193" t="s">
        <v>2351</v>
      </c>
      <c r="C1510" s="214" t="s">
        <v>5248</v>
      </c>
      <c r="D1510" s="193" t="s">
        <v>5249</v>
      </c>
      <c r="E1510" s="212" t="s">
        <v>545</v>
      </c>
      <c r="F1510" s="215">
        <v>16</v>
      </c>
      <c r="G1510" s="194">
        <v>0.4788</v>
      </c>
      <c r="H1510" s="195">
        <v>7.6608000000000001</v>
      </c>
      <c r="I1510" s="212" t="s">
        <v>2354</v>
      </c>
    </row>
    <row r="1511" spans="1:9" x14ac:dyDescent="0.25">
      <c r="A1511" s="193" t="s">
        <v>220</v>
      </c>
      <c r="B1511" s="193" t="s">
        <v>5430</v>
      </c>
      <c r="C1511" s="214" t="s">
        <v>7014</v>
      </c>
      <c r="D1511" s="193" t="s">
        <v>7015</v>
      </c>
      <c r="E1511" s="212" t="s">
        <v>545</v>
      </c>
      <c r="F1511" s="215">
        <v>2</v>
      </c>
      <c r="G1511" s="194">
        <v>3.85</v>
      </c>
      <c r="H1511" s="195">
        <v>7.7</v>
      </c>
      <c r="I1511" s="212" t="s">
        <v>2354</v>
      </c>
    </row>
    <row r="1512" spans="1:9" x14ac:dyDescent="0.25">
      <c r="A1512" s="193" t="s">
        <v>220</v>
      </c>
      <c r="B1512" s="193" t="s">
        <v>2351</v>
      </c>
      <c r="C1512" s="214" t="s">
        <v>5356</v>
      </c>
      <c r="D1512" s="193" t="s">
        <v>5357</v>
      </c>
      <c r="E1512" s="212" t="s">
        <v>545</v>
      </c>
      <c r="F1512" s="215">
        <v>1</v>
      </c>
      <c r="G1512" s="194">
        <v>7.7145999999999999</v>
      </c>
      <c r="H1512" s="195">
        <v>7.7145999999999999</v>
      </c>
      <c r="I1512" s="212" t="s">
        <v>2354</v>
      </c>
    </row>
    <row r="1513" spans="1:9" x14ac:dyDescent="0.25">
      <c r="A1513" s="193" t="s">
        <v>220</v>
      </c>
      <c r="B1513" s="193" t="s">
        <v>2351</v>
      </c>
      <c r="C1513" s="214" t="s">
        <v>4159</v>
      </c>
      <c r="D1513" s="193" t="s">
        <v>4160</v>
      </c>
      <c r="E1513" s="212" t="s">
        <v>545</v>
      </c>
      <c r="F1513" s="215">
        <v>32</v>
      </c>
      <c r="G1513" s="194">
        <v>0.24224999999999997</v>
      </c>
      <c r="H1513" s="195">
        <v>7.7519999999999989</v>
      </c>
      <c r="I1513" s="212" t="s">
        <v>2354</v>
      </c>
    </row>
    <row r="1514" spans="1:9" x14ac:dyDescent="0.25">
      <c r="A1514" s="193" t="s">
        <v>220</v>
      </c>
      <c r="B1514" s="193" t="s">
        <v>5430</v>
      </c>
      <c r="C1514" s="214" t="s">
        <v>6718</v>
      </c>
      <c r="D1514" s="193" t="s">
        <v>6719</v>
      </c>
      <c r="E1514" s="212" t="s">
        <v>545</v>
      </c>
      <c r="F1514" s="215">
        <v>5</v>
      </c>
      <c r="G1514" s="194">
        <v>1.552</v>
      </c>
      <c r="H1514" s="195">
        <v>7.76</v>
      </c>
      <c r="I1514" s="212" t="s">
        <v>2354</v>
      </c>
    </row>
    <row r="1515" spans="1:9" x14ac:dyDescent="0.25">
      <c r="A1515" s="193" t="s">
        <v>220</v>
      </c>
      <c r="B1515" s="193" t="s">
        <v>2351</v>
      </c>
      <c r="C1515" s="214" t="s">
        <v>2732</v>
      </c>
      <c r="D1515" s="193" t="s">
        <v>2733</v>
      </c>
      <c r="E1515" s="212" t="s">
        <v>545</v>
      </c>
      <c r="F1515" s="215">
        <v>1</v>
      </c>
      <c r="G1515" s="194">
        <v>7.7606999999999999</v>
      </c>
      <c r="H1515" s="195">
        <v>7.7606999999999999</v>
      </c>
      <c r="I1515" s="212" t="s">
        <v>2354</v>
      </c>
    </row>
    <row r="1516" spans="1:9" x14ac:dyDescent="0.25">
      <c r="A1516" s="193" t="s">
        <v>220</v>
      </c>
      <c r="B1516" s="193" t="s">
        <v>5430</v>
      </c>
      <c r="C1516" s="214" t="s">
        <v>5941</v>
      </c>
      <c r="D1516" s="193" t="s">
        <v>5942</v>
      </c>
      <c r="E1516" s="212" t="s">
        <v>545</v>
      </c>
      <c r="F1516" s="215">
        <v>2</v>
      </c>
      <c r="G1516" s="194">
        <v>3.9266999999999994</v>
      </c>
      <c r="H1516" s="195">
        <v>7.8533999999999988</v>
      </c>
      <c r="I1516" s="212" t="s">
        <v>2354</v>
      </c>
    </row>
    <row r="1517" spans="1:9" x14ac:dyDescent="0.25">
      <c r="A1517" s="193" t="s">
        <v>220</v>
      </c>
      <c r="B1517" s="193" t="s">
        <v>5430</v>
      </c>
      <c r="C1517" s="214" t="s">
        <v>6593</v>
      </c>
      <c r="D1517" s="193" t="s">
        <v>6594</v>
      </c>
      <c r="E1517" s="212" t="s">
        <v>545</v>
      </c>
      <c r="F1517" s="215">
        <v>1</v>
      </c>
      <c r="G1517" s="194">
        <v>7.8860000000000001</v>
      </c>
      <c r="H1517" s="195">
        <v>7.8860000000000001</v>
      </c>
      <c r="I1517" s="212" t="s">
        <v>2354</v>
      </c>
    </row>
    <row r="1518" spans="1:9" x14ac:dyDescent="0.25">
      <c r="A1518" s="193" t="s">
        <v>220</v>
      </c>
      <c r="B1518" s="193" t="s">
        <v>5430</v>
      </c>
      <c r="C1518" s="214" t="s">
        <v>2926</v>
      </c>
      <c r="D1518" s="193" t="s">
        <v>2927</v>
      </c>
      <c r="E1518" s="212" t="s">
        <v>545</v>
      </c>
      <c r="F1518" s="215">
        <v>1</v>
      </c>
      <c r="G1518" s="194">
        <v>7.9001999999999999</v>
      </c>
      <c r="H1518" s="195">
        <v>7.9001999999999999</v>
      </c>
      <c r="I1518" s="212" t="s">
        <v>2354</v>
      </c>
    </row>
    <row r="1519" spans="1:9" x14ac:dyDescent="0.25">
      <c r="A1519" s="193" t="s">
        <v>220</v>
      </c>
      <c r="B1519" s="193" t="s">
        <v>5430</v>
      </c>
      <c r="C1519" s="214" t="s">
        <v>6343</v>
      </c>
      <c r="D1519" s="193" t="s">
        <v>6344</v>
      </c>
      <c r="E1519" s="212" t="s">
        <v>545</v>
      </c>
      <c r="F1519" s="215">
        <v>1</v>
      </c>
      <c r="G1519" s="194">
        <v>7.9390000000000001</v>
      </c>
      <c r="H1519" s="195">
        <v>7.9390000000000001</v>
      </c>
      <c r="I1519" s="212" t="s">
        <v>2354</v>
      </c>
    </row>
    <row r="1520" spans="1:9" x14ac:dyDescent="0.25">
      <c r="A1520" s="193" t="s">
        <v>220</v>
      </c>
      <c r="B1520" s="193" t="s">
        <v>2351</v>
      </c>
      <c r="C1520" s="214" t="s">
        <v>4961</v>
      </c>
      <c r="D1520" s="193" t="s">
        <v>4962</v>
      </c>
      <c r="E1520" s="212" t="s">
        <v>545</v>
      </c>
      <c r="F1520" s="215">
        <v>6</v>
      </c>
      <c r="G1520" s="194">
        <v>1.3260000000000001</v>
      </c>
      <c r="H1520" s="195">
        <v>7.9560000000000004</v>
      </c>
      <c r="I1520" s="212" t="s">
        <v>2354</v>
      </c>
    </row>
    <row r="1521" spans="1:9" x14ac:dyDescent="0.25">
      <c r="A1521" s="193" t="s">
        <v>220</v>
      </c>
      <c r="B1521" s="193" t="s">
        <v>5430</v>
      </c>
      <c r="C1521" s="214" t="s">
        <v>3639</v>
      </c>
      <c r="D1521" s="193" t="s">
        <v>3640</v>
      </c>
      <c r="E1521" s="212" t="s">
        <v>545</v>
      </c>
      <c r="F1521" s="215">
        <v>4</v>
      </c>
      <c r="G1521" s="194">
        <v>1.9935000000000003</v>
      </c>
      <c r="H1521" s="195">
        <v>7.9740000000000011</v>
      </c>
      <c r="I1521" s="212" t="s">
        <v>2354</v>
      </c>
    </row>
    <row r="1522" spans="1:9" x14ac:dyDescent="0.25">
      <c r="A1522" s="193" t="s">
        <v>220</v>
      </c>
      <c r="B1522" s="193" t="s">
        <v>2351</v>
      </c>
      <c r="C1522" s="214" t="s">
        <v>5076</v>
      </c>
      <c r="D1522" s="193" t="s">
        <v>5077</v>
      </c>
      <c r="E1522" s="212" t="s">
        <v>545</v>
      </c>
      <c r="F1522" s="215">
        <v>21</v>
      </c>
      <c r="G1522" s="194">
        <v>0.38159999999999999</v>
      </c>
      <c r="H1522" s="195">
        <v>8.0136000000000003</v>
      </c>
      <c r="I1522" s="212" t="s">
        <v>2354</v>
      </c>
    </row>
    <row r="1523" spans="1:9" x14ac:dyDescent="0.25">
      <c r="A1523" s="193" t="s">
        <v>220</v>
      </c>
      <c r="B1523" s="193" t="s">
        <v>5430</v>
      </c>
      <c r="C1523" s="214" t="s">
        <v>4814</v>
      </c>
      <c r="D1523" s="193" t="s">
        <v>4815</v>
      </c>
      <c r="E1523" s="212" t="s">
        <v>545</v>
      </c>
      <c r="F1523" s="215">
        <v>50</v>
      </c>
      <c r="G1523" s="194">
        <v>0.16076999999999997</v>
      </c>
      <c r="H1523" s="195">
        <v>8.0384999999999991</v>
      </c>
      <c r="I1523" s="212" t="s">
        <v>2354</v>
      </c>
    </row>
    <row r="1524" spans="1:9" x14ac:dyDescent="0.25">
      <c r="A1524" s="193" t="s">
        <v>220</v>
      </c>
      <c r="B1524" s="193" t="s">
        <v>5430</v>
      </c>
      <c r="C1524" s="214" t="s">
        <v>3525</v>
      </c>
      <c r="D1524" s="193" t="s">
        <v>3526</v>
      </c>
      <c r="E1524" s="212" t="s">
        <v>545</v>
      </c>
      <c r="F1524" s="215">
        <v>10</v>
      </c>
      <c r="G1524" s="194">
        <v>0.8075</v>
      </c>
      <c r="H1524" s="195">
        <v>8.0749999999999993</v>
      </c>
      <c r="I1524" s="212" t="s">
        <v>2354</v>
      </c>
    </row>
    <row r="1525" spans="1:9" x14ac:dyDescent="0.25">
      <c r="A1525" s="193" t="s">
        <v>220</v>
      </c>
      <c r="B1525" s="193" t="s">
        <v>5430</v>
      </c>
      <c r="C1525" s="214" t="s">
        <v>5937</v>
      </c>
      <c r="D1525" s="193" t="s">
        <v>5938</v>
      </c>
      <c r="E1525" s="212" t="s">
        <v>545</v>
      </c>
      <c r="F1525" s="215">
        <v>2</v>
      </c>
      <c r="G1525" s="194">
        <v>4.05</v>
      </c>
      <c r="H1525" s="195">
        <v>8.1</v>
      </c>
      <c r="I1525" s="212" t="s">
        <v>2354</v>
      </c>
    </row>
    <row r="1526" spans="1:9" x14ac:dyDescent="0.25">
      <c r="A1526" s="193" t="s">
        <v>220</v>
      </c>
      <c r="B1526" s="193" t="s">
        <v>2351</v>
      </c>
      <c r="C1526" s="214" t="s">
        <v>4409</v>
      </c>
      <c r="D1526" s="193" t="s">
        <v>4410</v>
      </c>
      <c r="E1526" s="212" t="s">
        <v>545</v>
      </c>
      <c r="F1526" s="215">
        <v>1</v>
      </c>
      <c r="G1526" s="194">
        <v>8.2170000000000005</v>
      </c>
      <c r="H1526" s="195">
        <v>8.2170000000000005</v>
      </c>
      <c r="I1526" s="212" t="s">
        <v>2354</v>
      </c>
    </row>
    <row r="1527" spans="1:9" x14ac:dyDescent="0.25">
      <c r="A1527" s="193" t="s">
        <v>220</v>
      </c>
      <c r="B1527" s="193" t="s">
        <v>2351</v>
      </c>
      <c r="C1527" s="214" t="s">
        <v>4592</v>
      </c>
      <c r="D1527" s="193" t="s">
        <v>4593</v>
      </c>
      <c r="E1527" s="212" t="s">
        <v>2473</v>
      </c>
      <c r="F1527" s="215">
        <v>12</v>
      </c>
      <c r="G1527" s="194">
        <v>0.68579999999999997</v>
      </c>
      <c r="H1527" s="195">
        <v>8.2295999999999996</v>
      </c>
      <c r="I1527" s="212" t="s">
        <v>2354</v>
      </c>
    </row>
    <row r="1528" spans="1:9" x14ac:dyDescent="0.25">
      <c r="A1528" s="193" t="s">
        <v>220</v>
      </c>
      <c r="B1528" s="193" t="s">
        <v>2351</v>
      </c>
      <c r="C1528" s="214" t="s">
        <v>4574</v>
      </c>
      <c r="D1528" s="193" t="s">
        <v>4575</v>
      </c>
      <c r="E1528" s="212" t="s">
        <v>545</v>
      </c>
      <c r="F1528" s="215">
        <v>6</v>
      </c>
      <c r="G1528" s="194">
        <v>1.3748181818181817</v>
      </c>
      <c r="H1528" s="195">
        <v>8.2489090909090912</v>
      </c>
      <c r="I1528" s="212" t="s">
        <v>2354</v>
      </c>
    </row>
    <row r="1529" spans="1:9" x14ac:dyDescent="0.25">
      <c r="A1529" s="193" t="s">
        <v>220</v>
      </c>
      <c r="B1529" s="193" t="s">
        <v>2351</v>
      </c>
      <c r="C1529" s="214" t="s">
        <v>3313</v>
      </c>
      <c r="D1529" s="193" t="s">
        <v>3314</v>
      </c>
      <c r="E1529" s="212" t="s">
        <v>545</v>
      </c>
      <c r="F1529" s="215">
        <v>3</v>
      </c>
      <c r="G1529" s="194">
        <v>2.75</v>
      </c>
      <c r="H1529" s="195">
        <v>8.25</v>
      </c>
      <c r="I1529" s="212" t="s">
        <v>2354</v>
      </c>
    </row>
    <row r="1530" spans="1:9" x14ac:dyDescent="0.25">
      <c r="A1530" s="193" t="s">
        <v>220</v>
      </c>
      <c r="B1530" s="193" t="s">
        <v>2351</v>
      </c>
      <c r="C1530" s="214" t="s">
        <v>4640</v>
      </c>
      <c r="D1530" s="193" t="s">
        <v>4641</v>
      </c>
      <c r="E1530" s="212" t="s">
        <v>545</v>
      </c>
      <c r="F1530" s="215">
        <v>10</v>
      </c>
      <c r="G1530" s="194">
        <v>0.82499999999999996</v>
      </c>
      <c r="H1530" s="195">
        <v>8.25</v>
      </c>
      <c r="I1530" s="212" t="s">
        <v>2354</v>
      </c>
    </row>
    <row r="1531" spans="1:9" x14ac:dyDescent="0.25">
      <c r="A1531" s="193" t="s">
        <v>220</v>
      </c>
      <c r="B1531" s="193" t="s">
        <v>2351</v>
      </c>
      <c r="C1531" s="214" t="s">
        <v>3429</v>
      </c>
      <c r="D1531" s="193" t="s">
        <v>3430</v>
      </c>
      <c r="E1531" s="212" t="s">
        <v>2387</v>
      </c>
      <c r="F1531" s="215">
        <v>3</v>
      </c>
      <c r="G1531" s="194">
        <v>2.7591000000000001</v>
      </c>
      <c r="H1531" s="195">
        <v>8.2773000000000003</v>
      </c>
      <c r="I1531" s="212" t="s">
        <v>2354</v>
      </c>
    </row>
    <row r="1532" spans="1:9" x14ac:dyDescent="0.25">
      <c r="A1532" s="193" t="s">
        <v>220</v>
      </c>
      <c r="B1532" s="193" t="s">
        <v>5430</v>
      </c>
      <c r="C1532" s="214" t="s">
        <v>4548</v>
      </c>
      <c r="D1532" s="193" t="s">
        <v>4549</v>
      </c>
      <c r="E1532" s="212" t="s">
        <v>545</v>
      </c>
      <c r="F1532" s="215">
        <v>7</v>
      </c>
      <c r="G1532" s="194">
        <v>1.1833238095238097</v>
      </c>
      <c r="H1532" s="195">
        <v>8.2832666666666679</v>
      </c>
      <c r="I1532" s="212" t="s">
        <v>2354</v>
      </c>
    </row>
    <row r="1533" spans="1:9" x14ac:dyDescent="0.25">
      <c r="A1533" s="193" t="s">
        <v>220</v>
      </c>
      <c r="B1533" s="193" t="s">
        <v>2351</v>
      </c>
      <c r="C1533" s="214" t="s">
        <v>4746</v>
      </c>
      <c r="D1533" s="193" t="s">
        <v>4747</v>
      </c>
      <c r="E1533" s="212" t="s">
        <v>545</v>
      </c>
      <c r="F1533" s="215">
        <v>1</v>
      </c>
      <c r="G1533" s="194">
        <v>8.3166666666666664</v>
      </c>
      <c r="H1533" s="195">
        <v>8.3166666666666664</v>
      </c>
      <c r="I1533" s="212" t="s">
        <v>2354</v>
      </c>
    </row>
    <row r="1534" spans="1:9" x14ac:dyDescent="0.25">
      <c r="A1534" s="193" t="s">
        <v>220</v>
      </c>
      <c r="B1534" s="193" t="s">
        <v>5430</v>
      </c>
      <c r="C1534" s="214" t="s">
        <v>4181</v>
      </c>
      <c r="D1534" s="193" t="s">
        <v>4182</v>
      </c>
      <c r="E1534" s="212" t="s">
        <v>545</v>
      </c>
      <c r="F1534" s="215">
        <v>16</v>
      </c>
      <c r="G1534" s="194">
        <v>0.5214545454545455</v>
      </c>
      <c r="H1534" s="195">
        <v>8.3432727272727281</v>
      </c>
      <c r="I1534" s="212" t="s">
        <v>2354</v>
      </c>
    </row>
    <row r="1535" spans="1:9" x14ac:dyDescent="0.25">
      <c r="A1535" s="193" t="s">
        <v>220</v>
      </c>
      <c r="B1535" s="193" t="s">
        <v>2351</v>
      </c>
      <c r="C1535" s="214" t="s">
        <v>5240</v>
      </c>
      <c r="D1535" s="193" t="s">
        <v>5241</v>
      </c>
      <c r="E1535" s="212" t="s">
        <v>2473</v>
      </c>
      <c r="F1535" s="215">
        <v>56</v>
      </c>
      <c r="G1535" s="194">
        <v>0.14899999999999999</v>
      </c>
      <c r="H1535" s="195">
        <v>8.3439999999999994</v>
      </c>
      <c r="I1535" s="212" t="s">
        <v>2354</v>
      </c>
    </row>
    <row r="1536" spans="1:9" x14ac:dyDescent="0.25">
      <c r="A1536" s="193" t="s">
        <v>220</v>
      </c>
      <c r="B1536" s="193" t="s">
        <v>2351</v>
      </c>
      <c r="C1536" s="214" t="s">
        <v>3359</v>
      </c>
      <c r="D1536" s="193" t="s">
        <v>3360</v>
      </c>
      <c r="E1536" s="212" t="s">
        <v>545</v>
      </c>
      <c r="F1536" s="215">
        <v>82</v>
      </c>
      <c r="G1536" s="194">
        <v>0.10199999999999999</v>
      </c>
      <c r="H1536" s="195">
        <v>8.363999999999999</v>
      </c>
      <c r="I1536" s="212" t="s">
        <v>2354</v>
      </c>
    </row>
    <row r="1537" spans="1:9" x14ac:dyDescent="0.25">
      <c r="A1537" s="193" t="s">
        <v>220</v>
      </c>
      <c r="B1537" s="193" t="s">
        <v>5430</v>
      </c>
      <c r="C1537" s="214" t="s">
        <v>6492</v>
      </c>
      <c r="D1537" s="193" t="s">
        <v>6493</v>
      </c>
      <c r="E1537" s="212" t="s">
        <v>545</v>
      </c>
      <c r="F1537" s="215">
        <v>2</v>
      </c>
      <c r="G1537" s="194">
        <v>4.2</v>
      </c>
      <c r="H1537" s="195">
        <v>8.4</v>
      </c>
      <c r="I1537" s="212" t="s">
        <v>2354</v>
      </c>
    </row>
    <row r="1538" spans="1:9" x14ac:dyDescent="0.25">
      <c r="A1538" s="193" t="s">
        <v>220</v>
      </c>
      <c r="B1538" s="193" t="s">
        <v>5430</v>
      </c>
      <c r="C1538" s="214" t="s">
        <v>4901</v>
      </c>
      <c r="D1538" s="193" t="s">
        <v>4902</v>
      </c>
      <c r="E1538" s="212" t="s">
        <v>545</v>
      </c>
      <c r="F1538" s="215">
        <v>40</v>
      </c>
      <c r="G1538" s="194">
        <v>0.21</v>
      </c>
      <c r="H1538" s="195">
        <v>8.4</v>
      </c>
      <c r="I1538" s="212" t="s">
        <v>2354</v>
      </c>
    </row>
    <row r="1539" spans="1:9" x14ac:dyDescent="0.25">
      <c r="A1539" s="193" t="s">
        <v>220</v>
      </c>
      <c r="B1539" s="193" t="s">
        <v>5430</v>
      </c>
      <c r="C1539" s="214" t="s">
        <v>5345</v>
      </c>
      <c r="D1539" s="193" t="s">
        <v>6602</v>
      </c>
      <c r="E1539" s="212" t="s">
        <v>545</v>
      </c>
      <c r="F1539" s="215">
        <v>7</v>
      </c>
      <c r="G1539" s="194">
        <v>1.2050000000000001</v>
      </c>
      <c r="H1539" s="195">
        <v>8.4350000000000005</v>
      </c>
      <c r="I1539" s="212" t="s">
        <v>2354</v>
      </c>
    </row>
    <row r="1540" spans="1:9" x14ac:dyDescent="0.25">
      <c r="A1540" s="193" t="s">
        <v>220</v>
      </c>
      <c r="B1540" s="193" t="s">
        <v>5430</v>
      </c>
      <c r="C1540" s="214" t="s">
        <v>6235</v>
      </c>
      <c r="D1540" s="193" t="s">
        <v>6236</v>
      </c>
      <c r="E1540" s="212" t="s">
        <v>545</v>
      </c>
      <c r="F1540" s="215">
        <v>1</v>
      </c>
      <c r="G1540" s="194">
        <v>8.5248000000000008</v>
      </c>
      <c r="H1540" s="195">
        <v>8.5248000000000008</v>
      </c>
      <c r="I1540" s="212" t="s">
        <v>2354</v>
      </c>
    </row>
    <row r="1541" spans="1:9" x14ac:dyDescent="0.25">
      <c r="A1541" s="193" t="s">
        <v>220</v>
      </c>
      <c r="B1541" s="193" t="s">
        <v>2351</v>
      </c>
      <c r="C1541" s="214" t="s">
        <v>4748</v>
      </c>
      <c r="D1541" s="193" t="s">
        <v>4749</v>
      </c>
      <c r="E1541" s="212" t="s">
        <v>545</v>
      </c>
      <c r="F1541" s="215">
        <v>22</v>
      </c>
      <c r="G1541" s="194">
        <v>0.39</v>
      </c>
      <c r="H1541" s="195">
        <v>8.58</v>
      </c>
      <c r="I1541" s="212" t="s">
        <v>2354</v>
      </c>
    </row>
    <row r="1542" spans="1:9" x14ac:dyDescent="0.25">
      <c r="A1542" s="193" t="s">
        <v>220</v>
      </c>
      <c r="B1542" s="193" t="s">
        <v>5430</v>
      </c>
      <c r="C1542" s="214" t="s">
        <v>5871</v>
      </c>
      <c r="D1542" s="193" t="s">
        <v>5872</v>
      </c>
      <c r="E1542" s="212" t="s">
        <v>545</v>
      </c>
      <c r="F1542" s="215">
        <v>2</v>
      </c>
      <c r="G1542" s="194">
        <v>4.3019999999999996</v>
      </c>
      <c r="H1542" s="195">
        <v>8.6039999999999992</v>
      </c>
      <c r="I1542" s="212" t="s">
        <v>2354</v>
      </c>
    </row>
    <row r="1543" spans="1:9" x14ac:dyDescent="0.25">
      <c r="A1543" s="193" t="s">
        <v>220</v>
      </c>
      <c r="B1543" s="193" t="s">
        <v>2351</v>
      </c>
      <c r="C1543" s="214" t="s">
        <v>4692</v>
      </c>
      <c r="D1543" s="193" t="s">
        <v>4693</v>
      </c>
      <c r="E1543" s="212" t="s">
        <v>545</v>
      </c>
      <c r="F1543" s="215">
        <v>35</v>
      </c>
      <c r="G1543" s="194">
        <v>0.2465</v>
      </c>
      <c r="H1543" s="195">
        <v>8.6274999999999995</v>
      </c>
      <c r="I1543" s="212" t="s">
        <v>2354</v>
      </c>
    </row>
    <row r="1544" spans="1:9" x14ac:dyDescent="0.25">
      <c r="A1544" s="193" t="s">
        <v>220</v>
      </c>
      <c r="B1544" s="193" t="s">
        <v>2351</v>
      </c>
      <c r="C1544" s="214" t="s">
        <v>4141</v>
      </c>
      <c r="D1544" s="193" t="s">
        <v>4142</v>
      </c>
      <c r="E1544" s="212" t="s">
        <v>545</v>
      </c>
      <c r="F1544" s="215">
        <v>18</v>
      </c>
      <c r="G1544" s="194">
        <v>0.47970000000000007</v>
      </c>
      <c r="H1544" s="195">
        <v>8.6346000000000007</v>
      </c>
      <c r="I1544" s="212" t="s">
        <v>2354</v>
      </c>
    </row>
    <row r="1545" spans="1:9" x14ac:dyDescent="0.25">
      <c r="A1545" s="193" t="s">
        <v>220</v>
      </c>
      <c r="B1545" s="193" t="s">
        <v>2351</v>
      </c>
      <c r="C1545" s="214" t="s">
        <v>3501</v>
      </c>
      <c r="D1545" s="193" t="s">
        <v>3502</v>
      </c>
      <c r="E1545" s="212" t="s">
        <v>545</v>
      </c>
      <c r="F1545" s="215">
        <v>3</v>
      </c>
      <c r="G1545" s="194">
        <v>2.9015151515151514</v>
      </c>
      <c r="H1545" s="195">
        <v>8.7045454545454533</v>
      </c>
      <c r="I1545" s="212" t="s">
        <v>2354</v>
      </c>
    </row>
    <row r="1546" spans="1:9" x14ac:dyDescent="0.25">
      <c r="A1546" s="193" t="s">
        <v>220</v>
      </c>
      <c r="B1546" s="193" t="s">
        <v>2351</v>
      </c>
      <c r="C1546" s="214" t="s">
        <v>2664</v>
      </c>
      <c r="D1546" s="193" t="s">
        <v>2665</v>
      </c>
      <c r="E1546" s="212" t="s">
        <v>545</v>
      </c>
      <c r="F1546" s="215">
        <v>1</v>
      </c>
      <c r="G1546" s="194">
        <v>8.8000000000000007</v>
      </c>
      <c r="H1546" s="195">
        <v>8.8000000000000007</v>
      </c>
      <c r="I1546" s="212" t="s">
        <v>2354</v>
      </c>
    </row>
    <row r="1547" spans="1:9" x14ac:dyDescent="0.25">
      <c r="A1547" s="193" t="s">
        <v>220</v>
      </c>
      <c r="B1547" s="193" t="s">
        <v>2351</v>
      </c>
      <c r="C1547" s="214" t="s">
        <v>4059</v>
      </c>
      <c r="D1547" s="193" t="s">
        <v>4060</v>
      </c>
      <c r="E1547" s="212" t="s">
        <v>545</v>
      </c>
      <c r="F1547" s="215">
        <v>15</v>
      </c>
      <c r="G1547" s="194">
        <v>0.59075</v>
      </c>
      <c r="H1547" s="195">
        <v>8.8612500000000001</v>
      </c>
      <c r="I1547" s="212" t="s">
        <v>2354</v>
      </c>
    </row>
    <row r="1548" spans="1:9" x14ac:dyDescent="0.25">
      <c r="A1548" s="193" t="s">
        <v>220</v>
      </c>
      <c r="B1548" s="193" t="s">
        <v>2351</v>
      </c>
      <c r="C1548" s="214" t="s">
        <v>4197</v>
      </c>
      <c r="D1548" s="193" t="s">
        <v>4198</v>
      </c>
      <c r="E1548" s="212" t="s">
        <v>2387</v>
      </c>
      <c r="F1548" s="215">
        <v>7</v>
      </c>
      <c r="G1548" s="194">
        <v>1.2709999999999999</v>
      </c>
      <c r="H1548" s="195">
        <v>8.8969999999999985</v>
      </c>
      <c r="I1548" s="212" t="s">
        <v>2354</v>
      </c>
    </row>
    <row r="1549" spans="1:9" x14ac:dyDescent="0.25">
      <c r="A1549" s="193" t="s">
        <v>220</v>
      </c>
      <c r="B1549" s="193" t="s">
        <v>2351</v>
      </c>
      <c r="C1549" s="214"/>
      <c r="D1549" s="193" t="s">
        <v>2391</v>
      </c>
      <c r="E1549" s="212" t="s">
        <v>545</v>
      </c>
      <c r="F1549" s="215">
        <v>120</v>
      </c>
      <c r="G1549" s="194">
        <v>7.4270000000000003E-2</v>
      </c>
      <c r="H1549" s="195">
        <v>8.9123999999999999</v>
      </c>
      <c r="I1549" s="212" t="s">
        <v>2354</v>
      </c>
    </row>
    <row r="1550" spans="1:9" x14ac:dyDescent="0.25">
      <c r="A1550" s="193" t="s">
        <v>220</v>
      </c>
      <c r="B1550" s="193" t="s">
        <v>2351</v>
      </c>
      <c r="C1550" s="214" t="s">
        <v>4919</v>
      </c>
      <c r="D1550" s="193" t="s">
        <v>4920</v>
      </c>
      <c r="E1550" s="212" t="s">
        <v>545</v>
      </c>
      <c r="F1550" s="215">
        <v>625</v>
      </c>
      <c r="G1550" s="194">
        <v>1.4279999999999999E-2</v>
      </c>
      <c r="H1550" s="195">
        <v>8.9249999999999989</v>
      </c>
      <c r="I1550" s="212" t="s">
        <v>2354</v>
      </c>
    </row>
    <row r="1551" spans="1:9" x14ac:dyDescent="0.25">
      <c r="A1551" s="193" t="s">
        <v>220</v>
      </c>
      <c r="B1551" s="193" t="s">
        <v>2351</v>
      </c>
      <c r="C1551" s="214" t="s">
        <v>3675</v>
      </c>
      <c r="D1551" s="193" t="s">
        <v>3676</v>
      </c>
      <c r="E1551" s="212" t="s">
        <v>545</v>
      </c>
      <c r="F1551" s="215">
        <v>1</v>
      </c>
      <c r="G1551" s="194">
        <v>8.9250000000000007</v>
      </c>
      <c r="H1551" s="195">
        <v>8.9250000000000007</v>
      </c>
      <c r="I1551" s="212" t="s">
        <v>2354</v>
      </c>
    </row>
    <row r="1552" spans="1:9" x14ac:dyDescent="0.25">
      <c r="A1552" s="193" t="s">
        <v>220</v>
      </c>
      <c r="B1552" s="193" t="s">
        <v>2351</v>
      </c>
      <c r="C1552" s="214" t="s">
        <v>4456</v>
      </c>
      <c r="D1552" s="193" t="s">
        <v>4457</v>
      </c>
      <c r="E1552" s="212" t="s">
        <v>545</v>
      </c>
      <c r="F1552" s="215">
        <v>140</v>
      </c>
      <c r="G1552" s="194">
        <v>6.3960000000000003E-2</v>
      </c>
      <c r="H1552" s="195">
        <v>8.9543999999999997</v>
      </c>
      <c r="I1552" s="212" t="s">
        <v>2354</v>
      </c>
    </row>
    <row r="1553" spans="1:9" x14ac:dyDescent="0.25">
      <c r="A1553" s="193" t="s">
        <v>220</v>
      </c>
      <c r="B1553" s="193" t="s">
        <v>2351</v>
      </c>
      <c r="C1553" s="214" t="s">
        <v>4967</v>
      </c>
      <c r="D1553" s="193" t="s">
        <v>4968</v>
      </c>
      <c r="E1553" s="212" t="s">
        <v>545</v>
      </c>
      <c r="F1553" s="215">
        <v>2</v>
      </c>
      <c r="G1553" s="194">
        <v>4.4850000000000003</v>
      </c>
      <c r="H1553" s="195">
        <v>8.9700000000000006</v>
      </c>
      <c r="I1553" s="212" t="s">
        <v>2354</v>
      </c>
    </row>
    <row r="1554" spans="1:9" x14ac:dyDescent="0.25">
      <c r="A1554" s="193" t="s">
        <v>220</v>
      </c>
      <c r="B1554" s="193" t="s">
        <v>5430</v>
      </c>
      <c r="C1554" s="214" t="s">
        <v>4977</v>
      </c>
      <c r="D1554" s="193" t="s">
        <v>4978</v>
      </c>
      <c r="E1554" s="212" t="s">
        <v>545</v>
      </c>
      <c r="F1554" s="215">
        <v>210</v>
      </c>
      <c r="G1554" s="194">
        <v>4.2750000000000003E-2</v>
      </c>
      <c r="H1554" s="195">
        <v>8.9775000000000009</v>
      </c>
      <c r="I1554" s="212" t="s">
        <v>2354</v>
      </c>
    </row>
    <row r="1555" spans="1:9" x14ac:dyDescent="0.25">
      <c r="A1555" s="193" t="s">
        <v>220</v>
      </c>
      <c r="B1555" s="193" t="s">
        <v>2351</v>
      </c>
      <c r="C1555" s="214" t="s">
        <v>5297</v>
      </c>
      <c r="D1555" s="193" t="s">
        <v>5298</v>
      </c>
      <c r="E1555" s="212" t="s">
        <v>545</v>
      </c>
      <c r="F1555" s="215">
        <v>6</v>
      </c>
      <c r="G1555" s="194">
        <v>1.5021</v>
      </c>
      <c r="H1555" s="195">
        <v>9.0125999999999991</v>
      </c>
      <c r="I1555" s="212" t="s">
        <v>2354</v>
      </c>
    </row>
    <row r="1556" spans="1:9" x14ac:dyDescent="0.25">
      <c r="A1556" s="193" t="s">
        <v>220</v>
      </c>
      <c r="B1556" s="193" t="s">
        <v>2351</v>
      </c>
      <c r="C1556" s="214" t="s">
        <v>5230</v>
      </c>
      <c r="D1556" s="193" t="s">
        <v>5231</v>
      </c>
      <c r="E1556" s="212" t="s">
        <v>535</v>
      </c>
      <c r="F1556" s="215">
        <v>2</v>
      </c>
      <c r="G1556" s="194">
        <v>4.5199999999999996</v>
      </c>
      <c r="H1556" s="195">
        <v>9.0399999999999991</v>
      </c>
      <c r="I1556" s="212" t="s">
        <v>2354</v>
      </c>
    </row>
    <row r="1557" spans="1:9" x14ac:dyDescent="0.25">
      <c r="A1557" s="193" t="s">
        <v>220</v>
      </c>
      <c r="B1557" s="193" t="s">
        <v>5430</v>
      </c>
      <c r="C1557" s="214" t="s">
        <v>4979</v>
      </c>
      <c r="D1557" s="193" t="s">
        <v>4980</v>
      </c>
      <c r="E1557" s="212" t="s">
        <v>545</v>
      </c>
      <c r="F1557" s="215">
        <v>320</v>
      </c>
      <c r="G1557" s="194">
        <v>2.826E-2</v>
      </c>
      <c r="H1557" s="195">
        <v>9.0432000000000006</v>
      </c>
      <c r="I1557" s="212" t="s">
        <v>2354</v>
      </c>
    </row>
    <row r="1558" spans="1:9" x14ac:dyDescent="0.25">
      <c r="A1558" s="193" t="s">
        <v>220</v>
      </c>
      <c r="B1558" s="193" t="s">
        <v>2351</v>
      </c>
      <c r="C1558" s="214" t="s">
        <v>5006</v>
      </c>
      <c r="D1558" s="193" t="s">
        <v>5007</v>
      </c>
      <c r="E1558" s="212" t="s">
        <v>545</v>
      </c>
      <c r="F1558" s="215">
        <v>36</v>
      </c>
      <c r="G1558" s="194">
        <v>0.25141999999999998</v>
      </c>
      <c r="H1558" s="195">
        <v>9.0511199999999992</v>
      </c>
      <c r="I1558" s="212" t="s">
        <v>2354</v>
      </c>
    </row>
    <row r="1559" spans="1:9" x14ac:dyDescent="0.25">
      <c r="A1559" s="193" t="s">
        <v>220</v>
      </c>
      <c r="B1559" s="193" t="s">
        <v>2351</v>
      </c>
      <c r="C1559" s="214" t="s">
        <v>5176</v>
      </c>
      <c r="D1559" s="193" t="s">
        <v>5177</v>
      </c>
      <c r="E1559" s="212" t="s">
        <v>545</v>
      </c>
      <c r="F1559" s="215">
        <v>3</v>
      </c>
      <c r="G1559" s="194">
        <v>3.0259999999999998</v>
      </c>
      <c r="H1559" s="195">
        <v>9.0779999999999994</v>
      </c>
      <c r="I1559" s="212" t="s">
        <v>2354</v>
      </c>
    </row>
    <row r="1560" spans="1:9" x14ac:dyDescent="0.25">
      <c r="A1560" s="193" t="s">
        <v>220</v>
      </c>
      <c r="B1560" s="193" t="s">
        <v>2351</v>
      </c>
      <c r="C1560" s="214" t="s">
        <v>5220</v>
      </c>
      <c r="D1560" s="193" t="s">
        <v>5221</v>
      </c>
      <c r="E1560" s="212" t="s">
        <v>545</v>
      </c>
      <c r="F1560" s="215">
        <v>1</v>
      </c>
      <c r="G1560" s="194">
        <v>9.0962999999999994</v>
      </c>
      <c r="H1560" s="195">
        <v>9.0962999999999994</v>
      </c>
      <c r="I1560" s="212" t="s">
        <v>2354</v>
      </c>
    </row>
    <row r="1561" spans="1:9" x14ac:dyDescent="0.25">
      <c r="A1561" s="193" t="s">
        <v>220</v>
      </c>
      <c r="B1561" s="193" t="s">
        <v>2351</v>
      </c>
      <c r="C1561" s="214"/>
      <c r="D1561" s="193" t="s">
        <v>2390</v>
      </c>
      <c r="E1561" s="212" t="s">
        <v>545</v>
      </c>
      <c r="F1561" s="215">
        <v>86</v>
      </c>
      <c r="G1561" s="194">
        <v>0.1061</v>
      </c>
      <c r="H1561" s="195">
        <v>9.1245999999999992</v>
      </c>
      <c r="I1561" s="212" t="s">
        <v>2354</v>
      </c>
    </row>
    <row r="1562" spans="1:9" x14ac:dyDescent="0.25">
      <c r="A1562" s="193" t="s">
        <v>220</v>
      </c>
      <c r="B1562" s="193" t="s">
        <v>2351</v>
      </c>
      <c r="C1562" s="214" t="s">
        <v>3739</v>
      </c>
      <c r="D1562" s="193" t="s">
        <v>3740</v>
      </c>
      <c r="E1562" s="212" t="s">
        <v>545</v>
      </c>
      <c r="F1562" s="215">
        <v>3</v>
      </c>
      <c r="G1562" s="194">
        <v>3.044</v>
      </c>
      <c r="H1562" s="195">
        <v>9.1319999999999997</v>
      </c>
      <c r="I1562" s="212" t="s">
        <v>2354</v>
      </c>
    </row>
    <row r="1563" spans="1:9" x14ac:dyDescent="0.25">
      <c r="A1563" s="193" t="s">
        <v>220</v>
      </c>
      <c r="B1563" s="193" t="s">
        <v>2351</v>
      </c>
      <c r="C1563" s="214" t="s">
        <v>3665</v>
      </c>
      <c r="D1563" s="193" t="s">
        <v>3666</v>
      </c>
      <c r="E1563" s="212" t="s">
        <v>545</v>
      </c>
      <c r="F1563" s="215">
        <v>5</v>
      </c>
      <c r="G1563" s="194">
        <v>1.83</v>
      </c>
      <c r="H1563" s="195">
        <v>9.15</v>
      </c>
      <c r="I1563" s="212" t="s">
        <v>2354</v>
      </c>
    </row>
    <row r="1564" spans="1:9" x14ac:dyDescent="0.25">
      <c r="A1564" s="193" t="s">
        <v>220</v>
      </c>
      <c r="B1564" s="193" t="s">
        <v>5430</v>
      </c>
      <c r="C1564" s="214" t="s">
        <v>7035</v>
      </c>
      <c r="D1564" s="193" t="s">
        <v>7036</v>
      </c>
      <c r="E1564" s="212" t="s">
        <v>545</v>
      </c>
      <c r="F1564" s="215">
        <v>20</v>
      </c>
      <c r="G1564" s="194">
        <v>0.45760000000000006</v>
      </c>
      <c r="H1564" s="195">
        <v>9.152000000000001</v>
      </c>
      <c r="I1564" s="212" t="s">
        <v>2354</v>
      </c>
    </row>
    <row r="1565" spans="1:9" x14ac:dyDescent="0.25">
      <c r="A1565" s="193" t="s">
        <v>220</v>
      </c>
      <c r="B1565" s="193" t="s">
        <v>2351</v>
      </c>
      <c r="C1565" s="214" t="s">
        <v>4071</v>
      </c>
      <c r="D1565" s="193" t="s">
        <v>4072</v>
      </c>
      <c r="E1565" s="212" t="s">
        <v>2473</v>
      </c>
      <c r="F1565" s="215">
        <v>78</v>
      </c>
      <c r="G1565" s="194">
        <v>0.11814</v>
      </c>
      <c r="H1565" s="195">
        <v>9.2149199999999993</v>
      </c>
      <c r="I1565" s="212" t="s">
        <v>2354</v>
      </c>
    </row>
    <row r="1566" spans="1:9" x14ac:dyDescent="0.25">
      <c r="A1566" s="193" t="s">
        <v>220</v>
      </c>
      <c r="B1566" s="193" t="s">
        <v>5430</v>
      </c>
      <c r="C1566" s="214" t="s">
        <v>3523</v>
      </c>
      <c r="D1566" s="193" t="s">
        <v>3524</v>
      </c>
      <c r="E1566" s="212" t="s">
        <v>545</v>
      </c>
      <c r="F1566" s="215">
        <v>8</v>
      </c>
      <c r="G1566" s="194">
        <v>1.153</v>
      </c>
      <c r="H1566" s="195">
        <v>9.2240000000000002</v>
      </c>
      <c r="I1566" s="212" t="s">
        <v>2354</v>
      </c>
    </row>
    <row r="1567" spans="1:9" x14ac:dyDescent="0.25">
      <c r="A1567" s="193" t="s">
        <v>220</v>
      </c>
      <c r="B1567" s="193" t="s">
        <v>2351</v>
      </c>
      <c r="C1567" s="214" t="s">
        <v>5188</v>
      </c>
      <c r="D1567" s="193" t="s">
        <v>5189</v>
      </c>
      <c r="E1567" s="212" t="s">
        <v>545</v>
      </c>
      <c r="F1567" s="215">
        <v>2</v>
      </c>
      <c r="G1567" s="194">
        <v>4.6139999999999999</v>
      </c>
      <c r="H1567" s="195">
        <v>9.2279999999999998</v>
      </c>
      <c r="I1567" s="212" t="s">
        <v>2354</v>
      </c>
    </row>
    <row r="1568" spans="1:9" x14ac:dyDescent="0.25">
      <c r="A1568" s="193" t="s">
        <v>220</v>
      </c>
      <c r="B1568" s="193" t="s">
        <v>5430</v>
      </c>
      <c r="C1568" s="214" t="s">
        <v>6459</v>
      </c>
      <c r="D1568" s="193" t="s">
        <v>6460</v>
      </c>
      <c r="E1568" s="212" t="s">
        <v>545</v>
      </c>
      <c r="F1568" s="215">
        <v>12</v>
      </c>
      <c r="G1568" s="194">
        <v>0.77</v>
      </c>
      <c r="H1568" s="195">
        <v>9.24</v>
      </c>
      <c r="I1568" s="212" t="s">
        <v>2354</v>
      </c>
    </row>
    <row r="1569" spans="1:9" x14ac:dyDescent="0.25">
      <c r="A1569" s="193" t="s">
        <v>220</v>
      </c>
      <c r="B1569" s="193" t="s">
        <v>2351</v>
      </c>
      <c r="C1569" s="214" t="s">
        <v>3297</v>
      </c>
      <c r="D1569" s="193" t="s">
        <v>3298</v>
      </c>
      <c r="E1569" s="212" t="s">
        <v>545</v>
      </c>
      <c r="F1569" s="215">
        <v>4</v>
      </c>
      <c r="G1569" s="194">
        <v>2.3119999999999998</v>
      </c>
      <c r="H1569" s="195">
        <v>9.2479999999999993</v>
      </c>
      <c r="I1569" s="212" t="s">
        <v>2354</v>
      </c>
    </row>
    <row r="1570" spans="1:9" x14ac:dyDescent="0.25">
      <c r="A1570" s="193" t="s">
        <v>220</v>
      </c>
      <c r="B1570" s="193" t="s">
        <v>5430</v>
      </c>
      <c r="C1570" s="214" t="s">
        <v>4644</v>
      </c>
      <c r="D1570" s="193" t="s">
        <v>4645</v>
      </c>
      <c r="E1570" s="212" t="s">
        <v>545</v>
      </c>
      <c r="F1570" s="215">
        <v>25</v>
      </c>
      <c r="G1570" s="194">
        <v>0.37094660194174761</v>
      </c>
      <c r="H1570" s="195">
        <v>9.2736650485436911</v>
      </c>
      <c r="I1570" s="212" t="s">
        <v>2354</v>
      </c>
    </row>
    <row r="1571" spans="1:9" x14ac:dyDescent="0.25">
      <c r="A1571" s="193" t="s">
        <v>220</v>
      </c>
      <c r="B1571" s="193" t="s">
        <v>2351</v>
      </c>
      <c r="C1571" s="214" t="s">
        <v>4075</v>
      </c>
      <c r="D1571" s="193" t="s">
        <v>4076</v>
      </c>
      <c r="E1571" s="212" t="s">
        <v>545</v>
      </c>
      <c r="F1571" s="215">
        <v>12</v>
      </c>
      <c r="G1571" s="194">
        <v>0.77371794871794874</v>
      </c>
      <c r="H1571" s="195">
        <v>9.2846153846153854</v>
      </c>
      <c r="I1571" s="212" t="s">
        <v>2354</v>
      </c>
    </row>
    <row r="1572" spans="1:9" x14ac:dyDescent="0.25">
      <c r="A1572" s="193" t="s">
        <v>220</v>
      </c>
      <c r="B1572" s="193" t="s">
        <v>2351</v>
      </c>
      <c r="C1572" s="214" t="s">
        <v>3281</v>
      </c>
      <c r="D1572" s="193" t="s">
        <v>3282</v>
      </c>
      <c r="E1572" s="212" t="s">
        <v>545</v>
      </c>
      <c r="F1572" s="215">
        <v>2</v>
      </c>
      <c r="G1572" s="194">
        <v>4.6609999999999996</v>
      </c>
      <c r="H1572" s="195">
        <v>9.3219999999999992</v>
      </c>
      <c r="I1572" s="212" t="s">
        <v>2354</v>
      </c>
    </row>
    <row r="1573" spans="1:9" x14ac:dyDescent="0.25">
      <c r="A1573" s="193" t="s">
        <v>220</v>
      </c>
      <c r="B1573" s="193" t="s">
        <v>2351</v>
      </c>
      <c r="C1573" s="214" t="s">
        <v>3227</v>
      </c>
      <c r="D1573" s="193" t="s">
        <v>3228</v>
      </c>
      <c r="E1573" s="212" t="s">
        <v>545</v>
      </c>
      <c r="F1573" s="215">
        <v>4</v>
      </c>
      <c r="G1573" s="194">
        <v>2.3380000000000001</v>
      </c>
      <c r="H1573" s="195">
        <v>9.3520000000000003</v>
      </c>
      <c r="I1573" s="212" t="s">
        <v>2354</v>
      </c>
    </row>
    <row r="1574" spans="1:9" x14ac:dyDescent="0.25">
      <c r="A1574" s="193" t="s">
        <v>220</v>
      </c>
      <c r="B1574" s="193" t="s">
        <v>2351</v>
      </c>
      <c r="C1574" s="214" t="s">
        <v>3319</v>
      </c>
      <c r="D1574" s="193" t="s">
        <v>3320</v>
      </c>
      <c r="E1574" s="212" t="s">
        <v>545</v>
      </c>
      <c r="F1574" s="215">
        <v>8</v>
      </c>
      <c r="G1574" s="194">
        <v>1.171</v>
      </c>
      <c r="H1574" s="195">
        <v>9.3680000000000003</v>
      </c>
      <c r="I1574" s="212" t="s">
        <v>2354</v>
      </c>
    </row>
    <row r="1575" spans="1:9" x14ac:dyDescent="0.25">
      <c r="A1575" s="193" t="s">
        <v>220</v>
      </c>
      <c r="B1575" s="193" t="s">
        <v>2351</v>
      </c>
      <c r="C1575" s="214" t="s">
        <v>3833</v>
      </c>
      <c r="D1575" s="193" t="s">
        <v>3834</v>
      </c>
      <c r="E1575" s="212" t="s">
        <v>545</v>
      </c>
      <c r="F1575" s="215">
        <v>8</v>
      </c>
      <c r="G1575" s="194">
        <v>1.173</v>
      </c>
      <c r="H1575" s="195">
        <v>9.3840000000000003</v>
      </c>
      <c r="I1575" s="212" t="s">
        <v>2354</v>
      </c>
    </row>
    <row r="1576" spans="1:9" x14ac:dyDescent="0.25">
      <c r="A1576" s="193" t="s">
        <v>220</v>
      </c>
      <c r="B1576" s="193" t="s">
        <v>2351</v>
      </c>
      <c r="C1576" s="214" t="s">
        <v>3477</v>
      </c>
      <c r="D1576" s="193" t="s">
        <v>3478</v>
      </c>
      <c r="E1576" s="212" t="s">
        <v>545</v>
      </c>
      <c r="F1576" s="215">
        <v>1</v>
      </c>
      <c r="G1576" s="194">
        <v>9.4499999999999993</v>
      </c>
      <c r="H1576" s="195">
        <v>9.4499999999999993</v>
      </c>
      <c r="I1576" s="212" t="s">
        <v>2354</v>
      </c>
    </row>
    <row r="1577" spans="1:9" x14ac:dyDescent="0.25">
      <c r="A1577" s="193" t="s">
        <v>220</v>
      </c>
      <c r="B1577" s="193" t="s">
        <v>5430</v>
      </c>
      <c r="C1577" s="214" t="s">
        <v>6835</v>
      </c>
      <c r="D1577" s="193" t="s">
        <v>6836</v>
      </c>
      <c r="E1577" s="212" t="s">
        <v>545</v>
      </c>
      <c r="F1577" s="215">
        <v>1</v>
      </c>
      <c r="G1577" s="194">
        <v>9.4499999999999993</v>
      </c>
      <c r="H1577" s="195">
        <v>9.4499999999999993</v>
      </c>
      <c r="I1577" s="212" t="s">
        <v>2354</v>
      </c>
    </row>
    <row r="1578" spans="1:9" x14ac:dyDescent="0.25">
      <c r="A1578" s="193" t="s">
        <v>220</v>
      </c>
      <c r="B1578" s="193" t="s">
        <v>5430</v>
      </c>
      <c r="C1578" s="214" t="s">
        <v>5050</v>
      </c>
      <c r="D1578" s="193" t="s">
        <v>5051</v>
      </c>
      <c r="E1578" s="212" t="s">
        <v>545</v>
      </c>
      <c r="F1578" s="215">
        <v>7</v>
      </c>
      <c r="G1578" s="194">
        <v>1.35</v>
      </c>
      <c r="H1578" s="195">
        <v>9.4500000000000011</v>
      </c>
      <c r="I1578" s="212" t="s">
        <v>2354</v>
      </c>
    </row>
    <row r="1579" spans="1:9" x14ac:dyDescent="0.25">
      <c r="A1579" s="193" t="s">
        <v>220</v>
      </c>
      <c r="B1579" s="193" t="s">
        <v>5430</v>
      </c>
      <c r="C1579" s="214" t="s">
        <v>5895</v>
      </c>
      <c r="D1579" s="193" t="s">
        <v>5896</v>
      </c>
      <c r="E1579" s="212" t="s">
        <v>545</v>
      </c>
      <c r="F1579" s="215">
        <v>3</v>
      </c>
      <c r="G1579" s="194">
        <v>3.1560000000000001</v>
      </c>
      <c r="H1579" s="195">
        <v>9.468</v>
      </c>
      <c r="I1579" s="212" t="s">
        <v>2354</v>
      </c>
    </row>
    <row r="1580" spans="1:9" x14ac:dyDescent="0.25">
      <c r="A1580" s="193" t="s">
        <v>220</v>
      </c>
      <c r="B1580" s="193" t="s">
        <v>5430</v>
      </c>
      <c r="C1580" s="214" t="s">
        <v>6371</v>
      </c>
      <c r="D1580" s="193" t="s">
        <v>6372</v>
      </c>
      <c r="E1580" s="212" t="s">
        <v>545</v>
      </c>
      <c r="F1580" s="215">
        <v>10</v>
      </c>
      <c r="G1580" s="194">
        <v>0.95299999999999996</v>
      </c>
      <c r="H1580" s="195">
        <v>9.5299999999999994</v>
      </c>
      <c r="I1580" s="212" t="s">
        <v>2354</v>
      </c>
    </row>
    <row r="1581" spans="1:9" x14ac:dyDescent="0.25">
      <c r="A1581" s="193" t="s">
        <v>220</v>
      </c>
      <c r="B1581" s="193" t="s">
        <v>5430</v>
      </c>
      <c r="C1581" s="214" t="s">
        <v>7200</v>
      </c>
      <c r="D1581" s="193" t="s">
        <v>7201</v>
      </c>
      <c r="E1581" s="212" t="s">
        <v>545</v>
      </c>
      <c r="F1581" s="215">
        <v>32</v>
      </c>
      <c r="G1581" s="194">
        <v>0.29799999999999999</v>
      </c>
      <c r="H1581" s="195">
        <v>9.5359999999999996</v>
      </c>
      <c r="I1581" s="212" t="s">
        <v>2354</v>
      </c>
    </row>
    <row r="1582" spans="1:9" x14ac:dyDescent="0.25">
      <c r="A1582" s="193" t="s">
        <v>220</v>
      </c>
      <c r="B1582" s="193" t="s">
        <v>5430</v>
      </c>
      <c r="C1582" s="214" t="s">
        <v>6317</v>
      </c>
      <c r="D1582" s="193" t="s">
        <v>6318</v>
      </c>
      <c r="E1582" s="212" t="s">
        <v>545</v>
      </c>
      <c r="F1582" s="215">
        <v>2</v>
      </c>
      <c r="G1582" s="194">
        <v>4.7805080000000002</v>
      </c>
      <c r="H1582" s="195">
        <v>9.5610160000000004</v>
      </c>
      <c r="I1582" s="212" t="s">
        <v>2354</v>
      </c>
    </row>
    <row r="1583" spans="1:9" x14ac:dyDescent="0.25">
      <c r="A1583" s="193" t="s">
        <v>220</v>
      </c>
      <c r="B1583" s="193" t="s">
        <v>2351</v>
      </c>
      <c r="C1583" s="214" t="s">
        <v>5204</v>
      </c>
      <c r="D1583" s="193" t="s">
        <v>5205</v>
      </c>
      <c r="E1583" s="212" t="s">
        <v>545</v>
      </c>
      <c r="F1583" s="215">
        <v>8</v>
      </c>
      <c r="G1583" s="194">
        <v>1.1952</v>
      </c>
      <c r="H1583" s="195">
        <v>9.5616000000000003</v>
      </c>
      <c r="I1583" s="212" t="s">
        <v>2354</v>
      </c>
    </row>
    <row r="1584" spans="1:9" x14ac:dyDescent="0.25">
      <c r="A1584" s="193" t="s">
        <v>220</v>
      </c>
      <c r="B1584" s="193" t="s">
        <v>2351</v>
      </c>
      <c r="C1584" s="214" t="s">
        <v>3669</v>
      </c>
      <c r="D1584" s="193" t="s">
        <v>3670</v>
      </c>
      <c r="E1584" s="212" t="s">
        <v>545</v>
      </c>
      <c r="F1584" s="215">
        <v>8</v>
      </c>
      <c r="G1584" s="194">
        <v>1.2078500000000001</v>
      </c>
      <c r="H1584" s="195">
        <v>9.6628000000000007</v>
      </c>
      <c r="I1584" s="212" t="s">
        <v>2354</v>
      </c>
    </row>
    <row r="1585" spans="1:9" x14ac:dyDescent="0.25">
      <c r="A1585" s="193" t="s">
        <v>220</v>
      </c>
      <c r="B1585" s="193" t="s">
        <v>2351</v>
      </c>
      <c r="C1585" s="214" t="s">
        <v>3737</v>
      </c>
      <c r="D1585" s="193" t="s">
        <v>3738</v>
      </c>
      <c r="E1585" s="212" t="s">
        <v>545</v>
      </c>
      <c r="F1585" s="215">
        <v>2</v>
      </c>
      <c r="G1585" s="194">
        <v>4.8340857142857141</v>
      </c>
      <c r="H1585" s="195">
        <v>9.6681714285714282</v>
      </c>
      <c r="I1585" s="212" t="s">
        <v>2354</v>
      </c>
    </row>
    <row r="1586" spans="1:9" x14ac:dyDescent="0.25">
      <c r="A1586" s="193" t="s">
        <v>220</v>
      </c>
      <c r="B1586" s="193" t="s">
        <v>2351</v>
      </c>
      <c r="C1586" s="214" t="s">
        <v>4582</v>
      </c>
      <c r="D1586" s="193" t="s">
        <v>4583</v>
      </c>
      <c r="E1586" s="212" t="s">
        <v>545</v>
      </c>
      <c r="F1586" s="215">
        <v>2</v>
      </c>
      <c r="G1586" s="194">
        <v>4.8380000000000001</v>
      </c>
      <c r="H1586" s="195">
        <v>9.6760000000000002</v>
      </c>
      <c r="I1586" s="212" t="s">
        <v>2354</v>
      </c>
    </row>
    <row r="1587" spans="1:9" x14ac:dyDescent="0.25">
      <c r="A1587" s="193" t="s">
        <v>220</v>
      </c>
      <c r="B1587" s="193" t="s">
        <v>5430</v>
      </c>
      <c r="C1587" s="214" t="s">
        <v>6569</v>
      </c>
      <c r="D1587" s="193" t="s">
        <v>6570</v>
      </c>
      <c r="E1587" s="212" t="s">
        <v>545</v>
      </c>
      <c r="F1587" s="215">
        <v>3</v>
      </c>
      <c r="G1587" s="194">
        <v>3.2274000000000003</v>
      </c>
      <c r="H1587" s="195">
        <v>9.6822000000000017</v>
      </c>
      <c r="I1587" s="212" t="s">
        <v>2354</v>
      </c>
    </row>
    <row r="1588" spans="1:9" x14ac:dyDescent="0.25">
      <c r="A1588" s="193" t="s">
        <v>220</v>
      </c>
      <c r="B1588" s="193" t="s">
        <v>5430</v>
      </c>
      <c r="C1588" s="214" t="s">
        <v>6333</v>
      </c>
      <c r="D1588" s="193" t="s">
        <v>6334</v>
      </c>
      <c r="E1588" s="212" t="s">
        <v>545</v>
      </c>
      <c r="F1588" s="215">
        <v>6</v>
      </c>
      <c r="G1588" s="194">
        <v>1.6160000000000001</v>
      </c>
      <c r="H1588" s="195">
        <v>9.6960000000000015</v>
      </c>
      <c r="I1588" s="212" t="s">
        <v>2354</v>
      </c>
    </row>
    <row r="1589" spans="1:9" x14ac:dyDescent="0.25">
      <c r="A1589" s="193" t="s">
        <v>220</v>
      </c>
      <c r="B1589" s="193" t="s">
        <v>5430</v>
      </c>
      <c r="C1589" s="214" t="s">
        <v>4065</v>
      </c>
      <c r="D1589" s="193" t="s">
        <v>4066</v>
      </c>
      <c r="E1589" s="212" t="s">
        <v>545</v>
      </c>
      <c r="F1589" s="215">
        <v>44</v>
      </c>
      <c r="G1589" s="194">
        <v>0.22196666666666667</v>
      </c>
      <c r="H1589" s="195">
        <v>9.7665333333333333</v>
      </c>
      <c r="I1589" s="212" t="s">
        <v>2354</v>
      </c>
    </row>
    <row r="1590" spans="1:9" x14ac:dyDescent="0.25">
      <c r="A1590" s="193" t="s">
        <v>220</v>
      </c>
      <c r="B1590" s="193" t="s">
        <v>2351</v>
      </c>
      <c r="C1590" s="214" t="s">
        <v>3329</v>
      </c>
      <c r="D1590" s="193" t="s">
        <v>3330</v>
      </c>
      <c r="E1590" s="212" t="s">
        <v>545</v>
      </c>
      <c r="F1590" s="215">
        <v>15</v>
      </c>
      <c r="G1590" s="194">
        <v>0.65705000000000002</v>
      </c>
      <c r="H1590" s="195">
        <v>9.8557500000000005</v>
      </c>
      <c r="I1590" s="212" t="s">
        <v>2354</v>
      </c>
    </row>
    <row r="1591" spans="1:9" x14ac:dyDescent="0.25">
      <c r="A1591" s="193" t="s">
        <v>220</v>
      </c>
      <c r="B1591" s="193" t="s">
        <v>2351</v>
      </c>
      <c r="C1591" s="214" t="s">
        <v>5290</v>
      </c>
      <c r="D1591" s="193" t="s">
        <v>5291</v>
      </c>
      <c r="E1591" s="212" t="s">
        <v>545</v>
      </c>
      <c r="F1591" s="215">
        <v>1</v>
      </c>
      <c r="G1591" s="194">
        <v>9.8927999999999994</v>
      </c>
      <c r="H1591" s="195">
        <v>9.8927999999999994</v>
      </c>
      <c r="I1591" s="212" t="s">
        <v>2354</v>
      </c>
    </row>
    <row r="1592" spans="1:9" x14ac:dyDescent="0.25">
      <c r="A1592" s="193" t="s">
        <v>220</v>
      </c>
      <c r="B1592" s="193" t="s">
        <v>5430</v>
      </c>
      <c r="C1592" s="214" t="s">
        <v>4063</v>
      </c>
      <c r="D1592" s="193" t="s">
        <v>4064</v>
      </c>
      <c r="E1592" s="212" t="s">
        <v>545</v>
      </c>
      <c r="F1592" s="215">
        <v>132</v>
      </c>
      <c r="G1592" s="194">
        <v>7.4999999999999997E-2</v>
      </c>
      <c r="H1592" s="195">
        <v>9.9</v>
      </c>
      <c r="I1592" s="212" t="s">
        <v>2354</v>
      </c>
    </row>
    <row r="1593" spans="1:9" x14ac:dyDescent="0.25">
      <c r="A1593" s="193" t="s">
        <v>220</v>
      </c>
      <c r="B1593" s="193" t="s">
        <v>2351</v>
      </c>
      <c r="C1593" s="214" t="s">
        <v>4784</v>
      </c>
      <c r="D1593" s="193" t="s">
        <v>4785</v>
      </c>
      <c r="E1593" s="212" t="s">
        <v>545</v>
      </c>
      <c r="F1593" s="215">
        <v>48</v>
      </c>
      <c r="G1593" s="194">
        <v>0.20699999999999999</v>
      </c>
      <c r="H1593" s="195">
        <v>9.9359999999999999</v>
      </c>
      <c r="I1593" s="212" t="s">
        <v>2354</v>
      </c>
    </row>
    <row r="1594" spans="1:9" x14ac:dyDescent="0.25">
      <c r="A1594" s="193" t="s">
        <v>220</v>
      </c>
      <c r="B1594" s="193" t="s">
        <v>5430</v>
      </c>
      <c r="C1594" s="214" t="s">
        <v>3251</v>
      </c>
      <c r="D1594" s="193" t="s">
        <v>3252</v>
      </c>
      <c r="E1594" s="212" t="s">
        <v>545</v>
      </c>
      <c r="F1594" s="215">
        <v>3</v>
      </c>
      <c r="G1594" s="194">
        <v>3.3184</v>
      </c>
      <c r="H1594" s="195">
        <v>9.9551999999999996</v>
      </c>
      <c r="I1594" s="212" t="s">
        <v>2354</v>
      </c>
    </row>
    <row r="1595" spans="1:9" x14ac:dyDescent="0.25">
      <c r="A1595" s="193" t="s">
        <v>220</v>
      </c>
      <c r="B1595" s="193" t="s">
        <v>5430</v>
      </c>
      <c r="C1595" s="214" t="s">
        <v>4143</v>
      </c>
      <c r="D1595" s="193" t="s">
        <v>4144</v>
      </c>
      <c r="E1595" s="212" t="s">
        <v>545</v>
      </c>
      <c r="F1595" s="215">
        <v>2</v>
      </c>
      <c r="G1595" s="194">
        <v>5</v>
      </c>
      <c r="H1595" s="195">
        <v>10</v>
      </c>
      <c r="I1595" s="212" t="s">
        <v>2354</v>
      </c>
    </row>
    <row r="1596" spans="1:9" x14ac:dyDescent="0.25">
      <c r="A1596" s="193" t="s">
        <v>220</v>
      </c>
      <c r="B1596" s="193" t="s">
        <v>5430</v>
      </c>
      <c r="C1596" s="214" t="s">
        <v>6325</v>
      </c>
      <c r="D1596" s="193" t="s">
        <v>6326</v>
      </c>
      <c r="E1596" s="212" t="s">
        <v>545</v>
      </c>
      <c r="F1596" s="215">
        <v>2</v>
      </c>
      <c r="G1596" s="194">
        <v>5.0022000000000002</v>
      </c>
      <c r="H1596" s="195">
        <v>10.0044</v>
      </c>
      <c r="I1596" s="212" t="s">
        <v>2354</v>
      </c>
    </row>
    <row r="1597" spans="1:9" x14ac:dyDescent="0.25">
      <c r="A1597" s="193" t="s">
        <v>220</v>
      </c>
      <c r="B1597" s="193" t="s">
        <v>2351</v>
      </c>
      <c r="C1597" s="214" t="s">
        <v>4921</v>
      </c>
      <c r="D1597" s="193" t="s">
        <v>4922</v>
      </c>
      <c r="E1597" s="212" t="s">
        <v>545</v>
      </c>
      <c r="F1597" s="215">
        <v>435</v>
      </c>
      <c r="G1597" s="194">
        <v>2.3E-2</v>
      </c>
      <c r="H1597" s="195">
        <v>10.004999999999999</v>
      </c>
      <c r="I1597" s="212" t="s">
        <v>2354</v>
      </c>
    </row>
    <row r="1598" spans="1:9" x14ac:dyDescent="0.25">
      <c r="A1598" s="193" t="s">
        <v>220</v>
      </c>
      <c r="B1598" s="193" t="s">
        <v>5430</v>
      </c>
      <c r="C1598" s="214" t="s">
        <v>4869</v>
      </c>
      <c r="D1598" s="193" t="s">
        <v>4870</v>
      </c>
      <c r="E1598" s="212" t="s">
        <v>545</v>
      </c>
      <c r="F1598" s="215">
        <v>12</v>
      </c>
      <c r="G1598" s="194">
        <v>0.83717239130434784</v>
      </c>
      <c r="H1598" s="195">
        <v>10.046068695652174</v>
      </c>
      <c r="I1598" s="212" t="s">
        <v>2354</v>
      </c>
    </row>
    <row r="1599" spans="1:9" x14ac:dyDescent="0.25">
      <c r="A1599" s="193" t="s">
        <v>220</v>
      </c>
      <c r="B1599" s="193" t="s">
        <v>5430</v>
      </c>
      <c r="C1599" s="214" t="s">
        <v>3325</v>
      </c>
      <c r="D1599" s="193" t="s">
        <v>3326</v>
      </c>
      <c r="E1599" s="212" t="s">
        <v>545</v>
      </c>
      <c r="F1599" s="215">
        <v>35</v>
      </c>
      <c r="G1599" s="194">
        <v>0.28736</v>
      </c>
      <c r="H1599" s="195">
        <v>10.057600000000001</v>
      </c>
      <c r="I1599" s="212" t="s">
        <v>2354</v>
      </c>
    </row>
    <row r="1600" spans="1:9" x14ac:dyDescent="0.25">
      <c r="A1600" s="193" t="s">
        <v>220</v>
      </c>
      <c r="B1600" s="193" t="s">
        <v>2351</v>
      </c>
      <c r="C1600" s="214" t="s">
        <v>3321</v>
      </c>
      <c r="D1600" s="193" t="s">
        <v>3322</v>
      </c>
      <c r="E1600" s="212" t="s">
        <v>545</v>
      </c>
      <c r="F1600" s="215">
        <v>53</v>
      </c>
      <c r="G1600" s="194">
        <v>0.18990909090909092</v>
      </c>
      <c r="H1600" s="195">
        <v>10.065181818181818</v>
      </c>
      <c r="I1600" s="212" t="s">
        <v>2354</v>
      </c>
    </row>
    <row r="1601" spans="1:9" x14ac:dyDescent="0.25">
      <c r="A1601" s="193" t="s">
        <v>220</v>
      </c>
      <c r="B1601" s="193" t="s">
        <v>2351</v>
      </c>
      <c r="C1601" s="214" t="s">
        <v>5206</v>
      </c>
      <c r="D1601" s="193" t="s">
        <v>5207</v>
      </c>
      <c r="E1601" s="212" t="s">
        <v>545</v>
      </c>
      <c r="F1601" s="215">
        <v>10</v>
      </c>
      <c r="G1601" s="194">
        <v>1.0109999999999999</v>
      </c>
      <c r="H1601" s="195">
        <v>10.11</v>
      </c>
      <c r="I1601" s="212" t="s">
        <v>2354</v>
      </c>
    </row>
    <row r="1602" spans="1:9" x14ac:dyDescent="0.25">
      <c r="A1602" s="193" t="s">
        <v>220</v>
      </c>
      <c r="B1602" s="193" t="s">
        <v>5430</v>
      </c>
      <c r="C1602" s="214" t="s">
        <v>3683</v>
      </c>
      <c r="D1602" s="193" t="s">
        <v>3684</v>
      </c>
      <c r="E1602" s="212" t="s">
        <v>545</v>
      </c>
      <c r="F1602" s="215">
        <v>5</v>
      </c>
      <c r="G1602" s="194">
        <v>2.0278500000000004</v>
      </c>
      <c r="H1602" s="195">
        <v>10.139250000000002</v>
      </c>
      <c r="I1602" s="212" t="s">
        <v>2354</v>
      </c>
    </row>
    <row r="1603" spans="1:9" x14ac:dyDescent="0.25">
      <c r="A1603" s="193" t="s">
        <v>220</v>
      </c>
      <c r="B1603" s="193" t="s">
        <v>2351</v>
      </c>
      <c r="C1603" s="214" t="s">
        <v>2910</v>
      </c>
      <c r="D1603" s="193" t="s">
        <v>2911</v>
      </c>
      <c r="E1603" s="212" t="s">
        <v>545</v>
      </c>
      <c r="F1603" s="215">
        <v>1</v>
      </c>
      <c r="G1603" s="194">
        <v>10.143000000000001</v>
      </c>
      <c r="H1603" s="195">
        <v>10.143000000000001</v>
      </c>
      <c r="I1603" s="212" t="s">
        <v>2354</v>
      </c>
    </row>
    <row r="1604" spans="1:9" x14ac:dyDescent="0.25">
      <c r="A1604" s="193" t="s">
        <v>220</v>
      </c>
      <c r="B1604" s="193" t="s">
        <v>2351</v>
      </c>
      <c r="C1604" s="214" t="s">
        <v>2928</v>
      </c>
      <c r="D1604" s="193" t="s">
        <v>2929</v>
      </c>
      <c r="E1604" s="212" t="s">
        <v>545</v>
      </c>
      <c r="F1604" s="215">
        <v>1</v>
      </c>
      <c r="G1604" s="194">
        <v>10.143000000000001</v>
      </c>
      <c r="H1604" s="195">
        <v>10.143000000000001</v>
      </c>
      <c r="I1604" s="212" t="s">
        <v>2354</v>
      </c>
    </row>
    <row r="1605" spans="1:9" x14ac:dyDescent="0.25">
      <c r="A1605" s="193" t="s">
        <v>220</v>
      </c>
      <c r="B1605" s="193" t="s">
        <v>5430</v>
      </c>
      <c r="C1605" s="214" t="s">
        <v>5856</v>
      </c>
      <c r="D1605" s="193" t="s">
        <v>5857</v>
      </c>
      <c r="E1605" s="212" t="s">
        <v>545</v>
      </c>
      <c r="F1605" s="215">
        <v>1</v>
      </c>
      <c r="G1605" s="194">
        <v>10.143000000000001</v>
      </c>
      <c r="H1605" s="195">
        <v>10.143000000000001</v>
      </c>
      <c r="I1605" s="212" t="s">
        <v>2354</v>
      </c>
    </row>
    <row r="1606" spans="1:9" x14ac:dyDescent="0.25">
      <c r="A1606" s="193" t="s">
        <v>220</v>
      </c>
      <c r="B1606" s="193" t="s">
        <v>2351</v>
      </c>
      <c r="C1606" s="214" t="s">
        <v>3689</v>
      </c>
      <c r="D1606" s="193" t="s">
        <v>3690</v>
      </c>
      <c r="E1606" s="212" t="s">
        <v>545</v>
      </c>
      <c r="F1606" s="215">
        <v>7</v>
      </c>
      <c r="G1606" s="194">
        <v>1.4553636363636364</v>
      </c>
      <c r="H1606" s="195">
        <v>10.187545454545456</v>
      </c>
      <c r="I1606" s="212" t="s">
        <v>2354</v>
      </c>
    </row>
    <row r="1607" spans="1:9" x14ac:dyDescent="0.25">
      <c r="A1607" s="193" t="s">
        <v>220</v>
      </c>
      <c r="B1607" s="193" t="s">
        <v>2351</v>
      </c>
      <c r="C1607" s="214" t="s">
        <v>4764</v>
      </c>
      <c r="D1607" s="193" t="s">
        <v>4765</v>
      </c>
      <c r="E1607" s="212" t="s">
        <v>545</v>
      </c>
      <c r="F1607" s="215">
        <v>310</v>
      </c>
      <c r="G1607" s="194">
        <v>3.3000000000000002E-2</v>
      </c>
      <c r="H1607" s="195">
        <v>10.23</v>
      </c>
      <c r="I1607" s="212" t="s">
        <v>2354</v>
      </c>
    </row>
    <row r="1608" spans="1:9" x14ac:dyDescent="0.25">
      <c r="A1608" s="193" t="s">
        <v>220</v>
      </c>
      <c r="B1608" s="193" t="s">
        <v>5430</v>
      </c>
      <c r="C1608" s="214" t="s">
        <v>6573</v>
      </c>
      <c r="D1608" s="193" t="s">
        <v>6574</v>
      </c>
      <c r="E1608" s="212" t="s">
        <v>545</v>
      </c>
      <c r="F1608" s="215">
        <v>27</v>
      </c>
      <c r="G1608" s="194">
        <v>0.38250000000000006</v>
      </c>
      <c r="H1608" s="195">
        <v>10.327500000000002</v>
      </c>
      <c r="I1608" s="212" t="s">
        <v>2354</v>
      </c>
    </row>
    <row r="1609" spans="1:9" x14ac:dyDescent="0.25">
      <c r="A1609" s="193" t="s">
        <v>220</v>
      </c>
      <c r="B1609" s="193" t="s">
        <v>2351</v>
      </c>
      <c r="C1609" s="214" t="s">
        <v>2728</v>
      </c>
      <c r="D1609" s="193" t="s">
        <v>2729</v>
      </c>
      <c r="E1609" s="212" t="s">
        <v>545</v>
      </c>
      <c r="F1609" s="215">
        <v>2</v>
      </c>
      <c r="G1609" s="194">
        <v>5.1738</v>
      </c>
      <c r="H1609" s="195">
        <v>10.3476</v>
      </c>
      <c r="I1609" s="212" t="s">
        <v>2354</v>
      </c>
    </row>
    <row r="1610" spans="1:9" x14ac:dyDescent="0.25">
      <c r="A1610" s="193" t="s">
        <v>220</v>
      </c>
      <c r="B1610" s="193" t="s">
        <v>2351</v>
      </c>
      <c r="C1610" s="214" t="s">
        <v>2794</v>
      </c>
      <c r="D1610" s="193" t="s">
        <v>2795</v>
      </c>
      <c r="E1610" s="212" t="s">
        <v>545</v>
      </c>
      <c r="F1610" s="215">
        <v>1</v>
      </c>
      <c r="G1610" s="194">
        <v>10.35</v>
      </c>
      <c r="H1610" s="195">
        <v>10.35</v>
      </c>
      <c r="I1610" s="212" t="s">
        <v>2354</v>
      </c>
    </row>
    <row r="1611" spans="1:9" x14ac:dyDescent="0.25">
      <c r="A1611" s="193" t="s">
        <v>220</v>
      </c>
      <c r="B1611" s="193" t="s">
        <v>2351</v>
      </c>
      <c r="C1611" s="214" t="s">
        <v>2796</v>
      </c>
      <c r="D1611" s="193" t="s">
        <v>2797</v>
      </c>
      <c r="E1611" s="212" t="s">
        <v>545</v>
      </c>
      <c r="F1611" s="215">
        <v>1</v>
      </c>
      <c r="G1611" s="194">
        <v>10.35</v>
      </c>
      <c r="H1611" s="195">
        <v>10.35</v>
      </c>
      <c r="I1611" s="212" t="s">
        <v>2354</v>
      </c>
    </row>
    <row r="1612" spans="1:9" x14ac:dyDescent="0.25">
      <c r="A1612" s="193" t="s">
        <v>220</v>
      </c>
      <c r="B1612" s="193" t="s">
        <v>2351</v>
      </c>
      <c r="C1612" s="214" t="s">
        <v>2800</v>
      </c>
      <c r="D1612" s="193" t="s">
        <v>2801</v>
      </c>
      <c r="E1612" s="212" t="s">
        <v>545</v>
      </c>
      <c r="F1612" s="215">
        <v>1</v>
      </c>
      <c r="G1612" s="194">
        <v>10.35</v>
      </c>
      <c r="H1612" s="195">
        <v>10.35</v>
      </c>
      <c r="I1612" s="212" t="s">
        <v>2354</v>
      </c>
    </row>
    <row r="1613" spans="1:9" x14ac:dyDescent="0.25">
      <c r="A1613" s="193" t="s">
        <v>220</v>
      </c>
      <c r="B1613" s="193" t="s">
        <v>5430</v>
      </c>
      <c r="C1613" s="214" t="s">
        <v>5765</v>
      </c>
      <c r="D1613" s="193" t="s">
        <v>5766</v>
      </c>
      <c r="E1613" s="212" t="s">
        <v>545</v>
      </c>
      <c r="F1613" s="215">
        <v>1</v>
      </c>
      <c r="G1613" s="194">
        <v>10.35</v>
      </c>
      <c r="H1613" s="195">
        <v>10.35</v>
      </c>
      <c r="I1613" s="212" t="s">
        <v>2354</v>
      </c>
    </row>
    <row r="1614" spans="1:9" x14ac:dyDescent="0.25">
      <c r="A1614" s="193" t="s">
        <v>220</v>
      </c>
      <c r="B1614" s="193" t="s">
        <v>5430</v>
      </c>
      <c r="C1614" s="214" t="s">
        <v>5767</v>
      </c>
      <c r="D1614" s="193" t="s">
        <v>5768</v>
      </c>
      <c r="E1614" s="212" t="s">
        <v>545</v>
      </c>
      <c r="F1614" s="215">
        <v>1</v>
      </c>
      <c r="G1614" s="194">
        <v>10.35</v>
      </c>
      <c r="H1614" s="195">
        <v>10.35</v>
      </c>
      <c r="I1614" s="212" t="s">
        <v>2354</v>
      </c>
    </row>
    <row r="1615" spans="1:9" x14ac:dyDescent="0.25">
      <c r="A1615" s="193" t="s">
        <v>220</v>
      </c>
      <c r="B1615" s="193" t="s">
        <v>5430</v>
      </c>
      <c r="C1615" s="214" t="s">
        <v>5769</v>
      </c>
      <c r="D1615" s="193" t="s">
        <v>5770</v>
      </c>
      <c r="E1615" s="212" t="s">
        <v>545</v>
      </c>
      <c r="F1615" s="215">
        <v>1</v>
      </c>
      <c r="G1615" s="194">
        <v>10.35</v>
      </c>
      <c r="H1615" s="195">
        <v>10.35</v>
      </c>
      <c r="I1615" s="212" t="s">
        <v>2354</v>
      </c>
    </row>
    <row r="1616" spans="1:9" x14ac:dyDescent="0.25">
      <c r="A1616" s="193" t="s">
        <v>220</v>
      </c>
      <c r="B1616" s="193" t="s">
        <v>5430</v>
      </c>
      <c r="C1616" s="214" t="s">
        <v>7039</v>
      </c>
      <c r="D1616" s="193" t="s">
        <v>7040</v>
      </c>
      <c r="E1616" s="212" t="s">
        <v>545</v>
      </c>
      <c r="F1616" s="215">
        <v>7</v>
      </c>
      <c r="G1616" s="194">
        <v>1.48</v>
      </c>
      <c r="H1616" s="195">
        <v>10.36</v>
      </c>
      <c r="I1616" s="212" t="s">
        <v>2354</v>
      </c>
    </row>
    <row r="1617" spans="1:9" x14ac:dyDescent="0.25">
      <c r="A1617" s="193" t="s">
        <v>220</v>
      </c>
      <c r="B1617" s="193" t="s">
        <v>2351</v>
      </c>
      <c r="C1617" s="214" t="s">
        <v>4951</v>
      </c>
      <c r="D1617" s="193" t="s">
        <v>4952</v>
      </c>
      <c r="E1617" s="212" t="s">
        <v>545</v>
      </c>
      <c r="F1617" s="215">
        <v>55</v>
      </c>
      <c r="G1617" s="194">
        <v>0.189</v>
      </c>
      <c r="H1617" s="195">
        <v>10.395</v>
      </c>
      <c r="I1617" s="212" t="s">
        <v>2354</v>
      </c>
    </row>
    <row r="1618" spans="1:9" x14ac:dyDescent="0.25">
      <c r="A1618" s="193" t="s">
        <v>220</v>
      </c>
      <c r="B1618" s="193" t="s">
        <v>2351</v>
      </c>
      <c r="C1618" s="214" t="s">
        <v>4558</v>
      </c>
      <c r="D1618" s="193" t="s">
        <v>4559</v>
      </c>
      <c r="E1618" s="212" t="s">
        <v>545</v>
      </c>
      <c r="F1618" s="215">
        <v>24</v>
      </c>
      <c r="G1618" s="194">
        <v>0.435</v>
      </c>
      <c r="H1618" s="195">
        <v>10.44</v>
      </c>
      <c r="I1618" s="212" t="s">
        <v>2354</v>
      </c>
    </row>
    <row r="1619" spans="1:9" x14ac:dyDescent="0.25">
      <c r="A1619" s="193" t="s">
        <v>220</v>
      </c>
      <c r="B1619" s="193" t="s">
        <v>2351</v>
      </c>
      <c r="C1619" s="214" t="s">
        <v>4359</v>
      </c>
      <c r="D1619" s="193" t="s">
        <v>4360</v>
      </c>
      <c r="E1619" s="212" t="s">
        <v>545</v>
      </c>
      <c r="F1619" s="215">
        <v>4</v>
      </c>
      <c r="G1619" s="194">
        <v>2.6100000000000003</v>
      </c>
      <c r="H1619" s="195">
        <v>10.440000000000001</v>
      </c>
      <c r="I1619" s="212" t="s">
        <v>2354</v>
      </c>
    </row>
    <row r="1620" spans="1:9" x14ac:dyDescent="0.25">
      <c r="A1620" s="193" t="s">
        <v>220</v>
      </c>
      <c r="B1620" s="193" t="s">
        <v>5430</v>
      </c>
      <c r="C1620" s="214" t="s">
        <v>6522</v>
      </c>
      <c r="D1620" s="193" t="s">
        <v>6523</v>
      </c>
      <c r="E1620" s="212" t="s">
        <v>545</v>
      </c>
      <c r="F1620" s="215">
        <v>2</v>
      </c>
      <c r="G1620" s="194">
        <v>5.2279999999999998</v>
      </c>
      <c r="H1620" s="195">
        <v>10.456</v>
      </c>
      <c r="I1620" s="212" t="s">
        <v>2354</v>
      </c>
    </row>
    <row r="1621" spans="1:9" x14ac:dyDescent="0.25">
      <c r="A1621" s="193" t="s">
        <v>220</v>
      </c>
      <c r="B1621" s="193" t="s">
        <v>5430</v>
      </c>
      <c r="C1621" s="214" t="s">
        <v>3277</v>
      </c>
      <c r="D1621" s="193" t="s">
        <v>3278</v>
      </c>
      <c r="E1621" s="212" t="s">
        <v>545</v>
      </c>
      <c r="F1621" s="215">
        <v>10</v>
      </c>
      <c r="G1621" s="194">
        <v>1.048</v>
      </c>
      <c r="H1621" s="195">
        <v>10.48</v>
      </c>
      <c r="I1621" s="212" t="s">
        <v>2354</v>
      </c>
    </row>
    <row r="1622" spans="1:9" x14ac:dyDescent="0.25">
      <c r="A1622" s="193" t="s">
        <v>220</v>
      </c>
      <c r="B1622" s="193" t="s">
        <v>5430</v>
      </c>
      <c r="C1622" s="214" t="s">
        <v>6600</v>
      </c>
      <c r="D1622" s="193" t="s">
        <v>6601</v>
      </c>
      <c r="E1622" s="212" t="s">
        <v>545</v>
      </c>
      <c r="F1622" s="215">
        <v>2</v>
      </c>
      <c r="G1622" s="194">
        <v>5.2454052631578945</v>
      </c>
      <c r="H1622" s="195">
        <v>10.490810526315789</v>
      </c>
      <c r="I1622" s="212" t="s">
        <v>2354</v>
      </c>
    </row>
    <row r="1623" spans="1:9" x14ac:dyDescent="0.25">
      <c r="A1623" s="193" t="s">
        <v>220</v>
      </c>
      <c r="B1623" s="193" t="s">
        <v>2351</v>
      </c>
      <c r="C1623" s="214" t="s">
        <v>3223</v>
      </c>
      <c r="D1623" s="193" t="s">
        <v>3224</v>
      </c>
      <c r="E1623" s="212" t="s">
        <v>545</v>
      </c>
      <c r="F1623" s="215">
        <v>7</v>
      </c>
      <c r="G1623" s="194">
        <v>1.5</v>
      </c>
      <c r="H1623" s="195">
        <v>10.5</v>
      </c>
      <c r="I1623" s="212" t="s">
        <v>2354</v>
      </c>
    </row>
    <row r="1624" spans="1:9" x14ac:dyDescent="0.25">
      <c r="A1624" s="193" t="s">
        <v>220</v>
      </c>
      <c r="B1624" s="193" t="s">
        <v>2351</v>
      </c>
      <c r="C1624" s="214" t="s">
        <v>3233</v>
      </c>
      <c r="D1624" s="193" t="s">
        <v>3234</v>
      </c>
      <c r="E1624" s="212" t="s">
        <v>545</v>
      </c>
      <c r="F1624" s="215">
        <v>3</v>
      </c>
      <c r="G1624" s="194">
        <v>3.5009999999999999</v>
      </c>
      <c r="H1624" s="195">
        <v>10.503</v>
      </c>
      <c r="I1624" s="212" t="s">
        <v>2354</v>
      </c>
    </row>
    <row r="1625" spans="1:9" x14ac:dyDescent="0.25">
      <c r="A1625" s="193" t="s">
        <v>220</v>
      </c>
      <c r="B1625" s="193" t="s">
        <v>2351</v>
      </c>
      <c r="C1625" s="214"/>
      <c r="D1625" s="193" t="s">
        <v>2394</v>
      </c>
      <c r="E1625" s="212" t="s">
        <v>545</v>
      </c>
      <c r="F1625" s="215">
        <v>5</v>
      </c>
      <c r="G1625" s="194">
        <v>2.1019999999999999</v>
      </c>
      <c r="H1625" s="195">
        <v>10.51</v>
      </c>
      <c r="I1625" s="212" t="s">
        <v>2354</v>
      </c>
    </row>
    <row r="1626" spans="1:9" x14ac:dyDescent="0.25">
      <c r="A1626" s="193" t="s">
        <v>220</v>
      </c>
      <c r="B1626" s="193" t="s">
        <v>5430</v>
      </c>
      <c r="C1626" s="214" t="s">
        <v>3319</v>
      </c>
      <c r="D1626" s="193" t="s">
        <v>3320</v>
      </c>
      <c r="E1626" s="212" t="s">
        <v>545</v>
      </c>
      <c r="F1626" s="215">
        <v>9</v>
      </c>
      <c r="G1626" s="194">
        <v>1.171</v>
      </c>
      <c r="H1626" s="195">
        <v>10.539</v>
      </c>
      <c r="I1626" s="212" t="s">
        <v>2354</v>
      </c>
    </row>
    <row r="1627" spans="1:9" x14ac:dyDescent="0.25">
      <c r="A1627" s="193" t="s">
        <v>220</v>
      </c>
      <c r="B1627" s="193" t="s">
        <v>2351</v>
      </c>
      <c r="C1627" s="214" t="s">
        <v>4351</v>
      </c>
      <c r="D1627" s="193" t="s">
        <v>4352</v>
      </c>
      <c r="E1627" s="212" t="s">
        <v>545</v>
      </c>
      <c r="F1627" s="215">
        <v>4</v>
      </c>
      <c r="G1627" s="194">
        <v>2.6530475206611572</v>
      </c>
      <c r="H1627" s="195">
        <v>10.612190082644629</v>
      </c>
      <c r="I1627" s="212" t="s">
        <v>2354</v>
      </c>
    </row>
    <row r="1628" spans="1:9" x14ac:dyDescent="0.25">
      <c r="A1628" s="193" t="s">
        <v>220</v>
      </c>
      <c r="B1628" s="193" t="s">
        <v>5430</v>
      </c>
      <c r="C1628" s="214" t="s">
        <v>6503</v>
      </c>
      <c r="D1628" s="193" t="s">
        <v>6504</v>
      </c>
      <c r="E1628" s="212" t="s">
        <v>545</v>
      </c>
      <c r="F1628" s="215">
        <v>5</v>
      </c>
      <c r="G1628" s="194">
        <v>2.125</v>
      </c>
      <c r="H1628" s="195">
        <v>10.625</v>
      </c>
      <c r="I1628" s="212" t="s">
        <v>2354</v>
      </c>
    </row>
    <row r="1629" spans="1:9" x14ac:dyDescent="0.25">
      <c r="A1629" s="193" t="s">
        <v>220</v>
      </c>
      <c r="B1629" s="193" t="s">
        <v>2351</v>
      </c>
      <c r="C1629" s="214" t="s">
        <v>2367</v>
      </c>
      <c r="D1629" s="193" t="s">
        <v>2368</v>
      </c>
      <c r="E1629" s="212" t="s">
        <v>545</v>
      </c>
      <c r="F1629" s="215">
        <v>6</v>
      </c>
      <c r="G1629" s="194">
        <v>1.78</v>
      </c>
      <c r="H1629" s="195">
        <v>10.68</v>
      </c>
      <c r="I1629" s="212" t="s">
        <v>2354</v>
      </c>
    </row>
    <row r="1630" spans="1:9" x14ac:dyDescent="0.25">
      <c r="A1630" s="193" t="s">
        <v>220</v>
      </c>
      <c r="B1630" s="193" t="s">
        <v>2351</v>
      </c>
      <c r="C1630" s="214" t="s">
        <v>4217</v>
      </c>
      <c r="D1630" s="193" t="s">
        <v>4218</v>
      </c>
      <c r="E1630" s="212" t="s">
        <v>545</v>
      </c>
      <c r="F1630" s="215">
        <v>38</v>
      </c>
      <c r="G1630" s="194">
        <v>0.28150974025974029</v>
      </c>
      <c r="H1630" s="195">
        <v>10.697370129870132</v>
      </c>
      <c r="I1630" s="212" t="s">
        <v>2354</v>
      </c>
    </row>
    <row r="1631" spans="1:9" x14ac:dyDescent="0.25">
      <c r="A1631" s="193" t="s">
        <v>220</v>
      </c>
      <c r="B1631" s="193" t="s">
        <v>5430</v>
      </c>
      <c r="C1631" s="214" t="s">
        <v>3397</v>
      </c>
      <c r="D1631" s="193" t="s">
        <v>3398</v>
      </c>
      <c r="E1631" s="212" t="s">
        <v>545</v>
      </c>
      <c r="F1631" s="215">
        <v>4</v>
      </c>
      <c r="G1631" s="194">
        <v>2.6760000000000002</v>
      </c>
      <c r="H1631" s="195">
        <v>10.704000000000001</v>
      </c>
      <c r="I1631" s="212" t="s">
        <v>2354</v>
      </c>
    </row>
    <row r="1632" spans="1:9" x14ac:dyDescent="0.25">
      <c r="A1632" s="193" t="s">
        <v>220</v>
      </c>
      <c r="B1632" s="193" t="s">
        <v>2351</v>
      </c>
      <c r="C1632" s="214" t="s">
        <v>3061</v>
      </c>
      <c r="D1632" s="193" t="s">
        <v>3062</v>
      </c>
      <c r="E1632" s="212" t="s">
        <v>545</v>
      </c>
      <c r="F1632" s="215">
        <v>1</v>
      </c>
      <c r="G1632" s="194">
        <v>10.7127</v>
      </c>
      <c r="H1632" s="195">
        <v>10.7127</v>
      </c>
      <c r="I1632" s="212" t="s">
        <v>2354</v>
      </c>
    </row>
    <row r="1633" spans="1:9" x14ac:dyDescent="0.25">
      <c r="A1633" s="193" t="s">
        <v>220</v>
      </c>
      <c r="B1633" s="193" t="s">
        <v>2351</v>
      </c>
      <c r="C1633" s="214" t="s">
        <v>3851</v>
      </c>
      <c r="D1633" s="193" t="s">
        <v>3852</v>
      </c>
      <c r="E1633" s="212" t="s">
        <v>545</v>
      </c>
      <c r="F1633" s="215">
        <v>6</v>
      </c>
      <c r="G1633" s="194">
        <v>1.7955000000000001</v>
      </c>
      <c r="H1633" s="195">
        <v>10.773</v>
      </c>
      <c r="I1633" s="212" t="s">
        <v>2354</v>
      </c>
    </row>
    <row r="1634" spans="1:9" x14ac:dyDescent="0.25">
      <c r="A1634" s="193" t="s">
        <v>220</v>
      </c>
      <c r="B1634" s="193" t="s">
        <v>2351</v>
      </c>
      <c r="C1634" s="214" t="s">
        <v>3020</v>
      </c>
      <c r="D1634" s="193" t="s">
        <v>3021</v>
      </c>
      <c r="E1634" s="212" t="s">
        <v>545</v>
      </c>
      <c r="F1634" s="215">
        <v>1</v>
      </c>
      <c r="G1634" s="194">
        <v>10.8</v>
      </c>
      <c r="H1634" s="195">
        <v>10.8</v>
      </c>
      <c r="I1634" s="212" t="s">
        <v>2354</v>
      </c>
    </row>
    <row r="1635" spans="1:9" x14ac:dyDescent="0.25">
      <c r="A1635" s="193" t="s">
        <v>220</v>
      </c>
      <c r="B1635" s="193" t="s">
        <v>2351</v>
      </c>
      <c r="C1635" s="214" t="s">
        <v>4636</v>
      </c>
      <c r="D1635" s="193" t="s">
        <v>4637</v>
      </c>
      <c r="E1635" s="212" t="s">
        <v>545</v>
      </c>
      <c r="F1635" s="215">
        <v>55</v>
      </c>
      <c r="G1635" s="194">
        <v>0.19656000000000001</v>
      </c>
      <c r="H1635" s="195">
        <v>10.8108</v>
      </c>
      <c r="I1635" s="212" t="s">
        <v>2354</v>
      </c>
    </row>
    <row r="1636" spans="1:9" x14ac:dyDescent="0.25">
      <c r="A1636" s="193" t="s">
        <v>220</v>
      </c>
      <c r="B1636" s="193" t="s">
        <v>5430</v>
      </c>
      <c r="C1636" s="214" t="s">
        <v>7330</v>
      </c>
      <c r="D1636" s="193" t="s">
        <v>7331</v>
      </c>
      <c r="E1636" s="212" t="s">
        <v>535</v>
      </c>
      <c r="F1636" s="215">
        <v>6</v>
      </c>
      <c r="G1636" s="194">
        <v>1.802</v>
      </c>
      <c r="H1636" s="195">
        <v>10.812000000000001</v>
      </c>
      <c r="I1636" s="212" t="s">
        <v>2354</v>
      </c>
    </row>
    <row r="1637" spans="1:9" x14ac:dyDescent="0.25">
      <c r="A1637" s="193" t="s">
        <v>220</v>
      </c>
      <c r="B1637" s="193" t="s">
        <v>2351</v>
      </c>
      <c r="C1637" s="214" t="s">
        <v>4067</v>
      </c>
      <c r="D1637" s="193" t="s">
        <v>4068</v>
      </c>
      <c r="E1637" s="212" t="s">
        <v>545</v>
      </c>
      <c r="F1637" s="215">
        <v>56</v>
      </c>
      <c r="G1637" s="194">
        <v>0.19326999999999997</v>
      </c>
      <c r="H1637" s="195">
        <v>10.823119999999998</v>
      </c>
      <c r="I1637" s="212" t="s">
        <v>2354</v>
      </c>
    </row>
    <row r="1638" spans="1:9" x14ac:dyDescent="0.25">
      <c r="A1638" s="193" t="s">
        <v>220</v>
      </c>
      <c r="B1638" s="193" t="s">
        <v>2351</v>
      </c>
      <c r="C1638" s="214" t="s">
        <v>3357</v>
      </c>
      <c r="D1638" s="193" t="s">
        <v>3358</v>
      </c>
      <c r="E1638" s="212" t="s">
        <v>545</v>
      </c>
      <c r="F1638" s="215">
        <v>30</v>
      </c>
      <c r="G1638" s="194">
        <v>0.36099999999999999</v>
      </c>
      <c r="H1638" s="195">
        <v>10.83</v>
      </c>
      <c r="I1638" s="212" t="s">
        <v>2354</v>
      </c>
    </row>
    <row r="1639" spans="1:9" x14ac:dyDescent="0.25">
      <c r="A1639" s="193" t="s">
        <v>220</v>
      </c>
      <c r="B1639" s="193" t="s">
        <v>5430</v>
      </c>
      <c r="C1639" s="214" t="s">
        <v>4061</v>
      </c>
      <c r="D1639" s="193" t="s">
        <v>4062</v>
      </c>
      <c r="E1639" s="212" t="s">
        <v>545</v>
      </c>
      <c r="F1639" s="215">
        <v>145</v>
      </c>
      <c r="G1639" s="194">
        <v>7.4999999999999997E-2</v>
      </c>
      <c r="H1639" s="195">
        <v>10.875</v>
      </c>
      <c r="I1639" s="212" t="s">
        <v>2354</v>
      </c>
    </row>
    <row r="1640" spans="1:9" x14ac:dyDescent="0.25">
      <c r="A1640" s="193" t="s">
        <v>220</v>
      </c>
      <c r="B1640" s="193" t="s">
        <v>5430</v>
      </c>
      <c r="C1640" s="214" t="s">
        <v>6278</v>
      </c>
      <c r="D1640" s="193" t="s">
        <v>6279</v>
      </c>
      <c r="E1640" s="212" t="s">
        <v>545</v>
      </c>
      <c r="F1640" s="215">
        <v>9</v>
      </c>
      <c r="G1640" s="194">
        <v>1.21</v>
      </c>
      <c r="H1640" s="195">
        <v>10.89</v>
      </c>
      <c r="I1640" s="212" t="s">
        <v>2354</v>
      </c>
    </row>
    <row r="1641" spans="1:9" x14ac:dyDescent="0.25">
      <c r="A1641" s="193" t="s">
        <v>220</v>
      </c>
      <c r="B1641" s="193" t="s">
        <v>5430</v>
      </c>
      <c r="C1641" s="214" t="s">
        <v>6597</v>
      </c>
      <c r="D1641" s="193" t="s">
        <v>6598</v>
      </c>
      <c r="E1641" s="212" t="s">
        <v>545</v>
      </c>
      <c r="F1641" s="215">
        <v>2</v>
      </c>
      <c r="G1641" s="194">
        <v>5.4476500000000003</v>
      </c>
      <c r="H1641" s="195">
        <v>10.895300000000001</v>
      </c>
      <c r="I1641" s="212" t="s">
        <v>2354</v>
      </c>
    </row>
    <row r="1642" spans="1:9" x14ac:dyDescent="0.25">
      <c r="A1642" s="193" t="s">
        <v>220</v>
      </c>
      <c r="B1642" s="193" t="s">
        <v>2351</v>
      </c>
      <c r="C1642" s="214" t="s">
        <v>4953</v>
      </c>
      <c r="D1642" s="193" t="s">
        <v>4954</v>
      </c>
      <c r="E1642" s="212" t="s">
        <v>545</v>
      </c>
      <c r="F1642" s="215">
        <v>88</v>
      </c>
      <c r="G1642" s="194">
        <v>0.124</v>
      </c>
      <c r="H1642" s="195">
        <v>10.911999999999999</v>
      </c>
      <c r="I1642" s="212" t="s">
        <v>2354</v>
      </c>
    </row>
    <row r="1643" spans="1:9" x14ac:dyDescent="0.25">
      <c r="A1643" s="193" t="s">
        <v>220</v>
      </c>
      <c r="B1643" s="193" t="s">
        <v>2351</v>
      </c>
      <c r="C1643" s="214" t="s">
        <v>5300</v>
      </c>
      <c r="D1643" s="193" t="s">
        <v>2393</v>
      </c>
      <c r="E1643" s="212" t="s">
        <v>545</v>
      </c>
      <c r="F1643" s="215">
        <v>4</v>
      </c>
      <c r="G1643" s="194">
        <v>2.7349999999999999</v>
      </c>
      <c r="H1643" s="195">
        <v>10.94</v>
      </c>
      <c r="I1643" s="212" t="s">
        <v>2354</v>
      </c>
    </row>
    <row r="1644" spans="1:9" x14ac:dyDescent="0.25">
      <c r="A1644" s="193" t="s">
        <v>220</v>
      </c>
      <c r="B1644" s="193" t="s">
        <v>2351</v>
      </c>
      <c r="C1644" s="214" t="s">
        <v>5214</v>
      </c>
      <c r="D1644" s="193" t="s">
        <v>5215</v>
      </c>
      <c r="E1644" s="212" t="s">
        <v>545</v>
      </c>
      <c r="F1644" s="215">
        <v>5</v>
      </c>
      <c r="G1644" s="194">
        <v>2.1909999999999998</v>
      </c>
      <c r="H1644" s="195">
        <v>10.954999999999998</v>
      </c>
      <c r="I1644" s="212" t="s">
        <v>2354</v>
      </c>
    </row>
    <row r="1645" spans="1:9" x14ac:dyDescent="0.25">
      <c r="A1645" s="193" t="s">
        <v>220</v>
      </c>
      <c r="B1645" s="193" t="s">
        <v>5430</v>
      </c>
      <c r="C1645" s="214" t="s">
        <v>4207</v>
      </c>
      <c r="D1645" s="193" t="s">
        <v>4208</v>
      </c>
      <c r="E1645" s="212" t="s">
        <v>545</v>
      </c>
      <c r="F1645" s="215">
        <v>4</v>
      </c>
      <c r="G1645" s="194">
        <v>2.7423000000000002</v>
      </c>
      <c r="H1645" s="195">
        <v>10.969200000000001</v>
      </c>
      <c r="I1645" s="212" t="s">
        <v>2354</v>
      </c>
    </row>
    <row r="1646" spans="1:9" x14ac:dyDescent="0.25">
      <c r="A1646" s="193" t="s">
        <v>220</v>
      </c>
      <c r="B1646" s="193" t="s">
        <v>2351</v>
      </c>
      <c r="C1646" s="214" t="s">
        <v>4540</v>
      </c>
      <c r="D1646" s="193" t="s">
        <v>4541</v>
      </c>
      <c r="E1646" s="212" t="s">
        <v>545</v>
      </c>
      <c r="F1646" s="215">
        <v>2</v>
      </c>
      <c r="G1646" s="194">
        <v>5.49</v>
      </c>
      <c r="H1646" s="195">
        <v>10.98</v>
      </c>
      <c r="I1646" s="212" t="s">
        <v>2354</v>
      </c>
    </row>
    <row r="1647" spans="1:9" x14ac:dyDescent="0.25">
      <c r="A1647" s="193" t="s">
        <v>220</v>
      </c>
      <c r="B1647" s="193" t="s">
        <v>2351</v>
      </c>
      <c r="C1647" s="214" t="s">
        <v>4135</v>
      </c>
      <c r="D1647" s="193" t="s">
        <v>4136</v>
      </c>
      <c r="E1647" s="212" t="s">
        <v>545</v>
      </c>
      <c r="F1647" s="215">
        <v>12</v>
      </c>
      <c r="G1647" s="194">
        <v>0.92300000000000004</v>
      </c>
      <c r="H1647" s="195">
        <v>11.076000000000001</v>
      </c>
      <c r="I1647" s="212" t="s">
        <v>2354</v>
      </c>
    </row>
    <row r="1648" spans="1:9" x14ac:dyDescent="0.25">
      <c r="A1648" s="193" t="s">
        <v>220</v>
      </c>
      <c r="B1648" s="193" t="s">
        <v>5430</v>
      </c>
      <c r="C1648" s="214" t="s">
        <v>7037</v>
      </c>
      <c r="D1648" s="193" t="s">
        <v>7038</v>
      </c>
      <c r="E1648" s="212" t="s">
        <v>545</v>
      </c>
      <c r="F1648" s="215">
        <v>9</v>
      </c>
      <c r="G1648" s="194">
        <v>1.2316499999999999</v>
      </c>
      <c r="H1648" s="195">
        <v>11.084849999999999</v>
      </c>
      <c r="I1648" s="212" t="s">
        <v>2354</v>
      </c>
    </row>
    <row r="1649" spans="1:9" x14ac:dyDescent="0.25">
      <c r="A1649" s="193" t="s">
        <v>220</v>
      </c>
      <c r="B1649" s="193" t="s">
        <v>5430</v>
      </c>
      <c r="C1649" s="214" t="s">
        <v>6737</v>
      </c>
      <c r="D1649" s="193" t="s">
        <v>6738</v>
      </c>
      <c r="E1649" s="212" t="s">
        <v>2387</v>
      </c>
      <c r="F1649" s="215">
        <v>5</v>
      </c>
      <c r="G1649" s="194">
        <v>2.2185800000000002</v>
      </c>
      <c r="H1649" s="195">
        <v>11.0929</v>
      </c>
      <c r="I1649" s="212" t="s">
        <v>2354</v>
      </c>
    </row>
    <row r="1650" spans="1:9" x14ac:dyDescent="0.25">
      <c r="A1650" s="193" t="s">
        <v>220</v>
      </c>
      <c r="B1650" s="193" t="s">
        <v>2351</v>
      </c>
      <c r="C1650" s="214" t="s">
        <v>4826</v>
      </c>
      <c r="D1650" s="193" t="s">
        <v>4827</v>
      </c>
      <c r="E1650" s="212" t="s">
        <v>545</v>
      </c>
      <c r="F1650" s="215">
        <v>10</v>
      </c>
      <c r="G1650" s="194">
        <v>1.1100000000000001</v>
      </c>
      <c r="H1650" s="195">
        <v>11.100000000000001</v>
      </c>
      <c r="I1650" s="212" t="s">
        <v>2354</v>
      </c>
    </row>
    <row r="1651" spans="1:9" x14ac:dyDescent="0.25">
      <c r="A1651" s="193" t="s">
        <v>220</v>
      </c>
      <c r="B1651" s="193" t="s">
        <v>5430</v>
      </c>
      <c r="C1651" s="214" t="s">
        <v>6567</v>
      </c>
      <c r="D1651" s="193" t="s">
        <v>6568</v>
      </c>
      <c r="E1651" s="212" t="s">
        <v>545</v>
      </c>
      <c r="F1651" s="215">
        <v>6</v>
      </c>
      <c r="G1651" s="194">
        <v>1.863</v>
      </c>
      <c r="H1651" s="195">
        <v>11.178000000000001</v>
      </c>
      <c r="I1651" s="212" t="s">
        <v>2354</v>
      </c>
    </row>
    <row r="1652" spans="1:9" x14ac:dyDescent="0.25">
      <c r="A1652" s="193" t="s">
        <v>220</v>
      </c>
      <c r="B1652" s="193" t="s">
        <v>2351</v>
      </c>
      <c r="C1652" s="214" t="s">
        <v>3505</v>
      </c>
      <c r="D1652" s="193" t="s">
        <v>3506</v>
      </c>
      <c r="E1652" s="212" t="s">
        <v>545</v>
      </c>
      <c r="F1652" s="215">
        <v>1</v>
      </c>
      <c r="G1652" s="194">
        <v>11.22</v>
      </c>
      <c r="H1652" s="195">
        <v>11.22</v>
      </c>
      <c r="I1652" s="212" t="s">
        <v>2354</v>
      </c>
    </row>
    <row r="1653" spans="1:9" x14ac:dyDescent="0.25">
      <c r="A1653" s="193" t="s">
        <v>220</v>
      </c>
      <c r="B1653" s="193" t="s">
        <v>5430</v>
      </c>
      <c r="C1653" s="214" t="s">
        <v>4846</v>
      </c>
      <c r="D1653" s="193" t="s">
        <v>4847</v>
      </c>
      <c r="E1653" s="212" t="s">
        <v>545</v>
      </c>
      <c r="F1653" s="215">
        <v>165</v>
      </c>
      <c r="G1653" s="194">
        <v>6.8000000000000005E-2</v>
      </c>
      <c r="H1653" s="195">
        <v>11.22</v>
      </c>
      <c r="I1653" s="212" t="s">
        <v>2354</v>
      </c>
    </row>
    <row r="1654" spans="1:9" x14ac:dyDescent="0.25">
      <c r="A1654" s="193" t="s">
        <v>220</v>
      </c>
      <c r="B1654" s="193" t="s">
        <v>5430</v>
      </c>
      <c r="C1654" s="214" t="s">
        <v>6700</v>
      </c>
      <c r="D1654" s="193" t="s">
        <v>6701</v>
      </c>
      <c r="E1654" s="212" t="s">
        <v>545</v>
      </c>
      <c r="F1654" s="215">
        <v>1</v>
      </c>
      <c r="G1654" s="194">
        <v>11.24</v>
      </c>
      <c r="H1654" s="195">
        <v>11.24</v>
      </c>
      <c r="I1654" s="212" t="s">
        <v>2354</v>
      </c>
    </row>
    <row r="1655" spans="1:9" x14ac:dyDescent="0.25">
      <c r="A1655" s="193" t="s">
        <v>220</v>
      </c>
      <c r="B1655" s="193" t="s">
        <v>5430</v>
      </c>
      <c r="C1655" s="214" t="s">
        <v>4069</v>
      </c>
      <c r="D1655" s="193" t="s">
        <v>4070</v>
      </c>
      <c r="E1655" s="212" t="s">
        <v>545</v>
      </c>
      <c r="F1655" s="215">
        <v>154</v>
      </c>
      <c r="G1655" s="194">
        <v>7.2999999999999995E-2</v>
      </c>
      <c r="H1655" s="195">
        <v>11.241999999999999</v>
      </c>
      <c r="I1655" s="212" t="s">
        <v>2354</v>
      </c>
    </row>
    <row r="1656" spans="1:9" x14ac:dyDescent="0.25">
      <c r="A1656" s="193" t="s">
        <v>220</v>
      </c>
      <c r="B1656" s="193" t="s">
        <v>2351</v>
      </c>
      <c r="C1656" s="214" t="s">
        <v>4061</v>
      </c>
      <c r="D1656" s="193" t="s">
        <v>4062</v>
      </c>
      <c r="E1656" s="212" t="s">
        <v>545</v>
      </c>
      <c r="F1656" s="215">
        <v>150</v>
      </c>
      <c r="G1656" s="194">
        <v>7.4999999999999997E-2</v>
      </c>
      <c r="H1656" s="195">
        <v>11.25</v>
      </c>
      <c r="I1656" s="212" t="s">
        <v>2354</v>
      </c>
    </row>
    <row r="1657" spans="1:9" x14ac:dyDescent="0.25">
      <c r="A1657" s="193" t="s">
        <v>220</v>
      </c>
      <c r="B1657" s="193" t="s">
        <v>2351</v>
      </c>
      <c r="C1657" s="214"/>
      <c r="D1657" s="193" t="s">
        <v>2389</v>
      </c>
      <c r="E1657" s="212" t="s">
        <v>545</v>
      </c>
      <c r="F1657" s="215">
        <v>120</v>
      </c>
      <c r="G1657" s="194">
        <v>9.5459999999999989E-2</v>
      </c>
      <c r="H1657" s="195">
        <v>11.455199999999998</v>
      </c>
      <c r="I1657" s="212" t="s">
        <v>2354</v>
      </c>
    </row>
    <row r="1658" spans="1:9" x14ac:dyDescent="0.25">
      <c r="A1658" s="193" t="s">
        <v>220</v>
      </c>
      <c r="B1658" s="193" t="s">
        <v>2351</v>
      </c>
      <c r="C1658" s="214" t="s">
        <v>4355</v>
      </c>
      <c r="D1658" s="193" t="s">
        <v>4356</v>
      </c>
      <c r="E1658" s="212" t="s">
        <v>545</v>
      </c>
      <c r="F1658" s="215">
        <v>3</v>
      </c>
      <c r="G1658" s="194">
        <v>3.8250000000000002</v>
      </c>
      <c r="H1658" s="195">
        <v>11.475000000000001</v>
      </c>
      <c r="I1658" s="212" t="s">
        <v>2354</v>
      </c>
    </row>
    <row r="1659" spans="1:9" x14ac:dyDescent="0.25">
      <c r="A1659" s="193" t="s">
        <v>220</v>
      </c>
      <c r="B1659" s="193" t="s">
        <v>2351</v>
      </c>
      <c r="C1659" s="214" t="s">
        <v>5222</v>
      </c>
      <c r="D1659" s="193" t="s">
        <v>5223</v>
      </c>
      <c r="E1659" s="212" t="s">
        <v>545</v>
      </c>
      <c r="F1659" s="215">
        <v>1</v>
      </c>
      <c r="G1659" s="194">
        <v>11.511900000000001</v>
      </c>
      <c r="H1659" s="195">
        <v>11.511900000000001</v>
      </c>
      <c r="I1659" s="212" t="s">
        <v>2354</v>
      </c>
    </row>
    <row r="1660" spans="1:9" x14ac:dyDescent="0.25">
      <c r="A1660" s="193" t="s">
        <v>220</v>
      </c>
      <c r="B1660" s="193" t="s">
        <v>2351</v>
      </c>
      <c r="C1660" s="214" t="s">
        <v>3211</v>
      </c>
      <c r="D1660" s="193" t="s">
        <v>3212</v>
      </c>
      <c r="E1660" s="212" t="s">
        <v>545</v>
      </c>
      <c r="F1660" s="215">
        <v>28</v>
      </c>
      <c r="G1660" s="194">
        <v>0.41129999999999994</v>
      </c>
      <c r="H1660" s="195">
        <v>11.516399999999999</v>
      </c>
      <c r="I1660" s="212" t="s">
        <v>2354</v>
      </c>
    </row>
    <row r="1661" spans="1:9" x14ac:dyDescent="0.25">
      <c r="A1661" s="193" t="s">
        <v>220</v>
      </c>
      <c r="B1661" s="193" t="s">
        <v>2351</v>
      </c>
      <c r="C1661" s="214" t="s">
        <v>3703</v>
      </c>
      <c r="D1661" s="193" t="s">
        <v>3704</v>
      </c>
      <c r="E1661" s="212" t="s">
        <v>545</v>
      </c>
      <c r="F1661" s="215">
        <v>7</v>
      </c>
      <c r="G1661" s="194">
        <v>1.6575</v>
      </c>
      <c r="H1661" s="195">
        <v>11.602499999999999</v>
      </c>
      <c r="I1661" s="212" t="s">
        <v>2354</v>
      </c>
    </row>
    <row r="1662" spans="1:9" x14ac:dyDescent="0.25">
      <c r="A1662" s="193" t="s">
        <v>220</v>
      </c>
      <c r="B1662" s="193" t="s">
        <v>2351</v>
      </c>
      <c r="C1662" s="214" t="s">
        <v>3331</v>
      </c>
      <c r="D1662" s="193" t="s">
        <v>3332</v>
      </c>
      <c r="E1662" s="212" t="s">
        <v>545</v>
      </c>
      <c r="F1662" s="215">
        <v>3</v>
      </c>
      <c r="G1662" s="194">
        <v>3.9</v>
      </c>
      <c r="H1662" s="195">
        <v>11.7</v>
      </c>
      <c r="I1662" s="212" t="s">
        <v>2354</v>
      </c>
    </row>
    <row r="1663" spans="1:9" x14ac:dyDescent="0.25">
      <c r="A1663" s="193" t="s">
        <v>220</v>
      </c>
      <c r="B1663" s="193" t="s">
        <v>5430</v>
      </c>
      <c r="C1663" s="214" t="s">
        <v>6716</v>
      </c>
      <c r="D1663" s="193" t="s">
        <v>6717</v>
      </c>
      <c r="E1663" s="212" t="s">
        <v>545</v>
      </c>
      <c r="F1663" s="215">
        <v>2</v>
      </c>
      <c r="G1663" s="194">
        <v>5.8641999999999994</v>
      </c>
      <c r="H1663" s="195">
        <v>11.728399999999999</v>
      </c>
      <c r="I1663" s="212" t="s">
        <v>2354</v>
      </c>
    </row>
    <row r="1664" spans="1:9" x14ac:dyDescent="0.25">
      <c r="A1664" s="193" t="s">
        <v>220</v>
      </c>
      <c r="B1664" s="193" t="s">
        <v>5430</v>
      </c>
      <c r="C1664" s="214" t="s">
        <v>6339</v>
      </c>
      <c r="D1664" s="193" t="s">
        <v>6340</v>
      </c>
      <c r="E1664" s="212" t="s">
        <v>545</v>
      </c>
      <c r="F1664" s="215">
        <v>12</v>
      </c>
      <c r="G1664" s="194">
        <v>0.98299999999999998</v>
      </c>
      <c r="H1664" s="195">
        <v>11.795999999999999</v>
      </c>
      <c r="I1664" s="212" t="s">
        <v>2354</v>
      </c>
    </row>
    <row r="1665" spans="1:9" x14ac:dyDescent="0.25">
      <c r="A1665" s="193" t="s">
        <v>220</v>
      </c>
      <c r="B1665" s="193" t="s">
        <v>2351</v>
      </c>
      <c r="C1665" s="214" t="s">
        <v>3323</v>
      </c>
      <c r="D1665" s="193" t="s">
        <v>3324</v>
      </c>
      <c r="E1665" s="212" t="s">
        <v>545</v>
      </c>
      <c r="F1665" s="215">
        <v>22</v>
      </c>
      <c r="G1665" s="194">
        <v>0.53843333333333332</v>
      </c>
      <c r="H1665" s="195">
        <v>11.845533333333332</v>
      </c>
      <c r="I1665" s="212" t="s">
        <v>2354</v>
      </c>
    </row>
    <row r="1666" spans="1:9" x14ac:dyDescent="0.25">
      <c r="A1666" s="193" t="s">
        <v>220</v>
      </c>
      <c r="B1666" s="193" t="s">
        <v>5430</v>
      </c>
      <c r="C1666" s="214" t="s">
        <v>4658</v>
      </c>
      <c r="D1666" s="193" t="s">
        <v>4659</v>
      </c>
      <c r="E1666" s="212" t="s">
        <v>545</v>
      </c>
      <c r="F1666" s="215">
        <v>55</v>
      </c>
      <c r="G1666" s="194">
        <v>0.21568278894472359</v>
      </c>
      <c r="H1666" s="195">
        <v>11.862553391959798</v>
      </c>
      <c r="I1666" s="212" t="s">
        <v>2354</v>
      </c>
    </row>
    <row r="1667" spans="1:9" x14ac:dyDescent="0.25">
      <c r="A1667" s="193" t="s">
        <v>220</v>
      </c>
      <c r="B1667" s="193" t="s">
        <v>5430</v>
      </c>
      <c r="C1667" s="214" t="s">
        <v>4961</v>
      </c>
      <c r="D1667" s="193" t="s">
        <v>4962</v>
      </c>
      <c r="E1667" s="212" t="s">
        <v>545</v>
      </c>
      <c r="F1667" s="215">
        <v>9</v>
      </c>
      <c r="G1667" s="194">
        <v>1.3260000000000001</v>
      </c>
      <c r="H1667" s="195">
        <v>11.934000000000001</v>
      </c>
      <c r="I1667" s="212" t="s">
        <v>2354</v>
      </c>
    </row>
    <row r="1668" spans="1:9" x14ac:dyDescent="0.25">
      <c r="A1668" s="193" t="s">
        <v>220</v>
      </c>
      <c r="B1668" s="193" t="s">
        <v>5430</v>
      </c>
      <c r="C1668" s="214" t="s">
        <v>4189</v>
      </c>
      <c r="D1668" s="193" t="s">
        <v>4190</v>
      </c>
      <c r="E1668" s="212" t="s">
        <v>545</v>
      </c>
      <c r="F1668" s="215">
        <v>65</v>
      </c>
      <c r="G1668" s="194">
        <v>0.184</v>
      </c>
      <c r="H1668" s="195">
        <v>11.959999999999999</v>
      </c>
      <c r="I1668" s="212" t="s">
        <v>2354</v>
      </c>
    </row>
    <row r="1669" spans="1:9" x14ac:dyDescent="0.25">
      <c r="A1669" s="193" t="s">
        <v>220</v>
      </c>
      <c r="B1669" s="193" t="s">
        <v>5430</v>
      </c>
      <c r="C1669" s="214" t="s">
        <v>6787</v>
      </c>
      <c r="D1669" s="193" t="s">
        <v>6788</v>
      </c>
      <c r="E1669" s="212" t="s">
        <v>545</v>
      </c>
      <c r="F1669" s="215">
        <v>10</v>
      </c>
      <c r="G1669" s="194">
        <v>1.2172000000000001</v>
      </c>
      <c r="H1669" s="195">
        <v>12.172000000000001</v>
      </c>
      <c r="I1669" s="212" t="s">
        <v>2354</v>
      </c>
    </row>
    <row r="1670" spans="1:9" x14ac:dyDescent="0.25">
      <c r="A1670" s="193" t="s">
        <v>220</v>
      </c>
      <c r="B1670" s="193" t="s">
        <v>5430</v>
      </c>
      <c r="C1670" s="214" t="s">
        <v>3739</v>
      </c>
      <c r="D1670" s="193" t="s">
        <v>3740</v>
      </c>
      <c r="E1670" s="212" t="s">
        <v>545</v>
      </c>
      <c r="F1670" s="215">
        <v>4</v>
      </c>
      <c r="G1670" s="194">
        <v>3.044</v>
      </c>
      <c r="H1670" s="195">
        <v>12.176</v>
      </c>
      <c r="I1670" s="212" t="s">
        <v>2354</v>
      </c>
    </row>
    <row r="1671" spans="1:9" x14ac:dyDescent="0.25">
      <c r="A1671" s="193" t="s">
        <v>220</v>
      </c>
      <c r="B1671" s="193" t="s">
        <v>2351</v>
      </c>
      <c r="C1671" s="214" t="s">
        <v>3701</v>
      </c>
      <c r="D1671" s="193" t="s">
        <v>3702</v>
      </c>
      <c r="E1671" s="212" t="s">
        <v>545</v>
      </c>
      <c r="F1671" s="215">
        <v>4</v>
      </c>
      <c r="G1671" s="194">
        <v>3.0479482142857139</v>
      </c>
      <c r="H1671" s="195">
        <v>12.191792857142856</v>
      </c>
      <c r="I1671" s="212" t="s">
        <v>2354</v>
      </c>
    </row>
    <row r="1672" spans="1:9" x14ac:dyDescent="0.25">
      <c r="A1672" s="193" t="s">
        <v>220</v>
      </c>
      <c r="B1672" s="193" t="s">
        <v>5430</v>
      </c>
      <c r="C1672" s="214" t="s">
        <v>6627</v>
      </c>
      <c r="D1672" s="193" t="s">
        <v>3786</v>
      </c>
      <c r="E1672" s="212" t="s">
        <v>545</v>
      </c>
      <c r="F1672" s="215">
        <v>2</v>
      </c>
      <c r="G1672" s="194">
        <v>6.1020500000000002</v>
      </c>
      <c r="H1672" s="195">
        <v>12.2041</v>
      </c>
      <c r="I1672" s="212" t="s">
        <v>2354</v>
      </c>
    </row>
    <row r="1673" spans="1:9" x14ac:dyDescent="0.25">
      <c r="A1673" s="193" t="s">
        <v>220</v>
      </c>
      <c r="B1673" s="193" t="s">
        <v>5430</v>
      </c>
      <c r="C1673" s="214" t="s">
        <v>5877</v>
      </c>
      <c r="D1673" s="193" t="s">
        <v>5878</v>
      </c>
      <c r="E1673" s="212" t="s">
        <v>545</v>
      </c>
      <c r="F1673" s="215">
        <v>4</v>
      </c>
      <c r="G1673" s="194">
        <v>3.06</v>
      </c>
      <c r="H1673" s="195">
        <v>12.24</v>
      </c>
      <c r="I1673" s="212" t="s">
        <v>2354</v>
      </c>
    </row>
    <row r="1674" spans="1:9" x14ac:dyDescent="0.25">
      <c r="A1674" s="193" t="s">
        <v>220</v>
      </c>
      <c r="B1674" s="193" t="s">
        <v>5430</v>
      </c>
      <c r="C1674" s="214" t="s">
        <v>6308</v>
      </c>
      <c r="D1674" s="193" t="s">
        <v>6309</v>
      </c>
      <c r="E1674" s="212" t="s">
        <v>545</v>
      </c>
      <c r="F1674" s="215">
        <v>2</v>
      </c>
      <c r="G1674" s="194">
        <v>6.1227</v>
      </c>
      <c r="H1674" s="195">
        <v>12.2454</v>
      </c>
      <c r="I1674" s="212" t="s">
        <v>2354</v>
      </c>
    </row>
    <row r="1675" spans="1:9" x14ac:dyDescent="0.25">
      <c r="A1675" s="193" t="s">
        <v>220</v>
      </c>
      <c r="B1675" s="193" t="s">
        <v>5430</v>
      </c>
      <c r="C1675" s="214" t="s">
        <v>4802</v>
      </c>
      <c r="D1675" s="193" t="s">
        <v>4803</v>
      </c>
      <c r="E1675" s="212" t="s">
        <v>545</v>
      </c>
      <c r="F1675" s="215">
        <v>245</v>
      </c>
      <c r="G1675" s="194">
        <v>0.05</v>
      </c>
      <c r="H1675" s="195">
        <v>12.25</v>
      </c>
      <c r="I1675" s="212" t="s">
        <v>2354</v>
      </c>
    </row>
    <row r="1676" spans="1:9" x14ac:dyDescent="0.25">
      <c r="A1676" s="193" t="s">
        <v>220</v>
      </c>
      <c r="B1676" s="193" t="s">
        <v>2351</v>
      </c>
      <c r="C1676" s="214" t="s">
        <v>4504</v>
      </c>
      <c r="D1676" s="193" t="s">
        <v>4505</v>
      </c>
      <c r="E1676" s="212" t="s">
        <v>545</v>
      </c>
      <c r="F1676" s="215">
        <v>1</v>
      </c>
      <c r="G1676" s="194">
        <v>12.260434210526316</v>
      </c>
      <c r="H1676" s="195">
        <v>12.260434210526316</v>
      </c>
      <c r="I1676" s="212" t="s">
        <v>2354</v>
      </c>
    </row>
    <row r="1677" spans="1:9" x14ac:dyDescent="0.25">
      <c r="A1677" s="193" t="s">
        <v>220</v>
      </c>
      <c r="B1677" s="193" t="s">
        <v>2351</v>
      </c>
      <c r="C1677" s="214" t="s">
        <v>3697</v>
      </c>
      <c r="D1677" s="193" t="s">
        <v>3698</v>
      </c>
      <c r="E1677" s="212" t="s">
        <v>545</v>
      </c>
      <c r="F1677" s="215">
        <v>3</v>
      </c>
      <c r="G1677" s="194">
        <v>4.0999999999999996</v>
      </c>
      <c r="H1677" s="195">
        <v>12.299999999999999</v>
      </c>
      <c r="I1677" s="212" t="s">
        <v>2354</v>
      </c>
    </row>
    <row r="1678" spans="1:9" x14ac:dyDescent="0.25">
      <c r="A1678" s="193" t="s">
        <v>220</v>
      </c>
      <c r="B1678" s="193" t="s">
        <v>5430</v>
      </c>
      <c r="C1678" s="214" t="s">
        <v>5923</v>
      </c>
      <c r="D1678" s="193" t="s">
        <v>5924</v>
      </c>
      <c r="E1678" s="212" t="s">
        <v>545</v>
      </c>
      <c r="F1678" s="215">
        <v>3</v>
      </c>
      <c r="G1678" s="194">
        <v>4.1040000000000001</v>
      </c>
      <c r="H1678" s="195">
        <v>12.312000000000001</v>
      </c>
      <c r="I1678" s="212" t="s">
        <v>2354</v>
      </c>
    </row>
    <row r="1679" spans="1:9" x14ac:dyDescent="0.25">
      <c r="A1679" s="193" t="s">
        <v>220</v>
      </c>
      <c r="B1679" s="193" t="s">
        <v>5430</v>
      </c>
      <c r="C1679" s="214" t="s">
        <v>6294</v>
      </c>
      <c r="D1679" s="193" t="s">
        <v>6295</v>
      </c>
      <c r="E1679" s="212" t="s">
        <v>545</v>
      </c>
      <c r="F1679" s="215">
        <v>1</v>
      </c>
      <c r="G1679" s="194">
        <v>12.3386</v>
      </c>
      <c r="H1679" s="195">
        <v>12.3386</v>
      </c>
      <c r="I1679" s="212" t="s">
        <v>2354</v>
      </c>
    </row>
    <row r="1680" spans="1:9" x14ac:dyDescent="0.25">
      <c r="A1680" s="193" t="s">
        <v>220</v>
      </c>
      <c r="B1680" s="193" t="s">
        <v>2351</v>
      </c>
      <c r="C1680" s="214" t="s">
        <v>4850</v>
      </c>
      <c r="D1680" s="193" t="s">
        <v>4851</v>
      </c>
      <c r="E1680" s="212" t="s">
        <v>545</v>
      </c>
      <c r="F1680" s="215">
        <v>100</v>
      </c>
      <c r="G1680" s="194">
        <v>0.12358</v>
      </c>
      <c r="H1680" s="195">
        <v>12.357999999999999</v>
      </c>
      <c r="I1680" s="212" t="s">
        <v>2354</v>
      </c>
    </row>
    <row r="1681" spans="1:9" x14ac:dyDescent="0.25">
      <c r="A1681" s="193" t="s">
        <v>220</v>
      </c>
      <c r="B1681" s="193" t="s">
        <v>5430</v>
      </c>
      <c r="C1681" s="214" t="s">
        <v>3741</v>
      </c>
      <c r="D1681" s="193" t="s">
        <v>3742</v>
      </c>
      <c r="E1681" s="212" t="s">
        <v>545</v>
      </c>
      <c r="F1681" s="215">
        <v>5</v>
      </c>
      <c r="G1681" s="194">
        <v>2.4782999999999999</v>
      </c>
      <c r="H1681" s="195">
        <v>12.391500000000001</v>
      </c>
      <c r="I1681" s="212" t="s">
        <v>2354</v>
      </c>
    </row>
    <row r="1682" spans="1:9" x14ac:dyDescent="0.25">
      <c r="A1682" s="193" t="s">
        <v>220</v>
      </c>
      <c r="B1682" s="193" t="s">
        <v>2351</v>
      </c>
      <c r="C1682" s="214" t="s">
        <v>3853</v>
      </c>
      <c r="D1682" s="193" t="s">
        <v>3854</v>
      </c>
      <c r="E1682" s="212" t="s">
        <v>545</v>
      </c>
      <c r="F1682" s="215">
        <v>8</v>
      </c>
      <c r="G1682" s="194">
        <v>1.5498000000000001</v>
      </c>
      <c r="H1682" s="195">
        <v>12.398400000000001</v>
      </c>
      <c r="I1682" s="212" t="s">
        <v>2354</v>
      </c>
    </row>
    <row r="1683" spans="1:9" x14ac:dyDescent="0.25">
      <c r="A1683" s="193" t="s">
        <v>220</v>
      </c>
      <c r="B1683" s="193" t="s">
        <v>5430</v>
      </c>
      <c r="C1683" s="214" t="s">
        <v>4492</v>
      </c>
      <c r="D1683" s="193" t="s">
        <v>4493</v>
      </c>
      <c r="E1683" s="212" t="s">
        <v>545</v>
      </c>
      <c r="F1683" s="215">
        <v>1</v>
      </c>
      <c r="G1683" s="194">
        <v>12.4</v>
      </c>
      <c r="H1683" s="195">
        <v>12.4</v>
      </c>
      <c r="I1683" s="212" t="s">
        <v>2354</v>
      </c>
    </row>
    <row r="1684" spans="1:9" x14ac:dyDescent="0.25">
      <c r="A1684" s="193" t="s">
        <v>220</v>
      </c>
      <c r="B1684" s="193" t="s">
        <v>5430</v>
      </c>
      <c r="C1684" s="214" t="s">
        <v>6188</v>
      </c>
      <c r="D1684" s="193" t="s">
        <v>6189</v>
      </c>
      <c r="E1684" s="212" t="s">
        <v>545</v>
      </c>
      <c r="F1684" s="215">
        <v>1</v>
      </c>
      <c r="G1684" s="194">
        <v>12.441599999999999</v>
      </c>
      <c r="H1684" s="195">
        <v>12.441599999999999</v>
      </c>
      <c r="I1684" s="212" t="s">
        <v>2354</v>
      </c>
    </row>
    <row r="1685" spans="1:9" x14ac:dyDescent="0.25">
      <c r="A1685" s="193" t="s">
        <v>220</v>
      </c>
      <c r="B1685" s="193" t="s">
        <v>2351</v>
      </c>
      <c r="C1685" s="214" t="s">
        <v>4780</v>
      </c>
      <c r="D1685" s="193" t="s">
        <v>4781</v>
      </c>
      <c r="E1685" s="212" t="s">
        <v>545</v>
      </c>
      <c r="F1685" s="215">
        <v>102</v>
      </c>
      <c r="G1685" s="194">
        <v>0.122</v>
      </c>
      <c r="H1685" s="195">
        <v>12.443999999999999</v>
      </c>
      <c r="I1685" s="212" t="s">
        <v>2354</v>
      </c>
    </row>
    <row r="1686" spans="1:9" x14ac:dyDescent="0.25">
      <c r="A1686" s="193" t="s">
        <v>220</v>
      </c>
      <c r="B1686" s="193" t="s">
        <v>5430</v>
      </c>
      <c r="C1686" s="214" t="s">
        <v>4205</v>
      </c>
      <c r="D1686" s="193" t="s">
        <v>4206</v>
      </c>
      <c r="E1686" s="212" t="s">
        <v>545</v>
      </c>
      <c r="F1686" s="215">
        <v>6</v>
      </c>
      <c r="G1686" s="194">
        <v>2.0790000000000002</v>
      </c>
      <c r="H1686" s="195">
        <v>12.474</v>
      </c>
      <c r="I1686" s="212" t="s">
        <v>2354</v>
      </c>
    </row>
    <row r="1687" spans="1:9" x14ac:dyDescent="0.25">
      <c r="A1687" s="193" t="s">
        <v>220</v>
      </c>
      <c r="B1687" s="193" t="s">
        <v>5430</v>
      </c>
      <c r="C1687" s="214" t="s">
        <v>5733</v>
      </c>
      <c r="D1687" s="193" t="s">
        <v>5734</v>
      </c>
      <c r="E1687" s="212" t="s">
        <v>545</v>
      </c>
      <c r="F1687" s="215">
        <v>1</v>
      </c>
      <c r="G1687" s="194">
        <v>12.4992</v>
      </c>
      <c r="H1687" s="195">
        <v>12.4992</v>
      </c>
      <c r="I1687" s="212" t="s">
        <v>2354</v>
      </c>
    </row>
    <row r="1688" spans="1:9" x14ac:dyDescent="0.25">
      <c r="A1688" s="193" t="s">
        <v>220</v>
      </c>
      <c r="B1688" s="193" t="s">
        <v>2351</v>
      </c>
      <c r="C1688" s="214" t="s">
        <v>3275</v>
      </c>
      <c r="D1688" s="193" t="s">
        <v>3276</v>
      </c>
      <c r="E1688" s="212" t="s">
        <v>545</v>
      </c>
      <c r="F1688" s="215">
        <v>15</v>
      </c>
      <c r="G1688" s="194">
        <v>0.83979999999999999</v>
      </c>
      <c r="H1688" s="195">
        <v>12.597</v>
      </c>
      <c r="I1688" s="212" t="s">
        <v>2354</v>
      </c>
    </row>
    <row r="1689" spans="1:9" x14ac:dyDescent="0.25">
      <c r="A1689" s="193" t="s">
        <v>220</v>
      </c>
      <c r="B1689" s="193" t="s">
        <v>5430</v>
      </c>
      <c r="C1689" s="214" t="s">
        <v>6837</v>
      </c>
      <c r="D1689" s="193" t="s">
        <v>6838</v>
      </c>
      <c r="E1689" s="212" t="s">
        <v>545</v>
      </c>
      <c r="F1689" s="215">
        <v>1</v>
      </c>
      <c r="G1689" s="194">
        <v>12.6</v>
      </c>
      <c r="H1689" s="195">
        <v>12.6</v>
      </c>
      <c r="I1689" s="212" t="s">
        <v>2354</v>
      </c>
    </row>
    <row r="1690" spans="1:9" x14ac:dyDescent="0.25">
      <c r="A1690" s="193" t="s">
        <v>220</v>
      </c>
      <c r="B1690" s="193" t="s">
        <v>2351</v>
      </c>
      <c r="C1690" s="214" t="s">
        <v>4979</v>
      </c>
      <c r="D1690" s="193" t="s">
        <v>4980</v>
      </c>
      <c r="E1690" s="212" t="s">
        <v>545</v>
      </c>
      <c r="F1690" s="215">
        <v>450</v>
      </c>
      <c r="G1690" s="194">
        <v>2.826E-2</v>
      </c>
      <c r="H1690" s="195">
        <v>12.717000000000001</v>
      </c>
      <c r="I1690" s="212" t="s">
        <v>2354</v>
      </c>
    </row>
    <row r="1691" spans="1:9" x14ac:dyDescent="0.25">
      <c r="A1691" s="193" t="s">
        <v>220</v>
      </c>
      <c r="B1691" s="193" t="s">
        <v>5430</v>
      </c>
      <c r="C1691" s="214" t="s">
        <v>6855</v>
      </c>
      <c r="D1691" s="193" t="s">
        <v>6856</v>
      </c>
      <c r="E1691" s="212" t="s">
        <v>545</v>
      </c>
      <c r="F1691" s="215">
        <v>17</v>
      </c>
      <c r="G1691" s="194">
        <v>0.75</v>
      </c>
      <c r="H1691" s="195">
        <v>12.75</v>
      </c>
      <c r="I1691" s="212" t="s">
        <v>2354</v>
      </c>
    </row>
    <row r="1692" spans="1:9" x14ac:dyDescent="0.25">
      <c r="A1692" s="193" t="s">
        <v>220</v>
      </c>
      <c r="B1692" s="193" t="s">
        <v>2351</v>
      </c>
      <c r="C1692" s="214" t="s">
        <v>4718</v>
      </c>
      <c r="D1692" s="193" t="s">
        <v>4719</v>
      </c>
      <c r="E1692" s="212" t="s">
        <v>545</v>
      </c>
      <c r="F1692" s="215">
        <v>25</v>
      </c>
      <c r="G1692" s="194">
        <v>0.51200000000000001</v>
      </c>
      <c r="H1692" s="195">
        <v>12.8</v>
      </c>
      <c r="I1692" s="212" t="s">
        <v>2354</v>
      </c>
    </row>
    <row r="1693" spans="1:9" x14ac:dyDescent="0.25">
      <c r="A1693" s="193" t="s">
        <v>220</v>
      </c>
      <c r="B1693" s="193" t="s">
        <v>2351</v>
      </c>
      <c r="C1693" s="214" t="s">
        <v>4738</v>
      </c>
      <c r="D1693" s="193" t="s">
        <v>4739</v>
      </c>
      <c r="E1693" s="212" t="s">
        <v>545</v>
      </c>
      <c r="F1693" s="215">
        <v>55</v>
      </c>
      <c r="G1693" s="194">
        <v>0.2328625924314919</v>
      </c>
      <c r="H1693" s="195">
        <v>12.807442583732055</v>
      </c>
      <c r="I1693" s="212" t="s">
        <v>2354</v>
      </c>
    </row>
    <row r="1694" spans="1:9" x14ac:dyDescent="0.25">
      <c r="A1694" s="193" t="s">
        <v>220</v>
      </c>
      <c r="B1694" s="193" t="s">
        <v>2351</v>
      </c>
      <c r="C1694" s="214" t="s">
        <v>3483</v>
      </c>
      <c r="D1694" s="193" t="s">
        <v>3484</v>
      </c>
      <c r="E1694" s="212" t="s">
        <v>545</v>
      </c>
      <c r="F1694" s="215">
        <v>3</v>
      </c>
      <c r="G1694" s="194">
        <v>4.3019999999999996</v>
      </c>
      <c r="H1694" s="195">
        <v>12.905999999999999</v>
      </c>
      <c r="I1694" s="212" t="s">
        <v>2354</v>
      </c>
    </row>
    <row r="1695" spans="1:9" x14ac:dyDescent="0.25">
      <c r="A1695" s="193" t="s">
        <v>220</v>
      </c>
      <c r="B1695" s="193" t="s">
        <v>5430</v>
      </c>
      <c r="C1695" s="214" t="s">
        <v>6730</v>
      </c>
      <c r="D1695" s="193" t="s">
        <v>6731</v>
      </c>
      <c r="E1695" s="212" t="s">
        <v>545</v>
      </c>
      <c r="F1695" s="215">
        <v>15</v>
      </c>
      <c r="G1695" s="194">
        <v>0.86219999999999997</v>
      </c>
      <c r="H1695" s="195">
        <v>12.933</v>
      </c>
      <c r="I1695" s="212" t="s">
        <v>2354</v>
      </c>
    </row>
    <row r="1696" spans="1:9" x14ac:dyDescent="0.25">
      <c r="A1696" s="193" t="s">
        <v>220</v>
      </c>
      <c r="B1696" s="193" t="s">
        <v>2351</v>
      </c>
      <c r="C1696" s="214" t="s">
        <v>4965</v>
      </c>
      <c r="D1696" s="193" t="s">
        <v>4966</v>
      </c>
      <c r="E1696" s="212" t="s">
        <v>545</v>
      </c>
      <c r="F1696" s="215">
        <v>4</v>
      </c>
      <c r="G1696" s="194">
        <v>3.2429999999999999</v>
      </c>
      <c r="H1696" s="195">
        <v>12.972</v>
      </c>
      <c r="I1696" s="212" t="s">
        <v>2354</v>
      </c>
    </row>
    <row r="1697" spans="1:9" x14ac:dyDescent="0.25">
      <c r="A1697" s="193" t="s">
        <v>220</v>
      </c>
      <c r="B1697" s="193" t="s">
        <v>5430</v>
      </c>
      <c r="C1697" s="214" t="s">
        <v>3663</v>
      </c>
      <c r="D1697" s="193" t="s">
        <v>3664</v>
      </c>
      <c r="E1697" s="212" t="s">
        <v>545</v>
      </c>
      <c r="F1697" s="215">
        <v>6</v>
      </c>
      <c r="G1697" s="194">
        <v>2.17</v>
      </c>
      <c r="H1697" s="195">
        <v>13.02</v>
      </c>
      <c r="I1697" s="212" t="s">
        <v>2354</v>
      </c>
    </row>
    <row r="1698" spans="1:9" x14ac:dyDescent="0.25">
      <c r="A1698" s="193" t="s">
        <v>220</v>
      </c>
      <c r="B1698" s="193" t="s">
        <v>5430</v>
      </c>
      <c r="C1698" s="214" t="s">
        <v>3329</v>
      </c>
      <c r="D1698" s="193" t="s">
        <v>3330</v>
      </c>
      <c r="E1698" s="212" t="s">
        <v>545</v>
      </c>
      <c r="F1698" s="215">
        <v>20</v>
      </c>
      <c r="G1698" s="194">
        <v>0.65705000000000002</v>
      </c>
      <c r="H1698" s="195">
        <v>13.141</v>
      </c>
      <c r="I1698" s="212" t="s">
        <v>2354</v>
      </c>
    </row>
    <row r="1699" spans="1:9" x14ac:dyDescent="0.25">
      <c r="A1699" s="193" t="s">
        <v>220</v>
      </c>
      <c r="B1699" s="193" t="s">
        <v>5430</v>
      </c>
      <c r="C1699" s="214" t="s">
        <v>6783</v>
      </c>
      <c r="D1699" s="193" t="s">
        <v>6784</v>
      </c>
      <c r="E1699" s="212" t="s">
        <v>545</v>
      </c>
      <c r="F1699" s="215">
        <v>154</v>
      </c>
      <c r="G1699" s="194">
        <v>8.5500000000000007E-2</v>
      </c>
      <c r="H1699" s="195">
        <v>13.167000000000002</v>
      </c>
      <c r="I1699" s="212" t="s">
        <v>2354</v>
      </c>
    </row>
    <row r="1700" spans="1:9" x14ac:dyDescent="0.25">
      <c r="A1700" s="193" t="s">
        <v>220</v>
      </c>
      <c r="B1700" s="193" t="s">
        <v>2351</v>
      </c>
      <c r="C1700" s="214" t="s">
        <v>3541</v>
      </c>
      <c r="D1700" s="193" t="s">
        <v>3542</v>
      </c>
      <c r="E1700" s="212" t="s">
        <v>545</v>
      </c>
      <c r="F1700" s="215">
        <v>4</v>
      </c>
      <c r="G1700" s="194">
        <v>3.2937500000000002</v>
      </c>
      <c r="H1700" s="195">
        <v>13.175000000000001</v>
      </c>
      <c r="I1700" s="212" t="s">
        <v>2354</v>
      </c>
    </row>
    <row r="1701" spans="1:9" x14ac:dyDescent="0.25">
      <c r="A1701" s="193" t="s">
        <v>220</v>
      </c>
      <c r="B1701" s="193" t="s">
        <v>5430</v>
      </c>
      <c r="C1701" s="214" t="s">
        <v>3317</v>
      </c>
      <c r="D1701" s="193" t="s">
        <v>3318</v>
      </c>
      <c r="E1701" s="212" t="s">
        <v>545</v>
      </c>
      <c r="F1701" s="215">
        <v>9</v>
      </c>
      <c r="G1701" s="194">
        <v>1.464</v>
      </c>
      <c r="H1701" s="195">
        <v>13.176</v>
      </c>
      <c r="I1701" s="212" t="s">
        <v>2354</v>
      </c>
    </row>
    <row r="1702" spans="1:9" x14ac:dyDescent="0.25">
      <c r="A1702" s="193" t="s">
        <v>220</v>
      </c>
      <c r="B1702" s="193" t="s">
        <v>5430</v>
      </c>
      <c r="C1702" s="214" t="s">
        <v>7243</v>
      </c>
      <c r="D1702" s="193" t="s">
        <v>5167</v>
      </c>
      <c r="E1702" s="212" t="s">
        <v>545</v>
      </c>
      <c r="F1702" s="215">
        <v>2</v>
      </c>
      <c r="G1702" s="194">
        <v>6.593</v>
      </c>
      <c r="H1702" s="195">
        <v>13.186</v>
      </c>
      <c r="I1702" s="212" t="s">
        <v>2354</v>
      </c>
    </row>
    <row r="1703" spans="1:9" x14ac:dyDescent="0.25">
      <c r="A1703" s="193" t="s">
        <v>220</v>
      </c>
      <c r="B1703" s="193" t="s">
        <v>2351</v>
      </c>
      <c r="C1703" s="214" t="s">
        <v>3279</v>
      </c>
      <c r="D1703" s="193" t="s">
        <v>3280</v>
      </c>
      <c r="E1703" s="212" t="s">
        <v>545</v>
      </c>
      <c r="F1703" s="215">
        <v>5</v>
      </c>
      <c r="G1703" s="194">
        <v>2.6389999999999998</v>
      </c>
      <c r="H1703" s="195">
        <v>13.194999999999999</v>
      </c>
      <c r="I1703" s="212" t="s">
        <v>2354</v>
      </c>
    </row>
    <row r="1704" spans="1:9" x14ac:dyDescent="0.25">
      <c r="A1704" s="193" t="s">
        <v>220</v>
      </c>
      <c r="B1704" s="193" t="s">
        <v>2351</v>
      </c>
      <c r="C1704" s="214" t="s">
        <v>4834</v>
      </c>
      <c r="D1704" s="193" t="s">
        <v>4835</v>
      </c>
      <c r="E1704" s="212" t="s">
        <v>545</v>
      </c>
      <c r="F1704" s="215">
        <v>220</v>
      </c>
      <c r="G1704" s="194">
        <v>0.06</v>
      </c>
      <c r="H1704" s="195">
        <v>13.2</v>
      </c>
      <c r="I1704" s="212" t="s">
        <v>2354</v>
      </c>
    </row>
    <row r="1705" spans="1:9" x14ac:dyDescent="0.25">
      <c r="A1705" s="193" t="s">
        <v>220</v>
      </c>
      <c r="B1705" s="193" t="s">
        <v>2351</v>
      </c>
      <c r="C1705" s="214" t="s">
        <v>3343</v>
      </c>
      <c r="D1705" s="193" t="s">
        <v>3344</v>
      </c>
      <c r="E1705" s="212" t="s">
        <v>545</v>
      </c>
      <c r="F1705" s="215">
        <v>95</v>
      </c>
      <c r="G1705" s="194">
        <v>0.13932</v>
      </c>
      <c r="H1705" s="195">
        <v>13.2354</v>
      </c>
      <c r="I1705" s="212" t="s">
        <v>2354</v>
      </c>
    </row>
    <row r="1706" spans="1:9" x14ac:dyDescent="0.25">
      <c r="A1706" s="193" t="s">
        <v>220</v>
      </c>
      <c r="B1706" s="193" t="s">
        <v>2351</v>
      </c>
      <c r="C1706" s="214" t="s">
        <v>3667</v>
      </c>
      <c r="D1706" s="193" t="s">
        <v>3668</v>
      </c>
      <c r="E1706" s="212" t="s">
        <v>545</v>
      </c>
      <c r="F1706" s="215">
        <v>9</v>
      </c>
      <c r="G1706" s="194">
        <v>1.472</v>
      </c>
      <c r="H1706" s="195">
        <v>13.247999999999999</v>
      </c>
      <c r="I1706" s="212" t="s">
        <v>2354</v>
      </c>
    </row>
    <row r="1707" spans="1:9" x14ac:dyDescent="0.25">
      <c r="A1707" s="193" t="s">
        <v>220</v>
      </c>
      <c r="B1707" s="193" t="s">
        <v>5430</v>
      </c>
      <c r="C1707" s="214" t="s">
        <v>4842</v>
      </c>
      <c r="D1707" s="193" t="s">
        <v>4843</v>
      </c>
      <c r="E1707" s="212" t="s">
        <v>545</v>
      </c>
      <c r="F1707" s="215">
        <v>123</v>
      </c>
      <c r="G1707" s="194">
        <v>0.10833</v>
      </c>
      <c r="H1707" s="195">
        <v>13.324589999999999</v>
      </c>
      <c r="I1707" s="212" t="s">
        <v>2354</v>
      </c>
    </row>
    <row r="1708" spans="1:9" x14ac:dyDescent="0.25">
      <c r="A1708" s="193" t="s">
        <v>220</v>
      </c>
      <c r="B1708" s="193" t="s">
        <v>2351</v>
      </c>
      <c r="C1708" s="214" t="s">
        <v>3255</v>
      </c>
      <c r="D1708" s="193" t="s">
        <v>3256</v>
      </c>
      <c r="E1708" s="212" t="s">
        <v>545</v>
      </c>
      <c r="F1708" s="215">
        <v>2</v>
      </c>
      <c r="G1708" s="194">
        <v>6.6790000000000003</v>
      </c>
      <c r="H1708" s="195">
        <v>13.358000000000001</v>
      </c>
      <c r="I1708" s="212" t="s">
        <v>2354</v>
      </c>
    </row>
    <row r="1709" spans="1:9" x14ac:dyDescent="0.25">
      <c r="A1709" s="193" t="s">
        <v>220</v>
      </c>
      <c r="B1709" s="193" t="s">
        <v>5430</v>
      </c>
      <c r="C1709" s="214" t="s">
        <v>7196</v>
      </c>
      <c r="D1709" s="193" t="s">
        <v>7197</v>
      </c>
      <c r="E1709" s="212" t="s">
        <v>545</v>
      </c>
      <c r="F1709" s="215">
        <v>52</v>
      </c>
      <c r="G1709" s="194">
        <v>0.25797999999999999</v>
      </c>
      <c r="H1709" s="195">
        <v>13.414959999999999</v>
      </c>
      <c r="I1709" s="212" t="s">
        <v>2354</v>
      </c>
    </row>
    <row r="1710" spans="1:9" x14ac:dyDescent="0.25">
      <c r="A1710" s="193" t="s">
        <v>220</v>
      </c>
      <c r="B1710" s="193" t="s">
        <v>5430</v>
      </c>
      <c r="C1710" s="214" t="s">
        <v>4464</v>
      </c>
      <c r="D1710" s="193" t="s">
        <v>4465</v>
      </c>
      <c r="E1710" s="212" t="s">
        <v>545</v>
      </c>
      <c r="F1710" s="215">
        <v>210</v>
      </c>
      <c r="G1710" s="194">
        <v>6.3960000000000003E-2</v>
      </c>
      <c r="H1710" s="195">
        <v>13.431600000000001</v>
      </c>
      <c r="I1710" s="212" t="s">
        <v>2354</v>
      </c>
    </row>
    <row r="1711" spans="1:9" x14ac:dyDescent="0.25">
      <c r="A1711" s="193" t="s">
        <v>220</v>
      </c>
      <c r="B1711" s="193" t="s">
        <v>5430</v>
      </c>
      <c r="C1711" s="214" t="s">
        <v>7198</v>
      </c>
      <c r="D1711" s="193" t="s">
        <v>7199</v>
      </c>
      <c r="E1711" s="212" t="s">
        <v>545</v>
      </c>
      <c r="F1711" s="215">
        <v>75</v>
      </c>
      <c r="G1711" s="194">
        <v>0.18</v>
      </c>
      <c r="H1711" s="195">
        <v>13.5</v>
      </c>
      <c r="I1711" s="212" t="s">
        <v>2354</v>
      </c>
    </row>
    <row r="1712" spans="1:9" x14ac:dyDescent="0.25">
      <c r="A1712" s="193" t="s">
        <v>220</v>
      </c>
      <c r="B1712" s="193" t="s">
        <v>2351</v>
      </c>
      <c r="C1712" s="214" t="s">
        <v>5238</v>
      </c>
      <c r="D1712" s="193" t="s">
        <v>5239</v>
      </c>
      <c r="E1712" s="212" t="s">
        <v>2387</v>
      </c>
      <c r="F1712" s="215">
        <v>8</v>
      </c>
      <c r="G1712" s="194">
        <v>1.6893</v>
      </c>
      <c r="H1712" s="195">
        <v>13.5144</v>
      </c>
      <c r="I1712" s="212" t="s">
        <v>2354</v>
      </c>
    </row>
    <row r="1713" spans="1:9" x14ac:dyDescent="0.25">
      <c r="A1713" s="193" t="s">
        <v>220</v>
      </c>
      <c r="B1713" s="193" t="s">
        <v>5430</v>
      </c>
      <c r="C1713" s="214" t="s">
        <v>7241</v>
      </c>
      <c r="D1713" s="193" t="s">
        <v>5161</v>
      </c>
      <c r="E1713" s="212" t="s">
        <v>545</v>
      </c>
      <c r="F1713" s="215">
        <v>2</v>
      </c>
      <c r="G1713" s="194">
        <v>6.7910000000000004</v>
      </c>
      <c r="H1713" s="195">
        <v>13.582000000000001</v>
      </c>
      <c r="I1713" s="212" t="s">
        <v>2354</v>
      </c>
    </row>
    <row r="1714" spans="1:9" x14ac:dyDescent="0.25">
      <c r="A1714" s="193" t="s">
        <v>220</v>
      </c>
      <c r="B1714" s="193" t="s">
        <v>5430</v>
      </c>
      <c r="C1714" s="214" t="s">
        <v>7166</v>
      </c>
      <c r="D1714" s="193" t="s">
        <v>7167</v>
      </c>
      <c r="E1714" s="212" t="s">
        <v>545</v>
      </c>
      <c r="F1714" s="215">
        <v>22</v>
      </c>
      <c r="G1714" s="194">
        <v>0.6175781818181818</v>
      </c>
      <c r="H1714" s="195">
        <v>13.58672</v>
      </c>
      <c r="I1714" s="212" t="s">
        <v>2354</v>
      </c>
    </row>
    <row r="1715" spans="1:9" x14ac:dyDescent="0.25">
      <c r="A1715" s="193" t="s">
        <v>220</v>
      </c>
      <c r="B1715" s="193" t="s">
        <v>2351</v>
      </c>
      <c r="C1715" s="214" t="s">
        <v>4157</v>
      </c>
      <c r="D1715" s="193" t="s">
        <v>4158</v>
      </c>
      <c r="E1715" s="212" t="s">
        <v>545</v>
      </c>
      <c r="F1715" s="215">
        <v>8</v>
      </c>
      <c r="G1715" s="194">
        <v>1.69939</v>
      </c>
      <c r="H1715" s="195">
        <v>13.59512</v>
      </c>
      <c r="I1715" s="212" t="s">
        <v>2354</v>
      </c>
    </row>
    <row r="1716" spans="1:9" x14ac:dyDescent="0.25">
      <c r="A1716" s="193" t="s">
        <v>220</v>
      </c>
      <c r="B1716" s="193" t="s">
        <v>2351</v>
      </c>
      <c r="C1716" s="214" t="s">
        <v>5178</v>
      </c>
      <c r="D1716" s="193" t="s">
        <v>5179</v>
      </c>
      <c r="E1716" s="212" t="s">
        <v>545</v>
      </c>
      <c r="F1716" s="215">
        <v>3</v>
      </c>
      <c r="G1716" s="194">
        <v>4.5625526315789475</v>
      </c>
      <c r="H1716" s="195">
        <v>13.687657894736843</v>
      </c>
      <c r="I1716" s="212" t="s">
        <v>2354</v>
      </c>
    </row>
    <row r="1717" spans="1:9" x14ac:dyDescent="0.25">
      <c r="A1717" s="193" t="s">
        <v>220</v>
      </c>
      <c r="B1717" s="193" t="s">
        <v>2351</v>
      </c>
      <c r="C1717" s="214" t="s">
        <v>3471</v>
      </c>
      <c r="D1717" s="193" t="s">
        <v>3472</v>
      </c>
      <c r="E1717" s="212" t="s">
        <v>545</v>
      </c>
      <c r="F1717" s="215">
        <v>2</v>
      </c>
      <c r="G1717" s="194">
        <v>6.8440500000000002</v>
      </c>
      <c r="H1717" s="195">
        <v>13.6881</v>
      </c>
      <c r="I1717" s="212" t="s">
        <v>2354</v>
      </c>
    </row>
    <row r="1718" spans="1:9" x14ac:dyDescent="0.25">
      <c r="A1718" s="193" t="s">
        <v>220</v>
      </c>
      <c r="B1718" s="193" t="s">
        <v>2351</v>
      </c>
      <c r="C1718" s="214" t="s">
        <v>4830</v>
      </c>
      <c r="D1718" s="193" t="s">
        <v>4831</v>
      </c>
      <c r="E1718" s="212" t="s">
        <v>545</v>
      </c>
      <c r="F1718" s="215">
        <v>140</v>
      </c>
      <c r="G1718" s="194">
        <v>9.799999999999999E-2</v>
      </c>
      <c r="H1718" s="195">
        <v>13.719999999999999</v>
      </c>
      <c r="I1718" s="212" t="s">
        <v>2354</v>
      </c>
    </row>
    <row r="1719" spans="1:9" x14ac:dyDescent="0.25">
      <c r="A1719" s="193" t="s">
        <v>220</v>
      </c>
      <c r="B1719" s="193" t="s">
        <v>5430</v>
      </c>
      <c r="C1719" s="214" t="s">
        <v>6463</v>
      </c>
      <c r="D1719" s="193" t="s">
        <v>6464</v>
      </c>
      <c r="E1719" s="212" t="s">
        <v>545</v>
      </c>
      <c r="F1719" s="215">
        <v>13</v>
      </c>
      <c r="G1719" s="194">
        <v>1.0608</v>
      </c>
      <c r="H1719" s="195">
        <v>13.7904</v>
      </c>
      <c r="I1719" s="212" t="s">
        <v>2354</v>
      </c>
    </row>
    <row r="1720" spans="1:9" x14ac:dyDescent="0.25">
      <c r="A1720" s="193" t="s">
        <v>220</v>
      </c>
      <c r="B1720" s="193" t="s">
        <v>2351</v>
      </c>
      <c r="C1720" s="214" t="s">
        <v>3523</v>
      </c>
      <c r="D1720" s="193" t="s">
        <v>3524</v>
      </c>
      <c r="E1720" s="212" t="s">
        <v>545</v>
      </c>
      <c r="F1720" s="215">
        <v>12</v>
      </c>
      <c r="G1720" s="194">
        <v>1.153</v>
      </c>
      <c r="H1720" s="195">
        <v>13.836</v>
      </c>
      <c r="I1720" s="212" t="s">
        <v>2354</v>
      </c>
    </row>
    <row r="1721" spans="1:9" x14ac:dyDescent="0.25">
      <c r="A1721" s="193" t="s">
        <v>220</v>
      </c>
      <c r="B1721" s="193" t="s">
        <v>2351</v>
      </c>
      <c r="C1721" s="214" t="s">
        <v>2968</v>
      </c>
      <c r="D1721" s="193" t="s">
        <v>2969</v>
      </c>
      <c r="E1721" s="212" t="s">
        <v>545</v>
      </c>
      <c r="F1721" s="215">
        <v>1</v>
      </c>
      <c r="G1721" s="194">
        <v>13.855049999999999</v>
      </c>
      <c r="H1721" s="195">
        <v>13.855049999999999</v>
      </c>
      <c r="I1721" s="212" t="s">
        <v>2354</v>
      </c>
    </row>
    <row r="1722" spans="1:9" x14ac:dyDescent="0.25">
      <c r="A1722" s="193" t="s">
        <v>220</v>
      </c>
      <c r="B1722" s="193" t="s">
        <v>2351</v>
      </c>
      <c r="C1722" s="214" t="s">
        <v>4832</v>
      </c>
      <c r="D1722" s="193" t="s">
        <v>4833</v>
      </c>
      <c r="E1722" s="212" t="s">
        <v>545</v>
      </c>
      <c r="F1722" s="215">
        <v>235</v>
      </c>
      <c r="G1722" s="194">
        <v>5.9033281409406252E-2</v>
      </c>
      <c r="H1722" s="195">
        <v>13.872821131210468</v>
      </c>
      <c r="I1722" s="212" t="s">
        <v>2354</v>
      </c>
    </row>
    <row r="1723" spans="1:9" x14ac:dyDescent="0.25">
      <c r="A1723" s="193" t="s">
        <v>220</v>
      </c>
      <c r="B1723" s="193" t="s">
        <v>5430</v>
      </c>
      <c r="C1723" s="214" t="s">
        <v>3339</v>
      </c>
      <c r="D1723" s="193" t="s">
        <v>3340</v>
      </c>
      <c r="E1723" s="212" t="s">
        <v>545</v>
      </c>
      <c r="F1723" s="215">
        <v>9</v>
      </c>
      <c r="G1723" s="194">
        <v>1.5419375000000002</v>
      </c>
      <c r="H1723" s="195">
        <v>13.877437500000001</v>
      </c>
      <c r="I1723" s="212" t="s">
        <v>2354</v>
      </c>
    </row>
    <row r="1724" spans="1:9" x14ac:dyDescent="0.25">
      <c r="A1724" s="193" t="s">
        <v>220</v>
      </c>
      <c r="B1724" s="193" t="s">
        <v>5430</v>
      </c>
      <c r="C1724" s="214" t="s">
        <v>6486</v>
      </c>
      <c r="D1724" s="193" t="s">
        <v>6487</v>
      </c>
      <c r="E1724" s="212" t="s">
        <v>545</v>
      </c>
      <c r="F1724" s="215">
        <v>1</v>
      </c>
      <c r="G1724" s="194">
        <v>13.897500000000001</v>
      </c>
      <c r="H1724" s="195">
        <v>13.897500000000001</v>
      </c>
      <c r="I1724" s="212" t="s">
        <v>2354</v>
      </c>
    </row>
    <row r="1725" spans="1:9" x14ac:dyDescent="0.25">
      <c r="A1725" s="193" t="s">
        <v>220</v>
      </c>
      <c r="B1725" s="193" t="s">
        <v>2351</v>
      </c>
      <c r="C1725" s="214" t="s">
        <v>3715</v>
      </c>
      <c r="D1725" s="193" t="s">
        <v>3716</v>
      </c>
      <c r="E1725" s="212" t="s">
        <v>545</v>
      </c>
      <c r="F1725" s="215">
        <v>8</v>
      </c>
      <c r="G1725" s="194">
        <v>1.742</v>
      </c>
      <c r="H1725" s="195">
        <v>13.936</v>
      </c>
      <c r="I1725" s="212" t="s">
        <v>2354</v>
      </c>
    </row>
    <row r="1726" spans="1:9" x14ac:dyDescent="0.25">
      <c r="A1726" s="193" t="s">
        <v>220</v>
      </c>
      <c r="B1726" s="193" t="s">
        <v>2351</v>
      </c>
      <c r="C1726" s="214" t="s">
        <v>5014</v>
      </c>
      <c r="D1726" s="193" t="s">
        <v>5015</v>
      </c>
      <c r="E1726" s="212" t="s">
        <v>545</v>
      </c>
      <c r="F1726" s="215">
        <v>352</v>
      </c>
      <c r="G1726" s="194">
        <v>3.9600000000000003E-2</v>
      </c>
      <c r="H1726" s="195">
        <v>13.939200000000001</v>
      </c>
      <c r="I1726" s="212" t="s">
        <v>2354</v>
      </c>
    </row>
    <row r="1727" spans="1:9" x14ac:dyDescent="0.25">
      <c r="A1727" s="193" t="s">
        <v>220</v>
      </c>
      <c r="B1727" s="193" t="s">
        <v>2351</v>
      </c>
      <c r="C1727" s="214" t="s">
        <v>5144</v>
      </c>
      <c r="D1727" s="193" t="s">
        <v>5145</v>
      </c>
      <c r="E1727" s="212" t="s">
        <v>545</v>
      </c>
      <c r="F1727" s="215">
        <v>18</v>
      </c>
      <c r="G1727" s="194">
        <v>0.77500000000000002</v>
      </c>
      <c r="H1727" s="195">
        <v>13.950000000000001</v>
      </c>
      <c r="I1727" s="212" t="s">
        <v>2354</v>
      </c>
    </row>
    <row r="1728" spans="1:9" x14ac:dyDescent="0.25">
      <c r="A1728" s="193" t="s">
        <v>220</v>
      </c>
      <c r="B1728" s="193" t="s">
        <v>2351</v>
      </c>
      <c r="C1728" s="214" t="s">
        <v>3201</v>
      </c>
      <c r="D1728" s="193" t="s">
        <v>3202</v>
      </c>
      <c r="E1728" s="212" t="s">
        <v>545</v>
      </c>
      <c r="F1728" s="215">
        <v>15</v>
      </c>
      <c r="G1728" s="194">
        <v>0.93149999999999999</v>
      </c>
      <c r="H1728" s="195">
        <v>13.9725</v>
      </c>
      <c r="I1728" s="212" t="s">
        <v>2354</v>
      </c>
    </row>
    <row r="1729" spans="1:9" x14ac:dyDescent="0.25">
      <c r="A1729" s="193" t="s">
        <v>220</v>
      </c>
      <c r="B1729" s="193" t="s">
        <v>5430</v>
      </c>
      <c r="C1729" s="214" t="s">
        <v>4552</v>
      </c>
      <c r="D1729" s="193" t="s">
        <v>4553</v>
      </c>
      <c r="E1729" s="212" t="s">
        <v>545</v>
      </c>
      <c r="F1729" s="215">
        <v>12</v>
      </c>
      <c r="G1729" s="194">
        <v>1.165</v>
      </c>
      <c r="H1729" s="195">
        <v>13.98</v>
      </c>
      <c r="I1729" s="212" t="s">
        <v>2354</v>
      </c>
    </row>
    <row r="1730" spans="1:9" x14ac:dyDescent="0.25">
      <c r="A1730" s="193" t="s">
        <v>220</v>
      </c>
      <c r="B1730" s="193" t="s">
        <v>2351</v>
      </c>
      <c r="C1730" s="214" t="s">
        <v>5110</v>
      </c>
      <c r="D1730" s="193" t="s">
        <v>5111</v>
      </c>
      <c r="E1730" s="212" t="s">
        <v>545</v>
      </c>
      <c r="F1730" s="215">
        <v>35</v>
      </c>
      <c r="G1730" s="194">
        <v>0.4</v>
      </c>
      <c r="H1730" s="195">
        <v>14</v>
      </c>
      <c r="I1730" s="212" t="s">
        <v>2354</v>
      </c>
    </row>
    <row r="1731" spans="1:9" x14ac:dyDescent="0.25">
      <c r="A1731" s="193" t="s">
        <v>220</v>
      </c>
      <c r="B1731" s="193" t="s">
        <v>5430</v>
      </c>
      <c r="C1731" s="214" t="s">
        <v>6495</v>
      </c>
      <c r="D1731" s="193" t="s">
        <v>6496</v>
      </c>
      <c r="E1731" s="212" t="s">
        <v>545</v>
      </c>
      <c r="F1731" s="215">
        <v>2</v>
      </c>
      <c r="G1731" s="194">
        <v>7.0054222222222222</v>
      </c>
      <c r="H1731" s="195">
        <v>14.010844444444444</v>
      </c>
      <c r="I1731" s="212" t="s">
        <v>2354</v>
      </c>
    </row>
    <row r="1732" spans="1:9" x14ac:dyDescent="0.25">
      <c r="A1732" s="193" t="s">
        <v>220</v>
      </c>
      <c r="B1732" s="193" t="s">
        <v>2351</v>
      </c>
      <c r="C1732" s="214" t="s">
        <v>4235</v>
      </c>
      <c r="D1732" s="193" t="s">
        <v>4236</v>
      </c>
      <c r="E1732" s="212" t="s">
        <v>2387</v>
      </c>
      <c r="F1732" s="215">
        <v>2</v>
      </c>
      <c r="G1732" s="194">
        <v>7.0107999999999997</v>
      </c>
      <c r="H1732" s="195">
        <v>14.021599999999999</v>
      </c>
      <c r="I1732" s="212" t="s">
        <v>2354</v>
      </c>
    </row>
    <row r="1733" spans="1:9" x14ac:dyDescent="0.25">
      <c r="A1733" s="193" t="s">
        <v>220</v>
      </c>
      <c r="B1733" s="193" t="s">
        <v>2351</v>
      </c>
      <c r="C1733" s="214" t="s">
        <v>3381</v>
      </c>
      <c r="D1733" s="193" t="s">
        <v>3382</v>
      </c>
      <c r="E1733" s="212" t="s">
        <v>545</v>
      </c>
      <c r="F1733" s="215">
        <v>6</v>
      </c>
      <c r="G1733" s="194">
        <v>2.3374999999999999</v>
      </c>
      <c r="H1733" s="195">
        <v>14.024999999999999</v>
      </c>
      <c r="I1733" s="212" t="s">
        <v>2354</v>
      </c>
    </row>
    <row r="1734" spans="1:9" x14ac:dyDescent="0.25">
      <c r="A1734" s="193" t="s">
        <v>220</v>
      </c>
      <c r="B1734" s="193" t="s">
        <v>5430</v>
      </c>
      <c r="C1734" s="214" t="s">
        <v>6785</v>
      </c>
      <c r="D1734" s="193" t="s">
        <v>6786</v>
      </c>
      <c r="E1734" s="212" t="s">
        <v>545</v>
      </c>
      <c r="F1734" s="215">
        <v>120</v>
      </c>
      <c r="G1734" s="194">
        <v>0.11700000000000001</v>
      </c>
      <c r="H1734" s="195">
        <v>14.040000000000001</v>
      </c>
      <c r="I1734" s="212" t="s">
        <v>2354</v>
      </c>
    </row>
    <row r="1735" spans="1:9" x14ac:dyDescent="0.25">
      <c r="A1735" s="193" t="s">
        <v>220</v>
      </c>
      <c r="B1735" s="193" t="s">
        <v>2351</v>
      </c>
      <c r="C1735" s="214" t="s">
        <v>2886</v>
      </c>
      <c r="D1735" s="193" t="s">
        <v>2887</v>
      </c>
      <c r="E1735" s="212" t="s">
        <v>545</v>
      </c>
      <c r="F1735" s="215">
        <v>3</v>
      </c>
      <c r="G1735" s="194">
        <v>4.6890000000000001</v>
      </c>
      <c r="H1735" s="195">
        <v>14.067</v>
      </c>
      <c r="I1735" s="212" t="s">
        <v>2354</v>
      </c>
    </row>
    <row r="1736" spans="1:9" x14ac:dyDescent="0.25">
      <c r="A1736" s="193" t="s">
        <v>220</v>
      </c>
      <c r="B1736" s="193" t="s">
        <v>5430</v>
      </c>
      <c r="C1736" s="214" t="s">
        <v>6329</v>
      </c>
      <c r="D1736" s="193" t="s">
        <v>6330</v>
      </c>
      <c r="E1736" s="212" t="s">
        <v>545</v>
      </c>
      <c r="F1736" s="215">
        <v>23</v>
      </c>
      <c r="G1736" s="194">
        <v>0.61241999999999996</v>
      </c>
      <c r="H1736" s="195">
        <v>14.085659999999999</v>
      </c>
      <c r="I1736" s="212" t="s">
        <v>2354</v>
      </c>
    </row>
    <row r="1737" spans="1:9" x14ac:dyDescent="0.25">
      <c r="A1737" s="193" t="s">
        <v>220</v>
      </c>
      <c r="B1737" s="193" t="s">
        <v>2351</v>
      </c>
      <c r="C1737" s="214" t="s">
        <v>5048</v>
      </c>
      <c r="D1737" s="193" t="s">
        <v>5049</v>
      </c>
      <c r="E1737" s="212" t="s">
        <v>545</v>
      </c>
      <c r="F1737" s="215">
        <v>28</v>
      </c>
      <c r="G1737" s="194">
        <v>0.50349999999999995</v>
      </c>
      <c r="H1737" s="195">
        <v>14.097999999999999</v>
      </c>
      <c r="I1737" s="212" t="s">
        <v>2354</v>
      </c>
    </row>
    <row r="1738" spans="1:9" x14ac:dyDescent="0.25">
      <c r="A1738" s="193" t="s">
        <v>220</v>
      </c>
      <c r="B1738" s="193" t="s">
        <v>5430</v>
      </c>
      <c r="C1738" s="214" t="s">
        <v>7346</v>
      </c>
      <c r="D1738" s="193" t="s">
        <v>7347</v>
      </c>
      <c r="E1738" s="212" t="s">
        <v>545</v>
      </c>
      <c r="F1738" s="215">
        <v>1</v>
      </c>
      <c r="G1738" s="194">
        <v>14.1</v>
      </c>
      <c r="H1738" s="195">
        <v>14.1</v>
      </c>
      <c r="I1738" s="212" t="s">
        <v>2354</v>
      </c>
    </row>
    <row r="1739" spans="1:9" x14ac:dyDescent="0.25">
      <c r="A1739" s="193" t="s">
        <v>220</v>
      </c>
      <c r="B1739" s="193" t="s">
        <v>5430</v>
      </c>
      <c r="C1739" s="214" t="s">
        <v>6505</v>
      </c>
      <c r="D1739" s="193" t="s">
        <v>6506</v>
      </c>
      <c r="E1739" s="212" t="s">
        <v>545</v>
      </c>
      <c r="F1739" s="215">
        <v>1</v>
      </c>
      <c r="G1739" s="194">
        <v>14.16</v>
      </c>
      <c r="H1739" s="195">
        <v>14.16</v>
      </c>
      <c r="I1739" s="212" t="s">
        <v>2354</v>
      </c>
    </row>
    <row r="1740" spans="1:9" x14ac:dyDescent="0.25">
      <c r="A1740" s="193" t="s">
        <v>220</v>
      </c>
      <c r="B1740" s="193" t="s">
        <v>2351</v>
      </c>
      <c r="C1740" s="214" t="s">
        <v>5066</v>
      </c>
      <c r="D1740" s="193" t="s">
        <v>5067</v>
      </c>
      <c r="E1740" s="212" t="s">
        <v>545</v>
      </c>
      <c r="F1740" s="215">
        <v>44</v>
      </c>
      <c r="G1740" s="194">
        <v>0.32200000000000001</v>
      </c>
      <c r="H1740" s="195">
        <v>14.168000000000001</v>
      </c>
      <c r="I1740" s="212" t="s">
        <v>2354</v>
      </c>
    </row>
    <row r="1741" spans="1:9" x14ac:dyDescent="0.25">
      <c r="A1741" s="193" t="s">
        <v>220</v>
      </c>
      <c r="B1741" s="193" t="s">
        <v>5430</v>
      </c>
      <c r="C1741" s="214" t="s">
        <v>4838</v>
      </c>
      <c r="D1741" s="193" t="s">
        <v>4839</v>
      </c>
      <c r="E1741" s="212" t="s">
        <v>545</v>
      </c>
      <c r="F1741" s="215">
        <v>21</v>
      </c>
      <c r="G1741" s="194">
        <v>0.68090066225165569</v>
      </c>
      <c r="H1741" s="195">
        <v>14.298913907284769</v>
      </c>
      <c r="I1741" s="212" t="s">
        <v>2354</v>
      </c>
    </row>
    <row r="1742" spans="1:9" x14ac:dyDescent="0.25">
      <c r="A1742" s="193" t="s">
        <v>220</v>
      </c>
      <c r="B1742" s="193" t="s">
        <v>2351</v>
      </c>
      <c r="C1742" s="214" t="s">
        <v>2906</v>
      </c>
      <c r="D1742" s="193" t="s">
        <v>2907</v>
      </c>
      <c r="E1742" s="212" t="s">
        <v>545</v>
      </c>
      <c r="F1742" s="215">
        <v>2</v>
      </c>
      <c r="G1742" s="194">
        <v>7.1639999999999988</v>
      </c>
      <c r="H1742" s="195">
        <v>14.327999999999998</v>
      </c>
      <c r="I1742" s="212" t="s">
        <v>2354</v>
      </c>
    </row>
    <row r="1743" spans="1:9" x14ac:dyDescent="0.25">
      <c r="A1743" s="193" t="s">
        <v>220</v>
      </c>
      <c r="B1743" s="193" t="s">
        <v>5430</v>
      </c>
      <c r="C1743" s="214" t="s">
        <v>4804</v>
      </c>
      <c r="D1743" s="193" t="s">
        <v>4805</v>
      </c>
      <c r="E1743" s="212" t="s">
        <v>545</v>
      </c>
      <c r="F1743" s="215">
        <v>135</v>
      </c>
      <c r="G1743" s="194">
        <v>0.10620000000000002</v>
      </c>
      <c r="H1743" s="195">
        <v>14.337000000000002</v>
      </c>
      <c r="I1743" s="212" t="s">
        <v>2354</v>
      </c>
    </row>
    <row r="1744" spans="1:9" x14ac:dyDescent="0.25">
      <c r="A1744" s="193" t="s">
        <v>220</v>
      </c>
      <c r="B1744" s="193" t="s">
        <v>2351</v>
      </c>
      <c r="C1744" s="214" t="s">
        <v>3293</v>
      </c>
      <c r="D1744" s="193" t="s">
        <v>3294</v>
      </c>
      <c r="E1744" s="212" t="s">
        <v>545</v>
      </c>
      <c r="F1744" s="215">
        <v>13</v>
      </c>
      <c r="G1744" s="194">
        <v>1.105</v>
      </c>
      <c r="H1744" s="195">
        <v>14.365</v>
      </c>
      <c r="I1744" s="212" t="s">
        <v>2354</v>
      </c>
    </row>
    <row r="1745" spans="1:9" x14ac:dyDescent="0.25">
      <c r="A1745" s="193" t="s">
        <v>220</v>
      </c>
      <c r="B1745" s="193" t="s">
        <v>5430</v>
      </c>
      <c r="C1745" s="214" t="s">
        <v>4834</v>
      </c>
      <c r="D1745" s="193" t="s">
        <v>4835</v>
      </c>
      <c r="E1745" s="212" t="s">
        <v>545</v>
      </c>
      <c r="F1745" s="215">
        <v>240</v>
      </c>
      <c r="G1745" s="194">
        <v>0.06</v>
      </c>
      <c r="H1745" s="195">
        <v>14.399999999999999</v>
      </c>
      <c r="I1745" s="212" t="s">
        <v>2354</v>
      </c>
    </row>
    <row r="1746" spans="1:9" x14ac:dyDescent="0.25">
      <c r="A1746" s="193" t="s">
        <v>220</v>
      </c>
      <c r="B1746" s="193" t="s">
        <v>5430</v>
      </c>
      <c r="C1746" s="214" t="s">
        <v>6549</v>
      </c>
      <c r="D1746" s="193" t="s">
        <v>6550</v>
      </c>
      <c r="E1746" s="212" t="s">
        <v>545</v>
      </c>
      <c r="F1746" s="215">
        <v>8</v>
      </c>
      <c r="G1746" s="194">
        <v>1.8</v>
      </c>
      <c r="H1746" s="195">
        <v>14.4</v>
      </c>
      <c r="I1746" s="212" t="s">
        <v>2354</v>
      </c>
    </row>
    <row r="1747" spans="1:9" x14ac:dyDescent="0.25">
      <c r="A1747" s="193" t="s">
        <v>220</v>
      </c>
      <c r="B1747" s="193" t="s">
        <v>2351</v>
      </c>
      <c r="C1747" s="214" t="s">
        <v>5026</v>
      </c>
      <c r="D1747" s="193" t="s">
        <v>5027</v>
      </c>
      <c r="E1747" s="212" t="s">
        <v>545</v>
      </c>
      <c r="F1747" s="215">
        <v>120</v>
      </c>
      <c r="G1747" s="194">
        <v>0.12038892950391644</v>
      </c>
      <c r="H1747" s="195">
        <v>14.446671540469973</v>
      </c>
      <c r="I1747" s="212" t="s">
        <v>2354</v>
      </c>
    </row>
    <row r="1748" spans="1:9" x14ac:dyDescent="0.25">
      <c r="A1748" s="193" t="s">
        <v>220</v>
      </c>
      <c r="B1748" s="193" t="s">
        <v>5430</v>
      </c>
      <c r="C1748" s="214" t="s">
        <v>4714</v>
      </c>
      <c r="D1748" s="193" t="s">
        <v>4715</v>
      </c>
      <c r="E1748" s="212" t="s">
        <v>545</v>
      </c>
      <c r="F1748" s="215">
        <v>45</v>
      </c>
      <c r="G1748" s="194">
        <v>0.32140750000000007</v>
      </c>
      <c r="H1748" s="195">
        <v>14.463337500000003</v>
      </c>
      <c r="I1748" s="212" t="s">
        <v>2354</v>
      </c>
    </row>
    <row r="1749" spans="1:9" x14ac:dyDescent="0.25">
      <c r="A1749" s="193" t="s">
        <v>220</v>
      </c>
      <c r="B1749" s="193" t="s">
        <v>5430</v>
      </c>
      <c r="C1749" s="214" t="s">
        <v>3501</v>
      </c>
      <c r="D1749" s="193" t="s">
        <v>3502</v>
      </c>
      <c r="E1749" s="212" t="s">
        <v>545</v>
      </c>
      <c r="F1749" s="215">
        <v>5</v>
      </c>
      <c r="G1749" s="194">
        <v>2.9015151515151514</v>
      </c>
      <c r="H1749" s="195">
        <v>14.507575757575758</v>
      </c>
      <c r="I1749" s="212" t="s">
        <v>2354</v>
      </c>
    </row>
    <row r="1750" spans="1:9" x14ac:dyDescent="0.25">
      <c r="A1750" s="193" t="s">
        <v>220</v>
      </c>
      <c r="B1750" s="193" t="s">
        <v>5430</v>
      </c>
      <c r="C1750" s="214" t="s">
        <v>4187</v>
      </c>
      <c r="D1750" s="193" t="s">
        <v>4188</v>
      </c>
      <c r="E1750" s="212" t="s">
        <v>545</v>
      </c>
      <c r="F1750" s="215">
        <v>28</v>
      </c>
      <c r="G1750" s="194">
        <v>0.52025434782608682</v>
      </c>
      <c r="H1750" s="195">
        <v>14.567121739130432</v>
      </c>
      <c r="I1750" s="212" t="s">
        <v>2354</v>
      </c>
    </row>
    <row r="1751" spans="1:9" x14ac:dyDescent="0.25">
      <c r="A1751" s="193" t="s">
        <v>220</v>
      </c>
      <c r="B1751" s="193" t="s">
        <v>2351</v>
      </c>
      <c r="C1751" s="214" t="s">
        <v>4430</v>
      </c>
      <c r="D1751" s="193" t="s">
        <v>4431</v>
      </c>
      <c r="E1751" s="212" t="s">
        <v>545</v>
      </c>
      <c r="F1751" s="215">
        <v>18</v>
      </c>
      <c r="G1751" s="194">
        <v>0.81200000000000006</v>
      </c>
      <c r="H1751" s="195">
        <v>14.616000000000001</v>
      </c>
      <c r="I1751" s="212" t="s">
        <v>2354</v>
      </c>
    </row>
    <row r="1752" spans="1:9" x14ac:dyDescent="0.25">
      <c r="A1752" s="193" t="s">
        <v>220</v>
      </c>
      <c r="B1752" s="193" t="s">
        <v>2351</v>
      </c>
      <c r="C1752" s="214" t="s">
        <v>5030</v>
      </c>
      <c r="D1752" s="193" t="s">
        <v>5031</v>
      </c>
      <c r="E1752" s="212" t="s">
        <v>545</v>
      </c>
      <c r="F1752" s="215">
        <v>65</v>
      </c>
      <c r="G1752" s="194">
        <v>0.22642666666666666</v>
      </c>
      <c r="H1752" s="195">
        <v>14.717733333333333</v>
      </c>
      <c r="I1752" s="212" t="s">
        <v>2354</v>
      </c>
    </row>
    <row r="1753" spans="1:9" x14ac:dyDescent="0.25">
      <c r="A1753" s="193" t="s">
        <v>220</v>
      </c>
      <c r="B1753" s="193" t="s">
        <v>5430</v>
      </c>
      <c r="C1753" s="214" t="s">
        <v>7185</v>
      </c>
      <c r="D1753" s="193" t="s">
        <v>7186</v>
      </c>
      <c r="E1753" s="212" t="s">
        <v>545</v>
      </c>
      <c r="F1753" s="215">
        <v>85</v>
      </c>
      <c r="G1753" s="194">
        <v>0.17327000000000001</v>
      </c>
      <c r="H1753" s="195">
        <v>14.72795</v>
      </c>
      <c r="I1753" s="212" t="s">
        <v>2354</v>
      </c>
    </row>
    <row r="1754" spans="1:9" x14ac:dyDescent="0.25">
      <c r="A1754" s="193" t="s">
        <v>220</v>
      </c>
      <c r="B1754" s="193" t="s">
        <v>5430</v>
      </c>
      <c r="C1754" s="214" t="s">
        <v>4155</v>
      </c>
      <c r="D1754" s="193" t="s">
        <v>4156</v>
      </c>
      <c r="E1754" s="212" t="s">
        <v>545</v>
      </c>
      <c r="F1754" s="215">
        <v>12</v>
      </c>
      <c r="G1754" s="194">
        <v>1.2300627272727274</v>
      </c>
      <c r="H1754" s="195">
        <v>14.760752727272727</v>
      </c>
      <c r="I1754" s="212" t="s">
        <v>2354</v>
      </c>
    </row>
    <row r="1755" spans="1:9" x14ac:dyDescent="0.25">
      <c r="A1755" s="193" t="s">
        <v>220</v>
      </c>
      <c r="B1755" s="193" t="s">
        <v>5430</v>
      </c>
      <c r="C1755" s="214" t="s">
        <v>6286</v>
      </c>
      <c r="D1755" s="193" t="s">
        <v>6287</v>
      </c>
      <c r="E1755" s="212" t="s">
        <v>545</v>
      </c>
      <c r="F1755" s="215">
        <v>2</v>
      </c>
      <c r="G1755" s="194">
        <v>7.3860000000000001</v>
      </c>
      <c r="H1755" s="195">
        <v>14.772</v>
      </c>
      <c r="I1755" s="212" t="s">
        <v>2354</v>
      </c>
    </row>
    <row r="1756" spans="1:9" x14ac:dyDescent="0.25">
      <c r="A1756" s="193" t="s">
        <v>220</v>
      </c>
      <c r="B1756" s="193" t="s">
        <v>5430</v>
      </c>
      <c r="C1756" s="214" t="s">
        <v>3649</v>
      </c>
      <c r="D1756" s="193" t="s">
        <v>3650</v>
      </c>
      <c r="E1756" s="212" t="s">
        <v>545</v>
      </c>
      <c r="F1756" s="215">
        <v>3</v>
      </c>
      <c r="G1756" s="194">
        <v>4.93</v>
      </c>
      <c r="H1756" s="195">
        <v>14.79</v>
      </c>
      <c r="I1756" s="212" t="s">
        <v>2354</v>
      </c>
    </row>
    <row r="1757" spans="1:9" x14ac:dyDescent="0.25">
      <c r="A1757" s="193" t="s">
        <v>220</v>
      </c>
      <c r="B1757" s="193" t="s">
        <v>2351</v>
      </c>
      <c r="C1757" s="214" t="s">
        <v>3687</v>
      </c>
      <c r="D1757" s="193" t="s">
        <v>3688</v>
      </c>
      <c r="E1757" s="212" t="s">
        <v>545</v>
      </c>
      <c r="F1757" s="215">
        <v>8</v>
      </c>
      <c r="G1757" s="194">
        <v>1.852153846153846</v>
      </c>
      <c r="H1757" s="195">
        <v>14.817230769230768</v>
      </c>
      <c r="I1757" s="212" t="s">
        <v>2354</v>
      </c>
    </row>
    <row r="1758" spans="1:9" x14ac:dyDescent="0.25">
      <c r="A1758" s="193" t="s">
        <v>220</v>
      </c>
      <c r="B1758" s="193" t="s">
        <v>5430</v>
      </c>
      <c r="C1758" s="214" t="s">
        <v>5120</v>
      </c>
      <c r="D1758" s="193" t="s">
        <v>5121</v>
      </c>
      <c r="E1758" s="212" t="s">
        <v>545</v>
      </c>
      <c r="F1758" s="215">
        <v>75</v>
      </c>
      <c r="G1758" s="194">
        <v>0.19800000000000001</v>
      </c>
      <c r="H1758" s="195">
        <v>14.850000000000001</v>
      </c>
      <c r="I1758" s="212" t="s">
        <v>2354</v>
      </c>
    </row>
    <row r="1759" spans="1:9" x14ac:dyDescent="0.25">
      <c r="A1759" s="193" t="s">
        <v>220</v>
      </c>
      <c r="B1759" s="193" t="s">
        <v>2351</v>
      </c>
      <c r="C1759" s="214" t="s">
        <v>4957</v>
      </c>
      <c r="D1759" s="193" t="s">
        <v>4958</v>
      </c>
      <c r="E1759" s="212" t="s">
        <v>545</v>
      </c>
      <c r="F1759" s="215">
        <v>98</v>
      </c>
      <c r="G1759" s="194">
        <v>0.152</v>
      </c>
      <c r="H1759" s="195">
        <v>14.895999999999999</v>
      </c>
      <c r="I1759" s="212" t="s">
        <v>2354</v>
      </c>
    </row>
    <row r="1760" spans="1:9" x14ac:dyDescent="0.25">
      <c r="A1760" s="193" t="s">
        <v>220</v>
      </c>
      <c r="B1760" s="193" t="s">
        <v>5430</v>
      </c>
      <c r="C1760" s="214" t="s">
        <v>4796</v>
      </c>
      <c r="D1760" s="193" t="s">
        <v>4797</v>
      </c>
      <c r="E1760" s="212" t="s">
        <v>545</v>
      </c>
      <c r="F1760" s="215">
        <v>250</v>
      </c>
      <c r="G1760" s="194">
        <v>0.06</v>
      </c>
      <c r="H1760" s="195">
        <v>15</v>
      </c>
      <c r="I1760" s="212" t="s">
        <v>2354</v>
      </c>
    </row>
    <row r="1761" spans="1:9" x14ac:dyDescent="0.25">
      <c r="A1761" s="193" t="s">
        <v>220</v>
      </c>
      <c r="B1761" s="193" t="s">
        <v>2351</v>
      </c>
      <c r="C1761" s="214" t="s">
        <v>3717</v>
      </c>
      <c r="D1761" s="193" t="s">
        <v>3718</v>
      </c>
      <c r="E1761" s="212" t="s">
        <v>545</v>
      </c>
      <c r="F1761" s="215">
        <v>1</v>
      </c>
      <c r="G1761" s="194">
        <v>15.028</v>
      </c>
      <c r="H1761" s="195">
        <v>15.028</v>
      </c>
      <c r="I1761" s="212" t="s">
        <v>2354</v>
      </c>
    </row>
    <row r="1762" spans="1:9" x14ac:dyDescent="0.25">
      <c r="A1762" s="193" t="s">
        <v>220</v>
      </c>
      <c r="B1762" s="193" t="s">
        <v>2351</v>
      </c>
      <c r="C1762" s="214" t="s">
        <v>4710</v>
      </c>
      <c r="D1762" s="193" t="s">
        <v>4711</v>
      </c>
      <c r="E1762" s="212" t="s">
        <v>545</v>
      </c>
      <c r="F1762" s="215">
        <v>39</v>
      </c>
      <c r="G1762" s="194">
        <v>0.38613999999999998</v>
      </c>
      <c r="H1762" s="195">
        <v>15.05946</v>
      </c>
      <c r="I1762" s="212" t="s">
        <v>2354</v>
      </c>
    </row>
    <row r="1763" spans="1:9" x14ac:dyDescent="0.25">
      <c r="A1763" s="193" t="s">
        <v>220</v>
      </c>
      <c r="B1763" s="193" t="s">
        <v>2351</v>
      </c>
      <c r="C1763" s="214" t="s">
        <v>3203</v>
      </c>
      <c r="D1763" s="193" t="s">
        <v>3204</v>
      </c>
      <c r="E1763" s="212" t="s">
        <v>545</v>
      </c>
      <c r="F1763" s="215">
        <v>26</v>
      </c>
      <c r="G1763" s="194">
        <v>0.58096363636363624</v>
      </c>
      <c r="H1763" s="195">
        <v>15.105054545454543</v>
      </c>
      <c r="I1763" s="212" t="s">
        <v>2354</v>
      </c>
    </row>
    <row r="1764" spans="1:9" x14ac:dyDescent="0.25">
      <c r="A1764" s="193" t="s">
        <v>220</v>
      </c>
      <c r="B1764" s="193" t="s">
        <v>2351</v>
      </c>
      <c r="C1764" s="214" t="s">
        <v>3189</v>
      </c>
      <c r="D1764" s="193" t="s">
        <v>3190</v>
      </c>
      <c r="E1764" s="212" t="s">
        <v>545</v>
      </c>
      <c r="F1764" s="215">
        <v>9</v>
      </c>
      <c r="G1764" s="194">
        <v>1.681</v>
      </c>
      <c r="H1764" s="195">
        <v>15.129000000000001</v>
      </c>
      <c r="I1764" s="212" t="s">
        <v>2354</v>
      </c>
    </row>
    <row r="1765" spans="1:9" x14ac:dyDescent="0.25">
      <c r="A1765" s="193" t="s">
        <v>220</v>
      </c>
      <c r="B1765" s="193" t="s">
        <v>5430</v>
      </c>
      <c r="C1765" s="214" t="s">
        <v>6565</v>
      </c>
      <c r="D1765" s="193" t="s">
        <v>6566</v>
      </c>
      <c r="E1765" s="212" t="s">
        <v>545</v>
      </c>
      <c r="F1765" s="215">
        <v>2</v>
      </c>
      <c r="G1765" s="194">
        <v>7.6159999999999997</v>
      </c>
      <c r="H1765" s="195">
        <v>15.231999999999999</v>
      </c>
      <c r="I1765" s="212" t="s">
        <v>2354</v>
      </c>
    </row>
    <row r="1766" spans="1:9" x14ac:dyDescent="0.25">
      <c r="A1766" s="193" t="s">
        <v>220</v>
      </c>
      <c r="B1766" s="193" t="s">
        <v>5430</v>
      </c>
      <c r="C1766" s="214" t="s">
        <v>6280</v>
      </c>
      <c r="D1766" s="193" t="s">
        <v>6281</v>
      </c>
      <c r="E1766" s="212" t="s">
        <v>545</v>
      </c>
      <c r="F1766" s="215">
        <v>4</v>
      </c>
      <c r="G1766" s="194">
        <v>3.8149999999999999</v>
      </c>
      <c r="H1766" s="195">
        <v>15.26</v>
      </c>
      <c r="I1766" s="212" t="s">
        <v>2354</v>
      </c>
    </row>
    <row r="1767" spans="1:9" x14ac:dyDescent="0.25">
      <c r="A1767" s="193" t="s">
        <v>220</v>
      </c>
      <c r="B1767" s="193" t="s">
        <v>5430</v>
      </c>
      <c r="C1767" s="214" t="s">
        <v>6846</v>
      </c>
      <c r="D1767" s="193" t="s">
        <v>4154</v>
      </c>
      <c r="E1767" s="212" t="s">
        <v>545</v>
      </c>
      <c r="F1767" s="215">
        <v>1</v>
      </c>
      <c r="G1767" s="194">
        <v>15.270860000000003</v>
      </c>
      <c r="H1767" s="195">
        <v>15.270860000000003</v>
      </c>
      <c r="I1767" s="212" t="s">
        <v>2354</v>
      </c>
    </row>
    <row r="1768" spans="1:9" x14ac:dyDescent="0.25">
      <c r="A1768" s="193" t="s">
        <v>220</v>
      </c>
      <c r="B1768" s="193" t="s">
        <v>2351</v>
      </c>
      <c r="C1768" s="214" t="s">
        <v>4175</v>
      </c>
      <c r="D1768" s="193" t="s">
        <v>4176</v>
      </c>
      <c r="E1768" s="212" t="s">
        <v>545</v>
      </c>
      <c r="F1768" s="215">
        <v>8</v>
      </c>
      <c r="G1768" s="194">
        <v>1.9125000000000001</v>
      </c>
      <c r="H1768" s="195">
        <v>15.3</v>
      </c>
      <c r="I1768" s="212" t="s">
        <v>2354</v>
      </c>
    </row>
    <row r="1769" spans="1:9" x14ac:dyDescent="0.25">
      <c r="A1769" s="193" t="s">
        <v>220</v>
      </c>
      <c r="B1769" s="193" t="s">
        <v>2351</v>
      </c>
      <c r="C1769" s="214" t="s">
        <v>3487</v>
      </c>
      <c r="D1769" s="193" t="s">
        <v>3488</v>
      </c>
      <c r="E1769" s="212" t="s">
        <v>545</v>
      </c>
      <c r="F1769" s="215">
        <v>1</v>
      </c>
      <c r="G1769" s="194">
        <v>15.4819</v>
      </c>
      <c r="H1769" s="195">
        <v>15.4819</v>
      </c>
      <c r="I1769" s="212" t="s">
        <v>2354</v>
      </c>
    </row>
    <row r="1770" spans="1:9" x14ac:dyDescent="0.25">
      <c r="A1770" s="193" t="s">
        <v>220</v>
      </c>
      <c r="B1770" s="193" t="s">
        <v>5430</v>
      </c>
      <c r="C1770" s="214" t="s">
        <v>3529</v>
      </c>
      <c r="D1770" s="193" t="s">
        <v>3530</v>
      </c>
      <c r="E1770" s="212" t="s">
        <v>545</v>
      </c>
      <c r="F1770" s="215">
        <v>5</v>
      </c>
      <c r="G1770" s="194">
        <v>3.103017857142857</v>
      </c>
      <c r="H1770" s="195">
        <v>15.515089285714286</v>
      </c>
      <c r="I1770" s="212" t="s">
        <v>2354</v>
      </c>
    </row>
    <row r="1771" spans="1:9" x14ac:dyDescent="0.25">
      <c r="A1771" s="193" t="s">
        <v>220</v>
      </c>
      <c r="B1771" s="193" t="s">
        <v>5430</v>
      </c>
      <c r="C1771" s="214" t="s">
        <v>6393</v>
      </c>
      <c r="D1771" s="193" t="s">
        <v>6394</v>
      </c>
      <c r="E1771" s="212" t="s">
        <v>545</v>
      </c>
      <c r="F1771" s="215">
        <v>3</v>
      </c>
      <c r="G1771" s="194">
        <v>5.1765000000000008</v>
      </c>
      <c r="H1771" s="195">
        <v>15.529500000000002</v>
      </c>
      <c r="I1771" s="212" t="s">
        <v>2354</v>
      </c>
    </row>
    <row r="1772" spans="1:9" x14ac:dyDescent="0.25">
      <c r="A1772" s="193" t="s">
        <v>220</v>
      </c>
      <c r="B1772" s="193" t="s">
        <v>2351</v>
      </c>
      <c r="C1772" s="214" t="s">
        <v>4702</v>
      </c>
      <c r="D1772" s="193" t="s">
        <v>4703</v>
      </c>
      <c r="E1772" s="212" t="s">
        <v>545</v>
      </c>
      <c r="F1772" s="215">
        <v>130</v>
      </c>
      <c r="G1772" s="194">
        <v>0.12065255813953489</v>
      </c>
      <c r="H1772" s="195">
        <v>15.684832558139536</v>
      </c>
      <c r="I1772" s="212" t="s">
        <v>2354</v>
      </c>
    </row>
    <row r="1773" spans="1:9" x14ac:dyDescent="0.25">
      <c r="A1773" s="193" t="s">
        <v>220</v>
      </c>
      <c r="B1773" s="193" t="s">
        <v>5430</v>
      </c>
      <c r="C1773" s="214" t="s">
        <v>7170</v>
      </c>
      <c r="D1773" s="193" t="s">
        <v>7171</v>
      </c>
      <c r="E1773" s="212" t="s">
        <v>545</v>
      </c>
      <c r="F1773" s="215">
        <v>60</v>
      </c>
      <c r="G1773" s="194">
        <v>0.26179999999999998</v>
      </c>
      <c r="H1773" s="195">
        <v>15.707999999999998</v>
      </c>
      <c r="I1773" s="212" t="s">
        <v>2354</v>
      </c>
    </row>
    <row r="1774" spans="1:9" x14ac:dyDescent="0.25">
      <c r="A1774" s="193" t="s">
        <v>220</v>
      </c>
      <c r="B1774" s="193" t="s">
        <v>2351</v>
      </c>
      <c r="C1774" s="214" t="s">
        <v>4065</v>
      </c>
      <c r="D1774" s="193" t="s">
        <v>4066</v>
      </c>
      <c r="E1774" s="212" t="s">
        <v>545</v>
      </c>
      <c r="F1774" s="215">
        <v>71</v>
      </c>
      <c r="G1774" s="194">
        <v>0.22196666666666667</v>
      </c>
      <c r="H1774" s="195">
        <v>15.759633333333333</v>
      </c>
      <c r="I1774" s="212" t="s">
        <v>2354</v>
      </c>
    </row>
    <row r="1775" spans="1:9" x14ac:dyDescent="0.25">
      <c r="A1775" s="193" t="s">
        <v>220</v>
      </c>
      <c r="B1775" s="193" t="s">
        <v>2351</v>
      </c>
      <c r="C1775" s="214" t="s">
        <v>2926</v>
      </c>
      <c r="D1775" s="193" t="s">
        <v>2927</v>
      </c>
      <c r="E1775" s="212" t="s">
        <v>545</v>
      </c>
      <c r="F1775" s="215">
        <v>2</v>
      </c>
      <c r="G1775" s="194">
        <v>7.9001999999999999</v>
      </c>
      <c r="H1775" s="195">
        <v>15.8004</v>
      </c>
      <c r="I1775" s="212" t="s">
        <v>2354</v>
      </c>
    </row>
    <row r="1776" spans="1:9" x14ac:dyDescent="0.25">
      <c r="A1776" s="193" t="s">
        <v>220</v>
      </c>
      <c r="B1776" s="193" t="s">
        <v>5430</v>
      </c>
      <c r="C1776" s="214" t="s">
        <v>6488</v>
      </c>
      <c r="D1776" s="193" t="s">
        <v>6489</v>
      </c>
      <c r="E1776" s="212" t="s">
        <v>545</v>
      </c>
      <c r="F1776" s="215">
        <v>2</v>
      </c>
      <c r="G1776" s="194">
        <v>7.9141538461538472</v>
      </c>
      <c r="H1776" s="195">
        <v>15.828307692307694</v>
      </c>
      <c r="I1776" s="212" t="s">
        <v>2354</v>
      </c>
    </row>
    <row r="1777" spans="1:9" x14ac:dyDescent="0.25">
      <c r="A1777" s="193" t="s">
        <v>220</v>
      </c>
      <c r="B1777" s="193" t="s">
        <v>5430</v>
      </c>
      <c r="C1777" s="214" t="s">
        <v>4788</v>
      </c>
      <c r="D1777" s="193" t="s">
        <v>4789</v>
      </c>
      <c r="E1777" s="212" t="s">
        <v>2473</v>
      </c>
      <c r="F1777" s="215">
        <v>132</v>
      </c>
      <c r="G1777" s="194">
        <v>0.12</v>
      </c>
      <c r="H1777" s="195">
        <v>15.84</v>
      </c>
      <c r="I1777" s="212" t="s">
        <v>2354</v>
      </c>
    </row>
    <row r="1778" spans="1:9" x14ac:dyDescent="0.25">
      <c r="A1778" s="193" t="s">
        <v>220</v>
      </c>
      <c r="B1778" s="193" t="s">
        <v>2351</v>
      </c>
      <c r="C1778" s="214" t="s">
        <v>3325</v>
      </c>
      <c r="D1778" s="193" t="s">
        <v>3326</v>
      </c>
      <c r="E1778" s="212" t="s">
        <v>545</v>
      </c>
      <c r="F1778" s="215">
        <v>56</v>
      </c>
      <c r="G1778" s="194">
        <v>0.28736</v>
      </c>
      <c r="H1778" s="195">
        <v>16.09216</v>
      </c>
      <c r="I1778" s="212" t="s">
        <v>2354</v>
      </c>
    </row>
    <row r="1779" spans="1:9" x14ac:dyDescent="0.25">
      <c r="A1779" s="193" t="s">
        <v>220</v>
      </c>
      <c r="B1779" s="193" t="s">
        <v>5430</v>
      </c>
      <c r="C1779" s="214" t="s">
        <v>3465</v>
      </c>
      <c r="D1779" s="193" t="s">
        <v>3466</v>
      </c>
      <c r="E1779" s="212" t="s">
        <v>545</v>
      </c>
      <c r="F1779" s="215">
        <v>2</v>
      </c>
      <c r="G1779" s="194">
        <v>8.0640000000000001</v>
      </c>
      <c r="H1779" s="195">
        <v>16.128</v>
      </c>
      <c r="I1779" s="212" t="s">
        <v>2354</v>
      </c>
    </row>
    <row r="1780" spans="1:9" x14ac:dyDescent="0.25">
      <c r="A1780" s="193" t="s">
        <v>220</v>
      </c>
      <c r="B1780" s="193" t="s">
        <v>2351</v>
      </c>
      <c r="C1780" s="214" t="s">
        <v>4562</v>
      </c>
      <c r="D1780" s="193" t="s">
        <v>4563</v>
      </c>
      <c r="E1780" s="212" t="s">
        <v>545</v>
      </c>
      <c r="F1780" s="215">
        <v>2</v>
      </c>
      <c r="G1780" s="194">
        <v>8.0749999999999993</v>
      </c>
      <c r="H1780" s="195">
        <v>16.149999999999999</v>
      </c>
      <c r="I1780" s="212" t="s">
        <v>2354</v>
      </c>
    </row>
    <row r="1781" spans="1:9" x14ac:dyDescent="0.25">
      <c r="A1781" s="193" t="s">
        <v>220</v>
      </c>
      <c r="B1781" s="193" t="s">
        <v>2351</v>
      </c>
      <c r="C1781" s="214" t="s">
        <v>4720</v>
      </c>
      <c r="D1781" s="193" t="s">
        <v>4721</v>
      </c>
      <c r="E1781" s="212" t="s">
        <v>545</v>
      </c>
      <c r="F1781" s="215">
        <v>36</v>
      </c>
      <c r="G1781" s="194">
        <v>0.44900000000000007</v>
      </c>
      <c r="H1781" s="195">
        <v>16.164000000000001</v>
      </c>
      <c r="I1781" s="212" t="s">
        <v>2354</v>
      </c>
    </row>
    <row r="1782" spans="1:9" x14ac:dyDescent="0.25">
      <c r="A1782" s="193" t="s">
        <v>220</v>
      </c>
      <c r="B1782" s="193" t="s">
        <v>2351</v>
      </c>
      <c r="C1782" s="214" t="s">
        <v>5288</v>
      </c>
      <c r="D1782" s="193" t="s">
        <v>5289</v>
      </c>
      <c r="E1782" s="212" t="s">
        <v>535</v>
      </c>
      <c r="F1782" s="213">
        <v>2</v>
      </c>
      <c r="G1782" s="194">
        <v>8.1310333333333329</v>
      </c>
      <c r="H1782" s="195">
        <v>16.262066666666666</v>
      </c>
      <c r="I1782" s="212" t="s">
        <v>2354</v>
      </c>
    </row>
    <row r="1783" spans="1:9" x14ac:dyDescent="0.25">
      <c r="A1783" s="193" t="s">
        <v>220</v>
      </c>
      <c r="B1783" s="193" t="s">
        <v>2351</v>
      </c>
      <c r="C1783" s="214" t="s">
        <v>5138</v>
      </c>
      <c r="D1783" s="193" t="s">
        <v>5139</v>
      </c>
      <c r="E1783" s="212" t="s">
        <v>545</v>
      </c>
      <c r="F1783" s="215">
        <v>150</v>
      </c>
      <c r="G1783" s="194">
        <v>0.10878985088138404</v>
      </c>
      <c r="H1783" s="195">
        <v>16.318477632207607</v>
      </c>
      <c r="I1783" s="212" t="s">
        <v>2354</v>
      </c>
    </row>
    <row r="1784" spans="1:9" x14ac:dyDescent="0.25">
      <c r="A1784" s="193" t="s">
        <v>220</v>
      </c>
      <c r="B1784" s="193" t="s">
        <v>5430</v>
      </c>
      <c r="C1784" s="214" t="s">
        <v>5875</v>
      </c>
      <c r="D1784" s="193" t="s">
        <v>5876</v>
      </c>
      <c r="E1784" s="212" t="s">
        <v>545</v>
      </c>
      <c r="F1784" s="215">
        <v>4</v>
      </c>
      <c r="G1784" s="194">
        <v>4.0823999999999998</v>
      </c>
      <c r="H1784" s="195">
        <v>16.329599999999999</v>
      </c>
      <c r="I1784" s="212" t="s">
        <v>2354</v>
      </c>
    </row>
    <row r="1785" spans="1:9" x14ac:dyDescent="0.25">
      <c r="A1785" s="193" t="s">
        <v>220</v>
      </c>
      <c r="B1785" s="193" t="s">
        <v>2351</v>
      </c>
      <c r="C1785" s="214" t="s">
        <v>4161</v>
      </c>
      <c r="D1785" s="193" t="s">
        <v>4162</v>
      </c>
      <c r="E1785" s="212" t="s">
        <v>545</v>
      </c>
      <c r="F1785" s="215">
        <v>15</v>
      </c>
      <c r="G1785" s="194">
        <v>1.0888</v>
      </c>
      <c r="H1785" s="195">
        <v>16.332000000000001</v>
      </c>
      <c r="I1785" s="212" t="s">
        <v>2354</v>
      </c>
    </row>
    <row r="1786" spans="1:9" x14ac:dyDescent="0.25">
      <c r="A1786" s="193" t="s">
        <v>220</v>
      </c>
      <c r="B1786" s="193" t="s">
        <v>2351</v>
      </c>
      <c r="C1786" s="214" t="s">
        <v>3401</v>
      </c>
      <c r="D1786" s="193" t="s">
        <v>3402</v>
      </c>
      <c r="E1786" s="212" t="s">
        <v>545</v>
      </c>
      <c r="F1786" s="215">
        <v>6</v>
      </c>
      <c r="G1786" s="194">
        <v>2.7233999999999998</v>
      </c>
      <c r="H1786" s="195">
        <v>16.340399999999999</v>
      </c>
      <c r="I1786" s="212" t="s">
        <v>2354</v>
      </c>
    </row>
    <row r="1787" spans="1:9" x14ac:dyDescent="0.25">
      <c r="A1787" s="193" t="s">
        <v>220</v>
      </c>
      <c r="B1787" s="193" t="s">
        <v>5430</v>
      </c>
      <c r="C1787" s="214" t="s">
        <v>7063</v>
      </c>
      <c r="D1787" s="193" t="s">
        <v>7064</v>
      </c>
      <c r="E1787" s="212" t="s">
        <v>545</v>
      </c>
      <c r="F1787" s="215">
        <v>120</v>
      </c>
      <c r="G1787" s="194">
        <v>0.13625000000000001</v>
      </c>
      <c r="H1787" s="195">
        <v>16.350000000000001</v>
      </c>
      <c r="I1787" s="212" t="s">
        <v>2354</v>
      </c>
    </row>
    <row r="1788" spans="1:9" x14ac:dyDescent="0.25">
      <c r="A1788" s="193" t="s">
        <v>220</v>
      </c>
      <c r="B1788" s="193" t="s">
        <v>2351</v>
      </c>
      <c r="C1788" s="214" t="s">
        <v>3907</v>
      </c>
      <c r="D1788" s="193" t="s">
        <v>3908</v>
      </c>
      <c r="E1788" s="212" t="s">
        <v>545</v>
      </c>
      <c r="F1788" s="215">
        <v>3</v>
      </c>
      <c r="G1788" s="194">
        <v>5.4678875000000007</v>
      </c>
      <c r="H1788" s="195">
        <v>16.403662500000003</v>
      </c>
      <c r="I1788" s="212" t="s">
        <v>2354</v>
      </c>
    </row>
    <row r="1789" spans="1:9" x14ac:dyDescent="0.25">
      <c r="A1789" s="193" t="s">
        <v>220</v>
      </c>
      <c r="B1789" s="193" t="s">
        <v>2351</v>
      </c>
      <c r="C1789" s="214" t="s">
        <v>4959</v>
      </c>
      <c r="D1789" s="193" t="s">
        <v>4960</v>
      </c>
      <c r="E1789" s="212" t="s">
        <v>545</v>
      </c>
      <c r="F1789" s="215">
        <v>58</v>
      </c>
      <c r="G1789" s="194">
        <v>0.28334745762711866</v>
      </c>
      <c r="H1789" s="195">
        <v>16.434152542372882</v>
      </c>
      <c r="I1789" s="212" t="s">
        <v>2354</v>
      </c>
    </row>
    <row r="1790" spans="1:9" x14ac:dyDescent="0.25">
      <c r="A1790" s="193" t="s">
        <v>220</v>
      </c>
      <c r="B1790" s="193" t="s">
        <v>2351</v>
      </c>
      <c r="C1790" s="214" t="s">
        <v>3469</v>
      </c>
      <c r="D1790" s="193" t="s">
        <v>3470</v>
      </c>
      <c r="E1790" s="212" t="s">
        <v>545</v>
      </c>
      <c r="F1790" s="215">
        <v>5</v>
      </c>
      <c r="G1790" s="194">
        <v>3.2949999999999999</v>
      </c>
      <c r="H1790" s="195">
        <v>16.475000000000001</v>
      </c>
      <c r="I1790" s="212" t="s">
        <v>2354</v>
      </c>
    </row>
    <row r="1791" spans="1:9" x14ac:dyDescent="0.25">
      <c r="A1791" s="193" t="s">
        <v>220</v>
      </c>
      <c r="B1791" s="193" t="s">
        <v>5430</v>
      </c>
      <c r="C1791" s="214" t="s">
        <v>7148</v>
      </c>
      <c r="D1791" s="193" t="s">
        <v>7149</v>
      </c>
      <c r="E1791" s="212" t="s">
        <v>545</v>
      </c>
      <c r="F1791" s="213">
        <v>1</v>
      </c>
      <c r="G1791" s="194">
        <v>16.483000000000001</v>
      </c>
      <c r="H1791" s="195">
        <v>16.483000000000001</v>
      </c>
      <c r="I1791" s="212" t="s">
        <v>2354</v>
      </c>
    </row>
    <row r="1792" spans="1:9" x14ac:dyDescent="0.25">
      <c r="A1792" s="193" t="s">
        <v>220</v>
      </c>
      <c r="B1792" s="193" t="s">
        <v>2351</v>
      </c>
      <c r="C1792" s="214" t="s">
        <v>5337</v>
      </c>
      <c r="D1792" s="193" t="s">
        <v>5338</v>
      </c>
      <c r="E1792" s="212" t="s">
        <v>545</v>
      </c>
      <c r="F1792" s="215">
        <v>6</v>
      </c>
      <c r="G1792" s="194">
        <v>2.75</v>
      </c>
      <c r="H1792" s="195">
        <v>16.5</v>
      </c>
      <c r="I1792" s="212" t="s">
        <v>2354</v>
      </c>
    </row>
    <row r="1793" spans="1:9" x14ac:dyDescent="0.25">
      <c r="A1793" s="193" t="s">
        <v>220</v>
      </c>
      <c r="B1793" s="193" t="s">
        <v>2351</v>
      </c>
      <c r="C1793" s="214" t="s">
        <v>3283</v>
      </c>
      <c r="D1793" s="193" t="s">
        <v>3284</v>
      </c>
      <c r="E1793" s="212" t="s">
        <v>545</v>
      </c>
      <c r="F1793" s="215">
        <v>4</v>
      </c>
      <c r="G1793" s="194">
        <v>4.1541066666666673</v>
      </c>
      <c r="H1793" s="195">
        <v>16.616426666666669</v>
      </c>
      <c r="I1793" s="212" t="s">
        <v>2354</v>
      </c>
    </row>
    <row r="1794" spans="1:9" x14ac:dyDescent="0.25">
      <c r="A1794" s="193" t="s">
        <v>220</v>
      </c>
      <c r="B1794" s="193" t="s">
        <v>5430</v>
      </c>
      <c r="C1794" s="214" t="s">
        <v>5840</v>
      </c>
      <c r="D1794" s="193" t="s">
        <v>5841</v>
      </c>
      <c r="E1794" s="212" t="s">
        <v>545</v>
      </c>
      <c r="F1794" s="215">
        <v>4</v>
      </c>
      <c r="G1794" s="194">
        <v>4.1580000000000004</v>
      </c>
      <c r="H1794" s="195">
        <v>16.632000000000001</v>
      </c>
      <c r="I1794" s="212" t="s">
        <v>2354</v>
      </c>
    </row>
    <row r="1795" spans="1:9" x14ac:dyDescent="0.25">
      <c r="A1795" s="193" t="s">
        <v>220</v>
      </c>
      <c r="B1795" s="193" t="s">
        <v>5430</v>
      </c>
      <c r="C1795" s="214" t="s">
        <v>4752</v>
      </c>
      <c r="D1795" s="193" t="s">
        <v>4753</v>
      </c>
      <c r="E1795" s="212" t="s">
        <v>545</v>
      </c>
      <c r="F1795" s="215">
        <v>3</v>
      </c>
      <c r="G1795" s="194">
        <v>5.5488</v>
      </c>
      <c r="H1795" s="195">
        <v>16.6464</v>
      </c>
      <c r="I1795" s="212" t="s">
        <v>2354</v>
      </c>
    </row>
    <row r="1796" spans="1:9" x14ac:dyDescent="0.25">
      <c r="A1796" s="193" t="s">
        <v>220</v>
      </c>
      <c r="B1796" s="193" t="s">
        <v>2351</v>
      </c>
      <c r="C1796" s="214" t="s">
        <v>4181</v>
      </c>
      <c r="D1796" s="193" t="s">
        <v>4182</v>
      </c>
      <c r="E1796" s="212" t="s">
        <v>545</v>
      </c>
      <c r="F1796" s="215">
        <v>32</v>
      </c>
      <c r="G1796" s="194">
        <v>0.5214545454545455</v>
      </c>
      <c r="H1796" s="195">
        <v>16.686545454545456</v>
      </c>
      <c r="I1796" s="212" t="s">
        <v>2354</v>
      </c>
    </row>
    <row r="1797" spans="1:9" x14ac:dyDescent="0.25">
      <c r="A1797" s="193" t="s">
        <v>220</v>
      </c>
      <c r="B1797" s="193" t="s">
        <v>5430</v>
      </c>
      <c r="C1797" s="214" t="s">
        <v>3637</v>
      </c>
      <c r="D1797" s="193" t="s">
        <v>3638</v>
      </c>
      <c r="E1797" s="212" t="s">
        <v>545</v>
      </c>
      <c r="F1797" s="215">
        <v>10</v>
      </c>
      <c r="G1797" s="194">
        <v>1.6830000000000001</v>
      </c>
      <c r="H1797" s="195">
        <v>16.830000000000002</v>
      </c>
      <c r="I1797" s="212" t="s">
        <v>2354</v>
      </c>
    </row>
    <row r="1798" spans="1:9" x14ac:dyDescent="0.25">
      <c r="A1798" s="193" t="s">
        <v>220</v>
      </c>
      <c r="B1798" s="193" t="s">
        <v>2351</v>
      </c>
      <c r="C1798" s="214" t="s">
        <v>4754</v>
      </c>
      <c r="D1798" s="193" t="s">
        <v>4755</v>
      </c>
      <c r="E1798" s="212" t="s">
        <v>545</v>
      </c>
      <c r="F1798" s="215">
        <v>180</v>
      </c>
      <c r="G1798" s="194">
        <v>9.3700000000000006E-2</v>
      </c>
      <c r="H1798" s="195">
        <v>16.866</v>
      </c>
      <c r="I1798" s="212" t="s">
        <v>2354</v>
      </c>
    </row>
    <row r="1799" spans="1:9" x14ac:dyDescent="0.25">
      <c r="A1799" s="193" t="s">
        <v>220</v>
      </c>
      <c r="B1799" s="193" t="s">
        <v>2351</v>
      </c>
      <c r="C1799" s="214" t="s">
        <v>3295</v>
      </c>
      <c r="D1799" s="193" t="s">
        <v>3296</v>
      </c>
      <c r="E1799" s="212" t="s">
        <v>545</v>
      </c>
      <c r="F1799" s="215">
        <v>5</v>
      </c>
      <c r="G1799" s="194">
        <v>3.3797142857142854</v>
      </c>
      <c r="H1799" s="195">
        <v>16.898571428571426</v>
      </c>
      <c r="I1799" s="212" t="s">
        <v>2354</v>
      </c>
    </row>
    <row r="1800" spans="1:9" x14ac:dyDescent="0.25">
      <c r="A1800" s="193" t="s">
        <v>220</v>
      </c>
      <c r="B1800" s="193" t="s">
        <v>5430</v>
      </c>
      <c r="C1800" s="214" t="s">
        <v>3593</v>
      </c>
      <c r="D1800" s="193" t="s">
        <v>3594</v>
      </c>
      <c r="E1800" s="212" t="s">
        <v>545</v>
      </c>
      <c r="F1800" s="215">
        <v>5</v>
      </c>
      <c r="G1800" s="194">
        <v>3.383</v>
      </c>
      <c r="H1800" s="195">
        <v>16.914999999999999</v>
      </c>
      <c r="I1800" s="212" t="s">
        <v>2354</v>
      </c>
    </row>
    <row r="1801" spans="1:9" x14ac:dyDescent="0.25">
      <c r="A1801" s="193" t="s">
        <v>220</v>
      </c>
      <c r="B1801" s="193" t="s">
        <v>5430</v>
      </c>
      <c r="C1801" s="214" t="s">
        <v>4983</v>
      </c>
      <c r="D1801" s="193" t="s">
        <v>4984</v>
      </c>
      <c r="E1801" s="212" t="s">
        <v>545</v>
      </c>
      <c r="F1801" s="215">
        <v>120</v>
      </c>
      <c r="G1801" s="194">
        <v>0.14147000000000001</v>
      </c>
      <c r="H1801" s="195">
        <v>16.976400000000002</v>
      </c>
      <c r="I1801" s="212" t="s">
        <v>2354</v>
      </c>
    </row>
    <row r="1802" spans="1:9" x14ac:dyDescent="0.25">
      <c r="A1802" s="193" t="s">
        <v>220</v>
      </c>
      <c r="B1802" s="193" t="s">
        <v>2351</v>
      </c>
      <c r="C1802" s="214" t="s">
        <v>3497</v>
      </c>
      <c r="D1802" s="193" t="s">
        <v>3498</v>
      </c>
      <c r="E1802" s="212" t="s">
        <v>545</v>
      </c>
      <c r="F1802" s="215">
        <v>2</v>
      </c>
      <c r="G1802" s="194">
        <v>8.5</v>
      </c>
      <c r="H1802" s="195">
        <v>17</v>
      </c>
      <c r="I1802" s="212" t="s">
        <v>2354</v>
      </c>
    </row>
    <row r="1803" spans="1:9" x14ac:dyDescent="0.25">
      <c r="A1803" s="193" t="s">
        <v>220</v>
      </c>
      <c r="B1803" s="193" t="s">
        <v>2351</v>
      </c>
      <c r="C1803" s="214" t="s">
        <v>4981</v>
      </c>
      <c r="D1803" s="193" t="s">
        <v>4982</v>
      </c>
      <c r="E1803" s="212" t="s">
        <v>545</v>
      </c>
      <c r="F1803" s="215">
        <v>210</v>
      </c>
      <c r="G1803" s="194">
        <v>8.1000000000000003E-2</v>
      </c>
      <c r="H1803" s="195">
        <v>17.010000000000002</v>
      </c>
      <c r="I1803" s="212" t="s">
        <v>2354</v>
      </c>
    </row>
    <row r="1804" spans="1:9" x14ac:dyDescent="0.25">
      <c r="A1804" s="193" t="s">
        <v>220</v>
      </c>
      <c r="B1804" s="193" t="s">
        <v>2351</v>
      </c>
      <c r="C1804" s="214" t="s">
        <v>3149</v>
      </c>
      <c r="D1804" s="193" t="s">
        <v>3150</v>
      </c>
      <c r="E1804" s="212" t="s">
        <v>545</v>
      </c>
      <c r="F1804" s="215">
        <v>15</v>
      </c>
      <c r="G1804" s="194">
        <v>1.1348999999999998</v>
      </c>
      <c r="H1804" s="195">
        <v>17.023499999999999</v>
      </c>
      <c r="I1804" s="212" t="s">
        <v>2354</v>
      </c>
    </row>
    <row r="1805" spans="1:9" x14ac:dyDescent="0.25">
      <c r="A1805" s="193" t="s">
        <v>220</v>
      </c>
      <c r="B1805" s="193" t="s">
        <v>2351</v>
      </c>
      <c r="C1805" s="214" t="s">
        <v>3231</v>
      </c>
      <c r="D1805" s="193" t="s">
        <v>3232</v>
      </c>
      <c r="E1805" s="212" t="s">
        <v>545</v>
      </c>
      <c r="F1805" s="215">
        <v>8</v>
      </c>
      <c r="G1805" s="194">
        <v>2.1303000000000001</v>
      </c>
      <c r="H1805" s="195">
        <v>17.042400000000001</v>
      </c>
      <c r="I1805" s="212" t="s">
        <v>2354</v>
      </c>
    </row>
    <row r="1806" spans="1:9" x14ac:dyDescent="0.25">
      <c r="A1806" s="193" t="s">
        <v>220</v>
      </c>
      <c r="B1806" s="193" t="s">
        <v>5430</v>
      </c>
      <c r="C1806" s="214" t="s">
        <v>7041</v>
      </c>
      <c r="D1806" s="193" t="s">
        <v>7042</v>
      </c>
      <c r="E1806" s="212" t="s">
        <v>545</v>
      </c>
      <c r="F1806" s="215">
        <v>5</v>
      </c>
      <c r="G1806" s="194">
        <v>3.4119999999999999</v>
      </c>
      <c r="H1806" s="195">
        <v>17.059999999999999</v>
      </c>
      <c r="I1806" s="212" t="s">
        <v>2354</v>
      </c>
    </row>
    <row r="1807" spans="1:9" x14ac:dyDescent="0.25">
      <c r="A1807" s="193" t="s">
        <v>220</v>
      </c>
      <c r="B1807" s="193" t="s">
        <v>5430</v>
      </c>
      <c r="C1807" s="214" t="s">
        <v>4514</v>
      </c>
      <c r="D1807" s="193" t="s">
        <v>4515</v>
      </c>
      <c r="E1807" s="212" t="s">
        <v>545</v>
      </c>
      <c r="F1807" s="215">
        <v>7</v>
      </c>
      <c r="G1807" s="194">
        <v>2.4390000000000001</v>
      </c>
      <c r="H1807" s="195">
        <v>17.073</v>
      </c>
      <c r="I1807" s="212" t="s">
        <v>2354</v>
      </c>
    </row>
    <row r="1808" spans="1:9" x14ac:dyDescent="0.25">
      <c r="A1808" s="193" t="s">
        <v>220</v>
      </c>
      <c r="B1808" s="193" t="s">
        <v>2351</v>
      </c>
      <c r="C1808" s="214" t="s">
        <v>5388</v>
      </c>
      <c r="D1808" s="193" t="s">
        <v>5389</v>
      </c>
      <c r="E1808" s="212" t="s">
        <v>545</v>
      </c>
      <c r="F1808" s="215">
        <v>352</v>
      </c>
      <c r="G1808" s="194">
        <v>4.8576666666666671E-2</v>
      </c>
      <c r="H1808" s="195">
        <v>17.098986666666669</v>
      </c>
      <c r="I1808" s="212" t="s">
        <v>2354</v>
      </c>
    </row>
    <row r="1809" spans="1:9" x14ac:dyDescent="0.25">
      <c r="A1809" s="193" t="s">
        <v>220</v>
      </c>
      <c r="B1809" s="193" t="s">
        <v>2351</v>
      </c>
      <c r="C1809" s="214" t="s">
        <v>5028</v>
      </c>
      <c r="D1809" s="193" t="s">
        <v>5029</v>
      </c>
      <c r="E1809" s="212" t="s">
        <v>545</v>
      </c>
      <c r="F1809" s="215">
        <v>85</v>
      </c>
      <c r="G1809" s="194">
        <v>0.20159195979899497</v>
      </c>
      <c r="H1809" s="195">
        <v>17.135316582914573</v>
      </c>
      <c r="I1809" s="212" t="s">
        <v>2354</v>
      </c>
    </row>
    <row r="1810" spans="1:9" x14ac:dyDescent="0.25">
      <c r="A1810" s="193" t="s">
        <v>220</v>
      </c>
      <c r="B1810" s="193" t="s">
        <v>5430</v>
      </c>
      <c r="C1810" s="214" t="s">
        <v>5867</v>
      </c>
      <c r="D1810" s="193" t="s">
        <v>5868</v>
      </c>
      <c r="E1810" s="212" t="s">
        <v>545</v>
      </c>
      <c r="F1810" s="215">
        <v>5</v>
      </c>
      <c r="G1810" s="194">
        <v>3.4289999999999998</v>
      </c>
      <c r="H1810" s="195">
        <v>17.145</v>
      </c>
      <c r="I1810" s="212" t="s">
        <v>2354</v>
      </c>
    </row>
    <row r="1811" spans="1:9" x14ac:dyDescent="0.25">
      <c r="A1811" s="193" t="s">
        <v>220</v>
      </c>
      <c r="B1811" s="193" t="s">
        <v>5430</v>
      </c>
      <c r="C1811" s="214" t="s">
        <v>6377</v>
      </c>
      <c r="D1811" s="193" t="s">
        <v>6378</v>
      </c>
      <c r="E1811" s="212" t="s">
        <v>545</v>
      </c>
      <c r="F1811" s="215">
        <v>5</v>
      </c>
      <c r="G1811" s="194">
        <v>3.4497</v>
      </c>
      <c r="H1811" s="195">
        <v>17.2485</v>
      </c>
      <c r="I1811" s="212" t="s">
        <v>2354</v>
      </c>
    </row>
    <row r="1812" spans="1:9" x14ac:dyDescent="0.25">
      <c r="A1812" s="193" t="s">
        <v>220</v>
      </c>
      <c r="B1812" s="193" t="s">
        <v>2351</v>
      </c>
      <c r="C1812" s="214" t="s">
        <v>3959</v>
      </c>
      <c r="D1812" s="193" t="s">
        <v>3960</v>
      </c>
      <c r="E1812" s="212" t="s">
        <v>2387</v>
      </c>
      <c r="F1812" s="215">
        <v>55</v>
      </c>
      <c r="G1812" s="194">
        <v>0.31363636363636366</v>
      </c>
      <c r="H1812" s="195">
        <v>17.25</v>
      </c>
      <c r="I1812" s="212" t="s">
        <v>2354</v>
      </c>
    </row>
    <row r="1813" spans="1:9" x14ac:dyDescent="0.25">
      <c r="A1813" s="193" t="s">
        <v>220</v>
      </c>
      <c r="B1813" s="193" t="s">
        <v>2351</v>
      </c>
      <c r="C1813" s="214" t="s">
        <v>4341</v>
      </c>
      <c r="D1813" s="193" t="s">
        <v>4342</v>
      </c>
      <c r="E1813" s="212" t="s">
        <v>545</v>
      </c>
      <c r="F1813" s="215">
        <v>1</v>
      </c>
      <c r="G1813" s="194">
        <v>17.2958</v>
      </c>
      <c r="H1813" s="195">
        <v>17.2958</v>
      </c>
      <c r="I1813" s="212" t="s">
        <v>2354</v>
      </c>
    </row>
    <row r="1814" spans="1:9" x14ac:dyDescent="0.25">
      <c r="A1814" s="193" t="s">
        <v>220</v>
      </c>
      <c r="B1814" s="193" t="s">
        <v>2351</v>
      </c>
      <c r="C1814" s="214" t="s">
        <v>4969</v>
      </c>
      <c r="D1814" s="193" t="s">
        <v>4970</v>
      </c>
      <c r="E1814" s="212" t="s">
        <v>545</v>
      </c>
      <c r="F1814" s="215">
        <v>4</v>
      </c>
      <c r="G1814" s="194">
        <v>4.3360000000000003</v>
      </c>
      <c r="H1814" s="195">
        <v>17.344000000000001</v>
      </c>
      <c r="I1814" s="212" t="s">
        <v>2354</v>
      </c>
    </row>
    <row r="1815" spans="1:9" x14ac:dyDescent="0.25">
      <c r="A1815" s="193" t="s">
        <v>220</v>
      </c>
      <c r="B1815" s="193" t="s">
        <v>2351</v>
      </c>
      <c r="C1815" s="214" t="s">
        <v>3475</v>
      </c>
      <c r="D1815" s="193" t="s">
        <v>3476</v>
      </c>
      <c r="E1815" s="212" t="s">
        <v>545</v>
      </c>
      <c r="F1815" s="215">
        <v>9</v>
      </c>
      <c r="G1815" s="194">
        <v>1.9379999999999999</v>
      </c>
      <c r="H1815" s="195">
        <v>17.442</v>
      </c>
      <c r="I1815" s="212" t="s">
        <v>2354</v>
      </c>
    </row>
    <row r="1816" spans="1:9" x14ac:dyDescent="0.25">
      <c r="A1816" s="193" t="s">
        <v>220</v>
      </c>
      <c r="B1816" s="193" t="s">
        <v>2351</v>
      </c>
      <c r="C1816" s="214" t="s">
        <v>4097</v>
      </c>
      <c r="D1816" s="193" t="s">
        <v>4098</v>
      </c>
      <c r="E1816" s="212" t="s">
        <v>545</v>
      </c>
      <c r="F1816" s="215">
        <v>2</v>
      </c>
      <c r="G1816" s="194">
        <v>8.7240000000000002</v>
      </c>
      <c r="H1816" s="195">
        <v>17.448</v>
      </c>
      <c r="I1816" s="212" t="s">
        <v>2354</v>
      </c>
    </row>
    <row r="1817" spans="1:9" x14ac:dyDescent="0.25">
      <c r="A1817" s="193" t="s">
        <v>220</v>
      </c>
      <c r="B1817" s="193" t="s">
        <v>5430</v>
      </c>
      <c r="C1817" s="214" t="s">
        <v>4217</v>
      </c>
      <c r="D1817" s="193" t="s">
        <v>4218</v>
      </c>
      <c r="E1817" s="212" t="s">
        <v>545</v>
      </c>
      <c r="F1817" s="215">
        <v>62</v>
      </c>
      <c r="G1817" s="194">
        <v>0.28150974025974029</v>
      </c>
      <c r="H1817" s="195">
        <v>17.4536038961039</v>
      </c>
      <c r="I1817" s="212" t="s">
        <v>2354</v>
      </c>
    </row>
    <row r="1818" spans="1:9" x14ac:dyDescent="0.25">
      <c r="A1818" s="193" t="s">
        <v>220</v>
      </c>
      <c r="B1818" s="193" t="s">
        <v>2351</v>
      </c>
      <c r="C1818" s="214" t="s">
        <v>5301</v>
      </c>
      <c r="D1818" s="193" t="s">
        <v>5302</v>
      </c>
      <c r="E1818" s="212" t="s">
        <v>545</v>
      </c>
      <c r="F1818" s="215">
        <v>2</v>
      </c>
      <c r="G1818" s="194">
        <v>8.7498000000000005</v>
      </c>
      <c r="H1818" s="195">
        <v>17.499600000000001</v>
      </c>
      <c r="I1818" s="212" t="s">
        <v>2354</v>
      </c>
    </row>
    <row r="1819" spans="1:9" x14ac:dyDescent="0.25">
      <c r="A1819" s="193" t="s">
        <v>220</v>
      </c>
      <c r="B1819" s="193" t="s">
        <v>2351</v>
      </c>
      <c r="C1819" s="214" t="s">
        <v>3601</v>
      </c>
      <c r="D1819" s="193" t="s">
        <v>3602</v>
      </c>
      <c r="E1819" s="212" t="s">
        <v>545</v>
      </c>
      <c r="F1819" s="215">
        <v>2</v>
      </c>
      <c r="G1819" s="194">
        <v>8.75</v>
      </c>
      <c r="H1819" s="195">
        <v>17.5</v>
      </c>
      <c r="I1819" s="212" t="s">
        <v>2354</v>
      </c>
    </row>
    <row r="1820" spans="1:9" x14ac:dyDescent="0.25">
      <c r="A1820" s="193" t="s">
        <v>220</v>
      </c>
      <c r="B1820" s="193" t="s">
        <v>5430</v>
      </c>
      <c r="C1820" s="214" t="s">
        <v>6298</v>
      </c>
      <c r="D1820" s="193" t="s">
        <v>6299</v>
      </c>
      <c r="E1820" s="212" t="s">
        <v>545</v>
      </c>
      <c r="F1820" s="215">
        <v>5</v>
      </c>
      <c r="G1820" s="194">
        <v>3.5</v>
      </c>
      <c r="H1820" s="195">
        <v>17.5</v>
      </c>
      <c r="I1820" s="212" t="s">
        <v>2354</v>
      </c>
    </row>
    <row r="1821" spans="1:9" x14ac:dyDescent="0.25">
      <c r="A1821" s="193" t="s">
        <v>220</v>
      </c>
      <c r="B1821" s="193" t="s">
        <v>5430</v>
      </c>
      <c r="C1821" s="214" t="s">
        <v>7233</v>
      </c>
      <c r="D1821" s="193" t="s">
        <v>7234</v>
      </c>
      <c r="E1821" s="212" t="s">
        <v>545</v>
      </c>
      <c r="F1821" s="215">
        <v>32</v>
      </c>
      <c r="G1821" s="194">
        <v>0.54900000000000004</v>
      </c>
      <c r="H1821" s="195">
        <v>17.568000000000001</v>
      </c>
      <c r="I1821" s="212" t="s">
        <v>2354</v>
      </c>
    </row>
    <row r="1822" spans="1:9" x14ac:dyDescent="0.25">
      <c r="A1822" s="193" t="s">
        <v>220</v>
      </c>
      <c r="B1822" s="193" t="s">
        <v>2351</v>
      </c>
      <c r="C1822" s="214" t="s">
        <v>4975</v>
      </c>
      <c r="D1822" s="193" t="s">
        <v>4976</v>
      </c>
      <c r="E1822" s="212" t="s">
        <v>545</v>
      </c>
      <c r="F1822" s="215">
        <v>230</v>
      </c>
      <c r="G1822" s="194">
        <v>7.6499999999999999E-2</v>
      </c>
      <c r="H1822" s="195">
        <v>17.594999999999999</v>
      </c>
      <c r="I1822" s="212" t="s">
        <v>2354</v>
      </c>
    </row>
    <row r="1823" spans="1:9" x14ac:dyDescent="0.25">
      <c r="A1823" s="193" t="s">
        <v>220</v>
      </c>
      <c r="B1823" s="193" t="s">
        <v>5430</v>
      </c>
      <c r="C1823" s="214" t="s">
        <v>6615</v>
      </c>
      <c r="D1823" s="193" t="s">
        <v>6616</v>
      </c>
      <c r="E1823" s="212" t="s">
        <v>2387</v>
      </c>
      <c r="F1823" s="213">
        <v>4</v>
      </c>
      <c r="G1823" s="194">
        <v>4.41</v>
      </c>
      <c r="H1823" s="195">
        <v>17.64</v>
      </c>
      <c r="I1823" s="212" t="s">
        <v>2354</v>
      </c>
    </row>
    <row r="1824" spans="1:9" x14ac:dyDescent="0.25">
      <c r="A1824" s="193" t="s">
        <v>220</v>
      </c>
      <c r="B1824" s="193" t="s">
        <v>2351</v>
      </c>
      <c r="C1824" s="214" t="s">
        <v>3507</v>
      </c>
      <c r="D1824" s="193" t="s">
        <v>3508</v>
      </c>
      <c r="E1824" s="212" t="s">
        <v>545</v>
      </c>
      <c r="F1824" s="215">
        <v>2</v>
      </c>
      <c r="G1824" s="194">
        <v>8.8308</v>
      </c>
      <c r="H1824" s="195">
        <v>17.6616</v>
      </c>
      <c r="I1824" s="212" t="s">
        <v>2354</v>
      </c>
    </row>
    <row r="1825" spans="1:9" x14ac:dyDescent="0.25">
      <c r="A1825" s="193" t="s">
        <v>220</v>
      </c>
      <c r="B1825" s="193" t="s">
        <v>5430</v>
      </c>
      <c r="C1825" s="214" t="s">
        <v>7164</v>
      </c>
      <c r="D1825" s="193" t="s">
        <v>7165</v>
      </c>
      <c r="E1825" s="212" t="s">
        <v>545</v>
      </c>
      <c r="F1825" s="215">
        <v>250</v>
      </c>
      <c r="G1825" s="194">
        <v>7.0999999999999994E-2</v>
      </c>
      <c r="H1825" s="195">
        <v>17.75</v>
      </c>
      <c r="I1825" s="212" t="s">
        <v>2354</v>
      </c>
    </row>
    <row r="1826" spans="1:9" x14ac:dyDescent="0.25">
      <c r="A1826" s="193" t="s">
        <v>220</v>
      </c>
      <c r="B1826" s="193" t="s">
        <v>5430</v>
      </c>
      <c r="C1826" s="214" t="s">
        <v>6265</v>
      </c>
      <c r="D1826" s="193" t="s">
        <v>6266</v>
      </c>
      <c r="E1826" s="212" t="s">
        <v>545</v>
      </c>
      <c r="F1826" s="215">
        <v>23</v>
      </c>
      <c r="G1826" s="194">
        <v>0.77400000000000002</v>
      </c>
      <c r="H1826" s="195">
        <v>17.802</v>
      </c>
      <c r="I1826" s="212" t="s">
        <v>2354</v>
      </c>
    </row>
    <row r="1827" spans="1:9" x14ac:dyDescent="0.25">
      <c r="A1827" s="193" t="s">
        <v>220</v>
      </c>
      <c r="B1827" s="193" t="s">
        <v>2351</v>
      </c>
      <c r="C1827" s="214" t="s">
        <v>3235</v>
      </c>
      <c r="D1827" s="193" t="s">
        <v>3236</v>
      </c>
      <c r="E1827" s="212" t="s">
        <v>545</v>
      </c>
      <c r="F1827" s="215">
        <v>2</v>
      </c>
      <c r="G1827" s="194">
        <v>8.9250000000000007</v>
      </c>
      <c r="H1827" s="195">
        <v>17.850000000000001</v>
      </c>
      <c r="I1827" s="212" t="s">
        <v>2354</v>
      </c>
    </row>
    <row r="1828" spans="1:9" x14ac:dyDescent="0.25">
      <c r="A1828" s="193" t="s">
        <v>220</v>
      </c>
      <c r="B1828" s="193" t="s">
        <v>2351</v>
      </c>
      <c r="C1828" s="214" t="s">
        <v>3725</v>
      </c>
      <c r="D1828" s="193" t="s">
        <v>5347</v>
      </c>
      <c r="E1828" s="212" t="s">
        <v>545</v>
      </c>
      <c r="F1828" s="215">
        <v>2</v>
      </c>
      <c r="G1828" s="194">
        <v>8.9250000000000007</v>
      </c>
      <c r="H1828" s="195">
        <v>17.850000000000001</v>
      </c>
      <c r="I1828" s="212" t="s">
        <v>2354</v>
      </c>
    </row>
    <row r="1829" spans="1:9" x14ac:dyDescent="0.25">
      <c r="A1829" s="193" t="s">
        <v>220</v>
      </c>
      <c r="B1829" s="193" t="s">
        <v>5430</v>
      </c>
      <c r="C1829" s="214" t="s">
        <v>6194</v>
      </c>
      <c r="D1829" s="193" t="s">
        <v>6195</v>
      </c>
      <c r="E1829" s="212" t="s">
        <v>545</v>
      </c>
      <c r="F1829" s="215">
        <v>1</v>
      </c>
      <c r="G1829" s="194">
        <v>17.91</v>
      </c>
      <c r="H1829" s="195">
        <v>17.91</v>
      </c>
      <c r="I1829" s="212" t="s">
        <v>2354</v>
      </c>
    </row>
    <row r="1830" spans="1:9" x14ac:dyDescent="0.25">
      <c r="A1830" s="193" t="s">
        <v>220</v>
      </c>
      <c r="B1830" s="193" t="s">
        <v>2351</v>
      </c>
      <c r="C1830" s="214" t="s">
        <v>4931</v>
      </c>
      <c r="D1830" s="193" t="s">
        <v>4932</v>
      </c>
      <c r="E1830" s="212" t="s">
        <v>545</v>
      </c>
      <c r="F1830" s="215">
        <v>230</v>
      </c>
      <c r="G1830" s="194">
        <v>7.8E-2</v>
      </c>
      <c r="H1830" s="195">
        <v>17.940000000000001</v>
      </c>
      <c r="I1830" s="212" t="s">
        <v>2354</v>
      </c>
    </row>
    <row r="1831" spans="1:9" x14ac:dyDescent="0.25">
      <c r="A1831" s="193" t="s">
        <v>220</v>
      </c>
      <c r="B1831" s="193" t="s">
        <v>2351</v>
      </c>
      <c r="C1831" s="214" t="s">
        <v>5234</v>
      </c>
      <c r="D1831" s="193" t="s">
        <v>5235</v>
      </c>
      <c r="E1831" s="212" t="s">
        <v>545</v>
      </c>
      <c r="F1831" s="215">
        <v>1</v>
      </c>
      <c r="G1831" s="194">
        <v>17.940000000000001</v>
      </c>
      <c r="H1831" s="195">
        <v>17.940000000000001</v>
      </c>
      <c r="I1831" s="212" t="s">
        <v>2354</v>
      </c>
    </row>
    <row r="1832" spans="1:9" x14ac:dyDescent="0.25">
      <c r="A1832" s="193" t="s">
        <v>220</v>
      </c>
      <c r="B1832" s="193" t="s">
        <v>2351</v>
      </c>
      <c r="C1832" s="214" t="s">
        <v>4211</v>
      </c>
      <c r="D1832" s="193" t="s">
        <v>4212</v>
      </c>
      <c r="E1832" s="212" t="s">
        <v>545</v>
      </c>
      <c r="F1832" s="215">
        <v>38</v>
      </c>
      <c r="G1832" s="194">
        <v>0.47260000000000002</v>
      </c>
      <c r="H1832" s="195">
        <v>17.9588</v>
      </c>
      <c r="I1832" s="212" t="s">
        <v>2354</v>
      </c>
    </row>
    <row r="1833" spans="1:9" x14ac:dyDescent="0.25">
      <c r="A1833" s="193" t="s">
        <v>220</v>
      </c>
      <c r="B1833" s="193" t="s">
        <v>5430</v>
      </c>
      <c r="C1833" s="214" t="s">
        <v>7218</v>
      </c>
      <c r="D1833" s="193" t="s">
        <v>5383</v>
      </c>
      <c r="E1833" s="212" t="s">
        <v>545</v>
      </c>
      <c r="F1833" s="215">
        <v>62</v>
      </c>
      <c r="G1833" s="194">
        <v>0.28999999999999998</v>
      </c>
      <c r="H1833" s="195">
        <v>17.98</v>
      </c>
      <c r="I1833" s="212" t="s">
        <v>2354</v>
      </c>
    </row>
    <row r="1834" spans="1:9" x14ac:dyDescent="0.25">
      <c r="A1834" s="193" t="s">
        <v>220</v>
      </c>
      <c r="B1834" s="193" t="s">
        <v>2351</v>
      </c>
      <c r="C1834" s="214" t="s">
        <v>4590</v>
      </c>
      <c r="D1834" s="193" t="s">
        <v>4591</v>
      </c>
      <c r="E1834" s="212" t="s">
        <v>545</v>
      </c>
      <c r="F1834" s="215">
        <v>32</v>
      </c>
      <c r="G1834" s="194">
        <v>0.56200000000000006</v>
      </c>
      <c r="H1834" s="195">
        <v>17.984000000000002</v>
      </c>
      <c r="I1834" s="212" t="s">
        <v>2354</v>
      </c>
    </row>
    <row r="1835" spans="1:9" x14ac:dyDescent="0.25">
      <c r="A1835" s="193" t="s">
        <v>220</v>
      </c>
      <c r="B1835" s="193" t="s">
        <v>5430</v>
      </c>
      <c r="C1835" s="214" t="s">
        <v>4590</v>
      </c>
      <c r="D1835" s="193" t="s">
        <v>4591</v>
      </c>
      <c r="E1835" s="212" t="s">
        <v>545</v>
      </c>
      <c r="F1835" s="215">
        <v>32</v>
      </c>
      <c r="G1835" s="194">
        <v>0.56200000000000006</v>
      </c>
      <c r="H1835" s="195">
        <v>17.984000000000002</v>
      </c>
      <c r="I1835" s="212" t="s">
        <v>2354</v>
      </c>
    </row>
    <row r="1836" spans="1:9" x14ac:dyDescent="0.25">
      <c r="A1836" s="193" t="s">
        <v>220</v>
      </c>
      <c r="B1836" s="193" t="s">
        <v>5430</v>
      </c>
      <c r="C1836" s="214" t="s">
        <v>7194</v>
      </c>
      <c r="D1836" s="193" t="s">
        <v>7195</v>
      </c>
      <c r="E1836" s="212" t="s">
        <v>545</v>
      </c>
      <c r="F1836" s="215">
        <v>52</v>
      </c>
      <c r="G1836" s="194">
        <v>0.3468</v>
      </c>
      <c r="H1836" s="195">
        <v>18.0336</v>
      </c>
      <c r="I1836" s="212" t="s">
        <v>2354</v>
      </c>
    </row>
    <row r="1837" spans="1:9" x14ac:dyDescent="0.25">
      <c r="A1837" s="193" t="s">
        <v>220</v>
      </c>
      <c r="B1837" s="193" t="s">
        <v>5430</v>
      </c>
      <c r="C1837" s="214" t="s">
        <v>4702</v>
      </c>
      <c r="D1837" s="193" t="s">
        <v>4703</v>
      </c>
      <c r="E1837" s="212" t="s">
        <v>545</v>
      </c>
      <c r="F1837" s="213">
        <v>150</v>
      </c>
      <c r="G1837" s="194">
        <v>0.12065255813953489</v>
      </c>
      <c r="H1837" s="195">
        <v>18.097883720930234</v>
      </c>
      <c r="I1837" s="212" t="s">
        <v>2354</v>
      </c>
    </row>
    <row r="1838" spans="1:9" x14ac:dyDescent="0.25">
      <c r="A1838" s="193" t="s">
        <v>220</v>
      </c>
      <c r="B1838" s="193" t="s">
        <v>5430</v>
      </c>
      <c r="C1838" s="214" t="s">
        <v>6698</v>
      </c>
      <c r="D1838" s="193" t="s">
        <v>6699</v>
      </c>
      <c r="E1838" s="212" t="s">
        <v>2473</v>
      </c>
      <c r="F1838" s="215">
        <v>1</v>
      </c>
      <c r="G1838" s="194">
        <v>18.105</v>
      </c>
      <c r="H1838" s="195">
        <v>18.105</v>
      </c>
      <c r="I1838" s="212" t="s">
        <v>2354</v>
      </c>
    </row>
    <row r="1839" spans="1:9" x14ac:dyDescent="0.25">
      <c r="A1839" s="193" t="s">
        <v>220</v>
      </c>
      <c r="B1839" s="193" t="s">
        <v>2351</v>
      </c>
      <c r="C1839" s="214" t="s">
        <v>4722</v>
      </c>
      <c r="D1839" s="193" t="s">
        <v>4723</v>
      </c>
      <c r="E1839" s="212" t="s">
        <v>545</v>
      </c>
      <c r="F1839" s="215">
        <v>190</v>
      </c>
      <c r="G1839" s="194">
        <v>9.5399999999999985E-2</v>
      </c>
      <c r="H1839" s="195">
        <v>18.125999999999998</v>
      </c>
      <c r="I1839" s="212" t="s">
        <v>2354</v>
      </c>
    </row>
    <row r="1840" spans="1:9" x14ac:dyDescent="0.25">
      <c r="A1840" s="193" t="s">
        <v>220</v>
      </c>
      <c r="B1840" s="193" t="s">
        <v>2351</v>
      </c>
      <c r="C1840" s="214" t="s">
        <v>5226</v>
      </c>
      <c r="D1840" s="193" t="s">
        <v>5227</v>
      </c>
      <c r="E1840" s="212" t="s">
        <v>545</v>
      </c>
      <c r="F1840" s="215">
        <v>2</v>
      </c>
      <c r="G1840" s="194">
        <v>9.0953999999999997</v>
      </c>
      <c r="H1840" s="195">
        <v>18.190799999999999</v>
      </c>
      <c r="I1840" s="212" t="s">
        <v>2354</v>
      </c>
    </row>
    <row r="1841" spans="1:9" x14ac:dyDescent="0.25">
      <c r="A1841" s="193" t="s">
        <v>220</v>
      </c>
      <c r="B1841" s="193" t="s">
        <v>2351</v>
      </c>
      <c r="C1841" s="214" t="s">
        <v>3659</v>
      </c>
      <c r="D1841" s="193" t="s">
        <v>3660</v>
      </c>
      <c r="E1841" s="212" t="s">
        <v>545</v>
      </c>
      <c r="F1841" s="215">
        <v>6</v>
      </c>
      <c r="G1841" s="194">
        <v>3.032</v>
      </c>
      <c r="H1841" s="195">
        <v>18.192</v>
      </c>
      <c r="I1841" s="212" t="s">
        <v>2354</v>
      </c>
    </row>
    <row r="1842" spans="1:9" x14ac:dyDescent="0.25">
      <c r="A1842" s="193" t="s">
        <v>220</v>
      </c>
      <c r="B1842" s="193" t="s">
        <v>2351</v>
      </c>
      <c r="C1842" s="214" t="s">
        <v>2770</v>
      </c>
      <c r="D1842" s="193" t="s">
        <v>2771</v>
      </c>
      <c r="E1842" s="212" t="s">
        <v>545</v>
      </c>
      <c r="F1842" s="215">
        <v>4</v>
      </c>
      <c r="G1842" s="194">
        <v>4.5530999999999997</v>
      </c>
      <c r="H1842" s="195">
        <v>18.212399999999999</v>
      </c>
      <c r="I1842" s="212" t="s">
        <v>2354</v>
      </c>
    </row>
    <row r="1843" spans="1:9" x14ac:dyDescent="0.25">
      <c r="A1843" s="193" t="s">
        <v>220</v>
      </c>
      <c r="B1843" s="193" t="s">
        <v>2351</v>
      </c>
      <c r="C1843" s="214" t="s">
        <v>4568</v>
      </c>
      <c r="D1843" s="193" t="s">
        <v>4569</v>
      </c>
      <c r="E1843" s="212" t="s">
        <v>545</v>
      </c>
      <c r="F1843" s="215">
        <v>4</v>
      </c>
      <c r="G1843" s="194">
        <v>4.5599999999999996</v>
      </c>
      <c r="H1843" s="195">
        <v>18.239999999999998</v>
      </c>
      <c r="I1843" s="212" t="s">
        <v>2354</v>
      </c>
    </row>
    <row r="1844" spans="1:9" x14ac:dyDescent="0.25">
      <c r="A1844" s="193" t="s">
        <v>220</v>
      </c>
      <c r="B1844" s="193" t="s">
        <v>2351</v>
      </c>
      <c r="C1844" s="214" t="s">
        <v>3569</v>
      </c>
      <c r="D1844" s="193" t="s">
        <v>3570</v>
      </c>
      <c r="E1844" s="212" t="s">
        <v>545</v>
      </c>
      <c r="F1844" s="215">
        <v>12</v>
      </c>
      <c r="G1844" s="194">
        <v>1.5299999999999998</v>
      </c>
      <c r="H1844" s="195">
        <v>18.36</v>
      </c>
      <c r="I1844" s="212" t="s">
        <v>2354</v>
      </c>
    </row>
    <row r="1845" spans="1:9" x14ac:dyDescent="0.25">
      <c r="A1845" s="193" t="s">
        <v>220</v>
      </c>
      <c r="B1845" s="193" t="s">
        <v>5430</v>
      </c>
      <c r="C1845" s="214" t="s">
        <v>6335</v>
      </c>
      <c r="D1845" s="193" t="s">
        <v>6336</v>
      </c>
      <c r="E1845" s="212" t="s">
        <v>545</v>
      </c>
      <c r="F1845" s="215">
        <v>48</v>
      </c>
      <c r="G1845" s="194">
        <v>0.38250000000000001</v>
      </c>
      <c r="H1845" s="195">
        <v>18.36</v>
      </c>
      <c r="I1845" s="212" t="s">
        <v>2354</v>
      </c>
    </row>
    <row r="1846" spans="1:9" x14ac:dyDescent="0.25">
      <c r="A1846" s="193" t="s">
        <v>220</v>
      </c>
      <c r="B1846" s="193" t="s">
        <v>5430</v>
      </c>
      <c r="C1846" s="214" t="s">
        <v>4975</v>
      </c>
      <c r="D1846" s="193" t="s">
        <v>4976</v>
      </c>
      <c r="E1846" s="212" t="s">
        <v>545</v>
      </c>
      <c r="F1846" s="215">
        <v>240</v>
      </c>
      <c r="G1846" s="194">
        <v>7.6499999999999999E-2</v>
      </c>
      <c r="H1846" s="195">
        <v>18.36</v>
      </c>
      <c r="I1846" s="212" t="s">
        <v>2354</v>
      </c>
    </row>
    <row r="1847" spans="1:9" x14ac:dyDescent="0.25">
      <c r="A1847" s="193" t="s">
        <v>220</v>
      </c>
      <c r="B1847" s="193" t="s">
        <v>2351</v>
      </c>
      <c r="C1847" s="214" t="s">
        <v>4155</v>
      </c>
      <c r="D1847" s="193" t="s">
        <v>4156</v>
      </c>
      <c r="E1847" s="212" t="s">
        <v>545</v>
      </c>
      <c r="F1847" s="215">
        <v>15</v>
      </c>
      <c r="G1847" s="194">
        <v>1.2300627272727274</v>
      </c>
      <c r="H1847" s="195">
        <v>18.45094090909091</v>
      </c>
      <c r="I1847" s="212" t="s">
        <v>2354</v>
      </c>
    </row>
    <row r="1848" spans="1:9" x14ac:dyDescent="0.25">
      <c r="A1848" s="193" t="s">
        <v>220</v>
      </c>
      <c r="B1848" s="193" t="s">
        <v>5430</v>
      </c>
      <c r="C1848" s="214" t="s">
        <v>6457</v>
      </c>
      <c r="D1848" s="193" t="s">
        <v>6458</v>
      </c>
      <c r="E1848" s="212" t="s">
        <v>545</v>
      </c>
      <c r="F1848" s="215">
        <v>12</v>
      </c>
      <c r="G1848" s="194">
        <v>1.5428333333333333</v>
      </c>
      <c r="H1848" s="195">
        <v>18.513999999999999</v>
      </c>
      <c r="I1848" s="212" t="s">
        <v>2354</v>
      </c>
    </row>
    <row r="1849" spans="1:9" x14ac:dyDescent="0.25">
      <c r="A1849" s="193" t="s">
        <v>220</v>
      </c>
      <c r="B1849" s="193" t="s">
        <v>2351</v>
      </c>
      <c r="C1849" s="214" t="s">
        <v>4724</v>
      </c>
      <c r="D1849" s="193" t="s">
        <v>4725</v>
      </c>
      <c r="E1849" s="212" t="s">
        <v>545</v>
      </c>
      <c r="F1849" s="215">
        <v>44</v>
      </c>
      <c r="G1849" s="194">
        <v>0.42159999999999997</v>
      </c>
      <c r="H1849" s="195">
        <v>18.5504</v>
      </c>
      <c r="I1849" s="212" t="s">
        <v>2354</v>
      </c>
    </row>
    <row r="1850" spans="1:9" x14ac:dyDescent="0.25">
      <c r="A1850" s="193" t="s">
        <v>220</v>
      </c>
      <c r="B1850" s="193" t="s">
        <v>5430</v>
      </c>
      <c r="C1850" s="214" t="s">
        <v>6375</v>
      </c>
      <c r="D1850" s="193" t="s">
        <v>6376</v>
      </c>
      <c r="E1850" s="212" t="s">
        <v>545</v>
      </c>
      <c r="F1850" s="215">
        <v>3</v>
      </c>
      <c r="G1850" s="194">
        <v>6.1845499999999989</v>
      </c>
      <c r="H1850" s="195">
        <v>18.553649999999998</v>
      </c>
      <c r="I1850" s="212" t="s">
        <v>2354</v>
      </c>
    </row>
    <row r="1851" spans="1:9" x14ac:dyDescent="0.25">
      <c r="A1851" s="193" t="s">
        <v>220</v>
      </c>
      <c r="B1851" s="193" t="s">
        <v>5430</v>
      </c>
      <c r="C1851" s="214" t="s">
        <v>7258</v>
      </c>
      <c r="D1851" s="193" t="s">
        <v>7259</v>
      </c>
      <c r="E1851" s="212" t="s">
        <v>545</v>
      </c>
      <c r="F1851" s="215">
        <v>5</v>
      </c>
      <c r="G1851" s="194">
        <v>3.7214999999999998</v>
      </c>
      <c r="H1851" s="195">
        <v>18.607499999999998</v>
      </c>
      <c r="I1851" s="212" t="s">
        <v>2354</v>
      </c>
    </row>
    <row r="1852" spans="1:9" x14ac:dyDescent="0.25">
      <c r="A1852" s="193" t="s">
        <v>220</v>
      </c>
      <c r="B1852" s="193" t="s">
        <v>2351</v>
      </c>
      <c r="C1852" s="214" t="s">
        <v>3529</v>
      </c>
      <c r="D1852" s="193" t="s">
        <v>3530</v>
      </c>
      <c r="E1852" s="212" t="s">
        <v>545</v>
      </c>
      <c r="F1852" s="215">
        <v>6</v>
      </c>
      <c r="G1852" s="194">
        <v>3.103017857142857</v>
      </c>
      <c r="H1852" s="195">
        <v>18.618107142857141</v>
      </c>
      <c r="I1852" s="212" t="s">
        <v>2354</v>
      </c>
    </row>
    <row r="1853" spans="1:9" x14ac:dyDescent="0.25">
      <c r="A1853" s="193" t="s">
        <v>220</v>
      </c>
      <c r="B1853" s="193" t="s">
        <v>2351</v>
      </c>
      <c r="C1853" s="214" t="s">
        <v>4810</v>
      </c>
      <c r="D1853" s="193" t="s">
        <v>4811</v>
      </c>
      <c r="E1853" s="212" t="s">
        <v>545</v>
      </c>
      <c r="F1853" s="215">
        <v>98</v>
      </c>
      <c r="G1853" s="194">
        <v>0.19</v>
      </c>
      <c r="H1853" s="195">
        <v>18.62</v>
      </c>
      <c r="I1853" s="212" t="s">
        <v>2354</v>
      </c>
    </row>
    <row r="1854" spans="1:9" x14ac:dyDescent="0.25">
      <c r="A1854" s="193" t="s">
        <v>220</v>
      </c>
      <c r="B1854" s="193" t="s">
        <v>2351</v>
      </c>
      <c r="C1854" s="214" t="s">
        <v>3499</v>
      </c>
      <c r="D1854" s="193" t="s">
        <v>3500</v>
      </c>
      <c r="E1854" s="212" t="s">
        <v>545</v>
      </c>
      <c r="F1854" s="215">
        <v>5</v>
      </c>
      <c r="G1854" s="194">
        <v>3.7376999999999998</v>
      </c>
      <c r="H1854" s="195">
        <v>18.688499999999998</v>
      </c>
      <c r="I1854" s="212" t="s">
        <v>2354</v>
      </c>
    </row>
    <row r="1855" spans="1:9" x14ac:dyDescent="0.25">
      <c r="A1855" s="193" t="s">
        <v>220</v>
      </c>
      <c r="B1855" s="193" t="s">
        <v>2351</v>
      </c>
      <c r="C1855" s="214" t="s">
        <v>3215</v>
      </c>
      <c r="D1855" s="193" t="s">
        <v>3216</v>
      </c>
      <c r="E1855" s="212" t="s">
        <v>545</v>
      </c>
      <c r="F1855" s="215">
        <v>21</v>
      </c>
      <c r="G1855" s="194">
        <v>0.89190000000000003</v>
      </c>
      <c r="H1855" s="195">
        <v>18.729900000000001</v>
      </c>
      <c r="I1855" s="212" t="s">
        <v>2354</v>
      </c>
    </row>
    <row r="1856" spans="1:9" x14ac:dyDescent="0.25">
      <c r="A1856" s="193" t="s">
        <v>220</v>
      </c>
      <c r="B1856" s="193" t="s">
        <v>2351</v>
      </c>
      <c r="C1856" s="214" t="s">
        <v>3397</v>
      </c>
      <c r="D1856" s="193" t="s">
        <v>3398</v>
      </c>
      <c r="E1856" s="212" t="s">
        <v>545</v>
      </c>
      <c r="F1856" s="215">
        <v>7</v>
      </c>
      <c r="G1856" s="194">
        <v>2.6760000000000002</v>
      </c>
      <c r="H1856" s="195">
        <v>18.731999999999999</v>
      </c>
      <c r="I1856" s="212" t="s">
        <v>2354</v>
      </c>
    </row>
    <row r="1857" spans="1:9" x14ac:dyDescent="0.25">
      <c r="A1857" s="193" t="s">
        <v>220</v>
      </c>
      <c r="B1857" s="193" t="s">
        <v>5430</v>
      </c>
      <c r="C1857" s="214" t="s">
        <v>5929</v>
      </c>
      <c r="D1857" s="193" t="s">
        <v>5930</v>
      </c>
      <c r="E1857" s="212" t="s">
        <v>545</v>
      </c>
      <c r="F1857" s="215">
        <v>5</v>
      </c>
      <c r="G1857" s="194">
        <v>3.7530000000000001</v>
      </c>
      <c r="H1857" s="195">
        <v>18.765000000000001</v>
      </c>
      <c r="I1857" s="212" t="s">
        <v>2354</v>
      </c>
    </row>
    <row r="1858" spans="1:9" x14ac:dyDescent="0.25">
      <c r="A1858" s="193" t="s">
        <v>220</v>
      </c>
      <c r="B1858" s="193" t="s">
        <v>2351</v>
      </c>
      <c r="C1858" s="214" t="s">
        <v>4844</v>
      </c>
      <c r="D1858" s="193" t="s">
        <v>4845</v>
      </c>
      <c r="E1858" s="212" t="s">
        <v>545</v>
      </c>
      <c r="F1858" s="215">
        <v>260</v>
      </c>
      <c r="G1858" s="194">
        <v>7.2249999999999995E-2</v>
      </c>
      <c r="H1858" s="195">
        <v>18.785</v>
      </c>
      <c r="I1858" s="212" t="s">
        <v>2354</v>
      </c>
    </row>
    <row r="1859" spans="1:9" x14ac:dyDescent="0.25">
      <c r="A1859" s="193" t="s">
        <v>220</v>
      </c>
      <c r="B1859" s="193" t="s">
        <v>5430</v>
      </c>
      <c r="C1859" s="214" t="s">
        <v>3337</v>
      </c>
      <c r="D1859" s="193" t="s">
        <v>3338</v>
      </c>
      <c r="E1859" s="212" t="s">
        <v>545</v>
      </c>
      <c r="F1859" s="215">
        <v>13</v>
      </c>
      <c r="G1859" s="194">
        <v>1.4450000000000001</v>
      </c>
      <c r="H1859" s="195">
        <v>18.785</v>
      </c>
      <c r="I1859" s="212" t="s">
        <v>2354</v>
      </c>
    </row>
    <row r="1860" spans="1:9" x14ac:dyDescent="0.25">
      <c r="A1860" s="193" t="s">
        <v>220</v>
      </c>
      <c r="B1860" s="193" t="s">
        <v>2351</v>
      </c>
      <c r="C1860" s="214" t="s">
        <v>4690</v>
      </c>
      <c r="D1860" s="193" t="s">
        <v>4691</v>
      </c>
      <c r="E1860" s="212" t="s">
        <v>545</v>
      </c>
      <c r="F1860" s="215">
        <v>30</v>
      </c>
      <c r="G1860" s="194">
        <v>0.62900999999999996</v>
      </c>
      <c r="H1860" s="195">
        <v>18.8703</v>
      </c>
      <c r="I1860" s="212" t="s">
        <v>2354</v>
      </c>
    </row>
    <row r="1861" spans="1:9" x14ac:dyDescent="0.25">
      <c r="A1861" s="193" t="s">
        <v>220</v>
      </c>
      <c r="B1861" s="193" t="s">
        <v>5430</v>
      </c>
      <c r="C1861" s="214" t="s">
        <v>2996</v>
      </c>
      <c r="D1861" s="193" t="s">
        <v>2997</v>
      </c>
      <c r="E1861" s="212" t="s">
        <v>545</v>
      </c>
      <c r="F1861" s="215">
        <v>2</v>
      </c>
      <c r="G1861" s="194">
        <v>9.4616999999999987</v>
      </c>
      <c r="H1861" s="195">
        <v>18.923399999999997</v>
      </c>
      <c r="I1861" s="212" t="s">
        <v>2354</v>
      </c>
    </row>
    <row r="1862" spans="1:9" x14ac:dyDescent="0.25">
      <c r="A1862" s="193" t="s">
        <v>220</v>
      </c>
      <c r="B1862" s="193" t="s">
        <v>2351</v>
      </c>
      <c r="C1862" s="214" t="s">
        <v>2858</v>
      </c>
      <c r="D1862" s="193" t="s">
        <v>2859</v>
      </c>
      <c r="E1862" s="212" t="s">
        <v>545</v>
      </c>
      <c r="F1862" s="215">
        <v>1</v>
      </c>
      <c r="G1862" s="194">
        <v>18.982800000000001</v>
      </c>
      <c r="H1862" s="195">
        <v>18.982800000000001</v>
      </c>
      <c r="I1862" s="212" t="s">
        <v>2354</v>
      </c>
    </row>
    <row r="1863" spans="1:9" x14ac:dyDescent="0.25">
      <c r="A1863" s="193" t="s">
        <v>220</v>
      </c>
      <c r="B1863" s="193" t="s">
        <v>5430</v>
      </c>
      <c r="C1863" s="214" t="s">
        <v>3693</v>
      </c>
      <c r="D1863" s="193" t="s">
        <v>3694</v>
      </c>
      <c r="E1863" s="212" t="s">
        <v>545</v>
      </c>
      <c r="F1863" s="215">
        <v>7</v>
      </c>
      <c r="G1863" s="194">
        <v>2.7130000000000001</v>
      </c>
      <c r="H1863" s="195">
        <v>18.991</v>
      </c>
      <c r="I1863" s="212" t="s">
        <v>2354</v>
      </c>
    </row>
    <row r="1864" spans="1:9" x14ac:dyDescent="0.25">
      <c r="A1864" s="193" t="s">
        <v>220</v>
      </c>
      <c r="B1864" s="193" t="s">
        <v>2351</v>
      </c>
      <c r="C1864" s="214" t="s">
        <v>4488</v>
      </c>
      <c r="D1864" s="193" t="s">
        <v>4489</v>
      </c>
      <c r="E1864" s="212" t="s">
        <v>545</v>
      </c>
      <c r="F1864" s="215">
        <v>1</v>
      </c>
      <c r="G1864" s="194">
        <v>19.065777777777775</v>
      </c>
      <c r="H1864" s="195">
        <v>19.065777777777775</v>
      </c>
      <c r="I1864" s="212" t="s">
        <v>2354</v>
      </c>
    </row>
    <row r="1865" spans="1:9" x14ac:dyDescent="0.25">
      <c r="A1865" s="193" t="s">
        <v>220</v>
      </c>
      <c r="B1865" s="193" t="s">
        <v>2351</v>
      </c>
      <c r="C1865" s="214" t="s">
        <v>4349</v>
      </c>
      <c r="D1865" s="193" t="s">
        <v>4350</v>
      </c>
      <c r="E1865" s="212" t="s">
        <v>545</v>
      </c>
      <c r="F1865" s="215">
        <v>5</v>
      </c>
      <c r="G1865" s="194">
        <v>3.8250000000000002</v>
      </c>
      <c r="H1865" s="195">
        <v>19.125</v>
      </c>
      <c r="I1865" s="212" t="s">
        <v>2354</v>
      </c>
    </row>
    <row r="1866" spans="1:9" x14ac:dyDescent="0.25">
      <c r="A1866" s="193" t="s">
        <v>220</v>
      </c>
      <c r="B1866" s="193" t="s">
        <v>5430</v>
      </c>
      <c r="C1866" s="214" t="s">
        <v>7280</v>
      </c>
      <c r="D1866" s="193" t="s">
        <v>7281</v>
      </c>
      <c r="E1866" s="212" t="s">
        <v>545</v>
      </c>
      <c r="F1866" s="215">
        <v>1</v>
      </c>
      <c r="G1866" s="194">
        <v>19.125</v>
      </c>
      <c r="H1866" s="195">
        <v>19.125</v>
      </c>
      <c r="I1866" s="212" t="s">
        <v>2354</v>
      </c>
    </row>
    <row r="1867" spans="1:9" x14ac:dyDescent="0.25">
      <c r="A1867" s="193" t="s">
        <v>220</v>
      </c>
      <c r="B1867" s="193" t="s">
        <v>5430</v>
      </c>
      <c r="C1867" s="214" t="s">
        <v>3533</v>
      </c>
      <c r="D1867" s="193" t="s">
        <v>3534</v>
      </c>
      <c r="E1867" s="212" t="s">
        <v>545</v>
      </c>
      <c r="F1867" s="215">
        <v>8</v>
      </c>
      <c r="G1867" s="194">
        <v>2.3913333333333338</v>
      </c>
      <c r="H1867" s="195">
        <v>19.13066666666667</v>
      </c>
      <c r="I1867" s="212" t="s">
        <v>2354</v>
      </c>
    </row>
    <row r="1868" spans="1:9" x14ac:dyDescent="0.25">
      <c r="A1868" s="193" t="s">
        <v>220</v>
      </c>
      <c r="B1868" s="193" t="s">
        <v>2351</v>
      </c>
      <c r="C1868" s="214" t="s">
        <v>4177</v>
      </c>
      <c r="D1868" s="193" t="s">
        <v>4178</v>
      </c>
      <c r="E1868" s="212" t="s">
        <v>545</v>
      </c>
      <c r="F1868" s="215">
        <v>2</v>
      </c>
      <c r="G1868" s="194">
        <v>9.6</v>
      </c>
      <c r="H1868" s="195">
        <v>19.2</v>
      </c>
      <c r="I1868" s="212" t="s">
        <v>2354</v>
      </c>
    </row>
    <row r="1869" spans="1:9" x14ac:dyDescent="0.25">
      <c r="A1869" s="193" t="s">
        <v>220</v>
      </c>
      <c r="B1869" s="193" t="s">
        <v>2351</v>
      </c>
      <c r="C1869" s="214" t="s">
        <v>2836</v>
      </c>
      <c r="D1869" s="193" t="s">
        <v>2837</v>
      </c>
      <c r="E1869" s="212" t="s">
        <v>545</v>
      </c>
      <c r="F1869" s="215">
        <v>1</v>
      </c>
      <c r="G1869" s="194">
        <v>19.5</v>
      </c>
      <c r="H1869" s="195">
        <v>19.5</v>
      </c>
      <c r="I1869" s="212" t="s">
        <v>2354</v>
      </c>
    </row>
    <row r="1870" spans="1:9" x14ac:dyDescent="0.25">
      <c r="A1870" s="193" t="s">
        <v>220</v>
      </c>
      <c r="B1870" s="193" t="s">
        <v>2351</v>
      </c>
      <c r="C1870" s="214" t="s">
        <v>5392</v>
      </c>
      <c r="D1870" s="193" t="s">
        <v>5393</v>
      </c>
      <c r="E1870" s="212" t="s">
        <v>545</v>
      </c>
      <c r="F1870" s="215">
        <v>6</v>
      </c>
      <c r="G1870" s="194">
        <v>3.2562000000000002</v>
      </c>
      <c r="H1870" s="195">
        <v>19.537200000000002</v>
      </c>
      <c r="I1870" s="212" t="s">
        <v>2354</v>
      </c>
    </row>
    <row r="1871" spans="1:9" x14ac:dyDescent="0.25">
      <c r="A1871" s="193" t="s">
        <v>220</v>
      </c>
      <c r="B1871" s="193" t="s">
        <v>5430</v>
      </c>
      <c r="C1871" s="214" t="s">
        <v>6288</v>
      </c>
      <c r="D1871" s="193" t="s">
        <v>6289</v>
      </c>
      <c r="E1871" s="212" t="s">
        <v>545</v>
      </c>
      <c r="F1871" s="215">
        <v>10</v>
      </c>
      <c r="G1871" s="194">
        <v>1.9550000000000001</v>
      </c>
      <c r="H1871" s="195">
        <v>19.55</v>
      </c>
      <c r="I1871" s="212" t="s">
        <v>2354</v>
      </c>
    </row>
    <row r="1872" spans="1:9" x14ac:dyDescent="0.25">
      <c r="A1872" s="193" t="s">
        <v>220</v>
      </c>
      <c r="B1872" s="193" t="s">
        <v>5430</v>
      </c>
      <c r="C1872" s="214" t="s">
        <v>3219</v>
      </c>
      <c r="D1872" s="193" t="s">
        <v>3220</v>
      </c>
      <c r="E1872" s="212" t="s">
        <v>545</v>
      </c>
      <c r="F1872" s="215">
        <v>22</v>
      </c>
      <c r="G1872" s="194">
        <v>0.89190000000000003</v>
      </c>
      <c r="H1872" s="195">
        <v>19.6218</v>
      </c>
      <c r="I1872" s="212" t="s">
        <v>2354</v>
      </c>
    </row>
    <row r="1873" spans="1:9" x14ac:dyDescent="0.25">
      <c r="A1873" s="193" t="s">
        <v>220</v>
      </c>
      <c r="B1873" s="193" t="s">
        <v>2351</v>
      </c>
      <c r="C1873" s="214" t="s">
        <v>4798</v>
      </c>
      <c r="D1873" s="193" t="s">
        <v>4799</v>
      </c>
      <c r="E1873" s="212" t="s">
        <v>545</v>
      </c>
      <c r="F1873" s="215">
        <v>520</v>
      </c>
      <c r="G1873" s="194">
        <v>3.78E-2</v>
      </c>
      <c r="H1873" s="195">
        <v>19.655999999999999</v>
      </c>
      <c r="I1873" s="212" t="s">
        <v>2354</v>
      </c>
    </row>
    <row r="1874" spans="1:9" x14ac:dyDescent="0.25">
      <c r="A1874" s="193" t="s">
        <v>220</v>
      </c>
      <c r="B1874" s="193" t="s">
        <v>2351</v>
      </c>
      <c r="C1874" s="214" t="s">
        <v>3983</v>
      </c>
      <c r="D1874" s="193" t="s">
        <v>3984</v>
      </c>
      <c r="E1874" s="212" t="s">
        <v>2387</v>
      </c>
      <c r="F1874" s="215">
        <v>32</v>
      </c>
      <c r="G1874" s="194">
        <v>0.61426999999999998</v>
      </c>
      <c r="H1874" s="195">
        <v>19.656639999999999</v>
      </c>
      <c r="I1874" s="212" t="s">
        <v>2354</v>
      </c>
    </row>
    <row r="1875" spans="1:9" x14ac:dyDescent="0.25">
      <c r="A1875" s="193" t="s">
        <v>220</v>
      </c>
      <c r="B1875" s="193" t="s">
        <v>2351</v>
      </c>
      <c r="C1875" s="214" t="s">
        <v>5276</v>
      </c>
      <c r="D1875" s="193" t="s">
        <v>5277</v>
      </c>
      <c r="E1875" s="212" t="s">
        <v>545</v>
      </c>
      <c r="F1875" s="215">
        <v>3</v>
      </c>
      <c r="G1875" s="194">
        <v>6.5650000000000004</v>
      </c>
      <c r="H1875" s="195">
        <v>19.695</v>
      </c>
      <c r="I1875" s="212" t="s">
        <v>2354</v>
      </c>
    </row>
    <row r="1876" spans="1:9" x14ac:dyDescent="0.25">
      <c r="A1876" s="193" t="s">
        <v>220</v>
      </c>
      <c r="B1876" s="193" t="s">
        <v>5430</v>
      </c>
      <c r="C1876" s="214" t="s">
        <v>3225</v>
      </c>
      <c r="D1876" s="193" t="s">
        <v>3226</v>
      </c>
      <c r="E1876" s="212" t="s">
        <v>545</v>
      </c>
      <c r="F1876" s="215">
        <v>15</v>
      </c>
      <c r="G1876" s="194">
        <v>1.3130999999999999</v>
      </c>
      <c r="H1876" s="195">
        <v>19.6965</v>
      </c>
      <c r="I1876" s="212" t="s">
        <v>2354</v>
      </c>
    </row>
    <row r="1877" spans="1:9" x14ac:dyDescent="0.25">
      <c r="A1877" s="193" t="s">
        <v>220</v>
      </c>
      <c r="B1877" s="193" t="s">
        <v>5430</v>
      </c>
      <c r="C1877" s="214" t="s">
        <v>4680</v>
      </c>
      <c r="D1877" s="193" t="s">
        <v>4681</v>
      </c>
      <c r="E1877" s="212" t="s">
        <v>545</v>
      </c>
      <c r="F1877" s="215">
        <v>43</v>
      </c>
      <c r="G1877" s="194">
        <v>0.46</v>
      </c>
      <c r="H1877" s="195">
        <v>19.78</v>
      </c>
      <c r="I1877" s="212" t="s">
        <v>2354</v>
      </c>
    </row>
    <row r="1878" spans="1:9" x14ac:dyDescent="0.25">
      <c r="A1878" s="193" t="s">
        <v>220</v>
      </c>
      <c r="B1878" s="193" t="s">
        <v>2351</v>
      </c>
      <c r="C1878" s="214" t="s">
        <v>3213</v>
      </c>
      <c r="D1878" s="193" t="s">
        <v>3214</v>
      </c>
      <c r="E1878" s="212" t="s">
        <v>545</v>
      </c>
      <c r="F1878" s="215">
        <v>28</v>
      </c>
      <c r="G1878" s="194">
        <v>0.70656967213114763</v>
      </c>
      <c r="H1878" s="195">
        <v>19.783950819672135</v>
      </c>
      <c r="I1878" s="212" t="s">
        <v>2354</v>
      </c>
    </row>
    <row r="1879" spans="1:9" x14ac:dyDescent="0.25">
      <c r="A1879" s="193" t="s">
        <v>220</v>
      </c>
      <c r="B1879" s="193" t="s">
        <v>2351</v>
      </c>
      <c r="C1879" s="214" t="s">
        <v>3305</v>
      </c>
      <c r="D1879" s="193" t="s">
        <v>3306</v>
      </c>
      <c r="E1879" s="212" t="s">
        <v>545</v>
      </c>
      <c r="F1879" s="215">
        <v>4</v>
      </c>
      <c r="G1879" s="194">
        <v>4.9580000000000002</v>
      </c>
      <c r="H1879" s="195">
        <v>19.832000000000001</v>
      </c>
      <c r="I1879" s="212" t="s">
        <v>2354</v>
      </c>
    </row>
    <row r="1880" spans="1:9" x14ac:dyDescent="0.25">
      <c r="A1880" s="193" t="s">
        <v>220</v>
      </c>
      <c r="B1880" s="193" t="s">
        <v>5430</v>
      </c>
      <c r="C1880" s="214" t="s">
        <v>7018</v>
      </c>
      <c r="D1880" s="193" t="s">
        <v>7019</v>
      </c>
      <c r="E1880" s="212" t="s">
        <v>545</v>
      </c>
      <c r="F1880" s="215">
        <v>4</v>
      </c>
      <c r="G1880" s="194">
        <v>4.9581</v>
      </c>
      <c r="H1880" s="195">
        <v>19.8324</v>
      </c>
      <c r="I1880" s="212" t="s">
        <v>2354</v>
      </c>
    </row>
    <row r="1881" spans="1:9" x14ac:dyDescent="0.25">
      <c r="A1881" s="193" t="s">
        <v>220</v>
      </c>
      <c r="B1881" s="193" t="s">
        <v>2351</v>
      </c>
      <c r="C1881" s="214" t="s">
        <v>3537</v>
      </c>
      <c r="D1881" s="193" t="s">
        <v>3538</v>
      </c>
      <c r="E1881" s="212" t="s">
        <v>545</v>
      </c>
      <c r="F1881" s="215">
        <v>2</v>
      </c>
      <c r="G1881" s="194">
        <v>9.9719999999999995</v>
      </c>
      <c r="H1881" s="195">
        <v>19.943999999999999</v>
      </c>
      <c r="I1881" s="212" t="s">
        <v>2354</v>
      </c>
    </row>
    <row r="1882" spans="1:9" x14ac:dyDescent="0.25">
      <c r="A1882" s="193" t="s">
        <v>220</v>
      </c>
      <c r="B1882" s="193" t="s">
        <v>5430</v>
      </c>
      <c r="C1882" s="214" t="s">
        <v>4738</v>
      </c>
      <c r="D1882" s="193" t="s">
        <v>4739</v>
      </c>
      <c r="E1882" s="212" t="s">
        <v>545</v>
      </c>
      <c r="F1882" s="215">
        <v>86</v>
      </c>
      <c r="G1882" s="194">
        <v>0.2328625924314919</v>
      </c>
      <c r="H1882" s="195">
        <v>20.026182949108303</v>
      </c>
      <c r="I1882" s="212" t="s">
        <v>2354</v>
      </c>
    </row>
    <row r="1883" spans="1:9" x14ac:dyDescent="0.25">
      <c r="A1883" s="193" t="s">
        <v>220</v>
      </c>
      <c r="B1883" s="193" t="s">
        <v>5430</v>
      </c>
      <c r="C1883" s="214" t="s">
        <v>6845</v>
      </c>
      <c r="D1883" s="193" t="s">
        <v>4150</v>
      </c>
      <c r="E1883" s="212" t="s">
        <v>545</v>
      </c>
      <c r="F1883" s="215">
        <v>18</v>
      </c>
      <c r="G1883" s="194">
        <v>1.116077922077922</v>
      </c>
      <c r="H1883" s="195">
        <v>20.089402597402596</v>
      </c>
      <c r="I1883" s="212" t="s">
        <v>2354</v>
      </c>
    </row>
    <row r="1884" spans="1:9" x14ac:dyDescent="0.25">
      <c r="A1884" s="193" t="s">
        <v>220</v>
      </c>
      <c r="B1884" s="193" t="s">
        <v>5430</v>
      </c>
      <c r="C1884" s="214" t="s">
        <v>7085</v>
      </c>
      <c r="D1884" s="193" t="s">
        <v>7086</v>
      </c>
      <c r="E1884" s="212" t="s">
        <v>545</v>
      </c>
      <c r="F1884" s="215">
        <v>12</v>
      </c>
      <c r="G1884" s="194">
        <v>1.6758299999999999</v>
      </c>
      <c r="H1884" s="195">
        <v>20.109960000000001</v>
      </c>
      <c r="I1884" s="212" t="s">
        <v>2354</v>
      </c>
    </row>
    <row r="1885" spans="1:9" x14ac:dyDescent="0.25">
      <c r="A1885" s="193" t="s">
        <v>220</v>
      </c>
      <c r="B1885" s="193" t="s">
        <v>5430</v>
      </c>
      <c r="C1885" s="214" t="s">
        <v>6696</v>
      </c>
      <c r="D1885" s="193" t="s">
        <v>6697</v>
      </c>
      <c r="E1885" s="212" t="s">
        <v>545</v>
      </c>
      <c r="F1885" s="215">
        <v>23</v>
      </c>
      <c r="G1885" s="194">
        <v>0.87839999999999996</v>
      </c>
      <c r="H1885" s="195">
        <v>20.203199999999999</v>
      </c>
      <c r="I1885" s="212" t="s">
        <v>2354</v>
      </c>
    </row>
    <row r="1886" spans="1:9" x14ac:dyDescent="0.25">
      <c r="A1886" s="193" t="s">
        <v>220</v>
      </c>
      <c r="B1886" s="193" t="s">
        <v>5430</v>
      </c>
      <c r="C1886" s="214" t="s">
        <v>4089</v>
      </c>
      <c r="D1886" s="193" t="s">
        <v>4090</v>
      </c>
      <c r="E1886" s="212" t="s">
        <v>545</v>
      </c>
      <c r="F1886" s="215">
        <v>1</v>
      </c>
      <c r="G1886" s="194">
        <v>20.211300000000001</v>
      </c>
      <c r="H1886" s="195">
        <v>20.211300000000001</v>
      </c>
      <c r="I1886" s="212" t="s">
        <v>2354</v>
      </c>
    </row>
    <row r="1887" spans="1:9" x14ac:dyDescent="0.25">
      <c r="A1887" s="193" t="s">
        <v>220</v>
      </c>
      <c r="B1887" s="193" t="s">
        <v>5430</v>
      </c>
      <c r="C1887" s="214" t="s">
        <v>6974</v>
      </c>
      <c r="D1887" s="193" t="s">
        <v>4437</v>
      </c>
      <c r="E1887" s="212" t="s">
        <v>2387</v>
      </c>
      <c r="F1887" s="215">
        <v>1</v>
      </c>
      <c r="G1887" s="194">
        <v>20.257575757575758</v>
      </c>
      <c r="H1887" s="195">
        <v>20.257575757575758</v>
      </c>
      <c r="I1887" s="212" t="s">
        <v>2354</v>
      </c>
    </row>
    <row r="1888" spans="1:9" x14ac:dyDescent="0.25">
      <c r="A1888" s="193" t="s">
        <v>220</v>
      </c>
      <c r="B1888" s="193" t="s">
        <v>2351</v>
      </c>
      <c r="C1888" s="214" t="s">
        <v>5168</v>
      </c>
      <c r="D1888" s="193" t="s">
        <v>5169</v>
      </c>
      <c r="E1888" s="212" t="s">
        <v>545</v>
      </c>
      <c r="F1888" s="215">
        <v>1</v>
      </c>
      <c r="G1888" s="194">
        <v>20.259</v>
      </c>
      <c r="H1888" s="195">
        <v>20.259</v>
      </c>
      <c r="I1888" s="212" t="s">
        <v>2354</v>
      </c>
    </row>
    <row r="1889" spans="1:9" x14ac:dyDescent="0.25">
      <c r="A1889" s="193" t="s">
        <v>220</v>
      </c>
      <c r="B1889" s="193" t="s">
        <v>5430</v>
      </c>
      <c r="C1889" s="214" t="s">
        <v>5858</v>
      </c>
      <c r="D1889" s="193" t="s">
        <v>5859</v>
      </c>
      <c r="E1889" s="212" t="s">
        <v>545</v>
      </c>
      <c r="F1889" s="215">
        <v>2</v>
      </c>
      <c r="G1889" s="194">
        <v>10.143000000000001</v>
      </c>
      <c r="H1889" s="195">
        <v>20.286000000000001</v>
      </c>
      <c r="I1889" s="212" t="s">
        <v>2354</v>
      </c>
    </row>
    <row r="1890" spans="1:9" x14ac:dyDescent="0.25">
      <c r="A1890" s="193" t="s">
        <v>220</v>
      </c>
      <c r="B1890" s="193" t="s">
        <v>5430</v>
      </c>
      <c r="C1890" s="214" t="s">
        <v>2900</v>
      </c>
      <c r="D1890" s="193" t="s">
        <v>2901</v>
      </c>
      <c r="E1890" s="212" t="s">
        <v>545</v>
      </c>
      <c r="F1890" s="215">
        <v>2</v>
      </c>
      <c r="G1890" s="194">
        <v>10.143000000000001</v>
      </c>
      <c r="H1890" s="195">
        <v>20.286000000000001</v>
      </c>
      <c r="I1890" s="212" t="s">
        <v>2354</v>
      </c>
    </row>
    <row r="1891" spans="1:9" x14ac:dyDescent="0.25">
      <c r="A1891" s="193" t="s">
        <v>220</v>
      </c>
      <c r="B1891" s="193" t="s">
        <v>5430</v>
      </c>
      <c r="C1891" s="214" t="s">
        <v>5909</v>
      </c>
      <c r="D1891" s="193" t="s">
        <v>5910</v>
      </c>
      <c r="E1891" s="212" t="s">
        <v>545</v>
      </c>
      <c r="F1891" s="215">
        <v>2</v>
      </c>
      <c r="G1891" s="194">
        <v>10.143000000000001</v>
      </c>
      <c r="H1891" s="195">
        <v>20.286000000000001</v>
      </c>
      <c r="I1891" s="212" t="s">
        <v>2354</v>
      </c>
    </row>
    <row r="1892" spans="1:9" x14ac:dyDescent="0.25">
      <c r="A1892" s="193" t="s">
        <v>220</v>
      </c>
      <c r="B1892" s="193" t="s">
        <v>2351</v>
      </c>
      <c r="C1892" s="214" t="s">
        <v>4786</v>
      </c>
      <c r="D1892" s="193" t="s">
        <v>4787</v>
      </c>
      <c r="E1892" s="212" t="s">
        <v>545</v>
      </c>
      <c r="F1892" s="215">
        <v>86</v>
      </c>
      <c r="G1892" s="194">
        <v>0.23599999999999999</v>
      </c>
      <c r="H1892" s="195">
        <v>20.295999999999999</v>
      </c>
      <c r="I1892" s="212" t="s">
        <v>2354</v>
      </c>
    </row>
    <row r="1893" spans="1:9" x14ac:dyDescent="0.25">
      <c r="A1893" s="193" t="s">
        <v>220</v>
      </c>
      <c r="B1893" s="193" t="s">
        <v>2351</v>
      </c>
      <c r="C1893" s="214" t="s">
        <v>3071</v>
      </c>
      <c r="D1893" s="193" t="s">
        <v>3072</v>
      </c>
      <c r="E1893" s="212" t="s">
        <v>545</v>
      </c>
      <c r="F1893" s="215">
        <v>2</v>
      </c>
      <c r="G1893" s="194">
        <v>10.17</v>
      </c>
      <c r="H1893" s="195">
        <v>20.34</v>
      </c>
      <c r="I1893" s="212" t="s">
        <v>2354</v>
      </c>
    </row>
    <row r="1894" spans="1:9" x14ac:dyDescent="0.25">
      <c r="A1894" s="193" t="s">
        <v>220</v>
      </c>
      <c r="B1894" s="193" t="s">
        <v>2351</v>
      </c>
      <c r="C1894" s="214" t="s">
        <v>4644</v>
      </c>
      <c r="D1894" s="193" t="s">
        <v>4645</v>
      </c>
      <c r="E1894" s="212" t="s">
        <v>545</v>
      </c>
      <c r="F1894" s="215">
        <v>55</v>
      </c>
      <c r="G1894" s="194">
        <v>0.37094660194174761</v>
      </c>
      <c r="H1894" s="195">
        <v>20.402063106796117</v>
      </c>
      <c r="I1894" s="212" t="s">
        <v>2354</v>
      </c>
    </row>
    <row r="1895" spans="1:9" x14ac:dyDescent="0.25">
      <c r="A1895" s="193" t="s">
        <v>220</v>
      </c>
      <c r="B1895" s="193" t="s">
        <v>2351</v>
      </c>
      <c r="C1895" s="214" t="s">
        <v>4500</v>
      </c>
      <c r="D1895" s="193" t="s">
        <v>4501</v>
      </c>
      <c r="E1895" s="212" t="s">
        <v>545</v>
      </c>
      <c r="F1895" s="215">
        <v>5</v>
      </c>
      <c r="G1895" s="194">
        <v>4.0911764705882359</v>
      </c>
      <c r="H1895" s="195">
        <v>20.455882352941181</v>
      </c>
      <c r="I1895" s="212" t="s">
        <v>2354</v>
      </c>
    </row>
    <row r="1896" spans="1:9" x14ac:dyDescent="0.25">
      <c r="A1896" s="193" t="s">
        <v>220</v>
      </c>
      <c r="B1896" s="193" t="s">
        <v>5430</v>
      </c>
      <c r="C1896" s="214" t="s">
        <v>4854</v>
      </c>
      <c r="D1896" s="193" t="s">
        <v>4855</v>
      </c>
      <c r="E1896" s="212" t="s">
        <v>545</v>
      </c>
      <c r="F1896" s="215">
        <v>110</v>
      </c>
      <c r="G1896" s="194">
        <v>0.186</v>
      </c>
      <c r="H1896" s="195">
        <v>20.46</v>
      </c>
      <c r="I1896" s="212" t="s">
        <v>2354</v>
      </c>
    </row>
    <row r="1897" spans="1:9" x14ac:dyDescent="0.25">
      <c r="A1897" s="193" t="s">
        <v>220</v>
      </c>
      <c r="B1897" s="193" t="s">
        <v>5430</v>
      </c>
      <c r="C1897" s="214" t="s">
        <v>3323</v>
      </c>
      <c r="D1897" s="193" t="s">
        <v>3324</v>
      </c>
      <c r="E1897" s="212" t="s">
        <v>545</v>
      </c>
      <c r="F1897" s="215">
        <v>38</v>
      </c>
      <c r="G1897" s="194">
        <v>0.53843333333333332</v>
      </c>
      <c r="H1897" s="195">
        <v>20.460466666666665</v>
      </c>
      <c r="I1897" s="212" t="s">
        <v>2354</v>
      </c>
    </row>
    <row r="1898" spans="1:9" x14ac:dyDescent="0.25">
      <c r="A1898" s="193" t="s">
        <v>220</v>
      </c>
      <c r="B1898" s="193" t="s">
        <v>2351</v>
      </c>
      <c r="C1898" s="214" t="s">
        <v>3347</v>
      </c>
      <c r="D1898" s="193" t="s">
        <v>3348</v>
      </c>
      <c r="E1898" s="212" t="s">
        <v>545</v>
      </c>
      <c r="F1898" s="215">
        <v>5</v>
      </c>
      <c r="G1898" s="194">
        <v>4.0986000000000002</v>
      </c>
      <c r="H1898" s="195">
        <v>20.493000000000002</v>
      </c>
      <c r="I1898" s="212" t="s">
        <v>2354</v>
      </c>
    </row>
    <row r="1899" spans="1:9" x14ac:dyDescent="0.25">
      <c r="A1899" s="193" t="s">
        <v>220</v>
      </c>
      <c r="B1899" s="193" t="s">
        <v>2351</v>
      </c>
      <c r="C1899" s="214" t="s">
        <v>3219</v>
      </c>
      <c r="D1899" s="193" t="s">
        <v>3220</v>
      </c>
      <c r="E1899" s="212" t="s">
        <v>545</v>
      </c>
      <c r="F1899" s="215">
        <v>23</v>
      </c>
      <c r="G1899" s="194">
        <v>0.89190000000000003</v>
      </c>
      <c r="H1899" s="195">
        <v>20.5137</v>
      </c>
      <c r="I1899" s="212" t="s">
        <v>2354</v>
      </c>
    </row>
    <row r="1900" spans="1:9" x14ac:dyDescent="0.25">
      <c r="A1900" s="193" t="s">
        <v>220</v>
      </c>
      <c r="B1900" s="193" t="s">
        <v>5430</v>
      </c>
      <c r="C1900" s="214" t="s">
        <v>3399</v>
      </c>
      <c r="D1900" s="193" t="s">
        <v>3400</v>
      </c>
      <c r="E1900" s="212" t="s">
        <v>545</v>
      </c>
      <c r="F1900" s="215">
        <v>14</v>
      </c>
      <c r="G1900" s="194">
        <v>1.4670000000000001</v>
      </c>
      <c r="H1900" s="195">
        <v>20.538</v>
      </c>
      <c r="I1900" s="212" t="s">
        <v>2354</v>
      </c>
    </row>
    <row r="1901" spans="1:9" x14ac:dyDescent="0.25">
      <c r="A1901" s="193" t="s">
        <v>220</v>
      </c>
      <c r="B1901" s="193" t="s">
        <v>2351</v>
      </c>
      <c r="C1901" s="214" t="s">
        <v>4907</v>
      </c>
      <c r="D1901" s="193" t="s">
        <v>4908</v>
      </c>
      <c r="E1901" s="212" t="s">
        <v>545</v>
      </c>
      <c r="F1901" s="215">
        <v>35</v>
      </c>
      <c r="G1901" s="194">
        <v>0.58799999999999997</v>
      </c>
      <c r="H1901" s="195">
        <v>20.58</v>
      </c>
      <c r="I1901" s="212" t="s">
        <v>2354</v>
      </c>
    </row>
    <row r="1902" spans="1:9" x14ac:dyDescent="0.25">
      <c r="A1902" s="193" t="s">
        <v>220</v>
      </c>
      <c r="B1902" s="193" t="s">
        <v>5430</v>
      </c>
      <c r="C1902" s="214" t="s">
        <v>2796</v>
      </c>
      <c r="D1902" s="193" t="s">
        <v>2797</v>
      </c>
      <c r="E1902" s="212" t="s">
        <v>545</v>
      </c>
      <c r="F1902" s="215">
        <v>2</v>
      </c>
      <c r="G1902" s="194">
        <v>10.35</v>
      </c>
      <c r="H1902" s="195">
        <v>20.7</v>
      </c>
      <c r="I1902" s="212" t="s">
        <v>2354</v>
      </c>
    </row>
    <row r="1903" spans="1:9" x14ac:dyDescent="0.25">
      <c r="A1903" s="193" t="s">
        <v>220</v>
      </c>
      <c r="B1903" s="193" t="s">
        <v>2351</v>
      </c>
      <c r="C1903" s="214" t="s">
        <v>3315</v>
      </c>
      <c r="D1903" s="193" t="s">
        <v>3316</v>
      </c>
      <c r="E1903" s="212" t="s">
        <v>545</v>
      </c>
      <c r="F1903" s="215">
        <v>5</v>
      </c>
      <c r="G1903" s="194">
        <v>4.1684000000000001</v>
      </c>
      <c r="H1903" s="195">
        <v>20.841999999999999</v>
      </c>
      <c r="I1903" s="212" t="s">
        <v>2354</v>
      </c>
    </row>
    <row r="1904" spans="1:9" x14ac:dyDescent="0.25">
      <c r="A1904" s="193" t="s">
        <v>220</v>
      </c>
      <c r="B1904" s="193" t="s">
        <v>5430</v>
      </c>
      <c r="C1904" s="214" t="s">
        <v>3203</v>
      </c>
      <c r="D1904" s="193" t="s">
        <v>3204</v>
      </c>
      <c r="E1904" s="212" t="s">
        <v>545</v>
      </c>
      <c r="F1904" s="215">
        <v>36</v>
      </c>
      <c r="G1904" s="194">
        <v>0.58096363636363624</v>
      </c>
      <c r="H1904" s="195">
        <v>20.914690909090904</v>
      </c>
      <c r="I1904" s="212" t="s">
        <v>2354</v>
      </c>
    </row>
    <row r="1905" spans="1:9" x14ac:dyDescent="0.25">
      <c r="A1905" s="193" t="s">
        <v>220</v>
      </c>
      <c r="B1905" s="193" t="s">
        <v>5430</v>
      </c>
      <c r="C1905" s="214" t="s">
        <v>5066</v>
      </c>
      <c r="D1905" s="193" t="s">
        <v>5067</v>
      </c>
      <c r="E1905" s="212" t="s">
        <v>545</v>
      </c>
      <c r="F1905" s="215">
        <v>65</v>
      </c>
      <c r="G1905" s="194">
        <v>0.32200000000000001</v>
      </c>
      <c r="H1905" s="195">
        <v>20.93</v>
      </c>
      <c r="I1905" s="212" t="s">
        <v>2354</v>
      </c>
    </row>
    <row r="1906" spans="1:9" x14ac:dyDescent="0.25">
      <c r="A1906" s="193" t="s">
        <v>220</v>
      </c>
      <c r="B1906" s="193" t="s">
        <v>2351</v>
      </c>
      <c r="C1906" s="214" t="s">
        <v>2440</v>
      </c>
      <c r="D1906" s="193" t="s">
        <v>2441</v>
      </c>
      <c r="E1906" s="212" t="s">
        <v>545</v>
      </c>
      <c r="F1906" s="215">
        <v>8</v>
      </c>
      <c r="G1906" s="194">
        <v>2.6179999999999999</v>
      </c>
      <c r="H1906" s="195">
        <v>20.943999999999999</v>
      </c>
      <c r="I1906" s="212" t="s">
        <v>2354</v>
      </c>
    </row>
    <row r="1907" spans="1:9" x14ac:dyDescent="0.25">
      <c r="A1907" s="193" t="s">
        <v>220</v>
      </c>
      <c r="B1907" s="193" t="s">
        <v>5430</v>
      </c>
      <c r="C1907" s="214" t="s">
        <v>5925</v>
      </c>
      <c r="D1907" s="193" t="s">
        <v>5926</v>
      </c>
      <c r="E1907" s="212" t="s">
        <v>545</v>
      </c>
      <c r="F1907" s="215">
        <v>3</v>
      </c>
      <c r="G1907" s="194">
        <v>6.9992999999999999</v>
      </c>
      <c r="H1907" s="195">
        <v>20.997900000000001</v>
      </c>
      <c r="I1907" s="212" t="s">
        <v>2354</v>
      </c>
    </row>
    <row r="1908" spans="1:9" x14ac:dyDescent="0.25">
      <c r="A1908" s="193" t="s">
        <v>220</v>
      </c>
      <c r="B1908" s="193" t="s">
        <v>2351</v>
      </c>
      <c r="C1908" s="214" t="s">
        <v>4419</v>
      </c>
      <c r="D1908" s="193" t="s">
        <v>4420</v>
      </c>
      <c r="E1908" s="212" t="s">
        <v>2473</v>
      </c>
      <c r="F1908" s="215">
        <v>6</v>
      </c>
      <c r="G1908" s="194">
        <v>3.5</v>
      </c>
      <c r="H1908" s="195">
        <v>21</v>
      </c>
      <c r="I1908" s="212" t="s">
        <v>2354</v>
      </c>
    </row>
    <row r="1909" spans="1:9" x14ac:dyDescent="0.25">
      <c r="A1909" s="193" t="s">
        <v>220</v>
      </c>
      <c r="B1909" s="193" t="s">
        <v>2351</v>
      </c>
      <c r="C1909" s="214" t="s">
        <v>4415</v>
      </c>
      <c r="D1909" s="193" t="s">
        <v>4416</v>
      </c>
      <c r="E1909" s="212" t="s">
        <v>545</v>
      </c>
      <c r="F1909" s="215">
        <v>9</v>
      </c>
      <c r="G1909" s="194">
        <v>2.3380714285714284</v>
      </c>
      <c r="H1909" s="195">
        <v>21.042642857142855</v>
      </c>
      <c r="I1909" s="212" t="s">
        <v>2354</v>
      </c>
    </row>
    <row r="1910" spans="1:9" x14ac:dyDescent="0.25">
      <c r="A1910" s="193" t="s">
        <v>220</v>
      </c>
      <c r="B1910" s="193" t="s">
        <v>2351</v>
      </c>
      <c r="C1910" s="214" t="s">
        <v>4846</v>
      </c>
      <c r="D1910" s="193" t="s">
        <v>4847</v>
      </c>
      <c r="E1910" s="212" t="s">
        <v>545</v>
      </c>
      <c r="F1910" s="215">
        <v>310</v>
      </c>
      <c r="G1910" s="194">
        <v>6.8000000000000005E-2</v>
      </c>
      <c r="H1910" s="195">
        <v>21.080000000000002</v>
      </c>
      <c r="I1910" s="212" t="s">
        <v>2354</v>
      </c>
    </row>
    <row r="1911" spans="1:9" x14ac:dyDescent="0.25">
      <c r="A1911" s="193" t="s">
        <v>220</v>
      </c>
      <c r="B1911" s="193" t="s">
        <v>2351</v>
      </c>
      <c r="C1911" s="214" t="s">
        <v>5394</v>
      </c>
      <c r="D1911" s="193" t="s">
        <v>5395</v>
      </c>
      <c r="E1911" s="212" t="s">
        <v>545</v>
      </c>
      <c r="F1911" s="215">
        <v>5</v>
      </c>
      <c r="G1911" s="194">
        <v>4.2229999999999999</v>
      </c>
      <c r="H1911" s="195">
        <v>21.114999999999998</v>
      </c>
      <c r="I1911" s="212" t="s">
        <v>2354</v>
      </c>
    </row>
    <row r="1912" spans="1:9" x14ac:dyDescent="0.25">
      <c r="A1912" s="193" t="s">
        <v>220</v>
      </c>
      <c r="B1912" s="193" t="s">
        <v>5430</v>
      </c>
      <c r="C1912" s="214" t="s">
        <v>4490</v>
      </c>
      <c r="D1912" s="193" t="s">
        <v>4491</v>
      </c>
      <c r="E1912" s="212" t="s">
        <v>545</v>
      </c>
      <c r="F1912" s="215">
        <v>28</v>
      </c>
      <c r="G1912" s="194">
        <v>0.75768000000000002</v>
      </c>
      <c r="H1912" s="195">
        <v>21.215040000000002</v>
      </c>
      <c r="I1912" s="212" t="s">
        <v>2354</v>
      </c>
    </row>
    <row r="1913" spans="1:9" x14ac:dyDescent="0.25">
      <c r="A1913" s="193" t="s">
        <v>220</v>
      </c>
      <c r="B1913" s="193" t="s">
        <v>2351</v>
      </c>
      <c r="C1913" s="214" t="s">
        <v>4137</v>
      </c>
      <c r="D1913" s="193" t="s">
        <v>4138</v>
      </c>
      <c r="E1913" s="212" t="s">
        <v>545</v>
      </c>
      <c r="F1913" s="215">
        <v>22</v>
      </c>
      <c r="G1913" s="194">
        <v>0.96711999999999987</v>
      </c>
      <c r="H1913" s="195">
        <v>21.276639999999997</v>
      </c>
      <c r="I1913" s="212" t="s">
        <v>2354</v>
      </c>
    </row>
    <row r="1914" spans="1:9" x14ac:dyDescent="0.25">
      <c r="A1914" s="193" t="s">
        <v>220</v>
      </c>
      <c r="B1914" s="193" t="s">
        <v>2351</v>
      </c>
      <c r="C1914" s="214" t="s">
        <v>3671</v>
      </c>
      <c r="D1914" s="193" t="s">
        <v>3672</v>
      </c>
      <c r="E1914" s="212" t="s">
        <v>545</v>
      </c>
      <c r="F1914" s="215">
        <v>2</v>
      </c>
      <c r="G1914" s="194">
        <v>10.659000000000001</v>
      </c>
      <c r="H1914" s="195">
        <v>21.318000000000001</v>
      </c>
      <c r="I1914" s="212" t="s">
        <v>2354</v>
      </c>
    </row>
    <row r="1915" spans="1:9" x14ac:dyDescent="0.25">
      <c r="A1915" s="193" t="s">
        <v>220</v>
      </c>
      <c r="B1915" s="193" t="s">
        <v>2351</v>
      </c>
      <c r="C1915" s="214" t="s">
        <v>4987</v>
      </c>
      <c r="D1915" s="193" t="s">
        <v>4988</v>
      </c>
      <c r="E1915" s="212" t="s">
        <v>545</v>
      </c>
      <c r="F1915" s="215">
        <v>410</v>
      </c>
      <c r="G1915" s="194">
        <v>5.1999999999999998E-2</v>
      </c>
      <c r="H1915" s="195">
        <v>21.32</v>
      </c>
      <c r="I1915" s="212" t="s">
        <v>2354</v>
      </c>
    </row>
    <row r="1916" spans="1:9" x14ac:dyDescent="0.25">
      <c r="A1916" s="193" t="s">
        <v>220</v>
      </c>
      <c r="B1916" s="193" t="s">
        <v>2351</v>
      </c>
      <c r="C1916" s="214" t="s">
        <v>3217</v>
      </c>
      <c r="D1916" s="193" t="s">
        <v>3218</v>
      </c>
      <c r="E1916" s="212" t="s">
        <v>545</v>
      </c>
      <c r="F1916" s="215">
        <v>24</v>
      </c>
      <c r="G1916" s="194">
        <v>0.89190000000000003</v>
      </c>
      <c r="H1916" s="195">
        <v>21.4056</v>
      </c>
      <c r="I1916" s="212" t="s">
        <v>2354</v>
      </c>
    </row>
    <row r="1917" spans="1:9" x14ac:dyDescent="0.25">
      <c r="A1917" s="193" t="s">
        <v>220</v>
      </c>
      <c r="B1917" s="193" t="s">
        <v>5430</v>
      </c>
      <c r="C1917" s="214" t="s">
        <v>6466</v>
      </c>
      <c r="D1917" s="193" t="s">
        <v>6467</v>
      </c>
      <c r="E1917" s="212" t="s">
        <v>545</v>
      </c>
      <c r="F1917" s="215">
        <v>8</v>
      </c>
      <c r="G1917" s="194">
        <v>2.6775000000000002</v>
      </c>
      <c r="H1917" s="195">
        <v>21.42</v>
      </c>
      <c r="I1917" s="212" t="s">
        <v>2354</v>
      </c>
    </row>
    <row r="1918" spans="1:9" x14ac:dyDescent="0.25">
      <c r="A1918" s="193" t="s">
        <v>220</v>
      </c>
      <c r="B1918" s="193" t="s">
        <v>5430</v>
      </c>
      <c r="C1918" s="214" t="s">
        <v>4371</v>
      </c>
      <c r="D1918" s="193" t="s">
        <v>4372</v>
      </c>
      <c r="E1918" s="212" t="s">
        <v>545</v>
      </c>
      <c r="F1918" s="215">
        <v>10</v>
      </c>
      <c r="G1918" s="194">
        <v>2.15</v>
      </c>
      <c r="H1918" s="195">
        <v>21.5</v>
      </c>
      <c r="I1918" s="212" t="s">
        <v>2354</v>
      </c>
    </row>
    <row r="1919" spans="1:9" x14ac:dyDescent="0.25">
      <c r="A1919" s="193" t="s">
        <v>220</v>
      </c>
      <c r="B1919" s="193" t="s">
        <v>5430</v>
      </c>
      <c r="C1919" s="214" t="s">
        <v>4203</v>
      </c>
      <c r="D1919" s="193" t="s">
        <v>4204</v>
      </c>
      <c r="E1919" s="212" t="s">
        <v>545</v>
      </c>
      <c r="F1919" s="215">
        <v>4</v>
      </c>
      <c r="G1919" s="194">
        <v>5.4135</v>
      </c>
      <c r="H1919" s="195">
        <v>21.654</v>
      </c>
      <c r="I1919" s="212" t="s">
        <v>2354</v>
      </c>
    </row>
    <row r="1920" spans="1:9" x14ac:dyDescent="0.25">
      <c r="A1920" s="193" t="s">
        <v>220</v>
      </c>
      <c r="B1920" s="193" t="s">
        <v>2351</v>
      </c>
      <c r="C1920" s="214" t="s">
        <v>3693</v>
      </c>
      <c r="D1920" s="193" t="s">
        <v>3694</v>
      </c>
      <c r="E1920" s="212" t="s">
        <v>545</v>
      </c>
      <c r="F1920" s="215">
        <v>8</v>
      </c>
      <c r="G1920" s="194">
        <v>2.7130000000000001</v>
      </c>
      <c r="H1920" s="195">
        <v>21.704000000000001</v>
      </c>
      <c r="I1920" s="212" t="s">
        <v>2354</v>
      </c>
    </row>
    <row r="1921" spans="1:9" x14ac:dyDescent="0.25">
      <c r="A1921" s="193" t="s">
        <v>220</v>
      </c>
      <c r="B1921" s="193" t="s">
        <v>5430</v>
      </c>
      <c r="C1921" s="214" t="s">
        <v>5731</v>
      </c>
      <c r="D1921" s="193" t="s">
        <v>5732</v>
      </c>
      <c r="E1921" s="212" t="s">
        <v>545</v>
      </c>
      <c r="F1921" s="215">
        <v>1</v>
      </c>
      <c r="G1921" s="194">
        <v>21.790800000000001</v>
      </c>
      <c r="H1921" s="195">
        <v>21.790800000000001</v>
      </c>
      <c r="I1921" s="212" t="s">
        <v>2354</v>
      </c>
    </row>
    <row r="1922" spans="1:9" x14ac:dyDescent="0.25">
      <c r="A1922" s="193" t="s">
        <v>220</v>
      </c>
      <c r="B1922" s="193" t="s">
        <v>5430</v>
      </c>
      <c r="C1922" s="214" t="s">
        <v>7189</v>
      </c>
      <c r="D1922" s="193" t="s">
        <v>5061</v>
      </c>
      <c r="E1922" s="212" t="s">
        <v>545</v>
      </c>
      <c r="F1922" s="215">
        <v>10</v>
      </c>
      <c r="G1922" s="194">
        <v>2.1949999999999998</v>
      </c>
      <c r="H1922" s="195">
        <v>21.95</v>
      </c>
      <c r="I1922" s="212" t="s">
        <v>2354</v>
      </c>
    </row>
    <row r="1923" spans="1:9" x14ac:dyDescent="0.25">
      <c r="A1923" s="193" t="s">
        <v>220</v>
      </c>
      <c r="B1923" s="193" t="s">
        <v>2351</v>
      </c>
      <c r="C1923" s="214" t="s">
        <v>4808</v>
      </c>
      <c r="D1923" s="193" t="s">
        <v>4809</v>
      </c>
      <c r="E1923" s="212" t="s">
        <v>545</v>
      </c>
      <c r="F1923" s="215">
        <v>120</v>
      </c>
      <c r="G1923" s="194">
        <v>0.183</v>
      </c>
      <c r="H1923" s="195">
        <v>21.96</v>
      </c>
      <c r="I1923" s="212" t="s">
        <v>2354</v>
      </c>
    </row>
    <row r="1924" spans="1:9" x14ac:dyDescent="0.25">
      <c r="A1924" s="193" t="s">
        <v>220</v>
      </c>
      <c r="B1924" s="193" t="s">
        <v>5430</v>
      </c>
      <c r="C1924" s="214" t="s">
        <v>7150</v>
      </c>
      <c r="D1924" s="193" t="s">
        <v>7151</v>
      </c>
      <c r="E1924" s="212" t="s">
        <v>545</v>
      </c>
      <c r="F1924" s="215">
        <v>1</v>
      </c>
      <c r="G1924" s="194">
        <v>21.978000000000002</v>
      </c>
      <c r="H1924" s="195">
        <v>21.978000000000002</v>
      </c>
      <c r="I1924" s="212" t="s">
        <v>2354</v>
      </c>
    </row>
    <row r="1925" spans="1:9" x14ac:dyDescent="0.25">
      <c r="A1925" s="193" t="s">
        <v>220</v>
      </c>
      <c r="B1925" s="193" t="s">
        <v>5430</v>
      </c>
      <c r="C1925" s="214" t="s">
        <v>7109</v>
      </c>
      <c r="D1925" s="193" t="s">
        <v>7110</v>
      </c>
      <c r="E1925" s="212" t="s">
        <v>545</v>
      </c>
      <c r="F1925" s="215">
        <v>75</v>
      </c>
      <c r="G1925" s="194">
        <v>0.29325000000000001</v>
      </c>
      <c r="H1925" s="195">
        <v>21.993750000000002</v>
      </c>
      <c r="I1925" s="212" t="s">
        <v>2354</v>
      </c>
    </row>
    <row r="1926" spans="1:9" x14ac:dyDescent="0.25">
      <c r="A1926" s="193" t="s">
        <v>220</v>
      </c>
      <c r="B1926" s="193" t="s">
        <v>2351</v>
      </c>
      <c r="C1926" s="214" t="s">
        <v>2417</v>
      </c>
      <c r="D1926" s="193" t="s">
        <v>2439</v>
      </c>
      <c r="E1926" s="212" t="s">
        <v>545</v>
      </c>
      <c r="F1926" s="215">
        <v>10</v>
      </c>
      <c r="G1926" s="194">
        <v>2.2000000000000002</v>
      </c>
      <c r="H1926" s="195">
        <v>22</v>
      </c>
      <c r="I1926" s="212" t="s">
        <v>2354</v>
      </c>
    </row>
    <row r="1927" spans="1:9" x14ac:dyDescent="0.25">
      <c r="A1927" s="193" t="s">
        <v>220</v>
      </c>
      <c r="B1927" s="193" t="s">
        <v>2351</v>
      </c>
      <c r="C1927" s="214" t="s">
        <v>3503</v>
      </c>
      <c r="D1927" s="193" t="s">
        <v>3504</v>
      </c>
      <c r="E1927" s="212" t="s">
        <v>545</v>
      </c>
      <c r="F1927" s="215">
        <v>9</v>
      </c>
      <c r="G1927" s="194">
        <v>2.448</v>
      </c>
      <c r="H1927" s="195">
        <v>22.032</v>
      </c>
      <c r="I1927" s="212" t="s">
        <v>2354</v>
      </c>
    </row>
    <row r="1928" spans="1:9" x14ac:dyDescent="0.25">
      <c r="A1928" s="193" t="s">
        <v>220</v>
      </c>
      <c r="B1928" s="193" t="s">
        <v>2351</v>
      </c>
      <c r="C1928" s="214" t="s">
        <v>4239</v>
      </c>
      <c r="D1928" s="193" t="s">
        <v>4240</v>
      </c>
      <c r="E1928" s="212" t="s">
        <v>545</v>
      </c>
      <c r="F1928" s="215">
        <v>1</v>
      </c>
      <c r="G1928" s="194">
        <v>22.1464</v>
      </c>
      <c r="H1928" s="195">
        <v>22.1464</v>
      </c>
      <c r="I1928" s="212" t="s">
        <v>2354</v>
      </c>
    </row>
    <row r="1929" spans="1:9" x14ac:dyDescent="0.25">
      <c r="A1929" s="193" t="s">
        <v>220</v>
      </c>
      <c r="B1929" s="193" t="s">
        <v>2351</v>
      </c>
      <c r="C1929" s="214" t="s">
        <v>3741</v>
      </c>
      <c r="D1929" s="193" t="s">
        <v>3742</v>
      </c>
      <c r="E1929" s="212" t="s">
        <v>545</v>
      </c>
      <c r="F1929" s="215">
        <v>9</v>
      </c>
      <c r="G1929" s="194">
        <v>2.4782999999999999</v>
      </c>
      <c r="H1929" s="195">
        <v>22.3047</v>
      </c>
      <c r="I1929" s="212" t="s">
        <v>2354</v>
      </c>
    </row>
    <row r="1930" spans="1:9" x14ac:dyDescent="0.25">
      <c r="A1930" s="193" t="s">
        <v>220</v>
      </c>
      <c r="B1930" s="193" t="s">
        <v>2351</v>
      </c>
      <c r="C1930" s="214" t="s">
        <v>3225</v>
      </c>
      <c r="D1930" s="193" t="s">
        <v>3226</v>
      </c>
      <c r="E1930" s="212" t="s">
        <v>545</v>
      </c>
      <c r="F1930" s="215">
        <v>17</v>
      </c>
      <c r="G1930" s="194">
        <v>1.3130999999999999</v>
      </c>
      <c r="H1930" s="195">
        <v>22.322699999999998</v>
      </c>
      <c r="I1930" s="212" t="s">
        <v>2354</v>
      </c>
    </row>
    <row r="1931" spans="1:9" x14ac:dyDescent="0.25">
      <c r="A1931" s="193" t="s">
        <v>220</v>
      </c>
      <c r="B1931" s="193" t="s">
        <v>5430</v>
      </c>
      <c r="C1931" s="214" t="s">
        <v>7023</v>
      </c>
      <c r="D1931" s="193" t="s">
        <v>7024</v>
      </c>
      <c r="E1931" s="212" t="s">
        <v>545</v>
      </c>
      <c r="F1931" s="215">
        <v>2</v>
      </c>
      <c r="G1931" s="194">
        <v>11.183999999999999</v>
      </c>
      <c r="H1931" s="195">
        <v>22.367999999999999</v>
      </c>
      <c r="I1931" s="212" t="s">
        <v>2354</v>
      </c>
    </row>
    <row r="1932" spans="1:9" x14ac:dyDescent="0.25">
      <c r="A1932" s="193" t="s">
        <v>220</v>
      </c>
      <c r="B1932" s="193" t="s">
        <v>5430</v>
      </c>
      <c r="C1932" s="214" t="s">
        <v>4967</v>
      </c>
      <c r="D1932" s="193" t="s">
        <v>4968</v>
      </c>
      <c r="E1932" s="212" t="s">
        <v>545</v>
      </c>
      <c r="F1932" s="215">
        <v>5</v>
      </c>
      <c r="G1932" s="194">
        <v>4.4850000000000003</v>
      </c>
      <c r="H1932" s="195">
        <v>22.425000000000001</v>
      </c>
      <c r="I1932" s="212" t="s">
        <v>2354</v>
      </c>
    </row>
    <row r="1933" spans="1:9" x14ac:dyDescent="0.25">
      <c r="A1933" s="193" t="s">
        <v>220</v>
      </c>
      <c r="B1933" s="193" t="s">
        <v>5430</v>
      </c>
      <c r="C1933" s="214" t="s">
        <v>7168</v>
      </c>
      <c r="D1933" s="193" t="s">
        <v>7169</v>
      </c>
      <c r="E1933" s="212" t="s">
        <v>545</v>
      </c>
      <c r="F1933" s="215">
        <v>36</v>
      </c>
      <c r="G1933" s="194">
        <v>0.62390000000000001</v>
      </c>
      <c r="H1933" s="195">
        <v>22.4604</v>
      </c>
      <c r="I1933" s="212" t="s">
        <v>2354</v>
      </c>
    </row>
    <row r="1934" spans="1:9" x14ac:dyDescent="0.25">
      <c r="A1934" s="193" t="s">
        <v>220</v>
      </c>
      <c r="B1934" s="193" t="s">
        <v>2351</v>
      </c>
      <c r="C1934" s="214" t="s">
        <v>4648</v>
      </c>
      <c r="D1934" s="193" t="s">
        <v>4649</v>
      </c>
      <c r="E1934" s="212" t="s">
        <v>545</v>
      </c>
      <c r="F1934" s="215">
        <v>180</v>
      </c>
      <c r="G1934" s="194">
        <v>0.125</v>
      </c>
      <c r="H1934" s="195">
        <v>22.5</v>
      </c>
      <c r="I1934" s="212" t="s">
        <v>2354</v>
      </c>
    </row>
    <row r="1935" spans="1:9" x14ac:dyDescent="0.25">
      <c r="A1935" s="193" t="s">
        <v>220</v>
      </c>
      <c r="B1935" s="193" t="s">
        <v>2351</v>
      </c>
      <c r="C1935" s="214" t="s">
        <v>4802</v>
      </c>
      <c r="D1935" s="193" t="s">
        <v>4803</v>
      </c>
      <c r="E1935" s="212" t="s">
        <v>545</v>
      </c>
      <c r="F1935" s="215">
        <v>450</v>
      </c>
      <c r="G1935" s="194">
        <v>0.05</v>
      </c>
      <c r="H1935" s="195">
        <v>22.5</v>
      </c>
      <c r="I1935" s="212" t="s">
        <v>2354</v>
      </c>
    </row>
    <row r="1936" spans="1:9" x14ac:dyDescent="0.25">
      <c r="A1936" s="193" t="s">
        <v>220</v>
      </c>
      <c r="B1936" s="193" t="s">
        <v>2351</v>
      </c>
      <c r="C1936" s="214" t="s">
        <v>4814</v>
      </c>
      <c r="D1936" s="193" t="s">
        <v>4815</v>
      </c>
      <c r="E1936" s="212" t="s">
        <v>545</v>
      </c>
      <c r="F1936" s="215">
        <v>140</v>
      </c>
      <c r="G1936" s="194">
        <v>0.16076999999999997</v>
      </c>
      <c r="H1936" s="195">
        <v>22.507799999999996</v>
      </c>
      <c r="I1936" s="212" t="s">
        <v>2354</v>
      </c>
    </row>
    <row r="1937" spans="1:9" x14ac:dyDescent="0.25">
      <c r="A1937" s="193" t="s">
        <v>220</v>
      </c>
      <c r="B1937" s="193" t="s">
        <v>2351</v>
      </c>
      <c r="C1937" s="214" t="s">
        <v>3645</v>
      </c>
      <c r="D1937" s="193" t="s">
        <v>3646</v>
      </c>
      <c r="E1937" s="212" t="s">
        <v>545</v>
      </c>
      <c r="F1937" s="215">
        <v>5</v>
      </c>
      <c r="G1937" s="194">
        <v>4.5022500000000001</v>
      </c>
      <c r="H1937" s="195">
        <v>22.51125</v>
      </c>
      <c r="I1937" s="212" t="s">
        <v>2354</v>
      </c>
    </row>
    <row r="1938" spans="1:9" x14ac:dyDescent="0.25">
      <c r="A1938" s="193" t="s">
        <v>220</v>
      </c>
      <c r="B1938" s="193" t="s">
        <v>2351</v>
      </c>
      <c r="C1938" s="214" t="s">
        <v>3191</v>
      </c>
      <c r="D1938" s="193" t="s">
        <v>3192</v>
      </c>
      <c r="E1938" s="212" t="s">
        <v>545</v>
      </c>
      <c r="F1938" s="215">
        <v>10</v>
      </c>
      <c r="G1938" s="194">
        <v>2.2610000000000001</v>
      </c>
      <c r="H1938" s="195">
        <v>22.61</v>
      </c>
      <c r="I1938" s="212" t="s">
        <v>2354</v>
      </c>
    </row>
    <row r="1939" spans="1:9" x14ac:dyDescent="0.25">
      <c r="A1939" s="193" t="s">
        <v>220</v>
      </c>
      <c r="B1939" s="193" t="s">
        <v>2351</v>
      </c>
      <c r="C1939" s="214" t="s">
        <v>5052</v>
      </c>
      <c r="D1939" s="193" t="s">
        <v>5053</v>
      </c>
      <c r="E1939" s="212" t="s">
        <v>545</v>
      </c>
      <c r="F1939" s="215">
        <v>45</v>
      </c>
      <c r="G1939" s="194">
        <v>0.50349999999999995</v>
      </c>
      <c r="H1939" s="195">
        <v>22.657499999999999</v>
      </c>
      <c r="I1939" s="212" t="s">
        <v>2354</v>
      </c>
    </row>
    <row r="1940" spans="1:9" x14ac:dyDescent="0.25">
      <c r="A1940" s="193" t="s">
        <v>220</v>
      </c>
      <c r="B1940" s="193" t="s">
        <v>5430</v>
      </c>
      <c r="C1940" s="214"/>
      <c r="D1940" s="193" t="s">
        <v>5468</v>
      </c>
      <c r="E1940" s="212" t="s">
        <v>2387</v>
      </c>
      <c r="F1940" s="215">
        <v>10</v>
      </c>
      <c r="G1940" s="194">
        <v>2.2701799999999999</v>
      </c>
      <c r="H1940" s="195">
        <v>22.701799999999999</v>
      </c>
      <c r="I1940" s="212" t="s">
        <v>2354</v>
      </c>
    </row>
    <row r="1941" spans="1:9" x14ac:dyDescent="0.25">
      <c r="A1941" s="193" t="s">
        <v>220</v>
      </c>
      <c r="B1941" s="193" t="s">
        <v>5430</v>
      </c>
      <c r="C1941" s="214"/>
      <c r="D1941" s="193" t="s">
        <v>5469</v>
      </c>
      <c r="E1941" s="212" t="s">
        <v>2387</v>
      </c>
      <c r="F1941" s="215">
        <v>10</v>
      </c>
      <c r="G1941" s="194">
        <v>2.2701799999999999</v>
      </c>
      <c r="H1941" s="195">
        <v>22.701799999999999</v>
      </c>
      <c r="I1941" s="212" t="s">
        <v>2354</v>
      </c>
    </row>
    <row r="1942" spans="1:9" x14ac:dyDescent="0.25">
      <c r="A1942" s="193" t="s">
        <v>220</v>
      </c>
      <c r="B1942" s="193" t="s">
        <v>2351</v>
      </c>
      <c r="C1942" s="214" t="s">
        <v>4947</v>
      </c>
      <c r="D1942" s="193" t="s">
        <v>4948</v>
      </c>
      <c r="E1942" s="212" t="s">
        <v>545</v>
      </c>
      <c r="F1942" s="215">
        <v>285</v>
      </c>
      <c r="G1942" s="194">
        <v>0.08</v>
      </c>
      <c r="H1942" s="195">
        <v>22.8</v>
      </c>
      <c r="I1942" s="212" t="s">
        <v>2354</v>
      </c>
    </row>
    <row r="1943" spans="1:9" x14ac:dyDescent="0.25">
      <c r="A1943" s="193" t="s">
        <v>220</v>
      </c>
      <c r="B1943" s="193" t="s">
        <v>5430</v>
      </c>
      <c r="C1943" s="214" t="s">
        <v>6706</v>
      </c>
      <c r="D1943" s="193" t="s">
        <v>6707</v>
      </c>
      <c r="E1943" s="212" t="s">
        <v>545</v>
      </c>
      <c r="F1943" s="215">
        <v>3</v>
      </c>
      <c r="G1943" s="194">
        <v>7.6049499999999997</v>
      </c>
      <c r="H1943" s="195">
        <v>22.81485</v>
      </c>
      <c r="I1943" s="212" t="s">
        <v>2354</v>
      </c>
    </row>
    <row r="1944" spans="1:9" x14ac:dyDescent="0.25">
      <c r="A1944" s="193" t="s">
        <v>220</v>
      </c>
      <c r="B1944" s="193" t="s">
        <v>2351</v>
      </c>
      <c r="C1944" s="214" t="s">
        <v>4732</v>
      </c>
      <c r="D1944" s="193" t="s">
        <v>4733</v>
      </c>
      <c r="E1944" s="212" t="s">
        <v>545</v>
      </c>
      <c r="F1944" s="215">
        <v>168</v>
      </c>
      <c r="G1944" s="194">
        <v>0.13600000000000001</v>
      </c>
      <c r="H1944" s="195">
        <v>22.848000000000003</v>
      </c>
      <c r="I1944" s="212" t="s">
        <v>2354</v>
      </c>
    </row>
    <row r="1945" spans="1:9" x14ac:dyDescent="0.25">
      <c r="A1945" s="193" t="s">
        <v>220</v>
      </c>
      <c r="B1945" s="193" t="s">
        <v>5430</v>
      </c>
      <c r="C1945" s="214" t="s">
        <v>6607</v>
      </c>
      <c r="D1945" s="193" t="s">
        <v>6608</v>
      </c>
      <c r="E1945" s="212" t="s">
        <v>2387</v>
      </c>
      <c r="F1945" s="215">
        <v>10</v>
      </c>
      <c r="G1945" s="194">
        <v>2.2949999999999999</v>
      </c>
      <c r="H1945" s="195">
        <v>22.95</v>
      </c>
      <c r="I1945" s="212" t="s">
        <v>2354</v>
      </c>
    </row>
    <row r="1946" spans="1:9" x14ac:dyDescent="0.25">
      <c r="A1946" s="193" t="s">
        <v>220</v>
      </c>
      <c r="B1946" s="193" t="s">
        <v>2351</v>
      </c>
      <c r="C1946" s="214" t="s">
        <v>4357</v>
      </c>
      <c r="D1946" s="193" t="s">
        <v>4358</v>
      </c>
      <c r="E1946" s="212" t="s">
        <v>545</v>
      </c>
      <c r="F1946" s="215">
        <v>6</v>
      </c>
      <c r="G1946" s="194">
        <v>3.8250000000000002</v>
      </c>
      <c r="H1946" s="195">
        <v>22.950000000000003</v>
      </c>
      <c r="I1946" s="212" t="s">
        <v>2354</v>
      </c>
    </row>
    <row r="1947" spans="1:9" x14ac:dyDescent="0.25">
      <c r="A1947" s="193" t="s">
        <v>220</v>
      </c>
      <c r="B1947" s="193" t="s">
        <v>5430</v>
      </c>
      <c r="C1947" s="214" t="s">
        <v>6551</v>
      </c>
      <c r="D1947" s="193" t="s">
        <v>6552</v>
      </c>
      <c r="E1947" s="212" t="s">
        <v>545</v>
      </c>
      <c r="F1947" s="215">
        <v>3</v>
      </c>
      <c r="G1947" s="194">
        <v>7.65</v>
      </c>
      <c r="H1947" s="195">
        <v>22.950000000000003</v>
      </c>
      <c r="I1947" s="212" t="s">
        <v>2354</v>
      </c>
    </row>
    <row r="1948" spans="1:9" x14ac:dyDescent="0.25">
      <c r="A1948" s="193" t="s">
        <v>220</v>
      </c>
      <c r="B1948" s="193" t="s">
        <v>2351</v>
      </c>
      <c r="C1948" s="214" t="s">
        <v>4403</v>
      </c>
      <c r="D1948" s="193" t="s">
        <v>4404</v>
      </c>
      <c r="E1948" s="212" t="s">
        <v>545</v>
      </c>
      <c r="F1948" s="215">
        <v>25</v>
      </c>
      <c r="G1948" s="194">
        <v>0.91877982456140361</v>
      </c>
      <c r="H1948" s="195">
        <v>22.96949561403509</v>
      </c>
      <c r="I1948" s="212" t="s">
        <v>2354</v>
      </c>
    </row>
    <row r="1949" spans="1:9" x14ac:dyDescent="0.25">
      <c r="A1949" s="193" t="s">
        <v>220</v>
      </c>
      <c r="B1949" s="193" t="s">
        <v>2351</v>
      </c>
      <c r="C1949" s="214" t="s">
        <v>3491</v>
      </c>
      <c r="D1949" s="193" t="s">
        <v>3492</v>
      </c>
      <c r="E1949" s="212" t="s">
        <v>545</v>
      </c>
      <c r="F1949" s="215">
        <v>2</v>
      </c>
      <c r="G1949" s="194">
        <v>11.490237762237765</v>
      </c>
      <c r="H1949" s="195">
        <v>22.98047552447553</v>
      </c>
      <c r="I1949" s="212" t="s">
        <v>2354</v>
      </c>
    </row>
    <row r="1950" spans="1:9" x14ac:dyDescent="0.25">
      <c r="A1950" s="193" t="s">
        <v>220</v>
      </c>
      <c r="B1950" s="193" t="s">
        <v>2351</v>
      </c>
      <c r="C1950" s="214" t="s">
        <v>4425</v>
      </c>
      <c r="D1950" s="193" t="s">
        <v>2402</v>
      </c>
      <c r="E1950" s="212" t="s">
        <v>545</v>
      </c>
      <c r="F1950" s="215">
        <v>10</v>
      </c>
      <c r="G1950" s="194">
        <v>2.2999999999999998</v>
      </c>
      <c r="H1950" s="195">
        <v>23</v>
      </c>
      <c r="I1950" s="212" t="s">
        <v>2354</v>
      </c>
    </row>
    <row r="1951" spans="1:9" x14ac:dyDescent="0.25">
      <c r="A1951" s="193" t="s">
        <v>220</v>
      </c>
      <c r="B1951" s="193" t="s">
        <v>5430</v>
      </c>
      <c r="C1951" s="214" t="s">
        <v>3641</v>
      </c>
      <c r="D1951" s="193" t="s">
        <v>3642</v>
      </c>
      <c r="E1951" s="212" t="s">
        <v>545</v>
      </c>
      <c r="F1951" s="215">
        <v>8</v>
      </c>
      <c r="G1951" s="194">
        <v>2.8834363636363638</v>
      </c>
      <c r="H1951" s="195">
        <v>23.06749090909091</v>
      </c>
      <c r="I1951" s="212" t="s">
        <v>2354</v>
      </c>
    </row>
    <row r="1952" spans="1:9" x14ac:dyDescent="0.25">
      <c r="A1952" s="193" t="s">
        <v>220</v>
      </c>
      <c r="B1952" s="193" t="s">
        <v>2351</v>
      </c>
      <c r="C1952" s="214" t="s">
        <v>4103</v>
      </c>
      <c r="D1952" s="193" t="s">
        <v>4104</v>
      </c>
      <c r="E1952" s="212" t="s">
        <v>545</v>
      </c>
      <c r="F1952" s="215">
        <v>2</v>
      </c>
      <c r="G1952" s="194">
        <v>11.548999999999999</v>
      </c>
      <c r="H1952" s="195">
        <v>23.097999999999999</v>
      </c>
      <c r="I1952" s="212" t="s">
        <v>2354</v>
      </c>
    </row>
    <row r="1953" spans="1:9" x14ac:dyDescent="0.25">
      <c r="A1953" s="193" t="s">
        <v>220</v>
      </c>
      <c r="B1953" s="193" t="s">
        <v>5430</v>
      </c>
      <c r="C1953" s="214" t="s">
        <v>6148</v>
      </c>
      <c r="D1953" s="193" t="s">
        <v>6149</v>
      </c>
      <c r="E1953" s="212" t="s">
        <v>545</v>
      </c>
      <c r="F1953" s="215">
        <v>1</v>
      </c>
      <c r="G1953" s="194">
        <v>23.105999999999998</v>
      </c>
      <c r="H1953" s="195">
        <v>23.105999999999998</v>
      </c>
      <c r="I1953" s="212" t="s">
        <v>2354</v>
      </c>
    </row>
    <row r="1954" spans="1:9" x14ac:dyDescent="0.25">
      <c r="A1954" s="193" t="s">
        <v>220</v>
      </c>
      <c r="B1954" s="193" t="s">
        <v>2351</v>
      </c>
      <c r="C1954" s="214" t="s">
        <v>4977</v>
      </c>
      <c r="D1954" s="193" t="s">
        <v>4978</v>
      </c>
      <c r="E1954" s="212" t="s">
        <v>545</v>
      </c>
      <c r="F1954" s="215">
        <v>542</v>
      </c>
      <c r="G1954" s="194">
        <v>4.2750000000000003E-2</v>
      </c>
      <c r="H1954" s="195">
        <v>23.170500000000001</v>
      </c>
      <c r="I1954" s="212" t="s">
        <v>2354</v>
      </c>
    </row>
    <row r="1955" spans="1:9" x14ac:dyDescent="0.25">
      <c r="A1955" s="193" t="s">
        <v>220</v>
      </c>
      <c r="B1955" s="193" t="s">
        <v>5430</v>
      </c>
      <c r="C1955" s="214" t="s">
        <v>7216</v>
      </c>
      <c r="D1955" s="193" t="s">
        <v>7217</v>
      </c>
      <c r="E1955" s="212" t="s">
        <v>545</v>
      </c>
      <c r="F1955" s="215">
        <v>80</v>
      </c>
      <c r="G1955" s="194">
        <v>0.28999999999999998</v>
      </c>
      <c r="H1955" s="195">
        <v>23.2</v>
      </c>
      <c r="I1955" s="212" t="s">
        <v>2354</v>
      </c>
    </row>
    <row r="1956" spans="1:9" x14ac:dyDescent="0.25">
      <c r="A1956" s="193" t="s">
        <v>220</v>
      </c>
      <c r="B1956" s="193" t="s">
        <v>2351</v>
      </c>
      <c r="C1956" s="214" t="s">
        <v>3251</v>
      </c>
      <c r="D1956" s="193" t="s">
        <v>3252</v>
      </c>
      <c r="E1956" s="212" t="s">
        <v>545</v>
      </c>
      <c r="F1956" s="215">
        <v>7</v>
      </c>
      <c r="G1956" s="194">
        <v>3.3184</v>
      </c>
      <c r="H1956" s="195">
        <v>23.2288</v>
      </c>
      <c r="I1956" s="212" t="s">
        <v>2354</v>
      </c>
    </row>
    <row r="1957" spans="1:9" x14ac:dyDescent="0.25">
      <c r="A1957" s="193" t="s">
        <v>220</v>
      </c>
      <c r="B1957" s="193" t="s">
        <v>2351</v>
      </c>
      <c r="C1957" s="214" t="s">
        <v>3479</v>
      </c>
      <c r="D1957" s="193" t="s">
        <v>3480</v>
      </c>
      <c r="E1957" s="212" t="s">
        <v>545</v>
      </c>
      <c r="F1957" s="215">
        <v>9</v>
      </c>
      <c r="G1957" s="194">
        <v>2.5865999999999998</v>
      </c>
      <c r="H1957" s="195">
        <v>23.279399999999999</v>
      </c>
      <c r="I1957" s="212" t="s">
        <v>2354</v>
      </c>
    </row>
    <row r="1958" spans="1:9" x14ac:dyDescent="0.25">
      <c r="A1958" s="193" t="s">
        <v>220</v>
      </c>
      <c r="B1958" s="193" t="s">
        <v>5430</v>
      </c>
      <c r="C1958" s="214" t="s">
        <v>6322</v>
      </c>
      <c r="D1958" s="193" t="s">
        <v>3308</v>
      </c>
      <c r="E1958" s="212" t="s">
        <v>545</v>
      </c>
      <c r="F1958" s="215">
        <v>5</v>
      </c>
      <c r="G1958" s="194">
        <v>4.6580000000000004</v>
      </c>
      <c r="H1958" s="195">
        <v>23.290000000000003</v>
      </c>
      <c r="I1958" s="212" t="s">
        <v>2354</v>
      </c>
    </row>
    <row r="1959" spans="1:9" x14ac:dyDescent="0.25">
      <c r="A1959" s="193" t="s">
        <v>220</v>
      </c>
      <c r="B1959" s="193" t="s">
        <v>5430</v>
      </c>
      <c r="C1959" s="214" t="s">
        <v>6634</v>
      </c>
      <c r="D1959" s="193" t="s">
        <v>6635</v>
      </c>
      <c r="E1959" s="212" t="s">
        <v>545</v>
      </c>
      <c r="F1959" s="215">
        <v>2</v>
      </c>
      <c r="G1959" s="194">
        <v>11.6478</v>
      </c>
      <c r="H1959" s="195">
        <v>23.2956</v>
      </c>
      <c r="I1959" s="212" t="s">
        <v>2354</v>
      </c>
    </row>
    <row r="1960" spans="1:9" x14ac:dyDescent="0.25">
      <c r="A1960" s="193" t="s">
        <v>220</v>
      </c>
      <c r="B1960" s="193" t="s">
        <v>2351</v>
      </c>
      <c r="C1960" s="214" t="s">
        <v>4381</v>
      </c>
      <c r="D1960" s="193" t="s">
        <v>4382</v>
      </c>
      <c r="E1960" s="212" t="s">
        <v>545</v>
      </c>
      <c r="F1960" s="215">
        <v>2</v>
      </c>
      <c r="G1960" s="194">
        <v>11.684100000000001</v>
      </c>
      <c r="H1960" s="195">
        <v>23.368200000000002</v>
      </c>
      <c r="I1960" s="212" t="s">
        <v>2354</v>
      </c>
    </row>
    <row r="1961" spans="1:9" x14ac:dyDescent="0.25">
      <c r="A1961" s="193" t="s">
        <v>220</v>
      </c>
      <c r="B1961" s="193" t="s">
        <v>5430</v>
      </c>
      <c r="C1961" s="214" t="s">
        <v>6501</v>
      </c>
      <c r="D1961" s="193" t="s">
        <v>6502</v>
      </c>
      <c r="E1961" s="212" t="s">
        <v>545</v>
      </c>
      <c r="F1961" s="215">
        <v>1</v>
      </c>
      <c r="G1961" s="194">
        <v>23.387</v>
      </c>
      <c r="H1961" s="195">
        <v>23.387</v>
      </c>
      <c r="I1961" s="212" t="s">
        <v>2354</v>
      </c>
    </row>
    <row r="1962" spans="1:9" x14ac:dyDescent="0.25">
      <c r="A1962" s="193" t="s">
        <v>220</v>
      </c>
      <c r="B1962" s="193" t="s">
        <v>2351</v>
      </c>
      <c r="C1962" s="214" t="s">
        <v>4588</v>
      </c>
      <c r="D1962" s="193" t="s">
        <v>4589</v>
      </c>
      <c r="E1962" s="212" t="s">
        <v>545</v>
      </c>
      <c r="F1962" s="215">
        <v>40</v>
      </c>
      <c r="G1962" s="194">
        <v>0.58499999999999996</v>
      </c>
      <c r="H1962" s="195">
        <v>23.4</v>
      </c>
      <c r="I1962" s="212" t="s">
        <v>2354</v>
      </c>
    </row>
    <row r="1963" spans="1:9" x14ac:dyDescent="0.25">
      <c r="A1963" s="193" t="s">
        <v>220</v>
      </c>
      <c r="B1963" s="193" t="s">
        <v>5430</v>
      </c>
      <c r="C1963" s="214" t="s">
        <v>4588</v>
      </c>
      <c r="D1963" s="193" t="s">
        <v>4589</v>
      </c>
      <c r="E1963" s="212" t="s">
        <v>545</v>
      </c>
      <c r="F1963" s="215">
        <v>40</v>
      </c>
      <c r="G1963" s="194">
        <v>0.58499999999999996</v>
      </c>
      <c r="H1963" s="195">
        <v>23.4</v>
      </c>
      <c r="I1963" s="212" t="s">
        <v>2354</v>
      </c>
    </row>
    <row r="1964" spans="1:9" x14ac:dyDescent="0.25">
      <c r="A1964" s="193" t="s">
        <v>220</v>
      </c>
      <c r="B1964" s="193" t="s">
        <v>2351</v>
      </c>
      <c r="C1964" s="214" t="s">
        <v>4862</v>
      </c>
      <c r="D1964" s="193" t="s">
        <v>4841</v>
      </c>
      <c r="E1964" s="212" t="s">
        <v>545</v>
      </c>
      <c r="F1964" s="215">
        <v>120</v>
      </c>
      <c r="G1964" s="194">
        <v>0.19515999999999997</v>
      </c>
      <c r="H1964" s="195">
        <v>23.419199999999996</v>
      </c>
      <c r="I1964" s="212" t="s">
        <v>2354</v>
      </c>
    </row>
    <row r="1965" spans="1:9" x14ac:dyDescent="0.25">
      <c r="A1965" s="193" t="s">
        <v>220</v>
      </c>
      <c r="B1965" s="193" t="s">
        <v>2351</v>
      </c>
      <c r="C1965" s="214" t="s">
        <v>3253</v>
      </c>
      <c r="D1965" s="193" t="s">
        <v>3254</v>
      </c>
      <c r="E1965" s="212" t="s">
        <v>545</v>
      </c>
      <c r="F1965" s="215">
        <v>40</v>
      </c>
      <c r="G1965" s="194">
        <v>0.58650000000000002</v>
      </c>
      <c r="H1965" s="195">
        <v>23.46</v>
      </c>
      <c r="I1965" s="212" t="s">
        <v>2354</v>
      </c>
    </row>
    <row r="1966" spans="1:9" x14ac:dyDescent="0.25">
      <c r="A1966" s="193" t="s">
        <v>220</v>
      </c>
      <c r="B1966" s="193" t="s">
        <v>5430</v>
      </c>
      <c r="C1966" s="214" t="s">
        <v>5789</v>
      </c>
      <c r="D1966" s="193" t="s">
        <v>5790</v>
      </c>
      <c r="E1966" s="212" t="s">
        <v>545</v>
      </c>
      <c r="F1966" s="215">
        <v>1</v>
      </c>
      <c r="G1966" s="194">
        <v>23.5</v>
      </c>
      <c r="H1966" s="195">
        <v>23.5</v>
      </c>
      <c r="I1966" s="212" t="s">
        <v>2354</v>
      </c>
    </row>
    <row r="1967" spans="1:9" x14ac:dyDescent="0.25">
      <c r="A1967" s="193" t="s">
        <v>220</v>
      </c>
      <c r="B1967" s="193" t="s">
        <v>2351</v>
      </c>
      <c r="C1967" s="214" t="s">
        <v>4838</v>
      </c>
      <c r="D1967" s="193" t="s">
        <v>4839</v>
      </c>
      <c r="E1967" s="212" t="s">
        <v>545</v>
      </c>
      <c r="F1967" s="215">
        <v>35</v>
      </c>
      <c r="G1967" s="194">
        <v>0.68090066225165569</v>
      </c>
      <c r="H1967" s="195">
        <v>23.831523178807949</v>
      </c>
      <c r="I1967" s="212" t="s">
        <v>2354</v>
      </c>
    </row>
    <row r="1968" spans="1:9" x14ac:dyDescent="0.25">
      <c r="A1968" s="193" t="s">
        <v>220</v>
      </c>
      <c r="B1968" s="193" t="s">
        <v>5430</v>
      </c>
      <c r="C1968" s="214" t="s">
        <v>7204</v>
      </c>
      <c r="D1968" s="193" t="s">
        <v>7205</v>
      </c>
      <c r="E1968" s="212" t="s">
        <v>545</v>
      </c>
      <c r="F1968" s="215">
        <v>56</v>
      </c>
      <c r="G1968" s="194">
        <v>0.42626999999999998</v>
      </c>
      <c r="H1968" s="195">
        <v>23.871119999999998</v>
      </c>
      <c r="I1968" s="212" t="s">
        <v>2354</v>
      </c>
    </row>
    <row r="1969" spans="1:9" x14ac:dyDescent="0.25">
      <c r="A1969" s="193" t="s">
        <v>220</v>
      </c>
      <c r="B1969" s="193" t="s">
        <v>5430</v>
      </c>
      <c r="C1969" s="214" t="s">
        <v>3273</v>
      </c>
      <c r="D1969" s="193" t="s">
        <v>3274</v>
      </c>
      <c r="E1969" s="212" t="s">
        <v>545</v>
      </c>
      <c r="F1969" s="215">
        <v>4</v>
      </c>
      <c r="G1969" s="194">
        <v>5.9912121212121212</v>
      </c>
      <c r="H1969" s="195">
        <v>23.964848484848485</v>
      </c>
      <c r="I1969" s="212" t="s">
        <v>2354</v>
      </c>
    </row>
    <row r="1970" spans="1:9" x14ac:dyDescent="0.25">
      <c r="A1970" s="193" t="s">
        <v>220</v>
      </c>
      <c r="B1970" s="193" t="s">
        <v>2351</v>
      </c>
      <c r="C1970" s="214"/>
      <c r="D1970" s="193" t="s">
        <v>2400</v>
      </c>
      <c r="E1970" s="212" t="s">
        <v>545</v>
      </c>
      <c r="F1970" s="215">
        <v>50</v>
      </c>
      <c r="G1970" s="194">
        <v>0.48</v>
      </c>
      <c r="H1970" s="195">
        <v>24</v>
      </c>
      <c r="I1970" s="212" t="s">
        <v>2354</v>
      </c>
    </row>
    <row r="1971" spans="1:9" x14ac:dyDescent="0.25">
      <c r="A1971" s="193" t="s">
        <v>220</v>
      </c>
      <c r="B1971" s="193" t="s">
        <v>5430</v>
      </c>
      <c r="C1971" s="214" t="s">
        <v>7152</v>
      </c>
      <c r="D1971" s="193" t="s">
        <v>7153</v>
      </c>
      <c r="E1971" s="212" t="s">
        <v>545</v>
      </c>
      <c r="F1971" s="215">
        <v>140</v>
      </c>
      <c r="G1971" s="194">
        <v>0.17196</v>
      </c>
      <c r="H1971" s="195">
        <v>24.074400000000001</v>
      </c>
      <c r="I1971" s="212" t="s">
        <v>2354</v>
      </c>
    </row>
    <row r="1972" spans="1:9" x14ac:dyDescent="0.25">
      <c r="A1972" s="193" t="s">
        <v>220</v>
      </c>
      <c r="B1972" s="193" t="s">
        <v>2351</v>
      </c>
      <c r="C1972" s="214" t="s">
        <v>4762</v>
      </c>
      <c r="D1972" s="193" t="s">
        <v>4763</v>
      </c>
      <c r="E1972" s="212" t="s">
        <v>545</v>
      </c>
      <c r="F1972" s="215">
        <v>25</v>
      </c>
      <c r="G1972" s="194">
        <v>0.96389999999999998</v>
      </c>
      <c r="H1972" s="195">
        <v>24.0975</v>
      </c>
      <c r="I1972" s="212" t="s">
        <v>2354</v>
      </c>
    </row>
    <row r="1973" spans="1:9" x14ac:dyDescent="0.25">
      <c r="A1973" s="193" t="s">
        <v>220</v>
      </c>
      <c r="B1973" s="193" t="s">
        <v>5430</v>
      </c>
      <c r="C1973" s="214" t="s">
        <v>7077</v>
      </c>
      <c r="D1973" s="193" t="s">
        <v>7078</v>
      </c>
      <c r="E1973" s="212" t="s">
        <v>2387</v>
      </c>
      <c r="F1973" s="215">
        <v>10</v>
      </c>
      <c r="G1973" s="194">
        <v>2.4300000000000002</v>
      </c>
      <c r="H1973" s="195">
        <v>24.3</v>
      </c>
      <c r="I1973" s="212" t="s">
        <v>2354</v>
      </c>
    </row>
    <row r="1974" spans="1:9" x14ac:dyDescent="0.25">
      <c r="A1974" s="193" t="s">
        <v>220</v>
      </c>
      <c r="B1974" s="193" t="s">
        <v>5430</v>
      </c>
      <c r="C1974" s="214" t="s">
        <v>3165</v>
      </c>
      <c r="D1974" s="193" t="s">
        <v>3166</v>
      </c>
      <c r="E1974" s="212" t="s">
        <v>1894</v>
      </c>
      <c r="F1974" s="215">
        <v>36</v>
      </c>
      <c r="G1974" s="194">
        <v>0.67500000000000004</v>
      </c>
      <c r="H1974" s="195">
        <v>24.3</v>
      </c>
      <c r="I1974" s="212" t="s">
        <v>2354</v>
      </c>
    </row>
    <row r="1975" spans="1:9" x14ac:dyDescent="0.25">
      <c r="A1975" s="193" t="s">
        <v>220</v>
      </c>
      <c r="B1975" s="193" t="s">
        <v>5430</v>
      </c>
      <c r="C1975" s="214" t="s">
        <v>7079</v>
      </c>
      <c r="D1975" s="193" t="s">
        <v>7080</v>
      </c>
      <c r="E1975" s="212" t="s">
        <v>545</v>
      </c>
      <c r="F1975" s="215">
        <v>1</v>
      </c>
      <c r="G1975" s="194">
        <v>24.40062857142857</v>
      </c>
      <c r="H1975" s="195">
        <v>24.40062857142857</v>
      </c>
      <c r="I1975" s="212" t="s">
        <v>2354</v>
      </c>
    </row>
    <row r="1976" spans="1:9" x14ac:dyDescent="0.25">
      <c r="A1976" s="193" t="s">
        <v>220</v>
      </c>
      <c r="B1976" s="193" t="s">
        <v>2351</v>
      </c>
      <c r="C1976" s="214" t="s">
        <v>3493</v>
      </c>
      <c r="D1976" s="193" t="s">
        <v>3494</v>
      </c>
      <c r="E1976" s="212" t="s">
        <v>545</v>
      </c>
      <c r="F1976" s="215">
        <v>1</v>
      </c>
      <c r="G1976" s="194">
        <v>24.4375</v>
      </c>
      <c r="H1976" s="195">
        <v>24.4375</v>
      </c>
      <c r="I1976" s="212" t="s">
        <v>2354</v>
      </c>
    </row>
    <row r="1977" spans="1:9" x14ac:dyDescent="0.25">
      <c r="A1977" s="193" t="s">
        <v>220</v>
      </c>
      <c r="B1977" s="193" t="s">
        <v>5430</v>
      </c>
      <c r="C1977" s="214" t="s">
        <v>3503</v>
      </c>
      <c r="D1977" s="193" t="s">
        <v>3504</v>
      </c>
      <c r="E1977" s="212" t="s">
        <v>545</v>
      </c>
      <c r="F1977" s="215">
        <v>10</v>
      </c>
      <c r="G1977" s="194">
        <v>2.448</v>
      </c>
      <c r="H1977" s="195">
        <v>24.48</v>
      </c>
      <c r="I1977" s="212" t="s">
        <v>2354</v>
      </c>
    </row>
    <row r="1978" spans="1:9" x14ac:dyDescent="0.25">
      <c r="A1978" s="193" t="s">
        <v>220</v>
      </c>
      <c r="B1978" s="193" t="s">
        <v>2351</v>
      </c>
      <c r="C1978" s="214" t="s">
        <v>4149</v>
      </c>
      <c r="D1978" s="193" t="s">
        <v>4150</v>
      </c>
      <c r="E1978" s="212" t="s">
        <v>545</v>
      </c>
      <c r="F1978" s="215">
        <v>22</v>
      </c>
      <c r="G1978" s="194">
        <v>1.116077922077922</v>
      </c>
      <c r="H1978" s="195">
        <v>24.553714285714285</v>
      </c>
      <c r="I1978" s="212" t="s">
        <v>2354</v>
      </c>
    </row>
    <row r="1979" spans="1:9" x14ac:dyDescent="0.25">
      <c r="A1979" s="193" t="s">
        <v>220</v>
      </c>
      <c r="B1979" s="193" t="s">
        <v>5430</v>
      </c>
      <c r="C1979" s="214" t="s">
        <v>4836</v>
      </c>
      <c r="D1979" s="193" t="s">
        <v>4837</v>
      </c>
      <c r="E1979" s="212" t="s">
        <v>545</v>
      </c>
      <c r="F1979" s="215">
        <v>42</v>
      </c>
      <c r="G1979" s="194">
        <v>0.58602392565597661</v>
      </c>
      <c r="H1979" s="195">
        <v>24.613004877551017</v>
      </c>
      <c r="I1979" s="212" t="s">
        <v>2354</v>
      </c>
    </row>
    <row r="1980" spans="1:9" x14ac:dyDescent="0.25">
      <c r="A1980" s="193" t="s">
        <v>220</v>
      </c>
      <c r="B1980" s="193" t="s">
        <v>2351</v>
      </c>
      <c r="C1980" s="214" t="s">
        <v>2880</v>
      </c>
      <c r="D1980" s="193" t="s">
        <v>2881</v>
      </c>
      <c r="E1980" s="212" t="s">
        <v>545</v>
      </c>
      <c r="F1980" s="215">
        <v>5</v>
      </c>
      <c r="G1980" s="194">
        <v>4.923</v>
      </c>
      <c r="H1980" s="195">
        <v>24.615000000000002</v>
      </c>
      <c r="I1980" s="212" t="s">
        <v>2354</v>
      </c>
    </row>
    <row r="1981" spans="1:9" x14ac:dyDescent="0.25">
      <c r="A1981" s="193" t="s">
        <v>220</v>
      </c>
      <c r="B1981" s="193" t="s">
        <v>2351</v>
      </c>
      <c r="C1981" s="214" t="s">
        <v>3449</v>
      </c>
      <c r="D1981" s="193" t="s">
        <v>3450</v>
      </c>
      <c r="E1981" s="212" t="s">
        <v>2387</v>
      </c>
      <c r="F1981" s="215">
        <v>8</v>
      </c>
      <c r="G1981" s="194">
        <v>3.0779999999999998</v>
      </c>
      <c r="H1981" s="195">
        <v>24.623999999999999</v>
      </c>
      <c r="I1981" s="212" t="s">
        <v>2354</v>
      </c>
    </row>
    <row r="1982" spans="1:9" x14ac:dyDescent="0.25">
      <c r="A1982" s="193" t="s">
        <v>220</v>
      </c>
      <c r="B1982" s="193" t="s">
        <v>2351</v>
      </c>
      <c r="C1982" s="214" t="s">
        <v>3531</v>
      </c>
      <c r="D1982" s="193" t="s">
        <v>3532</v>
      </c>
      <c r="E1982" s="212" t="s">
        <v>545</v>
      </c>
      <c r="F1982" s="215">
        <v>39</v>
      </c>
      <c r="G1982" s="194">
        <v>0.63154999999999994</v>
      </c>
      <c r="H1982" s="195">
        <v>24.630449999999996</v>
      </c>
      <c r="I1982" s="212" t="s">
        <v>2354</v>
      </c>
    </row>
    <row r="1983" spans="1:9" x14ac:dyDescent="0.25">
      <c r="A1983" s="193" t="s">
        <v>220</v>
      </c>
      <c r="B1983" s="193" t="s">
        <v>2351</v>
      </c>
      <c r="C1983" s="214" t="s">
        <v>4379</v>
      </c>
      <c r="D1983" s="193" t="s">
        <v>4380</v>
      </c>
      <c r="E1983" s="212" t="s">
        <v>545</v>
      </c>
      <c r="F1983" s="215">
        <v>3</v>
      </c>
      <c r="G1983" s="194">
        <v>8.2176739999999988</v>
      </c>
      <c r="H1983" s="195">
        <v>24.653021999999996</v>
      </c>
      <c r="I1983" s="212" t="s">
        <v>2354</v>
      </c>
    </row>
    <row r="1984" spans="1:9" x14ac:dyDescent="0.25">
      <c r="A1984" s="193" t="s">
        <v>220</v>
      </c>
      <c r="B1984" s="193" t="s">
        <v>5430</v>
      </c>
      <c r="C1984" s="214" t="s">
        <v>6583</v>
      </c>
      <c r="D1984" s="193" t="s">
        <v>6584</v>
      </c>
      <c r="E1984" s="212" t="s">
        <v>545</v>
      </c>
      <c r="F1984" s="215">
        <v>7</v>
      </c>
      <c r="G1984" s="194">
        <v>3.5274999999999999</v>
      </c>
      <c r="H1984" s="195">
        <v>24.692499999999999</v>
      </c>
      <c r="I1984" s="212" t="s">
        <v>2354</v>
      </c>
    </row>
    <row r="1985" spans="1:9" x14ac:dyDescent="0.25">
      <c r="A1985" s="193" t="s">
        <v>220</v>
      </c>
      <c r="B1985" s="193" t="s">
        <v>2351</v>
      </c>
      <c r="C1985" s="214" t="s">
        <v>3517</v>
      </c>
      <c r="D1985" s="193" t="s">
        <v>3518</v>
      </c>
      <c r="E1985" s="212" t="s">
        <v>545</v>
      </c>
      <c r="F1985" s="215">
        <v>12</v>
      </c>
      <c r="G1985" s="194">
        <v>2.0655000000000001</v>
      </c>
      <c r="H1985" s="195">
        <v>24.786000000000001</v>
      </c>
      <c r="I1985" s="212" t="s">
        <v>2354</v>
      </c>
    </row>
    <row r="1986" spans="1:9" x14ac:dyDescent="0.25">
      <c r="A1986" s="193" t="s">
        <v>220</v>
      </c>
      <c r="B1986" s="193" t="s">
        <v>5430</v>
      </c>
      <c r="C1986" s="214" t="s">
        <v>6267</v>
      </c>
      <c r="D1986" s="193" t="s">
        <v>3206</v>
      </c>
      <c r="E1986" s="212" t="s">
        <v>545</v>
      </c>
      <c r="F1986" s="215">
        <v>23</v>
      </c>
      <c r="G1986" s="194">
        <v>1.08</v>
      </c>
      <c r="H1986" s="195">
        <v>24.840000000000003</v>
      </c>
      <c r="I1986" s="212" t="s">
        <v>2354</v>
      </c>
    </row>
    <row r="1987" spans="1:9" x14ac:dyDescent="0.25">
      <c r="A1987" s="193" t="s">
        <v>220</v>
      </c>
      <c r="B1987" s="193" t="s">
        <v>5430</v>
      </c>
      <c r="C1987" s="214" t="s">
        <v>5454</v>
      </c>
      <c r="D1987" s="193" t="s">
        <v>5455</v>
      </c>
      <c r="E1987" s="212" t="s">
        <v>545</v>
      </c>
      <c r="F1987" s="215">
        <v>2</v>
      </c>
      <c r="G1987" s="194">
        <v>12.456</v>
      </c>
      <c r="H1987" s="195">
        <v>24.911999999999999</v>
      </c>
      <c r="I1987" s="212" t="s">
        <v>2354</v>
      </c>
    </row>
    <row r="1988" spans="1:9" x14ac:dyDescent="0.25">
      <c r="A1988" s="193" t="s">
        <v>220</v>
      </c>
      <c r="B1988" s="193" t="s">
        <v>2351</v>
      </c>
      <c r="C1988" s="214" t="s">
        <v>2916</v>
      </c>
      <c r="D1988" s="193" t="s">
        <v>2917</v>
      </c>
      <c r="E1988" s="212" t="s">
        <v>545</v>
      </c>
      <c r="F1988" s="215">
        <v>2</v>
      </c>
      <c r="G1988" s="194">
        <v>12.473999999999998</v>
      </c>
      <c r="H1988" s="195">
        <v>24.947999999999997</v>
      </c>
      <c r="I1988" s="212" t="s">
        <v>2354</v>
      </c>
    </row>
    <row r="1989" spans="1:9" x14ac:dyDescent="0.25">
      <c r="A1989" s="193" t="s">
        <v>220</v>
      </c>
      <c r="B1989" s="193" t="s">
        <v>5430</v>
      </c>
      <c r="C1989" s="214" t="s">
        <v>3657</v>
      </c>
      <c r="D1989" s="193" t="s">
        <v>3658</v>
      </c>
      <c r="E1989" s="212" t="s">
        <v>545</v>
      </c>
      <c r="F1989" s="215">
        <v>4</v>
      </c>
      <c r="G1989" s="194">
        <v>6.2409999999999997</v>
      </c>
      <c r="H1989" s="195">
        <v>24.963999999999999</v>
      </c>
      <c r="I1989" s="212" t="s">
        <v>2354</v>
      </c>
    </row>
    <row r="1990" spans="1:9" x14ac:dyDescent="0.25">
      <c r="A1990" s="193" t="s">
        <v>220</v>
      </c>
      <c r="B1990" s="193" t="s">
        <v>5430</v>
      </c>
      <c r="C1990" s="214" t="s">
        <v>6821</v>
      </c>
      <c r="D1990" s="193" t="s">
        <v>6822</v>
      </c>
      <c r="E1990" s="212" t="s">
        <v>545</v>
      </c>
      <c r="F1990" s="215">
        <v>1</v>
      </c>
      <c r="G1990" s="194">
        <v>25.139600000000002</v>
      </c>
      <c r="H1990" s="195">
        <v>25.139600000000002</v>
      </c>
      <c r="I1990" s="212" t="s">
        <v>2354</v>
      </c>
    </row>
    <row r="1991" spans="1:9" x14ac:dyDescent="0.25">
      <c r="A1991" s="193" t="s">
        <v>220</v>
      </c>
      <c r="B1991" s="193" t="s">
        <v>2351</v>
      </c>
      <c r="C1991" s="214"/>
      <c r="D1991" s="193" t="s">
        <v>2359</v>
      </c>
      <c r="E1991" s="212" t="s">
        <v>545</v>
      </c>
      <c r="F1991" s="215">
        <v>4</v>
      </c>
      <c r="G1991" s="194">
        <v>6.2939999999999996</v>
      </c>
      <c r="H1991" s="195">
        <v>25.175999999999998</v>
      </c>
      <c r="I1991" s="212" t="s">
        <v>2354</v>
      </c>
    </row>
    <row r="1992" spans="1:9" x14ac:dyDescent="0.25">
      <c r="A1992" s="193" t="s">
        <v>220</v>
      </c>
      <c r="B1992" s="193" t="s">
        <v>5430</v>
      </c>
      <c r="C1992" s="214" t="s">
        <v>7172</v>
      </c>
      <c r="D1992" s="193" t="s">
        <v>7173</v>
      </c>
      <c r="E1992" s="212" t="s">
        <v>545</v>
      </c>
      <c r="F1992" s="215">
        <v>22</v>
      </c>
      <c r="G1992" s="194">
        <v>1.145</v>
      </c>
      <c r="H1992" s="195">
        <v>25.19</v>
      </c>
      <c r="I1992" s="212" t="s">
        <v>2354</v>
      </c>
    </row>
    <row r="1993" spans="1:9" x14ac:dyDescent="0.25">
      <c r="A1993" s="193" t="s">
        <v>220</v>
      </c>
      <c r="B1993" s="193" t="s">
        <v>2351</v>
      </c>
      <c r="C1993" s="214" t="s">
        <v>4273</v>
      </c>
      <c r="D1993" s="193" t="s">
        <v>4274</v>
      </c>
      <c r="E1993" s="212" t="s">
        <v>545</v>
      </c>
      <c r="F1993" s="215">
        <v>2</v>
      </c>
      <c r="G1993" s="194">
        <v>12.6</v>
      </c>
      <c r="H1993" s="195">
        <v>25.2</v>
      </c>
      <c r="I1993" s="212" t="s">
        <v>2354</v>
      </c>
    </row>
    <row r="1994" spans="1:9" x14ac:dyDescent="0.25">
      <c r="A1994" s="193" t="s">
        <v>220</v>
      </c>
      <c r="B1994" s="193" t="s">
        <v>5430</v>
      </c>
      <c r="C1994" s="214" t="s">
        <v>3939</v>
      </c>
      <c r="D1994" s="193" t="s">
        <v>3940</v>
      </c>
      <c r="E1994" s="212" t="s">
        <v>545</v>
      </c>
      <c r="F1994" s="215">
        <v>1</v>
      </c>
      <c r="G1994" s="194">
        <v>25.228000000000002</v>
      </c>
      <c r="H1994" s="195">
        <v>25.228000000000002</v>
      </c>
      <c r="I1994" s="212" t="s">
        <v>2354</v>
      </c>
    </row>
    <row r="1995" spans="1:9" x14ac:dyDescent="0.25">
      <c r="A1995" s="193" t="s">
        <v>220</v>
      </c>
      <c r="B1995" s="193" t="s">
        <v>5430</v>
      </c>
      <c r="C1995" s="214" t="s">
        <v>4925</v>
      </c>
      <c r="D1995" s="193" t="s">
        <v>4926</v>
      </c>
      <c r="E1995" s="212" t="s">
        <v>545</v>
      </c>
      <c r="F1995" s="215">
        <v>230</v>
      </c>
      <c r="G1995" s="194">
        <v>0.11</v>
      </c>
      <c r="H1995" s="195">
        <v>25.3</v>
      </c>
      <c r="I1995" s="212" t="s">
        <v>2354</v>
      </c>
    </row>
    <row r="1996" spans="1:9" x14ac:dyDescent="0.25">
      <c r="A1996" s="193" t="s">
        <v>220</v>
      </c>
      <c r="B1996" s="193" t="s">
        <v>2351</v>
      </c>
      <c r="C1996" s="214" t="s">
        <v>4682</v>
      </c>
      <c r="D1996" s="193" t="s">
        <v>4683</v>
      </c>
      <c r="E1996" s="212" t="s">
        <v>545</v>
      </c>
      <c r="F1996" s="215">
        <v>28</v>
      </c>
      <c r="G1996" s="194">
        <v>0.90400000000000003</v>
      </c>
      <c r="H1996" s="195">
        <v>25.312000000000001</v>
      </c>
      <c r="I1996" s="212" t="s">
        <v>2354</v>
      </c>
    </row>
    <row r="1997" spans="1:9" x14ac:dyDescent="0.25">
      <c r="A1997" s="193" t="s">
        <v>220</v>
      </c>
      <c r="B1997" s="193" t="s">
        <v>5430</v>
      </c>
      <c r="C1997" s="214" t="s">
        <v>6843</v>
      </c>
      <c r="D1997" s="193" t="s">
        <v>6844</v>
      </c>
      <c r="E1997" s="212" t="s">
        <v>545</v>
      </c>
      <c r="F1997" s="215">
        <v>4</v>
      </c>
      <c r="G1997" s="194">
        <v>6.3433333333333337</v>
      </c>
      <c r="H1997" s="195">
        <v>25.373333333333335</v>
      </c>
      <c r="I1997" s="212" t="s">
        <v>2354</v>
      </c>
    </row>
    <row r="1998" spans="1:9" x14ac:dyDescent="0.25">
      <c r="A1998" s="193" t="s">
        <v>220</v>
      </c>
      <c r="B1998" s="193" t="s">
        <v>2351</v>
      </c>
      <c r="C1998" s="214" t="s">
        <v>4448</v>
      </c>
      <c r="D1998" s="193" t="s">
        <v>4449</v>
      </c>
      <c r="E1998" s="212" t="s">
        <v>545</v>
      </c>
      <c r="F1998" s="215">
        <v>32</v>
      </c>
      <c r="G1998" s="194">
        <v>0.79300000000000004</v>
      </c>
      <c r="H1998" s="195">
        <v>25.376000000000001</v>
      </c>
      <c r="I1998" s="212" t="s">
        <v>2354</v>
      </c>
    </row>
    <row r="1999" spans="1:9" x14ac:dyDescent="0.25">
      <c r="A1999" s="193" t="s">
        <v>220</v>
      </c>
      <c r="B1999" s="193" t="s">
        <v>2351</v>
      </c>
      <c r="C1999" s="214" t="s">
        <v>4139</v>
      </c>
      <c r="D1999" s="193" t="s">
        <v>4140</v>
      </c>
      <c r="E1999" s="212" t="s">
        <v>545</v>
      </c>
      <c r="F1999" s="215">
        <v>17</v>
      </c>
      <c r="G1999" s="194">
        <v>1.4933333333333334</v>
      </c>
      <c r="H1999" s="195">
        <v>25.386666666666667</v>
      </c>
      <c r="I1999" s="212" t="s">
        <v>2354</v>
      </c>
    </row>
    <row r="2000" spans="1:9" x14ac:dyDescent="0.25">
      <c r="A2000" s="193" t="s">
        <v>220</v>
      </c>
      <c r="B2000" s="193" t="s">
        <v>5430</v>
      </c>
      <c r="C2000" s="214" t="s">
        <v>6383</v>
      </c>
      <c r="D2000" s="193" t="s">
        <v>6384</v>
      </c>
      <c r="E2000" s="212" t="s">
        <v>545</v>
      </c>
      <c r="F2000" s="215">
        <v>10</v>
      </c>
      <c r="G2000" s="194">
        <v>2.5451999999999999</v>
      </c>
      <c r="H2000" s="195">
        <v>25.451999999999998</v>
      </c>
      <c r="I2000" s="212" t="s">
        <v>2354</v>
      </c>
    </row>
    <row r="2001" spans="1:9" x14ac:dyDescent="0.25">
      <c r="A2001" s="193" t="s">
        <v>220</v>
      </c>
      <c r="B2001" s="193" t="s">
        <v>2351</v>
      </c>
      <c r="C2001" s="214" t="s">
        <v>5343</v>
      </c>
      <c r="D2001" s="193" t="s">
        <v>5344</v>
      </c>
      <c r="E2001" s="212" t="s">
        <v>545</v>
      </c>
      <c r="F2001" s="215">
        <v>1</v>
      </c>
      <c r="G2001" s="194">
        <v>25.4711</v>
      </c>
      <c r="H2001" s="195">
        <v>25.4711</v>
      </c>
      <c r="I2001" s="212" t="s">
        <v>2354</v>
      </c>
    </row>
    <row r="2002" spans="1:9" x14ac:dyDescent="0.25">
      <c r="A2002" s="193" t="s">
        <v>220</v>
      </c>
      <c r="B2002" s="193" t="s">
        <v>2351</v>
      </c>
      <c r="C2002" s="214" t="s">
        <v>5002</v>
      </c>
      <c r="D2002" s="193" t="s">
        <v>5003</v>
      </c>
      <c r="E2002" s="212" t="s">
        <v>545</v>
      </c>
      <c r="F2002" s="215">
        <v>150</v>
      </c>
      <c r="G2002" s="194">
        <v>0.17</v>
      </c>
      <c r="H2002" s="195">
        <v>25.500000000000004</v>
      </c>
      <c r="I2002" s="212" t="s">
        <v>2354</v>
      </c>
    </row>
    <row r="2003" spans="1:9" x14ac:dyDescent="0.25">
      <c r="A2003" s="193" t="s">
        <v>220</v>
      </c>
      <c r="B2003" s="193" t="s">
        <v>2351</v>
      </c>
      <c r="C2003" s="214" t="s">
        <v>4452</v>
      </c>
      <c r="D2003" s="193" t="s">
        <v>4453</v>
      </c>
      <c r="E2003" s="212" t="s">
        <v>545</v>
      </c>
      <c r="F2003" s="215">
        <v>35</v>
      </c>
      <c r="G2003" s="194">
        <v>0.73072999999999999</v>
      </c>
      <c r="H2003" s="195">
        <v>25.57555</v>
      </c>
      <c r="I2003" s="212" t="s">
        <v>2354</v>
      </c>
    </row>
    <row r="2004" spans="1:9" x14ac:dyDescent="0.25">
      <c r="A2004" s="193" t="s">
        <v>220</v>
      </c>
      <c r="B2004" s="193" t="s">
        <v>5430</v>
      </c>
      <c r="C2004" s="214" t="s">
        <v>5905</v>
      </c>
      <c r="D2004" s="193" t="s">
        <v>5906</v>
      </c>
      <c r="E2004" s="212" t="s">
        <v>545</v>
      </c>
      <c r="F2004" s="215">
        <v>4</v>
      </c>
      <c r="G2004" s="194">
        <v>6.4124999999999996</v>
      </c>
      <c r="H2004" s="195">
        <v>25.65</v>
      </c>
      <c r="I2004" s="212" t="s">
        <v>2354</v>
      </c>
    </row>
    <row r="2005" spans="1:9" x14ac:dyDescent="0.25">
      <c r="A2005" s="193" t="s">
        <v>220</v>
      </c>
      <c r="B2005" s="193" t="s">
        <v>5430</v>
      </c>
      <c r="C2005" s="214" t="s">
        <v>6863</v>
      </c>
      <c r="D2005" s="193" t="s">
        <v>6864</v>
      </c>
      <c r="E2005" s="212" t="s">
        <v>545</v>
      </c>
      <c r="F2005" s="215">
        <v>3</v>
      </c>
      <c r="G2005" s="194">
        <v>8.5500000000000007</v>
      </c>
      <c r="H2005" s="195">
        <v>25.650000000000002</v>
      </c>
      <c r="I2005" s="212" t="s">
        <v>2354</v>
      </c>
    </row>
    <row r="2006" spans="1:9" x14ac:dyDescent="0.25">
      <c r="A2006" s="193" t="s">
        <v>220</v>
      </c>
      <c r="B2006" s="193" t="s">
        <v>2351</v>
      </c>
      <c r="C2006" s="214" t="s">
        <v>4570</v>
      </c>
      <c r="D2006" s="193" t="s">
        <v>4571</v>
      </c>
      <c r="E2006" s="212" t="s">
        <v>545</v>
      </c>
      <c r="F2006" s="215">
        <v>2</v>
      </c>
      <c r="G2006" s="194">
        <v>12.852</v>
      </c>
      <c r="H2006" s="195">
        <v>25.704000000000001</v>
      </c>
      <c r="I2006" s="212" t="s">
        <v>2354</v>
      </c>
    </row>
    <row r="2007" spans="1:9" x14ac:dyDescent="0.25">
      <c r="A2007" s="193" t="s">
        <v>220</v>
      </c>
      <c r="B2007" s="193" t="s">
        <v>5430</v>
      </c>
      <c r="C2007" s="214" t="s">
        <v>6943</v>
      </c>
      <c r="D2007" s="193" t="s">
        <v>4344</v>
      </c>
      <c r="E2007" s="212" t="s">
        <v>545</v>
      </c>
      <c r="F2007" s="215">
        <v>16</v>
      </c>
      <c r="G2007" s="194">
        <v>1.615</v>
      </c>
      <c r="H2007" s="195">
        <v>25.84</v>
      </c>
      <c r="I2007" s="212" t="s">
        <v>2354</v>
      </c>
    </row>
    <row r="2008" spans="1:9" x14ac:dyDescent="0.25">
      <c r="A2008" s="193" t="s">
        <v>220</v>
      </c>
      <c r="B2008" s="193" t="s">
        <v>2351</v>
      </c>
      <c r="C2008" s="214" t="s">
        <v>5170</v>
      </c>
      <c r="D2008" s="193" t="s">
        <v>5171</v>
      </c>
      <c r="E2008" s="212" t="s">
        <v>545</v>
      </c>
      <c r="F2008" s="215">
        <v>3</v>
      </c>
      <c r="G2008" s="194">
        <v>8.6292000000000009</v>
      </c>
      <c r="H2008" s="195">
        <v>25.887600000000003</v>
      </c>
      <c r="I2008" s="212" t="s">
        <v>2354</v>
      </c>
    </row>
    <row r="2009" spans="1:9" x14ac:dyDescent="0.25">
      <c r="A2009" s="193" t="s">
        <v>220</v>
      </c>
      <c r="B2009" s="193" t="s">
        <v>5430</v>
      </c>
      <c r="C2009" s="214" t="s">
        <v>5376</v>
      </c>
      <c r="D2009" s="193" t="s">
        <v>5377</v>
      </c>
      <c r="E2009" s="212" t="s">
        <v>2387</v>
      </c>
      <c r="F2009" s="215">
        <v>19</v>
      </c>
      <c r="G2009" s="194">
        <v>1.3653</v>
      </c>
      <c r="H2009" s="195">
        <v>25.9407</v>
      </c>
      <c r="I2009" s="212" t="s">
        <v>2354</v>
      </c>
    </row>
    <row r="2010" spans="1:9" x14ac:dyDescent="0.25">
      <c r="A2010" s="193" t="s">
        <v>220</v>
      </c>
      <c r="B2010" s="193" t="s">
        <v>2351</v>
      </c>
      <c r="C2010" s="214" t="s">
        <v>3641</v>
      </c>
      <c r="D2010" s="193" t="s">
        <v>3642</v>
      </c>
      <c r="E2010" s="212" t="s">
        <v>545</v>
      </c>
      <c r="F2010" s="215">
        <v>9</v>
      </c>
      <c r="G2010" s="194">
        <v>2.8834363636363638</v>
      </c>
      <c r="H2010" s="195">
        <v>25.950927272727274</v>
      </c>
      <c r="I2010" s="212" t="s">
        <v>2354</v>
      </c>
    </row>
    <row r="2011" spans="1:9" x14ac:dyDescent="0.25">
      <c r="A2011" s="193" t="s">
        <v>220</v>
      </c>
      <c r="B2011" s="193" t="s">
        <v>2351</v>
      </c>
      <c r="C2011" s="214" t="s">
        <v>5216</v>
      </c>
      <c r="D2011" s="193" t="s">
        <v>5217</v>
      </c>
      <c r="E2011" s="212" t="s">
        <v>545</v>
      </c>
      <c r="F2011" s="215">
        <v>7</v>
      </c>
      <c r="G2011" s="194">
        <v>3.71</v>
      </c>
      <c r="H2011" s="195">
        <v>25.97</v>
      </c>
      <c r="I2011" s="212" t="s">
        <v>2354</v>
      </c>
    </row>
    <row r="2012" spans="1:9" x14ac:dyDescent="0.25">
      <c r="A2012" s="193" t="s">
        <v>220</v>
      </c>
      <c r="B2012" s="193" t="s">
        <v>5430</v>
      </c>
      <c r="C2012" s="214" t="s">
        <v>4969</v>
      </c>
      <c r="D2012" s="193" t="s">
        <v>4970</v>
      </c>
      <c r="E2012" s="212" t="s">
        <v>545</v>
      </c>
      <c r="F2012" s="215">
        <v>6</v>
      </c>
      <c r="G2012" s="194">
        <v>4.3360000000000003</v>
      </c>
      <c r="H2012" s="195">
        <v>26.016000000000002</v>
      </c>
      <c r="I2012" s="212" t="s">
        <v>2354</v>
      </c>
    </row>
    <row r="2013" spans="1:9" x14ac:dyDescent="0.25">
      <c r="A2013" s="193" t="s">
        <v>220</v>
      </c>
      <c r="B2013" s="193" t="s">
        <v>2351</v>
      </c>
      <c r="C2013" s="214" t="s">
        <v>4548</v>
      </c>
      <c r="D2013" s="193" t="s">
        <v>4549</v>
      </c>
      <c r="E2013" s="212" t="s">
        <v>545</v>
      </c>
      <c r="F2013" s="215">
        <v>22</v>
      </c>
      <c r="G2013" s="194">
        <v>1.1833238095238097</v>
      </c>
      <c r="H2013" s="195">
        <v>26.033123809523811</v>
      </c>
      <c r="I2013" s="212" t="s">
        <v>2354</v>
      </c>
    </row>
    <row r="2014" spans="1:9" x14ac:dyDescent="0.25">
      <c r="A2014" s="193" t="s">
        <v>220</v>
      </c>
      <c r="B2014" s="193" t="s">
        <v>2351</v>
      </c>
      <c r="C2014" s="214" t="s">
        <v>3395</v>
      </c>
      <c r="D2014" s="193" t="s">
        <v>3396</v>
      </c>
      <c r="E2014" s="212" t="s">
        <v>2473</v>
      </c>
      <c r="F2014" s="215">
        <v>8</v>
      </c>
      <c r="G2014" s="194">
        <v>3.2725</v>
      </c>
      <c r="H2014" s="195">
        <v>26.18</v>
      </c>
      <c r="I2014" s="212" t="s">
        <v>2354</v>
      </c>
    </row>
    <row r="2015" spans="1:9" x14ac:dyDescent="0.25">
      <c r="A2015" s="193" t="s">
        <v>220</v>
      </c>
      <c r="B2015" s="193" t="s">
        <v>2351</v>
      </c>
      <c r="C2015" s="214" t="s">
        <v>3705</v>
      </c>
      <c r="D2015" s="193" t="s">
        <v>3706</v>
      </c>
      <c r="E2015" s="212" t="s">
        <v>545</v>
      </c>
      <c r="F2015" s="215">
        <v>6</v>
      </c>
      <c r="G2015" s="194">
        <v>4.375</v>
      </c>
      <c r="H2015" s="195">
        <v>26.25</v>
      </c>
      <c r="I2015" s="212" t="s">
        <v>2354</v>
      </c>
    </row>
    <row r="2016" spans="1:9" x14ac:dyDescent="0.25">
      <c r="A2016" s="193" t="s">
        <v>220</v>
      </c>
      <c r="B2016" s="193" t="s">
        <v>5430</v>
      </c>
      <c r="C2016" s="214" t="s">
        <v>4648</v>
      </c>
      <c r="D2016" s="193" t="s">
        <v>4649</v>
      </c>
      <c r="E2016" s="212" t="s">
        <v>545</v>
      </c>
      <c r="F2016" s="215">
        <v>210</v>
      </c>
      <c r="G2016" s="194">
        <v>0.125</v>
      </c>
      <c r="H2016" s="195">
        <v>26.25</v>
      </c>
      <c r="I2016" s="212" t="s">
        <v>2354</v>
      </c>
    </row>
    <row r="2017" spans="1:9" x14ac:dyDescent="0.25">
      <c r="A2017" s="193" t="s">
        <v>220</v>
      </c>
      <c r="B2017" s="193" t="s">
        <v>2351</v>
      </c>
      <c r="C2017" s="214" t="s">
        <v>3263</v>
      </c>
      <c r="D2017" s="193" t="s">
        <v>3264</v>
      </c>
      <c r="E2017" s="212" t="s">
        <v>545</v>
      </c>
      <c r="F2017" s="215">
        <v>1</v>
      </c>
      <c r="G2017" s="194">
        <v>26.308</v>
      </c>
      <c r="H2017" s="195">
        <v>26.308</v>
      </c>
      <c r="I2017" s="212" t="s">
        <v>2354</v>
      </c>
    </row>
    <row r="2018" spans="1:9" x14ac:dyDescent="0.25">
      <c r="A2018" s="193" t="s">
        <v>220</v>
      </c>
      <c r="B2018" s="193" t="s">
        <v>2351</v>
      </c>
      <c r="C2018" s="214" t="s">
        <v>5166</v>
      </c>
      <c r="D2018" s="193" t="s">
        <v>5167</v>
      </c>
      <c r="E2018" s="212" t="s">
        <v>545</v>
      </c>
      <c r="F2018" s="215">
        <v>4</v>
      </c>
      <c r="G2018" s="194">
        <v>6.593</v>
      </c>
      <c r="H2018" s="195">
        <v>26.372</v>
      </c>
      <c r="I2018" s="212" t="s">
        <v>2354</v>
      </c>
    </row>
    <row r="2019" spans="1:9" x14ac:dyDescent="0.25">
      <c r="A2019" s="193" t="s">
        <v>220</v>
      </c>
      <c r="B2019" s="193" t="s">
        <v>5430</v>
      </c>
      <c r="C2019" s="214" t="s">
        <v>3279</v>
      </c>
      <c r="D2019" s="193" t="s">
        <v>3280</v>
      </c>
      <c r="E2019" s="212" t="s">
        <v>545</v>
      </c>
      <c r="F2019" s="215">
        <v>10</v>
      </c>
      <c r="G2019" s="194">
        <v>2.6389999999999998</v>
      </c>
      <c r="H2019" s="195">
        <v>26.389999999999997</v>
      </c>
      <c r="I2019" s="212" t="s">
        <v>2354</v>
      </c>
    </row>
    <row r="2020" spans="1:9" x14ac:dyDescent="0.25">
      <c r="A2020" s="193" t="s">
        <v>220</v>
      </c>
      <c r="B2020" s="193" t="s">
        <v>2351</v>
      </c>
      <c r="C2020" s="214" t="s">
        <v>2738</v>
      </c>
      <c r="D2020" s="193" t="s">
        <v>2739</v>
      </c>
      <c r="E2020" s="212" t="s">
        <v>545</v>
      </c>
      <c r="F2020" s="215">
        <v>1</v>
      </c>
      <c r="G2020" s="194">
        <v>26.3916</v>
      </c>
      <c r="H2020" s="195">
        <v>26.3916</v>
      </c>
      <c r="I2020" s="212" t="s">
        <v>2354</v>
      </c>
    </row>
    <row r="2021" spans="1:9" x14ac:dyDescent="0.25">
      <c r="A2021" s="193" t="s">
        <v>220</v>
      </c>
      <c r="B2021" s="193" t="s">
        <v>2351</v>
      </c>
      <c r="C2021" s="214" t="s">
        <v>4405</v>
      </c>
      <c r="D2021" s="193" t="s">
        <v>4406</v>
      </c>
      <c r="E2021" s="212" t="s">
        <v>545</v>
      </c>
      <c r="F2021" s="215">
        <v>23</v>
      </c>
      <c r="G2021" s="194">
        <v>1.1486666666666665</v>
      </c>
      <c r="H2021" s="195">
        <v>26.419333333333331</v>
      </c>
      <c r="I2021" s="212" t="s">
        <v>2354</v>
      </c>
    </row>
    <row r="2022" spans="1:9" x14ac:dyDescent="0.25">
      <c r="A2022" s="193" t="s">
        <v>220</v>
      </c>
      <c r="B2022" s="193" t="s">
        <v>2351</v>
      </c>
      <c r="C2022" s="214" t="s">
        <v>2634</v>
      </c>
      <c r="D2022" s="193" t="s">
        <v>2635</v>
      </c>
      <c r="E2022" s="212" t="s">
        <v>545</v>
      </c>
      <c r="F2022" s="215">
        <v>1</v>
      </c>
      <c r="G2022" s="194">
        <v>26.443999999999999</v>
      </c>
      <c r="H2022" s="195">
        <v>26.443999999999999</v>
      </c>
      <c r="I2022" s="212" t="s">
        <v>2354</v>
      </c>
    </row>
    <row r="2023" spans="1:9" x14ac:dyDescent="0.25">
      <c r="A2023" s="193" t="s">
        <v>220</v>
      </c>
      <c r="B2023" s="193" t="s">
        <v>5430</v>
      </c>
      <c r="C2023" s="214" t="s">
        <v>5092</v>
      </c>
      <c r="D2023" s="193" t="s">
        <v>5093</v>
      </c>
      <c r="E2023" s="212" t="s">
        <v>545</v>
      </c>
      <c r="F2023" s="215">
        <v>4</v>
      </c>
      <c r="G2023" s="194">
        <v>6.63</v>
      </c>
      <c r="H2023" s="195">
        <v>26.52</v>
      </c>
      <c r="I2023" s="212" t="s">
        <v>2354</v>
      </c>
    </row>
    <row r="2024" spans="1:9" x14ac:dyDescent="0.25">
      <c r="A2024" s="193" t="s">
        <v>220</v>
      </c>
      <c r="B2024" s="193" t="s">
        <v>2351</v>
      </c>
      <c r="C2024" s="214" t="s">
        <v>4377</v>
      </c>
      <c r="D2024" s="193" t="s">
        <v>4378</v>
      </c>
      <c r="E2024" s="212" t="s">
        <v>545</v>
      </c>
      <c r="F2024" s="215">
        <v>12</v>
      </c>
      <c r="G2024" s="194">
        <v>2.2103999999999999</v>
      </c>
      <c r="H2024" s="195">
        <v>26.524799999999999</v>
      </c>
      <c r="I2024" s="212" t="s">
        <v>2354</v>
      </c>
    </row>
    <row r="2025" spans="1:9" x14ac:dyDescent="0.25">
      <c r="A2025" s="193" t="s">
        <v>220</v>
      </c>
      <c r="B2025" s="193" t="s">
        <v>2351</v>
      </c>
      <c r="C2025" s="214" t="s">
        <v>4933</v>
      </c>
      <c r="D2025" s="193" t="s">
        <v>4934</v>
      </c>
      <c r="E2025" s="212" t="s">
        <v>545</v>
      </c>
      <c r="F2025" s="215">
        <v>369</v>
      </c>
      <c r="G2025" s="194">
        <v>7.1999999999999995E-2</v>
      </c>
      <c r="H2025" s="195">
        <v>26.567999999999998</v>
      </c>
      <c r="I2025" s="212" t="s">
        <v>2354</v>
      </c>
    </row>
    <row r="2026" spans="1:9" x14ac:dyDescent="0.25">
      <c r="A2026" s="193" t="s">
        <v>220</v>
      </c>
      <c r="B2026" s="193" t="s">
        <v>5430</v>
      </c>
      <c r="C2026" s="214" t="s">
        <v>4810</v>
      </c>
      <c r="D2026" s="193" t="s">
        <v>4811</v>
      </c>
      <c r="E2026" s="212" t="s">
        <v>545</v>
      </c>
      <c r="F2026" s="215">
        <v>140</v>
      </c>
      <c r="G2026" s="194">
        <v>0.19</v>
      </c>
      <c r="H2026" s="195">
        <v>26.6</v>
      </c>
      <c r="I2026" s="212" t="s">
        <v>2354</v>
      </c>
    </row>
    <row r="2027" spans="1:9" x14ac:dyDescent="0.25">
      <c r="A2027" s="193" t="s">
        <v>220</v>
      </c>
      <c r="B2027" s="193" t="s">
        <v>5430</v>
      </c>
      <c r="C2027" s="214" t="s">
        <v>4718</v>
      </c>
      <c r="D2027" s="193" t="s">
        <v>4719</v>
      </c>
      <c r="E2027" s="212" t="s">
        <v>545</v>
      </c>
      <c r="F2027" s="215">
        <v>52</v>
      </c>
      <c r="G2027" s="194">
        <v>0.51200000000000001</v>
      </c>
      <c r="H2027" s="195">
        <v>26.624000000000002</v>
      </c>
      <c r="I2027" s="212" t="s">
        <v>2354</v>
      </c>
    </row>
    <row r="2028" spans="1:9" x14ac:dyDescent="0.25">
      <c r="A2028" s="193" t="s">
        <v>220</v>
      </c>
      <c r="B2028" s="193" t="s">
        <v>5430</v>
      </c>
      <c r="C2028" s="214" t="s">
        <v>4927</v>
      </c>
      <c r="D2028" s="193" t="s">
        <v>4928</v>
      </c>
      <c r="E2028" s="212" t="s">
        <v>545</v>
      </c>
      <c r="F2028" s="215">
        <v>210</v>
      </c>
      <c r="G2028" s="194">
        <v>0.127</v>
      </c>
      <c r="H2028" s="195">
        <v>26.67</v>
      </c>
      <c r="I2028" s="212" t="s">
        <v>2354</v>
      </c>
    </row>
    <row r="2029" spans="1:9" x14ac:dyDescent="0.25">
      <c r="A2029" s="193" t="s">
        <v>220</v>
      </c>
      <c r="B2029" s="193" t="s">
        <v>2351</v>
      </c>
      <c r="C2029" s="214" t="s">
        <v>4169</v>
      </c>
      <c r="D2029" s="193" t="s">
        <v>4170</v>
      </c>
      <c r="E2029" s="212" t="s">
        <v>545</v>
      </c>
      <c r="F2029" s="215">
        <v>12</v>
      </c>
      <c r="G2029" s="194">
        <v>2.2328999999999999</v>
      </c>
      <c r="H2029" s="195">
        <v>26.794799999999999</v>
      </c>
      <c r="I2029" s="212" t="s">
        <v>2354</v>
      </c>
    </row>
    <row r="2030" spans="1:9" x14ac:dyDescent="0.25">
      <c r="A2030" s="193" t="s">
        <v>220</v>
      </c>
      <c r="B2030" s="193" t="s">
        <v>2351</v>
      </c>
      <c r="C2030" s="214" t="s">
        <v>4945</v>
      </c>
      <c r="D2030" s="193" t="s">
        <v>4946</v>
      </c>
      <c r="E2030" s="212" t="s">
        <v>545</v>
      </c>
      <c r="F2030" s="215">
        <v>160</v>
      </c>
      <c r="G2030" s="194">
        <v>0.16788</v>
      </c>
      <c r="H2030" s="195">
        <v>26.860800000000001</v>
      </c>
      <c r="I2030" s="212" t="s">
        <v>2354</v>
      </c>
    </row>
    <row r="2031" spans="1:9" x14ac:dyDescent="0.25">
      <c r="A2031" s="193" t="s">
        <v>220</v>
      </c>
      <c r="B2031" s="193" t="s">
        <v>2351</v>
      </c>
      <c r="C2031" s="214" t="s">
        <v>2774</v>
      </c>
      <c r="D2031" s="193" t="s">
        <v>2775</v>
      </c>
      <c r="E2031" s="212" t="s">
        <v>545</v>
      </c>
      <c r="F2031" s="215">
        <v>2</v>
      </c>
      <c r="G2031" s="194">
        <v>13.4361</v>
      </c>
      <c r="H2031" s="195">
        <v>26.872199999999999</v>
      </c>
      <c r="I2031" s="212" t="s">
        <v>2354</v>
      </c>
    </row>
    <row r="2032" spans="1:9" x14ac:dyDescent="0.25">
      <c r="A2032" s="193" t="s">
        <v>220</v>
      </c>
      <c r="B2032" s="193" t="s">
        <v>5430</v>
      </c>
      <c r="C2032" s="214" t="s">
        <v>2774</v>
      </c>
      <c r="D2032" s="193" t="s">
        <v>2775</v>
      </c>
      <c r="E2032" s="212" t="s">
        <v>545</v>
      </c>
      <c r="F2032" s="215">
        <v>2</v>
      </c>
      <c r="G2032" s="194">
        <v>13.4361</v>
      </c>
      <c r="H2032" s="195">
        <v>26.872199999999999</v>
      </c>
      <c r="I2032" s="212" t="s">
        <v>2354</v>
      </c>
    </row>
    <row r="2033" spans="1:9" x14ac:dyDescent="0.25">
      <c r="A2033" s="193" t="s">
        <v>220</v>
      </c>
      <c r="B2033" s="193" t="s">
        <v>5430</v>
      </c>
      <c r="C2033" s="214" t="s">
        <v>4963</v>
      </c>
      <c r="D2033" s="193" t="s">
        <v>4964</v>
      </c>
      <c r="E2033" s="212" t="s">
        <v>545</v>
      </c>
      <c r="F2033" s="215">
        <v>12</v>
      </c>
      <c r="G2033" s="194">
        <v>2.2429999999999999</v>
      </c>
      <c r="H2033" s="195">
        <v>26.915999999999997</v>
      </c>
      <c r="I2033" s="212" t="s">
        <v>2354</v>
      </c>
    </row>
    <row r="2034" spans="1:9" x14ac:dyDescent="0.25">
      <c r="A2034" s="193" t="s">
        <v>220</v>
      </c>
      <c r="B2034" s="193" t="s">
        <v>2351</v>
      </c>
      <c r="C2034" s="214" t="s">
        <v>4195</v>
      </c>
      <c r="D2034" s="193" t="s">
        <v>4196</v>
      </c>
      <c r="E2034" s="212" t="s">
        <v>2387</v>
      </c>
      <c r="F2034" s="215">
        <v>5</v>
      </c>
      <c r="G2034" s="194">
        <v>5.3904857142857141</v>
      </c>
      <c r="H2034" s="195">
        <v>26.95242857142857</v>
      </c>
      <c r="I2034" s="212" t="s">
        <v>2354</v>
      </c>
    </row>
    <row r="2035" spans="1:9" x14ac:dyDescent="0.25">
      <c r="A2035" s="193" t="s">
        <v>220</v>
      </c>
      <c r="B2035" s="193" t="s">
        <v>2351</v>
      </c>
      <c r="C2035" s="214" t="s">
        <v>3205</v>
      </c>
      <c r="D2035" s="193" t="s">
        <v>3206</v>
      </c>
      <c r="E2035" s="212" t="s">
        <v>545</v>
      </c>
      <c r="F2035" s="215">
        <v>25</v>
      </c>
      <c r="G2035" s="194">
        <v>1.08</v>
      </c>
      <c r="H2035" s="195">
        <v>27</v>
      </c>
      <c r="I2035" s="212" t="s">
        <v>2354</v>
      </c>
    </row>
    <row r="2036" spans="1:9" x14ac:dyDescent="0.25">
      <c r="A2036" s="193" t="s">
        <v>220</v>
      </c>
      <c r="B2036" s="193" t="s">
        <v>5430</v>
      </c>
      <c r="C2036" s="214" t="s">
        <v>7290</v>
      </c>
      <c r="D2036" s="193" t="s">
        <v>7291</v>
      </c>
      <c r="E2036" s="212" t="s">
        <v>545</v>
      </c>
      <c r="F2036" s="215">
        <v>1</v>
      </c>
      <c r="G2036" s="194">
        <v>27</v>
      </c>
      <c r="H2036" s="195">
        <v>27</v>
      </c>
      <c r="I2036" s="212" t="s">
        <v>2354</v>
      </c>
    </row>
    <row r="2037" spans="1:9" x14ac:dyDescent="0.25">
      <c r="A2037" s="193" t="s">
        <v>220</v>
      </c>
      <c r="B2037" s="193" t="s">
        <v>5430</v>
      </c>
      <c r="C2037" s="214"/>
      <c r="D2037" s="193" t="s">
        <v>5458</v>
      </c>
      <c r="E2037" s="212" t="s">
        <v>545</v>
      </c>
      <c r="F2037" s="215">
        <v>2</v>
      </c>
      <c r="G2037" s="194">
        <v>13.526999999999999</v>
      </c>
      <c r="H2037" s="195">
        <v>27.053999999999998</v>
      </c>
      <c r="I2037" s="212" t="s">
        <v>2354</v>
      </c>
    </row>
    <row r="2038" spans="1:9" x14ac:dyDescent="0.25">
      <c r="A2038" s="193" t="s">
        <v>220</v>
      </c>
      <c r="B2038" s="193" t="s">
        <v>5430</v>
      </c>
      <c r="C2038" s="214" t="s">
        <v>6599</v>
      </c>
      <c r="D2038" s="193" t="s">
        <v>3730</v>
      </c>
      <c r="E2038" s="212" t="s">
        <v>545</v>
      </c>
      <c r="F2038" s="215">
        <v>10</v>
      </c>
      <c r="G2038" s="194">
        <v>2.7116999999999996</v>
      </c>
      <c r="H2038" s="195">
        <v>27.116999999999997</v>
      </c>
      <c r="I2038" s="212" t="s">
        <v>2354</v>
      </c>
    </row>
    <row r="2039" spans="1:9" x14ac:dyDescent="0.25">
      <c r="A2039" s="193" t="s">
        <v>220</v>
      </c>
      <c r="B2039" s="193" t="s">
        <v>2351</v>
      </c>
      <c r="C2039" s="214" t="s">
        <v>5160</v>
      </c>
      <c r="D2039" s="193" t="s">
        <v>5161</v>
      </c>
      <c r="E2039" s="212" t="s">
        <v>545</v>
      </c>
      <c r="F2039" s="213">
        <v>4</v>
      </c>
      <c r="G2039" s="194">
        <v>6.7910000000000004</v>
      </c>
      <c r="H2039" s="195">
        <v>27.164000000000001</v>
      </c>
      <c r="I2039" s="212" t="s">
        <v>2354</v>
      </c>
    </row>
    <row r="2040" spans="1:9" x14ac:dyDescent="0.25">
      <c r="A2040" s="193" t="s">
        <v>220</v>
      </c>
      <c r="B2040" s="193" t="s">
        <v>5430</v>
      </c>
      <c r="C2040" s="214" t="s">
        <v>5701</v>
      </c>
      <c r="D2040" s="193" t="s">
        <v>5702</v>
      </c>
      <c r="E2040" s="212" t="s">
        <v>545</v>
      </c>
      <c r="F2040" s="215">
        <v>4</v>
      </c>
      <c r="G2040" s="194">
        <v>6.7949999999999999</v>
      </c>
      <c r="H2040" s="195">
        <v>27.18</v>
      </c>
      <c r="I2040" s="212" t="s">
        <v>2354</v>
      </c>
    </row>
    <row r="2041" spans="1:9" x14ac:dyDescent="0.25">
      <c r="A2041" s="193" t="s">
        <v>220</v>
      </c>
      <c r="B2041" s="193" t="s">
        <v>5430</v>
      </c>
      <c r="C2041" s="214" t="s">
        <v>4856</v>
      </c>
      <c r="D2041" s="193" t="s">
        <v>4857</v>
      </c>
      <c r="E2041" s="212" t="s">
        <v>545</v>
      </c>
      <c r="F2041" s="213">
        <v>92</v>
      </c>
      <c r="G2041" s="194">
        <v>0.29599999999999999</v>
      </c>
      <c r="H2041" s="195">
        <v>27.231999999999999</v>
      </c>
      <c r="I2041" s="212" t="s">
        <v>2354</v>
      </c>
    </row>
    <row r="2042" spans="1:9" x14ac:dyDescent="0.25">
      <c r="A2042" s="193" t="s">
        <v>220</v>
      </c>
      <c r="B2042" s="193" t="s">
        <v>5430</v>
      </c>
      <c r="C2042" s="214" t="s">
        <v>3563</v>
      </c>
      <c r="D2042" s="193" t="s">
        <v>3564</v>
      </c>
      <c r="E2042" s="212" t="s">
        <v>545</v>
      </c>
      <c r="F2042" s="215">
        <v>16</v>
      </c>
      <c r="G2042" s="194">
        <v>1.7100000000000002</v>
      </c>
      <c r="H2042" s="195">
        <v>27.360000000000003</v>
      </c>
      <c r="I2042" s="212" t="s">
        <v>2354</v>
      </c>
    </row>
    <row r="2043" spans="1:9" x14ac:dyDescent="0.25">
      <c r="A2043" s="193" t="s">
        <v>220</v>
      </c>
      <c r="B2043" s="193" t="s">
        <v>2351</v>
      </c>
      <c r="C2043" s="214" t="s">
        <v>4207</v>
      </c>
      <c r="D2043" s="193" t="s">
        <v>4208</v>
      </c>
      <c r="E2043" s="212" t="s">
        <v>545</v>
      </c>
      <c r="F2043" s="215">
        <v>10</v>
      </c>
      <c r="G2043" s="194">
        <v>2.7423000000000002</v>
      </c>
      <c r="H2043" s="195">
        <v>27.423000000000002</v>
      </c>
      <c r="I2043" s="212" t="s">
        <v>2354</v>
      </c>
    </row>
    <row r="2044" spans="1:9" x14ac:dyDescent="0.25">
      <c r="A2044" s="193" t="s">
        <v>220</v>
      </c>
      <c r="B2044" s="193" t="s">
        <v>5430</v>
      </c>
      <c r="C2044" s="214" t="s">
        <v>7002</v>
      </c>
      <c r="D2044" s="193" t="s">
        <v>7003</v>
      </c>
      <c r="E2044" s="212" t="s">
        <v>545</v>
      </c>
      <c r="F2044" s="215">
        <v>4</v>
      </c>
      <c r="G2044" s="194">
        <v>6.8676245714285704</v>
      </c>
      <c r="H2044" s="195">
        <v>27.470498285714282</v>
      </c>
      <c r="I2044" s="212" t="s">
        <v>2354</v>
      </c>
    </row>
    <row r="2045" spans="1:9" x14ac:dyDescent="0.25">
      <c r="A2045" s="193" t="s">
        <v>220</v>
      </c>
      <c r="B2045" s="193" t="s">
        <v>2351</v>
      </c>
      <c r="C2045" s="214" t="s">
        <v>3249</v>
      </c>
      <c r="D2045" s="193" t="s">
        <v>3250</v>
      </c>
      <c r="E2045" s="212" t="s">
        <v>545</v>
      </c>
      <c r="F2045" s="215">
        <v>5</v>
      </c>
      <c r="G2045" s="194">
        <v>5.4981</v>
      </c>
      <c r="H2045" s="195">
        <v>27.490500000000001</v>
      </c>
      <c r="I2045" s="212" t="s">
        <v>2354</v>
      </c>
    </row>
    <row r="2046" spans="1:9" x14ac:dyDescent="0.25">
      <c r="A2046" s="193" t="s">
        <v>220</v>
      </c>
      <c r="B2046" s="193" t="s">
        <v>5430</v>
      </c>
      <c r="C2046" s="214" t="s">
        <v>3249</v>
      </c>
      <c r="D2046" s="193" t="s">
        <v>3250</v>
      </c>
      <c r="E2046" s="212" t="s">
        <v>545</v>
      </c>
      <c r="F2046" s="215">
        <v>5</v>
      </c>
      <c r="G2046" s="194">
        <v>5.4981</v>
      </c>
      <c r="H2046" s="195">
        <v>27.490500000000001</v>
      </c>
      <c r="I2046" s="212" t="s">
        <v>2354</v>
      </c>
    </row>
    <row r="2047" spans="1:9" x14ac:dyDescent="0.25">
      <c r="A2047" s="193" t="s">
        <v>220</v>
      </c>
      <c r="B2047" s="193" t="s">
        <v>5430</v>
      </c>
      <c r="C2047" s="214" t="s">
        <v>4981</v>
      </c>
      <c r="D2047" s="193" t="s">
        <v>4982</v>
      </c>
      <c r="E2047" s="212" t="s">
        <v>545</v>
      </c>
      <c r="F2047" s="215">
        <v>340</v>
      </c>
      <c r="G2047" s="194">
        <v>8.1000000000000003E-2</v>
      </c>
      <c r="H2047" s="195">
        <v>27.54</v>
      </c>
      <c r="I2047" s="212" t="s">
        <v>2354</v>
      </c>
    </row>
    <row r="2048" spans="1:9" x14ac:dyDescent="0.25">
      <c r="A2048" s="193" t="s">
        <v>220</v>
      </c>
      <c r="B2048" s="193" t="s">
        <v>5430</v>
      </c>
      <c r="C2048" s="214" t="s">
        <v>3709</v>
      </c>
      <c r="D2048" s="193" t="s">
        <v>3710</v>
      </c>
      <c r="E2048" s="212" t="s">
        <v>545</v>
      </c>
      <c r="F2048" s="215">
        <v>6</v>
      </c>
      <c r="G2048" s="194">
        <v>4.6154999999999999</v>
      </c>
      <c r="H2048" s="195">
        <v>27.692999999999998</v>
      </c>
      <c r="I2048" s="212" t="s">
        <v>2354</v>
      </c>
    </row>
    <row r="2049" spans="1:9" x14ac:dyDescent="0.25">
      <c r="A2049" s="193" t="s">
        <v>220</v>
      </c>
      <c r="B2049" s="193" t="s">
        <v>2351</v>
      </c>
      <c r="C2049" s="214" t="s">
        <v>3257</v>
      </c>
      <c r="D2049" s="193" t="s">
        <v>3258</v>
      </c>
      <c r="E2049" s="212" t="s">
        <v>545</v>
      </c>
      <c r="F2049" s="215">
        <v>2</v>
      </c>
      <c r="G2049" s="194">
        <v>13.855</v>
      </c>
      <c r="H2049" s="195">
        <v>27.71</v>
      </c>
      <c r="I2049" s="212" t="s">
        <v>2354</v>
      </c>
    </row>
    <row r="2050" spans="1:9" x14ac:dyDescent="0.25">
      <c r="A2050" s="193" t="s">
        <v>220</v>
      </c>
      <c r="B2050" s="193" t="s">
        <v>5430</v>
      </c>
      <c r="C2050" s="214" t="s">
        <v>3257</v>
      </c>
      <c r="D2050" s="193" t="s">
        <v>3258</v>
      </c>
      <c r="E2050" s="212" t="s">
        <v>545</v>
      </c>
      <c r="F2050" s="215">
        <v>2</v>
      </c>
      <c r="G2050" s="194">
        <v>13.855</v>
      </c>
      <c r="H2050" s="195">
        <v>27.71</v>
      </c>
      <c r="I2050" s="212" t="s">
        <v>2354</v>
      </c>
    </row>
    <row r="2051" spans="1:9" x14ac:dyDescent="0.25">
      <c r="A2051" s="193" t="s">
        <v>220</v>
      </c>
      <c r="B2051" s="193" t="s">
        <v>5430</v>
      </c>
      <c r="C2051" s="214" t="s">
        <v>6320</v>
      </c>
      <c r="D2051" s="193" t="s">
        <v>6321</v>
      </c>
      <c r="E2051" s="212" t="s">
        <v>545</v>
      </c>
      <c r="F2051" s="215">
        <v>12</v>
      </c>
      <c r="G2051" s="194">
        <v>2.31</v>
      </c>
      <c r="H2051" s="195">
        <v>27.72</v>
      </c>
      <c r="I2051" s="212" t="s">
        <v>2354</v>
      </c>
    </row>
    <row r="2052" spans="1:9" x14ac:dyDescent="0.25">
      <c r="A2052" s="193" t="s">
        <v>220</v>
      </c>
      <c r="B2052" s="193" t="s">
        <v>2351</v>
      </c>
      <c r="C2052" s="214" t="s">
        <v>4820</v>
      </c>
      <c r="D2052" s="193" t="s">
        <v>4821</v>
      </c>
      <c r="E2052" s="212" t="s">
        <v>545</v>
      </c>
      <c r="F2052" s="215">
        <v>95</v>
      </c>
      <c r="G2052" s="194">
        <v>0.29199999999999998</v>
      </c>
      <c r="H2052" s="195">
        <v>27.74</v>
      </c>
      <c r="I2052" s="212" t="s">
        <v>2354</v>
      </c>
    </row>
    <row r="2053" spans="1:9" x14ac:dyDescent="0.25">
      <c r="A2053" s="193" t="s">
        <v>220</v>
      </c>
      <c r="B2053" s="193" t="s">
        <v>2351</v>
      </c>
      <c r="C2053" s="214" t="s">
        <v>5372</v>
      </c>
      <c r="D2053" s="193" t="s">
        <v>5373</v>
      </c>
      <c r="E2053" s="212" t="s">
        <v>545</v>
      </c>
      <c r="F2053" s="215">
        <v>40</v>
      </c>
      <c r="G2053" s="194">
        <v>0.69479999999999997</v>
      </c>
      <c r="H2053" s="195">
        <v>27.791999999999998</v>
      </c>
      <c r="I2053" s="212" t="s">
        <v>2354</v>
      </c>
    </row>
    <row r="2054" spans="1:9" x14ac:dyDescent="0.25">
      <c r="A2054" s="193" t="s">
        <v>220</v>
      </c>
      <c r="B2054" s="193" t="s">
        <v>2351</v>
      </c>
      <c r="C2054" s="214" t="s">
        <v>3829</v>
      </c>
      <c r="D2054" s="193" t="s">
        <v>3830</v>
      </c>
      <c r="E2054" s="212" t="s">
        <v>545</v>
      </c>
      <c r="F2054" s="215">
        <v>4</v>
      </c>
      <c r="G2054" s="194">
        <v>6.9550000000000001</v>
      </c>
      <c r="H2054" s="195">
        <v>27.82</v>
      </c>
      <c r="I2054" s="212" t="s">
        <v>2354</v>
      </c>
    </row>
    <row r="2055" spans="1:9" x14ac:dyDescent="0.25">
      <c r="A2055" s="193" t="s">
        <v>220</v>
      </c>
      <c r="B2055" s="193" t="s">
        <v>2351</v>
      </c>
      <c r="C2055" s="214" t="s">
        <v>3545</v>
      </c>
      <c r="D2055" s="193" t="s">
        <v>3546</v>
      </c>
      <c r="E2055" s="212" t="s">
        <v>545</v>
      </c>
      <c r="F2055" s="215">
        <v>10</v>
      </c>
      <c r="G2055" s="194">
        <v>2.7899999999999996</v>
      </c>
      <c r="H2055" s="195">
        <v>27.899999999999995</v>
      </c>
      <c r="I2055" s="212" t="s">
        <v>2354</v>
      </c>
    </row>
    <row r="2056" spans="1:9" x14ac:dyDescent="0.25">
      <c r="A2056" s="193" t="s">
        <v>220</v>
      </c>
      <c r="B2056" s="193" t="s">
        <v>5430</v>
      </c>
      <c r="C2056" s="214" t="s">
        <v>4848</v>
      </c>
      <c r="D2056" s="193" t="s">
        <v>4849</v>
      </c>
      <c r="E2056" s="212" t="s">
        <v>545</v>
      </c>
      <c r="F2056" s="213">
        <v>321</v>
      </c>
      <c r="G2056" s="194">
        <v>8.6999999999999994E-2</v>
      </c>
      <c r="H2056" s="195">
        <v>27.927</v>
      </c>
      <c r="I2056" s="212" t="s">
        <v>2354</v>
      </c>
    </row>
    <row r="2057" spans="1:9" x14ac:dyDescent="0.25">
      <c r="A2057" s="193" t="s">
        <v>220</v>
      </c>
      <c r="B2057" s="193" t="s">
        <v>2351</v>
      </c>
      <c r="C2057" s="214" t="s">
        <v>4881</v>
      </c>
      <c r="D2057" s="193" t="s">
        <v>4882</v>
      </c>
      <c r="E2057" s="212" t="s">
        <v>545</v>
      </c>
      <c r="F2057" s="215">
        <v>125</v>
      </c>
      <c r="G2057" s="194">
        <v>0.224</v>
      </c>
      <c r="H2057" s="195">
        <v>28</v>
      </c>
      <c r="I2057" s="212" t="s">
        <v>2354</v>
      </c>
    </row>
    <row r="2058" spans="1:9" x14ac:dyDescent="0.25">
      <c r="A2058" s="193" t="s">
        <v>220</v>
      </c>
      <c r="B2058" s="193" t="s">
        <v>5430</v>
      </c>
      <c r="C2058" s="214" t="s">
        <v>4664</v>
      </c>
      <c r="D2058" s="193" t="s">
        <v>4665</v>
      </c>
      <c r="E2058" s="212" t="s">
        <v>545</v>
      </c>
      <c r="F2058" s="215">
        <v>99</v>
      </c>
      <c r="G2058" s="194">
        <v>0.28599999999999998</v>
      </c>
      <c r="H2058" s="195">
        <v>28.313999999999997</v>
      </c>
      <c r="I2058" s="212" t="s">
        <v>2354</v>
      </c>
    </row>
    <row r="2059" spans="1:9" x14ac:dyDescent="0.25">
      <c r="A2059" s="193" t="s">
        <v>220</v>
      </c>
      <c r="B2059" s="193" t="s">
        <v>2351</v>
      </c>
      <c r="C2059" s="214" t="s">
        <v>4903</v>
      </c>
      <c r="D2059" s="193" t="s">
        <v>4904</v>
      </c>
      <c r="E2059" s="212" t="s">
        <v>545</v>
      </c>
      <c r="F2059" s="215">
        <v>89</v>
      </c>
      <c r="G2059" s="194">
        <v>0.31818000000000002</v>
      </c>
      <c r="H2059" s="195">
        <v>28.318020000000001</v>
      </c>
      <c r="I2059" s="212" t="s">
        <v>2354</v>
      </c>
    </row>
    <row r="2060" spans="1:9" x14ac:dyDescent="0.25">
      <c r="A2060" s="193" t="s">
        <v>220</v>
      </c>
      <c r="B2060" s="193" t="s">
        <v>2351</v>
      </c>
      <c r="C2060" s="214" t="s">
        <v>3521</v>
      </c>
      <c r="D2060" s="193" t="s">
        <v>3522</v>
      </c>
      <c r="E2060" s="212" t="s">
        <v>545</v>
      </c>
      <c r="F2060" s="215">
        <v>7</v>
      </c>
      <c r="G2060" s="194">
        <v>4.0460000000000003</v>
      </c>
      <c r="H2060" s="195">
        <v>28.322000000000003</v>
      </c>
      <c r="I2060" s="212" t="s">
        <v>2354</v>
      </c>
    </row>
    <row r="2061" spans="1:9" x14ac:dyDescent="0.25">
      <c r="A2061" s="193" t="s">
        <v>220</v>
      </c>
      <c r="B2061" s="193" t="s">
        <v>2351</v>
      </c>
      <c r="C2061" s="214" t="s">
        <v>3411</v>
      </c>
      <c r="D2061" s="193" t="s">
        <v>3412</v>
      </c>
      <c r="E2061" s="212" t="s">
        <v>545</v>
      </c>
      <c r="F2061" s="215">
        <v>2</v>
      </c>
      <c r="G2061" s="194">
        <v>14.178599999999999</v>
      </c>
      <c r="H2061" s="195">
        <v>28.357199999999999</v>
      </c>
      <c r="I2061" s="212" t="s">
        <v>2354</v>
      </c>
    </row>
    <row r="2062" spans="1:9" x14ac:dyDescent="0.25">
      <c r="A2062" s="193" t="s">
        <v>220</v>
      </c>
      <c r="B2062" s="193" t="s">
        <v>2351</v>
      </c>
      <c r="C2062" s="214" t="s">
        <v>2666</v>
      </c>
      <c r="D2062" s="193" t="s">
        <v>2667</v>
      </c>
      <c r="E2062" s="212" t="s">
        <v>545</v>
      </c>
      <c r="F2062" s="215">
        <v>4</v>
      </c>
      <c r="G2062" s="194">
        <v>7.1189999999999998</v>
      </c>
      <c r="H2062" s="195">
        <v>28.475999999999999</v>
      </c>
      <c r="I2062" s="212" t="s">
        <v>2354</v>
      </c>
    </row>
    <row r="2063" spans="1:9" x14ac:dyDescent="0.25">
      <c r="A2063" s="193" t="s">
        <v>220</v>
      </c>
      <c r="B2063" s="193" t="s">
        <v>2351</v>
      </c>
      <c r="C2063" s="214" t="s">
        <v>2668</v>
      </c>
      <c r="D2063" s="193" t="s">
        <v>2669</v>
      </c>
      <c r="E2063" s="212" t="s">
        <v>545</v>
      </c>
      <c r="F2063" s="215">
        <v>4</v>
      </c>
      <c r="G2063" s="194">
        <v>7.1189999999999998</v>
      </c>
      <c r="H2063" s="195">
        <v>28.475999999999999</v>
      </c>
      <c r="I2063" s="212" t="s">
        <v>2354</v>
      </c>
    </row>
    <row r="2064" spans="1:9" x14ac:dyDescent="0.25">
      <c r="A2064" s="193" t="s">
        <v>220</v>
      </c>
      <c r="B2064" s="193" t="s">
        <v>5430</v>
      </c>
      <c r="C2064" s="214" t="s">
        <v>3075</v>
      </c>
      <c r="D2064" s="193" t="s">
        <v>3076</v>
      </c>
      <c r="E2064" s="212" t="s">
        <v>545</v>
      </c>
      <c r="F2064" s="215">
        <v>2</v>
      </c>
      <c r="G2064" s="194">
        <v>14.2668</v>
      </c>
      <c r="H2064" s="195">
        <v>28.5336</v>
      </c>
      <c r="I2064" s="212" t="s">
        <v>2354</v>
      </c>
    </row>
    <row r="2065" spans="1:9" x14ac:dyDescent="0.25">
      <c r="A2065" s="193" t="s">
        <v>220</v>
      </c>
      <c r="B2065" s="193" t="s">
        <v>2351</v>
      </c>
      <c r="C2065" s="214" t="s">
        <v>3627</v>
      </c>
      <c r="D2065" s="193" t="s">
        <v>3628</v>
      </c>
      <c r="E2065" s="212" t="s">
        <v>545</v>
      </c>
      <c r="F2065" s="215">
        <v>17</v>
      </c>
      <c r="G2065" s="194">
        <v>1.679</v>
      </c>
      <c r="H2065" s="195">
        <v>28.542999999999999</v>
      </c>
      <c r="I2065" s="212" t="s">
        <v>2354</v>
      </c>
    </row>
    <row r="2066" spans="1:9" x14ac:dyDescent="0.25">
      <c r="A2066" s="193" t="s">
        <v>220</v>
      </c>
      <c r="B2066" s="193" t="s">
        <v>2351</v>
      </c>
      <c r="C2066" s="214" t="s">
        <v>3953</v>
      </c>
      <c r="D2066" s="193" t="s">
        <v>3954</v>
      </c>
      <c r="E2066" s="212" t="s">
        <v>545</v>
      </c>
      <c r="F2066" s="215">
        <v>2</v>
      </c>
      <c r="G2066" s="194">
        <v>14.273999999999999</v>
      </c>
      <c r="H2066" s="195">
        <v>28.547999999999998</v>
      </c>
      <c r="I2066" s="212" t="s">
        <v>2354</v>
      </c>
    </row>
    <row r="2067" spans="1:9" x14ac:dyDescent="0.25">
      <c r="A2067" s="193" t="s">
        <v>220</v>
      </c>
      <c r="B2067" s="193" t="s">
        <v>5430</v>
      </c>
      <c r="C2067" s="214" t="s">
        <v>6296</v>
      </c>
      <c r="D2067" s="193" t="s">
        <v>6297</v>
      </c>
      <c r="E2067" s="212" t="s">
        <v>545</v>
      </c>
      <c r="F2067" s="215">
        <v>2</v>
      </c>
      <c r="G2067" s="194">
        <v>14.28</v>
      </c>
      <c r="H2067" s="195">
        <v>28.56</v>
      </c>
      <c r="I2067" s="212" t="s">
        <v>2354</v>
      </c>
    </row>
    <row r="2068" spans="1:9" x14ac:dyDescent="0.25">
      <c r="A2068" s="193" t="s">
        <v>220</v>
      </c>
      <c r="B2068" s="193" t="s">
        <v>5430</v>
      </c>
      <c r="C2068" s="214" t="s">
        <v>5741</v>
      </c>
      <c r="D2068" s="193" t="s">
        <v>5742</v>
      </c>
      <c r="E2068" s="212" t="s">
        <v>545</v>
      </c>
      <c r="F2068" s="215">
        <v>2</v>
      </c>
      <c r="G2068" s="194">
        <v>14.327999999999999</v>
      </c>
      <c r="H2068" s="195">
        <v>28.655999999999999</v>
      </c>
      <c r="I2068" s="212" t="s">
        <v>2354</v>
      </c>
    </row>
    <row r="2069" spans="1:9" x14ac:dyDescent="0.25">
      <c r="A2069" s="193" t="s">
        <v>220</v>
      </c>
      <c r="B2069" s="193" t="s">
        <v>5430</v>
      </c>
      <c r="C2069" s="214" t="s">
        <v>3731</v>
      </c>
      <c r="D2069" s="193" t="s">
        <v>3732</v>
      </c>
      <c r="E2069" s="212" t="s">
        <v>545</v>
      </c>
      <c r="F2069" s="215">
        <v>12</v>
      </c>
      <c r="G2069" s="194">
        <v>2.3933750000000003</v>
      </c>
      <c r="H2069" s="195">
        <v>28.720500000000001</v>
      </c>
      <c r="I2069" s="212" t="s">
        <v>2354</v>
      </c>
    </row>
    <row r="2070" spans="1:9" x14ac:dyDescent="0.25">
      <c r="A2070" s="193" t="s">
        <v>220</v>
      </c>
      <c r="B2070" s="193" t="s">
        <v>2351</v>
      </c>
      <c r="C2070" s="214" t="s">
        <v>4708</v>
      </c>
      <c r="D2070" s="193" t="s">
        <v>4709</v>
      </c>
      <c r="E2070" s="212" t="s">
        <v>545</v>
      </c>
      <c r="F2070" s="215">
        <v>95</v>
      </c>
      <c r="G2070" s="194">
        <v>0.30499999999999999</v>
      </c>
      <c r="H2070" s="195">
        <v>28.974999999999998</v>
      </c>
      <c r="I2070" s="212" t="s">
        <v>2354</v>
      </c>
    </row>
    <row r="2071" spans="1:9" x14ac:dyDescent="0.25">
      <c r="A2071" s="193" t="s">
        <v>220</v>
      </c>
      <c r="B2071" s="193" t="s">
        <v>5430</v>
      </c>
      <c r="C2071" s="214" t="s">
        <v>3647</v>
      </c>
      <c r="D2071" s="193" t="s">
        <v>3648</v>
      </c>
      <c r="E2071" s="212" t="s">
        <v>545</v>
      </c>
      <c r="F2071" s="215">
        <v>3</v>
      </c>
      <c r="G2071" s="194">
        <v>9.7188999999999997</v>
      </c>
      <c r="H2071" s="195">
        <v>29.156700000000001</v>
      </c>
      <c r="I2071" s="212" t="s">
        <v>2354</v>
      </c>
    </row>
    <row r="2072" spans="1:9" x14ac:dyDescent="0.25">
      <c r="A2072" s="193" t="s">
        <v>220</v>
      </c>
      <c r="B2072" s="193" t="s">
        <v>5430</v>
      </c>
      <c r="C2072" s="214" t="s">
        <v>4965</v>
      </c>
      <c r="D2072" s="193" t="s">
        <v>4966</v>
      </c>
      <c r="E2072" s="212" t="s">
        <v>545</v>
      </c>
      <c r="F2072" s="215">
        <v>9</v>
      </c>
      <c r="G2072" s="194">
        <v>3.2429999999999999</v>
      </c>
      <c r="H2072" s="195">
        <v>29.186999999999998</v>
      </c>
      <c r="I2072" s="212" t="s">
        <v>2354</v>
      </c>
    </row>
    <row r="2073" spans="1:9" x14ac:dyDescent="0.25">
      <c r="A2073" s="193" t="s">
        <v>220</v>
      </c>
      <c r="B2073" s="193" t="s">
        <v>2351</v>
      </c>
      <c r="C2073" s="214" t="s">
        <v>4610</v>
      </c>
      <c r="D2073" s="193" t="s">
        <v>4611</v>
      </c>
      <c r="E2073" s="212" t="s">
        <v>545</v>
      </c>
      <c r="F2073" s="215">
        <v>10</v>
      </c>
      <c r="G2073" s="194">
        <v>2.9224888888888887</v>
      </c>
      <c r="H2073" s="195">
        <v>29.224888888888888</v>
      </c>
      <c r="I2073" s="212" t="s">
        <v>2354</v>
      </c>
    </row>
    <row r="2074" spans="1:9" x14ac:dyDescent="0.25">
      <c r="A2074" s="193" t="s">
        <v>220</v>
      </c>
      <c r="B2074" s="193" t="s">
        <v>2351</v>
      </c>
      <c r="C2074" s="214" t="s">
        <v>5382</v>
      </c>
      <c r="D2074" s="193" t="s">
        <v>5383</v>
      </c>
      <c r="E2074" s="212" t="s">
        <v>545</v>
      </c>
      <c r="F2074" s="215">
        <v>65</v>
      </c>
      <c r="G2074" s="194">
        <v>0.45100000000000001</v>
      </c>
      <c r="H2074" s="195">
        <v>29.315000000000001</v>
      </c>
      <c r="I2074" s="212" t="s">
        <v>2354</v>
      </c>
    </row>
    <row r="2075" spans="1:9" x14ac:dyDescent="0.25">
      <c r="A2075" s="193" t="s">
        <v>220</v>
      </c>
      <c r="B2075" s="193" t="s">
        <v>2351</v>
      </c>
      <c r="C2075" s="214" t="s">
        <v>4756</v>
      </c>
      <c r="D2075" s="193" t="s">
        <v>4757</v>
      </c>
      <c r="E2075" s="212" t="s">
        <v>545</v>
      </c>
      <c r="F2075" s="215">
        <v>350</v>
      </c>
      <c r="G2075" s="194">
        <v>8.4000000000000005E-2</v>
      </c>
      <c r="H2075" s="195">
        <v>29.400000000000002</v>
      </c>
      <c r="I2075" s="212" t="s">
        <v>2354</v>
      </c>
    </row>
    <row r="2076" spans="1:9" x14ac:dyDescent="0.25">
      <c r="A2076" s="193" t="s">
        <v>220</v>
      </c>
      <c r="B2076" s="193" t="s">
        <v>5430</v>
      </c>
      <c r="C2076" s="214" t="s">
        <v>6290</v>
      </c>
      <c r="D2076" s="193" t="s">
        <v>6291</v>
      </c>
      <c r="E2076" s="212" t="s">
        <v>545</v>
      </c>
      <c r="F2076" s="215">
        <v>9</v>
      </c>
      <c r="G2076" s="194">
        <v>3.2725</v>
      </c>
      <c r="H2076" s="195">
        <v>29.452500000000001</v>
      </c>
      <c r="I2076" s="212" t="s">
        <v>2354</v>
      </c>
    </row>
    <row r="2077" spans="1:9" x14ac:dyDescent="0.25">
      <c r="A2077" s="193" t="s">
        <v>220</v>
      </c>
      <c r="B2077" s="193" t="s">
        <v>2351</v>
      </c>
      <c r="C2077" s="214" t="s">
        <v>2816</v>
      </c>
      <c r="D2077" s="193" t="s">
        <v>2817</v>
      </c>
      <c r="E2077" s="212" t="s">
        <v>545</v>
      </c>
      <c r="F2077" s="215">
        <v>8</v>
      </c>
      <c r="G2077" s="194">
        <v>3.7124999999999999</v>
      </c>
      <c r="H2077" s="195">
        <v>29.7</v>
      </c>
      <c r="I2077" s="212" t="s">
        <v>2354</v>
      </c>
    </row>
    <row r="2078" spans="1:9" x14ac:dyDescent="0.25">
      <c r="A2078" s="193" t="s">
        <v>220</v>
      </c>
      <c r="B2078" s="193" t="s">
        <v>5430</v>
      </c>
      <c r="C2078" s="214" t="s">
        <v>5719</v>
      </c>
      <c r="D2078" s="193" t="s">
        <v>5720</v>
      </c>
      <c r="E2078" s="212" t="s">
        <v>545</v>
      </c>
      <c r="F2078" s="215">
        <v>1</v>
      </c>
      <c r="G2078" s="194">
        <v>29.7</v>
      </c>
      <c r="H2078" s="195">
        <v>29.7</v>
      </c>
      <c r="I2078" s="212" t="s">
        <v>2354</v>
      </c>
    </row>
    <row r="2079" spans="1:9" x14ac:dyDescent="0.25">
      <c r="A2079" s="193" t="s">
        <v>220</v>
      </c>
      <c r="B2079" s="193" t="s">
        <v>5430</v>
      </c>
      <c r="C2079" s="214" t="s">
        <v>5721</v>
      </c>
      <c r="D2079" s="193" t="s">
        <v>5722</v>
      </c>
      <c r="E2079" s="212" t="s">
        <v>545</v>
      </c>
      <c r="F2079" s="215">
        <v>1</v>
      </c>
      <c r="G2079" s="194">
        <v>29.7</v>
      </c>
      <c r="H2079" s="195">
        <v>29.7</v>
      </c>
      <c r="I2079" s="212" t="s">
        <v>2354</v>
      </c>
    </row>
    <row r="2080" spans="1:9" x14ac:dyDescent="0.25">
      <c r="A2080" s="193" t="s">
        <v>220</v>
      </c>
      <c r="B2080" s="193" t="s">
        <v>5430</v>
      </c>
      <c r="C2080" s="214" t="s">
        <v>5723</v>
      </c>
      <c r="D2080" s="193" t="s">
        <v>5724</v>
      </c>
      <c r="E2080" s="212" t="s">
        <v>545</v>
      </c>
      <c r="F2080" s="215">
        <v>1</v>
      </c>
      <c r="G2080" s="194">
        <v>29.7</v>
      </c>
      <c r="H2080" s="195">
        <v>29.7</v>
      </c>
      <c r="I2080" s="212" t="s">
        <v>2354</v>
      </c>
    </row>
    <row r="2081" spans="1:9" x14ac:dyDescent="0.25">
      <c r="A2081" s="193" t="s">
        <v>220</v>
      </c>
      <c r="B2081" s="193" t="s">
        <v>5430</v>
      </c>
      <c r="C2081" s="214" t="s">
        <v>6526</v>
      </c>
      <c r="D2081" s="193" t="s">
        <v>6527</v>
      </c>
      <c r="E2081" s="212" t="s">
        <v>545</v>
      </c>
      <c r="F2081" s="215">
        <v>7</v>
      </c>
      <c r="G2081" s="194">
        <v>4.25</v>
      </c>
      <c r="H2081" s="195">
        <v>29.75</v>
      </c>
      <c r="I2081" s="212" t="s">
        <v>2354</v>
      </c>
    </row>
    <row r="2082" spans="1:9" x14ac:dyDescent="0.25">
      <c r="A2082" s="193" t="s">
        <v>220</v>
      </c>
      <c r="B2082" s="193" t="s">
        <v>2351</v>
      </c>
      <c r="C2082" s="214" t="s">
        <v>4147</v>
      </c>
      <c r="D2082" s="193" t="s">
        <v>4148</v>
      </c>
      <c r="E2082" s="212" t="s">
        <v>545</v>
      </c>
      <c r="F2082" s="215">
        <v>28</v>
      </c>
      <c r="G2082" s="194">
        <v>1.067278911564626</v>
      </c>
      <c r="H2082" s="195">
        <v>29.883809523809525</v>
      </c>
      <c r="I2082" s="212" t="s">
        <v>2354</v>
      </c>
    </row>
    <row r="2083" spans="1:9" x14ac:dyDescent="0.25">
      <c r="A2083" s="193" t="s">
        <v>220</v>
      </c>
      <c r="B2083" s="193" t="s">
        <v>2351</v>
      </c>
      <c r="C2083" s="214" t="s">
        <v>4806</v>
      </c>
      <c r="D2083" s="193" t="s">
        <v>4807</v>
      </c>
      <c r="E2083" s="212" t="s">
        <v>545</v>
      </c>
      <c r="F2083" s="215">
        <v>325</v>
      </c>
      <c r="G2083" s="194">
        <v>9.1999999999999998E-2</v>
      </c>
      <c r="H2083" s="195">
        <v>29.9</v>
      </c>
      <c r="I2083" s="212" t="s">
        <v>2354</v>
      </c>
    </row>
    <row r="2084" spans="1:9" x14ac:dyDescent="0.25">
      <c r="A2084" s="193" t="s">
        <v>220</v>
      </c>
      <c r="B2084" s="193" t="s">
        <v>2351</v>
      </c>
      <c r="C2084" s="214" t="s">
        <v>4616</v>
      </c>
      <c r="D2084" s="193" t="s">
        <v>4617</v>
      </c>
      <c r="E2084" s="212" t="s">
        <v>545</v>
      </c>
      <c r="F2084" s="215">
        <v>20</v>
      </c>
      <c r="G2084" s="194">
        <v>1.4990000000000001</v>
      </c>
      <c r="H2084" s="195">
        <v>29.980000000000004</v>
      </c>
      <c r="I2084" s="212" t="s">
        <v>2354</v>
      </c>
    </row>
    <row r="2085" spans="1:9" x14ac:dyDescent="0.25">
      <c r="A2085" s="193" t="s">
        <v>220</v>
      </c>
      <c r="B2085" s="193" t="s">
        <v>2351</v>
      </c>
      <c r="C2085" s="214" t="s">
        <v>3929</v>
      </c>
      <c r="D2085" s="193" t="s">
        <v>3930</v>
      </c>
      <c r="E2085" s="212" t="s">
        <v>545</v>
      </c>
      <c r="F2085" s="215">
        <v>2</v>
      </c>
      <c r="G2085" s="194">
        <v>15</v>
      </c>
      <c r="H2085" s="195">
        <v>30</v>
      </c>
      <c r="I2085" s="212" t="s">
        <v>2354</v>
      </c>
    </row>
    <row r="2086" spans="1:9" x14ac:dyDescent="0.25">
      <c r="A2086" s="193" t="s">
        <v>220</v>
      </c>
      <c r="B2086" s="193" t="s">
        <v>5430</v>
      </c>
      <c r="C2086" s="214" t="s">
        <v>6988</v>
      </c>
      <c r="D2086" s="193" t="s">
        <v>6989</v>
      </c>
      <c r="E2086" s="212" t="s">
        <v>545</v>
      </c>
      <c r="F2086" s="215">
        <v>3</v>
      </c>
      <c r="G2086" s="194">
        <v>10.03888888888889</v>
      </c>
      <c r="H2086" s="195">
        <v>30.116666666666667</v>
      </c>
      <c r="I2086" s="212" t="s">
        <v>2354</v>
      </c>
    </row>
    <row r="2087" spans="1:9" x14ac:dyDescent="0.25">
      <c r="A2087" s="193" t="s">
        <v>220</v>
      </c>
      <c r="B2087" s="193" t="s">
        <v>2351</v>
      </c>
      <c r="C2087" s="214" t="s">
        <v>5022</v>
      </c>
      <c r="D2087" s="193" t="s">
        <v>5023</v>
      </c>
      <c r="E2087" s="212" t="s">
        <v>545</v>
      </c>
      <c r="F2087" s="215">
        <v>240</v>
      </c>
      <c r="G2087" s="194">
        <v>0.12583357142857141</v>
      </c>
      <c r="H2087" s="195">
        <v>30.200057142857137</v>
      </c>
      <c r="I2087" s="212" t="s">
        <v>2354</v>
      </c>
    </row>
    <row r="2088" spans="1:9" x14ac:dyDescent="0.25">
      <c r="A2088" s="193" t="s">
        <v>220</v>
      </c>
      <c r="B2088" s="193" t="s">
        <v>2351</v>
      </c>
      <c r="C2088" s="214" t="s">
        <v>5384</v>
      </c>
      <c r="D2088" s="193" t="s">
        <v>5385</v>
      </c>
      <c r="E2088" s="212" t="s">
        <v>545</v>
      </c>
      <c r="F2088" s="215">
        <v>56</v>
      </c>
      <c r="G2088" s="194">
        <v>0.53974999999999995</v>
      </c>
      <c r="H2088" s="195">
        <v>30.225999999999999</v>
      </c>
      <c r="I2088" s="212" t="s">
        <v>2354</v>
      </c>
    </row>
    <row r="2089" spans="1:9" x14ac:dyDescent="0.25">
      <c r="A2089" s="193" t="s">
        <v>220</v>
      </c>
      <c r="B2089" s="193" t="s">
        <v>2351</v>
      </c>
      <c r="C2089" s="214" t="s">
        <v>4552</v>
      </c>
      <c r="D2089" s="193" t="s">
        <v>4553</v>
      </c>
      <c r="E2089" s="212" t="s">
        <v>545</v>
      </c>
      <c r="F2089" s="215">
        <v>26</v>
      </c>
      <c r="G2089" s="194">
        <v>1.165</v>
      </c>
      <c r="H2089" s="195">
        <v>30.29</v>
      </c>
      <c r="I2089" s="212" t="s">
        <v>2354</v>
      </c>
    </row>
    <row r="2090" spans="1:9" x14ac:dyDescent="0.25">
      <c r="A2090" s="193" t="s">
        <v>220</v>
      </c>
      <c r="B2090" s="193" t="s">
        <v>2351</v>
      </c>
      <c r="C2090" s="214" t="s">
        <v>2674</v>
      </c>
      <c r="D2090" s="193" t="s">
        <v>2675</v>
      </c>
      <c r="E2090" s="212" t="s">
        <v>545</v>
      </c>
      <c r="F2090" s="215">
        <v>1</v>
      </c>
      <c r="G2090" s="194">
        <v>30.3</v>
      </c>
      <c r="H2090" s="195">
        <v>30.3</v>
      </c>
      <c r="I2090" s="212" t="s">
        <v>2354</v>
      </c>
    </row>
    <row r="2091" spans="1:9" x14ac:dyDescent="0.25">
      <c r="A2091" s="193" t="s">
        <v>220</v>
      </c>
      <c r="B2091" s="193" t="s">
        <v>2351</v>
      </c>
      <c r="C2091" s="214" t="s">
        <v>5274</v>
      </c>
      <c r="D2091" s="193" t="s">
        <v>5275</v>
      </c>
      <c r="E2091" s="212" t="s">
        <v>545</v>
      </c>
      <c r="F2091" s="215">
        <v>4</v>
      </c>
      <c r="G2091" s="194">
        <v>7.5750000000000002</v>
      </c>
      <c r="H2091" s="195">
        <v>30.3</v>
      </c>
      <c r="I2091" s="212" t="s">
        <v>2354</v>
      </c>
    </row>
    <row r="2092" spans="1:9" x14ac:dyDescent="0.25">
      <c r="A2092" s="193" t="s">
        <v>220</v>
      </c>
      <c r="B2092" s="193" t="s">
        <v>5430</v>
      </c>
      <c r="C2092" s="214" t="s">
        <v>2740</v>
      </c>
      <c r="D2092" s="193" t="s">
        <v>2741</v>
      </c>
      <c r="E2092" s="212" t="s">
        <v>545</v>
      </c>
      <c r="F2092" s="215">
        <v>3</v>
      </c>
      <c r="G2092" s="194">
        <v>10.101692307692307</v>
      </c>
      <c r="H2092" s="195">
        <v>30.305076923076921</v>
      </c>
      <c r="I2092" s="212" t="s">
        <v>2354</v>
      </c>
    </row>
    <row r="2093" spans="1:9" x14ac:dyDescent="0.25">
      <c r="A2093" s="193" t="s">
        <v>220</v>
      </c>
      <c r="B2093" s="193" t="s">
        <v>5430</v>
      </c>
      <c r="C2093" s="214" t="s">
        <v>4840</v>
      </c>
      <c r="D2093" s="193" t="s">
        <v>4841</v>
      </c>
      <c r="E2093" s="212" t="s">
        <v>545</v>
      </c>
      <c r="F2093" s="215">
        <v>75</v>
      </c>
      <c r="G2093" s="194">
        <v>0.40460000000000002</v>
      </c>
      <c r="H2093" s="195">
        <v>30.345000000000002</v>
      </c>
      <c r="I2093" s="212" t="s">
        <v>2354</v>
      </c>
    </row>
    <row r="2094" spans="1:9" x14ac:dyDescent="0.25">
      <c r="A2094" s="193" t="s">
        <v>220</v>
      </c>
      <c r="B2094" s="193" t="s">
        <v>2351</v>
      </c>
      <c r="C2094" s="214" t="s">
        <v>3040</v>
      </c>
      <c r="D2094" s="193" t="s">
        <v>3041</v>
      </c>
      <c r="E2094" s="212" t="s">
        <v>545</v>
      </c>
      <c r="F2094" s="215">
        <v>8</v>
      </c>
      <c r="G2094" s="194">
        <v>3.7953000000000001</v>
      </c>
      <c r="H2094" s="195">
        <v>30.362400000000001</v>
      </c>
      <c r="I2094" s="212" t="s">
        <v>2354</v>
      </c>
    </row>
    <row r="2095" spans="1:9" x14ac:dyDescent="0.25">
      <c r="A2095" s="193" t="s">
        <v>220</v>
      </c>
      <c r="B2095" s="193" t="s">
        <v>2351</v>
      </c>
      <c r="C2095" s="214" t="s">
        <v>4650</v>
      </c>
      <c r="D2095" s="193" t="s">
        <v>4651</v>
      </c>
      <c r="E2095" s="212" t="s">
        <v>545</v>
      </c>
      <c r="F2095" s="215">
        <v>98</v>
      </c>
      <c r="G2095" s="194">
        <v>0.31014000000000003</v>
      </c>
      <c r="H2095" s="195">
        <v>30.393720000000002</v>
      </c>
      <c r="I2095" s="212" t="s">
        <v>2354</v>
      </c>
    </row>
    <row r="2096" spans="1:9" x14ac:dyDescent="0.25">
      <c r="A2096" s="193" t="s">
        <v>220</v>
      </c>
      <c r="B2096" s="193" t="s">
        <v>2351</v>
      </c>
      <c r="C2096" s="214" t="s">
        <v>2894</v>
      </c>
      <c r="D2096" s="193" t="s">
        <v>2895</v>
      </c>
      <c r="E2096" s="212" t="s">
        <v>545</v>
      </c>
      <c r="F2096" s="215">
        <v>3</v>
      </c>
      <c r="G2096" s="194">
        <v>10.143000000000001</v>
      </c>
      <c r="H2096" s="195">
        <v>30.429000000000002</v>
      </c>
      <c r="I2096" s="212" t="s">
        <v>2354</v>
      </c>
    </row>
    <row r="2097" spans="1:9" x14ac:dyDescent="0.25">
      <c r="A2097" s="193" t="s">
        <v>220</v>
      </c>
      <c r="B2097" s="193" t="s">
        <v>2351</v>
      </c>
      <c r="C2097" s="214" t="s">
        <v>2920</v>
      </c>
      <c r="D2097" s="193" t="s">
        <v>2921</v>
      </c>
      <c r="E2097" s="212" t="s">
        <v>545</v>
      </c>
      <c r="F2097" s="215">
        <v>3</v>
      </c>
      <c r="G2097" s="194">
        <v>10.143000000000001</v>
      </c>
      <c r="H2097" s="195">
        <v>30.429000000000002</v>
      </c>
      <c r="I2097" s="212" t="s">
        <v>2354</v>
      </c>
    </row>
    <row r="2098" spans="1:9" x14ac:dyDescent="0.25">
      <c r="A2098" s="193" t="s">
        <v>220</v>
      </c>
      <c r="B2098" s="193" t="s">
        <v>2351</v>
      </c>
      <c r="C2098" s="214" t="s">
        <v>2940</v>
      </c>
      <c r="D2098" s="193" t="s">
        <v>2941</v>
      </c>
      <c r="E2098" s="212" t="s">
        <v>545</v>
      </c>
      <c r="F2098" s="215">
        <v>3</v>
      </c>
      <c r="G2098" s="194">
        <v>10.143000000000001</v>
      </c>
      <c r="H2098" s="195">
        <v>30.429000000000002</v>
      </c>
      <c r="I2098" s="212" t="s">
        <v>2354</v>
      </c>
    </row>
    <row r="2099" spans="1:9" x14ac:dyDescent="0.25">
      <c r="A2099" s="193" t="s">
        <v>220</v>
      </c>
      <c r="B2099" s="193" t="s">
        <v>5430</v>
      </c>
      <c r="C2099" s="214" t="s">
        <v>5848</v>
      </c>
      <c r="D2099" s="193" t="s">
        <v>5849</v>
      </c>
      <c r="E2099" s="212" t="s">
        <v>545</v>
      </c>
      <c r="F2099" s="215">
        <v>3</v>
      </c>
      <c r="G2099" s="194">
        <v>10.143000000000001</v>
      </c>
      <c r="H2099" s="195">
        <v>30.429000000000002</v>
      </c>
      <c r="I2099" s="212" t="s">
        <v>2354</v>
      </c>
    </row>
    <row r="2100" spans="1:9" x14ac:dyDescent="0.25">
      <c r="A2100" s="193" t="s">
        <v>220</v>
      </c>
      <c r="B2100" s="193" t="s">
        <v>5430</v>
      </c>
      <c r="C2100" s="214" t="s">
        <v>2872</v>
      </c>
      <c r="D2100" s="193" t="s">
        <v>2873</v>
      </c>
      <c r="E2100" s="212" t="s">
        <v>545</v>
      </c>
      <c r="F2100" s="215">
        <v>3</v>
      </c>
      <c r="G2100" s="194">
        <v>10.143000000000001</v>
      </c>
      <c r="H2100" s="195">
        <v>30.429000000000002</v>
      </c>
      <c r="I2100" s="212" t="s">
        <v>2354</v>
      </c>
    </row>
    <row r="2101" spans="1:9" x14ac:dyDescent="0.25">
      <c r="A2101" s="193" t="s">
        <v>220</v>
      </c>
      <c r="B2101" s="193" t="s">
        <v>5430</v>
      </c>
      <c r="C2101" s="214" t="s">
        <v>5907</v>
      </c>
      <c r="D2101" s="193" t="s">
        <v>5908</v>
      </c>
      <c r="E2101" s="212" t="s">
        <v>545</v>
      </c>
      <c r="F2101" s="215">
        <v>3</v>
      </c>
      <c r="G2101" s="194">
        <v>10.143000000000001</v>
      </c>
      <c r="H2101" s="195">
        <v>30.429000000000002</v>
      </c>
      <c r="I2101" s="212" t="s">
        <v>2354</v>
      </c>
    </row>
    <row r="2102" spans="1:9" x14ac:dyDescent="0.25">
      <c r="A2102" s="193" t="s">
        <v>220</v>
      </c>
      <c r="B2102" s="193" t="s">
        <v>2351</v>
      </c>
      <c r="C2102" s="214" t="s">
        <v>5294</v>
      </c>
      <c r="D2102" s="193" t="s">
        <v>5295</v>
      </c>
      <c r="E2102" s="212" t="s">
        <v>545</v>
      </c>
      <c r="F2102" s="215">
        <v>3</v>
      </c>
      <c r="G2102" s="194">
        <v>10.160780000000001</v>
      </c>
      <c r="H2102" s="195">
        <v>30.482340000000001</v>
      </c>
      <c r="I2102" s="212" t="s">
        <v>2354</v>
      </c>
    </row>
    <row r="2103" spans="1:9" x14ac:dyDescent="0.25">
      <c r="A2103" s="193" t="s">
        <v>220</v>
      </c>
      <c r="B2103" s="193" t="s">
        <v>5430</v>
      </c>
      <c r="C2103" s="214" t="s">
        <v>6807</v>
      </c>
      <c r="D2103" s="193" t="s">
        <v>6808</v>
      </c>
      <c r="E2103" s="212" t="s">
        <v>545</v>
      </c>
      <c r="F2103" s="215">
        <v>1</v>
      </c>
      <c r="G2103" s="194">
        <v>30.52</v>
      </c>
      <c r="H2103" s="195">
        <v>30.52</v>
      </c>
      <c r="I2103" s="212" t="s">
        <v>2354</v>
      </c>
    </row>
    <row r="2104" spans="1:9" x14ac:dyDescent="0.25">
      <c r="A2104" s="193" t="s">
        <v>220</v>
      </c>
      <c r="B2104" s="193" t="s">
        <v>2351</v>
      </c>
      <c r="C2104" s="214" t="s">
        <v>4911</v>
      </c>
      <c r="D2104" s="193" t="s">
        <v>4912</v>
      </c>
      <c r="E2104" s="212" t="s">
        <v>545</v>
      </c>
      <c r="F2104" s="215">
        <v>44</v>
      </c>
      <c r="G2104" s="194">
        <v>0.69615000000000005</v>
      </c>
      <c r="H2104" s="195">
        <v>30.630600000000001</v>
      </c>
      <c r="I2104" s="212" t="s">
        <v>2354</v>
      </c>
    </row>
    <row r="2105" spans="1:9" x14ac:dyDescent="0.25">
      <c r="A2105" s="193" t="s">
        <v>220</v>
      </c>
      <c r="B2105" s="193" t="s">
        <v>2351</v>
      </c>
      <c r="C2105" s="214" t="s">
        <v>5158</v>
      </c>
      <c r="D2105" s="193" t="s">
        <v>5159</v>
      </c>
      <c r="E2105" s="212" t="s">
        <v>545</v>
      </c>
      <c r="F2105" s="215">
        <v>56</v>
      </c>
      <c r="G2105" s="194">
        <v>0.54700000000000004</v>
      </c>
      <c r="H2105" s="195">
        <v>30.632000000000001</v>
      </c>
      <c r="I2105" s="212" t="s">
        <v>2354</v>
      </c>
    </row>
    <row r="2106" spans="1:9" x14ac:dyDescent="0.25">
      <c r="A2106" s="193" t="s">
        <v>220</v>
      </c>
      <c r="B2106" s="193" t="s">
        <v>2351</v>
      </c>
      <c r="C2106" s="214" t="s">
        <v>4183</v>
      </c>
      <c r="D2106" s="193" t="s">
        <v>4184</v>
      </c>
      <c r="E2106" s="212" t="s">
        <v>545</v>
      </c>
      <c r="F2106" s="215">
        <v>30</v>
      </c>
      <c r="G2106" s="194">
        <v>1.0245283018867923</v>
      </c>
      <c r="H2106" s="195">
        <v>30.735849056603769</v>
      </c>
      <c r="I2106" s="212" t="s">
        <v>2354</v>
      </c>
    </row>
    <row r="2107" spans="1:9" x14ac:dyDescent="0.25">
      <c r="A2107" s="193" t="s">
        <v>220</v>
      </c>
      <c r="B2107" s="193" t="s">
        <v>2351</v>
      </c>
      <c r="C2107" s="214" t="s">
        <v>5008</v>
      </c>
      <c r="D2107" s="193" t="s">
        <v>5009</v>
      </c>
      <c r="E2107" s="212" t="s">
        <v>545</v>
      </c>
      <c r="F2107" s="215">
        <v>89</v>
      </c>
      <c r="G2107" s="194">
        <v>0.34588000000000002</v>
      </c>
      <c r="H2107" s="195">
        <v>30.783320000000003</v>
      </c>
      <c r="I2107" s="212" t="s">
        <v>2354</v>
      </c>
    </row>
    <row r="2108" spans="1:9" x14ac:dyDescent="0.25">
      <c r="A2108" s="193" t="s">
        <v>220</v>
      </c>
      <c r="B2108" s="193" t="s">
        <v>2351</v>
      </c>
      <c r="C2108" s="214" t="s">
        <v>4706</v>
      </c>
      <c r="D2108" s="193" t="s">
        <v>4707</v>
      </c>
      <c r="E2108" s="212" t="s">
        <v>545</v>
      </c>
      <c r="F2108" s="215">
        <v>1</v>
      </c>
      <c r="G2108" s="194">
        <v>30.809699999999999</v>
      </c>
      <c r="H2108" s="195">
        <v>30.809699999999999</v>
      </c>
      <c r="I2108" s="212" t="s">
        <v>2354</v>
      </c>
    </row>
    <row r="2109" spans="1:9" x14ac:dyDescent="0.25">
      <c r="A2109" s="193" t="s">
        <v>220</v>
      </c>
      <c r="B2109" s="193" t="s">
        <v>5430</v>
      </c>
      <c r="C2109" s="214" t="s">
        <v>6490</v>
      </c>
      <c r="D2109" s="193" t="s">
        <v>6491</v>
      </c>
      <c r="E2109" s="212" t="s">
        <v>545</v>
      </c>
      <c r="F2109" s="215">
        <v>5</v>
      </c>
      <c r="G2109" s="194">
        <v>6.1624999999999996</v>
      </c>
      <c r="H2109" s="195">
        <v>30.8125</v>
      </c>
      <c r="I2109" s="212" t="s">
        <v>2354</v>
      </c>
    </row>
    <row r="2110" spans="1:9" x14ac:dyDescent="0.25">
      <c r="A2110" s="193" t="s">
        <v>220</v>
      </c>
      <c r="B2110" s="193" t="s">
        <v>2351</v>
      </c>
      <c r="C2110" s="214" t="s">
        <v>2808</v>
      </c>
      <c r="D2110" s="193" t="s">
        <v>2809</v>
      </c>
      <c r="E2110" s="212" t="s">
        <v>545</v>
      </c>
      <c r="F2110" s="215">
        <v>3</v>
      </c>
      <c r="G2110" s="194">
        <v>10.35</v>
      </c>
      <c r="H2110" s="195">
        <v>31.049999999999997</v>
      </c>
      <c r="I2110" s="212" t="s">
        <v>2354</v>
      </c>
    </row>
    <row r="2111" spans="1:9" x14ac:dyDescent="0.25">
      <c r="A2111" s="193" t="s">
        <v>220</v>
      </c>
      <c r="B2111" s="193" t="s">
        <v>2351</v>
      </c>
      <c r="C2111" s="214" t="s">
        <v>5050</v>
      </c>
      <c r="D2111" s="193" t="s">
        <v>5051</v>
      </c>
      <c r="E2111" s="212" t="s">
        <v>545</v>
      </c>
      <c r="F2111" s="215">
        <v>23</v>
      </c>
      <c r="G2111" s="194">
        <v>1.35</v>
      </c>
      <c r="H2111" s="195">
        <v>31.05</v>
      </c>
      <c r="I2111" s="212" t="s">
        <v>2354</v>
      </c>
    </row>
    <row r="2112" spans="1:9" x14ac:dyDescent="0.25">
      <c r="A2112" s="193" t="s">
        <v>220</v>
      </c>
      <c r="B2112" s="193" t="s">
        <v>2351</v>
      </c>
      <c r="C2112" s="214" t="s">
        <v>3533</v>
      </c>
      <c r="D2112" s="193" t="s">
        <v>3534</v>
      </c>
      <c r="E2112" s="212" t="s">
        <v>545</v>
      </c>
      <c r="F2112" s="215">
        <v>13</v>
      </c>
      <c r="G2112" s="194">
        <v>2.3913333333333338</v>
      </c>
      <c r="H2112" s="195">
        <v>31.087333333333341</v>
      </c>
      <c r="I2112" s="212" t="s">
        <v>2354</v>
      </c>
    </row>
    <row r="2113" spans="1:9" x14ac:dyDescent="0.25">
      <c r="A2113" s="193" t="s">
        <v>220</v>
      </c>
      <c r="B2113" s="193" t="s">
        <v>5430</v>
      </c>
      <c r="C2113" s="214" t="s">
        <v>6897</v>
      </c>
      <c r="D2113" s="193" t="s">
        <v>6898</v>
      </c>
      <c r="E2113" s="212" t="s">
        <v>545</v>
      </c>
      <c r="F2113" s="215">
        <v>3</v>
      </c>
      <c r="G2113" s="194">
        <v>10.391999999999999</v>
      </c>
      <c r="H2113" s="195">
        <v>31.175999999999998</v>
      </c>
      <c r="I2113" s="212" t="s">
        <v>2354</v>
      </c>
    </row>
    <row r="2114" spans="1:9" x14ac:dyDescent="0.25">
      <c r="A2114" s="193" t="s">
        <v>220</v>
      </c>
      <c r="B2114" s="193" t="s">
        <v>2351</v>
      </c>
      <c r="C2114" s="214" t="s">
        <v>3341</v>
      </c>
      <c r="D2114" s="193" t="s">
        <v>3342</v>
      </c>
      <c r="E2114" s="212" t="s">
        <v>545</v>
      </c>
      <c r="F2114" s="215">
        <v>20</v>
      </c>
      <c r="G2114" s="194">
        <v>1.5614499999999998</v>
      </c>
      <c r="H2114" s="195">
        <v>31.228999999999996</v>
      </c>
      <c r="I2114" s="212" t="s">
        <v>2354</v>
      </c>
    </row>
    <row r="2115" spans="1:9" x14ac:dyDescent="0.25">
      <c r="A2115" s="193" t="s">
        <v>220</v>
      </c>
      <c r="B2115" s="193" t="s">
        <v>5430</v>
      </c>
      <c r="C2115" s="214" t="s">
        <v>6849</v>
      </c>
      <c r="D2115" s="193" t="s">
        <v>6850</v>
      </c>
      <c r="E2115" s="212" t="s">
        <v>545</v>
      </c>
      <c r="F2115" s="215">
        <v>32</v>
      </c>
      <c r="G2115" s="194">
        <v>0.98199999999999998</v>
      </c>
      <c r="H2115" s="195">
        <v>31.423999999999999</v>
      </c>
      <c r="I2115" s="212" t="s">
        <v>2354</v>
      </c>
    </row>
    <row r="2116" spans="1:9" x14ac:dyDescent="0.25">
      <c r="A2116" s="193" t="s">
        <v>220</v>
      </c>
      <c r="B2116" s="193" t="s">
        <v>5430</v>
      </c>
      <c r="C2116" s="214" t="s">
        <v>6479</v>
      </c>
      <c r="D2116" s="193" t="s">
        <v>6480</v>
      </c>
      <c r="E2116" s="212" t="s">
        <v>545</v>
      </c>
      <c r="F2116" s="215">
        <v>1</v>
      </c>
      <c r="G2116" s="194">
        <v>31.427100000000003</v>
      </c>
      <c r="H2116" s="195">
        <v>31.427100000000003</v>
      </c>
      <c r="I2116" s="212" t="s">
        <v>2354</v>
      </c>
    </row>
    <row r="2117" spans="1:9" x14ac:dyDescent="0.25">
      <c r="A2117" s="193" t="s">
        <v>220</v>
      </c>
      <c r="B2117" s="193" t="s">
        <v>2351</v>
      </c>
      <c r="C2117" s="214" t="s">
        <v>3467</v>
      </c>
      <c r="D2117" s="193" t="s">
        <v>3468</v>
      </c>
      <c r="E2117" s="212" t="s">
        <v>545</v>
      </c>
      <c r="F2117" s="215">
        <v>15</v>
      </c>
      <c r="G2117" s="194">
        <v>2.0994999999999999</v>
      </c>
      <c r="H2117" s="195">
        <v>31.4925</v>
      </c>
      <c r="I2117" s="212" t="s">
        <v>2354</v>
      </c>
    </row>
    <row r="2118" spans="1:9" x14ac:dyDescent="0.25">
      <c r="A2118" s="193" t="s">
        <v>220</v>
      </c>
      <c r="B2118" s="193" t="s">
        <v>5430</v>
      </c>
      <c r="C2118" s="214" t="s">
        <v>7101</v>
      </c>
      <c r="D2118" s="193" t="s">
        <v>7102</v>
      </c>
      <c r="E2118" s="212" t="s">
        <v>545</v>
      </c>
      <c r="F2118" s="215">
        <v>76</v>
      </c>
      <c r="G2118" s="194">
        <v>0.41777999999999998</v>
      </c>
      <c r="H2118" s="195">
        <v>31.751279999999998</v>
      </c>
      <c r="I2118" s="212" t="s">
        <v>2354</v>
      </c>
    </row>
    <row r="2119" spans="1:9" x14ac:dyDescent="0.25">
      <c r="A2119" s="193" t="s">
        <v>220</v>
      </c>
      <c r="B2119" s="193" t="s">
        <v>2351</v>
      </c>
      <c r="C2119" s="214"/>
      <c r="D2119" s="193" t="s">
        <v>2360</v>
      </c>
      <c r="E2119" s="212" t="s">
        <v>545</v>
      </c>
      <c r="F2119" s="215">
        <v>2</v>
      </c>
      <c r="G2119" s="194">
        <v>15.882</v>
      </c>
      <c r="H2119" s="195">
        <v>31.763999999999999</v>
      </c>
      <c r="I2119" s="212" t="s">
        <v>2354</v>
      </c>
    </row>
    <row r="2120" spans="1:9" x14ac:dyDescent="0.25">
      <c r="A2120" s="193" t="s">
        <v>220</v>
      </c>
      <c r="B2120" s="193" t="s">
        <v>5430</v>
      </c>
      <c r="C2120" s="214" t="s">
        <v>7087</v>
      </c>
      <c r="D2120" s="193" t="s">
        <v>7088</v>
      </c>
      <c r="E2120" s="212" t="s">
        <v>545</v>
      </c>
      <c r="F2120" s="215">
        <v>1</v>
      </c>
      <c r="G2120" s="194">
        <v>31.827850000000002</v>
      </c>
      <c r="H2120" s="195">
        <v>31.827850000000002</v>
      </c>
      <c r="I2120" s="212" t="s">
        <v>2354</v>
      </c>
    </row>
    <row r="2121" spans="1:9" x14ac:dyDescent="0.25">
      <c r="A2121" s="193" t="s">
        <v>220</v>
      </c>
      <c r="B2121" s="193" t="s">
        <v>2351</v>
      </c>
      <c r="C2121" s="214" t="s">
        <v>5192</v>
      </c>
      <c r="D2121" s="193" t="s">
        <v>5193</v>
      </c>
      <c r="E2121" s="212" t="s">
        <v>545</v>
      </c>
      <c r="F2121" s="215">
        <v>6</v>
      </c>
      <c r="G2121" s="194">
        <v>5.3070000000000004</v>
      </c>
      <c r="H2121" s="195">
        <v>31.842000000000002</v>
      </c>
      <c r="I2121" s="212" t="s">
        <v>2354</v>
      </c>
    </row>
    <row r="2122" spans="1:9" x14ac:dyDescent="0.25">
      <c r="A2122" s="193" t="s">
        <v>220</v>
      </c>
      <c r="B2122" s="193" t="s">
        <v>2351</v>
      </c>
      <c r="C2122" s="214" t="s">
        <v>2780</v>
      </c>
      <c r="D2122" s="193" t="s">
        <v>2781</v>
      </c>
      <c r="E2122" s="212" t="s">
        <v>545</v>
      </c>
      <c r="F2122" s="215">
        <v>1</v>
      </c>
      <c r="G2122" s="194">
        <v>31.95</v>
      </c>
      <c r="H2122" s="195">
        <v>31.95</v>
      </c>
      <c r="I2122" s="212" t="s">
        <v>2354</v>
      </c>
    </row>
    <row r="2123" spans="1:9" x14ac:dyDescent="0.25">
      <c r="A2123" s="193" t="s">
        <v>220</v>
      </c>
      <c r="B2123" s="193" t="s">
        <v>2351</v>
      </c>
      <c r="C2123" s="214" t="s">
        <v>3931</v>
      </c>
      <c r="D2123" s="193" t="s">
        <v>3932</v>
      </c>
      <c r="E2123" s="212" t="s">
        <v>545</v>
      </c>
      <c r="F2123" s="215">
        <v>2</v>
      </c>
      <c r="G2123" s="194">
        <v>16</v>
      </c>
      <c r="H2123" s="195">
        <v>32</v>
      </c>
      <c r="I2123" s="212" t="s">
        <v>2354</v>
      </c>
    </row>
    <row r="2124" spans="1:9" x14ac:dyDescent="0.25">
      <c r="A2124" s="193" t="s">
        <v>220</v>
      </c>
      <c r="B2124" s="193" t="s">
        <v>2351</v>
      </c>
      <c r="C2124" s="214" t="s">
        <v>4955</v>
      </c>
      <c r="D2124" s="193" t="s">
        <v>4956</v>
      </c>
      <c r="E2124" s="212" t="s">
        <v>545</v>
      </c>
      <c r="F2124" s="215">
        <v>250</v>
      </c>
      <c r="G2124" s="194">
        <v>0.128</v>
      </c>
      <c r="H2124" s="195">
        <v>32</v>
      </c>
      <c r="I2124" s="212" t="s">
        <v>2354</v>
      </c>
    </row>
    <row r="2125" spans="1:9" x14ac:dyDescent="0.25">
      <c r="A2125" s="193" t="s">
        <v>220</v>
      </c>
      <c r="B2125" s="193" t="s">
        <v>2351</v>
      </c>
      <c r="C2125" s="214" t="s">
        <v>3941</v>
      </c>
      <c r="D2125" s="193" t="s">
        <v>3942</v>
      </c>
      <c r="E2125" s="212" t="s">
        <v>545</v>
      </c>
      <c r="F2125" s="215">
        <v>7</v>
      </c>
      <c r="G2125" s="194">
        <v>4.5789999999999997</v>
      </c>
      <c r="H2125" s="195">
        <v>32.052999999999997</v>
      </c>
      <c r="I2125" s="212" t="s">
        <v>2354</v>
      </c>
    </row>
    <row r="2126" spans="1:9" x14ac:dyDescent="0.25">
      <c r="A2126" s="193" t="s">
        <v>220</v>
      </c>
      <c r="B2126" s="193" t="s">
        <v>2351</v>
      </c>
      <c r="C2126" s="214" t="s">
        <v>5004</v>
      </c>
      <c r="D2126" s="193" t="s">
        <v>5005</v>
      </c>
      <c r="E2126" s="212" t="s">
        <v>545</v>
      </c>
      <c r="F2126" s="215">
        <v>263</v>
      </c>
      <c r="G2126" s="194">
        <v>0.12189999999999999</v>
      </c>
      <c r="H2126" s="195">
        <v>32.059699999999999</v>
      </c>
      <c r="I2126" s="212" t="s">
        <v>2354</v>
      </c>
    </row>
    <row r="2127" spans="1:9" x14ac:dyDescent="0.25">
      <c r="A2127" s="193" t="s">
        <v>220</v>
      </c>
      <c r="B2127" s="193" t="s">
        <v>2351</v>
      </c>
      <c r="C2127" s="214" t="s">
        <v>4772</v>
      </c>
      <c r="D2127" s="193" t="s">
        <v>4773</v>
      </c>
      <c r="E2127" s="212" t="s">
        <v>545</v>
      </c>
      <c r="F2127" s="215">
        <v>120</v>
      </c>
      <c r="G2127" s="194">
        <v>0.26774999999999999</v>
      </c>
      <c r="H2127" s="195">
        <v>32.129999999999995</v>
      </c>
      <c r="I2127" s="212" t="s">
        <v>2354</v>
      </c>
    </row>
    <row r="2128" spans="1:9" x14ac:dyDescent="0.25">
      <c r="A2128" s="193" t="s">
        <v>220</v>
      </c>
      <c r="B2128" s="193" t="s">
        <v>5430</v>
      </c>
      <c r="C2128" s="214" t="s">
        <v>5971</v>
      </c>
      <c r="D2128" s="193" t="s">
        <v>5972</v>
      </c>
      <c r="E2128" s="212" t="s">
        <v>545</v>
      </c>
      <c r="F2128" s="215">
        <v>2</v>
      </c>
      <c r="G2128" s="194">
        <v>16.086600000000001</v>
      </c>
      <c r="H2128" s="195">
        <v>32.173200000000001</v>
      </c>
      <c r="I2128" s="212" t="s">
        <v>2354</v>
      </c>
    </row>
    <row r="2129" spans="1:9" x14ac:dyDescent="0.25">
      <c r="A2129" s="193" t="s">
        <v>220</v>
      </c>
      <c r="B2129" s="193" t="s">
        <v>2351</v>
      </c>
      <c r="C2129" s="214" t="s">
        <v>4343</v>
      </c>
      <c r="D2129" s="193" t="s">
        <v>4344</v>
      </c>
      <c r="E2129" s="212" t="s">
        <v>545</v>
      </c>
      <c r="F2129" s="215">
        <v>20</v>
      </c>
      <c r="G2129" s="194">
        <v>1.615</v>
      </c>
      <c r="H2129" s="195">
        <v>32.299999999999997</v>
      </c>
      <c r="I2129" s="212" t="s">
        <v>2354</v>
      </c>
    </row>
    <row r="2130" spans="1:9" x14ac:dyDescent="0.25">
      <c r="A2130" s="193" t="s">
        <v>220</v>
      </c>
      <c r="B2130" s="193" t="s">
        <v>5430</v>
      </c>
      <c r="C2130" s="214" t="s">
        <v>6990</v>
      </c>
      <c r="D2130" s="193" t="s">
        <v>6991</v>
      </c>
      <c r="E2130" s="212" t="s">
        <v>545</v>
      </c>
      <c r="F2130" s="215">
        <v>1</v>
      </c>
      <c r="G2130" s="194">
        <v>32.340000000000003</v>
      </c>
      <c r="H2130" s="195">
        <v>32.340000000000003</v>
      </c>
      <c r="I2130" s="212" t="s">
        <v>2354</v>
      </c>
    </row>
    <row r="2131" spans="1:9" x14ac:dyDescent="0.25">
      <c r="A2131" s="193" t="s">
        <v>220</v>
      </c>
      <c r="B2131" s="193" t="s">
        <v>2351</v>
      </c>
      <c r="C2131" s="214" t="s">
        <v>5272</v>
      </c>
      <c r="D2131" s="193" t="s">
        <v>5273</v>
      </c>
      <c r="E2131" s="212" t="s">
        <v>545</v>
      </c>
      <c r="F2131" s="215">
        <v>20</v>
      </c>
      <c r="G2131" s="194">
        <v>1.619</v>
      </c>
      <c r="H2131" s="195">
        <v>32.380000000000003</v>
      </c>
      <c r="I2131" s="212" t="s">
        <v>2354</v>
      </c>
    </row>
    <row r="2132" spans="1:9" x14ac:dyDescent="0.25">
      <c r="A2132" s="193" t="s">
        <v>220</v>
      </c>
      <c r="B2132" s="193" t="s">
        <v>5430</v>
      </c>
      <c r="C2132" s="214" t="s">
        <v>5827</v>
      </c>
      <c r="D2132" s="193" t="s">
        <v>5828</v>
      </c>
      <c r="E2132" s="212" t="s">
        <v>545</v>
      </c>
      <c r="F2132" s="215">
        <v>1</v>
      </c>
      <c r="G2132" s="194">
        <v>32.4</v>
      </c>
      <c r="H2132" s="195">
        <v>32.4</v>
      </c>
      <c r="I2132" s="212" t="s">
        <v>2354</v>
      </c>
    </row>
    <row r="2133" spans="1:9" x14ac:dyDescent="0.25">
      <c r="A2133" s="193" t="s">
        <v>220</v>
      </c>
      <c r="B2133" s="193" t="s">
        <v>2351</v>
      </c>
      <c r="C2133" s="214" t="s">
        <v>3267</v>
      </c>
      <c r="D2133" s="193" t="s">
        <v>3268</v>
      </c>
      <c r="E2133" s="212" t="s">
        <v>545</v>
      </c>
      <c r="F2133" s="215">
        <v>2</v>
      </c>
      <c r="G2133" s="194">
        <v>16.214741666666665</v>
      </c>
      <c r="H2133" s="195">
        <v>32.42948333333333</v>
      </c>
      <c r="I2133" s="212" t="s">
        <v>2354</v>
      </c>
    </row>
    <row r="2134" spans="1:9" x14ac:dyDescent="0.25">
      <c r="A2134" s="193" t="s">
        <v>220</v>
      </c>
      <c r="B2134" s="193" t="s">
        <v>2351</v>
      </c>
      <c r="C2134" s="214" t="s">
        <v>2365</v>
      </c>
      <c r="D2134" s="193" t="s">
        <v>2366</v>
      </c>
      <c r="E2134" s="212" t="s">
        <v>545</v>
      </c>
      <c r="F2134" s="215">
        <v>2</v>
      </c>
      <c r="G2134" s="194">
        <v>16.256</v>
      </c>
      <c r="H2134" s="195">
        <v>32.512</v>
      </c>
      <c r="I2134" s="212" t="s">
        <v>2354</v>
      </c>
    </row>
    <row r="2135" spans="1:9" x14ac:dyDescent="0.25">
      <c r="A2135" s="193" t="s">
        <v>220</v>
      </c>
      <c r="B2135" s="193" t="s">
        <v>2351</v>
      </c>
      <c r="C2135" s="214" t="s">
        <v>3303</v>
      </c>
      <c r="D2135" s="193" t="s">
        <v>3304</v>
      </c>
      <c r="E2135" s="212" t="s">
        <v>545</v>
      </c>
      <c r="F2135" s="215">
        <v>5</v>
      </c>
      <c r="G2135" s="194">
        <v>6.5119999999999996</v>
      </c>
      <c r="H2135" s="195">
        <v>32.559999999999995</v>
      </c>
      <c r="I2135" s="212" t="s">
        <v>2354</v>
      </c>
    </row>
    <row r="2136" spans="1:9" x14ac:dyDescent="0.25">
      <c r="A2136" s="193" t="s">
        <v>220</v>
      </c>
      <c r="B2136" s="193" t="s">
        <v>5430</v>
      </c>
      <c r="C2136" s="214" t="s">
        <v>6319</v>
      </c>
      <c r="D2136" s="193" t="s">
        <v>3304</v>
      </c>
      <c r="E2136" s="212" t="s">
        <v>545</v>
      </c>
      <c r="F2136" s="215">
        <v>5</v>
      </c>
      <c r="G2136" s="194">
        <v>6.5119999999999996</v>
      </c>
      <c r="H2136" s="195">
        <v>32.559999999999995</v>
      </c>
      <c r="I2136" s="212" t="s">
        <v>2354</v>
      </c>
    </row>
    <row r="2137" spans="1:9" x14ac:dyDescent="0.25">
      <c r="A2137" s="193" t="s">
        <v>220</v>
      </c>
      <c r="B2137" s="193" t="s">
        <v>2351</v>
      </c>
      <c r="C2137" s="214" t="s">
        <v>2902</v>
      </c>
      <c r="D2137" s="193" t="s">
        <v>2903</v>
      </c>
      <c r="E2137" s="212" t="s">
        <v>545</v>
      </c>
      <c r="F2137" s="215">
        <v>6</v>
      </c>
      <c r="G2137" s="194">
        <v>5.4503999999999992</v>
      </c>
      <c r="H2137" s="195">
        <v>32.702399999999997</v>
      </c>
      <c r="I2137" s="212" t="s">
        <v>2354</v>
      </c>
    </row>
    <row r="2138" spans="1:9" x14ac:dyDescent="0.25">
      <c r="A2138" s="193" t="s">
        <v>220</v>
      </c>
      <c r="B2138" s="193" t="s">
        <v>5430</v>
      </c>
      <c r="C2138" s="214" t="s">
        <v>6472</v>
      </c>
      <c r="D2138" s="193" t="s">
        <v>6473</v>
      </c>
      <c r="E2138" s="212" t="s">
        <v>545</v>
      </c>
      <c r="F2138" s="215">
        <v>7</v>
      </c>
      <c r="G2138" s="194">
        <v>4.6749999999999998</v>
      </c>
      <c r="H2138" s="195">
        <v>32.725000000000001</v>
      </c>
      <c r="I2138" s="212" t="s">
        <v>2354</v>
      </c>
    </row>
    <row r="2139" spans="1:9" x14ac:dyDescent="0.25">
      <c r="A2139" s="193" t="s">
        <v>220</v>
      </c>
      <c r="B2139" s="193" t="s">
        <v>5430</v>
      </c>
      <c r="C2139" s="214" t="s">
        <v>5398</v>
      </c>
      <c r="D2139" s="193" t="s">
        <v>5399</v>
      </c>
      <c r="E2139" s="212" t="s">
        <v>545</v>
      </c>
      <c r="F2139" s="215">
        <v>1</v>
      </c>
      <c r="G2139" s="194">
        <v>32.843699999999998</v>
      </c>
      <c r="H2139" s="195">
        <v>32.843699999999998</v>
      </c>
      <c r="I2139" s="212" t="s">
        <v>2354</v>
      </c>
    </row>
    <row r="2140" spans="1:9" x14ac:dyDescent="0.25">
      <c r="A2140" s="193" t="s">
        <v>220</v>
      </c>
      <c r="B2140" s="193" t="s">
        <v>5430</v>
      </c>
      <c r="C2140" s="214" t="s">
        <v>3769</v>
      </c>
      <c r="D2140" s="193" t="s">
        <v>3770</v>
      </c>
      <c r="E2140" s="212" t="s">
        <v>545</v>
      </c>
      <c r="F2140" s="215">
        <v>2</v>
      </c>
      <c r="G2140" s="194">
        <v>16.4358</v>
      </c>
      <c r="H2140" s="195">
        <v>32.871600000000001</v>
      </c>
      <c r="I2140" s="212" t="s">
        <v>2354</v>
      </c>
    </row>
    <row r="2141" spans="1:9" x14ac:dyDescent="0.25">
      <c r="A2141" s="193" t="s">
        <v>220</v>
      </c>
      <c r="B2141" s="193" t="s">
        <v>2351</v>
      </c>
      <c r="C2141" s="214" t="s">
        <v>2790</v>
      </c>
      <c r="D2141" s="193" t="s">
        <v>2791</v>
      </c>
      <c r="E2141" s="212" t="s">
        <v>545</v>
      </c>
      <c r="F2141" s="215">
        <v>3</v>
      </c>
      <c r="G2141" s="194">
        <v>11.0115</v>
      </c>
      <c r="H2141" s="195">
        <v>33.034500000000001</v>
      </c>
      <c r="I2141" s="212" t="s">
        <v>2354</v>
      </c>
    </row>
    <row r="2142" spans="1:9" x14ac:dyDescent="0.25">
      <c r="A2142" s="193" t="s">
        <v>220</v>
      </c>
      <c r="B2142" s="193" t="s">
        <v>2351</v>
      </c>
      <c r="C2142" s="214" t="s">
        <v>3515</v>
      </c>
      <c r="D2142" s="193" t="s">
        <v>3516</v>
      </c>
      <c r="E2142" s="212" t="s">
        <v>545</v>
      </c>
      <c r="F2142" s="215">
        <v>2</v>
      </c>
      <c r="G2142" s="194">
        <v>16.531649999999999</v>
      </c>
      <c r="H2142" s="195">
        <v>33.063299999999998</v>
      </c>
      <c r="I2142" s="212" t="s">
        <v>2354</v>
      </c>
    </row>
    <row r="2143" spans="1:9" x14ac:dyDescent="0.25">
      <c r="A2143" s="193" t="s">
        <v>220</v>
      </c>
      <c r="B2143" s="193" t="s">
        <v>5430</v>
      </c>
      <c r="C2143" s="214" t="s">
        <v>5815</v>
      </c>
      <c r="D2143" s="193" t="s">
        <v>5816</v>
      </c>
      <c r="E2143" s="212" t="s">
        <v>545</v>
      </c>
      <c r="F2143" s="215">
        <v>1</v>
      </c>
      <c r="G2143" s="194">
        <v>33.125</v>
      </c>
      <c r="H2143" s="195">
        <v>33.125</v>
      </c>
      <c r="I2143" s="212" t="s">
        <v>2354</v>
      </c>
    </row>
    <row r="2144" spans="1:9" x14ac:dyDescent="0.25">
      <c r="A2144" s="193" t="s">
        <v>220</v>
      </c>
      <c r="B2144" s="193" t="s">
        <v>5430</v>
      </c>
      <c r="C2144" s="214" t="s">
        <v>5821</v>
      </c>
      <c r="D2144" s="193" t="s">
        <v>5822</v>
      </c>
      <c r="E2144" s="212" t="s">
        <v>545</v>
      </c>
      <c r="F2144" s="215">
        <v>1</v>
      </c>
      <c r="G2144" s="194">
        <v>33.125</v>
      </c>
      <c r="H2144" s="195">
        <v>33.125</v>
      </c>
      <c r="I2144" s="212" t="s">
        <v>2354</v>
      </c>
    </row>
    <row r="2145" spans="1:9" x14ac:dyDescent="0.25">
      <c r="A2145" s="193" t="s">
        <v>220</v>
      </c>
      <c r="B2145" s="193" t="s">
        <v>2351</v>
      </c>
      <c r="C2145" s="214" t="s">
        <v>2882</v>
      </c>
      <c r="D2145" s="193" t="s">
        <v>2883</v>
      </c>
      <c r="E2145" s="212" t="s">
        <v>545</v>
      </c>
      <c r="F2145" s="215">
        <v>8</v>
      </c>
      <c r="G2145" s="194">
        <v>4.1420000000000003</v>
      </c>
      <c r="H2145" s="195">
        <v>33.136000000000003</v>
      </c>
      <c r="I2145" s="212" t="s">
        <v>2354</v>
      </c>
    </row>
    <row r="2146" spans="1:9" x14ac:dyDescent="0.25">
      <c r="A2146" s="193" t="s">
        <v>220</v>
      </c>
      <c r="B2146" s="193" t="s">
        <v>2351</v>
      </c>
      <c r="C2146" s="214" t="s">
        <v>5092</v>
      </c>
      <c r="D2146" s="193" t="s">
        <v>5093</v>
      </c>
      <c r="E2146" s="212" t="s">
        <v>545</v>
      </c>
      <c r="F2146" s="215">
        <v>5</v>
      </c>
      <c r="G2146" s="194">
        <v>6.63</v>
      </c>
      <c r="H2146" s="195">
        <v>33.15</v>
      </c>
      <c r="I2146" s="212" t="s">
        <v>2354</v>
      </c>
    </row>
    <row r="2147" spans="1:9" x14ac:dyDescent="0.25">
      <c r="A2147" s="193" t="s">
        <v>220</v>
      </c>
      <c r="B2147" s="193" t="s">
        <v>2351</v>
      </c>
      <c r="C2147" s="214" t="s">
        <v>5042</v>
      </c>
      <c r="D2147" s="193" t="s">
        <v>5043</v>
      </c>
      <c r="E2147" s="212" t="s">
        <v>545</v>
      </c>
      <c r="F2147" s="215">
        <v>158</v>
      </c>
      <c r="G2147" s="194">
        <v>0.20992</v>
      </c>
      <c r="H2147" s="195">
        <v>33.167360000000002</v>
      </c>
      <c r="I2147" s="212" t="s">
        <v>2354</v>
      </c>
    </row>
    <row r="2148" spans="1:9" x14ac:dyDescent="0.25">
      <c r="A2148" s="193" t="s">
        <v>220</v>
      </c>
      <c r="B2148" s="193" t="s">
        <v>5430</v>
      </c>
      <c r="C2148" s="214" t="s">
        <v>7027</v>
      </c>
      <c r="D2148" s="193" t="s">
        <v>7028</v>
      </c>
      <c r="E2148" s="212" t="s">
        <v>545</v>
      </c>
      <c r="F2148" s="215">
        <v>1</v>
      </c>
      <c r="G2148" s="194">
        <v>33.25</v>
      </c>
      <c r="H2148" s="195">
        <v>33.25</v>
      </c>
      <c r="I2148" s="212" t="s">
        <v>2354</v>
      </c>
    </row>
    <row r="2149" spans="1:9" x14ac:dyDescent="0.25">
      <c r="A2149" s="193" t="s">
        <v>220</v>
      </c>
      <c r="B2149" s="193" t="s">
        <v>5430</v>
      </c>
      <c r="C2149" s="214" t="s">
        <v>4670</v>
      </c>
      <c r="D2149" s="193" t="s">
        <v>4671</v>
      </c>
      <c r="E2149" s="212" t="s">
        <v>545</v>
      </c>
      <c r="F2149" s="215">
        <v>69</v>
      </c>
      <c r="G2149" s="194">
        <v>0.48299999999999998</v>
      </c>
      <c r="H2149" s="195">
        <v>33.326999999999998</v>
      </c>
      <c r="I2149" s="212" t="s">
        <v>2354</v>
      </c>
    </row>
    <row r="2150" spans="1:9" x14ac:dyDescent="0.25">
      <c r="A2150" s="193" t="s">
        <v>220</v>
      </c>
      <c r="B2150" s="193" t="s">
        <v>5430</v>
      </c>
      <c r="C2150" s="214" t="s">
        <v>2956</v>
      </c>
      <c r="D2150" s="193" t="s">
        <v>2957</v>
      </c>
      <c r="E2150" s="212" t="s">
        <v>545</v>
      </c>
      <c r="F2150" s="215">
        <v>1</v>
      </c>
      <c r="G2150" s="194">
        <v>33.344999999999999</v>
      </c>
      <c r="H2150" s="195">
        <v>33.344999999999999</v>
      </c>
      <c r="I2150" s="212" t="s">
        <v>2354</v>
      </c>
    </row>
    <row r="2151" spans="1:9" x14ac:dyDescent="0.25">
      <c r="A2151" s="193" t="s">
        <v>220</v>
      </c>
      <c r="B2151" s="193" t="s">
        <v>2351</v>
      </c>
      <c r="C2151" s="214" t="s">
        <v>2818</v>
      </c>
      <c r="D2151" s="193" t="s">
        <v>2819</v>
      </c>
      <c r="E2151" s="212" t="s">
        <v>545</v>
      </c>
      <c r="F2151" s="215">
        <v>9</v>
      </c>
      <c r="G2151" s="194">
        <v>3.7124999999999999</v>
      </c>
      <c r="H2151" s="195">
        <v>33.412500000000001</v>
      </c>
      <c r="I2151" s="212" t="s">
        <v>2354</v>
      </c>
    </row>
    <row r="2152" spans="1:9" x14ac:dyDescent="0.25">
      <c r="A2152" s="193" t="s">
        <v>220</v>
      </c>
      <c r="B2152" s="193" t="s">
        <v>5430</v>
      </c>
      <c r="C2152" s="214" t="s">
        <v>3545</v>
      </c>
      <c r="D2152" s="193" t="s">
        <v>3546</v>
      </c>
      <c r="E2152" s="212" t="s">
        <v>545</v>
      </c>
      <c r="F2152" s="215">
        <v>12</v>
      </c>
      <c r="G2152" s="194">
        <v>2.7899999999999996</v>
      </c>
      <c r="H2152" s="195">
        <v>33.479999999999997</v>
      </c>
      <c r="I2152" s="212" t="s">
        <v>2354</v>
      </c>
    </row>
    <row r="2153" spans="1:9" x14ac:dyDescent="0.25">
      <c r="A2153" s="193" t="s">
        <v>220</v>
      </c>
      <c r="B2153" s="193" t="s">
        <v>5430</v>
      </c>
      <c r="C2153" s="214" t="s">
        <v>6069</v>
      </c>
      <c r="D2153" s="193" t="s">
        <v>6070</v>
      </c>
      <c r="E2153" s="212" t="s">
        <v>545</v>
      </c>
      <c r="F2153" s="215">
        <v>1</v>
      </c>
      <c r="G2153" s="194">
        <v>33.57</v>
      </c>
      <c r="H2153" s="195">
        <v>33.57</v>
      </c>
      <c r="I2153" s="212" t="s">
        <v>2354</v>
      </c>
    </row>
    <row r="2154" spans="1:9" x14ac:dyDescent="0.25">
      <c r="A2154" s="193" t="s">
        <v>220</v>
      </c>
      <c r="B2154" s="193" t="s">
        <v>5430</v>
      </c>
      <c r="C2154" s="214" t="s">
        <v>6073</v>
      </c>
      <c r="D2154" s="193" t="s">
        <v>6074</v>
      </c>
      <c r="E2154" s="212" t="s">
        <v>545</v>
      </c>
      <c r="F2154" s="215">
        <v>1</v>
      </c>
      <c r="G2154" s="194">
        <v>33.57</v>
      </c>
      <c r="H2154" s="195">
        <v>33.57</v>
      </c>
      <c r="I2154" s="212" t="s">
        <v>2354</v>
      </c>
    </row>
    <row r="2155" spans="1:9" x14ac:dyDescent="0.25">
      <c r="A2155" s="193" t="s">
        <v>220</v>
      </c>
      <c r="B2155" s="193" t="s">
        <v>2351</v>
      </c>
      <c r="C2155" s="214" t="s">
        <v>4712</v>
      </c>
      <c r="D2155" s="193" t="s">
        <v>4713</v>
      </c>
      <c r="E2155" s="212" t="s">
        <v>545</v>
      </c>
      <c r="F2155" s="215">
        <v>32</v>
      </c>
      <c r="G2155" s="194">
        <v>1.0506</v>
      </c>
      <c r="H2155" s="195">
        <v>33.619199999999999</v>
      </c>
      <c r="I2155" s="212" t="s">
        <v>2354</v>
      </c>
    </row>
    <row r="2156" spans="1:9" x14ac:dyDescent="0.25">
      <c r="A2156" s="193" t="s">
        <v>220</v>
      </c>
      <c r="B2156" s="193" t="s">
        <v>5430</v>
      </c>
      <c r="C2156" s="214" t="s">
        <v>3505</v>
      </c>
      <c r="D2156" s="193" t="s">
        <v>3506</v>
      </c>
      <c r="E2156" s="212" t="s">
        <v>545</v>
      </c>
      <c r="F2156" s="215">
        <v>3</v>
      </c>
      <c r="G2156" s="194">
        <v>11.22</v>
      </c>
      <c r="H2156" s="195">
        <v>33.660000000000004</v>
      </c>
      <c r="I2156" s="212" t="s">
        <v>2354</v>
      </c>
    </row>
    <row r="2157" spans="1:9" x14ac:dyDescent="0.25">
      <c r="A2157" s="193" t="s">
        <v>220</v>
      </c>
      <c r="B2157" s="193" t="s">
        <v>5430</v>
      </c>
      <c r="C2157" s="214" t="s">
        <v>5899</v>
      </c>
      <c r="D2157" s="193" t="s">
        <v>5900</v>
      </c>
      <c r="E2157" s="212" t="s">
        <v>545</v>
      </c>
      <c r="F2157" s="215">
        <v>5</v>
      </c>
      <c r="G2157" s="194">
        <v>6.75</v>
      </c>
      <c r="H2157" s="195">
        <v>33.75</v>
      </c>
      <c r="I2157" s="212" t="s">
        <v>2354</v>
      </c>
    </row>
    <row r="2158" spans="1:9" x14ac:dyDescent="0.25">
      <c r="A2158" s="193" t="s">
        <v>220</v>
      </c>
      <c r="B2158" s="193" t="s">
        <v>2351</v>
      </c>
      <c r="C2158" s="214" t="s">
        <v>4971</v>
      </c>
      <c r="D2158" s="193" t="s">
        <v>4972</v>
      </c>
      <c r="E2158" s="212" t="s">
        <v>545</v>
      </c>
      <c r="F2158" s="215">
        <v>4</v>
      </c>
      <c r="G2158" s="194">
        <v>8.4700000000000006</v>
      </c>
      <c r="H2158" s="195">
        <v>33.880000000000003</v>
      </c>
      <c r="I2158" s="212" t="s">
        <v>2354</v>
      </c>
    </row>
    <row r="2159" spans="1:9" x14ac:dyDescent="0.25">
      <c r="A2159" s="193" t="s">
        <v>220</v>
      </c>
      <c r="B2159" s="193" t="s">
        <v>2351</v>
      </c>
      <c r="C2159" s="214" t="s">
        <v>4704</v>
      </c>
      <c r="D2159" s="193" t="s">
        <v>4705</v>
      </c>
      <c r="E2159" s="212" t="s">
        <v>545</v>
      </c>
      <c r="F2159" s="215">
        <v>36</v>
      </c>
      <c r="G2159" s="194">
        <v>0.94299999999999995</v>
      </c>
      <c r="H2159" s="195">
        <v>33.948</v>
      </c>
      <c r="I2159" s="212" t="s">
        <v>2354</v>
      </c>
    </row>
    <row r="2160" spans="1:9" x14ac:dyDescent="0.25">
      <c r="A2160" s="193" t="s">
        <v>220</v>
      </c>
      <c r="B2160" s="193" t="s">
        <v>2351</v>
      </c>
      <c r="C2160" s="214" t="s">
        <v>3629</v>
      </c>
      <c r="D2160" s="193" t="s">
        <v>3630</v>
      </c>
      <c r="E2160" s="212" t="s">
        <v>545</v>
      </c>
      <c r="F2160" s="215">
        <v>29</v>
      </c>
      <c r="G2160" s="194">
        <v>1.1729999999999998</v>
      </c>
      <c r="H2160" s="195">
        <v>34.016999999999996</v>
      </c>
      <c r="I2160" s="212" t="s">
        <v>2354</v>
      </c>
    </row>
    <row r="2161" spans="1:9" x14ac:dyDescent="0.25">
      <c r="A2161" s="193" t="s">
        <v>220</v>
      </c>
      <c r="B2161" s="193" t="s">
        <v>5430</v>
      </c>
      <c r="C2161" s="214" t="s">
        <v>7127</v>
      </c>
      <c r="D2161" s="193" t="s">
        <v>7128</v>
      </c>
      <c r="E2161" s="212" t="s">
        <v>545</v>
      </c>
      <c r="F2161" s="215">
        <v>62</v>
      </c>
      <c r="G2161" s="194">
        <v>0.55342000000000002</v>
      </c>
      <c r="H2161" s="195">
        <v>34.312040000000003</v>
      </c>
      <c r="I2161" s="212" t="s">
        <v>2354</v>
      </c>
    </row>
    <row r="2162" spans="1:9" x14ac:dyDescent="0.25">
      <c r="A2162" s="193" t="s">
        <v>220</v>
      </c>
      <c r="B2162" s="193" t="s">
        <v>2351</v>
      </c>
      <c r="C2162" s="214" t="s">
        <v>3577</v>
      </c>
      <c r="D2162" s="193" t="s">
        <v>3578</v>
      </c>
      <c r="E2162" s="212" t="s">
        <v>545</v>
      </c>
      <c r="F2162" s="215">
        <v>3</v>
      </c>
      <c r="G2162" s="194">
        <v>11.475</v>
      </c>
      <c r="H2162" s="195">
        <v>34.424999999999997</v>
      </c>
      <c r="I2162" s="212" t="s">
        <v>2354</v>
      </c>
    </row>
    <row r="2163" spans="1:9" x14ac:dyDescent="0.25">
      <c r="A2163" s="193" t="s">
        <v>220</v>
      </c>
      <c r="B2163" s="193" t="s">
        <v>2351</v>
      </c>
      <c r="C2163" s="214" t="s">
        <v>4935</v>
      </c>
      <c r="D2163" s="193" t="s">
        <v>4936</v>
      </c>
      <c r="E2163" s="212" t="s">
        <v>545</v>
      </c>
      <c r="F2163" s="215">
        <v>420</v>
      </c>
      <c r="G2163" s="194">
        <v>8.2000000000000003E-2</v>
      </c>
      <c r="H2163" s="195">
        <v>34.440000000000005</v>
      </c>
      <c r="I2163" s="212" t="s">
        <v>2354</v>
      </c>
    </row>
    <row r="2164" spans="1:9" x14ac:dyDescent="0.25">
      <c r="A2164" s="193" t="s">
        <v>220</v>
      </c>
      <c r="B2164" s="193" t="s">
        <v>2351</v>
      </c>
      <c r="C2164" s="214" t="s">
        <v>3491</v>
      </c>
      <c r="D2164" s="193" t="s">
        <v>5354</v>
      </c>
      <c r="E2164" s="212" t="s">
        <v>545</v>
      </c>
      <c r="F2164" s="215">
        <v>3</v>
      </c>
      <c r="G2164" s="194">
        <v>11.490237762237765</v>
      </c>
      <c r="H2164" s="195">
        <v>34.470713286713291</v>
      </c>
      <c r="I2164" s="212" t="s">
        <v>2354</v>
      </c>
    </row>
    <row r="2165" spans="1:9" x14ac:dyDescent="0.25">
      <c r="A2165" s="193" t="s">
        <v>220</v>
      </c>
      <c r="B2165" s="193" t="s">
        <v>5430</v>
      </c>
      <c r="C2165" s="214" t="s">
        <v>4816</v>
      </c>
      <c r="D2165" s="193" t="s">
        <v>4817</v>
      </c>
      <c r="E2165" s="212" t="s">
        <v>545</v>
      </c>
      <c r="F2165" s="215">
        <v>120</v>
      </c>
      <c r="G2165" s="194">
        <v>0.28799999999999998</v>
      </c>
      <c r="H2165" s="195">
        <v>34.559999999999995</v>
      </c>
      <c r="I2165" s="212" t="s">
        <v>2354</v>
      </c>
    </row>
    <row r="2166" spans="1:9" x14ac:dyDescent="0.25">
      <c r="A2166" s="193" t="s">
        <v>220</v>
      </c>
      <c r="B2166" s="193" t="s">
        <v>2351</v>
      </c>
      <c r="C2166" s="214" t="s">
        <v>5020</v>
      </c>
      <c r="D2166" s="193" t="s">
        <v>5021</v>
      </c>
      <c r="E2166" s="212" t="s">
        <v>545</v>
      </c>
      <c r="F2166" s="215">
        <v>362</v>
      </c>
      <c r="G2166" s="194">
        <v>9.5479999999999995E-2</v>
      </c>
      <c r="H2166" s="195">
        <v>34.563759999999995</v>
      </c>
      <c r="I2166" s="212" t="s">
        <v>2354</v>
      </c>
    </row>
    <row r="2167" spans="1:9" x14ac:dyDescent="0.25">
      <c r="A2167" s="193" t="s">
        <v>220</v>
      </c>
      <c r="B2167" s="193" t="s">
        <v>5430</v>
      </c>
      <c r="C2167" s="214" t="s">
        <v>4530</v>
      </c>
      <c r="D2167" s="193" t="s">
        <v>4531</v>
      </c>
      <c r="E2167" s="212" t="s">
        <v>545</v>
      </c>
      <c r="F2167" s="215">
        <v>3</v>
      </c>
      <c r="G2167" s="194">
        <v>11.583</v>
      </c>
      <c r="H2167" s="195">
        <v>34.749000000000002</v>
      </c>
      <c r="I2167" s="212" t="s">
        <v>2354</v>
      </c>
    </row>
    <row r="2168" spans="1:9" x14ac:dyDescent="0.25">
      <c r="A2168" s="193" t="s">
        <v>220</v>
      </c>
      <c r="B2168" s="193" t="s">
        <v>5430</v>
      </c>
      <c r="C2168" s="214" t="s">
        <v>7099</v>
      </c>
      <c r="D2168" s="193" t="s">
        <v>7100</v>
      </c>
      <c r="E2168" s="212" t="s">
        <v>545</v>
      </c>
      <c r="F2168" s="215">
        <v>20</v>
      </c>
      <c r="G2168" s="194">
        <v>1.7415</v>
      </c>
      <c r="H2168" s="195">
        <v>34.83</v>
      </c>
      <c r="I2168" s="212" t="s">
        <v>2354</v>
      </c>
    </row>
    <row r="2169" spans="1:9" x14ac:dyDescent="0.25">
      <c r="A2169" s="193" t="s">
        <v>220</v>
      </c>
      <c r="B2169" s="193" t="s">
        <v>2351</v>
      </c>
      <c r="C2169" s="214" t="s">
        <v>4566</v>
      </c>
      <c r="D2169" s="193" t="s">
        <v>4567</v>
      </c>
      <c r="E2169" s="212" t="s">
        <v>545</v>
      </c>
      <c r="F2169" s="215">
        <v>2</v>
      </c>
      <c r="G2169" s="194">
        <v>17.434999999999999</v>
      </c>
      <c r="H2169" s="195">
        <v>34.869999999999997</v>
      </c>
      <c r="I2169" s="212" t="s">
        <v>2354</v>
      </c>
    </row>
    <row r="2170" spans="1:9" x14ac:dyDescent="0.25">
      <c r="A2170" s="193" t="s">
        <v>220</v>
      </c>
      <c r="B2170" s="193" t="s">
        <v>2351</v>
      </c>
      <c r="C2170" s="214" t="s">
        <v>4622</v>
      </c>
      <c r="D2170" s="193" t="s">
        <v>4623</v>
      </c>
      <c r="E2170" s="212" t="s">
        <v>545</v>
      </c>
      <c r="F2170" s="215">
        <v>15</v>
      </c>
      <c r="G2170" s="194">
        <v>2.3290000000000002</v>
      </c>
      <c r="H2170" s="195">
        <v>34.935000000000002</v>
      </c>
      <c r="I2170" s="212" t="s">
        <v>2354</v>
      </c>
    </row>
    <row r="2171" spans="1:9" x14ac:dyDescent="0.25">
      <c r="A2171" s="193" t="s">
        <v>220</v>
      </c>
      <c r="B2171" s="193" t="s">
        <v>5430</v>
      </c>
      <c r="C2171" s="214" t="s">
        <v>4716</v>
      </c>
      <c r="D2171" s="193" t="s">
        <v>4717</v>
      </c>
      <c r="E2171" s="212" t="s">
        <v>545</v>
      </c>
      <c r="F2171" s="215">
        <v>136</v>
      </c>
      <c r="G2171" s="194">
        <v>0.25700000000000001</v>
      </c>
      <c r="H2171" s="195">
        <v>34.951999999999998</v>
      </c>
      <c r="I2171" s="212" t="s">
        <v>2354</v>
      </c>
    </row>
    <row r="2172" spans="1:9" x14ac:dyDescent="0.25">
      <c r="A2172" s="193" t="s">
        <v>220</v>
      </c>
      <c r="B2172" s="193" t="s">
        <v>2351</v>
      </c>
      <c r="C2172" s="214" t="s">
        <v>2854</v>
      </c>
      <c r="D2172" s="193" t="s">
        <v>2855</v>
      </c>
      <c r="E2172" s="212" t="s">
        <v>545</v>
      </c>
      <c r="F2172" s="215">
        <v>1</v>
      </c>
      <c r="G2172" s="194">
        <v>34.961849999999998</v>
      </c>
      <c r="H2172" s="195">
        <v>34.961849999999998</v>
      </c>
      <c r="I2172" s="212" t="s">
        <v>2354</v>
      </c>
    </row>
    <row r="2173" spans="1:9" x14ac:dyDescent="0.25">
      <c r="A2173" s="193" t="s">
        <v>220</v>
      </c>
      <c r="B2173" s="193" t="s">
        <v>5430</v>
      </c>
      <c r="C2173" s="214" t="s">
        <v>6405</v>
      </c>
      <c r="D2173" s="193" t="s">
        <v>6406</v>
      </c>
      <c r="E2173" s="212" t="s">
        <v>545</v>
      </c>
      <c r="F2173" s="215">
        <v>1</v>
      </c>
      <c r="G2173" s="194">
        <v>35.085599999999999</v>
      </c>
      <c r="H2173" s="195">
        <v>35.085599999999999</v>
      </c>
      <c r="I2173" s="212" t="s">
        <v>2354</v>
      </c>
    </row>
    <row r="2174" spans="1:9" x14ac:dyDescent="0.25">
      <c r="A2174" s="193" t="s">
        <v>220</v>
      </c>
      <c r="B2174" s="193" t="s">
        <v>2351</v>
      </c>
      <c r="C2174" s="214" t="s">
        <v>4646</v>
      </c>
      <c r="D2174" s="193" t="s">
        <v>4647</v>
      </c>
      <c r="E2174" s="212" t="s">
        <v>2473</v>
      </c>
      <c r="F2174" s="215">
        <v>210</v>
      </c>
      <c r="G2174" s="194">
        <v>0.16726573619631901</v>
      </c>
      <c r="H2174" s="195">
        <v>35.125804601226996</v>
      </c>
      <c r="I2174" s="212" t="s">
        <v>2354</v>
      </c>
    </row>
    <row r="2175" spans="1:9" x14ac:dyDescent="0.25">
      <c r="A2175" s="193" t="s">
        <v>220</v>
      </c>
      <c r="B2175" s="193" t="s">
        <v>2351</v>
      </c>
      <c r="C2175" s="214" t="s">
        <v>3617</v>
      </c>
      <c r="D2175" s="193" t="s">
        <v>3618</v>
      </c>
      <c r="E2175" s="212" t="s">
        <v>545</v>
      </c>
      <c r="F2175" s="215">
        <v>13</v>
      </c>
      <c r="G2175" s="194">
        <v>2.7040000000000002</v>
      </c>
      <c r="H2175" s="195">
        <v>35.152000000000001</v>
      </c>
      <c r="I2175" s="212" t="s">
        <v>2354</v>
      </c>
    </row>
    <row r="2176" spans="1:9" x14ac:dyDescent="0.25">
      <c r="A2176" s="193" t="s">
        <v>220</v>
      </c>
      <c r="B2176" s="193" t="s">
        <v>2351</v>
      </c>
      <c r="C2176" s="214" t="s">
        <v>3167</v>
      </c>
      <c r="D2176" s="193" t="s">
        <v>3168</v>
      </c>
      <c r="E2176" s="212" t="s">
        <v>545</v>
      </c>
      <c r="F2176" s="215">
        <v>1</v>
      </c>
      <c r="G2176" s="194">
        <v>35.167949999999998</v>
      </c>
      <c r="H2176" s="195">
        <v>35.167949999999998</v>
      </c>
      <c r="I2176" s="212" t="s">
        <v>2354</v>
      </c>
    </row>
    <row r="2177" spans="1:9" x14ac:dyDescent="0.25">
      <c r="A2177" s="193" t="s">
        <v>220</v>
      </c>
      <c r="B2177" s="193" t="s">
        <v>5430</v>
      </c>
      <c r="C2177" s="214" t="s">
        <v>6253</v>
      </c>
      <c r="D2177" s="193" t="s">
        <v>6254</v>
      </c>
      <c r="E2177" s="212" t="s">
        <v>545</v>
      </c>
      <c r="F2177" s="215">
        <v>1</v>
      </c>
      <c r="G2177" s="194">
        <v>35.167949999999998</v>
      </c>
      <c r="H2177" s="195">
        <v>35.167949999999998</v>
      </c>
      <c r="I2177" s="212" t="s">
        <v>2354</v>
      </c>
    </row>
    <row r="2178" spans="1:9" x14ac:dyDescent="0.25">
      <c r="A2178" s="193" t="s">
        <v>220</v>
      </c>
      <c r="B2178" s="193" t="s">
        <v>5430</v>
      </c>
      <c r="C2178" s="214" t="s">
        <v>3167</v>
      </c>
      <c r="D2178" s="193" t="s">
        <v>3168</v>
      </c>
      <c r="E2178" s="212" t="s">
        <v>545</v>
      </c>
      <c r="F2178" s="215">
        <v>1</v>
      </c>
      <c r="G2178" s="194">
        <v>35.167949999999998</v>
      </c>
      <c r="H2178" s="195">
        <v>35.167949999999998</v>
      </c>
      <c r="I2178" s="212" t="s">
        <v>2354</v>
      </c>
    </row>
    <row r="2179" spans="1:9" x14ac:dyDescent="0.25">
      <c r="A2179" s="193" t="s">
        <v>220</v>
      </c>
      <c r="B2179" s="193" t="s">
        <v>5430</v>
      </c>
      <c r="C2179" s="214" t="s">
        <v>6255</v>
      </c>
      <c r="D2179" s="193" t="s">
        <v>6256</v>
      </c>
      <c r="E2179" s="212" t="s">
        <v>545</v>
      </c>
      <c r="F2179" s="215">
        <v>1</v>
      </c>
      <c r="G2179" s="194">
        <v>35.167949999999998</v>
      </c>
      <c r="H2179" s="195">
        <v>35.167949999999998</v>
      </c>
      <c r="I2179" s="212" t="s">
        <v>2354</v>
      </c>
    </row>
    <row r="2180" spans="1:9" x14ac:dyDescent="0.25">
      <c r="A2180" s="193" t="s">
        <v>220</v>
      </c>
      <c r="B2180" s="193" t="s">
        <v>2351</v>
      </c>
      <c r="C2180" s="214" t="s">
        <v>3495</v>
      </c>
      <c r="D2180" s="193" t="s">
        <v>3496</v>
      </c>
      <c r="E2180" s="212" t="s">
        <v>545</v>
      </c>
      <c r="F2180" s="215">
        <v>15</v>
      </c>
      <c r="G2180" s="194">
        <v>2.3460000000000001</v>
      </c>
      <c r="H2180" s="195">
        <v>35.19</v>
      </c>
      <c r="I2180" s="212" t="s">
        <v>2354</v>
      </c>
    </row>
    <row r="2181" spans="1:9" x14ac:dyDescent="0.25">
      <c r="A2181" s="193" t="s">
        <v>220</v>
      </c>
      <c r="B2181" s="193" t="s">
        <v>2351</v>
      </c>
      <c r="C2181" s="214" t="s">
        <v>4842</v>
      </c>
      <c r="D2181" s="193" t="s">
        <v>4843</v>
      </c>
      <c r="E2181" s="212" t="s">
        <v>545</v>
      </c>
      <c r="F2181" s="215">
        <v>325</v>
      </c>
      <c r="G2181" s="194">
        <v>0.10833</v>
      </c>
      <c r="H2181" s="195">
        <v>35.207250000000002</v>
      </c>
      <c r="I2181" s="212" t="s">
        <v>2354</v>
      </c>
    </row>
    <row r="2182" spans="1:9" x14ac:dyDescent="0.25">
      <c r="A2182" s="193" t="s">
        <v>220</v>
      </c>
      <c r="B2182" s="193" t="s">
        <v>5430</v>
      </c>
      <c r="C2182" s="214" t="s">
        <v>7260</v>
      </c>
      <c r="D2182" s="193" t="s">
        <v>7261</v>
      </c>
      <c r="E2182" s="212" t="s">
        <v>545</v>
      </c>
      <c r="F2182" s="215">
        <v>10</v>
      </c>
      <c r="G2182" s="194">
        <v>3.5223300000000002</v>
      </c>
      <c r="H2182" s="195">
        <v>35.223300000000002</v>
      </c>
      <c r="I2182" s="212" t="s">
        <v>2354</v>
      </c>
    </row>
    <row r="2183" spans="1:9" x14ac:dyDescent="0.25">
      <c r="A2183" s="193" t="s">
        <v>220</v>
      </c>
      <c r="B2183" s="193" t="s">
        <v>2351</v>
      </c>
      <c r="C2183" s="214" t="s">
        <v>5282</v>
      </c>
      <c r="D2183" s="193" t="s">
        <v>5283</v>
      </c>
      <c r="E2183" s="212" t="s">
        <v>545</v>
      </c>
      <c r="F2183" s="215">
        <v>1</v>
      </c>
      <c r="G2183" s="194">
        <v>35.293999999999997</v>
      </c>
      <c r="H2183" s="195">
        <v>35.293999999999997</v>
      </c>
      <c r="I2183" s="212" t="s">
        <v>2354</v>
      </c>
    </row>
    <row r="2184" spans="1:9" x14ac:dyDescent="0.25">
      <c r="A2184" s="193" t="s">
        <v>220</v>
      </c>
      <c r="B2184" s="193" t="s">
        <v>2351</v>
      </c>
      <c r="C2184" s="214" t="s">
        <v>4660</v>
      </c>
      <c r="D2184" s="193" t="s">
        <v>4661</v>
      </c>
      <c r="E2184" s="212" t="s">
        <v>545</v>
      </c>
      <c r="F2184" s="215">
        <v>380</v>
      </c>
      <c r="G2184" s="194">
        <v>9.35E-2</v>
      </c>
      <c r="H2184" s="195">
        <v>35.53</v>
      </c>
      <c r="I2184" s="212" t="s">
        <v>2354</v>
      </c>
    </row>
    <row r="2185" spans="1:9" x14ac:dyDescent="0.25">
      <c r="A2185" s="193" t="s">
        <v>220</v>
      </c>
      <c r="B2185" s="193" t="s">
        <v>2351</v>
      </c>
      <c r="C2185" s="214" t="s">
        <v>4454</v>
      </c>
      <c r="D2185" s="193" t="s">
        <v>4455</v>
      </c>
      <c r="E2185" s="212" t="s">
        <v>545</v>
      </c>
      <c r="F2185" s="215">
        <v>88</v>
      </c>
      <c r="G2185" s="194">
        <v>0.40589999999999998</v>
      </c>
      <c r="H2185" s="195">
        <v>35.719200000000001</v>
      </c>
      <c r="I2185" s="212" t="s">
        <v>2354</v>
      </c>
    </row>
    <row r="2186" spans="1:9" x14ac:dyDescent="0.25">
      <c r="A2186" s="193" t="s">
        <v>220</v>
      </c>
      <c r="B2186" s="193" t="s">
        <v>5430</v>
      </c>
      <c r="C2186" s="214" t="s">
        <v>3561</v>
      </c>
      <c r="D2186" s="193" t="s">
        <v>3562</v>
      </c>
      <c r="E2186" s="212" t="s">
        <v>545</v>
      </c>
      <c r="F2186" s="215">
        <v>21</v>
      </c>
      <c r="G2186" s="194">
        <v>1.7100000000000002</v>
      </c>
      <c r="H2186" s="195">
        <v>35.910000000000004</v>
      </c>
      <c r="I2186" s="212" t="s">
        <v>2354</v>
      </c>
    </row>
    <row r="2187" spans="1:9" x14ac:dyDescent="0.25">
      <c r="A2187" s="193" t="s">
        <v>220</v>
      </c>
      <c r="B2187" s="193" t="s">
        <v>2351</v>
      </c>
      <c r="C2187" s="214" t="s">
        <v>4401</v>
      </c>
      <c r="D2187" s="193" t="s">
        <v>4402</v>
      </c>
      <c r="E2187" s="212" t="s">
        <v>545</v>
      </c>
      <c r="F2187" s="215">
        <v>1</v>
      </c>
      <c r="G2187" s="194">
        <v>36</v>
      </c>
      <c r="H2187" s="195">
        <v>36</v>
      </c>
      <c r="I2187" s="212" t="s">
        <v>2354</v>
      </c>
    </row>
    <row r="2188" spans="1:9" x14ac:dyDescent="0.25">
      <c r="A2188" s="193" t="s">
        <v>220</v>
      </c>
      <c r="B2188" s="193" t="s">
        <v>5430</v>
      </c>
      <c r="C2188" s="214" t="s">
        <v>5852</v>
      </c>
      <c r="D2188" s="193" t="s">
        <v>5853</v>
      </c>
      <c r="E2188" s="212" t="s">
        <v>545</v>
      </c>
      <c r="F2188" s="215">
        <v>9</v>
      </c>
      <c r="G2188" s="194">
        <v>4.0095000000000001</v>
      </c>
      <c r="H2188" s="195">
        <v>36.085500000000003</v>
      </c>
      <c r="I2188" s="212" t="s">
        <v>2354</v>
      </c>
    </row>
    <row r="2189" spans="1:9" x14ac:dyDescent="0.25">
      <c r="A2189" s="193" t="s">
        <v>220</v>
      </c>
      <c r="B2189" s="193" t="s">
        <v>2351</v>
      </c>
      <c r="C2189" s="214" t="s">
        <v>3337</v>
      </c>
      <c r="D2189" s="193" t="s">
        <v>3338</v>
      </c>
      <c r="E2189" s="212" t="s">
        <v>545</v>
      </c>
      <c r="F2189" s="215">
        <v>25</v>
      </c>
      <c r="G2189" s="194">
        <v>1.4450000000000001</v>
      </c>
      <c r="H2189" s="195">
        <v>36.125</v>
      </c>
      <c r="I2189" s="212" t="s">
        <v>2354</v>
      </c>
    </row>
    <row r="2190" spans="1:9" x14ac:dyDescent="0.25">
      <c r="A2190" s="193" t="s">
        <v>220</v>
      </c>
      <c r="B2190" s="193" t="s">
        <v>5430</v>
      </c>
      <c r="C2190" s="214" t="s">
        <v>7122</v>
      </c>
      <c r="D2190" s="193" t="s">
        <v>4743</v>
      </c>
      <c r="E2190" s="212" t="s">
        <v>545</v>
      </c>
      <c r="F2190" s="215">
        <v>1</v>
      </c>
      <c r="G2190" s="194">
        <v>36.194000000000003</v>
      </c>
      <c r="H2190" s="195">
        <v>36.194000000000003</v>
      </c>
      <c r="I2190" s="212" t="s">
        <v>2354</v>
      </c>
    </row>
    <row r="2191" spans="1:9" x14ac:dyDescent="0.25">
      <c r="A2191" s="193" t="s">
        <v>220</v>
      </c>
      <c r="B2191" s="193" t="s">
        <v>5430</v>
      </c>
      <c r="C2191" s="214" t="s">
        <v>3149</v>
      </c>
      <c r="D2191" s="193" t="s">
        <v>3150</v>
      </c>
      <c r="E2191" s="212" t="s">
        <v>545</v>
      </c>
      <c r="F2191" s="215">
        <v>32</v>
      </c>
      <c r="G2191" s="194">
        <v>1.1348999999999998</v>
      </c>
      <c r="H2191" s="195">
        <v>36.316799999999994</v>
      </c>
      <c r="I2191" s="212" t="s">
        <v>2354</v>
      </c>
    </row>
    <row r="2192" spans="1:9" x14ac:dyDescent="0.25">
      <c r="A2192" s="193" t="s">
        <v>220</v>
      </c>
      <c r="B2192" s="193" t="s">
        <v>2351</v>
      </c>
      <c r="C2192" s="214" t="s">
        <v>4923</v>
      </c>
      <c r="D2192" s="193" t="s">
        <v>4924</v>
      </c>
      <c r="E2192" s="212" t="s">
        <v>545</v>
      </c>
      <c r="F2192" s="215">
        <v>649</v>
      </c>
      <c r="G2192" s="194">
        <v>5.6169999999999998E-2</v>
      </c>
      <c r="H2192" s="195">
        <v>36.454329999999999</v>
      </c>
      <c r="I2192" s="212" t="s">
        <v>2354</v>
      </c>
    </row>
    <row r="2193" spans="1:9" x14ac:dyDescent="0.25">
      <c r="A2193" s="193" t="s">
        <v>220</v>
      </c>
      <c r="B2193" s="193" t="s">
        <v>2351</v>
      </c>
      <c r="C2193" s="214" t="s">
        <v>4269</v>
      </c>
      <c r="D2193" s="193" t="s">
        <v>4270</v>
      </c>
      <c r="E2193" s="212" t="s">
        <v>545</v>
      </c>
      <c r="F2193" s="215">
        <v>3</v>
      </c>
      <c r="G2193" s="194">
        <v>12.166</v>
      </c>
      <c r="H2193" s="195">
        <v>36.498000000000005</v>
      </c>
      <c r="I2193" s="212" t="s">
        <v>2354</v>
      </c>
    </row>
    <row r="2194" spans="1:9" x14ac:dyDescent="0.25">
      <c r="A2194" s="193" t="s">
        <v>220</v>
      </c>
      <c r="B2194" s="193" t="s">
        <v>2351</v>
      </c>
      <c r="C2194" s="214" t="s">
        <v>4560</v>
      </c>
      <c r="D2194" s="193" t="s">
        <v>4561</v>
      </c>
      <c r="E2194" s="212" t="s">
        <v>545</v>
      </c>
      <c r="F2194" s="215">
        <v>5</v>
      </c>
      <c r="G2194" s="194">
        <v>7.3049999999999997</v>
      </c>
      <c r="H2194" s="195">
        <v>36.524999999999999</v>
      </c>
      <c r="I2194" s="212" t="s">
        <v>2354</v>
      </c>
    </row>
    <row r="2195" spans="1:9" x14ac:dyDescent="0.25">
      <c r="A2195" s="193" t="s">
        <v>220</v>
      </c>
      <c r="B2195" s="193" t="s">
        <v>2351</v>
      </c>
      <c r="C2195" s="214" t="s">
        <v>4848</v>
      </c>
      <c r="D2195" s="193" t="s">
        <v>4849</v>
      </c>
      <c r="E2195" s="212" t="s">
        <v>545</v>
      </c>
      <c r="F2195" s="215">
        <v>420</v>
      </c>
      <c r="G2195" s="194">
        <v>8.6999999999999994E-2</v>
      </c>
      <c r="H2195" s="195">
        <v>36.54</v>
      </c>
      <c r="I2195" s="212" t="s">
        <v>2354</v>
      </c>
    </row>
    <row r="2196" spans="1:9" x14ac:dyDescent="0.25">
      <c r="A2196" s="193" t="s">
        <v>220</v>
      </c>
      <c r="B2196" s="193" t="s">
        <v>5430</v>
      </c>
      <c r="C2196" s="214" t="s">
        <v>5860</v>
      </c>
      <c r="D2196" s="193" t="s">
        <v>5861</v>
      </c>
      <c r="E2196" s="212" t="s">
        <v>545</v>
      </c>
      <c r="F2196" s="215">
        <v>5</v>
      </c>
      <c r="G2196" s="194">
        <v>7.3349999999999991</v>
      </c>
      <c r="H2196" s="195">
        <v>36.674999999999997</v>
      </c>
      <c r="I2196" s="212" t="s">
        <v>2354</v>
      </c>
    </row>
    <row r="2197" spans="1:9" x14ac:dyDescent="0.25">
      <c r="A2197" s="193" t="s">
        <v>220</v>
      </c>
      <c r="B2197" s="193" t="s">
        <v>5430</v>
      </c>
      <c r="C2197" s="214" t="s">
        <v>4508</v>
      </c>
      <c r="D2197" s="193" t="s">
        <v>4509</v>
      </c>
      <c r="E2197" s="212" t="s">
        <v>2387</v>
      </c>
      <c r="F2197" s="215">
        <v>2</v>
      </c>
      <c r="G2197" s="194">
        <v>18.416368421052635</v>
      </c>
      <c r="H2197" s="195">
        <v>36.83273684210527</v>
      </c>
      <c r="I2197" s="212" t="s">
        <v>2354</v>
      </c>
    </row>
    <row r="2198" spans="1:9" x14ac:dyDescent="0.25">
      <c r="A2198" s="193" t="s">
        <v>220</v>
      </c>
      <c r="B2198" s="193" t="s">
        <v>2351</v>
      </c>
      <c r="C2198" s="214" t="s">
        <v>4087</v>
      </c>
      <c r="D2198" s="193" t="s">
        <v>4088</v>
      </c>
      <c r="E2198" s="212" t="s">
        <v>545</v>
      </c>
      <c r="F2198" s="215">
        <v>2</v>
      </c>
      <c r="G2198" s="194">
        <v>18.45</v>
      </c>
      <c r="H2198" s="195">
        <v>36.9</v>
      </c>
      <c r="I2198" s="212" t="s">
        <v>2354</v>
      </c>
    </row>
    <row r="2199" spans="1:9" x14ac:dyDescent="0.25">
      <c r="A2199" s="193" t="s">
        <v>220</v>
      </c>
      <c r="B2199" s="193" t="s">
        <v>2351</v>
      </c>
      <c r="C2199" s="214" t="s">
        <v>4686</v>
      </c>
      <c r="D2199" s="193" t="s">
        <v>4687</v>
      </c>
      <c r="E2199" s="212" t="s">
        <v>545</v>
      </c>
      <c r="F2199" s="215">
        <v>110</v>
      </c>
      <c r="G2199" s="194">
        <v>0.33638000000000001</v>
      </c>
      <c r="H2199" s="195">
        <v>37.001800000000003</v>
      </c>
      <c r="I2199" s="212" t="s">
        <v>2354</v>
      </c>
    </row>
    <row r="2200" spans="1:9" x14ac:dyDescent="0.25">
      <c r="A2200" s="193" t="s">
        <v>220</v>
      </c>
      <c r="B2200" s="193" t="s">
        <v>5430</v>
      </c>
      <c r="C2200" s="214" t="s">
        <v>5715</v>
      </c>
      <c r="D2200" s="193" t="s">
        <v>5716</v>
      </c>
      <c r="E2200" s="212" t="s">
        <v>545</v>
      </c>
      <c r="F2200" s="215">
        <v>1</v>
      </c>
      <c r="G2200" s="194">
        <v>37.08</v>
      </c>
      <c r="H2200" s="195">
        <v>37.08</v>
      </c>
      <c r="I2200" s="212" t="s">
        <v>2354</v>
      </c>
    </row>
    <row r="2201" spans="1:9" x14ac:dyDescent="0.25">
      <c r="A2201" s="193" t="s">
        <v>220</v>
      </c>
      <c r="B2201" s="193" t="s">
        <v>5430</v>
      </c>
      <c r="C2201" s="214" t="s">
        <v>5850</v>
      </c>
      <c r="D2201" s="193" t="s">
        <v>5851</v>
      </c>
      <c r="E2201" s="212" t="s">
        <v>545</v>
      </c>
      <c r="F2201" s="215">
        <v>4</v>
      </c>
      <c r="G2201" s="194">
        <v>9.3437999999999999</v>
      </c>
      <c r="H2201" s="195">
        <v>37.3752</v>
      </c>
      <c r="I2201" s="212" t="s">
        <v>2354</v>
      </c>
    </row>
    <row r="2202" spans="1:9" x14ac:dyDescent="0.25">
      <c r="A2202" s="193" t="s">
        <v>220</v>
      </c>
      <c r="B2202" s="193" t="s">
        <v>5430</v>
      </c>
      <c r="C2202" s="214" t="s">
        <v>4943</v>
      </c>
      <c r="D2202" s="193" t="s">
        <v>4944</v>
      </c>
      <c r="E2202" s="212" t="s">
        <v>545</v>
      </c>
      <c r="F2202" s="215">
        <v>10</v>
      </c>
      <c r="G2202" s="194">
        <v>3.7376999999999998</v>
      </c>
      <c r="H2202" s="195">
        <v>37.376999999999995</v>
      </c>
      <c r="I2202" s="212" t="s">
        <v>2354</v>
      </c>
    </row>
    <row r="2203" spans="1:9" x14ac:dyDescent="0.25">
      <c r="A2203" s="193" t="s">
        <v>220</v>
      </c>
      <c r="B2203" s="193" t="s">
        <v>5430</v>
      </c>
      <c r="C2203" s="214" t="s">
        <v>4616</v>
      </c>
      <c r="D2203" s="193" t="s">
        <v>4617</v>
      </c>
      <c r="E2203" s="212" t="s">
        <v>545</v>
      </c>
      <c r="F2203" s="215">
        <v>25</v>
      </c>
      <c r="G2203" s="194">
        <v>1.4990000000000001</v>
      </c>
      <c r="H2203" s="195">
        <v>37.475000000000001</v>
      </c>
      <c r="I2203" s="212" t="s">
        <v>2354</v>
      </c>
    </row>
    <row r="2204" spans="1:9" x14ac:dyDescent="0.25">
      <c r="A2204" s="193" t="s">
        <v>220</v>
      </c>
      <c r="B2204" s="193" t="s">
        <v>5430</v>
      </c>
      <c r="C2204" s="214" t="s">
        <v>7004</v>
      </c>
      <c r="D2204" s="193" t="s">
        <v>7005</v>
      </c>
      <c r="E2204" s="212" t="s">
        <v>545</v>
      </c>
      <c r="F2204" s="215">
        <v>8</v>
      </c>
      <c r="G2204" s="194">
        <v>4.6980000000000004</v>
      </c>
      <c r="H2204" s="195">
        <v>37.584000000000003</v>
      </c>
      <c r="I2204" s="212" t="s">
        <v>2354</v>
      </c>
    </row>
    <row r="2205" spans="1:9" x14ac:dyDescent="0.25">
      <c r="A2205" s="193" t="s">
        <v>220</v>
      </c>
      <c r="B2205" s="193" t="s">
        <v>2351</v>
      </c>
      <c r="C2205" s="214" t="s">
        <v>4620</v>
      </c>
      <c r="D2205" s="193" t="s">
        <v>4621</v>
      </c>
      <c r="E2205" s="212" t="s">
        <v>545</v>
      </c>
      <c r="F2205" s="215">
        <v>95</v>
      </c>
      <c r="G2205" s="194">
        <v>0.39600000000000002</v>
      </c>
      <c r="H2205" s="195">
        <v>37.620000000000005</v>
      </c>
      <c r="I2205" s="212" t="s">
        <v>2354</v>
      </c>
    </row>
    <row r="2206" spans="1:9" x14ac:dyDescent="0.25">
      <c r="A2206" s="193" t="s">
        <v>220</v>
      </c>
      <c r="B2206" s="193" t="s">
        <v>2351</v>
      </c>
      <c r="C2206" s="214" t="s">
        <v>4666</v>
      </c>
      <c r="D2206" s="193" t="s">
        <v>4667</v>
      </c>
      <c r="E2206" s="212" t="s">
        <v>545</v>
      </c>
      <c r="F2206" s="215">
        <v>120</v>
      </c>
      <c r="G2206" s="194">
        <v>0.315</v>
      </c>
      <c r="H2206" s="195">
        <v>37.799999999999997</v>
      </c>
      <c r="I2206" s="212" t="s">
        <v>2354</v>
      </c>
    </row>
    <row r="2207" spans="1:9" x14ac:dyDescent="0.25">
      <c r="A2207" s="193" t="s">
        <v>220</v>
      </c>
      <c r="B2207" s="193" t="s">
        <v>5430</v>
      </c>
      <c r="C2207" s="214" t="s">
        <v>5919</v>
      </c>
      <c r="D2207" s="193" t="s">
        <v>5920</v>
      </c>
      <c r="E2207" s="212" t="s">
        <v>545</v>
      </c>
      <c r="F2207" s="215">
        <v>4</v>
      </c>
      <c r="G2207" s="194">
        <v>9.4499999999999993</v>
      </c>
      <c r="H2207" s="195">
        <v>37.799999999999997</v>
      </c>
      <c r="I2207" s="212" t="s">
        <v>2354</v>
      </c>
    </row>
    <row r="2208" spans="1:9" x14ac:dyDescent="0.25">
      <c r="A2208" s="193" t="s">
        <v>220</v>
      </c>
      <c r="B2208" s="193" t="s">
        <v>5430</v>
      </c>
      <c r="C2208" s="214" t="s">
        <v>6306</v>
      </c>
      <c r="D2208" s="193" t="s">
        <v>6307</v>
      </c>
      <c r="E2208" s="212" t="s">
        <v>545</v>
      </c>
      <c r="F2208" s="215">
        <v>5</v>
      </c>
      <c r="G2208" s="194">
        <v>7.56</v>
      </c>
      <c r="H2208" s="195">
        <v>37.799999999999997</v>
      </c>
      <c r="I2208" s="212" t="s">
        <v>2354</v>
      </c>
    </row>
    <row r="2209" spans="1:9" x14ac:dyDescent="0.25">
      <c r="A2209" s="193" t="s">
        <v>220</v>
      </c>
      <c r="B2209" s="193" t="s">
        <v>2351</v>
      </c>
      <c r="C2209" s="214" t="s">
        <v>3509</v>
      </c>
      <c r="D2209" s="193" t="s">
        <v>3510</v>
      </c>
      <c r="E2209" s="212" t="s">
        <v>545</v>
      </c>
      <c r="F2209" s="215">
        <v>1</v>
      </c>
      <c r="G2209" s="194">
        <v>37.822742857142863</v>
      </c>
      <c r="H2209" s="195">
        <v>37.822742857142863</v>
      </c>
      <c r="I2209" s="212" t="s">
        <v>2354</v>
      </c>
    </row>
    <row r="2210" spans="1:9" x14ac:dyDescent="0.25">
      <c r="A2210" s="193" t="s">
        <v>220</v>
      </c>
      <c r="B2210" s="193" t="s">
        <v>2351</v>
      </c>
      <c r="C2210" s="214" t="s">
        <v>3433</v>
      </c>
      <c r="D2210" s="193" t="s">
        <v>3434</v>
      </c>
      <c r="E2210" s="212" t="s">
        <v>2387</v>
      </c>
      <c r="F2210" s="215">
        <v>10</v>
      </c>
      <c r="G2210" s="194">
        <v>3.7944000000000004</v>
      </c>
      <c r="H2210" s="195">
        <v>37.944000000000003</v>
      </c>
      <c r="I2210" s="212" t="s">
        <v>2354</v>
      </c>
    </row>
    <row r="2211" spans="1:9" x14ac:dyDescent="0.25">
      <c r="A2211" s="193" t="s">
        <v>220</v>
      </c>
      <c r="B2211" s="193" t="s">
        <v>5430</v>
      </c>
      <c r="C2211" s="214" t="s">
        <v>3455</v>
      </c>
      <c r="D2211" s="193" t="s">
        <v>3456</v>
      </c>
      <c r="E2211" s="212" t="s">
        <v>2387</v>
      </c>
      <c r="F2211" s="215">
        <v>23</v>
      </c>
      <c r="G2211" s="194">
        <v>1.6575</v>
      </c>
      <c r="H2211" s="195">
        <v>38.122500000000002</v>
      </c>
      <c r="I2211" s="212" t="s">
        <v>2354</v>
      </c>
    </row>
    <row r="2212" spans="1:9" x14ac:dyDescent="0.25">
      <c r="A2212" s="193" t="s">
        <v>220</v>
      </c>
      <c r="B2212" s="193" t="s">
        <v>5430</v>
      </c>
      <c r="C2212" s="214" t="s">
        <v>7021</v>
      </c>
      <c r="D2212" s="193" t="s">
        <v>7022</v>
      </c>
      <c r="E2212" s="212" t="s">
        <v>545</v>
      </c>
      <c r="F2212" s="215">
        <v>2</v>
      </c>
      <c r="G2212" s="194">
        <v>19.085989999999999</v>
      </c>
      <c r="H2212" s="195">
        <v>38.171979999999998</v>
      </c>
      <c r="I2212" s="212" t="s">
        <v>2354</v>
      </c>
    </row>
    <row r="2213" spans="1:9" x14ac:dyDescent="0.25">
      <c r="A2213" s="193" t="s">
        <v>220</v>
      </c>
      <c r="B2213" s="193" t="s">
        <v>2351</v>
      </c>
      <c r="C2213" s="214" t="s">
        <v>3311</v>
      </c>
      <c r="D2213" s="193" t="s">
        <v>3312</v>
      </c>
      <c r="E2213" s="212" t="s">
        <v>545</v>
      </c>
      <c r="F2213" s="215">
        <v>2</v>
      </c>
      <c r="G2213" s="194">
        <v>19.089300000000001</v>
      </c>
      <c r="H2213" s="195">
        <v>38.178600000000003</v>
      </c>
      <c r="I2213" s="212" t="s">
        <v>2354</v>
      </c>
    </row>
    <row r="2214" spans="1:9" x14ac:dyDescent="0.25">
      <c r="A2214" s="193" t="s">
        <v>220</v>
      </c>
      <c r="B2214" s="193" t="s">
        <v>2351</v>
      </c>
      <c r="C2214" s="214" t="s">
        <v>5307</v>
      </c>
      <c r="D2214" s="193" t="s">
        <v>5308</v>
      </c>
      <c r="E2214" s="212" t="s">
        <v>545</v>
      </c>
      <c r="F2214" s="215">
        <v>1</v>
      </c>
      <c r="G2214" s="194">
        <v>38.48715</v>
      </c>
      <c r="H2214" s="195">
        <v>38.48715</v>
      </c>
      <c r="I2214" s="212" t="s">
        <v>2354</v>
      </c>
    </row>
    <row r="2215" spans="1:9" x14ac:dyDescent="0.25">
      <c r="A2215" s="193" t="s">
        <v>220</v>
      </c>
      <c r="B2215" s="193" t="s">
        <v>5430</v>
      </c>
      <c r="C2215" s="214" t="s">
        <v>5307</v>
      </c>
      <c r="D2215" s="193" t="s">
        <v>5308</v>
      </c>
      <c r="E2215" s="212" t="s">
        <v>545</v>
      </c>
      <c r="F2215" s="215">
        <v>1</v>
      </c>
      <c r="G2215" s="194">
        <v>38.48715</v>
      </c>
      <c r="H2215" s="195">
        <v>38.48715</v>
      </c>
      <c r="I2215" s="212" t="s">
        <v>2354</v>
      </c>
    </row>
    <row r="2216" spans="1:9" x14ac:dyDescent="0.25">
      <c r="A2216" s="193" t="s">
        <v>220</v>
      </c>
      <c r="B2216" s="193" t="s">
        <v>2351</v>
      </c>
      <c r="C2216" s="214" t="s">
        <v>2786</v>
      </c>
      <c r="D2216" s="193" t="s">
        <v>2787</v>
      </c>
      <c r="E2216" s="212" t="s">
        <v>545</v>
      </c>
      <c r="F2216" s="215">
        <v>2</v>
      </c>
      <c r="G2216" s="194">
        <v>19.299600000000002</v>
      </c>
      <c r="H2216" s="195">
        <v>38.599200000000003</v>
      </c>
      <c r="I2216" s="212" t="s">
        <v>2354</v>
      </c>
    </row>
    <row r="2217" spans="1:9" x14ac:dyDescent="0.25">
      <c r="A2217" s="193" t="s">
        <v>220</v>
      </c>
      <c r="B2217" s="193" t="s">
        <v>5430</v>
      </c>
      <c r="C2217" s="214" t="s">
        <v>4812</v>
      </c>
      <c r="D2217" s="193" t="s">
        <v>4813</v>
      </c>
      <c r="E2217" s="212" t="s">
        <v>545</v>
      </c>
      <c r="F2217" s="215">
        <v>79</v>
      </c>
      <c r="G2217" s="194">
        <v>0.49</v>
      </c>
      <c r="H2217" s="195">
        <v>38.71</v>
      </c>
      <c r="I2217" s="212" t="s">
        <v>2354</v>
      </c>
    </row>
    <row r="2218" spans="1:9" x14ac:dyDescent="0.25">
      <c r="A2218" s="193" t="s">
        <v>220</v>
      </c>
      <c r="B2218" s="193" t="s">
        <v>2351</v>
      </c>
      <c r="C2218" s="214" t="s">
        <v>3243</v>
      </c>
      <c r="D2218" s="193" t="s">
        <v>3244</v>
      </c>
      <c r="E2218" s="212" t="s">
        <v>545</v>
      </c>
      <c r="F2218" s="215">
        <v>1</v>
      </c>
      <c r="G2218" s="194">
        <v>38.771999999999998</v>
      </c>
      <c r="H2218" s="195">
        <v>38.771999999999998</v>
      </c>
      <c r="I2218" s="212" t="s">
        <v>2354</v>
      </c>
    </row>
    <row r="2219" spans="1:9" x14ac:dyDescent="0.25">
      <c r="A2219" s="193" t="s">
        <v>220</v>
      </c>
      <c r="B2219" s="193" t="s">
        <v>2351</v>
      </c>
      <c r="C2219" s="214" t="s">
        <v>3647</v>
      </c>
      <c r="D2219" s="193" t="s">
        <v>3648</v>
      </c>
      <c r="E2219" s="212" t="s">
        <v>545</v>
      </c>
      <c r="F2219" s="215">
        <v>4</v>
      </c>
      <c r="G2219" s="194">
        <v>9.7188999999999997</v>
      </c>
      <c r="H2219" s="195">
        <v>38.875599999999999</v>
      </c>
      <c r="I2219" s="212" t="s">
        <v>2354</v>
      </c>
    </row>
    <row r="2220" spans="1:9" x14ac:dyDescent="0.25">
      <c r="A2220" s="193" t="s">
        <v>220</v>
      </c>
      <c r="B2220" s="193" t="s">
        <v>5430</v>
      </c>
      <c r="C2220" s="214" t="s">
        <v>4858</v>
      </c>
      <c r="D2220" s="193" t="s">
        <v>4859</v>
      </c>
      <c r="E2220" s="212" t="s">
        <v>545</v>
      </c>
      <c r="F2220" s="215">
        <v>88</v>
      </c>
      <c r="G2220" s="194">
        <v>0.442</v>
      </c>
      <c r="H2220" s="195">
        <v>38.896000000000001</v>
      </c>
      <c r="I2220" s="212" t="s">
        <v>2354</v>
      </c>
    </row>
    <row r="2221" spans="1:9" x14ac:dyDescent="0.25">
      <c r="A2221" s="193" t="s">
        <v>220</v>
      </c>
      <c r="B2221" s="193" t="s">
        <v>2351</v>
      </c>
      <c r="C2221" s="214" t="s">
        <v>2425</v>
      </c>
      <c r="D2221" s="193" t="s">
        <v>2426</v>
      </c>
      <c r="E2221" s="212" t="s">
        <v>545</v>
      </c>
      <c r="F2221" s="215">
        <v>10</v>
      </c>
      <c r="G2221" s="194">
        <v>3.92</v>
      </c>
      <c r="H2221" s="195">
        <v>39.200000000000003</v>
      </c>
      <c r="I2221" s="212" t="s">
        <v>2354</v>
      </c>
    </row>
    <row r="2222" spans="1:9" x14ac:dyDescent="0.25">
      <c r="A2222" s="193" t="s">
        <v>220</v>
      </c>
      <c r="B2222" s="193" t="s">
        <v>2351</v>
      </c>
      <c r="C2222" s="214" t="s">
        <v>3599</v>
      </c>
      <c r="D2222" s="193" t="s">
        <v>3600</v>
      </c>
      <c r="E2222" s="212" t="s">
        <v>545</v>
      </c>
      <c r="F2222" s="215">
        <v>11</v>
      </c>
      <c r="G2222" s="194">
        <v>3.57</v>
      </c>
      <c r="H2222" s="195">
        <v>39.269999999999996</v>
      </c>
      <c r="I2222" s="212" t="s">
        <v>2354</v>
      </c>
    </row>
    <row r="2223" spans="1:9" x14ac:dyDescent="0.25">
      <c r="A2223" s="193" t="s">
        <v>220</v>
      </c>
      <c r="B2223" s="193" t="s">
        <v>2351</v>
      </c>
      <c r="C2223" s="214" t="s">
        <v>3575</v>
      </c>
      <c r="D2223" s="193" t="s">
        <v>3576</v>
      </c>
      <c r="E2223" s="212" t="s">
        <v>545</v>
      </c>
      <c r="F2223" s="215">
        <v>17</v>
      </c>
      <c r="G2223" s="194">
        <v>2.3111666666666668</v>
      </c>
      <c r="H2223" s="195">
        <v>39.289833333333334</v>
      </c>
      <c r="I2223" s="212" t="s">
        <v>2354</v>
      </c>
    </row>
    <row r="2224" spans="1:9" x14ac:dyDescent="0.25">
      <c r="A2224" s="193" t="s">
        <v>220</v>
      </c>
      <c r="B2224" s="193" t="s">
        <v>2351</v>
      </c>
      <c r="C2224" s="214" t="s">
        <v>3681</v>
      </c>
      <c r="D2224" s="193" t="s">
        <v>3682</v>
      </c>
      <c r="E2224" s="212" t="s">
        <v>545</v>
      </c>
      <c r="F2224" s="215">
        <v>11</v>
      </c>
      <c r="G2224" s="194">
        <v>3.5829</v>
      </c>
      <c r="H2224" s="195">
        <v>39.411900000000003</v>
      </c>
      <c r="I2224" s="212" t="s">
        <v>2354</v>
      </c>
    </row>
    <row r="2225" spans="1:9" x14ac:dyDescent="0.25">
      <c r="A2225" s="193" t="s">
        <v>220</v>
      </c>
      <c r="B2225" s="193" t="s">
        <v>2351</v>
      </c>
      <c r="C2225" s="214" t="s">
        <v>3038</v>
      </c>
      <c r="D2225" s="193" t="s">
        <v>3039</v>
      </c>
      <c r="E2225" s="212" t="s">
        <v>545</v>
      </c>
      <c r="F2225" s="215">
        <v>2</v>
      </c>
      <c r="G2225" s="194">
        <v>19.727550000000001</v>
      </c>
      <c r="H2225" s="195">
        <v>39.455100000000002</v>
      </c>
      <c r="I2225" s="212" t="s">
        <v>2354</v>
      </c>
    </row>
    <row r="2226" spans="1:9" x14ac:dyDescent="0.25">
      <c r="A2226" s="193" t="s">
        <v>220</v>
      </c>
      <c r="B2226" s="193" t="s">
        <v>2351</v>
      </c>
      <c r="C2226" s="214" t="s">
        <v>3759</v>
      </c>
      <c r="D2226" s="193" t="s">
        <v>3760</v>
      </c>
      <c r="E2226" s="212" t="s">
        <v>2387</v>
      </c>
      <c r="F2226" s="215">
        <v>120</v>
      </c>
      <c r="G2226" s="194">
        <v>0.32900000000000001</v>
      </c>
      <c r="H2226" s="195">
        <v>39.480000000000004</v>
      </c>
      <c r="I2226" s="212" t="s">
        <v>2354</v>
      </c>
    </row>
    <row r="2227" spans="1:9" x14ac:dyDescent="0.25">
      <c r="A2227" s="193" t="s">
        <v>220</v>
      </c>
      <c r="B2227" s="193" t="s">
        <v>5430</v>
      </c>
      <c r="C2227" s="214" t="s">
        <v>5775</v>
      </c>
      <c r="D2227" s="193" t="s">
        <v>5776</v>
      </c>
      <c r="E2227" s="212" t="s">
        <v>545</v>
      </c>
      <c r="F2227" s="215">
        <v>2</v>
      </c>
      <c r="G2227" s="194">
        <v>19.8</v>
      </c>
      <c r="H2227" s="195">
        <v>39.6</v>
      </c>
      <c r="I2227" s="212" t="s">
        <v>2354</v>
      </c>
    </row>
    <row r="2228" spans="1:9" x14ac:dyDescent="0.25">
      <c r="A2228" s="193" t="s">
        <v>220</v>
      </c>
      <c r="B2228" s="193" t="s">
        <v>5430</v>
      </c>
      <c r="C2228" s="214" t="s">
        <v>5777</v>
      </c>
      <c r="D2228" s="193" t="s">
        <v>5778</v>
      </c>
      <c r="E2228" s="212" t="s">
        <v>545</v>
      </c>
      <c r="F2228" s="215">
        <v>2</v>
      </c>
      <c r="G2228" s="194">
        <v>19.8</v>
      </c>
      <c r="H2228" s="195">
        <v>39.6</v>
      </c>
      <c r="I2228" s="212" t="s">
        <v>2354</v>
      </c>
    </row>
    <row r="2229" spans="1:9" x14ac:dyDescent="0.25">
      <c r="A2229" s="193" t="s">
        <v>220</v>
      </c>
      <c r="B2229" s="193" t="s">
        <v>2351</v>
      </c>
      <c r="C2229" s="214" t="s">
        <v>3847</v>
      </c>
      <c r="D2229" s="193" t="s">
        <v>3848</v>
      </c>
      <c r="E2229" s="212" t="s">
        <v>545</v>
      </c>
      <c r="F2229" s="215">
        <v>2</v>
      </c>
      <c r="G2229" s="194">
        <v>19.800999999999998</v>
      </c>
      <c r="H2229" s="195">
        <v>39.601999999999997</v>
      </c>
      <c r="I2229" s="212" t="s">
        <v>2354</v>
      </c>
    </row>
    <row r="2230" spans="1:9" x14ac:dyDescent="0.25">
      <c r="A2230" s="193" t="s">
        <v>220</v>
      </c>
      <c r="B2230" s="193" t="s">
        <v>2351</v>
      </c>
      <c r="C2230" s="214"/>
      <c r="D2230" s="193" t="s">
        <v>2357</v>
      </c>
      <c r="E2230" s="212" t="s">
        <v>545</v>
      </c>
      <c r="F2230" s="215">
        <v>10</v>
      </c>
      <c r="G2230" s="194">
        <v>3.9660000000000002</v>
      </c>
      <c r="H2230" s="195">
        <v>39.660000000000004</v>
      </c>
      <c r="I2230" s="212" t="s">
        <v>2354</v>
      </c>
    </row>
    <row r="2231" spans="1:9" x14ac:dyDescent="0.25">
      <c r="A2231" s="193" t="s">
        <v>220</v>
      </c>
      <c r="B2231" s="193" t="s">
        <v>5430</v>
      </c>
      <c r="C2231" s="214" t="s">
        <v>7025</v>
      </c>
      <c r="D2231" s="193" t="s">
        <v>7026</v>
      </c>
      <c r="E2231" s="212" t="s">
        <v>545</v>
      </c>
      <c r="F2231" s="215">
        <v>1</v>
      </c>
      <c r="G2231" s="194">
        <v>39.695999999999998</v>
      </c>
      <c r="H2231" s="195">
        <v>39.695999999999998</v>
      </c>
      <c r="I2231" s="212" t="s">
        <v>2354</v>
      </c>
    </row>
    <row r="2232" spans="1:9" x14ac:dyDescent="0.25">
      <c r="A2232" s="193" t="s">
        <v>220</v>
      </c>
      <c r="B2232" s="193" t="s">
        <v>5430</v>
      </c>
      <c r="C2232" s="214" t="s">
        <v>7177</v>
      </c>
      <c r="D2232" s="193" t="s">
        <v>7178</v>
      </c>
      <c r="E2232" s="212" t="s">
        <v>545</v>
      </c>
      <c r="F2232" s="215">
        <v>81</v>
      </c>
      <c r="G2232" s="194">
        <v>0.49299999999999999</v>
      </c>
      <c r="H2232" s="195">
        <v>39.933</v>
      </c>
      <c r="I2232" s="212" t="s">
        <v>2354</v>
      </c>
    </row>
    <row r="2233" spans="1:9" x14ac:dyDescent="0.25">
      <c r="A2233" s="193" t="s">
        <v>220</v>
      </c>
      <c r="B2233" s="193" t="s">
        <v>5430</v>
      </c>
      <c r="C2233" s="214" t="s">
        <v>6379</v>
      </c>
      <c r="D2233" s="193" t="s">
        <v>6380</v>
      </c>
      <c r="E2233" s="212" t="s">
        <v>545</v>
      </c>
      <c r="F2233" s="215">
        <v>1</v>
      </c>
      <c r="G2233" s="194">
        <v>39.974400000000003</v>
      </c>
      <c r="H2233" s="195">
        <v>39.974400000000003</v>
      </c>
      <c r="I2233" s="212" t="s">
        <v>2354</v>
      </c>
    </row>
    <row r="2234" spans="1:9" x14ac:dyDescent="0.25">
      <c r="A2234" s="193" t="s">
        <v>220</v>
      </c>
      <c r="B2234" s="193" t="s">
        <v>2351</v>
      </c>
      <c r="C2234" s="214" t="s">
        <v>4863</v>
      </c>
      <c r="D2234" s="193" t="s">
        <v>4864</v>
      </c>
      <c r="E2234" s="212" t="s">
        <v>545</v>
      </c>
      <c r="F2234" s="215">
        <v>93</v>
      </c>
      <c r="G2234" s="194">
        <v>0.43010585751978891</v>
      </c>
      <c r="H2234" s="195">
        <v>39.999844749340369</v>
      </c>
      <c r="I2234" s="212" t="s">
        <v>2354</v>
      </c>
    </row>
    <row r="2235" spans="1:9" x14ac:dyDescent="0.25">
      <c r="A2235" s="193" t="s">
        <v>220</v>
      </c>
      <c r="B2235" s="193" t="s">
        <v>2351</v>
      </c>
      <c r="C2235" s="214" t="s">
        <v>2457</v>
      </c>
      <c r="D2235" s="193" t="s">
        <v>2458</v>
      </c>
      <c r="E2235" s="212" t="s">
        <v>545</v>
      </c>
      <c r="F2235" s="215">
        <v>4</v>
      </c>
      <c r="G2235" s="194">
        <v>10</v>
      </c>
      <c r="H2235" s="195">
        <v>40</v>
      </c>
      <c r="I2235" s="212" t="s">
        <v>2354</v>
      </c>
    </row>
    <row r="2236" spans="1:9" x14ac:dyDescent="0.25">
      <c r="A2236" s="193" t="s">
        <v>220</v>
      </c>
      <c r="B2236" s="193" t="s">
        <v>2351</v>
      </c>
      <c r="C2236" s="214" t="s">
        <v>2692</v>
      </c>
      <c r="D2236" s="193" t="s">
        <v>2693</v>
      </c>
      <c r="E2236" s="212" t="s">
        <v>545</v>
      </c>
      <c r="F2236" s="215">
        <v>1</v>
      </c>
      <c r="G2236" s="194">
        <v>40</v>
      </c>
      <c r="H2236" s="195">
        <v>40</v>
      </c>
      <c r="I2236" s="212" t="s">
        <v>2354</v>
      </c>
    </row>
    <row r="2237" spans="1:9" x14ac:dyDescent="0.25">
      <c r="A2237" s="193" t="s">
        <v>220</v>
      </c>
      <c r="B2237" s="193" t="s">
        <v>2351</v>
      </c>
      <c r="C2237" s="214" t="s">
        <v>4417</v>
      </c>
      <c r="D2237" s="193" t="s">
        <v>4418</v>
      </c>
      <c r="E2237" s="212" t="s">
        <v>545</v>
      </c>
      <c r="F2237" s="215">
        <v>5</v>
      </c>
      <c r="G2237" s="194">
        <v>8</v>
      </c>
      <c r="H2237" s="195">
        <v>40</v>
      </c>
      <c r="I2237" s="212" t="s">
        <v>2354</v>
      </c>
    </row>
    <row r="2238" spans="1:9" x14ac:dyDescent="0.25">
      <c r="A2238" s="193" t="s">
        <v>220</v>
      </c>
      <c r="B2238" s="193" t="s">
        <v>5430</v>
      </c>
      <c r="C2238" s="214" t="s">
        <v>2638</v>
      </c>
      <c r="D2238" s="193" t="s">
        <v>2639</v>
      </c>
      <c r="E2238" s="212" t="s">
        <v>545</v>
      </c>
      <c r="F2238" s="215">
        <v>1</v>
      </c>
      <c r="G2238" s="194">
        <v>40</v>
      </c>
      <c r="H2238" s="195">
        <v>40</v>
      </c>
      <c r="I2238" s="212" t="s">
        <v>2354</v>
      </c>
    </row>
    <row r="2239" spans="1:9" x14ac:dyDescent="0.25">
      <c r="A2239" s="193" t="s">
        <v>220</v>
      </c>
      <c r="B2239" s="193" t="s">
        <v>2351</v>
      </c>
      <c r="C2239" s="214" t="s">
        <v>3289</v>
      </c>
      <c r="D2239" s="193" t="s">
        <v>3290</v>
      </c>
      <c r="E2239" s="212" t="s">
        <v>545</v>
      </c>
      <c r="F2239" s="215">
        <v>20</v>
      </c>
      <c r="G2239" s="194">
        <v>2.0020000000000002</v>
      </c>
      <c r="H2239" s="195">
        <v>40.040000000000006</v>
      </c>
      <c r="I2239" s="212" t="s">
        <v>2354</v>
      </c>
    </row>
    <row r="2240" spans="1:9" x14ac:dyDescent="0.25">
      <c r="A2240" s="193" t="s">
        <v>220</v>
      </c>
      <c r="B2240" s="193" t="s">
        <v>5430</v>
      </c>
      <c r="C2240" s="214" t="s">
        <v>5953</v>
      </c>
      <c r="D2240" s="193" t="s">
        <v>5954</v>
      </c>
      <c r="E2240" s="212" t="s">
        <v>545</v>
      </c>
      <c r="F2240" s="215">
        <v>3</v>
      </c>
      <c r="G2240" s="194">
        <v>13.379200000000001</v>
      </c>
      <c r="H2240" s="195">
        <v>40.137600000000006</v>
      </c>
      <c r="I2240" s="212" t="s">
        <v>2354</v>
      </c>
    </row>
    <row r="2241" spans="1:9" x14ac:dyDescent="0.25">
      <c r="A2241" s="193" t="s">
        <v>220</v>
      </c>
      <c r="B2241" s="193" t="s">
        <v>5430</v>
      </c>
      <c r="C2241" s="214" t="s">
        <v>7284</v>
      </c>
      <c r="D2241" s="193" t="s">
        <v>7285</v>
      </c>
      <c r="E2241" s="212" t="s">
        <v>545</v>
      </c>
      <c r="F2241" s="215">
        <v>1</v>
      </c>
      <c r="G2241" s="194">
        <v>40.372199999999999</v>
      </c>
      <c r="H2241" s="195">
        <v>40.372199999999999</v>
      </c>
      <c r="I2241" s="212" t="s">
        <v>2354</v>
      </c>
    </row>
    <row r="2242" spans="1:9" x14ac:dyDescent="0.25">
      <c r="A2242" s="193" t="s">
        <v>220</v>
      </c>
      <c r="B2242" s="193" t="s">
        <v>2351</v>
      </c>
      <c r="C2242" s="214" t="s">
        <v>2898</v>
      </c>
      <c r="D2242" s="193" t="s">
        <v>2899</v>
      </c>
      <c r="E2242" s="212" t="s">
        <v>545</v>
      </c>
      <c r="F2242" s="215">
        <v>4</v>
      </c>
      <c r="G2242" s="194">
        <v>10.143000000000001</v>
      </c>
      <c r="H2242" s="195">
        <v>40.572000000000003</v>
      </c>
      <c r="I2242" s="212" t="s">
        <v>2354</v>
      </c>
    </row>
    <row r="2243" spans="1:9" x14ac:dyDescent="0.25">
      <c r="A2243" s="193" t="s">
        <v>220</v>
      </c>
      <c r="B2243" s="193" t="s">
        <v>2351</v>
      </c>
      <c r="C2243" s="214" t="s">
        <v>2914</v>
      </c>
      <c r="D2243" s="193" t="s">
        <v>2915</v>
      </c>
      <c r="E2243" s="212" t="s">
        <v>545</v>
      </c>
      <c r="F2243" s="215">
        <v>4</v>
      </c>
      <c r="G2243" s="194">
        <v>10.143000000000001</v>
      </c>
      <c r="H2243" s="195">
        <v>40.572000000000003</v>
      </c>
      <c r="I2243" s="212" t="s">
        <v>2354</v>
      </c>
    </row>
    <row r="2244" spans="1:9" x14ac:dyDescent="0.25">
      <c r="A2244" s="193" t="s">
        <v>220</v>
      </c>
      <c r="B2244" s="193" t="s">
        <v>5430</v>
      </c>
      <c r="C2244" s="214" t="s">
        <v>5846</v>
      </c>
      <c r="D2244" s="193" t="s">
        <v>5847</v>
      </c>
      <c r="E2244" s="212" t="s">
        <v>545</v>
      </c>
      <c r="F2244" s="215">
        <v>4</v>
      </c>
      <c r="G2244" s="194">
        <v>10.143000000000001</v>
      </c>
      <c r="H2244" s="195">
        <v>40.572000000000003</v>
      </c>
      <c r="I2244" s="212" t="s">
        <v>2354</v>
      </c>
    </row>
    <row r="2245" spans="1:9" x14ac:dyDescent="0.25">
      <c r="A2245" s="193" t="s">
        <v>220</v>
      </c>
      <c r="B2245" s="193" t="s">
        <v>5430</v>
      </c>
      <c r="C2245" s="214" t="s">
        <v>2896</v>
      </c>
      <c r="D2245" s="193" t="s">
        <v>2897</v>
      </c>
      <c r="E2245" s="212" t="s">
        <v>545</v>
      </c>
      <c r="F2245" s="215">
        <v>4</v>
      </c>
      <c r="G2245" s="194">
        <v>10.143000000000001</v>
      </c>
      <c r="H2245" s="195">
        <v>40.572000000000003</v>
      </c>
      <c r="I2245" s="212" t="s">
        <v>2354</v>
      </c>
    </row>
    <row r="2246" spans="1:9" x14ac:dyDescent="0.25">
      <c r="A2246" s="193" t="s">
        <v>220</v>
      </c>
      <c r="B2246" s="193" t="s">
        <v>2351</v>
      </c>
      <c r="C2246" s="214" t="s">
        <v>3387</v>
      </c>
      <c r="D2246" s="193" t="s">
        <v>3388</v>
      </c>
      <c r="E2246" s="212" t="s">
        <v>545</v>
      </c>
      <c r="F2246" s="215">
        <v>5</v>
      </c>
      <c r="G2246" s="194">
        <v>8.1259999999999994</v>
      </c>
      <c r="H2246" s="195">
        <v>40.629999999999995</v>
      </c>
      <c r="I2246" s="212" t="s">
        <v>2354</v>
      </c>
    </row>
    <row r="2247" spans="1:9" x14ac:dyDescent="0.25">
      <c r="A2247" s="193" t="s">
        <v>220</v>
      </c>
      <c r="B2247" s="193" t="s">
        <v>2351</v>
      </c>
      <c r="C2247" s="214" t="s">
        <v>4215</v>
      </c>
      <c r="D2247" s="193" t="s">
        <v>4216</v>
      </c>
      <c r="E2247" s="212" t="s">
        <v>545</v>
      </c>
      <c r="F2247" s="215">
        <v>40</v>
      </c>
      <c r="G2247" s="194">
        <v>1.0157499999999999</v>
      </c>
      <c r="H2247" s="195">
        <v>40.629999999999995</v>
      </c>
      <c r="I2247" s="212" t="s">
        <v>2354</v>
      </c>
    </row>
    <row r="2248" spans="1:9" x14ac:dyDescent="0.25">
      <c r="A2248" s="193" t="s">
        <v>220</v>
      </c>
      <c r="B2248" s="193" t="s">
        <v>5430</v>
      </c>
      <c r="C2248" s="214" t="s">
        <v>3363</v>
      </c>
      <c r="D2248" s="193" t="s">
        <v>3364</v>
      </c>
      <c r="E2248" s="212" t="s">
        <v>545</v>
      </c>
      <c r="F2248" s="215">
        <v>22</v>
      </c>
      <c r="G2248" s="194">
        <v>1.8508579999999999</v>
      </c>
      <c r="H2248" s="195">
        <v>40.718875999999995</v>
      </c>
      <c r="I2248" s="212" t="s">
        <v>2354</v>
      </c>
    </row>
    <row r="2249" spans="1:9" x14ac:dyDescent="0.25">
      <c r="A2249" s="193" t="s">
        <v>220</v>
      </c>
      <c r="B2249" s="193" t="s">
        <v>5430</v>
      </c>
      <c r="C2249" s="214" t="s">
        <v>4820</v>
      </c>
      <c r="D2249" s="193" t="s">
        <v>4821</v>
      </c>
      <c r="E2249" s="212" t="s">
        <v>545</v>
      </c>
      <c r="F2249" s="215">
        <v>140</v>
      </c>
      <c r="G2249" s="194">
        <v>0.29199999999999998</v>
      </c>
      <c r="H2249" s="195">
        <v>40.879999999999995</v>
      </c>
      <c r="I2249" s="212" t="s">
        <v>2354</v>
      </c>
    </row>
    <row r="2250" spans="1:9" x14ac:dyDescent="0.25">
      <c r="A2250" s="193" t="s">
        <v>220</v>
      </c>
      <c r="B2250" s="193" t="s">
        <v>2351</v>
      </c>
      <c r="C2250" s="214" t="s">
        <v>4656</v>
      </c>
      <c r="D2250" s="193" t="s">
        <v>4657</v>
      </c>
      <c r="E2250" s="212" t="s">
        <v>545</v>
      </c>
      <c r="F2250" s="215">
        <v>210</v>
      </c>
      <c r="G2250" s="194">
        <v>0.19486187845303865</v>
      </c>
      <c r="H2250" s="195">
        <v>40.920994475138116</v>
      </c>
      <c r="I2250" s="212" t="s">
        <v>2354</v>
      </c>
    </row>
    <row r="2251" spans="1:9" x14ac:dyDescent="0.25">
      <c r="A2251" s="193" t="s">
        <v>220</v>
      </c>
      <c r="B2251" s="193" t="s">
        <v>2351</v>
      </c>
      <c r="C2251" s="214" t="s">
        <v>3511</v>
      </c>
      <c r="D2251" s="193" t="s">
        <v>3512</v>
      </c>
      <c r="E2251" s="212" t="s">
        <v>545</v>
      </c>
      <c r="F2251" s="215">
        <v>1</v>
      </c>
      <c r="G2251" s="194">
        <v>40.950000000000003</v>
      </c>
      <c r="H2251" s="195">
        <v>40.950000000000003</v>
      </c>
      <c r="I2251" s="212" t="s">
        <v>2354</v>
      </c>
    </row>
    <row r="2252" spans="1:9" x14ac:dyDescent="0.25">
      <c r="A2252" s="193" t="s">
        <v>220</v>
      </c>
      <c r="B2252" s="193" t="s">
        <v>2351</v>
      </c>
      <c r="C2252" s="214" t="s">
        <v>3207</v>
      </c>
      <c r="D2252" s="193" t="s">
        <v>3208</v>
      </c>
      <c r="E2252" s="212" t="s">
        <v>545</v>
      </c>
      <c r="F2252" s="215">
        <v>21</v>
      </c>
      <c r="G2252" s="194">
        <v>1.9525128964059197</v>
      </c>
      <c r="H2252" s="195">
        <v>41.002770824524312</v>
      </c>
      <c r="I2252" s="212" t="s">
        <v>2354</v>
      </c>
    </row>
    <row r="2253" spans="1:9" x14ac:dyDescent="0.25">
      <c r="A2253" s="193" t="s">
        <v>220</v>
      </c>
      <c r="B2253" s="193" t="s">
        <v>5430</v>
      </c>
      <c r="C2253" s="214" t="s">
        <v>5548</v>
      </c>
      <c r="D2253" s="193" t="s">
        <v>5549</v>
      </c>
      <c r="E2253" s="212" t="s">
        <v>545</v>
      </c>
      <c r="F2253" s="215">
        <v>2</v>
      </c>
      <c r="G2253" s="194">
        <v>20.55725</v>
      </c>
      <c r="H2253" s="195">
        <v>41.1145</v>
      </c>
      <c r="I2253" s="212" t="s">
        <v>2354</v>
      </c>
    </row>
    <row r="2254" spans="1:9" x14ac:dyDescent="0.25">
      <c r="A2254" s="193" t="s">
        <v>220</v>
      </c>
      <c r="B2254" s="193" t="s">
        <v>5430</v>
      </c>
      <c r="C2254" s="214" t="s">
        <v>4860</v>
      </c>
      <c r="D2254" s="193" t="s">
        <v>4861</v>
      </c>
      <c r="E2254" s="212" t="s">
        <v>545</v>
      </c>
      <c r="F2254" s="215">
        <v>92</v>
      </c>
      <c r="G2254" s="194">
        <v>0.44700000000000001</v>
      </c>
      <c r="H2254" s="195">
        <v>41.124000000000002</v>
      </c>
      <c r="I2254" s="212" t="s">
        <v>2354</v>
      </c>
    </row>
    <row r="2255" spans="1:9" x14ac:dyDescent="0.25">
      <c r="A2255" s="193" t="s">
        <v>220</v>
      </c>
      <c r="B2255" s="193" t="s">
        <v>5430</v>
      </c>
      <c r="C2255" s="214" t="s">
        <v>6327</v>
      </c>
      <c r="D2255" s="193" t="s">
        <v>6328</v>
      </c>
      <c r="E2255" s="212" t="s">
        <v>545</v>
      </c>
      <c r="F2255" s="213">
        <v>38</v>
      </c>
      <c r="G2255" s="194">
        <v>1.0880000000000001</v>
      </c>
      <c r="H2255" s="195">
        <v>41.344000000000001</v>
      </c>
      <c r="I2255" s="212" t="s">
        <v>2354</v>
      </c>
    </row>
    <row r="2256" spans="1:9" x14ac:dyDescent="0.25">
      <c r="A2256" s="193" t="s">
        <v>220</v>
      </c>
      <c r="B2256" s="193" t="s">
        <v>2351</v>
      </c>
      <c r="C2256" s="214" t="s">
        <v>3261</v>
      </c>
      <c r="D2256" s="193" t="s">
        <v>3262</v>
      </c>
      <c r="E2256" s="212" t="s">
        <v>545</v>
      </c>
      <c r="F2256" s="215">
        <v>11</v>
      </c>
      <c r="G2256" s="194">
        <v>3.7618799999999997</v>
      </c>
      <c r="H2256" s="195">
        <v>41.380679999999998</v>
      </c>
      <c r="I2256" s="212" t="s">
        <v>2354</v>
      </c>
    </row>
    <row r="2257" spans="1:9" x14ac:dyDescent="0.25">
      <c r="A2257" s="193" t="s">
        <v>220</v>
      </c>
      <c r="B2257" s="193" t="s">
        <v>5430</v>
      </c>
      <c r="C2257" s="214" t="s">
        <v>3735</v>
      </c>
      <c r="D2257" s="193" t="s">
        <v>3736</v>
      </c>
      <c r="E2257" s="212" t="s">
        <v>545</v>
      </c>
      <c r="F2257" s="215">
        <v>5</v>
      </c>
      <c r="G2257" s="194">
        <v>8.2799999999999994</v>
      </c>
      <c r="H2257" s="195">
        <v>41.4</v>
      </c>
      <c r="I2257" s="212" t="s">
        <v>2354</v>
      </c>
    </row>
    <row r="2258" spans="1:9" x14ac:dyDescent="0.25">
      <c r="A2258" s="193" t="s">
        <v>220</v>
      </c>
      <c r="B2258" s="193" t="s">
        <v>2351</v>
      </c>
      <c r="C2258" s="214" t="s">
        <v>4426</v>
      </c>
      <c r="D2258" s="193" t="s">
        <v>4427</v>
      </c>
      <c r="E2258" s="212" t="s">
        <v>545</v>
      </c>
      <c r="F2258" s="215">
        <v>6</v>
      </c>
      <c r="G2258" s="194">
        <v>7.021221052631577</v>
      </c>
      <c r="H2258" s="195">
        <v>42.12732631578946</v>
      </c>
      <c r="I2258" s="212" t="s">
        <v>2354</v>
      </c>
    </row>
    <row r="2259" spans="1:9" x14ac:dyDescent="0.25">
      <c r="A2259" s="193" t="s">
        <v>220</v>
      </c>
      <c r="B2259" s="193" t="s">
        <v>2351</v>
      </c>
      <c r="C2259" s="214" t="s">
        <v>2820</v>
      </c>
      <c r="D2259" s="193" t="s">
        <v>2821</v>
      </c>
      <c r="E2259" s="212" t="s">
        <v>545</v>
      </c>
      <c r="F2259" s="215">
        <v>2</v>
      </c>
      <c r="G2259" s="194">
        <v>21.08</v>
      </c>
      <c r="H2259" s="195">
        <v>42.16</v>
      </c>
      <c r="I2259" s="212" t="s">
        <v>2354</v>
      </c>
    </row>
    <row r="2260" spans="1:9" x14ac:dyDescent="0.25">
      <c r="A2260" s="193" t="s">
        <v>220</v>
      </c>
      <c r="B2260" s="193" t="s">
        <v>2351</v>
      </c>
      <c r="C2260" s="214" t="s">
        <v>2822</v>
      </c>
      <c r="D2260" s="193" t="s">
        <v>2823</v>
      </c>
      <c r="E2260" s="212" t="s">
        <v>545</v>
      </c>
      <c r="F2260" s="215">
        <v>2</v>
      </c>
      <c r="G2260" s="194">
        <v>21.08</v>
      </c>
      <c r="H2260" s="195">
        <v>42.16</v>
      </c>
      <c r="I2260" s="212" t="s">
        <v>2354</v>
      </c>
    </row>
    <row r="2261" spans="1:9" x14ac:dyDescent="0.25">
      <c r="A2261" s="193" t="s">
        <v>220</v>
      </c>
      <c r="B2261" s="193" t="s">
        <v>5430</v>
      </c>
      <c r="C2261" s="214" t="s">
        <v>6407</v>
      </c>
      <c r="D2261" s="193" t="s">
        <v>6408</v>
      </c>
      <c r="E2261" s="212" t="s">
        <v>545</v>
      </c>
      <c r="F2261" s="215">
        <v>1</v>
      </c>
      <c r="G2261" s="194">
        <v>42.160499999999999</v>
      </c>
      <c r="H2261" s="195">
        <v>42.160499999999999</v>
      </c>
      <c r="I2261" s="212" t="s">
        <v>2354</v>
      </c>
    </row>
    <row r="2262" spans="1:9" x14ac:dyDescent="0.25">
      <c r="A2262" s="193" t="s">
        <v>220</v>
      </c>
      <c r="B2262" s="193" t="s">
        <v>5430</v>
      </c>
      <c r="C2262" s="214" t="s">
        <v>7184</v>
      </c>
      <c r="D2262" s="193" t="s">
        <v>4972</v>
      </c>
      <c r="E2262" s="212" t="s">
        <v>545</v>
      </c>
      <c r="F2262" s="215">
        <v>5</v>
      </c>
      <c r="G2262" s="194">
        <v>8.4700000000000006</v>
      </c>
      <c r="H2262" s="195">
        <v>42.35</v>
      </c>
      <c r="I2262" s="212" t="s">
        <v>2354</v>
      </c>
    </row>
    <row r="2263" spans="1:9" x14ac:dyDescent="0.25">
      <c r="A2263" s="193" t="s">
        <v>220</v>
      </c>
      <c r="B2263" s="193" t="s">
        <v>2351</v>
      </c>
      <c r="C2263" s="214" t="s">
        <v>3935</v>
      </c>
      <c r="D2263" s="193" t="s">
        <v>3936</v>
      </c>
      <c r="E2263" s="212" t="s">
        <v>545</v>
      </c>
      <c r="F2263" s="215">
        <v>2</v>
      </c>
      <c r="G2263" s="194">
        <v>21.29194</v>
      </c>
      <c r="H2263" s="195">
        <v>42.583880000000001</v>
      </c>
      <c r="I2263" s="212" t="s">
        <v>2354</v>
      </c>
    </row>
    <row r="2264" spans="1:9" x14ac:dyDescent="0.25">
      <c r="A2264" s="193" t="s">
        <v>220</v>
      </c>
      <c r="B2264" s="193" t="s">
        <v>2351</v>
      </c>
      <c r="C2264" s="214" t="s">
        <v>2942</v>
      </c>
      <c r="D2264" s="193" t="s">
        <v>2943</v>
      </c>
      <c r="E2264" s="212" t="s">
        <v>545</v>
      </c>
      <c r="F2264" s="215">
        <v>4</v>
      </c>
      <c r="G2264" s="194">
        <v>10.6488</v>
      </c>
      <c r="H2264" s="195">
        <v>42.595199999999998</v>
      </c>
      <c r="I2264" s="212" t="s">
        <v>2354</v>
      </c>
    </row>
    <row r="2265" spans="1:9" x14ac:dyDescent="0.25">
      <c r="A2265" s="193" t="s">
        <v>220</v>
      </c>
      <c r="B2265" s="193" t="s">
        <v>2351</v>
      </c>
      <c r="C2265" s="214" t="s">
        <v>2946</v>
      </c>
      <c r="D2265" s="193" t="s">
        <v>2947</v>
      </c>
      <c r="E2265" s="212" t="s">
        <v>545</v>
      </c>
      <c r="F2265" s="215">
        <v>4</v>
      </c>
      <c r="G2265" s="194">
        <v>10.6488</v>
      </c>
      <c r="H2265" s="195">
        <v>42.595199999999998</v>
      </c>
      <c r="I2265" s="212" t="s">
        <v>2354</v>
      </c>
    </row>
    <row r="2266" spans="1:9" x14ac:dyDescent="0.25">
      <c r="A2266" s="193" t="s">
        <v>220</v>
      </c>
      <c r="B2266" s="193" t="s">
        <v>2351</v>
      </c>
      <c r="C2266" s="214" t="s">
        <v>5402</v>
      </c>
      <c r="D2266" s="193" t="s">
        <v>5403</v>
      </c>
      <c r="E2266" s="212" t="s">
        <v>545</v>
      </c>
      <c r="F2266" s="215">
        <v>11</v>
      </c>
      <c r="G2266" s="194">
        <v>3.8759999999999999</v>
      </c>
      <c r="H2266" s="195">
        <v>42.635999999999996</v>
      </c>
      <c r="I2266" s="212" t="s">
        <v>2354</v>
      </c>
    </row>
    <row r="2267" spans="1:9" x14ac:dyDescent="0.25">
      <c r="A2267" s="193" t="s">
        <v>220</v>
      </c>
      <c r="B2267" s="193" t="s">
        <v>2351</v>
      </c>
      <c r="C2267" s="214" t="s">
        <v>3653</v>
      </c>
      <c r="D2267" s="193" t="s">
        <v>3654</v>
      </c>
      <c r="E2267" s="212" t="s">
        <v>545</v>
      </c>
      <c r="F2267" s="215">
        <v>19</v>
      </c>
      <c r="G2267" s="194">
        <v>2.2440000000000002</v>
      </c>
      <c r="H2267" s="195">
        <v>42.636000000000003</v>
      </c>
      <c r="I2267" s="212" t="s">
        <v>2354</v>
      </c>
    </row>
    <row r="2268" spans="1:9" x14ac:dyDescent="0.25">
      <c r="A2268" s="193" t="s">
        <v>220</v>
      </c>
      <c r="B2268" s="193" t="s">
        <v>5430</v>
      </c>
      <c r="C2268" s="214" t="s">
        <v>5528</v>
      </c>
      <c r="D2268" s="193" t="s">
        <v>5529</v>
      </c>
      <c r="E2268" s="212" t="s">
        <v>545</v>
      </c>
      <c r="F2268" s="215">
        <v>1</v>
      </c>
      <c r="G2268" s="194">
        <v>42.724110000000003</v>
      </c>
      <c r="H2268" s="195">
        <v>42.724110000000003</v>
      </c>
      <c r="I2268" s="212" t="s">
        <v>2354</v>
      </c>
    </row>
    <row r="2269" spans="1:9" x14ac:dyDescent="0.25">
      <c r="A2269" s="193" t="s">
        <v>220</v>
      </c>
      <c r="B2269" s="193" t="s">
        <v>2351</v>
      </c>
      <c r="C2269" s="214" t="s">
        <v>2932</v>
      </c>
      <c r="D2269" s="193" t="s">
        <v>2933</v>
      </c>
      <c r="E2269" s="212" t="s">
        <v>545</v>
      </c>
      <c r="F2269" s="215">
        <v>6</v>
      </c>
      <c r="G2269" s="194">
        <v>7.1459999999999999</v>
      </c>
      <c r="H2269" s="195">
        <v>42.875999999999998</v>
      </c>
      <c r="I2269" s="212" t="s">
        <v>2354</v>
      </c>
    </row>
    <row r="2270" spans="1:9" x14ac:dyDescent="0.25">
      <c r="A2270" s="193" t="s">
        <v>220</v>
      </c>
      <c r="B2270" s="193" t="s">
        <v>2351</v>
      </c>
      <c r="C2270" s="214" t="s">
        <v>4664</v>
      </c>
      <c r="D2270" s="193" t="s">
        <v>4665</v>
      </c>
      <c r="E2270" s="212" t="s">
        <v>545</v>
      </c>
      <c r="F2270" s="215">
        <v>150</v>
      </c>
      <c r="G2270" s="194">
        <v>0.28599999999999998</v>
      </c>
      <c r="H2270" s="195">
        <v>42.9</v>
      </c>
      <c r="I2270" s="212" t="s">
        <v>2354</v>
      </c>
    </row>
    <row r="2271" spans="1:9" x14ac:dyDescent="0.25">
      <c r="A2271" s="193" t="s">
        <v>220</v>
      </c>
      <c r="B2271" s="193" t="s">
        <v>5430</v>
      </c>
      <c r="C2271" s="214" t="s">
        <v>2906</v>
      </c>
      <c r="D2271" s="193" t="s">
        <v>2907</v>
      </c>
      <c r="E2271" s="212" t="s">
        <v>545</v>
      </c>
      <c r="F2271" s="215">
        <v>6</v>
      </c>
      <c r="G2271" s="194">
        <v>7.1639999999999988</v>
      </c>
      <c r="H2271" s="195">
        <v>42.983999999999995</v>
      </c>
      <c r="I2271" s="212" t="s">
        <v>2354</v>
      </c>
    </row>
    <row r="2272" spans="1:9" x14ac:dyDescent="0.25">
      <c r="A2272" s="193" t="s">
        <v>220</v>
      </c>
      <c r="B2272" s="193" t="s">
        <v>2351</v>
      </c>
      <c r="C2272" s="214" t="s">
        <v>3209</v>
      </c>
      <c r="D2272" s="193" t="s">
        <v>3210</v>
      </c>
      <c r="E2272" s="212" t="s">
        <v>545</v>
      </c>
      <c r="F2272" s="215">
        <v>12</v>
      </c>
      <c r="G2272" s="194">
        <v>3.5928</v>
      </c>
      <c r="H2272" s="195">
        <v>43.113599999999998</v>
      </c>
      <c r="I2272" s="212" t="s">
        <v>2354</v>
      </c>
    </row>
    <row r="2273" spans="1:9" x14ac:dyDescent="0.25">
      <c r="A2273" s="193" t="s">
        <v>220</v>
      </c>
      <c r="B2273" s="193" t="s">
        <v>2351</v>
      </c>
      <c r="C2273" s="214" t="s">
        <v>4889</v>
      </c>
      <c r="D2273" s="193" t="s">
        <v>4890</v>
      </c>
      <c r="E2273" s="212" t="s">
        <v>545</v>
      </c>
      <c r="F2273" s="215">
        <v>55</v>
      </c>
      <c r="G2273" s="194">
        <v>0.78539999999999988</v>
      </c>
      <c r="H2273" s="195">
        <v>43.196999999999996</v>
      </c>
      <c r="I2273" s="212" t="s">
        <v>2354</v>
      </c>
    </row>
    <row r="2274" spans="1:9" x14ac:dyDescent="0.25">
      <c r="A2274" s="193" t="s">
        <v>220</v>
      </c>
      <c r="B2274" s="193" t="s">
        <v>5430</v>
      </c>
      <c r="C2274" s="214" t="s">
        <v>5885</v>
      </c>
      <c r="D2274" s="193" t="s">
        <v>5886</v>
      </c>
      <c r="E2274" s="212" t="s">
        <v>545</v>
      </c>
      <c r="F2274" s="215">
        <v>6</v>
      </c>
      <c r="G2274" s="194">
        <v>7.2</v>
      </c>
      <c r="H2274" s="195">
        <v>43.2</v>
      </c>
      <c r="I2274" s="212" t="s">
        <v>2354</v>
      </c>
    </row>
    <row r="2275" spans="1:9" x14ac:dyDescent="0.25">
      <c r="A2275" s="193" t="s">
        <v>220</v>
      </c>
      <c r="B2275" s="193" t="s">
        <v>2351</v>
      </c>
      <c r="C2275" s="214" t="s">
        <v>2409</v>
      </c>
      <c r="D2275" s="193" t="s">
        <v>2410</v>
      </c>
      <c r="E2275" s="212" t="s">
        <v>545</v>
      </c>
      <c r="F2275" s="215">
        <v>24</v>
      </c>
      <c r="G2275" s="194">
        <v>1.802</v>
      </c>
      <c r="H2275" s="195">
        <v>43.248000000000005</v>
      </c>
      <c r="I2275" s="212" t="s">
        <v>2354</v>
      </c>
    </row>
    <row r="2276" spans="1:9" x14ac:dyDescent="0.25">
      <c r="A2276" s="193" t="s">
        <v>220</v>
      </c>
      <c r="B2276" s="193" t="s">
        <v>5430</v>
      </c>
      <c r="C2276" s="214" t="s">
        <v>6389</v>
      </c>
      <c r="D2276" s="193" t="s">
        <v>6390</v>
      </c>
      <c r="E2276" s="212" t="s">
        <v>545</v>
      </c>
      <c r="F2276" s="215">
        <v>1</v>
      </c>
      <c r="G2276" s="194">
        <v>43.271999999999998</v>
      </c>
      <c r="H2276" s="195">
        <v>43.271999999999998</v>
      </c>
      <c r="I2276" s="212" t="s">
        <v>2354</v>
      </c>
    </row>
    <row r="2277" spans="1:9" x14ac:dyDescent="0.25">
      <c r="A2277" s="193" t="s">
        <v>220</v>
      </c>
      <c r="B2277" s="193" t="s">
        <v>2351</v>
      </c>
      <c r="C2277" s="214" t="s">
        <v>4788</v>
      </c>
      <c r="D2277" s="193" t="s">
        <v>4789</v>
      </c>
      <c r="E2277" s="212" t="s">
        <v>2473</v>
      </c>
      <c r="F2277" s="215">
        <v>362</v>
      </c>
      <c r="G2277" s="194">
        <v>0.12</v>
      </c>
      <c r="H2277" s="195">
        <v>43.44</v>
      </c>
      <c r="I2277" s="212" t="s">
        <v>2354</v>
      </c>
    </row>
    <row r="2278" spans="1:9" x14ac:dyDescent="0.25">
      <c r="A2278" s="193" t="s">
        <v>220</v>
      </c>
      <c r="B2278" s="193" t="s">
        <v>5430</v>
      </c>
      <c r="C2278" s="214" t="s">
        <v>2383</v>
      </c>
      <c r="D2278" s="193" t="s">
        <v>5991</v>
      </c>
      <c r="E2278" s="212" t="s">
        <v>545</v>
      </c>
      <c r="F2278" s="215">
        <v>2</v>
      </c>
      <c r="G2278" s="194">
        <v>21.7224</v>
      </c>
      <c r="H2278" s="195">
        <v>43.444800000000001</v>
      </c>
      <c r="I2278" s="212" t="s">
        <v>2354</v>
      </c>
    </row>
    <row r="2279" spans="1:9" x14ac:dyDescent="0.25">
      <c r="A2279" s="193" t="s">
        <v>220</v>
      </c>
      <c r="B2279" s="193" t="s">
        <v>2351</v>
      </c>
      <c r="C2279" s="214" t="s">
        <v>4949</v>
      </c>
      <c r="D2279" s="193" t="s">
        <v>4950</v>
      </c>
      <c r="E2279" s="212" t="s">
        <v>545</v>
      </c>
      <c r="F2279" s="215">
        <v>230</v>
      </c>
      <c r="G2279" s="194">
        <v>0.18895999999999999</v>
      </c>
      <c r="H2279" s="195">
        <v>43.460799999999999</v>
      </c>
      <c r="I2279" s="212" t="s">
        <v>2354</v>
      </c>
    </row>
    <row r="2280" spans="1:9" x14ac:dyDescent="0.25">
      <c r="A2280" s="193" t="s">
        <v>220</v>
      </c>
      <c r="B2280" s="193" t="s">
        <v>2351</v>
      </c>
      <c r="C2280" s="214" t="s">
        <v>3567</v>
      </c>
      <c r="D2280" s="193" t="s">
        <v>3568</v>
      </c>
      <c r="E2280" s="212" t="s">
        <v>545</v>
      </c>
      <c r="F2280" s="215">
        <v>6</v>
      </c>
      <c r="G2280" s="194">
        <v>7.2479626957759846</v>
      </c>
      <c r="H2280" s="195">
        <v>43.487776174655906</v>
      </c>
      <c r="I2280" s="212" t="s">
        <v>2354</v>
      </c>
    </row>
    <row r="2281" spans="1:9" x14ac:dyDescent="0.25">
      <c r="A2281" s="193" t="s">
        <v>220</v>
      </c>
      <c r="B2281" s="193" t="s">
        <v>5430</v>
      </c>
      <c r="C2281" s="214" t="s">
        <v>6547</v>
      </c>
      <c r="D2281" s="193" t="s">
        <v>6548</v>
      </c>
      <c r="E2281" s="212" t="s">
        <v>545</v>
      </c>
      <c r="F2281" s="215">
        <v>2</v>
      </c>
      <c r="G2281" s="194">
        <v>21.8</v>
      </c>
      <c r="H2281" s="195">
        <v>43.6</v>
      </c>
      <c r="I2281" s="212" t="s">
        <v>2354</v>
      </c>
    </row>
    <row r="2282" spans="1:9" x14ac:dyDescent="0.25">
      <c r="A2282" s="193" t="s">
        <v>220</v>
      </c>
      <c r="B2282" s="193" t="s">
        <v>2351</v>
      </c>
      <c r="C2282" s="214" t="s">
        <v>3299</v>
      </c>
      <c r="D2282" s="193" t="s">
        <v>3300</v>
      </c>
      <c r="E2282" s="212" t="s">
        <v>545</v>
      </c>
      <c r="F2282" s="215">
        <v>3</v>
      </c>
      <c r="G2282" s="194">
        <v>14.5512</v>
      </c>
      <c r="H2282" s="195">
        <v>43.653599999999997</v>
      </c>
      <c r="I2282" s="212" t="s">
        <v>2354</v>
      </c>
    </row>
    <row r="2283" spans="1:9" x14ac:dyDescent="0.25">
      <c r="A2283" s="193" t="s">
        <v>220</v>
      </c>
      <c r="B2283" s="193" t="s">
        <v>5430</v>
      </c>
      <c r="C2283" s="214" t="s">
        <v>7242</v>
      </c>
      <c r="D2283" s="193" t="s">
        <v>5163</v>
      </c>
      <c r="E2283" s="212" t="s">
        <v>545</v>
      </c>
      <c r="F2283" s="215">
        <v>4</v>
      </c>
      <c r="G2283" s="194">
        <v>10.92</v>
      </c>
      <c r="H2283" s="195">
        <v>43.68</v>
      </c>
      <c r="I2283" s="212" t="s">
        <v>2354</v>
      </c>
    </row>
    <row r="2284" spans="1:9" x14ac:dyDescent="0.25">
      <c r="A2284" s="193" t="s">
        <v>220</v>
      </c>
      <c r="B2284" s="193" t="s">
        <v>2351</v>
      </c>
      <c r="C2284" s="214" t="s">
        <v>4816</v>
      </c>
      <c r="D2284" s="193" t="s">
        <v>4817</v>
      </c>
      <c r="E2284" s="212" t="s">
        <v>545</v>
      </c>
      <c r="F2284" s="215">
        <v>152</v>
      </c>
      <c r="G2284" s="194">
        <v>0.28799999999999998</v>
      </c>
      <c r="H2284" s="195">
        <v>43.775999999999996</v>
      </c>
      <c r="I2284" s="212" t="s">
        <v>2354</v>
      </c>
    </row>
    <row r="2285" spans="1:9" x14ac:dyDescent="0.25">
      <c r="A2285" s="193" t="s">
        <v>220</v>
      </c>
      <c r="B2285" s="193" t="s">
        <v>5430</v>
      </c>
      <c r="C2285" s="214" t="s">
        <v>4560</v>
      </c>
      <c r="D2285" s="193" t="s">
        <v>4561</v>
      </c>
      <c r="E2285" s="212" t="s">
        <v>545</v>
      </c>
      <c r="F2285" s="215">
        <v>6</v>
      </c>
      <c r="G2285" s="194">
        <v>7.3049999999999997</v>
      </c>
      <c r="H2285" s="195">
        <v>43.83</v>
      </c>
      <c r="I2285" s="212" t="s">
        <v>2354</v>
      </c>
    </row>
    <row r="2286" spans="1:9" x14ac:dyDescent="0.25">
      <c r="A2286" s="193" t="s">
        <v>220</v>
      </c>
      <c r="B2286" s="193" t="s">
        <v>2351</v>
      </c>
      <c r="C2286" s="214" t="s">
        <v>4800</v>
      </c>
      <c r="D2286" s="193" t="s">
        <v>4801</v>
      </c>
      <c r="E2286" s="212" t="s">
        <v>545</v>
      </c>
      <c r="F2286" s="215">
        <v>320</v>
      </c>
      <c r="G2286" s="194">
        <v>0.13755999999999999</v>
      </c>
      <c r="H2286" s="195">
        <v>44.019199999999998</v>
      </c>
      <c r="I2286" s="212" t="s">
        <v>2354</v>
      </c>
    </row>
    <row r="2287" spans="1:9" x14ac:dyDescent="0.25">
      <c r="A2287" s="193" t="s">
        <v>220</v>
      </c>
      <c r="B2287" s="193" t="s">
        <v>5430</v>
      </c>
      <c r="C2287" s="214" t="s">
        <v>7089</v>
      </c>
      <c r="D2287" s="193" t="s">
        <v>7090</v>
      </c>
      <c r="E2287" s="212" t="s">
        <v>545</v>
      </c>
      <c r="F2287" s="215">
        <v>123</v>
      </c>
      <c r="G2287" s="194">
        <v>0.35899999999999999</v>
      </c>
      <c r="H2287" s="195">
        <v>44.156999999999996</v>
      </c>
      <c r="I2287" s="212" t="s">
        <v>2354</v>
      </c>
    </row>
    <row r="2288" spans="1:9" x14ac:dyDescent="0.25">
      <c r="A2288" s="193" t="s">
        <v>220</v>
      </c>
      <c r="B2288" s="193" t="s">
        <v>2351</v>
      </c>
      <c r="C2288" s="214" t="s">
        <v>3473</v>
      </c>
      <c r="D2288" s="193" t="s">
        <v>3474</v>
      </c>
      <c r="E2288" s="212" t="s">
        <v>545</v>
      </c>
      <c r="F2288" s="215">
        <v>5</v>
      </c>
      <c r="G2288" s="194">
        <v>8.8757999999999999</v>
      </c>
      <c r="H2288" s="195">
        <v>44.378999999999998</v>
      </c>
      <c r="I2288" s="212" t="s">
        <v>2354</v>
      </c>
    </row>
    <row r="2289" spans="1:9" x14ac:dyDescent="0.25">
      <c r="A2289" s="193" t="s">
        <v>220</v>
      </c>
      <c r="B2289" s="193" t="s">
        <v>2351</v>
      </c>
      <c r="C2289" s="214" t="s">
        <v>4927</v>
      </c>
      <c r="D2289" s="193" t="s">
        <v>4928</v>
      </c>
      <c r="E2289" s="212" t="s">
        <v>545</v>
      </c>
      <c r="F2289" s="215">
        <v>350</v>
      </c>
      <c r="G2289" s="194">
        <v>0.127</v>
      </c>
      <c r="H2289" s="195">
        <v>44.45</v>
      </c>
      <c r="I2289" s="212" t="s">
        <v>2354</v>
      </c>
    </row>
    <row r="2290" spans="1:9" x14ac:dyDescent="0.25">
      <c r="A2290" s="193" t="s">
        <v>220</v>
      </c>
      <c r="B2290" s="193" t="s">
        <v>5430</v>
      </c>
      <c r="C2290" s="214" t="s">
        <v>3385</v>
      </c>
      <c r="D2290" s="193" t="s">
        <v>3386</v>
      </c>
      <c r="E2290" s="212" t="s">
        <v>545</v>
      </c>
      <c r="F2290" s="215">
        <v>7</v>
      </c>
      <c r="G2290" s="194">
        <v>6.3577166666666658</v>
      </c>
      <c r="H2290" s="195">
        <v>44.504016666666658</v>
      </c>
      <c r="I2290" s="212" t="s">
        <v>2354</v>
      </c>
    </row>
    <row r="2291" spans="1:9" x14ac:dyDescent="0.25">
      <c r="A2291" s="193" t="s">
        <v>220</v>
      </c>
      <c r="B2291" s="193" t="s">
        <v>2351</v>
      </c>
      <c r="C2291" s="214" t="s">
        <v>5094</v>
      </c>
      <c r="D2291" s="193" t="s">
        <v>5095</v>
      </c>
      <c r="E2291" s="212" t="s">
        <v>545</v>
      </c>
      <c r="F2291" s="215">
        <v>52</v>
      </c>
      <c r="G2291" s="194">
        <v>0.85746000000000011</v>
      </c>
      <c r="H2291" s="195">
        <v>44.587920000000004</v>
      </c>
      <c r="I2291" s="212" t="s">
        <v>2354</v>
      </c>
    </row>
    <row r="2292" spans="1:9" x14ac:dyDescent="0.25">
      <c r="A2292" s="193" t="s">
        <v>220</v>
      </c>
      <c r="B2292" s="193" t="s">
        <v>2351</v>
      </c>
      <c r="C2292" s="214" t="s">
        <v>4804</v>
      </c>
      <c r="D2292" s="193" t="s">
        <v>4805</v>
      </c>
      <c r="E2292" s="212" t="s">
        <v>545</v>
      </c>
      <c r="F2292" s="215">
        <v>420</v>
      </c>
      <c r="G2292" s="194">
        <v>0.10620000000000002</v>
      </c>
      <c r="H2292" s="195">
        <v>44.604000000000006</v>
      </c>
      <c r="I2292" s="212" t="s">
        <v>2354</v>
      </c>
    </row>
    <row r="2293" spans="1:9" x14ac:dyDescent="0.25">
      <c r="A2293" s="193" t="s">
        <v>220</v>
      </c>
      <c r="B2293" s="193" t="s">
        <v>2351</v>
      </c>
      <c r="C2293" s="214" t="s">
        <v>2534</v>
      </c>
      <c r="D2293" s="193" t="s">
        <v>2535</v>
      </c>
      <c r="E2293" s="212" t="s">
        <v>545</v>
      </c>
      <c r="F2293" s="215">
        <v>1</v>
      </c>
      <c r="G2293" s="194">
        <v>44.625</v>
      </c>
      <c r="H2293" s="195">
        <v>44.625</v>
      </c>
      <c r="I2293" s="212" t="s">
        <v>2354</v>
      </c>
    </row>
    <row r="2294" spans="1:9" x14ac:dyDescent="0.25">
      <c r="A2294" s="193" t="s">
        <v>220</v>
      </c>
      <c r="B2294" s="193" t="s">
        <v>2351</v>
      </c>
      <c r="C2294" s="214" t="s">
        <v>4760</v>
      </c>
      <c r="D2294" s="193" t="s">
        <v>4761</v>
      </c>
      <c r="E2294" s="212" t="s">
        <v>545</v>
      </c>
      <c r="F2294" s="215">
        <v>352</v>
      </c>
      <c r="G2294" s="194">
        <v>0.127</v>
      </c>
      <c r="H2294" s="195">
        <v>44.704000000000001</v>
      </c>
      <c r="I2294" s="212" t="s">
        <v>2354</v>
      </c>
    </row>
    <row r="2295" spans="1:9" x14ac:dyDescent="0.25">
      <c r="A2295" s="193" t="s">
        <v>220</v>
      </c>
      <c r="B2295" s="193" t="s">
        <v>5430</v>
      </c>
      <c r="C2295" s="214" t="s">
        <v>4556</v>
      </c>
      <c r="D2295" s="193" t="s">
        <v>4557</v>
      </c>
      <c r="E2295" s="212" t="s">
        <v>545</v>
      </c>
      <c r="F2295" s="215">
        <v>2</v>
      </c>
      <c r="G2295" s="194">
        <v>22.429345098039217</v>
      </c>
      <c r="H2295" s="195">
        <v>44.858690196078435</v>
      </c>
      <c r="I2295" s="212" t="s">
        <v>2354</v>
      </c>
    </row>
    <row r="2296" spans="1:9" x14ac:dyDescent="0.25">
      <c r="A2296" s="193" t="s">
        <v>220</v>
      </c>
      <c r="B2296" s="193" t="s">
        <v>2351</v>
      </c>
      <c r="C2296" s="214" t="s">
        <v>3259</v>
      </c>
      <c r="D2296" s="193" t="s">
        <v>3260</v>
      </c>
      <c r="E2296" s="212" t="s">
        <v>545</v>
      </c>
      <c r="F2296" s="215">
        <v>2</v>
      </c>
      <c r="G2296" s="194">
        <v>22.513499999999997</v>
      </c>
      <c r="H2296" s="195">
        <v>45.026999999999994</v>
      </c>
      <c r="I2296" s="212" t="s">
        <v>2354</v>
      </c>
    </row>
    <row r="2297" spans="1:9" x14ac:dyDescent="0.25">
      <c r="A2297" s="193" t="s">
        <v>220</v>
      </c>
      <c r="B2297" s="193" t="s">
        <v>2351</v>
      </c>
      <c r="C2297" s="214" t="s">
        <v>4131</v>
      </c>
      <c r="D2297" s="193" t="s">
        <v>4132</v>
      </c>
      <c r="E2297" s="212" t="s">
        <v>545</v>
      </c>
      <c r="F2297" s="215">
        <v>1</v>
      </c>
      <c r="G2297" s="194">
        <v>45.05</v>
      </c>
      <c r="H2297" s="195">
        <v>45.05</v>
      </c>
      <c r="I2297" s="212" t="s">
        <v>2354</v>
      </c>
    </row>
    <row r="2298" spans="1:9" x14ac:dyDescent="0.25">
      <c r="A2298" s="193" t="s">
        <v>220</v>
      </c>
      <c r="B2298" s="193" t="s">
        <v>5430</v>
      </c>
      <c r="C2298" s="214" t="s">
        <v>5372</v>
      </c>
      <c r="D2298" s="193" t="s">
        <v>5373</v>
      </c>
      <c r="E2298" s="212" t="s">
        <v>545</v>
      </c>
      <c r="F2298" s="215">
        <v>65</v>
      </c>
      <c r="G2298" s="194">
        <v>0.69479999999999997</v>
      </c>
      <c r="H2298" s="195">
        <v>45.161999999999999</v>
      </c>
      <c r="I2298" s="212" t="s">
        <v>2354</v>
      </c>
    </row>
    <row r="2299" spans="1:9" x14ac:dyDescent="0.25">
      <c r="A2299" s="193" t="s">
        <v>220</v>
      </c>
      <c r="B2299" s="193" t="s">
        <v>2351</v>
      </c>
      <c r="C2299" s="214" t="s">
        <v>4983</v>
      </c>
      <c r="D2299" s="193" t="s">
        <v>4984</v>
      </c>
      <c r="E2299" s="212" t="s">
        <v>545</v>
      </c>
      <c r="F2299" s="215">
        <v>320</v>
      </c>
      <c r="G2299" s="194">
        <v>0.14147000000000001</v>
      </c>
      <c r="H2299" s="195">
        <v>45.270400000000002</v>
      </c>
      <c r="I2299" s="212" t="s">
        <v>2354</v>
      </c>
    </row>
    <row r="2300" spans="1:9" x14ac:dyDescent="0.25">
      <c r="A2300" s="193" t="s">
        <v>220</v>
      </c>
      <c r="B2300" s="193" t="s">
        <v>2351</v>
      </c>
      <c r="C2300" s="214" t="s">
        <v>4554</v>
      </c>
      <c r="D2300" s="193" t="s">
        <v>4555</v>
      </c>
      <c r="E2300" s="212" t="s">
        <v>545</v>
      </c>
      <c r="F2300" s="215">
        <v>4</v>
      </c>
      <c r="G2300" s="194">
        <v>11.423999999999999</v>
      </c>
      <c r="H2300" s="195">
        <v>45.695999999999998</v>
      </c>
      <c r="I2300" s="212" t="s">
        <v>2354</v>
      </c>
    </row>
    <row r="2301" spans="1:9" x14ac:dyDescent="0.25">
      <c r="A2301" s="193" t="s">
        <v>220</v>
      </c>
      <c r="B2301" s="193" t="s">
        <v>5430</v>
      </c>
      <c r="C2301" s="214" t="s">
        <v>4808</v>
      </c>
      <c r="D2301" s="193" t="s">
        <v>4809</v>
      </c>
      <c r="E2301" s="212" t="s">
        <v>545</v>
      </c>
      <c r="F2301" s="215">
        <v>250</v>
      </c>
      <c r="G2301" s="194">
        <v>0.183</v>
      </c>
      <c r="H2301" s="195">
        <v>45.75</v>
      </c>
      <c r="I2301" s="212" t="s">
        <v>2354</v>
      </c>
    </row>
    <row r="2302" spans="1:9" x14ac:dyDescent="0.25">
      <c r="A2302" s="193" t="s">
        <v>220</v>
      </c>
      <c r="B2302" s="193" t="s">
        <v>2351</v>
      </c>
      <c r="C2302" s="214" t="s">
        <v>2962</v>
      </c>
      <c r="D2302" s="193" t="s">
        <v>2963</v>
      </c>
      <c r="E2302" s="212" t="s">
        <v>545</v>
      </c>
      <c r="F2302" s="215">
        <v>2</v>
      </c>
      <c r="G2302" s="194">
        <v>22.878</v>
      </c>
      <c r="H2302" s="195">
        <v>45.756</v>
      </c>
      <c r="I2302" s="212" t="s">
        <v>2354</v>
      </c>
    </row>
    <row r="2303" spans="1:9" x14ac:dyDescent="0.25">
      <c r="A2303" s="193" t="s">
        <v>220</v>
      </c>
      <c r="B2303" s="193" t="s">
        <v>2351</v>
      </c>
      <c r="C2303" s="214" t="s">
        <v>2864</v>
      </c>
      <c r="D2303" s="193" t="s">
        <v>2865</v>
      </c>
      <c r="E2303" s="212" t="s">
        <v>545</v>
      </c>
      <c r="F2303" s="215">
        <v>2</v>
      </c>
      <c r="G2303" s="194">
        <v>22.929201680672268</v>
      </c>
      <c r="H2303" s="195">
        <v>45.858403361344536</v>
      </c>
      <c r="I2303" s="212" t="s">
        <v>2354</v>
      </c>
    </row>
    <row r="2304" spans="1:9" x14ac:dyDescent="0.25">
      <c r="A2304" s="193" t="s">
        <v>220</v>
      </c>
      <c r="B2304" s="193" t="s">
        <v>5430</v>
      </c>
      <c r="C2304" s="214" t="s">
        <v>6591</v>
      </c>
      <c r="D2304" s="193" t="s">
        <v>6592</v>
      </c>
      <c r="E2304" s="212" t="s">
        <v>545</v>
      </c>
      <c r="F2304" s="215">
        <v>6</v>
      </c>
      <c r="G2304" s="194">
        <v>7.6470000000000002</v>
      </c>
      <c r="H2304" s="195">
        <v>45.882000000000005</v>
      </c>
      <c r="I2304" s="212" t="s">
        <v>2354</v>
      </c>
    </row>
    <row r="2305" spans="1:9" x14ac:dyDescent="0.25">
      <c r="A2305" s="193" t="s">
        <v>220</v>
      </c>
      <c r="B2305" s="193" t="s">
        <v>2351</v>
      </c>
      <c r="C2305" s="214" t="s">
        <v>3287</v>
      </c>
      <c r="D2305" s="193" t="s">
        <v>3288</v>
      </c>
      <c r="E2305" s="212" t="s">
        <v>545</v>
      </c>
      <c r="F2305" s="215">
        <v>5</v>
      </c>
      <c r="G2305" s="194">
        <v>9.2750000000000004</v>
      </c>
      <c r="H2305" s="195">
        <v>46.375</v>
      </c>
      <c r="I2305" s="212" t="s">
        <v>2354</v>
      </c>
    </row>
    <row r="2306" spans="1:9" x14ac:dyDescent="0.25">
      <c r="A2306" s="193" t="s">
        <v>220</v>
      </c>
      <c r="B2306" s="193" t="s">
        <v>5430</v>
      </c>
      <c r="C2306" s="214" t="s">
        <v>6314</v>
      </c>
      <c r="D2306" s="193" t="s">
        <v>3288</v>
      </c>
      <c r="E2306" s="212" t="s">
        <v>545</v>
      </c>
      <c r="F2306" s="215">
        <v>5</v>
      </c>
      <c r="G2306" s="194">
        <v>9.2750000000000004</v>
      </c>
      <c r="H2306" s="195">
        <v>46.375</v>
      </c>
      <c r="I2306" s="212" t="s">
        <v>2354</v>
      </c>
    </row>
    <row r="2307" spans="1:9" x14ac:dyDescent="0.25">
      <c r="A2307" s="193" t="s">
        <v>220</v>
      </c>
      <c r="B2307" s="193" t="s">
        <v>2351</v>
      </c>
      <c r="C2307" s="214" t="s">
        <v>5376</v>
      </c>
      <c r="D2307" s="193" t="s">
        <v>5377</v>
      </c>
      <c r="E2307" s="212" t="s">
        <v>2387</v>
      </c>
      <c r="F2307" s="215">
        <v>34</v>
      </c>
      <c r="G2307" s="194">
        <v>1.3653</v>
      </c>
      <c r="H2307" s="195">
        <v>46.420200000000001</v>
      </c>
      <c r="I2307" s="212" t="s">
        <v>2354</v>
      </c>
    </row>
    <row r="2308" spans="1:9" x14ac:dyDescent="0.25">
      <c r="A2308" s="193" t="s">
        <v>220</v>
      </c>
      <c r="B2308" s="193" t="s">
        <v>2351</v>
      </c>
      <c r="C2308" s="214" t="s">
        <v>2730</v>
      </c>
      <c r="D2308" s="193" t="s">
        <v>2731</v>
      </c>
      <c r="E2308" s="212" t="s">
        <v>545</v>
      </c>
      <c r="F2308" s="215">
        <v>6</v>
      </c>
      <c r="G2308" s="194">
        <v>7.7606999999999999</v>
      </c>
      <c r="H2308" s="195">
        <v>46.5642</v>
      </c>
      <c r="I2308" s="212" t="s">
        <v>2354</v>
      </c>
    </row>
    <row r="2309" spans="1:9" x14ac:dyDescent="0.25">
      <c r="A2309" s="193" t="s">
        <v>220</v>
      </c>
      <c r="B2309" s="193" t="s">
        <v>5430</v>
      </c>
      <c r="C2309" s="214" t="s">
        <v>5146</v>
      </c>
      <c r="D2309" s="193" t="s">
        <v>5147</v>
      </c>
      <c r="E2309" s="212" t="s">
        <v>545</v>
      </c>
      <c r="F2309" s="215">
        <v>45</v>
      </c>
      <c r="G2309" s="194">
        <v>1.0395066666666666</v>
      </c>
      <c r="H2309" s="195">
        <v>46.777799999999999</v>
      </c>
      <c r="I2309" s="212" t="s">
        <v>2354</v>
      </c>
    </row>
    <row r="2310" spans="1:9" x14ac:dyDescent="0.25">
      <c r="A2310" s="193" t="s">
        <v>220</v>
      </c>
      <c r="B2310" s="193" t="s">
        <v>2351</v>
      </c>
      <c r="C2310" s="214" t="s">
        <v>3619</v>
      </c>
      <c r="D2310" s="193" t="s">
        <v>3620</v>
      </c>
      <c r="E2310" s="212" t="s">
        <v>545</v>
      </c>
      <c r="F2310" s="215">
        <v>4</v>
      </c>
      <c r="G2310" s="194">
        <v>11.699999999999998</v>
      </c>
      <c r="H2310" s="195">
        <v>46.79999999999999</v>
      </c>
      <c r="I2310" s="212" t="s">
        <v>2354</v>
      </c>
    </row>
    <row r="2311" spans="1:9" x14ac:dyDescent="0.25">
      <c r="A2311" s="193" t="s">
        <v>220</v>
      </c>
      <c r="B2311" s="193" t="s">
        <v>2351</v>
      </c>
      <c r="C2311" s="214" t="s">
        <v>3447</v>
      </c>
      <c r="D2311" s="193" t="s">
        <v>3448</v>
      </c>
      <c r="E2311" s="212" t="s">
        <v>545</v>
      </c>
      <c r="F2311" s="215">
        <v>1</v>
      </c>
      <c r="G2311" s="194">
        <v>46.98</v>
      </c>
      <c r="H2311" s="195">
        <v>46.98</v>
      </c>
      <c r="I2311" s="212" t="s">
        <v>2354</v>
      </c>
    </row>
    <row r="2312" spans="1:9" x14ac:dyDescent="0.25">
      <c r="A2312" s="193" t="s">
        <v>220</v>
      </c>
      <c r="B2312" s="193" t="s">
        <v>5430</v>
      </c>
      <c r="C2312" s="214" t="s">
        <v>5755</v>
      </c>
      <c r="D2312" s="193" t="s">
        <v>5756</v>
      </c>
      <c r="E2312" s="212" t="s">
        <v>545</v>
      </c>
      <c r="F2312" s="215">
        <v>1</v>
      </c>
      <c r="G2312" s="194">
        <v>47.0565</v>
      </c>
      <c r="H2312" s="195">
        <v>47.0565</v>
      </c>
      <c r="I2312" s="212" t="s">
        <v>2354</v>
      </c>
    </row>
    <row r="2313" spans="1:9" x14ac:dyDescent="0.25">
      <c r="A2313" s="193" t="s">
        <v>220</v>
      </c>
      <c r="B2313" s="193" t="s">
        <v>2351</v>
      </c>
      <c r="C2313" s="214" t="s">
        <v>3199</v>
      </c>
      <c r="D2313" s="193" t="s">
        <v>3200</v>
      </c>
      <c r="E2313" s="212" t="s">
        <v>545</v>
      </c>
      <c r="F2313" s="215">
        <v>25</v>
      </c>
      <c r="G2313" s="194">
        <v>1.89</v>
      </c>
      <c r="H2313" s="195">
        <v>47.25</v>
      </c>
      <c r="I2313" s="212" t="s">
        <v>2354</v>
      </c>
    </row>
    <row r="2314" spans="1:9" x14ac:dyDescent="0.25">
      <c r="A2314" s="193" t="s">
        <v>220</v>
      </c>
      <c r="B2314" s="193" t="s">
        <v>5430</v>
      </c>
      <c r="C2314" s="214" t="s">
        <v>6817</v>
      </c>
      <c r="D2314" s="193" t="s">
        <v>6818</v>
      </c>
      <c r="E2314" s="212" t="s">
        <v>545</v>
      </c>
      <c r="F2314" s="215">
        <v>2</v>
      </c>
      <c r="G2314" s="194">
        <v>23.648</v>
      </c>
      <c r="H2314" s="195">
        <v>47.295999999999999</v>
      </c>
      <c r="I2314" s="212" t="s">
        <v>2354</v>
      </c>
    </row>
    <row r="2315" spans="1:9" x14ac:dyDescent="0.25">
      <c r="A2315" s="193" t="s">
        <v>220</v>
      </c>
      <c r="B2315" s="193" t="s">
        <v>2351</v>
      </c>
      <c r="C2315" s="214" t="s">
        <v>4856</v>
      </c>
      <c r="D2315" s="193" t="s">
        <v>4857</v>
      </c>
      <c r="E2315" s="212" t="s">
        <v>545</v>
      </c>
      <c r="F2315" s="215">
        <v>160</v>
      </c>
      <c r="G2315" s="194">
        <v>0.29599999999999999</v>
      </c>
      <c r="H2315" s="195">
        <v>47.36</v>
      </c>
      <c r="I2315" s="212" t="s">
        <v>2354</v>
      </c>
    </row>
    <row r="2316" spans="1:9" x14ac:dyDescent="0.25">
      <c r="A2316" s="193" t="s">
        <v>220</v>
      </c>
      <c r="B2316" s="193" t="s">
        <v>2351</v>
      </c>
      <c r="C2316" s="214"/>
      <c r="D2316" s="193" t="s">
        <v>2364</v>
      </c>
      <c r="E2316" s="212" t="s">
        <v>545</v>
      </c>
      <c r="F2316" s="215">
        <v>1</v>
      </c>
      <c r="G2316" s="194">
        <v>47.624000000000002</v>
      </c>
      <c r="H2316" s="195">
        <v>47.624000000000002</v>
      </c>
      <c r="I2316" s="212" t="s">
        <v>2354</v>
      </c>
    </row>
    <row r="2317" spans="1:9" x14ac:dyDescent="0.25">
      <c r="A2317" s="193" t="s">
        <v>220</v>
      </c>
      <c r="B2317" s="193" t="s">
        <v>2351</v>
      </c>
      <c r="C2317" s="214" t="s">
        <v>3965</v>
      </c>
      <c r="D2317" s="193" t="s">
        <v>3966</v>
      </c>
      <c r="E2317" s="212" t="s">
        <v>2387</v>
      </c>
      <c r="F2317" s="215">
        <v>140</v>
      </c>
      <c r="G2317" s="194">
        <v>0.34026000000000001</v>
      </c>
      <c r="H2317" s="195">
        <v>47.636400000000002</v>
      </c>
      <c r="I2317" s="212" t="s">
        <v>2354</v>
      </c>
    </row>
    <row r="2318" spans="1:9" x14ac:dyDescent="0.25">
      <c r="A2318" s="193" t="s">
        <v>220</v>
      </c>
      <c r="B2318" s="193" t="s">
        <v>2351</v>
      </c>
      <c r="C2318" s="214" t="s">
        <v>3247</v>
      </c>
      <c r="D2318" s="193" t="s">
        <v>3248</v>
      </c>
      <c r="E2318" s="212" t="s">
        <v>545</v>
      </c>
      <c r="F2318" s="215">
        <v>2</v>
      </c>
      <c r="G2318" s="194">
        <v>23.836500000000001</v>
      </c>
      <c r="H2318" s="195">
        <v>47.673000000000002</v>
      </c>
      <c r="I2318" s="212" t="s">
        <v>2354</v>
      </c>
    </row>
    <row r="2319" spans="1:9" x14ac:dyDescent="0.25">
      <c r="A2319" s="193" t="s">
        <v>220</v>
      </c>
      <c r="B2319" s="193" t="s">
        <v>2351</v>
      </c>
      <c r="C2319" s="214" t="s">
        <v>3367</v>
      </c>
      <c r="D2319" s="193" t="s">
        <v>3368</v>
      </c>
      <c r="E2319" s="212" t="s">
        <v>545</v>
      </c>
      <c r="F2319" s="215">
        <v>6</v>
      </c>
      <c r="G2319" s="194">
        <v>7.95</v>
      </c>
      <c r="H2319" s="195">
        <v>47.7</v>
      </c>
      <c r="I2319" s="212" t="s">
        <v>2354</v>
      </c>
    </row>
    <row r="2320" spans="1:9" x14ac:dyDescent="0.25">
      <c r="A2320" s="193" t="s">
        <v>220</v>
      </c>
      <c r="B2320" s="193" t="s">
        <v>2351</v>
      </c>
      <c r="C2320" s="214" t="s">
        <v>3563</v>
      </c>
      <c r="D2320" s="193" t="s">
        <v>3564</v>
      </c>
      <c r="E2320" s="212" t="s">
        <v>545</v>
      </c>
      <c r="F2320" s="215">
        <v>28</v>
      </c>
      <c r="G2320" s="194">
        <v>1.7100000000000002</v>
      </c>
      <c r="H2320" s="195">
        <v>47.88</v>
      </c>
      <c r="I2320" s="212" t="s">
        <v>2354</v>
      </c>
    </row>
    <row r="2321" spans="1:9" x14ac:dyDescent="0.25">
      <c r="A2321" s="193" t="s">
        <v>220</v>
      </c>
      <c r="B2321" s="193" t="s">
        <v>2351</v>
      </c>
      <c r="C2321" s="214" t="s">
        <v>2417</v>
      </c>
      <c r="D2321" s="193" t="s">
        <v>2442</v>
      </c>
      <c r="E2321" s="212" t="s">
        <v>545</v>
      </c>
      <c r="F2321" s="215">
        <v>10</v>
      </c>
      <c r="G2321" s="194">
        <v>4.8</v>
      </c>
      <c r="H2321" s="195">
        <v>48</v>
      </c>
      <c r="I2321" s="212" t="s">
        <v>2354</v>
      </c>
    </row>
    <row r="2322" spans="1:9" x14ac:dyDescent="0.25">
      <c r="A2322" s="193" t="s">
        <v>220</v>
      </c>
      <c r="B2322" s="193" t="s">
        <v>5430</v>
      </c>
      <c r="C2322" s="214" t="s">
        <v>4668</v>
      </c>
      <c r="D2322" s="193" t="s">
        <v>4669</v>
      </c>
      <c r="E2322" s="212" t="s">
        <v>545</v>
      </c>
      <c r="F2322" s="215">
        <v>45</v>
      </c>
      <c r="G2322" s="194">
        <v>1.0674870607734805</v>
      </c>
      <c r="H2322" s="195">
        <v>48.036917734806622</v>
      </c>
      <c r="I2322" s="212" t="s">
        <v>2354</v>
      </c>
    </row>
    <row r="2323" spans="1:9" x14ac:dyDescent="0.25">
      <c r="A2323" s="193" t="s">
        <v>220</v>
      </c>
      <c r="B2323" s="193" t="s">
        <v>2351</v>
      </c>
      <c r="C2323" s="214" t="s">
        <v>5128</v>
      </c>
      <c r="D2323" s="193" t="s">
        <v>5129</v>
      </c>
      <c r="E2323" s="212" t="s">
        <v>545</v>
      </c>
      <c r="F2323" s="215">
        <v>78</v>
      </c>
      <c r="G2323" s="194">
        <v>0.61599999999999999</v>
      </c>
      <c r="H2323" s="195">
        <v>48.048000000000002</v>
      </c>
      <c r="I2323" s="212" t="s">
        <v>2354</v>
      </c>
    </row>
    <row r="2324" spans="1:9" x14ac:dyDescent="0.25">
      <c r="A2324" s="193" t="s">
        <v>220</v>
      </c>
      <c r="B2324" s="193" t="s">
        <v>2351</v>
      </c>
      <c r="C2324" s="214" t="s">
        <v>3465</v>
      </c>
      <c r="D2324" s="193" t="s">
        <v>3466</v>
      </c>
      <c r="E2324" s="212" t="s">
        <v>545</v>
      </c>
      <c r="F2324" s="215">
        <v>6</v>
      </c>
      <c r="G2324" s="194">
        <v>8.0640000000000001</v>
      </c>
      <c r="H2324" s="195">
        <v>48.384</v>
      </c>
      <c r="I2324" s="212" t="s">
        <v>2354</v>
      </c>
    </row>
    <row r="2325" spans="1:9" x14ac:dyDescent="0.25">
      <c r="A2325" s="193" t="s">
        <v>220</v>
      </c>
      <c r="B2325" s="193" t="s">
        <v>5430</v>
      </c>
      <c r="C2325" s="214" t="s">
        <v>6513</v>
      </c>
      <c r="D2325" s="193" t="s">
        <v>6514</v>
      </c>
      <c r="E2325" s="212" t="s">
        <v>545</v>
      </c>
      <c r="F2325" s="215">
        <v>2</v>
      </c>
      <c r="G2325" s="194">
        <v>24.225000000000001</v>
      </c>
      <c r="H2325" s="195">
        <v>48.45</v>
      </c>
      <c r="I2325" s="212" t="s">
        <v>2354</v>
      </c>
    </row>
    <row r="2326" spans="1:9" x14ac:dyDescent="0.25">
      <c r="A2326" s="193" t="s">
        <v>220</v>
      </c>
      <c r="B2326" s="193" t="s">
        <v>5430</v>
      </c>
      <c r="C2326" s="214" t="s">
        <v>5465</v>
      </c>
      <c r="D2326" s="193" t="s">
        <v>2401</v>
      </c>
      <c r="E2326" s="212" t="s">
        <v>545</v>
      </c>
      <c r="F2326" s="215">
        <v>30</v>
      </c>
      <c r="G2326" s="194">
        <v>1.619</v>
      </c>
      <c r="H2326" s="195">
        <v>48.57</v>
      </c>
      <c r="I2326" s="212" t="s">
        <v>2354</v>
      </c>
    </row>
    <row r="2327" spans="1:9" x14ac:dyDescent="0.25">
      <c r="A2327" s="193" t="s">
        <v>220</v>
      </c>
      <c r="B2327" s="193" t="s">
        <v>5430</v>
      </c>
      <c r="C2327" s="214" t="s">
        <v>6499</v>
      </c>
      <c r="D2327" s="193" t="s">
        <v>6500</v>
      </c>
      <c r="E2327" s="212" t="s">
        <v>545</v>
      </c>
      <c r="F2327" s="215">
        <v>1</v>
      </c>
      <c r="G2327" s="194">
        <v>48.705000000000005</v>
      </c>
      <c r="H2327" s="195">
        <v>48.705000000000005</v>
      </c>
      <c r="I2327" s="212" t="s">
        <v>2354</v>
      </c>
    </row>
    <row r="2328" spans="1:9" x14ac:dyDescent="0.25">
      <c r="A2328" s="193" t="s">
        <v>220</v>
      </c>
      <c r="B2328" s="193" t="s">
        <v>2351</v>
      </c>
      <c r="C2328" s="214" t="s">
        <v>5124</v>
      </c>
      <c r="D2328" s="193" t="s">
        <v>5125</v>
      </c>
      <c r="E2328" s="212" t="s">
        <v>545</v>
      </c>
      <c r="F2328" s="215">
        <v>120</v>
      </c>
      <c r="G2328" s="194">
        <v>0.40799999999999997</v>
      </c>
      <c r="H2328" s="195">
        <v>48.959999999999994</v>
      </c>
      <c r="I2328" s="212" t="s">
        <v>2354</v>
      </c>
    </row>
    <row r="2329" spans="1:9" x14ac:dyDescent="0.25">
      <c r="A2329" s="193" t="s">
        <v>220</v>
      </c>
      <c r="B2329" s="193" t="s">
        <v>5430</v>
      </c>
      <c r="C2329" s="214" t="s">
        <v>5889</v>
      </c>
      <c r="D2329" s="193" t="s">
        <v>5890</v>
      </c>
      <c r="E2329" s="212" t="s">
        <v>545</v>
      </c>
      <c r="F2329" s="215">
        <v>6</v>
      </c>
      <c r="G2329" s="194">
        <v>8.1647999999999996</v>
      </c>
      <c r="H2329" s="195">
        <v>48.988799999999998</v>
      </c>
      <c r="I2329" s="212" t="s">
        <v>2354</v>
      </c>
    </row>
    <row r="2330" spans="1:9" x14ac:dyDescent="0.25">
      <c r="A2330" s="193" t="s">
        <v>220</v>
      </c>
      <c r="B2330" s="193" t="s">
        <v>5430</v>
      </c>
      <c r="C2330" s="214" t="s">
        <v>6154</v>
      </c>
      <c r="D2330" s="193" t="s">
        <v>6155</v>
      </c>
      <c r="E2330" s="212" t="s">
        <v>545</v>
      </c>
      <c r="F2330" s="215">
        <v>2</v>
      </c>
      <c r="G2330" s="194">
        <v>24.623999999999999</v>
      </c>
      <c r="H2330" s="195">
        <v>49.247999999999998</v>
      </c>
      <c r="I2330" s="212" t="s">
        <v>2354</v>
      </c>
    </row>
    <row r="2331" spans="1:9" x14ac:dyDescent="0.25">
      <c r="A2331" s="193" t="s">
        <v>220</v>
      </c>
      <c r="B2331" s="193" t="s">
        <v>2351</v>
      </c>
      <c r="C2331" s="214" t="s">
        <v>3443</v>
      </c>
      <c r="D2331" s="193" t="s">
        <v>3444</v>
      </c>
      <c r="E2331" s="212" t="s">
        <v>545</v>
      </c>
      <c r="F2331" s="215">
        <v>2</v>
      </c>
      <c r="G2331" s="194">
        <v>24.678000000000001</v>
      </c>
      <c r="H2331" s="195">
        <v>49.356000000000002</v>
      </c>
      <c r="I2331" s="212" t="s">
        <v>2354</v>
      </c>
    </row>
    <row r="2332" spans="1:9" x14ac:dyDescent="0.25">
      <c r="A2332" s="193" t="s">
        <v>220</v>
      </c>
      <c r="B2332" s="193" t="s">
        <v>2351</v>
      </c>
      <c r="C2332" s="214" t="s">
        <v>5120</v>
      </c>
      <c r="D2332" s="193" t="s">
        <v>5121</v>
      </c>
      <c r="E2332" s="212" t="s">
        <v>545</v>
      </c>
      <c r="F2332" s="215">
        <v>250</v>
      </c>
      <c r="G2332" s="194">
        <v>0.19800000000000001</v>
      </c>
      <c r="H2332" s="195">
        <v>49.5</v>
      </c>
      <c r="I2332" s="212" t="s">
        <v>2354</v>
      </c>
    </row>
    <row r="2333" spans="1:9" x14ac:dyDescent="0.25">
      <c r="A2333" s="193" t="s">
        <v>220</v>
      </c>
      <c r="B2333" s="193" t="s">
        <v>5430</v>
      </c>
      <c r="C2333" s="214" t="s">
        <v>4434</v>
      </c>
      <c r="D2333" s="193" t="s">
        <v>4435</v>
      </c>
      <c r="E2333" s="212" t="s">
        <v>545</v>
      </c>
      <c r="F2333" s="215">
        <v>1</v>
      </c>
      <c r="G2333" s="194">
        <v>49.5</v>
      </c>
      <c r="H2333" s="195">
        <v>49.5</v>
      </c>
      <c r="I2333" s="212" t="s">
        <v>2354</v>
      </c>
    </row>
    <row r="2334" spans="1:9" x14ac:dyDescent="0.25">
      <c r="A2334" s="193" t="s">
        <v>220</v>
      </c>
      <c r="B2334" s="193" t="s">
        <v>2351</v>
      </c>
      <c r="C2334" s="214" t="s">
        <v>3481</v>
      </c>
      <c r="D2334" s="193" t="s">
        <v>3482</v>
      </c>
      <c r="E2334" s="212" t="s">
        <v>545</v>
      </c>
      <c r="F2334" s="215">
        <v>3</v>
      </c>
      <c r="G2334" s="194">
        <v>16.520399999999999</v>
      </c>
      <c r="H2334" s="195">
        <v>49.561199999999999</v>
      </c>
      <c r="I2334" s="212" t="s">
        <v>2354</v>
      </c>
    </row>
    <row r="2335" spans="1:9" x14ac:dyDescent="0.25">
      <c r="A2335" s="193" t="s">
        <v>220</v>
      </c>
      <c r="B2335" s="193" t="s">
        <v>5430</v>
      </c>
      <c r="C2335" s="214" t="s">
        <v>6427</v>
      </c>
      <c r="D2335" s="193" t="s">
        <v>6428</v>
      </c>
      <c r="E2335" s="212" t="s">
        <v>545</v>
      </c>
      <c r="F2335" s="215">
        <v>2</v>
      </c>
      <c r="G2335" s="194">
        <v>24.803999999999998</v>
      </c>
      <c r="H2335" s="195">
        <v>49.607999999999997</v>
      </c>
      <c r="I2335" s="212" t="s">
        <v>2354</v>
      </c>
    </row>
    <row r="2336" spans="1:9" x14ac:dyDescent="0.25">
      <c r="A2336" s="193" t="s">
        <v>220</v>
      </c>
      <c r="B2336" s="193" t="s">
        <v>2351</v>
      </c>
      <c r="C2336" s="214" t="s">
        <v>3873</v>
      </c>
      <c r="D2336" s="193" t="s">
        <v>3874</v>
      </c>
      <c r="E2336" s="212" t="s">
        <v>545</v>
      </c>
      <c r="F2336" s="215">
        <v>2</v>
      </c>
      <c r="G2336" s="194">
        <v>24.84</v>
      </c>
      <c r="H2336" s="195">
        <v>49.68</v>
      </c>
      <c r="I2336" s="212" t="s">
        <v>2354</v>
      </c>
    </row>
    <row r="2337" spans="1:9" x14ac:dyDescent="0.25">
      <c r="A2337" s="193" t="s">
        <v>220</v>
      </c>
      <c r="B2337" s="193" t="s">
        <v>2351</v>
      </c>
      <c r="C2337" s="214" t="s">
        <v>4035</v>
      </c>
      <c r="D2337" s="193" t="s">
        <v>4036</v>
      </c>
      <c r="E2337" s="212" t="s">
        <v>545</v>
      </c>
      <c r="F2337" s="215">
        <v>1</v>
      </c>
      <c r="G2337" s="194">
        <v>49.832999999999998</v>
      </c>
      <c r="H2337" s="195">
        <v>49.832999999999998</v>
      </c>
      <c r="I2337" s="212" t="s">
        <v>2354</v>
      </c>
    </row>
    <row r="2338" spans="1:9" x14ac:dyDescent="0.25">
      <c r="A2338" s="193" t="s">
        <v>220</v>
      </c>
      <c r="B2338" s="193" t="s">
        <v>2351</v>
      </c>
      <c r="C2338" s="214" t="s">
        <v>3081</v>
      </c>
      <c r="D2338" s="193" t="s">
        <v>3082</v>
      </c>
      <c r="E2338" s="212" t="s">
        <v>545</v>
      </c>
      <c r="F2338" s="215">
        <v>5</v>
      </c>
      <c r="G2338" s="194">
        <v>9.9668571428571422</v>
      </c>
      <c r="H2338" s="195">
        <v>49.834285714285713</v>
      </c>
      <c r="I2338" s="212" t="s">
        <v>2354</v>
      </c>
    </row>
    <row r="2339" spans="1:9" x14ac:dyDescent="0.25">
      <c r="A2339" s="193" t="s">
        <v>220</v>
      </c>
      <c r="B2339" s="193" t="s">
        <v>5430</v>
      </c>
      <c r="C2339" s="214" t="s">
        <v>6476</v>
      </c>
      <c r="D2339" s="193" t="s">
        <v>3538</v>
      </c>
      <c r="E2339" s="212" t="s">
        <v>545</v>
      </c>
      <c r="F2339" s="215">
        <v>5</v>
      </c>
      <c r="G2339" s="194">
        <v>9.9719999999999995</v>
      </c>
      <c r="H2339" s="195">
        <v>49.86</v>
      </c>
      <c r="I2339" s="212" t="s">
        <v>2354</v>
      </c>
    </row>
    <row r="2340" spans="1:9" x14ac:dyDescent="0.25">
      <c r="A2340" s="193" t="s">
        <v>220</v>
      </c>
      <c r="B2340" s="193" t="s">
        <v>5430</v>
      </c>
      <c r="C2340" s="214" t="s">
        <v>6857</v>
      </c>
      <c r="D2340" s="193" t="s">
        <v>6858</v>
      </c>
      <c r="E2340" s="212" t="s">
        <v>545</v>
      </c>
      <c r="F2340" s="215">
        <v>29</v>
      </c>
      <c r="G2340" s="194">
        <v>1.72</v>
      </c>
      <c r="H2340" s="195">
        <v>49.88</v>
      </c>
      <c r="I2340" s="212" t="s">
        <v>2354</v>
      </c>
    </row>
    <row r="2341" spans="1:9" x14ac:dyDescent="0.25">
      <c r="A2341" s="193" t="s">
        <v>220</v>
      </c>
      <c r="B2341" s="193" t="s">
        <v>2351</v>
      </c>
      <c r="C2341" s="214" t="s">
        <v>5266</v>
      </c>
      <c r="D2341" s="193" t="s">
        <v>5267</v>
      </c>
      <c r="E2341" s="212" t="s">
        <v>545</v>
      </c>
      <c r="F2341" s="215">
        <v>4</v>
      </c>
      <c r="G2341" s="194">
        <v>12.478999999999999</v>
      </c>
      <c r="H2341" s="195">
        <v>49.915999999999997</v>
      </c>
      <c r="I2341" s="212" t="s">
        <v>2354</v>
      </c>
    </row>
    <row r="2342" spans="1:9" x14ac:dyDescent="0.25">
      <c r="A2342" s="193" t="s">
        <v>220</v>
      </c>
      <c r="B2342" s="193" t="s">
        <v>5430</v>
      </c>
      <c r="C2342" s="214" t="s">
        <v>7129</v>
      </c>
      <c r="D2342" s="193" t="s">
        <v>7130</v>
      </c>
      <c r="E2342" s="212" t="s">
        <v>545</v>
      </c>
      <c r="F2342" s="215">
        <v>8</v>
      </c>
      <c r="G2342" s="194">
        <v>6.2620000000000005</v>
      </c>
      <c r="H2342" s="195">
        <v>50.096000000000004</v>
      </c>
      <c r="I2342" s="212" t="s">
        <v>2354</v>
      </c>
    </row>
    <row r="2343" spans="1:9" x14ac:dyDescent="0.25">
      <c r="A2343" s="193" t="s">
        <v>220</v>
      </c>
      <c r="B2343" s="193" t="s">
        <v>2351</v>
      </c>
      <c r="C2343" s="214" t="s">
        <v>2748</v>
      </c>
      <c r="D2343" s="193" t="s">
        <v>2749</v>
      </c>
      <c r="E2343" s="212" t="s">
        <v>545</v>
      </c>
      <c r="F2343" s="215">
        <v>3</v>
      </c>
      <c r="G2343" s="194">
        <v>16.72</v>
      </c>
      <c r="H2343" s="195">
        <v>50.16</v>
      </c>
      <c r="I2343" s="212" t="s">
        <v>2354</v>
      </c>
    </row>
    <row r="2344" spans="1:9" x14ac:dyDescent="0.25">
      <c r="A2344" s="193" t="s">
        <v>220</v>
      </c>
      <c r="B2344" s="193" t="s">
        <v>2351</v>
      </c>
      <c r="C2344" s="214" t="s">
        <v>2431</v>
      </c>
      <c r="D2344" s="193" t="s">
        <v>2432</v>
      </c>
      <c r="E2344" s="212" t="s">
        <v>545</v>
      </c>
      <c r="F2344" s="215">
        <v>11</v>
      </c>
      <c r="G2344" s="194">
        <v>4.5599999999999996</v>
      </c>
      <c r="H2344" s="195">
        <v>50.16</v>
      </c>
      <c r="I2344" s="212" t="s">
        <v>2354</v>
      </c>
    </row>
    <row r="2345" spans="1:9" x14ac:dyDescent="0.25">
      <c r="A2345" s="193" t="s">
        <v>220</v>
      </c>
      <c r="B2345" s="193" t="s">
        <v>2351</v>
      </c>
      <c r="C2345" s="214" t="s">
        <v>3349</v>
      </c>
      <c r="D2345" s="193" t="s">
        <v>3350</v>
      </c>
      <c r="E2345" s="212" t="s">
        <v>545</v>
      </c>
      <c r="F2345" s="215">
        <v>29</v>
      </c>
      <c r="G2345" s="194">
        <v>1.7324999999999997</v>
      </c>
      <c r="H2345" s="195">
        <v>50.242499999999993</v>
      </c>
      <c r="I2345" s="212" t="s">
        <v>2354</v>
      </c>
    </row>
    <row r="2346" spans="1:9" x14ac:dyDescent="0.25">
      <c r="A2346" s="193" t="s">
        <v>220</v>
      </c>
      <c r="B2346" s="193" t="s">
        <v>5430</v>
      </c>
      <c r="C2346" s="214" t="s">
        <v>6891</v>
      </c>
      <c r="D2346" s="193" t="s">
        <v>6892</v>
      </c>
      <c r="E2346" s="212" t="s">
        <v>545</v>
      </c>
      <c r="F2346" s="215">
        <v>1</v>
      </c>
      <c r="G2346" s="194">
        <v>50.32</v>
      </c>
      <c r="H2346" s="195">
        <v>50.32</v>
      </c>
      <c r="I2346" s="212" t="s">
        <v>2354</v>
      </c>
    </row>
    <row r="2347" spans="1:9" x14ac:dyDescent="0.25">
      <c r="A2347" s="193" t="s">
        <v>220</v>
      </c>
      <c r="B2347" s="193" t="s">
        <v>5430</v>
      </c>
      <c r="C2347" s="214" t="s">
        <v>4690</v>
      </c>
      <c r="D2347" s="193" t="s">
        <v>4691</v>
      </c>
      <c r="E2347" s="212" t="s">
        <v>545</v>
      </c>
      <c r="F2347" s="215">
        <v>80</v>
      </c>
      <c r="G2347" s="194">
        <v>0.62900999999999996</v>
      </c>
      <c r="H2347" s="195">
        <v>50.320799999999998</v>
      </c>
      <c r="I2347" s="212" t="s">
        <v>2354</v>
      </c>
    </row>
    <row r="2348" spans="1:9" x14ac:dyDescent="0.25">
      <c r="A2348" s="193" t="s">
        <v>220</v>
      </c>
      <c r="B2348" s="193" t="s">
        <v>5430</v>
      </c>
      <c r="C2348" s="214" t="s">
        <v>6833</v>
      </c>
      <c r="D2348" s="193" t="s">
        <v>6834</v>
      </c>
      <c r="E2348" s="212" t="s">
        <v>545</v>
      </c>
      <c r="F2348" s="215">
        <v>8</v>
      </c>
      <c r="G2348" s="194">
        <v>6.3</v>
      </c>
      <c r="H2348" s="195">
        <v>50.4</v>
      </c>
      <c r="I2348" s="212" t="s">
        <v>2354</v>
      </c>
    </row>
    <row r="2349" spans="1:9" x14ac:dyDescent="0.25">
      <c r="A2349" s="193" t="s">
        <v>220</v>
      </c>
      <c r="B2349" s="193" t="s">
        <v>2351</v>
      </c>
      <c r="C2349" s="214" t="s">
        <v>3939</v>
      </c>
      <c r="D2349" s="193" t="s">
        <v>3940</v>
      </c>
      <c r="E2349" s="212" t="s">
        <v>545</v>
      </c>
      <c r="F2349" s="215">
        <v>2</v>
      </c>
      <c r="G2349" s="194">
        <v>25.228000000000002</v>
      </c>
      <c r="H2349" s="195">
        <v>50.456000000000003</v>
      </c>
      <c r="I2349" s="212" t="s">
        <v>2354</v>
      </c>
    </row>
    <row r="2350" spans="1:9" x14ac:dyDescent="0.25">
      <c r="A2350" s="193" t="s">
        <v>220</v>
      </c>
      <c r="B2350" s="193" t="s">
        <v>2351</v>
      </c>
      <c r="C2350" s="214" t="s">
        <v>2740</v>
      </c>
      <c r="D2350" s="193" t="s">
        <v>2741</v>
      </c>
      <c r="E2350" s="212" t="s">
        <v>545</v>
      </c>
      <c r="F2350" s="215">
        <v>5</v>
      </c>
      <c r="G2350" s="194">
        <v>10.101692307692307</v>
      </c>
      <c r="H2350" s="195">
        <v>50.508461538461532</v>
      </c>
      <c r="I2350" s="212" t="s">
        <v>2354</v>
      </c>
    </row>
    <row r="2351" spans="1:9" x14ac:dyDescent="0.25">
      <c r="A2351" s="193" t="s">
        <v>220</v>
      </c>
      <c r="B2351" s="193" t="s">
        <v>5430</v>
      </c>
      <c r="C2351" s="214" t="s">
        <v>6401</v>
      </c>
      <c r="D2351" s="193" t="s">
        <v>6402</v>
      </c>
      <c r="E2351" s="212" t="s">
        <v>545</v>
      </c>
      <c r="F2351" s="215">
        <v>1</v>
      </c>
      <c r="G2351" s="194">
        <v>50.58</v>
      </c>
      <c r="H2351" s="195">
        <v>50.58</v>
      </c>
      <c r="I2351" s="212" t="s">
        <v>2354</v>
      </c>
    </row>
    <row r="2352" spans="1:9" x14ac:dyDescent="0.25">
      <c r="A2352" s="193" t="s">
        <v>220</v>
      </c>
      <c r="B2352" s="193" t="s">
        <v>2351</v>
      </c>
      <c r="C2352" s="214" t="s">
        <v>3631</v>
      </c>
      <c r="D2352" s="193" t="s">
        <v>3632</v>
      </c>
      <c r="E2352" s="212" t="s">
        <v>545</v>
      </c>
      <c r="F2352" s="215">
        <v>30</v>
      </c>
      <c r="G2352" s="194">
        <v>1.6872499999999999</v>
      </c>
      <c r="H2352" s="195">
        <v>50.6175</v>
      </c>
      <c r="I2352" s="212" t="s">
        <v>2354</v>
      </c>
    </row>
    <row r="2353" spans="1:9" x14ac:dyDescent="0.25">
      <c r="A2353" s="193" t="s">
        <v>220</v>
      </c>
      <c r="B2353" s="193" t="s">
        <v>2351</v>
      </c>
      <c r="C2353" s="214" t="s">
        <v>2379</v>
      </c>
      <c r="D2353" s="193" t="s">
        <v>2380</v>
      </c>
      <c r="E2353" s="212" t="s">
        <v>545</v>
      </c>
      <c r="F2353" s="215">
        <v>5</v>
      </c>
      <c r="G2353" s="194">
        <v>10.143000000000001</v>
      </c>
      <c r="H2353" s="195">
        <v>50.715000000000003</v>
      </c>
      <c r="I2353" s="212" t="s">
        <v>2354</v>
      </c>
    </row>
    <row r="2354" spans="1:9" x14ac:dyDescent="0.25">
      <c r="A2354" s="193" t="s">
        <v>220</v>
      </c>
      <c r="B2354" s="193" t="s">
        <v>2351</v>
      </c>
      <c r="C2354" s="214" t="s">
        <v>2918</v>
      </c>
      <c r="D2354" s="193" t="s">
        <v>2919</v>
      </c>
      <c r="E2354" s="212" t="s">
        <v>545</v>
      </c>
      <c r="F2354" s="215">
        <v>5</v>
      </c>
      <c r="G2354" s="194">
        <v>10.143000000000001</v>
      </c>
      <c r="H2354" s="195">
        <v>50.715000000000003</v>
      </c>
      <c r="I2354" s="212" t="s">
        <v>2354</v>
      </c>
    </row>
    <row r="2355" spans="1:9" x14ac:dyDescent="0.25">
      <c r="A2355" s="193" t="s">
        <v>220</v>
      </c>
      <c r="B2355" s="193" t="s">
        <v>2351</v>
      </c>
      <c r="C2355" s="214" t="s">
        <v>2930</v>
      </c>
      <c r="D2355" s="193" t="s">
        <v>2931</v>
      </c>
      <c r="E2355" s="212" t="s">
        <v>545</v>
      </c>
      <c r="F2355" s="215">
        <v>5</v>
      </c>
      <c r="G2355" s="194">
        <v>10.143000000000001</v>
      </c>
      <c r="H2355" s="195">
        <v>50.715000000000003</v>
      </c>
      <c r="I2355" s="212" t="s">
        <v>2354</v>
      </c>
    </row>
    <row r="2356" spans="1:9" x14ac:dyDescent="0.25">
      <c r="A2356" s="193" t="s">
        <v>220</v>
      </c>
      <c r="B2356" s="193" t="s">
        <v>5430</v>
      </c>
      <c r="C2356" s="214" t="s">
        <v>2379</v>
      </c>
      <c r="D2356" s="193" t="s">
        <v>5864</v>
      </c>
      <c r="E2356" s="212" t="s">
        <v>545</v>
      </c>
      <c r="F2356" s="215">
        <v>5</v>
      </c>
      <c r="G2356" s="194">
        <v>10.143000000000001</v>
      </c>
      <c r="H2356" s="195">
        <v>50.715000000000003</v>
      </c>
      <c r="I2356" s="212" t="s">
        <v>2354</v>
      </c>
    </row>
    <row r="2357" spans="1:9" x14ac:dyDescent="0.25">
      <c r="A2357" s="193" t="s">
        <v>220</v>
      </c>
      <c r="B2357" s="193" t="s">
        <v>5430</v>
      </c>
      <c r="C2357" s="214" t="s">
        <v>5865</v>
      </c>
      <c r="D2357" s="193" t="s">
        <v>5866</v>
      </c>
      <c r="E2357" s="212" t="s">
        <v>545</v>
      </c>
      <c r="F2357" s="215">
        <v>5</v>
      </c>
      <c r="G2357" s="194">
        <v>10.143000000000001</v>
      </c>
      <c r="H2357" s="195">
        <v>50.715000000000003</v>
      </c>
      <c r="I2357" s="212" t="s">
        <v>2354</v>
      </c>
    </row>
    <row r="2358" spans="1:9" x14ac:dyDescent="0.25">
      <c r="A2358" s="193" t="s">
        <v>220</v>
      </c>
      <c r="B2358" s="193" t="s">
        <v>5430</v>
      </c>
      <c r="C2358" s="214" t="s">
        <v>4672</v>
      </c>
      <c r="D2358" s="193" t="s">
        <v>4673</v>
      </c>
      <c r="E2358" s="212" t="s">
        <v>545</v>
      </c>
      <c r="F2358" s="215">
        <v>44</v>
      </c>
      <c r="G2358" s="194">
        <v>1.1539999999999999</v>
      </c>
      <c r="H2358" s="195">
        <v>50.775999999999996</v>
      </c>
      <c r="I2358" s="212" t="s">
        <v>2354</v>
      </c>
    </row>
    <row r="2359" spans="1:9" x14ac:dyDescent="0.25">
      <c r="A2359" s="193" t="s">
        <v>220</v>
      </c>
      <c r="B2359" s="193" t="s">
        <v>2351</v>
      </c>
      <c r="C2359" s="214" t="s">
        <v>3413</v>
      </c>
      <c r="D2359" s="193" t="s">
        <v>3414</v>
      </c>
      <c r="E2359" s="212" t="s">
        <v>545</v>
      </c>
      <c r="F2359" s="215">
        <v>4</v>
      </c>
      <c r="G2359" s="194">
        <v>12.701700000000001</v>
      </c>
      <c r="H2359" s="195">
        <v>50.806800000000003</v>
      </c>
      <c r="I2359" s="212" t="s">
        <v>2354</v>
      </c>
    </row>
    <row r="2360" spans="1:9" x14ac:dyDescent="0.25">
      <c r="A2360" s="193" t="s">
        <v>220</v>
      </c>
      <c r="B2360" s="193" t="s">
        <v>5430</v>
      </c>
      <c r="C2360" s="214" t="s">
        <v>4377</v>
      </c>
      <c r="D2360" s="193" t="s">
        <v>5462</v>
      </c>
      <c r="E2360" s="212" t="s">
        <v>545</v>
      </c>
      <c r="F2360" s="215">
        <v>23</v>
      </c>
      <c r="G2360" s="194">
        <v>2.2103999999999999</v>
      </c>
      <c r="H2360" s="195">
        <v>50.839199999999998</v>
      </c>
      <c r="I2360" s="212" t="s">
        <v>2354</v>
      </c>
    </row>
    <row r="2361" spans="1:9" x14ac:dyDescent="0.25">
      <c r="A2361" s="193" t="s">
        <v>220</v>
      </c>
      <c r="B2361" s="193" t="s">
        <v>2351</v>
      </c>
      <c r="C2361" s="214" t="s">
        <v>5018</v>
      </c>
      <c r="D2361" s="193" t="s">
        <v>5019</v>
      </c>
      <c r="E2361" s="212" t="s">
        <v>545</v>
      </c>
      <c r="F2361" s="215">
        <v>320</v>
      </c>
      <c r="G2361" s="194">
        <v>0.16</v>
      </c>
      <c r="H2361" s="195">
        <v>51.2</v>
      </c>
      <c r="I2361" s="212" t="s">
        <v>2354</v>
      </c>
    </row>
    <row r="2362" spans="1:9" x14ac:dyDescent="0.25">
      <c r="A2362" s="193" t="s">
        <v>220</v>
      </c>
      <c r="B2362" s="193" t="s">
        <v>2351</v>
      </c>
      <c r="C2362" s="214" t="s">
        <v>3771</v>
      </c>
      <c r="D2362" s="193" t="s">
        <v>3772</v>
      </c>
      <c r="E2362" s="212" t="s">
        <v>545</v>
      </c>
      <c r="F2362" s="215">
        <v>5</v>
      </c>
      <c r="G2362" s="194">
        <v>10.246</v>
      </c>
      <c r="H2362" s="195">
        <v>51.230000000000004</v>
      </c>
      <c r="I2362" s="212" t="s">
        <v>2354</v>
      </c>
    </row>
    <row r="2363" spans="1:9" x14ac:dyDescent="0.25">
      <c r="A2363" s="193" t="s">
        <v>220</v>
      </c>
      <c r="B2363" s="193" t="s">
        <v>2351</v>
      </c>
      <c r="C2363" s="214" t="s">
        <v>5242</v>
      </c>
      <c r="D2363" s="193" t="s">
        <v>5243</v>
      </c>
      <c r="E2363" s="212" t="s">
        <v>545</v>
      </c>
      <c r="F2363" s="215">
        <v>2</v>
      </c>
      <c r="G2363" s="194">
        <v>25.6464</v>
      </c>
      <c r="H2363" s="195">
        <v>51.2928</v>
      </c>
      <c r="I2363" s="212" t="s">
        <v>2354</v>
      </c>
    </row>
    <row r="2364" spans="1:9" x14ac:dyDescent="0.25">
      <c r="A2364" s="193" t="s">
        <v>220</v>
      </c>
      <c r="B2364" s="193" t="s">
        <v>5430</v>
      </c>
      <c r="C2364" s="214" t="s">
        <v>5080</v>
      </c>
      <c r="D2364" s="193" t="s">
        <v>5081</v>
      </c>
      <c r="E2364" s="212" t="s">
        <v>545</v>
      </c>
      <c r="F2364" s="215">
        <v>3</v>
      </c>
      <c r="G2364" s="194">
        <v>17.193000000000001</v>
      </c>
      <c r="H2364" s="195">
        <v>51.579000000000008</v>
      </c>
      <c r="I2364" s="212" t="s">
        <v>2354</v>
      </c>
    </row>
    <row r="2365" spans="1:9" x14ac:dyDescent="0.25">
      <c r="A2365" s="193" t="s">
        <v>220</v>
      </c>
      <c r="B2365" s="193" t="s">
        <v>5430</v>
      </c>
      <c r="C2365" s="214" t="s">
        <v>7029</v>
      </c>
      <c r="D2365" s="193" t="s">
        <v>7030</v>
      </c>
      <c r="E2365" s="212" t="s">
        <v>2387</v>
      </c>
      <c r="F2365" s="215">
        <v>43</v>
      </c>
      <c r="G2365" s="194">
        <v>1.2</v>
      </c>
      <c r="H2365" s="195">
        <v>51.6</v>
      </c>
      <c r="I2365" s="212" t="s">
        <v>2354</v>
      </c>
    </row>
    <row r="2366" spans="1:9" x14ac:dyDescent="0.25">
      <c r="A2366" s="193" t="s">
        <v>220</v>
      </c>
      <c r="B2366" s="193" t="s">
        <v>2351</v>
      </c>
      <c r="C2366" s="214" t="s">
        <v>2778</v>
      </c>
      <c r="D2366" s="193" t="s">
        <v>2779</v>
      </c>
      <c r="E2366" s="212" t="s">
        <v>545</v>
      </c>
      <c r="F2366" s="215">
        <v>5</v>
      </c>
      <c r="G2366" s="194">
        <v>10.35</v>
      </c>
      <c r="H2366" s="195">
        <v>51.75</v>
      </c>
      <c r="I2366" s="212" t="s">
        <v>2354</v>
      </c>
    </row>
    <row r="2367" spans="1:9" x14ac:dyDescent="0.25">
      <c r="A2367" s="193" t="s">
        <v>220</v>
      </c>
      <c r="B2367" s="193" t="s">
        <v>5430</v>
      </c>
      <c r="C2367" s="214" t="s">
        <v>3349</v>
      </c>
      <c r="D2367" s="193" t="s">
        <v>3350</v>
      </c>
      <c r="E2367" s="212" t="s">
        <v>545</v>
      </c>
      <c r="F2367" s="215">
        <v>30</v>
      </c>
      <c r="G2367" s="194">
        <v>1.7324999999999997</v>
      </c>
      <c r="H2367" s="195">
        <v>51.974999999999994</v>
      </c>
      <c r="I2367" s="212" t="s">
        <v>2354</v>
      </c>
    </row>
    <row r="2368" spans="1:9" x14ac:dyDescent="0.25">
      <c r="A2368" s="193" t="s">
        <v>220</v>
      </c>
      <c r="B2368" s="193" t="s">
        <v>2351</v>
      </c>
      <c r="C2368" s="214" t="s">
        <v>2636</v>
      </c>
      <c r="D2368" s="193" t="s">
        <v>2637</v>
      </c>
      <c r="E2368" s="212" t="s">
        <v>545</v>
      </c>
      <c r="F2368" s="215">
        <v>8</v>
      </c>
      <c r="G2368" s="194">
        <v>6.5</v>
      </c>
      <c r="H2368" s="195">
        <v>52</v>
      </c>
      <c r="I2368" s="212" t="s">
        <v>2354</v>
      </c>
    </row>
    <row r="2369" spans="1:9" x14ac:dyDescent="0.25">
      <c r="A2369" s="193" t="s">
        <v>220</v>
      </c>
      <c r="B2369" s="193" t="s">
        <v>2351</v>
      </c>
      <c r="C2369" s="214" t="s">
        <v>4173</v>
      </c>
      <c r="D2369" s="193" t="s">
        <v>4174</v>
      </c>
      <c r="E2369" s="212" t="s">
        <v>545</v>
      </c>
      <c r="F2369" s="215">
        <v>4</v>
      </c>
      <c r="G2369" s="194">
        <v>13</v>
      </c>
      <c r="H2369" s="195">
        <v>52</v>
      </c>
      <c r="I2369" s="212" t="s">
        <v>2354</v>
      </c>
    </row>
    <row r="2370" spans="1:9" x14ac:dyDescent="0.25">
      <c r="A2370" s="193" t="s">
        <v>220</v>
      </c>
      <c r="B2370" s="193" t="s">
        <v>2351</v>
      </c>
      <c r="C2370" s="214" t="s">
        <v>4199</v>
      </c>
      <c r="D2370" s="193" t="s">
        <v>4200</v>
      </c>
      <c r="E2370" s="212" t="s">
        <v>2387</v>
      </c>
      <c r="F2370" s="215">
        <v>10</v>
      </c>
      <c r="G2370" s="194">
        <v>5.2329999999999997</v>
      </c>
      <c r="H2370" s="195">
        <v>52.33</v>
      </c>
      <c r="I2370" s="212" t="s">
        <v>2354</v>
      </c>
    </row>
    <row r="2371" spans="1:9" x14ac:dyDescent="0.25">
      <c r="A2371" s="193" t="s">
        <v>220</v>
      </c>
      <c r="B2371" s="193" t="s">
        <v>5430</v>
      </c>
      <c r="C2371" s="214" t="s">
        <v>7175</v>
      </c>
      <c r="D2371" s="193" t="s">
        <v>7176</v>
      </c>
      <c r="E2371" s="212" t="s">
        <v>545</v>
      </c>
      <c r="F2371" s="215">
        <v>185</v>
      </c>
      <c r="G2371" s="194">
        <v>0.28299999999999997</v>
      </c>
      <c r="H2371" s="195">
        <v>52.354999999999997</v>
      </c>
      <c r="I2371" s="212" t="s">
        <v>2354</v>
      </c>
    </row>
    <row r="2372" spans="1:9" x14ac:dyDescent="0.25">
      <c r="A2372" s="193" t="s">
        <v>220</v>
      </c>
      <c r="B2372" s="193" t="s">
        <v>2351</v>
      </c>
      <c r="C2372" s="214" t="s">
        <v>3699</v>
      </c>
      <c r="D2372" s="193" t="s">
        <v>3700</v>
      </c>
      <c r="E2372" s="212" t="s">
        <v>545</v>
      </c>
      <c r="F2372" s="215">
        <v>15</v>
      </c>
      <c r="G2372" s="194">
        <v>3.5</v>
      </c>
      <c r="H2372" s="195">
        <v>52.5</v>
      </c>
      <c r="I2372" s="212" t="s">
        <v>2354</v>
      </c>
    </row>
    <row r="2373" spans="1:9" x14ac:dyDescent="0.25">
      <c r="A2373" s="193" t="s">
        <v>220</v>
      </c>
      <c r="B2373" s="193" t="s">
        <v>5430</v>
      </c>
      <c r="C2373" s="214" t="s">
        <v>6451</v>
      </c>
      <c r="D2373" s="193" t="s">
        <v>6452</v>
      </c>
      <c r="E2373" s="212" t="s">
        <v>545</v>
      </c>
      <c r="F2373" s="215">
        <v>3</v>
      </c>
      <c r="G2373" s="194">
        <v>17.510000000000002</v>
      </c>
      <c r="H2373" s="195">
        <v>52.53</v>
      </c>
      <c r="I2373" s="212" t="s">
        <v>2354</v>
      </c>
    </row>
    <row r="2374" spans="1:9" x14ac:dyDescent="0.25">
      <c r="A2374" s="193" t="s">
        <v>220</v>
      </c>
      <c r="B2374" s="193" t="s">
        <v>2351</v>
      </c>
      <c r="C2374" s="214" t="s">
        <v>4027</v>
      </c>
      <c r="D2374" s="193" t="s">
        <v>4028</v>
      </c>
      <c r="E2374" s="212" t="s">
        <v>545</v>
      </c>
      <c r="F2374" s="215">
        <v>1</v>
      </c>
      <c r="G2374" s="194">
        <v>52.543959999999998</v>
      </c>
      <c r="H2374" s="195">
        <v>52.543959999999998</v>
      </c>
      <c r="I2374" s="212" t="s">
        <v>2354</v>
      </c>
    </row>
    <row r="2375" spans="1:9" x14ac:dyDescent="0.25">
      <c r="A2375" s="193" t="s">
        <v>220</v>
      </c>
      <c r="B2375" s="193" t="s">
        <v>5430</v>
      </c>
      <c r="C2375" s="214" t="s">
        <v>6178</v>
      </c>
      <c r="D2375" s="193" t="s">
        <v>6179</v>
      </c>
      <c r="E2375" s="212" t="s">
        <v>545</v>
      </c>
      <c r="F2375" s="215">
        <v>1</v>
      </c>
      <c r="G2375" s="194">
        <v>52.758000000000003</v>
      </c>
      <c r="H2375" s="195">
        <v>52.758000000000003</v>
      </c>
      <c r="I2375" s="212" t="s">
        <v>2354</v>
      </c>
    </row>
    <row r="2376" spans="1:9" x14ac:dyDescent="0.25">
      <c r="A2376" s="193" t="s">
        <v>220</v>
      </c>
      <c r="B2376" s="193" t="s">
        <v>5430</v>
      </c>
      <c r="C2376" s="214" t="s">
        <v>7162</v>
      </c>
      <c r="D2376" s="193" t="s">
        <v>7163</v>
      </c>
      <c r="E2376" s="212" t="s">
        <v>545</v>
      </c>
      <c r="F2376" s="215">
        <v>35</v>
      </c>
      <c r="G2376" s="194">
        <v>1.5129999999999999</v>
      </c>
      <c r="H2376" s="195">
        <v>52.954999999999998</v>
      </c>
      <c r="I2376" s="212" t="s">
        <v>2354</v>
      </c>
    </row>
    <row r="2377" spans="1:9" x14ac:dyDescent="0.25">
      <c r="A2377" s="193" t="s">
        <v>220</v>
      </c>
      <c r="B2377" s="193" t="s">
        <v>2351</v>
      </c>
      <c r="C2377" s="214" t="s">
        <v>4989</v>
      </c>
      <c r="D2377" s="193" t="s">
        <v>4990</v>
      </c>
      <c r="E2377" s="212" t="s">
        <v>545</v>
      </c>
      <c r="F2377" s="215">
        <v>321</v>
      </c>
      <c r="G2377" s="194">
        <v>0.16500000000000001</v>
      </c>
      <c r="H2377" s="195">
        <v>52.965000000000003</v>
      </c>
      <c r="I2377" s="212" t="s">
        <v>2354</v>
      </c>
    </row>
    <row r="2378" spans="1:9" x14ac:dyDescent="0.25">
      <c r="A2378" s="193" t="s">
        <v>220</v>
      </c>
      <c r="B2378" s="193" t="s">
        <v>5430</v>
      </c>
      <c r="C2378" s="214" t="s">
        <v>3153</v>
      </c>
      <c r="D2378" s="193" t="s">
        <v>3154</v>
      </c>
      <c r="E2378" s="212" t="s">
        <v>545</v>
      </c>
      <c r="F2378" s="215">
        <v>15</v>
      </c>
      <c r="G2378" s="194">
        <v>3.5459999999999998</v>
      </c>
      <c r="H2378" s="195">
        <v>53.19</v>
      </c>
      <c r="I2378" s="212" t="s">
        <v>2354</v>
      </c>
    </row>
    <row r="2379" spans="1:9" x14ac:dyDescent="0.25">
      <c r="A2379" s="193" t="s">
        <v>220</v>
      </c>
      <c r="B2379" s="193" t="s">
        <v>5430</v>
      </c>
      <c r="C2379" s="214" t="s">
        <v>3551</v>
      </c>
      <c r="D2379" s="193" t="s">
        <v>3552</v>
      </c>
      <c r="E2379" s="212" t="s">
        <v>545</v>
      </c>
      <c r="F2379" s="215">
        <v>16</v>
      </c>
      <c r="G2379" s="194">
        <v>3.3299999999999996</v>
      </c>
      <c r="H2379" s="195">
        <v>53.279999999999994</v>
      </c>
      <c r="I2379" s="212" t="s">
        <v>2354</v>
      </c>
    </row>
    <row r="2380" spans="1:9" x14ac:dyDescent="0.25">
      <c r="A2380" s="193" t="s">
        <v>220</v>
      </c>
      <c r="B2380" s="193" t="s">
        <v>2351</v>
      </c>
      <c r="C2380" s="214" t="s">
        <v>5032</v>
      </c>
      <c r="D2380" s="193" t="s">
        <v>5033</v>
      </c>
      <c r="E2380" s="212" t="s">
        <v>545</v>
      </c>
      <c r="F2380" s="215">
        <v>240</v>
      </c>
      <c r="G2380" s="194">
        <v>0.22222028985507247</v>
      </c>
      <c r="H2380" s="195">
        <v>53.332869565217393</v>
      </c>
      <c r="I2380" s="212" t="s">
        <v>2354</v>
      </c>
    </row>
    <row r="2381" spans="1:9" x14ac:dyDescent="0.25">
      <c r="A2381" s="193" t="s">
        <v>220</v>
      </c>
      <c r="B2381" s="193" t="s">
        <v>5430</v>
      </c>
      <c r="C2381" s="214" t="s">
        <v>4662</v>
      </c>
      <c r="D2381" s="193" t="s">
        <v>4663</v>
      </c>
      <c r="E2381" s="212" t="s">
        <v>545</v>
      </c>
      <c r="F2381" s="215">
        <v>254</v>
      </c>
      <c r="G2381" s="194">
        <v>0.21</v>
      </c>
      <c r="H2381" s="195">
        <v>53.339999999999996</v>
      </c>
      <c r="I2381" s="212" t="s">
        <v>2354</v>
      </c>
    </row>
    <row r="2382" spans="1:9" x14ac:dyDescent="0.25">
      <c r="A2382" s="193" t="s">
        <v>220</v>
      </c>
      <c r="B2382" s="193" t="s">
        <v>2351</v>
      </c>
      <c r="C2382" s="214" t="s">
        <v>4895</v>
      </c>
      <c r="D2382" s="193" t="s">
        <v>4896</v>
      </c>
      <c r="E2382" s="212" t="s">
        <v>545</v>
      </c>
      <c r="F2382" s="215">
        <v>65</v>
      </c>
      <c r="G2382" s="194">
        <v>0.82450000000000001</v>
      </c>
      <c r="H2382" s="195">
        <v>53.592500000000001</v>
      </c>
      <c r="I2382" s="212" t="s">
        <v>2354</v>
      </c>
    </row>
    <row r="2383" spans="1:9" x14ac:dyDescent="0.25">
      <c r="A2383" s="193" t="s">
        <v>220</v>
      </c>
      <c r="B2383" s="193" t="s">
        <v>2351</v>
      </c>
      <c r="C2383" s="214" t="s">
        <v>3441</v>
      </c>
      <c r="D2383" s="193" t="s">
        <v>3442</v>
      </c>
      <c r="E2383" s="212" t="s">
        <v>545</v>
      </c>
      <c r="F2383" s="215">
        <v>1</v>
      </c>
      <c r="G2383" s="216">
        <v>53.76</v>
      </c>
      <c r="H2383" s="217">
        <v>53.76</v>
      </c>
      <c r="I2383" s="212" t="s">
        <v>2354</v>
      </c>
    </row>
    <row r="2384" spans="1:9" x14ac:dyDescent="0.25">
      <c r="A2384" s="193" t="s">
        <v>220</v>
      </c>
      <c r="B2384" s="193" t="s">
        <v>2351</v>
      </c>
      <c r="C2384" s="214" t="s">
        <v>4369</v>
      </c>
      <c r="D2384" s="193" t="s">
        <v>4370</v>
      </c>
      <c r="E2384" s="212" t="s">
        <v>545</v>
      </c>
      <c r="F2384" s="215">
        <v>6</v>
      </c>
      <c r="G2384" s="194">
        <v>8.9827999999999992</v>
      </c>
      <c r="H2384" s="195">
        <v>53.896799999999999</v>
      </c>
      <c r="I2384" s="212" t="s">
        <v>2354</v>
      </c>
    </row>
    <row r="2385" spans="1:9" x14ac:dyDescent="0.25">
      <c r="A2385" s="193" t="s">
        <v>220</v>
      </c>
      <c r="B2385" s="193" t="s">
        <v>2351</v>
      </c>
      <c r="C2385" s="214" t="s">
        <v>4658</v>
      </c>
      <c r="D2385" s="193" t="s">
        <v>4659</v>
      </c>
      <c r="E2385" s="212" t="s">
        <v>545</v>
      </c>
      <c r="F2385" s="215">
        <v>250</v>
      </c>
      <c r="G2385" s="194">
        <v>0.21568278894472359</v>
      </c>
      <c r="H2385" s="195">
        <v>53.920697236180899</v>
      </c>
      <c r="I2385" s="212" t="s">
        <v>2354</v>
      </c>
    </row>
    <row r="2386" spans="1:9" x14ac:dyDescent="0.25">
      <c r="A2386" s="193" t="s">
        <v>220</v>
      </c>
      <c r="B2386" s="193" t="s">
        <v>2351</v>
      </c>
      <c r="C2386" s="214" t="s">
        <v>4873</v>
      </c>
      <c r="D2386" s="193" t="s">
        <v>4874</v>
      </c>
      <c r="E2386" s="212" t="s">
        <v>545</v>
      </c>
      <c r="F2386" s="215">
        <v>85</v>
      </c>
      <c r="G2386" s="194">
        <v>0.63500000000000001</v>
      </c>
      <c r="H2386" s="195">
        <v>53.975000000000001</v>
      </c>
      <c r="I2386" s="212" t="s">
        <v>2354</v>
      </c>
    </row>
    <row r="2387" spans="1:9" x14ac:dyDescent="0.25">
      <c r="A2387" s="193" t="s">
        <v>220</v>
      </c>
      <c r="B2387" s="193" t="s">
        <v>2351</v>
      </c>
      <c r="C2387" s="214" t="s">
        <v>4001</v>
      </c>
      <c r="D2387" s="193" t="s">
        <v>4002</v>
      </c>
      <c r="E2387" s="212" t="s">
        <v>545</v>
      </c>
      <c r="F2387" s="215">
        <v>4</v>
      </c>
      <c r="G2387" s="194">
        <v>13.5</v>
      </c>
      <c r="H2387" s="195">
        <v>54</v>
      </c>
      <c r="I2387" s="212" t="s">
        <v>2354</v>
      </c>
    </row>
    <row r="2388" spans="1:9" x14ac:dyDescent="0.25">
      <c r="A2388" s="193" t="s">
        <v>220</v>
      </c>
      <c r="B2388" s="193" t="s">
        <v>5430</v>
      </c>
      <c r="C2388" s="214" t="s">
        <v>3645</v>
      </c>
      <c r="D2388" s="193" t="s">
        <v>3646</v>
      </c>
      <c r="E2388" s="212" t="s">
        <v>545</v>
      </c>
      <c r="F2388" s="215">
        <v>12</v>
      </c>
      <c r="G2388" s="194">
        <v>4.5022500000000001</v>
      </c>
      <c r="H2388" s="195">
        <v>54.027000000000001</v>
      </c>
      <c r="I2388" s="212" t="s">
        <v>2354</v>
      </c>
    </row>
    <row r="2389" spans="1:9" x14ac:dyDescent="0.25">
      <c r="A2389" s="193" t="s">
        <v>220</v>
      </c>
      <c r="B2389" s="193" t="s">
        <v>5430</v>
      </c>
      <c r="C2389" s="214" t="s">
        <v>6611</v>
      </c>
      <c r="D2389" s="193" t="s">
        <v>6612</v>
      </c>
      <c r="E2389" s="212" t="s">
        <v>2387</v>
      </c>
      <c r="F2389" s="215">
        <v>20</v>
      </c>
      <c r="G2389" s="194">
        <v>2.7134999999999998</v>
      </c>
      <c r="H2389" s="195">
        <v>54.269999999999996</v>
      </c>
      <c r="I2389" s="212" t="s">
        <v>2354</v>
      </c>
    </row>
    <row r="2390" spans="1:9" x14ac:dyDescent="0.25">
      <c r="A2390" s="193" t="s">
        <v>220</v>
      </c>
      <c r="B2390" s="193" t="s">
        <v>5430</v>
      </c>
      <c r="C2390" s="214" t="s">
        <v>6249</v>
      </c>
      <c r="D2390" s="193" t="s">
        <v>6250</v>
      </c>
      <c r="E2390" s="212" t="s">
        <v>545</v>
      </c>
      <c r="F2390" s="215">
        <v>19</v>
      </c>
      <c r="G2390" s="194">
        <v>2.8565999999999998</v>
      </c>
      <c r="H2390" s="195">
        <v>54.275399999999998</v>
      </c>
      <c r="I2390" s="212" t="s">
        <v>2354</v>
      </c>
    </row>
    <row r="2391" spans="1:9" x14ac:dyDescent="0.25">
      <c r="A2391" s="193" t="s">
        <v>220</v>
      </c>
      <c r="B2391" s="193" t="s">
        <v>5430</v>
      </c>
      <c r="C2391" s="214" t="s">
        <v>2381</v>
      </c>
      <c r="D2391" s="193" t="s">
        <v>6006</v>
      </c>
      <c r="E2391" s="212" t="s">
        <v>545</v>
      </c>
      <c r="F2391" s="215">
        <v>8</v>
      </c>
      <c r="G2391" s="194">
        <v>6.8110285714285723</v>
      </c>
      <c r="H2391" s="195">
        <v>54.488228571428579</v>
      </c>
      <c r="I2391" s="212" t="s">
        <v>2354</v>
      </c>
    </row>
    <row r="2392" spans="1:9" x14ac:dyDescent="0.25">
      <c r="A2392" s="193" t="s">
        <v>220</v>
      </c>
      <c r="B2392" s="193" t="s">
        <v>2351</v>
      </c>
      <c r="C2392" s="214" t="s">
        <v>3841</v>
      </c>
      <c r="D2392" s="193" t="s">
        <v>3842</v>
      </c>
      <c r="E2392" s="212" t="s">
        <v>545</v>
      </c>
      <c r="F2392" s="215">
        <v>2</v>
      </c>
      <c r="G2392" s="194">
        <v>27.27</v>
      </c>
      <c r="H2392" s="195">
        <v>54.54</v>
      </c>
      <c r="I2392" s="212" t="s">
        <v>2354</v>
      </c>
    </row>
    <row r="2393" spans="1:9" x14ac:dyDescent="0.25">
      <c r="A2393" s="193" t="s">
        <v>220</v>
      </c>
      <c r="B2393" s="193" t="s">
        <v>2351</v>
      </c>
      <c r="C2393" s="214" t="s">
        <v>5162</v>
      </c>
      <c r="D2393" s="193" t="s">
        <v>5163</v>
      </c>
      <c r="E2393" s="212" t="s">
        <v>545</v>
      </c>
      <c r="F2393" s="215">
        <v>5</v>
      </c>
      <c r="G2393" s="194">
        <v>10.92</v>
      </c>
      <c r="H2393" s="195">
        <v>54.6</v>
      </c>
      <c r="I2393" s="212" t="s">
        <v>2354</v>
      </c>
    </row>
    <row r="2394" spans="1:9" x14ac:dyDescent="0.25">
      <c r="A2394" s="193" t="s">
        <v>220</v>
      </c>
      <c r="B2394" s="193" t="s">
        <v>2351</v>
      </c>
      <c r="C2394" s="214" t="s">
        <v>2888</v>
      </c>
      <c r="D2394" s="193" t="s">
        <v>2889</v>
      </c>
      <c r="E2394" s="212" t="s">
        <v>545</v>
      </c>
      <c r="F2394" s="215">
        <v>5</v>
      </c>
      <c r="G2394" s="194">
        <v>10.941000000000001</v>
      </c>
      <c r="H2394" s="195">
        <v>54.705000000000005</v>
      </c>
      <c r="I2394" s="212" t="s">
        <v>2354</v>
      </c>
    </row>
    <row r="2395" spans="1:9" x14ac:dyDescent="0.25">
      <c r="A2395" s="193" t="s">
        <v>220</v>
      </c>
      <c r="B2395" s="193" t="s">
        <v>2351</v>
      </c>
      <c r="C2395" s="214" t="s">
        <v>3613</v>
      </c>
      <c r="D2395" s="193" t="s">
        <v>3614</v>
      </c>
      <c r="E2395" s="212" t="s">
        <v>545</v>
      </c>
      <c r="F2395" s="215">
        <v>21</v>
      </c>
      <c r="G2395" s="194">
        <v>2.61</v>
      </c>
      <c r="H2395" s="195">
        <v>54.809999999999995</v>
      </c>
      <c r="I2395" s="212" t="s">
        <v>2354</v>
      </c>
    </row>
    <row r="2396" spans="1:9" x14ac:dyDescent="0.25">
      <c r="A2396" s="193" t="s">
        <v>220</v>
      </c>
      <c r="B2396" s="193" t="s">
        <v>2351</v>
      </c>
      <c r="C2396" s="214" t="s">
        <v>4985</v>
      </c>
      <c r="D2396" s="193" t="s">
        <v>4986</v>
      </c>
      <c r="E2396" s="212" t="s">
        <v>545</v>
      </c>
      <c r="F2396" s="215">
        <v>210</v>
      </c>
      <c r="G2396" s="194">
        <v>0.26100000000000001</v>
      </c>
      <c r="H2396" s="195">
        <v>54.81</v>
      </c>
      <c r="I2396" s="212" t="s">
        <v>2354</v>
      </c>
    </row>
    <row r="2397" spans="1:9" x14ac:dyDescent="0.25">
      <c r="A2397" s="193" t="s">
        <v>220</v>
      </c>
      <c r="B2397" s="193" t="s">
        <v>2351</v>
      </c>
      <c r="C2397" s="214" t="s">
        <v>5060</v>
      </c>
      <c r="D2397" s="193" t="s">
        <v>5061</v>
      </c>
      <c r="E2397" s="212" t="s">
        <v>545</v>
      </c>
      <c r="F2397" s="215">
        <v>25</v>
      </c>
      <c r="G2397" s="194">
        <v>2.1949999999999998</v>
      </c>
      <c r="H2397" s="195">
        <v>54.874999999999993</v>
      </c>
      <c r="I2397" s="212" t="s">
        <v>2354</v>
      </c>
    </row>
    <row r="2398" spans="1:9" x14ac:dyDescent="0.25">
      <c r="A2398" s="193" t="s">
        <v>220</v>
      </c>
      <c r="B2398" s="193" t="s">
        <v>5430</v>
      </c>
      <c r="C2398" s="214" t="s">
        <v>7225</v>
      </c>
      <c r="D2398" s="193" t="s">
        <v>7226</v>
      </c>
      <c r="E2398" s="212" t="s">
        <v>545</v>
      </c>
      <c r="F2398" s="215">
        <v>1</v>
      </c>
      <c r="G2398" s="194">
        <v>54.99</v>
      </c>
      <c r="H2398" s="195">
        <v>54.99</v>
      </c>
      <c r="I2398" s="212" t="s">
        <v>2354</v>
      </c>
    </row>
    <row r="2399" spans="1:9" x14ac:dyDescent="0.25">
      <c r="A2399" s="193" t="s">
        <v>220</v>
      </c>
      <c r="B2399" s="193" t="s">
        <v>2351</v>
      </c>
      <c r="C2399" s="214" t="s">
        <v>3875</v>
      </c>
      <c r="D2399" s="193" t="s">
        <v>3876</v>
      </c>
      <c r="E2399" s="212" t="s">
        <v>545</v>
      </c>
      <c r="F2399" s="215">
        <v>5</v>
      </c>
      <c r="G2399" s="194">
        <v>11</v>
      </c>
      <c r="H2399" s="195">
        <v>55</v>
      </c>
      <c r="I2399" s="212" t="s">
        <v>2354</v>
      </c>
    </row>
    <row r="2400" spans="1:9" x14ac:dyDescent="0.25">
      <c r="A2400" s="193" t="s">
        <v>220</v>
      </c>
      <c r="B2400" s="193" t="s">
        <v>2351</v>
      </c>
      <c r="C2400" s="214" t="s">
        <v>4508</v>
      </c>
      <c r="D2400" s="193" t="s">
        <v>4509</v>
      </c>
      <c r="E2400" s="212" t="s">
        <v>2387</v>
      </c>
      <c r="F2400" s="215">
        <v>3</v>
      </c>
      <c r="G2400" s="194">
        <v>18.416368421052635</v>
      </c>
      <c r="H2400" s="195">
        <v>55.249105263157901</v>
      </c>
      <c r="I2400" s="212" t="s">
        <v>2354</v>
      </c>
    </row>
    <row r="2401" spans="1:9" x14ac:dyDescent="0.25">
      <c r="A2401" s="193" t="s">
        <v>220</v>
      </c>
      <c r="B2401" s="193" t="s">
        <v>2351</v>
      </c>
      <c r="C2401" s="214" t="s">
        <v>3050</v>
      </c>
      <c r="D2401" s="193" t="s">
        <v>3051</v>
      </c>
      <c r="E2401" s="212" t="s">
        <v>545</v>
      </c>
      <c r="F2401" s="215">
        <v>6</v>
      </c>
      <c r="G2401" s="194">
        <v>9.2178000000000004</v>
      </c>
      <c r="H2401" s="195">
        <v>55.306800000000003</v>
      </c>
      <c r="I2401" s="212" t="s">
        <v>2354</v>
      </c>
    </row>
    <row r="2402" spans="1:9" x14ac:dyDescent="0.25">
      <c r="A2402" s="193" t="s">
        <v>220</v>
      </c>
      <c r="B2402" s="193" t="s">
        <v>2351</v>
      </c>
      <c r="C2402" s="214" t="s">
        <v>4939</v>
      </c>
      <c r="D2402" s="193" t="s">
        <v>4940</v>
      </c>
      <c r="E2402" s="212" t="s">
        <v>545</v>
      </c>
      <c r="F2402" s="215">
        <v>201</v>
      </c>
      <c r="G2402" s="194">
        <v>0.27565000000000001</v>
      </c>
      <c r="H2402" s="195">
        <v>55.405650000000001</v>
      </c>
      <c r="I2402" s="212" t="s">
        <v>2354</v>
      </c>
    </row>
    <row r="2403" spans="1:9" x14ac:dyDescent="0.25">
      <c r="A2403" s="193" t="s">
        <v>220</v>
      </c>
      <c r="B2403" s="193" t="s">
        <v>5430</v>
      </c>
      <c r="C2403" s="214" t="s">
        <v>7095</v>
      </c>
      <c r="D2403" s="193" t="s">
        <v>7096</v>
      </c>
      <c r="E2403" s="212" t="s">
        <v>545</v>
      </c>
      <c r="F2403" s="215">
        <v>89</v>
      </c>
      <c r="G2403" s="194">
        <v>0.626</v>
      </c>
      <c r="H2403" s="195">
        <v>55.713999999999999</v>
      </c>
      <c r="I2403" s="212" t="s">
        <v>2354</v>
      </c>
    </row>
    <row r="2404" spans="1:9" x14ac:dyDescent="0.25">
      <c r="A2404" s="193" t="s">
        <v>220</v>
      </c>
      <c r="B2404" s="193" t="s">
        <v>2351</v>
      </c>
      <c r="C2404" s="214" t="s">
        <v>3435</v>
      </c>
      <c r="D2404" s="193" t="s">
        <v>3436</v>
      </c>
      <c r="E2404" s="212" t="s">
        <v>2387</v>
      </c>
      <c r="F2404" s="215">
        <v>16</v>
      </c>
      <c r="G2404" s="194">
        <v>3.4856285714285713</v>
      </c>
      <c r="H2404" s="195">
        <v>55.770057142857141</v>
      </c>
      <c r="I2404" s="212" t="s">
        <v>2354</v>
      </c>
    </row>
    <row r="2405" spans="1:9" x14ac:dyDescent="0.25">
      <c r="A2405" s="193" t="s">
        <v>220</v>
      </c>
      <c r="B2405" s="193" t="s">
        <v>2351</v>
      </c>
      <c r="C2405" s="214" t="s">
        <v>2762</v>
      </c>
      <c r="D2405" s="193" t="s">
        <v>2763</v>
      </c>
      <c r="E2405" s="212" t="s">
        <v>545</v>
      </c>
      <c r="F2405" s="215">
        <v>5</v>
      </c>
      <c r="G2405" s="194">
        <v>11.16</v>
      </c>
      <c r="H2405" s="195">
        <v>55.8</v>
      </c>
      <c r="I2405" s="212" t="s">
        <v>2354</v>
      </c>
    </row>
    <row r="2406" spans="1:9" x14ac:dyDescent="0.25">
      <c r="A2406" s="193" t="s">
        <v>220</v>
      </c>
      <c r="B2406" s="193" t="s">
        <v>2351</v>
      </c>
      <c r="C2406" s="214" t="s">
        <v>2746</v>
      </c>
      <c r="D2406" s="193" t="s">
        <v>2747</v>
      </c>
      <c r="E2406" s="212" t="s">
        <v>545</v>
      </c>
      <c r="F2406" s="215">
        <v>3</v>
      </c>
      <c r="G2406" s="194">
        <v>18.611999999999998</v>
      </c>
      <c r="H2406" s="195">
        <v>55.835999999999999</v>
      </c>
      <c r="I2406" s="212" t="s">
        <v>2354</v>
      </c>
    </row>
    <row r="2407" spans="1:9" x14ac:dyDescent="0.25">
      <c r="A2407" s="193" t="s">
        <v>220</v>
      </c>
      <c r="B2407" s="193" t="s">
        <v>5430</v>
      </c>
      <c r="C2407" s="214" t="s">
        <v>6239</v>
      </c>
      <c r="D2407" s="193" t="s">
        <v>6240</v>
      </c>
      <c r="E2407" s="212" t="s">
        <v>545</v>
      </c>
      <c r="F2407" s="215">
        <v>4</v>
      </c>
      <c r="G2407" s="194">
        <v>13.973400000000002</v>
      </c>
      <c r="H2407" s="195">
        <v>55.893600000000006</v>
      </c>
      <c r="I2407" s="212" t="s">
        <v>2354</v>
      </c>
    </row>
    <row r="2408" spans="1:9" x14ac:dyDescent="0.25">
      <c r="A2408" s="193" t="s">
        <v>220</v>
      </c>
      <c r="B2408" s="193" t="s">
        <v>5430</v>
      </c>
      <c r="C2408" s="214" t="s">
        <v>6545</v>
      </c>
      <c r="D2408" s="193" t="s">
        <v>6546</v>
      </c>
      <c r="E2408" s="212" t="s">
        <v>545</v>
      </c>
      <c r="F2408" s="215">
        <v>5</v>
      </c>
      <c r="G2408" s="194">
        <v>11.2</v>
      </c>
      <c r="H2408" s="195">
        <v>56</v>
      </c>
      <c r="I2408" s="212" t="s">
        <v>2354</v>
      </c>
    </row>
    <row r="2409" spans="1:9" x14ac:dyDescent="0.25">
      <c r="A2409" s="193" t="s">
        <v>220</v>
      </c>
      <c r="B2409" s="193" t="s">
        <v>5430</v>
      </c>
      <c r="C2409" s="214" t="s">
        <v>4051</v>
      </c>
      <c r="D2409" s="193" t="s">
        <v>4052</v>
      </c>
      <c r="E2409" s="212" t="s">
        <v>545</v>
      </c>
      <c r="F2409" s="215">
        <v>43</v>
      </c>
      <c r="G2409" s="194">
        <v>1.3051500000000003</v>
      </c>
      <c r="H2409" s="195">
        <v>56.12145000000001</v>
      </c>
      <c r="I2409" s="212" t="s">
        <v>2354</v>
      </c>
    </row>
    <row r="2410" spans="1:9" x14ac:dyDescent="0.25">
      <c r="A2410" s="193" t="s">
        <v>220</v>
      </c>
      <c r="B2410" s="193" t="s">
        <v>5430</v>
      </c>
      <c r="C2410" s="214" t="s">
        <v>6397</v>
      </c>
      <c r="D2410" s="193" t="s">
        <v>6398</v>
      </c>
      <c r="E2410" s="212" t="s">
        <v>545</v>
      </c>
      <c r="F2410" s="215">
        <v>2</v>
      </c>
      <c r="G2410" s="194">
        <v>28.116</v>
      </c>
      <c r="H2410" s="195">
        <v>56.231999999999999</v>
      </c>
      <c r="I2410" s="212" t="s">
        <v>2354</v>
      </c>
    </row>
    <row r="2411" spans="1:9" x14ac:dyDescent="0.25">
      <c r="A2411" s="193" t="s">
        <v>220</v>
      </c>
      <c r="B2411" s="193" t="s">
        <v>5430</v>
      </c>
      <c r="C2411" s="214" t="s">
        <v>6423</v>
      </c>
      <c r="D2411" s="193" t="s">
        <v>6424</v>
      </c>
      <c r="E2411" s="212" t="s">
        <v>545</v>
      </c>
      <c r="F2411" s="215">
        <v>2</v>
      </c>
      <c r="G2411" s="194">
        <v>28.116</v>
      </c>
      <c r="H2411" s="195">
        <v>56.231999999999999</v>
      </c>
      <c r="I2411" s="212" t="s">
        <v>2354</v>
      </c>
    </row>
    <row r="2412" spans="1:9" x14ac:dyDescent="0.25">
      <c r="A2412" s="193" t="s">
        <v>220</v>
      </c>
      <c r="B2412" s="193" t="s">
        <v>2351</v>
      </c>
      <c r="C2412" s="214" t="s">
        <v>4730</v>
      </c>
      <c r="D2412" s="193" t="s">
        <v>4731</v>
      </c>
      <c r="E2412" s="212" t="s">
        <v>545</v>
      </c>
      <c r="F2412" s="215">
        <v>18</v>
      </c>
      <c r="G2412" s="194">
        <v>3.15</v>
      </c>
      <c r="H2412" s="195">
        <v>56.699999999999996</v>
      </c>
      <c r="I2412" s="212" t="s">
        <v>2354</v>
      </c>
    </row>
    <row r="2413" spans="1:9" x14ac:dyDescent="0.25">
      <c r="A2413" s="193" t="s">
        <v>220</v>
      </c>
      <c r="B2413" s="193" t="s">
        <v>2351</v>
      </c>
      <c r="C2413" s="214" t="s">
        <v>4642</v>
      </c>
      <c r="D2413" s="193" t="s">
        <v>4643</v>
      </c>
      <c r="E2413" s="212" t="s">
        <v>545</v>
      </c>
      <c r="F2413" s="215">
        <v>122</v>
      </c>
      <c r="G2413" s="194">
        <v>0.46500000000000002</v>
      </c>
      <c r="H2413" s="195">
        <v>56.730000000000004</v>
      </c>
      <c r="I2413" s="212" t="s">
        <v>2354</v>
      </c>
    </row>
    <row r="2414" spans="1:9" x14ac:dyDescent="0.25">
      <c r="A2414" s="193" t="s">
        <v>220</v>
      </c>
      <c r="B2414" s="193" t="s">
        <v>5430</v>
      </c>
      <c r="C2414" s="214" t="s">
        <v>6470</v>
      </c>
      <c r="D2414" s="193" t="s">
        <v>6471</v>
      </c>
      <c r="E2414" s="212" t="s">
        <v>545</v>
      </c>
      <c r="F2414" s="215">
        <v>9</v>
      </c>
      <c r="G2414" s="194">
        <v>6.3074999999999992</v>
      </c>
      <c r="H2414" s="195">
        <v>56.767499999999991</v>
      </c>
      <c r="I2414" s="212" t="s">
        <v>2354</v>
      </c>
    </row>
    <row r="2415" spans="1:9" x14ac:dyDescent="0.25">
      <c r="A2415" s="193" t="s">
        <v>220</v>
      </c>
      <c r="B2415" s="193" t="s">
        <v>2351</v>
      </c>
      <c r="C2415" s="214" t="s">
        <v>4438</v>
      </c>
      <c r="D2415" s="193" t="s">
        <v>4439</v>
      </c>
      <c r="E2415" s="212" t="s">
        <v>545</v>
      </c>
      <c r="F2415" s="215">
        <v>7</v>
      </c>
      <c r="G2415" s="194">
        <v>8.1437333333333335</v>
      </c>
      <c r="H2415" s="195">
        <v>57.006133333333338</v>
      </c>
      <c r="I2415" s="212" t="s">
        <v>2354</v>
      </c>
    </row>
    <row r="2416" spans="1:9" x14ac:dyDescent="0.25">
      <c r="A2416" s="193" t="s">
        <v>220</v>
      </c>
      <c r="B2416" s="193" t="s">
        <v>2351</v>
      </c>
      <c r="C2416" s="214" t="s">
        <v>3637</v>
      </c>
      <c r="D2416" s="193" t="s">
        <v>3638</v>
      </c>
      <c r="E2416" s="212" t="s">
        <v>545</v>
      </c>
      <c r="F2416" s="215">
        <v>34</v>
      </c>
      <c r="G2416" s="194">
        <v>1.6830000000000001</v>
      </c>
      <c r="H2416" s="195">
        <v>57.222000000000001</v>
      </c>
      <c r="I2416" s="212" t="s">
        <v>2354</v>
      </c>
    </row>
    <row r="2417" spans="1:9" x14ac:dyDescent="0.25">
      <c r="A2417" s="193" t="s">
        <v>220</v>
      </c>
      <c r="B2417" s="193" t="s">
        <v>2351</v>
      </c>
      <c r="C2417" s="214" t="s">
        <v>4688</v>
      </c>
      <c r="D2417" s="193" t="s">
        <v>4689</v>
      </c>
      <c r="E2417" s="212" t="s">
        <v>545</v>
      </c>
      <c r="F2417" s="215">
        <v>68</v>
      </c>
      <c r="G2417" s="194">
        <v>0.84150000000000003</v>
      </c>
      <c r="H2417" s="195">
        <v>57.222000000000001</v>
      </c>
      <c r="I2417" s="212" t="s">
        <v>2354</v>
      </c>
    </row>
    <row r="2418" spans="1:9" x14ac:dyDescent="0.25">
      <c r="A2418" s="193" t="s">
        <v>220</v>
      </c>
      <c r="B2418" s="193" t="s">
        <v>5430</v>
      </c>
      <c r="C2418" s="214" t="s">
        <v>7314</v>
      </c>
      <c r="D2418" s="193" t="s">
        <v>7315</v>
      </c>
      <c r="E2418" s="212" t="s">
        <v>545</v>
      </c>
      <c r="F2418" s="215">
        <v>2</v>
      </c>
      <c r="G2418" s="194">
        <v>28.763000000000002</v>
      </c>
      <c r="H2418" s="195">
        <v>57.526000000000003</v>
      </c>
      <c r="I2418" s="212" t="s">
        <v>2354</v>
      </c>
    </row>
    <row r="2419" spans="1:9" x14ac:dyDescent="0.25">
      <c r="A2419" s="193" t="s">
        <v>220</v>
      </c>
      <c r="B2419" s="193" t="s">
        <v>5430</v>
      </c>
      <c r="C2419" s="214" t="s">
        <v>6841</v>
      </c>
      <c r="D2419" s="193" t="s">
        <v>6842</v>
      </c>
      <c r="E2419" s="212" t="s">
        <v>545</v>
      </c>
      <c r="F2419" s="215">
        <v>8</v>
      </c>
      <c r="G2419" s="194">
        <v>7.3048610526315789</v>
      </c>
      <c r="H2419" s="195">
        <v>58.438888421052631</v>
      </c>
      <c r="I2419" s="212" t="s">
        <v>2354</v>
      </c>
    </row>
    <row r="2420" spans="1:9" x14ac:dyDescent="0.25">
      <c r="A2420" s="193" t="s">
        <v>220</v>
      </c>
      <c r="B2420" s="193" t="s">
        <v>5430</v>
      </c>
      <c r="C2420" s="214" t="s">
        <v>6030</v>
      </c>
      <c r="D2420" s="193" t="s">
        <v>6031</v>
      </c>
      <c r="E2420" s="212" t="s">
        <v>545</v>
      </c>
      <c r="F2420" s="215">
        <v>5</v>
      </c>
      <c r="G2420" s="194">
        <v>11.691000000000001</v>
      </c>
      <c r="H2420" s="195">
        <v>58.455000000000005</v>
      </c>
      <c r="I2420" s="212" t="s">
        <v>2354</v>
      </c>
    </row>
    <row r="2421" spans="1:9" x14ac:dyDescent="0.25">
      <c r="A2421" s="193" t="s">
        <v>220</v>
      </c>
      <c r="B2421" s="193" t="s">
        <v>5430</v>
      </c>
      <c r="C2421" s="214" t="s">
        <v>6261</v>
      </c>
      <c r="D2421" s="193" t="s">
        <v>6262</v>
      </c>
      <c r="E2421" s="212" t="s">
        <v>2387</v>
      </c>
      <c r="F2421" s="215">
        <v>1</v>
      </c>
      <c r="G2421" s="194">
        <v>58.637</v>
      </c>
      <c r="H2421" s="195">
        <v>58.637</v>
      </c>
      <c r="I2421" s="212" t="s">
        <v>2354</v>
      </c>
    </row>
    <row r="2422" spans="1:9" x14ac:dyDescent="0.25">
      <c r="A2422" s="193" t="s">
        <v>220</v>
      </c>
      <c r="B2422" s="193" t="s">
        <v>2351</v>
      </c>
      <c r="C2422" s="214" t="s">
        <v>4600</v>
      </c>
      <c r="D2422" s="193" t="s">
        <v>4601</v>
      </c>
      <c r="E2422" s="212" t="s">
        <v>545</v>
      </c>
      <c r="F2422" s="215">
        <v>1</v>
      </c>
      <c r="G2422" s="194">
        <v>58.65</v>
      </c>
      <c r="H2422" s="195">
        <v>58.65</v>
      </c>
      <c r="I2422" s="212" t="s">
        <v>2354</v>
      </c>
    </row>
    <row r="2423" spans="1:9" x14ac:dyDescent="0.25">
      <c r="A2423" s="193" t="s">
        <v>220</v>
      </c>
      <c r="B2423" s="193" t="s">
        <v>5430</v>
      </c>
      <c r="C2423" s="214" t="s">
        <v>7107</v>
      </c>
      <c r="D2423" s="193" t="s">
        <v>7108</v>
      </c>
      <c r="E2423" s="212" t="s">
        <v>545</v>
      </c>
      <c r="F2423" s="215">
        <v>265</v>
      </c>
      <c r="G2423" s="194">
        <v>0.22184999999999999</v>
      </c>
      <c r="H2423" s="195">
        <v>58.79025</v>
      </c>
      <c r="I2423" s="212" t="s">
        <v>2354</v>
      </c>
    </row>
    <row r="2424" spans="1:9" x14ac:dyDescent="0.25">
      <c r="A2424" s="193" t="s">
        <v>220</v>
      </c>
      <c r="B2424" s="193" t="s">
        <v>5430</v>
      </c>
      <c r="C2424" s="214" t="s">
        <v>6234</v>
      </c>
      <c r="D2424" s="193" t="s">
        <v>3148</v>
      </c>
      <c r="E2424" s="212" t="s">
        <v>545</v>
      </c>
      <c r="F2424" s="215">
        <v>22</v>
      </c>
      <c r="G2424" s="194">
        <v>2.6747999999999998</v>
      </c>
      <c r="H2424" s="195">
        <v>58.845599999999997</v>
      </c>
      <c r="I2424" s="212" t="s">
        <v>2354</v>
      </c>
    </row>
    <row r="2425" spans="1:9" x14ac:dyDescent="0.25">
      <c r="A2425" s="193" t="s">
        <v>220</v>
      </c>
      <c r="B2425" s="193" t="s">
        <v>5430</v>
      </c>
      <c r="C2425" s="214" t="s">
        <v>5933</v>
      </c>
      <c r="D2425" s="193" t="s">
        <v>5934</v>
      </c>
      <c r="E2425" s="212" t="s">
        <v>545</v>
      </c>
      <c r="F2425" s="213">
        <v>5</v>
      </c>
      <c r="G2425" s="194">
        <v>11.79</v>
      </c>
      <c r="H2425" s="195">
        <v>58.949999999999996</v>
      </c>
      <c r="I2425" s="212" t="s">
        <v>2354</v>
      </c>
    </row>
    <row r="2426" spans="1:9" x14ac:dyDescent="0.25">
      <c r="A2426" s="193" t="s">
        <v>220</v>
      </c>
      <c r="B2426" s="193" t="s">
        <v>5430</v>
      </c>
      <c r="C2426" s="214" t="s">
        <v>6431</v>
      </c>
      <c r="D2426" s="193" t="s">
        <v>6432</v>
      </c>
      <c r="E2426" s="212" t="s">
        <v>545</v>
      </c>
      <c r="F2426" s="215">
        <v>1</v>
      </c>
      <c r="G2426" s="194">
        <v>58.968000000000004</v>
      </c>
      <c r="H2426" s="195">
        <v>58.968000000000004</v>
      </c>
      <c r="I2426" s="212" t="s">
        <v>2354</v>
      </c>
    </row>
    <row r="2427" spans="1:9" x14ac:dyDescent="0.25">
      <c r="A2427" s="193" t="s">
        <v>220</v>
      </c>
      <c r="B2427" s="193" t="s">
        <v>2351</v>
      </c>
      <c r="C2427" s="214" t="s">
        <v>5056</v>
      </c>
      <c r="D2427" s="193" t="s">
        <v>5057</v>
      </c>
      <c r="E2427" s="212" t="s">
        <v>545</v>
      </c>
      <c r="F2427" s="215">
        <v>53</v>
      </c>
      <c r="G2427" s="194">
        <v>1.1126499999999999</v>
      </c>
      <c r="H2427" s="195">
        <v>58.970449999999992</v>
      </c>
      <c r="I2427" s="212" t="s">
        <v>2354</v>
      </c>
    </row>
    <row r="2428" spans="1:9" x14ac:dyDescent="0.25">
      <c r="A2428" s="193" t="s">
        <v>220</v>
      </c>
      <c r="B2428" s="193" t="s">
        <v>5430</v>
      </c>
      <c r="C2428" s="214" t="s">
        <v>4684</v>
      </c>
      <c r="D2428" s="193" t="s">
        <v>4685</v>
      </c>
      <c r="E2428" s="212" t="s">
        <v>545</v>
      </c>
      <c r="F2428" s="215">
        <v>5</v>
      </c>
      <c r="G2428" s="194">
        <v>11.813000000000001</v>
      </c>
      <c r="H2428" s="195">
        <v>59.065000000000005</v>
      </c>
      <c r="I2428" s="212" t="s">
        <v>2354</v>
      </c>
    </row>
    <row r="2429" spans="1:9" x14ac:dyDescent="0.25">
      <c r="A2429" s="193" t="s">
        <v>220</v>
      </c>
      <c r="B2429" s="193" t="s">
        <v>2351</v>
      </c>
      <c r="C2429" s="214" t="s">
        <v>2804</v>
      </c>
      <c r="D2429" s="193" t="s">
        <v>2805</v>
      </c>
      <c r="E2429" s="212" t="s">
        <v>545</v>
      </c>
      <c r="F2429" s="215">
        <v>2</v>
      </c>
      <c r="G2429" s="194">
        <v>29.7</v>
      </c>
      <c r="H2429" s="195">
        <v>59.4</v>
      </c>
      <c r="I2429" s="212" t="s">
        <v>2354</v>
      </c>
    </row>
    <row r="2430" spans="1:9" x14ac:dyDescent="0.25">
      <c r="A2430" s="193" t="s">
        <v>220</v>
      </c>
      <c r="B2430" s="193" t="s">
        <v>5430</v>
      </c>
      <c r="C2430" s="214" t="s">
        <v>3591</v>
      </c>
      <c r="D2430" s="193" t="s">
        <v>3592</v>
      </c>
      <c r="E2430" s="212" t="s">
        <v>545</v>
      </c>
      <c r="F2430" s="215">
        <v>22</v>
      </c>
      <c r="G2430" s="194">
        <v>2.7029999999999998</v>
      </c>
      <c r="H2430" s="195">
        <v>59.465999999999994</v>
      </c>
      <c r="I2430" s="212" t="s">
        <v>2354</v>
      </c>
    </row>
    <row r="2431" spans="1:9" x14ac:dyDescent="0.25">
      <c r="A2431" s="193" t="s">
        <v>220</v>
      </c>
      <c r="B2431" s="193" t="s">
        <v>2351</v>
      </c>
      <c r="C2431" s="214" t="s">
        <v>3539</v>
      </c>
      <c r="D2431" s="193" t="s">
        <v>3540</v>
      </c>
      <c r="E2431" s="212" t="s">
        <v>545</v>
      </c>
      <c r="F2431" s="215">
        <v>5</v>
      </c>
      <c r="G2431" s="194">
        <v>11.917</v>
      </c>
      <c r="H2431" s="195">
        <v>59.585000000000001</v>
      </c>
      <c r="I2431" s="212" t="s">
        <v>2354</v>
      </c>
    </row>
    <row r="2432" spans="1:9" x14ac:dyDescent="0.25">
      <c r="A2432" s="193" t="s">
        <v>220</v>
      </c>
      <c r="B2432" s="193" t="s">
        <v>2351</v>
      </c>
      <c r="C2432" s="214" t="s">
        <v>2708</v>
      </c>
      <c r="D2432" s="193" t="s">
        <v>2709</v>
      </c>
      <c r="E2432" s="212" t="s">
        <v>2387</v>
      </c>
      <c r="F2432" s="215">
        <v>5</v>
      </c>
      <c r="G2432" s="194">
        <v>11.939399999999999</v>
      </c>
      <c r="H2432" s="195">
        <v>59.696999999999996</v>
      </c>
      <c r="I2432" s="212" t="s">
        <v>2354</v>
      </c>
    </row>
    <row r="2433" spans="1:9" x14ac:dyDescent="0.25">
      <c r="A2433" s="193" t="s">
        <v>220</v>
      </c>
      <c r="B2433" s="193" t="s">
        <v>5430</v>
      </c>
      <c r="C2433" s="214" t="s">
        <v>7154</v>
      </c>
      <c r="D2433" s="193" t="s">
        <v>4773</v>
      </c>
      <c r="E2433" s="212" t="s">
        <v>545</v>
      </c>
      <c r="F2433" s="213">
        <v>223</v>
      </c>
      <c r="G2433" s="194">
        <v>0.26774999999999999</v>
      </c>
      <c r="H2433" s="195">
        <v>59.70825</v>
      </c>
      <c r="I2433" s="212" t="s">
        <v>2354</v>
      </c>
    </row>
    <row r="2434" spans="1:9" x14ac:dyDescent="0.25">
      <c r="A2434" s="193" t="s">
        <v>220</v>
      </c>
      <c r="B2434" s="193" t="s">
        <v>2351</v>
      </c>
      <c r="C2434" s="214" t="s">
        <v>5270</v>
      </c>
      <c r="D2434" s="193" t="s">
        <v>5271</v>
      </c>
      <c r="E2434" s="212" t="s">
        <v>535</v>
      </c>
      <c r="F2434" s="215">
        <v>1</v>
      </c>
      <c r="G2434" s="194">
        <v>59.975999999999999</v>
      </c>
      <c r="H2434" s="195">
        <v>59.975999999999999</v>
      </c>
      <c r="I2434" s="212" t="s">
        <v>2354</v>
      </c>
    </row>
    <row r="2435" spans="1:9" x14ac:dyDescent="0.25">
      <c r="A2435" s="193" t="s">
        <v>220</v>
      </c>
      <c r="B2435" s="193" t="s">
        <v>2351</v>
      </c>
      <c r="C2435" s="214" t="s">
        <v>2742</v>
      </c>
      <c r="D2435" s="193" t="s">
        <v>2743</v>
      </c>
      <c r="E2435" s="212" t="s">
        <v>545</v>
      </c>
      <c r="F2435" s="215">
        <v>5</v>
      </c>
      <c r="G2435" s="194">
        <v>12.044</v>
      </c>
      <c r="H2435" s="195">
        <v>60.22</v>
      </c>
      <c r="I2435" s="212" t="s">
        <v>2354</v>
      </c>
    </row>
    <row r="2436" spans="1:9" x14ac:dyDescent="0.25">
      <c r="A2436" s="193" t="s">
        <v>220</v>
      </c>
      <c r="B2436" s="193" t="s">
        <v>2351</v>
      </c>
      <c r="C2436" s="214" t="s">
        <v>4257</v>
      </c>
      <c r="D2436" s="193" t="s">
        <v>4258</v>
      </c>
      <c r="E2436" s="212" t="s">
        <v>545</v>
      </c>
      <c r="F2436" s="215">
        <v>1</v>
      </c>
      <c r="G2436" s="194">
        <v>60.252000000000002</v>
      </c>
      <c r="H2436" s="195">
        <v>60.252000000000002</v>
      </c>
      <c r="I2436" s="212" t="s">
        <v>2354</v>
      </c>
    </row>
    <row r="2437" spans="1:9" x14ac:dyDescent="0.25">
      <c r="A2437" s="193" t="s">
        <v>220</v>
      </c>
      <c r="B2437" s="193" t="s">
        <v>5430</v>
      </c>
      <c r="C2437" s="214" t="s">
        <v>3579</v>
      </c>
      <c r="D2437" s="193" t="s">
        <v>3580</v>
      </c>
      <c r="E2437" s="212" t="s">
        <v>545</v>
      </c>
      <c r="F2437" s="215">
        <v>22</v>
      </c>
      <c r="G2437" s="194">
        <v>2.7454999999999998</v>
      </c>
      <c r="H2437" s="195">
        <v>60.400999999999996</v>
      </c>
      <c r="I2437" s="212" t="s">
        <v>2354</v>
      </c>
    </row>
    <row r="2438" spans="1:9" x14ac:dyDescent="0.25">
      <c r="A2438" s="193" t="s">
        <v>220</v>
      </c>
      <c r="B2438" s="193" t="s">
        <v>5430</v>
      </c>
      <c r="C2438" s="214" t="s">
        <v>7031</v>
      </c>
      <c r="D2438" s="193" t="s">
        <v>7032</v>
      </c>
      <c r="E2438" s="212" t="s">
        <v>545</v>
      </c>
      <c r="F2438" s="215">
        <v>3</v>
      </c>
      <c r="G2438" s="194">
        <v>20.16</v>
      </c>
      <c r="H2438" s="195">
        <v>60.480000000000004</v>
      </c>
      <c r="I2438" s="212" t="s">
        <v>2354</v>
      </c>
    </row>
    <row r="2439" spans="1:9" x14ac:dyDescent="0.25">
      <c r="A2439" s="193" t="s">
        <v>220</v>
      </c>
      <c r="B2439" s="193" t="s">
        <v>5430</v>
      </c>
      <c r="C2439" s="214" t="s">
        <v>7033</v>
      </c>
      <c r="D2439" s="193" t="s">
        <v>7034</v>
      </c>
      <c r="E2439" s="212" t="s">
        <v>545</v>
      </c>
      <c r="F2439" s="215">
        <v>3</v>
      </c>
      <c r="G2439" s="194">
        <v>20.16</v>
      </c>
      <c r="H2439" s="195">
        <v>60.480000000000004</v>
      </c>
      <c r="I2439" s="212" t="s">
        <v>2354</v>
      </c>
    </row>
    <row r="2440" spans="1:9" x14ac:dyDescent="0.25">
      <c r="A2440" s="193" t="s">
        <v>220</v>
      </c>
      <c r="B2440" s="193" t="s">
        <v>5430</v>
      </c>
      <c r="C2440" s="214" t="s">
        <v>4608</v>
      </c>
      <c r="D2440" s="193" t="s">
        <v>4609</v>
      </c>
      <c r="E2440" s="212" t="s">
        <v>545</v>
      </c>
      <c r="F2440" s="215">
        <v>20</v>
      </c>
      <c r="G2440" s="194">
        <v>3.024</v>
      </c>
      <c r="H2440" s="195">
        <v>60.480000000000004</v>
      </c>
      <c r="I2440" s="212" t="s">
        <v>2354</v>
      </c>
    </row>
    <row r="2441" spans="1:9" x14ac:dyDescent="0.25">
      <c r="A2441" s="193" t="s">
        <v>220</v>
      </c>
      <c r="B2441" s="193" t="s">
        <v>2351</v>
      </c>
      <c r="C2441" s="214" t="s">
        <v>3301</v>
      </c>
      <c r="D2441" s="193" t="s">
        <v>3302</v>
      </c>
      <c r="E2441" s="212" t="s">
        <v>545</v>
      </c>
      <c r="F2441" s="215">
        <v>3</v>
      </c>
      <c r="G2441" s="194">
        <v>20.162183333333335</v>
      </c>
      <c r="H2441" s="195">
        <v>60.486550000000008</v>
      </c>
      <c r="I2441" s="212" t="s">
        <v>2354</v>
      </c>
    </row>
    <row r="2442" spans="1:9" x14ac:dyDescent="0.25">
      <c r="A2442" s="193" t="s">
        <v>220</v>
      </c>
      <c r="B2442" s="193" t="s">
        <v>2351</v>
      </c>
      <c r="C2442" s="214" t="s">
        <v>4089</v>
      </c>
      <c r="D2442" s="193" t="s">
        <v>4090</v>
      </c>
      <c r="E2442" s="212" t="s">
        <v>545</v>
      </c>
      <c r="F2442" s="215">
        <v>3</v>
      </c>
      <c r="G2442" s="194">
        <v>20.211300000000001</v>
      </c>
      <c r="H2442" s="195">
        <v>60.633900000000004</v>
      </c>
      <c r="I2442" s="212" t="s">
        <v>2354</v>
      </c>
    </row>
    <row r="2443" spans="1:9" x14ac:dyDescent="0.25">
      <c r="A2443" s="193" t="s">
        <v>220</v>
      </c>
      <c r="B2443" s="193" t="s">
        <v>2351</v>
      </c>
      <c r="C2443" s="214" t="s">
        <v>2520</v>
      </c>
      <c r="D2443" s="193" t="s">
        <v>2521</v>
      </c>
      <c r="E2443" s="212" t="s">
        <v>545</v>
      </c>
      <c r="F2443" s="215">
        <v>3</v>
      </c>
      <c r="G2443" s="194">
        <v>20.2761</v>
      </c>
      <c r="H2443" s="195">
        <v>60.828299999999999</v>
      </c>
      <c r="I2443" s="212" t="s">
        <v>2354</v>
      </c>
    </row>
    <row r="2444" spans="1:9" x14ac:dyDescent="0.25">
      <c r="A2444" s="193" t="s">
        <v>220</v>
      </c>
      <c r="B2444" s="193" t="s">
        <v>2351</v>
      </c>
      <c r="C2444" s="214" t="s">
        <v>2900</v>
      </c>
      <c r="D2444" s="193" t="s">
        <v>2901</v>
      </c>
      <c r="E2444" s="212" t="s">
        <v>545</v>
      </c>
      <c r="F2444" s="215">
        <v>6</v>
      </c>
      <c r="G2444" s="194">
        <v>10.143000000000001</v>
      </c>
      <c r="H2444" s="195">
        <v>60.858000000000004</v>
      </c>
      <c r="I2444" s="212" t="s">
        <v>2354</v>
      </c>
    </row>
    <row r="2445" spans="1:9" x14ac:dyDescent="0.25">
      <c r="A2445" s="193" t="s">
        <v>220</v>
      </c>
      <c r="B2445" s="193" t="s">
        <v>5430</v>
      </c>
      <c r="C2445" s="214" t="s">
        <v>5897</v>
      </c>
      <c r="D2445" s="193" t="s">
        <v>5898</v>
      </c>
      <c r="E2445" s="212" t="s">
        <v>545</v>
      </c>
      <c r="F2445" s="215">
        <v>6</v>
      </c>
      <c r="G2445" s="194">
        <v>10.143000000000001</v>
      </c>
      <c r="H2445" s="195">
        <v>60.858000000000004</v>
      </c>
      <c r="I2445" s="212" t="s">
        <v>2354</v>
      </c>
    </row>
    <row r="2446" spans="1:9" x14ac:dyDescent="0.25">
      <c r="A2446" s="193" t="s">
        <v>220</v>
      </c>
      <c r="B2446" s="193" t="s">
        <v>5430</v>
      </c>
      <c r="C2446" s="214" t="s">
        <v>6087</v>
      </c>
      <c r="D2446" s="193" t="s">
        <v>6088</v>
      </c>
      <c r="E2446" s="212" t="s">
        <v>545</v>
      </c>
      <c r="F2446" s="215">
        <v>2</v>
      </c>
      <c r="G2446" s="194">
        <v>30.443999999999999</v>
      </c>
      <c r="H2446" s="195">
        <v>60.887999999999998</v>
      </c>
      <c r="I2446" s="212" t="s">
        <v>2354</v>
      </c>
    </row>
    <row r="2447" spans="1:9" x14ac:dyDescent="0.25">
      <c r="A2447" s="193" t="s">
        <v>220</v>
      </c>
      <c r="B2447" s="193" t="s">
        <v>2351</v>
      </c>
      <c r="C2447" s="214" t="s">
        <v>3623</v>
      </c>
      <c r="D2447" s="193" t="s">
        <v>3624</v>
      </c>
      <c r="E2447" s="212" t="s">
        <v>545</v>
      </c>
      <c r="F2447" s="215">
        <v>15</v>
      </c>
      <c r="G2447" s="194">
        <v>4.08</v>
      </c>
      <c r="H2447" s="195">
        <v>61.2</v>
      </c>
      <c r="I2447" s="212" t="s">
        <v>2354</v>
      </c>
    </row>
    <row r="2448" spans="1:9" x14ac:dyDescent="0.25">
      <c r="A2448" s="193" t="s">
        <v>220</v>
      </c>
      <c r="B2448" s="193" t="s">
        <v>5430</v>
      </c>
      <c r="C2448" s="214" t="s">
        <v>5658</v>
      </c>
      <c r="D2448" s="193" t="s">
        <v>5659</v>
      </c>
      <c r="E2448" s="212" t="s">
        <v>545</v>
      </c>
      <c r="F2448" s="215">
        <v>1</v>
      </c>
      <c r="G2448" s="194">
        <v>61.205999999999996</v>
      </c>
      <c r="H2448" s="195">
        <v>61.205999999999996</v>
      </c>
      <c r="I2448" s="212" t="s">
        <v>2354</v>
      </c>
    </row>
    <row r="2449" spans="1:9" x14ac:dyDescent="0.25">
      <c r="A2449" s="193" t="s">
        <v>220</v>
      </c>
      <c r="B2449" s="193" t="s">
        <v>5430</v>
      </c>
      <c r="C2449" s="214" t="s">
        <v>5939</v>
      </c>
      <c r="D2449" s="193" t="s">
        <v>5940</v>
      </c>
      <c r="E2449" s="212" t="s">
        <v>545</v>
      </c>
      <c r="F2449" s="215">
        <v>3</v>
      </c>
      <c r="G2449" s="194">
        <v>20.411999999999999</v>
      </c>
      <c r="H2449" s="195">
        <v>61.235999999999997</v>
      </c>
      <c r="I2449" s="212" t="s">
        <v>2354</v>
      </c>
    </row>
    <row r="2450" spans="1:9" x14ac:dyDescent="0.25">
      <c r="A2450" s="193" t="s">
        <v>220</v>
      </c>
      <c r="B2450" s="193" t="s">
        <v>2351</v>
      </c>
      <c r="C2450" s="214" t="s">
        <v>4909</v>
      </c>
      <c r="D2450" s="193" t="s">
        <v>4910</v>
      </c>
      <c r="E2450" s="212" t="s">
        <v>545</v>
      </c>
      <c r="F2450" s="215">
        <v>91</v>
      </c>
      <c r="G2450" s="194">
        <v>0.67300000000000004</v>
      </c>
      <c r="H2450" s="195">
        <v>61.243000000000002</v>
      </c>
      <c r="I2450" s="212" t="s">
        <v>2354</v>
      </c>
    </row>
    <row r="2451" spans="1:9" x14ac:dyDescent="0.25">
      <c r="A2451" s="193" t="s">
        <v>220</v>
      </c>
      <c r="B2451" s="193" t="s">
        <v>2351</v>
      </c>
      <c r="C2451" s="214" t="s">
        <v>5146</v>
      </c>
      <c r="D2451" s="193" t="s">
        <v>5147</v>
      </c>
      <c r="E2451" s="212" t="s">
        <v>545</v>
      </c>
      <c r="F2451" s="215">
        <v>59</v>
      </c>
      <c r="G2451" s="194">
        <v>1.0395066666666666</v>
      </c>
      <c r="H2451" s="195">
        <v>61.330893333333329</v>
      </c>
      <c r="I2451" s="212" t="s">
        <v>2354</v>
      </c>
    </row>
    <row r="2452" spans="1:9" x14ac:dyDescent="0.25">
      <c r="A2452" s="193" t="s">
        <v>220</v>
      </c>
      <c r="B2452" s="193" t="s">
        <v>2351</v>
      </c>
      <c r="C2452" s="214" t="s">
        <v>4750</v>
      </c>
      <c r="D2452" s="193" t="s">
        <v>4751</v>
      </c>
      <c r="E2452" s="212" t="s">
        <v>545</v>
      </c>
      <c r="F2452" s="215">
        <v>8</v>
      </c>
      <c r="G2452" s="194">
        <v>7.6760000000000002</v>
      </c>
      <c r="H2452" s="195">
        <v>61.408000000000001</v>
      </c>
      <c r="I2452" s="212" t="s">
        <v>2354</v>
      </c>
    </row>
    <row r="2453" spans="1:9" x14ac:dyDescent="0.25">
      <c r="A2453" s="193" t="s">
        <v>220</v>
      </c>
      <c r="B2453" s="193" t="s">
        <v>5430</v>
      </c>
      <c r="C2453" s="214" t="s">
        <v>6241</v>
      </c>
      <c r="D2453" s="193" t="s">
        <v>6242</v>
      </c>
      <c r="E2453" s="212" t="s">
        <v>545</v>
      </c>
      <c r="F2453" s="215">
        <v>12</v>
      </c>
      <c r="G2453" s="194">
        <v>5.1722380952380949</v>
      </c>
      <c r="H2453" s="195">
        <v>62.066857142857138</v>
      </c>
      <c r="I2453" s="212" t="s">
        <v>2354</v>
      </c>
    </row>
    <row r="2454" spans="1:9" x14ac:dyDescent="0.25">
      <c r="A2454" s="193" t="s">
        <v>220</v>
      </c>
      <c r="B2454" s="193" t="s">
        <v>5430</v>
      </c>
      <c r="C2454" s="214" t="s">
        <v>6494</v>
      </c>
      <c r="D2454" s="193" t="s">
        <v>3586</v>
      </c>
      <c r="E2454" s="212" t="s">
        <v>545</v>
      </c>
      <c r="F2454" s="215">
        <v>22</v>
      </c>
      <c r="G2454" s="194">
        <v>2.8220000000000001</v>
      </c>
      <c r="H2454" s="195">
        <v>62.084000000000003</v>
      </c>
      <c r="I2454" s="212" t="s">
        <v>2354</v>
      </c>
    </row>
    <row r="2455" spans="1:9" x14ac:dyDescent="0.25">
      <c r="A2455" s="193" t="s">
        <v>220</v>
      </c>
      <c r="B2455" s="193" t="s">
        <v>2351</v>
      </c>
      <c r="C2455" s="214" t="s">
        <v>3445</v>
      </c>
      <c r="D2455" s="193" t="s">
        <v>3446</v>
      </c>
      <c r="E2455" s="212" t="s">
        <v>545</v>
      </c>
      <c r="F2455" s="215">
        <v>1</v>
      </c>
      <c r="G2455" s="194">
        <v>62.092799999999997</v>
      </c>
      <c r="H2455" s="195">
        <v>62.092799999999997</v>
      </c>
      <c r="I2455" s="212" t="s">
        <v>2354</v>
      </c>
    </row>
    <row r="2456" spans="1:9" x14ac:dyDescent="0.25">
      <c r="A2456" s="193" t="s">
        <v>220</v>
      </c>
      <c r="B2456" s="193" t="s">
        <v>2351</v>
      </c>
      <c r="C2456" s="214" t="s">
        <v>2806</v>
      </c>
      <c r="D2456" s="193" t="s">
        <v>2807</v>
      </c>
      <c r="E2456" s="212" t="s">
        <v>545</v>
      </c>
      <c r="F2456" s="215">
        <v>6</v>
      </c>
      <c r="G2456" s="194">
        <v>10.35</v>
      </c>
      <c r="H2456" s="195">
        <v>62.099999999999994</v>
      </c>
      <c r="I2456" s="212" t="s">
        <v>2354</v>
      </c>
    </row>
    <row r="2457" spans="1:9" x14ac:dyDescent="0.25">
      <c r="A2457" s="193" t="s">
        <v>220</v>
      </c>
      <c r="B2457" s="193" t="s">
        <v>2351</v>
      </c>
      <c r="C2457" s="214" t="s">
        <v>3707</v>
      </c>
      <c r="D2457" s="193" t="s">
        <v>3708</v>
      </c>
      <c r="E2457" s="212" t="s">
        <v>545</v>
      </c>
      <c r="F2457" s="215">
        <v>4</v>
      </c>
      <c r="G2457" s="194">
        <v>15.5799</v>
      </c>
      <c r="H2457" s="195">
        <v>62.319600000000001</v>
      </c>
      <c r="I2457" s="212" t="s">
        <v>2354</v>
      </c>
    </row>
    <row r="2458" spans="1:9" x14ac:dyDescent="0.25">
      <c r="A2458" s="193" t="s">
        <v>220</v>
      </c>
      <c r="B2458" s="193" t="s">
        <v>5430</v>
      </c>
      <c r="C2458" s="214" t="s">
        <v>3207</v>
      </c>
      <c r="D2458" s="193" t="s">
        <v>3208</v>
      </c>
      <c r="E2458" s="212" t="s">
        <v>545</v>
      </c>
      <c r="F2458" s="215">
        <v>32</v>
      </c>
      <c r="G2458" s="194">
        <v>1.9525128964059197</v>
      </c>
      <c r="H2458" s="195">
        <v>62.480412684989432</v>
      </c>
      <c r="I2458" s="212" t="s">
        <v>2354</v>
      </c>
    </row>
    <row r="2459" spans="1:9" x14ac:dyDescent="0.25">
      <c r="A2459" s="193" t="s">
        <v>220</v>
      </c>
      <c r="B2459" s="193" t="s">
        <v>5430</v>
      </c>
      <c r="C2459" s="214" t="s">
        <v>4093</v>
      </c>
      <c r="D2459" s="193" t="s">
        <v>4094</v>
      </c>
      <c r="E2459" s="212" t="s">
        <v>545</v>
      </c>
      <c r="F2459" s="215">
        <v>3</v>
      </c>
      <c r="G2459" s="194">
        <v>20.862400000000001</v>
      </c>
      <c r="H2459" s="195">
        <v>62.587200000000003</v>
      </c>
      <c r="I2459" s="212" t="s">
        <v>2354</v>
      </c>
    </row>
    <row r="2460" spans="1:9" x14ac:dyDescent="0.25">
      <c r="A2460" s="193" t="s">
        <v>220</v>
      </c>
      <c r="B2460" s="193" t="s">
        <v>2351</v>
      </c>
      <c r="C2460" s="214" t="s">
        <v>4869</v>
      </c>
      <c r="D2460" s="193" t="s">
        <v>4870</v>
      </c>
      <c r="E2460" s="212" t="s">
        <v>545</v>
      </c>
      <c r="F2460" s="215">
        <v>75</v>
      </c>
      <c r="G2460" s="194">
        <v>0.83717239130434784</v>
      </c>
      <c r="H2460" s="195">
        <v>62.787929347826086</v>
      </c>
      <c r="I2460" s="212" t="s">
        <v>2354</v>
      </c>
    </row>
    <row r="2461" spans="1:9" x14ac:dyDescent="0.25">
      <c r="A2461" s="193" t="s">
        <v>220</v>
      </c>
      <c r="B2461" s="193" t="s">
        <v>2351</v>
      </c>
      <c r="C2461" s="214" t="s">
        <v>2966</v>
      </c>
      <c r="D2461" s="193" t="s">
        <v>2967</v>
      </c>
      <c r="E2461" s="212" t="s">
        <v>545</v>
      </c>
      <c r="F2461" s="215">
        <v>3</v>
      </c>
      <c r="G2461" s="194">
        <v>20.930399999999999</v>
      </c>
      <c r="H2461" s="195">
        <v>62.791199999999996</v>
      </c>
      <c r="I2461" s="212" t="s">
        <v>2354</v>
      </c>
    </row>
    <row r="2462" spans="1:9" x14ac:dyDescent="0.25">
      <c r="A2462" s="193" t="s">
        <v>220</v>
      </c>
      <c r="B2462" s="193" t="s">
        <v>2351</v>
      </c>
      <c r="C2462" s="214" t="s">
        <v>3651</v>
      </c>
      <c r="D2462" s="193" t="s">
        <v>3652</v>
      </c>
      <c r="E2462" s="212" t="s">
        <v>545</v>
      </c>
      <c r="F2462" s="215">
        <v>34</v>
      </c>
      <c r="G2462" s="194">
        <v>1.848857142857143</v>
      </c>
      <c r="H2462" s="195">
        <v>62.861142857142859</v>
      </c>
      <c r="I2462" s="212" t="s">
        <v>2354</v>
      </c>
    </row>
    <row r="2463" spans="1:9" x14ac:dyDescent="0.25">
      <c r="A2463" s="193" t="s">
        <v>220</v>
      </c>
      <c r="B2463" s="193" t="s">
        <v>2351</v>
      </c>
      <c r="C2463" s="214" t="s">
        <v>4029</v>
      </c>
      <c r="D2463" s="193" t="s">
        <v>4030</v>
      </c>
      <c r="E2463" s="212" t="s">
        <v>545</v>
      </c>
      <c r="F2463" s="215">
        <v>3</v>
      </c>
      <c r="G2463" s="194">
        <v>20.962800000000001</v>
      </c>
      <c r="H2463" s="195">
        <v>62.888400000000004</v>
      </c>
      <c r="I2463" s="212" t="s">
        <v>2354</v>
      </c>
    </row>
    <row r="2464" spans="1:9" x14ac:dyDescent="0.25">
      <c r="A2464" s="193" t="s">
        <v>220</v>
      </c>
      <c r="B2464" s="193" t="s">
        <v>5430</v>
      </c>
      <c r="C2464" s="214" t="s">
        <v>3733</v>
      </c>
      <c r="D2464" s="193" t="s">
        <v>3734</v>
      </c>
      <c r="E2464" s="212" t="s">
        <v>545</v>
      </c>
      <c r="F2464" s="215">
        <v>12</v>
      </c>
      <c r="G2464" s="194">
        <v>5.2429499999999996</v>
      </c>
      <c r="H2464" s="195">
        <v>62.915399999999991</v>
      </c>
      <c r="I2464" s="212" t="s">
        <v>2354</v>
      </c>
    </row>
    <row r="2465" spans="1:9" x14ac:dyDescent="0.25">
      <c r="A2465" s="193" t="s">
        <v>220</v>
      </c>
      <c r="B2465" s="193" t="s">
        <v>5430</v>
      </c>
      <c r="C2465" s="214" t="s">
        <v>5935</v>
      </c>
      <c r="D2465" s="193" t="s">
        <v>5936</v>
      </c>
      <c r="E2465" s="212" t="s">
        <v>545</v>
      </c>
      <c r="F2465" s="215">
        <v>8</v>
      </c>
      <c r="G2465" s="194">
        <v>7.8840000000000003</v>
      </c>
      <c r="H2465" s="195">
        <v>63.072000000000003</v>
      </c>
      <c r="I2465" s="212" t="s">
        <v>2354</v>
      </c>
    </row>
    <row r="2466" spans="1:9" x14ac:dyDescent="0.25">
      <c r="A2466" s="193" t="s">
        <v>220</v>
      </c>
      <c r="B2466" s="193" t="s">
        <v>2351</v>
      </c>
      <c r="C2466" s="214" t="s">
        <v>3551</v>
      </c>
      <c r="D2466" s="193" t="s">
        <v>3552</v>
      </c>
      <c r="E2466" s="212" t="s">
        <v>545</v>
      </c>
      <c r="F2466" s="215">
        <v>19</v>
      </c>
      <c r="G2466" s="194">
        <v>3.3299999999999996</v>
      </c>
      <c r="H2466" s="195">
        <v>63.269999999999996</v>
      </c>
      <c r="I2466" s="212" t="s">
        <v>2354</v>
      </c>
    </row>
    <row r="2467" spans="1:9" x14ac:dyDescent="0.25">
      <c r="A2467" s="193" t="s">
        <v>220</v>
      </c>
      <c r="B2467" s="193" t="s">
        <v>5430</v>
      </c>
      <c r="C2467" s="214" t="s">
        <v>5584</v>
      </c>
      <c r="D2467" s="193" t="s">
        <v>5585</v>
      </c>
      <c r="E2467" s="212" t="s">
        <v>545</v>
      </c>
      <c r="F2467" s="215">
        <v>1</v>
      </c>
      <c r="G2467" s="194">
        <v>63.435839999999999</v>
      </c>
      <c r="H2467" s="195">
        <v>63.435839999999999</v>
      </c>
      <c r="I2467" s="212" t="s">
        <v>2354</v>
      </c>
    </row>
    <row r="2468" spans="1:9" x14ac:dyDescent="0.25">
      <c r="A2468" s="193" t="s">
        <v>220</v>
      </c>
      <c r="B2468" s="193" t="s">
        <v>2351</v>
      </c>
      <c r="C2468" s="214" t="s">
        <v>2840</v>
      </c>
      <c r="D2468" s="193" t="s">
        <v>2841</v>
      </c>
      <c r="E2468" s="212" t="s">
        <v>545</v>
      </c>
      <c r="F2468" s="215">
        <v>1</v>
      </c>
      <c r="G2468" s="194">
        <v>63.444000000000003</v>
      </c>
      <c r="H2468" s="195">
        <v>63.444000000000003</v>
      </c>
      <c r="I2468" s="212" t="s">
        <v>2354</v>
      </c>
    </row>
    <row r="2469" spans="1:9" x14ac:dyDescent="0.25">
      <c r="A2469" s="193" t="s">
        <v>220</v>
      </c>
      <c r="B2469" s="193" t="s">
        <v>2351</v>
      </c>
      <c r="C2469" s="214" t="s">
        <v>3385</v>
      </c>
      <c r="D2469" s="193" t="s">
        <v>3386</v>
      </c>
      <c r="E2469" s="212" t="s">
        <v>545</v>
      </c>
      <c r="F2469" s="215">
        <v>10</v>
      </c>
      <c r="G2469" s="194">
        <v>6.3577166666666658</v>
      </c>
      <c r="H2469" s="195">
        <v>63.577166666666656</v>
      </c>
      <c r="I2469" s="212" t="s">
        <v>2354</v>
      </c>
    </row>
    <row r="2470" spans="1:9" x14ac:dyDescent="0.25">
      <c r="A2470" s="193" t="s">
        <v>220</v>
      </c>
      <c r="B2470" s="193" t="s">
        <v>5430</v>
      </c>
      <c r="C2470" s="214" t="s">
        <v>4929</v>
      </c>
      <c r="D2470" s="193" t="s">
        <v>4930</v>
      </c>
      <c r="E2470" s="212" t="s">
        <v>545</v>
      </c>
      <c r="F2470" s="215">
        <v>210</v>
      </c>
      <c r="G2470" s="194">
        <v>0.30299999999999999</v>
      </c>
      <c r="H2470" s="195">
        <v>63.629999999999995</v>
      </c>
      <c r="I2470" s="212" t="s">
        <v>2354</v>
      </c>
    </row>
    <row r="2471" spans="1:9" x14ac:dyDescent="0.25">
      <c r="A2471" s="193" t="s">
        <v>220</v>
      </c>
      <c r="B2471" s="193" t="s">
        <v>5430</v>
      </c>
      <c r="C2471" s="214" t="s">
        <v>6741</v>
      </c>
      <c r="D2471" s="193" t="s">
        <v>6742</v>
      </c>
      <c r="E2471" s="212" t="s">
        <v>2387</v>
      </c>
      <c r="F2471" s="215">
        <v>10</v>
      </c>
      <c r="G2471" s="194">
        <v>6.3679800000000002</v>
      </c>
      <c r="H2471" s="195">
        <v>63.6798</v>
      </c>
      <c r="I2471" s="212" t="s">
        <v>2354</v>
      </c>
    </row>
    <row r="2472" spans="1:9" x14ac:dyDescent="0.25">
      <c r="A2472" s="193" t="s">
        <v>220</v>
      </c>
      <c r="B2472" s="193" t="s">
        <v>2351</v>
      </c>
      <c r="C2472" s="214" t="s">
        <v>2718</v>
      </c>
      <c r="D2472" s="193" t="s">
        <v>2719</v>
      </c>
      <c r="E2472" s="212" t="s">
        <v>7558</v>
      </c>
      <c r="F2472" s="215">
        <v>3</v>
      </c>
      <c r="G2472" s="194">
        <v>21.285</v>
      </c>
      <c r="H2472" s="195">
        <v>63.855000000000004</v>
      </c>
      <c r="I2472" s="212" t="s">
        <v>2354</v>
      </c>
    </row>
    <row r="2473" spans="1:9" x14ac:dyDescent="0.25">
      <c r="A2473" s="193" t="s">
        <v>220</v>
      </c>
      <c r="B2473" s="193" t="s">
        <v>2351</v>
      </c>
      <c r="C2473" s="214" t="s">
        <v>3022</v>
      </c>
      <c r="D2473" s="193" t="s">
        <v>3023</v>
      </c>
      <c r="E2473" s="212" t="s">
        <v>545</v>
      </c>
      <c r="F2473" s="215">
        <v>4</v>
      </c>
      <c r="G2473" s="194">
        <v>16.02</v>
      </c>
      <c r="H2473" s="195">
        <v>64.08</v>
      </c>
      <c r="I2473" s="212" t="s">
        <v>2354</v>
      </c>
    </row>
    <row r="2474" spans="1:9" x14ac:dyDescent="0.25">
      <c r="A2474" s="193" t="s">
        <v>220</v>
      </c>
      <c r="B2474" s="193" t="s">
        <v>2351</v>
      </c>
      <c r="C2474" s="214" t="s">
        <v>3147</v>
      </c>
      <c r="D2474" s="193" t="s">
        <v>3148</v>
      </c>
      <c r="E2474" s="212" t="s">
        <v>545</v>
      </c>
      <c r="F2474" s="215">
        <v>24</v>
      </c>
      <c r="G2474" s="194">
        <v>2.6747999999999998</v>
      </c>
      <c r="H2474" s="195">
        <v>64.1952</v>
      </c>
      <c r="I2474" s="212" t="s">
        <v>2354</v>
      </c>
    </row>
    <row r="2475" spans="1:9" x14ac:dyDescent="0.25">
      <c r="A2475" s="193" t="s">
        <v>220</v>
      </c>
      <c r="B2475" s="193" t="s">
        <v>2351</v>
      </c>
      <c r="C2475" s="214" t="s">
        <v>4490</v>
      </c>
      <c r="D2475" s="193" t="s">
        <v>4491</v>
      </c>
      <c r="E2475" s="212" t="s">
        <v>545</v>
      </c>
      <c r="F2475" s="215">
        <v>85</v>
      </c>
      <c r="G2475" s="194">
        <v>0.75768000000000002</v>
      </c>
      <c r="H2475" s="195">
        <v>64.402799999999999</v>
      </c>
      <c r="I2475" s="212" t="s">
        <v>2354</v>
      </c>
    </row>
    <row r="2476" spans="1:9" x14ac:dyDescent="0.25">
      <c r="A2476" s="193" t="s">
        <v>220</v>
      </c>
      <c r="B2476" s="193" t="s">
        <v>2351</v>
      </c>
      <c r="C2476" s="214" t="s">
        <v>4937</v>
      </c>
      <c r="D2476" s="193" t="s">
        <v>4938</v>
      </c>
      <c r="E2476" s="212" t="s">
        <v>545</v>
      </c>
      <c r="F2476" s="215">
        <v>421</v>
      </c>
      <c r="G2476" s="194">
        <v>0.15327726708074535</v>
      </c>
      <c r="H2476" s="195">
        <v>64.52972944099379</v>
      </c>
      <c r="I2476" s="212" t="s">
        <v>2354</v>
      </c>
    </row>
    <row r="2477" spans="1:9" x14ac:dyDescent="0.25">
      <c r="A2477" s="193" t="s">
        <v>220</v>
      </c>
      <c r="B2477" s="193" t="s">
        <v>2351</v>
      </c>
      <c r="C2477" s="214" t="s">
        <v>2842</v>
      </c>
      <c r="D2477" s="193" t="s">
        <v>2843</v>
      </c>
      <c r="E2477" s="212" t="s">
        <v>545</v>
      </c>
      <c r="F2477" s="215">
        <v>3</v>
      </c>
      <c r="G2477" s="194">
        <v>21.59</v>
      </c>
      <c r="H2477" s="195">
        <v>64.77</v>
      </c>
      <c r="I2477" s="212" t="s">
        <v>2354</v>
      </c>
    </row>
    <row r="2478" spans="1:9" x14ac:dyDescent="0.25">
      <c r="A2478" s="193" t="s">
        <v>220</v>
      </c>
      <c r="B2478" s="193" t="s">
        <v>5430</v>
      </c>
      <c r="C2478" s="214" t="s">
        <v>5794</v>
      </c>
      <c r="D2478" s="193" t="s">
        <v>2843</v>
      </c>
      <c r="E2478" s="212" t="s">
        <v>545</v>
      </c>
      <c r="F2478" s="215">
        <v>3</v>
      </c>
      <c r="G2478" s="194">
        <v>21.59</v>
      </c>
      <c r="H2478" s="195">
        <v>64.77</v>
      </c>
      <c r="I2478" s="212" t="s">
        <v>2354</v>
      </c>
    </row>
    <row r="2479" spans="1:9" x14ac:dyDescent="0.25">
      <c r="A2479" s="193" t="s">
        <v>220</v>
      </c>
      <c r="B2479" s="193" t="s">
        <v>5430</v>
      </c>
      <c r="C2479" s="214" t="s">
        <v>5400</v>
      </c>
      <c r="D2479" s="193" t="s">
        <v>5401</v>
      </c>
      <c r="E2479" s="212" t="s">
        <v>545</v>
      </c>
      <c r="F2479" s="215">
        <v>8</v>
      </c>
      <c r="G2479" s="194">
        <v>8.0970707070707064</v>
      </c>
      <c r="H2479" s="195">
        <v>64.776565656565651</v>
      </c>
      <c r="I2479" s="212" t="s">
        <v>2354</v>
      </c>
    </row>
    <row r="2480" spans="1:9" x14ac:dyDescent="0.25">
      <c r="A2480" s="193" t="s">
        <v>220</v>
      </c>
      <c r="B2480" s="193" t="s">
        <v>2351</v>
      </c>
      <c r="C2480" s="214" t="s">
        <v>2876</v>
      </c>
      <c r="D2480" s="193" t="s">
        <v>2877</v>
      </c>
      <c r="E2480" s="212" t="s">
        <v>545</v>
      </c>
      <c r="F2480" s="215">
        <v>2</v>
      </c>
      <c r="G2480" s="194">
        <v>32.4</v>
      </c>
      <c r="H2480" s="195">
        <v>64.8</v>
      </c>
      <c r="I2480" s="212" t="s">
        <v>2354</v>
      </c>
    </row>
    <row r="2481" spans="1:9" x14ac:dyDescent="0.25">
      <c r="A2481" s="193" t="s">
        <v>220</v>
      </c>
      <c r="B2481" s="193" t="s">
        <v>5430</v>
      </c>
      <c r="C2481" s="214" t="s">
        <v>3014</v>
      </c>
      <c r="D2481" s="193" t="s">
        <v>3015</v>
      </c>
      <c r="E2481" s="212" t="s">
        <v>545</v>
      </c>
      <c r="F2481" s="215">
        <v>8</v>
      </c>
      <c r="G2481" s="194">
        <v>8.1</v>
      </c>
      <c r="H2481" s="195">
        <v>64.8</v>
      </c>
      <c r="I2481" s="212" t="s">
        <v>2354</v>
      </c>
    </row>
    <row r="2482" spans="1:9" x14ac:dyDescent="0.25">
      <c r="A2482" s="193" t="s">
        <v>220</v>
      </c>
      <c r="B2482" s="193" t="s">
        <v>5430</v>
      </c>
      <c r="C2482" s="214" t="s">
        <v>7288</v>
      </c>
      <c r="D2482" s="193" t="s">
        <v>7289</v>
      </c>
      <c r="E2482" s="212" t="s">
        <v>2387</v>
      </c>
      <c r="F2482" s="215">
        <v>1</v>
      </c>
      <c r="G2482" s="194">
        <v>64.998999999999995</v>
      </c>
      <c r="H2482" s="195">
        <v>64.998999999999995</v>
      </c>
      <c r="I2482" s="212" t="s">
        <v>2354</v>
      </c>
    </row>
    <row r="2483" spans="1:9" x14ac:dyDescent="0.25">
      <c r="A2483" s="193" t="s">
        <v>220</v>
      </c>
      <c r="B2483" s="193" t="s">
        <v>5430</v>
      </c>
      <c r="C2483" s="214" t="s">
        <v>6182</v>
      </c>
      <c r="D2483" s="193" t="s">
        <v>6183</v>
      </c>
      <c r="E2483" s="212" t="s">
        <v>545</v>
      </c>
      <c r="F2483" s="215">
        <v>3</v>
      </c>
      <c r="G2483" s="194">
        <v>21.666599999999999</v>
      </c>
      <c r="H2483" s="195">
        <v>64.999799999999993</v>
      </c>
      <c r="I2483" s="212" t="s">
        <v>2354</v>
      </c>
    </row>
    <row r="2484" spans="1:9" x14ac:dyDescent="0.25">
      <c r="A2484" s="193" t="s">
        <v>220</v>
      </c>
      <c r="B2484" s="193" t="s">
        <v>5430</v>
      </c>
      <c r="C2484" s="214" t="s">
        <v>6093</v>
      </c>
      <c r="D2484" s="193" t="s">
        <v>6094</v>
      </c>
      <c r="E2484" s="212" t="s">
        <v>545</v>
      </c>
      <c r="F2484" s="215">
        <v>3</v>
      </c>
      <c r="G2484" s="194">
        <v>21.696000000000002</v>
      </c>
      <c r="H2484" s="195">
        <v>65.088000000000008</v>
      </c>
      <c r="I2484" s="212" t="s">
        <v>2354</v>
      </c>
    </row>
    <row r="2485" spans="1:9" x14ac:dyDescent="0.25">
      <c r="A2485" s="193" t="s">
        <v>220</v>
      </c>
      <c r="B2485" s="193" t="s">
        <v>2351</v>
      </c>
      <c r="C2485" s="214" t="s">
        <v>3056</v>
      </c>
      <c r="D2485" s="193" t="s">
        <v>7559</v>
      </c>
      <c r="E2485" s="212" t="s">
        <v>545</v>
      </c>
      <c r="F2485" s="215">
        <v>2</v>
      </c>
      <c r="G2485" s="194">
        <v>32.58</v>
      </c>
      <c r="H2485" s="195">
        <v>65.16</v>
      </c>
      <c r="I2485" s="212" t="s">
        <v>2354</v>
      </c>
    </row>
    <row r="2486" spans="1:9" x14ac:dyDescent="0.25">
      <c r="A2486" s="193" t="s">
        <v>220</v>
      </c>
      <c r="B2486" s="193" t="s">
        <v>2351</v>
      </c>
      <c r="C2486" s="214" t="s">
        <v>4502</v>
      </c>
      <c r="D2486" s="193" t="s">
        <v>4503</v>
      </c>
      <c r="E2486" s="212" t="s">
        <v>545</v>
      </c>
      <c r="F2486" s="215">
        <v>4</v>
      </c>
      <c r="G2486" s="194">
        <v>16.380179999999999</v>
      </c>
      <c r="H2486" s="195">
        <v>65.520719999999997</v>
      </c>
      <c r="I2486" s="212" t="s">
        <v>2354</v>
      </c>
    </row>
    <row r="2487" spans="1:9" x14ac:dyDescent="0.25">
      <c r="A2487" s="193" t="s">
        <v>220</v>
      </c>
      <c r="B2487" s="193" t="s">
        <v>2351</v>
      </c>
      <c r="C2487" s="214" t="s">
        <v>3769</v>
      </c>
      <c r="D2487" s="193" t="s">
        <v>3770</v>
      </c>
      <c r="E2487" s="212" t="s">
        <v>545</v>
      </c>
      <c r="F2487" s="215">
        <v>4</v>
      </c>
      <c r="G2487" s="194">
        <v>16.4358</v>
      </c>
      <c r="H2487" s="195">
        <v>65.743200000000002</v>
      </c>
      <c r="I2487" s="212" t="s">
        <v>2354</v>
      </c>
    </row>
    <row r="2488" spans="1:9" x14ac:dyDescent="0.25">
      <c r="A2488" s="193" t="s">
        <v>220</v>
      </c>
      <c r="B2488" s="193" t="s">
        <v>5430</v>
      </c>
      <c r="C2488" s="214" t="s">
        <v>5530</v>
      </c>
      <c r="D2488" s="193" t="s">
        <v>5531</v>
      </c>
      <c r="E2488" s="212" t="s">
        <v>545</v>
      </c>
      <c r="F2488" s="215">
        <v>1</v>
      </c>
      <c r="G2488" s="194">
        <v>66.018649999999994</v>
      </c>
      <c r="H2488" s="195">
        <v>66.018649999999994</v>
      </c>
      <c r="I2488" s="212" t="s">
        <v>2354</v>
      </c>
    </row>
    <row r="2489" spans="1:9" x14ac:dyDescent="0.25">
      <c r="A2489" s="193" t="s">
        <v>220</v>
      </c>
      <c r="B2489" s="193" t="s">
        <v>5430</v>
      </c>
      <c r="C2489" s="214" t="s">
        <v>6702</v>
      </c>
      <c r="D2489" s="193" t="s">
        <v>6703</v>
      </c>
      <c r="E2489" s="212" t="s">
        <v>545</v>
      </c>
      <c r="F2489" s="215">
        <v>2</v>
      </c>
      <c r="G2489" s="194">
        <v>33.039499999999997</v>
      </c>
      <c r="H2489" s="195">
        <v>66.078999999999994</v>
      </c>
      <c r="I2489" s="212" t="s">
        <v>2354</v>
      </c>
    </row>
    <row r="2490" spans="1:9" x14ac:dyDescent="0.25">
      <c r="A2490" s="193" t="s">
        <v>220</v>
      </c>
      <c r="B2490" s="193" t="s">
        <v>5430</v>
      </c>
      <c r="C2490" s="214" t="s">
        <v>5763</v>
      </c>
      <c r="D2490" s="193" t="s">
        <v>5764</v>
      </c>
      <c r="E2490" s="212" t="s">
        <v>545</v>
      </c>
      <c r="F2490" s="215">
        <v>3</v>
      </c>
      <c r="G2490" s="194">
        <v>22.105</v>
      </c>
      <c r="H2490" s="195">
        <v>66.314999999999998</v>
      </c>
      <c r="I2490" s="212" t="s">
        <v>2354</v>
      </c>
    </row>
    <row r="2491" spans="1:9" x14ac:dyDescent="0.25">
      <c r="A2491" s="193" t="s">
        <v>220</v>
      </c>
      <c r="B2491" s="193" t="s">
        <v>2351</v>
      </c>
      <c r="C2491" s="214" t="s">
        <v>3052</v>
      </c>
      <c r="D2491" s="193" t="s">
        <v>3053</v>
      </c>
      <c r="E2491" s="212" t="s">
        <v>545</v>
      </c>
      <c r="F2491" s="215">
        <v>8</v>
      </c>
      <c r="G2491" s="194">
        <v>8.2926000000000002</v>
      </c>
      <c r="H2491" s="195">
        <v>66.340800000000002</v>
      </c>
      <c r="I2491" s="212" t="s">
        <v>2354</v>
      </c>
    </row>
    <row r="2492" spans="1:9" x14ac:dyDescent="0.25">
      <c r="A2492" s="193" t="s">
        <v>220</v>
      </c>
      <c r="B2492" s="193" t="s">
        <v>5430</v>
      </c>
      <c r="C2492" s="214" t="s">
        <v>6040</v>
      </c>
      <c r="D2492" s="193" t="s">
        <v>6041</v>
      </c>
      <c r="E2492" s="212" t="s">
        <v>545</v>
      </c>
      <c r="F2492" s="215">
        <v>1</v>
      </c>
      <c r="G2492" s="194">
        <v>66.6126</v>
      </c>
      <c r="H2492" s="195">
        <v>66.6126</v>
      </c>
      <c r="I2492" s="212" t="s">
        <v>2354</v>
      </c>
    </row>
    <row r="2493" spans="1:9" x14ac:dyDescent="0.25">
      <c r="A2493" s="193" t="s">
        <v>220</v>
      </c>
      <c r="B2493" s="193" t="s">
        <v>2351</v>
      </c>
      <c r="C2493" s="214" t="s">
        <v>4905</v>
      </c>
      <c r="D2493" s="193" t="s">
        <v>4906</v>
      </c>
      <c r="E2493" s="212" t="s">
        <v>545</v>
      </c>
      <c r="F2493" s="215">
        <v>150</v>
      </c>
      <c r="G2493" s="194">
        <v>0.44500000000000001</v>
      </c>
      <c r="H2493" s="195">
        <v>66.75</v>
      </c>
      <c r="I2493" s="212" t="s">
        <v>2354</v>
      </c>
    </row>
    <row r="2494" spans="1:9" x14ac:dyDescent="0.25">
      <c r="A2494" s="193" t="s">
        <v>220</v>
      </c>
      <c r="B2494" s="193" t="s">
        <v>5430</v>
      </c>
      <c r="C2494" s="214" t="s">
        <v>6429</v>
      </c>
      <c r="D2494" s="193" t="s">
        <v>6430</v>
      </c>
      <c r="E2494" s="212" t="s">
        <v>545</v>
      </c>
      <c r="F2494" s="215">
        <v>2</v>
      </c>
      <c r="G2494" s="194">
        <v>33.542099999999998</v>
      </c>
      <c r="H2494" s="195">
        <v>67.084199999999996</v>
      </c>
      <c r="I2494" s="212" t="s">
        <v>2354</v>
      </c>
    </row>
    <row r="2495" spans="1:9" x14ac:dyDescent="0.25">
      <c r="A2495" s="193" t="s">
        <v>220</v>
      </c>
      <c r="B2495" s="193" t="s">
        <v>5430</v>
      </c>
      <c r="C2495" s="214" t="s">
        <v>5891</v>
      </c>
      <c r="D2495" s="193" t="s">
        <v>5892</v>
      </c>
      <c r="E2495" s="212" t="s">
        <v>545</v>
      </c>
      <c r="F2495" s="215">
        <v>5</v>
      </c>
      <c r="G2495" s="194">
        <v>13.4262</v>
      </c>
      <c r="H2495" s="195">
        <v>67.131</v>
      </c>
      <c r="I2495" s="212" t="s">
        <v>2354</v>
      </c>
    </row>
    <row r="2496" spans="1:9" x14ac:dyDescent="0.25">
      <c r="A2496" s="193" t="s">
        <v>220</v>
      </c>
      <c r="B2496" s="193" t="s">
        <v>5430</v>
      </c>
      <c r="C2496" s="214" t="s">
        <v>6065</v>
      </c>
      <c r="D2496" s="193" t="s">
        <v>6066</v>
      </c>
      <c r="E2496" s="212" t="s">
        <v>545</v>
      </c>
      <c r="F2496" s="215">
        <v>2</v>
      </c>
      <c r="G2496" s="194">
        <v>33.57</v>
      </c>
      <c r="H2496" s="195">
        <v>67.14</v>
      </c>
      <c r="I2496" s="212" t="s">
        <v>2354</v>
      </c>
    </row>
    <row r="2497" spans="1:9" x14ac:dyDescent="0.25">
      <c r="A2497" s="193" t="s">
        <v>220</v>
      </c>
      <c r="B2497" s="193" t="s">
        <v>2351</v>
      </c>
      <c r="C2497" s="214" t="s">
        <v>4604</v>
      </c>
      <c r="D2497" s="193" t="s">
        <v>4605</v>
      </c>
      <c r="E2497" s="212" t="s">
        <v>545</v>
      </c>
      <c r="F2497" s="215">
        <v>32</v>
      </c>
      <c r="G2497" s="194">
        <v>2.1</v>
      </c>
      <c r="H2497" s="195">
        <v>67.2</v>
      </c>
      <c r="I2497" s="212" t="s">
        <v>2354</v>
      </c>
    </row>
    <row r="2498" spans="1:9" x14ac:dyDescent="0.25">
      <c r="A2498" s="193" t="s">
        <v>220</v>
      </c>
      <c r="B2498" s="193" t="s">
        <v>2351</v>
      </c>
      <c r="C2498" s="214" t="s">
        <v>3485</v>
      </c>
      <c r="D2498" s="193" t="s">
        <v>3486</v>
      </c>
      <c r="E2498" s="212" t="s">
        <v>545</v>
      </c>
      <c r="F2498" s="215">
        <v>4</v>
      </c>
      <c r="G2498" s="194">
        <v>16.832000000000001</v>
      </c>
      <c r="H2498" s="195">
        <v>67.328000000000003</v>
      </c>
      <c r="I2498" s="212" t="s">
        <v>2354</v>
      </c>
    </row>
    <row r="2499" spans="1:9" x14ac:dyDescent="0.25">
      <c r="A2499" s="193" t="s">
        <v>220</v>
      </c>
      <c r="B2499" s="193" t="s">
        <v>2351</v>
      </c>
      <c r="C2499" s="214" t="s">
        <v>3727</v>
      </c>
      <c r="D2499" s="193" t="s">
        <v>3728</v>
      </c>
      <c r="E2499" s="212" t="s">
        <v>545</v>
      </c>
      <c r="F2499" s="215">
        <v>13</v>
      </c>
      <c r="G2499" s="194">
        <v>5.1802306451612896</v>
      </c>
      <c r="H2499" s="195">
        <v>67.34299838709677</v>
      </c>
      <c r="I2499" s="212" t="s">
        <v>2354</v>
      </c>
    </row>
    <row r="2500" spans="1:9" x14ac:dyDescent="0.25">
      <c r="A2500" s="193" t="s">
        <v>220</v>
      </c>
      <c r="B2500" s="193" t="s">
        <v>5430</v>
      </c>
      <c r="C2500" s="214" t="s">
        <v>6419</v>
      </c>
      <c r="D2500" s="193" t="s">
        <v>6420</v>
      </c>
      <c r="E2500" s="212" t="s">
        <v>545</v>
      </c>
      <c r="F2500" s="215">
        <v>2</v>
      </c>
      <c r="G2500" s="194">
        <v>33.75</v>
      </c>
      <c r="H2500" s="195">
        <v>67.5</v>
      </c>
      <c r="I2500" s="212" t="s">
        <v>2354</v>
      </c>
    </row>
    <row r="2501" spans="1:9" x14ac:dyDescent="0.25">
      <c r="A2501" s="193" t="s">
        <v>220</v>
      </c>
      <c r="B2501" s="193" t="s">
        <v>2351</v>
      </c>
      <c r="C2501" s="214" t="s">
        <v>2834</v>
      </c>
      <c r="D2501" s="193" t="s">
        <v>2835</v>
      </c>
      <c r="E2501" s="212" t="s">
        <v>545</v>
      </c>
      <c r="F2501" s="215">
        <v>4</v>
      </c>
      <c r="G2501" s="194">
        <v>16.881</v>
      </c>
      <c r="H2501" s="195">
        <v>67.524000000000001</v>
      </c>
      <c r="I2501" s="212" t="s">
        <v>2354</v>
      </c>
    </row>
    <row r="2502" spans="1:9" x14ac:dyDescent="0.25">
      <c r="A2502" s="193" t="s">
        <v>220</v>
      </c>
      <c r="B2502" s="193" t="s">
        <v>2351</v>
      </c>
      <c r="C2502" s="214" t="s">
        <v>4213</v>
      </c>
      <c r="D2502" s="193" t="s">
        <v>4214</v>
      </c>
      <c r="E2502" s="212" t="s">
        <v>545</v>
      </c>
      <c r="F2502" s="215">
        <v>58</v>
      </c>
      <c r="G2502" s="194">
        <v>1.1661585365853659</v>
      </c>
      <c r="H2502" s="195">
        <v>67.637195121951223</v>
      </c>
      <c r="I2502" s="212" t="s">
        <v>2354</v>
      </c>
    </row>
    <row r="2503" spans="1:9" x14ac:dyDescent="0.25">
      <c r="A2503" s="193" t="s">
        <v>220</v>
      </c>
      <c r="B2503" s="193" t="s">
        <v>2351</v>
      </c>
      <c r="C2503" s="214" t="s">
        <v>5130</v>
      </c>
      <c r="D2503" s="193" t="s">
        <v>5131</v>
      </c>
      <c r="E2503" s="212" t="s">
        <v>545</v>
      </c>
      <c r="F2503" s="215">
        <v>65</v>
      </c>
      <c r="G2503" s="194">
        <v>1.0429999999999999</v>
      </c>
      <c r="H2503" s="195">
        <v>67.795000000000002</v>
      </c>
      <c r="I2503" s="212" t="s">
        <v>2354</v>
      </c>
    </row>
    <row r="2504" spans="1:9" x14ac:dyDescent="0.25">
      <c r="A2504" s="193" t="s">
        <v>220</v>
      </c>
      <c r="B2504" s="193" t="s">
        <v>2351</v>
      </c>
      <c r="C2504" s="214" t="s">
        <v>2417</v>
      </c>
      <c r="D2504" s="193" t="s">
        <v>2437</v>
      </c>
      <c r="E2504" s="212" t="s">
        <v>545</v>
      </c>
      <c r="F2504" s="215">
        <v>10</v>
      </c>
      <c r="G2504" s="194">
        <v>6.78</v>
      </c>
      <c r="H2504" s="195">
        <v>67.8</v>
      </c>
      <c r="I2504" s="212" t="s">
        <v>2354</v>
      </c>
    </row>
    <row r="2505" spans="1:9" x14ac:dyDescent="0.25">
      <c r="A2505" s="193" t="s">
        <v>220</v>
      </c>
      <c r="B2505" s="193" t="s">
        <v>2351</v>
      </c>
      <c r="C2505" s="214" t="s">
        <v>4209</v>
      </c>
      <c r="D2505" s="193" t="s">
        <v>4210</v>
      </c>
      <c r="E2505" s="212" t="s">
        <v>545</v>
      </c>
      <c r="F2505" s="215">
        <v>15</v>
      </c>
      <c r="G2505" s="194">
        <v>4.5233999999999996</v>
      </c>
      <c r="H2505" s="195">
        <v>67.850999999999999</v>
      </c>
      <c r="I2505" s="212" t="s">
        <v>2354</v>
      </c>
    </row>
    <row r="2506" spans="1:9" x14ac:dyDescent="0.25">
      <c r="A2506" s="193" t="s">
        <v>220</v>
      </c>
      <c r="B2506" s="193" t="s">
        <v>5430</v>
      </c>
      <c r="C2506" s="214" t="s">
        <v>4209</v>
      </c>
      <c r="D2506" s="193" t="s">
        <v>4210</v>
      </c>
      <c r="E2506" s="212" t="s">
        <v>545</v>
      </c>
      <c r="F2506" s="215">
        <v>15</v>
      </c>
      <c r="G2506" s="194">
        <v>4.5233999999999996</v>
      </c>
      <c r="H2506" s="195">
        <v>67.850999999999999</v>
      </c>
      <c r="I2506" s="212" t="s">
        <v>2354</v>
      </c>
    </row>
    <row r="2507" spans="1:9" x14ac:dyDescent="0.25">
      <c r="A2507" s="193" t="s">
        <v>220</v>
      </c>
      <c r="B2507" s="193" t="s">
        <v>2351</v>
      </c>
      <c r="C2507" s="214" t="s">
        <v>2381</v>
      </c>
      <c r="D2507" s="193" t="s">
        <v>2382</v>
      </c>
      <c r="E2507" s="212" t="s">
        <v>545</v>
      </c>
      <c r="F2507" s="215">
        <v>10</v>
      </c>
      <c r="G2507" s="194">
        <v>6.8110285714285723</v>
      </c>
      <c r="H2507" s="195">
        <v>68.110285714285723</v>
      </c>
      <c r="I2507" s="212" t="s">
        <v>2354</v>
      </c>
    </row>
    <row r="2508" spans="1:9" x14ac:dyDescent="0.25">
      <c r="A2508" s="193" t="s">
        <v>220</v>
      </c>
      <c r="B2508" s="193" t="s">
        <v>2351</v>
      </c>
      <c r="C2508" s="214" t="s">
        <v>4271</v>
      </c>
      <c r="D2508" s="193" t="s">
        <v>4272</v>
      </c>
      <c r="E2508" s="212" t="s">
        <v>545</v>
      </c>
      <c r="F2508" s="215">
        <v>9</v>
      </c>
      <c r="G2508" s="194">
        <v>7.5906599999999997</v>
      </c>
      <c r="H2508" s="195">
        <v>68.315939999999998</v>
      </c>
      <c r="I2508" s="212" t="s">
        <v>2354</v>
      </c>
    </row>
    <row r="2509" spans="1:9" x14ac:dyDescent="0.25">
      <c r="A2509" s="193" t="s">
        <v>220</v>
      </c>
      <c r="B2509" s="193" t="s">
        <v>5430</v>
      </c>
      <c r="C2509" s="214" t="s">
        <v>7047</v>
      </c>
      <c r="D2509" s="193" t="s">
        <v>7048</v>
      </c>
      <c r="E2509" s="212" t="s">
        <v>2387</v>
      </c>
      <c r="F2509" s="215">
        <v>7</v>
      </c>
      <c r="G2509" s="194">
        <v>9.7656500000000008</v>
      </c>
      <c r="H2509" s="195">
        <v>68.359550000000013</v>
      </c>
      <c r="I2509" s="212" t="s">
        <v>2354</v>
      </c>
    </row>
    <row r="2510" spans="1:9" x14ac:dyDescent="0.25">
      <c r="A2510" s="193" t="s">
        <v>220</v>
      </c>
      <c r="B2510" s="193" t="s">
        <v>5430</v>
      </c>
      <c r="C2510" s="214" t="s">
        <v>6781</v>
      </c>
      <c r="D2510" s="193" t="s">
        <v>6782</v>
      </c>
      <c r="E2510" s="212" t="s">
        <v>545</v>
      </c>
      <c r="F2510" s="215">
        <v>36</v>
      </c>
      <c r="G2510" s="194">
        <v>1.9024714285714286</v>
      </c>
      <c r="H2510" s="195">
        <v>68.488971428571432</v>
      </c>
      <c r="I2510" s="212" t="s">
        <v>2354</v>
      </c>
    </row>
    <row r="2511" spans="1:9" x14ac:dyDescent="0.25">
      <c r="A2511" s="193" t="s">
        <v>220</v>
      </c>
      <c r="B2511" s="193" t="s">
        <v>5430</v>
      </c>
      <c r="C2511" s="214" t="s">
        <v>4516</v>
      </c>
      <c r="D2511" s="193" t="s">
        <v>4517</v>
      </c>
      <c r="E2511" s="212" t="s">
        <v>545</v>
      </c>
      <c r="F2511" s="215">
        <v>20</v>
      </c>
      <c r="G2511" s="194">
        <v>3.4286498632010942</v>
      </c>
      <c r="H2511" s="195">
        <v>68.572997264021879</v>
      </c>
      <c r="I2511" s="212" t="s">
        <v>2354</v>
      </c>
    </row>
    <row r="2512" spans="1:9" x14ac:dyDescent="0.25">
      <c r="A2512" s="193" t="s">
        <v>220</v>
      </c>
      <c r="B2512" s="193" t="s">
        <v>5430</v>
      </c>
      <c r="C2512" s="214" t="s">
        <v>6341</v>
      </c>
      <c r="D2512" s="193" t="s">
        <v>6342</v>
      </c>
      <c r="E2512" s="212" t="s">
        <v>545</v>
      </c>
      <c r="F2512" s="215">
        <v>12</v>
      </c>
      <c r="G2512" s="194">
        <v>5.7290000000000001</v>
      </c>
      <c r="H2512" s="195">
        <v>68.748000000000005</v>
      </c>
      <c r="I2512" s="212" t="s">
        <v>2354</v>
      </c>
    </row>
    <row r="2513" spans="1:9" x14ac:dyDescent="0.25">
      <c r="A2513" s="193" t="s">
        <v>220</v>
      </c>
      <c r="B2513" s="193" t="s">
        <v>2351</v>
      </c>
      <c r="C2513" s="214" t="s">
        <v>5118</v>
      </c>
      <c r="D2513" s="193" t="s">
        <v>5119</v>
      </c>
      <c r="E2513" s="212" t="s">
        <v>545</v>
      </c>
      <c r="F2513" s="215">
        <v>2</v>
      </c>
      <c r="G2513" s="194">
        <v>34.384999999999998</v>
      </c>
      <c r="H2513" s="195">
        <v>68.77</v>
      </c>
      <c r="I2513" s="212" t="s">
        <v>2354</v>
      </c>
    </row>
    <row r="2514" spans="1:9" x14ac:dyDescent="0.25">
      <c r="A2514" s="193" t="s">
        <v>220</v>
      </c>
      <c r="B2514" s="193" t="s">
        <v>2351</v>
      </c>
      <c r="C2514" s="214" t="s">
        <v>3721</v>
      </c>
      <c r="D2514" s="193" t="s">
        <v>3722</v>
      </c>
      <c r="E2514" s="212" t="s">
        <v>545</v>
      </c>
      <c r="F2514" s="215">
        <v>1</v>
      </c>
      <c r="G2514" s="194">
        <v>68.781999999999996</v>
      </c>
      <c r="H2514" s="195">
        <v>68.781999999999996</v>
      </c>
      <c r="I2514" s="212" t="s">
        <v>2354</v>
      </c>
    </row>
    <row r="2515" spans="1:9" x14ac:dyDescent="0.25">
      <c r="A2515" s="193" t="s">
        <v>220</v>
      </c>
      <c r="B2515" s="193" t="s">
        <v>2351</v>
      </c>
      <c r="C2515" s="214" t="s">
        <v>4885</v>
      </c>
      <c r="D2515" s="193" t="s">
        <v>4886</v>
      </c>
      <c r="E2515" s="212" t="s">
        <v>545</v>
      </c>
      <c r="F2515" s="215">
        <v>140</v>
      </c>
      <c r="G2515" s="194">
        <v>0.49233774696707111</v>
      </c>
      <c r="H2515" s="195">
        <v>68.927284575389962</v>
      </c>
      <c r="I2515" s="212" t="s">
        <v>2354</v>
      </c>
    </row>
    <row r="2516" spans="1:9" x14ac:dyDescent="0.25">
      <c r="A2516" s="193" t="s">
        <v>220</v>
      </c>
      <c r="B2516" s="193" t="s">
        <v>2351</v>
      </c>
      <c r="C2516" s="214" t="s">
        <v>5024</v>
      </c>
      <c r="D2516" s="193" t="s">
        <v>5025</v>
      </c>
      <c r="E2516" s="212" t="s">
        <v>545</v>
      </c>
      <c r="F2516" s="213">
        <v>420</v>
      </c>
      <c r="G2516" s="194">
        <v>0.16415917431192659</v>
      </c>
      <c r="H2516" s="195">
        <v>68.94685321100917</v>
      </c>
      <c r="I2516" s="212" t="s">
        <v>2354</v>
      </c>
    </row>
    <row r="2517" spans="1:9" x14ac:dyDescent="0.25">
      <c r="A2517" s="193" t="s">
        <v>220</v>
      </c>
      <c r="B2517" s="193" t="s">
        <v>2351</v>
      </c>
      <c r="C2517" s="214" t="s">
        <v>4680</v>
      </c>
      <c r="D2517" s="193" t="s">
        <v>4681</v>
      </c>
      <c r="E2517" s="212" t="s">
        <v>545</v>
      </c>
      <c r="F2517" s="215">
        <v>150</v>
      </c>
      <c r="G2517" s="194">
        <v>0.46</v>
      </c>
      <c r="H2517" s="195">
        <v>69</v>
      </c>
      <c r="I2517" s="212" t="s">
        <v>2354</v>
      </c>
    </row>
    <row r="2518" spans="1:9" x14ac:dyDescent="0.25">
      <c r="A2518" s="193" t="s">
        <v>220</v>
      </c>
      <c r="B2518" s="193" t="s">
        <v>5430</v>
      </c>
      <c r="C2518" s="214" t="s">
        <v>7123</v>
      </c>
      <c r="D2518" s="193" t="s">
        <v>7124</v>
      </c>
      <c r="E2518" s="212" t="s">
        <v>545</v>
      </c>
      <c r="F2518" s="215">
        <v>1</v>
      </c>
      <c r="G2518" s="194">
        <v>69</v>
      </c>
      <c r="H2518" s="195">
        <v>69</v>
      </c>
      <c r="I2518" s="212" t="s">
        <v>2354</v>
      </c>
    </row>
    <row r="2519" spans="1:9" x14ac:dyDescent="0.25">
      <c r="A2519" s="193" t="s">
        <v>220</v>
      </c>
      <c r="B2519" s="193" t="s">
        <v>2351</v>
      </c>
      <c r="C2519" s="214" t="s">
        <v>4740</v>
      </c>
      <c r="D2519" s="193" t="s">
        <v>4741</v>
      </c>
      <c r="E2519" s="212" t="s">
        <v>545</v>
      </c>
      <c r="F2519" s="215">
        <v>3</v>
      </c>
      <c r="G2519" s="194">
        <v>23.007999999999999</v>
      </c>
      <c r="H2519" s="195">
        <v>69.024000000000001</v>
      </c>
      <c r="I2519" s="212" t="s">
        <v>2354</v>
      </c>
    </row>
    <row r="2520" spans="1:9" x14ac:dyDescent="0.25">
      <c r="A2520" s="193" t="s">
        <v>220</v>
      </c>
      <c r="B2520" s="193" t="s">
        <v>2351</v>
      </c>
      <c r="C2520" s="214" t="s">
        <v>4099</v>
      </c>
      <c r="D2520" s="193" t="s">
        <v>4100</v>
      </c>
      <c r="E2520" s="212" t="s">
        <v>545</v>
      </c>
      <c r="F2520" s="215">
        <v>2</v>
      </c>
      <c r="G2520" s="194">
        <v>34.598399999999998</v>
      </c>
      <c r="H2520" s="195">
        <v>69.196799999999996</v>
      </c>
      <c r="I2520" s="212" t="s">
        <v>2354</v>
      </c>
    </row>
    <row r="2521" spans="1:9" x14ac:dyDescent="0.25">
      <c r="A2521" s="193" t="s">
        <v>220</v>
      </c>
      <c r="B2521" s="193" t="s">
        <v>5430</v>
      </c>
      <c r="C2521" s="214" t="s">
        <v>5142</v>
      </c>
      <c r="D2521" s="193" t="s">
        <v>5143</v>
      </c>
      <c r="E2521" s="212" t="s">
        <v>545</v>
      </c>
      <c r="F2521" s="215">
        <v>150</v>
      </c>
      <c r="G2521" s="194">
        <v>0.46400000000000002</v>
      </c>
      <c r="H2521" s="195">
        <v>69.600000000000009</v>
      </c>
      <c r="I2521" s="212" t="s">
        <v>2354</v>
      </c>
    </row>
    <row r="2522" spans="1:9" x14ac:dyDescent="0.25">
      <c r="A2522" s="193" t="s">
        <v>220</v>
      </c>
      <c r="B2522" s="193" t="s">
        <v>5430</v>
      </c>
      <c r="C2522" s="214" t="s">
        <v>7202</v>
      </c>
      <c r="D2522" s="193" t="s">
        <v>7203</v>
      </c>
      <c r="E2522" s="212" t="s">
        <v>545</v>
      </c>
      <c r="F2522" s="215">
        <v>52</v>
      </c>
      <c r="G2522" s="194">
        <v>1.3390899999999999</v>
      </c>
      <c r="H2522" s="195">
        <v>69.632679999999993</v>
      </c>
      <c r="I2522" s="212" t="s">
        <v>2354</v>
      </c>
    </row>
    <row r="2523" spans="1:9" x14ac:dyDescent="0.25">
      <c r="A2523" s="193" t="s">
        <v>220</v>
      </c>
      <c r="B2523" s="193" t="s">
        <v>5430</v>
      </c>
      <c r="C2523" s="214" t="s">
        <v>6323</v>
      </c>
      <c r="D2523" s="193" t="s">
        <v>6324</v>
      </c>
      <c r="E2523" s="212" t="s">
        <v>545</v>
      </c>
      <c r="F2523" s="215">
        <v>7</v>
      </c>
      <c r="G2523" s="194">
        <v>9.9815500000000004</v>
      </c>
      <c r="H2523" s="195">
        <v>69.870850000000004</v>
      </c>
      <c r="I2523" s="212" t="s">
        <v>2354</v>
      </c>
    </row>
    <row r="2524" spans="1:9" x14ac:dyDescent="0.25">
      <c r="A2524" s="193" t="s">
        <v>220</v>
      </c>
      <c r="B2524" s="193" t="s">
        <v>2351</v>
      </c>
      <c r="C2524" s="214" t="s">
        <v>4039</v>
      </c>
      <c r="D2524" s="193" t="s">
        <v>4040</v>
      </c>
      <c r="E2524" s="212" t="s">
        <v>545</v>
      </c>
      <c r="F2524" s="215">
        <v>1</v>
      </c>
      <c r="G2524" s="194">
        <v>69.92</v>
      </c>
      <c r="H2524" s="195">
        <v>69.92</v>
      </c>
      <c r="I2524" s="212" t="s">
        <v>2354</v>
      </c>
    </row>
    <row r="2525" spans="1:9" x14ac:dyDescent="0.25">
      <c r="A2525" s="193" t="s">
        <v>220</v>
      </c>
      <c r="B2525" s="193" t="s">
        <v>5430</v>
      </c>
      <c r="C2525" s="214" t="s">
        <v>4039</v>
      </c>
      <c r="D2525" s="193" t="s">
        <v>4040</v>
      </c>
      <c r="E2525" s="212" t="s">
        <v>545</v>
      </c>
      <c r="F2525" s="215">
        <v>1</v>
      </c>
      <c r="G2525" s="194">
        <v>69.92</v>
      </c>
      <c r="H2525" s="195">
        <v>69.92</v>
      </c>
      <c r="I2525" s="212" t="s">
        <v>2354</v>
      </c>
    </row>
    <row r="2526" spans="1:9" x14ac:dyDescent="0.25">
      <c r="A2526" s="193" t="s">
        <v>220</v>
      </c>
      <c r="B2526" s="193" t="s">
        <v>5430</v>
      </c>
      <c r="C2526" s="214" t="s">
        <v>5833</v>
      </c>
      <c r="D2526" s="193" t="s">
        <v>2855</v>
      </c>
      <c r="E2526" s="212" t="s">
        <v>545</v>
      </c>
      <c r="F2526" s="215">
        <v>2</v>
      </c>
      <c r="G2526" s="194">
        <v>34.961849999999998</v>
      </c>
      <c r="H2526" s="195">
        <v>69.923699999999997</v>
      </c>
      <c r="I2526" s="212" t="s">
        <v>2354</v>
      </c>
    </row>
    <row r="2527" spans="1:9" x14ac:dyDescent="0.25">
      <c r="A2527" s="193" t="s">
        <v>220</v>
      </c>
      <c r="B2527" s="193" t="s">
        <v>2351</v>
      </c>
      <c r="C2527" s="214" t="s">
        <v>3849</v>
      </c>
      <c r="D2527" s="193" t="s">
        <v>3850</v>
      </c>
      <c r="E2527" s="212" t="s">
        <v>545</v>
      </c>
      <c r="F2527" s="215">
        <v>7</v>
      </c>
      <c r="G2527" s="194">
        <v>9.9990000000000006</v>
      </c>
      <c r="H2527" s="195">
        <v>69.993000000000009</v>
      </c>
      <c r="I2527" s="212" t="s">
        <v>2354</v>
      </c>
    </row>
    <row r="2528" spans="1:9" x14ac:dyDescent="0.25">
      <c r="A2528" s="193" t="s">
        <v>220</v>
      </c>
      <c r="B2528" s="193" t="s">
        <v>5430</v>
      </c>
      <c r="C2528" s="214" t="s">
        <v>5829</v>
      </c>
      <c r="D2528" s="193" t="s">
        <v>5830</v>
      </c>
      <c r="E2528" s="212" t="s">
        <v>545</v>
      </c>
      <c r="F2528" s="215">
        <v>1</v>
      </c>
      <c r="G2528" s="194">
        <v>70.148700000000005</v>
      </c>
      <c r="H2528" s="195">
        <v>70.148700000000005</v>
      </c>
      <c r="I2528" s="212" t="s">
        <v>2354</v>
      </c>
    </row>
    <row r="2529" spans="1:9" x14ac:dyDescent="0.25">
      <c r="A2529" s="193" t="s">
        <v>220</v>
      </c>
      <c r="B2529" s="193" t="s">
        <v>2351</v>
      </c>
      <c r="C2529" s="214" t="s">
        <v>5180</v>
      </c>
      <c r="D2529" s="193" t="s">
        <v>5181</v>
      </c>
      <c r="E2529" s="212" t="s">
        <v>545</v>
      </c>
      <c r="F2529" s="215">
        <v>5</v>
      </c>
      <c r="G2529" s="194">
        <v>14.04</v>
      </c>
      <c r="H2529" s="195">
        <v>70.199999999999989</v>
      </c>
      <c r="I2529" s="212" t="s">
        <v>2354</v>
      </c>
    </row>
    <row r="2530" spans="1:9" x14ac:dyDescent="0.25">
      <c r="A2530" s="193" t="s">
        <v>220</v>
      </c>
      <c r="B2530" s="193" t="s">
        <v>5430</v>
      </c>
      <c r="C2530" s="214" t="s">
        <v>3018</v>
      </c>
      <c r="D2530" s="193" t="s">
        <v>3019</v>
      </c>
      <c r="E2530" s="212" t="s">
        <v>545</v>
      </c>
      <c r="F2530" s="215">
        <v>6</v>
      </c>
      <c r="G2530" s="194">
        <v>11.7</v>
      </c>
      <c r="H2530" s="195">
        <v>70.199999999999989</v>
      </c>
      <c r="I2530" s="212" t="s">
        <v>2354</v>
      </c>
    </row>
    <row r="2531" spans="1:9" x14ac:dyDescent="0.25">
      <c r="A2531" s="193" t="s">
        <v>220</v>
      </c>
      <c r="B2531" s="193" t="s">
        <v>5430</v>
      </c>
      <c r="C2531" s="214" t="s">
        <v>7137</v>
      </c>
      <c r="D2531" s="193" t="s">
        <v>7138</v>
      </c>
      <c r="E2531" s="212" t="s">
        <v>545</v>
      </c>
      <c r="F2531" s="215">
        <v>44</v>
      </c>
      <c r="G2531" s="194">
        <v>1.5966</v>
      </c>
      <c r="H2531" s="195">
        <v>70.250399999999999</v>
      </c>
      <c r="I2531" s="212" t="s">
        <v>2354</v>
      </c>
    </row>
    <row r="2532" spans="1:9" x14ac:dyDescent="0.25">
      <c r="A2532" s="193" t="s">
        <v>220</v>
      </c>
      <c r="B2532" s="193" t="s">
        <v>2351</v>
      </c>
      <c r="C2532" s="214" t="s">
        <v>4836</v>
      </c>
      <c r="D2532" s="193" t="s">
        <v>4837</v>
      </c>
      <c r="E2532" s="212" t="s">
        <v>545</v>
      </c>
      <c r="F2532" s="215">
        <v>120</v>
      </c>
      <c r="G2532" s="194">
        <v>0.58602392565597661</v>
      </c>
      <c r="H2532" s="195">
        <v>70.322871078717199</v>
      </c>
      <c r="I2532" s="212" t="s">
        <v>2354</v>
      </c>
    </row>
    <row r="2533" spans="1:9" x14ac:dyDescent="0.25">
      <c r="A2533" s="193" t="s">
        <v>220</v>
      </c>
      <c r="B2533" s="193" t="s">
        <v>2351</v>
      </c>
      <c r="C2533" s="214" t="s">
        <v>3679</v>
      </c>
      <c r="D2533" s="193" t="s">
        <v>3680</v>
      </c>
      <c r="E2533" s="212" t="s">
        <v>545</v>
      </c>
      <c r="F2533" s="215">
        <v>18</v>
      </c>
      <c r="G2533" s="194">
        <v>3.927</v>
      </c>
      <c r="H2533" s="195">
        <v>70.686000000000007</v>
      </c>
      <c r="I2533" s="212" t="s">
        <v>2354</v>
      </c>
    </row>
    <row r="2534" spans="1:9" x14ac:dyDescent="0.25">
      <c r="A2534" s="193" t="s">
        <v>220</v>
      </c>
      <c r="B2534" s="193" t="s">
        <v>5430</v>
      </c>
      <c r="C2534" s="214" t="s">
        <v>3026</v>
      </c>
      <c r="D2534" s="193" t="s">
        <v>3027</v>
      </c>
      <c r="E2534" s="212" t="s">
        <v>545</v>
      </c>
      <c r="F2534" s="215">
        <v>7</v>
      </c>
      <c r="G2534" s="194">
        <v>10.098000000000001</v>
      </c>
      <c r="H2534" s="195">
        <v>70.686000000000007</v>
      </c>
      <c r="I2534" s="212" t="s">
        <v>2354</v>
      </c>
    </row>
    <row r="2535" spans="1:9" x14ac:dyDescent="0.25">
      <c r="A2535" s="193" t="s">
        <v>220</v>
      </c>
      <c r="B2535" s="193" t="s">
        <v>5430</v>
      </c>
      <c r="C2535" s="214" t="s">
        <v>6517</v>
      </c>
      <c r="D2535" s="193" t="s">
        <v>3598</v>
      </c>
      <c r="E2535" s="212" t="s">
        <v>545</v>
      </c>
      <c r="F2535" s="215">
        <v>23</v>
      </c>
      <c r="G2535" s="194">
        <v>3.077</v>
      </c>
      <c r="H2535" s="195">
        <v>70.771000000000001</v>
      </c>
      <c r="I2535" s="212" t="s">
        <v>2354</v>
      </c>
    </row>
    <row r="2536" spans="1:9" x14ac:dyDescent="0.25">
      <c r="A2536" s="193" t="s">
        <v>220</v>
      </c>
      <c r="B2536" s="193" t="s">
        <v>2351</v>
      </c>
      <c r="C2536" s="214" t="s">
        <v>5284</v>
      </c>
      <c r="D2536" s="193" t="s">
        <v>5285</v>
      </c>
      <c r="E2536" s="212" t="s">
        <v>545</v>
      </c>
      <c r="F2536" s="213">
        <v>2</v>
      </c>
      <c r="G2536" s="194">
        <v>35.561700000000002</v>
      </c>
      <c r="H2536" s="195">
        <v>71.123400000000004</v>
      </c>
      <c r="I2536" s="212" t="s">
        <v>2354</v>
      </c>
    </row>
    <row r="2537" spans="1:9" x14ac:dyDescent="0.25">
      <c r="A2537" s="193" t="s">
        <v>220</v>
      </c>
      <c r="B2537" s="193" t="s">
        <v>5430</v>
      </c>
      <c r="C2537" s="214" t="s">
        <v>3006</v>
      </c>
      <c r="D2537" s="193" t="s">
        <v>3007</v>
      </c>
      <c r="E2537" s="212" t="s">
        <v>545</v>
      </c>
      <c r="F2537" s="215">
        <v>9</v>
      </c>
      <c r="G2537" s="194">
        <v>7.92</v>
      </c>
      <c r="H2537" s="195">
        <v>71.28</v>
      </c>
      <c r="I2537" s="212" t="s">
        <v>2354</v>
      </c>
    </row>
    <row r="2538" spans="1:9" x14ac:dyDescent="0.25">
      <c r="A2538" s="193" t="s">
        <v>220</v>
      </c>
      <c r="B2538" s="193" t="s">
        <v>5430</v>
      </c>
      <c r="C2538" s="214" t="s">
        <v>5931</v>
      </c>
      <c r="D2538" s="193" t="s">
        <v>5932</v>
      </c>
      <c r="E2538" s="212" t="s">
        <v>545</v>
      </c>
      <c r="F2538" s="215">
        <v>5</v>
      </c>
      <c r="G2538" s="194">
        <v>14.265000000000001</v>
      </c>
      <c r="H2538" s="195">
        <v>71.325000000000003</v>
      </c>
      <c r="I2538" s="212" t="s">
        <v>2354</v>
      </c>
    </row>
    <row r="2539" spans="1:9" x14ac:dyDescent="0.25">
      <c r="A2539" s="193" t="s">
        <v>220</v>
      </c>
      <c r="B2539" s="193" t="s">
        <v>2351</v>
      </c>
      <c r="C2539" s="214" t="s">
        <v>3075</v>
      </c>
      <c r="D2539" s="193" t="s">
        <v>3076</v>
      </c>
      <c r="E2539" s="212" t="s">
        <v>545</v>
      </c>
      <c r="F2539" s="215">
        <v>5</v>
      </c>
      <c r="G2539" s="194">
        <v>14.2668</v>
      </c>
      <c r="H2539" s="195">
        <v>71.334000000000003</v>
      </c>
      <c r="I2539" s="212" t="s">
        <v>2354</v>
      </c>
    </row>
    <row r="2540" spans="1:9" x14ac:dyDescent="0.25">
      <c r="A2540" s="193" t="s">
        <v>220</v>
      </c>
      <c r="B2540" s="193" t="s">
        <v>5430</v>
      </c>
      <c r="C2540" s="214" t="s">
        <v>6095</v>
      </c>
      <c r="D2540" s="193" t="s">
        <v>6096</v>
      </c>
      <c r="E2540" s="212" t="s">
        <v>545</v>
      </c>
      <c r="F2540" s="215">
        <v>1</v>
      </c>
      <c r="G2540" s="194">
        <v>71.455200000000005</v>
      </c>
      <c r="H2540" s="195">
        <v>71.455200000000005</v>
      </c>
      <c r="I2540" s="212" t="s">
        <v>2354</v>
      </c>
    </row>
    <row r="2541" spans="1:9" x14ac:dyDescent="0.25">
      <c r="A2541" s="193" t="s">
        <v>220</v>
      </c>
      <c r="B2541" s="193" t="s">
        <v>5430</v>
      </c>
      <c r="C2541" s="214" t="s">
        <v>5440</v>
      </c>
      <c r="D2541" s="193" t="s">
        <v>5441</v>
      </c>
      <c r="E2541" s="212" t="s">
        <v>545</v>
      </c>
      <c r="F2541" s="215">
        <v>40</v>
      </c>
      <c r="G2541" s="194">
        <v>1.7869999999999999</v>
      </c>
      <c r="H2541" s="195">
        <v>71.47999999999999</v>
      </c>
      <c r="I2541" s="212" t="s">
        <v>2354</v>
      </c>
    </row>
    <row r="2542" spans="1:9" x14ac:dyDescent="0.25">
      <c r="A2542" s="193" t="s">
        <v>220</v>
      </c>
      <c r="B2542" s="193" t="s">
        <v>2351</v>
      </c>
      <c r="C2542" s="214" t="s">
        <v>3028</v>
      </c>
      <c r="D2542" s="193" t="s">
        <v>3029</v>
      </c>
      <c r="E2542" s="212" t="s">
        <v>545</v>
      </c>
      <c r="F2542" s="215">
        <v>6</v>
      </c>
      <c r="G2542" s="194">
        <v>11.944315384615383</v>
      </c>
      <c r="H2542" s="195">
        <v>71.665892307692303</v>
      </c>
      <c r="I2542" s="212" t="s">
        <v>2354</v>
      </c>
    </row>
    <row r="2543" spans="1:9" x14ac:dyDescent="0.25">
      <c r="A2543" s="193" t="s">
        <v>220</v>
      </c>
      <c r="B2543" s="193" t="s">
        <v>2351</v>
      </c>
      <c r="C2543" s="214" t="s">
        <v>5224</v>
      </c>
      <c r="D2543" s="193" t="s">
        <v>5225</v>
      </c>
      <c r="E2543" s="212" t="s">
        <v>545</v>
      </c>
      <c r="F2543" s="215">
        <v>1</v>
      </c>
      <c r="G2543" s="194">
        <v>71.757000000000005</v>
      </c>
      <c r="H2543" s="195">
        <v>71.757000000000005</v>
      </c>
      <c r="I2543" s="212" t="s">
        <v>2354</v>
      </c>
    </row>
    <row r="2544" spans="1:9" x14ac:dyDescent="0.25">
      <c r="A2544" s="193" t="s">
        <v>220</v>
      </c>
      <c r="B2544" s="193" t="s">
        <v>2351</v>
      </c>
      <c r="C2544" s="214" t="s">
        <v>3111</v>
      </c>
      <c r="D2544" s="193" t="s">
        <v>3112</v>
      </c>
      <c r="E2544" s="212" t="s">
        <v>545</v>
      </c>
      <c r="F2544" s="215">
        <v>1</v>
      </c>
      <c r="G2544" s="194">
        <v>71.819999999999993</v>
      </c>
      <c r="H2544" s="195">
        <v>71.819999999999993</v>
      </c>
      <c r="I2544" s="212" t="s">
        <v>2354</v>
      </c>
    </row>
    <row r="2545" spans="1:9" x14ac:dyDescent="0.25">
      <c r="A2545" s="193" t="s">
        <v>220</v>
      </c>
      <c r="B2545" s="193" t="s">
        <v>5430</v>
      </c>
      <c r="C2545" s="214" t="s">
        <v>7292</v>
      </c>
      <c r="D2545" s="193" t="s">
        <v>7293</v>
      </c>
      <c r="E2545" s="212" t="s">
        <v>545</v>
      </c>
      <c r="F2545" s="215">
        <v>1</v>
      </c>
      <c r="G2545" s="194">
        <v>71.822699999999998</v>
      </c>
      <c r="H2545" s="195">
        <v>71.822699999999998</v>
      </c>
      <c r="I2545" s="212" t="s">
        <v>2354</v>
      </c>
    </row>
    <row r="2546" spans="1:9" x14ac:dyDescent="0.25">
      <c r="A2546" s="193" t="s">
        <v>220</v>
      </c>
      <c r="B2546" s="193" t="s">
        <v>5430</v>
      </c>
      <c r="C2546" s="214" t="s">
        <v>3209</v>
      </c>
      <c r="D2546" s="193" t="s">
        <v>3210</v>
      </c>
      <c r="E2546" s="212" t="s">
        <v>545</v>
      </c>
      <c r="F2546" s="215">
        <v>20</v>
      </c>
      <c r="G2546" s="194">
        <v>3.5928</v>
      </c>
      <c r="H2546" s="195">
        <v>71.855999999999995</v>
      </c>
      <c r="I2546" s="212" t="s">
        <v>2354</v>
      </c>
    </row>
    <row r="2547" spans="1:9" x14ac:dyDescent="0.25">
      <c r="A2547" s="193" t="s">
        <v>220</v>
      </c>
      <c r="B2547" s="193" t="s">
        <v>2351</v>
      </c>
      <c r="C2547" s="214" t="s">
        <v>4925</v>
      </c>
      <c r="D2547" s="193" t="s">
        <v>4926</v>
      </c>
      <c r="E2547" s="212" t="s">
        <v>545</v>
      </c>
      <c r="F2547" s="215">
        <v>654</v>
      </c>
      <c r="G2547" s="194">
        <v>0.11</v>
      </c>
      <c r="H2547" s="195">
        <v>71.94</v>
      </c>
      <c r="I2547" s="212" t="s">
        <v>2354</v>
      </c>
    </row>
    <row r="2548" spans="1:9" x14ac:dyDescent="0.25">
      <c r="A2548" s="193" t="s">
        <v>220</v>
      </c>
      <c r="B2548" s="193" t="s">
        <v>5430</v>
      </c>
      <c r="C2548" s="214" t="s">
        <v>4401</v>
      </c>
      <c r="D2548" s="193" t="s">
        <v>4402</v>
      </c>
      <c r="E2548" s="212" t="s">
        <v>545</v>
      </c>
      <c r="F2548" s="215">
        <v>2</v>
      </c>
      <c r="G2548" s="194">
        <v>36</v>
      </c>
      <c r="H2548" s="195">
        <v>72</v>
      </c>
      <c r="I2548" s="212" t="s">
        <v>2354</v>
      </c>
    </row>
    <row r="2549" spans="1:9" x14ac:dyDescent="0.25">
      <c r="A2549" s="193" t="s">
        <v>220</v>
      </c>
      <c r="B2549" s="193" t="s">
        <v>2351</v>
      </c>
      <c r="C2549" s="214" t="s">
        <v>3773</v>
      </c>
      <c r="D2549" s="193" t="s">
        <v>3774</v>
      </c>
      <c r="E2549" s="212" t="s">
        <v>545</v>
      </c>
      <c r="F2549" s="215">
        <v>6</v>
      </c>
      <c r="G2549" s="194">
        <v>12.023999999999999</v>
      </c>
      <c r="H2549" s="195">
        <v>72.143999999999991</v>
      </c>
      <c r="I2549" s="212" t="s">
        <v>2354</v>
      </c>
    </row>
    <row r="2550" spans="1:9" x14ac:dyDescent="0.25">
      <c r="A2550" s="193" t="s">
        <v>220</v>
      </c>
      <c r="B2550" s="193" t="s">
        <v>5430</v>
      </c>
      <c r="C2550" s="214" t="s">
        <v>6190</v>
      </c>
      <c r="D2550" s="193" t="s">
        <v>6191</v>
      </c>
      <c r="E2550" s="212" t="s">
        <v>545</v>
      </c>
      <c r="F2550" s="215">
        <v>1</v>
      </c>
      <c r="G2550" s="194">
        <v>72.275999999999996</v>
      </c>
      <c r="H2550" s="195">
        <v>72.275999999999996</v>
      </c>
      <c r="I2550" s="212" t="s">
        <v>2354</v>
      </c>
    </row>
    <row r="2551" spans="1:9" x14ac:dyDescent="0.25">
      <c r="A2551" s="193" t="s">
        <v>220</v>
      </c>
      <c r="B2551" s="193" t="s">
        <v>2351</v>
      </c>
      <c r="C2551" s="214" t="s">
        <v>2417</v>
      </c>
      <c r="D2551" s="193" t="s">
        <v>2438</v>
      </c>
      <c r="E2551" s="212" t="s">
        <v>545</v>
      </c>
      <c r="F2551" s="215">
        <v>10</v>
      </c>
      <c r="G2551" s="194">
        <v>7.23</v>
      </c>
      <c r="H2551" s="195">
        <v>72.300000000000011</v>
      </c>
      <c r="I2551" s="212" t="s">
        <v>2354</v>
      </c>
    </row>
    <row r="2552" spans="1:9" x14ac:dyDescent="0.25">
      <c r="A2552" s="193" t="s">
        <v>220</v>
      </c>
      <c r="B2552" s="193" t="s">
        <v>5430</v>
      </c>
      <c r="C2552" s="214" t="s">
        <v>3783</v>
      </c>
      <c r="D2552" s="193" t="s">
        <v>3784</v>
      </c>
      <c r="E2552" s="212" t="s">
        <v>545</v>
      </c>
      <c r="F2552" s="215">
        <v>1</v>
      </c>
      <c r="G2552" s="194">
        <v>72.319342105263146</v>
      </c>
      <c r="H2552" s="195">
        <v>72.319342105263146</v>
      </c>
      <c r="I2552" s="212" t="s">
        <v>2354</v>
      </c>
    </row>
    <row r="2553" spans="1:9" x14ac:dyDescent="0.25">
      <c r="A2553" s="193" t="s">
        <v>220</v>
      </c>
      <c r="B2553" s="193" t="s">
        <v>2351</v>
      </c>
      <c r="C2553" s="214" t="s">
        <v>4742</v>
      </c>
      <c r="D2553" s="193" t="s">
        <v>4743</v>
      </c>
      <c r="E2553" s="212" t="s">
        <v>545</v>
      </c>
      <c r="F2553" s="215">
        <v>2</v>
      </c>
      <c r="G2553" s="194">
        <v>36.194000000000003</v>
      </c>
      <c r="H2553" s="195">
        <v>72.388000000000005</v>
      </c>
      <c r="I2553" s="212" t="s">
        <v>2354</v>
      </c>
    </row>
    <row r="2554" spans="1:9" x14ac:dyDescent="0.25">
      <c r="A2554" s="193" t="s">
        <v>220</v>
      </c>
      <c r="B2554" s="193" t="s">
        <v>5430</v>
      </c>
      <c r="C2554" s="214" t="s">
        <v>3567</v>
      </c>
      <c r="D2554" s="193" t="s">
        <v>3568</v>
      </c>
      <c r="E2554" s="212" t="s">
        <v>545</v>
      </c>
      <c r="F2554" s="215">
        <v>10</v>
      </c>
      <c r="G2554" s="194">
        <v>7.2479626957759846</v>
      </c>
      <c r="H2554" s="195">
        <v>72.479626957759848</v>
      </c>
      <c r="I2554" s="212" t="s">
        <v>2354</v>
      </c>
    </row>
    <row r="2555" spans="1:9" x14ac:dyDescent="0.25">
      <c r="A2555" s="193" t="s">
        <v>220</v>
      </c>
      <c r="B2555" s="193" t="s">
        <v>5430</v>
      </c>
      <c r="C2555" s="214" t="s">
        <v>3565</v>
      </c>
      <c r="D2555" s="193" t="s">
        <v>3566</v>
      </c>
      <c r="E2555" s="212" t="s">
        <v>545</v>
      </c>
      <c r="F2555" s="215">
        <v>26</v>
      </c>
      <c r="G2555" s="194">
        <v>2.7879999999999998</v>
      </c>
      <c r="H2555" s="195">
        <v>72.488</v>
      </c>
      <c r="I2555" s="212" t="s">
        <v>2354</v>
      </c>
    </row>
    <row r="2556" spans="1:9" x14ac:dyDescent="0.25">
      <c r="A2556" s="193" t="s">
        <v>220</v>
      </c>
      <c r="B2556" s="193" t="s">
        <v>5430</v>
      </c>
      <c r="C2556" s="214"/>
      <c r="D2556" s="193" t="s">
        <v>5474</v>
      </c>
      <c r="E2556" s="212" t="s">
        <v>545</v>
      </c>
      <c r="F2556" s="215">
        <v>100</v>
      </c>
      <c r="G2556" s="194">
        <v>0.72499999999999998</v>
      </c>
      <c r="H2556" s="195">
        <v>72.5</v>
      </c>
      <c r="I2556" s="212" t="s">
        <v>2354</v>
      </c>
    </row>
    <row r="2557" spans="1:9" x14ac:dyDescent="0.25">
      <c r="A2557" s="193" t="s">
        <v>220</v>
      </c>
      <c r="B2557" s="193" t="s">
        <v>5430</v>
      </c>
      <c r="C2557" s="214" t="s">
        <v>3979</v>
      </c>
      <c r="D2557" s="193" t="s">
        <v>3980</v>
      </c>
      <c r="E2557" s="212" t="s">
        <v>545</v>
      </c>
      <c r="F2557" s="215">
        <v>18</v>
      </c>
      <c r="G2557" s="194">
        <v>4.0301999999999998</v>
      </c>
      <c r="H2557" s="195">
        <v>72.543599999999998</v>
      </c>
      <c r="I2557" s="212" t="s">
        <v>2354</v>
      </c>
    </row>
    <row r="2558" spans="1:9" x14ac:dyDescent="0.25">
      <c r="A2558" s="193" t="s">
        <v>220</v>
      </c>
      <c r="B2558" s="193" t="s">
        <v>5430</v>
      </c>
      <c r="C2558" s="214" t="s">
        <v>6477</v>
      </c>
      <c r="D2558" s="193" t="s">
        <v>3554</v>
      </c>
      <c r="E2558" s="212" t="s">
        <v>545</v>
      </c>
      <c r="F2558" s="215">
        <v>22</v>
      </c>
      <c r="G2558" s="194">
        <v>3.298</v>
      </c>
      <c r="H2558" s="195">
        <v>72.555999999999997</v>
      </c>
      <c r="I2558" s="212" t="s">
        <v>2354</v>
      </c>
    </row>
    <row r="2559" spans="1:9" x14ac:dyDescent="0.25">
      <c r="A2559" s="193" t="s">
        <v>220</v>
      </c>
      <c r="B2559" s="193" t="s">
        <v>2351</v>
      </c>
      <c r="C2559" s="214" t="s">
        <v>4668</v>
      </c>
      <c r="D2559" s="193" t="s">
        <v>4669</v>
      </c>
      <c r="E2559" s="212" t="s">
        <v>545</v>
      </c>
      <c r="F2559" s="215">
        <v>68</v>
      </c>
      <c r="G2559" s="194">
        <v>1.0674870607734805</v>
      </c>
      <c r="H2559" s="195">
        <v>72.589120132596676</v>
      </c>
      <c r="I2559" s="212" t="s">
        <v>2354</v>
      </c>
    </row>
    <row r="2560" spans="1:9" x14ac:dyDescent="0.25">
      <c r="A2560" s="193" t="s">
        <v>220</v>
      </c>
      <c r="B2560" s="193" t="s">
        <v>2351</v>
      </c>
      <c r="C2560" s="214" t="s">
        <v>2784</v>
      </c>
      <c r="D2560" s="193" t="s">
        <v>2785</v>
      </c>
      <c r="E2560" s="212" t="s">
        <v>545</v>
      </c>
      <c r="F2560" s="215">
        <v>2</v>
      </c>
      <c r="G2560" s="194">
        <v>36.359099999999998</v>
      </c>
      <c r="H2560" s="195">
        <v>72.718199999999996</v>
      </c>
      <c r="I2560" s="212" t="s">
        <v>2354</v>
      </c>
    </row>
    <row r="2561" spans="1:9" x14ac:dyDescent="0.25">
      <c r="A2561" s="193" t="s">
        <v>220</v>
      </c>
      <c r="B2561" s="193" t="s">
        <v>5430</v>
      </c>
      <c r="C2561" s="214" t="s">
        <v>5811</v>
      </c>
      <c r="D2561" s="193" t="s">
        <v>5812</v>
      </c>
      <c r="E2561" s="212" t="s">
        <v>545</v>
      </c>
      <c r="F2561" s="215">
        <v>2</v>
      </c>
      <c r="G2561" s="194">
        <v>36.459000000000003</v>
      </c>
      <c r="H2561" s="195">
        <v>72.918000000000006</v>
      </c>
      <c r="I2561" s="212" t="s">
        <v>2354</v>
      </c>
    </row>
    <row r="2562" spans="1:9" x14ac:dyDescent="0.25">
      <c r="A2562" s="193" t="s">
        <v>220</v>
      </c>
      <c r="B2562" s="193" t="s">
        <v>2351</v>
      </c>
      <c r="C2562" s="214" t="s">
        <v>3967</v>
      </c>
      <c r="D2562" s="193" t="s">
        <v>3968</v>
      </c>
      <c r="E2562" s="212" t="s">
        <v>2387</v>
      </c>
      <c r="F2562" s="215">
        <v>120</v>
      </c>
      <c r="G2562" s="194">
        <v>0.61002999999999996</v>
      </c>
      <c r="H2562" s="195">
        <v>73.203599999999994</v>
      </c>
      <c r="I2562" s="212" t="s">
        <v>2354</v>
      </c>
    </row>
    <row r="2563" spans="1:9" x14ac:dyDescent="0.25">
      <c r="A2563" s="193" t="s">
        <v>220</v>
      </c>
      <c r="B2563" s="193" t="s">
        <v>5430</v>
      </c>
      <c r="C2563" s="214" t="s">
        <v>5823</v>
      </c>
      <c r="D2563" s="193" t="s">
        <v>5824</v>
      </c>
      <c r="E2563" s="212" t="s">
        <v>545</v>
      </c>
      <c r="F2563" s="215">
        <v>1</v>
      </c>
      <c r="G2563" s="194">
        <v>73.2834</v>
      </c>
      <c r="H2563" s="195">
        <v>73.2834</v>
      </c>
      <c r="I2563" s="212" t="s">
        <v>2354</v>
      </c>
    </row>
    <row r="2564" spans="1:9" x14ac:dyDescent="0.25">
      <c r="A2564" s="193" t="s">
        <v>220</v>
      </c>
      <c r="B2564" s="193" t="s">
        <v>5430</v>
      </c>
      <c r="C2564" s="214" t="s">
        <v>2440</v>
      </c>
      <c r="D2564" s="193" t="s">
        <v>6521</v>
      </c>
      <c r="E2564" s="212" t="s">
        <v>545</v>
      </c>
      <c r="F2564" s="215">
        <v>28</v>
      </c>
      <c r="G2564" s="194">
        <v>2.6179999999999999</v>
      </c>
      <c r="H2564" s="195">
        <v>73.304000000000002</v>
      </c>
      <c r="I2564" s="212" t="s">
        <v>2354</v>
      </c>
    </row>
    <row r="2565" spans="1:9" x14ac:dyDescent="0.25">
      <c r="A2565" s="193" t="s">
        <v>220</v>
      </c>
      <c r="B2565" s="193" t="s">
        <v>5430</v>
      </c>
      <c r="C2565" s="214" t="s">
        <v>6337</v>
      </c>
      <c r="D2565" s="193" t="s">
        <v>6338</v>
      </c>
      <c r="E2565" s="212" t="s">
        <v>2473</v>
      </c>
      <c r="F2565" s="215">
        <v>20</v>
      </c>
      <c r="G2565" s="194">
        <v>3.6720000000000002</v>
      </c>
      <c r="H2565" s="195">
        <v>73.44</v>
      </c>
      <c r="I2565" s="212" t="s">
        <v>2354</v>
      </c>
    </row>
    <row r="2566" spans="1:9" x14ac:dyDescent="0.25">
      <c r="A2566" s="193" t="s">
        <v>220</v>
      </c>
      <c r="B2566" s="193" t="s">
        <v>2351</v>
      </c>
      <c r="C2566" s="214" t="s">
        <v>3761</v>
      </c>
      <c r="D2566" s="193" t="s">
        <v>3762</v>
      </c>
      <c r="E2566" s="212" t="s">
        <v>2387</v>
      </c>
      <c r="F2566" s="215">
        <v>100</v>
      </c>
      <c r="G2566" s="194">
        <v>0.74250000000000005</v>
      </c>
      <c r="H2566" s="195">
        <v>74.25</v>
      </c>
      <c r="I2566" s="212" t="s">
        <v>2354</v>
      </c>
    </row>
    <row r="2567" spans="1:9" x14ac:dyDescent="0.25">
      <c r="A2567" s="193" t="s">
        <v>220</v>
      </c>
      <c r="B2567" s="193" t="s">
        <v>2351</v>
      </c>
      <c r="C2567" s="214" t="s">
        <v>4883</v>
      </c>
      <c r="D2567" s="193" t="s">
        <v>4884</v>
      </c>
      <c r="E2567" s="212" t="s">
        <v>545</v>
      </c>
      <c r="F2567" s="213">
        <v>254</v>
      </c>
      <c r="G2567" s="194">
        <v>0.29299999999999998</v>
      </c>
      <c r="H2567" s="195">
        <v>74.421999999999997</v>
      </c>
      <c r="I2567" s="212" t="s">
        <v>2354</v>
      </c>
    </row>
    <row r="2568" spans="1:9" x14ac:dyDescent="0.25">
      <c r="A2568" s="193" t="s">
        <v>220</v>
      </c>
      <c r="B2568" s="193" t="s">
        <v>2351</v>
      </c>
      <c r="C2568" s="214" t="s">
        <v>2744</v>
      </c>
      <c r="D2568" s="193" t="s">
        <v>2745</v>
      </c>
      <c r="E2568" s="212" t="s">
        <v>545</v>
      </c>
      <c r="F2568" s="215">
        <v>3</v>
      </c>
      <c r="G2568" s="194">
        <v>24.9255</v>
      </c>
      <c r="H2568" s="195">
        <v>74.776499999999999</v>
      </c>
      <c r="I2568" s="212" t="s">
        <v>2354</v>
      </c>
    </row>
    <row r="2569" spans="1:9" x14ac:dyDescent="0.25">
      <c r="A2569" s="193" t="s">
        <v>220</v>
      </c>
      <c r="B2569" s="193" t="s">
        <v>5430</v>
      </c>
      <c r="C2569" s="214" t="s">
        <v>5987</v>
      </c>
      <c r="D2569" s="193" t="s">
        <v>5988</v>
      </c>
      <c r="E2569" s="212" t="s">
        <v>545</v>
      </c>
      <c r="F2569" s="215">
        <v>2</v>
      </c>
      <c r="G2569" s="194">
        <v>37.4283</v>
      </c>
      <c r="H2569" s="195">
        <v>74.8566</v>
      </c>
      <c r="I2569" s="212" t="s">
        <v>2354</v>
      </c>
    </row>
    <row r="2570" spans="1:9" x14ac:dyDescent="0.25">
      <c r="A2570" s="193" t="s">
        <v>220</v>
      </c>
      <c r="B2570" s="193" t="s">
        <v>5430</v>
      </c>
      <c r="C2570" s="214" t="s">
        <v>3361</v>
      </c>
      <c r="D2570" s="193" t="s">
        <v>3362</v>
      </c>
      <c r="E2570" s="212" t="s">
        <v>545</v>
      </c>
      <c r="F2570" s="215">
        <v>12</v>
      </c>
      <c r="G2570" s="194">
        <v>6.2471578947368425</v>
      </c>
      <c r="H2570" s="195">
        <v>74.965894736842102</v>
      </c>
      <c r="I2570" s="212" t="s">
        <v>2354</v>
      </c>
    </row>
    <row r="2571" spans="1:9" x14ac:dyDescent="0.25">
      <c r="A2571" s="193" t="s">
        <v>220</v>
      </c>
      <c r="B2571" s="193" t="s">
        <v>2351</v>
      </c>
      <c r="C2571" s="214" t="s">
        <v>3010</v>
      </c>
      <c r="D2571" s="193" t="s">
        <v>3011</v>
      </c>
      <c r="E2571" s="212" t="s">
        <v>545</v>
      </c>
      <c r="F2571" s="213">
        <v>6</v>
      </c>
      <c r="G2571" s="194">
        <v>12.5</v>
      </c>
      <c r="H2571" s="195">
        <v>75</v>
      </c>
      <c r="I2571" s="212" t="s">
        <v>2354</v>
      </c>
    </row>
    <row r="2572" spans="1:9" x14ac:dyDescent="0.25">
      <c r="A2572" s="193" t="s">
        <v>220</v>
      </c>
      <c r="B2572" s="193" t="s">
        <v>2351</v>
      </c>
      <c r="C2572" s="214" t="s">
        <v>4672</v>
      </c>
      <c r="D2572" s="193" t="s">
        <v>4673</v>
      </c>
      <c r="E2572" s="212" t="s">
        <v>545</v>
      </c>
      <c r="F2572" s="215">
        <v>65</v>
      </c>
      <c r="G2572" s="194">
        <v>1.1539999999999999</v>
      </c>
      <c r="H2572" s="195">
        <v>75.009999999999991</v>
      </c>
      <c r="I2572" s="212" t="s">
        <v>2354</v>
      </c>
    </row>
    <row r="2573" spans="1:9" x14ac:dyDescent="0.25">
      <c r="A2573" s="193" t="s">
        <v>220</v>
      </c>
      <c r="B2573" s="193" t="s">
        <v>2351</v>
      </c>
      <c r="C2573" s="214" t="s">
        <v>3016</v>
      </c>
      <c r="D2573" s="193" t="s">
        <v>3017</v>
      </c>
      <c r="E2573" s="212" t="s">
        <v>545</v>
      </c>
      <c r="F2573" s="213">
        <v>7</v>
      </c>
      <c r="G2573" s="194">
        <v>10.744199999999999</v>
      </c>
      <c r="H2573" s="195">
        <v>75.209399999999988</v>
      </c>
      <c r="I2573" s="212" t="s">
        <v>2354</v>
      </c>
    </row>
    <row r="2574" spans="1:9" x14ac:dyDescent="0.25">
      <c r="A2574" s="193" t="s">
        <v>220</v>
      </c>
      <c r="B2574" s="193" t="s">
        <v>5430</v>
      </c>
      <c r="C2574" s="193" t="s">
        <v>3016</v>
      </c>
      <c r="D2574" s="193" t="s">
        <v>3017</v>
      </c>
      <c r="E2574" s="212" t="s">
        <v>545</v>
      </c>
      <c r="F2574" s="213">
        <v>7</v>
      </c>
      <c r="G2574" s="194">
        <v>10.744199999999999</v>
      </c>
      <c r="H2574" s="195">
        <v>75.209399999999988</v>
      </c>
      <c r="I2574" s="212" t="s">
        <v>2354</v>
      </c>
    </row>
    <row r="2575" spans="1:9" x14ac:dyDescent="0.25">
      <c r="A2575" s="193" t="s">
        <v>220</v>
      </c>
      <c r="B2575" s="193" t="s">
        <v>5430</v>
      </c>
      <c r="C2575" s="193" t="s">
        <v>6507</v>
      </c>
      <c r="D2575" s="193" t="s">
        <v>6508</v>
      </c>
      <c r="E2575" s="212" t="s">
        <v>545</v>
      </c>
      <c r="F2575" s="215">
        <v>5</v>
      </c>
      <c r="G2575" s="194">
        <v>15.05</v>
      </c>
      <c r="H2575" s="195">
        <v>75.25</v>
      </c>
      <c r="I2575" s="212" t="s">
        <v>2354</v>
      </c>
    </row>
    <row r="2576" spans="1:9" x14ac:dyDescent="0.25">
      <c r="A2576" s="193" t="s">
        <v>220</v>
      </c>
      <c r="B2576" s="193" t="s">
        <v>5430</v>
      </c>
      <c r="C2576" s="193" t="s">
        <v>7135</v>
      </c>
      <c r="D2576" s="193" t="s">
        <v>7136</v>
      </c>
      <c r="E2576" s="212" t="s">
        <v>545</v>
      </c>
      <c r="F2576" s="213">
        <v>2</v>
      </c>
      <c r="G2576" s="194">
        <v>37.643999999999998</v>
      </c>
      <c r="H2576" s="195">
        <v>75.287999999999997</v>
      </c>
      <c r="I2576" s="212" t="s">
        <v>2354</v>
      </c>
    </row>
    <row r="2577" spans="1:9" x14ac:dyDescent="0.25">
      <c r="A2577" s="193" t="s">
        <v>220</v>
      </c>
      <c r="B2577" s="193" t="s">
        <v>5430</v>
      </c>
      <c r="C2577" s="193" t="s">
        <v>6417</v>
      </c>
      <c r="D2577" s="193" t="s">
        <v>6418</v>
      </c>
      <c r="E2577" s="212" t="s">
        <v>545</v>
      </c>
      <c r="F2577" s="213">
        <v>2</v>
      </c>
      <c r="G2577" s="194">
        <v>37.646999999999998</v>
      </c>
      <c r="H2577" s="195">
        <v>75.293999999999997</v>
      </c>
      <c r="I2577" s="212" t="s">
        <v>2354</v>
      </c>
    </row>
    <row r="2578" spans="1:9" x14ac:dyDescent="0.25">
      <c r="A2578" s="193" t="s">
        <v>220</v>
      </c>
      <c r="B2578" s="193" t="s">
        <v>5430</v>
      </c>
      <c r="C2578" s="193" t="s">
        <v>6152</v>
      </c>
      <c r="D2578" s="193" t="s">
        <v>6153</v>
      </c>
      <c r="E2578" s="212" t="s">
        <v>545</v>
      </c>
      <c r="F2578" s="215">
        <v>2</v>
      </c>
      <c r="G2578" s="194">
        <v>37.705500000000001</v>
      </c>
      <c r="H2578" s="195">
        <v>75.411000000000001</v>
      </c>
      <c r="I2578" s="212" t="s">
        <v>2354</v>
      </c>
    </row>
    <row r="2579" spans="1:9" x14ac:dyDescent="0.25">
      <c r="A2579" s="193" t="s">
        <v>220</v>
      </c>
      <c r="B2579" s="193" t="s">
        <v>2351</v>
      </c>
      <c r="C2579" s="193" t="s">
        <v>4510</v>
      </c>
      <c r="D2579" s="193" t="s">
        <v>4511</v>
      </c>
      <c r="E2579" s="212" t="s">
        <v>545</v>
      </c>
      <c r="F2579" s="215">
        <v>10</v>
      </c>
      <c r="G2579" s="194">
        <v>7.541785714285715</v>
      </c>
      <c r="H2579" s="195">
        <v>75.417857142857144</v>
      </c>
      <c r="I2579" s="212" t="s">
        <v>2354</v>
      </c>
    </row>
    <row r="2580" spans="1:9" x14ac:dyDescent="0.25">
      <c r="A2580" s="193" t="s">
        <v>220</v>
      </c>
      <c r="B2580" s="193" t="s">
        <v>2351</v>
      </c>
      <c r="C2580" s="193" t="s">
        <v>5252</v>
      </c>
      <c r="D2580" s="193" t="s">
        <v>5253</v>
      </c>
      <c r="E2580" s="212" t="s">
        <v>545</v>
      </c>
      <c r="F2580" s="215">
        <v>1</v>
      </c>
      <c r="G2580" s="194">
        <v>75.494450000000001</v>
      </c>
      <c r="H2580" s="195">
        <v>75.494450000000001</v>
      </c>
      <c r="I2580" s="212" t="s">
        <v>2354</v>
      </c>
    </row>
    <row r="2581" spans="1:9" x14ac:dyDescent="0.25">
      <c r="A2581" s="193" t="s">
        <v>220</v>
      </c>
      <c r="B2581" s="193" t="s">
        <v>2351</v>
      </c>
      <c r="C2581" s="193" t="s">
        <v>3583</v>
      </c>
      <c r="D2581" s="193" t="s">
        <v>3584</v>
      </c>
      <c r="E2581" s="212" t="s">
        <v>545</v>
      </c>
      <c r="F2581" s="215">
        <v>28</v>
      </c>
      <c r="G2581" s="194">
        <v>2.7</v>
      </c>
      <c r="H2581" s="195">
        <v>75.600000000000009</v>
      </c>
      <c r="I2581" s="212" t="s">
        <v>2354</v>
      </c>
    </row>
    <row r="2582" spans="1:9" x14ac:dyDescent="0.25">
      <c r="A2582" s="193" t="s">
        <v>220</v>
      </c>
      <c r="B2582" s="193" t="s">
        <v>5430</v>
      </c>
      <c r="C2582" s="193" t="s">
        <v>3020</v>
      </c>
      <c r="D2582" s="193" t="s">
        <v>3021</v>
      </c>
      <c r="E2582" s="212" t="s">
        <v>545</v>
      </c>
      <c r="F2582" s="215">
        <v>7</v>
      </c>
      <c r="G2582" s="194">
        <v>10.8</v>
      </c>
      <c r="H2582" s="195">
        <v>75.600000000000009</v>
      </c>
      <c r="I2582" s="212" t="s">
        <v>2354</v>
      </c>
    </row>
    <row r="2583" spans="1:9" x14ac:dyDescent="0.25">
      <c r="A2583" s="193" t="s">
        <v>220</v>
      </c>
      <c r="B2583" s="193" t="s">
        <v>2351</v>
      </c>
      <c r="C2583" s="193" t="s">
        <v>4057</v>
      </c>
      <c r="D2583" s="193" t="s">
        <v>4058</v>
      </c>
      <c r="E2583" s="212" t="s">
        <v>545</v>
      </c>
      <c r="F2583" s="215">
        <v>5</v>
      </c>
      <c r="G2583" s="194">
        <v>15.1264</v>
      </c>
      <c r="H2583" s="195">
        <v>75.632000000000005</v>
      </c>
      <c r="I2583" s="212" t="s">
        <v>2354</v>
      </c>
    </row>
    <row r="2584" spans="1:9" x14ac:dyDescent="0.25">
      <c r="A2584" s="193" t="s">
        <v>220</v>
      </c>
      <c r="B2584" s="193" t="s">
        <v>5430</v>
      </c>
      <c r="C2584" s="193" t="s">
        <v>3595</v>
      </c>
      <c r="D2584" s="193" t="s">
        <v>3596</v>
      </c>
      <c r="E2584" s="212" t="s">
        <v>545</v>
      </c>
      <c r="F2584" s="215">
        <v>23</v>
      </c>
      <c r="G2584" s="194">
        <v>3.2980000000000005</v>
      </c>
      <c r="H2584" s="195">
        <v>75.854000000000013</v>
      </c>
      <c r="I2584" s="212" t="s">
        <v>2354</v>
      </c>
    </row>
    <row r="2585" spans="1:9" x14ac:dyDescent="0.25">
      <c r="A2585" s="193" t="s">
        <v>220</v>
      </c>
      <c r="B2585" s="193" t="s">
        <v>2351</v>
      </c>
      <c r="C2585" s="193" t="s">
        <v>3895</v>
      </c>
      <c r="D2585" s="193" t="s">
        <v>3896</v>
      </c>
      <c r="E2585" s="212" t="s">
        <v>545</v>
      </c>
      <c r="F2585" s="215">
        <v>1</v>
      </c>
      <c r="G2585" s="194">
        <v>75.921300000000002</v>
      </c>
      <c r="H2585" s="195">
        <v>75.921300000000002</v>
      </c>
      <c r="I2585" s="212" t="s">
        <v>2354</v>
      </c>
    </row>
    <row r="2586" spans="1:9" x14ac:dyDescent="0.25">
      <c r="A2586" s="193" t="s">
        <v>220</v>
      </c>
      <c r="B2586" s="193" t="s">
        <v>5430</v>
      </c>
      <c r="C2586" s="193" t="s">
        <v>3547</v>
      </c>
      <c r="D2586" s="193" t="s">
        <v>3548</v>
      </c>
      <c r="E2586" s="212" t="s">
        <v>545</v>
      </c>
      <c r="F2586" s="215">
        <v>20</v>
      </c>
      <c r="G2586" s="194">
        <v>3.8079999999999998</v>
      </c>
      <c r="H2586" s="195">
        <v>76.16</v>
      </c>
      <c r="I2586" s="212" t="s">
        <v>2354</v>
      </c>
    </row>
    <row r="2587" spans="1:9" x14ac:dyDescent="0.25">
      <c r="A2587" s="193" t="s">
        <v>220</v>
      </c>
      <c r="B2587" s="193" t="s">
        <v>5430</v>
      </c>
      <c r="C2587" s="193" t="s">
        <v>4249</v>
      </c>
      <c r="D2587" s="193" t="s">
        <v>4250</v>
      </c>
      <c r="E2587" s="212" t="s">
        <v>545</v>
      </c>
      <c r="F2587" s="215">
        <v>1</v>
      </c>
      <c r="G2587" s="194">
        <v>76.388249999999999</v>
      </c>
      <c r="H2587" s="195">
        <v>76.388249999999999</v>
      </c>
      <c r="I2587" s="212" t="s">
        <v>2354</v>
      </c>
    </row>
    <row r="2588" spans="1:9" x14ac:dyDescent="0.25">
      <c r="A2588" s="193" t="s">
        <v>220</v>
      </c>
      <c r="B2588" s="193" t="s">
        <v>5430</v>
      </c>
      <c r="C2588" s="193" t="s">
        <v>5526</v>
      </c>
      <c r="D2588" s="193" t="s">
        <v>5527</v>
      </c>
      <c r="E2588" s="212" t="s">
        <v>545</v>
      </c>
      <c r="F2588" s="195">
        <v>1</v>
      </c>
      <c r="G2588" s="194">
        <v>76.664050000000003</v>
      </c>
      <c r="H2588" s="195">
        <v>76.664050000000003</v>
      </c>
      <c r="I2588" s="212" t="s">
        <v>2354</v>
      </c>
    </row>
    <row r="2589" spans="1:9" x14ac:dyDescent="0.25">
      <c r="A2589" s="193" t="s">
        <v>220</v>
      </c>
      <c r="B2589" s="193" t="s">
        <v>5430</v>
      </c>
      <c r="C2589" s="193" t="s">
        <v>5739</v>
      </c>
      <c r="D2589" s="193" t="s">
        <v>5740</v>
      </c>
      <c r="E2589" s="212" t="s">
        <v>545</v>
      </c>
      <c r="F2589" s="195">
        <v>4</v>
      </c>
      <c r="G2589" s="194">
        <v>19.170000000000002</v>
      </c>
      <c r="H2589" s="195">
        <v>76.680000000000007</v>
      </c>
      <c r="I2589" s="212" t="s">
        <v>2354</v>
      </c>
    </row>
    <row r="2590" spans="1:9" x14ac:dyDescent="0.25">
      <c r="A2590" s="193" t="s">
        <v>220</v>
      </c>
      <c r="B2590" s="193" t="s">
        <v>5430</v>
      </c>
      <c r="C2590" s="193" t="s">
        <v>6541</v>
      </c>
      <c r="D2590" s="193" t="s">
        <v>6542</v>
      </c>
      <c r="E2590" s="212" t="s">
        <v>545</v>
      </c>
      <c r="F2590" s="195">
        <v>3</v>
      </c>
      <c r="G2590" s="194">
        <v>25.6</v>
      </c>
      <c r="H2590" s="195">
        <v>76.800000000000011</v>
      </c>
      <c r="I2590" s="212" t="s">
        <v>2354</v>
      </c>
    </row>
    <row r="2591" spans="1:9" x14ac:dyDescent="0.25">
      <c r="A2591" s="193" t="s">
        <v>220</v>
      </c>
      <c r="B2591" s="193" t="s">
        <v>2351</v>
      </c>
      <c r="C2591" s="193" t="s">
        <v>4165</v>
      </c>
      <c r="D2591" s="193" t="s">
        <v>4166</v>
      </c>
      <c r="E2591" s="212" t="s">
        <v>545</v>
      </c>
      <c r="F2591" s="195">
        <v>1</v>
      </c>
      <c r="G2591" s="194">
        <v>77.048000000000002</v>
      </c>
      <c r="H2591" s="195">
        <v>77.048000000000002</v>
      </c>
      <c r="I2591" s="212" t="s">
        <v>2354</v>
      </c>
    </row>
    <row r="2592" spans="1:9" x14ac:dyDescent="0.25">
      <c r="A2592" s="193" t="s">
        <v>220</v>
      </c>
      <c r="B2592" s="193" t="s">
        <v>2351</v>
      </c>
      <c r="C2592" s="193" t="s">
        <v>3339</v>
      </c>
      <c r="D2592" s="193" t="s">
        <v>3340</v>
      </c>
      <c r="E2592" s="212" t="s">
        <v>545</v>
      </c>
      <c r="F2592" s="195">
        <v>50</v>
      </c>
      <c r="G2592" s="194">
        <v>1.5419375000000002</v>
      </c>
      <c r="H2592" s="195">
        <v>77.096875000000011</v>
      </c>
      <c r="I2592" s="212" t="s">
        <v>2354</v>
      </c>
    </row>
    <row r="2593" spans="1:9" x14ac:dyDescent="0.25">
      <c r="A2593" s="193" t="s">
        <v>220</v>
      </c>
      <c r="B2593" s="193" t="s">
        <v>2351</v>
      </c>
      <c r="C2593" s="193" t="s">
        <v>3573</v>
      </c>
      <c r="D2593" s="193" t="s">
        <v>3574</v>
      </c>
      <c r="E2593" s="212" t="s">
        <v>545</v>
      </c>
      <c r="F2593" s="195">
        <v>14</v>
      </c>
      <c r="G2593" s="194">
        <v>5.5250000000000004</v>
      </c>
      <c r="H2593" s="195">
        <v>77.350000000000009</v>
      </c>
      <c r="I2593" s="212" t="s">
        <v>2354</v>
      </c>
    </row>
    <row r="2594" spans="1:9" x14ac:dyDescent="0.25">
      <c r="A2594" s="193" t="s">
        <v>220</v>
      </c>
      <c r="B2594" s="193" t="s">
        <v>2351</v>
      </c>
      <c r="C2594" s="193" t="s">
        <v>2958</v>
      </c>
      <c r="D2594" s="193" t="s">
        <v>2959</v>
      </c>
      <c r="E2594" s="212" t="s">
        <v>545</v>
      </c>
      <c r="F2594" s="195">
        <v>3</v>
      </c>
      <c r="G2594" s="194">
        <v>25.794</v>
      </c>
      <c r="H2594" s="195">
        <v>77.382000000000005</v>
      </c>
      <c r="I2594" s="212" t="s">
        <v>2354</v>
      </c>
    </row>
    <row r="2595" spans="1:9" x14ac:dyDescent="0.25">
      <c r="A2595" s="193" t="s">
        <v>220</v>
      </c>
      <c r="B2595" s="193" t="s">
        <v>2351</v>
      </c>
      <c r="C2595" s="193" t="s">
        <v>3125</v>
      </c>
      <c r="D2595" s="193" t="s">
        <v>3126</v>
      </c>
      <c r="E2595" s="212" t="s">
        <v>545</v>
      </c>
      <c r="F2595" s="195">
        <v>1</v>
      </c>
      <c r="G2595" s="194">
        <v>77.400000000000006</v>
      </c>
      <c r="H2595" s="195">
        <v>77.400000000000006</v>
      </c>
      <c r="I2595" s="212" t="s">
        <v>2354</v>
      </c>
    </row>
    <row r="2596" spans="1:9" x14ac:dyDescent="0.25">
      <c r="A2596" s="294" t="s">
        <v>220</v>
      </c>
      <c r="B2596" s="294" t="s">
        <v>2351</v>
      </c>
      <c r="C2596" s="294" t="s">
        <v>4285</v>
      </c>
      <c r="D2596" s="294" t="s">
        <v>4286</v>
      </c>
      <c r="E2596" s="295" t="s">
        <v>545</v>
      </c>
      <c r="F2596" s="296">
        <v>1</v>
      </c>
      <c r="G2596" s="297">
        <v>77.400000000000006</v>
      </c>
      <c r="H2596" s="296">
        <v>77.400000000000006</v>
      </c>
      <c r="I2596" s="295" t="s">
        <v>2354</v>
      </c>
    </row>
    <row r="2597" spans="1:9" x14ac:dyDescent="0.25">
      <c r="A2597" s="193" t="s">
        <v>220</v>
      </c>
      <c r="B2597" s="193" t="s">
        <v>5430</v>
      </c>
      <c r="C2597" s="193" t="s">
        <v>4867</v>
      </c>
      <c r="D2597" s="193" t="s">
        <v>4868</v>
      </c>
      <c r="E2597" s="212" t="s">
        <v>545</v>
      </c>
      <c r="F2597" s="195">
        <v>111</v>
      </c>
      <c r="G2597" s="194">
        <v>0.69750999999999985</v>
      </c>
      <c r="H2597" s="195">
        <v>77.423609999999982</v>
      </c>
      <c r="I2597" s="212" t="s">
        <v>2354</v>
      </c>
    </row>
    <row r="2598" spans="1:9" x14ac:dyDescent="0.25">
      <c r="A2598" s="193" t="s">
        <v>220</v>
      </c>
      <c r="B2598" s="193" t="s">
        <v>5430</v>
      </c>
      <c r="C2598" s="193" t="s">
        <v>6581</v>
      </c>
      <c r="D2598" s="193" t="s">
        <v>6582</v>
      </c>
      <c r="E2598" s="212" t="s">
        <v>545</v>
      </c>
      <c r="F2598" s="195">
        <v>5</v>
      </c>
      <c r="G2598" s="194">
        <v>15.486149999999999</v>
      </c>
      <c r="H2598" s="195">
        <v>77.430749999999989</v>
      </c>
      <c r="I2598" s="212" t="s">
        <v>2354</v>
      </c>
    </row>
    <row r="2599" spans="1:9" x14ac:dyDescent="0.25">
      <c r="A2599" s="193" t="s">
        <v>220</v>
      </c>
      <c r="B2599" s="193" t="s">
        <v>2351</v>
      </c>
      <c r="C2599" s="193" t="s">
        <v>3243</v>
      </c>
      <c r="D2599" s="193" t="s">
        <v>5334</v>
      </c>
      <c r="E2599" s="212" t="s">
        <v>545</v>
      </c>
      <c r="F2599" s="195">
        <v>2</v>
      </c>
      <c r="G2599" s="194">
        <v>38.771999999999998</v>
      </c>
      <c r="H2599" s="195">
        <v>77.543999999999997</v>
      </c>
      <c r="I2599" s="212" t="s">
        <v>2354</v>
      </c>
    </row>
    <row r="2600" spans="1:9" x14ac:dyDescent="0.25">
      <c r="A2600" s="193" t="s">
        <v>220</v>
      </c>
      <c r="B2600" s="193" t="s">
        <v>5430</v>
      </c>
      <c r="C2600" s="193" t="s">
        <v>6553</v>
      </c>
      <c r="D2600" s="193" t="s">
        <v>6554</v>
      </c>
      <c r="E2600" s="212" t="s">
        <v>545</v>
      </c>
      <c r="F2600" s="195">
        <v>9</v>
      </c>
      <c r="G2600" s="194">
        <v>8.6265000000000001</v>
      </c>
      <c r="H2600" s="195">
        <v>77.638499999999993</v>
      </c>
      <c r="I2600" s="212" t="s">
        <v>2354</v>
      </c>
    </row>
    <row r="2601" spans="1:9" x14ac:dyDescent="0.25">
      <c r="A2601" s="193" t="s">
        <v>220</v>
      </c>
      <c r="B2601" s="193" t="s">
        <v>5430</v>
      </c>
      <c r="C2601" s="193" t="s">
        <v>6609</v>
      </c>
      <c r="D2601" s="193" t="s">
        <v>6610</v>
      </c>
      <c r="E2601" s="212" t="s">
        <v>2387</v>
      </c>
      <c r="F2601" s="195">
        <v>4</v>
      </c>
      <c r="G2601" s="194">
        <v>19.467633042096907</v>
      </c>
      <c r="H2601" s="195">
        <v>77.870532168387626</v>
      </c>
      <c r="I2601" s="212" t="s">
        <v>2354</v>
      </c>
    </row>
    <row r="2602" spans="1:9" x14ac:dyDescent="0.25">
      <c r="A2602" s="193" t="s">
        <v>220</v>
      </c>
      <c r="B2602" s="193" t="s">
        <v>2351</v>
      </c>
      <c r="C2602" s="193"/>
      <c r="D2602" s="193" t="s">
        <v>2355</v>
      </c>
      <c r="E2602" s="212" t="s">
        <v>545</v>
      </c>
      <c r="F2602" s="195">
        <v>8</v>
      </c>
      <c r="G2602" s="194">
        <v>9.7360000000000007</v>
      </c>
      <c r="H2602" s="195">
        <v>77.888000000000005</v>
      </c>
      <c r="I2602" s="212" t="s">
        <v>2354</v>
      </c>
    </row>
    <row r="2603" spans="1:9" x14ac:dyDescent="0.25">
      <c r="A2603" s="193" t="s">
        <v>220</v>
      </c>
      <c r="B2603" s="193" t="s">
        <v>2351</v>
      </c>
      <c r="C2603" s="193" t="s">
        <v>3611</v>
      </c>
      <c r="D2603" s="193" t="s">
        <v>3612</v>
      </c>
      <c r="E2603" s="212" t="s">
        <v>545</v>
      </c>
      <c r="F2603" s="195">
        <v>5</v>
      </c>
      <c r="G2603" s="194">
        <v>15.581</v>
      </c>
      <c r="H2603" s="195">
        <v>77.905000000000001</v>
      </c>
      <c r="I2603" s="212" t="s">
        <v>2354</v>
      </c>
    </row>
    <row r="2604" spans="1:9" x14ac:dyDescent="0.25">
      <c r="A2604" s="218" t="s">
        <v>220</v>
      </c>
      <c r="B2604" s="218" t="s">
        <v>5430</v>
      </c>
      <c r="C2604" s="219" t="s">
        <v>5963</v>
      </c>
      <c r="D2604" s="212" t="s">
        <v>5964</v>
      </c>
      <c r="E2604" s="212" t="s">
        <v>545</v>
      </c>
      <c r="F2604" s="213">
        <v>3</v>
      </c>
      <c r="G2604" s="213">
        <v>25.974</v>
      </c>
      <c r="H2604" s="195">
        <v>77.921999999999997</v>
      </c>
      <c r="I2604" s="212" t="s">
        <v>2354</v>
      </c>
    </row>
    <row r="2605" spans="1:9" x14ac:dyDescent="0.25">
      <c r="A2605" s="218" t="s">
        <v>220</v>
      </c>
      <c r="B2605" s="218" t="s">
        <v>5430</v>
      </c>
      <c r="C2605" s="219" t="s">
        <v>3145</v>
      </c>
      <c r="D2605" s="212" t="s">
        <v>3146</v>
      </c>
      <c r="E2605" s="212" t="s">
        <v>545</v>
      </c>
      <c r="F2605" s="213">
        <v>23</v>
      </c>
      <c r="G2605" s="213">
        <v>3.3993000000000002</v>
      </c>
      <c r="H2605" s="195">
        <v>78.183900000000008</v>
      </c>
      <c r="I2605" s="212" t="s">
        <v>2354</v>
      </c>
    </row>
    <row r="2606" spans="1:9" x14ac:dyDescent="0.25">
      <c r="A2606" s="218" t="s">
        <v>220</v>
      </c>
      <c r="B2606" s="218" t="s">
        <v>2351</v>
      </c>
      <c r="C2606" s="219" t="s">
        <v>5038</v>
      </c>
      <c r="D2606" s="212" t="s">
        <v>5039</v>
      </c>
      <c r="E2606" s="212" t="s">
        <v>545</v>
      </c>
      <c r="F2606" s="213">
        <v>352</v>
      </c>
      <c r="G2606" s="194">
        <v>0.224</v>
      </c>
      <c r="H2606" s="195">
        <v>78.847999999999999</v>
      </c>
      <c r="I2606" s="212" t="s">
        <v>2354</v>
      </c>
    </row>
    <row r="2607" spans="1:9" x14ac:dyDescent="0.25">
      <c r="A2607" s="218" t="s">
        <v>220</v>
      </c>
      <c r="B2607" s="218" t="s">
        <v>2351</v>
      </c>
      <c r="C2607" s="219" t="s">
        <v>3006</v>
      </c>
      <c r="D2607" s="212" t="s">
        <v>3007</v>
      </c>
      <c r="E2607" s="212" t="s">
        <v>545</v>
      </c>
      <c r="F2607" s="213">
        <v>10</v>
      </c>
      <c r="G2607" s="194">
        <v>7.92</v>
      </c>
      <c r="H2607" s="195">
        <v>79.2</v>
      </c>
      <c r="I2607" s="212" t="s">
        <v>2354</v>
      </c>
    </row>
    <row r="2608" spans="1:9" x14ac:dyDescent="0.25">
      <c r="A2608" s="218" t="s">
        <v>220</v>
      </c>
      <c r="B2608" s="218" t="s">
        <v>5430</v>
      </c>
      <c r="C2608" s="219" t="s">
        <v>5717</v>
      </c>
      <c r="D2608" s="212" t="s">
        <v>5718</v>
      </c>
      <c r="E2608" s="212" t="s">
        <v>545</v>
      </c>
      <c r="F2608" s="213">
        <v>4</v>
      </c>
      <c r="G2608" s="194">
        <v>19.8</v>
      </c>
      <c r="H2608" s="195">
        <v>79.2</v>
      </c>
      <c r="I2608" s="212" t="s">
        <v>2354</v>
      </c>
    </row>
    <row r="2609" spans="1:9" x14ac:dyDescent="0.25">
      <c r="A2609" s="218" t="s">
        <v>220</v>
      </c>
      <c r="B2609" s="218" t="s">
        <v>5430</v>
      </c>
      <c r="C2609" s="219" t="s">
        <v>5727</v>
      </c>
      <c r="D2609" s="212" t="s">
        <v>5728</v>
      </c>
      <c r="E2609" s="212" t="s">
        <v>545</v>
      </c>
      <c r="F2609" s="213">
        <v>4</v>
      </c>
      <c r="G2609" s="213">
        <v>19.8</v>
      </c>
      <c r="H2609" s="195">
        <v>79.2</v>
      </c>
      <c r="I2609" s="212" t="s">
        <v>2354</v>
      </c>
    </row>
    <row r="2610" spans="1:9" x14ac:dyDescent="0.25">
      <c r="A2610" s="218" t="s">
        <v>220</v>
      </c>
      <c r="B2610" s="218" t="s">
        <v>5430</v>
      </c>
      <c r="C2610" s="219" t="s">
        <v>3655</v>
      </c>
      <c r="D2610" s="212" t="s">
        <v>3656</v>
      </c>
      <c r="E2610" s="212" t="s">
        <v>545</v>
      </c>
      <c r="F2610" s="213">
        <v>22</v>
      </c>
      <c r="G2610" s="194">
        <v>3.6</v>
      </c>
      <c r="H2610" s="195">
        <v>79.2</v>
      </c>
      <c r="I2610" s="212" t="s">
        <v>2354</v>
      </c>
    </row>
    <row r="2611" spans="1:9" x14ac:dyDescent="0.25">
      <c r="A2611" s="218" t="s">
        <v>220</v>
      </c>
      <c r="B2611" s="218" t="s">
        <v>5430</v>
      </c>
      <c r="C2611" s="219" t="s">
        <v>6532</v>
      </c>
      <c r="D2611" s="212" t="s">
        <v>6533</v>
      </c>
      <c r="E2611" s="212" t="s">
        <v>545</v>
      </c>
      <c r="F2611" s="213">
        <v>15</v>
      </c>
      <c r="G2611" s="213">
        <v>5.3125</v>
      </c>
      <c r="H2611" s="195">
        <v>79.6875</v>
      </c>
      <c r="I2611" s="212" t="s">
        <v>2354</v>
      </c>
    </row>
    <row r="2612" spans="1:9" x14ac:dyDescent="0.25">
      <c r="A2612" s="218" t="s">
        <v>220</v>
      </c>
      <c r="B2612" s="218" t="s">
        <v>2351</v>
      </c>
      <c r="C2612" s="219" t="s">
        <v>4375</v>
      </c>
      <c r="D2612" s="212" t="s">
        <v>4376</v>
      </c>
      <c r="E2612" s="212" t="s">
        <v>545</v>
      </c>
      <c r="F2612" s="213">
        <v>120</v>
      </c>
      <c r="G2612" s="213">
        <v>0.66420000000000001</v>
      </c>
      <c r="H2612" s="195">
        <v>79.704000000000008</v>
      </c>
      <c r="I2612" s="212" t="s">
        <v>2354</v>
      </c>
    </row>
    <row r="2613" spans="1:9" x14ac:dyDescent="0.25">
      <c r="A2613" s="218" t="s">
        <v>220</v>
      </c>
      <c r="B2613" s="218" t="s">
        <v>2351</v>
      </c>
      <c r="C2613" s="219" t="s">
        <v>2782</v>
      </c>
      <c r="D2613" s="212" t="s">
        <v>2783</v>
      </c>
      <c r="E2613" s="212" t="s">
        <v>545</v>
      </c>
      <c r="F2613" s="213">
        <v>8</v>
      </c>
      <c r="G2613" s="213">
        <v>9.9930000000000003</v>
      </c>
      <c r="H2613" s="195">
        <v>79.944000000000003</v>
      </c>
      <c r="I2613" s="212" t="s">
        <v>2354</v>
      </c>
    </row>
    <row r="2614" spans="1:9" x14ac:dyDescent="0.25">
      <c r="A2614" s="218" t="s">
        <v>220</v>
      </c>
      <c r="B2614" s="218" t="s">
        <v>2351</v>
      </c>
      <c r="C2614" s="219" t="s">
        <v>3999</v>
      </c>
      <c r="D2614" s="212" t="s">
        <v>4000</v>
      </c>
      <c r="E2614" s="212" t="s">
        <v>545</v>
      </c>
      <c r="F2614" s="213">
        <v>10</v>
      </c>
      <c r="G2614" s="194">
        <v>8</v>
      </c>
      <c r="H2614" s="195">
        <v>80</v>
      </c>
      <c r="I2614" s="212" t="s">
        <v>2354</v>
      </c>
    </row>
    <row r="2615" spans="1:9" x14ac:dyDescent="0.25">
      <c r="A2615" s="218" t="s">
        <v>220</v>
      </c>
      <c r="B2615" s="218" t="s">
        <v>5430</v>
      </c>
      <c r="C2615" s="219" t="s">
        <v>6484</v>
      </c>
      <c r="D2615" s="212" t="s">
        <v>6485</v>
      </c>
      <c r="E2615" s="212" t="s">
        <v>545</v>
      </c>
      <c r="F2615" s="213">
        <v>12</v>
      </c>
      <c r="G2615" s="194">
        <v>6.687954545454545</v>
      </c>
      <c r="H2615" s="195">
        <v>80.25545454545454</v>
      </c>
      <c r="I2615" s="212" t="s">
        <v>2354</v>
      </c>
    </row>
    <row r="2616" spans="1:9" x14ac:dyDescent="0.25">
      <c r="A2616" s="218" t="s">
        <v>220</v>
      </c>
      <c r="B2616" s="218" t="s">
        <v>2351</v>
      </c>
      <c r="C2616" s="219" t="s">
        <v>4714</v>
      </c>
      <c r="D2616" s="212" t="s">
        <v>4715</v>
      </c>
      <c r="E2616" s="212" t="s">
        <v>545</v>
      </c>
      <c r="F2616" s="213">
        <v>250</v>
      </c>
      <c r="G2616" s="194">
        <v>0.32140750000000007</v>
      </c>
      <c r="H2616" s="195">
        <v>80.351875000000021</v>
      </c>
      <c r="I2616" s="212" t="s">
        <v>2354</v>
      </c>
    </row>
    <row r="2617" spans="1:9" x14ac:dyDescent="0.25">
      <c r="A2617" s="218" t="s">
        <v>220</v>
      </c>
      <c r="B2617" s="218" t="s">
        <v>2351</v>
      </c>
      <c r="C2617" s="219" t="s">
        <v>2488</v>
      </c>
      <c r="D2617" s="212" t="s">
        <v>2489</v>
      </c>
      <c r="E2617" s="212" t="s">
        <v>545</v>
      </c>
      <c r="F2617" s="213">
        <v>1</v>
      </c>
      <c r="G2617" s="194">
        <v>80.519000000000005</v>
      </c>
      <c r="H2617" s="195">
        <v>80.519000000000005</v>
      </c>
      <c r="I2617" s="212" t="s">
        <v>2354</v>
      </c>
    </row>
    <row r="2618" spans="1:9" x14ac:dyDescent="0.25">
      <c r="A2618" s="218" t="s">
        <v>220</v>
      </c>
      <c r="B2618" s="218" t="s">
        <v>5430</v>
      </c>
      <c r="C2618" s="219" t="s">
        <v>3457</v>
      </c>
      <c r="D2618" s="212" t="s">
        <v>3458</v>
      </c>
      <c r="E2618" s="212" t="s">
        <v>2387</v>
      </c>
      <c r="F2618" s="213">
        <v>70</v>
      </c>
      <c r="G2618" s="213">
        <v>1.1511</v>
      </c>
      <c r="H2618" s="195">
        <v>80.576999999999998</v>
      </c>
      <c r="I2618" s="212" t="s">
        <v>2354</v>
      </c>
    </row>
    <row r="2619" spans="1:9" x14ac:dyDescent="0.25">
      <c r="A2619" s="218" t="s">
        <v>220</v>
      </c>
      <c r="B2619" s="218" t="s">
        <v>2351</v>
      </c>
      <c r="C2619" s="219" t="s">
        <v>2550</v>
      </c>
      <c r="D2619" s="212" t="s">
        <v>2551</v>
      </c>
      <c r="E2619" s="212" t="s">
        <v>545</v>
      </c>
      <c r="F2619" s="213">
        <v>1</v>
      </c>
      <c r="G2619" s="194">
        <v>80.75</v>
      </c>
      <c r="H2619" s="195">
        <v>80.75</v>
      </c>
      <c r="I2619" s="212" t="s">
        <v>2354</v>
      </c>
    </row>
    <row r="2620" spans="1:9" x14ac:dyDescent="0.25">
      <c r="A2620" s="218" t="s">
        <v>220</v>
      </c>
      <c r="B2620" s="218" t="s">
        <v>2351</v>
      </c>
      <c r="C2620" s="219" t="s">
        <v>2552</v>
      </c>
      <c r="D2620" s="212" t="s">
        <v>2553</v>
      </c>
      <c r="E2620" s="212" t="s">
        <v>545</v>
      </c>
      <c r="F2620" s="213">
        <v>1</v>
      </c>
      <c r="G2620" s="194">
        <v>80.75</v>
      </c>
      <c r="H2620" s="195">
        <v>80.75</v>
      </c>
      <c r="I2620" s="212" t="s">
        <v>2354</v>
      </c>
    </row>
    <row r="2621" spans="1:9" x14ac:dyDescent="0.25">
      <c r="A2621" s="218" t="s">
        <v>220</v>
      </c>
      <c r="B2621" s="218" t="s">
        <v>2351</v>
      </c>
      <c r="C2621" s="219" t="s">
        <v>5084</v>
      </c>
      <c r="D2621" s="212" t="s">
        <v>5085</v>
      </c>
      <c r="E2621" s="212" t="s">
        <v>2387</v>
      </c>
      <c r="F2621" s="213">
        <v>140</v>
      </c>
      <c r="G2621" s="213">
        <v>0.57757000000000003</v>
      </c>
      <c r="H2621" s="195">
        <v>80.859800000000007</v>
      </c>
      <c r="I2621" s="212" t="s">
        <v>2354</v>
      </c>
    </row>
    <row r="2622" spans="1:9" x14ac:dyDescent="0.25">
      <c r="A2622" s="218" t="s">
        <v>220</v>
      </c>
      <c r="B2622" s="218" t="s">
        <v>5430</v>
      </c>
      <c r="C2622" s="219" t="s">
        <v>5913</v>
      </c>
      <c r="D2622" s="212" t="s">
        <v>5914</v>
      </c>
      <c r="E2622" s="212" t="s">
        <v>545</v>
      </c>
      <c r="F2622" s="213">
        <v>3</v>
      </c>
      <c r="G2622" s="213">
        <v>26.959499999999998</v>
      </c>
      <c r="H2622" s="195">
        <v>80.878500000000003</v>
      </c>
      <c r="I2622" s="212" t="s">
        <v>2354</v>
      </c>
    </row>
    <row r="2623" spans="1:9" x14ac:dyDescent="0.25">
      <c r="A2623" s="218" t="s">
        <v>220</v>
      </c>
      <c r="B2623" s="218" t="s">
        <v>2351</v>
      </c>
      <c r="C2623" s="219" t="s">
        <v>3014</v>
      </c>
      <c r="D2623" s="212" t="s">
        <v>3015</v>
      </c>
      <c r="E2623" s="212" t="s">
        <v>545</v>
      </c>
      <c r="F2623" s="213">
        <v>10</v>
      </c>
      <c r="G2623" s="213">
        <v>8.1</v>
      </c>
      <c r="H2623" s="195">
        <v>81</v>
      </c>
      <c r="I2623" s="212" t="s">
        <v>2354</v>
      </c>
    </row>
    <row r="2624" spans="1:9" x14ac:dyDescent="0.25">
      <c r="A2624" s="218" t="s">
        <v>220</v>
      </c>
      <c r="B2624" s="218" t="s">
        <v>2351</v>
      </c>
      <c r="C2624" s="219" t="s">
        <v>4530</v>
      </c>
      <c r="D2624" s="212" t="s">
        <v>4531</v>
      </c>
      <c r="E2624" s="212" t="s">
        <v>545</v>
      </c>
      <c r="F2624" s="213">
        <v>7</v>
      </c>
      <c r="G2624" s="213">
        <v>11.583</v>
      </c>
      <c r="H2624" s="195">
        <v>81.081000000000003</v>
      </c>
      <c r="I2624" s="212" t="s">
        <v>2354</v>
      </c>
    </row>
    <row r="2625" spans="1:9" x14ac:dyDescent="0.25">
      <c r="A2625" s="218" t="s">
        <v>220</v>
      </c>
      <c r="B2625" s="218" t="s">
        <v>2351</v>
      </c>
      <c r="C2625" s="219" t="s">
        <v>2922</v>
      </c>
      <c r="D2625" s="212" t="s">
        <v>2923</v>
      </c>
      <c r="E2625" s="212" t="s">
        <v>545</v>
      </c>
      <c r="F2625" s="210">
        <v>8</v>
      </c>
      <c r="G2625" s="194">
        <v>10.143000000000001</v>
      </c>
      <c r="H2625" s="195">
        <v>81.144000000000005</v>
      </c>
      <c r="I2625" s="212" t="s">
        <v>2354</v>
      </c>
    </row>
    <row r="2626" spans="1:9" x14ac:dyDescent="0.25">
      <c r="A2626" s="218" t="s">
        <v>220</v>
      </c>
      <c r="B2626" s="218" t="s">
        <v>2351</v>
      </c>
      <c r="C2626" s="219" t="s">
        <v>3593</v>
      </c>
      <c r="D2626" s="212" t="s">
        <v>3594</v>
      </c>
      <c r="E2626" s="212" t="s">
        <v>545</v>
      </c>
      <c r="F2626" s="213">
        <v>24</v>
      </c>
      <c r="G2626" s="194">
        <v>3.383</v>
      </c>
      <c r="H2626" s="195">
        <v>81.192000000000007</v>
      </c>
      <c r="I2626" s="212" t="s">
        <v>2354</v>
      </c>
    </row>
    <row r="2627" spans="1:9" x14ac:dyDescent="0.25">
      <c r="A2627" s="218" t="s">
        <v>220</v>
      </c>
      <c r="B2627" s="218" t="s">
        <v>5430</v>
      </c>
      <c r="C2627" s="219" t="s">
        <v>5844</v>
      </c>
      <c r="D2627" s="212" t="s">
        <v>5845</v>
      </c>
      <c r="E2627" s="212" t="s">
        <v>545</v>
      </c>
      <c r="F2627" s="220">
        <v>9</v>
      </c>
      <c r="G2627" s="194">
        <v>9.0347249999999999</v>
      </c>
      <c r="H2627" s="195">
        <v>81.312524999999994</v>
      </c>
      <c r="I2627" s="212" t="s">
        <v>2354</v>
      </c>
    </row>
    <row r="2628" spans="1:9" x14ac:dyDescent="0.25">
      <c r="A2628" s="218" t="s">
        <v>220</v>
      </c>
      <c r="B2628" s="218" t="s">
        <v>5430</v>
      </c>
      <c r="C2628" s="219" t="s">
        <v>6403</v>
      </c>
      <c r="D2628" s="212" t="s">
        <v>6404</v>
      </c>
      <c r="E2628" s="212" t="s">
        <v>545</v>
      </c>
      <c r="F2628" s="213">
        <v>2</v>
      </c>
      <c r="G2628" s="194">
        <v>40.701599999999999</v>
      </c>
      <c r="H2628" s="195">
        <v>81.403199999999998</v>
      </c>
      <c r="I2628" s="212" t="s">
        <v>2354</v>
      </c>
    </row>
    <row r="2629" spans="1:9" x14ac:dyDescent="0.25">
      <c r="A2629" s="218" t="s">
        <v>220</v>
      </c>
      <c r="B2629" s="218" t="s">
        <v>2351</v>
      </c>
      <c r="C2629" s="219" t="s">
        <v>3621</v>
      </c>
      <c r="D2629" s="212" t="s">
        <v>3622</v>
      </c>
      <c r="E2629" s="212" t="s">
        <v>545</v>
      </c>
      <c r="F2629" s="213">
        <v>27</v>
      </c>
      <c r="G2629" s="194">
        <v>3.0179999999999998</v>
      </c>
      <c r="H2629" s="195">
        <v>81.48599999999999</v>
      </c>
      <c r="I2629" s="212" t="s">
        <v>2354</v>
      </c>
    </row>
    <row r="2630" spans="1:9" x14ac:dyDescent="0.25">
      <c r="A2630" s="218" t="s">
        <v>220</v>
      </c>
      <c r="B2630" s="218" t="s">
        <v>2351</v>
      </c>
      <c r="C2630" s="219" t="s">
        <v>4852</v>
      </c>
      <c r="D2630" s="212" t="s">
        <v>4853</v>
      </c>
      <c r="E2630" s="212" t="s">
        <v>545</v>
      </c>
      <c r="F2630" s="213">
        <v>424</v>
      </c>
      <c r="G2630" s="194">
        <v>0.19259000000000001</v>
      </c>
      <c r="H2630" s="195">
        <v>81.658160000000009</v>
      </c>
      <c r="I2630" s="212" t="s">
        <v>2354</v>
      </c>
    </row>
    <row r="2631" spans="1:9" x14ac:dyDescent="0.25">
      <c r="A2631" s="218" t="s">
        <v>220</v>
      </c>
      <c r="B2631" s="218" t="s">
        <v>5430</v>
      </c>
      <c r="C2631" s="219" t="s">
        <v>6732</v>
      </c>
      <c r="D2631" s="212" t="s">
        <v>6733</v>
      </c>
      <c r="E2631" s="212" t="s">
        <v>2387</v>
      </c>
      <c r="F2631" s="213">
        <v>85</v>
      </c>
      <c r="G2631" s="194">
        <v>0.96460000000000012</v>
      </c>
      <c r="H2631" s="195">
        <v>81.991000000000014</v>
      </c>
      <c r="I2631" s="212" t="s">
        <v>2354</v>
      </c>
    </row>
    <row r="2632" spans="1:9" x14ac:dyDescent="0.25">
      <c r="A2632" s="218" t="s">
        <v>220</v>
      </c>
      <c r="B2632" s="218" t="s">
        <v>5430</v>
      </c>
      <c r="C2632" s="219" t="s">
        <v>3961</v>
      </c>
      <c r="D2632" s="212" t="s">
        <v>3962</v>
      </c>
      <c r="E2632" s="212" t="s">
        <v>2387</v>
      </c>
      <c r="F2632" s="213">
        <v>85</v>
      </c>
      <c r="G2632" s="194">
        <v>0.96513000000000004</v>
      </c>
      <c r="H2632" s="195">
        <v>82.036050000000003</v>
      </c>
      <c r="I2632" s="212" t="s">
        <v>2354</v>
      </c>
    </row>
    <row r="2633" spans="1:9" x14ac:dyDescent="0.25">
      <c r="A2633" s="218" t="s">
        <v>220</v>
      </c>
      <c r="B2633" s="218" t="s">
        <v>5430</v>
      </c>
      <c r="C2633" s="219" t="s">
        <v>6518</v>
      </c>
      <c r="D2633" s="212" t="s">
        <v>3600</v>
      </c>
      <c r="E2633" s="212" t="s">
        <v>545</v>
      </c>
      <c r="F2633" s="213">
        <v>23</v>
      </c>
      <c r="G2633" s="194">
        <v>3.57</v>
      </c>
      <c r="H2633" s="195">
        <v>82.11</v>
      </c>
      <c r="I2633" s="212" t="s">
        <v>2354</v>
      </c>
    </row>
    <row r="2634" spans="1:9" x14ac:dyDescent="0.25">
      <c r="A2634" s="218" t="s">
        <v>220</v>
      </c>
      <c r="B2634" s="218" t="s">
        <v>2351</v>
      </c>
      <c r="C2634" s="219" t="s">
        <v>4151</v>
      </c>
      <c r="D2634" s="212" t="s">
        <v>4152</v>
      </c>
      <c r="E2634" s="212" t="s">
        <v>545</v>
      </c>
      <c r="F2634" s="213">
        <v>48</v>
      </c>
      <c r="G2634" s="194">
        <v>1.72</v>
      </c>
      <c r="H2634" s="195">
        <v>82.56</v>
      </c>
      <c r="I2634" s="212" t="s">
        <v>2354</v>
      </c>
    </row>
    <row r="2635" spans="1:9" x14ac:dyDescent="0.25">
      <c r="A2635" s="218" t="s">
        <v>220</v>
      </c>
      <c r="B2635" s="218" t="s">
        <v>5430</v>
      </c>
      <c r="C2635" s="219" t="s">
        <v>6743</v>
      </c>
      <c r="D2635" s="212" t="s">
        <v>6744</v>
      </c>
      <c r="E2635" s="212" t="s">
        <v>545</v>
      </c>
      <c r="F2635" s="213">
        <v>1</v>
      </c>
      <c r="G2635" s="194">
        <v>82.65</v>
      </c>
      <c r="H2635" s="195">
        <v>82.65</v>
      </c>
      <c r="I2635" s="212" t="s">
        <v>2354</v>
      </c>
    </row>
    <row r="2636" spans="1:9" x14ac:dyDescent="0.25">
      <c r="A2636" s="218" t="s">
        <v>220</v>
      </c>
      <c r="B2636" s="218" t="s">
        <v>2351</v>
      </c>
      <c r="C2636" s="219" t="s">
        <v>3735</v>
      </c>
      <c r="D2636" s="212" t="s">
        <v>3736</v>
      </c>
      <c r="E2636" s="212" t="s">
        <v>545</v>
      </c>
      <c r="F2636" s="213">
        <v>10</v>
      </c>
      <c r="G2636" s="194">
        <v>8.2799999999999994</v>
      </c>
      <c r="H2636" s="195">
        <v>82.8</v>
      </c>
      <c r="I2636" s="212" t="s">
        <v>2354</v>
      </c>
    </row>
    <row r="2637" spans="1:9" x14ac:dyDescent="0.25">
      <c r="A2637" s="218" t="s">
        <v>220</v>
      </c>
      <c r="B2637" s="218" t="s">
        <v>2351</v>
      </c>
      <c r="C2637" s="219" t="s">
        <v>4247</v>
      </c>
      <c r="D2637" s="212" t="s">
        <v>4248</v>
      </c>
      <c r="E2637" s="212" t="s">
        <v>545</v>
      </c>
      <c r="F2637" s="213">
        <v>1</v>
      </c>
      <c r="G2637" s="194">
        <v>82.8</v>
      </c>
      <c r="H2637" s="195">
        <v>82.8</v>
      </c>
      <c r="I2637" s="212" t="s">
        <v>2354</v>
      </c>
    </row>
    <row r="2638" spans="1:9" x14ac:dyDescent="0.25">
      <c r="A2638" s="218" t="s">
        <v>220</v>
      </c>
      <c r="B2638" s="218" t="s">
        <v>5430</v>
      </c>
      <c r="C2638" s="219" t="s">
        <v>4247</v>
      </c>
      <c r="D2638" s="212" t="s">
        <v>4248</v>
      </c>
      <c r="E2638" s="212" t="s">
        <v>545</v>
      </c>
      <c r="F2638" s="213">
        <v>1</v>
      </c>
      <c r="G2638" s="194">
        <v>82.8</v>
      </c>
      <c r="H2638" s="195">
        <v>82.8</v>
      </c>
      <c r="I2638" s="212" t="s">
        <v>2354</v>
      </c>
    </row>
    <row r="2639" spans="1:9" x14ac:dyDescent="0.25">
      <c r="A2639" s="218" t="s">
        <v>220</v>
      </c>
      <c r="B2639" s="218" t="s">
        <v>2351</v>
      </c>
      <c r="C2639" s="219" t="s">
        <v>2540</v>
      </c>
      <c r="D2639" s="212" t="s">
        <v>2541</v>
      </c>
      <c r="E2639" s="212" t="s">
        <v>545</v>
      </c>
      <c r="F2639" s="213">
        <v>2</v>
      </c>
      <c r="G2639" s="194">
        <v>41.491050000000001</v>
      </c>
      <c r="H2639" s="195">
        <v>82.982100000000003</v>
      </c>
      <c r="I2639" s="212" t="s">
        <v>2354</v>
      </c>
    </row>
    <row r="2640" spans="1:9" x14ac:dyDescent="0.25">
      <c r="A2640" s="218" t="s">
        <v>220</v>
      </c>
      <c r="B2640" s="218" t="s">
        <v>5430</v>
      </c>
      <c r="C2640" s="219" t="s">
        <v>6312</v>
      </c>
      <c r="D2640" s="212" t="s">
        <v>6313</v>
      </c>
      <c r="E2640" s="212" t="s">
        <v>545</v>
      </c>
      <c r="F2640" s="213">
        <v>4</v>
      </c>
      <c r="G2640" s="194">
        <v>20.780999999999999</v>
      </c>
      <c r="H2640" s="195">
        <v>83.123999999999995</v>
      </c>
      <c r="I2640" s="212" t="s">
        <v>2354</v>
      </c>
    </row>
    <row r="2641" spans="1:9" x14ac:dyDescent="0.25">
      <c r="A2641" s="218" t="s">
        <v>220</v>
      </c>
      <c r="B2641" s="218" t="s">
        <v>2351</v>
      </c>
      <c r="C2641" s="219" t="s">
        <v>4093</v>
      </c>
      <c r="D2641" s="212" t="s">
        <v>4094</v>
      </c>
      <c r="E2641" s="212" t="s">
        <v>545</v>
      </c>
      <c r="F2641" s="213">
        <v>4</v>
      </c>
      <c r="G2641" s="194">
        <v>20.862400000000001</v>
      </c>
      <c r="H2641" s="195">
        <v>83.449600000000004</v>
      </c>
      <c r="I2641" s="212" t="s">
        <v>2354</v>
      </c>
    </row>
    <row r="2642" spans="1:9" x14ac:dyDescent="0.25">
      <c r="A2642" s="218" t="s">
        <v>220</v>
      </c>
      <c r="B2642" s="218" t="s">
        <v>2351</v>
      </c>
      <c r="C2642" s="219" t="s">
        <v>5142</v>
      </c>
      <c r="D2642" s="212" t="s">
        <v>5143</v>
      </c>
      <c r="E2642" s="212" t="s">
        <v>545</v>
      </c>
      <c r="F2642" s="213">
        <v>180</v>
      </c>
      <c r="G2642" s="194">
        <v>0.46400000000000002</v>
      </c>
      <c r="H2642" s="195">
        <v>83.52000000000001</v>
      </c>
      <c r="I2642" s="212" t="s">
        <v>2354</v>
      </c>
    </row>
    <row r="2643" spans="1:9" x14ac:dyDescent="0.25">
      <c r="A2643" s="218" t="s">
        <v>220</v>
      </c>
      <c r="B2643" s="218" t="s">
        <v>2351</v>
      </c>
      <c r="C2643" s="219" t="s">
        <v>4263</v>
      </c>
      <c r="D2643" s="212" t="s">
        <v>4264</v>
      </c>
      <c r="E2643" s="212" t="s">
        <v>545</v>
      </c>
      <c r="F2643" s="213">
        <v>5</v>
      </c>
      <c r="G2643" s="194">
        <v>16.715250000000001</v>
      </c>
      <c r="H2643" s="195">
        <v>83.576250000000002</v>
      </c>
      <c r="I2643" s="212" t="s">
        <v>2354</v>
      </c>
    </row>
    <row r="2644" spans="1:9" x14ac:dyDescent="0.25">
      <c r="A2644" s="218" t="s">
        <v>220</v>
      </c>
      <c r="B2644" s="218" t="s">
        <v>5430</v>
      </c>
      <c r="C2644" s="219" t="s">
        <v>7006</v>
      </c>
      <c r="D2644" s="212" t="s">
        <v>7007</v>
      </c>
      <c r="E2644" s="212" t="s">
        <v>545</v>
      </c>
      <c r="F2644" s="213">
        <v>2</v>
      </c>
      <c r="G2644" s="194">
        <v>41.814</v>
      </c>
      <c r="H2644" s="195">
        <v>83.628</v>
      </c>
      <c r="I2644" s="212" t="s">
        <v>2354</v>
      </c>
    </row>
    <row r="2645" spans="1:9" x14ac:dyDescent="0.25">
      <c r="A2645" s="218" t="s">
        <v>220</v>
      </c>
      <c r="B2645" s="218" t="s">
        <v>2351</v>
      </c>
      <c r="C2645" s="219" t="s">
        <v>4854</v>
      </c>
      <c r="D2645" s="212" t="s">
        <v>4855</v>
      </c>
      <c r="E2645" s="212" t="s">
        <v>545</v>
      </c>
      <c r="F2645" s="213">
        <v>450</v>
      </c>
      <c r="G2645" s="213">
        <v>0.186</v>
      </c>
      <c r="H2645" s="195">
        <v>83.7</v>
      </c>
      <c r="I2645" s="212" t="s">
        <v>2354</v>
      </c>
    </row>
    <row r="2646" spans="1:9" x14ac:dyDescent="0.25">
      <c r="A2646" s="218" t="s">
        <v>220</v>
      </c>
      <c r="B2646" s="218" t="s">
        <v>2351</v>
      </c>
      <c r="C2646" s="219" t="s">
        <v>3591</v>
      </c>
      <c r="D2646" s="212" t="s">
        <v>3592</v>
      </c>
      <c r="E2646" s="212" t="s">
        <v>545</v>
      </c>
      <c r="F2646" s="213">
        <v>31</v>
      </c>
      <c r="G2646" s="194">
        <v>2.7029999999999998</v>
      </c>
      <c r="H2646" s="195">
        <v>83.792999999999992</v>
      </c>
      <c r="I2646" s="212" t="s">
        <v>2354</v>
      </c>
    </row>
    <row r="2647" spans="1:9" x14ac:dyDescent="0.25">
      <c r="A2647" s="218" t="s">
        <v>220</v>
      </c>
      <c r="B2647" s="218" t="s">
        <v>5430</v>
      </c>
      <c r="C2647" s="219" t="s">
        <v>6515</v>
      </c>
      <c r="D2647" s="212" t="s">
        <v>6516</v>
      </c>
      <c r="E2647" s="212" t="s">
        <v>545</v>
      </c>
      <c r="F2647" s="213">
        <v>9</v>
      </c>
      <c r="G2647" s="194">
        <v>9.34</v>
      </c>
      <c r="H2647" s="195">
        <v>84.06</v>
      </c>
      <c r="I2647" s="212" t="s">
        <v>2354</v>
      </c>
    </row>
    <row r="2648" spans="1:9" x14ac:dyDescent="0.25">
      <c r="A2648" s="218" t="s">
        <v>220</v>
      </c>
      <c r="B2648" s="218" t="s">
        <v>5430</v>
      </c>
      <c r="C2648" s="219" t="s">
        <v>3977</v>
      </c>
      <c r="D2648" s="212" t="s">
        <v>3978</v>
      </c>
      <c r="E2648" s="212" t="s">
        <v>545</v>
      </c>
      <c r="F2648" s="213">
        <v>28</v>
      </c>
      <c r="G2648" s="194">
        <v>3.0068999999999999</v>
      </c>
      <c r="H2648" s="195">
        <v>84.19319999999999</v>
      </c>
      <c r="I2648" s="212" t="s">
        <v>2354</v>
      </c>
    </row>
    <row r="2649" spans="1:9" x14ac:dyDescent="0.25">
      <c r="A2649" s="218" t="s">
        <v>220</v>
      </c>
      <c r="B2649" s="218" t="s">
        <v>2351</v>
      </c>
      <c r="C2649" s="219" t="s">
        <v>3997</v>
      </c>
      <c r="D2649" s="212" t="s">
        <v>3998</v>
      </c>
      <c r="E2649" s="212" t="s">
        <v>545</v>
      </c>
      <c r="F2649" s="213">
        <v>1</v>
      </c>
      <c r="G2649" s="213">
        <v>84.272999999999996</v>
      </c>
      <c r="H2649" s="195">
        <v>84.272999999999996</v>
      </c>
      <c r="I2649" s="212" t="s">
        <v>2354</v>
      </c>
    </row>
    <row r="2650" spans="1:9" x14ac:dyDescent="0.25">
      <c r="A2650" s="218" t="s">
        <v>220</v>
      </c>
      <c r="B2650" s="218" t="s">
        <v>5430</v>
      </c>
      <c r="C2650" s="219" t="s">
        <v>5751</v>
      </c>
      <c r="D2650" s="212" t="s">
        <v>5752</v>
      </c>
      <c r="E2650" s="212" t="s">
        <v>545</v>
      </c>
      <c r="F2650" s="213">
        <v>3</v>
      </c>
      <c r="G2650" s="213">
        <v>28.116879999999998</v>
      </c>
      <c r="H2650" s="195">
        <v>84.350639999999999</v>
      </c>
      <c r="I2650" s="212" t="s">
        <v>2354</v>
      </c>
    </row>
    <row r="2651" spans="1:9" x14ac:dyDescent="0.25">
      <c r="A2651" s="218" t="s">
        <v>220</v>
      </c>
      <c r="B2651" s="218" t="s">
        <v>5430</v>
      </c>
      <c r="C2651" s="219" t="s">
        <v>3024</v>
      </c>
      <c r="D2651" s="212" t="s">
        <v>3025</v>
      </c>
      <c r="E2651" s="212" t="s">
        <v>545</v>
      </c>
      <c r="F2651" s="213">
        <v>4</v>
      </c>
      <c r="G2651" s="213">
        <v>21.105126666666667</v>
      </c>
      <c r="H2651" s="195">
        <v>84.420506666666668</v>
      </c>
      <c r="I2651" s="212" t="s">
        <v>2354</v>
      </c>
    </row>
    <row r="2652" spans="1:9" x14ac:dyDescent="0.25">
      <c r="A2652" s="218" t="s">
        <v>220</v>
      </c>
      <c r="B2652" s="218" t="s">
        <v>5430</v>
      </c>
      <c r="C2652" s="219" t="s">
        <v>6482</v>
      </c>
      <c r="D2652" s="212" t="s">
        <v>6483</v>
      </c>
      <c r="E2652" s="212" t="s">
        <v>545</v>
      </c>
      <c r="F2652" s="210">
        <v>3</v>
      </c>
      <c r="G2652" s="213">
        <v>28.141200000000001</v>
      </c>
      <c r="H2652" s="195">
        <v>84.423600000000008</v>
      </c>
      <c r="I2652" s="212" t="s">
        <v>2354</v>
      </c>
    </row>
    <row r="2653" spans="1:9" x14ac:dyDescent="0.25">
      <c r="A2653" s="218" t="s">
        <v>220</v>
      </c>
      <c r="B2653" s="218" t="s">
        <v>5430</v>
      </c>
      <c r="C2653" s="219" t="s">
        <v>4049</v>
      </c>
      <c r="D2653" s="212" t="s">
        <v>4050</v>
      </c>
      <c r="E2653" s="212" t="s">
        <v>545</v>
      </c>
      <c r="F2653" s="213">
        <v>123</v>
      </c>
      <c r="G2653" s="213">
        <v>0.68720000000000003</v>
      </c>
      <c r="H2653" s="195">
        <v>84.525599999999997</v>
      </c>
      <c r="I2653" s="212" t="s">
        <v>2354</v>
      </c>
    </row>
    <row r="2654" spans="1:9" x14ac:dyDescent="0.25">
      <c r="A2654" s="218" t="s">
        <v>220</v>
      </c>
      <c r="B2654" s="218" t="s">
        <v>5430</v>
      </c>
      <c r="C2654" s="219" t="s">
        <v>4614</v>
      </c>
      <c r="D2654" s="212" t="s">
        <v>4615</v>
      </c>
      <c r="E2654" s="212" t="s">
        <v>545</v>
      </c>
      <c r="F2654" s="213">
        <v>25</v>
      </c>
      <c r="G2654" s="213">
        <v>3.3929999999999998</v>
      </c>
      <c r="H2654" s="195">
        <v>84.824999999999989</v>
      </c>
      <c r="I2654" s="212" t="s">
        <v>2354</v>
      </c>
    </row>
    <row r="2655" spans="1:9" x14ac:dyDescent="0.25">
      <c r="A2655" s="218" t="s">
        <v>220</v>
      </c>
      <c r="B2655" s="218" t="s">
        <v>5430</v>
      </c>
      <c r="C2655" s="219" t="s">
        <v>7081</v>
      </c>
      <c r="D2655" s="212" t="s">
        <v>7082</v>
      </c>
      <c r="E2655" s="212" t="s">
        <v>545</v>
      </c>
      <c r="F2655" s="220">
        <v>140</v>
      </c>
      <c r="G2655" s="213">
        <v>0.60599999999999998</v>
      </c>
      <c r="H2655" s="195">
        <v>84.84</v>
      </c>
      <c r="I2655" s="212" t="s">
        <v>2354</v>
      </c>
    </row>
    <row r="2656" spans="1:9" x14ac:dyDescent="0.25">
      <c r="A2656" s="218" t="s">
        <v>220</v>
      </c>
      <c r="B2656" s="218" t="s">
        <v>5430</v>
      </c>
      <c r="C2656" s="219" t="s">
        <v>6870</v>
      </c>
      <c r="D2656" s="212" t="s">
        <v>6871</v>
      </c>
      <c r="E2656" s="212" t="s">
        <v>545</v>
      </c>
      <c r="F2656" s="213">
        <v>2</v>
      </c>
      <c r="G2656" s="213">
        <v>42.56</v>
      </c>
      <c r="H2656" s="195">
        <v>85.12</v>
      </c>
      <c r="I2656" s="212" t="s">
        <v>2354</v>
      </c>
    </row>
    <row r="2657" spans="1:9" x14ac:dyDescent="0.25">
      <c r="A2657" s="218" t="s">
        <v>220</v>
      </c>
      <c r="B2657" s="218" t="s">
        <v>5430</v>
      </c>
      <c r="C2657" s="219" t="s">
        <v>5977</v>
      </c>
      <c r="D2657" s="212" t="s">
        <v>5978</v>
      </c>
      <c r="E2657" s="212" t="s">
        <v>545</v>
      </c>
      <c r="F2657" s="213">
        <v>2</v>
      </c>
      <c r="G2657" s="213">
        <v>42.730200000000004</v>
      </c>
      <c r="H2657" s="195">
        <v>85.460400000000007</v>
      </c>
      <c r="I2657" s="212" t="s">
        <v>2354</v>
      </c>
    </row>
    <row r="2658" spans="1:9" x14ac:dyDescent="0.25">
      <c r="A2658" s="218" t="s">
        <v>220</v>
      </c>
      <c r="B2658" s="218" t="s">
        <v>5430</v>
      </c>
      <c r="C2658" s="219" t="s">
        <v>4245</v>
      </c>
      <c r="D2658" s="212" t="s">
        <v>4246</v>
      </c>
      <c r="E2658" s="212" t="s">
        <v>545</v>
      </c>
      <c r="F2658" s="213">
        <v>5</v>
      </c>
      <c r="G2658" s="213">
        <v>17.094903703703704</v>
      </c>
      <c r="H2658" s="195">
        <v>85.474518518518522</v>
      </c>
      <c r="I2658" s="212" t="s">
        <v>2354</v>
      </c>
    </row>
    <row r="2659" spans="1:9" x14ac:dyDescent="0.25">
      <c r="A2659" s="218" t="s">
        <v>220</v>
      </c>
      <c r="B2659" s="218" t="s">
        <v>5430</v>
      </c>
      <c r="C2659" s="219" t="s">
        <v>6903</v>
      </c>
      <c r="D2659" s="212" t="s">
        <v>6904</v>
      </c>
      <c r="E2659" s="212" t="s">
        <v>545</v>
      </c>
      <c r="F2659" s="213">
        <v>1</v>
      </c>
      <c r="G2659" s="213">
        <v>85.5</v>
      </c>
      <c r="H2659" s="195">
        <v>85.5</v>
      </c>
      <c r="I2659" s="212" t="s">
        <v>2354</v>
      </c>
    </row>
    <row r="2660" spans="1:9" x14ac:dyDescent="0.25">
      <c r="A2660" s="218" t="s">
        <v>220</v>
      </c>
      <c r="B2660" s="218" t="s">
        <v>2351</v>
      </c>
      <c r="C2660" s="219" t="s">
        <v>4790</v>
      </c>
      <c r="D2660" s="212" t="s">
        <v>4791</v>
      </c>
      <c r="E2660" s="212" t="s">
        <v>545</v>
      </c>
      <c r="F2660" s="213">
        <v>15</v>
      </c>
      <c r="G2660" s="213">
        <v>5.7065000000000001</v>
      </c>
      <c r="H2660" s="195">
        <v>85.597499999999997</v>
      </c>
      <c r="I2660" s="212" t="s">
        <v>2354</v>
      </c>
    </row>
    <row r="2661" spans="1:9" x14ac:dyDescent="0.25">
      <c r="A2661" s="218" t="s">
        <v>220</v>
      </c>
      <c r="B2661" s="218" t="s">
        <v>5430</v>
      </c>
      <c r="C2661" s="219" t="s">
        <v>6000</v>
      </c>
      <c r="D2661" s="212" t="s">
        <v>6001</v>
      </c>
      <c r="E2661" s="212" t="s">
        <v>545</v>
      </c>
      <c r="F2661" s="213">
        <v>8</v>
      </c>
      <c r="G2661" s="213">
        <v>10.71671911764706</v>
      </c>
      <c r="H2661" s="195">
        <v>85.733752941176476</v>
      </c>
      <c r="I2661" s="212" t="s">
        <v>2354</v>
      </c>
    </row>
    <row r="2662" spans="1:9" x14ac:dyDescent="0.25">
      <c r="A2662" s="218" t="s">
        <v>220</v>
      </c>
      <c r="B2662" s="218" t="s">
        <v>2351</v>
      </c>
      <c r="C2662" s="219" t="s">
        <v>2846</v>
      </c>
      <c r="D2662" s="212" t="s">
        <v>2847</v>
      </c>
      <c r="E2662" s="212" t="s">
        <v>545</v>
      </c>
      <c r="F2662" s="213">
        <v>2</v>
      </c>
      <c r="G2662" s="213">
        <v>42.953400000000002</v>
      </c>
      <c r="H2662" s="195">
        <v>85.906800000000004</v>
      </c>
      <c r="I2662" s="212" t="s">
        <v>2354</v>
      </c>
    </row>
    <row r="2663" spans="1:9" x14ac:dyDescent="0.25">
      <c r="A2663" s="218" t="s">
        <v>220</v>
      </c>
      <c r="B2663" s="218" t="s">
        <v>5430</v>
      </c>
      <c r="C2663" s="219" t="s">
        <v>7221</v>
      </c>
      <c r="D2663" s="212" t="s">
        <v>7222</v>
      </c>
      <c r="E2663" s="212" t="s">
        <v>545</v>
      </c>
      <c r="F2663" s="213">
        <v>40</v>
      </c>
      <c r="G2663" s="213">
        <v>2.15</v>
      </c>
      <c r="H2663" s="195">
        <v>86</v>
      </c>
      <c r="I2663" s="212" t="s">
        <v>2354</v>
      </c>
    </row>
    <row r="2664" spans="1:9" x14ac:dyDescent="0.25">
      <c r="A2664" s="218" t="s">
        <v>220</v>
      </c>
      <c r="B2664" s="218" t="s">
        <v>2351</v>
      </c>
      <c r="C2664" s="219" t="s">
        <v>3789</v>
      </c>
      <c r="D2664" s="212" t="s">
        <v>3790</v>
      </c>
      <c r="E2664" s="212" t="s">
        <v>545</v>
      </c>
      <c r="F2664" s="213">
        <v>3</v>
      </c>
      <c r="G2664" s="213">
        <v>28.732500000000005</v>
      </c>
      <c r="H2664" s="195">
        <v>86.197500000000019</v>
      </c>
      <c r="I2664" s="212" t="s">
        <v>2354</v>
      </c>
    </row>
    <row r="2665" spans="1:9" x14ac:dyDescent="0.25">
      <c r="A2665" s="218" t="s">
        <v>220</v>
      </c>
      <c r="B2665" s="218" t="s">
        <v>2351</v>
      </c>
      <c r="C2665" s="219" t="s">
        <v>3269</v>
      </c>
      <c r="D2665" s="212" t="s">
        <v>3270</v>
      </c>
      <c r="E2665" s="212" t="s">
        <v>545</v>
      </c>
      <c r="F2665" s="213">
        <v>7</v>
      </c>
      <c r="G2665" s="213">
        <v>12.332700000000001</v>
      </c>
      <c r="H2665" s="195">
        <v>86.328900000000004</v>
      </c>
      <c r="I2665" s="212" t="s">
        <v>2354</v>
      </c>
    </row>
    <row r="2666" spans="1:9" x14ac:dyDescent="0.25">
      <c r="A2666" s="218" t="s">
        <v>220</v>
      </c>
      <c r="B2666" s="218" t="s">
        <v>2351</v>
      </c>
      <c r="C2666" s="219" t="s">
        <v>4432</v>
      </c>
      <c r="D2666" s="212" t="s">
        <v>4433</v>
      </c>
      <c r="E2666" s="212" t="s">
        <v>545</v>
      </c>
      <c r="F2666" s="213">
        <v>18</v>
      </c>
      <c r="G2666" s="213">
        <v>4.8</v>
      </c>
      <c r="H2666" s="195">
        <v>86.399999999999991</v>
      </c>
      <c r="I2666" s="212" t="s">
        <v>2354</v>
      </c>
    </row>
    <row r="2667" spans="1:9" x14ac:dyDescent="0.25">
      <c r="A2667" s="218" t="s">
        <v>220</v>
      </c>
      <c r="B2667" s="218" t="s">
        <v>2351</v>
      </c>
      <c r="C2667" s="219" t="s">
        <v>3012</v>
      </c>
      <c r="D2667" s="212" t="s">
        <v>3013</v>
      </c>
      <c r="E2667" s="212" t="s">
        <v>545</v>
      </c>
      <c r="F2667" s="213">
        <v>6</v>
      </c>
      <c r="G2667" s="213">
        <v>14.4</v>
      </c>
      <c r="H2667" s="195">
        <v>86.4</v>
      </c>
      <c r="I2667" s="212" t="s">
        <v>2354</v>
      </c>
    </row>
    <row r="2668" spans="1:9" x14ac:dyDescent="0.25">
      <c r="A2668" s="218" t="s">
        <v>220</v>
      </c>
      <c r="B2668" s="218" t="s">
        <v>2351</v>
      </c>
      <c r="C2668" s="219" t="s">
        <v>3089</v>
      </c>
      <c r="D2668" s="212" t="s">
        <v>3090</v>
      </c>
      <c r="E2668" s="212" t="s">
        <v>545</v>
      </c>
      <c r="F2668" s="213">
        <v>8</v>
      </c>
      <c r="G2668" s="213">
        <v>10.829699999999999</v>
      </c>
      <c r="H2668" s="195">
        <v>86.637599999999992</v>
      </c>
      <c r="I2668" s="212" t="s">
        <v>2354</v>
      </c>
    </row>
    <row r="2669" spans="1:9" x14ac:dyDescent="0.25">
      <c r="A2669" s="218" t="s">
        <v>220</v>
      </c>
      <c r="B2669" s="218" t="s">
        <v>2351</v>
      </c>
      <c r="C2669" s="219" t="s">
        <v>5104</v>
      </c>
      <c r="D2669" s="212" t="s">
        <v>5105</v>
      </c>
      <c r="E2669" s="212" t="s">
        <v>545</v>
      </c>
      <c r="F2669" s="213">
        <v>120</v>
      </c>
      <c r="G2669" s="213">
        <v>0.72352000000000005</v>
      </c>
      <c r="H2669" s="195">
        <v>86.822400000000002</v>
      </c>
      <c r="I2669" s="212" t="s">
        <v>2354</v>
      </c>
    </row>
    <row r="2670" spans="1:9" x14ac:dyDescent="0.25">
      <c r="A2670" s="218" t="s">
        <v>220</v>
      </c>
      <c r="B2670" s="218" t="s">
        <v>2351</v>
      </c>
      <c r="C2670" s="219" t="s">
        <v>5184</v>
      </c>
      <c r="D2670" s="212" t="s">
        <v>5185</v>
      </c>
      <c r="E2670" s="212" t="s">
        <v>545</v>
      </c>
      <c r="F2670" s="213">
        <v>10</v>
      </c>
      <c r="G2670" s="213">
        <v>8.6880000000000006</v>
      </c>
      <c r="H2670" s="195">
        <v>86.88000000000001</v>
      </c>
      <c r="I2670" s="212" t="s">
        <v>2354</v>
      </c>
    </row>
    <row r="2671" spans="1:9" x14ac:dyDescent="0.25">
      <c r="A2671" s="218" t="s">
        <v>220</v>
      </c>
      <c r="B2671" s="218" t="s">
        <v>5430</v>
      </c>
      <c r="C2671" s="219" t="s">
        <v>6994</v>
      </c>
      <c r="D2671" s="212" t="s">
        <v>6995</v>
      </c>
      <c r="E2671" s="212" t="s">
        <v>545</v>
      </c>
      <c r="F2671" s="213">
        <v>1</v>
      </c>
      <c r="G2671" s="213">
        <v>86.95</v>
      </c>
      <c r="H2671" s="195">
        <v>86.95</v>
      </c>
      <c r="I2671" s="212" t="s">
        <v>2354</v>
      </c>
    </row>
    <row r="2672" spans="1:9" x14ac:dyDescent="0.25">
      <c r="A2672" s="218" t="s">
        <v>220</v>
      </c>
      <c r="B2672" s="218" t="s">
        <v>2351</v>
      </c>
      <c r="C2672" s="219" t="s">
        <v>2964</v>
      </c>
      <c r="D2672" s="212" t="s">
        <v>2965</v>
      </c>
      <c r="E2672" s="212" t="s">
        <v>545</v>
      </c>
      <c r="F2672" s="213">
        <v>8</v>
      </c>
      <c r="G2672" s="213">
        <v>10.89</v>
      </c>
      <c r="H2672" s="195">
        <v>87.12</v>
      </c>
      <c r="I2672" s="212" t="s">
        <v>2354</v>
      </c>
    </row>
    <row r="2673" spans="1:9" x14ac:dyDescent="0.25">
      <c r="A2673" s="218" t="s">
        <v>220</v>
      </c>
      <c r="B2673" s="218" t="s">
        <v>2351</v>
      </c>
      <c r="C2673" s="219" t="s">
        <v>5140</v>
      </c>
      <c r="D2673" s="212" t="s">
        <v>5141</v>
      </c>
      <c r="E2673" s="212" t="s">
        <v>545</v>
      </c>
      <c r="F2673" s="213">
        <v>250</v>
      </c>
      <c r="G2673" s="213">
        <v>0.34900939226519334</v>
      </c>
      <c r="H2673" s="195">
        <v>87.252348066298339</v>
      </c>
      <c r="I2673" s="212" t="s">
        <v>2354</v>
      </c>
    </row>
    <row r="2674" spans="1:9" x14ac:dyDescent="0.25">
      <c r="A2674" s="218" t="s">
        <v>220</v>
      </c>
      <c r="B2674" s="218" t="s">
        <v>5430</v>
      </c>
      <c r="C2674" s="219" t="s">
        <v>7187</v>
      </c>
      <c r="D2674" s="212" t="s">
        <v>7188</v>
      </c>
      <c r="E2674" s="212" t="s">
        <v>545</v>
      </c>
      <c r="F2674" s="213">
        <v>48</v>
      </c>
      <c r="G2674" s="213">
        <v>1.8180000000000001</v>
      </c>
      <c r="H2674" s="195">
        <v>87.26400000000001</v>
      </c>
      <c r="I2674" s="212" t="s">
        <v>2354</v>
      </c>
    </row>
    <row r="2675" spans="1:9" x14ac:dyDescent="0.25">
      <c r="A2675" s="218" t="s">
        <v>220</v>
      </c>
      <c r="B2675" s="218" t="s">
        <v>2351</v>
      </c>
      <c r="C2675" s="219" t="s">
        <v>4522</v>
      </c>
      <c r="D2675" s="212" t="s">
        <v>4523</v>
      </c>
      <c r="E2675" s="212" t="s">
        <v>545</v>
      </c>
      <c r="F2675" s="213">
        <v>8</v>
      </c>
      <c r="G2675" s="213">
        <v>10.9215</v>
      </c>
      <c r="H2675" s="195">
        <v>87.372</v>
      </c>
      <c r="I2675" s="212" t="s">
        <v>2354</v>
      </c>
    </row>
    <row r="2676" spans="1:9" x14ac:dyDescent="0.25">
      <c r="A2676" s="218" t="s">
        <v>220</v>
      </c>
      <c r="B2676" s="218" t="s">
        <v>2351</v>
      </c>
      <c r="C2676" s="219" t="s">
        <v>3643</v>
      </c>
      <c r="D2676" s="212" t="s">
        <v>3644</v>
      </c>
      <c r="E2676" s="212" t="s">
        <v>545</v>
      </c>
      <c r="F2676" s="213">
        <v>16</v>
      </c>
      <c r="G2676" s="213">
        <v>5.4660000000000002</v>
      </c>
      <c r="H2676" s="195">
        <v>87.456000000000003</v>
      </c>
      <c r="I2676" s="212" t="s">
        <v>2354</v>
      </c>
    </row>
    <row r="2677" spans="1:9" x14ac:dyDescent="0.25">
      <c r="A2677" s="218" t="s">
        <v>220</v>
      </c>
      <c r="B2677" s="218" t="s">
        <v>5430</v>
      </c>
      <c r="C2677" s="219" t="s">
        <v>7266</v>
      </c>
      <c r="D2677" s="212" t="s">
        <v>7267</v>
      </c>
      <c r="E2677" s="212" t="s">
        <v>545</v>
      </c>
      <c r="F2677" s="213">
        <v>1</v>
      </c>
      <c r="G2677" s="213">
        <v>87.5</v>
      </c>
      <c r="H2677" s="195">
        <v>87.5</v>
      </c>
      <c r="I2677" s="212" t="s">
        <v>2354</v>
      </c>
    </row>
    <row r="2678" spans="1:9" x14ac:dyDescent="0.25">
      <c r="A2678" s="218" t="s">
        <v>220</v>
      </c>
      <c r="B2678" s="218" t="s">
        <v>2351</v>
      </c>
      <c r="C2678" s="219" t="s">
        <v>3557</v>
      </c>
      <c r="D2678" s="212" t="s">
        <v>3558</v>
      </c>
      <c r="E2678" s="212" t="s">
        <v>545</v>
      </c>
      <c r="F2678" s="213">
        <v>33</v>
      </c>
      <c r="G2678" s="213">
        <v>2.6549999999999998</v>
      </c>
      <c r="H2678" s="195">
        <v>87.614999999999995</v>
      </c>
      <c r="I2678" s="212" t="s">
        <v>2354</v>
      </c>
    </row>
    <row r="2679" spans="1:9" x14ac:dyDescent="0.25">
      <c r="A2679" s="218" t="s">
        <v>220</v>
      </c>
      <c r="B2679" s="218" t="s">
        <v>2351</v>
      </c>
      <c r="C2679" s="219" t="s">
        <v>4277</v>
      </c>
      <c r="D2679" s="212" t="s">
        <v>4278</v>
      </c>
      <c r="E2679" s="212" t="s">
        <v>545</v>
      </c>
      <c r="F2679" s="213">
        <v>1</v>
      </c>
      <c r="G2679" s="213">
        <v>87.75</v>
      </c>
      <c r="H2679" s="195">
        <v>87.75</v>
      </c>
      <c r="I2679" s="212" t="s">
        <v>2354</v>
      </c>
    </row>
    <row r="2680" spans="1:9" x14ac:dyDescent="0.25">
      <c r="A2680" s="218" t="s">
        <v>220</v>
      </c>
      <c r="B2680" s="218" t="s">
        <v>2351</v>
      </c>
      <c r="C2680" s="219" t="s">
        <v>2984</v>
      </c>
      <c r="D2680" s="212" t="s">
        <v>2985</v>
      </c>
      <c r="E2680" s="212" t="s">
        <v>545</v>
      </c>
      <c r="F2680" s="213">
        <v>6</v>
      </c>
      <c r="G2680" s="213">
        <v>14.706</v>
      </c>
      <c r="H2680" s="195">
        <v>88.23599999999999</v>
      </c>
      <c r="I2680" s="212" t="s">
        <v>2354</v>
      </c>
    </row>
    <row r="2681" spans="1:9" x14ac:dyDescent="0.25">
      <c r="A2681" s="218" t="s">
        <v>220</v>
      </c>
      <c r="B2681" s="218" t="s">
        <v>2351</v>
      </c>
      <c r="C2681" s="219" t="s">
        <v>3239</v>
      </c>
      <c r="D2681" s="212" t="s">
        <v>3240</v>
      </c>
      <c r="E2681" s="212" t="s">
        <v>545</v>
      </c>
      <c r="F2681" s="213">
        <v>1</v>
      </c>
      <c r="G2681" s="213">
        <v>88.346874999999983</v>
      </c>
      <c r="H2681" s="195">
        <v>88.346874999999983</v>
      </c>
      <c r="I2681" s="212" t="s">
        <v>2354</v>
      </c>
    </row>
    <row r="2682" spans="1:9" x14ac:dyDescent="0.25">
      <c r="A2682" s="218" t="s">
        <v>220</v>
      </c>
      <c r="B2682" s="218" t="s">
        <v>2351</v>
      </c>
      <c r="C2682" s="219" t="s">
        <v>3145</v>
      </c>
      <c r="D2682" s="212" t="s">
        <v>3146</v>
      </c>
      <c r="E2682" s="212" t="s">
        <v>545</v>
      </c>
      <c r="F2682" s="213">
        <v>26</v>
      </c>
      <c r="G2682" s="213">
        <v>3.3993000000000002</v>
      </c>
      <c r="H2682" s="195">
        <v>88.381799999999998</v>
      </c>
      <c r="I2682" s="212" t="s">
        <v>2354</v>
      </c>
    </row>
    <row r="2683" spans="1:9" x14ac:dyDescent="0.25">
      <c r="A2683" s="218" t="s">
        <v>220</v>
      </c>
      <c r="B2683" s="218" t="s">
        <v>2351</v>
      </c>
      <c r="C2683" s="219" t="s">
        <v>3607</v>
      </c>
      <c r="D2683" s="212" t="s">
        <v>3608</v>
      </c>
      <c r="E2683" s="212" t="s">
        <v>545</v>
      </c>
      <c r="F2683" s="213">
        <v>6</v>
      </c>
      <c r="G2683" s="213">
        <v>14.757300000000001</v>
      </c>
      <c r="H2683" s="195">
        <v>88.543800000000005</v>
      </c>
      <c r="I2683" s="212" t="s">
        <v>2354</v>
      </c>
    </row>
    <row r="2684" spans="1:9" x14ac:dyDescent="0.25">
      <c r="A2684" s="218" t="s">
        <v>220</v>
      </c>
      <c r="B2684" s="218" t="s">
        <v>2351</v>
      </c>
      <c r="C2684" s="219" t="s">
        <v>3561</v>
      </c>
      <c r="D2684" s="212" t="s">
        <v>3562</v>
      </c>
      <c r="E2684" s="212" t="s">
        <v>545</v>
      </c>
      <c r="F2684" s="213">
        <v>52</v>
      </c>
      <c r="G2684" s="213">
        <v>1.7100000000000002</v>
      </c>
      <c r="H2684" s="195">
        <v>88.920000000000016</v>
      </c>
      <c r="I2684" s="212" t="s">
        <v>2354</v>
      </c>
    </row>
    <row r="2685" spans="1:9" x14ac:dyDescent="0.25">
      <c r="A2685" s="218" t="s">
        <v>220</v>
      </c>
      <c r="B2685" s="218" t="s">
        <v>5430</v>
      </c>
      <c r="C2685" s="219" t="s">
        <v>6135</v>
      </c>
      <c r="D2685" s="212" t="s">
        <v>6136</v>
      </c>
      <c r="E2685" s="212" t="s">
        <v>545</v>
      </c>
      <c r="F2685" s="210">
        <v>1</v>
      </c>
      <c r="G2685" s="213">
        <v>89.5428</v>
      </c>
      <c r="H2685" s="195">
        <v>89.5428</v>
      </c>
      <c r="I2685" s="212" t="s">
        <v>2354</v>
      </c>
    </row>
    <row r="2686" spans="1:9" x14ac:dyDescent="0.25">
      <c r="A2686" s="218" t="s">
        <v>220</v>
      </c>
      <c r="B2686" s="218" t="s">
        <v>2351</v>
      </c>
      <c r="C2686" s="219" t="s">
        <v>4618</v>
      </c>
      <c r="D2686" s="212" t="s">
        <v>4619</v>
      </c>
      <c r="E2686" s="212" t="s">
        <v>545</v>
      </c>
      <c r="F2686" s="213">
        <v>4</v>
      </c>
      <c r="G2686" s="213">
        <v>22.452000000000002</v>
      </c>
      <c r="H2686" s="195">
        <v>89.808000000000007</v>
      </c>
      <c r="I2686" s="212" t="s">
        <v>2354</v>
      </c>
    </row>
    <row r="2687" spans="1:9" x14ac:dyDescent="0.25">
      <c r="A2687" s="218" t="s">
        <v>220</v>
      </c>
      <c r="B2687" s="218" t="s">
        <v>5430</v>
      </c>
      <c r="C2687" s="219" t="s">
        <v>4550</v>
      </c>
      <c r="D2687" s="212" t="s">
        <v>4551</v>
      </c>
      <c r="E2687" s="212" t="s">
        <v>545</v>
      </c>
      <c r="F2687" s="213">
        <v>8</v>
      </c>
      <c r="G2687" s="213">
        <v>11.237</v>
      </c>
      <c r="H2687" s="195">
        <v>89.896000000000001</v>
      </c>
      <c r="I2687" s="212" t="s">
        <v>2354</v>
      </c>
    </row>
    <row r="2688" spans="1:9" x14ac:dyDescent="0.25">
      <c r="A2688" s="218" t="s">
        <v>220</v>
      </c>
      <c r="B2688" s="218" t="s">
        <v>5430</v>
      </c>
      <c r="C2688" s="219" t="s">
        <v>6921</v>
      </c>
      <c r="D2688" s="212" t="s">
        <v>6922</v>
      </c>
      <c r="E2688" s="212" t="s">
        <v>545</v>
      </c>
      <c r="F2688" s="220">
        <v>1</v>
      </c>
      <c r="G2688" s="213">
        <v>89.900099999999995</v>
      </c>
      <c r="H2688" s="195">
        <v>89.900099999999995</v>
      </c>
      <c r="I2688" s="212" t="s">
        <v>2354</v>
      </c>
    </row>
    <row r="2689" spans="1:9" x14ac:dyDescent="0.25">
      <c r="A2689" s="218" t="s">
        <v>220</v>
      </c>
      <c r="B2689" s="218" t="s">
        <v>2351</v>
      </c>
      <c r="C2689" s="219" t="s">
        <v>5370</v>
      </c>
      <c r="D2689" s="212" t="s">
        <v>5371</v>
      </c>
      <c r="E2689" s="212" t="s">
        <v>545</v>
      </c>
      <c r="F2689" s="213">
        <v>8</v>
      </c>
      <c r="G2689" s="213">
        <v>11.25</v>
      </c>
      <c r="H2689" s="195">
        <v>90</v>
      </c>
      <c r="I2689" s="212" t="s">
        <v>2354</v>
      </c>
    </row>
    <row r="2690" spans="1:9" x14ac:dyDescent="0.25">
      <c r="A2690" s="218" t="s">
        <v>220</v>
      </c>
      <c r="B2690" s="218" t="s">
        <v>2351</v>
      </c>
      <c r="C2690" s="219" t="s">
        <v>4037</v>
      </c>
      <c r="D2690" s="212" t="s">
        <v>4038</v>
      </c>
      <c r="E2690" s="212" t="s">
        <v>545</v>
      </c>
      <c r="F2690" s="213">
        <v>4</v>
      </c>
      <c r="G2690" s="213">
        <v>22.55</v>
      </c>
      <c r="H2690" s="195">
        <v>90.2</v>
      </c>
      <c r="I2690" s="212" t="s">
        <v>2354</v>
      </c>
    </row>
    <row r="2691" spans="1:9" x14ac:dyDescent="0.25">
      <c r="A2691" s="218" t="s">
        <v>220</v>
      </c>
      <c r="B2691" s="218" t="s">
        <v>2351</v>
      </c>
      <c r="C2691" s="219" t="s">
        <v>5040</v>
      </c>
      <c r="D2691" s="212" t="s">
        <v>5041</v>
      </c>
      <c r="E2691" s="212" t="s">
        <v>545</v>
      </c>
      <c r="F2691" s="213">
        <v>321</v>
      </c>
      <c r="G2691" s="213">
        <v>0.28100000000000003</v>
      </c>
      <c r="H2691" s="195">
        <v>90.201000000000008</v>
      </c>
      <c r="I2691" s="212" t="s">
        <v>2354</v>
      </c>
    </row>
    <row r="2692" spans="1:9" x14ac:dyDescent="0.25">
      <c r="A2692" s="218" t="s">
        <v>220</v>
      </c>
      <c r="B2692" s="218" t="s">
        <v>2351</v>
      </c>
      <c r="C2692" s="219" t="s">
        <v>3245</v>
      </c>
      <c r="D2692" s="212" t="s">
        <v>3246</v>
      </c>
      <c r="E2692" s="212" t="s">
        <v>545</v>
      </c>
      <c r="F2692" s="210">
        <v>6</v>
      </c>
      <c r="G2692" s="213">
        <v>15.0642</v>
      </c>
      <c r="H2692" s="195">
        <v>90.385199999999998</v>
      </c>
      <c r="I2692" s="212" t="s">
        <v>2354</v>
      </c>
    </row>
    <row r="2693" spans="1:9" x14ac:dyDescent="0.25">
      <c r="A2693" s="218" t="s">
        <v>220</v>
      </c>
      <c r="B2693" s="218" t="s">
        <v>5430</v>
      </c>
      <c r="C2693" s="219" t="s">
        <v>4043</v>
      </c>
      <c r="D2693" s="212" t="s">
        <v>4044</v>
      </c>
      <c r="E2693" s="212" t="s">
        <v>545</v>
      </c>
      <c r="F2693" s="213">
        <v>1</v>
      </c>
      <c r="G2693" s="213">
        <v>90.4</v>
      </c>
      <c r="H2693" s="195">
        <v>90.4</v>
      </c>
      <c r="I2693" s="212" t="s">
        <v>2354</v>
      </c>
    </row>
    <row r="2694" spans="1:9" x14ac:dyDescent="0.25">
      <c r="A2694" s="218" t="s">
        <v>220</v>
      </c>
      <c r="B2694" s="218" t="s">
        <v>2351</v>
      </c>
      <c r="C2694" s="219" t="s">
        <v>3779</v>
      </c>
      <c r="D2694" s="212" t="s">
        <v>3780</v>
      </c>
      <c r="E2694" s="212" t="s">
        <v>545</v>
      </c>
      <c r="F2694" s="220">
        <v>3</v>
      </c>
      <c r="G2694" s="213">
        <v>30.245999999999999</v>
      </c>
      <c r="H2694" s="195">
        <v>90.738</v>
      </c>
      <c r="I2694" s="212" t="s">
        <v>2354</v>
      </c>
    </row>
    <row r="2695" spans="1:9" x14ac:dyDescent="0.25">
      <c r="A2695" s="218" t="s">
        <v>220</v>
      </c>
      <c r="B2695" s="218" t="s">
        <v>2351</v>
      </c>
      <c r="C2695" s="219" t="s">
        <v>2504</v>
      </c>
      <c r="D2695" s="212" t="s">
        <v>2505</v>
      </c>
      <c r="E2695" s="212" t="s">
        <v>545</v>
      </c>
      <c r="F2695" s="213">
        <v>1</v>
      </c>
      <c r="G2695" s="213">
        <v>90.9</v>
      </c>
      <c r="H2695" s="195">
        <v>90.9</v>
      </c>
      <c r="I2695" s="212" t="s">
        <v>2354</v>
      </c>
    </row>
    <row r="2696" spans="1:9" x14ac:dyDescent="0.25">
      <c r="A2696" s="218" t="s">
        <v>220</v>
      </c>
      <c r="B2696" s="218" t="s">
        <v>2351</v>
      </c>
      <c r="C2696" s="219" t="s">
        <v>4770</v>
      </c>
      <c r="D2696" s="212" t="s">
        <v>4771</v>
      </c>
      <c r="E2696" s="212" t="s">
        <v>545</v>
      </c>
      <c r="F2696" s="213">
        <v>25</v>
      </c>
      <c r="G2696" s="213">
        <v>3.6360000000000001</v>
      </c>
      <c r="H2696" s="195">
        <v>90.9</v>
      </c>
      <c r="I2696" s="212" t="s">
        <v>2354</v>
      </c>
    </row>
    <row r="2697" spans="1:9" x14ac:dyDescent="0.25">
      <c r="A2697" s="218" t="s">
        <v>220</v>
      </c>
      <c r="B2697" s="218" t="s">
        <v>2351</v>
      </c>
      <c r="C2697" s="219" t="s">
        <v>3355</v>
      </c>
      <c r="D2697" s="212" t="s">
        <v>3356</v>
      </c>
      <c r="E2697" s="212" t="s">
        <v>545</v>
      </c>
      <c r="F2697" s="213">
        <v>25</v>
      </c>
      <c r="G2697" s="213">
        <v>3.6414</v>
      </c>
      <c r="H2697" s="195">
        <v>91.034999999999997</v>
      </c>
      <c r="I2697" s="212" t="s">
        <v>2354</v>
      </c>
    </row>
    <row r="2698" spans="1:9" x14ac:dyDescent="0.25">
      <c r="A2698" s="218" t="s">
        <v>220</v>
      </c>
      <c r="B2698" s="218" t="s">
        <v>2351</v>
      </c>
      <c r="C2698" s="219" t="s">
        <v>5136</v>
      </c>
      <c r="D2698" s="212" t="s">
        <v>5137</v>
      </c>
      <c r="E2698" s="212" t="s">
        <v>545</v>
      </c>
      <c r="F2698" s="213">
        <v>95</v>
      </c>
      <c r="G2698" s="213">
        <v>0.96084849999999999</v>
      </c>
      <c r="H2698" s="195">
        <v>91.280607500000002</v>
      </c>
      <c r="I2698" s="212" t="s">
        <v>2354</v>
      </c>
    </row>
    <row r="2699" spans="1:9" x14ac:dyDescent="0.25">
      <c r="A2699" s="218" t="s">
        <v>220</v>
      </c>
      <c r="B2699" s="218" t="s">
        <v>2351</v>
      </c>
      <c r="C2699" s="219" t="s">
        <v>2948</v>
      </c>
      <c r="D2699" s="212" t="s">
        <v>2949</v>
      </c>
      <c r="E2699" s="212" t="s">
        <v>545</v>
      </c>
      <c r="F2699" s="213">
        <v>2</v>
      </c>
      <c r="G2699" s="213">
        <v>45.642600000000002</v>
      </c>
      <c r="H2699" s="195">
        <v>91.285200000000003</v>
      </c>
      <c r="I2699" s="212" t="s">
        <v>2354</v>
      </c>
    </row>
    <row r="2700" spans="1:9" x14ac:dyDescent="0.25">
      <c r="A2700" s="218" t="s">
        <v>220</v>
      </c>
      <c r="B2700" s="218" t="s">
        <v>2351</v>
      </c>
      <c r="C2700" s="219" t="s">
        <v>2908</v>
      </c>
      <c r="D2700" s="212" t="s">
        <v>2909</v>
      </c>
      <c r="E2700" s="212" t="s">
        <v>545</v>
      </c>
      <c r="F2700" s="213">
        <v>9</v>
      </c>
      <c r="G2700" s="213">
        <v>10.143000000000001</v>
      </c>
      <c r="H2700" s="195">
        <v>91.287000000000006</v>
      </c>
      <c r="I2700" s="212" t="s">
        <v>2354</v>
      </c>
    </row>
    <row r="2701" spans="1:9" x14ac:dyDescent="0.25">
      <c r="A2701" s="218" t="s">
        <v>220</v>
      </c>
      <c r="B2701" s="218" t="s">
        <v>2351</v>
      </c>
      <c r="C2701" s="219" t="s">
        <v>2722</v>
      </c>
      <c r="D2701" s="212" t="s">
        <v>2723</v>
      </c>
      <c r="E2701" s="212" t="s">
        <v>7558</v>
      </c>
      <c r="F2701" s="213">
        <v>6</v>
      </c>
      <c r="G2701" s="213">
        <v>15.222000000000001</v>
      </c>
      <c r="H2701" s="195">
        <v>91.332000000000008</v>
      </c>
      <c r="I2701" s="212" t="s">
        <v>2354</v>
      </c>
    </row>
    <row r="2702" spans="1:9" x14ac:dyDescent="0.25">
      <c r="A2702" s="218" t="s">
        <v>220</v>
      </c>
      <c r="B2702" s="218" t="s">
        <v>5430</v>
      </c>
      <c r="C2702" s="219" t="s">
        <v>3453</v>
      </c>
      <c r="D2702" s="212" t="s">
        <v>3454</v>
      </c>
      <c r="E2702" s="212" t="s">
        <v>545</v>
      </c>
      <c r="F2702" s="213">
        <v>80</v>
      </c>
      <c r="G2702" s="213">
        <v>1.1475</v>
      </c>
      <c r="H2702" s="195">
        <v>91.8</v>
      </c>
      <c r="I2702" s="212" t="s">
        <v>2354</v>
      </c>
    </row>
    <row r="2703" spans="1:9" x14ac:dyDescent="0.25">
      <c r="A2703" s="218" t="s">
        <v>220</v>
      </c>
      <c r="B2703" s="218" t="s">
        <v>5430</v>
      </c>
      <c r="C2703" s="219" t="s">
        <v>4985</v>
      </c>
      <c r="D2703" s="212" t="s">
        <v>4986</v>
      </c>
      <c r="E2703" s="212" t="s">
        <v>545</v>
      </c>
      <c r="F2703" s="213">
        <v>352</v>
      </c>
      <c r="G2703" s="213">
        <v>0.26100000000000001</v>
      </c>
      <c r="H2703" s="195">
        <v>91.872</v>
      </c>
      <c r="I2703" s="212" t="s">
        <v>2354</v>
      </c>
    </row>
    <row r="2704" spans="1:9" x14ac:dyDescent="0.25">
      <c r="A2704" s="218" t="s">
        <v>220</v>
      </c>
      <c r="B2704" s="218" t="s">
        <v>2351</v>
      </c>
      <c r="C2704" s="219" t="s">
        <v>3749</v>
      </c>
      <c r="D2704" s="212" t="s">
        <v>3750</v>
      </c>
      <c r="E2704" s="212" t="s">
        <v>2387</v>
      </c>
      <c r="F2704" s="213">
        <v>100</v>
      </c>
      <c r="G2704" s="213">
        <v>0.91969999999999996</v>
      </c>
      <c r="H2704" s="195">
        <v>91.97</v>
      </c>
      <c r="I2704" s="212" t="s">
        <v>2354</v>
      </c>
    </row>
    <row r="2705" spans="1:9" x14ac:dyDescent="0.25">
      <c r="A2705" s="218" t="s">
        <v>220</v>
      </c>
      <c r="B2705" s="218" t="s">
        <v>5430</v>
      </c>
      <c r="C2705" s="219" t="s">
        <v>7121</v>
      </c>
      <c r="D2705" s="212" t="s">
        <v>4741</v>
      </c>
      <c r="E2705" s="212" t="s">
        <v>545</v>
      </c>
      <c r="F2705" s="213">
        <v>4</v>
      </c>
      <c r="G2705" s="213">
        <v>23.007999999999999</v>
      </c>
      <c r="H2705" s="195">
        <v>92.031999999999996</v>
      </c>
      <c r="I2705" s="212" t="s">
        <v>2354</v>
      </c>
    </row>
    <row r="2706" spans="1:9" x14ac:dyDescent="0.25">
      <c r="A2706" s="218" t="s">
        <v>220</v>
      </c>
      <c r="B2706" s="218" t="s">
        <v>5430</v>
      </c>
      <c r="C2706" s="219" t="s">
        <v>5893</v>
      </c>
      <c r="D2706" s="212" t="s">
        <v>5894</v>
      </c>
      <c r="E2706" s="212" t="s">
        <v>545</v>
      </c>
      <c r="F2706" s="213">
        <v>6</v>
      </c>
      <c r="G2706" s="213">
        <v>15.36651</v>
      </c>
      <c r="H2706" s="195">
        <v>92.199060000000003</v>
      </c>
      <c r="I2706" s="212" t="s">
        <v>2354</v>
      </c>
    </row>
    <row r="2707" spans="1:9" x14ac:dyDescent="0.25">
      <c r="A2707" s="218" t="s">
        <v>220</v>
      </c>
      <c r="B2707" s="218" t="s">
        <v>2351</v>
      </c>
      <c r="C2707" s="219" t="s">
        <v>5250</v>
      </c>
      <c r="D2707" s="212" t="s">
        <v>5251</v>
      </c>
      <c r="E2707" s="212" t="s">
        <v>545</v>
      </c>
      <c r="F2707" s="213">
        <v>4</v>
      </c>
      <c r="G2707" s="213">
        <v>23.079599999999999</v>
      </c>
      <c r="H2707" s="195">
        <v>92.318399999999997</v>
      </c>
      <c r="I2707" s="212" t="s">
        <v>2354</v>
      </c>
    </row>
    <row r="2708" spans="1:9" x14ac:dyDescent="0.25">
      <c r="A2708" s="218" t="s">
        <v>220</v>
      </c>
      <c r="B2708" s="218" t="s">
        <v>2351</v>
      </c>
      <c r="C2708" s="219" t="s">
        <v>3143</v>
      </c>
      <c r="D2708" s="212" t="s">
        <v>3144</v>
      </c>
      <c r="E2708" s="212" t="s">
        <v>545</v>
      </c>
      <c r="F2708" s="213">
        <v>45</v>
      </c>
      <c r="G2708" s="213">
        <v>2.0583</v>
      </c>
      <c r="H2708" s="195">
        <v>92.623500000000007</v>
      </c>
      <c r="I2708" s="212" t="s">
        <v>2354</v>
      </c>
    </row>
    <row r="2709" spans="1:9" x14ac:dyDescent="0.25">
      <c r="A2709" s="218" t="s">
        <v>220</v>
      </c>
      <c r="B2709" s="218" t="s">
        <v>2351</v>
      </c>
      <c r="C2709" s="219" t="s">
        <v>4858</v>
      </c>
      <c r="D2709" s="212" t="s">
        <v>4859</v>
      </c>
      <c r="E2709" s="212" t="s">
        <v>545</v>
      </c>
      <c r="F2709" s="213">
        <v>210</v>
      </c>
      <c r="G2709" s="213">
        <v>0.442</v>
      </c>
      <c r="H2709" s="195">
        <v>92.820000000000007</v>
      </c>
      <c r="I2709" s="212" t="s">
        <v>2354</v>
      </c>
    </row>
    <row r="2710" spans="1:9" x14ac:dyDescent="0.25">
      <c r="A2710" s="218" t="s">
        <v>220</v>
      </c>
      <c r="B2710" s="218" t="s">
        <v>2351</v>
      </c>
      <c r="C2710" s="219" t="s">
        <v>2714</v>
      </c>
      <c r="D2710" s="212" t="s">
        <v>2715</v>
      </c>
      <c r="E2710" s="212" t="s">
        <v>7558</v>
      </c>
      <c r="F2710" s="213">
        <v>4.5</v>
      </c>
      <c r="G2710" s="213">
        <v>20.655000000000001</v>
      </c>
      <c r="H2710" s="195">
        <v>92.947500000000005</v>
      </c>
      <c r="I2710" s="212" t="s">
        <v>2354</v>
      </c>
    </row>
    <row r="2711" spans="1:9" x14ac:dyDescent="0.25">
      <c r="A2711" s="218" t="s">
        <v>220</v>
      </c>
      <c r="B2711" s="218" t="s">
        <v>5430</v>
      </c>
      <c r="C2711" s="219" t="s">
        <v>7043</v>
      </c>
      <c r="D2711" s="212" t="s">
        <v>7044</v>
      </c>
      <c r="E2711" s="212" t="s">
        <v>545</v>
      </c>
      <c r="F2711" s="213">
        <v>1</v>
      </c>
      <c r="G2711" s="213">
        <v>93.05</v>
      </c>
      <c r="H2711" s="195">
        <v>93.05</v>
      </c>
      <c r="I2711" s="212" t="s">
        <v>2354</v>
      </c>
    </row>
    <row r="2712" spans="1:9" x14ac:dyDescent="0.25">
      <c r="A2712" s="218" t="s">
        <v>220</v>
      </c>
      <c r="B2712" s="218" t="s">
        <v>2351</v>
      </c>
      <c r="C2712" s="219" t="s">
        <v>2768</v>
      </c>
      <c r="D2712" s="212" t="s">
        <v>2769</v>
      </c>
      <c r="E2712" s="212" t="s">
        <v>545</v>
      </c>
      <c r="F2712" s="213">
        <v>2</v>
      </c>
      <c r="G2712" s="213">
        <v>46.54936</v>
      </c>
      <c r="H2712" s="195">
        <v>93.09872</v>
      </c>
      <c r="I2712" s="212" t="s">
        <v>2354</v>
      </c>
    </row>
    <row r="2713" spans="1:9" x14ac:dyDescent="0.25">
      <c r="A2713" s="218" t="s">
        <v>220</v>
      </c>
      <c r="B2713" s="218" t="s">
        <v>2351</v>
      </c>
      <c r="C2713" s="219" t="s">
        <v>2798</v>
      </c>
      <c r="D2713" s="212" t="s">
        <v>2799</v>
      </c>
      <c r="E2713" s="212" t="s">
        <v>545</v>
      </c>
      <c r="F2713" s="213">
        <v>9</v>
      </c>
      <c r="G2713" s="213">
        <v>10.35</v>
      </c>
      <c r="H2713" s="195">
        <v>93.149999999999991</v>
      </c>
      <c r="I2713" s="212" t="s">
        <v>2354</v>
      </c>
    </row>
    <row r="2714" spans="1:9" x14ac:dyDescent="0.25">
      <c r="A2714" s="218" t="s">
        <v>220</v>
      </c>
      <c r="B2714" s="218" t="s">
        <v>2351</v>
      </c>
      <c r="C2714" s="219" t="s">
        <v>4542</v>
      </c>
      <c r="D2714" s="212" t="s">
        <v>4543</v>
      </c>
      <c r="E2714" s="212" t="s">
        <v>545</v>
      </c>
      <c r="F2714" s="213">
        <v>4</v>
      </c>
      <c r="G2714" s="213">
        <v>23.315999999999999</v>
      </c>
      <c r="H2714" s="195">
        <v>93.263999999999996</v>
      </c>
      <c r="I2714" s="212" t="s">
        <v>2354</v>
      </c>
    </row>
    <row r="2715" spans="1:9" x14ac:dyDescent="0.25">
      <c r="A2715" s="218" t="s">
        <v>220</v>
      </c>
      <c r="B2715" s="218" t="s">
        <v>5430</v>
      </c>
      <c r="C2715" s="219" t="s">
        <v>5697</v>
      </c>
      <c r="D2715" s="212" t="s">
        <v>5698</v>
      </c>
      <c r="E2715" s="212" t="s">
        <v>545</v>
      </c>
      <c r="F2715" s="213">
        <v>1</v>
      </c>
      <c r="G2715" s="213">
        <v>93.42</v>
      </c>
      <c r="H2715" s="195">
        <v>93.42</v>
      </c>
      <c r="I2715" s="212" t="s">
        <v>2354</v>
      </c>
    </row>
    <row r="2716" spans="1:9" x14ac:dyDescent="0.25">
      <c r="A2716" s="218" t="s">
        <v>220</v>
      </c>
      <c r="B2716" s="218" t="s">
        <v>5430</v>
      </c>
      <c r="C2716" s="219" t="s">
        <v>5901</v>
      </c>
      <c r="D2716" s="212" t="s">
        <v>5902</v>
      </c>
      <c r="E2716" s="212" t="s">
        <v>545</v>
      </c>
      <c r="F2716" s="213">
        <v>6</v>
      </c>
      <c r="G2716" s="213">
        <v>15.587999999999999</v>
      </c>
      <c r="H2716" s="195">
        <v>93.527999999999992</v>
      </c>
      <c r="I2716" s="212" t="s">
        <v>2354</v>
      </c>
    </row>
    <row r="2717" spans="1:9" x14ac:dyDescent="0.25">
      <c r="A2717" s="218" t="s">
        <v>220</v>
      </c>
      <c r="B2717" s="218" t="s">
        <v>2351</v>
      </c>
      <c r="C2717" s="219" t="s">
        <v>4011</v>
      </c>
      <c r="D2717" s="212" t="s">
        <v>4012</v>
      </c>
      <c r="E2717" s="212" t="s">
        <v>545</v>
      </c>
      <c r="F2717" s="213">
        <v>9</v>
      </c>
      <c r="G2717" s="213">
        <v>10.3955</v>
      </c>
      <c r="H2717" s="195">
        <v>93.5595</v>
      </c>
      <c r="I2717" s="212" t="s">
        <v>2354</v>
      </c>
    </row>
    <row r="2718" spans="1:9" x14ac:dyDescent="0.25">
      <c r="A2718" s="218" t="s">
        <v>220</v>
      </c>
      <c r="B2718" s="218" t="s">
        <v>5430</v>
      </c>
      <c r="C2718" s="219" t="s">
        <v>5985</v>
      </c>
      <c r="D2718" s="212" t="s">
        <v>5986</v>
      </c>
      <c r="E2718" s="212" t="s">
        <v>545</v>
      </c>
      <c r="F2718" s="213">
        <v>4</v>
      </c>
      <c r="G2718" s="213">
        <v>23.4</v>
      </c>
      <c r="H2718" s="195">
        <v>93.6</v>
      </c>
      <c r="I2718" s="212" t="s">
        <v>2354</v>
      </c>
    </row>
    <row r="2719" spans="1:9" x14ac:dyDescent="0.25">
      <c r="A2719" s="218" t="s">
        <v>220</v>
      </c>
      <c r="B2719" s="218" t="s">
        <v>2351</v>
      </c>
      <c r="C2719" s="219" t="s">
        <v>2904</v>
      </c>
      <c r="D2719" s="212" t="s">
        <v>2905</v>
      </c>
      <c r="E2719" s="212" t="s">
        <v>545</v>
      </c>
      <c r="F2719" s="213">
        <v>7</v>
      </c>
      <c r="G2719" s="213">
        <v>13.374000000000001</v>
      </c>
      <c r="H2719" s="195">
        <v>93.618000000000009</v>
      </c>
      <c r="I2719" s="212" t="s">
        <v>2354</v>
      </c>
    </row>
    <row r="2720" spans="1:9" x14ac:dyDescent="0.25">
      <c r="A2720" s="218" t="s">
        <v>220</v>
      </c>
      <c r="B2720" s="218" t="s">
        <v>5430</v>
      </c>
      <c r="C2720" s="219" t="s">
        <v>4824</v>
      </c>
      <c r="D2720" s="212" t="s">
        <v>4825</v>
      </c>
      <c r="E2720" s="212" t="s">
        <v>545</v>
      </c>
      <c r="F2720" s="213">
        <v>160</v>
      </c>
      <c r="G2720" s="213">
        <v>0.59</v>
      </c>
      <c r="H2720" s="195">
        <v>94.399999999999991</v>
      </c>
      <c r="I2720" s="212" t="s">
        <v>2354</v>
      </c>
    </row>
    <row r="2721" spans="1:9" x14ac:dyDescent="0.25">
      <c r="A2721" s="218" t="s">
        <v>220</v>
      </c>
      <c r="B2721" s="218" t="s">
        <v>2351</v>
      </c>
      <c r="C2721" s="219" t="s">
        <v>5010</v>
      </c>
      <c r="D2721" s="212" t="s">
        <v>5011</v>
      </c>
      <c r="E2721" s="212" t="s">
        <v>545</v>
      </c>
      <c r="F2721" s="210">
        <v>240</v>
      </c>
      <c r="G2721" s="213">
        <v>0.39360000000000001</v>
      </c>
      <c r="H2721" s="195">
        <v>94.463999999999999</v>
      </c>
      <c r="I2721" s="212" t="s">
        <v>2354</v>
      </c>
    </row>
    <row r="2722" spans="1:9" x14ac:dyDescent="0.25">
      <c r="A2722" s="218" t="s">
        <v>220</v>
      </c>
      <c r="B2722" s="218" t="s">
        <v>5430</v>
      </c>
      <c r="C2722" s="219" t="s">
        <v>5759</v>
      </c>
      <c r="D2722" s="212" t="s">
        <v>5760</v>
      </c>
      <c r="E2722" s="212" t="s">
        <v>545</v>
      </c>
      <c r="F2722" s="213">
        <v>3</v>
      </c>
      <c r="G2722" s="213">
        <v>31.5</v>
      </c>
      <c r="H2722" s="195">
        <v>94.5</v>
      </c>
      <c r="I2722" s="212" t="s">
        <v>2354</v>
      </c>
    </row>
    <row r="2723" spans="1:9" x14ac:dyDescent="0.25">
      <c r="A2723" s="218" t="s">
        <v>220</v>
      </c>
      <c r="B2723" s="218" t="s">
        <v>2351</v>
      </c>
      <c r="C2723" s="219" t="s">
        <v>4684</v>
      </c>
      <c r="D2723" s="212" t="s">
        <v>4685</v>
      </c>
      <c r="E2723" s="212" t="s">
        <v>545</v>
      </c>
      <c r="F2723" s="220">
        <v>8</v>
      </c>
      <c r="G2723" s="213">
        <v>11.813000000000001</v>
      </c>
      <c r="H2723" s="195">
        <v>94.504000000000005</v>
      </c>
      <c r="I2723" s="212" t="s">
        <v>2354</v>
      </c>
    </row>
    <row r="2724" spans="1:9" x14ac:dyDescent="0.25">
      <c r="A2724" s="218" t="s">
        <v>220</v>
      </c>
      <c r="B2724" s="218" t="s">
        <v>5430</v>
      </c>
      <c r="C2724" s="219" t="s">
        <v>6172</v>
      </c>
      <c r="D2724" s="212" t="s">
        <v>6173</v>
      </c>
      <c r="E2724" s="212" t="s">
        <v>545</v>
      </c>
      <c r="F2724" s="213">
        <v>2</v>
      </c>
      <c r="G2724" s="213">
        <v>47.34</v>
      </c>
      <c r="H2724" s="195">
        <v>94.68</v>
      </c>
      <c r="I2724" s="212" t="s">
        <v>2354</v>
      </c>
    </row>
    <row r="2725" spans="1:9" x14ac:dyDescent="0.25">
      <c r="A2725" s="218" t="s">
        <v>220</v>
      </c>
      <c r="B2725" s="218" t="s">
        <v>2351</v>
      </c>
      <c r="C2725" s="219" t="s">
        <v>3093</v>
      </c>
      <c r="D2725" s="212" t="s">
        <v>3094</v>
      </c>
      <c r="E2725" s="212" t="s">
        <v>545</v>
      </c>
      <c r="F2725" s="213">
        <v>1</v>
      </c>
      <c r="G2725" s="213">
        <v>94.6845</v>
      </c>
      <c r="H2725" s="195">
        <v>94.6845</v>
      </c>
      <c r="I2725" s="212" t="s">
        <v>2354</v>
      </c>
    </row>
    <row r="2726" spans="1:9" x14ac:dyDescent="0.25">
      <c r="A2726" s="218" t="s">
        <v>220</v>
      </c>
      <c r="B2726" s="218" t="s">
        <v>2351</v>
      </c>
      <c r="C2726" s="219" t="s">
        <v>5164</v>
      </c>
      <c r="D2726" s="212" t="s">
        <v>5165</v>
      </c>
      <c r="E2726" s="212" t="s">
        <v>545</v>
      </c>
      <c r="F2726" s="213">
        <v>6</v>
      </c>
      <c r="G2726" s="213">
        <v>15.81</v>
      </c>
      <c r="H2726" s="195">
        <v>94.86</v>
      </c>
      <c r="I2726" s="212" t="s">
        <v>2354</v>
      </c>
    </row>
    <row r="2727" spans="1:9" x14ac:dyDescent="0.25">
      <c r="A2727" s="218" t="s">
        <v>220</v>
      </c>
      <c r="B2727" s="218" t="s">
        <v>2351</v>
      </c>
      <c r="C2727" s="219" t="s">
        <v>4662</v>
      </c>
      <c r="D2727" s="212" t="s">
        <v>4663</v>
      </c>
      <c r="E2727" s="212" t="s">
        <v>545</v>
      </c>
      <c r="F2727" s="213">
        <v>452</v>
      </c>
      <c r="G2727" s="213">
        <v>0.21</v>
      </c>
      <c r="H2727" s="195">
        <v>94.92</v>
      </c>
      <c r="I2727" s="212" t="s">
        <v>2354</v>
      </c>
    </row>
    <row r="2728" spans="1:9" x14ac:dyDescent="0.25">
      <c r="A2728" s="218" t="s">
        <v>220</v>
      </c>
      <c r="B2728" s="218" t="s">
        <v>5430</v>
      </c>
      <c r="C2728" s="219" t="s">
        <v>6866</v>
      </c>
      <c r="D2728" s="212" t="s">
        <v>6867</v>
      </c>
      <c r="E2728" s="212" t="s">
        <v>545</v>
      </c>
      <c r="F2728" s="213">
        <v>10</v>
      </c>
      <c r="G2728" s="213">
        <v>9.512100000000002</v>
      </c>
      <c r="H2728" s="195">
        <v>95.121000000000024</v>
      </c>
      <c r="I2728" s="212" t="s">
        <v>2354</v>
      </c>
    </row>
    <row r="2729" spans="1:9" x14ac:dyDescent="0.25">
      <c r="A2729" s="218" t="s">
        <v>220</v>
      </c>
      <c r="B2729" s="218" t="s">
        <v>2351</v>
      </c>
      <c r="C2729" s="219" t="s">
        <v>4630</v>
      </c>
      <c r="D2729" s="212" t="s">
        <v>4631</v>
      </c>
      <c r="E2729" s="212" t="s">
        <v>545</v>
      </c>
      <c r="F2729" s="213">
        <v>2</v>
      </c>
      <c r="G2729" s="213">
        <v>47.65</v>
      </c>
      <c r="H2729" s="195">
        <v>95.3</v>
      </c>
      <c r="I2729" s="212" t="s">
        <v>2354</v>
      </c>
    </row>
    <row r="2730" spans="1:9" x14ac:dyDescent="0.25">
      <c r="A2730" s="218" t="s">
        <v>220</v>
      </c>
      <c r="B2730" s="218" t="s">
        <v>2351</v>
      </c>
      <c r="C2730" s="219" t="s">
        <v>3937</v>
      </c>
      <c r="D2730" s="212" t="s">
        <v>3938</v>
      </c>
      <c r="E2730" s="212" t="s">
        <v>2387</v>
      </c>
      <c r="F2730" s="213">
        <v>40</v>
      </c>
      <c r="G2730" s="213">
        <v>2.3929999999999998</v>
      </c>
      <c r="H2730" s="195">
        <v>95.72</v>
      </c>
      <c r="I2730" s="212" t="s">
        <v>2354</v>
      </c>
    </row>
    <row r="2731" spans="1:9" x14ac:dyDescent="0.25">
      <c r="A2731" s="218" t="s">
        <v>220</v>
      </c>
      <c r="B2731" s="218" t="s">
        <v>2351</v>
      </c>
      <c r="C2731" s="219" t="s">
        <v>3975</v>
      </c>
      <c r="D2731" s="212" t="s">
        <v>3976</v>
      </c>
      <c r="E2731" s="212" t="s">
        <v>545</v>
      </c>
      <c r="F2731" s="213">
        <v>60</v>
      </c>
      <c r="G2731" s="213">
        <v>1.6037999999999999</v>
      </c>
      <c r="H2731" s="195">
        <v>96.227999999999994</v>
      </c>
      <c r="I2731" s="212" t="s">
        <v>2354</v>
      </c>
    </row>
    <row r="2732" spans="1:9" x14ac:dyDescent="0.25">
      <c r="A2732" s="218" t="s">
        <v>220</v>
      </c>
      <c r="B2732" s="218" t="s">
        <v>2351</v>
      </c>
      <c r="C2732" s="219" t="s">
        <v>5036</v>
      </c>
      <c r="D2732" s="212" t="s">
        <v>5037</v>
      </c>
      <c r="E2732" s="212" t="s">
        <v>545</v>
      </c>
      <c r="F2732" s="213">
        <v>260</v>
      </c>
      <c r="G2732" s="213">
        <v>0.37153573650785487</v>
      </c>
      <c r="H2732" s="195">
        <v>96.599291492042269</v>
      </c>
      <c r="I2732" s="212" t="s">
        <v>2354</v>
      </c>
    </row>
    <row r="2733" spans="1:9" x14ac:dyDescent="0.25">
      <c r="A2733" s="218" t="s">
        <v>220</v>
      </c>
      <c r="B2733" s="218" t="s">
        <v>2351</v>
      </c>
      <c r="C2733" s="219" t="s">
        <v>2435</v>
      </c>
      <c r="D2733" s="212" t="s">
        <v>2436</v>
      </c>
      <c r="E2733" s="212" t="s">
        <v>545</v>
      </c>
      <c r="F2733" s="213">
        <v>15</v>
      </c>
      <c r="G2733" s="213">
        <v>6.4550000000000001</v>
      </c>
      <c r="H2733" s="195">
        <v>96.825000000000003</v>
      </c>
      <c r="I2733" s="212" t="s">
        <v>2354</v>
      </c>
    </row>
    <row r="2734" spans="1:9" x14ac:dyDescent="0.25">
      <c r="A2734" s="218" t="s">
        <v>220</v>
      </c>
      <c r="B2734" s="218" t="s">
        <v>5430</v>
      </c>
      <c r="C2734" s="219" t="s">
        <v>6257</v>
      </c>
      <c r="D2734" s="212" t="s">
        <v>6258</v>
      </c>
      <c r="E2734" s="212" t="s">
        <v>2387</v>
      </c>
      <c r="F2734" s="213">
        <v>2</v>
      </c>
      <c r="G2734" s="213">
        <v>48.454000000000001</v>
      </c>
      <c r="H2734" s="195">
        <v>96.908000000000001</v>
      </c>
      <c r="I2734" s="212" t="s">
        <v>2354</v>
      </c>
    </row>
    <row r="2735" spans="1:9" x14ac:dyDescent="0.25">
      <c r="A2735" s="218" t="s">
        <v>220</v>
      </c>
      <c r="B2735" s="218" t="s">
        <v>5430</v>
      </c>
      <c r="C2735" s="219" t="s">
        <v>6259</v>
      </c>
      <c r="D2735" s="212" t="s">
        <v>6260</v>
      </c>
      <c r="E2735" s="212" t="s">
        <v>2387</v>
      </c>
      <c r="F2735" s="213">
        <v>2</v>
      </c>
      <c r="G2735" s="213">
        <v>48.454000000000001</v>
      </c>
      <c r="H2735" s="195">
        <v>96.908000000000001</v>
      </c>
      <c r="I2735" s="212" t="s">
        <v>2354</v>
      </c>
    </row>
    <row r="2736" spans="1:9" x14ac:dyDescent="0.25">
      <c r="A2736" s="218" t="s">
        <v>220</v>
      </c>
      <c r="B2736" s="218" t="s">
        <v>2351</v>
      </c>
      <c r="C2736" s="219" t="s">
        <v>3101</v>
      </c>
      <c r="D2736" s="212" t="s">
        <v>3102</v>
      </c>
      <c r="E2736" s="212" t="s">
        <v>545</v>
      </c>
      <c r="F2736" s="213">
        <v>8</v>
      </c>
      <c r="G2736" s="213">
        <v>12.132</v>
      </c>
      <c r="H2736" s="195">
        <v>97.055999999999997</v>
      </c>
      <c r="I2736" s="212" t="s">
        <v>2354</v>
      </c>
    </row>
    <row r="2737" spans="1:9" x14ac:dyDescent="0.25">
      <c r="A2737" s="218" t="s">
        <v>220</v>
      </c>
      <c r="B2737" s="218" t="s">
        <v>2351</v>
      </c>
      <c r="C2737" s="219" t="s">
        <v>5400</v>
      </c>
      <c r="D2737" s="212" t="s">
        <v>5401</v>
      </c>
      <c r="E2737" s="212" t="s">
        <v>545</v>
      </c>
      <c r="F2737" s="213">
        <v>12</v>
      </c>
      <c r="G2737" s="213">
        <v>8.0970707070707064</v>
      </c>
      <c r="H2737" s="195">
        <v>97.164848484848477</v>
      </c>
      <c r="I2737" s="212" t="s">
        <v>2354</v>
      </c>
    </row>
    <row r="2738" spans="1:9" x14ac:dyDescent="0.25">
      <c r="A2738" s="218" t="s">
        <v>220</v>
      </c>
      <c r="B2738" s="218" t="s">
        <v>5430</v>
      </c>
      <c r="C2738" s="219" t="s">
        <v>6694</v>
      </c>
      <c r="D2738" s="212" t="s">
        <v>6695</v>
      </c>
      <c r="E2738" s="212" t="s">
        <v>545</v>
      </c>
      <c r="F2738" s="213">
        <v>32</v>
      </c>
      <c r="G2738" s="213">
        <v>3.0419999999999998</v>
      </c>
      <c r="H2738" s="195">
        <v>97.343999999999994</v>
      </c>
      <c r="I2738" s="212" t="s">
        <v>2354</v>
      </c>
    </row>
    <row r="2739" spans="1:9" x14ac:dyDescent="0.25">
      <c r="A2739" s="218" t="s">
        <v>220</v>
      </c>
      <c r="B2739" s="218" t="s">
        <v>5430</v>
      </c>
      <c r="C2739" s="219" t="s">
        <v>7286</v>
      </c>
      <c r="D2739" s="212" t="s">
        <v>7287</v>
      </c>
      <c r="E2739" s="212" t="s">
        <v>545</v>
      </c>
      <c r="F2739" s="213">
        <v>1</v>
      </c>
      <c r="G2739" s="213">
        <v>97.703000000000003</v>
      </c>
      <c r="H2739" s="195">
        <v>97.703000000000003</v>
      </c>
      <c r="I2739" s="212" t="s">
        <v>2354</v>
      </c>
    </row>
    <row r="2740" spans="1:9" x14ac:dyDescent="0.25">
      <c r="A2740" s="218" t="s">
        <v>220</v>
      </c>
      <c r="B2740" s="218" t="s">
        <v>5430</v>
      </c>
      <c r="C2740" s="219" t="s">
        <v>6168</v>
      </c>
      <c r="D2740" s="212" t="s">
        <v>6169</v>
      </c>
      <c r="E2740" s="212" t="s">
        <v>545</v>
      </c>
      <c r="F2740" s="210">
        <v>9</v>
      </c>
      <c r="G2740" s="213">
        <v>10.9062</v>
      </c>
      <c r="H2740" s="195">
        <v>98.155799999999999</v>
      </c>
      <c r="I2740" s="212" t="s">
        <v>2354</v>
      </c>
    </row>
    <row r="2741" spans="1:9" x14ac:dyDescent="0.25">
      <c r="A2741" s="218" t="s">
        <v>220</v>
      </c>
      <c r="B2741" s="218" t="s">
        <v>5430</v>
      </c>
      <c r="C2741" s="219" t="s">
        <v>6143</v>
      </c>
      <c r="D2741" s="212" t="s">
        <v>6144</v>
      </c>
      <c r="E2741" s="212" t="s">
        <v>545</v>
      </c>
      <c r="F2741" s="213">
        <v>5</v>
      </c>
      <c r="G2741" s="213">
        <v>19.642499999999998</v>
      </c>
      <c r="H2741" s="195">
        <v>98.212499999999991</v>
      </c>
      <c r="I2741" s="212" t="s">
        <v>2354</v>
      </c>
    </row>
    <row r="2742" spans="1:9" x14ac:dyDescent="0.25">
      <c r="A2742" s="218" t="s">
        <v>220</v>
      </c>
      <c r="B2742" s="218" t="s">
        <v>2351</v>
      </c>
      <c r="C2742" s="219" t="s">
        <v>4259</v>
      </c>
      <c r="D2742" s="212" t="s">
        <v>4260</v>
      </c>
      <c r="E2742" s="212" t="s">
        <v>545</v>
      </c>
      <c r="F2742" s="220">
        <v>9</v>
      </c>
      <c r="G2742" s="213">
        <v>10.932</v>
      </c>
      <c r="H2742" s="195">
        <v>98.388000000000005</v>
      </c>
      <c r="I2742" s="212" t="s">
        <v>2354</v>
      </c>
    </row>
    <row r="2743" spans="1:9" x14ac:dyDescent="0.25">
      <c r="A2743" s="218" t="s">
        <v>220</v>
      </c>
      <c r="B2743" s="218" t="s">
        <v>5430</v>
      </c>
      <c r="C2743" s="219" t="s">
        <v>6799</v>
      </c>
      <c r="D2743" s="212" t="s">
        <v>6800</v>
      </c>
      <c r="E2743" s="212" t="s">
        <v>545</v>
      </c>
      <c r="F2743" s="213">
        <v>2</v>
      </c>
      <c r="G2743" s="213">
        <v>49.363750000000003</v>
      </c>
      <c r="H2743" s="195">
        <v>98.727500000000006</v>
      </c>
      <c r="I2743" s="212" t="s">
        <v>2354</v>
      </c>
    </row>
    <row r="2744" spans="1:9" x14ac:dyDescent="0.25">
      <c r="A2744" s="218" t="s">
        <v>220</v>
      </c>
      <c r="B2744" s="218" t="s">
        <v>2351</v>
      </c>
      <c r="C2744" s="219" t="s">
        <v>4512</v>
      </c>
      <c r="D2744" s="212" t="s">
        <v>4513</v>
      </c>
      <c r="E2744" s="212" t="s">
        <v>545</v>
      </c>
      <c r="F2744" s="210">
        <v>10</v>
      </c>
      <c r="G2744" s="213">
        <v>9.8819999999999997</v>
      </c>
      <c r="H2744" s="195">
        <v>98.82</v>
      </c>
      <c r="I2744" s="212" t="s">
        <v>2354</v>
      </c>
    </row>
    <row r="2745" spans="1:9" x14ac:dyDescent="0.25">
      <c r="A2745" s="218" t="s">
        <v>220</v>
      </c>
      <c r="B2745" s="218" t="s">
        <v>2351</v>
      </c>
      <c r="C2745" s="219" t="s">
        <v>3719</v>
      </c>
      <c r="D2745" s="212" t="s">
        <v>3720</v>
      </c>
      <c r="E2745" s="212" t="s">
        <v>545</v>
      </c>
      <c r="F2745" s="213">
        <v>4</v>
      </c>
      <c r="G2745" s="213">
        <v>24.788016666666664</v>
      </c>
      <c r="H2745" s="195">
        <v>99.152066666666656</v>
      </c>
      <c r="I2745" s="212" t="s">
        <v>2354</v>
      </c>
    </row>
    <row r="2746" spans="1:9" x14ac:dyDescent="0.25">
      <c r="A2746" s="218" t="s">
        <v>220</v>
      </c>
      <c r="B2746" s="218" t="s">
        <v>5430</v>
      </c>
      <c r="C2746" s="219" t="s">
        <v>3549</v>
      </c>
      <c r="D2746" s="212" t="s">
        <v>3550</v>
      </c>
      <c r="E2746" s="212" t="s">
        <v>545</v>
      </c>
      <c r="F2746" s="220">
        <v>12</v>
      </c>
      <c r="G2746" s="213">
        <v>8.264325358851675</v>
      </c>
      <c r="H2746" s="195">
        <v>99.1719043062201</v>
      </c>
      <c r="I2746" s="212" t="s">
        <v>2354</v>
      </c>
    </row>
    <row r="2747" spans="1:9" x14ac:dyDescent="0.25">
      <c r="A2747" s="218" t="s">
        <v>220</v>
      </c>
      <c r="B2747" s="218" t="s">
        <v>2351</v>
      </c>
      <c r="C2747" s="219" t="s">
        <v>3587</v>
      </c>
      <c r="D2747" s="212" t="s">
        <v>3588</v>
      </c>
      <c r="E2747" s="212" t="s">
        <v>545</v>
      </c>
      <c r="F2747" s="213">
        <v>38</v>
      </c>
      <c r="G2747" s="213">
        <v>2.61</v>
      </c>
      <c r="H2747" s="195">
        <v>99.179999999999993</v>
      </c>
      <c r="I2747" s="212" t="s">
        <v>2354</v>
      </c>
    </row>
    <row r="2748" spans="1:9" x14ac:dyDescent="0.25">
      <c r="A2748" s="218" t="s">
        <v>220</v>
      </c>
      <c r="B2748" s="218" t="s">
        <v>5430</v>
      </c>
      <c r="C2748" s="219" t="s">
        <v>7300</v>
      </c>
      <c r="D2748" s="212" t="s">
        <v>7301</v>
      </c>
      <c r="E2748" s="212" t="s">
        <v>2473</v>
      </c>
      <c r="F2748" s="213">
        <v>10</v>
      </c>
      <c r="G2748" s="213">
        <v>9.9371666666666663</v>
      </c>
      <c r="H2748" s="195">
        <v>99.37166666666667</v>
      </c>
      <c r="I2748" s="212" t="s">
        <v>2354</v>
      </c>
    </row>
    <row r="2749" spans="1:9" x14ac:dyDescent="0.25">
      <c r="A2749" s="218" t="s">
        <v>220</v>
      </c>
      <c r="B2749" s="218" t="s">
        <v>2351</v>
      </c>
      <c r="C2749" s="219" t="s">
        <v>2856</v>
      </c>
      <c r="D2749" s="212" t="s">
        <v>2857</v>
      </c>
      <c r="E2749" s="212" t="s">
        <v>545</v>
      </c>
      <c r="F2749" s="213">
        <v>3</v>
      </c>
      <c r="G2749" s="213">
        <v>33.125</v>
      </c>
      <c r="H2749" s="195">
        <v>99.375</v>
      </c>
      <c r="I2749" s="212" t="s">
        <v>2354</v>
      </c>
    </row>
    <row r="2750" spans="1:9" x14ac:dyDescent="0.25">
      <c r="A2750" s="218" t="s">
        <v>220</v>
      </c>
      <c r="B2750" s="218" t="s">
        <v>2351</v>
      </c>
      <c r="C2750" s="219" t="s">
        <v>3733</v>
      </c>
      <c r="D2750" s="212" t="s">
        <v>3734</v>
      </c>
      <c r="E2750" s="212" t="s">
        <v>545</v>
      </c>
      <c r="F2750" s="213">
        <v>19</v>
      </c>
      <c r="G2750" s="213">
        <v>5.2429499999999996</v>
      </c>
      <c r="H2750" s="195">
        <v>99.616049999999987</v>
      </c>
      <c r="I2750" s="212" t="s">
        <v>2354</v>
      </c>
    </row>
    <row r="2751" spans="1:9" x14ac:dyDescent="0.25">
      <c r="A2751" s="218" t="s">
        <v>220</v>
      </c>
      <c r="B2751" s="218" t="s">
        <v>5430</v>
      </c>
      <c r="C2751" s="219" t="s">
        <v>2433</v>
      </c>
      <c r="D2751" s="212" t="s">
        <v>6536</v>
      </c>
      <c r="E2751" s="212" t="s">
        <v>545</v>
      </c>
      <c r="F2751" s="213">
        <v>18</v>
      </c>
      <c r="G2751" s="213">
        <v>5.5419999999999998</v>
      </c>
      <c r="H2751" s="195">
        <v>99.756</v>
      </c>
      <c r="I2751" s="212" t="s">
        <v>2354</v>
      </c>
    </row>
    <row r="2752" spans="1:9" x14ac:dyDescent="0.25">
      <c r="A2752" s="218" t="s">
        <v>220</v>
      </c>
      <c r="B2752" s="218" t="s">
        <v>5430</v>
      </c>
      <c r="C2752" s="219" t="s">
        <v>7302</v>
      </c>
      <c r="D2752" s="212" t="s">
        <v>7303</v>
      </c>
      <c r="E2752" s="212" t="s">
        <v>2473</v>
      </c>
      <c r="F2752" s="213">
        <v>5</v>
      </c>
      <c r="G2752" s="213">
        <v>19.975000000000001</v>
      </c>
      <c r="H2752" s="195">
        <v>99.875</v>
      </c>
      <c r="I2752" s="212" t="s">
        <v>2354</v>
      </c>
    </row>
    <row r="2753" spans="1:9" x14ac:dyDescent="0.25">
      <c r="A2753" s="218" t="s">
        <v>220</v>
      </c>
      <c r="B2753" s="218" t="s">
        <v>2351</v>
      </c>
      <c r="C2753" s="219" t="s">
        <v>2512</v>
      </c>
      <c r="D2753" s="212" t="s">
        <v>2513</v>
      </c>
      <c r="E2753" s="212" t="s">
        <v>545</v>
      </c>
      <c r="F2753" s="213">
        <v>2</v>
      </c>
      <c r="G2753" s="213">
        <v>50</v>
      </c>
      <c r="H2753" s="195">
        <v>100</v>
      </c>
      <c r="I2753" s="212" t="s">
        <v>2354</v>
      </c>
    </row>
    <row r="2754" spans="1:9" x14ac:dyDescent="0.25">
      <c r="A2754" s="218" t="s">
        <v>220</v>
      </c>
      <c r="B2754" s="218" t="s">
        <v>2351</v>
      </c>
      <c r="C2754" s="219" t="s">
        <v>3835</v>
      </c>
      <c r="D2754" s="212" t="s">
        <v>3836</v>
      </c>
      <c r="E2754" s="212" t="s">
        <v>545</v>
      </c>
      <c r="F2754" s="213">
        <v>4</v>
      </c>
      <c r="G2754" s="213">
        <v>25.009</v>
      </c>
      <c r="H2754" s="195">
        <v>100.036</v>
      </c>
      <c r="I2754" s="212" t="s">
        <v>2354</v>
      </c>
    </row>
    <row r="2755" spans="1:9" x14ac:dyDescent="0.25">
      <c r="A2755" s="218" t="s">
        <v>220</v>
      </c>
      <c r="B2755" s="218" t="s">
        <v>5430</v>
      </c>
      <c r="C2755" s="219" t="s">
        <v>6300</v>
      </c>
      <c r="D2755" s="212" t="s">
        <v>6301</v>
      </c>
      <c r="E2755" s="212" t="s">
        <v>545</v>
      </c>
      <c r="F2755" s="213">
        <v>6</v>
      </c>
      <c r="G2755" s="213">
        <v>16.734000000000002</v>
      </c>
      <c r="H2755" s="195">
        <v>100.40400000000001</v>
      </c>
      <c r="I2755" s="212" t="s">
        <v>2354</v>
      </c>
    </row>
    <row r="2756" spans="1:9" x14ac:dyDescent="0.25">
      <c r="A2756" s="218" t="s">
        <v>220</v>
      </c>
      <c r="B2756" s="218" t="s">
        <v>2351</v>
      </c>
      <c r="C2756" s="219" t="s">
        <v>3163</v>
      </c>
      <c r="D2756" s="212" t="s">
        <v>3164</v>
      </c>
      <c r="E2756" s="212" t="s">
        <v>545</v>
      </c>
      <c r="F2756" s="213">
        <v>9</v>
      </c>
      <c r="G2756" s="213">
        <v>11.16</v>
      </c>
      <c r="H2756" s="195">
        <v>100.44</v>
      </c>
      <c r="I2756" s="212" t="s">
        <v>2354</v>
      </c>
    </row>
    <row r="2757" spans="1:9" x14ac:dyDescent="0.25">
      <c r="A2757" s="218" t="s">
        <v>220</v>
      </c>
      <c r="B2757" s="218" t="s">
        <v>5430</v>
      </c>
      <c r="C2757" s="219" t="s">
        <v>6478</v>
      </c>
      <c r="D2757" s="212" t="s">
        <v>3556</v>
      </c>
      <c r="E2757" s="212" t="s">
        <v>545</v>
      </c>
      <c r="F2757" s="213">
        <v>25</v>
      </c>
      <c r="G2757" s="213">
        <v>4.0205000000000002</v>
      </c>
      <c r="H2757" s="195">
        <v>100.5125</v>
      </c>
      <c r="I2757" s="212" t="s">
        <v>2354</v>
      </c>
    </row>
    <row r="2758" spans="1:9" x14ac:dyDescent="0.25">
      <c r="A2758" s="218" t="s">
        <v>220</v>
      </c>
      <c r="B2758" s="218" t="s">
        <v>2351</v>
      </c>
      <c r="C2758" s="219" t="s">
        <v>3731</v>
      </c>
      <c r="D2758" s="212" t="s">
        <v>3732</v>
      </c>
      <c r="E2758" s="212" t="s">
        <v>545</v>
      </c>
      <c r="F2758" s="213">
        <v>42</v>
      </c>
      <c r="G2758" s="213">
        <v>2.3933750000000003</v>
      </c>
      <c r="H2758" s="195">
        <v>100.52175000000001</v>
      </c>
      <c r="I2758" s="212" t="s">
        <v>2354</v>
      </c>
    </row>
    <row r="2759" spans="1:9" x14ac:dyDescent="0.25">
      <c r="A2759" s="218" t="s">
        <v>220</v>
      </c>
      <c r="B2759" s="218" t="s">
        <v>5430</v>
      </c>
      <c r="C2759" s="219" t="s">
        <v>6071</v>
      </c>
      <c r="D2759" s="212" t="s">
        <v>6072</v>
      </c>
      <c r="E2759" s="212" t="s">
        <v>545</v>
      </c>
      <c r="F2759" s="213">
        <v>3</v>
      </c>
      <c r="G2759" s="213">
        <v>33.57</v>
      </c>
      <c r="H2759" s="195">
        <v>100.71000000000001</v>
      </c>
      <c r="I2759" s="212" t="s">
        <v>2354</v>
      </c>
    </row>
    <row r="2760" spans="1:9" x14ac:dyDescent="0.25">
      <c r="A2760" s="218" t="s">
        <v>220</v>
      </c>
      <c r="B2760" s="218" t="s">
        <v>5430</v>
      </c>
      <c r="C2760" s="219" t="s">
        <v>6077</v>
      </c>
      <c r="D2760" s="212" t="s">
        <v>6078</v>
      </c>
      <c r="E2760" s="212" t="s">
        <v>545</v>
      </c>
      <c r="F2760" s="213">
        <v>3</v>
      </c>
      <c r="G2760" s="213">
        <v>33.57</v>
      </c>
      <c r="H2760" s="195">
        <v>100.71000000000001</v>
      </c>
      <c r="I2760" s="212" t="s">
        <v>2354</v>
      </c>
    </row>
    <row r="2761" spans="1:9" x14ac:dyDescent="0.25">
      <c r="A2761" s="218" t="s">
        <v>220</v>
      </c>
      <c r="B2761" s="218" t="s">
        <v>2351</v>
      </c>
      <c r="C2761" s="219" t="s">
        <v>2486</v>
      </c>
      <c r="D2761" s="212" t="s">
        <v>2487</v>
      </c>
      <c r="E2761" s="212" t="s">
        <v>545</v>
      </c>
      <c r="F2761" s="213">
        <v>1</v>
      </c>
      <c r="G2761" s="213">
        <v>100.8</v>
      </c>
      <c r="H2761" s="195">
        <v>100.8</v>
      </c>
      <c r="I2761" s="212" t="s">
        <v>2354</v>
      </c>
    </row>
    <row r="2762" spans="1:9" x14ac:dyDescent="0.25">
      <c r="A2762" s="218" t="s">
        <v>220</v>
      </c>
      <c r="B2762" s="218" t="s">
        <v>2351</v>
      </c>
      <c r="C2762" s="219" t="s">
        <v>4009</v>
      </c>
      <c r="D2762" s="212" t="s">
        <v>4010</v>
      </c>
      <c r="E2762" s="212" t="s">
        <v>545</v>
      </c>
      <c r="F2762" s="213">
        <v>10</v>
      </c>
      <c r="G2762" s="213">
        <v>10.089499999999999</v>
      </c>
      <c r="H2762" s="195">
        <v>100.895</v>
      </c>
      <c r="I2762" s="212" t="s">
        <v>2354</v>
      </c>
    </row>
    <row r="2763" spans="1:9" x14ac:dyDescent="0.25">
      <c r="A2763" s="218" t="s">
        <v>220</v>
      </c>
      <c r="B2763" s="218" t="s">
        <v>2351</v>
      </c>
      <c r="C2763" s="219" t="s">
        <v>4436</v>
      </c>
      <c r="D2763" s="212" t="s">
        <v>4437</v>
      </c>
      <c r="E2763" s="212" t="s">
        <v>2387</v>
      </c>
      <c r="F2763" s="213">
        <v>5</v>
      </c>
      <c r="G2763" s="213">
        <v>20.257575757575758</v>
      </c>
      <c r="H2763" s="195">
        <v>101.28787878787878</v>
      </c>
      <c r="I2763" s="212" t="s">
        <v>2354</v>
      </c>
    </row>
    <row r="2764" spans="1:9" x14ac:dyDescent="0.25">
      <c r="A2764" s="218" t="s">
        <v>220</v>
      </c>
      <c r="B2764" s="218" t="s">
        <v>2351</v>
      </c>
      <c r="C2764" s="219" t="s">
        <v>3351</v>
      </c>
      <c r="D2764" s="212" t="s">
        <v>3352</v>
      </c>
      <c r="E2764" s="212" t="s">
        <v>545</v>
      </c>
      <c r="F2764" s="213">
        <v>10</v>
      </c>
      <c r="G2764" s="213">
        <v>10.1304</v>
      </c>
      <c r="H2764" s="195">
        <v>101.304</v>
      </c>
      <c r="I2764" s="212" t="s">
        <v>2354</v>
      </c>
    </row>
    <row r="2765" spans="1:9" x14ac:dyDescent="0.25">
      <c r="A2765" s="218" t="s">
        <v>220</v>
      </c>
      <c r="B2765" s="218" t="s">
        <v>2351</v>
      </c>
      <c r="C2765" s="219" t="s">
        <v>2896</v>
      </c>
      <c r="D2765" s="212" t="s">
        <v>2897</v>
      </c>
      <c r="E2765" s="212" t="s">
        <v>545</v>
      </c>
      <c r="F2765" s="213">
        <v>10</v>
      </c>
      <c r="G2765" s="213">
        <v>10.143000000000001</v>
      </c>
      <c r="H2765" s="195">
        <v>101.43</v>
      </c>
      <c r="I2765" s="212" t="s">
        <v>2354</v>
      </c>
    </row>
    <row r="2766" spans="1:9" x14ac:dyDescent="0.25">
      <c r="A2766" s="218" t="s">
        <v>220</v>
      </c>
      <c r="B2766" s="218" t="s">
        <v>2351</v>
      </c>
      <c r="C2766" s="219" t="s">
        <v>2912</v>
      </c>
      <c r="D2766" s="212" t="s">
        <v>2913</v>
      </c>
      <c r="E2766" s="212" t="s">
        <v>545</v>
      </c>
      <c r="F2766" s="213">
        <v>10</v>
      </c>
      <c r="G2766" s="213">
        <v>10.143000000000001</v>
      </c>
      <c r="H2766" s="195">
        <v>101.43</v>
      </c>
      <c r="I2766" s="212" t="s">
        <v>2354</v>
      </c>
    </row>
    <row r="2767" spans="1:9" x14ac:dyDescent="0.25">
      <c r="A2767" s="218" t="s">
        <v>220</v>
      </c>
      <c r="B2767" s="218" t="s">
        <v>5430</v>
      </c>
      <c r="C2767" s="219" t="s">
        <v>6853</v>
      </c>
      <c r="D2767" s="212" t="s">
        <v>6854</v>
      </c>
      <c r="E2767" s="212" t="s">
        <v>545</v>
      </c>
      <c r="F2767" s="213">
        <v>59</v>
      </c>
      <c r="G2767" s="213">
        <v>1.72</v>
      </c>
      <c r="H2767" s="195">
        <v>101.48</v>
      </c>
      <c r="I2767" s="212" t="s">
        <v>2354</v>
      </c>
    </row>
    <row r="2768" spans="1:9" x14ac:dyDescent="0.25">
      <c r="A2768" s="218" t="s">
        <v>220</v>
      </c>
      <c r="B2768" s="218" t="s">
        <v>2351</v>
      </c>
      <c r="C2768" s="219" t="s">
        <v>4163</v>
      </c>
      <c r="D2768" s="212" t="s">
        <v>4164</v>
      </c>
      <c r="E2768" s="212" t="s">
        <v>545</v>
      </c>
      <c r="F2768" s="213">
        <v>2</v>
      </c>
      <c r="G2768" s="213">
        <v>50.750999999999998</v>
      </c>
      <c r="H2768" s="195">
        <v>101.502</v>
      </c>
      <c r="I2768" s="212" t="s">
        <v>2354</v>
      </c>
    </row>
    <row r="2769" spans="1:9" x14ac:dyDescent="0.25">
      <c r="A2769" s="218" t="s">
        <v>220</v>
      </c>
      <c r="B2769" s="218" t="s">
        <v>2351</v>
      </c>
      <c r="C2769" s="219" t="s">
        <v>4421</v>
      </c>
      <c r="D2769" s="212" t="s">
        <v>4422</v>
      </c>
      <c r="E2769" s="212" t="s">
        <v>545</v>
      </c>
      <c r="F2769" s="213">
        <v>3</v>
      </c>
      <c r="G2769" s="213">
        <v>33.919199999999996</v>
      </c>
      <c r="H2769" s="195">
        <v>101.7576</v>
      </c>
      <c r="I2769" s="212" t="s">
        <v>2354</v>
      </c>
    </row>
    <row r="2770" spans="1:9" x14ac:dyDescent="0.25">
      <c r="A2770" s="218" t="s">
        <v>220</v>
      </c>
      <c r="B2770" s="218" t="s">
        <v>2351</v>
      </c>
      <c r="C2770" s="219" t="s">
        <v>2427</v>
      </c>
      <c r="D2770" s="212" t="s">
        <v>2428</v>
      </c>
      <c r="E2770" s="212" t="s">
        <v>545</v>
      </c>
      <c r="F2770" s="213">
        <v>19</v>
      </c>
      <c r="G2770" s="213">
        <v>5.37</v>
      </c>
      <c r="H2770" s="195">
        <v>102.03</v>
      </c>
      <c r="I2770" s="212" t="s">
        <v>2354</v>
      </c>
    </row>
    <row r="2771" spans="1:9" x14ac:dyDescent="0.25">
      <c r="A2771" s="218" t="s">
        <v>220</v>
      </c>
      <c r="B2771" s="218" t="s">
        <v>2351</v>
      </c>
      <c r="C2771" s="219" t="s">
        <v>4253</v>
      </c>
      <c r="D2771" s="212" t="s">
        <v>4254</v>
      </c>
      <c r="E2771" s="212" t="s">
        <v>545</v>
      </c>
      <c r="F2771" s="213">
        <v>10</v>
      </c>
      <c r="G2771" s="213">
        <v>10.228899999999999</v>
      </c>
      <c r="H2771" s="195">
        <v>102.28899999999999</v>
      </c>
      <c r="I2771" s="212" t="s">
        <v>2354</v>
      </c>
    </row>
    <row r="2772" spans="1:9" x14ac:dyDescent="0.25">
      <c r="A2772" s="218" t="s">
        <v>220</v>
      </c>
      <c r="B2772" s="218" t="s">
        <v>5430</v>
      </c>
      <c r="C2772" s="219" t="s">
        <v>7237</v>
      </c>
      <c r="D2772" s="212" t="s">
        <v>7238</v>
      </c>
      <c r="E2772" s="212" t="s">
        <v>545</v>
      </c>
      <c r="F2772" s="213">
        <v>52</v>
      </c>
      <c r="G2772" s="213">
        <v>1.972</v>
      </c>
      <c r="H2772" s="195">
        <v>102.544</v>
      </c>
      <c r="I2772" s="212" t="s">
        <v>2354</v>
      </c>
    </row>
    <row r="2773" spans="1:9" x14ac:dyDescent="0.25">
      <c r="A2773" s="218" t="s">
        <v>220</v>
      </c>
      <c r="B2773" s="218" t="s">
        <v>5430</v>
      </c>
      <c r="C2773" s="219" t="s">
        <v>6511</v>
      </c>
      <c r="D2773" s="212" t="s">
        <v>6512</v>
      </c>
      <c r="E2773" s="212" t="s">
        <v>2473</v>
      </c>
      <c r="F2773" s="213">
        <v>6</v>
      </c>
      <c r="G2773" s="213">
        <v>17.102</v>
      </c>
      <c r="H2773" s="195">
        <v>102.61199999999999</v>
      </c>
      <c r="I2773" s="212" t="s">
        <v>2354</v>
      </c>
    </row>
    <row r="2774" spans="1:9" x14ac:dyDescent="0.25">
      <c r="A2774" s="218" t="s">
        <v>220</v>
      </c>
      <c r="B2774" s="218" t="s">
        <v>5430</v>
      </c>
      <c r="C2774" s="219" t="s">
        <v>7322</v>
      </c>
      <c r="D2774" s="212" t="s">
        <v>7323</v>
      </c>
      <c r="E2774" s="212" t="s">
        <v>545</v>
      </c>
      <c r="F2774" s="213">
        <v>2</v>
      </c>
      <c r="G2774" s="213">
        <v>51.368400000000001</v>
      </c>
      <c r="H2774" s="195">
        <v>102.7368</v>
      </c>
      <c r="I2774" s="212" t="s">
        <v>2354</v>
      </c>
    </row>
    <row r="2775" spans="1:9" x14ac:dyDescent="0.25">
      <c r="A2775" s="218" t="s">
        <v>220</v>
      </c>
      <c r="B2775" s="218" t="s">
        <v>5430</v>
      </c>
      <c r="C2775" s="219" t="s">
        <v>6805</v>
      </c>
      <c r="D2775" s="212" t="s">
        <v>6806</v>
      </c>
      <c r="E2775" s="212" t="s">
        <v>545</v>
      </c>
      <c r="F2775" s="213">
        <v>1</v>
      </c>
      <c r="G2775" s="213">
        <v>102.87</v>
      </c>
      <c r="H2775" s="195">
        <v>102.87</v>
      </c>
      <c r="I2775" s="212" t="s">
        <v>2354</v>
      </c>
    </row>
    <row r="2776" spans="1:9" x14ac:dyDescent="0.25">
      <c r="A2776" s="218" t="s">
        <v>220</v>
      </c>
      <c r="B2776" s="218" t="s">
        <v>5430</v>
      </c>
      <c r="C2776" s="219" t="s">
        <v>6726</v>
      </c>
      <c r="D2776" s="212" t="s">
        <v>6727</v>
      </c>
      <c r="E2776" s="212" t="s">
        <v>545</v>
      </c>
      <c r="F2776" s="213">
        <v>3</v>
      </c>
      <c r="G2776" s="213">
        <v>34.297499999999999</v>
      </c>
      <c r="H2776" s="195">
        <v>102.8925</v>
      </c>
      <c r="I2776" s="212" t="s">
        <v>2354</v>
      </c>
    </row>
    <row r="2777" spans="1:9" x14ac:dyDescent="0.25">
      <c r="A2777" s="218" t="s">
        <v>220</v>
      </c>
      <c r="B2777" s="218" t="s">
        <v>2351</v>
      </c>
      <c r="C2777" s="219" t="s">
        <v>4532</v>
      </c>
      <c r="D2777" s="212" t="s">
        <v>4533</v>
      </c>
      <c r="E2777" s="212" t="s">
        <v>545</v>
      </c>
      <c r="F2777" s="213">
        <v>2</v>
      </c>
      <c r="G2777" s="213">
        <v>51.488999999999997</v>
      </c>
      <c r="H2777" s="195">
        <v>102.97799999999999</v>
      </c>
      <c r="I2777" s="212" t="s">
        <v>2354</v>
      </c>
    </row>
    <row r="2778" spans="1:9" x14ac:dyDescent="0.25">
      <c r="A2778" s="218" t="s">
        <v>220</v>
      </c>
      <c r="B2778" s="218" t="s">
        <v>2351</v>
      </c>
      <c r="C2778" s="219" t="s">
        <v>4049</v>
      </c>
      <c r="D2778" s="212" t="s">
        <v>4050</v>
      </c>
      <c r="E2778" s="212" t="s">
        <v>545</v>
      </c>
      <c r="F2778" s="213">
        <v>150</v>
      </c>
      <c r="G2778" s="213">
        <v>0.68720000000000003</v>
      </c>
      <c r="H2778" s="195">
        <v>103.08</v>
      </c>
      <c r="I2778" s="212" t="s">
        <v>2354</v>
      </c>
    </row>
    <row r="2779" spans="1:9" x14ac:dyDescent="0.25">
      <c r="A2779" s="218" t="s">
        <v>220</v>
      </c>
      <c r="B2779" s="218" t="s">
        <v>2351</v>
      </c>
      <c r="C2779" s="219" t="s">
        <v>4871</v>
      </c>
      <c r="D2779" s="212" t="s">
        <v>4872</v>
      </c>
      <c r="E2779" s="212" t="s">
        <v>545</v>
      </c>
      <c r="F2779" s="213">
        <v>100</v>
      </c>
      <c r="G2779" s="213">
        <v>1.0309999999999999</v>
      </c>
      <c r="H2779" s="195">
        <v>103.1</v>
      </c>
      <c r="I2779" s="212" t="s">
        <v>2354</v>
      </c>
    </row>
    <row r="2780" spans="1:9" x14ac:dyDescent="0.25">
      <c r="A2780" s="218" t="s">
        <v>220</v>
      </c>
      <c r="B2780" s="218" t="s">
        <v>5430</v>
      </c>
      <c r="C2780" s="219" t="s">
        <v>5118</v>
      </c>
      <c r="D2780" s="212" t="s">
        <v>5119</v>
      </c>
      <c r="E2780" s="212" t="s">
        <v>545</v>
      </c>
      <c r="F2780" s="213">
        <v>3</v>
      </c>
      <c r="G2780" s="213">
        <v>34.384999999999998</v>
      </c>
      <c r="H2780" s="195">
        <v>103.155</v>
      </c>
      <c r="I2780" s="212" t="s">
        <v>2354</v>
      </c>
    </row>
    <row r="2781" spans="1:9" x14ac:dyDescent="0.25">
      <c r="A2781" s="218" t="s">
        <v>220</v>
      </c>
      <c r="B2781" s="218" t="s">
        <v>5430</v>
      </c>
      <c r="C2781" s="219" t="s">
        <v>7324</v>
      </c>
      <c r="D2781" s="212" t="s">
        <v>7325</v>
      </c>
      <c r="E2781" s="212" t="s">
        <v>545</v>
      </c>
      <c r="F2781" s="213">
        <v>2</v>
      </c>
      <c r="G2781" s="213">
        <v>51.619500000000002</v>
      </c>
      <c r="H2781" s="195">
        <v>103.239</v>
      </c>
      <c r="I2781" s="212" t="s">
        <v>2354</v>
      </c>
    </row>
    <row r="2782" spans="1:9" x14ac:dyDescent="0.25">
      <c r="A2782" s="218" t="s">
        <v>220</v>
      </c>
      <c r="B2782" s="218" t="s">
        <v>5430</v>
      </c>
      <c r="C2782" s="219" t="s">
        <v>3577</v>
      </c>
      <c r="D2782" s="212" t="s">
        <v>3578</v>
      </c>
      <c r="E2782" s="212" t="s">
        <v>545</v>
      </c>
      <c r="F2782" s="213">
        <v>9</v>
      </c>
      <c r="G2782" s="213">
        <v>11.475</v>
      </c>
      <c r="H2782" s="195">
        <v>103.27499999999999</v>
      </c>
      <c r="I2782" s="212" t="s">
        <v>2354</v>
      </c>
    </row>
    <row r="2783" spans="1:9" x14ac:dyDescent="0.25">
      <c r="A2783" s="218" t="s">
        <v>220</v>
      </c>
      <c r="B2783" s="218" t="s">
        <v>2351</v>
      </c>
      <c r="C2783" s="219" t="s">
        <v>5034</v>
      </c>
      <c r="D2783" s="212" t="s">
        <v>5035</v>
      </c>
      <c r="E2783" s="212" t="s">
        <v>545</v>
      </c>
      <c r="F2783" s="213">
        <v>241</v>
      </c>
      <c r="G2783" s="213">
        <v>0.42921793885552634</v>
      </c>
      <c r="H2783" s="195">
        <v>103.44152326418185</v>
      </c>
      <c r="I2783" s="212" t="s">
        <v>2354</v>
      </c>
    </row>
    <row r="2784" spans="1:9" x14ac:dyDescent="0.25">
      <c r="A2784" s="218" t="s">
        <v>220</v>
      </c>
      <c r="B2784" s="218" t="s">
        <v>5430</v>
      </c>
      <c r="C2784" s="219" t="s">
        <v>6409</v>
      </c>
      <c r="D2784" s="212" t="s">
        <v>6410</v>
      </c>
      <c r="E2784" s="212" t="s">
        <v>545</v>
      </c>
      <c r="F2784" s="213">
        <v>5</v>
      </c>
      <c r="G2784" s="213">
        <v>20.7</v>
      </c>
      <c r="H2784" s="195">
        <v>103.5</v>
      </c>
      <c r="I2784" s="212" t="s">
        <v>2354</v>
      </c>
    </row>
    <row r="2785" spans="1:9" x14ac:dyDescent="0.25">
      <c r="A2785" s="218" t="s">
        <v>220</v>
      </c>
      <c r="B2785" s="218" t="s">
        <v>5430</v>
      </c>
      <c r="C2785" s="219" t="s">
        <v>3727</v>
      </c>
      <c r="D2785" s="212" t="s">
        <v>3728</v>
      </c>
      <c r="E2785" s="212" t="s">
        <v>545</v>
      </c>
      <c r="F2785" s="213">
        <v>20</v>
      </c>
      <c r="G2785" s="213">
        <v>5.1802306451612896</v>
      </c>
      <c r="H2785" s="195">
        <v>103.60461290322579</v>
      </c>
      <c r="I2785" s="212" t="s">
        <v>2354</v>
      </c>
    </row>
    <row r="2786" spans="1:9" x14ac:dyDescent="0.25">
      <c r="A2786" s="218" t="s">
        <v>220</v>
      </c>
      <c r="B2786" s="218" t="s">
        <v>5430</v>
      </c>
      <c r="C2786" s="219" t="s">
        <v>2411</v>
      </c>
      <c r="D2786" s="212" t="s">
        <v>6481</v>
      </c>
      <c r="E2786" s="212" t="s">
        <v>545</v>
      </c>
      <c r="F2786" s="213">
        <v>36</v>
      </c>
      <c r="G2786" s="213">
        <v>2.88</v>
      </c>
      <c r="H2786" s="195">
        <v>103.67999999999999</v>
      </c>
      <c r="I2786" s="212" t="s">
        <v>2354</v>
      </c>
    </row>
    <row r="2787" spans="1:9" x14ac:dyDescent="0.25">
      <c r="A2787" s="218" t="s">
        <v>220</v>
      </c>
      <c r="B2787" s="218" t="s">
        <v>5430</v>
      </c>
      <c r="C2787" s="219" t="s">
        <v>4099</v>
      </c>
      <c r="D2787" s="212" t="s">
        <v>4100</v>
      </c>
      <c r="E2787" s="212" t="s">
        <v>545</v>
      </c>
      <c r="F2787" s="213">
        <v>3</v>
      </c>
      <c r="G2787" s="213">
        <v>34.598399999999998</v>
      </c>
      <c r="H2787" s="195">
        <v>103.79519999999999</v>
      </c>
      <c r="I2787" s="212" t="s">
        <v>2354</v>
      </c>
    </row>
    <row r="2788" spans="1:9" x14ac:dyDescent="0.25">
      <c r="A2788" s="218" t="s">
        <v>220</v>
      </c>
      <c r="B2788" s="218" t="s">
        <v>5430</v>
      </c>
      <c r="C2788" s="219" t="s">
        <v>5757</v>
      </c>
      <c r="D2788" s="212" t="s">
        <v>5758</v>
      </c>
      <c r="E2788" s="212" t="s">
        <v>545</v>
      </c>
      <c r="F2788" s="213">
        <v>5</v>
      </c>
      <c r="G2788" s="213">
        <v>20.771999999999998</v>
      </c>
      <c r="H2788" s="195">
        <v>103.85999999999999</v>
      </c>
      <c r="I2788" s="212" t="s">
        <v>2354</v>
      </c>
    </row>
    <row r="2789" spans="1:9" x14ac:dyDescent="0.25">
      <c r="A2789" s="218" t="s">
        <v>220</v>
      </c>
      <c r="B2789" s="218" t="s">
        <v>2351</v>
      </c>
      <c r="C2789" s="219" t="s">
        <v>2554</v>
      </c>
      <c r="D2789" s="212" t="s">
        <v>2555</v>
      </c>
      <c r="E2789" s="212" t="s">
        <v>545</v>
      </c>
      <c r="F2789" s="213">
        <v>2</v>
      </c>
      <c r="G2789" s="213">
        <v>52</v>
      </c>
      <c r="H2789" s="195">
        <v>104</v>
      </c>
      <c r="I2789" s="212" t="s">
        <v>2354</v>
      </c>
    </row>
    <row r="2790" spans="1:9" x14ac:dyDescent="0.25">
      <c r="A2790" s="218" t="s">
        <v>220</v>
      </c>
      <c r="B2790" s="218" t="s">
        <v>2351</v>
      </c>
      <c r="C2790" s="219" t="s">
        <v>2996</v>
      </c>
      <c r="D2790" s="212" t="s">
        <v>2997</v>
      </c>
      <c r="E2790" s="212" t="s">
        <v>545</v>
      </c>
      <c r="F2790" s="213">
        <v>11</v>
      </c>
      <c r="G2790" s="213">
        <v>9.4616999999999987</v>
      </c>
      <c r="H2790" s="195">
        <v>104.07869999999998</v>
      </c>
      <c r="I2790" s="212" t="s">
        <v>2354</v>
      </c>
    </row>
    <row r="2791" spans="1:9" x14ac:dyDescent="0.25">
      <c r="A2791" s="218" t="s">
        <v>220</v>
      </c>
      <c r="B2791" s="218" t="s">
        <v>2351</v>
      </c>
      <c r="C2791" s="219" t="s">
        <v>5182</v>
      </c>
      <c r="D2791" s="212" t="s">
        <v>5183</v>
      </c>
      <c r="E2791" s="212" t="s">
        <v>545</v>
      </c>
      <c r="F2791" s="213">
        <v>8</v>
      </c>
      <c r="G2791" s="213">
        <v>13.026249999999999</v>
      </c>
      <c r="H2791" s="195">
        <v>104.21</v>
      </c>
      <c r="I2791" s="212" t="s">
        <v>2354</v>
      </c>
    </row>
    <row r="2792" spans="1:9" x14ac:dyDescent="0.25">
      <c r="A2792" s="218" t="s">
        <v>220</v>
      </c>
      <c r="B2792" s="218" t="s">
        <v>2351</v>
      </c>
      <c r="C2792" s="219" t="s">
        <v>3585</v>
      </c>
      <c r="D2792" s="212" t="s">
        <v>3586</v>
      </c>
      <c r="E2792" s="212" t="s">
        <v>545</v>
      </c>
      <c r="F2792" s="213">
        <v>37</v>
      </c>
      <c r="G2792" s="213">
        <v>2.8220000000000001</v>
      </c>
      <c r="H2792" s="195">
        <v>104.414</v>
      </c>
      <c r="I2792" s="212" t="s">
        <v>2354</v>
      </c>
    </row>
    <row r="2793" spans="1:9" x14ac:dyDescent="0.25">
      <c r="A2793" s="218" t="s">
        <v>220</v>
      </c>
      <c r="B2793" s="218" t="s">
        <v>5430</v>
      </c>
      <c r="C2793" s="219" t="s">
        <v>6497</v>
      </c>
      <c r="D2793" s="212" t="s">
        <v>6498</v>
      </c>
      <c r="E2793" s="212" t="s">
        <v>545</v>
      </c>
      <c r="F2793" s="213">
        <v>32</v>
      </c>
      <c r="G2793" s="213">
        <v>3.2639999999999998</v>
      </c>
      <c r="H2793" s="195">
        <v>104.44799999999999</v>
      </c>
      <c r="I2793" s="212" t="s">
        <v>2354</v>
      </c>
    </row>
    <row r="2794" spans="1:9" x14ac:dyDescent="0.25">
      <c r="A2794" s="218" t="s">
        <v>220</v>
      </c>
      <c r="B2794" s="218" t="s">
        <v>5430</v>
      </c>
      <c r="C2794" s="219" t="s">
        <v>5983</v>
      </c>
      <c r="D2794" s="212" t="s">
        <v>5984</v>
      </c>
      <c r="E2794" s="212" t="s">
        <v>545</v>
      </c>
      <c r="F2794" s="213">
        <v>4</v>
      </c>
      <c r="G2794" s="213">
        <v>26.139600000000002</v>
      </c>
      <c r="H2794" s="195">
        <v>104.55840000000001</v>
      </c>
      <c r="I2794" s="212" t="s">
        <v>2354</v>
      </c>
    </row>
    <row r="2795" spans="1:9" x14ac:dyDescent="0.25">
      <c r="A2795" s="218" t="s">
        <v>220</v>
      </c>
      <c r="B2795" s="218" t="s">
        <v>5430</v>
      </c>
      <c r="C2795" s="219" t="s">
        <v>6055</v>
      </c>
      <c r="D2795" s="212" t="s">
        <v>6056</v>
      </c>
      <c r="E2795" s="212" t="s">
        <v>2473</v>
      </c>
      <c r="F2795" s="213">
        <v>2</v>
      </c>
      <c r="G2795" s="213">
        <v>52.306199999999997</v>
      </c>
      <c r="H2795" s="195">
        <v>104.61239999999999</v>
      </c>
      <c r="I2795" s="212" t="s">
        <v>2354</v>
      </c>
    </row>
    <row r="2796" spans="1:9" x14ac:dyDescent="0.25">
      <c r="A2796" s="218" t="s">
        <v>220</v>
      </c>
      <c r="B2796" s="218" t="s">
        <v>2351</v>
      </c>
      <c r="C2796" s="219" t="s">
        <v>2570</v>
      </c>
      <c r="D2796" s="212" t="s">
        <v>2571</v>
      </c>
      <c r="E2796" s="212" t="s">
        <v>545</v>
      </c>
      <c r="F2796" s="213">
        <v>1</v>
      </c>
      <c r="G2796" s="213">
        <v>104.61317</v>
      </c>
      <c r="H2796" s="195">
        <v>104.61317</v>
      </c>
      <c r="I2796" s="212" t="s">
        <v>2354</v>
      </c>
    </row>
    <row r="2797" spans="1:9" x14ac:dyDescent="0.25">
      <c r="A2797" s="218" t="s">
        <v>220</v>
      </c>
      <c r="B2797" s="218" t="s">
        <v>5430</v>
      </c>
      <c r="C2797" s="219" t="s">
        <v>6351</v>
      </c>
      <c r="D2797" s="212" t="s">
        <v>6352</v>
      </c>
      <c r="E2797" s="212" t="s">
        <v>545</v>
      </c>
      <c r="F2797" s="213">
        <v>1</v>
      </c>
      <c r="G2797" s="213">
        <v>104.76</v>
      </c>
      <c r="H2797" s="195">
        <v>104.76</v>
      </c>
      <c r="I2797" s="212" t="s">
        <v>2354</v>
      </c>
    </row>
    <row r="2798" spans="1:9" x14ac:dyDescent="0.25">
      <c r="A2798" s="218" t="s">
        <v>220</v>
      </c>
      <c r="B2798" s="218" t="s">
        <v>5430</v>
      </c>
      <c r="C2798" s="219" t="s">
        <v>6365</v>
      </c>
      <c r="D2798" s="212" t="s">
        <v>6366</v>
      </c>
      <c r="E2798" s="212" t="s">
        <v>545</v>
      </c>
      <c r="F2798" s="213">
        <v>1</v>
      </c>
      <c r="G2798" s="213">
        <v>104.76</v>
      </c>
      <c r="H2798" s="195">
        <v>104.76</v>
      </c>
      <c r="I2798" s="212" t="s">
        <v>2354</v>
      </c>
    </row>
    <row r="2799" spans="1:9" x14ac:dyDescent="0.25">
      <c r="A2799" s="218" t="s">
        <v>220</v>
      </c>
      <c r="B2799" s="218" t="s">
        <v>5430</v>
      </c>
      <c r="C2799" s="219" t="s">
        <v>4822</v>
      </c>
      <c r="D2799" s="212" t="s">
        <v>4823</v>
      </c>
      <c r="E2799" s="212" t="s">
        <v>545</v>
      </c>
      <c r="F2799" s="213">
        <v>235</v>
      </c>
      <c r="G2799" s="213">
        <v>0.44600000000000001</v>
      </c>
      <c r="H2799" s="195">
        <v>104.81</v>
      </c>
      <c r="I2799" s="212" t="s">
        <v>2354</v>
      </c>
    </row>
    <row r="2800" spans="1:9" x14ac:dyDescent="0.25">
      <c r="A2800" s="218" t="s">
        <v>220</v>
      </c>
      <c r="B2800" s="218" t="s">
        <v>2351</v>
      </c>
      <c r="C2800" s="219" t="s">
        <v>4091</v>
      </c>
      <c r="D2800" s="212" t="s">
        <v>4092</v>
      </c>
      <c r="E2800" s="212" t="s">
        <v>545</v>
      </c>
      <c r="F2800" s="213">
        <v>2</v>
      </c>
      <c r="G2800" s="213">
        <v>52.5</v>
      </c>
      <c r="H2800" s="195">
        <v>105</v>
      </c>
      <c r="I2800" s="212" t="s">
        <v>2354</v>
      </c>
    </row>
    <row r="2801" spans="1:9" x14ac:dyDescent="0.25">
      <c r="A2801" s="218" t="s">
        <v>220</v>
      </c>
      <c r="B2801" s="218" t="s">
        <v>2351</v>
      </c>
      <c r="C2801" s="219" t="s">
        <v>4073</v>
      </c>
      <c r="D2801" s="212" t="s">
        <v>4074</v>
      </c>
      <c r="E2801" s="212" t="s">
        <v>2473</v>
      </c>
      <c r="F2801" s="213">
        <v>120</v>
      </c>
      <c r="G2801" s="213">
        <v>0.87570000000000003</v>
      </c>
      <c r="H2801" s="195">
        <v>105.084</v>
      </c>
      <c r="I2801" s="212" t="s">
        <v>2354</v>
      </c>
    </row>
    <row r="2802" spans="1:9" x14ac:dyDescent="0.25">
      <c r="A2802" s="218" t="s">
        <v>220</v>
      </c>
      <c r="B2802" s="218" t="s">
        <v>2351</v>
      </c>
      <c r="C2802" s="219" t="s">
        <v>4305</v>
      </c>
      <c r="D2802" s="212" t="s">
        <v>4306</v>
      </c>
      <c r="E2802" s="212" t="s">
        <v>545</v>
      </c>
      <c r="F2802" s="213">
        <v>2</v>
      </c>
      <c r="G2802" s="213">
        <v>52.7624</v>
      </c>
      <c r="H2802" s="195">
        <v>105.5248</v>
      </c>
      <c r="I2802" s="212" t="s">
        <v>2354</v>
      </c>
    </row>
    <row r="2803" spans="1:9" x14ac:dyDescent="0.25">
      <c r="A2803" s="218" t="s">
        <v>220</v>
      </c>
      <c r="B2803" s="218" t="s">
        <v>2351</v>
      </c>
      <c r="C2803" s="219" t="s">
        <v>3024</v>
      </c>
      <c r="D2803" s="212" t="s">
        <v>3025</v>
      </c>
      <c r="E2803" s="212" t="s">
        <v>545</v>
      </c>
      <c r="F2803" s="213">
        <v>5</v>
      </c>
      <c r="G2803" s="213">
        <v>21.105126666666667</v>
      </c>
      <c r="H2803" s="195">
        <v>105.52563333333333</v>
      </c>
      <c r="I2803" s="212" t="s">
        <v>2354</v>
      </c>
    </row>
    <row r="2804" spans="1:9" x14ac:dyDescent="0.25">
      <c r="A2804" s="218" t="s">
        <v>220</v>
      </c>
      <c r="B2804" s="218" t="s">
        <v>2351</v>
      </c>
      <c r="C2804" s="219" t="s">
        <v>3595</v>
      </c>
      <c r="D2804" s="212" t="s">
        <v>3596</v>
      </c>
      <c r="E2804" s="212" t="s">
        <v>545</v>
      </c>
      <c r="F2804" s="213">
        <v>32</v>
      </c>
      <c r="G2804" s="213">
        <v>3.2980000000000005</v>
      </c>
      <c r="H2804" s="195">
        <v>105.53600000000002</v>
      </c>
      <c r="I2804" s="212" t="s">
        <v>2354</v>
      </c>
    </row>
    <row r="2805" spans="1:9" x14ac:dyDescent="0.25">
      <c r="A2805" s="218" t="s">
        <v>220</v>
      </c>
      <c r="B2805" s="218" t="s">
        <v>2351</v>
      </c>
      <c r="C2805" s="219" t="s">
        <v>4608</v>
      </c>
      <c r="D2805" s="212" t="s">
        <v>4609</v>
      </c>
      <c r="E2805" s="212" t="s">
        <v>545</v>
      </c>
      <c r="F2805" s="213">
        <v>35</v>
      </c>
      <c r="G2805" s="213">
        <v>3.024</v>
      </c>
      <c r="H2805" s="195">
        <v>105.84</v>
      </c>
      <c r="I2805" s="212" t="s">
        <v>2354</v>
      </c>
    </row>
    <row r="2806" spans="1:9" x14ac:dyDescent="0.25">
      <c r="A2806" s="218" t="s">
        <v>220</v>
      </c>
      <c r="B2806" s="218" t="s">
        <v>5430</v>
      </c>
      <c r="C2806" s="219"/>
      <c r="D2806" s="212" t="s">
        <v>5435</v>
      </c>
      <c r="E2806" s="212" t="s">
        <v>545</v>
      </c>
      <c r="F2806" s="213">
        <v>4</v>
      </c>
      <c r="G2806" s="213">
        <v>26.5</v>
      </c>
      <c r="H2806" s="195">
        <v>106</v>
      </c>
      <c r="I2806" s="212" t="s">
        <v>2354</v>
      </c>
    </row>
    <row r="2807" spans="1:9" x14ac:dyDescent="0.25">
      <c r="A2807" s="218" t="s">
        <v>220</v>
      </c>
      <c r="B2807" s="218" t="s">
        <v>2351</v>
      </c>
      <c r="C2807" s="219" t="s">
        <v>3961</v>
      </c>
      <c r="D2807" s="212" t="s">
        <v>3962</v>
      </c>
      <c r="E2807" s="212" t="s">
        <v>2387</v>
      </c>
      <c r="F2807" s="213">
        <v>110</v>
      </c>
      <c r="G2807" s="213">
        <v>0.96513000000000004</v>
      </c>
      <c r="H2807" s="195">
        <v>106.16430000000001</v>
      </c>
      <c r="I2807" s="212" t="s">
        <v>2354</v>
      </c>
    </row>
    <row r="2808" spans="1:9" x14ac:dyDescent="0.25">
      <c r="A2808" s="218" t="s">
        <v>220</v>
      </c>
      <c r="B2808" s="218" t="s">
        <v>5430</v>
      </c>
      <c r="C2808" s="219" t="s">
        <v>7223</v>
      </c>
      <c r="D2808" s="212" t="s">
        <v>7224</v>
      </c>
      <c r="E2808" s="212" t="s">
        <v>545</v>
      </c>
      <c r="F2808" s="213">
        <v>36</v>
      </c>
      <c r="G2808" s="213">
        <v>2.95</v>
      </c>
      <c r="H2808" s="195">
        <v>106.2</v>
      </c>
      <c r="I2808" s="212" t="s">
        <v>2354</v>
      </c>
    </row>
    <row r="2809" spans="1:9" x14ac:dyDescent="0.25">
      <c r="A2809" s="218" t="s">
        <v>220</v>
      </c>
      <c r="B2809" s="218" t="s">
        <v>2351</v>
      </c>
      <c r="C2809" s="219" t="s">
        <v>3030</v>
      </c>
      <c r="D2809" s="212" t="s">
        <v>3031</v>
      </c>
      <c r="E2809" s="212" t="s">
        <v>545</v>
      </c>
      <c r="F2809" s="213">
        <v>7</v>
      </c>
      <c r="G2809" s="213">
        <v>15.205641046831957</v>
      </c>
      <c r="H2809" s="195">
        <v>106.4394873278237</v>
      </c>
      <c r="I2809" s="212" t="s">
        <v>2354</v>
      </c>
    </row>
    <row r="2810" spans="1:9" x14ac:dyDescent="0.25">
      <c r="A2810" s="218" t="s">
        <v>220</v>
      </c>
      <c r="B2810" s="218" t="s">
        <v>5430</v>
      </c>
      <c r="C2810" s="219" t="s">
        <v>2722</v>
      </c>
      <c r="D2810" s="212" t="s">
        <v>2723</v>
      </c>
      <c r="E2810" s="212" t="s">
        <v>7558</v>
      </c>
      <c r="F2810" s="213">
        <v>7</v>
      </c>
      <c r="G2810" s="213">
        <v>15.222000000000001</v>
      </c>
      <c r="H2810" s="195">
        <v>106.554</v>
      </c>
      <c r="I2810" s="212" t="s">
        <v>2354</v>
      </c>
    </row>
    <row r="2811" spans="1:9" x14ac:dyDescent="0.25">
      <c r="A2811" s="218" t="s">
        <v>220</v>
      </c>
      <c r="B2811" s="218" t="s">
        <v>2351</v>
      </c>
      <c r="C2811" s="219" t="s">
        <v>4822</v>
      </c>
      <c r="D2811" s="212" t="s">
        <v>4823</v>
      </c>
      <c r="E2811" s="212" t="s">
        <v>545</v>
      </c>
      <c r="F2811" s="213">
        <v>240</v>
      </c>
      <c r="G2811" s="213">
        <v>0.44600000000000001</v>
      </c>
      <c r="H2811" s="195">
        <v>107.04</v>
      </c>
      <c r="I2811" s="212" t="s">
        <v>2354</v>
      </c>
    </row>
    <row r="2812" spans="1:9" x14ac:dyDescent="0.25">
      <c r="A2812" s="218" t="s">
        <v>220</v>
      </c>
      <c r="B2812" s="218" t="s">
        <v>5430</v>
      </c>
      <c r="C2812" s="219" t="s">
        <v>4666</v>
      </c>
      <c r="D2812" s="212" t="s">
        <v>4667</v>
      </c>
      <c r="E2812" s="212" t="s">
        <v>545</v>
      </c>
      <c r="F2812" s="213">
        <v>340</v>
      </c>
      <c r="G2812" s="213">
        <v>0.315</v>
      </c>
      <c r="H2812" s="195">
        <v>107.1</v>
      </c>
      <c r="I2812" s="212" t="s">
        <v>2354</v>
      </c>
    </row>
    <row r="2813" spans="1:9" x14ac:dyDescent="0.25">
      <c r="A2813" s="218" t="s">
        <v>220</v>
      </c>
      <c r="B2813" s="218" t="s">
        <v>5430</v>
      </c>
      <c r="C2813" s="219" t="s">
        <v>6895</v>
      </c>
      <c r="D2813" s="212" t="s">
        <v>6896</v>
      </c>
      <c r="E2813" s="212" t="s">
        <v>545</v>
      </c>
      <c r="F2813" s="213">
        <v>5</v>
      </c>
      <c r="G2813" s="213">
        <v>21.433599999999998</v>
      </c>
      <c r="H2813" s="195">
        <v>107.16799999999999</v>
      </c>
      <c r="I2813" s="212" t="s">
        <v>2354</v>
      </c>
    </row>
    <row r="2814" spans="1:9" x14ac:dyDescent="0.25">
      <c r="A2814" s="218" t="s">
        <v>220</v>
      </c>
      <c r="B2814" s="218" t="s">
        <v>2351</v>
      </c>
      <c r="C2814" s="219" t="s">
        <v>4514</v>
      </c>
      <c r="D2814" s="212" t="s">
        <v>4515</v>
      </c>
      <c r="E2814" s="212" t="s">
        <v>545</v>
      </c>
      <c r="F2814" s="213">
        <v>44</v>
      </c>
      <c r="G2814" s="213">
        <v>2.4390000000000001</v>
      </c>
      <c r="H2814" s="195">
        <v>107.316</v>
      </c>
      <c r="I2814" s="212" t="s">
        <v>2354</v>
      </c>
    </row>
    <row r="2815" spans="1:9" x14ac:dyDescent="0.25">
      <c r="A2815" s="218" t="s">
        <v>220</v>
      </c>
      <c r="B2815" s="218" t="s">
        <v>5430</v>
      </c>
      <c r="C2815" s="219" t="s">
        <v>5783</v>
      </c>
      <c r="D2815" s="212" t="s">
        <v>5784</v>
      </c>
      <c r="E2815" s="212" t="s">
        <v>545</v>
      </c>
      <c r="F2815" s="213">
        <v>2</v>
      </c>
      <c r="G2815" s="213">
        <v>53.739899999999999</v>
      </c>
      <c r="H2815" s="195">
        <v>107.4798</v>
      </c>
      <c r="I2815" s="212" t="s">
        <v>2354</v>
      </c>
    </row>
    <row r="2816" spans="1:9" x14ac:dyDescent="0.25">
      <c r="A2816" s="218" t="s">
        <v>220</v>
      </c>
      <c r="B2816" s="218" t="s">
        <v>5430</v>
      </c>
      <c r="C2816" s="219" t="s">
        <v>7332</v>
      </c>
      <c r="D2816" s="212" t="s">
        <v>7333</v>
      </c>
      <c r="E2816" s="212" t="s">
        <v>545</v>
      </c>
      <c r="F2816" s="213">
        <v>1</v>
      </c>
      <c r="G2816" s="213">
        <v>107.6688</v>
      </c>
      <c r="H2816" s="195">
        <v>107.6688</v>
      </c>
      <c r="I2816" s="212" t="s">
        <v>2354</v>
      </c>
    </row>
    <row r="2817" spans="1:9" x14ac:dyDescent="0.25">
      <c r="A2817" s="218" t="s">
        <v>220</v>
      </c>
      <c r="B2817" s="218" t="s">
        <v>2351</v>
      </c>
      <c r="C2817" s="219" t="s">
        <v>3083</v>
      </c>
      <c r="D2817" s="212" t="s">
        <v>3084</v>
      </c>
      <c r="E2817" s="212" t="s">
        <v>545</v>
      </c>
      <c r="F2817" s="213">
        <v>4</v>
      </c>
      <c r="G2817" s="213">
        <v>27</v>
      </c>
      <c r="H2817" s="195">
        <v>108</v>
      </c>
      <c r="I2817" s="212" t="s">
        <v>2354</v>
      </c>
    </row>
    <row r="2818" spans="1:9" x14ac:dyDescent="0.25">
      <c r="A2818" s="218" t="s">
        <v>220</v>
      </c>
      <c r="B2818" s="218" t="s">
        <v>5430</v>
      </c>
      <c r="C2818" s="219" t="s">
        <v>6081</v>
      </c>
      <c r="D2818" s="212" t="s">
        <v>6082</v>
      </c>
      <c r="E2818" s="212" t="s">
        <v>545</v>
      </c>
      <c r="F2818" s="213">
        <v>4</v>
      </c>
      <c r="G2818" s="213">
        <v>27</v>
      </c>
      <c r="H2818" s="195">
        <v>108</v>
      </c>
      <c r="I2818" s="212" t="s">
        <v>2354</v>
      </c>
    </row>
    <row r="2819" spans="1:9" x14ac:dyDescent="0.25">
      <c r="A2819" s="218" t="s">
        <v>220</v>
      </c>
      <c r="B2819" s="218" t="s">
        <v>5430</v>
      </c>
      <c r="C2819" s="219" t="s">
        <v>3583</v>
      </c>
      <c r="D2819" s="212" t="s">
        <v>3584</v>
      </c>
      <c r="E2819" s="212" t="s">
        <v>545</v>
      </c>
      <c r="F2819" s="213">
        <v>40</v>
      </c>
      <c r="G2819" s="213">
        <v>2.7</v>
      </c>
      <c r="H2819" s="195">
        <v>108</v>
      </c>
      <c r="I2819" s="212" t="s">
        <v>2354</v>
      </c>
    </row>
    <row r="2820" spans="1:9" x14ac:dyDescent="0.25">
      <c r="A2820" s="218" t="s">
        <v>220</v>
      </c>
      <c r="B2820" s="218" t="s">
        <v>5430</v>
      </c>
      <c r="C2820" s="219" t="s">
        <v>5382</v>
      </c>
      <c r="D2820" s="212" t="s">
        <v>5383</v>
      </c>
      <c r="E2820" s="212" t="s">
        <v>545</v>
      </c>
      <c r="F2820" s="213">
        <v>240</v>
      </c>
      <c r="G2820" s="213">
        <v>0.45100000000000001</v>
      </c>
      <c r="H2820" s="195">
        <v>108.24000000000001</v>
      </c>
      <c r="I2820" s="212" t="s">
        <v>2354</v>
      </c>
    </row>
    <row r="2821" spans="1:9" x14ac:dyDescent="0.25">
      <c r="A2821" s="218" t="s">
        <v>220</v>
      </c>
      <c r="B2821" s="218" t="s">
        <v>2351</v>
      </c>
      <c r="C2821" s="219" t="s">
        <v>4726</v>
      </c>
      <c r="D2821" s="212" t="s">
        <v>4727</v>
      </c>
      <c r="E2821" s="212" t="s">
        <v>545</v>
      </c>
      <c r="F2821" s="213">
        <v>165</v>
      </c>
      <c r="G2821" s="213">
        <v>0.65800000000000003</v>
      </c>
      <c r="H2821" s="195">
        <v>108.57000000000001</v>
      </c>
      <c r="I2821" s="212" t="s">
        <v>2354</v>
      </c>
    </row>
    <row r="2822" spans="1:9" x14ac:dyDescent="0.25">
      <c r="A2822" s="218" t="s">
        <v>220</v>
      </c>
      <c r="B2822" s="218" t="s">
        <v>5430</v>
      </c>
      <c r="C2822" s="219" t="s">
        <v>7219</v>
      </c>
      <c r="D2822" s="212" t="s">
        <v>7220</v>
      </c>
      <c r="E2822" s="212" t="s">
        <v>545</v>
      </c>
      <c r="F2822" s="213">
        <v>41</v>
      </c>
      <c r="G2822" s="213">
        <v>2.65</v>
      </c>
      <c r="H2822" s="195">
        <v>108.64999999999999</v>
      </c>
      <c r="I2822" s="212" t="s">
        <v>2354</v>
      </c>
    </row>
    <row r="2823" spans="1:9" x14ac:dyDescent="0.25">
      <c r="A2823" s="218" t="s">
        <v>220</v>
      </c>
      <c r="B2823" s="218" t="s">
        <v>5430</v>
      </c>
      <c r="C2823" s="219" t="s">
        <v>6032</v>
      </c>
      <c r="D2823" s="212" t="s">
        <v>6033</v>
      </c>
      <c r="E2823" s="212" t="s">
        <v>545</v>
      </c>
      <c r="F2823" s="213">
        <v>6</v>
      </c>
      <c r="G2823" s="213">
        <v>18.153449999999999</v>
      </c>
      <c r="H2823" s="195">
        <v>108.9207</v>
      </c>
      <c r="I2823" s="212" t="s">
        <v>2354</v>
      </c>
    </row>
    <row r="2824" spans="1:9" x14ac:dyDescent="0.25">
      <c r="A2824" s="218" t="s">
        <v>220</v>
      </c>
      <c r="B2824" s="218" t="s">
        <v>5430</v>
      </c>
      <c r="C2824" s="219" t="s">
        <v>5510</v>
      </c>
      <c r="D2824" s="212" t="s">
        <v>5511</v>
      </c>
      <c r="E2824" s="212" t="s">
        <v>545</v>
      </c>
      <c r="F2824" s="213">
        <v>1</v>
      </c>
      <c r="G2824" s="213">
        <v>109.11535000000001</v>
      </c>
      <c r="H2824" s="195">
        <v>109.11535000000001</v>
      </c>
      <c r="I2824" s="212" t="s">
        <v>2354</v>
      </c>
    </row>
    <row r="2825" spans="1:9" x14ac:dyDescent="0.25">
      <c r="A2825" s="218" t="s">
        <v>220</v>
      </c>
      <c r="B2825" s="218" t="s">
        <v>2351</v>
      </c>
      <c r="C2825" s="219" t="s">
        <v>3949</v>
      </c>
      <c r="D2825" s="212" t="s">
        <v>3950</v>
      </c>
      <c r="E2825" s="212" t="s">
        <v>545</v>
      </c>
      <c r="F2825" s="213">
        <v>5</v>
      </c>
      <c r="G2825" s="213">
        <v>21.861000000000001</v>
      </c>
      <c r="H2825" s="195">
        <v>109.30500000000001</v>
      </c>
      <c r="I2825" s="212" t="s">
        <v>2354</v>
      </c>
    </row>
    <row r="2826" spans="1:9" x14ac:dyDescent="0.25">
      <c r="A2826" s="218" t="s">
        <v>220</v>
      </c>
      <c r="B2826" s="218" t="s">
        <v>2351</v>
      </c>
      <c r="C2826" s="219" t="s">
        <v>3991</v>
      </c>
      <c r="D2826" s="212" t="s">
        <v>3992</v>
      </c>
      <c r="E2826" s="212" t="s">
        <v>545</v>
      </c>
      <c r="F2826" s="213">
        <v>1</v>
      </c>
      <c r="G2826" s="213">
        <v>109.34143583333334</v>
      </c>
      <c r="H2826" s="195">
        <v>109.34143583333334</v>
      </c>
      <c r="I2826" s="212" t="s">
        <v>2354</v>
      </c>
    </row>
    <row r="2827" spans="1:9" x14ac:dyDescent="0.25">
      <c r="A2827" s="218" t="s">
        <v>220</v>
      </c>
      <c r="B2827" s="218" t="s">
        <v>5430</v>
      </c>
      <c r="C2827" s="219" t="s">
        <v>5979</v>
      </c>
      <c r="D2827" s="212" t="s">
        <v>5980</v>
      </c>
      <c r="E2827" s="212" t="s">
        <v>545</v>
      </c>
      <c r="F2827" s="213">
        <v>2</v>
      </c>
      <c r="G2827" s="213">
        <v>54.818100000000001</v>
      </c>
      <c r="H2827" s="195">
        <v>109.6362</v>
      </c>
      <c r="I2827" s="212" t="s">
        <v>2354</v>
      </c>
    </row>
    <row r="2828" spans="1:9" x14ac:dyDescent="0.25">
      <c r="A2828" s="218" t="s">
        <v>220</v>
      </c>
      <c r="B2828" s="218" t="s">
        <v>2351</v>
      </c>
      <c r="C2828" s="219" t="s">
        <v>4233</v>
      </c>
      <c r="D2828" s="212" t="s">
        <v>4234</v>
      </c>
      <c r="E2828" s="212" t="s">
        <v>545</v>
      </c>
      <c r="F2828" s="213">
        <v>2</v>
      </c>
      <c r="G2828" s="213">
        <v>54.978000000000002</v>
      </c>
      <c r="H2828" s="195">
        <v>109.956</v>
      </c>
      <c r="I2828" s="212" t="s">
        <v>2354</v>
      </c>
    </row>
    <row r="2829" spans="1:9" x14ac:dyDescent="0.25">
      <c r="A2829" s="218" t="s">
        <v>220</v>
      </c>
      <c r="B2829" s="218" t="s">
        <v>2351</v>
      </c>
      <c r="C2829" s="219" t="s">
        <v>2680</v>
      </c>
      <c r="D2829" s="212" t="s">
        <v>2681</v>
      </c>
      <c r="E2829" s="212" t="s">
        <v>545</v>
      </c>
      <c r="F2829" s="213">
        <v>1</v>
      </c>
      <c r="G2829" s="213">
        <v>110</v>
      </c>
      <c r="H2829" s="195">
        <v>110</v>
      </c>
      <c r="I2829" s="212" t="s">
        <v>2354</v>
      </c>
    </row>
    <row r="2830" spans="1:9" x14ac:dyDescent="0.25">
      <c r="A2830" s="218" t="s">
        <v>220</v>
      </c>
      <c r="B2830" s="218" t="s">
        <v>2351</v>
      </c>
      <c r="C2830" s="219" t="s">
        <v>4676</v>
      </c>
      <c r="D2830" s="212" t="s">
        <v>4677</v>
      </c>
      <c r="E2830" s="212" t="s">
        <v>545</v>
      </c>
      <c r="F2830" s="213">
        <v>60</v>
      </c>
      <c r="G2830" s="213">
        <v>1.8360000000000001</v>
      </c>
      <c r="H2830" s="195">
        <v>110.16000000000001</v>
      </c>
      <c r="I2830" s="212" t="s">
        <v>2354</v>
      </c>
    </row>
    <row r="2831" spans="1:9" x14ac:dyDescent="0.25">
      <c r="A2831" s="218" t="s">
        <v>220</v>
      </c>
      <c r="B2831" s="218" t="s">
        <v>2351</v>
      </c>
      <c r="C2831" s="219" t="s">
        <v>2566</v>
      </c>
      <c r="D2831" s="212" t="s">
        <v>2567</v>
      </c>
      <c r="E2831" s="212" t="s">
        <v>545</v>
      </c>
      <c r="F2831" s="213">
        <v>1</v>
      </c>
      <c r="G2831" s="213">
        <v>110.17700000000001</v>
      </c>
      <c r="H2831" s="195">
        <v>110.17700000000001</v>
      </c>
      <c r="I2831" s="212" t="s">
        <v>2354</v>
      </c>
    </row>
    <row r="2832" spans="1:9" x14ac:dyDescent="0.25">
      <c r="A2832" s="218" t="s">
        <v>220</v>
      </c>
      <c r="B2832" s="218" t="s">
        <v>2351</v>
      </c>
      <c r="C2832" s="219" t="s">
        <v>4867</v>
      </c>
      <c r="D2832" s="212" t="s">
        <v>4868</v>
      </c>
      <c r="E2832" s="212" t="s">
        <v>545</v>
      </c>
      <c r="F2832" s="213">
        <v>158</v>
      </c>
      <c r="G2832" s="213">
        <v>0.69750999999999985</v>
      </c>
      <c r="H2832" s="195">
        <v>110.20657999999997</v>
      </c>
      <c r="I2832" s="212" t="s">
        <v>2354</v>
      </c>
    </row>
    <row r="2833" spans="1:9" x14ac:dyDescent="0.25">
      <c r="A2833" s="218" t="s">
        <v>220</v>
      </c>
      <c r="B2833" s="218" t="s">
        <v>5430</v>
      </c>
      <c r="C2833" s="219" t="s">
        <v>5969</v>
      </c>
      <c r="D2833" s="212" t="s">
        <v>5970</v>
      </c>
      <c r="E2833" s="212" t="s">
        <v>545</v>
      </c>
      <c r="F2833" s="213">
        <v>4</v>
      </c>
      <c r="G2833" s="213">
        <v>27.607500000000002</v>
      </c>
      <c r="H2833" s="195">
        <v>110.43</v>
      </c>
      <c r="I2833" s="212" t="s">
        <v>2354</v>
      </c>
    </row>
    <row r="2834" spans="1:9" x14ac:dyDescent="0.25">
      <c r="A2834" s="218" t="s">
        <v>220</v>
      </c>
      <c r="B2834" s="218" t="s">
        <v>2351</v>
      </c>
      <c r="C2834" s="219" t="s">
        <v>2562</v>
      </c>
      <c r="D2834" s="212" t="s">
        <v>2563</v>
      </c>
      <c r="E2834" s="212" t="s">
        <v>545</v>
      </c>
      <c r="F2834" s="213">
        <v>42</v>
      </c>
      <c r="G2834" s="213">
        <v>2.6299000000000001</v>
      </c>
      <c r="H2834" s="195">
        <v>110.45580000000001</v>
      </c>
      <c r="I2834" s="212" t="s">
        <v>2354</v>
      </c>
    </row>
    <row r="2835" spans="1:9" x14ac:dyDescent="0.25">
      <c r="A2835" s="218" t="s">
        <v>220</v>
      </c>
      <c r="B2835" s="218" t="s">
        <v>2351</v>
      </c>
      <c r="C2835" s="219" t="s">
        <v>4506</v>
      </c>
      <c r="D2835" s="212" t="s">
        <v>4507</v>
      </c>
      <c r="E2835" s="212" t="s">
        <v>545</v>
      </c>
      <c r="F2835" s="213">
        <v>2</v>
      </c>
      <c r="G2835" s="213">
        <v>55.295999999999999</v>
      </c>
      <c r="H2835" s="195">
        <v>110.592</v>
      </c>
      <c r="I2835" s="212" t="s">
        <v>2354</v>
      </c>
    </row>
    <row r="2836" spans="1:9" x14ac:dyDescent="0.25">
      <c r="A2836" s="218" t="s">
        <v>220</v>
      </c>
      <c r="B2836" s="218" t="s">
        <v>5430</v>
      </c>
      <c r="C2836" s="219" t="s">
        <v>4682</v>
      </c>
      <c r="D2836" s="212" t="s">
        <v>4683</v>
      </c>
      <c r="E2836" s="212" t="s">
        <v>545</v>
      </c>
      <c r="F2836" s="213">
        <v>123</v>
      </c>
      <c r="G2836" s="213">
        <v>0.90400000000000003</v>
      </c>
      <c r="H2836" s="195">
        <v>111.19200000000001</v>
      </c>
      <c r="I2836" s="212" t="s">
        <v>2354</v>
      </c>
    </row>
    <row r="2837" spans="1:9" x14ac:dyDescent="0.25">
      <c r="A2837" s="218" t="s">
        <v>220</v>
      </c>
      <c r="B2837" s="218" t="s">
        <v>2351</v>
      </c>
      <c r="C2837" s="219" t="s">
        <v>4492</v>
      </c>
      <c r="D2837" s="212" t="s">
        <v>4493</v>
      </c>
      <c r="E2837" s="212" t="s">
        <v>545</v>
      </c>
      <c r="F2837" s="213">
        <v>9</v>
      </c>
      <c r="G2837" s="213">
        <v>12.4</v>
      </c>
      <c r="H2837" s="195">
        <v>111.60000000000001</v>
      </c>
      <c r="I2837" s="212" t="s">
        <v>2354</v>
      </c>
    </row>
    <row r="2838" spans="1:9" x14ac:dyDescent="0.25">
      <c r="A2838" s="218" t="s">
        <v>220</v>
      </c>
      <c r="B2838" s="218" t="s">
        <v>2351</v>
      </c>
      <c r="C2838" s="219" t="s">
        <v>4371</v>
      </c>
      <c r="D2838" s="212" t="s">
        <v>4372</v>
      </c>
      <c r="E2838" s="212" t="s">
        <v>545</v>
      </c>
      <c r="F2838" s="213">
        <v>52</v>
      </c>
      <c r="G2838" s="213">
        <v>2.15</v>
      </c>
      <c r="H2838" s="195">
        <v>111.8</v>
      </c>
      <c r="I2838" s="212" t="s">
        <v>2354</v>
      </c>
    </row>
    <row r="2839" spans="1:9" x14ac:dyDescent="0.25">
      <c r="A2839" s="218" t="s">
        <v>220</v>
      </c>
      <c r="B2839" s="218" t="s">
        <v>5430</v>
      </c>
      <c r="C2839" s="219" t="s">
        <v>6315</v>
      </c>
      <c r="D2839" s="212" t="s">
        <v>6316</v>
      </c>
      <c r="E2839" s="212" t="s">
        <v>545</v>
      </c>
      <c r="F2839" s="213">
        <v>7</v>
      </c>
      <c r="G2839" s="213">
        <v>16</v>
      </c>
      <c r="H2839" s="195">
        <v>112</v>
      </c>
      <c r="I2839" s="212" t="s">
        <v>2354</v>
      </c>
    </row>
    <row r="2840" spans="1:9" x14ac:dyDescent="0.25">
      <c r="A2840" s="218" t="s">
        <v>220</v>
      </c>
      <c r="B2840" s="218" t="s">
        <v>5430</v>
      </c>
      <c r="C2840" s="219" t="s">
        <v>6145</v>
      </c>
      <c r="D2840" s="212" t="s">
        <v>5371</v>
      </c>
      <c r="E2840" s="212" t="s">
        <v>545</v>
      </c>
      <c r="F2840" s="213">
        <v>10</v>
      </c>
      <c r="G2840" s="213">
        <v>11.25</v>
      </c>
      <c r="H2840" s="195">
        <v>112.5</v>
      </c>
      <c r="I2840" s="212" t="s">
        <v>2354</v>
      </c>
    </row>
    <row r="2841" spans="1:9" x14ac:dyDescent="0.25">
      <c r="A2841" s="218" t="s">
        <v>220</v>
      </c>
      <c r="B2841" s="218" t="s">
        <v>5430</v>
      </c>
      <c r="C2841" s="219" t="s">
        <v>5998</v>
      </c>
      <c r="D2841" s="212" t="s">
        <v>5999</v>
      </c>
      <c r="E2841" s="212" t="s">
        <v>545</v>
      </c>
      <c r="F2841" s="213">
        <v>7</v>
      </c>
      <c r="G2841" s="213">
        <v>16.11</v>
      </c>
      <c r="H2841" s="195">
        <v>112.77</v>
      </c>
      <c r="I2841" s="212" t="s">
        <v>2354</v>
      </c>
    </row>
    <row r="2842" spans="1:9" x14ac:dyDescent="0.25">
      <c r="A2842" s="218" t="s">
        <v>220</v>
      </c>
      <c r="B2842" s="218" t="s">
        <v>5430</v>
      </c>
      <c r="C2842" s="219" t="s">
        <v>6909</v>
      </c>
      <c r="D2842" s="212" t="s">
        <v>6910</v>
      </c>
      <c r="E2842" s="212" t="s">
        <v>545</v>
      </c>
      <c r="F2842" s="213">
        <v>1</v>
      </c>
      <c r="G2842" s="213">
        <v>113.22</v>
      </c>
      <c r="H2842" s="195">
        <v>113.22</v>
      </c>
      <c r="I2842" s="212" t="s">
        <v>2354</v>
      </c>
    </row>
    <row r="2843" spans="1:9" x14ac:dyDescent="0.25">
      <c r="A2843" s="218" t="s">
        <v>220</v>
      </c>
      <c r="B2843" s="218" t="s">
        <v>5430</v>
      </c>
      <c r="C2843" s="219" t="s">
        <v>3981</v>
      </c>
      <c r="D2843" s="212" t="s">
        <v>3982</v>
      </c>
      <c r="E2843" s="212" t="s">
        <v>545</v>
      </c>
      <c r="F2843" s="213">
        <v>20</v>
      </c>
      <c r="G2843" s="213">
        <v>5.67</v>
      </c>
      <c r="H2843" s="195">
        <v>113.4</v>
      </c>
      <c r="I2843" s="212" t="s">
        <v>2354</v>
      </c>
    </row>
    <row r="2844" spans="1:9" x14ac:dyDescent="0.25">
      <c r="A2844" s="218" t="s">
        <v>220</v>
      </c>
      <c r="B2844" s="218" t="s">
        <v>2351</v>
      </c>
      <c r="C2844" s="219" t="s">
        <v>2866</v>
      </c>
      <c r="D2844" s="212" t="s">
        <v>2867</v>
      </c>
      <c r="E2844" s="212" t="s">
        <v>545</v>
      </c>
      <c r="F2844" s="213">
        <v>2</v>
      </c>
      <c r="G2844" s="213">
        <v>56.713500000000003</v>
      </c>
      <c r="H2844" s="195">
        <v>113.42700000000001</v>
      </c>
      <c r="I2844" s="212" t="s">
        <v>2354</v>
      </c>
    </row>
    <row r="2845" spans="1:9" x14ac:dyDescent="0.25">
      <c r="A2845" s="218" t="s">
        <v>220</v>
      </c>
      <c r="B2845" s="218" t="s">
        <v>5430</v>
      </c>
      <c r="C2845" s="219" t="s">
        <v>5807</v>
      </c>
      <c r="D2845" s="212" t="s">
        <v>5808</v>
      </c>
      <c r="E2845" s="212" t="s">
        <v>545</v>
      </c>
      <c r="F2845" s="213">
        <v>1</v>
      </c>
      <c r="G2845" s="213">
        <v>114.1674</v>
      </c>
      <c r="H2845" s="195">
        <v>114.1674</v>
      </c>
      <c r="I2845" s="212" t="s">
        <v>2354</v>
      </c>
    </row>
    <row r="2846" spans="1:9" x14ac:dyDescent="0.25">
      <c r="A2846" s="218" t="s">
        <v>220</v>
      </c>
      <c r="B2846" s="218" t="s">
        <v>2351</v>
      </c>
      <c r="C2846" s="219" t="s">
        <v>4887</v>
      </c>
      <c r="D2846" s="212" t="s">
        <v>4888</v>
      </c>
      <c r="E2846" s="212" t="s">
        <v>545</v>
      </c>
      <c r="F2846" s="213">
        <v>160</v>
      </c>
      <c r="G2846" s="213">
        <v>0.71399999999999997</v>
      </c>
      <c r="H2846" s="195">
        <v>114.24</v>
      </c>
      <c r="I2846" s="212" t="s">
        <v>2354</v>
      </c>
    </row>
    <row r="2847" spans="1:9" x14ac:dyDescent="0.25">
      <c r="A2847" s="218" t="s">
        <v>220</v>
      </c>
      <c r="B2847" s="218" t="s">
        <v>5430</v>
      </c>
      <c r="C2847" s="219" t="s">
        <v>4554</v>
      </c>
      <c r="D2847" s="212" t="s">
        <v>4555</v>
      </c>
      <c r="E2847" s="212" t="s">
        <v>545</v>
      </c>
      <c r="F2847" s="213">
        <v>10</v>
      </c>
      <c r="G2847" s="213">
        <v>11.423999999999999</v>
      </c>
      <c r="H2847" s="195">
        <v>114.24</v>
      </c>
      <c r="I2847" s="212" t="s">
        <v>2354</v>
      </c>
    </row>
    <row r="2848" spans="1:9" x14ac:dyDescent="0.25">
      <c r="A2848" s="218" t="s">
        <v>220</v>
      </c>
      <c r="B2848" s="218" t="s">
        <v>2351</v>
      </c>
      <c r="C2848" s="219" t="s">
        <v>2960</v>
      </c>
      <c r="D2848" s="212" t="s">
        <v>2961</v>
      </c>
      <c r="E2848" s="212" t="s">
        <v>545</v>
      </c>
      <c r="F2848" s="213">
        <v>5</v>
      </c>
      <c r="G2848" s="213">
        <v>22.878</v>
      </c>
      <c r="H2848" s="195">
        <v>114.39</v>
      </c>
      <c r="I2848" s="212" t="s">
        <v>2354</v>
      </c>
    </row>
    <row r="2849" spans="1:9" x14ac:dyDescent="0.25">
      <c r="A2849" s="218" t="s">
        <v>220</v>
      </c>
      <c r="B2849" s="218" t="s">
        <v>2351</v>
      </c>
      <c r="C2849" s="219" t="s">
        <v>4602</v>
      </c>
      <c r="D2849" s="212" t="s">
        <v>4603</v>
      </c>
      <c r="E2849" s="212" t="s">
        <v>545</v>
      </c>
      <c r="F2849" s="213">
        <v>23</v>
      </c>
      <c r="G2849" s="213">
        <v>4.9809999999999999</v>
      </c>
      <c r="H2849" s="195">
        <v>114.563</v>
      </c>
      <c r="I2849" s="212" t="s">
        <v>2354</v>
      </c>
    </row>
    <row r="2850" spans="1:9" x14ac:dyDescent="0.25">
      <c r="A2850" s="218" t="s">
        <v>220</v>
      </c>
      <c r="B2850" s="218" t="s">
        <v>5430</v>
      </c>
      <c r="C2850" s="219" t="s">
        <v>6310</v>
      </c>
      <c r="D2850" s="212" t="s">
        <v>6311</v>
      </c>
      <c r="E2850" s="212" t="s">
        <v>545</v>
      </c>
      <c r="F2850" s="213">
        <v>5</v>
      </c>
      <c r="G2850" s="213">
        <v>22.92</v>
      </c>
      <c r="H2850" s="195">
        <v>114.60000000000001</v>
      </c>
      <c r="I2850" s="212" t="s">
        <v>2354</v>
      </c>
    </row>
    <row r="2851" spans="1:9" x14ac:dyDescent="0.25">
      <c r="A2851" s="218" t="s">
        <v>220</v>
      </c>
      <c r="B2851" s="218" t="s">
        <v>2351</v>
      </c>
      <c r="C2851" s="219" t="s">
        <v>5082</v>
      </c>
      <c r="D2851" s="212" t="s">
        <v>5083</v>
      </c>
      <c r="E2851" s="212" t="s">
        <v>545</v>
      </c>
      <c r="F2851" s="213">
        <v>5</v>
      </c>
      <c r="G2851" s="213">
        <v>22.925000000000001</v>
      </c>
      <c r="H2851" s="195">
        <v>114.625</v>
      </c>
      <c r="I2851" s="212" t="s">
        <v>2354</v>
      </c>
    </row>
    <row r="2852" spans="1:9" x14ac:dyDescent="0.25">
      <c r="A2852" s="218" t="s">
        <v>220</v>
      </c>
      <c r="B2852" s="218" t="s">
        <v>5430</v>
      </c>
      <c r="C2852" s="219" t="s">
        <v>5082</v>
      </c>
      <c r="D2852" s="212" t="s">
        <v>5083</v>
      </c>
      <c r="E2852" s="212" t="s">
        <v>545</v>
      </c>
      <c r="F2852" s="213">
        <v>5</v>
      </c>
      <c r="G2852" s="213">
        <v>22.925000000000001</v>
      </c>
      <c r="H2852" s="195">
        <v>114.625</v>
      </c>
      <c r="I2852" s="212" t="s">
        <v>2354</v>
      </c>
    </row>
    <row r="2853" spans="1:9" x14ac:dyDescent="0.25">
      <c r="A2853" s="218" t="s">
        <v>220</v>
      </c>
      <c r="B2853" s="218" t="s">
        <v>5430</v>
      </c>
      <c r="C2853" s="219" t="s">
        <v>6899</v>
      </c>
      <c r="D2853" s="212" t="s">
        <v>6900</v>
      </c>
      <c r="E2853" s="212" t="s">
        <v>545</v>
      </c>
      <c r="F2853" s="213">
        <v>1</v>
      </c>
      <c r="G2853" s="213">
        <v>114.7483</v>
      </c>
      <c r="H2853" s="195">
        <v>114.7483</v>
      </c>
      <c r="I2853" s="212" t="s">
        <v>2354</v>
      </c>
    </row>
    <row r="2854" spans="1:9" x14ac:dyDescent="0.25">
      <c r="A2854" s="218" t="s">
        <v>220</v>
      </c>
      <c r="B2854" s="218" t="s">
        <v>2351</v>
      </c>
      <c r="C2854" s="219" t="s">
        <v>4143</v>
      </c>
      <c r="D2854" s="212" t="s">
        <v>4144</v>
      </c>
      <c r="E2854" s="212" t="s">
        <v>545</v>
      </c>
      <c r="F2854" s="213">
        <v>23</v>
      </c>
      <c r="G2854" s="213">
        <v>5</v>
      </c>
      <c r="H2854" s="195">
        <v>115</v>
      </c>
      <c r="I2854" s="212" t="s">
        <v>2354</v>
      </c>
    </row>
    <row r="2855" spans="1:9" x14ac:dyDescent="0.25">
      <c r="A2855" s="218" t="s">
        <v>220</v>
      </c>
      <c r="B2855" s="218" t="s">
        <v>5430</v>
      </c>
      <c r="C2855" s="219" t="s">
        <v>2934</v>
      </c>
      <c r="D2855" s="212" t="s">
        <v>2935</v>
      </c>
      <c r="E2855" s="212" t="s">
        <v>545</v>
      </c>
      <c r="F2855" s="213">
        <v>3</v>
      </c>
      <c r="G2855" s="213">
        <v>38.568600000000004</v>
      </c>
      <c r="H2855" s="195">
        <v>115.70580000000001</v>
      </c>
      <c r="I2855" s="212" t="s">
        <v>2354</v>
      </c>
    </row>
    <row r="2856" spans="1:9" x14ac:dyDescent="0.25">
      <c r="A2856" s="218" t="s">
        <v>220</v>
      </c>
      <c r="B2856" s="218" t="s">
        <v>2351</v>
      </c>
      <c r="C2856" s="219" t="s">
        <v>2766</v>
      </c>
      <c r="D2856" s="212" t="s">
        <v>2767</v>
      </c>
      <c r="E2856" s="212" t="s">
        <v>545</v>
      </c>
      <c r="F2856" s="213">
        <v>8</v>
      </c>
      <c r="G2856" s="213">
        <v>14.476000000000001</v>
      </c>
      <c r="H2856" s="195">
        <v>115.80800000000001</v>
      </c>
      <c r="I2856" s="212" t="s">
        <v>2354</v>
      </c>
    </row>
    <row r="2857" spans="1:9" x14ac:dyDescent="0.25">
      <c r="A2857" s="218" t="s">
        <v>220</v>
      </c>
      <c r="B2857" s="218" t="s">
        <v>2351</v>
      </c>
      <c r="C2857" s="219" t="s">
        <v>5232</v>
      </c>
      <c r="D2857" s="212" t="s">
        <v>5233</v>
      </c>
      <c r="E2857" s="212" t="s">
        <v>2387</v>
      </c>
      <c r="F2857" s="213">
        <v>4</v>
      </c>
      <c r="G2857" s="213">
        <v>28.95882352941177</v>
      </c>
      <c r="H2857" s="195">
        <v>115.83529411764708</v>
      </c>
      <c r="I2857" s="212" t="s">
        <v>2354</v>
      </c>
    </row>
    <row r="2858" spans="1:9" x14ac:dyDescent="0.25">
      <c r="A2858" s="218" t="s">
        <v>220</v>
      </c>
      <c r="B2858" s="218" t="s">
        <v>2351</v>
      </c>
      <c r="C2858" s="219" t="s">
        <v>4564</v>
      </c>
      <c r="D2858" s="212" t="s">
        <v>4565</v>
      </c>
      <c r="E2858" s="212" t="s">
        <v>545</v>
      </c>
      <c r="F2858" s="213">
        <v>5</v>
      </c>
      <c r="G2858" s="213">
        <v>23.204999999999998</v>
      </c>
      <c r="H2858" s="195">
        <v>116.02499999999999</v>
      </c>
      <c r="I2858" s="212" t="s">
        <v>2354</v>
      </c>
    </row>
    <row r="2859" spans="1:9" x14ac:dyDescent="0.25">
      <c r="A2859" s="218" t="s">
        <v>220</v>
      </c>
      <c r="B2859" s="218" t="s">
        <v>5430</v>
      </c>
      <c r="C2859" s="219" t="s">
        <v>6034</v>
      </c>
      <c r="D2859" s="212" t="s">
        <v>6035</v>
      </c>
      <c r="E2859" s="212" t="s">
        <v>545</v>
      </c>
      <c r="F2859" s="213">
        <v>6</v>
      </c>
      <c r="G2859" s="213">
        <v>19.350000000000001</v>
      </c>
      <c r="H2859" s="195">
        <v>116.10000000000001</v>
      </c>
      <c r="I2859" s="212" t="s">
        <v>2354</v>
      </c>
    </row>
    <row r="2860" spans="1:9" x14ac:dyDescent="0.25">
      <c r="A2860" s="218" t="s">
        <v>220</v>
      </c>
      <c r="B2860" s="218" t="s">
        <v>5430</v>
      </c>
      <c r="C2860" s="219" t="s">
        <v>4642</v>
      </c>
      <c r="D2860" s="212" t="s">
        <v>4643</v>
      </c>
      <c r="E2860" s="212" t="s">
        <v>545</v>
      </c>
      <c r="F2860" s="213">
        <v>250</v>
      </c>
      <c r="G2860" s="213">
        <v>0.46500000000000002</v>
      </c>
      <c r="H2860" s="195">
        <v>116.25</v>
      </c>
      <c r="I2860" s="212" t="s">
        <v>2354</v>
      </c>
    </row>
    <row r="2861" spans="1:9" x14ac:dyDescent="0.25">
      <c r="A2861" s="218" t="s">
        <v>220</v>
      </c>
      <c r="B2861" s="218" t="s">
        <v>2351</v>
      </c>
      <c r="C2861" s="219" t="s">
        <v>3677</v>
      </c>
      <c r="D2861" s="212" t="s">
        <v>3678</v>
      </c>
      <c r="E2861" s="212" t="s">
        <v>545</v>
      </c>
      <c r="F2861" s="213">
        <v>52</v>
      </c>
      <c r="G2861" s="213">
        <v>2.2440000000000002</v>
      </c>
      <c r="H2861" s="195">
        <v>116.68800000000002</v>
      </c>
      <c r="I2861" s="212" t="s">
        <v>2354</v>
      </c>
    </row>
    <row r="2862" spans="1:9" x14ac:dyDescent="0.25">
      <c r="A2862" s="218" t="s">
        <v>220</v>
      </c>
      <c r="B2862" s="218" t="s">
        <v>2351</v>
      </c>
      <c r="C2862" s="219" t="s">
        <v>2413</v>
      </c>
      <c r="D2862" s="212" t="s">
        <v>2414</v>
      </c>
      <c r="E2862" s="212" t="s">
        <v>545</v>
      </c>
      <c r="F2862" s="213">
        <v>20</v>
      </c>
      <c r="G2862" s="213">
        <v>5.85</v>
      </c>
      <c r="H2862" s="195">
        <v>117</v>
      </c>
      <c r="I2862" s="212" t="s">
        <v>2354</v>
      </c>
    </row>
    <row r="2863" spans="1:9" x14ac:dyDescent="0.25">
      <c r="A2863" s="218" t="s">
        <v>220</v>
      </c>
      <c r="B2863" s="218" t="s">
        <v>2351</v>
      </c>
      <c r="C2863" s="219" t="s">
        <v>3018</v>
      </c>
      <c r="D2863" s="212" t="s">
        <v>3019</v>
      </c>
      <c r="E2863" s="212" t="s">
        <v>545</v>
      </c>
      <c r="F2863" s="213">
        <v>10</v>
      </c>
      <c r="G2863" s="213">
        <v>11.7</v>
      </c>
      <c r="H2863" s="195">
        <v>117</v>
      </c>
      <c r="I2863" s="212" t="s">
        <v>2354</v>
      </c>
    </row>
    <row r="2864" spans="1:9" x14ac:dyDescent="0.25">
      <c r="A2864" s="218" t="s">
        <v>220</v>
      </c>
      <c r="B2864" s="218" t="s">
        <v>5430</v>
      </c>
      <c r="C2864" s="219" t="s">
        <v>5883</v>
      </c>
      <c r="D2864" s="212" t="s">
        <v>5884</v>
      </c>
      <c r="E2864" s="212" t="s">
        <v>545</v>
      </c>
      <c r="F2864" s="213">
        <v>1</v>
      </c>
      <c r="G2864" s="213">
        <v>117.227</v>
      </c>
      <c r="H2864" s="195">
        <v>117.227</v>
      </c>
      <c r="I2864" s="212" t="s">
        <v>2354</v>
      </c>
    </row>
    <row r="2865" spans="1:9" x14ac:dyDescent="0.25">
      <c r="A2865" s="218" t="s">
        <v>220</v>
      </c>
      <c r="B2865" s="218" t="s">
        <v>2351</v>
      </c>
      <c r="C2865" s="219" t="s">
        <v>2596</v>
      </c>
      <c r="D2865" s="212" t="s">
        <v>2597</v>
      </c>
      <c r="E2865" s="212" t="s">
        <v>545</v>
      </c>
      <c r="F2865" s="213">
        <v>4</v>
      </c>
      <c r="G2865" s="213">
        <v>29.407765445340271</v>
      </c>
      <c r="H2865" s="195">
        <v>117.63106178136108</v>
      </c>
      <c r="I2865" s="212" t="s">
        <v>2354</v>
      </c>
    </row>
    <row r="2866" spans="1:9" x14ac:dyDescent="0.25">
      <c r="A2866" s="218" t="s">
        <v>220</v>
      </c>
      <c r="B2866" s="218" t="s">
        <v>2351</v>
      </c>
      <c r="C2866" s="219" t="s">
        <v>3649</v>
      </c>
      <c r="D2866" s="212" t="s">
        <v>3650</v>
      </c>
      <c r="E2866" s="212" t="s">
        <v>545</v>
      </c>
      <c r="F2866" s="213">
        <v>24</v>
      </c>
      <c r="G2866" s="213">
        <v>4.93</v>
      </c>
      <c r="H2866" s="195">
        <v>118.32</v>
      </c>
      <c r="I2866" s="212" t="s">
        <v>2354</v>
      </c>
    </row>
    <row r="2867" spans="1:9" x14ac:dyDescent="0.25">
      <c r="A2867" s="218" t="s">
        <v>220</v>
      </c>
      <c r="B2867" s="218" t="s">
        <v>5430</v>
      </c>
      <c r="C2867" s="219" t="s">
        <v>5947</v>
      </c>
      <c r="D2867" s="212" t="s">
        <v>5948</v>
      </c>
      <c r="E2867" s="212" t="s">
        <v>545</v>
      </c>
      <c r="F2867" s="213">
        <v>2</v>
      </c>
      <c r="G2867" s="213">
        <v>59.1648</v>
      </c>
      <c r="H2867" s="195">
        <v>118.3296</v>
      </c>
      <c r="I2867" s="212" t="s">
        <v>2354</v>
      </c>
    </row>
    <row r="2868" spans="1:9" x14ac:dyDescent="0.25">
      <c r="A2868" s="218" t="s">
        <v>220</v>
      </c>
      <c r="B2868" s="218" t="s">
        <v>5430</v>
      </c>
      <c r="C2868" s="219" t="s">
        <v>6125</v>
      </c>
      <c r="D2868" s="212" t="s">
        <v>6126</v>
      </c>
      <c r="E2868" s="212" t="s">
        <v>545</v>
      </c>
      <c r="F2868" s="213">
        <v>2</v>
      </c>
      <c r="G2868" s="213">
        <v>59.4</v>
      </c>
      <c r="H2868" s="195">
        <v>118.8</v>
      </c>
      <c r="I2868" s="212" t="s">
        <v>2354</v>
      </c>
    </row>
    <row r="2869" spans="1:9" x14ac:dyDescent="0.25">
      <c r="A2869" s="218" t="s">
        <v>220</v>
      </c>
      <c r="B2869" s="218" t="s">
        <v>5430</v>
      </c>
      <c r="C2869" s="219" t="s">
        <v>6971</v>
      </c>
      <c r="D2869" s="212" t="s">
        <v>4427</v>
      </c>
      <c r="E2869" s="212" t="s">
        <v>545</v>
      </c>
      <c r="F2869" s="213">
        <v>17</v>
      </c>
      <c r="G2869" s="213">
        <v>7.021221052631577</v>
      </c>
      <c r="H2869" s="195">
        <v>119.36075789473681</v>
      </c>
      <c r="I2869" s="212" t="s">
        <v>2354</v>
      </c>
    </row>
    <row r="2870" spans="1:9" x14ac:dyDescent="0.25">
      <c r="A2870" s="218" t="s">
        <v>220</v>
      </c>
      <c r="B2870" s="218" t="s">
        <v>2351</v>
      </c>
      <c r="C2870" s="219" t="s">
        <v>3273</v>
      </c>
      <c r="D2870" s="212" t="s">
        <v>3274</v>
      </c>
      <c r="E2870" s="212" t="s">
        <v>545</v>
      </c>
      <c r="F2870" s="213">
        <v>20</v>
      </c>
      <c r="G2870" s="213">
        <v>5.9912121212121212</v>
      </c>
      <c r="H2870" s="195">
        <v>119.82424242424243</v>
      </c>
      <c r="I2870" s="212" t="s">
        <v>2354</v>
      </c>
    </row>
    <row r="2871" spans="1:9" x14ac:dyDescent="0.25">
      <c r="A2871" s="218" t="s">
        <v>220</v>
      </c>
      <c r="B2871" s="218" t="s">
        <v>2351</v>
      </c>
      <c r="C2871" s="219" t="s">
        <v>3581</v>
      </c>
      <c r="D2871" s="212" t="s">
        <v>3582</v>
      </c>
      <c r="E2871" s="212" t="s">
        <v>545</v>
      </c>
      <c r="F2871" s="213">
        <v>43</v>
      </c>
      <c r="G2871" s="213">
        <v>2.7879999999999998</v>
      </c>
      <c r="H2871" s="195">
        <v>119.88399999999999</v>
      </c>
      <c r="I2871" s="212" t="s">
        <v>2354</v>
      </c>
    </row>
    <row r="2872" spans="1:9" x14ac:dyDescent="0.25">
      <c r="A2872" s="218" t="s">
        <v>220</v>
      </c>
      <c r="B2872" s="218" t="s">
        <v>2351</v>
      </c>
      <c r="C2872" s="219" t="s">
        <v>3969</v>
      </c>
      <c r="D2872" s="212" t="s">
        <v>3970</v>
      </c>
      <c r="E2872" s="212" t="s">
        <v>2387</v>
      </c>
      <c r="F2872" s="213">
        <v>42</v>
      </c>
      <c r="G2872" s="213">
        <v>2.85615</v>
      </c>
      <c r="H2872" s="195">
        <v>119.95829999999999</v>
      </c>
      <c r="I2872" s="212" t="s">
        <v>2354</v>
      </c>
    </row>
    <row r="2873" spans="1:9" x14ac:dyDescent="0.25">
      <c r="A2873" s="218" t="s">
        <v>220</v>
      </c>
      <c r="B2873" s="218" t="s">
        <v>2351</v>
      </c>
      <c r="C2873" s="219" t="s">
        <v>4516</v>
      </c>
      <c r="D2873" s="212" t="s">
        <v>4517</v>
      </c>
      <c r="E2873" s="212" t="s">
        <v>545</v>
      </c>
      <c r="F2873" s="213">
        <v>35</v>
      </c>
      <c r="G2873" s="213">
        <v>3.4286498632010942</v>
      </c>
      <c r="H2873" s="195">
        <v>120.00274521203829</v>
      </c>
      <c r="I2873" s="212" t="s">
        <v>2354</v>
      </c>
    </row>
    <row r="2874" spans="1:9" x14ac:dyDescent="0.25">
      <c r="A2874" s="218" t="s">
        <v>220</v>
      </c>
      <c r="B2874" s="218" t="s">
        <v>2351</v>
      </c>
      <c r="C2874" s="219" t="s">
        <v>2598</v>
      </c>
      <c r="D2874" s="212" t="s">
        <v>2599</v>
      </c>
      <c r="E2874" s="212" t="s">
        <v>545</v>
      </c>
      <c r="F2874" s="213">
        <v>4</v>
      </c>
      <c r="G2874" s="213">
        <v>30.045605106825956</v>
      </c>
      <c r="H2874" s="195">
        <v>120.18242042730382</v>
      </c>
      <c r="I2874" s="212" t="s">
        <v>2354</v>
      </c>
    </row>
    <row r="2875" spans="1:9" x14ac:dyDescent="0.25">
      <c r="A2875" s="218" t="s">
        <v>220</v>
      </c>
      <c r="B2875" s="218" t="s">
        <v>2351</v>
      </c>
      <c r="C2875" s="219" t="s">
        <v>2712</v>
      </c>
      <c r="D2875" s="212" t="s">
        <v>2713</v>
      </c>
      <c r="E2875" s="212" t="s">
        <v>7558</v>
      </c>
      <c r="F2875" s="213">
        <v>4</v>
      </c>
      <c r="G2875" s="213">
        <v>30.113999999999997</v>
      </c>
      <c r="H2875" s="195">
        <v>120.45599999999999</v>
      </c>
      <c r="I2875" s="212" t="s">
        <v>2354</v>
      </c>
    </row>
    <row r="2876" spans="1:9" x14ac:dyDescent="0.25">
      <c r="A2876" s="218" t="s">
        <v>220</v>
      </c>
      <c r="B2876" s="218" t="s">
        <v>5430</v>
      </c>
      <c r="C2876" s="219" t="s">
        <v>6413</v>
      </c>
      <c r="D2876" s="212" t="s">
        <v>6414</v>
      </c>
      <c r="E2876" s="212" t="s">
        <v>545</v>
      </c>
      <c r="F2876" s="213">
        <v>1</v>
      </c>
      <c r="G2876" s="213">
        <v>120.6</v>
      </c>
      <c r="H2876" s="195">
        <v>120.6</v>
      </c>
      <c r="I2876" s="212" t="s">
        <v>2354</v>
      </c>
    </row>
    <row r="2877" spans="1:9" x14ac:dyDescent="0.25">
      <c r="A2877" s="218" t="s">
        <v>220</v>
      </c>
      <c r="B2877" s="218" t="s">
        <v>2351</v>
      </c>
      <c r="C2877" s="219" t="s">
        <v>3026</v>
      </c>
      <c r="D2877" s="212" t="s">
        <v>3027</v>
      </c>
      <c r="E2877" s="212" t="s">
        <v>545</v>
      </c>
      <c r="F2877" s="213">
        <v>12</v>
      </c>
      <c r="G2877" s="213">
        <v>10.098000000000001</v>
      </c>
      <c r="H2877" s="195">
        <v>121.17600000000002</v>
      </c>
      <c r="I2877" s="212" t="s">
        <v>2354</v>
      </c>
    </row>
    <row r="2878" spans="1:9" x14ac:dyDescent="0.25">
      <c r="A2878" s="218" t="s">
        <v>220</v>
      </c>
      <c r="B2878" s="218" t="s">
        <v>5430</v>
      </c>
      <c r="C2878" s="219" t="s">
        <v>5819</v>
      </c>
      <c r="D2878" s="212" t="s">
        <v>5820</v>
      </c>
      <c r="E2878" s="212" t="s">
        <v>545</v>
      </c>
      <c r="F2878" s="213">
        <v>1</v>
      </c>
      <c r="G2878" s="213">
        <v>121.18680000000001</v>
      </c>
      <c r="H2878" s="195">
        <v>121.18680000000001</v>
      </c>
      <c r="I2878" s="212" t="s">
        <v>2354</v>
      </c>
    </row>
    <row r="2879" spans="1:9" x14ac:dyDescent="0.25">
      <c r="A2879" s="218" t="s">
        <v>220</v>
      </c>
      <c r="B2879" s="218" t="s">
        <v>5430</v>
      </c>
      <c r="C2879" s="219" t="s">
        <v>6797</v>
      </c>
      <c r="D2879" s="212" t="s">
        <v>6798</v>
      </c>
      <c r="E2879" s="212" t="s">
        <v>545</v>
      </c>
      <c r="F2879" s="213">
        <v>3</v>
      </c>
      <c r="G2879" s="213">
        <v>40.43535</v>
      </c>
      <c r="H2879" s="195">
        <v>121.30605</v>
      </c>
      <c r="I2879" s="212" t="s">
        <v>2354</v>
      </c>
    </row>
    <row r="2880" spans="1:9" x14ac:dyDescent="0.25">
      <c r="A2880" s="218" t="s">
        <v>220</v>
      </c>
      <c r="B2880" s="218" t="s">
        <v>2351</v>
      </c>
      <c r="C2880" s="219" t="s">
        <v>3353</v>
      </c>
      <c r="D2880" s="212" t="s">
        <v>3354</v>
      </c>
      <c r="E2880" s="212" t="s">
        <v>545</v>
      </c>
      <c r="F2880" s="213">
        <v>12</v>
      </c>
      <c r="G2880" s="213">
        <v>10.134</v>
      </c>
      <c r="H2880" s="195">
        <v>121.608</v>
      </c>
      <c r="I2880" s="212" t="s">
        <v>2354</v>
      </c>
    </row>
    <row r="2881" spans="1:9" x14ac:dyDescent="0.25">
      <c r="A2881" s="218" t="s">
        <v>220</v>
      </c>
      <c r="B2881" s="218" t="s">
        <v>5430</v>
      </c>
      <c r="C2881" s="219" t="s">
        <v>6765</v>
      </c>
      <c r="D2881" s="212" t="s">
        <v>6766</v>
      </c>
      <c r="E2881" s="212" t="s">
        <v>545</v>
      </c>
      <c r="F2881" s="213">
        <v>3</v>
      </c>
      <c r="G2881" s="213">
        <v>40.674599999999998</v>
      </c>
      <c r="H2881" s="195">
        <v>122.02379999999999</v>
      </c>
      <c r="I2881" s="212" t="s">
        <v>2354</v>
      </c>
    </row>
    <row r="2882" spans="1:9" x14ac:dyDescent="0.25">
      <c r="A2882" s="218" t="s">
        <v>220</v>
      </c>
      <c r="B2882" s="218" t="s">
        <v>5430</v>
      </c>
      <c r="C2882" s="219" t="s">
        <v>5761</v>
      </c>
      <c r="D2882" s="212" t="s">
        <v>5762</v>
      </c>
      <c r="E2882" s="212" t="s">
        <v>545</v>
      </c>
      <c r="F2882" s="213">
        <v>1</v>
      </c>
      <c r="G2882" s="213">
        <v>122.31</v>
      </c>
      <c r="H2882" s="195">
        <v>122.31</v>
      </c>
      <c r="I2882" s="212" t="s">
        <v>2354</v>
      </c>
    </row>
    <row r="2883" spans="1:9" x14ac:dyDescent="0.25">
      <c r="A2883" s="218" t="s">
        <v>220</v>
      </c>
      <c r="B2883" s="218" t="s">
        <v>5430</v>
      </c>
      <c r="C2883" s="219" t="s">
        <v>6803</v>
      </c>
      <c r="D2883" s="212" t="s">
        <v>6804</v>
      </c>
      <c r="E2883" s="212" t="s">
        <v>545</v>
      </c>
      <c r="F2883" s="213">
        <v>3</v>
      </c>
      <c r="G2883" s="213">
        <v>40.953000000000003</v>
      </c>
      <c r="H2883" s="195">
        <v>122.85900000000001</v>
      </c>
      <c r="I2883" s="212" t="s">
        <v>2354</v>
      </c>
    </row>
    <row r="2884" spans="1:9" x14ac:dyDescent="0.25">
      <c r="A2884" s="218" t="s">
        <v>220</v>
      </c>
      <c r="B2884" s="218" t="s">
        <v>2351</v>
      </c>
      <c r="C2884" s="219" t="s">
        <v>4628</v>
      </c>
      <c r="D2884" s="212" t="s">
        <v>4629</v>
      </c>
      <c r="E2884" s="212" t="s">
        <v>545</v>
      </c>
      <c r="F2884" s="213">
        <v>1</v>
      </c>
      <c r="G2884" s="213">
        <v>122.95</v>
      </c>
      <c r="H2884" s="195">
        <v>122.95</v>
      </c>
      <c r="I2884" s="212" t="s">
        <v>2354</v>
      </c>
    </row>
    <row r="2885" spans="1:9" x14ac:dyDescent="0.25">
      <c r="A2885" s="218" t="s">
        <v>220</v>
      </c>
      <c r="B2885" s="218" t="s">
        <v>2351</v>
      </c>
      <c r="C2885" s="219" t="s">
        <v>3903</v>
      </c>
      <c r="D2885" s="212" t="s">
        <v>3904</v>
      </c>
      <c r="E2885" s="212" t="s">
        <v>545</v>
      </c>
      <c r="F2885" s="213">
        <v>20</v>
      </c>
      <c r="G2885" s="213">
        <v>6.1554726368159205</v>
      </c>
      <c r="H2885" s="195">
        <v>123.10945273631842</v>
      </c>
      <c r="I2885" s="212" t="s">
        <v>2354</v>
      </c>
    </row>
    <row r="2886" spans="1:9" x14ac:dyDescent="0.25">
      <c r="A2886" s="218" t="s">
        <v>220</v>
      </c>
      <c r="B2886" s="218" t="s">
        <v>2351</v>
      </c>
      <c r="C2886" s="219" t="s">
        <v>3947</v>
      </c>
      <c r="D2886" s="212" t="s">
        <v>3948</v>
      </c>
      <c r="E2886" s="212" t="s">
        <v>545</v>
      </c>
      <c r="F2886" s="213">
        <v>7</v>
      </c>
      <c r="G2886" s="213">
        <v>17.599772727272729</v>
      </c>
      <c r="H2886" s="195">
        <v>123.19840909090911</v>
      </c>
      <c r="I2886" s="212" t="s">
        <v>2354</v>
      </c>
    </row>
    <row r="2887" spans="1:9" x14ac:dyDescent="0.25">
      <c r="A2887" s="218" t="s">
        <v>220</v>
      </c>
      <c r="B2887" s="218" t="s">
        <v>5430</v>
      </c>
      <c r="C2887" s="219" t="s">
        <v>7180</v>
      </c>
      <c r="D2887" s="212" t="s">
        <v>7181</v>
      </c>
      <c r="E2887" s="212" t="s">
        <v>545</v>
      </c>
      <c r="F2887" s="213">
        <v>110</v>
      </c>
      <c r="G2887" s="213">
        <v>1.121</v>
      </c>
      <c r="H2887" s="195">
        <v>123.31</v>
      </c>
      <c r="I2887" s="212" t="s">
        <v>2354</v>
      </c>
    </row>
    <row r="2888" spans="1:9" x14ac:dyDescent="0.25">
      <c r="A2888" s="218" t="s">
        <v>220</v>
      </c>
      <c r="B2888" s="218" t="s">
        <v>2351</v>
      </c>
      <c r="C2888" s="219" t="s">
        <v>3963</v>
      </c>
      <c r="D2888" s="212" t="s">
        <v>3964</v>
      </c>
      <c r="E2888" s="212" t="s">
        <v>2387</v>
      </c>
      <c r="F2888" s="213">
        <v>110</v>
      </c>
      <c r="G2888" s="213">
        <v>1.1257200000000001</v>
      </c>
      <c r="H2888" s="195">
        <v>123.8292</v>
      </c>
      <c r="I2888" s="212" t="s">
        <v>2354</v>
      </c>
    </row>
    <row r="2889" spans="1:9" x14ac:dyDescent="0.25">
      <c r="A2889" s="218" t="s">
        <v>220</v>
      </c>
      <c r="B2889" s="218" t="s">
        <v>2351</v>
      </c>
      <c r="C2889" s="219" t="s">
        <v>3549</v>
      </c>
      <c r="D2889" s="212" t="s">
        <v>3550</v>
      </c>
      <c r="E2889" s="212" t="s">
        <v>545</v>
      </c>
      <c r="F2889" s="213">
        <v>15</v>
      </c>
      <c r="G2889" s="213">
        <v>8.264325358851675</v>
      </c>
      <c r="H2889" s="195">
        <v>123.96488038277512</v>
      </c>
      <c r="I2889" s="212" t="s">
        <v>2354</v>
      </c>
    </row>
    <row r="2890" spans="1:9" x14ac:dyDescent="0.25">
      <c r="A2890" s="218" t="s">
        <v>220</v>
      </c>
      <c r="B2890" s="218" t="s">
        <v>5430</v>
      </c>
      <c r="C2890" s="219" t="s">
        <v>5945</v>
      </c>
      <c r="D2890" s="212" t="s">
        <v>5946</v>
      </c>
      <c r="E2890" s="212" t="s">
        <v>545</v>
      </c>
      <c r="F2890" s="213">
        <v>4</v>
      </c>
      <c r="G2890" s="213">
        <v>31.013999999999999</v>
      </c>
      <c r="H2890" s="195">
        <v>124.056</v>
      </c>
      <c r="I2890" s="212" t="s">
        <v>2354</v>
      </c>
    </row>
    <row r="2891" spans="1:9" x14ac:dyDescent="0.25">
      <c r="A2891" s="218" t="s">
        <v>220</v>
      </c>
      <c r="B2891" s="218" t="s">
        <v>5430</v>
      </c>
      <c r="C2891" s="219" t="s">
        <v>6919</v>
      </c>
      <c r="D2891" s="212" t="s">
        <v>6920</v>
      </c>
      <c r="E2891" s="212" t="s">
        <v>545</v>
      </c>
      <c r="F2891" s="213">
        <v>1</v>
      </c>
      <c r="G2891" s="213">
        <v>124.07850000000001</v>
      </c>
      <c r="H2891" s="195">
        <v>124.07850000000001</v>
      </c>
      <c r="I2891" s="212" t="s">
        <v>2354</v>
      </c>
    </row>
    <row r="2892" spans="1:9" x14ac:dyDescent="0.25">
      <c r="A2892" s="218" t="s">
        <v>220</v>
      </c>
      <c r="B2892" s="218" t="s">
        <v>2351</v>
      </c>
      <c r="C2892" s="219" t="s">
        <v>3309</v>
      </c>
      <c r="D2892" s="212" t="s">
        <v>3310</v>
      </c>
      <c r="E2892" s="212" t="s">
        <v>545</v>
      </c>
      <c r="F2892" s="213">
        <v>4</v>
      </c>
      <c r="G2892" s="213">
        <v>31.043700000000001</v>
      </c>
      <c r="H2892" s="195">
        <v>124.1748</v>
      </c>
      <c r="I2892" s="212" t="s">
        <v>2354</v>
      </c>
    </row>
    <row r="2893" spans="1:9" x14ac:dyDescent="0.25">
      <c r="A2893" s="218" t="s">
        <v>220</v>
      </c>
      <c r="B2893" s="218" t="s">
        <v>5430</v>
      </c>
      <c r="C2893" s="219" t="s">
        <v>6131</v>
      </c>
      <c r="D2893" s="212" t="s">
        <v>6132</v>
      </c>
      <c r="E2893" s="212" t="s">
        <v>545</v>
      </c>
      <c r="F2893" s="213">
        <v>3</v>
      </c>
      <c r="G2893" s="213">
        <v>41.58</v>
      </c>
      <c r="H2893" s="195">
        <v>124.74</v>
      </c>
      <c r="I2893" s="212" t="s">
        <v>2354</v>
      </c>
    </row>
    <row r="2894" spans="1:9" x14ac:dyDescent="0.25">
      <c r="A2894" s="218" t="s">
        <v>220</v>
      </c>
      <c r="B2894" s="218" t="s">
        <v>2351</v>
      </c>
      <c r="C2894" s="219" t="s">
        <v>2572</v>
      </c>
      <c r="D2894" s="212" t="s">
        <v>2573</v>
      </c>
      <c r="E2894" s="212" t="s">
        <v>545</v>
      </c>
      <c r="F2894" s="213">
        <v>1</v>
      </c>
      <c r="G2894" s="213">
        <v>125.27179599999999</v>
      </c>
      <c r="H2894" s="195">
        <v>125.27179599999999</v>
      </c>
      <c r="I2894" s="212" t="s">
        <v>2354</v>
      </c>
    </row>
    <row r="2895" spans="1:9" x14ac:dyDescent="0.25">
      <c r="A2895" s="218" t="s">
        <v>220</v>
      </c>
      <c r="B2895" s="218" t="s">
        <v>2351</v>
      </c>
      <c r="C2895" s="219" t="s">
        <v>3655</v>
      </c>
      <c r="D2895" s="212" t="s">
        <v>3656</v>
      </c>
      <c r="E2895" s="212" t="s">
        <v>545</v>
      </c>
      <c r="F2895" s="213">
        <v>35</v>
      </c>
      <c r="G2895" s="213">
        <v>3.6</v>
      </c>
      <c r="H2895" s="195">
        <v>126</v>
      </c>
      <c r="I2895" s="212" t="s">
        <v>2354</v>
      </c>
    </row>
    <row r="2896" spans="1:9" x14ac:dyDescent="0.25">
      <c r="A2896" s="218" t="s">
        <v>220</v>
      </c>
      <c r="B2896" s="218" t="s">
        <v>5430</v>
      </c>
      <c r="C2896" s="219" t="s">
        <v>6411</v>
      </c>
      <c r="D2896" s="212" t="s">
        <v>6412</v>
      </c>
      <c r="E2896" s="212" t="s">
        <v>545</v>
      </c>
      <c r="F2896" s="213">
        <v>5</v>
      </c>
      <c r="G2896" s="213">
        <v>25.2</v>
      </c>
      <c r="H2896" s="195">
        <v>126</v>
      </c>
      <c r="I2896" s="212" t="s">
        <v>2354</v>
      </c>
    </row>
    <row r="2897" spans="1:9" x14ac:dyDescent="0.25">
      <c r="A2897" s="218" t="s">
        <v>220</v>
      </c>
      <c r="B2897" s="218" t="s">
        <v>2351</v>
      </c>
      <c r="C2897" s="219" t="s">
        <v>3451</v>
      </c>
      <c r="D2897" s="212" t="s">
        <v>3452</v>
      </c>
      <c r="E2897" s="212" t="s">
        <v>2387</v>
      </c>
      <c r="F2897" s="213">
        <v>9</v>
      </c>
      <c r="G2897" s="213">
        <v>14.076000000000001</v>
      </c>
      <c r="H2897" s="195">
        <v>126.684</v>
      </c>
      <c r="I2897" s="212" t="s">
        <v>2354</v>
      </c>
    </row>
    <row r="2898" spans="1:9" x14ac:dyDescent="0.25">
      <c r="A2898" s="218" t="s">
        <v>220</v>
      </c>
      <c r="B2898" s="218" t="s">
        <v>2351</v>
      </c>
      <c r="C2898" s="219" t="s">
        <v>3927</v>
      </c>
      <c r="D2898" s="212" t="s">
        <v>3928</v>
      </c>
      <c r="E2898" s="212" t="s">
        <v>545</v>
      </c>
      <c r="F2898" s="213">
        <v>2</v>
      </c>
      <c r="G2898" s="213">
        <v>63.58</v>
      </c>
      <c r="H2898" s="195">
        <v>127.16</v>
      </c>
      <c r="I2898" s="212" t="s">
        <v>2354</v>
      </c>
    </row>
    <row r="2899" spans="1:9" x14ac:dyDescent="0.25">
      <c r="A2899" s="218" t="s">
        <v>220</v>
      </c>
      <c r="B2899" s="218" t="s">
        <v>2351</v>
      </c>
      <c r="C2899" s="219" t="s">
        <v>2433</v>
      </c>
      <c r="D2899" s="212" t="s">
        <v>2434</v>
      </c>
      <c r="E2899" s="212" t="s">
        <v>545</v>
      </c>
      <c r="F2899" s="213">
        <v>23</v>
      </c>
      <c r="G2899" s="213">
        <v>5.5419999999999998</v>
      </c>
      <c r="H2899" s="195">
        <v>127.46599999999999</v>
      </c>
      <c r="I2899" s="212" t="s">
        <v>2354</v>
      </c>
    </row>
    <row r="2900" spans="1:9" x14ac:dyDescent="0.25">
      <c r="A2900" s="218" t="s">
        <v>220</v>
      </c>
      <c r="B2900" s="218" t="s">
        <v>2351</v>
      </c>
      <c r="C2900" s="219" t="s">
        <v>4696</v>
      </c>
      <c r="D2900" s="212" t="s">
        <v>4697</v>
      </c>
      <c r="E2900" s="212" t="s">
        <v>545</v>
      </c>
      <c r="F2900" s="213">
        <v>122</v>
      </c>
      <c r="G2900" s="213">
        <v>1.0529999999999999</v>
      </c>
      <c r="H2900" s="195">
        <v>128.46599999999998</v>
      </c>
      <c r="I2900" s="212" t="s">
        <v>2354</v>
      </c>
    </row>
    <row r="2901" spans="1:9" x14ac:dyDescent="0.25">
      <c r="A2901" s="218" t="s">
        <v>220</v>
      </c>
      <c r="B2901" s="218" t="s">
        <v>2351</v>
      </c>
      <c r="C2901" s="219" t="s">
        <v>4913</v>
      </c>
      <c r="D2901" s="212" t="s">
        <v>4914</v>
      </c>
      <c r="E2901" s="212" t="s">
        <v>545</v>
      </c>
      <c r="F2901" s="213">
        <v>120</v>
      </c>
      <c r="G2901" s="213">
        <v>1.071</v>
      </c>
      <c r="H2901" s="195">
        <v>128.51999999999998</v>
      </c>
      <c r="I2901" s="212" t="s">
        <v>2354</v>
      </c>
    </row>
    <row r="2902" spans="1:9" x14ac:dyDescent="0.25">
      <c r="A2902" s="218" t="s">
        <v>220</v>
      </c>
      <c r="B2902" s="218" t="s">
        <v>5430</v>
      </c>
      <c r="C2902" s="219" t="s">
        <v>6192</v>
      </c>
      <c r="D2902" s="212" t="s">
        <v>6193</v>
      </c>
      <c r="E2902" s="212" t="s">
        <v>545</v>
      </c>
      <c r="F2902" s="213">
        <v>2</v>
      </c>
      <c r="G2902" s="213">
        <v>64.346999999999994</v>
      </c>
      <c r="H2902" s="195">
        <v>128.69399999999999</v>
      </c>
      <c r="I2902" s="212" t="s">
        <v>2354</v>
      </c>
    </row>
    <row r="2903" spans="1:9" x14ac:dyDescent="0.25">
      <c r="A2903" s="218" t="s">
        <v>220</v>
      </c>
      <c r="B2903" s="218" t="s">
        <v>5430</v>
      </c>
      <c r="C2903" s="219" t="s">
        <v>6202</v>
      </c>
      <c r="D2903" s="212" t="s">
        <v>6203</v>
      </c>
      <c r="E2903" s="212" t="s">
        <v>545</v>
      </c>
      <c r="F2903" s="213">
        <v>2</v>
      </c>
      <c r="G2903" s="213">
        <v>64.346999999999994</v>
      </c>
      <c r="H2903" s="195">
        <v>128.69399999999999</v>
      </c>
      <c r="I2903" s="212" t="s">
        <v>2354</v>
      </c>
    </row>
    <row r="2904" spans="1:9" x14ac:dyDescent="0.25">
      <c r="A2904" s="218" t="s">
        <v>220</v>
      </c>
      <c r="B2904" s="218" t="s">
        <v>2351</v>
      </c>
      <c r="C2904" s="219" t="s">
        <v>2970</v>
      </c>
      <c r="D2904" s="212" t="s">
        <v>2971</v>
      </c>
      <c r="E2904" s="212" t="s">
        <v>545</v>
      </c>
      <c r="F2904" s="213">
        <v>9</v>
      </c>
      <c r="G2904" s="213">
        <v>14.31</v>
      </c>
      <c r="H2904" s="195">
        <v>128.79</v>
      </c>
      <c r="I2904" s="212" t="s">
        <v>2354</v>
      </c>
    </row>
    <row r="2905" spans="1:9" x14ac:dyDescent="0.25">
      <c r="A2905" s="218" t="s">
        <v>220</v>
      </c>
      <c r="B2905" s="218" t="s">
        <v>5430</v>
      </c>
      <c r="C2905" s="219" t="s">
        <v>6270</v>
      </c>
      <c r="D2905" s="212" t="s">
        <v>6271</v>
      </c>
      <c r="E2905" s="212" t="s">
        <v>1894</v>
      </c>
      <c r="F2905" s="213">
        <v>15</v>
      </c>
      <c r="G2905" s="213">
        <v>8.5922999999999998</v>
      </c>
      <c r="H2905" s="195">
        <v>128.8845</v>
      </c>
      <c r="I2905" s="212" t="s">
        <v>2354</v>
      </c>
    </row>
    <row r="2906" spans="1:9" x14ac:dyDescent="0.25">
      <c r="A2906" s="218" t="s">
        <v>220</v>
      </c>
      <c r="B2906" s="218" t="s">
        <v>5430</v>
      </c>
      <c r="C2906" s="219" t="s">
        <v>6728</v>
      </c>
      <c r="D2906" s="212" t="s">
        <v>6729</v>
      </c>
      <c r="E2906" s="212" t="s">
        <v>545</v>
      </c>
      <c r="F2906" s="213">
        <v>6</v>
      </c>
      <c r="G2906" s="213">
        <v>21.5154</v>
      </c>
      <c r="H2906" s="195">
        <v>129.0924</v>
      </c>
      <c r="I2906" s="212" t="s">
        <v>2354</v>
      </c>
    </row>
    <row r="2907" spans="1:9" x14ac:dyDescent="0.25">
      <c r="A2907" s="218" t="s">
        <v>220</v>
      </c>
      <c r="B2907" s="218" t="s">
        <v>5430</v>
      </c>
      <c r="C2907" s="219" t="s">
        <v>6632</v>
      </c>
      <c r="D2907" s="212" t="s">
        <v>6633</v>
      </c>
      <c r="E2907" s="212" t="s">
        <v>545</v>
      </c>
      <c r="F2907" s="213">
        <v>5</v>
      </c>
      <c r="G2907" s="213">
        <v>25.83</v>
      </c>
      <c r="H2907" s="195">
        <v>129.14999999999998</v>
      </c>
      <c r="I2907" s="212" t="s">
        <v>2354</v>
      </c>
    </row>
    <row r="2908" spans="1:9" x14ac:dyDescent="0.25">
      <c r="A2908" s="218" t="s">
        <v>220</v>
      </c>
      <c r="B2908" s="218" t="s">
        <v>2351</v>
      </c>
      <c r="C2908" s="219" t="s">
        <v>3054</v>
      </c>
      <c r="D2908" s="212" t="s">
        <v>3055</v>
      </c>
      <c r="E2908" s="212" t="s">
        <v>545</v>
      </c>
      <c r="F2908" s="213">
        <v>4</v>
      </c>
      <c r="G2908" s="213">
        <v>32.31</v>
      </c>
      <c r="H2908" s="195">
        <v>129.24</v>
      </c>
      <c r="I2908" s="212" t="s">
        <v>2354</v>
      </c>
    </row>
    <row r="2909" spans="1:9" x14ac:dyDescent="0.25">
      <c r="A2909" s="218" t="s">
        <v>220</v>
      </c>
      <c r="B2909" s="218" t="s">
        <v>5430</v>
      </c>
      <c r="C2909" s="219" t="s">
        <v>5973</v>
      </c>
      <c r="D2909" s="212" t="s">
        <v>5974</v>
      </c>
      <c r="E2909" s="212" t="s">
        <v>545</v>
      </c>
      <c r="F2909" s="213">
        <v>3</v>
      </c>
      <c r="G2909" s="213">
        <v>43.100099999999998</v>
      </c>
      <c r="H2909" s="195">
        <v>129.30029999999999</v>
      </c>
      <c r="I2909" s="212" t="s">
        <v>2354</v>
      </c>
    </row>
    <row r="2910" spans="1:9" x14ac:dyDescent="0.25">
      <c r="A2910" s="218" t="s">
        <v>220</v>
      </c>
      <c r="B2910" s="218" t="s">
        <v>5430</v>
      </c>
      <c r="C2910" s="219" t="s">
        <v>2724</v>
      </c>
      <c r="D2910" s="212" t="s">
        <v>2725</v>
      </c>
      <c r="E2910" s="212" t="s">
        <v>7558</v>
      </c>
      <c r="F2910" s="213">
        <v>5</v>
      </c>
      <c r="G2910" s="213">
        <v>25.861049999999999</v>
      </c>
      <c r="H2910" s="195">
        <v>129.30525</v>
      </c>
      <c r="I2910" s="212" t="s">
        <v>2354</v>
      </c>
    </row>
    <row r="2911" spans="1:9" x14ac:dyDescent="0.25">
      <c r="A2911" s="218" t="s">
        <v>220</v>
      </c>
      <c r="B2911" s="218" t="s">
        <v>2351</v>
      </c>
      <c r="C2911" s="219" t="s">
        <v>4251</v>
      </c>
      <c r="D2911" s="212" t="s">
        <v>4252</v>
      </c>
      <c r="E2911" s="212" t="s">
        <v>545</v>
      </c>
      <c r="F2911" s="213">
        <v>12</v>
      </c>
      <c r="G2911" s="213">
        <v>10.78735</v>
      </c>
      <c r="H2911" s="195">
        <v>129.44819999999999</v>
      </c>
      <c r="I2911" s="212" t="s">
        <v>2354</v>
      </c>
    </row>
    <row r="2912" spans="1:9" x14ac:dyDescent="0.25">
      <c r="A2912" s="218" t="s">
        <v>220</v>
      </c>
      <c r="B2912" s="218" t="s">
        <v>2351</v>
      </c>
      <c r="C2912" s="219" t="s">
        <v>4875</v>
      </c>
      <c r="D2912" s="212" t="s">
        <v>4876</v>
      </c>
      <c r="E2912" s="212" t="s">
        <v>545</v>
      </c>
      <c r="F2912" s="213">
        <v>120</v>
      </c>
      <c r="G2912" s="213">
        <v>1.078997948051948</v>
      </c>
      <c r="H2912" s="195">
        <v>129.47975376623376</v>
      </c>
      <c r="I2912" s="212" t="s">
        <v>2354</v>
      </c>
    </row>
    <row r="2913" spans="1:9" x14ac:dyDescent="0.25">
      <c r="A2913" s="218" t="s">
        <v>220</v>
      </c>
      <c r="B2913" s="218" t="s">
        <v>2351</v>
      </c>
      <c r="C2913" s="219" t="s">
        <v>3819</v>
      </c>
      <c r="D2913" s="212" t="s">
        <v>3820</v>
      </c>
      <c r="E2913" s="212" t="s">
        <v>545</v>
      </c>
      <c r="F2913" s="213">
        <v>1</v>
      </c>
      <c r="G2913" s="213">
        <v>129.67784999999998</v>
      </c>
      <c r="H2913" s="195">
        <v>129.67784999999998</v>
      </c>
      <c r="I2913" s="212" t="s">
        <v>2354</v>
      </c>
    </row>
    <row r="2914" spans="1:9" x14ac:dyDescent="0.25">
      <c r="A2914" s="218" t="s">
        <v>220</v>
      </c>
      <c r="B2914" s="218" t="s">
        <v>5430</v>
      </c>
      <c r="C2914" s="219" t="s">
        <v>6004</v>
      </c>
      <c r="D2914" s="212" t="s">
        <v>6005</v>
      </c>
      <c r="E2914" s="212" t="s">
        <v>545</v>
      </c>
      <c r="F2914" s="213">
        <v>6</v>
      </c>
      <c r="G2914" s="213">
        <v>21.613129646697388</v>
      </c>
      <c r="H2914" s="195">
        <v>129.67877788018433</v>
      </c>
      <c r="I2914" s="212" t="s">
        <v>2354</v>
      </c>
    </row>
    <row r="2915" spans="1:9" x14ac:dyDescent="0.25">
      <c r="A2915" s="218" t="s">
        <v>220</v>
      </c>
      <c r="B2915" s="218" t="s">
        <v>5430</v>
      </c>
      <c r="C2915" s="219" t="s">
        <v>5747</v>
      </c>
      <c r="D2915" s="212" t="s">
        <v>5748</v>
      </c>
      <c r="E2915" s="212" t="s">
        <v>545</v>
      </c>
      <c r="F2915" s="213">
        <v>1</v>
      </c>
      <c r="G2915" s="213">
        <v>130.05000000000001</v>
      </c>
      <c r="H2915" s="195">
        <v>130.05000000000001</v>
      </c>
      <c r="I2915" s="212" t="s">
        <v>2354</v>
      </c>
    </row>
    <row r="2916" spans="1:9" x14ac:dyDescent="0.25">
      <c r="A2916" s="218" t="s">
        <v>220</v>
      </c>
      <c r="B2916" s="218" t="s">
        <v>5430</v>
      </c>
      <c r="C2916" s="219" t="s">
        <v>6617</v>
      </c>
      <c r="D2916" s="212" t="s">
        <v>6618</v>
      </c>
      <c r="E2916" s="212" t="s">
        <v>2387</v>
      </c>
      <c r="F2916" s="213">
        <v>6</v>
      </c>
      <c r="G2916" s="213">
        <v>21.675000000000001</v>
      </c>
      <c r="H2916" s="195">
        <v>130.05000000000001</v>
      </c>
      <c r="I2916" s="212" t="s">
        <v>2354</v>
      </c>
    </row>
    <row r="2917" spans="1:9" x14ac:dyDescent="0.25">
      <c r="A2917" s="218" t="s">
        <v>220</v>
      </c>
      <c r="B2917" s="218" t="s">
        <v>5430</v>
      </c>
      <c r="C2917" s="219" t="s">
        <v>5689</v>
      </c>
      <c r="D2917" s="212" t="s">
        <v>5690</v>
      </c>
      <c r="E2917" s="212" t="s">
        <v>545</v>
      </c>
      <c r="F2917" s="213">
        <v>5</v>
      </c>
      <c r="G2917" s="213">
        <v>26.079000000000001</v>
      </c>
      <c r="H2917" s="195">
        <v>130.39500000000001</v>
      </c>
      <c r="I2917" s="212" t="s">
        <v>2354</v>
      </c>
    </row>
    <row r="2918" spans="1:9" x14ac:dyDescent="0.25">
      <c r="A2918" s="218" t="s">
        <v>220</v>
      </c>
      <c r="B2918" s="218" t="s">
        <v>5430</v>
      </c>
      <c r="C2918" s="219" t="s">
        <v>5684</v>
      </c>
      <c r="D2918" s="212" t="s">
        <v>5685</v>
      </c>
      <c r="E2918" s="212" t="s">
        <v>7558</v>
      </c>
      <c r="F2918" s="213">
        <v>5</v>
      </c>
      <c r="G2918" s="213">
        <v>26.1</v>
      </c>
      <c r="H2918" s="195">
        <v>130.5</v>
      </c>
      <c r="I2918" s="212" t="s">
        <v>2354</v>
      </c>
    </row>
    <row r="2919" spans="1:9" x14ac:dyDescent="0.25">
      <c r="A2919" s="218" t="s">
        <v>220</v>
      </c>
      <c r="B2919" s="218" t="s">
        <v>2351</v>
      </c>
      <c r="C2919" s="219" t="s">
        <v>3987</v>
      </c>
      <c r="D2919" s="212" t="s">
        <v>3988</v>
      </c>
      <c r="E2919" s="212" t="s">
        <v>545</v>
      </c>
      <c r="F2919" s="213">
        <v>32</v>
      </c>
      <c r="G2919" s="213">
        <v>4.0857700000000001</v>
      </c>
      <c r="H2919" s="195">
        <v>130.74464</v>
      </c>
      <c r="I2919" s="212" t="s">
        <v>2354</v>
      </c>
    </row>
    <row r="2920" spans="1:9" x14ac:dyDescent="0.25">
      <c r="A2920" s="218" t="s">
        <v>220</v>
      </c>
      <c r="B2920" s="218" t="s">
        <v>5430</v>
      </c>
      <c r="C2920" s="219" t="s">
        <v>6174</v>
      </c>
      <c r="D2920" s="212" t="s">
        <v>6175</v>
      </c>
      <c r="E2920" s="212" t="s">
        <v>545</v>
      </c>
      <c r="F2920" s="213">
        <v>1</v>
      </c>
      <c r="G2920" s="213">
        <v>131.12100000000001</v>
      </c>
      <c r="H2920" s="195">
        <v>131.12100000000001</v>
      </c>
      <c r="I2920" s="212" t="s">
        <v>2354</v>
      </c>
    </row>
    <row r="2921" spans="1:9" x14ac:dyDescent="0.25">
      <c r="A2921" s="218" t="s">
        <v>220</v>
      </c>
      <c r="B2921" s="218" t="s">
        <v>2351</v>
      </c>
      <c r="C2921" s="219" t="s">
        <v>4698</v>
      </c>
      <c r="D2921" s="212" t="s">
        <v>4699</v>
      </c>
      <c r="E2921" s="212" t="s">
        <v>545</v>
      </c>
      <c r="F2921" s="213">
        <v>132</v>
      </c>
      <c r="G2921" s="213">
        <v>0.998</v>
      </c>
      <c r="H2921" s="195">
        <v>131.73599999999999</v>
      </c>
      <c r="I2921" s="212" t="s">
        <v>2354</v>
      </c>
    </row>
    <row r="2922" spans="1:9" x14ac:dyDescent="0.25">
      <c r="A2922" s="218" t="s">
        <v>220</v>
      </c>
      <c r="B2922" s="218" t="s">
        <v>2351</v>
      </c>
      <c r="C2922" s="219" t="s">
        <v>3553</v>
      </c>
      <c r="D2922" s="212" t="s">
        <v>3554</v>
      </c>
      <c r="E2922" s="212" t="s">
        <v>545</v>
      </c>
      <c r="F2922" s="213">
        <v>40</v>
      </c>
      <c r="G2922" s="213">
        <v>3.298</v>
      </c>
      <c r="H2922" s="195">
        <v>131.92000000000002</v>
      </c>
      <c r="I2922" s="212" t="s">
        <v>2354</v>
      </c>
    </row>
    <row r="2923" spans="1:9" x14ac:dyDescent="0.25">
      <c r="A2923" s="218" t="s">
        <v>220</v>
      </c>
      <c r="B2923" s="218" t="s">
        <v>2351</v>
      </c>
      <c r="C2923" s="219" t="s">
        <v>3425</v>
      </c>
      <c r="D2923" s="212" t="s">
        <v>3426</v>
      </c>
      <c r="E2923" s="212" t="s">
        <v>545</v>
      </c>
      <c r="F2923" s="213">
        <v>1</v>
      </c>
      <c r="G2923" s="213">
        <v>133.62</v>
      </c>
      <c r="H2923" s="195">
        <v>133.62</v>
      </c>
      <c r="I2923" s="212" t="s">
        <v>2354</v>
      </c>
    </row>
    <row r="2924" spans="1:9" x14ac:dyDescent="0.25">
      <c r="A2924" s="218" t="s">
        <v>220</v>
      </c>
      <c r="B2924" s="218" t="s">
        <v>5430</v>
      </c>
      <c r="C2924" s="219" t="s">
        <v>3265</v>
      </c>
      <c r="D2924" s="212" t="s">
        <v>3266</v>
      </c>
      <c r="E2924" s="212" t="s">
        <v>545</v>
      </c>
      <c r="F2924" s="213">
        <v>3</v>
      </c>
      <c r="G2924" s="213">
        <v>44.594999999999999</v>
      </c>
      <c r="H2924" s="195">
        <v>133.785</v>
      </c>
      <c r="I2924" s="212" t="s">
        <v>2354</v>
      </c>
    </row>
    <row r="2925" spans="1:9" x14ac:dyDescent="0.25">
      <c r="A2925" s="218" t="s">
        <v>220</v>
      </c>
      <c r="B2925" s="218" t="s">
        <v>5430</v>
      </c>
      <c r="C2925" s="219" t="s">
        <v>6751</v>
      </c>
      <c r="D2925" s="212" t="s">
        <v>6752</v>
      </c>
      <c r="E2925" s="212" t="s">
        <v>545</v>
      </c>
      <c r="F2925" s="213">
        <v>9</v>
      </c>
      <c r="G2925" s="213">
        <v>14.903100000000002</v>
      </c>
      <c r="H2925" s="195">
        <v>134.12790000000001</v>
      </c>
      <c r="I2925" s="212" t="s">
        <v>2354</v>
      </c>
    </row>
    <row r="2926" spans="1:9" x14ac:dyDescent="0.25">
      <c r="A2926" s="218" t="s">
        <v>220</v>
      </c>
      <c r="B2926" s="218" t="s">
        <v>5430</v>
      </c>
      <c r="C2926" s="219" t="s">
        <v>3571</v>
      </c>
      <c r="D2926" s="212" t="s">
        <v>3572</v>
      </c>
      <c r="E2926" s="212" t="s">
        <v>545</v>
      </c>
      <c r="F2926" s="213">
        <v>10</v>
      </c>
      <c r="G2926" s="213">
        <v>13.428499999999998</v>
      </c>
      <c r="H2926" s="195">
        <v>134.28499999999997</v>
      </c>
      <c r="I2926" s="212" t="s">
        <v>2354</v>
      </c>
    </row>
    <row r="2927" spans="1:9" x14ac:dyDescent="0.25">
      <c r="A2927" s="218" t="s">
        <v>220</v>
      </c>
      <c r="B2927" s="218" t="s">
        <v>5430</v>
      </c>
      <c r="C2927" s="219" t="s">
        <v>6160</v>
      </c>
      <c r="D2927" s="212" t="s">
        <v>6161</v>
      </c>
      <c r="E2927" s="212" t="s">
        <v>545</v>
      </c>
      <c r="F2927" s="213">
        <v>2</v>
      </c>
      <c r="G2927" s="213">
        <v>67.177800000000005</v>
      </c>
      <c r="H2927" s="195">
        <v>134.35560000000001</v>
      </c>
      <c r="I2927" s="212" t="s">
        <v>2354</v>
      </c>
    </row>
    <row r="2928" spans="1:9" x14ac:dyDescent="0.25">
      <c r="A2928" s="218" t="s">
        <v>220</v>
      </c>
      <c r="B2928" s="218" t="s">
        <v>5430</v>
      </c>
      <c r="C2928" s="219" t="s">
        <v>6865</v>
      </c>
      <c r="D2928" s="212" t="s">
        <v>4196</v>
      </c>
      <c r="E2928" s="212" t="s">
        <v>2387</v>
      </c>
      <c r="F2928" s="213">
        <v>25</v>
      </c>
      <c r="G2928" s="213">
        <v>5.3904857142857141</v>
      </c>
      <c r="H2928" s="195">
        <v>134.76214285714286</v>
      </c>
      <c r="I2928" s="212" t="s">
        <v>2354</v>
      </c>
    </row>
    <row r="2929" spans="1:9" x14ac:dyDescent="0.25">
      <c r="A2929" s="218" t="s">
        <v>220</v>
      </c>
      <c r="B2929" s="218" t="s">
        <v>2351</v>
      </c>
      <c r="C2929" s="219" t="s">
        <v>4083</v>
      </c>
      <c r="D2929" s="212" t="s">
        <v>4084</v>
      </c>
      <c r="E2929" s="212" t="s">
        <v>545</v>
      </c>
      <c r="F2929" s="213">
        <v>2</v>
      </c>
      <c r="G2929" s="213">
        <v>67.41</v>
      </c>
      <c r="H2929" s="195">
        <v>134.82</v>
      </c>
      <c r="I2929" s="212" t="s">
        <v>2354</v>
      </c>
    </row>
    <row r="2930" spans="1:9" x14ac:dyDescent="0.25">
      <c r="A2930" s="218" t="s">
        <v>220</v>
      </c>
      <c r="B2930" s="218" t="s">
        <v>2351</v>
      </c>
      <c r="C2930" s="219" t="s">
        <v>4550</v>
      </c>
      <c r="D2930" s="212" t="s">
        <v>4551</v>
      </c>
      <c r="E2930" s="212" t="s">
        <v>545</v>
      </c>
      <c r="F2930" s="213">
        <v>12</v>
      </c>
      <c r="G2930" s="213">
        <v>11.237</v>
      </c>
      <c r="H2930" s="195">
        <v>134.84399999999999</v>
      </c>
      <c r="I2930" s="212" t="s">
        <v>2354</v>
      </c>
    </row>
    <row r="2931" spans="1:9" x14ac:dyDescent="0.25">
      <c r="A2931" s="218" t="s">
        <v>220</v>
      </c>
      <c r="B2931" s="218" t="s">
        <v>2351</v>
      </c>
      <c r="C2931" s="219" t="s">
        <v>3609</v>
      </c>
      <c r="D2931" s="212" t="s">
        <v>3610</v>
      </c>
      <c r="E2931" s="212" t="s">
        <v>545</v>
      </c>
      <c r="F2931" s="213">
        <v>18</v>
      </c>
      <c r="G2931" s="213">
        <v>7.4969999999999999</v>
      </c>
      <c r="H2931" s="195">
        <v>134.946</v>
      </c>
      <c r="I2931" s="212" t="s">
        <v>2354</v>
      </c>
    </row>
    <row r="2932" spans="1:9" x14ac:dyDescent="0.25">
      <c r="A2932" s="218" t="s">
        <v>220</v>
      </c>
      <c r="B2932" s="218" t="s">
        <v>2351</v>
      </c>
      <c r="C2932" s="219" t="s">
        <v>2720</v>
      </c>
      <c r="D2932" s="212" t="s">
        <v>2721</v>
      </c>
      <c r="E2932" s="212" t="s">
        <v>7558</v>
      </c>
      <c r="F2932" s="213">
        <v>5</v>
      </c>
      <c r="G2932" s="213">
        <v>27</v>
      </c>
      <c r="H2932" s="195">
        <v>135</v>
      </c>
      <c r="I2932" s="212" t="s">
        <v>2354</v>
      </c>
    </row>
    <row r="2933" spans="1:9" x14ac:dyDescent="0.25">
      <c r="A2933" s="218" t="s">
        <v>220</v>
      </c>
      <c r="B2933" s="218" t="s">
        <v>5430</v>
      </c>
      <c r="C2933" s="219" t="s">
        <v>5686</v>
      </c>
      <c r="D2933" s="212" t="s">
        <v>2721</v>
      </c>
      <c r="E2933" s="212" t="s">
        <v>7558</v>
      </c>
      <c r="F2933" s="213">
        <v>5</v>
      </c>
      <c r="G2933" s="213">
        <v>27</v>
      </c>
      <c r="H2933" s="195">
        <v>135</v>
      </c>
      <c r="I2933" s="212" t="s">
        <v>2354</v>
      </c>
    </row>
    <row r="2934" spans="1:9" x14ac:dyDescent="0.25">
      <c r="A2934" s="218" t="s">
        <v>220</v>
      </c>
      <c r="B2934" s="218" t="s">
        <v>2351</v>
      </c>
      <c r="C2934" s="219" t="s">
        <v>4670</v>
      </c>
      <c r="D2934" s="212" t="s">
        <v>4671</v>
      </c>
      <c r="E2934" s="212" t="s">
        <v>545</v>
      </c>
      <c r="F2934" s="213">
        <v>280</v>
      </c>
      <c r="G2934" s="213">
        <v>0.48299999999999998</v>
      </c>
      <c r="H2934" s="195">
        <v>135.24</v>
      </c>
      <c r="I2934" s="212" t="s">
        <v>2354</v>
      </c>
    </row>
    <row r="2935" spans="1:9" x14ac:dyDescent="0.25">
      <c r="A2935" s="218" t="s">
        <v>220</v>
      </c>
      <c r="B2935" s="218" t="s">
        <v>5430</v>
      </c>
      <c r="C2935" s="219" t="s">
        <v>5735</v>
      </c>
      <c r="D2935" s="212" t="s">
        <v>5736</v>
      </c>
      <c r="E2935" s="212" t="s">
        <v>545</v>
      </c>
      <c r="F2935" s="213">
        <v>1</v>
      </c>
      <c r="G2935" s="213">
        <v>135.33029999999999</v>
      </c>
      <c r="H2935" s="195">
        <v>135.33029999999999</v>
      </c>
      <c r="I2935" s="212" t="s">
        <v>2354</v>
      </c>
    </row>
    <row r="2936" spans="1:9" x14ac:dyDescent="0.25">
      <c r="A2936" s="218" t="s">
        <v>220</v>
      </c>
      <c r="B2936" s="218" t="s">
        <v>2351</v>
      </c>
      <c r="C2936" s="219" t="s">
        <v>3597</v>
      </c>
      <c r="D2936" s="212" t="s">
        <v>3598</v>
      </c>
      <c r="E2936" s="212" t="s">
        <v>545</v>
      </c>
      <c r="F2936" s="213">
        <v>44</v>
      </c>
      <c r="G2936" s="213">
        <v>3.077</v>
      </c>
      <c r="H2936" s="195">
        <v>135.38800000000001</v>
      </c>
      <c r="I2936" s="212" t="s">
        <v>2354</v>
      </c>
    </row>
    <row r="2937" spans="1:9" x14ac:dyDescent="0.25">
      <c r="A2937" s="218" t="s">
        <v>220</v>
      </c>
      <c r="B2937" s="218" t="s">
        <v>2351</v>
      </c>
      <c r="C2937" s="219" t="s">
        <v>4915</v>
      </c>
      <c r="D2937" s="212" t="s">
        <v>4916</v>
      </c>
      <c r="E2937" s="212" t="s">
        <v>545</v>
      </c>
      <c r="F2937" s="213">
        <v>86</v>
      </c>
      <c r="G2937" s="213">
        <v>1.5776000000000001</v>
      </c>
      <c r="H2937" s="195">
        <v>135.67360000000002</v>
      </c>
      <c r="I2937" s="212" t="s">
        <v>2354</v>
      </c>
    </row>
    <row r="2938" spans="1:9" x14ac:dyDescent="0.25">
      <c r="A2938" s="218" t="s">
        <v>220</v>
      </c>
      <c r="B2938" s="218" t="s">
        <v>2351</v>
      </c>
      <c r="C2938" s="219" t="s">
        <v>3673</v>
      </c>
      <c r="D2938" s="212" t="s">
        <v>3674</v>
      </c>
      <c r="E2938" s="212" t="s">
        <v>545</v>
      </c>
      <c r="F2938" s="213">
        <v>12</v>
      </c>
      <c r="G2938" s="213">
        <v>11.33095</v>
      </c>
      <c r="H2938" s="195">
        <v>135.97139999999999</v>
      </c>
      <c r="I2938" s="212" t="s">
        <v>2354</v>
      </c>
    </row>
    <row r="2939" spans="1:9" x14ac:dyDescent="0.25">
      <c r="A2939" s="218" t="s">
        <v>220</v>
      </c>
      <c r="B2939" s="218" t="s">
        <v>5430</v>
      </c>
      <c r="C2939" s="219" t="s">
        <v>7057</v>
      </c>
      <c r="D2939" s="212" t="s">
        <v>7058</v>
      </c>
      <c r="E2939" s="212" t="s">
        <v>7560</v>
      </c>
      <c r="F2939" s="213">
        <v>15</v>
      </c>
      <c r="G2939" s="213">
        <v>9.0818999999999992</v>
      </c>
      <c r="H2939" s="195">
        <v>136.2285</v>
      </c>
      <c r="I2939" s="212" t="s">
        <v>2354</v>
      </c>
    </row>
    <row r="2940" spans="1:9" x14ac:dyDescent="0.25">
      <c r="A2940" s="218" t="s">
        <v>220</v>
      </c>
      <c r="B2940" s="218" t="s">
        <v>2351</v>
      </c>
      <c r="C2940" s="219" t="s">
        <v>2528</v>
      </c>
      <c r="D2940" s="212" t="s">
        <v>2529</v>
      </c>
      <c r="E2940" s="212" t="s">
        <v>545</v>
      </c>
      <c r="F2940" s="213">
        <v>8</v>
      </c>
      <c r="G2940" s="213">
        <v>17.052</v>
      </c>
      <c r="H2940" s="195">
        <v>136.416</v>
      </c>
      <c r="I2940" s="212" t="s">
        <v>2354</v>
      </c>
    </row>
    <row r="2941" spans="1:9" x14ac:dyDescent="0.25">
      <c r="A2941" s="218" t="s">
        <v>220</v>
      </c>
      <c r="B2941" s="218" t="s">
        <v>2351</v>
      </c>
      <c r="C2941" s="219" t="s">
        <v>3069</v>
      </c>
      <c r="D2941" s="212" t="s">
        <v>3070</v>
      </c>
      <c r="E2941" s="212" t="s">
        <v>545</v>
      </c>
      <c r="F2941" s="213">
        <v>2</v>
      </c>
      <c r="G2941" s="213">
        <v>68.31</v>
      </c>
      <c r="H2941" s="195">
        <v>136.62</v>
      </c>
      <c r="I2941" s="212" t="s">
        <v>2354</v>
      </c>
    </row>
    <row r="2942" spans="1:9" x14ac:dyDescent="0.25">
      <c r="A2942" s="218" t="s">
        <v>220</v>
      </c>
      <c r="B2942" s="218" t="s">
        <v>5430</v>
      </c>
      <c r="C2942" s="219" t="s">
        <v>4674</v>
      </c>
      <c r="D2942" s="212" t="s">
        <v>4675</v>
      </c>
      <c r="E2942" s="212" t="s">
        <v>545</v>
      </c>
      <c r="F2942" s="213">
        <v>90</v>
      </c>
      <c r="G2942" s="213">
        <v>1.5189999999999999</v>
      </c>
      <c r="H2942" s="195">
        <v>136.70999999999998</v>
      </c>
      <c r="I2942" s="212" t="s">
        <v>2354</v>
      </c>
    </row>
    <row r="2943" spans="1:9" x14ac:dyDescent="0.25">
      <c r="A2943" s="218" t="s">
        <v>220</v>
      </c>
      <c r="B2943" s="218" t="s">
        <v>2351</v>
      </c>
      <c r="C2943" s="219" t="s">
        <v>2776</v>
      </c>
      <c r="D2943" s="212" t="s">
        <v>2777</v>
      </c>
      <c r="E2943" s="212" t="s">
        <v>545</v>
      </c>
      <c r="F2943" s="213">
        <v>16</v>
      </c>
      <c r="G2943" s="213">
        <v>8.5500000000000007</v>
      </c>
      <c r="H2943" s="195">
        <v>136.80000000000001</v>
      </c>
      <c r="I2943" s="212" t="s">
        <v>2354</v>
      </c>
    </row>
    <row r="2944" spans="1:9" x14ac:dyDescent="0.25">
      <c r="A2944" s="218" t="s">
        <v>220</v>
      </c>
      <c r="B2944" s="218" t="s">
        <v>2351</v>
      </c>
      <c r="C2944" s="219" t="s">
        <v>3389</v>
      </c>
      <c r="D2944" s="212" t="s">
        <v>3390</v>
      </c>
      <c r="E2944" s="212" t="s">
        <v>545</v>
      </c>
      <c r="F2944" s="213">
        <v>2</v>
      </c>
      <c r="G2944" s="213">
        <v>68.424999999999997</v>
      </c>
      <c r="H2944" s="195">
        <v>136.85</v>
      </c>
      <c r="I2944" s="212" t="s">
        <v>2354</v>
      </c>
    </row>
    <row r="2945" spans="1:9" x14ac:dyDescent="0.25">
      <c r="A2945" s="218" t="s">
        <v>220</v>
      </c>
      <c r="B2945" s="218" t="s">
        <v>5430</v>
      </c>
      <c r="C2945" s="219" t="s">
        <v>3030</v>
      </c>
      <c r="D2945" s="212" t="s">
        <v>3031</v>
      </c>
      <c r="E2945" s="212" t="s">
        <v>545</v>
      </c>
      <c r="F2945" s="213">
        <v>9</v>
      </c>
      <c r="G2945" s="213">
        <v>15.205641046831957</v>
      </c>
      <c r="H2945" s="195">
        <v>136.8507694214876</v>
      </c>
      <c r="I2945" s="212" t="s">
        <v>2354</v>
      </c>
    </row>
    <row r="2946" spans="1:9" x14ac:dyDescent="0.25">
      <c r="A2946" s="218" t="s">
        <v>220</v>
      </c>
      <c r="B2946" s="218" t="s">
        <v>2351</v>
      </c>
      <c r="C2946" s="219" t="s">
        <v>3547</v>
      </c>
      <c r="D2946" s="212" t="s">
        <v>3548</v>
      </c>
      <c r="E2946" s="212" t="s">
        <v>545</v>
      </c>
      <c r="F2946" s="213">
        <v>36</v>
      </c>
      <c r="G2946" s="213">
        <v>3.8079999999999998</v>
      </c>
      <c r="H2946" s="195">
        <v>137.08799999999999</v>
      </c>
      <c r="I2946" s="212" t="s">
        <v>2354</v>
      </c>
    </row>
    <row r="2947" spans="1:9" x14ac:dyDescent="0.25">
      <c r="A2947" s="218" t="s">
        <v>220</v>
      </c>
      <c r="B2947" s="218" t="s">
        <v>2351</v>
      </c>
      <c r="C2947" s="219" t="s">
        <v>4121</v>
      </c>
      <c r="D2947" s="212" t="s">
        <v>4122</v>
      </c>
      <c r="E2947" s="212" t="s">
        <v>545</v>
      </c>
      <c r="F2947" s="213">
        <v>1</v>
      </c>
      <c r="G2947" s="213">
        <v>137.33535000000001</v>
      </c>
      <c r="H2947" s="195">
        <v>137.33535000000001</v>
      </c>
      <c r="I2947" s="212" t="s">
        <v>2354</v>
      </c>
    </row>
    <row r="2948" spans="1:9" x14ac:dyDescent="0.25">
      <c r="A2948" s="218" t="s">
        <v>220</v>
      </c>
      <c r="B2948" s="218" t="s">
        <v>2351</v>
      </c>
      <c r="C2948" s="219" t="s">
        <v>4105</v>
      </c>
      <c r="D2948" s="212" t="s">
        <v>4106</v>
      </c>
      <c r="E2948" s="212" t="s">
        <v>545</v>
      </c>
      <c r="F2948" s="213">
        <v>1</v>
      </c>
      <c r="G2948" s="213">
        <v>137.6</v>
      </c>
      <c r="H2948" s="195">
        <v>137.6</v>
      </c>
      <c r="I2948" s="212" t="s">
        <v>2354</v>
      </c>
    </row>
    <row r="2949" spans="1:9" x14ac:dyDescent="0.25">
      <c r="A2949" s="218" t="s">
        <v>220</v>
      </c>
      <c r="B2949" s="218" t="s">
        <v>2351</v>
      </c>
      <c r="C2949" s="219" t="s">
        <v>3457</v>
      </c>
      <c r="D2949" s="212" t="s">
        <v>3458</v>
      </c>
      <c r="E2949" s="212" t="s">
        <v>2387</v>
      </c>
      <c r="F2949" s="213">
        <v>120</v>
      </c>
      <c r="G2949" s="213">
        <v>1.1511</v>
      </c>
      <c r="H2949" s="195">
        <v>138.13200000000001</v>
      </c>
      <c r="I2949" s="212" t="s">
        <v>2354</v>
      </c>
    </row>
    <row r="2950" spans="1:9" x14ac:dyDescent="0.25">
      <c r="A2950" s="218" t="s">
        <v>220</v>
      </c>
      <c r="B2950" s="218" t="s">
        <v>5430</v>
      </c>
      <c r="C2950" s="219" t="s">
        <v>6623</v>
      </c>
      <c r="D2950" s="212" t="s">
        <v>6624</v>
      </c>
      <c r="E2950" s="212" t="s">
        <v>545</v>
      </c>
      <c r="F2950" s="213">
        <v>3</v>
      </c>
      <c r="G2950" s="213">
        <v>46.176200000000001</v>
      </c>
      <c r="H2950" s="195">
        <v>138.52860000000001</v>
      </c>
      <c r="I2950" s="212" t="s">
        <v>2354</v>
      </c>
    </row>
    <row r="2951" spans="1:9" x14ac:dyDescent="0.25">
      <c r="A2951" s="218" t="s">
        <v>220</v>
      </c>
      <c r="B2951" s="218" t="s">
        <v>5430</v>
      </c>
      <c r="C2951" s="219" t="s">
        <v>4201</v>
      </c>
      <c r="D2951" s="212" t="s">
        <v>4202</v>
      </c>
      <c r="E2951" s="212" t="s">
        <v>545</v>
      </c>
      <c r="F2951" s="213">
        <v>40</v>
      </c>
      <c r="G2951" s="213">
        <v>3.4649999999999999</v>
      </c>
      <c r="H2951" s="195">
        <v>138.6</v>
      </c>
      <c r="I2951" s="212" t="s">
        <v>2354</v>
      </c>
    </row>
    <row r="2952" spans="1:9" x14ac:dyDescent="0.25">
      <c r="A2952" s="218" t="s">
        <v>220</v>
      </c>
      <c r="B2952" s="218" t="s">
        <v>5430</v>
      </c>
      <c r="C2952" s="219" t="s">
        <v>6274</v>
      </c>
      <c r="D2952" s="212" t="s">
        <v>6275</v>
      </c>
      <c r="E2952" s="212" t="s">
        <v>535</v>
      </c>
      <c r="F2952" s="213">
        <v>2</v>
      </c>
      <c r="G2952" s="213">
        <v>69.417000000000002</v>
      </c>
      <c r="H2952" s="195">
        <v>138.834</v>
      </c>
      <c r="I2952" s="212" t="s">
        <v>2354</v>
      </c>
    </row>
    <row r="2953" spans="1:9" x14ac:dyDescent="0.25">
      <c r="A2953" s="218" t="s">
        <v>220</v>
      </c>
      <c r="B2953" s="218" t="s">
        <v>5430</v>
      </c>
      <c r="C2953" s="219" t="s">
        <v>5691</v>
      </c>
      <c r="D2953" s="212" t="s">
        <v>5692</v>
      </c>
      <c r="E2953" s="212" t="s">
        <v>545</v>
      </c>
      <c r="F2953" s="213">
        <v>3</v>
      </c>
      <c r="G2953" s="213">
        <v>46.35</v>
      </c>
      <c r="H2953" s="195">
        <v>139.05000000000001</v>
      </c>
      <c r="I2953" s="212" t="s">
        <v>2354</v>
      </c>
    </row>
    <row r="2954" spans="1:9" x14ac:dyDescent="0.25">
      <c r="A2954" s="218" t="s">
        <v>220</v>
      </c>
      <c r="B2954" s="218" t="s">
        <v>2351</v>
      </c>
      <c r="C2954" s="219" t="s">
        <v>3777</v>
      </c>
      <c r="D2954" s="212" t="s">
        <v>3778</v>
      </c>
      <c r="E2954" s="212" t="s">
        <v>545</v>
      </c>
      <c r="F2954" s="213">
        <v>10</v>
      </c>
      <c r="G2954" s="213">
        <v>13.922000000000001</v>
      </c>
      <c r="H2954" s="195">
        <v>139.22</v>
      </c>
      <c r="I2954" s="212" t="s">
        <v>2354</v>
      </c>
    </row>
    <row r="2955" spans="1:9" x14ac:dyDescent="0.25">
      <c r="A2955" s="218" t="s">
        <v>220</v>
      </c>
      <c r="B2955" s="218" t="s">
        <v>2351</v>
      </c>
      <c r="C2955" s="219" t="s">
        <v>5280</v>
      </c>
      <c r="D2955" s="212" t="s">
        <v>5281</v>
      </c>
      <c r="E2955" s="212" t="s">
        <v>545</v>
      </c>
      <c r="F2955" s="213">
        <v>20</v>
      </c>
      <c r="G2955" s="213">
        <v>7</v>
      </c>
      <c r="H2955" s="195">
        <v>140</v>
      </c>
      <c r="I2955" s="212" t="s">
        <v>2354</v>
      </c>
    </row>
    <row r="2956" spans="1:9" x14ac:dyDescent="0.25">
      <c r="A2956" s="218" t="s">
        <v>220</v>
      </c>
      <c r="B2956" s="218" t="s">
        <v>5430</v>
      </c>
      <c r="C2956" s="219" t="s">
        <v>7206</v>
      </c>
      <c r="D2956" s="212" t="s">
        <v>7207</v>
      </c>
      <c r="E2956" s="212" t="s">
        <v>545</v>
      </c>
      <c r="F2956" s="213">
        <v>50</v>
      </c>
      <c r="G2956" s="213">
        <v>2.8079999999999998</v>
      </c>
      <c r="H2956" s="195">
        <v>140.39999999999998</v>
      </c>
      <c r="I2956" s="212" t="s">
        <v>2354</v>
      </c>
    </row>
    <row r="2957" spans="1:9" x14ac:dyDescent="0.25">
      <c r="A2957" s="218" t="s">
        <v>220</v>
      </c>
      <c r="B2957" s="218" t="s">
        <v>2351</v>
      </c>
      <c r="C2957" s="219" t="s">
        <v>4678</v>
      </c>
      <c r="D2957" s="212" t="s">
        <v>4679</v>
      </c>
      <c r="E2957" s="212" t="s">
        <v>545</v>
      </c>
      <c r="F2957" s="213">
        <v>290</v>
      </c>
      <c r="G2957" s="213">
        <v>0.48481246339775336</v>
      </c>
      <c r="H2957" s="195">
        <v>140.59561438534848</v>
      </c>
      <c r="I2957" s="212" t="s">
        <v>2354</v>
      </c>
    </row>
    <row r="2958" spans="1:9" x14ac:dyDescent="0.25">
      <c r="A2958" s="218" t="s">
        <v>220</v>
      </c>
      <c r="B2958" s="218" t="s">
        <v>5430</v>
      </c>
      <c r="C2958" s="219" t="s">
        <v>7208</v>
      </c>
      <c r="D2958" s="212" t="s">
        <v>7209</v>
      </c>
      <c r="E2958" s="212" t="s">
        <v>545</v>
      </c>
      <c r="F2958" s="213">
        <v>38</v>
      </c>
      <c r="G2958" s="213">
        <v>3.7</v>
      </c>
      <c r="H2958" s="195">
        <v>140.6</v>
      </c>
      <c r="I2958" s="212" t="s">
        <v>2354</v>
      </c>
    </row>
    <row r="2959" spans="1:9" x14ac:dyDescent="0.25">
      <c r="A2959" s="218" t="s">
        <v>220</v>
      </c>
      <c r="B2959" s="218" t="s">
        <v>2351</v>
      </c>
      <c r="C2959" s="219" t="s">
        <v>4241</v>
      </c>
      <c r="D2959" s="212" t="s">
        <v>4242</v>
      </c>
      <c r="E2959" s="212" t="s">
        <v>545</v>
      </c>
      <c r="F2959" s="213">
        <v>1</v>
      </c>
      <c r="G2959" s="213">
        <v>140.69019</v>
      </c>
      <c r="H2959" s="195">
        <v>140.69019</v>
      </c>
      <c r="I2959" s="212" t="s">
        <v>2354</v>
      </c>
    </row>
    <row r="2960" spans="1:9" x14ac:dyDescent="0.25">
      <c r="A2960" s="218" t="s">
        <v>220</v>
      </c>
      <c r="B2960" s="218" t="s">
        <v>5430</v>
      </c>
      <c r="C2960" s="219" t="s">
        <v>3791</v>
      </c>
      <c r="D2960" s="212" t="s">
        <v>3792</v>
      </c>
      <c r="E2960" s="212" t="s">
        <v>545</v>
      </c>
      <c r="F2960" s="213">
        <v>4</v>
      </c>
      <c r="G2960" s="213">
        <v>35.191000000000003</v>
      </c>
      <c r="H2960" s="195">
        <v>140.76400000000001</v>
      </c>
      <c r="I2960" s="212" t="s">
        <v>2354</v>
      </c>
    </row>
    <row r="2961" spans="1:9" x14ac:dyDescent="0.25">
      <c r="A2961" s="218" t="s">
        <v>220</v>
      </c>
      <c r="B2961" s="218" t="s">
        <v>2351</v>
      </c>
      <c r="C2961" s="219" t="s">
        <v>5106</v>
      </c>
      <c r="D2961" s="212" t="s">
        <v>5107</v>
      </c>
      <c r="E2961" s="212" t="s">
        <v>545</v>
      </c>
      <c r="F2961" s="213">
        <v>140</v>
      </c>
      <c r="G2961" s="213">
        <v>1.00674</v>
      </c>
      <c r="H2961" s="195">
        <v>140.9436</v>
      </c>
      <c r="I2961" s="212" t="s">
        <v>2354</v>
      </c>
    </row>
    <row r="2962" spans="1:9" x14ac:dyDescent="0.25">
      <c r="A2962" s="218" t="s">
        <v>220</v>
      </c>
      <c r="B2962" s="218" t="s">
        <v>2351</v>
      </c>
      <c r="C2962" s="219" t="s">
        <v>3995</v>
      </c>
      <c r="D2962" s="212" t="s">
        <v>3996</v>
      </c>
      <c r="E2962" s="212" t="s">
        <v>545</v>
      </c>
      <c r="F2962" s="213">
        <v>2</v>
      </c>
      <c r="G2962" s="213">
        <v>70.52</v>
      </c>
      <c r="H2962" s="195">
        <v>141.04</v>
      </c>
      <c r="I2962" s="212" t="s">
        <v>2354</v>
      </c>
    </row>
    <row r="2963" spans="1:9" x14ac:dyDescent="0.25">
      <c r="A2963" s="218" t="s">
        <v>220</v>
      </c>
      <c r="B2963" s="218" t="s">
        <v>5430</v>
      </c>
      <c r="C2963" s="219" t="s">
        <v>3995</v>
      </c>
      <c r="D2963" s="212" t="s">
        <v>3996</v>
      </c>
      <c r="E2963" s="212" t="s">
        <v>545</v>
      </c>
      <c r="F2963" s="213">
        <v>2</v>
      </c>
      <c r="G2963" s="213">
        <v>70.52</v>
      </c>
      <c r="H2963" s="195">
        <v>141.04</v>
      </c>
      <c r="I2963" s="212" t="s">
        <v>2354</v>
      </c>
    </row>
    <row r="2964" spans="1:9" x14ac:dyDescent="0.25">
      <c r="A2964" s="218" t="s">
        <v>220</v>
      </c>
      <c r="B2964" s="218" t="s">
        <v>2351</v>
      </c>
      <c r="C2964" s="219" t="s">
        <v>4812</v>
      </c>
      <c r="D2964" s="212" t="s">
        <v>4813</v>
      </c>
      <c r="E2964" s="212" t="s">
        <v>545</v>
      </c>
      <c r="F2964" s="213">
        <v>289</v>
      </c>
      <c r="G2964" s="213">
        <v>0.49</v>
      </c>
      <c r="H2964" s="195">
        <v>141.60999999999999</v>
      </c>
      <c r="I2964" s="212" t="s">
        <v>2354</v>
      </c>
    </row>
    <row r="2965" spans="1:9" x14ac:dyDescent="0.25">
      <c r="A2965" s="218" t="s">
        <v>220</v>
      </c>
      <c r="B2965" s="218" t="s">
        <v>2351</v>
      </c>
      <c r="C2965" s="219" t="s">
        <v>4045</v>
      </c>
      <c r="D2965" s="212" t="s">
        <v>4046</v>
      </c>
      <c r="E2965" s="212" t="s">
        <v>545</v>
      </c>
      <c r="F2965" s="213">
        <v>1</v>
      </c>
      <c r="G2965" s="213">
        <v>141.928</v>
      </c>
      <c r="H2965" s="195">
        <v>141.928</v>
      </c>
      <c r="I2965" s="212" t="s">
        <v>2354</v>
      </c>
    </row>
    <row r="2966" spans="1:9" x14ac:dyDescent="0.25">
      <c r="A2966" s="218" t="s">
        <v>220</v>
      </c>
      <c r="B2966" s="218" t="s">
        <v>5430</v>
      </c>
      <c r="C2966" s="219" t="s">
        <v>4045</v>
      </c>
      <c r="D2966" s="212" t="s">
        <v>4046</v>
      </c>
      <c r="E2966" s="212" t="s">
        <v>545</v>
      </c>
      <c r="F2966" s="213">
        <v>1</v>
      </c>
      <c r="G2966" s="213">
        <v>141.928</v>
      </c>
      <c r="H2966" s="195">
        <v>141.928</v>
      </c>
      <c r="I2966" s="212" t="s">
        <v>2354</v>
      </c>
    </row>
    <row r="2967" spans="1:9" x14ac:dyDescent="0.25">
      <c r="A2967" s="218" t="s">
        <v>220</v>
      </c>
      <c r="B2967" s="218" t="s">
        <v>2351</v>
      </c>
      <c r="C2967" s="219" t="s">
        <v>4085</v>
      </c>
      <c r="D2967" s="212" t="s">
        <v>4086</v>
      </c>
      <c r="E2967" s="212" t="s">
        <v>545</v>
      </c>
      <c r="F2967" s="213">
        <v>1</v>
      </c>
      <c r="G2967" s="213">
        <v>142.03710000000001</v>
      </c>
      <c r="H2967" s="195">
        <v>142.03710000000001</v>
      </c>
      <c r="I2967" s="212" t="s">
        <v>2354</v>
      </c>
    </row>
    <row r="2968" spans="1:9" x14ac:dyDescent="0.25">
      <c r="A2968" s="218" t="s">
        <v>220</v>
      </c>
      <c r="B2968" s="218" t="s">
        <v>2351</v>
      </c>
      <c r="C2968" s="219" t="s">
        <v>5244</v>
      </c>
      <c r="D2968" s="212" t="s">
        <v>5245</v>
      </c>
      <c r="E2968" s="212" t="s">
        <v>545</v>
      </c>
      <c r="F2968" s="213">
        <v>12</v>
      </c>
      <c r="G2968" s="213">
        <v>11.8512</v>
      </c>
      <c r="H2968" s="195">
        <v>142.21440000000001</v>
      </c>
      <c r="I2968" s="212" t="s">
        <v>2354</v>
      </c>
    </row>
    <row r="2969" spans="1:9" x14ac:dyDescent="0.25">
      <c r="A2969" s="218" t="s">
        <v>220</v>
      </c>
      <c r="B2969" s="218" t="s">
        <v>2351</v>
      </c>
      <c r="C2969" s="219" t="s">
        <v>4840</v>
      </c>
      <c r="D2969" s="212" t="s">
        <v>4841</v>
      </c>
      <c r="E2969" s="212" t="s">
        <v>545</v>
      </c>
      <c r="F2969" s="213">
        <v>352</v>
      </c>
      <c r="G2969" s="213">
        <v>0.40460000000000002</v>
      </c>
      <c r="H2969" s="195">
        <v>142.41920000000002</v>
      </c>
      <c r="I2969" s="212" t="s">
        <v>2354</v>
      </c>
    </row>
    <row r="2970" spans="1:9" x14ac:dyDescent="0.25">
      <c r="A2970" s="218" t="s">
        <v>220</v>
      </c>
      <c r="B2970" s="218" t="s">
        <v>2351</v>
      </c>
      <c r="C2970" s="219" t="s">
        <v>2449</v>
      </c>
      <c r="D2970" s="212" t="s">
        <v>2450</v>
      </c>
      <c r="E2970" s="212" t="s">
        <v>545</v>
      </c>
      <c r="F2970" s="213">
        <v>2</v>
      </c>
      <c r="G2970" s="213">
        <v>71.400999999999996</v>
      </c>
      <c r="H2970" s="195">
        <v>142.80199999999999</v>
      </c>
      <c r="I2970" s="212" t="s">
        <v>2354</v>
      </c>
    </row>
    <row r="2971" spans="1:9" x14ac:dyDescent="0.25">
      <c r="A2971" s="218" t="s">
        <v>220</v>
      </c>
      <c r="B2971" s="218" t="s">
        <v>2351</v>
      </c>
      <c r="C2971" s="219" t="s">
        <v>3121</v>
      </c>
      <c r="D2971" s="212" t="s">
        <v>3122</v>
      </c>
      <c r="E2971" s="212" t="s">
        <v>545</v>
      </c>
      <c r="F2971" s="213">
        <v>2</v>
      </c>
      <c r="G2971" s="213">
        <v>71.7</v>
      </c>
      <c r="H2971" s="195">
        <v>143.4</v>
      </c>
      <c r="I2971" s="212" t="s">
        <v>2354</v>
      </c>
    </row>
    <row r="2972" spans="1:9" x14ac:dyDescent="0.25">
      <c r="A2972" s="218" t="s">
        <v>220</v>
      </c>
      <c r="B2972" s="218" t="s">
        <v>2351</v>
      </c>
      <c r="C2972" s="219" t="s">
        <v>4860</v>
      </c>
      <c r="D2972" s="212" t="s">
        <v>4861</v>
      </c>
      <c r="E2972" s="212" t="s">
        <v>545</v>
      </c>
      <c r="F2972" s="213">
        <v>321</v>
      </c>
      <c r="G2972" s="213">
        <v>0.44700000000000001</v>
      </c>
      <c r="H2972" s="195">
        <v>143.48699999999999</v>
      </c>
      <c r="I2972" s="212" t="s">
        <v>2354</v>
      </c>
    </row>
    <row r="2973" spans="1:9" x14ac:dyDescent="0.25">
      <c r="A2973" s="218" t="s">
        <v>220</v>
      </c>
      <c r="B2973" s="218" t="s">
        <v>2351</v>
      </c>
      <c r="C2973" s="219" t="s">
        <v>3543</v>
      </c>
      <c r="D2973" s="212" t="s">
        <v>3544</v>
      </c>
      <c r="E2973" s="212" t="s">
        <v>545</v>
      </c>
      <c r="F2973" s="213">
        <v>21</v>
      </c>
      <c r="G2973" s="213">
        <v>6.85</v>
      </c>
      <c r="H2973" s="195">
        <v>143.85</v>
      </c>
      <c r="I2973" s="212" t="s">
        <v>2354</v>
      </c>
    </row>
    <row r="2974" spans="1:9" x14ac:dyDescent="0.25">
      <c r="A2974" s="218" t="s">
        <v>220</v>
      </c>
      <c r="B2974" s="218" t="s">
        <v>5430</v>
      </c>
      <c r="C2974" s="219" t="s">
        <v>7274</v>
      </c>
      <c r="D2974" s="212" t="s">
        <v>7275</v>
      </c>
      <c r="E2974" s="212" t="s">
        <v>545</v>
      </c>
      <c r="F2974" s="213">
        <v>1</v>
      </c>
      <c r="G2974" s="213">
        <v>143.97999999999999</v>
      </c>
      <c r="H2974" s="195">
        <v>143.97999999999999</v>
      </c>
      <c r="I2974" s="212" t="s">
        <v>2354</v>
      </c>
    </row>
    <row r="2975" spans="1:9" x14ac:dyDescent="0.25">
      <c r="A2975" s="218" t="s">
        <v>220</v>
      </c>
      <c r="B2975" s="218" t="s">
        <v>5430</v>
      </c>
      <c r="C2975" s="219" t="s">
        <v>3012</v>
      </c>
      <c r="D2975" s="212" t="s">
        <v>3013</v>
      </c>
      <c r="E2975" s="212" t="s">
        <v>545</v>
      </c>
      <c r="F2975" s="213">
        <v>10</v>
      </c>
      <c r="G2975" s="213">
        <v>14.4</v>
      </c>
      <c r="H2975" s="195">
        <v>144</v>
      </c>
      <c r="I2975" s="212" t="s">
        <v>2354</v>
      </c>
    </row>
    <row r="2976" spans="1:9" x14ac:dyDescent="0.25">
      <c r="A2976" s="218" t="s">
        <v>220</v>
      </c>
      <c r="B2976" s="218" t="s">
        <v>5430</v>
      </c>
      <c r="C2976" s="219" t="s">
        <v>7179</v>
      </c>
      <c r="D2976" s="212" t="s">
        <v>4910</v>
      </c>
      <c r="E2976" s="212" t="s">
        <v>545</v>
      </c>
      <c r="F2976" s="213">
        <v>214</v>
      </c>
      <c r="G2976" s="213">
        <v>0.67300000000000004</v>
      </c>
      <c r="H2976" s="195">
        <v>144.02200000000002</v>
      </c>
      <c r="I2976" s="212" t="s">
        <v>2354</v>
      </c>
    </row>
    <row r="2977" spans="1:9" x14ac:dyDescent="0.25">
      <c r="A2977" s="218" t="s">
        <v>220</v>
      </c>
      <c r="B2977" s="218" t="s">
        <v>2351</v>
      </c>
      <c r="C2977" s="219" t="s">
        <v>3391</v>
      </c>
      <c r="D2977" s="212" t="s">
        <v>3392</v>
      </c>
      <c r="E2977" s="212" t="s">
        <v>545</v>
      </c>
      <c r="F2977" s="213">
        <v>2</v>
      </c>
      <c r="G2977" s="213">
        <v>72.25</v>
      </c>
      <c r="H2977" s="195">
        <v>144.5</v>
      </c>
      <c r="I2977" s="212" t="s">
        <v>2354</v>
      </c>
    </row>
    <row r="2978" spans="1:9" x14ac:dyDescent="0.25">
      <c r="A2978" s="218" t="s">
        <v>220</v>
      </c>
      <c r="B2978" s="218" t="s">
        <v>2351</v>
      </c>
      <c r="C2978" s="219" t="s">
        <v>4265</v>
      </c>
      <c r="D2978" s="212" t="s">
        <v>4266</v>
      </c>
      <c r="E2978" s="212" t="s">
        <v>545</v>
      </c>
      <c r="F2978" s="213">
        <v>9</v>
      </c>
      <c r="G2978" s="213">
        <v>16.091349999999998</v>
      </c>
      <c r="H2978" s="195">
        <v>144.82214999999999</v>
      </c>
      <c r="I2978" s="212" t="s">
        <v>2354</v>
      </c>
    </row>
    <row r="2979" spans="1:9" x14ac:dyDescent="0.25">
      <c r="A2979" s="218" t="s">
        <v>220</v>
      </c>
      <c r="B2979" s="218" t="s">
        <v>2351</v>
      </c>
      <c r="C2979" s="219" t="s">
        <v>2824</v>
      </c>
      <c r="D2979" s="212" t="s">
        <v>2825</v>
      </c>
      <c r="E2979" s="212" t="s">
        <v>545</v>
      </c>
      <c r="F2979" s="213">
        <v>1</v>
      </c>
      <c r="G2979" s="213">
        <v>144.92500000000001</v>
      </c>
      <c r="H2979" s="195">
        <v>144.92500000000001</v>
      </c>
      <c r="I2979" s="212" t="s">
        <v>2354</v>
      </c>
    </row>
    <row r="2980" spans="1:9" x14ac:dyDescent="0.25">
      <c r="A2980" s="218" t="s">
        <v>220</v>
      </c>
      <c r="B2980" s="218" t="s">
        <v>5430</v>
      </c>
      <c r="C2980" s="219" t="s">
        <v>5791</v>
      </c>
      <c r="D2980" s="212" t="s">
        <v>2825</v>
      </c>
      <c r="E2980" s="212" t="s">
        <v>545</v>
      </c>
      <c r="F2980" s="213">
        <v>1</v>
      </c>
      <c r="G2980" s="213">
        <v>144.92500000000001</v>
      </c>
      <c r="H2980" s="195">
        <v>144.92500000000001</v>
      </c>
      <c r="I2980" s="212" t="s">
        <v>2354</v>
      </c>
    </row>
    <row r="2981" spans="1:9" x14ac:dyDescent="0.25">
      <c r="A2981" s="218" t="s">
        <v>220</v>
      </c>
      <c r="B2981" s="218" t="s">
        <v>5430</v>
      </c>
      <c r="C2981" s="219" t="s">
        <v>6555</v>
      </c>
      <c r="D2981" s="212" t="s">
        <v>6556</v>
      </c>
      <c r="E2981" s="212" t="s">
        <v>545</v>
      </c>
      <c r="F2981" s="213">
        <v>4</v>
      </c>
      <c r="G2981" s="213">
        <v>36.269500000000001</v>
      </c>
      <c r="H2981" s="195">
        <v>145.078</v>
      </c>
      <c r="I2981" s="212" t="s">
        <v>2354</v>
      </c>
    </row>
    <row r="2982" spans="1:9" x14ac:dyDescent="0.25">
      <c r="A2982" s="218" t="s">
        <v>220</v>
      </c>
      <c r="B2982" s="218" t="s">
        <v>2351</v>
      </c>
      <c r="C2982" s="219" t="s">
        <v>5126</v>
      </c>
      <c r="D2982" s="212" t="s">
        <v>5127</v>
      </c>
      <c r="E2982" s="212" t="s">
        <v>545</v>
      </c>
      <c r="F2982" s="213">
        <v>89</v>
      </c>
      <c r="G2982" s="213">
        <v>1.633</v>
      </c>
      <c r="H2982" s="195">
        <v>145.33699999999999</v>
      </c>
      <c r="I2982" s="212" t="s">
        <v>2354</v>
      </c>
    </row>
    <row r="2983" spans="1:9" x14ac:dyDescent="0.25">
      <c r="A2983" s="218" t="s">
        <v>220</v>
      </c>
      <c r="B2983" s="218" t="s">
        <v>5430</v>
      </c>
      <c r="C2983" s="219" t="s">
        <v>7272</v>
      </c>
      <c r="D2983" s="212" t="s">
        <v>7273</v>
      </c>
      <c r="E2983" s="212" t="s">
        <v>545</v>
      </c>
      <c r="F2983" s="213">
        <v>1</v>
      </c>
      <c r="G2983" s="213">
        <v>145.6</v>
      </c>
      <c r="H2983" s="195">
        <v>145.6</v>
      </c>
      <c r="I2983" s="212" t="s">
        <v>2354</v>
      </c>
    </row>
    <row r="2984" spans="1:9" x14ac:dyDescent="0.25">
      <c r="A2984" s="218" t="s">
        <v>220</v>
      </c>
      <c r="B2984" s="218" t="s">
        <v>5430</v>
      </c>
      <c r="C2984" s="219" t="s">
        <v>7125</v>
      </c>
      <c r="D2984" s="212" t="s">
        <v>7126</v>
      </c>
      <c r="E2984" s="212" t="s">
        <v>545</v>
      </c>
      <c r="F2984" s="213">
        <v>4</v>
      </c>
      <c r="G2984" s="213">
        <v>36.801642857142852</v>
      </c>
      <c r="H2984" s="195">
        <v>147.20657142857141</v>
      </c>
      <c r="I2984" s="212" t="s">
        <v>2354</v>
      </c>
    </row>
    <row r="2985" spans="1:9" x14ac:dyDescent="0.25">
      <c r="A2985" s="218" t="s">
        <v>220</v>
      </c>
      <c r="B2985" s="218" t="s">
        <v>5430</v>
      </c>
      <c r="C2985" s="219" t="s">
        <v>6621</v>
      </c>
      <c r="D2985" s="212" t="s">
        <v>6622</v>
      </c>
      <c r="E2985" s="212" t="s">
        <v>545</v>
      </c>
      <c r="F2985" s="213">
        <v>1</v>
      </c>
      <c r="G2985" s="213">
        <v>147.21100000000001</v>
      </c>
      <c r="H2985" s="195">
        <v>147.21100000000001</v>
      </c>
      <c r="I2985" s="212" t="s">
        <v>2354</v>
      </c>
    </row>
    <row r="2986" spans="1:9" x14ac:dyDescent="0.25">
      <c r="A2986" s="218" t="s">
        <v>220</v>
      </c>
      <c r="B2986" s="218" t="s">
        <v>2351</v>
      </c>
      <c r="C2986" s="219" t="s">
        <v>4824</v>
      </c>
      <c r="D2986" s="212" t="s">
        <v>4825</v>
      </c>
      <c r="E2986" s="212" t="s">
        <v>545</v>
      </c>
      <c r="F2986" s="213">
        <v>250</v>
      </c>
      <c r="G2986" s="213">
        <v>0.59</v>
      </c>
      <c r="H2986" s="195">
        <v>147.5</v>
      </c>
      <c r="I2986" s="212" t="s">
        <v>2354</v>
      </c>
    </row>
    <row r="2987" spans="1:9" x14ac:dyDescent="0.25">
      <c r="A2987" s="218" t="s">
        <v>220</v>
      </c>
      <c r="B2987" s="218" t="s">
        <v>5430</v>
      </c>
      <c r="C2987" s="219" t="s">
        <v>6745</v>
      </c>
      <c r="D2987" s="212" t="s">
        <v>6746</v>
      </c>
      <c r="E2987" s="212" t="s">
        <v>545</v>
      </c>
      <c r="F2987" s="213">
        <v>2</v>
      </c>
      <c r="G2987" s="213">
        <v>74.048000000000002</v>
      </c>
      <c r="H2987" s="195">
        <v>148.096</v>
      </c>
      <c r="I2987" s="212" t="s">
        <v>2354</v>
      </c>
    </row>
    <row r="2988" spans="1:9" x14ac:dyDescent="0.25">
      <c r="A2988" s="218" t="s">
        <v>220</v>
      </c>
      <c r="B2988" s="218" t="s">
        <v>2351</v>
      </c>
      <c r="C2988" s="219" t="s">
        <v>4891</v>
      </c>
      <c r="D2988" s="212" t="s">
        <v>4892</v>
      </c>
      <c r="E2988" s="212" t="s">
        <v>545</v>
      </c>
      <c r="F2988" s="213">
        <v>180</v>
      </c>
      <c r="G2988" s="213">
        <v>0.82448999999999995</v>
      </c>
      <c r="H2988" s="195">
        <v>148.40819999999999</v>
      </c>
      <c r="I2988" s="212" t="s">
        <v>2354</v>
      </c>
    </row>
    <row r="2989" spans="1:9" x14ac:dyDescent="0.25">
      <c r="A2989" s="218" t="s">
        <v>220</v>
      </c>
      <c r="B2989" s="218" t="s">
        <v>5430</v>
      </c>
      <c r="C2989" s="219" t="s">
        <v>5813</v>
      </c>
      <c r="D2989" s="212" t="s">
        <v>5814</v>
      </c>
      <c r="E2989" s="212" t="s">
        <v>545</v>
      </c>
      <c r="F2989" s="213">
        <v>3</v>
      </c>
      <c r="G2989" s="213">
        <v>49.68</v>
      </c>
      <c r="H2989" s="195">
        <v>149.04</v>
      </c>
      <c r="I2989" s="212" t="s">
        <v>2354</v>
      </c>
    </row>
    <row r="2990" spans="1:9" x14ac:dyDescent="0.25">
      <c r="A2990" s="218" t="s">
        <v>220</v>
      </c>
      <c r="B2990" s="218" t="s">
        <v>2351</v>
      </c>
      <c r="C2990" s="219" t="s">
        <v>4899</v>
      </c>
      <c r="D2990" s="212" t="s">
        <v>4900</v>
      </c>
      <c r="E2990" s="212" t="s">
        <v>545</v>
      </c>
      <c r="F2990" s="213">
        <v>65</v>
      </c>
      <c r="G2990" s="213">
        <v>2.2949999999999999</v>
      </c>
      <c r="H2990" s="195">
        <v>149.17499999999998</v>
      </c>
      <c r="I2990" s="212" t="s">
        <v>2354</v>
      </c>
    </row>
    <row r="2991" spans="1:9" x14ac:dyDescent="0.25">
      <c r="A2991" s="218" t="s">
        <v>220</v>
      </c>
      <c r="B2991" s="218" t="s">
        <v>2351</v>
      </c>
      <c r="C2991" s="219"/>
      <c r="D2991" s="212" t="s">
        <v>2406</v>
      </c>
      <c r="E2991" s="212" t="s">
        <v>545</v>
      </c>
      <c r="F2991" s="213">
        <v>10</v>
      </c>
      <c r="G2991" s="213">
        <v>14.94</v>
      </c>
      <c r="H2991" s="195">
        <v>149.4</v>
      </c>
      <c r="I2991" s="212" t="s">
        <v>2354</v>
      </c>
    </row>
    <row r="2992" spans="1:9" x14ac:dyDescent="0.25">
      <c r="A2992" s="218" t="s">
        <v>220</v>
      </c>
      <c r="B2992" s="218" t="s">
        <v>5430</v>
      </c>
      <c r="C2992" s="219" t="s">
        <v>5792</v>
      </c>
      <c r="D2992" s="212" t="s">
        <v>5793</v>
      </c>
      <c r="E2992" s="212" t="s">
        <v>545</v>
      </c>
      <c r="F2992" s="213">
        <v>1</v>
      </c>
      <c r="G2992" s="213">
        <v>149.43</v>
      </c>
      <c r="H2992" s="195">
        <v>149.43</v>
      </c>
      <c r="I2992" s="212" t="s">
        <v>2354</v>
      </c>
    </row>
    <row r="2993" spans="1:9" x14ac:dyDescent="0.25">
      <c r="A2993" s="218" t="s">
        <v>220</v>
      </c>
      <c r="B2993" s="218" t="s">
        <v>2351</v>
      </c>
      <c r="C2993" s="219" t="s">
        <v>5228</v>
      </c>
      <c r="D2993" s="212" t="s">
        <v>5229</v>
      </c>
      <c r="E2993" s="212" t="s">
        <v>545</v>
      </c>
      <c r="F2993" s="213">
        <v>13</v>
      </c>
      <c r="G2993" s="213">
        <v>11.5</v>
      </c>
      <c r="H2993" s="195">
        <v>149.5</v>
      </c>
      <c r="I2993" s="212" t="s">
        <v>2354</v>
      </c>
    </row>
    <row r="2994" spans="1:9" x14ac:dyDescent="0.25">
      <c r="A2994" s="218" t="s">
        <v>220</v>
      </c>
      <c r="B2994" s="218" t="s">
        <v>5430</v>
      </c>
      <c r="C2994" s="219" t="s">
        <v>7306</v>
      </c>
      <c r="D2994" s="212" t="s">
        <v>7307</v>
      </c>
      <c r="E2994" s="212" t="s">
        <v>545</v>
      </c>
      <c r="F2994" s="213">
        <v>2</v>
      </c>
      <c r="G2994" s="213">
        <v>75</v>
      </c>
      <c r="H2994" s="195">
        <v>150</v>
      </c>
      <c r="I2994" s="212" t="s">
        <v>2354</v>
      </c>
    </row>
    <row r="2995" spans="1:9" x14ac:dyDescent="0.25">
      <c r="A2995" s="218" t="s">
        <v>220</v>
      </c>
      <c r="B2995" s="218" t="s">
        <v>5430</v>
      </c>
      <c r="C2995" s="219" t="s">
        <v>6150</v>
      </c>
      <c r="D2995" s="212" t="s">
        <v>6151</v>
      </c>
      <c r="E2995" s="212" t="s">
        <v>545</v>
      </c>
      <c r="F2995" s="213">
        <v>2</v>
      </c>
      <c r="G2995" s="213">
        <v>75.098699999999994</v>
      </c>
      <c r="H2995" s="195">
        <v>150.19739999999999</v>
      </c>
      <c r="I2995" s="212" t="s">
        <v>2354</v>
      </c>
    </row>
    <row r="2996" spans="1:9" x14ac:dyDescent="0.25">
      <c r="A2996" s="218" t="s">
        <v>220</v>
      </c>
      <c r="B2996" s="218" t="s">
        <v>2351</v>
      </c>
      <c r="C2996" s="219" t="s">
        <v>4329</v>
      </c>
      <c r="D2996" s="212" t="s">
        <v>4330</v>
      </c>
      <c r="E2996" s="212" t="s">
        <v>545</v>
      </c>
      <c r="F2996" s="213">
        <v>2</v>
      </c>
      <c r="G2996" s="213">
        <v>75.246250000000003</v>
      </c>
      <c r="H2996" s="195">
        <v>150.49250000000001</v>
      </c>
      <c r="I2996" s="212" t="s">
        <v>2354</v>
      </c>
    </row>
    <row r="2997" spans="1:9" x14ac:dyDescent="0.25">
      <c r="A2997" s="218" t="s">
        <v>220</v>
      </c>
      <c r="B2997" s="218" t="s">
        <v>2351</v>
      </c>
      <c r="C2997" s="219" t="s">
        <v>3565</v>
      </c>
      <c r="D2997" s="212" t="s">
        <v>3566</v>
      </c>
      <c r="E2997" s="212" t="s">
        <v>545</v>
      </c>
      <c r="F2997" s="213">
        <v>54</v>
      </c>
      <c r="G2997" s="213">
        <v>2.7879999999999998</v>
      </c>
      <c r="H2997" s="195">
        <v>150.55199999999999</v>
      </c>
      <c r="I2997" s="212" t="s">
        <v>2354</v>
      </c>
    </row>
    <row r="2998" spans="1:9" x14ac:dyDescent="0.25">
      <c r="A2998" s="218" t="s">
        <v>220</v>
      </c>
      <c r="B2998" s="218" t="s">
        <v>2351</v>
      </c>
      <c r="C2998" s="219" t="s">
        <v>3589</v>
      </c>
      <c r="D2998" s="212" t="s">
        <v>3590</v>
      </c>
      <c r="E2998" s="212" t="s">
        <v>545</v>
      </c>
      <c r="F2998" s="213">
        <v>49</v>
      </c>
      <c r="G2998" s="213">
        <v>3.0855000000000001</v>
      </c>
      <c r="H2998" s="195">
        <v>151.18950000000001</v>
      </c>
      <c r="I2998" s="212" t="s">
        <v>2354</v>
      </c>
    </row>
    <row r="2999" spans="1:9" x14ac:dyDescent="0.25">
      <c r="A2999" s="218" t="s">
        <v>220</v>
      </c>
      <c r="B2999" s="218" t="s">
        <v>2351</v>
      </c>
      <c r="C2999" s="219" t="s">
        <v>3431</v>
      </c>
      <c r="D2999" s="212" t="s">
        <v>3432</v>
      </c>
      <c r="E2999" s="212" t="s">
        <v>545</v>
      </c>
      <c r="F2999" s="213">
        <v>3</v>
      </c>
      <c r="G2999" s="213">
        <v>50.4</v>
      </c>
      <c r="H2999" s="195">
        <v>151.19999999999999</v>
      </c>
      <c r="I2999" s="212" t="s">
        <v>2354</v>
      </c>
    </row>
    <row r="3000" spans="1:9" x14ac:dyDescent="0.25">
      <c r="A3000" s="218" t="s">
        <v>220</v>
      </c>
      <c r="B3000" s="218" t="s">
        <v>5430</v>
      </c>
      <c r="C3000" s="219" t="s">
        <v>5943</v>
      </c>
      <c r="D3000" s="212" t="s">
        <v>5944</v>
      </c>
      <c r="E3000" s="212" t="s">
        <v>545</v>
      </c>
      <c r="F3000" s="213">
        <v>10</v>
      </c>
      <c r="G3000" s="213">
        <v>15.1434</v>
      </c>
      <c r="H3000" s="195">
        <v>151.434</v>
      </c>
      <c r="I3000" s="212" t="s">
        <v>2354</v>
      </c>
    </row>
    <row r="3001" spans="1:9" x14ac:dyDescent="0.25">
      <c r="A3001" s="218" t="s">
        <v>220</v>
      </c>
      <c r="B3001" s="218" t="s">
        <v>2351</v>
      </c>
      <c r="C3001" s="219" t="s">
        <v>3747</v>
      </c>
      <c r="D3001" s="212" t="s">
        <v>3748</v>
      </c>
      <c r="E3001" s="212" t="s">
        <v>2387</v>
      </c>
      <c r="F3001" s="213">
        <v>22</v>
      </c>
      <c r="G3001" s="213">
        <v>6.8849999999999998</v>
      </c>
      <c r="H3001" s="195">
        <v>151.47</v>
      </c>
      <c r="I3001" s="212" t="s">
        <v>2354</v>
      </c>
    </row>
    <row r="3002" spans="1:9" x14ac:dyDescent="0.25">
      <c r="A3002" s="218" t="s">
        <v>220</v>
      </c>
      <c r="B3002" s="218" t="s">
        <v>5430</v>
      </c>
      <c r="C3002" s="219" t="s">
        <v>7059</v>
      </c>
      <c r="D3002" s="212" t="s">
        <v>4607</v>
      </c>
      <c r="E3002" s="212" t="s">
        <v>545</v>
      </c>
      <c r="F3002" s="213">
        <v>22</v>
      </c>
      <c r="G3002" s="213">
        <v>6.8979999999999997</v>
      </c>
      <c r="H3002" s="195">
        <v>151.756</v>
      </c>
      <c r="I3002" s="212" t="s">
        <v>2354</v>
      </c>
    </row>
    <row r="3003" spans="1:9" x14ac:dyDescent="0.25">
      <c r="A3003" s="218" t="s">
        <v>220</v>
      </c>
      <c r="B3003" s="218" t="s">
        <v>5430</v>
      </c>
      <c r="C3003" s="219" t="s">
        <v>3077</v>
      </c>
      <c r="D3003" s="212" t="s">
        <v>3078</v>
      </c>
      <c r="E3003" s="212" t="s">
        <v>545</v>
      </c>
      <c r="F3003" s="213">
        <v>8</v>
      </c>
      <c r="G3003" s="213">
        <v>18.998248275862071</v>
      </c>
      <c r="H3003" s="195">
        <v>151.98598620689657</v>
      </c>
      <c r="I3003" s="212" t="s">
        <v>2354</v>
      </c>
    </row>
    <row r="3004" spans="1:9" x14ac:dyDescent="0.25">
      <c r="A3004" s="218" t="s">
        <v>220</v>
      </c>
      <c r="B3004" s="218" t="s">
        <v>2351</v>
      </c>
      <c r="C3004" s="219" t="s">
        <v>4129</v>
      </c>
      <c r="D3004" s="212" t="s">
        <v>4130</v>
      </c>
      <c r="E3004" s="212" t="s">
        <v>545</v>
      </c>
      <c r="F3004" s="213">
        <v>1</v>
      </c>
      <c r="G3004" s="213">
        <v>152.15</v>
      </c>
      <c r="H3004" s="195">
        <v>152.15</v>
      </c>
      <c r="I3004" s="212" t="s">
        <v>2354</v>
      </c>
    </row>
    <row r="3005" spans="1:9" x14ac:dyDescent="0.25">
      <c r="A3005" s="218" t="s">
        <v>220</v>
      </c>
      <c r="B3005" s="218" t="s">
        <v>5430</v>
      </c>
      <c r="C3005" s="219" t="s">
        <v>6437</v>
      </c>
      <c r="D3005" s="212" t="s">
        <v>6438</v>
      </c>
      <c r="E3005" s="212" t="s">
        <v>2473</v>
      </c>
      <c r="F3005" s="213">
        <v>2</v>
      </c>
      <c r="G3005" s="213">
        <v>76.105800000000002</v>
      </c>
      <c r="H3005" s="195">
        <v>152.2116</v>
      </c>
      <c r="I3005" s="212" t="s">
        <v>2354</v>
      </c>
    </row>
    <row r="3006" spans="1:9" x14ac:dyDescent="0.25">
      <c r="A3006" s="218" t="s">
        <v>220</v>
      </c>
      <c r="B3006" s="218" t="s">
        <v>5430</v>
      </c>
      <c r="C3006" s="219" t="s">
        <v>4696</v>
      </c>
      <c r="D3006" s="212" t="s">
        <v>4697</v>
      </c>
      <c r="E3006" s="212" t="s">
        <v>545</v>
      </c>
      <c r="F3006" s="213">
        <v>145</v>
      </c>
      <c r="G3006" s="213">
        <v>1.0529999999999999</v>
      </c>
      <c r="H3006" s="195">
        <v>152.685</v>
      </c>
      <c r="I3006" s="212" t="s">
        <v>2354</v>
      </c>
    </row>
    <row r="3007" spans="1:9" x14ac:dyDescent="0.25">
      <c r="A3007" s="218" t="s">
        <v>220</v>
      </c>
      <c r="B3007" s="218" t="s">
        <v>2351</v>
      </c>
      <c r="C3007" s="219" t="s">
        <v>4249</v>
      </c>
      <c r="D3007" s="212" t="s">
        <v>4250</v>
      </c>
      <c r="E3007" s="212" t="s">
        <v>545</v>
      </c>
      <c r="F3007" s="213">
        <v>2</v>
      </c>
      <c r="G3007" s="213">
        <v>76.388249999999999</v>
      </c>
      <c r="H3007" s="195">
        <v>152.7765</v>
      </c>
      <c r="I3007" s="212" t="s">
        <v>2354</v>
      </c>
    </row>
    <row r="3008" spans="1:9" x14ac:dyDescent="0.25">
      <c r="A3008" s="218" t="s">
        <v>220</v>
      </c>
      <c r="B3008" s="218" t="s">
        <v>5430</v>
      </c>
      <c r="C3008" s="219" t="s">
        <v>5651</v>
      </c>
      <c r="D3008" s="212" t="s">
        <v>5652</v>
      </c>
      <c r="E3008" s="212" t="s">
        <v>545</v>
      </c>
      <c r="F3008" s="213">
        <v>4</v>
      </c>
      <c r="G3008" s="213">
        <v>38.210900000000002</v>
      </c>
      <c r="H3008" s="195">
        <v>152.84360000000001</v>
      </c>
      <c r="I3008" s="212" t="s">
        <v>2354</v>
      </c>
    </row>
    <row r="3009" spans="1:9" x14ac:dyDescent="0.25">
      <c r="A3009" s="218" t="s">
        <v>220</v>
      </c>
      <c r="B3009" s="218" t="s">
        <v>2351</v>
      </c>
      <c r="C3009" s="219" t="s">
        <v>3048</v>
      </c>
      <c r="D3009" s="212" t="s">
        <v>3049</v>
      </c>
      <c r="E3009" s="212" t="s">
        <v>545</v>
      </c>
      <c r="F3009" s="213">
        <v>17</v>
      </c>
      <c r="G3009" s="213">
        <v>9</v>
      </c>
      <c r="H3009" s="195">
        <v>153</v>
      </c>
      <c r="I3009" s="212" t="s">
        <v>2354</v>
      </c>
    </row>
    <row r="3010" spans="1:9" x14ac:dyDescent="0.25">
      <c r="A3010" s="218" t="s">
        <v>220</v>
      </c>
      <c r="B3010" s="218" t="s">
        <v>2351</v>
      </c>
      <c r="C3010" s="219" t="s">
        <v>4546</v>
      </c>
      <c r="D3010" s="212" t="s">
        <v>4547</v>
      </c>
      <c r="E3010" s="212" t="s">
        <v>545</v>
      </c>
      <c r="F3010" s="213">
        <v>15</v>
      </c>
      <c r="G3010" s="213">
        <v>10.228899999999999</v>
      </c>
      <c r="H3010" s="195">
        <v>153.43349999999998</v>
      </c>
      <c r="I3010" s="212" t="s">
        <v>2354</v>
      </c>
    </row>
    <row r="3011" spans="1:9" x14ac:dyDescent="0.25">
      <c r="A3011" s="218" t="s">
        <v>220</v>
      </c>
      <c r="B3011" s="218" t="s">
        <v>2351</v>
      </c>
      <c r="C3011" s="219" t="s">
        <v>2826</v>
      </c>
      <c r="D3011" s="212" t="s">
        <v>2827</v>
      </c>
      <c r="E3011" s="212" t="s">
        <v>545</v>
      </c>
      <c r="F3011" s="213">
        <v>1</v>
      </c>
      <c r="G3011" s="213">
        <v>153.595</v>
      </c>
      <c r="H3011" s="195">
        <v>153.595</v>
      </c>
      <c r="I3011" s="212" t="s">
        <v>2354</v>
      </c>
    </row>
    <row r="3012" spans="1:9" x14ac:dyDescent="0.25">
      <c r="A3012" s="218" t="s">
        <v>220</v>
      </c>
      <c r="B3012" s="218" t="s">
        <v>5430</v>
      </c>
      <c r="C3012" s="219" t="s">
        <v>6304</v>
      </c>
      <c r="D3012" s="212" t="s">
        <v>6305</v>
      </c>
      <c r="E3012" s="212" t="s">
        <v>545</v>
      </c>
      <c r="F3012" s="213">
        <v>8</v>
      </c>
      <c r="G3012" s="213">
        <v>19.2</v>
      </c>
      <c r="H3012" s="195">
        <v>153.6</v>
      </c>
      <c r="I3012" s="212" t="s">
        <v>2354</v>
      </c>
    </row>
    <row r="3013" spans="1:9" x14ac:dyDescent="0.25">
      <c r="A3013" s="218" t="s">
        <v>220</v>
      </c>
      <c r="B3013" s="218" t="s">
        <v>2351</v>
      </c>
      <c r="C3013" s="219" t="s">
        <v>4245</v>
      </c>
      <c r="D3013" s="212" t="s">
        <v>4246</v>
      </c>
      <c r="E3013" s="212" t="s">
        <v>545</v>
      </c>
      <c r="F3013" s="213">
        <v>9</v>
      </c>
      <c r="G3013" s="213">
        <v>17.094903703703704</v>
      </c>
      <c r="H3013" s="195">
        <v>153.85413333333332</v>
      </c>
      <c r="I3013" s="212" t="s">
        <v>2354</v>
      </c>
    </row>
    <row r="3014" spans="1:9" x14ac:dyDescent="0.25">
      <c r="A3014" s="218" t="s">
        <v>220</v>
      </c>
      <c r="B3014" s="218" t="s">
        <v>5430</v>
      </c>
      <c r="C3014" s="219" t="s">
        <v>6435</v>
      </c>
      <c r="D3014" s="212" t="s">
        <v>6436</v>
      </c>
      <c r="E3014" s="212" t="s">
        <v>545</v>
      </c>
      <c r="F3014" s="213">
        <v>2</v>
      </c>
      <c r="G3014" s="213">
        <v>77.004000000000005</v>
      </c>
      <c r="H3014" s="195">
        <v>154.00800000000001</v>
      </c>
      <c r="I3014" s="212" t="s">
        <v>2354</v>
      </c>
    </row>
    <row r="3015" spans="1:9" x14ac:dyDescent="0.25">
      <c r="A3015" s="218" t="s">
        <v>220</v>
      </c>
      <c r="B3015" s="218" t="s">
        <v>2351</v>
      </c>
      <c r="C3015" s="219" t="s">
        <v>2950</v>
      </c>
      <c r="D3015" s="212" t="s">
        <v>2951</v>
      </c>
      <c r="E3015" s="212" t="s">
        <v>545</v>
      </c>
      <c r="F3015" s="213">
        <v>5</v>
      </c>
      <c r="G3015" s="213">
        <v>31.013999999999999</v>
      </c>
      <c r="H3015" s="195">
        <v>155.07</v>
      </c>
      <c r="I3015" s="212" t="s">
        <v>2354</v>
      </c>
    </row>
    <row r="3016" spans="1:9" x14ac:dyDescent="0.25">
      <c r="A3016" s="218" t="s">
        <v>220</v>
      </c>
      <c r="B3016" s="218" t="s">
        <v>2351</v>
      </c>
      <c r="C3016" s="219" t="s">
        <v>3345</v>
      </c>
      <c r="D3016" s="212" t="s">
        <v>3346</v>
      </c>
      <c r="E3016" s="212" t="s">
        <v>545</v>
      </c>
      <c r="F3016" s="213">
        <v>120</v>
      </c>
      <c r="G3016" s="213">
        <v>1.2929999999999999</v>
      </c>
      <c r="H3016" s="195">
        <v>155.16</v>
      </c>
      <c r="I3016" s="212" t="s">
        <v>2354</v>
      </c>
    </row>
    <row r="3017" spans="1:9" x14ac:dyDescent="0.25">
      <c r="A3017" s="218" t="s">
        <v>220</v>
      </c>
      <c r="B3017" s="218" t="s">
        <v>2351</v>
      </c>
      <c r="C3017" s="219" t="s">
        <v>3781</v>
      </c>
      <c r="D3017" s="212" t="s">
        <v>3782</v>
      </c>
      <c r="E3017" s="212" t="s">
        <v>545</v>
      </c>
      <c r="F3017" s="213">
        <v>5</v>
      </c>
      <c r="G3017" s="213">
        <v>31.045999999999999</v>
      </c>
      <c r="H3017" s="195">
        <v>155.22999999999999</v>
      </c>
      <c r="I3017" s="212" t="s">
        <v>2354</v>
      </c>
    </row>
    <row r="3018" spans="1:9" x14ac:dyDescent="0.25">
      <c r="A3018" s="218" t="s">
        <v>220</v>
      </c>
      <c r="B3018" s="218" t="s">
        <v>2351</v>
      </c>
      <c r="C3018" s="219" t="s">
        <v>2710</v>
      </c>
      <c r="D3018" s="212" t="s">
        <v>2711</v>
      </c>
      <c r="E3018" s="212" t="s">
        <v>2387</v>
      </c>
      <c r="F3018" s="213">
        <v>5</v>
      </c>
      <c r="G3018" s="213">
        <v>31.05</v>
      </c>
      <c r="H3018" s="195">
        <v>155.25</v>
      </c>
      <c r="I3018" s="212" t="s">
        <v>2354</v>
      </c>
    </row>
    <row r="3019" spans="1:9" x14ac:dyDescent="0.25">
      <c r="A3019" s="218" t="s">
        <v>220</v>
      </c>
      <c r="B3019" s="218" t="s">
        <v>5430</v>
      </c>
      <c r="C3019" s="219" t="s">
        <v>5803</v>
      </c>
      <c r="D3019" s="212" t="s">
        <v>5804</v>
      </c>
      <c r="E3019" s="212" t="s">
        <v>545</v>
      </c>
      <c r="F3019" s="213">
        <v>3</v>
      </c>
      <c r="G3019" s="213">
        <v>51.75</v>
      </c>
      <c r="H3019" s="195">
        <v>155.25</v>
      </c>
      <c r="I3019" s="212" t="s">
        <v>2354</v>
      </c>
    </row>
    <row r="3020" spans="1:9" x14ac:dyDescent="0.25">
      <c r="A3020" s="218" t="s">
        <v>220</v>
      </c>
      <c r="B3020" s="218" t="s">
        <v>2351</v>
      </c>
      <c r="C3020" s="219" t="s">
        <v>4877</v>
      </c>
      <c r="D3020" s="212" t="s">
        <v>4878</v>
      </c>
      <c r="E3020" s="212" t="s">
        <v>545</v>
      </c>
      <c r="F3020" s="213">
        <v>152</v>
      </c>
      <c r="G3020" s="213">
        <v>1.0269999999999999</v>
      </c>
      <c r="H3020" s="195">
        <v>156.10399999999998</v>
      </c>
      <c r="I3020" s="212" t="s">
        <v>2354</v>
      </c>
    </row>
    <row r="3021" spans="1:9" x14ac:dyDescent="0.25">
      <c r="A3021" s="218" t="s">
        <v>220</v>
      </c>
      <c r="B3021" s="218" t="s">
        <v>2351</v>
      </c>
      <c r="C3021" s="219" t="s">
        <v>2998</v>
      </c>
      <c r="D3021" s="212" t="s">
        <v>2999</v>
      </c>
      <c r="E3021" s="212" t="s">
        <v>545</v>
      </c>
      <c r="F3021" s="213">
        <v>4</v>
      </c>
      <c r="G3021" s="213">
        <v>39.055500000000002</v>
      </c>
      <c r="H3021" s="195">
        <v>156.22200000000001</v>
      </c>
      <c r="I3021" s="212" t="s">
        <v>2354</v>
      </c>
    </row>
    <row r="3022" spans="1:9" x14ac:dyDescent="0.25">
      <c r="A3022" s="218" t="s">
        <v>220</v>
      </c>
      <c r="B3022" s="218" t="s">
        <v>5430</v>
      </c>
      <c r="C3022" s="219" t="s">
        <v>4339</v>
      </c>
      <c r="D3022" s="212" t="s">
        <v>5461</v>
      </c>
      <c r="E3022" s="212" t="s">
        <v>545</v>
      </c>
      <c r="F3022" s="213">
        <v>7</v>
      </c>
      <c r="G3022" s="213">
        <v>22.395800000000001</v>
      </c>
      <c r="H3022" s="195">
        <v>156.7706</v>
      </c>
      <c r="I3022" s="212" t="s">
        <v>2354</v>
      </c>
    </row>
    <row r="3023" spans="1:9" x14ac:dyDescent="0.25">
      <c r="A3023" s="218" t="s">
        <v>220</v>
      </c>
      <c r="B3023" s="218" t="s">
        <v>2351</v>
      </c>
      <c r="C3023" s="219" t="s">
        <v>2419</v>
      </c>
      <c r="D3023" s="212" t="s">
        <v>2420</v>
      </c>
      <c r="E3023" s="212" t="s">
        <v>545</v>
      </c>
      <c r="F3023" s="213">
        <v>13</v>
      </c>
      <c r="G3023" s="213">
        <v>12.07</v>
      </c>
      <c r="H3023" s="195">
        <v>156.91</v>
      </c>
      <c r="I3023" s="212" t="s">
        <v>2354</v>
      </c>
    </row>
    <row r="3024" spans="1:9" x14ac:dyDescent="0.25">
      <c r="A3024" s="218" t="s">
        <v>220</v>
      </c>
      <c r="B3024" s="218" t="s">
        <v>5430</v>
      </c>
      <c r="C3024" s="219" t="s">
        <v>6439</v>
      </c>
      <c r="D3024" s="212" t="s">
        <v>6440</v>
      </c>
      <c r="E3024" s="212" t="s">
        <v>545</v>
      </c>
      <c r="F3024" s="213">
        <v>2</v>
      </c>
      <c r="G3024" s="213">
        <v>78.525000000000006</v>
      </c>
      <c r="H3024" s="195">
        <v>157.05000000000001</v>
      </c>
      <c r="I3024" s="212" t="s">
        <v>2354</v>
      </c>
    </row>
    <row r="3025" spans="1:9" x14ac:dyDescent="0.25">
      <c r="A3025" s="218" t="s">
        <v>220</v>
      </c>
      <c r="B3025" s="218" t="s">
        <v>5430</v>
      </c>
      <c r="C3025" s="219" t="s">
        <v>6975</v>
      </c>
      <c r="D3025" s="212" t="s">
        <v>6976</v>
      </c>
      <c r="E3025" s="212" t="s">
        <v>545</v>
      </c>
      <c r="F3025" s="213">
        <v>1</v>
      </c>
      <c r="G3025" s="213">
        <v>157.45500000000001</v>
      </c>
      <c r="H3025" s="195">
        <v>157.45500000000001</v>
      </c>
      <c r="I3025" s="212" t="s">
        <v>2354</v>
      </c>
    </row>
    <row r="3026" spans="1:9" x14ac:dyDescent="0.25">
      <c r="A3026" s="218" t="s">
        <v>220</v>
      </c>
      <c r="B3026" s="218" t="s">
        <v>2351</v>
      </c>
      <c r="C3026" s="219" t="s">
        <v>3639</v>
      </c>
      <c r="D3026" s="212" t="s">
        <v>3640</v>
      </c>
      <c r="E3026" s="212" t="s">
        <v>545</v>
      </c>
      <c r="F3026" s="213">
        <v>79</v>
      </c>
      <c r="G3026" s="213">
        <v>1.9935000000000003</v>
      </c>
      <c r="H3026" s="195">
        <v>157.48650000000004</v>
      </c>
      <c r="I3026" s="212" t="s">
        <v>2354</v>
      </c>
    </row>
    <row r="3027" spans="1:9" x14ac:dyDescent="0.25">
      <c r="A3027" s="218" t="s">
        <v>220</v>
      </c>
      <c r="B3027" s="218" t="s">
        <v>5430</v>
      </c>
      <c r="C3027" s="219" t="s">
        <v>6815</v>
      </c>
      <c r="D3027" s="212" t="s">
        <v>6816</v>
      </c>
      <c r="E3027" s="212" t="s">
        <v>545</v>
      </c>
      <c r="F3027" s="213">
        <v>1</v>
      </c>
      <c r="G3027" s="213">
        <v>157.5</v>
      </c>
      <c r="H3027" s="195">
        <v>157.5</v>
      </c>
      <c r="I3027" s="212" t="s">
        <v>2354</v>
      </c>
    </row>
    <row r="3028" spans="1:9" x14ac:dyDescent="0.25">
      <c r="A3028" s="218" t="s">
        <v>220</v>
      </c>
      <c r="B3028" s="218" t="s">
        <v>5430</v>
      </c>
      <c r="C3028" s="219" t="s">
        <v>7139</v>
      </c>
      <c r="D3028" s="212" t="s">
        <v>7140</v>
      </c>
      <c r="E3028" s="212" t="s">
        <v>545</v>
      </c>
      <c r="F3028" s="213">
        <v>120</v>
      </c>
      <c r="G3028" s="213">
        <v>1.3158000000000001</v>
      </c>
      <c r="H3028" s="195">
        <v>157.89600000000002</v>
      </c>
      <c r="I3028" s="212" t="s">
        <v>2354</v>
      </c>
    </row>
    <row r="3029" spans="1:9" x14ac:dyDescent="0.25">
      <c r="A3029" s="218" t="s">
        <v>220</v>
      </c>
      <c r="B3029" s="218" t="s">
        <v>5430</v>
      </c>
      <c r="C3029" s="219" t="s">
        <v>5676</v>
      </c>
      <c r="D3029" s="212" t="s">
        <v>5677</v>
      </c>
      <c r="E3029" s="212" t="s">
        <v>545</v>
      </c>
      <c r="F3029" s="213">
        <v>2</v>
      </c>
      <c r="G3029" s="213">
        <v>79.11</v>
      </c>
      <c r="H3029" s="195">
        <v>158.22</v>
      </c>
      <c r="I3029" s="212" t="s">
        <v>2354</v>
      </c>
    </row>
    <row r="3030" spans="1:9" x14ac:dyDescent="0.25">
      <c r="A3030" s="218" t="s">
        <v>220</v>
      </c>
      <c r="B3030" s="218" t="s">
        <v>5430</v>
      </c>
      <c r="C3030" s="219" t="s">
        <v>6811</v>
      </c>
      <c r="D3030" s="212" t="s">
        <v>6812</v>
      </c>
      <c r="E3030" s="212" t="s">
        <v>545</v>
      </c>
      <c r="F3030" s="213">
        <v>1</v>
      </c>
      <c r="G3030" s="213">
        <v>158.32149999999999</v>
      </c>
      <c r="H3030" s="195">
        <v>158.32149999999999</v>
      </c>
      <c r="I3030" s="212" t="s">
        <v>2354</v>
      </c>
    </row>
    <row r="3031" spans="1:9" x14ac:dyDescent="0.25">
      <c r="A3031" s="218" t="s">
        <v>220</v>
      </c>
      <c r="B3031" s="218" t="s">
        <v>2351</v>
      </c>
      <c r="C3031" s="219" t="s">
        <v>2411</v>
      </c>
      <c r="D3031" s="212" t="s">
        <v>2412</v>
      </c>
      <c r="E3031" s="212" t="s">
        <v>545</v>
      </c>
      <c r="F3031" s="213">
        <v>55</v>
      </c>
      <c r="G3031" s="213">
        <v>2.88</v>
      </c>
      <c r="H3031" s="195">
        <v>158.4</v>
      </c>
      <c r="I3031" s="212" t="s">
        <v>2354</v>
      </c>
    </row>
    <row r="3032" spans="1:9" x14ac:dyDescent="0.25">
      <c r="A3032" s="218" t="s">
        <v>220</v>
      </c>
      <c r="B3032" s="218" t="s">
        <v>2351</v>
      </c>
      <c r="C3032" s="219" t="s">
        <v>5236</v>
      </c>
      <c r="D3032" s="212" t="s">
        <v>5237</v>
      </c>
      <c r="E3032" s="212" t="s">
        <v>545</v>
      </c>
      <c r="F3032" s="213">
        <v>1</v>
      </c>
      <c r="G3032" s="213">
        <v>158.625</v>
      </c>
      <c r="H3032" s="195">
        <v>158.625</v>
      </c>
      <c r="I3032" s="212" t="s">
        <v>2354</v>
      </c>
    </row>
    <row r="3033" spans="1:9" x14ac:dyDescent="0.25">
      <c r="A3033" s="218" t="s">
        <v>220</v>
      </c>
      <c r="B3033" s="218" t="s">
        <v>2351</v>
      </c>
      <c r="C3033" s="219" t="s">
        <v>2988</v>
      </c>
      <c r="D3033" s="212" t="s">
        <v>2989</v>
      </c>
      <c r="E3033" s="212" t="s">
        <v>545</v>
      </c>
      <c r="F3033" s="213">
        <v>1</v>
      </c>
      <c r="G3033" s="213">
        <v>158.904</v>
      </c>
      <c r="H3033" s="195">
        <v>158.904</v>
      </c>
      <c r="I3033" s="212" t="s">
        <v>2354</v>
      </c>
    </row>
    <row r="3034" spans="1:9" x14ac:dyDescent="0.25">
      <c r="A3034" s="218" t="s">
        <v>220</v>
      </c>
      <c r="B3034" s="218" t="s">
        <v>5430</v>
      </c>
      <c r="C3034" s="219" t="s">
        <v>5711</v>
      </c>
      <c r="D3034" s="212" t="s">
        <v>5712</v>
      </c>
      <c r="E3034" s="212" t="s">
        <v>545</v>
      </c>
      <c r="F3034" s="213">
        <v>5</v>
      </c>
      <c r="G3034" s="213">
        <v>31.806000000000001</v>
      </c>
      <c r="H3034" s="195">
        <v>159.03</v>
      </c>
      <c r="I3034" s="212" t="s">
        <v>2354</v>
      </c>
    </row>
    <row r="3035" spans="1:9" x14ac:dyDescent="0.25">
      <c r="A3035" s="218" t="s">
        <v>220</v>
      </c>
      <c r="B3035" s="218" t="s">
        <v>5430</v>
      </c>
      <c r="C3035" s="219" t="s">
        <v>7119</v>
      </c>
      <c r="D3035" s="212" t="s">
        <v>7120</v>
      </c>
      <c r="E3035" s="212" t="s">
        <v>545</v>
      </c>
      <c r="F3035" s="213">
        <v>3</v>
      </c>
      <c r="G3035" s="213">
        <v>53.29</v>
      </c>
      <c r="H3035" s="195">
        <v>159.87</v>
      </c>
      <c r="I3035" s="212" t="s">
        <v>2354</v>
      </c>
    </row>
    <row r="3036" spans="1:9" x14ac:dyDescent="0.25">
      <c r="A3036" s="218" t="s">
        <v>220</v>
      </c>
      <c r="B3036" s="218" t="s">
        <v>5430</v>
      </c>
      <c r="C3036" s="219" t="s">
        <v>6200</v>
      </c>
      <c r="D3036" s="212" t="s">
        <v>6201</v>
      </c>
      <c r="E3036" s="212" t="s">
        <v>545</v>
      </c>
      <c r="F3036" s="213">
        <v>7</v>
      </c>
      <c r="G3036" s="213">
        <v>22.859999999999996</v>
      </c>
      <c r="H3036" s="195">
        <v>160.01999999999998</v>
      </c>
      <c r="I3036" s="212" t="s">
        <v>2354</v>
      </c>
    </row>
    <row r="3037" spans="1:9" x14ac:dyDescent="0.25">
      <c r="A3037" s="218" t="s">
        <v>220</v>
      </c>
      <c r="B3037" s="218" t="s">
        <v>5430</v>
      </c>
      <c r="C3037" s="219" t="s">
        <v>6773</v>
      </c>
      <c r="D3037" s="212" t="s">
        <v>6774</v>
      </c>
      <c r="E3037" s="212" t="s">
        <v>545</v>
      </c>
      <c r="F3037" s="213">
        <v>9</v>
      </c>
      <c r="G3037" s="213">
        <v>17.920000000000002</v>
      </c>
      <c r="H3037" s="195">
        <v>161.28000000000003</v>
      </c>
      <c r="I3037" s="212" t="s">
        <v>2354</v>
      </c>
    </row>
    <row r="3038" spans="1:9" x14ac:dyDescent="0.25">
      <c r="A3038" s="218" t="s">
        <v>220</v>
      </c>
      <c r="B3038" s="218" t="s">
        <v>2351</v>
      </c>
      <c r="C3038" s="219" t="s">
        <v>4109</v>
      </c>
      <c r="D3038" s="212" t="s">
        <v>4110</v>
      </c>
      <c r="E3038" s="212" t="s">
        <v>545</v>
      </c>
      <c r="F3038" s="213">
        <v>2</v>
      </c>
      <c r="G3038" s="213">
        <v>80.91</v>
      </c>
      <c r="H3038" s="195">
        <v>161.82</v>
      </c>
      <c r="I3038" s="212" t="s">
        <v>2354</v>
      </c>
    </row>
    <row r="3039" spans="1:9" x14ac:dyDescent="0.25">
      <c r="A3039" s="218" t="s">
        <v>220</v>
      </c>
      <c r="B3039" s="218" t="s">
        <v>2351</v>
      </c>
      <c r="C3039" s="219" t="s">
        <v>4818</v>
      </c>
      <c r="D3039" s="212" t="s">
        <v>4819</v>
      </c>
      <c r="E3039" s="212" t="s">
        <v>545</v>
      </c>
      <c r="F3039" s="213">
        <v>350</v>
      </c>
      <c r="G3039" s="213">
        <v>0.46300000000000002</v>
      </c>
      <c r="H3039" s="195">
        <v>162.05000000000001</v>
      </c>
      <c r="I3039" s="212" t="s">
        <v>2354</v>
      </c>
    </row>
    <row r="3040" spans="1:9" x14ac:dyDescent="0.25">
      <c r="A3040" s="218" t="s">
        <v>220</v>
      </c>
      <c r="B3040" s="218" t="s">
        <v>2351</v>
      </c>
      <c r="C3040" s="219" t="s">
        <v>2417</v>
      </c>
      <c r="D3040" s="212" t="s">
        <v>2430</v>
      </c>
      <c r="E3040" s="212" t="s">
        <v>545</v>
      </c>
      <c r="F3040" s="213">
        <v>10</v>
      </c>
      <c r="G3040" s="213">
        <v>16.22</v>
      </c>
      <c r="H3040" s="195">
        <v>162.19999999999999</v>
      </c>
      <c r="I3040" s="212" t="s">
        <v>2354</v>
      </c>
    </row>
    <row r="3041" spans="1:9" x14ac:dyDescent="0.25">
      <c r="A3041" s="218" t="s">
        <v>220</v>
      </c>
      <c r="B3041" s="218" t="s">
        <v>2351</v>
      </c>
      <c r="C3041" s="219" t="s">
        <v>3899</v>
      </c>
      <c r="D3041" s="212" t="s">
        <v>3900</v>
      </c>
      <c r="E3041" s="212" t="s">
        <v>545</v>
      </c>
      <c r="F3041" s="213">
        <v>28</v>
      </c>
      <c r="G3041" s="213">
        <v>5.7948750000000002</v>
      </c>
      <c r="H3041" s="195">
        <v>162.25650000000002</v>
      </c>
      <c r="I3041" s="212" t="s">
        <v>2354</v>
      </c>
    </row>
    <row r="3042" spans="1:9" x14ac:dyDescent="0.25">
      <c r="A3042" s="218" t="s">
        <v>220</v>
      </c>
      <c r="B3042" s="218" t="s">
        <v>2351</v>
      </c>
      <c r="C3042" s="219" t="s">
        <v>2404</v>
      </c>
      <c r="D3042" s="212" t="s">
        <v>2405</v>
      </c>
      <c r="E3042" s="212" t="s">
        <v>545</v>
      </c>
      <c r="F3042" s="213">
        <v>12</v>
      </c>
      <c r="G3042" s="213">
        <v>13.53</v>
      </c>
      <c r="H3042" s="195">
        <v>162.35999999999999</v>
      </c>
      <c r="I3042" s="212" t="s">
        <v>2354</v>
      </c>
    </row>
    <row r="3043" spans="1:9" x14ac:dyDescent="0.25">
      <c r="A3043" s="218" t="s">
        <v>220</v>
      </c>
      <c r="B3043" s="218" t="s">
        <v>2351</v>
      </c>
      <c r="C3043" s="219" t="s">
        <v>4929</v>
      </c>
      <c r="D3043" s="212" t="s">
        <v>4930</v>
      </c>
      <c r="E3043" s="212" t="s">
        <v>545</v>
      </c>
      <c r="F3043" s="213">
        <v>536</v>
      </c>
      <c r="G3043" s="213">
        <v>0.30299999999999999</v>
      </c>
      <c r="H3043" s="195">
        <v>162.40799999999999</v>
      </c>
      <c r="I3043" s="212" t="s">
        <v>2354</v>
      </c>
    </row>
    <row r="3044" spans="1:9" x14ac:dyDescent="0.25">
      <c r="A3044" s="218" t="s">
        <v>220</v>
      </c>
      <c r="B3044" s="218" t="s">
        <v>2351</v>
      </c>
      <c r="C3044" s="219" t="s">
        <v>3787</v>
      </c>
      <c r="D3044" s="212" t="s">
        <v>3788</v>
      </c>
      <c r="E3044" s="212" t="s">
        <v>545</v>
      </c>
      <c r="F3044" s="213">
        <v>6</v>
      </c>
      <c r="G3044" s="213">
        <v>27.2</v>
      </c>
      <c r="H3044" s="195">
        <v>163.19999999999999</v>
      </c>
      <c r="I3044" s="212" t="s">
        <v>2354</v>
      </c>
    </row>
    <row r="3045" spans="1:9" x14ac:dyDescent="0.25">
      <c r="A3045" s="218" t="s">
        <v>220</v>
      </c>
      <c r="B3045" s="218" t="s">
        <v>5430</v>
      </c>
      <c r="C3045" s="219" t="s">
        <v>5779</v>
      </c>
      <c r="D3045" s="212" t="s">
        <v>5780</v>
      </c>
      <c r="E3045" s="212" t="s">
        <v>545</v>
      </c>
      <c r="F3045" s="213">
        <v>2</v>
      </c>
      <c r="G3045" s="213">
        <v>81.62</v>
      </c>
      <c r="H3045" s="195">
        <v>163.24</v>
      </c>
      <c r="I3045" s="212" t="s">
        <v>2354</v>
      </c>
    </row>
    <row r="3046" spans="1:9" x14ac:dyDescent="0.25">
      <c r="A3046" s="218" t="s">
        <v>220</v>
      </c>
      <c r="B3046" s="218" t="s">
        <v>2351</v>
      </c>
      <c r="C3046" s="219" t="s">
        <v>3437</v>
      </c>
      <c r="D3046" s="212" t="s">
        <v>3438</v>
      </c>
      <c r="E3046" s="212" t="s">
        <v>2387</v>
      </c>
      <c r="F3046" s="213">
        <v>36</v>
      </c>
      <c r="G3046" s="213">
        <v>4.5476999999999999</v>
      </c>
      <c r="H3046" s="195">
        <v>163.71719999999999</v>
      </c>
      <c r="I3046" s="212" t="s">
        <v>2354</v>
      </c>
    </row>
    <row r="3047" spans="1:9" x14ac:dyDescent="0.25">
      <c r="A3047" s="218" t="s">
        <v>220</v>
      </c>
      <c r="B3047" s="218" t="s">
        <v>2351</v>
      </c>
      <c r="C3047" s="219" t="s">
        <v>3363</v>
      </c>
      <c r="D3047" s="212" t="s">
        <v>3364</v>
      </c>
      <c r="E3047" s="212" t="s">
        <v>545</v>
      </c>
      <c r="F3047" s="213">
        <v>89</v>
      </c>
      <c r="G3047" s="213">
        <v>1.8508579999999999</v>
      </c>
      <c r="H3047" s="195">
        <v>164.72636199999999</v>
      </c>
      <c r="I3047" s="212" t="s">
        <v>2354</v>
      </c>
    </row>
    <row r="3048" spans="1:9" x14ac:dyDescent="0.25">
      <c r="A3048" s="218" t="s">
        <v>220</v>
      </c>
      <c r="B3048" s="218" t="s">
        <v>5430</v>
      </c>
      <c r="C3048" s="219" t="s">
        <v>6247</v>
      </c>
      <c r="D3048" s="212" t="s">
        <v>6248</v>
      </c>
      <c r="E3048" s="212" t="s">
        <v>545</v>
      </c>
      <c r="F3048" s="213">
        <v>21</v>
      </c>
      <c r="G3048" s="213">
        <v>7.8668181818181813</v>
      </c>
      <c r="H3048" s="195">
        <v>165.2031818181818</v>
      </c>
      <c r="I3048" s="212" t="s">
        <v>2354</v>
      </c>
    </row>
    <row r="3049" spans="1:9" x14ac:dyDescent="0.25">
      <c r="A3049" s="218" t="s">
        <v>220</v>
      </c>
      <c r="B3049" s="218" t="s">
        <v>2351</v>
      </c>
      <c r="C3049" s="219" t="s">
        <v>4865</v>
      </c>
      <c r="D3049" s="212" t="s">
        <v>4866</v>
      </c>
      <c r="E3049" s="212" t="s">
        <v>545</v>
      </c>
      <c r="F3049" s="213">
        <v>321</v>
      </c>
      <c r="G3049" s="213">
        <v>0.51533571428571434</v>
      </c>
      <c r="H3049" s="195">
        <v>165.42276428571429</v>
      </c>
      <c r="I3049" s="212" t="s">
        <v>2354</v>
      </c>
    </row>
    <row r="3050" spans="1:9" x14ac:dyDescent="0.25">
      <c r="A3050" s="218" t="s">
        <v>220</v>
      </c>
      <c r="B3050" s="218" t="s">
        <v>5430</v>
      </c>
      <c r="C3050" s="219" t="s">
        <v>6038</v>
      </c>
      <c r="D3050" s="212" t="s">
        <v>6039</v>
      </c>
      <c r="E3050" s="212" t="s">
        <v>545</v>
      </c>
      <c r="F3050" s="213">
        <v>6</v>
      </c>
      <c r="G3050" s="213">
        <v>27.622640000000001</v>
      </c>
      <c r="H3050" s="195">
        <v>165.73584</v>
      </c>
      <c r="I3050" s="212" t="s">
        <v>2354</v>
      </c>
    </row>
    <row r="3051" spans="1:9" x14ac:dyDescent="0.25">
      <c r="A3051" s="218" t="s">
        <v>220</v>
      </c>
      <c r="B3051" s="218" t="s">
        <v>5430</v>
      </c>
      <c r="C3051" s="219" t="s">
        <v>6425</v>
      </c>
      <c r="D3051" s="212" t="s">
        <v>6426</v>
      </c>
      <c r="E3051" s="212" t="s">
        <v>545</v>
      </c>
      <c r="F3051" s="213">
        <v>2</v>
      </c>
      <c r="G3051" s="213">
        <v>83.16</v>
      </c>
      <c r="H3051" s="195">
        <v>166.32</v>
      </c>
      <c r="I3051" s="212" t="s">
        <v>2354</v>
      </c>
    </row>
    <row r="3052" spans="1:9" x14ac:dyDescent="0.25">
      <c r="A3052" s="218" t="s">
        <v>220</v>
      </c>
      <c r="B3052" s="218" t="s">
        <v>5430</v>
      </c>
      <c r="C3052" s="219" t="s">
        <v>6771</v>
      </c>
      <c r="D3052" s="212" t="s">
        <v>6772</v>
      </c>
      <c r="E3052" s="212" t="s">
        <v>545</v>
      </c>
      <c r="F3052" s="213">
        <v>1</v>
      </c>
      <c r="G3052" s="213">
        <v>166.86</v>
      </c>
      <c r="H3052" s="195">
        <v>166.86</v>
      </c>
      <c r="I3052" s="212" t="s">
        <v>2354</v>
      </c>
    </row>
    <row r="3053" spans="1:9" x14ac:dyDescent="0.25">
      <c r="A3053" s="218" t="s">
        <v>220</v>
      </c>
      <c r="B3053" s="218" t="s">
        <v>5430</v>
      </c>
      <c r="C3053" s="219" t="s">
        <v>6819</v>
      </c>
      <c r="D3053" s="212" t="s">
        <v>6820</v>
      </c>
      <c r="E3053" s="212" t="s">
        <v>545</v>
      </c>
      <c r="F3053" s="213">
        <v>1</v>
      </c>
      <c r="G3053" s="213">
        <v>167.148</v>
      </c>
      <c r="H3053" s="195">
        <v>167.148</v>
      </c>
      <c r="I3053" s="212" t="s">
        <v>2354</v>
      </c>
    </row>
    <row r="3054" spans="1:9" x14ac:dyDescent="0.25">
      <c r="A3054" s="218" t="s">
        <v>220</v>
      </c>
      <c r="B3054" s="218" t="s">
        <v>5430</v>
      </c>
      <c r="C3054" s="219" t="s">
        <v>5949</v>
      </c>
      <c r="D3054" s="212" t="s">
        <v>5950</v>
      </c>
      <c r="E3054" s="212" t="s">
        <v>545</v>
      </c>
      <c r="F3054" s="213">
        <v>7</v>
      </c>
      <c r="G3054" s="213">
        <v>23.895</v>
      </c>
      <c r="H3054" s="195">
        <v>167.26499999999999</v>
      </c>
      <c r="I3054" s="212" t="s">
        <v>2354</v>
      </c>
    </row>
    <row r="3055" spans="1:9" x14ac:dyDescent="0.25">
      <c r="A3055" s="218" t="s">
        <v>220</v>
      </c>
      <c r="B3055" s="218" t="s">
        <v>2351</v>
      </c>
      <c r="C3055" s="219" t="s">
        <v>3993</v>
      </c>
      <c r="D3055" s="212" t="s">
        <v>3994</v>
      </c>
      <c r="E3055" s="212" t="s">
        <v>545</v>
      </c>
      <c r="F3055" s="213">
        <v>2</v>
      </c>
      <c r="G3055" s="213">
        <v>83.674999999999997</v>
      </c>
      <c r="H3055" s="195">
        <v>167.35</v>
      </c>
      <c r="I3055" s="212" t="s">
        <v>2354</v>
      </c>
    </row>
    <row r="3056" spans="1:9" x14ac:dyDescent="0.25">
      <c r="A3056" s="218" t="s">
        <v>220</v>
      </c>
      <c r="B3056" s="218" t="s">
        <v>5430</v>
      </c>
      <c r="C3056" s="219" t="s">
        <v>3955</v>
      </c>
      <c r="D3056" s="212" t="s">
        <v>3956</v>
      </c>
      <c r="E3056" s="212" t="s">
        <v>545</v>
      </c>
      <c r="F3056" s="213">
        <v>2</v>
      </c>
      <c r="G3056" s="213">
        <v>83.718000000000004</v>
      </c>
      <c r="H3056" s="195">
        <v>167.43600000000001</v>
      </c>
      <c r="I3056" s="212" t="s">
        <v>2354</v>
      </c>
    </row>
    <row r="3057" spans="1:9" x14ac:dyDescent="0.25">
      <c r="A3057" s="218" t="s">
        <v>220</v>
      </c>
      <c r="B3057" s="218" t="s">
        <v>2351</v>
      </c>
      <c r="C3057" s="219" t="s">
        <v>2480</v>
      </c>
      <c r="D3057" s="212" t="s">
        <v>2481</v>
      </c>
      <c r="E3057" s="212" t="s">
        <v>545</v>
      </c>
      <c r="F3057" s="213">
        <v>4</v>
      </c>
      <c r="G3057" s="213">
        <v>42</v>
      </c>
      <c r="H3057" s="195">
        <v>168</v>
      </c>
      <c r="I3057" s="212" t="s">
        <v>2354</v>
      </c>
    </row>
    <row r="3058" spans="1:9" x14ac:dyDescent="0.25">
      <c r="A3058" s="218" t="s">
        <v>220</v>
      </c>
      <c r="B3058" s="218" t="s">
        <v>5430</v>
      </c>
      <c r="C3058" s="219" t="s">
        <v>6139</v>
      </c>
      <c r="D3058" s="212" t="s">
        <v>6140</v>
      </c>
      <c r="E3058" s="212" t="s">
        <v>545</v>
      </c>
      <c r="F3058" s="213">
        <v>6</v>
      </c>
      <c r="G3058" s="213">
        <v>28.08</v>
      </c>
      <c r="H3058" s="195">
        <v>168.48</v>
      </c>
      <c r="I3058" s="212" t="s">
        <v>2354</v>
      </c>
    </row>
    <row r="3059" spans="1:9" x14ac:dyDescent="0.25">
      <c r="A3059" s="218" t="s">
        <v>220</v>
      </c>
      <c r="B3059" s="218" t="s">
        <v>2351</v>
      </c>
      <c r="C3059" s="219" t="s">
        <v>3285</v>
      </c>
      <c r="D3059" s="212" t="s">
        <v>3286</v>
      </c>
      <c r="E3059" s="212" t="s">
        <v>545</v>
      </c>
      <c r="F3059" s="213">
        <v>15</v>
      </c>
      <c r="G3059" s="213">
        <v>11.2506</v>
      </c>
      <c r="H3059" s="195">
        <v>168.75900000000001</v>
      </c>
      <c r="I3059" s="212" t="s">
        <v>2354</v>
      </c>
    </row>
    <row r="3060" spans="1:9" x14ac:dyDescent="0.25">
      <c r="A3060" s="218" t="s">
        <v>220</v>
      </c>
      <c r="B3060" s="218" t="s">
        <v>5430</v>
      </c>
      <c r="C3060" s="219" t="s">
        <v>5743</v>
      </c>
      <c r="D3060" s="212" t="s">
        <v>5744</v>
      </c>
      <c r="E3060" s="212" t="s">
        <v>545</v>
      </c>
      <c r="F3060" s="213">
        <v>4</v>
      </c>
      <c r="G3060" s="213">
        <v>42.3</v>
      </c>
      <c r="H3060" s="195">
        <v>169.2</v>
      </c>
      <c r="I3060" s="212" t="s">
        <v>2354</v>
      </c>
    </row>
    <row r="3061" spans="1:9" x14ac:dyDescent="0.25">
      <c r="A3061" s="218" t="s">
        <v>220</v>
      </c>
      <c r="B3061" s="218" t="s">
        <v>5430</v>
      </c>
      <c r="C3061" s="219" t="s">
        <v>5687</v>
      </c>
      <c r="D3061" s="212" t="s">
        <v>5688</v>
      </c>
      <c r="E3061" s="212" t="s">
        <v>545</v>
      </c>
      <c r="F3061" s="213">
        <v>6</v>
      </c>
      <c r="G3061" s="213">
        <v>28.229260000000004</v>
      </c>
      <c r="H3061" s="195">
        <v>169.37556000000001</v>
      </c>
      <c r="I3061" s="212" t="s">
        <v>2354</v>
      </c>
    </row>
    <row r="3062" spans="1:9" x14ac:dyDescent="0.25">
      <c r="A3062" s="218" t="s">
        <v>220</v>
      </c>
      <c r="B3062" s="218" t="s">
        <v>2351</v>
      </c>
      <c r="C3062" s="219" t="s">
        <v>3034</v>
      </c>
      <c r="D3062" s="212" t="s">
        <v>3035</v>
      </c>
      <c r="E3062" s="212" t="s">
        <v>545</v>
      </c>
      <c r="F3062" s="213">
        <v>9</v>
      </c>
      <c r="G3062" s="213">
        <v>18.839700000000001</v>
      </c>
      <c r="H3062" s="195">
        <v>169.5573</v>
      </c>
      <c r="I3062" s="212" t="s">
        <v>2354</v>
      </c>
    </row>
    <row r="3063" spans="1:9" x14ac:dyDescent="0.25">
      <c r="A3063" s="218" t="s">
        <v>220</v>
      </c>
      <c r="B3063" s="218" t="s">
        <v>2351</v>
      </c>
      <c r="C3063" s="219" t="s">
        <v>3745</v>
      </c>
      <c r="D3063" s="212" t="s">
        <v>3746</v>
      </c>
      <c r="E3063" s="212" t="s">
        <v>2387</v>
      </c>
      <c r="F3063" s="213">
        <v>40</v>
      </c>
      <c r="G3063" s="213">
        <v>4.2410595238095237</v>
      </c>
      <c r="H3063" s="195">
        <v>169.64238095238096</v>
      </c>
      <c r="I3063" s="212" t="s">
        <v>2354</v>
      </c>
    </row>
    <row r="3064" spans="1:9" x14ac:dyDescent="0.25">
      <c r="A3064" s="218" t="s">
        <v>220</v>
      </c>
      <c r="B3064" s="218" t="s">
        <v>5430</v>
      </c>
      <c r="C3064" s="219" t="s">
        <v>5842</v>
      </c>
      <c r="D3064" s="212" t="s">
        <v>5843</v>
      </c>
      <c r="E3064" s="212" t="s">
        <v>545</v>
      </c>
      <c r="F3064" s="213">
        <v>8</v>
      </c>
      <c r="G3064" s="213">
        <v>21.231987428571426</v>
      </c>
      <c r="H3064" s="195">
        <v>169.8558994285714</v>
      </c>
      <c r="I3064" s="212" t="s">
        <v>2354</v>
      </c>
    </row>
    <row r="3065" spans="1:9" x14ac:dyDescent="0.25">
      <c r="A3065" s="218" t="s">
        <v>220</v>
      </c>
      <c r="B3065" s="218" t="s">
        <v>2351</v>
      </c>
      <c r="C3065" s="219" t="s">
        <v>3241</v>
      </c>
      <c r="D3065" s="212" t="s">
        <v>3242</v>
      </c>
      <c r="E3065" s="212" t="s">
        <v>545</v>
      </c>
      <c r="F3065" s="213">
        <v>2</v>
      </c>
      <c r="G3065" s="213">
        <v>84.96</v>
      </c>
      <c r="H3065" s="195">
        <v>169.92</v>
      </c>
      <c r="I3065" s="212" t="s">
        <v>2354</v>
      </c>
    </row>
    <row r="3066" spans="1:9" x14ac:dyDescent="0.25">
      <c r="A3066" s="218" t="s">
        <v>220</v>
      </c>
      <c r="B3066" s="218" t="s">
        <v>2351</v>
      </c>
      <c r="C3066" s="219" t="s">
        <v>4395</v>
      </c>
      <c r="D3066" s="212" t="s">
        <v>4396</v>
      </c>
      <c r="E3066" s="212" t="s">
        <v>545</v>
      </c>
      <c r="F3066" s="213">
        <v>25</v>
      </c>
      <c r="G3066" s="213">
        <v>6.8080000000000007</v>
      </c>
      <c r="H3066" s="195">
        <v>170.20000000000002</v>
      </c>
      <c r="I3066" s="212" t="s">
        <v>2354</v>
      </c>
    </row>
    <row r="3067" spans="1:9" x14ac:dyDescent="0.25">
      <c r="A3067" s="218" t="s">
        <v>220</v>
      </c>
      <c r="B3067" s="218" t="s">
        <v>5430</v>
      </c>
      <c r="C3067" s="219" t="s">
        <v>5532</v>
      </c>
      <c r="D3067" s="212" t="s">
        <v>5533</v>
      </c>
      <c r="E3067" s="212" t="s">
        <v>545</v>
      </c>
      <c r="F3067" s="213">
        <v>4</v>
      </c>
      <c r="G3067" s="213">
        <v>42.722999999999999</v>
      </c>
      <c r="H3067" s="195">
        <v>170.892</v>
      </c>
      <c r="I3067" s="212" t="s">
        <v>2354</v>
      </c>
    </row>
    <row r="3068" spans="1:9" x14ac:dyDescent="0.25">
      <c r="A3068" s="218" t="s">
        <v>220</v>
      </c>
      <c r="B3068" s="218" t="s">
        <v>2351</v>
      </c>
      <c r="C3068" s="219" t="s">
        <v>4303</v>
      </c>
      <c r="D3068" s="212" t="s">
        <v>4304</v>
      </c>
      <c r="E3068" s="212" t="s">
        <v>545</v>
      </c>
      <c r="F3068" s="213">
        <v>2</v>
      </c>
      <c r="G3068" s="213">
        <v>85.5</v>
      </c>
      <c r="H3068" s="195">
        <v>171</v>
      </c>
      <c r="I3068" s="212" t="s">
        <v>2354</v>
      </c>
    </row>
    <row r="3069" spans="1:9" x14ac:dyDescent="0.25">
      <c r="A3069" s="218" t="s">
        <v>220</v>
      </c>
      <c r="B3069" s="218" t="s">
        <v>5430</v>
      </c>
      <c r="C3069" s="219" t="s">
        <v>6979</v>
      </c>
      <c r="D3069" s="212" t="s">
        <v>6980</v>
      </c>
      <c r="E3069" s="212" t="s">
        <v>545</v>
      </c>
      <c r="F3069" s="213">
        <v>1</v>
      </c>
      <c r="G3069" s="213">
        <v>171</v>
      </c>
      <c r="H3069" s="195">
        <v>171</v>
      </c>
      <c r="I3069" s="212" t="s">
        <v>2354</v>
      </c>
    </row>
    <row r="3070" spans="1:9" x14ac:dyDescent="0.25">
      <c r="A3070" s="218" t="s">
        <v>220</v>
      </c>
      <c r="B3070" s="218" t="s">
        <v>2351</v>
      </c>
      <c r="C3070" s="219" t="s">
        <v>3905</v>
      </c>
      <c r="D3070" s="212" t="s">
        <v>3906</v>
      </c>
      <c r="E3070" s="212" t="s">
        <v>2387</v>
      </c>
      <c r="F3070" s="213">
        <v>7</v>
      </c>
      <c r="G3070" s="213">
        <v>24.5</v>
      </c>
      <c r="H3070" s="195">
        <v>171.5</v>
      </c>
      <c r="I3070" s="212" t="s">
        <v>2354</v>
      </c>
    </row>
    <row r="3071" spans="1:9" x14ac:dyDescent="0.25">
      <c r="A3071" s="218" t="s">
        <v>220</v>
      </c>
      <c r="B3071" s="218" t="s">
        <v>5430</v>
      </c>
      <c r="C3071" s="219" t="s">
        <v>7051</v>
      </c>
      <c r="D3071" s="212" t="s">
        <v>7052</v>
      </c>
      <c r="E3071" s="212" t="s">
        <v>545</v>
      </c>
      <c r="F3071" s="213">
        <v>5</v>
      </c>
      <c r="G3071" s="213">
        <v>34.305660000000003</v>
      </c>
      <c r="H3071" s="195">
        <v>171.5283</v>
      </c>
      <c r="I3071" s="212" t="s">
        <v>2354</v>
      </c>
    </row>
    <row r="3072" spans="1:9" x14ac:dyDescent="0.25">
      <c r="A3072" s="218" t="s">
        <v>220</v>
      </c>
      <c r="B3072" s="218" t="s">
        <v>5430</v>
      </c>
      <c r="C3072" s="219" t="s">
        <v>7053</v>
      </c>
      <c r="D3072" s="212" t="s">
        <v>7054</v>
      </c>
      <c r="E3072" s="212" t="s">
        <v>545</v>
      </c>
      <c r="F3072" s="213">
        <v>5</v>
      </c>
      <c r="G3072" s="213">
        <v>34.305660000000003</v>
      </c>
      <c r="H3072" s="195">
        <v>171.5283</v>
      </c>
      <c r="I3072" s="212" t="s">
        <v>2354</v>
      </c>
    </row>
    <row r="3073" spans="1:9" x14ac:dyDescent="0.25">
      <c r="A3073" s="218" t="s">
        <v>220</v>
      </c>
      <c r="B3073" s="218" t="s">
        <v>2351</v>
      </c>
      <c r="C3073" s="219" t="s">
        <v>3453</v>
      </c>
      <c r="D3073" s="212" t="s">
        <v>3454</v>
      </c>
      <c r="E3073" s="212" t="s">
        <v>545</v>
      </c>
      <c r="F3073" s="213">
        <v>150</v>
      </c>
      <c r="G3073" s="213">
        <v>1.1475</v>
      </c>
      <c r="H3073" s="195">
        <v>172.125</v>
      </c>
      <c r="I3073" s="212" t="s">
        <v>2354</v>
      </c>
    </row>
    <row r="3074" spans="1:9" x14ac:dyDescent="0.25">
      <c r="A3074" s="218" t="s">
        <v>220</v>
      </c>
      <c r="B3074" s="218" t="s">
        <v>5430</v>
      </c>
      <c r="C3074" s="219" t="s">
        <v>7097</v>
      </c>
      <c r="D3074" s="212" t="s">
        <v>7098</v>
      </c>
      <c r="E3074" s="212" t="s">
        <v>545</v>
      </c>
      <c r="F3074" s="213">
        <v>120</v>
      </c>
      <c r="G3074" s="213">
        <v>1.4379999999999999</v>
      </c>
      <c r="H3074" s="195">
        <v>172.56</v>
      </c>
      <c r="I3074" s="212" t="s">
        <v>2354</v>
      </c>
    </row>
    <row r="3075" spans="1:9" x14ac:dyDescent="0.25">
      <c r="A3075" s="218" t="s">
        <v>220</v>
      </c>
      <c r="B3075" s="218" t="s">
        <v>2351</v>
      </c>
      <c r="C3075" s="219" t="s">
        <v>3555</v>
      </c>
      <c r="D3075" s="212" t="s">
        <v>3556</v>
      </c>
      <c r="E3075" s="212" t="s">
        <v>545</v>
      </c>
      <c r="F3075" s="213">
        <v>43</v>
      </c>
      <c r="G3075" s="213">
        <v>4.0205000000000002</v>
      </c>
      <c r="H3075" s="195">
        <v>172.88150000000002</v>
      </c>
      <c r="I3075" s="212" t="s">
        <v>2354</v>
      </c>
    </row>
    <row r="3076" spans="1:9" x14ac:dyDescent="0.25">
      <c r="A3076" s="218" t="s">
        <v>220</v>
      </c>
      <c r="B3076" s="218" t="s">
        <v>2351</v>
      </c>
      <c r="C3076" s="219" t="s">
        <v>4201</v>
      </c>
      <c r="D3076" s="212" t="s">
        <v>4202</v>
      </c>
      <c r="E3076" s="212" t="s">
        <v>545</v>
      </c>
      <c r="F3076" s="213">
        <v>50</v>
      </c>
      <c r="G3076" s="213">
        <v>3.4649999999999999</v>
      </c>
      <c r="H3076" s="195">
        <v>173.25</v>
      </c>
      <c r="I3076" s="212" t="s">
        <v>2354</v>
      </c>
    </row>
    <row r="3077" spans="1:9" x14ac:dyDescent="0.25">
      <c r="A3077" s="218" t="s">
        <v>220</v>
      </c>
      <c r="B3077" s="218" t="s">
        <v>5430</v>
      </c>
      <c r="C3077" s="219" t="s">
        <v>4494</v>
      </c>
      <c r="D3077" s="212" t="s">
        <v>4495</v>
      </c>
      <c r="E3077" s="212" t="s">
        <v>545</v>
      </c>
      <c r="F3077" s="213">
        <v>14</v>
      </c>
      <c r="G3077" s="213">
        <v>12.4</v>
      </c>
      <c r="H3077" s="195">
        <v>173.6</v>
      </c>
      <c r="I3077" s="212" t="s">
        <v>2354</v>
      </c>
    </row>
    <row r="3078" spans="1:9" x14ac:dyDescent="0.25">
      <c r="A3078" s="218" t="s">
        <v>220</v>
      </c>
      <c r="B3078" s="218" t="s">
        <v>5430</v>
      </c>
      <c r="C3078" s="219" t="s">
        <v>6133</v>
      </c>
      <c r="D3078" s="212" t="s">
        <v>6134</v>
      </c>
      <c r="E3078" s="212" t="s">
        <v>545</v>
      </c>
      <c r="F3078" s="213">
        <v>4</v>
      </c>
      <c r="G3078" s="213">
        <v>43.556399999999996</v>
      </c>
      <c r="H3078" s="195">
        <v>174.22559999999999</v>
      </c>
      <c r="I3078" s="212" t="s">
        <v>2354</v>
      </c>
    </row>
    <row r="3079" spans="1:9" x14ac:dyDescent="0.25">
      <c r="A3079" s="218" t="s">
        <v>220</v>
      </c>
      <c r="B3079" s="218" t="s">
        <v>5430</v>
      </c>
      <c r="C3079" s="219" t="s">
        <v>6923</v>
      </c>
      <c r="D3079" s="212" t="s">
        <v>6924</v>
      </c>
      <c r="E3079" s="212" t="s">
        <v>545</v>
      </c>
      <c r="F3079" s="213">
        <v>1</v>
      </c>
      <c r="G3079" s="213">
        <v>174.29204333333331</v>
      </c>
      <c r="H3079" s="195">
        <v>174.29204333333331</v>
      </c>
      <c r="I3079" s="212" t="s">
        <v>2354</v>
      </c>
    </row>
    <row r="3080" spans="1:9" x14ac:dyDescent="0.25">
      <c r="A3080" s="218" t="s">
        <v>220</v>
      </c>
      <c r="B3080" s="218" t="s">
        <v>5430</v>
      </c>
      <c r="C3080" s="219" t="s">
        <v>5682</v>
      </c>
      <c r="D3080" s="212" t="s">
        <v>5683</v>
      </c>
      <c r="E3080" s="212" t="s">
        <v>7558</v>
      </c>
      <c r="F3080" s="213">
        <v>5</v>
      </c>
      <c r="G3080" s="213">
        <v>34.887184615384612</v>
      </c>
      <c r="H3080" s="195">
        <v>174.43592307692307</v>
      </c>
      <c r="I3080" s="212" t="s">
        <v>2354</v>
      </c>
    </row>
    <row r="3081" spans="1:9" x14ac:dyDescent="0.25">
      <c r="A3081" s="218" t="s">
        <v>220</v>
      </c>
      <c r="B3081" s="218" t="s">
        <v>2351</v>
      </c>
      <c r="C3081" s="219" t="s">
        <v>3113</v>
      </c>
      <c r="D3081" s="212" t="s">
        <v>3114</v>
      </c>
      <c r="E3081" s="212" t="s">
        <v>545</v>
      </c>
      <c r="F3081" s="213">
        <v>1</v>
      </c>
      <c r="G3081" s="213">
        <v>174.6</v>
      </c>
      <c r="H3081" s="195">
        <v>174.6</v>
      </c>
      <c r="I3081" s="212" t="s">
        <v>2354</v>
      </c>
    </row>
    <row r="3082" spans="1:9" x14ac:dyDescent="0.25">
      <c r="A3082" s="218" t="s">
        <v>220</v>
      </c>
      <c r="B3082" s="218" t="s">
        <v>2351</v>
      </c>
      <c r="C3082" s="219" t="s">
        <v>4389</v>
      </c>
      <c r="D3082" s="212" t="s">
        <v>4390</v>
      </c>
      <c r="E3082" s="212" t="s">
        <v>545</v>
      </c>
      <c r="F3082" s="213">
        <v>4</v>
      </c>
      <c r="G3082" s="213">
        <v>43.74</v>
      </c>
      <c r="H3082" s="195">
        <v>174.96</v>
      </c>
      <c r="I3082" s="212" t="s">
        <v>2354</v>
      </c>
    </row>
    <row r="3083" spans="1:9" x14ac:dyDescent="0.25">
      <c r="A3083" s="218" t="s">
        <v>220</v>
      </c>
      <c r="B3083" s="218" t="s">
        <v>5430</v>
      </c>
      <c r="C3083" s="219" t="s">
        <v>6026</v>
      </c>
      <c r="D3083" s="212" t="s">
        <v>6027</v>
      </c>
      <c r="E3083" s="212" t="s">
        <v>545</v>
      </c>
      <c r="F3083" s="210">
        <v>2</v>
      </c>
      <c r="G3083" s="213">
        <v>87.66</v>
      </c>
      <c r="H3083" s="195">
        <v>175.32</v>
      </c>
      <c r="I3083" s="212" t="s">
        <v>2354</v>
      </c>
    </row>
    <row r="3084" spans="1:9" x14ac:dyDescent="0.25">
      <c r="A3084" s="218" t="s">
        <v>220</v>
      </c>
      <c r="B3084" s="218" t="s">
        <v>5430</v>
      </c>
      <c r="C3084" s="219" t="s">
        <v>4243</v>
      </c>
      <c r="D3084" s="212" t="s">
        <v>4244</v>
      </c>
      <c r="E3084" s="212" t="s">
        <v>545</v>
      </c>
      <c r="F3084" s="213">
        <v>2</v>
      </c>
      <c r="G3084" s="213">
        <v>87.75</v>
      </c>
      <c r="H3084" s="195">
        <v>175.5</v>
      </c>
      <c r="I3084" s="212" t="s">
        <v>2354</v>
      </c>
    </row>
    <row r="3085" spans="1:9" x14ac:dyDescent="0.25">
      <c r="A3085" s="218" t="s">
        <v>220</v>
      </c>
      <c r="B3085" s="218" t="s">
        <v>2351</v>
      </c>
      <c r="C3085" s="219" t="s">
        <v>4079</v>
      </c>
      <c r="D3085" s="212" t="s">
        <v>4080</v>
      </c>
      <c r="E3085" s="212" t="s">
        <v>545</v>
      </c>
      <c r="F3085" s="220">
        <v>2</v>
      </c>
      <c r="G3085" s="213">
        <v>87.93</v>
      </c>
      <c r="H3085" s="195">
        <v>175.86</v>
      </c>
      <c r="I3085" s="212" t="s">
        <v>2354</v>
      </c>
    </row>
    <row r="3086" spans="1:9" x14ac:dyDescent="0.25">
      <c r="A3086" s="218" t="s">
        <v>220</v>
      </c>
      <c r="B3086" s="218" t="s">
        <v>5430</v>
      </c>
      <c r="C3086" s="219" t="s">
        <v>4079</v>
      </c>
      <c r="D3086" s="212" t="s">
        <v>4080</v>
      </c>
      <c r="E3086" s="212" t="s">
        <v>545</v>
      </c>
      <c r="F3086" s="213">
        <v>2</v>
      </c>
      <c r="G3086" s="213">
        <v>87.93</v>
      </c>
      <c r="H3086" s="195">
        <v>175.86</v>
      </c>
      <c r="I3086" s="212" t="s">
        <v>2354</v>
      </c>
    </row>
    <row r="3087" spans="1:9" x14ac:dyDescent="0.25">
      <c r="A3087" s="218" t="s">
        <v>220</v>
      </c>
      <c r="B3087" s="218" t="s">
        <v>5430</v>
      </c>
      <c r="C3087" s="219" t="s">
        <v>5911</v>
      </c>
      <c r="D3087" s="212" t="s">
        <v>5912</v>
      </c>
      <c r="E3087" s="212" t="s">
        <v>545</v>
      </c>
      <c r="F3087" s="213">
        <v>6</v>
      </c>
      <c r="G3087" s="213">
        <v>29.336232857142853</v>
      </c>
      <c r="H3087" s="195">
        <v>176.01739714285713</v>
      </c>
      <c r="I3087" s="212" t="s">
        <v>2354</v>
      </c>
    </row>
    <row r="3088" spans="1:9" x14ac:dyDescent="0.25">
      <c r="A3088" s="218" t="s">
        <v>220</v>
      </c>
      <c r="B3088" s="218" t="s">
        <v>5430</v>
      </c>
      <c r="C3088" s="219" t="s">
        <v>5680</v>
      </c>
      <c r="D3088" s="212" t="s">
        <v>5681</v>
      </c>
      <c r="E3088" s="212" t="s">
        <v>545</v>
      </c>
      <c r="F3088" s="213">
        <v>20</v>
      </c>
      <c r="G3088" s="213">
        <v>8.8109999999999999</v>
      </c>
      <c r="H3088" s="195">
        <v>176.22</v>
      </c>
      <c r="I3088" s="212" t="s">
        <v>2354</v>
      </c>
    </row>
    <row r="3089" spans="1:9" x14ac:dyDescent="0.25">
      <c r="A3089" s="218" t="s">
        <v>220</v>
      </c>
      <c r="B3089" s="218" t="s">
        <v>5430</v>
      </c>
      <c r="C3089" s="219" t="s">
        <v>4826</v>
      </c>
      <c r="D3089" s="212" t="s">
        <v>4827</v>
      </c>
      <c r="E3089" s="212" t="s">
        <v>545</v>
      </c>
      <c r="F3089" s="213">
        <v>160</v>
      </c>
      <c r="G3089" s="213">
        <v>1.1100000000000001</v>
      </c>
      <c r="H3089" s="195">
        <v>177.60000000000002</v>
      </c>
      <c r="I3089" s="212" t="s">
        <v>2354</v>
      </c>
    </row>
    <row r="3090" spans="1:9" x14ac:dyDescent="0.25">
      <c r="A3090" s="218" t="s">
        <v>220</v>
      </c>
      <c r="B3090" s="218" t="s">
        <v>5430</v>
      </c>
      <c r="C3090" s="219" t="s">
        <v>6889</v>
      </c>
      <c r="D3090" s="212" t="s">
        <v>6890</v>
      </c>
      <c r="E3090" s="212" t="s">
        <v>545</v>
      </c>
      <c r="F3090" s="213">
        <v>2</v>
      </c>
      <c r="G3090" s="213">
        <v>89.1</v>
      </c>
      <c r="H3090" s="195">
        <v>178.2</v>
      </c>
      <c r="I3090" s="212" t="s">
        <v>2354</v>
      </c>
    </row>
    <row r="3091" spans="1:9" x14ac:dyDescent="0.25">
      <c r="A3091" s="218" t="s">
        <v>220</v>
      </c>
      <c r="B3091" s="218" t="s">
        <v>5430</v>
      </c>
      <c r="C3091" s="219" t="s">
        <v>5725</v>
      </c>
      <c r="D3091" s="212" t="s">
        <v>5726</v>
      </c>
      <c r="E3091" s="212" t="s">
        <v>545</v>
      </c>
      <c r="F3091" s="213">
        <v>6</v>
      </c>
      <c r="G3091" s="213">
        <v>29.7</v>
      </c>
      <c r="H3091" s="195">
        <v>178.2</v>
      </c>
      <c r="I3091" s="212" t="s">
        <v>2354</v>
      </c>
    </row>
    <row r="3092" spans="1:9" x14ac:dyDescent="0.25">
      <c r="A3092" s="218" t="s">
        <v>220</v>
      </c>
      <c r="B3092" s="218" t="s">
        <v>2351</v>
      </c>
      <c r="C3092" s="219" t="s">
        <v>4077</v>
      </c>
      <c r="D3092" s="212" t="s">
        <v>4078</v>
      </c>
      <c r="E3092" s="212" t="s">
        <v>545</v>
      </c>
      <c r="F3092" s="213">
        <v>2</v>
      </c>
      <c r="G3092" s="213">
        <v>89.503</v>
      </c>
      <c r="H3092" s="195">
        <v>179.006</v>
      </c>
      <c r="I3092" s="212" t="s">
        <v>2354</v>
      </c>
    </row>
    <row r="3093" spans="1:9" x14ac:dyDescent="0.25">
      <c r="A3093" s="218" t="s">
        <v>220</v>
      </c>
      <c r="B3093" s="218" t="s">
        <v>2351</v>
      </c>
      <c r="C3093" s="219" t="s">
        <v>4893</v>
      </c>
      <c r="D3093" s="212" t="s">
        <v>4894</v>
      </c>
      <c r="E3093" s="212" t="s">
        <v>545</v>
      </c>
      <c r="F3093" s="213">
        <v>136</v>
      </c>
      <c r="G3093" s="213">
        <v>1.3174999999999999</v>
      </c>
      <c r="H3093" s="195">
        <v>179.17999999999998</v>
      </c>
      <c r="I3093" s="212" t="s">
        <v>2354</v>
      </c>
    </row>
    <row r="3094" spans="1:9" x14ac:dyDescent="0.25">
      <c r="A3094" s="218" t="s">
        <v>220</v>
      </c>
      <c r="B3094" s="218" t="s">
        <v>2351</v>
      </c>
      <c r="C3094" s="219" t="s">
        <v>3811</v>
      </c>
      <c r="D3094" s="212" t="s">
        <v>3812</v>
      </c>
      <c r="E3094" s="212" t="s">
        <v>545</v>
      </c>
      <c r="F3094" s="213">
        <v>2</v>
      </c>
      <c r="G3094" s="213">
        <v>89.798400000000001</v>
      </c>
      <c r="H3094" s="195">
        <v>179.5968</v>
      </c>
      <c r="I3094" s="212" t="s">
        <v>2354</v>
      </c>
    </row>
    <row r="3095" spans="1:9" x14ac:dyDescent="0.25">
      <c r="A3095" s="218" t="s">
        <v>220</v>
      </c>
      <c r="B3095" s="218" t="s">
        <v>5430</v>
      </c>
      <c r="C3095" s="219" t="s">
        <v>4698</v>
      </c>
      <c r="D3095" s="212" t="s">
        <v>4699</v>
      </c>
      <c r="E3095" s="212" t="s">
        <v>545</v>
      </c>
      <c r="F3095" s="213">
        <v>180</v>
      </c>
      <c r="G3095" s="213">
        <v>0.998</v>
      </c>
      <c r="H3095" s="195">
        <v>179.64</v>
      </c>
      <c r="I3095" s="212" t="s">
        <v>2354</v>
      </c>
    </row>
    <row r="3096" spans="1:9" x14ac:dyDescent="0.25">
      <c r="A3096" s="218" t="s">
        <v>220</v>
      </c>
      <c r="B3096" s="218" t="s">
        <v>2351</v>
      </c>
      <c r="C3096" s="219" t="s">
        <v>4261</v>
      </c>
      <c r="D3096" s="212" t="s">
        <v>4262</v>
      </c>
      <c r="E3096" s="212" t="s">
        <v>545</v>
      </c>
      <c r="F3096" s="213">
        <v>2</v>
      </c>
      <c r="G3096" s="213">
        <v>90</v>
      </c>
      <c r="H3096" s="195">
        <v>180</v>
      </c>
      <c r="I3096" s="212" t="s">
        <v>2354</v>
      </c>
    </row>
    <row r="3097" spans="1:9" x14ac:dyDescent="0.25">
      <c r="A3097" s="218" t="s">
        <v>220</v>
      </c>
      <c r="B3097" s="218" t="s">
        <v>5430</v>
      </c>
      <c r="C3097" s="219" t="s">
        <v>5787</v>
      </c>
      <c r="D3097" s="212" t="s">
        <v>5788</v>
      </c>
      <c r="E3097" s="212" t="s">
        <v>545</v>
      </c>
      <c r="F3097" s="213">
        <v>88</v>
      </c>
      <c r="G3097" s="213">
        <v>2.0499999999999998</v>
      </c>
      <c r="H3097" s="195">
        <v>180.39999999999998</v>
      </c>
      <c r="I3097" s="212" t="s">
        <v>2354</v>
      </c>
    </row>
    <row r="3098" spans="1:9" x14ac:dyDescent="0.25">
      <c r="A3098" s="218" t="s">
        <v>220</v>
      </c>
      <c r="B3098" s="218" t="s">
        <v>5430</v>
      </c>
      <c r="C3098" s="219" t="s">
        <v>6625</v>
      </c>
      <c r="D3098" s="212" t="s">
        <v>6626</v>
      </c>
      <c r="E3098" s="212" t="s">
        <v>545</v>
      </c>
      <c r="F3098" s="213">
        <v>2</v>
      </c>
      <c r="G3098" s="213">
        <v>90.241</v>
      </c>
      <c r="H3098" s="195">
        <v>180.482</v>
      </c>
      <c r="I3098" s="212" t="s">
        <v>2354</v>
      </c>
    </row>
    <row r="3099" spans="1:9" x14ac:dyDescent="0.25">
      <c r="A3099" s="218" t="s">
        <v>220</v>
      </c>
      <c r="B3099" s="218" t="s">
        <v>2351</v>
      </c>
      <c r="C3099" s="219" t="s">
        <v>2600</v>
      </c>
      <c r="D3099" s="212" t="s">
        <v>2601</v>
      </c>
      <c r="E3099" s="212" t="s">
        <v>545</v>
      </c>
      <c r="F3099" s="213">
        <v>2</v>
      </c>
      <c r="G3099" s="213">
        <v>90.438949896971096</v>
      </c>
      <c r="H3099" s="195">
        <v>180.87789979394219</v>
      </c>
      <c r="I3099" s="212" t="s">
        <v>2354</v>
      </c>
    </row>
    <row r="3100" spans="1:9" x14ac:dyDescent="0.25">
      <c r="A3100" s="218" t="s">
        <v>220</v>
      </c>
      <c r="B3100" s="218" t="s">
        <v>2351</v>
      </c>
      <c r="C3100" s="219" t="s">
        <v>4041</v>
      </c>
      <c r="D3100" s="212" t="s">
        <v>4042</v>
      </c>
      <c r="E3100" s="212" t="s">
        <v>545</v>
      </c>
      <c r="F3100" s="213">
        <v>2</v>
      </c>
      <c r="G3100" s="213">
        <v>90.56</v>
      </c>
      <c r="H3100" s="195">
        <v>181.12</v>
      </c>
      <c r="I3100" s="212" t="s">
        <v>2354</v>
      </c>
    </row>
    <row r="3101" spans="1:9" x14ac:dyDescent="0.25">
      <c r="A3101" s="218" t="s">
        <v>220</v>
      </c>
      <c r="B3101" s="218" t="s">
        <v>2351</v>
      </c>
      <c r="C3101" s="219" t="s">
        <v>2417</v>
      </c>
      <c r="D3101" s="212" t="s">
        <v>2429</v>
      </c>
      <c r="E3101" s="212" t="s">
        <v>545</v>
      </c>
      <c r="F3101" s="213">
        <v>10</v>
      </c>
      <c r="G3101" s="213">
        <v>18.16</v>
      </c>
      <c r="H3101" s="195">
        <v>181.6</v>
      </c>
      <c r="I3101" s="212" t="s">
        <v>2354</v>
      </c>
    </row>
    <row r="3102" spans="1:9" x14ac:dyDescent="0.25">
      <c r="A3102" s="218" t="s">
        <v>220</v>
      </c>
      <c r="B3102" s="218" t="s">
        <v>2351</v>
      </c>
      <c r="C3102" s="219" t="s">
        <v>2716</v>
      </c>
      <c r="D3102" s="212" t="s">
        <v>2717</v>
      </c>
      <c r="E3102" s="212" t="s">
        <v>7558</v>
      </c>
      <c r="F3102" s="213">
        <v>10</v>
      </c>
      <c r="G3102" s="213">
        <v>18.18</v>
      </c>
      <c r="H3102" s="195">
        <v>181.8</v>
      </c>
      <c r="I3102" s="212" t="s">
        <v>2354</v>
      </c>
    </row>
    <row r="3103" spans="1:9" x14ac:dyDescent="0.25">
      <c r="A3103" s="218" t="s">
        <v>220</v>
      </c>
      <c r="B3103" s="218" t="s">
        <v>5430</v>
      </c>
      <c r="C3103" s="219" t="s">
        <v>2716</v>
      </c>
      <c r="D3103" s="212" t="s">
        <v>2717</v>
      </c>
      <c r="E3103" s="212" t="s">
        <v>7558</v>
      </c>
      <c r="F3103" s="213">
        <v>10</v>
      </c>
      <c r="G3103" s="213">
        <v>18.18</v>
      </c>
      <c r="H3103" s="195">
        <v>181.8</v>
      </c>
      <c r="I3103" s="212" t="s">
        <v>2354</v>
      </c>
    </row>
    <row r="3104" spans="1:9" x14ac:dyDescent="0.25">
      <c r="A3104" s="218" t="s">
        <v>220</v>
      </c>
      <c r="B3104" s="218" t="s">
        <v>2351</v>
      </c>
      <c r="C3104" s="219" t="s">
        <v>4047</v>
      </c>
      <c r="D3104" s="212" t="s">
        <v>4048</v>
      </c>
      <c r="E3104" s="212" t="s">
        <v>545</v>
      </c>
      <c r="F3104" s="213">
        <v>1</v>
      </c>
      <c r="G3104" s="213">
        <v>181.9</v>
      </c>
      <c r="H3104" s="195">
        <v>181.9</v>
      </c>
      <c r="I3104" s="212" t="s">
        <v>2354</v>
      </c>
    </row>
    <row r="3105" spans="1:9" x14ac:dyDescent="0.25">
      <c r="A3105" s="218" t="s">
        <v>220</v>
      </c>
      <c r="B3105" s="218" t="s">
        <v>5430</v>
      </c>
      <c r="C3105" s="219" t="s">
        <v>5781</v>
      </c>
      <c r="D3105" s="212" t="s">
        <v>5782</v>
      </c>
      <c r="E3105" s="212" t="s">
        <v>545</v>
      </c>
      <c r="F3105" s="213">
        <v>2</v>
      </c>
      <c r="G3105" s="213">
        <v>91.003500000000003</v>
      </c>
      <c r="H3105" s="195">
        <v>182.00700000000001</v>
      </c>
      <c r="I3105" s="212" t="s">
        <v>2354</v>
      </c>
    </row>
    <row r="3106" spans="1:9" x14ac:dyDescent="0.25">
      <c r="A3106" s="218" t="s">
        <v>220</v>
      </c>
      <c r="B3106" s="218" t="s">
        <v>2351</v>
      </c>
      <c r="C3106" s="219" t="s">
        <v>4674</v>
      </c>
      <c r="D3106" s="212" t="s">
        <v>4675</v>
      </c>
      <c r="E3106" s="212" t="s">
        <v>545</v>
      </c>
      <c r="F3106" s="213">
        <v>120</v>
      </c>
      <c r="G3106" s="213">
        <v>1.5189999999999999</v>
      </c>
      <c r="H3106" s="195">
        <v>182.28</v>
      </c>
      <c r="I3106" s="212" t="s">
        <v>2354</v>
      </c>
    </row>
    <row r="3107" spans="1:9" x14ac:dyDescent="0.25">
      <c r="A3107" s="218" t="s">
        <v>220</v>
      </c>
      <c r="B3107" s="218" t="s">
        <v>2351</v>
      </c>
      <c r="C3107" s="219" t="s">
        <v>4752</v>
      </c>
      <c r="D3107" s="212" t="s">
        <v>4753</v>
      </c>
      <c r="E3107" s="212" t="s">
        <v>545</v>
      </c>
      <c r="F3107" s="213">
        <v>33</v>
      </c>
      <c r="G3107" s="213">
        <v>5.5488</v>
      </c>
      <c r="H3107" s="195">
        <v>183.1104</v>
      </c>
      <c r="I3107" s="212" t="s">
        <v>2354</v>
      </c>
    </row>
    <row r="3108" spans="1:9" x14ac:dyDescent="0.25">
      <c r="A3108" s="218" t="s">
        <v>220</v>
      </c>
      <c r="B3108" s="218" t="s">
        <v>2351</v>
      </c>
      <c r="C3108" s="219" t="s">
        <v>3635</v>
      </c>
      <c r="D3108" s="212" t="s">
        <v>3636</v>
      </c>
      <c r="E3108" s="212" t="s">
        <v>545</v>
      </c>
      <c r="F3108" s="213">
        <v>12</v>
      </c>
      <c r="G3108" s="213">
        <v>15.3</v>
      </c>
      <c r="H3108" s="195">
        <v>183.60000000000002</v>
      </c>
      <c r="I3108" s="212" t="s">
        <v>2354</v>
      </c>
    </row>
    <row r="3109" spans="1:9" x14ac:dyDescent="0.25">
      <c r="A3109" s="218" t="s">
        <v>220</v>
      </c>
      <c r="B3109" s="218" t="s">
        <v>2351</v>
      </c>
      <c r="C3109" s="219" t="s">
        <v>3008</v>
      </c>
      <c r="D3109" s="212" t="s">
        <v>3009</v>
      </c>
      <c r="E3109" s="212" t="s">
        <v>545</v>
      </c>
      <c r="F3109" s="213">
        <v>15</v>
      </c>
      <c r="G3109" s="213">
        <v>12.2445</v>
      </c>
      <c r="H3109" s="195">
        <v>183.66750000000002</v>
      </c>
      <c r="I3109" s="212" t="s">
        <v>2354</v>
      </c>
    </row>
    <row r="3110" spans="1:9" x14ac:dyDescent="0.25">
      <c r="A3110" s="218" t="s">
        <v>220</v>
      </c>
      <c r="B3110" s="218" t="s">
        <v>2351</v>
      </c>
      <c r="C3110" s="219" t="s">
        <v>2447</v>
      </c>
      <c r="D3110" s="212" t="s">
        <v>2448</v>
      </c>
      <c r="E3110" s="212" t="s">
        <v>545</v>
      </c>
      <c r="F3110" s="213">
        <v>6</v>
      </c>
      <c r="G3110" s="213">
        <v>30.778500000000001</v>
      </c>
      <c r="H3110" s="195">
        <v>184.67099999999999</v>
      </c>
      <c r="I3110" s="212" t="s">
        <v>2354</v>
      </c>
    </row>
    <row r="3111" spans="1:9" x14ac:dyDescent="0.25">
      <c r="A3111" s="218" t="s">
        <v>220</v>
      </c>
      <c r="B3111" s="218" t="s">
        <v>5430</v>
      </c>
      <c r="C3111" s="219" t="s">
        <v>5491</v>
      </c>
      <c r="D3111" s="212" t="s">
        <v>2448</v>
      </c>
      <c r="E3111" s="212" t="s">
        <v>545</v>
      </c>
      <c r="F3111" s="213">
        <v>6</v>
      </c>
      <c r="G3111" s="213">
        <v>30.778500000000001</v>
      </c>
      <c r="H3111" s="195">
        <v>184.67099999999999</v>
      </c>
      <c r="I3111" s="212" t="s">
        <v>2354</v>
      </c>
    </row>
    <row r="3112" spans="1:9" x14ac:dyDescent="0.25">
      <c r="A3112" s="218" t="s">
        <v>220</v>
      </c>
      <c r="B3112" s="218" t="s">
        <v>5430</v>
      </c>
      <c r="C3112" s="219" t="s">
        <v>5795</v>
      </c>
      <c r="D3112" s="212" t="s">
        <v>5796</v>
      </c>
      <c r="E3112" s="212" t="s">
        <v>545</v>
      </c>
      <c r="F3112" s="213">
        <v>4</v>
      </c>
      <c r="G3112" s="213">
        <v>46.194749999999999</v>
      </c>
      <c r="H3112" s="195">
        <v>184.779</v>
      </c>
      <c r="I3112" s="212" t="s">
        <v>2354</v>
      </c>
    </row>
    <row r="3113" spans="1:9" x14ac:dyDescent="0.25">
      <c r="A3113" s="218" t="s">
        <v>220</v>
      </c>
      <c r="B3113" s="218" t="s">
        <v>2351</v>
      </c>
      <c r="C3113" s="219" t="s">
        <v>2850</v>
      </c>
      <c r="D3113" s="212" t="s">
        <v>2851</v>
      </c>
      <c r="E3113" s="212" t="s">
        <v>545</v>
      </c>
      <c r="F3113" s="213">
        <v>2</v>
      </c>
      <c r="G3113" s="213">
        <v>92.7</v>
      </c>
      <c r="H3113" s="195">
        <v>185.4</v>
      </c>
      <c r="I3113" s="212" t="s">
        <v>2354</v>
      </c>
    </row>
    <row r="3114" spans="1:9" x14ac:dyDescent="0.25">
      <c r="A3114" s="218" t="s">
        <v>220</v>
      </c>
      <c r="B3114" s="218" t="s">
        <v>2351</v>
      </c>
      <c r="C3114" s="219" t="s">
        <v>4494</v>
      </c>
      <c r="D3114" s="212" t="s">
        <v>4495</v>
      </c>
      <c r="E3114" s="212" t="s">
        <v>545</v>
      </c>
      <c r="F3114" s="213">
        <v>15</v>
      </c>
      <c r="G3114" s="213">
        <v>12.4</v>
      </c>
      <c r="H3114" s="195">
        <v>186</v>
      </c>
      <c r="I3114" s="212" t="s">
        <v>2354</v>
      </c>
    </row>
    <row r="3115" spans="1:9" x14ac:dyDescent="0.25">
      <c r="A3115" s="218" t="s">
        <v>220</v>
      </c>
      <c r="B3115" s="218" t="s">
        <v>2351</v>
      </c>
      <c r="C3115" s="219" t="s">
        <v>5046</v>
      </c>
      <c r="D3115" s="212" t="s">
        <v>5047</v>
      </c>
      <c r="E3115" s="212" t="s">
        <v>545</v>
      </c>
      <c r="F3115" s="213">
        <v>786</v>
      </c>
      <c r="G3115" s="213">
        <v>0.23749999999999999</v>
      </c>
      <c r="H3115" s="195">
        <v>186.67499999999998</v>
      </c>
      <c r="I3115" s="212" t="s">
        <v>2354</v>
      </c>
    </row>
    <row r="3116" spans="1:9" x14ac:dyDescent="0.25">
      <c r="A3116" s="218" t="s">
        <v>220</v>
      </c>
      <c r="B3116" s="218" t="s">
        <v>5430</v>
      </c>
      <c r="C3116" s="219" t="s">
        <v>5522</v>
      </c>
      <c r="D3116" s="212" t="s">
        <v>5523</v>
      </c>
      <c r="E3116" s="212" t="s">
        <v>545</v>
      </c>
      <c r="F3116" s="213">
        <v>2</v>
      </c>
      <c r="G3116" s="213">
        <v>93.740625000000009</v>
      </c>
      <c r="H3116" s="195">
        <v>187.48125000000002</v>
      </c>
      <c r="I3116" s="212" t="s">
        <v>2354</v>
      </c>
    </row>
    <row r="3117" spans="1:9" x14ac:dyDescent="0.25">
      <c r="A3117" s="218" t="s">
        <v>220</v>
      </c>
      <c r="B3117" s="218" t="s">
        <v>2351</v>
      </c>
      <c r="C3117" s="219" t="s">
        <v>4580</v>
      </c>
      <c r="D3117" s="212" t="s">
        <v>4581</v>
      </c>
      <c r="E3117" s="212" t="s">
        <v>2473</v>
      </c>
      <c r="F3117" s="213">
        <v>4</v>
      </c>
      <c r="G3117" s="213">
        <v>46.904000000000003</v>
      </c>
      <c r="H3117" s="195">
        <v>187.61600000000001</v>
      </c>
      <c r="I3117" s="212" t="s">
        <v>2354</v>
      </c>
    </row>
    <row r="3118" spans="1:9" x14ac:dyDescent="0.25">
      <c r="A3118" s="218" t="s">
        <v>220</v>
      </c>
      <c r="B3118" s="218" t="s">
        <v>2351</v>
      </c>
      <c r="C3118" s="219" t="s">
        <v>2415</v>
      </c>
      <c r="D3118" s="212" t="s">
        <v>2416</v>
      </c>
      <c r="E3118" s="212" t="s">
        <v>545</v>
      </c>
      <c r="F3118" s="213">
        <v>49</v>
      </c>
      <c r="G3118" s="213">
        <v>3.84</v>
      </c>
      <c r="H3118" s="195">
        <v>188.16</v>
      </c>
      <c r="I3118" s="212" t="s">
        <v>2354</v>
      </c>
    </row>
    <row r="3119" spans="1:9" x14ac:dyDescent="0.25">
      <c r="A3119" s="218" t="s">
        <v>220</v>
      </c>
      <c r="B3119" s="218" t="s">
        <v>5430</v>
      </c>
      <c r="C3119" s="219" t="s">
        <v>7182</v>
      </c>
      <c r="D3119" s="212" t="s">
        <v>7183</v>
      </c>
      <c r="E3119" s="212" t="s">
        <v>545</v>
      </c>
      <c r="F3119" s="213">
        <v>140</v>
      </c>
      <c r="G3119" s="213">
        <v>1.3460000000000001</v>
      </c>
      <c r="H3119" s="195">
        <v>188.44</v>
      </c>
      <c r="I3119" s="212" t="s">
        <v>2354</v>
      </c>
    </row>
    <row r="3120" spans="1:9" x14ac:dyDescent="0.25">
      <c r="A3120" s="218" t="s">
        <v>220</v>
      </c>
      <c r="B3120" s="218" t="s">
        <v>5430</v>
      </c>
      <c r="C3120" s="219" t="s">
        <v>6630</v>
      </c>
      <c r="D3120" s="212" t="s">
        <v>6631</v>
      </c>
      <c r="E3120" s="212" t="s">
        <v>545</v>
      </c>
      <c r="F3120" s="213">
        <v>8</v>
      </c>
      <c r="G3120" s="213">
        <v>23.603999999999999</v>
      </c>
      <c r="H3120" s="195">
        <v>188.83199999999999</v>
      </c>
      <c r="I3120" s="212" t="s">
        <v>2354</v>
      </c>
    </row>
    <row r="3121" spans="1:9" x14ac:dyDescent="0.25">
      <c r="A3121" s="218" t="s">
        <v>220</v>
      </c>
      <c r="B3121" s="218" t="s">
        <v>2351</v>
      </c>
      <c r="C3121" s="219" t="s">
        <v>4776</v>
      </c>
      <c r="D3121" s="212" t="s">
        <v>4777</v>
      </c>
      <c r="E3121" s="212" t="s">
        <v>545</v>
      </c>
      <c r="F3121" s="213">
        <v>25</v>
      </c>
      <c r="G3121" s="213">
        <v>7.5666666666666664</v>
      </c>
      <c r="H3121" s="195">
        <v>189.16666666666666</v>
      </c>
      <c r="I3121" s="212" t="s">
        <v>2354</v>
      </c>
    </row>
    <row r="3122" spans="1:9" x14ac:dyDescent="0.25">
      <c r="A3122" s="218" t="s">
        <v>220</v>
      </c>
      <c r="B3122" s="218" t="s">
        <v>2351</v>
      </c>
      <c r="C3122" s="219" t="s">
        <v>3087</v>
      </c>
      <c r="D3122" s="212" t="s">
        <v>3088</v>
      </c>
      <c r="E3122" s="212" t="s">
        <v>545</v>
      </c>
      <c r="F3122" s="213">
        <v>6</v>
      </c>
      <c r="G3122" s="213">
        <v>31.5945</v>
      </c>
      <c r="H3122" s="195">
        <v>189.56700000000001</v>
      </c>
      <c r="I3122" s="212" t="s">
        <v>2354</v>
      </c>
    </row>
    <row r="3123" spans="1:9" x14ac:dyDescent="0.25">
      <c r="A3123" s="218" t="s">
        <v>220</v>
      </c>
      <c r="B3123" s="218" t="s">
        <v>2351</v>
      </c>
      <c r="C3123" s="219" t="s">
        <v>2602</v>
      </c>
      <c r="D3123" s="212" t="s">
        <v>2603</v>
      </c>
      <c r="E3123" s="212" t="s">
        <v>545</v>
      </c>
      <c r="F3123" s="213">
        <v>2</v>
      </c>
      <c r="G3123" s="213">
        <v>94.803116001873192</v>
      </c>
      <c r="H3123" s="195">
        <v>189.60623200374638</v>
      </c>
      <c r="I3123" s="212" t="s">
        <v>2354</v>
      </c>
    </row>
    <row r="3124" spans="1:9" x14ac:dyDescent="0.25">
      <c r="A3124" s="218" t="s">
        <v>220</v>
      </c>
      <c r="B3124" s="218" t="s">
        <v>2351</v>
      </c>
      <c r="C3124" s="219" t="s">
        <v>3077</v>
      </c>
      <c r="D3124" s="212" t="s">
        <v>3078</v>
      </c>
      <c r="E3124" s="212" t="s">
        <v>545</v>
      </c>
      <c r="F3124" s="213">
        <v>10</v>
      </c>
      <c r="G3124" s="213">
        <v>18.998248275862071</v>
      </c>
      <c r="H3124" s="195">
        <v>189.9824827586207</v>
      </c>
      <c r="I3124" s="212" t="s">
        <v>2354</v>
      </c>
    </row>
    <row r="3125" spans="1:9" x14ac:dyDescent="0.25">
      <c r="A3125" s="218" t="s">
        <v>220</v>
      </c>
      <c r="B3125" s="218" t="s">
        <v>5430</v>
      </c>
      <c r="C3125" s="219" t="s">
        <v>5749</v>
      </c>
      <c r="D3125" s="212" t="s">
        <v>5750</v>
      </c>
      <c r="E3125" s="212" t="s">
        <v>545</v>
      </c>
      <c r="F3125" s="213">
        <v>5</v>
      </c>
      <c r="G3125" s="213">
        <v>38.130400000000002</v>
      </c>
      <c r="H3125" s="195">
        <v>190.65200000000002</v>
      </c>
      <c r="I3125" s="212" t="s">
        <v>2354</v>
      </c>
    </row>
    <row r="3126" spans="1:9" x14ac:dyDescent="0.25">
      <c r="A3126" s="218" t="s">
        <v>220</v>
      </c>
      <c r="B3126" s="218" t="s">
        <v>2351</v>
      </c>
      <c r="C3126" s="219" t="s">
        <v>2862</v>
      </c>
      <c r="D3126" s="212" t="s">
        <v>2863</v>
      </c>
      <c r="E3126" s="212" t="s">
        <v>545</v>
      </c>
      <c r="F3126" s="213">
        <v>5</v>
      </c>
      <c r="G3126" s="213">
        <v>38.228760000000001</v>
      </c>
      <c r="H3126" s="195">
        <v>191.1438</v>
      </c>
      <c r="I3126" s="212" t="s">
        <v>2354</v>
      </c>
    </row>
    <row r="3127" spans="1:9" x14ac:dyDescent="0.25">
      <c r="A3127" s="218" t="s">
        <v>220</v>
      </c>
      <c r="B3127" s="218" t="s">
        <v>5430</v>
      </c>
      <c r="C3127" s="219" t="s">
        <v>5156</v>
      </c>
      <c r="D3127" s="212" t="s">
        <v>5157</v>
      </c>
      <c r="E3127" s="212" t="s">
        <v>545</v>
      </c>
      <c r="F3127" s="213">
        <v>4</v>
      </c>
      <c r="G3127" s="213">
        <v>47.84</v>
      </c>
      <c r="H3127" s="195">
        <v>191.36</v>
      </c>
      <c r="I3127" s="212" t="s">
        <v>2354</v>
      </c>
    </row>
    <row r="3128" spans="1:9" x14ac:dyDescent="0.25">
      <c r="A3128" s="218" t="s">
        <v>220</v>
      </c>
      <c r="B3128" s="218" t="s">
        <v>2351</v>
      </c>
      <c r="C3128" s="219" t="s">
        <v>4101</v>
      </c>
      <c r="D3128" s="212" t="s">
        <v>4102</v>
      </c>
      <c r="E3128" s="212" t="s">
        <v>545</v>
      </c>
      <c r="F3128" s="213">
        <v>2</v>
      </c>
      <c r="G3128" s="213">
        <v>95.715333333333319</v>
      </c>
      <c r="H3128" s="195">
        <v>191.43066666666664</v>
      </c>
      <c r="I3128" s="212" t="s">
        <v>2354</v>
      </c>
    </row>
    <row r="3129" spans="1:9" x14ac:dyDescent="0.25">
      <c r="A3129" s="218" t="s">
        <v>220</v>
      </c>
      <c r="B3129" s="218" t="s">
        <v>5430</v>
      </c>
      <c r="C3129" s="219" t="s">
        <v>5975</v>
      </c>
      <c r="D3129" s="212" t="s">
        <v>5976</v>
      </c>
      <c r="E3129" s="212" t="s">
        <v>545</v>
      </c>
      <c r="F3129" s="213">
        <v>5</v>
      </c>
      <c r="G3129" s="213">
        <v>38.300400000000003</v>
      </c>
      <c r="H3129" s="195">
        <v>191.50200000000001</v>
      </c>
      <c r="I3129" s="212" t="s">
        <v>2354</v>
      </c>
    </row>
    <row r="3130" spans="1:9" x14ac:dyDescent="0.25">
      <c r="A3130" s="218" t="s">
        <v>220</v>
      </c>
      <c r="B3130" s="218" t="s">
        <v>2351</v>
      </c>
      <c r="C3130" s="219" t="s">
        <v>3091</v>
      </c>
      <c r="D3130" s="212" t="s">
        <v>3092</v>
      </c>
      <c r="E3130" s="212" t="s">
        <v>545</v>
      </c>
      <c r="F3130" s="213">
        <v>2</v>
      </c>
      <c r="G3130" s="213">
        <v>95.915700000000001</v>
      </c>
      <c r="H3130" s="195">
        <v>191.8314</v>
      </c>
      <c r="I3130" s="212" t="s">
        <v>2354</v>
      </c>
    </row>
    <row r="3131" spans="1:9" x14ac:dyDescent="0.25">
      <c r="A3131" s="218" t="s">
        <v>220</v>
      </c>
      <c r="B3131" s="218" t="s">
        <v>2351</v>
      </c>
      <c r="C3131" s="219" t="s">
        <v>3579</v>
      </c>
      <c r="D3131" s="212" t="s">
        <v>3580</v>
      </c>
      <c r="E3131" s="212" t="s">
        <v>545</v>
      </c>
      <c r="F3131" s="213">
        <v>70</v>
      </c>
      <c r="G3131" s="213">
        <v>2.7454999999999998</v>
      </c>
      <c r="H3131" s="195">
        <v>192.185</v>
      </c>
      <c r="I3131" s="212" t="s">
        <v>2354</v>
      </c>
    </row>
    <row r="3132" spans="1:9" x14ac:dyDescent="0.25">
      <c r="A3132" s="218" t="s">
        <v>220</v>
      </c>
      <c r="B3132" s="218" t="s">
        <v>5430</v>
      </c>
      <c r="C3132" s="219" t="s">
        <v>5981</v>
      </c>
      <c r="D3132" s="212" t="s">
        <v>5982</v>
      </c>
      <c r="E3132" s="212" t="s">
        <v>545</v>
      </c>
      <c r="F3132" s="213">
        <v>3</v>
      </c>
      <c r="G3132" s="213">
        <v>64.062899999999999</v>
      </c>
      <c r="H3132" s="195">
        <v>192.18869999999998</v>
      </c>
      <c r="I3132" s="212" t="s">
        <v>2354</v>
      </c>
    </row>
    <row r="3133" spans="1:9" x14ac:dyDescent="0.25">
      <c r="A3133" s="218" t="s">
        <v>220</v>
      </c>
      <c r="B3133" s="218" t="s">
        <v>5430</v>
      </c>
      <c r="C3133" s="219" t="s">
        <v>3022</v>
      </c>
      <c r="D3133" s="212" t="s">
        <v>3023</v>
      </c>
      <c r="E3133" s="212" t="s">
        <v>545</v>
      </c>
      <c r="F3133" s="213">
        <v>12</v>
      </c>
      <c r="G3133" s="213">
        <v>16.02</v>
      </c>
      <c r="H3133" s="195">
        <v>192.24</v>
      </c>
      <c r="I3133" s="212" t="s">
        <v>2354</v>
      </c>
    </row>
    <row r="3134" spans="1:9" x14ac:dyDescent="0.25">
      <c r="A3134" s="218" t="s">
        <v>220</v>
      </c>
      <c r="B3134" s="218" t="s">
        <v>5430</v>
      </c>
      <c r="C3134" s="219" t="s">
        <v>6109</v>
      </c>
      <c r="D3134" s="212" t="s">
        <v>6110</v>
      </c>
      <c r="E3134" s="212" t="s">
        <v>545</v>
      </c>
      <c r="F3134" s="213">
        <v>1</v>
      </c>
      <c r="G3134" s="213">
        <v>192.5136</v>
      </c>
      <c r="H3134" s="195">
        <v>192.5136</v>
      </c>
      <c r="I3134" s="212" t="s">
        <v>2354</v>
      </c>
    </row>
    <row r="3135" spans="1:9" x14ac:dyDescent="0.25">
      <c r="A3135" s="218" t="s">
        <v>220</v>
      </c>
      <c r="B3135" s="218" t="s">
        <v>2351</v>
      </c>
      <c r="C3135" s="219" t="s">
        <v>5278</v>
      </c>
      <c r="D3135" s="212" t="s">
        <v>5279</v>
      </c>
      <c r="E3135" s="212" t="s">
        <v>545</v>
      </c>
      <c r="F3135" s="213">
        <v>25</v>
      </c>
      <c r="G3135" s="213">
        <v>7.7345831325301209</v>
      </c>
      <c r="H3135" s="195">
        <v>193.36457831325302</v>
      </c>
      <c r="I3135" s="212" t="s">
        <v>2354</v>
      </c>
    </row>
    <row r="3136" spans="1:9" x14ac:dyDescent="0.25">
      <c r="A3136" s="218" t="s">
        <v>220</v>
      </c>
      <c r="B3136" s="218" t="s">
        <v>2351</v>
      </c>
      <c r="C3136" s="219" t="s">
        <v>3605</v>
      </c>
      <c r="D3136" s="212" t="s">
        <v>3606</v>
      </c>
      <c r="E3136" s="212" t="s">
        <v>545</v>
      </c>
      <c r="F3136" s="213">
        <v>43</v>
      </c>
      <c r="G3136" s="213">
        <v>4.5</v>
      </c>
      <c r="H3136" s="195">
        <v>193.5</v>
      </c>
      <c r="I3136" s="212" t="s">
        <v>2354</v>
      </c>
    </row>
    <row r="3137" spans="1:9" x14ac:dyDescent="0.25">
      <c r="A3137" s="218" t="s">
        <v>220</v>
      </c>
      <c r="B3137" s="218" t="s">
        <v>2351</v>
      </c>
      <c r="C3137" s="219" t="s">
        <v>3869</v>
      </c>
      <c r="D3137" s="212" t="s">
        <v>3870</v>
      </c>
      <c r="E3137" s="212" t="s">
        <v>545</v>
      </c>
      <c r="F3137" s="213">
        <v>1</v>
      </c>
      <c r="G3137" s="213">
        <v>193.8015</v>
      </c>
      <c r="H3137" s="195">
        <v>193.8015</v>
      </c>
      <c r="I3137" s="212" t="s">
        <v>2354</v>
      </c>
    </row>
    <row r="3138" spans="1:9" x14ac:dyDescent="0.25">
      <c r="A3138" s="218" t="s">
        <v>220</v>
      </c>
      <c r="B3138" s="218" t="s">
        <v>5430</v>
      </c>
      <c r="C3138" s="219" t="s">
        <v>4518</v>
      </c>
      <c r="D3138" s="212" t="s">
        <v>4519</v>
      </c>
      <c r="E3138" s="212" t="s">
        <v>545</v>
      </c>
      <c r="F3138" s="213">
        <v>30</v>
      </c>
      <c r="G3138" s="213">
        <v>6.48</v>
      </c>
      <c r="H3138" s="195">
        <v>194.4</v>
      </c>
      <c r="I3138" s="212" t="s">
        <v>2354</v>
      </c>
    </row>
    <row r="3139" spans="1:9" x14ac:dyDescent="0.25">
      <c r="A3139" s="218" t="s">
        <v>220</v>
      </c>
      <c r="B3139" s="218" t="s">
        <v>5430</v>
      </c>
      <c r="C3139" s="219" t="s">
        <v>7212</v>
      </c>
      <c r="D3139" s="212" t="s">
        <v>7213</v>
      </c>
      <c r="E3139" s="212" t="s">
        <v>2473</v>
      </c>
      <c r="F3139" s="213">
        <v>210</v>
      </c>
      <c r="G3139" s="213">
        <v>0.92800000000000005</v>
      </c>
      <c r="H3139" s="195">
        <v>194.88000000000002</v>
      </c>
      <c r="I3139" s="212" t="s">
        <v>2354</v>
      </c>
    </row>
    <row r="3140" spans="1:9" x14ac:dyDescent="0.25">
      <c r="A3140" s="218" t="s">
        <v>220</v>
      </c>
      <c r="B3140" s="218" t="s">
        <v>5430</v>
      </c>
      <c r="C3140" s="219" t="s">
        <v>6347</v>
      </c>
      <c r="D3140" s="212" t="s">
        <v>6348</v>
      </c>
      <c r="E3140" s="212" t="s">
        <v>545</v>
      </c>
      <c r="F3140" s="213">
        <v>10</v>
      </c>
      <c r="G3140" s="213">
        <v>19.4922</v>
      </c>
      <c r="H3140" s="195">
        <v>194.922</v>
      </c>
      <c r="I3140" s="212" t="s">
        <v>2354</v>
      </c>
    </row>
    <row r="3141" spans="1:9" x14ac:dyDescent="0.25">
      <c r="A3141" s="218" t="s">
        <v>220</v>
      </c>
      <c r="B3141" s="218" t="s">
        <v>2351</v>
      </c>
      <c r="C3141" s="219" t="s">
        <v>2698</v>
      </c>
      <c r="D3141" s="212" t="s">
        <v>2699</v>
      </c>
      <c r="E3141" s="212" t="s">
        <v>545</v>
      </c>
      <c r="F3141" s="213">
        <v>1</v>
      </c>
      <c r="G3141" s="213">
        <v>194.99600000000001</v>
      </c>
      <c r="H3141" s="195">
        <v>194.99600000000001</v>
      </c>
      <c r="I3141" s="212" t="s">
        <v>2354</v>
      </c>
    </row>
    <row r="3142" spans="1:9" x14ac:dyDescent="0.25">
      <c r="A3142" s="218" t="s">
        <v>220</v>
      </c>
      <c r="B3142" s="218" t="s">
        <v>2351</v>
      </c>
      <c r="C3142" s="219" t="s">
        <v>3407</v>
      </c>
      <c r="D3142" s="212" t="s">
        <v>3408</v>
      </c>
      <c r="E3142" s="212" t="s">
        <v>545</v>
      </c>
      <c r="F3142" s="213">
        <v>39</v>
      </c>
      <c r="G3142" s="213">
        <v>5.0084999999999997</v>
      </c>
      <c r="H3142" s="195">
        <v>195.33149999999998</v>
      </c>
      <c r="I3142" s="212" t="s">
        <v>2354</v>
      </c>
    </row>
    <row r="3143" spans="1:9" x14ac:dyDescent="0.25">
      <c r="A3143" s="218" t="s">
        <v>220</v>
      </c>
      <c r="B3143" s="218" t="s">
        <v>5430</v>
      </c>
      <c r="C3143" s="219" t="s">
        <v>5854</v>
      </c>
      <c r="D3143" s="212" t="s">
        <v>5855</v>
      </c>
      <c r="E3143" s="212" t="s">
        <v>545</v>
      </c>
      <c r="F3143" s="213">
        <v>8</v>
      </c>
      <c r="G3143" s="213">
        <v>24.5016</v>
      </c>
      <c r="H3143" s="195">
        <v>196.0128</v>
      </c>
      <c r="I3143" s="212" t="s">
        <v>2354</v>
      </c>
    </row>
    <row r="3144" spans="1:9" x14ac:dyDescent="0.25">
      <c r="A3144" s="218" t="s">
        <v>220</v>
      </c>
      <c r="B3144" s="218" t="s">
        <v>5430</v>
      </c>
      <c r="C3144" s="219" t="s">
        <v>6245</v>
      </c>
      <c r="D3144" s="212" t="s">
        <v>6246</v>
      </c>
      <c r="E3144" s="212" t="s">
        <v>2387</v>
      </c>
      <c r="F3144" s="213">
        <v>7</v>
      </c>
      <c r="G3144" s="213">
        <v>28.015999999999998</v>
      </c>
      <c r="H3144" s="195">
        <v>196.11199999999999</v>
      </c>
      <c r="I3144" s="212" t="s">
        <v>2354</v>
      </c>
    </row>
    <row r="3145" spans="1:9" x14ac:dyDescent="0.25">
      <c r="A3145" s="218" t="s">
        <v>220</v>
      </c>
      <c r="B3145" s="218" t="s">
        <v>2351</v>
      </c>
      <c r="C3145" s="219" t="s">
        <v>4536</v>
      </c>
      <c r="D3145" s="212" t="s">
        <v>4537</v>
      </c>
      <c r="E3145" s="212" t="s">
        <v>545</v>
      </c>
      <c r="F3145" s="213">
        <v>20</v>
      </c>
      <c r="G3145" s="213">
        <v>9.8103999999999996</v>
      </c>
      <c r="H3145" s="195">
        <v>196.208</v>
      </c>
      <c r="I3145" s="212" t="s">
        <v>2354</v>
      </c>
    </row>
    <row r="3146" spans="1:9" x14ac:dyDescent="0.25">
      <c r="A3146" s="218" t="s">
        <v>220</v>
      </c>
      <c r="B3146" s="218" t="s">
        <v>5430</v>
      </c>
      <c r="C3146" s="219" t="s">
        <v>5713</v>
      </c>
      <c r="D3146" s="212" t="s">
        <v>5714</v>
      </c>
      <c r="E3146" s="212" t="s">
        <v>545</v>
      </c>
      <c r="F3146" s="213">
        <v>5</v>
      </c>
      <c r="G3146" s="213">
        <v>39.33</v>
      </c>
      <c r="H3146" s="195">
        <v>196.64999999999998</v>
      </c>
      <c r="I3146" s="212" t="s">
        <v>2354</v>
      </c>
    </row>
    <row r="3147" spans="1:9" x14ac:dyDescent="0.25">
      <c r="A3147" s="218" t="s">
        <v>220</v>
      </c>
      <c r="B3147" s="218" t="s">
        <v>5430</v>
      </c>
      <c r="C3147" s="219" t="s">
        <v>6355</v>
      </c>
      <c r="D3147" s="212" t="s">
        <v>6356</v>
      </c>
      <c r="E3147" s="212" t="s">
        <v>545</v>
      </c>
      <c r="F3147" s="213">
        <v>1</v>
      </c>
      <c r="G3147" s="213">
        <v>198</v>
      </c>
      <c r="H3147" s="195">
        <v>198</v>
      </c>
      <c r="I3147" s="212" t="s">
        <v>2354</v>
      </c>
    </row>
    <row r="3148" spans="1:9" x14ac:dyDescent="0.25">
      <c r="A3148" s="218" t="s">
        <v>220</v>
      </c>
      <c r="B3148" s="218" t="s">
        <v>5430</v>
      </c>
      <c r="C3148" s="219" t="s">
        <v>6359</v>
      </c>
      <c r="D3148" s="212" t="s">
        <v>6360</v>
      </c>
      <c r="E3148" s="212" t="s">
        <v>545</v>
      </c>
      <c r="F3148" s="213">
        <v>1</v>
      </c>
      <c r="G3148" s="213">
        <v>198</v>
      </c>
      <c r="H3148" s="195">
        <v>198</v>
      </c>
      <c r="I3148" s="212" t="s">
        <v>2354</v>
      </c>
    </row>
    <row r="3149" spans="1:9" x14ac:dyDescent="0.25">
      <c r="A3149" s="218" t="s">
        <v>220</v>
      </c>
      <c r="B3149" s="218" t="s">
        <v>5430</v>
      </c>
      <c r="C3149" s="219" t="s">
        <v>6363</v>
      </c>
      <c r="D3149" s="212" t="s">
        <v>6364</v>
      </c>
      <c r="E3149" s="212" t="s">
        <v>545</v>
      </c>
      <c r="F3149" s="213">
        <v>1</v>
      </c>
      <c r="G3149" s="213">
        <v>198</v>
      </c>
      <c r="H3149" s="195">
        <v>198</v>
      </c>
      <c r="I3149" s="212" t="s">
        <v>2354</v>
      </c>
    </row>
    <row r="3150" spans="1:9" x14ac:dyDescent="0.25">
      <c r="A3150" s="218" t="s">
        <v>220</v>
      </c>
      <c r="B3150" s="218" t="s">
        <v>5430</v>
      </c>
      <c r="C3150" s="219" t="s">
        <v>6007</v>
      </c>
      <c r="D3150" s="212" t="s">
        <v>6008</v>
      </c>
      <c r="E3150" s="212" t="s">
        <v>545</v>
      </c>
      <c r="F3150" s="213">
        <v>4</v>
      </c>
      <c r="G3150" s="213">
        <v>49.515300000000003</v>
      </c>
      <c r="H3150" s="195">
        <v>198.06120000000001</v>
      </c>
      <c r="I3150" s="212" t="s">
        <v>2354</v>
      </c>
    </row>
    <row r="3151" spans="1:9" x14ac:dyDescent="0.25">
      <c r="A3151" s="218" t="s">
        <v>220</v>
      </c>
      <c r="B3151" s="218" t="s">
        <v>2351</v>
      </c>
      <c r="C3151" s="219" t="s">
        <v>2788</v>
      </c>
      <c r="D3151" s="212" t="s">
        <v>2789</v>
      </c>
      <c r="E3151" s="212" t="s">
        <v>545</v>
      </c>
      <c r="F3151" s="213">
        <v>4</v>
      </c>
      <c r="G3151" s="213">
        <v>49.68</v>
      </c>
      <c r="H3151" s="195">
        <v>198.72</v>
      </c>
      <c r="I3151" s="212" t="s">
        <v>2354</v>
      </c>
    </row>
    <row r="3152" spans="1:9" x14ac:dyDescent="0.25">
      <c r="A3152" s="218" t="s">
        <v>220</v>
      </c>
      <c r="B3152" s="218" t="s">
        <v>2351</v>
      </c>
      <c r="C3152" s="219" t="s">
        <v>2860</v>
      </c>
      <c r="D3152" s="212" t="s">
        <v>2861</v>
      </c>
      <c r="E3152" s="212" t="s">
        <v>545</v>
      </c>
      <c r="F3152" s="213">
        <v>5</v>
      </c>
      <c r="G3152" s="213">
        <v>39.761099999999999</v>
      </c>
      <c r="H3152" s="195">
        <v>198.80549999999999</v>
      </c>
      <c r="I3152" s="212" t="s">
        <v>2354</v>
      </c>
    </row>
    <row r="3153" spans="1:9" x14ac:dyDescent="0.25">
      <c r="A3153" s="218" t="s">
        <v>220</v>
      </c>
      <c r="B3153" s="218" t="s">
        <v>5430</v>
      </c>
      <c r="C3153" s="219" t="s">
        <v>6186</v>
      </c>
      <c r="D3153" s="212" t="s">
        <v>6187</v>
      </c>
      <c r="E3153" s="212" t="s">
        <v>545</v>
      </c>
      <c r="F3153" s="213">
        <v>2</v>
      </c>
      <c r="G3153" s="213">
        <v>99.830249999999992</v>
      </c>
      <c r="H3153" s="195">
        <v>199.66049999999998</v>
      </c>
      <c r="I3153" s="212" t="s">
        <v>2354</v>
      </c>
    </row>
    <row r="3154" spans="1:9" x14ac:dyDescent="0.25">
      <c r="A3154" s="218" t="s">
        <v>220</v>
      </c>
      <c r="B3154" s="218" t="s">
        <v>2351</v>
      </c>
      <c r="C3154" s="219" t="s">
        <v>3461</v>
      </c>
      <c r="D3154" s="212" t="s">
        <v>3462</v>
      </c>
      <c r="E3154" s="212" t="s">
        <v>545</v>
      </c>
      <c r="F3154" s="213">
        <v>60</v>
      </c>
      <c r="G3154" s="213">
        <v>3.33</v>
      </c>
      <c r="H3154" s="195">
        <v>199.8</v>
      </c>
      <c r="I3154" s="212" t="s">
        <v>2354</v>
      </c>
    </row>
    <row r="3155" spans="1:9" x14ac:dyDescent="0.25">
      <c r="A3155" s="218" t="s">
        <v>220</v>
      </c>
      <c r="B3155" s="218" t="s">
        <v>2351</v>
      </c>
      <c r="C3155" s="219" t="s">
        <v>4526</v>
      </c>
      <c r="D3155" s="212" t="s">
        <v>4527</v>
      </c>
      <c r="E3155" s="212" t="s">
        <v>545</v>
      </c>
      <c r="F3155" s="213">
        <v>7</v>
      </c>
      <c r="G3155" s="213">
        <v>28.6</v>
      </c>
      <c r="H3155" s="195">
        <v>200.20000000000002</v>
      </c>
      <c r="I3155" s="212" t="s">
        <v>2354</v>
      </c>
    </row>
    <row r="3156" spans="1:9" x14ac:dyDescent="0.25">
      <c r="A3156" s="218" t="s">
        <v>220</v>
      </c>
      <c r="B3156" s="218" t="s">
        <v>2351</v>
      </c>
      <c r="C3156" s="219" t="s">
        <v>3827</v>
      </c>
      <c r="D3156" s="212" t="s">
        <v>3828</v>
      </c>
      <c r="E3156" s="212" t="s">
        <v>545</v>
      </c>
      <c r="F3156" s="213">
        <v>2</v>
      </c>
      <c r="G3156" s="213">
        <v>100.2</v>
      </c>
      <c r="H3156" s="195">
        <v>200.4</v>
      </c>
      <c r="I3156" s="212" t="s">
        <v>2354</v>
      </c>
    </row>
    <row r="3157" spans="1:9" x14ac:dyDescent="0.25">
      <c r="A3157" s="218" t="s">
        <v>220</v>
      </c>
      <c r="B3157" s="218" t="s">
        <v>5430</v>
      </c>
      <c r="C3157" s="219" t="s">
        <v>6061</v>
      </c>
      <c r="D3157" s="212" t="s">
        <v>6062</v>
      </c>
      <c r="E3157" s="212" t="s">
        <v>545</v>
      </c>
      <c r="F3157" s="213">
        <v>6</v>
      </c>
      <c r="G3157" s="213">
        <v>33.57</v>
      </c>
      <c r="H3157" s="195">
        <v>201.42000000000002</v>
      </c>
      <c r="I3157" s="212" t="s">
        <v>2354</v>
      </c>
    </row>
    <row r="3158" spans="1:9" x14ac:dyDescent="0.25">
      <c r="A3158" s="218" t="s">
        <v>220</v>
      </c>
      <c r="B3158" s="218" t="s">
        <v>5430</v>
      </c>
      <c r="C3158" s="219" t="s">
        <v>6063</v>
      </c>
      <c r="D3158" s="212" t="s">
        <v>6064</v>
      </c>
      <c r="E3158" s="212" t="s">
        <v>545</v>
      </c>
      <c r="F3158" s="213">
        <v>6</v>
      </c>
      <c r="G3158" s="213">
        <v>33.57</v>
      </c>
      <c r="H3158" s="195">
        <v>201.42000000000002</v>
      </c>
      <c r="I3158" s="212" t="s">
        <v>2354</v>
      </c>
    </row>
    <row r="3159" spans="1:9" x14ac:dyDescent="0.25">
      <c r="A3159" s="218" t="s">
        <v>220</v>
      </c>
      <c r="B3159" s="218" t="s">
        <v>2351</v>
      </c>
      <c r="C3159" s="219" t="s">
        <v>4556</v>
      </c>
      <c r="D3159" s="212" t="s">
        <v>4557</v>
      </c>
      <c r="E3159" s="212" t="s">
        <v>545</v>
      </c>
      <c r="F3159" s="213">
        <v>9</v>
      </c>
      <c r="G3159" s="213">
        <v>22.429345098039217</v>
      </c>
      <c r="H3159" s="195">
        <v>201.86410588235296</v>
      </c>
      <c r="I3159" s="212" t="s">
        <v>2354</v>
      </c>
    </row>
    <row r="3160" spans="1:9" x14ac:dyDescent="0.25">
      <c r="A3160" s="218" t="s">
        <v>220</v>
      </c>
      <c r="B3160" s="218" t="s">
        <v>5430</v>
      </c>
      <c r="C3160" s="219" t="s">
        <v>7131</v>
      </c>
      <c r="D3160" s="212" t="s">
        <v>7132</v>
      </c>
      <c r="E3160" s="212" t="s">
        <v>545</v>
      </c>
      <c r="F3160" s="213">
        <v>10</v>
      </c>
      <c r="G3160" s="213">
        <v>20.2</v>
      </c>
      <c r="H3160" s="195">
        <v>202</v>
      </c>
      <c r="I3160" s="212" t="s">
        <v>2354</v>
      </c>
    </row>
    <row r="3161" spans="1:9" x14ac:dyDescent="0.25">
      <c r="A3161" s="218" t="s">
        <v>220</v>
      </c>
      <c r="B3161" s="218" t="s">
        <v>2351</v>
      </c>
      <c r="C3161" s="219" t="s">
        <v>2802</v>
      </c>
      <c r="D3161" s="212" t="s">
        <v>2803</v>
      </c>
      <c r="E3161" s="212" t="s">
        <v>545</v>
      </c>
      <c r="F3161" s="213">
        <v>9</v>
      </c>
      <c r="G3161" s="213">
        <v>22.5</v>
      </c>
      <c r="H3161" s="195">
        <v>202.5</v>
      </c>
      <c r="I3161" s="212" t="s">
        <v>2354</v>
      </c>
    </row>
    <row r="3162" spans="1:9" x14ac:dyDescent="0.25">
      <c r="A3162" s="218" t="s">
        <v>220</v>
      </c>
      <c r="B3162" s="218" t="s">
        <v>2351</v>
      </c>
      <c r="C3162" s="219" t="s">
        <v>2990</v>
      </c>
      <c r="D3162" s="212" t="s">
        <v>2991</v>
      </c>
      <c r="E3162" s="212" t="s">
        <v>545</v>
      </c>
      <c r="F3162" s="213">
        <v>1</v>
      </c>
      <c r="G3162" s="213">
        <v>203.67</v>
      </c>
      <c r="H3162" s="195">
        <v>203.67</v>
      </c>
      <c r="I3162" s="212" t="s">
        <v>2354</v>
      </c>
    </row>
    <row r="3163" spans="1:9" x14ac:dyDescent="0.25">
      <c r="A3163" s="218" t="s">
        <v>220</v>
      </c>
      <c r="B3163" s="218" t="s">
        <v>2351</v>
      </c>
      <c r="C3163" s="219" t="s">
        <v>4123</v>
      </c>
      <c r="D3163" s="212" t="s">
        <v>4124</v>
      </c>
      <c r="E3163" s="212" t="s">
        <v>545</v>
      </c>
      <c r="F3163" s="213">
        <v>1</v>
      </c>
      <c r="G3163" s="213">
        <v>204.05269999999999</v>
      </c>
      <c r="H3163" s="195">
        <v>204.05269999999999</v>
      </c>
      <c r="I3163" s="212" t="s">
        <v>2354</v>
      </c>
    </row>
    <row r="3164" spans="1:9" x14ac:dyDescent="0.25">
      <c r="A3164" s="218" t="s">
        <v>220</v>
      </c>
      <c r="B3164" s="218" t="s">
        <v>5430</v>
      </c>
      <c r="C3164" s="219" t="s">
        <v>6268</v>
      </c>
      <c r="D3164" s="212" t="s">
        <v>6269</v>
      </c>
      <c r="E3164" s="212" t="s">
        <v>545</v>
      </c>
      <c r="F3164" s="213">
        <v>22</v>
      </c>
      <c r="G3164" s="213">
        <v>9.2929999999999993</v>
      </c>
      <c r="H3164" s="195">
        <v>204.44599999999997</v>
      </c>
      <c r="I3164" s="212" t="s">
        <v>2354</v>
      </c>
    </row>
    <row r="3165" spans="1:9" x14ac:dyDescent="0.25">
      <c r="A3165" s="218" t="s">
        <v>220</v>
      </c>
      <c r="B3165" s="218" t="s">
        <v>5430</v>
      </c>
      <c r="C3165" s="219" t="s">
        <v>6113</v>
      </c>
      <c r="D3165" s="212" t="s">
        <v>6114</v>
      </c>
      <c r="E3165" s="212" t="s">
        <v>545</v>
      </c>
      <c r="F3165" s="213">
        <v>2</v>
      </c>
      <c r="G3165" s="213">
        <v>102.24</v>
      </c>
      <c r="H3165" s="195">
        <v>204.48</v>
      </c>
      <c r="I3165" s="212" t="s">
        <v>2354</v>
      </c>
    </row>
    <row r="3166" spans="1:9" x14ac:dyDescent="0.25">
      <c r="A3166" s="218" t="s">
        <v>220</v>
      </c>
      <c r="B3166" s="218" t="s">
        <v>2351</v>
      </c>
      <c r="C3166" s="219" t="s">
        <v>2484</v>
      </c>
      <c r="D3166" s="212" t="s">
        <v>2485</v>
      </c>
      <c r="E3166" s="212" t="s">
        <v>545</v>
      </c>
      <c r="F3166" s="213">
        <v>3</v>
      </c>
      <c r="G3166" s="213">
        <v>68.174999999999997</v>
      </c>
      <c r="H3166" s="195">
        <v>204.52499999999998</v>
      </c>
      <c r="I3166" s="212" t="s">
        <v>2354</v>
      </c>
    </row>
    <row r="3167" spans="1:9" x14ac:dyDescent="0.25">
      <c r="A3167" s="218" t="s">
        <v>220</v>
      </c>
      <c r="B3167" s="218" t="s">
        <v>5430</v>
      </c>
      <c r="C3167" s="219" t="s">
        <v>6079</v>
      </c>
      <c r="D3167" s="212" t="s">
        <v>6080</v>
      </c>
      <c r="E3167" s="212" t="s">
        <v>545</v>
      </c>
      <c r="F3167" s="213">
        <v>10</v>
      </c>
      <c r="G3167" s="213">
        <v>20.476800000000001</v>
      </c>
      <c r="H3167" s="195">
        <v>204.768</v>
      </c>
      <c r="I3167" s="212" t="s">
        <v>2354</v>
      </c>
    </row>
    <row r="3168" spans="1:9" x14ac:dyDescent="0.25">
      <c r="A3168" s="218" t="s">
        <v>220</v>
      </c>
      <c r="B3168" s="218" t="s">
        <v>5430</v>
      </c>
      <c r="C3168" s="219" t="s">
        <v>5927</v>
      </c>
      <c r="D3168" s="212" t="s">
        <v>5928</v>
      </c>
      <c r="E3168" s="212" t="s">
        <v>545</v>
      </c>
      <c r="F3168" s="213">
        <v>4</v>
      </c>
      <c r="G3168" s="213">
        <v>51.232500000000002</v>
      </c>
      <c r="H3168" s="195">
        <v>204.93</v>
      </c>
      <c r="I3168" s="212" t="s">
        <v>2354</v>
      </c>
    </row>
    <row r="3169" spans="1:9" x14ac:dyDescent="0.25">
      <c r="A3169" s="218" t="s">
        <v>220</v>
      </c>
      <c r="B3169" s="218" t="s">
        <v>2351</v>
      </c>
      <c r="C3169" s="219" t="s">
        <v>3615</v>
      </c>
      <c r="D3169" s="212" t="s">
        <v>3616</v>
      </c>
      <c r="E3169" s="212" t="s">
        <v>545</v>
      </c>
      <c r="F3169" s="213">
        <v>25</v>
      </c>
      <c r="G3169" s="213">
        <v>8.2278000000000002</v>
      </c>
      <c r="H3169" s="195">
        <v>205.69499999999999</v>
      </c>
      <c r="I3169" s="212" t="s">
        <v>2354</v>
      </c>
    </row>
    <row r="3170" spans="1:9" x14ac:dyDescent="0.25">
      <c r="A3170" s="218" t="s">
        <v>220</v>
      </c>
      <c r="B3170" s="218" t="s">
        <v>5430</v>
      </c>
      <c r="C3170" s="219" t="s">
        <v>4532</v>
      </c>
      <c r="D3170" s="212" t="s">
        <v>4533</v>
      </c>
      <c r="E3170" s="212" t="s">
        <v>545</v>
      </c>
      <c r="F3170" s="213">
        <v>4</v>
      </c>
      <c r="G3170" s="213">
        <v>51.488999999999997</v>
      </c>
      <c r="H3170" s="195">
        <v>205.95599999999999</v>
      </c>
      <c r="I3170" s="212" t="s">
        <v>2354</v>
      </c>
    </row>
    <row r="3171" spans="1:9" x14ac:dyDescent="0.25">
      <c r="A3171" s="218" t="s">
        <v>220</v>
      </c>
      <c r="B3171" s="218" t="s">
        <v>5430</v>
      </c>
      <c r="C3171" s="219" t="s">
        <v>5508</v>
      </c>
      <c r="D3171" s="212" t="s">
        <v>5509</v>
      </c>
      <c r="E3171" s="212" t="s">
        <v>545</v>
      </c>
      <c r="F3171" s="213">
        <v>4</v>
      </c>
      <c r="G3171" s="213">
        <v>51.516010000000001</v>
      </c>
      <c r="H3171" s="195">
        <v>206.06404000000001</v>
      </c>
      <c r="I3171" s="212" t="s">
        <v>2354</v>
      </c>
    </row>
    <row r="3172" spans="1:9" x14ac:dyDescent="0.25">
      <c r="A3172" s="218" t="s">
        <v>220</v>
      </c>
      <c r="B3172" s="218" t="s">
        <v>2351</v>
      </c>
      <c r="C3172" s="219" t="s">
        <v>5080</v>
      </c>
      <c r="D3172" s="212" t="s">
        <v>5081</v>
      </c>
      <c r="E3172" s="212" t="s">
        <v>545</v>
      </c>
      <c r="F3172" s="213">
        <v>12</v>
      </c>
      <c r="G3172" s="213">
        <v>17.193000000000001</v>
      </c>
      <c r="H3172" s="195">
        <v>206.31600000000003</v>
      </c>
      <c r="I3172" s="212" t="s">
        <v>2354</v>
      </c>
    </row>
    <row r="3173" spans="1:9" x14ac:dyDescent="0.25">
      <c r="A3173" s="218" t="s">
        <v>220</v>
      </c>
      <c r="B3173" s="218" t="s">
        <v>5430</v>
      </c>
      <c r="C3173" s="219" t="s">
        <v>6775</v>
      </c>
      <c r="D3173" s="212" t="s">
        <v>6776</v>
      </c>
      <c r="E3173" s="212" t="s">
        <v>545</v>
      </c>
      <c r="F3173" s="213">
        <v>9</v>
      </c>
      <c r="G3173" s="213">
        <v>23.035</v>
      </c>
      <c r="H3173" s="195">
        <v>207.315</v>
      </c>
      <c r="I3173" s="212" t="s">
        <v>2354</v>
      </c>
    </row>
    <row r="3174" spans="1:9" x14ac:dyDescent="0.25">
      <c r="A3174" s="218" t="s">
        <v>220</v>
      </c>
      <c r="B3174" s="218" t="s">
        <v>2351</v>
      </c>
      <c r="C3174" s="219" t="s">
        <v>4941</v>
      </c>
      <c r="D3174" s="212" t="s">
        <v>4942</v>
      </c>
      <c r="E3174" s="212" t="s">
        <v>545</v>
      </c>
      <c r="F3174" s="213">
        <v>501</v>
      </c>
      <c r="G3174" s="213">
        <v>0.41649999999999998</v>
      </c>
      <c r="H3174" s="195">
        <v>208.66649999999998</v>
      </c>
      <c r="I3174" s="212" t="s">
        <v>2354</v>
      </c>
    </row>
    <row r="3175" spans="1:9" x14ac:dyDescent="0.25">
      <c r="A3175" s="218" t="s">
        <v>220</v>
      </c>
      <c r="B3175" s="218" t="s">
        <v>2351</v>
      </c>
      <c r="C3175" s="219" t="s">
        <v>4544</v>
      </c>
      <c r="D3175" s="212" t="s">
        <v>4545</v>
      </c>
      <c r="E3175" s="212" t="s">
        <v>545</v>
      </c>
      <c r="F3175" s="213">
        <v>6</v>
      </c>
      <c r="G3175" s="213">
        <v>34.799999999999997</v>
      </c>
      <c r="H3175" s="195">
        <v>208.79999999999998</v>
      </c>
      <c r="I3175" s="212" t="s">
        <v>2354</v>
      </c>
    </row>
    <row r="3176" spans="1:9" x14ac:dyDescent="0.25">
      <c r="A3176" s="218" t="s">
        <v>220</v>
      </c>
      <c r="B3176" s="218" t="s">
        <v>2351</v>
      </c>
      <c r="C3176" s="219" t="s">
        <v>2482</v>
      </c>
      <c r="D3176" s="212" t="s">
        <v>2483</v>
      </c>
      <c r="E3176" s="212" t="s">
        <v>545</v>
      </c>
      <c r="F3176" s="213">
        <v>1</v>
      </c>
      <c r="G3176" s="213">
        <v>209.34899999999999</v>
      </c>
      <c r="H3176" s="195">
        <v>209.34899999999999</v>
      </c>
      <c r="I3176" s="212" t="s">
        <v>2354</v>
      </c>
    </row>
    <row r="3177" spans="1:9" x14ac:dyDescent="0.25">
      <c r="A3177" s="218" t="s">
        <v>220</v>
      </c>
      <c r="B3177" s="218" t="s">
        <v>2351</v>
      </c>
      <c r="C3177" s="219" t="s">
        <v>4107</v>
      </c>
      <c r="D3177" s="212" t="s">
        <v>4108</v>
      </c>
      <c r="E3177" s="212" t="s">
        <v>545</v>
      </c>
      <c r="F3177" s="213">
        <v>2</v>
      </c>
      <c r="G3177" s="213">
        <v>104.83199999999999</v>
      </c>
      <c r="H3177" s="195">
        <v>209.66399999999999</v>
      </c>
      <c r="I3177" s="212" t="s">
        <v>2354</v>
      </c>
    </row>
    <row r="3178" spans="1:9" x14ac:dyDescent="0.25">
      <c r="A3178" s="218" t="s">
        <v>220</v>
      </c>
      <c r="B3178" s="218" t="s">
        <v>2351</v>
      </c>
      <c r="C3178" s="219" t="s">
        <v>4193</v>
      </c>
      <c r="D3178" s="212" t="s">
        <v>4194</v>
      </c>
      <c r="E3178" s="212" t="s">
        <v>2387</v>
      </c>
      <c r="F3178" s="213">
        <v>10</v>
      </c>
      <c r="G3178" s="213">
        <v>20.988800000000001</v>
      </c>
      <c r="H3178" s="195">
        <v>209.88800000000001</v>
      </c>
      <c r="I3178" s="212" t="s">
        <v>2354</v>
      </c>
    </row>
    <row r="3179" spans="1:9" x14ac:dyDescent="0.25">
      <c r="A3179" s="218" t="s">
        <v>220</v>
      </c>
      <c r="B3179" s="218" t="s">
        <v>5430</v>
      </c>
      <c r="C3179" s="219" t="s">
        <v>6164</v>
      </c>
      <c r="D3179" s="212" t="s">
        <v>6165</v>
      </c>
      <c r="E3179" s="212" t="s">
        <v>545</v>
      </c>
      <c r="F3179" s="213">
        <v>2</v>
      </c>
      <c r="G3179" s="213">
        <v>104.9967</v>
      </c>
      <c r="H3179" s="195">
        <v>209.99340000000001</v>
      </c>
      <c r="I3179" s="212" t="s">
        <v>2354</v>
      </c>
    </row>
    <row r="3180" spans="1:9" x14ac:dyDescent="0.25">
      <c r="A3180" s="218" t="s">
        <v>220</v>
      </c>
      <c r="B3180" s="218" t="s">
        <v>2351</v>
      </c>
      <c r="C3180" s="219" t="s">
        <v>3633</v>
      </c>
      <c r="D3180" s="212" t="s">
        <v>3634</v>
      </c>
      <c r="E3180" s="212" t="s">
        <v>545</v>
      </c>
      <c r="F3180" s="213">
        <v>15</v>
      </c>
      <c r="G3180" s="213">
        <v>14.025</v>
      </c>
      <c r="H3180" s="195">
        <v>210.375</v>
      </c>
      <c r="I3180" s="212" t="s">
        <v>2354</v>
      </c>
    </row>
    <row r="3181" spans="1:9" x14ac:dyDescent="0.25">
      <c r="A3181" s="218" t="s">
        <v>220</v>
      </c>
      <c r="B3181" s="218" t="s">
        <v>2351</v>
      </c>
      <c r="C3181" s="219" t="s">
        <v>3775</v>
      </c>
      <c r="D3181" s="212" t="s">
        <v>3776</v>
      </c>
      <c r="E3181" s="212" t="s">
        <v>545</v>
      </c>
      <c r="F3181" s="213">
        <v>5</v>
      </c>
      <c r="G3181" s="213">
        <v>42.075000000000003</v>
      </c>
      <c r="H3181" s="195">
        <v>210.375</v>
      </c>
      <c r="I3181" s="212" t="s">
        <v>2354</v>
      </c>
    </row>
    <row r="3182" spans="1:9" x14ac:dyDescent="0.25">
      <c r="A3182" s="218" t="s">
        <v>220</v>
      </c>
      <c r="B3182" s="218" t="s">
        <v>2351</v>
      </c>
      <c r="C3182" s="219" t="s">
        <v>3791</v>
      </c>
      <c r="D3182" s="212" t="s">
        <v>3792</v>
      </c>
      <c r="E3182" s="212" t="s">
        <v>545</v>
      </c>
      <c r="F3182" s="213">
        <v>6</v>
      </c>
      <c r="G3182" s="213">
        <v>35.191000000000003</v>
      </c>
      <c r="H3182" s="195">
        <v>211.14600000000002</v>
      </c>
      <c r="I3182" s="212" t="s">
        <v>2354</v>
      </c>
    </row>
    <row r="3183" spans="1:9" x14ac:dyDescent="0.25">
      <c r="A3183" s="218" t="s">
        <v>220</v>
      </c>
      <c r="B3183" s="218" t="s">
        <v>2351</v>
      </c>
      <c r="C3183" s="219" t="s">
        <v>2726</v>
      </c>
      <c r="D3183" s="212" t="s">
        <v>2727</v>
      </c>
      <c r="E3183" s="212" t="s">
        <v>2387</v>
      </c>
      <c r="F3183" s="213">
        <v>5</v>
      </c>
      <c r="G3183" s="213">
        <v>42.3</v>
      </c>
      <c r="H3183" s="195">
        <v>211.5</v>
      </c>
      <c r="I3183" s="212" t="s">
        <v>2354</v>
      </c>
    </row>
    <row r="3184" spans="1:9" x14ac:dyDescent="0.25">
      <c r="A3184" s="218" t="s">
        <v>220</v>
      </c>
      <c r="B3184" s="218" t="s">
        <v>5430</v>
      </c>
      <c r="C3184" s="219" t="s">
        <v>2726</v>
      </c>
      <c r="D3184" s="212" t="s">
        <v>2727</v>
      </c>
      <c r="E3184" s="212" t="s">
        <v>2387</v>
      </c>
      <c r="F3184" s="213">
        <v>5</v>
      </c>
      <c r="G3184" s="213">
        <v>42.3</v>
      </c>
      <c r="H3184" s="195">
        <v>211.5</v>
      </c>
      <c r="I3184" s="212" t="s">
        <v>2354</v>
      </c>
    </row>
    <row r="3185" spans="1:9" x14ac:dyDescent="0.25">
      <c r="A3185" s="218" t="s">
        <v>220</v>
      </c>
      <c r="B3185" s="218" t="s">
        <v>2351</v>
      </c>
      <c r="C3185" s="219" t="s">
        <v>5154</v>
      </c>
      <c r="D3185" s="212" t="s">
        <v>5155</v>
      </c>
      <c r="E3185" s="212" t="s">
        <v>545</v>
      </c>
      <c r="F3185" s="213">
        <v>34</v>
      </c>
      <c r="G3185" s="213">
        <v>6.2240000000000002</v>
      </c>
      <c r="H3185" s="195">
        <v>211.61600000000001</v>
      </c>
      <c r="I3185" s="212" t="s">
        <v>2354</v>
      </c>
    </row>
    <row r="3186" spans="1:9" x14ac:dyDescent="0.25">
      <c r="A3186" s="218" t="s">
        <v>220</v>
      </c>
      <c r="B3186" s="218" t="s">
        <v>2351</v>
      </c>
      <c r="C3186" s="219" t="s">
        <v>3073</v>
      </c>
      <c r="D3186" s="212" t="s">
        <v>3074</v>
      </c>
      <c r="E3186" s="212" t="s">
        <v>545</v>
      </c>
      <c r="F3186" s="213">
        <v>6</v>
      </c>
      <c r="G3186" s="213">
        <v>35.276062499999995</v>
      </c>
      <c r="H3186" s="195">
        <v>211.65637499999997</v>
      </c>
      <c r="I3186" s="212" t="s">
        <v>2354</v>
      </c>
    </row>
    <row r="3187" spans="1:9" x14ac:dyDescent="0.25">
      <c r="A3187" s="218" t="s">
        <v>220</v>
      </c>
      <c r="B3187" s="218" t="s">
        <v>5430</v>
      </c>
      <c r="C3187" s="219" t="s">
        <v>3010</v>
      </c>
      <c r="D3187" s="212" t="s">
        <v>3011</v>
      </c>
      <c r="E3187" s="212" t="s">
        <v>545</v>
      </c>
      <c r="F3187" s="213">
        <v>17</v>
      </c>
      <c r="G3187" s="213">
        <v>12.5</v>
      </c>
      <c r="H3187" s="195">
        <v>212.5</v>
      </c>
      <c r="I3187" s="212" t="s">
        <v>2354</v>
      </c>
    </row>
    <row r="3188" spans="1:9" x14ac:dyDescent="0.25">
      <c r="A3188" s="218" t="s">
        <v>220</v>
      </c>
      <c r="B3188" s="218" t="s">
        <v>5430</v>
      </c>
      <c r="C3188" s="219" t="s">
        <v>2718</v>
      </c>
      <c r="D3188" s="212" t="s">
        <v>2719</v>
      </c>
      <c r="E3188" s="212" t="s">
        <v>7558</v>
      </c>
      <c r="F3188" s="213">
        <v>10</v>
      </c>
      <c r="G3188" s="213">
        <v>21.285</v>
      </c>
      <c r="H3188" s="195">
        <v>212.85</v>
      </c>
      <c r="I3188" s="212" t="s">
        <v>2354</v>
      </c>
    </row>
    <row r="3189" spans="1:9" x14ac:dyDescent="0.25">
      <c r="A3189" s="218" t="s">
        <v>220</v>
      </c>
      <c r="B3189" s="218" t="s">
        <v>5430</v>
      </c>
      <c r="C3189" s="219" t="s">
        <v>5903</v>
      </c>
      <c r="D3189" s="212" t="s">
        <v>5904</v>
      </c>
      <c r="E3189" s="212" t="s">
        <v>545</v>
      </c>
      <c r="F3189" s="213">
        <v>21</v>
      </c>
      <c r="G3189" s="213">
        <v>10.143000000000001</v>
      </c>
      <c r="H3189" s="195">
        <v>213.00300000000001</v>
      </c>
      <c r="I3189" s="212" t="s">
        <v>2354</v>
      </c>
    </row>
    <row r="3190" spans="1:9" x14ac:dyDescent="0.25">
      <c r="A3190" s="218" t="s">
        <v>220</v>
      </c>
      <c r="B3190" s="218" t="s">
        <v>2351</v>
      </c>
      <c r="C3190" s="219" t="s">
        <v>4019</v>
      </c>
      <c r="D3190" s="212" t="s">
        <v>4020</v>
      </c>
      <c r="E3190" s="212" t="s">
        <v>545</v>
      </c>
      <c r="F3190" s="213">
        <v>1</v>
      </c>
      <c r="G3190" s="213">
        <v>213.28200000000001</v>
      </c>
      <c r="H3190" s="195">
        <v>213.28200000000001</v>
      </c>
      <c r="I3190" s="212" t="s">
        <v>2354</v>
      </c>
    </row>
    <row r="3191" spans="1:9" x14ac:dyDescent="0.25">
      <c r="A3191" s="218" t="s">
        <v>220</v>
      </c>
      <c r="B3191" s="218" t="s">
        <v>5430</v>
      </c>
      <c r="C3191" s="219" t="s">
        <v>6156</v>
      </c>
      <c r="D3191" s="212" t="s">
        <v>6157</v>
      </c>
      <c r="E3191" s="212" t="s">
        <v>545</v>
      </c>
      <c r="F3191" s="213">
        <v>5</v>
      </c>
      <c r="G3191" s="213">
        <v>42.995699999999999</v>
      </c>
      <c r="H3191" s="195">
        <v>214.9785</v>
      </c>
      <c r="I3191" s="212" t="s">
        <v>2354</v>
      </c>
    </row>
    <row r="3192" spans="1:9" x14ac:dyDescent="0.25">
      <c r="A3192" s="218" t="s">
        <v>220</v>
      </c>
      <c r="B3192" s="218" t="s">
        <v>2351</v>
      </c>
      <c r="C3192" s="219" t="s">
        <v>2830</v>
      </c>
      <c r="D3192" s="212" t="s">
        <v>2831</v>
      </c>
      <c r="E3192" s="212" t="s">
        <v>545</v>
      </c>
      <c r="F3192" s="213">
        <v>1</v>
      </c>
      <c r="G3192" s="213">
        <v>214.98965000000001</v>
      </c>
      <c r="H3192" s="195">
        <v>214.98965000000001</v>
      </c>
      <c r="I3192" s="212" t="s">
        <v>2354</v>
      </c>
    </row>
    <row r="3193" spans="1:9" x14ac:dyDescent="0.25">
      <c r="A3193" s="218" t="s">
        <v>220</v>
      </c>
      <c r="B3193" s="218" t="s">
        <v>5430</v>
      </c>
      <c r="C3193" s="219" t="s">
        <v>2830</v>
      </c>
      <c r="D3193" s="212" t="s">
        <v>2831</v>
      </c>
      <c r="E3193" s="212" t="s">
        <v>545</v>
      </c>
      <c r="F3193" s="213">
        <v>1</v>
      </c>
      <c r="G3193" s="213">
        <v>214.98965000000001</v>
      </c>
      <c r="H3193" s="195">
        <v>214.98965000000001</v>
      </c>
      <c r="I3193" s="212" t="s">
        <v>2354</v>
      </c>
    </row>
    <row r="3194" spans="1:9" x14ac:dyDescent="0.25">
      <c r="A3194" s="218" t="s">
        <v>220</v>
      </c>
      <c r="B3194" s="218" t="s">
        <v>5430</v>
      </c>
      <c r="C3194" s="219" t="s">
        <v>6107</v>
      </c>
      <c r="D3194" s="212" t="s">
        <v>6108</v>
      </c>
      <c r="E3194" s="212" t="s">
        <v>545</v>
      </c>
      <c r="F3194" s="213">
        <v>4</v>
      </c>
      <c r="G3194" s="213">
        <v>53.849699999999999</v>
      </c>
      <c r="H3194" s="195">
        <v>215.39879999999999</v>
      </c>
      <c r="I3194" s="212" t="s">
        <v>2354</v>
      </c>
    </row>
    <row r="3195" spans="1:9" x14ac:dyDescent="0.25">
      <c r="A3195" s="218" t="s">
        <v>220</v>
      </c>
      <c r="B3195" s="218" t="s">
        <v>2351</v>
      </c>
      <c r="C3195" s="219"/>
      <c r="D3195" s="212" t="s">
        <v>2443</v>
      </c>
      <c r="E3195" s="212" t="s">
        <v>545</v>
      </c>
      <c r="F3195" s="213">
        <v>1</v>
      </c>
      <c r="G3195" s="213">
        <v>215.5</v>
      </c>
      <c r="H3195" s="195">
        <v>215.5</v>
      </c>
      <c r="I3195" s="212" t="s">
        <v>2354</v>
      </c>
    </row>
    <row r="3196" spans="1:9" x14ac:dyDescent="0.25">
      <c r="A3196" s="218" t="s">
        <v>220</v>
      </c>
      <c r="B3196" s="218" t="s">
        <v>5430</v>
      </c>
      <c r="C3196" s="219" t="s">
        <v>7020</v>
      </c>
      <c r="D3196" s="212" t="s">
        <v>4537</v>
      </c>
      <c r="E3196" s="212" t="s">
        <v>545</v>
      </c>
      <c r="F3196" s="213">
        <v>22</v>
      </c>
      <c r="G3196" s="213">
        <v>9.8103999999999996</v>
      </c>
      <c r="H3196" s="195">
        <v>215.8288</v>
      </c>
      <c r="I3196" s="212" t="s">
        <v>2354</v>
      </c>
    </row>
    <row r="3197" spans="1:9" x14ac:dyDescent="0.25">
      <c r="A3197" s="218" t="s">
        <v>220</v>
      </c>
      <c r="B3197" s="218" t="s">
        <v>5430</v>
      </c>
      <c r="C3197" s="219" t="s">
        <v>5965</v>
      </c>
      <c r="D3197" s="212" t="s">
        <v>5966</v>
      </c>
      <c r="E3197" s="212" t="s">
        <v>545</v>
      </c>
      <c r="F3197" s="213">
        <v>6</v>
      </c>
      <c r="G3197" s="213">
        <v>36.090000000000003</v>
      </c>
      <c r="H3197" s="195">
        <v>216.54000000000002</v>
      </c>
      <c r="I3197" s="212" t="s">
        <v>2354</v>
      </c>
    </row>
    <row r="3198" spans="1:9" x14ac:dyDescent="0.25">
      <c r="A3198" s="218" t="s">
        <v>220</v>
      </c>
      <c r="B3198" s="218" t="s">
        <v>2351</v>
      </c>
      <c r="C3198" s="219" t="s">
        <v>2694</v>
      </c>
      <c r="D3198" s="212" t="s">
        <v>2695</v>
      </c>
      <c r="E3198" s="212" t="s">
        <v>545</v>
      </c>
      <c r="F3198" s="213">
        <v>1</v>
      </c>
      <c r="G3198" s="213">
        <v>217</v>
      </c>
      <c r="H3198" s="195">
        <v>217</v>
      </c>
      <c r="I3198" s="212" t="s">
        <v>2354</v>
      </c>
    </row>
    <row r="3199" spans="1:9" x14ac:dyDescent="0.25">
      <c r="A3199" s="218" t="s">
        <v>220</v>
      </c>
      <c r="B3199" s="218" t="s">
        <v>5430</v>
      </c>
      <c r="C3199" s="219" t="s">
        <v>6237</v>
      </c>
      <c r="D3199" s="212" t="s">
        <v>6238</v>
      </c>
      <c r="E3199" s="212" t="s">
        <v>545</v>
      </c>
      <c r="F3199" s="213">
        <v>23</v>
      </c>
      <c r="G3199" s="213">
        <v>9.4841999999999995</v>
      </c>
      <c r="H3199" s="195">
        <v>218.13659999999999</v>
      </c>
      <c r="I3199" s="212" t="s">
        <v>2354</v>
      </c>
    </row>
    <row r="3200" spans="1:9" x14ac:dyDescent="0.25">
      <c r="A3200" s="218" t="s">
        <v>220</v>
      </c>
      <c r="B3200" s="218" t="s">
        <v>2351</v>
      </c>
      <c r="C3200" s="219" t="s">
        <v>3951</v>
      </c>
      <c r="D3200" s="212" t="s">
        <v>3952</v>
      </c>
      <c r="E3200" s="212" t="s">
        <v>545</v>
      </c>
      <c r="F3200" s="213">
        <v>10</v>
      </c>
      <c r="G3200" s="213">
        <v>21.861000000000001</v>
      </c>
      <c r="H3200" s="195">
        <v>218.61</v>
      </c>
      <c r="I3200" s="212" t="s">
        <v>2354</v>
      </c>
    </row>
    <row r="3201" spans="1:9" x14ac:dyDescent="0.25">
      <c r="A3201" s="218" t="s">
        <v>220</v>
      </c>
      <c r="B3201" s="218" t="s">
        <v>2351</v>
      </c>
      <c r="C3201" s="219" t="s">
        <v>2844</v>
      </c>
      <c r="D3201" s="212" t="s">
        <v>2845</v>
      </c>
      <c r="E3201" s="212" t="s">
        <v>545</v>
      </c>
      <c r="F3201" s="213">
        <v>4</v>
      </c>
      <c r="G3201" s="213">
        <v>54.701999999999998</v>
      </c>
      <c r="H3201" s="195">
        <v>218.80799999999999</v>
      </c>
      <c r="I3201" s="212" t="s">
        <v>2354</v>
      </c>
    </row>
    <row r="3202" spans="1:9" x14ac:dyDescent="0.25">
      <c r="A3202" s="218" t="s">
        <v>220</v>
      </c>
      <c r="B3202" s="218" t="s">
        <v>5430</v>
      </c>
      <c r="C3202" s="219" t="s">
        <v>6385</v>
      </c>
      <c r="D3202" s="212" t="s">
        <v>6386</v>
      </c>
      <c r="E3202" s="212" t="s">
        <v>545</v>
      </c>
      <c r="F3202" s="213">
        <v>4</v>
      </c>
      <c r="G3202" s="213">
        <v>54.843000000000004</v>
      </c>
      <c r="H3202" s="195">
        <v>219.37200000000001</v>
      </c>
      <c r="I3202" s="212" t="s">
        <v>2354</v>
      </c>
    </row>
    <row r="3203" spans="1:9" x14ac:dyDescent="0.25">
      <c r="A3203" s="218" t="s">
        <v>220</v>
      </c>
      <c r="B3203" s="218" t="s">
        <v>2351</v>
      </c>
      <c r="C3203" s="219" t="s">
        <v>2852</v>
      </c>
      <c r="D3203" s="212" t="s">
        <v>2853</v>
      </c>
      <c r="E3203" s="212" t="s">
        <v>545</v>
      </c>
      <c r="F3203" s="213">
        <v>4</v>
      </c>
      <c r="G3203" s="213">
        <v>55.125</v>
      </c>
      <c r="H3203" s="195">
        <v>220.5</v>
      </c>
      <c r="I3203" s="212" t="s">
        <v>2354</v>
      </c>
    </row>
    <row r="3204" spans="1:9" x14ac:dyDescent="0.25">
      <c r="A3204" s="218" t="s">
        <v>220</v>
      </c>
      <c r="B3204" s="218" t="s">
        <v>2351</v>
      </c>
      <c r="C3204" s="219" t="s">
        <v>4614</v>
      </c>
      <c r="D3204" s="212" t="s">
        <v>4615</v>
      </c>
      <c r="E3204" s="212" t="s">
        <v>545</v>
      </c>
      <c r="F3204" s="213">
        <v>65</v>
      </c>
      <c r="G3204" s="213">
        <v>3.3929999999999998</v>
      </c>
      <c r="H3204" s="195">
        <v>220.54499999999999</v>
      </c>
      <c r="I3204" s="212" t="s">
        <v>2354</v>
      </c>
    </row>
    <row r="3205" spans="1:9" x14ac:dyDescent="0.25">
      <c r="A3205" s="218" t="s">
        <v>220</v>
      </c>
      <c r="B3205" s="218" t="s">
        <v>5430</v>
      </c>
      <c r="C3205" s="219" t="s">
        <v>5693</v>
      </c>
      <c r="D3205" s="212" t="s">
        <v>5694</v>
      </c>
      <c r="E3205" s="212" t="s">
        <v>545</v>
      </c>
      <c r="F3205" s="213">
        <v>12</v>
      </c>
      <c r="G3205" s="213">
        <v>18.3933</v>
      </c>
      <c r="H3205" s="195">
        <v>220.71960000000001</v>
      </c>
      <c r="I3205" s="212" t="s">
        <v>2354</v>
      </c>
    </row>
    <row r="3206" spans="1:9" x14ac:dyDescent="0.25">
      <c r="A3206" s="218" t="s">
        <v>220</v>
      </c>
      <c r="B3206" s="218" t="s">
        <v>2351</v>
      </c>
      <c r="C3206" s="219" t="s">
        <v>2612</v>
      </c>
      <c r="D3206" s="212" t="s">
        <v>2613</v>
      </c>
      <c r="E3206" s="212" t="s">
        <v>545</v>
      </c>
      <c r="F3206" s="213">
        <v>1</v>
      </c>
      <c r="G3206" s="213">
        <v>220.79249999999999</v>
      </c>
      <c r="H3206" s="195">
        <v>220.79249999999999</v>
      </c>
      <c r="I3206" s="212" t="s">
        <v>2354</v>
      </c>
    </row>
    <row r="3207" spans="1:9" x14ac:dyDescent="0.25">
      <c r="A3207" s="218" t="s">
        <v>220</v>
      </c>
      <c r="B3207" s="218" t="s">
        <v>5430</v>
      </c>
      <c r="C3207" s="219" t="s">
        <v>6724</v>
      </c>
      <c r="D3207" s="212" t="s">
        <v>6725</v>
      </c>
      <c r="E3207" s="212" t="s">
        <v>545</v>
      </c>
      <c r="F3207" s="213">
        <v>4</v>
      </c>
      <c r="G3207" s="213">
        <v>55.368000000000002</v>
      </c>
      <c r="H3207" s="195">
        <v>221.47200000000001</v>
      </c>
      <c r="I3207" s="212" t="s">
        <v>2354</v>
      </c>
    </row>
    <row r="3208" spans="1:9" x14ac:dyDescent="0.25">
      <c r="A3208" s="218" t="s">
        <v>220</v>
      </c>
      <c r="B3208" s="218" t="s">
        <v>5430</v>
      </c>
      <c r="C3208" s="219" t="s">
        <v>6042</v>
      </c>
      <c r="D3208" s="212" t="s">
        <v>3057</v>
      </c>
      <c r="E3208" s="212" t="s">
        <v>545</v>
      </c>
      <c r="F3208" s="213">
        <v>8</v>
      </c>
      <c r="G3208" s="213">
        <v>27.728000000000002</v>
      </c>
      <c r="H3208" s="195">
        <v>221.82400000000001</v>
      </c>
      <c r="I3208" s="212" t="s">
        <v>2354</v>
      </c>
    </row>
    <row r="3209" spans="1:9" x14ac:dyDescent="0.25">
      <c r="A3209" s="218" t="s">
        <v>220</v>
      </c>
      <c r="B3209" s="218" t="s">
        <v>5430</v>
      </c>
      <c r="C3209" s="219" t="s">
        <v>6057</v>
      </c>
      <c r="D3209" s="212" t="s">
        <v>6058</v>
      </c>
      <c r="E3209" s="212" t="s">
        <v>545</v>
      </c>
      <c r="F3209" s="213">
        <v>3</v>
      </c>
      <c r="G3209" s="213">
        <v>73.981800000000007</v>
      </c>
      <c r="H3209" s="195">
        <v>221.94540000000001</v>
      </c>
      <c r="I3209" s="212" t="s">
        <v>2354</v>
      </c>
    </row>
    <row r="3210" spans="1:9" x14ac:dyDescent="0.25">
      <c r="A3210" s="218" t="s">
        <v>220</v>
      </c>
      <c r="B3210" s="218" t="s">
        <v>2351</v>
      </c>
      <c r="C3210" s="219" t="s">
        <v>4534</v>
      </c>
      <c r="D3210" s="212" t="s">
        <v>4535</v>
      </c>
      <c r="E3210" s="212" t="s">
        <v>545</v>
      </c>
      <c r="F3210" s="213">
        <v>38</v>
      </c>
      <c r="G3210" s="213">
        <v>5.85</v>
      </c>
      <c r="H3210" s="195">
        <v>222.29999999999998</v>
      </c>
      <c r="I3210" s="212" t="s">
        <v>2354</v>
      </c>
    </row>
    <row r="3211" spans="1:9" x14ac:dyDescent="0.25">
      <c r="A3211" s="218" t="s">
        <v>220</v>
      </c>
      <c r="B3211" s="218" t="s">
        <v>2351</v>
      </c>
      <c r="C3211" s="219" t="s">
        <v>3265</v>
      </c>
      <c r="D3211" s="212" t="s">
        <v>3266</v>
      </c>
      <c r="E3211" s="212" t="s">
        <v>545</v>
      </c>
      <c r="F3211" s="213">
        <v>5</v>
      </c>
      <c r="G3211" s="213">
        <v>44.594999999999999</v>
      </c>
      <c r="H3211" s="195">
        <v>222.97499999999999</v>
      </c>
      <c r="I3211" s="212" t="s">
        <v>2354</v>
      </c>
    </row>
    <row r="3212" spans="1:9" x14ac:dyDescent="0.25">
      <c r="A3212" s="218" t="s">
        <v>220</v>
      </c>
      <c r="B3212" s="218" t="s">
        <v>5430</v>
      </c>
      <c r="C3212" s="219" t="s">
        <v>7065</v>
      </c>
      <c r="D3212" s="212" t="s">
        <v>7066</v>
      </c>
      <c r="E3212" s="212" t="s">
        <v>545</v>
      </c>
      <c r="F3212" s="213">
        <v>88</v>
      </c>
      <c r="G3212" s="213">
        <v>2.5339999999999998</v>
      </c>
      <c r="H3212" s="195">
        <v>222.99199999999999</v>
      </c>
      <c r="I3212" s="212" t="s">
        <v>2354</v>
      </c>
    </row>
    <row r="3213" spans="1:9" x14ac:dyDescent="0.25">
      <c r="A3213" s="218" t="s">
        <v>220</v>
      </c>
      <c r="B3213" s="218" t="s">
        <v>5430</v>
      </c>
      <c r="C3213" s="219" t="s">
        <v>5809</v>
      </c>
      <c r="D3213" s="212" t="s">
        <v>5810</v>
      </c>
      <c r="E3213" s="212" t="s">
        <v>545</v>
      </c>
      <c r="F3213" s="213">
        <v>4</v>
      </c>
      <c r="G3213" s="213">
        <v>55.7622</v>
      </c>
      <c r="H3213" s="195">
        <v>223.0488</v>
      </c>
      <c r="I3213" s="212" t="s">
        <v>2354</v>
      </c>
    </row>
    <row r="3214" spans="1:9" x14ac:dyDescent="0.25">
      <c r="A3214" s="218" t="s">
        <v>220</v>
      </c>
      <c r="B3214" s="218" t="s">
        <v>5430</v>
      </c>
      <c r="C3214" s="219" t="s">
        <v>7008</v>
      </c>
      <c r="D3214" s="212" t="s">
        <v>7009</v>
      </c>
      <c r="E3214" s="212" t="s">
        <v>545</v>
      </c>
      <c r="F3214" s="213">
        <v>120</v>
      </c>
      <c r="G3214" s="213">
        <v>1.8597999999999999</v>
      </c>
      <c r="H3214" s="195">
        <v>223.17599999999999</v>
      </c>
      <c r="I3214" s="212" t="s">
        <v>2354</v>
      </c>
    </row>
    <row r="3215" spans="1:9" x14ac:dyDescent="0.25">
      <c r="A3215" s="218" t="s">
        <v>220</v>
      </c>
      <c r="B3215" s="218" t="s">
        <v>2351</v>
      </c>
      <c r="C3215" s="219" t="s">
        <v>2455</v>
      </c>
      <c r="D3215" s="212" t="s">
        <v>2456</v>
      </c>
      <c r="E3215" s="212" t="s">
        <v>545</v>
      </c>
      <c r="F3215" s="213">
        <v>2</v>
      </c>
      <c r="G3215" s="213">
        <v>111.956</v>
      </c>
      <c r="H3215" s="195">
        <v>223.91200000000001</v>
      </c>
      <c r="I3215" s="212" t="s">
        <v>2354</v>
      </c>
    </row>
    <row r="3216" spans="1:9" x14ac:dyDescent="0.25">
      <c r="A3216" s="218" t="s">
        <v>220</v>
      </c>
      <c r="B3216" s="218" t="s">
        <v>2351</v>
      </c>
      <c r="C3216" s="219" t="s">
        <v>3977</v>
      </c>
      <c r="D3216" s="212" t="s">
        <v>3978</v>
      </c>
      <c r="E3216" s="212" t="s">
        <v>545</v>
      </c>
      <c r="F3216" s="213">
        <v>75</v>
      </c>
      <c r="G3216" s="213">
        <v>3.0068999999999999</v>
      </c>
      <c r="H3216" s="195">
        <v>225.51749999999998</v>
      </c>
      <c r="I3216" s="212" t="s">
        <v>2354</v>
      </c>
    </row>
    <row r="3217" spans="1:9" x14ac:dyDescent="0.25">
      <c r="A3217" s="218" t="s">
        <v>220</v>
      </c>
      <c r="B3217" s="218" t="s">
        <v>5430</v>
      </c>
      <c r="C3217" s="219" t="s">
        <v>6162</v>
      </c>
      <c r="D3217" s="212" t="s">
        <v>6163</v>
      </c>
      <c r="E3217" s="212" t="s">
        <v>545</v>
      </c>
      <c r="F3217" s="213">
        <v>2</v>
      </c>
      <c r="G3217" s="213">
        <v>113.4</v>
      </c>
      <c r="H3217" s="195">
        <v>226.8</v>
      </c>
      <c r="I3217" s="212" t="s">
        <v>2354</v>
      </c>
    </row>
    <row r="3218" spans="1:9" x14ac:dyDescent="0.25">
      <c r="A3218" s="218" t="s">
        <v>220</v>
      </c>
      <c r="B3218" s="218" t="s">
        <v>2351</v>
      </c>
      <c r="C3218" s="219" t="s">
        <v>3571</v>
      </c>
      <c r="D3218" s="212" t="s">
        <v>3572</v>
      </c>
      <c r="E3218" s="212" t="s">
        <v>545</v>
      </c>
      <c r="F3218" s="213">
        <v>17</v>
      </c>
      <c r="G3218" s="213">
        <v>13.428499999999998</v>
      </c>
      <c r="H3218" s="195">
        <v>228.28449999999995</v>
      </c>
      <c r="I3218" s="212" t="s">
        <v>2354</v>
      </c>
    </row>
    <row r="3219" spans="1:9" x14ac:dyDescent="0.25">
      <c r="A3219" s="218" t="s">
        <v>220</v>
      </c>
      <c r="B3219" s="218" t="s">
        <v>2351</v>
      </c>
      <c r="C3219" s="219" t="s">
        <v>4995</v>
      </c>
      <c r="D3219" s="212" t="s">
        <v>4996</v>
      </c>
      <c r="E3219" s="212" t="s">
        <v>545</v>
      </c>
      <c r="F3219" s="213">
        <v>75</v>
      </c>
      <c r="G3219" s="213">
        <v>3.04725</v>
      </c>
      <c r="H3219" s="195">
        <v>228.54374999999999</v>
      </c>
      <c r="I3219" s="212" t="s">
        <v>2354</v>
      </c>
    </row>
    <row r="3220" spans="1:9" x14ac:dyDescent="0.25">
      <c r="A3220" s="218" t="s">
        <v>220</v>
      </c>
      <c r="B3220" s="218" t="s">
        <v>5430</v>
      </c>
      <c r="C3220" s="219" t="s">
        <v>5771</v>
      </c>
      <c r="D3220" s="212" t="s">
        <v>5772</v>
      </c>
      <c r="E3220" s="212" t="s">
        <v>545</v>
      </c>
      <c r="F3220" s="213">
        <v>2</v>
      </c>
      <c r="G3220" s="213">
        <v>114.4008</v>
      </c>
      <c r="H3220" s="195">
        <v>228.80160000000001</v>
      </c>
      <c r="I3220" s="212" t="s">
        <v>2354</v>
      </c>
    </row>
    <row r="3221" spans="1:9" x14ac:dyDescent="0.25">
      <c r="A3221" s="218" t="s">
        <v>220</v>
      </c>
      <c r="B3221" s="218" t="s">
        <v>5430</v>
      </c>
      <c r="C3221" s="219" t="s">
        <v>5773</v>
      </c>
      <c r="D3221" s="212" t="s">
        <v>5774</v>
      </c>
      <c r="E3221" s="212" t="s">
        <v>545</v>
      </c>
      <c r="F3221" s="213">
        <v>2</v>
      </c>
      <c r="G3221" s="213">
        <v>114.4008</v>
      </c>
      <c r="H3221" s="195">
        <v>228.80160000000001</v>
      </c>
      <c r="I3221" s="212" t="s">
        <v>2354</v>
      </c>
    </row>
    <row r="3222" spans="1:9" x14ac:dyDescent="0.25">
      <c r="A3222" s="218" t="s">
        <v>220</v>
      </c>
      <c r="B3222" s="218" t="s">
        <v>5430</v>
      </c>
      <c r="C3222" s="219" t="s">
        <v>4001</v>
      </c>
      <c r="D3222" s="212" t="s">
        <v>5485</v>
      </c>
      <c r="E3222" s="212" t="s">
        <v>545</v>
      </c>
      <c r="F3222" s="213">
        <v>17</v>
      </c>
      <c r="G3222" s="213">
        <v>13.5</v>
      </c>
      <c r="H3222" s="195">
        <v>229.5</v>
      </c>
      <c r="I3222" s="212" t="s">
        <v>2354</v>
      </c>
    </row>
    <row r="3223" spans="1:9" x14ac:dyDescent="0.25">
      <c r="A3223" s="218" t="s">
        <v>220</v>
      </c>
      <c r="B3223" s="218" t="s">
        <v>5430</v>
      </c>
      <c r="C3223" s="219" t="s">
        <v>6692</v>
      </c>
      <c r="D3223" s="212" t="s">
        <v>6693</v>
      </c>
      <c r="E3223" s="212" t="s">
        <v>545</v>
      </c>
      <c r="F3223" s="213">
        <v>2</v>
      </c>
      <c r="G3223" s="213">
        <v>114.7698</v>
      </c>
      <c r="H3223" s="195">
        <v>229.53960000000001</v>
      </c>
      <c r="I3223" s="212" t="s">
        <v>2354</v>
      </c>
    </row>
    <row r="3224" spans="1:9" x14ac:dyDescent="0.25">
      <c r="A3224" s="218" t="s">
        <v>220</v>
      </c>
      <c r="B3224" s="218" t="s">
        <v>2351</v>
      </c>
      <c r="C3224" s="219" t="s">
        <v>2976</v>
      </c>
      <c r="D3224" s="212" t="s">
        <v>2977</v>
      </c>
      <c r="E3224" s="212" t="s">
        <v>545</v>
      </c>
      <c r="F3224" s="213">
        <v>2</v>
      </c>
      <c r="G3224" s="213">
        <v>115</v>
      </c>
      <c r="H3224" s="195">
        <v>230</v>
      </c>
      <c r="I3224" s="212" t="s">
        <v>2354</v>
      </c>
    </row>
    <row r="3225" spans="1:9" x14ac:dyDescent="0.25">
      <c r="A3225" s="218" t="s">
        <v>220</v>
      </c>
      <c r="B3225" s="218" t="s">
        <v>5430</v>
      </c>
      <c r="C3225" s="219" t="s">
        <v>6613</v>
      </c>
      <c r="D3225" s="212" t="s">
        <v>6614</v>
      </c>
      <c r="E3225" s="212" t="s">
        <v>2387</v>
      </c>
      <c r="F3225" s="213">
        <v>6</v>
      </c>
      <c r="G3225" s="213">
        <v>38.347000000000001</v>
      </c>
      <c r="H3225" s="195">
        <v>230.08199999999999</v>
      </c>
      <c r="I3225" s="212" t="s">
        <v>2354</v>
      </c>
    </row>
    <row r="3226" spans="1:9" x14ac:dyDescent="0.25">
      <c r="A3226" s="218" t="s">
        <v>220</v>
      </c>
      <c r="B3226" s="218" t="s">
        <v>5430</v>
      </c>
      <c r="C3226" s="219" t="s">
        <v>7268</v>
      </c>
      <c r="D3226" s="212" t="s">
        <v>7269</v>
      </c>
      <c r="E3226" s="212" t="s">
        <v>545</v>
      </c>
      <c r="F3226" s="213">
        <v>8</v>
      </c>
      <c r="G3226" s="213">
        <v>28.763000000000002</v>
      </c>
      <c r="H3226" s="195">
        <v>230.10400000000001</v>
      </c>
      <c r="I3226" s="212" t="s">
        <v>2354</v>
      </c>
    </row>
    <row r="3227" spans="1:9" x14ac:dyDescent="0.25">
      <c r="A3227" s="218" t="s">
        <v>220</v>
      </c>
      <c r="B3227" s="218" t="s">
        <v>5430</v>
      </c>
      <c r="C3227" s="219" t="s">
        <v>6091</v>
      </c>
      <c r="D3227" s="212" t="s">
        <v>6092</v>
      </c>
      <c r="E3227" s="212" t="s">
        <v>545</v>
      </c>
      <c r="F3227" s="213">
        <v>11</v>
      </c>
      <c r="G3227" s="213">
        <v>20.923200000000001</v>
      </c>
      <c r="H3227" s="195">
        <v>230.15520000000001</v>
      </c>
      <c r="I3227" s="212" t="s">
        <v>2354</v>
      </c>
    </row>
    <row r="3228" spans="1:9" x14ac:dyDescent="0.25">
      <c r="A3228" s="218" t="s">
        <v>220</v>
      </c>
      <c r="B3228" s="218" t="s">
        <v>5430</v>
      </c>
      <c r="C3228" s="219" t="s">
        <v>5662</v>
      </c>
      <c r="D3228" s="212" t="s">
        <v>5663</v>
      </c>
      <c r="E3228" s="212" t="s">
        <v>545</v>
      </c>
      <c r="F3228" s="213">
        <v>1</v>
      </c>
      <c r="G3228" s="213">
        <v>230.4</v>
      </c>
      <c r="H3228" s="195">
        <v>230.4</v>
      </c>
      <c r="I3228" s="212" t="s">
        <v>2354</v>
      </c>
    </row>
    <row r="3229" spans="1:9" x14ac:dyDescent="0.25">
      <c r="A3229" s="218" t="s">
        <v>220</v>
      </c>
      <c r="B3229" s="218" t="s">
        <v>5430</v>
      </c>
      <c r="C3229" s="219" t="s">
        <v>6046</v>
      </c>
      <c r="D3229" s="212" t="s">
        <v>3057</v>
      </c>
      <c r="E3229" s="212" t="s">
        <v>545</v>
      </c>
      <c r="F3229" s="213">
        <v>4</v>
      </c>
      <c r="G3229" s="213">
        <v>57.6</v>
      </c>
      <c r="H3229" s="195">
        <v>230.4</v>
      </c>
      <c r="I3229" s="212" t="s">
        <v>2354</v>
      </c>
    </row>
    <row r="3230" spans="1:9" x14ac:dyDescent="0.25">
      <c r="A3230" s="218" t="s">
        <v>220</v>
      </c>
      <c r="B3230" s="218" t="s">
        <v>2351</v>
      </c>
      <c r="C3230" s="219" t="s">
        <v>3095</v>
      </c>
      <c r="D3230" s="212" t="s">
        <v>3096</v>
      </c>
      <c r="E3230" s="212" t="s">
        <v>545</v>
      </c>
      <c r="F3230" s="213">
        <v>1</v>
      </c>
      <c r="G3230" s="213">
        <v>230.4855</v>
      </c>
      <c r="H3230" s="195">
        <v>230.4855</v>
      </c>
      <c r="I3230" s="212" t="s">
        <v>2354</v>
      </c>
    </row>
    <row r="3231" spans="1:9" x14ac:dyDescent="0.25">
      <c r="A3231" s="218" t="s">
        <v>220</v>
      </c>
      <c r="B3231" s="218" t="s">
        <v>2351</v>
      </c>
      <c r="C3231" s="219" t="s">
        <v>3535</v>
      </c>
      <c r="D3231" s="212" t="s">
        <v>3536</v>
      </c>
      <c r="E3231" s="212" t="s">
        <v>545</v>
      </c>
      <c r="F3231" s="213">
        <v>34</v>
      </c>
      <c r="G3231" s="213">
        <v>6.7829999999999995</v>
      </c>
      <c r="H3231" s="195">
        <v>230.62199999999999</v>
      </c>
      <c r="I3231" s="212" t="s">
        <v>2354</v>
      </c>
    </row>
    <row r="3232" spans="1:9" x14ac:dyDescent="0.25">
      <c r="A3232" s="218" t="s">
        <v>220</v>
      </c>
      <c r="B3232" s="218" t="s">
        <v>2351</v>
      </c>
      <c r="C3232" s="219" t="s">
        <v>3065</v>
      </c>
      <c r="D3232" s="212" t="s">
        <v>3066</v>
      </c>
      <c r="E3232" s="212" t="s">
        <v>545</v>
      </c>
      <c r="F3232" s="213">
        <v>2</v>
      </c>
      <c r="G3232" s="213">
        <v>115.65</v>
      </c>
      <c r="H3232" s="195">
        <v>231.3</v>
      </c>
      <c r="I3232" s="212" t="s">
        <v>2354</v>
      </c>
    </row>
    <row r="3233" spans="1:9" x14ac:dyDescent="0.25">
      <c r="A3233" s="218" t="s">
        <v>220</v>
      </c>
      <c r="B3233" s="218" t="s">
        <v>5430</v>
      </c>
      <c r="C3233" s="219" t="s">
        <v>3065</v>
      </c>
      <c r="D3233" s="212" t="s">
        <v>3066</v>
      </c>
      <c r="E3233" s="212" t="s">
        <v>545</v>
      </c>
      <c r="F3233" s="213">
        <v>2</v>
      </c>
      <c r="G3233" s="213">
        <v>115.65</v>
      </c>
      <c r="H3233" s="195">
        <v>231.3</v>
      </c>
      <c r="I3233" s="212" t="s">
        <v>2354</v>
      </c>
    </row>
    <row r="3234" spans="1:9" x14ac:dyDescent="0.25">
      <c r="A3234" s="218" t="s">
        <v>220</v>
      </c>
      <c r="B3234" s="218" t="s">
        <v>5430</v>
      </c>
      <c r="C3234" s="219" t="s">
        <v>6141</v>
      </c>
      <c r="D3234" s="212" t="s">
        <v>6142</v>
      </c>
      <c r="E3234" s="212" t="s">
        <v>545</v>
      </c>
      <c r="F3234" s="213">
        <v>6</v>
      </c>
      <c r="G3234" s="213">
        <v>38.700000000000003</v>
      </c>
      <c r="H3234" s="195">
        <v>232.20000000000002</v>
      </c>
      <c r="I3234" s="212" t="s">
        <v>2354</v>
      </c>
    </row>
    <row r="3235" spans="1:9" x14ac:dyDescent="0.25">
      <c r="A3235" s="218" t="s">
        <v>220</v>
      </c>
      <c r="B3235" s="218" t="s">
        <v>2351</v>
      </c>
      <c r="C3235" s="219" t="s">
        <v>2564</v>
      </c>
      <c r="D3235" s="212" t="s">
        <v>2565</v>
      </c>
      <c r="E3235" s="212" t="s">
        <v>545</v>
      </c>
      <c r="F3235" s="213">
        <v>1</v>
      </c>
      <c r="G3235" s="213">
        <v>233.07</v>
      </c>
      <c r="H3235" s="195">
        <v>233.07</v>
      </c>
      <c r="I3235" s="212" t="s">
        <v>2354</v>
      </c>
    </row>
    <row r="3236" spans="1:9" x14ac:dyDescent="0.25">
      <c r="A3236" s="218" t="s">
        <v>220</v>
      </c>
      <c r="B3236" s="218" t="s">
        <v>2351</v>
      </c>
      <c r="C3236" s="219" t="s">
        <v>2706</v>
      </c>
      <c r="D3236" s="212" t="s">
        <v>2707</v>
      </c>
      <c r="E3236" s="212" t="s">
        <v>2387</v>
      </c>
      <c r="F3236" s="213">
        <v>5</v>
      </c>
      <c r="G3236" s="213">
        <v>46.8</v>
      </c>
      <c r="H3236" s="195">
        <v>234</v>
      </c>
      <c r="I3236" s="212" t="s">
        <v>2354</v>
      </c>
    </row>
    <row r="3237" spans="1:9" x14ac:dyDescent="0.25">
      <c r="A3237" s="218" t="s">
        <v>220</v>
      </c>
      <c r="B3237" s="218" t="s">
        <v>5430</v>
      </c>
      <c r="C3237" s="219" t="s">
        <v>6051</v>
      </c>
      <c r="D3237" s="212" t="s">
        <v>6052</v>
      </c>
      <c r="E3237" s="212" t="s">
        <v>545</v>
      </c>
      <c r="F3237" s="213">
        <v>4</v>
      </c>
      <c r="G3237" s="213">
        <v>59.015699999999995</v>
      </c>
      <c r="H3237" s="195">
        <v>236.06279999999998</v>
      </c>
      <c r="I3237" s="212" t="s">
        <v>2354</v>
      </c>
    </row>
    <row r="3238" spans="1:9" x14ac:dyDescent="0.25">
      <c r="A3238" s="218" t="s">
        <v>220</v>
      </c>
      <c r="B3238" s="218" t="s">
        <v>2351</v>
      </c>
      <c r="C3238" s="219" t="s">
        <v>4315</v>
      </c>
      <c r="D3238" s="212" t="s">
        <v>4316</v>
      </c>
      <c r="E3238" s="212" t="s">
        <v>545</v>
      </c>
      <c r="F3238" s="213">
        <v>3</v>
      </c>
      <c r="G3238" s="213">
        <v>78.825450000000004</v>
      </c>
      <c r="H3238" s="195">
        <v>236.47635000000002</v>
      </c>
      <c r="I3238" s="212" t="s">
        <v>2354</v>
      </c>
    </row>
    <row r="3239" spans="1:9" x14ac:dyDescent="0.25">
      <c r="A3239" s="218" t="s">
        <v>220</v>
      </c>
      <c r="B3239" s="218" t="s">
        <v>5430</v>
      </c>
      <c r="C3239" s="219" t="s">
        <v>6603</v>
      </c>
      <c r="D3239" s="212" t="s">
        <v>6604</v>
      </c>
      <c r="E3239" s="212" t="s">
        <v>2387</v>
      </c>
      <c r="F3239" s="213">
        <v>20</v>
      </c>
      <c r="G3239" s="213">
        <v>11.88</v>
      </c>
      <c r="H3239" s="195">
        <v>237.60000000000002</v>
      </c>
      <c r="I3239" s="212" t="s">
        <v>2354</v>
      </c>
    </row>
    <row r="3240" spans="1:9" x14ac:dyDescent="0.25">
      <c r="A3240" s="218" t="s">
        <v>220</v>
      </c>
      <c r="B3240" s="218" t="s">
        <v>2351</v>
      </c>
      <c r="C3240" s="219" t="s">
        <v>5156</v>
      </c>
      <c r="D3240" s="212" t="s">
        <v>5157</v>
      </c>
      <c r="E3240" s="212" t="s">
        <v>545</v>
      </c>
      <c r="F3240" s="213">
        <v>5</v>
      </c>
      <c r="G3240" s="213">
        <v>47.84</v>
      </c>
      <c r="H3240" s="195">
        <v>239.20000000000002</v>
      </c>
      <c r="I3240" s="212" t="s">
        <v>2354</v>
      </c>
    </row>
    <row r="3241" spans="1:9" x14ac:dyDescent="0.25">
      <c r="A3241" s="218" t="s">
        <v>220</v>
      </c>
      <c r="B3241" s="218" t="s">
        <v>2351</v>
      </c>
      <c r="C3241" s="219" t="s">
        <v>3415</v>
      </c>
      <c r="D3241" s="212" t="s">
        <v>3416</v>
      </c>
      <c r="E3241" s="212" t="s">
        <v>545</v>
      </c>
      <c r="F3241" s="213">
        <v>2</v>
      </c>
      <c r="G3241" s="213">
        <v>119.6001</v>
      </c>
      <c r="H3241" s="195">
        <v>239.2002</v>
      </c>
      <c r="I3241" s="212" t="s">
        <v>2354</v>
      </c>
    </row>
    <row r="3242" spans="1:9" x14ac:dyDescent="0.25">
      <c r="A3242" s="218" t="s">
        <v>220</v>
      </c>
      <c r="B3242" s="218" t="s">
        <v>2351</v>
      </c>
      <c r="C3242" s="219" t="s">
        <v>5268</v>
      </c>
      <c r="D3242" s="212" t="s">
        <v>5269</v>
      </c>
      <c r="E3242" s="212" t="s">
        <v>2387</v>
      </c>
      <c r="F3242" s="213">
        <v>2</v>
      </c>
      <c r="G3242" s="213">
        <v>120</v>
      </c>
      <c r="H3242" s="195">
        <v>240</v>
      </c>
      <c r="I3242" s="212" t="s">
        <v>2354</v>
      </c>
    </row>
    <row r="3243" spans="1:9" x14ac:dyDescent="0.25">
      <c r="A3243" s="218" t="s">
        <v>220</v>
      </c>
      <c r="B3243" s="218" t="s">
        <v>5430</v>
      </c>
      <c r="C3243" s="219" t="s">
        <v>5637</v>
      </c>
      <c r="D3243" s="212" t="s">
        <v>5638</v>
      </c>
      <c r="E3243" s="212" t="s">
        <v>545</v>
      </c>
      <c r="F3243" s="213">
        <v>2</v>
      </c>
      <c r="G3243" s="213">
        <v>120.39981269751891</v>
      </c>
      <c r="H3243" s="195">
        <v>240.79962539503782</v>
      </c>
      <c r="I3243" s="212" t="s">
        <v>2354</v>
      </c>
    </row>
    <row r="3244" spans="1:9" x14ac:dyDescent="0.25">
      <c r="A3244" s="218" t="s">
        <v>220</v>
      </c>
      <c r="B3244" s="218" t="s">
        <v>5430</v>
      </c>
      <c r="C3244" s="219" t="s">
        <v>5873</v>
      </c>
      <c r="D3244" s="212" t="s">
        <v>5874</v>
      </c>
      <c r="E3244" s="212" t="s">
        <v>545</v>
      </c>
      <c r="F3244" s="213">
        <v>8</v>
      </c>
      <c r="G3244" s="213">
        <v>30.2148</v>
      </c>
      <c r="H3244" s="195">
        <v>241.7184</v>
      </c>
      <c r="I3244" s="212" t="s">
        <v>2354</v>
      </c>
    </row>
    <row r="3245" spans="1:9" x14ac:dyDescent="0.25">
      <c r="A3245" s="218" t="s">
        <v>220</v>
      </c>
      <c r="B3245" s="218" t="s">
        <v>5430</v>
      </c>
      <c r="C3245" s="219" t="s">
        <v>6605</v>
      </c>
      <c r="D3245" s="212" t="s">
        <v>6606</v>
      </c>
      <c r="E3245" s="212" t="s">
        <v>2387</v>
      </c>
      <c r="F3245" s="213">
        <v>6</v>
      </c>
      <c r="G3245" s="213">
        <v>40.442999999999998</v>
      </c>
      <c r="H3245" s="195">
        <v>242.65799999999999</v>
      </c>
      <c r="I3245" s="212" t="s">
        <v>2354</v>
      </c>
    </row>
    <row r="3246" spans="1:9" x14ac:dyDescent="0.25">
      <c r="A3246" s="218" t="s">
        <v>220</v>
      </c>
      <c r="B3246" s="218" t="s">
        <v>5430</v>
      </c>
      <c r="C3246" s="219" t="s">
        <v>5801</v>
      </c>
      <c r="D3246" s="212" t="s">
        <v>5802</v>
      </c>
      <c r="E3246" s="212" t="s">
        <v>545</v>
      </c>
      <c r="F3246" s="213">
        <v>4</v>
      </c>
      <c r="G3246" s="213">
        <v>60.75</v>
      </c>
      <c r="H3246" s="195">
        <v>243</v>
      </c>
      <c r="I3246" s="212" t="s">
        <v>2354</v>
      </c>
    </row>
    <row r="3247" spans="1:9" x14ac:dyDescent="0.25">
      <c r="A3247" s="218" t="s">
        <v>220</v>
      </c>
      <c r="B3247" s="218" t="s">
        <v>5430</v>
      </c>
      <c r="C3247" s="219"/>
      <c r="D3247" s="212" t="s">
        <v>5481</v>
      </c>
      <c r="E3247" s="212" t="s">
        <v>545</v>
      </c>
      <c r="F3247" s="213">
        <v>5</v>
      </c>
      <c r="G3247" s="213">
        <v>48.85</v>
      </c>
      <c r="H3247" s="195">
        <v>244.25</v>
      </c>
      <c r="I3247" s="212" t="s">
        <v>2354</v>
      </c>
    </row>
    <row r="3248" spans="1:9" x14ac:dyDescent="0.25">
      <c r="A3248" s="218" t="s">
        <v>220</v>
      </c>
      <c r="B3248" s="218" t="s">
        <v>2351</v>
      </c>
      <c r="C3248" s="219" t="s">
        <v>2662</v>
      </c>
      <c r="D3248" s="212" t="s">
        <v>2663</v>
      </c>
      <c r="E3248" s="212" t="s">
        <v>545</v>
      </c>
      <c r="F3248" s="213">
        <v>1</v>
      </c>
      <c r="G3248" s="213">
        <v>245.23500000000001</v>
      </c>
      <c r="H3248" s="195">
        <v>245.23500000000001</v>
      </c>
      <c r="I3248" s="212" t="s">
        <v>2354</v>
      </c>
    </row>
    <row r="3249" spans="1:9" x14ac:dyDescent="0.25">
      <c r="A3249" s="218" t="s">
        <v>220</v>
      </c>
      <c r="B3249" s="218" t="s">
        <v>2351</v>
      </c>
      <c r="C3249" s="219" t="s">
        <v>3729</v>
      </c>
      <c r="D3249" s="212" t="s">
        <v>3730</v>
      </c>
      <c r="E3249" s="212" t="s">
        <v>545</v>
      </c>
      <c r="F3249" s="213">
        <v>91</v>
      </c>
      <c r="G3249" s="213">
        <v>2.7116999999999996</v>
      </c>
      <c r="H3249" s="195">
        <v>246.76469999999995</v>
      </c>
      <c r="I3249" s="212" t="s">
        <v>2354</v>
      </c>
    </row>
    <row r="3250" spans="1:9" x14ac:dyDescent="0.25">
      <c r="A3250" s="218" t="s">
        <v>220</v>
      </c>
      <c r="B3250" s="218" t="s">
        <v>2351</v>
      </c>
      <c r="C3250" s="219" t="s">
        <v>3058</v>
      </c>
      <c r="D3250" s="212" t="s">
        <v>7561</v>
      </c>
      <c r="E3250" s="212" t="s">
        <v>545</v>
      </c>
      <c r="F3250" s="213">
        <v>4</v>
      </c>
      <c r="G3250" s="213">
        <v>61.728299999999997</v>
      </c>
      <c r="H3250" s="195">
        <v>246.91319999999999</v>
      </c>
      <c r="I3250" s="212" t="s">
        <v>2354</v>
      </c>
    </row>
    <row r="3251" spans="1:9" x14ac:dyDescent="0.25">
      <c r="A3251" s="218" t="s">
        <v>220</v>
      </c>
      <c r="B3251" s="218" t="s">
        <v>5430</v>
      </c>
      <c r="C3251" s="219" t="s">
        <v>6121</v>
      </c>
      <c r="D3251" s="212" t="s">
        <v>6122</v>
      </c>
      <c r="E3251" s="212" t="s">
        <v>545</v>
      </c>
      <c r="F3251" s="213">
        <v>4</v>
      </c>
      <c r="G3251" s="213">
        <v>61.728299999999997</v>
      </c>
      <c r="H3251" s="195">
        <v>246.91319999999999</v>
      </c>
      <c r="I3251" s="212" t="s">
        <v>2354</v>
      </c>
    </row>
    <row r="3252" spans="1:9" x14ac:dyDescent="0.25">
      <c r="A3252" s="218" t="s">
        <v>220</v>
      </c>
      <c r="B3252" s="218" t="s">
        <v>2351</v>
      </c>
      <c r="C3252" s="219" t="s">
        <v>4081</v>
      </c>
      <c r="D3252" s="212" t="s">
        <v>4082</v>
      </c>
      <c r="E3252" s="212" t="s">
        <v>545</v>
      </c>
      <c r="F3252" s="213">
        <v>3</v>
      </c>
      <c r="G3252" s="213">
        <v>82.48</v>
      </c>
      <c r="H3252" s="195">
        <v>247.44</v>
      </c>
      <c r="I3252" s="212" t="s">
        <v>2354</v>
      </c>
    </row>
    <row r="3253" spans="1:9" x14ac:dyDescent="0.25">
      <c r="A3253" s="218" t="s">
        <v>220</v>
      </c>
      <c r="B3253" s="218" t="s">
        <v>2351</v>
      </c>
      <c r="C3253" s="219" t="s">
        <v>4434</v>
      </c>
      <c r="D3253" s="212" t="s">
        <v>4435</v>
      </c>
      <c r="E3253" s="212" t="s">
        <v>545</v>
      </c>
      <c r="F3253" s="213">
        <v>5</v>
      </c>
      <c r="G3253" s="213">
        <v>49.5</v>
      </c>
      <c r="H3253" s="195">
        <v>247.5</v>
      </c>
      <c r="I3253" s="212" t="s">
        <v>2354</v>
      </c>
    </row>
    <row r="3254" spans="1:9" x14ac:dyDescent="0.25">
      <c r="A3254" s="218" t="s">
        <v>220</v>
      </c>
      <c r="B3254" s="218" t="s">
        <v>5430</v>
      </c>
      <c r="C3254" s="219" t="s">
        <v>6222</v>
      </c>
      <c r="D3254" s="212" t="s">
        <v>6223</v>
      </c>
      <c r="E3254" s="212" t="s">
        <v>545</v>
      </c>
      <c r="F3254" s="213">
        <v>2</v>
      </c>
      <c r="G3254" s="213">
        <v>124.58159999999999</v>
      </c>
      <c r="H3254" s="195">
        <v>249.16319999999999</v>
      </c>
      <c r="I3254" s="212" t="s">
        <v>2354</v>
      </c>
    </row>
    <row r="3255" spans="1:9" x14ac:dyDescent="0.25">
      <c r="A3255" s="218" t="s">
        <v>220</v>
      </c>
      <c r="B3255" s="218" t="s">
        <v>5430</v>
      </c>
      <c r="C3255" s="219" t="s">
        <v>7083</v>
      </c>
      <c r="D3255" s="212" t="s">
        <v>7084</v>
      </c>
      <c r="E3255" s="212" t="s">
        <v>545</v>
      </c>
      <c r="F3255" s="213">
        <v>15</v>
      </c>
      <c r="G3255" s="213">
        <v>16.664999999999999</v>
      </c>
      <c r="H3255" s="195">
        <v>249.97499999999999</v>
      </c>
      <c r="I3255" s="212" t="s">
        <v>2354</v>
      </c>
    </row>
    <row r="3256" spans="1:9" x14ac:dyDescent="0.25">
      <c r="A3256" s="218" t="s">
        <v>220</v>
      </c>
      <c r="B3256" s="218" t="s">
        <v>5430</v>
      </c>
      <c r="C3256" s="219" t="s">
        <v>6809</v>
      </c>
      <c r="D3256" s="212" t="s">
        <v>6810</v>
      </c>
      <c r="E3256" s="212" t="s">
        <v>545</v>
      </c>
      <c r="F3256" s="213">
        <v>2</v>
      </c>
      <c r="G3256" s="213">
        <v>125.46</v>
      </c>
      <c r="H3256" s="195">
        <v>250.92</v>
      </c>
      <c r="I3256" s="212" t="s">
        <v>2354</v>
      </c>
    </row>
    <row r="3257" spans="1:9" x14ac:dyDescent="0.25">
      <c r="A3257" s="218" t="s">
        <v>220</v>
      </c>
      <c r="B3257" s="218" t="s">
        <v>5430</v>
      </c>
      <c r="C3257" s="219" t="s">
        <v>7294</v>
      </c>
      <c r="D3257" s="212" t="s">
        <v>7295</v>
      </c>
      <c r="E3257" s="212" t="s">
        <v>545</v>
      </c>
      <c r="F3257" s="213">
        <v>12</v>
      </c>
      <c r="G3257" s="213">
        <v>20.966000000000001</v>
      </c>
      <c r="H3257" s="195">
        <v>251.59200000000001</v>
      </c>
      <c r="I3257" s="212" t="s">
        <v>2354</v>
      </c>
    </row>
    <row r="3258" spans="1:9" x14ac:dyDescent="0.25">
      <c r="A3258" s="218" t="s">
        <v>220</v>
      </c>
      <c r="B3258" s="218" t="s">
        <v>2351</v>
      </c>
      <c r="C3258" s="219" t="s">
        <v>3805</v>
      </c>
      <c r="D3258" s="212" t="s">
        <v>3806</v>
      </c>
      <c r="E3258" s="212" t="s">
        <v>545</v>
      </c>
      <c r="F3258" s="213">
        <v>2</v>
      </c>
      <c r="G3258" s="213">
        <v>127.00620000000001</v>
      </c>
      <c r="H3258" s="195">
        <v>254.01240000000001</v>
      </c>
      <c r="I3258" s="212" t="s">
        <v>2354</v>
      </c>
    </row>
    <row r="3259" spans="1:9" x14ac:dyDescent="0.25">
      <c r="A3259" s="218" t="s">
        <v>220</v>
      </c>
      <c r="B3259" s="218" t="s">
        <v>2351</v>
      </c>
      <c r="C3259" s="219" t="s">
        <v>3133</v>
      </c>
      <c r="D3259" s="212" t="s">
        <v>3134</v>
      </c>
      <c r="E3259" s="212" t="s">
        <v>545</v>
      </c>
      <c r="F3259" s="213">
        <v>8</v>
      </c>
      <c r="G3259" s="213">
        <v>31.801500000000001</v>
      </c>
      <c r="H3259" s="195">
        <v>254.41200000000001</v>
      </c>
      <c r="I3259" s="212" t="s">
        <v>2354</v>
      </c>
    </row>
    <row r="3260" spans="1:9" x14ac:dyDescent="0.25">
      <c r="A3260" s="218" t="s">
        <v>220</v>
      </c>
      <c r="B3260" s="218" t="s">
        <v>2351</v>
      </c>
      <c r="C3260" s="219" t="s">
        <v>2992</v>
      </c>
      <c r="D3260" s="212" t="s">
        <v>2993</v>
      </c>
      <c r="E3260" s="212" t="s">
        <v>545</v>
      </c>
      <c r="F3260" s="213">
        <v>1</v>
      </c>
      <c r="G3260" s="213">
        <v>254.67189999999999</v>
      </c>
      <c r="H3260" s="195">
        <v>254.67189999999999</v>
      </c>
      <c r="I3260" s="212" t="s">
        <v>2354</v>
      </c>
    </row>
    <row r="3261" spans="1:9" x14ac:dyDescent="0.25">
      <c r="A3261" s="218" t="s">
        <v>220</v>
      </c>
      <c r="B3261" s="218" t="s">
        <v>2351</v>
      </c>
      <c r="C3261" s="219" t="s">
        <v>4897</v>
      </c>
      <c r="D3261" s="212" t="s">
        <v>4898</v>
      </c>
      <c r="E3261" s="212" t="s">
        <v>545</v>
      </c>
      <c r="F3261" s="213">
        <v>130</v>
      </c>
      <c r="G3261" s="213">
        <v>1.9635</v>
      </c>
      <c r="H3261" s="195">
        <v>255.255</v>
      </c>
      <c r="I3261" s="212" t="s">
        <v>2354</v>
      </c>
    </row>
    <row r="3262" spans="1:9" x14ac:dyDescent="0.25">
      <c r="A3262" s="218" t="s">
        <v>220</v>
      </c>
      <c r="B3262" s="218" t="s">
        <v>5430</v>
      </c>
      <c r="C3262" s="219" t="s">
        <v>5831</v>
      </c>
      <c r="D3262" s="212" t="s">
        <v>5832</v>
      </c>
      <c r="E3262" s="212" t="s">
        <v>545</v>
      </c>
      <c r="F3262" s="213">
        <v>4</v>
      </c>
      <c r="G3262" s="213">
        <v>63.991</v>
      </c>
      <c r="H3262" s="195">
        <v>255.964</v>
      </c>
      <c r="I3262" s="212" t="s">
        <v>2354</v>
      </c>
    </row>
    <row r="3263" spans="1:9" x14ac:dyDescent="0.25">
      <c r="A3263" s="218" t="s">
        <v>220</v>
      </c>
      <c r="B3263" s="218" t="s">
        <v>5430</v>
      </c>
      <c r="C3263" s="219" t="s">
        <v>6777</v>
      </c>
      <c r="D3263" s="212" t="s">
        <v>6778</v>
      </c>
      <c r="E3263" s="212" t="s">
        <v>545</v>
      </c>
      <c r="F3263" s="213">
        <v>1</v>
      </c>
      <c r="G3263" s="213">
        <v>256.18720000000002</v>
      </c>
      <c r="H3263" s="195">
        <v>256.18720000000002</v>
      </c>
      <c r="I3263" s="212" t="s">
        <v>2354</v>
      </c>
    </row>
    <row r="3264" spans="1:9" x14ac:dyDescent="0.25">
      <c r="A3264" s="218" t="s">
        <v>220</v>
      </c>
      <c r="B3264" s="218" t="s">
        <v>2351</v>
      </c>
      <c r="C3264" s="219" t="s">
        <v>2478</v>
      </c>
      <c r="D3264" s="212" t="s">
        <v>2479</v>
      </c>
      <c r="E3264" s="212" t="s">
        <v>545</v>
      </c>
      <c r="F3264" s="213">
        <v>6</v>
      </c>
      <c r="G3264" s="213">
        <v>42.722999999999999</v>
      </c>
      <c r="H3264" s="195">
        <v>256.33799999999997</v>
      </c>
      <c r="I3264" s="212" t="s">
        <v>2354</v>
      </c>
    </row>
    <row r="3265" spans="1:9" x14ac:dyDescent="0.25">
      <c r="A3265" s="218" t="s">
        <v>220</v>
      </c>
      <c r="B3265" s="218" t="s">
        <v>2351</v>
      </c>
      <c r="C3265" s="219" t="s">
        <v>4275</v>
      </c>
      <c r="D3265" s="212" t="s">
        <v>4276</v>
      </c>
      <c r="E3265" s="212" t="s">
        <v>545</v>
      </c>
      <c r="F3265" s="213">
        <v>3</v>
      </c>
      <c r="G3265" s="213">
        <v>85.5</v>
      </c>
      <c r="H3265" s="195">
        <v>256.5</v>
      </c>
      <c r="I3265" s="212" t="s">
        <v>2354</v>
      </c>
    </row>
    <row r="3266" spans="1:9" x14ac:dyDescent="0.25">
      <c r="A3266" s="218" t="s">
        <v>220</v>
      </c>
      <c r="B3266" s="218" t="s">
        <v>2351</v>
      </c>
      <c r="C3266" s="219" t="s">
        <v>2724</v>
      </c>
      <c r="D3266" s="212" t="s">
        <v>2725</v>
      </c>
      <c r="E3266" s="212" t="s">
        <v>7558</v>
      </c>
      <c r="F3266" s="213">
        <v>10</v>
      </c>
      <c r="G3266" s="213">
        <v>25.861049999999999</v>
      </c>
      <c r="H3266" s="195">
        <v>258.6105</v>
      </c>
      <c r="I3266" s="212" t="s">
        <v>2354</v>
      </c>
    </row>
    <row r="3267" spans="1:9" x14ac:dyDescent="0.25">
      <c r="A3267" s="218" t="s">
        <v>220</v>
      </c>
      <c r="B3267" s="218" t="s">
        <v>5430</v>
      </c>
      <c r="C3267" s="219" t="s">
        <v>5834</v>
      </c>
      <c r="D3267" s="212" t="s">
        <v>5835</v>
      </c>
      <c r="E3267" s="212" t="s">
        <v>545</v>
      </c>
      <c r="F3267" s="213">
        <v>3</v>
      </c>
      <c r="G3267" s="213">
        <v>86.208299999999994</v>
      </c>
      <c r="H3267" s="195">
        <v>258.62489999999997</v>
      </c>
      <c r="I3267" s="212" t="s">
        <v>2354</v>
      </c>
    </row>
    <row r="3268" spans="1:9" x14ac:dyDescent="0.25">
      <c r="A3268" s="218" t="s">
        <v>220</v>
      </c>
      <c r="B3268" s="218" t="s">
        <v>2351</v>
      </c>
      <c r="C3268" s="219" t="s">
        <v>3085</v>
      </c>
      <c r="D3268" s="212" t="s">
        <v>3086</v>
      </c>
      <c r="E3268" s="212" t="s">
        <v>545</v>
      </c>
      <c r="F3268" s="213">
        <v>6</v>
      </c>
      <c r="G3268" s="213">
        <v>43.400700000000001</v>
      </c>
      <c r="H3268" s="195">
        <v>260.4042</v>
      </c>
      <c r="I3268" s="212" t="s">
        <v>2354</v>
      </c>
    </row>
    <row r="3269" spans="1:9" x14ac:dyDescent="0.25">
      <c r="A3269" s="218" t="s">
        <v>220</v>
      </c>
      <c r="B3269" s="218" t="s">
        <v>2351</v>
      </c>
      <c r="C3269" s="219" t="s">
        <v>2546</v>
      </c>
      <c r="D3269" s="212" t="s">
        <v>2547</v>
      </c>
      <c r="E3269" s="212" t="s">
        <v>545</v>
      </c>
      <c r="F3269" s="213">
        <v>21</v>
      </c>
      <c r="G3269" s="213">
        <v>12.441599999999999</v>
      </c>
      <c r="H3269" s="195">
        <v>261.27359999999999</v>
      </c>
      <c r="I3269" s="212" t="s">
        <v>2354</v>
      </c>
    </row>
    <row r="3270" spans="1:9" x14ac:dyDescent="0.25">
      <c r="A3270" s="218" t="s">
        <v>220</v>
      </c>
      <c r="B3270" s="218" t="s">
        <v>2351</v>
      </c>
      <c r="C3270" s="219" t="s">
        <v>4225</v>
      </c>
      <c r="D3270" s="212" t="s">
        <v>4226</v>
      </c>
      <c r="E3270" s="212" t="s">
        <v>545</v>
      </c>
      <c r="F3270" s="213">
        <v>1</v>
      </c>
      <c r="G3270" s="213">
        <v>261.63</v>
      </c>
      <c r="H3270" s="195">
        <v>261.63</v>
      </c>
      <c r="I3270" s="212" t="s">
        <v>2354</v>
      </c>
    </row>
    <row r="3271" spans="1:9" x14ac:dyDescent="0.25">
      <c r="A3271" s="218" t="s">
        <v>220</v>
      </c>
      <c r="B3271" s="218" t="s">
        <v>5430</v>
      </c>
      <c r="C3271" s="219" t="s">
        <v>6441</v>
      </c>
      <c r="D3271" s="212" t="s">
        <v>6442</v>
      </c>
      <c r="E3271" s="212" t="s">
        <v>2473</v>
      </c>
      <c r="F3271" s="213">
        <v>2</v>
      </c>
      <c r="G3271" s="213">
        <v>131.00579999999999</v>
      </c>
      <c r="H3271" s="195">
        <v>262.01159999999999</v>
      </c>
      <c r="I3271" s="212" t="s">
        <v>2354</v>
      </c>
    </row>
    <row r="3272" spans="1:9" x14ac:dyDescent="0.25">
      <c r="A3272" s="218" t="s">
        <v>220</v>
      </c>
      <c r="B3272" s="218" t="s">
        <v>5430</v>
      </c>
      <c r="C3272" s="219" t="s">
        <v>6443</v>
      </c>
      <c r="D3272" s="212" t="s">
        <v>6444</v>
      </c>
      <c r="E3272" s="212" t="s">
        <v>2473</v>
      </c>
      <c r="F3272" s="213">
        <v>2</v>
      </c>
      <c r="G3272" s="213">
        <v>131.0076</v>
      </c>
      <c r="H3272" s="195">
        <v>262.01519999999999</v>
      </c>
      <c r="I3272" s="212" t="s">
        <v>2354</v>
      </c>
    </row>
    <row r="3273" spans="1:9" x14ac:dyDescent="0.25">
      <c r="A3273" s="218" t="s">
        <v>220</v>
      </c>
      <c r="B3273" s="218" t="s">
        <v>5430</v>
      </c>
      <c r="C3273" s="219" t="s">
        <v>6893</v>
      </c>
      <c r="D3273" s="212" t="s">
        <v>6894</v>
      </c>
      <c r="E3273" s="212" t="s">
        <v>545</v>
      </c>
      <c r="F3273" s="213">
        <v>3</v>
      </c>
      <c r="G3273" s="213">
        <v>87.465000000000003</v>
      </c>
      <c r="H3273" s="195">
        <v>262.39499999999998</v>
      </c>
      <c r="I3273" s="212" t="s">
        <v>2354</v>
      </c>
    </row>
    <row r="3274" spans="1:9" x14ac:dyDescent="0.25">
      <c r="A3274" s="218" t="s">
        <v>220</v>
      </c>
      <c r="B3274" s="218" t="s">
        <v>2351</v>
      </c>
      <c r="C3274" s="219" t="s">
        <v>4243</v>
      </c>
      <c r="D3274" s="212" t="s">
        <v>4244</v>
      </c>
      <c r="E3274" s="212" t="s">
        <v>545</v>
      </c>
      <c r="F3274" s="213">
        <v>3</v>
      </c>
      <c r="G3274" s="213">
        <v>87.75</v>
      </c>
      <c r="H3274" s="195">
        <v>263.25</v>
      </c>
      <c r="I3274" s="212" t="s">
        <v>2354</v>
      </c>
    </row>
    <row r="3275" spans="1:9" x14ac:dyDescent="0.25">
      <c r="A3275" s="218" t="s">
        <v>220</v>
      </c>
      <c r="B3275" s="218" t="s">
        <v>5430</v>
      </c>
      <c r="C3275" s="219" t="s">
        <v>6111</v>
      </c>
      <c r="D3275" s="212" t="s">
        <v>6112</v>
      </c>
      <c r="E3275" s="212" t="s">
        <v>545</v>
      </c>
      <c r="F3275" s="213">
        <v>7</v>
      </c>
      <c r="G3275" s="213">
        <v>37.896999999999998</v>
      </c>
      <c r="H3275" s="195">
        <v>265.279</v>
      </c>
      <c r="I3275" s="212" t="s">
        <v>2354</v>
      </c>
    </row>
    <row r="3276" spans="1:9" x14ac:dyDescent="0.25">
      <c r="A3276" s="218" t="s">
        <v>220</v>
      </c>
      <c r="B3276" s="218" t="s">
        <v>5430</v>
      </c>
      <c r="C3276" s="219" t="s">
        <v>6769</v>
      </c>
      <c r="D3276" s="212" t="s">
        <v>6770</v>
      </c>
      <c r="E3276" s="212" t="s">
        <v>545</v>
      </c>
      <c r="F3276" s="213">
        <v>2</v>
      </c>
      <c r="G3276" s="213">
        <v>132.84350000000001</v>
      </c>
      <c r="H3276" s="195">
        <v>265.68700000000001</v>
      </c>
      <c r="I3276" s="212" t="s">
        <v>2354</v>
      </c>
    </row>
    <row r="3277" spans="1:9" x14ac:dyDescent="0.25">
      <c r="A3277" s="218" t="s">
        <v>220</v>
      </c>
      <c r="B3277" s="218" t="s">
        <v>5430</v>
      </c>
      <c r="C3277" s="219" t="s">
        <v>3461</v>
      </c>
      <c r="D3277" s="212" t="s">
        <v>3462</v>
      </c>
      <c r="E3277" s="212" t="s">
        <v>545</v>
      </c>
      <c r="F3277" s="213">
        <v>80</v>
      </c>
      <c r="G3277" s="213">
        <v>3.33</v>
      </c>
      <c r="H3277" s="195">
        <v>266.39999999999998</v>
      </c>
      <c r="I3277" s="212" t="s">
        <v>2354</v>
      </c>
    </row>
    <row r="3278" spans="1:9" x14ac:dyDescent="0.25">
      <c r="A3278" s="218" t="s">
        <v>220</v>
      </c>
      <c r="B3278" s="218" t="s">
        <v>5430</v>
      </c>
      <c r="C3278" s="219" t="s">
        <v>6981</v>
      </c>
      <c r="D3278" s="212" t="s">
        <v>6982</v>
      </c>
      <c r="E3278" s="212" t="s">
        <v>545</v>
      </c>
      <c r="F3278" s="213">
        <v>2</v>
      </c>
      <c r="G3278" s="213">
        <v>133.6387</v>
      </c>
      <c r="H3278" s="195">
        <v>267.2774</v>
      </c>
      <c r="I3278" s="212" t="s">
        <v>2354</v>
      </c>
    </row>
    <row r="3279" spans="1:9" x14ac:dyDescent="0.25">
      <c r="A3279" s="218" t="s">
        <v>220</v>
      </c>
      <c r="B3279" s="218" t="s">
        <v>2351</v>
      </c>
      <c r="C3279" s="219" t="s">
        <v>4339</v>
      </c>
      <c r="D3279" s="212" t="s">
        <v>4340</v>
      </c>
      <c r="E3279" s="212" t="s">
        <v>545</v>
      </c>
      <c r="F3279" s="213">
        <v>12</v>
      </c>
      <c r="G3279" s="213">
        <v>22.395800000000001</v>
      </c>
      <c r="H3279" s="195">
        <v>268.74959999999999</v>
      </c>
      <c r="I3279" s="212" t="s">
        <v>2354</v>
      </c>
    </row>
    <row r="3280" spans="1:9" x14ac:dyDescent="0.25">
      <c r="A3280" s="218" t="s">
        <v>220</v>
      </c>
      <c r="B3280" s="218" t="s">
        <v>5430</v>
      </c>
      <c r="C3280" s="219" t="s">
        <v>6543</v>
      </c>
      <c r="D3280" s="212" t="s">
        <v>6544</v>
      </c>
      <c r="E3280" s="212" t="s">
        <v>545</v>
      </c>
      <c r="F3280" s="213">
        <v>12</v>
      </c>
      <c r="G3280" s="213">
        <v>22.4</v>
      </c>
      <c r="H3280" s="195">
        <v>268.79999999999995</v>
      </c>
      <c r="I3280" s="212" t="s">
        <v>2354</v>
      </c>
    </row>
    <row r="3281" spans="1:9" x14ac:dyDescent="0.25">
      <c r="A3281" s="218" t="s">
        <v>220</v>
      </c>
      <c r="B3281" s="218" t="s">
        <v>2351</v>
      </c>
      <c r="C3281" s="219" t="s">
        <v>2614</v>
      </c>
      <c r="D3281" s="212" t="s">
        <v>2615</v>
      </c>
      <c r="E3281" s="212" t="s">
        <v>545</v>
      </c>
      <c r="F3281" s="213">
        <v>1</v>
      </c>
      <c r="G3281" s="213">
        <v>270</v>
      </c>
      <c r="H3281" s="195">
        <v>270</v>
      </c>
      <c r="I3281" s="212" t="s">
        <v>2354</v>
      </c>
    </row>
    <row r="3282" spans="1:9" x14ac:dyDescent="0.25">
      <c r="A3282" s="218" t="s">
        <v>220</v>
      </c>
      <c r="B3282" s="218" t="s">
        <v>5430</v>
      </c>
      <c r="C3282" s="219" t="s">
        <v>7155</v>
      </c>
      <c r="D3282" s="212" t="s">
        <v>7156</v>
      </c>
      <c r="E3282" s="212" t="s">
        <v>2473</v>
      </c>
      <c r="F3282" s="213">
        <v>15</v>
      </c>
      <c r="G3282" s="213">
        <v>18</v>
      </c>
      <c r="H3282" s="195">
        <v>270</v>
      </c>
      <c r="I3282" s="212" t="s">
        <v>2354</v>
      </c>
    </row>
    <row r="3283" spans="1:9" x14ac:dyDescent="0.25">
      <c r="A3283" s="218" t="s">
        <v>220</v>
      </c>
      <c r="B3283" s="218" t="s">
        <v>2351</v>
      </c>
      <c r="C3283" s="219" t="s">
        <v>4043</v>
      </c>
      <c r="D3283" s="212" t="s">
        <v>4044</v>
      </c>
      <c r="E3283" s="212" t="s">
        <v>545</v>
      </c>
      <c r="F3283" s="213">
        <v>3</v>
      </c>
      <c r="G3283" s="213">
        <v>90.4</v>
      </c>
      <c r="H3283" s="195">
        <v>271.20000000000005</v>
      </c>
      <c r="I3283" s="212" t="s">
        <v>2354</v>
      </c>
    </row>
    <row r="3284" spans="1:9" x14ac:dyDescent="0.25">
      <c r="A3284" s="218" t="s">
        <v>220</v>
      </c>
      <c r="B3284" s="218" t="s">
        <v>5430</v>
      </c>
      <c r="C3284" s="219" t="s">
        <v>6704</v>
      </c>
      <c r="D3284" s="212" t="s">
        <v>6705</v>
      </c>
      <c r="E3284" s="212" t="s">
        <v>545</v>
      </c>
      <c r="F3284" s="213">
        <v>1</v>
      </c>
      <c r="G3284" s="213">
        <v>271.39999999999998</v>
      </c>
      <c r="H3284" s="195">
        <v>271.39999999999998</v>
      </c>
      <c r="I3284" s="212" t="s">
        <v>2354</v>
      </c>
    </row>
    <row r="3285" spans="1:9" x14ac:dyDescent="0.25">
      <c r="A3285" s="218" t="s">
        <v>220</v>
      </c>
      <c r="B3285" s="218" t="s">
        <v>2351</v>
      </c>
      <c r="C3285" s="219" t="s">
        <v>4778</v>
      </c>
      <c r="D3285" s="212" t="s">
        <v>4779</v>
      </c>
      <c r="E3285" s="212" t="s">
        <v>545</v>
      </c>
      <c r="F3285" s="213">
        <v>45</v>
      </c>
      <c r="G3285" s="213">
        <v>6.06</v>
      </c>
      <c r="H3285" s="195">
        <v>272.7</v>
      </c>
      <c r="I3285" s="212" t="s">
        <v>2354</v>
      </c>
    </row>
    <row r="3286" spans="1:9" x14ac:dyDescent="0.25">
      <c r="A3286" s="218" t="s">
        <v>220</v>
      </c>
      <c r="B3286" s="218" t="s">
        <v>5430</v>
      </c>
      <c r="C3286" s="219" t="s">
        <v>7214</v>
      </c>
      <c r="D3286" s="212" t="s">
        <v>7215</v>
      </c>
      <c r="E3286" s="212" t="s">
        <v>545</v>
      </c>
      <c r="F3286" s="213">
        <v>12</v>
      </c>
      <c r="G3286" s="213">
        <v>22.725000000000001</v>
      </c>
      <c r="H3286" s="195">
        <v>272.70000000000005</v>
      </c>
      <c r="I3286" s="212" t="s">
        <v>2354</v>
      </c>
    </row>
    <row r="3287" spans="1:9" x14ac:dyDescent="0.25">
      <c r="A3287" s="218" t="s">
        <v>220</v>
      </c>
      <c r="B3287" s="218" t="s">
        <v>5430</v>
      </c>
      <c r="C3287" s="219" t="s">
        <v>3069</v>
      </c>
      <c r="D3287" s="212" t="s">
        <v>3070</v>
      </c>
      <c r="E3287" s="212" t="s">
        <v>545</v>
      </c>
      <c r="F3287" s="213">
        <v>4</v>
      </c>
      <c r="G3287" s="213">
        <v>68.31</v>
      </c>
      <c r="H3287" s="195">
        <v>273.24</v>
      </c>
      <c r="I3287" s="212" t="s">
        <v>2354</v>
      </c>
    </row>
    <row r="3288" spans="1:9" x14ac:dyDescent="0.25">
      <c r="A3288" s="218" t="s">
        <v>220</v>
      </c>
      <c r="B3288" s="218" t="s">
        <v>2351</v>
      </c>
      <c r="C3288" s="219" t="s">
        <v>3237</v>
      </c>
      <c r="D3288" s="212" t="s">
        <v>3238</v>
      </c>
      <c r="E3288" s="212" t="s">
        <v>545</v>
      </c>
      <c r="F3288" s="213">
        <v>6</v>
      </c>
      <c r="G3288" s="213">
        <v>45.576999999999998</v>
      </c>
      <c r="H3288" s="195">
        <v>273.46199999999999</v>
      </c>
      <c r="I3288" s="212" t="s">
        <v>2354</v>
      </c>
    </row>
    <row r="3289" spans="1:9" x14ac:dyDescent="0.25">
      <c r="A3289" s="218" t="s">
        <v>220</v>
      </c>
      <c r="B3289" s="218" t="s">
        <v>5430</v>
      </c>
      <c r="C3289" s="219" t="s">
        <v>5695</v>
      </c>
      <c r="D3289" s="212" t="s">
        <v>5696</v>
      </c>
      <c r="E3289" s="212" t="s">
        <v>545</v>
      </c>
      <c r="F3289" s="213">
        <v>1</v>
      </c>
      <c r="G3289" s="213">
        <v>275.67</v>
      </c>
      <c r="H3289" s="195">
        <v>275.67</v>
      </c>
      <c r="I3289" s="212" t="s">
        <v>2354</v>
      </c>
    </row>
    <row r="3290" spans="1:9" x14ac:dyDescent="0.25">
      <c r="A3290" s="218" t="s">
        <v>220</v>
      </c>
      <c r="B3290" s="218" t="s">
        <v>2351</v>
      </c>
      <c r="C3290" s="219" t="s">
        <v>4279</v>
      </c>
      <c r="D3290" s="212" t="s">
        <v>4280</v>
      </c>
      <c r="E3290" s="212" t="s">
        <v>545</v>
      </c>
      <c r="F3290" s="213">
        <v>3</v>
      </c>
      <c r="G3290" s="213">
        <v>92.377600000000001</v>
      </c>
      <c r="H3290" s="195">
        <v>277.13279999999997</v>
      </c>
      <c r="I3290" s="212" t="s">
        <v>2354</v>
      </c>
    </row>
    <row r="3291" spans="1:9" x14ac:dyDescent="0.25">
      <c r="A3291" s="218" t="s">
        <v>220</v>
      </c>
      <c r="B3291" s="218" t="s">
        <v>2351</v>
      </c>
      <c r="C3291" s="219" t="s">
        <v>2678</v>
      </c>
      <c r="D3291" s="212" t="s">
        <v>2679</v>
      </c>
      <c r="E3291" s="212" t="s">
        <v>545</v>
      </c>
      <c r="F3291" s="213">
        <v>2</v>
      </c>
      <c r="G3291" s="213">
        <v>138.80796000000001</v>
      </c>
      <c r="H3291" s="195">
        <v>277.61592000000002</v>
      </c>
      <c r="I3291" s="212" t="s">
        <v>2354</v>
      </c>
    </row>
    <row r="3292" spans="1:9" x14ac:dyDescent="0.25">
      <c r="A3292" s="218" t="s">
        <v>220</v>
      </c>
      <c r="B3292" s="218" t="s">
        <v>5430</v>
      </c>
      <c r="C3292" s="219" t="s">
        <v>6180</v>
      </c>
      <c r="D3292" s="212" t="s">
        <v>6181</v>
      </c>
      <c r="E3292" s="212" t="s">
        <v>545</v>
      </c>
      <c r="F3292" s="213">
        <v>1</v>
      </c>
      <c r="G3292" s="213">
        <v>278.32679999999999</v>
      </c>
      <c r="H3292" s="195">
        <v>278.32679999999999</v>
      </c>
      <c r="I3292" s="212" t="s">
        <v>2354</v>
      </c>
    </row>
    <row r="3293" spans="1:9" x14ac:dyDescent="0.25">
      <c r="A3293" s="218" t="s">
        <v>220</v>
      </c>
      <c r="B3293" s="218" t="s">
        <v>2351</v>
      </c>
      <c r="C3293" s="219" t="s">
        <v>2536</v>
      </c>
      <c r="D3293" s="212" t="s">
        <v>2537</v>
      </c>
      <c r="E3293" s="212" t="s">
        <v>545</v>
      </c>
      <c r="F3293" s="213">
        <v>8</v>
      </c>
      <c r="G3293" s="213">
        <v>35</v>
      </c>
      <c r="H3293" s="195">
        <v>280</v>
      </c>
      <c r="I3293" s="212" t="s">
        <v>2354</v>
      </c>
    </row>
    <row r="3294" spans="1:9" x14ac:dyDescent="0.25">
      <c r="A3294" s="218" t="s">
        <v>220</v>
      </c>
      <c r="B3294" s="218" t="s">
        <v>5430</v>
      </c>
      <c r="C3294" s="219" t="s">
        <v>7308</v>
      </c>
      <c r="D3294" s="212" t="s">
        <v>7309</v>
      </c>
      <c r="E3294" s="212" t="s">
        <v>545</v>
      </c>
      <c r="F3294" s="213">
        <v>4</v>
      </c>
      <c r="G3294" s="213">
        <v>70</v>
      </c>
      <c r="H3294" s="195">
        <v>280</v>
      </c>
      <c r="I3294" s="212" t="s">
        <v>2354</v>
      </c>
    </row>
    <row r="3295" spans="1:9" x14ac:dyDescent="0.25">
      <c r="A3295" s="218" t="s">
        <v>220</v>
      </c>
      <c r="B3295" s="218" t="s">
        <v>5430</v>
      </c>
      <c r="C3295" s="219" t="s">
        <v>6763</v>
      </c>
      <c r="D3295" s="212" t="s">
        <v>6764</v>
      </c>
      <c r="E3295" s="212" t="s">
        <v>545</v>
      </c>
      <c r="F3295" s="213">
        <v>4</v>
      </c>
      <c r="G3295" s="213">
        <v>70.090999999999994</v>
      </c>
      <c r="H3295" s="195">
        <v>280.36399999999998</v>
      </c>
      <c r="I3295" s="212" t="s">
        <v>2354</v>
      </c>
    </row>
    <row r="3296" spans="1:9" x14ac:dyDescent="0.25">
      <c r="A3296" s="218" t="s">
        <v>220</v>
      </c>
      <c r="B3296" s="218" t="s">
        <v>5430</v>
      </c>
      <c r="C3296" s="219" t="s">
        <v>6880</v>
      </c>
      <c r="D3296" s="212" t="s">
        <v>4242</v>
      </c>
      <c r="E3296" s="212" t="s">
        <v>545</v>
      </c>
      <c r="F3296" s="213">
        <v>2</v>
      </c>
      <c r="G3296" s="213">
        <v>140.69019</v>
      </c>
      <c r="H3296" s="195">
        <v>281.38038</v>
      </c>
      <c r="I3296" s="212" t="s">
        <v>2354</v>
      </c>
    </row>
    <row r="3297" spans="1:9" x14ac:dyDescent="0.25">
      <c r="A3297" s="218" t="s">
        <v>220</v>
      </c>
      <c r="B3297" s="218" t="s">
        <v>2351</v>
      </c>
      <c r="C3297" s="219" t="s">
        <v>3807</v>
      </c>
      <c r="D3297" s="212" t="s">
        <v>3808</v>
      </c>
      <c r="E3297" s="212" t="s">
        <v>545</v>
      </c>
      <c r="F3297" s="213">
        <v>3</v>
      </c>
      <c r="G3297" s="213">
        <v>93.975999999999999</v>
      </c>
      <c r="H3297" s="195">
        <v>281.928</v>
      </c>
      <c r="I3297" s="212" t="s">
        <v>2354</v>
      </c>
    </row>
    <row r="3298" spans="1:9" x14ac:dyDescent="0.25">
      <c r="A3298" s="218" t="s">
        <v>220</v>
      </c>
      <c r="B3298" s="218" t="s">
        <v>5430</v>
      </c>
      <c r="C3298" s="219" t="s">
        <v>6043</v>
      </c>
      <c r="D3298" s="212" t="s">
        <v>6044</v>
      </c>
      <c r="E3298" s="212" t="s">
        <v>545</v>
      </c>
      <c r="F3298" s="213">
        <v>2</v>
      </c>
      <c r="G3298" s="213">
        <v>141.73997142857144</v>
      </c>
      <c r="H3298" s="195">
        <v>283.47994285714287</v>
      </c>
      <c r="I3298" s="212" t="s">
        <v>2354</v>
      </c>
    </row>
    <row r="3299" spans="1:9" x14ac:dyDescent="0.25">
      <c r="A3299" s="218" t="s">
        <v>220</v>
      </c>
      <c r="B3299" s="218" t="s">
        <v>2351</v>
      </c>
      <c r="C3299" s="219" t="s">
        <v>4031</v>
      </c>
      <c r="D3299" s="212" t="s">
        <v>4032</v>
      </c>
      <c r="E3299" s="212" t="s">
        <v>545</v>
      </c>
      <c r="F3299" s="213">
        <v>2</v>
      </c>
      <c r="G3299" s="213">
        <v>141.928</v>
      </c>
      <c r="H3299" s="195">
        <v>283.85599999999999</v>
      </c>
      <c r="I3299" s="212" t="s">
        <v>2354</v>
      </c>
    </row>
    <row r="3300" spans="1:9" x14ac:dyDescent="0.25">
      <c r="A3300" s="218" t="s">
        <v>220</v>
      </c>
      <c r="B3300" s="218" t="s">
        <v>5430</v>
      </c>
      <c r="C3300" s="219" t="s">
        <v>7055</v>
      </c>
      <c r="D3300" s="212" t="s">
        <v>7056</v>
      </c>
      <c r="E3300" s="212" t="s">
        <v>2473</v>
      </c>
      <c r="F3300" s="213">
        <v>1</v>
      </c>
      <c r="G3300" s="213">
        <v>284</v>
      </c>
      <c r="H3300" s="195">
        <v>284</v>
      </c>
      <c r="I3300" s="212" t="s">
        <v>2354</v>
      </c>
    </row>
    <row r="3301" spans="1:9" x14ac:dyDescent="0.25">
      <c r="A3301" s="218" t="s">
        <v>220</v>
      </c>
      <c r="B3301" s="218" t="s">
        <v>2351</v>
      </c>
      <c r="C3301" s="219" t="s">
        <v>3159</v>
      </c>
      <c r="D3301" s="212" t="s">
        <v>3160</v>
      </c>
      <c r="E3301" s="212" t="s">
        <v>545</v>
      </c>
      <c r="F3301" s="213">
        <v>1</v>
      </c>
      <c r="G3301" s="213">
        <v>284.26499999999999</v>
      </c>
      <c r="H3301" s="195">
        <v>284.26499999999999</v>
      </c>
      <c r="I3301" s="212" t="s">
        <v>2354</v>
      </c>
    </row>
    <row r="3302" spans="1:9" x14ac:dyDescent="0.25">
      <c r="A3302" s="218" t="s">
        <v>220</v>
      </c>
      <c r="B3302" s="218" t="s">
        <v>2351</v>
      </c>
      <c r="C3302" s="219" t="s">
        <v>3059</v>
      </c>
      <c r="D3302" s="212" t="s">
        <v>3060</v>
      </c>
      <c r="E3302" s="212" t="s">
        <v>545</v>
      </c>
      <c r="F3302" s="213">
        <v>1</v>
      </c>
      <c r="G3302" s="213">
        <v>284.39999999999998</v>
      </c>
      <c r="H3302" s="195">
        <v>284.39999999999998</v>
      </c>
      <c r="I3302" s="212" t="s">
        <v>2354</v>
      </c>
    </row>
    <row r="3303" spans="1:9" x14ac:dyDescent="0.25">
      <c r="A3303" s="218" t="s">
        <v>220</v>
      </c>
      <c r="B3303" s="218" t="s">
        <v>2351</v>
      </c>
      <c r="C3303" s="219" t="s">
        <v>3129</v>
      </c>
      <c r="D3303" s="212" t="s">
        <v>3130</v>
      </c>
      <c r="E3303" s="212" t="s">
        <v>545</v>
      </c>
      <c r="F3303" s="213">
        <v>3</v>
      </c>
      <c r="G3303" s="213">
        <v>95.421000000000006</v>
      </c>
      <c r="H3303" s="195">
        <v>286.26300000000003</v>
      </c>
      <c r="I3303" s="212" t="s">
        <v>2354</v>
      </c>
    </row>
    <row r="3304" spans="1:9" x14ac:dyDescent="0.25">
      <c r="A3304" s="218" t="s">
        <v>220</v>
      </c>
      <c r="B3304" s="218" t="s">
        <v>2351</v>
      </c>
      <c r="C3304" s="219" t="s">
        <v>2522</v>
      </c>
      <c r="D3304" s="212" t="s">
        <v>2523</v>
      </c>
      <c r="E3304" s="212" t="s">
        <v>545</v>
      </c>
      <c r="F3304" s="213">
        <v>7</v>
      </c>
      <c r="G3304" s="213">
        <v>40.910499999999999</v>
      </c>
      <c r="H3304" s="195">
        <v>286.37349999999998</v>
      </c>
      <c r="I3304" s="212" t="s">
        <v>2354</v>
      </c>
    </row>
    <row r="3305" spans="1:9" x14ac:dyDescent="0.25">
      <c r="A3305" s="218" t="s">
        <v>220</v>
      </c>
      <c r="B3305" s="218" t="s">
        <v>5430</v>
      </c>
      <c r="C3305" s="219" t="s">
        <v>7310</v>
      </c>
      <c r="D3305" s="212" t="s">
        <v>7311</v>
      </c>
      <c r="E3305" s="212" t="s">
        <v>545</v>
      </c>
      <c r="F3305" s="213">
        <v>1</v>
      </c>
      <c r="G3305" s="213">
        <v>287.02600000000001</v>
      </c>
      <c r="H3305" s="195">
        <v>287.02600000000001</v>
      </c>
      <c r="I3305" s="212" t="s">
        <v>2354</v>
      </c>
    </row>
    <row r="3306" spans="1:9" x14ac:dyDescent="0.25">
      <c r="A3306" s="218" t="s">
        <v>220</v>
      </c>
      <c r="B3306" s="218" t="s">
        <v>2351</v>
      </c>
      <c r="C3306" s="219" t="s">
        <v>2502</v>
      </c>
      <c r="D3306" s="212" t="s">
        <v>2503</v>
      </c>
      <c r="E3306" s="212" t="s">
        <v>545</v>
      </c>
      <c r="F3306" s="213">
        <v>3</v>
      </c>
      <c r="G3306" s="213">
        <v>95.95</v>
      </c>
      <c r="H3306" s="195">
        <v>287.85000000000002</v>
      </c>
      <c r="I3306" s="212" t="s">
        <v>2354</v>
      </c>
    </row>
    <row r="3307" spans="1:9" x14ac:dyDescent="0.25">
      <c r="A3307" s="218" t="s">
        <v>220</v>
      </c>
      <c r="B3307" s="218" t="s">
        <v>5430</v>
      </c>
      <c r="C3307" s="219" t="s">
        <v>5817</v>
      </c>
      <c r="D3307" s="212" t="s">
        <v>5818</v>
      </c>
      <c r="E3307" s="212" t="s">
        <v>545</v>
      </c>
      <c r="F3307" s="213">
        <v>2</v>
      </c>
      <c r="G3307" s="213">
        <v>144</v>
      </c>
      <c r="H3307" s="195">
        <v>288</v>
      </c>
      <c r="I3307" s="212" t="s">
        <v>2354</v>
      </c>
    </row>
    <row r="3308" spans="1:9" x14ac:dyDescent="0.25">
      <c r="A3308" s="218" t="s">
        <v>220</v>
      </c>
      <c r="B3308" s="218" t="s">
        <v>2351</v>
      </c>
      <c r="C3308" s="219" t="s">
        <v>3911</v>
      </c>
      <c r="D3308" s="212" t="s">
        <v>3912</v>
      </c>
      <c r="E3308" s="212" t="s">
        <v>545</v>
      </c>
      <c r="F3308" s="213">
        <v>78</v>
      </c>
      <c r="G3308" s="213">
        <v>3.7033333333333331</v>
      </c>
      <c r="H3308" s="195">
        <v>288.86</v>
      </c>
      <c r="I3308" s="212" t="s">
        <v>2354</v>
      </c>
    </row>
    <row r="3309" spans="1:9" x14ac:dyDescent="0.25">
      <c r="A3309" s="218" t="s">
        <v>220</v>
      </c>
      <c r="B3309" s="218" t="s">
        <v>2351</v>
      </c>
      <c r="C3309" s="219" t="s">
        <v>4774</v>
      </c>
      <c r="D3309" s="212" t="s">
        <v>4775</v>
      </c>
      <c r="E3309" s="212" t="s">
        <v>545</v>
      </c>
      <c r="F3309" s="213">
        <v>250</v>
      </c>
      <c r="G3309" s="213">
        <v>1.1559999999999999</v>
      </c>
      <c r="H3309" s="195">
        <v>289</v>
      </c>
      <c r="I3309" s="212" t="s">
        <v>2354</v>
      </c>
    </row>
    <row r="3310" spans="1:9" x14ac:dyDescent="0.25">
      <c r="A3310" s="218" t="s">
        <v>220</v>
      </c>
      <c r="B3310" s="218" t="s">
        <v>5430</v>
      </c>
      <c r="C3310" s="219" t="s">
        <v>3079</v>
      </c>
      <c r="D3310" s="212" t="s">
        <v>3080</v>
      </c>
      <c r="E3310" s="212" t="s">
        <v>545</v>
      </c>
      <c r="F3310" s="213">
        <v>12</v>
      </c>
      <c r="G3310" s="213">
        <v>24.1128</v>
      </c>
      <c r="H3310" s="195">
        <v>289.35360000000003</v>
      </c>
      <c r="I3310" s="212" t="s">
        <v>2354</v>
      </c>
    </row>
    <row r="3311" spans="1:9" x14ac:dyDescent="0.25">
      <c r="A3311" s="218" t="s">
        <v>220</v>
      </c>
      <c r="B3311" s="218" t="s">
        <v>5430</v>
      </c>
      <c r="C3311" s="219" t="s">
        <v>6734</v>
      </c>
      <c r="D3311" s="212" t="s">
        <v>6735</v>
      </c>
      <c r="E3311" s="212" t="s">
        <v>2387</v>
      </c>
      <c r="F3311" s="213">
        <v>20</v>
      </c>
      <c r="G3311" s="213">
        <v>14.5176</v>
      </c>
      <c r="H3311" s="195">
        <v>290.35199999999998</v>
      </c>
      <c r="I3311" s="212" t="s">
        <v>2354</v>
      </c>
    </row>
    <row r="3312" spans="1:9" x14ac:dyDescent="0.25">
      <c r="A3312" s="218" t="s">
        <v>220</v>
      </c>
      <c r="B3312" s="218" t="s">
        <v>2351</v>
      </c>
      <c r="C3312" s="219" t="s">
        <v>4520</v>
      </c>
      <c r="D3312" s="212" t="s">
        <v>4521</v>
      </c>
      <c r="E3312" s="212" t="s">
        <v>545</v>
      </c>
      <c r="F3312" s="213">
        <v>36</v>
      </c>
      <c r="G3312" s="213">
        <v>8.1062130909090904</v>
      </c>
      <c r="H3312" s="195">
        <v>291.82367127272727</v>
      </c>
      <c r="I3312" s="212" t="s">
        <v>2354</v>
      </c>
    </row>
    <row r="3313" spans="1:9" x14ac:dyDescent="0.25">
      <c r="A3313" s="218" t="s">
        <v>220</v>
      </c>
      <c r="B3313" s="218" t="s">
        <v>5430</v>
      </c>
      <c r="C3313" s="219" t="s">
        <v>7115</v>
      </c>
      <c r="D3313" s="212" t="s">
        <v>7116</v>
      </c>
      <c r="E3313" s="212" t="s">
        <v>545</v>
      </c>
      <c r="F3313" s="213">
        <v>540</v>
      </c>
      <c r="G3313" s="213">
        <v>0.54154999999999998</v>
      </c>
      <c r="H3313" s="195">
        <v>292.43700000000001</v>
      </c>
      <c r="I3313" s="212" t="s">
        <v>2354</v>
      </c>
    </row>
    <row r="3314" spans="1:9" x14ac:dyDescent="0.25">
      <c r="A3314" s="218" t="s">
        <v>220</v>
      </c>
      <c r="B3314" s="218" t="s">
        <v>5430</v>
      </c>
      <c r="C3314" s="219" t="s">
        <v>5542</v>
      </c>
      <c r="D3314" s="212" t="s">
        <v>5543</v>
      </c>
      <c r="E3314" s="212" t="s">
        <v>545</v>
      </c>
      <c r="F3314" s="213">
        <v>1</v>
      </c>
      <c r="G3314" s="213">
        <v>292.69799999999998</v>
      </c>
      <c r="H3314" s="195">
        <v>292.69799999999998</v>
      </c>
      <c r="I3314" s="212" t="s">
        <v>2354</v>
      </c>
    </row>
    <row r="3315" spans="1:9" x14ac:dyDescent="0.25">
      <c r="A3315" s="218" t="s">
        <v>220</v>
      </c>
      <c r="B3315" s="218" t="s">
        <v>5430</v>
      </c>
      <c r="C3315" s="219" t="s">
        <v>6198</v>
      </c>
      <c r="D3315" s="212" t="s">
        <v>6199</v>
      </c>
      <c r="E3315" s="212" t="s">
        <v>545</v>
      </c>
      <c r="F3315" s="213">
        <v>4</v>
      </c>
      <c r="G3315" s="213">
        <v>73.260000000000005</v>
      </c>
      <c r="H3315" s="195">
        <v>293.04000000000002</v>
      </c>
      <c r="I3315" s="212" t="s">
        <v>2354</v>
      </c>
    </row>
    <row r="3316" spans="1:9" x14ac:dyDescent="0.25">
      <c r="A3316" s="218" t="s">
        <v>220</v>
      </c>
      <c r="B3316" s="218" t="s">
        <v>2351</v>
      </c>
      <c r="C3316" s="219" t="s">
        <v>4015</v>
      </c>
      <c r="D3316" s="212" t="s">
        <v>4016</v>
      </c>
      <c r="E3316" s="212" t="s">
        <v>545</v>
      </c>
      <c r="F3316" s="213">
        <v>8</v>
      </c>
      <c r="G3316" s="213">
        <v>37</v>
      </c>
      <c r="H3316" s="195">
        <v>296</v>
      </c>
      <c r="I3316" s="212" t="s">
        <v>2354</v>
      </c>
    </row>
    <row r="3317" spans="1:9" x14ac:dyDescent="0.25">
      <c r="A3317" s="218" t="s">
        <v>220</v>
      </c>
      <c r="B3317" s="218" t="s">
        <v>2351</v>
      </c>
      <c r="C3317" s="219" t="s">
        <v>4361</v>
      </c>
      <c r="D3317" s="212" t="s">
        <v>4362</v>
      </c>
      <c r="E3317" s="212" t="s">
        <v>545</v>
      </c>
      <c r="F3317" s="213">
        <v>4</v>
      </c>
      <c r="G3317" s="213">
        <v>74</v>
      </c>
      <c r="H3317" s="195">
        <v>296</v>
      </c>
      <c r="I3317" s="212" t="s">
        <v>2354</v>
      </c>
    </row>
    <row r="3318" spans="1:9" x14ac:dyDescent="0.25">
      <c r="A3318" s="218" t="s">
        <v>220</v>
      </c>
      <c r="B3318" s="218" t="s">
        <v>2351</v>
      </c>
      <c r="C3318" s="219" t="s">
        <v>2848</v>
      </c>
      <c r="D3318" s="212" t="s">
        <v>2849</v>
      </c>
      <c r="E3318" s="212" t="s">
        <v>545</v>
      </c>
      <c r="F3318" s="213">
        <v>6</v>
      </c>
      <c r="G3318" s="213">
        <v>49.3596</v>
      </c>
      <c r="H3318" s="195">
        <v>296.1576</v>
      </c>
      <c r="I3318" s="212" t="s">
        <v>2354</v>
      </c>
    </row>
    <row r="3319" spans="1:9" x14ac:dyDescent="0.25">
      <c r="A3319" s="218" t="s">
        <v>220</v>
      </c>
      <c r="B3319" s="218" t="s">
        <v>2351</v>
      </c>
      <c r="C3319" s="219" t="s">
        <v>2417</v>
      </c>
      <c r="D3319" s="212" t="s">
        <v>2418</v>
      </c>
      <c r="E3319" s="212" t="s">
        <v>545</v>
      </c>
      <c r="F3319" s="213">
        <v>10</v>
      </c>
      <c r="G3319" s="213">
        <v>29.63</v>
      </c>
      <c r="H3319" s="195">
        <v>296.3</v>
      </c>
      <c r="I3319" s="212" t="s">
        <v>2354</v>
      </c>
    </row>
    <row r="3320" spans="1:9" x14ac:dyDescent="0.25">
      <c r="A3320" s="218" t="s">
        <v>220</v>
      </c>
      <c r="B3320" s="218" t="s">
        <v>2351</v>
      </c>
      <c r="C3320" s="219" t="s">
        <v>2465</v>
      </c>
      <c r="D3320" s="212" t="s">
        <v>2466</v>
      </c>
      <c r="E3320" s="212" t="s">
        <v>545</v>
      </c>
      <c r="F3320" s="213">
        <v>5</v>
      </c>
      <c r="G3320" s="213">
        <v>59.334000000000003</v>
      </c>
      <c r="H3320" s="195">
        <v>296.67</v>
      </c>
      <c r="I3320" s="212" t="s">
        <v>2354</v>
      </c>
    </row>
    <row r="3321" spans="1:9" x14ac:dyDescent="0.25">
      <c r="A3321" s="218" t="s">
        <v>220</v>
      </c>
      <c r="B3321" s="218" t="s">
        <v>2351</v>
      </c>
      <c r="C3321" s="219" t="s">
        <v>4524</v>
      </c>
      <c r="D3321" s="212" t="s">
        <v>4525</v>
      </c>
      <c r="E3321" s="212" t="s">
        <v>545</v>
      </c>
      <c r="F3321" s="213">
        <v>1</v>
      </c>
      <c r="G3321" s="213">
        <v>296.73200000000003</v>
      </c>
      <c r="H3321" s="195">
        <v>296.73200000000003</v>
      </c>
      <c r="I3321" s="212" t="s">
        <v>2354</v>
      </c>
    </row>
    <row r="3322" spans="1:9" x14ac:dyDescent="0.25">
      <c r="A3322" s="218" t="s">
        <v>220</v>
      </c>
      <c r="B3322" s="218" t="s">
        <v>5430</v>
      </c>
      <c r="C3322" s="219" t="s">
        <v>7210</v>
      </c>
      <c r="D3322" s="212" t="s">
        <v>7211</v>
      </c>
      <c r="E3322" s="212" t="s">
        <v>545</v>
      </c>
      <c r="F3322" s="213">
        <v>120</v>
      </c>
      <c r="G3322" s="213">
        <v>2.4729999999999999</v>
      </c>
      <c r="H3322" s="195">
        <v>296.76</v>
      </c>
      <c r="I3322" s="212" t="s">
        <v>2354</v>
      </c>
    </row>
    <row r="3323" spans="1:9" x14ac:dyDescent="0.25">
      <c r="A3323" s="218" t="s">
        <v>220</v>
      </c>
      <c r="B3323" s="218" t="s">
        <v>2351</v>
      </c>
      <c r="C3323" s="219" t="s">
        <v>2407</v>
      </c>
      <c r="D3323" s="212" t="s">
        <v>2408</v>
      </c>
      <c r="E3323" s="212" t="s">
        <v>545</v>
      </c>
      <c r="F3323" s="213">
        <v>15</v>
      </c>
      <c r="G3323" s="213">
        <v>19.8</v>
      </c>
      <c r="H3323" s="195">
        <v>297</v>
      </c>
      <c r="I3323" s="212" t="s">
        <v>2354</v>
      </c>
    </row>
    <row r="3324" spans="1:9" x14ac:dyDescent="0.25">
      <c r="A3324" s="218" t="s">
        <v>220</v>
      </c>
      <c r="B3324" s="218" t="s">
        <v>2351</v>
      </c>
      <c r="C3324" s="219" t="s">
        <v>3455</v>
      </c>
      <c r="D3324" s="212" t="s">
        <v>3456</v>
      </c>
      <c r="E3324" s="212" t="s">
        <v>2387</v>
      </c>
      <c r="F3324" s="213">
        <v>180</v>
      </c>
      <c r="G3324" s="213">
        <v>1.6575</v>
      </c>
      <c r="H3324" s="195">
        <v>298.35000000000002</v>
      </c>
      <c r="I3324" s="212" t="s">
        <v>2354</v>
      </c>
    </row>
    <row r="3325" spans="1:9" x14ac:dyDescent="0.25">
      <c r="A3325" s="218" t="s">
        <v>220</v>
      </c>
      <c r="B3325" s="218" t="s">
        <v>5430</v>
      </c>
      <c r="C3325" s="219" t="s">
        <v>5504</v>
      </c>
      <c r="D3325" s="212" t="s">
        <v>5505</v>
      </c>
      <c r="E3325" s="212" t="s">
        <v>545</v>
      </c>
      <c r="F3325" s="213">
        <v>2</v>
      </c>
      <c r="G3325" s="213">
        <v>149.98500000000001</v>
      </c>
      <c r="H3325" s="195">
        <v>299.97000000000003</v>
      </c>
      <c r="I3325" s="212" t="s">
        <v>2354</v>
      </c>
    </row>
    <row r="3326" spans="1:9" x14ac:dyDescent="0.25">
      <c r="A3326" s="218" t="s">
        <v>220</v>
      </c>
      <c r="B3326" s="218" t="s">
        <v>5430</v>
      </c>
      <c r="C3326" s="219" t="s">
        <v>5512</v>
      </c>
      <c r="D3326" s="212" t="s">
        <v>5513</v>
      </c>
      <c r="E3326" s="212" t="s">
        <v>545</v>
      </c>
      <c r="F3326" s="213">
        <v>2</v>
      </c>
      <c r="G3326" s="213">
        <v>149.98500000000001</v>
      </c>
      <c r="H3326" s="195">
        <v>299.97000000000003</v>
      </c>
      <c r="I3326" s="212" t="s">
        <v>2354</v>
      </c>
    </row>
    <row r="3327" spans="1:9" x14ac:dyDescent="0.25">
      <c r="A3327" s="218" t="s">
        <v>220</v>
      </c>
      <c r="B3327" s="218" t="s">
        <v>2351</v>
      </c>
      <c r="C3327" s="219" t="s">
        <v>3865</v>
      </c>
      <c r="D3327" s="212" t="s">
        <v>3866</v>
      </c>
      <c r="E3327" s="212" t="s">
        <v>545</v>
      </c>
      <c r="F3327" s="213">
        <v>25</v>
      </c>
      <c r="G3327" s="213">
        <v>12</v>
      </c>
      <c r="H3327" s="195">
        <v>300</v>
      </c>
      <c r="I3327" s="212" t="s">
        <v>2354</v>
      </c>
    </row>
    <row r="3328" spans="1:9" x14ac:dyDescent="0.25">
      <c r="A3328" s="218" t="s">
        <v>220</v>
      </c>
      <c r="B3328" s="218" t="s">
        <v>5430</v>
      </c>
      <c r="C3328" s="219" t="s">
        <v>5805</v>
      </c>
      <c r="D3328" s="212" t="s">
        <v>5806</v>
      </c>
      <c r="E3328" s="212" t="s">
        <v>545</v>
      </c>
      <c r="F3328" s="213">
        <v>2</v>
      </c>
      <c r="G3328" s="213">
        <v>150.33840000000001</v>
      </c>
      <c r="H3328" s="195">
        <v>300.67680000000001</v>
      </c>
      <c r="I3328" s="212" t="s">
        <v>2354</v>
      </c>
    </row>
    <row r="3329" spans="1:9" x14ac:dyDescent="0.25">
      <c r="A3329" s="218" t="s">
        <v>220</v>
      </c>
      <c r="B3329" s="218" t="s">
        <v>5430</v>
      </c>
      <c r="C3329" s="219" t="s">
        <v>2712</v>
      </c>
      <c r="D3329" s="212" t="s">
        <v>2713</v>
      </c>
      <c r="E3329" s="212" t="s">
        <v>7558</v>
      </c>
      <c r="F3329" s="213">
        <v>10</v>
      </c>
      <c r="G3329" s="213">
        <v>30.113999999999997</v>
      </c>
      <c r="H3329" s="195">
        <v>301.14</v>
      </c>
      <c r="I3329" s="212" t="s">
        <v>2354</v>
      </c>
    </row>
    <row r="3330" spans="1:9" x14ac:dyDescent="0.25">
      <c r="A3330" s="218" t="s">
        <v>220</v>
      </c>
      <c r="B3330" s="218" t="s">
        <v>2351</v>
      </c>
      <c r="C3330" s="219" t="s">
        <v>3971</v>
      </c>
      <c r="D3330" s="212" t="s">
        <v>3972</v>
      </c>
      <c r="E3330" s="212" t="s">
        <v>2387</v>
      </c>
      <c r="F3330" s="213">
        <v>35</v>
      </c>
      <c r="G3330" s="213">
        <v>8.6093200000000003</v>
      </c>
      <c r="H3330" s="195">
        <v>301.32620000000003</v>
      </c>
      <c r="I3330" s="212" t="s">
        <v>2354</v>
      </c>
    </row>
    <row r="3331" spans="1:9" x14ac:dyDescent="0.25">
      <c r="A3331" s="218" t="s">
        <v>220</v>
      </c>
      <c r="B3331" s="218" t="s">
        <v>2351</v>
      </c>
      <c r="C3331" s="219" t="s">
        <v>3825</v>
      </c>
      <c r="D3331" s="212" t="s">
        <v>3826</v>
      </c>
      <c r="E3331" s="212" t="s">
        <v>545</v>
      </c>
      <c r="F3331" s="213">
        <v>2</v>
      </c>
      <c r="G3331" s="213">
        <v>150.75</v>
      </c>
      <c r="H3331" s="195">
        <v>301.5</v>
      </c>
      <c r="I3331" s="212" t="s">
        <v>2354</v>
      </c>
    </row>
    <row r="3332" spans="1:9" x14ac:dyDescent="0.25">
      <c r="A3332" s="218" t="s">
        <v>220</v>
      </c>
      <c r="B3332" s="218" t="s">
        <v>5430</v>
      </c>
      <c r="C3332" s="219" t="s">
        <v>7235</v>
      </c>
      <c r="D3332" s="212" t="s">
        <v>7236</v>
      </c>
      <c r="E3332" s="212" t="s">
        <v>545</v>
      </c>
      <c r="F3332" s="213">
        <v>22</v>
      </c>
      <c r="G3332" s="213">
        <v>13.736000000000001</v>
      </c>
      <c r="H3332" s="195">
        <v>302.19200000000001</v>
      </c>
      <c r="I3332" s="212" t="s">
        <v>2354</v>
      </c>
    </row>
    <row r="3333" spans="1:9" x14ac:dyDescent="0.25">
      <c r="A3333" s="218" t="s">
        <v>220</v>
      </c>
      <c r="B3333" s="218" t="s">
        <v>2351</v>
      </c>
      <c r="C3333" s="219" t="s">
        <v>4365</v>
      </c>
      <c r="D3333" s="212" t="s">
        <v>4366</v>
      </c>
      <c r="E3333" s="212" t="s">
        <v>545</v>
      </c>
      <c r="F3333" s="213">
        <v>17</v>
      </c>
      <c r="G3333" s="213">
        <v>18</v>
      </c>
      <c r="H3333" s="195">
        <v>306</v>
      </c>
      <c r="I3333" s="212" t="s">
        <v>2354</v>
      </c>
    </row>
    <row r="3334" spans="1:9" x14ac:dyDescent="0.25">
      <c r="A3334" s="218" t="s">
        <v>220</v>
      </c>
      <c r="B3334" s="218" t="s">
        <v>5430</v>
      </c>
      <c r="C3334" s="219" t="s">
        <v>6421</v>
      </c>
      <c r="D3334" s="212" t="s">
        <v>6422</v>
      </c>
      <c r="E3334" s="212" t="s">
        <v>545</v>
      </c>
      <c r="F3334" s="213">
        <v>3</v>
      </c>
      <c r="G3334" s="213">
        <v>102.06432</v>
      </c>
      <c r="H3334" s="195">
        <v>306.19295999999997</v>
      </c>
      <c r="I3334" s="212" t="s">
        <v>2354</v>
      </c>
    </row>
    <row r="3335" spans="1:9" x14ac:dyDescent="0.25">
      <c r="A3335" s="218" t="s">
        <v>220</v>
      </c>
      <c r="B3335" s="218" t="s">
        <v>5430</v>
      </c>
      <c r="C3335" s="219" t="s">
        <v>7231</v>
      </c>
      <c r="D3335" s="212" t="s">
        <v>7232</v>
      </c>
      <c r="E3335" s="212" t="s">
        <v>545</v>
      </c>
      <c r="F3335" s="213">
        <v>12</v>
      </c>
      <c r="G3335" s="213">
        <v>25.65</v>
      </c>
      <c r="H3335" s="195">
        <v>307.79999999999995</v>
      </c>
      <c r="I3335" s="212" t="s">
        <v>2354</v>
      </c>
    </row>
    <row r="3336" spans="1:9" x14ac:dyDescent="0.25">
      <c r="A3336" s="218" t="s">
        <v>220</v>
      </c>
      <c r="B3336" s="218" t="s">
        <v>2351</v>
      </c>
      <c r="C3336" s="219" t="s">
        <v>3123</v>
      </c>
      <c r="D3336" s="212" t="s">
        <v>3124</v>
      </c>
      <c r="E3336" s="212" t="s">
        <v>545</v>
      </c>
      <c r="F3336" s="213">
        <v>2</v>
      </c>
      <c r="G3336" s="213">
        <v>153.9</v>
      </c>
      <c r="H3336" s="195">
        <v>307.8</v>
      </c>
      <c r="I3336" s="212" t="s">
        <v>2354</v>
      </c>
    </row>
    <row r="3337" spans="1:9" x14ac:dyDescent="0.25">
      <c r="A3337" s="218" t="s">
        <v>220</v>
      </c>
      <c r="B3337" s="218" t="s">
        <v>5430</v>
      </c>
      <c r="C3337" s="219" t="s">
        <v>6015</v>
      </c>
      <c r="D3337" s="212" t="s">
        <v>6016</v>
      </c>
      <c r="E3337" s="212" t="s">
        <v>545</v>
      </c>
      <c r="F3337" s="213">
        <v>13</v>
      </c>
      <c r="G3337" s="213">
        <v>23.712299999999999</v>
      </c>
      <c r="H3337" s="195">
        <v>308.25990000000002</v>
      </c>
      <c r="I3337" s="212" t="s">
        <v>2354</v>
      </c>
    </row>
    <row r="3338" spans="1:9" x14ac:dyDescent="0.25">
      <c r="A3338" s="218" t="s">
        <v>220</v>
      </c>
      <c r="B3338" s="218" t="s">
        <v>2351</v>
      </c>
      <c r="C3338" s="219" t="s">
        <v>2628</v>
      </c>
      <c r="D3338" s="212" t="s">
        <v>2629</v>
      </c>
      <c r="E3338" s="212" t="s">
        <v>545</v>
      </c>
      <c r="F3338" s="213">
        <v>1</v>
      </c>
      <c r="G3338" s="213">
        <v>310</v>
      </c>
      <c r="H3338" s="195">
        <v>310</v>
      </c>
      <c r="I3338" s="212" t="s">
        <v>2354</v>
      </c>
    </row>
    <row r="3339" spans="1:9" x14ac:dyDescent="0.25">
      <c r="A3339" s="218" t="s">
        <v>220</v>
      </c>
      <c r="B3339" s="218" t="s">
        <v>2351</v>
      </c>
      <c r="C3339" s="219" t="s">
        <v>3127</v>
      </c>
      <c r="D3339" s="212" t="s">
        <v>3128</v>
      </c>
      <c r="E3339" s="212" t="s">
        <v>545</v>
      </c>
      <c r="F3339" s="213">
        <v>1</v>
      </c>
      <c r="G3339" s="213">
        <v>311.39800000000002</v>
      </c>
      <c r="H3339" s="195">
        <v>311.39800000000002</v>
      </c>
      <c r="I3339" s="212" t="s">
        <v>2354</v>
      </c>
    </row>
    <row r="3340" spans="1:9" x14ac:dyDescent="0.25">
      <c r="A3340" s="218" t="s">
        <v>220</v>
      </c>
      <c r="B3340" s="218" t="s">
        <v>2351</v>
      </c>
      <c r="C3340" s="219" t="s">
        <v>3079</v>
      </c>
      <c r="D3340" s="212" t="s">
        <v>3080</v>
      </c>
      <c r="E3340" s="212" t="s">
        <v>545</v>
      </c>
      <c r="F3340" s="213">
        <v>13</v>
      </c>
      <c r="G3340" s="213">
        <v>24.1128</v>
      </c>
      <c r="H3340" s="195">
        <v>313.46640000000002</v>
      </c>
      <c r="I3340" s="212" t="s">
        <v>2354</v>
      </c>
    </row>
    <row r="3341" spans="1:9" x14ac:dyDescent="0.25">
      <c r="A3341" s="218" t="s">
        <v>220</v>
      </c>
      <c r="B3341" s="218" t="s">
        <v>5430</v>
      </c>
      <c r="C3341" s="219" t="s">
        <v>6885</v>
      </c>
      <c r="D3341" s="212" t="s">
        <v>6886</v>
      </c>
      <c r="E3341" s="212" t="s">
        <v>545</v>
      </c>
      <c r="F3341" s="213">
        <v>2</v>
      </c>
      <c r="G3341" s="213">
        <v>157.5</v>
      </c>
      <c r="H3341" s="195">
        <v>315</v>
      </c>
      <c r="I3341" s="212" t="s">
        <v>2354</v>
      </c>
    </row>
    <row r="3342" spans="1:9" x14ac:dyDescent="0.25">
      <c r="A3342" s="218" t="s">
        <v>220</v>
      </c>
      <c r="B3342" s="218" t="s">
        <v>5430</v>
      </c>
      <c r="C3342" s="219" t="s">
        <v>6931</v>
      </c>
      <c r="D3342" s="212" t="s">
        <v>6932</v>
      </c>
      <c r="E3342" s="212" t="s">
        <v>545</v>
      </c>
      <c r="F3342" s="213">
        <v>4</v>
      </c>
      <c r="G3342" s="213">
        <v>78.825450000000004</v>
      </c>
      <c r="H3342" s="195">
        <v>315.30180000000001</v>
      </c>
      <c r="I3342" s="212" t="s">
        <v>2354</v>
      </c>
    </row>
    <row r="3343" spans="1:9" x14ac:dyDescent="0.25">
      <c r="A3343" s="218" t="s">
        <v>220</v>
      </c>
      <c r="B3343" s="218" t="s">
        <v>2351</v>
      </c>
      <c r="C3343" s="219" t="s">
        <v>2702</v>
      </c>
      <c r="D3343" s="212" t="s">
        <v>2703</v>
      </c>
      <c r="E3343" s="212" t="s">
        <v>545</v>
      </c>
      <c r="F3343" s="213">
        <v>1</v>
      </c>
      <c r="G3343" s="213">
        <v>316.17720000000003</v>
      </c>
      <c r="H3343" s="195">
        <v>316.17720000000003</v>
      </c>
      <c r="I3343" s="212" t="s">
        <v>2354</v>
      </c>
    </row>
    <row r="3344" spans="1:9" x14ac:dyDescent="0.25">
      <c r="A3344" s="218" t="s">
        <v>220</v>
      </c>
      <c r="B3344" s="218" t="s">
        <v>2351</v>
      </c>
      <c r="C3344" s="219" t="s">
        <v>3981</v>
      </c>
      <c r="D3344" s="212" t="s">
        <v>3982</v>
      </c>
      <c r="E3344" s="212" t="s">
        <v>545</v>
      </c>
      <c r="F3344" s="213">
        <v>56</v>
      </c>
      <c r="G3344" s="213">
        <v>5.67</v>
      </c>
      <c r="H3344" s="195">
        <v>317.52</v>
      </c>
      <c r="I3344" s="212" t="s">
        <v>2354</v>
      </c>
    </row>
    <row r="3345" spans="1:9" x14ac:dyDescent="0.25">
      <c r="A3345" s="218" t="s">
        <v>220</v>
      </c>
      <c r="B3345" s="218" t="s">
        <v>2351</v>
      </c>
      <c r="C3345" s="219" t="s">
        <v>4367</v>
      </c>
      <c r="D3345" s="212" t="s">
        <v>4368</v>
      </c>
      <c r="E3345" s="212" t="s">
        <v>545</v>
      </c>
      <c r="F3345" s="213">
        <v>4</v>
      </c>
      <c r="G3345" s="213">
        <v>80</v>
      </c>
      <c r="H3345" s="195">
        <v>320</v>
      </c>
      <c r="I3345" s="212" t="s">
        <v>2354</v>
      </c>
    </row>
    <row r="3346" spans="1:9" x14ac:dyDescent="0.25">
      <c r="A3346" s="218" t="s">
        <v>220</v>
      </c>
      <c r="B3346" s="218" t="s">
        <v>5430</v>
      </c>
      <c r="C3346" s="219" t="s">
        <v>5699</v>
      </c>
      <c r="D3346" s="212" t="s">
        <v>5700</v>
      </c>
      <c r="E3346" s="212" t="s">
        <v>545</v>
      </c>
      <c r="F3346" s="213">
        <v>7</v>
      </c>
      <c r="G3346" s="213">
        <v>45.747749999999996</v>
      </c>
      <c r="H3346" s="195">
        <v>320.23424999999997</v>
      </c>
      <c r="I3346" s="212" t="s">
        <v>2354</v>
      </c>
    </row>
    <row r="3347" spans="1:9" x14ac:dyDescent="0.25">
      <c r="A3347" s="218" t="s">
        <v>220</v>
      </c>
      <c r="B3347" s="218" t="s">
        <v>2351</v>
      </c>
      <c r="C3347" s="219" t="s">
        <v>2652</v>
      </c>
      <c r="D3347" s="212" t="s">
        <v>2653</v>
      </c>
      <c r="E3347" s="212" t="s">
        <v>545</v>
      </c>
      <c r="F3347" s="213">
        <v>6</v>
      </c>
      <c r="G3347" s="213">
        <v>53.511945895962043</v>
      </c>
      <c r="H3347" s="195">
        <v>321.07167537577226</v>
      </c>
      <c r="I3347" s="212" t="s">
        <v>2354</v>
      </c>
    </row>
    <row r="3348" spans="1:9" x14ac:dyDescent="0.25">
      <c r="A3348" s="218" t="s">
        <v>220</v>
      </c>
      <c r="B3348" s="218" t="s">
        <v>2351</v>
      </c>
      <c r="C3348" s="219" t="s">
        <v>3989</v>
      </c>
      <c r="D3348" s="212" t="s">
        <v>3990</v>
      </c>
      <c r="E3348" s="212" t="s">
        <v>545</v>
      </c>
      <c r="F3348" s="213">
        <v>4</v>
      </c>
      <c r="G3348" s="213">
        <v>80.531999999999996</v>
      </c>
      <c r="H3348" s="195">
        <v>322.12799999999999</v>
      </c>
      <c r="I3348" s="212" t="s">
        <v>2354</v>
      </c>
    </row>
    <row r="3349" spans="1:9" x14ac:dyDescent="0.25">
      <c r="A3349" s="218" t="s">
        <v>220</v>
      </c>
      <c r="B3349" s="218" t="s">
        <v>5430</v>
      </c>
      <c r="C3349" s="219" t="s">
        <v>6929</v>
      </c>
      <c r="D3349" s="212" t="s">
        <v>6930</v>
      </c>
      <c r="E3349" s="212" t="s">
        <v>545</v>
      </c>
      <c r="F3349" s="213">
        <v>3</v>
      </c>
      <c r="G3349" s="213">
        <v>107.42400000000001</v>
      </c>
      <c r="H3349" s="195">
        <v>322.27200000000005</v>
      </c>
      <c r="I3349" s="212" t="s">
        <v>2354</v>
      </c>
    </row>
    <row r="3350" spans="1:9" x14ac:dyDescent="0.25">
      <c r="A3350" s="218" t="s">
        <v>220</v>
      </c>
      <c r="B3350" s="218" t="s">
        <v>2351</v>
      </c>
      <c r="C3350" s="219" t="s">
        <v>3115</v>
      </c>
      <c r="D3350" s="212" t="s">
        <v>3116</v>
      </c>
      <c r="E3350" s="212" t="s">
        <v>545</v>
      </c>
      <c r="F3350" s="213">
        <v>2</v>
      </c>
      <c r="G3350" s="213">
        <v>161.76424</v>
      </c>
      <c r="H3350" s="195">
        <v>323.52848</v>
      </c>
      <c r="I3350" s="212" t="s">
        <v>2354</v>
      </c>
    </row>
    <row r="3351" spans="1:9" x14ac:dyDescent="0.25">
      <c r="A3351" s="218" t="s">
        <v>220</v>
      </c>
      <c r="B3351" s="218" t="s">
        <v>2351</v>
      </c>
      <c r="C3351" s="219" t="s">
        <v>3151</v>
      </c>
      <c r="D3351" s="212" t="s">
        <v>3152</v>
      </c>
      <c r="E3351" s="212" t="s">
        <v>545</v>
      </c>
      <c r="F3351" s="213">
        <v>2</v>
      </c>
      <c r="G3351" s="213">
        <v>162</v>
      </c>
      <c r="H3351" s="195">
        <v>324</v>
      </c>
      <c r="I3351" s="212" t="s">
        <v>2354</v>
      </c>
    </row>
    <row r="3352" spans="1:9" x14ac:dyDescent="0.25">
      <c r="A3352" s="218" t="s">
        <v>220</v>
      </c>
      <c r="B3352" s="218" t="s">
        <v>5430</v>
      </c>
      <c r="C3352" s="219" t="s">
        <v>6230</v>
      </c>
      <c r="D3352" s="212" t="s">
        <v>6231</v>
      </c>
      <c r="E3352" s="212" t="s">
        <v>2387</v>
      </c>
      <c r="F3352" s="213">
        <v>4</v>
      </c>
      <c r="G3352" s="213">
        <v>81.088499999999996</v>
      </c>
      <c r="H3352" s="195">
        <v>324.35399999999998</v>
      </c>
      <c r="I3352" s="212" t="s">
        <v>2354</v>
      </c>
    </row>
    <row r="3353" spans="1:9" x14ac:dyDescent="0.25">
      <c r="A3353" s="218" t="s">
        <v>220</v>
      </c>
      <c r="B3353" s="218" t="s">
        <v>2351</v>
      </c>
      <c r="C3353" s="219" t="s">
        <v>3361</v>
      </c>
      <c r="D3353" s="212" t="s">
        <v>3362</v>
      </c>
      <c r="E3353" s="212" t="s">
        <v>545</v>
      </c>
      <c r="F3353" s="213">
        <v>52</v>
      </c>
      <c r="G3353" s="213">
        <v>6.2471578947368425</v>
      </c>
      <c r="H3353" s="195">
        <v>324.85221052631579</v>
      </c>
      <c r="I3353" s="212" t="s">
        <v>2354</v>
      </c>
    </row>
    <row r="3354" spans="1:9" x14ac:dyDescent="0.25">
      <c r="A3354" s="218" t="s">
        <v>220</v>
      </c>
      <c r="B3354" s="218" t="s">
        <v>2351</v>
      </c>
      <c r="C3354" s="219" t="s">
        <v>2383</v>
      </c>
      <c r="D3354" s="212" t="s">
        <v>2384</v>
      </c>
      <c r="E3354" s="212" t="s">
        <v>545</v>
      </c>
      <c r="F3354" s="213">
        <v>15</v>
      </c>
      <c r="G3354" s="213">
        <v>21.7224</v>
      </c>
      <c r="H3354" s="195">
        <v>325.83600000000001</v>
      </c>
      <c r="I3354" s="212" t="s">
        <v>2354</v>
      </c>
    </row>
    <row r="3355" spans="1:9" x14ac:dyDescent="0.25">
      <c r="A3355" s="218" t="s">
        <v>220</v>
      </c>
      <c r="B3355" s="218" t="s">
        <v>2351</v>
      </c>
      <c r="C3355" s="219" t="s">
        <v>2421</v>
      </c>
      <c r="D3355" s="212" t="s">
        <v>2422</v>
      </c>
      <c r="E3355" s="212" t="s">
        <v>545</v>
      </c>
      <c r="F3355" s="213">
        <v>15</v>
      </c>
      <c r="G3355" s="213">
        <v>21.785499999999999</v>
      </c>
      <c r="H3355" s="195">
        <v>326.78249999999997</v>
      </c>
      <c r="I3355" s="212" t="s">
        <v>2354</v>
      </c>
    </row>
    <row r="3356" spans="1:9" x14ac:dyDescent="0.25">
      <c r="A3356" s="218" t="s">
        <v>220</v>
      </c>
      <c r="B3356" s="218" t="s">
        <v>2351</v>
      </c>
      <c r="C3356" s="219" t="s">
        <v>3855</v>
      </c>
      <c r="D3356" s="212" t="s">
        <v>7562</v>
      </c>
      <c r="E3356" s="212" t="s">
        <v>545</v>
      </c>
      <c r="F3356" s="213">
        <v>1</v>
      </c>
      <c r="G3356" s="213">
        <v>327.488</v>
      </c>
      <c r="H3356" s="195">
        <v>327.488</v>
      </c>
      <c r="I3356" s="212" t="s">
        <v>2354</v>
      </c>
    </row>
    <row r="3357" spans="1:9" x14ac:dyDescent="0.25">
      <c r="A3357" s="218" t="s">
        <v>220</v>
      </c>
      <c r="B3357" s="218" t="s">
        <v>2351</v>
      </c>
      <c r="C3357" s="219" t="s">
        <v>5098</v>
      </c>
      <c r="D3357" s="212" t="s">
        <v>5099</v>
      </c>
      <c r="E3357" s="212" t="s">
        <v>545</v>
      </c>
      <c r="F3357" s="213">
        <v>2</v>
      </c>
      <c r="G3357" s="213">
        <v>163.8657</v>
      </c>
      <c r="H3357" s="195">
        <v>327.73140000000001</v>
      </c>
      <c r="I3357" s="212" t="s">
        <v>2354</v>
      </c>
    </row>
    <row r="3358" spans="1:9" x14ac:dyDescent="0.25">
      <c r="A3358" s="218" t="s">
        <v>220</v>
      </c>
      <c r="B3358" s="218" t="s">
        <v>5430</v>
      </c>
      <c r="C3358" s="219" t="s">
        <v>5836</v>
      </c>
      <c r="D3358" s="212" t="s">
        <v>5837</v>
      </c>
      <c r="E3358" s="212" t="s">
        <v>545</v>
      </c>
      <c r="F3358" s="213">
        <v>2</v>
      </c>
      <c r="G3358" s="213">
        <v>164.8143</v>
      </c>
      <c r="H3358" s="195">
        <v>329.62860000000001</v>
      </c>
      <c r="I3358" s="212" t="s">
        <v>2354</v>
      </c>
    </row>
    <row r="3359" spans="1:9" x14ac:dyDescent="0.25">
      <c r="A3359" s="218" t="s">
        <v>220</v>
      </c>
      <c r="B3359" s="218" t="s">
        <v>2351</v>
      </c>
      <c r="C3359" s="219" t="s">
        <v>3793</v>
      </c>
      <c r="D3359" s="212" t="s">
        <v>3794</v>
      </c>
      <c r="E3359" s="212" t="s">
        <v>545</v>
      </c>
      <c r="F3359" s="213">
        <v>3</v>
      </c>
      <c r="G3359" s="213">
        <v>110.37883333333333</v>
      </c>
      <c r="H3359" s="195">
        <v>331.13650000000001</v>
      </c>
      <c r="I3359" s="212" t="s">
        <v>2354</v>
      </c>
    </row>
    <row r="3360" spans="1:9" x14ac:dyDescent="0.25">
      <c r="A3360" s="218" t="s">
        <v>220</v>
      </c>
      <c r="B3360" s="218" t="s">
        <v>2351</v>
      </c>
      <c r="C3360" s="219" t="s">
        <v>3032</v>
      </c>
      <c r="D3360" s="212" t="s">
        <v>3033</v>
      </c>
      <c r="E3360" s="212" t="s">
        <v>545</v>
      </c>
      <c r="F3360" s="213">
        <v>8</v>
      </c>
      <c r="G3360" s="213">
        <v>41.399099999999997</v>
      </c>
      <c r="H3360" s="195">
        <v>331.19279999999998</v>
      </c>
      <c r="I3360" s="212" t="s">
        <v>2354</v>
      </c>
    </row>
    <row r="3361" spans="1:9" x14ac:dyDescent="0.25">
      <c r="A3361" s="218" t="s">
        <v>220</v>
      </c>
      <c r="B3361" s="218" t="s">
        <v>5430</v>
      </c>
      <c r="C3361" s="219" t="s">
        <v>3032</v>
      </c>
      <c r="D3361" s="212" t="s">
        <v>3033</v>
      </c>
      <c r="E3361" s="212" t="s">
        <v>545</v>
      </c>
      <c r="F3361" s="213">
        <v>8</v>
      </c>
      <c r="G3361" s="213">
        <v>41.399099999999997</v>
      </c>
      <c r="H3361" s="195">
        <v>331.19279999999998</v>
      </c>
      <c r="I3361" s="212" t="s">
        <v>2354</v>
      </c>
    </row>
    <row r="3362" spans="1:9" x14ac:dyDescent="0.25">
      <c r="A3362" s="218" t="s">
        <v>220</v>
      </c>
      <c r="B3362" s="218" t="s">
        <v>5430</v>
      </c>
      <c r="C3362" s="219" t="s">
        <v>5994</v>
      </c>
      <c r="D3362" s="212" t="s">
        <v>5995</v>
      </c>
      <c r="E3362" s="212" t="s">
        <v>545</v>
      </c>
      <c r="F3362" s="213">
        <v>4</v>
      </c>
      <c r="G3362" s="213">
        <v>82.891800000000003</v>
      </c>
      <c r="H3362" s="195">
        <v>331.56720000000001</v>
      </c>
      <c r="I3362" s="212" t="s">
        <v>2354</v>
      </c>
    </row>
    <row r="3363" spans="1:9" x14ac:dyDescent="0.25">
      <c r="A3363" s="218" t="s">
        <v>220</v>
      </c>
      <c r="B3363" s="218" t="s">
        <v>2351</v>
      </c>
      <c r="C3363" s="219" t="s">
        <v>4167</v>
      </c>
      <c r="D3363" s="212" t="s">
        <v>4168</v>
      </c>
      <c r="E3363" s="212" t="s">
        <v>545</v>
      </c>
      <c r="F3363" s="213">
        <v>4</v>
      </c>
      <c r="G3363" s="213">
        <v>83.283000000000001</v>
      </c>
      <c r="H3363" s="195">
        <v>333.13200000000001</v>
      </c>
      <c r="I3363" s="212" t="s">
        <v>2354</v>
      </c>
    </row>
    <row r="3364" spans="1:9" x14ac:dyDescent="0.25">
      <c r="A3364" s="218" t="s">
        <v>220</v>
      </c>
      <c r="B3364" s="218" t="s">
        <v>2351</v>
      </c>
      <c r="C3364" s="219" t="s">
        <v>5406</v>
      </c>
      <c r="D3364" s="212" t="s">
        <v>5407</v>
      </c>
      <c r="E3364" s="212" t="e">
        <v>#REF!</v>
      </c>
      <c r="F3364" s="213">
        <v>2</v>
      </c>
      <c r="G3364" s="213">
        <v>166.898</v>
      </c>
      <c r="H3364" s="195">
        <v>333.79599999999999</v>
      </c>
      <c r="I3364" s="212" t="s">
        <v>2354</v>
      </c>
    </row>
    <row r="3365" spans="1:9" x14ac:dyDescent="0.25">
      <c r="A3365" s="218" t="s">
        <v>220</v>
      </c>
      <c r="B3365" s="218" t="s">
        <v>5430</v>
      </c>
      <c r="C3365" s="219" t="s">
        <v>6053</v>
      </c>
      <c r="D3365" s="212" t="s">
        <v>6054</v>
      </c>
      <c r="E3365" s="212" t="s">
        <v>545</v>
      </c>
      <c r="F3365" s="213">
        <v>5</v>
      </c>
      <c r="G3365" s="213">
        <v>67.100399999999993</v>
      </c>
      <c r="H3365" s="195">
        <v>335.50199999999995</v>
      </c>
      <c r="I3365" s="212" t="s">
        <v>2354</v>
      </c>
    </row>
    <row r="3366" spans="1:9" x14ac:dyDescent="0.25">
      <c r="A3366" s="218" t="s">
        <v>220</v>
      </c>
      <c r="B3366" s="218" t="s">
        <v>2351</v>
      </c>
      <c r="C3366" s="219" t="s">
        <v>3559</v>
      </c>
      <c r="D3366" s="212" t="s">
        <v>3560</v>
      </c>
      <c r="E3366" s="212" t="s">
        <v>545</v>
      </c>
      <c r="F3366" s="213">
        <v>70</v>
      </c>
      <c r="G3366" s="213">
        <v>4.8150000000000004</v>
      </c>
      <c r="H3366" s="195">
        <v>337.05</v>
      </c>
      <c r="I3366" s="212" t="s">
        <v>2354</v>
      </c>
    </row>
    <row r="3367" spans="1:9" x14ac:dyDescent="0.25">
      <c r="A3367" s="218" t="s">
        <v>220</v>
      </c>
      <c r="B3367" s="218" t="s">
        <v>5430</v>
      </c>
      <c r="C3367" s="219" t="s">
        <v>5556</v>
      </c>
      <c r="D3367" s="212" t="s">
        <v>5557</v>
      </c>
      <c r="E3367" s="212" t="s">
        <v>545</v>
      </c>
      <c r="F3367" s="213">
        <v>14</v>
      </c>
      <c r="G3367" s="213">
        <v>24.24</v>
      </c>
      <c r="H3367" s="195">
        <v>339.35999999999996</v>
      </c>
      <c r="I3367" s="212" t="s">
        <v>2354</v>
      </c>
    </row>
    <row r="3368" spans="1:9" x14ac:dyDescent="0.25">
      <c r="A3368" s="218" t="s">
        <v>220</v>
      </c>
      <c r="B3368" s="218" t="s">
        <v>5430</v>
      </c>
      <c r="C3368" s="219" t="s">
        <v>6263</v>
      </c>
      <c r="D3368" s="212" t="s">
        <v>6264</v>
      </c>
      <c r="E3368" s="212" t="s">
        <v>545</v>
      </c>
      <c r="F3368" s="213">
        <v>3</v>
      </c>
      <c r="G3368" s="213">
        <v>113.3991</v>
      </c>
      <c r="H3368" s="195">
        <v>340.19730000000004</v>
      </c>
      <c r="I3368" s="212" t="s">
        <v>2354</v>
      </c>
    </row>
    <row r="3369" spans="1:9" x14ac:dyDescent="0.25">
      <c r="A3369" s="218" t="s">
        <v>220</v>
      </c>
      <c r="B3369" s="218" t="s">
        <v>5430</v>
      </c>
      <c r="C3369" s="219" t="s">
        <v>6228</v>
      </c>
      <c r="D3369" s="212" t="s">
        <v>6229</v>
      </c>
      <c r="E3369" s="212" t="s">
        <v>545</v>
      </c>
      <c r="F3369" s="213">
        <v>8</v>
      </c>
      <c r="G3369" s="213">
        <v>42.772500000000001</v>
      </c>
      <c r="H3369" s="195">
        <v>342.18</v>
      </c>
      <c r="I3369" s="212" t="s">
        <v>2354</v>
      </c>
    </row>
    <row r="3370" spans="1:9" x14ac:dyDescent="0.25">
      <c r="A3370" s="218" t="s">
        <v>220</v>
      </c>
      <c r="B3370" s="218" t="s">
        <v>2351</v>
      </c>
      <c r="C3370" s="219" t="s">
        <v>2658</v>
      </c>
      <c r="D3370" s="212" t="s">
        <v>2659</v>
      </c>
      <c r="E3370" s="212" t="s">
        <v>545</v>
      </c>
      <c r="F3370" s="213">
        <v>1</v>
      </c>
      <c r="G3370" s="213">
        <v>345.00528830814346</v>
      </c>
      <c r="H3370" s="195">
        <v>345.00528830814346</v>
      </c>
      <c r="I3370" s="212" t="s">
        <v>2354</v>
      </c>
    </row>
    <row r="3371" spans="1:9" x14ac:dyDescent="0.25">
      <c r="A3371" s="218" t="s">
        <v>220</v>
      </c>
      <c r="B3371" s="218" t="s">
        <v>2351</v>
      </c>
      <c r="C3371" s="219" t="s">
        <v>2676</v>
      </c>
      <c r="D3371" s="212" t="s">
        <v>2677</v>
      </c>
      <c r="E3371" s="212" t="s">
        <v>545</v>
      </c>
      <c r="F3371" s="213">
        <v>4</v>
      </c>
      <c r="G3371" s="213">
        <v>87.26812402038496</v>
      </c>
      <c r="H3371" s="195">
        <v>349.07249608153984</v>
      </c>
      <c r="I3371" s="212" t="s">
        <v>2354</v>
      </c>
    </row>
    <row r="3372" spans="1:9" x14ac:dyDescent="0.25">
      <c r="A3372" s="218" t="s">
        <v>220</v>
      </c>
      <c r="B3372" s="218" t="s">
        <v>5430</v>
      </c>
      <c r="C3372" s="219" t="s">
        <v>7157</v>
      </c>
      <c r="D3372" s="212" t="s">
        <v>7158</v>
      </c>
      <c r="E3372" s="212" t="s">
        <v>545</v>
      </c>
      <c r="F3372" s="213">
        <v>1</v>
      </c>
      <c r="G3372" s="213">
        <v>350</v>
      </c>
      <c r="H3372" s="195">
        <v>350</v>
      </c>
      <c r="I3372" s="212" t="s">
        <v>2354</v>
      </c>
    </row>
    <row r="3373" spans="1:9" x14ac:dyDescent="0.25">
      <c r="A3373" s="218" t="s">
        <v>220</v>
      </c>
      <c r="B3373" s="218" t="s">
        <v>5430</v>
      </c>
      <c r="C3373" s="219" t="s">
        <v>7338</v>
      </c>
      <c r="D3373" s="212" t="s">
        <v>7339</v>
      </c>
      <c r="E3373" s="212" t="s">
        <v>545</v>
      </c>
      <c r="F3373" s="213">
        <v>1</v>
      </c>
      <c r="G3373" s="213">
        <v>351.4325</v>
      </c>
      <c r="H3373" s="195">
        <v>351.4325</v>
      </c>
      <c r="I3373" s="212" t="s">
        <v>2354</v>
      </c>
    </row>
    <row r="3374" spans="1:9" x14ac:dyDescent="0.25">
      <c r="A3374" s="218" t="s">
        <v>220</v>
      </c>
      <c r="B3374" s="218" t="s">
        <v>2351</v>
      </c>
      <c r="C3374" s="219" t="s">
        <v>3459</v>
      </c>
      <c r="D3374" s="212" t="s">
        <v>3460</v>
      </c>
      <c r="E3374" s="212" t="s">
        <v>2387</v>
      </c>
      <c r="F3374" s="213">
        <v>140</v>
      </c>
      <c r="G3374" s="213">
        <v>2.5245000000000002</v>
      </c>
      <c r="H3374" s="195">
        <v>353.43</v>
      </c>
      <c r="I3374" s="212" t="s">
        <v>2354</v>
      </c>
    </row>
    <row r="3375" spans="1:9" x14ac:dyDescent="0.25">
      <c r="A3375" s="218" t="s">
        <v>220</v>
      </c>
      <c r="B3375" s="218" t="s">
        <v>2351</v>
      </c>
      <c r="C3375" s="219" t="s">
        <v>3813</v>
      </c>
      <c r="D3375" s="212" t="s">
        <v>3814</v>
      </c>
      <c r="E3375" s="212" t="s">
        <v>545</v>
      </c>
      <c r="F3375" s="213">
        <v>2</v>
      </c>
      <c r="G3375" s="213">
        <v>176.84310000000002</v>
      </c>
      <c r="H3375" s="195">
        <v>353.68620000000004</v>
      </c>
      <c r="I3375" s="212" t="s">
        <v>2354</v>
      </c>
    </row>
    <row r="3376" spans="1:9" x14ac:dyDescent="0.25">
      <c r="A3376" s="218" t="s">
        <v>220</v>
      </c>
      <c r="B3376" s="218" t="s">
        <v>5430</v>
      </c>
      <c r="C3376" s="219" t="s">
        <v>6045</v>
      </c>
      <c r="D3376" s="212" t="s">
        <v>3057</v>
      </c>
      <c r="E3376" s="212" t="s">
        <v>545</v>
      </c>
      <c r="F3376" s="213">
        <v>4</v>
      </c>
      <c r="G3376" s="213">
        <v>89.622</v>
      </c>
      <c r="H3376" s="195">
        <v>358.488</v>
      </c>
      <c r="I3376" s="212" t="s">
        <v>2354</v>
      </c>
    </row>
    <row r="3377" spans="1:9" x14ac:dyDescent="0.25">
      <c r="A3377" s="218" t="s">
        <v>220</v>
      </c>
      <c r="B3377" s="218" t="s">
        <v>5430</v>
      </c>
      <c r="C3377" s="219" t="s">
        <v>5670</v>
      </c>
      <c r="D3377" s="212" t="s">
        <v>5671</v>
      </c>
      <c r="E3377" s="212" t="s">
        <v>545</v>
      </c>
      <c r="F3377" s="213">
        <v>2</v>
      </c>
      <c r="G3377" s="213">
        <v>179.48175000000001</v>
      </c>
      <c r="H3377" s="195">
        <v>358.96350000000001</v>
      </c>
      <c r="I3377" s="212" t="s">
        <v>2354</v>
      </c>
    </row>
    <row r="3378" spans="1:9" x14ac:dyDescent="0.25">
      <c r="A3378" s="218" t="s">
        <v>220</v>
      </c>
      <c r="B3378" s="218" t="s">
        <v>5430</v>
      </c>
      <c r="C3378" s="219" t="s">
        <v>6224</v>
      </c>
      <c r="D3378" s="212" t="s">
        <v>6225</v>
      </c>
      <c r="E3378" s="212" t="s">
        <v>545</v>
      </c>
      <c r="F3378" s="213">
        <v>7</v>
      </c>
      <c r="G3378" s="213">
        <v>51.3</v>
      </c>
      <c r="H3378" s="195">
        <v>359.09999999999997</v>
      </c>
      <c r="I3378" s="212" t="s">
        <v>2354</v>
      </c>
    </row>
    <row r="3379" spans="1:9" x14ac:dyDescent="0.25">
      <c r="A3379" s="218" t="s">
        <v>220</v>
      </c>
      <c r="B3379" s="218" t="s">
        <v>2351</v>
      </c>
      <c r="C3379" s="219" t="s">
        <v>2556</v>
      </c>
      <c r="D3379" s="212" t="s">
        <v>2557</v>
      </c>
      <c r="E3379" s="212" t="s">
        <v>545</v>
      </c>
      <c r="F3379" s="213">
        <v>6</v>
      </c>
      <c r="G3379" s="213">
        <v>60</v>
      </c>
      <c r="H3379" s="195">
        <v>360</v>
      </c>
      <c r="I3379" s="212" t="s">
        <v>2354</v>
      </c>
    </row>
    <row r="3380" spans="1:9" x14ac:dyDescent="0.25">
      <c r="A3380" s="218" t="s">
        <v>220</v>
      </c>
      <c r="B3380" s="218" t="s">
        <v>5430</v>
      </c>
      <c r="C3380" s="219" t="s">
        <v>6017</v>
      </c>
      <c r="D3380" s="212" t="s">
        <v>6018</v>
      </c>
      <c r="E3380" s="212" t="s">
        <v>545</v>
      </c>
      <c r="F3380" s="213">
        <v>20</v>
      </c>
      <c r="G3380" s="213">
        <v>18.027000000000001</v>
      </c>
      <c r="H3380" s="195">
        <v>360.54</v>
      </c>
      <c r="I3380" s="212" t="s">
        <v>2354</v>
      </c>
    </row>
    <row r="3381" spans="1:9" x14ac:dyDescent="0.25">
      <c r="A3381" s="218" t="s">
        <v>220</v>
      </c>
      <c r="B3381" s="218" t="s">
        <v>2351</v>
      </c>
      <c r="C3381" s="219" t="s">
        <v>3783</v>
      </c>
      <c r="D3381" s="212" t="s">
        <v>3784</v>
      </c>
      <c r="E3381" s="212" t="s">
        <v>545</v>
      </c>
      <c r="F3381" s="213">
        <v>5</v>
      </c>
      <c r="G3381" s="213">
        <v>72.319342105263146</v>
      </c>
      <c r="H3381" s="195">
        <v>361.59671052631575</v>
      </c>
      <c r="I3381" s="212" t="s">
        <v>2354</v>
      </c>
    </row>
    <row r="3382" spans="1:9" x14ac:dyDescent="0.25">
      <c r="A3382" s="218" t="s">
        <v>220</v>
      </c>
      <c r="B3382" s="218" t="s">
        <v>2351</v>
      </c>
      <c r="C3382" s="219" t="s">
        <v>3945</v>
      </c>
      <c r="D3382" s="212" t="s">
        <v>3946</v>
      </c>
      <c r="E3382" s="212" t="s">
        <v>545</v>
      </c>
      <c r="F3382" s="213">
        <v>2</v>
      </c>
      <c r="G3382" s="213">
        <v>181.35</v>
      </c>
      <c r="H3382" s="195">
        <v>362.7</v>
      </c>
      <c r="I3382" s="212" t="s">
        <v>2354</v>
      </c>
    </row>
    <row r="3383" spans="1:9" x14ac:dyDescent="0.25">
      <c r="A3383" s="218" t="s">
        <v>220</v>
      </c>
      <c r="B3383" s="218" t="s">
        <v>5430</v>
      </c>
      <c r="C3383" s="219" t="s">
        <v>6887</v>
      </c>
      <c r="D3383" s="212" t="s">
        <v>6888</v>
      </c>
      <c r="E3383" s="212" t="s">
        <v>545</v>
      </c>
      <c r="F3383" s="213">
        <v>2</v>
      </c>
      <c r="G3383" s="213">
        <v>181.5617</v>
      </c>
      <c r="H3383" s="195">
        <v>363.1234</v>
      </c>
      <c r="I3383" s="212" t="s">
        <v>2354</v>
      </c>
    </row>
    <row r="3384" spans="1:9" x14ac:dyDescent="0.25">
      <c r="A3384" s="218" t="s">
        <v>220</v>
      </c>
      <c r="B3384" s="218" t="s">
        <v>2351</v>
      </c>
      <c r="C3384" s="219" t="s">
        <v>3803</v>
      </c>
      <c r="D3384" s="212" t="s">
        <v>3804</v>
      </c>
      <c r="E3384" s="212" t="s">
        <v>545</v>
      </c>
      <c r="F3384" s="213">
        <v>2</v>
      </c>
      <c r="G3384" s="213">
        <v>181.62799999999999</v>
      </c>
      <c r="H3384" s="195">
        <v>363.25599999999997</v>
      </c>
      <c r="I3384" s="212" t="s">
        <v>2354</v>
      </c>
    </row>
    <row r="3385" spans="1:9" x14ac:dyDescent="0.25">
      <c r="A3385" s="218" t="s">
        <v>220</v>
      </c>
      <c r="B3385" s="218" t="s">
        <v>5430</v>
      </c>
      <c r="C3385" s="219" t="s">
        <v>7069</v>
      </c>
      <c r="D3385" s="212" t="s">
        <v>7070</v>
      </c>
      <c r="E3385" s="212" t="s">
        <v>545</v>
      </c>
      <c r="F3385" s="213">
        <v>1</v>
      </c>
      <c r="G3385" s="213">
        <v>365.5</v>
      </c>
      <c r="H3385" s="195">
        <v>365.5</v>
      </c>
      <c r="I3385" s="212" t="s">
        <v>2354</v>
      </c>
    </row>
    <row r="3386" spans="1:9" x14ac:dyDescent="0.25">
      <c r="A3386" s="218" t="s">
        <v>220</v>
      </c>
      <c r="B3386" s="218" t="s">
        <v>5430</v>
      </c>
      <c r="C3386" s="219" t="s">
        <v>5580</v>
      </c>
      <c r="D3386" s="212" t="s">
        <v>5581</v>
      </c>
      <c r="E3386" s="212" t="s">
        <v>545</v>
      </c>
      <c r="F3386" s="213">
        <v>1</v>
      </c>
      <c r="G3386" s="213">
        <v>365.74726500000003</v>
      </c>
      <c r="H3386" s="195">
        <v>365.74726500000003</v>
      </c>
      <c r="I3386" s="212" t="s">
        <v>2354</v>
      </c>
    </row>
    <row r="3387" spans="1:9" x14ac:dyDescent="0.25">
      <c r="A3387" s="218" t="s">
        <v>220</v>
      </c>
      <c r="B3387" s="218" t="s">
        <v>5430</v>
      </c>
      <c r="C3387" s="219"/>
      <c r="D3387" s="212" t="s">
        <v>5482</v>
      </c>
      <c r="E3387" s="212" t="s">
        <v>545</v>
      </c>
      <c r="F3387" s="213">
        <v>1</v>
      </c>
      <c r="G3387" s="213">
        <v>367.65</v>
      </c>
      <c r="H3387" s="195">
        <v>367.65</v>
      </c>
      <c r="I3387" s="212" t="s">
        <v>2354</v>
      </c>
    </row>
    <row r="3388" spans="1:9" x14ac:dyDescent="0.25">
      <c r="A3388" s="218" t="s">
        <v>220</v>
      </c>
      <c r="B3388" s="218" t="s">
        <v>5430</v>
      </c>
      <c r="C3388" s="219" t="s">
        <v>6176</v>
      </c>
      <c r="D3388" s="212" t="s">
        <v>6177</v>
      </c>
      <c r="E3388" s="212" t="s">
        <v>545</v>
      </c>
      <c r="F3388" s="213">
        <v>6</v>
      </c>
      <c r="G3388" s="213">
        <v>61.875</v>
      </c>
      <c r="H3388" s="195">
        <v>371.25</v>
      </c>
      <c r="I3388" s="212" t="s">
        <v>2354</v>
      </c>
    </row>
    <row r="3389" spans="1:9" x14ac:dyDescent="0.25">
      <c r="A3389" s="218" t="s">
        <v>220</v>
      </c>
      <c r="B3389" s="218" t="s">
        <v>2351</v>
      </c>
      <c r="C3389" s="219" t="s">
        <v>4387</v>
      </c>
      <c r="D3389" s="212" t="s">
        <v>4388</v>
      </c>
      <c r="E3389" s="212" t="s">
        <v>545</v>
      </c>
      <c r="F3389" s="213">
        <v>1</v>
      </c>
      <c r="G3389" s="213">
        <v>375.78199999999998</v>
      </c>
      <c r="H3389" s="195">
        <v>375.78199999999998</v>
      </c>
      <c r="I3389" s="212" t="s">
        <v>2354</v>
      </c>
    </row>
    <row r="3390" spans="1:9" x14ac:dyDescent="0.25">
      <c r="A3390" s="218" t="s">
        <v>220</v>
      </c>
      <c r="B3390" s="218" t="s">
        <v>2351</v>
      </c>
      <c r="C3390" s="219" t="s">
        <v>4363</v>
      </c>
      <c r="D3390" s="212" t="s">
        <v>4364</v>
      </c>
      <c r="E3390" s="212" t="s">
        <v>545</v>
      </c>
      <c r="F3390" s="213">
        <v>4</v>
      </c>
      <c r="G3390" s="213">
        <v>94</v>
      </c>
      <c r="H3390" s="195">
        <v>376</v>
      </c>
      <c r="I3390" s="212" t="s">
        <v>2354</v>
      </c>
    </row>
    <row r="3391" spans="1:9" x14ac:dyDescent="0.25">
      <c r="A3391" s="218" t="s">
        <v>220</v>
      </c>
      <c r="B3391" s="218" t="s">
        <v>2351</v>
      </c>
      <c r="C3391" s="219" t="s">
        <v>4323</v>
      </c>
      <c r="D3391" s="212" t="s">
        <v>4324</v>
      </c>
      <c r="E3391" s="212" t="s">
        <v>545</v>
      </c>
      <c r="F3391" s="213">
        <v>5</v>
      </c>
      <c r="G3391" s="213">
        <v>75.246250000000003</v>
      </c>
      <c r="H3391" s="195">
        <v>376.23125000000005</v>
      </c>
      <c r="I3391" s="212" t="s">
        <v>2354</v>
      </c>
    </row>
    <row r="3392" spans="1:9" x14ac:dyDescent="0.25">
      <c r="A3392" s="218" t="s">
        <v>220</v>
      </c>
      <c r="B3392" s="218" t="s">
        <v>2351</v>
      </c>
      <c r="C3392" s="219" t="s">
        <v>4133</v>
      </c>
      <c r="D3392" s="212" t="s">
        <v>4134</v>
      </c>
      <c r="E3392" s="212" t="s">
        <v>545</v>
      </c>
      <c r="F3392" s="213">
        <v>3</v>
      </c>
      <c r="G3392" s="213">
        <v>125.46</v>
      </c>
      <c r="H3392" s="195">
        <v>376.38</v>
      </c>
      <c r="I3392" s="212" t="s">
        <v>2354</v>
      </c>
    </row>
    <row r="3393" spans="1:9" x14ac:dyDescent="0.25">
      <c r="A3393" s="218" t="s">
        <v>220</v>
      </c>
      <c r="B3393" s="218" t="s">
        <v>5430</v>
      </c>
      <c r="C3393" s="219" t="s">
        <v>6640</v>
      </c>
      <c r="D3393" s="212" t="s">
        <v>6641</v>
      </c>
      <c r="E3393" s="212" t="s">
        <v>545</v>
      </c>
      <c r="F3393" s="213">
        <v>1</v>
      </c>
      <c r="G3393" s="213">
        <v>376.77949999999998</v>
      </c>
      <c r="H3393" s="195">
        <v>376.77949999999998</v>
      </c>
      <c r="I3393" s="212" t="s">
        <v>2354</v>
      </c>
    </row>
    <row r="3394" spans="1:9" x14ac:dyDescent="0.25">
      <c r="A3394" s="218" t="s">
        <v>220</v>
      </c>
      <c r="B3394" s="218" t="s">
        <v>2351</v>
      </c>
      <c r="C3394" s="219" t="s">
        <v>4397</v>
      </c>
      <c r="D3394" s="212" t="s">
        <v>4398</v>
      </c>
      <c r="E3394" s="212" t="s">
        <v>545</v>
      </c>
      <c r="F3394" s="213">
        <v>35</v>
      </c>
      <c r="G3394" s="213">
        <v>10.78735</v>
      </c>
      <c r="H3394" s="195">
        <v>377.55725000000001</v>
      </c>
      <c r="I3394" s="212" t="s">
        <v>2354</v>
      </c>
    </row>
    <row r="3395" spans="1:9" x14ac:dyDescent="0.25">
      <c r="A3395" s="218" t="s">
        <v>220</v>
      </c>
      <c r="B3395" s="218" t="s">
        <v>5430</v>
      </c>
      <c r="C3395" s="219" t="s">
        <v>7312</v>
      </c>
      <c r="D3395" s="212" t="s">
        <v>7313</v>
      </c>
      <c r="E3395" s="212" t="s">
        <v>545</v>
      </c>
      <c r="F3395" s="213">
        <v>1</v>
      </c>
      <c r="G3395" s="213">
        <v>377.78399999999999</v>
      </c>
      <c r="H3395" s="195">
        <v>377.78399999999999</v>
      </c>
      <c r="I3395" s="212" t="s">
        <v>2354</v>
      </c>
    </row>
    <row r="3396" spans="1:9" x14ac:dyDescent="0.25">
      <c r="A3396" s="218" t="s">
        <v>220</v>
      </c>
      <c r="B3396" s="218" t="s">
        <v>5430</v>
      </c>
      <c r="C3396" s="219" t="s">
        <v>5433</v>
      </c>
      <c r="D3396" s="212" t="s">
        <v>5434</v>
      </c>
      <c r="E3396" s="212" t="s">
        <v>545</v>
      </c>
      <c r="F3396" s="213">
        <v>7</v>
      </c>
      <c r="G3396" s="213">
        <v>54.09</v>
      </c>
      <c r="H3396" s="195">
        <v>378.63</v>
      </c>
      <c r="I3396" s="212" t="s">
        <v>2354</v>
      </c>
    </row>
    <row r="3397" spans="1:9" x14ac:dyDescent="0.25">
      <c r="A3397" s="218" t="s">
        <v>220</v>
      </c>
      <c r="B3397" s="218" t="s">
        <v>2351</v>
      </c>
      <c r="C3397" s="219" t="s">
        <v>3821</v>
      </c>
      <c r="D3397" s="212" t="s">
        <v>3822</v>
      </c>
      <c r="E3397" s="212" t="s">
        <v>545</v>
      </c>
      <c r="F3397" s="213">
        <v>1</v>
      </c>
      <c r="G3397" s="213">
        <v>382.89949999999999</v>
      </c>
      <c r="H3397" s="195">
        <v>382.89949999999999</v>
      </c>
      <c r="I3397" s="212" t="s">
        <v>2354</v>
      </c>
    </row>
    <row r="3398" spans="1:9" x14ac:dyDescent="0.25">
      <c r="A3398" s="218" t="s">
        <v>220</v>
      </c>
      <c r="B3398" s="218" t="s">
        <v>2351</v>
      </c>
      <c r="C3398" s="219" t="s">
        <v>3000</v>
      </c>
      <c r="D3398" s="212" t="s">
        <v>3001</v>
      </c>
      <c r="E3398" s="212" t="s">
        <v>545</v>
      </c>
      <c r="F3398" s="213">
        <v>4</v>
      </c>
      <c r="G3398" s="213">
        <v>96.079499999999996</v>
      </c>
      <c r="H3398" s="195">
        <v>384.31799999999998</v>
      </c>
      <c r="I3398" s="212" t="s">
        <v>2354</v>
      </c>
    </row>
    <row r="3399" spans="1:9" x14ac:dyDescent="0.25">
      <c r="A3399" s="218" t="s">
        <v>220</v>
      </c>
      <c r="B3399" s="218" t="s">
        <v>5430</v>
      </c>
      <c r="C3399" s="219" t="s">
        <v>4676</v>
      </c>
      <c r="D3399" s="212" t="s">
        <v>4677</v>
      </c>
      <c r="E3399" s="212" t="s">
        <v>545</v>
      </c>
      <c r="F3399" s="213">
        <v>210</v>
      </c>
      <c r="G3399" s="213">
        <v>1.8360000000000001</v>
      </c>
      <c r="H3399" s="195">
        <v>385.56</v>
      </c>
      <c r="I3399" s="212" t="s">
        <v>2354</v>
      </c>
    </row>
    <row r="3400" spans="1:9" x14ac:dyDescent="0.25">
      <c r="A3400" s="218" t="s">
        <v>220</v>
      </c>
      <c r="B3400" s="218" t="s">
        <v>2351</v>
      </c>
      <c r="C3400" s="219" t="s">
        <v>3809</v>
      </c>
      <c r="D3400" s="212" t="s">
        <v>3810</v>
      </c>
      <c r="E3400" s="212" t="s">
        <v>545</v>
      </c>
      <c r="F3400" s="213">
        <v>6</v>
      </c>
      <c r="G3400" s="213">
        <v>64.261530000000008</v>
      </c>
      <c r="H3400" s="195">
        <v>385.56918000000007</v>
      </c>
      <c r="I3400" s="212" t="s">
        <v>2354</v>
      </c>
    </row>
    <row r="3401" spans="1:9" x14ac:dyDescent="0.25">
      <c r="A3401" s="218" t="s">
        <v>220</v>
      </c>
      <c r="B3401" s="218" t="s">
        <v>5430</v>
      </c>
      <c r="C3401" s="219" t="s">
        <v>5449</v>
      </c>
      <c r="D3401" s="212" t="s">
        <v>5450</v>
      </c>
      <c r="E3401" s="212" t="s">
        <v>545</v>
      </c>
      <c r="F3401" s="213">
        <v>10</v>
      </c>
      <c r="G3401" s="213">
        <v>38.6</v>
      </c>
      <c r="H3401" s="195">
        <v>386</v>
      </c>
      <c r="I3401" s="212" t="s">
        <v>2354</v>
      </c>
    </row>
    <row r="3402" spans="1:9" x14ac:dyDescent="0.25">
      <c r="A3402" s="218" t="s">
        <v>220</v>
      </c>
      <c r="B3402" s="218" t="s">
        <v>5430</v>
      </c>
      <c r="C3402" s="219" t="s">
        <v>6996</v>
      </c>
      <c r="D3402" s="212" t="s">
        <v>6997</v>
      </c>
      <c r="E3402" s="212" t="s">
        <v>545</v>
      </c>
      <c r="F3402" s="213">
        <v>7</v>
      </c>
      <c r="G3402" s="213">
        <v>55.321599999999997</v>
      </c>
      <c r="H3402" s="195">
        <v>387.25119999999998</v>
      </c>
      <c r="I3402" s="212" t="s">
        <v>2354</v>
      </c>
    </row>
    <row r="3403" spans="1:9" x14ac:dyDescent="0.25">
      <c r="A3403" s="218" t="s">
        <v>220</v>
      </c>
      <c r="B3403" s="218" t="s">
        <v>5430</v>
      </c>
      <c r="C3403" s="219" t="s">
        <v>6690</v>
      </c>
      <c r="D3403" s="212" t="s">
        <v>6691</v>
      </c>
      <c r="E3403" s="212" t="s">
        <v>545</v>
      </c>
      <c r="F3403" s="213">
        <v>2</v>
      </c>
      <c r="G3403" s="213">
        <v>193.64699999999999</v>
      </c>
      <c r="H3403" s="195">
        <v>387.29399999999998</v>
      </c>
      <c r="I3403" s="212" t="s">
        <v>2354</v>
      </c>
    </row>
    <row r="3404" spans="1:9" x14ac:dyDescent="0.25">
      <c r="A3404" s="218" t="s">
        <v>220</v>
      </c>
      <c r="B3404" s="218" t="s">
        <v>2351</v>
      </c>
      <c r="C3404" s="219" t="s">
        <v>3044</v>
      </c>
      <c r="D3404" s="212" t="s">
        <v>3045</v>
      </c>
      <c r="E3404" s="212" t="s">
        <v>545</v>
      </c>
      <c r="F3404" s="213">
        <v>8</v>
      </c>
      <c r="G3404" s="213">
        <v>48.572099999999999</v>
      </c>
      <c r="H3404" s="195">
        <v>388.57679999999999</v>
      </c>
      <c r="I3404" s="212" t="s">
        <v>2354</v>
      </c>
    </row>
    <row r="3405" spans="1:9" x14ac:dyDescent="0.25">
      <c r="A3405" s="218" t="s">
        <v>220</v>
      </c>
      <c r="B3405" s="218" t="s">
        <v>2351</v>
      </c>
      <c r="C3405" s="219" t="s">
        <v>3985</v>
      </c>
      <c r="D3405" s="212" t="s">
        <v>3986</v>
      </c>
      <c r="E3405" s="212" t="s">
        <v>545</v>
      </c>
      <c r="F3405" s="213">
        <v>140</v>
      </c>
      <c r="G3405" s="213">
        <v>2.782</v>
      </c>
      <c r="H3405" s="195">
        <v>389.48</v>
      </c>
      <c r="I3405" s="212" t="s">
        <v>2354</v>
      </c>
    </row>
    <row r="3406" spans="1:9" x14ac:dyDescent="0.25">
      <c r="A3406" s="218" t="s">
        <v>220</v>
      </c>
      <c r="B3406" s="218" t="s">
        <v>5430</v>
      </c>
      <c r="C3406" s="219" t="s">
        <v>5438</v>
      </c>
      <c r="D3406" s="212" t="s">
        <v>5439</v>
      </c>
      <c r="E3406" s="212" t="s">
        <v>545</v>
      </c>
      <c r="F3406" s="213">
        <v>2</v>
      </c>
      <c r="G3406" s="213">
        <v>195</v>
      </c>
      <c r="H3406" s="195">
        <v>390</v>
      </c>
      <c r="I3406" s="212" t="s">
        <v>2354</v>
      </c>
    </row>
    <row r="3407" spans="1:9" x14ac:dyDescent="0.25">
      <c r="A3407" s="218" t="s">
        <v>220</v>
      </c>
      <c r="B3407" s="218" t="s">
        <v>2351</v>
      </c>
      <c r="C3407" s="219" t="s">
        <v>4289</v>
      </c>
      <c r="D3407" s="212" t="s">
        <v>4290</v>
      </c>
      <c r="E3407" s="212" t="s">
        <v>545</v>
      </c>
      <c r="F3407" s="213">
        <v>3</v>
      </c>
      <c r="G3407" s="213">
        <v>130.5</v>
      </c>
      <c r="H3407" s="195">
        <v>391.5</v>
      </c>
      <c r="I3407" s="212" t="s">
        <v>2354</v>
      </c>
    </row>
    <row r="3408" spans="1:9" x14ac:dyDescent="0.25">
      <c r="A3408" s="218" t="s">
        <v>220</v>
      </c>
      <c r="B3408" s="218" t="s">
        <v>5430</v>
      </c>
      <c r="C3408" s="219" t="s">
        <v>5992</v>
      </c>
      <c r="D3408" s="212" t="s">
        <v>5993</v>
      </c>
      <c r="E3408" s="212" t="s">
        <v>545</v>
      </c>
      <c r="F3408" s="213">
        <v>5</v>
      </c>
      <c r="G3408" s="213">
        <v>78.422399999999996</v>
      </c>
      <c r="H3408" s="195">
        <v>392.11199999999997</v>
      </c>
      <c r="I3408" s="212" t="s">
        <v>2354</v>
      </c>
    </row>
    <row r="3409" spans="1:9" x14ac:dyDescent="0.25">
      <c r="A3409" s="218" t="s">
        <v>220</v>
      </c>
      <c r="B3409" s="218" t="s">
        <v>2351</v>
      </c>
      <c r="C3409" s="219" t="s">
        <v>5398</v>
      </c>
      <c r="D3409" s="212" t="s">
        <v>5399</v>
      </c>
      <c r="E3409" s="212" t="e">
        <v>#REF!</v>
      </c>
      <c r="F3409" s="213">
        <v>12</v>
      </c>
      <c r="G3409" s="213">
        <v>32.843699999999998</v>
      </c>
      <c r="H3409" s="195">
        <v>394.12439999999998</v>
      </c>
      <c r="I3409" s="212" t="s">
        <v>2354</v>
      </c>
    </row>
    <row r="3410" spans="1:9" x14ac:dyDescent="0.25">
      <c r="A3410" s="218" t="s">
        <v>220</v>
      </c>
      <c r="B3410" s="218" t="s">
        <v>2351</v>
      </c>
      <c r="C3410" s="219" t="s">
        <v>3973</v>
      </c>
      <c r="D3410" s="212" t="s">
        <v>3974</v>
      </c>
      <c r="E3410" s="212" t="s">
        <v>2387</v>
      </c>
      <c r="F3410" s="213">
        <v>20</v>
      </c>
      <c r="G3410" s="213">
        <v>19.754000000000001</v>
      </c>
      <c r="H3410" s="195">
        <v>395.08000000000004</v>
      </c>
      <c r="I3410" s="212" t="s">
        <v>2354</v>
      </c>
    </row>
    <row r="3411" spans="1:9" x14ac:dyDescent="0.25">
      <c r="A3411" s="218" t="s">
        <v>220</v>
      </c>
      <c r="B3411" s="218" t="s">
        <v>5430</v>
      </c>
      <c r="C3411" s="219" t="s">
        <v>5647</v>
      </c>
      <c r="D3411" s="212" t="s">
        <v>5648</v>
      </c>
      <c r="E3411" s="212" t="s">
        <v>545</v>
      </c>
      <c r="F3411" s="213">
        <v>8</v>
      </c>
      <c r="G3411" s="213">
        <v>49.9681</v>
      </c>
      <c r="H3411" s="195">
        <v>399.7448</v>
      </c>
      <c r="I3411" s="212" t="s">
        <v>2354</v>
      </c>
    </row>
    <row r="3412" spans="1:9" x14ac:dyDescent="0.25">
      <c r="A3412" s="218" t="s">
        <v>220</v>
      </c>
      <c r="B3412" s="218" t="s">
        <v>2351</v>
      </c>
      <c r="C3412" s="219" t="s">
        <v>3933</v>
      </c>
      <c r="D3412" s="212" t="s">
        <v>3934</v>
      </c>
      <c r="E3412" s="212" t="s">
        <v>545</v>
      </c>
      <c r="F3412" s="213">
        <v>2</v>
      </c>
      <c r="G3412" s="213">
        <v>200</v>
      </c>
      <c r="H3412" s="195">
        <v>400</v>
      </c>
      <c r="I3412" s="212" t="s">
        <v>2354</v>
      </c>
    </row>
    <row r="3413" spans="1:9" x14ac:dyDescent="0.25">
      <c r="A3413" s="218" t="s">
        <v>220</v>
      </c>
      <c r="B3413" s="218" t="s">
        <v>5430</v>
      </c>
      <c r="C3413" s="219" t="s">
        <v>3933</v>
      </c>
      <c r="D3413" s="212" t="s">
        <v>3934</v>
      </c>
      <c r="E3413" s="212" t="s">
        <v>545</v>
      </c>
      <c r="F3413" s="213">
        <v>2</v>
      </c>
      <c r="G3413" s="213">
        <v>200</v>
      </c>
      <c r="H3413" s="195">
        <v>400</v>
      </c>
      <c r="I3413" s="212" t="s">
        <v>2354</v>
      </c>
    </row>
    <row r="3414" spans="1:9" x14ac:dyDescent="0.25">
      <c r="A3414" s="218" t="s">
        <v>220</v>
      </c>
      <c r="B3414" s="218" t="s">
        <v>5430</v>
      </c>
      <c r="C3414" s="219" t="s">
        <v>7276</v>
      </c>
      <c r="D3414" s="212" t="s">
        <v>7277</v>
      </c>
      <c r="E3414" s="212" t="s">
        <v>545</v>
      </c>
      <c r="F3414" s="213">
        <v>5</v>
      </c>
      <c r="G3414" s="213">
        <v>80</v>
      </c>
      <c r="H3414" s="195">
        <v>400</v>
      </c>
      <c r="I3414" s="212" t="s">
        <v>2354</v>
      </c>
    </row>
    <row r="3415" spans="1:9" x14ac:dyDescent="0.25">
      <c r="A3415" s="218" t="s">
        <v>220</v>
      </c>
      <c r="B3415" s="218" t="s">
        <v>2351</v>
      </c>
      <c r="C3415" s="219" t="s">
        <v>3369</v>
      </c>
      <c r="D3415" s="212" t="s">
        <v>3370</v>
      </c>
      <c r="E3415" s="212" t="s">
        <v>545</v>
      </c>
      <c r="F3415" s="213">
        <v>4</v>
      </c>
      <c r="G3415" s="213">
        <v>100.2546</v>
      </c>
      <c r="H3415" s="195">
        <v>401.01839999999999</v>
      </c>
      <c r="I3415" s="212" t="s">
        <v>2354</v>
      </c>
    </row>
    <row r="3416" spans="1:9" x14ac:dyDescent="0.25">
      <c r="A3416" s="218" t="s">
        <v>220</v>
      </c>
      <c r="B3416" s="218" t="s">
        <v>2351</v>
      </c>
      <c r="C3416" s="219" t="s">
        <v>4518</v>
      </c>
      <c r="D3416" s="212" t="s">
        <v>4519</v>
      </c>
      <c r="E3416" s="212" t="s">
        <v>545</v>
      </c>
      <c r="F3416" s="213">
        <v>62</v>
      </c>
      <c r="G3416" s="213">
        <v>6.48</v>
      </c>
      <c r="H3416" s="195">
        <v>401.76000000000005</v>
      </c>
      <c r="I3416" s="212" t="s">
        <v>2354</v>
      </c>
    </row>
    <row r="3417" spans="1:9" x14ac:dyDescent="0.25">
      <c r="A3417" s="218" t="s">
        <v>220</v>
      </c>
      <c r="B3417" s="218" t="s">
        <v>2351</v>
      </c>
      <c r="C3417" s="219" t="s">
        <v>2467</v>
      </c>
      <c r="D3417" s="212" t="s">
        <v>2468</v>
      </c>
      <c r="E3417" s="212" t="s">
        <v>545</v>
      </c>
      <c r="F3417" s="213">
        <v>2</v>
      </c>
      <c r="G3417" s="213">
        <v>201.67599999999999</v>
      </c>
      <c r="H3417" s="195">
        <v>403.35199999999998</v>
      </c>
      <c r="I3417" s="212" t="s">
        <v>2354</v>
      </c>
    </row>
    <row r="3418" spans="1:9" x14ac:dyDescent="0.25">
      <c r="A3418" s="218" t="s">
        <v>220</v>
      </c>
      <c r="B3418" s="218" t="s">
        <v>5430</v>
      </c>
      <c r="C3418" s="219" t="s">
        <v>6212</v>
      </c>
      <c r="D3418" s="212" t="s">
        <v>6213</v>
      </c>
      <c r="E3418" s="212" t="s">
        <v>545</v>
      </c>
      <c r="F3418" s="213">
        <v>1</v>
      </c>
      <c r="G3418" s="213">
        <v>405.87799999999999</v>
      </c>
      <c r="H3418" s="195">
        <v>405.87799999999999</v>
      </c>
      <c r="I3418" s="212" t="s">
        <v>2354</v>
      </c>
    </row>
    <row r="3419" spans="1:9" x14ac:dyDescent="0.25">
      <c r="A3419" s="218" t="s">
        <v>220</v>
      </c>
      <c r="B3419" s="218" t="s">
        <v>5430</v>
      </c>
      <c r="C3419" s="219" t="s">
        <v>5729</v>
      </c>
      <c r="D3419" s="212" t="s">
        <v>5730</v>
      </c>
      <c r="E3419" s="212" t="s">
        <v>545</v>
      </c>
      <c r="F3419" s="213">
        <v>9</v>
      </c>
      <c r="G3419" s="213">
        <v>45.21</v>
      </c>
      <c r="H3419" s="195">
        <v>406.89</v>
      </c>
      <c r="I3419" s="212" t="s">
        <v>2354</v>
      </c>
    </row>
    <row r="3420" spans="1:9" x14ac:dyDescent="0.25">
      <c r="A3420" s="218" t="s">
        <v>220</v>
      </c>
      <c r="B3420" s="218" t="s">
        <v>5430</v>
      </c>
      <c r="C3420" s="219" t="s">
        <v>5554</v>
      </c>
      <c r="D3420" s="212" t="s">
        <v>5555</v>
      </c>
      <c r="E3420" s="212" t="s">
        <v>545</v>
      </c>
      <c r="F3420" s="213">
        <v>4</v>
      </c>
      <c r="G3420" s="213">
        <v>101.85850000000001</v>
      </c>
      <c r="H3420" s="195">
        <v>407.43400000000003</v>
      </c>
      <c r="I3420" s="212" t="s">
        <v>2354</v>
      </c>
    </row>
    <row r="3421" spans="1:9" x14ac:dyDescent="0.25">
      <c r="A3421" s="218" t="s">
        <v>220</v>
      </c>
      <c r="B3421" s="218" t="s">
        <v>5430</v>
      </c>
      <c r="C3421" s="219" t="s">
        <v>6998</v>
      </c>
      <c r="D3421" s="212" t="s">
        <v>6999</v>
      </c>
      <c r="E3421" s="212" t="s">
        <v>545</v>
      </c>
      <c r="F3421" s="213">
        <v>4</v>
      </c>
      <c r="G3421" s="213">
        <v>102</v>
      </c>
      <c r="H3421" s="195">
        <v>408</v>
      </c>
      <c r="I3421" s="212" t="s">
        <v>2354</v>
      </c>
    </row>
    <row r="3422" spans="1:9" x14ac:dyDescent="0.25">
      <c r="A3422" s="218" t="s">
        <v>220</v>
      </c>
      <c r="B3422" s="218" t="s">
        <v>5430</v>
      </c>
      <c r="C3422" s="219" t="s">
        <v>3987</v>
      </c>
      <c r="D3422" s="212" t="s">
        <v>5446</v>
      </c>
      <c r="E3422" s="212" t="s">
        <v>545</v>
      </c>
      <c r="F3422" s="213">
        <v>100</v>
      </c>
      <c r="G3422" s="213">
        <v>4.0857700000000001</v>
      </c>
      <c r="H3422" s="195">
        <v>408.577</v>
      </c>
      <c r="I3422" s="212" t="s">
        <v>2354</v>
      </c>
    </row>
    <row r="3423" spans="1:9" x14ac:dyDescent="0.25">
      <c r="A3423" s="218" t="s">
        <v>220</v>
      </c>
      <c r="B3423" s="218" t="s">
        <v>5430</v>
      </c>
      <c r="C3423" s="219" t="s">
        <v>5444</v>
      </c>
      <c r="D3423" s="212" t="s">
        <v>5445</v>
      </c>
      <c r="E3423" s="212" t="s">
        <v>545</v>
      </c>
      <c r="F3423" s="213">
        <v>100</v>
      </c>
      <c r="G3423" s="213">
        <v>4.0895999999999999</v>
      </c>
      <c r="H3423" s="195">
        <v>408.96</v>
      </c>
      <c r="I3423" s="212" t="s">
        <v>2354</v>
      </c>
    </row>
    <row r="3424" spans="1:9" x14ac:dyDescent="0.25">
      <c r="A3424" s="218" t="s">
        <v>220</v>
      </c>
      <c r="B3424" s="218" t="s">
        <v>2351</v>
      </c>
      <c r="C3424" s="219" t="s">
        <v>3141</v>
      </c>
      <c r="D3424" s="212" t="s">
        <v>3142</v>
      </c>
      <c r="E3424" s="212" t="s">
        <v>2387</v>
      </c>
      <c r="F3424" s="213">
        <v>28</v>
      </c>
      <c r="G3424" s="213">
        <v>14.612</v>
      </c>
      <c r="H3424" s="195">
        <v>409.13600000000002</v>
      </c>
      <c r="I3424" s="212" t="s">
        <v>2354</v>
      </c>
    </row>
    <row r="3425" spans="1:9" x14ac:dyDescent="0.25">
      <c r="A3425" s="218" t="s">
        <v>220</v>
      </c>
      <c r="B3425" s="218" t="s">
        <v>2351</v>
      </c>
      <c r="C3425" s="219" t="s">
        <v>3131</v>
      </c>
      <c r="D3425" s="212" t="s">
        <v>3132</v>
      </c>
      <c r="E3425" s="212" t="s">
        <v>545</v>
      </c>
      <c r="F3425" s="213">
        <v>4</v>
      </c>
      <c r="G3425" s="213">
        <v>102.55249999999999</v>
      </c>
      <c r="H3425" s="195">
        <v>410.21</v>
      </c>
      <c r="I3425" s="212" t="s">
        <v>2354</v>
      </c>
    </row>
    <row r="3426" spans="1:9" x14ac:dyDescent="0.25">
      <c r="A3426" s="218" t="s">
        <v>220</v>
      </c>
      <c r="B3426" s="218" t="s">
        <v>2351</v>
      </c>
      <c r="C3426" s="219" t="s">
        <v>5315</v>
      </c>
      <c r="D3426" s="212" t="s">
        <v>5316</v>
      </c>
      <c r="E3426" s="212" t="s">
        <v>545</v>
      </c>
      <c r="F3426" s="213">
        <v>4</v>
      </c>
      <c r="G3426" s="213">
        <v>102.55249999999999</v>
      </c>
      <c r="H3426" s="195">
        <v>410.21</v>
      </c>
      <c r="I3426" s="212" t="s">
        <v>2354</v>
      </c>
    </row>
    <row r="3427" spans="1:9" x14ac:dyDescent="0.25">
      <c r="A3427" s="218" t="s">
        <v>220</v>
      </c>
      <c r="B3427" s="218" t="s">
        <v>2351</v>
      </c>
      <c r="C3427" s="219" t="s">
        <v>2690</v>
      </c>
      <c r="D3427" s="212" t="s">
        <v>2691</v>
      </c>
      <c r="E3427" s="212" t="s">
        <v>545</v>
      </c>
      <c r="F3427" s="213">
        <v>1</v>
      </c>
      <c r="G3427" s="213">
        <v>411</v>
      </c>
      <c r="H3427" s="195">
        <v>411</v>
      </c>
      <c r="I3427" s="212" t="s">
        <v>2354</v>
      </c>
    </row>
    <row r="3428" spans="1:9" x14ac:dyDescent="0.25">
      <c r="A3428" s="218" t="s">
        <v>220</v>
      </c>
      <c r="B3428" s="218" t="s">
        <v>5430</v>
      </c>
      <c r="C3428" s="219" t="s">
        <v>4105</v>
      </c>
      <c r="D3428" s="212" t="s">
        <v>4106</v>
      </c>
      <c r="E3428" s="212" t="s">
        <v>545</v>
      </c>
      <c r="F3428" s="213">
        <v>3</v>
      </c>
      <c r="G3428" s="213">
        <v>137.6</v>
      </c>
      <c r="H3428" s="195">
        <v>412.79999999999995</v>
      </c>
      <c r="I3428" s="212" t="s">
        <v>2354</v>
      </c>
    </row>
    <row r="3429" spans="1:9" x14ac:dyDescent="0.25">
      <c r="A3429" s="218" t="s">
        <v>220</v>
      </c>
      <c r="B3429" s="218" t="s">
        <v>5430</v>
      </c>
      <c r="C3429" s="219" t="s">
        <v>6216</v>
      </c>
      <c r="D3429" s="212" t="s">
        <v>6217</v>
      </c>
      <c r="E3429" s="212" t="s">
        <v>545</v>
      </c>
      <c r="F3429" s="213">
        <v>1</v>
      </c>
      <c r="G3429" s="213">
        <v>414</v>
      </c>
      <c r="H3429" s="195">
        <v>414</v>
      </c>
      <c r="I3429" s="212" t="s">
        <v>2354</v>
      </c>
    </row>
    <row r="3430" spans="1:9" x14ac:dyDescent="0.25">
      <c r="A3430" s="218" t="s">
        <v>220</v>
      </c>
      <c r="B3430" s="218" t="s">
        <v>2351</v>
      </c>
      <c r="C3430" s="219" t="s">
        <v>3955</v>
      </c>
      <c r="D3430" s="212" t="s">
        <v>3956</v>
      </c>
      <c r="E3430" s="212" t="s">
        <v>545</v>
      </c>
      <c r="F3430" s="213">
        <v>5</v>
      </c>
      <c r="G3430" s="213">
        <v>83.718000000000004</v>
      </c>
      <c r="H3430" s="195">
        <v>418.59000000000003</v>
      </c>
      <c r="I3430" s="212" t="s">
        <v>2354</v>
      </c>
    </row>
    <row r="3431" spans="1:9" x14ac:dyDescent="0.25">
      <c r="A3431" s="218" t="s">
        <v>220</v>
      </c>
      <c r="B3431" s="218" t="s">
        <v>2351</v>
      </c>
      <c r="C3431" s="219" t="s">
        <v>4391</v>
      </c>
      <c r="D3431" s="212" t="s">
        <v>4392</v>
      </c>
      <c r="E3431" s="212" t="s">
        <v>545</v>
      </c>
      <c r="F3431" s="213">
        <v>4</v>
      </c>
      <c r="G3431" s="213">
        <v>104.83199999999999</v>
      </c>
      <c r="H3431" s="195">
        <v>419.32799999999997</v>
      </c>
      <c r="I3431" s="212" t="s">
        <v>2354</v>
      </c>
    </row>
    <row r="3432" spans="1:9" x14ac:dyDescent="0.25">
      <c r="A3432" s="218" t="s">
        <v>220</v>
      </c>
      <c r="B3432" s="218" t="s">
        <v>5430</v>
      </c>
      <c r="C3432" s="219" t="s">
        <v>4391</v>
      </c>
      <c r="D3432" s="212" t="s">
        <v>4392</v>
      </c>
      <c r="E3432" s="212" t="s">
        <v>545</v>
      </c>
      <c r="F3432" s="213">
        <v>4</v>
      </c>
      <c r="G3432" s="213">
        <v>104.83199999999999</v>
      </c>
      <c r="H3432" s="195">
        <v>419.32799999999997</v>
      </c>
      <c r="I3432" s="212" t="s">
        <v>2354</v>
      </c>
    </row>
    <row r="3433" spans="1:9" x14ac:dyDescent="0.25">
      <c r="A3433" s="218" t="s">
        <v>220</v>
      </c>
      <c r="B3433" s="218" t="s">
        <v>5430</v>
      </c>
      <c r="C3433" s="219" t="s">
        <v>5737</v>
      </c>
      <c r="D3433" s="212" t="s">
        <v>5738</v>
      </c>
      <c r="E3433" s="212" t="s">
        <v>545</v>
      </c>
      <c r="F3433" s="213">
        <v>5</v>
      </c>
      <c r="G3433" s="213">
        <v>85.32</v>
      </c>
      <c r="H3433" s="195">
        <v>426.59999999999997</v>
      </c>
      <c r="I3433" s="212" t="s">
        <v>2354</v>
      </c>
    </row>
    <row r="3434" spans="1:9" x14ac:dyDescent="0.25">
      <c r="A3434" s="218" t="s">
        <v>220</v>
      </c>
      <c r="B3434" s="218" t="s">
        <v>2351</v>
      </c>
      <c r="C3434" s="219" t="s">
        <v>3743</v>
      </c>
      <c r="D3434" s="212" t="s">
        <v>3744</v>
      </c>
      <c r="E3434" s="212" t="s">
        <v>545</v>
      </c>
      <c r="F3434" s="213">
        <v>38</v>
      </c>
      <c r="G3434" s="213">
        <v>11.231999999999999</v>
      </c>
      <c r="H3434" s="195">
        <v>426.81599999999997</v>
      </c>
      <c r="I3434" s="212" t="s">
        <v>2354</v>
      </c>
    </row>
    <row r="3435" spans="1:9" x14ac:dyDescent="0.25">
      <c r="A3435" s="218" t="s">
        <v>220</v>
      </c>
      <c r="B3435" s="218" t="s">
        <v>5430</v>
      </c>
      <c r="C3435" s="219" t="s">
        <v>7010</v>
      </c>
      <c r="D3435" s="212" t="s">
        <v>7011</v>
      </c>
      <c r="E3435" s="212" t="s">
        <v>545</v>
      </c>
      <c r="F3435" s="213">
        <v>150</v>
      </c>
      <c r="G3435" s="213">
        <v>2.8559999999999999</v>
      </c>
      <c r="H3435" s="195">
        <v>428.4</v>
      </c>
      <c r="I3435" s="212" t="s">
        <v>2354</v>
      </c>
    </row>
    <row r="3436" spans="1:9" x14ac:dyDescent="0.25">
      <c r="A3436" s="218" t="s">
        <v>220</v>
      </c>
      <c r="B3436" s="218" t="s">
        <v>2351</v>
      </c>
      <c r="C3436" s="219"/>
      <c r="D3436" s="212" t="s">
        <v>2398</v>
      </c>
      <c r="E3436" s="212" t="s">
        <v>545</v>
      </c>
      <c r="F3436" s="213">
        <v>36</v>
      </c>
      <c r="G3436" s="213">
        <v>11.939</v>
      </c>
      <c r="H3436" s="195">
        <v>429.80399999999997</v>
      </c>
      <c r="I3436" s="212" t="s">
        <v>2354</v>
      </c>
    </row>
    <row r="3437" spans="1:9" x14ac:dyDescent="0.25">
      <c r="A3437" s="218" t="s">
        <v>220</v>
      </c>
      <c r="B3437" s="218" t="s">
        <v>2351</v>
      </c>
      <c r="C3437" s="219"/>
      <c r="D3437" s="212" t="s">
        <v>2443</v>
      </c>
      <c r="E3437" s="212" t="s">
        <v>545</v>
      </c>
      <c r="F3437" s="213">
        <v>2</v>
      </c>
      <c r="G3437" s="213">
        <v>215.5</v>
      </c>
      <c r="H3437" s="195">
        <v>431</v>
      </c>
      <c r="I3437" s="212" t="s">
        <v>2354</v>
      </c>
    </row>
    <row r="3438" spans="1:9" x14ac:dyDescent="0.25">
      <c r="A3438" s="218" t="s">
        <v>220</v>
      </c>
      <c r="B3438" s="218" t="s">
        <v>5430</v>
      </c>
      <c r="C3438" s="219" t="s">
        <v>6146</v>
      </c>
      <c r="D3438" s="212" t="s">
        <v>6147</v>
      </c>
      <c r="E3438" s="212" t="s">
        <v>545</v>
      </c>
      <c r="F3438" s="213">
        <v>20</v>
      </c>
      <c r="G3438" s="213">
        <v>21.6</v>
      </c>
      <c r="H3438" s="195">
        <v>432</v>
      </c>
      <c r="I3438" s="212" t="s">
        <v>2354</v>
      </c>
    </row>
    <row r="3439" spans="1:9" x14ac:dyDescent="0.25">
      <c r="A3439" s="218" t="s">
        <v>220</v>
      </c>
      <c r="B3439" s="218" t="s">
        <v>2351</v>
      </c>
      <c r="C3439" s="219" t="s">
        <v>4399</v>
      </c>
      <c r="D3439" s="212" t="s">
        <v>4400</v>
      </c>
      <c r="E3439" s="212" t="s">
        <v>545</v>
      </c>
      <c r="F3439" s="213">
        <v>20</v>
      </c>
      <c r="G3439" s="213">
        <v>21.9725</v>
      </c>
      <c r="H3439" s="195">
        <v>439.45</v>
      </c>
      <c r="I3439" s="212" t="s">
        <v>2354</v>
      </c>
    </row>
    <row r="3440" spans="1:9" x14ac:dyDescent="0.25">
      <c r="A3440" s="218" t="s">
        <v>220</v>
      </c>
      <c r="B3440" s="218" t="s">
        <v>2351</v>
      </c>
      <c r="C3440" s="219" t="s">
        <v>4117</v>
      </c>
      <c r="D3440" s="212" t="s">
        <v>4118</v>
      </c>
      <c r="E3440" s="212" t="s">
        <v>545</v>
      </c>
      <c r="F3440" s="213">
        <v>1</v>
      </c>
      <c r="G3440" s="213">
        <v>439.7835</v>
      </c>
      <c r="H3440" s="195">
        <v>439.7835</v>
      </c>
      <c r="I3440" s="212" t="s">
        <v>2354</v>
      </c>
    </row>
    <row r="3441" spans="1:9" x14ac:dyDescent="0.25">
      <c r="A3441" s="218" t="s">
        <v>220</v>
      </c>
      <c r="B3441" s="218" t="s">
        <v>2351</v>
      </c>
      <c r="C3441" s="219" t="s">
        <v>2638</v>
      </c>
      <c r="D3441" s="212" t="s">
        <v>2639</v>
      </c>
      <c r="E3441" s="212" t="s">
        <v>545</v>
      </c>
      <c r="F3441" s="213">
        <v>11</v>
      </c>
      <c r="G3441" s="213">
        <v>40</v>
      </c>
      <c r="H3441" s="195">
        <v>440</v>
      </c>
      <c r="I3441" s="212" t="s">
        <v>2354</v>
      </c>
    </row>
    <row r="3442" spans="1:9" x14ac:dyDescent="0.25">
      <c r="A3442" s="218" t="s">
        <v>220</v>
      </c>
      <c r="B3442" s="218" t="s">
        <v>5430</v>
      </c>
      <c r="C3442" s="219" t="s">
        <v>5558</v>
      </c>
      <c r="D3442" s="212" t="s">
        <v>5559</v>
      </c>
      <c r="E3442" s="212" t="s">
        <v>545</v>
      </c>
      <c r="F3442" s="213">
        <v>16</v>
      </c>
      <c r="G3442" s="213">
        <v>27.774999999999999</v>
      </c>
      <c r="H3442" s="195">
        <v>444.4</v>
      </c>
      <c r="I3442" s="212" t="s">
        <v>2354</v>
      </c>
    </row>
    <row r="3443" spans="1:9" x14ac:dyDescent="0.25">
      <c r="A3443" s="218" t="s">
        <v>220</v>
      </c>
      <c r="B3443" s="218" t="s">
        <v>5430</v>
      </c>
      <c r="C3443" s="219" t="s">
        <v>6791</v>
      </c>
      <c r="D3443" s="212" t="s">
        <v>6792</v>
      </c>
      <c r="E3443" s="212" t="s">
        <v>545</v>
      </c>
      <c r="F3443" s="213">
        <v>1</v>
      </c>
      <c r="G3443" s="213">
        <v>446.6</v>
      </c>
      <c r="H3443" s="195">
        <v>446.6</v>
      </c>
      <c r="I3443" s="212" t="s">
        <v>2354</v>
      </c>
    </row>
    <row r="3444" spans="1:9" x14ac:dyDescent="0.25">
      <c r="A3444" s="218" t="s">
        <v>220</v>
      </c>
      <c r="B3444" s="218" t="s">
        <v>2351</v>
      </c>
      <c r="C3444" s="219" t="s">
        <v>4572</v>
      </c>
      <c r="D3444" s="212" t="s">
        <v>4573</v>
      </c>
      <c r="E3444" s="212" t="s">
        <v>545</v>
      </c>
      <c r="F3444" s="213">
        <v>45</v>
      </c>
      <c r="G3444" s="213">
        <v>9.9314999999999998</v>
      </c>
      <c r="H3444" s="195">
        <v>446.91750000000002</v>
      </c>
      <c r="I3444" s="212" t="s">
        <v>2354</v>
      </c>
    </row>
    <row r="3445" spans="1:9" x14ac:dyDescent="0.25">
      <c r="A3445" s="218" t="s">
        <v>220</v>
      </c>
      <c r="B3445" s="218" t="s">
        <v>2351</v>
      </c>
      <c r="C3445" s="219" t="s">
        <v>3421</v>
      </c>
      <c r="D3445" s="212" t="s">
        <v>3422</v>
      </c>
      <c r="E3445" s="212" t="s">
        <v>545</v>
      </c>
      <c r="F3445" s="213">
        <v>32</v>
      </c>
      <c r="G3445" s="213">
        <v>14</v>
      </c>
      <c r="H3445" s="195">
        <v>448</v>
      </c>
      <c r="I3445" s="212" t="s">
        <v>2354</v>
      </c>
    </row>
    <row r="3446" spans="1:9" x14ac:dyDescent="0.25">
      <c r="A3446" s="218" t="s">
        <v>220</v>
      </c>
      <c r="B3446" s="218" t="s">
        <v>2351</v>
      </c>
      <c r="C3446" s="219" t="s">
        <v>4606</v>
      </c>
      <c r="D3446" s="212" t="s">
        <v>4607</v>
      </c>
      <c r="E3446" s="212" t="s">
        <v>545</v>
      </c>
      <c r="F3446" s="213">
        <v>65</v>
      </c>
      <c r="G3446" s="213">
        <v>6.8979999999999997</v>
      </c>
      <c r="H3446" s="195">
        <v>448.37</v>
      </c>
      <c r="I3446" s="212" t="s">
        <v>2354</v>
      </c>
    </row>
    <row r="3447" spans="1:9" x14ac:dyDescent="0.25">
      <c r="A3447" s="218" t="s">
        <v>220</v>
      </c>
      <c r="B3447" s="218" t="s">
        <v>2351</v>
      </c>
      <c r="C3447" s="219" t="s">
        <v>2385</v>
      </c>
      <c r="D3447" s="212" t="s">
        <v>2386</v>
      </c>
      <c r="E3447" s="212" t="s">
        <v>2387</v>
      </c>
      <c r="F3447" s="213">
        <v>8</v>
      </c>
      <c r="G3447" s="213">
        <v>56.1</v>
      </c>
      <c r="H3447" s="195">
        <v>448.8</v>
      </c>
      <c r="I3447" s="212" t="s">
        <v>2354</v>
      </c>
    </row>
    <row r="3448" spans="1:9" x14ac:dyDescent="0.25">
      <c r="A3448" s="218" t="s">
        <v>220</v>
      </c>
      <c r="B3448" s="218" t="s">
        <v>5430</v>
      </c>
      <c r="C3448" s="219" t="s">
        <v>6874</v>
      </c>
      <c r="D3448" s="212" t="s">
        <v>6875</v>
      </c>
      <c r="E3448" s="212" t="s">
        <v>545</v>
      </c>
      <c r="F3448" s="213">
        <v>1</v>
      </c>
      <c r="G3448" s="213">
        <v>450.45</v>
      </c>
      <c r="H3448" s="195">
        <v>450.45</v>
      </c>
      <c r="I3448" s="212" t="s">
        <v>2354</v>
      </c>
    </row>
    <row r="3449" spans="1:9" x14ac:dyDescent="0.25">
      <c r="A3449" s="218" t="s">
        <v>220</v>
      </c>
      <c r="B3449" s="218" t="s">
        <v>2351</v>
      </c>
      <c r="C3449" s="219" t="s">
        <v>3439</v>
      </c>
      <c r="D3449" s="212" t="s">
        <v>3440</v>
      </c>
      <c r="E3449" s="212" t="s">
        <v>545</v>
      </c>
      <c r="F3449" s="213">
        <v>13</v>
      </c>
      <c r="G3449" s="213">
        <v>34.704000000000001</v>
      </c>
      <c r="H3449" s="195">
        <v>451.15199999999999</v>
      </c>
      <c r="I3449" s="212" t="s">
        <v>2354</v>
      </c>
    </row>
    <row r="3450" spans="1:9" x14ac:dyDescent="0.25">
      <c r="A3450" s="218" t="s">
        <v>220</v>
      </c>
      <c r="B3450" s="218" t="s">
        <v>2351</v>
      </c>
      <c r="C3450" s="219" t="s">
        <v>3046</v>
      </c>
      <c r="D3450" s="212" t="s">
        <v>3047</v>
      </c>
      <c r="E3450" s="212" t="s">
        <v>545</v>
      </c>
      <c r="F3450" s="213">
        <v>9</v>
      </c>
      <c r="G3450" s="213">
        <v>50.233499999999999</v>
      </c>
      <c r="H3450" s="195">
        <v>452.10149999999999</v>
      </c>
      <c r="I3450" s="212" t="s">
        <v>2354</v>
      </c>
    </row>
    <row r="3451" spans="1:9" x14ac:dyDescent="0.25">
      <c r="A3451" s="218" t="s">
        <v>220</v>
      </c>
      <c r="B3451" s="218" t="s">
        <v>5430</v>
      </c>
      <c r="C3451" s="219" t="s">
        <v>5996</v>
      </c>
      <c r="D3451" s="212" t="s">
        <v>5997</v>
      </c>
      <c r="E3451" s="212" t="s">
        <v>545</v>
      </c>
      <c r="F3451" s="213">
        <v>4</v>
      </c>
      <c r="G3451" s="213">
        <v>113.58198000000002</v>
      </c>
      <c r="H3451" s="195">
        <v>454.32792000000006</v>
      </c>
      <c r="I3451" s="212" t="s">
        <v>2354</v>
      </c>
    </row>
    <row r="3452" spans="1:9" x14ac:dyDescent="0.25">
      <c r="A3452" s="218" t="s">
        <v>220</v>
      </c>
      <c r="B3452" s="218" t="s">
        <v>5430</v>
      </c>
      <c r="C3452" s="219" t="s">
        <v>6013</v>
      </c>
      <c r="D3452" s="212" t="s">
        <v>6014</v>
      </c>
      <c r="E3452" s="212" t="s">
        <v>545</v>
      </c>
      <c r="F3452" s="213">
        <v>4</v>
      </c>
      <c r="G3452" s="213">
        <v>115.3467</v>
      </c>
      <c r="H3452" s="195">
        <v>461.38679999999999</v>
      </c>
      <c r="I3452" s="212" t="s">
        <v>2354</v>
      </c>
    </row>
    <row r="3453" spans="1:9" x14ac:dyDescent="0.25">
      <c r="A3453" s="218" t="s">
        <v>220</v>
      </c>
      <c r="B3453" s="218" t="s">
        <v>2351</v>
      </c>
      <c r="C3453" s="219" t="s">
        <v>2934</v>
      </c>
      <c r="D3453" s="212" t="s">
        <v>2935</v>
      </c>
      <c r="E3453" s="212" t="s">
        <v>545</v>
      </c>
      <c r="F3453" s="213">
        <v>12</v>
      </c>
      <c r="G3453" s="213">
        <v>38.568600000000004</v>
      </c>
      <c r="H3453" s="195">
        <v>462.82320000000004</v>
      </c>
      <c r="I3453" s="212" t="s">
        <v>2354</v>
      </c>
    </row>
    <row r="3454" spans="1:9" x14ac:dyDescent="0.25">
      <c r="A3454" s="218" t="s">
        <v>220</v>
      </c>
      <c r="B3454" s="218" t="s">
        <v>2351</v>
      </c>
      <c r="C3454" s="219" t="s">
        <v>3713</v>
      </c>
      <c r="D3454" s="212" t="s">
        <v>3714</v>
      </c>
      <c r="E3454" s="212" t="s">
        <v>545</v>
      </c>
      <c r="F3454" s="213">
        <v>14</v>
      </c>
      <c r="G3454" s="213">
        <v>33.090700000000005</v>
      </c>
      <c r="H3454" s="195">
        <v>463.26980000000009</v>
      </c>
      <c r="I3454" s="212" t="s">
        <v>2354</v>
      </c>
    </row>
    <row r="3455" spans="1:9" x14ac:dyDescent="0.25">
      <c r="A3455" s="218" t="s">
        <v>220</v>
      </c>
      <c r="B3455" s="218" t="s">
        <v>5430</v>
      </c>
      <c r="C3455" s="219" t="s">
        <v>6099</v>
      </c>
      <c r="D3455" s="212" t="s">
        <v>6100</v>
      </c>
      <c r="E3455" s="212" t="s">
        <v>545</v>
      </c>
      <c r="F3455" s="213">
        <v>4</v>
      </c>
      <c r="G3455" s="213">
        <v>116.01</v>
      </c>
      <c r="H3455" s="195">
        <v>464.04</v>
      </c>
      <c r="I3455" s="212" t="s">
        <v>2354</v>
      </c>
    </row>
    <row r="3456" spans="1:9" x14ac:dyDescent="0.25">
      <c r="A3456" s="218" t="s">
        <v>220</v>
      </c>
      <c r="B3456" s="218" t="s">
        <v>5430</v>
      </c>
      <c r="C3456" s="219" t="s">
        <v>5489</v>
      </c>
      <c r="D3456" s="212" t="s">
        <v>5490</v>
      </c>
      <c r="E3456" s="212" t="s">
        <v>545</v>
      </c>
      <c r="F3456" s="213">
        <v>1</v>
      </c>
      <c r="G3456" s="213">
        <v>464.49900000000002</v>
      </c>
      <c r="H3456" s="195">
        <v>464.49900000000002</v>
      </c>
      <c r="I3456" s="212" t="s">
        <v>2354</v>
      </c>
    </row>
    <row r="3457" spans="1:9" x14ac:dyDescent="0.25">
      <c r="A3457" s="218" t="s">
        <v>220</v>
      </c>
      <c r="B3457" s="218" t="s">
        <v>5430</v>
      </c>
      <c r="C3457" s="219" t="s">
        <v>2706</v>
      </c>
      <c r="D3457" s="212" t="s">
        <v>2707</v>
      </c>
      <c r="E3457" s="212" t="s">
        <v>2387</v>
      </c>
      <c r="F3457" s="213">
        <v>10</v>
      </c>
      <c r="G3457" s="213">
        <v>46.8</v>
      </c>
      <c r="H3457" s="195">
        <v>468</v>
      </c>
      <c r="I3457" s="212" t="s">
        <v>2354</v>
      </c>
    </row>
    <row r="3458" spans="1:9" x14ac:dyDescent="0.25">
      <c r="A3458" s="218" t="s">
        <v>220</v>
      </c>
      <c r="B3458" s="218" t="s">
        <v>2351</v>
      </c>
      <c r="C3458" s="219" t="s">
        <v>4033</v>
      </c>
      <c r="D3458" s="212" t="s">
        <v>4034</v>
      </c>
      <c r="E3458" s="212" t="s">
        <v>545</v>
      </c>
      <c r="F3458" s="213">
        <v>3</v>
      </c>
      <c r="G3458" s="213">
        <v>157.5</v>
      </c>
      <c r="H3458" s="195">
        <v>472.5</v>
      </c>
      <c r="I3458" s="212" t="s">
        <v>2354</v>
      </c>
    </row>
    <row r="3459" spans="1:9" x14ac:dyDescent="0.25">
      <c r="A3459" s="218" t="s">
        <v>220</v>
      </c>
      <c r="B3459" s="218" t="s">
        <v>5430</v>
      </c>
      <c r="C3459" s="219" t="s">
        <v>6878</v>
      </c>
      <c r="D3459" s="212" t="s">
        <v>6879</v>
      </c>
      <c r="E3459" s="212" t="s">
        <v>545</v>
      </c>
      <c r="F3459" s="213">
        <v>3</v>
      </c>
      <c r="G3459" s="213">
        <v>157.5</v>
      </c>
      <c r="H3459" s="195">
        <v>472.5</v>
      </c>
      <c r="I3459" s="212" t="s">
        <v>2354</v>
      </c>
    </row>
    <row r="3460" spans="1:9" x14ac:dyDescent="0.25">
      <c r="A3460" s="218" t="s">
        <v>220</v>
      </c>
      <c r="B3460" s="218" t="s">
        <v>2351</v>
      </c>
      <c r="C3460" s="219" t="s">
        <v>3002</v>
      </c>
      <c r="D3460" s="212" t="s">
        <v>3003</v>
      </c>
      <c r="E3460" s="212" t="s">
        <v>545</v>
      </c>
      <c r="F3460" s="213">
        <v>10</v>
      </c>
      <c r="G3460" s="213">
        <v>47.56</v>
      </c>
      <c r="H3460" s="195">
        <v>475.6</v>
      </c>
      <c r="I3460" s="212" t="s">
        <v>2354</v>
      </c>
    </row>
    <row r="3461" spans="1:9" x14ac:dyDescent="0.25">
      <c r="A3461" s="218" t="s">
        <v>220</v>
      </c>
      <c r="B3461" s="218" t="s">
        <v>2351</v>
      </c>
      <c r="C3461" s="219" t="s">
        <v>2630</v>
      </c>
      <c r="D3461" s="212" t="s">
        <v>2631</v>
      </c>
      <c r="E3461" s="212" t="s">
        <v>545</v>
      </c>
      <c r="F3461" s="213">
        <v>5</v>
      </c>
      <c r="G3461" s="213">
        <v>95.142960000000002</v>
      </c>
      <c r="H3461" s="195">
        <v>475.71480000000003</v>
      </c>
      <c r="I3461" s="212" t="s">
        <v>2354</v>
      </c>
    </row>
    <row r="3462" spans="1:9" x14ac:dyDescent="0.25">
      <c r="A3462" s="218" t="s">
        <v>220</v>
      </c>
      <c r="B3462" s="218" t="s">
        <v>2351</v>
      </c>
      <c r="C3462" s="219" t="s">
        <v>4017</v>
      </c>
      <c r="D3462" s="212" t="s">
        <v>4018</v>
      </c>
      <c r="E3462" s="212" t="s">
        <v>545</v>
      </c>
      <c r="F3462" s="213">
        <v>8</v>
      </c>
      <c r="G3462" s="213">
        <v>59.5</v>
      </c>
      <c r="H3462" s="195">
        <v>476</v>
      </c>
      <c r="I3462" s="212" t="s">
        <v>2354</v>
      </c>
    </row>
    <row r="3463" spans="1:9" x14ac:dyDescent="0.25">
      <c r="A3463" s="218" t="s">
        <v>220</v>
      </c>
      <c r="B3463" s="218" t="s">
        <v>2351</v>
      </c>
      <c r="C3463" s="219" t="s">
        <v>4423</v>
      </c>
      <c r="D3463" s="212" t="s">
        <v>4424</v>
      </c>
      <c r="E3463" s="212" t="s">
        <v>2387</v>
      </c>
      <c r="F3463" s="213">
        <v>45</v>
      </c>
      <c r="G3463" s="213">
        <v>10.614599999999999</v>
      </c>
      <c r="H3463" s="195">
        <v>477.65699999999998</v>
      </c>
      <c r="I3463" s="212" t="s">
        <v>2354</v>
      </c>
    </row>
    <row r="3464" spans="1:9" x14ac:dyDescent="0.25">
      <c r="A3464" s="218" t="s">
        <v>220</v>
      </c>
      <c r="B3464" s="218" t="s">
        <v>5430</v>
      </c>
      <c r="C3464" s="219" t="s">
        <v>6170</v>
      </c>
      <c r="D3464" s="212" t="s">
        <v>6171</v>
      </c>
      <c r="E3464" s="212" t="s">
        <v>545</v>
      </c>
      <c r="F3464" s="213">
        <v>2</v>
      </c>
      <c r="G3464" s="213">
        <v>239.04</v>
      </c>
      <c r="H3464" s="195">
        <v>478.08</v>
      </c>
      <c r="I3464" s="212" t="s">
        <v>2354</v>
      </c>
    </row>
    <row r="3465" spans="1:9" x14ac:dyDescent="0.25">
      <c r="A3465" s="218" t="s">
        <v>220</v>
      </c>
      <c r="B3465" s="218" t="s">
        <v>5430</v>
      </c>
      <c r="C3465" s="219" t="s">
        <v>5578</v>
      </c>
      <c r="D3465" s="212" t="s">
        <v>5579</v>
      </c>
      <c r="E3465" s="212" t="s">
        <v>545</v>
      </c>
      <c r="F3465" s="213">
        <v>1</v>
      </c>
      <c r="G3465" s="213">
        <v>478.08156500000001</v>
      </c>
      <c r="H3465" s="195">
        <v>478.08156500000001</v>
      </c>
      <c r="I3465" s="212" t="s">
        <v>2354</v>
      </c>
    </row>
    <row r="3466" spans="1:9" x14ac:dyDescent="0.25">
      <c r="A3466" s="218" t="s">
        <v>220</v>
      </c>
      <c r="B3466" s="218" t="s">
        <v>2351</v>
      </c>
      <c r="C3466" s="219" t="s">
        <v>2632</v>
      </c>
      <c r="D3466" s="212" t="s">
        <v>2633</v>
      </c>
      <c r="E3466" s="212" t="s">
        <v>545</v>
      </c>
      <c r="F3466" s="213">
        <v>25</v>
      </c>
      <c r="G3466" s="213">
        <v>19.234739999999999</v>
      </c>
      <c r="H3466" s="195">
        <v>480.86849999999998</v>
      </c>
      <c r="I3466" s="212" t="s">
        <v>2354</v>
      </c>
    </row>
    <row r="3467" spans="1:9" x14ac:dyDescent="0.25">
      <c r="A3467" s="218" t="s">
        <v>220</v>
      </c>
      <c r="B3467" s="218" t="s">
        <v>5430</v>
      </c>
      <c r="C3467" s="219" t="s">
        <v>6025</v>
      </c>
      <c r="D3467" s="212" t="s">
        <v>3045</v>
      </c>
      <c r="E3467" s="212" t="s">
        <v>545</v>
      </c>
      <c r="F3467" s="213">
        <v>10</v>
      </c>
      <c r="G3467" s="213">
        <v>48.572099999999999</v>
      </c>
      <c r="H3467" s="195">
        <v>485.721</v>
      </c>
      <c r="I3467" s="212" t="s">
        <v>2354</v>
      </c>
    </row>
    <row r="3468" spans="1:9" x14ac:dyDescent="0.25">
      <c r="A3468" s="218" t="s">
        <v>220</v>
      </c>
      <c r="B3468" s="218" t="s">
        <v>2351</v>
      </c>
      <c r="C3468" s="219" t="s">
        <v>4301</v>
      </c>
      <c r="D3468" s="212" t="s">
        <v>4302</v>
      </c>
      <c r="E3468" s="212" t="s">
        <v>545</v>
      </c>
      <c r="F3468" s="213">
        <v>3</v>
      </c>
      <c r="G3468" s="213">
        <v>162.44999999999999</v>
      </c>
      <c r="H3468" s="195">
        <v>487.34999999999997</v>
      </c>
      <c r="I3468" s="212" t="s">
        <v>2354</v>
      </c>
    </row>
    <row r="3469" spans="1:9" x14ac:dyDescent="0.25">
      <c r="A3469" s="218" t="s">
        <v>220</v>
      </c>
      <c r="B3469" s="218" t="s">
        <v>2351</v>
      </c>
      <c r="C3469" s="219" t="s">
        <v>2986</v>
      </c>
      <c r="D3469" s="212" t="s">
        <v>2987</v>
      </c>
      <c r="E3469" s="212" t="s">
        <v>545</v>
      </c>
      <c r="F3469" s="213">
        <v>1</v>
      </c>
      <c r="G3469" s="213">
        <v>487.8</v>
      </c>
      <c r="H3469" s="195">
        <v>487.8</v>
      </c>
      <c r="I3469" s="212" t="s">
        <v>2354</v>
      </c>
    </row>
    <row r="3470" spans="1:9" x14ac:dyDescent="0.25">
      <c r="A3470" s="218" t="s">
        <v>220</v>
      </c>
      <c r="B3470" s="218" t="s">
        <v>2351</v>
      </c>
      <c r="C3470" s="219" t="s">
        <v>3417</v>
      </c>
      <c r="D3470" s="212" t="s">
        <v>3418</v>
      </c>
      <c r="E3470" s="212" t="s">
        <v>545</v>
      </c>
      <c r="F3470" s="213">
        <v>1</v>
      </c>
      <c r="G3470" s="213">
        <v>489.53530000000001</v>
      </c>
      <c r="H3470" s="195">
        <v>489.53530000000001</v>
      </c>
      <c r="I3470" s="212" t="s">
        <v>2354</v>
      </c>
    </row>
    <row r="3471" spans="1:9" x14ac:dyDescent="0.25">
      <c r="A3471" s="218" t="s">
        <v>220</v>
      </c>
      <c r="B3471" s="218" t="s">
        <v>5430</v>
      </c>
      <c r="C3471" s="219" t="s">
        <v>3417</v>
      </c>
      <c r="D3471" s="212" t="s">
        <v>3418</v>
      </c>
      <c r="E3471" s="212" t="s">
        <v>545</v>
      </c>
      <c r="F3471" s="213">
        <v>1</v>
      </c>
      <c r="G3471" s="213">
        <v>489.53530000000001</v>
      </c>
      <c r="H3471" s="195">
        <v>489.53530000000001</v>
      </c>
      <c r="I3471" s="212" t="s">
        <v>2354</v>
      </c>
    </row>
    <row r="3472" spans="1:9" x14ac:dyDescent="0.25">
      <c r="A3472" s="218" t="s">
        <v>220</v>
      </c>
      <c r="B3472" s="218" t="s">
        <v>2351</v>
      </c>
      <c r="C3472" s="219" t="s">
        <v>2423</v>
      </c>
      <c r="D3472" s="212" t="s">
        <v>2424</v>
      </c>
      <c r="E3472" s="212" t="s">
        <v>545</v>
      </c>
      <c r="F3472" s="213">
        <v>20</v>
      </c>
      <c r="G3472" s="213">
        <v>24.63</v>
      </c>
      <c r="H3472" s="195">
        <v>492.59999999999997</v>
      </c>
      <c r="I3472" s="212" t="s">
        <v>2354</v>
      </c>
    </row>
    <row r="3473" spans="1:9" x14ac:dyDescent="0.25">
      <c r="A3473" s="218" t="s">
        <v>220</v>
      </c>
      <c r="B3473" s="218" t="s">
        <v>2351</v>
      </c>
      <c r="C3473" s="219" t="s">
        <v>2704</v>
      </c>
      <c r="D3473" s="212" t="s">
        <v>2705</v>
      </c>
      <c r="E3473" s="212" t="s">
        <v>545</v>
      </c>
      <c r="F3473" s="213">
        <v>1</v>
      </c>
      <c r="G3473" s="221">
        <v>492.89</v>
      </c>
      <c r="H3473" s="222">
        <v>492.89</v>
      </c>
      <c r="I3473" s="212" t="s">
        <v>2354</v>
      </c>
    </row>
    <row r="3474" spans="1:9" x14ac:dyDescent="0.25">
      <c r="A3474" s="218" t="s">
        <v>220</v>
      </c>
      <c r="B3474" s="218" t="s">
        <v>2351</v>
      </c>
      <c r="C3474" s="219" t="s">
        <v>2604</v>
      </c>
      <c r="D3474" s="212" t="s">
        <v>2605</v>
      </c>
      <c r="E3474" s="212" t="s">
        <v>545</v>
      </c>
      <c r="F3474" s="213">
        <v>2</v>
      </c>
      <c r="G3474" s="213">
        <v>246.74323746946459</v>
      </c>
      <c r="H3474" s="195">
        <v>493.48647493892918</v>
      </c>
      <c r="I3474" s="212" t="s">
        <v>2354</v>
      </c>
    </row>
    <row r="3475" spans="1:9" x14ac:dyDescent="0.25">
      <c r="A3475" s="218" t="s">
        <v>220</v>
      </c>
      <c r="B3475" s="218" t="s">
        <v>5430</v>
      </c>
      <c r="C3475" s="219" t="s">
        <v>5645</v>
      </c>
      <c r="D3475" s="212" t="s">
        <v>5646</v>
      </c>
      <c r="E3475" s="212" t="s">
        <v>545</v>
      </c>
      <c r="F3475" s="213">
        <v>12</v>
      </c>
      <c r="G3475" s="213">
        <v>41.150199999999998</v>
      </c>
      <c r="H3475" s="195">
        <v>493.80239999999998</v>
      </c>
      <c r="I3475" s="212" t="s">
        <v>2354</v>
      </c>
    </row>
    <row r="3476" spans="1:9" x14ac:dyDescent="0.25">
      <c r="A3476" s="218" t="s">
        <v>220</v>
      </c>
      <c r="B3476" s="218" t="s">
        <v>2351</v>
      </c>
      <c r="C3476" s="219" t="s">
        <v>3859</v>
      </c>
      <c r="D3476" s="212" t="s">
        <v>3860</v>
      </c>
      <c r="E3476" s="212" t="s">
        <v>545</v>
      </c>
      <c r="F3476" s="213">
        <v>2</v>
      </c>
      <c r="G3476" s="213">
        <v>248.01400000000001</v>
      </c>
      <c r="H3476" s="195">
        <v>496.02800000000002</v>
      </c>
      <c r="I3476" s="212" t="s">
        <v>2354</v>
      </c>
    </row>
    <row r="3477" spans="1:9" x14ac:dyDescent="0.25">
      <c r="A3477" s="218" t="s">
        <v>220</v>
      </c>
      <c r="B3477" s="218" t="s">
        <v>5430</v>
      </c>
      <c r="C3477" s="219" t="s">
        <v>5785</v>
      </c>
      <c r="D3477" s="212" t="s">
        <v>5786</v>
      </c>
      <c r="E3477" s="212" t="s">
        <v>545</v>
      </c>
      <c r="F3477" s="213">
        <v>4</v>
      </c>
      <c r="G3477" s="213">
        <v>124.32869999999998</v>
      </c>
      <c r="H3477" s="195">
        <v>497.31479999999993</v>
      </c>
      <c r="I3477" s="212" t="s">
        <v>2354</v>
      </c>
    </row>
    <row r="3478" spans="1:9" x14ac:dyDescent="0.25">
      <c r="A3478" s="218" t="s">
        <v>220</v>
      </c>
      <c r="B3478" s="218" t="s">
        <v>2351</v>
      </c>
      <c r="C3478" s="219" t="s">
        <v>2682</v>
      </c>
      <c r="D3478" s="212" t="s">
        <v>2683</v>
      </c>
      <c r="E3478" s="212" t="s">
        <v>545</v>
      </c>
      <c r="F3478" s="213">
        <v>4</v>
      </c>
      <c r="G3478" s="213">
        <v>124.7</v>
      </c>
      <c r="H3478" s="195">
        <v>498.8</v>
      </c>
      <c r="I3478" s="212" t="s">
        <v>2354</v>
      </c>
    </row>
    <row r="3479" spans="1:9" x14ac:dyDescent="0.25">
      <c r="A3479" s="218" t="s">
        <v>220</v>
      </c>
      <c r="B3479" s="218" t="s">
        <v>5430</v>
      </c>
      <c r="C3479" s="219" t="s">
        <v>5406</v>
      </c>
      <c r="D3479" s="212" t="s">
        <v>5407</v>
      </c>
      <c r="E3479" s="212" t="s">
        <v>545</v>
      </c>
      <c r="F3479" s="213">
        <v>3</v>
      </c>
      <c r="G3479" s="213">
        <v>166.898</v>
      </c>
      <c r="H3479" s="195">
        <v>500.69399999999996</v>
      </c>
      <c r="I3479" s="212" t="s">
        <v>2354</v>
      </c>
    </row>
    <row r="3480" spans="1:9" x14ac:dyDescent="0.25">
      <c r="A3480" s="218" t="s">
        <v>220</v>
      </c>
      <c r="B3480" s="218" t="s">
        <v>5430</v>
      </c>
      <c r="C3480" s="219" t="s">
        <v>4133</v>
      </c>
      <c r="D3480" s="212" t="s">
        <v>4134</v>
      </c>
      <c r="E3480" s="212" t="s">
        <v>545</v>
      </c>
      <c r="F3480" s="213">
        <v>4</v>
      </c>
      <c r="G3480" s="213">
        <v>125.46</v>
      </c>
      <c r="H3480" s="195">
        <v>501.84</v>
      </c>
      <c r="I3480" s="212" t="s">
        <v>2354</v>
      </c>
    </row>
    <row r="3481" spans="1:9" x14ac:dyDescent="0.25">
      <c r="A3481" s="218" t="s">
        <v>220</v>
      </c>
      <c r="B3481" s="218" t="s">
        <v>2351</v>
      </c>
      <c r="C3481" s="219" t="s">
        <v>3889</v>
      </c>
      <c r="D3481" s="212" t="s">
        <v>3890</v>
      </c>
      <c r="E3481" s="212" t="s">
        <v>545</v>
      </c>
      <c r="F3481" s="213">
        <v>3</v>
      </c>
      <c r="G3481" s="213">
        <v>168.19800000000001</v>
      </c>
      <c r="H3481" s="195">
        <v>504.59400000000005</v>
      </c>
      <c r="I3481" s="212" t="s">
        <v>2354</v>
      </c>
    </row>
    <row r="3482" spans="1:9" x14ac:dyDescent="0.25">
      <c r="A3482" s="218" t="s">
        <v>220</v>
      </c>
      <c r="B3482" s="218" t="s">
        <v>2351</v>
      </c>
      <c r="C3482" s="219" t="s">
        <v>3877</v>
      </c>
      <c r="D3482" s="212" t="s">
        <v>3878</v>
      </c>
      <c r="E3482" s="212" t="s">
        <v>545</v>
      </c>
      <c r="F3482" s="213">
        <v>4</v>
      </c>
      <c r="G3482" s="213">
        <v>126.23679999999999</v>
      </c>
      <c r="H3482" s="195">
        <v>504.94719999999995</v>
      </c>
      <c r="I3482" s="212" t="s">
        <v>2354</v>
      </c>
    </row>
    <row r="3483" spans="1:9" x14ac:dyDescent="0.25">
      <c r="A3483" s="218" t="s">
        <v>220</v>
      </c>
      <c r="B3483" s="218" t="s">
        <v>5430</v>
      </c>
      <c r="C3483" s="219" t="s">
        <v>6083</v>
      </c>
      <c r="D3483" s="212" t="s">
        <v>6084</v>
      </c>
      <c r="E3483" s="212" t="s">
        <v>545</v>
      </c>
      <c r="F3483" s="213">
        <v>3</v>
      </c>
      <c r="G3483" s="213">
        <v>169.56</v>
      </c>
      <c r="H3483" s="195">
        <v>508.68</v>
      </c>
      <c r="I3483" s="212" t="s">
        <v>2354</v>
      </c>
    </row>
    <row r="3484" spans="1:9" x14ac:dyDescent="0.25">
      <c r="A3484" s="218" t="s">
        <v>220</v>
      </c>
      <c r="B3484" s="218" t="s">
        <v>5430</v>
      </c>
      <c r="C3484" s="219" t="s">
        <v>6127</v>
      </c>
      <c r="D3484" s="212" t="s">
        <v>6128</v>
      </c>
      <c r="E3484" s="212" t="s">
        <v>545</v>
      </c>
      <c r="F3484" s="213">
        <v>7</v>
      </c>
      <c r="G3484" s="213">
        <v>72.900000000000006</v>
      </c>
      <c r="H3484" s="195">
        <v>510.30000000000007</v>
      </c>
      <c r="I3484" s="212" t="s">
        <v>2354</v>
      </c>
    </row>
    <row r="3485" spans="1:9" x14ac:dyDescent="0.25">
      <c r="A3485" s="218" t="s">
        <v>220</v>
      </c>
      <c r="B3485" s="218" t="s">
        <v>2351</v>
      </c>
      <c r="C3485" s="219" t="s">
        <v>4295</v>
      </c>
      <c r="D3485" s="212" t="s">
        <v>4296</v>
      </c>
      <c r="E3485" s="212" t="s">
        <v>545</v>
      </c>
      <c r="F3485" s="213">
        <v>6</v>
      </c>
      <c r="G3485" s="213">
        <v>85.5</v>
      </c>
      <c r="H3485" s="195">
        <v>513</v>
      </c>
      <c r="I3485" s="212" t="s">
        <v>2354</v>
      </c>
    </row>
    <row r="3486" spans="1:9" x14ac:dyDescent="0.25">
      <c r="A3486" s="218" t="s">
        <v>220</v>
      </c>
      <c r="B3486" s="218" t="s">
        <v>5430</v>
      </c>
      <c r="C3486" s="219" t="s">
        <v>4295</v>
      </c>
      <c r="D3486" s="212" t="s">
        <v>4296</v>
      </c>
      <c r="E3486" s="212" t="s">
        <v>545</v>
      </c>
      <c r="F3486" s="213">
        <v>6</v>
      </c>
      <c r="G3486" s="213">
        <v>85.5</v>
      </c>
      <c r="H3486" s="195">
        <v>513</v>
      </c>
      <c r="I3486" s="212" t="s">
        <v>2354</v>
      </c>
    </row>
    <row r="3487" spans="1:9" x14ac:dyDescent="0.25">
      <c r="A3487" s="218" t="s">
        <v>220</v>
      </c>
      <c r="B3487" s="218" t="s">
        <v>5430</v>
      </c>
      <c r="C3487" s="219" t="s">
        <v>6232</v>
      </c>
      <c r="D3487" s="212" t="s">
        <v>6233</v>
      </c>
      <c r="E3487" s="212" t="s">
        <v>545</v>
      </c>
      <c r="F3487" s="213">
        <v>1</v>
      </c>
      <c r="G3487" s="213">
        <v>515.70000000000005</v>
      </c>
      <c r="H3487" s="195">
        <v>515.70000000000005</v>
      </c>
      <c r="I3487" s="212" t="s">
        <v>2354</v>
      </c>
    </row>
    <row r="3488" spans="1:9" x14ac:dyDescent="0.25">
      <c r="A3488" s="218" t="s">
        <v>220</v>
      </c>
      <c r="B3488" s="218" t="s">
        <v>2351</v>
      </c>
      <c r="C3488" s="219" t="s">
        <v>4281</v>
      </c>
      <c r="D3488" s="212" t="s">
        <v>4282</v>
      </c>
      <c r="E3488" s="212" t="s">
        <v>545</v>
      </c>
      <c r="F3488" s="213">
        <v>4</v>
      </c>
      <c r="G3488" s="213">
        <v>129</v>
      </c>
      <c r="H3488" s="195">
        <v>516</v>
      </c>
      <c r="I3488" s="212" t="s">
        <v>2354</v>
      </c>
    </row>
    <row r="3489" spans="1:9" x14ac:dyDescent="0.25">
      <c r="A3489" s="218" t="s">
        <v>220</v>
      </c>
      <c r="B3489" s="218" t="s">
        <v>5430</v>
      </c>
      <c r="C3489" s="219" t="s">
        <v>5498</v>
      </c>
      <c r="D3489" s="212" t="s">
        <v>5499</v>
      </c>
      <c r="E3489" s="212" t="s">
        <v>545</v>
      </c>
      <c r="F3489" s="213">
        <v>2</v>
      </c>
      <c r="G3489" s="213">
        <v>258.3</v>
      </c>
      <c r="H3489" s="195">
        <v>516.6</v>
      </c>
      <c r="I3489" s="212" t="s">
        <v>2354</v>
      </c>
    </row>
    <row r="3490" spans="1:9" x14ac:dyDescent="0.25">
      <c r="A3490" s="218" t="s">
        <v>220</v>
      </c>
      <c r="B3490" s="218" t="s">
        <v>2351</v>
      </c>
      <c r="C3490" s="219" t="s">
        <v>3375</v>
      </c>
      <c r="D3490" s="212" t="s">
        <v>3376</v>
      </c>
      <c r="E3490" s="212" t="s">
        <v>545</v>
      </c>
      <c r="F3490" s="213">
        <v>3</v>
      </c>
      <c r="G3490" s="213">
        <v>172.39200000000002</v>
      </c>
      <c r="H3490" s="195">
        <v>517.17600000000004</v>
      </c>
      <c r="I3490" s="212" t="s">
        <v>2354</v>
      </c>
    </row>
    <row r="3491" spans="1:9" x14ac:dyDescent="0.25">
      <c r="A3491" s="218" t="s">
        <v>220</v>
      </c>
      <c r="B3491" s="218" t="s">
        <v>2351</v>
      </c>
      <c r="C3491" s="219" t="s">
        <v>2684</v>
      </c>
      <c r="D3491" s="212" t="s">
        <v>2685</v>
      </c>
      <c r="E3491" s="212" t="s">
        <v>545</v>
      </c>
      <c r="F3491" s="213">
        <v>1</v>
      </c>
      <c r="G3491" s="213">
        <v>520</v>
      </c>
      <c r="H3491" s="195">
        <v>520</v>
      </c>
      <c r="I3491" s="212" t="s">
        <v>2354</v>
      </c>
    </row>
    <row r="3492" spans="1:9" x14ac:dyDescent="0.25">
      <c r="A3492" s="218" t="s">
        <v>220</v>
      </c>
      <c r="B3492" s="218" t="s">
        <v>2351</v>
      </c>
      <c r="C3492" s="219" t="s">
        <v>2688</v>
      </c>
      <c r="D3492" s="212" t="s">
        <v>2689</v>
      </c>
      <c r="E3492" s="212" t="s">
        <v>545</v>
      </c>
      <c r="F3492" s="213">
        <v>1</v>
      </c>
      <c r="G3492" s="213">
        <v>520</v>
      </c>
      <c r="H3492" s="195">
        <v>520</v>
      </c>
      <c r="I3492" s="212" t="s">
        <v>2354</v>
      </c>
    </row>
    <row r="3493" spans="1:9" x14ac:dyDescent="0.25">
      <c r="A3493" s="218" t="s">
        <v>220</v>
      </c>
      <c r="B3493" s="218" t="s">
        <v>2351</v>
      </c>
      <c r="C3493" s="219" t="s">
        <v>5305</v>
      </c>
      <c r="D3493" s="212" t="s">
        <v>5306</v>
      </c>
      <c r="E3493" s="212" t="s">
        <v>545</v>
      </c>
      <c r="F3493" s="213">
        <v>1</v>
      </c>
      <c r="G3493" s="213">
        <v>529.20000000000005</v>
      </c>
      <c r="H3493" s="195">
        <v>529.20000000000005</v>
      </c>
      <c r="I3493" s="212" t="s">
        <v>2354</v>
      </c>
    </row>
    <row r="3494" spans="1:9" x14ac:dyDescent="0.25">
      <c r="A3494" s="218" t="s">
        <v>220</v>
      </c>
      <c r="B3494" s="218" t="s">
        <v>5430</v>
      </c>
      <c r="C3494" s="219" t="s">
        <v>5305</v>
      </c>
      <c r="D3494" s="212" t="s">
        <v>5306</v>
      </c>
      <c r="E3494" s="212" t="s">
        <v>545</v>
      </c>
      <c r="F3494" s="213">
        <v>1</v>
      </c>
      <c r="G3494" s="213">
        <v>529.20000000000005</v>
      </c>
      <c r="H3494" s="195">
        <v>529.20000000000005</v>
      </c>
      <c r="I3494" s="212" t="s">
        <v>2354</v>
      </c>
    </row>
    <row r="3495" spans="1:9" x14ac:dyDescent="0.25">
      <c r="A3495" s="218" t="s">
        <v>220</v>
      </c>
      <c r="B3495" s="218" t="s">
        <v>5430</v>
      </c>
      <c r="C3495" s="219" t="s">
        <v>5745</v>
      </c>
      <c r="D3495" s="212" t="s">
        <v>5746</v>
      </c>
      <c r="E3495" s="212" t="s">
        <v>7558</v>
      </c>
      <c r="F3495" s="213">
        <v>10</v>
      </c>
      <c r="G3495" s="213">
        <v>53.241300000000003</v>
      </c>
      <c r="H3495" s="195">
        <v>532.41300000000001</v>
      </c>
      <c r="I3495" s="212" t="s">
        <v>2354</v>
      </c>
    </row>
    <row r="3496" spans="1:9" x14ac:dyDescent="0.25">
      <c r="A3496" s="218" t="s">
        <v>220</v>
      </c>
      <c r="B3496" s="218" t="s">
        <v>5430</v>
      </c>
      <c r="C3496" s="219" t="s">
        <v>6449</v>
      </c>
      <c r="D3496" s="212" t="s">
        <v>6450</v>
      </c>
      <c r="E3496" s="212" t="s">
        <v>545</v>
      </c>
      <c r="F3496" s="213">
        <v>3</v>
      </c>
      <c r="G3496" s="213">
        <v>178.88</v>
      </c>
      <c r="H3496" s="195">
        <v>536.64</v>
      </c>
      <c r="I3496" s="212" t="s">
        <v>2354</v>
      </c>
    </row>
    <row r="3497" spans="1:9" x14ac:dyDescent="0.25">
      <c r="A3497" s="218" t="s">
        <v>220</v>
      </c>
      <c r="B3497" s="218" t="s">
        <v>5430</v>
      </c>
      <c r="C3497" s="219" t="s">
        <v>7252</v>
      </c>
      <c r="D3497" s="212" t="s">
        <v>7253</v>
      </c>
      <c r="E3497" s="212" t="s">
        <v>545</v>
      </c>
      <c r="F3497" s="213">
        <v>2</v>
      </c>
      <c r="G3497" s="213">
        <v>269.51400000000001</v>
      </c>
      <c r="H3497" s="195">
        <v>539.02800000000002</v>
      </c>
      <c r="I3497" s="212" t="s">
        <v>2354</v>
      </c>
    </row>
    <row r="3498" spans="1:9" x14ac:dyDescent="0.25">
      <c r="A3498" s="218" t="s">
        <v>220</v>
      </c>
      <c r="B3498" s="218" t="s">
        <v>5430</v>
      </c>
      <c r="C3498" s="219" t="s">
        <v>6911</v>
      </c>
      <c r="D3498" s="212" t="s">
        <v>6912</v>
      </c>
      <c r="E3498" s="212" t="s">
        <v>545</v>
      </c>
      <c r="F3498" s="213">
        <v>5</v>
      </c>
      <c r="G3498" s="213">
        <v>108.461375</v>
      </c>
      <c r="H3498" s="195">
        <v>542.30687499999999</v>
      </c>
      <c r="I3498" s="212" t="s">
        <v>2354</v>
      </c>
    </row>
    <row r="3499" spans="1:9" x14ac:dyDescent="0.25">
      <c r="A3499" s="218" t="s">
        <v>220</v>
      </c>
      <c r="B3499" s="218" t="s">
        <v>5430</v>
      </c>
      <c r="C3499" s="219" t="s">
        <v>5500</v>
      </c>
      <c r="D3499" s="212" t="s">
        <v>5501</v>
      </c>
      <c r="E3499" s="212" t="s">
        <v>545</v>
      </c>
      <c r="F3499" s="213">
        <v>1</v>
      </c>
      <c r="G3499" s="213">
        <v>542.64599999999996</v>
      </c>
      <c r="H3499" s="195">
        <v>542.64599999999996</v>
      </c>
      <c r="I3499" s="212" t="s">
        <v>2354</v>
      </c>
    </row>
    <row r="3500" spans="1:9" x14ac:dyDescent="0.25">
      <c r="A3500" s="218" t="s">
        <v>220</v>
      </c>
      <c r="B3500" s="218" t="s">
        <v>5430</v>
      </c>
      <c r="C3500" s="219" t="s">
        <v>7336</v>
      </c>
      <c r="D3500" s="212" t="s">
        <v>7337</v>
      </c>
      <c r="E3500" s="212" t="s">
        <v>545</v>
      </c>
      <c r="F3500" s="213">
        <v>1</v>
      </c>
      <c r="G3500" s="213">
        <v>542.71479999999997</v>
      </c>
      <c r="H3500" s="195">
        <v>542.71479999999997</v>
      </c>
      <c r="I3500" s="212" t="s">
        <v>2354</v>
      </c>
    </row>
    <row r="3501" spans="1:9" x14ac:dyDescent="0.25">
      <c r="A3501" s="218" t="s">
        <v>220</v>
      </c>
      <c r="B3501" s="218" t="s">
        <v>2351</v>
      </c>
      <c r="C3501" s="219" t="s">
        <v>4115</v>
      </c>
      <c r="D3501" s="212" t="s">
        <v>4116</v>
      </c>
      <c r="E3501" s="212" t="s">
        <v>545</v>
      </c>
      <c r="F3501" s="213">
        <v>2</v>
      </c>
      <c r="G3501" s="213">
        <v>273.79950000000002</v>
      </c>
      <c r="H3501" s="195">
        <v>547.59900000000005</v>
      </c>
      <c r="I3501" s="212" t="s">
        <v>2354</v>
      </c>
    </row>
    <row r="3502" spans="1:9" x14ac:dyDescent="0.25">
      <c r="A3502" s="218" t="s">
        <v>220</v>
      </c>
      <c r="B3502" s="218" t="s">
        <v>2351</v>
      </c>
      <c r="C3502" s="219" t="s">
        <v>4023</v>
      </c>
      <c r="D3502" s="212" t="s">
        <v>4024</v>
      </c>
      <c r="E3502" s="212" t="s">
        <v>545</v>
      </c>
      <c r="F3502" s="213">
        <v>22</v>
      </c>
      <c r="G3502" s="213">
        <v>25</v>
      </c>
      <c r="H3502" s="195">
        <v>550</v>
      </c>
      <c r="I3502" s="212" t="s">
        <v>2354</v>
      </c>
    </row>
    <row r="3503" spans="1:9" x14ac:dyDescent="0.25">
      <c r="A3503" s="218" t="s">
        <v>220</v>
      </c>
      <c r="B3503" s="218" t="s">
        <v>2351</v>
      </c>
      <c r="C3503" s="219" t="s">
        <v>3419</v>
      </c>
      <c r="D3503" s="212" t="s">
        <v>3420</v>
      </c>
      <c r="E3503" s="212" t="s">
        <v>545</v>
      </c>
      <c r="F3503" s="213">
        <v>4</v>
      </c>
      <c r="G3503" s="213">
        <v>138</v>
      </c>
      <c r="H3503" s="195">
        <v>552</v>
      </c>
      <c r="I3503" s="212" t="s">
        <v>2354</v>
      </c>
    </row>
    <row r="3504" spans="1:9" x14ac:dyDescent="0.25">
      <c r="A3504" s="218" t="s">
        <v>220</v>
      </c>
      <c r="B3504" s="218" t="s">
        <v>2351</v>
      </c>
      <c r="C3504" s="219" t="s">
        <v>2608</v>
      </c>
      <c r="D3504" s="212" t="s">
        <v>2609</v>
      </c>
      <c r="E3504" s="212" t="s">
        <v>545</v>
      </c>
      <c r="F3504" s="213">
        <v>2</v>
      </c>
      <c r="G3504" s="213">
        <v>276.65456054229355</v>
      </c>
      <c r="H3504" s="195">
        <v>553.3091210845871</v>
      </c>
      <c r="I3504" s="212" t="s">
        <v>2354</v>
      </c>
    </row>
    <row r="3505" spans="1:9" x14ac:dyDescent="0.25">
      <c r="A3505" s="218" t="s">
        <v>220</v>
      </c>
      <c r="B3505" s="218" t="s">
        <v>5430</v>
      </c>
      <c r="C3505" s="219" t="s">
        <v>6905</v>
      </c>
      <c r="D3505" s="212" t="s">
        <v>6906</v>
      </c>
      <c r="E3505" s="212" t="s">
        <v>545</v>
      </c>
      <c r="F3505" s="213">
        <v>4</v>
      </c>
      <c r="G3505" s="213">
        <v>138.33869000000001</v>
      </c>
      <c r="H3505" s="195">
        <v>553.35476000000006</v>
      </c>
      <c r="I3505" s="212" t="s">
        <v>2354</v>
      </c>
    </row>
    <row r="3506" spans="1:9" x14ac:dyDescent="0.25">
      <c r="A3506" s="218" t="s">
        <v>220</v>
      </c>
      <c r="B3506" s="218" t="s">
        <v>2351</v>
      </c>
      <c r="C3506" s="219" t="s">
        <v>4223</v>
      </c>
      <c r="D3506" s="212" t="s">
        <v>4224</v>
      </c>
      <c r="E3506" s="212" t="s">
        <v>545</v>
      </c>
      <c r="F3506" s="213">
        <v>2</v>
      </c>
      <c r="G3506" s="213">
        <v>277.66694999999999</v>
      </c>
      <c r="H3506" s="195">
        <v>555.33389999999997</v>
      </c>
      <c r="I3506" s="212" t="s">
        <v>2354</v>
      </c>
    </row>
    <row r="3507" spans="1:9" x14ac:dyDescent="0.25">
      <c r="A3507" s="218" t="s">
        <v>220</v>
      </c>
      <c r="B3507" s="218" t="s">
        <v>2351</v>
      </c>
      <c r="C3507" s="219" t="s">
        <v>4528</v>
      </c>
      <c r="D3507" s="212" t="s">
        <v>4529</v>
      </c>
      <c r="E3507" s="212" t="s">
        <v>545</v>
      </c>
      <c r="F3507" s="213">
        <v>6</v>
      </c>
      <c r="G3507" s="213">
        <v>92.860799999999998</v>
      </c>
      <c r="H3507" s="195">
        <v>557.16480000000001</v>
      </c>
      <c r="I3507" s="212" t="s">
        <v>2354</v>
      </c>
    </row>
    <row r="3508" spans="1:9" x14ac:dyDescent="0.25">
      <c r="A3508" s="218" t="s">
        <v>220</v>
      </c>
      <c r="B3508" s="218" t="s">
        <v>2351</v>
      </c>
      <c r="C3508" s="219" t="s">
        <v>4227</v>
      </c>
      <c r="D3508" s="212" t="s">
        <v>4228</v>
      </c>
      <c r="E3508" s="212" t="s">
        <v>545</v>
      </c>
      <c r="F3508" s="213">
        <v>2</v>
      </c>
      <c r="G3508" s="213">
        <v>280</v>
      </c>
      <c r="H3508" s="195">
        <v>560</v>
      </c>
      <c r="I3508" s="212" t="s">
        <v>2354</v>
      </c>
    </row>
    <row r="3509" spans="1:9" x14ac:dyDescent="0.25">
      <c r="A3509" s="218" t="s">
        <v>220</v>
      </c>
      <c r="B3509" s="218" t="s">
        <v>2351</v>
      </c>
      <c r="C3509" s="219" t="s">
        <v>3755</v>
      </c>
      <c r="D3509" s="212" t="s">
        <v>3756</v>
      </c>
      <c r="E3509" s="212" t="s">
        <v>2387</v>
      </c>
      <c r="F3509" s="213">
        <v>5</v>
      </c>
      <c r="G3509" s="213">
        <v>112.5</v>
      </c>
      <c r="H3509" s="195">
        <v>562.5</v>
      </c>
      <c r="I3509" s="212" t="s">
        <v>2354</v>
      </c>
    </row>
    <row r="3510" spans="1:9" x14ac:dyDescent="0.25">
      <c r="A3510" s="218" t="s">
        <v>220</v>
      </c>
      <c r="B3510" s="218" t="s">
        <v>2351</v>
      </c>
      <c r="C3510" s="219" t="s">
        <v>3863</v>
      </c>
      <c r="D3510" s="212" t="s">
        <v>3864</v>
      </c>
      <c r="E3510" s="212" t="s">
        <v>545</v>
      </c>
      <c r="F3510" s="213">
        <v>2</v>
      </c>
      <c r="G3510" s="213">
        <v>281.60500000000002</v>
      </c>
      <c r="H3510" s="195">
        <v>563.21</v>
      </c>
      <c r="I3510" s="212" t="s">
        <v>2354</v>
      </c>
    </row>
    <row r="3511" spans="1:9" x14ac:dyDescent="0.25">
      <c r="A3511" s="218" t="s">
        <v>220</v>
      </c>
      <c r="B3511" s="218" t="s">
        <v>5430</v>
      </c>
      <c r="C3511" s="219" t="s">
        <v>6925</v>
      </c>
      <c r="D3511" s="212" t="s">
        <v>6926</v>
      </c>
      <c r="E3511" s="212" t="s">
        <v>545</v>
      </c>
      <c r="F3511" s="213">
        <v>5</v>
      </c>
      <c r="G3511" s="213">
        <v>113.4</v>
      </c>
      <c r="H3511" s="195">
        <v>567</v>
      </c>
      <c r="I3511" s="212" t="s">
        <v>2354</v>
      </c>
    </row>
    <row r="3512" spans="1:9" x14ac:dyDescent="0.25">
      <c r="A3512" s="218" t="s">
        <v>220</v>
      </c>
      <c r="B3512" s="218" t="s">
        <v>2351</v>
      </c>
      <c r="C3512" s="219" t="s">
        <v>2474</v>
      </c>
      <c r="D3512" s="212" t="s">
        <v>2475</v>
      </c>
      <c r="E3512" s="212" t="s">
        <v>545</v>
      </c>
      <c r="F3512" s="213">
        <v>3</v>
      </c>
      <c r="G3512" s="213">
        <v>189.6858</v>
      </c>
      <c r="H3512" s="195">
        <v>569.05740000000003</v>
      </c>
      <c r="I3512" s="212" t="s">
        <v>2354</v>
      </c>
    </row>
    <row r="3513" spans="1:9" x14ac:dyDescent="0.25">
      <c r="A3513" s="218" t="s">
        <v>220</v>
      </c>
      <c r="B3513" s="218" t="s">
        <v>5430</v>
      </c>
      <c r="C3513" s="219" t="s">
        <v>6009</v>
      </c>
      <c r="D3513" s="212" t="s">
        <v>6010</v>
      </c>
      <c r="E3513" s="212" t="s">
        <v>545</v>
      </c>
      <c r="F3513" s="213">
        <v>6</v>
      </c>
      <c r="G3513" s="213">
        <v>94.973100000000002</v>
      </c>
      <c r="H3513" s="195">
        <v>569.83860000000004</v>
      </c>
      <c r="I3513" s="212" t="s">
        <v>2354</v>
      </c>
    </row>
    <row r="3514" spans="1:9" x14ac:dyDescent="0.25">
      <c r="A3514" s="218" t="s">
        <v>220</v>
      </c>
      <c r="B3514" s="218" t="s">
        <v>2351</v>
      </c>
      <c r="C3514" s="219" t="s">
        <v>3042</v>
      </c>
      <c r="D3514" s="212" t="s">
        <v>3043</v>
      </c>
      <c r="E3514" s="212" t="s">
        <v>545</v>
      </c>
      <c r="F3514" s="213">
        <v>14</v>
      </c>
      <c r="G3514" s="213">
        <v>40.950000000000003</v>
      </c>
      <c r="H3514" s="195">
        <v>573.30000000000007</v>
      </c>
      <c r="I3514" s="212" t="s">
        <v>2354</v>
      </c>
    </row>
    <row r="3515" spans="1:9" x14ac:dyDescent="0.25">
      <c r="A3515" s="218" t="s">
        <v>220</v>
      </c>
      <c r="B3515" s="218" t="s">
        <v>2351</v>
      </c>
      <c r="C3515" s="219" t="s">
        <v>2459</v>
      </c>
      <c r="D3515" s="212" t="s">
        <v>2460</v>
      </c>
      <c r="E3515" s="212" t="s">
        <v>545</v>
      </c>
      <c r="F3515" s="213">
        <v>4</v>
      </c>
      <c r="G3515" s="213">
        <v>143.422346</v>
      </c>
      <c r="H3515" s="195">
        <v>573.68938400000002</v>
      </c>
      <c r="I3515" s="212" t="s">
        <v>2354</v>
      </c>
    </row>
    <row r="3516" spans="1:9" x14ac:dyDescent="0.25">
      <c r="A3516" s="218" t="s">
        <v>220</v>
      </c>
      <c r="B3516" s="218" t="s">
        <v>2351</v>
      </c>
      <c r="C3516" s="219" t="s">
        <v>4219</v>
      </c>
      <c r="D3516" s="212" t="s">
        <v>4220</v>
      </c>
      <c r="E3516" s="212" t="s">
        <v>545</v>
      </c>
      <c r="F3516" s="213">
        <v>12</v>
      </c>
      <c r="G3516" s="213">
        <v>47.956999999999994</v>
      </c>
      <c r="H3516" s="195">
        <v>575.48399999999992</v>
      </c>
      <c r="I3516" s="212" t="s">
        <v>2354</v>
      </c>
    </row>
    <row r="3517" spans="1:9" x14ac:dyDescent="0.25">
      <c r="A3517" s="218" t="s">
        <v>220</v>
      </c>
      <c r="B3517" s="218" t="s">
        <v>2351</v>
      </c>
      <c r="C3517" s="219" t="s">
        <v>2814</v>
      </c>
      <c r="D3517" s="212" t="s">
        <v>2815</v>
      </c>
      <c r="E3517" s="212" t="s">
        <v>545</v>
      </c>
      <c r="F3517" s="213">
        <v>4</v>
      </c>
      <c r="G3517" s="213">
        <v>144.81</v>
      </c>
      <c r="H3517" s="195">
        <v>579.24</v>
      </c>
      <c r="I3517" s="212" t="s">
        <v>2354</v>
      </c>
    </row>
    <row r="3518" spans="1:9" x14ac:dyDescent="0.25">
      <c r="A3518" s="218" t="s">
        <v>220</v>
      </c>
      <c r="B3518" s="218" t="s">
        <v>2351</v>
      </c>
      <c r="C3518" s="219" t="s">
        <v>3801</v>
      </c>
      <c r="D3518" s="212" t="s">
        <v>3802</v>
      </c>
      <c r="E3518" s="212" t="s">
        <v>545</v>
      </c>
      <c r="F3518" s="213">
        <v>4</v>
      </c>
      <c r="G3518" s="213">
        <v>145</v>
      </c>
      <c r="H3518" s="195">
        <v>580</v>
      </c>
      <c r="I3518" s="212" t="s">
        <v>2354</v>
      </c>
    </row>
    <row r="3519" spans="1:9" x14ac:dyDescent="0.25">
      <c r="A3519" s="218" t="s">
        <v>220</v>
      </c>
      <c r="B3519" s="218" t="s">
        <v>2351</v>
      </c>
      <c r="C3519" s="219" t="s">
        <v>2616</v>
      </c>
      <c r="D3519" s="212" t="s">
        <v>2617</v>
      </c>
      <c r="E3519" s="212" t="s">
        <v>545</v>
      </c>
      <c r="F3519" s="213">
        <v>4</v>
      </c>
      <c r="G3519" s="213">
        <v>145.90799999999999</v>
      </c>
      <c r="H3519" s="195">
        <v>583.63199999999995</v>
      </c>
      <c r="I3519" s="212" t="s">
        <v>2354</v>
      </c>
    </row>
    <row r="3520" spans="1:9" x14ac:dyDescent="0.25">
      <c r="A3520" s="218" t="s">
        <v>220</v>
      </c>
      <c r="B3520" s="218" t="s">
        <v>5430</v>
      </c>
      <c r="C3520" s="219" t="s">
        <v>6047</v>
      </c>
      <c r="D3520" s="212" t="s">
        <v>6048</v>
      </c>
      <c r="E3520" s="212" t="s">
        <v>545</v>
      </c>
      <c r="F3520" s="213">
        <v>3</v>
      </c>
      <c r="G3520" s="213">
        <v>194.59440000000004</v>
      </c>
      <c r="H3520" s="195">
        <v>583.78320000000008</v>
      </c>
      <c r="I3520" s="212" t="s">
        <v>2354</v>
      </c>
    </row>
    <row r="3521" spans="1:9" x14ac:dyDescent="0.25">
      <c r="A3521" s="218" t="s">
        <v>220</v>
      </c>
      <c r="B3521" s="218" t="s">
        <v>2351</v>
      </c>
      <c r="C3521" s="219" t="s">
        <v>3861</v>
      </c>
      <c r="D3521" s="212" t="s">
        <v>3862</v>
      </c>
      <c r="E3521" s="212" t="s">
        <v>545</v>
      </c>
      <c r="F3521" s="213">
        <v>1</v>
      </c>
      <c r="G3521" s="213">
        <v>588.6</v>
      </c>
      <c r="H3521" s="195">
        <v>588.6</v>
      </c>
      <c r="I3521" s="212" t="s">
        <v>2354</v>
      </c>
    </row>
    <row r="3522" spans="1:9" x14ac:dyDescent="0.25">
      <c r="A3522" s="218" t="s">
        <v>220</v>
      </c>
      <c r="B3522" s="218" t="s">
        <v>2351</v>
      </c>
      <c r="C3522" s="219" t="s">
        <v>4407</v>
      </c>
      <c r="D3522" s="212" t="s">
        <v>4408</v>
      </c>
      <c r="E3522" s="212" t="s">
        <v>545</v>
      </c>
      <c r="F3522" s="213">
        <v>13</v>
      </c>
      <c r="G3522" s="213">
        <v>45.45</v>
      </c>
      <c r="H3522" s="195">
        <v>590.85</v>
      </c>
      <c r="I3522" s="212" t="s">
        <v>2354</v>
      </c>
    </row>
    <row r="3523" spans="1:9" x14ac:dyDescent="0.25">
      <c r="A3523" s="218" t="s">
        <v>220</v>
      </c>
      <c r="B3523" s="218" t="s">
        <v>2351</v>
      </c>
      <c r="C3523" s="219" t="s">
        <v>4428</v>
      </c>
      <c r="D3523" s="212" t="s">
        <v>4429</v>
      </c>
      <c r="E3523" s="212" t="s">
        <v>2387</v>
      </c>
      <c r="F3523" s="213">
        <v>20</v>
      </c>
      <c r="G3523" s="213">
        <v>29.7</v>
      </c>
      <c r="H3523" s="195">
        <v>594</v>
      </c>
      <c r="I3523" s="212" t="s">
        <v>2354</v>
      </c>
    </row>
    <row r="3524" spans="1:9" x14ac:dyDescent="0.25">
      <c r="A3524" s="218" t="s">
        <v>220</v>
      </c>
      <c r="B3524" s="218" t="s">
        <v>2351</v>
      </c>
      <c r="C3524" s="219" t="s">
        <v>4231</v>
      </c>
      <c r="D3524" s="212" t="s">
        <v>4232</v>
      </c>
      <c r="E3524" s="212" t="s">
        <v>545</v>
      </c>
      <c r="F3524" s="213">
        <v>1</v>
      </c>
      <c r="G3524" s="213">
        <v>596.73599999999999</v>
      </c>
      <c r="H3524" s="195">
        <v>596.73599999999999</v>
      </c>
      <c r="I3524" s="212" t="s">
        <v>2354</v>
      </c>
    </row>
    <row r="3525" spans="1:9" x14ac:dyDescent="0.25">
      <c r="A3525" s="218" t="s">
        <v>220</v>
      </c>
      <c r="B3525" s="218" t="s">
        <v>5430</v>
      </c>
      <c r="C3525" s="219" t="s">
        <v>5672</v>
      </c>
      <c r="D3525" s="212" t="s">
        <v>5673</v>
      </c>
      <c r="E3525" s="212" t="s">
        <v>545</v>
      </c>
      <c r="F3525" s="213">
        <v>1</v>
      </c>
      <c r="G3525" s="213">
        <v>604.39700000000005</v>
      </c>
      <c r="H3525" s="195">
        <v>604.39700000000005</v>
      </c>
      <c r="I3525" s="212" t="s">
        <v>2354</v>
      </c>
    </row>
    <row r="3526" spans="1:9" x14ac:dyDescent="0.25">
      <c r="A3526" s="218" t="s">
        <v>220</v>
      </c>
      <c r="B3526" s="218" t="s">
        <v>2351</v>
      </c>
      <c r="C3526" s="219" t="s">
        <v>5062</v>
      </c>
      <c r="D3526" s="212" t="s">
        <v>5063</v>
      </c>
      <c r="E3526" s="212" t="s">
        <v>545</v>
      </c>
      <c r="F3526" s="213">
        <v>160</v>
      </c>
      <c r="G3526" s="213">
        <v>3.8250000000000002</v>
      </c>
      <c r="H3526" s="195">
        <v>612</v>
      </c>
      <c r="I3526" s="212" t="s">
        <v>2354</v>
      </c>
    </row>
    <row r="3527" spans="1:9" x14ac:dyDescent="0.25">
      <c r="A3527" s="218" t="s">
        <v>220</v>
      </c>
      <c r="B3527" s="218" t="s">
        <v>2351</v>
      </c>
      <c r="C3527" s="219" t="s">
        <v>2496</v>
      </c>
      <c r="D3527" s="212" t="s">
        <v>2497</v>
      </c>
      <c r="E3527" s="212" t="s">
        <v>545</v>
      </c>
      <c r="F3527" s="213">
        <v>240</v>
      </c>
      <c r="G3527" s="213">
        <v>2.5506016440962149</v>
      </c>
      <c r="H3527" s="195">
        <v>612.14439458309153</v>
      </c>
      <c r="I3527" s="212" t="s">
        <v>2354</v>
      </c>
    </row>
    <row r="3528" spans="1:9" x14ac:dyDescent="0.25">
      <c r="A3528" s="218" t="s">
        <v>220</v>
      </c>
      <c r="B3528" s="218" t="s">
        <v>5430</v>
      </c>
      <c r="C3528" s="219" t="s">
        <v>6367</v>
      </c>
      <c r="D3528" s="212" t="s">
        <v>6368</v>
      </c>
      <c r="E3528" s="212" t="s">
        <v>545</v>
      </c>
      <c r="F3528" s="213">
        <v>3</v>
      </c>
      <c r="G3528" s="213">
        <v>206.1</v>
      </c>
      <c r="H3528" s="195">
        <v>618.29999999999995</v>
      </c>
      <c r="I3528" s="212" t="s">
        <v>2354</v>
      </c>
    </row>
    <row r="3529" spans="1:9" x14ac:dyDescent="0.25">
      <c r="A3529" s="218" t="s">
        <v>220</v>
      </c>
      <c r="B3529" s="218" t="s">
        <v>2351</v>
      </c>
      <c r="C3529" s="219" t="s">
        <v>3127</v>
      </c>
      <c r="D3529" s="212" t="s">
        <v>5313</v>
      </c>
      <c r="E3529" s="212" t="s">
        <v>545</v>
      </c>
      <c r="F3529" s="213">
        <v>2</v>
      </c>
      <c r="G3529" s="213">
        <v>311.39800000000002</v>
      </c>
      <c r="H3529" s="195">
        <v>622.79600000000005</v>
      </c>
      <c r="I3529" s="212" t="s">
        <v>2354</v>
      </c>
    </row>
    <row r="3530" spans="1:9" x14ac:dyDescent="0.25">
      <c r="A3530" s="218" t="s">
        <v>220</v>
      </c>
      <c r="B3530" s="218" t="s">
        <v>2351</v>
      </c>
      <c r="C3530" s="219" t="s">
        <v>3373</v>
      </c>
      <c r="D3530" s="212" t="s">
        <v>3374</v>
      </c>
      <c r="E3530" s="212" t="s">
        <v>545</v>
      </c>
      <c r="F3530" s="213">
        <v>1</v>
      </c>
      <c r="G3530" s="213">
        <v>625.05600000000004</v>
      </c>
      <c r="H3530" s="195">
        <v>625.05600000000004</v>
      </c>
      <c r="I3530" s="212" t="s">
        <v>2354</v>
      </c>
    </row>
    <row r="3531" spans="1:9" x14ac:dyDescent="0.25">
      <c r="A3531" s="218" t="s">
        <v>220</v>
      </c>
      <c r="B3531" s="218" t="s">
        <v>2351</v>
      </c>
      <c r="C3531" s="219" t="s">
        <v>4728</v>
      </c>
      <c r="D3531" s="212" t="s">
        <v>4729</v>
      </c>
      <c r="E3531" s="212" t="s">
        <v>545</v>
      </c>
      <c r="F3531" s="213">
        <v>135</v>
      </c>
      <c r="G3531" s="213">
        <v>4.6519578313253014</v>
      </c>
      <c r="H3531" s="195">
        <v>628.01430722891564</v>
      </c>
      <c r="I3531" s="212" t="s">
        <v>2354</v>
      </c>
    </row>
    <row r="3532" spans="1:9" x14ac:dyDescent="0.25">
      <c r="A3532" s="218" t="s">
        <v>220</v>
      </c>
      <c r="B3532" s="218" t="s">
        <v>2351</v>
      </c>
      <c r="C3532" s="219" t="s">
        <v>2994</v>
      </c>
      <c r="D3532" s="212" t="s">
        <v>2995</v>
      </c>
      <c r="E3532" s="212" t="s">
        <v>545</v>
      </c>
      <c r="F3532" s="213">
        <v>8</v>
      </c>
      <c r="G3532" s="213">
        <v>79.137</v>
      </c>
      <c r="H3532" s="195">
        <v>633.096</v>
      </c>
      <c r="I3532" s="212" t="s">
        <v>2354</v>
      </c>
    </row>
    <row r="3533" spans="1:9" x14ac:dyDescent="0.25">
      <c r="A3533" s="218" t="s">
        <v>220</v>
      </c>
      <c r="B3533" s="218" t="s">
        <v>5430</v>
      </c>
      <c r="C3533" s="219" t="s">
        <v>6089</v>
      </c>
      <c r="D3533" s="212" t="s">
        <v>6090</v>
      </c>
      <c r="E3533" s="212" t="s">
        <v>545</v>
      </c>
      <c r="F3533" s="213">
        <v>6</v>
      </c>
      <c r="G3533" s="213">
        <v>107.28</v>
      </c>
      <c r="H3533" s="195">
        <v>643.68000000000006</v>
      </c>
      <c r="I3533" s="212" t="s">
        <v>2354</v>
      </c>
    </row>
    <row r="3534" spans="1:9" x14ac:dyDescent="0.25">
      <c r="A3534" s="218" t="s">
        <v>220</v>
      </c>
      <c r="B3534" s="218" t="s">
        <v>5430</v>
      </c>
      <c r="C3534" s="219" t="s">
        <v>5582</v>
      </c>
      <c r="D3534" s="212" t="s">
        <v>5583</v>
      </c>
      <c r="E3534" s="212" t="s">
        <v>545</v>
      </c>
      <c r="F3534" s="213">
        <v>1</v>
      </c>
      <c r="G3534" s="213">
        <v>651.53894000000003</v>
      </c>
      <c r="H3534" s="195">
        <v>651.53894000000003</v>
      </c>
      <c r="I3534" s="212" t="s">
        <v>2354</v>
      </c>
    </row>
    <row r="3535" spans="1:9" x14ac:dyDescent="0.25">
      <c r="A3535" s="218" t="s">
        <v>220</v>
      </c>
      <c r="B3535" s="218" t="s">
        <v>5430</v>
      </c>
      <c r="C3535" s="219" t="s">
        <v>6036</v>
      </c>
      <c r="D3535" s="212" t="s">
        <v>6037</v>
      </c>
      <c r="E3535" s="212" t="s">
        <v>2473</v>
      </c>
      <c r="F3535" s="213">
        <v>10</v>
      </c>
      <c r="G3535" s="213">
        <v>65.412000000000006</v>
      </c>
      <c r="H3535" s="195">
        <v>654.12000000000012</v>
      </c>
      <c r="I3535" s="212" t="s">
        <v>2354</v>
      </c>
    </row>
    <row r="3536" spans="1:9" x14ac:dyDescent="0.25">
      <c r="A3536" s="218" t="s">
        <v>220</v>
      </c>
      <c r="B3536" s="218" t="s">
        <v>2351</v>
      </c>
      <c r="C3536" s="219" t="s">
        <v>4119</v>
      </c>
      <c r="D3536" s="212" t="s">
        <v>4120</v>
      </c>
      <c r="E3536" s="212" t="s">
        <v>545</v>
      </c>
      <c r="F3536" s="213">
        <v>1</v>
      </c>
      <c r="G3536" s="213">
        <v>656.72973000000002</v>
      </c>
      <c r="H3536" s="195">
        <v>656.72973000000002</v>
      </c>
      <c r="I3536" s="212" t="s">
        <v>2354</v>
      </c>
    </row>
    <row r="3537" spans="1:9" x14ac:dyDescent="0.25">
      <c r="A3537" s="218" t="s">
        <v>220</v>
      </c>
      <c r="B3537" s="218" t="s">
        <v>5430</v>
      </c>
      <c r="C3537" s="219"/>
      <c r="D3537" s="212" t="s">
        <v>5475</v>
      </c>
      <c r="E3537" s="212" t="s">
        <v>2387</v>
      </c>
      <c r="F3537" s="213">
        <v>160</v>
      </c>
      <c r="G3537" s="213">
        <v>4.1109999999999998</v>
      </c>
      <c r="H3537" s="195">
        <v>657.76</v>
      </c>
      <c r="I3537" s="212" t="s">
        <v>2354</v>
      </c>
    </row>
    <row r="3538" spans="1:9" x14ac:dyDescent="0.25">
      <c r="A3538" s="218" t="s">
        <v>220</v>
      </c>
      <c r="B3538" s="218" t="s">
        <v>2351</v>
      </c>
      <c r="C3538" s="219" t="s">
        <v>3409</v>
      </c>
      <c r="D3538" s="212" t="s">
        <v>3410</v>
      </c>
      <c r="E3538" s="212" t="s">
        <v>545</v>
      </c>
      <c r="F3538" s="213">
        <v>4</v>
      </c>
      <c r="G3538" s="213">
        <v>165.3</v>
      </c>
      <c r="H3538" s="195">
        <v>661.2</v>
      </c>
      <c r="I3538" s="212" t="s">
        <v>2354</v>
      </c>
    </row>
    <row r="3539" spans="1:9" x14ac:dyDescent="0.25">
      <c r="A3539" s="218" t="s">
        <v>220</v>
      </c>
      <c r="B3539" s="218" t="s">
        <v>5430</v>
      </c>
      <c r="C3539" s="219" t="s">
        <v>6941</v>
      </c>
      <c r="D3539" s="212" t="s">
        <v>6942</v>
      </c>
      <c r="E3539" s="212" t="s">
        <v>545</v>
      </c>
      <c r="F3539" s="213">
        <v>3</v>
      </c>
      <c r="G3539" s="213">
        <v>221.25059999999996</v>
      </c>
      <c r="H3539" s="195">
        <v>663.75179999999989</v>
      </c>
      <c r="I3539" s="212" t="s">
        <v>2354</v>
      </c>
    </row>
    <row r="3540" spans="1:9" x14ac:dyDescent="0.25">
      <c r="A3540" s="218" t="s">
        <v>220</v>
      </c>
      <c r="B3540" s="218" t="s">
        <v>2351</v>
      </c>
      <c r="C3540" s="219" t="s">
        <v>3913</v>
      </c>
      <c r="D3540" s="212" t="s">
        <v>3914</v>
      </c>
      <c r="E3540" s="212" t="s">
        <v>2387</v>
      </c>
      <c r="F3540" s="213">
        <v>100</v>
      </c>
      <c r="G3540" s="213">
        <v>6.6429900000000002</v>
      </c>
      <c r="H3540" s="195">
        <v>664.29899999999998</v>
      </c>
      <c r="I3540" s="212" t="s">
        <v>2354</v>
      </c>
    </row>
    <row r="3541" spans="1:9" x14ac:dyDescent="0.25">
      <c r="A3541" s="218" t="s">
        <v>220</v>
      </c>
      <c r="B3541" s="218" t="s">
        <v>5430</v>
      </c>
      <c r="C3541" s="219" t="s">
        <v>7073</v>
      </c>
      <c r="D3541" s="212" t="s">
        <v>7074</v>
      </c>
      <c r="E3541" s="212" t="s">
        <v>545</v>
      </c>
      <c r="F3541" s="213">
        <v>1</v>
      </c>
      <c r="G3541" s="213">
        <v>667.68</v>
      </c>
      <c r="H3541" s="195">
        <v>667.68</v>
      </c>
      <c r="I3541" s="212" t="s">
        <v>2354</v>
      </c>
    </row>
    <row r="3542" spans="1:9" x14ac:dyDescent="0.25">
      <c r="A3542" s="218" t="s">
        <v>220</v>
      </c>
      <c r="B3542" s="218" t="s">
        <v>2351</v>
      </c>
      <c r="C3542" s="219" t="s">
        <v>2369</v>
      </c>
      <c r="D3542" s="212" t="s">
        <v>2370</v>
      </c>
      <c r="E3542" s="212" t="s">
        <v>545</v>
      </c>
      <c r="F3542" s="213">
        <v>1</v>
      </c>
      <c r="G3542" s="213">
        <v>671.37300000000005</v>
      </c>
      <c r="H3542" s="195">
        <v>671.37300000000005</v>
      </c>
      <c r="I3542" s="212" t="s">
        <v>2354</v>
      </c>
    </row>
    <row r="3543" spans="1:9" x14ac:dyDescent="0.25">
      <c r="A3543" s="218" t="s">
        <v>220</v>
      </c>
      <c r="B3543" s="218" t="s">
        <v>2351</v>
      </c>
      <c r="C3543" s="219" t="s">
        <v>2736</v>
      </c>
      <c r="D3543" s="212" t="s">
        <v>2737</v>
      </c>
      <c r="E3543" s="212" t="s">
        <v>545</v>
      </c>
      <c r="F3543" s="213">
        <v>2</v>
      </c>
      <c r="G3543" s="213">
        <v>339.3</v>
      </c>
      <c r="H3543" s="195">
        <v>678.6</v>
      </c>
      <c r="I3543" s="212" t="s">
        <v>2354</v>
      </c>
    </row>
    <row r="3544" spans="1:9" x14ac:dyDescent="0.25">
      <c r="A3544" s="218" t="s">
        <v>220</v>
      </c>
      <c r="B3544" s="218" t="s">
        <v>2351</v>
      </c>
      <c r="C3544" s="219" t="s">
        <v>3923</v>
      </c>
      <c r="D3544" s="212" t="s">
        <v>3924</v>
      </c>
      <c r="E3544" s="212" t="s">
        <v>2387</v>
      </c>
      <c r="F3544" s="213">
        <v>100</v>
      </c>
      <c r="G3544" s="213">
        <v>6.7904999999999998</v>
      </c>
      <c r="H3544" s="195">
        <v>679.05</v>
      </c>
      <c r="I3544" s="212" t="s">
        <v>2354</v>
      </c>
    </row>
    <row r="3545" spans="1:9" x14ac:dyDescent="0.25">
      <c r="A3545" s="218" t="s">
        <v>220</v>
      </c>
      <c r="B3545" s="218" t="s">
        <v>5430</v>
      </c>
      <c r="C3545" s="219" t="s">
        <v>6917</v>
      </c>
      <c r="D3545" s="212" t="s">
        <v>6918</v>
      </c>
      <c r="E3545" s="212" t="s">
        <v>545</v>
      </c>
      <c r="F3545" s="213">
        <v>3</v>
      </c>
      <c r="G3545" s="213">
        <v>227.03032999999999</v>
      </c>
      <c r="H3545" s="195">
        <v>681.09098999999992</v>
      </c>
      <c r="I3545" s="212" t="s">
        <v>2354</v>
      </c>
    </row>
    <row r="3546" spans="1:9" x14ac:dyDescent="0.25">
      <c r="A3546" s="218" t="s">
        <v>220</v>
      </c>
      <c r="B3546" s="218" t="s">
        <v>5430</v>
      </c>
      <c r="C3546" s="219" t="s">
        <v>5538</v>
      </c>
      <c r="D3546" s="212" t="s">
        <v>5539</v>
      </c>
      <c r="E3546" s="212" t="s">
        <v>545</v>
      </c>
      <c r="F3546" s="213">
        <v>5</v>
      </c>
      <c r="G3546" s="213">
        <v>136.35</v>
      </c>
      <c r="H3546" s="195">
        <v>681.75</v>
      </c>
      <c r="I3546" s="212" t="s">
        <v>2354</v>
      </c>
    </row>
    <row r="3547" spans="1:9" x14ac:dyDescent="0.25">
      <c r="A3547" s="218" t="s">
        <v>220</v>
      </c>
      <c r="B3547" s="218" t="s">
        <v>5430</v>
      </c>
      <c r="C3547" s="219" t="s">
        <v>6433</v>
      </c>
      <c r="D3547" s="212" t="s">
        <v>6434</v>
      </c>
      <c r="E3547" s="212" t="s">
        <v>2473</v>
      </c>
      <c r="F3547" s="213">
        <v>3</v>
      </c>
      <c r="G3547" s="213">
        <v>227.97375</v>
      </c>
      <c r="H3547" s="195">
        <v>683.92124999999999</v>
      </c>
      <c r="I3547" s="212" t="s">
        <v>2354</v>
      </c>
    </row>
    <row r="3548" spans="1:9" x14ac:dyDescent="0.25">
      <c r="A3548" s="218" t="s">
        <v>220</v>
      </c>
      <c r="B3548" s="218" t="s">
        <v>2351</v>
      </c>
      <c r="C3548" s="219" t="s">
        <v>5262</v>
      </c>
      <c r="D3548" s="212" t="s">
        <v>5263</v>
      </c>
      <c r="E3548" s="212" t="s">
        <v>2473</v>
      </c>
      <c r="F3548" s="213">
        <v>1</v>
      </c>
      <c r="G3548" s="213">
        <v>687.38800000000003</v>
      </c>
      <c r="H3548" s="195">
        <v>687.38800000000003</v>
      </c>
      <c r="I3548" s="212" t="s">
        <v>2354</v>
      </c>
    </row>
    <row r="3549" spans="1:9" x14ac:dyDescent="0.25">
      <c r="A3549" s="218" t="s">
        <v>220</v>
      </c>
      <c r="B3549" s="218" t="s">
        <v>2351</v>
      </c>
      <c r="C3549" s="219" t="s">
        <v>4021</v>
      </c>
      <c r="D3549" s="212" t="s">
        <v>4022</v>
      </c>
      <c r="E3549" s="212" t="s">
        <v>545</v>
      </c>
      <c r="F3549" s="213">
        <v>6</v>
      </c>
      <c r="G3549" s="213">
        <v>115</v>
      </c>
      <c r="H3549" s="195">
        <v>690</v>
      </c>
      <c r="I3549" s="212" t="s">
        <v>2354</v>
      </c>
    </row>
    <row r="3550" spans="1:9" x14ac:dyDescent="0.25">
      <c r="A3550" s="218" t="s">
        <v>220</v>
      </c>
      <c r="B3550" s="218" t="s">
        <v>5430</v>
      </c>
      <c r="C3550" s="219" t="s">
        <v>6019</v>
      </c>
      <c r="D3550" s="212" t="s">
        <v>6020</v>
      </c>
      <c r="E3550" s="212" t="s">
        <v>545</v>
      </c>
      <c r="F3550" s="213">
        <v>6</v>
      </c>
      <c r="G3550" s="213">
        <v>115.12095652173913</v>
      </c>
      <c r="H3550" s="195">
        <v>690.72573913043482</v>
      </c>
      <c r="I3550" s="212" t="s">
        <v>2354</v>
      </c>
    </row>
    <row r="3551" spans="1:9" x14ac:dyDescent="0.25">
      <c r="A3551" s="218" t="s">
        <v>220</v>
      </c>
      <c r="B3551" s="218" t="s">
        <v>5430</v>
      </c>
      <c r="C3551" s="219" t="s">
        <v>6939</v>
      </c>
      <c r="D3551" s="212" t="s">
        <v>6940</v>
      </c>
      <c r="E3551" s="212" t="s">
        <v>2473</v>
      </c>
      <c r="F3551" s="213">
        <v>4</v>
      </c>
      <c r="G3551" s="213">
        <v>172.71011578947369</v>
      </c>
      <c r="H3551" s="195">
        <v>690.84046315789476</v>
      </c>
      <c r="I3551" s="212" t="s">
        <v>2354</v>
      </c>
    </row>
    <row r="3552" spans="1:9" x14ac:dyDescent="0.25">
      <c r="A3552" s="218" t="s">
        <v>220</v>
      </c>
      <c r="B3552" s="218" t="s">
        <v>2351</v>
      </c>
      <c r="C3552" s="219" t="s">
        <v>4997</v>
      </c>
      <c r="D3552" s="212" t="s">
        <v>4998</v>
      </c>
      <c r="E3552" s="212" t="s">
        <v>545</v>
      </c>
      <c r="F3552" s="213">
        <v>150</v>
      </c>
      <c r="G3552" s="213">
        <v>4.6214500000000003</v>
      </c>
      <c r="H3552" s="195">
        <v>693.21750000000009</v>
      </c>
      <c r="I3552" s="212" t="s">
        <v>2354</v>
      </c>
    </row>
    <row r="3553" spans="1:9" x14ac:dyDescent="0.25">
      <c r="A3553" s="218" t="s">
        <v>220</v>
      </c>
      <c r="B3553" s="218" t="s">
        <v>5430</v>
      </c>
      <c r="C3553" s="219" t="s">
        <v>5447</v>
      </c>
      <c r="D3553" s="212" t="s">
        <v>5448</v>
      </c>
      <c r="E3553" s="212" t="s">
        <v>545</v>
      </c>
      <c r="F3553" s="213">
        <v>4</v>
      </c>
      <c r="G3553" s="213">
        <v>173.93219999999999</v>
      </c>
      <c r="H3553" s="195">
        <v>695.72879999999998</v>
      </c>
      <c r="I3553" s="212" t="s">
        <v>2354</v>
      </c>
    </row>
    <row r="3554" spans="1:9" x14ac:dyDescent="0.25">
      <c r="A3554" s="218" t="s">
        <v>220</v>
      </c>
      <c r="B3554" s="218" t="s">
        <v>5430</v>
      </c>
      <c r="C3554" s="219" t="s">
        <v>6210</v>
      </c>
      <c r="D3554" s="212" t="s">
        <v>6211</v>
      </c>
      <c r="E3554" s="212" t="s">
        <v>545</v>
      </c>
      <c r="F3554" s="213">
        <v>9</v>
      </c>
      <c r="G3554" s="213">
        <v>77.400000000000006</v>
      </c>
      <c r="H3554" s="195">
        <v>696.6</v>
      </c>
      <c r="I3554" s="212" t="s">
        <v>2354</v>
      </c>
    </row>
    <row r="3555" spans="1:9" x14ac:dyDescent="0.25">
      <c r="A3555" s="218" t="s">
        <v>220</v>
      </c>
      <c r="B3555" s="218" t="s">
        <v>2351</v>
      </c>
      <c r="C3555" s="219" t="s">
        <v>3063</v>
      </c>
      <c r="D3555" s="212" t="s">
        <v>3064</v>
      </c>
      <c r="E3555" s="212" t="s">
        <v>545</v>
      </c>
      <c r="F3555" s="213">
        <v>1</v>
      </c>
      <c r="G3555" s="213">
        <v>697.5</v>
      </c>
      <c r="H3555" s="195">
        <v>697.5</v>
      </c>
      <c r="I3555" s="212" t="s">
        <v>2354</v>
      </c>
    </row>
    <row r="3556" spans="1:9" x14ac:dyDescent="0.25">
      <c r="A3556" s="218" t="s">
        <v>220</v>
      </c>
      <c r="B3556" s="218" t="s">
        <v>2351</v>
      </c>
      <c r="C3556" s="219" t="s">
        <v>2606</v>
      </c>
      <c r="D3556" s="212" t="s">
        <v>2607</v>
      </c>
      <c r="E3556" s="212" t="s">
        <v>545</v>
      </c>
      <c r="F3556" s="213">
        <v>2</v>
      </c>
      <c r="G3556" s="213">
        <v>352.49033924209226</v>
      </c>
      <c r="H3556" s="195">
        <v>704.98067848418452</v>
      </c>
      <c r="I3556" s="212" t="s">
        <v>2354</v>
      </c>
    </row>
    <row r="3557" spans="1:9" x14ac:dyDescent="0.25">
      <c r="A3557" s="218" t="s">
        <v>220</v>
      </c>
      <c r="B3557" s="218" t="s">
        <v>2351</v>
      </c>
      <c r="C3557" s="219" t="s">
        <v>2812</v>
      </c>
      <c r="D3557" s="212" t="s">
        <v>2813</v>
      </c>
      <c r="E3557" s="212" t="s">
        <v>545</v>
      </c>
      <c r="F3557" s="213">
        <v>4</v>
      </c>
      <c r="G3557" s="213">
        <v>176.27939999999998</v>
      </c>
      <c r="H3557" s="195">
        <v>705.11759999999992</v>
      </c>
      <c r="I3557" s="212" t="s">
        <v>2354</v>
      </c>
    </row>
    <row r="3558" spans="1:9" x14ac:dyDescent="0.25">
      <c r="A3558" s="218" t="s">
        <v>220</v>
      </c>
      <c r="B3558" s="218" t="s">
        <v>5430</v>
      </c>
      <c r="C3558" s="219" t="s">
        <v>5653</v>
      </c>
      <c r="D3558" s="212" t="s">
        <v>5654</v>
      </c>
      <c r="E3558" s="212" t="s">
        <v>545</v>
      </c>
      <c r="F3558" s="213">
        <v>16</v>
      </c>
      <c r="G3558" s="213">
        <v>44.089500000000001</v>
      </c>
      <c r="H3558" s="195">
        <v>705.43200000000002</v>
      </c>
      <c r="I3558" s="212" t="s">
        <v>2354</v>
      </c>
    </row>
    <row r="3559" spans="1:9" x14ac:dyDescent="0.25">
      <c r="A3559" s="218" t="s">
        <v>220</v>
      </c>
      <c r="B3559" s="218" t="s">
        <v>5430</v>
      </c>
      <c r="C3559" s="219" t="s">
        <v>5643</v>
      </c>
      <c r="D3559" s="212" t="s">
        <v>5644</v>
      </c>
      <c r="E3559" s="212" t="s">
        <v>545</v>
      </c>
      <c r="F3559" s="213">
        <v>24</v>
      </c>
      <c r="G3559" s="213">
        <v>29.393000000000001</v>
      </c>
      <c r="H3559" s="195">
        <v>705.43200000000002</v>
      </c>
      <c r="I3559" s="212" t="s">
        <v>2354</v>
      </c>
    </row>
    <row r="3560" spans="1:9" x14ac:dyDescent="0.25">
      <c r="A3560" s="218" t="s">
        <v>220</v>
      </c>
      <c r="B3560" s="218" t="s">
        <v>5430</v>
      </c>
      <c r="C3560" s="219" t="s">
        <v>5649</v>
      </c>
      <c r="D3560" s="212" t="s">
        <v>5650</v>
      </c>
      <c r="E3560" s="212" t="s">
        <v>545</v>
      </c>
      <c r="F3560" s="213">
        <v>24</v>
      </c>
      <c r="G3560" s="213">
        <v>29.393000000000001</v>
      </c>
      <c r="H3560" s="195">
        <v>705.43200000000002</v>
      </c>
      <c r="I3560" s="212" t="s">
        <v>2354</v>
      </c>
    </row>
    <row r="3561" spans="1:9" x14ac:dyDescent="0.25">
      <c r="A3561" s="218" t="s">
        <v>220</v>
      </c>
      <c r="B3561" s="218" t="s">
        <v>2351</v>
      </c>
      <c r="C3561" s="219" t="s">
        <v>3795</v>
      </c>
      <c r="D3561" s="212" t="s">
        <v>3796</v>
      </c>
      <c r="E3561" s="212" t="s">
        <v>545</v>
      </c>
      <c r="F3561" s="213">
        <v>5</v>
      </c>
      <c r="G3561" s="213">
        <v>141.57864000000001</v>
      </c>
      <c r="H3561" s="195">
        <v>707.89319999999998</v>
      </c>
      <c r="I3561" s="212" t="s">
        <v>2354</v>
      </c>
    </row>
    <row r="3562" spans="1:9" x14ac:dyDescent="0.25">
      <c r="A3562" s="218" t="s">
        <v>220</v>
      </c>
      <c r="B3562" s="218" t="s">
        <v>5430</v>
      </c>
      <c r="C3562" s="219" t="s">
        <v>6447</v>
      </c>
      <c r="D3562" s="212" t="s">
        <v>6448</v>
      </c>
      <c r="E3562" s="212" t="s">
        <v>545</v>
      </c>
      <c r="F3562" s="213">
        <v>4</v>
      </c>
      <c r="G3562" s="213">
        <v>177.80600000000001</v>
      </c>
      <c r="H3562" s="195">
        <v>711.22400000000005</v>
      </c>
      <c r="I3562" s="212" t="s">
        <v>2354</v>
      </c>
    </row>
    <row r="3563" spans="1:9" x14ac:dyDescent="0.25">
      <c r="A3563" s="218" t="s">
        <v>220</v>
      </c>
      <c r="B3563" s="218" t="s">
        <v>2351</v>
      </c>
      <c r="C3563" s="219" t="s">
        <v>5396</v>
      </c>
      <c r="D3563" s="212" t="s">
        <v>5397</v>
      </c>
      <c r="E3563" s="212" t="s">
        <v>545</v>
      </c>
      <c r="F3563" s="213">
        <v>12</v>
      </c>
      <c r="G3563" s="213">
        <v>59.585000000000001</v>
      </c>
      <c r="H3563" s="195">
        <v>715.02</v>
      </c>
      <c r="I3563" s="212" t="s">
        <v>2354</v>
      </c>
    </row>
    <row r="3564" spans="1:9" x14ac:dyDescent="0.25">
      <c r="A3564" s="218" t="s">
        <v>220</v>
      </c>
      <c r="B3564" s="218" t="s">
        <v>5430</v>
      </c>
      <c r="C3564" s="219" t="s">
        <v>5524</v>
      </c>
      <c r="D3564" s="212" t="s">
        <v>5525</v>
      </c>
      <c r="E3564" s="212" t="s">
        <v>545</v>
      </c>
      <c r="F3564" s="213">
        <v>2</v>
      </c>
      <c r="G3564" s="213">
        <v>357.96015999999997</v>
      </c>
      <c r="H3564" s="195">
        <v>715.92031999999995</v>
      </c>
      <c r="I3564" s="212" t="s">
        <v>2354</v>
      </c>
    </row>
    <row r="3565" spans="1:9" x14ac:dyDescent="0.25">
      <c r="A3565" s="218" t="s">
        <v>220</v>
      </c>
      <c r="B3565" s="218" t="s">
        <v>5430</v>
      </c>
      <c r="C3565" s="219" t="s">
        <v>6220</v>
      </c>
      <c r="D3565" s="212" t="s">
        <v>6221</v>
      </c>
      <c r="E3565" s="212" t="s">
        <v>545</v>
      </c>
      <c r="F3565" s="213">
        <v>9</v>
      </c>
      <c r="G3565" s="213">
        <v>80.099999999999994</v>
      </c>
      <c r="H3565" s="195">
        <v>720.9</v>
      </c>
      <c r="I3565" s="212" t="s">
        <v>2354</v>
      </c>
    </row>
    <row r="3566" spans="1:9" x14ac:dyDescent="0.25">
      <c r="A3566" s="218" t="s">
        <v>220</v>
      </c>
      <c r="B3566" s="218" t="s">
        <v>2351</v>
      </c>
      <c r="C3566" s="219" t="s">
        <v>4237</v>
      </c>
      <c r="D3566" s="212" t="s">
        <v>4238</v>
      </c>
      <c r="E3566" s="212" t="s">
        <v>545</v>
      </c>
      <c r="F3566" s="213">
        <v>4</v>
      </c>
      <c r="G3566" s="213">
        <v>181.5617</v>
      </c>
      <c r="H3566" s="195">
        <v>726.24680000000001</v>
      </c>
      <c r="I3566" s="212" t="s">
        <v>2354</v>
      </c>
    </row>
    <row r="3567" spans="1:9" x14ac:dyDescent="0.25">
      <c r="A3567" s="218" t="s">
        <v>220</v>
      </c>
      <c r="B3567" s="218" t="s">
        <v>2351</v>
      </c>
      <c r="C3567" s="219" t="s">
        <v>4654</v>
      </c>
      <c r="D3567" s="212" t="s">
        <v>4655</v>
      </c>
      <c r="E3567" s="212" t="s">
        <v>545</v>
      </c>
      <c r="F3567" s="213">
        <v>101</v>
      </c>
      <c r="G3567" s="213">
        <v>7.2</v>
      </c>
      <c r="H3567" s="195">
        <v>727.2</v>
      </c>
      <c r="I3567" s="212" t="s">
        <v>2354</v>
      </c>
    </row>
    <row r="3568" spans="1:9" x14ac:dyDescent="0.25">
      <c r="A3568" s="218" t="s">
        <v>220</v>
      </c>
      <c r="B3568" s="218" t="s">
        <v>2351</v>
      </c>
      <c r="C3568" s="219" t="s">
        <v>3843</v>
      </c>
      <c r="D3568" s="212" t="s">
        <v>3844</v>
      </c>
      <c r="E3568" s="212" t="s">
        <v>545</v>
      </c>
      <c r="F3568" s="213">
        <v>2</v>
      </c>
      <c r="G3568" s="213">
        <v>364.49275</v>
      </c>
      <c r="H3568" s="195">
        <v>728.9855</v>
      </c>
      <c r="I3568" s="212" t="s">
        <v>2354</v>
      </c>
    </row>
    <row r="3569" spans="1:9" x14ac:dyDescent="0.25">
      <c r="A3569" s="218" t="s">
        <v>220</v>
      </c>
      <c r="B3569" s="218" t="s">
        <v>5430</v>
      </c>
      <c r="C3569" s="219" t="s">
        <v>6937</v>
      </c>
      <c r="D3569" s="212" t="s">
        <v>6938</v>
      </c>
      <c r="E3569" s="212" t="s">
        <v>545</v>
      </c>
      <c r="F3569" s="213">
        <v>6</v>
      </c>
      <c r="G3569" s="213">
        <v>122.715</v>
      </c>
      <c r="H3569" s="195">
        <v>736.29</v>
      </c>
      <c r="I3569" s="212" t="s">
        <v>2354</v>
      </c>
    </row>
    <row r="3570" spans="1:9" x14ac:dyDescent="0.25">
      <c r="A3570" s="218" t="s">
        <v>220</v>
      </c>
      <c r="B3570" s="218" t="s">
        <v>2351</v>
      </c>
      <c r="C3570" s="219" t="s">
        <v>4734</v>
      </c>
      <c r="D3570" s="212" t="s">
        <v>4735</v>
      </c>
      <c r="E3570" s="212" t="s">
        <v>545</v>
      </c>
      <c r="F3570" s="213">
        <v>140</v>
      </c>
      <c r="G3570" s="213">
        <v>5.317887086092715</v>
      </c>
      <c r="H3570" s="195">
        <v>744.5041920529801</v>
      </c>
      <c r="I3570" s="212" t="s">
        <v>2354</v>
      </c>
    </row>
    <row r="3571" spans="1:9" x14ac:dyDescent="0.25">
      <c r="A3571" s="218" t="s">
        <v>220</v>
      </c>
      <c r="B3571" s="218" t="s">
        <v>5430</v>
      </c>
      <c r="C3571" s="219" t="s">
        <v>6028</v>
      </c>
      <c r="D3571" s="212" t="s">
        <v>6029</v>
      </c>
      <c r="E3571" s="212" t="s">
        <v>545</v>
      </c>
      <c r="F3571" s="213">
        <v>12</v>
      </c>
      <c r="G3571" s="213">
        <v>62.972099999999998</v>
      </c>
      <c r="H3571" s="195">
        <v>755.66519999999991</v>
      </c>
      <c r="I3571" s="212" t="s">
        <v>2354</v>
      </c>
    </row>
    <row r="3572" spans="1:9" x14ac:dyDescent="0.25">
      <c r="A3572" s="218" t="s">
        <v>220</v>
      </c>
      <c r="B3572" s="218" t="s">
        <v>5430</v>
      </c>
      <c r="C3572" s="219" t="s">
        <v>6218</v>
      </c>
      <c r="D3572" s="212" t="s">
        <v>6219</v>
      </c>
      <c r="E3572" s="212" t="s">
        <v>545</v>
      </c>
      <c r="F3572" s="213">
        <v>4</v>
      </c>
      <c r="G3572" s="213">
        <v>190.8</v>
      </c>
      <c r="H3572" s="195">
        <v>763.2</v>
      </c>
      <c r="I3572" s="212" t="s">
        <v>2354</v>
      </c>
    </row>
    <row r="3573" spans="1:9" x14ac:dyDescent="0.25">
      <c r="A3573" s="218" t="s">
        <v>220</v>
      </c>
      <c r="B3573" s="218" t="s">
        <v>2351</v>
      </c>
      <c r="C3573" s="219" t="s">
        <v>4291</v>
      </c>
      <c r="D3573" s="212" t="s">
        <v>4292</v>
      </c>
      <c r="E3573" s="212" t="s">
        <v>545</v>
      </c>
      <c r="F3573" s="213">
        <v>6</v>
      </c>
      <c r="G3573" s="213">
        <v>127.7907</v>
      </c>
      <c r="H3573" s="195">
        <v>766.74419999999998</v>
      </c>
      <c r="I3573" s="212" t="s">
        <v>2354</v>
      </c>
    </row>
    <row r="3574" spans="1:9" x14ac:dyDescent="0.25">
      <c r="A3574" s="218" t="s">
        <v>220</v>
      </c>
      <c r="B3574" s="218" t="s">
        <v>2351</v>
      </c>
      <c r="C3574" s="219" t="s">
        <v>4331</v>
      </c>
      <c r="D3574" s="212" t="s">
        <v>4332</v>
      </c>
      <c r="E3574" s="212" t="s">
        <v>545</v>
      </c>
      <c r="F3574" s="213">
        <v>8</v>
      </c>
      <c r="G3574" s="213">
        <v>97.2</v>
      </c>
      <c r="H3574" s="195">
        <v>777.6</v>
      </c>
      <c r="I3574" s="212" t="s">
        <v>2354</v>
      </c>
    </row>
    <row r="3575" spans="1:9" x14ac:dyDescent="0.25">
      <c r="A3575" s="218" t="s">
        <v>220</v>
      </c>
      <c r="B3575" s="218" t="s">
        <v>2351</v>
      </c>
      <c r="C3575" s="219" t="s">
        <v>2672</v>
      </c>
      <c r="D3575" s="212" t="s">
        <v>2673</v>
      </c>
      <c r="E3575" s="212" t="s">
        <v>545</v>
      </c>
      <c r="F3575" s="213">
        <v>5</v>
      </c>
      <c r="G3575" s="213">
        <v>155.71190461741426</v>
      </c>
      <c r="H3575" s="195">
        <v>778.55952308707128</v>
      </c>
      <c r="I3575" s="212" t="s">
        <v>2354</v>
      </c>
    </row>
    <row r="3576" spans="1:9" x14ac:dyDescent="0.25">
      <c r="A3576" s="218" t="s">
        <v>220</v>
      </c>
      <c r="B3576" s="218" t="s">
        <v>2351</v>
      </c>
      <c r="C3576" s="219" t="s">
        <v>4943</v>
      </c>
      <c r="D3576" s="212" t="s">
        <v>4944</v>
      </c>
      <c r="E3576" s="212" t="s">
        <v>545</v>
      </c>
      <c r="F3576" s="213">
        <v>210</v>
      </c>
      <c r="G3576" s="213">
        <v>3.7376999999999998</v>
      </c>
      <c r="H3576" s="195">
        <v>784.91699999999992</v>
      </c>
      <c r="I3576" s="212" t="s">
        <v>2354</v>
      </c>
    </row>
    <row r="3577" spans="1:9" x14ac:dyDescent="0.25">
      <c r="A3577" s="218" t="s">
        <v>220</v>
      </c>
      <c r="B3577" s="218" t="s">
        <v>2351</v>
      </c>
      <c r="C3577" s="219" t="s">
        <v>4221</v>
      </c>
      <c r="D3577" s="212" t="s">
        <v>4222</v>
      </c>
      <c r="E3577" s="212" t="s">
        <v>545</v>
      </c>
      <c r="F3577" s="213">
        <v>1</v>
      </c>
      <c r="G3577" s="213">
        <v>785.86199999999997</v>
      </c>
      <c r="H3577" s="195">
        <v>785.86199999999997</v>
      </c>
      <c r="I3577" s="212" t="s">
        <v>2354</v>
      </c>
    </row>
    <row r="3578" spans="1:9" x14ac:dyDescent="0.25">
      <c r="A3578" s="218" t="s">
        <v>220</v>
      </c>
      <c r="B3578" s="218" t="s">
        <v>2351</v>
      </c>
      <c r="C3578" s="219" t="s">
        <v>3379</v>
      </c>
      <c r="D3578" s="212" t="s">
        <v>3380</v>
      </c>
      <c r="E3578" s="212" t="s">
        <v>545</v>
      </c>
      <c r="F3578" s="213">
        <v>4</v>
      </c>
      <c r="G3578" s="213">
        <v>198</v>
      </c>
      <c r="H3578" s="195">
        <v>792</v>
      </c>
      <c r="I3578" s="212" t="s">
        <v>2354</v>
      </c>
    </row>
    <row r="3579" spans="1:9" x14ac:dyDescent="0.25">
      <c r="A3579" s="218" t="s">
        <v>220</v>
      </c>
      <c r="B3579" s="218" t="s">
        <v>5430</v>
      </c>
      <c r="C3579" s="219" t="s">
        <v>6353</v>
      </c>
      <c r="D3579" s="212" t="s">
        <v>6354</v>
      </c>
      <c r="E3579" s="212" t="s">
        <v>545</v>
      </c>
      <c r="F3579" s="213">
        <v>4</v>
      </c>
      <c r="G3579" s="213">
        <v>198</v>
      </c>
      <c r="H3579" s="195">
        <v>792</v>
      </c>
      <c r="I3579" s="212" t="s">
        <v>2354</v>
      </c>
    </row>
    <row r="3580" spans="1:9" x14ac:dyDescent="0.25">
      <c r="A3580" s="218" t="s">
        <v>220</v>
      </c>
      <c r="B3580" s="218" t="s">
        <v>2351</v>
      </c>
      <c r="C3580" s="219" t="s">
        <v>4634</v>
      </c>
      <c r="D3580" s="212" t="s">
        <v>4635</v>
      </c>
      <c r="E3580" s="212" t="s">
        <v>545</v>
      </c>
      <c r="F3580" s="213">
        <v>2</v>
      </c>
      <c r="G3580" s="213">
        <v>396.15</v>
      </c>
      <c r="H3580" s="195">
        <v>792.3</v>
      </c>
      <c r="I3580" s="212" t="s">
        <v>2354</v>
      </c>
    </row>
    <row r="3581" spans="1:9" x14ac:dyDescent="0.25">
      <c r="A3581" s="218" t="s">
        <v>220</v>
      </c>
      <c r="B3581" s="218" t="s">
        <v>2351</v>
      </c>
      <c r="C3581" s="219" t="s">
        <v>3099</v>
      </c>
      <c r="D3581" s="212" t="s">
        <v>3100</v>
      </c>
      <c r="E3581" s="212" t="s">
        <v>545</v>
      </c>
      <c r="F3581" s="213">
        <v>7</v>
      </c>
      <c r="G3581" s="213">
        <v>113.2002</v>
      </c>
      <c r="H3581" s="195">
        <v>792.40139999999997</v>
      </c>
      <c r="I3581" s="212" t="s">
        <v>2354</v>
      </c>
    </row>
    <row r="3582" spans="1:9" x14ac:dyDescent="0.25">
      <c r="A3582" s="218" t="s">
        <v>220</v>
      </c>
      <c r="B3582" s="218" t="s">
        <v>5430</v>
      </c>
      <c r="C3582" s="219" t="s">
        <v>5442</v>
      </c>
      <c r="D3582" s="212" t="s">
        <v>5443</v>
      </c>
      <c r="E3582" s="212" t="s">
        <v>545</v>
      </c>
      <c r="F3582" s="213">
        <v>2</v>
      </c>
      <c r="G3582" s="213">
        <v>397.86</v>
      </c>
      <c r="H3582" s="195">
        <v>795.72</v>
      </c>
      <c r="I3582" s="212" t="s">
        <v>2354</v>
      </c>
    </row>
    <row r="3583" spans="1:9" x14ac:dyDescent="0.25">
      <c r="A3583" s="218" t="s">
        <v>220</v>
      </c>
      <c r="B3583" s="218" t="s">
        <v>2351</v>
      </c>
      <c r="C3583" s="219" t="s">
        <v>4333</v>
      </c>
      <c r="D3583" s="212" t="s">
        <v>4334</v>
      </c>
      <c r="E3583" s="212" t="s">
        <v>545</v>
      </c>
      <c r="F3583" s="213">
        <v>2</v>
      </c>
      <c r="G3583" s="213">
        <v>399.42399</v>
      </c>
      <c r="H3583" s="195">
        <v>798.84798000000001</v>
      </c>
      <c r="I3583" s="212" t="s">
        <v>2354</v>
      </c>
    </row>
    <row r="3584" spans="1:9" x14ac:dyDescent="0.25">
      <c r="A3584" s="218" t="s">
        <v>220</v>
      </c>
      <c r="B3584" s="218" t="s">
        <v>5430</v>
      </c>
      <c r="C3584" s="219" t="s">
        <v>6361</v>
      </c>
      <c r="D3584" s="212" t="s">
        <v>6362</v>
      </c>
      <c r="E3584" s="212" t="s">
        <v>545</v>
      </c>
      <c r="F3584" s="213">
        <v>3</v>
      </c>
      <c r="G3584" s="213">
        <v>268.88400000000001</v>
      </c>
      <c r="H3584" s="195">
        <v>806.65200000000004</v>
      </c>
      <c r="I3584" s="212" t="s">
        <v>2354</v>
      </c>
    </row>
    <row r="3585" spans="1:9" x14ac:dyDescent="0.25">
      <c r="A3585" s="218" t="s">
        <v>220</v>
      </c>
      <c r="B3585" s="218" t="s">
        <v>2351</v>
      </c>
      <c r="C3585" s="219" t="s">
        <v>2453</v>
      </c>
      <c r="D3585" s="212" t="s">
        <v>2454</v>
      </c>
      <c r="E3585" s="212" t="s">
        <v>545</v>
      </c>
      <c r="F3585" s="213">
        <v>3</v>
      </c>
      <c r="G3585" s="213">
        <v>270.31871000000001</v>
      </c>
      <c r="H3585" s="195">
        <v>810.95613000000003</v>
      </c>
      <c r="I3585" s="212" t="s">
        <v>2354</v>
      </c>
    </row>
    <row r="3586" spans="1:9" x14ac:dyDescent="0.25">
      <c r="A3586" s="218" t="s">
        <v>220</v>
      </c>
      <c r="B3586" s="218" t="s">
        <v>5430</v>
      </c>
      <c r="C3586" s="219" t="s">
        <v>6907</v>
      </c>
      <c r="D3586" s="212" t="s">
        <v>6908</v>
      </c>
      <c r="E3586" s="212" t="s">
        <v>545</v>
      </c>
      <c r="F3586" s="213">
        <v>4</v>
      </c>
      <c r="G3586" s="213">
        <v>203.05889999999999</v>
      </c>
      <c r="H3586" s="195">
        <v>812.23559999999998</v>
      </c>
      <c r="I3586" s="212" t="s">
        <v>2354</v>
      </c>
    </row>
    <row r="3587" spans="1:9" x14ac:dyDescent="0.25">
      <c r="A3587" s="218" t="s">
        <v>220</v>
      </c>
      <c r="B3587" s="218" t="s">
        <v>5430</v>
      </c>
      <c r="C3587" s="219" t="s">
        <v>5506</v>
      </c>
      <c r="D3587" s="212" t="s">
        <v>5507</v>
      </c>
      <c r="E3587" s="212" t="s">
        <v>545</v>
      </c>
      <c r="F3587" s="213">
        <v>5</v>
      </c>
      <c r="G3587" s="213">
        <v>162.51405</v>
      </c>
      <c r="H3587" s="195">
        <v>812.57024999999999</v>
      </c>
      <c r="I3587" s="212" t="s">
        <v>2354</v>
      </c>
    </row>
    <row r="3588" spans="1:9" x14ac:dyDescent="0.25">
      <c r="A3588" s="218" t="s">
        <v>220</v>
      </c>
      <c r="B3588" s="218" t="s">
        <v>2351</v>
      </c>
      <c r="C3588" s="219" t="s">
        <v>3857</v>
      </c>
      <c r="D3588" s="212" t="s">
        <v>3858</v>
      </c>
      <c r="E3588" s="212" t="s">
        <v>545</v>
      </c>
      <c r="F3588" s="213">
        <v>2</v>
      </c>
      <c r="G3588" s="213">
        <v>407.12400000000002</v>
      </c>
      <c r="H3588" s="195">
        <v>814.24800000000005</v>
      </c>
      <c r="I3588" s="212" t="s">
        <v>2354</v>
      </c>
    </row>
    <row r="3589" spans="1:9" x14ac:dyDescent="0.25">
      <c r="A3589" s="218" t="s">
        <v>220</v>
      </c>
      <c r="B3589" s="218" t="s">
        <v>2351</v>
      </c>
      <c r="C3589" s="219" t="s">
        <v>4287</v>
      </c>
      <c r="D3589" s="212" t="s">
        <v>4288</v>
      </c>
      <c r="E3589" s="212" t="s">
        <v>545</v>
      </c>
      <c r="F3589" s="213">
        <v>10</v>
      </c>
      <c r="G3589" s="213">
        <v>81.575175000000002</v>
      </c>
      <c r="H3589" s="195">
        <v>815.75175000000002</v>
      </c>
      <c r="I3589" s="212" t="s">
        <v>2354</v>
      </c>
    </row>
    <row r="3590" spans="1:9" x14ac:dyDescent="0.25">
      <c r="A3590" s="218" t="s">
        <v>220</v>
      </c>
      <c r="B3590" s="218" t="s">
        <v>5430</v>
      </c>
      <c r="C3590" s="219" t="s">
        <v>6670</v>
      </c>
      <c r="D3590" s="212" t="s">
        <v>6671</v>
      </c>
      <c r="E3590" s="212" t="s">
        <v>545</v>
      </c>
      <c r="F3590" s="213">
        <v>2</v>
      </c>
      <c r="G3590" s="213">
        <v>413.48160000000001</v>
      </c>
      <c r="H3590" s="195">
        <v>826.96320000000003</v>
      </c>
      <c r="I3590" s="212" t="s">
        <v>2354</v>
      </c>
    </row>
    <row r="3591" spans="1:9" x14ac:dyDescent="0.25">
      <c r="A3591" s="218" t="s">
        <v>220</v>
      </c>
      <c r="B3591" s="218" t="s">
        <v>5430</v>
      </c>
      <c r="C3591" s="219" t="s">
        <v>6137</v>
      </c>
      <c r="D3591" s="212" t="s">
        <v>6138</v>
      </c>
      <c r="E3591" s="212" t="s">
        <v>545</v>
      </c>
      <c r="F3591" s="213">
        <v>6</v>
      </c>
      <c r="G3591" s="213">
        <v>138.08099999999999</v>
      </c>
      <c r="H3591" s="195">
        <v>828.48599999999988</v>
      </c>
      <c r="I3591" s="212" t="s">
        <v>2354</v>
      </c>
    </row>
    <row r="3592" spans="1:9" x14ac:dyDescent="0.25">
      <c r="A3592" s="218" t="s">
        <v>220</v>
      </c>
      <c r="B3592" s="218" t="s">
        <v>2351</v>
      </c>
      <c r="C3592" s="219" t="s">
        <v>2586</v>
      </c>
      <c r="D3592" s="212" t="s">
        <v>2587</v>
      </c>
      <c r="E3592" s="212" t="s">
        <v>545</v>
      </c>
      <c r="F3592" s="213">
        <v>3</v>
      </c>
      <c r="G3592" s="213">
        <v>277.1277</v>
      </c>
      <c r="H3592" s="195">
        <v>831.38310000000001</v>
      </c>
      <c r="I3592" s="212" t="s">
        <v>2354</v>
      </c>
    </row>
    <row r="3593" spans="1:9" x14ac:dyDescent="0.25">
      <c r="A3593" s="218" t="s">
        <v>220</v>
      </c>
      <c r="B3593" s="218" t="s">
        <v>2351</v>
      </c>
      <c r="C3593" s="219" t="s">
        <v>2588</v>
      </c>
      <c r="D3593" s="212" t="s">
        <v>2589</v>
      </c>
      <c r="E3593" s="212" t="s">
        <v>545</v>
      </c>
      <c r="F3593" s="213">
        <v>3</v>
      </c>
      <c r="G3593" s="213">
        <v>277.1277</v>
      </c>
      <c r="H3593" s="195">
        <v>831.38310000000001</v>
      </c>
      <c r="I3593" s="212" t="s">
        <v>2354</v>
      </c>
    </row>
    <row r="3594" spans="1:9" x14ac:dyDescent="0.25">
      <c r="A3594" s="218" t="s">
        <v>220</v>
      </c>
      <c r="B3594" s="218" t="s">
        <v>5430</v>
      </c>
      <c r="C3594" s="219" t="s">
        <v>7071</v>
      </c>
      <c r="D3594" s="212" t="s">
        <v>7072</v>
      </c>
      <c r="E3594" s="212" t="s">
        <v>545</v>
      </c>
      <c r="F3594" s="213">
        <v>1</v>
      </c>
      <c r="G3594" s="213">
        <v>833.5</v>
      </c>
      <c r="H3594" s="195">
        <v>833.5</v>
      </c>
      <c r="I3594" s="212" t="s">
        <v>2354</v>
      </c>
    </row>
    <row r="3595" spans="1:9" x14ac:dyDescent="0.25">
      <c r="A3595" s="218" t="s">
        <v>220</v>
      </c>
      <c r="B3595" s="218" t="s">
        <v>5430</v>
      </c>
      <c r="C3595" s="219" t="s">
        <v>6101</v>
      </c>
      <c r="D3595" s="212" t="s">
        <v>6102</v>
      </c>
      <c r="E3595" s="212" t="s">
        <v>545</v>
      </c>
      <c r="F3595" s="213">
        <v>5</v>
      </c>
      <c r="G3595" s="213">
        <v>166.77</v>
      </c>
      <c r="H3595" s="195">
        <v>833.85</v>
      </c>
      <c r="I3595" s="212" t="s">
        <v>2354</v>
      </c>
    </row>
    <row r="3596" spans="1:9" x14ac:dyDescent="0.25">
      <c r="A3596" s="218" t="s">
        <v>220</v>
      </c>
      <c r="B3596" s="218" t="s">
        <v>2351</v>
      </c>
      <c r="C3596" s="219" t="s">
        <v>4025</v>
      </c>
      <c r="D3596" s="212" t="s">
        <v>4026</v>
      </c>
      <c r="E3596" s="212" t="s">
        <v>545</v>
      </c>
      <c r="F3596" s="213">
        <v>1</v>
      </c>
      <c r="G3596" s="213">
        <v>841.5</v>
      </c>
      <c r="H3596" s="195">
        <v>841.5</v>
      </c>
      <c r="I3596" s="212" t="s">
        <v>2354</v>
      </c>
    </row>
    <row r="3597" spans="1:9" x14ac:dyDescent="0.25">
      <c r="A3597" s="218" t="s">
        <v>220</v>
      </c>
      <c r="B3597" s="218" t="s">
        <v>5430</v>
      </c>
      <c r="C3597" s="219" t="s">
        <v>6872</v>
      </c>
      <c r="D3597" s="212" t="s">
        <v>6873</v>
      </c>
      <c r="E3597" s="212" t="s">
        <v>545</v>
      </c>
      <c r="F3597" s="213">
        <v>2</v>
      </c>
      <c r="G3597" s="213">
        <v>421.01519999999999</v>
      </c>
      <c r="H3597" s="195">
        <v>842.03039999999999</v>
      </c>
      <c r="I3597" s="212" t="s">
        <v>2354</v>
      </c>
    </row>
    <row r="3598" spans="1:9" x14ac:dyDescent="0.25">
      <c r="A3598" s="218" t="s">
        <v>220</v>
      </c>
      <c r="B3598" s="218" t="s">
        <v>5430</v>
      </c>
      <c r="C3598" s="219" t="s">
        <v>6927</v>
      </c>
      <c r="D3598" s="212" t="s">
        <v>6928</v>
      </c>
      <c r="E3598" s="212" t="s">
        <v>545</v>
      </c>
      <c r="F3598" s="213">
        <v>3</v>
      </c>
      <c r="G3598" s="213">
        <v>284.69270999999998</v>
      </c>
      <c r="H3598" s="195">
        <v>854.07812999999987</v>
      </c>
      <c r="I3598" s="212" t="s">
        <v>2354</v>
      </c>
    </row>
    <row r="3599" spans="1:9" x14ac:dyDescent="0.25">
      <c r="A3599" s="218" t="s">
        <v>220</v>
      </c>
      <c r="B3599" s="218" t="s">
        <v>2351</v>
      </c>
      <c r="C3599" s="219" t="s">
        <v>4321</v>
      </c>
      <c r="D3599" s="212" t="s">
        <v>4322</v>
      </c>
      <c r="E3599" s="212" t="s">
        <v>545</v>
      </c>
      <c r="F3599" s="213">
        <v>9</v>
      </c>
      <c r="G3599" s="213">
        <v>95.04</v>
      </c>
      <c r="H3599" s="195">
        <v>855.36</v>
      </c>
      <c r="I3599" s="212" t="s">
        <v>2354</v>
      </c>
    </row>
    <row r="3600" spans="1:9" x14ac:dyDescent="0.25">
      <c r="A3600" s="218" t="s">
        <v>220</v>
      </c>
      <c r="B3600" s="218" t="s">
        <v>2351</v>
      </c>
      <c r="C3600" s="219" t="s">
        <v>5303</v>
      </c>
      <c r="D3600" s="212" t="s">
        <v>5304</v>
      </c>
      <c r="E3600" s="212" t="s">
        <v>545</v>
      </c>
      <c r="F3600" s="213">
        <v>2</v>
      </c>
      <c r="G3600" s="213">
        <v>429.23430000000002</v>
      </c>
      <c r="H3600" s="195">
        <v>858.46860000000004</v>
      </c>
      <c r="I3600" s="212" t="s">
        <v>2354</v>
      </c>
    </row>
    <row r="3601" spans="1:9" x14ac:dyDescent="0.25">
      <c r="A3601" s="218" t="s">
        <v>220</v>
      </c>
      <c r="B3601" s="218" t="s">
        <v>5430</v>
      </c>
      <c r="C3601" s="219" t="s">
        <v>5303</v>
      </c>
      <c r="D3601" s="212" t="s">
        <v>5304</v>
      </c>
      <c r="E3601" s="212" t="s">
        <v>545</v>
      </c>
      <c r="F3601" s="213">
        <v>2</v>
      </c>
      <c r="G3601" s="213">
        <v>429.23430000000002</v>
      </c>
      <c r="H3601" s="195">
        <v>858.46860000000004</v>
      </c>
      <c r="I3601" s="212" t="s">
        <v>2354</v>
      </c>
    </row>
    <row r="3602" spans="1:9" x14ac:dyDescent="0.25">
      <c r="A3602" s="218" t="s">
        <v>220</v>
      </c>
      <c r="B3602" s="218" t="s">
        <v>5430</v>
      </c>
      <c r="C3602" s="219" t="s">
        <v>6085</v>
      </c>
      <c r="D3602" s="212" t="s">
        <v>6086</v>
      </c>
      <c r="E3602" s="212" t="s">
        <v>545</v>
      </c>
      <c r="F3602" s="213">
        <v>4</v>
      </c>
      <c r="G3602" s="213">
        <v>216.6885</v>
      </c>
      <c r="H3602" s="195">
        <v>866.75400000000002</v>
      </c>
      <c r="I3602" s="212" t="s">
        <v>2354</v>
      </c>
    </row>
    <row r="3603" spans="1:9" x14ac:dyDescent="0.25">
      <c r="A3603" s="218" t="s">
        <v>220</v>
      </c>
      <c r="B3603" s="218" t="s">
        <v>5430</v>
      </c>
      <c r="C3603" s="219" t="s">
        <v>5502</v>
      </c>
      <c r="D3603" s="212" t="s">
        <v>5503</v>
      </c>
      <c r="E3603" s="212" t="s">
        <v>545</v>
      </c>
      <c r="F3603" s="213">
        <v>5</v>
      </c>
      <c r="G3603" s="213">
        <v>177.255</v>
      </c>
      <c r="H3603" s="195">
        <v>886.27499999999998</v>
      </c>
      <c r="I3603" s="212" t="s">
        <v>2354</v>
      </c>
    </row>
    <row r="3604" spans="1:9" x14ac:dyDescent="0.25">
      <c r="A3604" s="218" t="s">
        <v>220</v>
      </c>
      <c r="B3604" s="218" t="s">
        <v>2351</v>
      </c>
      <c r="C3604" s="219" t="s">
        <v>3377</v>
      </c>
      <c r="D3604" s="212" t="s">
        <v>3378</v>
      </c>
      <c r="E3604" s="212" t="s">
        <v>545</v>
      </c>
      <c r="F3604" s="213">
        <v>5</v>
      </c>
      <c r="G3604" s="213">
        <v>177.88499999999999</v>
      </c>
      <c r="H3604" s="195">
        <v>889.42499999999995</v>
      </c>
      <c r="I3604" s="212" t="s">
        <v>2354</v>
      </c>
    </row>
    <row r="3605" spans="1:9" x14ac:dyDescent="0.25">
      <c r="A3605" s="218" t="s">
        <v>220</v>
      </c>
      <c r="B3605" s="218" t="s">
        <v>2351</v>
      </c>
      <c r="C3605" s="219" t="s">
        <v>3897</v>
      </c>
      <c r="D3605" s="212" t="s">
        <v>3898</v>
      </c>
      <c r="E3605" s="212" t="s">
        <v>545</v>
      </c>
      <c r="F3605" s="213">
        <v>130</v>
      </c>
      <c r="G3605" s="213">
        <v>6.8629499999999997</v>
      </c>
      <c r="H3605" s="195">
        <v>892.18349999999998</v>
      </c>
      <c r="I3605" s="212" t="s">
        <v>2354</v>
      </c>
    </row>
    <row r="3606" spans="1:9" x14ac:dyDescent="0.25">
      <c r="A3606" s="218" t="s">
        <v>220</v>
      </c>
      <c r="B3606" s="218" t="s">
        <v>2351</v>
      </c>
      <c r="C3606" s="219" t="s">
        <v>4299</v>
      </c>
      <c r="D3606" s="212" t="s">
        <v>4300</v>
      </c>
      <c r="E3606" s="212" t="s">
        <v>545</v>
      </c>
      <c r="F3606" s="213">
        <v>7</v>
      </c>
      <c r="G3606" s="213">
        <v>128.89876666666666</v>
      </c>
      <c r="H3606" s="195">
        <v>902.29136666666659</v>
      </c>
      <c r="I3606" s="212" t="s">
        <v>2354</v>
      </c>
    </row>
    <row r="3607" spans="1:9" x14ac:dyDescent="0.25">
      <c r="A3607" s="218" t="s">
        <v>220</v>
      </c>
      <c r="B3607" s="218" t="s">
        <v>2351</v>
      </c>
      <c r="C3607" s="219" t="s">
        <v>5096</v>
      </c>
      <c r="D3607" s="212" t="s">
        <v>5097</v>
      </c>
      <c r="E3607" s="212" t="s">
        <v>545</v>
      </c>
      <c r="F3607" s="213">
        <v>153</v>
      </c>
      <c r="G3607" s="213">
        <v>5.9085000000000001</v>
      </c>
      <c r="H3607" s="195">
        <v>904.00049999999999</v>
      </c>
      <c r="I3607" s="212" t="s">
        <v>2354</v>
      </c>
    </row>
    <row r="3608" spans="1:9" x14ac:dyDescent="0.25">
      <c r="A3608" s="218" t="s">
        <v>220</v>
      </c>
      <c r="B3608" s="218" t="s">
        <v>5430</v>
      </c>
      <c r="C3608" s="219" t="s">
        <v>6196</v>
      </c>
      <c r="D3608" s="212" t="s">
        <v>6197</v>
      </c>
      <c r="E3608" s="212" t="s">
        <v>545</v>
      </c>
      <c r="F3608" s="213">
        <v>4</v>
      </c>
      <c r="G3608" s="213">
        <v>226.58849999999998</v>
      </c>
      <c r="H3608" s="195">
        <v>906.35399999999993</v>
      </c>
      <c r="I3608" s="212" t="s">
        <v>2354</v>
      </c>
    </row>
    <row r="3609" spans="1:9" x14ac:dyDescent="0.25">
      <c r="A3609" s="218" t="s">
        <v>220</v>
      </c>
      <c r="B3609" s="218" t="s">
        <v>5430</v>
      </c>
      <c r="C3609" s="219" t="s">
        <v>5576</v>
      </c>
      <c r="D3609" s="212" t="s">
        <v>5577</v>
      </c>
      <c r="E3609" s="212" t="s">
        <v>545</v>
      </c>
      <c r="F3609" s="213">
        <v>1</v>
      </c>
      <c r="G3609" s="213">
        <v>919.81967999999995</v>
      </c>
      <c r="H3609" s="195">
        <v>919.81967999999995</v>
      </c>
      <c r="I3609" s="212" t="s">
        <v>2354</v>
      </c>
    </row>
    <row r="3610" spans="1:9" x14ac:dyDescent="0.25">
      <c r="A3610" s="218" t="s">
        <v>220</v>
      </c>
      <c r="B3610" s="218" t="s">
        <v>2351</v>
      </c>
      <c r="C3610" s="219" t="s">
        <v>2624</v>
      </c>
      <c r="D3610" s="212" t="s">
        <v>2625</v>
      </c>
      <c r="E3610" s="212" t="s">
        <v>545</v>
      </c>
      <c r="F3610" s="213">
        <v>2</v>
      </c>
      <c r="G3610" s="213">
        <v>463.22199999999998</v>
      </c>
      <c r="H3610" s="195">
        <v>926.44399999999996</v>
      </c>
      <c r="I3610" s="212" t="s">
        <v>2354</v>
      </c>
    </row>
    <row r="3611" spans="1:9" x14ac:dyDescent="0.25">
      <c r="A3611" s="218" t="s">
        <v>220</v>
      </c>
      <c r="B3611" s="218" t="s">
        <v>2351</v>
      </c>
      <c r="C3611" s="219" t="s">
        <v>2580</v>
      </c>
      <c r="D3611" s="212" t="s">
        <v>2581</v>
      </c>
      <c r="E3611" s="212" t="s">
        <v>545</v>
      </c>
      <c r="F3611" s="213">
        <v>1</v>
      </c>
      <c r="G3611" s="213">
        <v>936.24</v>
      </c>
      <c r="H3611" s="195">
        <v>936.24</v>
      </c>
      <c r="I3611" s="212" t="s">
        <v>2354</v>
      </c>
    </row>
    <row r="3612" spans="1:9" x14ac:dyDescent="0.25">
      <c r="A3612" s="218" t="s">
        <v>220</v>
      </c>
      <c r="B3612" s="218" t="s">
        <v>5430</v>
      </c>
      <c r="C3612" s="219" t="s">
        <v>5436</v>
      </c>
      <c r="D3612" s="212" t="s">
        <v>5437</v>
      </c>
      <c r="E3612" s="212" t="s">
        <v>545</v>
      </c>
      <c r="F3612" s="213">
        <v>10</v>
      </c>
      <c r="G3612" s="213">
        <v>94.5</v>
      </c>
      <c r="H3612" s="195">
        <v>945</v>
      </c>
      <c r="I3612" s="212" t="s">
        <v>2354</v>
      </c>
    </row>
    <row r="3613" spans="1:9" x14ac:dyDescent="0.25">
      <c r="A3613" s="218" t="s">
        <v>220</v>
      </c>
      <c r="B3613" s="218" t="s">
        <v>5430</v>
      </c>
      <c r="C3613" s="219" t="s">
        <v>5459</v>
      </c>
      <c r="D3613" s="212" t="s">
        <v>5460</v>
      </c>
      <c r="E3613" s="212" t="s">
        <v>545</v>
      </c>
      <c r="F3613" s="213">
        <v>10</v>
      </c>
      <c r="G3613" s="213">
        <v>94.662000000000006</v>
      </c>
      <c r="H3613" s="195">
        <v>946.62000000000012</v>
      </c>
      <c r="I3613" s="212" t="s">
        <v>2354</v>
      </c>
    </row>
    <row r="3614" spans="1:9" x14ac:dyDescent="0.25">
      <c r="A3614" s="218" t="s">
        <v>220</v>
      </c>
      <c r="B3614" s="218" t="s">
        <v>5430</v>
      </c>
      <c r="C3614" s="219" t="s">
        <v>6901</v>
      </c>
      <c r="D3614" s="212" t="s">
        <v>6902</v>
      </c>
      <c r="E3614" s="212" t="s">
        <v>545</v>
      </c>
      <c r="F3614" s="213">
        <v>4</v>
      </c>
      <c r="G3614" s="213">
        <v>238.3398</v>
      </c>
      <c r="H3614" s="195">
        <v>953.35919999999999</v>
      </c>
      <c r="I3614" s="212" t="s">
        <v>2354</v>
      </c>
    </row>
    <row r="3615" spans="1:9" x14ac:dyDescent="0.25">
      <c r="A3615" s="218" t="s">
        <v>220</v>
      </c>
      <c r="B3615" s="218" t="s">
        <v>2351</v>
      </c>
      <c r="C3615" s="219" t="s">
        <v>4319</v>
      </c>
      <c r="D3615" s="212" t="s">
        <v>4320</v>
      </c>
      <c r="E3615" s="212" t="s">
        <v>545</v>
      </c>
      <c r="F3615" s="213">
        <v>4</v>
      </c>
      <c r="G3615" s="213">
        <v>241.45999</v>
      </c>
      <c r="H3615" s="195">
        <v>965.83996000000002</v>
      </c>
      <c r="I3615" s="212" t="s">
        <v>2354</v>
      </c>
    </row>
    <row r="3616" spans="1:9" x14ac:dyDescent="0.25">
      <c r="A3616" s="218" t="s">
        <v>220</v>
      </c>
      <c r="B3616" s="218" t="s">
        <v>5430</v>
      </c>
      <c r="C3616" s="219" t="s">
        <v>4301</v>
      </c>
      <c r="D3616" s="212" t="s">
        <v>4302</v>
      </c>
      <c r="E3616" s="212" t="s">
        <v>545</v>
      </c>
      <c r="F3616" s="213">
        <v>6</v>
      </c>
      <c r="G3616" s="213">
        <v>162.44999999999999</v>
      </c>
      <c r="H3616" s="195">
        <v>974.69999999999993</v>
      </c>
      <c r="I3616" s="212" t="s">
        <v>2354</v>
      </c>
    </row>
    <row r="3617" spans="1:9" x14ac:dyDescent="0.25">
      <c r="A3617" s="218" t="s">
        <v>220</v>
      </c>
      <c r="B3617" s="218" t="s">
        <v>5430</v>
      </c>
      <c r="C3617" s="219" t="s">
        <v>6357</v>
      </c>
      <c r="D3617" s="212" t="s">
        <v>6358</v>
      </c>
      <c r="E3617" s="212" t="s">
        <v>545</v>
      </c>
      <c r="F3617" s="213">
        <v>5</v>
      </c>
      <c r="G3617" s="213">
        <v>198</v>
      </c>
      <c r="H3617" s="195">
        <v>990</v>
      </c>
      <c r="I3617" s="212" t="s">
        <v>2354</v>
      </c>
    </row>
    <row r="3618" spans="1:9" x14ac:dyDescent="0.25">
      <c r="A3618" s="218" t="s">
        <v>220</v>
      </c>
      <c r="B3618" s="218" t="s">
        <v>5430</v>
      </c>
      <c r="C3618" s="219" t="s">
        <v>6049</v>
      </c>
      <c r="D3618" s="212" t="s">
        <v>6050</v>
      </c>
      <c r="E3618" s="212" t="s">
        <v>545</v>
      </c>
      <c r="F3618" s="213">
        <v>3</v>
      </c>
      <c r="G3618" s="221">
        <v>332.36160000000001</v>
      </c>
      <c r="H3618" s="222">
        <v>997.08480000000009</v>
      </c>
      <c r="I3618" s="212" t="s">
        <v>2354</v>
      </c>
    </row>
    <row r="3619" spans="1:9" x14ac:dyDescent="0.25">
      <c r="A3619" s="218" t="s">
        <v>220</v>
      </c>
      <c r="B3619" s="218" t="s">
        <v>2351</v>
      </c>
      <c r="C3619" s="219" t="s">
        <v>2492</v>
      </c>
      <c r="D3619" s="212" t="s">
        <v>2493</v>
      </c>
      <c r="E3619" s="212" t="s">
        <v>545</v>
      </c>
      <c r="F3619" s="213">
        <v>1</v>
      </c>
      <c r="G3619" s="213">
        <v>1016.727809</v>
      </c>
      <c r="H3619" s="195">
        <v>1016.727809</v>
      </c>
      <c r="I3619" s="212" t="s">
        <v>2354</v>
      </c>
    </row>
    <row r="3620" spans="1:9" x14ac:dyDescent="0.25">
      <c r="A3620" s="218" t="s">
        <v>220</v>
      </c>
      <c r="B3620" s="218" t="s">
        <v>2351</v>
      </c>
      <c r="C3620" s="219" t="s">
        <v>3797</v>
      </c>
      <c r="D3620" s="212" t="s">
        <v>3798</v>
      </c>
      <c r="E3620" s="212" t="s">
        <v>545</v>
      </c>
      <c r="F3620" s="213">
        <v>10</v>
      </c>
      <c r="G3620" s="213">
        <v>102.2805</v>
      </c>
      <c r="H3620" s="195">
        <v>1022.8050000000001</v>
      </c>
      <c r="I3620" s="212" t="s">
        <v>2354</v>
      </c>
    </row>
    <row r="3621" spans="1:9" x14ac:dyDescent="0.25">
      <c r="A3621" s="218" t="s">
        <v>220</v>
      </c>
      <c r="B3621" s="218" t="s">
        <v>2351</v>
      </c>
      <c r="C3621" s="219" t="s">
        <v>2538</v>
      </c>
      <c r="D3621" s="212" t="s">
        <v>2539</v>
      </c>
      <c r="E3621" s="212" t="s">
        <v>545</v>
      </c>
      <c r="F3621" s="213">
        <v>1</v>
      </c>
      <c r="G3621" s="213">
        <v>1025.271</v>
      </c>
      <c r="H3621" s="195">
        <v>1025.271</v>
      </c>
      <c r="I3621" s="212" t="s">
        <v>2354</v>
      </c>
    </row>
    <row r="3622" spans="1:9" x14ac:dyDescent="0.25">
      <c r="A3622" s="218" t="s">
        <v>220</v>
      </c>
      <c r="B3622" s="218" t="s">
        <v>5430</v>
      </c>
      <c r="C3622" s="219" t="s">
        <v>6767</v>
      </c>
      <c r="D3622" s="212" t="s">
        <v>6768</v>
      </c>
      <c r="E3622" s="212" t="s">
        <v>545</v>
      </c>
      <c r="F3622" s="213">
        <v>1</v>
      </c>
      <c r="G3622" s="213">
        <v>1056.4279999999999</v>
      </c>
      <c r="H3622" s="195">
        <v>1056.4279999999999</v>
      </c>
      <c r="I3622" s="212" t="s">
        <v>2354</v>
      </c>
    </row>
    <row r="3623" spans="1:9" x14ac:dyDescent="0.25">
      <c r="A3623" s="218" t="s">
        <v>220</v>
      </c>
      <c r="B3623" s="218" t="s">
        <v>5430</v>
      </c>
      <c r="C3623" s="219" t="s">
        <v>6166</v>
      </c>
      <c r="D3623" s="212" t="s">
        <v>6167</v>
      </c>
      <c r="E3623" s="212" t="s">
        <v>545</v>
      </c>
      <c r="F3623" s="213">
        <v>6</v>
      </c>
      <c r="G3623" s="213">
        <v>177.3</v>
      </c>
      <c r="H3623" s="195">
        <v>1063.8000000000002</v>
      </c>
      <c r="I3623" s="212" t="s">
        <v>2354</v>
      </c>
    </row>
    <row r="3624" spans="1:9" x14ac:dyDescent="0.25">
      <c r="A3624" s="218" t="s">
        <v>220</v>
      </c>
      <c r="B3624" s="218" t="s">
        <v>5430</v>
      </c>
      <c r="C3624" s="219" t="s">
        <v>6002</v>
      </c>
      <c r="D3624" s="212" t="s">
        <v>6003</v>
      </c>
      <c r="E3624" s="212" t="s">
        <v>545</v>
      </c>
      <c r="F3624" s="213">
        <v>10</v>
      </c>
      <c r="G3624" s="213">
        <v>106.70399999999999</v>
      </c>
      <c r="H3624" s="195">
        <v>1067.04</v>
      </c>
      <c r="I3624" s="212" t="s">
        <v>2354</v>
      </c>
    </row>
    <row r="3625" spans="1:9" x14ac:dyDescent="0.25">
      <c r="A3625" s="218" t="s">
        <v>220</v>
      </c>
      <c r="B3625" s="218" t="s">
        <v>2351</v>
      </c>
      <c r="C3625" s="219" t="s">
        <v>2626</v>
      </c>
      <c r="D3625" s="212" t="s">
        <v>2627</v>
      </c>
      <c r="E3625" s="212" t="s">
        <v>545</v>
      </c>
      <c r="F3625" s="213">
        <v>6</v>
      </c>
      <c r="G3625" s="213">
        <v>178.626</v>
      </c>
      <c r="H3625" s="195">
        <v>1071.7560000000001</v>
      </c>
      <c r="I3625" s="212" t="s">
        <v>2354</v>
      </c>
    </row>
    <row r="3626" spans="1:9" x14ac:dyDescent="0.25">
      <c r="A3626" s="218" t="s">
        <v>220</v>
      </c>
      <c r="B3626" s="218" t="s">
        <v>2351</v>
      </c>
      <c r="C3626" s="219" t="s">
        <v>3135</v>
      </c>
      <c r="D3626" s="212" t="s">
        <v>3136</v>
      </c>
      <c r="E3626" s="212" t="s">
        <v>535</v>
      </c>
      <c r="F3626" s="213">
        <v>50</v>
      </c>
      <c r="G3626" s="213">
        <v>21.45</v>
      </c>
      <c r="H3626" s="195">
        <v>1072.5</v>
      </c>
      <c r="I3626" s="212" t="s">
        <v>2354</v>
      </c>
    </row>
    <row r="3627" spans="1:9" x14ac:dyDescent="0.25">
      <c r="A3627" s="218" t="s">
        <v>220</v>
      </c>
      <c r="B3627" s="218" t="s">
        <v>5430</v>
      </c>
      <c r="C3627" s="219" t="s">
        <v>5668</v>
      </c>
      <c r="D3627" s="212" t="s">
        <v>5669</v>
      </c>
      <c r="E3627" s="212" t="s">
        <v>545</v>
      </c>
      <c r="F3627" s="213">
        <v>1</v>
      </c>
      <c r="G3627" s="213">
        <v>1077.481675</v>
      </c>
      <c r="H3627" s="195">
        <v>1077.481675</v>
      </c>
      <c r="I3627" s="212" t="s">
        <v>2354</v>
      </c>
    </row>
    <row r="3628" spans="1:9" x14ac:dyDescent="0.25">
      <c r="A3628" s="218" t="s">
        <v>220</v>
      </c>
      <c r="B3628" s="218" t="s">
        <v>5430</v>
      </c>
      <c r="C3628" s="219" t="s">
        <v>6831</v>
      </c>
      <c r="D3628" s="212" t="s">
        <v>6832</v>
      </c>
      <c r="E3628" s="212" t="s">
        <v>545</v>
      </c>
      <c r="F3628" s="213">
        <v>2</v>
      </c>
      <c r="G3628" s="213">
        <v>540.54089999999997</v>
      </c>
      <c r="H3628" s="195">
        <v>1081.0817999999999</v>
      </c>
      <c r="I3628" s="212" t="s">
        <v>2354</v>
      </c>
    </row>
    <row r="3629" spans="1:9" x14ac:dyDescent="0.25">
      <c r="A3629" s="218" t="s">
        <v>220</v>
      </c>
      <c r="B3629" s="218" t="s">
        <v>2351</v>
      </c>
      <c r="C3629" s="219" t="s">
        <v>4203</v>
      </c>
      <c r="D3629" s="212" t="s">
        <v>4204</v>
      </c>
      <c r="E3629" s="212" t="s">
        <v>545</v>
      </c>
      <c r="F3629" s="213">
        <v>200</v>
      </c>
      <c r="G3629" s="213">
        <v>5.4135</v>
      </c>
      <c r="H3629" s="195">
        <v>1082.7</v>
      </c>
      <c r="I3629" s="212" t="s">
        <v>2354</v>
      </c>
    </row>
    <row r="3630" spans="1:9" x14ac:dyDescent="0.25">
      <c r="A3630" s="218" t="s">
        <v>220</v>
      </c>
      <c r="B3630" s="218" t="s">
        <v>5430</v>
      </c>
      <c r="C3630" s="219" t="s">
        <v>7067</v>
      </c>
      <c r="D3630" s="212" t="s">
        <v>7068</v>
      </c>
      <c r="E3630" s="212" t="s">
        <v>545</v>
      </c>
      <c r="F3630" s="213">
        <v>1</v>
      </c>
      <c r="G3630" s="213">
        <v>1089.5</v>
      </c>
      <c r="H3630" s="195">
        <v>1089.5</v>
      </c>
      <c r="I3630" s="212" t="s">
        <v>2354</v>
      </c>
    </row>
    <row r="3631" spans="1:9" x14ac:dyDescent="0.25">
      <c r="A3631" s="218" t="s">
        <v>220</v>
      </c>
      <c r="B3631" s="218" t="s">
        <v>5430</v>
      </c>
      <c r="C3631" s="219" t="s">
        <v>6933</v>
      </c>
      <c r="D3631" s="212" t="s">
        <v>6934</v>
      </c>
      <c r="E3631" s="212" t="s">
        <v>545</v>
      </c>
      <c r="F3631" s="213">
        <v>4</v>
      </c>
      <c r="G3631" s="213">
        <v>274.63414999999998</v>
      </c>
      <c r="H3631" s="195">
        <v>1098.5365999999999</v>
      </c>
      <c r="I3631" s="212" t="s">
        <v>2354</v>
      </c>
    </row>
    <row r="3632" spans="1:9" x14ac:dyDescent="0.25">
      <c r="A3632" s="218" t="s">
        <v>220</v>
      </c>
      <c r="B3632" s="218" t="s">
        <v>2351</v>
      </c>
      <c r="C3632" s="219" t="s">
        <v>3887</v>
      </c>
      <c r="D3632" s="212" t="s">
        <v>3888</v>
      </c>
      <c r="E3632" s="212" t="s">
        <v>545</v>
      </c>
      <c r="F3632" s="213">
        <v>4</v>
      </c>
      <c r="G3632" s="213">
        <v>277.35500000000002</v>
      </c>
      <c r="H3632" s="195">
        <v>1109.42</v>
      </c>
      <c r="I3632" s="212" t="s">
        <v>2354</v>
      </c>
    </row>
    <row r="3633" spans="1:9" x14ac:dyDescent="0.25">
      <c r="A3633" s="218" t="s">
        <v>220</v>
      </c>
      <c r="B3633" s="218" t="s">
        <v>5430</v>
      </c>
      <c r="C3633" s="219" t="s">
        <v>6123</v>
      </c>
      <c r="D3633" s="212" t="s">
        <v>6124</v>
      </c>
      <c r="E3633" s="212" t="s">
        <v>545</v>
      </c>
      <c r="F3633" s="213">
        <v>6</v>
      </c>
      <c r="G3633" s="213">
        <v>186.74549999999999</v>
      </c>
      <c r="H3633" s="195">
        <v>1120.473</v>
      </c>
      <c r="I3633" s="212" t="s">
        <v>2354</v>
      </c>
    </row>
    <row r="3634" spans="1:9" x14ac:dyDescent="0.25">
      <c r="A3634" s="218" t="s">
        <v>220</v>
      </c>
      <c r="B3634" s="218" t="s">
        <v>2351</v>
      </c>
      <c r="C3634" s="219" t="s">
        <v>3893</v>
      </c>
      <c r="D3634" s="212" t="s">
        <v>3894</v>
      </c>
      <c r="E3634" s="212" t="s">
        <v>545</v>
      </c>
      <c r="F3634" s="213">
        <v>8</v>
      </c>
      <c r="G3634" s="213">
        <v>140.06299999999999</v>
      </c>
      <c r="H3634" s="195">
        <v>1120.5039999999999</v>
      </c>
      <c r="I3634" s="212" t="s">
        <v>2354</v>
      </c>
    </row>
    <row r="3635" spans="1:9" x14ac:dyDescent="0.25">
      <c r="A3635" s="218" t="s">
        <v>220</v>
      </c>
      <c r="B3635" s="218" t="s">
        <v>2351</v>
      </c>
      <c r="C3635" s="219" t="s">
        <v>3891</v>
      </c>
      <c r="D3635" s="212" t="s">
        <v>3892</v>
      </c>
      <c r="E3635" s="212" t="s">
        <v>545</v>
      </c>
      <c r="F3635" s="213">
        <v>3</v>
      </c>
      <c r="G3635" s="213">
        <v>378.55599999999998</v>
      </c>
      <c r="H3635" s="195">
        <v>1135.6679999999999</v>
      </c>
      <c r="I3635" s="212" t="s">
        <v>2354</v>
      </c>
    </row>
    <row r="3636" spans="1:9" x14ac:dyDescent="0.25">
      <c r="A3636" s="218" t="s">
        <v>220</v>
      </c>
      <c r="B3636" s="218" t="s">
        <v>2351</v>
      </c>
      <c r="C3636" s="219" t="s">
        <v>4345</v>
      </c>
      <c r="D3636" s="212" t="s">
        <v>4346</v>
      </c>
      <c r="E3636" s="212" t="s">
        <v>545</v>
      </c>
      <c r="F3636" s="213">
        <v>3</v>
      </c>
      <c r="G3636" s="213">
        <v>381.78</v>
      </c>
      <c r="H3636" s="195">
        <v>1145.3399999999999</v>
      </c>
      <c r="I3636" s="212" t="s">
        <v>2354</v>
      </c>
    </row>
    <row r="3637" spans="1:9" x14ac:dyDescent="0.25">
      <c r="A3637" s="218" t="s">
        <v>220</v>
      </c>
      <c r="B3637" s="218" t="s">
        <v>2351</v>
      </c>
      <c r="C3637" s="219" t="s">
        <v>2508</v>
      </c>
      <c r="D3637" s="212" t="s">
        <v>2509</v>
      </c>
      <c r="E3637" s="212" t="s">
        <v>545</v>
      </c>
      <c r="F3637" s="213">
        <v>3</v>
      </c>
      <c r="G3637" s="213">
        <v>383.8</v>
      </c>
      <c r="H3637" s="195">
        <v>1151.4000000000001</v>
      </c>
      <c r="I3637" s="212" t="s">
        <v>2354</v>
      </c>
    </row>
    <row r="3638" spans="1:9" x14ac:dyDescent="0.25">
      <c r="A3638" s="218" t="s">
        <v>220</v>
      </c>
      <c r="B3638" s="218" t="s">
        <v>5430</v>
      </c>
      <c r="C3638" s="219"/>
      <c r="D3638" s="212" t="s">
        <v>5484</v>
      </c>
      <c r="E3638" s="212" t="s">
        <v>545</v>
      </c>
      <c r="F3638" s="213">
        <v>4</v>
      </c>
      <c r="G3638" s="213">
        <v>288.66000000000003</v>
      </c>
      <c r="H3638" s="195">
        <v>1154.6400000000001</v>
      </c>
      <c r="I3638" s="212" t="s">
        <v>2354</v>
      </c>
    </row>
    <row r="3639" spans="1:9" x14ac:dyDescent="0.25">
      <c r="A3639" s="218" t="s">
        <v>220</v>
      </c>
      <c r="B3639" s="218" t="s">
        <v>5430</v>
      </c>
      <c r="C3639" s="219" t="s">
        <v>6749</v>
      </c>
      <c r="D3639" s="212" t="s">
        <v>6750</v>
      </c>
      <c r="E3639" s="212" t="s">
        <v>545</v>
      </c>
      <c r="F3639" s="213">
        <v>1</v>
      </c>
      <c r="G3639" s="213">
        <v>1168.6383000000001</v>
      </c>
      <c r="H3639" s="195">
        <v>1168.6383000000001</v>
      </c>
      <c r="I3639" s="212" t="s">
        <v>2354</v>
      </c>
    </row>
    <row r="3640" spans="1:9" x14ac:dyDescent="0.25">
      <c r="A3640" s="218" t="s">
        <v>220</v>
      </c>
      <c r="B3640" s="218" t="s">
        <v>2351</v>
      </c>
      <c r="C3640" s="219" t="s">
        <v>3883</v>
      </c>
      <c r="D3640" s="212" t="s">
        <v>3884</v>
      </c>
      <c r="E3640" s="212" t="s">
        <v>545</v>
      </c>
      <c r="F3640" s="213">
        <v>4</v>
      </c>
      <c r="G3640" s="213">
        <v>293.471</v>
      </c>
      <c r="H3640" s="195">
        <v>1173.884</v>
      </c>
      <c r="I3640" s="212" t="s">
        <v>2354</v>
      </c>
    </row>
    <row r="3641" spans="1:9" x14ac:dyDescent="0.25">
      <c r="A3641" s="218" t="s">
        <v>220</v>
      </c>
      <c r="B3641" s="218" t="s">
        <v>2351</v>
      </c>
      <c r="C3641" s="219" t="s">
        <v>2542</v>
      </c>
      <c r="D3641" s="212" t="s">
        <v>2543</v>
      </c>
      <c r="E3641" s="212" t="s">
        <v>545</v>
      </c>
      <c r="F3641" s="213">
        <v>6</v>
      </c>
      <c r="G3641" s="213">
        <v>199.49700000000001</v>
      </c>
      <c r="H3641" s="195">
        <v>1196.982</v>
      </c>
      <c r="I3641" s="212" t="s">
        <v>2354</v>
      </c>
    </row>
    <row r="3642" spans="1:9" x14ac:dyDescent="0.25">
      <c r="A3642" s="218" t="s">
        <v>220</v>
      </c>
      <c r="B3642" s="218" t="s">
        <v>5430</v>
      </c>
      <c r="C3642" s="219" t="s">
        <v>4303</v>
      </c>
      <c r="D3642" s="212" t="s">
        <v>4304</v>
      </c>
      <c r="E3642" s="212" t="s">
        <v>545</v>
      </c>
      <c r="F3642" s="213">
        <v>14</v>
      </c>
      <c r="G3642" s="213">
        <v>85.5</v>
      </c>
      <c r="H3642" s="195">
        <v>1197</v>
      </c>
      <c r="I3642" s="212" t="s">
        <v>2354</v>
      </c>
    </row>
    <row r="3643" spans="1:9" x14ac:dyDescent="0.25">
      <c r="A3643" s="218" t="s">
        <v>220</v>
      </c>
      <c r="B3643" s="218" t="s">
        <v>2351</v>
      </c>
      <c r="C3643" s="219" t="s">
        <v>2514</v>
      </c>
      <c r="D3643" s="212" t="s">
        <v>2515</v>
      </c>
      <c r="E3643" s="212" t="s">
        <v>545</v>
      </c>
      <c r="F3643" s="213">
        <v>1</v>
      </c>
      <c r="G3643" s="213">
        <v>1203.9933554960826</v>
      </c>
      <c r="H3643" s="195">
        <v>1203.9933554960826</v>
      </c>
      <c r="I3643" s="212" t="s">
        <v>2354</v>
      </c>
    </row>
    <row r="3644" spans="1:9" x14ac:dyDescent="0.25">
      <c r="A3644" s="218" t="s">
        <v>220</v>
      </c>
      <c r="B3644" s="218" t="s">
        <v>2351</v>
      </c>
      <c r="C3644" s="219" t="s">
        <v>2648</v>
      </c>
      <c r="D3644" s="212" t="s">
        <v>2649</v>
      </c>
      <c r="E3644" s="212" t="s">
        <v>545</v>
      </c>
      <c r="F3644" s="213">
        <v>11</v>
      </c>
      <c r="G3644" s="213">
        <v>109.60791918399352</v>
      </c>
      <c r="H3644" s="195">
        <v>1205.6871110239288</v>
      </c>
      <c r="I3644" s="212" t="s">
        <v>2354</v>
      </c>
    </row>
    <row r="3645" spans="1:9" x14ac:dyDescent="0.25">
      <c r="A3645" s="218" t="s">
        <v>220</v>
      </c>
      <c r="B3645" s="218" t="s">
        <v>5430</v>
      </c>
      <c r="C3645" s="219" t="s">
        <v>5540</v>
      </c>
      <c r="D3645" s="212" t="s">
        <v>5541</v>
      </c>
      <c r="E3645" s="212" t="s">
        <v>545</v>
      </c>
      <c r="F3645" s="213">
        <v>1</v>
      </c>
      <c r="G3645" s="213">
        <v>1208.9567500000001</v>
      </c>
      <c r="H3645" s="195">
        <v>1208.9567500000001</v>
      </c>
      <c r="I3645" s="212" t="s">
        <v>2354</v>
      </c>
    </row>
    <row r="3646" spans="1:9" x14ac:dyDescent="0.25">
      <c r="A3646" s="218" t="s">
        <v>220</v>
      </c>
      <c r="B3646" s="218" t="s">
        <v>2351</v>
      </c>
      <c r="C3646" s="219" t="s">
        <v>3901</v>
      </c>
      <c r="D3646" s="212" t="s">
        <v>3902</v>
      </c>
      <c r="E3646" s="212" t="s">
        <v>545</v>
      </c>
      <c r="F3646" s="213">
        <v>160</v>
      </c>
      <c r="G3646" s="213">
        <v>7.5750000000000002</v>
      </c>
      <c r="H3646" s="195">
        <v>1212</v>
      </c>
      <c r="I3646" s="212" t="s">
        <v>2354</v>
      </c>
    </row>
    <row r="3647" spans="1:9" x14ac:dyDescent="0.25">
      <c r="A3647" s="218" t="s">
        <v>220</v>
      </c>
      <c r="B3647" s="218" t="s">
        <v>5430</v>
      </c>
      <c r="C3647" s="219" t="s">
        <v>7318</v>
      </c>
      <c r="D3647" s="212" t="s">
        <v>7319</v>
      </c>
      <c r="E3647" s="212" t="s">
        <v>1894</v>
      </c>
      <c r="F3647" s="213">
        <v>60</v>
      </c>
      <c r="G3647" s="213">
        <v>20.5351</v>
      </c>
      <c r="H3647" s="195">
        <v>1232.106</v>
      </c>
      <c r="I3647" s="212" t="s">
        <v>2354</v>
      </c>
    </row>
    <row r="3648" spans="1:9" x14ac:dyDescent="0.25">
      <c r="A3648" s="218" t="s">
        <v>220</v>
      </c>
      <c r="B3648" s="218" t="s">
        <v>5430</v>
      </c>
      <c r="C3648" s="219" t="s">
        <v>6983</v>
      </c>
      <c r="D3648" s="212" t="s">
        <v>6984</v>
      </c>
      <c r="E3648" s="212" t="s">
        <v>545</v>
      </c>
      <c r="F3648" s="213">
        <v>10</v>
      </c>
      <c r="G3648" s="213">
        <v>124.97295</v>
      </c>
      <c r="H3648" s="195">
        <v>1249.7294999999999</v>
      </c>
      <c r="I3648" s="212" t="s">
        <v>2354</v>
      </c>
    </row>
    <row r="3649" spans="1:9" x14ac:dyDescent="0.25">
      <c r="A3649" s="218" t="s">
        <v>220</v>
      </c>
      <c r="B3649" s="218" t="s">
        <v>5430</v>
      </c>
      <c r="C3649" s="219" t="s">
        <v>5564</v>
      </c>
      <c r="D3649" s="212" t="s">
        <v>5565</v>
      </c>
      <c r="E3649" s="212" t="s">
        <v>545</v>
      </c>
      <c r="F3649" s="213">
        <v>25</v>
      </c>
      <c r="G3649" s="213">
        <v>50.5</v>
      </c>
      <c r="H3649" s="195">
        <v>1262.5</v>
      </c>
      <c r="I3649" s="212" t="s">
        <v>2354</v>
      </c>
    </row>
    <row r="3650" spans="1:9" x14ac:dyDescent="0.25">
      <c r="A3650" s="218" t="s">
        <v>220</v>
      </c>
      <c r="B3650" s="218" t="s">
        <v>5430</v>
      </c>
      <c r="C3650" s="219" t="s">
        <v>6226</v>
      </c>
      <c r="D3650" s="212" t="s">
        <v>6227</v>
      </c>
      <c r="E3650" s="212" t="s">
        <v>545</v>
      </c>
      <c r="F3650" s="213">
        <v>7</v>
      </c>
      <c r="G3650" s="213">
        <v>183.6</v>
      </c>
      <c r="H3650" s="195">
        <v>1285.2</v>
      </c>
      <c r="I3650" s="212" t="s">
        <v>2354</v>
      </c>
    </row>
    <row r="3651" spans="1:9" x14ac:dyDescent="0.25">
      <c r="A3651" s="218" t="s">
        <v>220</v>
      </c>
      <c r="B3651" s="218" t="s">
        <v>2351</v>
      </c>
      <c r="C3651" s="219" t="s">
        <v>3957</v>
      </c>
      <c r="D3651" s="212" t="s">
        <v>3958</v>
      </c>
      <c r="E3651" s="212" t="s">
        <v>545</v>
      </c>
      <c r="F3651" s="213">
        <v>16</v>
      </c>
      <c r="G3651" s="213">
        <v>80.75</v>
      </c>
      <c r="H3651" s="195">
        <v>1292</v>
      </c>
      <c r="I3651" s="212" t="s">
        <v>2354</v>
      </c>
    </row>
    <row r="3652" spans="1:9" x14ac:dyDescent="0.25">
      <c r="A3652" s="218" t="s">
        <v>220</v>
      </c>
      <c r="B3652" s="218" t="s">
        <v>2351</v>
      </c>
      <c r="C3652" s="219" t="s">
        <v>3371</v>
      </c>
      <c r="D3652" s="212" t="s">
        <v>3372</v>
      </c>
      <c r="E3652" s="212" t="s">
        <v>545</v>
      </c>
      <c r="F3652" s="213">
        <v>8</v>
      </c>
      <c r="G3652" s="213">
        <v>166.08</v>
      </c>
      <c r="H3652" s="195">
        <v>1328.64</v>
      </c>
      <c r="I3652" s="212" t="s">
        <v>2354</v>
      </c>
    </row>
    <row r="3653" spans="1:9" x14ac:dyDescent="0.25">
      <c r="A3653" s="218" t="s">
        <v>220</v>
      </c>
      <c r="B3653" s="218" t="s">
        <v>2351</v>
      </c>
      <c r="C3653" s="219" t="s">
        <v>3817</v>
      </c>
      <c r="D3653" s="212" t="s">
        <v>3818</v>
      </c>
      <c r="E3653" s="212" t="s">
        <v>545</v>
      </c>
      <c r="F3653" s="213">
        <v>1</v>
      </c>
      <c r="G3653" s="213">
        <v>1330.4114999999999</v>
      </c>
      <c r="H3653" s="195">
        <v>1330.4114999999999</v>
      </c>
      <c r="I3653" s="212" t="s">
        <v>2354</v>
      </c>
    </row>
    <row r="3654" spans="1:9" x14ac:dyDescent="0.25">
      <c r="A3654" s="218" t="s">
        <v>220</v>
      </c>
      <c r="B3654" s="218" t="s">
        <v>5430</v>
      </c>
      <c r="C3654" s="219" t="s">
        <v>7334</v>
      </c>
      <c r="D3654" s="212" t="s">
        <v>7335</v>
      </c>
      <c r="E3654" s="212" t="s">
        <v>545</v>
      </c>
      <c r="F3654" s="213">
        <v>3</v>
      </c>
      <c r="G3654" s="213">
        <v>446.18540000000002</v>
      </c>
      <c r="H3654" s="195">
        <v>1338.5562</v>
      </c>
      <c r="I3654" s="212" t="s">
        <v>2354</v>
      </c>
    </row>
    <row r="3655" spans="1:9" x14ac:dyDescent="0.25">
      <c r="A3655" s="218" t="s">
        <v>220</v>
      </c>
      <c r="B3655" s="218" t="s">
        <v>2351</v>
      </c>
      <c r="C3655" s="219" t="s">
        <v>2471</v>
      </c>
      <c r="D3655" s="212" t="s">
        <v>2472</v>
      </c>
      <c r="E3655" s="212" t="s">
        <v>2473</v>
      </c>
      <c r="F3655" s="213">
        <v>8</v>
      </c>
      <c r="G3655" s="213">
        <v>168.00120000000001</v>
      </c>
      <c r="H3655" s="195">
        <v>1344.0096000000001</v>
      </c>
      <c r="I3655" s="212" t="s">
        <v>2354</v>
      </c>
    </row>
    <row r="3656" spans="1:9" x14ac:dyDescent="0.25">
      <c r="A3656" s="218" t="s">
        <v>220</v>
      </c>
      <c r="B3656" s="218" t="s">
        <v>5430</v>
      </c>
      <c r="C3656" s="219" t="s">
        <v>6876</v>
      </c>
      <c r="D3656" s="212" t="s">
        <v>6877</v>
      </c>
      <c r="E3656" s="212" t="s">
        <v>545</v>
      </c>
      <c r="F3656" s="213">
        <v>3</v>
      </c>
      <c r="G3656" s="213">
        <v>450.45</v>
      </c>
      <c r="H3656" s="195">
        <v>1351.35</v>
      </c>
      <c r="I3656" s="212" t="s">
        <v>2354</v>
      </c>
    </row>
    <row r="3657" spans="1:9" x14ac:dyDescent="0.25">
      <c r="A3657" s="218" t="s">
        <v>220</v>
      </c>
      <c r="B3657" s="218" t="s">
        <v>5430</v>
      </c>
      <c r="C3657" s="219" t="s">
        <v>6935</v>
      </c>
      <c r="D3657" s="212" t="s">
        <v>6936</v>
      </c>
      <c r="E3657" s="212" t="s">
        <v>545</v>
      </c>
      <c r="F3657" s="213">
        <v>5</v>
      </c>
      <c r="G3657" s="213">
        <v>287.29703000000001</v>
      </c>
      <c r="H3657" s="195">
        <v>1436.48515</v>
      </c>
      <c r="I3657" s="212" t="s">
        <v>2354</v>
      </c>
    </row>
    <row r="3658" spans="1:9" x14ac:dyDescent="0.25">
      <c r="A3658" s="218" t="s">
        <v>220</v>
      </c>
      <c r="B3658" s="218" t="s">
        <v>5430</v>
      </c>
      <c r="C3658" s="219" t="s">
        <v>5546</v>
      </c>
      <c r="D3658" s="212" t="s">
        <v>5547</v>
      </c>
      <c r="E3658" s="212" t="s">
        <v>545</v>
      </c>
      <c r="F3658" s="213">
        <v>2</v>
      </c>
      <c r="G3658" s="213">
        <v>724.51649999999995</v>
      </c>
      <c r="H3658" s="195">
        <v>1449.0329999999999</v>
      </c>
      <c r="I3658" s="212" t="s">
        <v>2354</v>
      </c>
    </row>
    <row r="3659" spans="1:9" x14ac:dyDescent="0.25">
      <c r="A3659" s="218" t="s">
        <v>220</v>
      </c>
      <c r="B3659" s="218" t="s">
        <v>2351</v>
      </c>
      <c r="C3659" s="219" t="s">
        <v>3885</v>
      </c>
      <c r="D3659" s="212" t="s">
        <v>3886</v>
      </c>
      <c r="E3659" s="212" t="s">
        <v>545</v>
      </c>
      <c r="F3659" s="213">
        <v>10</v>
      </c>
      <c r="G3659" s="213">
        <v>146.642</v>
      </c>
      <c r="H3659" s="195">
        <v>1466.42</v>
      </c>
      <c r="I3659" s="212" t="s">
        <v>2354</v>
      </c>
    </row>
    <row r="3660" spans="1:9" x14ac:dyDescent="0.25">
      <c r="A3660" s="218" t="s">
        <v>220</v>
      </c>
      <c r="B3660" s="218" t="s">
        <v>2351</v>
      </c>
      <c r="C3660" s="219" t="s">
        <v>2524</v>
      </c>
      <c r="D3660" s="212" t="s">
        <v>2525</v>
      </c>
      <c r="E3660" s="212" t="s">
        <v>545</v>
      </c>
      <c r="F3660" s="213">
        <v>6</v>
      </c>
      <c r="G3660" s="213">
        <v>245.34055181576011</v>
      </c>
      <c r="H3660" s="195">
        <v>1472.0433108945606</v>
      </c>
      <c r="I3660" s="212" t="s">
        <v>2354</v>
      </c>
    </row>
    <row r="3661" spans="1:9" x14ac:dyDescent="0.25">
      <c r="A3661" s="218" t="s">
        <v>220</v>
      </c>
      <c r="B3661" s="218" t="s">
        <v>5430</v>
      </c>
      <c r="C3661" s="219" t="s">
        <v>6103</v>
      </c>
      <c r="D3661" s="212" t="s">
        <v>6104</v>
      </c>
      <c r="E3661" s="212" t="s">
        <v>545</v>
      </c>
      <c r="F3661" s="213">
        <v>11</v>
      </c>
      <c r="G3661" s="213">
        <v>136.55520000000001</v>
      </c>
      <c r="H3661" s="195">
        <v>1502.1072000000001</v>
      </c>
      <c r="I3661" s="212" t="s">
        <v>2354</v>
      </c>
    </row>
    <row r="3662" spans="1:9" x14ac:dyDescent="0.25">
      <c r="A3662" s="218" t="s">
        <v>220</v>
      </c>
      <c r="B3662" s="218" t="s">
        <v>2351</v>
      </c>
      <c r="C3662" s="219" t="s">
        <v>2461</v>
      </c>
      <c r="D3662" s="212" t="s">
        <v>2462</v>
      </c>
      <c r="E3662" s="212" t="s">
        <v>545</v>
      </c>
      <c r="F3662" s="213">
        <v>8</v>
      </c>
      <c r="G3662" s="213">
        <v>193.55086499999999</v>
      </c>
      <c r="H3662" s="195">
        <v>1548.4069199999999</v>
      </c>
      <c r="I3662" s="212" t="s">
        <v>2354</v>
      </c>
    </row>
    <row r="3663" spans="1:9" x14ac:dyDescent="0.25">
      <c r="A3663" s="218" t="s">
        <v>220</v>
      </c>
      <c r="B3663" s="218" t="s">
        <v>2351</v>
      </c>
      <c r="C3663" s="219" t="s">
        <v>2476</v>
      </c>
      <c r="D3663" s="212" t="s">
        <v>2477</v>
      </c>
      <c r="E3663" s="212" t="s">
        <v>545</v>
      </c>
      <c r="F3663" s="213">
        <v>6</v>
      </c>
      <c r="G3663" s="213">
        <v>258.3</v>
      </c>
      <c r="H3663" s="195">
        <v>1549.8000000000002</v>
      </c>
      <c r="I3663" s="212" t="s">
        <v>2354</v>
      </c>
    </row>
    <row r="3664" spans="1:9" x14ac:dyDescent="0.25">
      <c r="A3664" s="218" t="s">
        <v>220</v>
      </c>
      <c r="B3664" s="218" t="s">
        <v>2351</v>
      </c>
      <c r="C3664" s="219" t="s">
        <v>3845</v>
      </c>
      <c r="D3664" s="212" t="s">
        <v>3846</v>
      </c>
      <c r="E3664" s="212" t="s">
        <v>545</v>
      </c>
      <c r="F3664" s="213">
        <v>12</v>
      </c>
      <c r="G3664" s="213">
        <v>133.94300000000001</v>
      </c>
      <c r="H3664" s="195">
        <v>1607.3160000000003</v>
      </c>
      <c r="I3664" s="212" t="s">
        <v>2354</v>
      </c>
    </row>
    <row r="3665" spans="1:9" x14ac:dyDescent="0.25">
      <c r="A3665" s="218" t="s">
        <v>220</v>
      </c>
      <c r="B3665" s="218" t="s">
        <v>2351</v>
      </c>
      <c r="C3665" s="219" t="s">
        <v>2574</v>
      </c>
      <c r="D3665" s="212" t="s">
        <v>2575</v>
      </c>
      <c r="E3665" s="212" t="s">
        <v>545</v>
      </c>
      <c r="F3665" s="213">
        <v>5</v>
      </c>
      <c r="G3665" s="213">
        <v>323.07979</v>
      </c>
      <c r="H3665" s="195">
        <v>1615.39895</v>
      </c>
      <c r="I3665" s="212" t="s">
        <v>2354</v>
      </c>
    </row>
    <row r="3666" spans="1:9" x14ac:dyDescent="0.25">
      <c r="A3666" s="218" t="s">
        <v>220</v>
      </c>
      <c r="B3666" s="218" t="s">
        <v>5430</v>
      </c>
      <c r="C3666" s="219" t="s">
        <v>5678</v>
      </c>
      <c r="D3666" s="212" t="s">
        <v>5679</v>
      </c>
      <c r="E3666" s="212" t="s">
        <v>2387</v>
      </c>
      <c r="F3666" s="213">
        <v>14</v>
      </c>
      <c r="G3666" s="213">
        <v>117.19889999999999</v>
      </c>
      <c r="H3666" s="195">
        <v>1640.7846</v>
      </c>
      <c r="I3666" s="212" t="s">
        <v>2354</v>
      </c>
    </row>
    <row r="3667" spans="1:9" x14ac:dyDescent="0.25">
      <c r="A3667" s="218" t="s">
        <v>220</v>
      </c>
      <c r="B3667" s="218" t="s">
        <v>5430</v>
      </c>
      <c r="C3667" s="219" t="s">
        <v>6115</v>
      </c>
      <c r="D3667" s="212" t="s">
        <v>6116</v>
      </c>
      <c r="E3667" s="212" t="s">
        <v>545</v>
      </c>
      <c r="F3667" s="213">
        <v>1</v>
      </c>
      <c r="G3667" s="213">
        <v>1642.617</v>
      </c>
      <c r="H3667" s="195">
        <v>1642.617</v>
      </c>
      <c r="I3667" s="212" t="s">
        <v>2354</v>
      </c>
    </row>
    <row r="3668" spans="1:9" x14ac:dyDescent="0.25">
      <c r="A3668" s="218" t="s">
        <v>220</v>
      </c>
      <c r="B3668" s="218" t="s">
        <v>5430</v>
      </c>
      <c r="C3668" s="219" t="s">
        <v>7340</v>
      </c>
      <c r="D3668" s="212" t="s">
        <v>7341</v>
      </c>
      <c r="E3668" s="212" t="s">
        <v>545</v>
      </c>
      <c r="F3668" s="213">
        <v>1</v>
      </c>
      <c r="G3668" s="213">
        <v>1681.6320000000001</v>
      </c>
      <c r="H3668" s="195">
        <v>1681.6320000000001</v>
      </c>
      <c r="I3668" s="212" t="s">
        <v>2354</v>
      </c>
    </row>
    <row r="3669" spans="1:9" x14ac:dyDescent="0.25">
      <c r="A3669" s="218" t="s">
        <v>220</v>
      </c>
      <c r="B3669" s="218" t="s">
        <v>2351</v>
      </c>
      <c r="C3669" s="219" t="s">
        <v>3171</v>
      </c>
      <c r="D3669" s="212" t="s">
        <v>3172</v>
      </c>
      <c r="E3669" s="212" t="s">
        <v>545</v>
      </c>
      <c r="F3669" s="213">
        <v>382</v>
      </c>
      <c r="G3669" s="213">
        <v>4.4244199999999996</v>
      </c>
      <c r="H3669" s="195">
        <v>1690.1284399999997</v>
      </c>
      <c r="I3669" s="212" t="s">
        <v>2354</v>
      </c>
    </row>
    <row r="3670" spans="1:9" x14ac:dyDescent="0.25">
      <c r="A3670" s="218" t="s">
        <v>220</v>
      </c>
      <c r="B3670" s="218" t="s">
        <v>2351</v>
      </c>
      <c r="C3670" s="219" t="s">
        <v>2582</v>
      </c>
      <c r="D3670" s="212" t="s">
        <v>2583</v>
      </c>
      <c r="E3670" s="212" t="s">
        <v>545</v>
      </c>
      <c r="F3670" s="213">
        <v>6</v>
      </c>
      <c r="G3670" s="213">
        <v>282.38877000000002</v>
      </c>
      <c r="H3670" s="195">
        <v>1694.3326200000001</v>
      </c>
      <c r="I3670" s="212" t="s">
        <v>2354</v>
      </c>
    </row>
    <row r="3671" spans="1:9" x14ac:dyDescent="0.25">
      <c r="A3671" s="218" t="s">
        <v>220</v>
      </c>
      <c r="B3671" s="218" t="s">
        <v>2351</v>
      </c>
      <c r="C3671" s="219" t="s">
        <v>2590</v>
      </c>
      <c r="D3671" s="212" t="s">
        <v>2591</v>
      </c>
      <c r="E3671" s="212" t="s">
        <v>545</v>
      </c>
      <c r="F3671" s="213">
        <v>6</v>
      </c>
      <c r="G3671" s="213">
        <v>283.80860000000001</v>
      </c>
      <c r="H3671" s="195">
        <v>1702.8516</v>
      </c>
      <c r="I3671" s="212" t="s">
        <v>2354</v>
      </c>
    </row>
    <row r="3672" spans="1:9" x14ac:dyDescent="0.25">
      <c r="A3672" s="218" t="s">
        <v>220</v>
      </c>
      <c r="B3672" s="218" t="s">
        <v>5430</v>
      </c>
      <c r="C3672" s="219" t="s">
        <v>5552</v>
      </c>
      <c r="D3672" s="212" t="s">
        <v>5553</v>
      </c>
      <c r="E3672" s="212" t="s">
        <v>545</v>
      </c>
      <c r="F3672" s="213">
        <v>4</v>
      </c>
      <c r="G3672" s="213">
        <v>430.26</v>
      </c>
      <c r="H3672" s="195">
        <v>1721.04</v>
      </c>
      <c r="I3672" s="212" t="s">
        <v>2354</v>
      </c>
    </row>
    <row r="3673" spans="1:9" x14ac:dyDescent="0.25">
      <c r="A3673" s="218" t="s">
        <v>220</v>
      </c>
      <c r="B3673" s="218" t="s">
        <v>2351</v>
      </c>
      <c r="C3673" s="219" t="s">
        <v>2618</v>
      </c>
      <c r="D3673" s="212" t="s">
        <v>2619</v>
      </c>
      <c r="E3673" s="212" t="s">
        <v>545</v>
      </c>
      <c r="F3673" s="213">
        <v>2</v>
      </c>
      <c r="G3673" s="213">
        <v>871.07100000000003</v>
      </c>
      <c r="H3673" s="195">
        <v>1742.1420000000001</v>
      </c>
      <c r="I3673" s="212" t="s">
        <v>2354</v>
      </c>
    </row>
    <row r="3674" spans="1:9" x14ac:dyDescent="0.25">
      <c r="A3674" s="218" t="s">
        <v>220</v>
      </c>
      <c r="B3674" s="218" t="s">
        <v>2351</v>
      </c>
      <c r="C3674" s="219" t="s">
        <v>4079</v>
      </c>
      <c r="D3674" s="212" t="s">
        <v>5331</v>
      </c>
      <c r="E3674" s="212" t="s">
        <v>545</v>
      </c>
      <c r="F3674" s="213">
        <v>20</v>
      </c>
      <c r="G3674" s="213">
        <v>87.93</v>
      </c>
      <c r="H3674" s="195">
        <v>1758.6000000000001</v>
      </c>
      <c r="I3674" s="212" t="s">
        <v>2354</v>
      </c>
    </row>
    <row r="3675" spans="1:9" x14ac:dyDescent="0.25">
      <c r="A3675" s="218" t="s">
        <v>220</v>
      </c>
      <c r="B3675" s="218" t="s">
        <v>2351</v>
      </c>
      <c r="C3675" s="219" t="s">
        <v>3423</v>
      </c>
      <c r="D3675" s="212" t="s">
        <v>3424</v>
      </c>
      <c r="E3675" s="212" t="s">
        <v>545</v>
      </c>
      <c r="F3675" s="213">
        <v>3</v>
      </c>
      <c r="G3675" s="213">
        <v>589.88173333333327</v>
      </c>
      <c r="H3675" s="195">
        <v>1769.6451999999999</v>
      </c>
      <c r="I3675" s="212" t="s">
        <v>2354</v>
      </c>
    </row>
    <row r="3676" spans="1:9" x14ac:dyDescent="0.25">
      <c r="A3676" s="218" t="s">
        <v>220</v>
      </c>
      <c r="B3676" s="218" t="s">
        <v>2351</v>
      </c>
      <c r="C3676" s="219" t="s">
        <v>5058</v>
      </c>
      <c r="D3676" s="212" t="s">
        <v>5059</v>
      </c>
      <c r="E3676" s="212" t="s">
        <v>545</v>
      </c>
      <c r="F3676" s="213">
        <v>780</v>
      </c>
      <c r="G3676" s="213">
        <v>2.282</v>
      </c>
      <c r="H3676" s="195">
        <v>1779.96</v>
      </c>
      <c r="I3676" s="212" t="s">
        <v>2354</v>
      </c>
    </row>
    <row r="3677" spans="1:9" x14ac:dyDescent="0.25">
      <c r="A3677" s="218" t="s">
        <v>220</v>
      </c>
      <c r="B3677" s="218" t="s">
        <v>2351</v>
      </c>
      <c r="C3677" s="219" t="s">
        <v>4229</v>
      </c>
      <c r="D3677" s="212" t="s">
        <v>4230</v>
      </c>
      <c r="E3677" s="212" t="s">
        <v>545</v>
      </c>
      <c r="F3677" s="213">
        <v>3</v>
      </c>
      <c r="G3677" s="213">
        <v>596.73599999999999</v>
      </c>
      <c r="H3677" s="195">
        <v>1790.2080000000001</v>
      </c>
      <c r="I3677" s="212" t="s">
        <v>2354</v>
      </c>
    </row>
    <row r="3678" spans="1:9" x14ac:dyDescent="0.25">
      <c r="A3678" s="218" t="s">
        <v>220</v>
      </c>
      <c r="B3678" s="218" t="s">
        <v>5430</v>
      </c>
      <c r="C3678" s="219" t="s">
        <v>5586</v>
      </c>
      <c r="D3678" s="212" t="s">
        <v>5587</v>
      </c>
      <c r="E3678" s="212" t="s">
        <v>545</v>
      </c>
      <c r="F3678" s="213">
        <v>1</v>
      </c>
      <c r="G3678" s="213">
        <v>1791.7320850000001</v>
      </c>
      <c r="H3678" s="195">
        <v>1791.7320850000001</v>
      </c>
      <c r="I3678" s="212" t="s">
        <v>2354</v>
      </c>
    </row>
    <row r="3679" spans="1:9" x14ac:dyDescent="0.25">
      <c r="A3679" s="218" t="s">
        <v>220</v>
      </c>
      <c r="B3679" s="218" t="s">
        <v>5430</v>
      </c>
      <c r="C3679" s="219" t="s">
        <v>5566</v>
      </c>
      <c r="D3679" s="212" t="s">
        <v>5567</v>
      </c>
      <c r="E3679" s="212" t="s">
        <v>545</v>
      </c>
      <c r="F3679" s="213">
        <v>5</v>
      </c>
      <c r="G3679" s="213">
        <v>360.34687318846187</v>
      </c>
      <c r="H3679" s="195">
        <v>1801.7343659423093</v>
      </c>
      <c r="I3679" s="212" t="s">
        <v>2354</v>
      </c>
    </row>
    <row r="3680" spans="1:9" x14ac:dyDescent="0.25">
      <c r="A3680" s="218" t="s">
        <v>220</v>
      </c>
      <c r="B3680" s="218" t="s">
        <v>2351</v>
      </c>
      <c r="C3680" s="219" t="s">
        <v>3155</v>
      </c>
      <c r="D3680" s="212" t="s">
        <v>3156</v>
      </c>
      <c r="E3680" s="212" t="s">
        <v>545</v>
      </c>
      <c r="F3680" s="213">
        <v>8</v>
      </c>
      <c r="G3680" s="213">
        <v>226.54079999999999</v>
      </c>
      <c r="H3680" s="195">
        <v>1812.3263999999999</v>
      </c>
      <c r="I3680" s="212" t="s">
        <v>2354</v>
      </c>
    </row>
    <row r="3681" spans="1:9" x14ac:dyDescent="0.25">
      <c r="A3681" s="218" t="s">
        <v>220</v>
      </c>
      <c r="B3681" s="218" t="s">
        <v>2351</v>
      </c>
      <c r="C3681" s="219" t="s">
        <v>2644</v>
      </c>
      <c r="D3681" s="212" t="s">
        <v>2645</v>
      </c>
      <c r="E3681" s="212" t="s">
        <v>545</v>
      </c>
      <c r="F3681" s="213">
        <v>1</v>
      </c>
      <c r="G3681" s="213">
        <v>1815.0550000000001</v>
      </c>
      <c r="H3681" s="195">
        <v>1815.0550000000001</v>
      </c>
      <c r="I3681" s="212" t="s">
        <v>2354</v>
      </c>
    </row>
    <row r="3682" spans="1:9" x14ac:dyDescent="0.25">
      <c r="A3682" s="218" t="s">
        <v>220</v>
      </c>
      <c r="B3682" s="218" t="s">
        <v>5430</v>
      </c>
      <c r="C3682" s="219" t="s">
        <v>1901</v>
      </c>
      <c r="D3682" s="212" t="s">
        <v>1902</v>
      </c>
      <c r="E3682" s="212" t="s">
        <v>1894</v>
      </c>
      <c r="F3682" s="213">
        <v>50</v>
      </c>
      <c r="G3682" s="213">
        <v>36.402450000000002</v>
      </c>
      <c r="H3682" s="195">
        <v>1820.1225000000002</v>
      </c>
      <c r="I3682" s="212" t="s">
        <v>541</v>
      </c>
    </row>
    <row r="3683" spans="1:9" x14ac:dyDescent="0.25">
      <c r="A3683" s="218" t="s">
        <v>220</v>
      </c>
      <c r="B3683" s="218" t="s">
        <v>5430</v>
      </c>
      <c r="C3683" s="219" t="s">
        <v>5629</v>
      </c>
      <c r="D3683" s="212" t="s">
        <v>5630</v>
      </c>
      <c r="E3683" s="212" t="s">
        <v>545</v>
      </c>
      <c r="F3683" s="213">
        <v>1</v>
      </c>
      <c r="G3683" s="213">
        <v>1834.2945475713532</v>
      </c>
      <c r="H3683" s="195">
        <v>1834.2945475713532</v>
      </c>
      <c r="I3683" s="212" t="s">
        <v>2354</v>
      </c>
    </row>
    <row r="3684" spans="1:9" x14ac:dyDescent="0.25">
      <c r="A3684" s="218" t="s">
        <v>220</v>
      </c>
      <c r="B3684" s="218" t="s">
        <v>2351</v>
      </c>
      <c r="C3684" s="219" t="s">
        <v>4335</v>
      </c>
      <c r="D3684" s="212" t="s">
        <v>4336</v>
      </c>
      <c r="E3684" s="212" t="s">
        <v>545</v>
      </c>
      <c r="F3684" s="213">
        <v>18</v>
      </c>
      <c r="G3684" s="213">
        <v>107.1</v>
      </c>
      <c r="H3684" s="195">
        <v>1927.8</v>
      </c>
      <c r="I3684" s="212" t="s">
        <v>2354</v>
      </c>
    </row>
    <row r="3685" spans="1:9" x14ac:dyDescent="0.25">
      <c r="A3685" s="218" t="s">
        <v>220</v>
      </c>
      <c r="B3685" s="218" t="s">
        <v>2351</v>
      </c>
      <c r="C3685" s="219" t="s">
        <v>2490</v>
      </c>
      <c r="D3685" s="212" t="s">
        <v>2491</v>
      </c>
      <c r="E3685" s="212" t="s">
        <v>545</v>
      </c>
      <c r="F3685" s="213">
        <v>42</v>
      </c>
      <c r="G3685" s="213">
        <v>46.293731220461453</v>
      </c>
      <c r="H3685" s="195">
        <v>1944.336711259381</v>
      </c>
      <c r="I3685" s="212" t="s">
        <v>2354</v>
      </c>
    </row>
    <row r="3686" spans="1:9" x14ac:dyDescent="0.25">
      <c r="A3686" s="218" t="s">
        <v>220</v>
      </c>
      <c r="B3686" s="218" t="s">
        <v>2351</v>
      </c>
      <c r="C3686" s="219" t="s">
        <v>2526</v>
      </c>
      <c r="D3686" s="212" t="s">
        <v>2527</v>
      </c>
      <c r="E3686" s="212" t="s">
        <v>545</v>
      </c>
      <c r="F3686" s="213">
        <v>6</v>
      </c>
      <c r="G3686" s="213">
        <v>330.52017303815018</v>
      </c>
      <c r="H3686" s="195">
        <v>1983.1210382289009</v>
      </c>
      <c r="I3686" s="212" t="s">
        <v>2354</v>
      </c>
    </row>
    <row r="3687" spans="1:9" x14ac:dyDescent="0.25">
      <c r="A3687" s="218" t="s">
        <v>220</v>
      </c>
      <c r="B3687" s="218" t="s">
        <v>2351</v>
      </c>
      <c r="C3687" s="219" t="s">
        <v>2560</v>
      </c>
      <c r="D3687" s="212" t="s">
        <v>2561</v>
      </c>
      <c r="E3687" s="212" t="s">
        <v>545</v>
      </c>
      <c r="F3687" s="213">
        <v>80</v>
      </c>
      <c r="G3687" s="213">
        <v>24.99952</v>
      </c>
      <c r="H3687" s="195">
        <v>1999.9616000000001</v>
      </c>
      <c r="I3687" s="212" t="s">
        <v>2354</v>
      </c>
    </row>
    <row r="3688" spans="1:9" x14ac:dyDescent="0.25">
      <c r="A3688" s="218" t="s">
        <v>220</v>
      </c>
      <c r="B3688" s="218" t="s">
        <v>2351</v>
      </c>
      <c r="C3688" s="219" t="s">
        <v>4309</v>
      </c>
      <c r="D3688" s="212" t="s">
        <v>4310</v>
      </c>
      <c r="E3688" s="212" t="s">
        <v>545</v>
      </c>
      <c r="F3688" s="213">
        <v>10</v>
      </c>
      <c r="G3688" s="213">
        <v>202.61458000000002</v>
      </c>
      <c r="H3688" s="195">
        <v>2026.1458000000002</v>
      </c>
      <c r="I3688" s="212" t="s">
        <v>2354</v>
      </c>
    </row>
    <row r="3689" spans="1:9" x14ac:dyDescent="0.25">
      <c r="A3689" s="218" t="s">
        <v>220</v>
      </c>
      <c r="B3689" s="218" t="s">
        <v>5430</v>
      </c>
      <c r="C3689" s="219" t="s">
        <v>5639</v>
      </c>
      <c r="D3689" s="212" t="s">
        <v>5640</v>
      </c>
      <c r="E3689" s="212" t="s">
        <v>545</v>
      </c>
      <c r="F3689" s="213">
        <v>2</v>
      </c>
      <c r="G3689" s="213">
        <v>1028.194</v>
      </c>
      <c r="H3689" s="195">
        <v>2056.3879999999999</v>
      </c>
      <c r="I3689" s="212" t="s">
        <v>2354</v>
      </c>
    </row>
    <row r="3690" spans="1:9" x14ac:dyDescent="0.25">
      <c r="A3690" s="218" t="s">
        <v>220</v>
      </c>
      <c r="B3690" s="218" t="s">
        <v>2351</v>
      </c>
      <c r="C3690" s="219" t="s">
        <v>3799</v>
      </c>
      <c r="D3690" s="212" t="s">
        <v>3800</v>
      </c>
      <c r="E3690" s="212" t="s">
        <v>545</v>
      </c>
      <c r="F3690" s="213">
        <v>6</v>
      </c>
      <c r="G3690" s="213">
        <v>346.16480000000001</v>
      </c>
      <c r="H3690" s="195">
        <v>2076.9888000000001</v>
      </c>
      <c r="I3690" s="212" t="s">
        <v>2354</v>
      </c>
    </row>
    <row r="3691" spans="1:9" x14ac:dyDescent="0.25">
      <c r="A3691" s="218" t="s">
        <v>220</v>
      </c>
      <c r="B3691" s="218" t="s">
        <v>2351</v>
      </c>
      <c r="C3691" s="219" t="s">
        <v>3173</v>
      </c>
      <c r="D3691" s="212" t="s">
        <v>3174</v>
      </c>
      <c r="E3691" s="212" t="s">
        <v>545</v>
      </c>
      <c r="F3691" s="213">
        <v>159</v>
      </c>
      <c r="G3691" s="213">
        <v>13.242319999999999</v>
      </c>
      <c r="H3691" s="195">
        <v>2105.5288799999998</v>
      </c>
      <c r="I3691" s="212" t="s">
        <v>2354</v>
      </c>
    </row>
    <row r="3692" spans="1:9" x14ac:dyDescent="0.25">
      <c r="A3692" s="218" t="s">
        <v>220</v>
      </c>
      <c r="B3692" s="218" t="s">
        <v>2351</v>
      </c>
      <c r="C3692" s="219" t="s">
        <v>4736</v>
      </c>
      <c r="D3692" s="212" t="s">
        <v>4737</v>
      </c>
      <c r="E3692" s="212" t="s">
        <v>2473</v>
      </c>
      <c r="F3692" s="213">
        <v>89</v>
      </c>
      <c r="G3692" s="213">
        <v>24.328700000000001</v>
      </c>
      <c r="H3692" s="195">
        <v>2165.2543000000001</v>
      </c>
      <c r="I3692" s="212" t="s">
        <v>2354</v>
      </c>
    </row>
    <row r="3693" spans="1:9" x14ac:dyDescent="0.25">
      <c r="A3693" s="218" t="s">
        <v>220</v>
      </c>
      <c r="B3693" s="218" t="s">
        <v>5430</v>
      </c>
      <c r="C3693" s="219" t="s">
        <v>6415</v>
      </c>
      <c r="D3693" s="212" t="s">
        <v>6416</v>
      </c>
      <c r="E3693" s="212" t="s">
        <v>545</v>
      </c>
      <c r="F3693" s="213">
        <v>11</v>
      </c>
      <c r="G3693" s="213">
        <v>199.80000000000004</v>
      </c>
      <c r="H3693" s="195">
        <v>2197.8000000000006</v>
      </c>
      <c r="I3693" s="212" t="s">
        <v>2354</v>
      </c>
    </row>
    <row r="3694" spans="1:9" x14ac:dyDescent="0.25">
      <c r="A3694" s="218" t="s">
        <v>220</v>
      </c>
      <c r="B3694" s="218" t="s">
        <v>2351</v>
      </c>
      <c r="C3694" s="219" t="s">
        <v>2544</v>
      </c>
      <c r="D3694" s="212" t="s">
        <v>2545</v>
      </c>
      <c r="E3694" s="212" t="s">
        <v>545</v>
      </c>
      <c r="F3694" s="213">
        <v>4</v>
      </c>
      <c r="G3694" s="213">
        <v>554.62175999999999</v>
      </c>
      <c r="H3694" s="195">
        <v>2218.48704</v>
      </c>
      <c r="I3694" s="212" t="s">
        <v>2354</v>
      </c>
    </row>
    <row r="3695" spans="1:9" x14ac:dyDescent="0.25">
      <c r="A3695" s="218" t="s">
        <v>220</v>
      </c>
      <c r="B3695" s="218" t="s">
        <v>2351</v>
      </c>
      <c r="C3695" s="219" t="s">
        <v>2494</v>
      </c>
      <c r="D3695" s="212" t="s">
        <v>2495</v>
      </c>
      <c r="E3695" s="212" t="s">
        <v>545</v>
      </c>
      <c r="F3695" s="213">
        <v>6</v>
      </c>
      <c r="G3695" s="213">
        <v>389.41789859126379</v>
      </c>
      <c r="H3695" s="195">
        <v>2336.5073915475828</v>
      </c>
      <c r="I3695" s="212" t="s">
        <v>2354</v>
      </c>
    </row>
    <row r="3696" spans="1:9" x14ac:dyDescent="0.25">
      <c r="A3696" s="218" t="s">
        <v>220</v>
      </c>
      <c r="B3696" s="218" t="s">
        <v>2351</v>
      </c>
      <c r="C3696" s="219" t="s">
        <v>2622</v>
      </c>
      <c r="D3696" s="212" t="s">
        <v>2623</v>
      </c>
      <c r="E3696" s="212" t="s">
        <v>545</v>
      </c>
      <c r="F3696" s="213">
        <v>4</v>
      </c>
      <c r="G3696" s="213">
        <v>619.70500000000004</v>
      </c>
      <c r="H3696" s="195">
        <v>2478.8200000000002</v>
      </c>
      <c r="I3696" s="212" t="s">
        <v>2354</v>
      </c>
    </row>
    <row r="3697" spans="1:9" x14ac:dyDescent="0.25">
      <c r="A3697" s="218" t="s">
        <v>220</v>
      </c>
      <c r="B3697" s="218" t="s">
        <v>5430</v>
      </c>
      <c r="C3697" s="219" t="s">
        <v>6214</v>
      </c>
      <c r="D3697" s="212" t="s">
        <v>6215</v>
      </c>
      <c r="E3697" s="212" t="s">
        <v>545</v>
      </c>
      <c r="F3697" s="213">
        <v>4</v>
      </c>
      <c r="G3697" s="213">
        <v>621.45309599999996</v>
      </c>
      <c r="H3697" s="195">
        <v>2485.8123839999998</v>
      </c>
      <c r="I3697" s="212" t="s">
        <v>2354</v>
      </c>
    </row>
    <row r="3698" spans="1:9" x14ac:dyDescent="0.25">
      <c r="A3698" s="218" t="s">
        <v>220</v>
      </c>
      <c r="B3698" s="218" t="s">
        <v>2351</v>
      </c>
      <c r="C3698" s="219" t="s">
        <v>2640</v>
      </c>
      <c r="D3698" s="212" t="s">
        <v>2641</v>
      </c>
      <c r="E3698" s="212" t="s">
        <v>545</v>
      </c>
      <c r="F3698" s="213">
        <v>71</v>
      </c>
      <c r="G3698" s="213">
        <v>36.671672408360124</v>
      </c>
      <c r="H3698" s="195">
        <v>2603.6887409935689</v>
      </c>
      <c r="I3698" s="212" t="s">
        <v>2354</v>
      </c>
    </row>
    <row r="3699" spans="1:9" x14ac:dyDescent="0.25">
      <c r="A3699" s="218" t="s">
        <v>220</v>
      </c>
      <c r="B3699" s="218" t="s">
        <v>5430</v>
      </c>
      <c r="C3699" s="219" t="s">
        <v>5674</v>
      </c>
      <c r="D3699" s="212" t="s">
        <v>5675</v>
      </c>
      <c r="E3699" s="212" t="s">
        <v>545</v>
      </c>
      <c r="F3699" s="213">
        <v>8</v>
      </c>
      <c r="G3699" s="213">
        <v>327.63240000000002</v>
      </c>
      <c r="H3699" s="195">
        <v>2621.0592000000001</v>
      </c>
      <c r="I3699" s="212" t="s">
        <v>2354</v>
      </c>
    </row>
    <row r="3700" spans="1:9" x14ac:dyDescent="0.25">
      <c r="A3700" s="218" t="s">
        <v>220</v>
      </c>
      <c r="B3700" s="218" t="s">
        <v>2351</v>
      </c>
      <c r="C3700" s="219" t="s">
        <v>2734</v>
      </c>
      <c r="D3700" s="212" t="s">
        <v>2735</v>
      </c>
      <c r="E3700" s="212" t="s">
        <v>545</v>
      </c>
      <c r="F3700" s="213">
        <v>1</v>
      </c>
      <c r="G3700" s="213">
        <v>2656.2089999999998</v>
      </c>
      <c r="H3700" s="195">
        <v>2656.2089999999998</v>
      </c>
      <c r="I3700" s="212" t="s">
        <v>2354</v>
      </c>
    </row>
    <row r="3701" spans="1:9" x14ac:dyDescent="0.25">
      <c r="A3701" s="218" t="s">
        <v>220</v>
      </c>
      <c r="B3701" s="218" t="s">
        <v>2351</v>
      </c>
      <c r="C3701" s="219" t="s">
        <v>4744</v>
      </c>
      <c r="D3701" s="212" t="s">
        <v>4745</v>
      </c>
      <c r="E3701" s="212" t="s">
        <v>545</v>
      </c>
      <c r="F3701" s="213">
        <v>89</v>
      </c>
      <c r="G3701" s="213">
        <v>30.584700000000002</v>
      </c>
      <c r="H3701" s="195">
        <v>2722.0383000000002</v>
      </c>
      <c r="I3701" s="212" t="s">
        <v>2354</v>
      </c>
    </row>
    <row r="3702" spans="1:9" x14ac:dyDescent="0.25">
      <c r="A3702" s="218" t="s">
        <v>220</v>
      </c>
      <c r="B3702" s="218" t="s">
        <v>2351</v>
      </c>
      <c r="C3702" s="219" t="s">
        <v>2445</v>
      </c>
      <c r="D3702" s="212" t="s">
        <v>2446</v>
      </c>
      <c r="E3702" s="212" t="s">
        <v>545</v>
      </c>
      <c r="F3702" s="213">
        <v>4</v>
      </c>
      <c r="G3702" s="213">
        <v>687.14539500000001</v>
      </c>
      <c r="H3702" s="195">
        <v>2748.58158</v>
      </c>
      <c r="I3702" s="212" t="s">
        <v>2354</v>
      </c>
    </row>
    <row r="3703" spans="1:9" x14ac:dyDescent="0.25">
      <c r="A3703" s="218" t="s">
        <v>220</v>
      </c>
      <c r="B3703" s="218" t="s">
        <v>5430</v>
      </c>
      <c r="C3703" s="219" t="s">
        <v>6251</v>
      </c>
      <c r="D3703" s="212" t="s">
        <v>6252</v>
      </c>
      <c r="E3703" s="212" t="s">
        <v>545</v>
      </c>
      <c r="F3703" s="213">
        <v>101</v>
      </c>
      <c r="G3703" s="213">
        <v>27.597635400000001</v>
      </c>
      <c r="H3703" s="195">
        <v>2787.3611754000003</v>
      </c>
      <c r="I3703" s="212" t="s">
        <v>2354</v>
      </c>
    </row>
    <row r="3704" spans="1:9" x14ac:dyDescent="0.25">
      <c r="A3704" s="218" t="s">
        <v>220</v>
      </c>
      <c r="B3704" s="218" t="s">
        <v>2351</v>
      </c>
      <c r="C3704" s="219" t="s">
        <v>5264</v>
      </c>
      <c r="D3704" s="212" t="s">
        <v>5265</v>
      </c>
      <c r="E3704" s="212" t="s">
        <v>545</v>
      </c>
      <c r="F3704" s="213">
        <v>1</v>
      </c>
      <c r="G3704" s="213">
        <v>2788</v>
      </c>
      <c r="H3704" s="195">
        <v>2788</v>
      </c>
      <c r="I3704" s="212" t="s">
        <v>2354</v>
      </c>
    </row>
    <row r="3705" spans="1:9" x14ac:dyDescent="0.25">
      <c r="A3705" s="218" t="s">
        <v>220</v>
      </c>
      <c r="B3705" s="218" t="s">
        <v>5430</v>
      </c>
      <c r="C3705" s="219" t="s">
        <v>5631</v>
      </c>
      <c r="D3705" s="212" t="s">
        <v>5632</v>
      </c>
      <c r="E3705" s="212" t="s">
        <v>545</v>
      </c>
      <c r="F3705" s="213">
        <v>5</v>
      </c>
      <c r="G3705" s="213">
        <v>600</v>
      </c>
      <c r="H3705" s="195">
        <v>3000</v>
      </c>
      <c r="I3705" s="212" t="s">
        <v>2354</v>
      </c>
    </row>
    <row r="3706" spans="1:9" x14ac:dyDescent="0.25">
      <c r="A3706" s="218" t="s">
        <v>220</v>
      </c>
      <c r="B3706" s="218" t="s">
        <v>2351</v>
      </c>
      <c r="C3706" s="219" t="s">
        <v>4347</v>
      </c>
      <c r="D3706" s="212" t="s">
        <v>4348</v>
      </c>
      <c r="E3706" s="212" t="s">
        <v>545</v>
      </c>
      <c r="F3706" s="213">
        <v>2</v>
      </c>
      <c r="G3706" s="213">
        <v>1510.4934000000001</v>
      </c>
      <c r="H3706" s="195">
        <v>3020.9868000000001</v>
      </c>
      <c r="I3706" s="212" t="s">
        <v>2354</v>
      </c>
    </row>
    <row r="3707" spans="1:9" x14ac:dyDescent="0.25">
      <c r="A3707" s="218" t="s">
        <v>220</v>
      </c>
      <c r="B3707" s="218" t="s">
        <v>2351</v>
      </c>
      <c r="C3707" s="223" t="s">
        <v>3757</v>
      </c>
      <c r="D3707" s="212" t="s">
        <v>3758</v>
      </c>
      <c r="E3707" s="212" t="s">
        <v>2387</v>
      </c>
      <c r="F3707" s="213">
        <v>100</v>
      </c>
      <c r="G3707" s="213">
        <v>31.024999999999999</v>
      </c>
      <c r="H3707" s="195">
        <v>3102.5</v>
      </c>
      <c r="I3707" s="212" t="s">
        <v>2354</v>
      </c>
    </row>
    <row r="3708" spans="1:9" x14ac:dyDescent="0.25">
      <c r="A3708" s="218" t="s">
        <v>220</v>
      </c>
      <c r="B3708" s="218" t="s">
        <v>2351</v>
      </c>
      <c r="C3708" s="219" t="s">
        <v>2656</v>
      </c>
      <c r="D3708" s="212" t="s">
        <v>2657</v>
      </c>
      <c r="E3708" s="212" t="s">
        <v>545</v>
      </c>
      <c r="F3708" s="213">
        <v>6</v>
      </c>
      <c r="G3708" s="213">
        <v>518.80799999999999</v>
      </c>
      <c r="H3708" s="195">
        <v>3112.848</v>
      </c>
      <c r="I3708" s="212" t="s">
        <v>2354</v>
      </c>
    </row>
    <row r="3709" spans="1:9" x14ac:dyDescent="0.25">
      <c r="A3709" s="218" t="s">
        <v>220</v>
      </c>
      <c r="B3709" s="218" t="s">
        <v>5430</v>
      </c>
      <c r="C3709" s="219" t="s">
        <v>5494</v>
      </c>
      <c r="D3709" s="212" t="s">
        <v>5495</v>
      </c>
      <c r="E3709" s="212" t="s">
        <v>545</v>
      </c>
      <c r="F3709" s="213">
        <v>2</v>
      </c>
      <c r="G3709" s="213">
        <v>1618.162</v>
      </c>
      <c r="H3709" s="195">
        <v>3236.3240000000001</v>
      </c>
      <c r="I3709" s="212" t="s">
        <v>2354</v>
      </c>
    </row>
    <row r="3710" spans="1:9" x14ac:dyDescent="0.25">
      <c r="A3710" s="218" t="s">
        <v>220</v>
      </c>
      <c r="B3710" s="218" t="s">
        <v>2351</v>
      </c>
      <c r="C3710" s="219" t="s">
        <v>2610</v>
      </c>
      <c r="D3710" s="212" t="s">
        <v>2611</v>
      </c>
      <c r="E3710" s="212" t="s">
        <v>545</v>
      </c>
      <c r="F3710" s="213">
        <v>12</v>
      </c>
      <c r="G3710" s="213">
        <v>276.28528494880186</v>
      </c>
      <c r="H3710" s="195">
        <v>3315.4234193856223</v>
      </c>
      <c r="I3710" s="212" t="s">
        <v>2354</v>
      </c>
    </row>
    <row r="3711" spans="1:9" x14ac:dyDescent="0.25">
      <c r="A3711" s="218" t="s">
        <v>220</v>
      </c>
      <c r="B3711" s="218" t="s">
        <v>2351</v>
      </c>
      <c r="C3711" s="219" t="s">
        <v>2620</v>
      </c>
      <c r="D3711" s="212" t="s">
        <v>2621</v>
      </c>
      <c r="E3711" s="212" t="s">
        <v>545</v>
      </c>
      <c r="F3711" s="213">
        <v>4</v>
      </c>
      <c r="G3711" s="213">
        <v>831.07399999999996</v>
      </c>
      <c r="H3711" s="195">
        <v>3324.2959999999998</v>
      </c>
      <c r="I3711" s="212" t="s">
        <v>2354</v>
      </c>
    </row>
    <row r="3712" spans="1:9" x14ac:dyDescent="0.25">
      <c r="A3712" s="218" t="s">
        <v>220</v>
      </c>
      <c r="B3712" s="218" t="s">
        <v>2351</v>
      </c>
      <c r="C3712" s="219" t="s">
        <v>2654</v>
      </c>
      <c r="D3712" s="212" t="s">
        <v>2655</v>
      </c>
      <c r="E3712" s="212" t="s">
        <v>545</v>
      </c>
      <c r="F3712" s="213">
        <v>2</v>
      </c>
      <c r="G3712" s="213">
        <v>1681.9459999999999</v>
      </c>
      <c r="H3712" s="195">
        <v>3363.8919999999998</v>
      </c>
      <c r="I3712" s="212" t="s">
        <v>2354</v>
      </c>
    </row>
    <row r="3713" spans="1:9" x14ac:dyDescent="0.25">
      <c r="A3713" s="218" t="s">
        <v>220</v>
      </c>
      <c r="B3713" s="218" t="s">
        <v>5430</v>
      </c>
      <c r="C3713" s="219" t="s">
        <v>5496</v>
      </c>
      <c r="D3713" s="212" t="s">
        <v>5497</v>
      </c>
      <c r="E3713" s="212" t="s">
        <v>545</v>
      </c>
      <c r="F3713" s="213">
        <v>2</v>
      </c>
      <c r="G3713" s="213">
        <v>1763.58</v>
      </c>
      <c r="H3713" s="195">
        <v>3527.16</v>
      </c>
      <c r="I3713" s="212" t="s">
        <v>2354</v>
      </c>
    </row>
    <row r="3714" spans="1:9" x14ac:dyDescent="0.25">
      <c r="A3714" s="218" t="s">
        <v>220</v>
      </c>
      <c r="B3714" s="218" t="s">
        <v>2351</v>
      </c>
      <c r="C3714" s="219" t="s">
        <v>2592</v>
      </c>
      <c r="D3714" s="212" t="s">
        <v>2593</v>
      </c>
      <c r="E3714" s="212" t="s">
        <v>545</v>
      </c>
      <c r="F3714" s="213">
        <v>6</v>
      </c>
      <c r="G3714" s="213">
        <v>589.06785000000002</v>
      </c>
      <c r="H3714" s="195">
        <v>3534.4071000000004</v>
      </c>
      <c r="I3714" s="212" t="s">
        <v>2354</v>
      </c>
    </row>
    <row r="3715" spans="1:9" x14ac:dyDescent="0.25">
      <c r="A3715" s="218" t="s">
        <v>220</v>
      </c>
      <c r="B3715" s="218" t="s">
        <v>2351</v>
      </c>
      <c r="C3715" s="219" t="s">
        <v>2506</v>
      </c>
      <c r="D3715" s="212" t="s">
        <v>2507</v>
      </c>
      <c r="E3715" s="212" t="s">
        <v>545</v>
      </c>
      <c r="F3715" s="213">
        <v>142</v>
      </c>
      <c r="G3715" s="213">
        <v>27.400289999999998</v>
      </c>
      <c r="H3715" s="195">
        <v>3890.8411799999999</v>
      </c>
      <c r="I3715" s="212" t="s">
        <v>2354</v>
      </c>
    </row>
    <row r="3716" spans="1:9" x14ac:dyDescent="0.25">
      <c r="A3716" s="218" t="s">
        <v>220</v>
      </c>
      <c r="B3716" s="218" t="s">
        <v>2351</v>
      </c>
      <c r="C3716" s="219" t="s">
        <v>3909</v>
      </c>
      <c r="D3716" s="212" t="s">
        <v>3910</v>
      </c>
      <c r="E3716" s="212" t="s">
        <v>545</v>
      </c>
      <c r="F3716" s="213">
        <v>950</v>
      </c>
      <c r="G3716" s="213">
        <v>4.103131067961165</v>
      </c>
      <c r="H3716" s="195">
        <v>3897.9745145631068</v>
      </c>
      <c r="I3716" s="212" t="s">
        <v>2354</v>
      </c>
    </row>
    <row r="3717" spans="1:9" x14ac:dyDescent="0.25">
      <c r="A3717" s="218" t="s">
        <v>220</v>
      </c>
      <c r="B3717" s="218" t="s">
        <v>2351</v>
      </c>
      <c r="C3717" s="219" t="s">
        <v>4317</v>
      </c>
      <c r="D3717" s="212" t="s">
        <v>4318</v>
      </c>
      <c r="E3717" s="212" t="s">
        <v>545</v>
      </c>
      <c r="F3717" s="213">
        <v>22</v>
      </c>
      <c r="G3717" s="213">
        <v>195.41329999999999</v>
      </c>
      <c r="H3717" s="195">
        <v>4299.0925999999999</v>
      </c>
      <c r="I3717" s="212" t="s">
        <v>2354</v>
      </c>
    </row>
    <row r="3718" spans="1:9" x14ac:dyDescent="0.25">
      <c r="A3718" s="218" t="s">
        <v>220</v>
      </c>
      <c r="B3718" s="218" t="s">
        <v>2351</v>
      </c>
      <c r="C3718" s="219" t="s">
        <v>2498</v>
      </c>
      <c r="D3718" s="212" t="s">
        <v>2499</v>
      </c>
      <c r="E3718" s="212" t="s">
        <v>545</v>
      </c>
      <c r="F3718" s="213">
        <v>140</v>
      </c>
      <c r="G3718" s="213">
        <v>30.827600000000004</v>
      </c>
      <c r="H3718" s="195">
        <v>4315.8640000000005</v>
      </c>
      <c r="I3718" s="212" t="s">
        <v>2354</v>
      </c>
    </row>
    <row r="3719" spans="1:9" x14ac:dyDescent="0.25">
      <c r="A3719" s="218" t="s">
        <v>220</v>
      </c>
      <c r="B3719" s="218" t="s">
        <v>2351</v>
      </c>
      <c r="C3719" s="219" t="s">
        <v>2584</v>
      </c>
      <c r="D3719" s="212" t="s">
        <v>2585</v>
      </c>
      <c r="E3719" s="212" t="s">
        <v>545</v>
      </c>
      <c r="F3719" s="213">
        <v>1</v>
      </c>
      <c r="G3719" s="213">
        <v>4433.3729999999996</v>
      </c>
      <c r="H3719" s="195">
        <v>4433.3729999999996</v>
      </c>
      <c r="I3719" s="212" t="s">
        <v>2354</v>
      </c>
    </row>
    <row r="3720" spans="1:9" x14ac:dyDescent="0.25">
      <c r="A3720" s="218" t="s">
        <v>220</v>
      </c>
      <c r="B3720" s="218" t="s">
        <v>2351</v>
      </c>
      <c r="C3720" s="219" t="s">
        <v>2660</v>
      </c>
      <c r="D3720" s="212" t="s">
        <v>2661</v>
      </c>
      <c r="E3720" s="212" t="s">
        <v>545</v>
      </c>
      <c r="F3720" s="213">
        <v>19</v>
      </c>
      <c r="G3720" s="213">
        <v>237.4927355969989</v>
      </c>
      <c r="H3720" s="195">
        <v>4512.3619763429788</v>
      </c>
      <c r="I3720" s="212" t="s">
        <v>2354</v>
      </c>
    </row>
    <row r="3721" spans="1:9" x14ac:dyDescent="0.25">
      <c r="A3721" s="218" t="s">
        <v>220</v>
      </c>
      <c r="B3721" s="218" t="s">
        <v>2351</v>
      </c>
      <c r="C3721" s="219" t="s">
        <v>2576</v>
      </c>
      <c r="D3721" s="212" t="s">
        <v>2577</v>
      </c>
      <c r="E3721" s="212" t="s">
        <v>545</v>
      </c>
      <c r="F3721" s="213">
        <v>10</v>
      </c>
      <c r="G3721" s="213">
        <v>489.173</v>
      </c>
      <c r="H3721" s="195">
        <v>4891.7299999999996</v>
      </c>
      <c r="I3721" s="212" t="s">
        <v>2354</v>
      </c>
    </row>
    <row r="3722" spans="1:9" x14ac:dyDescent="0.25">
      <c r="A3722" s="218" t="s">
        <v>220</v>
      </c>
      <c r="B3722" s="218" t="s">
        <v>2351</v>
      </c>
      <c r="C3722" s="219" t="s">
        <v>4313</v>
      </c>
      <c r="D3722" s="212" t="s">
        <v>4314</v>
      </c>
      <c r="E3722" s="212" t="s">
        <v>545</v>
      </c>
      <c r="F3722" s="213">
        <v>28</v>
      </c>
      <c r="G3722" s="213">
        <v>193.09365</v>
      </c>
      <c r="H3722" s="195">
        <v>5406.6221999999998</v>
      </c>
      <c r="I3722" s="212" t="s">
        <v>2354</v>
      </c>
    </row>
    <row r="3723" spans="1:9" x14ac:dyDescent="0.25">
      <c r="A3723" s="218" t="s">
        <v>220</v>
      </c>
      <c r="B3723" s="218" t="s">
        <v>2351</v>
      </c>
      <c r="C3723" s="219" t="s">
        <v>2650</v>
      </c>
      <c r="D3723" s="212" t="s">
        <v>2651</v>
      </c>
      <c r="E3723" s="212" t="s">
        <v>545</v>
      </c>
      <c r="F3723" s="213">
        <v>4</v>
      </c>
      <c r="G3723" s="213">
        <v>1531.5229705830191</v>
      </c>
      <c r="H3723" s="195">
        <v>6126.0918823320762</v>
      </c>
      <c r="I3723" s="212" t="s">
        <v>2354</v>
      </c>
    </row>
    <row r="3724" spans="1:9" x14ac:dyDescent="0.25">
      <c r="A3724" s="218" t="s">
        <v>220</v>
      </c>
      <c r="B3724" s="218" t="s">
        <v>5430</v>
      </c>
      <c r="C3724" s="219"/>
      <c r="D3724" s="212" t="s">
        <v>5471</v>
      </c>
      <c r="E3724" s="212" t="s">
        <v>545</v>
      </c>
      <c r="F3724" s="213">
        <v>1000</v>
      </c>
      <c r="G3724" s="213">
        <v>6.6680000000000001</v>
      </c>
      <c r="H3724" s="195">
        <v>6668</v>
      </c>
      <c r="I3724" s="212" t="s">
        <v>2354</v>
      </c>
    </row>
    <row r="3725" spans="1:9" x14ac:dyDescent="0.25">
      <c r="A3725" s="218" t="s">
        <v>220</v>
      </c>
      <c r="B3725" s="218" t="s">
        <v>2351</v>
      </c>
      <c r="C3725" s="219" t="s">
        <v>2578</v>
      </c>
      <c r="D3725" s="212" t="s">
        <v>2579</v>
      </c>
      <c r="E3725" s="212" t="s">
        <v>545</v>
      </c>
      <c r="F3725" s="213">
        <v>1</v>
      </c>
      <c r="G3725" s="213">
        <v>6687.1639999999998</v>
      </c>
      <c r="H3725" s="195">
        <v>6687.1639999999998</v>
      </c>
      <c r="I3725" s="212" t="s">
        <v>2354</v>
      </c>
    </row>
    <row r="3726" spans="1:9" x14ac:dyDescent="0.25">
      <c r="A3726" s="218" t="s">
        <v>220</v>
      </c>
      <c r="B3726" s="218" t="s">
        <v>5430</v>
      </c>
      <c r="C3726" s="219" t="s">
        <v>5666</v>
      </c>
      <c r="D3726" s="212" t="s">
        <v>5667</v>
      </c>
      <c r="E3726" s="212" t="s">
        <v>545</v>
      </c>
      <c r="F3726" s="213">
        <v>1</v>
      </c>
      <c r="G3726" s="213">
        <v>7068.2111999999997</v>
      </c>
      <c r="H3726" s="195">
        <v>7068.2111999999997</v>
      </c>
      <c r="I3726" s="212" t="s">
        <v>2354</v>
      </c>
    </row>
    <row r="3727" spans="1:9" x14ac:dyDescent="0.25">
      <c r="A3727" s="218" t="s">
        <v>220</v>
      </c>
      <c r="B3727" s="218" t="s">
        <v>2351</v>
      </c>
      <c r="C3727" s="219" t="s">
        <v>2510</v>
      </c>
      <c r="D3727" s="212" t="s">
        <v>2511</v>
      </c>
      <c r="E3727" s="212" t="s">
        <v>545</v>
      </c>
      <c r="F3727" s="213">
        <v>263</v>
      </c>
      <c r="G3727" s="213">
        <v>27.400289999999998</v>
      </c>
      <c r="H3727" s="195">
        <v>7206.2762699999994</v>
      </c>
      <c r="I3727" s="212" t="s">
        <v>2354</v>
      </c>
    </row>
    <row r="3728" spans="1:9" x14ac:dyDescent="0.25">
      <c r="A3728" s="218" t="s">
        <v>220</v>
      </c>
      <c r="B3728" s="218" t="s">
        <v>5430</v>
      </c>
      <c r="C3728" s="219" t="s">
        <v>5574</v>
      </c>
      <c r="D3728" s="212" t="s">
        <v>5575</v>
      </c>
      <c r="E3728" s="212" t="s">
        <v>545</v>
      </c>
      <c r="F3728" s="213">
        <v>1</v>
      </c>
      <c r="G3728" s="213">
        <v>7550.1865399999997</v>
      </c>
      <c r="H3728" s="195">
        <v>7550.1865399999997</v>
      </c>
      <c r="I3728" s="212" t="s">
        <v>2354</v>
      </c>
    </row>
    <row r="3729" spans="1:9" x14ac:dyDescent="0.25">
      <c r="A3729" s="218" t="s">
        <v>220</v>
      </c>
      <c r="B3729" s="218" t="s">
        <v>2351</v>
      </c>
      <c r="C3729" s="219" t="s">
        <v>2642</v>
      </c>
      <c r="D3729" s="212" t="s">
        <v>2643</v>
      </c>
      <c r="E3729" s="212" t="s">
        <v>545</v>
      </c>
      <c r="F3729" s="213">
        <v>2</v>
      </c>
      <c r="G3729" s="213">
        <v>4184.5267999999996</v>
      </c>
      <c r="H3729" s="195">
        <v>8369.0535999999993</v>
      </c>
      <c r="I3729" s="212" t="s">
        <v>2354</v>
      </c>
    </row>
    <row r="3730" spans="1:9" x14ac:dyDescent="0.25">
      <c r="A3730" s="218" t="s">
        <v>220</v>
      </c>
      <c r="B3730" s="218" t="s">
        <v>5430</v>
      </c>
      <c r="C3730" s="219" t="s">
        <v>5560</v>
      </c>
      <c r="D3730" s="212" t="s">
        <v>5561</v>
      </c>
      <c r="E3730" s="212" t="s">
        <v>545</v>
      </c>
      <c r="F3730" s="213">
        <v>15</v>
      </c>
      <c r="G3730" s="213">
        <v>589.88173333333327</v>
      </c>
      <c r="H3730" s="195">
        <v>8848.2259999999987</v>
      </c>
      <c r="I3730" s="212" t="s">
        <v>2354</v>
      </c>
    </row>
    <row r="3731" spans="1:9" x14ac:dyDescent="0.25">
      <c r="A3731" s="218" t="s">
        <v>220</v>
      </c>
      <c r="B3731" s="218" t="s">
        <v>2351</v>
      </c>
      <c r="C3731" s="219" t="s">
        <v>2548</v>
      </c>
      <c r="D3731" s="212" t="s">
        <v>2549</v>
      </c>
      <c r="E3731" s="212" t="s">
        <v>545</v>
      </c>
      <c r="F3731" s="213">
        <v>130</v>
      </c>
      <c r="G3731" s="213">
        <v>70.7</v>
      </c>
      <c r="H3731" s="195">
        <v>9191</v>
      </c>
      <c r="I3731" s="212" t="s">
        <v>2354</v>
      </c>
    </row>
    <row r="3732" spans="1:9" x14ac:dyDescent="0.25">
      <c r="A3732" s="218" t="s">
        <v>220</v>
      </c>
      <c r="B3732" s="218" t="s">
        <v>2351</v>
      </c>
      <c r="C3732" s="219" t="s">
        <v>2558</v>
      </c>
      <c r="D3732" s="212" t="s">
        <v>2559</v>
      </c>
      <c r="E3732" s="212" t="s">
        <v>545</v>
      </c>
      <c r="F3732" s="213">
        <v>650</v>
      </c>
      <c r="G3732" s="213">
        <v>14.6965</v>
      </c>
      <c r="H3732" s="195">
        <v>9552.7250000000004</v>
      </c>
      <c r="I3732" s="212" t="s">
        <v>2354</v>
      </c>
    </row>
    <row r="3733" spans="1:9" x14ac:dyDescent="0.25">
      <c r="A3733" s="218" t="s">
        <v>220</v>
      </c>
      <c r="B3733" s="218" t="s">
        <v>2351</v>
      </c>
      <c r="C3733" s="219" t="s">
        <v>2463</v>
      </c>
      <c r="D3733" s="212" t="s">
        <v>2464</v>
      </c>
      <c r="E3733" s="212" t="s">
        <v>545</v>
      </c>
      <c r="F3733" s="213">
        <v>5</v>
      </c>
      <c r="G3733" s="213">
        <v>1154.7356399999999</v>
      </c>
      <c r="H3733" s="195">
        <v>5773.6781999999994</v>
      </c>
      <c r="I3733" s="212" t="s">
        <v>2354</v>
      </c>
    </row>
    <row r="3734" spans="1:9" x14ac:dyDescent="0.25">
      <c r="A3734" s="218" t="s">
        <v>220</v>
      </c>
      <c r="B3734" s="218" t="s">
        <v>5430</v>
      </c>
      <c r="C3734" s="219" t="s">
        <v>5562</v>
      </c>
      <c r="D3734" s="212" t="s">
        <v>5563</v>
      </c>
      <c r="E3734" s="212" t="s">
        <v>545</v>
      </c>
      <c r="F3734" s="213">
        <v>100</v>
      </c>
      <c r="G3734" s="213">
        <v>111.1</v>
      </c>
      <c r="H3734" s="195">
        <v>11110</v>
      </c>
      <c r="I3734" s="212" t="s">
        <v>2354</v>
      </c>
    </row>
  </sheetData>
  <conditionalFormatting sqref="C144:C145 C129:C142">
    <cfRule type="duplicateValues" dxfId="25" priority="3"/>
  </conditionalFormatting>
  <conditionalFormatting sqref="C2578:C2587">
    <cfRule type="duplicateValues" dxfId="24" priority="2"/>
  </conditionalFormatting>
  <conditionalFormatting sqref="C2604:C3734">
    <cfRule type="duplicateValues" dxfId="23" priority="7"/>
  </conditionalFormatting>
  <pageMargins left="0.70866141732283472" right="0.70866141732283472" top="0.74803149606299213" bottom="0.74803149606299213" header="0.31496062992125984" footer="0.31496062992125984"/>
  <pageSetup paperSize="9" orientation="portrait" horizontalDpi="4294967293"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N352"/>
  <sheetViews>
    <sheetView workbookViewId="0">
      <pane ySplit="2" topLeftCell="A306" activePane="bottomLeft" state="frozen"/>
      <selection activeCell="A2" sqref="A2"/>
      <selection pane="bottomLeft" activeCell="D357" sqref="D357"/>
    </sheetView>
  </sheetViews>
  <sheetFormatPr baseColWidth="10" defaultRowHeight="15" x14ac:dyDescent="0.25"/>
  <cols>
    <col min="1" max="1" width="11.5703125" customWidth="1"/>
    <col min="2" max="2" width="23.7109375" style="302" bestFit="1" customWidth="1"/>
    <col min="3" max="3" width="14.42578125" style="305" bestFit="1" customWidth="1"/>
    <col min="4" max="4" width="16.7109375" style="305" customWidth="1"/>
    <col min="5" max="5" width="16.85546875" style="305" customWidth="1"/>
    <col min="6" max="6" width="15.42578125" style="305" customWidth="1"/>
    <col min="7" max="7" width="14.42578125" style="305" bestFit="1" customWidth="1"/>
    <col min="8" max="9" width="12.7109375" style="305" bestFit="1" customWidth="1"/>
    <col min="10" max="10" width="25.5703125" style="302" customWidth="1"/>
    <col min="11" max="11" width="11.42578125" style="302" customWidth="1"/>
    <col min="12" max="12" width="11.42578125" style="302"/>
    <col min="13" max="13" width="14.140625" style="302" bestFit="1" customWidth="1"/>
    <col min="14" max="16384" width="11.42578125" style="302"/>
  </cols>
  <sheetData>
    <row r="2" spans="1:14" ht="11.25" x14ac:dyDescent="0.2">
      <c r="A2" s="6" t="s">
        <v>1</v>
      </c>
      <c r="B2" s="6" t="s">
        <v>0</v>
      </c>
      <c r="C2" s="7" t="s">
        <v>5</v>
      </c>
      <c r="D2" s="7" t="s">
        <v>2</v>
      </c>
      <c r="E2" s="7" t="s">
        <v>260</v>
      </c>
      <c r="F2" s="7" t="s">
        <v>218</v>
      </c>
      <c r="G2" s="7" t="s">
        <v>219</v>
      </c>
      <c r="H2" s="7" t="s">
        <v>6</v>
      </c>
      <c r="I2" s="7" t="s">
        <v>217</v>
      </c>
      <c r="J2" s="6" t="s">
        <v>412</v>
      </c>
    </row>
    <row r="3" spans="1:14" s="9" customFormat="1" ht="11.25" x14ac:dyDescent="0.2">
      <c r="A3" s="10">
        <v>10100000</v>
      </c>
      <c r="B3" s="10" t="s">
        <v>7</v>
      </c>
      <c r="C3" s="11">
        <v>-13500000</v>
      </c>
      <c r="D3" s="11">
        <v>0</v>
      </c>
      <c r="E3" s="11">
        <v>0</v>
      </c>
      <c r="F3" s="13">
        <f>SUMIF('OD 05-24'!A:A,A3,'OD 05-24'!D:D)</f>
        <v>0</v>
      </c>
      <c r="G3" s="13">
        <f>SUMIF('OD 05-24'!A:A,A3,'OD 05-24'!E:E)</f>
        <v>0</v>
      </c>
      <c r="H3" s="14">
        <f t="shared" ref="H3:H66" si="0">+D3+F3-E3-G3</f>
        <v>0</v>
      </c>
      <c r="I3" s="14">
        <f t="shared" ref="I3:I66" si="1">+H3+C3</f>
        <v>-13500000</v>
      </c>
      <c r="J3" s="8" t="s">
        <v>8</v>
      </c>
      <c r="K3" s="8"/>
      <c r="M3" s="339"/>
      <c r="N3" s="315"/>
    </row>
    <row r="4" spans="1:14" s="9" customFormat="1" ht="11.25" x14ac:dyDescent="0.2">
      <c r="A4" s="10">
        <v>11101000</v>
      </c>
      <c r="B4" s="10" t="s">
        <v>9</v>
      </c>
      <c r="C4" s="11">
        <v>-1200000</v>
      </c>
      <c r="D4" s="11">
        <v>0</v>
      </c>
      <c r="E4" s="11">
        <v>0</v>
      </c>
      <c r="F4" s="13">
        <f>SUMIF('OD 05-24'!A:A,A4,'OD 05-24'!D:D)</f>
        <v>0</v>
      </c>
      <c r="G4" s="13">
        <f>SUMIF('OD 05-24'!A:A,A4,'OD 05-24'!E:E)</f>
        <v>0</v>
      </c>
      <c r="H4" s="14">
        <f t="shared" si="0"/>
        <v>0</v>
      </c>
      <c r="I4" s="14">
        <f t="shared" si="1"/>
        <v>-1200000</v>
      </c>
      <c r="J4" s="8" t="s">
        <v>10</v>
      </c>
      <c r="K4" s="8"/>
      <c r="M4" s="339"/>
      <c r="N4" s="315"/>
    </row>
    <row r="5" spans="1:14" s="9" customFormat="1" ht="11.25" x14ac:dyDescent="0.2">
      <c r="A5" s="10">
        <v>12100000</v>
      </c>
      <c r="B5" s="10" t="s">
        <v>11</v>
      </c>
      <c r="C5" s="11">
        <v>-22014748.230401009</v>
      </c>
      <c r="D5" s="11">
        <v>0</v>
      </c>
      <c r="E5" s="11">
        <v>0</v>
      </c>
      <c r="F5" s="13">
        <f>SUMIF('OD 05-24'!A:A,A5,'OD 05-24'!D:D)</f>
        <v>0</v>
      </c>
      <c r="G5" s="13">
        <f>SUMIF('OD 05-24'!A:A,A5,'OD 05-24'!E:E)</f>
        <v>0</v>
      </c>
      <c r="H5" s="14">
        <f t="shared" si="0"/>
        <v>0</v>
      </c>
      <c r="I5" s="14">
        <f t="shared" si="1"/>
        <v>-22014748.230401009</v>
      </c>
      <c r="J5" s="8" t="s">
        <v>12</v>
      </c>
      <c r="K5" s="8"/>
      <c r="M5" s="339"/>
      <c r="N5" s="315"/>
    </row>
    <row r="6" spans="1:14" s="9" customFormat="1" ht="11.25" x14ac:dyDescent="0.2">
      <c r="A6" s="10">
        <v>12200000</v>
      </c>
      <c r="B6" s="10" t="s">
        <v>272</v>
      </c>
      <c r="C6" s="11">
        <v>0</v>
      </c>
      <c r="D6" s="11">
        <v>0</v>
      </c>
      <c r="E6" s="11">
        <v>0</v>
      </c>
      <c r="F6" s="13">
        <f>SUMIF('OD 05-24'!A:A,A6,'OD 05-24'!D:D)</f>
        <v>0</v>
      </c>
      <c r="G6" s="13">
        <f>SUMIF('OD 05-24'!A:A,A6,'OD 05-24'!E:E)</f>
        <v>0</v>
      </c>
      <c r="H6" s="14">
        <f t="shared" si="0"/>
        <v>0</v>
      </c>
      <c r="I6" s="14">
        <f t="shared" si="1"/>
        <v>0</v>
      </c>
      <c r="J6" s="8"/>
      <c r="K6" s="8"/>
      <c r="M6" s="339"/>
      <c r="N6" s="315"/>
    </row>
    <row r="7" spans="1:14" s="9" customFormat="1" ht="11.25" x14ac:dyDescent="0.2">
      <c r="A7" s="10">
        <v>12800000</v>
      </c>
      <c r="B7" s="10" t="s">
        <v>13</v>
      </c>
      <c r="C7" s="11">
        <v>3126298.01</v>
      </c>
      <c r="D7" s="11">
        <v>0</v>
      </c>
      <c r="E7" s="11">
        <v>0</v>
      </c>
      <c r="F7" s="13">
        <f>SUMIF('OD 05-24'!A:A,A7,'OD 05-24'!D:D)</f>
        <v>0</v>
      </c>
      <c r="G7" s="13">
        <f>SUMIF('OD 05-24'!A:A,A7,'OD 05-24'!E:E)</f>
        <v>0</v>
      </c>
      <c r="H7" s="14">
        <f t="shared" si="0"/>
        <v>0</v>
      </c>
      <c r="I7" s="14">
        <f t="shared" si="1"/>
        <v>3126298.01</v>
      </c>
      <c r="J7" s="8" t="s">
        <v>14</v>
      </c>
      <c r="K7" s="8"/>
      <c r="M7" s="339"/>
      <c r="N7" s="315"/>
    </row>
    <row r="8" spans="1:14" s="9" customFormat="1" ht="11.25" x14ac:dyDescent="0.2">
      <c r="A8" s="10">
        <v>13000000</v>
      </c>
      <c r="B8" s="10" t="s">
        <v>273</v>
      </c>
      <c r="C8" s="11">
        <v>0</v>
      </c>
      <c r="D8" s="11">
        <v>0</v>
      </c>
      <c r="E8" s="11">
        <v>0</v>
      </c>
      <c r="F8" s="13">
        <f>SUMIF('OD 05-24'!A:A,A8,'OD 05-24'!D:D)</f>
        <v>0</v>
      </c>
      <c r="G8" s="13">
        <f>SUMIF('OD 05-24'!A:A,A8,'OD 05-24'!E:E)</f>
        <v>0</v>
      </c>
      <c r="H8" s="14">
        <f t="shared" si="0"/>
        <v>0</v>
      </c>
      <c r="I8" s="14">
        <f t="shared" si="1"/>
        <v>0</v>
      </c>
      <c r="J8" s="8"/>
      <c r="K8" s="8"/>
      <c r="M8" s="339"/>
      <c r="N8" s="315"/>
    </row>
    <row r="9" spans="1:14" s="9" customFormat="1" ht="11.25" x14ac:dyDescent="0.2">
      <c r="A9" s="10">
        <v>14500000</v>
      </c>
      <c r="B9" s="10" t="s">
        <v>15</v>
      </c>
      <c r="C9" s="11">
        <v>-3479108.84</v>
      </c>
      <c r="D9" s="11">
        <v>0</v>
      </c>
      <c r="E9" s="11">
        <v>0</v>
      </c>
      <c r="F9" s="13">
        <f>SUMIF('OD 05-24'!A:A,A9,'OD 05-24'!D:D)</f>
        <v>0</v>
      </c>
      <c r="G9" s="13">
        <f>SUMIF('OD 05-24'!A:A,A9,'OD 05-24'!E:E)</f>
        <v>0</v>
      </c>
      <c r="H9" s="14">
        <f t="shared" si="0"/>
        <v>0</v>
      </c>
      <c r="I9" s="14">
        <f t="shared" si="1"/>
        <v>-3479108.84</v>
      </c>
      <c r="J9" s="8" t="s">
        <v>16</v>
      </c>
      <c r="K9" s="8"/>
      <c r="M9" s="339"/>
      <c r="N9" s="315"/>
    </row>
    <row r="10" spans="1:14" s="9" customFormat="1" ht="11.25" x14ac:dyDescent="0.2">
      <c r="A10" s="10">
        <v>14508000</v>
      </c>
      <c r="B10" s="10" t="s">
        <v>17</v>
      </c>
      <c r="C10" s="11">
        <v>2662861.7680000002</v>
      </c>
      <c r="D10" s="11">
        <v>0</v>
      </c>
      <c r="E10" s="11">
        <v>0</v>
      </c>
      <c r="F10" s="13">
        <f>SUMIF('OD 05-24'!A:A,A10,'OD 05-24'!D:D)</f>
        <v>304236.28499999997</v>
      </c>
      <c r="G10" s="13">
        <f>SUMIF('OD 05-24'!A:A,A10,'OD 05-24'!E:E)</f>
        <v>202824.19</v>
      </c>
      <c r="H10" s="14">
        <f t="shared" si="0"/>
        <v>101412.09499999997</v>
      </c>
      <c r="I10" s="14">
        <f t="shared" si="1"/>
        <v>2764273.8629999999</v>
      </c>
      <c r="J10" s="8" t="s">
        <v>18</v>
      </c>
      <c r="K10" s="8"/>
      <c r="M10" s="339"/>
      <c r="N10" s="315"/>
    </row>
    <row r="11" spans="1:14" s="9" customFormat="1" ht="11.25" x14ac:dyDescent="0.2">
      <c r="A11" s="10">
        <v>15100000</v>
      </c>
      <c r="B11" s="10" t="s">
        <v>19</v>
      </c>
      <c r="C11" s="11">
        <v>-231535.016</v>
      </c>
      <c r="D11" s="11">
        <v>0</v>
      </c>
      <c r="E11" s="11">
        <v>0</v>
      </c>
      <c r="F11" s="13">
        <f>SUMIF('OD 05-24'!A:A,A11,'OD 05-24'!D:D)</f>
        <v>0</v>
      </c>
      <c r="G11" s="13">
        <f>SUMIF('OD 05-24'!A:A,A11,'OD 05-24'!E:E)</f>
        <v>0</v>
      </c>
      <c r="H11" s="14">
        <f t="shared" si="0"/>
        <v>0</v>
      </c>
      <c r="I11" s="14">
        <f t="shared" si="1"/>
        <v>-231535.016</v>
      </c>
      <c r="J11" s="8" t="s">
        <v>20</v>
      </c>
      <c r="K11" s="8"/>
      <c r="M11" s="339"/>
      <c r="N11" s="315"/>
    </row>
    <row r="12" spans="1:14" s="9" customFormat="1" ht="11.25" x14ac:dyDescent="0.2">
      <c r="A12" s="10">
        <v>16210250</v>
      </c>
      <c r="B12" s="10" t="s">
        <v>274</v>
      </c>
      <c r="C12" s="11">
        <v>0</v>
      </c>
      <c r="D12" s="11">
        <v>0</v>
      </c>
      <c r="E12" s="11">
        <v>0</v>
      </c>
      <c r="F12" s="13">
        <f>SUMIF('OD 05-24'!A:A,A12,'OD 05-24'!D:D)</f>
        <v>0</v>
      </c>
      <c r="G12" s="13">
        <f>SUMIF('OD 05-24'!A:A,A12,'OD 05-24'!E:E)</f>
        <v>0</v>
      </c>
      <c r="H12" s="14">
        <f t="shared" si="0"/>
        <v>0</v>
      </c>
      <c r="I12" s="14">
        <f t="shared" si="1"/>
        <v>0</v>
      </c>
      <c r="J12" s="8"/>
      <c r="K12" s="8"/>
      <c r="M12" s="339"/>
      <c r="N12" s="315"/>
    </row>
    <row r="13" spans="1:14" s="9" customFormat="1" ht="11.25" x14ac:dyDescent="0.2">
      <c r="A13" s="10">
        <v>16210500</v>
      </c>
      <c r="B13" s="10" t="s">
        <v>21</v>
      </c>
      <c r="C13" s="11">
        <v>-1416666.6629999988</v>
      </c>
      <c r="D13" s="11">
        <v>0</v>
      </c>
      <c r="E13" s="11">
        <v>0</v>
      </c>
      <c r="F13" s="13">
        <f>SUMIF('OD 05-24'!A:A,A13,'OD 05-24'!D:D)</f>
        <v>0</v>
      </c>
      <c r="G13" s="13">
        <f>SUMIF('OD 05-24'!A:A,A13,'OD 05-24'!E:E)</f>
        <v>0</v>
      </c>
      <c r="H13" s="14">
        <f t="shared" si="0"/>
        <v>0</v>
      </c>
      <c r="I13" s="14">
        <f t="shared" si="1"/>
        <v>-1416666.6629999988</v>
      </c>
      <c r="J13" s="8" t="s">
        <v>22</v>
      </c>
      <c r="K13" s="8"/>
      <c r="M13" s="339"/>
      <c r="N13" s="315"/>
    </row>
    <row r="14" spans="1:14" s="9" customFormat="1" ht="11.25" x14ac:dyDescent="0.2">
      <c r="A14" s="10">
        <v>16210960</v>
      </c>
      <c r="B14" s="10" t="s">
        <v>275</v>
      </c>
      <c r="C14" s="11">
        <v>0</v>
      </c>
      <c r="D14" s="11">
        <v>0</v>
      </c>
      <c r="E14" s="11">
        <v>0</v>
      </c>
      <c r="F14" s="13">
        <f>SUMIF('OD 05-24'!A:A,A14,'OD 05-24'!D:D)</f>
        <v>0</v>
      </c>
      <c r="G14" s="13">
        <f>SUMIF('OD 05-24'!A:A,A14,'OD 05-24'!E:E)</f>
        <v>0</v>
      </c>
      <c r="H14" s="14">
        <f t="shared" si="0"/>
        <v>0</v>
      </c>
      <c r="I14" s="14">
        <f t="shared" si="1"/>
        <v>0</v>
      </c>
      <c r="J14" s="8"/>
      <c r="K14" s="8"/>
      <c r="M14" s="339"/>
      <c r="N14" s="315"/>
    </row>
    <row r="15" spans="1:14" s="9" customFormat="1" ht="11.25" x14ac:dyDescent="0.2">
      <c r="A15" s="10">
        <v>16400000</v>
      </c>
      <c r="B15" s="10" t="s">
        <v>276</v>
      </c>
      <c r="C15" s="11">
        <v>-103582.68900000001</v>
      </c>
      <c r="D15" s="11">
        <v>0</v>
      </c>
      <c r="E15" s="11">
        <v>334713.73499999999</v>
      </c>
      <c r="F15" s="13">
        <f>SUMIF('OD 05-24'!A:A,A15,'OD 05-24'!D:D)</f>
        <v>0</v>
      </c>
      <c r="G15" s="13">
        <f>SUMIF('OD 05-24'!A:A,A15,'OD 05-24'!E:E)</f>
        <v>0</v>
      </c>
      <c r="H15" s="14">
        <f t="shared" si="0"/>
        <v>-334713.73499999999</v>
      </c>
      <c r="I15" s="14">
        <f t="shared" si="1"/>
        <v>-438296.424</v>
      </c>
      <c r="J15" s="8" t="s">
        <v>22</v>
      </c>
      <c r="K15" s="8"/>
      <c r="M15" s="339"/>
      <c r="N15" s="315"/>
    </row>
    <row r="16" spans="1:14" s="9" customFormat="1" ht="11.25" x14ac:dyDescent="0.2">
      <c r="A16" s="10">
        <v>18800000</v>
      </c>
      <c r="B16" s="10" t="s">
        <v>23</v>
      </c>
      <c r="C16" s="11">
        <v>0</v>
      </c>
      <c r="D16" s="11">
        <v>0</v>
      </c>
      <c r="E16" s="11">
        <v>0</v>
      </c>
      <c r="F16" s="13">
        <f>SUMIF('OD 05-24'!A:A,A16,'OD 05-24'!D:D)</f>
        <v>0</v>
      </c>
      <c r="G16" s="13">
        <f>SUMIF('OD 05-24'!A:A,A16,'OD 05-24'!E:E)</f>
        <v>0</v>
      </c>
      <c r="H16" s="14">
        <f t="shared" si="0"/>
        <v>0</v>
      </c>
      <c r="I16" s="14">
        <f t="shared" si="1"/>
        <v>0</v>
      </c>
      <c r="J16" s="8"/>
      <c r="K16" s="8"/>
      <c r="M16" s="339"/>
      <c r="N16" s="315"/>
    </row>
    <row r="17" spans="1:14" s="9" customFormat="1" ht="11.25" x14ac:dyDescent="0.2">
      <c r="A17" s="10">
        <v>21100000</v>
      </c>
      <c r="B17" s="10" t="s">
        <v>277</v>
      </c>
      <c r="C17" s="11">
        <v>0</v>
      </c>
      <c r="D17" s="11">
        <v>0</v>
      </c>
      <c r="E17" s="11">
        <v>0</v>
      </c>
      <c r="F17" s="13">
        <f>SUMIF('OD 05-24'!A:A,A17,'OD 05-24'!D:D)</f>
        <v>0</v>
      </c>
      <c r="G17" s="13">
        <f>SUMIF('OD 05-24'!A:A,A17,'OD 05-24'!E:E)</f>
        <v>0</v>
      </c>
      <c r="H17" s="14">
        <f t="shared" si="0"/>
        <v>0</v>
      </c>
      <c r="I17" s="14">
        <f t="shared" si="1"/>
        <v>0</v>
      </c>
      <c r="J17" s="8"/>
      <c r="K17" s="8"/>
      <c r="M17" s="339"/>
      <c r="N17" s="315"/>
    </row>
    <row r="18" spans="1:14" s="9" customFormat="1" ht="11.25" x14ac:dyDescent="0.2">
      <c r="A18" s="10">
        <v>21300000</v>
      </c>
      <c r="B18" s="10" t="s">
        <v>24</v>
      </c>
      <c r="C18" s="11">
        <v>93173.926999999996</v>
      </c>
      <c r="D18" s="11">
        <v>0</v>
      </c>
      <c r="E18" s="11">
        <v>0</v>
      </c>
      <c r="F18" s="13">
        <f>SUMIF('OD 05-24'!A:A,A18,'OD 05-24'!D:D)</f>
        <v>0</v>
      </c>
      <c r="G18" s="13">
        <f>SUMIF('OD 05-24'!A:A,A18,'OD 05-24'!E:E)</f>
        <v>0</v>
      </c>
      <c r="H18" s="14">
        <f t="shared" si="0"/>
        <v>0</v>
      </c>
      <c r="I18" s="14">
        <f t="shared" si="1"/>
        <v>93173.926999999996</v>
      </c>
      <c r="J18" s="8" t="s">
        <v>25</v>
      </c>
      <c r="K18" s="8"/>
      <c r="M18" s="339"/>
      <c r="N18" s="315"/>
    </row>
    <row r="19" spans="1:14" s="9" customFormat="1" ht="11.25" x14ac:dyDescent="0.2">
      <c r="A19" s="10">
        <v>22000000</v>
      </c>
      <c r="B19" s="10" t="s">
        <v>278</v>
      </c>
      <c r="C19" s="11">
        <v>0</v>
      </c>
      <c r="D19" s="11">
        <v>0</v>
      </c>
      <c r="E19" s="11">
        <v>0</v>
      </c>
      <c r="F19" s="13">
        <f>SUMIF('OD 05-24'!A:A,A19,'OD 05-24'!D:D)</f>
        <v>0</v>
      </c>
      <c r="G19" s="13">
        <f>SUMIF('OD 05-24'!A:A,A19,'OD 05-24'!E:E)</f>
        <v>0</v>
      </c>
      <c r="H19" s="14">
        <f t="shared" si="0"/>
        <v>0</v>
      </c>
      <c r="I19" s="14">
        <f t="shared" si="1"/>
        <v>0</v>
      </c>
      <c r="J19" s="8"/>
      <c r="K19" s="8"/>
      <c r="M19" s="339"/>
      <c r="N19" s="315"/>
    </row>
    <row r="20" spans="1:14" s="9" customFormat="1" ht="11.25" x14ac:dyDescent="0.2">
      <c r="A20" s="10">
        <v>22100000</v>
      </c>
      <c r="B20" s="10" t="s">
        <v>26</v>
      </c>
      <c r="C20" s="11">
        <v>1275724</v>
      </c>
      <c r="D20" s="11">
        <v>0</v>
      </c>
      <c r="E20" s="11">
        <v>0</v>
      </c>
      <c r="F20" s="13">
        <f>SUMIF('OD 05-24'!A:A,A20,'OD 05-24'!D:D)</f>
        <v>0</v>
      </c>
      <c r="G20" s="13">
        <f>SUMIF('OD 05-24'!A:A,A20,'OD 05-24'!E:E)</f>
        <v>0</v>
      </c>
      <c r="H20" s="14">
        <f t="shared" si="0"/>
        <v>0</v>
      </c>
      <c r="I20" s="14">
        <f t="shared" si="1"/>
        <v>1275724</v>
      </c>
      <c r="J20" s="8" t="s">
        <v>25</v>
      </c>
      <c r="K20" s="8"/>
      <c r="M20" s="339"/>
      <c r="N20" s="315"/>
    </row>
    <row r="21" spans="1:14" s="9" customFormat="1" ht="11.25" x14ac:dyDescent="0.2">
      <c r="A21" s="10">
        <v>22160000</v>
      </c>
      <c r="B21" s="10" t="s">
        <v>27</v>
      </c>
      <c r="C21" s="11">
        <v>161921.53600000002</v>
      </c>
      <c r="D21" s="11">
        <v>0</v>
      </c>
      <c r="E21" s="11">
        <v>0</v>
      </c>
      <c r="F21" s="13">
        <f>SUMIF('OD 05-24'!A:A,A21,'OD 05-24'!D:D)</f>
        <v>0</v>
      </c>
      <c r="G21" s="13">
        <f>SUMIF('OD 05-24'!A:A,A21,'OD 05-24'!E:E)</f>
        <v>0</v>
      </c>
      <c r="H21" s="14">
        <f t="shared" si="0"/>
        <v>0</v>
      </c>
      <c r="I21" s="14">
        <f t="shared" si="1"/>
        <v>161921.53600000002</v>
      </c>
      <c r="J21" s="8" t="s">
        <v>25</v>
      </c>
      <c r="K21" s="8"/>
      <c r="M21" s="339"/>
      <c r="N21" s="315"/>
    </row>
    <row r="22" spans="1:14" s="9" customFormat="1" ht="11.25" x14ac:dyDescent="0.2">
      <c r="A22" s="10">
        <v>22200000</v>
      </c>
      <c r="B22" s="10" t="s">
        <v>28</v>
      </c>
      <c r="C22" s="11">
        <v>9174898.748999998</v>
      </c>
      <c r="D22" s="11">
        <v>0</v>
      </c>
      <c r="E22" s="11">
        <v>0</v>
      </c>
      <c r="F22" s="13">
        <f>SUMIF('OD 05-24'!A:A,A22,'OD 05-24'!D:D)</f>
        <v>0</v>
      </c>
      <c r="G22" s="13">
        <f>SUMIF('OD 05-24'!A:A,A22,'OD 05-24'!E:E)</f>
        <v>0</v>
      </c>
      <c r="H22" s="14">
        <f t="shared" si="0"/>
        <v>0</v>
      </c>
      <c r="I22" s="14">
        <f t="shared" si="1"/>
        <v>9174898.748999998</v>
      </c>
      <c r="J22" s="8" t="s">
        <v>25</v>
      </c>
      <c r="K22" s="8"/>
      <c r="M22" s="339"/>
      <c r="N22" s="315"/>
    </row>
    <row r="23" spans="1:14" s="9" customFormat="1" ht="11.25" x14ac:dyDescent="0.2">
      <c r="A23" s="10">
        <v>22250000</v>
      </c>
      <c r="B23" s="10" t="s">
        <v>29</v>
      </c>
      <c r="C23" s="11">
        <v>696674.05799999996</v>
      </c>
      <c r="D23" s="11">
        <v>64576.457999999999</v>
      </c>
      <c r="E23" s="11">
        <v>0</v>
      </c>
      <c r="F23" s="13">
        <f>SUMIF('OD 05-24'!A:A,A23,'OD 05-24'!D:D)</f>
        <v>0</v>
      </c>
      <c r="G23" s="13">
        <f>SUMIF('OD 05-24'!A:A,A23,'OD 05-24'!E:E)</f>
        <v>0</v>
      </c>
      <c r="H23" s="14">
        <f t="shared" si="0"/>
        <v>64576.457999999999</v>
      </c>
      <c r="I23" s="14">
        <f t="shared" si="1"/>
        <v>761250.51599999995</v>
      </c>
      <c r="J23" s="8" t="s">
        <v>25</v>
      </c>
      <c r="K23" s="8"/>
      <c r="M23" s="339"/>
      <c r="N23" s="315"/>
    </row>
    <row r="24" spans="1:14" s="9" customFormat="1" ht="11.25" x14ac:dyDescent="0.2">
      <c r="A24" s="10">
        <v>22300000</v>
      </c>
      <c r="B24" s="10" t="s">
        <v>30</v>
      </c>
      <c r="C24" s="11">
        <v>73570.611000000004</v>
      </c>
      <c r="D24" s="11">
        <v>16942</v>
      </c>
      <c r="E24" s="11">
        <v>0</v>
      </c>
      <c r="F24" s="13">
        <f>SUMIF('OD 05-24'!A:A,A24,'OD 05-24'!D:D)</f>
        <v>0</v>
      </c>
      <c r="G24" s="13">
        <f>SUMIF('OD 05-24'!A:A,A24,'OD 05-24'!E:E)</f>
        <v>0</v>
      </c>
      <c r="H24" s="14">
        <f t="shared" si="0"/>
        <v>16942</v>
      </c>
      <c r="I24" s="14">
        <f t="shared" si="1"/>
        <v>90512.611000000004</v>
      </c>
      <c r="J24" s="8" t="s">
        <v>25</v>
      </c>
      <c r="K24" s="8"/>
      <c r="M24" s="339"/>
      <c r="N24" s="315"/>
    </row>
    <row r="25" spans="1:14" s="9" customFormat="1" ht="11.25" x14ac:dyDescent="0.2">
      <c r="A25" s="10">
        <v>22310000</v>
      </c>
      <c r="B25" s="10" t="s">
        <v>31</v>
      </c>
      <c r="C25" s="11">
        <v>0</v>
      </c>
      <c r="D25" s="11">
        <v>2210.924</v>
      </c>
      <c r="E25" s="11">
        <v>0</v>
      </c>
      <c r="F25" s="13">
        <f>SUMIF('OD 05-24'!A:A,A25,'OD 05-24'!D:D)</f>
        <v>0</v>
      </c>
      <c r="G25" s="13">
        <f>SUMIF('OD 05-24'!A:A,A25,'OD 05-24'!E:E)</f>
        <v>0</v>
      </c>
      <c r="H25" s="14">
        <f t="shared" si="0"/>
        <v>2210.924</v>
      </c>
      <c r="I25" s="14">
        <f t="shared" si="1"/>
        <v>2210.924</v>
      </c>
      <c r="J25" s="8" t="s">
        <v>25</v>
      </c>
      <c r="K25" s="8"/>
      <c r="M25" s="339"/>
      <c r="N25" s="315"/>
    </row>
    <row r="26" spans="1:14" s="9" customFormat="1" ht="11.25" x14ac:dyDescent="0.2">
      <c r="A26" s="10">
        <v>22340000</v>
      </c>
      <c r="B26" s="10" t="s">
        <v>32</v>
      </c>
      <c r="C26" s="11">
        <v>24676096.882049002</v>
      </c>
      <c r="D26" s="11">
        <v>376794.34350000002</v>
      </c>
      <c r="E26" s="11">
        <v>325004.50800000003</v>
      </c>
      <c r="F26" s="13">
        <f>SUMIF('OD 05-24'!A:A,A26,'OD 05-24'!D:D)</f>
        <v>0</v>
      </c>
      <c r="G26" s="13">
        <f>SUMIF('OD 05-24'!A:A,A26,'OD 05-24'!E:E)</f>
        <v>0</v>
      </c>
      <c r="H26" s="14">
        <f t="shared" si="0"/>
        <v>51789.835499999986</v>
      </c>
      <c r="I26" s="14">
        <f t="shared" si="1"/>
        <v>24727886.717549</v>
      </c>
      <c r="J26" s="8" t="s">
        <v>25</v>
      </c>
      <c r="K26" s="8"/>
      <c r="M26" s="339"/>
      <c r="N26" s="315"/>
    </row>
    <row r="27" spans="1:14" s="9" customFormat="1" ht="11.25" x14ac:dyDescent="0.2">
      <c r="A27" s="10">
        <v>22350000</v>
      </c>
      <c r="B27" s="10" t="s">
        <v>33</v>
      </c>
      <c r="C27" s="11">
        <v>651798.13449999969</v>
      </c>
      <c r="D27" s="11">
        <v>39100.328999999998</v>
      </c>
      <c r="E27" s="11">
        <v>0</v>
      </c>
      <c r="F27" s="13">
        <f>SUMIF('OD 05-24'!A:A,A27,'OD 05-24'!D:D)</f>
        <v>0</v>
      </c>
      <c r="G27" s="13">
        <f>SUMIF('OD 05-24'!A:A,A27,'OD 05-24'!E:E)</f>
        <v>0</v>
      </c>
      <c r="H27" s="14">
        <f t="shared" si="0"/>
        <v>39100.328999999998</v>
      </c>
      <c r="I27" s="14">
        <f t="shared" si="1"/>
        <v>690898.46349999972</v>
      </c>
      <c r="J27" s="8" t="s">
        <v>25</v>
      </c>
      <c r="K27" s="8"/>
      <c r="M27" s="339"/>
      <c r="N27" s="315"/>
    </row>
    <row r="28" spans="1:14" s="9" customFormat="1" ht="11.25" x14ac:dyDescent="0.2">
      <c r="A28" s="10">
        <v>22370000</v>
      </c>
      <c r="B28" s="10" t="s">
        <v>34</v>
      </c>
      <c r="C28" s="11">
        <v>901593.20599999989</v>
      </c>
      <c r="D28" s="11">
        <v>8125.4519999999993</v>
      </c>
      <c r="E28" s="11">
        <v>8125.4519999999993</v>
      </c>
      <c r="F28" s="13">
        <f>SUMIF('OD 05-24'!A:A,A28,'OD 05-24'!D:D)</f>
        <v>0</v>
      </c>
      <c r="G28" s="13">
        <f>SUMIF('OD 05-24'!A:A,A28,'OD 05-24'!E:E)</f>
        <v>0</v>
      </c>
      <c r="H28" s="14">
        <f t="shared" si="0"/>
        <v>0</v>
      </c>
      <c r="I28" s="14">
        <f t="shared" si="1"/>
        <v>901593.20599999989</v>
      </c>
      <c r="J28" s="8" t="s">
        <v>25</v>
      </c>
      <c r="K28" s="8"/>
      <c r="M28" s="339"/>
      <c r="N28" s="315"/>
    </row>
    <row r="29" spans="1:14" s="9" customFormat="1" ht="11.25" x14ac:dyDescent="0.2">
      <c r="A29" s="10">
        <v>22400000</v>
      </c>
      <c r="B29" s="10" t="s">
        <v>35</v>
      </c>
      <c r="C29" s="11">
        <v>1176312.6140000001</v>
      </c>
      <c r="D29" s="11">
        <v>21102.11</v>
      </c>
      <c r="E29" s="11">
        <v>53728.61</v>
      </c>
      <c r="F29" s="13">
        <f>SUMIF('OD 05-24'!A:A,A29,'OD 05-24'!D:D)</f>
        <v>0</v>
      </c>
      <c r="G29" s="13">
        <f>SUMIF('OD 05-24'!A:A,A29,'OD 05-24'!E:E)</f>
        <v>0</v>
      </c>
      <c r="H29" s="14">
        <f t="shared" si="0"/>
        <v>-32626.5</v>
      </c>
      <c r="I29" s="14">
        <f t="shared" si="1"/>
        <v>1143686.1140000001</v>
      </c>
      <c r="J29" s="8" t="s">
        <v>25</v>
      </c>
      <c r="K29" s="8"/>
      <c r="M29" s="339"/>
      <c r="N29" s="315"/>
    </row>
    <row r="30" spans="1:14" s="9" customFormat="1" ht="11.25" x14ac:dyDescent="0.2">
      <c r="A30" s="10">
        <v>22810000</v>
      </c>
      <c r="B30" s="10" t="s">
        <v>36</v>
      </c>
      <c r="C30" s="11">
        <v>0</v>
      </c>
      <c r="D30" s="11">
        <v>0</v>
      </c>
      <c r="E30" s="11">
        <v>0</v>
      </c>
      <c r="F30" s="13">
        <f>SUMIF('OD 05-24'!A:A,A30,'OD 05-24'!D:D)</f>
        <v>0</v>
      </c>
      <c r="G30" s="13">
        <f>SUMIF('OD 05-24'!A:A,A30,'OD 05-24'!E:E)</f>
        <v>0</v>
      </c>
      <c r="H30" s="14">
        <f t="shared" si="0"/>
        <v>0</v>
      </c>
      <c r="I30" s="14">
        <f t="shared" si="1"/>
        <v>0</v>
      </c>
      <c r="J30" s="8"/>
      <c r="K30" s="8"/>
      <c r="M30" s="339"/>
      <c r="N30" s="315"/>
    </row>
    <row r="31" spans="1:14" s="9" customFormat="1" ht="11.25" x14ac:dyDescent="0.2">
      <c r="A31" s="10">
        <v>22820000</v>
      </c>
      <c r="B31" s="10" t="s">
        <v>37</v>
      </c>
      <c r="C31" s="11">
        <v>281171.26415</v>
      </c>
      <c r="D31" s="11">
        <v>31133.109999999997</v>
      </c>
      <c r="E31" s="11">
        <v>313.10000000000002</v>
      </c>
      <c r="F31" s="13">
        <f>SUMIF('OD 05-24'!A:A,A31,'OD 05-24'!D:D)</f>
        <v>0</v>
      </c>
      <c r="G31" s="13">
        <f>SUMIF('OD 05-24'!A:A,A31,'OD 05-24'!E:E)</f>
        <v>0</v>
      </c>
      <c r="H31" s="14">
        <f t="shared" si="0"/>
        <v>30820.01</v>
      </c>
      <c r="I31" s="14">
        <f t="shared" si="1"/>
        <v>311991.27415000001</v>
      </c>
      <c r="J31" s="8" t="s">
        <v>25</v>
      </c>
      <c r="K31" s="8"/>
      <c r="M31" s="339"/>
      <c r="N31" s="315"/>
    </row>
    <row r="32" spans="1:14" s="9" customFormat="1" ht="11.25" x14ac:dyDescent="0.2">
      <c r="A32" s="10">
        <v>22830000</v>
      </c>
      <c r="B32" s="10" t="s">
        <v>279</v>
      </c>
      <c r="C32" s="11">
        <v>243796.16828599994</v>
      </c>
      <c r="D32" s="11">
        <v>21618.754999999997</v>
      </c>
      <c r="E32" s="11">
        <v>0</v>
      </c>
      <c r="F32" s="13">
        <f>SUMIF('OD 05-24'!A:A,A32,'OD 05-24'!D:D)</f>
        <v>0</v>
      </c>
      <c r="G32" s="13">
        <f>SUMIF('OD 05-24'!A:A,A32,'OD 05-24'!E:E)</f>
        <v>0</v>
      </c>
      <c r="H32" s="14">
        <f t="shared" si="0"/>
        <v>21618.754999999997</v>
      </c>
      <c r="I32" s="14">
        <f t="shared" si="1"/>
        <v>265414.92328599992</v>
      </c>
      <c r="J32" s="8" t="s">
        <v>25</v>
      </c>
      <c r="K32" s="8"/>
      <c r="M32" s="339"/>
      <c r="N32" s="315"/>
    </row>
    <row r="33" spans="1:14" s="9" customFormat="1" ht="11.25" x14ac:dyDescent="0.2">
      <c r="A33" s="10">
        <v>23000000</v>
      </c>
      <c r="B33" s="10" t="s">
        <v>280</v>
      </c>
      <c r="C33" s="11">
        <v>2.0000000404252205E-5</v>
      </c>
      <c r="D33" s="11">
        <v>0</v>
      </c>
      <c r="E33" s="11">
        <v>0</v>
      </c>
      <c r="F33" s="13">
        <f>SUMIF('OD 05-24'!A:A,A33,'OD 05-24'!D:D)</f>
        <v>0</v>
      </c>
      <c r="G33" s="13">
        <f>SUMIF('OD 05-24'!A:A,A33,'OD 05-24'!E:E)</f>
        <v>0</v>
      </c>
      <c r="H33" s="14">
        <f t="shared" si="0"/>
        <v>0</v>
      </c>
      <c r="I33" s="14">
        <f t="shared" si="1"/>
        <v>2.0000000404252205E-5</v>
      </c>
      <c r="J33" s="8"/>
      <c r="K33" s="8"/>
      <c r="M33" s="339"/>
      <c r="N33" s="315"/>
    </row>
    <row r="34" spans="1:14" s="9" customFormat="1" ht="11.25" x14ac:dyDescent="0.2">
      <c r="A34" s="10">
        <v>23100000</v>
      </c>
      <c r="B34" s="10" t="s">
        <v>7399</v>
      </c>
      <c r="C34" s="11">
        <v>0</v>
      </c>
      <c r="D34" s="11">
        <v>17045.8</v>
      </c>
      <c r="E34" s="11">
        <v>0</v>
      </c>
      <c r="F34" s="13">
        <f>SUMIF('OD 05-24'!A:A,A34,'OD 05-24'!D:D)</f>
        <v>0</v>
      </c>
      <c r="G34" s="13">
        <f>SUMIF('OD 05-24'!A:A,A34,'OD 05-24'!E:E)</f>
        <v>0</v>
      </c>
      <c r="H34" s="14">
        <f t="shared" si="0"/>
        <v>17045.8</v>
      </c>
      <c r="I34" s="14">
        <f t="shared" si="1"/>
        <v>17045.8</v>
      </c>
      <c r="J34" s="8" t="s">
        <v>25</v>
      </c>
      <c r="K34" s="8"/>
      <c r="M34" s="339"/>
      <c r="N34" s="315"/>
    </row>
    <row r="35" spans="1:14" s="9" customFormat="1" ht="11.25" x14ac:dyDescent="0.2">
      <c r="A35" s="10">
        <v>23200000</v>
      </c>
      <c r="B35" s="10" t="s">
        <v>38</v>
      </c>
      <c r="C35" s="11">
        <v>404721.24329749867</v>
      </c>
      <c r="D35" s="11">
        <v>161.595</v>
      </c>
      <c r="E35" s="11">
        <v>144.87899999999999</v>
      </c>
      <c r="F35" s="13">
        <f>SUMIF('OD 05-24'!A:A,A35,'OD 05-24'!D:D)</f>
        <v>0</v>
      </c>
      <c r="G35" s="13">
        <f>SUMIF('OD 05-24'!A:A,A35,'OD 05-24'!E:E)</f>
        <v>0</v>
      </c>
      <c r="H35" s="14">
        <f t="shared" si="0"/>
        <v>16.716000000000008</v>
      </c>
      <c r="I35" s="14">
        <f t="shared" si="1"/>
        <v>404737.95929749869</v>
      </c>
      <c r="J35" s="8" t="s">
        <v>25</v>
      </c>
      <c r="K35" s="8"/>
      <c r="M35" s="339"/>
      <c r="N35" s="315"/>
    </row>
    <row r="36" spans="1:14" s="9" customFormat="1" ht="11.25" x14ac:dyDescent="0.2">
      <c r="A36" s="10">
        <v>23220000</v>
      </c>
      <c r="B36" s="10" t="s">
        <v>39</v>
      </c>
      <c r="C36" s="11">
        <v>0</v>
      </c>
      <c r="D36" s="11">
        <v>0</v>
      </c>
      <c r="E36" s="11">
        <v>0</v>
      </c>
      <c r="F36" s="13">
        <f>SUMIF('OD 05-24'!A:A,A36,'OD 05-24'!D:D)</f>
        <v>0</v>
      </c>
      <c r="G36" s="13">
        <f>SUMIF('OD 05-24'!A:A,A36,'OD 05-24'!E:E)</f>
        <v>0</v>
      </c>
      <c r="H36" s="14">
        <f t="shared" si="0"/>
        <v>0</v>
      </c>
      <c r="I36" s="14">
        <f t="shared" si="1"/>
        <v>0</v>
      </c>
      <c r="J36" s="8" t="s">
        <v>25</v>
      </c>
      <c r="K36" s="8"/>
      <c r="M36" s="339"/>
      <c r="N36" s="315"/>
    </row>
    <row r="37" spans="1:14" s="9" customFormat="1" ht="11.25" x14ac:dyDescent="0.2">
      <c r="A37" s="10">
        <v>23225000</v>
      </c>
      <c r="B37" s="10" t="s">
        <v>281</v>
      </c>
      <c r="C37" s="11">
        <v>0</v>
      </c>
      <c r="D37" s="11">
        <v>0</v>
      </c>
      <c r="E37" s="11">
        <v>0</v>
      </c>
      <c r="F37" s="13">
        <f>SUMIF('OD 05-24'!A:A,A37,'OD 05-24'!D:D)</f>
        <v>0</v>
      </c>
      <c r="G37" s="13">
        <f>SUMIF('OD 05-24'!A:A,A37,'OD 05-24'!E:E)</f>
        <v>0</v>
      </c>
      <c r="H37" s="14">
        <f t="shared" si="0"/>
        <v>0</v>
      </c>
      <c r="I37" s="14">
        <f t="shared" si="1"/>
        <v>0</v>
      </c>
      <c r="J37" s="8"/>
      <c r="K37" s="8"/>
      <c r="M37" s="339"/>
      <c r="N37" s="315"/>
    </row>
    <row r="38" spans="1:14" s="9" customFormat="1" ht="11.25" x14ac:dyDescent="0.2">
      <c r="A38" s="10">
        <v>23231000</v>
      </c>
      <c r="B38" s="10" t="s">
        <v>282</v>
      </c>
      <c r="C38" s="11">
        <v>0</v>
      </c>
      <c r="D38" s="11">
        <v>0</v>
      </c>
      <c r="E38" s="11">
        <v>0</v>
      </c>
      <c r="F38" s="13">
        <f>SUMIF('OD 05-24'!A:A,A38,'OD 05-24'!D:D)</f>
        <v>0</v>
      </c>
      <c r="G38" s="13">
        <f>SUMIF('OD 05-24'!A:A,A38,'OD 05-24'!E:E)</f>
        <v>0</v>
      </c>
      <c r="H38" s="14">
        <f t="shared" si="0"/>
        <v>0</v>
      </c>
      <c r="I38" s="14">
        <f t="shared" si="1"/>
        <v>0</v>
      </c>
      <c r="J38" s="8"/>
      <c r="K38" s="8"/>
      <c r="M38" s="339"/>
      <c r="N38" s="315"/>
    </row>
    <row r="39" spans="1:14" s="9" customFormat="1" ht="11.25" x14ac:dyDescent="0.2">
      <c r="A39" s="10">
        <v>23237000</v>
      </c>
      <c r="B39" s="10" t="s">
        <v>283</v>
      </c>
      <c r="C39" s="11">
        <v>0</v>
      </c>
      <c r="D39" s="11">
        <v>0</v>
      </c>
      <c r="E39" s="11">
        <v>0</v>
      </c>
      <c r="F39" s="13">
        <f>SUMIF('OD 05-24'!A:A,A39,'OD 05-24'!D:D)</f>
        <v>0</v>
      </c>
      <c r="G39" s="13">
        <f>SUMIF('OD 05-24'!A:A,A39,'OD 05-24'!E:E)</f>
        <v>0</v>
      </c>
      <c r="H39" s="14">
        <f t="shared" si="0"/>
        <v>0</v>
      </c>
      <c r="I39" s="14">
        <f t="shared" si="1"/>
        <v>0</v>
      </c>
      <c r="J39" s="8"/>
      <c r="K39" s="8"/>
      <c r="M39" s="339"/>
      <c r="N39" s="315"/>
    </row>
    <row r="40" spans="1:14" s="9" customFormat="1" ht="11.25" x14ac:dyDescent="0.2">
      <c r="A40" s="10">
        <v>23250000</v>
      </c>
      <c r="B40" s="10" t="s">
        <v>284</v>
      </c>
      <c r="C40" s="11">
        <v>0</v>
      </c>
      <c r="D40" s="11">
        <v>0</v>
      </c>
      <c r="E40" s="11">
        <v>0</v>
      </c>
      <c r="F40" s="13">
        <f>SUMIF('OD 05-24'!A:A,A40,'OD 05-24'!D:D)</f>
        <v>0</v>
      </c>
      <c r="G40" s="13">
        <f>SUMIF('OD 05-24'!A:A,A40,'OD 05-24'!E:E)</f>
        <v>0</v>
      </c>
      <c r="H40" s="14">
        <f t="shared" si="0"/>
        <v>0</v>
      </c>
      <c r="I40" s="14">
        <f t="shared" si="1"/>
        <v>0</v>
      </c>
      <c r="J40" s="8"/>
      <c r="K40" s="8"/>
      <c r="M40" s="339"/>
      <c r="N40" s="315"/>
    </row>
    <row r="41" spans="1:14" s="9" customFormat="1" ht="11.25" x14ac:dyDescent="0.2">
      <c r="A41" s="10">
        <v>23800000</v>
      </c>
      <c r="B41" s="10" t="s">
        <v>285</v>
      </c>
      <c r="C41" s="11">
        <v>0</v>
      </c>
      <c r="D41" s="11">
        <v>0</v>
      </c>
      <c r="E41" s="11">
        <v>0</v>
      </c>
      <c r="F41" s="13">
        <f>SUMIF('OD 05-24'!A:A,A41,'OD 05-24'!D:D)</f>
        <v>0</v>
      </c>
      <c r="G41" s="13">
        <f>SUMIF('OD 05-24'!A:A,A41,'OD 05-24'!E:E)</f>
        <v>0</v>
      </c>
      <c r="H41" s="14">
        <f t="shared" si="0"/>
        <v>0</v>
      </c>
      <c r="I41" s="14">
        <f t="shared" si="1"/>
        <v>0</v>
      </c>
      <c r="J41" s="8"/>
      <c r="K41" s="8"/>
      <c r="M41" s="339"/>
      <c r="N41" s="315"/>
    </row>
    <row r="42" spans="1:14" s="9" customFormat="1" ht="11.25" x14ac:dyDescent="0.2">
      <c r="A42" s="10">
        <v>24000000</v>
      </c>
      <c r="B42" s="10" t="s">
        <v>40</v>
      </c>
      <c r="C42" s="11">
        <v>770033.75899999996</v>
      </c>
      <c r="D42" s="11">
        <v>502070.6</v>
      </c>
      <c r="E42" s="11">
        <v>94339.096999999994</v>
      </c>
      <c r="F42" s="13">
        <f>SUMIF('OD 05-24'!A:A,A42,'OD 05-24'!D:D)</f>
        <v>0</v>
      </c>
      <c r="G42" s="13">
        <f>SUMIF('OD 05-24'!A:A,A42,'OD 05-24'!E:E)</f>
        <v>0</v>
      </c>
      <c r="H42" s="14">
        <f t="shared" si="0"/>
        <v>407731.50299999997</v>
      </c>
      <c r="I42" s="14">
        <f t="shared" si="1"/>
        <v>1177765.2619999999</v>
      </c>
      <c r="J42" s="8" t="s">
        <v>25</v>
      </c>
      <c r="K42" s="8"/>
      <c r="M42" s="339"/>
      <c r="N42" s="315"/>
    </row>
    <row r="43" spans="1:14" s="9" customFormat="1" ht="11.25" x14ac:dyDescent="0.2">
      <c r="A43" s="10">
        <v>25100000</v>
      </c>
      <c r="B43" s="10" t="s">
        <v>286</v>
      </c>
      <c r="C43" s="11">
        <v>0</v>
      </c>
      <c r="D43" s="11">
        <v>0</v>
      </c>
      <c r="E43" s="11">
        <v>0</v>
      </c>
      <c r="F43" s="13">
        <f>SUMIF('OD 05-24'!A:A,A43,'OD 05-24'!D:D)</f>
        <v>0</v>
      </c>
      <c r="G43" s="13">
        <f>SUMIF('OD 05-24'!A:A,A43,'OD 05-24'!E:E)</f>
        <v>0</v>
      </c>
      <c r="H43" s="14">
        <f t="shared" si="0"/>
        <v>0</v>
      </c>
      <c r="I43" s="14">
        <f t="shared" si="1"/>
        <v>0</v>
      </c>
      <c r="J43" s="8"/>
      <c r="K43" s="8"/>
      <c r="M43" s="339"/>
      <c r="N43" s="315"/>
    </row>
    <row r="44" spans="1:14" s="9" customFormat="1" ht="11.25" x14ac:dyDescent="0.2">
      <c r="A44" s="10">
        <v>25110000</v>
      </c>
      <c r="B44" s="10" t="s">
        <v>41</v>
      </c>
      <c r="C44" s="11">
        <v>266820</v>
      </c>
      <c r="D44" s="11">
        <v>0</v>
      </c>
      <c r="E44" s="11">
        <v>0</v>
      </c>
      <c r="F44" s="13">
        <f>SUMIF('OD 05-24'!A:A,A44,'OD 05-24'!D:D)</f>
        <v>0</v>
      </c>
      <c r="G44" s="13">
        <f>SUMIF('OD 05-24'!A:A,A44,'OD 05-24'!E:E)</f>
        <v>0</v>
      </c>
      <c r="H44" s="14">
        <f t="shared" si="0"/>
        <v>0</v>
      </c>
      <c r="I44" s="14">
        <f t="shared" si="1"/>
        <v>266820</v>
      </c>
      <c r="J44" s="8" t="s">
        <v>42</v>
      </c>
      <c r="K44" s="8"/>
      <c r="M44" s="339"/>
      <c r="N44" s="315"/>
    </row>
    <row r="45" spans="1:14" s="9" customFormat="1" ht="11.25" x14ac:dyDescent="0.2">
      <c r="A45" s="10">
        <v>25120000</v>
      </c>
      <c r="B45" s="10" t="s">
        <v>287</v>
      </c>
      <c r="C45" s="11">
        <v>512700</v>
      </c>
      <c r="D45" s="11">
        <v>0</v>
      </c>
      <c r="E45" s="11">
        <v>0</v>
      </c>
      <c r="F45" s="13">
        <f>SUMIF('OD 05-24'!A:A,A45,'OD 05-24'!D:D)</f>
        <v>0</v>
      </c>
      <c r="G45" s="13">
        <f>SUMIF('OD 05-24'!A:A,A45,'OD 05-24'!E:E)</f>
        <v>0</v>
      </c>
      <c r="H45" s="14">
        <f t="shared" si="0"/>
        <v>0</v>
      </c>
      <c r="I45" s="14">
        <f t="shared" si="1"/>
        <v>512700</v>
      </c>
      <c r="J45" s="8" t="s">
        <v>42</v>
      </c>
      <c r="K45" s="8"/>
      <c r="M45" s="339"/>
      <c r="N45" s="315"/>
    </row>
    <row r="46" spans="1:14" s="9" customFormat="1" ht="11.25" x14ac:dyDescent="0.2">
      <c r="A46" s="10">
        <v>25130000</v>
      </c>
      <c r="B46" s="10" t="s">
        <v>43</v>
      </c>
      <c r="C46" s="11">
        <v>677000</v>
      </c>
      <c r="D46" s="11">
        <v>0</v>
      </c>
      <c r="E46" s="11">
        <v>0</v>
      </c>
      <c r="F46" s="13">
        <f>SUMIF('OD 05-24'!A:A,A46,'OD 05-24'!D:D)</f>
        <v>0</v>
      </c>
      <c r="G46" s="13">
        <f>SUMIF('OD 05-24'!A:A,A46,'OD 05-24'!E:E)</f>
        <v>0</v>
      </c>
      <c r="H46" s="14">
        <f t="shared" si="0"/>
        <v>0</v>
      </c>
      <c r="I46" s="14">
        <f t="shared" si="1"/>
        <v>677000</v>
      </c>
      <c r="J46" s="8" t="s">
        <v>42</v>
      </c>
      <c r="K46" s="8"/>
      <c r="M46" s="339"/>
      <c r="N46" s="315"/>
    </row>
    <row r="47" spans="1:14" s="9" customFormat="1" ht="11.25" x14ac:dyDescent="0.2">
      <c r="A47" s="10">
        <v>25140000</v>
      </c>
      <c r="B47" s="10" t="s">
        <v>44</v>
      </c>
      <c r="C47" s="11">
        <v>3150000</v>
      </c>
      <c r="D47" s="11">
        <v>0</v>
      </c>
      <c r="E47" s="11">
        <v>0</v>
      </c>
      <c r="F47" s="13">
        <f>SUMIF('OD 05-24'!A:A,A47,'OD 05-24'!D:D)</f>
        <v>0</v>
      </c>
      <c r="G47" s="13">
        <f>SUMIF('OD 05-24'!A:A,A47,'OD 05-24'!E:E)</f>
        <v>0</v>
      </c>
      <c r="H47" s="14">
        <f t="shared" si="0"/>
        <v>0</v>
      </c>
      <c r="I47" s="14">
        <f t="shared" si="1"/>
        <v>3150000</v>
      </c>
      <c r="J47" s="8" t="s">
        <v>42</v>
      </c>
      <c r="K47" s="8"/>
      <c r="M47" s="339"/>
      <c r="N47" s="315"/>
    </row>
    <row r="48" spans="1:14" s="9" customFormat="1" ht="11.25" x14ac:dyDescent="0.2">
      <c r="A48" s="10">
        <v>25150000</v>
      </c>
      <c r="B48" s="10" t="s">
        <v>387</v>
      </c>
      <c r="C48" s="11">
        <v>319680</v>
      </c>
      <c r="D48" s="11">
        <v>0</v>
      </c>
      <c r="E48" s="11">
        <v>0</v>
      </c>
      <c r="F48" s="13">
        <f>SUMIF('OD 05-24'!A:A,A48,'OD 05-24'!D:D)</f>
        <v>0</v>
      </c>
      <c r="G48" s="13">
        <f>SUMIF('OD 05-24'!A:A,A48,'OD 05-24'!E:E)</f>
        <v>0</v>
      </c>
      <c r="H48" s="14">
        <f t="shared" si="0"/>
        <v>0</v>
      </c>
      <c r="I48" s="14">
        <f t="shared" si="1"/>
        <v>319680</v>
      </c>
      <c r="J48" s="8" t="s">
        <v>42</v>
      </c>
      <c r="K48" s="8"/>
      <c r="M48" s="339"/>
      <c r="N48" s="315"/>
    </row>
    <row r="49" spans="1:14" s="9" customFormat="1" ht="11.25" x14ac:dyDescent="0.2">
      <c r="A49" s="10">
        <v>25700000</v>
      </c>
      <c r="B49" s="10" t="s">
        <v>288</v>
      </c>
      <c r="C49" s="11">
        <v>0</v>
      </c>
      <c r="D49" s="11">
        <v>0</v>
      </c>
      <c r="E49" s="11">
        <v>0</v>
      </c>
      <c r="F49" s="13">
        <f>SUMIF('OD 05-24'!A:A,A49,'OD 05-24'!D:D)</f>
        <v>0</v>
      </c>
      <c r="G49" s="13">
        <f>SUMIF('OD 05-24'!A:A,A49,'OD 05-24'!E:E)</f>
        <v>0</v>
      </c>
      <c r="H49" s="14">
        <f t="shared" si="0"/>
        <v>0</v>
      </c>
      <c r="I49" s="14">
        <f t="shared" si="1"/>
        <v>0</v>
      </c>
      <c r="J49" s="8" t="s">
        <v>42</v>
      </c>
      <c r="K49" s="8"/>
      <c r="M49" s="339"/>
      <c r="N49" s="315"/>
    </row>
    <row r="50" spans="1:14" s="9" customFormat="1" ht="11.25" x14ac:dyDescent="0.2">
      <c r="A50" s="10">
        <v>25810000</v>
      </c>
      <c r="B50" s="10" t="s">
        <v>289</v>
      </c>
      <c r="C50" s="11">
        <v>0</v>
      </c>
      <c r="D50" s="11">
        <v>0</v>
      </c>
      <c r="E50" s="11">
        <v>0</v>
      </c>
      <c r="F50" s="13">
        <f>SUMIF('OD 05-24'!A:A,A50,'OD 05-24'!D:D)</f>
        <v>0</v>
      </c>
      <c r="G50" s="13">
        <f>SUMIF('OD 05-24'!A:A,A50,'OD 05-24'!E:E)</f>
        <v>0</v>
      </c>
      <c r="H50" s="14">
        <f t="shared" si="0"/>
        <v>0</v>
      </c>
      <c r="I50" s="14">
        <f t="shared" si="1"/>
        <v>0</v>
      </c>
      <c r="J50" s="8"/>
      <c r="K50" s="8"/>
      <c r="M50" s="339"/>
      <c r="N50" s="315"/>
    </row>
    <row r="51" spans="1:14" s="9" customFormat="1" ht="11.25" x14ac:dyDescent="0.2">
      <c r="A51" s="10">
        <v>26400000</v>
      </c>
      <c r="B51" s="10" t="s">
        <v>290</v>
      </c>
      <c r="C51" s="11">
        <v>0</v>
      </c>
      <c r="D51" s="11">
        <v>100</v>
      </c>
      <c r="E51" s="11">
        <v>100</v>
      </c>
      <c r="F51" s="13">
        <f>SUMIF('OD 05-24'!A:A,A51,'OD 05-24'!D:D)</f>
        <v>0</v>
      </c>
      <c r="G51" s="13">
        <f>SUMIF('OD 05-24'!A:A,A51,'OD 05-24'!E:E)</f>
        <v>0</v>
      </c>
      <c r="H51" s="14">
        <f t="shared" si="0"/>
        <v>0</v>
      </c>
      <c r="I51" s="14">
        <f t="shared" si="1"/>
        <v>0</v>
      </c>
      <c r="J51" s="8"/>
      <c r="K51" s="8"/>
      <c r="M51" s="339"/>
      <c r="N51" s="315"/>
    </row>
    <row r="52" spans="1:14" s="9" customFormat="1" ht="11.25" x14ac:dyDescent="0.2">
      <c r="A52" s="10">
        <v>26430000</v>
      </c>
      <c r="B52" s="10" t="s">
        <v>291</v>
      </c>
      <c r="C52" s="11">
        <v>0</v>
      </c>
      <c r="D52" s="11">
        <v>141500</v>
      </c>
      <c r="E52" s="11">
        <v>141500</v>
      </c>
      <c r="F52" s="13">
        <f>SUMIF('OD 05-24'!A:A,A52,'OD 05-24'!D:D)</f>
        <v>0</v>
      </c>
      <c r="G52" s="13">
        <f>SUMIF('OD 05-24'!A:A,A52,'OD 05-24'!E:E)</f>
        <v>0</v>
      </c>
      <c r="H52" s="14">
        <f t="shared" si="0"/>
        <v>0</v>
      </c>
      <c r="I52" s="14">
        <f t="shared" si="1"/>
        <v>0</v>
      </c>
      <c r="J52" s="8"/>
      <c r="K52" s="8"/>
      <c r="M52" s="339"/>
      <c r="N52" s="315"/>
    </row>
    <row r="53" spans="1:14" s="9" customFormat="1" ht="11.25" x14ac:dyDescent="0.2">
      <c r="A53" s="10">
        <v>26500000</v>
      </c>
      <c r="B53" s="10" t="s">
        <v>45</v>
      </c>
      <c r="C53" s="11">
        <v>0</v>
      </c>
      <c r="D53" s="11">
        <v>0</v>
      </c>
      <c r="E53" s="11">
        <v>0</v>
      </c>
      <c r="F53" s="13">
        <f>SUMIF('OD 05-24'!A:A,A53,'OD 05-24'!D:D)</f>
        <v>0</v>
      </c>
      <c r="G53" s="13">
        <f>SUMIF('OD 05-24'!A:A,A53,'OD 05-24'!E:E)</f>
        <v>0</v>
      </c>
      <c r="H53" s="14">
        <f t="shared" si="0"/>
        <v>0</v>
      </c>
      <c r="I53" s="14">
        <f t="shared" si="1"/>
        <v>0</v>
      </c>
      <c r="J53" s="8" t="s">
        <v>46</v>
      </c>
      <c r="K53" s="8"/>
      <c r="M53" s="339"/>
      <c r="N53" s="315"/>
    </row>
    <row r="54" spans="1:14" s="9" customFormat="1" ht="11.25" x14ac:dyDescent="0.2">
      <c r="A54" s="10">
        <v>26510000</v>
      </c>
      <c r="B54" s="10" t="s">
        <v>292</v>
      </c>
      <c r="C54" s="11">
        <v>0</v>
      </c>
      <c r="D54" s="11">
        <v>0</v>
      </c>
      <c r="E54" s="11">
        <v>0</v>
      </c>
      <c r="F54" s="13">
        <f>SUMIF('OD 05-24'!A:A,A54,'OD 05-24'!D:D)</f>
        <v>0</v>
      </c>
      <c r="G54" s="13">
        <f>SUMIF('OD 05-24'!A:A,A54,'OD 05-24'!E:E)</f>
        <v>0</v>
      </c>
      <c r="H54" s="14">
        <f t="shared" si="0"/>
        <v>0</v>
      </c>
      <c r="I54" s="14">
        <f t="shared" si="1"/>
        <v>0</v>
      </c>
      <c r="J54" s="8"/>
      <c r="K54" s="8"/>
      <c r="M54" s="339"/>
      <c r="N54" s="315"/>
    </row>
    <row r="55" spans="1:14" s="9" customFormat="1" ht="11.25" x14ac:dyDescent="0.2">
      <c r="A55" s="10">
        <v>26550000</v>
      </c>
      <c r="B55" s="10" t="s">
        <v>293</v>
      </c>
      <c r="C55" s="11">
        <v>0</v>
      </c>
      <c r="D55" s="11">
        <v>0</v>
      </c>
      <c r="E55" s="11">
        <v>0</v>
      </c>
      <c r="F55" s="13">
        <f>SUMIF('OD 05-24'!A:A,A55,'OD 05-24'!D:D)</f>
        <v>0</v>
      </c>
      <c r="G55" s="13">
        <f>SUMIF('OD 05-24'!A:A,A55,'OD 05-24'!E:E)</f>
        <v>0</v>
      </c>
      <c r="H55" s="14">
        <f t="shared" si="0"/>
        <v>0</v>
      </c>
      <c r="I55" s="14">
        <f t="shared" si="1"/>
        <v>0</v>
      </c>
      <c r="J55" s="8"/>
      <c r="K55" s="8"/>
      <c r="M55" s="339"/>
      <c r="N55" s="315"/>
    </row>
    <row r="56" spans="1:14" s="9" customFormat="1" ht="11.25" x14ac:dyDescent="0.2">
      <c r="A56" s="10">
        <v>26580000</v>
      </c>
      <c r="B56" s="10" t="s">
        <v>23</v>
      </c>
      <c r="C56" s="11">
        <v>5771.2</v>
      </c>
      <c r="D56" s="11">
        <v>0</v>
      </c>
      <c r="E56" s="11">
        <v>0</v>
      </c>
      <c r="F56" s="13">
        <f>SUMIF('OD 05-24'!A:A,A56,'OD 05-24'!D:D)</f>
        <v>0</v>
      </c>
      <c r="G56" s="13">
        <f>SUMIF('OD 05-24'!A:A,A56,'OD 05-24'!E:E)</f>
        <v>0</v>
      </c>
      <c r="H56" s="14">
        <f t="shared" si="0"/>
        <v>0</v>
      </c>
      <c r="I56" s="14">
        <f t="shared" si="1"/>
        <v>5771.2</v>
      </c>
      <c r="J56" s="8" t="s">
        <v>46</v>
      </c>
      <c r="K56" s="8"/>
      <c r="M56" s="339"/>
      <c r="N56" s="315"/>
    </row>
    <row r="57" spans="1:14" s="9" customFormat="1" ht="11.25" x14ac:dyDescent="0.2">
      <c r="A57" s="10">
        <v>27100000</v>
      </c>
      <c r="B57" s="10" t="s">
        <v>294</v>
      </c>
      <c r="C57" s="11">
        <v>0</v>
      </c>
      <c r="D57" s="11">
        <v>0</v>
      </c>
      <c r="E57" s="11">
        <v>0</v>
      </c>
      <c r="F57" s="13">
        <f>SUMIF('OD 05-24'!A:A,A57,'OD 05-24'!D:D)</f>
        <v>0</v>
      </c>
      <c r="G57" s="13">
        <f>SUMIF('OD 05-24'!A:A,A57,'OD 05-24'!E:E)</f>
        <v>0</v>
      </c>
      <c r="H57" s="14">
        <f t="shared" si="0"/>
        <v>0</v>
      </c>
      <c r="I57" s="14">
        <f t="shared" si="1"/>
        <v>0</v>
      </c>
      <c r="J57" s="8"/>
      <c r="K57" s="8"/>
      <c r="M57" s="339"/>
      <c r="N57" s="315"/>
    </row>
    <row r="58" spans="1:14" s="9" customFormat="1" ht="11.25" x14ac:dyDescent="0.2">
      <c r="A58" s="10">
        <v>28100000</v>
      </c>
      <c r="B58" s="10" t="s">
        <v>295</v>
      </c>
      <c r="C58" s="11">
        <v>0</v>
      </c>
      <c r="D58" s="11">
        <v>0</v>
      </c>
      <c r="E58" s="11">
        <v>0</v>
      </c>
      <c r="F58" s="13">
        <f>SUMIF('OD 05-24'!A:A,A58,'OD 05-24'!D:D)</f>
        <v>0</v>
      </c>
      <c r="G58" s="13">
        <f>SUMIF('OD 05-24'!A:A,A58,'OD 05-24'!E:E)</f>
        <v>0</v>
      </c>
      <c r="H58" s="14">
        <f t="shared" si="0"/>
        <v>0</v>
      </c>
      <c r="I58" s="14">
        <f t="shared" si="1"/>
        <v>0</v>
      </c>
      <c r="J58" s="8"/>
      <c r="K58" s="8"/>
      <c r="M58" s="339"/>
      <c r="N58" s="315"/>
    </row>
    <row r="59" spans="1:14" s="9" customFormat="1" ht="11.25" x14ac:dyDescent="0.2">
      <c r="A59" s="10">
        <v>28110000</v>
      </c>
      <c r="B59" s="10" t="s">
        <v>296</v>
      </c>
      <c r="C59" s="11">
        <v>0</v>
      </c>
      <c r="D59" s="11">
        <v>0</v>
      </c>
      <c r="E59" s="11">
        <v>0</v>
      </c>
      <c r="F59" s="13">
        <f>SUMIF('OD 05-24'!A:A,A59,'OD 05-24'!D:D)</f>
        <v>0</v>
      </c>
      <c r="G59" s="13">
        <f>SUMIF('OD 05-24'!A:A,A59,'OD 05-24'!E:E)</f>
        <v>0</v>
      </c>
      <c r="H59" s="14">
        <f t="shared" si="0"/>
        <v>0</v>
      </c>
      <c r="I59" s="14">
        <f t="shared" si="1"/>
        <v>0</v>
      </c>
      <c r="J59" s="8"/>
      <c r="K59" s="8"/>
      <c r="M59" s="339"/>
      <c r="N59" s="315"/>
    </row>
    <row r="60" spans="1:14" s="9" customFormat="1" ht="11.25" x14ac:dyDescent="0.2">
      <c r="A60" s="10">
        <v>28130000</v>
      </c>
      <c r="B60" s="10" t="s">
        <v>24</v>
      </c>
      <c r="C60" s="11">
        <v>-75004.895999999993</v>
      </c>
      <c r="D60" s="11">
        <v>0</v>
      </c>
      <c r="E60" s="11">
        <v>0</v>
      </c>
      <c r="F60" s="13">
        <f>SUMIF('OD 05-24'!A:A,A60,'OD 05-24'!D:D)</f>
        <v>8427.6090000000004</v>
      </c>
      <c r="G60" s="13">
        <f>SUMIF('OD 05-24'!A:A,A60,'OD 05-24'!E:E)</f>
        <v>12683.691999999999</v>
      </c>
      <c r="H60" s="14">
        <f t="shared" si="0"/>
        <v>-4256.0829999999987</v>
      </c>
      <c r="I60" s="14">
        <f t="shared" si="1"/>
        <v>-79260.978999999992</v>
      </c>
      <c r="J60" s="8" t="s">
        <v>47</v>
      </c>
      <c r="K60" s="8"/>
      <c r="M60" s="339"/>
      <c r="N60" s="315"/>
    </row>
    <row r="61" spans="1:14" s="9" customFormat="1" ht="11.25" x14ac:dyDescent="0.2">
      <c r="A61" s="10">
        <v>28216000</v>
      </c>
      <c r="B61" s="10" t="s">
        <v>48</v>
      </c>
      <c r="C61" s="11">
        <v>-148352.71299999999</v>
      </c>
      <c r="D61" s="11">
        <v>0</v>
      </c>
      <c r="E61" s="11">
        <v>0</v>
      </c>
      <c r="F61" s="13">
        <f>SUMIF('OD 05-24'!A:A,A61,'OD 05-24'!D:D)</f>
        <v>2311.1709999999998</v>
      </c>
      <c r="G61" s="13">
        <f>SUMIF('OD 05-24'!A:A,A61,'OD 05-24'!E:E)</f>
        <v>3478.3510000000001</v>
      </c>
      <c r="H61" s="14">
        <f t="shared" si="0"/>
        <v>-1167.1800000000003</v>
      </c>
      <c r="I61" s="14">
        <f t="shared" si="1"/>
        <v>-149519.89299999998</v>
      </c>
      <c r="J61" s="8" t="s">
        <v>47</v>
      </c>
      <c r="K61" s="8"/>
      <c r="M61" s="339"/>
      <c r="N61" s="315"/>
    </row>
    <row r="62" spans="1:14" s="9" customFormat="1" ht="11.25" x14ac:dyDescent="0.2">
      <c r="A62" s="10">
        <v>28220000</v>
      </c>
      <c r="B62" s="10" t="s">
        <v>49</v>
      </c>
      <c r="C62" s="11">
        <v>-3729152.5419999999</v>
      </c>
      <c r="D62" s="11">
        <v>0</v>
      </c>
      <c r="E62" s="11">
        <v>0</v>
      </c>
      <c r="F62" s="13">
        <f>SUMIF('OD 05-24'!A:A,A62,'OD 05-24'!D:D)</f>
        <v>376876.93400000001</v>
      </c>
      <c r="G62" s="13">
        <f>SUMIF('OD 05-24'!A:A,A62,'OD 05-24'!E:E)</f>
        <v>567206.08799999999</v>
      </c>
      <c r="H62" s="14">
        <f t="shared" si="0"/>
        <v>-190329.15399999998</v>
      </c>
      <c r="I62" s="14">
        <f t="shared" si="1"/>
        <v>-3919481.696</v>
      </c>
      <c r="J62" s="8" t="s">
        <v>47</v>
      </c>
      <c r="K62" s="8"/>
      <c r="M62" s="339"/>
      <c r="N62" s="315"/>
    </row>
    <row r="63" spans="1:14" s="9" customFormat="1" ht="11.25" x14ac:dyDescent="0.2">
      <c r="A63" s="10">
        <v>28225000</v>
      </c>
      <c r="B63" s="10" t="s">
        <v>50</v>
      </c>
      <c r="C63" s="11">
        <v>-271826.14399999997</v>
      </c>
      <c r="D63" s="11">
        <v>0</v>
      </c>
      <c r="E63" s="11">
        <v>0</v>
      </c>
      <c r="F63" s="13">
        <f>SUMIF('OD 05-24'!A:A,A63,'OD 05-24'!D:D)</f>
        <v>73816.324999999997</v>
      </c>
      <c r="G63" s="13">
        <f>SUMIF('OD 05-24'!A:A,A63,'OD 05-24'!E:E)</f>
        <v>106342.166</v>
      </c>
      <c r="H63" s="14">
        <f t="shared" si="0"/>
        <v>-32525.841</v>
      </c>
      <c r="I63" s="14">
        <f t="shared" si="1"/>
        <v>-304351.98499999999</v>
      </c>
      <c r="J63" s="8" t="s">
        <v>47</v>
      </c>
      <c r="K63" s="8"/>
      <c r="M63" s="339"/>
      <c r="N63" s="315"/>
    </row>
    <row r="64" spans="1:14" s="9" customFormat="1" ht="11.25" x14ac:dyDescent="0.2">
      <c r="A64" s="10">
        <v>28230000</v>
      </c>
      <c r="B64" s="10" t="s">
        <v>263</v>
      </c>
      <c r="C64" s="11">
        <v>-43130.395000000004</v>
      </c>
      <c r="D64" s="11">
        <v>0</v>
      </c>
      <c r="E64" s="11">
        <v>0</v>
      </c>
      <c r="F64" s="13">
        <f>SUMIF('OD 05-24'!A:A,A64,'OD 05-24'!D:D)</f>
        <v>20608.751</v>
      </c>
      <c r="G64" s="13">
        <f>SUMIF('OD 05-24'!A:A,A64,'OD 05-24'!E:E)</f>
        <v>31489.710999999999</v>
      </c>
      <c r="H64" s="14">
        <f t="shared" si="0"/>
        <v>-10880.96</v>
      </c>
      <c r="I64" s="14">
        <f t="shared" si="1"/>
        <v>-54011.355000000003</v>
      </c>
      <c r="J64" s="8" t="s">
        <v>47</v>
      </c>
      <c r="K64" s="8"/>
      <c r="M64" s="339"/>
      <c r="N64" s="315"/>
    </row>
    <row r="65" spans="1:14" s="9" customFormat="1" ht="11.25" x14ac:dyDescent="0.2">
      <c r="A65" s="10">
        <v>28231000</v>
      </c>
      <c r="B65" s="10" t="s">
        <v>402</v>
      </c>
      <c r="C65" s="11">
        <v>0</v>
      </c>
      <c r="D65" s="11">
        <v>0</v>
      </c>
      <c r="E65" s="11">
        <v>0</v>
      </c>
      <c r="F65" s="13">
        <f>SUMIF('OD 05-24'!A:A,A65,'OD 05-24'!D:D)</f>
        <v>655.44200000000001</v>
      </c>
      <c r="G65" s="13">
        <f>SUMIF('OD 05-24'!A:A,A65,'OD 05-24'!E:E)</f>
        <v>972.13900000000001</v>
      </c>
      <c r="H65" s="14">
        <f t="shared" si="0"/>
        <v>-316.697</v>
      </c>
      <c r="I65" s="14">
        <f t="shared" si="1"/>
        <v>-316.697</v>
      </c>
      <c r="J65" s="8" t="s">
        <v>47</v>
      </c>
      <c r="K65" s="8"/>
      <c r="M65" s="339"/>
      <c r="N65" s="315"/>
    </row>
    <row r="66" spans="1:14" s="9" customFormat="1" ht="11.25" x14ac:dyDescent="0.2">
      <c r="A66" s="10">
        <v>28234000</v>
      </c>
      <c r="B66" s="10" t="s">
        <v>51</v>
      </c>
      <c r="C66" s="11">
        <v>-15867226.817000002</v>
      </c>
      <c r="D66" s="11">
        <v>308083.82999999996</v>
      </c>
      <c r="E66" s="11">
        <v>0</v>
      </c>
      <c r="F66" s="13">
        <f>SUMIF('OD 05-24'!A:A,A66,'OD 05-24'!D:D)</f>
        <v>1338126.7520000001</v>
      </c>
      <c r="G66" s="13">
        <f>SUMIF('OD 05-24'!A:A,A66,'OD 05-24'!E:E)</f>
        <v>2020542.3559999999</v>
      </c>
      <c r="H66" s="14">
        <f t="shared" si="0"/>
        <v>-374331.77399999998</v>
      </c>
      <c r="I66" s="14">
        <f t="shared" si="1"/>
        <v>-16241558.591000002</v>
      </c>
      <c r="J66" s="8" t="s">
        <v>47</v>
      </c>
      <c r="K66" s="8"/>
      <c r="M66" s="339"/>
      <c r="N66" s="315"/>
    </row>
    <row r="67" spans="1:14" s="9" customFormat="1" ht="11.25" x14ac:dyDescent="0.2">
      <c r="A67" s="10">
        <v>28235000</v>
      </c>
      <c r="B67" s="10" t="s">
        <v>52</v>
      </c>
      <c r="C67" s="11">
        <v>-355370.76600000006</v>
      </c>
      <c r="D67" s="11">
        <v>0</v>
      </c>
      <c r="E67" s="11">
        <v>0</v>
      </c>
      <c r="F67" s="13">
        <f>SUMIF('OD 05-24'!A:A,A67,'OD 05-24'!D:D)</f>
        <v>47110.33</v>
      </c>
      <c r="G67" s="13">
        <f>SUMIF('OD 05-24'!A:A,A67,'OD 05-24'!E:E)</f>
        <v>71258.508000000002</v>
      </c>
      <c r="H67" s="14">
        <f t="shared" ref="H67:H130" si="2">+D67+F67-E67-G67</f>
        <v>-24148.178</v>
      </c>
      <c r="I67" s="14">
        <f t="shared" ref="I67:I130" si="3">+H67+C67</f>
        <v>-379518.94400000008</v>
      </c>
      <c r="J67" s="8" t="s">
        <v>47</v>
      </c>
      <c r="K67" s="8"/>
      <c r="M67" s="339"/>
      <c r="N67" s="315"/>
    </row>
    <row r="68" spans="1:14" s="9" customFormat="1" ht="11.25" x14ac:dyDescent="0.2">
      <c r="A68" s="10">
        <v>28237000</v>
      </c>
      <c r="B68" s="10" t="s">
        <v>53</v>
      </c>
      <c r="C68" s="11">
        <v>-756166.84899999993</v>
      </c>
      <c r="D68" s="11">
        <v>0</v>
      </c>
      <c r="E68" s="11">
        <v>0</v>
      </c>
      <c r="F68" s="13">
        <f>SUMIF('OD 05-24'!A:A,A68,'OD 05-24'!D:D)</f>
        <v>19970.323</v>
      </c>
      <c r="G68" s="13">
        <f>SUMIF('OD 05-24'!A:A,A68,'OD 05-24'!E:E)</f>
        <v>43923.514999999999</v>
      </c>
      <c r="H68" s="14">
        <f t="shared" si="2"/>
        <v>-23953.191999999999</v>
      </c>
      <c r="I68" s="14">
        <f t="shared" si="3"/>
        <v>-780120.04099999997</v>
      </c>
      <c r="J68" s="8" t="s">
        <v>47</v>
      </c>
      <c r="K68" s="8"/>
      <c r="M68" s="339"/>
      <c r="N68" s="315"/>
    </row>
    <row r="69" spans="1:14" s="9" customFormat="1" ht="11.25" x14ac:dyDescent="0.2">
      <c r="A69" s="10">
        <v>28240000</v>
      </c>
      <c r="B69" s="10" t="s">
        <v>54</v>
      </c>
      <c r="C69" s="11">
        <v>-641382.64299999992</v>
      </c>
      <c r="D69" s="11">
        <v>30121.977999999996</v>
      </c>
      <c r="E69" s="11">
        <v>0</v>
      </c>
      <c r="F69" s="13">
        <f>SUMIF('OD 05-24'!A:A,A69,'OD 05-24'!D:D)</f>
        <v>132266.47</v>
      </c>
      <c r="G69" s="13">
        <f>SUMIF('OD 05-24'!A:A,A69,'OD 05-24'!E:E)</f>
        <v>218974.853</v>
      </c>
      <c r="H69" s="14">
        <f t="shared" si="2"/>
        <v>-56586.404999999999</v>
      </c>
      <c r="I69" s="14">
        <f t="shared" si="3"/>
        <v>-697969.04799999995</v>
      </c>
      <c r="J69" s="8" t="s">
        <v>47</v>
      </c>
      <c r="K69" s="8"/>
      <c r="M69" s="339"/>
      <c r="N69" s="315"/>
    </row>
    <row r="70" spans="1:14" s="9" customFormat="1" ht="11.25" x14ac:dyDescent="0.2">
      <c r="A70" s="10">
        <v>28282000</v>
      </c>
      <c r="B70" s="10" t="s">
        <v>55</v>
      </c>
      <c r="C70" s="11">
        <v>-227110.92800000001</v>
      </c>
      <c r="D70" s="11">
        <v>0</v>
      </c>
      <c r="E70" s="11">
        <v>0</v>
      </c>
      <c r="F70" s="13">
        <f>SUMIF('OD 05-24'!A:A,A70,'OD 05-24'!D:D)</f>
        <v>44330.873</v>
      </c>
      <c r="G70" s="13">
        <f>SUMIF('OD 05-24'!A:A,A70,'OD 05-24'!E:E)</f>
        <v>66760.608999999997</v>
      </c>
      <c r="H70" s="14">
        <f t="shared" si="2"/>
        <v>-22429.735999999997</v>
      </c>
      <c r="I70" s="14">
        <f t="shared" si="3"/>
        <v>-249540.66400000002</v>
      </c>
      <c r="J70" s="8" t="s">
        <v>47</v>
      </c>
      <c r="K70" s="8"/>
      <c r="M70" s="339"/>
      <c r="N70" s="315"/>
    </row>
    <row r="71" spans="1:14" s="9" customFormat="1" ht="11.25" x14ac:dyDescent="0.2">
      <c r="A71" s="10">
        <v>28283000</v>
      </c>
      <c r="B71" s="10" t="s">
        <v>264</v>
      </c>
      <c r="C71" s="11">
        <v>-129025.63500000001</v>
      </c>
      <c r="D71" s="11">
        <v>0</v>
      </c>
      <c r="E71" s="11">
        <v>0</v>
      </c>
      <c r="F71" s="13">
        <f>SUMIF('OD 05-24'!A:A,A71,'OD 05-24'!D:D)</f>
        <v>37613.790999999997</v>
      </c>
      <c r="G71" s="13">
        <f>SUMIF('OD 05-24'!A:A,A71,'OD 05-24'!E:E)</f>
        <v>56807.434000000001</v>
      </c>
      <c r="H71" s="14">
        <f t="shared" si="2"/>
        <v>-19193.643000000004</v>
      </c>
      <c r="I71" s="14">
        <f t="shared" si="3"/>
        <v>-148219.27800000002</v>
      </c>
      <c r="J71" s="8" t="s">
        <v>47</v>
      </c>
      <c r="K71" s="8"/>
      <c r="M71" s="339"/>
      <c r="N71" s="315"/>
    </row>
    <row r="72" spans="1:14" s="9" customFormat="1" ht="11.25" x14ac:dyDescent="0.2">
      <c r="A72" s="10">
        <v>28400000</v>
      </c>
      <c r="B72" s="10" t="s">
        <v>56</v>
      </c>
      <c r="C72" s="11">
        <v>-480076.72500000009</v>
      </c>
      <c r="D72" s="11">
        <v>94339.096999999994</v>
      </c>
      <c r="E72" s="11">
        <v>0</v>
      </c>
      <c r="F72" s="13">
        <f>SUMIF('OD 05-24'!A:A,A72,'OD 05-24'!D:D)</f>
        <v>99628.767000000007</v>
      </c>
      <c r="G72" s="13">
        <f>SUMIF('OD 05-24'!A:A,A72,'OD 05-24'!E:E)</f>
        <v>163396.20300000001</v>
      </c>
      <c r="H72" s="14">
        <f t="shared" si="2"/>
        <v>30571.660999999993</v>
      </c>
      <c r="I72" s="14">
        <f t="shared" si="3"/>
        <v>-449505.06400000013</v>
      </c>
      <c r="J72" s="8" t="s">
        <v>47</v>
      </c>
      <c r="K72" s="8"/>
      <c r="M72" s="339"/>
      <c r="N72" s="315"/>
    </row>
    <row r="73" spans="1:14" s="9" customFormat="1" ht="11.25" x14ac:dyDescent="0.2">
      <c r="A73" s="10">
        <v>29220000</v>
      </c>
      <c r="B73" s="10" t="s">
        <v>297</v>
      </c>
      <c r="C73" s="11">
        <v>0</v>
      </c>
      <c r="D73" s="11">
        <v>0</v>
      </c>
      <c r="E73" s="11">
        <v>0</v>
      </c>
      <c r="F73" s="13">
        <f>SUMIF('OD 05-24'!A:A,A73,'OD 05-24'!D:D)</f>
        <v>0</v>
      </c>
      <c r="G73" s="13">
        <f>SUMIF('OD 05-24'!A:A,A73,'OD 05-24'!E:E)</f>
        <v>0</v>
      </c>
      <c r="H73" s="14">
        <f t="shared" si="2"/>
        <v>0</v>
      </c>
      <c r="I73" s="14">
        <f t="shared" si="3"/>
        <v>0</v>
      </c>
      <c r="J73" s="8"/>
      <c r="K73" s="8"/>
      <c r="M73" s="339"/>
      <c r="N73" s="315"/>
    </row>
    <row r="74" spans="1:14" s="9" customFormat="1" ht="11.25" x14ac:dyDescent="0.2">
      <c r="A74" s="10">
        <v>29234000</v>
      </c>
      <c r="B74" s="10" t="s">
        <v>388</v>
      </c>
      <c r="C74" s="11">
        <v>-223876.883</v>
      </c>
      <c r="D74" s="11">
        <v>59797.479000000007</v>
      </c>
      <c r="E74" s="11">
        <v>0</v>
      </c>
      <c r="F74" s="13">
        <f>SUMIF('OD 05-24'!A:A,A74,'OD 05-24'!D:D)</f>
        <v>0</v>
      </c>
      <c r="G74" s="13">
        <f>SUMIF('OD 05-24'!A:A,A74,'OD 05-24'!E:E)</f>
        <v>0</v>
      </c>
      <c r="H74" s="14">
        <f t="shared" si="2"/>
        <v>59797.479000000007</v>
      </c>
      <c r="I74" s="14">
        <f t="shared" si="3"/>
        <v>-164079.40399999998</v>
      </c>
      <c r="J74" s="8" t="s">
        <v>401</v>
      </c>
      <c r="K74" s="8"/>
      <c r="M74" s="339"/>
      <c r="N74" s="315"/>
    </row>
    <row r="75" spans="1:14" s="9" customFormat="1" ht="11.25" x14ac:dyDescent="0.2">
      <c r="A75" s="10">
        <v>29235000</v>
      </c>
      <c r="B75" s="10" t="s">
        <v>389</v>
      </c>
      <c r="C75" s="11">
        <v>-8171.429000000001</v>
      </c>
      <c r="D75" s="11">
        <v>0</v>
      </c>
      <c r="E75" s="11">
        <v>0</v>
      </c>
      <c r="F75" s="13">
        <f>SUMIF('OD 05-24'!A:A,A75,'OD 05-24'!D:D)</f>
        <v>0</v>
      </c>
      <c r="G75" s="13">
        <f>SUMIF('OD 05-24'!A:A,A75,'OD 05-24'!E:E)</f>
        <v>0</v>
      </c>
      <c r="H75" s="14">
        <f t="shared" si="2"/>
        <v>0</v>
      </c>
      <c r="I75" s="14">
        <f t="shared" si="3"/>
        <v>-8171.429000000001</v>
      </c>
      <c r="J75" s="8" t="s">
        <v>401</v>
      </c>
      <c r="K75" s="8"/>
      <c r="M75" s="339"/>
      <c r="N75" s="315"/>
    </row>
    <row r="76" spans="1:14" s="9" customFormat="1" ht="11.25" x14ac:dyDescent="0.2">
      <c r="A76" s="10">
        <v>29282000</v>
      </c>
      <c r="B76" s="10" t="s">
        <v>298</v>
      </c>
      <c r="C76" s="11">
        <v>0</v>
      </c>
      <c r="D76" s="11">
        <v>0</v>
      </c>
      <c r="E76" s="11">
        <v>0</v>
      </c>
      <c r="F76" s="13">
        <f>SUMIF('OD 05-24'!A:A,A76,'OD 05-24'!D:D)</f>
        <v>0</v>
      </c>
      <c r="G76" s="13">
        <f>SUMIF('OD 05-24'!A:A,A76,'OD 05-24'!E:E)</f>
        <v>0</v>
      </c>
      <c r="H76" s="14">
        <f t="shared" si="2"/>
        <v>0</v>
      </c>
      <c r="I76" s="14">
        <f t="shared" si="3"/>
        <v>0</v>
      </c>
      <c r="J76" s="8"/>
      <c r="K76" s="8"/>
      <c r="M76" s="339"/>
      <c r="N76" s="315"/>
    </row>
    <row r="77" spans="1:14" s="9" customFormat="1" ht="11.25" x14ac:dyDescent="0.2">
      <c r="A77" s="10">
        <v>29286500</v>
      </c>
      <c r="B77" s="10" t="s">
        <v>299</v>
      </c>
      <c r="C77" s="11">
        <v>0</v>
      </c>
      <c r="D77" s="11">
        <v>0</v>
      </c>
      <c r="E77" s="11">
        <v>0</v>
      </c>
      <c r="F77" s="13">
        <f>SUMIF('OD 05-24'!A:A,A77,'OD 05-24'!D:D)</f>
        <v>0</v>
      </c>
      <c r="G77" s="13">
        <f>SUMIF('OD 05-24'!A:A,A77,'OD 05-24'!E:E)</f>
        <v>0</v>
      </c>
      <c r="H77" s="14">
        <f t="shared" si="2"/>
        <v>0</v>
      </c>
      <c r="I77" s="14">
        <f t="shared" si="3"/>
        <v>0</v>
      </c>
      <c r="J77" s="8" t="s">
        <v>25</v>
      </c>
      <c r="K77" s="8"/>
      <c r="M77" s="339"/>
      <c r="N77" s="315"/>
    </row>
    <row r="78" spans="1:14" s="9" customFormat="1" ht="11.25" x14ac:dyDescent="0.2">
      <c r="A78" s="10">
        <v>29700000</v>
      </c>
      <c r="B78" s="10" t="s">
        <v>57</v>
      </c>
      <c r="C78" s="11">
        <v>-29257.384999999998</v>
      </c>
      <c r="D78" s="11">
        <v>0</v>
      </c>
      <c r="E78" s="11">
        <v>0</v>
      </c>
      <c r="F78" s="13">
        <f>SUMIF('OD 05-24'!A:A,A78,'OD 05-24'!D:D)</f>
        <v>0</v>
      </c>
      <c r="G78" s="13">
        <f>SUMIF('OD 05-24'!A:A,A78,'OD 05-24'!E:E)</f>
        <v>0</v>
      </c>
      <c r="H78" s="14">
        <f t="shared" si="2"/>
        <v>0</v>
      </c>
      <c r="I78" s="14">
        <f t="shared" si="3"/>
        <v>-29257.384999999998</v>
      </c>
      <c r="J78" s="8" t="s">
        <v>58</v>
      </c>
      <c r="K78" s="8"/>
      <c r="M78" s="339"/>
      <c r="N78" s="315"/>
    </row>
    <row r="79" spans="1:14" s="9" customFormat="1" ht="11.25" x14ac:dyDescent="0.2">
      <c r="A79" s="10">
        <v>31100000</v>
      </c>
      <c r="B79" s="10" t="s">
        <v>59</v>
      </c>
      <c r="C79" s="11">
        <v>9520075.0200000107</v>
      </c>
      <c r="D79" s="11">
        <v>0</v>
      </c>
      <c r="E79" s="11">
        <v>9520075.0199999996</v>
      </c>
      <c r="F79" s="13">
        <f>SUMIF('OD 05-24'!A:A,A79,'OD 05-24'!D:D)</f>
        <v>77012658.370100006</v>
      </c>
      <c r="G79" s="13">
        <f>SUMIF('OD 05-24'!A:A,A79,'OD 05-24'!E:E)</f>
        <v>67358764.827099994</v>
      </c>
      <c r="H79" s="14">
        <f t="shared" si="2"/>
        <v>133818.52300001681</v>
      </c>
      <c r="I79" s="14">
        <f t="shared" si="3"/>
        <v>9653893.5430000275</v>
      </c>
      <c r="J79" s="8" t="s">
        <v>60</v>
      </c>
      <c r="K79" s="8"/>
      <c r="M79" s="339"/>
      <c r="N79" s="315"/>
    </row>
    <row r="80" spans="1:14" s="9" customFormat="1" ht="11.25" x14ac:dyDescent="0.2">
      <c r="A80" s="10">
        <v>31200000</v>
      </c>
      <c r="B80" s="10" t="s">
        <v>390</v>
      </c>
      <c r="C80" s="11">
        <v>1881173.9139999996</v>
      </c>
      <c r="D80" s="11">
        <v>0</v>
      </c>
      <c r="E80" s="11">
        <v>1881173.9140000001</v>
      </c>
      <c r="F80" s="13">
        <f>SUMIF('OD 05-24'!A:A,A80,'OD 05-24'!D:D)</f>
        <v>3111337.3169999998</v>
      </c>
      <c r="G80" s="13">
        <f>SUMIF('OD 05-24'!A:A,A80,'OD 05-24'!E:E)</f>
        <v>3111337.3169999998</v>
      </c>
      <c r="H80" s="14">
        <f t="shared" si="2"/>
        <v>-1881173.9140000001</v>
      </c>
      <c r="I80" s="14">
        <f t="shared" si="3"/>
        <v>0</v>
      </c>
      <c r="J80" s="8" t="s">
        <v>60</v>
      </c>
      <c r="K80" s="8"/>
      <c r="M80" s="339"/>
      <c r="N80" s="315"/>
    </row>
    <row r="81" spans="1:14" s="9" customFormat="1" ht="11.25" x14ac:dyDescent="0.2">
      <c r="A81" s="10">
        <v>32200000</v>
      </c>
      <c r="B81" s="10" t="s">
        <v>61</v>
      </c>
      <c r="C81" s="11">
        <v>662156.42899999954</v>
      </c>
      <c r="D81" s="11">
        <v>0</v>
      </c>
      <c r="E81" s="11">
        <v>662156.429</v>
      </c>
      <c r="F81" s="13">
        <f>SUMIF('OD 05-24'!A:A,A81,'OD 05-24'!D:D)</f>
        <v>5208259.3365000002</v>
      </c>
      <c r="G81" s="13">
        <f>SUMIF('OD 05-24'!A:A,A81,'OD 05-24'!E:E)</f>
        <v>4515833.4694999997</v>
      </c>
      <c r="H81" s="14">
        <f t="shared" si="2"/>
        <v>30269.438000001013</v>
      </c>
      <c r="I81" s="14">
        <f t="shared" si="3"/>
        <v>692425.86700000055</v>
      </c>
      <c r="J81" s="8" t="s">
        <v>60</v>
      </c>
      <c r="K81" s="8"/>
      <c r="M81" s="339"/>
      <c r="N81" s="315"/>
    </row>
    <row r="82" spans="1:14" s="9" customFormat="1" ht="11.25" x14ac:dyDescent="0.2">
      <c r="A82" s="10">
        <v>33100000</v>
      </c>
      <c r="B82" s="10" t="s">
        <v>62</v>
      </c>
      <c r="C82" s="11">
        <v>3435380.2890000008</v>
      </c>
      <c r="D82" s="11">
        <v>0</v>
      </c>
      <c r="E82" s="11">
        <v>3435380.2889999999</v>
      </c>
      <c r="F82" s="13">
        <f>SUMIF('OD 05-24'!A:A,A82,'OD 05-24'!D:D)</f>
        <v>29111152.112799998</v>
      </c>
      <c r="G82" s="13">
        <f>SUMIF('OD 05-24'!A:A,A82,'OD 05-24'!E:E)</f>
        <v>24805877.481800001</v>
      </c>
      <c r="H82" s="14">
        <f t="shared" si="2"/>
        <v>869894.34199999645</v>
      </c>
      <c r="I82" s="14">
        <f t="shared" si="3"/>
        <v>4305274.6309999973</v>
      </c>
      <c r="J82" s="8" t="s">
        <v>60</v>
      </c>
      <c r="K82" s="8"/>
      <c r="M82" s="339"/>
      <c r="N82" s="315"/>
    </row>
    <row r="83" spans="1:14" s="9" customFormat="1" ht="11.25" x14ac:dyDescent="0.2">
      <c r="A83" s="10">
        <v>33500000</v>
      </c>
      <c r="B83" s="10" t="s">
        <v>300</v>
      </c>
      <c r="C83" s="11">
        <v>0</v>
      </c>
      <c r="D83" s="11">
        <v>0</v>
      </c>
      <c r="E83" s="11">
        <v>0</v>
      </c>
      <c r="F83" s="13">
        <f>SUMIF('OD 05-24'!A:A,A83,'OD 05-24'!D:D)</f>
        <v>0</v>
      </c>
      <c r="G83" s="13">
        <f>SUMIF('OD 05-24'!A:A,A83,'OD 05-24'!E:E)</f>
        <v>0</v>
      </c>
      <c r="H83" s="14">
        <f t="shared" si="2"/>
        <v>0</v>
      </c>
      <c r="I83" s="14">
        <f t="shared" si="3"/>
        <v>0</v>
      </c>
      <c r="J83" s="8"/>
      <c r="K83" s="8"/>
      <c r="M83" s="339"/>
      <c r="N83" s="315"/>
    </row>
    <row r="84" spans="1:14" s="9" customFormat="1" ht="11.25" x14ac:dyDescent="0.2">
      <c r="A84" s="10">
        <v>34100000</v>
      </c>
      <c r="B84" s="10" t="s">
        <v>301</v>
      </c>
      <c r="C84" s="11">
        <v>0</v>
      </c>
      <c r="D84" s="11">
        <v>0</v>
      </c>
      <c r="E84" s="11">
        <v>0</v>
      </c>
      <c r="F84" s="13">
        <f>SUMIF('OD 05-24'!A:A,A84,'OD 05-24'!D:D)</f>
        <v>0</v>
      </c>
      <c r="G84" s="13">
        <f>SUMIF('OD 05-24'!A:A,A84,'OD 05-24'!E:E)</f>
        <v>0</v>
      </c>
      <c r="H84" s="14">
        <f t="shared" si="2"/>
        <v>0</v>
      </c>
      <c r="I84" s="14">
        <f t="shared" si="3"/>
        <v>0</v>
      </c>
      <c r="J84" s="8"/>
      <c r="K84" s="8"/>
      <c r="M84" s="339"/>
      <c r="N84" s="315"/>
    </row>
    <row r="85" spans="1:14" s="9" customFormat="1" ht="11.25" x14ac:dyDescent="0.2">
      <c r="A85" s="10">
        <v>35500000</v>
      </c>
      <c r="B85" s="10" t="s">
        <v>63</v>
      </c>
      <c r="C85" s="11">
        <v>1674504.0189999994</v>
      </c>
      <c r="D85" s="11">
        <v>0</v>
      </c>
      <c r="E85" s="11">
        <v>1674504.0190000001</v>
      </c>
      <c r="F85" s="13">
        <f>SUMIF('OD 05-24'!A:A,A85,'OD 05-24'!D:D)</f>
        <v>13834876.142999999</v>
      </c>
      <c r="G85" s="13">
        <f>SUMIF('OD 05-24'!A:A,A85,'OD 05-24'!E:E)</f>
        <v>11533059.295</v>
      </c>
      <c r="H85" s="14">
        <f t="shared" si="2"/>
        <v>627312.82899999991</v>
      </c>
      <c r="I85" s="14">
        <f t="shared" si="3"/>
        <v>2301816.8479999993</v>
      </c>
      <c r="J85" s="8" t="s">
        <v>60</v>
      </c>
      <c r="K85" s="8"/>
      <c r="M85" s="339"/>
      <c r="N85" s="315"/>
    </row>
    <row r="86" spans="1:14" s="9" customFormat="1" ht="11.25" x14ac:dyDescent="0.2">
      <c r="A86" s="10">
        <v>39000000</v>
      </c>
      <c r="B86" s="10" t="s">
        <v>64</v>
      </c>
      <c r="C86" s="11">
        <v>-208158.11300000001</v>
      </c>
      <c r="D86" s="11">
        <v>0</v>
      </c>
      <c r="E86" s="11">
        <v>0</v>
      </c>
      <c r="F86" s="13">
        <f>SUMIF('OD 05-24'!A:A,A86,'OD 05-24'!D:D)</f>
        <v>0</v>
      </c>
      <c r="G86" s="13">
        <f>SUMIF('OD 05-24'!A:A,A86,'OD 05-24'!E:E)</f>
        <v>150000</v>
      </c>
      <c r="H86" s="14">
        <f t="shared" si="2"/>
        <v>-150000</v>
      </c>
      <c r="I86" s="14">
        <f t="shared" si="3"/>
        <v>-358158.11300000001</v>
      </c>
      <c r="J86" s="8" t="s">
        <v>65</v>
      </c>
      <c r="K86" s="8"/>
      <c r="M86" s="339"/>
      <c r="N86" s="315"/>
    </row>
    <row r="87" spans="1:14" s="9" customFormat="1" ht="11.25" x14ac:dyDescent="0.2">
      <c r="A87" s="10">
        <v>40100000</v>
      </c>
      <c r="B87" s="10" t="s">
        <v>66</v>
      </c>
      <c r="C87" s="11">
        <v>-2875441.9530395269</v>
      </c>
      <c r="D87" s="11">
        <v>22925992.417049997</v>
      </c>
      <c r="E87" s="11">
        <v>21118972.670899499</v>
      </c>
      <c r="F87" s="13">
        <f>SUMIF('OD 05-24'!A:A,A87,'OD 05-24'!D:D)</f>
        <v>0</v>
      </c>
      <c r="G87" s="13">
        <f>SUMIF('OD 05-24'!A:A,A87,'OD 05-24'!E:E)</f>
        <v>0</v>
      </c>
      <c r="H87" s="14">
        <f t="shared" si="2"/>
        <v>1807019.7461504973</v>
      </c>
      <c r="I87" s="14">
        <f t="shared" si="3"/>
        <v>-1068422.2068890296</v>
      </c>
      <c r="J87" s="8" t="s">
        <v>67</v>
      </c>
      <c r="K87" s="8"/>
      <c r="M87" s="339"/>
      <c r="N87" s="315"/>
    </row>
    <row r="88" spans="1:14" s="9" customFormat="1" ht="11.25" x14ac:dyDescent="0.2">
      <c r="A88" s="10">
        <v>40300000</v>
      </c>
      <c r="B88" s="10" t="s">
        <v>68</v>
      </c>
      <c r="C88" s="11">
        <v>-970419.35000000149</v>
      </c>
      <c r="D88" s="11">
        <v>1540311.8969999999</v>
      </c>
      <c r="E88" s="11">
        <v>821365.85400000005</v>
      </c>
      <c r="F88" s="13">
        <f>SUMIF('OD 05-24'!A:A,A88,'OD 05-24'!D:D)</f>
        <v>0</v>
      </c>
      <c r="G88" s="13">
        <f>SUMIF('OD 05-24'!A:A,A88,'OD 05-24'!E:E)</f>
        <v>0</v>
      </c>
      <c r="H88" s="14">
        <f t="shared" si="2"/>
        <v>718946.04299999983</v>
      </c>
      <c r="I88" s="14">
        <f t="shared" si="3"/>
        <v>-251473.30700000166</v>
      </c>
      <c r="J88" s="8" t="s">
        <v>67</v>
      </c>
      <c r="K88" s="8"/>
      <c r="M88" s="339"/>
      <c r="N88" s="315"/>
    </row>
    <row r="89" spans="1:14" s="9" customFormat="1" ht="11.25" x14ac:dyDescent="0.2">
      <c r="A89" s="10">
        <v>40301000</v>
      </c>
      <c r="B89" s="10" t="s">
        <v>302</v>
      </c>
      <c r="C89" s="11">
        <v>0</v>
      </c>
      <c r="D89" s="11">
        <v>0</v>
      </c>
      <c r="E89" s="11">
        <v>0</v>
      </c>
      <c r="F89" s="13">
        <f>SUMIF('OD 05-24'!A:A,A89,'OD 05-24'!D:D)</f>
        <v>0</v>
      </c>
      <c r="G89" s="13">
        <f>SUMIF('OD 05-24'!A:A,A89,'OD 05-24'!E:E)</f>
        <v>0</v>
      </c>
      <c r="H89" s="14">
        <f t="shared" si="2"/>
        <v>0</v>
      </c>
      <c r="I89" s="14">
        <f t="shared" si="3"/>
        <v>0</v>
      </c>
      <c r="J89" s="8"/>
      <c r="K89" s="8"/>
      <c r="M89" s="339"/>
      <c r="N89" s="315"/>
    </row>
    <row r="90" spans="1:14" s="9" customFormat="1" ht="11.25" x14ac:dyDescent="0.2">
      <c r="A90" s="10">
        <v>40400000</v>
      </c>
      <c r="B90" s="10" t="s">
        <v>69</v>
      </c>
      <c r="C90" s="11">
        <v>9.999983012676239E-5</v>
      </c>
      <c r="D90" s="11">
        <v>0</v>
      </c>
      <c r="E90" s="11">
        <v>0</v>
      </c>
      <c r="F90" s="13">
        <f>SUMIF('OD 05-24'!A:A,A90,'OD 05-24'!D:D)</f>
        <v>0</v>
      </c>
      <c r="G90" s="13">
        <f>SUMIF('OD 05-24'!A:A,A90,'OD 05-24'!E:E)</f>
        <v>0</v>
      </c>
      <c r="H90" s="14">
        <f t="shared" si="2"/>
        <v>0</v>
      </c>
      <c r="I90" s="14">
        <f t="shared" si="3"/>
        <v>9.999983012676239E-5</v>
      </c>
      <c r="J90" s="8"/>
      <c r="K90" s="8"/>
      <c r="M90" s="339"/>
      <c r="N90" s="315"/>
    </row>
    <row r="91" spans="1:14" s="9" customFormat="1" ht="11.25" x14ac:dyDescent="0.2">
      <c r="A91" s="10">
        <v>40470000</v>
      </c>
      <c r="B91" s="10" t="s">
        <v>303</v>
      </c>
      <c r="C91" s="11">
        <v>0</v>
      </c>
      <c r="D91" s="11">
        <v>0</v>
      </c>
      <c r="E91" s="11">
        <v>0</v>
      </c>
      <c r="F91" s="13">
        <f>SUMIF('OD 05-24'!A:A,A91,'OD 05-24'!D:D)</f>
        <v>0</v>
      </c>
      <c r="G91" s="13">
        <f>SUMIF('OD 05-24'!A:A,A91,'OD 05-24'!E:E)</f>
        <v>0</v>
      </c>
      <c r="H91" s="14">
        <f t="shared" si="2"/>
        <v>0</v>
      </c>
      <c r="I91" s="14">
        <f t="shared" si="3"/>
        <v>0</v>
      </c>
      <c r="J91" s="8"/>
      <c r="K91" s="8"/>
      <c r="M91" s="339"/>
      <c r="N91" s="315"/>
    </row>
    <row r="92" spans="1:14" s="9" customFormat="1" ht="11.25" x14ac:dyDescent="0.2">
      <c r="A92" s="10">
        <v>40600000</v>
      </c>
      <c r="B92" s="10" t="s">
        <v>70</v>
      </c>
      <c r="C92" s="11">
        <v>-3111690.4287486374</v>
      </c>
      <c r="D92" s="11">
        <v>3823893.1054025004</v>
      </c>
      <c r="E92" s="11">
        <v>2796696.3104349999</v>
      </c>
      <c r="F92" s="13">
        <f>SUMIF('OD 05-24'!A:A,A92,'OD 05-24'!D:D)</f>
        <v>1210085.723</v>
      </c>
      <c r="G92" s="13">
        <f>SUMIF('OD 05-24'!A:A,A92,'OD 05-24'!E:E)</f>
        <v>1070340.0279999999</v>
      </c>
      <c r="H92" s="14">
        <f t="shared" si="2"/>
        <v>1166942.4899675008</v>
      </c>
      <c r="I92" s="14">
        <f t="shared" si="3"/>
        <v>-1944747.9387811366</v>
      </c>
      <c r="J92" s="8" t="s">
        <v>67</v>
      </c>
      <c r="K92" s="8"/>
      <c r="M92" s="339"/>
      <c r="N92" s="315"/>
    </row>
    <row r="93" spans="1:14" s="9" customFormat="1" ht="11.25" x14ac:dyDescent="0.2">
      <c r="A93" s="10">
        <v>40800000</v>
      </c>
      <c r="B93" s="10" t="s">
        <v>71</v>
      </c>
      <c r="C93" s="11">
        <v>-4980</v>
      </c>
      <c r="D93" s="11">
        <v>0</v>
      </c>
      <c r="E93" s="11">
        <v>0</v>
      </c>
      <c r="F93" s="13">
        <f>SUMIF('OD 05-24'!A:A,A93,'OD 05-24'!D:D)</f>
        <v>0</v>
      </c>
      <c r="G93" s="13">
        <f>SUMIF('OD 05-24'!A:A,A93,'OD 05-24'!E:E)</f>
        <v>0</v>
      </c>
      <c r="H93" s="14">
        <f t="shared" si="2"/>
        <v>0</v>
      </c>
      <c r="I93" s="14">
        <f t="shared" si="3"/>
        <v>-4980</v>
      </c>
      <c r="J93" s="8" t="s">
        <v>67</v>
      </c>
      <c r="K93" s="8"/>
      <c r="M93" s="339"/>
      <c r="N93" s="315"/>
    </row>
    <row r="94" spans="1:14" s="9" customFormat="1" ht="11.25" x14ac:dyDescent="0.2">
      <c r="A94" s="10">
        <v>40810000</v>
      </c>
      <c r="B94" s="10" t="s">
        <v>391</v>
      </c>
      <c r="C94" s="11">
        <v>-41980.576999999997</v>
      </c>
      <c r="D94" s="11">
        <v>40054.247000000003</v>
      </c>
      <c r="E94" s="11">
        <v>3169.0909999999994</v>
      </c>
      <c r="F94" s="13">
        <f>SUMIF('OD 05-24'!A:A,A94,'OD 05-24'!D:D)</f>
        <v>0</v>
      </c>
      <c r="G94" s="13">
        <f>SUMIF('OD 05-24'!A:A,A94,'OD 05-24'!E:E)</f>
        <v>1931.701</v>
      </c>
      <c r="H94" s="14">
        <f t="shared" si="2"/>
        <v>34953.455000000002</v>
      </c>
      <c r="I94" s="14">
        <f t="shared" si="3"/>
        <v>-7027.1219999999958</v>
      </c>
      <c r="J94" s="8" t="s">
        <v>67</v>
      </c>
      <c r="K94" s="8"/>
      <c r="M94" s="339"/>
      <c r="N94" s="315"/>
    </row>
    <row r="95" spans="1:14" s="9" customFormat="1" ht="11.25" x14ac:dyDescent="0.2">
      <c r="A95" s="10">
        <v>40860000</v>
      </c>
      <c r="B95" s="10" t="s">
        <v>304</v>
      </c>
      <c r="C95" s="11">
        <v>0</v>
      </c>
      <c r="D95" s="11">
        <v>0</v>
      </c>
      <c r="E95" s="11">
        <v>0</v>
      </c>
      <c r="F95" s="13">
        <f>SUMIF('OD 05-24'!A:A,A95,'OD 05-24'!D:D)</f>
        <v>0</v>
      </c>
      <c r="G95" s="13">
        <f>SUMIF('OD 05-24'!A:A,A95,'OD 05-24'!E:E)</f>
        <v>0</v>
      </c>
      <c r="H95" s="14">
        <f t="shared" si="2"/>
        <v>0</v>
      </c>
      <c r="I95" s="14">
        <f t="shared" si="3"/>
        <v>0</v>
      </c>
      <c r="J95" s="8"/>
      <c r="K95" s="8"/>
      <c r="M95" s="339"/>
      <c r="N95" s="315"/>
    </row>
    <row r="96" spans="1:14" s="9" customFormat="1" ht="11.25" x14ac:dyDescent="0.2">
      <c r="A96" s="10">
        <v>40910000</v>
      </c>
      <c r="B96" s="10" t="s">
        <v>72</v>
      </c>
      <c r="C96" s="11">
        <v>0</v>
      </c>
      <c r="D96" s="11">
        <v>0</v>
      </c>
      <c r="E96" s="11">
        <v>0</v>
      </c>
      <c r="F96" s="13">
        <f>SUMIF('OD 05-24'!A:A,A96,'OD 05-24'!D:D)</f>
        <v>0</v>
      </c>
      <c r="G96" s="13">
        <f>SUMIF('OD 05-24'!A:A,A96,'OD 05-24'!E:E)</f>
        <v>0</v>
      </c>
      <c r="H96" s="14">
        <f t="shared" si="2"/>
        <v>0</v>
      </c>
      <c r="I96" s="14">
        <f t="shared" si="3"/>
        <v>0</v>
      </c>
      <c r="J96" s="8" t="s">
        <v>78</v>
      </c>
      <c r="K96" s="8"/>
      <c r="M96" s="339"/>
      <c r="N96" s="315"/>
    </row>
    <row r="97" spans="1:14" s="9" customFormat="1" ht="11.25" x14ac:dyDescent="0.2">
      <c r="A97" s="10">
        <v>41100000</v>
      </c>
      <c r="B97" s="10" t="s">
        <v>73</v>
      </c>
      <c r="C97" s="11">
        <v>15614197.010682464</v>
      </c>
      <c r="D97" s="11">
        <v>27976400.019000001</v>
      </c>
      <c r="E97" s="11">
        <f>97298.208+30751982.131</f>
        <v>30849280.339000002</v>
      </c>
      <c r="F97" s="13">
        <f>SUMIF('OD 05-24'!A:A,A97,'OD 05-24'!D:D)</f>
        <v>0</v>
      </c>
      <c r="G97" s="13">
        <f>SUMIF('OD 05-24'!A:A,A97,'OD 05-24'!E:E)</f>
        <v>0</v>
      </c>
      <c r="H97" s="14">
        <f t="shared" si="2"/>
        <v>-2872880.3200000003</v>
      </c>
      <c r="I97" s="14">
        <f t="shared" si="3"/>
        <v>12741316.690682463</v>
      </c>
      <c r="J97" s="8" t="s">
        <v>74</v>
      </c>
      <c r="K97" s="8"/>
      <c r="M97" s="339"/>
      <c r="N97" s="315"/>
    </row>
    <row r="98" spans="1:14" s="9" customFormat="1" ht="11.25" x14ac:dyDescent="0.2">
      <c r="A98" s="10">
        <v>41301000</v>
      </c>
      <c r="B98" s="10" t="s">
        <v>305</v>
      </c>
      <c r="C98" s="11">
        <v>0</v>
      </c>
      <c r="D98" s="11">
        <v>0</v>
      </c>
      <c r="E98" s="11">
        <v>0</v>
      </c>
      <c r="F98" s="13">
        <f>SUMIF('OD 05-24'!A:A,A98,'OD 05-24'!D:D)</f>
        <v>0</v>
      </c>
      <c r="G98" s="13">
        <f>SUMIF('OD 05-24'!A:A,A98,'OD 05-24'!E:E)</f>
        <v>0</v>
      </c>
      <c r="H98" s="14">
        <f t="shared" si="2"/>
        <v>0</v>
      </c>
      <c r="I98" s="14">
        <f t="shared" si="3"/>
        <v>0</v>
      </c>
      <c r="J98" s="8"/>
      <c r="K98" s="8"/>
      <c r="M98" s="339"/>
      <c r="N98" s="315"/>
    </row>
    <row r="99" spans="1:14" s="9" customFormat="1" ht="11.25" x14ac:dyDescent="0.2">
      <c r="A99" s="10">
        <v>41500000</v>
      </c>
      <c r="B99" s="10" t="s">
        <v>75</v>
      </c>
      <c r="C99" s="11">
        <v>3350188.1832604855</v>
      </c>
      <c r="D99" s="11">
        <v>6132284.0609999998</v>
      </c>
      <c r="E99" s="11">
        <v>5305099.4350000005</v>
      </c>
      <c r="F99" s="13">
        <f>SUMIF('OD 05-24'!A:A,A99,'OD 05-24'!D:D)</f>
        <v>3757277.7850000001</v>
      </c>
      <c r="G99" s="13">
        <f>SUMIF('OD 05-24'!A:A,A99,'OD 05-24'!E:E)</f>
        <v>3757277.7850000001</v>
      </c>
      <c r="H99" s="14">
        <f t="shared" si="2"/>
        <v>827184.62600000016</v>
      </c>
      <c r="I99" s="14">
        <f t="shared" si="3"/>
        <v>4177372.8092604857</v>
      </c>
      <c r="J99" s="8" t="s">
        <v>74</v>
      </c>
      <c r="K99" s="8"/>
      <c r="M99" s="339"/>
      <c r="N99" s="315"/>
    </row>
    <row r="100" spans="1:14" s="9" customFormat="1" ht="11.25" x14ac:dyDescent="0.2">
      <c r="A100" s="10">
        <v>41601000</v>
      </c>
      <c r="B100" s="10" t="s">
        <v>306</v>
      </c>
      <c r="C100" s="11">
        <v>0</v>
      </c>
      <c r="D100" s="11">
        <v>0</v>
      </c>
      <c r="E100" s="11">
        <v>0</v>
      </c>
      <c r="F100" s="13">
        <f>SUMIF('OD 05-24'!A:A,A100,'OD 05-24'!D:D)</f>
        <v>0</v>
      </c>
      <c r="G100" s="13">
        <f>SUMIF('OD 05-24'!A:A,A100,'OD 05-24'!E:E)</f>
        <v>0</v>
      </c>
      <c r="H100" s="14">
        <f t="shared" si="2"/>
        <v>0</v>
      </c>
      <c r="I100" s="14">
        <f t="shared" si="3"/>
        <v>0</v>
      </c>
      <c r="J100" s="8"/>
      <c r="K100" s="8"/>
      <c r="M100" s="339"/>
      <c r="N100" s="315"/>
    </row>
    <row r="101" spans="1:14" s="9" customFormat="1" ht="11.25" x14ac:dyDescent="0.2">
      <c r="A101" s="10">
        <v>41800000</v>
      </c>
      <c r="B101" s="10" t="s">
        <v>307</v>
      </c>
      <c r="C101" s="11">
        <v>0</v>
      </c>
      <c r="D101" s="11">
        <v>0</v>
      </c>
      <c r="E101" s="11">
        <v>0</v>
      </c>
      <c r="F101" s="13">
        <f>SUMIF('OD 05-24'!A:A,A101,'OD 05-24'!D:D)</f>
        <v>0</v>
      </c>
      <c r="G101" s="13">
        <f>SUMIF('OD 05-24'!A:A,A101,'OD 05-24'!E:E)</f>
        <v>0</v>
      </c>
      <c r="H101" s="14">
        <f t="shared" si="2"/>
        <v>0</v>
      </c>
      <c r="I101" s="14">
        <f t="shared" si="3"/>
        <v>0</v>
      </c>
      <c r="J101" s="8"/>
      <c r="K101" s="8"/>
      <c r="M101" s="339"/>
      <c r="N101" s="315"/>
    </row>
    <row r="102" spans="1:14" s="9" customFormat="1" ht="11.25" x14ac:dyDescent="0.2">
      <c r="A102" s="10">
        <v>41910000</v>
      </c>
      <c r="B102" s="10" t="s">
        <v>308</v>
      </c>
      <c r="C102" s="11">
        <v>0</v>
      </c>
      <c r="D102" s="11">
        <v>0</v>
      </c>
      <c r="E102" s="11">
        <v>0</v>
      </c>
      <c r="F102" s="13">
        <f>SUMIF('OD 05-24'!A:A,A102,'OD 05-24'!D:D)</f>
        <v>0</v>
      </c>
      <c r="G102" s="13">
        <f>SUMIF('OD 05-24'!A:A,A102,'OD 05-24'!E:E)</f>
        <v>0</v>
      </c>
      <c r="H102" s="14">
        <f t="shared" si="2"/>
        <v>0</v>
      </c>
      <c r="I102" s="14">
        <f t="shared" si="3"/>
        <v>0</v>
      </c>
      <c r="J102" s="8"/>
      <c r="K102" s="8"/>
      <c r="M102" s="339"/>
      <c r="N102" s="315"/>
    </row>
    <row r="103" spans="1:14" s="9" customFormat="1" ht="11.25" x14ac:dyDescent="0.2">
      <c r="A103" s="10">
        <v>42100000</v>
      </c>
      <c r="B103" s="10" t="s">
        <v>76</v>
      </c>
      <c r="C103" s="11">
        <v>0</v>
      </c>
      <c r="D103" s="11">
        <v>240</v>
      </c>
      <c r="E103" s="11">
        <v>240</v>
      </c>
      <c r="F103" s="13">
        <f>SUMIF('OD 05-24'!A:A,A103,'OD 05-24'!D:D)</f>
        <v>0</v>
      </c>
      <c r="G103" s="13">
        <f>SUMIF('OD 05-24'!A:A,A103,'OD 05-24'!E:E)</f>
        <v>0</v>
      </c>
      <c r="H103" s="14">
        <f t="shared" si="2"/>
        <v>0</v>
      </c>
      <c r="I103" s="14">
        <f t="shared" si="3"/>
        <v>0</v>
      </c>
      <c r="J103" s="8"/>
      <c r="K103" s="8"/>
      <c r="M103" s="339"/>
      <c r="N103" s="315"/>
    </row>
    <row r="104" spans="1:14" s="9" customFormat="1" ht="11.25" x14ac:dyDescent="0.2">
      <c r="A104" s="10">
        <v>42110000</v>
      </c>
      <c r="B104" s="10" t="s">
        <v>309</v>
      </c>
      <c r="C104" s="11">
        <v>0</v>
      </c>
      <c r="D104" s="11">
        <v>0</v>
      </c>
      <c r="E104" s="11">
        <v>0</v>
      </c>
      <c r="F104" s="13">
        <f>SUMIF('OD 05-24'!A:A,A104,'OD 05-24'!D:D)</f>
        <v>0</v>
      </c>
      <c r="G104" s="13">
        <f>SUMIF('OD 05-24'!A:A,A104,'OD 05-24'!E:E)</f>
        <v>0</v>
      </c>
      <c r="H104" s="14">
        <f t="shared" si="2"/>
        <v>0</v>
      </c>
      <c r="I104" s="14">
        <f t="shared" si="3"/>
        <v>0</v>
      </c>
      <c r="J104" s="8"/>
      <c r="K104" s="8"/>
      <c r="M104" s="339"/>
      <c r="N104" s="315"/>
    </row>
    <row r="105" spans="1:14" s="9" customFormat="1" ht="11.25" x14ac:dyDescent="0.2">
      <c r="A105" s="10">
        <v>42120000</v>
      </c>
      <c r="B105" s="10" t="s">
        <v>77</v>
      </c>
      <c r="C105" s="11">
        <v>21139.859999999986</v>
      </c>
      <c r="D105" s="11">
        <v>21740</v>
      </c>
      <c r="E105" s="11">
        <v>17229.993999999999</v>
      </c>
      <c r="F105" s="13">
        <f>SUMIF('OD 05-24'!A:A,A105,'OD 05-24'!D:D)</f>
        <v>0</v>
      </c>
      <c r="G105" s="13">
        <f>SUMIF('OD 05-24'!A:A,A105,'OD 05-24'!E:E)</f>
        <v>0</v>
      </c>
      <c r="H105" s="14">
        <f t="shared" si="2"/>
        <v>4510.0060000000012</v>
      </c>
      <c r="I105" s="14">
        <f t="shared" si="3"/>
        <v>25649.865999999987</v>
      </c>
      <c r="J105" s="8" t="s">
        <v>78</v>
      </c>
      <c r="K105" s="8"/>
      <c r="M105" s="339"/>
      <c r="N105" s="315"/>
    </row>
    <row r="106" spans="1:14" s="9" customFormat="1" ht="11.25" x14ac:dyDescent="0.2">
      <c r="A106" s="10">
        <v>42400000</v>
      </c>
      <c r="B106" s="10" t="s">
        <v>79</v>
      </c>
      <c r="C106" s="11">
        <v>0</v>
      </c>
      <c r="D106" s="11">
        <v>0</v>
      </c>
      <c r="E106" s="11">
        <v>0</v>
      </c>
      <c r="F106" s="13">
        <f>SUMIF('OD 05-24'!A:A,A106,'OD 05-24'!D:D)</f>
        <v>0</v>
      </c>
      <c r="G106" s="13">
        <f>SUMIF('OD 05-24'!A:A,A106,'OD 05-24'!E:E)</f>
        <v>0</v>
      </c>
      <c r="H106" s="14">
        <f t="shared" si="2"/>
        <v>0</v>
      </c>
      <c r="I106" s="14">
        <f t="shared" si="3"/>
        <v>0</v>
      </c>
      <c r="J106" s="8"/>
      <c r="K106" s="8"/>
      <c r="M106" s="339"/>
      <c r="N106" s="315"/>
    </row>
    <row r="107" spans="1:14" s="9" customFormat="1" ht="11.25" x14ac:dyDescent="0.2">
      <c r="A107" s="10">
        <v>42500000</v>
      </c>
      <c r="B107" s="10" t="s">
        <v>80</v>
      </c>
      <c r="C107" s="11">
        <v>-180820.1429999955</v>
      </c>
      <c r="D107" s="11">
        <v>1726972.7590000001</v>
      </c>
      <c r="E107" s="11">
        <v>1555430.402</v>
      </c>
      <c r="F107" s="13">
        <f>SUMIF('OD 05-24'!A:A,A107,'OD 05-24'!D:D)</f>
        <v>0</v>
      </c>
      <c r="G107" s="13">
        <f>SUMIF('OD 05-24'!A:A,A107,'OD 05-24'!E:E)</f>
        <v>0</v>
      </c>
      <c r="H107" s="14">
        <f t="shared" si="2"/>
        <v>171542.35700000008</v>
      </c>
      <c r="I107" s="14">
        <f t="shared" si="3"/>
        <v>-9277.7859999954235</v>
      </c>
      <c r="J107" s="8" t="s">
        <v>81</v>
      </c>
      <c r="K107" s="8"/>
      <c r="M107" s="339"/>
      <c r="N107" s="315"/>
    </row>
    <row r="108" spans="1:14" s="9" customFormat="1" ht="11.25" x14ac:dyDescent="0.2">
      <c r="A108" s="10">
        <v>42700000</v>
      </c>
      <c r="B108" s="10" t="s">
        <v>310</v>
      </c>
      <c r="C108" s="11">
        <v>0</v>
      </c>
      <c r="D108" s="11">
        <v>0</v>
      </c>
      <c r="E108" s="11">
        <v>0</v>
      </c>
      <c r="F108" s="13">
        <f>SUMIF('OD 05-24'!A:A,A108,'OD 05-24'!D:D)</f>
        <v>0</v>
      </c>
      <c r="G108" s="13">
        <f>SUMIF('OD 05-24'!A:A,A108,'OD 05-24'!E:E)</f>
        <v>0</v>
      </c>
      <c r="H108" s="14">
        <f t="shared" si="2"/>
        <v>0</v>
      </c>
      <c r="I108" s="14">
        <f t="shared" si="3"/>
        <v>0</v>
      </c>
      <c r="J108" s="8"/>
      <c r="K108" s="8"/>
      <c r="M108" s="339"/>
      <c r="N108" s="315"/>
    </row>
    <row r="109" spans="1:14" s="9" customFormat="1" ht="11.25" x14ac:dyDescent="0.2">
      <c r="A109" s="10">
        <v>42710000</v>
      </c>
      <c r="B109" s="10" t="s">
        <v>82</v>
      </c>
      <c r="C109" s="11">
        <v>-2433.5259999999907</v>
      </c>
      <c r="D109" s="11">
        <v>4568.57</v>
      </c>
      <c r="E109" s="11">
        <v>3410.2539999999999</v>
      </c>
      <c r="F109" s="13">
        <f>SUMIF('OD 05-24'!A:A,A109,'OD 05-24'!D:D)</f>
        <v>0</v>
      </c>
      <c r="G109" s="13">
        <f>SUMIF('OD 05-24'!A:A,A109,'OD 05-24'!E:E)</f>
        <v>0</v>
      </c>
      <c r="H109" s="14">
        <f t="shared" si="2"/>
        <v>1158.3159999999998</v>
      </c>
      <c r="I109" s="14">
        <f t="shared" si="3"/>
        <v>-1275.2099999999909</v>
      </c>
      <c r="J109" s="8" t="s">
        <v>81</v>
      </c>
      <c r="K109" s="8"/>
      <c r="M109" s="339"/>
      <c r="N109" s="315"/>
    </row>
    <row r="110" spans="1:14" s="9" customFormat="1" ht="11.25" x14ac:dyDescent="0.2">
      <c r="A110" s="10">
        <v>42820000</v>
      </c>
      <c r="B110" s="10" t="s">
        <v>83</v>
      </c>
      <c r="C110" s="11">
        <v>-245931.41399999941</v>
      </c>
      <c r="D110" s="11">
        <v>245931.41399999996</v>
      </c>
      <c r="E110" s="11">
        <v>0</v>
      </c>
      <c r="F110" s="13">
        <f>SUMIF('OD 05-24'!A:A,A110,'OD 05-24'!D:D)</f>
        <v>1792874.0160000001</v>
      </c>
      <c r="G110" s="13">
        <f>SUMIF('OD 05-24'!A:A,A110,'OD 05-24'!E:E)</f>
        <v>2072982.4890000001</v>
      </c>
      <c r="H110" s="14">
        <f t="shared" si="2"/>
        <v>-34177.059000000125</v>
      </c>
      <c r="I110" s="14">
        <f t="shared" si="3"/>
        <v>-280108.47299999953</v>
      </c>
      <c r="J110" s="8" t="s">
        <v>81</v>
      </c>
      <c r="K110" s="8"/>
      <c r="M110" s="339"/>
      <c r="N110" s="315"/>
    </row>
    <row r="111" spans="1:14" s="9" customFormat="1" ht="11.25" x14ac:dyDescent="0.2">
      <c r="A111" s="10">
        <v>43200000</v>
      </c>
      <c r="B111" s="10" t="s">
        <v>311</v>
      </c>
      <c r="C111" s="11">
        <v>0</v>
      </c>
      <c r="D111" s="11">
        <v>0</v>
      </c>
      <c r="E111" s="11">
        <v>0</v>
      </c>
      <c r="F111" s="13">
        <f>SUMIF('OD 05-24'!A:A,A111,'OD 05-24'!D:D)</f>
        <v>0</v>
      </c>
      <c r="G111" s="13">
        <f>SUMIF('OD 05-24'!A:A,A111,'OD 05-24'!E:E)</f>
        <v>0</v>
      </c>
      <c r="H111" s="14">
        <f t="shared" si="2"/>
        <v>0</v>
      </c>
      <c r="I111" s="14">
        <f t="shared" si="3"/>
        <v>0</v>
      </c>
      <c r="J111" s="8"/>
      <c r="K111" s="8"/>
      <c r="M111" s="339"/>
      <c r="N111" s="315"/>
    </row>
    <row r="112" spans="1:14" s="9" customFormat="1" ht="11.25" x14ac:dyDescent="0.2">
      <c r="A112" s="10">
        <v>43210000</v>
      </c>
      <c r="B112" s="10" t="s">
        <v>84</v>
      </c>
      <c r="C112" s="11">
        <v>0</v>
      </c>
      <c r="D112" s="11">
        <v>293580.57299999997</v>
      </c>
      <c r="E112" s="11">
        <v>363939.17099999997</v>
      </c>
      <c r="F112" s="13">
        <f>SUMIF('OD 05-24'!A:A,A112,'OD 05-24'!D:D)</f>
        <v>0</v>
      </c>
      <c r="G112" s="13">
        <f>SUMIF('OD 05-24'!A:A,A112,'OD 05-24'!E:E)</f>
        <v>0</v>
      </c>
      <c r="H112" s="14">
        <f t="shared" si="2"/>
        <v>-70358.597999999998</v>
      </c>
      <c r="I112" s="14">
        <f t="shared" si="3"/>
        <v>-70358.597999999998</v>
      </c>
      <c r="J112" s="8" t="s">
        <v>81</v>
      </c>
      <c r="K112" s="8"/>
      <c r="M112" s="339"/>
      <c r="N112" s="315"/>
    </row>
    <row r="113" spans="1:14" s="9" customFormat="1" ht="11.25" x14ac:dyDescent="0.2">
      <c r="A113" s="10">
        <v>43211000</v>
      </c>
      <c r="B113" s="10" t="s">
        <v>312</v>
      </c>
      <c r="C113" s="11">
        <v>0</v>
      </c>
      <c r="D113" s="11">
        <v>2549.4430000000002</v>
      </c>
      <c r="E113" s="11">
        <v>2549.4430000000002</v>
      </c>
      <c r="F113" s="13">
        <f>SUMIF('OD 05-24'!A:A,A113,'OD 05-24'!D:D)</f>
        <v>0</v>
      </c>
      <c r="G113" s="13">
        <f>SUMIF('OD 05-24'!A:A,A113,'OD 05-24'!E:E)</f>
        <v>0</v>
      </c>
      <c r="H113" s="14">
        <f t="shared" si="2"/>
        <v>0</v>
      </c>
      <c r="I113" s="14">
        <f t="shared" si="3"/>
        <v>0</v>
      </c>
      <c r="J113" s="8" t="s">
        <v>81</v>
      </c>
      <c r="K113" s="8"/>
      <c r="M113" s="339"/>
      <c r="N113" s="315"/>
    </row>
    <row r="114" spans="1:14" s="9" customFormat="1" ht="11.25" x14ac:dyDescent="0.2">
      <c r="A114" s="10">
        <v>43211500</v>
      </c>
      <c r="B114" s="10" t="s">
        <v>85</v>
      </c>
      <c r="C114" s="11">
        <v>0</v>
      </c>
      <c r="D114" s="11">
        <v>0</v>
      </c>
      <c r="E114" s="11">
        <v>149.95499999999998</v>
      </c>
      <c r="F114" s="13">
        <f>SUMIF('OD 05-24'!A:A,A114,'OD 05-24'!D:D)</f>
        <v>0</v>
      </c>
      <c r="G114" s="13">
        <f>SUMIF('OD 05-24'!A:A,A114,'OD 05-24'!E:E)</f>
        <v>0</v>
      </c>
      <c r="H114" s="14">
        <f t="shared" si="2"/>
        <v>-149.95499999999998</v>
      </c>
      <c r="I114" s="14">
        <f t="shared" si="3"/>
        <v>-149.95499999999998</v>
      </c>
      <c r="J114" s="8" t="s">
        <v>81</v>
      </c>
      <c r="K114" s="8"/>
      <c r="M114" s="339"/>
      <c r="N114" s="315"/>
    </row>
    <row r="115" spans="1:14" s="9" customFormat="1" ht="11.25" x14ac:dyDescent="0.2">
      <c r="A115" s="10">
        <v>43212500</v>
      </c>
      <c r="B115" s="10" t="s">
        <v>313</v>
      </c>
      <c r="C115" s="11">
        <v>0</v>
      </c>
      <c r="D115" s="11">
        <v>0</v>
      </c>
      <c r="E115" s="11">
        <v>0</v>
      </c>
      <c r="F115" s="13">
        <f>SUMIF('OD 05-24'!A:A,A115,'OD 05-24'!D:D)</f>
        <v>0</v>
      </c>
      <c r="G115" s="13">
        <f>SUMIF('OD 05-24'!A:A,A115,'OD 05-24'!E:E)</f>
        <v>0</v>
      </c>
      <c r="H115" s="14">
        <f t="shared" si="2"/>
        <v>0</v>
      </c>
      <c r="I115" s="14">
        <f t="shared" si="3"/>
        <v>0</v>
      </c>
      <c r="J115" s="8"/>
      <c r="K115" s="8"/>
      <c r="M115" s="339"/>
      <c r="N115" s="315"/>
    </row>
    <row r="116" spans="1:14" s="9" customFormat="1" ht="11.25" x14ac:dyDescent="0.2">
      <c r="A116" s="10">
        <v>43215000</v>
      </c>
      <c r="B116" s="10" t="s">
        <v>314</v>
      </c>
      <c r="C116" s="11">
        <v>0</v>
      </c>
      <c r="D116" s="11">
        <v>0</v>
      </c>
      <c r="E116" s="11">
        <v>0</v>
      </c>
      <c r="F116" s="13">
        <f>SUMIF('OD 05-24'!A:A,A116,'OD 05-24'!D:D)</f>
        <v>0</v>
      </c>
      <c r="G116" s="13">
        <f>SUMIF('OD 05-24'!A:A,A116,'OD 05-24'!E:E)</f>
        <v>0</v>
      </c>
      <c r="H116" s="14">
        <f t="shared" si="2"/>
        <v>0</v>
      </c>
      <c r="I116" s="14">
        <f t="shared" si="3"/>
        <v>0</v>
      </c>
      <c r="J116" s="8"/>
      <c r="K116" s="8"/>
      <c r="M116" s="339"/>
      <c r="N116" s="315"/>
    </row>
    <row r="117" spans="1:14" s="9" customFormat="1" ht="11.25" x14ac:dyDescent="0.2">
      <c r="A117" s="10">
        <v>43220000</v>
      </c>
      <c r="B117" s="10" t="s">
        <v>86</v>
      </c>
      <c r="C117" s="11">
        <v>0</v>
      </c>
      <c r="D117" s="11">
        <v>42808.722999999998</v>
      </c>
      <c r="E117" s="11">
        <v>42808.759000000005</v>
      </c>
      <c r="F117" s="13">
        <f>SUMIF('OD 05-24'!A:A,A117,'OD 05-24'!D:D)</f>
        <v>0</v>
      </c>
      <c r="G117" s="13">
        <f>SUMIF('OD 05-24'!A:A,A117,'OD 05-24'!E:E)</f>
        <v>0</v>
      </c>
      <c r="H117" s="14">
        <f t="shared" si="2"/>
        <v>-3.6000000007334165E-2</v>
      </c>
      <c r="I117" s="14">
        <f t="shared" si="3"/>
        <v>-3.6000000007334165E-2</v>
      </c>
      <c r="J117" s="8" t="s">
        <v>81</v>
      </c>
      <c r="K117" s="8"/>
      <c r="M117" s="339"/>
      <c r="N117" s="315"/>
    </row>
    <row r="118" spans="1:14" s="9" customFormat="1" ht="11.25" x14ac:dyDescent="0.2">
      <c r="A118" s="10">
        <v>43220050</v>
      </c>
      <c r="B118" s="10" t="s">
        <v>315</v>
      </c>
      <c r="C118" s="11">
        <v>4.7000000002299203E-2</v>
      </c>
      <c r="D118" s="11">
        <v>2.98</v>
      </c>
      <c r="E118" s="11">
        <v>2.98</v>
      </c>
      <c r="F118" s="13">
        <f>SUMIF('OD 05-24'!A:A,A118,'OD 05-24'!D:D)</f>
        <v>0</v>
      </c>
      <c r="G118" s="13">
        <f>SUMIF('OD 05-24'!A:A,A118,'OD 05-24'!E:E)</f>
        <v>0</v>
      </c>
      <c r="H118" s="14">
        <f t="shared" si="2"/>
        <v>0</v>
      </c>
      <c r="I118" s="14">
        <f t="shared" si="3"/>
        <v>4.7000000002299203E-2</v>
      </c>
      <c r="J118" s="8" t="s">
        <v>78</v>
      </c>
      <c r="K118" s="8"/>
      <c r="M118" s="339"/>
      <c r="N118" s="315"/>
    </row>
    <row r="119" spans="1:14" s="9" customFormat="1" ht="11.25" x14ac:dyDescent="0.2">
      <c r="A119" s="10">
        <v>43220100</v>
      </c>
      <c r="B119" s="10" t="s">
        <v>87</v>
      </c>
      <c r="C119" s="11">
        <v>0</v>
      </c>
      <c r="D119" s="11">
        <v>69697.857000000004</v>
      </c>
      <c r="E119" s="11">
        <v>90107.307000000001</v>
      </c>
      <c r="F119" s="13">
        <f>SUMIF('OD 05-24'!A:A,A119,'OD 05-24'!D:D)</f>
        <v>0</v>
      </c>
      <c r="G119" s="13">
        <f>SUMIF('OD 05-24'!A:A,A119,'OD 05-24'!E:E)</f>
        <v>0</v>
      </c>
      <c r="H119" s="14">
        <f t="shared" si="2"/>
        <v>-20409.449999999997</v>
      </c>
      <c r="I119" s="14">
        <f t="shared" si="3"/>
        <v>-20409.449999999997</v>
      </c>
      <c r="J119" s="8" t="s">
        <v>81</v>
      </c>
      <c r="K119" s="8"/>
      <c r="M119" s="339"/>
      <c r="N119" s="315"/>
    </row>
    <row r="120" spans="1:14" s="9" customFormat="1" ht="11.25" x14ac:dyDescent="0.2">
      <c r="A120" s="10">
        <v>43220300</v>
      </c>
      <c r="B120" s="10" t="s">
        <v>88</v>
      </c>
      <c r="C120" s="11">
        <v>0</v>
      </c>
      <c r="D120" s="11">
        <v>1789.9489999999998</v>
      </c>
      <c r="E120" s="11">
        <v>1789.9489999999998</v>
      </c>
      <c r="F120" s="13">
        <f>SUMIF('OD 05-24'!A:A,A120,'OD 05-24'!D:D)</f>
        <v>0</v>
      </c>
      <c r="G120" s="13">
        <f>SUMIF('OD 05-24'!A:A,A120,'OD 05-24'!E:E)</f>
        <v>0</v>
      </c>
      <c r="H120" s="14">
        <f t="shared" si="2"/>
        <v>0</v>
      </c>
      <c r="I120" s="14">
        <f t="shared" si="3"/>
        <v>0</v>
      </c>
      <c r="J120" s="8" t="s">
        <v>81</v>
      </c>
      <c r="K120" s="8"/>
      <c r="M120" s="339"/>
      <c r="N120" s="315"/>
    </row>
    <row r="121" spans="1:14" s="9" customFormat="1" ht="11.25" x14ac:dyDescent="0.2">
      <c r="A121" s="10">
        <v>43221000</v>
      </c>
      <c r="B121" s="10" t="s">
        <v>89</v>
      </c>
      <c r="C121" s="11">
        <v>0</v>
      </c>
      <c r="D121" s="11">
        <v>0</v>
      </c>
      <c r="E121" s="11">
        <v>0</v>
      </c>
      <c r="F121" s="13">
        <f>SUMIF('OD 05-24'!A:A,A121,'OD 05-24'!D:D)</f>
        <v>0</v>
      </c>
      <c r="G121" s="13">
        <f>SUMIF('OD 05-24'!A:A,A121,'OD 05-24'!E:E)</f>
        <v>0</v>
      </c>
      <c r="H121" s="14">
        <f t="shared" si="2"/>
        <v>0</v>
      </c>
      <c r="I121" s="14">
        <f t="shared" si="3"/>
        <v>0</v>
      </c>
      <c r="J121" s="8" t="s">
        <v>81</v>
      </c>
      <c r="K121" s="8"/>
      <c r="M121" s="339"/>
      <c r="N121" s="315"/>
    </row>
    <row r="122" spans="1:14" s="9" customFormat="1" ht="11.25" x14ac:dyDescent="0.2">
      <c r="A122" s="10">
        <v>43222000</v>
      </c>
      <c r="B122" s="10" t="s">
        <v>316</v>
      </c>
      <c r="C122" s="11">
        <v>0</v>
      </c>
      <c r="D122" s="11">
        <v>81636.790000000008</v>
      </c>
      <c r="E122" s="11">
        <v>81636.790000000008</v>
      </c>
      <c r="F122" s="13">
        <f>SUMIF('OD 05-24'!A:A,A122,'OD 05-24'!D:D)</f>
        <v>0</v>
      </c>
      <c r="G122" s="13">
        <f>SUMIF('OD 05-24'!A:A,A122,'OD 05-24'!E:E)</f>
        <v>0</v>
      </c>
      <c r="H122" s="14">
        <f t="shared" si="2"/>
        <v>0</v>
      </c>
      <c r="I122" s="14">
        <f t="shared" si="3"/>
        <v>0</v>
      </c>
      <c r="J122" s="8" t="s">
        <v>78</v>
      </c>
      <c r="K122" s="8"/>
      <c r="M122" s="339"/>
      <c r="N122" s="315"/>
    </row>
    <row r="123" spans="1:14" s="9" customFormat="1" ht="11.25" x14ac:dyDescent="0.2">
      <c r="A123" s="10">
        <v>43223000</v>
      </c>
      <c r="B123" s="10" t="s">
        <v>90</v>
      </c>
      <c r="C123" s="11">
        <v>-40912.060000000027</v>
      </c>
      <c r="D123" s="11">
        <v>47571.095000000001</v>
      </c>
      <c r="E123" s="11">
        <v>8380.1130000000012</v>
      </c>
      <c r="F123" s="13">
        <f>SUMIF('OD 05-24'!A:A,A123,'OD 05-24'!D:D)</f>
        <v>0</v>
      </c>
      <c r="G123" s="13">
        <f>SUMIF('OD 05-24'!A:A,A123,'OD 05-24'!E:E)</f>
        <v>0</v>
      </c>
      <c r="H123" s="14">
        <f t="shared" si="2"/>
        <v>39190.982000000004</v>
      </c>
      <c r="I123" s="14">
        <f t="shared" si="3"/>
        <v>-1721.0780000000232</v>
      </c>
      <c r="J123" s="8" t="s">
        <v>81</v>
      </c>
      <c r="K123" s="8"/>
      <c r="M123" s="339"/>
      <c r="N123" s="315"/>
    </row>
    <row r="124" spans="1:14" s="9" customFormat="1" ht="11.25" x14ac:dyDescent="0.2">
      <c r="A124" s="10">
        <v>43310000</v>
      </c>
      <c r="B124" s="10" t="s">
        <v>317</v>
      </c>
      <c r="C124" s="11">
        <v>0</v>
      </c>
      <c r="D124" s="11">
        <v>0</v>
      </c>
      <c r="E124" s="11">
        <v>0</v>
      </c>
      <c r="F124" s="13">
        <f>SUMIF('OD 05-24'!A:A,A124,'OD 05-24'!D:D)</f>
        <v>0</v>
      </c>
      <c r="G124" s="13">
        <f>SUMIF('OD 05-24'!A:A,A124,'OD 05-24'!E:E)</f>
        <v>0</v>
      </c>
      <c r="H124" s="14">
        <f t="shared" si="2"/>
        <v>0</v>
      </c>
      <c r="I124" s="14">
        <f t="shared" si="3"/>
        <v>0</v>
      </c>
      <c r="J124" s="8"/>
      <c r="K124" s="8"/>
      <c r="M124" s="339"/>
      <c r="N124" s="315"/>
    </row>
    <row r="125" spans="1:14" s="9" customFormat="1" ht="11.25" x14ac:dyDescent="0.2">
      <c r="A125" s="10">
        <v>43400000</v>
      </c>
      <c r="B125" s="10" t="s">
        <v>91</v>
      </c>
      <c r="C125" s="11">
        <v>967729.65199999954</v>
      </c>
      <c r="D125" s="11">
        <v>0</v>
      </c>
      <c r="E125" s="11">
        <v>0</v>
      </c>
      <c r="F125" s="13">
        <f>SUMIF('OD 05-24'!A:A,A125,'OD 05-24'!D:D)</f>
        <v>0</v>
      </c>
      <c r="G125" s="13">
        <f>SUMIF('OD 05-24'!A:A,A125,'OD 05-24'!E:E)</f>
        <v>0</v>
      </c>
      <c r="H125" s="14">
        <f t="shared" si="2"/>
        <v>0</v>
      </c>
      <c r="I125" s="14">
        <f t="shared" si="3"/>
        <v>967729.65199999954</v>
      </c>
      <c r="J125" s="8" t="s">
        <v>78</v>
      </c>
      <c r="K125" s="8"/>
      <c r="M125" s="339"/>
      <c r="N125" s="315"/>
    </row>
    <row r="126" spans="1:14" s="9" customFormat="1" ht="11.25" x14ac:dyDescent="0.2">
      <c r="A126" s="10">
        <v>43410000</v>
      </c>
      <c r="B126" s="10" t="s">
        <v>318</v>
      </c>
      <c r="C126" s="11">
        <v>0</v>
      </c>
      <c r="D126" s="11">
        <v>162975.39499999999</v>
      </c>
      <c r="E126" s="11">
        <v>0</v>
      </c>
      <c r="F126" s="13">
        <f>SUMIF('OD 05-24'!A:A,A126,'OD 05-24'!D:D)</f>
        <v>0</v>
      </c>
      <c r="G126" s="13">
        <f>SUMIF('OD 05-24'!A:A,A126,'OD 05-24'!E:E)</f>
        <v>0</v>
      </c>
      <c r="H126" s="14">
        <f t="shared" si="2"/>
        <v>162975.39499999999</v>
      </c>
      <c r="I126" s="14">
        <f t="shared" si="3"/>
        <v>162975.39499999999</v>
      </c>
      <c r="J126" s="8" t="s">
        <v>78</v>
      </c>
      <c r="K126" s="8"/>
      <c r="M126" s="339"/>
      <c r="N126" s="315"/>
    </row>
    <row r="127" spans="1:14" s="9" customFormat="1" ht="11.25" x14ac:dyDescent="0.2">
      <c r="A127" s="10">
        <v>43420000</v>
      </c>
      <c r="B127" s="10" t="s">
        <v>92</v>
      </c>
      <c r="C127" s="11">
        <v>0</v>
      </c>
      <c r="D127" s="11">
        <v>0</v>
      </c>
      <c r="E127" s="11">
        <v>0</v>
      </c>
      <c r="F127" s="13">
        <f>SUMIF('OD 05-24'!A:A,A127,'OD 05-24'!D:D)</f>
        <v>0</v>
      </c>
      <c r="G127" s="13">
        <f>SUMIF('OD 05-24'!A:A,A127,'OD 05-24'!E:E)</f>
        <v>0</v>
      </c>
      <c r="H127" s="14">
        <f t="shared" si="2"/>
        <v>0</v>
      </c>
      <c r="I127" s="14">
        <f t="shared" si="3"/>
        <v>0</v>
      </c>
      <c r="J127" s="8"/>
      <c r="K127" s="8"/>
      <c r="M127" s="339"/>
      <c r="N127" s="315"/>
    </row>
    <row r="128" spans="1:14" s="9" customFormat="1" ht="11.25" x14ac:dyDescent="0.2">
      <c r="A128" s="10">
        <v>43430000</v>
      </c>
      <c r="B128" s="10" t="s">
        <v>319</v>
      </c>
      <c r="C128" s="11">
        <v>0</v>
      </c>
      <c r="D128" s="11">
        <v>135.946</v>
      </c>
      <c r="E128" s="11">
        <v>0</v>
      </c>
      <c r="F128" s="13">
        <f>SUMIF('OD 05-24'!A:A,A128,'OD 05-24'!D:D)</f>
        <v>0</v>
      </c>
      <c r="G128" s="13">
        <f>SUMIF('OD 05-24'!A:A,A128,'OD 05-24'!E:E)</f>
        <v>0</v>
      </c>
      <c r="H128" s="14">
        <f t="shared" si="2"/>
        <v>135.946</v>
      </c>
      <c r="I128" s="14">
        <f t="shared" si="3"/>
        <v>135.946</v>
      </c>
      <c r="J128" s="8" t="s">
        <v>78</v>
      </c>
      <c r="K128" s="8"/>
      <c r="M128" s="339"/>
      <c r="N128" s="315"/>
    </row>
    <row r="129" spans="1:14" s="9" customFormat="1" ht="11.25" x14ac:dyDescent="0.2">
      <c r="A129" s="10">
        <v>43440000</v>
      </c>
      <c r="B129" s="10" t="s">
        <v>320</v>
      </c>
      <c r="C129" s="11">
        <v>0</v>
      </c>
      <c r="D129" s="11">
        <v>6135.9</v>
      </c>
      <c r="E129" s="11">
        <v>6135.9</v>
      </c>
      <c r="F129" s="13">
        <f>SUMIF('OD 05-24'!A:A,A129,'OD 05-24'!D:D)</f>
        <v>0</v>
      </c>
      <c r="G129" s="13">
        <f>SUMIF('OD 05-24'!A:A,A129,'OD 05-24'!E:E)</f>
        <v>0</v>
      </c>
      <c r="H129" s="14">
        <f t="shared" si="2"/>
        <v>0</v>
      </c>
      <c r="I129" s="14">
        <f t="shared" si="3"/>
        <v>0</v>
      </c>
      <c r="J129" s="8" t="s">
        <v>78</v>
      </c>
      <c r="K129" s="8"/>
      <c r="M129" s="339"/>
      <c r="N129" s="315"/>
    </row>
    <row r="130" spans="1:14" s="9" customFormat="1" ht="11.25" x14ac:dyDescent="0.2">
      <c r="A130" s="10">
        <v>43500000</v>
      </c>
      <c r="B130" s="10" t="s">
        <v>321</v>
      </c>
      <c r="C130" s="11">
        <v>-70408.270000000484</v>
      </c>
      <c r="D130" s="11">
        <v>413181.31799999997</v>
      </c>
      <c r="E130" s="11">
        <v>557840.52599999995</v>
      </c>
      <c r="F130" s="13">
        <f>SUMIF('OD 05-24'!A:A,A130,'OD 05-24'!D:D)</f>
        <v>0</v>
      </c>
      <c r="G130" s="13">
        <f>SUMIF('OD 05-24'!A:A,A130,'OD 05-24'!E:E)</f>
        <v>0</v>
      </c>
      <c r="H130" s="14">
        <f t="shared" si="2"/>
        <v>-144659.20799999998</v>
      </c>
      <c r="I130" s="14">
        <f t="shared" si="3"/>
        <v>-215067.47800000047</v>
      </c>
      <c r="J130" s="8" t="s">
        <v>81</v>
      </c>
      <c r="K130" s="8"/>
      <c r="M130" s="339"/>
      <c r="N130" s="315"/>
    </row>
    <row r="131" spans="1:14" s="9" customFormat="1" ht="11.25" x14ac:dyDescent="0.2">
      <c r="A131" s="10">
        <v>43600000</v>
      </c>
      <c r="B131" s="10" t="s">
        <v>93</v>
      </c>
      <c r="C131" s="11">
        <v>697619.66200000048</v>
      </c>
      <c r="D131" s="11">
        <v>3153815.3679999998</v>
      </c>
      <c r="E131" s="11">
        <v>2373440.608</v>
      </c>
      <c r="F131" s="13">
        <f>SUMIF('OD 05-24'!A:A,A131,'OD 05-24'!D:D)</f>
        <v>0</v>
      </c>
      <c r="G131" s="13">
        <f>SUMIF('OD 05-24'!A:A,A131,'OD 05-24'!E:E)</f>
        <v>0</v>
      </c>
      <c r="H131" s="14">
        <f t="shared" ref="H131:H194" si="4">+D131+F131-E131-G131</f>
        <v>780374.75999999978</v>
      </c>
      <c r="I131" s="14">
        <f t="shared" ref="I131:I194" si="5">+H131+C131</f>
        <v>1477994.4220000003</v>
      </c>
      <c r="J131" s="8" t="s">
        <v>78</v>
      </c>
      <c r="K131" s="8"/>
      <c r="M131" s="339"/>
      <c r="N131" s="315"/>
    </row>
    <row r="132" spans="1:14" s="9" customFormat="1" ht="11.25" x14ac:dyDescent="0.2">
      <c r="A132" s="10">
        <v>43625000</v>
      </c>
      <c r="B132" s="10" t="s">
        <v>94</v>
      </c>
      <c r="C132" s="11">
        <v>0</v>
      </c>
      <c r="D132" s="11">
        <v>94688.914000000004</v>
      </c>
      <c r="E132" s="11">
        <v>125896.65300000001</v>
      </c>
      <c r="F132" s="13">
        <f>SUMIF('OD 05-24'!A:A,A132,'OD 05-24'!D:D)</f>
        <v>0</v>
      </c>
      <c r="G132" s="13">
        <f>SUMIF('OD 05-24'!A:A,A132,'OD 05-24'!E:E)</f>
        <v>0</v>
      </c>
      <c r="H132" s="14">
        <f t="shared" si="4"/>
        <v>-31207.739000000001</v>
      </c>
      <c r="I132" s="14">
        <f t="shared" si="5"/>
        <v>-31207.739000000001</v>
      </c>
      <c r="J132" s="8" t="s">
        <v>81</v>
      </c>
      <c r="K132" s="8"/>
      <c r="M132" s="339"/>
      <c r="N132" s="315"/>
    </row>
    <row r="133" spans="1:14" s="9" customFormat="1" ht="11.25" x14ac:dyDescent="0.2">
      <c r="A133" s="10">
        <v>43627000</v>
      </c>
      <c r="B133" s="10" t="s">
        <v>95</v>
      </c>
      <c r="C133" s="11">
        <v>1.0999999940395355E-2</v>
      </c>
      <c r="D133" s="11">
        <v>662822.402</v>
      </c>
      <c r="E133" s="11">
        <v>881276.54099999997</v>
      </c>
      <c r="F133" s="13">
        <f>SUMIF('OD 05-24'!A:A,A133,'OD 05-24'!D:D)</f>
        <v>0</v>
      </c>
      <c r="G133" s="13">
        <f>SUMIF('OD 05-24'!A:A,A133,'OD 05-24'!E:E)</f>
        <v>0</v>
      </c>
      <c r="H133" s="14">
        <f t="shared" si="4"/>
        <v>-218454.13899999997</v>
      </c>
      <c r="I133" s="14">
        <f t="shared" si="5"/>
        <v>-218454.12800000003</v>
      </c>
      <c r="J133" s="8" t="s">
        <v>81</v>
      </c>
      <c r="K133" s="8"/>
      <c r="M133" s="339"/>
      <c r="N133" s="315"/>
    </row>
    <row r="134" spans="1:14" s="9" customFormat="1" ht="11.25" x14ac:dyDescent="0.2">
      <c r="A134" s="10">
        <v>43630600</v>
      </c>
      <c r="B134" s="10" t="s">
        <v>322</v>
      </c>
      <c r="C134" s="11">
        <v>0</v>
      </c>
      <c r="D134" s="11">
        <v>0</v>
      </c>
      <c r="E134" s="11">
        <v>0</v>
      </c>
      <c r="F134" s="13">
        <f>SUMIF('OD 05-24'!A:A,A134,'OD 05-24'!D:D)</f>
        <v>0</v>
      </c>
      <c r="G134" s="13">
        <f>SUMIF('OD 05-24'!A:A,A134,'OD 05-24'!E:E)</f>
        <v>0</v>
      </c>
      <c r="H134" s="14">
        <f t="shared" si="4"/>
        <v>0</v>
      </c>
      <c r="I134" s="14">
        <f t="shared" si="5"/>
        <v>0</v>
      </c>
      <c r="J134" s="8"/>
      <c r="K134" s="8"/>
      <c r="M134" s="339"/>
      <c r="N134" s="315"/>
    </row>
    <row r="135" spans="1:14" s="9" customFormat="1" ht="11.25" x14ac:dyDescent="0.2">
      <c r="A135" s="10">
        <v>43630700</v>
      </c>
      <c r="B135" s="10" t="s">
        <v>96</v>
      </c>
      <c r="C135" s="11">
        <v>6400.8769999999786</v>
      </c>
      <c r="D135" s="11">
        <v>10159.641</v>
      </c>
      <c r="E135" s="11">
        <v>10677.251</v>
      </c>
      <c r="F135" s="13">
        <f>SUMIF('OD 05-24'!A:A,A135,'OD 05-24'!D:D)</f>
        <v>0</v>
      </c>
      <c r="G135" s="13">
        <f>SUMIF('OD 05-24'!A:A,A135,'OD 05-24'!E:E)</f>
        <v>0</v>
      </c>
      <c r="H135" s="14">
        <f t="shared" si="4"/>
        <v>-517.61000000000058</v>
      </c>
      <c r="I135" s="14">
        <f t="shared" si="5"/>
        <v>5883.266999999978</v>
      </c>
      <c r="J135" s="8" t="s">
        <v>78</v>
      </c>
      <c r="K135" s="8"/>
      <c r="M135" s="339"/>
      <c r="N135" s="315"/>
    </row>
    <row r="136" spans="1:14" s="9" customFormat="1" ht="11.25" x14ac:dyDescent="0.2">
      <c r="A136" s="10">
        <v>43631000</v>
      </c>
      <c r="B136" s="10" t="s">
        <v>323</v>
      </c>
      <c r="C136" s="11">
        <v>0</v>
      </c>
      <c r="D136" s="11">
        <v>0</v>
      </c>
      <c r="E136" s="11">
        <v>0</v>
      </c>
      <c r="F136" s="13">
        <f>SUMIF('OD 05-24'!A:A,A136,'OD 05-24'!D:D)</f>
        <v>0</v>
      </c>
      <c r="G136" s="13">
        <f>SUMIF('OD 05-24'!A:A,A136,'OD 05-24'!E:E)</f>
        <v>0</v>
      </c>
      <c r="H136" s="14">
        <f t="shared" si="4"/>
        <v>0</v>
      </c>
      <c r="I136" s="14">
        <f t="shared" si="5"/>
        <v>0</v>
      </c>
      <c r="J136" s="8"/>
      <c r="K136" s="8"/>
      <c r="M136" s="339"/>
      <c r="N136" s="315"/>
    </row>
    <row r="137" spans="1:14" s="9" customFormat="1" ht="11.25" x14ac:dyDescent="0.2">
      <c r="A137" s="10">
        <v>43631300</v>
      </c>
      <c r="B137" s="10" t="s">
        <v>324</v>
      </c>
      <c r="C137" s="11">
        <v>0</v>
      </c>
      <c r="D137" s="11">
        <v>9802.0349999999999</v>
      </c>
      <c r="E137" s="11">
        <v>7054.4800000000005</v>
      </c>
      <c r="F137" s="13">
        <f>SUMIF('OD 05-24'!A:A,A137,'OD 05-24'!D:D)</f>
        <v>0</v>
      </c>
      <c r="G137" s="13">
        <f>SUMIF('OD 05-24'!A:A,A137,'OD 05-24'!E:E)</f>
        <v>0</v>
      </c>
      <c r="H137" s="14">
        <f t="shared" si="4"/>
        <v>2747.5549999999994</v>
      </c>
      <c r="I137" s="14">
        <f t="shared" si="5"/>
        <v>2747.5549999999994</v>
      </c>
      <c r="J137" s="8" t="s">
        <v>78</v>
      </c>
      <c r="K137" s="8"/>
      <c r="M137" s="339"/>
      <c r="N137" s="315"/>
    </row>
    <row r="138" spans="1:14" s="9" customFormat="1" ht="11.25" x14ac:dyDescent="0.2">
      <c r="A138" s="10">
        <v>43631800</v>
      </c>
      <c r="B138" s="10" t="s">
        <v>325</v>
      </c>
      <c r="C138" s="11">
        <v>0</v>
      </c>
      <c r="D138" s="11">
        <v>0</v>
      </c>
      <c r="E138" s="11">
        <v>0</v>
      </c>
      <c r="F138" s="13">
        <f>SUMIF('OD 05-24'!A:A,A138,'OD 05-24'!D:D)</f>
        <v>0</v>
      </c>
      <c r="G138" s="13">
        <f>SUMIF('OD 05-24'!A:A,A138,'OD 05-24'!E:E)</f>
        <v>0</v>
      </c>
      <c r="H138" s="14">
        <f t="shared" si="4"/>
        <v>0</v>
      </c>
      <c r="I138" s="14">
        <f t="shared" si="5"/>
        <v>0</v>
      </c>
      <c r="J138" s="8"/>
      <c r="K138" s="8"/>
      <c r="M138" s="339"/>
      <c r="N138" s="315"/>
    </row>
    <row r="139" spans="1:14" s="9" customFormat="1" ht="11.25" x14ac:dyDescent="0.2">
      <c r="A139" s="10">
        <v>43631900</v>
      </c>
      <c r="B139" s="10" t="s">
        <v>97</v>
      </c>
      <c r="C139" s="11">
        <v>-3.9999932050704956E-3</v>
      </c>
      <c r="D139" s="11">
        <v>3385995.0670000003</v>
      </c>
      <c r="E139" s="11">
        <v>2500591.659</v>
      </c>
      <c r="F139" s="13">
        <f>SUMIF('OD 05-24'!A:A,A139,'OD 05-24'!D:D)</f>
        <v>0</v>
      </c>
      <c r="G139" s="13">
        <f>SUMIF('OD 05-24'!A:A,A139,'OD 05-24'!E:E)</f>
        <v>0</v>
      </c>
      <c r="H139" s="14">
        <f t="shared" si="4"/>
        <v>885403.40800000029</v>
      </c>
      <c r="I139" s="14">
        <f t="shared" si="5"/>
        <v>885403.40400000708</v>
      </c>
      <c r="J139" s="8" t="s">
        <v>78</v>
      </c>
      <c r="K139" s="8"/>
      <c r="M139" s="339"/>
      <c r="N139" s="315"/>
    </row>
    <row r="140" spans="1:14" s="9" customFormat="1" ht="11.25" x14ac:dyDescent="0.2">
      <c r="A140" s="10">
        <v>43661800</v>
      </c>
      <c r="B140" s="10" t="s">
        <v>326</v>
      </c>
      <c r="C140" s="11">
        <v>0</v>
      </c>
      <c r="D140" s="11">
        <v>0</v>
      </c>
      <c r="E140" s="11">
        <v>0</v>
      </c>
      <c r="F140" s="13">
        <f>SUMIF('OD 05-24'!A:A,A140,'OD 05-24'!D:D)</f>
        <v>0</v>
      </c>
      <c r="G140" s="13">
        <f>SUMIF('OD 05-24'!A:A,A140,'OD 05-24'!E:E)</f>
        <v>0</v>
      </c>
      <c r="H140" s="14">
        <f t="shared" si="4"/>
        <v>0</v>
      </c>
      <c r="I140" s="14">
        <f t="shared" si="5"/>
        <v>0</v>
      </c>
      <c r="J140" s="8"/>
      <c r="K140" s="8"/>
      <c r="M140" s="339"/>
      <c r="N140" s="315"/>
    </row>
    <row r="141" spans="1:14" s="9" customFormat="1" ht="11.25" x14ac:dyDescent="0.2">
      <c r="A141" s="10">
        <v>43671000</v>
      </c>
      <c r="B141" s="10" t="s">
        <v>98</v>
      </c>
      <c r="C141" s="11">
        <v>0</v>
      </c>
      <c r="D141" s="11">
        <f>15535.008+2031620.811</f>
        <v>2047155.8189999999</v>
      </c>
      <c r="E141" s="11">
        <v>2675404.27</v>
      </c>
      <c r="F141" s="13">
        <f>SUMIF('OD 05-24'!A:A,A141,'OD 05-24'!D:D)</f>
        <v>0</v>
      </c>
      <c r="G141" s="13">
        <f>SUMIF('OD 05-24'!A:A,A141,'OD 05-24'!E:E)</f>
        <v>0</v>
      </c>
      <c r="H141" s="14">
        <f t="shared" si="4"/>
        <v>-628248.45100000012</v>
      </c>
      <c r="I141" s="14">
        <f t="shared" si="5"/>
        <v>-628248.45100000012</v>
      </c>
      <c r="J141" s="8" t="s">
        <v>81</v>
      </c>
      <c r="K141" s="8"/>
      <c r="M141" s="339"/>
      <c r="N141" s="315"/>
    </row>
    <row r="142" spans="1:14" s="9" customFormat="1" ht="11.25" x14ac:dyDescent="0.2">
      <c r="A142" s="10">
        <v>43700000</v>
      </c>
      <c r="B142" s="10" t="s">
        <v>99</v>
      </c>
      <c r="C142" s="11">
        <v>0</v>
      </c>
      <c r="D142" s="11">
        <v>17</v>
      </c>
      <c r="E142" s="11">
        <v>21</v>
      </c>
      <c r="F142" s="13">
        <f>SUMIF('OD 05-24'!A:A,A142,'OD 05-24'!D:D)</f>
        <v>0</v>
      </c>
      <c r="G142" s="13">
        <f>SUMIF('OD 05-24'!A:A,A142,'OD 05-24'!E:E)</f>
        <v>0</v>
      </c>
      <c r="H142" s="14">
        <f t="shared" si="4"/>
        <v>-4</v>
      </c>
      <c r="I142" s="14">
        <f t="shared" si="5"/>
        <v>-4</v>
      </c>
      <c r="J142" s="8" t="s">
        <v>81</v>
      </c>
      <c r="K142" s="8"/>
      <c r="M142" s="339"/>
      <c r="N142" s="315"/>
    </row>
    <row r="143" spans="1:14" s="9" customFormat="1" ht="11.25" x14ac:dyDescent="0.2">
      <c r="A143" s="10">
        <v>43720000</v>
      </c>
      <c r="B143" s="10" t="s">
        <v>327</v>
      </c>
      <c r="C143" s="11">
        <v>0</v>
      </c>
      <c r="D143" s="11">
        <v>0</v>
      </c>
      <c r="E143" s="11">
        <v>0</v>
      </c>
      <c r="F143" s="13">
        <f>SUMIF('OD 05-24'!A:A,A143,'OD 05-24'!D:D)</f>
        <v>0</v>
      </c>
      <c r="G143" s="13">
        <f>SUMIF('OD 05-24'!A:A,A143,'OD 05-24'!E:E)</f>
        <v>0</v>
      </c>
      <c r="H143" s="14">
        <f t="shared" si="4"/>
        <v>0</v>
      </c>
      <c r="I143" s="14">
        <f t="shared" si="5"/>
        <v>0</v>
      </c>
      <c r="J143" s="8"/>
      <c r="K143" s="8"/>
      <c r="M143" s="339"/>
      <c r="N143" s="315"/>
    </row>
    <row r="144" spans="1:14" s="9" customFormat="1" ht="11.25" x14ac:dyDescent="0.2">
      <c r="A144" s="10">
        <v>43756000</v>
      </c>
      <c r="B144" s="10" t="s">
        <v>328</v>
      </c>
      <c r="C144" s="11">
        <v>0</v>
      </c>
      <c r="D144" s="11">
        <v>0</v>
      </c>
      <c r="E144" s="11">
        <v>0</v>
      </c>
      <c r="F144" s="13">
        <f>SUMIF('OD 05-24'!A:A,A144,'OD 05-24'!D:D)</f>
        <v>0</v>
      </c>
      <c r="G144" s="13">
        <f>SUMIF('OD 05-24'!A:A,A144,'OD 05-24'!E:E)</f>
        <v>0</v>
      </c>
      <c r="H144" s="14">
        <f t="shared" si="4"/>
        <v>0</v>
      </c>
      <c r="I144" s="14">
        <f t="shared" si="5"/>
        <v>0</v>
      </c>
      <c r="J144" s="8"/>
      <c r="K144" s="8"/>
      <c r="M144" s="339"/>
      <c r="N144" s="315"/>
    </row>
    <row r="145" spans="1:14" s="9" customFormat="1" ht="11.25" x14ac:dyDescent="0.2">
      <c r="A145" s="10">
        <v>44100000</v>
      </c>
      <c r="B145" s="10" t="s">
        <v>329</v>
      </c>
      <c r="C145" s="11">
        <v>0</v>
      </c>
      <c r="D145" s="11">
        <v>0</v>
      </c>
      <c r="E145" s="11">
        <v>0</v>
      </c>
      <c r="F145" s="13">
        <f>SUMIF('OD 05-24'!A:A,A145,'OD 05-24'!D:D)</f>
        <v>0</v>
      </c>
      <c r="G145" s="13">
        <f>SUMIF('OD 05-24'!A:A,A145,'OD 05-24'!E:E)</f>
        <v>0</v>
      </c>
      <c r="H145" s="14">
        <f t="shared" si="4"/>
        <v>0</v>
      </c>
      <c r="I145" s="14">
        <f t="shared" si="5"/>
        <v>0</v>
      </c>
      <c r="J145" s="8"/>
      <c r="K145" s="8"/>
      <c r="M145" s="339"/>
      <c r="N145" s="315"/>
    </row>
    <row r="146" spans="1:14" s="9" customFormat="1" ht="11.25" x14ac:dyDescent="0.2">
      <c r="A146" s="10">
        <v>44101000</v>
      </c>
      <c r="B146" s="10" t="s">
        <v>7717</v>
      </c>
      <c r="C146" s="11">
        <v>0</v>
      </c>
      <c r="D146" s="11">
        <v>0</v>
      </c>
      <c r="E146" s="11">
        <v>0</v>
      </c>
      <c r="F146" s="13">
        <f>SUMIF('OD 05-24'!A:A,A146,'OD 05-24'!D:D)</f>
        <v>0</v>
      </c>
      <c r="G146" s="13">
        <f>SUMIF('OD 05-24'!A:A,A146,'OD 05-24'!E:E)</f>
        <v>0</v>
      </c>
      <c r="H146" s="14">
        <f t="shared" si="4"/>
        <v>0</v>
      </c>
      <c r="I146" s="14">
        <f t="shared" si="5"/>
        <v>0</v>
      </c>
      <c r="J146" s="8"/>
      <c r="K146" s="8"/>
      <c r="M146" s="339"/>
      <c r="N146" s="315"/>
    </row>
    <row r="147" spans="1:14" s="9" customFormat="1" ht="11.25" x14ac:dyDescent="0.2">
      <c r="A147" s="10">
        <v>44200000</v>
      </c>
      <c r="B147" s="10" t="s">
        <v>330</v>
      </c>
      <c r="C147" s="11">
        <v>0</v>
      </c>
      <c r="D147" s="11">
        <v>0</v>
      </c>
      <c r="E147" s="11">
        <v>0</v>
      </c>
      <c r="F147" s="13">
        <f>SUMIF('OD 05-24'!A:A,A147,'OD 05-24'!D:D)</f>
        <v>0</v>
      </c>
      <c r="G147" s="13">
        <f>SUMIF('OD 05-24'!A:A,A147,'OD 05-24'!E:E)</f>
        <v>0</v>
      </c>
      <c r="H147" s="14">
        <f t="shared" si="4"/>
        <v>0</v>
      </c>
      <c r="I147" s="14">
        <f t="shared" si="5"/>
        <v>0</v>
      </c>
      <c r="J147" s="8"/>
      <c r="K147" s="8"/>
      <c r="M147" s="339"/>
      <c r="N147" s="315"/>
    </row>
    <row r="148" spans="1:14" s="9" customFormat="1" ht="11.25" x14ac:dyDescent="0.2">
      <c r="A148" s="10">
        <v>44201000</v>
      </c>
      <c r="B148" s="10" t="s">
        <v>331</v>
      </c>
      <c r="C148" s="11">
        <v>44498.300999999978</v>
      </c>
      <c r="D148" s="11">
        <v>0</v>
      </c>
      <c r="E148" s="11">
        <v>44498.302000000003</v>
      </c>
      <c r="F148" s="13">
        <f>SUMIF('OD 05-24'!A:A,A148,'OD 05-24'!D:D)</f>
        <v>0</v>
      </c>
      <c r="G148" s="13">
        <f>SUMIF('OD 05-24'!A:A,A148,'OD 05-24'!E:E)</f>
        <v>0</v>
      </c>
      <c r="H148" s="14">
        <f t="shared" si="4"/>
        <v>-44498.302000000003</v>
      </c>
      <c r="I148" s="14">
        <f t="shared" si="5"/>
        <v>-1.0000000256695785E-3</v>
      </c>
      <c r="J148" s="8" t="s">
        <v>81</v>
      </c>
      <c r="K148" s="8"/>
      <c r="M148" s="339"/>
      <c r="N148" s="315"/>
    </row>
    <row r="149" spans="1:14" s="9" customFormat="1" ht="11.25" x14ac:dyDescent="0.2">
      <c r="A149" s="10">
        <v>44202000</v>
      </c>
      <c r="B149" s="10" t="s">
        <v>332</v>
      </c>
      <c r="C149" s="11">
        <v>0</v>
      </c>
      <c r="D149" s="11">
        <v>0</v>
      </c>
      <c r="E149" s="11">
        <v>0</v>
      </c>
      <c r="F149" s="13">
        <f>SUMIF('OD 05-24'!A:A,A149,'OD 05-24'!D:D)</f>
        <v>0</v>
      </c>
      <c r="G149" s="13">
        <f>SUMIF('OD 05-24'!A:A,A149,'OD 05-24'!E:E)</f>
        <v>0</v>
      </c>
      <c r="H149" s="14">
        <f t="shared" si="4"/>
        <v>0</v>
      </c>
      <c r="I149" s="14">
        <f t="shared" si="5"/>
        <v>0</v>
      </c>
      <c r="J149" s="8"/>
      <c r="K149" s="8"/>
      <c r="M149" s="339"/>
      <c r="N149" s="315"/>
    </row>
    <row r="150" spans="1:14" s="9" customFormat="1" ht="11.25" x14ac:dyDescent="0.2">
      <c r="A150" s="10">
        <v>44203000</v>
      </c>
      <c r="B150" s="10" t="s">
        <v>333</v>
      </c>
      <c r="C150" s="11">
        <v>0</v>
      </c>
      <c r="D150" s="11">
        <v>0</v>
      </c>
      <c r="E150" s="11">
        <v>0</v>
      </c>
      <c r="F150" s="13">
        <f>SUMIF('OD 05-24'!A:A,A150,'OD 05-24'!D:D)</f>
        <v>0</v>
      </c>
      <c r="G150" s="13">
        <f>SUMIF('OD 05-24'!A:A,A150,'OD 05-24'!E:E)</f>
        <v>0</v>
      </c>
      <c r="H150" s="14">
        <f t="shared" si="4"/>
        <v>0</v>
      </c>
      <c r="I150" s="14">
        <f t="shared" si="5"/>
        <v>0</v>
      </c>
      <c r="J150" s="8"/>
      <c r="K150" s="8"/>
      <c r="M150" s="339"/>
      <c r="N150" s="315"/>
    </row>
    <row r="151" spans="1:14" s="9" customFormat="1" ht="11.25" x14ac:dyDescent="0.2">
      <c r="A151" s="10">
        <v>44204000</v>
      </c>
      <c r="B151" s="10" t="s">
        <v>334</v>
      </c>
      <c r="C151" s="11">
        <v>0</v>
      </c>
      <c r="D151" s="11">
        <v>0</v>
      </c>
      <c r="E151" s="11">
        <v>0</v>
      </c>
      <c r="F151" s="13">
        <f>SUMIF('OD 05-24'!A:A,A151,'OD 05-24'!D:D)</f>
        <v>0</v>
      </c>
      <c r="G151" s="13">
        <f>SUMIF('OD 05-24'!A:A,A151,'OD 05-24'!E:E)</f>
        <v>0</v>
      </c>
      <c r="H151" s="14">
        <f t="shared" si="4"/>
        <v>0</v>
      </c>
      <c r="I151" s="14">
        <f t="shared" si="5"/>
        <v>0</v>
      </c>
      <c r="J151" s="8"/>
      <c r="K151" s="8"/>
      <c r="M151" s="339"/>
      <c r="N151" s="315"/>
    </row>
    <row r="152" spans="1:14" s="9" customFormat="1" ht="11.25" x14ac:dyDescent="0.2">
      <c r="A152" s="10">
        <v>44205000</v>
      </c>
      <c r="B152" s="10" t="s">
        <v>335</v>
      </c>
      <c r="C152" s="11">
        <v>0</v>
      </c>
      <c r="D152" s="11">
        <v>0</v>
      </c>
      <c r="E152" s="11">
        <v>0</v>
      </c>
      <c r="F152" s="13">
        <f>SUMIF('OD 05-24'!A:A,A152,'OD 05-24'!D:D)</f>
        <v>0</v>
      </c>
      <c r="G152" s="13">
        <f>SUMIF('OD 05-24'!A:A,A152,'OD 05-24'!E:E)</f>
        <v>0</v>
      </c>
      <c r="H152" s="14">
        <f t="shared" si="4"/>
        <v>0</v>
      </c>
      <c r="I152" s="14">
        <f t="shared" si="5"/>
        <v>0</v>
      </c>
      <c r="J152" s="8"/>
      <c r="K152" s="8"/>
      <c r="M152" s="339"/>
      <c r="N152" s="315"/>
    </row>
    <row r="153" spans="1:14" s="9" customFormat="1" ht="11.25" x14ac:dyDescent="0.2">
      <c r="A153" s="10">
        <v>44206000</v>
      </c>
      <c r="B153" s="10" t="s">
        <v>100</v>
      </c>
      <c r="C153" s="11">
        <v>-439999.99999999988</v>
      </c>
      <c r="D153" s="11">
        <v>95000</v>
      </c>
      <c r="E153" s="11">
        <v>0</v>
      </c>
      <c r="F153" s="13">
        <f>SUMIF('OD 05-24'!A:A,A153,'OD 05-24'!D:D)</f>
        <v>0</v>
      </c>
      <c r="G153" s="13">
        <f>SUMIF('OD 05-24'!A:A,A153,'OD 05-24'!E:E)</f>
        <v>0</v>
      </c>
      <c r="H153" s="14">
        <f t="shared" si="4"/>
        <v>95000</v>
      </c>
      <c r="I153" s="14">
        <f t="shared" si="5"/>
        <v>-344999.99999999988</v>
      </c>
      <c r="J153" s="8" t="s">
        <v>81</v>
      </c>
      <c r="K153" s="8"/>
      <c r="M153" s="339"/>
      <c r="N153" s="315"/>
    </row>
    <row r="154" spans="1:14" s="9" customFormat="1" ht="11.25" x14ac:dyDescent="0.2">
      <c r="A154" s="10">
        <v>44207000</v>
      </c>
      <c r="B154" s="10" t="s">
        <v>336</v>
      </c>
      <c r="C154" s="11">
        <v>165000</v>
      </c>
      <c r="D154" s="11">
        <v>40000</v>
      </c>
      <c r="E154" s="11">
        <v>0</v>
      </c>
      <c r="F154" s="13">
        <f>SUMIF('OD 05-24'!A:A,A154,'OD 05-24'!D:D)</f>
        <v>0</v>
      </c>
      <c r="G154" s="13">
        <f>SUMIF('OD 05-24'!A:A,A154,'OD 05-24'!E:E)</f>
        <v>0</v>
      </c>
      <c r="H154" s="14">
        <f t="shared" si="4"/>
        <v>40000</v>
      </c>
      <c r="I154" s="14">
        <f t="shared" si="5"/>
        <v>205000</v>
      </c>
      <c r="J154" s="8" t="s">
        <v>78</v>
      </c>
      <c r="K154" s="8"/>
      <c r="M154" s="339"/>
      <c r="N154" s="315"/>
    </row>
    <row r="155" spans="1:14" s="9" customFormat="1" ht="11.25" x14ac:dyDescent="0.2">
      <c r="A155" s="10">
        <v>44208000</v>
      </c>
      <c r="B155" s="10" t="s">
        <v>337</v>
      </c>
      <c r="C155" s="11">
        <v>2270.971</v>
      </c>
      <c r="D155" s="11">
        <v>0</v>
      </c>
      <c r="E155" s="11">
        <v>0</v>
      </c>
      <c r="F155" s="13">
        <f>SUMIF('OD 05-24'!A:A,A155,'OD 05-24'!D:D)</f>
        <v>0</v>
      </c>
      <c r="G155" s="13">
        <f>SUMIF('OD 05-24'!A:A,A155,'OD 05-24'!E:E)</f>
        <v>0</v>
      </c>
      <c r="H155" s="14">
        <f t="shared" si="4"/>
        <v>0</v>
      </c>
      <c r="I155" s="14">
        <f t="shared" si="5"/>
        <v>2270.971</v>
      </c>
      <c r="J155" s="8" t="s">
        <v>78</v>
      </c>
      <c r="K155" s="8"/>
      <c r="M155" s="339"/>
      <c r="N155" s="315"/>
    </row>
    <row r="156" spans="1:14" s="9" customFormat="1" ht="11.25" x14ac:dyDescent="0.2">
      <c r="A156" s="10">
        <v>44209000</v>
      </c>
      <c r="B156" s="10" t="s">
        <v>392</v>
      </c>
      <c r="C156" s="11">
        <v>3626.8820000002161</v>
      </c>
      <c r="D156" s="11">
        <v>0</v>
      </c>
      <c r="E156" s="11">
        <v>0</v>
      </c>
      <c r="F156" s="13">
        <f>SUMIF('OD 05-24'!A:A,A156,'OD 05-24'!D:D)</f>
        <v>0</v>
      </c>
      <c r="G156" s="13">
        <f>SUMIF('OD 05-24'!A:A,A156,'OD 05-24'!E:E)</f>
        <v>0</v>
      </c>
      <c r="H156" s="14">
        <f t="shared" si="4"/>
        <v>0</v>
      </c>
      <c r="I156" s="14">
        <f t="shared" si="5"/>
        <v>3626.8820000002161</v>
      </c>
      <c r="J156" s="8" t="s">
        <v>78</v>
      </c>
      <c r="K156" s="8"/>
      <c r="M156" s="339"/>
      <c r="N156" s="315"/>
    </row>
    <row r="157" spans="1:14" s="9" customFormat="1" ht="11.25" x14ac:dyDescent="0.2">
      <c r="A157" s="10">
        <v>44210000</v>
      </c>
      <c r="B157" s="10" t="s">
        <v>338</v>
      </c>
      <c r="C157" s="11">
        <v>0</v>
      </c>
      <c r="D157" s="11">
        <v>0</v>
      </c>
      <c r="E157" s="11">
        <v>0</v>
      </c>
      <c r="F157" s="13">
        <f>SUMIF('OD 05-24'!A:A,A157,'OD 05-24'!D:D)</f>
        <v>0</v>
      </c>
      <c r="G157" s="13">
        <f>SUMIF('OD 05-24'!A:A,A157,'OD 05-24'!E:E)</f>
        <v>0</v>
      </c>
      <c r="H157" s="14">
        <f t="shared" si="4"/>
        <v>0</v>
      </c>
      <c r="I157" s="14">
        <f t="shared" si="5"/>
        <v>0</v>
      </c>
      <c r="J157" s="8"/>
      <c r="K157" s="8"/>
      <c r="M157" s="339"/>
      <c r="N157" s="315"/>
    </row>
    <row r="158" spans="1:14" s="9" customFormat="1" ht="11.25" x14ac:dyDescent="0.2">
      <c r="A158" s="10">
        <v>44600000</v>
      </c>
      <c r="B158" s="10" t="s">
        <v>339</v>
      </c>
      <c r="C158" s="11">
        <v>0</v>
      </c>
      <c r="D158" s="11">
        <v>0</v>
      </c>
      <c r="E158" s="11">
        <v>0</v>
      </c>
      <c r="F158" s="13">
        <f>SUMIF('OD 05-24'!A:A,A158,'OD 05-24'!D:D)</f>
        <v>0</v>
      </c>
      <c r="G158" s="13">
        <f>SUMIF('OD 05-24'!A:A,A158,'OD 05-24'!E:E)</f>
        <v>0</v>
      </c>
      <c r="H158" s="14">
        <f t="shared" si="4"/>
        <v>0</v>
      </c>
      <c r="I158" s="14">
        <f t="shared" si="5"/>
        <v>0</v>
      </c>
      <c r="J158" s="8"/>
      <c r="K158" s="8"/>
      <c r="M158" s="339"/>
      <c r="N158" s="315"/>
    </row>
    <row r="159" spans="1:14" s="9" customFormat="1" ht="11.25" x14ac:dyDescent="0.2">
      <c r="A159" s="10">
        <v>44700000</v>
      </c>
      <c r="B159" s="10" t="s">
        <v>101</v>
      </c>
      <c r="C159" s="11">
        <v>0</v>
      </c>
      <c r="D159" s="11">
        <v>0</v>
      </c>
      <c r="E159" s="11">
        <v>0</v>
      </c>
      <c r="F159" s="13">
        <f>SUMIF('OD 05-24'!A:A,A159,'OD 05-24'!D:D)</f>
        <v>0</v>
      </c>
      <c r="G159" s="13">
        <f>SUMIF('OD 05-24'!A:A,A159,'OD 05-24'!E:E)</f>
        <v>0</v>
      </c>
      <c r="H159" s="14">
        <f t="shared" si="4"/>
        <v>0</v>
      </c>
      <c r="I159" s="14">
        <f t="shared" si="5"/>
        <v>0</v>
      </c>
      <c r="J159" s="8"/>
      <c r="K159" s="8"/>
      <c r="M159" s="339"/>
      <c r="N159" s="315"/>
    </row>
    <row r="160" spans="1:14" s="9" customFormat="1" ht="11.25" x14ac:dyDescent="0.2">
      <c r="A160" s="10">
        <v>45000000</v>
      </c>
      <c r="B160" s="10" t="s">
        <v>102</v>
      </c>
      <c r="C160" s="11">
        <v>-12700</v>
      </c>
      <c r="D160" s="11">
        <v>0</v>
      </c>
      <c r="E160" s="11">
        <v>0</v>
      </c>
      <c r="F160" s="13">
        <f>SUMIF('OD 05-24'!A:A,A160,'OD 05-24'!D:D)</f>
        <v>0</v>
      </c>
      <c r="G160" s="13">
        <f>SUMIF('OD 05-24'!A:A,A160,'OD 05-24'!E:E)</f>
        <v>0</v>
      </c>
      <c r="H160" s="14">
        <f t="shared" si="4"/>
        <v>0</v>
      </c>
      <c r="I160" s="14">
        <f t="shared" si="5"/>
        <v>-12700</v>
      </c>
      <c r="J160" s="8" t="s">
        <v>81</v>
      </c>
      <c r="K160" s="8"/>
      <c r="M160" s="339"/>
      <c r="N160" s="315"/>
    </row>
    <row r="161" spans="1:14" s="9" customFormat="1" ht="11.25" x14ac:dyDescent="0.2">
      <c r="A161" s="10">
        <v>45200000</v>
      </c>
      <c r="B161" s="10" t="s">
        <v>103</v>
      </c>
      <c r="C161" s="11">
        <v>-2500</v>
      </c>
      <c r="D161" s="11">
        <v>56000</v>
      </c>
      <c r="E161" s="11">
        <v>56000</v>
      </c>
      <c r="F161" s="13">
        <f>SUMIF('OD 05-24'!A:A,A161,'OD 05-24'!D:D)</f>
        <v>0</v>
      </c>
      <c r="G161" s="13">
        <f>SUMIF('OD 05-24'!A:A,A161,'OD 05-24'!E:E)</f>
        <v>0</v>
      </c>
      <c r="H161" s="14">
        <f t="shared" si="4"/>
        <v>0</v>
      </c>
      <c r="I161" s="14">
        <f t="shared" si="5"/>
        <v>-2500</v>
      </c>
      <c r="J161" s="8" t="s">
        <v>81</v>
      </c>
      <c r="K161" s="8"/>
      <c r="M161" s="339"/>
      <c r="N161" s="315"/>
    </row>
    <row r="162" spans="1:14" s="9" customFormat="1" ht="11.25" x14ac:dyDescent="0.2">
      <c r="A162" s="10">
        <v>45310000</v>
      </c>
      <c r="B162" s="10" t="s">
        <v>104</v>
      </c>
      <c r="C162" s="11">
        <v>-244010.37100000028</v>
      </c>
      <c r="D162" s="11">
        <v>500113.12299999996</v>
      </c>
      <c r="E162" s="11">
        <v>314335.41700000002</v>
      </c>
      <c r="F162" s="13">
        <f>SUMIF('OD 05-24'!A:A,A162,'OD 05-24'!D:D)</f>
        <v>302670.05</v>
      </c>
      <c r="G162" s="13">
        <f>SUMIF('OD 05-24'!A:A,A162,'OD 05-24'!E:E)</f>
        <v>389766.71500000003</v>
      </c>
      <c r="H162" s="14">
        <f t="shared" si="4"/>
        <v>98681.04099999991</v>
      </c>
      <c r="I162" s="14">
        <f t="shared" si="5"/>
        <v>-145329.33000000037</v>
      </c>
      <c r="J162" s="8" t="s">
        <v>81</v>
      </c>
      <c r="K162" s="8"/>
      <c r="M162" s="339"/>
      <c r="N162" s="315"/>
    </row>
    <row r="163" spans="1:14" s="9" customFormat="1" ht="11.25" x14ac:dyDescent="0.2">
      <c r="A163" s="10">
        <v>45700000</v>
      </c>
      <c r="B163" s="10" t="s">
        <v>105</v>
      </c>
      <c r="C163" s="11">
        <v>7122.9679999998771</v>
      </c>
      <c r="D163" s="11">
        <v>0</v>
      </c>
      <c r="E163" s="11">
        <v>0</v>
      </c>
      <c r="F163" s="13">
        <f>SUMIF('OD 05-24'!A:A,A163,'OD 05-24'!D:D)</f>
        <v>0</v>
      </c>
      <c r="G163" s="13">
        <f>SUMIF('OD 05-24'!A:A,A163,'OD 05-24'!E:E)</f>
        <v>0</v>
      </c>
      <c r="H163" s="14">
        <f t="shared" si="4"/>
        <v>0</v>
      </c>
      <c r="I163" s="14">
        <f t="shared" si="5"/>
        <v>7122.9679999998771</v>
      </c>
      <c r="J163" s="8" t="s">
        <v>78</v>
      </c>
      <c r="K163" s="8"/>
      <c r="M163" s="339"/>
      <c r="N163" s="315"/>
    </row>
    <row r="164" spans="1:14" s="9" customFormat="1" ht="11.25" x14ac:dyDescent="0.2">
      <c r="A164" s="10">
        <v>45860000</v>
      </c>
      <c r="B164" s="10" t="s">
        <v>106</v>
      </c>
      <c r="C164" s="11">
        <v>-1872970.182</v>
      </c>
      <c r="D164" s="11">
        <v>841594.21200000006</v>
      </c>
      <c r="E164" s="11">
        <v>197370.59700000001</v>
      </c>
      <c r="F164" s="13">
        <f>SUMIF('OD 05-24'!A:A,A164,'OD 05-24'!D:D)</f>
        <v>3224365.6889999998</v>
      </c>
      <c r="G164" s="13">
        <f>SUMIF('OD 05-24'!A:A,A164,'OD 05-24'!E:E)</f>
        <v>4254037.2280000001</v>
      </c>
      <c r="H164" s="14">
        <f t="shared" si="4"/>
        <v>-385447.92400000058</v>
      </c>
      <c r="I164" s="14">
        <f t="shared" si="5"/>
        <v>-2258418.1060000006</v>
      </c>
      <c r="J164" s="8" t="s">
        <v>81</v>
      </c>
      <c r="K164" s="8"/>
      <c r="M164" s="339"/>
      <c r="N164" s="315"/>
    </row>
    <row r="165" spans="1:14" s="9" customFormat="1" ht="11.25" x14ac:dyDescent="0.2">
      <c r="A165" s="10">
        <v>45870000</v>
      </c>
      <c r="B165" s="10" t="s">
        <v>107</v>
      </c>
      <c r="C165" s="11">
        <v>38770.517999999225</v>
      </c>
      <c r="D165" s="11">
        <v>0</v>
      </c>
      <c r="E165" s="11">
        <v>0</v>
      </c>
      <c r="F165" s="13">
        <f>SUMIF('OD 05-24'!A:A,A165,'OD 05-24'!D:D)</f>
        <v>48636.794999999998</v>
      </c>
      <c r="G165" s="13">
        <f>SUMIF('OD 05-24'!A:A,A165,'OD 05-24'!E:E)</f>
        <v>32424.53</v>
      </c>
      <c r="H165" s="14">
        <f t="shared" si="4"/>
        <v>16212.264999999999</v>
      </c>
      <c r="I165" s="14">
        <f t="shared" si="5"/>
        <v>54982.782999999225</v>
      </c>
      <c r="J165" s="8" t="s">
        <v>78</v>
      </c>
      <c r="K165" s="8"/>
      <c r="M165" s="339"/>
      <c r="N165" s="315"/>
    </row>
    <row r="166" spans="1:14" s="9" customFormat="1" ht="11.25" x14ac:dyDescent="0.2">
      <c r="A166" s="10">
        <v>46100000</v>
      </c>
      <c r="B166" s="10" t="s">
        <v>340</v>
      </c>
      <c r="C166" s="11">
        <v>0</v>
      </c>
      <c r="D166" s="11">
        <v>26222.382999999994</v>
      </c>
      <c r="E166" s="11">
        <v>26222.382999999994</v>
      </c>
      <c r="F166" s="13">
        <f>SUMIF('OD 05-24'!A:A,A166,'OD 05-24'!D:D)</f>
        <v>0</v>
      </c>
      <c r="G166" s="13">
        <f>SUMIF('OD 05-24'!A:A,A166,'OD 05-24'!E:E)</f>
        <v>0</v>
      </c>
      <c r="H166" s="14">
        <f t="shared" si="4"/>
        <v>0</v>
      </c>
      <c r="I166" s="14">
        <f t="shared" si="5"/>
        <v>0</v>
      </c>
      <c r="J166" s="8"/>
      <c r="K166" s="8"/>
      <c r="M166" s="339"/>
      <c r="N166" s="315"/>
    </row>
    <row r="167" spans="1:14" s="9" customFormat="1" ht="11.25" x14ac:dyDescent="0.2">
      <c r="A167" s="10">
        <v>46800000</v>
      </c>
      <c r="B167" s="10" t="s">
        <v>108</v>
      </c>
      <c r="C167" s="11">
        <v>0</v>
      </c>
      <c r="D167" s="11">
        <v>0</v>
      </c>
      <c r="E167" s="11">
        <v>0</v>
      </c>
      <c r="F167" s="13">
        <f>SUMIF('OD 05-24'!A:A,A167,'OD 05-24'!D:D)</f>
        <v>0</v>
      </c>
      <c r="G167" s="13">
        <f>SUMIF('OD 05-24'!A:A,A167,'OD 05-24'!E:E)</f>
        <v>0</v>
      </c>
      <c r="H167" s="14">
        <f t="shared" si="4"/>
        <v>0</v>
      </c>
      <c r="I167" s="14">
        <f t="shared" si="5"/>
        <v>0</v>
      </c>
      <c r="J167" s="8"/>
      <c r="K167" s="8"/>
      <c r="M167" s="339"/>
      <c r="N167" s="315"/>
    </row>
    <row r="168" spans="1:14" s="9" customFormat="1" ht="11.25" x14ac:dyDescent="0.2">
      <c r="A168" s="10">
        <v>47100000</v>
      </c>
      <c r="B168" s="10" t="s">
        <v>109</v>
      </c>
      <c r="C168" s="11">
        <v>222018.92184599978</v>
      </c>
      <c r="D168" s="11">
        <v>523.68799999999999</v>
      </c>
      <c r="E168" s="11">
        <v>221330.79699999996</v>
      </c>
      <c r="F168" s="13">
        <f>SUMIF('OD 05-24'!A:A,A168,'OD 05-24'!D:D)</f>
        <v>808337.14399999997</v>
      </c>
      <c r="G168" s="13">
        <f>SUMIF('OD 05-24'!A:A,A168,'OD 05-24'!E:E)</f>
        <v>760687.26800000004</v>
      </c>
      <c r="H168" s="14">
        <f t="shared" si="4"/>
        <v>-173157.23300000012</v>
      </c>
      <c r="I168" s="14">
        <f t="shared" si="5"/>
        <v>48861.688845999655</v>
      </c>
      <c r="J168" s="8" t="s">
        <v>78</v>
      </c>
      <c r="K168" s="8"/>
      <c r="M168" s="339"/>
      <c r="N168" s="315"/>
    </row>
    <row r="169" spans="1:14" s="9" customFormat="1" ht="11.25" x14ac:dyDescent="0.2">
      <c r="A169" s="10">
        <v>47200000</v>
      </c>
      <c r="B169" s="10" t="s">
        <v>341</v>
      </c>
      <c r="C169" s="11">
        <v>0</v>
      </c>
      <c r="D169" s="11">
        <v>0</v>
      </c>
      <c r="E169" s="11">
        <v>0</v>
      </c>
      <c r="F169" s="13">
        <f>SUMIF('OD 05-24'!A:A,A169,'OD 05-24'!D:D)</f>
        <v>0</v>
      </c>
      <c r="G169" s="13">
        <f>SUMIF('OD 05-24'!A:A,A169,'OD 05-24'!E:E)</f>
        <v>0</v>
      </c>
      <c r="H169" s="14">
        <f t="shared" si="4"/>
        <v>0</v>
      </c>
      <c r="I169" s="14">
        <f t="shared" si="5"/>
        <v>0</v>
      </c>
      <c r="J169" s="8"/>
      <c r="K169" s="8"/>
      <c r="M169" s="339"/>
      <c r="N169" s="315"/>
    </row>
    <row r="170" spans="1:14" s="9" customFormat="1" ht="11.25" x14ac:dyDescent="0.2">
      <c r="A170" s="10">
        <v>49100000</v>
      </c>
      <c r="B170" s="10" t="s">
        <v>110</v>
      </c>
      <c r="C170" s="11">
        <v>-457129.14999999991</v>
      </c>
      <c r="D170" s="11">
        <v>0</v>
      </c>
      <c r="E170" s="11">
        <v>0</v>
      </c>
      <c r="F170" s="13">
        <f>SUMIF('OD 05-24'!A:A,A170,'OD 05-24'!D:D)</f>
        <v>400000</v>
      </c>
      <c r="G170" s="13">
        <f>SUMIF('OD 05-24'!A:A,A170,'OD 05-24'!E:E)</f>
        <v>600000</v>
      </c>
      <c r="H170" s="14">
        <f t="shared" si="4"/>
        <v>-200000</v>
      </c>
      <c r="I170" s="14">
        <f t="shared" si="5"/>
        <v>-657129.14999999991</v>
      </c>
      <c r="J170" s="8" t="s">
        <v>111</v>
      </c>
      <c r="K170" s="8"/>
      <c r="M170" s="339"/>
      <c r="N170" s="315"/>
    </row>
    <row r="171" spans="1:14" s="9" customFormat="1" ht="11.25" x14ac:dyDescent="0.2">
      <c r="A171" s="10">
        <v>49600000</v>
      </c>
      <c r="B171" s="10" t="s">
        <v>112</v>
      </c>
      <c r="C171" s="11">
        <v>-288613.68499999994</v>
      </c>
      <c r="D171" s="11">
        <v>0</v>
      </c>
      <c r="E171" s="11">
        <v>0</v>
      </c>
      <c r="F171" s="13">
        <f>SUMIF('OD 05-24'!A:A,A171,'OD 05-24'!D:D)</f>
        <v>0</v>
      </c>
      <c r="G171" s="13">
        <f>SUMIF('OD 05-24'!A:A,A171,'OD 05-24'!E:E)</f>
        <v>0</v>
      </c>
      <c r="H171" s="14">
        <f t="shared" si="4"/>
        <v>0</v>
      </c>
      <c r="I171" s="14">
        <f t="shared" si="5"/>
        <v>-288613.68499999994</v>
      </c>
      <c r="J171" s="8" t="s">
        <v>113</v>
      </c>
      <c r="K171" s="8"/>
      <c r="M171" s="339"/>
      <c r="N171" s="315"/>
    </row>
    <row r="172" spans="1:14" s="9" customFormat="1" ht="11.25" x14ac:dyDescent="0.2">
      <c r="A172" s="10">
        <v>50130000</v>
      </c>
      <c r="B172" s="10" t="s">
        <v>114</v>
      </c>
      <c r="C172" s="11">
        <v>-6000000</v>
      </c>
      <c r="D172" s="11">
        <v>6000000</v>
      </c>
      <c r="E172" s="11">
        <v>6000000</v>
      </c>
      <c r="F172" s="13">
        <f>SUMIF('OD 05-24'!A:A,A172,'OD 05-24'!D:D)</f>
        <v>0</v>
      </c>
      <c r="G172" s="13">
        <f>SUMIF('OD 05-24'!A:A,A172,'OD 05-24'!E:E)</f>
        <v>0</v>
      </c>
      <c r="H172" s="14">
        <f t="shared" si="4"/>
        <v>0</v>
      </c>
      <c r="I172" s="14">
        <f t="shared" si="5"/>
        <v>-6000000</v>
      </c>
      <c r="J172" s="8" t="s">
        <v>115</v>
      </c>
      <c r="K172" s="8"/>
      <c r="M172" s="339"/>
      <c r="N172" s="315"/>
    </row>
    <row r="173" spans="1:14" s="9" customFormat="1" ht="11.25" x14ac:dyDescent="0.2">
      <c r="A173" s="10">
        <v>50140000</v>
      </c>
      <c r="B173" s="10" t="s">
        <v>116</v>
      </c>
      <c r="C173" s="11">
        <v>-4000000</v>
      </c>
      <c r="D173" s="11">
        <v>4000000</v>
      </c>
      <c r="E173" s="11">
        <v>4000000</v>
      </c>
      <c r="F173" s="13">
        <f>SUMIF('OD 05-24'!A:A,A173,'OD 05-24'!D:D)</f>
        <v>0</v>
      </c>
      <c r="G173" s="13">
        <f>SUMIF('OD 05-24'!A:A,A173,'OD 05-24'!E:E)</f>
        <v>0</v>
      </c>
      <c r="H173" s="14">
        <f t="shared" si="4"/>
        <v>0</v>
      </c>
      <c r="I173" s="14">
        <f t="shared" si="5"/>
        <v>-4000000</v>
      </c>
      <c r="J173" s="8" t="s">
        <v>115</v>
      </c>
      <c r="K173" s="8"/>
      <c r="M173" s="339"/>
      <c r="N173" s="315"/>
    </row>
    <row r="174" spans="1:14" s="9" customFormat="1" ht="11.25" x14ac:dyDescent="0.2">
      <c r="A174" s="10">
        <v>50500000</v>
      </c>
      <c r="B174" s="10" t="s">
        <v>117</v>
      </c>
      <c r="C174" s="11">
        <v>-625000.00400000252</v>
      </c>
      <c r="D174" s="11">
        <v>312500</v>
      </c>
      <c r="E174" s="11">
        <v>0</v>
      </c>
      <c r="F174" s="13">
        <f>SUMIF('OD 05-24'!A:A,A174,'OD 05-24'!D:D)</f>
        <v>0</v>
      </c>
      <c r="G174" s="13">
        <f>SUMIF('OD 05-24'!A:A,A174,'OD 05-24'!E:E)</f>
        <v>0</v>
      </c>
      <c r="H174" s="14">
        <f t="shared" si="4"/>
        <v>312500</v>
      </c>
      <c r="I174" s="14">
        <f t="shared" si="5"/>
        <v>-312500.00400000252</v>
      </c>
      <c r="J174" s="8" t="s">
        <v>115</v>
      </c>
      <c r="K174" s="8"/>
      <c r="M174" s="339"/>
      <c r="N174" s="315"/>
    </row>
    <row r="175" spans="1:14" s="9" customFormat="1" ht="11.25" x14ac:dyDescent="0.2">
      <c r="A175" s="10">
        <v>50515000</v>
      </c>
      <c r="B175" s="10" t="s">
        <v>118</v>
      </c>
      <c r="C175" s="11">
        <v>-131871.57899999991</v>
      </c>
      <c r="D175" s="11">
        <v>90988.994999999995</v>
      </c>
      <c r="E175" s="11">
        <v>177069.25399999999</v>
      </c>
      <c r="F175" s="13">
        <f>SUMIF('OD 05-24'!A:A,A175,'OD 05-24'!D:D)</f>
        <v>0</v>
      </c>
      <c r="G175" s="13">
        <f>SUMIF('OD 05-24'!A:A,A175,'OD 05-24'!E:E)</f>
        <v>0</v>
      </c>
      <c r="H175" s="14">
        <f t="shared" si="4"/>
        <v>-86080.258999999991</v>
      </c>
      <c r="I175" s="14">
        <f t="shared" si="5"/>
        <v>-217951.8379999999</v>
      </c>
      <c r="J175" s="8" t="s">
        <v>115</v>
      </c>
      <c r="K175" s="8"/>
      <c r="M175" s="339"/>
      <c r="N175" s="315"/>
    </row>
    <row r="176" spans="1:14" s="9" customFormat="1" ht="11.25" x14ac:dyDescent="0.2">
      <c r="A176" s="10">
        <v>50610100</v>
      </c>
      <c r="B176" s="10" t="s">
        <v>342</v>
      </c>
      <c r="C176" s="11">
        <v>0</v>
      </c>
      <c r="D176" s="11">
        <v>0</v>
      </c>
      <c r="E176" s="11">
        <v>0</v>
      </c>
      <c r="F176" s="13">
        <f>SUMIF('OD 05-24'!A:A,A176,'OD 05-24'!D:D)</f>
        <v>0</v>
      </c>
      <c r="G176" s="13">
        <f>SUMIF('OD 05-24'!A:A,A176,'OD 05-24'!E:E)</f>
        <v>0</v>
      </c>
      <c r="H176" s="14">
        <f t="shared" si="4"/>
        <v>0</v>
      </c>
      <c r="I176" s="14">
        <f t="shared" si="5"/>
        <v>0</v>
      </c>
      <c r="J176" s="8"/>
      <c r="K176" s="8"/>
      <c r="M176" s="339"/>
      <c r="N176" s="315"/>
    </row>
    <row r="177" spans="1:14" s="9" customFormat="1" ht="11.25" x14ac:dyDescent="0.2">
      <c r="A177" s="10">
        <v>50610900</v>
      </c>
      <c r="B177" s="10" t="s">
        <v>119</v>
      </c>
      <c r="C177" s="11">
        <v>-1347864.9606235027</v>
      </c>
      <c r="D177" s="11">
        <v>1359732.8840000001</v>
      </c>
      <c r="E177" s="11">
        <v>11867.923000000001</v>
      </c>
      <c r="F177" s="13">
        <f>SUMIF('OD 05-24'!A:A,A177,'OD 05-24'!D:D)</f>
        <v>0</v>
      </c>
      <c r="G177" s="13">
        <f>SUMIF('OD 05-24'!A:A,A177,'OD 05-24'!E:E)</f>
        <v>0</v>
      </c>
      <c r="H177" s="14">
        <f t="shared" si="4"/>
        <v>1347864.9610000001</v>
      </c>
      <c r="I177" s="14">
        <f t="shared" si="5"/>
        <v>3.7649739533662796E-4</v>
      </c>
      <c r="J177" s="8" t="s">
        <v>115</v>
      </c>
      <c r="K177" s="8"/>
      <c r="M177" s="339"/>
      <c r="N177" s="315"/>
    </row>
    <row r="178" spans="1:14" s="9" customFormat="1" ht="11.25" x14ac:dyDescent="0.2">
      <c r="A178" s="10">
        <v>50630000</v>
      </c>
      <c r="B178" s="10" t="s">
        <v>343</v>
      </c>
      <c r="C178" s="11">
        <v>-443000</v>
      </c>
      <c r="D178" s="11">
        <v>443000</v>
      </c>
      <c r="E178" s="11">
        <v>0</v>
      </c>
      <c r="F178" s="13">
        <f>SUMIF('OD 05-24'!A:A,A178,'OD 05-24'!D:D)</f>
        <v>0</v>
      </c>
      <c r="G178" s="13">
        <f>SUMIF('OD 05-24'!A:A,A178,'OD 05-24'!E:E)</f>
        <v>0</v>
      </c>
      <c r="H178" s="14">
        <f t="shared" si="4"/>
        <v>443000</v>
      </c>
      <c r="I178" s="14">
        <f t="shared" si="5"/>
        <v>0</v>
      </c>
      <c r="J178" s="8" t="s">
        <v>115</v>
      </c>
      <c r="K178" s="8"/>
      <c r="M178" s="339"/>
      <c r="N178" s="315"/>
    </row>
    <row r="179" spans="1:14" s="9" customFormat="1" ht="11.25" x14ac:dyDescent="0.2">
      <c r="A179" s="10">
        <v>50800000</v>
      </c>
      <c r="B179" s="10" t="s">
        <v>344</v>
      </c>
      <c r="C179" s="11">
        <v>-31533.957000000002</v>
      </c>
      <c r="D179" s="11">
        <v>31533.957000000002</v>
      </c>
      <c r="E179" s="11">
        <v>0</v>
      </c>
      <c r="F179" s="13">
        <f>SUMIF('OD 05-24'!A:A,A179,'OD 05-24'!D:D)</f>
        <v>0</v>
      </c>
      <c r="G179" s="13">
        <f>SUMIF('OD 05-24'!A:A,A179,'OD 05-24'!E:E)</f>
        <v>0</v>
      </c>
      <c r="H179" s="14">
        <f t="shared" si="4"/>
        <v>31533.957000000002</v>
      </c>
      <c r="I179" s="14">
        <f t="shared" si="5"/>
        <v>0</v>
      </c>
      <c r="J179" s="8" t="s">
        <v>115</v>
      </c>
      <c r="K179" s="8"/>
      <c r="M179" s="339"/>
      <c r="N179" s="315"/>
    </row>
    <row r="180" spans="1:14" s="9" customFormat="1" ht="11.25" x14ac:dyDescent="0.2">
      <c r="A180" s="10">
        <v>52000000</v>
      </c>
      <c r="B180" s="10" t="s">
        <v>345</v>
      </c>
      <c r="C180" s="11">
        <v>0</v>
      </c>
      <c r="D180" s="11">
        <v>0</v>
      </c>
      <c r="E180" s="11">
        <v>0</v>
      </c>
      <c r="F180" s="13">
        <f>SUMIF('OD 05-24'!A:A,A180,'OD 05-24'!D:D)</f>
        <v>0</v>
      </c>
      <c r="G180" s="13">
        <f>SUMIF('OD 05-24'!A:A,A180,'OD 05-24'!E:E)</f>
        <v>0</v>
      </c>
      <c r="H180" s="14">
        <f t="shared" si="4"/>
        <v>0</v>
      </c>
      <c r="I180" s="14">
        <f t="shared" si="5"/>
        <v>0</v>
      </c>
      <c r="J180" s="8"/>
      <c r="K180" s="8"/>
      <c r="M180" s="339"/>
      <c r="N180" s="315"/>
    </row>
    <row r="181" spans="1:14" s="9" customFormat="1" ht="11.25" x14ac:dyDescent="0.2">
      <c r="A181" s="10">
        <v>52001100</v>
      </c>
      <c r="B181" s="10" t="s">
        <v>346</v>
      </c>
      <c r="C181" s="11">
        <v>0</v>
      </c>
      <c r="D181" s="11">
        <v>0</v>
      </c>
      <c r="E181" s="11">
        <v>0</v>
      </c>
      <c r="F181" s="13">
        <f>SUMIF('OD 05-24'!A:A,A181,'OD 05-24'!D:D)</f>
        <v>0</v>
      </c>
      <c r="G181" s="13">
        <f>SUMIF('OD 05-24'!A:A,A181,'OD 05-24'!E:E)</f>
        <v>0</v>
      </c>
      <c r="H181" s="14">
        <f t="shared" si="4"/>
        <v>0</v>
      </c>
      <c r="I181" s="14">
        <f t="shared" si="5"/>
        <v>0</v>
      </c>
      <c r="J181" s="8"/>
      <c r="K181" s="8"/>
      <c r="M181" s="339"/>
      <c r="N181" s="315"/>
    </row>
    <row r="182" spans="1:14" s="9" customFormat="1" ht="11.25" x14ac:dyDescent="0.2">
      <c r="A182" s="10">
        <v>53140000</v>
      </c>
      <c r="B182" s="10" t="s">
        <v>347</v>
      </c>
      <c r="C182" s="11">
        <v>0</v>
      </c>
      <c r="D182" s="11">
        <v>0</v>
      </c>
      <c r="E182" s="11">
        <v>0</v>
      </c>
      <c r="F182" s="13">
        <f>SUMIF('OD 05-24'!A:A,A182,'OD 05-24'!D:D)</f>
        <v>0</v>
      </c>
      <c r="G182" s="13">
        <f>SUMIF('OD 05-24'!A:A,A182,'OD 05-24'!E:E)</f>
        <v>0</v>
      </c>
      <c r="H182" s="14">
        <f t="shared" si="4"/>
        <v>0</v>
      </c>
      <c r="I182" s="14">
        <f t="shared" si="5"/>
        <v>0</v>
      </c>
      <c r="J182" s="8"/>
      <c r="K182" s="8"/>
      <c r="M182" s="339"/>
      <c r="N182" s="315"/>
    </row>
    <row r="183" spans="1:14" s="9" customFormat="1" ht="11.25" x14ac:dyDescent="0.2">
      <c r="A183" s="10">
        <v>53200000</v>
      </c>
      <c r="B183" s="10" t="s">
        <v>120</v>
      </c>
      <c r="C183" s="11">
        <v>185799.56100001931</v>
      </c>
      <c r="D183" s="11">
        <v>15192242.145999998</v>
      </c>
      <c r="E183" s="11">
        <v>15181691.122</v>
      </c>
      <c r="F183" s="13">
        <f>SUMIF('OD 05-24'!A:A,A183,'OD 05-24'!D:D)</f>
        <v>0</v>
      </c>
      <c r="G183" s="13">
        <f>SUMIF('OD 05-24'!A:A,A183,'OD 05-24'!E:E)</f>
        <v>0</v>
      </c>
      <c r="H183" s="14">
        <f t="shared" si="4"/>
        <v>10551.023999998346</v>
      </c>
      <c r="I183" s="14">
        <f t="shared" si="5"/>
        <v>196350.58500001766</v>
      </c>
      <c r="J183" s="8" t="s">
        <v>121</v>
      </c>
      <c r="K183" s="8"/>
      <c r="M183" s="339"/>
      <c r="N183" s="315"/>
    </row>
    <row r="184" spans="1:14" s="9" customFormat="1" ht="11.25" x14ac:dyDescent="0.2">
      <c r="A184" s="10">
        <v>53201000</v>
      </c>
      <c r="B184" s="10" t="s">
        <v>348</v>
      </c>
      <c r="C184" s="11">
        <v>0</v>
      </c>
      <c r="D184" s="11">
        <v>0</v>
      </c>
      <c r="E184" s="11">
        <v>0</v>
      </c>
      <c r="F184" s="13">
        <f>SUMIF('OD 05-24'!A:A,A184,'OD 05-24'!D:D)</f>
        <v>0</v>
      </c>
      <c r="G184" s="13">
        <f>SUMIF('OD 05-24'!A:A,A184,'OD 05-24'!E:E)</f>
        <v>0</v>
      </c>
      <c r="H184" s="14">
        <f t="shared" si="4"/>
        <v>0</v>
      </c>
      <c r="I184" s="14">
        <f t="shared" si="5"/>
        <v>0</v>
      </c>
      <c r="J184" s="8"/>
      <c r="K184" s="8"/>
      <c r="M184" s="339"/>
      <c r="N184" s="315"/>
    </row>
    <row r="185" spans="1:14" s="9" customFormat="1" ht="11.25" x14ac:dyDescent="0.2">
      <c r="A185" s="10">
        <v>53202000</v>
      </c>
      <c r="B185" s="10" t="s">
        <v>122</v>
      </c>
      <c r="C185" s="11">
        <v>435.74199999962002</v>
      </c>
      <c r="D185" s="11">
        <v>0</v>
      </c>
      <c r="E185" s="11">
        <v>0</v>
      </c>
      <c r="F185" s="13">
        <f>SUMIF('OD 05-24'!A:A,A185,'OD 05-24'!D:D)</f>
        <v>0</v>
      </c>
      <c r="G185" s="13">
        <f>SUMIF('OD 05-24'!A:A,A185,'OD 05-24'!E:E)</f>
        <v>0</v>
      </c>
      <c r="H185" s="14">
        <f t="shared" si="4"/>
        <v>0</v>
      </c>
      <c r="I185" s="14">
        <f t="shared" si="5"/>
        <v>435.74199999962002</v>
      </c>
      <c r="J185" s="8" t="s">
        <v>121</v>
      </c>
      <c r="K185" s="8"/>
      <c r="M185" s="339"/>
      <c r="N185" s="315"/>
    </row>
    <row r="186" spans="1:14" s="9" customFormat="1" ht="11.25" x14ac:dyDescent="0.2">
      <c r="A186" s="10">
        <v>53203000</v>
      </c>
      <c r="B186" s="10" t="s">
        <v>349</v>
      </c>
      <c r="C186" s="11">
        <v>159807.23199999891</v>
      </c>
      <c r="D186" s="11">
        <v>281772.00599999999</v>
      </c>
      <c r="E186" s="11">
        <v>415229.19</v>
      </c>
      <c r="F186" s="13">
        <f>SUMIF('OD 05-24'!A:A,A186,'OD 05-24'!D:D)</f>
        <v>0</v>
      </c>
      <c r="G186" s="13">
        <f>SUMIF('OD 05-24'!A:A,A186,'OD 05-24'!E:E)</f>
        <v>0</v>
      </c>
      <c r="H186" s="14">
        <f t="shared" si="4"/>
        <v>-133457.18400000001</v>
      </c>
      <c r="I186" s="14">
        <f t="shared" si="5"/>
        <v>26350.047999998904</v>
      </c>
      <c r="J186" s="8" t="s">
        <v>121</v>
      </c>
      <c r="K186" s="8"/>
      <c r="M186" s="339"/>
      <c r="N186" s="315"/>
    </row>
    <row r="187" spans="1:14" s="9" customFormat="1" ht="11.25" x14ac:dyDescent="0.2">
      <c r="A187" s="10">
        <v>53204000</v>
      </c>
      <c r="B187" s="10" t="s">
        <v>350</v>
      </c>
      <c r="C187" s="11">
        <v>0</v>
      </c>
      <c r="D187" s="11">
        <v>0</v>
      </c>
      <c r="E187" s="11">
        <v>0</v>
      </c>
      <c r="F187" s="13">
        <f>SUMIF('OD 05-24'!A:A,A187,'OD 05-24'!D:D)</f>
        <v>0</v>
      </c>
      <c r="G187" s="13">
        <f>SUMIF('OD 05-24'!A:A,A187,'OD 05-24'!E:E)</f>
        <v>0</v>
      </c>
      <c r="H187" s="14">
        <f t="shared" si="4"/>
        <v>0</v>
      </c>
      <c r="I187" s="14">
        <f t="shared" si="5"/>
        <v>0</v>
      </c>
      <c r="J187" s="8"/>
      <c r="K187" s="8"/>
      <c r="M187" s="339"/>
      <c r="N187" s="315"/>
    </row>
    <row r="188" spans="1:14" s="9" customFormat="1" ht="11.25" x14ac:dyDescent="0.2">
      <c r="A188" s="10">
        <v>53204100</v>
      </c>
      <c r="B188" s="10" t="s">
        <v>351</v>
      </c>
      <c r="C188" s="11">
        <v>0</v>
      </c>
      <c r="D188" s="11">
        <v>0</v>
      </c>
      <c r="E188" s="11">
        <v>0</v>
      </c>
      <c r="F188" s="13">
        <f>SUMIF('OD 05-24'!A:A,A188,'OD 05-24'!D:D)</f>
        <v>0</v>
      </c>
      <c r="G188" s="13">
        <f>SUMIF('OD 05-24'!A:A,A188,'OD 05-24'!E:E)</f>
        <v>0</v>
      </c>
      <c r="H188" s="14">
        <f t="shared" si="4"/>
        <v>0</v>
      </c>
      <c r="I188" s="14">
        <f t="shared" si="5"/>
        <v>0</v>
      </c>
      <c r="J188" s="8"/>
      <c r="K188" s="8"/>
      <c r="M188" s="339"/>
      <c r="N188" s="315"/>
    </row>
    <row r="189" spans="1:14" s="9" customFormat="1" ht="11.25" x14ac:dyDescent="0.2">
      <c r="A189" s="10">
        <v>53204500</v>
      </c>
      <c r="B189" s="10" t="s">
        <v>123</v>
      </c>
      <c r="C189" s="11">
        <v>5874.02</v>
      </c>
      <c r="D189" s="11">
        <v>0</v>
      </c>
      <c r="E189" s="11">
        <v>0</v>
      </c>
      <c r="F189" s="13">
        <f>SUMIF('OD 05-24'!A:A,A189,'OD 05-24'!D:D)</f>
        <v>0</v>
      </c>
      <c r="G189" s="13">
        <f>SUMIF('OD 05-24'!A:A,A189,'OD 05-24'!E:E)</f>
        <v>0</v>
      </c>
      <c r="H189" s="14">
        <f t="shared" si="4"/>
        <v>0</v>
      </c>
      <c r="I189" s="14">
        <f t="shared" si="5"/>
        <v>5874.02</v>
      </c>
      <c r="J189" s="8" t="s">
        <v>121</v>
      </c>
      <c r="K189" s="8"/>
      <c r="M189" s="339"/>
      <c r="N189" s="315"/>
    </row>
    <row r="190" spans="1:14" s="9" customFormat="1" ht="11.25" x14ac:dyDescent="0.2">
      <c r="A190" s="10">
        <v>53205000</v>
      </c>
      <c r="B190" s="10" t="s">
        <v>124</v>
      </c>
      <c r="C190" s="11">
        <v>12925.083999991417</v>
      </c>
      <c r="D190" s="11">
        <v>0</v>
      </c>
      <c r="E190" s="11">
        <v>0</v>
      </c>
      <c r="F190" s="13">
        <f>SUMIF('OD 05-24'!A:A,A190,'OD 05-24'!D:D)</f>
        <v>0</v>
      </c>
      <c r="G190" s="13">
        <f>SUMIF('OD 05-24'!A:A,A190,'OD 05-24'!E:E)</f>
        <v>0</v>
      </c>
      <c r="H190" s="14">
        <f t="shared" si="4"/>
        <v>0</v>
      </c>
      <c r="I190" s="14">
        <f t="shared" si="5"/>
        <v>12925.083999991417</v>
      </c>
      <c r="J190" s="8" t="s">
        <v>121</v>
      </c>
      <c r="K190" s="8"/>
      <c r="M190" s="339"/>
      <c r="N190" s="315"/>
    </row>
    <row r="191" spans="1:14" s="9" customFormat="1" ht="11.25" x14ac:dyDescent="0.2">
      <c r="A191" s="10">
        <v>53205300</v>
      </c>
      <c r="B191" s="10" t="s">
        <v>125</v>
      </c>
      <c r="C191" s="11">
        <v>0</v>
      </c>
      <c r="D191" s="11">
        <v>0</v>
      </c>
      <c r="E191" s="11">
        <v>0</v>
      </c>
      <c r="F191" s="13">
        <f>SUMIF('OD 05-24'!A:A,A191,'OD 05-24'!D:D)</f>
        <v>0</v>
      </c>
      <c r="G191" s="13">
        <f>SUMIF('OD 05-24'!A:A,A191,'OD 05-24'!E:E)</f>
        <v>0</v>
      </c>
      <c r="H191" s="14">
        <f t="shared" si="4"/>
        <v>0</v>
      </c>
      <c r="I191" s="14">
        <f t="shared" si="5"/>
        <v>0</v>
      </c>
      <c r="J191" s="8" t="s">
        <v>121</v>
      </c>
      <c r="K191" s="8"/>
      <c r="M191" s="339"/>
      <c r="N191" s="315"/>
    </row>
    <row r="192" spans="1:14" s="9" customFormat="1" ht="11.25" x14ac:dyDescent="0.2">
      <c r="A192" s="10">
        <v>53205400</v>
      </c>
      <c r="B192" s="10" t="s">
        <v>126</v>
      </c>
      <c r="C192" s="11">
        <v>0</v>
      </c>
      <c r="D192" s="11">
        <v>0</v>
      </c>
      <c r="E192" s="11">
        <v>0</v>
      </c>
      <c r="F192" s="13">
        <f>SUMIF('OD 05-24'!A:A,A192,'OD 05-24'!D:D)</f>
        <v>0</v>
      </c>
      <c r="G192" s="13">
        <f>SUMIF('OD 05-24'!A:A,A192,'OD 05-24'!E:E)</f>
        <v>0</v>
      </c>
      <c r="H192" s="14">
        <f t="shared" si="4"/>
        <v>0</v>
      </c>
      <c r="I192" s="14">
        <f t="shared" si="5"/>
        <v>0</v>
      </c>
      <c r="J192" s="8"/>
      <c r="K192" s="8"/>
      <c r="M192" s="339"/>
      <c r="N192" s="315"/>
    </row>
    <row r="193" spans="1:14" s="9" customFormat="1" ht="11.25" x14ac:dyDescent="0.2">
      <c r="A193" s="10">
        <v>53205500</v>
      </c>
      <c r="B193" s="10" t="s">
        <v>127</v>
      </c>
      <c r="C193" s="11">
        <v>0</v>
      </c>
      <c r="D193" s="11">
        <v>0</v>
      </c>
      <c r="E193" s="11">
        <v>0</v>
      </c>
      <c r="F193" s="13">
        <f>SUMIF('OD 05-24'!A:A,A193,'OD 05-24'!D:D)</f>
        <v>0</v>
      </c>
      <c r="G193" s="13">
        <f>SUMIF('OD 05-24'!A:A,A193,'OD 05-24'!E:E)</f>
        <v>0</v>
      </c>
      <c r="H193" s="14">
        <f t="shared" si="4"/>
        <v>0</v>
      </c>
      <c r="I193" s="14">
        <f t="shared" si="5"/>
        <v>0</v>
      </c>
      <c r="J193" s="8"/>
      <c r="K193" s="8"/>
      <c r="M193" s="339"/>
      <c r="N193" s="315"/>
    </row>
    <row r="194" spans="1:14" s="9" customFormat="1" ht="11.25" x14ac:dyDescent="0.2">
      <c r="A194" s="10">
        <v>53205600</v>
      </c>
      <c r="B194" s="10" t="s">
        <v>128</v>
      </c>
      <c r="C194" s="11">
        <v>-3300983.9089999795</v>
      </c>
      <c r="D194" s="11">
        <v>30216700.104000002</v>
      </c>
      <c r="E194" s="11">
        <v>30471549.845999997</v>
      </c>
      <c r="F194" s="13">
        <f>SUMIF('OD 05-24'!A:A,A194,'OD 05-24'!D:D)</f>
        <v>0</v>
      </c>
      <c r="G194" s="13">
        <f>SUMIF('OD 05-24'!A:A,A194,'OD 05-24'!E:E)</f>
        <v>0</v>
      </c>
      <c r="H194" s="14">
        <f t="shared" si="4"/>
        <v>-254849.74199999496</v>
      </c>
      <c r="I194" s="14">
        <f t="shared" si="5"/>
        <v>-3555833.6509999745</v>
      </c>
      <c r="J194" s="8" t="s">
        <v>115</v>
      </c>
      <c r="K194" s="8"/>
      <c r="M194" s="339"/>
      <c r="N194" s="315"/>
    </row>
    <row r="195" spans="1:14" s="9" customFormat="1" ht="11.25" x14ac:dyDescent="0.2">
      <c r="A195" s="10">
        <v>53205700</v>
      </c>
      <c r="B195" s="10" t="s">
        <v>129</v>
      </c>
      <c r="C195" s="11">
        <v>1964289.2105972022</v>
      </c>
      <c r="D195" s="11">
        <v>17608572.859000001</v>
      </c>
      <c r="E195" s="11">
        <v>15999500.481000001</v>
      </c>
      <c r="F195" s="13">
        <f>SUMIF('OD 05-24'!A:A,A195,'OD 05-24'!D:D)</f>
        <v>224804.133</v>
      </c>
      <c r="G195" s="13">
        <f>SUMIF('OD 05-24'!A:A,A195,'OD 05-24'!E:E)</f>
        <v>371764.54340000002</v>
      </c>
      <c r="H195" s="14">
        <f t="shared" ref="H195:H261" si="6">+D195+F195-E195-G195</f>
        <v>1462111.9676000017</v>
      </c>
      <c r="I195" s="14">
        <f t="shared" ref="I195:I261" si="7">+H195+C195</f>
        <v>3426401.1781972041</v>
      </c>
      <c r="J195" s="8" t="s">
        <v>121</v>
      </c>
      <c r="K195" s="8"/>
      <c r="M195" s="339"/>
      <c r="N195" s="315"/>
    </row>
    <row r="196" spans="1:14" s="9" customFormat="1" ht="11.25" x14ac:dyDescent="0.2">
      <c r="A196" s="10">
        <v>53205800</v>
      </c>
      <c r="B196" s="10" t="s">
        <v>130</v>
      </c>
      <c r="C196" s="11">
        <v>-66996.353000000119</v>
      </c>
      <c r="D196" s="11">
        <v>0</v>
      </c>
      <c r="E196" s="11">
        <v>925.05899999999997</v>
      </c>
      <c r="F196" s="13">
        <f>SUMIF('OD 05-24'!A:A,A196,'OD 05-24'!D:D)</f>
        <v>312.416</v>
      </c>
      <c r="G196" s="13">
        <f>SUMIF('OD 05-24'!A:A,A196,'OD 05-24'!E:E)</f>
        <v>259.01400000000001</v>
      </c>
      <c r="H196" s="14">
        <f t="shared" si="6"/>
        <v>-871.65700000000004</v>
      </c>
      <c r="I196" s="14">
        <f t="shared" si="7"/>
        <v>-67868.010000000126</v>
      </c>
      <c r="J196" s="8" t="s">
        <v>115</v>
      </c>
      <c r="K196" s="8"/>
      <c r="M196" s="339"/>
      <c r="N196" s="315"/>
    </row>
    <row r="197" spans="1:14" s="9" customFormat="1" ht="11.25" x14ac:dyDescent="0.2">
      <c r="A197" s="10">
        <v>53207000</v>
      </c>
      <c r="B197" s="10" t="s">
        <v>352</v>
      </c>
      <c r="C197" s="11">
        <v>0</v>
      </c>
      <c r="D197" s="11">
        <v>0</v>
      </c>
      <c r="E197" s="11">
        <v>0</v>
      </c>
      <c r="F197" s="13">
        <f>SUMIF('OD 05-24'!A:A,A197,'OD 05-24'!D:D)</f>
        <v>0</v>
      </c>
      <c r="G197" s="13">
        <f>SUMIF('OD 05-24'!A:A,A197,'OD 05-24'!E:E)</f>
        <v>0</v>
      </c>
      <c r="H197" s="14">
        <f t="shared" si="6"/>
        <v>0</v>
      </c>
      <c r="I197" s="14">
        <f t="shared" si="7"/>
        <v>0</v>
      </c>
      <c r="J197" s="8"/>
      <c r="K197" s="8"/>
      <c r="M197" s="339"/>
      <c r="N197" s="315"/>
    </row>
    <row r="198" spans="1:14" s="9" customFormat="1" ht="11.25" x14ac:dyDescent="0.2">
      <c r="A198" s="10">
        <v>53207100</v>
      </c>
      <c r="B198" s="10" t="s">
        <v>353</v>
      </c>
      <c r="C198" s="11">
        <v>0</v>
      </c>
      <c r="D198" s="11">
        <v>0</v>
      </c>
      <c r="E198" s="11">
        <v>0</v>
      </c>
      <c r="F198" s="13">
        <f>SUMIF('OD 05-24'!A:A,A198,'OD 05-24'!D:D)</f>
        <v>0</v>
      </c>
      <c r="G198" s="13">
        <f>SUMIF('OD 05-24'!A:A,A198,'OD 05-24'!E:E)</f>
        <v>0</v>
      </c>
      <c r="H198" s="14">
        <f t="shared" si="6"/>
        <v>0</v>
      </c>
      <c r="I198" s="14">
        <f t="shared" si="7"/>
        <v>0</v>
      </c>
      <c r="J198" s="8"/>
      <c r="K198" s="8"/>
      <c r="M198" s="339"/>
      <c r="N198" s="315"/>
    </row>
    <row r="199" spans="1:14" s="9" customFormat="1" ht="11.25" x14ac:dyDescent="0.2">
      <c r="A199" s="10">
        <v>53207200</v>
      </c>
      <c r="B199" s="10" t="s">
        <v>354</v>
      </c>
      <c r="C199" s="11">
        <v>0</v>
      </c>
      <c r="D199" s="11">
        <v>0</v>
      </c>
      <c r="E199" s="11">
        <v>0</v>
      </c>
      <c r="F199" s="13">
        <f>SUMIF('OD 05-24'!A:A,A199,'OD 05-24'!D:D)</f>
        <v>0</v>
      </c>
      <c r="G199" s="13">
        <f>SUMIF('OD 05-24'!A:A,A199,'OD 05-24'!E:E)</f>
        <v>0</v>
      </c>
      <c r="H199" s="14">
        <f t="shared" si="6"/>
        <v>0</v>
      </c>
      <c r="I199" s="14">
        <f t="shared" si="7"/>
        <v>0</v>
      </c>
      <c r="J199" s="8"/>
      <c r="K199" s="8"/>
      <c r="M199" s="339"/>
      <c r="N199" s="315"/>
    </row>
    <row r="200" spans="1:14" s="9" customFormat="1" ht="11.25" x14ac:dyDescent="0.2">
      <c r="A200" s="10">
        <v>53208000</v>
      </c>
      <c r="B200" s="10" t="s">
        <v>355</v>
      </c>
      <c r="C200" s="11">
        <v>485.66199999954551</v>
      </c>
      <c r="D200" s="11">
        <v>0</v>
      </c>
      <c r="E200" s="11">
        <v>0</v>
      </c>
      <c r="F200" s="13">
        <f>SUMIF('OD 05-24'!A:A,A200,'OD 05-24'!D:D)</f>
        <v>0</v>
      </c>
      <c r="G200" s="13">
        <f>SUMIF('OD 05-24'!A:A,A200,'OD 05-24'!E:E)</f>
        <v>0</v>
      </c>
      <c r="H200" s="14">
        <f t="shared" si="6"/>
        <v>0</v>
      </c>
      <c r="I200" s="14">
        <f t="shared" si="7"/>
        <v>485.66199999954551</v>
      </c>
      <c r="J200" s="8" t="s">
        <v>121</v>
      </c>
      <c r="K200" s="8"/>
      <c r="M200" s="339"/>
      <c r="N200" s="315"/>
    </row>
    <row r="201" spans="1:14" s="9" customFormat="1" ht="11.25" x14ac:dyDescent="0.2">
      <c r="A201" s="10">
        <v>53208100</v>
      </c>
      <c r="B201" s="10" t="s">
        <v>356</v>
      </c>
      <c r="C201" s="11">
        <v>0</v>
      </c>
      <c r="D201" s="11">
        <v>0</v>
      </c>
      <c r="E201" s="11">
        <v>0</v>
      </c>
      <c r="F201" s="13">
        <f>SUMIF('OD 05-24'!A:A,A201,'OD 05-24'!D:D)</f>
        <v>0</v>
      </c>
      <c r="G201" s="13">
        <f>SUMIF('OD 05-24'!A:A,A201,'OD 05-24'!E:E)</f>
        <v>0</v>
      </c>
      <c r="H201" s="14">
        <f t="shared" si="6"/>
        <v>0</v>
      </c>
      <c r="I201" s="14">
        <f t="shared" si="7"/>
        <v>0</v>
      </c>
      <c r="J201" s="8"/>
      <c r="K201" s="8"/>
      <c r="M201" s="339"/>
      <c r="N201" s="315"/>
    </row>
    <row r="202" spans="1:14" s="9" customFormat="1" ht="11.25" x14ac:dyDescent="0.2">
      <c r="A202" s="10">
        <v>53208500</v>
      </c>
      <c r="B202" s="10" t="s">
        <v>357</v>
      </c>
      <c r="C202" s="11">
        <v>0</v>
      </c>
      <c r="D202" s="11">
        <v>0</v>
      </c>
      <c r="E202" s="11">
        <v>0</v>
      </c>
      <c r="F202" s="13">
        <f>SUMIF('OD 05-24'!A:A,A202,'OD 05-24'!D:D)</f>
        <v>0</v>
      </c>
      <c r="G202" s="13">
        <f>SUMIF('OD 05-24'!A:A,A202,'OD 05-24'!E:E)</f>
        <v>0</v>
      </c>
      <c r="H202" s="14">
        <f t="shared" si="6"/>
        <v>0</v>
      </c>
      <c r="I202" s="14">
        <f t="shared" si="7"/>
        <v>0</v>
      </c>
      <c r="J202" s="8"/>
      <c r="K202" s="8"/>
      <c r="M202" s="339"/>
      <c r="N202" s="315"/>
    </row>
    <row r="203" spans="1:14" s="9" customFormat="1" ht="11.25" x14ac:dyDescent="0.2">
      <c r="A203" s="10">
        <v>54000000</v>
      </c>
      <c r="B203" s="10" t="s">
        <v>358</v>
      </c>
      <c r="C203" s="11">
        <v>0</v>
      </c>
      <c r="D203" s="11">
        <v>16489.436000000002</v>
      </c>
      <c r="E203" s="11">
        <v>16489.436000000002</v>
      </c>
      <c r="F203" s="13">
        <f>SUMIF('OD 05-24'!A:A,A203,'OD 05-24'!D:D)</f>
        <v>0</v>
      </c>
      <c r="G203" s="13">
        <f>SUMIF('OD 05-24'!A:A,A203,'OD 05-24'!E:E)</f>
        <v>0</v>
      </c>
      <c r="H203" s="14">
        <f t="shared" si="6"/>
        <v>0</v>
      </c>
      <c r="I203" s="14">
        <f t="shared" si="7"/>
        <v>0</v>
      </c>
      <c r="J203" s="8"/>
      <c r="K203" s="8"/>
      <c r="M203" s="339"/>
      <c r="N203" s="315"/>
    </row>
    <row r="204" spans="1:14" s="9" customFormat="1" ht="11.25" x14ac:dyDescent="0.2">
      <c r="A204" s="10">
        <v>54100000</v>
      </c>
      <c r="B204" s="10" t="s">
        <v>131</v>
      </c>
      <c r="C204" s="11">
        <v>17</v>
      </c>
      <c r="D204" s="11">
        <v>42447.724000000002</v>
      </c>
      <c r="E204" s="11">
        <v>37438.129000000001</v>
      </c>
      <c r="F204" s="13">
        <f>SUMIF('OD 05-24'!A:A,A204,'OD 05-24'!D:D)</f>
        <v>0</v>
      </c>
      <c r="G204" s="13">
        <f>SUMIF('OD 05-24'!A:A,A204,'OD 05-24'!E:E)</f>
        <v>0</v>
      </c>
      <c r="H204" s="14">
        <f t="shared" si="6"/>
        <v>5009.5950000000012</v>
      </c>
      <c r="I204" s="14">
        <f t="shared" si="7"/>
        <v>5026.5950000000012</v>
      </c>
      <c r="J204" s="8" t="s">
        <v>121</v>
      </c>
      <c r="K204" s="8"/>
      <c r="M204" s="339"/>
      <c r="N204" s="315"/>
    </row>
    <row r="205" spans="1:14" s="9" customFormat="1" ht="11.25" x14ac:dyDescent="0.2">
      <c r="A205" s="10">
        <v>54300000</v>
      </c>
      <c r="B205" s="10" t="s">
        <v>359</v>
      </c>
      <c r="C205" s="11">
        <v>0</v>
      </c>
      <c r="D205" s="11">
        <v>0</v>
      </c>
      <c r="E205" s="11">
        <v>0</v>
      </c>
      <c r="F205" s="13">
        <f>SUMIF('OD 05-24'!A:A,A205,'OD 05-24'!D:D)</f>
        <v>0</v>
      </c>
      <c r="G205" s="13">
        <f>SUMIF('OD 05-24'!A:A,A205,'OD 05-24'!E:E)</f>
        <v>0</v>
      </c>
      <c r="H205" s="14">
        <f t="shared" si="6"/>
        <v>0</v>
      </c>
      <c r="I205" s="14">
        <f t="shared" si="7"/>
        <v>0</v>
      </c>
      <c r="J205" s="8"/>
      <c r="K205" s="8"/>
      <c r="M205" s="339"/>
      <c r="N205" s="315"/>
    </row>
    <row r="206" spans="1:14" s="9" customFormat="1" ht="11.25" x14ac:dyDescent="0.2">
      <c r="A206" s="10">
        <v>55010000</v>
      </c>
      <c r="B206" s="10" t="s">
        <v>132</v>
      </c>
      <c r="C206" s="11">
        <v>3000</v>
      </c>
      <c r="D206" s="11">
        <v>0</v>
      </c>
      <c r="E206" s="11">
        <v>0</v>
      </c>
      <c r="F206" s="13">
        <f>SUMIF('OD 05-24'!A:A,A206,'OD 05-24'!D:D)</f>
        <v>0</v>
      </c>
      <c r="G206" s="13">
        <f>SUMIF('OD 05-24'!A:A,A206,'OD 05-24'!E:E)</f>
        <v>0</v>
      </c>
      <c r="H206" s="14">
        <f t="shared" si="6"/>
        <v>0</v>
      </c>
      <c r="I206" s="14">
        <f t="shared" si="7"/>
        <v>3000</v>
      </c>
      <c r="J206" s="8" t="s">
        <v>121</v>
      </c>
      <c r="K206" s="8"/>
      <c r="M206" s="339"/>
      <c r="N206" s="315"/>
    </row>
    <row r="207" spans="1:14" s="9" customFormat="1" ht="11.25" x14ac:dyDescent="0.2">
      <c r="A207" s="10">
        <v>55011000</v>
      </c>
      <c r="B207" s="10" t="s">
        <v>133</v>
      </c>
      <c r="C207" s="11">
        <v>0</v>
      </c>
      <c r="D207" s="11">
        <v>0</v>
      </c>
      <c r="E207" s="11">
        <v>0</v>
      </c>
      <c r="F207" s="13">
        <f>SUMIF('OD 05-24'!A:A,A207,'OD 05-24'!D:D)</f>
        <v>0</v>
      </c>
      <c r="G207" s="13">
        <f>SUMIF('OD 05-24'!A:A,A207,'OD 05-24'!E:E)</f>
        <v>0</v>
      </c>
      <c r="H207" s="14">
        <f t="shared" si="6"/>
        <v>0</v>
      </c>
      <c r="I207" s="14">
        <f t="shared" si="7"/>
        <v>0</v>
      </c>
      <c r="J207" s="8" t="s">
        <v>121</v>
      </c>
      <c r="K207" s="8"/>
      <c r="M207" s="339"/>
      <c r="N207" s="315"/>
    </row>
    <row r="208" spans="1:14" s="9" customFormat="1" ht="11.25" x14ac:dyDescent="0.2">
      <c r="A208" s="10">
        <v>58000000</v>
      </c>
      <c r="B208" s="10" t="s">
        <v>134</v>
      </c>
      <c r="C208" s="11">
        <v>0</v>
      </c>
      <c r="D208" s="11">
        <v>0</v>
      </c>
      <c r="E208" s="11">
        <v>0</v>
      </c>
      <c r="F208" s="13">
        <f>SUMIF('OD 05-24'!A:A,A208,'OD 05-24'!D:D)</f>
        <v>0</v>
      </c>
      <c r="G208" s="13">
        <f>SUMIF('OD 05-24'!A:A,A208,'OD 05-24'!E:E)</f>
        <v>0</v>
      </c>
      <c r="H208" s="14">
        <f t="shared" si="6"/>
        <v>0</v>
      </c>
      <c r="I208" s="14">
        <f t="shared" si="7"/>
        <v>0</v>
      </c>
      <c r="J208" s="8" t="s">
        <v>121</v>
      </c>
      <c r="K208" s="8"/>
      <c r="M208" s="339"/>
      <c r="N208" s="315"/>
    </row>
    <row r="209" spans="1:14" s="9" customFormat="1" ht="11.25" x14ac:dyDescent="0.2">
      <c r="A209" s="10">
        <v>58001000</v>
      </c>
      <c r="B209" s="10" t="s">
        <v>135</v>
      </c>
      <c r="C209" s="11">
        <v>-1.9999593496322632E-4</v>
      </c>
      <c r="D209" s="11">
        <v>0</v>
      </c>
      <c r="E209" s="11">
        <v>0</v>
      </c>
      <c r="F209" s="13">
        <f>SUMIF('OD 05-24'!A:A,A209,'OD 05-24'!D:D)</f>
        <v>0</v>
      </c>
      <c r="G209" s="13">
        <f>SUMIF('OD 05-24'!A:A,A209,'OD 05-24'!E:E)</f>
        <v>0</v>
      </c>
      <c r="H209" s="14">
        <f t="shared" si="6"/>
        <v>0</v>
      </c>
      <c r="I209" s="14">
        <f t="shared" si="7"/>
        <v>-1.9999593496322632E-4</v>
      </c>
      <c r="J209" s="8"/>
      <c r="K209" s="8"/>
      <c r="M209" s="339"/>
      <c r="N209" s="315"/>
    </row>
    <row r="210" spans="1:14" s="9" customFormat="1" ht="11.25" x14ac:dyDescent="0.2">
      <c r="A210" s="10">
        <v>58002000</v>
      </c>
      <c r="B210" s="10" t="s">
        <v>360</v>
      </c>
      <c r="C210" s="11">
        <v>0</v>
      </c>
      <c r="D210" s="11">
        <v>0</v>
      </c>
      <c r="E210" s="11">
        <v>0</v>
      </c>
      <c r="F210" s="13">
        <f>SUMIF('OD 05-24'!A:A,A210,'OD 05-24'!D:D)</f>
        <v>0</v>
      </c>
      <c r="G210" s="13">
        <f>SUMIF('OD 05-24'!A:A,A210,'OD 05-24'!E:E)</f>
        <v>0</v>
      </c>
      <c r="H210" s="14">
        <f t="shared" si="6"/>
        <v>0</v>
      </c>
      <c r="I210" s="14">
        <f t="shared" si="7"/>
        <v>0</v>
      </c>
      <c r="J210" s="8"/>
      <c r="K210" s="8"/>
      <c r="M210" s="339"/>
      <c r="N210" s="315"/>
    </row>
    <row r="211" spans="1:14" s="9" customFormat="1" ht="11.25" x14ac:dyDescent="0.2">
      <c r="A211" s="10">
        <v>58003000</v>
      </c>
      <c r="B211" s="10" t="s">
        <v>136</v>
      </c>
      <c r="C211" s="11">
        <v>1.0100007057189941E-4</v>
      </c>
      <c r="D211" s="11">
        <v>4014351.1680000001</v>
      </c>
      <c r="E211" s="11">
        <v>4014351.1680000001</v>
      </c>
      <c r="F211" s="13">
        <f>SUMIF('OD 05-24'!A:A,A211,'OD 05-24'!D:D)</f>
        <v>0</v>
      </c>
      <c r="G211" s="13">
        <f>SUMIF('OD 05-24'!A:A,A211,'OD 05-24'!E:E)</f>
        <v>0</v>
      </c>
      <c r="H211" s="14">
        <f t="shared" si="6"/>
        <v>0</v>
      </c>
      <c r="I211" s="14">
        <f t="shared" si="7"/>
        <v>1.0100007057189941E-4</v>
      </c>
      <c r="J211" s="8"/>
      <c r="K211" s="8"/>
      <c r="M211" s="339"/>
      <c r="N211" s="315"/>
    </row>
    <row r="212" spans="1:14" s="9" customFormat="1" ht="11.25" x14ac:dyDescent="0.2">
      <c r="A212" s="10">
        <v>58004000</v>
      </c>
      <c r="B212" s="10" t="s">
        <v>361</v>
      </c>
      <c r="C212" s="11">
        <v>0</v>
      </c>
      <c r="D212" s="11">
        <v>0</v>
      </c>
      <c r="E212" s="11">
        <v>0</v>
      </c>
      <c r="F212" s="13">
        <f>SUMIF('OD 05-24'!A:A,A212,'OD 05-24'!D:D)</f>
        <v>0</v>
      </c>
      <c r="G212" s="13">
        <f>SUMIF('OD 05-24'!A:A,A212,'OD 05-24'!E:E)</f>
        <v>0</v>
      </c>
      <c r="H212" s="14">
        <f t="shared" si="6"/>
        <v>0</v>
      </c>
      <c r="I212" s="14">
        <f t="shared" si="7"/>
        <v>0</v>
      </c>
      <c r="J212" s="8"/>
      <c r="K212" s="8"/>
      <c r="M212" s="339"/>
      <c r="N212" s="315"/>
    </row>
    <row r="213" spans="1:14" s="9" customFormat="1" ht="11.25" x14ac:dyDescent="0.2">
      <c r="A213" s="10">
        <v>58005000</v>
      </c>
      <c r="B213" s="10" t="s">
        <v>362</v>
      </c>
      <c r="C213" s="11">
        <v>3.8483738899230957E-4</v>
      </c>
      <c r="D213" s="11">
        <v>12835226.089000002</v>
      </c>
      <c r="E213" s="11">
        <v>12835226.089000002</v>
      </c>
      <c r="F213" s="13">
        <f>SUMIF('OD 05-24'!A:A,A213,'OD 05-24'!D:D)</f>
        <v>0</v>
      </c>
      <c r="G213" s="13">
        <f>SUMIF('OD 05-24'!A:A,A213,'OD 05-24'!E:E)</f>
        <v>0</v>
      </c>
      <c r="H213" s="14">
        <f t="shared" si="6"/>
        <v>0</v>
      </c>
      <c r="I213" s="14">
        <f t="shared" si="7"/>
        <v>3.8483738899230957E-4</v>
      </c>
      <c r="J213" s="8" t="s">
        <v>121</v>
      </c>
      <c r="K213" s="8"/>
      <c r="M213" s="339"/>
      <c r="N213" s="315"/>
    </row>
    <row r="214" spans="1:14" s="9" customFormat="1" ht="11.25" x14ac:dyDescent="0.2">
      <c r="A214" s="10">
        <v>60110110</v>
      </c>
      <c r="B214" s="10" t="s">
        <v>403</v>
      </c>
      <c r="C214" s="11">
        <v>0</v>
      </c>
      <c r="D214" s="11">
        <v>1136780.078</v>
      </c>
      <c r="E214" s="11">
        <v>1136780.078</v>
      </c>
      <c r="F214" s="13">
        <f>SUMIF('OD 05-24'!A:A,A214,'OD 05-24'!D:D)</f>
        <v>1463593.0149999999</v>
      </c>
      <c r="G214" s="13">
        <f>SUMIF('OD 05-24'!A:A,A214,'OD 05-24'!E:E)</f>
        <v>1463593.0149999999</v>
      </c>
      <c r="H214" s="14">
        <f t="shared" si="6"/>
        <v>0</v>
      </c>
      <c r="I214" s="14">
        <f t="shared" si="7"/>
        <v>0</v>
      </c>
      <c r="J214" s="8" t="s">
        <v>138</v>
      </c>
      <c r="K214" s="8" t="s">
        <v>509</v>
      </c>
      <c r="M214" s="339"/>
      <c r="N214" s="315"/>
    </row>
    <row r="215" spans="1:14" s="9" customFormat="1" ht="11.25" x14ac:dyDescent="0.2">
      <c r="A215" s="10">
        <v>60110212</v>
      </c>
      <c r="B215" s="10" t="s">
        <v>7391</v>
      </c>
      <c r="C215" s="11">
        <v>0</v>
      </c>
      <c r="D215" s="11">
        <v>19318.875749999999</v>
      </c>
      <c r="E215" s="11">
        <v>0</v>
      </c>
      <c r="F215" s="13">
        <f>SUMIF('OD 05-24'!A:A,A215,'OD 05-24'!D:D)</f>
        <v>0</v>
      </c>
      <c r="G215" s="13">
        <f>SUMIF('OD 05-24'!A:A,A215,'OD 05-24'!E:E)</f>
        <v>0</v>
      </c>
      <c r="H215" s="14">
        <f t="shared" si="6"/>
        <v>19318.875749999999</v>
      </c>
      <c r="I215" s="14">
        <f t="shared" si="7"/>
        <v>19318.875749999999</v>
      </c>
      <c r="J215" s="8" t="s">
        <v>138</v>
      </c>
      <c r="K215" s="8" t="s">
        <v>509</v>
      </c>
      <c r="M215" s="339"/>
      <c r="N215" s="315"/>
    </row>
    <row r="216" spans="1:14" s="9" customFormat="1" ht="11.25" x14ac:dyDescent="0.2">
      <c r="A216" s="10">
        <v>60110210</v>
      </c>
      <c r="B216" s="10" t="s">
        <v>137</v>
      </c>
      <c r="C216" s="11">
        <v>0</v>
      </c>
      <c r="D216" s="11">
        <v>616467.80244449992</v>
      </c>
      <c r="E216" s="11">
        <v>0</v>
      </c>
      <c r="F216" s="13">
        <f>SUMIF('OD 05-24'!A:A,A216,'OD 05-24'!D:D)</f>
        <v>0</v>
      </c>
      <c r="G216" s="13">
        <f>SUMIF('OD 05-24'!A:A,A216,'OD 05-24'!E:E)</f>
        <v>0</v>
      </c>
      <c r="H216" s="14">
        <f t="shared" si="6"/>
        <v>616467.80244449992</v>
      </c>
      <c r="I216" s="14">
        <f t="shared" si="7"/>
        <v>616467.80244449992</v>
      </c>
      <c r="J216" s="8" t="s">
        <v>138</v>
      </c>
      <c r="K216" s="8" t="s">
        <v>509</v>
      </c>
      <c r="M216" s="339"/>
      <c r="N216" s="315"/>
    </row>
    <row r="217" spans="1:14" s="9" customFormat="1" ht="11.25" x14ac:dyDescent="0.2">
      <c r="A217" s="10">
        <v>60110211</v>
      </c>
      <c r="B217" s="10" t="s">
        <v>363</v>
      </c>
      <c r="C217" s="11">
        <v>0</v>
      </c>
      <c r="D217" s="11">
        <v>92298.275553500018</v>
      </c>
      <c r="E217" s="11">
        <v>0</v>
      </c>
      <c r="F217" s="13">
        <f>SUMIF('OD 05-24'!A:A,A217,'OD 05-24'!D:D)</f>
        <v>0</v>
      </c>
      <c r="G217" s="13">
        <f>SUMIF('OD 05-24'!A:A,A217,'OD 05-24'!E:E)</f>
        <v>0</v>
      </c>
      <c r="H217" s="14">
        <f t="shared" si="6"/>
        <v>92298.275553500018</v>
      </c>
      <c r="I217" s="14">
        <f t="shared" si="7"/>
        <v>92298.275553500018</v>
      </c>
      <c r="J217" s="8" t="s">
        <v>138</v>
      </c>
      <c r="K217" s="8" t="s">
        <v>509</v>
      </c>
      <c r="M217" s="339"/>
      <c r="N217" s="315"/>
    </row>
    <row r="218" spans="1:14" s="9" customFormat="1" ht="11.25" x14ac:dyDescent="0.2">
      <c r="A218" s="10">
        <v>60110213</v>
      </c>
      <c r="B218" s="10" t="s">
        <v>364</v>
      </c>
      <c r="C218" s="11">
        <v>0</v>
      </c>
      <c r="D218" s="11">
        <v>3757.2</v>
      </c>
      <c r="E218" s="11">
        <v>0</v>
      </c>
      <c r="F218" s="13">
        <f>SUMIF('OD 05-24'!A:A,A218,'OD 05-24'!D:D)</f>
        <v>0</v>
      </c>
      <c r="G218" s="13">
        <f>SUMIF('OD 05-24'!A:A,A218,'OD 05-24'!E:E)</f>
        <v>0</v>
      </c>
      <c r="H218" s="14">
        <f t="shared" si="6"/>
        <v>3757.2</v>
      </c>
      <c r="I218" s="14">
        <f t="shared" si="7"/>
        <v>3757.2</v>
      </c>
      <c r="J218" s="8" t="s">
        <v>138</v>
      </c>
      <c r="K218" s="8" t="s">
        <v>509</v>
      </c>
      <c r="M218" s="339"/>
      <c r="N218" s="315"/>
    </row>
    <row r="219" spans="1:14" s="9" customFormat="1" ht="11.25" x14ac:dyDescent="0.2">
      <c r="A219" s="10">
        <v>60110220</v>
      </c>
      <c r="B219" s="10" t="s">
        <v>139</v>
      </c>
      <c r="C219" s="11">
        <v>0</v>
      </c>
      <c r="D219" s="11">
        <v>849147.87225550006</v>
      </c>
      <c r="E219" s="11">
        <v>12546.76</v>
      </c>
      <c r="F219" s="13">
        <f>SUMIF('OD 05-24'!A:A,A219,'OD 05-24'!D:D)</f>
        <v>0</v>
      </c>
      <c r="G219" s="13">
        <f>SUMIF('OD 05-24'!A:A,A219,'OD 05-24'!E:E)</f>
        <v>0</v>
      </c>
      <c r="H219" s="14">
        <f t="shared" si="6"/>
        <v>836601.11225550005</v>
      </c>
      <c r="I219" s="14">
        <f t="shared" si="7"/>
        <v>836601.11225550005</v>
      </c>
      <c r="J219" s="8" t="s">
        <v>138</v>
      </c>
      <c r="K219" s="8" t="s">
        <v>509</v>
      </c>
      <c r="M219" s="339"/>
      <c r="N219" s="315"/>
    </row>
    <row r="220" spans="1:14" s="9" customFormat="1" ht="11.25" x14ac:dyDescent="0.2">
      <c r="A220" s="10">
        <v>60110230</v>
      </c>
      <c r="B220" s="10" t="s">
        <v>7566</v>
      </c>
      <c r="C220" s="11">
        <v>0</v>
      </c>
      <c r="D220" s="11">
        <v>71024.114700000006</v>
      </c>
      <c r="E220" s="11">
        <v>0</v>
      </c>
      <c r="F220" s="13">
        <f>SUMIF('OD 05-24'!A:A,A220,'OD 05-24'!D:D)</f>
        <v>0</v>
      </c>
      <c r="G220" s="13">
        <f>SUMIF('OD 05-24'!A:A,A220,'OD 05-24'!E:E)</f>
        <v>0</v>
      </c>
      <c r="H220" s="14">
        <f t="shared" si="6"/>
        <v>71024.114700000006</v>
      </c>
      <c r="I220" s="14">
        <f t="shared" si="7"/>
        <v>71024.114700000006</v>
      </c>
      <c r="J220" s="8" t="s">
        <v>138</v>
      </c>
      <c r="K220" s="8" t="s">
        <v>509</v>
      </c>
      <c r="M220" s="339"/>
      <c r="N220" s="315"/>
    </row>
    <row r="221" spans="1:14" s="9" customFormat="1" ht="11.25" x14ac:dyDescent="0.2">
      <c r="A221" s="10">
        <v>60110300</v>
      </c>
      <c r="B221" s="10" t="s">
        <v>140</v>
      </c>
      <c r="C221" s="11">
        <v>0</v>
      </c>
      <c r="D221" s="11">
        <v>38549.676284000001</v>
      </c>
      <c r="E221" s="11">
        <v>8655.4889999999996</v>
      </c>
      <c r="F221" s="13">
        <f>SUMIF('OD 05-24'!A:A,A221,'OD 05-24'!D:D)</f>
        <v>0</v>
      </c>
      <c r="G221" s="13">
        <f>SUMIF('OD 05-24'!A:A,A221,'OD 05-24'!E:E)</f>
        <v>0</v>
      </c>
      <c r="H221" s="14">
        <f t="shared" si="6"/>
        <v>29894.187284</v>
      </c>
      <c r="I221" s="14">
        <f t="shared" si="7"/>
        <v>29894.187284</v>
      </c>
      <c r="J221" s="8" t="s">
        <v>138</v>
      </c>
      <c r="K221" s="8" t="s">
        <v>509</v>
      </c>
      <c r="M221" s="339"/>
      <c r="N221" s="315"/>
    </row>
    <row r="222" spans="1:14" s="9" customFormat="1" ht="11.25" x14ac:dyDescent="0.2">
      <c r="A222" s="10">
        <v>60110310</v>
      </c>
      <c r="B222" s="10" t="s">
        <v>141</v>
      </c>
      <c r="C222" s="11">
        <v>0</v>
      </c>
      <c r="D222" s="11">
        <v>52975.259999999995</v>
      </c>
      <c r="E222" s="11">
        <v>0</v>
      </c>
      <c r="F222" s="13">
        <f>SUMIF('OD 05-24'!A:A,A222,'OD 05-24'!D:D)</f>
        <v>0</v>
      </c>
      <c r="G222" s="13">
        <f>SUMIF('OD 05-24'!A:A,A222,'OD 05-24'!E:E)</f>
        <v>0</v>
      </c>
      <c r="H222" s="14">
        <f t="shared" si="6"/>
        <v>52975.259999999995</v>
      </c>
      <c r="I222" s="14">
        <f t="shared" si="7"/>
        <v>52975.259999999995</v>
      </c>
      <c r="J222" s="8" t="s">
        <v>138</v>
      </c>
      <c r="K222" s="8" t="s">
        <v>509</v>
      </c>
      <c r="M222" s="339"/>
      <c r="N222" s="315"/>
    </row>
    <row r="223" spans="1:14" s="9" customFormat="1" ht="11.25" x14ac:dyDescent="0.2">
      <c r="A223" s="10">
        <v>60110320</v>
      </c>
      <c r="B223" s="10" t="s">
        <v>142</v>
      </c>
      <c r="C223" s="11">
        <v>0</v>
      </c>
      <c r="D223" s="11">
        <v>44893.273368999995</v>
      </c>
      <c r="E223" s="11">
        <v>0</v>
      </c>
      <c r="F223" s="13">
        <f>SUMIF('OD 05-24'!A:A,A223,'OD 05-24'!D:D)</f>
        <v>0</v>
      </c>
      <c r="G223" s="13">
        <f>SUMIF('OD 05-24'!A:A,A223,'OD 05-24'!E:E)</f>
        <v>0</v>
      </c>
      <c r="H223" s="14">
        <f t="shared" si="6"/>
        <v>44893.273368999995</v>
      </c>
      <c r="I223" s="14">
        <f t="shared" si="7"/>
        <v>44893.273368999995</v>
      </c>
      <c r="J223" s="8" t="s">
        <v>138</v>
      </c>
      <c r="K223" s="8" t="s">
        <v>509</v>
      </c>
      <c r="M223" s="339"/>
      <c r="N223" s="315"/>
    </row>
    <row r="224" spans="1:14" s="9" customFormat="1" ht="11.25" x14ac:dyDescent="0.2">
      <c r="A224" s="10">
        <v>60110330</v>
      </c>
      <c r="B224" s="10" t="s">
        <v>143</v>
      </c>
      <c r="C224" s="11">
        <v>0</v>
      </c>
      <c r="D224" s="11">
        <v>27966.137999999999</v>
      </c>
      <c r="E224" s="11">
        <v>0</v>
      </c>
      <c r="F224" s="13">
        <f>SUMIF('OD 05-24'!A:A,A224,'OD 05-24'!D:D)</f>
        <v>0</v>
      </c>
      <c r="G224" s="13">
        <f>SUMIF('OD 05-24'!A:A,A224,'OD 05-24'!E:E)</f>
        <v>0</v>
      </c>
      <c r="H224" s="14">
        <f t="shared" si="6"/>
        <v>27966.137999999999</v>
      </c>
      <c r="I224" s="14">
        <f t="shared" si="7"/>
        <v>27966.137999999999</v>
      </c>
      <c r="J224" s="8" t="s">
        <v>138</v>
      </c>
      <c r="K224" s="8" t="s">
        <v>509</v>
      </c>
      <c r="M224" s="339"/>
      <c r="N224" s="315"/>
    </row>
    <row r="225" spans="1:14" s="9" customFormat="1" ht="11.25" x14ac:dyDescent="0.2">
      <c r="A225" s="10">
        <v>60110350</v>
      </c>
      <c r="B225" s="10" t="s">
        <v>261</v>
      </c>
      <c r="C225" s="11">
        <v>0</v>
      </c>
      <c r="D225" s="11">
        <v>0</v>
      </c>
      <c r="E225" s="11">
        <v>0</v>
      </c>
      <c r="F225" s="13">
        <f>SUMIF('OD 05-24'!A:A,A225,'OD 05-24'!D:D)</f>
        <v>0</v>
      </c>
      <c r="G225" s="13">
        <f>SUMIF('OD 05-24'!A:A,A225,'OD 05-24'!E:E)</f>
        <v>0</v>
      </c>
      <c r="H225" s="14">
        <f t="shared" si="6"/>
        <v>0</v>
      </c>
      <c r="I225" s="14">
        <f t="shared" si="7"/>
        <v>0</v>
      </c>
      <c r="J225" s="8" t="s">
        <v>138</v>
      </c>
      <c r="K225" s="8" t="s">
        <v>509</v>
      </c>
      <c r="M225" s="339"/>
      <c r="N225" s="315"/>
    </row>
    <row r="226" spans="1:14" s="9" customFormat="1" ht="11.25" x14ac:dyDescent="0.2">
      <c r="A226" s="10">
        <v>60110500</v>
      </c>
      <c r="B226" s="10" t="s">
        <v>144</v>
      </c>
      <c r="C226" s="11">
        <v>0</v>
      </c>
      <c r="D226" s="11">
        <v>3547.8540000000003</v>
      </c>
      <c r="E226" s="11">
        <v>0.06</v>
      </c>
      <c r="F226" s="13">
        <f>SUMIF('OD 05-24'!A:A,A226,'OD 05-24'!D:D)</f>
        <v>3677.7440000000001</v>
      </c>
      <c r="G226" s="13">
        <f>SUMIF('OD 05-24'!A:A,A226,'OD 05-24'!E:E)</f>
        <v>3677.7440000000001</v>
      </c>
      <c r="H226" s="14">
        <f t="shared" si="6"/>
        <v>3547.7939999999994</v>
      </c>
      <c r="I226" s="14">
        <f t="shared" si="7"/>
        <v>3547.7939999999994</v>
      </c>
      <c r="J226" s="8" t="s">
        <v>138</v>
      </c>
      <c r="K226" s="8" t="s">
        <v>509</v>
      </c>
      <c r="M226" s="339"/>
      <c r="N226" s="315"/>
    </row>
    <row r="227" spans="1:14" s="9" customFormat="1" ht="11.25" x14ac:dyDescent="0.2">
      <c r="A227" s="10">
        <v>60110600</v>
      </c>
      <c r="B227" s="10" t="s">
        <v>145</v>
      </c>
      <c r="C227" s="11">
        <v>0</v>
      </c>
      <c r="D227" s="11">
        <v>22070.402999999998</v>
      </c>
      <c r="E227" s="11">
        <v>0</v>
      </c>
      <c r="F227" s="13">
        <f>SUMIF('OD 05-24'!A:A,A227,'OD 05-24'!D:D)</f>
        <v>0</v>
      </c>
      <c r="G227" s="13">
        <f>SUMIF('OD 05-24'!A:A,A227,'OD 05-24'!E:E)</f>
        <v>0</v>
      </c>
      <c r="H227" s="14">
        <f t="shared" si="6"/>
        <v>22070.402999999998</v>
      </c>
      <c r="I227" s="14">
        <f t="shared" si="7"/>
        <v>22070.402999999998</v>
      </c>
      <c r="J227" s="8" t="s">
        <v>138</v>
      </c>
      <c r="K227" s="8" t="s">
        <v>509</v>
      </c>
      <c r="M227" s="339"/>
      <c r="N227" s="315"/>
    </row>
    <row r="228" spans="1:14" s="9" customFormat="1" ht="11.25" x14ac:dyDescent="0.2">
      <c r="A228" s="10">
        <v>60110700</v>
      </c>
      <c r="B228" s="10" t="s">
        <v>146</v>
      </c>
      <c r="C228" s="11">
        <v>0</v>
      </c>
      <c r="D228" s="11">
        <v>204.67500000000001</v>
      </c>
      <c r="E228" s="11">
        <v>0</v>
      </c>
      <c r="F228" s="13">
        <f>SUMIF('OD 05-24'!A:A,A228,'OD 05-24'!D:D)</f>
        <v>0</v>
      </c>
      <c r="G228" s="13">
        <f>SUMIF('OD 05-24'!A:A,A228,'OD 05-24'!E:E)</f>
        <v>0</v>
      </c>
      <c r="H228" s="14">
        <f t="shared" si="6"/>
        <v>204.67500000000001</v>
      </c>
      <c r="I228" s="14">
        <f t="shared" si="7"/>
        <v>204.67500000000001</v>
      </c>
      <c r="J228" s="8" t="s">
        <v>138</v>
      </c>
      <c r="K228" s="8" t="s">
        <v>509</v>
      </c>
      <c r="M228" s="339"/>
      <c r="N228" s="315"/>
    </row>
    <row r="229" spans="1:14" s="9" customFormat="1" ht="11.25" x14ac:dyDescent="0.2">
      <c r="A229" s="10">
        <v>60110900</v>
      </c>
      <c r="B229" s="10" t="s">
        <v>147</v>
      </c>
      <c r="C229" s="11">
        <v>0</v>
      </c>
      <c r="D229" s="11">
        <v>172235.26300000001</v>
      </c>
      <c r="E229" s="11">
        <v>0</v>
      </c>
      <c r="F229" s="13">
        <f>SUMIF('OD 05-24'!A:A,A229,'OD 05-24'!D:D)</f>
        <v>127808.44899999999</v>
      </c>
      <c r="G229" s="13">
        <f>SUMIF('OD 05-24'!A:A,A229,'OD 05-24'!E:E)</f>
        <v>99509.387000000002</v>
      </c>
      <c r="H229" s="14">
        <f t="shared" si="6"/>
        <v>200534.32500000001</v>
      </c>
      <c r="I229" s="14">
        <f t="shared" si="7"/>
        <v>200534.32500000001</v>
      </c>
      <c r="J229" s="8" t="s">
        <v>138</v>
      </c>
      <c r="K229" s="8" t="s">
        <v>509</v>
      </c>
      <c r="M229" s="339"/>
      <c r="N229" s="315"/>
    </row>
    <row r="230" spans="1:14" s="9" customFormat="1" ht="11.25" x14ac:dyDescent="0.2">
      <c r="A230" s="10">
        <v>60111000</v>
      </c>
      <c r="B230" s="10" t="s">
        <v>148</v>
      </c>
      <c r="C230" s="11">
        <v>0</v>
      </c>
      <c r="D230" s="11">
        <v>0</v>
      </c>
      <c r="E230" s="11">
        <v>0</v>
      </c>
      <c r="F230" s="13">
        <f>SUMIF('OD 05-24'!A:A,A230,'OD 05-24'!D:D)</f>
        <v>0</v>
      </c>
      <c r="G230" s="13">
        <f>SUMIF('OD 05-24'!A:A,A230,'OD 05-24'!E:E)</f>
        <v>0</v>
      </c>
      <c r="H230" s="14">
        <f t="shared" si="6"/>
        <v>0</v>
      </c>
      <c r="I230" s="14">
        <f t="shared" si="7"/>
        <v>0</v>
      </c>
      <c r="J230" s="8" t="s">
        <v>138</v>
      </c>
      <c r="K230" s="8" t="s">
        <v>509</v>
      </c>
      <c r="M230" s="339"/>
      <c r="N230" s="315"/>
    </row>
    <row r="231" spans="1:14" s="9" customFormat="1" ht="11.25" x14ac:dyDescent="0.2">
      <c r="A231" s="10">
        <v>60111010</v>
      </c>
      <c r="B231" s="10" t="s">
        <v>393</v>
      </c>
      <c r="C231" s="11">
        <v>0</v>
      </c>
      <c r="D231" s="11">
        <v>3030</v>
      </c>
      <c r="E231" s="11">
        <v>0</v>
      </c>
      <c r="F231" s="13">
        <f>SUMIF('OD 05-24'!A:A,A231,'OD 05-24'!D:D)</f>
        <v>0</v>
      </c>
      <c r="G231" s="13">
        <f>SUMIF('OD 05-24'!A:A,A231,'OD 05-24'!E:E)</f>
        <v>0</v>
      </c>
      <c r="H231" s="14">
        <f t="shared" si="6"/>
        <v>3030</v>
      </c>
      <c r="I231" s="14">
        <f t="shared" si="7"/>
        <v>3030</v>
      </c>
      <c r="J231" s="8" t="s">
        <v>138</v>
      </c>
      <c r="K231" s="8" t="s">
        <v>509</v>
      </c>
      <c r="M231" s="339"/>
      <c r="N231" s="315"/>
    </row>
    <row r="232" spans="1:14" s="9" customFormat="1" ht="11.25" x14ac:dyDescent="0.2">
      <c r="A232" s="10">
        <v>60120100</v>
      </c>
      <c r="B232" s="10" t="s">
        <v>149</v>
      </c>
      <c r="C232" s="11">
        <v>0</v>
      </c>
      <c r="D232" s="11">
        <v>477299.40063999995</v>
      </c>
      <c r="E232" s="11">
        <v>7608.6944025000003</v>
      </c>
      <c r="F232" s="13">
        <f>SUMIF('OD 05-24'!A:A,A232,'OD 05-24'!D:D)</f>
        <v>0</v>
      </c>
      <c r="G232" s="13">
        <f>SUMIF('OD 05-24'!A:A,A232,'OD 05-24'!E:E)</f>
        <v>0</v>
      </c>
      <c r="H232" s="14">
        <f t="shared" si="6"/>
        <v>469690.70623749995</v>
      </c>
      <c r="I232" s="14">
        <f t="shared" si="7"/>
        <v>469690.70623749995</v>
      </c>
      <c r="J232" s="8" t="s">
        <v>138</v>
      </c>
      <c r="K232" s="8" t="s">
        <v>509</v>
      </c>
      <c r="M232" s="339"/>
      <c r="N232" s="315"/>
    </row>
    <row r="233" spans="1:14" s="9" customFormat="1" ht="11.25" x14ac:dyDescent="0.2">
      <c r="A233" s="10">
        <v>60120300</v>
      </c>
      <c r="B233" s="10" t="s">
        <v>150</v>
      </c>
      <c r="C233" s="11">
        <v>0</v>
      </c>
      <c r="D233" s="11">
        <v>4977013.1670000004</v>
      </c>
      <c r="E233" s="11">
        <v>72828.75</v>
      </c>
      <c r="F233" s="13">
        <f>SUMIF('OD 05-24'!A:A,A233,'OD 05-24'!D:D)</f>
        <v>378688.11</v>
      </c>
      <c r="G233" s="13">
        <f>SUMIF('OD 05-24'!A:A,A233,'OD 05-24'!E:E)</f>
        <v>370968.11</v>
      </c>
      <c r="H233" s="14">
        <f t="shared" si="6"/>
        <v>4911904.4170000004</v>
      </c>
      <c r="I233" s="14">
        <f t="shared" si="7"/>
        <v>4911904.4170000004</v>
      </c>
      <c r="J233" s="8" t="s">
        <v>138</v>
      </c>
      <c r="K233" s="8" t="s">
        <v>509</v>
      </c>
      <c r="M233" s="339"/>
      <c r="N233" s="315"/>
    </row>
    <row r="234" spans="1:14" s="9" customFormat="1" ht="11.25" x14ac:dyDescent="0.2">
      <c r="A234" s="10">
        <v>60120400</v>
      </c>
      <c r="B234" s="10" t="s">
        <v>365</v>
      </c>
      <c r="C234" s="11">
        <v>0</v>
      </c>
      <c r="D234" s="11">
        <v>579541.9</v>
      </c>
      <c r="E234" s="11">
        <v>0</v>
      </c>
      <c r="F234" s="13">
        <f>SUMIF('OD 05-24'!A:A,A234,'OD 05-24'!D:D)</f>
        <v>0</v>
      </c>
      <c r="G234" s="13">
        <f>SUMIF('OD 05-24'!A:A,A234,'OD 05-24'!E:E)</f>
        <v>0</v>
      </c>
      <c r="H234" s="14">
        <f t="shared" si="6"/>
        <v>579541.9</v>
      </c>
      <c r="I234" s="14">
        <f t="shared" si="7"/>
        <v>579541.9</v>
      </c>
      <c r="J234" s="8" t="s">
        <v>138</v>
      </c>
      <c r="K234" s="8" t="s">
        <v>509</v>
      </c>
      <c r="M234" s="339"/>
      <c r="N234" s="315"/>
    </row>
    <row r="235" spans="1:14" s="9" customFormat="1" ht="11.25" x14ac:dyDescent="0.2">
      <c r="A235" s="10">
        <v>60120800</v>
      </c>
      <c r="B235" s="10" t="s">
        <v>151</v>
      </c>
      <c r="C235" s="11">
        <v>0</v>
      </c>
      <c r="D235" s="11">
        <v>275547.5</v>
      </c>
      <c r="E235" s="11">
        <v>0</v>
      </c>
      <c r="F235" s="13">
        <f>SUMIF('OD 05-24'!A:A,A235,'OD 05-24'!D:D)</f>
        <v>0</v>
      </c>
      <c r="G235" s="13">
        <f>SUMIF('OD 05-24'!A:A,A235,'OD 05-24'!E:E)</f>
        <v>0</v>
      </c>
      <c r="H235" s="14">
        <f t="shared" si="6"/>
        <v>275547.5</v>
      </c>
      <c r="I235" s="14">
        <f t="shared" si="7"/>
        <v>275547.5</v>
      </c>
      <c r="J235" s="8" t="s">
        <v>138</v>
      </c>
      <c r="K235" s="8" t="s">
        <v>509</v>
      </c>
      <c r="M235" s="339"/>
      <c r="N235" s="315"/>
    </row>
    <row r="236" spans="1:14" s="9" customFormat="1" ht="11.25" x14ac:dyDescent="0.2">
      <c r="A236" s="10">
        <v>60120900</v>
      </c>
      <c r="B236" s="10" t="s">
        <v>7393</v>
      </c>
      <c r="C236" s="11">
        <v>0</v>
      </c>
      <c r="D236" s="11">
        <v>88974.443857499995</v>
      </c>
      <c r="E236" s="11">
        <v>0</v>
      </c>
      <c r="F236" s="13">
        <f>SUMIF('OD 05-24'!A:A,A236,'OD 05-24'!D:D)</f>
        <v>0</v>
      </c>
      <c r="G236" s="13">
        <f>SUMIF('OD 05-24'!A:A,A236,'OD 05-24'!E:E)</f>
        <v>0</v>
      </c>
      <c r="H236" s="14">
        <f t="shared" si="6"/>
        <v>88974.443857499995</v>
      </c>
      <c r="I236" s="14">
        <f t="shared" si="7"/>
        <v>88974.443857499995</v>
      </c>
      <c r="J236" s="8" t="s">
        <v>138</v>
      </c>
      <c r="K236" s="8" t="s">
        <v>509</v>
      </c>
      <c r="M236" s="339"/>
      <c r="N236" s="315"/>
    </row>
    <row r="237" spans="1:14" s="9" customFormat="1" ht="11.25" x14ac:dyDescent="0.2">
      <c r="A237" s="10">
        <v>60121010</v>
      </c>
      <c r="B237" s="10" t="s">
        <v>152</v>
      </c>
      <c r="C237" s="11">
        <v>0</v>
      </c>
      <c r="D237" s="11">
        <v>5868153.4290930014</v>
      </c>
      <c r="E237" s="11">
        <v>0</v>
      </c>
      <c r="F237" s="13">
        <f>SUMIF('OD 05-24'!A:A,A237,'OD 05-24'!D:D)</f>
        <v>0</v>
      </c>
      <c r="G237" s="13">
        <f>SUMIF('OD 05-24'!A:A,A237,'OD 05-24'!E:E)</f>
        <v>0</v>
      </c>
      <c r="H237" s="14">
        <f t="shared" si="6"/>
        <v>5868153.4290930014</v>
      </c>
      <c r="I237" s="14">
        <f t="shared" si="7"/>
        <v>5868153.4290930014</v>
      </c>
      <c r="J237" s="8" t="s">
        <v>138</v>
      </c>
      <c r="K237" s="8" t="s">
        <v>509</v>
      </c>
      <c r="M237" s="339"/>
      <c r="N237" s="315"/>
    </row>
    <row r="238" spans="1:14" s="9" customFormat="1" ht="11.25" x14ac:dyDescent="0.2">
      <c r="A238" s="10">
        <v>60121020</v>
      </c>
      <c r="B238" s="10" t="s">
        <v>153</v>
      </c>
      <c r="C238" s="11">
        <v>0</v>
      </c>
      <c r="D238" s="11">
        <v>4664</v>
      </c>
      <c r="E238" s="11">
        <v>4664</v>
      </c>
      <c r="F238" s="13">
        <f>SUMIF('OD 05-24'!A:A,A238,'OD 05-24'!D:D)</f>
        <v>0</v>
      </c>
      <c r="G238" s="13">
        <f>SUMIF('OD 05-24'!A:A,A238,'OD 05-24'!E:E)</f>
        <v>0</v>
      </c>
      <c r="H238" s="14">
        <f t="shared" si="6"/>
        <v>0</v>
      </c>
      <c r="I238" s="14">
        <f t="shared" si="7"/>
        <v>0</v>
      </c>
      <c r="J238" s="8" t="s">
        <v>138</v>
      </c>
      <c r="K238" s="8" t="s">
        <v>509</v>
      </c>
      <c r="M238" s="339"/>
      <c r="N238" s="315"/>
    </row>
    <row r="239" spans="1:14" s="9" customFormat="1" ht="11.25" x14ac:dyDescent="0.2">
      <c r="A239" s="10">
        <v>60121031</v>
      </c>
      <c r="B239" s="10" t="s">
        <v>394</v>
      </c>
      <c r="C239" s="11">
        <v>0</v>
      </c>
      <c r="D239" s="11">
        <v>59140.306420000001</v>
      </c>
      <c r="E239" s="11">
        <v>0</v>
      </c>
      <c r="F239" s="13">
        <f>SUMIF('OD 05-24'!A:A,A239,'OD 05-24'!D:D)</f>
        <v>0</v>
      </c>
      <c r="G239" s="13">
        <f>SUMIF('OD 05-24'!A:A,A239,'OD 05-24'!E:E)</f>
        <v>0</v>
      </c>
      <c r="H239" s="14">
        <f t="shared" si="6"/>
        <v>59140.306420000001</v>
      </c>
      <c r="I239" s="14">
        <f t="shared" si="7"/>
        <v>59140.306420000001</v>
      </c>
      <c r="J239" s="8" t="s">
        <v>138</v>
      </c>
      <c r="K239" s="8" t="s">
        <v>509</v>
      </c>
      <c r="M239" s="339"/>
      <c r="N239" s="315"/>
    </row>
    <row r="240" spans="1:14" s="9" customFormat="1" ht="11.25" x14ac:dyDescent="0.2">
      <c r="A240" s="10">
        <v>60121032</v>
      </c>
      <c r="B240" s="10" t="s">
        <v>8973</v>
      </c>
      <c r="C240" s="11">
        <v>0</v>
      </c>
      <c r="D240" s="11">
        <v>10482.185000000001</v>
      </c>
      <c r="E240" s="11">
        <v>0</v>
      </c>
      <c r="F240" s="13">
        <f>SUMIF('OD 05-24'!A:A,A240,'OD 05-24'!D:D)</f>
        <v>0</v>
      </c>
      <c r="G240" s="13">
        <f>SUMIF('OD 05-24'!A:A,A240,'OD 05-24'!E:E)</f>
        <v>0</v>
      </c>
      <c r="H240" s="14">
        <f t="shared" si="6"/>
        <v>10482.185000000001</v>
      </c>
      <c r="I240" s="14">
        <f t="shared" si="7"/>
        <v>10482.185000000001</v>
      </c>
      <c r="J240" s="8" t="s">
        <v>138</v>
      </c>
      <c r="K240" s="8" t="s">
        <v>509</v>
      </c>
      <c r="M240" s="339"/>
      <c r="N240" s="315"/>
    </row>
    <row r="241" spans="1:14" s="9" customFormat="1" ht="11.25" x14ac:dyDescent="0.2">
      <c r="A241" s="10">
        <v>60121033</v>
      </c>
      <c r="B241" s="10" t="s">
        <v>7718</v>
      </c>
      <c r="C241" s="11">
        <v>0</v>
      </c>
      <c r="D241" s="11">
        <v>6154.0569999999989</v>
      </c>
      <c r="E241" s="11">
        <v>0</v>
      </c>
      <c r="F241" s="13">
        <f>SUMIF('OD 05-24'!A:A,A241,'OD 05-24'!D:D)</f>
        <v>0</v>
      </c>
      <c r="G241" s="13">
        <f>SUMIF('OD 05-24'!A:A,A241,'OD 05-24'!E:E)</f>
        <v>0</v>
      </c>
      <c r="H241" s="14">
        <f t="shared" si="6"/>
        <v>6154.0569999999989</v>
      </c>
      <c r="I241" s="14">
        <f t="shared" si="7"/>
        <v>6154.0569999999989</v>
      </c>
      <c r="J241" s="8" t="s">
        <v>138</v>
      </c>
      <c r="K241" s="8" t="s">
        <v>509</v>
      </c>
      <c r="M241" s="339"/>
      <c r="N241" s="315"/>
    </row>
    <row r="242" spans="1:14" s="9" customFormat="1" ht="11.25" x14ac:dyDescent="0.2">
      <c r="A242" s="10">
        <v>60121035</v>
      </c>
      <c r="B242" s="10" t="s">
        <v>395</v>
      </c>
      <c r="C242" s="11">
        <v>0</v>
      </c>
      <c r="D242" s="11">
        <v>2180.3129999999996</v>
      </c>
      <c r="E242" s="11">
        <v>0</v>
      </c>
      <c r="F242" s="13">
        <f>SUMIF('OD 05-24'!A:A,A242,'OD 05-24'!D:D)</f>
        <v>0</v>
      </c>
      <c r="G242" s="13">
        <f>SUMIF('OD 05-24'!A:A,A242,'OD 05-24'!E:E)</f>
        <v>0</v>
      </c>
      <c r="H242" s="14">
        <f t="shared" si="6"/>
        <v>2180.3129999999996</v>
      </c>
      <c r="I242" s="14">
        <f t="shared" si="7"/>
        <v>2180.3129999999996</v>
      </c>
      <c r="J242" s="8" t="s">
        <v>138</v>
      </c>
      <c r="K242" s="8" t="s">
        <v>509</v>
      </c>
      <c r="M242" s="339"/>
      <c r="N242" s="315"/>
    </row>
    <row r="243" spans="1:14" s="9" customFormat="1" ht="11.25" x14ac:dyDescent="0.2">
      <c r="A243" s="10">
        <v>60121040</v>
      </c>
      <c r="B243" s="10" t="s">
        <v>7720</v>
      </c>
      <c r="C243" s="11">
        <v>0</v>
      </c>
      <c r="D243" s="11">
        <v>2058.75</v>
      </c>
      <c r="E243" s="11">
        <v>0</v>
      </c>
      <c r="F243" s="13">
        <f>SUMIF('OD 05-24'!A:A,A243,'OD 05-24'!D:D)</f>
        <v>0</v>
      </c>
      <c r="G243" s="13">
        <f>SUMIF('OD 05-24'!A:A,A243,'OD 05-24'!E:E)</f>
        <v>0</v>
      </c>
      <c r="H243" s="14">
        <f t="shared" si="6"/>
        <v>2058.75</v>
      </c>
      <c r="I243" s="14">
        <f t="shared" si="7"/>
        <v>2058.75</v>
      </c>
      <c r="J243" s="8" t="s">
        <v>138</v>
      </c>
      <c r="K243" s="8" t="s">
        <v>509</v>
      </c>
      <c r="M243" s="339"/>
      <c r="N243" s="315"/>
    </row>
    <row r="244" spans="1:14" s="9" customFormat="1" ht="11.25" x14ac:dyDescent="0.2">
      <c r="A244" s="10">
        <v>60121210</v>
      </c>
      <c r="B244" s="10" t="s">
        <v>7400</v>
      </c>
      <c r="C244" s="11">
        <v>0</v>
      </c>
      <c r="D244" s="11">
        <v>60430.133700000006</v>
      </c>
      <c r="E244" s="11">
        <v>0</v>
      </c>
      <c r="F244" s="13">
        <f>SUMIF('OD 05-24'!A:A,A244,'OD 05-24'!D:D)</f>
        <v>0</v>
      </c>
      <c r="G244" s="13">
        <f>SUMIF('OD 05-24'!A:A,A244,'OD 05-24'!E:E)</f>
        <v>0</v>
      </c>
      <c r="H244" s="14">
        <f t="shared" si="6"/>
        <v>60430.133700000006</v>
      </c>
      <c r="I244" s="14">
        <f t="shared" si="7"/>
        <v>60430.133700000006</v>
      </c>
      <c r="J244" s="8" t="s">
        <v>138</v>
      </c>
      <c r="K244" s="8" t="s">
        <v>509</v>
      </c>
      <c r="M244" s="339"/>
      <c r="N244" s="315"/>
    </row>
    <row r="245" spans="1:14" s="9" customFormat="1" ht="11.25" x14ac:dyDescent="0.2">
      <c r="A245" s="10">
        <v>60121400</v>
      </c>
      <c r="B245" s="10" t="s">
        <v>7570</v>
      </c>
      <c r="C245" s="11">
        <v>0</v>
      </c>
      <c r="D245" s="11">
        <v>53858.292479999989</v>
      </c>
      <c r="E245" s="11">
        <v>0</v>
      </c>
      <c r="F245" s="13">
        <f>SUMIF('OD 05-24'!A:A,A245,'OD 05-24'!D:D)</f>
        <v>0</v>
      </c>
      <c r="G245" s="13">
        <f>SUMIF('OD 05-24'!A:A,A245,'OD 05-24'!E:E)</f>
        <v>0</v>
      </c>
      <c r="H245" s="14">
        <f t="shared" si="6"/>
        <v>53858.292479999989</v>
      </c>
      <c r="I245" s="14">
        <f t="shared" si="7"/>
        <v>53858.292479999989</v>
      </c>
      <c r="J245" s="8" t="s">
        <v>138</v>
      </c>
      <c r="K245" s="8" t="s">
        <v>509</v>
      </c>
      <c r="M245" s="339"/>
      <c r="N245" s="315"/>
    </row>
    <row r="246" spans="1:14" s="9" customFormat="1" ht="11.25" x14ac:dyDescent="0.2">
      <c r="A246" s="10">
        <v>60121500</v>
      </c>
      <c r="B246" s="10" t="s">
        <v>404</v>
      </c>
      <c r="C246" s="11">
        <v>0</v>
      </c>
      <c r="D246" s="11">
        <v>43200</v>
      </c>
      <c r="E246" s="11">
        <v>0</v>
      </c>
      <c r="F246" s="13">
        <f>SUMIF('OD 05-24'!A:A,A246,'OD 05-24'!D:D)</f>
        <v>99000</v>
      </c>
      <c r="G246" s="13">
        <f>SUMIF('OD 05-24'!A:A,A246,'OD 05-24'!E:E)</f>
        <v>43200</v>
      </c>
      <c r="H246" s="14">
        <f t="shared" si="6"/>
        <v>99000</v>
      </c>
      <c r="I246" s="14">
        <f t="shared" si="7"/>
        <v>99000</v>
      </c>
      <c r="J246" s="8" t="s">
        <v>138</v>
      </c>
      <c r="K246" s="8" t="s">
        <v>509</v>
      </c>
      <c r="M246" s="339"/>
      <c r="N246" s="315"/>
    </row>
    <row r="247" spans="1:14" s="9" customFormat="1" ht="11.25" x14ac:dyDescent="0.2">
      <c r="A247" s="10">
        <v>60121600</v>
      </c>
      <c r="B247" s="10" t="s">
        <v>154</v>
      </c>
      <c r="C247" s="11">
        <v>0</v>
      </c>
      <c r="D247" s="11">
        <v>184308</v>
      </c>
      <c r="E247" s="11">
        <v>0</v>
      </c>
      <c r="F247" s="13">
        <f>SUMIF('OD 05-24'!A:A,A247,'OD 05-24'!D:D)</f>
        <v>0</v>
      </c>
      <c r="G247" s="13">
        <f>SUMIF('OD 05-24'!A:A,A247,'OD 05-24'!E:E)</f>
        <v>0</v>
      </c>
      <c r="H247" s="14">
        <f t="shared" si="6"/>
        <v>184308</v>
      </c>
      <c r="I247" s="14">
        <f t="shared" si="7"/>
        <v>184308</v>
      </c>
      <c r="J247" s="8" t="s">
        <v>138</v>
      </c>
      <c r="K247" s="8" t="s">
        <v>509</v>
      </c>
      <c r="M247" s="339"/>
      <c r="N247" s="315"/>
    </row>
    <row r="248" spans="1:14" s="9" customFormat="1" ht="11.25" x14ac:dyDescent="0.2">
      <c r="A248" s="10">
        <v>60121900</v>
      </c>
      <c r="B248" s="10" t="s">
        <v>7568</v>
      </c>
      <c r="C248" s="11">
        <v>0</v>
      </c>
      <c r="D248" s="11">
        <v>33763.75</v>
      </c>
      <c r="E248" s="11">
        <v>0</v>
      </c>
      <c r="F248" s="13">
        <f>SUMIF('OD 05-24'!A:A,A248,'OD 05-24'!D:D)</f>
        <v>0</v>
      </c>
      <c r="G248" s="13">
        <f>SUMIF('OD 05-24'!A:A,A248,'OD 05-24'!E:E)</f>
        <v>0</v>
      </c>
      <c r="H248" s="14">
        <f t="shared" si="6"/>
        <v>33763.75</v>
      </c>
      <c r="I248" s="14">
        <f t="shared" si="7"/>
        <v>33763.75</v>
      </c>
      <c r="J248" s="8" t="s">
        <v>138</v>
      </c>
      <c r="K248" s="8" t="s">
        <v>509</v>
      </c>
      <c r="M248" s="339"/>
      <c r="N248" s="315"/>
    </row>
    <row r="249" spans="1:14" s="9" customFormat="1" ht="11.25" x14ac:dyDescent="0.2">
      <c r="A249" s="10">
        <v>60122100</v>
      </c>
      <c r="B249" s="10" t="s">
        <v>155</v>
      </c>
      <c r="C249" s="11">
        <v>0</v>
      </c>
      <c r="D249" s="11">
        <v>51705</v>
      </c>
      <c r="E249" s="11">
        <v>0</v>
      </c>
      <c r="F249" s="13">
        <f>SUMIF('OD 05-24'!A:A,A249,'OD 05-24'!D:D)</f>
        <v>26730</v>
      </c>
      <c r="G249" s="13">
        <f>SUMIF('OD 05-24'!A:A,A249,'OD 05-24'!E:E)</f>
        <v>0</v>
      </c>
      <c r="H249" s="14">
        <f t="shared" si="6"/>
        <v>78435</v>
      </c>
      <c r="I249" s="14">
        <f t="shared" si="7"/>
        <v>78435</v>
      </c>
      <c r="J249" s="8" t="s">
        <v>138</v>
      </c>
      <c r="K249" s="8" t="s">
        <v>509</v>
      </c>
      <c r="M249" s="339"/>
      <c r="N249" s="315"/>
    </row>
    <row r="250" spans="1:14" s="9" customFormat="1" ht="11.25" x14ac:dyDescent="0.2">
      <c r="A250" s="10">
        <v>60122200</v>
      </c>
      <c r="B250" s="10" t="s">
        <v>156</v>
      </c>
      <c r="C250" s="11">
        <v>0</v>
      </c>
      <c r="D250" s="11">
        <v>54164.048999999999</v>
      </c>
      <c r="E250" s="11">
        <v>0</v>
      </c>
      <c r="F250" s="13">
        <f>SUMIF('OD 05-24'!A:A,A250,'OD 05-24'!D:D)</f>
        <v>12789</v>
      </c>
      <c r="G250" s="13">
        <f>SUMIF('OD 05-24'!A:A,A250,'OD 05-24'!E:E)</f>
        <v>12789</v>
      </c>
      <c r="H250" s="14">
        <f t="shared" si="6"/>
        <v>54164.048999999999</v>
      </c>
      <c r="I250" s="14">
        <f t="shared" si="7"/>
        <v>54164.048999999999</v>
      </c>
      <c r="J250" s="8" t="s">
        <v>138</v>
      </c>
      <c r="K250" s="8" t="s">
        <v>509</v>
      </c>
      <c r="M250" s="339"/>
      <c r="N250" s="315"/>
    </row>
    <row r="251" spans="1:14" s="9" customFormat="1" ht="11.25" x14ac:dyDescent="0.2">
      <c r="A251" s="10">
        <v>60122400</v>
      </c>
      <c r="B251" s="10" t="s">
        <v>7396</v>
      </c>
      <c r="C251" s="11">
        <v>0</v>
      </c>
      <c r="D251" s="11">
        <v>9701.7119999999995</v>
      </c>
      <c r="E251" s="11">
        <v>0</v>
      </c>
      <c r="F251" s="13">
        <f>SUMIF('OD 05-24'!A:A,A251,'OD 05-24'!D:D)</f>
        <v>0</v>
      </c>
      <c r="G251" s="13">
        <f>SUMIF('OD 05-24'!A:A,A251,'OD 05-24'!E:E)</f>
        <v>0</v>
      </c>
      <c r="H251" s="14">
        <f t="shared" si="6"/>
        <v>9701.7119999999995</v>
      </c>
      <c r="I251" s="14">
        <f t="shared" si="7"/>
        <v>9701.7119999999995</v>
      </c>
      <c r="J251" s="8" t="s">
        <v>138</v>
      </c>
      <c r="K251" s="8" t="s">
        <v>509</v>
      </c>
      <c r="M251" s="339"/>
      <c r="N251" s="315"/>
    </row>
    <row r="252" spans="1:14" s="9" customFormat="1" ht="11.25" x14ac:dyDescent="0.2">
      <c r="A252" s="10">
        <v>60122410</v>
      </c>
      <c r="B252" s="10" t="s">
        <v>366</v>
      </c>
      <c r="C252" s="11">
        <v>0</v>
      </c>
      <c r="D252" s="11">
        <v>2300</v>
      </c>
      <c r="E252" s="11">
        <v>0</v>
      </c>
      <c r="F252" s="13">
        <f>SUMIF('OD 05-24'!A:A,A252,'OD 05-24'!D:D)</f>
        <v>0</v>
      </c>
      <c r="G252" s="13">
        <f>SUMIF('OD 05-24'!A:A,A252,'OD 05-24'!E:E)</f>
        <v>0</v>
      </c>
      <c r="H252" s="14">
        <f t="shared" si="6"/>
        <v>2300</v>
      </c>
      <c r="I252" s="14">
        <f t="shared" si="7"/>
        <v>2300</v>
      </c>
      <c r="J252" s="8" t="s">
        <v>138</v>
      </c>
      <c r="K252" s="8" t="s">
        <v>509</v>
      </c>
      <c r="M252" s="339"/>
      <c r="N252" s="315"/>
    </row>
    <row r="253" spans="1:14" s="9" customFormat="1" ht="11.25" x14ac:dyDescent="0.2">
      <c r="A253" s="10">
        <v>60122411</v>
      </c>
      <c r="B253" s="10" t="s">
        <v>367</v>
      </c>
      <c r="C253" s="11">
        <v>0</v>
      </c>
      <c r="D253" s="11">
        <v>29675</v>
      </c>
      <c r="E253" s="11">
        <v>0</v>
      </c>
      <c r="F253" s="13">
        <f>SUMIF('OD 05-24'!A:A,A253,'OD 05-24'!D:D)</f>
        <v>1154.8</v>
      </c>
      <c r="G253" s="13">
        <f>SUMIF('OD 05-24'!A:A,A253,'OD 05-24'!E:E)</f>
        <v>474.8</v>
      </c>
      <c r="H253" s="14">
        <f t="shared" si="6"/>
        <v>30355</v>
      </c>
      <c r="I253" s="14">
        <f t="shared" si="7"/>
        <v>30355</v>
      </c>
      <c r="J253" s="8" t="s">
        <v>138</v>
      </c>
      <c r="K253" s="8" t="s">
        <v>509</v>
      </c>
      <c r="M253" s="339"/>
      <c r="N253" s="315"/>
    </row>
    <row r="254" spans="1:14" s="9" customFormat="1" ht="11.25" x14ac:dyDescent="0.2">
      <c r="A254" s="10">
        <v>60122510</v>
      </c>
      <c r="B254" s="10" t="s">
        <v>368</v>
      </c>
      <c r="C254" s="11">
        <v>0</v>
      </c>
      <c r="D254" s="11">
        <v>16839.326000000001</v>
      </c>
      <c r="E254" s="11">
        <v>0</v>
      </c>
      <c r="F254" s="13">
        <f>SUMIF('OD 05-24'!A:A,A254,'OD 05-24'!D:D)</f>
        <v>1931.701</v>
      </c>
      <c r="G254" s="13">
        <f>SUMIF('OD 05-24'!A:A,A254,'OD 05-24'!E:E)</f>
        <v>0</v>
      </c>
      <c r="H254" s="14">
        <f t="shared" si="6"/>
        <v>18771.027000000002</v>
      </c>
      <c r="I254" s="14">
        <f t="shared" si="7"/>
        <v>18771.027000000002</v>
      </c>
      <c r="J254" s="8" t="s">
        <v>138</v>
      </c>
      <c r="K254" s="8" t="s">
        <v>509</v>
      </c>
      <c r="M254" s="339"/>
      <c r="N254" s="315"/>
    </row>
    <row r="255" spans="1:14" s="9" customFormat="1" ht="11.25" x14ac:dyDescent="0.2">
      <c r="A255" s="10">
        <v>60122520</v>
      </c>
      <c r="B255" s="10" t="s">
        <v>396</v>
      </c>
      <c r="C255" s="11">
        <v>0</v>
      </c>
      <c r="D255" s="11">
        <v>2253.7220000000002</v>
      </c>
      <c r="E255" s="11">
        <v>0</v>
      </c>
      <c r="F255" s="13">
        <f>SUMIF('OD 05-24'!A:A,A255,'OD 05-24'!D:D)</f>
        <v>0</v>
      </c>
      <c r="G255" s="13">
        <f>SUMIF('OD 05-24'!A:A,A255,'OD 05-24'!E:E)</f>
        <v>0</v>
      </c>
      <c r="H255" s="14">
        <f t="shared" si="6"/>
        <v>2253.7220000000002</v>
      </c>
      <c r="I255" s="14">
        <f t="shared" si="7"/>
        <v>2253.7220000000002</v>
      </c>
      <c r="J255" s="8" t="s">
        <v>138</v>
      </c>
      <c r="K255" s="8" t="s">
        <v>509</v>
      </c>
      <c r="M255" s="339"/>
      <c r="N255" s="315"/>
    </row>
    <row r="256" spans="1:14" s="9" customFormat="1" ht="11.25" x14ac:dyDescent="0.2">
      <c r="A256" s="10">
        <v>60122700</v>
      </c>
      <c r="B256" s="10" t="s">
        <v>7567</v>
      </c>
      <c r="C256" s="11">
        <v>0</v>
      </c>
      <c r="D256" s="11">
        <v>9500.0399999999991</v>
      </c>
      <c r="E256" s="11">
        <v>0</v>
      </c>
      <c r="F256" s="13">
        <f>SUMIF('OD 05-24'!A:A,A256,'OD 05-24'!D:D)</f>
        <v>12212.5</v>
      </c>
      <c r="G256" s="13">
        <f>SUMIF('OD 05-24'!A:A,A256,'OD 05-24'!E:E)</f>
        <v>12212.5</v>
      </c>
      <c r="H256" s="14">
        <f t="shared" si="6"/>
        <v>9500.0400000000009</v>
      </c>
      <c r="I256" s="14">
        <f t="shared" si="7"/>
        <v>9500.0400000000009</v>
      </c>
      <c r="J256" s="8" t="s">
        <v>138</v>
      </c>
      <c r="K256" s="8" t="s">
        <v>509</v>
      </c>
      <c r="M256" s="339"/>
      <c r="N256" s="315"/>
    </row>
    <row r="257" spans="1:14" s="9" customFormat="1" ht="11.25" x14ac:dyDescent="0.2">
      <c r="A257" s="10">
        <v>60171000</v>
      </c>
      <c r="B257" s="10" t="s">
        <v>369</v>
      </c>
      <c r="C257" s="11">
        <v>0</v>
      </c>
      <c r="D257" s="11">
        <v>243318.37399999998</v>
      </c>
      <c r="E257" s="11">
        <v>325.53100000000001</v>
      </c>
      <c r="F257" s="13">
        <f>SUMIF('OD 05-24'!A:A,A257,'OD 05-24'!D:D)</f>
        <v>239932.95</v>
      </c>
      <c r="G257" s="13">
        <f>SUMIF('OD 05-24'!A:A,A257,'OD 05-24'!E:E)</f>
        <v>195028.44</v>
      </c>
      <c r="H257" s="14">
        <f t="shared" si="6"/>
        <v>287897.353</v>
      </c>
      <c r="I257" s="14">
        <f t="shared" si="7"/>
        <v>287897.353</v>
      </c>
      <c r="J257" s="8" t="s">
        <v>138</v>
      </c>
      <c r="K257" s="8" t="s">
        <v>509</v>
      </c>
      <c r="M257" s="339"/>
      <c r="N257" s="315"/>
    </row>
    <row r="258" spans="1:14" s="9" customFormat="1" ht="11.25" x14ac:dyDescent="0.2">
      <c r="A258" s="10">
        <v>60172000</v>
      </c>
      <c r="B258" s="10" t="s">
        <v>169</v>
      </c>
      <c r="C258" s="11">
        <v>0</v>
      </c>
      <c r="D258" s="11">
        <v>403389.37299999996</v>
      </c>
      <c r="E258" s="11">
        <v>1970.4739999999997</v>
      </c>
      <c r="F258" s="13">
        <f>SUMIF('OD 05-24'!A:A,A258,'OD 05-24'!D:D)</f>
        <v>398935.30300000001</v>
      </c>
      <c r="G258" s="13">
        <f>SUMIF('OD 05-24'!A:A,A258,'OD 05-24'!E:E)</f>
        <v>293194.239</v>
      </c>
      <c r="H258" s="14">
        <f t="shared" si="6"/>
        <v>507159.96299999993</v>
      </c>
      <c r="I258" s="14">
        <f t="shared" si="7"/>
        <v>507159.96299999993</v>
      </c>
      <c r="J258" s="8" t="s">
        <v>138</v>
      </c>
      <c r="K258" s="8" t="s">
        <v>509</v>
      </c>
      <c r="M258" s="339"/>
      <c r="N258" s="315"/>
    </row>
    <row r="259" spans="1:14" s="9" customFormat="1" ht="11.25" x14ac:dyDescent="0.2">
      <c r="A259" s="10">
        <v>60173000</v>
      </c>
      <c r="B259" s="10" t="s">
        <v>170</v>
      </c>
      <c r="C259" s="11">
        <v>0</v>
      </c>
      <c r="D259" s="11">
        <v>53187.730999999992</v>
      </c>
      <c r="E259" s="11">
        <v>16484.29</v>
      </c>
      <c r="F259" s="13">
        <f>SUMIF('OD 05-24'!A:A,A259,'OD 05-24'!D:D)</f>
        <v>36089.076999999997</v>
      </c>
      <c r="G259" s="13">
        <f>SUMIF('OD 05-24'!A:A,A259,'OD 05-24'!E:E)</f>
        <v>25129.195</v>
      </c>
      <c r="H259" s="14">
        <f t="shared" si="6"/>
        <v>47663.322999999982</v>
      </c>
      <c r="I259" s="14">
        <f t="shared" si="7"/>
        <v>47663.322999999982</v>
      </c>
      <c r="J259" s="8" t="s">
        <v>138</v>
      </c>
      <c r="K259" s="8" t="s">
        <v>509</v>
      </c>
      <c r="M259" s="339"/>
      <c r="N259" s="315"/>
    </row>
    <row r="260" spans="1:14" s="9" customFormat="1" ht="11.25" x14ac:dyDescent="0.2">
      <c r="A260" s="10">
        <v>60191000</v>
      </c>
      <c r="B260" s="10" t="s">
        <v>158</v>
      </c>
      <c r="C260" s="11">
        <v>0</v>
      </c>
      <c r="D260" s="11">
        <v>693578.37303999986</v>
      </c>
      <c r="E260" s="11">
        <v>20826.707000000002</v>
      </c>
      <c r="F260" s="13">
        <f>SUMIF('OD 05-24'!A:A,A260,'OD 05-24'!D:D)</f>
        <v>0</v>
      </c>
      <c r="G260" s="13">
        <f>SUMIF('OD 05-24'!A:A,A260,'OD 05-24'!E:E)</f>
        <v>0</v>
      </c>
      <c r="H260" s="14">
        <f t="shared" si="6"/>
        <v>672751.66603999981</v>
      </c>
      <c r="I260" s="14">
        <f t="shared" si="7"/>
        <v>672751.66603999981</v>
      </c>
      <c r="J260" s="8" t="s">
        <v>138</v>
      </c>
      <c r="K260" s="8" t="s">
        <v>509</v>
      </c>
      <c r="M260" s="339"/>
      <c r="N260" s="315"/>
    </row>
    <row r="261" spans="1:14" s="9" customFormat="1" ht="11.25" x14ac:dyDescent="0.2">
      <c r="A261" s="10">
        <v>60215000</v>
      </c>
      <c r="B261" s="10" t="s">
        <v>370</v>
      </c>
      <c r="C261" s="11">
        <v>0</v>
      </c>
      <c r="D261" s="11">
        <v>0</v>
      </c>
      <c r="E261" s="11">
        <v>0</v>
      </c>
      <c r="F261" s="13">
        <f>SUMIF('OD 05-24'!A:A,A261,'OD 05-24'!D:D)</f>
        <v>0</v>
      </c>
      <c r="G261" s="13">
        <f>SUMIF('OD 05-24'!A:A,A261,'OD 05-24'!E:E)</f>
        <v>0</v>
      </c>
      <c r="H261" s="14">
        <f t="shared" si="6"/>
        <v>0</v>
      </c>
      <c r="I261" s="14">
        <f t="shared" si="7"/>
        <v>0</v>
      </c>
      <c r="J261" s="8" t="s">
        <v>138</v>
      </c>
      <c r="K261" s="8" t="s">
        <v>509</v>
      </c>
      <c r="M261" s="339"/>
      <c r="N261" s="315"/>
    </row>
    <row r="262" spans="1:14" s="9" customFormat="1" ht="11.25" x14ac:dyDescent="0.2">
      <c r="A262" s="10">
        <v>60216000</v>
      </c>
      <c r="B262" s="10" t="s">
        <v>371</v>
      </c>
      <c r="C262" s="11">
        <v>0</v>
      </c>
      <c r="D262" s="11">
        <v>293619.22151249996</v>
      </c>
      <c r="E262" s="11">
        <v>0</v>
      </c>
      <c r="F262" s="13">
        <f>SUMIF('OD 05-24'!A:A,A262,'OD 05-24'!D:D)</f>
        <v>0</v>
      </c>
      <c r="G262" s="13">
        <f>SUMIF('OD 05-24'!A:A,A262,'OD 05-24'!E:E)</f>
        <v>0</v>
      </c>
      <c r="H262" s="14">
        <f t="shared" ref="H262:H325" si="8">+D262+F262-E262-G262</f>
        <v>293619.22151249996</v>
      </c>
      <c r="I262" s="14">
        <f t="shared" ref="I262:I325" si="9">+H262+C262</f>
        <v>293619.22151249996</v>
      </c>
      <c r="J262" s="8" t="s">
        <v>138</v>
      </c>
      <c r="K262" s="8" t="s">
        <v>509</v>
      </c>
      <c r="M262" s="339"/>
      <c r="N262" s="315"/>
    </row>
    <row r="263" spans="1:14" s="9" customFormat="1" ht="11.25" x14ac:dyDescent="0.2">
      <c r="A263" s="10">
        <v>60260200</v>
      </c>
      <c r="B263" s="10" t="s">
        <v>372</v>
      </c>
      <c r="C263" s="11">
        <v>0</v>
      </c>
      <c r="D263" s="11">
        <v>4915.8500000000004</v>
      </c>
      <c r="E263" s="11">
        <v>0</v>
      </c>
      <c r="F263" s="13">
        <f>SUMIF('OD 05-24'!A:A,A263,'OD 05-24'!D:D)</f>
        <v>0</v>
      </c>
      <c r="G263" s="13">
        <f>SUMIF('OD 05-24'!A:A,A263,'OD 05-24'!E:E)</f>
        <v>0</v>
      </c>
      <c r="H263" s="14">
        <f t="shared" si="8"/>
        <v>4915.8500000000004</v>
      </c>
      <c r="I263" s="14">
        <f t="shared" si="9"/>
        <v>4915.8500000000004</v>
      </c>
      <c r="J263" s="8" t="s">
        <v>138</v>
      </c>
      <c r="K263" s="8" t="s">
        <v>509</v>
      </c>
      <c r="M263" s="339"/>
      <c r="N263" s="315"/>
    </row>
    <row r="264" spans="1:14" s="9" customFormat="1" ht="11.25" x14ac:dyDescent="0.2">
      <c r="A264" s="10">
        <v>60260300</v>
      </c>
      <c r="B264" s="10" t="s">
        <v>160</v>
      </c>
      <c r="C264" s="11">
        <v>0</v>
      </c>
      <c r="D264" s="11">
        <v>47389.05</v>
      </c>
      <c r="E264" s="11">
        <v>0</v>
      </c>
      <c r="F264" s="13">
        <f>SUMIF('OD 05-24'!A:A,A264,'OD 05-24'!D:D)</f>
        <v>0</v>
      </c>
      <c r="G264" s="13">
        <f>SUMIF('OD 05-24'!A:A,A264,'OD 05-24'!E:E)</f>
        <v>0</v>
      </c>
      <c r="H264" s="14">
        <f t="shared" si="8"/>
        <v>47389.05</v>
      </c>
      <c r="I264" s="14">
        <f t="shared" si="9"/>
        <v>47389.05</v>
      </c>
      <c r="J264" s="8" t="s">
        <v>138</v>
      </c>
      <c r="K264" s="8" t="s">
        <v>509</v>
      </c>
      <c r="M264" s="339"/>
      <c r="N264" s="315"/>
    </row>
    <row r="265" spans="1:14" s="9" customFormat="1" ht="11.25" x14ac:dyDescent="0.2">
      <c r="A265" s="10">
        <v>60260400</v>
      </c>
      <c r="B265" s="10" t="s">
        <v>161</v>
      </c>
      <c r="C265" s="11">
        <v>0</v>
      </c>
      <c r="D265" s="11">
        <v>40790.582999999999</v>
      </c>
      <c r="E265" s="11">
        <v>0</v>
      </c>
      <c r="F265" s="13">
        <f>SUMIF('OD 05-24'!A:A,A265,'OD 05-24'!D:D)</f>
        <v>9653.4</v>
      </c>
      <c r="G265" s="13">
        <f>SUMIF('OD 05-24'!A:A,A265,'OD 05-24'!E:E)</f>
        <v>9653.4</v>
      </c>
      <c r="H265" s="14">
        <f t="shared" si="8"/>
        <v>40790.582999999999</v>
      </c>
      <c r="I265" s="14">
        <f t="shared" si="9"/>
        <v>40790.582999999999</v>
      </c>
      <c r="J265" s="8" t="s">
        <v>138</v>
      </c>
      <c r="K265" s="8" t="s">
        <v>509</v>
      </c>
      <c r="M265" s="339"/>
      <c r="N265" s="315"/>
    </row>
    <row r="266" spans="1:14" s="9" customFormat="1" ht="11.25" x14ac:dyDescent="0.2">
      <c r="A266" s="10">
        <v>60260500</v>
      </c>
      <c r="B266" s="10" t="s">
        <v>162</v>
      </c>
      <c r="C266" s="11">
        <v>0</v>
      </c>
      <c r="D266" s="11">
        <v>14097.769</v>
      </c>
      <c r="E266" s="11">
        <v>0</v>
      </c>
      <c r="F266" s="13">
        <f>SUMIF('OD 05-24'!A:A,A266,'OD 05-24'!D:D)</f>
        <v>0</v>
      </c>
      <c r="G266" s="13">
        <f>SUMIF('OD 05-24'!A:A,A266,'OD 05-24'!E:E)</f>
        <v>0</v>
      </c>
      <c r="H266" s="14">
        <f t="shared" si="8"/>
        <v>14097.769</v>
      </c>
      <c r="I266" s="14">
        <f t="shared" si="9"/>
        <v>14097.769</v>
      </c>
      <c r="J266" s="8" t="s">
        <v>138</v>
      </c>
      <c r="K266" s="8" t="s">
        <v>509</v>
      </c>
      <c r="M266" s="339"/>
      <c r="N266" s="315"/>
    </row>
    <row r="267" spans="1:14" s="9" customFormat="1" ht="11.25" x14ac:dyDescent="0.2">
      <c r="A267" s="10">
        <v>60260600</v>
      </c>
      <c r="B267" s="10" t="s">
        <v>7401</v>
      </c>
      <c r="C267" s="11">
        <v>0</v>
      </c>
      <c r="D267" s="11">
        <v>1222.0999999999999</v>
      </c>
      <c r="E267" s="11">
        <v>0</v>
      </c>
      <c r="F267" s="13">
        <f>SUMIF('OD 05-24'!A:A,A267,'OD 05-24'!D:D)</f>
        <v>0</v>
      </c>
      <c r="G267" s="13">
        <f>SUMIF('OD 05-24'!A:A,A267,'OD 05-24'!E:E)</f>
        <v>0</v>
      </c>
      <c r="H267" s="14">
        <f t="shared" si="8"/>
        <v>1222.0999999999999</v>
      </c>
      <c r="I267" s="14">
        <f t="shared" si="9"/>
        <v>1222.0999999999999</v>
      </c>
      <c r="J267" s="8" t="s">
        <v>138</v>
      </c>
      <c r="K267" s="8" t="s">
        <v>509</v>
      </c>
      <c r="M267" s="339"/>
      <c r="N267" s="315"/>
    </row>
    <row r="268" spans="1:14" s="9" customFormat="1" ht="11.25" x14ac:dyDescent="0.2">
      <c r="A268" s="10">
        <v>60260700</v>
      </c>
      <c r="B268" s="10" t="s">
        <v>163</v>
      </c>
      <c r="C268" s="11">
        <v>0</v>
      </c>
      <c r="D268" s="11">
        <v>43500.7</v>
      </c>
      <c r="E268" s="11">
        <v>3368.35</v>
      </c>
      <c r="F268" s="13">
        <f>SUMIF('OD 05-24'!A:A,A268,'OD 05-24'!D:D)</f>
        <v>5845.7</v>
      </c>
      <c r="G268" s="13">
        <f>SUMIF('OD 05-24'!A:A,A268,'OD 05-24'!E:E)</f>
        <v>4045.7</v>
      </c>
      <c r="H268" s="14">
        <f t="shared" si="8"/>
        <v>41932.35</v>
      </c>
      <c r="I268" s="14">
        <f t="shared" si="9"/>
        <v>41932.35</v>
      </c>
      <c r="J268" s="8" t="s">
        <v>138</v>
      </c>
      <c r="K268" s="8" t="s">
        <v>509</v>
      </c>
      <c r="M268" s="339"/>
      <c r="N268" s="315"/>
    </row>
    <row r="269" spans="1:14" s="9" customFormat="1" ht="11.25" x14ac:dyDescent="0.2">
      <c r="A269" s="10">
        <v>60262000</v>
      </c>
      <c r="B269" s="10" t="s">
        <v>164</v>
      </c>
      <c r="C269" s="11">
        <v>0</v>
      </c>
      <c r="D269" s="11">
        <v>103780.41571</v>
      </c>
      <c r="E269" s="11">
        <v>0</v>
      </c>
      <c r="F269" s="13">
        <f>SUMIF('OD 05-24'!A:A,A269,'OD 05-24'!D:D)</f>
        <v>10085</v>
      </c>
      <c r="G269" s="13">
        <f>SUMIF('OD 05-24'!A:A,A269,'OD 05-24'!E:E)</f>
        <v>9785</v>
      </c>
      <c r="H269" s="14">
        <f t="shared" si="8"/>
        <v>104080.41571</v>
      </c>
      <c r="I269" s="14">
        <f t="shared" si="9"/>
        <v>104080.41571</v>
      </c>
      <c r="J269" s="8" t="s">
        <v>138</v>
      </c>
      <c r="K269" s="8" t="s">
        <v>509</v>
      </c>
      <c r="M269" s="339"/>
      <c r="N269" s="315"/>
    </row>
    <row r="270" spans="1:14" s="9" customFormat="1" ht="11.25" x14ac:dyDescent="0.2">
      <c r="A270" s="10">
        <v>60263000</v>
      </c>
      <c r="B270" s="10" t="s">
        <v>165</v>
      </c>
      <c r="C270" s="11">
        <v>0</v>
      </c>
      <c r="D270" s="11">
        <v>23073.026000000002</v>
      </c>
      <c r="E270" s="11">
        <v>3446.625</v>
      </c>
      <c r="F270" s="13">
        <f>SUMIF('OD 05-24'!A:A,A270,'OD 05-24'!D:D)</f>
        <v>1624.701</v>
      </c>
      <c r="G270" s="13">
        <f>SUMIF('OD 05-24'!A:A,A270,'OD 05-24'!E:E)</f>
        <v>0</v>
      </c>
      <c r="H270" s="14">
        <f t="shared" si="8"/>
        <v>21251.102000000003</v>
      </c>
      <c r="I270" s="14">
        <f t="shared" si="9"/>
        <v>21251.102000000003</v>
      </c>
      <c r="J270" s="8" t="s">
        <v>138</v>
      </c>
      <c r="K270" s="8" t="s">
        <v>509</v>
      </c>
      <c r="M270" s="339"/>
      <c r="N270" s="315"/>
    </row>
    <row r="271" spans="1:14" s="9" customFormat="1" ht="11.25" x14ac:dyDescent="0.2">
      <c r="A271" s="10">
        <v>60310000</v>
      </c>
      <c r="B271" s="10" t="s">
        <v>265</v>
      </c>
      <c r="C271" s="11">
        <v>0</v>
      </c>
      <c r="D271" s="11">
        <v>10656855.097999999</v>
      </c>
      <c r="E271" s="11">
        <v>1136780.078</v>
      </c>
      <c r="F271" s="13">
        <f>SUMIF('OD 05-24'!A:A,A271,'OD 05-24'!D:D)</f>
        <v>68822357.841100007</v>
      </c>
      <c r="G271" s="13">
        <f>SUMIF('OD 05-24'!A:A,A271,'OD 05-24'!E:E)</f>
        <v>78476251.384100005</v>
      </c>
      <c r="H271" s="14">
        <f t="shared" si="8"/>
        <v>-133818.52299998701</v>
      </c>
      <c r="I271" s="14">
        <f t="shared" si="9"/>
        <v>-133818.52299998701</v>
      </c>
      <c r="J271" s="8" t="s">
        <v>138</v>
      </c>
      <c r="K271" s="8" t="s">
        <v>509</v>
      </c>
      <c r="M271" s="339"/>
      <c r="N271" s="315"/>
    </row>
    <row r="272" spans="1:14" s="9" customFormat="1" ht="11.25" x14ac:dyDescent="0.2">
      <c r="A272" s="10">
        <v>60330000</v>
      </c>
      <c r="B272" s="10" t="s">
        <v>266</v>
      </c>
      <c r="C272" s="11">
        <v>0</v>
      </c>
      <c r="D272" s="11">
        <v>662156.429</v>
      </c>
      <c r="E272" s="11">
        <v>0</v>
      </c>
      <c r="F272" s="13">
        <f>SUMIF('OD 05-24'!A:A,A272,'OD 05-24'!D:D)</f>
        <v>4515833.4694999997</v>
      </c>
      <c r="G272" s="13">
        <f>SUMIF('OD 05-24'!A:A,A272,'OD 05-24'!E:E)</f>
        <v>5208259.3365000002</v>
      </c>
      <c r="H272" s="14">
        <f t="shared" si="8"/>
        <v>-30269.438000001013</v>
      </c>
      <c r="I272" s="14">
        <f t="shared" si="9"/>
        <v>-30269.438000001013</v>
      </c>
      <c r="J272" s="8" t="s">
        <v>157</v>
      </c>
      <c r="K272" s="8" t="s">
        <v>512</v>
      </c>
      <c r="M272" s="339"/>
      <c r="N272" s="315"/>
    </row>
    <row r="273" spans="1:14" s="9" customFormat="1" ht="11.25" x14ac:dyDescent="0.2">
      <c r="A273" s="10">
        <v>60401000</v>
      </c>
      <c r="B273" s="10" t="s">
        <v>166</v>
      </c>
      <c r="C273" s="11">
        <v>0</v>
      </c>
      <c r="D273" s="11">
        <v>0</v>
      </c>
      <c r="E273" s="11">
        <v>0</v>
      </c>
      <c r="F273" s="13">
        <f>SUMIF('OD 05-24'!A:A,A273,'OD 05-24'!D:D)</f>
        <v>231266.00099999999</v>
      </c>
      <c r="G273" s="13">
        <f>SUMIF('OD 05-24'!A:A,A273,'OD 05-24'!E:E)</f>
        <v>163551.00099999999</v>
      </c>
      <c r="H273" s="14">
        <f t="shared" si="8"/>
        <v>67715</v>
      </c>
      <c r="I273" s="14">
        <f t="shared" si="9"/>
        <v>67715</v>
      </c>
      <c r="J273" s="8" t="s">
        <v>157</v>
      </c>
      <c r="K273" s="8" t="s">
        <v>512</v>
      </c>
      <c r="M273" s="339"/>
      <c r="N273" s="315"/>
    </row>
    <row r="274" spans="1:14" s="9" customFormat="1" ht="11.25" x14ac:dyDescent="0.2">
      <c r="A274" s="10">
        <v>60502000</v>
      </c>
      <c r="B274" s="10" t="s">
        <v>167</v>
      </c>
      <c r="C274" s="11">
        <v>0</v>
      </c>
      <c r="D274" s="11">
        <v>328991.88802499999</v>
      </c>
      <c r="E274" s="11">
        <v>30590.612050000003</v>
      </c>
      <c r="F274" s="13">
        <f>SUMIF('OD 05-24'!A:A,A274,'OD 05-24'!D:D)</f>
        <v>55336.315999999999</v>
      </c>
      <c r="G274" s="13">
        <f>SUMIF('OD 05-24'!A:A,A274,'OD 05-24'!E:E)</f>
        <v>49793.364000000001</v>
      </c>
      <c r="H274" s="14">
        <f t="shared" si="8"/>
        <v>303944.22797499999</v>
      </c>
      <c r="I274" s="14">
        <f t="shared" si="9"/>
        <v>303944.22797499999</v>
      </c>
      <c r="J274" s="8" t="s">
        <v>157</v>
      </c>
      <c r="K274" s="8" t="s">
        <v>512</v>
      </c>
      <c r="M274" s="339"/>
      <c r="N274" s="315"/>
    </row>
    <row r="275" spans="1:14" s="9" customFormat="1" ht="11.25" x14ac:dyDescent="0.2">
      <c r="A275" s="10">
        <v>60504000</v>
      </c>
      <c r="B275" s="10" t="s">
        <v>168</v>
      </c>
      <c r="C275" s="11">
        <v>0</v>
      </c>
      <c r="D275" s="11">
        <v>9720.42</v>
      </c>
      <c r="E275" s="11">
        <v>0</v>
      </c>
      <c r="F275" s="13">
        <f>SUMIF('OD 05-24'!A:A,A275,'OD 05-24'!D:D)</f>
        <v>0</v>
      </c>
      <c r="G275" s="13">
        <f>SUMIF('OD 05-24'!A:A,A275,'OD 05-24'!E:E)</f>
        <v>0</v>
      </c>
      <c r="H275" s="14">
        <f t="shared" si="8"/>
        <v>9720.42</v>
      </c>
      <c r="I275" s="14">
        <f t="shared" si="9"/>
        <v>9720.42</v>
      </c>
      <c r="J275" s="8" t="s">
        <v>157</v>
      </c>
      <c r="K275" s="8" t="s">
        <v>512</v>
      </c>
      <c r="M275" s="339"/>
      <c r="N275" s="315"/>
    </row>
    <row r="276" spans="1:14" s="9" customFormat="1" ht="11.25" x14ac:dyDescent="0.2">
      <c r="A276" s="10">
        <v>60614000</v>
      </c>
      <c r="B276" s="10" t="s">
        <v>171</v>
      </c>
      <c r="C276" s="11">
        <v>0</v>
      </c>
      <c r="D276" s="11">
        <v>115078.01499999998</v>
      </c>
      <c r="E276" s="11">
        <v>4625</v>
      </c>
      <c r="F276" s="13">
        <f>SUMIF('OD 05-24'!A:A,A276,'OD 05-24'!D:D)</f>
        <v>0</v>
      </c>
      <c r="G276" s="13">
        <f>SUMIF('OD 05-24'!A:A,A276,'OD 05-24'!E:E)</f>
        <v>0</v>
      </c>
      <c r="H276" s="14">
        <f t="shared" si="8"/>
        <v>110453.01499999998</v>
      </c>
      <c r="I276" s="14">
        <f t="shared" si="9"/>
        <v>110453.01499999998</v>
      </c>
      <c r="J276" s="8" t="s">
        <v>157</v>
      </c>
      <c r="K276" s="8" t="s">
        <v>512</v>
      </c>
      <c r="M276" s="339"/>
      <c r="N276" s="315"/>
    </row>
    <row r="277" spans="1:14" s="9" customFormat="1" ht="11.25" x14ac:dyDescent="0.2">
      <c r="A277" s="10">
        <v>60620000</v>
      </c>
      <c r="B277" s="10" t="s">
        <v>172</v>
      </c>
      <c r="C277" s="11">
        <v>0</v>
      </c>
      <c r="D277" s="11">
        <v>15596.982</v>
      </c>
      <c r="E277" s="11">
        <v>0</v>
      </c>
      <c r="F277" s="13">
        <f>SUMIF('OD 05-24'!A:A,A277,'OD 05-24'!D:D)</f>
        <v>2367.6999999999998</v>
      </c>
      <c r="G277" s="13">
        <f>SUMIF('OD 05-24'!A:A,A277,'OD 05-24'!E:E)</f>
        <v>2067.6999999999998</v>
      </c>
      <c r="H277" s="14">
        <f t="shared" si="8"/>
        <v>15896.982</v>
      </c>
      <c r="I277" s="14">
        <f t="shared" si="9"/>
        <v>15896.982</v>
      </c>
      <c r="J277" s="8" t="s">
        <v>157</v>
      </c>
      <c r="K277" s="8" t="s">
        <v>512</v>
      </c>
      <c r="M277" s="339"/>
      <c r="N277" s="315"/>
    </row>
    <row r="278" spans="1:14" s="9" customFormat="1" ht="11.25" x14ac:dyDescent="0.2">
      <c r="A278" s="10">
        <v>60650000</v>
      </c>
      <c r="B278" s="10" t="s">
        <v>373</v>
      </c>
      <c r="C278" s="11">
        <v>0</v>
      </c>
      <c r="D278" s="11">
        <v>9450</v>
      </c>
      <c r="E278" s="11">
        <v>0</v>
      </c>
      <c r="F278" s="13">
        <f>SUMIF('OD 05-24'!A:A,A278,'OD 05-24'!D:D)</f>
        <v>1350</v>
      </c>
      <c r="G278" s="13">
        <f>SUMIF('OD 05-24'!A:A,A278,'OD 05-24'!E:E)</f>
        <v>1350</v>
      </c>
      <c r="H278" s="14">
        <f t="shared" si="8"/>
        <v>9450</v>
      </c>
      <c r="I278" s="14">
        <f t="shared" si="9"/>
        <v>9450</v>
      </c>
      <c r="J278" s="8" t="s">
        <v>138</v>
      </c>
      <c r="K278" s="8" t="s">
        <v>509</v>
      </c>
      <c r="M278" s="339"/>
      <c r="N278" s="315"/>
    </row>
    <row r="279" spans="1:14" s="9" customFormat="1" ht="11.25" x14ac:dyDescent="0.2">
      <c r="A279" s="10">
        <v>60660000</v>
      </c>
      <c r="B279" s="10" t="s">
        <v>173</v>
      </c>
      <c r="C279" s="11">
        <v>0</v>
      </c>
      <c r="D279" s="11">
        <v>8891.875</v>
      </c>
      <c r="E279" s="11">
        <v>0</v>
      </c>
      <c r="F279" s="13">
        <f>SUMIF('OD 05-24'!A:A,A279,'OD 05-24'!D:D)</f>
        <v>0</v>
      </c>
      <c r="G279" s="13">
        <f>SUMIF('OD 05-24'!A:A,A279,'OD 05-24'!E:E)</f>
        <v>0</v>
      </c>
      <c r="H279" s="14">
        <f t="shared" si="8"/>
        <v>8891.875</v>
      </c>
      <c r="I279" s="14">
        <f t="shared" si="9"/>
        <v>8891.875</v>
      </c>
      <c r="J279" s="8" t="s">
        <v>157</v>
      </c>
      <c r="K279" s="8" t="s">
        <v>512</v>
      </c>
      <c r="M279" s="339"/>
      <c r="N279" s="315"/>
    </row>
    <row r="280" spans="1:14" s="9" customFormat="1" ht="11.25" x14ac:dyDescent="0.2">
      <c r="A280" s="10">
        <v>60670000</v>
      </c>
      <c r="B280" s="10" t="s">
        <v>174</v>
      </c>
      <c r="C280" s="11">
        <v>0</v>
      </c>
      <c r="D280" s="11">
        <v>8020.6600000000008</v>
      </c>
      <c r="E280" s="11">
        <v>0</v>
      </c>
      <c r="F280" s="13">
        <f>SUMIF('OD 05-24'!A:A,A280,'OD 05-24'!D:D)</f>
        <v>0</v>
      </c>
      <c r="G280" s="13">
        <f>SUMIF('OD 05-24'!A:A,A280,'OD 05-24'!E:E)</f>
        <v>0</v>
      </c>
      <c r="H280" s="14">
        <f t="shared" si="8"/>
        <v>8020.6600000000008</v>
      </c>
      <c r="I280" s="14">
        <f t="shared" si="9"/>
        <v>8020.6600000000008</v>
      </c>
      <c r="J280" s="8" t="s">
        <v>157</v>
      </c>
      <c r="K280" s="8" t="s">
        <v>512</v>
      </c>
      <c r="M280" s="339"/>
      <c r="N280" s="315"/>
    </row>
    <row r="281" spans="1:14" s="9" customFormat="1" ht="11.25" x14ac:dyDescent="0.2">
      <c r="A281" s="10">
        <v>60671000</v>
      </c>
      <c r="B281" s="10" t="s">
        <v>374</v>
      </c>
      <c r="C281" s="11">
        <v>0</v>
      </c>
      <c r="D281" s="11">
        <v>71851.008000000002</v>
      </c>
      <c r="E281" s="11">
        <v>0</v>
      </c>
      <c r="F281" s="13">
        <f>SUMIF('OD 05-24'!A:A,A281,'OD 05-24'!D:D)</f>
        <v>13634.6</v>
      </c>
      <c r="G281" s="13">
        <f>SUMIF('OD 05-24'!A:A,A281,'OD 05-24'!E:E)</f>
        <v>3577.85</v>
      </c>
      <c r="H281" s="14">
        <f t="shared" si="8"/>
        <v>81907.758000000002</v>
      </c>
      <c r="I281" s="14">
        <f t="shared" si="9"/>
        <v>81907.758000000002</v>
      </c>
      <c r="J281" s="8" t="s">
        <v>157</v>
      </c>
      <c r="K281" s="8" t="s">
        <v>512</v>
      </c>
      <c r="M281" s="339"/>
      <c r="N281" s="315"/>
    </row>
    <row r="282" spans="1:14" s="9" customFormat="1" ht="11.25" x14ac:dyDescent="0.2">
      <c r="A282" s="10">
        <v>61400000</v>
      </c>
      <c r="B282" s="10" t="s">
        <v>175</v>
      </c>
      <c r="C282" s="11">
        <v>0</v>
      </c>
      <c r="D282" s="11">
        <v>34210.553999999996</v>
      </c>
      <c r="E282" s="11">
        <v>0</v>
      </c>
      <c r="F282" s="13">
        <f>SUMIF('OD 05-24'!A:A,A282,'OD 05-24'!D:D)</f>
        <v>0</v>
      </c>
      <c r="G282" s="13">
        <f>SUMIF('OD 05-24'!A:A,A282,'OD 05-24'!E:E)</f>
        <v>0</v>
      </c>
      <c r="H282" s="14">
        <f t="shared" si="8"/>
        <v>34210.553999999996</v>
      </c>
      <c r="I282" s="14">
        <f t="shared" si="9"/>
        <v>34210.553999999996</v>
      </c>
      <c r="J282" s="8" t="s">
        <v>157</v>
      </c>
      <c r="K282" s="8" t="s">
        <v>512</v>
      </c>
      <c r="M282" s="339"/>
      <c r="N282" s="315"/>
    </row>
    <row r="283" spans="1:14" s="9" customFormat="1" ht="11.25" x14ac:dyDescent="0.2">
      <c r="A283" s="10">
        <v>61500000</v>
      </c>
      <c r="B283" s="10" t="s">
        <v>176</v>
      </c>
      <c r="C283" s="11">
        <v>0</v>
      </c>
      <c r="D283" s="11">
        <v>211889.56600000002</v>
      </c>
      <c r="E283" s="11">
        <v>89683.87</v>
      </c>
      <c r="F283" s="13">
        <f>SUMIF('OD 05-24'!A:A,A283,'OD 05-24'!D:D)</f>
        <v>63225.974999999999</v>
      </c>
      <c r="G283" s="13">
        <f>SUMIF('OD 05-24'!A:A,A283,'OD 05-24'!E:E)</f>
        <v>63225.974999999999</v>
      </c>
      <c r="H283" s="14">
        <f t="shared" si="8"/>
        <v>122205.69600000003</v>
      </c>
      <c r="I283" s="14">
        <f t="shared" si="9"/>
        <v>122205.69600000003</v>
      </c>
      <c r="J283" s="8" t="s">
        <v>157</v>
      </c>
      <c r="K283" s="8" t="s">
        <v>512</v>
      </c>
      <c r="M283" s="339"/>
      <c r="N283" s="315"/>
    </row>
    <row r="284" spans="1:14" s="9" customFormat="1" ht="11.25" x14ac:dyDescent="0.2">
      <c r="A284" s="10">
        <v>61501000</v>
      </c>
      <c r="B284" s="10" t="s">
        <v>177</v>
      </c>
      <c r="C284" s="11">
        <v>0</v>
      </c>
      <c r="D284" s="11">
        <v>100997.53400000001</v>
      </c>
      <c r="E284" s="11">
        <v>1905.373</v>
      </c>
      <c r="F284" s="13">
        <f>SUMIF('OD 05-24'!A:A,A284,'OD 05-24'!D:D)</f>
        <v>2891.5970000000002</v>
      </c>
      <c r="G284" s="13">
        <f>SUMIF('OD 05-24'!A:A,A284,'OD 05-24'!E:E)</f>
        <v>0</v>
      </c>
      <c r="H284" s="14">
        <f t="shared" si="8"/>
        <v>101983.758</v>
      </c>
      <c r="I284" s="14">
        <f t="shared" si="9"/>
        <v>101983.758</v>
      </c>
      <c r="J284" s="8" t="s">
        <v>157</v>
      </c>
      <c r="K284" s="8" t="s">
        <v>512</v>
      </c>
      <c r="M284" s="339"/>
      <c r="N284" s="315"/>
    </row>
    <row r="285" spans="1:14" s="9" customFormat="1" ht="11.25" x14ac:dyDescent="0.2">
      <c r="A285" s="10">
        <v>61600000</v>
      </c>
      <c r="B285" s="10" t="s">
        <v>397</v>
      </c>
      <c r="C285" s="11">
        <v>0</v>
      </c>
      <c r="D285" s="11">
        <v>31657.200000000001</v>
      </c>
      <c r="E285" s="11">
        <v>0</v>
      </c>
      <c r="F285" s="13">
        <f>SUMIF('OD 05-24'!A:A,A285,'OD 05-24'!D:D)</f>
        <v>34372.800000000003</v>
      </c>
      <c r="G285" s="13">
        <f>SUMIF('OD 05-24'!A:A,A285,'OD 05-24'!E:E)</f>
        <v>42966</v>
      </c>
      <c r="H285" s="14">
        <f t="shared" si="8"/>
        <v>23064</v>
      </c>
      <c r="I285" s="14">
        <f t="shared" si="9"/>
        <v>23064</v>
      </c>
      <c r="J285" s="8" t="s">
        <v>157</v>
      </c>
      <c r="K285" s="8" t="s">
        <v>512</v>
      </c>
      <c r="M285" s="339"/>
      <c r="N285" s="315"/>
    </row>
    <row r="286" spans="1:14" s="9" customFormat="1" ht="11.25" x14ac:dyDescent="0.2">
      <c r="A286" s="10">
        <v>61603000</v>
      </c>
      <c r="B286" s="10" t="s">
        <v>178</v>
      </c>
      <c r="C286" s="11">
        <v>0</v>
      </c>
      <c r="D286" s="11">
        <v>29988.795000000002</v>
      </c>
      <c r="E286" s="11">
        <v>28310.018</v>
      </c>
      <c r="F286" s="13">
        <f>SUMIF('OD 05-24'!A:A,A286,'OD 05-24'!D:D)</f>
        <v>43805.688000000002</v>
      </c>
      <c r="G286" s="13">
        <f>SUMIF('OD 05-24'!A:A,A286,'OD 05-24'!E:E)</f>
        <v>27333.088</v>
      </c>
      <c r="H286" s="14">
        <f t="shared" si="8"/>
        <v>18151.377000000011</v>
      </c>
      <c r="I286" s="14">
        <f t="shared" si="9"/>
        <v>18151.377000000011</v>
      </c>
      <c r="J286" s="8" t="s">
        <v>157</v>
      </c>
      <c r="K286" s="8" t="s">
        <v>512</v>
      </c>
      <c r="M286" s="339"/>
      <c r="N286" s="315"/>
    </row>
    <row r="287" spans="1:14" s="9" customFormat="1" ht="11.25" x14ac:dyDescent="0.2">
      <c r="A287" s="10">
        <v>61607000</v>
      </c>
      <c r="B287" s="10" t="s">
        <v>179</v>
      </c>
      <c r="C287" s="11">
        <v>0</v>
      </c>
      <c r="D287" s="11">
        <v>0</v>
      </c>
      <c r="E287" s="11">
        <v>0</v>
      </c>
      <c r="F287" s="13">
        <f>SUMIF('OD 05-24'!A:A,A287,'OD 05-24'!D:D)</f>
        <v>0</v>
      </c>
      <c r="G287" s="13">
        <f>SUMIF('OD 05-24'!A:A,A287,'OD 05-24'!E:E)</f>
        <v>0</v>
      </c>
      <c r="H287" s="14">
        <f t="shared" si="8"/>
        <v>0</v>
      </c>
      <c r="I287" s="14">
        <f t="shared" si="9"/>
        <v>0</v>
      </c>
      <c r="J287" s="8" t="s">
        <v>157</v>
      </c>
      <c r="K287" s="8" t="s">
        <v>512</v>
      </c>
      <c r="M287" s="339"/>
      <c r="N287" s="315"/>
    </row>
    <row r="288" spans="1:14" s="9" customFormat="1" ht="11.25" x14ac:dyDescent="0.2">
      <c r="A288" s="10">
        <v>62120000</v>
      </c>
      <c r="B288" s="10" t="s">
        <v>180</v>
      </c>
      <c r="C288" s="11">
        <v>0</v>
      </c>
      <c r="D288" s="11">
        <v>18665.560000000001</v>
      </c>
      <c r="E288" s="11">
        <v>0</v>
      </c>
      <c r="F288" s="13">
        <f>SUMIF('OD 05-24'!A:A,A288,'OD 05-24'!D:D)</f>
        <v>0</v>
      </c>
      <c r="G288" s="13">
        <f>SUMIF('OD 05-24'!A:A,A288,'OD 05-24'!E:E)</f>
        <v>0</v>
      </c>
      <c r="H288" s="14">
        <f t="shared" si="8"/>
        <v>18665.560000000001</v>
      </c>
      <c r="I288" s="14">
        <f t="shared" si="9"/>
        <v>18665.560000000001</v>
      </c>
      <c r="J288" s="8" t="s">
        <v>157</v>
      </c>
      <c r="K288" s="8" t="s">
        <v>512</v>
      </c>
      <c r="M288" s="339"/>
      <c r="N288" s="315"/>
    </row>
    <row r="289" spans="1:14" s="9" customFormat="1" ht="11.25" x14ac:dyDescent="0.2">
      <c r="A289" s="10">
        <v>62200000</v>
      </c>
      <c r="B289" s="10" t="s">
        <v>181</v>
      </c>
      <c r="C289" s="11">
        <v>0</v>
      </c>
      <c r="D289" s="11">
        <v>25529.16</v>
      </c>
      <c r="E289" s="11">
        <v>0</v>
      </c>
      <c r="F289" s="13">
        <f>SUMIF('OD 05-24'!A:A,A289,'OD 05-24'!D:D)</f>
        <v>0</v>
      </c>
      <c r="G289" s="13">
        <f>SUMIF('OD 05-24'!A:A,A289,'OD 05-24'!E:E)</f>
        <v>0</v>
      </c>
      <c r="H289" s="14">
        <f t="shared" si="8"/>
        <v>25529.16</v>
      </c>
      <c r="I289" s="14">
        <f t="shared" si="9"/>
        <v>25529.16</v>
      </c>
      <c r="J289" s="8" t="s">
        <v>157</v>
      </c>
      <c r="K289" s="8" t="s">
        <v>512</v>
      </c>
      <c r="M289" s="339"/>
      <c r="N289" s="315"/>
    </row>
    <row r="290" spans="1:14" s="9" customFormat="1" ht="11.25" x14ac:dyDescent="0.2">
      <c r="A290" s="10">
        <v>62210000</v>
      </c>
      <c r="B290" s="10" t="s">
        <v>398</v>
      </c>
      <c r="C290" s="11">
        <v>0</v>
      </c>
      <c r="D290" s="11">
        <v>37114</v>
      </c>
      <c r="E290" s="11">
        <v>0</v>
      </c>
      <c r="F290" s="13">
        <f>SUMIF('OD 05-24'!A:A,A290,'OD 05-24'!D:D)</f>
        <v>0</v>
      </c>
      <c r="G290" s="13">
        <f>SUMIF('OD 05-24'!A:A,A290,'OD 05-24'!E:E)</f>
        <v>0</v>
      </c>
      <c r="H290" s="14">
        <f t="shared" si="8"/>
        <v>37114</v>
      </c>
      <c r="I290" s="14">
        <f t="shared" si="9"/>
        <v>37114</v>
      </c>
      <c r="J290" s="8" t="s">
        <v>157</v>
      </c>
      <c r="K290" s="8" t="s">
        <v>512</v>
      </c>
      <c r="M290" s="339"/>
      <c r="N290" s="315"/>
    </row>
    <row r="291" spans="1:14" s="9" customFormat="1" ht="11.25" x14ac:dyDescent="0.2">
      <c r="A291" s="10">
        <v>62230000</v>
      </c>
      <c r="B291" s="10" t="s">
        <v>375</v>
      </c>
      <c r="C291" s="11">
        <v>0</v>
      </c>
      <c r="D291" s="11">
        <v>5951.6</v>
      </c>
      <c r="E291" s="11">
        <v>0</v>
      </c>
      <c r="F291" s="13">
        <f>SUMIF('OD 05-24'!A:A,A291,'OD 05-24'!D:D)</f>
        <v>566.66700000000003</v>
      </c>
      <c r="G291" s="13">
        <f>SUMIF('OD 05-24'!A:A,A291,'OD 05-24'!E:E)</f>
        <v>800</v>
      </c>
      <c r="H291" s="14">
        <f t="shared" si="8"/>
        <v>5718.2670000000007</v>
      </c>
      <c r="I291" s="14">
        <f t="shared" si="9"/>
        <v>5718.2670000000007</v>
      </c>
      <c r="J291" s="8" t="s">
        <v>157</v>
      </c>
      <c r="K291" s="8" t="s">
        <v>512</v>
      </c>
      <c r="M291" s="339"/>
      <c r="N291" s="315"/>
    </row>
    <row r="292" spans="1:14" s="9" customFormat="1" ht="11.25" x14ac:dyDescent="0.2">
      <c r="A292" s="10">
        <v>62240000</v>
      </c>
      <c r="B292" s="10" t="s">
        <v>267</v>
      </c>
      <c r="C292" s="11">
        <v>0</v>
      </c>
      <c r="D292" s="11">
        <v>50952.55</v>
      </c>
      <c r="E292" s="11">
        <v>523.68799999999999</v>
      </c>
      <c r="F292" s="13">
        <f>SUMIF('OD 05-24'!A:A,A292,'OD 05-24'!D:D)</f>
        <v>148066.367</v>
      </c>
      <c r="G292" s="13">
        <f>SUMIF('OD 05-24'!A:A,A292,'OD 05-24'!E:E)</f>
        <v>175341.75</v>
      </c>
      <c r="H292" s="14">
        <f t="shared" si="8"/>
        <v>23153.479000000021</v>
      </c>
      <c r="I292" s="14">
        <f t="shared" si="9"/>
        <v>23153.479000000021</v>
      </c>
      <c r="J292" s="8" t="s">
        <v>157</v>
      </c>
      <c r="K292" s="8" t="s">
        <v>512</v>
      </c>
      <c r="M292" s="339"/>
      <c r="N292" s="315"/>
    </row>
    <row r="293" spans="1:14" s="9" customFormat="1" ht="11.25" x14ac:dyDescent="0.2">
      <c r="A293" s="10">
        <v>62250000</v>
      </c>
      <c r="B293" s="10" t="s">
        <v>268</v>
      </c>
      <c r="C293" s="11">
        <v>0</v>
      </c>
      <c r="D293" s="11">
        <v>0</v>
      </c>
      <c r="E293" s="11">
        <v>0</v>
      </c>
      <c r="F293" s="13">
        <f>SUMIF('OD 05-24'!A:A,A293,'OD 05-24'!D:D)</f>
        <v>37500</v>
      </c>
      <c r="G293" s="13">
        <f>SUMIF('OD 05-24'!A:A,A293,'OD 05-24'!E:E)</f>
        <v>25000</v>
      </c>
      <c r="H293" s="14">
        <f t="shared" si="8"/>
        <v>12500</v>
      </c>
      <c r="I293" s="14">
        <f t="shared" si="9"/>
        <v>12500</v>
      </c>
      <c r="J293" s="8" t="s">
        <v>157</v>
      </c>
      <c r="K293" s="8" t="s">
        <v>512</v>
      </c>
      <c r="M293" s="339"/>
      <c r="N293" s="315"/>
    </row>
    <row r="294" spans="1:14" s="9" customFormat="1" ht="11.25" x14ac:dyDescent="0.2">
      <c r="A294" s="10">
        <v>62260000</v>
      </c>
      <c r="B294" s="10" t="s">
        <v>7402</v>
      </c>
      <c r="C294" s="11">
        <v>0</v>
      </c>
      <c r="D294" s="11">
        <v>1618</v>
      </c>
      <c r="E294" s="11">
        <v>0</v>
      </c>
      <c r="F294" s="13">
        <f>SUMIF('OD 05-24'!A:A,A294,'OD 05-24'!D:D)</f>
        <v>0</v>
      </c>
      <c r="G294" s="13">
        <f>SUMIF('OD 05-24'!A:A,A294,'OD 05-24'!E:E)</f>
        <v>0</v>
      </c>
      <c r="H294" s="14">
        <f t="shared" si="8"/>
        <v>1618</v>
      </c>
      <c r="I294" s="14">
        <f t="shared" si="9"/>
        <v>1618</v>
      </c>
      <c r="J294" s="8" t="s">
        <v>157</v>
      </c>
      <c r="K294" s="8" t="s">
        <v>512</v>
      </c>
      <c r="M294" s="339"/>
      <c r="N294" s="315"/>
    </row>
    <row r="295" spans="1:14" s="9" customFormat="1" ht="11.25" x14ac:dyDescent="0.2">
      <c r="A295" s="10">
        <v>62270000</v>
      </c>
      <c r="B295" s="10" t="s">
        <v>399</v>
      </c>
      <c r="C295" s="11">
        <v>0</v>
      </c>
      <c r="D295" s="11">
        <v>246.08599999999996</v>
      </c>
      <c r="E295" s="11">
        <v>0</v>
      </c>
      <c r="F295" s="13">
        <f>SUMIF('OD 05-24'!A:A,A295,'OD 05-24'!D:D)</f>
        <v>0</v>
      </c>
      <c r="G295" s="13">
        <f>SUMIF('OD 05-24'!A:A,A295,'OD 05-24'!E:E)</f>
        <v>0</v>
      </c>
      <c r="H295" s="14">
        <f t="shared" si="8"/>
        <v>246.08599999999996</v>
      </c>
      <c r="I295" s="14">
        <f t="shared" si="9"/>
        <v>246.08599999999996</v>
      </c>
      <c r="J295" s="8" t="s">
        <v>157</v>
      </c>
      <c r="K295" s="8" t="s">
        <v>512</v>
      </c>
      <c r="M295" s="339"/>
      <c r="N295" s="315"/>
    </row>
    <row r="296" spans="1:14" s="9" customFormat="1" ht="11.25" x14ac:dyDescent="0.2">
      <c r="A296" s="10">
        <v>62280000</v>
      </c>
      <c r="B296" s="10" t="s">
        <v>7721</v>
      </c>
      <c r="C296" s="11">
        <v>0</v>
      </c>
      <c r="D296" s="11">
        <v>25980</v>
      </c>
      <c r="E296" s="11">
        <v>24780</v>
      </c>
      <c r="F296" s="13">
        <f>SUMIF('OD 05-24'!A:A,A296,'OD 05-24'!D:D)</f>
        <v>0</v>
      </c>
      <c r="G296" s="13">
        <f>SUMIF('OD 05-24'!A:A,A296,'OD 05-24'!E:E)</f>
        <v>0</v>
      </c>
      <c r="H296" s="14">
        <f t="shared" si="8"/>
        <v>1200</v>
      </c>
      <c r="I296" s="14">
        <f t="shared" si="9"/>
        <v>1200</v>
      </c>
      <c r="J296" s="8" t="s">
        <v>157</v>
      </c>
      <c r="K296" s="8" t="s">
        <v>512</v>
      </c>
      <c r="M296" s="339"/>
      <c r="N296" s="315"/>
    </row>
    <row r="297" spans="1:14" s="9" customFormat="1" ht="11.25" x14ac:dyDescent="0.2">
      <c r="A297" s="10">
        <v>62300000</v>
      </c>
      <c r="B297" s="10" t="s">
        <v>182</v>
      </c>
      <c r="C297" s="11">
        <v>0</v>
      </c>
      <c r="D297" s="11">
        <v>1576</v>
      </c>
      <c r="E297" s="11">
        <v>0</v>
      </c>
      <c r="F297" s="13">
        <f>SUMIF('OD 05-24'!A:A,A297,'OD 05-24'!D:D)</f>
        <v>172500</v>
      </c>
      <c r="G297" s="13">
        <f>SUMIF('OD 05-24'!A:A,A297,'OD 05-24'!E:E)</f>
        <v>115000</v>
      </c>
      <c r="H297" s="14">
        <f t="shared" si="8"/>
        <v>59076</v>
      </c>
      <c r="I297" s="14">
        <f t="shared" si="9"/>
        <v>59076</v>
      </c>
      <c r="J297" s="8" t="s">
        <v>157</v>
      </c>
      <c r="K297" s="8" t="s">
        <v>512</v>
      </c>
      <c r="M297" s="339"/>
      <c r="N297" s="315"/>
    </row>
    <row r="298" spans="1:14" s="9" customFormat="1" ht="11.25" x14ac:dyDescent="0.2">
      <c r="A298" s="10">
        <v>62301000</v>
      </c>
      <c r="B298" s="10" t="s">
        <v>7397</v>
      </c>
      <c r="C298" s="11">
        <v>0</v>
      </c>
      <c r="D298" s="11">
        <v>30036.9</v>
      </c>
      <c r="E298" s="11">
        <v>0</v>
      </c>
      <c r="F298" s="13">
        <f>SUMIF('OD 05-24'!A:A,A298,'OD 05-24'!D:D)</f>
        <v>0</v>
      </c>
      <c r="G298" s="13">
        <f>SUMIF('OD 05-24'!A:A,A298,'OD 05-24'!E:E)</f>
        <v>0</v>
      </c>
      <c r="H298" s="14">
        <f t="shared" si="8"/>
        <v>30036.9</v>
      </c>
      <c r="I298" s="14">
        <f t="shared" si="9"/>
        <v>30036.9</v>
      </c>
      <c r="J298" s="8" t="s">
        <v>157</v>
      </c>
      <c r="K298" s="8" t="s">
        <v>512</v>
      </c>
      <c r="M298" s="339"/>
      <c r="N298" s="315"/>
    </row>
    <row r="299" spans="1:14" s="9" customFormat="1" ht="11.25" x14ac:dyDescent="0.2">
      <c r="A299" s="10">
        <v>62410000</v>
      </c>
      <c r="B299" s="10" t="s">
        <v>183</v>
      </c>
      <c r="C299" s="11">
        <v>0</v>
      </c>
      <c r="D299" s="11">
        <v>11118</v>
      </c>
      <c r="E299" s="11">
        <v>0</v>
      </c>
      <c r="F299" s="13">
        <f>SUMIF('OD 05-24'!A:A,A299,'OD 05-24'!D:D)</f>
        <v>0</v>
      </c>
      <c r="G299" s="13">
        <f>SUMIF('OD 05-24'!A:A,A299,'OD 05-24'!E:E)</f>
        <v>0</v>
      </c>
      <c r="H299" s="14">
        <f t="shared" si="8"/>
        <v>11118</v>
      </c>
      <c r="I299" s="14">
        <f t="shared" si="9"/>
        <v>11118</v>
      </c>
      <c r="J299" s="8" t="s">
        <v>157</v>
      </c>
      <c r="K299" s="8" t="s">
        <v>512</v>
      </c>
      <c r="M299" s="339"/>
      <c r="N299" s="315"/>
    </row>
    <row r="300" spans="1:14" s="9" customFormat="1" ht="11.25" x14ac:dyDescent="0.2">
      <c r="A300" s="10">
        <v>62420000</v>
      </c>
      <c r="B300" s="10" t="s">
        <v>184</v>
      </c>
      <c r="C300" s="11">
        <v>0</v>
      </c>
      <c r="D300" s="11">
        <v>420</v>
      </c>
      <c r="E300" s="11">
        <v>0</v>
      </c>
      <c r="F300" s="13">
        <f>SUMIF('OD 05-24'!A:A,A300,'OD 05-24'!D:D)</f>
        <v>0</v>
      </c>
      <c r="G300" s="13">
        <f>SUMIF('OD 05-24'!A:A,A300,'OD 05-24'!E:E)</f>
        <v>0</v>
      </c>
      <c r="H300" s="14">
        <f t="shared" si="8"/>
        <v>420</v>
      </c>
      <c r="I300" s="14">
        <f t="shared" si="9"/>
        <v>420</v>
      </c>
      <c r="J300" s="8" t="s">
        <v>157</v>
      </c>
      <c r="K300" s="8" t="s">
        <v>512</v>
      </c>
      <c r="M300" s="339"/>
      <c r="N300" s="315"/>
    </row>
    <row r="301" spans="1:14" s="9" customFormat="1" ht="11.25" x14ac:dyDescent="0.2">
      <c r="A301" s="10">
        <v>62430000</v>
      </c>
      <c r="B301" s="10" t="s">
        <v>159</v>
      </c>
      <c r="C301" s="11">
        <v>0</v>
      </c>
      <c r="D301" s="11">
        <v>468778.72899999999</v>
      </c>
      <c r="E301" s="11">
        <v>16741.47</v>
      </c>
      <c r="F301" s="13">
        <f>SUMIF('OD 05-24'!A:A,A301,'OD 05-24'!D:D)</f>
        <v>42256.45</v>
      </c>
      <c r="G301" s="13">
        <f>SUMIF('OD 05-24'!A:A,A301,'OD 05-24'!E:E)</f>
        <v>42256.45</v>
      </c>
      <c r="H301" s="14">
        <f t="shared" si="8"/>
        <v>452037.25900000002</v>
      </c>
      <c r="I301" s="14">
        <f t="shared" si="9"/>
        <v>452037.25900000002</v>
      </c>
      <c r="J301" s="8" t="s">
        <v>157</v>
      </c>
      <c r="K301" s="8" t="s">
        <v>512</v>
      </c>
      <c r="M301" s="339"/>
      <c r="N301" s="315"/>
    </row>
    <row r="302" spans="1:14" s="9" customFormat="1" ht="11.25" x14ac:dyDescent="0.2">
      <c r="A302" s="10">
        <v>62500000</v>
      </c>
      <c r="B302" s="10" t="s">
        <v>185</v>
      </c>
      <c r="C302" s="11">
        <v>0</v>
      </c>
      <c r="D302" s="11">
        <v>3447.5320000000002</v>
      </c>
      <c r="E302" s="11">
        <v>2039.8370000000002</v>
      </c>
      <c r="F302" s="13">
        <f>SUMIF('OD 05-24'!A:A,A302,'OD 05-24'!D:D)</f>
        <v>0</v>
      </c>
      <c r="G302" s="13">
        <f>SUMIF('OD 05-24'!A:A,A302,'OD 05-24'!E:E)</f>
        <v>0</v>
      </c>
      <c r="H302" s="14">
        <f t="shared" si="8"/>
        <v>1407.6949999999999</v>
      </c>
      <c r="I302" s="14">
        <f t="shared" si="9"/>
        <v>1407.6949999999999</v>
      </c>
      <c r="J302" s="8" t="s">
        <v>157</v>
      </c>
      <c r="K302" s="8" t="s">
        <v>512</v>
      </c>
      <c r="M302" s="339"/>
      <c r="N302" s="315"/>
    </row>
    <row r="303" spans="1:14" s="9" customFormat="1" ht="11.25" x14ac:dyDescent="0.2">
      <c r="A303" s="10">
        <v>62510000</v>
      </c>
      <c r="B303" s="10" t="s">
        <v>7571</v>
      </c>
      <c r="C303" s="11">
        <v>0</v>
      </c>
      <c r="D303" s="11">
        <v>5102</v>
      </c>
      <c r="E303" s="11">
        <v>0</v>
      </c>
      <c r="F303" s="13">
        <f>SUMIF('OD 05-24'!A:A,A303,'OD 05-24'!D:D)</f>
        <v>0</v>
      </c>
      <c r="G303" s="13">
        <f>SUMIF('OD 05-24'!A:A,A303,'OD 05-24'!E:E)</f>
        <v>0</v>
      </c>
      <c r="H303" s="14">
        <f t="shared" si="8"/>
        <v>5102</v>
      </c>
      <c r="I303" s="14">
        <f t="shared" si="9"/>
        <v>5102</v>
      </c>
      <c r="J303" s="8" t="s">
        <v>157</v>
      </c>
      <c r="K303" s="8" t="s">
        <v>512</v>
      </c>
      <c r="M303" s="339"/>
      <c r="N303" s="315"/>
    </row>
    <row r="304" spans="1:14" s="9" customFormat="1" ht="11.25" x14ac:dyDescent="0.2">
      <c r="A304" s="10">
        <v>62520000</v>
      </c>
      <c r="B304" s="10" t="s">
        <v>7403</v>
      </c>
      <c r="C304" s="11">
        <v>0</v>
      </c>
      <c r="D304" s="11">
        <v>4776</v>
      </c>
      <c r="E304" s="11">
        <v>0</v>
      </c>
      <c r="F304" s="13">
        <f>SUMIF('OD 05-24'!A:A,A304,'OD 05-24'!D:D)</f>
        <v>0</v>
      </c>
      <c r="G304" s="13">
        <f>SUMIF('OD 05-24'!A:A,A304,'OD 05-24'!E:E)</f>
        <v>0</v>
      </c>
      <c r="H304" s="14">
        <f t="shared" si="8"/>
        <v>4776</v>
      </c>
      <c r="I304" s="14">
        <f t="shared" si="9"/>
        <v>4776</v>
      </c>
      <c r="J304" s="8" t="s">
        <v>157</v>
      </c>
      <c r="K304" s="8" t="s">
        <v>512</v>
      </c>
      <c r="M304" s="339"/>
      <c r="N304" s="315"/>
    </row>
    <row r="305" spans="1:14" s="9" customFormat="1" ht="11.25" x14ac:dyDescent="0.2">
      <c r="A305" s="10">
        <v>62570000</v>
      </c>
      <c r="B305" s="10" t="s">
        <v>186</v>
      </c>
      <c r="C305" s="11">
        <v>0</v>
      </c>
      <c r="D305" s="11">
        <v>33100.43</v>
      </c>
      <c r="E305" s="11">
        <v>857.94299999999998</v>
      </c>
      <c r="F305" s="13">
        <f>SUMIF('OD 05-24'!A:A,A305,'OD 05-24'!D:D)</f>
        <v>0</v>
      </c>
      <c r="G305" s="13">
        <f>SUMIF('OD 05-24'!A:A,A305,'OD 05-24'!E:E)</f>
        <v>0</v>
      </c>
      <c r="H305" s="14">
        <f t="shared" si="8"/>
        <v>32242.487000000001</v>
      </c>
      <c r="I305" s="14">
        <f t="shared" si="9"/>
        <v>32242.487000000001</v>
      </c>
      <c r="J305" s="8" t="s">
        <v>157</v>
      </c>
      <c r="K305" s="8" t="s">
        <v>512</v>
      </c>
      <c r="M305" s="339"/>
      <c r="N305" s="315"/>
    </row>
    <row r="306" spans="1:14" s="9" customFormat="1" ht="11.25" x14ac:dyDescent="0.2">
      <c r="A306" s="10">
        <v>62571000</v>
      </c>
      <c r="B306" s="10" t="s">
        <v>376</v>
      </c>
      <c r="C306" s="11">
        <v>0</v>
      </c>
      <c r="D306" s="11">
        <v>4638</v>
      </c>
      <c r="E306" s="11">
        <v>0</v>
      </c>
      <c r="F306" s="13">
        <f>SUMIF('OD 05-24'!A:A,A306,'OD 05-24'!D:D)</f>
        <v>0</v>
      </c>
      <c r="G306" s="13">
        <f>SUMIF('OD 05-24'!A:A,A306,'OD 05-24'!E:E)</f>
        <v>0</v>
      </c>
      <c r="H306" s="14">
        <f t="shared" si="8"/>
        <v>4638</v>
      </c>
      <c r="I306" s="14">
        <f t="shared" si="9"/>
        <v>4638</v>
      </c>
      <c r="J306" s="8" t="s">
        <v>157</v>
      </c>
      <c r="K306" s="8" t="s">
        <v>512</v>
      </c>
      <c r="M306" s="339"/>
      <c r="N306" s="315"/>
    </row>
    <row r="307" spans="1:14" s="9" customFormat="1" ht="11.25" x14ac:dyDescent="0.2">
      <c r="A307" s="10">
        <v>62572000</v>
      </c>
      <c r="B307" s="10" t="s">
        <v>377</v>
      </c>
      <c r="C307" s="11">
        <v>0</v>
      </c>
      <c r="D307" s="11">
        <v>6698.87</v>
      </c>
      <c r="E307" s="11">
        <v>0</v>
      </c>
      <c r="F307" s="13">
        <f>SUMIF('OD 05-24'!A:A,A307,'OD 05-24'!D:D)</f>
        <v>0</v>
      </c>
      <c r="G307" s="13">
        <f>SUMIF('OD 05-24'!A:A,A307,'OD 05-24'!E:E)</f>
        <v>0</v>
      </c>
      <c r="H307" s="14">
        <f t="shared" si="8"/>
        <v>6698.87</v>
      </c>
      <c r="I307" s="14">
        <f t="shared" si="9"/>
        <v>6698.87</v>
      </c>
      <c r="J307" s="8" t="s">
        <v>157</v>
      </c>
      <c r="K307" s="8" t="s">
        <v>512</v>
      </c>
      <c r="M307" s="339"/>
      <c r="N307" s="315"/>
    </row>
    <row r="308" spans="1:14" s="9" customFormat="1" ht="11.25" x14ac:dyDescent="0.2">
      <c r="A308" s="10">
        <v>62573000</v>
      </c>
      <c r="B308" s="10" t="s">
        <v>378</v>
      </c>
      <c r="C308" s="11">
        <v>0</v>
      </c>
      <c r="D308" s="11">
        <v>1165.5840000000001</v>
      </c>
      <c r="E308" s="11">
        <v>0</v>
      </c>
      <c r="F308" s="13">
        <f>SUMIF('OD 05-24'!A:A,A308,'OD 05-24'!D:D)</f>
        <v>0</v>
      </c>
      <c r="G308" s="13">
        <f>SUMIF('OD 05-24'!A:A,A308,'OD 05-24'!E:E)</f>
        <v>0</v>
      </c>
      <c r="H308" s="14">
        <f t="shared" si="8"/>
        <v>1165.5840000000001</v>
      </c>
      <c r="I308" s="14">
        <f t="shared" si="9"/>
        <v>1165.5840000000001</v>
      </c>
      <c r="J308" s="8" t="s">
        <v>157</v>
      </c>
      <c r="K308" s="8" t="s">
        <v>512</v>
      </c>
      <c r="M308" s="339"/>
      <c r="N308" s="315"/>
    </row>
    <row r="309" spans="1:14" s="9" customFormat="1" ht="11.25" x14ac:dyDescent="0.2">
      <c r="A309" s="10">
        <v>62580000</v>
      </c>
      <c r="B309" s="10" t="s">
        <v>187</v>
      </c>
      <c r="C309" s="11">
        <v>0</v>
      </c>
      <c r="D309" s="11">
        <v>869.45</v>
      </c>
      <c r="E309" s="11">
        <v>0</v>
      </c>
      <c r="F309" s="13">
        <f>SUMIF('OD 05-24'!A:A,A309,'OD 05-24'!D:D)</f>
        <v>0</v>
      </c>
      <c r="G309" s="13">
        <f>SUMIF('OD 05-24'!A:A,A309,'OD 05-24'!E:E)</f>
        <v>0</v>
      </c>
      <c r="H309" s="14">
        <f t="shared" si="8"/>
        <v>869.45</v>
      </c>
      <c r="I309" s="14">
        <f t="shared" si="9"/>
        <v>869.45</v>
      </c>
      <c r="J309" s="8" t="s">
        <v>157</v>
      </c>
      <c r="K309" s="8" t="s">
        <v>512</v>
      </c>
      <c r="M309" s="339"/>
      <c r="N309" s="315"/>
    </row>
    <row r="310" spans="1:14" s="9" customFormat="1" ht="11.25" x14ac:dyDescent="0.2">
      <c r="A310" s="10">
        <v>62600000</v>
      </c>
      <c r="B310" s="10" t="s">
        <v>188</v>
      </c>
      <c r="C310" s="11">
        <v>0</v>
      </c>
      <c r="D310" s="11">
        <v>18849.909</v>
      </c>
      <c r="E310" s="11">
        <v>0</v>
      </c>
      <c r="F310" s="13">
        <f>SUMIF('OD 05-24'!A:A,A310,'OD 05-24'!D:D)</f>
        <v>10940</v>
      </c>
      <c r="G310" s="13">
        <f>SUMIF('OD 05-24'!A:A,A310,'OD 05-24'!E:E)</f>
        <v>13128</v>
      </c>
      <c r="H310" s="14">
        <f t="shared" si="8"/>
        <v>16661.909</v>
      </c>
      <c r="I310" s="14">
        <f t="shared" si="9"/>
        <v>16661.909</v>
      </c>
      <c r="J310" s="8" t="s">
        <v>157</v>
      </c>
      <c r="K310" s="8" t="s">
        <v>512</v>
      </c>
      <c r="M310" s="339"/>
      <c r="N310" s="315"/>
    </row>
    <row r="311" spans="1:14" s="9" customFormat="1" ht="11.25" x14ac:dyDescent="0.2">
      <c r="A311" s="10">
        <v>62780000</v>
      </c>
      <c r="B311" s="10" t="s">
        <v>189</v>
      </c>
      <c r="C311" s="11">
        <v>0</v>
      </c>
      <c r="D311" s="11">
        <v>100585.84599999999</v>
      </c>
      <c r="E311" s="11">
        <v>223.798</v>
      </c>
      <c r="F311" s="13">
        <f>SUMIF('OD 05-24'!A:A,A311,'OD 05-24'!D:D)</f>
        <v>98531.231</v>
      </c>
      <c r="G311" s="13">
        <f>SUMIF('OD 05-24'!A:A,A311,'OD 05-24'!E:E)</f>
        <v>82984.58</v>
      </c>
      <c r="H311" s="14">
        <f t="shared" si="8"/>
        <v>115908.69899999998</v>
      </c>
      <c r="I311" s="14">
        <f t="shared" si="9"/>
        <v>115908.69899999998</v>
      </c>
      <c r="J311" s="8" t="s">
        <v>195</v>
      </c>
      <c r="K311" s="8" t="s">
        <v>517</v>
      </c>
      <c r="M311" s="339"/>
      <c r="N311" s="315"/>
    </row>
    <row r="312" spans="1:14" s="9" customFormat="1" ht="11.25" x14ac:dyDescent="0.2">
      <c r="A312" s="10">
        <v>63601000</v>
      </c>
      <c r="B312" s="10" t="s">
        <v>7572</v>
      </c>
      <c r="C312" s="11">
        <v>0</v>
      </c>
      <c r="D312" s="11">
        <v>20878.022000000001</v>
      </c>
      <c r="E312" s="11">
        <v>0</v>
      </c>
      <c r="F312" s="13">
        <f>SUMIF('OD 05-24'!A:A,A312,'OD 05-24'!D:D)</f>
        <v>0</v>
      </c>
      <c r="G312" s="13">
        <f>SUMIF('OD 05-24'!A:A,A312,'OD 05-24'!E:E)</f>
        <v>0</v>
      </c>
      <c r="H312" s="14">
        <f t="shared" si="8"/>
        <v>20878.022000000001</v>
      </c>
      <c r="I312" s="14">
        <f t="shared" si="9"/>
        <v>20878.022000000001</v>
      </c>
      <c r="J312" s="8" t="s">
        <v>157</v>
      </c>
      <c r="K312" s="8" t="s">
        <v>512</v>
      </c>
      <c r="M312" s="339"/>
      <c r="N312" s="315"/>
    </row>
    <row r="313" spans="1:14" s="9" customFormat="1" ht="11.25" x14ac:dyDescent="0.2">
      <c r="A313" s="10">
        <v>63602000</v>
      </c>
      <c r="B313" s="10" t="s">
        <v>7573</v>
      </c>
      <c r="C313" s="11">
        <v>0</v>
      </c>
      <c r="D313" s="11">
        <v>51240.869000000006</v>
      </c>
      <c r="E313" s="11">
        <v>31766.782999999996</v>
      </c>
      <c r="F313" s="13">
        <f>SUMIF('OD 05-24'!A:A,A313,'OD 05-24'!D:D)</f>
        <v>0</v>
      </c>
      <c r="G313" s="13">
        <f>SUMIF('OD 05-24'!A:A,A313,'OD 05-24'!E:E)</f>
        <v>0</v>
      </c>
      <c r="H313" s="14">
        <f t="shared" si="8"/>
        <v>19474.08600000001</v>
      </c>
      <c r="I313" s="14">
        <f t="shared" si="9"/>
        <v>19474.08600000001</v>
      </c>
      <c r="J313" s="8" t="s">
        <v>7715</v>
      </c>
      <c r="K313" s="8" t="s">
        <v>7716</v>
      </c>
      <c r="M313" s="339"/>
      <c r="N313" s="315"/>
    </row>
    <row r="314" spans="1:14" s="9" customFormat="1" ht="11.25" x14ac:dyDescent="0.2">
      <c r="A314" s="10">
        <v>63610000</v>
      </c>
      <c r="B314" s="10" t="s">
        <v>7398</v>
      </c>
      <c r="C314" s="11">
        <v>0</v>
      </c>
      <c r="D314" s="11">
        <v>1310</v>
      </c>
      <c r="E314" s="11">
        <v>300</v>
      </c>
      <c r="F314" s="13">
        <f>SUMIF('OD 05-24'!A:A,A314,'OD 05-24'!D:D)</f>
        <v>0</v>
      </c>
      <c r="G314" s="13">
        <f>SUMIF('OD 05-24'!A:A,A314,'OD 05-24'!E:E)</f>
        <v>0</v>
      </c>
      <c r="H314" s="14">
        <f t="shared" si="8"/>
        <v>1010</v>
      </c>
      <c r="I314" s="14">
        <f t="shared" si="9"/>
        <v>1010</v>
      </c>
      <c r="J314" s="8" t="s">
        <v>157</v>
      </c>
      <c r="K314" s="8" t="s">
        <v>512</v>
      </c>
      <c r="M314" s="339"/>
      <c r="N314" s="315"/>
    </row>
    <row r="315" spans="1:14" s="9" customFormat="1" ht="11.25" x14ac:dyDescent="0.2">
      <c r="A315" s="10">
        <v>63300000</v>
      </c>
      <c r="B315" s="10" t="s">
        <v>269</v>
      </c>
      <c r="C315" s="11">
        <v>0</v>
      </c>
      <c r="D315" s="11">
        <v>0</v>
      </c>
      <c r="E315" s="11">
        <v>0</v>
      </c>
      <c r="F315" s="13">
        <f>SUMIF('OD 05-24'!A:A,A315,'OD 05-24'!D:D)</f>
        <v>156250.00099999999</v>
      </c>
      <c r="G315" s="13">
        <f>SUMIF('OD 05-24'!A:A,A315,'OD 05-24'!E:E)</f>
        <v>104166.66800000001</v>
      </c>
      <c r="H315" s="14">
        <f t="shared" si="8"/>
        <v>52083.332999999984</v>
      </c>
      <c r="I315" s="14">
        <f t="shared" si="9"/>
        <v>52083.332999999984</v>
      </c>
      <c r="J315" s="8" t="s">
        <v>157</v>
      </c>
      <c r="K315" s="8" t="s">
        <v>512</v>
      </c>
      <c r="M315" s="339"/>
      <c r="N315" s="315"/>
    </row>
    <row r="316" spans="1:14" s="9" customFormat="1" ht="11.25" x14ac:dyDescent="0.2">
      <c r="A316" s="10">
        <v>64001000</v>
      </c>
      <c r="B316" s="10" t="s">
        <v>191</v>
      </c>
      <c r="C316" s="11">
        <v>0</v>
      </c>
      <c r="D316" s="11">
        <v>2037357.1230000001</v>
      </c>
      <c r="E316" s="11">
        <v>274646.91399999999</v>
      </c>
      <c r="F316" s="13">
        <f>SUMIF('OD 05-24'!A:A,A316,'OD 05-24'!D:D)</f>
        <v>413518.88400000002</v>
      </c>
      <c r="G316" s="13">
        <f>SUMIF('OD 05-24'!A:A,A316,'OD 05-24'!E:E)</f>
        <v>413518.88400000002</v>
      </c>
      <c r="H316" s="14">
        <f t="shared" si="8"/>
        <v>1762710.2090000003</v>
      </c>
      <c r="I316" s="14">
        <f t="shared" si="9"/>
        <v>1762710.2090000003</v>
      </c>
      <c r="J316" s="8" t="s">
        <v>192</v>
      </c>
      <c r="K316" s="8" t="s">
        <v>511</v>
      </c>
      <c r="M316" s="339"/>
      <c r="N316" s="315"/>
    </row>
    <row r="317" spans="1:14" s="9" customFormat="1" ht="11.25" x14ac:dyDescent="0.2">
      <c r="A317" s="10">
        <v>64001100</v>
      </c>
      <c r="B317" s="10" t="s">
        <v>408</v>
      </c>
      <c r="C317" s="11">
        <v>0</v>
      </c>
      <c r="D317" s="11">
        <v>0</v>
      </c>
      <c r="E317" s="11">
        <v>0</v>
      </c>
      <c r="F317" s="13">
        <f>SUMIF('OD 05-24'!A:A,A317,'OD 05-24'!D:D)</f>
        <v>375000</v>
      </c>
      <c r="G317" s="13">
        <f>SUMIF('OD 05-24'!A:A,A317,'OD 05-24'!E:E)</f>
        <v>250000</v>
      </c>
      <c r="H317" s="14">
        <f t="shared" si="8"/>
        <v>125000</v>
      </c>
      <c r="I317" s="14">
        <f t="shared" si="9"/>
        <v>125000</v>
      </c>
      <c r="J317" s="8" t="s">
        <v>192</v>
      </c>
      <c r="K317" s="8" t="s">
        <v>511</v>
      </c>
      <c r="M317" s="339"/>
      <c r="N317" s="315"/>
    </row>
    <row r="318" spans="1:14" s="9" customFormat="1" ht="11.25" x14ac:dyDescent="0.2">
      <c r="A318" s="10">
        <v>64020000</v>
      </c>
      <c r="B318" s="10" t="s">
        <v>406</v>
      </c>
      <c r="C318" s="11">
        <v>0</v>
      </c>
      <c r="D318" s="11">
        <v>0</v>
      </c>
      <c r="E318" s="11">
        <v>0</v>
      </c>
      <c r="F318" s="13">
        <f>SUMIF('OD 05-24'!A:A,A318,'OD 05-24'!D:D)</f>
        <v>552436.66700000002</v>
      </c>
      <c r="G318" s="13">
        <f>SUMIF('OD 05-24'!A:A,A318,'OD 05-24'!E:E)</f>
        <v>384643.34899999999</v>
      </c>
      <c r="H318" s="14">
        <f t="shared" si="8"/>
        <v>167793.31800000003</v>
      </c>
      <c r="I318" s="14">
        <f t="shared" si="9"/>
        <v>167793.31800000003</v>
      </c>
      <c r="J318" s="8" t="s">
        <v>192</v>
      </c>
      <c r="K318" s="8" t="s">
        <v>511</v>
      </c>
      <c r="M318" s="339"/>
      <c r="N318" s="315"/>
    </row>
    <row r="319" spans="1:14" s="9" customFormat="1" ht="11.25" x14ac:dyDescent="0.2">
      <c r="A319" s="10">
        <v>64280000</v>
      </c>
      <c r="B319" s="10" t="s">
        <v>193</v>
      </c>
      <c r="C319" s="11">
        <v>0</v>
      </c>
      <c r="D319" s="11">
        <v>39080</v>
      </c>
      <c r="E319" s="11">
        <v>39080</v>
      </c>
      <c r="F319" s="13">
        <f>SUMIF('OD 05-24'!A:A,A319,'OD 05-24'!D:D)</f>
        <v>0</v>
      </c>
      <c r="G319" s="13">
        <f>SUMIF('OD 05-24'!A:A,A319,'OD 05-24'!E:E)</f>
        <v>0</v>
      </c>
      <c r="H319" s="14">
        <f t="shared" si="8"/>
        <v>0</v>
      </c>
      <c r="I319" s="14">
        <f t="shared" si="9"/>
        <v>0</v>
      </c>
      <c r="J319" s="8" t="s">
        <v>192</v>
      </c>
      <c r="K319" s="8" t="s">
        <v>511</v>
      </c>
      <c r="M319" s="339"/>
      <c r="N319" s="315"/>
    </row>
    <row r="320" spans="1:14" s="9" customFormat="1" ht="11.25" x14ac:dyDescent="0.2">
      <c r="A320" s="10">
        <v>64600100</v>
      </c>
      <c r="B320" s="10" t="s">
        <v>407</v>
      </c>
      <c r="C320" s="11">
        <v>0</v>
      </c>
      <c r="D320" s="11">
        <v>1686.6510000000003</v>
      </c>
      <c r="E320" s="11">
        <v>247618.065</v>
      </c>
      <c r="F320" s="13">
        <f>SUMIF('OD 05-24'!A:A,A320,'OD 05-24'!D:D)</f>
        <v>2072982.4890000001</v>
      </c>
      <c r="G320" s="13">
        <f>SUMIF('OD 05-24'!A:A,A320,'OD 05-24'!E:E)</f>
        <v>1792874.0160000001</v>
      </c>
      <c r="H320" s="14">
        <f t="shared" si="8"/>
        <v>34177.059000000125</v>
      </c>
      <c r="I320" s="14">
        <f t="shared" si="9"/>
        <v>34177.059000000125</v>
      </c>
      <c r="J320" s="8" t="s">
        <v>192</v>
      </c>
      <c r="K320" s="8" t="s">
        <v>511</v>
      </c>
      <c r="M320" s="339"/>
      <c r="N320" s="315"/>
    </row>
    <row r="321" spans="1:14" s="9" customFormat="1" ht="11.25" x14ac:dyDescent="0.2">
      <c r="A321" s="10">
        <v>64603000</v>
      </c>
      <c r="B321" s="10" t="s">
        <v>7404</v>
      </c>
      <c r="C321" s="11">
        <v>0</v>
      </c>
      <c r="D321" s="11">
        <v>14367.25</v>
      </c>
      <c r="E321" s="11">
        <v>0</v>
      </c>
      <c r="F321" s="13">
        <f>SUMIF('OD 05-24'!A:A,A321,'OD 05-24'!D:D)</f>
        <v>0</v>
      </c>
      <c r="G321" s="13">
        <f>SUMIF('OD 05-24'!A:A,A321,'OD 05-24'!E:E)</f>
        <v>0</v>
      </c>
      <c r="H321" s="14">
        <f t="shared" si="8"/>
        <v>14367.25</v>
      </c>
      <c r="I321" s="14">
        <f t="shared" si="9"/>
        <v>14367.25</v>
      </c>
      <c r="J321" s="8" t="s">
        <v>192</v>
      </c>
      <c r="K321" s="8" t="s">
        <v>511</v>
      </c>
      <c r="M321" s="339"/>
      <c r="N321" s="315"/>
    </row>
    <row r="322" spans="1:14" s="9" customFormat="1" ht="11.25" x14ac:dyDescent="0.2">
      <c r="A322" s="10">
        <v>64720000</v>
      </c>
      <c r="B322" s="10" t="s">
        <v>194</v>
      </c>
      <c r="C322" s="11">
        <v>0</v>
      </c>
      <c r="D322" s="11">
        <v>130644.997</v>
      </c>
      <c r="E322" s="11">
        <v>21778.701000000001</v>
      </c>
      <c r="F322" s="13">
        <f>SUMIF('OD 05-24'!A:A,A322,'OD 05-24'!D:D)</f>
        <v>389766.71500000003</v>
      </c>
      <c r="G322" s="13">
        <f>SUMIF('OD 05-24'!A:A,A322,'OD 05-24'!E:E)</f>
        <v>302670.05</v>
      </c>
      <c r="H322" s="14">
        <f t="shared" si="8"/>
        <v>195962.96100000007</v>
      </c>
      <c r="I322" s="14">
        <f t="shared" si="9"/>
        <v>195962.96100000007</v>
      </c>
      <c r="J322" s="8" t="s">
        <v>192</v>
      </c>
      <c r="K322" s="8" t="s">
        <v>511</v>
      </c>
      <c r="M322" s="339"/>
      <c r="N322" s="315"/>
    </row>
    <row r="323" spans="1:14" s="9" customFormat="1" ht="11.25" x14ac:dyDescent="0.2">
      <c r="A323" s="10">
        <v>65110000</v>
      </c>
      <c r="B323" s="10" t="s">
        <v>385</v>
      </c>
      <c r="C323" s="11">
        <v>0</v>
      </c>
      <c r="D323" s="11">
        <v>126972.43199999999</v>
      </c>
      <c r="E323" s="11">
        <v>31533.957000000002</v>
      </c>
      <c r="F323" s="13">
        <f>SUMIF('OD 05-24'!A:A,A323,'OD 05-24'!D:D)</f>
        <v>0</v>
      </c>
      <c r="G323" s="13">
        <f>SUMIF('OD 05-24'!A:A,A323,'OD 05-24'!E:E)</f>
        <v>0</v>
      </c>
      <c r="H323" s="14">
        <f t="shared" si="8"/>
        <v>95438.474999999977</v>
      </c>
      <c r="I323" s="14">
        <f t="shared" si="9"/>
        <v>95438.474999999977</v>
      </c>
      <c r="J323" s="8" t="s">
        <v>195</v>
      </c>
      <c r="K323" s="8" t="s">
        <v>517</v>
      </c>
      <c r="M323" s="339"/>
      <c r="N323" s="315"/>
    </row>
    <row r="324" spans="1:14" s="9" customFormat="1" ht="11.25" x14ac:dyDescent="0.2">
      <c r="A324" s="10">
        <v>65110200</v>
      </c>
      <c r="B324" s="10" t="s">
        <v>196</v>
      </c>
      <c r="C324" s="11">
        <v>0</v>
      </c>
      <c r="D324" s="11">
        <v>184184.74100000001</v>
      </c>
      <c r="E324" s="11">
        <v>0</v>
      </c>
      <c r="F324" s="13">
        <f>SUMIF('OD 05-24'!A:A,A324,'OD 05-24'!D:D)</f>
        <v>219059.31599999999</v>
      </c>
      <c r="G324" s="13">
        <f>SUMIF('OD 05-24'!A:A,A324,'OD 05-24'!E:E)</f>
        <v>222753.45199999999</v>
      </c>
      <c r="H324" s="14">
        <f t="shared" si="8"/>
        <v>180490.60500000004</v>
      </c>
      <c r="I324" s="14">
        <f t="shared" si="9"/>
        <v>180490.60500000004</v>
      </c>
      <c r="J324" s="8" t="s">
        <v>195</v>
      </c>
      <c r="K324" s="8" t="s">
        <v>517</v>
      </c>
      <c r="M324" s="339"/>
      <c r="N324" s="315"/>
    </row>
    <row r="325" spans="1:14" s="9" customFormat="1" ht="11.25" x14ac:dyDescent="0.2">
      <c r="A325" s="10">
        <v>65110400</v>
      </c>
      <c r="B325" s="10" t="s">
        <v>197</v>
      </c>
      <c r="C325" s="11">
        <v>0</v>
      </c>
      <c r="D325" s="11">
        <v>282974.33299999998</v>
      </c>
      <c r="E325" s="11">
        <v>0</v>
      </c>
      <c r="F325" s="13">
        <f>SUMIF('OD 05-24'!A:A,A325,'OD 05-24'!D:D)</f>
        <v>336598.59</v>
      </c>
      <c r="G325" s="13">
        <f>SUMIF('OD 05-24'!A:A,A325,'OD 05-24'!E:E)</f>
        <v>342264.41399999999</v>
      </c>
      <c r="H325" s="14">
        <f t="shared" si="8"/>
        <v>277308.50899999996</v>
      </c>
      <c r="I325" s="14">
        <f t="shared" si="9"/>
        <v>277308.50899999996</v>
      </c>
      <c r="J325" s="8" t="s">
        <v>195</v>
      </c>
      <c r="K325" s="8" t="s">
        <v>517</v>
      </c>
      <c r="M325" s="339"/>
      <c r="N325" s="315"/>
    </row>
    <row r="326" spans="1:14" s="9" customFormat="1" ht="11.25" x14ac:dyDescent="0.2">
      <c r="A326" s="10">
        <v>65115000</v>
      </c>
      <c r="B326" s="10" t="s">
        <v>379</v>
      </c>
      <c r="C326" s="11">
        <v>0</v>
      </c>
      <c r="D326" s="11">
        <v>28985.474999999999</v>
      </c>
      <c r="E326" s="11">
        <v>2060.0309999999999</v>
      </c>
      <c r="F326" s="13">
        <f>SUMIF('OD 05-24'!A:A,A326,'OD 05-24'!D:D)</f>
        <v>0</v>
      </c>
      <c r="G326" s="13">
        <f>SUMIF('OD 05-24'!A:A,A326,'OD 05-24'!E:E)</f>
        <v>0</v>
      </c>
      <c r="H326" s="14">
        <f t="shared" ref="H326:H350" si="10">+D326+F326-E326-G326</f>
        <v>26925.444</v>
      </c>
      <c r="I326" s="14">
        <f t="shared" ref="I326:I350" si="11">+H326+C326</f>
        <v>26925.444</v>
      </c>
      <c r="J326" s="8" t="s">
        <v>195</v>
      </c>
      <c r="K326" s="8" t="s">
        <v>517</v>
      </c>
      <c r="M326" s="339"/>
      <c r="N326" s="315"/>
    </row>
    <row r="327" spans="1:14" s="9" customFormat="1" ht="11.25" x14ac:dyDescent="0.2">
      <c r="A327" s="10">
        <v>65150000</v>
      </c>
      <c r="B327" s="10" t="s">
        <v>270</v>
      </c>
      <c r="C327" s="11">
        <v>0</v>
      </c>
      <c r="D327" s="11">
        <v>0</v>
      </c>
      <c r="E327" s="11">
        <v>0</v>
      </c>
      <c r="F327" s="13">
        <f>SUMIF('OD 05-24'!A:A,A327,'OD 05-24'!D:D)</f>
        <v>44346.302000000003</v>
      </c>
      <c r="G327" s="13">
        <f>SUMIF('OD 05-24'!A:A,A327,'OD 05-24'!E:E)</f>
        <v>29678.904999999999</v>
      </c>
      <c r="H327" s="14">
        <f t="shared" si="10"/>
        <v>14667.397000000004</v>
      </c>
      <c r="I327" s="14">
        <f t="shared" si="11"/>
        <v>14667.397000000004</v>
      </c>
      <c r="J327" s="8" t="s">
        <v>195</v>
      </c>
      <c r="K327" s="8" t="s">
        <v>517</v>
      </c>
      <c r="M327" s="339"/>
      <c r="N327" s="315"/>
    </row>
    <row r="328" spans="1:14" s="9" customFormat="1" ht="11.25" x14ac:dyDescent="0.2">
      <c r="A328" s="10">
        <v>65190000</v>
      </c>
      <c r="B328" s="10" t="s">
        <v>198</v>
      </c>
      <c r="C328" s="11">
        <v>0</v>
      </c>
      <c r="D328" s="11">
        <v>90197.441999999995</v>
      </c>
      <c r="E328" s="11">
        <v>0</v>
      </c>
      <c r="F328" s="13">
        <f>SUMIF('OD 05-24'!A:A,A328,'OD 05-24'!D:D)</f>
        <v>353159.658</v>
      </c>
      <c r="G328" s="13">
        <f>SUMIF('OD 05-24'!A:A,A328,'OD 05-24'!E:E)</f>
        <v>293028.03000000003</v>
      </c>
      <c r="H328" s="14">
        <f t="shared" si="10"/>
        <v>150329.06999999995</v>
      </c>
      <c r="I328" s="14">
        <f t="shared" si="11"/>
        <v>150329.06999999995</v>
      </c>
      <c r="J328" s="8" t="s">
        <v>195</v>
      </c>
      <c r="K328" s="8" t="s">
        <v>517</v>
      </c>
      <c r="M328" s="339"/>
      <c r="N328" s="315"/>
    </row>
    <row r="329" spans="1:14" s="9" customFormat="1" ht="11.25" x14ac:dyDescent="0.2">
      <c r="A329" s="10">
        <v>65500000</v>
      </c>
      <c r="B329" s="10" t="s">
        <v>400</v>
      </c>
      <c r="C329" s="11">
        <v>0</v>
      </c>
      <c r="D329" s="11">
        <v>19683.219000000001</v>
      </c>
      <c r="E329" s="11">
        <v>15431.621999999999</v>
      </c>
      <c r="F329" s="13">
        <f>SUMIF('OD 05-24'!A:A,A329,'OD 05-24'!D:D)</f>
        <v>17185.467400000001</v>
      </c>
      <c r="G329" s="13">
        <f>SUMIF('OD 05-24'!A:A,A329,'OD 05-24'!E:E)</f>
        <v>9970.7520000000004</v>
      </c>
      <c r="H329" s="14">
        <f t="shared" si="10"/>
        <v>11466.312400000006</v>
      </c>
      <c r="I329" s="14">
        <f t="shared" si="11"/>
        <v>11466.312400000006</v>
      </c>
      <c r="J329" s="8" t="s">
        <v>195</v>
      </c>
      <c r="K329" s="8" t="s">
        <v>517</v>
      </c>
      <c r="M329" s="339"/>
      <c r="N329" s="315"/>
    </row>
    <row r="330" spans="1:14" s="9" customFormat="1" ht="11.25" x14ac:dyDescent="0.2">
      <c r="A330" s="10">
        <v>66520000</v>
      </c>
      <c r="B330" s="10" t="s">
        <v>200</v>
      </c>
      <c r="C330" s="11">
        <v>0</v>
      </c>
      <c r="D330" s="11">
        <v>32001.385999999999</v>
      </c>
      <c r="E330" s="11">
        <v>0</v>
      </c>
      <c r="F330" s="13">
        <f>SUMIF('OD 05-24'!A:A,A330,'OD 05-24'!D:D)</f>
        <v>40532.951000000001</v>
      </c>
      <c r="G330" s="13">
        <f>SUMIF('OD 05-24'!A:A,A330,'OD 05-24'!E:E)</f>
        <v>29990.190999999999</v>
      </c>
      <c r="H330" s="14">
        <f t="shared" si="10"/>
        <v>42544.146000000001</v>
      </c>
      <c r="I330" s="14">
        <f t="shared" si="11"/>
        <v>42544.146000000001</v>
      </c>
      <c r="J330" s="8" t="s">
        <v>157</v>
      </c>
      <c r="K330" s="8" t="s">
        <v>512</v>
      </c>
      <c r="M330" s="339"/>
      <c r="N330" s="315"/>
    </row>
    <row r="331" spans="1:14" s="9" customFormat="1" ht="11.25" x14ac:dyDescent="0.2">
      <c r="A331" s="10">
        <v>66540000</v>
      </c>
      <c r="B331" s="10" t="s">
        <v>201</v>
      </c>
      <c r="C331" s="11">
        <v>0</v>
      </c>
      <c r="D331" s="11">
        <v>5852.0409999999993</v>
      </c>
      <c r="E331" s="11">
        <v>16</v>
      </c>
      <c r="F331" s="13">
        <f>SUMIF('OD 05-24'!A:A,A331,'OD 05-24'!D:D)</f>
        <v>0</v>
      </c>
      <c r="G331" s="13">
        <f>SUMIF('OD 05-24'!A:A,A331,'OD 05-24'!E:E)</f>
        <v>0</v>
      </c>
      <c r="H331" s="14">
        <f t="shared" si="10"/>
        <v>5836.0409999999993</v>
      </c>
      <c r="I331" s="14">
        <f t="shared" si="11"/>
        <v>5836.0409999999993</v>
      </c>
      <c r="J331" s="8" t="s">
        <v>157</v>
      </c>
      <c r="K331" s="8" t="s">
        <v>512</v>
      </c>
      <c r="M331" s="339"/>
      <c r="N331" s="315"/>
    </row>
    <row r="332" spans="1:14" s="9" customFormat="1" ht="11.25" x14ac:dyDescent="0.2">
      <c r="A332" s="10">
        <v>66550000</v>
      </c>
      <c r="B332" s="10" t="s">
        <v>202</v>
      </c>
      <c r="C332" s="11">
        <v>0</v>
      </c>
      <c r="D332" s="11">
        <v>14853.088</v>
      </c>
      <c r="E332" s="11">
        <v>0</v>
      </c>
      <c r="F332" s="13">
        <f>SUMIF('OD 05-24'!A:A,A332,'OD 05-24'!D:D)</f>
        <v>13500</v>
      </c>
      <c r="G332" s="13">
        <f>SUMIF('OD 05-24'!A:A,A332,'OD 05-24'!E:E)</f>
        <v>9000</v>
      </c>
      <c r="H332" s="14">
        <f t="shared" si="10"/>
        <v>19353.088</v>
      </c>
      <c r="I332" s="14">
        <f t="shared" si="11"/>
        <v>19353.088</v>
      </c>
      <c r="J332" s="8" t="s">
        <v>157</v>
      </c>
      <c r="K332" s="8" t="s">
        <v>512</v>
      </c>
      <c r="M332" s="339"/>
      <c r="N332" s="315"/>
    </row>
    <row r="333" spans="1:14" s="9" customFormat="1" ht="11.25" x14ac:dyDescent="0.2">
      <c r="A333" s="10">
        <v>68112000</v>
      </c>
      <c r="B333" s="10" t="s">
        <v>271</v>
      </c>
      <c r="C333" s="11">
        <v>0</v>
      </c>
      <c r="D333" s="11">
        <v>0</v>
      </c>
      <c r="E333" s="11">
        <v>0</v>
      </c>
      <c r="F333" s="13">
        <f>SUMIF('OD 05-24'!A:A,A333,'OD 05-24'!D:D)</f>
        <v>3476319.6260000002</v>
      </c>
      <c r="G333" s="13">
        <f>SUMIF('OD 05-24'!A:A,A333,'OD 05-24'!E:E)</f>
        <v>2267359.2050000001</v>
      </c>
      <c r="H333" s="14">
        <f t="shared" si="10"/>
        <v>1208960.4210000001</v>
      </c>
      <c r="I333" s="14">
        <f t="shared" si="11"/>
        <v>1208960.4210000001</v>
      </c>
      <c r="J333" s="8" t="s">
        <v>203</v>
      </c>
      <c r="K333" s="8" t="s">
        <v>7578</v>
      </c>
      <c r="M333" s="339"/>
    </row>
    <row r="334" spans="1:14" s="9" customFormat="1" ht="11.25" x14ac:dyDescent="0.2">
      <c r="A334" s="10">
        <v>68170000</v>
      </c>
      <c r="B334" s="10" t="s">
        <v>7577</v>
      </c>
      <c r="C334" s="11">
        <v>0</v>
      </c>
      <c r="D334" s="11">
        <v>0</v>
      </c>
      <c r="E334" s="11">
        <v>0</v>
      </c>
      <c r="F334" s="13">
        <f>SUMIF('OD 05-24'!A:A,A334,'OD 05-24'!D:D)</f>
        <v>675000</v>
      </c>
      <c r="G334" s="13">
        <f>SUMIF('OD 05-24'!A:A,A334,'OD 05-24'!E:E)</f>
        <v>400000</v>
      </c>
      <c r="H334" s="14">
        <f t="shared" si="10"/>
        <v>275000</v>
      </c>
      <c r="I334" s="14">
        <f t="shared" si="11"/>
        <v>275000</v>
      </c>
      <c r="J334" s="8" t="s">
        <v>7715</v>
      </c>
      <c r="K334" s="8" t="s">
        <v>7716</v>
      </c>
      <c r="M334" s="339"/>
      <c r="N334" s="315"/>
    </row>
    <row r="335" spans="1:14" s="9" customFormat="1" ht="11.25" x14ac:dyDescent="0.2">
      <c r="A335" s="10">
        <v>68180000</v>
      </c>
      <c r="B335" s="10" t="s">
        <v>8976</v>
      </c>
      <c r="C335" s="11">
        <v>0</v>
      </c>
      <c r="D335" s="11">
        <v>0</v>
      </c>
      <c r="E335" s="11">
        <v>0</v>
      </c>
      <c r="F335" s="13">
        <f>SUMIF('OD 05-24'!A:A,A335,'OD 05-24'!D:D)</f>
        <v>150000</v>
      </c>
      <c r="G335" s="13">
        <f>SUMIF('OD 05-24'!A:A,A335,'OD 05-24'!E:E)</f>
        <v>0</v>
      </c>
      <c r="H335" s="14">
        <f t="shared" si="10"/>
        <v>150000</v>
      </c>
      <c r="I335" s="14">
        <f t="shared" si="11"/>
        <v>150000</v>
      </c>
      <c r="J335" s="8" t="s">
        <v>7715</v>
      </c>
      <c r="K335" s="8" t="s">
        <v>7716</v>
      </c>
      <c r="M335" s="339"/>
      <c r="N335" s="315"/>
    </row>
    <row r="336" spans="1:14" s="9" customFormat="1" ht="11.25" x14ac:dyDescent="0.2">
      <c r="A336" s="10">
        <v>70000000</v>
      </c>
      <c r="B336" s="10" t="s">
        <v>205</v>
      </c>
      <c r="C336" s="11">
        <v>0</v>
      </c>
      <c r="D336" s="11">
        <v>1962763.6850000001</v>
      </c>
      <c r="E336" s="11">
        <v>13241569.91</v>
      </c>
      <c r="F336" s="13">
        <f>SUMIF('OD 05-24'!A:A,A336,'OD 05-24'!D:D)</f>
        <v>0</v>
      </c>
      <c r="G336" s="13">
        <f>SUMIF('OD 05-24'!A:A,A336,'OD 05-24'!E:E)</f>
        <v>0</v>
      </c>
      <c r="H336" s="14">
        <f t="shared" si="10"/>
        <v>-11278806.225</v>
      </c>
      <c r="I336" s="14">
        <f t="shared" si="11"/>
        <v>-11278806.225</v>
      </c>
      <c r="J336" s="8" t="s">
        <v>206</v>
      </c>
      <c r="K336" s="8" t="s">
        <v>505</v>
      </c>
      <c r="M336" s="339"/>
      <c r="N336" s="315"/>
    </row>
    <row r="337" spans="1:14" s="9" customFormat="1" ht="11.25" x14ac:dyDescent="0.2">
      <c r="A337" s="10">
        <v>70102000</v>
      </c>
      <c r="B337" s="10" t="s">
        <v>207</v>
      </c>
      <c r="C337" s="11">
        <v>0</v>
      </c>
      <c r="D337" s="11">
        <v>43043.354999999996</v>
      </c>
      <c r="E337" s="11">
        <v>15381354.035</v>
      </c>
      <c r="F337" s="13">
        <f>SUMIF('OD 05-24'!A:A,A337,'OD 05-24'!D:D)</f>
        <v>3757277.7850000001</v>
      </c>
      <c r="G337" s="13">
        <f>SUMIF('OD 05-24'!A:A,A337,'OD 05-24'!E:E)</f>
        <v>3757277.7850000001</v>
      </c>
      <c r="H337" s="14">
        <f t="shared" si="10"/>
        <v>-15338310.68</v>
      </c>
      <c r="I337" s="14">
        <f t="shared" si="11"/>
        <v>-15338310.68</v>
      </c>
      <c r="J337" s="8" t="s">
        <v>227</v>
      </c>
      <c r="K337" s="8" t="s">
        <v>504</v>
      </c>
      <c r="M337" s="339"/>
      <c r="N337" s="315"/>
    </row>
    <row r="338" spans="1:14" s="9" customFormat="1" ht="11.25" x14ac:dyDescent="0.2">
      <c r="A338" s="10">
        <v>70103000</v>
      </c>
      <c r="B338" s="10" t="s">
        <v>380</v>
      </c>
      <c r="C338" s="11">
        <v>0</v>
      </c>
      <c r="D338" s="11">
        <v>0</v>
      </c>
      <c r="E338" s="11">
        <v>4065</v>
      </c>
      <c r="F338" s="13">
        <f>SUMIF('OD 05-24'!A:A,A338,'OD 05-24'!D:D)</f>
        <v>0</v>
      </c>
      <c r="G338" s="13">
        <f>SUMIF('OD 05-24'!A:A,A338,'OD 05-24'!E:E)</f>
        <v>0</v>
      </c>
      <c r="H338" s="14">
        <f t="shared" si="10"/>
        <v>-4065</v>
      </c>
      <c r="I338" s="14">
        <f t="shared" si="11"/>
        <v>-4065</v>
      </c>
      <c r="J338" s="8" t="s">
        <v>206</v>
      </c>
      <c r="K338" s="8" t="s">
        <v>505</v>
      </c>
      <c r="M338" s="339"/>
      <c r="N338" s="315"/>
    </row>
    <row r="339" spans="1:14" s="9" customFormat="1" ht="11.25" x14ac:dyDescent="0.2">
      <c r="A339" s="10">
        <v>70600000</v>
      </c>
      <c r="B339" s="10" t="s">
        <v>381</v>
      </c>
      <c r="C339" s="11">
        <v>0</v>
      </c>
      <c r="D339" s="11">
        <v>81763.199999999997</v>
      </c>
      <c r="E339" s="11">
        <v>453073.52500000002</v>
      </c>
      <c r="F339" s="13">
        <f>SUMIF('OD 05-24'!A:A,A339,'OD 05-24'!D:D)</f>
        <v>0</v>
      </c>
      <c r="G339" s="13">
        <f>SUMIF('OD 05-24'!A:A,A339,'OD 05-24'!E:E)</f>
        <v>0</v>
      </c>
      <c r="H339" s="14">
        <f t="shared" si="10"/>
        <v>-371310.32500000001</v>
      </c>
      <c r="I339" s="14">
        <f t="shared" si="11"/>
        <v>-371310.32500000001</v>
      </c>
      <c r="J339" s="8" t="s">
        <v>206</v>
      </c>
      <c r="K339" s="8" t="s">
        <v>505</v>
      </c>
      <c r="M339" s="339"/>
      <c r="N339" s="315"/>
    </row>
    <row r="340" spans="1:14" s="9" customFormat="1" ht="11.25" x14ac:dyDescent="0.2">
      <c r="A340" s="10">
        <v>70600100</v>
      </c>
      <c r="B340" s="10" t="s">
        <v>7574</v>
      </c>
      <c r="C340" s="11">
        <v>0</v>
      </c>
      <c r="D340" s="11">
        <v>0</v>
      </c>
      <c r="E340" s="11">
        <v>4972.8629999999994</v>
      </c>
      <c r="F340" s="13">
        <f>SUMIF('OD 05-24'!A:A,A340,'OD 05-24'!D:D)</f>
        <v>0</v>
      </c>
      <c r="G340" s="13">
        <f>SUMIF('OD 05-24'!A:A,A340,'OD 05-24'!E:E)</f>
        <v>0</v>
      </c>
      <c r="H340" s="14">
        <f t="shared" si="10"/>
        <v>-4972.8629999999994</v>
      </c>
      <c r="I340" s="14">
        <f t="shared" si="11"/>
        <v>-4972.8629999999994</v>
      </c>
      <c r="J340" s="8" t="s">
        <v>214</v>
      </c>
      <c r="K340" s="8" t="s">
        <v>506</v>
      </c>
      <c r="M340" s="339"/>
      <c r="N340" s="315"/>
    </row>
    <row r="341" spans="1:14" s="9" customFormat="1" ht="11.25" x14ac:dyDescent="0.2">
      <c r="A341" s="10">
        <v>70600500</v>
      </c>
      <c r="B341" s="10" t="s">
        <v>208</v>
      </c>
      <c r="C341" s="11">
        <v>0</v>
      </c>
      <c r="D341" s="11">
        <v>0</v>
      </c>
      <c r="E341" s="11">
        <v>0</v>
      </c>
      <c r="F341" s="13">
        <f>SUMIF('OD 05-24'!A:A,A341,'OD 05-24'!D:D)</f>
        <v>32424.53</v>
      </c>
      <c r="G341" s="13">
        <f>SUMIF('OD 05-24'!A:A,A341,'OD 05-24'!E:E)</f>
        <v>48636.794999999998</v>
      </c>
      <c r="H341" s="14">
        <f t="shared" si="10"/>
        <v>-16212.264999999999</v>
      </c>
      <c r="I341" s="14">
        <f t="shared" si="11"/>
        <v>-16212.264999999999</v>
      </c>
      <c r="J341" s="8" t="s">
        <v>214</v>
      </c>
      <c r="K341" s="8" t="s">
        <v>506</v>
      </c>
      <c r="M341" s="339"/>
      <c r="N341" s="315"/>
    </row>
    <row r="342" spans="1:14" s="9" customFormat="1" ht="11.25" x14ac:dyDescent="0.2">
      <c r="A342" s="10">
        <v>71340000</v>
      </c>
      <c r="B342" s="10" t="s">
        <v>382</v>
      </c>
      <c r="C342" s="11">
        <v>0</v>
      </c>
      <c r="D342" s="11">
        <v>744393.83599999989</v>
      </c>
      <c r="E342" s="11">
        <v>0</v>
      </c>
      <c r="F342" s="13">
        <f>SUMIF('OD 05-24'!A:A,A342,'OD 05-24'!D:D)</f>
        <v>2233181.5079999999</v>
      </c>
      <c r="G342" s="13">
        <f>SUMIF('OD 05-24'!A:A,A342,'OD 05-24'!E:E)</f>
        <v>2233181.5079999999</v>
      </c>
      <c r="H342" s="14">
        <f t="shared" si="10"/>
        <v>744393.83599999966</v>
      </c>
      <c r="I342" s="14">
        <f t="shared" si="11"/>
        <v>744393.83599999966</v>
      </c>
      <c r="J342" s="8" t="s">
        <v>210</v>
      </c>
      <c r="K342" s="8" t="s">
        <v>508</v>
      </c>
      <c r="M342" s="339"/>
      <c r="N342" s="315"/>
    </row>
    <row r="343" spans="1:14" s="9" customFormat="1" ht="11.25" x14ac:dyDescent="0.2">
      <c r="A343" s="10">
        <v>71350000</v>
      </c>
      <c r="B343" s="10" t="s">
        <v>209</v>
      </c>
      <c r="C343" s="11">
        <v>0</v>
      </c>
      <c r="D343" s="11">
        <v>5109884.3080000002</v>
      </c>
      <c r="E343" s="11">
        <v>0</v>
      </c>
      <c r="F343" s="13">
        <f>SUMIF('OD 05-24'!A:A,A343,'OD 05-24'!D:D)</f>
        <v>36338936.777800001</v>
      </c>
      <c r="G343" s="13">
        <f>SUMIF('OD 05-24'!A:A,A343,'OD 05-24'!E:E)</f>
        <v>42946028.256800003</v>
      </c>
      <c r="H343" s="14">
        <f t="shared" si="10"/>
        <v>-1497207.1710000038</v>
      </c>
      <c r="I343" s="14">
        <f t="shared" si="11"/>
        <v>-1497207.1710000038</v>
      </c>
      <c r="J343" s="8" t="s">
        <v>210</v>
      </c>
      <c r="K343" s="8" t="s">
        <v>508</v>
      </c>
      <c r="M343" s="339"/>
      <c r="N343" s="315"/>
    </row>
    <row r="344" spans="1:14" s="9" customFormat="1" ht="11.25" x14ac:dyDescent="0.2">
      <c r="A344" s="10">
        <v>73601000</v>
      </c>
      <c r="B344" s="10" t="s">
        <v>211</v>
      </c>
      <c r="C344" s="11">
        <v>0</v>
      </c>
      <c r="D344" s="11">
        <v>0</v>
      </c>
      <c r="E344" s="11">
        <v>74991.596999999994</v>
      </c>
      <c r="F344" s="13">
        <f>SUMIF('OD 05-24'!A:A,A344,'OD 05-24'!D:D)</f>
        <v>0</v>
      </c>
      <c r="G344" s="13">
        <f>SUMIF('OD 05-24'!A:A,A344,'OD 05-24'!E:E)</f>
        <v>0</v>
      </c>
      <c r="H344" s="14">
        <f t="shared" si="10"/>
        <v>-74991.596999999994</v>
      </c>
      <c r="I344" s="14">
        <f t="shared" si="11"/>
        <v>-74991.596999999994</v>
      </c>
      <c r="J344" s="8" t="s">
        <v>214</v>
      </c>
      <c r="K344" s="8" t="s">
        <v>506</v>
      </c>
      <c r="M344" s="339"/>
      <c r="N344" s="315"/>
    </row>
    <row r="345" spans="1:14" s="9" customFormat="1" ht="11.25" x14ac:dyDescent="0.2">
      <c r="A345" s="10">
        <v>75000000</v>
      </c>
      <c r="B345" s="10" t="s">
        <v>7575</v>
      </c>
      <c r="C345" s="11">
        <v>0</v>
      </c>
      <c r="D345" s="11">
        <v>0</v>
      </c>
      <c r="E345" s="11">
        <v>899.9</v>
      </c>
      <c r="F345" s="13">
        <f>SUMIF('OD 05-24'!A:A,A345,'OD 05-24'!D:D)</f>
        <v>0</v>
      </c>
      <c r="G345" s="13">
        <f>SUMIF('OD 05-24'!A:A,A345,'OD 05-24'!E:E)</f>
        <v>0</v>
      </c>
      <c r="H345" s="14">
        <f t="shared" si="10"/>
        <v>-899.9</v>
      </c>
      <c r="I345" s="14">
        <f t="shared" si="11"/>
        <v>-899.9</v>
      </c>
      <c r="J345" s="8" t="s">
        <v>195</v>
      </c>
      <c r="K345" s="8" t="s">
        <v>517</v>
      </c>
      <c r="M345" s="339"/>
      <c r="N345" s="315"/>
    </row>
    <row r="346" spans="1:14" s="9" customFormat="1" ht="11.25" x14ac:dyDescent="0.2">
      <c r="A346" s="10">
        <v>73900000</v>
      </c>
      <c r="B346" s="10" t="s">
        <v>213</v>
      </c>
      <c r="C346" s="11">
        <v>0</v>
      </c>
      <c r="D346" s="11">
        <v>0</v>
      </c>
      <c r="E346" s="11">
        <v>0</v>
      </c>
      <c r="F346" s="13">
        <f>SUMIF('OD 05-24'!A:A,A346,'OD 05-24'!D:D)</f>
        <v>202824.19</v>
      </c>
      <c r="G346" s="13">
        <f>SUMIF('OD 05-24'!A:A,A346,'OD 05-24'!E:E)</f>
        <v>304236.28499999997</v>
      </c>
      <c r="H346" s="14">
        <f t="shared" si="10"/>
        <v>-101412.09499999997</v>
      </c>
      <c r="I346" s="14">
        <f t="shared" si="11"/>
        <v>-101412.09499999997</v>
      </c>
      <c r="J346" s="8" t="s">
        <v>214</v>
      </c>
      <c r="K346" s="8" t="s">
        <v>506</v>
      </c>
      <c r="M346" s="339"/>
      <c r="N346" s="315"/>
    </row>
    <row r="347" spans="1:14" s="9" customFormat="1" ht="11.25" x14ac:dyDescent="0.2">
      <c r="A347" s="10">
        <v>75600000</v>
      </c>
      <c r="B347" s="10" t="s">
        <v>215</v>
      </c>
      <c r="C347" s="11">
        <v>0</v>
      </c>
      <c r="D347" s="11">
        <v>1E-3</v>
      </c>
      <c r="E347" s="11">
        <v>0</v>
      </c>
      <c r="F347" s="13">
        <f>SUMIF('OD 05-24'!A:A,A347,'OD 05-24'!D:D)</f>
        <v>22908.175999999999</v>
      </c>
      <c r="G347" s="13">
        <f>SUMIF('OD 05-24'!A:A,A347,'OD 05-24'!E:E)</f>
        <v>22961.578000000001</v>
      </c>
      <c r="H347" s="14">
        <f t="shared" si="10"/>
        <v>-53.401000000001659</v>
      </c>
      <c r="I347" s="14">
        <f t="shared" si="11"/>
        <v>-53.401000000001659</v>
      </c>
      <c r="J347" s="8" t="s">
        <v>195</v>
      </c>
      <c r="K347" s="8" t="s">
        <v>517</v>
      </c>
      <c r="M347" s="339"/>
      <c r="N347" s="315"/>
    </row>
    <row r="348" spans="1:14" s="9" customFormat="1" ht="11.25" x14ac:dyDescent="0.2">
      <c r="A348" s="10">
        <v>77000000</v>
      </c>
      <c r="B348" s="10" t="s">
        <v>216</v>
      </c>
      <c r="C348" s="11">
        <v>0</v>
      </c>
      <c r="D348" s="11">
        <v>0</v>
      </c>
      <c r="E348" s="11">
        <v>1</v>
      </c>
      <c r="F348" s="13">
        <f>SUMIF('OD 05-24'!A:A,A348,'OD 05-24'!D:D)</f>
        <v>0</v>
      </c>
      <c r="G348" s="13">
        <f>SUMIF('OD 05-24'!A:A,A348,'OD 05-24'!E:E)</f>
        <v>0</v>
      </c>
      <c r="H348" s="14">
        <f t="shared" si="10"/>
        <v>-1</v>
      </c>
      <c r="I348" s="14">
        <f t="shared" si="11"/>
        <v>-1</v>
      </c>
      <c r="J348" s="8" t="s">
        <v>212</v>
      </c>
      <c r="K348" s="8" t="s">
        <v>518</v>
      </c>
      <c r="M348" s="339"/>
      <c r="N348" s="315"/>
    </row>
    <row r="349" spans="1:14" s="9" customFormat="1" ht="11.25" x14ac:dyDescent="0.2">
      <c r="A349" s="10">
        <v>78000000</v>
      </c>
      <c r="B349" s="10" t="s">
        <v>7576</v>
      </c>
      <c r="C349" s="11">
        <v>0</v>
      </c>
      <c r="D349" s="11">
        <v>0</v>
      </c>
      <c r="E349" s="11">
        <v>59797.479000000007</v>
      </c>
      <c r="F349" s="13">
        <f>SUMIF('OD 05-24'!A:A,A349,'OD 05-24'!D:D)</f>
        <v>0</v>
      </c>
      <c r="G349" s="13">
        <f>SUMIF('OD 05-24'!A:A,A349,'OD 05-24'!E:E)</f>
        <v>0</v>
      </c>
      <c r="H349" s="14">
        <f t="shared" si="10"/>
        <v>-59797.479000000007</v>
      </c>
      <c r="I349" s="14">
        <f t="shared" si="11"/>
        <v>-59797.479000000007</v>
      </c>
      <c r="J349" s="8" t="s">
        <v>7715</v>
      </c>
      <c r="K349" s="8" t="s">
        <v>7716</v>
      </c>
      <c r="M349" s="339"/>
      <c r="N349" s="315"/>
    </row>
    <row r="350" spans="1:14" s="9" customFormat="1" ht="11.25" x14ac:dyDescent="0.2">
      <c r="A350" s="10">
        <v>79999999</v>
      </c>
      <c r="B350" s="10" t="s">
        <v>383</v>
      </c>
      <c r="C350" s="11">
        <v>-2.6040943339467049E-4</v>
      </c>
      <c r="D350" s="11">
        <v>0</v>
      </c>
      <c r="E350" s="11">
        <v>0</v>
      </c>
      <c r="F350" s="13">
        <f>SUMIF('OD 05-24'!A:A,A350,'OD 05-24'!D:D)</f>
        <v>0</v>
      </c>
      <c r="G350" s="13">
        <f>SUMIF('OD 05-24'!A:A,A350,'OD 05-24'!E:E)</f>
        <v>0</v>
      </c>
      <c r="H350" s="14">
        <f t="shared" si="10"/>
        <v>0</v>
      </c>
      <c r="I350" s="14">
        <f t="shared" si="11"/>
        <v>-2.6040943339467049E-4</v>
      </c>
      <c r="J350" s="8"/>
      <c r="K350" s="8"/>
      <c r="M350" s="339"/>
      <c r="N350" s="315"/>
    </row>
    <row r="351" spans="1:14" x14ac:dyDescent="0.25">
      <c r="C351" s="344">
        <f>SUM(C3:C350)</f>
        <v>1.4514662325382233E-6</v>
      </c>
      <c r="D351" s="344">
        <f t="shared" ref="D351:I351" si="12">SUM(D3:D350)</f>
        <v>212864476.82778695</v>
      </c>
      <c r="E351" s="344">
        <f t="shared" si="12"/>
        <v>212864476.82778695</v>
      </c>
      <c r="F351" s="344">
        <f t="shared" si="12"/>
        <v>271553390.63919997</v>
      </c>
      <c r="G351" s="344">
        <f t="shared" si="12"/>
        <v>271553390.63920003</v>
      </c>
      <c r="H351" s="344">
        <f t="shared" si="12"/>
        <v>2.5465851649641991E-8</v>
      </c>
      <c r="I351" s="344">
        <f t="shared" si="12"/>
        <v>1.4741381164640188E-6</v>
      </c>
      <c r="L351" s="9"/>
      <c r="M351" s="339"/>
      <c r="N351" s="315"/>
    </row>
    <row r="352" spans="1:14" x14ac:dyDescent="0.25">
      <c r="L352" s="9"/>
      <c r="M352" s="339"/>
    </row>
  </sheetData>
  <autoFilter ref="A2:K351" xr:uid="{00000000-0009-0000-0000-00001A000000}"/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N357"/>
  <sheetViews>
    <sheetView workbookViewId="0">
      <pane ySplit="2" topLeftCell="A319" activePane="bottomLeft" state="frozen"/>
      <selection activeCell="A2" sqref="A2"/>
      <selection pane="bottomLeft" activeCell="E361" sqref="E361"/>
    </sheetView>
  </sheetViews>
  <sheetFormatPr baseColWidth="10" defaultRowHeight="15" x14ac:dyDescent="0.25"/>
  <cols>
    <col min="1" max="1" width="11.5703125" customWidth="1"/>
    <col min="2" max="2" width="23.7109375" style="302" bestFit="1" customWidth="1"/>
    <col min="3" max="3" width="14.42578125" style="305" bestFit="1" customWidth="1"/>
    <col min="4" max="4" width="16.7109375" style="305" customWidth="1"/>
    <col min="5" max="5" width="16.85546875" style="305" customWidth="1"/>
    <col min="6" max="6" width="15.42578125" style="305" customWidth="1"/>
    <col min="7" max="7" width="14.42578125" style="305" bestFit="1" customWidth="1"/>
    <col min="8" max="9" width="12.7109375" style="305" bestFit="1" customWidth="1"/>
    <col min="10" max="10" width="25.5703125" style="302" customWidth="1"/>
    <col min="11" max="11" width="14.42578125" style="302" customWidth="1"/>
    <col min="12" max="12" width="11.42578125" style="302"/>
    <col min="13" max="13" width="14.140625" style="302" bestFit="1" customWidth="1"/>
    <col min="14" max="16384" width="11.42578125" style="302"/>
  </cols>
  <sheetData>
    <row r="2" spans="1:14" ht="11.25" x14ac:dyDescent="0.2">
      <c r="A2" s="6" t="s">
        <v>1</v>
      </c>
      <c r="B2" s="6" t="s">
        <v>0</v>
      </c>
      <c r="C2" s="7" t="s">
        <v>5</v>
      </c>
      <c r="D2" s="7" t="s">
        <v>2</v>
      </c>
      <c r="E2" s="7" t="s">
        <v>260</v>
      </c>
      <c r="F2" s="7" t="s">
        <v>218</v>
      </c>
      <c r="G2" s="7" t="s">
        <v>219</v>
      </c>
      <c r="H2" s="7" t="s">
        <v>6</v>
      </c>
      <c r="I2" s="7" t="s">
        <v>217</v>
      </c>
      <c r="J2" s="6" t="s">
        <v>412</v>
      </c>
    </row>
    <row r="3" spans="1:14" s="9" customFormat="1" ht="11.25" customHeight="1" x14ac:dyDescent="0.2">
      <c r="A3" s="10">
        <v>10100000</v>
      </c>
      <c r="B3" s="10" t="s">
        <v>7</v>
      </c>
      <c r="C3" s="11">
        <v>-13500000</v>
      </c>
      <c r="D3" s="11">
        <v>0</v>
      </c>
      <c r="E3" s="11">
        <v>0</v>
      </c>
      <c r="F3" s="13">
        <f>SUMIF('OD 07-24'!A:A,A3,'OD 07-24'!D:D)</f>
        <v>0</v>
      </c>
      <c r="G3" s="13">
        <f>SUMIF('OD 07-24'!A:A,A3,'OD 07-24'!E:E)</f>
        <v>0</v>
      </c>
      <c r="H3" s="14">
        <f t="shared" ref="H3:H66" si="0">+D3+F3-E3-G3</f>
        <v>0</v>
      </c>
      <c r="I3" s="14">
        <f t="shared" ref="I3:I66" si="1">+H3+C3</f>
        <v>-13500000</v>
      </c>
      <c r="J3" s="8" t="s">
        <v>8</v>
      </c>
      <c r="K3" s="8"/>
      <c r="M3" s="339"/>
      <c r="N3" s="315"/>
    </row>
    <row r="4" spans="1:14" s="9" customFormat="1" ht="11.25" customHeight="1" x14ac:dyDescent="0.2">
      <c r="A4" s="10">
        <v>11101000</v>
      </c>
      <c r="B4" s="10" t="s">
        <v>9</v>
      </c>
      <c r="C4" s="11">
        <v>-1200000</v>
      </c>
      <c r="D4" s="11">
        <v>0</v>
      </c>
      <c r="E4" s="11">
        <v>0</v>
      </c>
      <c r="F4" s="13">
        <f>SUMIF('OD 07-24'!A:A,A4,'OD 07-24'!D:D)</f>
        <v>0</v>
      </c>
      <c r="G4" s="13">
        <f>SUMIF('OD 07-24'!A:A,A4,'OD 07-24'!E:E)</f>
        <v>0</v>
      </c>
      <c r="H4" s="14">
        <f t="shared" si="0"/>
        <v>0</v>
      </c>
      <c r="I4" s="14">
        <f t="shared" si="1"/>
        <v>-1200000</v>
      </c>
      <c r="J4" s="8" t="s">
        <v>10</v>
      </c>
      <c r="K4" s="8"/>
      <c r="M4" s="339"/>
      <c r="N4" s="315"/>
    </row>
    <row r="5" spans="1:14" s="9" customFormat="1" ht="11.25" customHeight="1" x14ac:dyDescent="0.2">
      <c r="A5" s="10">
        <v>12100000</v>
      </c>
      <c r="B5" s="10" t="s">
        <v>11</v>
      </c>
      <c r="C5" s="11">
        <v>-22014748.230401009</v>
      </c>
      <c r="D5" s="11">
        <v>0</v>
      </c>
      <c r="E5" s="11">
        <v>0</v>
      </c>
      <c r="F5" s="13">
        <f>SUMIF('OD 07-24'!A:A,A5,'OD 07-24'!D:D)</f>
        <v>0</v>
      </c>
      <c r="G5" s="13">
        <f>SUMIF('OD 07-24'!A:A,A5,'OD 07-24'!E:E)</f>
        <v>0</v>
      </c>
      <c r="H5" s="14">
        <f t="shared" si="0"/>
        <v>0</v>
      </c>
      <c r="I5" s="14">
        <f t="shared" si="1"/>
        <v>-22014748.230401009</v>
      </c>
      <c r="J5" s="8" t="s">
        <v>12</v>
      </c>
      <c r="K5" s="8"/>
      <c r="M5" s="339"/>
      <c r="N5" s="315"/>
    </row>
    <row r="6" spans="1:14" s="9" customFormat="1" ht="11.25" customHeight="1" x14ac:dyDescent="0.2">
      <c r="A6" s="10">
        <v>12200000</v>
      </c>
      <c r="B6" s="10" t="s">
        <v>272</v>
      </c>
      <c r="C6" s="11">
        <v>0</v>
      </c>
      <c r="D6" s="11">
        <v>0</v>
      </c>
      <c r="E6" s="11">
        <v>0</v>
      </c>
      <c r="F6" s="13">
        <f>SUMIF('OD 07-24'!A:A,A6,'OD 07-24'!D:D)</f>
        <v>0</v>
      </c>
      <c r="G6" s="13">
        <f>SUMIF('OD 07-24'!A:A,A6,'OD 07-24'!E:E)</f>
        <v>0</v>
      </c>
      <c r="H6" s="14">
        <f t="shared" si="0"/>
        <v>0</v>
      </c>
      <c r="I6" s="14">
        <f t="shared" si="1"/>
        <v>0</v>
      </c>
      <c r="J6" s="8"/>
      <c r="K6" s="8"/>
      <c r="M6" s="339"/>
      <c r="N6" s="315"/>
    </row>
    <row r="7" spans="1:14" s="9" customFormat="1" ht="11.25" customHeight="1" x14ac:dyDescent="0.2">
      <c r="A7" s="10">
        <v>12800000</v>
      </c>
      <c r="B7" s="10" t="s">
        <v>13</v>
      </c>
      <c r="C7" s="11">
        <v>3126298.01</v>
      </c>
      <c r="D7" s="11">
        <v>0</v>
      </c>
      <c r="E7" s="11">
        <v>0</v>
      </c>
      <c r="F7" s="13">
        <f>SUMIF('OD 07-24'!A:A,A7,'OD 07-24'!D:D)</f>
        <v>0</v>
      </c>
      <c r="G7" s="13">
        <f>SUMIF('OD 07-24'!A:A,A7,'OD 07-24'!E:E)</f>
        <v>0</v>
      </c>
      <c r="H7" s="14">
        <f t="shared" si="0"/>
        <v>0</v>
      </c>
      <c r="I7" s="14">
        <f t="shared" si="1"/>
        <v>3126298.01</v>
      </c>
      <c r="J7" s="8" t="s">
        <v>14</v>
      </c>
      <c r="K7" s="8"/>
      <c r="M7" s="339"/>
      <c r="N7" s="315"/>
    </row>
    <row r="8" spans="1:14" s="9" customFormat="1" ht="11.25" customHeight="1" x14ac:dyDescent="0.2">
      <c r="A8" s="10">
        <v>13000000</v>
      </c>
      <c r="B8" s="10" t="s">
        <v>273</v>
      </c>
      <c r="C8" s="11">
        <v>0</v>
      </c>
      <c r="D8" s="11">
        <v>0</v>
      </c>
      <c r="E8" s="11">
        <v>0</v>
      </c>
      <c r="F8" s="13">
        <f>SUMIF('OD 07-24'!A:A,A8,'OD 07-24'!D:D)</f>
        <v>0</v>
      </c>
      <c r="G8" s="13">
        <f>SUMIF('OD 07-24'!A:A,A8,'OD 07-24'!E:E)</f>
        <v>0</v>
      </c>
      <c r="H8" s="14">
        <f t="shared" si="0"/>
        <v>0</v>
      </c>
      <c r="I8" s="14">
        <f t="shared" si="1"/>
        <v>0</v>
      </c>
      <c r="J8" s="8"/>
      <c r="K8" s="8"/>
      <c r="M8" s="339"/>
      <c r="N8" s="315"/>
    </row>
    <row r="9" spans="1:14" s="9" customFormat="1" ht="11.25" customHeight="1" x14ac:dyDescent="0.2">
      <c r="A9" s="10">
        <v>14500000</v>
      </c>
      <c r="B9" s="10" t="s">
        <v>15</v>
      </c>
      <c r="C9" s="11">
        <v>-3479108.84</v>
      </c>
      <c r="D9" s="11">
        <v>0</v>
      </c>
      <c r="E9" s="11">
        <v>0</v>
      </c>
      <c r="F9" s="13">
        <f>SUMIF('OD 07-24'!A:A,A9,'OD 07-24'!D:D)</f>
        <v>0</v>
      </c>
      <c r="G9" s="13">
        <f>SUMIF('OD 07-24'!A:A,A9,'OD 07-24'!E:E)</f>
        <v>0</v>
      </c>
      <c r="H9" s="14">
        <f t="shared" si="0"/>
        <v>0</v>
      </c>
      <c r="I9" s="14">
        <f t="shared" si="1"/>
        <v>-3479108.84</v>
      </c>
      <c r="J9" s="8" t="s">
        <v>16</v>
      </c>
      <c r="K9" s="8"/>
      <c r="M9" s="339"/>
      <c r="N9" s="315"/>
    </row>
    <row r="10" spans="1:14" s="9" customFormat="1" ht="11.25" customHeight="1" x14ac:dyDescent="0.2">
      <c r="A10" s="10">
        <v>14508000</v>
      </c>
      <c r="B10" s="10" t="s">
        <v>17</v>
      </c>
      <c r="C10" s="11">
        <v>2662861.7680000002</v>
      </c>
      <c r="D10" s="11">
        <v>0</v>
      </c>
      <c r="E10" s="11">
        <v>0</v>
      </c>
      <c r="F10" s="13">
        <f>SUMIF('OD 07-24'!A:A,A10,'OD 07-24'!D:D)</f>
        <v>567907.73400000005</v>
      </c>
      <c r="G10" s="13">
        <f>SUMIF('OD 07-24'!A:A,A10,'OD 07-24'!E:E)</f>
        <v>425930.8</v>
      </c>
      <c r="H10" s="14">
        <f t="shared" si="0"/>
        <v>141976.93400000007</v>
      </c>
      <c r="I10" s="14">
        <f t="shared" si="1"/>
        <v>2804838.702</v>
      </c>
      <c r="J10" s="8" t="s">
        <v>18</v>
      </c>
      <c r="K10" s="8"/>
      <c r="M10" s="339"/>
      <c r="N10" s="315"/>
    </row>
    <row r="11" spans="1:14" s="9" customFormat="1" ht="11.25" customHeight="1" x14ac:dyDescent="0.2">
      <c r="A11" s="10">
        <v>15100000</v>
      </c>
      <c r="B11" s="10" t="s">
        <v>19</v>
      </c>
      <c r="C11" s="11">
        <v>-231535.016</v>
      </c>
      <c r="D11" s="11">
        <v>0</v>
      </c>
      <c r="E11" s="11">
        <v>0</v>
      </c>
      <c r="F11" s="13">
        <f>SUMIF('OD 07-24'!A:A,A11,'OD 07-24'!D:D)</f>
        <v>20000</v>
      </c>
      <c r="G11" s="13">
        <f>SUMIF('OD 07-24'!A:A,A11,'OD 07-24'!E:E)</f>
        <v>60000</v>
      </c>
      <c r="H11" s="14">
        <f t="shared" si="0"/>
        <v>-40000</v>
      </c>
      <c r="I11" s="14">
        <f t="shared" si="1"/>
        <v>-271535.016</v>
      </c>
      <c r="J11" s="8" t="s">
        <v>20</v>
      </c>
      <c r="K11" s="8"/>
      <c r="M11" s="339"/>
      <c r="N11" s="315"/>
    </row>
    <row r="12" spans="1:14" s="9" customFormat="1" ht="11.25" customHeight="1" x14ac:dyDescent="0.2">
      <c r="A12" s="10">
        <v>16210250</v>
      </c>
      <c r="B12" s="10" t="s">
        <v>274</v>
      </c>
      <c r="C12" s="11">
        <v>0</v>
      </c>
      <c r="D12" s="11">
        <v>0</v>
      </c>
      <c r="E12" s="11">
        <v>0</v>
      </c>
      <c r="F12" s="13">
        <f>SUMIF('OD 07-24'!A:A,A12,'OD 07-24'!D:D)</f>
        <v>0</v>
      </c>
      <c r="G12" s="13">
        <f>SUMIF('OD 07-24'!A:A,A12,'OD 07-24'!E:E)</f>
        <v>0</v>
      </c>
      <c r="H12" s="14">
        <f t="shared" si="0"/>
        <v>0</v>
      </c>
      <c r="I12" s="14">
        <f t="shared" si="1"/>
        <v>0</v>
      </c>
      <c r="J12" s="8"/>
      <c r="K12" s="8"/>
      <c r="M12" s="339"/>
      <c r="N12" s="315"/>
    </row>
    <row r="13" spans="1:14" s="9" customFormat="1" ht="11.25" customHeight="1" x14ac:dyDescent="0.2">
      <c r="A13" s="10">
        <v>16210500</v>
      </c>
      <c r="B13" s="10" t="s">
        <v>21</v>
      </c>
      <c r="C13" s="11">
        <v>-1416666.6629999988</v>
      </c>
      <c r="D13" s="11">
        <v>0</v>
      </c>
      <c r="E13" s="11">
        <v>0</v>
      </c>
      <c r="F13" s="13">
        <f>SUMIF('OD 07-24'!A:A,A13,'OD 07-24'!D:D)</f>
        <v>0</v>
      </c>
      <c r="G13" s="13">
        <f>SUMIF('OD 07-24'!A:A,A13,'OD 07-24'!E:E)</f>
        <v>0</v>
      </c>
      <c r="H13" s="14">
        <f t="shared" si="0"/>
        <v>0</v>
      </c>
      <c r="I13" s="14">
        <f t="shared" si="1"/>
        <v>-1416666.6629999988</v>
      </c>
      <c r="J13" s="8" t="s">
        <v>22</v>
      </c>
      <c r="K13" s="8"/>
      <c r="M13" s="339"/>
      <c r="N13" s="315"/>
    </row>
    <row r="14" spans="1:14" s="9" customFormat="1" ht="11.25" customHeight="1" x14ac:dyDescent="0.2">
      <c r="A14" s="10">
        <v>16210960</v>
      </c>
      <c r="B14" s="10" t="s">
        <v>275</v>
      </c>
      <c r="C14" s="11">
        <v>0</v>
      </c>
      <c r="D14" s="11">
        <v>0</v>
      </c>
      <c r="E14" s="11">
        <v>0</v>
      </c>
      <c r="F14" s="13">
        <f>SUMIF('OD 07-24'!A:A,A14,'OD 07-24'!D:D)</f>
        <v>0</v>
      </c>
      <c r="G14" s="13">
        <f>SUMIF('OD 07-24'!A:A,A14,'OD 07-24'!E:E)</f>
        <v>0</v>
      </c>
      <c r="H14" s="14">
        <f t="shared" si="0"/>
        <v>0</v>
      </c>
      <c r="I14" s="14">
        <f t="shared" si="1"/>
        <v>0</v>
      </c>
      <c r="J14" s="8"/>
      <c r="K14" s="8"/>
      <c r="M14" s="339"/>
      <c r="N14" s="315"/>
    </row>
    <row r="15" spans="1:14" s="9" customFormat="1" ht="11.25" customHeight="1" x14ac:dyDescent="0.2">
      <c r="A15" s="10">
        <v>16400000</v>
      </c>
      <c r="B15" s="10" t="s">
        <v>276</v>
      </c>
      <c r="C15" s="11">
        <v>-103582.68900000001</v>
      </c>
      <c r="D15" s="11">
        <v>115740.227</v>
      </c>
      <c r="E15" s="11">
        <v>460004.84700000007</v>
      </c>
      <c r="F15" s="13">
        <f>SUMIF('OD 07-24'!A:A,A15,'OD 07-24'!D:D)</f>
        <v>0</v>
      </c>
      <c r="G15" s="13">
        <f>SUMIF('OD 07-24'!A:A,A15,'OD 07-24'!E:E)</f>
        <v>0</v>
      </c>
      <c r="H15" s="14">
        <f t="shared" si="0"/>
        <v>-344264.62000000005</v>
      </c>
      <c r="I15" s="14">
        <f t="shared" si="1"/>
        <v>-447847.30900000007</v>
      </c>
      <c r="J15" s="8" t="s">
        <v>22</v>
      </c>
      <c r="K15" s="8"/>
      <c r="M15" s="339"/>
      <c r="N15" s="315"/>
    </row>
    <row r="16" spans="1:14" s="9" customFormat="1" ht="11.25" customHeight="1" x14ac:dyDescent="0.2">
      <c r="A16" s="10">
        <v>18800000</v>
      </c>
      <c r="B16" s="10" t="s">
        <v>23</v>
      </c>
      <c r="C16" s="11">
        <v>0</v>
      </c>
      <c r="D16" s="11">
        <v>0</v>
      </c>
      <c r="E16" s="11">
        <v>0</v>
      </c>
      <c r="F16" s="13">
        <f>SUMIF('OD 07-24'!A:A,A16,'OD 07-24'!D:D)</f>
        <v>0</v>
      </c>
      <c r="G16" s="13">
        <f>SUMIF('OD 07-24'!A:A,A16,'OD 07-24'!E:E)</f>
        <v>0</v>
      </c>
      <c r="H16" s="14">
        <f t="shared" si="0"/>
        <v>0</v>
      </c>
      <c r="I16" s="14">
        <f t="shared" si="1"/>
        <v>0</v>
      </c>
      <c r="J16" s="8"/>
      <c r="K16" s="8"/>
      <c r="M16" s="339"/>
      <c r="N16" s="315"/>
    </row>
    <row r="17" spans="1:14" s="9" customFormat="1" ht="11.25" customHeight="1" x14ac:dyDescent="0.2">
      <c r="A17" s="10">
        <v>21100000</v>
      </c>
      <c r="B17" s="10" t="s">
        <v>277</v>
      </c>
      <c r="C17" s="11">
        <v>0</v>
      </c>
      <c r="D17" s="11">
        <v>0</v>
      </c>
      <c r="E17" s="11">
        <v>0</v>
      </c>
      <c r="F17" s="13">
        <f>SUMIF('OD 07-24'!A:A,A17,'OD 07-24'!D:D)</f>
        <v>0</v>
      </c>
      <c r="G17" s="13">
        <f>SUMIF('OD 07-24'!A:A,A17,'OD 07-24'!E:E)</f>
        <v>0</v>
      </c>
      <c r="H17" s="14">
        <f t="shared" si="0"/>
        <v>0</v>
      </c>
      <c r="I17" s="14">
        <f t="shared" si="1"/>
        <v>0</v>
      </c>
      <c r="J17" s="8"/>
      <c r="K17" s="8"/>
      <c r="M17" s="339"/>
      <c r="N17" s="315"/>
    </row>
    <row r="18" spans="1:14" s="9" customFormat="1" ht="11.25" customHeight="1" x14ac:dyDescent="0.2">
      <c r="A18" s="10">
        <v>21300000</v>
      </c>
      <c r="B18" s="10" t="s">
        <v>24</v>
      </c>
      <c r="C18" s="11">
        <v>93173.926999999996</v>
      </c>
      <c r="D18" s="11">
        <v>47987.78</v>
      </c>
      <c r="E18" s="11">
        <v>0</v>
      </c>
      <c r="F18" s="13">
        <f>SUMIF('OD 07-24'!A:A,A18,'OD 07-24'!D:D)</f>
        <v>0</v>
      </c>
      <c r="G18" s="13">
        <f>SUMIF('OD 07-24'!A:A,A18,'OD 07-24'!E:E)</f>
        <v>0</v>
      </c>
      <c r="H18" s="14">
        <f t="shared" si="0"/>
        <v>47987.78</v>
      </c>
      <c r="I18" s="14">
        <f t="shared" si="1"/>
        <v>141161.70699999999</v>
      </c>
      <c r="J18" s="8" t="s">
        <v>25</v>
      </c>
      <c r="K18" s="8"/>
      <c r="M18" s="339"/>
      <c r="N18" s="315"/>
    </row>
    <row r="19" spans="1:14" s="9" customFormat="1" ht="11.25" customHeight="1" x14ac:dyDescent="0.2">
      <c r="A19" s="10">
        <v>22000000</v>
      </c>
      <c r="B19" s="10" t="s">
        <v>278</v>
      </c>
      <c r="C19" s="11">
        <v>0</v>
      </c>
      <c r="D19" s="11">
        <v>0</v>
      </c>
      <c r="E19" s="11">
        <v>0</v>
      </c>
      <c r="F19" s="13">
        <f>SUMIF('OD 07-24'!A:A,A19,'OD 07-24'!D:D)</f>
        <v>0</v>
      </c>
      <c r="G19" s="13">
        <f>SUMIF('OD 07-24'!A:A,A19,'OD 07-24'!E:E)</f>
        <v>0</v>
      </c>
      <c r="H19" s="14">
        <f t="shared" si="0"/>
        <v>0</v>
      </c>
      <c r="I19" s="14">
        <f t="shared" si="1"/>
        <v>0</v>
      </c>
      <c r="J19" s="8"/>
      <c r="K19" s="8"/>
      <c r="M19" s="339"/>
      <c r="N19" s="315"/>
    </row>
    <row r="20" spans="1:14" s="9" customFormat="1" ht="11.25" customHeight="1" x14ac:dyDescent="0.2">
      <c r="A20" s="10">
        <v>22100000</v>
      </c>
      <c r="B20" s="10" t="s">
        <v>26</v>
      </c>
      <c r="C20" s="11">
        <v>1275724</v>
      </c>
      <c r="D20" s="11">
        <v>0</v>
      </c>
      <c r="E20" s="11">
        <v>0</v>
      </c>
      <c r="F20" s="13">
        <f>SUMIF('OD 07-24'!A:A,A20,'OD 07-24'!D:D)</f>
        <v>0</v>
      </c>
      <c r="G20" s="13">
        <f>SUMIF('OD 07-24'!A:A,A20,'OD 07-24'!E:E)</f>
        <v>0</v>
      </c>
      <c r="H20" s="14">
        <f t="shared" si="0"/>
        <v>0</v>
      </c>
      <c r="I20" s="14">
        <f t="shared" si="1"/>
        <v>1275724</v>
      </c>
      <c r="J20" s="8" t="s">
        <v>25</v>
      </c>
      <c r="K20" s="8"/>
      <c r="M20" s="339"/>
      <c r="N20" s="315"/>
    </row>
    <row r="21" spans="1:14" s="9" customFormat="1" ht="11.25" customHeight="1" x14ac:dyDescent="0.2">
      <c r="A21" s="10">
        <v>22160000</v>
      </c>
      <c r="B21" s="10" t="s">
        <v>27</v>
      </c>
      <c r="C21" s="11">
        <v>161921.53600000002</v>
      </c>
      <c r="D21" s="11">
        <v>0</v>
      </c>
      <c r="E21" s="11">
        <v>0</v>
      </c>
      <c r="F21" s="13">
        <f>SUMIF('OD 07-24'!A:A,A21,'OD 07-24'!D:D)</f>
        <v>0</v>
      </c>
      <c r="G21" s="13">
        <f>SUMIF('OD 07-24'!A:A,A21,'OD 07-24'!E:E)</f>
        <v>0</v>
      </c>
      <c r="H21" s="14">
        <f t="shared" si="0"/>
        <v>0</v>
      </c>
      <c r="I21" s="14">
        <f t="shared" si="1"/>
        <v>161921.53600000002</v>
      </c>
      <c r="J21" s="8" t="s">
        <v>25</v>
      </c>
      <c r="K21" s="8"/>
      <c r="M21" s="339"/>
      <c r="N21" s="315"/>
    </row>
    <row r="22" spans="1:14" s="9" customFormat="1" ht="11.25" customHeight="1" x14ac:dyDescent="0.2">
      <c r="A22" s="10">
        <v>22200000</v>
      </c>
      <c r="B22" s="10" t="s">
        <v>28</v>
      </c>
      <c r="C22" s="11">
        <v>9174898.748999998</v>
      </c>
      <c r="D22" s="11">
        <v>0</v>
      </c>
      <c r="E22" s="11">
        <v>0</v>
      </c>
      <c r="F22" s="13">
        <f>SUMIF('OD 07-24'!A:A,A22,'OD 07-24'!D:D)</f>
        <v>0</v>
      </c>
      <c r="G22" s="13">
        <f>SUMIF('OD 07-24'!A:A,A22,'OD 07-24'!E:E)</f>
        <v>0</v>
      </c>
      <c r="H22" s="14">
        <f t="shared" si="0"/>
        <v>0</v>
      </c>
      <c r="I22" s="14">
        <f t="shared" si="1"/>
        <v>9174898.748999998</v>
      </c>
      <c r="J22" s="8" t="s">
        <v>25</v>
      </c>
      <c r="K22" s="8"/>
      <c r="M22" s="339"/>
      <c r="N22" s="315"/>
    </row>
    <row r="23" spans="1:14" s="9" customFormat="1" ht="11.25" customHeight="1" x14ac:dyDescent="0.2">
      <c r="A23" s="10">
        <v>22250000</v>
      </c>
      <c r="B23" s="10" t="s">
        <v>29</v>
      </c>
      <c r="C23" s="11">
        <v>696674.05799999996</v>
      </c>
      <c r="D23" s="11">
        <v>76686.759999999995</v>
      </c>
      <c r="E23" s="11">
        <v>7695.5219999999999</v>
      </c>
      <c r="F23" s="13">
        <f>SUMIF('OD 07-24'!A:A,A23,'OD 07-24'!D:D)</f>
        <v>0</v>
      </c>
      <c r="G23" s="13">
        <f>SUMIF('OD 07-24'!A:A,A23,'OD 07-24'!E:E)</f>
        <v>0</v>
      </c>
      <c r="H23" s="14">
        <f t="shared" si="0"/>
        <v>68991.237999999998</v>
      </c>
      <c r="I23" s="14">
        <f t="shared" si="1"/>
        <v>765665.29599999997</v>
      </c>
      <c r="J23" s="8" t="s">
        <v>25</v>
      </c>
      <c r="K23" s="8"/>
      <c r="M23" s="339"/>
      <c r="N23" s="315"/>
    </row>
    <row r="24" spans="1:14" s="9" customFormat="1" ht="11.25" customHeight="1" x14ac:dyDescent="0.2">
      <c r="A24" s="10">
        <v>22300000</v>
      </c>
      <c r="B24" s="10" t="s">
        <v>30</v>
      </c>
      <c r="C24" s="11">
        <v>73570.611000000004</v>
      </c>
      <c r="D24" s="11">
        <v>26392</v>
      </c>
      <c r="E24" s="11">
        <v>0</v>
      </c>
      <c r="F24" s="13">
        <f>SUMIF('OD 07-24'!A:A,A24,'OD 07-24'!D:D)</f>
        <v>0</v>
      </c>
      <c r="G24" s="13">
        <f>SUMIF('OD 07-24'!A:A,A24,'OD 07-24'!E:E)</f>
        <v>0</v>
      </c>
      <c r="H24" s="14">
        <f t="shared" si="0"/>
        <v>26392</v>
      </c>
      <c r="I24" s="14">
        <f t="shared" si="1"/>
        <v>99962.611000000004</v>
      </c>
      <c r="J24" s="8" t="s">
        <v>25</v>
      </c>
      <c r="K24" s="8"/>
      <c r="M24" s="339"/>
      <c r="N24" s="315"/>
    </row>
    <row r="25" spans="1:14" s="9" customFormat="1" ht="11.25" customHeight="1" x14ac:dyDescent="0.2">
      <c r="A25" s="10">
        <v>22310000</v>
      </c>
      <c r="B25" s="10" t="s">
        <v>31</v>
      </c>
      <c r="C25" s="11">
        <v>0</v>
      </c>
      <c r="D25" s="11">
        <v>7949.9240000000009</v>
      </c>
      <c r="E25" s="11">
        <v>0</v>
      </c>
      <c r="F25" s="13">
        <f>SUMIF('OD 07-24'!A:A,A25,'OD 07-24'!D:D)</f>
        <v>0</v>
      </c>
      <c r="G25" s="13">
        <f>SUMIF('OD 07-24'!A:A,A25,'OD 07-24'!E:E)</f>
        <v>0</v>
      </c>
      <c r="H25" s="14">
        <f t="shared" si="0"/>
        <v>7949.9240000000009</v>
      </c>
      <c r="I25" s="14">
        <f t="shared" si="1"/>
        <v>7949.9240000000009</v>
      </c>
      <c r="J25" s="8" t="s">
        <v>25</v>
      </c>
      <c r="K25" s="8"/>
      <c r="M25" s="339"/>
      <c r="N25" s="315"/>
    </row>
    <row r="26" spans="1:14" s="9" customFormat="1" ht="11.25" customHeight="1" x14ac:dyDescent="0.2">
      <c r="A26" s="10">
        <v>22340000</v>
      </c>
      <c r="B26" s="10" t="s">
        <v>32</v>
      </c>
      <c r="C26" s="11">
        <v>24676096.882049002</v>
      </c>
      <c r="D26" s="11">
        <v>489192.4915</v>
      </c>
      <c r="E26" s="11">
        <v>331367.50800000003</v>
      </c>
      <c r="F26" s="13">
        <f>SUMIF('OD 07-24'!A:A,A26,'OD 07-24'!D:D)</f>
        <v>0</v>
      </c>
      <c r="G26" s="13">
        <f>SUMIF('OD 07-24'!A:A,A26,'OD 07-24'!E:E)</f>
        <v>0</v>
      </c>
      <c r="H26" s="14">
        <f t="shared" si="0"/>
        <v>157824.98349999997</v>
      </c>
      <c r="I26" s="14">
        <f t="shared" si="1"/>
        <v>24833921.865549002</v>
      </c>
      <c r="J26" s="8" t="s">
        <v>25</v>
      </c>
      <c r="K26" s="8"/>
      <c r="M26" s="339"/>
      <c r="N26" s="315"/>
    </row>
    <row r="27" spans="1:14" s="9" customFormat="1" ht="11.25" customHeight="1" x14ac:dyDescent="0.2">
      <c r="A27" s="10">
        <v>22350000</v>
      </c>
      <c r="B27" s="10" t="s">
        <v>33</v>
      </c>
      <c r="C27" s="11">
        <v>651798.13449999969</v>
      </c>
      <c r="D27" s="11">
        <v>48360.542999999998</v>
      </c>
      <c r="E27" s="11">
        <v>0</v>
      </c>
      <c r="F27" s="13">
        <f>SUMIF('OD 07-24'!A:A,A27,'OD 07-24'!D:D)</f>
        <v>0</v>
      </c>
      <c r="G27" s="13">
        <f>SUMIF('OD 07-24'!A:A,A27,'OD 07-24'!E:E)</f>
        <v>0</v>
      </c>
      <c r="H27" s="14">
        <f t="shared" si="0"/>
        <v>48360.542999999998</v>
      </c>
      <c r="I27" s="14">
        <f t="shared" si="1"/>
        <v>700158.67749999964</v>
      </c>
      <c r="J27" s="8" t="s">
        <v>25</v>
      </c>
      <c r="K27" s="8"/>
      <c r="M27" s="339"/>
      <c r="N27" s="315"/>
    </row>
    <row r="28" spans="1:14" s="9" customFormat="1" ht="11.25" customHeight="1" x14ac:dyDescent="0.2">
      <c r="A28" s="10">
        <v>22370000</v>
      </c>
      <c r="B28" s="10" t="s">
        <v>34</v>
      </c>
      <c r="C28" s="11">
        <v>901593.20599999989</v>
      </c>
      <c r="D28" s="11">
        <v>8125.4519999999993</v>
      </c>
      <c r="E28" s="11">
        <v>8125.4519999999993</v>
      </c>
      <c r="F28" s="13">
        <f>SUMIF('OD 07-24'!A:A,A28,'OD 07-24'!D:D)</f>
        <v>0</v>
      </c>
      <c r="G28" s="13">
        <f>SUMIF('OD 07-24'!A:A,A28,'OD 07-24'!E:E)</f>
        <v>0</v>
      </c>
      <c r="H28" s="14">
        <f t="shared" si="0"/>
        <v>0</v>
      </c>
      <c r="I28" s="14">
        <f t="shared" si="1"/>
        <v>901593.20599999989</v>
      </c>
      <c r="J28" s="8" t="s">
        <v>25</v>
      </c>
      <c r="K28" s="8"/>
      <c r="M28" s="339"/>
      <c r="N28" s="315"/>
    </row>
    <row r="29" spans="1:14" s="9" customFormat="1" ht="11.25" customHeight="1" x14ac:dyDescent="0.2">
      <c r="A29" s="10">
        <v>22400000</v>
      </c>
      <c r="B29" s="10" t="s">
        <v>35</v>
      </c>
      <c r="C29" s="11">
        <v>1176312.6140000001</v>
      </c>
      <c r="D29" s="11">
        <v>64102.11</v>
      </c>
      <c r="E29" s="11">
        <v>96728.61</v>
      </c>
      <c r="F29" s="13">
        <f>SUMIF('OD 07-24'!A:A,A29,'OD 07-24'!D:D)</f>
        <v>0</v>
      </c>
      <c r="G29" s="13">
        <f>SUMIF('OD 07-24'!A:A,A29,'OD 07-24'!E:E)</f>
        <v>0</v>
      </c>
      <c r="H29" s="14">
        <f t="shared" si="0"/>
        <v>-32626.5</v>
      </c>
      <c r="I29" s="14">
        <f t="shared" si="1"/>
        <v>1143686.1140000001</v>
      </c>
      <c r="J29" s="8" t="s">
        <v>25</v>
      </c>
      <c r="K29" s="8"/>
      <c r="M29" s="339"/>
      <c r="N29" s="315"/>
    </row>
    <row r="30" spans="1:14" s="9" customFormat="1" ht="11.25" customHeight="1" x14ac:dyDescent="0.2">
      <c r="A30" s="10">
        <v>22810000</v>
      </c>
      <c r="B30" s="10" t="s">
        <v>36</v>
      </c>
      <c r="C30" s="11">
        <v>0</v>
      </c>
      <c r="D30" s="11">
        <v>0</v>
      </c>
      <c r="E30" s="11">
        <v>0</v>
      </c>
      <c r="F30" s="13">
        <f>SUMIF('OD 07-24'!A:A,A30,'OD 07-24'!D:D)</f>
        <v>0</v>
      </c>
      <c r="G30" s="13">
        <f>SUMIF('OD 07-24'!A:A,A30,'OD 07-24'!E:E)</f>
        <v>0</v>
      </c>
      <c r="H30" s="14">
        <f t="shared" si="0"/>
        <v>0</v>
      </c>
      <c r="I30" s="14">
        <f t="shared" si="1"/>
        <v>0</v>
      </c>
      <c r="J30" s="8"/>
      <c r="K30" s="8"/>
      <c r="M30" s="339"/>
      <c r="N30" s="315"/>
    </row>
    <row r="31" spans="1:14" s="9" customFormat="1" ht="11.25" customHeight="1" x14ac:dyDescent="0.2">
      <c r="A31" s="10">
        <v>22820000</v>
      </c>
      <c r="B31" s="10" t="s">
        <v>37</v>
      </c>
      <c r="C31" s="11">
        <v>281171.26415</v>
      </c>
      <c r="D31" s="11">
        <v>35790.32</v>
      </c>
      <c r="E31" s="11">
        <v>313.10000000000002</v>
      </c>
      <c r="F31" s="13">
        <f>SUMIF('OD 07-24'!A:A,A31,'OD 07-24'!D:D)</f>
        <v>0</v>
      </c>
      <c r="G31" s="13">
        <f>SUMIF('OD 07-24'!A:A,A31,'OD 07-24'!E:E)</f>
        <v>0</v>
      </c>
      <c r="H31" s="14">
        <f t="shared" si="0"/>
        <v>35477.22</v>
      </c>
      <c r="I31" s="14">
        <f t="shared" si="1"/>
        <v>316648.48415000003</v>
      </c>
      <c r="J31" s="8" t="s">
        <v>25</v>
      </c>
      <c r="K31" s="8"/>
      <c r="M31" s="339"/>
      <c r="N31" s="315"/>
    </row>
    <row r="32" spans="1:14" s="9" customFormat="1" ht="11.25" customHeight="1" x14ac:dyDescent="0.2">
      <c r="A32" s="10">
        <v>22830000</v>
      </c>
      <c r="B32" s="10" t="s">
        <v>279</v>
      </c>
      <c r="C32" s="11">
        <v>243796.16828599994</v>
      </c>
      <c r="D32" s="11">
        <v>37156.847999999998</v>
      </c>
      <c r="E32" s="11">
        <v>0</v>
      </c>
      <c r="F32" s="13">
        <f>SUMIF('OD 07-24'!A:A,A32,'OD 07-24'!D:D)</f>
        <v>0</v>
      </c>
      <c r="G32" s="13">
        <f>SUMIF('OD 07-24'!A:A,A32,'OD 07-24'!E:E)</f>
        <v>0</v>
      </c>
      <c r="H32" s="14">
        <f t="shared" si="0"/>
        <v>37156.847999999998</v>
      </c>
      <c r="I32" s="14">
        <f t="shared" si="1"/>
        <v>280953.01628599991</v>
      </c>
      <c r="J32" s="8" t="s">
        <v>25</v>
      </c>
      <c r="K32" s="8"/>
      <c r="M32" s="339"/>
      <c r="N32" s="315"/>
    </row>
    <row r="33" spans="1:14" s="9" customFormat="1" ht="11.25" customHeight="1" x14ac:dyDescent="0.2">
      <c r="A33" s="10">
        <v>23000000</v>
      </c>
      <c r="B33" s="10" t="s">
        <v>280</v>
      </c>
      <c r="C33" s="11">
        <v>2.0000000404252205E-5</v>
      </c>
      <c r="D33" s="11">
        <v>0</v>
      </c>
      <c r="E33" s="11">
        <v>0</v>
      </c>
      <c r="F33" s="13">
        <f>SUMIF('OD 07-24'!A:A,A33,'OD 07-24'!D:D)</f>
        <v>0</v>
      </c>
      <c r="G33" s="13">
        <f>SUMIF('OD 07-24'!A:A,A33,'OD 07-24'!E:E)</f>
        <v>0</v>
      </c>
      <c r="H33" s="14">
        <f t="shared" si="0"/>
        <v>0</v>
      </c>
      <c r="I33" s="14">
        <f t="shared" si="1"/>
        <v>2.0000000404252205E-5</v>
      </c>
      <c r="J33" s="8"/>
      <c r="K33" s="8"/>
      <c r="M33" s="339"/>
      <c r="N33" s="315"/>
    </row>
    <row r="34" spans="1:14" s="9" customFormat="1" ht="11.25" customHeight="1" x14ac:dyDescent="0.2">
      <c r="A34" s="10">
        <v>23100000</v>
      </c>
      <c r="B34" s="10" t="s">
        <v>7399</v>
      </c>
      <c r="C34" s="11">
        <v>0</v>
      </c>
      <c r="D34" s="11">
        <v>17045.8</v>
      </c>
      <c r="E34" s="11">
        <v>0</v>
      </c>
      <c r="F34" s="13">
        <f>SUMIF('OD 07-24'!A:A,A34,'OD 07-24'!D:D)</f>
        <v>0</v>
      </c>
      <c r="G34" s="13">
        <f>SUMIF('OD 07-24'!A:A,A34,'OD 07-24'!E:E)</f>
        <v>0</v>
      </c>
      <c r="H34" s="14">
        <f t="shared" si="0"/>
        <v>17045.8</v>
      </c>
      <c r="I34" s="14">
        <f t="shared" si="1"/>
        <v>17045.8</v>
      </c>
      <c r="J34" s="8" t="s">
        <v>25</v>
      </c>
      <c r="K34" s="8"/>
      <c r="M34" s="339"/>
      <c r="N34" s="315"/>
    </row>
    <row r="35" spans="1:14" s="9" customFormat="1" ht="11.25" customHeight="1" x14ac:dyDescent="0.2">
      <c r="A35" s="10">
        <v>23200000</v>
      </c>
      <c r="B35" s="10" t="s">
        <v>38</v>
      </c>
      <c r="C35" s="11">
        <v>404721.24329749867</v>
      </c>
      <c r="D35" s="11">
        <v>161.595</v>
      </c>
      <c r="E35" s="11">
        <v>144.87899999999999</v>
      </c>
      <c r="F35" s="13">
        <f>SUMIF('OD 07-24'!A:A,A35,'OD 07-24'!D:D)</f>
        <v>0</v>
      </c>
      <c r="G35" s="13">
        <f>SUMIF('OD 07-24'!A:A,A35,'OD 07-24'!E:E)</f>
        <v>0</v>
      </c>
      <c r="H35" s="14">
        <f t="shared" si="0"/>
        <v>16.716000000000008</v>
      </c>
      <c r="I35" s="14">
        <f t="shared" si="1"/>
        <v>404737.95929749869</v>
      </c>
      <c r="J35" s="8" t="s">
        <v>25</v>
      </c>
      <c r="K35" s="8"/>
      <c r="M35" s="339"/>
      <c r="N35" s="315"/>
    </row>
    <row r="36" spans="1:14" s="9" customFormat="1" ht="11.25" customHeight="1" x14ac:dyDescent="0.2">
      <c r="A36" s="10">
        <v>23220000</v>
      </c>
      <c r="B36" s="10" t="s">
        <v>39</v>
      </c>
      <c r="C36" s="11">
        <v>0</v>
      </c>
      <c r="D36" s="11">
        <v>1000</v>
      </c>
      <c r="E36" s="11">
        <v>0</v>
      </c>
      <c r="F36" s="13">
        <f>SUMIF('OD 07-24'!A:A,A36,'OD 07-24'!D:D)</f>
        <v>0</v>
      </c>
      <c r="G36" s="13">
        <f>SUMIF('OD 07-24'!A:A,A36,'OD 07-24'!E:E)</f>
        <v>0</v>
      </c>
      <c r="H36" s="14">
        <f t="shared" si="0"/>
        <v>1000</v>
      </c>
      <c r="I36" s="14">
        <f t="shared" si="1"/>
        <v>1000</v>
      </c>
      <c r="J36" s="8" t="s">
        <v>25</v>
      </c>
      <c r="K36" s="8"/>
      <c r="M36" s="339"/>
      <c r="N36" s="315"/>
    </row>
    <row r="37" spans="1:14" s="9" customFormat="1" ht="11.25" customHeight="1" x14ac:dyDescent="0.2">
      <c r="A37" s="10">
        <v>23225000</v>
      </c>
      <c r="B37" s="10" t="s">
        <v>281</v>
      </c>
      <c r="C37" s="11">
        <v>0</v>
      </c>
      <c r="D37" s="11">
        <v>0</v>
      </c>
      <c r="E37" s="11">
        <v>0</v>
      </c>
      <c r="F37" s="13">
        <f>SUMIF('OD 07-24'!A:A,A37,'OD 07-24'!D:D)</f>
        <v>0</v>
      </c>
      <c r="G37" s="13">
        <f>SUMIF('OD 07-24'!A:A,A37,'OD 07-24'!E:E)</f>
        <v>0</v>
      </c>
      <c r="H37" s="14">
        <f t="shared" si="0"/>
        <v>0</v>
      </c>
      <c r="I37" s="14">
        <f t="shared" si="1"/>
        <v>0</v>
      </c>
      <c r="J37" s="8"/>
      <c r="K37" s="8"/>
      <c r="M37" s="339"/>
      <c r="N37" s="315"/>
    </row>
    <row r="38" spans="1:14" s="9" customFormat="1" ht="11.25" customHeight="1" x14ac:dyDescent="0.2">
      <c r="A38" s="10">
        <v>23231000</v>
      </c>
      <c r="B38" s="10" t="s">
        <v>282</v>
      </c>
      <c r="C38" s="11">
        <v>0</v>
      </c>
      <c r="D38" s="11">
        <v>0</v>
      </c>
      <c r="E38" s="11">
        <v>0</v>
      </c>
      <c r="F38" s="13">
        <f>SUMIF('OD 07-24'!A:A,A38,'OD 07-24'!D:D)</f>
        <v>0</v>
      </c>
      <c r="G38" s="13">
        <f>SUMIF('OD 07-24'!A:A,A38,'OD 07-24'!E:E)</f>
        <v>0</v>
      </c>
      <c r="H38" s="14">
        <f t="shared" si="0"/>
        <v>0</v>
      </c>
      <c r="I38" s="14">
        <f t="shared" si="1"/>
        <v>0</v>
      </c>
      <c r="J38" s="8"/>
      <c r="K38" s="8"/>
      <c r="M38" s="339"/>
      <c r="N38" s="315"/>
    </row>
    <row r="39" spans="1:14" s="9" customFormat="1" ht="11.25" customHeight="1" x14ac:dyDescent="0.2">
      <c r="A39" s="10">
        <v>23237000</v>
      </c>
      <c r="B39" s="10" t="s">
        <v>283</v>
      </c>
      <c r="C39" s="11">
        <v>0</v>
      </c>
      <c r="D39" s="11">
        <v>0</v>
      </c>
      <c r="E39" s="11">
        <v>0</v>
      </c>
      <c r="F39" s="13">
        <f>SUMIF('OD 07-24'!A:A,A39,'OD 07-24'!D:D)</f>
        <v>0</v>
      </c>
      <c r="G39" s="13">
        <f>SUMIF('OD 07-24'!A:A,A39,'OD 07-24'!E:E)</f>
        <v>0</v>
      </c>
      <c r="H39" s="14">
        <f t="shared" si="0"/>
        <v>0</v>
      </c>
      <c r="I39" s="14">
        <f t="shared" si="1"/>
        <v>0</v>
      </c>
      <c r="J39" s="8"/>
      <c r="K39" s="8"/>
      <c r="M39" s="339"/>
      <c r="N39" s="315"/>
    </row>
    <row r="40" spans="1:14" s="9" customFormat="1" ht="11.25" customHeight="1" x14ac:dyDescent="0.2">
      <c r="A40" s="10">
        <v>23250000</v>
      </c>
      <c r="B40" s="10" t="s">
        <v>284</v>
      </c>
      <c r="C40" s="11">
        <v>0</v>
      </c>
      <c r="D40" s="11">
        <v>0</v>
      </c>
      <c r="E40" s="11">
        <v>0</v>
      </c>
      <c r="F40" s="13">
        <f>SUMIF('OD 07-24'!A:A,A40,'OD 07-24'!D:D)</f>
        <v>0</v>
      </c>
      <c r="G40" s="13">
        <f>SUMIF('OD 07-24'!A:A,A40,'OD 07-24'!E:E)</f>
        <v>0</v>
      </c>
      <c r="H40" s="14">
        <f t="shared" si="0"/>
        <v>0</v>
      </c>
      <c r="I40" s="14">
        <f t="shared" si="1"/>
        <v>0</v>
      </c>
      <c r="J40" s="8"/>
      <c r="K40" s="8"/>
      <c r="M40" s="339"/>
      <c r="N40" s="315"/>
    </row>
    <row r="41" spans="1:14" s="9" customFormat="1" ht="11.25" customHeight="1" x14ac:dyDescent="0.2">
      <c r="A41" s="10">
        <v>23800000</v>
      </c>
      <c r="B41" s="10" t="s">
        <v>285</v>
      </c>
      <c r="C41" s="11">
        <v>0</v>
      </c>
      <c r="D41" s="11">
        <v>0</v>
      </c>
      <c r="E41" s="11">
        <v>0</v>
      </c>
      <c r="F41" s="13">
        <f>SUMIF('OD 07-24'!A:A,A41,'OD 07-24'!D:D)</f>
        <v>0</v>
      </c>
      <c r="G41" s="13">
        <f>SUMIF('OD 07-24'!A:A,A41,'OD 07-24'!E:E)</f>
        <v>0</v>
      </c>
      <c r="H41" s="14">
        <f t="shared" si="0"/>
        <v>0</v>
      </c>
      <c r="I41" s="14">
        <f t="shared" si="1"/>
        <v>0</v>
      </c>
      <c r="J41" s="8"/>
      <c r="K41" s="8"/>
      <c r="M41" s="339"/>
      <c r="N41" s="315"/>
    </row>
    <row r="42" spans="1:14" s="9" customFormat="1" ht="11.25" customHeight="1" x14ac:dyDescent="0.2">
      <c r="A42" s="10">
        <v>24000000</v>
      </c>
      <c r="B42" s="10" t="s">
        <v>40</v>
      </c>
      <c r="C42" s="11">
        <v>770033.75899999996</v>
      </c>
      <c r="D42" s="11">
        <v>675550.6</v>
      </c>
      <c r="E42" s="11">
        <v>267949.43700000003</v>
      </c>
      <c r="F42" s="13">
        <f>SUMIF('OD 07-24'!A:A,A42,'OD 07-24'!D:D)</f>
        <v>0</v>
      </c>
      <c r="G42" s="13">
        <f>SUMIF('OD 07-24'!A:A,A42,'OD 07-24'!E:E)</f>
        <v>0</v>
      </c>
      <c r="H42" s="14">
        <f t="shared" si="0"/>
        <v>407601.16299999994</v>
      </c>
      <c r="I42" s="14">
        <f t="shared" si="1"/>
        <v>1177634.9219999998</v>
      </c>
      <c r="J42" s="8" t="s">
        <v>25</v>
      </c>
      <c r="K42" s="8"/>
      <c r="M42" s="339"/>
      <c r="N42" s="315"/>
    </row>
    <row r="43" spans="1:14" s="9" customFormat="1" ht="11.25" customHeight="1" x14ac:dyDescent="0.2">
      <c r="A43" s="10">
        <v>25100000</v>
      </c>
      <c r="B43" s="10" t="s">
        <v>286</v>
      </c>
      <c r="C43" s="11">
        <v>0</v>
      </c>
      <c r="D43" s="11">
        <v>0</v>
      </c>
      <c r="E43" s="11">
        <v>0</v>
      </c>
      <c r="F43" s="13">
        <f>SUMIF('OD 07-24'!A:A,A43,'OD 07-24'!D:D)</f>
        <v>0</v>
      </c>
      <c r="G43" s="13">
        <f>SUMIF('OD 07-24'!A:A,A43,'OD 07-24'!E:E)</f>
        <v>0</v>
      </c>
      <c r="H43" s="14">
        <f t="shared" si="0"/>
        <v>0</v>
      </c>
      <c r="I43" s="14">
        <f t="shared" si="1"/>
        <v>0</v>
      </c>
      <c r="J43" s="8"/>
      <c r="K43" s="8"/>
      <c r="M43" s="339"/>
      <c r="N43" s="315"/>
    </row>
    <row r="44" spans="1:14" s="9" customFormat="1" ht="11.25" customHeight="1" x14ac:dyDescent="0.2">
      <c r="A44" s="10">
        <v>25110000</v>
      </c>
      <c r="B44" s="10" t="s">
        <v>41</v>
      </c>
      <c r="C44" s="11">
        <v>266820</v>
      </c>
      <c r="D44" s="11">
        <v>0</v>
      </c>
      <c r="E44" s="11">
        <v>0</v>
      </c>
      <c r="F44" s="13">
        <f>SUMIF('OD 07-24'!A:A,A44,'OD 07-24'!D:D)</f>
        <v>0</v>
      </c>
      <c r="G44" s="13">
        <f>SUMIF('OD 07-24'!A:A,A44,'OD 07-24'!E:E)</f>
        <v>0</v>
      </c>
      <c r="H44" s="14">
        <f t="shared" si="0"/>
        <v>0</v>
      </c>
      <c r="I44" s="14">
        <f t="shared" si="1"/>
        <v>266820</v>
      </c>
      <c r="J44" s="8" t="s">
        <v>42</v>
      </c>
      <c r="K44" s="8"/>
      <c r="M44" s="339"/>
      <c r="N44" s="315"/>
    </row>
    <row r="45" spans="1:14" s="9" customFormat="1" ht="11.25" customHeight="1" x14ac:dyDescent="0.2">
      <c r="A45" s="10">
        <v>25120000</v>
      </c>
      <c r="B45" s="10" t="s">
        <v>287</v>
      </c>
      <c r="C45" s="11">
        <v>512700</v>
      </c>
      <c r="D45" s="11">
        <v>0</v>
      </c>
      <c r="E45" s="11">
        <v>0</v>
      </c>
      <c r="F45" s="13">
        <f>SUMIF('OD 07-24'!A:A,A45,'OD 07-24'!D:D)</f>
        <v>0</v>
      </c>
      <c r="G45" s="13">
        <f>SUMIF('OD 07-24'!A:A,A45,'OD 07-24'!E:E)</f>
        <v>0</v>
      </c>
      <c r="H45" s="14">
        <f t="shared" si="0"/>
        <v>0</v>
      </c>
      <c r="I45" s="14">
        <f t="shared" si="1"/>
        <v>512700</v>
      </c>
      <c r="J45" s="8" t="s">
        <v>42</v>
      </c>
      <c r="K45" s="8"/>
      <c r="M45" s="339"/>
      <c r="N45" s="315"/>
    </row>
    <row r="46" spans="1:14" s="9" customFormat="1" ht="11.25" customHeight="1" x14ac:dyDescent="0.2">
      <c r="A46" s="10">
        <v>25130000</v>
      </c>
      <c r="B46" s="10" t="s">
        <v>43</v>
      </c>
      <c r="C46" s="11">
        <v>677000</v>
      </c>
      <c r="D46" s="11">
        <v>0</v>
      </c>
      <c r="E46" s="11">
        <v>0</v>
      </c>
      <c r="F46" s="13">
        <f>SUMIF('OD 07-24'!A:A,A46,'OD 07-24'!D:D)</f>
        <v>0</v>
      </c>
      <c r="G46" s="13">
        <f>SUMIF('OD 07-24'!A:A,A46,'OD 07-24'!E:E)</f>
        <v>0</v>
      </c>
      <c r="H46" s="14">
        <f t="shared" si="0"/>
        <v>0</v>
      </c>
      <c r="I46" s="14">
        <f t="shared" si="1"/>
        <v>677000</v>
      </c>
      <c r="J46" s="8" t="s">
        <v>42</v>
      </c>
      <c r="K46" s="8"/>
      <c r="M46" s="339"/>
      <c r="N46" s="315"/>
    </row>
    <row r="47" spans="1:14" s="9" customFormat="1" ht="11.25" customHeight="1" x14ac:dyDescent="0.2">
      <c r="A47" s="10">
        <v>25140000</v>
      </c>
      <c r="B47" s="10" t="s">
        <v>44</v>
      </c>
      <c r="C47" s="11">
        <v>3150000</v>
      </c>
      <c r="D47" s="11">
        <v>0</v>
      </c>
      <c r="E47" s="11">
        <v>0</v>
      </c>
      <c r="F47" s="13">
        <f>SUMIF('OD 07-24'!A:A,A47,'OD 07-24'!D:D)</f>
        <v>0</v>
      </c>
      <c r="G47" s="13">
        <f>SUMIF('OD 07-24'!A:A,A47,'OD 07-24'!E:E)</f>
        <v>0</v>
      </c>
      <c r="H47" s="14">
        <f t="shared" si="0"/>
        <v>0</v>
      </c>
      <c r="I47" s="14">
        <f t="shared" si="1"/>
        <v>3150000</v>
      </c>
      <c r="J47" s="8" t="s">
        <v>42</v>
      </c>
      <c r="K47" s="8"/>
      <c r="M47" s="339"/>
      <c r="N47" s="315"/>
    </row>
    <row r="48" spans="1:14" s="9" customFormat="1" ht="11.25" customHeight="1" x14ac:dyDescent="0.2">
      <c r="A48" s="10">
        <v>25150000</v>
      </c>
      <c r="B48" s="10" t="s">
        <v>387</v>
      </c>
      <c r="C48" s="11">
        <v>319680</v>
      </c>
      <c r="D48" s="11">
        <v>0</v>
      </c>
      <c r="E48" s="11">
        <v>0</v>
      </c>
      <c r="F48" s="13">
        <f>SUMIF('OD 07-24'!A:A,A48,'OD 07-24'!D:D)</f>
        <v>0</v>
      </c>
      <c r="G48" s="13">
        <f>SUMIF('OD 07-24'!A:A,A48,'OD 07-24'!E:E)</f>
        <v>0</v>
      </c>
      <c r="H48" s="14">
        <f t="shared" si="0"/>
        <v>0</v>
      </c>
      <c r="I48" s="14">
        <f t="shared" si="1"/>
        <v>319680</v>
      </c>
      <c r="J48" s="8" t="s">
        <v>42</v>
      </c>
      <c r="K48" s="8"/>
      <c r="M48" s="339"/>
      <c r="N48" s="315"/>
    </row>
    <row r="49" spans="1:14" s="9" customFormat="1" ht="11.25" customHeight="1" x14ac:dyDescent="0.2">
      <c r="A49" s="10">
        <v>25700000</v>
      </c>
      <c r="B49" s="10" t="s">
        <v>288</v>
      </c>
      <c r="C49" s="11">
        <v>0</v>
      </c>
      <c r="D49" s="11">
        <v>0</v>
      </c>
      <c r="E49" s="11">
        <v>0</v>
      </c>
      <c r="F49" s="13">
        <f>SUMIF('OD 07-24'!A:A,A49,'OD 07-24'!D:D)</f>
        <v>0</v>
      </c>
      <c r="G49" s="13">
        <f>SUMIF('OD 07-24'!A:A,A49,'OD 07-24'!E:E)</f>
        <v>0</v>
      </c>
      <c r="H49" s="14">
        <f t="shared" si="0"/>
        <v>0</v>
      </c>
      <c r="I49" s="14">
        <f t="shared" si="1"/>
        <v>0</v>
      </c>
      <c r="J49" s="8" t="s">
        <v>42</v>
      </c>
      <c r="K49" s="8"/>
      <c r="M49" s="339"/>
      <c r="N49" s="315"/>
    </row>
    <row r="50" spans="1:14" s="9" customFormat="1" ht="11.25" customHeight="1" x14ac:dyDescent="0.2">
      <c r="A50" s="10">
        <v>25810000</v>
      </c>
      <c r="B50" s="10" t="s">
        <v>289</v>
      </c>
      <c r="C50" s="11">
        <v>0</v>
      </c>
      <c r="D50" s="11">
        <v>0</v>
      </c>
      <c r="E50" s="11">
        <v>0</v>
      </c>
      <c r="F50" s="13">
        <f>SUMIF('OD 07-24'!A:A,A50,'OD 07-24'!D:D)</f>
        <v>0</v>
      </c>
      <c r="G50" s="13">
        <f>SUMIF('OD 07-24'!A:A,A50,'OD 07-24'!E:E)</f>
        <v>0</v>
      </c>
      <c r="H50" s="14">
        <f t="shared" si="0"/>
        <v>0</v>
      </c>
      <c r="I50" s="14">
        <f t="shared" si="1"/>
        <v>0</v>
      </c>
      <c r="J50" s="8"/>
      <c r="K50" s="8"/>
      <c r="M50" s="339"/>
      <c r="N50" s="315"/>
    </row>
    <row r="51" spans="1:14" s="9" customFormat="1" ht="11.25" customHeight="1" x14ac:dyDescent="0.2">
      <c r="A51" s="10">
        <v>26400000</v>
      </c>
      <c r="B51" s="10" t="s">
        <v>290</v>
      </c>
      <c r="C51" s="11">
        <v>0</v>
      </c>
      <c r="D51" s="11">
        <v>100</v>
      </c>
      <c r="E51" s="11">
        <v>100</v>
      </c>
      <c r="F51" s="13">
        <f>SUMIF('OD 07-24'!A:A,A51,'OD 07-24'!D:D)</f>
        <v>0</v>
      </c>
      <c r="G51" s="13">
        <f>SUMIF('OD 07-24'!A:A,A51,'OD 07-24'!E:E)</f>
        <v>0</v>
      </c>
      <c r="H51" s="14">
        <f t="shared" si="0"/>
        <v>0</v>
      </c>
      <c r="I51" s="14">
        <f t="shared" si="1"/>
        <v>0</v>
      </c>
      <c r="J51" s="8"/>
      <c r="K51" s="8"/>
      <c r="M51" s="339"/>
      <c r="N51" s="315"/>
    </row>
    <row r="52" spans="1:14" s="9" customFormat="1" ht="11.25" customHeight="1" x14ac:dyDescent="0.2">
      <c r="A52" s="10">
        <v>26430000</v>
      </c>
      <c r="B52" s="10" t="s">
        <v>291</v>
      </c>
      <c r="C52" s="11">
        <v>0</v>
      </c>
      <c r="D52" s="11">
        <v>141500</v>
      </c>
      <c r="E52" s="11">
        <v>141500</v>
      </c>
      <c r="F52" s="13">
        <f>SUMIF('OD 07-24'!A:A,A52,'OD 07-24'!D:D)</f>
        <v>0</v>
      </c>
      <c r="G52" s="13">
        <f>SUMIF('OD 07-24'!A:A,A52,'OD 07-24'!E:E)</f>
        <v>0</v>
      </c>
      <c r="H52" s="14">
        <f t="shared" si="0"/>
        <v>0</v>
      </c>
      <c r="I52" s="14">
        <f t="shared" si="1"/>
        <v>0</v>
      </c>
      <c r="J52" s="8"/>
      <c r="K52" s="8"/>
      <c r="M52" s="339"/>
      <c r="N52" s="315"/>
    </row>
    <row r="53" spans="1:14" s="9" customFormat="1" ht="11.25" customHeight="1" x14ac:dyDescent="0.2">
      <c r="A53" s="10">
        <v>26500000</v>
      </c>
      <c r="B53" s="10" t="s">
        <v>45</v>
      </c>
      <c r="C53" s="11">
        <v>0</v>
      </c>
      <c r="D53" s="11">
        <v>0</v>
      </c>
      <c r="E53" s="11">
        <v>0</v>
      </c>
      <c r="F53" s="13">
        <f>SUMIF('OD 07-24'!A:A,A53,'OD 07-24'!D:D)</f>
        <v>0</v>
      </c>
      <c r="G53" s="13">
        <f>SUMIF('OD 07-24'!A:A,A53,'OD 07-24'!E:E)</f>
        <v>0</v>
      </c>
      <c r="H53" s="14">
        <f t="shared" si="0"/>
        <v>0</v>
      </c>
      <c r="I53" s="14">
        <f t="shared" si="1"/>
        <v>0</v>
      </c>
      <c r="J53" s="8" t="s">
        <v>46</v>
      </c>
      <c r="K53" s="8"/>
      <c r="M53" s="339"/>
      <c r="N53" s="315"/>
    </row>
    <row r="54" spans="1:14" s="9" customFormat="1" ht="11.25" customHeight="1" x14ac:dyDescent="0.2">
      <c r="A54" s="10">
        <v>26510000</v>
      </c>
      <c r="B54" s="10" t="s">
        <v>292</v>
      </c>
      <c r="C54" s="11">
        <v>0</v>
      </c>
      <c r="D54" s="11">
        <v>0</v>
      </c>
      <c r="E54" s="11">
        <v>0</v>
      </c>
      <c r="F54" s="13">
        <f>SUMIF('OD 07-24'!A:A,A54,'OD 07-24'!D:D)</f>
        <v>0</v>
      </c>
      <c r="G54" s="13">
        <f>SUMIF('OD 07-24'!A:A,A54,'OD 07-24'!E:E)</f>
        <v>0</v>
      </c>
      <c r="H54" s="14">
        <f t="shared" si="0"/>
        <v>0</v>
      </c>
      <c r="I54" s="14">
        <f t="shared" si="1"/>
        <v>0</v>
      </c>
      <c r="J54" s="8"/>
      <c r="K54" s="8"/>
      <c r="M54" s="339"/>
      <c r="N54" s="315"/>
    </row>
    <row r="55" spans="1:14" s="9" customFormat="1" ht="11.25" customHeight="1" x14ac:dyDescent="0.2">
      <c r="A55" s="10">
        <v>26550000</v>
      </c>
      <c r="B55" s="10" t="s">
        <v>293</v>
      </c>
      <c r="C55" s="11">
        <v>0</v>
      </c>
      <c r="D55" s="11">
        <v>0</v>
      </c>
      <c r="E55" s="11">
        <v>0</v>
      </c>
      <c r="F55" s="13">
        <f>SUMIF('OD 07-24'!A:A,A55,'OD 07-24'!D:D)</f>
        <v>0</v>
      </c>
      <c r="G55" s="13">
        <f>SUMIF('OD 07-24'!A:A,A55,'OD 07-24'!E:E)</f>
        <v>0</v>
      </c>
      <c r="H55" s="14">
        <f t="shared" si="0"/>
        <v>0</v>
      </c>
      <c r="I55" s="14">
        <f t="shared" si="1"/>
        <v>0</v>
      </c>
      <c r="J55" s="8"/>
      <c r="K55" s="8"/>
      <c r="M55" s="339"/>
      <c r="N55" s="315"/>
    </row>
    <row r="56" spans="1:14" s="9" customFormat="1" ht="11.25" customHeight="1" x14ac:dyDescent="0.2">
      <c r="A56" s="10">
        <v>26580000</v>
      </c>
      <c r="B56" s="10" t="s">
        <v>23</v>
      </c>
      <c r="C56" s="11">
        <v>5771.2</v>
      </c>
      <c r="D56" s="11">
        <v>0</v>
      </c>
      <c r="E56" s="11">
        <v>0</v>
      </c>
      <c r="F56" s="13">
        <f>SUMIF('OD 07-24'!A:A,A56,'OD 07-24'!D:D)</f>
        <v>0</v>
      </c>
      <c r="G56" s="13">
        <f>SUMIF('OD 07-24'!A:A,A56,'OD 07-24'!E:E)</f>
        <v>0</v>
      </c>
      <c r="H56" s="14">
        <f t="shared" si="0"/>
        <v>0</v>
      </c>
      <c r="I56" s="14">
        <f t="shared" si="1"/>
        <v>5771.2</v>
      </c>
      <c r="J56" s="8" t="s">
        <v>46</v>
      </c>
      <c r="K56" s="8"/>
      <c r="M56" s="339"/>
      <c r="N56" s="315"/>
    </row>
    <row r="57" spans="1:14" s="9" customFormat="1" ht="11.25" customHeight="1" x14ac:dyDescent="0.2">
      <c r="A57" s="10">
        <v>27100000</v>
      </c>
      <c r="B57" s="10" t="s">
        <v>294</v>
      </c>
      <c r="C57" s="11">
        <v>0</v>
      </c>
      <c r="D57" s="11">
        <v>0</v>
      </c>
      <c r="E57" s="11">
        <v>0</v>
      </c>
      <c r="F57" s="13">
        <f>SUMIF('OD 07-24'!A:A,A57,'OD 07-24'!D:D)</f>
        <v>0</v>
      </c>
      <c r="G57" s="13">
        <f>SUMIF('OD 07-24'!A:A,A57,'OD 07-24'!E:E)</f>
        <v>0</v>
      </c>
      <c r="H57" s="14">
        <f t="shared" si="0"/>
        <v>0</v>
      </c>
      <c r="I57" s="14">
        <f t="shared" si="1"/>
        <v>0</v>
      </c>
      <c r="J57" s="8"/>
      <c r="K57" s="8"/>
      <c r="M57" s="339"/>
      <c r="N57" s="315"/>
    </row>
    <row r="58" spans="1:14" s="9" customFormat="1" ht="11.25" customHeight="1" x14ac:dyDescent="0.2">
      <c r="A58" s="10">
        <v>28100000</v>
      </c>
      <c r="B58" s="10" t="s">
        <v>295</v>
      </c>
      <c r="C58" s="11">
        <v>0</v>
      </c>
      <c r="D58" s="11">
        <v>0</v>
      </c>
      <c r="E58" s="11">
        <v>0</v>
      </c>
      <c r="F58" s="13">
        <f>SUMIF('OD 07-24'!A:A,A58,'OD 07-24'!D:D)</f>
        <v>0</v>
      </c>
      <c r="G58" s="13">
        <f>SUMIF('OD 07-24'!A:A,A58,'OD 07-24'!E:E)</f>
        <v>0</v>
      </c>
      <c r="H58" s="14">
        <f t="shared" si="0"/>
        <v>0</v>
      </c>
      <c r="I58" s="14">
        <f t="shared" si="1"/>
        <v>0</v>
      </c>
      <c r="J58" s="8"/>
      <c r="K58" s="8"/>
      <c r="M58" s="339"/>
      <c r="N58" s="315"/>
    </row>
    <row r="59" spans="1:14" s="9" customFormat="1" ht="11.25" customHeight="1" x14ac:dyDescent="0.2">
      <c r="A59" s="10">
        <v>28110000</v>
      </c>
      <c r="B59" s="10" t="s">
        <v>296</v>
      </c>
      <c r="C59" s="11">
        <v>0</v>
      </c>
      <c r="D59" s="11">
        <v>0</v>
      </c>
      <c r="E59" s="11">
        <v>0</v>
      </c>
      <c r="F59" s="13">
        <f>SUMIF('OD 07-24'!A:A,A59,'OD 07-24'!D:D)</f>
        <v>0</v>
      </c>
      <c r="G59" s="13">
        <f>SUMIF('OD 07-24'!A:A,A59,'OD 07-24'!E:E)</f>
        <v>0</v>
      </c>
      <c r="H59" s="14">
        <f t="shared" si="0"/>
        <v>0</v>
      </c>
      <c r="I59" s="14">
        <f t="shared" si="1"/>
        <v>0</v>
      </c>
      <c r="J59" s="8"/>
      <c r="K59" s="8"/>
      <c r="M59" s="339"/>
      <c r="N59" s="315"/>
    </row>
    <row r="60" spans="1:14" s="9" customFormat="1" ht="11.25" customHeight="1" x14ac:dyDescent="0.2">
      <c r="A60" s="10">
        <v>28130000</v>
      </c>
      <c r="B60" s="10" t="s">
        <v>8979</v>
      </c>
      <c r="C60" s="11">
        <v>-75004.895999999993</v>
      </c>
      <c r="D60" s="11">
        <v>0</v>
      </c>
      <c r="E60" s="11">
        <v>0</v>
      </c>
      <c r="F60" s="13">
        <f>SUMIF('OD 07-24'!A:A,A60,'OD 07-24'!D:D)</f>
        <v>18481.440999999999</v>
      </c>
      <c r="G60" s="13">
        <f>SUMIF('OD 07-24'!A:A,A60,'OD 07-24'!E:E)</f>
        <v>26501.623</v>
      </c>
      <c r="H60" s="14">
        <f t="shared" si="0"/>
        <v>-8020.1820000000007</v>
      </c>
      <c r="I60" s="14">
        <f t="shared" si="1"/>
        <v>-83025.077999999994</v>
      </c>
      <c r="J60" s="8" t="s">
        <v>47</v>
      </c>
      <c r="K60" s="8"/>
      <c r="M60" s="339"/>
      <c r="N60" s="315"/>
    </row>
    <row r="61" spans="1:14" s="9" customFormat="1" ht="11.25" customHeight="1" x14ac:dyDescent="0.2">
      <c r="A61" s="10">
        <v>28216000</v>
      </c>
      <c r="B61" s="10" t="s">
        <v>48</v>
      </c>
      <c r="C61" s="11">
        <v>-148352.71299999999</v>
      </c>
      <c r="D61" s="11">
        <v>0</v>
      </c>
      <c r="E61" s="11">
        <v>0</v>
      </c>
      <c r="F61" s="13">
        <f>SUMIF('OD 07-24'!A:A,A61,'OD 07-24'!D:D)</f>
        <v>4877.4210000000003</v>
      </c>
      <c r="G61" s="13">
        <f>SUMIF('OD 07-24'!A:A,A61,'OD 07-24'!E:E)</f>
        <v>6516.1109999999999</v>
      </c>
      <c r="H61" s="14">
        <f t="shared" si="0"/>
        <v>-1638.6899999999996</v>
      </c>
      <c r="I61" s="14">
        <f t="shared" si="1"/>
        <v>-149991.40299999999</v>
      </c>
      <c r="J61" s="8" t="s">
        <v>47</v>
      </c>
      <c r="K61" s="8"/>
      <c r="M61" s="339"/>
      <c r="N61" s="315"/>
    </row>
    <row r="62" spans="1:14" s="9" customFormat="1" ht="11.25" customHeight="1" x14ac:dyDescent="0.2">
      <c r="A62" s="10">
        <v>28220000</v>
      </c>
      <c r="B62" s="10" t="s">
        <v>49</v>
      </c>
      <c r="C62" s="11">
        <v>-3729152.5419999999</v>
      </c>
      <c r="D62" s="11">
        <v>0</v>
      </c>
      <c r="E62" s="11">
        <v>0</v>
      </c>
      <c r="F62" s="13">
        <f>SUMIF('OD 07-24'!A:A,A62,'OD 07-24'!D:D)</f>
        <v>795348.98100000003</v>
      </c>
      <c r="G62" s="13">
        <f>SUMIF('OD 07-24'!A:A,A62,'OD 07-24'!E:E)</f>
        <v>1062566.071</v>
      </c>
      <c r="H62" s="14">
        <f t="shared" si="0"/>
        <v>-267217.08999999997</v>
      </c>
      <c r="I62" s="14">
        <f t="shared" si="1"/>
        <v>-3996369.6319999998</v>
      </c>
      <c r="J62" s="8" t="s">
        <v>47</v>
      </c>
      <c r="K62" s="8"/>
      <c r="M62" s="339"/>
      <c r="N62" s="315"/>
    </row>
    <row r="63" spans="1:14" s="9" customFormat="1" ht="11.25" customHeight="1" x14ac:dyDescent="0.2">
      <c r="A63" s="10">
        <v>28225000</v>
      </c>
      <c r="B63" s="10" t="s">
        <v>50</v>
      </c>
      <c r="C63" s="11">
        <v>-271826.14399999997</v>
      </c>
      <c r="D63" s="11">
        <v>0</v>
      </c>
      <c r="E63" s="11">
        <v>0</v>
      </c>
      <c r="F63" s="13">
        <f>SUMIF('OD 07-24'!A:A,A63,'OD 07-24'!D:D)</f>
        <v>144579.42600000001</v>
      </c>
      <c r="G63" s="13">
        <f>SUMIF('OD 07-24'!A:A,A63,'OD 07-24'!E:E)</f>
        <v>188752.69099999999</v>
      </c>
      <c r="H63" s="14">
        <f t="shared" si="0"/>
        <v>-44173.264999999985</v>
      </c>
      <c r="I63" s="14">
        <f t="shared" si="1"/>
        <v>-315999.40899999999</v>
      </c>
      <c r="J63" s="8" t="s">
        <v>47</v>
      </c>
      <c r="K63" s="8"/>
      <c r="M63" s="339"/>
      <c r="N63" s="315"/>
    </row>
    <row r="64" spans="1:14" s="9" customFormat="1" ht="11.25" customHeight="1" x14ac:dyDescent="0.2">
      <c r="A64" s="10">
        <v>28230000</v>
      </c>
      <c r="B64" s="10" t="s">
        <v>263</v>
      </c>
      <c r="C64" s="11">
        <v>-43130.395000000004</v>
      </c>
      <c r="D64" s="11">
        <v>0</v>
      </c>
      <c r="E64" s="11">
        <v>0</v>
      </c>
      <c r="F64" s="13">
        <f>SUMIF('OD 07-24'!A:A,A64,'OD 07-24'!D:D)</f>
        <v>45038.03</v>
      </c>
      <c r="G64" s="13">
        <f>SUMIF('OD 07-24'!A:A,A64,'OD 07-24'!E:E)</f>
        <v>61395.737999999998</v>
      </c>
      <c r="H64" s="14">
        <f t="shared" si="0"/>
        <v>-16357.707999999999</v>
      </c>
      <c r="I64" s="14">
        <f t="shared" si="1"/>
        <v>-59488.103000000003</v>
      </c>
      <c r="J64" s="8" t="s">
        <v>47</v>
      </c>
      <c r="K64" s="8"/>
      <c r="M64" s="339"/>
      <c r="N64" s="315"/>
    </row>
    <row r="65" spans="1:14" s="9" customFormat="1" ht="11.25" customHeight="1" x14ac:dyDescent="0.2">
      <c r="A65" s="10">
        <v>28231000</v>
      </c>
      <c r="B65" s="10" t="s">
        <v>402</v>
      </c>
      <c r="C65" s="11">
        <v>0</v>
      </c>
      <c r="D65" s="11">
        <v>0</v>
      </c>
      <c r="E65" s="11">
        <v>0</v>
      </c>
      <c r="F65" s="13">
        <f>SUMIF('OD 07-24'!A:A,A65,'OD 07-24'!D:D)</f>
        <v>1546.68</v>
      </c>
      <c r="G65" s="13">
        <f>SUMIF('OD 07-24'!A:A,A65,'OD 07-24'!E:E)</f>
        <v>2344.6480000000001</v>
      </c>
      <c r="H65" s="14">
        <f t="shared" si="0"/>
        <v>-797.96800000000007</v>
      </c>
      <c r="I65" s="14">
        <f t="shared" si="1"/>
        <v>-797.96800000000007</v>
      </c>
      <c r="J65" s="8" t="s">
        <v>47</v>
      </c>
      <c r="K65" s="8"/>
      <c r="M65" s="339"/>
      <c r="N65" s="315"/>
    </row>
    <row r="66" spans="1:14" s="9" customFormat="1" ht="11.25" customHeight="1" x14ac:dyDescent="0.2">
      <c r="A66" s="10">
        <v>28234000</v>
      </c>
      <c r="B66" s="10" t="s">
        <v>51</v>
      </c>
      <c r="C66" s="11">
        <v>-15867226.817000002</v>
      </c>
      <c r="D66" s="11">
        <v>308083.82999999996</v>
      </c>
      <c r="E66" s="11">
        <v>0</v>
      </c>
      <c r="F66" s="13">
        <f>SUMIF('OD 07-24'!A:A,A66,'OD 07-24'!D:D)</f>
        <v>2834294.34</v>
      </c>
      <c r="G66" s="13">
        <f>SUMIF('OD 07-24'!A:A,A66,'OD 07-24'!E:E)</f>
        <v>3783660.0520000001</v>
      </c>
      <c r="H66" s="14">
        <f t="shared" si="0"/>
        <v>-641281.88200000022</v>
      </c>
      <c r="I66" s="14">
        <f t="shared" si="1"/>
        <v>-16508508.699000001</v>
      </c>
      <c r="J66" s="8" t="s">
        <v>47</v>
      </c>
      <c r="K66" s="8"/>
      <c r="M66" s="339"/>
      <c r="N66" s="315"/>
    </row>
    <row r="67" spans="1:14" s="9" customFormat="1" ht="11.25" customHeight="1" x14ac:dyDescent="0.2">
      <c r="A67" s="10">
        <v>28235000</v>
      </c>
      <c r="B67" s="10" t="s">
        <v>52</v>
      </c>
      <c r="C67" s="11">
        <v>-355370.76600000006</v>
      </c>
      <c r="D67" s="11">
        <v>0</v>
      </c>
      <c r="E67" s="11">
        <v>0</v>
      </c>
      <c r="F67" s="13">
        <f>SUMIF('OD 07-24'!A:A,A67,'OD 07-24'!D:D)</f>
        <v>100361.55100000001</v>
      </c>
      <c r="G67" s="13">
        <f>SUMIF('OD 07-24'!A:A,A67,'OD 07-24'!E:E)</f>
        <v>134635.508</v>
      </c>
      <c r="H67" s="14">
        <f t="shared" ref="H67:H130" si="2">+D67+F67-E67-G67</f>
        <v>-34273.956999999995</v>
      </c>
      <c r="I67" s="14">
        <f t="shared" ref="I67:I130" si="3">+H67+C67</f>
        <v>-389644.72300000006</v>
      </c>
      <c r="J67" s="8" t="s">
        <v>47</v>
      </c>
      <c r="K67" s="8"/>
      <c r="M67" s="339"/>
      <c r="N67" s="315"/>
    </row>
    <row r="68" spans="1:14" s="9" customFormat="1" ht="11.25" customHeight="1" x14ac:dyDescent="0.2">
      <c r="A68" s="10">
        <v>28237000</v>
      </c>
      <c r="B68" s="10" t="s">
        <v>53</v>
      </c>
      <c r="C68" s="11">
        <v>-756166.84899999993</v>
      </c>
      <c r="D68" s="11">
        <v>0</v>
      </c>
      <c r="E68" s="11">
        <v>0</v>
      </c>
      <c r="F68" s="13">
        <f>SUMIF('OD 07-24'!A:A,A68,'OD 07-24'!D:D)</f>
        <v>69741.370999999999</v>
      </c>
      <c r="G68" s="13">
        <f>SUMIF('OD 07-24'!A:A,A68,'OD 07-24'!E:E)</f>
        <v>97486.044999999998</v>
      </c>
      <c r="H68" s="14">
        <f t="shared" si="2"/>
        <v>-27744.673999999999</v>
      </c>
      <c r="I68" s="14">
        <f t="shared" si="3"/>
        <v>-783911.52299999993</v>
      </c>
      <c r="J68" s="8" t="s">
        <v>47</v>
      </c>
      <c r="K68" s="8"/>
      <c r="M68" s="339"/>
      <c r="N68" s="315"/>
    </row>
    <row r="69" spans="1:14" s="9" customFormat="1" ht="11.25" customHeight="1" x14ac:dyDescent="0.2">
      <c r="A69" s="10">
        <v>28240000</v>
      </c>
      <c r="B69" s="10" t="s">
        <v>54</v>
      </c>
      <c r="C69" s="11">
        <v>-641382.64299999992</v>
      </c>
      <c r="D69" s="11">
        <v>30121.977999999996</v>
      </c>
      <c r="E69" s="11">
        <v>0</v>
      </c>
      <c r="F69" s="13">
        <f>SUMIF('OD 07-24'!A:A,A69,'OD 07-24'!D:D)</f>
        <v>317222.348</v>
      </c>
      <c r="G69" s="13">
        <f>SUMIF('OD 07-24'!A:A,A69,'OD 07-24'!E:E)</f>
        <v>427249.47200000001</v>
      </c>
      <c r="H69" s="14">
        <f t="shared" si="2"/>
        <v>-79905.146000000008</v>
      </c>
      <c r="I69" s="14">
        <f t="shared" si="3"/>
        <v>-721287.78899999987</v>
      </c>
      <c r="J69" s="8" t="s">
        <v>47</v>
      </c>
      <c r="K69" s="8"/>
      <c r="M69" s="339"/>
      <c r="N69" s="315"/>
    </row>
    <row r="70" spans="1:14" s="9" customFormat="1" ht="11.25" customHeight="1" x14ac:dyDescent="0.2">
      <c r="A70" s="10">
        <v>28282000</v>
      </c>
      <c r="B70" s="10" t="s">
        <v>55</v>
      </c>
      <c r="C70" s="11">
        <v>-227110.92800000001</v>
      </c>
      <c r="D70" s="11">
        <v>0</v>
      </c>
      <c r="E70" s="11">
        <v>0</v>
      </c>
      <c r="F70" s="13">
        <f>SUMIF('OD 07-24'!A:A,A70,'OD 07-24'!D:D)</f>
        <v>93721.906000000003</v>
      </c>
      <c r="G70" s="13">
        <f>SUMIF('OD 07-24'!A:A,A70,'OD 07-24'!E:E)</f>
        <v>125334.58500000001</v>
      </c>
      <c r="H70" s="14">
        <f t="shared" si="2"/>
        <v>-31612.679000000004</v>
      </c>
      <c r="I70" s="14">
        <f t="shared" si="3"/>
        <v>-258723.60700000002</v>
      </c>
      <c r="J70" s="8" t="s">
        <v>47</v>
      </c>
      <c r="K70" s="8"/>
      <c r="M70" s="339"/>
      <c r="N70" s="315"/>
    </row>
    <row r="71" spans="1:14" s="9" customFormat="1" ht="11.25" customHeight="1" x14ac:dyDescent="0.2">
      <c r="A71" s="10">
        <v>28283000</v>
      </c>
      <c r="B71" s="10" t="s">
        <v>264</v>
      </c>
      <c r="C71" s="11">
        <v>-129025.63500000001</v>
      </c>
      <c r="D71" s="11">
        <v>0</v>
      </c>
      <c r="E71" s="11">
        <v>0</v>
      </c>
      <c r="F71" s="13">
        <f>SUMIF('OD 07-24'!A:A,A71,'OD 07-24'!D:D)</f>
        <v>79942.467999999993</v>
      </c>
      <c r="G71" s="13">
        <f>SUMIF('OD 07-24'!A:A,A71,'OD 07-24'!E:E)</f>
        <v>107469.774</v>
      </c>
      <c r="H71" s="14">
        <f t="shared" si="2"/>
        <v>-27527.306000000011</v>
      </c>
      <c r="I71" s="14">
        <f t="shared" si="3"/>
        <v>-156552.94100000002</v>
      </c>
      <c r="J71" s="8" t="s">
        <v>47</v>
      </c>
      <c r="K71" s="8"/>
      <c r="M71" s="339"/>
      <c r="N71" s="315"/>
    </row>
    <row r="72" spans="1:14" s="9" customFormat="1" ht="11.25" customHeight="1" x14ac:dyDescent="0.2">
      <c r="A72" s="10">
        <v>28400000</v>
      </c>
      <c r="B72" s="10" t="s">
        <v>56</v>
      </c>
      <c r="C72" s="11">
        <v>-480076.72500000009</v>
      </c>
      <c r="D72" s="11">
        <v>94339.096999999994</v>
      </c>
      <c r="E72" s="11">
        <v>0</v>
      </c>
      <c r="F72" s="13">
        <f>SUMIF('OD 07-24'!A:A,A72,'OD 07-24'!D:D)</f>
        <v>239862.867</v>
      </c>
      <c r="G72" s="13">
        <f>SUMIF('OD 07-24'!A:A,A72,'OD 07-24'!E:E)</f>
        <v>329437.45600000001</v>
      </c>
      <c r="H72" s="14">
        <f t="shared" si="2"/>
        <v>4764.5079999999725</v>
      </c>
      <c r="I72" s="14">
        <f t="shared" si="3"/>
        <v>-475312.21700000012</v>
      </c>
      <c r="J72" s="8" t="s">
        <v>47</v>
      </c>
      <c r="K72" s="8"/>
      <c r="M72" s="339"/>
      <c r="N72" s="315"/>
    </row>
    <row r="73" spans="1:14" s="9" customFormat="1" ht="11.25" customHeight="1" x14ac:dyDescent="0.2">
      <c r="A73" s="10">
        <v>29220000</v>
      </c>
      <c r="B73" s="10" t="s">
        <v>297</v>
      </c>
      <c r="C73" s="11">
        <v>0</v>
      </c>
      <c r="D73" s="11">
        <v>0</v>
      </c>
      <c r="E73" s="11">
        <v>0</v>
      </c>
      <c r="F73" s="13">
        <f>SUMIF('OD 07-24'!A:A,A73,'OD 07-24'!D:D)</f>
        <v>0</v>
      </c>
      <c r="G73" s="13">
        <f>SUMIF('OD 07-24'!A:A,A73,'OD 07-24'!E:E)</f>
        <v>0</v>
      </c>
      <c r="H73" s="14">
        <f t="shared" si="2"/>
        <v>0</v>
      </c>
      <c r="I73" s="14">
        <f t="shared" si="3"/>
        <v>0</v>
      </c>
      <c r="J73" s="8"/>
      <c r="K73" s="8"/>
      <c r="M73" s="339"/>
      <c r="N73" s="315"/>
    </row>
    <row r="74" spans="1:14" s="9" customFormat="1" ht="11.25" customHeight="1" x14ac:dyDescent="0.2">
      <c r="A74" s="10">
        <v>29234000</v>
      </c>
      <c r="B74" s="10" t="s">
        <v>388</v>
      </c>
      <c r="C74" s="11">
        <v>-223876.883</v>
      </c>
      <c r="D74" s="11">
        <v>59797.479000000007</v>
      </c>
      <c r="E74" s="11">
        <v>0</v>
      </c>
      <c r="F74" s="13">
        <f>SUMIF('OD 07-24'!A:A,A74,'OD 07-24'!D:D)</f>
        <v>0</v>
      </c>
      <c r="G74" s="13">
        <f>SUMIF('OD 07-24'!A:A,A74,'OD 07-24'!E:E)</f>
        <v>0</v>
      </c>
      <c r="H74" s="14">
        <f t="shared" si="2"/>
        <v>59797.479000000007</v>
      </c>
      <c r="I74" s="14">
        <f t="shared" si="3"/>
        <v>-164079.40399999998</v>
      </c>
      <c r="J74" s="8" t="s">
        <v>401</v>
      </c>
      <c r="K74" s="8"/>
      <c r="M74" s="339"/>
      <c r="N74" s="315"/>
    </row>
    <row r="75" spans="1:14" s="9" customFormat="1" ht="11.25" customHeight="1" x14ac:dyDescent="0.2">
      <c r="A75" s="10">
        <v>29235000</v>
      </c>
      <c r="B75" s="10" t="s">
        <v>389</v>
      </c>
      <c r="C75" s="11">
        <v>-8171.429000000001</v>
      </c>
      <c r="D75" s="11">
        <v>0</v>
      </c>
      <c r="E75" s="11">
        <v>0</v>
      </c>
      <c r="F75" s="13">
        <f>SUMIF('OD 07-24'!A:A,A75,'OD 07-24'!D:D)</f>
        <v>0</v>
      </c>
      <c r="G75" s="13">
        <f>SUMIF('OD 07-24'!A:A,A75,'OD 07-24'!E:E)</f>
        <v>0</v>
      </c>
      <c r="H75" s="14">
        <f t="shared" si="2"/>
        <v>0</v>
      </c>
      <c r="I75" s="14">
        <f t="shared" si="3"/>
        <v>-8171.429000000001</v>
      </c>
      <c r="J75" s="8" t="s">
        <v>401</v>
      </c>
      <c r="K75" s="8"/>
      <c r="M75" s="339"/>
      <c r="N75" s="315"/>
    </row>
    <row r="76" spans="1:14" s="9" customFormat="1" ht="11.25" customHeight="1" x14ac:dyDescent="0.2">
      <c r="A76" s="10">
        <v>29282000</v>
      </c>
      <c r="B76" s="10" t="s">
        <v>298</v>
      </c>
      <c r="C76" s="11">
        <v>0</v>
      </c>
      <c r="D76" s="11">
        <v>0</v>
      </c>
      <c r="E76" s="11">
        <v>0</v>
      </c>
      <c r="F76" s="13">
        <f>SUMIF('OD 07-24'!A:A,A76,'OD 07-24'!D:D)</f>
        <v>0</v>
      </c>
      <c r="G76" s="13">
        <f>SUMIF('OD 07-24'!A:A,A76,'OD 07-24'!E:E)</f>
        <v>0</v>
      </c>
      <c r="H76" s="14">
        <f t="shared" si="2"/>
        <v>0</v>
      </c>
      <c r="I76" s="14">
        <f t="shared" si="3"/>
        <v>0</v>
      </c>
      <c r="J76" s="8"/>
      <c r="K76" s="8"/>
      <c r="M76" s="339"/>
      <c r="N76" s="315"/>
    </row>
    <row r="77" spans="1:14" s="9" customFormat="1" ht="11.25" customHeight="1" x14ac:dyDescent="0.2">
      <c r="A77" s="10">
        <v>29286500</v>
      </c>
      <c r="B77" s="10" t="s">
        <v>299</v>
      </c>
      <c r="C77" s="11">
        <v>0</v>
      </c>
      <c r="D77" s="11">
        <v>0</v>
      </c>
      <c r="E77" s="11">
        <v>0</v>
      </c>
      <c r="F77" s="13">
        <f>SUMIF('OD 07-24'!A:A,A77,'OD 07-24'!D:D)</f>
        <v>0</v>
      </c>
      <c r="G77" s="13">
        <f>SUMIF('OD 07-24'!A:A,A77,'OD 07-24'!E:E)</f>
        <v>0</v>
      </c>
      <c r="H77" s="14">
        <f t="shared" si="2"/>
        <v>0</v>
      </c>
      <c r="I77" s="14">
        <f t="shared" si="3"/>
        <v>0</v>
      </c>
      <c r="J77" s="8" t="s">
        <v>25</v>
      </c>
      <c r="K77" s="8"/>
      <c r="M77" s="339"/>
      <c r="N77" s="315"/>
    </row>
    <row r="78" spans="1:14" s="9" customFormat="1" ht="11.25" customHeight="1" x14ac:dyDescent="0.2">
      <c r="A78" s="10">
        <v>29700000</v>
      </c>
      <c r="B78" s="10" t="s">
        <v>57</v>
      </c>
      <c r="C78" s="11">
        <v>-29257.384999999998</v>
      </c>
      <c r="D78" s="11">
        <v>0</v>
      </c>
      <c r="E78" s="11">
        <v>0</v>
      </c>
      <c r="F78" s="13">
        <f>SUMIF('OD 07-24'!A:A,A78,'OD 07-24'!D:D)</f>
        <v>0</v>
      </c>
      <c r="G78" s="13">
        <f>SUMIF('OD 07-24'!A:A,A78,'OD 07-24'!E:E)</f>
        <v>0</v>
      </c>
      <c r="H78" s="14">
        <f t="shared" si="2"/>
        <v>0</v>
      </c>
      <c r="I78" s="14">
        <f t="shared" si="3"/>
        <v>-29257.384999999998</v>
      </c>
      <c r="J78" s="8" t="s">
        <v>58</v>
      </c>
      <c r="K78" s="8"/>
      <c r="M78" s="339"/>
      <c r="N78" s="315"/>
    </row>
    <row r="79" spans="1:14" s="9" customFormat="1" ht="11.25" customHeight="1" x14ac:dyDescent="0.2">
      <c r="A79" s="10">
        <v>31100000</v>
      </c>
      <c r="B79" s="10" t="s">
        <v>59</v>
      </c>
      <c r="C79" s="11">
        <v>9520075.0200000107</v>
      </c>
      <c r="D79" s="11">
        <v>0</v>
      </c>
      <c r="E79" s="11">
        <v>9520075.0199999996</v>
      </c>
      <c r="F79" s="13">
        <f>SUMIF('OD 07-24'!A:A,A79,'OD 07-24'!D:D)</f>
        <v>97445690.735200003</v>
      </c>
      <c r="G79" s="13">
        <f>SUMIF('OD 07-24'!A:A,A79,'OD 07-24'!E:E)</f>
        <v>87582203.967099994</v>
      </c>
      <c r="H79" s="14">
        <f t="shared" si="2"/>
        <v>343411.74810001254</v>
      </c>
      <c r="I79" s="14">
        <f t="shared" si="3"/>
        <v>9863486.7681000233</v>
      </c>
      <c r="J79" s="8" t="s">
        <v>60</v>
      </c>
      <c r="K79" s="8"/>
      <c r="M79" s="339"/>
      <c r="N79" s="315"/>
    </row>
    <row r="80" spans="1:14" s="9" customFormat="1" ht="11.25" customHeight="1" x14ac:dyDescent="0.2">
      <c r="A80" s="10">
        <v>31200000</v>
      </c>
      <c r="B80" s="10" t="s">
        <v>390</v>
      </c>
      <c r="C80" s="11">
        <v>1881173.9139999996</v>
      </c>
      <c r="D80" s="11">
        <v>0</v>
      </c>
      <c r="E80" s="11">
        <v>1881173.9140000001</v>
      </c>
      <c r="F80" s="13">
        <f>SUMIF('OD 07-24'!A:A,A80,'OD 07-24'!D:D)</f>
        <v>3111337.3169999998</v>
      </c>
      <c r="G80" s="13">
        <f>SUMIF('OD 07-24'!A:A,A80,'OD 07-24'!E:E)</f>
        <v>3111337.3169999998</v>
      </c>
      <c r="H80" s="14">
        <f t="shared" si="2"/>
        <v>-1881173.9140000001</v>
      </c>
      <c r="I80" s="14">
        <f t="shared" si="3"/>
        <v>0</v>
      </c>
      <c r="J80" s="8" t="s">
        <v>60</v>
      </c>
      <c r="K80" s="8"/>
      <c r="M80" s="339"/>
      <c r="N80" s="315"/>
    </row>
    <row r="81" spans="1:14" s="9" customFormat="1" ht="11.25" customHeight="1" x14ac:dyDescent="0.2">
      <c r="A81" s="10">
        <v>32200000</v>
      </c>
      <c r="B81" s="10" t="s">
        <v>61</v>
      </c>
      <c r="C81" s="11">
        <v>662156.42899999954</v>
      </c>
      <c r="D81" s="11">
        <v>0</v>
      </c>
      <c r="E81" s="11">
        <v>662156.429</v>
      </c>
      <c r="F81" s="13">
        <f>SUMIF('OD 07-24'!A:A,A81,'OD 07-24'!D:D)</f>
        <v>6653488.2055000002</v>
      </c>
      <c r="G81" s="13">
        <f>SUMIF('OD 07-24'!A:A,A81,'OD 07-24'!E:E)</f>
        <v>5928172.3435000004</v>
      </c>
      <c r="H81" s="14">
        <f t="shared" si="2"/>
        <v>63159.432999999262</v>
      </c>
      <c r="I81" s="14">
        <f t="shared" si="3"/>
        <v>725315.8619999988</v>
      </c>
      <c r="J81" s="8" t="s">
        <v>60</v>
      </c>
      <c r="K81" s="8"/>
      <c r="M81" s="339"/>
      <c r="N81" s="315"/>
    </row>
    <row r="82" spans="1:14" s="9" customFormat="1" ht="11.25" customHeight="1" x14ac:dyDescent="0.2">
      <c r="A82" s="10">
        <v>33100000</v>
      </c>
      <c r="B82" s="10" t="s">
        <v>62</v>
      </c>
      <c r="C82" s="11">
        <v>3435380.2890000008</v>
      </c>
      <c r="D82" s="11">
        <v>0</v>
      </c>
      <c r="E82" s="11">
        <v>3435380.2889999999</v>
      </c>
      <c r="F82" s="13">
        <f>SUMIF('OD 07-24'!A:A,A82,'OD 07-24'!D:D)</f>
        <v>36728015.941799998</v>
      </c>
      <c r="G82" s="13">
        <f>SUMIF('OD 07-24'!A:A,A82,'OD 07-24'!E:E)</f>
        <v>32768899.0458</v>
      </c>
      <c r="H82" s="14">
        <f t="shared" si="2"/>
        <v>523736.60699999705</v>
      </c>
      <c r="I82" s="14">
        <f t="shared" si="3"/>
        <v>3959116.8959999979</v>
      </c>
      <c r="J82" s="8" t="s">
        <v>60</v>
      </c>
      <c r="K82" s="8"/>
      <c r="M82" s="339"/>
      <c r="N82" s="315"/>
    </row>
    <row r="83" spans="1:14" s="9" customFormat="1" ht="11.25" customHeight="1" x14ac:dyDescent="0.2">
      <c r="A83" s="10">
        <v>33500000</v>
      </c>
      <c r="B83" s="10" t="s">
        <v>300</v>
      </c>
      <c r="C83" s="11">
        <v>0</v>
      </c>
      <c r="D83" s="11">
        <v>0</v>
      </c>
      <c r="E83" s="11">
        <v>0</v>
      </c>
      <c r="F83" s="13">
        <f>SUMIF('OD 07-24'!A:A,A83,'OD 07-24'!D:D)</f>
        <v>0</v>
      </c>
      <c r="G83" s="13">
        <f>SUMIF('OD 07-24'!A:A,A83,'OD 07-24'!E:E)</f>
        <v>0</v>
      </c>
      <c r="H83" s="14">
        <f t="shared" si="2"/>
        <v>0</v>
      </c>
      <c r="I83" s="14">
        <f t="shared" si="3"/>
        <v>0</v>
      </c>
      <c r="J83" s="8"/>
      <c r="K83" s="8"/>
      <c r="M83" s="339"/>
      <c r="N83" s="315"/>
    </row>
    <row r="84" spans="1:14" s="9" customFormat="1" ht="11.25" customHeight="1" x14ac:dyDescent="0.2">
      <c r="A84" s="10">
        <v>34100000</v>
      </c>
      <c r="B84" s="10" t="s">
        <v>301</v>
      </c>
      <c r="C84" s="11">
        <v>0</v>
      </c>
      <c r="D84" s="11">
        <v>0</v>
      </c>
      <c r="E84" s="11">
        <v>0</v>
      </c>
      <c r="F84" s="13">
        <f>SUMIF('OD 07-24'!A:A,A84,'OD 07-24'!D:D)</f>
        <v>0</v>
      </c>
      <c r="G84" s="13">
        <f>SUMIF('OD 07-24'!A:A,A84,'OD 07-24'!E:E)</f>
        <v>0</v>
      </c>
      <c r="H84" s="14">
        <f t="shared" si="2"/>
        <v>0</v>
      </c>
      <c r="I84" s="14">
        <f t="shared" si="3"/>
        <v>0</v>
      </c>
      <c r="J84" s="8"/>
      <c r="K84" s="8"/>
      <c r="M84" s="339"/>
      <c r="N84" s="315"/>
    </row>
    <row r="85" spans="1:14" s="9" customFormat="1" ht="11.25" customHeight="1" x14ac:dyDescent="0.2">
      <c r="A85" s="10">
        <v>35500000</v>
      </c>
      <c r="B85" s="10" t="s">
        <v>63</v>
      </c>
      <c r="C85" s="11">
        <v>1674504.0189999994</v>
      </c>
      <c r="D85" s="11">
        <v>19.696999999999999</v>
      </c>
      <c r="E85" s="11">
        <v>1674504.0190000001</v>
      </c>
      <c r="F85" s="13">
        <f>SUMIF('OD 07-24'!A:A,A85,'OD 07-24'!D:D)</f>
        <v>15366361.471999999</v>
      </c>
      <c r="G85" s="13">
        <f>SUMIF('OD 07-24'!A:A,A85,'OD 07-24'!E:E)</f>
        <v>14283940.282</v>
      </c>
      <c r="H85" s="14">
        <f t="shared" si="2"/>
        <v>-592063.13199999928</v>
      </c>
      <c r="I85" s="14">
        <f t="shared" si="3"/>
        <v>1082440.8870000001</v>
      </c>
      <c r="J85" s="8" t="s">
        <v>60</v>
      </c>
      <c r="K85" s="8"/>
      <c r="M85" s="339"/>
      <c r="N85" s="315"/>
    </row>
    <row r="86" spans="1:14" s="9" customFormat="1" ht="11.25" customHeight="1" x14ac:dyDescent="0.2">
      <c r="A86" s="10">
        <v>39000000</v>
      </c>
      <c r="B86" s="10" t="s">
        <v>64</v>
      </c>
      <c r="C86" s="11">
        <v>-208158.11300000001</v>
      </c>
      <c r="D86" s="11">
        <v>0</v>
      </c>
      <c r="E86" s="11">
        <v>0</v>
      </c>
      <c r="F86" s="13">
        <f>SUMIF('OD 07-24'!A:A,A86,'OD 07-24'!D:D)</f>
        <v>350000</v>
      </c>
      <c r="G86" s="13">
        <f>SUMIF('OD 07-24'!A:A,A86,'OD 07-24'!E:E)</f>
        <v>600000</v>
      </c>
      <c r="H86" s="14">
        <f t="shared" si="2"/>
        <v>-250000</v>
      </c>
      <c r="I86" s="14">
        <f t="shared" si="3"/>
        <v>-458158.11300000001</v>
      </c>
      <c r="J86" s="8" t="s">
        <v>65</v>
      </c>
      <c r="K86" s="8"/>
      <c r="M86" s="339"/>
      <c r="N86" s="315"/>
    </row>
    <row r="87" spans="1:14" s="9" customFormat="1" ht="11.25" customHeight="1" x14ac:dyDescent="0.2">
      <c r="A87" s="10">
        <v>40100000</v>
      </c>
      <c r="B87" s="10" t="s">
        <v>66</v>
      </c>
      <c r="C87" s="11">
        <v>-2875441.9530395269</v>
      </c>
      <c r="D87" s="11">
        <v>32829963.806050003</v>
      </c>
      <c r="E87" s="11">
        <v>33100938.078007001</v>
      </c>
      <c r="F87" s="13">
        <f>SUMIF('OD 07-24'!A:A,A87,'OD 07-24'!D:D)</f>
        <v>0</v>
      </c>
      <c r="G87" s="13">
        <f>SUMIF('OD 07-24'!A:A,A87,'OD 07-24'!E:E)</f>
        <v>0</v>
      </c>
      <c r="H87" s="14">
        <f t="shared" si="2"/>
        <v>-270974.27195699885</v>
      </c>
      <c r="I87" s="14">
        <f t="shared" si="3"/>
        <v>-3146416.2249965258</v>
      </c>
      <c r="J87" s="8" t="s">
        <v>67</v>
      </c>
      <c r="K87" s="8"/>
      <c r="M87" s="339"/>
      <c r="N87" s="315"/>
    </row>
    <row r="88" spans="1:14" s="9" customFormat="1" ht="11.25" customHeight="1" x14ac:dyDescent="0.2">
      <c r="A88" s="10">
        <v>40300000</v>
      </c>
      <c r="B88" s="10" t="s">
        <v>68</v>
      </c>
      <c r="C88" s="11">
        <v>-970419.35000000149</v>
      </c>
      <c r="D88" s="11">
        <v>1923134.3800000001</v>
      </c>
      <c r="E88" s="11">
        <v>1219024.21</v>
      </c>
      <c r="F88" s="13">
        <f>SUMIF('OD 07-24'!A:A,A88,'OD 07-24'!D:D)</f>
        <v>0</v>
      </c>
      <c r="G88" s="13">
        <f>SUMIF('OD 07-24'!A:A,A88,'OD 07-24'!E:E)</f>
        <v>0</v>
      </c>
      <c r="H88" s="14">
        <f t="shared" si="2"/>
        <v>704110.17000000016</v>
      </c>
      <c r="I88" s="14">
        <f t="shared" si="3"/>
        <v>-266309.18000000133</v>
      </c>
      <c r="J88" s="8" t="s">
        <v>67</v>
      </c>
      <c r="K88" s="8"/>
      <c r="M88" s="339"/>
      <c r="N88" s="315"/>
    </row>
    <row r="89" spans="1:14" s="9" customFormat="1" ht="11.25" customHeight="1" x14ac:dyDescent="0.2">
      <c r="A89" s="10">
        <v>40301000</v>
      </c>
      <c r="B89" s="10" t="s">
        <v>302</v>
      </c>
      <c r="C89" s="11">
        <v>0</v>
      </c>
      <c r="D89" s="11">
        <v>0</v>
      </c>
      <c r="E89" s="11">
        <v>0</v>
      </c>
      <c r="F89" s="13">
        <f>SUMIF('OD 07-24'!A:A,A89,'OD 07-24'!D:D)</f>
        <v>0</v>
      </c>
      <c r="G89" s="13">
        <f>SUMIF('OD 07-24'!A:A,A89,'OD 07-24'!E:E)</f>
        <v>0</v>
      </c>
      <c r="H89" s="14">
        <f t="shared" si="2"/>
        <v>0</v>
      </c>
      <c r="I89" s="14">
        <f t="shared" si="3"/>
        <v>0</v>
      </c>
      <c r="J89" s="8"/>
      <c r="K89" s="8"/>
      <c r="M89" s="339"/>
      <c r="N89" s="315"/>
    </row>
    <row r="90" spans="1:14" s="9" customFormat="1" ht="11.25" customHeight="1" x14ac:dyDescent="0.2">
      <c r="A90" s="10">
        <v>40400000</v>
      </c>
      <c r="B90" s="10" t="s">
        <v>69</v>
      </c>
      <c r="C90" s="11">
        <v>9.999983012676239E-5</v>
      </c>
      <c r="D90" s="11">
        <v>0</v>
      </c>
      <c r="E90" s="11">
        <v>0</v>
      </c>
      <c r="F90" s="13">
        <f>SUMIF('OD 07-24'!A:A,A90,'OD 07-24'!D:D)</f>
        <v>0</v>
      </c>
      <c r="G90" s="13">
        <f>SUMIF('OD 07-24'!A:A,A90,'OD 07-24'!E:E)</f>
        <v>0</v>
      </c>
      <c r="H90" s="14">
        <f t="shared" si="2"/>
        <v>0</v>
      </c>
      <c r="I90" s="14">
        <f t="shared" si="3"/>
        <v>9.999983012676239E-5</v>
      </c>
      <c r="J90" s="8"/>
      <c r="K90" s="8"/>
      <c r="M90" s="339"/>
      <c r="N90" s="315"/>
    </row>
    <row r="91" spans="1:14" s="9" customFormat="1" ht="11.25" customHeight="1" x14ac:dyDescent="0.2">
      <c r="A91" s="10">
        <v>40470000</v>
      </c>
      <c r="B91" s="10" t="s">
        <v>303</v>
      </c>
      <c r="C91" s="11">
        <v>0</v>
      </c>
      <c r="D91" s="11">
        <v>0</v>
      </c>
      <c r="E91" s="11">
        <v>0</v>
      </c>
      <c r="F91" s="13">
        <f>SUMIF('OD 07-24'!A:A,A91,'OD 07-24'!D:D)</f>
        <v>0</v>
      </c>
      <c r="G91" s="13">
        <f>SUMIF('OD 07-24'!A:A,A91,'OD 07-24'!E:E)</f>
        <v>0</v>
      </c>
      <c r="H91" s="14">
        <f t="shared" si="2"/>
        <v>0</v>
      </c>
      <c r="I91" s="14">
        <f t="shared" si="3"/>
        <v>0</v>
      </c>
      <c r="J91" s="8"/>
      <c r="K91" s="8"/>
      <c r="M91" s="339"/>
      <c r="N91" s="315"/>
    </row>
    <row r="92" spans="1:14" s="9" customFormat="1" ht="11.25" customHeight="1" x14ac:dyDescent="0.2">
      <c r="A92" s="10">
        <v>40600000</v>
      </c>
      <c r="B92" s="10" t="s">
        <v>70</v>
      </c>
      <c r="C92" s="11">
        <v>-3111690.4287486374</v>
      </c>
      <c r="D92" s="11">
        <v>4853477.9394025002</v>
      </c>
      <c r="E92" s="11">
        <v>4303150.3977264995</v>
      </c>
      <c r="F92" s="13">
        <f>SUMIF('OD 07-24'!A:A,A92,'OD 07-24'!D:D)</f>
        <v>1440128.993</v>
      </c>
      <c r="G92" s="13">
        <f>SUMIF('OD 07-24'!A:A,A92,'OD 07-24'!E:E)</f>
        <v>1367960.067</v>
      </c>
      <c r="H92" s="14">
        <f t="shared" si="2"/>
        <v>622496.46767600044</v>
      </c>
      <c r="I92" s="14">
        <f t="shared" si="3"/>
        <v>-2489193.9610726368</v>
      </c>
      <c r="J92" s="8" t="s">
        <v>67</v>
      </c>
      <c r="K92" s="8"/>
      <c r="M92" s="339"/>
      <c r="N92" s="315"/>
    </row>
    <row r="93" spans="1:14" s="9" customFormat="1" ht="11.25" customHeight="1" x14ac:dyDescent="0.2">
      <c r="A93" s="10">
        <v>40800000</v>
      </c>
      <c r="B93" s="10" t="s">
        <v>71</v>
      </c>
      <c r="C93" s="11">
        <v>-4980</v>
      </c>
      <c r="D93" s="11">
        <v>0</v>
      </c>
      <c r="E93" s="11">
        <v>0</v>
      </c>
      <c r="F93" s="13">
        <f>SUMIF('OD 07-24'!A:A,A93,'OD 07-24'!D:D)</f>
        <v>0</v>
      </c>
      <c r="G93" s="13">
        <f>SUMIF('OD 07-24'!A:A,A93,'OD 07-24'!E:E)</f>
        <v>0</v>
      </c>
      <c r="H93" s="14">
        <f t="shared" si="2"/>
        <v>0</v>
      </c>
      <c r="I93" s="14">
        <f t="shared" si="3"/>
        <v>-4980</v>
      </c>
      <c r="J93" s="8" t="s">
        <v>67</v>
      </c>
      <c r="K93" s="8"/>
      <c r="M93" s="339"/>
      <c r="N93" s="315"/>
    </row>
    <row r="94" spans="1:14" s="9" customFormat="1" ht="11.25" customHeight="1" x14ac:dyDescent="0.2">
      <c r="A94" s="10">
        <v>40810000</v>
      </c>
      <c r="B94" s="10" t="s">
        <v>391</v>
      </c>
      <c r="C94" s="11">
        <v>-41980.576999999997</v>
      </c>
      <c r="D94" s="11">
        <v>40054.247000000003</v>
      </c>
      <c r="E94" s="11">
        <v>3169.0909999999994</v>
      </c>
      <c r="F94" s="13">
        <f>SUMIF('OD 07-24'!A:A,A94,'OD 07-24'!D:D)</f>
        <v>3527.701</v>
      </c>
      <c r="G94" s="13">
        <f>SUMIF('OD 07-24'!A:A,A94,'OD 07-24'!E:E)</f>
        <v>5123.701</v>
      </c>
      <c r="H94" s="14">
        <f t="shared" si="2"/>
        <v>35289.156000000003</v>
      </c>
      <c r="I94" s="14">
        <f t="shared" si="3"/>
        <v>-6691.4209999999948</v>
      </c>
      <c r="J94" s="8" t="s">
        <v>67</v>
      </c>
      <c r="K94" s="8"/>
      <c r="M94" s="339"/>
      <c r="N94" s="315"/>
    </row>
    <row r="95" spans="1:14" s="9" customFormat="1" ht="11.25" customHeight="1" x14ac:dyDescent="0.2">
      <c r="A95" s="10">
        <v>40860000</v>
      </c>
      <c r="B95" s="10" t="s">
        <v>304</v>
      </c>
      <c r="C95" s="11">
        <v>0</v>
      </c>
      <c r="D95" s="11">
        <v>0</v>
      </c>
      <c r="E95" s="11">
        <v>0</v>
      </c>
      <c r="F95" s="13">
        <f>SUMIF('OD 07-24'!A:A,A95,'OD 07-24'!D:D)</f>
        <v>0</v>
      </c>
      <c r="G95" s="13">
        <f>SUMIF('OD 07-24'!A:A,A95,'OD 07-24'!E:E)</f>
        <v>0</v>
      </c>
      <c r="H95" s="14">
        <f t="shared" si="2"/>
        <v>0</v>
      </c>
      <c r="I95" s="14">
        <f t="shared" si="3"/>
        <v>0</v>
      </c>
      <c r="J95" s="8"/>
      <c r="K95" s="8"/>
      <c r="M95" s="339"/>
      <c r="N95" s="315"/>
    </row>
    <row r="96" spans="1:14" s="9" customFormat="1" ht="11.25" customHeight="1" x14ac:dyDescent="0.2">
      <c r="A96" s="10">
        <v>40910000</v>
      </c>
      <c r="B96" s="10" t="s">
        <v>72</v>
      </c>
      <c r="C96" s="11">
        <v>0</v>
      </c>
      <c r="D96" s="11">
        <v>0</v>
      </c>
      <c r="E96" s="11">
        <v>0</v>
      </c>
      <c r="F96" s="13">
        <f>SUMIF('OD 07-24'!A:A,A96,'OD 07-24'!D:D)</f>
        <v>0</v>
      </c>
      <c r="G96" s="13">
        <f>SUMIF('OD 07-24'!A:A,A96,'OD 07-24'!E:E)</f>
        <v>0</v>
      </c>
      <c r="H96" s="14">
        <f t="shared" si="2"/>
        <v>0</v>
      </c>
      <c r="I96" s="14">
        <f t="shared" si="3"/>
        <v>0</v>
      </c>
      <c r="J96" s="8" t="s">
        <v>78</v>
      </c>
      <c r="K96" s="8"/>
      <c r="M96" s="339"/>
      <c r="N96" s="315"/>
    </row>
    <row r="97" spans="1:14" s="9" customFormat="1" ht="11.25" customHeight="1" x14ac:dyDescent="0.2">
      <c r="A97" s="10">
        <v>41100000</v>
      </c>
      <c r="B97" s="10" t="s">
        <v>73</v>
      </c>
      <c r="C97" s="11">
        <v>15614197.010682464</v>
      </c>
      <c r="D97" s="11">
        <f>12734+42406257.911+5989.889</f>
        <v>42424981.799999997</v>
      </c>
      <c r="E97" s="11">
        <v>39900498.434</v>
      </c>
      <c r="F97" s="13">
        <f>SUMIF('OD 07-24'!A:A,A97,'OD 07-24'!D:D)</f>
        <v>0</v>
      </c>
      <c r="G97" s="13">
        <f>SUMIF('OD 07-24'!A:A,A97,'OD 07-24'!E:E)</f>
        <v>0</v>
      </c>
      <c r="H97" s="14">
        <f t="shared" si="2"/>
        <v>2524483.3659999967</v>
      </c>
      <c r="I97" s="14">
        <f t="shared" si="3"/>
        <v>18138680.37668246</v>
      </c>
      <c r="J97" s="8" t="s">
        <v>74</v>
      </c>
      <c r="K97" s="8"/>
      <c r="M97" s="339"/>
      <c r="N97" s="315"/>
    </row>
    <row r="98" spans="1:14" s="9" customFormat="1" ht="11.25" customHeight="1" x14ac:dyDescent="0.2">
      <c r="A98" s="10">
        <v>41301000</v>
      </c>
      <c r="B98" s="10" t="s">
        <v>305</v>
      </c>
      <c r="C98" s="11">
        <v>0</v>
      </c>
      <c r="D98" s="11">
        <v>0</v>
      </c>
      <c r="E98" s="11">
        <v>0</v>
      </c>
      <c r="F98" s="13">
        <f>SUMIF('OD 07-24'!A:A,A98,'OD 07-24'!D:D)</f>
        <v>0</v>
      </c>
      <c r="G98" s="13">
        <f>SUMIF('OD 07-24'!A:A,A98,'OD 07-24'!E:E)</f>
        <v>0</v>
      </c>
      <c r="H98" s="14">
        <f t="shared" si="2"/>
        <v>0</v>
      </c>
      <c r="I98" s="14">
        <f t="shared" si="3"/>
        <v>0</v>
      </c>
      <c r="J98" s="8"/>
      <c r="K98" s="8"/>
      <c r="M98" s="339"/>
      <c r="N98" s="315"/>
    </row>
    <row r="99" spans="1:14" s="9" customFormat="1" ht="11.25" customHeight="1" x14ac:dyDescent="0.2">
      <c r="A99" s="10">
        <v>41500000</v>
      </c>
      <c r="B99" s="10" t="s">
        <v>75</v>
      </c>
      <c r="C99" s="11">
        <v>3350188.1832604855</v>
      </c>
      <c r="D99" s="11">
        <v>10775714.127</v>
      </c>
      <c r="E99" s="11">
        <v>7517878.0320000006</v>
      </c>
      <c r="F99" s="13">
        <f>SUMIF('OD 07-24'!A:A,A99,'OD 07-24'!D:D)</f>
        <v>3757277.7850000001</v>
      </c>
      <c r="G99" s="13">
        <f>SUMIF('OD 07-24'!A:A,A99,'OD 07-24'!E:E)</f>
        <v>3757277.7850000001</v>
      </c>
      <c r="H99" s="14">
        <f t="shared" si="2"/>
        <v>3257836.0949999997</v>
      </c>
      <c r="I99" s="14">
        <f t="shared" si="3"/>
        <v>6608024.2782604853</v>
      </c>
      <c r="J99" s="8" t="s">
        <v>74</v>
      </c>
      <c r="K99" s="8"/>
      <c r="M99" s="339"/>
      <c r="N99" s="315"/>
    </row>
    <row r="100" spans="1:14" s="9" customFormat="1" ht="11.25" customHeight="1" x14ac:dyDescent="0.2">
      <c r="A100" s="10">
        <v>41601000</v>
      </c>
      <c r="B100" s="10" t="s">
        <v>306</v>
      </c>
      <c r="C100" s="11">
        <v>0</v>
      </c>
      <c r="D100" s="11">
        <v>0</v>
      </c>
      <c r="E100" s="11">
        <v>0</v>
      </c>
      <c r="F100" s="13">
        <f>SUMIF('OD 07-24'!A:A,A100,'OD 07-24'!D:D)</f>
        <v>0</v>
      </c>
      <c r="G100" s="13">
        <f>SUMIF('OD 07-24'!A:A,A100,'OD 07-24'!E:E)</f>
        <v>0</v>
      </c>
      <c r="H100" s="14">
        <f t="shared" si="2"/>
        <v>0</v>
      </c>
      <c r="I100" s="14">
        <f t="shared" si="3"/>
        <v>0</v>
      </c>
      <c r="J100" s="8"/>
      <c r="K100" s="8"/>
      <c r="M100" s="339"/>
      <c r="N100" s="315"/>
    </row>
    <row r="101" spans="1:14" s="9" customFormat="1" ht="11.25" customHeight="1" x14ac:dyDescent="0.2">
      <c r="A101" s="10">
        <v>41800000</v>
      </c>
      <c r="B101" s="10" t="s">
        <v>307</v>
      </c>
      <c r="C101" s="11">
        <v>0</v>
      </c>
      <c r="D101" s="11">
        <v>0</v>
      </c>
      <c r="E101" s="11">
        <v>0</v>
      </c>
      <c r="F101" s="13">
        <f>SUMIF('OD 07-24'!A:A,A101,'OD 07-24'!D:D)</f>
        <v>0</v>
      </c>
      <c r="G101" s="13">
        <f>SUMIF('OD 07-24'!A:A,A101,'OD 07-24'!E:E)</f>
        <v>0</v>
      </c>
      <c r="H101" s="14">
        <f t="shared" si="2"/>
        <v>0</v>
      </c>
      <c r="I101" s="14">
        <f t="shared" si="3"/>
        <v>0</v>
      </c>
      <c r="J101" s="8"/>
      <c r="K101" s="8"/>
      <c r="M101" s="339"/>
      <c r="N101" s="315"/>
    </row>
    <row r="102" spans="1:14" s="9" customFormat="1" ht="11.25" customHeight="1" x14ac:dyDescent="0.2">
      <c r="A102" s="10">
        <v>41910000</v>
      </c>
      <c r="B102" s="10" t="s">
        <v>308</v>
      </c>
      <c r="C102" s="11">
        <v>0</v>
      </c>
      <c r="D102" s="11">
        <v>0</v>
      </c>
      <c r="E102" s="11">
        <v>0</v>
      </c>
      <c r="F102" s="13">
        <f>SUMIF('OD 07-24'!A:A,A102,'OD 07-24'!D:D)</f>
        <v>0</v>
      </c>
      <c r="G102" s="13">
        <f>SUMIF('OD 07-24'!A:A,A102,'OD 07-24'!E:E)</f>
        <v>0</v>
      </c>
      <c r="H102" s="14">
        <f t="shared" si="2"/>
        <v>0</v>
      </c>
      <c r="I102" s="14">
        <f t="shared" si="3"/>
        <v>0</v>
      </c>
      <c r="J102" s="8"/>
      <c r="K102" s="8"/>
      <c r="M102" s="339"/>
      <c r="N102" s="315"/>
    </row>
    <row r="103" spans="1:14" s="9" customFormat="1" ht="11.25" customHeight="1" x14ac:dyDescent="0.2">
      <c r="A103" s="10">
        <v>42100000</v>
      </c>
      <c r="B103" s="10" t="s">
        <v>76</v>
      </c>
      <c r="C103" s="11">
        <v>0</v>
      </c>
      <c r="D103" s="11">
        <v>240</v>
      </c>
      <c r="E103" s="11">
        <v>240</v>
      </c>
      <c r="F103" s="13">
        <f>SUMIF('OD 07-24'!A:A,A103,'OD 07-24'!D:D)</f>
        <v>0</v>
      </c>
      <c r="G103" s="13">
        <f>SUMIF('OD 07-24'!A:A,A103,'OD 07-24'!E:E)</f>
        <v>0</v>
      </c>
      <c r="H103" s="14">
        <f t="shared" si="2"/>
        <v>0</v>
      </c>
      <c r="I103" s="14">
        <f t="shared" si="3"/>
        <v>0</v>
      </c>
      <c r="J103" s="8"/>
      <c r="K103" s="8"/>
      <c r="M103" s="339"/>
      <c r="N103" s="315"/>
    </row>
    <row r="104" spans="1:14" s="9" customFormat="1" ht="11.25" customHeight="1" x14ac:dyDescent="0.2">
      <c r="A104" s="10">
        <v>42110000</v>
      </c>
      <c r="B104" s="10" t="s">
        <v>309</v>
      </c>
      <c r="C104" s="11">
        <v>0</v>
      </c>
      <c r="D104" s="11">
        <v>0</v>
      </c>
      <c r="E104" s="11">
        <v>0</v>
      </c>
      <c r="F104" s="13">
        <f>SUMIF('OD 07-24'!A:A,A104,'OD 07-24'!D:D)</f>
        <v>0</v>
      </c>
      <c r="G104" s="13">
        <f>SUMIF('OD 07-24'!A:A,A104,'OD 07-24'!E:E)</f>
        <v>0</v>
      </c>
      <c r="H104" s="14">
        <f t="shared" si="2"/>
        <v>0</v>
      </c>
      <c r="I104" s="14">
        <f t="shared" si="3"/>
        <v>0</v>
      </c>
      <c r="J104" s="8"/>
      <c r="K104" s="8"/>
      <c r="M104" s="339"/>
      <c r="N104" s="315"/>
    </row>
    <row r="105" spans="1:14" s="9" customFormat="1" ht="11.25" customHeight="1" x14ac:dyDescent="0.2">
      <c r="A105" s="10">
        <v>42120000</v>
      </c>
      <c r="B105" s="10" t="s">
        <v>77</v>
      </c>
      <c r="C105" s="11">
        <v>21139.859999999986</v>
      </c>
      <c r="D105" s="11">
        <v>95555</v>
      </c>
      <c r="E105" s="11">
        <v>53904.994000000006</v>
      </c>
      <c r="F105" s="13">
        <f>SUMIF('OD 07-24'!A:A,A105,'OD 07-24'!D:D)</f>
        <v>0</v>
      </c>
      <c r="G105" s="13">
        <f>SUMIF('OD 07-24'!A:A,A105,'OD 07-24'!E:E)</f>
        <v>0</v>
      </c>
      <c r="H105" s="14">
        <f t="shared" si="2"/>
        <v>41650.005999999994</v>
      </c>
      <c r="I105" s="14">
        <f t="shared" si="3"/>
        <v>62789.86599999998</v>
      </c>
      <c r="J105" s="8" t="s">
        <v>78</v>
      </c>
      <c r="K105" s="8"/>
      <c r="M105" s="339"/>
      <c r="N105" s="315"/>
    </row>
    <row r="106" spans="1:14" s="9" customFormat="1" ht="11.25" customHeight="1" x14ac:dyDescent="0.2">
      <c r="A106" s="10">
        <v>42400000</v>
      </c>
      <c r="B106" s="10" t="s">
        <v>79</v>
      </c>
      <c r="C106" s="11">
        <v>0</v>
      </c>
      <c r="D106" s="11">
        <v>0</v>
      </c>
      <c r="E106" s="11">
        <v>0</v>
      </c>
      <c r="F106" s="13">
        <f>SUMIF('OD 07-24'!A:A,A106,'OD 07-24'!D:D)</f>
        <v>0</v>
      </c>
      <c r="G106" s="13">
        <f>SUMIF('OD 07-24'!A:A,A106,'OD 07-24'!E:E)</f>
        <v>0</v>
      </c>
      <c r="H106" s="14">
        <f t="shared" si="2"/>
        <v>0</v>
      </c>
      <c r="I106" s="14">
        <f t="shared" si="3"/>
        <v>0</v>
      </c>
      <c r="J106" s="8"/>
      <c r="K106" s="8"/>
      <c r="M106" s="339"/>
      <c r="N106" s="315"/>
    </row>
    <row r="107" spans="1:14" s="9" customFormat="1" ht="11.25" customHeight="1" x14ac:dyDescent="0.2">
      <c r="A107" s="10">
        <v>42500000</v>
      </c>
      <c r="B107" s="10" t="s">
        <v>80</v>
      </c>
      <c r="C107" s="11">
        <v>-180820.1429999955</v>
      </c>
      <c r="D107" s="11">
        <v>2265457.9580000001</v>
      </c>
      <c r="E107" s="11">
        <v>2063498.4339999999</v>
      </c>
      <c r="F107" s="13">
        <f>SUMIF('OD 07-24'!A:A,A107,'OD 07-24'!D:D)</f>
        <v>0</v>
      </c>
      <c r="G107" s="13">
        <f>SUMIF('OD 07-24'!A:A,A107,'OD 07-24'!E:E)</f>
        <v>0</v>
      </c>
      <c r="H107" s="14">
        <f t="shared" si="2"/>
        <v>201959.52400000021</v>
      </c>
      <c r="I107" s="14">
        <f t="shared" si="3"/>
        <v>21139.381000004709</v>
      </c>
      <c r="J107" s="8" t="s">
        <v>81</v>
      </c>
      <c r="K107" s="8"/>
      <c r="M107" s="339"/>
      <c r="N107" s="315"/>
    </row>
    <row r="108" spans="1:14" s="9" customFormat="1" ht="11.25" customHeight="1" x14ac:dyDescent="0.2">
      <c r="A108" s="10">
        <v>42700000</v>
      </c>
      <c r="B108" s="10" t="s">
        <v>310</v>
      </c>
      <c r="C108" s="11">
        <v>0</v>
      </c>
      <c r="D108" s="11">
        <v>0</v>
      </c>
      <c r="E108" s="11">
        <v>0</v>
      </c>
      <c r="F108" s="13">
        <f>SUMIF('OD 07-24'!A:A,A108,'OD 07-24'!D:D)</f>
        <v>0</v>
      </c>
      <c r="G108" s="13">
        <f>SUMIF('OD 07-24'!A:A,A108,'OD 07-24'!E:E)</f>
        <v>0</v>
      </c>
      <c r="H108" s="14">
        <f t="shared" si="2"/>
        <v>0</v>
      </c>
      <c r="I108" s="14">
        <f t="shared" si="3"/>
        <v>0</v>
      </c>
      <c r="J108" s="8"/>
      <c r="K108" s="8"/>
      <c r="M108" s="339"/>
      <c r="N108" s="315"/>
    </row>
    <row r="109" spans="1:14" s="9" customFormat="1" ht="11.25" customHeight="1" x14ac:dyDescent="0.2">
      <c r="A109" s="10">
        <v>42710000</v>
      </c>
      <c r="B109" s="10" t="s">
        <v>82</v>
      </c>
      <c r="C109" s="11">
        <v>-2433.5259999999907</v>
      </c>
      <c r="D109" s="11">
        <v>5208.05</v>
      </c>
      <c r="E109" s="11">
        <v>5298.3140000000003</v>
      </c>
      <c r="F109" s="13">
        <f>SUMIF('OD 07-24'!A:A,A109,'OD 07-24'!D:D)</f>
        <v>0</v>
      </c>
      <c r="G109" s="13">
        <f>SUMIF('OD 07-24'!A:A,A109,'OD 07-24'!E:E)</f>
        <v>0</v>
      </c>
      <c r="H109" s="14">
        <f t="shared" si="2"/>
        <v>-90.264000000000124</v>
      </c>
      <c r="I109" s="14">
        <f t="shared" si="3"/>
        <v>-2523.7899999999909</v>
      </c>
      <c r="J109" s="8" t="s">
        <v>81</v>
      </c>
      <c r="K109" s="8"/>
      <c r="M109" s="339"/>
      <c r="N109" s="315"/>
    </row>
    <row r="110" spans="1:14" s="9" customFormat="1" ht="11.25" customHeight="1" x14ac:dyDescent="0.2">
      <c r="A110" s="10">
        <v>42820000</v>
      </c>
      <c r="B110" s="10" t="s">
        <v>83</v>
      </c>
      <c r="C110" s="11">
        <v>-245931.41399999941</v>
      </c>
      <c r="D110" s="11">
        <v>245931.41399999996</v>
      </c>
      <c r="E110" s="11">
        <v>0</v>
      </c>
      <c r="F110" s="13">
        <f>SUMIF('OD 07-24'!A:A,A110,'OD 07-24'!D:D)</f>
        <v>2316817.4890000001</v>
      </c>
      <c r="G110" s="13">
        <f>SUMIF('OD 07-24'!A:A,A110,'OD 07-24'!E:E)</f>
        <v>2560652.4890000001</v>
      </c>
      <c r="H110" s="14">
        <f t="shared" si="2"/>
        <v>2096.4139999998733</v>
      </c>
      <c r="I110" s="14">
        <f t="shared" si="3"/>
        <v>-243834.99999999953</v>
      </c>
      <c r="J110" s="8" t="s">
        <v>81</v>
      </c>
      <c r="K110" s="8"/>
      <c r="M110" s="339"/>
      <c r="N110" s="315"/>
    </row>
    <row r="111" spans="1:14" s="9" customFormat="1" ht="11.25" customHeight="1" x14ac:dyDescent="0.2">
      <c r="A111" s="10">
        <v>43200000</v>
      </c>
      <c r="B111" s="10" t="s">
        <v>311</v>
      </c>
      <c r="C111" s="11">
        <v>0</v>
      </c>
      <c r="D111" s="11">
        <v>0</v>
      </c>
      <c r="E111" s="11">
        <v>0</v>
      </c>
      <c r="F111" s="13">
        <f>SUMIF('OD 07-24'!A:A,A111,'OD 07-24'!D:D)</f>
        <v>0</v>
      </c>
      <c r="G111" s="13">
        <f>SUMIF('OD 07-24'!A:A,A111,'OD 07-24'!E:E)</f>
        <v>0</v>
      </c>
      <c r="H111" s="14">
        <f t="shared" si="2"/>
        <v>0</v>
      </c>
      <c r="I111" s="14">
        <f t="shared" si="3"/>
        <v>0</v>
      </c>
      <c r="J111" s="8"/>
      <c r="K111" s="8"/>
      <c r="M111" s="339"/>
      <c r="N111" s="315"/>
    </row>
    <row r="112" spans="1:14" s="9" customFormat="1" ht="11.25" customHeight="1" x14ac:dyDescent="0.2">
      <c r="A112" s="10">
        <v>43210000</v>
      </c>
      <c r="B112" s="10" t="s">
        <v>84</v>
      </c>
      <c r="C112" s="11">
        <v>0</v>
      </c>
      <c r="D112" s="11">
        <v>427283.592</v>
      </c>
      <c r="E112" s="11">
        <v>490222.05700000003</v>
      </c>
      <c r="F112" s="13">
        <f>SUMIF('OD 07-24'!A:A,A112,'OD 07-24'!D:D)</f>
        <v>0</v>
      </c>
      <c r="G112" s="13">
        <f>SUMIF('OD 07-24'!A:A,A112,'OD 07-24'!E:E)</f>
        <v>0</v>
      </c>
      <c r="H112" s="14">
        <f t="shared" si="2"/>
        <v>-62938.465000000026</v>
      </c>
      <c r="I112" s="14">
        <f t="shared" si="3"/>
        <v>-62938.465000000026</v>
      </c>
      <c r="J112" s="8" t="s">
        <v>81</v>
      </c>
      <c r="K112" s="8"/>
      <c r="M112" s="339"/>
      <c r="N112" s="315"/>
    </row>
    <row r="113" spans="1:14" s="9" customFormat="1" ht="11.25" customHeight="1" x14ac:dyDescent="0.2">
      <c r="A113" s="10">
        <v>43211000</v>
      </c>
      <c r="B113" s="10" t="s">
        <v>312</v>
      </c>
      <c r="C113" s="11">
        <v>0</v>
      </c>
      <c r="D113" s="11">
        <v>2549.4430000000002</v>
      </c>
      <c r="E113" s="11">
        <v>2549.4430000000002</v>
      </c>
      <c r="F113" s="13">
        <f>SUMIF('OD 07-24'!A:A,A113,'OD 07-24'!D:D)</f>
        <v>0</v>
      </c>
      <c r="G113" s="13">
        <f>SUMIF('OD 07-24'!A:A,A113,'OD 07-24'!E:E)</f>
        <v>0</v>
      </c>
      <c r="H113" s="14">
        <f t="shared" si="2"/>
        <v>0</v>
      </c>
      <c r="I113" s="14">
        <f t="shared" si="3"/>
        <v>0</v>
      </c>
      <c r="J113" s="8" t="s">
        <v>81</v>
      </c>
      <c r="K113" s="8"/>
      <c r="M113" s="339"/>
      <c r="N113" s="315"/>
    </row>
    <row r="114" spans="1:14" s="9" customFormat="1" ht="11.25" customHeight="1" x14ac:dyDescent="0.2">
      <c r="A114" s="10">
        <v>43211500</v>
      </c>
      <c r="B114" s="10" t="s">
        <v>85</v>
      </c>
      <c r="C114" s="11">
        <v>0</v>
      </c>
      <c r="D114" s="11">
        <v>149.95400000000001</v>
      </c>
      <c r="E114" s="11">
        <v>149.95499999999998</v>
      </c>
      <c r="F114" s="13">
        <f>SUMIF('OD 07-24'!A:A,A114,'OD 07-24'!D:D)</f>
        <v>0</v>
      </c>
      <c r="G114" s="13">
        <f>SUMIF('OD 07-24'!A:A,A114,'OD 07-24'!E:E)</f>
        <v>0</v>
      </c>
      <c r="H114" s="14">
        <f t="shared" si="2"/>
        <v>-9.9999999997635314E-4</v>
      </c>
      <c r="I114" s="14">
        <f t="shared" si="3"/>
        <v>-9.9999999997635314E-4</v>
      </c>
      <c r="J114" s="8" t="s">
        <v>81</v>
      </c>
      <c r="K114" s="8"/>
      <c r="M114" s="339"/>
      <c r="N114" s="315"/>
    </row>
    <row r="115" spans="1:14" s="9" customFormat="1" ht="11.25" customHeight="1" x14ac:dyDescent="0.2">
      <c r="A115" s="10">
        <v>43212500</v>
      </c>
      <c r="B115" s="10" t="s">
        <v>313</v>
      </c>
      <c r="C115" s="11">
        <v>0</v>
      </c>
      <c r="D115" s="11">
        <v>0</v>
      </c>
      <c r="E115" s="11">
        <v>0</v>
      </c>
      <c r="F115" s="13">
        <f>SUMIF('OD 07-24'!A:A,A115,'OD 07-24'!D:D)</f>
        <v>0</v>
      </c>
      <c r="G115" s="13">
        <f>SUMIF('OD 07-24'!A:A,A115,'OD 07-24'!E:E)</f>
        <v>0</v>
      </c>
      <c r="H115" s="14">
        <f t="shared" si="2"/>
        <v>0</v>
      </c>
      <c r="I115" s="14">
        <f t="shared" si="3"/>
        <v>0</v>
      </c>
      <c r="J115" s="8"/>
      <c r="K115" s="8"/>
      <c r="M115" s="339"/>
      <c r="N115" s="315"/>
    </row>
    <row r="116" spans="1:14" s="9" customFormat="1" ht="11.25" customHeight="1" x14ac:dyDescent="0.2">
      <c r="A116" s="10">
        <v>43215000</v>
      </c>
      <c r="B116" s="10" t="s">
        <v>314</v>
      </c>
      <c r="C116" s="11">
        <v>0</v>
      </c>
      <c r="D116" s="11">
        <v>0</v>
      </c>
      <c r="E116" s="11">
        <v>0</v>
      </c>
      <c r="F116" s="13">
        <f>SUMIF('OD 07-24'!A:A,A116,'OD 07-24'!D:D)</f>
        <v>0</v>
      </c>
      <c r="G116" s="13">
        <f>SUMIF('OD 07-24'!A:A,A116,'OD 07-24'!E:E)</f>
        <v>0</v>
      </c>
      <c r="H116" s="14">
        <f t="shared" si="2"/>
        <v>0</v>
      </c>
      <c r="I116" s="14">
        <f t="shared" si="3"/>
        <v>0</v>
      </c>
      <c r="J116" s="8"/>
      <c r="K116" s="8"/>
      <c r="M116" s="339"/>
      <c r="N116" s="315"/>
    </row>
    <row r="117" spans="1:14" s="9" customFormat="1" ht="11.25" customHeight="1" x14ac:dyDescent="0.2">
      <c r="A117" s="10">
        <v>43220000</v>
      </c>
      <c r="B117" s="10" t="s">
        <v>86</v>
      </c>
      <c r="C117" s="11">
        <v>0</v>
      </c>
      <c r="D117" s="11">
        <v>42808.722999999998</v>
      </c>
      <c r="E117" s="11">
        <v>47808.759000000005</v>
      </c>
      <c r="F117" s="13">
        <f>SUMIF('OD 07-24'!A:A,A117,'OD 07-24'!D:D)</f>
        <v>0</v>
      </c>
      <c r="G117" s="13">
        <f>SUMIF('OD 07-24'!A:A,A117,'OD 07-24'!E:E)</f>
        <v>0</v>
      </c>
      <c r="H117" s="14">
        <f t="shared" si="2"/>
        <v>-5000.0360000000073</v>
      </c>
      <c r="I117" s="14">
        <f t="shared" si="3"/>
        <v>-5000.0360000000073</v>
      </c>
      <c r="J117" s="8" t="s">
        <v>81</v>
      </c>
      <c r="K117" s="8"/>
      <c r="M117" s="339"/>
      <c r="N117" s="315"/>
    </row>
    <row r="118" spans="1:14" s="9" customFormat="1" ht="11.25" customHeight="1" x14ac:dyDescent="0.2">
      <c r="A118" s="10">
        <v>43220050</v>
      </c>
      <c r="B118" s="10" t="s">
        <v>315</v>
      </c>
      <c r="C118" s="11">
        <v>4.7000000002299203E-2</v>
      </c>
      <c r="D118" s="11">
        <v>2.98</v>
      </c>
      <c r="E118" s="11">
        <v>2.98</v>
      </c>
      <c r="F118" s="13">
        <f>SUMIF('OD 07-24'!A:A,A118,'OD 07-24'!D:D)</f>
        <v>0</v>
      </c>
      <c r="G118" s="13">
        <f>SUMIF('OD 07-24'!A:A,A118,'OD 07-24'!E:E)</f>
        <v>0</v>
      </c>
      <c r="H118" s="14">
        <f t="shared" si="2"/>
        <v>0</v>
      </c>
      <c r="I118" s="14">
        <f t="shared" si="3"/>
        <v>4.7000000002299203E-2</v>
      </c>
      <c r="J118" s="8" t="s">
        <v>78</v>
      </c>
      <c r="K118" s="8"/>
      <c r="M118" s="339"/>
      <c r="N118" s="315"/>
    </row>
    <row r="119" spans="1:14" s="9" customFormat="1" ht="11.25" customHeight="1" x14ac:dyDescent="0.2">
      <c r="A119" s="10">
        <v>43220100</v>
      </c>
      <c r="B119" s="10" t="s">
        <v>87</v>
      </c>
      <c r="C119" s="11">
        <v>0</v>
      </c>
      <c r="D119" s="11">
        <v>112477.73000000001</v>
      </c>
      <c r="E119" s="11">
        <v>141227.65600000002</v>
      </c>
      <c r="F119" s="13">
        <f>SUMIF('OD 07-24'!A:A,A119,'OD 07-24'!D:D)</f>
        <v>0</v>
      </c>
      <c r="G119" s="13">
        <f>SUMIF('OD 07-24'!A:A,A119,'OD 07-24'!E:E)</f>
        <v>0</v>
      </c>
      <c r="H119" s="14">
        <f t="shared" si="2"/>
        <v>-28749.926000000007</v>
      </c>
      <c r="I119" s="14">
        <f t="shared" si="3"/>
        <v>-28749.926000000007</v>
      </c>
      <c r="J119" s="8" t="s">
        <v>81</v>
      </c>
      <c r="K119" s="8"/>
      <c r="M119" s="339"/>
      <c r="N119" s="315"/>
    </row>
    <row r="120" spans="1:14" s="9" customFormat="1" ht="11.25" customHeight="1" x14ac:dyDescent="0.2">
      <c r="A120" s="10">
        <v>43220300</v>
      </c>
      <c r="B120" s="10" t="s">
        <v>88</v>
      </c>
      <c r="C120" s="11">
        <v>0</v>
      </c>
      <c r="D120" s="11">
        <v>1857.779</v>
      </c>
      <c r="E120" s="11">
        <v>1857.779</v>
      </c>
      <c r="F120" s="13">
        <f>SUMIF('OD 07-24'!A:A,A120,'OD 07-24'!D:D)</f>
        <v>0</v>
      </c>
      <c r="G120" s="13">
        <f>SUMIF('OD 07-24'!A:A,A120,'OD 07-24'!E:E)</f>
        <v>0</v>
      </c>
      <c r="H120" s="14">
        <f t="shared" si="2"/>
        <v>0</v>
      </c>
      <c r="I120" s="14">
        <f t="shared" si="3"/>
        <v>0</v>
      </c>
      <c r="J120" s="8" t="s">
        <v>81</v>
      </c>
      <c r="K120" s="8"/>
      <c r="M120" s="339"/>
      <c r="N120" s="315"/>
    </row>
    <row r="121" spans="1:14" s="9" customFormat="1" ht="11.25" customHeight="1" x14ac:dyDescent="0.2">
      <c r="A121" s="10">
        <v>43221000</v>
      </c>
      <c r="B121" s="10" t="s">
        <v>89</v>
      </c>
      <c r="C121" s="11">
        <v>0</v>
      </c>
      <c r="D121" s="11">
        <v>0</v>
      </c>
      <c r="E121" s="11">
        <v>22.221999999999998</v>
      </c>
      <c r="F121" s="13">
        <f>SUMIF('OD 07-24'!A:A,A121,'OD 07-24'!D:D)</f>
        <v>0</v>
      </c>
      <c r="G121" s="13">
        <f>SUMIF('OD 07-24'!A:A,A121,'OD 07-24'!E:E)</f>
        <v>0</v>
      </c>
      <c r="H121" s="14">
        <f t="shared" si="2"/>
        <v>-22.221999999999998</v>
      </c>
      <c r="I121" s="14">
        <f t="shared" si="3"/>
        <v>-22.221999999999998</v>
      </c>
      <c r="J121" s="8" t="s">
        <v>81</v>
      </c>
      <c r="K121" s="8"/>
      <c r="M121" s="339"/>
      <c r="N121" s="315"/>
    </row>
    <row r="122" spans="1:14" s="9" customFormat="1" ht="11.25" customHeight="1" x14ac:dyDescent="0.2">
      <c r="A122" s="10">
        <v>43222000</v>
      </c>
      <c r="B122" s="10" t="s">
        <v>316</v>
      </c>
      <c r="C122" s="11">
        <v>0</v>
      </c>
      <c r="D122" s="11">
        <v>81636.790000000008</v>
      </c>
      <c r="E122" s="11">
        <v>81636.790000000008</v>
      </c>
      <c r="F122" s="13">
        <f>SUMIF('OD 07-24'!A:A,A122,'OD 07-24'!D:D)</f>
        <v>0</v>
      </c>
      <c r="G122" s="13">
        <f>SUMIF('OD 07-24'!A:A,A122,'OD 07-24'!E:E)</f>
        <v>0</v>
      </c>
      <c r="H122" s="14">
        <f t="shared" si="2"/>
        <v>0</v>
      </c>
      <c r="I122" s="14">
        <f t="shared" si="3"/>
        <v>0</v>
      </c>
      <c r="J122" s="8" t="s">
        <v>78</v>
      </c>
      <c r="K122" s="8"/>
      <c r="M122" s="339"/>
      <c r="N122" s="315"/>
    </row>
    <row r="123" spans="1:14" s="9" customFormat="1" ht="11.25" customHeight="1" x14ac:dyDescent="0.2">
      <c r="A123" s="10">
        <v>43223000</v>
      </c>
      <c r="B123" s="10" t="s">
        <v>90</v>
      </c>
      <c r="C123" s="11">
        <v>-40912.060000000027</v>
      </c>
      <c r="D123" s="11">
        <v>51355.216</v>
      </c>
      <c r="E123" s="11">
        <v>11474.289999999999</v>
      </c>
      <c r="F123" s="13">
        <f>SUMIF('OD 07-24'!A:A,A123,'OD 07-24'!D:D)</f>
        <v>0</v>
      </c>
      <c r="G123" s="13">
        <f>SUMIF('OD 07-24'!A:A,A123,'OD 07-24'!E:E)</f>
        <v>0</v>
      </c>
      <c r="H123" s="14">
        <f t="shared" si="2"/>
        <v>39880.925999999999</v>
      </c>
      <c r="I123" s="14">
        <f t="shared" si="3"/>
        <v>-1031.1340000000273</v>
      </c>
      <c r="J123" s="8" t="s">
        <v>81</v>
      </c>
      <c r="K123" s="8"/>
      <c r="M123" s="339"/>
      <c r="N123" s="315"/>
    </row>
    <row r="124" spans="1:14" s="9" customFormat="1" ht="11.25" customHeight="1" x14ac:dyDescent="0.2">
      <c r="A124" s="10">
        <v>43310000</v>
      </c>
      <c r="B124" s="10" t="s">
        <v>317</v>
      </c>
      <c r="C124" s="11">
        <v>0</v>
      </c>
      <c r="D124" s="11">
        <v>0</v>
      </c>
      <c r="E124" s="11">
        <v>0</v>
      </c>
      <c r="F124" s="13">
        <f>SUMIF('OD 07-24'!A:A,A124,'OD 07-24'!D:D)</f>
        <v>0</v>
      </c>
      <c r="G124" s="13">
        <f>SUMIF('OD 07-24'!A:A,A124,'OD 07-24'!E:E)</f>
        <v>0</v>
      </c>
      <c r="H124" s="14">
        <f t="shared" si="2"/>
        <v>0</v>
      </c>
      <c r="I124" s="14">
        <f t="shared" si="3"/>
        <v>0</v>
      </c>
      <c r="J124" s="8"/>
      <c r="K124" s="8"/>
      <c r="M124" s="339"/>
      <c r="N124" s="315"/>
    </row>
    <row r="125" spans="1:14" s="9" customFormat="1" ht="11.25" customHeight="1" x14ac:dyDescent="0.2">
      <c r="A125" s="10">
        <v>43400000</v>
      </c>
      <c r="B125" s="10" t="s">
        <v>91</v>
      </c>
      <c r="C125" s="11">
        <v>967729.65199999954</v>
      </c>
      <c r="D125" s="11">
        <v>0</v>
      </c>
      <c r="E125" s="11">
        <v>0</v>
      </c>
      <c r="F125" s="13">
        <f>SUMIF('OD 07-24'!A:A,A125,'OD 07-24'!D:D)</f>
        <v>0</v>
      </c>
      <c r="G125" s="13">
        <f>SUMIF('OD 07-24'!A:A,A125,'OD 07-24'!E:E)</f>
        <v>0</v>
      </c>
      <c r="H125" s="14">
        <f t="shared" si="2"/>
        <v>0</v>
      </c>
      <c r="I125" s="14">
        <f t="shared" si="3"/>
        <v>967729.65199999954</v>
      </c>
      <c r="J125" s="8" t="s">
        <v>78</v>
      </c>
      <c r="K125" s="8"/>
      <c r="M125" s="339"/>
      <c r="N125" s="315"/>
    </row>
    <row r="126" spans="1:14" s="9" customFormat="1" ht="11.25" customHeight="1" x14ac:dyDescent="0.2">
      <c r="A126" s="10">
        <v>43410000</v>
      </c>
      <c r="B126" s="10" t="s">
        <v>318</v>
      </c>
      <c r="C126" s="11">
        <v>0</v>
      </c>
      <c r="D126" s="11">
        <v>217503.73899999997</v>
      </c>
      <c r="E126" s="11">
        <v>0</v>
      </c>
      <c r="F126" s="13">
        <f>SUMIF('OD 07-24'!A:A,A126,'OD 07-24'!D:D)</f>
        <v>0</v>
      </c>
      <c r="G126" s="13">
        <f>SUMIF('OD 07-24'!A:A,A126,'OD 07-24'!E:E)</f>
        <v>0</v>
      </c>
      <c r="H126" s="14">
        <f t="shared" si="2"/>
        <v>217503.73899999997</v>
      </c>
      <c r="I126" s="14">
        <f t="shared" si="3"/>
        <v>217503.73899999997</v>
      </c>
      <c r="J126" s="8" t="s">
        <v>78</v>
      </c>
      <c r="K126" s="8"/>
      <c r="M126" s="339"/>
      <c r="N126" s="315"/>
    </row>
    <row r="127" spans="1:14" s="9" customFormat="1" ht="11.25" customHeight="1" x14ac:dyDescent="0.2">
      <c r="A127" s="10">
        <v>43420000</v>
      </c>
      <c r="B127" s="10" t="s">
        <v>92</v>
      </c>
      <c r="C127" s="11">
        <v>0</v>
      </c>
      <c r="D127" s="11">
        <v>0</v>
      </c>
      <c r="E127" s="11">
        <v>0</v>
      </c>
      <c r="F127" s="13">
        <f>SUMIF('OD 07-24'!A:A,A127,'OD 07-24'!D:D)</f>
        <v>0</v>
      </c>
      <c r="G127" s="13">
        <f>SUMIF('OD 07-24'!A:A,A127,'OD 07-24'!E:E)</f>
        <v>0</v>
      </c>
      <c r="H127" s="14">
        <f t="shared" si="2"/>
        <v>0</v>
      </c>
      <c r="I127" s="14">
        <f t="shared" si="3"/>
        <v>0</v>
      </c>
      <c r="J127" s="8"/>
      <c r="K127" s="8"/>
      <c r="M127" s="339"/>
      <c r="N127" s="315"/>
    </row>
    <row r="128" spans="1:14" s="9" customFormat="1" ht="11.25" customHeight="1" x14ac:dyDescent="0.2">
      <c r="A128" s="10">
        <v>43430000</v>
      </c>
      <c r="B128" s="10" t="s">
        <v>319</v>
      </c>
      <c r="C128" s="11">
        <v>0</v>
      </c>
      <c r="D128" s="11">
        <v>135.946</v>
      </c>
      <c r="E128" s="11">
        <v>135.946</v>
      </c>
      <c r="F128" s="13">
        <f>SUMIF('OD 07-24'!A:A,A128,'OD 07-24'!D:D)</f>
        <v>0</v>
      </c>
      <c r="G128" s="13">
        <f>SUMIF('OD 07-24'!A:A,A128,'OD 07-24'!E:E)</f>
        <v>0</v>
      </c>
      <c r="H128" s="14">
        <f t="shared" si="2"/>
        <v>0</v>
      </c>
      <c r="I128" s="14">
        <f t="shared" si="3"/>
        <v>0</v>
      </c>
      <c r="J128" s="8" t="s">
        <v>78</v>
      </c>
      <c r="K128" s="8"/>
      <c r="M128" s="339"/>
      <c r="N128" s="315"/>
    </row>
    <row r="129" spans="1:14" s="9" customFormat="1" ht="11.25" customHeight="1" x14ac:dyDescent="0.2">
      <c r="A129" s="10">
        <v>43440000</v>
      </c>
      <c r="B129" s="10" t="s">
        <v>320</v>
      </c>
      <c r="C129" s="11">
        <v>0</v>
      </c>
      <c r="D129" s="11">
        <v>6135.9</v>
      </c>
      <c r="E129" s="11">
        <v>6135.9</v>
      </c>
      <c r="F129" s="13">
        <f>SUMIF('OD 07-24'!A:A,A129,'OD 07-24'!D:D)</f>
        <v>0</v>
      </c>
      <c r="G129" s="13">
        <f>SUMIF('OD 07-24'!A:A,A129,'OD 07-24'!E:E)</f>
        <v>0</v>
      </c>
      <c r="H129" s="14">
        <f t="shared" si="2"/>
        <v>0</v>
      </c>
      <c r="I129" s="14">
        <f t="shared" si="3"/>
        <v>0</v>
      </c>
      <c r="J129" s="8" t="s">
        <v>78</v>
      </c>
      <c r="K129" s="8"/>
      <c r="M129" s="339"/>
      <c r="N129" s="315"/>
    </row>
    <row r="130" spans="1:14" s="9" customFormat="1" ht="11.25" customHeight="1" x14ac:dyDescent="0.2">
      <c r="A130" s="10">
        <v>43500000</v>
      </c>
      <c r="B130" s="10" t="s">
        <v>321</v>
      </c>
      <c r="C130" s="11">
        <v>-70408.270000000484</v>
      </c>
      <c r="D130" s="11">
        <v>413181.31799999997</v>
      </c>
      <c r="E130" s="11">
        <v>557840.52599999995</v>
      </c>
      <c r="F130" s="13">
        <f>SUMIF('OD 07-24'!A:A,A130,'OD 07-24'!D:D)</f>
        <v>0</v>
      </c>
      <c r="G130" s="13">
        <f>SUMIF('OD 07-24'!A:A,A130,'OD 07-24'!E:E)</f>
        <v>0</v>
      </c>
      <c r="H130" s="14">
        <f t="shared" si="2"/>
        <v>-144659.20799999998</v>
      </c>
      <c r="I130" s="14">
        <f t="shared" si="3"/>
        <v>-215067.47800000047</v>
      </c>
      <c r="J130" s="8" t="s">
        <v>81</v>
      </c>
      <c r="K130" s="8"/>
      <c r="M130" s="339"/>
      <c r="N130" s="315"/>
    </row>
    <row r="131" spans="1:14" s="9" customFormat="1" ht="11.25" customHeight="1" x14ac:dyDescent="0.2">
      <c r="A131" s="10">
        <v>43600000</v>
      </c>
      <c r="B131" s="10" t="s">
        <v>93</v>
      </c>
      <c r="C131" s="11">
        <v>697619.66200000048</v>
      </c>
      <c r="D131" s="11">
        <v>5667035.4570000004</v>
      </c>
      <c r="E131" s="11">
        <v>4098939.111</v>
      </c>
      <c r="F131" s="13">
        <f>SUMIF('OD 07-24'!A:A,A131,'OD 07-24'!D:D)</f>
        <v>0</v>
      </c>
      <c r="G131" s="13">
        <f>SUMIF('OD 07-24'!A:A,A131,'OD 07-24'!E:E)</f>
        <v>0</v>
      </c>
      <c r="H131" s="14">
        <f t="shared" ref="H131:H194" si="4">+D131+F131-E131-G131</f>
        <v>1568096.3460000004</v>
      </c>
      <c r="I131" s="14">
        <f t="shared" ref="I131:I194" si="5">+H131+C131</f>
        <v>2265716.0080000008</v>
      </c>
      <c r="J131" s="8" t="s">
        <v>78</v>
      </c>
      <c r="K131" s="8"/>
      <c r="M131" s="339"/>
      <c r="N131" s="315"/>
    </row>
    <row r="132" spans="1:14" s="9" customFormat="1" ht="11.25" customHeight="1" x14ac:dyDescent="0.2">
      <c r="A132" s="10">
        <v>43625000</v>
      </c>
      <c r="B132" s="10" t="s">
        <v>94</v>
      </c>
      <c r="C132" s="11">
        <v>0</v>
      </c>
      <c r="D132" s="11">
        <v>163124.07399999999</v>
      </c>
      <c r="E132" s="11">
        <v>201868.13699999999</v>
      </c>
      <c r="F132" s="13">
        <f>SUMIF('OD 07-24'!A:A,A132,'OD 07-24'!D:D)</f>
        <v>0</v>
      </c>
      <c r="G132" s="13">
        <f>SUMIF('OD 07-24'!A:A,A132,'OD 07-24'!E:E)</f>
        <v>0</v>
      </c>
      <c r="H132" s="14">
        <f t="shared" si="4"/>
        <v>-38744.062999999995</v>
      </c>
      <c r="I132" s="14">
        <f t="shared" si="5"/>
        <v>-38744.062999999995</v>
      </c>
      <c r="J132" s="8" t="s">
        <v>81</v>
      </c>
      <c r="K132" s="8"/>
      <c r="M132" s="339"/>
      <c r="N132" s="315"/>
    </row>
    <row r="133" spans="1:14" s="9" customFormat="1" ht="11.25" customHeight="1" x14ac:dyDescent="0.2">
      <c r="A133" s="10">
        <v>43627000</v>
      </c>
      <c r="B133" s="10" t="s">
        <v>95</v>
      </c>
      <c r="C133" s="11">
        <v>1.0999999940395355E-2</v>
      </c>
      <c r="D133" s="11">
        <v>1141868.517</v>
      </c>
      <c r="E133" s="11">
        <v>1413076.9309999999</v>
      </c>
      <c r="F133" s="13">
        <f>SUMIF('OD 07-24'!A:A,A133,'OD 07-24'!D:D)</f>
        <v>0</v>
      </c>
      <c r="G133" s="13">
        <f>SUMIF('OD 07-24'!A:A,A133,'OD 07-24'!E:E)</f>
        <v>0</v>
      </c>
      <c r="H133" s="14">
        <f t="shared" si="4"/>
        <v>-271208.41399999987</v>
      </c>
      <c r="I133" s="14">
        <f t="shared" si="5"/>
        <v>-271208.40299999993</v>
      </c>
      <c r="J133" s="8" t="s">
        <v>81</v>
      </c>
      <c r="K133" s="8"/>
      <c r="M133" s="339"/>
      <c r="N133" s="315"/>
    </row>
    <row r="134" spans="1:14" s="9" customFormat="1" ht="11.25" customHeight="1" x14ac:dyDescent="0.2">
      <c r="A134" s="10">
        <v>43630600</v>
      </c>
      <c r="B134" s="10" t="s">
        <v>322</v>
      </c>
      <c r="C134" s="11">
        <v>0</v>
      </c>
      <c r="D134" s="11">
        <v>0</v>
      </c>
      <c r="E134" s="11">
        <v>0</v>
      </c>
      <c r="F134" s="13">
        <f>SUMIF('OD 07-24'!A:A,A134,'OD 07-24'!D:D)</f>
        <v>0</v>
      </c>
      <c r="G134" s="13">
        <f>SUMIF('OD 07-24'!A:A,A134,'OD 07-24'!E:E)</f>
        <v>0</v>
      </c>
      <c r="H134" s="14">
        <f t="shared" si="4"/>
        <v>0</v>
      </c>
      <c r="I134" s="14">
        <f t="shared" si="5"/>
        <v>0</v>
      </c>
      <c r="J134" s="8"/>
      <c r="K134" s="8"/>
      <c r="M134" s="339"/>
      <c r="N134" s="315"/>
    </row>
    <row r="135" spans="1:14" s="9" customFormat="1" ht="11.25" customHeight="1" x14ac:dyDescent="0.2">
      <c r="A135" s="10">
        <v>43630700</v>
      </c>
      <c r="B135" s="10" t="s">
        <v>96</v>
      </c>
      <c r="C135" s="11">
        <v>6400.8769999999786</v>
      </c>
      <c r="D135" s="11">
        <v>18140.465</v>
      </c>
      <c r="E135" s="11">
        <v>22669.632999999998</v>
      </c>
      <c r="F135" s="13">
        <f>SUMIF('OD 07-24'!A:A,A135,'OD 07-24'!D:D)</f>
        <v>0</v>
      </c>
      <c r="G135" s="13">
        <f>SUMIF('OD 07-24'!A:A,A135,'OD 07-24'!E:E)</f>
        <v>0</v>
      </c>
      <c r="H135" s="14">
        <f t="shared" si="4"/>
        <v>-4529.1679999999978</v>
      </c>
      <c r="I135" s="14">
        <f t="shared" si="5"/>
        <v>1871.7089999999807</v>
      </c>
      <c r="J135" s="8" t="s">
        <v>78</v>
      </c>
      <c r="K135" s="8"/>
      <c r="M135" s="339"/>
      <c r="N135" s="315"/>
    </row>
    <row r="136" spans="1:14" s="9" customFormat="1" ht="11.25" customHeight="1" x14ac:dyDescent="0.2">
      <c r="A136" s="10">
        <v>43631000</v>
      </c>
      <c r="B136" s="10" t="s">
        <v>323</v>
      </c>
      <c r="C136" s="11">
        <v>0</v>
      </c>
      <c r="D136" s="11">
        <v>0</v>
      </c>
      <c r="E136" s="11">
        <v>0</v>
      </c>
      <c r="F136" s="13">
        <f>SUMIF('OD 07-24'!A:A,A136,'OD 07-24'!D:D)</f>
        <v>0</v>
      </c>
      <c r="G136" s="13">
        <f>SUMIF('OD 07-24'!A:A,A136,'OD 07-24'!E:E)</f>
        <v>0</v>
      </c>
      <c r="H136" s="14">
        <f t="shared" si="4"/>
        <v>0</v>
      </c>
      <c r="I136" s="14">
        <f t="shared" si="5"/>
        <v>0</v>
      </c>
      <c r="J136" s="8"/>
      <c r="K136" s="8"/>
      <c r="M136" s="339"/>
      <c r="N136" s="315"/>
    </row>
    <row r="137" spans="1:14" s="9" customFormat="1" ht="11.25" customHeight="1" x14ac:dyDescent="0.2">
      <c r="A137" s="10">
        <v>43631300</v>
      </c>
      <c r="B137" s="10" t="s">
        <v>324</v>
      </c>
      <c r="C137" s="11">
        <v>0</v>
      </c>
      <c r="D137" s="11">
        <v>13760.626</v>
      </c>
      <c r="E137" s="11">
        <v>12157.746000000001</v>
      </c>
      <c r="F137" s="13">
        <f>SUMIF('OD 07-24'!A:A,A137,'OD 07-24'!D:D)</f>
        <v>0</v>
      </c>
      <c r="G137" s="13">
        <f>SUMIF('OD 07-24'!A:A,A137,'OD 07-24'!E:E)</f>
        <v>0</v>
      </c>
      <c r="H137" s="14">
        <f t="shared" si="4"/>
        <v>1602.8799999999992</v>
      </c>
      <c r="I137" s="14">
        <f t="shared" si="5"/>
        <v>1602.8799999999992</v>
      </c>
      <c r="J137" s="8" t="s">
        <v>78</v>
      </c>
      <c r="K137" s="8"/>
      <c r="M137" s="339"/>
      <c r="N137" s="315"/>
    </row>
    <row r="138" spans="1:14" s="9" customFormat="1" ht="11.25" customHeight="1" x14ac:dyDescent="0.2">
      <c r="A138" s="10">
        <v>43631800</v>
      </c>
      <c r="B138" s="10" t="s">
        <v>325</v>
      </c>
      <c r="C138" s="11">
        <v>0</v>
      </c>
      <c r="D138" s="11">
        <v>0</v>
      </c>
      <c r="E138" s="11">
        <v>0</v>
      </c>
      <c r="F138" s="13">
        <f>SUMIF('OD 07-24'!A:A,A138,'OD 07-24'!D:D)</f>
        <v>0</v>
      </c>
      <c r="G138" s="13">
        <f>SUMIF('OD 07-24'!A:A,A138,'OD 07-24'!E:E)</f>
        <v>0</v>
      </c>
      <c r="H138" s="14">
        <f t="shared" si="4"/>
        <v>0</v>
      </c>
      <c r="I138" s="14">
        <f t="shared" si="5"/>
        <v>0</v>
      </c>
      <c r="J138" s="8"/>
      <c r="K138" s="8"/>
      <c r="M138" s="339"/>
      <c r="N138" s="315"/>
    </row>
    <row r="139" spans="1:14" s="9" customFormat="1" ht="11.25" customHeight="1" x14ac:dyDescent="0.2">
      <c r="A139" s="10">
        <v>43631900</v>
      </c>
      <c r="B139" s="10" t="s">
        <v>97</v>
      </c>
      <c r="C139" s="11">
        <v>-3.9999932050704956E-3</v>
      </c>
      <c r="D139" s="11">
        <v>5339948.4489999991</v>
      </c>
      <c r="E139" s="11">
        <v>4521206.3589999992</v>
      </c>
      <c r="F139" s="13">
        <f>SUMIF('OD 07-24'!A:A,A139,'OD 07-24'!D:D)</f>
        <v>0</v>
      </c>
      <c r="G139" s="13">
        <f>SUMIF('OD 07-24'!A:A,A139,'OD 07-24'!E:E)</f>
        <v>0</v>
      </c>
      <c r="H139" s="14">
        <f t="shared" si="4"/>
        <v>818742.08999999985</v>
      </c>
      <c r="I139" s="14">
        <f t="shared" si="5"/>
        <v>818742.08600000665</v>
      </c>
      <c r="J139" s="8" t="s">
        <v>78</v>
      </c>
      <c r="K139" s="8"/>
      <c r="M139" s="339"/>
      <c r="N139" s="315"/>
    </row>
    <row r="140" spans="1:14" s="9" customFormat="1" ht="11.25" customHeight="1" x14ac:dyDescent="0.2">
      <c r="A140" s="10">
        <v>43661800</v>
      </c>
      <c r="B140" s="10" t="s">
        <v>326</v>
      </c>
      <c r="C140" s="11">
        <v>0</v>
      </c>
      <c r="D140" s="11">
        <v>0</v>
      </c>
      <c r="E140" s="11">
        <v>0</v>
      </c>
      <c r="F140" s="13">
        <f>SUMIF('OD 07-24'!A:A,A140,'OD 07-24'!D:D)</f>
        <v>0</v>
      </c>
      <c r="G140" s="13">
        <f>SUMIF('OD 07-24'!A:A,A140,'OD 07-24'!E:E)</f>
        <v>0</v>
      </c>
      <c r="H140" s="14">
        <f t="shared" si="4"/>
        <v>0</v>
      </c>
      <c r="I140" s="14">
        <f t="shared" si="5"/>
        <v>0</v>
      </c>
      <c r="J140" s="8"/>
      <c r="K140" s="8"/>
      <c r="M140" s="339"/>
      <c r="N140" s="315"/>
    </row>
    <row r="141" spans="1:14" s="9" customFormat="1" ht="11.25" customHeight="1" x14ac:dyDescent="0.2">
      <c r="A141" s="10">
        <v>43671000</v>
      </c>
      <c r="B141" s="10" t="s">
        <v>98</v>
      </c>
      <c r="C141" s="11">
        <v>0</v>
      </c>
      <c r="D141" s="11">
        <v>3441949.4109999998</v>
      </c>
      <c r="E141" s="11">
        <v>4226306.0920000002</v>
      </c>
      <c r="F141" s="13">
        <f>SUMIF('OD 07-24'!A:A,A141,'OD 07-24'!D:D)</f>
        <v>0</v>
      </c>
      <c r="G141" s="13">
        <f>SUMIF('OD 07-24'!A:A,A141,'OD 07-24'!E:E)</f>
        <v>0</v>
      </c>
      <c r="H141" s="14">
        <f t="shared" si="4"/>
        <v>-784356.68100000033</v>
      </c>
      <c r="I141" s="14">
        <f t="shared" si="5"/>
        <v>-784356.68100000033</v>
      </c>
      <c r="J141" s="8" t="s">
        <v>81</v>
      </c>
      <c r="K141" s="8"/>
      <c r="M141" s="339"/>
      <c r="N141" s="315"/>
    </row>
    <row r="142" spans="1:14" s="9" customFormat="1" ht="11.25" customHeight="1" x14ac:dyDescent="0.2">
      <c r="A142" s="10">
        <v>43700000</v>
      </c>
      <c r="B142" s="10" t="s">
        <v>99</v>
      </c>
      <c r="C142" s="11">
        <v>0</v>
      </c>
      <c r="D142" s="11">
        <v>29</v>
      </c>
      <c r="E142" s="11">
        <v>31</v>
      </c>
      <c r="F142" s="13">
        <f>SUMIF('OD 07-24'!A:A,A142,'OD 07-24'!D:D)</f>
        <v>0</v>
      </c>
      <c r="G142" s="13">
        <f>SUMIF('OD 07-24'!A:A,A142,'OD 07-24'!E:E)</f>
        <v>0</v>
      </c>
      <c r="H142" s="14">
        <f t="shared" si="4"/>
        <v>-2</v>
      </c>
      <c r="I142" s="14">
        <f t="shared" si="5"/>
        <v>-2</v>
      </c>
      <c r="J142" s="8" t="s">
        <v>81</v>
      </c>
      <c r="K142" s="8"/>
      <c r="M142" s="339"/>
      <c r="N142" s="315"/>
    </row>
    <row r="143" spans="1:14" s="9" customFormat="1" ht="11.25" customHeight="1" x14ac:dyDescent="0.2">
      <c r="A143" s="10">
        <v>43720000</v>
      </c>
      <c r="B143" s="10" t="s">
        <v>327</v>
      </c>
      <c r="C143" s="11">
        <v>0</v>
      </c>
      <c r="D143" s="11">
        <v>0</v>
      </c>
      <c r="E143" s="11">
        <v>0</v>
      </c>
      <c r="F143" s="13">
        <f>SUMIF('OD 07-24'!A:A,A143,'OD 07-24'!D:D)</f>
        <v>0</v>
      </c>
      <c r="G143" s="13">
        <f>SUMIF('OD 07-24'!A:A,A143,'OD 07-24'!E:E)</f>
        <v>0</v>
      </c>
      <c r="H143" s="14">
        <f t="shared" si="4"/>
        <v>0</v>
      </c>
      <c r="I143" s="14">
        <f t="shared" si="5"/>
        <v>0</v>
      </c>
      <c r="J143" s="8"/>
      <c r="K143" s="8"/>
      <c r="M143" s="339"/>
      <c r="N143" s="315"/>
    </row>
    <row r="144" spans="1:14" s="9" customFormat="1" ht="11.25" customHeight="1" x14ac:dyDescent="0.2">
      <c r="A144" s="10">
        <v>43756000</v>
      </c>
      <c r="B144" s="10" t="s">
        <v>328</v>
      </c>
      <c r="C144" s="11">
        <v>0</v>
      </c>
      <c r="D144" s="11">
        <v>0</v>
      </c>
      <c r="E144" s="11">
        <v>0</v>
      </c>
      <c r="F144" s="13">
        <f>SUMIF('OD 07-24'!A:A,A144,'OD 07-24'!D:D)</f>
        <v>0</v>
      </c>
      <c r="G144" s="13">
        <f>SUMIF('OD 07-24'!A:A,A144,'OD 07-24'!E:E)</f>
        <v>0</v>
      </c>
      <c r="H144" s="14">
        <f t="shared" si="4"/>
        <v>0</v>
      </c>
      <c r="I144" s="14">
        <f t="shared" si="5"/>
        <v>0</v>
      </c>
      <c r="J144" s="8"/>
      <c r="K144" s="8"/>
      <c r="M144" s="339"/>
      <c r="N144" s="315"/>
    </row>
    <row r="145" spans="1:14" s="9" customFormat="1" ht="11.25" customHeight="1" x14ac:dyDescent="0.2">
      <c r="A145" s="10">
        <v>44100000</v>
      </c>
      <c r="B145" s="10" t="s">
        <v>329</v>
      </c>
      <c r="C145" s="11">
        <v>0</v>
      </c>
      <c r="D145" s="11">
        <v>0</v>
      </c>
      <c r="E145" s="11">
        <v>0</v>
      </c>
      <c r="F145" s="13">
        <f>SUMIF('OD 07-24'!A:A,A145,'OD 07-24'!D:D)</f>
        <v>0</v>
      </c>
      <c r="G145" s="13">
        <f>SUMIF('OD 07-24'!A:A,A145,'OD 07-24'!E:E)</f>
        <v>0</v>
      </c>
      <c r="H145" s="14">
        <f t="shared" si="4"/>
        <v>0</v>
      </c>
      <c r="I145" s="14">
        <f t="shared" si="5"/>
        <v>0</v>
      </c>
      <c r="J145" s="8"/>
      <c r="K145" s="8"/>
      <c r="M145" s="339"/>
      <c r="N145" s="315"/>
    </row>
    <row r="146" spans="1:14" s="9" customFormat="1" ht="11.25" customHeight="1" x14ac:dyDescent="0.2">
      <c r="A146" s="10">
        <v>44101000</v>
      </c>
      <c r="B146" s="10" t="s">
        <v>7717</v>
      </c>
      <c r="C146" s="11">
        <v>0</v>
      </c>
      <c r="D146" s="11">
        <v>0</v>
      </c>
      <c r="E146" s="11">
        <v>0</v>
      </c>
      <c r="F146" s="13">
        <f>SUMIF('OD 07-24'!A:A,A146,'OD 07-24'!D:D)</f>
        <v>0</v>
      </c>
      <c r="G146" s="13">
        <f>SUMIF('OD 07-24'!A:A,A146,'OD 07-24'!E:E)</f>
        <v>0</v>
      </c>
      <c r="H146" s="14">
        <f t="shared" si="4"/>
        <v>0</v>
      </c>
      <c r="I146" s="14">
        <f t="shared" si="5"/>
        <v>0</v>
      </c>
      <c r="J146" s="8"/>
      <c r="K146" s="8"/>
      <c r="M146" s="339"/>
      <c r="N146" s="315"/>
    </row>
    <row r="147" spans="1:14" s="9" customFormat="1" ht="11.25" customHeight="1" x14ac:dyDescent="0.2">
      <c r="A147" s="10">
        <v>44200000</v>
      </c>
      <c r="B147" s="10" t="s">
        <v>330</v>
      </c>
      <c r="C147" s="11">
        <v>0</v>
      </c>
      <c r="D147" s="11">
        <v>0</v>
      </c>
      <c r="E147" s="11">
        <v>0</v>
      </c>
      <c r="F147" s="13">
        <f>SUMIF('OD 07-24'!A:A,A147,'OD 07-24'!D:D)</f>
        <v>0</v>
      </c>
      <c r="G147" s="13">
        <f>SUMIF('OD 07-24'!A:A,A147,'OD 07-24'!E:E)</f>
        <v>0</v>
      </c>
      <c r="H147" s="14">
        <f t="shared" si="4"/>
        <v>0</v>
      </c>
      <c r="I147" s="14">
        <f t="shared" si="5"/>
        <v>0</v>
      </c>
      <c r="J147" s="8"/>
      <c r="K147" s="8"/>
      <c r="M147" s="339"/>
      <c r="N147" s="315"/>
    </row>
    <row r="148" spans="1:14" s="9" customFormat="1" ht="11.25" customHeight="1" x14ac:dyDescent="0.2">
      <c r="A148" s="10">
        <v>44201000</v>
      </c>
      <c r="B148" s="10" t="s">
        <v>331</v>
      </c>
      <c r="C148" s="11">
        <v>44498.300999999978</v>
      </c>
      <c r="D148" s="11">
        <v>0</v>
      </c>
      <c r="E148" s="11">
        <v>44498.302000000003</v>
      </c>
      <c r="F148" s="13">
        <f>SUMIF('OD 07-24'!A:A,A148,'OD 07-24'!D:D)</f>
        <v>0</v>
      </c>
      <c r="G148" s="13">
        <f>SUMIF('OD 07-24'!A:A,A148,'OD 07-24'!E:E)</f>
        <v>0</v>
      </c>
      <c r="H148" s="14">
        <f t="shared" si="4"/>
        <v>-44498.302000000003</v>
      </c>
      <c r="I148" s="14">
        <f t="shared" si="5"/>
        <v>-1.0000000256695785E-3</v>
      </c>
      <c r="J148" s="8" t="s">
        <v>81</v>
      </c>
      <c r="K148" s="8"/>
      <c r="M148" s="339"/>
      <c r="N148" s="315"/>
    </row>
    <row r="149" spans="1:14" s="9" customFormat="1" ht="11.25" customHeight="1" x14ac:dyDescent="0.2">
      <c r="A149" s="10">
        <v>44202000</v>
      </c>
      <c r="B149" s="10" t="s">
        <v>332</v>
      </c>
      <c r="C149" s="11">
        <v>0</v>
      </c>
      <c r="D149" s="11">
        <v>0</v>
      </c>
      <c r="E149" s="11">
        <v>0</v>
      </c>
      <c r="F149" s="13">
        <f>SUMIF('OD 07-24'!A:A,A149,'OD 07-24'!D:D)</f>
        <v>0</v>
      </c>
      <c r="G149" s="13">
        <f>SUMIF('OD 07-24'!A:A,A149,'OD 07-24'!E:E)</f>
        <v>0</v>
      </c>
      <c r="H149" s="14">
        <f t="shared" si="4"/>
        <v>0</v>
      </c>
      <c r="I149" s="14">
        <f t="shared" si="5"/>
        <v>0</v>
      </c>
      <c r="J149" s="8"/>
      <c r="K149" s="8"/>
      <c r="M149" s="339"/>
      <c r="N149" s="315"/>
    </row>
    <row r="150" spans="1:14" s="9" customFormat="1" ht="11.25" customHeight="1" x14ac:dyDescent="0.2">
      <c r="A150" s="10">
        <v>44203000</v>
      </c>
      <c r="B150" s="10" t="s">
        <v>333</v>
      </c>
      <c r="C150" s="11">
        <v>0</v>
      </c>
      <c r="D150" s="11">
        <v>0</v>
      </c>
      <c r="E150" s="11">
        <v>0</v>
      </c>
      <c r="F150" s="13">
        <f>SUMIF('OD 07-24'!A:A,A150,'OD 07-24'!D:D)</f>
        <v>0</v>
      </c>
      <c r="G150" s="13">
        <f>SUMIF('OD 07-24'!A:A,A150,'OD 07-24'!E:E)</f>
        <v>0</v>
      </c>
      <c r="H150" s="14">
        <f t="shared" si="4"/>
        <v>0</v>
      </c>
      <c r="I150" s="14">
        <f t="shared" si="5"/>
        <v>0</v>
      </c>
      <c r="J150" s="8"/>
      <c r="K150" s="8"/>
      <c r="M150" s="339"/>
      <c r="N150" s="315"/>
    </row>
    <row r="151" spans="1:14" s="9" customFormat="1" ht="11.25" customHeight="1" x14ac:dyDescent="0.2">
      <c r="A151" s="10">
        <v>44204000</v>
      </c>
      <c r="B151" s="10" t="s">
        <v>334</v>
      </c>
      <c r="C151" s="11">
        <v>0</v>
      </c>
      <c r="D151" s="11">
        <v>0</v>
      </c>
      <c r="E151" s="11">
        <v>0</v>
      </c>
      <c r="F151" s="13">
        <f>SUMIF('OD 07-24'!A:A,A151,'OD 07-24'!D:D)</f>
        <v>0</v>
      </c>
      <c r="G151" s="13">
        <f>SUMIF('OD 07-24'!A:A,A151,'OD 07-24'!E:E)</f>
        <v>0</v>
      </c>
      <c r="H151" s="14">
        <f t="shared" si="4"/>
        <v>0</v>
      </c>
      <c r="I151" s="14">
        <f t="shared" si="5"/>
        <v>0</v>
      </c>
      <c r="J151" s="8"/>
      <c r="K151" s="8"/>
      <c r="M151" s="339"/>
      <c r="N151" s="315"/>
    </row>
    <row r="152" spans="1:14" s="9" customFormat="1" ht="11.25" customHeight="1" x14ac:dyDescent="0.2">
      <c r="A152" s="10">
        <v>44205000</v>
      </c>
      <c r="B152" s="10" t="s">
        <v>335</v>
      </c>
      <c r="C152" s="11">
        <v>0</v>
      </c>
      <c r="D152" s="11">
        <v>0</v>
      </c>
      <c r="E152" s="11">
        <v>0</v>
      </c>
      <c r="F152" s="13">
        <f>SUMIF('OD 07-24'!A:A,A152,'OD 07-24'!D:D)</f>
        <v>0</v>
      </c>
      <c r="G152" s="13">
        <f>SUMIF('OD 07-24'!A:A,A152,'OD 07-24'!E:E)</f>
        <v>0</v>
      </c>
      <c r="H152" s="14">
        <f t="shared" si="4"/>
        <v>0</v>
      </c>
      <c r="I152" s="14">
        <f t="shared" si="5"/>
        <v>0</v>
      </c>
      <c r="J152" s="8"/>
      <c r="K152" s="8"/>
      <c r="M152" s="339"/>
      <c r="N152" s="315"/>
    </row>
    <row r="153" spans="1:14" s="9" customFormat="1" ht="11.25" customHeight="1" x14ac:dyDescent="0.2">
      <c r="A153" s="10">
        <v>44206000</v>
      </c>
      <c r="B153" s="10" t="s">
        <v>100</v>
      </c>
      <c r="C153" s="11">
        <v>-439999.99999999988</v>
      </c>
      <c r="D153" s="11">
        <v>145000</v>
      </c>
      <c r="E153" s="11">
        <v>0</v>
      </c>
      <c r="F153" s="13">
        <f>SUMIF('OD 07-24'!A:A,A153,'OD 07-24'!D:D)</f>
        <v>0</v>
      </c>
      <c r="G153" s="13">
        <f>SUMIF('OD 07-24'!A:A,A153,'OD 07-24'!E:E)</f>
        <v>0</v>
      </c>
      <c r="H153" s="14">
        <f t="shared" si="4"/>
        <v>145000</v>
      </c>
      <c r="I153" s="14">
        <f t="shared" si="5"/>
        <v>-294999.99999999988</v>
      </c>
      <c r="J153" s="8" t="s">
        <v>81</v>
      </c>
      <c r="K153" s="8"/>
      <c r="M153" s="339"/>
      <c r="N153" s="315"/>
    </row>
    <row r="154" spans="1:14" s="9" customFormat="1" ht="11.25" customHeight="1" x14ac:dyDescent="0.2">
      <c r="A154" s="10">
        <v>44207000</v>
      </c>
      <c r="B154" s="10" t="s">
        <v>336</v>
      </c>
      <c r="C154" s="11">
        <v>165000</v>
      </c>
      <c r="D154" s="11">
        <v>60000</v>
      </c>
      <c r="E154" s="11">
        <v>0</v>
      </c>
      <c r="F154" s="13">
        <f>SUMIF('OD 07-24'!A:A,A154,'OD 07-24'!D:D)</f>
        <v>0</v>
      </c>
      <c r="G154" s="13">
        <f>SUMIF('OD 07-24'!A:A,A154,'OD 07-24'!E:E)</f>
        <v>0</v>
      </c>
      <c r="H154" s="14">
        <f t="shared" si="4"/>
        <v>60000</v>
      </c>
      <c r="I154" s="14">
        <f t="shared" si="5"/>
        <v>225000</v>
      </c>
      <c r="J154" s="8" t="s">
        <v>78</v>
      </c>
      <c r="K154" s="8"/>
      <c r="M154" s="339"/>
      <c r="N154" s="315"/>
    </row>
    <row r="155" spans="1:14" s="9" customFormat="1" ht="11.25" customHeight="1" x14ac:dyDescent="0.2">
      <c r="A155" s="10">
        <v>44208000</v>
      </c>
      <c r="B155" s="10" t="s">
        <v>337</v>
      </c>
      <c r="C155" s="11">
        <v>2270.971</v>
      </c>
      <c r="D155" s="11">
        <v>0</v>
      </c>
      <c r="E155" s="11">
        <v>0</v>
      </c>
      <c r="F155" s="13">
        <f>SUMIF('OD 07-24'!A:A,A155,'OD 07-24'!D:D)</f>
        <v>0</v>
      </c>
      <c r="G155" s="13">
        <f>SUMIF('OD 07-24'!A:A,A155,'OD 07-24'!E:E)</f>
        <v>0</v>
      </c>
      <c r="H155" s="14">
        <f t="shared" si="4"/>
        <v>0</v>
      </c>
      <c r="I155" s="14">
        <f t="shared" si="5"/>
        <v>2270.971</v>
      </c>
      <c r="J155" s="8" t="s">
        <v>78</v>
      </c>
      <c r="K155" s="8"/>
      <c r="M155" s="339"/>
      <c r="N155" s="315"/>
    </row>
    <row r="156" spans="1:14" s="9" customFormat="1" ht="11.25" customHeight="1" x14ac:dyDescent="0.2">
      <c r="A156" s="10">
        <v>44209000</v>
      </c>
      <c r="B156" s="10" t="s">
        <v>392</v>
      </c>
      <c r="C156" s="11">
        <v>3626.8820000002161</v>
      </c>
      <c r="D156" s="11">
        <v>0</v>
      </c>
      <c r="E156" s="11">
        <v>0</v>
      </c>
      <c r="F156" s="13">
        <f>SUMIF('OD 07-24'!A:A,A156,'OD 07-24'!D:D)</f>
        <v>0</v>
      </c>
      <c r="G156" s="13">
        <f>SUMIF('OD 07-24'!A:A,A156,'OD 07-24'!E:E)</f>
        <v>0</v>
      </c>
      <c r="H156" s="14">
        <f t="shared" si="4"/>
        <v>0</v>
      </c>
      <c r="I156" s="14">
        <f t="shared" si="5"/>
        <v>3626.8820000002161</v>
      </c>
      <c r="J156" s="8" t="s">
        <v>78</v>
      </c>
      <c r="K156" s="8"/>
      <c r="M156" s="339"/>
      <c r="N156" s="315"/>
    </row>
    <row r="157" spans="1:14" s="9" customFormat="1" ht="11.25" customHeight="1" x14ac:dyDescent="0.2">
      <c r="A157" s="10">
        <v>44210000</v>
      </c>
      <c r="B157" s="10" t="s">
        <v>338</v>
      </c>
      <c r="C157" s="11">
        <v>0</v>
      </c>
      <c r="D157" s="11">
        <v>0</v>
      </c>
      <c r="E157" s="11">
        <v>0</v>
      </c>
      <c r="F157" s="13">
        <f>SUMIF('OD 07-24'!A:A,A157,'OD 07-24'!D:D)</f>
        <v>0</v>
      </c>
      <c r="G157" s="13">
        <f>SUMIF('OD 07-24'!A:A,A157,'OD 07-24'!E:E)</f>
        <v>0</v>
      </c>
      <c r="H157" s="14">
        <f t="shared" si="4"/>
        <v>0</v>
      </c>
      <c r="I157" s="14">
        <f t="shared" si="5"/>
        <v>0</v>
      </c>
      <c r="J157" s="8"/>
      <c r="K157" s="8"/>
      <c r="M157" s="339"/>
      <c r="N157" s="315"/>
    </row>
    <row r="158" spans="1:14" s="9" customFormat="1" ht="11.25" customHeight="1" x14ac:dyDescent="0.2">
      <c r="A158" s="10">
        <v>44600000</v>
      </c>
      <c r="B158" s="10" t="s">
        <v>339</v>
      </c>
      <c r="C158" s="11">
        <v>0</v>
      </c>
      <c r="D158" s="11">
        <v>0</v>
      </c>
      <c r="E158" s="11">
        <v>0</v>
      </c>
      <c r="F158" s="13">
        <f>SUMIF('OD 07-24'!A:A,A158,'OD 07-24'!D:D)</f>
        <v>0</v>
      </c>
      <c r="G158" s="13">
        <f>SUMIF('OD 07-24'!A:A,A158,'OD 07-24'!E:E)</f>
        <v>0</v>
      </c>
      <c r="H158" s="14">
        <f t="shared" si="4"/>
        <v>0</v>
      </c>
      <c r="I158" s="14">
        <f t="shared" si="5"/>
        <v>0</v>
      </c>
      <c r="J158" s="8"/>
      <c r="K158" s="8"/>
      <c r="M158" s="339"/>
      <c r="N158" s="315"/>
    </row>
    <row r="159" spans="1:14" s="9" customFormat="1" ht="11.25" customHeight="1" x14ac:dyDescent="0.2">
      <c r="A159" s="10">
        <v>44700000</v>
      </c>
      <c r="B159" s="10" t="s">
        <v>101</v>
      </c>
      <c r="C159" s="11">
        <v>0</v>
      </c>
      <c r="D159" s="11">
        <v>0</v>
      </c>
      <c r="E159" s="11">
        <v>0</v>
      </c>
      <c r="F159" s="13">
        <f>SUMIF('OD 07-24'!A:A,A159,'OD 07-24'!D:D)</f>
        <v>0</v>
      </c>
      <c r="G159" s="13">
        <f>SUMIF('OD 07-24'!A:A,A159,'OD 07-24'!E:E)</f>
        <v>0</v>
      </c>
      <c r="H159" s="14">
        <f t="shared" si="4"/>
        <v>0</v>
      </c>
      <c r="I159" s="14">
        <f t="shared" si="5"/>
        <v>0</v>
      </c>
      <c r="J159" s="8"/>
      <c r="K159" s="8"/>
      <c r="M159" s="339"/>
      <c r="N159" s="315"/>
    </row>
    <row r="160" spans="1:14" s="9" customFormat="1" ht="11.25" customHeight="1" x14ac:dyDescent="0.2">
      <c r="A160" s="10">
        <v>45000000</v>
      </c>
      <c r="B160" s="10" t="s">
        <v>102</v>
      </c>
      <c r="C160" s="11">
        <v>-12700</v>
      </c>
      <c r="D160" s="11">
        <v>0</v>
      </c>
      <c r="E160" s="11">
        <v>0</v>
      </c>
      <c r="F160" s="13">
        <f>SUMIF('OD 07-24'!A:A,A160,'OD 07-24'!D:D)</f>
        <v>0</v>
      </c>
      <c r="G160" s="13">
        <f>SUMIF('OD 07-24'!A:A,A160,'OD 07-24'!E:E)</f>
        <v>0</v>
      </c>
      <c r="H160" s="14">
        <f t="shared" si="4"/>
        <v>0</v>
      </c>
      <c r="I160" s="14">
        <f t="shared" si="5"/>
        <v>-12700</v>
      </c>
      <c r="J160" s="8" t="s">
        <v>81</v>
      </c>
      <c r="K160" s="8"/>
      <c r="M160" s="339"/>
      <c r="N160" s="315"/>
    </row>
    <row r="161" spans="1:14" s="9" customFormat="1" ht="11.25" customHeight="1" x14ac:dyDescent="0.2">
      <c r="A161" s="10">
        <v>45200000</v>
      </c>
      <c r="B161" s="10" t="s">
        <v>103</v>
      </c>
      <c r="C161" s="11">
        <v>-2500</v>
      </c>
      <c r="D161" s="11">
        <v>56000</v>
      </c>
      <c r="E161" s="11">
        <v>56000</v>
      </c>
      <c r="F161" s="13">
        <f>SUMIF('OD 07-24'!A:A,A161,'OD 07-24'!D:D)</f>
        <v>0</v>
      </c>
      <c r="G161" s="13">
        <f>SUMIF('OD 07-24'!A:A,A161,'OD 07-24'!E:E)</f>
        <v>0</v>
      </c>
      <c r="H161" s="14">
        <f t="shared" si="4"/>
        <v>0</v>
      </c>
      <c r="I161" s="14">
        <f t="shared" si="5"/>
        <v>-2500</v>
      </c>
      <c r="J161" s="8" t="s">
        <v>81</v>
      </c>
      <c r="K161" s="8"/>
      <c r="M161" s="339"/>
      <c r="N161" s="315"/>
    </row>
    <row r="162" spans="1:14" s="9" customFormat="1" ht="11.25" customHeight="1" x14ac:dyDescent="0.2">
      <c r="A162" s="10">
        <v>45310000</v>
      </c>
      <c r="B162" s="10" t="s">
        <v>104</v>
      </c>
      <c r="C162" s="11">
        <v>-244010.37100000028</v>
      </c>
      <c r="D162" s="11">
        <v>713401.62099999993</v>
      </c>
      <c r="E162" s="11">
        <v>494614.26399999997</v>
      </c>
      <c r="F162" s="13">
        <f>SUMIF('OD 07-24'!A:A,A162,'OD 07-24'!D:D)</f>
        <v>501923.42</v>
      </c>
      <c r="G162" s="13">
        <f>SUMIF('OD 07-24'!A:A,A162,'OD 07-24'!E:E)</f>
        <v>539308.98699999996</v>
      </c>
      <c r="H162" s="14">
        <f t="shared" si="4"/>
        <v>181401.79000000004</v>
      </c>
      <c r="I162" s="14">
        <f t="shared" si="5"/>
        <v>-62608.581000000238</v>
      </c>
      <c r="J162" s="8" t="s">
        <v>81</v>
      </c>
      <c r="K162" s="8"/>
      <c r="M162" s="339"/>
      <c r="N162" s="315"/>
    </row>
    <row r="163" spans="1:14" s="9" customFormat="1" ht="11.25" customHeight="1" x14ac:dyDescent="0.2">
      <c r="A163" s="10">
        <v>45700000</v>
      </c>
      <c r="B163" s="10" t="s">
        <v>105</v>
      </c>
      <c r="C163" s="11">
        <v>7122.9679999998771</v>
      </c>
      <c r="D163" s="11">
        <v>0</v>
      </c>
      <c r="E163" s="11">
        <v>0</v>
      </c>
      <c r="F163" s="13">
        <f>SUMIF('OD 07-24'!A:A,A163,'OD 07-24'!D:D)</f>
        <v>0</v>
      </c>
      <c r="G163" s="13">
        <f>SUMIF('OD 07-24'!A:A,A163,'OD 07-24'!E:E)</f>
        <v>0</v>
      </c>
      <c r="H163" s="14">
        <f t="shared" si="4"/>
        <v>0</v>
      </c>
      <c r="I163" s="14">
        <f t="shared" si="5"/>
        <v>7122.9679999998771</v>
      </c>
      <c r="J163" s="8" t="s">
        <v>78</v>
      </c>
      <c r="K163" s="8"/>
      <c r="M163" s="339"/>
      <c r="N163" s="315"/>
    </row>
    <row r="164" spans="1:14" s="9" customFormat="1" ht="11.25" customHeight="1" x14ac:dyDescent="0.2">
      <c r="A164" s="10">
        <v>45860000</v>
      </c>
      <c r="B164" s="10" t="s">
        <v>106</v>
      </c>
      <c r="C164" s="11">
        <v>-1872970.182</v>
      </c>
      <c r="D164" s="11">
        <v>894462.15700000001</v>
      </c>
      <c r="E164" s="11">
        <v>197370.59700000001</v>
      </c>
      <c r="F164" s="13">
        <f>SUMIF('OD 07-24'!A:A,A164,'OD 07-24'!D:D)</f>
        <v>5579395.2050000001</v>
      </c>
      <c r="G164" s="13">
        <f>SUMIF('OD 07-24'!A:A,A164,'OD 07-24'!E:E)</f>
        <v>6893772.5970000001</v>
      </c>
      <c r="H164" s="14">
        <f t="shared" si="4"/>
        <v>-617285.8320000004</v>
      </c>
      <c r="I164" s="14">
        <f t="shared" si="5"/>
        <v>-2490256.0140000004</v>
      </c>
      <c r="J164" s="8" t="s">
        <v>81</v>
      </c>
      <c r="K164" s="8"/>
      <c r="M164" s="339"/>
      <c r="N164" s="315"/>
    </row>
    <row r="165" spans="1:14" s="9" customFormat="1" ht="11.25" customHeight="1" x14ac:dyDescent="0.2">
      <c r="A165" s="10">
        <v>45870000</v>
      </c>
      <c r="B165" s="10" t="s">
        <v>107</v>
      </c>
      <c r="C165" s="11">
        <v>38770.517999999225</v>
      </c>
      <c r="D165" s="11">
        <v>0</v>
      </c>
      <c r="E165" s="11">
        <v>38770.517999999996</v>
      </c>
      <c r="F165" s="13">
        <f>SUMIF('OD 07-24'!A:A,A165,'OD 07-24'!D:D)</f>
        <v>318806.96100000001</v>
      </c>
      <c r="G165" s="13">
        <f>SUMIF('OD 07-24'!A:A,A165,'OD 07-24'!E:E)</f>
        <v>48636.794999999998</v>
      </c>
      <c r="H165" s="14">
        <f t="shared" si="4"/>
        <v>231399.64800000004</v>
      </c>
      <c r="I165" s="14">
        <f t="shared" si="5"/>
        <v>270170.16599999927</v>
      </c>
      <c r="J165" s="8" t="s">
        <v>78</v>
      </c>
      <c r="K165" s="8"/>
      <c r="M165" s="339"/>
      <c r="N165" s="315"/>
    </row>
    <row r="166" spans="1:14" s="9" customFormat="1" ht="11.25" customHeight="1" x14ac:dyDescent="0.2">
      <c r="A166" s="10">
        <v>46100000</v>
      </c>
      <c r="B166" s="10" t="s">
        <v>340</v>
      </c>
      <c r="C166" s="11">
        <v>0</v>
      </c>
      <c r="D166" s="11">
        <v>26222.382999999994</v>
      </c>
      <c r="E166" s="11">
        <v>26222.382999999994</v>
      </c>
      <c r="F166" s="13">
        <f>SUMIF('OD 07-24'!A:A,A166,'OD 07-24'!D:D)</f>
        <v>0</v>
      </c>
      <c r="G166" s="13">
        <f>SUMIF('OD 07-24'!A:A,A166,'OD 07-24'!E:E)</f>
        <v>0</v>
      </c>
      <c r="H166" s="14">
        <f t="shared" si="4"/>
        <v>0</v>
      </c>
      <c r="I166" s="14">
        <f t="shared" si="5"/>
        <v>0</v>
      </c>
      <c r="J166" s="8"/>
      <c r="K166" s="8"/>
      <c r="M166" s="339"/>
      <c r="N166" s="315"/>
    </row>
    <row r="167" spans="1:14" s="9" customFormat="1" ht="11.25" customHeight="1" x14ac:dyDescent="0.2">
      <c r="A167" s="10">
        <v>46800000</v>
      </c>
      <c r="B167" s="10" t="s">
        <v>108</v>
      </c>
      <c r="C167" s="11">
        <v>0</v>
      </c>
      <c r="D167" s="11">
        <v>0</v>
      </c>
      <c r="E167" s="11">
        <v>0</v>
      </c>
      <c r="F167" s="13">
        <f>SUMIF('OD 07-24'!A:A,A167,'OD 07-24'!D:D)</f>
        <v>0</v>
      </c>
      <c r="G167" s="13">
        <f>SUMIF('OD 07-24'!A:A,A167,'OD 07-24'!E:E)</f>
        <v>0</v>
      </c>
      <c r="H167" s="14">
        <f t="shared" si="4"/>
        <v>0</v>
      </c>
      <c r="I167" s="14">
        <f t="shared" si="5"/>
        <v>0</v>
      </c>
      <c r="J167" s="8"/>
      <c r="K167" s="8"/>
      <c r="M167" s="339"/>
      <c r="N167" s="315"/>
    </row>
    <row r="168" spans="1:14" s="9" customFormat="1" ht="11.25" customHeight="1" x14ac:dyDescent="0.2">
      <c r="A168" s="10">
        <v>47100000</v>
      </c>
      <c r="B168" s="10" t="s">
        <v>109</v>
      </c>
      <c r="C168" s="11">
        <v>222018.92184599978</v>
      </c>
      <c r="D168" s="11">
        <v>523.68799999999999</v>
      </c>
      <c r="E168" s="11">
        <v>221330.79699999996</v>
      </c>
      <c r="F168" s="13">
        <f>SUMIF('OD 07-24'!A:A,A168,'OD 07-24'!D:D)</f>
        <v>1338267.6399999999</v>
      </c>
      <c r="G168" s="13">
        <f>SUMIF('OD 07-24'!A:A,A168,'OD 07-24'!E:E)</f>
        <v>1199763.1569999999</v>
      </c>
      <c r="H168" s="14">
        <f t="shared" si="4"/>
        <v>-82302.625999999931</v>
      </c>
      <c r="I168" s="14">
        <f t="shared" si="5"/>
        <v>139716.29584599985</v>
      </c>
      <c r="J168" s="8" t="s">
        <v>78</v>
      </c>
      <c r="K168" s="8"/>
      <c r="M168" s="339"/>
      <c r="N168" s="315"/>
    </row>
    <row r="169" spans="1:14" s="9" customFormat="1" ht="11.25" customHeight="1" x14ac:dyDescent="0.2">
      <c r="A169" s="10">
        <v>47200000</v>
      </c>
      <c r="B169" s="10" t="s">
        <v>341</v>
      </c>
      <c r="C169" s="11">
        <v>0</v>
      </c>
      <c r="D169" s="11">
        <v>0</v>
      </c>
      <c r="E169" s="11">
        <v>0</v>
      </c>
      <c r="F169" s="13">
        <f>SUMIF('OD 07-24'!A:A,A169,'OD 07-24'!D:D)</f>
        <v>0</v>
      </c>
      <c r="G169" s="13">
        <f>SUMIF('OD 07-24'!A:A,A169,'OD 07-24'!E:E)</f>
        <v>0</v>
      </c>
      <c r="H169" s="14">
        <f t="shared" si="4"/>
        <v>0</v>
      </c>
      <c r="I169" s="14">
        <f t="shared" si="5"/>
        <v>0</v>
      </c>
      <c r="J169" s="8"/>
      <c r="K169" s="8"/>
      <c r="M169" s="339"/>
      <c r="N169" s="315"/>
    </row>
    <row r="170" spans="1:14" s="9" customFormat="1" ht="11.25" customHeight="1" x14ac:dyDescent="0.2">
      <c r="A170" s="10">
        <v>49100000</v>
      </c>
      <c r="B170" s="10" t="s">
        <v>110</v>
      </c>
      <c r="C170" s="11">
        <v>-457129.14999999991</v>
      </c>
      <c r="D170" s="11">
        <v>0</v>
      </c>
      <c r="E170" s="11">
        <v>0</v>
      </c>
      <c r="F170" s="13">
        <f>SUMIF('OD 07-24'!A:A,A170,'OD 07-24'!D:D)</f>
        <v>850000</v>
      </c>
      <c r="G170" s="13">
        <f>SUMIF('OD 07-24'!A:A,A170,'OD 07-24'!E:E)</f>
        <v>1150000</v>
      </c>
      <c r="H170" s="14">
        <f t="shared" si="4"/>
        <v>-300000</v>
      </c>
      <c r="I170" s="14">
        <f t="shared" si="5"/>
        <v>-757129.14999999991</v>
      </c>
      <c r="J170" s="8" t="s">
        <v>111</v>
      </c>
      <c r="K170" s="8"/>
      <c r="M170" s="339"/>
      <c r="N170" s="315"/>
    </row>
    <row r="171" spans="1:14" s="9" customFormat="1" ht="11.25" customHeight="1" x14ac:dyDescent="0.2">
      <c r="A171" s="10">
        <v>49600000</v>
      </c>
      <c r="B171" s="10" t="s">
        <v>112</v>
      </c>
      <c r="C171" s="11">
        <v>-288613.68499999994</v>
      </c>
      <c r="D171" s="11">
        <v>0</v>
      </c>
      <c r="E171" s="11">
        <v>0</v>
      </c>
      <c r="F171" s="13">
        <f>SUMIF('OD 07-24'!A:A,A171,'OD 07-24'!D:D)</f>
        <v>0</v>
      </c>
      <c r="G171" s="13">
        <f>SUMIF('OD 07-24'!A:A,A171,'OD 07-24'!E:E)</f>
        <v>0</v>
      </c>
      <c r="H171" s="14">
        <f t="shared" si="4"/>
        <v>0</v>
      </c>
      <c r="I171" s="14">
        <f t="shared" si="5"/>
        <v>-288613.68499999994</v>
      </c>
      <c r="J171" s="8" t="s">
        <v>113</v>
      </c>
      <c r="K171" s="8"/>
      <c r="M171" s="339"/>
      <c r="N171" s="315"/>
    </row>
    <row r="172" spans="1:14" s="9" customFormat="1" ht="11.25" customHeight="1" x14ac:dyDescent="0.2">
      <c r="A172" s="10">
        <v>50130000</v>
      </c>
      <c r="B172" s="10" t="s">
        <v>114</v>
      </c>
      <c r="C172" s="11">
        <v>-6000000</v>
      </c>
      <c r="D172" s="11">
        <v>12000000</v>
      </c>
      <c r="E172" s="11">
        <v>12000000</v>
      </c>
      <c r="F172" s="13">
        <f>SUMIF('OD 07-24'!A:A,A172,'OD 07-24'!D:D)</f>
        <v>0</v>
      </c>
      <c r="G172" s="13">
        <f>SUMIF('OD 07-24'!A:A,A172,'OD 07-24'!E:E)</f>
        <v>0</v>
      </c>
      <c r="H172" s="14">
        <f t="shared" si="4"/>
        <v>0</v>
      </c>
      <c r="I172" s="14">
        <f t="shared" si="5"/>
        <v>-6000000</v>
      </c>
      <c r="J172" s="8" t="s">
        <v>115</v>
      </c>
      <c r="K172" s="8"/>
      <c r="M172" s="339"/>
      <c r="N172" s="315"/>
    </row>
    <row r="173" spans="1:14" s="9" customFormat="1" ht="11.25" customHeight="1" x14ac:dyDescent="0.2">
      <c r="A173" s="10">
        <v>50140000</v>
      </c>
      <c r="B173" s="10" t="s">
        <v>116</v>
      </c>
      <c r="C173" s="11">
        <v>-4000000</v>
      </c>
      <c r="D173" s="11">
        <v>8000000</v>
      </c>
      <c r="E173" s="11">
        <v>8000000</v>
      </c>
      <c r="F173" s="13">
        <f>SUMIF('OD 07-24'!A:A,A173,'OD 07-24'!D:D)</f>
        <v>0</v>
      </c>
      <c r="G173" s="13">
        <f>SUMIF('OD 07-24'!A:A,A173,'OD 07-24'!E:E)</f>
        <v>0</v>
      </c>
      <c r="H173" s="14">
        <f t="shared" si="4"/>
        <v>0</v>
      </c>
      <c r="I173" s="14">
        <f t="shared" si="5"/>
        <v>-4000000</v>
      </c>
      <c r="J173" s="8" t="s">
        <v>115</v>
      </c>
      <c r="K173" s="8"/>
      <c r="M173" s="339"/>
      <c r="N173" s="315"/>
    </row>
    <row r="174" spans="1:14" s="9" customFormat="1" ht="11.25" customHeight="1" x14ac:dyDescent="0.2">
      <c r="A174" s="10">
        <v>50500000</v>
      </c>
      <c r="B174" s="10" t="s">
        <v>117</v>
      </c>
      <c r="C174" s="11">
        <v>-625000.00400000252</v>
      </c>
      <c r="D174" s="11">
        <v>343986.93799999997</v>
      </c>
      <c r="E174" s="11">
        <v>0</v>
      </c>
      <c r="F174" s="13">
        <f>SUMIF('OD 07-24'!A:A,A174,'OD 07-24'!D:D)</f>
        <v>0</v>
      </c>
      <c r="G174" s="13">
        <f>SUMIF('OD 07-24'!A:A,A174,'OD 07-24'!E:E)</f>
        <v>0</v>
      </c>
      <c r="H174" s="14">
        <f t="shared" si="4"/>
        <v>343986.93799999997</v>
      </c>
      <c r="I174" s="14">
        <f t="shared" si="5"/>
        <v>-281013.06600000255</v>
      </c>
      <c r="J174" s="8" t="s">
        <v>115</v>
      </c>
      <c r="K174" s="8"/>
      <c r="M174" s="339"/>
      <c r="N174" s="315"/>
    </row>
    <row r="175" spans="1:14" s="9" customFormat="1" ht="11.25" customHeight="1" x14ac:dyDescent="0.2">
      <c r="A175" s="10">
        <v>50515000</v>
      </c>
      <c r="B175" s="10" t="s">
        <v>118</v>
      </c>
      <c r="C175" s="11">
        <v>-131871.57899999991</v>
      </c>
      <c r="D175" s="11">
        <v>188451.54199999999</v>
      </c>
      <c r="E175" s="11">
        <v>225258.14199999999</v>
      </c>
      <c r="F175" s="13">
        <f>SUMIF('OD 07-24'!A:A,A175,'OD 07-24'!D:D)</f>
        <v>0</v>
      </c>
      <c r="G175" s="13">
        <f>SUMIF('OD 07-24'!A:A,A175,'OD 07-24'!E:E)</f>
        <v>0</v>
      </c>
      <c r="H175" s="14">
        <f t="shared" si="4"/>
        <v>-36806.600000000006</v>
      </c>
      <c r="I175" s="14">
        <f t="shared" si="5"/>
        <v>-168678.17899999992</v>
      </c>
      <c r="J175" s="8" t="s">
        <v>115</v>
      </c>
      <c r="K175" s="8"/>
      <c r="M175" s="339"/>
      <c r="N175" s="315"/>
    </row>
    <row r="176" spans="1:14" s="9" customFormat="1" ht="11.25" customHeight="1" x14ac:dyDescent="0.2">
      <c r="A176" s="10">
        <v>50610100</v>
      </c>
      <c r="B176" s="10" t="s">
        <v>342</v>
      </c>
      <c r="C176" s="11">
        <v>0</v>
      </c>
      <c r="D176" s="11">
        <v>0</v>
      </c>
      <c r="E176" s="11">
        <v>0</v>
      </c>
      <c r="F176" s="13">
        <f>SUMIF('OD 07-24'!A:A,A176,'OD 07-24'!D:D)</f>
        <v>0</v>
      </c>
      <c r="G176" s="13">
        <f>SUMIF('OD 07-24'!A:A,A176,'OD 07-24'!E:E)</f>
        <v>0</v>
      </c>
      <c r="H176" s="14">
        <f t="shared" si="4"/>
        <v>0</v>
      </c>
      <c r="I176" s="14">
        <f t="shared" si="5"/>
        <v>0</v>
      </c>
      <c r="J176" s="8"/>
      <c r="K176" s="8"/>
      <c r="M176" s="339"/>
      <c r="N176" s="315"/>
    </row>
    <row r="177" spans="1:14" s="9" customFormat="1" ht="11.25" customHeight="1" x14ac:dyDescent="0.2">
      <c r="A177" s="10">
        <v>50610900</v>
      </c>
      <c r="B177" s="10" t="s">
        <v>119</v>
      </c>
      <c r="C177" s="11">
        <v>-1347864.9606235027</v>
      </c>
      <c r="D177" s="11">
        <v>1359732.8840000001</v>
      </c>
      <c r="E177" s="11">
        <v>11867.923000000001</v>
      </c>
      <c r="F177" s="13">
        <f>SUMIF('OD 07-24'!A:A,A177,'OD 07-24'!D:D)</f>
        <v>0</v>
      </c>
      <c r="G177" s="13">
        <f>SUMIF('OD 07-24'!A:A,A177,'OD 07-24'!E:E)</f>
        <v>0</v>
      </c>
      <c r="H177" s="14">
        <f t="shared" si="4"/>
        <v>1347864.9610000001</v>
      </c>
      <c r="I177" s="14">
        <f t="shared" si="5"/>
        <v>3.7649739533662796E-4</v>
      </c>
      <c r="J177" s="8" t="s">
        <v>115</v>
      </c>
      <c r="K177" s="8"/>
      <c r="M177" s="339"/>
      <c r="N177" s="315"/>
    </row>
    <row r="178" spans="1:14" s="9" customFormat="1" ht="11.25" customHeight="1" x14ac:dyDescent="0.2">
      <c r="A178" s="10">
        <v>50630000</v>
      </c>
      <c r="B178" s="10" t="s">
        <v>343</v>
      </c>
      <c r="C178" s="11">
        <v>-443000</v>
      </c>
      <c r="D178" s="11">
        <v>443000</v>
      </c>
      <c r="E178" s="11">
        <v>0</v>
      </c>
      <c r="F178" s="13">
        <f>SUMIF('OD 07-24'!A:A,A178,'OD 07-24'!D:D)</f>
        <v>0</v>
      </c>
      <c r="G178" s="13">
        <f>SUMIF('OD 07-24'!A:A,A178,'OD 07-24'!E:E)</f>
        <v>0</v>
      </c>
      <c r="H178" s="14">
        <f t="shared" si="4"/>
        <v>443000</v>
      </c>
      <c r="I178" s="14">
        <f t="shared" si="5"/>
        <v>0</v>
      </c>
      <c r="J178" s="8" t="s">
        <v>115</v>
      </c>
      <c r="K178" s="8"/>
      <c r="M178" s="339"/>
      <c r="N178" s="315"/>
    </row>
    <row r="179" spans="1:14" s="9" customFormat="1" ht="11.25" customHeight="1" x14ac:dyDescent="0.2">
      <c r="A179" s="10">
        <v>50800000</v>
      </c>
      <c r="B179" s="10" t="s">
        <v>344</v>
      </c>
      <c r="C179" s="11">
        <v>-31533.957000000002</v>
      </c>
      <c r="D179" s="11">
        <v>31533.957000000002</v>
      </c>
      <c r="E179" s="11">
        <v>0</v>
      </c>
      <c r="F179" s="13">
        <f>SUMIF('OD 07-24'!A:A,A179,'OD 07-24'!D:D)</f>
        <v>0</v>
      </c>
      <c r="G179" s="13">
        <f>SUMIF('OD 07-24'!A:A,A179,'OD 07-24'!E:E)</f>
        <v>0</v>
      </c>
      <c r="H179" s="14">
        <f t="shared" si="4"/>
        <v>31533.957000000002</v>
      </c>
      <c r="I179" s="14">
        <f t="shared" si="5"/>
        <v>0</v>
      </c>
      <c r="J179" s="8" t="s">
        <v>115</v>
      </c>
      <c r="K179" s="8"/>
      <c r="M179" s="339"/>
      <c r="N179" s="315"/>
    </row>
    <row r="180" spans="1:14" s="9" customFormat="1" ht="11.25" customHeight="1" x14ac:dyDescent="0.2">
      <c r="A180" s="10">
        <v>52000000</v>
      </c>
      <c r="B180" s="10" t="s">
        <v>345</v>
      </c>
      <c r="C180" s="11">
        <v>0</v>
      </c>
      <c r="D180" s="11">
        <v>0</v>
      </c>
      <c r="E180" s="11">
        <v>0</v>
      </c>
      <c r="F180" s="13">
        <f>SUMIF('OD 07-24'!A:A,A180,'OD 07-24'!D:D)</f>
        <v>0</v>
      </c>
      <c r="G180" s="13">
        <f>SUMIF('OD 07-24'!A:A,A180,'OD 07-24'!E:E)</f>
        <v>0</v>
      </c>
      <c r="H180" s="14">
        <f t="shared" si="4"/>
        <v>0</v>
      </c>
      <c r="I180" s="14">
        <f t="shared" si="5"/>
        <v>0</v>
      </c>
      <c r="J180" s="8"/>
      <c r="K180" s="8"/>
      <c r="M180" s="339"/>
      <c r="N180" s="315"/>
    </row>
    <row r="181" spans="1:14" s="9" customFormat="1" ht="11.25" customHeight="1" x14ac:dyDescent="0.2">
      <c r="A181" s="10">
        <v>52001100</v>
      </c>
      <c r="B181" s="10" t="s">
        <v>346</v>
      </c>
      <c r="C181" s="11">
        <v>0</v>
      </c>
      <c r="D181" s="11">
        <v>0</v>
      </c>
      <c r="E181" s="11">
        <v>0</v>
      </c>
      <c r="F181" s="13">
        <f>SUMIF('OD 07-24'!A:A,A181,'OD 07-24'!D:D)</f>
        <v>0</v>
      </c>
      <c r="G181" s="13">
        <f>SUMIF('OD 07-24'!A:A,A181,'OD 07-24'!E:E)</f>
        <v>0</v>
      </c>
      <c r="H181" s="14">
        <f t="shared" si="4"/>
        <v>0</v>
      </c>
      <c r="I181" s="14">
        <f t="shared" si="5"/>
        <v>0</v>
      </c>
      <c r="J181" s="8"/>
      <c r="K181" s="8"/>
      <c r="M181" s="339"/>
      <c r="N181" s="315"/>
    </row>
    <row r="182" spans="1:14" s="9" customFormat="1" ht="11.25" customHeight="1" x14ac:dyDescent="0.2">
      <c r="A182" s="10">
        <v>53140000</v>
      </c>
      <c r="B182" s="10" t="s">
        <v>347</v>
      </c>
      <c r="C182" s="11">
        <v>0</v>
      </c>
      <c r="D182" s="11">
        <v>0</v>
      </c>
      <c r="E182" s="11">
        <v>0</v>
      </c>
      <c r="F182" s="13">
        <f>SUMIF('OD 07-24'!A:A,A182,'OD 07-24'!D:D)</f>
        <v>0</v>
      </c>
      <c r="G182" s="13">
        <f>SUMIF('OD 07-24'!A:A,A182,'OD 07-24'!E:E)</f>
        <v>0</v>
      </c>
      <c r="H182" s="14">
        <f t="shared" si="4"/>
        <v>0</v>
      </c>
      <c r="I182" s="14">
        <f t="shared" si="5"/>
        <v>0</v>
      </c>
      <c r="J182" s="8"/>
      <c r="K182" s="8"/>
      <c r="M182" s="339"/>
      <c r="N182" s="315"/>
    </row>
    <row r="183" spans="1:14" s="9" customFormat="1" ht="11.25" x14ac:dyDescent="0.2">
      <c r="A183" s="10">
        <v>53200000</v>
      </c>
      <c r="B183" s="10" t="s">
        <v>120</v>
      </c>
      <c r="C183" s="11">
        <v>185799.56100001931</v>
      </c>
      <c r="D183" s="11">
        <v>20358293.197000001</v>
      </c>
      <c r="E183" s="11">
        <v>20387062.173</v>
      </c>
      <c r="F183" s="13">
        <f>SUMIF('OD 07-24'!A:A,A183,'OD 07-24'!D:D)</f>
        <v>0</v>
      </c>
      <c r="G183" s="13">
        <f>SUMIF('OD 07-24'!A:A,A183,'OD 07-24'!E:E)</f>
        <v>0</v>
      </c>
      <c r="H183" s="14">
        <f t="shared" si="4"/>
        <v>-28768.975999999791</v>
      </c>
      <c r="I183" s="14">
        <f t="shared" si="5"/>
        <v>157030.58500001952</v>
      </c>
      <c r="J183" s="8" t="s">
        <v>121</v>
      </c>
      <c r="K183" s="8"/>
      <c r="M183" s="339"/>
      <c r="N183" s="315"/>
    </row>
    <row r="184" spans="1:14" s="9" customFormat="1" ht="11.25" customHeight="1" x14ac:dyDescent="0.2">
      <c r="A184" s="10">
        <v>53201000</v>
      </c>
      <c r="B184" s="10" t="s">
        <v>348</v>
      </c>
      <c r="C184" s="11">
        <v>0</v>
      </c>
      <c r="D184" s="11">
        <v>0</v>
      </c>
      <c r="E184" s="11">
        <v>0</v>
      </c>
      <c r="F184" s="13">
        <f>SUMIF('OD 07-24'!A:A,A184,'OD 07-24'!D:D)</f>
        <v>0</v>
      </c>
      <c r="G184" s="13">
        <f>SUMIF('OD 07-24'!A:A,A184,'OD 07-24'!E:E)</f>
        <v>0</v>
      </c>
      <c r="H184" s="14">
        <f t="shared" si="4"/>
        <v>0</v>
      </c>
      <c r="I184" s="14">
        <f t="shared" si="5"/>
        <v>0</v>
      </c>
      <c r="J184" s="8"/>
      <c r="K184" s="8"/>
      <c r="M184" s="339"/>
      <c r="N184" s="315"/>
    </row>
    <row r="185" spans="1:14" s="9" customFormat="1" ht="11.25" x14ac:dyDescent="0.2">
      <c r="A185" s="10">
        <v>53202000</v>
      </c>
      <c r="B185" s="10" t="s">
        <v>122</v>
      </c>
      <c r="C185" s="11">
        <v>435.74199999962002</v>
      </c>
      <c r="D185" s="11">
        <v>0</v>
      </c>
      <c r="E185" s="11">
        <v>0</v>
      </c>
      <c r="F185" s="13">
        <f>SUMIF('OD 07-24'!A:A,A185,'OD 07-24'!D:D)</f>
        <v>0</v>
      </c>
      <c r="G185" s="13">
        <f>SUMIF('OD 07-24'!A:A,A185,'OD 07-24'!E:E)</f>
        <v>0</v>
      </c>
      <c r="H185" s="14">
        <f t="shared" si="4"/>
        <v>0</v>
      </c>
      <c r="I185" s="14">
        <f t="shared" si="5"/>
        <v>435.74199999962002</v>
      </c>
      <c r="J185" s="8" t="s">
        <v>121</v>
      </c>
      <c r="K185" s="8"/>
      <c r="M185" s="339"/>
      <c r="N185" s="315"/>
    </row>
    <row r="186" spans="1:14" s="9" customFormat="1" ht="11.25" x14ac:dyDescent="0.2">
      <c r="A186" s="10">
        <v>53203000</v>
      </c>
      <c r="B186" s="10" t="s">
        <v>349</v>
      </c>
      <c r="C186" s="11">
        <v>159807.23199999891</v>
      </c>
      <c r="D186" s="11">
        <v>411886.78200000001</v>
      </c>
      <c r="E186" s="11">
        <v>565400.86600000004</v>
      </c>
      <c r="F186" s="13">
        <f>SUMIF('OD 07-24'!A:A,A186,'OD 07-24'!D:D)</f>
        <v>0</v>
      </c>
      <c r="G186" s="13">
        <f>SUMIF('OD 07-24'!A:A,A186,'OD 07-24'!E:E)</f>
        <v>0</v>
      </c>
      <c r="H186" s="14">
        <f t="shared" si="4"/>
        <v>-153514.08400000003</v>
      </c>
      <c r="I186" s="14">
        <f t="shared" si="5"/>
        <v>6293.1479999988806</v>
      </c>
      <c r="J186" s="8" t="s">
        <v>121</v>
      </c>
      <c r="K186" s="8"/>
      <c r="M186" s="339"/>
      <c r="N186" s="315"/>
    </row>
    <row r="187" spans="1:14" s="9" customFormat="1" ht="11.25" customHeight="1" x14ac:dyDescent="0.2">
      <c r="A187" s="10">
        <v>53204000</v>
      </c>
      <c r="B187" s="10" t="s">
        <v>350</v>
      </c>
      <c r="C187" s="11">
        <v>0</v>
      </c>
      <c r="D187" s="11">
        <v>0</v>
      </c>
      <c r="E187" s="11">
        <v>0</v>
      </c>
      <c r="F187" s="13">
        <f>SUMIF('OD 07-24'!A:A,A187,'OD 07-24'!D:D)</f>
        <v>0</v>
      </c>
      <c r="G187" s="13">
        <f>SUMIF('OD 07-24'!A:A,A187,'OD 07-24'!E:E)</f>
        <v>0</v>
      </c>
      <c r="H187" s="14">
        <f t="shared" si="4"/>
        <v>0</v>
      </c>
      <c r="I187" s="14">
        <f t="shared" si="5"/>
        <v>0</v>
      </c>
      <c r="J187" s="8"/>
      <c r="K187" s="8"/>
      <c r="M187" s="339"/>
      <c r="N187" s="315"/>
    </row>
    <row r="188" spans="1:14" s="9" customFormat="1" ht="11.25" customHeight="1" x14ac:dyDescent="0.2">
      <c r="A188" s="10">
        <v>53204100</v>
      </c>
      <c r="B188" s="10" t="s">
        <v>351</v>
      </c>
      <c r="C188" s="11">
        <v>0</v>
      </c>
      <c r="D188" s="11">
        <v>0</v>
      </c>
      <c r="E188" s="11">
        <v>0</v>
      </c>
      <c r="F188" s="13">
        <f>SUMIF('OD 07-24'!A:A,A188,'OD 07-24'!D:D)</f>
        <v>0</v>
      </c>
      <c r="G188" s="13">
        <f>SUMIF('OD 07-24'!A:A,A188,'OD 07-24'!E:E)</f>
        <v>0</v>
      </c>
      <c r="H188" s="14">
        <f t="shared" si="4"/>
        <v>0</v>
      </c>
      <c r="I188" s="14">
        <f t="shared" si="5"/>
        <v>0</v>
      </c>
      <c r="J188" s="8"/>
      <c r="K188" s="8"/>
      <c r="M188" s="339"/>
      <c r="N188" s="315"/>
    </row>
    <row r="189" spans="1:14" s="9" customFormat="1" ht="11.25" x14ac:dyDescent="0.2">
      <c r="A189" s="10">
        <v>53204500</v>
      </c>
      <c r="B189" s="10" t="s">
        <v>123</v>
      </c>
      <c r="C189" s="11">
        <v>5874.02</v>
      </c>
      <c r="D189" s="11">
        <v>0</v>
      </c>
      <c r="E189" s="11">
        <v>0</v>
      </c>
      <c r="F189" s="13">
        <f>SUMIF('OD 07-24'!A:A,A189,'OD 07-24'!D:D)</f>
        <v>0</v>
      </c>
      <c r="G189" s="13">
        <f>SUMIF('OD 07-24'!A:A,A189,'OD 07-24'!E:E)</f>
        <v>0</v>
      </c>
      <c r="H189" s="14">
        <f t="shared" si="4"/>
        <v>0</v>
      </c>
      <c r="I189" s="14">
        <f t="shared" si="5"/>
        <v>5874.02</v>
      </c>
      <c r="J189" s="8" t="s">
        <v>121</v>
      </c>
      <c r="K189" s="8"/>
      <c r="M189" s="339"/>
      <c r="N189" s="315"/>
    </row>
    <row r="190" spans="1:14" s="9" customFormat="1" ht="11.25" x14ac:dyDescent="0.2">
      <c r="A190" s="10">
        <v>53205000</v>
      </c>
      <c r="B190" s="10" t="s">
        <v>124</v>
      </c>
      <c r="C190" s="11">
        <v>12925.083999991417</v>
      </c>
      <c r="D190" s="11">
        <v>0</v>
      </c>
      <c r="E190" s="11">
        <f>0.952+55000</f>
        <v>55000.951999999997</v>
      </c>
      <c r="F190" s="13">
        <f>SUMIF('OD 07-24'!A:A,A190,'OD 07-24'!D:D)</f>
        <v>0</v>
      </c>
      <c r="G190" s="13">
        <f>SUMIF('OD 07-24'!A:A,A190,'OD 07-24'!E:E)</f>
        <v>0</v>
      </c>
      <c r="H190" s="14">
        <f t="shared" si="4"/>
        <v>-55000.951999999997</v>
      </c>
      <c r="I190" s="14">
        <f t="shared" si="5"/>
        <v>-42075.868000008581</v>
      </c>
      <c r="J190" s="8" t="s">
        <v>115</v>
      </c>
      <c r="K190" s="8"/>
      <c r="M190" s="339"/>
      <c r="N190" s="315"/>
    </row>
    <row r="191" spans="1:14" s="9" customFormat="1" ht="11.25" x14ac:dyDescent="0.2">
      <c r="A191" s="10">
        <v>53205300</v>
      </c>
      <c r="B191" s="10" t="s">
        <v>125</v>
      </c>
      <c r="C191" s="11">
        <v>0</v>
      </c>
      <c r="D191" s="11">
        <v>0</v>
      </c>
      <c r="E191" s="11">
        <v>0</v>
      </c>
      <c r="F191" s="13">
        <f>SUMIF('OD 07-24'!A:A,A191,'OD 07-24'!D:D)</f>
        <v>0</v>
      </c>
      <c r="G191" s="13">
        <f>SUMIF('OD 07-24'!A:A,A191,'OD 07-24'!E:E)</f>
        <v>0</v>
      </c>
      <c r="H191" s="14">
        <f t="shared" si="4"/>
        <v>0</v>
      </c>
      <c r="I191" s="14">
        <f t="shared" si="5"/>
        <v>0</v>
      </c>
      <c r="J191" s="8" t="s">
        <v>121</v>
      </c>
      <c r="K191" s="8"/>
      <c r="M191" s="339"/>
      <c r="N191" s="315"/>
    </row>
    <row r="192" spans="1:14" s="9" customFormat="1" ht="11.25" customHeight="1" x14ac:dyDescent="0.2">
      <c r="A192" s="10">
        <v>53205400</v>
      </c>
      <c r="B192" s="10" t="s">
        <v>126</v>
      </c>
      <c r="C192" s="11">
        <v>0</v>
      </c>
      <c r="D192" s="11">
        <v>0</v>
      </c>
      <c r="E192" s="11">
        <v>0</v>
      </c>
      <c r="F192" s="13">
        <f>SUMIF('OD 07-24'!A:A,A192,'OD 07-24'!D:D)</f>
        <v>0</v>
      </c>
      <c r="G192" s="13">
        <f>SUMIF('OD 07-24'!A:A,A192,'OD 07-24'!E:E)</f>
        <v>0</v>
      </c>
      <c r="H192" s="14">
        <f t="shared" si="4"/>
        <v>0</v>
      </c>
      <c r="I192" s="14">
        <f t="shared" si="5"/>
        <v>0</v>
      </c>
      <c r="J192" s="8"/>
      <c r="K192" s="8"/>
      <c r="M192" s="339"/>
      <c r="N192" s="315"/>
    </row>
    <row r="193" spans="1:14" s="9" customFormat="1" ht="11.25" customHeight="1" x14ac:dyDescent="0.2">
      <c r="A193" s="10">
        <v>53205500</v>
      </c>
      <c r="B193" s="10" t="s">
        <v>127</v>
      </c>
      <c r="C193" s="11">
        <v>0</v>
      </c>
      <c r="D193" s="11">
        <v>0</v>
      </c>
      <c r="E193" s="11">
        <v>0</v>
      </c>
      <c r="F193" s="13">
        <f>SUMIF('OD 07-24'!A:A,A193,'OD 07-24'!D:D)</f>
        <v>0</v>
      </c>
      <c r="G193" s="13">
        <f>SUMIF('OD 07-24'!A:A,A193,'OD 07-24'!E:E)</f>
        <v>0</v>
      </c>
      <c r="H193" s="14">
        <f t="shared" si="4"/>
        <v>0</v>
      </c>
      <c r="I193" s="14">
        <f t="shared" si="5"/>
        <v>0</v>
      </c>
      <c r="J193" s="8"/>
      <c r="K193" s="8"/>
      <c r="M193" s="339"/>
      <c r="N193" s="315"/>
    </row>
    <row r="194" spans="1:14" s="9" customFormat="1" ht="11.25" customHeight="1" x14ac:dyDescent="0.2">
      <c r="A194" s="10">
        <v>53205600</v>
      </c>
      <c r="B194" s="10" t="s">
        <v>128</v>
      </c>
      <c r="C194" s="11">
        <v>-3300983.9089999795</v>
      </c>
      <c r="D194" s="11">
        <f>48701632.853+55000</f>
        <v>48756632.853</v>
      </c>
      <c r="E194" s="11">
        <v>49513374.953999996</v>
      </c>
      <c r="F194" s="13">
        <f>SUMIF('OD 07-24'!A:A,A194,'OD 07-24'!D:D)</f>
        <v>0</v>
      </c>
      <c r="G194" s="13">
        <f>SUMIF('OD 07-24'!A:A,A194,'OD 07-24'!E:E)</f>
        <v>0</v>
      </c>
      <c r="H194" s="14">
        <f t="shared" si="4"/>
        <v>-756742.10099999607</v>
      </c>
      <c r="I194" s="14">
        <f t="shared" si="5"/>
        <v>-4057726.0099999756</v>
      </c>
      <c r="J194" s="8" t="s">
        <v>115</v>
      </c>
      <c r="K194" s="8"/>
      <c r="M194" s="339"/>
      <c r="N194" s="315"/>
    </row>
    <row r="195" spans="1:14" s="9" customFormat="1" ht="11.25" x14ac:dyDescent="0.2">
      <c r="A195" s="10">
        <v>53205700</v>
      </c>
      <c r="B195" s="10" t="s">
        <v>129</v>
      </c>
      <c r="C195" s="11">
        <v>1964289.2105972022</v>
      </c>
      <c r="D195" s="11">
        <v>22227110.026000001</v>
      </c>
      <c r="E195" s="11">
        <v>22175994.628000002</v>
      </c>
      <c r="F195" s="13">
        <f>SUMIF('OD 07-24'!A:A,A195,'OD 07-24'!D:D)</f>
        <v>554503.19339999999</v>
      </c>
      <c r="G195" s="13">
        <f>SUMIF('OD 07-24'!A:A,A195,'OD 07-24'!E:E)</f>
        <v>664487.51139999996</v>
      </c>
      <c r="H195" s="14">
        <f t="shared" ref="H195:H262" si="6">+D195+F195-E195-G195</f>
        <v>-58868.920000002487</v>
      </c>
      <c r="I195" s="14">
        <f t="shared" ref="I195:I262" si="7">+H195+C195</f>
        <v>1905420.2905971997</v>
      </c>
      <c r="J195" s="8" t="s">
        <v>121</v>
      </c>
      <c r="K195" s="8"/>
      <c r="M195" s="339"/>
      <c r="N195" s="315"/>
    </row>
    <row r="196" spans="1:14" s="9" customFormat="1" ht="11.25" customHeight="1" x14ac:dyDescent="0.2">
      <c r="A196" s="10">
        <v>53205800</v>
      </c>
      <c r="B196" s="10" t="s">
        <v>130</v>
      </c>
      <c r="C196" s="11">
        <v>-66996.353000000119</v>
      </c>
      <c r="D196" s="11">
        <v>0</v>
      </c>
      <c r="E196" s="11">
        <v>925.05899999999997</v>
      </c>
      <c r="F196" s="13">
        <f>SUMIF('OD 07-24'!A:A,A196,'OD 07-24'!D:D)</f>
        <v>403.17099999999999</v>
      </c>
      <c r="G196" s="13">
        <f>SUMIF('OD 07-24'!A:A,A196,'OD 07-24'!E:E)</f>
        <v>388.15100000000001</v>
      </c>
      <c r="H196" s="14">
        <f t="shared" si="6"/>
        <v>-910.03899999999999</v>
      </c>
      <c r="I196" s="14">
        <f t="shared" si="7"/>
        <v>-67906.392000000124</v>
      </c>
      <c r="J196" s="8" t="s">
        <v>115</v>
      </c>
      <c r="K196" s="8"/>
      <c r="M196" s="339"/>
      <c r="N196" s="315"/>
    </row>
    <row r="197" spans="1:14" s="9" customFormat="1" ht="11.25" customHeight="1" x14ac:dyDescent="0.2">
      <c r="A197" s="10">
        <v>53207000</v>
      </c>
      <c r="B197" s="10" t="s">
        <v>352</v>
      </c>
      <c r="C197" s="11">
        <v>0</v>
      </c>
      <c r="D197" s="11">
        <v>0</v>
      </c>
      <c r="E197" s="11">
        <v>0</v>
      </c>
      <c r="F197" s="13">
        <f>SUMIF('OD 07-24'!A:A,A197,'OD 07-24'!D:D)</f>
        <v>0</v>
      </c>
      <c r="G197" s="13">
        <f>SUMIF('OD 07-24'!A:A,A197,'OD 07-24'!E:E)</f>
        <v>0</v>
      </c>
      <c r="H197" s="14">
        <f t="shared" si="6"/>
        <v>0</v>
      </c>
      <c r="I197" s="14">
        <f t="shared" si="7"/>
        <v>0</v>
      </c>
      <c r="J197" s="8"/>
      <c r="K197" s="8"/>
      <c r="M197" s="339"/>
      <c r="N197" s="315"/>
    </row>
    <row r="198" spans="1:14" s="9" customFormat="1" ht="11.25" customHeight="1" x14ac:dyDescent="0.2">
      <c r="A198" s="10">
        <v>53207100</v>
      </c>
      <c r="B198" s="10" t="s">
        <v>353</v>
      </c>
      <c r="C198" s="11">
        <v>0</v>
      </c>
      <c r="D198" s="11">
        <v>0</v>
      </c>
      <c r="E198" s="11">
        <v>0</v>
      </c>
      <c r="F198" s="13">
        <f>SUMIF('OD 07-24'!A:A,A198,'OD 07-24'!D:D)</f>
        <v>0</v>
      </c>
      <c r="G198" s="13">
        <f>SUMIF('OD 07-24'!A:A,A198,'OD 07-24'!E:E)</f>
        <v>0</v>
      </c>
      <c r="H198" s="14">
        <f t="shared" si="6"/>
        <v>0</v>
      </c>
      <c r="I198" s="14">
        <f t="shared" si="7"/>
        <v>0</v>
      </c>
      <c r="J198" s="8"/>
      <c r="K198" s="8"/>
      <c r="M198" s="339"/>
      <c r="N198" s="315"/>
    </row>
    <row r="199" spans="1:14" s="9" customFormat="1" ht="11.25" customHeight="1" x14ac:dyDescent="0.2">
      <c r="A199" s="10">
        <v>53207200</v>
      </c>
      <c r="B199" s="10" t="s">
        <v>354</v>
      </c>
      <c r="C199" s="11">
        <v>0</v>
      </c>
      <c r="D199" s="11">
        <v>0</v>
      </c>
      <c r="E199" s="11">
        <v>0</v>
      </c>
      <c r="F199" s="13">
        <f>SUMIF('OD 07-24'!A:A,A199,'OD 07-24'!D:D)</f>
        <v>0</v>
      </c>
      <c r="G199" s="13">
        <f>SUMIF('OD 07-24'!A:A,A199,'OD 07-24'!E:E)</f>
        <v>0</v>
      </c>
      <c r="H199" s="14">
        <f t="shared" si="6"/>
        <v>0</v>
      </c>
      <c r="I199" s="14">
        <f t="shared" si="7"/>
        <v>0</v>
      </c>
      <c r="J199" s="8"/>
      <c r="K199" s="8"/>
      <c r="M199" s="339"/>
      <c r="N199" s="315"/>
    </row>
    <row r="200" spans="1:14" s="9" customFormat="1" ht="11.25" x14ac:dyDescent="0.2">
      <c r="A200" s="10">
        <v>53208000</v>
      </c>
      <c r="B200" s="10" t="s">
        <v>355</v>
      </c>
      <c r="C200" s="11">
        <v>485.66199999954551</v>
      </c>
      <c r="D200" s="11">
        <v>0</v>
      </c>
      <c r="E200" s="11">
        <v>0</v>
      </c>
      <c r="F200" s="13">
        <f>SUMIF('OD 07-24'!A:A,A200,'OD 07-24'!D:D)</f>
        <v>0</v>
      </c>
      <c r="G200" s="13">
        <f>SUMIF('OD 07-24'!A:A,A200,'OD 07-24'!E:E)</f>
        <v>0</v>
      </c>
      <c r="H200" s="14">
        <f t="shared" si="6"/>
        <v>0</v>
      </c>
      <c r="I200" s="14">
        <f t="shared" si="7"/>
        <v>485.66199999954551</v>
      </c>
      <c r="J200" s="8" t="s">
        <v>121</v>
      </c>
      <c r="K200" s="8"/>
      <c r="M200" s="339"/>
      <c r="N200" s="315"/>
    </row>
    <row r="201" spans="1:14" s="9" customFormat="1" ht="11.25" customHeight="1" x14ac:dyDescent="0.2">
      <c r="A201" s="10">
        <v>53208100</v>
      </c>
      <c r="B201" s="10" t="s">
        <v>356</v>
      </c>
      <c r="C201" s="11">
        <v>0</v>
      </c>
      <c r="D201" s="11">
        <v>0</v>
      </c>
      <c r="E201" s="11">
        <v>0</v>
      </c>
      <c r="F201" s="13">
        <f>SUMIF('OD 07-24'!A:A,A201,'OD 07-24'!D:D)</f>
        <v>0</v>
      </c>
      <c r="G201" s="13">
        <f>SUMIF('OD 07-24'!A:A,A201,'OD 07-24'!E:E)</f>
        <v>0</v>
      </c>
      <c r="H201" s="14">
        <f t="shared" si="6"/>
        <v>0</v>
      </c>
      <c r="I201" s="14">
        <f t="shared" si="7"/>
        <v>0</v>
      </c>
      <c r="J201" s="8"/>
      <c r="K201" s="8"/>
      <c r="M201" s="339"/>
      <c r="N201" s="315"/>
    </row>
    <row r="202" spans="1:14" s="9" customFormat="1" ht="11.25" customHeight="1" x14ac:dyDescent="0.2">
      <c r="A202" s="10">
        <v>53208500</v>
      </c>
      <c r="B202" s="10" t="s">
        <v>357</v>
      </c>
      <c r="C202" s="11">
        <v>0</v>
      </c>
      <c r="D202" s="11">
        <v>0</v>
      </c>
      <c r="E202" s="11">
        <v>0</v>
      </c>
      <c r="F202" s="13">
        <f>SUMIF('OD 07-24'!A:A,A202,'OD 07-24'!D:D)</f>
        <v>0</v>
      </c>
      <c r="G202" s="13">
        <f>SUMIF('OD 07-24'!A:A,A202,'OD 07-24'!E:E)</f>
        <v>0</v>
      </c>
      <c r="H202" s="14">
        <f t="shared" si="6"/>
        <v>0</v>
      </c>
      <c r="I202" s="14">
        <f t="shared" si="7"/>
        <v>0</v>
      </c>
      <c r="J202" s="8"/>
      <c r="K202" s="8"/>
      <c r="M202" s="339"/>
      <c r="N202" s="315"/>
    </row>
    <row r="203" spans="1:14" s="9" customFormat="1" ht="11.25" customHeight="1" x14ac:dyDescent="0.2">
      <c r="A203" s="10">
        <v>54000000</v>
      </c>
      <c r="B203" s="10" t="s">
        <v>358</v>
      </c>
      <c r="C203" s="11">
        <v>0</v>
      </c>
      <c r="D203" s="11">
        <v>16489.436000000002</v>
      </c>
      <c r="E203" s="11">
        <v>16489.436000000002</v>
      </c>
      <c r="F203" s="13">
        <f>SUMIF('OD 07-24'!A:A,A203,'OD 07-24'!D:D)</f>
        <v>0</v>
      </c>
      <c r="G203" s="13">
        <f>SUMIF('OD 07-24'!A:A,A203,'OD 07-24'!E:E)</f>
        <v>0</v>
      </c>
      <c r="H203" s="14">
        <f t="shared" si="6"/>
        <v>0</v>
      </c>
      <c r="I203" s="14">
        <f t="shared" si="7"/>
        <v>0</v>
      </c>
      <c r="J203" s="8"/>
      <c r="K203" s="8"/>
      <c r="M203" s="339"/>
      <c r="N203" s="315"/>
    </row>
    <row r="204" spans="1:14" s="9" customFormat="1" ht="11.25" x14ac:dyDescent="0.2">
      <c r="A204" s="10">
        <v>54100000</v>
      </c>
      <c r="B204" s="10" t="s">
        <v>131</v>
      </c>
      <c r="C204" s="11">
        <v>17</v>
      </c>
      <c r="D204" s="11">
        <v>62880.644000000008</v>
      </c>
      <c r="E204" s="11">
        <v>51521.341</v>
      </c>
      <c r="F204" s="13">
        <f>SUMIF('OD 07-24'!A:A,A204,'OD 07-24'!D:D)</f>
        <v>0</v>
      </c>
      <c r="G204" s="13">
        <f>SUMIF('OD 07-24'!A:A,A204,'OD 07-24'!E:E)</f>
        <v>0</v>
      </c>
      <c r="H204" s="14">
        <f t="shared" si="6"/>
        <v>11359.303000000007</v>
      </c>
      <c r="I204" s="14">
        <f t="shared" si="7"/>
        <v>11376.303000000007</v>
      </c>
      <c r="J204" s="8" t="s">
        <v>121</v>
      </c>
      <c r="K204" s="8"/>
      <c r="M204" s="339"/>
      <c r="N204" s="315"/>
    </row>
    <row r="205" spans="1:14" s="9" customFormat="1" ht="11.25" customHeight="1" x14ac:dyDescent="0.2">
      <c r="A205" s="10">
        <v>54300000</v>
      </c>
      <c r="B205" s="10" t="s">
        <v>359</v>
      </c>
      <c r="C205" s="11">
        <v>0</v>
      </c>
      <c r="D205" s="11">
        <v>0</v>
      </c>
      <c r="E205" s="11">
        <v>0</v>
      </c>
      <c r="F205" s="13">
        <f>SUMIF('OD 07-24'!A:A,A205,'OD 07-24'!D:D)</f>
        <v>0</v>
      </c>
      <c r="G205" s="13">
        <f>SUMIF('OD 07-24'!A:A,A205,'OD 07-24'!E:E)</f>
        <v>0</v>
      </c>
      <c r="H205" s="14">
        <f t="shared" si="6"/>
        <v>0</v>
      </c>
      <c r="I205" s="14">
        <f t="shared" si="7"/>
        <v>0</v>
      </c>
      <c r="J205" s="8"/>
      <c r="K205" s="8"/>
      <c r="M205" s="339"/>
      <c r="N205" s="315"/>
    </row>
    <row r="206" spans="1:14" s="9" customFormat="1" ht="11.25" x14ac:dyDescent="0.2">
      <c r="A206" s="10">
        <v>55010000</v>
      </c>
      <c r="B206" s="10" t="s">
        <v>132</v>
      </c>
      <c r="C206" s="11">
        <v>3000</v>
      </c>
      <c r="D206" s="11">
        <v>0</v>
      </c>
      <c r="E206" s="11">
        <v>0</v>
      </c>
      <c r="F206" s="13">
        <f>SUMIF('OD 07-24'!A:A,A206,'OD 07-24'!D:D)</f>
        <v>0</v>
      </c>
      <c r="G206" s="13">
        <f>SUMIF('OD 07-24'!A:A,A206,'OD 07-24'!E:E)</f>
        <v>0</v>
      </c>
      <c r="H206" s="14">
        <f t="shared" si="6"/>
        <v>0</v>
      </c>
      <c r="I206" s="14">
        <f t="shared" si="7"/>
        <v>3000</v>
      </c>
      <c r="J206" s="8" t="s">
        <v>121</v>
      </c>
      <c r="K206" s="8"/>
      <c r="M206" s="339"/>
      <c r="N206" s="315"/>
    </row>
    <row r="207" spans="1:14" s="9" customFormat="1" ht="11.25" x14ac:dyDescent="0.2">
      <c r="A207" s="10">
        <v>55011000</v>
      </c>
      <c r="B207" s="10" t="s">
        <v>133</v>
      </c>
      <c r="C207" s="11">
        <v>0</v>
      </c>
      <c r="D207" s="11">
        <v>0</v>
      </c>
      <c r="E207" s="11">
        <v>0</v>
      </c>
      <c r="F207" s="13">
        <f>SUMIF('OD 07-24'!A:A,A207,'OD 07-24'!D:D)</f>
        <v>0</v>
      </c>
      <c r="G207" s="13">
        <f>SUMIF('OD 07-24'!A:A,A207,'OD 07-24'!E:E)</f>
        <v>0</v>
      </c>
      <c r="H207" s="14">
        <f t="shared" si="6"/>
        <v>0</v>
      </c>
      <c r="I207" s="14">
        <f t="shared" si="7"/>
        <v>0</v>
      </c>
      <c r="J207" s="8" t="s">
        <v>121</v>
      </c>
      <c r="K207" s="8"/>
      <c r="M207" s="339"/>
      <c r="N207" s="315"/>
    </row>
    <row r="208" spans="1:14" s="9" customFormat="1" ht="11.25" x14ac:dyDescent="0.2">
      <c r="A208" s="10">
        <v>58000000</v>
      </c>
      <c r="B208" s="10" t="s">
        <v>134</v>
      </c>
      <c r="C208" s="11">
        <v>0</v>
      </c>
      <c r="D208" s="11">
        <v>0</v>
      </c>
      <c r="E208" s="11">
        <v>0</v>
      </c>
      <c r="F208" s="13">
        <f>SUMIF('OD 07-24'!A:A,A208,'OD 07-24'!D:D)</f>
        <v>0</v>
      </c>
      <c r="G208" s="13">
        <f>SUMIF('OD 07-24'!A:A,A208,'OD 07-24'!E:E)</f>
        <v>0</v>
      </c>
      <c r="H208" s="14">
        <f t="shared" si="6"/>
        <v>0</v>
      </c>
      <c r="I208" s="14">
        <f t="shared" si="7"/>
        <v>0</v>
      </c>
      <c r="J208" s="8" t="s">
        <v>121</v>
      </c>
      <c r="K208" s="8"/>
      <c r="M208" s="339"/>
      <c r="N208" s="315"/>
    </row>
    <row r="209" spans="1:14" s="9" customFormat="1" ht="11.25" customHeight="1" x14ac:dyDescent="0.2">
      <c r="A209" s="10">
        <v>58001000</v>
      </c>
      <c r="B209" s="10" t="s">
        <v>135</v>
      </c>
      <c r="C209" s="11">
        <v>-1.9999593496322632E-4</v>
      </c>
      <c r="D209" s="11">
        <v>0</v>
      </c>
      <c r="E209" s="11">
        <v>0</v>
      </c>
      <c r="F209" s="13">
        <f>SUMIF('OD 07-24'!A:A,A209,'OD 07-24'!D:D)</f>
        <v>0</v>
      </c>
      <c r="G209" s="13">
        <f>SUMIF('OD 07-24'!A:A,A209,'OD 07-24'!E:E)</f>
        <v>0</v>
      </c>
      <c r="H209" s="14">
        <f t="shared" si="6"/>
        <v>0</v>
      </c>
      <c r="I209" s="14">
        <f t="shared" si="7"/>
        <v>-1.9999593496322632E-4</v>
      </c>
      <c r="J209" s="8"/>
      <c r="K209" s="8"/>
      <c r="M209" s="339"/>
      <c r="N209" s="315"/>
    </row>
    <row r="210" spans="1:14" s="9" customFormat="1" ht="11.25" customHeight="1" x14ac:dyDescent="0.2">
      <c r="A210" s="10">
        <v>58002000</v>
      </c>
      <c r="B210" s="10" t="s">
        <v>360</v>
      </c>
      <c r="C210" s="11">
        <v>0</v>
      </c>
      <c r="D210" s="11">
        <v>0</v>
      </c>
      <c r="E210" s="11">
        <v>0</v>
      </c>
      <c r="F210" s="13">
        <f>SUMIF('OD 07-24'!A:A,A210,'OD 07-24'!D:D)</f>
        <v>0</v>
      </c>
      <c r="G210" s="13">
        <f>SUMIF('OD 07-24'!A:A,A210,'OD 07-24'!E:E)</f>
        <v>0</v>
      </c>
      <c r="H210" s="14">
        <f t="shared" si="6"/>
        <v>0</v>
      </c>
      <c r="I210" s="14">
        <f t="shared" si="7"/>
        <v>0</v>
      </c>
      <c r="J210" s="8"/>
      <c r="K210" s="8"/>
      <c r="M210" s="339"/>
      <c r="N210" s="315"/>
    </row>
    <row r="211" spans="1:14" s="9" customFormat="1" ht="11.25" customHeight="1" x14ac:dyDescent="0.2">
      <c r="A211" s="10">
        <v>58003000</v>
      </c>
      <c r="B211" s="10" t="s">
        <v>136</v>
      </c>
      <c r="C211" s="11">
        <v>1.0100007057189941E-4</v>
      </c>
      <c r="D211" s="11">
        <v>4014351.1680000001</v>
      </c>
      <c r="E211" s="11">
        <v>4014351.1680000001</v>
      </c>
      <c r="F211" s="13">
        <f>SUMIF('OD 07-24'!A:A,A211,'OD 07-24'!D:D)</f>
        <v>0</v>
      </c>
      <c r="G211" s="13">
        <f>SUMIF('OD 07-24'!A:A,A211,'OD 07-24'!E:E)</f>
        <v>0</v>
      </c>
      <c r="H211" s="14">
        <f t="shared" si="6"/>
        <v>0</v>
      </c>
      <c r="I211" s="14">
        <f t="shared" si="7"/>
        <v>1.0100007057189941E-4</v>
      </c>
      <c r="J211" s="8"/>
      <c r="K211" s="8"/>
      <c r="M211" s="339"/>
      <c r="N211" s="315"/>
    </row>
    <row r="212" spans="1:14" s="9" customFormat="1" ht="11.25" customHeight="1" x14ac:dyDescent="0.2">
      <c r="A212" s="10">
        <v>58004000</v>
      </c>
      <c r="B212" s="10" t="s">
        <v>361</v>
      </c>
      <c r="C212" s="11">
        <v>0</v>
      </c>
      <c r="D212" s="11">
        <v>0</v>
      </c>
      <c r="E212" s="11">
        <v>0</v>
      </c>
      <c r="F212" s="13">
        <f>SUMIF('OD 07-24'!A:A,A212,'OD 07-24'!D:D)</f>
        <v>0</v>
      </c>
      <c r="G212" s="13">
        <f>SUMIF('OD 07-24'!A:A,A212,'OD 07-24'!E:E)</f>
        <v>0</v>
      </c>
      <c r="H212" s="14">
        <f t="shared" si="6"/>
        <v>0</v>
      </c>
      <c r="I212" s="14">
        <f t="shared" si="7"/>
        <v>0</v>
      </c>
      <c r="J212" s="8"/>
      <c r="K212" s="8"/>
      <c r="M212" s="339"/>
      <c r="N212" s="315"/>
    </row>
    <row r="213" spans="1:14" s="9" customFormat="1" ht="11.25" x14ac:dyDescent="0.2">
      <c r="A213" s="10">
        <v>58005000</v>
      </c>
      <c r="B213" s="10" t="s">
        <v>362</v>
      </c>
      <c r="C213" s="11">
        <v>3.8483738899230957E-4</v>
      </c>
      <c r="D213" s="11">
        <v>15988304.287</v>
      </c>
      <c r="E213" s="11">
        <v>15988304.287</v>
      </c>
      <c r="F213" s="13">
        <f>SUMIF('OD 07-24'!A:A,A213,'OD 07-24'!D:D)</f>
        <v>0</v>
      </c>
      <c r="G213" s="13">
        <f>SUMIF('OD 07-24'!A:A,A213,'OD 07-24'!E:E)</f>
        <v>0</v>
      </c>
      <c r="H213" s="14">
        <f t="shared" si="6"/>
        <v>0</v>
      </c>
      <c r="I213" s="14">
        <f t="shared" si="7"/>
        <v>3.8483738899230957E-4</v>
      </c>
      <c r="J213" s="8" t="s">
        <v>121</v>
      </c>
      <c r="K213" s="8"/>
      <c r="M213" s="339"/>
      <c r="N213" s="315"/>
    </row>
    <row r="214" spans="1:14" s="9" customFormat="1" ht="11.25" customHeight="1" x14ac:dyDescent="0.2">
      <c r="A214" s="10">
        <v>60110110</v>
      </c>
      <c r="B214" s="10" t="s">
        <v>403</v>
      </c>
      <c r="C214" s="11">
        <v>0</v>
      </c>
      <c r="D214" s="11">
        <v>1136780.078</v>
      </c>
      <c r="E214" s="11">
        <v>1136780.078</v>
      </c>
      <c r="F214" s="13">
        <f>SUMIF('OD 07-24'!A:A,A214,'OD 07-24'!D:D)</f>
        <v>1463593.0149999999</v>
      </c>
      <c r="G214" s="13">
        <f>SUMIF('OD 07-24'!A:A,A214,'OD 07-24'!E:E)</f>
        <v>1463593.0149999999</v>
      </c>
      <c r="H214" s="14">
        <f t="shared" si="6"/>
        <v>0</v>
      </c>
      <c r="I214" s="14">
        <f t="shared" si="7"/>
        <v>0</v>
      </c>
      <c r="J214" s="8" t="s">
        <v>138</v>
      </c>
      <c r="K214" s="8" t="s">
        <v>509</v>
      </c>
      <c r="M214" s="339"/>
      <c r="N214" s="315"/>
    </row>
    <row r="215" spans="1:14" s="9" customFormat="1" ht="11.25" customHeight="1" x14ac:dyDescent="0.2">
      <c r="A215" s="10">
        <v>60110212</v>
      </c>
      <c r="B215" s="10" t="s">
        <v>7391</v>
      </c>
      <c r="C215" s="11">
        <v>0</v>
      </c>
      <c r="D215" s="11">
        <v>35898.511500000001</v>
      </c>
      <c r="E215" s="11">
        <v>0</v>
      </c>
      <c r="F215" s="13">
        <f>SUMIF('OD 07-24'!A:A,A215,'OD 07-24'!D:D)</f>
        <v>0</v>
      </c>
      <c r="G215" s="13">
        <f>SUMIF('OD 07-24'!A:A,A215,'OD 07-24'!E:E)</f>
        <v>0</v>
      </c>
      <c r="H215" s="14">
        <f t="shared" si="6"/>
        <v>35898.511500000001</v>
      </c>
      <c r="I215" s="14">
        <f t="shared" si="7"/>
        <v>35898.511500000001</v>
      </c>
      <c r="J215" s="8" t="s">
        <v>138</v>
      </c>
      <c r="K215" s="8" t="s">
        <v>509</v>
      </c>
      <c r="M215" s="512"/>
      <c r="N215" s="315"/>
    </row>
    <row r="216" spans="1:14" s="9" customFormat="1" ht="11.25" customHeight="1" x14ac:dyDescent="0.2">
      <c r="A216" s="10">
        <v>60110210</v>
      </c>
      <c r="B216" s="10" t="s">
        <v>137</v>
      </c>
      <c r="C216" s="11">
        <v>0</v>
      </c>
      <c r="D216" s="11">
        <v>1147394.3236294999</v>
      </c>
      <c r="E216" s="11">
        <v>0</v>
      </c>
      <c r="F216" s="13">
        <f>SUMIF('OD 07-24'!A:A,A216,'OD 07-24'!D:D)</f>
        <v>0</v>
      </c>
      <c r="G216" s="13">
        <f>SUMIF('OD 07-24'!A:A,A216,'OD 07-24'!E:E)</f>
        <v>0</v>
      </c>
      <c r="H216" s="14">
        <f t="shared" si="6"/>
        <v>1147394.3236294999</v>
      </c>
      <c r="I216" s="14">
        <f t="shared" si="7"/>
        <v>1147394.3236294999</v>
      </c>
      <c r="J216" s="8" t="s">
        <v>138</v>
      </c>
      <c r="K216" s="8" t="s">
        <v>509</v>
      </c>
      <c r="M216" s="512"/>
      <c r="N216" s="315"/>
    </row>
    <row r="217" spans="1:14" s="9" customFormat="1" ht="11.25" customHeight="1" x14ac:dyDescent="0.2">
      <c r="A217" s="10">
        <v>60110211</v>
      </c>
      <c r="B217" s="10" t="s">
        <v>363</v>
      </c>
      <c r="C217" s="11">
        <v>0</v>
      </c>
      <c r="D217" s="11">
        <v>241888.14641850005</v>
      </c>
      <c r="E217" s="11">
        <v>0</v>
      </c>
      <c r="F217" s="13">
        <f>SUMIF('OD 07-24'!A:A,A217,'OD 07-24'!D:D)</f>
        <v>0</v>
      </c>
      <c r="G217" s="13">
        <f>SUMIF('OD 07-24'!A:A,A217,'OD 07-24'!E:E)</f>
        <v>0</v>
      </c>
      <c r="H217" s="14">
        <f t="shared" si="6"/>
        <v>241888.14641850005</v>
      </c>
      <c r="I217" s="14">
        <f t="shared" si="7"/>
        <v>241888.14641850005</v>
      </c>
      <c r="J217" s="8" t="s">
        <v>138</v>
      </c>
      <c r="K217" s="8" t="s">
        <v>509</v>
      </c>
      <c r="M217" s="512"/>
      <c r="N217" s="315"/>
    </row>
    <row r="218" spans="1:14" s="9" customFormat="1" ht="11.25" customHeight="1" x14ac:dyDescent="0.2">
      <c r="A218" s="10">
        <v>60110213</v>
      </c>
      <c r="B218" s="10" t="s">
        <v>364</v>
      </c>
      <c r="C218" s="11">
        <v>0</v>
      </c>
      <c r="D218" s="11">
        <v>5211.6000000000004</v>
      </c>
      <c r="E218" s="11">
        <v>0</v>
      </c>
      <c r="F218" s="13">
        <f>SUMIF('OD 07-24'!A:A,A218,'OD 07-24'!D:D)</f>
        <v>0</v>
      </c>
      <c r="G218" s="13">
        <f>SUMIF('OD 07-24'!A:A,A218,'OD 07-24'!E:E)</f>
        <v>0</v>
      </c>
      <c r="H218" s="14">
        <f t="shared" si="6"/>
        <v>5211.6000000000004</v>
      </c>
      <c r="I218" s="14">
        <f t="shared" si="7"/>
        <v>5211.6000000000004</v>
      </c>
      <c r="J218" s="8" t="s">
        <v>138</v>
      </c>
      <c r="K218" s="8" t="s">
        <v>509</v>
      </c>
      <c r="M218" s="512"/>
      <c r="N218" s="315"/>
    </row>
    <row r="219" spans="1:14" s="9" customFormat="1" ht="11.25" customHeight="1" x14ac:dyDescent="0.2">
      <c r="A219" s="10">
        <v>60110220</v>
      </c>
      <c r="B219" s="10" t="s">
        <v>139</v>
      </c>
      <c r="C219" s="11">
        <v>0</v>
      </c>
      <c r="D219" s="11">
        <v>1222714.638367</v>
      </c>
      <c r="E219" s="11">
        <v>12546.76</v>
      </c>
      <c r="F219" s="13">
        <f>SUMIF('OD 07-24'!A:A,A219,'OD 07-24'!D:D)</f>
        <v>0</v>
      </c>
      <c r="G219" s="13">
        <f>SUMIF('OD 07-24'!A:A,A219,'OD 07-24'!E:E)</f>
        <v>0</v>
      </c>
      <c r="H219" s="14">
        <f t="shared" si="6"/>
        <v>1210167.878367</v>
      </c>
      <c r="I219" s="14">
        <f t="shared" si="7"/>
        <v>1210167.878367</v>
      </c>
      <c r="J219" s="8" t="s">
        <v>138</v>
      </c>
      <c r="K219" s="8" t="s">
        <v>509</v>
      </c>
      <c r="M219" s="512"/>
      <c r="N219" s="315"/>
    </row>
    <row r="220" spans="1:14" s="9" customFormat="1" ht="11.25" customHeight="1" x14ac:dyDescent="0.2">
      <c r="A220" s="10">
        <v>60110230</v>
      </c>
      <c r="B220" s="10" t="s">
        <v>7566</v>
      </c>
      <c r="C220" s="11">
        <v>0</v>
      </c>
      <c r="D220" s="11">
        <v>71024.114700000006</v>
      </c>
      <c r="E220" s="11">
        <v>0</v>
      </c>
      <c r="F220" s="13">
        <f>SUMIF('OD 07-24'!A:A,A220,'OD 07-24'!D:D)</f>
        <v>0</v>
      </c>
      <c r="G220" s="13">
        <f>SUMIF('OD 07-24'!A:A,A220,'OD 07-24'!E:E)</f>
        <v>0</v>
      </c>
      <c r="H220" s="14">
        <f t="shared" si="6"/>
        <v>71024.114700000006</v>
      </c>
      <c r="I220" s="14">
        <f t="shared" si="7"/>
        <v>71024.114700000006</v>
      </c>
      <c r="J220" s="8" t="s">
        <v>138</v>
      </c>
      <c r="K220" s="8" t="s">
        <v>509</v>
      </c>
      <c r="M220" s="512"/>
      <c r="N220" s="315"/>
    </row>
    <row r="221" spans="1:14" s="9" customFormat="1" ht="11.25" customHeight="1" x14ac:dyDescent="0.2">
      <c r="A221" s="10">
        <v>60110300</v>
      </c>
      <c r="B221" s="10" t="s">
        <v>140</v>
      </c>
      <c r="C221" s="11">
        <v>0</v>
      </c>
      <c r="D221" s="11">
        <v>49354.872638000001</v>
      </c>
      <c r="E221" s="11">
        <v>8655.4889999999996</v>
      </c>
      <c r="F221" s="13">
        <f>SUMIF('OD 07-24'!A:A,A221,'OD 07-24'!D:D)</f>
        <v>0</v>
      </c>
      <c r="G221" s="13">
        <f>SUMIF('OD 07-24'!A:A,A221,'OD 07-24'!E:E)</f>
        <v>0</v>
      </c>
      <c r="H221" s="14">
        <f t="shared" si="6"/>
        <v>40699.383637999999</v>
      </c>
      <c r="I221" s="14">
        <f t="shared" si="7"/>
        <v>40699.383637999999</v>
      </c>
      <c r="J221" s="8" t="s">
        <v>138</v>
      </c>
      <c r="K221" s="8" t="s">
        <v>509</v>
      </c>
      <c r="M221" s="512"/>
      <c r="N221" s="315"/>
    </row>
    <row r="222" spans="1:14" s="9" customFormat="1" ht="11.25" customHeight="1" x14ac:dyDescent="0.2">
      <c r="A222" s="10">
        <v>60110310</v>
      </c>
      <c r="B222" s="10" t="s">
        <v>141</v>
      </c>
      <c r="C222" s="11">
        <v>0</v>
      </c>
      <c r="D222" s="11">
        <v>59058.48</v>
      </c>
      <c r="E222" s="11">
        <v>0</v>
      </c>
      <c r="F222" s="13">
        <f>SUMIF('OD 07-24'!A:A,A222,'OD 07-24'!D:D)</f>
        <v>0</v>
      </c>
      <c r="G222" s="13">
        <f>SUMIF('OD 07-24'!A:A,A222,'OD 07-24'!E:E)</f>
        <v>0</v>
      </c>
      <c r="H222" s="14">
        <f t="shared" si="6"/>
        <v>59058.48</v>
      </c>
      <c r="I222" s="14">
        <f t="shared" si="7"/>
        <v>59058.48</v>
      </c>
      <c r="J222" s="8" t="s">
        <v>138</v>
      </c>
      <c r="K222" s="8" t="s">
        <v>509</v>
      </c>
      <c r="M222" s="512"/>
      <c r="N222" s="315"/>
    </row>
    <row r="223" spans="1:14" s="9" customFormat="1" ht="11.25" customHeight="1" x14ac:dyDescent="0.2">
      <c r="A223" s="10">
        <v>60110320</v>
      </c>
      <c r="B223" s="10" t="s">
        <v>142</v>
      </c>
      <c r="C223" s="11">
        <v>0</v>
      </c>
      <c r="D223" s="11">
        <v>44893.273368999995</v>
      </c>
      <c r="E223" s="11">
        <v>0</v>
      </c>
      <c r="F223" s="13">
        <f>SUMIF('OD 07-24'!A:A,A223,'OD 07-24'!D:D)</f>
        <v>0</v>
      </c>
      <c r="G223" s="13">
        <f>SUMIF('OD 07-24'!A:A,A223,'OD 07-24'!E:E)</f>
        <v>0</v>
      </c>
      <c r="H223" s="14">
        <f t="shared" si="6"/>
        <v>44893.273368999995</v>
      </c>
      <c r="I223" s="14">
        <f t="shared" si="7"/>
        <v>44893.273368999995</v>
      </c>
      <c r="J223" s="8" t="s">
        <v>138</v>
      </c>
      <c r="K223" s="8" t="s">
        <v>509</v>
      </c>
      <c r="M223" s="512"/>
      <c r="N223" s="315"/>
    </row>
    <row r="224" spans="1:14" s="9" customFormat="1" ht="11.25" customHeight="1" x14ac:dyDescent="0.2">
      <c r="A224" s="10">
        <v>60110330</v>
      </c>
      <c r="B224" s="10" t="s">
        <v>143</v>
      </c>
      <c r="C224" s="11">
        <v>0</v>
      </c>
      <c r="D224" s="11">
        <v>41631.268230000001</v>
      </c>
      <c r="E224" s="11">
        <v>0</v>
      </c>
      <c r="F224" s="13">
        <f>SUMIF('OD 07-24'!A:A,A224,'OD 07-24'!D:D)</f>
        <v>0</v>
      </c>
      <c r="G224" s="13">
        <f>SUMIF('OD 07-24'!A:A,A224,'OD 07-24'!E:E)</f>
        <v>0</v>
      </c>
      <c r="H224" s="14">
        <f t="shared" si="6"/>
        <v>41631.268230000001</v>
      </c>
      <c r="I224" s="14">
        <f t="shared" si="7"/>
        <v>41631.268230000001</v>
      </c>
      <c r="J224" s="8" t="s">
        <v>138</v>
      </c>
      <c r="K224" s="8" t="s">
        <v>509</v>
      </c>
      <c r="M224" s="512"/>
      <c r="N224" s="315"/>
    </row>
    <row r="225" spans="1:14" s="9" customFormat="1" ht="11.25" customHeight="1" x14ac:dyDescent="0.2">
      <c r="A225" s="10">
        <v>60110350</v>
      </c>
      <c r="B225" s="10" t="s">
        <v>261</v>
      </c>
      <c r="C225" s="11">
        <v>0</v>
      </c>
      <c r="D225" s="11">
        <v>452.23999999999995</v>
      </c>
      <c r="E225" s="11">
        <v>0.17100000000000001</v>
      </c>
      <c r="F225" s="13">
        <f>SUMIF('OD 07-24'!A:A,A225,'OD 07-24'!D:D)</f>
        <v>0</v>
      </c>
      <c r="G225" s="13">
        <f>SUMIF('OD 07-24'!A:A,A225,'OD 07-24'!E:E)</f>
        <v>0</v>
      </c>
      <c r="H225" s="14">
        <f t="shared" si="6"/>
        <v>452.06899999999996</v>
      </c>
      <c r="I225" s="14">
        <f t="shared" si="7"/>
        <v>452.06899999999996</v>
      </c>
      <c r="J225" s="8" t="s">
        <v>138</v>
      </c>
      <c r="K225" s="8" t="s">
        <v>509</v>
      </c>
      <c r="M225" s="512"/>
      <c r="N225" s="315"/>
    </row>
    <row r="226" spans="1:14" s="9" customFormat="1" ht="11.25" customHeight="1" x14ac:dyDescent="0.2">
      <c r="A226" s="10">
        <v>60110500</v>
      </c>
      <c r="B226" s="10" t="s">
        <v>144</v>
      </c>
      <c r="C226" s="11">
        <v>0</v>
      </c>
      <c r="D226" s="11">
        <v>6140.6190000000006</v>
      </c>
      <c r="E226" s="11">
        <v>0.14899999999999999</v>
      </c>
      <c r="F226" s="13">
        <f>SUMIF('OD 07-24'!A:A,A226,'OD 07-24'!D:D)</f>
        <v>3677.7440000000001</v>
      </c>
      <c r="G226" s="13">
        <f>SUMIF('OD 07-24'!A:A,A226,'OD 07-24'!E:E)</f>
        <v>3677.7440000000001</v>
      </c>
      <c r="H226" s="14">
        <f t="shared" si="6"/>
        <v>6140.4700000000012</v>
      </c>
      <c r="I226" s="14">
        <f t="shared" si="7"/>
        <v>6140.4700000000012</v>
      </c>
      <c r="J226" s="8" t="s">
        <v>138</v>
      </c>
      <c r="K226" s="8" t="s">
        <v>509</v>
      </c>
      <c r="M226" s="512"/>
      <c r="N226" s="315"/>
    </row>
    <row r="227" spans="1:14" s="9" customFormat="1" ht="11.25" customHeight="1" x14ac:dyDescent="0.2">
      <c r="A227" s="10">
        <v>60110600</v>
      </c>
      <c r="B227" s="10" t="s">
        <v>145</v>
      </c>
      <c r="C227" s="11">
        <v>0</v>
      </c>
      <c r="D227" s="11">
        <v>23856.953999999998</v>
      </c>
      <c r="E227" s="11">
        <v>0</v>
      </c>
      <c r="F227" s="13">
        <f>SUMIF('OD 07-24'!A:A,A227,'OD 07-24'!D:D)</f>
        <v>0</v>
      </c>
      <c r="G227" s="13">
        <f>SUMIF('OD 07-24'!A:A,A227,'OD 07-24'!E:E)</f>
        <v>0</v>
      </c>
      <c r="H227" s="14">
        <f t="shared" si="6"/>
        <v>23856.953999999998</v>
      </c>
      <c r="I227" s="14">
        <f t="shared" si="7"/>
        <v>23856.953999999998</v>
      </c>
      <c r="J227" s="8" t="s">
        <v>138</v>
      </c>
      <c r="K227" s="8" t="s">
        <v>509</v>
      </c>
      <c r="M227" s="512"/>
      <c r="N227" s="315"/>
    </row>
    <row r="228" spans="1:14" s="9" customFormat="1" ht="11.25" customHeight="1" x14ac:dyDescent="0.2">
      <c r="A228" s="10">
        <v>60110700</v>
      </c>
      <c r="B228" s="10" t="s">
        <v>146</v>
      </c>
      <c r="C228" s="11">
        <v>0</v>
      </c>
      <c r="D228" s="11">
        <v>204.67500000000001</v>
      </c>
      <c r="E228" s="11">
        <v>0</v>
      </c>
      <c r="F228" s="13">
        <f>SUMIF('OD 07-24'!A:A,A228,'OD 07-24'!D:D)</f>
        <v>0</v>
      </c>
      <c r="G228" s="13">
        <f>SUMIF('OD 07-24'!A:A,A228,'OD 07-24'!E:E)</f>
        <v>0</v>
      </c>
      <c r="H228" s="14">
        <f t="shared" si="6"/>
        <v>204.67500000000001</v>
      </c>
      <c r="I228" s="14">
        <f t="shared" si="7"/>
        <v>204.67500000000001</v>
      </c>
      <c r="J228" s="8" t="s">
        <v>138</v>
      </c>
      <c r="K228" s="8" t="s">
        <v>509</v>
      </c>
      <c r="M228" s="512"/>
      <c r="N228" s="315"/>
    </row>
    <row r="229" spans="1:14" s="9" customFormat="1" ht="11.25" customHeight="1" x14ac:dyDescent="0.2">
      <c r="A229" s="10">
        <v>60110900</v>
      </c>
      <c r="B229" s="10" t="s">
        <v>147</v>
      </c>
      <c r="C229" s="11">
        <v>0</v>
      </c>
      <c r="D229" s="11">
        <v>252187.72099999999</v>
      </c>
      <c r="E229" s="11">
        <v>808</v>
      </c>
      <c r="F229" s="13">
        <f>SUMIF('OD 07-24'!A:A,A229,'OD 07-24'!D:D)</f>
        <v>160605.66099999999</v>
      </c>
      <c r="G229" s="13">
        <f>SUMIF('OD 07-24'!A:A,A229,'OD 07-24'!E:E)</f>
        <v>160189.03599999999</v>
      </c>
      <c r="H229" s="14">
        <f t="shared" si="6"/>
        <v>251796.34599999999</v>
      </c>
      <c r="I229" s="14">
        <f t="shared" si="7"/>
        <v>251796.34599999999</v>
      </c>
      <c r="J229" s="8" t="s">
        <v>138</v>
      </c>
      <c r="K229" s="8" t="s">
        <v>509</v>
      </c>
      <c r="M229" s="512"/>
      <c r="N229" s="315"/>
    </row>
    <row r="230" spans="1:14" s="9" customFormat="1" ht="11.25" customHeight="1" x14ac:dyDescent="0.2">
      <c r="A230" s="10">
        <v>60111000</v>
      </c>
      <c r="B230" s="10" t="s">
        <v>148</v>
      </c>
      <c r="C230" s="11">
        <v>0</v>
      </c>
      <c r="D230" s="11">
        <v>0</v>
      </c>
      <c r="E230" s="11">
        <v>0</v>
      </c>
      <c r="F230" s="13">
        <f>SUMIF('OD 07-24'!A:A,A230,'OD 07-24'!D:D)</f>
        <v>0</v>
      </c>
      <c r="G230" s="13">
        <f>SUMIF('OD 07-24'!A:A,A230,'OD 07-24'!E:E)</f>
        <v>0</v>
      </c>
      <c r="H230" s="14">
        <f t="shared" si="6"/>
        <v>0</v>
      </c>
      <c r="I230" s="14">
        <f t="shared" si="7"/>
        <v>0</v>
      </c>
      <c r="J230" s="8" t="s">
        <v>138</v>
      </c>
      <c r="K230" s="8" t="s">
        <v>509</v>
      </c>
      <c r="M230" s="512"/>
      <c r="N230" s="315"/>
    </row>
    <row r="231" spans="1:14" s="9" customFormat="1" ht="11.25" customHeight="1" x14ac:dyDescent="0.2">
      <c r="A231" s="10">
        <v>60111010</v>
      </c>
      <c r="B231" s="10" t="s">
        <v>393</v>
      </c>
      <c r="C231" s="11">
        <v>0</v>
      </c>
      <c r="D231" s="11">
        <v>4646</v>
      </c>
      <c r="E231" s="11">
        <v>0</v>
      </c>
      <c r="F231" s="13">
        <f>SUMIF('OD 07-24'!A:A,A231,'OD 07-24'!D:D)</f>
        <v>0</v>
      </c>
      <c r="G231" s="13">
        <f>SUMIF('OD 07-24'!A:A,A231,'OD 07-24'!E:E)</f>
        <v>0</v>
      </c>
      <c r="H231" s="14">
        <f t="shared" si="6"/>
        <v>4646</v>
      </c>
      <c r="I231" s="14">
        <f t="shared" si="7"/>
        <v>4646</v>
      </c>
      <c r="J231" s="8" t="s">
        <v>138</v>
      </c>
      <c r="K231" s="8" t="s">
        <v>509</v>
      </c>
      <c r="M231" s="512"/>
      <c r="N231" s="315"/>
    </row>
    <row r="232" spans="1:14" s="9" customFormat="1" ht="11.25" customHeight="1" x14ac:dyDescent="0.2">
      <c r="A232" s="10">
        <v>60120100</v>
      </c>
      <c r="B232" s="10" t="s">
        <v>149</v>
      </c>
      <c r="C232" s="11">
        <v>0</v>
      </c>
      <c r="D232" s="11">
        <v>798573.48802749987</v>
      </c>
      <c r="E232" s="11">
        <v>9063.0944025000008</v>
      </c>
      <c r="F232" s="13">
        <f>SUMIF('OD 07-24'!A:A,A232,'OD 07-24'!D:D)</f>
        <v>0</v>
      </c>
      <c r="G232" s="13">
        <f>SUMIF('OD 07-24'!A:A,A232,'OD 07-24'!E:E)</f>
        <v>0</v>
      </c>
      <c r="H232" s="14">
        <f t="shared" si="6"/>
        <v>789510.39362499991</v>
      </c>
      <c r="I232" s="14">
        <f t="shared" si="7"/>
        <v>789510.39362499991</v>
      </c>
      <c r="J232" s="8" t="s">
        <v>138</v>
      </c>
      <c r="K232" s="8" t="s">
        <v>509</v>
      </c>
      <c r="M232" s="512"/>
      <c r="N232" s="315"/>
    </row>
    <row r="233" spans="1:14" s="9" customFormat="1" ht="11.25" customHeight="1" x14ac:dyDescent="0.2">
      <c r="A233" s="10">
        <v>60120200</v>
      </c>
      <c r="B233" s="10" t="s">
        <v>8977</v>
      </c>
      <c r="C233" s="11">
        <v>0</v>
      </c>
      <c r="D233" s="11">
        <v>492</v>
      </c>
      <c r="E233" s="11">
        <v>0</v>
      </c>
      <c r="F233" s="13">
        <f>SUMIF('OD 07-24'!A:A,A233,'OD 07-24'!D:D)</f>
        <v>492</v>
      </c>
      <c r="G233" s="13">
        <f>SUMIF('OD 07-24'!A:A,A233,'OD 07-24'!E:E)</f>
        <v>492</v>
      </c>
      <c r="H233" s="14">
        <f t="shared" si="6"/>
        <v>492</v>
      </c>
      <c r="I233" s="14">
        <f t="shared" si="7"/>
        <v>492</v>
      </c>
      <c r="J233" s="8" t="s">
        <v>138</v>
      </c>
      <c r="K233" s="8" t="s">
        <v>509</v>
      </c>
      <c r="M233" s="512"/>
      <c r="N233" s="315"/>
    </row>
    <row r="234" spans="1:14" s="9" customFormat="1" ht="11.25" customHeight="1" x14ac:dyDescent="0.2">
      <c r="A234" s="10">
        <v>60120300</v>
      </c>
      <c r="B234" s="10" t="s">
        <v>150</v>
      </c>
      <c r="C234" s="11">
        <v>0</v>
      </c>
      <c r="D234" s="11">
        <v>6207554.8870000001</v>
      </c>
      <c r="E234" s="11">
        <v>72828.75</v>
      </c>
      <c r="F234" s="13">
        <f>SUMIF('OD 07-24'!A:A,A234,'OD 07-24'!D:D)</f>
        <v>438945.11</v>
      </c>
      <c r="G234" s="13">
        <f>SUMIF('OD 07-24'!A:A,A234,'OD 07-24'!E:E)</f>
        <v>426285.11</v>
      </c>
      <c r="H234" s="14">
        <f t="shared" si="6"/>
        <v>6147386.1370000001</v>
      </c>
      <c r="I234" s="14">
        <f t="shared" si="7"/>
        <v>6147386.1370000001</v>
      </c>
      <c r="J234" s="8" t="s">
        <v>138</v>
      </c>
      <c r="K234" s="8" t="s">
        <v>509</v>
      </c>
      <c r="M234" s="512"/>
      <c r="N234" s="315"/>
    </row>
    <row r="235" spans="1:14" s="9" customFormat="1" ht="11.25" customHeight="1" x14ac:dyDescent="0.2">
      <c r="A235" s="10">
        <v>60120400</v>
      </c>
      <c r="B235" s="10" t="s">
        <v>365</v>
      </c>
      <c r="C235" s="11">
        <v>0</v>
      </c>
      <c r="D235" s="11">
        <v>2366056.5520000001</v>
      </c>
      <c r="E235" s="11">
        <v>0</v>
      </c>
      <c r="F235" s="13">
        <f>SUMIF('OD 07-24'!A:A,A235,'OD 07-24'!D:D)</f>
        <v>157330.79999999999</v>
      </c>
      <c r="G235" s="13">
        <f>SUMIF('OD 07-24'!A:A,A235,'OD 07-24'!E:E)</f>
        <v>157330.79999999999</v>
      </c>
      <c r="H235" s="14">
        <f t="shared" si="6"/>
        <v>2366056.5520000001</v>
      </c>
      <c r="I235" s="14">
        <f t="shared" si="7"/>
        <v>2366056.5520000001</v>
      </c>
      <c r="J235" s="8" t="s">
        <v>138</v>
      </c>
      <c r="K235" s="8" t="s">
        <v>509</v>
      </c>
      <c r="M235" s="512"/>
      <c r="N235" s="315"/>
    </row>
    <row r="236" spans="1:14" s="9" customFormat="1" ht="11.25" customHeight="1" x14ac:dyDescent="0.2">
      <c r="A236" s="10">
        <v>60120800</v>
      </c>
      <c r="B236" s="10" t="s">
        <v>151</v>
      </c>
      <c r="C236" s="11">
        <v>0</v>
      </c>
      <c r="D236" s="11">
        <v>687363.6878999999</v>
      </c>
      <c r="E236" s="11">
        <v>0</v>
      </c>
      <c r="F236" s="13">
        <f>SUMIF('OD 07-24'!A:A,A236,'OD 07-24'!D:D)</f>
        <v>0</v>
      </c>
      <c r="G236" s="13">
        <f>SUMIF('OD 07-24'!A:A,A236,'OD 07-24'!E:E)</f>
        <v>0</v>
      </c>
      <c r="H236" s="14">
        <f t="shared" si="6"/>
        <v>687363.6878999999</v>
      </c>
      <c r="I236" s="14">
        <f t="shared" si="7"/>
        <v>687363.6878999999</v>
      </c>
      <c r="J236" s="8" t="s">
        <v>138</v>
      </c>
      <c r="K236" s="8" t="s">
        <v>509</v>
      </c>
      <c r="M236" s="512"/>
      <c r="N236" s="315"/>
    </row>
    <row r="237" spans="1:14" s="9" customFormat="1" ht="11.25" customHeight="1" x14ac:dyDescent="0.2">
      <c r="A237" s="10">
        <v>60120900</v>
      </c>
      <c r="B237" s="10" t="s">
        <v>7393</v>
      </c>
      <c r="C237" s="11">
        <v>0</v>
      </c>
      <c r="D237" s="11">
        <v>207731.8450375</v>
      </c>
      <c r="E237" s="11">
        <v>0</v>
      </c>
      <c r="F237" s="13">
        <f>SUMIF('OD 07-24'!A:A,A237,'OD 07-24'!D:D)</f>
        <v>0</v>
      </c>
      <c r="G237" s="13">
        <f>SUMIF('OD 07-24'!A:A,A237,'OD 07-24'!E:E)</f>
        <v>0</v>
      </c>
      <c r="H237" s="14">
        <f t="shared" si="6"/>
        <v>207731.8450375</v>
      </c>
      <c r="I237" s="14">
        <f t="shared" si="7"/>
        <v>207731.8450375</v>
      </c>
      <c r="J237" s="8" t="s">
        <v>138</v>
      </c>
      <c r="K237" s="8" t="s">
        <v>509</v>
      </c>
      <c r="M237" s="512"/>
      <c r="N237" s="315"/>
    </row>
    <row r="238" spans="1:14" s="9" customFormat="1" ht="11.25" customHeight="1" x14ac:dyDescent="0.2">
      <c r="A238" s="10">
        <v>60121010</v>
      </c>
      <c r="B238" s="10" t="s">
        <v>152</v>
      </c>
      <c r="C238" s="11">
        <v>0</v>
      </c>
      <c r="D238" s="11">
        <v>9296769.146055501</v>
      </c>
      <c r="E238" s="11">
        <v>0</v>
      </c>
      <c r="F238" s="13">
        <f>SUMIF('OD 07-24'!A:A,A238,'OD 07-24'!D:D)</f>
        <v>0</v>
      </c>
      <c r="G238" s="13">
        <f>SUMIF('OD 07-24'!A:A,A238,'OD 07-24'!E:E)</f>
        <v>0</v>
      </c>
      <c r="H238" s="14">
        <f t="shared" si="6"/>
        <v>9296769.146055501</v>
      </c>
      <c r="I238" s="14">
        <f t="shared" si="7"/>
        <v>9296769.146055501</v>
      </c>
      <c r="J238" s="8" t="s">
        <v>138</v>
      </c>
      <c r="K238" s="8" t="s">
        <v>509</v>
      </c>
      <c r="M238" s="512"/>
      <c r="N238" s="315"/>
    </row>
    <row r="239" spans="1:14" s="9" customFormat="1" ht="11.25" customHeight="1" x14ac:dyDescent="0.2">
      <c r="A239" s="10">
        <v>60121020</v>
      </c>
      <c r="B239" s="10" t="s">
        <v>153</v>
      </c>
      <c r="C239" s="11">
        <v>0</v>
      </c>
      <c r="D239" s="11">
        <v>4664</v>
      </c>
      <c r="E239" s="11">
        <v>4664</v>
      </c>
      <c r="F239" s="13">
        <f>SUMIF('OD 07-24'!A:A,A239,'OD 07-24'!D:D)</f>
        <v>0</v>
      </c>
      <c r="G239" s="13">
        <f>SUMIF('OD 07-24'!A:A,A239,'OD 07-24'!E:E)</f>
        <v>0</v>
      </c>
      <c r="H239" s="14">
        <f t="shared" si="6"/>
        <v>0</v>
      </c>
      <c r="I239" s="14">
        <f t="shared" si="7"/>
        <v>0</v>
      </c>
      <c r="J239" s="8" t="s">
        <v>138</v>
      </c>
      <c r="K239" s="8" t="s">
        <v>509</v>
      </c>
      <c r="M239" s="512"/>
      <c r="N239" s="315"/>
    </row>
    <row r="240" spans="1:14" s="9" customFormat="1" ht="11.25" customHeight="1" x14ac:dyDescent="0.2">
      <c r="A240" s="10">
        <v>60121031</v>
      </c>
      <c r="B240" s="10" t="s">
        <v>394</v>
      </c>
      <c r="C240" s="11">
        <v>0</v>
      </c>
      <c r="D240" s="11">
        <v>83243.112670000002</v>
      </c>
      <c r="E240" s="11">
        <v>0</v>
      </c>
      <c r="F240" s="13">
        <f>SUMIF('OD 07-24'!A:A,A240,'OD 07-24'!D:D)</f>
        <v>0</v>
      </c>
      <c r="G240" s="13">
        <f>SUMIF('OD 07-24'!A:A,A240,'OD 07-24'!E:E)</f>
        <v>0</v>
      </c>
      <c r="H240" s="14">
        <f t="shared" si="6"/>
        <v>83243.112670000002</v>
      </c>
      <c r="I240" s="14">
        <f t="shared" si="7"/>
        <v>83243.112670000002</v>
      </c>
      <c r="J240" s="8" t="s">
        <v>138</v>
      </c>
      <c r="K240" s="8" t="s">
        <v>509</v>
      </c>
      <c r="M240" s="512"/>
      <c r="N240" s="315"/>
    </row>
    <row r="241" spans="1:14" s="9" customFormat="1" ht="11.25" customHeight="1" x14ac:dyDescent="0.2">
      <c r="A241" s="10">
        <v>60121032</v>
      </c>
      <c r="B241" s="10" t="s">
        <v>8973</v>
      </c>
      <c r="C241" s="11">
        <v>0</v>
      </c>
      <c r="D241" s="11">
        <v>10482.185000000001</v>
      </c>
      <c r="E241" s="11">
        <v>0</v>
      </c>
      <c r="F241" s="13">
        <f>SUMIF('OD 07-24'!A:A,A241,'OD 07-24'!D:D)</f>
        <v>0</v>
      </c>
      <c r="G241" s="13">
        <f>SUMIF('OD 07-24'!A:A,A241,'OD 07-24'!E:E)</f>
        <v>0</v>
      </c>
      <c r="H241" s="14">
        <f t="shared" si="6"/>
        <v>10482.185000000001</v>
      </c>
      <c r="I241" s="14">
        <f t="shared" si="7"/>
        <v>10482.185000000001</v>
      </c>
      <c r="J241" s="8" t="s">
        <v>138</v>
      </c>
      <c r="K241" s="8" t="s">
        <v>509</v>
      </c>
      <c r="M241" s="512"/>
      <c r="N241" s="315"/>
    </row>
    <row r="242" spans="1:14" s="9" customFormat="1" ht="11.25" customHeight="1" x14ac:dyDescent="0.2">
      <c r="A242" s="10">
        <v>60121033</v>
      </c>
      <c r="B242" s="10" t="s">
        <v>7718</v>
      </c>
      <c r="C242" s="11">
        <v>0</v>
      </c>
      <c r="D242" s="11">
        <v>6154.0569999999989</v>
      </c>
      <c r="E242" s="11">
        <v>0</v>
      </c>
      <c r="F242" s="13">
        <f>SUMIF('OD 07-24'!A:A,A242,'OD 07-24'!D:D)</f>
        <v>0</v>
      </c>
      <c r="G242" s="13">
        <f>SUMIF('OD 07-24'!A:A,A242,'OD 07-24'!E:E)</f>
        <v>0</v>
      </c>
      <c r="H242" s="14">
        <f t="shared" si="6"/>
        <v>6154.0569999999989</v>
      </c>
      <c r="I242" s="14">
        <f t="shared" si="7"/>
        <v>6154.0569999999989</v>
      </c>
      <c r="J242" s="8" t="s">
        <v>138</v>
      </c>
      <c r="K242" s="8" t="s">
        <v>509</v>
      </c>
      <c r="M242" s="512"/>
      <c r="N242" s="315"/>
    </row>
    <row r="243" spans="1:14" s="9" customFormat="1" ht="11.25" customHeight="1" x14ac:dyDescent="0.2">
      <c r="A243" s="10">
        <v>60121035</v>
      </c>
      <c r="B243" s="10" t="s">
        <v>395</v>
      </c>
      <c r="C243" s="11">
        <v>0</v>
      </c>
      <c r="D243" s="11">
        <v>2907.0840000000003</v>
      </c>
      <c r="E243" s="11">
        <v>0</v>
      </c>
      <c r="F243" s="13">
        <f>SUMIF('OD 07-24'!A:A,A243,'OD 07-24'!D:D)</f>
        <v>0</v>
      </c>
      <c r="G243" s="13">
        <f>SUMIF('OD 07-24'!A:A,A243,'OD 07-24'!E:E)</f>
        <v>0</v>
      </c>
      <c r="H243" s="14">
        <f t="shared" si="6"/>
        <v>2907.0840000000003</v>
      </c>
      <c r="I243" s="14">
        <f t="shared" si="7"/>
        <v>2907.0840000000003</v>
      </c>
      <c r="J243" s="8" t="s">
        <v>138</v>
      </c>
      <c r="K243" s="8" t="s">
        <v>509</v>
      </c>
      <c r="M243" s="512"/>
      <c r="N243" s="315"/>
    </row>
    <row r="244" spans="1:14" s="9" customFormat="1" ht="11.25" customHeight="1" x14ac:dyDescent="0.2">
      <c r="A244" s="10">
        <v>60121040</v>
      </c>
      <c r="B244" s="10" t="s">
        <v>7720</v>
      </c>
      <c r="C244" s="11">
        <v>0</v>
      </c>
      <c r="D244" s="11">
        <v>2058.75</v>
      </c>
      <c r="E244" s="11">
        <v>0</v>
      </c>
      <c r="F244" s="13">
        <f>SUMIF('OD 07-24'!A:A,A244,'OD 07-24'!D:D)</f>
        <v>0</v>
      </c>
      <c r="G244" s="13">
        <f>SUMIF('OD 07-24'!A:A,A244,'OD 07-24'!E:E)</f>
        <v>0</v>
      </c>
      <c r="H244" s="14">
        <f t="shared" si="6"/>
        <v>2058.75</v>
      </c>
      <c r="I244" s="14">
        <f t="shared" si="7"/>
        <v>2058.75</v>
      </c>
      <c r="J244" s="8" t="s">
        <v>138</v>
      </c>
      <c r="K244" s="8" t="s">
        <v>509</v>
      </c>
      <c r="M244" s="512"/>
      <c r="N244" s="315"/>
    </row>
    <row r="245" spans="1:14" s="9" customFormat="1" ht="11.25" customHeight="1" x14ac:dyDescent="0.2">
      <c r="A245" s="10">
        <v>60121210</v>
      </c>
      <c r="B245" s="10" t="s">
        <v>7400</v>
      </c>
      <c r="C245" s="11">
        <v>0</v>
      </c>
      <c r="D245" s="11">
        <v>121168.9972735</v>
      </c>
      <c r="E245" s="11">
        <v>0</v>
      </c>
      <c r="F245" s="13">
        <f>SUMIF('OD 07-24'!A:A,A245,'OD 07-24'!D:D)</f>
        <v>0</v>
      </c>
      <c r="G245" s="13">
        <f>SUMIF('OD 07-24'!A:A,A245,'OD 07-24'!E:E)</f>
        <v>0</v>
      </c>
      <c r="H245" s="14">
        <f t="shared" si="6"/>
        <v>121168.9972735</v>
      </c>
      <c r="I245" s="14">
        <f t="shared" si="7"/>
        <v>121168.9972735</v>
      </c>
      <c r="J245" s="8" t="s">
        <v>138</v>
      </c>
      <c r="K245" s="8" t="s">
        <v>509</v>
      </c>
      <c r="M245" s="512"/>
      <c r="N245" s="315"/>
    </row>
    <row r="246" spans="1:14" s="9" customFormat="1" ht="11.25" customHeight="1" x14ac:dyDescent="0.2">
      <c r="A246" s="10">
        <v>60121400</v>
      </c>
      <c r="B246" s="10" t="s">
        <v>7570</v>
      </c>
      <c r="C246" s="11">
        <v>0</v>
      </c>
      <c r="D246" s="11">
        <v>53858.292479999989</v>
      </c>
      <c r="E246" s="11">
        <v>0</v>
      </c>
      <c r="F246" s="13">
        <f>SUMIF('OD 07-24'!A:A,A246,'OD 07-24'!D:D)</f>
        <v>0</v>
      </c>
      <c r="G246" s="13">
        <f>SUMIF('OD 07-24'!A:A,A246,'OD 07-24'!E:E)</f>
        <v>0</v>
      </c>
      <c r="H246" s="14">
        <f t="shared" si="6"/>
        <v>53858.292479999989</v>
      </c>
      <c r="I246" s="14">
        <f t="shared" si="7"/>
        <v>53858.292479999989</v>
      </c>
      <c r="J246" s="8" t="s">
        <v>138</v>
      </c>
      <c r="K246" s="8" t="s">
        <v>509</v>
      </c>
      <c r="M246" s="512"/>
      <c r="N246" s="315"/>
    </row>
    <row r="247" spans="1:14" s="9" customFormat="1" ht="11.25" customHeight="1" x14ac:dyDescent="0.2">
      <c r="A247" s="10">
        <v>60121500</v>
      </c>
      <c r="B247" s="10" t="s">
        <v>404</v>
      </c>
      <c r="C247" s="11">
        <v>0</v>
      </c>
      <c r="D247" s="11">
        <v>99000</v>
      </c>
      <c r="E247" s="11">
        <v>0</v>
      </c>
      <c r="F247" s="13">
        <f>SUMIF('OD 07-24'!A:A,A247,'OD 07-24'!D:D)</f>
        <v>154800</v>
      </c>
      <c r="G247" s="13">
        <f>SUMIF('OD 07-24'!A:A,A247,'OD 07-24'!E:E)</f>
        <v>154800</v>
      </c>
      <c r="H247" s="14">
        <f t="shared" si="6"/>
        <v>99000</v>
      </c>
      <c r="I247" s="14">
        <f t="shared" si="7"/>
        <v>99000</v>
      </c>
      <c r="J247" s="8" t="s">
        <v>138</v>
      </c>
      <c r="K247" s="8" t="s">
        <v>509</v>
      </c>
      <c r="M247" s="512"/>
      <c r="N247" s="315"/>
    </row>
    <row r="248" spans="1:14" s="9" customFormat="1" ht="11.25" customHeight="1" x14ac:dyDescent="0.2">
      <c r="A248" s="10">
        <v>60121600</v>
      </c>
      <c r="B248" s="10" t="s">
        <v>154</v>
      </c>
      <c r="C248" s="11">
        <v>0</v>
      </c>
      <c r="D248" s="11">
        <v>334944</v>
      </c>
      <c r="E248" s="11">
        <v>0</v>
      </c>
      <c r="F248" s="13">
        <f>SUMIF('OD 07-24'!A:A,A248,'OD 07-24'!D:D)</f>
        <v>0</v>
      </c>
      <c r="G248" s="13">
        <f>SUMIF('OD 07-24'!A:A,A248,'OD 07-24'!E:E)</f>
        <v>0</v>
      </c>
      <c r="H248" s="14">
        <f t="shared" si="6"/>
        <v>334944</v>
      </c>
      <c r="I248" s="14">
        <f t="shared" si="7"/>
        <v>334944</v>
      </c>
      <c r="J248" s="8" t="s">
        <v>138</v>
      </c>
      <c r="K248" s="8" t="s">
        <v>509</v>
      </c>
      <c r="M248" s="512"/>
      <c r="N248" s="315"/>
    </row>
    <row r="249" spans="1:14" s="9" customFormat="1" ht="11.25" customHeight="1" x14ac:dyDescent="0.2">
      <c r="A249" s="10">
        <v>60121900</v>
      </c>
      <c r="B249" s="10" t="s">
        <v>7568</v>
      </c>
      <c r="C249" s="11">
        <v>0</v>
      </c>
      <c r="D249" s="11">
        <v>33763.75</v>
      </c>
      <c r="E249" s="11">
        <v>0</v>
      </c>
      <c r="F249" s="13">
        <f>SUMIF('OD 07-24'!A:A,A249,'OD 07-24'!D:D)</f>
        <v>0</v>
      </c>
      <c r="G249" s="13">
        <f>SUMIF('OD 07-24'!A:A,A249,'OD 07-24'!E:E)</f>
        <v>0</v>
      </c>
      <c r="H249" s="14">
        <f t="shared" si="6"/>
        <v>33763.75</v>
      </c>
      <c r="I249" s="14">
        <f t="shared" si="7"/>
        <v>33763.75</v>
      </c>
      <c r="J249" s="8" t="s">
        <v>138</v>
      </c>
      <c r="K249" s="8" t="s">
        <v>509</v>
      </c>
      <c r="M249" s="512"/>
      <c r="N249" s="315"/>
    </row>
    <row r="250" spans="1:14" s="9" customFormat="1" ht="11.25" customHeight="1" x14ac:dyDescent="0.2">
      <c r="A250" s="10">
        <v>60122100</v>
      </c>
      <c r="B250" s="10" t="s">
        <v>155</v>
      </c>
      <c r="C250" s="11">
        <v>0</v>
      </c>
      <c r="D250" s="11">
        <v>86985</v>
      </c>
      <c r="E250" s="11">
        <v>1485</v>
      </c>
      <c r="F250" s="13">
        <f>SUMIF('OD 07-24'!A:A,A250,'OD 07-24'!D:D)</f>
        <v>26730</v>
      </c>
      <c r="G250" s="13">
        <f>SUMIF('OD 07-24'!A:A,A250,'OD 07-24'!E:E)</f>
        <v>26730</v>
      </c>
      <c r="H250" s="14">
        <f t="shared" si="6"/>
        <v>85500</v>
      </c>
      <c r="I250" s="14">
        <f t="shared" si="7"/>
        <v>85500</v>
      </c>
      <c r="J250" s="8" t="s">
        <v>138</v>
      </c>
      <c r="K250" s="8" t="s">
        <v>509</v>
      </c>
      <c r="M250" s="512"/>
      <c r="N250" s="315"/>
    </row>
    <row r="251" spans="1:14" s="9" customFormat="1" ht="11.25" customHeight="1" x14ac:dyDescent="0.2">
      <c r="A251" s="10">
        <v>60122200</v>
      </c>
      <c r="B251" s="10" t="s">
        <v>156</v>
      </c>
      <c r="C251" s="11">
        <v>0</v>
      </c>
      <c r="D251" s="11">
        <v>54164.048999999999</v>
      </c>
      <c r="E251" s="11">
        <v>0</v>
      </c>
      <c r="F251" s="13">
        <f>SUMIF('OD 07-24'!A:A,A251,'OD 07-24'!D:D)</f>
        <v>12789</v>
      </c>
      <c r="G251" s="13">
        <f>SUMIF('OD 07-24'!A:A,A251,'OD 07-24'!E:E)</f>
        <v>12789</v>
      </c>
      <c r="H251" s="14">
        <f t="shared" si="6"/>
        <v>54164.048999999999</v>
      </c>
      <c r="I251" s="14">
        <f t="shared" si="7"/>
        <v>54164.048999999999</v>
      </c>
      <c r="J251" s="8" t="s">
        <v>138</v>
      </c>
      <c r="K251" s="8" t="s">
        <v>509</v>
      </c>
      <c r="M251" s="512"/>
      <c r="N251" s="315"/>
    </row>
    <row r="252" spans="1:14" s="9" customFormat="1" ht="11.25" customHeight="1" x14ac:dyDescent="0.2">
      <c r="A252" s="10">
        <v>60122400</v>
      </c>
      <c r="B252" s="10" t="s">
        <v>7396</v>
      </c>
      <c r="C252" s="11">
        <v>0</v>
      </c>
      <c r="D252" s="11">
        <v>19993.563000000002</v>
      </c>
      <c r="E252" s="11">
        <v>0</v>
      </c>
      <c r="F252" s="13">
        <f>SUMIF('OD 07-24'!A:A,A252,'OD 07-24'!D:D)</f>
        <v>0</v>
      </c>
      <c r="G252" s="13">
        <f>SUMIF('OD 07-24'!A:A,A252,'OD 07-24'!E:E)</f>
        <v>0</v>
      </c>
      <c r="H252" s="14">
        <f t="shared" si="6"/>
        <v>19993.563000000002</v>
      </c>
      <c r="I252" s="14">
        <f t="shared" si="7"/>
        <v>19993.563000000002</v>
      </c>
      <c r="J252" s="8" t="s">
        <v>138</v>
      </c>
      <c r="K252" s="8" t="s">
        <v>509</v>
      </c>
      <c r="M252" s="512"/>
      <c r="N252" s="315"/>
    </row>
    <row r="253" spans="1:14" s="9" customFormat="1" ht="11.25" customHeight="1" x14ac:dyDescent="0.2">
      <c r="A253" s="10">
        <v>60122410</v>
      </c>
      <c r="B253" s="10" t="s">
        <v>366</v>
      </c>
      <c r="C253" s="11">
        <v>0</v>
      </c>
      <c r="D253" s="11">
        <v>2300</v>
      </c>
      <c r="E253" s="11">
        <v>0</v>
      </c>
      <c r="F253" s="13">
        <f>SUMIF('OD 07-24'!A:A,A253,'OD 07-24'!D:D)</f>
        <v>0</v>
      </c>
      <c r="G253" s="13">
        <f>SUMIF('OD 07-24'!A:A,A253,'OD 07-24'!E:E)</f>
        <v>0</v>
      </c>
      <c r="H253" s="14">
        <f t="shared" si="6"/>
        <v>2300</v>
      </c>
      <c r="I253" s="14">
        <f t="shared" si="7"/>
        <v>2300</v>
      </c>
      <c r="J253" s="8" t="s">
        <v>138</v>
      </c>
      <c r="K253" s="8" t="s">
        <v>509</v>
      </c>
      <c r="M253" s="512"/>
      <c r="N253" s="315"/>
    </row>
    <row r="254" spans="1:14" s="9" customFormat="1" ht="11.25" customHeight="1" x14ac:dyDescent="0.2">
      <c r="A254" s="10">
        <v>60122411</v>
      </c>
      <c r="B254" s="10" t="s">
        <v>367</v>
      </c>
      <c r="C254" s="11">
        <v>0</v>
      </c>
      <c r="D254" s="11">
        <v>40358</v>
      </c>
      <c r="E254" s="11">
        <v>0</v>
      </c>
      <c r="F254" s="13">
        <f>SUMIF('OD 07-24'!A:A,A254,'OD 07-24'!D:D)</f>
        <v>1314.8</v>
      </c>
      <c r="G254" s="13">
        <f>SUMIF('OD 07-24'!A:A,A254,'OD 07-24'!E:E)</f>
        <v>1154.8</v>
      </c>
      <c r="H254" s="14">
        <f t="shared" si="6"/>
        <v>40518</v>
      </c>
      <c r="I254" s="14">
        <f t="shared" si="7"/>
        <v>40518</v>
      </c>
      <c r="J254" s="8" t="s">
        <v>138</v>
      </c>
      <c r="K254" s="8" t="s">
        <v>509</v>
      </c>
      <c r="M254" s="512"/>
      <c r="N254" s="315"/>
    </row>
    <row r="255" spans="1:14" s="9" customFormat="1" ht="11.25" customHeight="1" x14ac:dyDescent="0.2">
      <c r="A255" s="10">
        <v>60122510</v>
      </c>
      <c r="B255" s="10" t="s">
        <v>368</v>
      </c>
      <c r="C255" s="11">
        <v>0</v>
      </c>
      <c r="D255" s="11">
        <v>25136.306</v>
      </c>
      <c r="E255" s="11">
        <v>0</v>
      </c>
      <c r="F255" s="13">
        <f>SUMIF('OD 07-24'!A:A,A255,'OD 07-24'!D:D)</f>
        <v>1931.701</v>
      </c>
      <c r="G255" s="13">
        <f>SUMIF('OD 07-24'!A:A,A255,'OD 07-24'!E:E)</f>
        <v>1931.701</v>
      </c>
      <c r="H255" s="14">
        <f t="shared" si="6"/>
        <v>25136.306</v>
      </c>
      <c r="I255" s="14">
        <f t="shared" si="7"/>
        <v>25136.306</v>
      </c>
      <c r="J255" s="8" t="s">
        <v>138</v>
      </c>
      <c r="K255" s="8" t="s">
        <v>509</v>
      </c>
      <c r="M255" s="512"/>
      <c r="N255" s="315"/>
    </row>
    <row r="256" spans="1:14" s="9" customFormat="1" ht="11.25" customHeight="1" x14ac:dyDescent="0.2">
      <c r="A256" s="10">
        <v>60122520</v>
      </c>
      <c r="B256" s="10" t="s">
        <v>396</v>
      </c>
      <c r="C256" s="11">
        <v>0</v>
      </c>
      <c r="D256" s="11">
        <v>3001.7220000000002</v>
      </c>
      <c r="E256" s="11">
        <v>0</v>
      </c>
      <c r="F256" s="13">
        <f>SUMIF('OD 07-24'!A:A,A256,'OD 07-24'!D:D)</f>
        <v>0</v>
      </c>
      <c r="G256" s="13">
        <f>SUMIF('OD 07-24'!A:A,A256,'OD 07-24'!E:E)</f>
        <v>0</v>
      </c>
      <c r="H256" s="14">
        <f t="shared" si="6"/>
        <v>3001.7220000000002</v>
      </c>
      <c r="I256" s="14">
        <f t="shared" si="7"/>
        <v>3001.7220000000002</v>
      </c>
      <c r="J256" s="8" t="s">
        <v>138</v>
      </c>
      <c r="K256" s="8" t="s">
        <v>509</v>
      </c>
      <c r="M256" s="512"/>
      <c r="N256" s="315"/>
    </row>
    <row r="257" spans="1:14" s="9" customFormat="1" ht="11.25" customHeight="1" x14ac:dyDescent="0.2">
      <c r="A257" s="10">
        <v>60122700</v>
      </c>
      <c r="B257" s="10" t="s">
        <v>7567</v>
      </c>
      <c r="C257" s="11">
        <v>0</v>
      </c>
      <c r="D257" s="11">
        <v>9500.0399999999991</v>
      </c>
      <c r="E257" s="11">
        <v>0</v>
      </c>
      <c r="F257" s="13">
        <f>SUMIF('OD 07-24'!A:A,A257,'OD 07-24'!D:D)</f>
        <v>12212.5</v>
      </c>
      <c r="G257" s="13">
        <f>SUMIF('OD 07-24'!A:A,A257,'OD 07-24'!E:E)</f>
        <v>12212.5</v>
      </c>
      <c r="H257" s="14">
        <f t="shared" si="6"/>
        <v>9500.0400000000009</v>
      </c>
      <c r="I257" s="14">
        <f t="shared" si="7"/>
        <v>9500.0400000000009</v>
      </c>
      <c r="J257" s="8" t="s">
        <v>138</v>
      </c>
      <c r="K257" s="8" t="s">
        <v>509</v>
      </c>
      <c r="M257" s="512"/>
      <c r="N257" s="315"/>
    </row>
    <row r="258" spans="1:14" s="9" customFormat="1" ht="11.25" customHeight="1" x14ac:dyDescent="0.2">
      <c r="A258" s="10">
        <v>60171000</v>
      </c>
      <c r="B258" s="10" t="s">
        <v>369</v>
      </c>
      <c r="C258" s="11">
        <v>0</v>
      </c>
      <c r="D258" s="11">
        <v>361616.91499999998</v>
      </c>
      <c r="E258" s="11">
        <v>325.53100000000001</v>
      </c>
      <c r="F258" s="13">
        <f>SUMIF('OD 07-24'!A:A,A258,'OD 07-24'!D:D)</f>
        <v>345246.97499999998</v>
      </c>
      <c r="G258" s="13">
        <f>SUMIF('OD 07-24'!A:A,A258,'OD 07-24'!E:E)</f>
        <v>304956.96799999999</v>
      </c>
      <c r="H258" s="14">
        <f t="shared" si="6"/>
        <v>401581.39099999995</v>
      </c>
      <c r="I258" s="14">
        <f t="shared" si="7"/>
        <v>401581.39099999995</v>
      </c>
      <c r="J258" s="8" t="s">
        <v>138</v>
      </c>
      <c r="K258" s="8" t="s">
        <v>509</v>
      </c>
      <c r="M258" s="512"/>
      <c r="N258" s="315"/>
    </row>
    <row r="259" spans="1:14" s="9" customFormat="1" ht="11.25" customHeight="1" x14ac:dyDescent="0.2">
      <c r="A259" s="10">
        <v>60172000</v>
      </c>
      <c r="B259" s="10" t="s">
        <v>169</v>
      </c>
      <c r="C259" s="11">
        <v>0</v>
      </c>
      <c r="D259" s="11">
        <v>625349.34100000001</v>
      </c>
      <c r="E259" s="11">
        <v>1970.4739999999997</v>
      </c>
      <c r="F259" s="13">
        <f>SUMIF('OD 07-24'!A:A,A259,'OD 07-24'!D:D)</f>
        <v>616662.93599999999</v>
      </c>
      <c r="G259" s="13">
        <f>SUMIF('OD 07-24'!A:A,A259,'OD 07-24'!E:E)</f>
        <v>500478.42099999997</v>
      </c>
      <c r="H259" s="14">
        <f t="shared" si="6"/>
        <v>739563.3820000001</v>
      </c>
      <c r="I259" s="14">
        <f t="shared" si="7"/>
        <v>739563.3820000001</v>
      </c>
      <c r="J259" s="8" t="s">
        <v>138</v>
      </c>
      <c r="K259" s="8" t="s">
        <v>509</v>
      </c>
      <c r="M259" s="512"/>
      <c r="N259" s="315"/>
    </row>
    <row r="260" spans="1:14" s="9" customFormat="1" ht="11.25" customHeight="1" x14ac:dyDescent="0.2">
      <c r="A260" s="10">
        <v>60173000</v>
      </c>
      <c r="B260" s="10" t="s">
        <v>170</v>
      </c>
      <c r="C260" s="11">
        <v>0</v>
      </c>
      <c r="D260" s="11">
        <v>67567.888999999996</v>
      </c>
      <c r="E260" s="11">
        <v>16484.29</v>
      </c>
      <c r="F260" s="13">
        <f>SUMIF('OD 07-24'!A:A,A260,'OD 07-24'!D:D)</f>
        <v>50469.235000000001</v>
      </c>
      <c r="G260" s="13">
        <f>SUMIF('OD 07-24'!A:A,A260,'OD 07-24'!E:E)</f>
        <v>42681.502</v>
      </c>
      <c r="H260" s="14">
        <f t="shared" si="6"/>
        <v>58871.332000000002</v>
      </c>
      <c r="I260" s="14">
        <f t="shared" si="7"/>
        <v>58871.332000000002</v>
      </c>
      <c r="J260" s="8" t="s">
        <v>138</v>
      </c>
      <c r="K260" s="8" t="s">
        <v>509</v>
      </c>
      <c r="M260" s="512"/>
      <c r="N260" s="315"/>
    </row>
    <row r="261" spans="1:14" s="9" customFormat="1" ht="11.25" customHeight="1" x14ac:dyDescent="0.2">
      <c r="A261" s="10">
        <v>60191000</v>
      </c>
      <c r="B261" s="10" t="s">
        <v>158</v>
      </c>
      <c r="C261" s="11">
        <v>0</v>
      </c>
      <c r="D261" s="11">
        <v>1088788.74804</v>
      </c>
      <c r="E261" s="11">
        <v>35148.936999999998</v>
      </c>
      <c r="F261" s="13">
        <f>SUMIF('OD 07-24'!A:A,A261,'OD 07-24'!D:D)</f>
        <v>0</v>
      </c>
      <c r="G261" s="13">
        <f>SUMIF('OD 07-24'!A:A,A261,'OD 07-24'!E:E)</f>
        <v>0</v>
      </c>
      <c r="H261" s="14">
        <f t="shared" si="6"/>
        <v>1053639.8110400001</v>
      </c>
      <c r="I261" s="14">
        <f t="shared" si="7"/>
        <v>1053639.8110400001</v>
      </c>
      <c r="J261" s="8" t="s">
        <v>138</v>
      </c>
      <c r="K261" s="8" t="s">
        <v>509</v>
      </c>
      <c r="M261" s="512"/>
      <c r="N261" s="315"/>
    </row>
    <row r="262" spans="1:14" s="9" customFormat="1" ht="11.25" customHeight="1" x14ac:dyDescent="0.2">
      <c r="A262" s="10">
        <v>60215000</v>
      </c>
      <c r="B262" s="10" t="s">
        <v>370</v>
      </c>
      <c r="C262" s="11">
        <v>0</v>
      </c>
      <c r="D262" s="11">
        <v>0</v>
      </c>
      <c r="E262" s="11">
        <v>0</v>
      </c>
      <c r="F262" s="13">
        <f>SUMIF('OD 07-24'!A:A,A262,'OD 07-24'!D:D)</f>
        <v>0</v>
      </c>
      <c r="G262" s="13">
        <f>SUMIF('OD 07-24'!A:A,A262,'OD 07-24'!E:E)</f>
        <v>0</v>
      </c>
      <c r="H262" s="14">
        <f t="shared" si="6"/>
        <v>0</v>
      </c>
      <c r="I262" s="14">
        <f t="shared" si="7"/>
        <v>0</v>
      </c>
      <c r="J262" s="8" t="s">
        <v>138</v>
      </c>
      <c r="K262" s="8" t="s">
        <v>509</v>
      </c>
      <c r="M262" s="512"/>
      <c r="N262" s="315"/>
    </row>
    <row r="263" spans="1:14" s="9" customFormat="1" ht="11.25" customHeight="1" x14ac:dyDescent="0.2">
      <c r="A263" s="10">
        <v>60216000</v>
      </c>
      <c r="B263" s="10" t="s">
        <v>371</v>
      </c>
      <c r="C263" s="11">
        <v>0</v>
      </c>
      <c r="D263" s="11">
        <v>293619.22151249996</v>
      </c>
      <c r="E263" s="11">
        <v>0</v>
      </c>
      <c r="F263" s="13">
        <f>SUMIF('OD 07-24'!A:A,A263,'OD 07-24'!D:D)</f>
        <v>0</v>
      </c>
      <c r="G263" s="13">
        <f>SUMIF('OD 07-24'!A:A,A263,'OD 07-24'!E:E)</f>
        <v>0</v>
      </c>
      <c r="H263" s="14">
        <f t="shared" ref="H263:H326" si="8">+D263+F263-E263-G263</f>
        <v>293619.22151249996</v>
      </c>
      <c r="I263" s="14">
        <f t="shared" ref="I263:I326" si="9">+H263+C263</f>
        <v>293619.22151249996</v>
      </c>
      <c r="J263" s="8" t="s">
        <v>138</v>
      </c>
      <c r="K263" s="8" t="s">
        <v>509</v>
      </c>
      <c r="M263" s="512"/>
      <c r="N263" s="315"/>
    </row>
    <row r="264" spans="1:14" s="9" customFormat="1" ht="11.25" customHeight="1" x14ac:dyDescent="0.2">
      <c r="A264" s="10">
        <v>60260200</v>
      </c>
      <c r="B264" s="10" t="s">
        <v>372</v>
      </c>
      <c r="C264" s="11">
        <v>0</v>
      </c>
      <c r="D264" s="11">
        <v>6922.3</v>
      </c>
      <c r="E264" s="11">
        <v>0</v>
      </c>
      <c r="F264" s="13">
        <f>SUMIF('OD 07-24'!A:A,A264,'OD 07-24'!D:D)</f>
        <v>0</v>
      </c>
      <c r="G264" s="13">
        <f>SUMIF('OD 07-24'!A:A,A264,'OD 07-24'!E:E)</f>
        <v>0</v>
      </c>
      <c r="H264" s="14">
        <f t="shared" si="8"/>
        <v>6922.3</v>
      </c>
      <c r="I264" s="14">
        <f t="shared" si="9"/>
        <v>6922.3</v>
      </c>
      <c r="J264" s="8" t="s">
        <v>138</v>
      </c>
      <c r="K264" s="8" t="s">
        <v>509</v>
      </c>
      <c r="M264" s="512"/>
      <c r="N264" s="315"/>
    </row>
    <row r="265" spans="1:14" s="9" customFormat="1" ht="11.25" customHeight="1" x14ac:dyDescent="0.2">
      <c r="A265" s="10">
        <v>60260300</v>
      </c>
      <c r="B265" s="10" t="s">
        <v>160</v>
      </c>
      <c r="C265" s="11">
        <v>0</v>
      </c>
      <c r="D265" s="11">
        <v>84170.650999999998</v>
      </c>
      <c r="E265" s="11">
        <v>1624.701</v>
      </c>
      <c r="F265" s="13">
        <f>SUMIF('OD 07-24'!A:A,A265,'OD 07-24'!D:D)</f>
        <v>0</v>
      </c>
      <c r="G265" s="13">
        <f>SUMIF('OD 07-24'!A:A,A265,'OD 07-24'!E:E)</f>
        <v>0</v>
      </c>
      <c r="H265" s="14">
        <f t="shared" si="8"/>
        <v>82545.95</v>
      </c>
      <c r="I265" s="14">
        <f t="shared" si="9"/>
        <v>82545.95</v>
      </c>
      <c r="J265" s="8" t="s">
        <v>138</v>
      </c>
      <c r="K265" s="8" t="s">
        <v>509</v>
      </c>
      <c r="M265" s="512"/>
      <c r="N265" s="315"/>
    </row>
    <row r="266" spans="1:14" s="9" customFormat="1" ht="11.25" customHeight="1" x14ac:dyDescent="0.2">
      <c r="A266" s="10">
        <v>60260400</v>
      </c>
      <c r="B266" s="10" t="s">
        <v>161</v>
      </c>
      <c r="C266" s="11">
        <v>0</v>
      </c>
      <c r="D266" s="11">
        <v>52720.014000000003</v>
      </c>
      <c r="E266" s="11">
        <v>0</v>
      </c>
      <c r="F266" s="13">
        <f>SUMIF('OD 07-24'!A:A,A266,'OD 07-24'!D:D)</f>
        <v>14147</v>
      </c>
      <c r="G266" s="13">
        <f>SUMIF('OD 07-24'!A:A,A266,'OD 07-24'!E:E)</f>
        <v>9653.4</v>
      </c>
      <c r="H266" s="14">
        <f t="shared" si="8"/>
        <v>57213.613999999994</v>
      </c>
      <c r="I266" s="14">
        <f t="shared" si="9"/>
        <v>57213.613999999994</v>
      </c>
      <c r="J266" s="8" t="s">
        <v>138</v>
      </c>
      <c r="K266" s="8" t="s">
        <v>509</v>
      </c>
      <c r="M266" s="512"/>
      <c r="N266" s="315"/>
    </row>
    <row r="267" spans="1:14" s="9" customFormat="1" ht="11.25" customHeight="1" x14ac:dyDescent="0.2">
      <c r="A267" s="10">
        <v>60260500</v>
      </c>
      <c r="B267" s="10" t="s">
        <v>162</v>
      </c>
      <c r="C267" s="11">
        <v>0</v>
      </c>
      <c r="D267" s="11">
        <v>42206.929000000004</v>
      </c>
      <c r="E267" s="11">
        <v>0</v>
      </c>
      <c r="F267" s="13">
        <f>SUMIF('OD 07-24'!A:A,A267,'OD 07-24'!D:D)</f>
        <v>0</v>
      </c>
      <c r="G267" s="13">
        <f>SUMIF('OD 07-24'!A:A,A267,'OD 07-24'!E:E)</f>
        <v>0</v>
      </c>
      <c r="H267" s="14">
        <f t="shared" si="8"/>
        <v>42206.929000000004</v>
      </c>
      <c r="I267" s="14">
        <f t="shared" si="9"/>
        <v>42206.929000000004</v>
      </c>
      <c r="J267" s="8" t="s">
        <v>138</v>
      </c>
      <c r="K267" s="8" t="s">
        <v>509</v>
      </c>
      <c r="M267" s="512"/>
      <c r="N267" s="315"/>
    </row>
    <row r="268" spans="1:14" s="9" customFormat="1" ht="11.25" customHeight="1" x14ac:dyDescent="0.2">
      <c r="A268" s="10">
        <v>60260600</v>
      </c>
      <c r="B268" s="10" t="s">
        <v>7401</v>
      </c>
      <c r="C268" s="11">
        <v>0</v>
      </c>
      <c r="D268" s="11">
        <v>1222.0999999999999</v>
      </c>
      <c r="E268" s="11">
        <v>0</v>
      </c>
      <c r="F268" s="13">
        <f>SUMIF('OD 07-24'!A:A,A268,'OD 07-24'!D:D)</f>
        <v>0</v>
      </c>
      <c r="G268" s="13">
        <f>SUMIF('OD 07-24'!A:A,A268,'OD 07-24'!E:E)</f>
        <v>0</v>
      </c>
      <c r="H268" s="14">
        <f t="shared" si="8"/>
        <v>1222.0999999999999</v>
      </c>
      <c r="I268" s="14">
        <f t="shared" si="9"/>
        <v>1222.0999999999999</v>
      </c>
      <c r="J268" s="8" t="s">
        <v>138</v>
      </c>
      <c r="K268" s="8" t="s">
        <v>509</v>
      </c>
      <c r="M268" s="512"/>
      <c r="N268" s="315"/>
    </row>
    <row r="269" spans="1:14" s="9" customFormat="1" ht="11.25" customHeight="1" x14ac:dyDescent="0.2">
      <c r="A269" s="10">
        <v>60260700</v>
      </c>
      <c r="B269" s="10" t="s">
        <v>163</v>
      </c>
      <c r="C269" s="11">
        <v>0</v>
      </c>
      <c r="D269" s="11">
        <v>61438.3</v>
      </c>
      <c r="E269" s="11">
        <v>3368.35</v>
      </c>
      <c r="F269" s="13">
        <f>SUMIF('OD 07-24'!A:A,A269,'OD 07-24'!D:D)</f>
        <v>5845.7</v>
      </c>
      <c r="G269" s="13">
        <f>SUMIF('OD 07-24'!A:A,A269,'OD 07-24'!E:E)</f>
        <v>5845.7</v>
      </c>
      <c r="H269" s="14">
        <f t="shared" si="8"/>
        <v>58069.950000000004</v>
      </c>
      <c r="I269" s="14">
        <f t="shared" si="9"/>
        <v>58069.950000000004</v>
      </c>
      <c r="J269" s="8" t="s">
        <v>138</v>
      </c>
      <c r="K269" s="8" t="s">
        <v>509</v>
      </c>
      <c r="M269" s="512"/>
      <c r="N269" s="315"/>
    </row>
    <row r="270" spans="1:14" s="9" customFormat="1" ht="11.25" customHeight="1" x14ac:dyDescent="0.2">
      <c r="A270" s="10">
        <v>60262000</v>
      </c>
      <c r="B270" s="10" t="s">
        <v>164</v>
      </c>
      <c r="C270" s="11">
        <v>0</v>
      </c>
      <c r="D270" s="11">
        <v>134663.14935999998</v>
      </c>
      <c r="E270" s="11">
        <v>0</v>
      </c>
      <c r="F270" s="13">
        <f>SUMIF('OD 07-24'!A:A,A270,'OD 07-24'!D:D)</f>
        <v>21103.929</v>
      </c>
      <c r="G270" s="13">
        <f>SUMIF('OD 07-24'!A:A,A270,'OD 07-24'!E:E)</f>
        <v>13960</v>
      </c>
      <c r="H270" s="14">
        <f t="shared" si="8"/>
        <v>141807.07835999998</v>
      </c>
      <c r="I270" s="14">
        <f t="shared" si="9"/>
        <v>141807.07835999998</v>
      </c>
      <c r="J270" s="8" t="s">
        <v>138</v>
      </c>
      <c r="K270" s="8" t="s">
        <v>509</v>
      </c>
      <c r="M270" s="512"/>
      <c r="N270" s="315"/>
    </row>
    <row r="271" spans="1:14" s="9" customFormat="1" ht="11.25" customHeight="1" x14ac:dyDescent="0.2">
      <c r="A271" s="10">
        <v>60263000</v>
      </c>
      <c r="B271" s="10" t="s">
        <v>165</v>
      </c>
      <c r="C271" s="11">
        <v>0</v>
      </c>
      <c r="D271" s="11">
        <v>39202.742000000006</v>
      </c>
      <c r="E271" s="11">
        <v>3446.625</v>
      </c>
      <c r="F271" s="13">
        <f>SUMIF('OD 07-24'!A:A,A271,'OD 07-24'!D:D)</f>
        <v>8964.4979999999996</v>
      </c>
      <c r="G271" s="13">
        <f>SUMIF('OD 07-24'!A:A,A271,'OD 07-24'!E:E)</f>
        <v>3249.402</v>
      </c>
      <c r="H271" s="14">
        <f t="shared" si="8"/>
        <v>41471.213000000003</v>
      </c>
      <c r="I271" s="14">
        <f t="shared" si="9"/>
        <v>41471.213000000003</v>
      </c>
      <c r="J271" s="8" t="s">
        <v>138</v>
      </c>
      <c r="K271" s="8" t="s">
        <v>509</v>
      </c>
      <c r="M271" s="512"/>
      <c r="N271" s="315"/>
    </row>
    <row r="272" spans="1:14" s="9" customFormat="1" ht="11.25" customHeight="1" x14ac:dyDescent="0.2">
      <c r="A272" s="10">
        <v>60310000</v>
      </c>
      <c r="B272" s="10" t="s">
        <v>265</v>
      </c>
      <c r="C272" s="11">
        <v>0</v>
      </c>
      <c r="D272" s="11">
        <v>10656855.097999999</v>
      </c>
      <c r="E272" s="11">
        <v>1136780.078</v>
      </c>
      <c r="F272" s="13">
        <f>SUMIF('OD 07-24'!A:A,A272,'OD 07-24'!D:D)</f>
        <v>89045796.981099993</v>
      </c>
      <c r="G272" s="13">
        <f>SUMIF('OD 07-24'!A:A,A272,'OD 07-24'!E:E)</f>
        <v>98909283.749200001</v>
      </c>
      <c r="H272" s="14">
        <f t="shared" si="8"/>
        <v>-343411.74809999764</v>
      </c>
      <c r="I272" s="14">
        <f t="shared" si="9"/>
        <v>-343411.74809999764</v>
      </c>
      <c r="J272" s="8" t="s">
        <v>138</v>
      </c>
      <c r="K272" s="8" t="s">
        <v>509</v>
      </c>
      <c r="M272" s="512"/>
      <c r="N272" s="315"/>
    </row>
    <row r="273" spans="1:14" s="9" customFormat="1" ht="11.25" customHeight="1" x14ac:dyDescent="0.2">
      <c r="A273" s="10">
        <v>60330000</v>
      </c>
      <c r="B273" s="10" t="s">
        <v>266</v>
      </c>
      <c r="C273" s="11">
        <v>0</v>
      </c>
      <c r="D273" s="11">
        <v>662156.429</v>
      </c>
      <c r="E273" s="11">
        <v>0</v>
      </c>
      <c r="F273" s="13">
        <f>SUMIF('OD 07-24'!A:A,A273,'OD 07-24'!D:D)</f>
        <v>5928172.3435000004</v>
      </c>
      <c r="G273" s="13">
        <f>SUMIF('OD 07-24'!A:A,A273,'OD 07-24'!E:E)</f>
        <v>6653488.2055000002</v>
      </c>
      <c r="H273" s="14">
        <f t="shared" si="8"/>
        <v>-63159.432999999262</v>
      </c>
      <c r="I273" s="14">
        <f t="shared" si="9"/>
        <v>-63159.432999999262</v>
      </c>
      <c r="J273" s="8" t="s">
        <v>157</v>
      </c>
      <c r="K273" s="8" t="s">
        <v>512</v>
      </c>
      <c r="M273" s="512"/>
      <c r="N273" s="315"/>
    </row>
    <row r="274" spans="1:14" s="9" customFormat="1" ht="11.25" customHeight="1" x14ac:dyDescent="0.2">
      <c r="A274" s="10">
        <v>60401000</v>
      </c>
      <c r="B274" s="10" t="s">
        <v>166</v>
      </c>
      <c r="C274" s="11">
        <v>0</v>
      </c>
      <c r="D274" s="11">
        <v>0</v>
      </c>
      <c r="E274" s="11">
        <v>0</v>
      </c>
      <c r="F274" s="13">
        <f>SUMIF('OD 07-24'!A:A,A274,'OD 07-24'!D:D)</f>
        <v>407325.00099999999</v>
      </c>
      <c r="G274" s="13">
        <f>SUMIF('OD 07-24'!A:A,A274,'OD 07-24'!E:E)</f>
        <v>312524.00099999999</v>
      </c>
      <c r="H274" s="14">
        <f t="shared" si="8"/>
        <v>94801</v>
      </c>
      <c r="I274" s="14">
        <f t="shared" si="9"/>
        <v>94801</v>
      </c>
      <c r="J274" s="8" t="s">
        <v>157</v>
      </c>
      <c r="K274" s="8" t="s">
        <v>512</v>
      </c>
      <c r="M274" s="512"/>
      <c r="N274" s="315"/>
    </row>
    <row r="275" spans="1:14" s="9" customFormat="1" ht="11.25" customHeight="1" x14ac:dyDescent="0.2">
      <c r="A275" s="10">
        <v>60502000</v>
      </c>
      <c r="B275" s="10" t="s">
        <v>167</v>
      </c>
      <c r="C275" s="11">
        <v>0</v>
      </c>
      <c r="D275" s="11">
        <v>492954.98002499994</v>
      </c>
      <c r="E275" s="11">
        <v>31834.33005</v>
      </c>
      <c r="F275" s="13">
        <f>SUMIF('OD 07-24'!A:A,A275,'OD 07-24'!D:D)</f>
        <v>58949.224000000002</v>
      </c>
      <c r="G275" s="13">
        <f>SUMIF('OD 07-24'!A:A,A275,'OD 07-24'!E:E)</f>
        <v>58469.224000000002</v>
      </c>
      <c r="H275" s="14">
        <f t="shared" si="8"/>
        <v>461600.64997500001</v>
      </c>
      <c r="I275" s="14">
        <f t="shared" si="9"/>
        <v>461600.64997500001</v>
      </c>
      <c r="J275" s="8" t="s">
        <v>157</v>
      </c>
      <c r="K275" s="8" t="s">
        <v>512</v>
      </c>
      <c r="M275" s="512"/>
      <c r="N275" s="315"/>
    </row>
    <row r="276" spans="1:14" s="9" customFormat="1" ht="11.25" customHeight="1" x14ac:dyDescent="0.2">
      <c r="A276" s="10">
        <v>60504000</v>
      </c>
      <c r="B276" s="10" t="s">
        <v>168</v>
      </c>
      <c r="C276" s="11">
        <v>0</v>
      </c>
      <c r="D276" s="11">
        <v>10620.42</v>
      </c>
      <c r="E276" s="11">
        <v>0</v>
      </c>
      <c r="F276" s="13">
        <f>SUMIF('OD 07-24'!A:A,A276,'OD 07-24'!D:D)</f>
        <v>0</v>
      </c>
      <c r="G276" s="13">
        <f>SUMIF('OD 07-24'!A:A,A276,'OD 07-24'!E:E)</f>
        <v>0</v>
      </c>
      <c r="H276" s="14">
        <f t="shared" si="8"/>
        <v>10620.42</v>
      </c>
      <c r="I276" s="14">
        <f t="shared" si="9"/>
        <v>10620.42</v>
      </c>
      <c r="J276" s="8" t="s">
        <v>157</v>
      </c>
      <c r="K276" s="8" t="s">
        <v>512</v>
      </c>
      <c r="M276" s="512"/>
      <c r="N276" s="315"/>
    </row>
    <row r="277" spans="1:14" s="9" customFormat="1" ht="11.25" customHeight="1" x14ac:dyDescent="0.2">
      <c r="A277" s="10">
        <v>60614000</v>
      </c>
      <c r="B277" s="10" t="s">
        <v>171</v>
      </c>
      <c r="C277" s="11">
        <v>0</v>
      </c>
      <c r="D277" s="11">
        <v>151804.451</v>
      </c>
      <c r="E277" s="11">
        <v>4625</v>
      </c>
      <c r="F277" s="13">
        <f>SUMIF('OD 07-24'!A:A,A277,'OD 07-24'!D:D)</f>
        <v>7104.1120000000001</v>
      </c>
      <c r="G277" s="13">
        <f>SUMIF('OD 07-24'!A:A,A277,'OD 07-24'!E:E)</f>
        <v>0</v>
      </c>
      <c r="H277" s="14">
        <f t="shared" si="8"/>
        <v>154283.56299999999</v>
      </c>
      <c r="I277" s="14">
        <f t="shared" si="9"/>
        <v>154283.56299999999</v>
      </c>
      <c r="J277" s="8" t="s">
        <v>157</v>
      </c>
      <c r="K277" s="8" t="s">
        <v>512</v>
      </c>
      <c r="M277" s="512"/>
      <c r="N277" s="315"/>
    </row>
    <row r="278" spans="1:14" s="9" customFormat="1" ht="11.25" customHeight="1" x14ac:dyDescent="0.2">
      <c r="A278" s="10">
        <v>60620000</v>
      </c>
      <c r="B278" s="10" t="s">
        <v>172</v>
      </c>
      <c r="C278" s="11">
        <v>0</v>
      </c>
      <c r="D278" s="11">
        <v>22955.112000000001</v>
      </c>
      <c r="E278" s="11">
        <v>117.64400000000001</v>
      </c>
      <c r="F278" s="13">
        <f>SUMIF('OD 07-24'!A:A,A278,'OD 07-24'!D:D)</f>
        <v>2667.7</v>
      </c>
      <c r="G278" s="13">
        <f>SUMIF('OD 07-24'!A:A,A278,'OD 07-24'!E:E)</f>
        <v>2667.7</v>
      </c>
      <c r="H278" s="14">
        <f t="shared" si="8"/>
        <v>22837.468000000001</v>
      </c>
      <c r="I278" s="14">
        <f t="shared" si="9"/>
        <v>22837.468000000001</v>
      </c>
      <c r="J278" s="8" t="s">
        <v>157</v>
      </c>
      <c r="K278" s="8" t="s">
        <v>512</v>
      </c>
      <c r="M278" s="512"/>
      <c r="N278" s="315"/>
    </row>
    <row r="279" spans="1:14" s="9" customFormat="1" ht="11.25" customHeight="1" x14ac:dyDescent="0.2">
      <c r="A279" s="10">
        <v>60650000</v>
      </c>
      <c r="B279" s="10" t="s">
        <v>373</v>
      </c>
      <c r="C279" s="11">
        <v>0</v>
      </c>
      <c r="D279" s="11">
        <v>10800</v>
      </c>
      <c r="E279" s="11">
        <v>0</v>
      </c>
      <c r="F279" s="13">
        <f>SUMIF('OD 07-24'!A:A,A279,'OD 07-24'!D:D)</f>
        <v>4050</v>
      </c>
      <c r="G279" s="13">
        <f>SUMIF('OD 07-24'!A:A,A279,'OD 07-24'!E:E)</f>
        <v>1350</v>
      </c>
      <c r="H279" s="14">
        <f t="shared" si="8"/>
        <v>13500</v>
      </c>
      <c r="I279" s="14">
        <f t="shared" si="9"/>
        <v>13500</v>
      </c>
      <c r="J279" s="8" t="s">
        <v>138</v>
      </c>
      <c r="K279" s="8" t="s">
        <v>509</v>
      </c>
      <c r="M279" s="512"/>
      <c r="N279" s="315"/>
    </row>
    <row r="280" spans="1:14" s="9" customFormat="1" ht="11.25" customHeight="1" x14ac:dyDescent="0.2">
      <c r="A280" s="10">
        <v>60660000</v>
      </c>
      <c r="B280" s="10" t="s">
        <v>173</v>
      </c>
      <c r="C280" s="11">
        <v>0</v>
      </c>
      <c r="D280" s="11">
        <v>12260.875</v>
      </c>
      <c r="E280" s="11">
        <v>0</v>
      </c>
      <c r="F280" s="13">
        <f>SUMIF('OD 07-24'!A:A,A280,'OD 07-24'!D:D)</f>
        <v>0</v>
      </c>
      <c r="G280" s="13">
        <f>SUMIF('OD 07-24'!A:A,A280,'OD 07-24'!E:E)</f>
        <v>0</v>
      </c>
      <c r="H280" s="14">
        <f t="shared" si="8"/>
        <v>12260.875</v>
      </c>
      <c r="I280" s="14">
        <f t="shared" si="9"/>
        <v>12260.875</v>
      </c>
      <c r="J280" s="8" t="s">
        <v>157</v>
      </c>
      <c r="K280" s="8" t="s">
        <v>512</v>
      </c>
      <c r="M280" s="512"/>
      <c r="N280" s="315"/>
    </row>
    <row r="281" spans="1:14" s="9" customFormat="1" ht="11.25" customHeight="1" x14ac:dyDescent="0.2">
      <c r="A281" s="10">
        <v>60670000</v>
      </c>
      <c r="B281" s="10" t="s">
        <v>174</v>
      </c>
      <c r="C281" s="11">
        <v>0</v>
      </c>
      <c r="D281" s="11">
        <v>9853.4600000000009</v>
      </c>
      <c r="E281" s="11">
        <v>0</v>
      </c>
      <c r="F281" s="13">
        <f>SUMIF('OD 07-24'!A:A,A281,'OD 07-24'!D:D)</f>
        <v>2481.85</v>
      </c>
      <c r="G281" s="13">
        <f>SUMIF('OD 07-24'!A:A,A281,'OD 07-24'!E:E)</f>
        <v>2193.3000000000002</v>
      </c>
      <c r="H281" s="14">
        <f t="shared" si="8"/>
        <v>10142.010000000002</v>
      </c>
      <c r="I281" s="14">
        <f t="shared" si="9"/>
        <v>10142.010000000002</v>
      </c>
      <c r="J281" s="8" t="s">
        <v>157</v>
      </c>
      <c r="K281" s="8" t="s">
        <v>512</v>
      </c>
      <c r="M281" s="512"/>
      <c r="N281" s="315"/>
    </row>
    <row r="282" spans="1:14" s="9" customFormat="1" ht="11.25" customHeight="1" x14ac:dyDescent="0.2">
      <c r="A282" s="10">
        <v>60671000</v>
      </c>
      <c r="B282" s="10" t="s">
        <v>374</v>
      </c>
      <c r="C282" s="11">
        <v>0</v>
      </c>
      <c r="D282" s="11">
        <v>106452.78900000002</v>
      </c>
      <c r="E282" s="11">
        <v>0</v>
      </c>
      <c r="F282" s="13">
        <f>SUMIF('OD 07-24'!A:A,A282,'OD 07-24'!D:D)</f>
        <v>13634.6</v>
      </c>
      <c r="G282" s="13">
        <f>SUMIF('OD 07-24'!A:A,A282,'OD 07-24'!E:E)</f>
        <v>13634.6</v>
      </c>
      <c r="H282" s="14">
        <f t="shared" si="8"/>
        <v>106452.78900000002</v>
      </c>
      <c r="I282" s="14">
        <f t="shared" si="9"/>
        <v>106452.78900000002</v>
      </c>
      <c r="J282" s="8" t="s">
        <v>157</v>
      </c>
      <c r="K282" s="8" t="s">
        <v>512</v>
      </c>
      <c r="M282" s="512"/>
      <c r="N282" s="315"/>
    </row>
    <row r="283" spans="1:14" s="9" customFormat="1" ht="11.25" customHeight="1" x14ac:dyDescent="0.2">
      <c r="A283" s="10">
        <v>61400000</v>
      </c>
      <c r="B283" s="10" t="s">
        <v>175</v>
      </c>
      <c r="C283" s="11">
        <v>0</v>
      </c>
      <c r="D283" s="11">
        <v>39854.998</v>
      </c>
      <c r="E283" s="11">
        <v>0</v>
      </c>
      <c r="F283" s="13">
        <f>SUMIF('OD 07-24'!A:A,A283,'OD 07-24'!D:D)</f>
        <v>0</v>
      </c>
      <c r="G283" s="13">
        <f>SUMIF('OD 07-24'!A:A,A283,'OD 07-24'!E:E)</f>
        <v>0</v>
      </c>
      <c r="H283" s="14">
        <f t="shared" si="8"/>
        <v>39854.998</v>
      </c>
      <c r="I283" s="14">
        <f t="shared" si="9"/>
        <v>39854.998</v>
      </c>
      <c r="J283" s="8" t="s">
        <v>157</v>
      </c>
      <c r="K283" s="8" t="s">
        <v>512</v>
      </c>
      <c r="M283" s="512"/>
      <c r="N283" s="315"/>
    </row>
    <row r="284" spans="1:14" s="9" customFormat="1" ht="11.25" customHeight="1" x14ac:dyDescent="0.2">
      <c r="A284" s="10">
        <v>61500000</v>
      </c>
      <c r="B284" s="10" t="s">
        <v>176</v>
      </c>
      <c r="C284" s="11">
        <v>0</v>
      </c>
      <c r="D284" s="11">
        <v>318202.88699999999</v>
      </c>
      <c r="E284" s="11">
        <v>89683.87</v>
      </c>
      <c r="F284" s="13">
        <f>SUMIF('OD 07-24'!A:A,A284,'OD 07-24'!D:D)</f>
        <v>63225.974999999999</v>
      </c>
      <c r="G284" s="13">
        <f>SUMIF('OD 07-24'!A:A,A284,'OD 07-24'!E:E)</f>
        <v>63225.974999999999</v>
      </c>
      <c r="H284" s="14">
        <f t="shared" si="8"/>
        <v>228519.01699999996</v>
      </c>
      <c r="I284" s="14">
        <f t="shared" si="9"/>
        <v>228519.01699999996</v>
      </c>
      <c r="J284" s="8" t="s">
        <v>157</v>
      </c>
      <c r="K284" s="8" t="s">
        <v>512</v>
      </c>
      <c r="M284" s="512"/>
      <c r="N284" s="315"/>
    </row>
    <row r="285" spans="1:14" s="9" customFormat="1" ht="11.25" customHeight="1" x14ac:dyDescent="0.2">
      <c r="A285" s="10">
        <v>61501000</v>
      </c>
      <c r="B285" s="10" t="s">
        <v>177</v>
      </c>
      <c r="C285" s="11">
        <v>0</v>
      </c>
      <c r="D285" s="11">
        <v>142955.45600000001</v>
      </c>
      <c r="E285" s="11">
        <v>1905.373</v>
      </c>
      <c r="F285" s="13">
        <f>SUMIF('OD 07-24'!A:A,A285,'OD 07-24'!D:D)</f>
        <v>15575.949000000001</v>
      </c>
      <c r="G285" s="13">
        <f>SUMIF('OD 07-24'!A:A,A285,'OD 07-24'!E:E)</f>
        <v>6335.5969999999998</v>
      </c>
      <c r="H285" s="14">
        <f t="shared" si="8"/>
        <v>150290.435</v>
      </c>
      <c r="I285" s="14">
        <f t="shared" si="9"/>
        <v>150290.435</v>
      </c>
      <c r="J285" s="8" t="s">
        <v>157</v>
      </c>
      <c r="K285" s="8" t="s">
        <v>512</v>
      </c>
      <c r="M285" s="512"/>
      <c r="N285" s="315"/>
    </row>
    <row r="286" spans="1:14" s="9" customFormat="1" ht="11.25" customHeight="1" x14ac:dyDescent="0.2">
      <c r="A286" s="10">
        <v>61600000</v>
      </c>
      <c r="B286" s="10" t="s">
        <v>397</v>
      </c>
      <c r="C286" s="11">
        <v>0</v>
      </c>
      <c r="D286" s="11">
        <v>39737.199999999997</v>
      </c>
      <c r="E286" s="11">
        <v>0</v>
      </c>
      <c r="F286" s="13">
        <f>SUMIF('OD 07-24'!A:A,A286,'OD 07-24'!D:D)</f>
        <v>52904.932999999997</v>
      </c>
      <c r="G286" s="13">
        <f>SUMIF('OD 07-24'!A:A,A286,'OD 07-24'!E:E)</f>
        <v>59042.932999999997</v>
      </c>
      <c r="H286" s="14">
        <f t="shared" si="8"/>
        <v>33599.200000000004</v>
      </c>
      <c r="I286" s="14">
        <f t="shared" si="9"/>
        <v>33599.200000000004</v>
      </c>
      <c r="J286" s="8" t="s">
        <v>157</v>
      </c>
      <c r="K286" s="8" t="s">
        <v>512</v>
      </c>
      <c r="M286" s="512"/>
      <c r="N286" s="315"/>
    </row>
    <row r="287" spans="1:14" s="9" customFormat="1" ht="11.25" customHeight="1" x14ac:dyDescent="0.2">
      <c r="A287" s="10">
        <v>61603000</v>
      </c>
      <c r="B287" s="10" t="s">
        <v>178</v>
      </c>
      <c r="C287" s="11">
        <v>0</v>
      </c>
      <c r="D287" s="11">
        <v>29988.795000000002</v>
      </c>
      <c r="E287" s="11">
        <v>28310.018</v>
      </c>
      <c r="F287" s="13">
        <f>SUMIF('OD 07-24'!A:A,A287,'OD 07-24'!D:D)</f>
        <v>86634.448000000004</v>
      </c>
      <c r="G287" s="13">
        <f>SUMIF('OD 07-24'!A:A,A287,'OD 07-24'!E:E)</f>
        <v>63572.807999999997</v>
      </c>
      <c r="H287" s="14">
        <f t="shared" si="8"/>
        <v>24740.417000000009</v>
      </c>
      <c r="I287" s="14">
        <f t="shared" si="9"/>
        <v>24740.417000000009</v>
      </c>
      <c r="J287" s="8" t="s">
        <v>157</v>
      </c>
      <c r="K287" s="8" t="s">
        <v>512</v>
      </c>
      <c r="M287" s="512"/>
      <c r="N287" s="315"/>
    </row>
    <row r="288" spans="1:14" s="9" customFormat="1" ht="11.25" customHeight="1" x14ac:dyDescent="0.2">
      <c r="A288" s="10">
        <v>61607000</v>
      </c>
      <c r="B288" s="10" t="s">
        <v>179</v>
      </c>
      <c r="C288" s="11">
        <v>0</v>
      </c>
      <c r="D288" s="11">
        <v>0</v>
      </c>
      <c r="E288" s="11">
        <v>0</v>
      </c>
      <c r="F288" s="13">
        <f>SUMIF('OD 07-24'!A:A,A288,'OD 07-24'!D:D)</f>
        <v>0</v>
      </c>
      <c r="G288" s="13">
        <f>SUMIF('OD 07-24'!A:A,A288,'OD 07-24'!E:E)</f>
        <v>0</v>
      </c>
      <c r="H288" s="14">
        <f t="shared" si="8"/>
        <v>0</v>
      </c>
      <c r="I288" s="14">
        <f t="shared" si="9"/>
        <v>0</v>
      </c>
      <c r="J288" s="8" t="s">
        <v>157</v>
      </c>
      <c r="K288" s="8" t="s">
        <v>512</v>
      </c>
      <c r="M288" s="512"/>
      <c r="N288" s="315"/>
    </row>
    <row r="289" spans="1:14" s="9" customFormat="1" ht="11.25" customHeight="1" x14ac:dyDescent="0.2">
      <c r="A289" s="10">
        <v>62120000</v>
      </c>
      <c r="B289" s="10" t="s">
        <v>180</v>
      </c>
      <c r="C289" s="11">
        <v>0</v>
      </c>
      <c r="D289" s="11">
        <v>30252.02</v>
      </c>
      <c r="E289" s="11">
        <v>0</v>
      </c>
      <c r="F289" s="13">
        <f>SUMIF('OD 07-24'!A:A,A289,'OD 07-24'!D:D)</f>
        <v>0</v>
      </c>
      <c r="G289" s="13">
        <f>SUMIF('OD 07-24'!A:A,A289,'OD 07-24'!E:E)</f>
        <v>0</v>
      </c>
      <c r="H289" s="14">
        <f t="shared" si="8"/>
        <v>30252.02</v>
      </c>
      <c r="I289" s="14">
        <f t="shared" si="9"/>
        <v>30252.02</v>
      </c>
      <c r="J289" s="8" t="s">
        <v>157</v>
      </c>
      <c r="K289" s="8" t="s">
        <v>512</v>
      </c>
      <c r="M289" s="512"/>
      <c r="N289" s="315"/>
    </row>
    <row r="290" spans="1:14" s="9" customFormat="1" ht="11.25" customHeight="1" x14ac:dyDescent="0.2">
      <c r="A290" s="10">
        <v>62200000</v>
      </c>
      <c r="B290" s="10" t="s">
        <v>181</v>
      </c>
      <c r="C290" s="11">
        <v>0</v>
      </c>
      <c r="D290" s="11">
        <v>25829.16</v>
      </c>
      <c r="E290" s="11">
        <v>0</v>
      </c>
      <c r="F290" s="13">
        <f>SUMIF('OD 07-24'!A:A,A290,'OD 07-24'!D:D)</f>
        <v>0</v>
      </c>
      <c r="G290" s="13">
        <f>SUMIF('OD 07-24'!A:A,A290,'OD 07-24'!E:E)</f>
        <v>0</v>
      </c>
      <c r="H290" s="14">
        <f t="shared" si="8"/>
        <v>25829.16</v>
      </c>
      <c r="I290" s="14">
        <f t="shared" si="9"/>
        <v>25829.16</v>
      </c>
      <c r="J290" s="8" t="s">
        <v>157</v>
      </c>
      <c r="K290" s="8" t="s">
        <v>512</v>
      </c>
      <c r="M290" s="512"/>
      <c r="N290" s="315"/>
    </row>
    <row r="291" spans="1:14" s="9" customFormat="1" ht="11.25" customHeight="1" x14ac:dyDescent="0.2">
      <c r="A291" s="10">
        <v>62210000</v>
      </c>
      <c r="B291" s="10" t="s">
        <v>398</v>
      </c>
      <c r="C291" s="11">
        <v>0</v>
      </c>
      <c r="D291" s="11">
        <v>47514</v>
      </c>
      <c r="E291" s="11">
        <v>0</v>
      </c>
      <c r="F291" s="13">
        <f>SUMIF('OD 07-24'!A:A,A291,'OD 07-24'!D:D)</f>
        <v>0</v>
      </c>
      <c r="G291" s="13">
        <f>SUMIF('OD 07-24'!A:A,A291,'OD 07-24'!E:E)</f>
        <v>7800</v>
      </c>
      <c r="H291" s="14">
        <f t="shared" si="8"/>
        <v>39714</v>
      </c>
      <c r="I291" s="14">
        <f t="shared" si="9"/>
        <v>39714</v>
      </c>
      <c r="J291" s="8" t="s">
        <v>157</v>
      </c>
      <c r="K291" s="8" t="s">
        <v>512</v>
      </c>
      <c r="M291" s="512"/>
      <c r="N291" s="315"/>
    </row>
    <row r="292" spans="1:14" s="9" customFormat="1" ht="11.25" customHeight="1" x14ac:dyDescent="0.2">
      <c r="A292" s="10">
        <v>62230000</v>
      </c>
      <c r="B292" s="10" t="s">
        <v>375</v>
      </c>
      <c r="C292" s="11">
        <v>0</v>
      </c>
      <c r="D292" s="11">
        <v>7339.6</v>
      </c>
      <c r="E292" s="11">
        <v>0</v>
      </c>
      <c r="F292" s="13">
        <f>SUMIF('OD 07-24'!A:A,A292,'OD 07-24'!D:D)</f>
        <v>33567.324000000001</v>
      </c>
      <c r="G292" s="13">
        <f>SUMIF('OD 07-24'!A:A,A292,'OD 07-24'!E:E)</f>
        <v>11166.666999999999</v>
      </c>
      <c r="H292" s="14">
        <f t="shared" si="8"/>
        <v>29740.256999999998</v>
      </c>
      <c r="I292" s="14">
        <f t="shared" si="9"/>
        <v>29740.256999999998</v>
      </c>
      <c r="J292" s="8" t="s">
        <v>157</v>
      </c>
      <c r="K292" s="8" t="s">
        <v>512</v>
      </c>
      <c r="M292" s="512"/>
      <c r="N292" s="315"/>
    </row>
    <row r="293" spans="1:14" s="9" customFormat="1" ht="11.25" customHeight="1" x14ac:dyDescent="0.2">
      <c r="A293" s="10">
        <v>62240000</v>
      </c>
      <c r="B293" s="10" t="s">
        <v>267</v>
      </c>
      <c r="C293" s="11">
        <v>0</v>
      </c>
      <c r="D293" s="11">
        <v>50952.55</v>
      </c>
      <c r="E293" s="11">
        <v>523.68799999999999</v>
      </c>
      <c r="F293" s="13">
        <f>SUMIF('OD 07-24'!A:A,A293,'OD 07-24'!D:D)</f>
        <v>198720.65</v>
      </c>
      <c r="G293" s="13">
        <f>SUMIF('OD 07-24'!A:A,A293,'OD 07-24'!E:E)</f>
        <v>218203.06700000001</v>
      </c>
      <c r="H293" s="14">
        <f t="shared" si="8"/>
        <v>30946.445000000007</v>
      </c>
      <c r="I293" s="14">
        <f t="shared" si="9"/>
        <v>30946.445000000007</v>
      </c>
      <c r="J293" s="8" t="s">
        <v>157</v>
      </c>
      <c r="K293" s="8" t="s">
        <v>512</v>
      </c>
      <c r="M293" s="512"/>
      <c r="N293" s="315"/>
    </row>
    <row r="294" spans="1:14" s="9" customFormat="1" ht="11.25" customHeight="1" x14ac:dyDescent="0.2">
      <c r="A294" s="10">
        <v>62250000</v>
      </c>
      <c r="B294" s="10" t="s">
        <v>268</v>
      </c>
      <c r="C294" s="11">
        <v>0</v>
      </c>
      <c r="D294" s="11">
        <v>0</v>
      </c>
      <c r="E294" s="11">
        <v>0</v>
      </c>
      <c r="F294" s="13">
        <f>SUMIF('OD 07-24'!A:A,A294,'OD 07-24'!D:D)</f>
        <v>100000</v>
      </c>
      <c r="G294" s="13">
        <f>SUMIF('OD 07-24'!A:A,A294,'OD 07-24'!E:E)</f>
        <v>67500</v>
      </c>
      <c r="H294" s="14">
        <f t="shared" si="8"/>
        <v>32500</v>
      </c>
      <c r="I294" s="14">
        <f t="shared" si="9"/>
        <v>32500</v>
      </c>
      <c r="J294" s="8" t="s">
        <v>157</v>
      </c>
      <c r="K294" s="8" t="s">
        <v>512</v>
      </c>
      <c r="M294" s="512"/>
      <c r="N294" s="315"/>
    </row>
    <row r="295" spans="1:14" s="9" customFormat="1" ht="11.25" customHeight="1" x14ac:dyDescent="0.2">
      <c r="A295" s="10">
        <v>62260000</v>
      </c>
      <c r="B295" s="10" t="s">
        <v>7402</v>
      </c>
      <c r="C295" s="11">
        <v>0</v>
      </c>
      <c r="D295" s="11">
        <v>1818</v>
      </c>
      <c r="E295" s="11">
        <v>0</v>
      </c>
      <c r="F295" s="13">
        <f>SUMIF('OD 07-24'!A:A,A295,'OD 07-24'!D:D)</f>
        <v>10000</v>
      </c>
      <c r="G295" s="13">
        <f>SUMIF('OD 07-24'!A:A,A295,'OD 07-24'!E:E)</f>
        <v>0</v>
      </c>
      <c r="H295" s="14">
        <f t="shared" si="8"/>
        <v>11818</v>
      </c>
      <c r="I295" s="14">
        <f t="shared" si="9"/>
        <v>11818</v>
      </c>
      <c r="J295" s="8" t="s">
        <v>157</v>
      </c>
      <c r="K295" s="8" t="s">
        <v>512</v>
      </c>
      <c r="M295" s="512"/>
      <c r="N295" s="315"/>
    </row>
    <row r="296" spans="1:14" s="9" customFormat="1" ht="11.25" customHeight="1" x14ac:dyDescent="0.2">
      <c r="A296" s="10">
        <v>62270000</v>
      </c>
      <c r="B296" s="10" t="s">
        <v>399</v>
      </c>
      <c r="C296" s="11">
        <v>0</v>
      </c>
      <c r="D296" s="11">
        <v>12491.753999999999</v>
      </c>
      <c r="E296" s="11">
        <v>0</v>
      </c>
      <c r="F296" s="13">
        <f>SUMIF('OD 07-24'!A:A,A296,'OD 07-24'!D:D)</f>
        <v>4450.84</v>
      </c>
      <c r="G296" s="13">
        <f>SUMIF('OD 07-24'!A:A,A296,'OD 07-24'!E:E)</f>
        <v>4450.84</v>
      </c>
      <c r="H296" s="14">
        <f t="shared" si="8"/>
        <v>12491.753999999997</v>
      </c>
      <c r="I296" s="14">
        <f t="shared" si="9"/>
        <v>12491.753999999997</v>
      </c>
      <c r="J296" s="8" t="s">
        <v>157</v>
      </c>
      <c r="K296" s="8" t="s">
        <v>512</v>
      </c>
      <c r="M296" s="512"/>
      <c r="N296" s="315"/>
    </row>
    <row r="297" spans="1:14" s="9" customFormat="1" ht="11.25" customHeight="1" x14ac:dyDescent="0.2">
      <c r="A297" s="10">
        <v>62280000</v>
      </c>
      <c r="B297" s="10" t="s">
        <v>7721</v>
      </c>
      <c r="C297" s="11">
        <v>0</v>
      </c>
      <c r="D297" s="11">
        <v>35212</v>
      </c>
      <c r="E297" s="11">
        <v>24780</v>
      </c>
      <c r="F297" s="13">
        <f>SUMIF('OD 07-24'!A:A,A297,'OD 07-24'!D:D)</f>
        <v>0</v>
      </c>
      <c r="G297" s="13">
        <f>SUMIF('OD 07-24'!A:A,A297,'OD 07-24'!E:E)</f>
        <v>0</v>
      </c>
      <c r="H297" s="14">
        <f t="shared" si="8"/>
        <v>10432</v>
      </c>
      <c r="I297" s="14">
        <f t="shared" si="9"/>
        <v>10432</v>
      </c>
      <c r="J297" s="8" t="s">
        <v>157</v>
      </c>
      <c r="K297" s="8" t="s">
        <v>512</v>
      </c>
      <c r="M297" s="512"/>
      <c r="N297" s="315"/>
    </row>
    <row r="298" spans="1:14" s="9" customFormat="1" ht="11.25" customHeight="1" x14ac:dyDescent="0.2">
      <c r="A298" s="10">
        <v>62300000</v>
      </c>
      <c r="B298" s="10" t="s">
        <v>182</v>
      </c>
      <c r="C298" s="11">
        <v>0</v>
      </c>
      <c r="D298" s="11">
        <v>8814</v>
      </c>
      <c r="E298" s="11">
        <v>0</v>
      </c>
      <c r="F298" s="13">
        <f>SUMIF('OD 07-24'!A:A,A298,'OD 07-24'!D:D)</f>
        <v>322000</v>
      </c>
      <c r="G298" s="13">
        <f>SUMIF('OD 07-24'!A:A,A298,'OD 07-24'!E:E)</f>
        <v>241500</v>
      </c>
      <c r="H298" s="14">
        <f t="shared" si="8"/>
        <v>89314</v>
      </c>
      <c r="I298" s="14">
        <f t="shared" si="9"/>
        <v>89314</v>
      </c>
      <c r="J298" s="8" t="s">
        <v>157</v>
      </c>
      <c r="K298" s="8" t="s">
        <v>512</v>
      </c>
      <c r="M298" s="512"/>
      <c r="N298" s="315"/>
    </row>
    <row r="299" spans="1:14" s="9" customFormat="1" ht="11.25" customHeight="1" x14ac:dyDescent="0.2">
      <c r="A299" s="10">
        <v>62301000</v>
      </c>
      <c r="B299" s="10" t="s">
        <v>7397</v>
      </c>
      <c r="C299" s="11">
        <v>0</v>
      </c>
      <c r="D299" s="11">
        <v>49912.9</v>
      </c>
      <c r="E299" s="11">
        <v>8315</v>
      </c>
      <c r="F299" s="13">
        <f>SUMIF('OD 07-24'!A:A,A299,'OD 07-24'!D:D)</f>
        <v>0</v>
      </c>
      <c r="G299" s="13">
        <f>SUMIF('OD 07-24'!A:A,A299,'OD 07-24'!E:E)</f>
        <v>0</v>
      </c>
      <c r="H299" s="14">
        <f t="shared" si="8"/>
        <v>41597.9</v>
      </c>
      <c r="I299" s="14">
        <f t="shared" si="9"/>
        <v>41597.9</v>
      </c>
      <c r="J299" s="8" t="s">
        <v>157</v>
      </c>
      <c r="K299" s="8" t="s">
        <v>512</v>
      </c>
      <c r="M299" s="512"/>
      <c r="N299" s="315"/>
    </row>
    <row r="300" spans="1:14" s="9" customFormat="1" ht="11.25" customHeight="1" x14ac:dyDescent="0.2">
      <c r="A300" s="10">
        <v>62410000</v>
      </c>
      <c r="B300" s="10" t="s">
        <v>183</v>
      </c>
      <c r="C300" s="11">
        <v>0</v>
      </c>
      <c r="D300" s="11">
        <v>26956.799999999999</v>
      </c>
      <c r="E300" s="11">
        <v>0</v>
      </c>
      <c r="F300" s="13">
        <f>SUMIF('OD 07-24'!A:A,A300,'OD 07-24'!D:D)</f>
        <v>0</v>
      </c>
      <c r="G300" s="13">
        <f>SUMIF('OD 07-24'!A:A,A300,'OD 07-24'!E:E)</f>
        <v>0</v>
      </c>
      <c r="H300" s="14">
        <f t="shared" si="8"/>
        <v>26956.799999999999</v>
      </c>
      <c r="I300" s="14">
        <f t="shared" si="9"/>
        <v>26956.799999999999</v>
      </c>
      <c r="J300" s="8" t="s">
        <v>157</v>
      </c>
      <c r="K300" s="8" t="s">
        <v>512</v>
      </c>
      <c r="M300" s="512"/>
      <c r="N300" s="315"/>
    </row>
    <row r="301" spans="1:14" s="9" customFormat="1" ht="11.25" customHeight="1" x14ac:dyDescent="0.2">
      <c r="A301" s="10">
        <v>62420000</v>
      </c>
      <c r="B301" s="10" t="s">
        <v>184</v>
      </c>
      <c r="C301" s="11">
        <v>0</v>
      </c>
      <c r="D301" s="11">
        <v>420</v>
      </c>
      <c r="E301" s="11">
        <v>0</v>
      </c>
      <c r="F301" s="13">
        <f>SUMIF('OD 07-24'!A:A,A301,'OD 07-24'!D:D)</f>
        <v>0</v>
      </c>
      <c r="G301" s="13">
        <f>SUMIF('OD 07-24'!A:A,A301,'OD 07-24'!E:E)</f>
        <v>0</v>
      </c>
      <c r="H301" s="14">
        <f t="shared" si="8"/>
        <v>420</v>
      </c>
      <c r="I301" s="14">
        <f t="shared" si="9"/>
        <v>420</v>
      </c>
      <c r="J301" s="8" t="s">
        <v>157</v>
      </c>
      <c r="K301" s="8" t="s">
        <v>512</v>
      </c>
      <c r="M301" s="512"/>
      <c r="N301" s="315"/>
    </row>
    <row r="302" spans="1:14" s="9" customFormat="1" ht="11.25" customHeight="1" x14ac:dyDescent="0.2">
      <c r="A302" s="10">
        <v>62430000</v>
      </c>
      <c r="B302" s="10" t="s">
        <v>159</v>
      </c>
      <c r="C302" s="11">
        <v>0</v>
      </c>
      <c r="D302" s="11">
        <v>633216.11</v>
      </c>
      <c r="E302" s="11">
        <v>18196.150000000001</v>
      </c>
      <c r="F302" s="13">
        <f>SUMIF('OD 07-24'!A:A,A302,'OD 07-24'!D:D)</f>
        <v>177756.45</v>
      </c>
      <c r="G302" s="13">
        <f>SUMIF('OD 07-24'!A:A,A302,'OD 07-24'!E:E)</f>
        <v>93756.45</v>
      </c>
      <c r="H302" s="14">
        <f t="shared" si="8"/>
        <v>699019.96000000008</v>
      </c>
      <c r="I302" s="14">
        <f t="shared" si="9"/>
        <v>699019.96000000008</v>
      </c>
      <c r="J302" s="8" t="s">
        <v>157</v>
      </c>
      <c r="K302" s="8" t="s">
        <v>512</v>
      </c>
      <c r="L302" s="339"/>
      <c r="M302" s="512"/>
      <c r="N302" s="315"/>
    </row>
    <row r="303" spans="1:14" s="9" customFormat="1" ht="11.25" customHeight="1" x14ac:dyDescent="0.2">
      <c r="A303" s="10">
        <v>62500000</v>
      </c>
      <c r="B303" s="10" t="s">
        <v>185</v>
      </c>
      <c r="C303" s="11">
        <v>0</v>
      </c>
      <c r="D303" s="11">
        <v>4873.1080000000002</v>
      </c>
      <c r="E303" s="11">
        <v>2039.8370000000002</v>
      </c>
      <c r="F303" s="13">
        <f>SUMIF('OD 07-24'!A:A,A303,'OD 07-24'!D:D)</f>
        <v>0</v>
      </c>
      <c r="G303" s="13">
        <f>SUMIF('OD 07-24'!A:A,A303,'OD 07-24'!E:E)</f>
        <v>0</v>
      </c>
      <c r="H303" s="14">
        <f t="shared" si="8"/>
        <v>2833.2709999999997</v>
      </c>
      <c r="I303" s="14">
        <f t="shared" si="9"/>
        <v>2833.2709999999997</v>
      </c>
      <c r="J303" s="8" t="s">
        <v>157</v>
      </c>
      <c r="K303" s="8" t="s">
        <v>512</v>
      </c>
      <c r="M303" s="512"/>
      <c r="N303" s="315"/>
    </row>
    <row r="304" spans="1:14" s="9" customFormat="1" ht="11.25" customHeight="1" x14ac:dyDescent="0.2">
      <c r="A304" s="10">
        <v>62510000</v>
      </c>
      <c r="B304" s="10" t="s">
        <v>7571</v>
      </c>
      <c r="C304" s="11">
        <v>0</v>
      </c>
      <c r="D304" s="11">
        <v>51963</v>
      </c>
      <c r="E304" s="11">
        <v>0</v>
      </c>
      <c r="F304" s="13">
        <f>SUMIF('OD 07-24'!A:A,A304,'OD 07-24'!D:D)</f>
        <v>40000</v>
      </c>
      <c r="G304" s="13">
        <f>SUMIF('OD 07-24'!A:A,A304,'OD 07-24'!E:E)</f>
        <v>20000</v>
      </c>
      <c r="H304" s="14">
        <f t="shared" si="8"/>
        <v>71963</v>
      </c>
      <c r="I304" s="14">
        <f t="shared" si="9"/>
        <v>71963</v>
      </c>
      <c r="J304" s="8" t="s">
        <v>157</v>
      </c>
      <c r="K304" s="8" t="s">
        <v>512</v>
      </c>
      <c r="M304" s="512"/>
      <c r="N304" s="315"/>
    </row>
    <row r="305" spans="1:14" s="9" customFormat="1" ht="11.25" customHeight="1" x14ac:dyDescent="0.2">
      <c r="A305" s="10">
        <v>62520000</v>
      </c>
      <c r="B305" s="10" t="s">
        <v>7403</v>
      </c>
      <c r="C305" s="11">
        <v>0</v>
      </c>
      <c r="D305" s="11">
        <v>4776</v>
      </c>
      <c r="E305" s="11">
        <v>0</v>
      </c>
      <c r="F305" s="13">
        <f>SUMIF('OD 07-24'!A:A,A305,'OD 07-24'!D:D)</f>
        <v>0</v>
      </c>
      <c r="G305" s="13">
        <f>SUMIF('OD 07-24'!A:A,A305,'OD 07-24'!E:E)</f>
        <v>0</v>
      </c>
      <c r="H305" s="14">
        <f t="shared" si="8"/>
        <v>4776</v>
      </c>
      <c r="I305" s="14">
        <f t="shared" si="9"/>
        <v>4776</v>
      </c>
      <c r="J305" s="8" t="s">
        <v>157</v>
      </c>
      <c r="K305" s="8" t="s">
        <v>512</v>
      </c>
      <c r="M305" s="512"/>
      <c r="N305" s="315"/>
    </row>
    <row r="306" spans="1:14" s="9" customFormat="1" ht="11.25" customHeight="1" x14ac:dyDescent="0.2">
      <c r="A306" s="10">
        <v>62570000</v>
      </c>
      <c r="B306" s="10" t="s">
        <v>186</v>
      </c>
      <c r="C306" s="11">
        <v>0</v>
      </c>
      <c r="D306" s="11">
        <v>86286.755000000005</v>
      </c>
      <c r="E306" s="11">
        <v>1511.9429999999998</v>
      </c>
      <c r="F306" s="13">
        <f>SUMIF('OD 07-24'!A:A,A306,'OD 07-24'!D:D)</f>
        <v>0</v>
      </c>
      <c r="G306" s="13">
        <f>SUMIF('OD 07-24'!A:A,A306,'OD 07-24'!E:E)</f>
        <v>0</v>
      </c>
      <c r="H306" s="14">
        <f t="shared" si="8"/>
        <v>84774.812000000005</v>
      </c>
      <c r="I306" s="14">
        <f t="shared" si="9"/>
        <v>84774.812000000005</v>
      </c>
      <c r="J306" s="8" t="s">
        <v>157</v>
      </c>
      <c r="K306" s="8" t="s">
        <v>512</v>
      </c>
      <c r="M306" s="512"/>
      <c r="N306" s="315"/>
    </row>
    <row r="307" spans="1:14" s="9" customFormat="1" ht="11.25" customHeight="1" x14ac:dyDescent="0.2">
      <c r="A307" s="10">
        <v>62571000</v>
      </c>
      <c r="B307" s="10" t="s">
        <v>376</v>
      </c>
      <c r="C307" s="11">
        <v>0</v>
      </c>
      <c r="D307" s="11">
        <v>7700.8759999999993</v>
      </c>
      <c r="E307" s="11">
        <v>0</v>
      </c>
      <c r="F307" s="13">
        <f>SUMIF('OD 07-24'!A:A,A307,'OD 07-24'!D:D)</f>
        <v>0</v>
      </c>
      <c r="G307" s="13">
        <f>SUMIF('OD 07-24'!A:A,A307,'OD 07-24'!E:E)</f>
        <v>0</v>
      </c>
      <c r="H307" s="14">
        <f t="shared" si="8"/>
        <v>7700.8759999999993</v>
      </c>
      <c r="I307" s="14">
        <f t="shared" si="9"/>
        <v>7700.8759999999993</v>
      </c>
      <c r="J307" s="8" t="s">
        <v>157</v>
      </c>
      <c r="K307" s="8" t="s">
        <v>512</v>
      </c>
      <c r="M307" s="512"/>
      <c r="N307" s="315"/>
    </row>
    <row r="308" spans="1:14" s="9" customFormat="1" ht="11.25" customHeight="1" x14ac:dyDescent="0.2">
      <c r="A308" s="10">
        <v>62572000</v>
      </c>
      <c r="B308" s="10" t="s">
        <v>377</v>
      </c>
      <c r="C308" s="11">
        <v>0</v>
      </c>
      <c r="D308" s="11">
        <v>14517.470000000001</v>
      </c>
      <c r="E308" s="11">
        <v>0</v>
      </c>
      <c r="F308" s="13">
        <f>SUMIF('OD 07-24'!A:A,A308,'OD 07-24'!D:D)</f>
        <v>0</v>
      </c>
      <c r="G308" s="13">
        <f>SUMIF('OD 07-24'!A:A,A308,'OD 07-24'!E:E)</f>
        <v>0</v>
      </c>
      <c r="H308" s="14">
        <f t="shared" si="8"/>
        <v>14517.470000000001</v>
      </c>
      <c r="I308" s="14">
        <f t="shared" si="9"/>
        <v>14517.470000000001</v>
      </c>
      <c r="J308" s="8" t="s">
        <v>157</v>
      </c>
      <c r="K308" s="8" t="s">
        <v>512</v>
      </c>
      <c r="M308" s="512"/>
      <c r="N308" s="315"/>
    </row>
    <row r="309" spans="1:14" s="9" customFormat="1" ht="11.25" customHeight="1" x14ac:dyDescent="0.2">
      <c r="A309" s="10">
        <v>62573000</v>
      </c>
      <c r="B309" s="10" t="s">
        <v>378</v>
      </c>
      <c r="C309" s="11">
        <v>0</v>
      </c>
      <c r="D309" s="11">
        <v>1386.5840000000001</v>
      </c>
      <c r="E309" s="11">
        <v>0</v>
      </c>
      <c r="F309" s="13">
        <f>SUMIF('OD 07-24'!A:A,A309,'OD 07-24'!D:D)</f>
        <v>0</v>
      </c>
      <c r="G309" s="13">
        <f>SUMIF('OD 07-24'!A:A,A309,'OD 07-24'!E:E)</f>
        <v>0</v>
      </c>
      <c r="H309" s="14">
        <f t="shared" si="8"/>
        <v>1386.5840000000001</v>
      </c>
      <c r="I309" s="14">
        <f t="shared" si="9"/>
        <v>1386.5840000000001</v>
      </c>
      <c r="J309" s="8" t="s">
        <v>157</v>
      </c>
      <c r="K309" s="8" t="s">
        <v>512</v>
      </c>
      <c r="M309" s="512"/>
      <c r="N309" s="315"/>
    </row>
    <row r="310" spans="1:14" s="9" customFormat="1" ht="11.25" customHeight="1" x14ac:dyDescent="0.2">
      <c r="A310" s="10">
        <v>62580000</v>
      </c>
      <c r="B310" s="10" t="s">
        <v>187</v>
      </c>
      <c r="C310" s="11">
        <v>0</v>
      </c>
      <c r="D310" s="11">
        <v>2814.7550000000001</v>
      </c>
      <c r="E310" s="11">
        <v>0</v>
      </c>
      <c r="F310" s="13">
        <f>SUMIF('OD 07-24'!A:A,A310,'OD 07-24'!D:D)</f>
        <v>0</v>
      </c>
      <c r="G310" s="13">
        <f>SUMIF('OD 07-24'!A:A,A310,'OD 07-24'!E:E)</f>
        <v>0</v>
      </c>
      <c r="H310" s="14">
        <f t="shared" si="8"/>
        <v>2814.7550000000001</v>
      </c>
      <c r="I310" s="14">
        <f t="shared" si="9"/>
        <v>2814.7550000000001</v>
      </c>
      <c r="J310" s="8" t="s">
        <v>157</v>
      </c>
      <c r="K310" s="8" t="s">
        <v>512</v>
      </c>
      <c r="M310" s="512"/>
      <c r="N310" s="315"/>
    </row>
    <row r="311" spans="1:14" s="9" customFormat="1" ht="11.25" customHeight="1" x14ac:dyDescent="0.2">
      <c r="A311" s="10">
        <v>62600000</v>
      </c>
      <c r="B311" s="10" t="s">
        <v>188</v>
      </c>
      <c r="C311" s="11">
        <v>0</v>
      </c>
      <c r="D311" s="11">
        <v>26946.944</v>
      </c>
      <c r="E311" s="11">
        <v>0</v>
      </c>
      <c r="F311" s="13">
        <f>SUMIF('OD 07-24'!A:A,A311,'OD 07-24'!D:D)</f>
        <v>13128</v>
      </c>
      <c r="G311" s="13">
        <f>SUMIF('OD 07-24'!A:A,A311,'OD 07-24'!E:E)</f>
        <v>13128</v>
      </c>
      <c r="H311" s="14">
        <f t="shared" si="8"/>
        <v>26946.944000000003</v>
      </c>
      <c r="I311" s="14">
        <f t="shared" si="9"/>
        <v>26946.944000000003</v>
      </c>
      <c r="J311" s="8" t="s">
        <v>157</v>
      </c>
      <c r="K311" s="8" t="s">
        <v>512</v>
      </c>
      <c r="M311" s="512"/>
      <c r="N311" s="315"/>
    </row>
    <row r="312" spans="1:14" s="9" customFormat="1" ht="11.25" customHeight="1" x14ac:dyDescent="0.2">
      <c r="A312" s="10">
        <v>62780000</v>
      </c>
      <c r="B312" s="10" t="s">
        <v>189</v>
      </c>
      <c r="C312" s="11">
        <v>0</v>
      </c>
      <c r="D312" s="11">
        <v>144362.383</v>
      </c>
      <c r="E312" s="11">
        <v>250.798</v>
      </c>
      <c r="F312" s="13">
        <f>SUMIF('OD 07-24'!A:A,A312,'OD 07-24'!D:D)</f>
        <v>129665.60799999999</v>
      </c>
      <c r="G312" s="13">
        <f>SUMIF('OD 07-24'!A:A,A312,'OD 07-24'!E:E)</f>
        <v>121851.208</v>
      </c>
      <c r="H312" s="14">
        <f t="shared" si="8"/>
        <v>151925.98499999999</v>
      </c>
      <c r="I312" s="14">
        <f t="shared" si="9"/>
        <v>151925.98499999999</v>
      </c>
      <c r="J312" s="8" t="s">
        <v>195</v>
      </c>
      <c r="K312" s="8" t="s">
        <v>517</v>
      </c>
      <c r="M312" s="512"/>
      <c r="N312" s="315"/>
    </row>
    <row r="313" spans="1:14" s="9" customFormat="1" ht="11.25" customHeight="1" x14ac:dyDescent="0.2">
      <c r="A313" s="10">
        <v>63300000</v>
      </c>
      <c r="B313" s="10" t="s">
        <v>269</v>
      </c>
      <c r="C313" s="11">
        <v>0</v>
      </c>
      <c r="D313" s="11">
        <v>0</v>
      </c>
      <c r="E313" s="11">
        <v>0</v>
      </c>
      <c r="F313" s="13">
        <f>SUMIF('OD 07-24'!A:A,A313,'OD 07-24'!D:D)</f>
        <v>291666.66800000001</v>
      </c>
      <c r="G313" s="13">
        <f>SUMIF('OD 07-24'!A:A,A313,'OD 07-24'!E:E)</f>
        <v>218750.00099999999</v>
      </c>
      <c r="H313" s="14">
        <f>+D313+F313-E313-G313</f>
        <v>72916.667000000016</v>
      </c>
      <c r="I313" s="14">
        <f>+H313+C313</f>
        <v>72916.667000000016</v>
      </c>
      <c r="J313" s="8" t="s">
        <v>157</v>
      </c>
      <c r="K313" s="8" t="s">
        <v>512</v>
      </c>
      <c r="M313" s="512"/>
      <c r="N313" s="315"/>
    </row>
    <row r="314" spans="1:14" s="9" customFormat="1" ht="11.25" customHeight="1" x14ac:dyDescent="0.2">
      <c r="A314" s="10">
        <v>63601000</v>
      </c>
      <c r="B314" s="10" t="s">
        <v>7572</v>
      </c>
      <c r="C314" s="11">
        <v>0</v>
      </c>
      <c r="D314" s="11">
        <v>20878.022000000001</v>
      </c>
      <c r="E314" s="11">
        <v>0</v>
      </c>
      <c r="F314" s="13">
        <f>SUMIF('OD 07-24'!A:A,A314,'OD 07-24'!D:D)</f>
        <v>0</v>
      </c>
      <c r="G314" s="13">
        <f>SUMIF('OD 07-24'!A:A,A314,'OD 07-24'!E:E)</f>
        <v>0</v>
      </c>
      <c r="H314" s="14">
        <f t="shared" si="8"/>
        <v>20878.022000000001</v>
      </c>
      <c r="I314" s="14">
        <f t="shared" si="9"/>
        <v>20878.022000000001</v>
      </c>
      <c r="J314" s="8" t="s">
        <v>190</v>
      </c>
      <c r="K314" s="8" t="s">
        <v>519</v>
      </c>
      <c r="M314" s="512"/>
      <c r="N314" s="315"/>
    </row>
    <row r="315" spans="1:14" s="9" customFormat="1" ht="11.25" customHeight="1" x14ac:dyDescent="0.2">
      <c r="A315" s="10">
        <v>63602000</v>
      </c>
      <c r="B315" s="10" t="s">
        <v>7573</v>
      </c>
      <c r="C315" s="11">
        <v>0</v>
      </c>
      <c r="D315" s="11">
        <v>51240.879000000001</v>
      </c>
      <c r="E315" s="11">
        <v>31766.782999999996</v>
      </c>
      <c r="F315" s="13">
        <f>SUMIF('OD 07-24'!A:A,A315,'OD 07-24'!D:D)</f>
        <v>0</v>
      </c>
      <c r="G315" s="13">
        <f>SUMIF('OD 07-24'!A:A,A315,'OD 07-24'!E:E)</f>
        <v>0</v>
      </c>
      <c r="H315" s="14">
        <f t="shared" si="8"/>
        <v>19474.096000000005</v>
      </c>
      <c r="I315" s="14">
        <f t="shared" si="9"/>
        <v>19474.096000000005</v>
      </c>
      <c r="J315" s="8" t="s">
        <v>7715</v>
      </c>
      <c r="K315" s="8" t="s">
        <v>7716</v>
      </c>
      <c r="M315" s="512"/>
      <c r="N315" s="315"/>
    </row>
    <row r="316" spans="1:14" s="9" customFormat="1" ht="11.25" customHeight="1" x14ac:dyDescent="0.2">
      <c r="A316" s="10">
        <v>63610000</v>
      </c>
      <c r="B316" s="10" t="s">
        <v>7398</v>
      </c>
      <c r="C316" s="11">
        <v>0</v>
      </c>
      <c r="D316" s="11">
        <v>6180.0480000000007</v>
      </c>
      <c r="E316" s="11">
        <v>300</v>
      </c>
      <c r="F316" s="13">
        <f>SUMIF('OD 07-24'!A:A,A316,'OD 07-24'!D:D)</f>
        <v>0</v>
      </c>
      <c r="G316" s="13">
        <f>SUMIF('OD 07-24'!A:A,A316,'OD 07-24'!E:E)</f>
        <v>0</v>
      </c>
      <c r="H316" s="14">
        <f t="shared" si="8"/>
        <v>5880.0480000000007</v>
      </c>
      <c r="I316" s="14">
        <f t="shared" si="9"/>
        <v>5880.0480000000007</v>
      </c>
      <c r="J316" s="8" t="s">
        <v>190</v>
      </c>
      <c r="K316" s="8" t="s">
        <v>519</v>
      </c>
      <c r="M316" s="512"/>
      <c r="N316" s="315"/>
    </row>
    <row r="317" spans="1:14" s="9" customFormat="1" ht="11.25" customHeight="1" x14ac:dyDescent="0.2">
      <c r="A317" s="10">
        <v>64001000</v>
      </c>
      <c r="B317" s="10" t="s">
        <v>191</v>
      </c>
      <c r="C317" s="11">
        <v>0</v>
      </c>
      <c r="D317" s="11">
        <v>2795017.0959999999</v>
      </c>
      <c r="E317" s="11">
        <v>288176.58799999999</v>
      </c>
      <c r="F317" s="13">
        <f>SUMIF('OD 07-24'!A:A,A317,'OD 07-24'!D:D)</f>
        <v>413518.88400000002</v>
      </c>
      <c r="G317" s="13">
        <f>SUMIF('OD 07-24'!A:A,A317,'OD 07-24'!E:E)</f>
        <v>413518.88400000002</v>
      </c>
      <c r="H317" s="14">
        <f t="shared" si="8"/>
        <v>2506840.5079999999</v>
      </c>
      <c r="I317" s="14">
        <f t="shared" si="9"/>
        <v>2506840.5079999999</v>
      </c>
      <c r="J317" s="8" t="s">
        <v>192</v>
      </c>
      <c r="K317" s="8" t="s">
        <v>511</v>
      </c>
      <c r="M317" s="512"/>
      <c r="N317" s="315"/>
    </row>
    <row r="318" spans="1:14" s="9" customFormat="1" ht="11.25" customHeight="1" x14ac:dyDescent="0.2">
      <c r="A318" s="10">
        <v>64001100</v>
      </c>
      <c r="B318" s="10" t="s">
        <v>408</v>
      </c>
      <c r="C318" s="11">
        <v>0</v>
      </c>
      <c r="D318" s="11">
        <v>0</v>
      </c>
      <c r="E318" s="11">
        <v>0</v>
      </c>
      <c r="F318" s="13">
        <f>SUMIF('OD 07-24'!A:A,A318,'OD 07-24'!D:D)</f>
        <v>700000</v>
      </c>
      <c r="G318" s="13">
        <f>SUMIF('OD 07-24'!A:A,A318,'OD 07-24'!E:E)</f>
        <v>525000</v>
      </c>
      <c r="H318" s="14">
        <f t="shared" si="8"/>
        <v>175000</v>
      </c>
      <c r="I318" s="14">
        <f t="shared" si="9"/>
        <v>175000</v>
      </c>
      <c r="J318" s="8" t="s">
        <v>192</v>
      </c>
      <c r="K318" s="8" t="s">
        <v>511</v>
      </c>
      <c r="M318" s="512"/>
      <c r="N318" s="315"/>
    </row>
    <row r="319" spans="1:14" s="9" customFormat="1" ht="11.25" customHeight="1" x14ac:dyDescent="0.2">
      <c r="A319" s="10">
        <v>64020000</v>
      </c>
      <c r="B319" s="10" t="s">
        <v>406</v>
      </c>
      <c r="C319" s="11">
        <v>0</v>
      </c>
      <c r="D319" s="11">
        <v>0</v>
      </c>
      <c r="E319" s="11">
        <v>0</v>
      </c>
      <c r="F319" s="13">
        <f>SUMIF('OD 07-24'!A:A,A319,'OD 07-24'!D:D)</f>
        <v>988699.29299999995</v>
      </c>
      <c r="G319" s="13">
        <f>SUMIF('OD 07-24'!A:A,A319,'OD 07-24'!E:E)</f>
        <v>753788.64800000004</v>
      </c>
      <c r="H319" s="14">
        <f t="shared" si="8"/>
        <v>234910.6449999999</v>
      </c>
      <c r="I319" s="14">
        <f t="shared" si="9"/>
        <v>234910.6449999999</v>
      </c>
      <c r="J319" s="8" t="s">
        <v>192</v>
      </c>
      <c r="K319" s="8" t="s">
        <v>511</v>
      </c>
      <c r="M319" s="512"/>
      <c r="N319" s="315"/>
    </row>
    <row r="320" spans="1:14" s="9" customFormat="1" ht="11.25" customHeight="1" x14ac:dyDescent="0.2">
      <c r="A320" s="10">
        <v>64280000</v>
      </c>
      <c r="B320" s="10" t="s">
        <v>193</v>
      </c>
      <c r="C320" s="11">
        <v>0</v>
      </c>
      <c r="D320" s="11">
        <v>39080</v>
      </c>
      <c r="E320" s="11">
        <v>39080</v>
      </c>
      <c r="F320" s="13">
        <f>SUMIF('OD 07-24'!A:A,A320,'OD 07-24'!D:D)</f>
        <v>0</v>
      </c>
      <c r="G320" s="13">
        <f>SUMIF('OD 07-24'!A:A,A320,'OD 07-24'!E:E)</f>
        <v>0</v>
      </c>
      <c r="H320" s="14">
        <f t="shared" si="8"/>
        <v>0</v>
      </c>
      <c r="I320" s="14">
        <f t="shared" si="9"/>
        <v>0</v>
      </c>
      <c r="J320" s="8" t="s">
        <v>192</v>
      </c>
      <c r="K320" s="8" t="s">
        <v>511</v>
      </c>
      <c r="M320" s="512"/>
      <c r="N320" s="315"/>
    </row>
    <row r="321" spans="1:14" s="9" customFormat="1" ht="11.25" customHeight="1" x14ac:dyDescent="0.2">
      <c r="A321" s="10">
        <v>64600100</v>
      </c>
      <c r="B321" s="10" t="s">
        <v>407</v>
      </c>
      <c r="C321" s="11">
        <v>0</v>
      </c>
      <c r="D321" s="11">
        <v>1686.6510000000003</v>
      </c>
      <c r="E321" s="11">
        <v>247618.065</v>
      </c>
      <c r="F321" s="13">
        <f>SUMIF('OD 07-24'!A:A,A321,'OD 07-24'!D:D)</f>
        <v>2560652.4890000001</v>
      </c>
      <c r="G321" s="13">
        <f>SUMIF('OD 07-24'!A:A,A321,'OD 07-24'!E:E)</f>
        <v>2316817.4890000001</v>
      </c>
      <c r="H321" s="14">
        <f t="shared" si="8"/>
        <v>-2096.4139999998733</v>
      </c>
      <c r="I321" s="14">
        <f t="shared" si="9"/>
        <v>-2096.4139999998733</v>
      </c>
      <c r="J321" s="8" t="s">
        <v>192</v>
      </c>
      <c r="K321" s="8" t="s">
        <v>511</v>
      </c>
      <c r="M321" s="512"/>
      <c r="N321" s="315"/>
    </row>
    <row r="322" spans="1:14" s="9" customFormat="1" ht="11.25" customHeight="1" x14ac:dyDescent="0.2">
      <c r="A322" s="10">
        <v>64603000</v>
      </c>
      <c r="B322" s="10" t="s">
        <v>7404</v>
      </c>
      <c r="C322" s="11">
        <v>0</v>
      </c>
      <c r="D322" s="11">
        <v>14367.25</v>
      </c>
      <c r="E322" s="11">
        <v>0</v>
      </c>
      <c r="F322" s="13">
        <f>SUMIF('OD 07-24'!A:A,A322,'OD 07-24'!D:D)</f>
        <v>3192</v>
      </c>
      <c r="G322" s="13">
        <f>SUMIF('OD 07-24'!A:A,A322,'OD 07-24'!E:E)</f>
        <v>1596</v>
      </c>
      <c r="H322" s="14">
        <f t="shared" si="8"/>
        <v>15963.25</v>
      </c>
      <c r="I322" s="14">
        <f t="shared" si="9"/>
        <v>15963.25</v>
      </c>
      <c r="J322" s="8" t="s">
        <v>192</v>
      </c>
      <c r="K322" s="8" t="s">
        <v>511</v>
      </c>
      <c r="M322" s="512"/>
      <c r="N322" s="315"/>
    </row>
    <row r="323" spans="1:14" s="9" customFormat="1" ht="11.25" customHeight="1" x14ac:dyDescent="0.2">
      <c r="A323" s="10">
        <v>64720000</v>
      </c>
      <c r="B323" s="10" t="s">
        <v>194</v>
      </c>
      <c r="C323" s="11">
        <v>0</v>
      </c>
      <c r="D323" s="11">
        <v>242801.7</v>
      </c>
      <c r="E323" s="11">
        <v>21778.701000000001</v>
      </c>
      <c r="F323" s="13">
        <f>SUMIF('OD 07-24'!A:A,A323,'OD 07-24'!D:D)</f>
        <v>539308.98699999996</v>
      </c>
      <c r="G323" s="13">
        <f>SUMIF('OD 07-24'!A:A,A323,'OD 07-24'!E:E)</f>
        <v>501923.42</v>
      </c>
      <c r="H323" s="14">
        <f t="shared" si="8"/>
        <v>258408.56599999993</v>
      </c>
      <c r="I323" s="14">
        <f t="shared" si="9"/>
        <v>258408.56599999993</v>
      </c>
      <c r="J323" s="8" t="s">
        <v>192</v>
      </c>
      <c r="K323" s="8" t="s">
        <v>511</v>
      </c>
      <c r="M323" s="512"/>
      <c r="N323" s="315"/>
    </row>
    <row r="324" spans="1:14" s="9" customFormat="1" ht="11.25" customHeight="1" x14ac:dyDescent="0.2">
      <c r="A324" s="10">
        <v>65110000</v>
      </c>
      <c r="B324" s="10" t="s">
        <v>385</v>
      </c>
      <c r="C324" s="11">
        <v>0</v>
      </c>
      <c r="D324" s="11">
        <v>188002.18199999997</v>
      </c>
      <c r="E324" s="11">
        <v>84401.901999999987</v>
      </c>
      <c r="F324" s="13">
        <f>SUMIF('OD 07-24'!A:A,A324,'OD 07-24'!D:D)</f>
        <v>52845.873</v>
      </c>
      <c r="G324" s="13">
        <f>SUMIF('OD 07-24'!A:A,A324,'OD 07-24'!E:E)</f>
        <v>19392.053</v>
      </c>
      <c r="H324" s="14">
        <f t="shared" si="8"/>
        <v>137054.09999999998</v>
      </c>
      <c r="I324" s="14">
        <f t="shared" si="9"/>
        <v>137054.09999999998</v>
      </c>
      <c r="J324" s="8" t="s">
        <v>195</v>
      </c>
      <c r="K324" s="8" t="s">
        <v>517</v>
      </c>
      <c r="M324" s="512"/>
      <c r="N324" s="315"/>
    </row>
    <row r="325" spans="1:14" s="9" customFormat="1" ht="11.25" customHeight="1" x14ac:dyDescent="0.2">
      <c r="A325" s="10">
        <v>65110200</v>
      </c>
      <c r="B325" s="10" t="s">
        <v>196</v>
      </c>
      <c r="C325" s="11">
        <v>0</v>
      </c>
      <c r="D325" s="11">
        <v>294958.07399999996</v>
      </c>
      <c r="E325" s="11">
        <v>0</v>
      </c>
      <c r="F325" s="13">
        <f>SUMIF('OD 07-24'!A:A,A325,'OD 07-24'!D:D)</f>
        <v>301877.261</v>
      </c>
      <c r="G325" s="13">
        <f>SUMIF('OD 07-24'!A:A,A325,'OD 07-24'!E:E)</f>
        <v>343265.1</v>
      </c>
      <c r="H325" s="14">
        <f t="shared" si="8"/>
        <v>253570.23499999999</v>
      </c>
      <c r="I325" s="14">
        <f t="shared" si="9"/>
        <v>253570.23499999999</v>
      </c>
      <c r="J325" s="8" t="s">
        <v>195</v>
      </c>
      <c r="K325" s="8" t="s">
        <v>517</v>
      </c>
      <c r="M325" s="512"/>
      <c r="N325" s="315"/>
    </row>
    <row r="326" spans="1:14" s="9" customFormat="1" ht="11.25" customHeight="1" x14ac:dyDescent="0.2">
      <c r="A326" s="10">
        <v>65110400</v>
      </c>
      <c r="B326" s="10" t="s">
        <v>197</v>
      </c>
      <c r="C326" s="11">
        <v>0</v>
      </c>
      <c r="D326" s="11">
        <v>453009.33299999998</v>
      </c>
      <c r="E326" s="11">
        <v>0</v>
      </c>
      <c r="F326" s="13">
        <f>SUMIF('OD 07-24'!A:A,A326,'OD 07-24'!D:D)</f>
        <v>463717.98499999999</v>
      </c>
      <c r="G326" s="13">
        <f>SUMIF('OD 07-24'!A:A,A326,'OD 07-24'!E:E)</f>
        <v>527247.54500000004</v>
      </c>
      <c r="H326" s="14">
        <f t="shared" si="8"/>
        <v>389479.77299999993</v>
      </c>
      <c r="I326" s="14">
        <f t="shared" si="9"/>
        <v>389479.77299999993</v>
      </c>
      <c r="J326" s="8" t="s">
        <v>195</v>
      </c>
      <c r="K326" s="8" t="s">
        <v>517</v>
      </c>
      <c r="M326" s="512"/>
      <c r="N326" s="315"/>
    </row>
    <row r="327" spans="1:14" s="9" customFormat="1" ht="11.25" customHeight="1" x14ac:dyDescent="0.2">
      <c r="A327" s="10">
        <v>65115000</v>
      </c>
      <c r="B327" s="10" t="s">
        <v>379</v>
      </c>
      <c r="C327" s="11">
        <v>0</v>
      </c>
      <c r="D327" s="11">
        <v>40614.813000000002</v>
      </c>
      <c r="E327" s="11">
        <v>2060.0309999999999</v>
      </c>
      <c r="F327" s="13">
        <f>SUMIF('OD 07-24'!A:A,A327,'OD 07-24'!D:D)</f>
        <v>0</v>
      </c>
      <c r="G327" s="13">
        <f>SUMIF('OD 07-24'!A:A,A327,'OD 07-24'!E:E)</f>
        <v>0</v>
      </c>
      <c r="H327" s="14">
        <f t="shared" ref="H327:H354" si="10">+D327+F327-E327-G327</f>
        <v>38554.781999999999</v>
      </c>
      <c r="I327" s="14">
        <f t="shared" ref="I327:I354" si="11">+H327+C327</f>
        <v>38554.781999999999</v>
      </c>
      <c r="J327" s="8" t="s">
        <v>195</v>
      </c>
      <c r="K327" s="8" t="s">
        <v>517</v>
      </c>
      <c r="M327" s="512"/>
      <c r="N327" s="315"/>
    </row>
    <row r="328" spans="1:14" s="9" customFormat="1" ht="11.25" customHeight="1" x14ac:dyDescent="0.2">
      <c r="A328" s="10">
        <v>65150000</v>
      </c>
      <c r="B328" s="10" t="s">
        <v>270</v>
      </c>
      <c r="C328" s="11">
        <v>0</v>
      </c>
      <c r="D328" s="11">
        <v>0</v>
      </c>
      <c r="E328" s="11">
        <v>0</v>
      </c>
      <c r="F328" s="13">
        <f>SUMIF('OD 07-24'!A:A,A328,'OD 07-24'!D:D)</f>
        <v>79798.357000000004</v>
      </c>
      <c r="G328" s="13">
        <f>SUMIF('OD 07-24'!A:A,A328,'OD 07-24'!E:E)</f>
        <v>61037.809000000001</v>
      </c>
      <c r="H328" s="14">
        <f t="shared" si="10"/>
        <v>18760.548000000003</v>
      </c>
      <c r="I328" s="14">
        <f t="shared" si="11"/>
        <v>18760.548000000003</v>
      </c>
      <c r="J328" s="8" t="s">
        <v>195</v>
      </c>
      <c r="K328" s="8" t="s">
        <v>517</v>
      </c>
      <c r="M328" s="512"/>
      <c r="N328" s="315"/>
    </row>
    <row r="329" spans="1:14" s="9" customFormat="1" ht="11.25" customHeight="1" x14ac:dyDescent="0.2">
      <c r="A329" s="10">
        <v>65190000</v>
      </c>
      <c r="B329" s="10" t="s">
        <v>198</v>
      </c>
      <c r="C329" s="11">
        <v>0</v>
      </c>
      <c r="D329" s="11">
        <v>183411.247</v>
      </c>
      <c r="E329" s="11">
        <v>0</v>
      </c>
      <c r="F329" s="13">
        <f>SUMIF('OD 07-24'!A:A,A329,'OD 07-24'!D:D)</f>
        <v>474428.36800000002</v>
      </c>
      <c r="G329" s="13">
        <f>SUMIF('OD 07-24'!A:A,A329,'OD 07-24'!E:E)</f>
        <v>443357.1</v>
      </c>
      <c r="H329" s="14">
        <f t="shared" si="10"/>
        <v>214482.51500000001</v>
      </c>
      <c r="I329" s="14">
        <f t="shared" si="11"/>
        <v>214482.51500000001</v>
      </c>
      <c r="J329" s="8" t="s">
        <v>195</v>
      </c>
      <c r="K329" s="8" t="s">
        <v>517</v>
      </c>
      <c r="M329" s="512"/>
      <c r="N329" s="315"/>
    </row>
    <row r="330" spans="1:14" s="9" customFormat="1" ht="11.25" customHeight="1" x14ac:dyDescent="0.2">
      <c r="A330" s="10">
        <v>65500000</v>
      </c>
      <c r="B330" s="10" t="s">
        <v>400</v>
      </c>
      <c r="C330" s="11">
        <v>0</v>
      </c>
      <c r="D330" s="11">
        <v>19683.219000000001</v>
      </c>
      <c r="E330" s="11">
        <v>15431.621999999999</v>
      </c>
      <c r="F330" s="13">
        <f>SUMIF('OD 07-24'!A:A,A330,'OD 07-24'!D:D)</f>
        <v>79865.165399999998</v>
      </c>
      <c r="G330" s="13">
        <f>SUMIF('OD 07-24'!A:A,A330,'OD 07-24'!E:E)</f>
        <v>42049.773399999998</v>
      </c>
      <c r="H330" s="14">
        <f t="shared" si="10"/>
        <v>42066.988999999994</v>
      </c>
      <c r="I330" s="14">
        <f t="shared" si="11"/>
        <v>42066.988999999994</v>
      </c>
      <c r="J330" s="8" t="s">
        <v>195</v>
      </c>
      <c r="K330" s="8" t="s">
        <v>517</v>
      </c>
      <c r="M330" s="512"/>
      <c r="N330" s="315"/>
    </row>
    <row r="331" spans="1:14" s="9" customFormat="1" ht="11.25" customHeight="1" x14ac:dyDescent="0.2">
      <c r="A331" s="10">
        <v>66520000</v>
      </c>
      <c r="B331" s="10" t="s">
        <v>200</v>
      </c>
      <c r="C331" s="11">
        <v>0</v>
      </c>
      <c r="D331" s="11">
        <v>59335.125</v>
      </c>
      <c r="E331" s="11">
        <v>0</v>
      </c>
      <c r="F331" s="13">
        <f>SUMIF('OD 07-24'!A:A,A331,'OD 07-24'!D:D)</f>
        <v>67260.845000000001</v>
      </c>
      <c r="G331" s="13">
        <f>SUMIF('OD 07-24'!A:A,A331,'OD 07-24'!E:E)</f>
        <v>55820.951000000001</v>
      </c>
      <c r="H331" s="14">
        <f t="shared" si="10"/>
        <v>70775.019</v>
      </c>
      <c r="I331" s="14">
        <f t="shared" si="11"/>
        <v>70775.019</v>
      </c>
      <c r="J331" s="8" t="s">
        <v>157</v>
      </c>
      <c r="K331" s="8" t="s">
        <v>512</v>
      </c>
      <c r="M331" s="512"/>
      <c r="N331" s="315"/>
    </row>
    <row r="332" spans="1:14" s="9" customFormat="1" ht="11.25" customHeight="1" x14ac:dyDescent="0.2">
      <c r="A332" s="10">
        <v>66540000</v>
      </c>
      <c r="B332" s="10" t="s">
        <v>201</v>
      </c>
      <c r="C332" s="11">
        <v>0</v>
      </c>
      <c r="D332" s="11">
        <v>9747.6309999999994</v>
      </c>
      <c r="E332" s="11">
        <v>23</v>
      </c>
      <c r="F332" s="13">
        <f>SUMIF('OD 07-24'!A:A,A332,'OD 07-24'!D:D)</f>
        <v>0</v>
      </c>
      <c r="G332" s="13">
        <f>SUMIF('OD 07-24'!A:A,A332,'OD 07-24'!E:E)</f>
        <v>0</v>
      </c>
      <c r="H332" s="14">
        <f t="shared" si="10"/>
        <v>9724.6309999999994</v>
      </c>
      <c r="I332" s="14">
        <f t="shared" si="11"/>
        <v>9724.6309999999994</v>
      </c>
      <c r="J332" s="8" t="s">
        <v>157</v>
      </c>
      <c r="K332" s="8" t="s">
        <v>512</v>
      </c>
      <c r="M332" s="512"/>
      <c r="N332" s="315"/>
    </row>
    <row r="333" spans="1:14" s="9" customFormat="1" ht="11.25" customHeight="1" x14ac:dyDescent="0.2">
      <c r="A333" s="10">
        <v>66550000</v>
      </c>
      <c r="B333" s="10" t="s">
        <v>202</v>
      </c>
      <c r="C333" s="11">
        <v>0</v>
      </c>
      <c r="D333" s="11">
        <v>14965.692999999999</v>
      </c>
      <c r="E333" s="11">
        <v>0</v>
      </c>
      <c r="F333" s="13">
        <f>SUMIF('OD 07-24'!A:A,A333,'OD 07-24'!D:D)</f>
        <v>25200</v>
      </c>
      <c r="G333" s="13">
        <f>SUMIF('OD 07-24'!A:A,A333,'OD 07-24'!E:E)</f>
        <v>18900</v>
      </c>
      <c r="H333" s="14">
        <f t="shared" si="10"/>
        <v>21265.692999999999</v>
      </c>
      <c r="I333" s="14">
        <f t="shared" si="11"/>
        <v>21265.692999999999</v>
      </c>
      <c r="J333" s="8" t="s">
        <v>157</v>
      </c>
      <c r="K333" s="8" t="s">
        <v>512</v>
      </c>
      <c r="M333" s="512"/>
      <c r="N333" s="315"/>
    </row>
    <row r="334" spans="1:14" s="9" customFormat="1" ht="11.25" customHeight="1" x14ac:dyDescent="0.2">
      <c r="A334" s="10">
        <v>68112000</v>
      </c>
      <c r="B334" s="10" t="s">
        <v>271</v>
      </c>
      <c r="C334" s="11">
        <v>0</v>
      </c>
      <c r="D334" s="11">
        <v>0</v>
      </c>
      <c r="E334" s="11">
        <v>0</v>
      </c>
      <c r="F334" s="13">
        <f>SUMIF('OD 07-24'!A:A,A334,'OD 07-24'!D:D)</f>
        <v>6587691.4419999998</v>
      </c>
      <c r="G334" s="13">
        <f>SUMIF('OD 07-24'!A:A,A334,'OD 07-24'!E:E)</f>
        <v>4913744.8310000002</v>
      </c>
      <c r="H334" s="14">
        <f t="shared" si="10"/>
        <v>1673946.6109999996</v>
      </c>
      <c r="I334" s="14">
        <f t="shared" si="11"/>
        <v>1673946.6109999996</v>
      </c>
      <c r="J334" s="8" t="s">
        <v>203</v>
      </c>
      <c r="K334" s="8" t="s">
        <v>7578</v>
      </c>
      <c r="M334" s="512"/>
      <c r="N334" s="315"/>
    </row>
    <row r="335" spans="1:14" s="9" customFormat="1" ht="11.25" customHeight="1" x14ac:dyDescent="0.2">
      <c r="A335" s="10">
        <v>68150000</v>
      </c>
      <c r="B335" s="10" t="s">
        <v>9481</v>
      </c>
      <c r="C335" s="11">
        <v>0</v>
      </c>
      <c r="D335" s="11">
        <v>0</v>
      </c>
      <c r="E335" s="11">
        <v>0</v>
      </c>
      <c r="F335" s="13">
        <f>SUMIF('OD 07-24'!A:A,A335,'OD 07-24'!D:D)</f>
        <v>60000</v>
      </c>
      <c r="G335" s="13">
        <f>SUMIF('OD 07-24'!A:A,A335,'OD 07-24'!E:E)</f>
        <v>20000</v>
      </c>
      <c r="H335" s="14">
        <f t="shared" si="10"/>
        <v>40000</v>
      </c>
      <c r="I335" s="14">
        <f t="shared" si="11"/>
        <v>40000</v>
      </c>
      <c r="J335" s="8" t="s">
        <v>7715</v>
      </c>
      <c r="K335" s="8" t="s">
        <v>7716</v>
      </c>
      <c r="M335" s="512"/>
      <c r="N335" s="315"/>
    </row>
    <row r="336" spans="1:14" s="9" customFormat="1" ht="11.25" customHeight="1" x14ac:dyDescent="0.2">
      <c r="A336" s="10">
        <v>68170000</v>
      </c>
      <c r="B336" s="10" t="s">
        <v>7577</v>
      </c>
      <c r="C336" s="11">
        <v>0</v>
      </c>
      <c r="D336" s="11">
        <v>0</v>
      </c>
      <c r="E336" s="11">
        <v>0</v>
      </c>
      <c r="F336" s="13">
        <f>SUMIF('OD 07-24'!A:A,A336,'OD 07-24'!D:D)</f>
        <v>1375000</v>
      </c>
      <c r="G336" s="13">
        <f>SUMIF('OD 07-24'!A:A,A336,'OD 07-24'!E:E)</f>
        <v>1000000</v>
      </c>
      <c r="H336" s="14">
        <f t="shared" si="10"/>
        <v>375000</v>
      </c>
      <c r="I336" s="14">
        <f t="shared" si="11"/>
        <v>375000</v>
      </c>
      <c r="J336" s="8" t="s">
        <v>7715</v>
      </c>
      <c r="K336" s="8" t="s">
        <v>7716</v>
      </c>
      <c r="M336" s="512"/>
      <c r="N336" s="315"/>
    </row>
    <row r="337" spans="1:14" s="9" customFormat="1" ht="11.25" customHeight="1" x14ac:dyDescent="0.2">
      <c r="A337" s="10">
        <v>68180000</v>
      </c>
      <c r="B337" s="10" t="s">
        <v>8976</v>
      </c>
      <c r="C337" s="11">
        <v>0</v>
      </c>
      <c r="D337" s="11">
        <v>0</v>
      </c>
      <c r="E337" s="11">
        <v>0</v>
      </c>
      <c r="F337" s="13">
        <f>SUMIF('OD 07-24'!A:A,A337,'OD 07-24'!D:D)</f>
        <v>600000</v>
      </c>
      <c r="G337" s="13">
        <f>SUMIF('OD 07-24'!A:A,A337,'OD 07-24'!E:E)</f>
        <v>350000</v>
      </c>
      <c r="H337" s="14">
        <f t="shared" si="10"/>
        <v>250000</v>
      </c>
      <c r="I337" s="14">
        <f t="shared" si="11"/>
        <v>250000</v>
      </c>
      <c r="J337" s="8" t="s">
        <v>7715</v>
      </c>
      <c r="K337" s="8" t="s">
        <v>7716</v>
      </c>
      <c r="M337" s="512"/>
      <c r="N337" s="315"/>
    </row>
    <row r="338" spans="1:14" s="9" customFormat="1" ht="11.25" customHeight="1" x14ac:dyDescent="0.2">
      <c r="A338" s="10">
        <v>70000000</v>
      </c>
      <c r="B338" s="10" t="s">
        <v>205</v>
      </c>
      <c r="C338" s="11">
        <v>0</v>
      </c>
      <c r="D338" s="11">
        <v>2770804.0489999996</v>
      </c>
      <c r="E338" s="11">
        <v>20839258.453000002</v>
      </c>
      <c r="F338" s="13">
        <f>SUMIF('OD 07-24'!A:A,A338,'OD 07-24'!D:D)</f>
        <v>0</v>
      </c>
      <c r="G338" s="13">
        <f>SUMIF('OD 07-24'!A:A,A338,'OD 07-24'!E:E)</f>
        <v>0</v>
      </c>
      <c r="H338" s="14">
        <f t="shared" si="10"/>
        <v>-18068454.404000003</v>
      </c>
      <c r="I338" s="14">
        <f t="shared" si="11"/>
        <v>-18068454.404000003</v>
      </c>
      <c r="J338" s="8" t="s">
        <v>206</v>
      </c>
      <c r="K338" s="8" t="s">
        <v>505</v>
      </c>
      <c r="M338" s="512"/>
      <c r="N338" s="315"/>
    </row>
    <row r="339" spans="1:14" s="9" customFormat="1" ht="11.25" customHeight="1" x14ac:dyDescent="0.2">
      <c r="A339" s="10">
        <v>70102000</v>
      </c>
      <c r="B339" s="10" t="s">
        <v>207</v>
      </c>
      <c r="C339" s="11">
        <v>0</v>
      </c>
      <c r="D339" s="11">
        <v>211188.95199999999</v>
      </c>
      <c r="E339" s="11">
        <v>24607580.908</v>
      </c>
      <c r="F339" s="13">
        <f>SUMIF('OD 07-24'!A:A,A339,'OD 07-24'!D:D)</f>
        <v>3757277.7850000001</v>
      </c>
      <c r="G339" s="13">
        <f>SUMIF('OD 07-24'!A:A,A339,'OD 07-24'!E:E)</f>
        <v>3757277.7850000001</v>
      </c>
      <c r="H339" s="14">
        <f t="shared" si="10"/>
        <v>-24396391.956</v>
      </c>
      <c r="I339" s="14">
        <f t="shared" si="11"/>
        <v>-24396391.956</v>
      </c>
      <c r="J339" s="8" t="s">
        <v>227</v>
      </c>
      <c r="K339" s="8" t="s">
        <v>504</v>
      </c>
      <c r="M339" s="512"/>
      <c r="N339" s="315"/>
    </row>
    <row r="340" spans="1:14" s="9" customFormat="1" ht="11.25" customHeight="1" x14ac:dyDescent="0.2">
      <c r="A340" s="10">
        <v>70103000</v>
      </c>
      <c r="B340" s="10" t="s">
        <v>380</v>
      </c>
      <c r="C340" s="11">
        <v>0</v>
      </c>
      <c r="D340" s="11">
        <v>0</v>
      </c>
      <c r="E340" s="11">
        <v>4065</v>
      </c>
      <c r="F340" s="13">
        <f>SUMIF('OD 07-24'!A:A,A340,'OD 07-24'!D:D)</f>
        <v>0</v>
      </c>
      <c r="G340" s="13">
        <f>SUMIF('OD 07-24'!A:A,A340,'OD 07-24'!E:E)</f>
        <v>0</v>
      </c>
      <c r="H340" s="14">
        <f t="shared" si="10"/>
        <v>-4065</v>
      </c>
      <c r="I340" s="14">
        <f t="shared" si="11"/>
        <v>-4065</v>
      </c>
      <c r="J340" s="8" t="s">
        <v>206</v>
      </c>
      <c r="K340" s="8" t="s">
        <v>505</v>
      </c>
      <c r="M340" s="512"/>
      <c r="N340" s="315"/>
    </row>
    <row r="341" spans="1:14" s="9" customFormat="1" ht="11.25" customHeight="1" x14ac:dyDescent="0.2">
      <c r="A341" s="10">
        <v>70600000</v>
      </c>
      <c r="B341" s="10" t="s">
        <v>381</v>
      </c>
      <c r="C341" s="11">
        <v>0</v>
      </c>
      <c r="D341" s="11">
        <v>83709.7</v>
      </c>
      <c r="E341" s="11">
        <f>12733+477844.525</f>
        <v>490577.52500000002</v>
      </c>
      <c r="F341" s="13">
        <f>SUMIF('OD 07-24'!A:A,A341,'OD 07-24'!D:D)</f>
        <v>0</v>
      </c>
      <c r="G341" s="13">
        <f>SUMIF('OD 07-24'!A:A,A341,'OD 07-24'!E:E)</f>
        <v>266789.90000000002</v>
      </c>
      <c r="H341" s="14">
        <f t="shared" si="10"/>
        <v>-673657.72500000009</v>
      </c>
      <c r="I341" s="14">
        <f t="shared" si="11"/>
        <v>-673657.72500000009</v>
      </c>
      <c r="J341" s="8" t="s">
        <v>214</v>
      </c>
      <c r="K341" s="8" t="s">
        <v>506</v>
      </c>
      <c r="M341" s="512"/>
      <c r="N341" s="315"/>
    </row>
    <row r="342" spans="1:14" s="9" customFormat="1" ht="11.25" customHeight="1" x14ac:dyDescent="0.2">
      <c r="A342" s="10">
        <v>70600100</v>
      </c>
      <c r="B342" s="10" t="s">
        <v>7574</v>
      </c>
      <c r="C342" s="11">
        <v>0</v>
      </c>
      <c r="D342" s="11">
        <v>0</v>
      </c>
      <c r="E342" s="11">
        <v>4972.8629999999994</v>
      </c>
      <c r="F342" s="13">
        <f>SUMIF('OD 07-24'!A:A,A342,'OD 07-24'!D:D)</f>
        <v>0</v>
      </c>
      <c r="G342" s="13">
        <f>SUMIF('OD 07-24'!A:A,A342,'OD 07-24'!E:E)</f>
        <v>0</v>
      </c>
      <c r="H342" s="14">
        <f t="shared" si="10"/>
        <v>-4972.8629999999994</v>
      </c>
      <c r="I342" s="14">
        <f t="shared" si="11"/>
        <v>-4972.8629999999994</v>
      </c>
      <c r="J342" s="8" t="s">
        <v>214</v>
      </c>
      <c r="K342" s="8" t="s">
        <v>506</v>
      </c>
      <c r="M342" s="512"/>
      <c r="N342" s="315"/>
    </row>
    <row r="343" spans="1:14" s="9" customFormat="1" ht="11.25" customHeight="1" x14ac:dyDescent="0.2">
      <c r="A343" s="10">
        <v>70600500</v>
      </c>
      <c r="B343" s="10" t="s">
        <v>208</v>
      </c>
      <c r="C343" s="11">
        <v>0</v>
      </c>
      <c r="D343" s="11">
        <v>38770.517999999996</v>
      </c>
      <c r="E343" s="11">
        <v>60430.23</v>
      </c>
      <c r="F343" s="13">
        <f>SUMIF('OD 07-24'!A:A,A343,'OD 07-24'!D:D)</f>
        <v>48636.794999999998</v>
      </c>
      <c r="G343" s="13">
        <f>SUMIF('OD 07-24'!A:A,A343,'OD 07-24'!E:E)</f>
        <v>52017.061000000002</v>
      </c>
      <c r="H343" s="14">
        <f t="shared" si="10"/>
        <v>-25039.97800000001</v>
      </c>
      <c r="I343" s="14">
        <f t="shared" si="11"/>
        <v>-25039.97800000001</v>
      </c>
      <c r="J343" s="8" t="s">
        <v>214</v>
      </c>
      <c r="K343" s="8" t="s">
        <v>506</v>
      </c>
      <c r="M343" s="512"/>
      <c r="N343" s="315"/>
    </row>
    <row r="344" spans="1:14" s="9" customFormat="1" ht="11.25" customHeight="1" x14ac:dyDescent="0.2">
      <c r="A344" s="10">
        <v>71340000</v>
      </c>
      <c r="B344" s="10" t="s">
        <v>382</v>
      </c>
      <c r="C344" s="11">
        <v>0</v>
      </c>
      <c r="D344" s="11">
        <v>744393.83599999989</v>
      </c>
      <c r="E344" s="11">
        <v>0</v>
      </c>
      <c r="F344" s="13">
        <f>SUMIF('OD 07-24'!A:A,A344,'OD 07-24'!D:D)</f>
        <v>2233181.5079999999</v>
      </c>
      <c r="G344" s="13">
        <f>SUMIF('OD 07-24'!A:A,A344,'OD 07-24'!E:E)</f>
        <v>2233181.5079999999</v>
      </c>
      <c r="H344" s="14">
        <f t="shared" si="10"/>
        <v>744393.83599999966</v>
      </c>
      <c r="I344" s="14">
        <f t="shared" si="11"/>
        <v>744393.83599999966</v>
      </c>
      <c r="J344" s="8" t="s">
        <v>210</v>
      </c>
      <c r="K344" s="8" t="s">
        <v>508</v>
      </c>
      <c r="M344" s="512"/>
      <c r="N344" s="315"/>
    </row>
    <row r="345" spans="1:14" s="9" customFormat="1" ht="11.25" customHeight="1" x14ac:dyDescent="0.2">
      <c r="A345" s="10">
        <v>71350000</v>
      </c>
      <c r="B345" s="10" t="s">
        <v>209</v>
      </c>
      <c r="C345" s="11">
        <v>0</v>
      </c>
      <c r="D345" s="11">
        <v>5109884.3080000002</v>
      </c>
      <c r="E345" s="11">
        <v>0</v>
      </c>
      <c r="F345" s="13">
        <f>SUMIF('OD 07-24'!A:A,A345,'OD 07-24'!D:D)</f>
        <v>47052839.3288</v>
      </c>
      <c r="G345" s="13">
        <f>SUMIF('OD 07-24'!A:A,A345,'OD 07-24'!E:E)</f>
        <v>52094377.414800003</v>
      </c>
      <c r="H345" s="14">
        <f t="shared" si="10"/>
        <v>68346.22199999541</v>
      </c>
      <c r="I345" s="14">
        <f t="shared" si="11"/>
        <v>68346.22199999541</v>
      </c>
      <c r="J345" s="8" t="s">
        <v>210</v>
      </c>
      <c r="K345" s="8" t="s">
        <v>508</v>
      </c>
      <c r="M345" s="512"/>
      <c r="N345" s="315"/>
    </row>
    <row r="346" spans="1:14" s="9" customFormat="1" ht="11.25" customHeight="1" x14ac:dyDescent="0.2">
      <c r="A346" s="10">
        <v>73601000</v>
      </c>
      <c r="B346" s="10" t="s">
        <v>211</v>
      </c>
      <c r="C346" s="11">
        <v>0</v>
      </c>
      <c r="D346" s="11">
        <v>0</v>
      </c>
      <c r="E346" s="11">
        <v>74991.596999999994</v>
      </c>
      <c r="F346" s="13">
        <f>SUMIF('OD 07-24'!A:A,A346,'OD 07-24'!D:D)</f>
        <v>0</v>
      </c>
      <c r="G346" s="13">
        <f>SUMIF('OD 07-24'!A:A,A346,'OD 07-24'!E:E)</f>
        <v>0</v>
      </c>
      <c r="H346" s="14">
        <f t="shared" si="10"/>
        <v>-74991.596999999994</v>
      </c>
      <c r="I346" s="14">
        <f t="shared" si="11"/>
        <v>-74991.596999999994</v>
      </c>
      <c r="J346" s="8" t="s">
        <v>214</v>
      </c>
      <c r="K346" s="8" t="s">
        <v>506</v>
      </c>
      <c r="M346" s="512"/>
      <c r="N346" s="315"/>
    </row>
    <row r="347" spans="1:14" s="9" customFormat="1" ht="11.25" customHeight="1" x14ac:dyDescent="0.2">
      <c r="A347" s="10">
        <v>73602000</v>
      </c>
      <c r="B347" s="10" t="s">
        <v>8975</v>
      </c>
      <c r="C347" s="11">
        <v>0</v>
      </c>
      <c r="D347" s="11">
        <v>0</v>
      </c>
      <c r="E347" s="11">
        <v>180.00400000000002</v>
      </c>
      <c r="F347" s="13">
        <f>SUMIF('OD 07-24'!A:A,A347,'OD 07-24'!D:D)</f>
        <v>0</v>
      </c>
      <c r="G347" s="13">
        <f>SUMIF('OD 07-24'!A:A,A347,'OD 07-24'!E:E)</f>
        <v>0</v>
      </c>
      <c r="H347" s="14">
        <f t="shared" si="10"/>
        <v>-180.00400000000002</v>
      </c>
      <c r="I347" s="14">
        <f t="shared" si="11"/>
        <v>-180.00400000000002</v>
      </c>
      <c r="J347" s="8" t="s">
        <v>214</v>
      </c>
      <c r="K347" s="8" t="s">
        <v>506</v>
      </c>
      <c r="M347" s="512"/>
      <c r="N347" s="315"/>
    </row>
    <row r="348" spans="1:14" s="9" customFormat="1" ht="11.25" customHeight="1" x14ac:dyDescent="0.2">
      <c r="A348" s="10">
        <v>73900000</v>
      </c>
      <c r="B348" s="10" t="s">
        <v>213</v>
      </c>
      <c r="C348" s="11">
        <v>0</v>
      </c>
      <c r="D348" s="11">
        <v>0</v>
      </c>
      <c r="E348" s="11">
        <v>0</v>
      </c>
      <c r="F348" s="13">
        <f>SUMIF('OD 07-24'!A:A,A348,'OD 07-24'!D:D)</f>
        <v>425930.8</v>
      </c>
      <c r="G348" s="13">
        <f>SUMIF('OD 07-24'!A:A,A348,'OD 07-24'!E:E)</f>
        <v>567907.73400000005</v>
      </c>
      <c r="H348" s="14">
        <f>+D348+F348-E348-G348</f>
        <v>-141976.93400000007</v>
      </c>
      <c r="I348" s="14">
        <f>+H348+C348</f>
        <v>-141976.93400000007</v>
      </c>
      <c r="J348" s="8" t="s">
        <v>214</v>
      </c>
      <c r="K348" s="8" t="s">
        <v>506</v>
      </c>
      <c r="M348" s="512"/>
      <c r="N348" s="315"/>
    </row>
    <row r="349" spans="1:14" s="9" customFormat="1" ht="11.25" customHeight="1" x14ac:dyDescent="0.2">
      <c r="A349" s="10">
        <v>74100000</v>
      </c>
      <c r="B349" s="10" t="s">
        <v>8980</v>
      </c>
      <c r="C349" s="11">
        <v>0</v>
      </c>
      <c r="D349" s="11">
        <v>0</v>
      </c>
      <c r="E349" s="11">
        <v>5128.4340000000002</v>
      </c>
      <c r="F349" s="13">
        <f>SUMIF('OD 07-24'!A:A,A349,'OD 07-24'!D:D)</f>
        <v>0</v>
      </c>
      <c r="G349" s="13">
        <f>SUMIF('OD 07-24'!A:A,A349,'OD 07-24'!E:E)</f>
        <v>0</v>
      </c>
      <c r="H349" s="14">
        <f>+D349+F349-E349-G349</f>
        <v>-5128.4340000000002</v>
      </c>
      <c r="I349" s="14">
        <f>+H349+C349</f>
        <v>-5128.4340000000002</v>
      </c>
      <c r="J349" s="8" t="s">
        <v>214</v>
      </c>
      <c r="K349" s="8" t="s">
        <v>506</v>
      </c>
      <c r="M349" s="512"/>
      <c r="N349" s="315"/>
    </row>
    <row r="350" spans="1:14" s="9" customFormat="1" ht="11.25" customHeight="1" x14ac:dyDescent="0.2">
      <c r="A350" s="10">
        <v>75000000</v>
      </c>
      <c r="B350" s="10" t="s">
        <v>7575</v>
      </c>
      <c r="C350" s="11">
        <v>0</v>
      </c>
      <c r="D350" s="11">
        <v>0</v>
      </c>
      <c r="E350" s="11">
        <v>1043.3700000000001</v>
      </c>
      <c r="F350" s="13">
        <f>SUMIF('OD 07-24'!A:A,A350,'OD 07-24'!D:D)</f>
        <v>0</v>
      </c>
      <c r="G350" s="13">
        <f>SUMIF('OD 07-24'!A:A,A350,'OD 07-24'!E:E)</f>
        <v>0</v>
      </c>
      <c r="H350" s="14">
        <f t="shared" si="10"/>
        <v>-1043.3700000000001</v>
      </c>
      <c r="I350" s="14">
        <f t="shared" si="11"/>
        <v>-1043.3700000000001</v>
      </c>
      <c r="J350" s="8" t="s">
        <v>195</v>
      </c>
      <c r="K350" s="8" t="s">
        <v>517</v>
      </c>
      <c r="M350" s="512"/>
      <c r="N350" s="315"/>
    </row>
    <row r="351" spans="1:14" s="9" customFormat="1" ht="11.25" customHeight="1" x14ac:dyDescent="0.2">
      <c r="A351" s="10">
        <v>75600000</v>
      </c>
      <c r="B351" s="10" t="s">
        <v>215</v>
      </c>
      <c r="C351" s="11">
        <v>0</v>
      </c>
      <c r="D351" s="11">
        <v>1E-3</v>
      </c>
      <c r="E351" s="11">
        <v>11478.505000000001</v>
      </c>
      <c r="F351" s="13">
        <f>SUMIF('OD 07-24'!A:A,A351,'OD 07-24'!D:D)</f>
        <v>23037.312999999998</v>
      </c>
      <c r="G351" s="13">
        <f>SUMIF('OD 07-24'!A:A,A351,'OD 07-24'!E:E)</f>
        <v>23052.332999999999</v>
      </c>
      <c r="H351" s="14">
        <f t="shared" si="10"/>
        <v>-11493.524000000001</v>
      </c>
      <c r="I351" s="14">
        <f t="shared" si="11"/>
        <v>-11493.524000000001</v>
      </c>
      <c r="J351" s="8" t="s">
        <v>195</v>
      </c>
      <c r="K351" s="8" t="s">
        <v>517</v>
      </c>
      <c r="M351" s="512"/>
      <c r="N351" s="315"/>
    </row>
    <row r="352" spans="1:14" s="9" customFormat="1" ht="11.25" customHeight="1" x14ac:dyDescent="0.2">
      <c r="A352" s="10">
        <v>77000000</v>
      </c>
      <c r="B352" s="10" t="s">
        <v>216</v>
      </c>
      <c r="C352" s="11">
        <v>0</v>
      </c>
      <c r="D352" s="11">
        <v>0</v>
      </c>
      <c r="E352" s="11">
        <v>1</v>
      </c>
      <c r="F352" s="13">
        <f>SUMIF('OD 07-24'!A:A,A352,'OD 07-24'!D:D)</f>
        <v>0</v>
      </c>
      <c r="G352" s="13">
        <f>SUMIF('OD 07-24'!A:A,A352,'OD 07-24'!E:E)</f>
        <v>0</v>
      </c>
      <c r="H352" s="14">
        <f t="shared" si="10"/>
        <v>-1</v>
      </c>
      <c r="I352" s="14">
        <f t="shared" si="11"/>
        <v>-1</v>
      </c>
      <c r="J352" s="8" t="s">
        <v>212</v>
      </c>
      <c r="K352" s="8" t="s">
        <v>518</v>
      </c>
      <c r="M352" s="339"/>
      <c r="N352" s="315"/>
    </row>
    <row r="353" spans="1:14" s="9" customFormat="1" ht="11.25" customHeight="1" x14ac:dyDescent="0.2">
      <c r="A353" s="10">
        <v>78000000</v>
      </c>
      <c r="B353" s="10" t="s">
        <v>7576</v>
      </c>
      <c r="C353" s="11">
        <v>0</v>
      </c>
      <c r="D353" s="11">
        <v>0</v>
      </c>
      <c r="E353" s="11">
        <v>59797.479000000007</v>
      </c>
      <c r="F353" s="13">
        <f>SUMIF('OD 07-24'!A:A,A353,'OD 07-24'!D:D)</f>
        <v>0</v>
      </c>
      <c r="G353" s="13">
        <f>SUMIF('OD 07-24'!A:A,A353,'OD 07-24'!E:E)</f>
        <v>0</v>
      </c>
      <c r="H353" s="14">
        <f t="shared" si="10"/>
        <v>-59797.479000000007</v>
      </c>
      <c r="I353" s="14">
        <f t="shared" si="11"/>
        <v>-59797.479000000007</v>
      </c>
      <c r="J353" s="8" t="s">
        <v>7715</v>
      </c>
      <c r="K353" s="8" t="s">
        <v>7716</v>
      </c>
      <c r="M353" s="339"/>
      <c r="N353" s="315"/>
    </row>
    <row r="354" spans="1:14" s="9" customFormat="1" ht="11.25" customHeight="1" x14ac:dyDescent="0.2">
      <c r="A354" s="10">
        <v>79999999</v>
      </c>
      <c r="B354" s="10" t="s">
        <v>383</v>
      </c>
      <c r="C354" s="11">
        <v>-2.6040943339467049E-4</v>
      </c>
      <c r="D354" s="11">
        <v>0</v>
      </c>
      <c r="E354" s="11">
        <v>0</v>
      </c>
      <c r="F354" s="13">
        <f>SUMIF('OD 07-24'!A:A,A354,'OD 07-24'!D:D)</f>
        <v>0</v>
      </c>
      <c r="G354" s="13">
        <f>SUMIF('OD 07-24'!A:A,A354,'OD 07-24'!E:E)</f>
        <v>0</v>
      </c>
      <c r="H354" s="14">
        <f t="shared" si="10"/>
        <v>0</v>
      </c>
      <c r="I354" s="14">
        <f t="shared" si="11"/>
        <v>-2.6040943339467049E-4</v>
      </c>
      <c r="J354" s="8"/>
      <c r="K354" s="8"/>
      <c r="M354" s="339"/>
      <c r="N354" s="315"/>
    </row>
    <row r="355" spans="1:14" ht="15" customHeight="1" x14ac:dyDescent="0.25">
      <c r="C355" s="11">
        <f>SUM(C3:C354)</f>
        <v>1.4514662325382233E-6</v>
      </c>
      <c r="D355" s="11">
        <f>SUM(D3:D354)</f>
        <v>306124712.30118626</v>
      </c>
      <c r="E355" s="11">
        <f t="shared" ref="E355:I355" si="12">SUM(E3:E354)</f>
        <v>306124712.30118591</v>
      </c>
      <c r="F355" s="11">
        <f t="shared" si="12"/>
        <v>351069173.53370005</v>
      </c>
      <c r="G355" s="11">
        <f t="shared" si="12"/>
        <v>351069173.53370011</v>
      </c>
      <c r="H355" s="11">
        <f t="shared" si="12"/>
        <v>2.2468157112598419E-8</v>
      </c>
      <c r="I355" s="11">
        <f t="shared" si="12"/>
        <v>1.4785910025238991E-6</v>
      </c>
      <c r="L355" s="9"/>
      <c r="M355" s="339"/>
      <c r="N355" s="315"/>
    </row>
    <row r="356" spans="1:14" x14ac:dyDescent="0.25">
      <c r="L356" s="9"/>
      <c r="M356" s="339"/>
    </row>
    <row r="357" spans="1:14" x14ac:dyDescent="0.25">
      <c r="M357" s="339"/>
    </row>
  </sheetData>
  <autoFilter ref="A2:K355" xr:uid="{00000000-0009-0000-0000-00001B000000}"/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361"/>
  <sheetViews>
    <sheetView workbookViewId="0">
      <pane ySplit="2" topLeftCell="A49" activePane="bottomLeft" state="frozen"/>
      <selection activeCell="A2" sqref="A2"/>
      <selection pane="bottomLeft" activeCell="G79" sqref="G79"/>
    </sheetView>
  </sheetViews>
  <sheetFormatPr baseColWidth="10" defaultRowHeight="15" x14ac:dyDescent="0.25"/>
  <cols>
    <col min="1" max="1" width="11.5703125" customWidth="1"/>
    <col min="2" max="2" width="23.7109375" style="302" bestFit="1" customWidth="1"/>
    <col min="3" max="3" width="14.42578125" style="305" bestFit="1" customWidth="1"/>
    <col min="4" max="4" width="16.7109375" style="305" customWidth="1"/>
    <col min="5" max="5" width="16.85546875" style="305" customWidth="1"/>
    <col min="6" max="6" width="15.42578125" style="305" customWidth="1"/>
    <col min="7" max="7" width="14.42578125" style="305" bestFit="1" customWidth="1"/>
    <col min="8" max="9" width="12.7109375" style="305" bestFit="1" customWidth="1"/>
    <col min="10" max="10" width="25.5703125" style="302" customWidth="1"/>
    <col min="11" max="11" width="14.42578125" style="302" customWidth="1"/>
    <col min="12" max="12" width="11.42578125" style="302"/>
    <col min="13" max="13" width="14.140625" style="302" bestFit="1" customWidth="1"/>
    <col min="14" max="16384" width="11.42578125" style="302"/>
  </cols>
  <sheetData>
    <row r="2" spans="1:14" ht="11.25" x14ac:dyDescent="0.2">
      <c r="A2" s="6" t="s">
        <v>1</v>
      </c>
      <c r="B2" s="6" t="s">
        <v>0</v>
      </c>
      <c r="C2" s="7" t="s">
        <v>5</v>
      </c>
      <c r="D2" s="7" t="s">
        <v>2</v>
      </c>
      <c r="E2" s="7" t="s">
        <v>260</v>
      </c>
      <c r="F2" s="7" t="s">
        <v>218</v>
      </c>
      <c r="G2" s="7" t="s">
        <v>219</v>
      </c>
      <c r="H2" s="7" t="s">
        <v>6</v>
      </c>
      <c r="I2" s="7" t="s">
        <v>217</v>
      </c>
      <c r="J2" s="6" t="s">
        <v>412</v>
      </c>
    </row>
    <row r="3" spans="1:14" s="9" customFormat="1" ht="11.25" customHeight="1" x14ac:dyDescent="0.2">
      <c r="A3" s="10">
        <v>10100000</v>
      </c>
      <c r="B3" s="10" t="s">
        <v>7</v>
      </c>
      <c r="C3" s="11">
        <v>-13500000</v>
      </c>
      <c r="D3" s="11">
        <v>0</v>
      </c>
      <c r="E3" s="11">
        <v>0</v>
      </c>
      <c r="F3" s="13">
        <f>SUMIF('OD 08-24'!A:A,A3,'OD 08-24'!D:D)</f>
        <v>0</v>
      </c>
      <c r="G3" s="13">
        <f>SUMIF('OD 08-24'!A:A,A3,'OD 08-24'!E:E)</f>
        <v>0</v>
      </c>
      <c r="H3" s="14">
        <f t="shared" ref="H3:H66" si="0">+D3+F3-E3-G3</f>
        <v>0</v>
      </c>
      <c r="I3" s="14">
        <f t="shared" ref="I3:I66" si="1">+H3+C3</f>
        <v>-13500000</v>
      </c>
      <c r="J3" s="8" t="s">
        <v>8</v>
      </c>
      <c r="K3" s="8"/>
      <c r="M3" s="339"/>
      <c r="N3" s="315"/>
    </row>
    <row r="4" spans="1:14" s="9" customFormat="1" ht="11.25" customHeight="1" x14ac:dyDescent="0.2">
      <c r="A4" s="10">
        <v>11101000</v>
      </c>
      <c r="B4" s="10" t="s">
        <v>9</v>
      </c>
      <c r="C4" s="11">
        <v>-1200000</v>
      </c>
      <c r="D4" s="11">
        <v>0</v>
      </c>
      <c r="E4" s="11">
        <v>0</v>
      </c>
      <c r="F4" s="13">
        <f>SUMIF('OD 08-24'!A:A,A4,'OD 08-24'!D:D)</f>
        <v>0</v>
      </c>
      <c r="G4" s="13">
        <f>SUMIF('OD 08-24'!A:A,A4,'OD 08-24'!E:E)</f>
        <v>0</v>
      </c>
      <c r="H4" s="14">
        <f t="shared" si="0"/>
        <v>0</v>
      </c>
      <c r="I4" s="14">
        <f t="shared" si="1"/>
        <v>-1200000</v>
      </c>
      <c r="J4" s="8" t="s">
        <v>10</v>
      </c>
      <c r="K4" s="8"/>
      <c r="M4" s="339"/>
      <c r="N4" s="315"/>
    </row>
    <row r="5" spans="1:14" s="9" customFormat="1" ht="11.25" customHeight="1" x14ac:dyDescent="0.2">
      <c r="A5" s="10">
        <v>12100000</v>
      </c>
      <c r="B5" s="10" t="s">
        <v>11</v>
      </c>
      <c r="C5" s="11">
        <v>-22014748.230401009</v>
      </c>
      <c r="D5" s="11">
        <v>0</v>
      </c>
      <c r="E5" s="11">
        <v>0</v>
      </c>
      <c r="F5" s="13">
        <f>SUMIF('OD 08-24'!A:A,A5,'OD 08-24'!D:D)</f>
        <v>0</v>
      </c>
      <c r="G5" s="13">
        <f>SUMIF('OD 08-24'!A:A,A5,'OD 08-24'!E:E)</f>
        <v>0</v>
      </c>
      <c r="H5" s="14">
        <f t="shared" si="0"/>
        <v>0</v>
      </c>
      <c r="I5" s="14">
        <f t="shared" si="1"/>
        <v>-22014748.230401009</v>
      </c>
      <c r="J5" s="8" t="s">
        <v>12</v>
      </c>
      <c r="K5" s="8"/>
      <c r="M5" s="339"/>
      <c r="N5" s="315"/>
    </row>
    <row r="6" spans="1:14" s="9" customFormat="1" ht="11.25" customHeight="1" x14ac:dyDescent="0.2">
      <c r="A6" s="10">
        <v>12200000</v>
      </c>
      <c r="B6" s="10" t="s">
        <v>272</v>
      </c>
      <c r="C6" s="11">
        <v>0</v>
      </c>
      <c r="D6" s="11">
        <v>0</v>
      </c>
      <c r="E6" s="11">
        <v>0</v>
      </c>
      <c r="F6" s="13">
        <f>SUMIF('OD 08-24'!A:A,A6,'OD 08-24'!D:D)</f>
        <v>0</v>
      </c>
      <c r="G6" s="13">
        <f>SUMIF('OD 08-24'!A:A,A6,'OD 08-24'!E:E)</f>
        <v>0</v>
      </c>
      <c r="H6" s="14">
        <f t="shared" si="0"/>
        <v>0</v>
      </c>
      <c r="I6" s="14">
        <f t="shared" si="1"/>
        <v>0</v>
      </c>
      <c r="J6" s="8"/>
      <c r="K6" s="8"/>
      <c r="M6" s="339"/>
      <c r="N6" s="315"/>
    </row>
    <row r="7" spans="1:14" s="9" customFormat="1" ht="11.25" customHeight="1" x14ac:dyDescent="0.2">
      <c r="A7" s="10">
        <v>12800000</v>
      </c>
      <c r="B7" s="10" t="s">
        <v>13</v>
      </c>
      <c r="C7" s="11">
        <v>3126298.01</v>
      </c>
      <c r="D7" s="11">
        <v>0</v>
      </c>
      <c r="E7" s="11">
        <v>0</v>
      </c>
      <c r="F7" s="13">
        <f>SUMIF('OD 08-24'!A:A,A7,'OD 08-24'!D:D)</f>
        <v>0</v>
      </c>
      <c r="G7" s="13">
        <f>SUMIF('OD 08-24'!A:A,A7,'OD 08-24'!E:E)</f>
        <v>0</v>
      </c>
      <c r="H7" s="14">
        <f t="shared" si="0"/>
        <v>0</v>
      </c>
      <c r="I7" s="14">
        <f t="shared" si="1"/>
        <v>3126298.01</v>
      </c>
      <c r="J7" s="8" t="s">
        <v>14</v>
      </c>
      <c r="K7" s="8"/>
      <c r="M7" s="339"/>
      <c r="N7" s="315"/>
    </row>
    <row r="8" spans="1:14" s="9" customFormat="1" ht="11.25" customHeight="1" x14ac:dyDescent="0.2">
      <c r="A8" s="10">
        <v>13000000</v>
      </c>
      <c r="B8" s="10" t="s">
        <v>273</v>
      </c>
      <c r="C8" s="11">
        <v>0</v>
      </c>
      <c r="D8" s="11">
        <v>0</v>
      </c>
      <c r="E8" s="11">
        <v>0</v>
      </c>
      <c r="F8" s="13">
        <f>SUMIF('OD 08-24'!A:A,A8,'OD 08-24'!D:D)</f>
        <v>0</v>
      </c>
      <c r="G8" s="13">
        <f>SUMIF('OD 08-24'!A:A,A8,'OD 08-24'!E:E)</f>
        <v>0</v>
      </c>
      <c r="H8" s="14">
        <f t="shared" si="0"/>
        <v>0</v>
      </c>
      <c r="I8" s="14">
        <f t="shared" si="1"/>
        <v>0</v>
      </c>
      <c r="J8" s="8"/>
      <c r="K8" s="8"/>
      <c r="M8" s="339"/>
      <c r="N8" s="315"/>
    </row>
    <row r="9" spans="1:14" s="9" customFormat="1" ht="11.25" customHeight="1" x14ac:dyDescent="0.2">
      <c r="A9" s="10">
        <v>14500000</v>
      </c>
      <c r="B9" s="10" t="s">
        <v>15</v>
      </c>
      <c r="C9" s="11">
        <v>-3479108.84</v>
      </c>
      <c r="D9" s="11">
        <v>0</v>
      </c>
      <c r="E9" s="11">
        <v>0</v>
      </c>
      <c r="F9" s="13">
        <f>SUMIF('OD 08-24'!A:A,A9,'OD 08-24'!D:D)</f>
        <v>0</v>
      </c>
      <c r="G9" s="13">
        <f>SUMIF('OD 08-24'!A:A,A9,'OD 08-24'!E:E)</f>
        <v>0</v>
      </c>
      <c r="H9" s="14">
        <f t="shared" si="0"/>
        <v>0</v>
      </c>
      <c r="I9" s="14">
        <f t="shared" si="1"/>
        <v>-3479108.84</v>
      </c>
      <c r="J9" s="8" t="s">
        <v>16</v>
      </c>
      <c r="K9" s="8"/>
      <c r="M9" s="339"/>
      <c r="N9" s="315"/>
    </row>
    <row r="10" spans="1:14" s="9" customFormat="1" ht="11.25" customHeight="1" x14ac:dyDescent="0.2">
      <c r="A10" s="10">
        <v>14508000</v>
      </c>
      <c r="B10" s="10" t="s">
        <v>17</v>
      </c>
      <c r="C10" s="11">
        <v>2662861.7680000002</v>
      </c>
      <c r="D10" s="11">
        <v>0</v>
      </c>
      <c r="E10" s="11">
        <v>0</v>
      </c>
      <c r="F10" s="13">
        <f>SUMIF('OD 08-24'!A:A,A10,'OD 08-24'!D:D)</f>
        <v>730167.08700000006</v>
      </c>
      <c r="G10" s="13">
        <f>SUMIF('OD 08-24'!A:A,A10,'OD 08-24'!E:E)</f>
        <v>567907.73400000005</v>
      </c>
      <c r="H10" s="14">
        <f t="shared" si="0"/>
        <v>162259.353</v>
      </c>
      <c r="I10" s="14">
        <f t="shared" si="1"/>
        <v>2825121.1210000003</v>
      </c>
      <c r="J10" s="8" t="s">
        <v>18</v>
      </c>
      <c r="K10" s="8"/>
      <c r="M10" s="339"/>
      <c r="N10" s="315"/>
    </row>
    <row r="11" spans="1:14" s="9" customFormat="1" ht="11.25" customHeight="1" x14ac:dyDescent="0.2">
      <c r="A11" s="10">
        <v>15100000</v>
      </c>
      <c r="B11" s="10" t="s">
        <v>19</v>
      </c>
      <c r="C11" s="11">
        <v>-231535.016</v>
      </c>
      <c r="D11" s="11">
        <v>0</v>
      </c>
      <c r="E11" s="11">
        <v>0</v>
      </c>
      <c r="F11" s="13">
        <f>SUMIF('OD 08-24'!A:A,A11,'OD 08-24'!D:D)</f>
        <v>60000</v>
      </c>
      <c r="G11" s="13">
        <f>SUMIF('OD 08-24'!A:A,A11,'OD 08-24'!E:E)</f>
        <v>120000</v>
      </c>
      <c r="H11" s="14">
        <f t="shared" si="0"/>
        <v>-60000</v>
      </c>
      <c r="I11" s="14">
        <f t="shared" si="1"/>
        <v>-291535.016</v>
      </c>
      <c r="J11" s="8" t="s">
        <v>20</v>
      </c>
      <c r="K11" s="8"/>
      <c r="M11" s="339"/>
      <c r="N11" s="315"/>
    </row>
    <row r="12" spans="1:14" s="9" customFormat="1" ht="11.25" customHeight="1" x14ac:dyDescent="0.2">
      <c r="A12" s="10">
        <v>16210250</v>
      </c>
      <c r="B12" s="10" t="s">
        <v>274</v>
      </c>
      <c r="C12" s="11">
        <v>0</v>
      </c>
      <c r="D12" s="11">
        <v>0</v>
      </c>
      <c r="E12" s="11">
        <v>0</v>
      </c>
      <c r="F12" s="13">
        <f>SUMIF('OD 08-24'!A:A,A12,'OD 08-24'!D:D)</f>
        <v>0</v>
      </c>
      <c r="G12" s="13">
        <f>SUMIF('OD 08-24'!A:A,A12,'OD 08-24'!E:E)</f>
        <v>0</v>
      </c>
      <c r="H12" s="14">
        <f t="shared" si="0"/>
        <v>0</v>
      </c>
      <c r="I12" s="14">
        <f t="shared" si="1"/>
        <v>0</v>
      </c>
      <c r="J12" s="8"/>
      <c r="K12" s="8"/>
      <c r="M12" s="339"/>
      <c r="N12" s="315"/>
    </row>
    <row r="13" spans="1:14" s="9" customFormat="1" ht="11.25" customHeight="1" x14ac:dyDescent="0.2">
      <c r="A13" s="10">
        <v>16210500</v>
      </c>
      <c r="B13" s="10" t="s">
        <v>21</v>
      </c>
      <c r="C13" s="11">
        <v>-1416666.6629999988</v>
      </c>
      <c r="D13" s="11">
        <v>0</v>
      </c>
      <c r="E13" s="11">
        <v>0</v>
      </c>
      <c r="F13" s="13">
        <f>SUMIF('OD 08-24'!A:A,A13,'OD 08-24'!D:D)</f>
        <v>0</v>
      </c>
      <c r="G13" s="13">
        <f>SUMIF('OD 08-24'!A:A,A13,'OD 08-24'!E:E)</f>
        <v>0</v>
      </c>
      <c r="H13" s="14">
        <f t="shared" si="0"/>
        <v>0</v>
      </c>
      <c r="I13" s="14">
        <f t="shared" si="1"/>
        <v>-1416666.6629999988</v>
      </c>
      <c r="J13" s="8" t="s">
        <v>22</v>
      </c>
      <c r="K13" s="8"/>
      <c r="M13" s="339"/>
      <c r="N13" s="315"/>
    </row>
    <row r="14" spans="1:14" s="9" customFormat="1" ht="11.25" customHeight="1" x14ac:dyDescent="0.2">
      <c r="A14" s="10">
        <v>16210960</v>
      </c>
      <c r="B14" s="10" t="s">
        <v>275</v>
      </c>
      <c r="C14" s="11">
        <v>0</v>
      </c>
      <c r="D14" s="11">
        <v>0</v>
      </c>
      <c r="E14" s="11">
        <v>0</v>
      </c>
      <c r="F14" s="13">
        <f>SUMIF('OD 08-24'!A:A,A14,'OD 08-24'!D:D)</f>
        <v>0</v>
      </c>
      <c r="G14" s="13">
        <f>SUMIF('OD 08-24'!A:A,A14,'OD 08-24'!E:E)</f>
        <v>0</v>
      </c>
      <c r="H14" s="14">
        <f t="shared" si="0"/>
        <v>0</v>
      </c>
      <c r="I14" s="14">
        <f t="shared" si="1"/>
        <v>0</v>
      </c>
      <c r="J14" s="8"/>
      <c r="K14" s="8"/>
      <c r="M14" s="339"/>
      <c r="N14" s="315"/>
    </row>
    <row r="15" spans="1:14" s="9" customFormat="1" ht="11.25" customHeight="1" x14ac:dyDescent="0.2">
      <c r="A15" s="10">
        <v>16400000</v>
      </c>
      <c r="B15" s="10" t="s">
        <v>276</v>
      </c>
      <c r="C15" s="11">
        <v>-103582.68900000001</v>
      </c>
      <c r="D15" s="11">
        <v>115740.227</v>
      </c>
      <c r="E15" s="11">
        <v>460004.84700000007</v>
      </c>
      <c r="F15" s="13">
        <f>SUMIF('OD 08-24'!A:A,A15,'OD 08-24'!D:D)</f>
        <v>0</v>
      </c>
      <c r="G15" s="13">
        <f>SUMIF('OD 08-24'!A:A,A15,'OD 08-24'!E:E)</f>
        <v>0</v>
      </c>
      <c r="H15" s="14">
        <f t="shared" si="0"/>
        <v>-344264.62000000005</v>
      </c>
      <c r="I15" s="14">
        <f t="shared" si="1"/>
        <v>-447847.30900000007</v>
      </c>
      <c r="J15" s="8" t="s">
        <v>22</v>
      </c>
      <c r="K15" s="8"/>
      <c r="M15" s="339"/>
      <c r="N15" s="315"/>
    </row>
    <row r="16" spans="1:14" s="9" customFormat="1" ht="11.25" customHeight="1" x14ac:dyDescent="0.2">
      <c r="A16" s="10">
        <v>18800000</v>
      </c>
      <c r="B16" s="10" t="s">
        <v>23</v>
      </c>
      <c r="C16" s="11">
        <v>0</v>
      </c>
      <c r="D16" s="11">
        <v>0</v>
      </c>
      <c r="E16" s="11">
        <v>0</v>
      </c>
      <c r="F16" s="13">
        <f>SUMIF('OD 08-24'!A:A,A16,'OD 08-24'!D:D)</f>
        <v>0</v>
      </c>
      <c r="G16" s="13">
        <f>SUMIF('OD 08-24'!A:A,A16,'OD 08-24'!E:E)</f>
        <v>0</v>
      </c>
      <c r="H16" s="14">
        <f t="shared" si="0"/>
        <v>0</v>
      </c>
      <c r="I16" s="14">
        <f t="shared" si="1"/>
        <v>0</v>
      </c>
      <c r="J16" s="8"/>
      <c r="K16" s="8"/>
      <c r="M16" s="339"/>
      <c r="N16" s="315"/>
    </row>
    <row r="17" spans="1:14" s="9" customFormat="1" ht="11.25" customHeight="1" x14ac:dyDescent="0.2">
      <c r="A17" s="10">
        <v>21100000</v>
      </c>
      <c r="B17" s="10" t="s">
        <v>277</v>
      </c>
      <c r="C17" s="11">
        <v>0</v>
      </c>
      <c r="D17" s="11">
        <v>0</v>
      </c>
      <c r="E17" s="11">
        <v>0</v>
      </c>
      <c r="F17" s="13">
        <f>SUMIF('OD 08-24'!A:A,A17,'OD 08-24'!D:D)</f>
        <v>0</v>
      </c>
      <c r="G17" s="13">
        <f>SUMIF('OD 08-24'!A:A,A17,'OD 08-24'!E:E)</f>
        <v>0</v>
      </c>
      <c r="H17" s="14">
        <f t="shared" si="0"/>
        <v>0</v>
      </c>
      <c r="I17" s="14">
        <f t="shared" si="1"/>
        <v>0</v>
      </c>
      <c r="J17" s="8"/>
      <c r="K17" s="8"/>
      <c r="M17" s="339"/>
      <c r="N17" s="315"/>
    </row>
    <row r="18" spans="1:14" s="9" customFormat="1" ht="11.25" customHeight="1" x14ac:dyDescent="0.2">
      <c r="A18" s="10">
        <v>21300000</v>
      </c>
      <c r="B18" s="10" t="s">
        <v>24</v>
      </c>
      <c r="C18" s="11">
        <v>93173.926999999996</v>
      </c>
      <c r="D18" s="11">
        <v>50287.78</v>
      </c>
      <c r="E18" s="11">
        <v>0</v>
      </c>
      <c r="F18" s="13">
        <f>SUMIF('OD 08-24'!A:A,A18,'OD 08-24'!D:D)</f>
        <v>0</v>
      </c>
      <c r="G18" s="13">
        <f>SUMIF('OD 08-24'!A:A,A18,'OD 08-24'!E:E)</f>
        <v>0</v>
      </c>
      <c r="H18" s="14">
        <f t="shared" si="0"/>
        <v>50287.78</v>
      </c>
      <c r="I18" s="14">
        <f t="shared" si="1"/>
        <v>143461.70699999999</v>
      </c>
      <c r="J18" s="8" t="s">
        <v>25</v>
      </c>
      <c r="K18" s="8"/>
      <c r="M18" s="339"/>
      <c r="N18" s="315"/>
    </row>
    <row r="19" spans="1:14" s="9" customFormat="1" ht="11.25" customHeight="1" x14ac:dyDescent="0.2">
      <c r="A19" s="10">
        <v>22000000</v>
      </c>
      <c r="B19" s="10" t="s">
        <v>278</v>
      </c>
      <c r="C19" s="11">
        <v>0</v>
      </c>
      <c r="D19" s="11">
        <v>0</v>
      </c>
      <c r="E19" s="11">
        <v>0</v>
      </c>
      <c r="F19" s="13">
        <f>SUMIF('OD 08-24'!A:A,A19,'OD 08-24'!D:D)</f>
        <v>0</v>
      </c>
      <c r="G19" s="13">
        <f>SUMIF('OD 08-24'!A:A,A19,'OD 08-24'!E:E)</f>
        <v>0</v>
      </c>
      <c r="H19" s="14">
        <f t="shared" si="0"/>
        <v>0</v>
      </c>
      <c r="I19" s="14">
        <f t="shared" si="1"/>
        <v>0</v>
      </c>
      <c r="J19" s="8"/>
      <c r="K19" s="8"/>
      <c r="M19" s="339"/>
      <c r="N19" s="315"/>
    </row>
    <row r="20" spans="1:14" s="9" customFormat="1" ht="11.25" customHeight="1" x14ac:dyDescent="0.2">
      <c r="A20" s="10">
        <v>22100000</v>
      </c>
      <c r="B20" s="10" t="s">
        <v>26</v>
      </c>
      <c r="C20" s="11">
        <v>1275724</v>
      </c>
      <c r="D20" s="11">
        <v>0</v>
      </c>
      <c r="E20" s="11">
        <v>0</v>
      </c>
      <c r="F20" s="13">
        <f>SUMIF('OD 08-24'!A:A,A20,'OD 08-24'!D:D)</f>
        <v>0</v>
      </c>
      <c r="G20" s="13">
        <f>SUMIF('OD 08-24'!A:A,A20,'OD 08-24'!E:E)</f>
        <v>0</v>
      </c>
      <c r="H20" s="14">
        <f t="shared" si="0"/>
        <v>0</v>
      </c>
      <c r="I20" s="14">
        <f t="shared" si="1"/>
        <v>1275724</v>
      </c>
      <c r="J20" s="8" t="s">
        <v>25</v>
      </c>
      <c r="K20" s="8"/>
      <c r="M20" s="339"/>
      <c r="N20" s="315"/>
    </row>
    <row r="21" spans="1:14" s="9" customFormat="1" ht="11.25" customHeight="1" x14ac:dyDescent="0.2">
      <c r="A21" s="10">
        <v>22160000</v>
      </c>
      <c r="B21" s="10" t="s">
        <v>27</v>
      </c>
      <c r="C21" s="11">
        <v>161921.53600000002</v>
      </c>
      <c r="D21" s="11">
        <v>0</v>
      </c>
      <c r="E21" s="11">
        <v>0</v>
      </c>
      <c r="F21" s="13">
        <f>SUMIF('OD 08-24'!A:A,A21,'OD 08-24'!D:D)</f>
        <v>0</v>
      </c>
      <c r="G21" s="13">
        <f>SUMIF('OD 08-24'!A:A,A21,'OD 08-24'!E:E)</f>
        <v>0</v>
      </c>
      <c r="H21" s="14">
        <f t="shared" si="0"/>
        <v>0</v>
      </c>
      <c r="I21" s="14">
        <f t="shared" si="1"/>
        <v>161921.53600000002</v>
      </c>
      <c r="J21" s="8" t="s">
        <v>25</v>
      </c>
      <c r="K21" s="8"/>
      <c r="M21" s="339"/>
      <c r="N21" s="315"/>
    </row>
    <row r="22" spans="1:14" s="9" customFormat="1" ht="11.25" customHeight="1" x14ac:dyDescent="0.2">
      <c r="A22" s="10">
        <v>22200000</v>
      </c>
      <c r="B22" s="10" t="s">
        <v>28</v>
      </c>
      <c r="C22" s="11">
        <v>9174898.748999998</v>
      </c>
      <c r="D22" s="11">
        <v>0</v>
      </c>
      <c r="E22" s="11">
        <v>0</v>
      </c>
      <c r="F22" s="13">
        <f>SUMIF('OD 08-24'!A:A,A22,'OD 08-24'!D:D)</f>
        <v>0</v>
      </c>
      <c r="G22" s="13">
        <f>SUMIF('OD 08-24'!A:A,A22,'OD 08-24'!E:E)</f>
        <v>0</v>
      </c>
      <c r="H22" s="14">
        <f t="shared" si="0"/>
        <v>0</v>
      </c>
      <c r="I22" s="14">
        <f t="shared" si="1"/>
        <v>9174898.748999998</v>
      </c>
      <c r="J22" s="8" t="s">
        <v>25</v>
      </c>
      <c r="K22" s="8"/>
      <c r="M22" s="339"/>
      <c r="N22" s="315"/>
    </row>
    <row r="23" spans="1:14" s="9" customFormat="1" ht="11.25" customHeight="1" x14ac:dyDescent="0.2">
      <c r="A23" s="10">
        <v>22250000</v>
      </c>
      <c r="B23" s="10" t="s">
        <v>29</v>
      </c>
      <c r="C23" s="11">
        <v>696674.05799999996</v>
      </c>
      <c r="D23" s="11">
        <v>89586.76</v>
      </c>
      <c r="E23" s="11">
        <v>7695.5219999999999</v>
      </c>
      <c r="F23" s="13">
        <f>SUMIF('OD 08-24'!A:A,A23,'OD 08-24'!D:D)</f>
        <v>0</v>
      </c>
      <c r="G23" s="13">
        <f>SUMIF('OD 08-24'!A:A,A23,'OD 08-24'!E:E)</f>
        <v>0</v>
      </c>
      <c r="H23" s="14">
        <f t="shared" si="0"/>
        <v>81891.237999999998</v>
      </c>
      <c r="I23" s="14">
        <f t="shared" si="1"/>
        <v>778565.29599999997</v>
      </c>
      <c r="J23" s="8" t="s">
        <v>25</v>
      </c>
      <c r="K23" s="8"/>
      <c r="M23" s="339"/>
      <c r="N23" s="315"/>
    </row>
    <row r="24" spans="1:14" s="9" customFormat="1" ht="11.25" customHeight="1" x14ac:dyDescent="0.2">
      <c r="A24" s="10">
        <v>22300000</v>
      </c>
      <c r="B24" s="10" t="s">
        <v>30</v>
      </c>
      <c r="C24" s="11">
        <v>73570.611000000004</v>
      </c>
      <c r="D24" s="11">
        <v>26392</v>
      </c>
      <c r="E24" s="11">
        <v>0</v>
      </c>
      <c r="F24" s="13">
        <f>SUMIF('OD 08-24'!A:A,A24,'OD 08-24'!D:D)</f>
        <v>0</v>
      </c>
      <c r="G24" s="13">
        <f>SUMIF('OD 08-24'!A:A,A24,'OD 08-24'!E:E)</f>
        <v>0</v>
      </c>
      <c r="H24" s="14">
        <f t="shared" si="0"/>
        <v>26392</v>
      </c>
      <c r="I24" s="14">
        <f t="shared" si="1"/>
        <v>99962.611000000004</v>
      </c>
      <c r="J24" s="8" t="s">
        <v>25</v>
      </c>
      <c r="K24" s="8"/>
      <c r="M24" s="339"/>
      <c r="N24" s="315"/>
    </row>
    <row r="25" spans="1:14" s="9" customFormat="1" ht="11.25" customHeight="1" x14ac:dyDescent="0.2">
      <c r="A25" s="10">
        <v>22310000</v>
      </c>
      <c r="B25" s="10" t="s">
        <v>31</v>
      </c>
      <c r="C25" s="11">
        <v>0</v>
      </c>
      <c r="D25" s="11">
        <v>27986.973999999998</v>
      </c>
      <c r="E25" s="11">
        <v>0</v>
      </c>
      <c r="F25" s="13">
        <f>SUMIF('OD 08-24'!A:A,A25,'OD 08-24'!D:D)</f>
        <v>0</v>
      </c>
      <c r="G25" s="13">
        <f>SUMIF('OD 08-24'!A:A,A25,'OD 08-24'!E:E)</f>
        <v>0</v>
      </c>
      <c r="H25" s="14">
        <f t="shared" si="0"/>
        <v>27986.973999999998</v>
      </c>
      <c r="I25" s="14">
        <f t="shared" si="1"/>
        <v>27986.973999999998</v>
      </c>
      <c r="J25" s="8" t="s">
        <v>25</v>
      </c>
      <c r="K25" s="8"/>
      <c r="M25" s="339"/>
      <c r="N25" s="315"/>
    </row>
    <row r="26" spans="1:14" s="9" customFormat="1" ht="11.25" customHeight="1" x14ac:dyDescent="0.2">
      <c r="A26" s="10">
        <v>22340000</v>
      </c>
      <c r="B26" s="10" t="s">
        <v>32</v>
      </c>
      <c r="C26" s="11">
        <v>24676096.882049002</v>
      </c>
      <c r="D26" s="11">
        <v>591740.45050000004</v>
      </c>
      <c r="E26" s="11">
        <v>331367.50800000003</v>
      </c>
      <c r="F26" s="13">
        <f>SUMIF('OD 08-24'!A:A,A26,'OD 08-24'!D:D)</f>
        <v>0</v>
      </c>
      <c r="G26" s="13">
        <f>SUMIF('OD 08-24'!A:A,A26,'OD 08-24'!E:E)</f>
        <v>0</v>
      </c>
      <c r="H26" s="14">
        <f t="shared" si="0"/>
        <v>260372.9425</v>
      </c>
      <c r="I26" s="14">
        <f t="shared" si="1"/>
        <v>24936469.824549001</v>
      </c>
      <c r="J26" s="8" t="s">
        <v>25</v>
      </c>
      <c r="K26" s="8"/>
      <c r="M26" s="339"/>
      <c r="N26" s="315"/>
    </row>
    <row r="27" spans="1:14" s="9" customFormat="1" ht="11.25" customHeight="1" x14ac:dyDescent="0.2">
      <c r="A27" s="10">
        <v>22350000</v>
      </c>
      <c r="B27" s="10" t="s">
        <v>33</v>
      </c>
      <c r="C27" s="11">
        <v>651798.13449999969</v>
      </c>
      <c r="D27" s="11">
        <v>51520.542999999998</v>
      </c>
      <c r="E27" s="11">
        <v>0</v>
      </c>
      <c r="F27" s="13">
        <f>SUMIF('OD 08-24'!A:A,A27,'OD 08-24'!D:D)</f>
        <v>0</v>
      </c>
      <c r="G27" s="13">
        <f>SUMIF('OD 08-24'!A:A,A27,'OD 08-24'!E:E)</f>
        <v>0</v>
      </c>
      <c r="H27" s="14">
        <f t="shared" si="0"/>
        <v>51520.542999999998</v>
      </c>
      <c r="I27" s="14">
        <f t="shared" si="1"/>
        <v>703318.67749999964</v>
      </c>
      <c r="J27" s="8" t="s">
        <v>25</v>
      </c>
      <c r="K27" s="8"/>
      <c r="M27" s="339"/>
      <c r="N27" s="315"/>
    </row>
    <row r="28" spans="1:14" s="9" customFormat="1" ht="11.25" customHeight="1" x14ac:dyDescent="0.2">
      <c r="A28" s="10">
        <v>22370000</v>
      </c>
      <c r="B28" s="10" t="s">
        <v>34</v>
      </c>
      <c r="C28" s="11">
        <v>901593.20599999989</v>
      </c>
      <c r="D28" s="11">
        <v>8125.4519999999993</v>
      </c>
      <c r="E28" s="11">
        <v>8125.4519999999993</v>
      </c>
      <c r="F28" s="13">
        <f>SUMIF('OD 08-24'!A:A,A28,'OD 08-24'!D:D)</f>
        <v>0</v>
      </c>
      <c r="G28" s="13">
        <f>SUMIF('OD 08-24'!A:A,A28,'OD 08-24'!E:E)</f>
        <v>0</v>
      </c>
      <c r="H28" s="14">
        <f t="shared" si="0"/>
        <v>0</v>
      </c>
      <c r="I28" s="14">
        <f t="shared" si="1"/>
        <v>901593.20599999989</v>
      </c>
      <c r="J28" s="8" t="s">
        <v>25</v>
      </c>
      <c r="K28" s="8"/>
      <c r="M28" s="339"/>
      <c r="N28" s="315"/>
    </row>
    <row r="29" spans="1:14" s="9" customFormat="1" ht="11.25" customHeight="1" x14ac:dyDescent="0.2">
      <c r="A29" s="10">
        <v>22400000</v>
      </c>
      <c r="B29" s="10" t="s">
        <v>35</v>
      </c>
      <c r="C29" s="11">
        <v>1176312.6140000001</v>
      </c>
      <c r="D29" s="11">
        <v>108659.84</v>
      </c>
      <c r="E29" s="11">
        <v>96728.61</v>
      </c>
      <c r="F29" s="13">
        <f>SUMIF('OD 08-24'!A:A,A29,'OD 08-24'!D:D)</f>
        <v>0</v>
      </c>
      <c r="G29" s="13">
        <f>SUMIF('OD 08-24'!A:A,A29,'OD 08-24'!E:E)</f>
        <v>0</v>
      </c>
      <c r="H29" s="14">
        <f t="shared" si="0"/>
        <v>11931.229999999996</v>
      </c>
      <c r="I29" s="14">
        <f t="shared" si="1"/>
        <v>1188243.844</v>
      </c>
      <c r="J29" s="8" t="s">
        <v>25</v>
      </c>
      <c r="K29" s="8"/>
      <c r="M29" s="339"/>
      <c r="N29" s="315"/>
    </row>
    <row r="30" spans="1:14" s="9" customFormat="1" ht="11.25" customHeight="1" x14ac:dyDescent="0.2">
      <c r="A30" s="10">
        <v>22810000</v>
      </c>
      <c r="B30" s="10" t="s">
        <v>36</v>
      </c>
      <c r="C30" s="11">
        <v>0</v>
      </c>
      <c r="D30" s="11">
        <v>0</v>
      </c>
      <c r="E30" s="11">
        <v>0</v>
      </c>
      <c r="F30" s="13">
        <f>SUMIF('OD 08-24'!A:A,A30,'OD 08-24'!D:D)</f>
        <v>0</v>
      </c>
      <c r="G30" s="13">
        <f>SUMIF('OD 08-24'!A:A,A30,'OD 08-24'!E:E)</f>
        <v>0</v>
      </c>
      <c r="H30" s="14">
        <f t="shared" si="0"/>
        <v>0</v>
      </c>
      <c r="I30" s="14">
        <f t="shared" si="1"/>
        <v>0</v>
      </c>
      <c r="J30" s="8"/>
      <c r="K30" s="8"/>
      <c r="M30" s="339"/>
      <c r="N30" s="315"/>
    </row>
    <row r="31" spans="1:14" s="9" customFormat="1" ht="11.25" customHeight="1" x14ac:dyDescent="0.2">
      <c r="A31" s="10">
        <v>22820000</v>
      </c>
      <c r="B31" s="10" t="s">
        <v>37</v>
      </c>
      <c r="C31" s="11">
        <v>281171.26415</v>
      </c>
      <c r="D31" s="11">
        <v>46261.520000000004</v>
      </c>
      <c r="E31" s="11">
        <v>313.10000000000002</v>
      </c>
      <c r="F31" s="13">
        <f>SUMIF('OD 08-24'!A:A,A31,'OD 08-24'!D:D)</f>
        <v>0</v>
      </c>
      <c r="G31" s="13">
        <f>SUMIF('OD 08-24'!A:A,A31,'OD 08-24'!E:E)</f>
        <v>0</v>
      </c>
      <c r="H31" s="14">
        <f t="shared" si="0"/>
        <v>45948.420000000006</v>
      </c>
      <c r="I31" s="14">
        <f t="shared" si="1"/>
        <v>327119.68414999999</v>
      </c>
      <c r="J31" s="8" t="s">
        <v>25</v>
      </c>
      <c r="K31" s="8"/>
      <c r="M31" s="339"/>
      <c r="N31" s="315"/>
    </row>
    <row r="32" spans="1:14" s="9" customFormat="1" ht="11.25" customHeight="1" x14ac:dyDescent="0.2">
      <c r="A32" s="10">
        <v>22830000</v>
      </c>
      <c r="B32" s="10" t="s">
        <v>279</v>
      </c>
      <c r="C32" s="11">
        <v>243796.16828599994</v>
      </c>
      <c r="D32" s="11">
        <v>40957.968999999997</v>
      </c>
      <c r="E32" s="11">
        <v>0</v>
      </c>
      <c r="F32" s="13">
        <f>SUMIF('OD 08-24'!A:A,A32,'OD 08-24'!D:D)</f>
        <v>0</v>
      </c>
      <c r="G32" s="13">
        <f>SUMIF('OD 08-24'!A:A,A32,'OD 08-24'!E:E)</f>
        <v>0</v>
      </c>
      <c r="H32" s="14">
        <f t="shared" si="0"/>
        <v>40957.968999999997</v>
      </c>
      <c r="I32" s="14">
        <f t="shared" si="1"/>
        <v>284754.13728599995</v>
      </c>
      <c r="J32" s="8" t="s">
        <v>25</v>
      </c>
      <c r="K32" s="8"/>
      <c r="M32" s="339"/>
      <c r="N32" s="315"/>
    </row>
    <row r="33" spans="1:14" s="9" customFormat="1" ht="11.25" customHeight="1" x14ac:dyDescent="0.2">
      <c r="A33" s="10">
        <v>23000000</v>
      </c>
      <c r="B33" s="10" t="s">
        <v>280</v>
      </c>
      <c r="C33" s="11">
        <v>2.0000000404252205E-5</v>
      </c>
      <c r="D33" s="11">
        <v>0</v>
      </c>
      <c r="E33" s="11">
        <v>0</v>
      </c>
      <c r="F33" s="13">
        <f>SUMIF('OD 08-24'!A:A,A33,'OD 08-24'!D:D)</f>
        <v>0</v>
      </c>
      <c r="G33" s="13">
        <f>SUMIF('OD 08-24'!A:A,A33,'OD 08-24'!E:E)</f>
        <v>0</v>
      </c>
      <c r="H33" s="14">
        <f t="shared" si="0"/>
        <v>0</v>
      </c>
      <c r="I33" s="14">
        <f t="shared" si="1"/>
        <v>2.0000000404252205E-5</v>
      </c>
      <c r="J33" s="8"/>
      <c r="K33" s="8"/>
      <c r="M33" s="339"/>
      <c r="N33" s="315"/>
    </row>
    <row r="34" spans="1:14" s="9" customFormat="1" ht="11.25" customHeight="1" x14ac:dyDescent="0.2">
      <c r="A34" s="10">
        <v>23100000</v>
      </c>
      <c r="B34" s="10" t="s">
        <v>7399</v>
      </c>
      <c r="C34" s="11">
        <v>0</v>
      </c>
      <c r="D34" s="11">
        <v>17045.8</v>
      </c>
      <c r="E34" s="11">
        <v>0</v>
      </c>
      <c r="F34" s="13">
        <f>SUMIF('OD 08-24'!A:A,A34,'OD 08-24'!D:D)</f>
        <v>0</v>
      </c>
      <c r="G34" s="13">
        <f>SUMIF('OD 08-24'!A:A,A34,'OD 08-24'!E:E)</f>
        <v>0</v>
      </c>
      <c r="H34" s="14">
        <f t="shared" si="0"/>
        <v>17045.8</v>
      </c>
      <c r="I34" s="14">
        <f t="shared" si="1"/>
        <v>17045.8</v>
      </c>
      <c r="J34" s="8" t="s">
        <v>25</v>
      </c>
      <c r="K34" s="8"/>
      <c r="M34" s="339"/>
      <c r="N34" s="315"/>
    </row>
    <row r="35" spans="1:14" s="9" customFormat="1" ht="11.25" customHeight="1" x14ac:dyDescent="0.2">
      <c r="A35" s="10">
        <v>23200000</v>
      </c>
      <c r="B35" s="10" t="s">
        <v>38</v>
      </c>
      <c r="C35" s="11">
        <v>404721.24329749867</v>
      </c>
      <c r="D35" s="11">
        <v>161.595</v>
      </c>
      <c r="E35" s="11">
        <v>144.87899999999999</v>
      </c>
      <c r="F35" s="13">
        <f>SUMIF('OD 08-24'!A:A,A35,'OD 08-24'!D:D)</f>
        <v>0</v>
      </c>
      <c r="G35" s="13">
        <f>SUMIF('OD 08-24'!A:A,A35,'OD 08-24'!E:E)</f>
        <v>0</v>
      </c>
      <c r="H35" s="14">
        <f t="shared" si="0"/>
        <v>16.716000000000008</v>
      </c>
      <c r="I35" s="14">
        <f t="shared" si="1"/>
        <v>404737.95929749869</v>
      </c>
      <c r="J35" s="8" t="s">
        <v>25</v>
      </c>
      <c r="K35" s="8"/>
      <c r="M35" s="339"/>
      <c r="N35" s="315"/>
    </row>
    <row r="36" spans="1:14" s="9" customFormat="1" ht="11.25" customHeight="1" x14ac:dyDescent="0.2">
      <c r="A36" s="10">
        <v>23220000</v>
      </c>
      <c r="B36" s="10" t="s">
        <v>39</v>
      </c>
      <c r="C36" s="11">
        <v>0</v>
      </c>
      <c r="D36" s="11">
        <v>2394.076</v>
      </c>
      <c r="E36" s="11">
        <v>5800</v>
      </c>
      <c r="F36" s="13">
        <f>SUMIF('OD 08-24'!A:A,A36,'OD 08-24'!D:D)</f>
        <v>0</v>
      </c>
      <c r="G36" s="13">
        <f>SUMIF('OD 08-24'!A:A,A36,'OD 08-24'!E:E)</f>
        <v>0</v>
      </c>
      <c r="H36" s="14">
        <f t="shared" si="0"/>
        <v>-3405.924</v>
      </c>
      <c r="I36" s="14">
        <f t="shared" si="1"/>
        <v>-3405.924</v>
      </c>
      <c r="J36" s="8" t="s">
        <v>25</v>
      </c>
      <c r="K36" s="8"/>
      <c r="M36" s="339"/>
      <c r="N36" s="315"/>
    </row>
    <row r="37" spans="1:14" s="9" customFormat="1" ht="11.25" customHeight="1" x14ac:dyDescent="0.2">
      <c r="A37" s="10">
        <v>23225000</v>
      </c>
      <c r="B37" s="10" t="s">
        <v>281</v>
      </c>
      <c r="C37" s="11">
        <v>0</v>
      </c>
      <c r="D37" s="11">
        <v>0</v>
      </c>
      <c r="E37" s="11">
        <v>0</v>
      </c>
      <c r="F37" s="13">
        <f>SUMIF('OD 08-24'!A:A,A37,'OD 08-24'!D:D)</f>
        <v>0</v>
      </c>
      <c r="G37" s="13">
        <f>SUMIF('OD 08-24'!A:A,A37,'OD 08-24'!E:E)</f>
        <v>0</v>
      </c>
      <c r="H37" s="14">
        <f t="shared" si="0"/>
        <v>0</v>
      </c>
      <c r="I37" s="14">
        <f t="shared" si="1"/>
        <v>0</v>
      </c>
      <c r="J37" s="8"/>
      <c r="K37" s="8"/>
      <c r="M37" s="339"/>
      <c r="N37" s="315"/>
    </row>
    <row r="38" spans="1:14" s="9" customFormat="1" ht="11.25" customHeight="1" x14ac:dyDescent="0.2">
      <c r="A38" s="10">
        <v>23231000</v>
      </c>
      <c r="B38" s="10" t="s">
        <v>282</v>
      </c>
      <c r="C38" s="11">
        <v>0</v>
      </c>
      <c r="D38" s="11">
        <v>0</v>
      </c>
      <c r="E38" s="11">
        <v>0</v>
      </c>
      <c r="F38" s="13">
        <f>SUMIF('OD 08-24'!A:A,A38,'OD 08-24'!D:D)</f>
        <v>0</v>
      </c>
      <c r="G38" s="13">
        <f>SUMIF('OD 08-24'!A:A,A38,'OD 08-24'!E:E)</f>
        <v>0</v>
      </c>
      <c r="H38" s="14">
        <f t="shared" si="0"/>
        <v>0</v>
      </c>
      <c r="I38" s="14">
        <f t="shared" si="1"/>
        <v>0</v>
      </c>
      <c r="J38" s="8"/>
      <c r="K38" s="8"/>
      <c r="M38" s="339"/>
      <c r="N38" s="315"/>
    </row>
    <row r="39" spans="1:14" s="9" customFormat="1" ht="11.25" customHeight="1" x14ac:dyDescent="0.2">
      <c r="A39" s="10">
        <v>23237000</v>
      </c>
      <c r="B39" s="10" t="s">
        <v>283</v>
      </c>
      <c r="C39" s="11">
        <v>0</v>
      </c>
      <c r="D39" s="11">
        <v>0</v>
      </c>
      <c r="E39" s="11">
        <v>0</v>
      </c>
      <c r="F39" s="13">
        <f>SUMIF('OD 08-24'!A:A,A39,'OD 08-24'!D:D)</f>
        <v>0</v>
      </c>
      <c r="G39" s="13">
        <f>SUMIF('OD 08-24'!A:A,A39,'OD 08-24'!E:E)</f>
        <v>0</v>
      </c>
      <c r="H39" s="14">
        <f t="shared" si="0"/>
        <v>0</v>
      </c>
      <c r="I39" s="14">
        <f t="shared" si="1"/>
        <v>0</v>
      </c>
      <c r="J39" s="8"/>
      <c r="K39" s="8"/>
      <c r="M39" s="339"/>
      <c r="N39" s="315"/>
    </row>
    <row r="40" spans="1:14" s="9" customFormat="1" ht="11.25" customHeight="1" x14ac:dyDescent="0.2">
      <c r="A40" s="10">
        <v>23250000</v>
      </c>
      <c r="B40" s="10" t="s">
        <v>284</v>
      </c>
      <c r="C40" s="11">
        <v>0</v>
      </c>
      <c r="D40" s="11">
        <v>0</v>
      </c>
      <c r="E40" s="11">
        <v>0</v>
      </c>
      <c r="F40" s="13">
        <f>SUMIF('OD 08-24'!A:A,A40,'OD 08-24'!D:D)</f>
        <v>0</v>
      </c>
      <c r="G40" s="13">
        <f>SUMIF('OD 08-24'!A:A,A40,'OD 08-24'!E:E)</f>
        <v>0</v>
      </c>
      <c r="H40" s="14">
        <f t="shared" si="0"/>
        <v>0</v>
      </c>
      <c r="I40" s="14">
        <f t="shared" si="1"/>
        <v>0</v>
      </c>
      <c r="J40" s="8"/>
      <c r="K40" s="8"/>
      <c r="M40" s="339"/>
      <c r="N40" s="315"/>
    </row>
    <row r="41" spans="1:14" s="9" customFormat="1" ht="11.25" customHeight="1" x14ac:dyDescent="0.2">
      <c r="A41" s="10">
        <v>23800000</v>
      </c>
      <c r="B41" s="10" t="s">
        <v>285</v>
      </c>
      <c r="C41" s="11">
        <v>0</v>
      </c>
      <c r="D41" s="11">
        <v>0</v>
      </c>
      <c r="E41" s="11">
        <v>0</v>
      </c>
      <c r="F41" s="13">
        <f>SUMIF('OD 08-24'!A:A,A41,'OD 08-24'!D:D)</f>
        <v>0</v>
      </c>
      <c r="G41" s="13">
        <f>SUMIF('OD 08-24'!A:A,A41,'OD 08-24'!E:E)</f>
        <v>0</v>
      </c>
      <c r="H41" s="14">
        <f t="shared" si="0"/>
        <v>0</v>
      </c>
      <c r="I41" s="14">
        <f t="shared" si="1"/>
        <v>0</v>
      </c>
      <c r="J41" s="8"/>
      <c r="K41" s="8"/>
      <c r="M41" s="339"/>
      <c r="N41" s="315"/>
    </row>
    <row r="42" spans="1:14" s="9" customFormat="1" ht="11.25" customHeight="1" x14ac:dyDescent="0.2">
      <c r="A42" s="10">
        <v>24000000</v>
      </c>
      <c r="B42" s="10" t="s">
        <v>40</v>
      </c>
      <c r="C42" s="11">
        <v>770033.75899999996</v>
      </c>
      <c r="D42" s="11">
        <v>675550.6</v>
      </c>
      <c r="E42" s="11">
        <v>267949.43700000003</v>
      </c>
      <c r="F42" s="13">
        <f>SUMIF('OD 08-24'!A:A,A42,'OD 08-24'!D:D)</f>
        <v>0</v>
      </c>
      <c r="G42" s="13">
        <f>SUMIF('OD 08-24'!A:A,A42,'OD 08-24'!E:E)</f>
        <v>0</v>
      </c>
      <c r="H42" s="14">
        <f t="shared" si="0"/>
        <v>407601.16299999994</v>
      </c>
      <c r="I42" s="14">
        <f t="shared" si="1"/>
        <v>1177634.9219999998</v>
      </c>
      <c r="J42" s="8" t="s">
        <v>25</v>
      </c>
      <c r="K42" s="8"/>
      <c r="M42" s="339"/>
      <c r="N42" s="315"/>
    </row>
    <row r="43" spans="1:14" s="9" customFormat="1" ht="11.25" customHeight="1" x14ac:dyDescent="0.2">
      <c r="A43" s="10">
        <v>25100000</v>
      </c>
      <c r="B43" s="10" t="s">
        <v>286</v>
      </c>
      <c r="C43" s="11">
        <v>0</v>
      </c>
      <c r="D43" s="11">
        <v>0</v>
      </c>
      <c r="E43" s="11">
        <v>0</v>
      </c>
      <c r="F43" s="13">
        <f>SUMIF('OD 08-24'!A:A,A43,'OD 08-24'!D:D)</f>
        <v>0</v>
      </c>
      <c r="G43" s="13">
        <f>SUMIF('OD 08-24'!A:A,A43,'OD 08-24'!E:E)</f>
        <v>0</v>
      </c>
      <c r="H43" s="14">
        <f t="shared" si="0"/>
        <v>0</v>
      </c>
      <c r="I43" s="14">
        <f t="shared" si="1"/>
        <v>0</v>
      </c>
      <c r="J43" s="8"/>
      <c r="K43" s="8"/>
      <c r="M43" s="339"/>
      <c r="N43" s="315"/>
    </row>
    <row r="44" spans="1:14" s="9" customFormat="1" ht="11.25" customHeight="1" x14ac:dyDescent="0.2">
      <c r="A44" s="10">
        <v>25110000</v>
      </c>
      <c r="B44" s="10" t="s">
        <v>41</v>
      </c>
      <c r="C44" s="11">
        <v>266820</v>
      </c>
      <c r="D44" s="11">
        <v>0</v>
      </c>
      <c r="E44" s="11">
        <v>0</v>
      </c>
      <c r="F44" s="13">
        <f>SUMIF('OD 08-24'!A:A,A44,'OD 08-24'!D:D)</f>
        <v>0</v>
      </c>
      <c r="G44" s="13">
        <f>SUMIF('OD 08-24'!A:A,A44,'OD 08-24'!E:E)</f>
        <v>0</v>
      </c>
      <c r="H44" s="14">
        <f t="shared" si="0"/>
        <v>0</v>
      </c>
      <c r="I44" s="14">
        <f t="shared" si="1"/>
        <v>266820</v>
      </c>
      <c r="J44" s="8" t="s">
        <v>42</v>
      </c>
      <c r="K44" s="8"/>
      <c r="M44" s="339"/>
      <c r="N44" s="315"/>
    </row>
    <row r="45" spans="1:14" s="9" customFormat="1" ht="11.25" customHeight="1" x14ac:dyDescent="0.2">
      <c r="A45" s="10">
        <v>25120000</v>
      </c>
      <c r="B45" s="10" t="s">
        <v>287</v>
      </c>
      <c r="C45" s="11">
        <v>512700</v>
      </c>
      <c r="D45" s="11">
        <v>0</v>
      </c>
      <c r="E45" s="11">
        <v>0</v>
      </c>
      <c r="F45" s="13">
        <f>SUMIF('OD 08-24'!A:A,A45,'OD 08-24'!D:D)</f>
        <v>0</v>
      </c>
      <c r="G45" s="13">
        <f>SUMIF('OD 08-24'!A:A,A45,'OD 08-24'!E:E)</f>
        <v>0</v>
      </c>
      <c r="H45" s="14">
        <f t="shared" si="0"/>
        <v>0</v>
      </c>
      <c r="I45" s="14">
        <f t="shared" si="1"/>
        <v>512700</v>
      </c>
      <c r="J45" s="8" t="s">
        <v>42</v>
      </c>
      <c r="K45" s="8"/>
      <c r="M45" s="339"/>
      <c r="N45" s="315"/>
    </row>
    <row r="46" spans="1:14" s="9" customFormat="1" ht="11.25" customHeight="1" x14ac:dyDescent="0.2">
      <c r="A46" s="10">
        <v>25130000</v>
      </c>
      <c r="B46" s="10" t="s">
        <v>43</v>
      </c>
      <c r="C46" s="11">
        <v>677000</v>
      </c>
      <c r="D46" s="11">
        <v>0</v>
      </c>
      <c r="E46" s="11">
        <v>0</v>
      </c>
      <c r="F46" s="13">
        <f>SUMIF('OD 08-24'!A:A,A46,'OD 08-24'!D:D)</f>
        <v>0</v>
      </c>
      <c r="G46" s="13">
        <f>SUMIF('OD 08-24'!A:A,A46,'OD 08-24'!E:E)</f>
        <v>0</v>
      </c>
      <c r="H46" s="14">
        <f t="shared" si="0"/>
        <v>0</v>
      </c>
      <c r="I46" s="14">
        <f t="shared" si="1"/>
        <v>677000</v>
      </c>
      <c r="J46" s="8" t="s">
        <v>42</v>
      </c>
      <c r="K46" s="8"/>
      <c r="M46" s="339"/>
      <c r="N46" s="315"/>
    </row>
    <row r="47" spans="1:14" s="9" customFormat="1" ht="11.25" customHeight="1" x14ac:dyDescent="0.2">
      <c r="A47" s="10">
        <v>25140000</v>
      </c>
      <c r="B47" s="10" t="s">
        <v>44</v>
      </c>
      <c r="C47" s="11">
        <v>3150000</v>
      </c>
      <c r="D47" s="11">
        <v>0</v>
      </c>
      <c r="E47" s="11">
        <v>0</v>
      </c>
      <c r="F47" s="13">
        <f>SUMIF('OD 08-24'!A:A,A47,'OD 08-24'!D:D)</f>
        <v>0</v>
      </c>
      <c r="G47" s="13">
        <f>SUMIF('OD 08-24'!A:A,A47,'OD 08-24'!E:E)</f>
        <v>0</v>
      </c>
      <c r="H47" s="14">
        <f t="shared" si="0"/>
        <v>0</v>
      </c>
      <c r="I47" s="14">
        <f t="shared" si="1"/>
        <v>3150000</v>
      </c>
      <c r="J47" s="8" t="s">
        <v>42</v>
      </c>
      <c r="K47" s="8"/>
      <c r="M47" s="339"/>
      <c r="N47" s="315"/>
    </row>
    <row r="48" spans="1:14" s="9" customFormat="1" ht="11.25" customHeight="1" x14ac:dyDescent="0.2">
      <c r="A48" s="10">
        <v>25150000</v>
      </c>
      <c r="B48" s="10" t="s">
        <v>387</v>
      </c>
      <c r="C48" s="11">
        <v>319680</v>
      </c>
      <c r="D48" s="11">
        <v>0</v>
      </c>
      <c r="E48" s="11">
        <v>0</v>
      </c>
      <c r="F48" s="13">
        <f>SUMIF('OD 08-24'!A:A,A48,'OD 08-24'!D:D)</f>
        <v>0</v>
      </c>
      <c r="G48" s="13">
        <f>SUMIF('OD 08-24'!A:A,A48,'OD 08-24'!E:E)</f>
        <v>0</v>
      </c>
      <c r="H48" s="14">
        <f t="shared" si="0"/>
        <v>0</v>
      </c>
      <c r="I48" s="14">
        <f t="shared" si="1"/>
        <v>319680</v>
      </c>
      <c r="J48" s="8" t="s">
        <v>42</v>
      </c>
      <c r="K48" s="8"/>
      <c r="M48" s="339"/>
      <c r="N48" s="315"/>
    </row>
    <row r="49" spans="1:14" s="9" customFormat="1" ht="11.25" customHeight="1" x14ac:dyDescent="0.2">
      <c r="A49" s="10">
        <v>25700000</v>
      </c>
      <c r="B49" s="10" t="s">
        <v>288</v>
      </c>
      <c r="C49" s="11">
        <v>0</v>
      </c>
      <c r="D49" s="11">
        <v>0</v>
      </c>
      <c r="E49" s="11">
        <v>0</v>
      </c>
      <c r="F49" s="13">
        <f>SUMIF('OD 08-24'!A:A,A49,'OD 08-24'!D:D)</f>
        <v>0</v>
      </c>
      <c r="G49" s="13">
        <f>SUMIF('OD 08-24'!A:A,A49,'OD 08-24'!E:E)</f>
        <v>0</v>
      </c>
      <c r="H49" s="14">
        <f t="shared" si="0"/>
        <v>0</v>
      </c>
      <c r="I49" s="14">
        <f t="shared" si="1"/>
        <v>0</v>
      </c>
      <c r="J49" s="8" t="s">
        <v>42</v>
      </c>
      <c r="K49" s="8"/>
      <c r="M49" s="339"/>
      <c r="N49" s="315"/>
    </row>
    <row r="50" spans="1:14" s="9" customFormat="1" ht="11.25" customHeight="1" x14ac:dyDescent="0.2">
      <c r="A50" s="10">
        <v>25810000</v>
      </c>
      <c r="B50" s="10" t="s">
        <v>289</v>
      </c>
      <c r="C50" s="11">
        <v>0</v>
      </c>
      <c r="D50" s="11">
        <v>0</v>
      </c>
      <c r="E50" s="11">
        <v>0</v>
      </c>
      <c r="F50" s="13">
        <f>SUMIF('OD 08-24'!A:A,A50,'OD 08-24'!D:D)</f>
        <v>0</v>
      </c>
      <c r="G50" s="13">
        <f>SUMIF('OD 08-24'!A:A,A50,'OD 08-24'!E:E)</f>
        <v>0</v>
      </c>
      <c r="H50" s="14">
        <f t="shared" si="0"/>
        <v>0</v>
      </c>
      <c r="I50" s="14">
        <f t="shared" si="1"/>
        <v>0</v>
      </c>
      <c r="J50" s="8"/>
      <c r="K50" s="8"/>
      <c r="M50" s="339"/>
      <c r="N50" s="315"/>
    </row>
    <row r="51" spans="1:14" s="9" customFormat="1" ht="11.25" customHeight="1" x14ac:dyDescent="0.2">
      <c r="A51" s="10">
        <v>26400000</v>
      </c>
      <c r="B51" s="10" t="s">
        <v>290</v>
      </c>
      <c r="C51" s="11">
        <v>0</v>
      </c>
      <c r="D51" s="11">
        <v>100</v>
      </c>
      <c r="E51" s="11">
        <v>100</v>
      </c>
      <c r="F51" s="13">
        <f>SUMIF('OD 08-24'!A:A,A51,'OD 08-24'!D:D)</f>
        <v>0</v>
      </c>
      <c r="G51" s="13">
        <f>SUMIF('OD 08-24'!A:A,A51,'OD 08-24'!E:E)</f>
        <v>0</v>
      </c>
      <c r="H51" s="14">
        <f t="shared" si="0"/>
        <v>0</v>
      </c>
      <c r="I51" s="14">
        <f t="shared" si="1"/>
        <v>0</v>
      </c>
      <c r="J51" s="8"/>
      <c r="K51" s="8"/>
      <c r="M51" s="339"/>
      <c r="N51" s="315"/>
    </row>
    <row r="52" spans="1:14" s="9" customFormat="1" ht="11.25" customHeight="1" x14ac:dyDescent="0.2">
      <c r="A52" s="10">
        <v>26430000</v>
      </c>
      <c r="B52" s="10" t="s">
        <v>291</v>
      </c>
      <c r="C52" s="11">
        <v>0</v>
      </c>
      <c r="D52" s="11">
        <v>141500</v>
      </c>
      <c r="E52" s="11">
        <v>141500</v>
      </c>
      <c r="F52" s="13">
        <f>SUMIF('OD 08-24'!A:A,A52,'OD 08-24'!D:D)</f>
        <v>0</v>
      </c>
      <c r="G52" s="13">
        <f>SUMIF('OD 08-24'!A:A,A52,'OD 08-24'!E:E)</f>
        <v>0</v>
      </c>
      <c r="H52" s="14">
        <f t="shared" si="0"/>
        <v>0</v>
      </c>
      <c r="I52" s="14">
        <f t="shared" si="1"/>
        <v>0</v>
      </c>
      <c r="J52" s="8"/>
      <c r="K52" s="8"/>
      <c r="M52" s="339"/>
      <c r="N52" s="315"/>
    </row>
    <row r="53" spans="1:14" s="9" customFormat="1" ht="11.25" customHeight="1" x14ac:dyDescent="0.2">
      <c r="A53" s="10">
        <v>26500000</v>
      </c>
      <c r="B53" s="10" t="s">
        <v>45</v>
      </c>
      <c r="C53" s="11">
        <v>0</v>
      </c>
      <c r="D53" s="11">
        <v>0</v>
      </c>
      <c r="E53" s="11">
        <v>0</v>
      </c>
      <c r="F53" s="13">
        <f>SUMIF('OD 08-24'!A:A,A53,'OD 08-24'!D:D)</f>
        <v>0</v>
      </c>
      <c r="G53" s="13">
        <f>SUMIF('OD 08-24'!A:A,A53,'OD 08-24'!E:E)</f>
        <v>0</v>
      </c>
      <c r="H53" s="14">
        <f t="shared" si="0"/>
        <v>0</v>
      </c>
      <c r="I53" s="14">
        <f t="shared" si="1"/>
        <v>0</v>
      </c>
      <c r="J53" s="8" t="s">
        <v>46</v>
      </c>
      <c r="K53" s="8"/>
      <c r="M53" s="339"/>
      <c r="N53" s="315"/>
    </row>
    <row r="54" spans="1:14" s="9" customFormat="1" ht="11.25" customHeight="1" x14ac:dyDescent="0.2">
      <c r="A54" s="10">
        <v>26510000</v>
      </c>
      <c r="B54" s="10" t="s">
        <v>292</v>
      </c>
      <c r="C54" s="11">
        <v>0</v>
      </c>
      <c r="D54" s="11">
        <v>0</v>
      </c>
      <c r="E54" s="11">
        <v>0</v>
      </c>
      <c r="F54" s="13">
        <f>SUMIF('OD 08-24'!A:A,A54,'OD 08-24'!D:D)</f>
        <v>0</v>
      </c>
      <c r="G54" s="13">
        <f>SUMIF('OD 08-24'!A:A,A54,'OD 08-24'!E:E)</f>
        <v>0</v>
      </c>
      <c r="H54" s="14">
        <f t="shared" si="0"/>
        <v>0</v>
      </c>
      <c r="I54" s="14">
        <f t="shared" si="1"/>
        <v>0</v>
      </c>
      <c r="J54" s="8"/>
      <c r="K54" s="8"/>
      <c r="M54" s="339"/>
      <c r="N54" s="315"/>
    </row>
    <row r="55" spans="1:14" s="9" customFormat="1" ht="11.25" customHeight="1" x14ac:dyDescent="0.2">
      <c r="A55" s="10">
        <v>26550000</v>
      </c>
      <c r="B55" s="10" t="s">
        <v>293</v>
      </c>
      <c r="C55" s="11">
        <v>0</v>
      </c>
      <c r="D55" s="11">
        <v>0</v>
      </c>
      <c r="E55" s="11">
        <v>0</v>
      </c>
      <c r="F55" s="13">
        <f>SUMIF('OD 08-24'!A:A,A55,'OD 08-24'!D:D)</f>
        <v>0</v>
      </c>
      <c r="G55" s="13">
        <f>SUMIF('OD 08-24'!A:A,A55,'OD 08-24'!E:E)</f>
        <v>0</v>
      </c>
      <c r="H55" s="14">
        <f t="shared" si="0"/>
        <v>0</v>
      </c>
      <c r="I55" s="14">
        <f t="shared" si="1"/>
        <v>0</v>
      </c>
      <c r="J55" s="8"/>
      <c r="K55" s="8"/>
      <c r="M55" s="339"/>
      <c r="N55" s="315"/>
    </row>
    <row r="56" spans="1:14" s="9" customFormat="1" ht="11.25" customHeight="1" x14ac:dyDescent="0.2">
      <c r="A56" s="10">
        <v>26580000</v>
      </c>
      <c r="B56" s="10" t="s">
        <v>23</v>
      </c>
      <c r="C56" s="11">
        <v>5771.2</v>
      </c>
      <c r="D56" s="11">
        <v>0</v>
      </c>
      <c r="E56" s="11">
        <v>0</v>
      </c>
      <c r="F56" s="13">
        <f>SUMIF('OD 08-24'!A:A,A56,'OD 08-24'!D:D)</f>
        <v>0</v>
      </c>
      <c r="G56" s="13">
        <f>SUMIF('OD 08-24'!A:A,A56,'OD 08-24'!E:E)</f>
        <v>0</v>
      </c>
      <c r="H56" s="14">
        <f t="shared" si="0"/>
        <v>0</v>
      </c>
      <c r="I56" s="14">
        <f t="shared" si="1"/>
        <v>5771.2</v>
      </c>
      <c r="J56" s="8" t="s">
        <v>46</v>
      </c>
      <c r="K56" s="8"/>
      <c r="M56" s="339"/>
      <c r="N56" s="315"/>
    </row>
    <row r="57" spans="1:14" s="9" customFormat="1" ht="11.25" customHeight="1" x14ac:dyDescent="0.2">
      <c r="A57" s="10">
        <v>27100000</v>
      </c>
      <c r="B57" s="10" t="s">
        <v>294</v>
      </c>
      <c r="C57" s="11">
        <v>0</v>
      </c>
      <c r="D57" s="11">
        <v>0</v>
      </c>
      <c r="E57" s="11">
        <v>0</v>
      </c>
      <c r="F57" s="13">
        <f>SUMIF('OD 08-24'!A:A,A57,'OD 08-24'!D:D)</f>
        <v>0</v>
      </c>
      <c r="G57" s="13">
        <f>SUMIF('OD 08-24'!A:A,A57,'OD 08-24'!E:E)</f>
        <v>0</v>
      </c>
      <c r="H57" s="14">
        <f t="shared" si="0"/>
        <v>0</v>
      </c>
      <c r="I57" s="14">
        <f t="shared" si="1"/>
        <v>0</v>
      </c>
      <c r="J57" s="8"/>
      <c r="K57" s="8"/>
      <c r="M57" s="339"/>
      <c r="N57" s="315"/>
    </row>
    <row r="58" spans="1:14" s="9" customFormat="1" ht="11.25" customHeight="1" x14ac:dyDescent="0.2">
      <c r="A58" s="10">
        <v>28100000</v>
      </c>
      <c r="B58" s="10" t="s">
        <v>295</v>
      </c>
      <c r="C58" s="11">
        <v>0</v>
      </c>
      <c r="D58" s="11">
        <v>0</v>
      </c>
      <c r="E58" s="11">
        <v>0</v>
      </c>
      <c r="F58" s="13">
        <f>SUMIF('OD 08-24'!A:A,A58,'OD 08-24'!D:D)</f>
        <v>0</v>
      </c>
      <c r="G58" s="13">
        <f>SUMIF('OD 08-24'!A:A,A58,'OD 08-24'!E:E)</f>
        <v>0</v>
      </c>
      <c r="H58" s="14">
        <f t="shared" si="0"/>
        <v>0</v>
      </c>
      <c r="I58" s="14">
        <f t="shared" si="1"/>
        <v>0</v>
      </c>
      <c r="J58" s="8"/>
      <c r="K58" s="8"/>
      <c r="M58" s="339"/>
      <c r="N58" s="315"/>
    </row>
    <row r="59" spans="1:14" s="9" customFormat="1" ht="11.25" customHeight="1" x14ac:dyDescent="0.2">
      <c r="A59" s="10">
        <v>28110000</v>
      </c>
      <c r="B59" s="10" t="s">
        <v>296</v>
      </c>
      <c r="C59" s="11">
        <v>0</v>
      </c>
      <c r="D59" s="11">
        <v>0</v>
      </c>
      <c r="E59" s="11">
        <v>0</v>
      </c>
      <c r="F59" s="13">
        <f>SUMIF('OD 08-24'!A:A,A59,'OD 08-24'!D:D)</f>
        <v>0</v>
      </c>
      <c r="G59" s="13">
        <f>SUMIF('OD 08-24'!A:A,A59,'OD 08-24'!E:E)</f>
        <v>0</v>
      </c>
      <c r="H59" s="14">
        <f t="shared" si="0"/>
        <v>0</v>
      </c>
      <c r="I59" s="14">
        <f t="shared" si="1"/>
        <v>0</v>
      </c>
      <c r="J59" s="8"/>
      <c r="K59" s="8"/>
      <c r="M59" s="339"/>
      <c r="N59" s="315"/>
    </row>
    <row r="60" spans="1:14" s="9" customFormat="1" ht="11.25" customHeight="1" x14ac:dyDescent="0.2">
      <c r="A60" s="10">
        <v>28130000</v>
      </c>
      <c r="B60" s="10" t="s">
        <v>8979</v>
      </c>
      <c r="C60" s="11">
        <v>-75004.895999999993</v>
      </c>
      <c r="D60" s="11">
        <v>0</v>
      </c>
      <c r="E60" s="11">
        <v>0</v>
      </c>
      <c r="F60" s="13">
        <f>SUMIF('OD 08-24'!A:A,A60,'OD 08-24'!D:D)</f>
        <v>26501.623</v>
      </c>
      <c r="G60" s="13">
        <f>SUMIF('OD 08-24'!A:A,A60,'OD 08-24'!E:E)</f>
        <v>36746.324000000001</v>
      </c>
      <c r="H60" s="14">
        <f t="shared" si="0"/>
        <v>-10244.701000000001</v>
      </c>
      <c r="I60" s="14">
        <f t="shared" si="1"/>
        <v>-85249.596999999994</v>
      </c>
      <c r="J60" s="8" t="s">
        <v>47</v>
      </c>
      <c r="K60" s="8"/>
      <c r="M60" s="339"/>
      <c r="N60" s="315"/>
    </row>
    <row r="61" spans="1:14" s="9" customFormat="1" ht="11.25" customHeight="1" x14ac:dyDescent="0.2">
      <c r="A61" s="10">
        <v>28216000</v>
      </c>
      <c r="B61" s="10" t="s">
        <v>48</v>
      </c>
      <c r="C61" s="11">
        <v>-148352.71299999999</v>
      </c>
      <c r="D61" s="11">
        <v>0</v>
      </c>
      <c r="E61" s="11">
        <v>0</v>
      </c>
      <c r="F61" s="13">
        <f>SUMIF('OD 08-24'!A:A,A61,'OD 08-24'!D:D)</f>
        <v>6516.1109999999999</v>
      </c>
      <c r="G61" s="13">
        <f>SUMIF('OD 08-24'!A:A,A61,'OD 08-24'!E:E)</f>
        <v>8394.4210000000003</v>
      </c>
      <c r="H61" s="14">
        <f t="shared" si="0"/>
        <v>-1878.3100000000004</v>
      </c>
      <c r="I61" s="14">
        <f t="shared" si="1"/>
        <v>-150231.02299999999</v>
      </c>
      <c r="J61" s="8" t="s">
        <v>47</v>
      </c>
      <c r="K61" s="8"/>
      <c r="M61" s="339"/>
      <c r="N61" s="315"/>
    </row>
    <row r="62" spans="1:14" s="9" customFormat="1" ht="11.25" customHeight="1" x14ac:dyDescent="0.2">
      <c r="A62" s="10">
        <v>28220000</v>
      </c>
      <c r="B62" s="10" t="s">
        <v>49</v>
      </c>
      <c r="C62" s="11">
        <v>-3729152.5419999999</v>
      </c>
      <c r="D62" s="11">
        <v>0</v>
      </c>
      <c r="E62" s="11">
        <v>0</v>
      </c>
      <c r="F62" s="13">
        <f>SUMIF('OD 08-24'!A:A,A62,'OD 08-24'!D:D)</f>
        <v>1062566.071</v>
      </c>
      <c r="G62" s="13">
        <f>SUMIF('OD 08-24'!A:A,A62,'OD 08-24'!E:E)</f>
        <v>1368857.358</v>
      </c>
      <c r="H62" s="14">
        <f t="shared" si="0"/>
        <v>-306291.28700000001</v>
      </c>
      <c r="I62" s="14">
        <f t="shared" si="1"/>
        <v>-4035443.8289999999</v>
      </c>
      <c r="J62" s="8" t="s">
        <v>47</v>
      </c>
      <c r="K62" s="8"/>
      <c r="M62" s="339"/>
      <c r="N62" s="315"/>
    </row>
    <row r="63" spans="1:14" s="9" customFormat="1" ht="11.25" customHeight="1" x14ac:dyDescent="0.2">
      <c r="A63" s="10">
        <v>28225000</v>
      </c>
      <c r="B63" s="10" t="s">
        <v>50</v>
      </c>
      <c r="C63" s="11">
        <v>-271826.14399999997</v>
      </c>
      <c r="D63" s="11">
        <v>0</v>
      </c>
      <c r="E63" s="11">
        <v>0</v>
      </c>
      <c r="F63" s="13">
        <f>SUMIF('OD 08-24'!A:A,A63,'OD 08-24'!D:D)</f>
        <v>188752.69099999999</v>
      </c>
      <c r="G63" s="13">
        <f>SUMIF('OD 08-24'!A:A,A63,'OD 08-24'!E:E)</f>
        <v>239383.91800000001</v>
      </c>
      <c r="H63" s="14">
        <f t="shared" si="0"/>
        <v>-50631.227000000014</v>
      </c>
      <c r="I63" s="14">
        <f t="shared" si="1"/>
        <v>-322457.37099999998</v>
      </c>
      <c r="J63" s="8" t="s">
        <v>47</v>
      </c>
      <c r="K63" s="8"/>
      <c r="M63" s="339"/>
      <c r="N63" s="315"/>
    </row>
    <row r="64" spans="1:14" s="9" customFormat="1" ht="11.25" customHeight="1" x14ac:dyDescent="0.2">
      <c r="A64" s="10">
        <v>28230000</v>
      </c>
      <c r="B64" s="10" t="s">
        <v>263</v>
      </c>
      <c r="C64" s="11">
        <v>-43130.395000000004</v>
      </c>
      <c r="D64" s="11">
        <v>0</v>
      </c>
      <c r="E64" s="11">
        <v>0</v>
      </c>
      <c r="F64" s="13">
        <f>SUMIF('OD 08-24'!A:A,A64,'OD 08-24'!D:D)</f>
        <v>61395.737999999998</v>
      </c>
      <c r="G64" s="13">
        <f>SUMIF('OD 08-24'!A:A,A64,'OD 08-24'!E:E)</f>
        <v>80562.835000000006</v>
      </c>
      <c r="H64" s="14">
        <f t="shared" si="0"/>
        <v>-19167.097000000009</v>
      </c>
      <c r="I64" s="14">
        <f t="shared" si="1"/>
        <v>-62297.492000000013</v>
      </c>
      <c r="J64" s="8" t="s">
        <v>47</v>
      </c>
      <c r="K64" s="8"/>
      <c r="M64" s="339"/>
      <c r="N64" s="315"/>
    </row>
    <row r="65" spans="1:14" s="9" customFormat="1" ht="11.25" customHeight="1" x14ac:dyDescent="0.2">
      <c r="A65" s="10">
        <v>28231000</v>
      </c>
      <c r="B65" s="10" t="s">
        <v>402</v>
      </c>
      <c r="C65" s="11">
        <v>0</v>
      </c>
      <c r="D65" s="11">
        <v>0</v>
      </c>
      <c r="E65" s="11">
        <v>0</v>
      </c>
      <c r="F65" s="13">
        <f>SUMIF('OD 08-24'!A:A,A65,'OD 08-24'!D:D)</f>
        <v>2344.6480000000001</v>
      </c>
      <c r="G65" s="13">
        <f>SUMIF('OD 08-24'!A:A,A65,'OD 08-24'!E:E)</f>
        <v>3421.826</v>
      </c>
      <c r="H65" s="14">
        <f t="shared" si="0"/>
        <v>-1077.1779999999999</v>
      </c>
      <c r="I65" s="14">
        <f t="shared" si="1"/>
        <v>-1077.1779999999999</v>
      </c>
      <c r="J65" s="8" t="s">
        <v>47</v>
      </c>
      <c r="K65" s="8"/>
      <c r="M65" s="339"/>
      <c r="N65" s="315"/>
    </row>
    <row r="66" spans="1:14" s="9" customFormat="1" ht="11.25" customHeight="1" x14ac:dyDescent="0.2">
      <c r="A66" s="10">
        <v>28234000</v>
      </c>
      <c r="B66" s="10" t="s">
        <v>51</v>
      </c>
      <c r="C66" s="11">
        <v>-15867226.817000002</v>
      </c>
      <c r="D66" s="11">
        <v>308083.82999999996</v>
      </c>
      <c r="E66" s="11">
        <v>0</v>
      </c>
      <c r="F66" s="13">
        <f>SUMIF('OD 08-24'!A:A,A66,'OD 08-24'!D:D)</f>
        <v>3783660.0520000001</v>
      </c>
      <c r="G66" s="13">
        <f>SUMIF('OD 08-24'!A:A,A66,'OD 08-24'!E:E)</f>
        <v>4869002.0219999999</v>
      </c>
      <c r="H66" s="14">
        <f t="shared" si="0"/>
        <v>-777258.13999999966</v>
      </c>
      <c r="I66" s="14">
        <f t="shared" si="1"/>
        <v>-16644484.957000002</v>
      </c>
      <c r="J66" s="8" t="s">
        <v>47</v>
      </c>
      <c r="K66" s="8"/>
      <c r="M66" s="339"/>
      <c r="N66" s="315"/>
    </row>
    <row r="67" spans="1:14" s="9" customFormat="1" ht="11.25" customHeight="1" x14ac:dyDescent="0.2">
      <c r="A67" s="10">
        <v>28235000</v>
      </c>
      <c r="B67" s="10" t="s">
        <v>52</v>
      </c>
      <c r="C67" s="11">
        <v>-355370.76600000006</v>
      </c>
      <c r="D67" s="11">
        <v>0</v>
      </c>
      <c r="E67" s="11">
        <v>0</v>
      </c>
      <c r="F67" s="13">
        <f>SUMIF('OD 08-24'!A:A,A67,'OD 08-24'!D:D)</f>
        <v>134635.508</v>
      </c>
      <c r="G67" s="13">
        <f>SUMIF('OD 08-24'!A:A,A67,'OD 08-24'!E:E)</f>
        <v>174217.40900000001</v>
      </c>
      <c r="H67" s="14">
        <f t="shared" ref="H67:H130" si="2">+D67+F67-E67-G67</f>
        <v>-39581.901000000013</v>
      </c>
      <c r="I67" s="14">
        <f t="shared" ref="I67:I130" si="3">+H67+C67</f>
        <v>-394952.66700000007</v>
      </c>
      <c r="J67" s="8" t="s">
        <v>47</v>
      </c>
      <c r="K67" s="8"/>
      <c r="M67" s="339"/>
      <c r="N67" s="315"/>
    </row>
    <row r="68" spans="1:14" s="9" customFormat="1" ht="11.25" customHeight="1" x14ac:dyDescent="0.2">
      <c r="A68" s="10">
        <v>28237000</v>
      </c>
      <c r="B68" s="10" t="s">
        <v>53</v>
      </c>
      <c r="C68" s="11">
        <v>-756166.84899999993</v>
      </c>
      <c r="D68" s="11">
        <v>0</v>
      </c>
      <c r="E68" s="11">
        <v>0</v>
      </c>
      <c r="F68" s="13">
        <f>SUMIF('OD 08-24'!A:A,A68,'OD 08-24'!D:D)</f>
        <v>97486.044999999998</v>
      </c>
      <c r="G68" s="13">
        <f>SUMIF('OD 08-24'!A:A,A68,'OD 08-24'!E:E)</f>
        <v>127157.538</v>
      </c>
      <c r="H68" s="14">
        <f t="shared" si="2"/>
        <v>-29671.493000000002</v>
      </c>
      <c r="I68" s="14">
        <f t="shared" si="3"/>
        <v>-785838.34199999995</v>
      </c>
      <c r="J68" s="8" t="s">
        <v>47</v>
      </c>
      <c r="K68" s="8"/>
      <c r="M68" s="339"/>
      <c r="N68" s="315"/>
    </row>
    <row r="69" spans="1:14" s="9" customFormat="1" ht="11.25" customHeight="1" x14ac:dyDescent="0.2">
      <c r="A69" s="10">
        <v>28240000</v>
      </c>
      <c r="B69" s="10" t="s">
        <v>54</v>
      </c>
      <c r="C69" s="11">
        <v>-641382.64299999992</v>
      </c>
      <c r="D69" s="11">
        <v>30121.977999999996</v>
      </c>
      <c r="E69" s="11">
        <v>17545.055</v>
      </c>
      <c r="F69" s="13">
        <f>SUMIF('OD 08-24'!A:A,A69,'OD 08-24'!D:D)</f>
        <v>427249.47200000001</v>
      </c>
      <c r="G69" s="13">
        <f>SUMIF('OD 08-24'!A:A,A69,'OD 08-24'!E:E)</f>
        <v>552856.00300000003</v>
      </c>
      <c r="H69" s="14">
        <f t="shared" si="2"/>
        <v>-113029.60800000001</v>
      </c>
      <c r="I69" s="14">
        <f t="shared" si="3"/>
        <v>-754412.25099999993</v>
      </c>
      <c r="J69" s="8" t="s">
        <v>47</v>
      </c>
      <c r="K69" s="8"/>
      <c r="M69" s="339"/>
      <c r="N69" s="315"/>
    </row>
    <row r="70" spans="1:14" s="9" customFormat="1" ht="11.25" customHeight="1" x14ac:dyDescent="0.2">
      <c r="A70" s="10">
        <v>28282000</v>
      </c>
      <c r="B70" s="10" t="s">
        <v>55</v>
      </c>
      <c r="C70" s="11">
        <v>-227110.92800000001</v>
      </c>
      <c r="D70" s="11">
        <v>0</v>
      </c>
      <c r="E70" s="11">
        <v>0</v>
      </c>
      <c r="F70" s="13">
        <f>SUMIF('OD 08-24'!A:A,A70,'OD 08-24'!D:D)</f>
        <v>125334.58500000001</v>
      </c>
      <c r="G70" s="13">
        <f>SUMIF('OD 08-24'!A:A,A70,'OD 08-24'!E:E)</f>
        <v>161815.20499999999</v>
      </c>
      <c r="H70" s="14">
        <f t="shared" si="2"/>
        <v>-36480.619999999981</v>
      </c>
      <c r="I70" s="14">
        <f t="shared" si="3"/>
        <v>-263591.54800000001</v>
      </c>
      <c r="J70" s="8" t="s">
        <v>47</v>
      </c>
      <c r="K70" s="8"/>
      <c r="M70" s="339"/>
      <c r="N70" s="315"/>
    </row>
    <row r="71" spans="1:14" s="9" customFormat="1" ht="11.25" customHeight="1" x14ac:dyDescent="0.2">
      <c r="A71" s="10">
        <v>28283000</v>
      </c>
      <c r="B71" s="10" t="s">
        <v>264</v>
      </c>
      <c r="C71" s="11">
        <v>-129025.63500000001</v>
      </c>
      <c r="D71" s="11">
        <v>0</v>
      </c>
      <c r="E71" s="11">
        <v>0</v>
      </c>
      <c r="F71" s="13">
        <f>SUMIF('OD 08-24'!A:A,A71,'OD 08-24'!D:D)</f>
        <v>107469.774</v>
      </c>
      <c r="G71" s="13">
        <f>SUMIF('OD 08-24'!A:A,A71,'OD 08-24'!E:E)</f>
        <v>139445.54399999999</v>
      </c>
      <c r="H71" s="14">
        <f t="shared" si="2"/>
        <v>-31975.76999999999</v>
      </c>
      <c r="I71" s="14">
        <f t="shared" si="3"/>
        <v>-161001.405</v>
      </c>
      <c r="J71" s="8" t="s">
        <v>47</v>
      </c>
      <c r="K71" s="8"/>
      <c r="M71" s="339"/>
      <c r="N71" s="315"/>
    </row>
    <row r="72" spans="1:14" s="9" customFormat="1" ht="11.25" customHeight="1" x14ac:dyDescent="0.2">
      <c r="A72" s="10">
        <v>28400000</v>
      </c>
      <c r="B72" s="10" t="s">
        <v>56</v>
      </c>
      <c r="C72" s="11">
        <v>-480076.72500000009</v>
      </c>
      <c r="D72" s="11">
        <v>94339.096999999994</v>
      </c>
      <c r="E72" s="11">
        <v>0</v>
      </c>
      <c r="F72" s="13">
        <f>SUMIF('OD 08-24'!A:A,A72,'OD 08-24'!D:D)</f>
        <v>329437.45600000001</v>
      </c>
      <c r="G72" s="13">
        <f>SUMIF('OD 08-24'!A:A,A72,'OD 08-24'!E:E)</f>
        <v>432132.359</v>
      </c>
      <c r="H72" s="14">
        <f t="shared" si="2"/>
        <v>-8355.8059999999823</v>
      </c>
      <c r="I72" s="14">
        <f t="shared" si="3"/>
        <v>-488432.53100000008</v>
      </c>
      <c r="J72" s="8" t="s">
        <v>47</v>
      </c>
      <c r="K72" s="8"/>
      <c r="M72" s="339"/>
      <c r="N72" s="315"/>
    </row>
    <row r="73" spans="1:14" s="9" customFormat="1" ht="11.25" customHeight="1" x14ac:dyDescent="0.2">
      <c r="A73" s="10">
        <v>29220000</v>
      </c>
      <c r="B73" s="10" t="s">
        <v>297</v>
      </c>
      <c r="C73" s="11">
        <v>0</v>
      </c>
      <c r="D73" s="11">
        <v>0</v>
      </c>
      <c r="E73" s="11">
        <v>0</v>
      </c>
      <c r="F73" s="13">
        <f>SUMIF('OD 08-24'!A:A,A73,'OD 08-24'!D:D)</f>
        <v>0</v>
      </c>
      <c r="G73" s="13">
        <f>SUMIF('OD 08-24'!A:A,A73,'OD 08-24'!E:E)</f>
        <v>0</v>
      </c>
      <c r="H73" s="14">
        <f t="shared" si="2"/>
        <v>0</v>
      </c>
      <c r="I73" s="14">
        <f t="shared" si="3"/>
        <v>0</v>
      </c>
      <c r="J73" s="8"/>
      <c r="K73" s="8"/>
      <c r="M73" s="339"/>
      <c r="N73" s="315"/>
    </row>
    <row r="74" spans="1:14" s="9" customFormat="1" ht="11.25" customHeight="1" x14ac:dyDescent="0.2">
      <c r="A74" s="10">
        <v>29234000</v>
      </c>
      <c r="B74" s="10" t="s">
        <v>388</v>
      </c>
      <c r="C74" s="11">
        <v>-223876.883</v>
      </c>
      <c r="D74" s="11">
        <v>59797.479000000007</v>
      </c>
      <c r="E74" s="11">
        <v>0</v>
      </c>
      <c r="F74" s="13">
        <f>SUMIF('OD 08-24'!A:A,A74,'OD 08-24'!D:D)</f>
        <v>0</v>
      </c>
      <c r="G74" s="13">
        <f>SUMIF('OD 08-24'!A:A,A74,'OD 08-24'!E:E)</f>
        <v>0</v>
      </c>
      <c r="H74" s="14">
        <f t="shared" si="2"/>
        <v>59797.479000000007</v>
      </c>
      <c r="I74" s="14">
        <f t="shared" si="3"/>
        <v>-164079.40399999998</v>
      </c>
      <c r="J74" s="8" t="s">
        <v>401</v>
      </c>
      <c r="K74" s="8"/>
      <c r="M74" s="339"/>
      <c r="N74" s="315"/>
    </row>
    <row r="75" spans="1:14" s="9" customFormat="1" ht="11.25" customHeight="1" x14ac:dyDescent="0.2">
      <c r="A75" s="10">
        <v>29235000</v>
      </c>
      <c r="B75" s="10" t="s">
        <v>389</v>
      </c>
      <c r="C75" s="11">
        <v>-8171.429000000001</v>
      </c>
      <c r="D75" s="11">
        <v>0</v>
      </c>
      <c r="E75" s="11">
        <v>0</v>
      </c>
      <c r="F75" s="13">
        <f>SUMIF('OD 08-24'!A:A,A75,'OD 08-24'!D:D)</f>
        <v>0</v>
      </c>
      <c r="G75" s="13">
        <f>SUMIF('OD 08-24'!A:A,A75,'OD 08-24'!E:E)</f>
        <v>0</v>
      </c>
      <c r="H75" s="14">
        <f t="shared" si="2"/>
        <v>0</v>
      </c>
      <c r="I75" s="14">
        <f t="shared" si="3"/>
        <v>-8171.429000000001</v>
      </c>
      <c r="J75" s="8" t="s">
        <v>401</v>
      </c>
      <c r="K75" s="8"/>
      <c r="M75" s="339"/>
      <c r="N75" s="315"/>
    </row>
    <row r="76" spans="1:14" s="9" customFormat="1" ht="11.25" customHeight="1" x14ac:dyDescent="0.2">
      <c r="A76" s="10">
        <v>29282000</v>
      </c>
      <c r="B76" s="10" t="s">
        <v>298</v>
      </c>
      <c r="C76" s="11">
        <v>0</v>
      </c>
      <c r="D76" s="11">
        <v>0</v>
      </c>
      <c r="E76" s="11">
        <v>0</v>
      </c>
      <c r="F76" s="13">
        <f>SUMIF('OD 08-24'!A:A,A76,'OD 08-24'!D:D)</f>
        <v>0</v>
      </c>
      <c r="G76" s="13">
        <f>SUMIF('OD 08-24'!A:A,A76,'OD 08-24'!E:E)</f>
        <v>0</v>
      </c>
      <c r="H76" s="14">
        <f t="shared" si="2"/>
        <v>0</v>
      </c>
      <c r="I76" s="14">
        <f t="shared" si="3"/>
        <v>0</v>
      </c>
      <c r="J76" s="8"/>
      <c r="K76" s="8"/>
      <c r="M76" s="339"/>
      <c r="N76" s="315"/>
    </row>
    <row r="77" spans="1:14" s="9" customFormat="1" ht="11.25" customHeight="1" x14ac:dyDescent="0.2">
      <c r="A77" s="10">
        <v>29286500</v>
      </c>
      <c r="B77" s="10" t="s">
        <v>299</v>
      </c>
      <c r="C77" s="11">
        <v>0</v>
      </c>
      <c r="D77" s="11">
        <v>0</v>
      </c>
      <c r="E77" s="11">
        <v>0</v>
      </c>
      <c r="F77" s="13">
        <f>SUMIF('OD 08-24'!A:A,A77,'OD 08-24'!D:D)</f>
        <v>0</v>
      </c>
      <c r="G77" s="13">
        <f>SUMIF('OD 08-24'!A:A,A77,'OD 08-24'!E:E)</f>
        <v>0</v>
      </c>
      <c r="H77" s="14">
        <f t="shared" si="2"/>
        <v>0</v>
      </c>
      <c r="I77" s="14">
        <f t="shared" si="3"/>
        <v>0</v>
      </c>
      <c r="J77" s="8" t="s">
        <v>25</v>
      </c>
      <c r="K77" s="8"/>
      <c r="M77" s="339"/>
      <c r="N77" s="315"/>
    </row>
    <row r="78" spans="1:14" s="9" customFormat="1" ht="11.25" customHeight="1" x14ac:dyDescent="0.2">
      <c r="A78" s="10">
        <v>29700000</v>
      </c>
      <c r="B78" s="10" t="s">
        <v>57</v>
      </c>
      <c r="C78" s="11">
        <v>-29257.384999999998</v>
      </c>
      <c r="D78" s="11">
        <v>0</v>
      </c>
      <c r="E78" s="11">
        <v>0</v>
      </c>
      <c r="F78" s="13">
        <f>SUMIF('OD 08-24'!A:A,A78,'OD 08-24'!D:D)</f>
        <v>0</v>
      </c>
      <c r="G78" s="13">
        <f>SUMIF('OD 08-24'!A:A,A78,'OD 08-24'!E:E)</f>
        <v>0</v>
      </c>
      <c r="H78" s="14">
        <f t="shared" si="2"/>
        <v>0</v>
      </c>
      <c r="I78" s="14">
        <f t="shared" si="3"/>
        <v>-29257.384999999998</v>
      </c>
      <c r="J78" s="8" t="s">
        <v>58</v>
      </c>
      <c r="K78" s="8"/>
      <c r="M78" s="339"/>
      <c r="N78" s="315"/>
    </row>
    <row r="79" spans="1:14" s="9" customFormat="1" ht="11.25" customHeight="1" x14ac:dyDescent="0.2">
      <c r="A79" s="10">
        <v>31100000</v>
      </c>
      <c r="B79" s="10" t="s">
        <v>59</v>
      </c>
      <c r="C79" s="11">
        <v>9520075.0200000107</v>
      </c>
      <c r="D79" s="11">
        <v>0</v>
      </c>
      <c r="E79" s="11">
        <v>9520075.0199999996</v>
      </c>
      <c r="F79" s="13">
        <f>SUMIF('OD 08-24'!A:A,A79,'OD 08-24'!D:D)</f>
        <v>108164583.2502</v>
      </c>
      <c r="G79" s="13">
        <f>SUMIF('OD 08-24'!A:A,A79,'OD 08-24'!E:E)</f>
        <v>97568087.792199999</v>
      </c>
      <c r="H79" s="14">
        <f t="shared" si="2"/>
        <v>1076420.4380000085</v>
      </c>
      <c r="I79" s="14">
        <f t="shared" si="3"/>
        <v>10596495.458000019</v>
      </c>
      <c r="J79" s="8" t="s">
        <v>60</v>
      </c>
      <c r="K79" s="8"/>
      <c r="M79" s="339"/>
      <c r="N79" s="315"/>
    </row>
    <row r="80" spans="1:14" s="9" customFormat="1" ht="11.25" customHeight="1" x14ac:dyDescent="0.2">
      <c r="A80" s="10">
        <v>31200000</v>
      </c>
      <c r="B80" s="10" t="s">
        <v>390</v>
      </c>
      <c r="C80" s="11">
        <v>1881173.9139999996</v>
      </c>
      <c r="D80" s="11">
        <v>0</v>
      </c>
      <c r="E80" s="11">
        <v>1881173.9140000001</v>
      </c>
      <c r="F80" s="13">
        <f>SUMIF('OD 08-24'!A:A,A80,'OD 08-24'!D:D)</f>
        <v>3111337.3169999998</v>
      </c>
      <c r="G80" s="13">
        <f>SUMIF('OD 08-24'!A:A,A80,'OD 08-24'!E:E)</f>
        <v>3111337.3169999998</v>
      </c>
      <c r="H80" s="14">
        <f t="shared" si="2"/>
        <v>-1881173.9140000001</v>
      </c>
      <c r="I80" s="14">
        <f t="shared" si="3"/>
        <v>0</v>
      </c>
      <c r="J80" s="8" t="s">
        <v>60</v>
      </c>
      <c r="K80" s="8"/>
      <c r="M80" s="339"/>
      <c r="N80" s="315"/>
    </row>
    <row r="81" spans="1:14" s="9" customFormat="1" ht="11.25" customHeight="1" x14ac:dyDescent="0.2">
      <c r="A81" s="10">
        <v>32200000</v>
      </c>
      <c r="B81" s="10" t="s">
        <v>61</v>
      </c>
      <c r="C81" s="11">
        <v>662156.42899999954</v>
      </c>
      <c r="D81" s="11">
        <v>0</v>
      </c>
      <c r="E81" s="11">
        <v>662156.429</v>
      </c>
      <c r="F81" s="13">
        <f>SUMIF('OD 08-24'!A:A,A81,'OD 08-24'!D:D)</f>
        <v>7360170.9205</v>
      </c>
      <c r="G81" s="13">
        <f>SUMIF('OD 08-24'!A:A,A81,'OD 08-24'!E:E)</f>
        <v>6653488.2055000002</v>
      </c>
      <c r="H81" s="14">
        <f t="shared" si="2"/>
        <v>44526.285999999382</v>
      </c>
      <c r="I81" s="14">
        <f t="shared" si="3"/>
        <v>706682.71499999892</v>
      </c>
      <c r="J81" s="8" t="s">
        <v>60</v>
      </c>
      <c r="K81" s="8"/>
      <c r="M81" s="339"/>
      <c r="N81" s="315"/>
    </row>
    <row r="82" spans="1:14" s="9" customFormat="1" ht="11.25" customHeight="1" x14ac:dyDescent="0.2">
      <c r="A82" s="10">
        <v>33100000</v>
      </c>
      <c r="B82" s="10" t="s">
        <v>62</v>
      </c>
      <c r="C82" s="11">
        <v>3435380.2890000008</v>
      </c>
      <c r="D82" s="11">
        <v>0</v>
      </c>
      <c r="E82" s="11">
        <v>3435380.2889999999</v>
      </c>
      <c r="F82" s="13">
        <f>SUMIF('OD 08-24'!A:A,A82,'OD 08-24'!D:D)</f>
        <v>40179330.347400002</v>
      </c>
      <c r="G82" s="13">
        <f>SUMIF('OD 08-24'!A:A,A82,'OD 08-24'!E:E)</f>
        <v>36728015.941799998</v>
      </c>
      <c r="H82" s="14">
        <f t="shared" si="2"/>
        <v>15934.116600006819</v>
      </c>
      <c r="I82" s="14">
        <f t="shared" si="3"/>
        <v>3451314.4056000076</v>
      </c>
      <c r="J82" s="8" t="s">
        <v>60</v>
      </c>
      <c r="K82" s="8"/>
      <c r="M82" s="339"/>
      <c r="N82" s="315"/>
    </row>
    <row r="83" spans="1:14" s="9" customFormat="1" ht="11.25" customHeight="1" x14ac:dyDescent="0.2">
      <c r="A83" s="10">
        <v>33500000</v>
      </c>
      <c r="B83" s="10" t="s">
        <v>300</v>
      </c>
      <c r="C83" s="11">
        <v>0</v>
      </c>
      <c r="D83" s="11">
        <v>0</v>
      </c>
      <c r="E83" s="11">
        <v>0</v>
      </c>
      <c r="F83" s="13">
        <f>SUMIF('OD 08-24'!A:A,A83,'OD 08-24'!D:D)</f>
        <v>0</v>
      </c>
      <c r="G83" s="13">
        <f>SUMIF('OD 08-24'!A:A,A83,'OD 08-24'!E:E)</f>
        <v>0</v>
      </c>
      <c r="H83" s="14">
        <f t="shared" si="2"/>
        <v>0</v>
      </c>
      <c r="I83" s="14">
        <f t="shared" si="3"/>
        <v>0</v>
      </c>
      <c r="J83" s="8"/>
      <c r="K83" s="8"/>
      <c r="M83" s="339"/>
      <c r="N83" s="315"/>
    </row>
    <row r="84" spans="1:14" s="9" customFormat="1" ht="11.25" customHeight="1" x14ac:dyDescent="0.2">
      <c r="A84" s="10">
        <v>34100000</v>
      </c>
      <c r="B84" s="10" t="s">
        <v>301</v>
      </c>
      <c r="C84" s="11">
        <v>0</v>
      </c>
      <c r="D84" s="11">
        <v>0</v>
      </c>
      <c r="E84" s="11">
        <v>0</v>
      </c>
      <c r="F84" s="13">
        <f>SUMIF('OD 08-24'!A:A,A84,'OD 08-24'!D:D)</f>
        <v>0</v>
      </c>
      <c r="G84" s="13">
        <f>SUMIF('OD 08-24'!A:A,A84,'OD 08-24'!E:E)</f>
        <v>0</v>
      </c>
      <c r="H84" s="14">
        <f t="shared" si="2"/>
        <v>0</v>
      </c>
      <c r="I84" s="14">
        <f t="shared" si="3"/>
        <v>0</v>
      </c>
      <c r="J84" s="8"/>
      <c r="K84" s="8"/>
      <c r="M84" s="339"/>
      <c r="N84" s="315"/>
    </row>
    <row r="85" spans="1:14" s="9" customFormat="1" ht="11.25" customHeight="1" x14ac:dyDescent="0.2">
      <c r="A85" s="10">
        <v>35500000</v>
      </c>
      <c r="B85" s="10" t="s">
        <v>63</v>
      </c>
      <c r="C85" s="11">
        <v>1674504.0189999994</v>
      </c>
      <c r="D85" s="11">
        <v>19.696999999999999</v>
      </c>
      <c r="E85" s="11">
        <v>1674523.716</v>
      </c>
      <c r="F85" s="13">
        <f>SUMIF('OD 08-24'!A:A,A85,'OD 08-24'!D:D)</f>
        <v>16076287.607000001</v>
      </c>
      <c r="G85" s="13">
        <f>SUMIF('OD 08-24'!A:A,A85,'OD 08-24'!E:E)</f>
        <v>15366361.471999999</v>
      </c>
      <c r="H85" s="14">
        <f t="shared" si="2"/>
        <v>-964577.88399999775</v>
      </c>
      <c r="I85" s="14">
        <f t="shared" si="3"/>
        <v>709926.13500000164</v>
      </c>
      <c r="J85" s="8" t="s">
        <v>60</v>
      </c>
      <c r="K85" s="8"/>
      <c r="M85" s="339"/>
      <c r="N85" s="315"/>
    </row>
    <row r="86" spans="1:14" s="9" customFormat="1" ht="11.25" customHeight="1" x14ac:dyDescent="0.2">
      <c r="A86" s="10">
        <v>39000000</v>
      </c>
      <c r="B86" s="10" t="s">
        <v>64</v>
      </c>
      <c r="C86" s="11">
        <v>-208158.11300000001</v>
      </c>
      <c r="D86" s="11">
        <v>0</v>
      </c>
      <c r="E86" s="11">
        <v>0</v>
      </c>
      <c r="F86" s="13">
        <f>SUMIF('OD 08-24'!A:A,A86,'OD 08-24'!D:D)</f>
        <v>600000</v>
      </c>
      <c r="G86" s="13">
        <f>SUMIF('OD 08-24'!A:A,A86,'OD 08-24'!E:E)</f>
        <v>1001215.567</v>
      </c>
      <c r="H86" s="14">
        <f t="shared" si="2"/>
        <v>-401215.56700000004</v>
      </c>
      <c r="I86" s="14">
        <f t="shared" si="3"/>
        <v>-609373.68000000005</v>
      </c>
      <c r="J86" s="8" t="s">
        <v>65</v>
      </c>
      <c r="K86" s="8"/>
      <c r="M86" s="339"/>
      <c r="N86" s="315"/>
    </row>
    <row r="87" spans="1:14" s="9" customFormat="1" ht="11.25" customHeight="1" x14ac:dyDescent="0.2">
      <c r="A87" s="10">
        <v>40100000</v>
      </c>
      <c r="B87" s="10" t="s">
        <v>66</v>
      </c>
      <c r="C87" s="11">
        <v>-2875441.9530395269</v>
      </c>
      <c r="D87" s="11">
        <v>38586355.228050008</v>
      </c>
      <c r="E87" s="11">
        <v>37833362.638886005</v>
      </c>
      <c r="F87" s="13">
        <f>SUMIF('OD 08-24'!A:A,A87,'OD 08-24'!D:D)</f>
        <v>823434.255</v>
      </c>
      <c r="G87" s="13">
        <f>SUMIF('OD 08-24'!A:A,A87,'OD 08-24'!E:E)</f>
        <v>0</v>
      </c>
      <c r="H87" s="14">
        <f t="shared" si="2"/>
        <v>1576426.8441640064</v>
      </c>
      <c r="I87" s="14">
        <f t="shared" si="3"/>
        <v>-1299015.1088755205</v>
      </c>
      <c r="J87" s="8" t="s">
        <v>67</v>
      </c>
      <c r="K87" s="8"/>
      <c r="M87" s="339"/>
      <c r="N87" s="315"/>
    </row>
    <row r="88" spans="1:14" s="9" customFormat="1" ht="11.25" customHeight="1" x14ac:dyDescent="0.2">
      <c r="A88" s="10">
        <v>40300000</v>
      </c>
      <c r="B88" s="10" t="s">
        <v>68</v>
      </c>
      <c r="C88" s="11">
        <v>-970419.35000000149</v>
      </c>
      <c r="D88" s="11">
        <v>2098949.057</v>
      </c>
      <c r="E88" s="11">
        <v>1336947.9820000001</v>
      </c>
      <c r="F88" s="13">
        <f>SUMIF('OD 08-24'!A:A,A88,'OD 08-24'!D:D)</f>
        <v>0</v>
      </c>
      <c r="G88" s="13">
        <f>SUMIF('OD 08-24'!A:A,A88,'OD 08-24'!E:E)</f>
        <v>0</v>
      </c>
      <c r="H88" s="14">
        <f t="shared" si="2"/>
        <v>762001.07499999995</v>
      </c>
      <c r="I88" s="14">
        <f t="shared" si="3"/>
        <v>-208418.27500000154</v>
      </c>
      <c r="J88" s="8" t="s">
        <v>67</v>
      </c>
      <c r="K88" s="8"/>
      <c r="M88" s="339"/>
      <c r="N88" s="315"/>
    </row>
    <row r="89" spans="1:14" s="9" customFormat="1" ht="11.25" customHeight="1" x14ac:dyDescent="0.2">
      <c r="A89" s="10">
        <v>40301000</v>
      </c>
      <c r="B89" s="10" t="s">
        <v>302</v>
      </c>
      <c r="C89" s="11">
        <v>0</v>
      </c>
      <c r="D89" s="11">
        <v>0</v>
      </c>
      <c r="E89" s="11">
        <v>0</v>
      </c>
      <c r="F89" s="13">
        <f>SUMIF('OD 08-24'!A:A,A89,'OD 08-24'!D:D)</f>
        <v>0</v>
      </c>
      <c r="G89" s="13">
        <f>SUMIF('OD 08-24'!A:A,A89,'OD 08-24'!E:E)</f>
        <v>0</v>
      </c>
      <c r="H89" s="14">
        <f t="shared" si="2"/>
        <v>0</v>
      </c>
      <c r="I89" s="14">
        <f t="shared" si="3"/>
        <v>0</v>
      </c>
      <c r="J89" s="8"/>
      <c r="K89" s="8"/>
      <c r="M89" s="339"/>
      <c r="N89" s="315"/>
    </row>
    <row r="90" spans="1:14" s="9" customFormat="1" ht="11.25" customHeight="1" x14ac:dyDescent="0.2">
      <c r="A90" s="10">
        <v>40400000</v>
      </c>
      <c r="B90" s="10" t="s">
        <v>69</v>
      </c>
      <c r="C90" s="11">
        <v>9.999983012676239E-5</v>
      </c>
      <c r="D90" s="11">
        <v>0</v>
      </c>
      <c r="E90" s="11">
        <v>0</v>
      </c>
      <c r="F90" s="13">
        <f>SUMIF('OD 08-24'!A:A,A90,'OD 08-24'!D:D)</f>
        <v>0</v>
      </c>
      <c r="G90" s="13">
        <f>SUMIF('OD 08-24'!A:A,A90,'OD 08-24'!E:E)</f>
        <v>0</v>
      </c>
      <c r="H90" s="14">
        <f t="shared" si="2"/>
        <v>0</v>
      </c>
      <c r="I90" s="14">
        <f t="shared" si="3"/>
        <v>9.999983012676239E-5</v>
      </c>
      <c r="J90" s="8"/>
      <c r="K90" s="8"/>
      <c r="M90" s="339"/>
      <c r="N90" s="315"/>
    </row>
    <row r="91" spans="1:14" s="9" customFormat="1" ht="11.25" customHeight="1" x14ac:dyDescent="0.2">
      <c r="A91" s="10">
        <v>40470000</v>
      </c>
      <c r="B91" s="10" t="s">
        <v>303</v>
      </c>
      <c r="C91" s="11">
        <v>0</v>
      </c>
      <c r="D91" s="11">
        <v>0</v>
      </c>
      <c r="E91" s="11">
        <v>0</v>
      </c>
      <c r="F91" s="13">
        <f>SUMIF('OD 08-24'!A:A,A91,'OD 08-24'!D:D)</f>
        <v>0</v>
      </c>
      <c r="G91" s="13">
        <f>SUMIF('OD 08-24'!A:A,A91,'OD 08-24'!E:E)</f>
        <v>0</v>
      </c>
      <c r="H91" s="14">
        <f t="shared" si="2"/>
        <v>0</v>
      </c>
      <c r="I91" s="14">
        <f t="shared" si="3"/>
        <v>0</v>
      </c>
      <c r="J91" s="8"/>
      <c r="K91" s="8"/>
      <c r="M91" s="339"/>
      <c r="N91" s="315"/>
    </row>
    <row r="92" spans="1:14" s="9" customFormat="1" ht="11.25" customHeight="1" x14ac:dyDescent="0.2">
      <c r="A92" s="10">
        <v>40600000</v>
      </c>
      <c r="B92" s="10" t="s">
        <v>70</v>
      </c>
      <c r="C92" s="11">
        <v>-3111690.4287486374</v>
      </c>
      <c r="D92" s="11">
        <v>5244052.6944025001</v>
      </c>
      <c r="E92" s="11">
        <v>5263986.0071779992</v>
      </c>
      <c r="F92" s="13">
        <f>SUMIF('OD 08-24'!A:A,A92,'OD 08-24'!D:D)</f>
        <v>1649257.71</v>
      </c>
      <c r="G92" s="13">
        <f>SUMIF('OD 08-24'!A:A,A92,'OD 08-24'!E:E)</f>
        <v>1440128.993</v>
      </c>
      <c r="H92" s="14">
        <f t="shared" si="2"/>
        <v>189195.40422450076</v>
      </c>
      <c r="I92" s="14">
        <f t="shared" si="3"/>
        <v>-2922495.0245241364</v>
      </c>
      <c r="J92" s="8" t="s">
        <v>67</v>
      </c>
      <c r="K92" s="8"/>
      <c r="M92" s="339"/>
      <c r="N92" s="315"/>
    </row>
    <row r="93" spans="1:14" s="9" customFormat="1" ht="11.25" customHeight="1" x14ac:dyDescent="0.2">
      <c r="A93" s="10">
        <v>40800000</v>
      </c>
      <c r="B93" s="10" t="s">
        <v>71</v>
      </c>
      <c r="C93" s="11">
        <v>-4980</v>
      </c>
      <c r="D93" s="11">
        <v>0</v>
      </c>
      <c r="E93" s="11">
        <v>0</v>
      </c>
      <c r="F93" s="13">
        <f>SUMIF('OD 08-24'!A:A,A93,'OD 08-24'!D:D)</f>
        <v>0</v>
      </c>
      <c r="G93" s="13">
        <f>SUMIF('OD 08-24'!A:A,A93,'OD 08-24'!E:E)</f>
        <v>0</v>
      </c>
      <c r="H93" s="14">
        <f t="shared" si="2"/>
        <v>0</v>
      </c>
      <c r="I93" s="14">
        <f t="shared" si="3"/>
        <v>-4980</v>
      </c>
      <c r="J93" s="8" t="s">
        <v>67</v>
      </c>
      <c r="K93" s="8"/>
      <c r="M93" s="339"/>
      <c r="N93" s="315"/>
    </row>
    <row r="94" spans="1:14" s="9" customFormat="1" ht="11.25" customHeight="1" x14ac:dyDescent="0.2">
      <c r="A94" s="10">
        <v>40810000</v>
      </c>
      <c r="B94" s="10" t="s">
        <v>391</v>
      </c>
      <c r="C94" s="11">
        <v>-41980.576999999997</v>
      </c>
      <c r="D94" s="11">
        <v>40054.247000000003</v>
      </c>
      <c r="E94" s="11">
        <v>3169.0909999999994</v>
      </c>
      <c r="F94" s="13">
        <f>SUMIF('OD 08-24'!A:A,A94,'OD 08-24'!D:D)</f>
        <v>5123.701</v>
      </c>
      <c r="G94" s="13">
        <f>SUMIF('OD 08-24'!A:A,A94,'OD 08-24'!E:E)</f>
        <v>5123.701</v>
      </c>
      <c r="H94" s="14">
        <f t="shared" si="2"/>
        <v>36885.156000000003</v>
      </c>
      <c r="I94" s="14">
        <f t="shared" si="3"/>
        <v>-5095.4209999999948</v>
      </c>
      <c r="J94" s="8" t="s">
        <v>67</v>
      </c>
      <c r="K94" s="8"/>
      <c r="M94" s="339"/>
      <c r="N94" s="315"/>
    </row>
    <row r="95" spans="1:14" s="9" customFormat="1" ht="11.25" customHeight="1" x14ac:dyDescent="0.2">
      <c r="A95" s="10">
        <v>40860000</v>
      </c>
      <c r="B95" s="10" t="s">
        <v>304</v>
      </c>
      <c r="C95" s="11">
        <v>0</v>
      </c>
      <c r="D95" s="11">
        <v>0</v>
      </c>
      <c r="E95" s="11">
        <v>0</v>
      </c>
      <c r="F95" s="13">
        <f>SUMIF('OD 08-24'!A:A,A95,'OD 08-24'!D:D)</f>
        <v>0</v>
      </c>
      <c r="G95" s="13">
        <f>SUMIF('OD 08-24'!A:A,A95,'OD 08-24'!E:E)</f>
        <v>0</v>
      </c>
      <c r="H95" s="14">
        <f t="shared" si="2"/>
        <v>0</v>
      </c>
      <c r="I95" s="14">
        <f t="shared" si="3"/>
        <v>0</v>
      </c>
      <c r="J95" s="8"/>
      <c r="K95" s="8"/>
      <c r="M95" s="339"/>
      <c r="N95" s="315"/>
    </row>
    <row r="96" spans="1:14" s="9" customFormat="1" ht="11.25" customHeight="1" x14ac:dyDescent="0.2">
      <c r="A96" s="10">
        <v>40910000</v>
      </c>
      <c r="B96" s="10" t="s">
        <v>72</v>
      </c>
      <c r="C96" s="11">
        <v>0</v>
      </c>
      <c r="D96" s="11">
        <v>0</v>
      </c>
      <c r="E96" s="11">
        <v>0</v>
      </c>
      <c r="F96" s="13">
        <f>SUMIF('OD 08-24'!A:A,A96,'OD 08-24'!D:D)</f>
        <v>0</v>
      </c>
      <c r="G96" s="13">
        <f>SUMIF('OD 08-24'!A:A,A96,'OD 08-24'!E:E)</f>
        <v>0</v>
      </c>
      <c r="H96" s="14">
        <f t="shared" si="2"/>
        <v>0</v>
      </c>
      <c r="I96" s="14">
        <f t="shared" si="3"/>
        <v>0</v>
      </c>
      <c r="J96" s="8" t="s">
        <v>78</v>
      </c>
      <c r="K96" s="8"/>
      <c r="M96" s="339"/>
      <c r="N96" s="315"/>
    </row>
    <row r="97" spans="1:14" s="9" customFormat="1" ht="11.25" customHeight="1" x14ac:dyDescent="0.2">
      <c r="A97" s="10">
        <v>41100000</v>
      </c>
      <c r="B97" s="10" t="s">
        <v>73</v>
      </c>
      <c r="C97" s="11">
        <v>15614197.010682464</v>
      </c>
      <c r="D97" s="11">
        <f>49083160.867+3035</f>
        <v>49086195.866999999</v>
      </c>
      <c r="E97" s="11">
        <v>43830692.989</v>
      </c>
      <c r="F97" s="13">
        <f>SUMIF('OD 08-24'!A:A,A97,'OD 08-24'!D:D)</f>
        <v>0</v>
      </c>
      <c r="G97" s="13">
        <f>SUMIF('OD 08-24'!A:A,A97,'OD 08-24'!E:E)</f>
        <v>0</v>
      </c>
      <c r="H97" s="14">
        <f t="shared" si="2"/>
        <v>5255502.8779999986</v>
      </c>
      <c r="I97" s="14">
        <f t="shared" si="3"/>
        <v>20869699.888682462</v>
      </c>
      <c r="J97" s="8" t="s">
        <v>74</v>
      </c>
      <c r="K97" s="8"/>
      <c r="M97" s="339"/>
      <c r="N97" s="315"/>
    </row>
    <row r="98" spans="1:14" s="9" customFormat="1" ht="11.25" customHeight="1" x14ac:dyDescent="0.2">
      <c r="A98" s="10">
        <v>41301000</v>
      </c>
      <c r="B98" s="10" t="s">
        <v>305</v>
      </c>
      <c r="C98" s="11">
        <v>0</v>
      </c>
      <c r="D98" s="11">
        <v>0</v>
      </c>
      <c r="E98" s="11">
        <v>0</v>
      </c>
      <c r="F98" s="13">
        <f>SUMIF('OD 08-24'!A:A,A98,'OD 08-24'!D:D)</f>
        <v>0</v>
      </c>
      <c r="G98" s="13">
        <f>SUMIF('OD 08-24'!A:A,A98,'OD 08-24'!E:E)</f>
        <v>0</v>
      </c>
      <c r="H98" s="14">
        <f t="shared" si="2"/>
        <v>0</v>
      </c>
      <c r="I98" s="14">
        <f t="shared" si="3"/>
        <v>0</v>
      </c>
      <c r="J98" s="8"/>
      <c r="K98" s="8"/>
      <c r="M98" s="339"/>
      <c r="N98" s="315"/>
    </row>
    <row r="99" spans="1:14" s="9" customFormat="1" ht="11.25" customHeight="1" x14ac:dyDescent="0.2">
      <c r="A99" s="10">
        <v>41500000</v>
      </c>
      <c r="B99" s="10" t="s">
        <v>75</v>
      </c>
      <c r="C99" s="11">
        <v>3350188.1832604855</v>
      </c>
      <c r="D99" s="11">
        <v>10775714.127</v>
      </c>
      <c r="E99" s="11">
        <v>9922466.9330000002</v>
      </c>
      <c r="F99" s="13">
        <f>SUMIF('OD 08-24'!A:A,A99,'OD 08-24'!D:D)</f>
        <v>3757277.7850000001</v>
      </c>
      <c r="G99" s="13">
        <f>SUMIF('OD 08-24'!A:A,A99,'OD 08-24'!E:E)</f>
        <v>3757277.7850000001</v>
      </c>
      <c r="H99" s="14">
        <f t="shared" si="2"/>
        <v>853247.19400000013</v>
      </c>
      <c r="I99" s="14">
        <f t="shared" si="3"/>
        <v>4203435.3772604857</v>
      </c>
      <c r="J99" s="8" t="s">
        <v>74</v>
      </c>
      <c r="K99" s="8"/>
      <c r="M99" s="339"/>
      <c r="N99" s="315"/>
    </row>
    <row r="100" spans="1:14" s="9" customFormat="1" ht="11.25" customHeight="1" x14ac:dyDescent="0.2">
      <c r="A100" s="10">
        <v>41601000</v>
      </c>
      <c r="B100" s="10" t="s">
        <v>306</v>
      </c>
      <c r="C100" s="11">
        <v>0</v>
      </c>
      <c r="D100" s="11">
        <v>0</v>
      </c>
      <c r="E100" s="11">
        <v>0</v>
      </c>
      <c r="F100" s="13">
        <f>SUMIF('OD 08-24'!A:A,A100,'OD 08-24'!D:D)</f>
        <v>0</v>
      </c>
      <c r="G100" s="13">
        <f>SUMIF('OD 08-24'!A:A,A100,'OD 08-24'!E:E)</f>
        <v>0</v>
      </c>
      <c r="H100" s="14">
        <f t="shared" si="2"/>
        <v>0</v>
      </c>
      <c r="I100" s="14">
        <f t="shared" si="3"/>
        <v>0</v>
      </c>
      <c r="J100" s="8"/>
      <c r="K100" s="8"/>
      <c r="M100" s="339"/>
      <c r="N100" s="315"/>
    </row>
    <row r="101" spans="1:14" s="9" customFormat="1" ht="11.25" customHeight="1" x14ac:dyDescent="0.2">
      <c r="A101" s="10">
        <v>41800000</v>
      </c>
      <c r="B101" s="10" t="s">
        <v>307</v>
      </c>
      <c r="C101" s="11">
        <v>0</v>
      </c>
      <c r="D101" s="11">
        <v>0</v>
      </c>
      <c r="E101" s="11">
        <v>0</v>
      </c>
      <c r="F101" s="13">
        <f>SUMIF('OD 08-24'!A:A,A101,'OD 08-24'!D:D)</f>
        <v>0</v>
      </c>
      <c r="G101" s="13">
        <f>SUMIF('OD 08-24'!A:A,A101,'OD 08-24'!E:E)</f>
        <v>0</v>
      </c>
      <c r="H101" s="14">
        <f t="shared" si="2"/>
        <v>0</v>
      </c>
      <c r="I101" s="14">
        <f t="shared" si="3"/>
        <v>0</v>
      </c>
      <c r="J101" s="8"/>
      <c r="K101" s="8"/>
      <c r="M101" s="339"/>
      <c r="N101" s="315"/>
    </row>
    <row r="102" spans="1:14" s="9" customFormat="1" ht="11.25" customHeight="1" x14ac:dyDescent="0.2">
      <c r="A102" s="10">
        <v>41910000</v>
      </c>
      <c r="B102" s="10" t="s">
        <v>308</v>
      </c>
      <c r="C102" s="11">
        <v>0</v>
      </c>
      <c r="D102" s="11">
        <v>0</v>
      </c>
      <c r="E102" s="11">
        <v>0</v>
      </c>
      <c r="F102" s="13">
        <f>SUMIF('OD 08-24'!A:A,A102,'OD 08-24'!D:D)</f>
        <v>0</v>
      </c>
      <c r="G102" s="13">
        <f>SUMIF('OD 08-24'!A:A,A102,'OD 08-24'!E:E)</f>
        <v>0</v>
      </c>
      <c r="H102" s="14">
        <f t="shared" si="2"/>
        <v>0</v>
      </c>
      <c r="I102" s="14">
        <f t="shared" si="3"/>
        <v>0</v>
      </c>
      <c r="J102" s="8"/>
      <c r="K102" s="8"/>
      <c r="M102" s="339"/>
      <c r="N102" s="315"/>
    </row>
    <row r="103" spans="1:14" s="9" customFormat="1" ht="11.25" customHeight="1" x14ac:dyDescent="0.2">
      <c r="A103" s="10">
        <v>42100000</v>
      </c>
      <c r="B103" s="10" t="s">
        <v>76</v>
      </c>
      <c r="C103" s="11">
        <v>0</v>
      </c>
      <c r="D103" s="11">
        <v>240</v>
      </c>
      <c r="E103" s="11">
        <v>240</v>
      </c>
      <c r="F103" s="13">
        <f>SUMIF('OD 08-24'!A:A,A103,'OD 08-24'!D:D)</f>
        <v>0</v>
      </c>
      <c r="G103" s="13">
        <f>SUMIF('OD 08-24'!A:A,A103,'OD 08-24'!E:E)</f>
        <v>0</v>
      </c>
      <c r="H103" s="14">
        <f t="shared" si="2"/>
        <v>0</v>
      </c>
      <c r="I103" s="14">
        <f t="shared" si="3"/>
        <v>0</v>
      </c>
      <c r="J103" s="8"/>
      <c r="K103" s="8"/>
      <c r="M103" s="339"/>
      <c r="N103" s="315"/>
    </row>
    <row r="104" spans="1:14" s="9" customFormat="1" ht="11.25" customHeight="1" x14ac:dyDescent="0.2">
      <c r="A104" s="10">
        <v>42110000</v>
      </c>
      <c r="B104" s="10" t="s">
        <v>309</v>
      </c>
      <c r="C104" s="11">
        <v>0</v>
      </c>
      <c r="D104" s="11">
        <v>0</v>
      </c>
      <c r="E104" s="11">
        <v>0</v>
      </c>
      <c r="F104" s="13">
        <f>SUMIF('OD 08-24'!A:A,A104,'OD 08-24'!D:D)</f>
        <v>0</v>
      </c>
      <c r="G104" s="13">
        <f>SUMIF('OD 08-24'!A:A,A104,'OD 08-24'!E:E)</f>
        <v>0</v>
      </c>
      <c r="H104" s="14">
        <f t="shared" si="2"/>
        <v>0</v>
      </c>
      <c r="I104" s="14">
        <f t="shared" si="3"/>
        <v>0</v>
      </c>
      <c r="J104" s="8"/>
      <c r="K104" s="8"/>
      <c r="M104" s="339"/>
      <c r="N104" s="315"/>
    </row>
    <row r="105" spans="1:14" s="9" customFormat="1" ht="11.25" customHeight="1" x14ac:dyDescent="0.2">
      <c r="A105" s="10">
        <v>42120000</v>
      </c>
      <c r="B105" s="10" t="s">
        <v>77</v>
      </c>
      <c r="C105" s="11">
        <v>21139.859999999986</v>
      </c>
      <c r="D105" s="11">
        <v>95555</v>
      </c>
      <c r="E105" s="11">
        <v>65972.479000000007</v>
      </c>
      <c r="F105" s="13">
        <f>SUMIF('OD 08-24'!A:A,A105,'OD 08-24'!D:D)</f>
        <v>0</v>
      </c>
      <c r="G105" s="13">
        <f>SUMIF('OD 08-24'!A:A,A105,'OD 08-24'!E:E)</f>
        <v>0</v>
      </c>
      <c r="H105" s="14">
        <f t="shared" si="2"/>
        <v>29582.520999999993</v>
      </c>
      <c r="I105" s="14">
        <f t="shared" si="3"/>
        <v>50722.380999999979</v>
      </c>
      <c r="J105" s="8" t="s">
        <v>78</v>
      </c>
      <c r="K105" s="8"/>
      <c r="M105" s="339"/>
      <c r="N105" s="315"/>
    </row>
    <row r="106" spans="1:14" s="9" customFormat="1" ht="11.25" customHeight="1" x14ac:dyDescent="0.2">
      <c r="A106" s="10">
        <v>42400000</v>
      </c>
      <c r="B106" s="10" t="s">
        <v>79</v>
      </c>
      <c r="C106" s="11">
        <v>0</v>
      </c>
      <c r="D106" s="11">
        <v>0</v>
      </c>
      <c r="E106" s="11">
        <v>0</v>
      </c>
      <c r="F106" s="13">
        <f>SUMIF('OD 08-24'!A:A,A106,'OD 08-24'!D:D)</f>
        <v>0</v>
      </c>
      <c r="G106" s="13">
        <f>SUMIF('OD 08-24'!A:A,A106,'OD 08-24'!E:E)</f>
        <v>0</v>
      </c>
      <c r="H106" s="14">
        <f t="shared" si="2"/>
        <v>0</v>
      </c>
      <c r="I106" s="14">
        <f t="shared" si="3"/>
        <v>0</v>
      </c>
      <c r="J106" s="8"/>
      <c r="K106" s="8"/>
      <c r="M106" s="339"/>
      <c r="N106" s="315"/>
    </row>
    <row r="107" spans="1:14" s="9" customFormat="1" ht="11.25" customHeight="1" x14ac:dyDescent="0.2">
      <c r="A107" s="10">
        <v>42500000</v>
      </c>
      <c r="B107" s="10" t="s">
        <v>80</v>
      </c>
      <c r="C107" s="11">
        <v>-180820.1429999955</v>
      </c>
      <c r="D107" s="11">
        <v>2502528.5380000002</v>
      </c>
      <c r="E107" s="11">
        <v>2300678.54</v>
      </c>
      <c r="F107" s="13">
        <f>SUMIF('OD 08-24'!A:A,A107,'OD 08-24'!D:D)</f>
        <v>0</v>
      </c>
      <c r="G107" s="13">
        <f>SUMIF('OD 08-24'!A:A,A107,'OD 08-24'!E:E)</f>
        <v>0</v>
      </c>
      <c r="H107" s="14">
        <f t="shared" si="2"/>
        <v>201849.99800000014</v>
      </c>
      <c r="I107" s="14">
        <f t="shared" si="3"/>
        <v>21029.855000004638</v>
      </c>
      <c r="J107" s="8" t="s">
        <v>81</v>
      </c>
      <c r="K107" s="8"/>
      <c r="M107" s="339"/>
      <c r="N107" s="315"/>
    </row>
    <row r="108" spans="1:14" s="9" customFormat="1" ht="11.25" customHeight="1" x14ac:dyDescent="0.2">
      <c r="A108" s="10">
        <v>42700000</v>
      </c>
      <c r="B108" s="10" t="s">
        <v>310</v>
      </c>
      <c r="C108" s="11">
        <v>0</v>
      </c>
      <c r="D108" s="11">
        <v>0</v>
      </c>
      <c r="E108" s="11">
        <v>0</v>
      </c>
      <c r="F108" s="13">
        <f>SUMIF('OD 08-24'!A:A,A108,'OD 08-24'!D:D)</f>
        <v>0</v>
      </c>
      <c r="G108" s="13">
        <f>SUMIF('OD 08-24'!A:A,A108,'OD 08-24'!E:E)</f>
        <v>0</v>
      </c>
      <c r="H108" s="14">
        <f t="shared" si="2"/>
        <v>0</v>
      </c>
      <c r="I108" s="14">
        <f t="shared" si="3"/>
        <v>0</v>
      </c>
      <c r="J108" s="8"/>
      <c r="K108" s="8"/>
      <c r="M108" s="339"/>
      <c r="N108" s="315"/>
    </row>
    <row r="109" spans="1:14" s="9" customFormat="1" ht="11.25" customHeight="1" x14ac:dyDescent="0.2">
      <c r="A109" s="10">
        <v>42710000</v>
      </c>
      <c r="B109" s="10" t="s">
        <v>82</v>
      </c>
      <c r="C109" s="11">
        <v>-2433.5259999999907</v>
      </c>
      <c r="D109" s="11">
        <v>6029.0930000000008</v>
      </c>
      <c r="E109" s="11">
        <v>5982.3249999999998</v>
      </c>
      <c r="F109" s="13">
        <f>SUMIF('OD 08-24'!A:A,A109,'OD 08-24'!D:D)</f>
        <v>0</v>
      </c>
      <c r="G109" s="13">
        <f>SUMIF('OD 08-24'!A:A,A109,'OD 08-24'!E:E)</f>
        <v>0</v>
      </c>
      <c r="H109" s="14">
        <f t="shared" si="2"/>
        <v>46.768000000000939</v>
      </c>
      <c r="I109" s="14">
        <f t="shared" si="3"/>
        <v>-2386.7579999999898</v>
      </c>
      <c r="J109" s="8" t="s">
        <v>81</v>
      </c>
      <c r="K109" s="8"/>
      <c r="M109" s="339"/>
      <c r="N109" s="315"/>
    </row>
    <row r="110" spans="1:14" s="9" customFormat="1" ht="11.25" customHeight="1" x14ac:dyDescent="0.2">
      <c r="A110" s="10">
        <v>42820000</v>
      </c>
      <c r="B110" s="10" t="s">
        <v>83</v>
      </c>
      <c r="C110" s="11">
        <v>-245931.41399999941</v>
      </c>
      <c r="D110" s="11">
        <v>245931.41399999996</v>
      </c>
      <c r="E110" s="11">
        <v>0</v>
      </c>
      <c r="F110" s="13">
        <f>SUMIF('OD 08-24'!A:A,A110,'OD 08-24'!D:D)</f>
        <v>2560652.4890000001</v>
      </c>
      <c r="G110" s="13">
        <f>SUMIF('OD 08-24'!A:A,A110,'OD 08-24'!E:E)</f>
        <v>2804487.4890000001</v>
      </c>
      <c r="H110" s="14">
        <f t="shared" si="2"/>
        <v>2096.4139999998733</v>
      </c>
      <c r="I110" s="14">
        <f t="shared" si="3"/>
        <v>-243834.99999999953</v>
      </c>
      <c r="J110" s="8" t="s">
        <v>81</v>
      </c>
      <c r="K110" s="8"/>
      <c r="M110" s="339"/>
      <c r="N110" s="315"/>
    </row>
    <row r="111" spans="1:14" s="9" customFormat="1" ht="11.25" customHeight="1" x14ac:dyDescent="0.2">
      <c r="A111" s="10">
        <v>43200000</v>
      </c>
      <c r="B111" s="10" t="s">
        <v>311</v>
      </c>
      <c r="C111" s="11">
        <v>0</v>
      </c>
      <c r="D111" s="11">
        <v>0</v>
      </c>
      <c r="E111" s="11">
        <v>0</v>
      </c>
      <c r="F111" s="13">
        <f>SUMIF('OD 08-24'!A:A,A111,'OD 08-24'!D:D)</f>
        <v>0</v>
      </c>
      <c r="G111" s="13">
        <f>SUMIF('OD 08-24'!A:A,A111,'OD 08-24'!E:E)</f>
        <v>0</v>
      </c>
      <c r="H111" s="14">
        <f t="shared" si="2"/>
        <v>0</v>
      </c>
      <c r="I111" s="14">
        <f t="shared" si="3"/>
        <v>0</v>
      </c>
      <c r="J111" s="8"/>
      <c r="K111" s="8"/>
      <c r="M111" s="339"/>
      <c r="N111" s="315"/>
    </row>
    <row r="112" spans="1:14" s="9" customFormat="1" ht="11.25" customHeight="1" x14ac:dyDescent="0.2">
      <c r="A112" s="10">
        <v>43210000</v>
      </c>
      <c r="B112" s="10" t="s">
        <v>84</v>
      </c>
      <c r="C112" s="11">
        <v>0</v>
      </c>
      <c r="D112" s="11">
        <v>490222.05700000003</v>
      </c>
      <c r="E112" s="11">
        <v>548650.96899999992</v>
      </c>
      <c r="F112" s="13">
        <f>SUMIF('OD 08-24'!A:A,A112,'OD 08-24'!D:D)</f>
        <v>0</v>
      </c>
      <c r="G112" s="13">
        <f>SUMIF('OD 08-24'!A:A,A112,'OD 08-24'!E:E)</f>
        <v>0</v>
      </c>
      <c r="H112" s="14">
        <f t="shared" si="2"/>
        <v>-58428.911999999895</v>
      </c>
      <c r="I112" s="14">
        <f t="shared" si="3"/>
        <v>-58428.911999999895</v>
      </c>
      <c r="J112" s="8" t="s">
        <v>81</v>
      </c>
      <c r="K112" s="8"/>
      <c r="M112" s="339"/>
      <c r="N112" s="315"/>
    </row>
    <row r="113" spans="1:14" s="9" customFormat="1" ht="11.25" customHeight="1" x14ac:dyDescent="0.2">
      <c r="A113" s="10">
        <v>43211000</v>
      </c>
      <c r="B113" s="10" t="s">
        <v>312</v>
      </c>
      <c r="C113" s="11">
        <v>0</v>
      </c>
      <c r="D113" s="11">
        <v>2549.4430000000002</v>
      </c>
      <c r="E113" s="11">
        <v>2549.4430000000002</v>
      </c>
      <c r="F113" s="13">
        <f>SUMIF('OD 08-24'!A:A,A113,'OD 08-24'!D:D)</f>
        <v>0</v>
      </c>
      <c r="G113" s="13">
        <f>SUMIF('OD 08-24'!A:A,A113,'OD 08-24'!E:E)</f>
        <v>0</v>
      </c>
      <c r="H113" s="14">
        <f t="shared" si="2"/>
        <v>0</v>
      </c>
      <c r="I113" s="14">
        <f t="shared" si="3"/>
        <v>0</v>
      </c>
      <c r="J113" s="8" t="s">
        <v>81</v>
      </c>
      <c r="K113" s="8"/>
      <c r="M113" s="339"/>
      <c r="N113" s="315"/>
    </row>
    <row r="114" spans="1:14" s="9" customFormat="1" ht="11.25" customHeight="1" x14ac:dyDescent="0.2">
      <c r="A114" s="10">
        <v>43211500</v>
      </c>
      <c r="B114" s="10" t="s">
        <v>85</v>
      </c>
      <c r="C114" s="11">
        <v>0</v>
      </c>
      <c r="D114" s="11">
        <v>149.95400000000001</v>
      </c>
      <c r="E114" s="11">
        <v>149.95499999999998</v>
      </c>
      <c r="F114" s="13">
        <f>SUMIF('OD 08-24'!A:A,A114,'OD 08-24'!D:D)</f>
        <v>0</v>
      </c>
      <c r="G114" s="13">
        <f>SUMIF('OD 08-24'!A:A,A114,'OD 08-24'!E:E)</f>
        <v>0</v>
      </c>
      <c r="H114" s="14">
        <f t="shared" si="2"/>
        <v>-9.9999999997635314E-4</v>
      </c>
      <c r="I114" s="14">
        <f t="shared" si="3"/>
        <v>-9.9999999997635314E-4</v>
      </c>
      <c r="J114" s="8" t="s">
        <v>81</v>
      </c>
      <c r="K114" s="8"/>
      <c r="M114" s="339"/>
      <c r="N114" s="315"/>
    </row>
    <row r="115" spans="1:14" s="9" customFormat="1" ht="11.25" customHeight="1" x14ac:dyDescent="0.2">
      <c r="A115" s="10">
        <v>43212500</v>
      </c>
      <c r="B115" s="10" t="s">
        <v>313</v>
      </c>
      <c r="C115" s="11">
        <v>0</v>
      </c>
      <c r="D115" s="11">
        <v>0</v>
      </c>
      <c r="E115" s="11">
        <v>0</v>
      </c>
      <c r="F115" s="13">
        <f>SUMIF('OD 08-24'!A:A,A115,'OD 08-24'!D:D)</f>
        <v>0</v>
      </c>
      <c r="G115" s="13">
        <f>SUMIF('OD 08-24'!A:A,A115,'OD 08-24'!E:E)</f>
        <v>0</v>
      </c>
      <c r="H115" s="14">
        <f t="shared" si="2"/>
        <v>0</v>
      </c>
      <c r="I115" s="14">
        <f t="shared" si="3"/>
        <v>0</v>
      </c>
      <c r="J115" s="8"/>
      <c r="K115" s="8"/>
      <c r="M115" s="339"/>
      <c r="N115" s="315"/>
    </row>
    <row r="116" spans="1:14" s="9" customFormat="1" ht="11.25" customHeight="1" x14ac:dyDescent="0.2">
      <c r="A116" s="10">
        <v>43215000</v>
      </c>
      <c r="B116" s="10" t="s">
        <v>314</v>
      </c>
      <c r="C116" s="11">
        <v>0</v>
      </c>
      <c r="D116" s="11">
        <v>0</v>
      </c>
      <c r="E116" s="11">
        <v>0</v>
      </c>
      <c r="F116" s="13">
        <f>SUMIF('OD 08-24'!A:A,A116,'OD 08-24'!D:D)</f>
        <v>0</v>
      </c>
      <c r="G116" s="13">
        <f>SUMIF('OD 08-24'!A:A,A116,'OD 08-24'!E:E)</f>
        <v>0</v>
      </c>
      <c r="H116" s="14">
        <f t="shared" si="2"/>
        <v>0</v>
      </c>
      <c r="I116" s="14">
        <f t="shared" si="3"/>
        <v>0</v>
      </c>
      <c r="J116" s="8"/>
      <c r="K116" s="8"/>
      <c r="M116" s="339"/>
      <c r="N116" s="315"/>
    </row>
    <row r="117" spans="1:14" s="9" customFormat="1" ht="11.25" customHeight="1" x14ac:dyDescent="0.2">
      <c r="A117" s="10">
        <v>43220000</v>
      </c>
      <c r="B117" s="10" t="s">
        <v>86</v>
      </c>
      <c r="C117" s="11">
        <v>0</v>
      </c>
      <c r="D117" s="11">
        <v>47808.722999999998</v>
      </c>
      <c r="E117" s="11">
        <v>47808.759000000005</v>
      </c>
      <c r="F117" s="13">
        <f>SUMIF('OD 08-24'!A:A,A117,'OD 08-24'!D:D)</f>
        <v>0</v>
      </c>
      <c r="G117" s="13">
        <f>SUMIF('OD 08-24'!A:A,A117,'OD 08-24'!E:E)</f>
        <v>0</v>
      </c>
      <c r="H117" s="14">
        <f t="shared" si="2"/>
        <v>-3.6000000007334165E-2</v>
      </c>
      <c r="I117" s="14">
        <f t="shared" si="3"/>
        <v>-3.6000000007334165E-2</v>
      </c>
      <c r="J117" s="8" t="s">
        <v>81</v>
      </c>
      <c r="K117" s="8"/>
      <c r="M117" s="339"/>
      <c r="N117" s="315"/>
    </row>
    <row r="118" spans="1:14" s="9" customFormat="1" ht="11.25" customHeight="1" x14ac:dyDescent="0.2">
      <c r="A118" s="10">
        <v>43220050</v>
      </c>
      <c r="B118" s="10" t="s">
        <v>315</v>
      </c>
      <c r="C118" s="11">
        <v>4.7000000002299203E-2</v>
      </c>
      <c r="D118" s="11">
        <v>2.98</v>
      </c>
      <c r="E118" s="11">
        <v>2.98</v>
      </c>
      <c r="F118" s="13">
        <f>SUMIF('OD 08-24'!A:A,A118,'OD 08-24'!D:D)</f>
        <v>0</v>
      </c>
      <c r="G118" s="13">
        <f>SUMIF('OD 08-24'!A:A,A118,'OD 08-24'!E:E)</f>
        <v>0</v>
      </c>
      <c r="H118" s="14">
        <f t="shared" si="2"/>
        <v>0</v>
      </c>
      <c r="I118" s="14">
        <f t="shared" si="3"/>
        <v>4.7000000002299203E-2</v>
      </c>
      <c r="J118" s="8" t="s">
        <v>78</v>
      </c>
      <c r="K118" s="8"/>
      <c r="M118" s="339"/>
      <c r="N118" s="315"/>
    </row>
    <row r="119" spans="1:14" s="9" customFormat="1" ht="11.25" customHeight="1" x14ac:dyDescent="0.2">
      <c r="A119" s="10">
        <v>43220100</v>
      </c>
      <c r="B119" s="10" t="s">
        <v>87</v>
      </c>
      <c r="C119" s="11">
        <v>0</v>
      </c>
      <c r="D119" s="11">
        <v>141224.01699999999</v>
      </c>
      <c r="E119" s="11">
        <v>153992.367</v>
      </c>
      <c r="F119" s="13">
        <f>SUMIF('OD 08-24'!A:A,A119,'OD 08-24'!D:D)</f>
        <v>0</v>
      </c>
      <c r="G119" s="13">
        <f>SUMIF('OD 08-24'!A:A,A119,'OD 08-24'!E:E)</f>
        <v>0</v>
      </c>
      <c r="H119" s="14">
        <f t="shared" si="2"/>
        <v>-12768.350000000006</v>
      </c>
      <c r="I119" s="14">
        <f t="shared" si="3"/>
        <v>-12768.350000000006</v>
      </c>
      <c r="J119" s="8" t="s">
        <v>81</v>
      </c>
      <c r="K119" s="8"/>
      <c r="M119" s="339"/>
      <c r="N119" s="315"/>
    </row>
    <row r="120" spans="1:14" s="9" customFormat="1" ht="11.25" customHeight="1" x14ac:dyDescent="0.2">
      <c r="A120" s="10">
        <v>43220300</v>
      </c>
      <c r="B120" s="10" t="s">
        <v>88</v>
      </c>
      <c r="C120" s="11">
        <v>0</v>
      </c>
      <c r="D120" s="11">
        <v>2590.67</v>
      </c>
      <c r="E120" s="11">
        <v>1857.779</v>
      </c>
      <c r="F120" s="13">
        <f>SUMIF('OD 08-24'!A:A,A120,'OD 08-24'!D:D)</f>
        <v>0</v>
      </c>
      <c r="G120" s="13">
        <f>SUMIF('OD 08-24'!A:A,A120,'OD 08-24'!E:E)</f>
        <v>0</v>
      </c>
      <c r="H120" s="14">
        <f t="shared" si="2"/>
        <v>732.89100000000008</v>
      </c>
      <c r="I120" s="14">
        <f t="shared" si="3"/>
        <v>732.89100000000008</v>
      </c>
      <c r="J120" s="8" t="s">
        <v>81</v>
      </c>
      <c r="K120" s="8"/>
      <c r="M120" s="339"/>
      <c r="N120" s="315"/>
    </row>
    <row r="121" spans="1:14" s="9" customFormat="1" ht="11.25" customHeight="1" x14ac:dyDescent="0.2">
      <c r="A121" s="10">
        <v>43221000</v>
      </c>
      <c r="B121" s="10" t="s">
        <v>89</v>
      </c>
      <c r="C121" s="11">
        <v>0</v>
      </c>
      <c r="D121" s="11">
        <v>22.221999999999998</v>
      </c>
      <c r="E121" s="11">
        <v>44.443999999999996</v>
      </c>
      <c r="F121" s="13">
        <f>SUMIF('OD 08-24'!A:A,A121,'OD 08-24'!D:D)</f>
        <v>0</v>
      </c>
      <c r="G121" s="13">
        <f>SUMIF('OD 08-24'!A:A,A121,'OD 08-24'!E:E)</f>
        <v>0</v>
      </c>
      <c r="H121" s="14">
        <f t="shared" si="2"/>
        <v>-22.221999999999998</v>
      </c>
      <c r="I121" s="14">
        <f t="shared" si="3"/>
        <v>-22.221999999999998</v>
      </c>
      <c r="J121" s="8" t="s">
        <v>81</v>
      </c>
      <c r="K121" s="8"/>
      <c r="M121" s="339"/>
      <c r="N121" s="315"/>
    </row>
    <row r="122" spans="1:14" s="9" customFormat="1" ht="11.25" customHeight="1" x14ac:dyDescent="0.2">
      <c r="A122" s="10">
        <v>43222000</v>
      </c>
      <c r="B122" s="10" t="s">
        <v>316</v>
      </c>
      <c r="C122" s="11">
        <v>0</v>
      </c>
      <c r="D122" s="11">
        <v>81636.790000000008</v>
      </c>
      <c r="E122" s="11">
        <v>81636.790000000008</v>
      </c>
      <c r="F122" s="13">
        <f>SUMIF('OD 08-24'!A:A,A122,'OD 08-24'!D:D)</f>
        <v>0</v>
      </c>
      <c r="G122" s="13">
        <f>SUMIF('OD 08-24'!A:A,A122,'OD 08-24'!E:E)</f>
        <v>0</v>
      </c>
      <c r="H122" s="14">
        <f t="shared" si="2"/>
        <v>0</v>
      </c>
      <c r="I122" s="14">
        <f t="shared" si="3"/>
        <v>0</v>
      </c>
      <c r="J122" s="8" t="s">
        <v>78</v>
      </c>
      <c r="K122" s="8"/>
      <c r="M122" s="339"/>
      <c r="N122" s="315"/>
    </row>
    <row r="123" spans="1:14" s="9" customFormat="1" ht="11.25" customHeight="1" x14ac:dyDescent="0.2">
      <c r="A123" s="10">
        <v>43223000</v>
      </c>
      <c r="B123" s="10" t="s">
        <v>90</v>
      </c>
      <c r="C123" s="11">
        <v>-40912.060000000027</v>
      </c>
      <c r="D123" s="11">
        <v>52882.921999999999</v>
      </c>
      <c r="E123" s="11">
        <v>12905.818000000001</v>
      </c>
      <c r="F123" s="13">
        <f>SUMIF('OD 08-24'!A:A,A123,'OD 08-24'!D:D)</f>
        <v>0</v>
      </c>
      <c r="G123" s="13">
        <f>SUMIF('OD 08-24'!A:A,A123,'OD 08-24'!E:E)</f>
        <v>0</v>
      </c>
      <c r="H123" s="14">
        <f t="shared" si="2"/>
        <v>39977.103999999999</v>
      </c>
      <c r="I123" s="14">
        <f t="shared" si="3"/>
        <v>-934.95600000002742</v>
      </c>
      <c r="J123" s="8" t="s">
        <v>81</v>
      </c>
      <c r="K123" s="8"/>
      <c r="M123" s="339"/>
      <c r="N123" s="315"/>
    </row>
    <row r="124" spans="1:14" s="9" customFormat="1" ht="11.25" customHeight="1" x14ac:dyDescent="0.2">
      <c r="A124" s="10">
        <v>43310000</v>
      </c>
      <c r="B124" s="10" t="s">
        <v>317</v>
      </c>
      <c r="C124" s="11">
        <v>0</v>
      </c>
      <c r="D124" s="11">
        <v>0</v>
      </c>
      <c r="E124" s="11">
        <v>0</v>
      </c>
      <c r="F124" s="13">
        <f>SUMIF('OD 08-24'!A:A,A124,'OD 08-24'!D:D)</f>
        <v>0</v>
      </c>
      <c r="G124" s="13">
        <f>SUMIF('OD 08-24'!A:A,A124,'OD 08-24'!E:E)</f>
        <v>0</v>
      </c>
      <c r="H124" s="14">
        <f t="shared" si="2"/>
        <v>0</v>
      </c>
      <c r="I124" s="14">
        <f t="shared" si="3"/>
        <v>0</v>
      </c>
      <c r="J124" s="8"/>
      <c r="K124" s="8"/>
      <c r="M124" s="339"/>
      <c r="N124" s="315"/>
    </row>
    <row r="125" spans="1:14" s="9" customFormat="1" ht="11.25" customHeight="1" x14ac:dyDescent="0.2">
      <c r="A125" s="10">
        <v>43400000</v>
      </c>
      <c r="B125" s="10" t="s">
        <v>91</v>
      </c>
      <c r="C125" s="11">
        <v>967729.65199999954</v>
      </c>
      <c r="D125" s="11">
        <v>0</v>
      </c>
      <c r="E125" s="11">
        <v>0</v>
      </c>
      <c r="F125" s="13">
        <f>SUMIF('OD 08-24'!A:A,A125,'OD 08-24'!D:D)</f>
        <v>0</v>
      </c>
      <c r="G125" s="13">
        <f>SUMIF('OD 08-24'!A:A,A125,'OD 08-24'!E:E)</f>
        <v>0</v>
      </c>
      <c r="H125" s="14">
        <f t="shared" si="2"/>
        <v>0</v>
      </c>
      <c r="I125" s="14">
        <f t="shared" si="3"/>
        <v>967729.65199999954</v>
      </c>
      <c r="J125" s="8" t="s">
        <v>78</v>
      </c>
      <c r="K125" s="8"/>
      <c r="M125" s="339"/>
      <c r="N125" s="315"/>
    </row>
    <row r="126" spans="1:14" s="9" customFormat="1" ht="11.25" customHeight="1" x14ac:dyDescent="0.2">
      <c r="A126" s="10">
        <v>43410000</v>
      </c>
      <c r="B126" s="10" t="s">
        <v>318</v>
      </c>
      <c r="C126" s="11">
        <v>0</v>
      </c>
      <c r="D126" s="11">
        <v>244595.731</v>
      </c>
      <c r="E126" s="11">
        <v>0</v>
      </c>
      <c r="F126" s="13">
        <f>SUMIF('OD 08-24'!A:A,A126,'OD 08-24'!D:D)</f>
        <v>0</v>
      </c>
      <c r="G126" s="13">
        <f>SUMIF('OD 08-24'!A:A,A126,'OD 08-24'!E:E)</f>
        <v>0</v>
      </c>
      <c r="H126" s="14">
        <f t="shared" si="2"/>
        <v>244595.731</v>
      </c>
      <c r="I126" s="14">
        <f t="shared" si="3"/>
        <v>244595.731</v>
      </c>
      <c r="J126" s="8" t="s">
        <v>78</v>
      </c>
      <c r="K126" s="8"/>
      <c r="M126" s="339"/>
      <c r="N126" s="315"/>
    </row>
    <row r="127" spans="1:14" s="9" customFormat="1" ht="11.25" customHeight="1" x14ac:dyDescent="0.2">
      <c r="A127" s="10">
        <v>43420000</v>
      </c>
      <c r="B127" s="10" t="s">
        <v>92</v>
      </c>
      <c r="C127" s="11">
        <v>0</v>
      </c>
      <c r="D127" s="11">
        <v>0</v>
      </c>
      <c r="E127" s="11">
        <v>0</v>
      </c>
      <c r="F127" s="13">
        <f>SUMIF('OD 08-24'!A:A,A127,'OD 08-24'!D:D)</f>
        <v>0</v>
      </c>
      <c r="G127" s="13">
        <f>SUMIF('OD 08-24'!A:A,A127,'OD 08-24'!E:E)</f>
        <v>0</v>
      </c>
      <c r="H127" s="14">
        <f t="shared" si="2"/>
        <v>0</v>
      </c>
      <c r="I127" s="14">
        <f t="shared" si="3"/>
        <v>0</v>
      </c>
      <c r="J127" s="8"/>
      <c r="K127" s="8"/>
      <c r="M127" s="339"/>
      <c r="N127" s="315"/>
    </row>
    <row r="128" spans="1:14" s="9" customFormat="1" ht="11.25" customHeight="1" x14ac:dyDescent="0.2">
      <c r="A128" s="10">
        <v>43430000</v>
      </c>
      <c r="B128" s="10" t="s">
        <v>319</v>
      </c>
      <c r="C128" s="11">
        <v>0</v>
      </c>
      <c r="D128" s="11">
        <v>135.946</v>
      </c>
      <c r="E128" s="11">
        <v>135.946</v>
      </c>
      <c r="F128" s="13">
        <f>SUMIF('OD 08-24'!A:A,A128,'OD 08-24'!D:D)</f>
        <v>0</v>
      </c>
      <c r="G128" s="13">
        <f>SUMIF('OD 08-24'!A:A,A128,'OD 08-24'!E:E)</f>
        <v>0</v>
      </c>
      <c r="H128" s="14">
        <f t="shared" si="2"/>
        <v>0</v>
      </c>
      <c r="I128" s="14">
        <f t="shared" si="3"/>
        <v>0</v>
      </c>
      <c r="J128" s="8" t="s">
        <v>78</v>
      </c>
      <c r="K128" s="8"/>
      <c r="M128" s="339"/>
      <c r="N128" s="315"/>
    </row>
    <row r="129" spans="1:14" s="9" customFormat="1" ht="11.25" customHeight="1" x14ac:dyDescent="0.2">
      <c r="A129" s="10">
        <v>43440000</v>
      </c>
      <c r="B129" s="10" t="s">
        <v>320</v>
      </c>
      <c r="C129" s="11">
        <v>0</v>
      </c>
      <c r="D129" s="11">
        <v>6135.9</v>
      </c>
      <c r="E129" s="11">
        <v>6135.9</v>
      </c>
      <c r="F129" s="13">
        <f>SUMIF('OD 08-24'!A:A,A129,'OD 08-24'!D:D)</f>
        <v>0</v>
      </c>
      <c r="G129" s="13">
        <f>SUMIF('OD 08-24'!A:A,A129,'OD 08-24'!E:E)</f>
        <v>0</v>
      </c>
      <c r="H129" s="14">
        <f t="shared" si="2"/>
        <v>0</v>
      </c>
      <c r="I129" s="14">
        <f t="shared" si="3"/>
        <v>0</v>
      </c>
      <c r="J129" s="8" t="s">
        <v>78</v>
      </c>
      <c r="K129" s="8"/>
      <c r="M129" s="339"/>
      <c r="N129" s="315"/>
    </row>
    <row r="130" spans="1:14" s="9" customFormat="1" ht="11.25" customHeight="1" x14ac:dyDescent="0.2">
      <c r="A130" s="10">
        <v>43500000</v>
      </c>
      <c r="B130" s="10" t="s">
        <v>321</v>
      </c>
      <c r="C130" s="11">
        <v>-70408.270000000484</v>
      </c>
      <c r="D130" s="11">
        <v>628248.79599999997</v>
      </c>
      <c r="E130" s="11">
        <v>776119.88099999994</v>
      </c>
      <c r="F130" s="13">
        <f>SUMIF('OD 08-24'!A:A,A130,'OD 08-24'!D:D)</f>
        <v>0</v>
      </c>
      <c r="G130" s="13">
        <f>SUMIF('OD 08-24'!A:A,A130,'OD 08-24'!E:E)</f>
        <v>0</v>
      </c>
      <c r="H130" s="14">
        <f t="shared" si="2"/>
        <v>-147871.08499999996</v>
      </c>
      <c r="I130" s="14">
        <f t="shared" si="3"/>
        <v>-218279.35500000045</v>
      </c>
      <c r="J130" s="8" t="s">
        <v>81</v>
      </c>
      <c r="K130" s="8"/>
      <c r="M130" s="339"/>
      <c r="N130" s="315"/>
    </row>
    <row r="131" spans="1:14" s="9" customFormat="1" ht="11.25" customHeight="1" x14ac:dyDescent="0.2">
      <c r="A131" s="10">
        <v>43600000</v>
      </c>
      <c r="B131" s="10" t="s">
        <v>93</v>
      </c>
      <c r="C131" s="11">
        <v>697619.66200000048</v>
      </c>
      <c r="D131" s="11">
        <v>6799204.6349999998</v>
      </c>
      <c r="E131" s="11">
        <v>5193248.2929999996</v>
      </c>
      <c r="F131" s="13">
        <f>SUMIF('OD 08-24'!A:A,A131,'OD 08-24'!D:D)</f>
        <v>0</v>
      </c>
      <c r="G131" s="13">
        <f>SUMIF('OD 08-24'!A:A,A131,'OD 08-24'!E:E)</f>
        <v>0</v>
      </c>
      <c r="H131" s="14">
        <f t="shared" ref="H131:H195" si="4">+D131+F131-E131-G131</f>
        <v>1605956.3420000002</v>
      </c>
      <c r="I131" s="14">
        <f t="shared" ref="I131:I195" si="5">+H131+C131</f>
        <v>2303576.0040000007</v>
      </c>
      <c r="J131" s="8" t="s">
        <v>78</v>
      </c>
      <c r="K131" s="8"/>
      <c r="M131" s="339"/>
      <c r="N131" s="315"/>
    </row>
    <row r="132" spans="1:14" s="9" customFormat="1" ht="11.25" customHeight="1" x14ac:dyDescent="0.2">
      <c r="A132" s="10">
        <v>43625000</v>
      </c>
      <c r="B132" s="10" t="s">
        <v>94</v>
      </c>
      <c r="C132" s="11">
        <v>0</v>
      </c>
      <c r="D132" s="11">
        <v>202580.73199999999</v>
      </c>
      <c r="E132" s="11">
        <v>241448.72099999999</v>
      </c>
      <c r="F132" s="13">
        <f>SUMIF('OD 08-24'!A:A,A132,'OD 08-24'!D:D)</f>
        <v>0</v>
      </c>
      <c r="G132" s="13">
        <f>SUMIF('OD 08-24'!A:A,A132,'OD 08-24'!E:E)</f>
        <v>0</v>
      </c>
      <c r="H132" s="14">
        <f t="shared" si="4"/>
        <v>-38867.989000000001</v>
      </c>
      <c r="I132" s="14">
        <f t="shared" si="5"/>
        <v>-38867.989000000001</v>
      </c>
      <c r="J132" s="8" t="s">
        <v>81</v>
      </c>
      <c r="K132" s="8"/>
      <c r="M132" s="339"/>
      <c r="N132" s="315"/>
    </row>
    <row r="133" spans="1:14" s="9" customFormat="1" ht="11.25" customHeight="1" x14ac:dyDescent="0.2">
      <c r="A133" s="10">
        <v>43627000</v>
      </c>
      <c r="B133" s="10" t="s">
        <v>95</v>
      </c>
      <c r="C133" s="11">
        <v>1.0999999940395355E-2</v>
      </c>
      <c r="D133" s="11">
        <v>1418065.125</v>
      </c>
      <c r="E133" s="11">
        <v>1690141.0240000002</v>
      </c>
      <c r="F133" s="13">
        <f>SUMIF('OD 08-24'!A:A,A133,'OD 08-24'!D:D)</f>
        <v>0</v>
      </c>
      <c r="G133" s="13">
        <f>SUMIF('OD 08-24'!A:A,A133,'OD 08-24'!E:E)</f>
        <v>0</v>
      </c>
      <c r="H133" s="14">
        <f t="shared" si="4"/>
        <v>-272075.89900000021</v>
      </c>
      <c r="I133" s="14">
        <f t="shared" si="5"/>
        <v>-272075.88800000027</v>
      </c>
      <c r="J133" s="8" t="s">
        <v>81</v>
      </c>
      <c r="K133" s="8"/>
      <c r="M133" s="339"/>
      <c r="N133" s="315"/>
    </row>
    <row r="134" spans="1:14" s="9" customFormat="1" ht="11.25" customHeight="1" x14ac:dyDescent="0.2">
      <c r="A134" s="10">
        <v>43630600</v>
      </c>
      <c r="B134" s="10" t="s">
        <v>322</v>
      </c>
      <c r="C134" s="11">
        <v>0</v>
      </c>
      <c r="D134" s="11">
        <v>0</v>
      </c>
      <c r="E134" s="11">
        <v>0</v>
      </c>
      <c r="F134" s="13">
        <f>SUMIF('OD 08-24'!A:A,A134,'OD 08-24'!D:D)</f>
        <v>0</v>
      </c>
      <c r="G134" s="13">
        <f>SUMIF('OD 08-24'!A:A,A134,'OD 08-24'!E:E)</f>
        <v>0</v>
      </c>
      <c r="H134" s="14">
        <f t="shared" si="4"/>
        <v>0</v>
      </c>
      <c r="I134" s="14">
        <f t="shared" si="5"/>
        <v>0</v>
      </c>
      <c r="J134" s="8"/>
      <c r="K134" s="8"/>
      <c r="M134" s="339"/>
      <c r="N134" s="315"/>
    </row>
    <row r="135" spans="1:14" s="9" customFormat="1" ht="11.25" customHeight="1" x14ac:dyDescent="0.2">
      <c r="A135" s="10">
        <v>43630700</v>
      </c>
      <c r="B135" s="10" t="s">
        <v>96</v>
      </c>
      <c r="C135" s="11">
        <v>6400.8769999999786</v>
      </c>
      <c r="D135" s="11">
        <v>19152.21</v>
      </c>
      <c r="E135" s="11">
        <v>24541.342000000001</v>
      </c>
      <c r="F135" s="13">
        <f>SUMIF('OD 08-24'!A:A,A135,'OD 08-24'!D:D)</f>
        <v>0</v>
      </c>
      <c r="G135" s="13">
        <f>SUMIF('OD 08-24'!A:A,A135,'OD 08-24'!E:E)</f>
        <v>0</v>
      </c>
      <c r="H135" s="14">
        <f t="shared" si="4"/>
        <v>-5389.1320000000014</v>
      </c>
      <c r="I135" s="14">
        <f t="shared" si="5"/>
        <v>1011.7449999999772</v>
      </c>
      <c r="J135" s="8" t="s">
        <v>78</v>
      </c>
      <c r="K135" s="8"/>
      <c r="M135" s="339"/>
      <c r="N135" s="315"/>
    </row>
    <row r="136" spans="1:14" s="9" customFormat="1" ht="11.25" customHeight="1" x14ac:dyDescent="0.2">
      <c r="A136" s="10">
        <v>43631000</v>
      </c>
      <c r="B136" s="10" t="s">
        <v>323</v>
      </c>
      <c r="C136" s="11">
        <v>0</v>
      </c>
      <c r="D136" s="11">
        <v>0</v>
      </c>
      <c r="E136" s="11">
        <v>0</v>
      </c>
      <c r="F136" s="13">
        <f>SUMIF('OD 08-24'!A:A,A136,'OD 08-24'!D:D)</f>
        <v>0</v>
      </c>
      <c r="G136" s="13">
        <f>SUMIF('OD 08-24'!A:A,A136,'OD 08-24'!E:E)</f>
        <v>0</v>
      </c>
      <c r="H136" s="14">
        <f t="shared" si="4"/>
        <v>0</v>
      </c>
      <c r="I136" s="14">
        <f t="shared" si="5"/>
        <v>0</v>
      </c>
      <c r="J136" s="8"/>
      <c r="K136" s="8"/>
      <c r="M136" s="339"/>
      <c r="N136" s="315"/>
    </row>
    <row r="137" spans="1:14" s="9" customFormat="1" ht="11.25" customHeight="1" x14ac:dyDescent="0.2">
      <c r="A137" s="10">
        <v>43631300</v>
      </c>
      <c r="B137" s="10" t="s">
        <v>324</v>
      </c>
      <c r="C137" s="11">
        <v>0</v>
      </c>
      <c r="D137" s="11">
        <v>16269.393</v>
      </c>
      <c r="E137" s="11">
        <v>13760.626</v>
      </c>
      <c r="F137" s="13">
        <f>SUMIF('OD 08-24'!A:A,A137,'OD 08-24'!D:D)</f>
        <v>0</v>
      </c>
      <c r="G137" s="13">
        <f>SUMIF('OD 08-24'!A:A,A137,'OD 08-24'!E:E)</f>
        <v>0</v>
      </c>
      <c r="H137" s="14">
        <f t="shared" si="4"/>
        <v>2508.7669999999998</v>
      </c>
      <c r="I137" s="14">
        <f t="shared" si="5"/>
        <v>2508.7669999999998</v>
      </c>
      <c r="J137" s="8" t="s">
        <v>78</v>
      </c>
      <c r="K137" s="8"/>
      <c r="M137" s="339"/>
      <c r="N137" s="315"/>
    </row>
    <row r="138" spans="1:14" s="9" customFormat="1" ht="11.25" customHeight="1" x14ac:dyDescent="0.2">
      <c r="A138" s="10">
        <v>43631800</v>
      </c>
      <c r="B138" s="10" t="s">
        <v>325</v>
      </c>
      <c r="C138" s="11">
        <v>0</v>
      </c>
      <c r="D138" s="11">
        <v>0</v>
      </c>
      <c r="E138" s="11">
        <v>0</v>
      </c>
      <c r="F138" s="13">
        <f>SUMIF('OD 08-24'!A:A,A138,'OD 08-24'!D:D)</f>
        <v>0</v>
      </c>
      <c r="G138" s="13">
        <f>SUMIF('OD 08-24'!A:A,A138,'OD 08-24'!E:E)</f>
        <v>0</v>
      </c>
      <c r="H138" s="14">
        <f t="shared" si="4"/>
        <v>0</v>
      </c>
      <c r="I138" s="14">
        <f t="shared" si="5"/>
        <v>0</v>
      </c>
      <c r="J138" s="8"/>
      <c r="K138" s="8"/>
      <c r="M138" s="339"/>
      <c r="N138" s="315"/>
    </row>
    <row r="139" spans="1:14" s="9" customFormat="1" ht="11.25" customHeight="1" x14ac:dyDescent="0.2">
      <c r="A139" s="10">
        <v>43631900</v>
      </c>
      <c r="B139" s="10" t="s">
        <v>97</v>
      </c>
      <c r="C139" s="11">
        <v>-3.9999932050704956E-3</v>
      </c>
      <c r="D139" s="11">
        <v>6018627.9260000009</v>
      </c>
      <c r="E139" s="11">
        <v>5340892.2739999993</v>
      </c>
      <c r="F139" s="13">
        <f>SUMIF('OD 08-24'!A:A,A139,'OD 08-24'!D:D)</f>
        <v>0</v>
      </c>
      <c r="G139" s="13">
        <f>SUMIF('OD 08-24'!A:A,A139,'OD 08-24'!E:E)</f>
        <v>0</v>
      </c>
      <c r="H139" s="14">
        <f t="shared" si="4"/>
        <v>677735.65200000163</v>
      </c>
      <c r="I139" s="14">
        <f t="shared" si="5"/>
        <v>677735.64800000843</v>
      </c>
      <c r="J139" s="8" t="s">
        <v>78</v>
      </c>
      <c r="K139" s="8"/>
      <c r="M139" s="339"/>
      <c r="N139" s="315"/>
    </row>
    <row r="140" spans="1:14" s="9" customFormat="1" ht="11.25" customHeight="1" x14ac:dyDescent="0.2">
      <c r="A140" s="10">
        <v>43661800</v>
      </c>
      <c r="B140" s="10" t="s">
        <v>326</v>
      </c>
      <c r="C140" s="11">
        <v>0</v>
      </c>
      <c r="D140" s="11">
        <v>0</v>
      </c>
      <c r="E140" s="11">
        <v>0</v>
      </c>
      <c r="F140" s="13">
        <f>SUMIF('OD 08-24'!A:A,A140,'OD 08-24'!D:D)</f>
        <v>0</v>
      </c>
      <c r="G140" s="13">
        <f>SUMIF('OD 08-24'!A:A,A140,'OD 08-24'!E:E)</f>
        <v>0</v>
      </c>
      <c r="H140" s="14">
        <f t="shared" si="4"/>
        <v>0</v>
      </c>
      <c r="I140" s="14">
        <f t="shared" si="5"/>
        <v>0</v>
      </c>
      <c r="J140" s="8"/>
      <c r="K140" s="8"/>
      <c r="M140" s="339"/>
      <c r="N140" s="315"/>
    </row>
    <row r="141" spans="1:14" s="9" customFormat="1" ht="11.25" customHeight="1" x14ac:dyDescent="0.2">
      <c r="A141" s="10">
        <v>43671000</v>
      </c>
      <c r="B141" s="10" t="s">
        <v>98</v>
      </c>
      <c r="C141" s="11">
        <v>0</v>
      </c>
      <c r="D141" s="11">
        <v>4241982.4839999992</v>
      </c>
      <c r="E141" s="11">
        <v>5039848.5530000003</v>
      </c>
      <c r="F141" s="13">
        <f>SUMIF('OD 08-24'!A:A,A141,'OD 08-24'!D:D)</f>
        <v>0</v>
      </c>
      <c r="G141" s="13">
        <f>SUMIF('OD 08-24'!A:A,A141,'OD 08-24'!E:E)</f>
        <v>0</v>
      </c>
      <c r="H141" s="14">
        <f t="shared" si="4"/>
        <v>-797866.06900000107</v>
      </c>
      <c r="I141" s="14">
        <f t="shared" si="5"/>
        <v>-797866.06900000107</v>
      </c>
      <c r="J141" s="8" t="s">
        <v>81</v>
      </c>
      <c r="K141" s="8"/>
      <c r="M141" s="339"/>
      <c r="N141" s="315"/>
    </row>
    <row r="142" spans="1:14" s="9" customFormat="1" ht="11.25" customHeight="1" x14ac:dyDescent="0.2">
      <c r="A142" s="10">
        <v>43700000</v>
      </c>
      <c r="B142" s="10" t="s">
        <v>99</v>
      </c>
      <c r="C142" s="11">
        <v>0</v>
      </c>
      <c r="D142" s="11">
        <v>31</v>
      </c>
      <c r="E142" s="11">
        <f>33+1</f>
        <v>34</v>
      </c>
      <c r="F142" s="13">
        <f>SUMIF('OD 08-24'!A:A,A142,'OD 08-24'!D:D)</f>
        <v>0</v>
      </c>
      <c r="G142" s="13">
        <f>SUMIF('OD 08-24'!A:A,A142,'OD 08-24'!E:E)</f>
        <v>0</v>
      </c>
      <c r="H142" s="14">
        <f t="shared" si="4"/>
        <v>-3</v>
      </c>
      <c r="I142" s="14">
        <f t="shared" si="5"/>
        <v>-3</v>
      </c>
      <c r="J142" s="8" t="s">
        <v>81</v>
      </c>
      <c r="K142" s="8"/>
      <c r="M142" s="339"/>
      <c r="N142" s="315"/>
    </row>
    <row r="143" spans="1:14" s="9" customFormat="1" ht="11.25" customHeight="1" x14ac:dyDescent="0.2">
      <c r="A143" s="10">
        <v>43720000</v>
      </c>
      <c r="B143" s="10" t="s">
        <v>327</v>
      </c>
      <c r="C143" s="11">
        <v>0</v>
      </c>
      <c r="D143" s="11">
        <v>0</v>
      </c>
      <c r="E143" s="11">
        <v>0</v>
      </c>
      <c r="F143" s="13">
        <f>SUMIF('OD 08-24'!A:A,A143,'OD 08-24'!D:D)</f>
        <v>0</v>
      </c>
      <c r="G143" s="13">
        <f>SUMIF('OD 08-24'!A:A,A143,'OD 08-24'!E:E)</f>
        <v>0</v>
      </c>
      <c r="H143" s="14">
        <f t="shared" si="4"/>
        <v>0</v>
      </c>
      <c r="I143" s="14">
        <f t="shared" si="5"/>
        <v>0</v>
      </c>
      <c r="J143" s="8"/>
      <c r="K143" s="8"/>
      <c r="M143" s="339"/>
      <c r="N143" s="315"/>
    </row>
    <row r="144" spans="1:14" s="9" customFormat="1" ht="11.25" customHeight="1" x14ac:dyDescent="0.2">
      <c r="A144" s="10">
        <v>43756000</v>
      </c>
      <c r="B144" s="10" t="s">
        <v>328</v>
      </c>
      <c r="C144" s="11">
        <v>0</v>
      </c>
      <c r="D144" s="11">
        <v>0</v>
      </c>
      <c r="E144" s="11">
        <v>0</v>
      </c>
      <c r="F144" s="13">
        <f>SUMIF('OD 08-24'!A:A,A144,'OD 08-24'!D:D)</f>
        <v>0</v>
      </c>
      <c r="G144" s="13">
        <f>SUMIF('OD 08-24'!A:A,A144,'OD 08-24'!E:E)</f>
        <v>0</v>
      </c>
      <c r="H144" s="14">
        <f t="shared" si="4"/>
        <v>0</v>
      </c>
      <c r="I144" s="14">
        <f t="shared" si="5"/>
        <v>0</v>
      </c>
      <c r="J144" s="8"/>
      <c r="K144" s="8"/>
      <c r="M144" s="339"/>
      <c r="N144" s="315"/>
    </row>
    <row r="145" spans="1:14" s="9" customFormat="1" ht="11.25" customHeight="1" x14ac:dyDescent="0.2">
      <c r="A145" s="10">
        <v>44100000</v>
      </c>
      <c r="B145" s="10" t="s">
        <v>329</v>
      </c>
      <c r="C145" s="11">
        <v>0</v>
      </c>
      <c r="D145" s="11">
        <v>0</v>
      </c>
      <c r="E145" s="11">
        <v>0</v>
      </c>
      <c r="F145" s="13">
        <f>SUMIF('OD 08-24'!A:A,A145,'OD 08-24'!D:D)</f>
        <v>0</v>
      </c>
      <c r="G145" s="13">
        <f>SUMIF('OD 08-24'!A:A,A145,'OD 08-24'!E:E)</f>
        <v>0</v>
      </c>
      <c r="H145" s="14">
        <f t="shared" si="4"/>
        <v>0</v>
      </c>
      <c r="I145" s="14">
        <f t="shared" si="5"/>
        <v>0</v>
      </c>
      <c r="J145" s="8"/>
      <c r="K145" s="8"/>
      <c r="M145" s="339"/>
      <c r="N145" s="315"/>
    </row>
    <row r="146" spans="1:14" s="9" customFormat="1" ht="11.25" customHeight="1" x14ac:dyDescent="0.2">
      <c r="A146" s="10">
        <v>44101000</v>
      </c>
      <c r="B146" s="10" t="s">
        <v>7717</v>
      </c>
      <c r="C146" s="11">
        <v>0</v>
      </c>
      <c r="D146" s="11">
        <v>0</v>
      </c>
      <c r="E146" s="11">
        <v>0</v>
      </c>
      <c r="F146" s="13">
        <f>SUMIF('OD 08-24'!A:A,A146,'OD 08-24'!D:D)</f>
        <v>0</v>
      </c>
      <c r="G146" s="13">
        <f>SUMIF('OD 08-24'!A:A,A146,'OD 08-24'!E:E)</f>
        <v>0</v>
      </c>
      <c r="H146" s="14">
        <f t="shared" si="4"/>
        <v>0</v>
      </c>
      <c r="I146" s="14">
        <f t="shared" si="5"/>
        <v>0</v>
      </c>
      <c r="J146" s="8"/>
      <c r="K146" s="8"/>
      <c r="M146" s="339"/>
      <c r="N146" s="315"/>
    </row>
    <row r="147" spans="1:14" s="9" customFormat="1" ht="11.25" customHeight="1" x14ac:dyDescent="0.2">
      <c r="A147" s="10">
        <v>44200000</v>
      </c>
      <c r="B147" s="10" t="s">
        <v>330</v>
      </c>
      <c r="C147" s="11">
        <v>0</v>
      </c>
      <c r="D147" s="11">
        <v>0</v>
      </c>
      <c r="E147" s="11">
        <v>0</v>
      </c>
      <c r="F147" s="13">
        <f>SUMIF('OD 08-24'!A:A,A147,'OD 08-24'!D:D)</f>
        <v>0</v>
      </c>
      <c r="G147" s="13">
        <f>SUMIF('OD 08-24'!A:A,A147,'OD 08-24'!E:E)</f>
        <v>0</v>
      </c>
      <c r="H147" s="14">
        <f t="shared" si="4"/>
        <v>0</v>
      </c>
      <c r="I147" s="14">
        <f t="shared" si="5"/>
        <v>0</v>
      </c>
      <c r="J147" s="8"/>
      <c r="K147" s="8"/>
      <c r="M147" s="339"/>
      <c r="N147" s="315"/>
    </row>
    <row r="148" spans="1:14" s="9" customFormat="1" ht="11.25" customHeight="1" x14ac:dyDescent="0.2">
      <c r="A148" s="10">
        <v>44201000</v>
      </c>
      <c r="B148" s="10" t="s">
        <v>331</v>
      </c>
      <c r="C148" s="11">
        <v>44498.300999999978</v>
      </c>
      <c r="D148" s="11">
        <v>0</v>
      </c>
      <c r="E148" s="11">
        <v>44498.302000000003</v>
      </c>
      <c r="F148" s="13">
        <f>SUMIF('OD 08-24'!A:A,A148,'OD 08-24'!D:D)</f>
        <v>0</v>
      </c>
      <c r="G148" s="13">
        <f>SUMIF('OD 08-24'!A:A,A148,'OD 08-24'!E:E)</f>
        <v>0</v>
      </c>
      <c r="H148" s="14">
        <f t="shared" si="4"/>
        <v>-44498.302000000003</v>
      </c>
      <c r="I148" s="14">
        <f t="shared" si="5"/>
        <v>-1.0000000256695785E-3</v>
      </c>
      <c r="J148" s="8" t="s">
        <v>81</v>
      </c>
      <c r="K148" s="8"/>
      <c r="M148" s="339"/>
      <c r="N148" s="315"/>
    </row>
    <row r="149" spans="1:14" s="9" customFormat="1" ht="11.25" customHeight="1" x14ac:dyDescent="0.2">
      <c r="A149" s="10">
        <v>44202000</v>
      </c>
      <c r="B149" s="10" t="s">
        <v>332</v>
      </c>
      <c r="C149" s="11">
        <v>0</v>
      </c>
      <c r="D149" s="11">
        <v>0</v>
      </c>
      <c r="E149" s="11">
        <v>0</v>
      </c>
      <c r="F149" s="13">
        <f>SUMIF('OD 08-24'!A:A,A149,'OD 08-24'!D:D)</f>
        <v>0</v>
      </c>
      <c r="G149" s="13">
        <f>SUMIF('OD 08-24'!A:A,A149,'OD 08-24'!E:E)</f>
        <v>0</v>
      </c>
      <c r="H149" s="14">
        <f t="shared" si="4"/>
        <v>0</v>
      </c>
      <c r="I149" s="14">
        <f t="shared" si="5"/>
        <v>0</v>
      </c>
      <c r="J149" s="8"/>
      <c r="K149" s="8"/>
      <c r="M149" s="339"/>
      <c r="N149" s="315"/>
    </row>
    <row r="150" spans="1:14" s="9" customFormat="1" ht="11.25" customHeight="1" x14ac:dyDescent="0.2">
      <c r="A150" s="10">
        <v>44203000</v>
      </c>
      <c r="B150" s="10" t="s">
        <v>333</v>
      </c>
      <c r="C150" s="11">
        <v>0</v>
      </c>
      <c r="D150" s="11">
        <v>0</v>
      </c>
      <c r="E150" s="11">
        <v>0</v>
      </c>
      <c r="F150" s="13">
        <f>SUMIF('OD 08-24'!A:A,A150,'OD 08-24'!D:D)</f>
        <v>0</v>
      </c>
      <c r="G150" s="13">
        <f>SUMIF('OD 08-24'!A:A,A150,'OD 08-24'!E:E)</f>
        <v>0</v>
      </c>
      <c r="H150" s="14">
        <f t="shared" si="4"/>
        <v>0</v>
      </c>
      <c r="I150" s="14">
        <f t="shared" si="5"/>
        <v>0</v>
      </c>
      <c r="J150" s="8"/>
      <c r="K150" s="8"/>
      <c r="M150" s="339"/>
      <c r="N150" s="315"/>
    </row>
    <row r="151" spans="1:14" s="9" customFormat="1" ht="11.25" customHeight="1" x14ac:dyDescent="0.2">
      <c r="A151" s="10">
        <v>44204000</v>
      </c>
      <c r="B151" s="10" t="s">
        <v>334</v>
      </c>
      <c r="C151" s="11">
        <v>0</v>
      </c>
      <c r="D151" s="11">
        <v>0</v>
      </c>
      <c r="E151" s="11">
        <v>0</v>
      </c>
      <c r="F151" s="13">
        <f>SUMIF('OD 08-24'!A:A,A151,'OD 08-24'!D:D)</f>
        <v>0</v>
      </c>
      <c r="G151" s="13">
        <f>SUMIF('OD 08-24'!A:A,A151,'OD 08-24'!E:E)</f>
        <v>0</v>
      </c>
      <c r="H151" s="14">
        <f t="shared" si="4"/>
        <v>0</v>
      </c>
      <c r="I151" s="14">
        <f t="shared" si="5"/>
        <v>0</v>
      </c>
      <c r="J151" s="8"/>
      <c r="K151" s="8"/>
      <c r="M151" s="339"/>
      <c r="N151" s="315"/>
    </row>
    <row r="152" spans="1:14" s="9" customFormat="1" ht="11.25" customHeight="1" x14ac:dyDescent="0.2">
      <c r="A152" s="10">
        <v>44205000</v>
      </c>
      <c r="B152" s="10" t="s">
        <v>335</v>
      </c>
      <c r="C152" s="11">
        <v>0</v>
      </c>
      <c r="D152" s="11">
        <v>0</v>
      </c>
      <c r="E152" s="11">
        <v>0</v>
      </c>
      <c r="F152" s="13">
        <f>SUMIF('OD 08-24'!A:A,A152,'OD 08-24'!D:D)</f>
        <v>0</v>
      </c>
      <c r="G152" s="13">
        <f>SUMIF('OD 08-24'!A:A,A152,'OD 08-24'!E:E)</f>
        <v>0</v>
      </c>
      <c r="H152" s="14">
        <f t="shared" si="4"/>
        <v>0</v>
      </c>
      <c r="I152" s="14">
        <f t="shared" si="5"/>
        <v>0</v>
      </c>
      <c r="J152" s="8"/>
      <c r="K152" s="8"/>
      <c r="M152" s="339"/>
      <c r="N152" s="315"/>
    </row>
    <row r="153" spans="1:14" s="9" customFormat="1" ht="11.25" customHeight="1" x14ac:dyDescent="0.2">
      <c r="A153" s="10">
        <v>44206000</v>
      </c>
      <c r="B153" s="10" t="s">
        <v>100</v>
      </c>
      <c r="C153" s="11">
        <v>-439999.99999999988</v>
      </c>
      <c r="D153" s="11">
        <v>145000</v>
      </c>
      <c r="E153" s="11">
        <v>0</v>
      </c>
      <c r="F153" s="13">
        <f>SUMIF('OD 08-24'!A:A,A153,'OD 08-24'!D:D)</f>
        <v>0</v>
      </c>
      <c r="G153" s="13">
        <f>SUMIF('OD 08-24'!A:A,A153,'OD 08-24'!E:E)</f>
        <v>0</v>
      </c>
      <c r="H153" s="14">
        <f t="shared" si="4"/>
        <v>145000</v>
      </c>
      <c r="I153" s="14">
        <f t="shared" si="5"/>
        <v>-294999.99999999988</v>
      </c>
      <c r="J153" s="8" t="s">
        <v>81</v>
      </c>
      <c r="K153" s="8"/>
      <c r="M153" s="339"/>
      <c r="N153" s="315"/>
    </row>
    <row r="154" spans="1:14" s="9" customFormat="1" ht="11.25" customHeight="1" x14ac:dyDescent="0.2">
      <c r="A154" s="10">
        <v>44207000</v>
      </c>
      <c r="B154" s="10" t="s">
        <v>336</v>
      </c>
      <c r="C154" s="11">
        <v>165000</v>
      </c>
      <c r="D154" s="11">
        <v>60000</v>
      </c>
      <c r="E154" s="11">
        <v>0</v>
      </c>
      <c r="F154" s="13">
        <f>SUMIF('OD 08-24'!A:A,A154,'OD 08-24'!D:D)</f>
        <v>0</v>
      </c>
      <c r="G154" s="13">
        <f>SUMIF('OD 08-24'!A:A,A154,'OD 08-24'!E:E)</f>
        <v>0</v>
      </c>
      <c r="H154" s="14">
        <f t="shared" si="4"/>
        <v>60000</v>
      </c>
      <c r="I154" s="14">
        <f t="shared" si="5"/>
        <v>225000</v>
      </c>
      <c r="J154" s="8" t="s">
        <v>78</v>
      </c>
      <c r="K154" s="8"/>
      <c r="M154" s="339"/>
      <c r="N154" s="315"/>
    </row>
    <row r="155" spans="1:14" s="9" customFormat="1" ht="11.25" customHeight="1" x14ac:dyDescent="0.2">
      <c r="A155" s="10">
        <v>44208000</v>
      </c>
      <c r="B155" s="10" t="s">
        <v>337</v>
      </c>
      <c r="C155" s="11">
        <v>2270.971</v>
      </c>
      <c r="D155" s="11">
        <v>0</v>
      </c>
      <c r="E155" s="11">
        <v>0</v>
      </c>
      <c r="F155" s="13">
        <f>SUMIF('OD 08-24'!A:A,A155,'OD 08-24'!D:D)</f>
        <v>0</v>
      </c>
      <c r="G155" s="13">
        <f>SUMIF('OD 08-24'!A:A,A155,'OD 08-24'!E:E)</f>
        <v>0</v>
      </c>
      <c r="H155" s="14">
        <f t="shared" si="4"/>
        <v>0</v>
      </c>
      <c r="I155" s="14">
        <f t="shared" si="5"/>
        <v>2270.971</v>
      </c>
      <c r="J155" s="8" t="s">
        <v>78</v>
      </c>
      <c r="K155" s="8"/>
      <c r="M155" s="339"/>
      <c r="N155" s="315"/>
    </row>
    <row r="156" spans="1:14" s="9" customFormat="1" ht="11.25" customHeight="1" x14ac:dyDescent="0.2">
      <c r="A156" s="10">
        <v>44209000</v>
      </c>
      <c r="B156" s="10" t="s">
        <v>392</v>
      </c>
      <c r="C156" s="11">
        <v>3626.8820000002161</v>
      </c>
      <c r="D156" s="11">
        <v>0</v>
      </c>
      <c r="E156" s="11">
        <v>0</v>
      </c>
      <c r="F156" s="13">
        <f>SUMIF('OD 08-24'!A:A,A156,'OD 08-24'!D:D)</f>
        <v>0</v>
      </c>
      <c r="G156" s="13">
        <f>SUMIF('OD 08-24'!A:A,A156,'OD 08-24'!E:E)</f>
        <v>0</v>
      </c>
      <c r="H156" s="14">
        <f t="shared" si="4"/>
        <v>0</v>
      </c>
      <c r="I156" s="14">
        <f t="shared" si="5"/>
        <v>3626.8820000002161</v>
      </c>
      <c r="J156" s="8" t="s">
        <v>78</v>
      </c>
      <c r="K156" s="8"/>
      <c r="M156" s="339"/>
      <c r="N156" s="315"/>
    </row>
    <row r="157" spans="1:14" s="9" customFormat="1" ht="11.25" customHeight="1" x14ac:dyDescent="0.2">
      <c r="A157" s="10">
        <v>44210000</v>
      </c>
      <c r="B157" s="10" t="s">
        <v>338</v>
      </c>
      <c r="C157" s="11">
        <v>0</v>
      </c>
      <c r="D157" s="11">
        <v>0</v>
      </c>
      <c r="E157" s="11">
        <v>0</v>
      </c>
      <c r="F157" s="13">
        <f>SUMIF('OD 08-24'!A:A,A157,'OD 08-24'!D:D)</f>
        <v>0</v>
      </c>
      <c r="G157" s="13">
        <f>SUMIF('OD 08-24'!A:A,A157,'OD 08-24'!E:E)</f>
        <v>0</v>
      </c>
      <c r="H157" s="14">
        <f t="shared" si="4"/>
        <v>0</v>
      </c>
      <c r="I157" s="14">
        <f t="shared" si="5"/>
        <v>0</v>
      </c>
      <c r="J157" s="8"/>
      <c r="K157" s="8"/>
      <c r="M157" s="339"/>
      <c r="N157" s="315"/>
    </row>
    <row r="158" spans="1:14" s="9" customFormat="1" ht="11.25" customHeight="1" x14ac:dyDescent="0.2">
      <c r="A158" s="10">
        <v>44600000</v>
      </c>
      <c r="B158" s="10" t="s">
        <v>339</v>
      </c>
      <c r="C158" s="11">
        <v>0</v>
      </c>
      <c r="D158" s="11">
        <v>0</v>
      </c>
      <c r="E158" s="11">
        <v>0</v>
      </c>
      <c r="F158" s="13">
        <f>SUMIF('OD 08-24'!A:A,A158,'OD 08-24'!D:D)</f>
        <v>0</v>
      </c>
      <c r="G158" s="13">
        <f>SUMIF('OD 08-24'!A:A,A158,'OD 08-24'!E:E)</f>
        <v>0</v>
      </c>
      <c r="H158" s="14">
        <f t="shared" si="4"/>
        <v>0</v>
      </c>
      <c r="I158" s="14">
        <f t="shared" si="5"/>
        <v>0</v>
      </c>
      <c r="J158" s="8"/>
      <c r="K158" s="8"/>
      <c r="M158" s="339"/>
      <c r="N158" s="315"/>
    </row>
    <row r="159" spans="1:14" s="9" customFormat="1" ht="11.25" customHeight="1" x14ac:dyDescent="0.2">
      <c r="A159" s="10">
        <v>44700000</v>
      </c>
      <c r="B159" s="10" t="s">
        <v>101</v>
      </c>
      <c r="C159" s="11">
        <v>0</v>
      </c>
      <c r="D159" s="11">
        <v>0</v>
      </c>
      <c r="E159" s="11">
        <v>0</v>
      </c>
      <c r="F159" s="13">
        <f>SUMIF('OD 08-24'!A:A,A159,'OD 08-24'!D:D)</f>
        <v>0</v>
      </c>
      <c r="G159" s="13">
        <f>SUMIF('OD 08-24'!A:A,A159,'OD 08-24'!E:E)</f>
        <v>0</v>
      </c>
      <c r="H159" s="14">
        <f t="shared" si="4"/>
        <v>0</v>
      </c>
      <c r="I159" s="14">
        <f t="shared" si="5"/>
        <v>0</v>
      </c>
      <c r="J159" s="8"/>
      <c r="K159" s="8"/>
      <c r="M159" s="339"/>
      <c r="N159" s="315"/>
    </row>
    <row r="160" spans="1:14" s="9" customFormat="1" ht="11.25" customHeight="1" x14ac:dyDescent="0.2">
      <c r="A160" s="10">
        <v>45000000</v>
      </c>
      <c r="B160" s="10" t="s">
        <v>102</v>
      </c>
      <c r="C160" s="11">
        <v>-12700</v>
      </c>
      <c r="D160" s="11">
        <v>0</v>
      </c>
      <c r="E160" s="11">
        <v>0</v>
      </c>
      <c r="F160" s="13">
        <f>SUMIF('OD 08-24'!A:A,A160,'OD 08-24'!D:D)</f>
        <v>0</v>
      </c>
      <c r="G160" s="13">
        <f>SUMIF('OD 08-24'!A:A,A160,'OD 08-24'!E:E)</f>
        <v>0</v>
      </c>
      <c r="H160" s="14">
        <f t="shared" si="4"/>
        <v>0</v>
      </c>
      <c r="I160" s="14">
        <f t="shared" si="5"/>
        <v>-12700</v>
      </c>
      <c r="J160" s="8" t="s">
        <v>81</v>
      </c>
      <c r="K160" s="8"/>
      <c r="M160" s="339"/>
      <c r="N160" s="315"/>
    </row>
    <row r="161" spans="1:14" s="9" customFormat="1" ht="11.25" customHeight="1" x14ac:dyDescent="0.2">
      <c r="A161" s="10">
        <v>45200000</v>
      </c>
      <c r="B161" s="10" t="s">
        <v>103</v>
      </c>
      <c r="C161" s="11">
        <v>-2500</v>
      </c>
      <c r="D161" s="11">
        <v>56000</v>
      </c>
      <c r="E161" s="11">
        <v>56000</v>
      </c>
      <c r="F161" s="13">
        <f>SUMIF('OD 08-24'!A:A,A161,'OD 08-24'!D:D)</f>
        <v>0</v>
      </c>
      <c r="G161" s="13">
        <f>SUMIF('OD 08-24'!A:A,A161,'OD 08-24'!E:E)</f>
        <v>0</v>
      </c>
      <c r="H161" s="14">
        <f t="shared" si="4"/>
        <v>0</v>
      </c>
      <c r="I161" s="14">
        <f t="shared" si="5"/>
        <v>-2500</v>
      </c>
      <c r="J161" s="8" t="s">
        <v>81</v>
      </c>
      <c r="K161" s="8"/>
      <c r="M161" s="339"/>
      <c r="N161" s="315"/>
    </row>
    <row r="162" spans="1:14" s="9" customFormat="1" ht="11.25" customHeight="1" x14ac:dyDescent="0.2">
      <c r="A162" s="10">
        <v>45310000</v>
      </c>
      <c r="B162" s="10" t="s">
        <v>104</v>
      </c>
      <c r="C162" s="11">
        <v>-244010.37100000028</v>
      </c>
      <c r="D162" s="11">
        <v>713401.62099999993</v>
      </c>
      <c r="E162" s="11">
        <v>525818.77099999995</v>
      </c>
      <c r="F162" s="13">
        <f>SUMIF('OD 08-24'!A:A,A162,'OD 08-24'!D:D)</f>
        <v>539308.98699999996</v>
      </c>
      <c r="G162" s="13">
        <f>SUMIF('OD 08-24'!A:A,A162,'OD 08-24'!E:E)</f>
        <v>614080.12100000004</v>
      </c>
      <c r="H162" s="14">
        <f t="shared" si="4"/>
        <v>112811.71600000001</v>
      </c>
      <c r="I162" s="14">
        <f t="shared" si="5"/>
        <v>-131198.65500000026</v>
      </c>
      <c r="J162" s="8" t="s">
        <v>81</v>
      </c>
      <c r="K162" s="8"/>
      <c r="M162" s="339"/>
      <c r="N162" s="315"/>
    </row>
    <row r="163" spans="1:14" s="9" customFormat="1" ht="11.25" customHeight="1" x14ac:dyDescent="0.2">
      <c r="A163" s="10">
        <v>45700000</v>
      </c>
      <c r="B163" s="10" t="s">
        <v>105</v>
      </c>
      <c r="C163" s="11">
        <v>7122.9679999998771</v>
      </c>
      <c r="D163" s="11">
        <v>0</v>
      </c>
      <c r="E163" s="11">
        <v>0</v>
      </c>
      <c r="F163" s="13">
        <f>SUMIF('OD 08-24'!A:A,A163,'OD 08-24'!D:D)</f>
        <v>0</v>
      </c>
      <c r="G163" s="13">
        <f>SUMIF('OD 08-24'!A:A,A163,'OD 08-24'!E:E)</f>
        <v>0</v>
      </c>
      <c r="H163" s="14">
        <f t="shared" si="4"/>
        <v>0</v>
      </c>
      <c r="I163" s="14">
        <f t="shared" si="5"/>
        <v>7122.9679999998771</v>
      </c>
      <c r="J163" s="8" t="s">
        <v>78</v>
      </c>
      <c r="K163" s="8"/>
      <c r="M163" s="339"/>
      <c r="N163" s="315"/>
    </row>
    <row r="164" spans="1:14" s="9" customFormat="1" ht="11.25" customHeight="1" x14ac:dyDescent="0.2">
      <c r="A164" s="10">
        <v>45860000</v>
      </c>
      <c r="B164" s="10" t="s">
        <v>106</v>
      </c>
      <c r="C164" s="11">
        <v>-1872970.182</v>
      </c>
      <c r="D164" s="11">
        <v>894462.15700000001</v>
      </c>
      <c r="E164" s="11">
        <v>197370.59700000001</v>
      </c>
      <c r="F164" s="13">
        <f>SUMIF('OD 08-24'!A:A,A164,'OD 08-24'!D:D)</f>
        <v>6893772.5970000001</v>
      </c>
      <c r="G164" s="13">
        <f>SUMIF('OD 08-24'!A:A,A164,'OD 08-24'!E:E)</f>
        <v>8363204.2460000003</v>
      </c>
      <c r="H164" s="14">
        <f t="shared" si="4"/>
        <v>-772340.08900000062</v>
      </c>
      <c r="I164" s="14">
        <f t="shared" si="5"/>
        <v>-2645310.2710000006</v>
      </c>
      <c r="J164" s="8" t="s">
        <v>81</v>
      </c>
      <c r="K164" s="8"/>
      <c r="M164" s="339"/>
      <c r="N164" s="315"/>
    </row>
    <row r="165" spans="1:14" s="9" customFormat="1" ht="11.25" customHeight="1" x14ac:dyDescent="0.2">
      <c r="A165" s="10">
        <v>45870000</v>
      </c>
      <c r="B165" s="10" t="s">
        <v>107</v>
      </c>
      <c r="C165" s="11">
        <v>38770.517999999225</v>
      </c>
      <c r="D165" s="11">
        <v>0</v>
      </c>
      <c r="E165" s="11">
        <v>38770.517999999996</v>
      </c>
      <c r="F165" s="13">
        <f>SUMIF('OD 08-24'!A:A,A165,'OD 08-24'!D:D)</f>
        <v>585258.14300000004</v>
      </c>
      <c r="G165" s="13">
        <f>SUMIF('OD 08-24'!A:A,A165,'OD 08-24'!E:E)</f>
        <v>318806.96100000001</v>
      </c>
      <c r="H165" s="14">
        <f t="shared" si="4"/>
        <v>227680.66399999999</v>
      </c>
      <c r="I165" s="14">
        <f t="shared" si="5"/>
        <v>266451.18199999921</v>
      </c>
      <c r="J165" s="8" t="s">
        <v>78</v>
      </c>
      <c r="K165" s="8"/>
      <c r="M165" s="339"/>
      <c r="N165" s="315"/>
    </row>
    <row r="166" spans="1:14" s="9" customFormat="1" ht="11.25" customHeight="1" x14ac:dyDescent="0.2">
      <c r="A166" s="10">
        <v>46100000</v>
      </c>
      <c r="B166" s="10" t="s">
        <v>340</v>
      </c>
      <c r="C166" s="11">
        <v>0</v>
      </c>
      <c r="D166" s="11">
        <v>26222.382999999994</v>
      </c>
      <c r="E166" s="11">
        <v>26222.382999999994</v>
      </c>
      <c r="F166" s="13">
        <f>SUMIF('OD 08-24'!A:A,A166,'OD 08-24'!D:D)</f>
        <v>0</v>
      </c>
      <c r="G166" s="13">
        <f>SUMIF('OD 08-24'!A:A,A166,'OD 08-24'!E:E)</f>
        <v>0</v>
      </c>
      <c r="H166" s="14">
        <f t="shared" si="4"/>
        <v>0</v>
      </c>
      <c r="I166" s="14">
        <f t="shared" si="5"/>
        <v>0</v>
      </c>
      <c r="J166" s="8"/>
      <c r="K166" s="8"/>
      <c r="M166" s="339"/>
      <c r="N166" s="315"/>
    </row>
    <row r="167" spans="1:14" s="9" customFormat="1" ht="11.25" customHeight="1" x14ac:dyDescent="0.2">
      <c r="A167" s="10">
        <v>46800000</v>
      </c>
      <c r="B167" s="10" t="s">
        <v>108</v>
      </c>
      <c r="C167" s="11">
        <v>0</v>
      </c>
      <c r="D167" s="11">
        <v>0</v>
      </c>
      <c r="E167" s="11">
        <v>0</v>
      </c>
      <c r="F167" s="13">
        <f>SUMIF('OD 08-24'!A:A,A167,'OD 08-24'!D:D)</f>
        <v>0</v>
      </c>
      <c r="G167" s="13">
        <f>SUMIF('OD 08-24'!A:A,A167,'OD 08-24'!E:E)</f>
        <v>0</v>
      </c>
      <c r="H167" s="14">
        <f t="shared" si="4"/>
        <v>0</v>
      </c>
      <c r="I167" s="14">
        <f t="shared" si="5"/>
        <v>0</v>
      </c>
      <c r="J167" s="8"/>
      <c r="K167" s="8"/>
      <c r="M167" s="339"/>
      <c r="N167" s="315"/>
    </row>
    <row r="168" spans="1:14" s="9" customFormat="1" ht="11.25" customHeight="1" x14ac:dyDescent="0.2">
      <c r="A168" s="10">
        <v>47100000</v>
      </c>
      <c r="B168" s="10" t="s">
        <v>109</v>
      </c>
      <c r="C168" s="11">
        <v>222018.92184599978</v>
      </c>
      <c r="D168" s="11">
        <v>523.68799999999999</v>
      </c>
      <c r="E168" s="11">
        <v>221330.79699999996</v>
      </c>
      <c r="F168" s="13">
        <f>SUMIF('OD 08-24'!A:A,A168,'OD 08-24'!D:D)</f>
        <v>1375088.0560000001</v>
      </c>
      <c r="G168" s="13">
        <f>SUMIF('OD 08-24'!A:A,A168,'OD 08-24'!E:E)</f>
        <v>1338267.6399999999</v>
      </c>
      <c r="H168" s="14">
        <f t="shared" si="4"/>
        <v>-183986.69299999974</v>
      </c>
      <c r="I168" s="14">
        <f t="shared" si="5"/>
        <v>38032.228846000042</v>
      </c>
      <c r="J168" s="8" t="s">
        <v>78</v>
      </c>
      <c r="K168" s="8"/>
      <c r="M168" s="339"/>
      <c r="N168" s="315"/>
    </row>
    <row r="169" spans="1:14" s="9" customFormat="1" ht="11.25" customHeight="1" x14ac:dyDescent="0.2">
      <c r="A169" s="10">
        <v>47200000</v>
      </c>
      <c r="B169" s="10" t="s">
        <v>341</v>
      </c>
      <c r="C169" s="11">
        <v>0</v>
      </c>
      <c r="D169" s="11">
        <v>0</v>
      </c>
      <c r="E169" s="11">
        <v>0</v>
      </c>
      <c r="F169" s="13">
        <f>SUMIF('OD 08-24'!A:A,A169,'OD 08-24'!D:D)</f>
        <v>0</v>
      </c>
      <c r="G169" s="13">
        <f>SUMIF('OD 08-24'!A:A,A169,'OD 08-24'!E:E)</f>
        <v>0</v>
      </c>
      <c r="H169" s="14">
        <f t="shared" si="4"/>
        <v>0</v>
      </c>
      <c r="I169" s="14">
        <f t="shared" si="5"/>
        <v>0</v>
      </c>
      <c r="J169" s="8"/>
      <c r="K169" s="8"/>
      <c r="M169" s="339"/>
      <c r="N169" s="315"/>
    </row>
    <row r="170" spans="1:14" s="9" customFormat="1" ht="11.25" customHeight="1" x14ac:dyDescent="0.2">
      <c r="A170" s="10">
        <v>49100000</v>
      </c>
      <c r="B170" s="10" t="s">
        <v>110</v>
      </c>
      <c r="C170" s="11">
        <v>-457129.14999999991</v>
      </c>
      <c r="D170" s="11">
        <v>0</v>
      </c>
      <c r="E170" s="11">
        <v>0</v>
      </c>
      <c r="F170" s="13">
        <f>SUMIF('OD 08-24'!A:A,A170,'OD 08-24'!D:D)</f>
        <v>1150000</v>
      </c>
      <c r="G170" s="13">
        <f>SUMIF('OD 08-24'!A:A,A170,'OD 08-24'!E:E)</f>
        <v>1500000</v>
      </c>
      <c r="H170" s="14">
        <f t="shared" si="4"/>
        <v>-350000</v>
      </c>
      <c r="I170" s="14">
        <f t="shared" si="5"/>
        <v>-807129.14999999991</v>
      </c>
      <c r="J170" s="8" t="s">
        <v>111</v>
      </c>
      <c r="K170" s="8"/>
      <c r="M170" s="339"/>
      <c r="N170" s="315"/>
    </row>
    <row r="171" spans="1:14" s="9" customFormat="1" ht="11.25" customHeight="1" x14ac:dyDescent="0.2">
      <c r="A171" s="10">
        <v>49600000</v>
      </c>
      <c r="B171" s="10" t="s">
        <v>112</v>
      </c>
      <c r="C171" s="11">
        <v>-288613.68499999994</v>
      </c>
      <c r="D171" s="11">
        <v>0</v>
      </c>
      <c r="E171" s="11">
        <v>0</v>
      </c>
      <c r="F171" s="13">
        <f>SUMIF('OD 08-24'!A:A,A171,'OD 08-24'!D:D)</f>
        <v>0</v>
      </c>
      <c r="G171" s="13">
        <f>SUMIF('OD 08-24'!A:A,A171,'OD 08-24'!E:E)</f>
        <v>0</v>
      </c>
      <c r="H171" s="14">
        <f t="shared" si="4"/>
        <v>0</v>
      </c>
      <c r="I171" s="14">
        <f t="shared" si="5"/>
        <v>-288613.68499999994</v>
      </c>
      <c r="J171" s="8" t="s">
        <v>113</v>
      </c>
      <c r="K171" s="8"/>
      <c r="M171" s="339"/>
      <c r="N171" s="315"/>
    </row>
    <row r="172" spans="1:14" s="9" customFormat="1" ht="11.25" customHeight="1" x14ac:dyDescent="0.2">
      <c r="A172" s="10">
        <v>50130000</v>
      </c>
      <c r="B172" s="10" t="s">
        <v>114</v>
      </c>
      <c r="C172" s="11">
        <v>-6000000</v>
      </c>
      <c r="D172" s="11">
        <v>12000000</v>
      </c>
      <c r="E172" s="11">
        <v>12000000</v>
      </c>
      <c r="F172" s="13">
        <f>SUMIF('OD 08-24'!A:A,A172,'OD 08-24'!D:D)</f>
        <v>0</v>
      </c>
      <c r="G172" s="13">
        <f>SUMIF('OD 08-24'!A:A,A172,'OD 08-24'!E:E)</f>
        <v>0</v>
      </c>
      <c r="H172" s="14">
        <f t="shared" si="4"/>
        <v>0</v>
      </c>
      <c r="I172" s="14">
        <f t="shared" si="5"/>
        <v>-6000000</v>
      </c>
      <c r="J172" s="8" t="s">
        <v>115</v>
      </c>
      <c r="K172" s="8"/>
      <c r="M172" s="339"/>
      <c r="N172" s="315"/>
    </row>
    <row r="173" spans="1:14" s="9" customFormat="1" ht="11.25" customHeight="1" x14ac:dyDescent="0.2">
      <c r="A173" s="10">
        <v>50140000</v>
      </c>
      <c r="B173" s="10" t="s">
        <v>116</v>
      </c>
      <c r="C173" s="11">
        <v>-4000000</v>
      </c>
      <c r="D173" s="11">
        <v>8000000</v>
      </c>
      <c r="E173" s="11">
        <v>8000000</v>
      </c>
      <c r="F173" s="13">
        <f>SUMIF('OD 08-24'!A:A,A173,'OD 08-24'!D:D)</f>
        <v>0</v>
      </c>
      <c r="G173" s="13">
        <f>SUMIF('OD 08-24'!A:A,A173,'OD 08-24'!E:E)</f>
        <v>0</v>
      </c>
      <c r="H173" s="14">
        <f t="shared" si="4"/>
        <v>0</v>
      </c>
      <c r="I173" s="14">
        <f t="shared" si="5"/>
        <v>-4000000</v>
      </c>
      <c r="J173" s="8" t="s">
        <v>115</v>
      </c>
      <c r="K173" s="8"/>
      <c r="M173" s="339"/>
      <c r="N173" s="315"/>
    </row>
    <row r="174" spans="1:14" s="9" customFormat="1" ht="11.25" customHeight="1" x14ac:dyDescent="0.2">
      <c r="A174" s="10">
        <v>50500000</v>
      </c>
      <c r="B174" s="10" t="s">
        <v>117</v>
      </c>
      <c r="C174" s="11">
        <v>-625000.00400000252</v>
      </c>
      <c r="D174" s="11">
        <v>416666.66700000002</v>
      </c>
      <c r="E174" s="11">
        <v>0</v>
      </c>
      <c r="F174" s="13">
        <f>SUMIF('OD 08-24'!A:A,A174,'OD 08-24'!D:D)</f>
        <v>0</v>
      </c>
      <c r="G174" s="13">
        <f>SUMIF('OD 08-24'!A:A,A174,'OD 08-24'!E:E)</f>
        <v>0</v>
      </c>
      <c r="H174" s="14">
        <f t="shared" si="4"/>
        <v>416666.66700000002</v>
      </c>
      <c r="I174" s="14">
        <f t="shared" si="5"/>
        <v>-208333.3370000025</v>
      </c>
      <c r="J174" s="8" t="s">
        <v>115</v>
      </c>
      <c r="K174" s="8"/>
      <c r="M174" s="339"/>
      <c r="N174" s="315"/>
    </row>
    <row r="175" spans="1:14" s="9" customFormat="1" ht="11.25" customHeight="1" x14ac:dyDescent="0.2">
      <c r="A175" s="10">
        <v>50515000</v>
      </c>
      <c r="B175" s="10" t="s">
        <v>118</v>
      </c>
      <c r="C175" s="11">
        <v>-131871.57899999991</v>
      </c>
      <c r="D175" s="11">
        <v>220398.67199999996</v>
      </c>
      <c r="E175" s="11">
        <v>225258.14199999999</v>
      </c>
      <c r="F175" s="13">
        <f>SUMIF('OD 08-24'!A:A,A175,'OD 08-24'!D:D)</f>
        <v>0</v>
      </c>
      <c r="G175" s="13">
        <f>SUMIF('OD 08-24'!A:A,A175,'OD 08-24'!E:E)</f>
        <v>0</v>
      </c>
      <c r="H175" s="14">
        <f t="shared" si="4"/>
        <v>-4859.4700000000303</v>
      </c>
      <c r="I175" s="14">
        <f t="shared" si="5"/>
        <v>-136731.04899999994</v>
      </c>
      <c r="J175" s="8" t="s">
        <v>115</v>
      </c>
      <c r="K175" s="8"/>
      <c r="M175" s="339"/>
      <c r="N175" s="315"/>
    </row>
    <row r="176" spans="1:14" s="9" customFormat="1" ht="11.25" customHeight="1" x14ac:dyDescent="0.2">
      <c r="A176" s="10">
        <v>50610100</v>
      </c>
      <c r="B176" s="10" t="s">
        <v>342</v>
      </c>
      <c r="C176" s="11">
        <v>0</v>
      </c>
      <c r="D176" s="11">
        <v>0</v>
      </c>
      <c r="E176" s="11">
        <v>0</v>
      </c>
      <c r="F176" s="13">
        <f>SUMIF('OD 08-24'!A:A,A176,'OD 08-24'!D:D)</f>
        <v>0</v>
      </c>
      <c r="G176" s="13">
        <f>SUMIF('OD 08-24'!A:A,A176,'OD 08-24'!E:E)</f>
        <v>0</v>
      </c>
      <c r="H176" s="14">
        <f t="shared" si="4"/>
        <v>0</v>
      </c>
      <c r="I176" s="14">
        <f t="shared" si="5"/>
        <v>0</v>
      </c>
      <c r="J176" s="8"/>
      <c r="K176" s="8"/>
      <c r="M176" s="339"/>
      <c r="N176" s="315"/>
    </row>
    <row r="177" spans="1:14" s="9" customFormat="1" ht="11.25" customHeight="1" x14ac:dyDescent="0.2">
      <c r="A177" s="10">
        <v>50610900</v>
      </c>
      <c r="B177" s="10" t="s">
        <v>119</v>
      </c>
      <c r="C177" s="11">
        <v>-1347864.9606235027</v>
      </c>
      <c r="D177" s="11">
        <v>1359732.8840000001</v>
      </c>
      <c r="E177" s="11">
        <v>11867.923000000001</v>
      </c>
      <c r="F177" s="13">
        <f>SUMIF('OD 08-24'!A:A,A177,'OD 08-24'!D:D)</f>
        <v>0</v>
      </c>
      <c r="G177" s="13">
        <f>SUMIF('OD 08-24'!A:A,A177,'OD 08-24'!E:E)</f>
        <v>0</v>
      </c>
      <c r="H177" s="14">
        <f t="shared" si="4"/>
        <v>1347864.9610000001</v>
      </c>
      <c r="I177" s="14">
        <f t="shared" si="5"/>
        <v>3.7649739533662796E-4</v>
      </c>
      <c r="J177" s="8" t="s">
        <v>115</v>
      </c>
      <c r="K177" s="8"/>
      <c r="M177" s="339"/>
      <c r="N177" s="315"/>
    </row>
    <row r="178" spans="1:14" s="9" customFormat="1" ht="11.25" customHeight="1" x14ac:dyDescent="0.2">
      <c r="A178" s="10">
        <v>50630000</v>
      </c>
      <c r="B178" s="10" t="s">
        <v>343</v>
      </c>
      <c r="C178" s="11">
        <v>-443000</v>
      </c>
      <c r="D178" s="11">
        <v>443000</v>
      </c>
      <c r="E178" s="11">
        <v>0</v>
      </c>
      <c r="F178" s="13">
        <f>SUMIF('OD 08-24'!A:A,A178,'OD 08-24'!D:D)</f>
        <v>0</v>
      </c>
      <c r="G178" s="13">
        <f>SUMIF('OD 08-24'!A:A,A178,'OD 08-24'!E:E)</f>
        <v>0</v>
      </c>
      <c r="H178" s="14">
        <f t="shared" si="4"/>
        <v>443000</v>
      </c>
      <c r="I178" s="14">
        <f t="shared" si="5"/>
        <v>0</v>
      </c>
      <c r="J178" s="8" t="s">
        <v>115</v>
      </c>
      <c r="K178" s="8"/>
      <c r="M178" s="339"/>
      <c r="N178" s="315"/>
    </row>
    <row r="179" spans="1:14" s="9" customFormat="1" ht="11.25" customHeight="1" x14ac:dyDescent="0.2">
      <c r="A179" s="10">
        <v>50800000</v>
      </c>
      <c r="B179" s="10" t="s">
        <v>344</v>
      </c>
      <c r="C179" s="11">
        <v>-31533.957000000002</v>
      </c>
      <c r="D179" s="11">
        <v>31533.957000000002</v>
      </c>
      <c r="E179" s="11">
        <v>0</v>
      </c>
      <c r="F179" s="13">
        <f>SUMIF('OD 08-24'!A:A,A179,'OD 08-24'!D:D)</f>
        <v>0</v>
      </c>
      <c r="G179" s="13">
        <f>SUMIF('OD 08-24'!A:A,A179,'OD 08-24'!E:E)</f>
        <v>0</v>
      </c>
      <c r="H179" s="14">
        <f t="shared" si="4"/>
        <v>31533.957000000002</v>
      </c>
      <c r="I179" s="14">
        <f t="shared" si="5"/>
        <v>0</v>
      </c>
      <c r="J179" s="8" t="s">
        <v>115</v>
      </c>
      <c r="K179" s="8"/>
      <c r="M179" s="339"/>
      <c r="N179" s="315"/>
    </row>
    <row r="180" spans="1:14" s="9" customFormat="1" ht="11.25" customHeight="1" x14ac:dyDescent="0.2">
      <c r="A180" s="10">
        <v>52000000</v>
      </c>
      <c r="B180" s="10" t="s">
        <v>345</v>
      </c>
      <c r="C180" s="11">
        <v>0</v>
      </c>
      <c r="D180" s="11">
        <v>0</v>
      </c>
      <c r="E180" s="11">
        <v>0</v>
      </c>
      <c r="F180" s="13">
        <f>SUMIF('OD 08-24'!A:A,A180,'OD 08-24'!D:D)</f>
        <v>0</v>
      </c>
      <c r="G180" s="13">
        <f>SUMIF('OD 08-24'!A:A,A180,'OD 08-24'!E:E)</f>
        <v>0</v>
      </c>
      <c r="H180" s="14">
        <f t="shared" si="4"/>
        <v>0</v>
      </c>
      <c r="I180" s="14">
        <f t="shared" si="5"/>
        <v>0</v>
      </c>
      <c r="J180" s="8"/>
      <c r="K180" s="8"/>
      <c r="M180" s="339"/>
      <c r="N180" s="315"/>
    </row>
    <row r="181" spans="1:14" s="9" customFormat="1" ht="11.25" customHeight="1" x14ac:dyDescent="0.2">
      <c r="A181" s="10">
        <v>52001100</v>
      </c>
      <c r="B181" s="10" t="s">
        <v>346</v>
      </c>
      <c r="C181" s="11">
        <v>0</v>
      </c>
      <c r="D181" s="11">
        <v>0</v>
      </c>
      <c r="E181" s="11">
        <v>0</v>
      </c>
      <c r="F181" s="13">
        <f>SUMIF('OD 08-24'!A:A,A181,'OD 08-24'!D:D)</f>
        <v>0</v>
      </c>
      <c r="G181" s="13">
        <f>SUMIF('OD 08-24'!A:A,A181,'OD 08-24'!E:E)</f>
        <v>0</v>
      </c>
      <c r="H181" s="14">
        <f t="shared" si="4"/>
        <v>0</v>
      </c>
      <c r="I181" s="14">
        <f t="shared" si="5"/>
        <v>0</v>
      </c>
      <c r="J181" s="8"/>
      <c r="K181" s="8"/>
      <c r="M181" s="339"/>
      <c r="N181" s="315"/>
    </row>
    <row r="182" spans="1:14" s="9" customFormat="1" ht="11.25" customHeight="1" x14ac:dyDescent="0.2">
      <c r="A182" s="10">
        <v>53140000</v>
      </c>
      <c r="B182" s="10" t="s">
        <v>347</v>
      </c>
      <c r="C182" s="11">
        <v>0</v>
      </c>
      <c r="D182" s="11">
        <v>0</v>
      </c>
      <c r="E182" s="11">
        <v>0</v>
      </c>
      <c r="F182" s="13">
        <f>SUMIF('OD 08-24'!A:A,A182,'OD 08-24'!D:D)</f>
        <v>0</v>
      </c>
      <c r="G182" s="13">
        <f>SUMIF('OD 08-24'!A:A,A182,'OD 08-24'!E:E)</f>
        <v>0</v>
      </c>
      <c r="H182" s="14">
        <f t="shared" si="4"/>
        <v>0</v>
      </c>
      <c r="I182" s="14">
        <f t="shared" si="5"/>
        <v>0</v>
      </c>
      <c r="J182" s="8"/>
      <c r="K182" s="8"/>
      <c r="M182" s="339"/>
      <c r="N182" s="315"/>
    </row>
    <row r="183" spans="1:14" s="9" customFormat="1" ht="11.25" x14ac:dyDescent="0.2">
      <c r="A183" s="10">
        <v>53200000</v>
      </c>
      <c r="B183" s="10" t="s">
        <v>120</v>
      </c>
      <c r="C183" s="11">
        <v>185799.56100001931</v>
      </c>
      <c r="D183" s="11">
        <v>21633293.196999997</v>
      </c>
      <c r="E183" s="11">
        <v>21691552.173</v>
      </c>
      <c r="F183" s="13">
        <f>SUMIF('OD 08-24'!A:A,A183,'OD 08-24'!D:D)</f>
        <v>0</v>
      </c>
      <c r="G183" s="13">
        <f>SUMIF('OD 08-24'!A:A,A183,'OD 08-24'!E:E)</f>
        <v>0</v>
      </c>
      <c r="H183" s="14">
        <f t="shared" si="4"/>
        <v>-58258.976000003517</v>
      </c>
      <c r="I183" s="14">
        <f t="shared" si="5"/>
        <v>127540.5850000158</v>
      </c>
      <c r="J183" s="8" t="s">
        <v>121</v>
      </c>
      <c r="K183" s="8"/>
      <c r="M183" s="339"/>
      <c r="N183" s="315"/>
    </row>
    <row r="184" spans="1:14" s="9" customFormat="1" ht="11.25" customHeight="1" x14ac:dyDescent="0.2">
      <c r="A184" s="10">
        <v>53201000</v>
      </c>
      <c r="B184" s="10" t="s">
        <v>348</v>
      </c>
      <c r="C184" s="11">
        <v>0</v>
      </c>
      <c r="D184" s="11">
        <v>0</v>
      </c>
      <c r="E184" s="11">
        <v>0</v>
      </c>
      <c r="F184" s="13">
        <f>SUMIF('OD 08-24'!A:A,A184,'OD 08-24'!D:D)</f>
        <v>0</v>
      </c>
      <c r="G184" s="13">
        <f>SUMIF('OD 08-24'!A:A,A184,'OD 08-24'!E:E)</f>
        <v>0</v>
      </c>
      <c r="H184" s="14">
        <f t="shared" si="4"/>
        <v>0</v>
      </c>
      <c r="I184" s="14">
        <f t="shared" si="5"/>
        <v>0</v>
      </c>
      <c r="J184" s="8"/>
      <c r="K184" s="8"/>
      <c r="M184" s="339"/>
      <c r="N184" s="315"/>
    </row>
    <row r="185" spans="1:14" s="9" customFormat="1" ht="11.25" x14ac:dyDescent="0.2">
      <c r="A185" s="10">
        <v>53202000</v>
      </c>
      <c r="B185" s="10" t="s">
        <v>122</v>
      </c>
      <c r="C185" s="11">
        <v>435.74199999962002</v>
      </c>
      <c r="D185" s="11">
        <v>0</v>
      </c>
      <c r="E185" s="11">
        <v>0</v>
      </c>
      <c r="F185" s="13">
        <f>SUMIF('OD 08-24'!A:A,A185,'OD 08-24'!D:D)</f>
        <v>0</v>
      </c>
      <c r="G185" s="13">
        <f>SUMIF('OD 08-24'!A:A,A185,'OD 08-24'!E:E)</f>
        <v>0</v>
      </c>
      <c r="H185" s="14">
        <f t="shared" si="4"/>
        <v>0</v>
      </c>
      <c r="I185" s="14">
        <f t="shared" si="5"/>
        <v>435.74199999962002</v>
      </c>
      <c r="J185" s="8" t="s">
        <v>121</v>
      </c>
      <c r="K185" s="8"/>
      <c r="M185" s="339"/>
      <c r="N185" s="315"/>
    </row>
    <row r="186" spans="1:14" s="9" customFormat="1" ht="11.25" x14ac:dyDescent="0.2">
      <c r="A186" s="10">
        <v>53203000</v>
      </c>
      <c r="B186" s="10" t="s">
        <v>349</v>
      </c>
      <c r="C186" s="11">
        <v>159807.23199999891</v>
      </c>
      <c r="D186" s="11">
        <v>411886.78200000001</v>
      </c>
      <c r="E186" s="11">
        <v>565400.86600000004</v>
      </c>
      <c r="F186" s="13">
        <f>SUMIF('OD 08-24'!A:A,A186,'OD 08-24'!D:D)</f>
        <v>0</v>
      </c>
      <c r="G186" s="13">
        <f>SUMIF('OD 08-24'!A:A,A186,'OD 08-24'!E:E)</f>
        <v>0</v>
      </c>
      <c r="H186" s="14">
        <f t="shared" si="4"/>
        <v>-153514.08400000003</v>
      </c>
      <c r="I186" s="14">
        <f t="shared" si="5"/>
        <v>6293.1479999988806</v>
      </c>
      <c r="J186" s="8" t="s">
        <v>121</v>
      </c>
      <c r="K186" s="8"/>
      <c r="M186" s="339"/>
      <c r="N186" s="315"/>
    </row>
    <row r="187" spans="1:14" s="9" customFormat="1" ht="11.25" customHeight="1" x14ac:dyDescent="0.2">
      <c r="A187" s="10">
        <v>53204000</v>
      </c>
      <c r="B187" s="10" t="s">
        <v>350</v>
      </c>
      <c r="C187" s="11">
        <v>0</v>
      </c>
      <c r="D187" s="11">
        <v>0</v>
      </c>
      <c r="E187" s="11">
        <v>0</v>
      </c>
      <c r="F187" s="13">
        <f>SUMIF('OD 08-24'!A:A,A187,'OD 08-24'!D:D)</f>
        <v>0</v>
      </c>
      <c r="G187" s="13">
        <f>SUMIF('OD 08-24'!A:A,A187,'OD 08-24'!E:E)</f>
        <v>0</v>
      </c>
      <c r="H187" s="14">
        <f t="shared" si="4"/>
        <v>0</v>
      </c>
      <c r="I187" s="14">
        <f t="shared" si="5"/>
        <v>0</v>
      </c>
      <c r="J187" s="8"/>
      <c r="K187" s="8"/>
      <c r="M187" s="339"/>
      <c r="N187" s="315"/>
    </row>
    <row r="188" spans="1:14" s="9" customFormat="1" ht="11.25" customHeight="1" x14ac:dyDescent="0.2">
      <c r="A188" s="10">
        <v>53204100</v>
      </c>
      <c r="B188" s="10" t="s">
        <v>351</v>
      </c>
      <c r="C188" s="11">
        <v>0</v>
      </c>
      <c r="D188" s="11">
        <v>0</v>
      </c>
      <c r="E188" s="11">
        <v>0</v>
      </c>
      <c r="F188" s="13">
        <f>SUMIF('OD 08-24'!A:A,A188,'OD 08-24'!D:D)</f>
        <v>0</v>
      </c>
      <c r="G188" s="13">
        <f>SUMIF('OD 08-24'!A:A,A188,'OD 08-24'!E:E)</f>
        <v>0</v>
      </c>
      <c r="H188" s="14">
        <f t="shared" si="4"/>
        <v>0</v>
      </c>
      <c r="I188" s="14">
        <f t="shared" si="5"/>
        <v>0</v>
      </c>
      <c r="J188" s="8"/>
      <c r="K188" s="8"/>
      <c r="M188" s="339"/>
      <c r="N188" s="315"/>
    </row>
    <row r="189" spans="1:14" s="9" customFormat="1" ht="11.25" customHeight="1" x14ac:dyDescent="0.2">
      <c r="A189" s="10">
        <v>53204500</v>
      </c>
      <c r="B189" s="10" t="s">
        <v>123</v>
      </c>
      <c r="C189" s="11">
        <v>5874.02</v>
      </c>
      <c r="D189" s="11">
        <v>0</v>
      </c>
      <c r="E189" s="11">
        <v>0</v>
      </c>
      <c r="F189" s="13">
        <f>SUMIF('OD 08-24'!A:A,A189,'OD 08-24'!D:D)</f>
        <v>0</v>
      </c>
      <c r="G189" s="13">
        <f>SUMIF('OD 08-24'!A:A,A189,'OD 08-24'!E:E)</f>
        <v>0</v>
      </c>
      <c r="H189" s="14">
        <f t="shared" si="4"/>
        <v>0</v>
      </c>
      <c r="I189" s="14">
        <f t="shared" si="5"/>
        <v>5874.02</v>
      </c>
      <c r="J189" s="8" t="s">
        <v>121</v>
      </c>
      <c r="K189" s="8"/>
      <c r="M189" s="339"/>
      <c r="N189" s="315"/>
    </row>
    <row r="190" spans="1:14" s="9" customFormat="1" ht="11.25" customHeight="1" x14ac:dyDescent="0.2">
      <c r="A190" s="10">
        <v>53205000</v>
      </c>
      <c r="B190" s="10" t="s">
        <v>124</v>
      </c>
      <c r="C190" s="11">
        <v>12925.083999991417</v>
      </c>
      <c r="D190" s="11">
        <v>43908.082000000002</v>
      </c>
      <c r="E190" s="11">
        <v>55000.952000000005</v>
      </c>
      <c r="F190" s="13">
        <f>SUMIF('OD 08-24'!A:A,A190,'OD 08-24'!D:D)</f>
        <v>0</v>
      </c>
      <c r="G190" s="13">
        <f>SUMIF('OD 08-24'!A:A,A190,'OD 08-24'!E:E)</f>
        <v>0</v>
      </c>
      <c r="H190" s="14">
        <f t="shared" si="4"/>
        <v>-11092.870000000003</v>
      </c>
      <c r="I190" s="14">
        <f t="shared" si="5"/>
        <v>1832.2139999914143</v>
      </c>
      <c r="J190" s="8" t="s">
        <v>121</v>
      </c>
      <c r="K190" s="8"/>
      <c r="M190" s="339"/>
      <c r="N190" s="315"/>
    </row>
    <row r="191" spans="1:14" s="9" customFormat="1" ht="11.25" customHeight="1" x14ac:dyDescent="0.2">
      <c r="A191" s="10">
        <v>53205200</v>
      </c>
      <c r="B191" s="10" t="s">
        <v>9637</v>
      </c>
      <c r="C191" s="11">
        <v>0</v>
      </c>
      <c r="D191" s="11">
        <v>5000</v>
      </c>
      <c r="E191" s="11">
        <v>0</v>
      </c>
      <c r="F191" s="13">
        <f>SUMIF('OD 08-24'!A:A,A191,'OD 08-24'!D:D)</f>
        <v>0</v>
      </c>
      <c r="G191" s="13">
        <f>SUMIF('OD 08-24'!A:A,A191,'OD 08-24'!E:E)</f>
        <v>0</v>
      </c>
      <c r="H191" s="14">
        <f t="shared" si="4"/>
        <v>5000</v>
      </c>
      <c r="I191" s="14">
        <f t="shared" si="5"/>
        <v>5000</v>
      </c>
      <c r="J191" s="8" t="s">
        <v>121</v>
      </c>
      <c r="K191" s="8"/>
      <c r="M191" s="339"/>
      <c r="N191" s="315"/>
    </row>
    <row r="192" spans="1:14" s="9" customFormat="1" ht="11.25" customHeight="1" x14ac:dyDescent="0.2">
      <c r="A192" s="10">
        <v>53205300</v>
      </c>
      <c r="B192" s="10" t="s">
        <v>125</v>
      </c>
      <c r="C192" s="11">
        <v>0</v>
      </c>
      <c r="D192" s="11">
        <v>0</v>
      </c>
      <c r="E192" s="11">
        <v>0</v>
      </c>
      <c r="F192" s="13">
        <f>SUMIF('OD 08-24'!A:A,A192,'OD 08-24'!D:D)</f>
        <v>0</v>
      </c>
      <c r="G192" s="13">
        <f>SUMIF('OD 08-24'!A:A,A192,'OD 08-24'!E:E)</f>
        <v>0</v>
      </c>
      <c r="H192" s="14">
        <f t="shared" si="4"/>
        <v>0</v>
      </c>
      <c r="I192" s="14">
        <f t="shared" si="5"/>
        <v>0</v>
      </c>
      <c r="J192" s="8" t="s">
        <v>121</v>
      </c>
      <c r="K192" s="8"/>
      <c r="M192" s="339"/>
      <c r="N192" s="315"/>
    </row>
    <row r="193" spans="1:14" s="9" customFormat="1" ht="11.25" customHeight="1" x14ac:dyDescent="0.2">
      <c r="A193" s="10">
        <v>53205400</v>
      </c>
      <c r="B193" s="10" t="s">
        <v>126</v>
      </c>
      <c r="C193" s="11">
        <v>0</v>
      </c>
      <c r="D193" s="11">
        <v>0</v>
      </c>
      <c r="E193" s="11">
        <v>0</v>
      </c>
      <c r="F193" s="13">
        <f>SUMIF('OD 08-24'!A:A,A193,'OD 08-24'!D:D)</f>
        <v>0</v>
      </c>
      <c r="G193" s="13">
        <f>SUMIF('OD 08-24'!A:A,A193,'OD 08-24'!E:E)</f>
        <v>0</v>
      </c>
      <c r="H193" s="14">
        <f t="shared" si="4"/>
        <v>0</v>
      </c>
      <c r="I193" s="14">
        <f t="shared" si="5"/>
        <v>0</v>
      </c>
      <c r="J193" s="8"/>
      <c r="K193" s="8"/>
      <c r="M193" s="339"/>
      <c r="N193" s="315"/>
    </row>
    <row r="194" spans="1:14" s="9" customFormat="1" ht="11.25" customHeight="1" x14ac:dyDescent="0.2">
      <c r="A194" s="10">
        <v>53205500</v>
      </c>
      <c r="B194" s="10" t="s">
        <v>127</v>
      </c>
      <c r="C194" s="11">
        <v>0</v>
      </c>
      <c r="D194" s="11">
        <v>0</v>
      </c>
      <c r="E194" s="11">
        <v>0</v>
      </c>
      <c r="F194" s="13">
        <f>SUMIF('OD 08-24'!A:A,A194,'OD 08-24'!D:D)</f>
        <v>0</v>
      </c>
      <c r="G194" s="13">
        <f>SUMIF('OD 08-24'!A:A,A194,'OD 08-24'!E:E)</f>
        <v>0</v>
      </c>
      <c r="H194" s="14">
        <f t="shared" si="4"/>
        <v>0</v>
      </c>
      <c r="I194" s="14">
        <f t="shared" si="5"/>
        <v>0</v>
      </c>
      <c r="J194" s="8"/>
      <c r="K194" s="8"/>
      <c r="M194" s="339"/>
      <c r="N194" s="315"/>
    </row>
    <row r="195" spans="1:14" s="9" customFormat="1" ht="11.25" customHeight="1" x14ac:dyDescent="0.2">
      <c r="A195" s="10">
        <v>53205600</v>
      </c>
      <c r="B195" s="10" t="s">
        <v>128</v>
      </c>
      <c r="C195" s="11">
        <v>-3300983.9089999795</v>
      </c>
      <c r="D195" s="11">
        <v>52208256.406000003</v>
      </c>
      <c r="E195" s="11">
        <v>52861132.248000003</v>
      </c>
      <c r="F195" s="13">
        <f>SUMIF('OD 08-24'!A:A,A195,'OD 08-24'!D:D)</f>
        <v>0</v>
      </c>
      <c r="G195" s="13">
        <f>SUMIF('OD 08-24'!A:A,A195,'OD 08-24'!E:E)</f>
        <v>0</v>
      </c>
      <c r="H195" s="14">
        <f t="shared" si="4"/>
        <v>-652875.84200000018</v>
      </c>
      <c r="I195" s="14">
        <f t="shared" si="5"/>
        <v>-3953859.7509999797</v>
      </c>
      <c r="J195" s="8" t="s">
        <v>115</v>
      </c>
      <c r="K195" s="8"/>
      <c r="M195" s="339"/>
      <c r="N195" s="315"/>
    </row>
    <row r="196" spans="1:14" s="9" customFormat="1" ht="11.25" customHeight="1" x14ac:dyDescent="0.2">
      <c r="A196" s="10">
        <v>53205700</v>
      </c>
      <c r="B196" s="10" t="s">
        <v>129</v>
      </c>
      <c r="C196" s="11">
        <v>1964289.2105972022</v>
      </c>
      <c r="D196" s="11">
        <v>25710229.381999999</v>
      </c>
      <c r="E196" s="11">
        <v>25331514.831</v>
      </c>
      <c r="F196" s="13">
        <f>SUMIF('OD 08-24'!A:A,A196,'OD 08-24'!D:D)</f>
        <v>664487.51139999996</v>
      </c>
      <c r="G196" s="13">
        <f>SUMIF('OD 08-24'!A:A,A196,'OD 08-24'!E:E)</f>
        <v>1749201.0684</v>
      </c>
      <c r="H196" s="14">
        <f t="shared" ref="H196:H264" si="6">+D196+F196-E196-G196</f>
        <v>-705999.00600000168</v>
      </c>
      <c r="I196" s="14">
        <f t="shared" ref="I196:I264" si="7">+H196+C196</f>
        <v>1258290.2045972005</v>
      </c>
      <c r="J196" s="8" t="s">
        <v>121</v>
      </c>
      <c r="K196" s="8"/>
      <c r="M196" s="339"/>
      <c r="N196" s="315"/>
    </row>
    <row r="197" spans="1:14" s="9" customFormat="1" ht="11.25" customHeight="1" x14ac:dyDescent="0.2">
      <c r="A197" s="10">
        <v>53205800</v>
      </c>
      <c r="B197" s="10" t="s">
        <v>130</v>
      </c>
      <c r="C197" s="11">
        <v>-66996.353000000119</v>
      </c>
      <c r="D197" s="11">
        <v>0</v>
      </c>
      <c r="E197" s="11">
        <v>925.05899999999997</v>
      </c>
      <c r="F197" s="13">
        <f>SUMIF('OD 08-24'!A:A,A197,'OD 08-24'!D:D)</f>
        <v>403.17099999999999</v>
      </c>
      <c r="G197" s="13">
        <f>SUMIF('OD 08-24'!A:A,A197,'OD 08-24'!E:E)</f>
        <v>408.173</v>
      </c>
      <c r="H197" s="14">
        <f t="shared" si="6"/>
        <v>-930.06099999999992</v>
      </c>
      <c r="I197" s="14">
        <f t="shared" si="7"/>
        <v>-67926.414000000121</v>
      </c>
      <c r="J197" s="8" t="s">
        <v>115</v>
      </c>
      <c r="K197" s="8"/>
      <c r="M197" s="339"/>
      <c r="N197" s="315"/>
    </row>
    <row r="198" spans="1:14" s="9" customFormat="1" ht="11.25" customHeight="1" x14ac:dyDescent="0.2">
      <c r="A198" s="10">
        <v>53207000</v>
      </c>
      <c r="B198" s="10" t="s">
        <v>352</v>
      </c>
      <c r="C198" s="11">
        <v>0</v>
      </c>
      <c r="D198" s="11">
        <v>0</v>
      </c>
      <c r="E198" s="11">
        <v>0</v>
      </c>
      <c r="F198" s="13">
        <f>SUMIF('OD 08-24'!A:A,A198,'OD 08-24'!D:D)</f>
        <v>0</v>
      </c>
      <c r="G198" s="13">
        <f>SUMIF('OD 08-24'!A:A,A198,'OD 08-24'!E:E)</f>
        <v>0</v>
      </c>
      <c r="H198" s="14">
        <f t="shared" si="6"/>
        <v>0</v>
      </c>
      <c r="I198" s="14">
        <f t="shared" si="7"/>
        <v>0</v>
      </c>
      <c r="J198" s="8"/>
      <c r="K198" s="8"/>
      <c r="M198" s="339"/>
      <c r="N198" s="315"/>
    </row>
    <row r="199" spans="1:14" s="9" customFormat="1" ht="11.25" customHeight="1" x14ac:dyDescent="0.2">
      <c r="A199" s="10">
        <v>53207100</v>
      </c>
      <c r="B199" s="10" t="s">
        <v>353</v>
      </c>
      <c r="C199" s="11">
        <v>0</v>
      </c>
      <c r="D199" s="11">
        <v>0</v>
      </c>
      <c r="E199" s="11">
        <v>0</v>
      </c>
      <c r="F199" s="13">
        <f>SUMIF('OD 08-24'!A:A,A199,'OD 08-24'!D:D)</f>
        <v>0</v>
      </c>
      <c r="G199" s="13">
        <f>SUMIF('OD 08-24'!A:A,A199,'OD 08-24'!E:E)</f>
        <v>0</v>
      </c>
      <c r="H199" s="14">
        <f t="shared" si="6"/>
        <v>0</v>
      </c>
      <c r="I199" s="14">
        <f t="shared" si="7"/>
        <v>0</v>
      </c>
      <c r="J199" s="8"/>
      <c r="K199" s="8"/>
      <c r="M199" s="339"/>
      <c r="N199" s="315"/>
    </row>
    <row r="200" spans="1:14" s="9" customFormat="1" ht="11.25" customHeight="1" x14ac:dyDescent="0.2">
      <c r="A200" s="10">
        <v>53207200</v>
      </c>
      <c r="B200" s="10" t="s">
        <v>354</v>
      </c>
      <c r="C200" s="11">
        <v>0</v>
      </c>
      <c r="D200" s="11">
        <v>0</v>
      </c>
      <c r="E200" s="11">
        <v>0</v>
      </c>
      <c r="F200" s="13">
        <f>SUMIF('OD 08-24'!A:A,A200,'OD 08-24'!D:D)</f>
        <v>0</v>
      </c>
      <c r="G200" s="13">
        <f>SUMIF('OD 08-24'!A:A,A200,'OD 08-24'!E:E)</f>
        <v>0</v>
      </c>
      <c r="H200" s="14">
        <f t="shared" si="6"/>
        <v>0</v>
      </c>
      <c r="I200" s="14">
        <f t="shared" si="7"/>
        <v>0</v>
      </c>
      <c r="J200" s="8"/>
      <c r="K200" s="8"/>
      <c r="M200" s="339"/>
      <c r="N200" s="315"/>
    </row>
    <row r="201" spans="1:14" s="9" customFormat="1" ht="11.25" x14ac:dyDescent="0.2">
      <c r="A201" s="10">
        <v>53208000</v>
      </c>
      <c r="B201" s="10" t="s">
        <v>355</v>
      </c>
      <c r="C201" s="11">
        <v>485.66199999954551</v>
      </c>
      <c r="D201" s="11">
        <v>0</v>
      </c>
      <c r="E201" s="11">
        <v>0</v>
      </c>
      <c r="F201" s="13">
        <f>SUMIF('OD 08-24'!A:A,A201,'OD 08-24'!D:D)</f>
        <v>0</v>
      </c>
      <c r="G201" s="13">
        <f>SUMIF('OD 08-24'!A:A,A201,'OD 08-24'!E:E)</f>
        <v>0</v>
      </c>
      <c r="H201" s="14">
        <f t="shared" si="6"/>
        <v>0</v>
      </c>
      <c r="I201" s="14">
        <f t="shared" si="7"/>
        <v>485.66199999954551</v>
      </c>
      <c r="J201" s="8" t="s">
        <v>121</v>
      </c>
      <c r="K201" s="8"/>
      <c r="M201" s="339"/>
      <c r="N201" s="315"/>
    </row>
    <row r="202" spans="1:14" s="9" customFormat="1" ht="11.25" customHeight="1" x14ac:dyDescent="0.2">
      <c r="A202" s="10">
        <v>53208100</v>
      </c>
      <c r="B202" s="10" t="s">
        <v>356</v>
      </c>
      <c r="C202" s="11">
        <v>0</v>
      </c>
      <c r="D202" s="11">
        <v>0</v>
      </c>
      <c r="E202" s="11">
        <v>0</v>
      </c>
      <c r="F202" s="13">
        <f>SUMIF('OD 08-24'!A:A,A202,'OD 08-24'!D:D)</f>
        <v>0</v>
      </c>
      <c r="G202" s="13">
        <f>SUMIF('OD 08-24'!A:A,A202,'OD 08-24'!E:E)</f>
        <v>0</v>
      </c>
      <c r="H202" s="14">
        <f t="shared" si="6"/>
        <v>0</v>
      </c>
      <c r="I202" s="14">
        <f t="shared" si="7"/>
        <v>0</v>
      </c>
      <c r="J202" s="8"/>
      <c r="K202" s="8"/>
      <c r="M202" s="339"/>
      <c r="N202" s="315"/>
    </row>
    <row r="203" spans="1:14" s="9" customFormat="1" ht="11.25" customHeight="1" x14ac:dyDescent="0.2">
      <c r="A203" s="10">
        <v>53208500</v>
      </c>
      <c r="B203" s="10" t="s">
        <v>357</v>
      </c>
      <c r="C203" s="11">
        <v>0</v>
      </c>
      <c r="D203" s="11">
        <v>0</v>
      </c>
      <c r="E203" s="11">
        <v>0</v>
      </c>
      <c r="F203" s="13">
        <f>SUMIF('OD 08-24'!A:A,A203,'OD 08-24'!D:D)</f>
        <v>0</v>
      </c>
      <c r="G203" s="13">
        <f>SUMIF('OD 08-24'!A:A,A203,'OD 08-24'!E:E)</f>
        <v>0</v>
      </c>
      <c r="H203" s="14">
        <f t="shared" si="6"/>
        <v>0</v>
      </c>
      <c r="I203" s="14">
        <f t="shared" si="7"/>
        <v>0</v>
      </c>
      <c r="J203" s="8"/>
      <c r="K203" s="8"/>
      <c r="M203" s="339"/>
      <c r="N203" s="315"/>
    </row>
    <row r="204" spans="1:14" s="9" customFormat="1" ht="11.25" customHeight="1" x14ac:dyDescent="0.2">
      <c r="A204" s="10">
        <v>54000000</v>
      </c>
      <c r="B204" s="10" t="s">
        <v>358</v>
      </c>
      <c r="C204" s="11">
        <v>0</v>
      </c>
      <c r="D204" s="11">
        <v>16489.436000000002</v>
      </c>
      <c r="E204" s="11">
        <v>16489.436000000002</v>
      </c>
      <c r="F204" s="13">
        <f>SUMIF('OD 08-24'!A:A,A204,'OD 08-24'!D:D)</f>
        <v>0</v>
      </c>
      <c r="G204" s="13">
        <f>SUMIF('OD 08-24'!A:A,A204,'OD 08-24'!E:E)</f>
        <v>0</v>
      </c>
      <c r="H204" s="14">
        <f t="shared" si="6"/>
        <v>0</v>
      </c>
      <c r="I204" s="14">
        <f t="shared" si="7"/>
        <v>0</v>
      </c>
      <c r="J204" s="8"/>
      <c r="K204" s="8"/>
      <c r="M204" s="339"/>
      <c r="N204" s="315"/>
    </row>
    <row r="205" spans="1:14" s="9" customFormat="1" ht="11.25" x14ac:dyDescent="0.2">
      <c r="A205" s="10">
        <v>54100000</v>
      </c>
      <c r="B205" s="10" t="s">
        <v>131</v>
      </c>
      <c r="C205" s="11">
        <v>17</v>
      </c>
      <c r="D205" s="11">
        <v>72380.644</v>
      </c>
      <c r="E205" s="11">
        <v>58572.829000000005</v>
      </c>
      <c r="F205" s="13">
        <f>SUMIF('OD 08-24'!A:A,A205,'OD 08-24'!D:D)</f>
        <v>0</v>
      </c>
      <c r="G205" s="13">
        <f>SUMIF('OD 08-24'!A:A,A205,'OD 08-24'!E:E)</f>
        <v>0</v>
      </c>
      <c r="H205" s="14">
        <f t="shared" si="6"/>
        <v>13807.814999999995</v>
      </c>
      <c r="I205" s="14">
        <f t="shared" si="7"/>
        <v>13824.814999999995</v>
      </c>
      <c r="J205" s="8" t="s">
        <v>121</v>
      </c>
      <c r="K205" s="8"/>
      <c r="M205" s="339"/>
      <c r="N205" s="315"/>
    </row>
    <row r="206" spans="1:14" s="9" customFormat="1" ht="11.25" customHeight="1" x14ac:dyDescent="0.2">
      <c r="A206" s="10">
        <v>54300000</v>
      </c>
      <c r="B206" s="10" t="s">
        <v>359</v>
      </c>
      <c r="C206" s="11">
        <v>0</v>
      </c>
      <c r="D206" s="11">
        <v>0</v>
      </c>
      <c r="E206" s="11">
        <v>0</v>
      </c>
      <c r="F206" s="13">
        <f>SUMIF('OD 08-24'!A:A,A206,'OD 08-24'!D:D)</f>
        <v>0</v>
      </c>
      <c r="G206" s="13">
        <f>SUMIF('OD 08-24'!A:A,A206,'OD 08-24'!E:E)</f>
        <v>0</v>
      </c>
      <c r="H206" s="14">
        <f t="shared" si="6"/>
        <v>0</v>
      </c>
      <c r="I206" s="14">
        <f t="shared" si="7"/>
        <v>0</v>
      </c>
      <c r="J206" s="8"/>
      <c r="K206" s="8"/>
      <c r="M206" s="339"/>
      <c r="N206" s="315"/>
    </row>
    <row r="207" spans="1:14" s="9" customFormat="1" ht="11.25" x14ac:dyDescent="0.2">
      <c r="A207" s="10">
        <v>55010000</v>
      </c>
      <c r="B207" s="10" t="s">
        <v>132</v>
      </c>
      <c r="C207" s="11">
        <v>3000</v>
      </c>
      <c r="D207" s="11">
        <v>0</v>
      </c>
      <c r="E207" s="11">
        <v>0</v>
      </c>
      <c r="F207" s="13">
        <f>SUMIF('OD 08-24'!A:A,A207,'OD 08-24'!D:D)</f>
        <v>0</v>
      </c>
      <c r="G207" s="13">
        <f>SUMIF('OD 08-24'!A:A,A207,'OD 08-24'!E:E)</f>
        <v>0</v>
      </c>
      <c r="H207" s="14">
        <f t="shared" si="6"/>
        <v>0</v>
      </c>
      <c r="I207" s="14">
        <f t="shared" si="7"/>
        <v>3000</v>
      </c>
      <c r="J207" s="8" t="s">
        <v>121</v>
      </c>
      <c r="K207" s="8"/>
      <c r="M207" s="339"/>
      <c r="N207" s="315"/>
    </row>
    <row r="208" spans="1:14" s="9" customFormat="1" ht="11.25" x14ac:dyDescent="0.2">
      <c r="A208" s="10">
        <v>55011000</v>
      </c>
      <c r="B208" s="10" t="s">
        <v>133</v>
      </c>
      <c r="C208" s="11">
        <v>0</v>
      </c>
      <c r="D208" s="11">
        <v>0</v>
      </c>
      <c r="E208" s="11">
        <v>0</v>
      </c>
      <c r="F208" s="13">
        <f>SUMIF('OD 08-24'!A:A,A208,'OD 08-24'!D:D)</f>
        <v>0</v>
      </c>
      <c r="G208" s="13">
        <f>SUMIF('OD 08-24'!A:A,A208,'OD 08-24'!E:E)</f>
        <v>0</v>
      </c>
      <c r="H208" s="14">
        <f t="shared" si="6"/>
        <v>0</v>
      </c>
      <c r="I208" s="14">
        <f t="shared" si="7"/>
        <v>0</v>
      </c>
      <c r="J208" s="8" t="s">
        <v>121</v>
      </c>
      <c r="K208" s="8"/>
      <c r="M208" s="339"/>
      <c r="N208" s="315"/>
    </row>
    <row r="209" spans="1:14" s="9" customFormat="1" ht="11.25" x14ac:dyDescent="0.2">
      <c r="A209" s="10">
        <v>58000000</v>
      </c>
      <c r="B209" s="10" t="s">
        <v>134</v>
      </c>
      <c r="C209" s="11">
        <v>0</v>
      </c>
      <c r="D209" s="11">
        <v>0</v>
      </c>
      <c r="E209" s="11">
        <v>0</v>
      </c>
      <c r="F209" s="13">
        <f>SUMIF('OD 08-24'!A:A,A209,'OD 08-24'!D:D)</f>
        <v>0</v>
      </c>
      <c r="G209" s="13">
        <f>SUMIF('OD 08-24'!A:A,A209,'OD 08-24'!E:E)</f>
        <v>0</v>
      </c>
      <c r="H209" s="14">
        <f t="shared" si="6"/>
        <v>0</v>
      </c>
      <c r="I209" s="14">
        <f t="shared" si="7"/>
        <v>0</v>
      </c>
      <c r="J209" s="8" t="s">
        <v>121</v>
      </c>
      <c r="K209" s="8"/>
      <c r="M209" s="339"/>
      <c r="N209" s="315"/>
    </row>
    <row r="210" spans="1:14" s="9" customFormat="1" ht="11.25" customHeight="1" x14ac:dyDescent="0.2">
      <c r="A210" s="10">
        <v>58001000</v>
      </c>
      <c r="B210" s="10" t="s">
        <v>135</v>
      </c>
      <c r="C210" s="11">
        <v>-1.9999593496322632E-4</v>
      </c>
      <c r="D210" s="11">
        <v>0</v>
      </c>
      <c r="E210" s="11">
        <v>0</v>
      </c>
      <c r="F210" s="13">
        <f>SUMIF('OD 08-24'!A:A,A210,'OD 08-24'!D:D)</f>
        <v>0</v>
      </c>
      <c r="G210" s="13">
        <f>SUMIF('OD 08-24'!A:A,A210,'OD 08-24'!E:E)</f>
        <v>0</v>
      </c>
      <c r="H210" s="14">
        <f t="shared" si="6"/>
        <v>0</v>
      </c>
      <c r="I210" s="14">
        <f t="shared" si="7"/>
        <v>-1.9999593496322632E-4</v>
      </c>
      <c r="J210" s="8"/>
      <c r="K210" s="8"/>
      <c r="M210" s="339"/>
      <c r="N210" s="315"/>
    </row>
    <row r="211" spans="1:14" s="9" customFormat="1" ht="11.25" customHeight="1" x14ac:dyDescent="0.2">
      <c r="A211" s="10">
        <v>58002000</v>
      </c>
      <c r="B211" s="10" t="s">
        <v>360</v>
      </c>
      <c r="C211" s="11">
        <v>0</v>
      </c>
      <c r="D211" s="11">
        <v>0</v>
      </c>
      <c r="E211" s="11">
        <v>0</v>
      </c>
      <c r="F211" s="13">
        <f>SUMIF('OD 08-24'!A:A,A211,'OD 08-24'!D:D)</f>
        <v>0</v>
      </c>
      <c r="G211" s="13">
        <f>SUMIF('OD 08-24'!A:A,A211,'OD 08-24'!E:E)</f>
        <v>0</v>
      </c>
      <c r="H211" s="14">
        <f t="shared" si="6"/>
        <v>0</v>
      </c>
      <c r="I211" s="14">
        <f t="shared" si="7"/>
        <v>0</v>
      </c>
      <c r="J211" s="8"/>
      <c r="K211" s="8"/>
      <c r="M211" s="339"/>
      <c r="N211" s="315"/>
    </row>
    <row r="212" spans="1:14" s="9" customFormat="1" ht="11.25" customHeight="1" x14ac:dyDescent="0.2">
      <c r="A212" s="10">
        <v>58003000</v>
      </c>
      <c r="B212" s="10" t="s">
        <v>136</v>
      </c>
      <c r="C212" s="11">
        <v>1.0100007057189941E-4</v>
      </c>
      <c r="D212" s="11">
        <v>4014351.1680000001</v>
      </c>
      <c r="E212" s="11">
        <v>4014351.1680000001</v>
      </c>
      <c r="F212" s="13">
        <f>SUMIF('OD 08-24'!A:A,A212,'OD 08-24'!D:D)</f>
        <v>0</v>
      </c>
      <c r="G212" s="13">
        <f>SUMIF('OD 08-24'!A:A,A212,'OD 08-24'!E:E)</f>
        <v>0</v>
      </c>
      <c r="H212" s="14">
        <f t="shared" si="6"/>
        <v>0</v>
      </c>
      <c r="I212" s="14">
        <f t="shared" si="7"/>
        <v>1.0100007057189941E-4</v>
      </c>
      <c r="J212" s="8"/>
      <c r="K212" s="8"/>
      <c r="M212" s="339"/>
      <c r="N212" s="315"/>
    </row>
    <row r="213" spans="1:14" s="9" customFormat="1" ht="11.25" customHeight="1" x14ac:dyDescent="0.2">
      <c r="A213" s="10">
        <v>58004000</v>
      </c>
      <c r="B213" s="10" t="s">
        <v>361</v>
      </c>
      <c r="C213" s="11">
        <v>0</v>
      </c>
      <c r="D213" s="11">
        <v>0</v>
      </c>
      <c r="E213" s="11">
        <v>0</v>
      </c>
      <c r="F213" s="13">
        <f>SUMIF('OD 08-24'!A:A,A213,'OD 08-24'!D:D)</f>
        <v>0</v>
      </c>
      <c r="G213" s="13">
        <f>SUMIF('OD 08-24'!A:A,A213,'OD 08-24'!E:E)</f>
        <v>0</v>
      </c>
      <c r="H213" s="14">
        <f t="shared" si="6"/>
        <v>0</v>
      </c>
      <c r="I213" s="14">
        <f t="shared" si="7"/>
        <v>0</v>
      </c>
      <c r="J213" s="8"/>
      <c r="K213" s="8"/>
      <c r="M213" s="339"/>
      <c r="N213" s="315"/>
    </row>
    <row r="214" spans="1:14" s="9" customFormat="1" ht="11.25" x14ac:dyDescent="0.2">
      <c r="A214" s="10">
        <v>58005000</v>
      </c>
      <c r="B214" s="10" t="s">
        <v>362</v>
      </c>
      <c r="C214" s="11">
        <v>3.8483738899230957E-4</v>
      </c>
      <c r="D214" s="11">
        <v>19170834.390999999</v>
      </c>
      <c r="E214" s="11">
        <v>19170834.390999999</v>
      </c>
      <c r="F214" s="13">
        <f>SUMIF('OD 08-24'!A:A,A214,'OD 08-24'!D:D)</f>
        <v>0</v>
      </c>
      <c r="G214" s="13">
        <f>SUMIF('OD 08-24'!A:A,A214,'OD 08-24'!E:E)</f>
        <v>0</v>
      </c>
      <c r="H214" s="14">
        <f t="shared" si="6"/>
        <v>0</v>
      </c>
      <c r="I214" s="14">
        <f t="shared" si="7"/>
        <v>3.8483738899230957E-4</v>
      </c>
      <c r="J214" s="8" t="s">
        <v>121</v>
      </c>
      <c r="K214" s="8"/>
      <c r="M214" s="339"/>
      <c r="N214" s="315"/>
    </row>
    <row r="215" spans="1:14" s="9" customFormat="1" ht="11.25" customHeight="1" x14ac:dyDescent="0.2">
      <c r="A215" s="10">
        <v>60110110</v>
      </c>
      <c r="B215" s="10" t="s">
        <v>403</v>
      </c>
      <c r="C215" s="11">
        <v>0</v>
      </c>
      <c r="D215" s="11">
        <v>1136780.078</v>
      </c>
      <c r="E215" s="11">
        <v>1136780.078</v>
      </c>
      <c r="F215" s="13">
        <f>SUMIF('OD 08-24'!A:A,A215,'OD 08-24'!D:D)</f>
        <v>1463593.0149999999</v>
      </c>
      <c r="G215" s="13">
        <f>SUMIF('OD 08-24'!A:A,A215,'OD 08-24'!E:E)</f>
        <v>1463593.0149999999</v>
      </c>
      <c r="H215" s="14">
        <f t="shared" si="6"/>
        <v>0</v>
      </c>
      <c r="I215" s="14">
        <f t="shared" si="7"/>
        <v>0</v>
      </c>
      <c r="J215" s="8" t="s">
        <v>138</v>
      </c>
      <c r="K215" s="8" t="s">
        <v>509</v>
      </c>
      <c r="M215" s="339"/>
      <c r="N215" s="315"/>
    </row>
    <row r="216" spans="1:14" s="9" customFormat="1" ht="11.25" customHeight="1" x14ac:dyDescent="0.2">
      <c r="A216" s="10">
        <v>60110212</v>
      </c>
      <c r="B216" s="10" t="s">
        <v>7391</v>
      </c>
      <c r="C216" s="11">
        <v>0</v>
      </c>
      <c r="D216" s="11">
        <v>35898.511500000001</v>
      </c>
      <c r="E216" s="11">
        <v>0</v>
      </c>
      <c r="F216" s="13">
        <f>SUMIF('OD 08-24'!A:A,A216,'OD 08-24'!D:D)</f>
        <v>0</v>
      </c>
      <c r="G216" s="13">
        <f>SUMIF('OD 08-24'!A:A,A216,'OD 08-24'!E:E)</f>
        <v>0</v>
      </c>
      <c r="H216" s="14">
        <f t="shared" si="6"/>
        <v>35898.511500000001</v>
      </c>
      <c r="I216" s="14">
        <f t="shared" si="7"/>
        <v>35898.511500000001</v>
      </c>
      <c r="J216" s="8" t="s">
        <v>138</v>
      </c>
      <c r="K216" s="8" t="s">
        <v>509</v>
      </c>
      <c r="M216" s="512"/>
      <c r="N216" s="315"/>
    </row>
    <row r="217" spans="1:14" s="9" customFormat="1" ht="11.25" customHeight="1" x14ac:dyDescent="0.2">
      <c r="A217" s="10">
        <v>60110210</v>
      </c>
      <c r="B217" s="10" t="s">
        <v>137</v>
      </c>
      <c r="C217" s="11">
        <v>0</v>
      </c>
      <c r="D217" s="11">
        <v>1321700.6406465</v>
      </c>
      <c r="E217" s="11">
        <v>0</v>
      </c>
      <c r="F217" s="13">
        <f>SUMIF('OD 08-24'!A:A,A217,'OD 08-24'!D:D)</f>
        <v>0</v>
      </c>
      <c r="G217" s="13">
        <f>SUMIF('OD 08-24'!A:A,A217,'OD 08-24'!E:E)</f>
        <v>0</v>
      </c>
      <c r="H217" s="14">
        <f t="shared" si="6"/>
        <v>1321700.6406465</v>
      </c>
      <c r="I217" s="14">
        <f t="shared" si="7"/>
        <v>1321700.6406465</v>
      </c>
      <c r="J217" s="8" t="s">
        <v>138</v>
      </c>
      <c r="K217" s="8" t="s">
        <v>509</v>
      </c>
      <c r="M217" s="512"/>
      <c r="N217" s="315"/>
    </row>
    <row r="218" spans="1:14" s="9" customFormat="1" ht="11.25" customHeight="1" x14ac:dyDescent="0.2">
      <c r="A218" s="10">
        <v>60110211</v>
      </c>
      <c r="B218" s="10" t="s">
        <v>363</v>
      </c>
      <c r="C218" s="11">
        <v>0</v>
      </c>
      <c r="D218" s="11">
        <v>241888.14641850005</v>
      </c>
      <c r="E218" s="11">
        <v>0</v>
      </c>
      <c r="F218" s="13">
        <f>SUMIF('OD 08-24'!A:A,A218,'OD 08-24'!D:D)</f>
        <v>0</v>
      </c>
      <c r="G218" s="13">
        <f>SUMIF('OD 08-24'!A:A,A218,'OD 08-24'!E:E)</f>
        <v>0</v>
      </c>
      <c r="H218" s="14">
        <f t="shared" si="6"/>
        <v>241888.14641850005</v>
      </c>
      <c r="I218" s="14">
        <f t="shared" si="7"/>
        <v>241888.14641850005</v>
      </c>
      <c r="J218" s="8" t="s">
        <v>138</v>
      </c>
      <c r="K218" s="8" t="s">
        <v>509</v>
      </c>
      <c r="M218" s="512"/>
      <c r="N218" s="315"/>
    </row>
    <row r="219" spans="1:14" s="9" customFormat="1" ht="11.25" customHeight="1" x14ac:dyDescent="0.2">
      <c r="A219" s="10">
        <v>60110213</v>
      </c>
      <c r="B219" s="10" t="s">
        <v>364</v>
      </c>
      <c r="C219" s="11">
        <v>0</v>
      </c>
      <c r="D219" s="11">
        <v>5211.6000000000004</v>
      </c>
      <c r="E219" s="11">
        <v>0</v>
      </c>
      <c r="F219" s="13">
        <f>SUMIF('OD 08-24'!A:A,A219,'OD 08-24'!D:D)</f>
        <v>768</v>
      </c>
      <c r="G219" s="13">
        <f>SUMIF('OD 08-24'!A:A,A219,'OD 08-24'!E:E)</f>
        <v>0</v>
      </c>
      <c r="H219" s="14">
        <f t="shared" si="6"/>
        <v>5979.6</v>
      </c>
      <c r="I219" s="14">
        <f t="shared" si="7"/>
        <v>5979.6</v>
      </c>
      <c r="J219" s="8" t="s">
        <v>138</v>
      </c>
      <c r="K219" s="8" t="s">
        <v>509</v>
      </c>
      <c r="M219" s="512"/>
      <c r="N219" s="315"/>
    </row>
    <row r="220" spans="1:14" s="9" customFormat="1" ht="11.25" customHeight="1" x14ac:dyDescent="0.2">
      <c r="A220" s="10">
        <v>60110220</v>
      </c>
      <c r="B220" s="10" t="s">
        <v>139</v>
      </c>
      <c r="C220" s="11">
        <v>0</v>
      </c>
      <c r="D220" s="11">
        <v>1430215.0172055</v>
      </c>
      <c r="E220" s="11">
        <v>12546.76</v>
      </c>
      <c r="F220" s="13">
        <f>SUMIF('OD 08-24'!A:A,A220,'OD 08-24'!D:D)</f>
        <v>0</v>
      </c>
      <c r="G220" s="13">
        <f>SUMIF('OD 08-24'!A:A,A220,'OD 08-24'!E:E)</f>
        <v>0</v>
      </c>
      <c r="H220" s="14">
        <f t="shared" si="6"/>
        <v>1417668.2572055</v>
      </c>
      <c r="I220" s="14">
        <f t="shared" si="7"/>
        <v>1417668.2572055</v>
      </c>
      <c r="J220" s="8" t="s">
        <v>138</v>
      </c>
      <c r="K220" s="8" t="s">
        <v>509</v>
      </c>
      <c r="M220" s="512"/>
      <c r="N220" s="315"/>
    </row>
    <row r="221" spans="1:14" s="9" customFormat="1" ht="11.25" customHeight="1" x14ac:dyDescent="0.2">
      <c r="A221" s="10">
        <v>60110230</v>
      </c>
      <c r="B221" s="10" t="s">
        <v>7566</v>
      </c>
      <c r="C221" s="11">
        <v>0</v>
      </c>
      <c r="D221" s="11">
        <v>71024.114700000006</v>
      </c>
      <c r="E221" s="11">
        <v>0</v>
      </c>
      <c r="F221" s="13">
        <f>SUMIF('OD 08-24'!A:A,A221,'OD 08-24'!D:D)</f>
        <v>0</v>
      </c>
      <c r="G221" s="13">
        <f>SUMIF('OD 08-24'!A:A,A221,'OD 08-24'!E:E)</f>
        <v>0</v>
      </c>
      <c r="H221" s="14">
        <f t="shared" si="6"/>
        <v>71024.114700000006</v>
      </c>
      <c r="I221" s="14">
        <f t="shared" si="7"/>
        <v>71024.114700000006</v>
      </c>
      <c r="J221" s="8" t="s">
        <v>138</v>
      </c>
      <c r="K221" s="8" t="s">
        <v>509</v>
      </c>
      <c r="M221" s="512"/>
      <c r="N221" s="315"/>
    </row>
    <row r="222" spans="1:14" s="9" customFormat="1" ht="11.25" customHeight="1" x14ac:dyDescent="0.2">
      <c r="A222" s="10">
        <v>60110300</v>
      </c>
      <c r="B222" s="10" t="s">
        <v>140</v>
      </c>
      <c r="C222" s="11">
        <v>0</v>
      </c>
      <c r="D222" s="11">
        <v>108788.91888649999</v>
      </c>
      <c r="E222" s="11">
        <v>8655.4889999999996</v>
      </c>
      <c r="F222" s="13">
        <f>SUMIF('OD 08-24'!A:A,A222,'OD 08-24'!D:D)</f>
        <v>0</v>
      </c>
      <c r="G222" s="13">
        <f>SUMIF('OD 08-24'!A:A,A222,'OD 08-24'!E:E)</f>
        <v>0</v>
      </c>
      <c r="H222" s="14">
        <f t="shared" si="6"/>
        <v>100133.42988649999</v>
      </c>
      <c r="I222" s="14">
        <f t="shared" si="7"/>
        <v>100133.42988649999</v>
      </c>
      <c r="J222" s="8" t="s">
        <v>138</v>
      </c>
      <c r="K222" s="8" t="s">
        <v>509</v>
      </c>
      <c r="M222" s="512"/>
      <c r="N222" s="315"/>
    </row>
    <row r="223" spans="1:14" s="9" customFormat="1" ht="11.25" customHeight="1" x14ac:dyDescent="0.2">
      <c r="A223" s="10">
        <v>60110310</v>
      </c>
      <c r="B223" s="10" t="s">
        <v>141</v>
      </c>
      <c r="C223" s="11">
        <v>0</v>
      </c>
      <c r="D223" s="11">
        <v>112836.94499999999</v>
      </c>
      <c r="E223" s="11">
        <v>0</v>
      </c>
      <c r="F223" s="13">
        <f>SUMIF('OD 08-24'!A:A,A223,'OD 08-24'!D:D)</f>
        <v>0</v>
      </c>
      <c r="G223" s="13">
        <f>SUMIF('OD 08-24'!A:A,A223,'OD 08-24'!E:E)</f>
        <v>0</v>
      </c>
      <c r="H223" s="14">
        <f t="shared" si="6"/>
        <v>112836.94499999999</v>
      </c>
      <c r="I223" s="14">
        <f t="shared" si="7"/>
        <v>112836.94499999999</v>
      </c>
      <c r="J223" s="8" t="s">
        <v>138</v>
      </c>
      <c r="K223" s="8" t="s">
        <v>509</v>
      </c>
      <c r="M223" s="512"/>
      <c r="N223" s="315"/>
    </row>
    <row r="224" spans="1:14" s="9" customFormat="1" ht="11.25" customHeight="1" x14ac:dyDescent="0.2">
      <c r="A224" s="10">
        <v>60110320</v>
      </c>
      <c r="B224" s="10" t="s">
        <v>142</v>
      </c>
      <c r="C224" s="11">
        <v>0</v>
      </c>
      <c r="D224" s="11">
        <v>44893.273368999995</v>
      </c>
      <c r="E224" s="11">
        <v>0</v>
      </c>
      <c r="F224" s="13">
        <f>SUMIF('OD 08-24'!A:A,A224,'OD 08-24'!D:D)</f>
        <v>0</v>
      </c>
      <c r="G224" s="13">
        <f>SUMIF('OD 08-24'!A:A,A224,'OD 08-24'!E:E)</f>
        <v>0</v>
      </c>
      <c r="H224" s="14">
        <f t="shared" si="6"/>
        <v>44893.273368999995</v>
      </c>
      <c r="I224" s="14">
        <f t="shared" si="7"/>
        <v>44893.273368999995</v>
      </c>
      <c r="J224" s="8" t="s">
        <v>138</v>
      </c>
      <c r="K224" s="8" t="s">
        <v>509</v>
      </c>
      <c r="M224" s="512"/>
      <c r="N224" s="315"/>
    </row>
    <row r="225" spans="1:14" s="9" customFormat="1" ht="11.25" customHeight="1" x14ac:dyDescent="0.2">
      <c r="A225" s="10">
        <v>60110330</v>
      </c>
      <c r="B225" s="10" t="s">
        <v>143</v>
      </c>
      <c r="C225" s="11">
        <v>0</v>
      </c>
      <c r="D225" s="11">
        <v>41631.268230000001</v>
      </c>
      <c r="E225" s="11">
        <v>0</v>
      </c>
      <c r="F225" s="13">
        <f>SUMIF('OD 08-24'!A:A,A225,'OD 08-24'!D:D)</f>
        <v>0</v>
      </c>
      <c r="G225" s="13">
        <f>SUMIF('OD 08-24'!A:A,A225,'OD 08-24'!E:E)</f>
        <v>0</v>
      </c>
      <c r="H225" s="14">
        <f t="shared" si="6"/>
        <v>41631.268230000001</v>
      </c>
      <c r="I225" s="14">
        <f t="shared" si="7"/>
        <v>41631.268230000001</v>
      </c>
      <c r="J225" s="8" t="s">
        <v>138</v>
      </c>
      <c r="K225" s="8" t="s">
        <v>509</v>
      </c>
      <c r="M225" s="512"/>
      <c r="N225" s="315"/>
    </row>
    <row r="226" spans="1:14" s="9" customFormat="1" ht="11.25" customHeight="1" x14ac:dyDescent="0.2">
      <c r="A226" s="10">
        <v>60110350</v>
      </c>
      <c r="B226" s="10" t="s">
        <v>261</v>
      </c>
      <c r="C226" s="11">
        <v>0</v>
      </c>
      <c r="D226" s="11">
        <v>452.23999999999995</v>
      </c>
      <c r="E226" s="11">
        <v>0.17100000000000001</v>
      </c>
      <c r="F226" s="13">
        <f>SUMIF('OD 08-24'!A:A,A226,'OD 08-24'!D:D)</f>
        <v>0</v>
      </c>
      <c r="G226" s="13">
        <f>SUMIF('OD 08-24'!A:A,A226,'OD 08-24'!E:E)</f>
        <v>0</v>
      </c>
      <c r="H226" s="14">
        <f t="shared" si="6"/>
        <v>452.06899999999996</v>
      </c>
      <c r="I226" s="14">
        <f t="shared" si="7"/>
        <v>452.06899999999996</v>
      </c>
      <c r="J226" s="8" t="s">
        <v>138</v>
      </c>
      <c r="K226" s="8" t="s">
        <v>509</v>
      </c>
      <c r="M226" s="512"/>
      <c r="N226" s="315"/>
    </row>
    <row r="227" spans="1:14" s="9" customFormat="1" ht="11.25" customHeight="1" x14ac:dyDescent="0.2">
      <c r="A227" s="10">
        <v>60110500</v>
      </c>
      <c r="B227" s="10" t="s">
        <v>144</v>
      </c>
      <c r="C227" s="11">
        <v>0</v>
      </c>
      <c r="D227" s="11">
        <v>6140.6190000000006</v>
      </c>
      <c r="E227" s="11">
        <v>0.14899999999999999</v>
      </c>
      <c r="F227" s="13">
        <f>SUMIF('OD 08-24'!A:A,A227,'OD 08-24'!D:D)</f>
        <v>7502.2709999999997</v>
      </c>
      <c r="G227" s="13">
        <f>SUMIF('OD 08-24'!A:A,A227,'OD 08-24'!E:E)</f>
        <v>3677.7440000000001</v>
      </c>
      <c r="H227" s="14">
        <f t="shared" si="6"/>
        <v>9964.9969999999994</v>
      </c>
      <c r="I227" s="14">
        <f t="shared" si="7"/>
        <v>9964.9969999999994</v>
      </c>
      <c r="J227" s="8" t="s">
        <v>138</v>
      </c>
      <c r="K227" s="8" t="s">
        <v>509</v>
      </c>
      <c r="M227" s="512"/>
      <c r="N227" s="315"/>
    </row>
    <row r="228" spans="1:14" s="9" customFormat="1" ht="11.25" customHeight="1" x14ac:dyDescent="0.2">
      <c r="A228" s="10">
        <v>60110600</v>
      </c>
      <c r="B228" s="10" t="s">
        <v>145</v>
      </c>
      <c r="C228" s="11">
        <v>0</v>
      </c>
      <c r="D228" s="11">
        <v>23856.953999999998</v>
      </c>
      <c r="E228" s="11">
        <v>0</v>
      </c>
      <c r="F228" s="13">
        <f>SUMIF('OD 08-24'!A:A,A228,'OD 08-24'!D:D)</f>
        <v>0</v>
      </c>
      <c r="G228" s="13">
        <f>SUMIF('OD 08-24'!A:A,A228,'OD 08-24'!E:E)</f>
        <v>0</v>
      </c>
      <c r="H228" s="14">
        <f t="shared" si="6"/>
        <v>23856.953999999998</v>
      </c>
      <c r="I228" s="14">
        <f t="shared" si="7"/>
        <v>23856.953999999998</v>
      </c>
      <c r="J228" s="8" t="s">
        <v>138</v>
      </c>
      <c r="K228" s="8" t="s">
        <v>509</v>
      </c>
      <c r="M228" s="512"/>
      <c r="N228" s="315"/>
    </row>
    <row r="229" spans="1:14" s="9" customFormat="1" ht="11.25" customHeight="1" x14ac:dyDescent="0.2">
      <c r="A229" s="10">
        <v>60110700</v>
      </c>
      <c r="B229" s="10" t="s">
        <v>146</v>
      </c>
      <c r="C229" s="11">
        <v>0</v>
      </c>
      <c r="D229" s="11">
        <v>204.67500000000001</v>
      </c>
      <c r="E229" s="11">
        <v>0</v>
      </c>
      <c r="F229" s="13">
        <f>SUMIF('OD 08-24'!A:A,A229,'OD 08-24'!D:D)</f>
        <v>0</v>
      </c>
      <c r="G229" s="13">
        <f>SUMIF('OD 08-24'!A:A,A229,'OD 08-24'!E:E)</f>
        <v>0</v>
      </c>
      <c r="H229" s="14">
        <f t="shared" si="6"/>
        <v>204.67500000000001</v>
      </c>
      <c r="I229" s="14">
        <f t="shared" si="7"/>
        <v>204.67500000000001</v>
      </c>
      <c r="J229" s="8" t="s">
        <v>138</v>
      </c>
      <c r="K229" s="8" t="s">
        <v>509</v>
      </c>
      <c r="M229" s="512"/>
      <c r="N229" s="315"/>
    </row>
    <row r="230" spans="1:14" s="9" customFormat="1" ht="11.25" customHeight="1" x14ac:dyDescent="0.2">
      <c r="A230" s="10">
        <v>60110900</v>
      </c>
      <c r="B230" s="10" t="s">
        <v>147</v>
      </c>
      <c r="C230" s="11">
        <v>0</v>
      </c>
      <c r="D230" s="11">
        <v>294424.51699999999</v>
      </c>
      <c r="E230" s="11">
        <v>808</v>
      </c>
      <c r="F230" s="13">
        <f>SUMIF('OD 08-24'!A:A,A230,'OD 08-24'!D:D)</f>
        <v>189633.397</v>
      </c>
      <c r="G230" s="13">
        <f>SUMIF('OD 08-24'!A:A,A230,'OD 08-24'!E:E)</f>
        <v>160605.66099999999</v>
      </c>
      <c r="H230" s="14">
        <f t="shared" si="6"/>
        <v>322644.25300000003</v>
      </c>
      <c r="I230" s="14">
        <f t="shared" si="7"/>
        <v>322644.25300000003</v>
      </c>
      <c r="J230" s="8" t="s">
        <v>138</v>
      </c>
      <c r="K230" s="8" t="s">
        <v>509</v>
      </c>
      <c r="M230" s="512"/>
      <c r="N230" s="315"/>
    </row>
    <row r="231" spans="1:14" s="9" customFormat="1" ht="11.25" customHeight="1" x14ac:dyDescent="0.2">
      <c r="A231" s="10">
        <v>60111000</v>
      </c>
      <c r="B231" s="10" t="s">
        <v>148</v>
      </c>
      <c r="C231" s="11">
        <v>0</v>
      </c>
      <c r="D231" s="11">
        <v>0</v>
      </c>
      <c r="E231" s="11">
        <v>0</v>
      </c>
      <c r="F231" s="13">
        <f>SUMIF('OD 08-24'!A:A,A231,'OD 08-24'!D:D)</f>
        <v>0</v>
      </c>
      <c r="G231" s="13">
        <f>SUMIF('OD 08-24'!A:A,A231,'OD 08-24'!E:E)</f>
        <v>0</v>
      </c>
      <c r="H231" s="14">
        <f t="shared" si="6"/>
        <v>0</v>
      </c>
      <c r="I231" s="14">
        <f t="shared" si="7"/>
        <v>0</v>
      </c>
      <c r="J231" s="8" t="s">
        <v>138</v>
      </c>
      <c r="K231" s="8" t="s">
        <v>509</v>
      </c>
      <c r="M231" s="512"/>
      <c r="N231" s="315"/>
    </row>
    <row r="232" spans="1:14" s="9" customFormat="1" ht="11.25" customHeight="1" x14ac:dyDescent="0.2">
      <c r="A232" s="10">
        <v>60111010</v>
      </c>
      <c r="B232" s="10" t="s">
        <v>393</v>
      </c>
      <c r="C232" s="11">
        <v>0</v>
      </c>
      <c r="D232" s="11">
        <v>4646</v>
      </c>
      <c r="E232" s="11">
        <v>0</v>
      </c>
      <c r="F232" s="13">
        <f>SUMIF('OD 08-24'!A:A,A232,'OD 08-24'!D:D)</f>
        <v>0</v>
      </c>
      <c r="G232" s="13">
        <f>SUMIF('OD 08-24'!A:A,A232,'OD 08-24'!E:E)</f>
        <v>0</v>
      </c>
      <c r="H232" s="14">
        <f t="shared" si="6"/>
        <v>4646</v>
      </c>
      <c r="I232" s="14">
        <f t="shared" si="7"/>
        <v>4646</v>
      </c>
      <c r="J232" s="8" t="s">
        <v>138</v>
      </c>
      <c r="K232" s="8" t="s">
        <v>509</v>
      </c>
      <c r="M232" s="512"/>
      <c r="N232" s="315"/>
    </row>
    <row r="233" spans="1:14" s="9" customFormat="1" ht="11.25" customHeight="1" x14ac:dyDescent="0.2">
      <c r="A233" s="10">
        <v>60120100</v>
      </c>
      <c r="B233" s="10" t="s">
        <v>149</v>
      </c>
      <c r="C233" s="11">
        <v>0</v>
      </c>
      <c r="D233" s="16">
        <f>952173.8915465+39795.823</f>
        <v>991969.71454650001</v>
      </c>
      <c r="E233" s="11">
        <v>9063.0944025000008</v>
      </c>
      <c r="F233" s="13">
        <f>SUMIF('OD 08-24'!A:A,A233,'OD 08-24'!D:D)</f>
        <v>0</v>
      </c>
      <c r="G233" s="13">
        <f>SUMIF('OD 08-24'!A:A,A233,'OD 08-24'!E:E)</f>
        <v>0</v>
      </c>
      <c r="H233" s="14">
        <f t="shared" si="6"/>
        <v>982906.62014400004</v>
      </c>
      <c r="I233" s="14">
        <f t="shared" si="7"/>
        <v>982906.62014400004</v>
      </c>
      <c r="J233" s="8" t="s">
        <v>138</v>
      </c>
      <c r="K233" s="8" t="s">
        <v>509</v>
      </c>
      <c r="M233" s="512"/>
      <c r="N233" s="315"/>
    </row>
    <row r="234" spans="1:14" s="9" customFormat="1" ht="11.25" customHeight="1" x14ac:dyDescent="0.2">
      <c r="A234" s="10">
        <v>60120200</v>
      </c>
      <c r="B234" s="10" t="s">
        <v>8977</v>
      </c>
      <c r="C234" s="11">
        <v>0</v>
      </c>
      <c r="D234" s="11">
        <v>492</v>
      </c>
      <c r="E234" s="11">
        <v>0</v>
      </c>
      <c r="F234" s="13">
        <f>SUMIF('OD 08-24'!A:A,A234,'OD 08-24'!D:D)</f>
        <v>492</v>
      </c>
      <c r="G234" s="13">
        <f>SUMIF('OD 08-24'!A:A,A234,'OD 08-24'!E:E)</f>
        <v>492</v>
      </c>
      <c r="H234" s="14">
        <f t="shared" si="6"/>
        <v>492</v>
      </c>
      <c r="I234" s="14">
        <f t="shared" si="7"/>
        <v>492</v>
      </c>
      <c r="J234" s="8" t="s">
        <v>138</v>
      </c>
      <c r="K234" s="8" t="s">
        <v>509</v>
      </c>
      <c r="M234" s="512"/>
      <c r="N234" s="315"/>
    </row>
    <row r="235" spans="1:14" s="9" customFormat="1" ht="11.25" customHeight="1" x14ac:dyDescent="0.2">
      <c r="A235" s="10">
        <v>60120300</v>
      </c>
      <c r="B235" s="10" t="s">
        <v>150</v>
      </c>
      <c r="C235" s="11">
        <v>0</v>
      </c>
      <c r="D235" s="11">
        <v>6207554.8870000001</v>
      </c>
      <c r="E235" s="11">
        <v>72828.75</v>
      </c>
      <c r="F235" s="13">
        <f>SUMIF('OD 08-24'!A:A,A235,'OD 08-24'!D:D)</f>
        <v>451605.11</v>
      </c>
      <c r="G235" s="13">
        <f>SUMIF('OD 08-24'!A:A,A235,'OD 08-24'!E:E)</f>
        <v>438945.11</v>
      </c>
      <c r="H235" s="14">
        <f t="shared" si="6"/>
        <v>6147386.1370000001</v>
      </c>
      <c r="I235" s="14">
        <f t="shared" si="7"/>
        <v>6147386.1370000001</v>
      </c>
      <c r="J235" s="8" t="s">
        <v>138</v>
      </c>
      <c r="K235" s="8" t="s">
        <v>509</v>
      </c>
      <c r="M235" s="512"/>
      <c r="N235" s="315"/>
    </row>
    <row r="236" spans="1:14" s="9" customFormat="1" ht="11.25" customHeight="1" x14ac:dyDescent="0.2">
      <c r="A236" s="10">
        <v>60120400</v>
      </c>
      <c r="B236" s="10" t="s">
        <v>365</v>
      </c>
      <c r="C236" s="11">
        <v>0</v>
      </c>
      <c r="D236" s="11">
        <v>2799724.085</v>
      </c>
      <c r="E236" s="11">
        <v>0</v>
      </c>
      <c r="F236" s="13">
        <f>SUMIF('OD 08-24'!A:A,A236,'OD 08-24'!D:D)</f>
        <v>157330.79999999999</v>
      </c>
      <c r="G236" s="13">
        <f>SUMIF('OD 08-24'!A:A,A236,'OD 08-24'!E:E)</f>
        <v>157330.79999999999</v>
      </c>
      <c r="H236" s="14">
        <f t="shared" si="6"/>
        <v>2799724.085</v>
      </c>
      <c r="I236" s="14">
        <f t="shared" si="7"/>
        <v>2799724.085</v>
      </c>
      <c r="J236" s="8" t="s">
        <v>138</v>
      </c>
      <c r="K236" s="8" t="s">
        <v>509</v>
      </c>
      <c r="M236" s="512"/>
      <c r="N236" s="315"/>
    </row>
    <row r="237" spans="1:14" s="9" customFormat="1" ht="11.25" customHeight="1" x14ac:dyDescent="0.2">
      <c r="A237" s="10">
        <v>60120800</v>
      </c>
      <c r="B237" s="10" t="s">
        <v>151</v>
      </c>
      <c r="C237" s="11">
        <v>0</v>
      </c>
      <c r="D237" s="11">
        <v>744131.6878999999</v>
      </c>
      <c r="E237" s="11">
        <v>0</v>
      </c>
      <c r="F237" s="13">
        <f>SUMIF('OD 08-24'!A:A,A237,'OD 08-24'!D:D)</f>
        <v>0</v>
      </c>
      <c r="G237" s="13">
        <f>SUMIF('OD 08-24'!A:A,A237,'OD 08-24'!E:E)</f>
        <v>0</v>
      </c>
      <c r="H237" s="14">
        <f t="shared" si="6"/>
        <v>744131.6878999999</v>
      </c>
      <c r="I237" s="14">
        <f t="shared" si="7"/>
        <v>744131.6878999999</v>
      </c>
      <c r="J237" s="8" t="s">
        <v>138</v>
      </c>
      <c r="K237" s="8" t="s">
        <v>509</v>
      </c>
      <c r="M237" s="512"/>
      <c r="N237" s="315"/>
    </row>
    <row r="238" spans="1:14" s="9" customFormat="1" ht="11.25" customHeight="1" x14ac:dyDescent="0.2">
      <c r="A238" s="10">
        <v>60120900</v>
      </c>
      <c r="B238" s="10" t="s">
        <v>7393</v>
      </c>
      <c r="C238" s="11">
        <v>0</v>
      </c>
      <c r="D238" s="11">
        <v>339374.20121249993</v>
      </c>
      <c r="E238" s="11">
        <v>0</v>
      </c>
      <c r="F238" s="13">
        <f>SUMIF('OD 08-24'!A:A,A238,'OD 08-24'!D:D)</f>
        <v>0</v>
      </c>
      <c r="G238" s="13">
        <f>SUMIF('OD 08-24'!A:A,A238,'OD 08-24'!E:E)</f>
        <v>0</v>
      </c>
      <c r="H238" s="14">
        <f t="shared" si="6"/>
        <v>339374.20121249993</v>
      </c>
      <c r="I238" s="14">
        <f t="shared" si="7"/>
        <v>339374.20121249993</v>
      </c>
      <c r="J238" s="8" t="s">
        <v>138</v>
      </c>
      <c r="K238" s="8" t="s">
        <v>509</v>
      </c>
      <c r="M238" s="512"/>
      <c r="N238" s="315"/>
    </row>
    <row r="239" spans="1:14" s="9" customFormat="1" ht="11.25" customHeight="1" x14ac:dyDescent="0.2">
      <c r="A239" s="10">
        <v>60121010</v>
      </c>
      <c r="B239" s="10" t="s">
        <v>152</v>
      </c>
      <c r="C239" s="11">
        <v>0</v>
      </c>
      <c r="D239" s="11">
        <v>10701843.023434499</v>
      </c>
      <c r="E239" s="11">
        <v>0</v>
      </c>
      <c r="F239" s="13">
        <f>SUMIF('OD 08-24'!A:A,A239,'OD 08-24'!D:D)</f>
        <v>0</v>
      </c>
      <c r="G239" s="13">
        <f>SUMIF('OD 08-24'!A:A,A239,'OD 08-24'!E:E)</f>
        <v>0</v>
      </c>
      <c r="H239" s="14">
        <f t="shared" si="6"/>
        <v>10701843.023434499</v>
      </c>
      <c r="I239" s="14">
        <f t="shared" si="7"/>
        <v>10701843.023434499</v>
      </c>
      <c r="J239" s="8" t="s">
        <v>138</v>
      </c>
      <c r="K239" s="8" t="s">
        <v>509</v>
      </c>
      <c r="M239" s="512"/>
      <c r="N239" s="315"/>
    </row>
    <row r="240" spans="1:14" s="9" customFormat="1" ht="11.25" customHeight="1" x14ac:dyDescent="0.2">
      <c r="A240" s="10">
        <v>60121020</v>
      </c>
      <c r="B240" s="10" t="s">
        <v>153</v>
      </c>
      <c r="C240" s="11">
        <v>0</v>
      </c>
      <c r="D240" s="11">
        <v>4664</v>
      </c>
      <c r="E240" s="11">
        <v>4664</v>
      </c>
      <c r="F240" s="13">
        <f>SUMIF('OD 08-24'!A:A,A240,'OD 08-24'!D:D)</f>
        <v>0</v>
      </c>
      <c r="G240" s="13">
        <f>SUMIF('OD 08-24'!A:A,A240,'OD 08-24'!E:E)</f>
        <v>0</v>
      </c>
      <c r="H240" s="14">
        <f t="shared" si="6"/>
        <v>0</v>
      </c>
      <c r="I240" s="14">
        <f t="shared" si="7"/>
        <v>0</v>
      </c>
      <c r="J240" s="8" t="s">
        <v>138</v>
      </c>
      <c r="K240" s="8" t="s">
        <v>509</v>
      </c>
      <c r="M240" s="512"/>
      <c r="N240" s="315"/>
    </row>
    <row r="241" spans="1:14" s="9" customFormat="1" ht="11.25" customHeight="1" x14ac:dyDescent="0.2">
      <c r="A241" s="10">
        <v>60121031</v>
      </c>
      <c r="B241" s="10" t="s">
        <v>394</v>
      </c>
      <c r="C241" s="11">
        <v>0</v>
      </c>
      <c r="D241" s="11">
        <v>114018.09667</v>
      </c>
      <c r="E241" s="11">
        <v>0</v>
      </c>
      <c r="F241" s="13">
        <f>SUMIF('OD 08-24'!A:A,A241,'OD 08-24'!D:D)</f>
        <v>0</v>
      </c>
      <c r="G241" s="13">
        <f>SUMIF('OD 08-24'!A:A,A241,'OD 08-24'!E:E)</f>
        <v>0</v>
      </c>
      <c r="H241" s="14">
        <f t="shared" si="6"/>
        <v>114018.09667</v>
      </c>
      <c r="I241" s="14">
        <f t="shared" si="7"/>
        <v>114018.09667</v>
      </c>
      <c r="J241" s="8" t="s">
        <v>138</v>
      </c>
      <c r="K241" s="8" t="s">
        <v>509</v>
      </c>
      <c r="M241" s="512"/>
      <c r="N241" s="315"/>
    </row>
    <row r="242" spans="1:14" s="9" customFormat="1" ht="11.25" customHeight="1" x14ac:dyDescent="0.2">
      <c r="A242" s="10">
        <v>60121032</v>
      </c>
      <c r="B242" s="10" t="s">
        <v>8973</v>
      </c>
      <c r="C242" s="11">
        <v>0</v>
      </c>
      <c r="D242" s="11">
        <v>10482.185000000001</v>
      </c>
      <c r="E242" s="11">
        <v>0</v>
      </c>
      <c r="F242" s="13">
        <f>SUMIF('OD 08-24'!A:A,A242,'OD 08-24'!D:D)</f>
        <v>0</v>
      </c>
      <c r="G242" s="13">
        <f>SUMIF('OD 08-24'!A:A,A242,'OD 08-24'!E:E)</f>
        <v>0</v>
      </c>
      <c r="H242" s="14">
        <f t="shared" si="6"/>
        <v>10482.185000000001</v>
      </c>
      <c r="I242" s="14">
        <f t="shared" si="7"/>
        <v>10482.185000000001</v>
      </c>
      <c r="J242" s="8" t="s">
        <v>138</v>
      </c>
      <c r="K242" s="8" t="s">
        <v>509</v>
      </c>
      <c r="M242" s="512"/>
      <c r="N242" s="315"/>
    </row>
    <row r="243" spans="1:14" s="9" customFormat="1" ht="11.25" customHeight="1" x14ac:dyDescent="0.2">
      <c r="A243" s="10">
        <v>60121033</v>
      </c>
      <c r="B243" s="10" t="s">
        <v>7718</v>
      </c>
      <c r="C243" s="11">
        <v>0</v>
      </c>
      <c r="D243" s="11">
        <v>14927.626999999999</v>
      </c>
      <c r="E243" s="11">
        <v>0</v>
      </c>
      <c r="F243" s="13">
        <f>SUMIF('OD 08-24'!A:A,A243,'OD 08-24'!D:D)</f>
        <v>0</v>
      </c>
      <c r="G243" s="13">
        <f>SUMIF('OD 08-24'!A:A,A243,'OD 08-24'!E:E)</f>
        <v>0</v>
      </c>
      <c r="H243" s="14">
        <f t="shared" si="6"/>
        <v>14927.626999999999</v>
      </c>
      <c r="I243" s="14">
        <f t="shared" si="7"/>
        <v>14927.626999999999</v>
      </c>
      <c r="J243" s="8" t="s">
        <v>138</v>
      </c>
      <c r="K243" s="8" t="s">
        <v>509</v>
      </c>
      <c r="M243" s="512"/>
      <c r="N243" s="315"/>
    </row>
    <row r="244" spans="1:14" s="9" customFormat="1" ht="11.25" customHeight="1" x14ac:dyDescent="0.2">
      <c r="A244" s="10">
        <v>60121035</v>
      </c>
      <c r="B244" s="10" t="s">
        <v>395</v>
      </c>
      <c r="C244" s="11">
        <v>0</v>
      </c>
      <c r="D244" s="11">
        <v>2907.0840000000003</v>
      </c>
      <c r="E244" s="11">
        <v>0</v>
      </c>
      <c r="F244" s="13">
        <f>SUMIF('OD 08-24'!A:A,A244,'OD 08-24'!D:D)</f>
        <v>0</v>
      </c>
      <c r="G244" s="13">
        <f>SUMIF('OD 08-24'!A:A,A244,'OD 08-24'!E:E)</f>
        <v>0</v>
      </c>
      <c r="H244" s="14">
        <f t="shared" si="6"/>
        <v>2907.0840000000003</v>
      </c>
      <c r="I244" s="14">
        <f t="shared" si="7"/>
        <v>2907.0840000000003</v>
      </c>
      <c r="J244" s="8" t="s">
        <v>138</v>
      </c>
      <c r="K244" s="8" t="s">
        <v>509</v>
      </c>
      <c r="M244" s="512"/>
      <c r="N244" s="315"/>
    </row>
    <row r="245" spans="1:14" s="9" customFormat="1" ht="11.25" customHeight="1" x14ac:dyDescent="0.2">
      <c r="A245" s="10">
        <v>60121040</v>
      </c>
      <c r="B245" s="10" t="s">
        <v>7720</v>
      </c>
      <c r="C245" s="11">
        <v>0</v>
      </c>
      <c r="D245" s="11">
        <v>2058.75</v>
      </c>
      <c r="E245" s="11">
        <v>0</v>
      </c>
      <c r="F245" s="13">
        <f>SUMIF('OD 08-24'!A:A,A245,'OD 08-24'!D:D)</f>
        <v>0</v>
      </c>
      <c r="G245" s="13">
        <f>SUMIF('OD 08-24'!A:A,A245,'OD 08-24'!E:E)</f>
        <v>0</v>
      </c>
      <c r="H245" s="14">
        <f t="shared" si="6"/>
        <v>2058.75</v>
      </c>
      <c r="I245" s="14">
        <f t="shared" si="7"/>
        <v>2058.75</v>
      </c>
      <c r="J245" s="8" t="s">
        <v>138</v>
      </c>
      <c r="K245" s="8" t="s">
        <v>509</v>
      </c>
      <c r="M245" s="512"/>
      <c r="N245" s="315"/>
    </row>
    <row r="246" spans="1:14" s="9" customFormat="1" ht="11.25" customHeight="1" x14ac:dyDescent="0.2">
      <c r="A246" s="10">
        <v>60121210</v>
      </c>
      <c r="B246" s="10" t="s">
        <v>7400</v>
      </c>
      <c r="C246" s="11">
        <v>0</v>
      </c>
      <c r="D246" s="11">
        <v>121168.9972735</v>
      </c>
      <c r="E246" s="11">
        <v>0</v>
      </c>
      <c r="F246" s="13">
        <f>SUMIF('OD 08-24'!A:A,A246,'OD 08-24'!D:D)</f>
        <v>0</v>
      </c>
      <c r="G246" s="13">
        <f>SUMIF('OD 08-24'!A:A,A246,'OD 08-24'!E:E)</f>
        <v>0</v>
      </c>
      <c r="H246" s="14">
        <f t="shared" si="6"/>
        <v>121168.9972735</v>
      </c>
      <c r="I246" s="14">
        <f t="shared" si="7"/>
        <v>121168.9972735</v>
      </c>
      <c r="J246" s="8" t="s">
        <v>138</v>
      </c>
      <c r="K246" s="8" t="s">
        <v>509</v>
      </c>
      <c r="M246" s="512"/>
      <c r="N246" s="315"/>
    </row>
    <row r="247" spans="1:14" s="9" customFormat="1" ht="11.25" customHeight="1" x14ac:dyDescent="0.2">
      <c r="A247" s="10">
        <v>60121400</v>
      </c>
      <c r="B247" s="10" t="s">
        <v>7570</v>
      </c>
      <c r="C247" s="11">
        <v>0</v>
      </c>
      <c r="D247" s="11">
        <v>93840.986879999997</v>
      </c>
      <c r="E247" s="11">
        <v>0</v>
      </c>
      <c r="F247" s="13">
        <f>SUMIF('OD 08-24'!A:A,A247,'OD 08-24'!D:D)</f>
        <v>0</v>
      </c>
      <c r="G247" s="13">
        <f>SUMIF('OD 08-24'!A:A,A247,'OD 08-24'!E:E)</f>
        <v>0</v>
      </c>
      <c r="H247" s="14">
        <f t="shared" si="6"/>
        <v>93840.986879999997</v>
      </c>
      <c r="I247" s="14">
        <f t="shared" si="7"/>
        <v>93840.986879999997</v>
      </c>
      <c r="J247" s="8" t="s">
        <v>138</v>
      </c>
      <c r="K247" s="8" t="s">
        <v>509</v>
      </c>
      <c r="M247" s="512"/>
      <c r="N247" s="315"/>
    </row>
    <row r="248" spans="1:14" s="9" customFormat="1" ht="11.25" customHeight="1" x14ac:dyDescent="0.2">
      <c r="A248" s="10">
        <v>60121500</v>
      </c>
      <c r="B248" s="10" t="s">
        <v>404</v>
      </c>
      <c r="C248" s="11">
        <v>0</v>
      </c>
      <c r="D248" s="11">
        <v>99000</v>
      </c>
      <c r="E248" s="11">
        <v>0</v>
      </c>
      <c r="F248" s="13">
        <f>SUMIF('OD 08-24'!A:A,A248,'OD 08-24'!D:D)</f>
        <v>154800</v>
      </c>
      <c r="G248" s="13">
        <f>SUMIF('OD 08-24'!A:A,A248,'OD 08-24'!E:E)</f>
        <v>154800</v>
      </c>
      <c r="H248" s="14">
        <f t="shared" si="6"/>
        <v>99000</v>
      </c>
      <c r="I248" s="14">
        <f t="shared" si="7"/>
        <v>99000</v>
      </c>
      <c r="J248" s="8" t="s">
        <v>138</v>
      </c>
      <c r="K248" s="8" t="s">
        <v>509</v>
      </c>
      <c r="M248" s="512"/>
      <c r="N248" s="315"/>
    </row>
    <row r="249" spans="1:14" s="9" customFormat="1" ht="11.25" customHeight="1" x14ac:dyDescent="0.2">
      <c r="A249" s="10">
        <v>60121600</v>
      </c>
      <c r="B249" s="10" t="s">
        <v>154</v>
      </c>
      <c r="C249" s="11">
        <v>0</v>
      </c>
      <c r="D249" s="11">
        <v>373944</v>
      </c>
      <c r="E249" s="11">
        <v>0</v>
      </c>
      <c r="F249" s="13">
        <f>SUMIF('OD 08-24'!A:A,A249,'OD 08-24'!D:D)</f>
        <v>0</v>
      </c>
      <c r="G249" s="13">
        <f>SUMIF('OD 08-24'!A:A,A249,'OD 08-24'!E:E)</f>
        <v>0</v>
      </c>
      <c r="H249" s="14">
        <f t="shared" si="6"/>
        <v>373944</v>
      </c>
      <c r="I249" s="14">
        <f t="shared" si="7"/>
        <v>373944</v>
      </c>
      <c r="J249" s="8" t="s">
        <v>138</v>
      </c>
      <c r="K249" s="8" t="s">
        <v>509</v>
      </c>
      <c r="M249" s="512"/>
      <c r="N249" s="315"/>
    </row>
    <row r="250" spans="1:14" s="9" customFormat="1" ht="11.25" customHeight="1" x14ac:dyDescent="0.2">
      <c r="A250" s="10">
        <v>60121900</v>
      </c>
      <c r="B250" s="10" t="s">
        <v>7568</v>
      </c>
      <c r="C250" s="11">
        <v>0</v>
      </c>
      <c r="D250" s="11">
        <v>33763.75</v>
      </c>
      <c r="E250" s="11">
        <v>0</v>
      </c>
      <c r="F250" s="13">
        <f>SUMIF('OD 08-24'!A:A,A250,'OD 08-24'!D:D)</f>
        <v>0</v>
      </c>
      <c r="G250" s="13">
        <f>SUMIF('OD 08-24'!A:A,A250,'OD 08-24'!E:E)</f>
        <v>0</v>
      </c>
      <c r="H250" s="14">
        <f t="shared" si="6"/>
        <v>33763.75</v>
      </c>
      <c r="I250" s="14">
        <f t="shared" si="7"/>
        <v>33763.75</v>
      </c>
      <c r="J250" s="8" t="s">
        <v>138</v>
      </c>
      <c r="K250" s="8" t="s">
        <v>509</v>
      </c>
      <c r="M250" s="512"/>
      <c r="N250" s="315"/>
    </row>
    <row r="251" spans="1:14" s="9" customFormat="1" ht="11.25" customHeight="1" x14ac:dyDescent="0.2">
      <c r="A251" s="10">
        <v>60122000</v>
      </c>
      <c r="B251" s="10" t="s">
        <v>9638</v>
      </c>
      <c r="C251" s="11">
        <v>0</v>
      </c>
      <c r="D251" s="11">
        <v>72713.862434999988</v>
      </c>
      <c r="E251" s="11">
        <v>0</v>
      </c>
      <c r="F251" s="13">
        <f>SUMIF('OD 08-24'!A:A,A251,'OD 08-24'!D:D)</f>
        <v>0</v>
      </c>
      <c r="G251" s="13">
        <f>SUMIF('OD 08-24'!A:A,A251,'OD 08-24'!E:E)</f>
        <v>0</v>
      </c>
      <c r="H251" s="14">
        <f t="shared" si="6"/>
        <v>72713.862434999988</v>
      </c>
      <c r="I251" s="14">
        <f t="shared" si="7"/>
        <v>72713.862434999988</v>
      </c>
      <c r="J251" s="8" t="s">
        <v>138</v>
      </c>
      <c r="K251" s="8" t="s">
        <v>509</v>
      </c>
      <c r="M251" s="512"/>
      <c r="N251" s="315"/>
    </row>
    <row r="252" spans="1:14" s="9" customFormat="1" ht="11.25" customHeight="1" x14ac:dyDescent="0.2">
      <c r="A252" s="10">
        <v>60122100</v>
      </c>
      <c r="B252" s="10" t="s">
        <v>155</v>
      </c>
      <c r="C252" s="11">
        <v>0</v>
      </c>
      <c r="D252" s="11">
        <v>86985</v>
      </c>
      <c r="E252" s="11">
        <v>1485</v>
      </c>
      <c r="F252" s="13">
        <f>SUMIF('OD 08-24'!A:A,A252,'OD 08-24'!D:D)</f>
        <v>26730</v>
      </c>
      <c r="G252" s="13">
        <f>SUMIF('OD 08-24'!A:A,A252,'OD 08-24'!E:E)</f>
        <v>26730</v>
      </c>
      <c r="H252" s="14">
        <f t="shared" si="6"/>
        <v>85500</v>
      </c>
      <c r="I252" s="14">
        <f t="shared" si="7"/>
        <v>85500</v>
      </c>
      <c r="J252" s="8" t="s">
        <v>138</v>
      </c>
      <c r="K252" s="8" t="s">
        <v>509</v>
      </c>
      <c r="M252" s="512"/>
      <c r="N252" s="315"/>
    </row>
    <row r="253" spans="1:14" s="9" customFormat="1" ht="11.25" customHeight="1" x14ac:dyDescent="0.2">
      <c r="A253" s="10">
        <v>60122200</v>
      </c>
      <c r="B253" s="10" t="s">
        <v>156</v>
      </c>
      <c r="C253" s="11">
        <v>0</v>
      </c>
      <c r="D253" s="11">
        <v>54164.048999999999</v>
      </c>
      <c r="E253" s="11">
        <v>0</v>
      </c>
      <c r="F253" s="13">
        <f>SUMIF('OD 08-24'!A:A,A253,'OD 08-24'!D:D)</f>
        <v>12789</v>
      </c>
      <c r="G253" s="13">
        <f>SUMIF('OD 08-24'!A:A,A253,'OD 08-24'!E:E)</f>
        <v>12789</v>
      </c>
      <c r="H253" s="14">
        <f t="shared" si="6"/>
        <v>54164.048999999999</v>
      </c>
      <c r="I253" s="14">
        <f t="shared" si="7"/>
        <v>54164.048999999999</v>
      </c>
      <c r="J253" s="8" t="s">
        <v>138</v>
      </c>
      <c r="K253" s="8" t="s">
        <v>509</v>
      </c>
      <c r="M253" s="512"/>
      <c r="N253" s="315"/>
    </row>
    <row r="254" spans="1:14" s="9" customFormat="1" ht="11.25" customHeight="1" x14ac:dyDescent="0.2">
      <c r="A254" s="10">
        <v>60122400</v>
      </c>
      <c r="B254" s="10" t="s">
        <v>7396</v>
      </c>
      <c r="C254" s="11">
        <v>0</v>
      </c>
      <c r="D254" s="11">
        <v>19993.563000000002</v>
      </c>
      <c r="E254" s="11">
        <v>0</v>
      </c>
      <c r="F254" s="13">
        <f>SUMIF('OD 08-24'!A:A,A254,'OD 08-24'!D:D)</f>
        <v>0</v>
      </c>
      <c r="G254" s="13">
        <f>SUMIF('OD 08-24'!A:A,A254,'OD 08-24'!E:E)</f>
        <v>0</v>
      </c>
      <c r="H254" s="14">
        <f t="shared" si="6"/>
        <v>19993.563000000002</v>
      </c>
      <c r="I254" s="14">
        <f t="shared" si="7"/>
        <v>19993.563000000002</v>
      </c>
      <c r="J254" s="8" t="s">
        <v>138</v>
      </c>
      <c r="K254" s="8" t="s">
        <v>509</v>
      </c>
      <c r="M254" s="512"/>
      <c r="N254" s="315"/>
    </row>
    <row r="255" spans="1:14" s="9" customFormat="1" ht="11.25" customHeight="1" x14ac:dyDescent="0.2">
      <c r="A255" s="10">
        <v>60122410</v>
      </c>
      <c r="B255" s="10" t="s">
        <v>366</v>
      </c>
      <c r="C255" s="11">
        <v>0</v>
      </c>
      <c r="D255" s="11">
        <v>2300</v>
      </c>
      <c r="E255" s="11">
        <v>0</v>
      </c>
      <c r="F255" s="13">
        <f>SUMIF('OD 08-24'!A:A,A255,'OD 08-24'!D:D)</f>
        <v>0</v>
      </c>
      <c r="G255" s="13">
        <f>SUMIF('OD 08-24'!A:A,A255,'OD 08-24'!E:E)</f>
        <v>0</v>
      </c>
      <c r="H255" s="14">
        <f t="shared" si="6"/>
        <v>2300</v>
      </c>
      <c r="I255" s="14">
        <f t="shared" si="7"/>
        <v>2300</v>
      </c>
      <c r="J255" s="8" t="s">
        <v>138</v>
      </c>
      <c r="K255" s="8" t="s">
        <v>509</v>
      </c>
      <c r="M255" s="512"/>
      <c r="N255" s="315"/>
    </row>
    <row r="256" spans="1:14" s="9" customFormat="1" ht="11.25" customHeight="1" x14ac:dyDescent="0.2">
      <c r="A256" s="10">
        <v>60122411</v>
      </c>
      <c r="B256" s="10" t="s">
        <v>367</v>
      </c>
      <c r="C256" s="11">
        <v>0</v>
      </c>
      <c r="D256" s="11">
        <v>45106</v>
      </c>
      <c r="E256" s="11">
        <v>0</v>
      </c>
      <c r="F256" s="13">
        <f>SUMIF('OD 08-24'!A:A,A256,'OD 08-24'!D:D)</f>
        <v>1474.8</v>
      </c>
      <c r="G256" s="13">
        <f>SUMIF('OD 08-24'!A:A,A256,'OD 08-24'!E:E)</f>
        <v>1314.8</v>
      </c>
      <c r="H256" s="14">
        <f t="shared" si="6"/>
        <v>45266</v>
      </c>
      <c r="I256" s="14">
        <f t="shared" si="7"/>
        <v>45266</v>
      </c>
      <c r="J256" s="8" t="s">
        <v>138</v>
      </c>
      <c r="K256" s="8" t="s">
        <v>509</v>
      </c>
      <c r="M256" s="512"/>
      <c r="N256" s="315"/>
    </row>
    <row r="257" spans="1:14" s="9" customFormat="1" ht="11.25" customHeight="1" x14ac:dyDescent="0.2">
      <c r="A257" s="10">
        <v>60122510</v>
      </c>
      <c r="B257" s="10" t="s">
        <v>368</v>
      </c>
      <c r="C257" s="11">
        <v>0</v>
      </c>
      <c r="D257" s="11">
        <v>26572.326000000001</v>
      </c>
      <c r="E257" s="11">
        <v>0</v>
      </c>
      <c r="F257" s="13">
        <f>SUMIF('OD 08-24'!A:A,A257,'OD 08-24'!D:D)</f>
        <v>1931.701</v>
      </c>
      <c r="G257" s="13">
        <f>SUMIF('OD 08-24'!A:A,A257,'OD 08-24'!E:E)</f>
        <v>1931.701</v>
      </c>
      <c r="H257" s="14">
        <f t="shared" si="6"/>
        <v>26572.326000000001</v>
      </c>
      <c r="I257" s="14">
        <f t="shared" si="7"/>
        <v>26572.326000000001</v>
      </c>
      <c r="J257" s="8" t="s">
        <v>138</v>
      </c>
      <c r="K257" s="8" t="s">
        <v>509</v>
      </c>
      <c r="M257" s="512"/>
      <c r="N257" s="315"/>
    </row>
    <row r="258" spans="1:14" s="9" customFormat="1" ht="11.25" customHeight="1" x14ac:dyDescent="0.2">
      <c r="A258" s="10">
        <v>60122520</v>
      </c>
      <c r="B258" s="10" t="s">
        <v>396</v>
      </c>
      <c r="C258" s="11">
        <v>0</v>
      </c>
      <c r="D258" s="11">
        <v>3265.7220000000002</v>
      </c>
      <c r="E258" s="11">
        <v>0</v>
      </c>
      <c r="F258" s="13">
        <f>SUMIF('OD 08-24'!A:A,A258,'OD 08-24'!D:D)</f>
        <v>0</v>
      </c>
      <c r="G258" s="13">
        <f>SUMIF('OD 08-24'!A:A,A258,'OD 08-24'!E:E)</f>
        <v>0</v>
      </c>
      <c r="H258" s="14">
        <f t="shared" si="6"/>
        <v>3265.7220000000002</v>
      </c>
      <c r="I258" s="14">
        <f t="shared" si="7"/>
        <v>3265.7220000000002</v>
      </c>
      <c r="J258" s="8" t="s">
        <v>138</v>
      </c>
      <c r="K258" s="8" t="s">
        <v>509</v>
      </c>
      <c r="M258" s="512"/>
      <c r="N258" s="315"/>
    </row>
    <row r="259" spans="1:14" s="9" customFormat="1" ht="11.25" customHeight="1" x14ac:dyDescent="0.2">
      <c r="A259" s="10">
        <v>60122700</v>
      </c>
      <c r="B259" s="10" t="s">
        <v>7567</v>
      </c>
      <c r="C259" s="11">
        <v>0</v>
      </c>
      <c r="D259" s="11">
        <v>9500.0399999999991</v>
      </c>
      <c r="E259" s="11">
        <v>0</v>
      </c>
      <c r="F259" s="13">
        <f>SUMIF('OD 08-24'!A:A,A259,'OD 08-24'!D:D)</f>
        <v>12212.5</v>
      </c>
      <c r="G259" s="13">
        <f>SUMIF('OD 08-24'!A:A,A259,'OD 08-24'!E:E)</f>
        <v>12212.5</v>
      </c>
      <c r="H259" s="14">
        <f t="shared" si="6"/>
        <v>9500.0400000000009</v>
      </c>
      <c r="I259" s="14">
        <f t="shared" si="7"/>
        <v>9500.0400000000009</v>
      </c>
      <c r="J259" s="8" t="s">
        <v>138</v>
      </c>
      <c r="K259" s="8" t="s">
        <v>509</v>
      </c>
      <c r="M259" s="512"/>
      <c r="N259" s="315"/>
    </row>
    <row r="260" spans="1:14" s="9" customFormat="1" ht="11.25" customHeight="1" x14ac:dyDescent="0.2">
      <c r="A260" s="10">
        <v>60171000</v>
      </c>
      <c r="B260" s="10" t="s">
        <v>369</v>
      </c>
      <c r="C260" s="11">
        <v>0</v>
      </c>
      <c r="D260" s="11">
        <v>401906.92200000002</v>
      </c>
      <c r="E260" s="11">
        <v>325.53100000000001</v>
      </c>
      <c r="F260" s="13">
        <f>SUMIF('OD 08-24'!A:A,A260,'OD 08-24'!D:D)</f>
        <v>385536.98200000002</v>
      </c>
      <c r="G260" s="13">
        <f>SUMIF('OD 08-24'!A:A,A260,'OD 08-24'!E:E)</f>
        <v>345246.97499999998</v>
      </c>
      <c r="H260" s="14">
        <f t="shared" si="6"/>
        <v>441871.39800000016</v>
      </c>
      <c r="I260" s="14">
        <f t="shared" si="7"/>
        <v>441871.39800000016</v>
      </c>
      <c r="J260" s="8" t="s">
        <v>138</v>
      </c>
      <c r="K260" s="8" t="s">
        <v>509</v>
      </c>
      <c r="M260" s="512"/>
      <c r="N260" s="315"/>
    </row>
    <row r="261" spans="1:14" s="9" customFormat="1" ht="11.25" customHeight="1" x14ac:dyDescent="0.2">
      <c r="A261" s="10">
        <v>60172000</v>
      </c>
      <c r="B261" s="10" t="s">
        <v>169</v>
      </c>
      <c r="C261" s="11">
        <v>0</v>
      </c>
      <c r="D261" s="11">
        <v>741533.85599999991</v>
      </c>
      <c r="E261" s="11">
        <v>1970.4739999999997</v>
      </c>
      <c r="F261" s="13">
        <f>SUMIF('OD 08-24'!A:A,A261,'OD 08-24'!D:D)</f>
        <v>732847.451</v>
      </c>
      <c r="G261" s="13">
        <f>SUMIF('OD 08-24'!A:A,A261,'OD 08-24'!E:E)</f>
        <v>616662.93599999999</v>
      </c>
      <c r="H261" s="14">
        <f t="shared" si="6"/>
        <v>855747.89700000011</v>
      </c>
      <c r="I261" s="14">
        <f t="shared" si="7"/>
        <v>855747.89700000011</v>
      </c>
      <c r="J261" s="8" t="s">
        <v>138</v>
      </c>
      <c r="K261" s="8" t="s">
        <v>509</v>
      </c>
      <c r="M261" s="512"/>
      <c r="N261" s="315"/>
    </row>
    <row r="262" spans="1:14" s="9" customFormat="1" ht="11.25" customHeight="1" x14ac:dyDescent="0.2">
      <c r="A262" s="10">
        <v>60173000</v>
      </c>
      <c r="B262" s="10" t="s">
        <v>170</v>
      </c>
      <c r="C262" s="11">
        <v>0</v>
      </c>
      <c r="D262" s="11">
        <v>75172.095000000001</v>
      </c>
      <c r="E262" s="11">
        <v>16484.29</v>
      </c>
      <c r="F262" s="13">
        <f>SUMIF('OD 08-24'!A:A,A262,'OD 08-24'!D:D)</f>
        <v>58073.440999999999</v>
      </c>
      <c r="G262" s="13">
        <f>SUMIF('OD 08-24'!A:A,A262,'OD 08-24'!E:E)</f>
        <v>50469.235000000001</v>
      </c>
      <c r="H262" s="14">
        <f t="shared" si="6"/>
        <v>66292.010999999984</v>
      </c>
      <c r="I262" s="14">
        <f t="shared" si="7"/>
        <v>66292.010999999984</v>
      </c>
      <c r="J262" s="8" t="s">
        <v>138</v>
      </c>
      <c r="K262" s="8" t="s">
        <v>509</v>
      </c>
      <c r="M262" s="512"/>
      <c r="N262" s="315"/>
    </row>
    <row r="263" spans="1:14" s="9" customFormat="1" ht="11.25" customHeight="1" x14ac:dyDescent="0.2">
      <c r="A263" s="10">
        <v>60191000</v>
      </c>
      <c r="B263" s="10" t="s">
        <v>158</v>
      </c>
      <c r="C263" s="11">
        <v>0</v>
      </c>
      <c r="D263" s="11">
        <v>1254736.2858899999</v>
      </c>
      <c r="E263" s="11">
        <v>35148.936999999998</v>
      </c>
      <c r="F263" s="13">
        <f>SUMIF('OD 08-24'!A:A,A263,'OD 08-24'!D:D)</f>
        <v>0</v>
      </c>
      <c r="G263" s="13">
        <f>SUMIF('OD 08-24'!A:A,A263,'OD 08-24'!E:E)</f>
        <v>0</v>
      </c>
      <c r="H263" s="14">
        <f t="shared" si="6"/>
        <v>1219587.34889</v>
      </c>
      <c r="I263" s="14">
        <f t="shared" si="7"/>
        <v>1219587.34889</v>
      </c>
      <c r="J263" s="8" t="s">
        <v>138</v>
      </c>
      <c r="K263" s="8" t="s">
        <v>509</v>
      </c>
      <c r="M263" s="512"/>
      <c r="N263" s="315"/>
    </row>
    <row r="264" spans="1:14" s="9" customFormat="1" ht="11.25" customHeight="1" x14ac:dyDescent="0.2">
      <c r="A264" s="10">
        <v>60215000</v>
      </c>
      <c r="B264" s="10" t="s">
        <v>370</v>
      </c>
      <c r="C264" s="11">
        <v>0</v>
      </c>
      <c r="D264" s="11">
        <v>0</v>
      </c>
      <c r="E264" s="11">
        <v>0</v>
      </c>
      <c r="F264" s="13">
        <f>SUMIF('OD 08-24'!A:A,A264,'OD 08-24'!D:D)</f>
        <v>0</v>
      </c>
      <c r="G264" s="13">
        <f>SUMIF('OD 08-24'!A:A,A264,'OD 08-24'!E:E)</f>
        <v>0</v>
      </c>
      <c r="H264" s="14">
        <f t="shared" si="6"/>
        <v>0</v>
      </c>
      <c r="I264" s="14">
        <f t="shared" si="7"/>
        <v>0</v>
      </c>
      <c r="J264" s="8" t="s">
        <v>138</v>
      </c>
      <c r="K264" s="8" t="s">
        <v>509</v>
      </c>
      <c r="M264" s="512"/>
      <c r="N264" s="315"/>
    </row>
    <row r="265" spans="1:14" s="9" customFormat="1" ht="11.25" customHeight="1" x14ac:dyDescent="0.2">
      <c r="A265" s="10">
        <v>60216000</v>
      </c>
      <c r="B265" s="10" t="s">
        <v>371</v>
      </c>
      <c r="C265" s="11">
        <v>0</v>
      </c>
      <c r="D265" s="11">
        <v>293619.22151249996</v>
      </c>
      <c r="E265" s="11">
        <v>0</v>
      </c>
      <c r="F265" s="13">
        <f>SUMIF('OD 08-24'!A:A,A265,'OD 08-24'!D:D)</f>
        <v>0</v>
      </c>
      <c r="G265" s="13">
        <f>SUMIF('OD 08-24'!A:A,A265,'OD 08-24'!E:E)</f>
        <v>0</v>
      </c>
      <c r="H265" s="14">
        <f t="shared" ref="H265:H328" si="8">+D265+F265-E265-G265</f>
        <v>293619.22151249996</v>
      </c>
      <c r="I265" s="14">
        <f t="shared" ref="I265:I328" si="9">+H265+C265</f>
        <v>293619.22151249996</v>
      </c>
      <c r="J265" s="8" t="s">
        <v>138</v>
      </c>
      <c r="K265" s="8" t="s">
        <v>509</v>
      </c>
      <c r="M265" s="512"/>
      <c r="N265" s="315"/>
    </row>
    <row r="266" spans="1:14" s="9" customFormat="1" ht="11.25" customHeight="1" x14ac:dyDescent="0.2">
      <c r="A266" s="10">
        <v>60260200</v>
      </c>
      <c r="B266" s="10" t="s">
        <v>372</v>
      </c>
      <c r="C266" s="11">
        <v>0</v>
      </c>
      <c r="D266" s="11">
        <v>8410.75</v>
      </c>
      <c r="E266" s="11">
        <v>0</v>
      </c>
      <c r="F266" s="13">
        <f>SUMIF('OD 08-24'!A:A,A266,'OD 08-24'!D:D)</f>
        <v>0</v>
      </c>
      <c r="G266" s="13">
        <f>SUMIF('OD 08-24'!A:A,A266,'OD 08-24'!E:E)</f>
        <v>0</v>
      </c>
      <c r="H266" s="14">
        <f t="shared" si="8"/>
        <v>8410.75</v>
      </c>
      <c r="I266" s="14">
        <f t="shared" si="9"/>
        <v>8410.75</v>
      </c>
      <c r="J266" s="8" t="s">
        <v>138</v>
      </c>
      <c r="K266" s="8" t="s">
        <v>509</v>
      </c>
      <c r="M266" s="512"/>
      <c r="N266" s="315"/>
    </row>
    <row r="267" spans="1:14" s="9" customFormat="1" ht="11.25" customHeight="1" x14ac:dyDescent="0.2">
      <c r="A267" s="10">
        <v>60260300</v>
      </c>
      <c r="B267" s="10" t="s">
        <v>160</v>
      </c>
      <c r="C267" s="11">
        <v>0</v>
      </c>
      <c r="D267" s="11">
        <v>94490.650999999998</v>
      </c>
      <c r="E267" s="16">
        <f>1624.701+39795.823</f>
        <v>41420.523999999998</v>
      </c>
      <c r="F267" s="13">
        <f>SUMIF('OD 08-24'!A:A,A267,'OD 08-24'!D:D)</f>
        <v>0</v>
      </c>
      <c r="G267" s="13">
        <f>SUMIF('OD 08-24'!A:A,A267,'OD 08-24'!E:E)</f>
        <v>0</v>
      </c>
      <c r="H267" s="14">
        <f t="shared" si="8"/>
        <v>53070.127</v>
      </c>
      <c r="I267" s="14">
        <f t="shared" si="9"/>
        <v>53070.127</v>
      </c>
      <c r="J267" s="8" t="s">
        <v>138</v>
      </c>
      <c r="K267" s="8" t="s">
        <v>509</v>
      </c>
      <c r="M267" s="512"/>
      <c r="N267" s="315"/>
    </row>
    <row r="268" spans="1:14" s="9" customFormat="1" ht="11.25" customHeight="1" x14ac:dyDescent="0.2">
      <c r="A268" s="10">
        <v>60260400</v>
      </c>
      <c r="B268" s="10" t="s">
        <v>161</v>
      </c>
      <c r="C268" s="11">
        <v>0</v>
      </c>
      <c r="D268" s="11">
        <v>60989.664000000004</v>
      </c>
      <c r="E268" s="11">
        <v>0</v>
      </c>
      <c r="F268" s="13">
        <f>SUMIF('OD 08-24'!A:A,A268,'OD 08-24'!D:D)</f>
        <v>18640.599999999999</v>
      </c>
      <c r="G268" s="13">
        <f>SUMIF('OD 08-24'!A:A,A268,'OD 08-24'!E:E)</f>
        <v>14147</v>
      </c>
      <c r="H268" s="14">
        <f t="shared" si="8"/>
        <v>65483.263999999996</v>
      </c>
      <c r="I268" s="14">
        <f t="shared" si="9"/>
        <v>65483.263999999996</v>
      </c>
      <c r="J268" s="8" t="s">
        <v>138</v>
      </c>
      <c r="K268" s="8" t="s">
        <v>509</v>
      </c>
      <c r="M268" s="512"/>
      <c r="N268" s="315"/>
    </row>
    <row r="269" spans="1:14" s="9" customFormat="1" ht="11.25" customHeight="1" x14ac:dyDescent="0.2">
      <c r="A269" s="10">
        <v>60260500</v>
      </c>
      <c r="B269" s="10" t="s">
        <v>162</v>
      </c>
      <c r="C269" s="11">
        <v>0</v>
      </c>
      <c r="D269" s="11">
        <v>49219.769000000008</v>
      </c>
      <c r="E269" s="11">
        <v>0</v>
      </c>
      <c r="F269" s="13">
        <f>SUMIF('OD 08-24'!A:A,A269,'OD 08-24'!D:D)</f>
        <v>0</v>
      </c>
      <c r="G269" s="13">
        <f>SUMIF('OD 08-24'!A:A,A269,'OD 08-24'!E:E)</f>
        <v>0</v>
      </c>
      <c r="H269" s="14">
        <f t="shared" si="8"/>
        <v>49219.769000000008</v>
      </c>
      <c r="I269" s="14">
        <f t="shared" si="9"/>
        <v>49219.769000000008</v>
      </c>
      <c r="J269" s="8" t="s">
        <v>138</v>
      </c>
      <c r="K269" s="8" t="s">
        <v>509</v>
      </c>
      <c r="M269" s="512"/>
      <c r="N269" s="315"/>
    </row>
    <row r="270" spans="1:14" s="9" customFormat="1" ht="11.25" customHeight="1" x14ac:dyDescent="0.2">
      <c r="A270" s="10">
        <v>60260600</v>
      </c>
      <c r="B270" s="10" t="s">
        <v>7401</v>
      </c>
      <c r="C270" s="11">
        <v>0</v>
      </c>
      <c r="D270" s="11">
        <v>2004.85</v>
      </c>
      <c r="E270" s="11">
        <v>0</v>
      </c>
      <c r="F270" s="13">
        <f>SUMIF('OD 08-24'!A:A,A270,'OD 08-24'!D:D)</f>
        <v>0</v>
      </c>
      <c r="G270" s="13">
        <f>SUMIF('OD 08-24'!A:A,A270,'OD 08-24'!E:E)</f>
        <v>0</v>
      </c>
      <c r="H270" s="14">
        <f t="shared" si="8"/>
        <v>2004.85</v>
      </c>
      <c r="I270" s="14">
        <f t="shared" si="9"/>
        <v>2004.85</v>
      </c>
      <c r="J270" s="8" t="s">
        <v>138</v>
      </c>
      <c r="K270" s="8" t="s">
        <v>509</v>
      </c>
      <c r="M270" s="512"/>
      <c r="N270" s="315"/>
    </row>
    <row r="271" spans="1:14" s="9" customFormat="1" ht="11.25" customHeight="1" x14ac:dyDescent="0.2">
      <c r="A271" s="10">
        <v>60260700</v>
      </c>
      <c r="B271" s="10" t="s">
        <v>163</v>
      </c>
      <c r="C271" s="11">
        <v>0</v>
      </c>
      <c r="D271" s="11">
        <v>61438.3</v>
      </c>
      <c r="E271" s="11">
        <v>3368.35</v>
      </c>
      <c r="F271" s="13">
        <f>SUMIF('OD 08-24'!A:A,A271,'OD 08-24'!D:D)</f>
        <v>5845.7</v>
      </c>
      <c r="G271" s="13">
        <f>SUMIF('OD 08-24'!A:A,A271,'OD 08-24'!E:E)</f>
        <v>5845.7</v>
      </c>
      <c r="H271" s="14">
        <f t="shared" si="8"/>
        <v>58069.950000000004</v>
      </c>
      <c r="I271" s="14">
        <f t="shared" si="9"/>
        <v>58069.950000000004</v>
      </c>
      <c r="J271" s="8" t="s">
        <v>138</v>
      </c>
      <c r="K271" s="8" t="s">
        <v>509</v>
      </c>
      <c r="M271" s="512"/>
      <c r="N271" s="315"/>
    </row>
    <row r="272" spans="1:14" s="9" customFormat="1" ht="11.25" customHeight="1" x14ac:dyDescent="0.2">
      <c r="A272" s="10">
        <v>60262000</v>
      </c>
      <c r="B272" s="10" t="s">
        <v>164</v>
      </c>
      <c r="C272" s="11">
        <v>0</v>
      </c>
      <c r="D272" s="11">
        <v>157078.0506975</v>
      </c>
      <c r="E272" s="11">
        <v>0</v>
      </c>
      <c r="F272" s="13">
        <f>SUMIF('OD 08-24'!A:A,A272,'OD 08-24'!D:D)</f>
        <v>23425.929</v>
      </c>
      <c r="G272" s="13">
        <f>SUMIF('OD 08-24'!A:A,A272,'OD 08-24'!E:E)</f>
        <v>21103.929</v>
      </c>
      <c r="H272" s="14">
        <f t="shared" si="8"/>
        <v>159400.0506975</v>
      </c>
      <c r="I272" s="14">
        <f t="shared" si="9"/>
        <v>159400.0506975</v>
      </c>
      <c r="J272" s="8" t="s">
        <v>138</v>
      </c>
      <c r="K272" s="8" t="s">
        <v>509</v>
      </c>
      <c r="M272" s="512"/>
      <c r="N272" s="315"/>
    </row>
    <row r="273" spans="1:14" s="9" customFormat="1" ht="11.25" customHeight="1" x14ac:dyDescent="0.2">
      <c r="A273" s="10">
        <v>60263000</v>
      </c>
      <c r="B273" s="10" t="s">
        <v>165</v>
      </c>
      <c r="C273" s="11">
        <v>0</v>
      </c>
      <c r="D273" s="11">
        <v>84972.210822000008</v>
      </c>
      <c r="E273" s="11">
        <v>3446.625</v>
      </c>
      <c r="F273" s="13">
        <f>SUMIF('OD 08-24'!A:A,A273,'OD 08-24'!D:D)</f>
        <v>13804.923000000001</v>
      </c>
      <c r="G273" s="13">
        <f>SUMIF('OD 08-24'!A:A,A273,'OD 08-24'!E:E)</f>
        <v>8964.4979999999996</v>
      </c>
      <c r="H273" s="14">
        <f t="shared" si="8"/>
        <v>86366.010822000011</v>
      </c>
      <c r="I273" s="14">
        <f t="shared" si="9"/>
        <v>86366.010822000011</v>
      </c>
      <c r="J273" s="8" t="s">
        <v>138</v>
      </c>
      <c r="K273" s="8" t="s">
        <v>509</v>
      </c>
      <c r="M273" s="512"/>
      <c r="N273" s="315"/>
    </row>
    <row r="274" spans="1:14" s="9" customFormat="1" ht="11.25" customHeight="1" x14ac:dyDescent="0.2">
      <c r="A274" s="10">
        <v>60310000</v>
      </c>
      <c r="B274" s="10" t="s">
        <v>265</v>
      </c>
      <c r="C274" s="11">
        <v>0</v>
      </c>
      <c r="D274" s="11">
        <v>10656855.097999999</v>
      </c>
      <c r="E274" s="11">
        <v>1136780.078</v>
      </c>
      <c r="F274" s="13">
        <f>SUMIF('OD 08-24'!A:A,A274,'OD 08-24'!D:D)</f>
        <v>99031680.806199998</v>
      </c>
      <c r="G274" s="13">
        <f>SUMIF('OD 08-24'!A:A,A274,'OD 08-24'!E:E)</f>
        <v>109628176.2642</v>
      </c>
      <c r="H274" s="14">
        <f t="shared" si="8"/>
        <v>-1076420.4379999936</v>
      </c>
      <c r="I274" s="14">
        <f t="shared" si="9"/>
        <v>-1076420.4379999936</v>
      </c>
      <c r="J274" s="8" t="s">
        <v>138</v>
      </c>
      <c r="K274" s="8" t="s">
        <v>509</v>
      </c>
      <c r="M274" s="512"/>
      <c r="N274" s="315"/>
    </row>
    <row r="275" spans="1:14" s="9" customFormat="1" ht="11.25" customHeight="1" x14ac:dyDescent="0.2">
      <c r="A275" s="10">
        <v>60330000</v>
      </c>
      <c r="B275" s="10" t="s">
        <v>266</v>
      </c>
      <c r="C275" s="11">
        <v>0</v>
      </c>
      <c r="D275" s="11">
        <v>662156.429</v>
      </c>
      <c r="E275" s="11">
        <v>0</v>
      </c>
      <c r="F275" s="13">
        <f>SUMIF('OD 08-24'!A:A,A275,'OD 08-24'!D:D)</f>
        <v>6653488.2055000002</v>
      </c>
      <c r="G275" s="13">
        <f>SUMIF('OD 08-24'!A:A,A275,'OD 08-24'!E:E)</f>
        <v>7360170.9205</v>
      </c>
      <c r="H275" s="14">
        <f t="shared" si="8"/>
        <v>-44526.285999999382</v>
      </c>
      <c r="I275" s="14">
        <f t="shared" si="9"/>
        <v>-44526.285999999382</v>
      </c>
      <c r="J275" s="8" t="s">
        <v>157</v>
      </c>
      <c r="K275" s="8" t="s">
        <v>512</v>
      </c>
      <c r="M275" s="512"/>
      <c r="N275" s="315"/>
    </row>
    <row r="276" spans="1:14" s="9" customFormat="1" ht="11.25" customHeight="1" x14ac:dyDescent="0.2">
      <c r="A276" s="10">
        <v>60401000</v>
      </c>
      <c r="B276" s="10" t="s">
        <v>166</v>
      </c>
      <c r="C276" s="11">
        <v>0</v>
      </c>
      <c r="D276" s="11">
        <v>0</v>
      </c>
      <c r="E276" s="11">
        <v>0</v>
      </c>
      <c r="F276" s="13">
        <f>SUMIF('OD 08-24'!A:A,A276,'OD 08-24'!D:D)</f>
        <v>515669.00099999999</v>
      </c>
      <c r="G276" s="13">
        <f>SUMIF('OD 08-24'!A:A,A276,'OD 08-24'!E:E)</f>
        <v>407325.00099999999</v>
      </c>
      <c r="H276" s="14">
        <f t="shared" si="8"/>
        <v>108344</v>
      </c>
      <c r="I276" s="14">
        <f t="shared" si="9"/>
        <v>108344</v>
      </c>
      <c r="J276" s="8" t="s">
        <v>157</v>
      </c>
      <c r="K276" s="8" t="s">
        <v>512</v>
      </c>
      <c r="M276" s="512"/>
      <c r="N276" s="315"/>
    </row>
    <row r="277" spans="1:14" s="9" customFormat="1" ht="11.25" customHeight="1" x14ac:dyDescent="0.2">
      <c r="A277" s="10">
        <v>60502000</v>
      </c>
      <c r="B277" s="10" t="s">
        <v>167</v>
      </c>
      <c r="C277" s="11">
        <v>0</v>
      </c>
      <c r="D277" s="11">
        <v>551385.99033399997</v>
      </c>
      <c r="E277" s="11">
        <v>31834.33005</v>
      </c>
      <c r="F277" s="13">
        <f>SUMIF('OD 08-24'!A:A,A277,'OD 08-24'!D:D)</f>
        <v>58949.224000000002</v>
      </c>
      <c r="G277" s="13">
        <f>SUMIF('OD 08-24'!A:A,A277,'OD 08-24'!E:E)</f>
        <v>58949.224000000002</v>
      </c>
      <c r="H277" s="14">
        <f t="shared" si="8"/>
        <v>519551.66028400004</v>
      </c>
      <c r="I277" s="14">
        <f t="shared" si="9"/>
        <v>519551.66028400004</v>
      </c>
      <c r="J277" s="8" t="s">
        <v>157</v>
      </c>
      <c r="K277" s="8" t="s">
        <v>512</v>
      </c>
      <c r="M277" s="512"/>
      <c r="N277" s="315"/>
    </row>
    <row r="278" spans="1:14" s="9" customFormat="1" ht="11.25" customHeight="1" x14ac:dyDescent="0.2">
      <c r="A278" s="10">
        <v>60504000</v>
      </c>
      <c r="B278" s="10" t="s">
        <v>168</v>
      </c>
      <c r="C278" s="11">
        <v>0</v>
      </c>
      <c r="D278" s="11">
        <v>10620.42</v>
      </c>
      <c r="E278" s="11">
        <v>0</v>
      </c>
      <c r="F278" s="13">
        <f>SUMIF('OD 08-24'!A:A,A278,'OD 08-24'!D:D)</f>
        <v>0</v>
      </c>
      <c r="G278" s="13">
        <f>SUMIF('OD 08-24'!A:A,A278,'OD 08-24'!E:E)</f>
        <v>0</v>
      </c>
      <c r="H278" s="14">
        <f t="shared" si="8"/>
        <v>10620.42</v>
      </c>
      <c r="I278" s="14">
        <f t="shared" si="9"/>
        <v>10620.42</v>
      </c>
      <c r="J278" s="8" t="s">
        <v>157</v>
      </c>
      <c r="K278" s="8" t="s">
        <v>512</v>
      </c>
      <c r="M278" s="512"/>
      <c r="N278" s="315"/>
    </row>
    <row r="279" spans="1:14" s="9" customFormat="1" ht="11.25" customHeight="1" x14ac:dyDescent="0.2">
      <c r="A279" s="10">
        <v>60614000</v>
      </c>
      <c r="B279" s="10" t="s">
        <v>171</v>
      </c>
      <c r="C279" s="11">
        <v>0</v>
      </c>
      <c r="D279" s="11">
        <v>178444.21800000002</v>
      </c>
      <c r="E279" s="11">
        <v>4625</v>
      </c>
      <c r="F279" s="13">
        <f>SUMIF('OD 08-24'!A:A,A279,'OD 08-24'!D:D)</f>
        <v>7104.1120000000001</v>
      </c>
      <c r="G279" s="13">
        <f>SUMIF('OD 08-24'!A:A,A279,'OD 08-24'!E:E)</f>
        <v>7104.1120000000001</v>
      </c>
      <c r="H279" s="14">
        <f t="shared" si="8"/>
        <v>173819.21800000002</v>
      </c>
      <c r="I279" s="14">
        <f t="shared" si="9"/>
        <v>173819.21800000002</v>
      </c>
      <c r="J279" s="8" t="s">
        <v>157</v>
      </c>
      <c r="K279" s="8" t="s">
        <v>512</v>
      </c>
      <c r="M279" s="512"/>
      <c r="N279" s="315"/>
    </row>
    <row r="280" spans="1:14" s="9" customFormat="1" ht="11.25" customHeight="1" x14ac:dyDescent="0.2">
      <c r="A280" s="10">
        <v>60620000</v>
      </c>
      <c r="B280" s="10" t="s">
        <v>172</v>
      </c>
      <c r="C280" s="11">
        <v>0</v>
      </c>
      <c r="D280" s="11">
        <v>26477.517000000003</v>
      </c>
      <c r="E280" s="11">
        <v>117.64400000000001</v>
      </c>
      <c r="F280" s="13">
        <f>SUMIF('OD 08-24'!A:A,A280,'OD 08-24'!D:D)</f>
        <v>3017.9749999999999</v>
      </c>
      <c r="G280" s="13">
        <f>SUMIF('OD 08-24'!A:A,A280,'OD 08-24'!E:E)</f>
        <v>2667.7</v>
      </c>
      <c r="H280" s="14">
        <f t="shared" si="8"/>
        <v>26710.148000000001</v>
      </c>
      <c r="I280" s="14">
        <f t="shared" si="9"/>
        <v>26710.148000000001</v>
      </c>
      <c r="J280" s="8" t="s">
        <v>157</v>
      </c>
      <c r="K280" s="8" t="s">
        <v>512</v>
      </c>
      <c r="M280" s="512"/>
      <c r="N280" s="315"/>
    </row>
    <row r="281" spans="1:14" s="9" customFormat="1" ht="11.25" customHeight="1" x14ac:dyDescent="0.2">
      <c r="A281" s="10">
        <v>60650000</v>
      </c>
      <c r="B281" s="10" t="s">
        <v>373</v>
      </c>
      <c r="C281" s="11">
        <v>0</v>
      </c>
      <c r="D281" s="11">
        <v>14850</v>
      </c>
      <c r="E281" s="11">
        <v>0</v>
      </c>
      <c r="F281" s="13">
        <f>SUMIF('OD 08-24'!A:A,A281,'OD 08-24'!D:D)</f>
        <v>4050</v>
      </c>
      <c r="G281" s="13">
        <f>SUMIF('OD 08-24'!A:A,A281,'OD 08-24'!E:E)</f>
        <v>4050</v>
      </c>
      <c r="H281" s="14">
        <f t="shared" si="8"/>
        <v>14850</v>
      </c>
      <c r="I281" s="14">
        <f t="shared" si="9"/>
        <v>14850</v>
      </c>
      <c r="J281" s="8" t="s">
        <v>138</v>
      </c>
      <c r="K281" s="8" t="s">
        <v>509</v>
      </c>
      <c r="M281" s="512"/>
      <c r="N281" s="315"/>
    </row>
    <row r="282" spans="1:14" s="9" customFormat="1" ht="11.25" customHeight="1" x14ac:dyDescent="0.2">
      <c r="A282" s="10">
        <v>60660000</v>
      </c>
      <c r="B282" s="10" t="s">
        <v>173</v>
      </c>
      <c r="C282" s="11">
        <v>0</v>
      </c>
      <c r="D282" s="11">
        <v>15007.875</v>
      </c>
      <c r="E282" s="11">
        <v>0</v>
      </c>
      <c r="F282" s="13">
        <f>SUMIF('OD 08-24'!A:A,A282,'OD 08-24'!D:D)</f>
        <v>245.5</v>
      </c>
      <c r="G282" s="13">
        <f>SUMIF('OD 08-24'!A:A,A282,'OD 08-24'!E:E)</f>
        <v>0</v>
      </c>
      <c r="H282" s="14">
        <f t="shared" si="8"/>
        <v>15253.375</v>
      </c>
      <c r="I282" s="14">
        <f t="shared" si="9"/>
        <v>15253.375</v>
      </c>
      <c r="J282" s="8" t="s">
        <v>157</v>
      </c>
      <c r="K282" s="8" t="s">
        <v>512</v>
      </c>
      <c r="M282" s="512"/>
      <c r="N282" s="315"/>
    </row>
    <row r="283" spans="1:14" s="9" customFormat="1" ht="11.25" customHeight="1" x14ac:dyDescent="0.2">
      <c r="A283" s="10">
        <v>60670000</v>
      </c>
      <c r="B283" s="10" t="s">
        <v>174</v>
      </c>
      <c r="C283" s="11">
        <v>0</v>
      </c>
      <c r="D283" s="11">
        <v>12089.810000000001</v>
      </c>
      <c r="E283" s="11">
        <v>0</v>
      </c>
      <c r="F283" s="13">
        <f>SUMIF('OD 08-24'!A:A,A283,'OD 08-24'!D:D)</f>
        <v>2726.35</v>
      </c>
      <c r="G283" s="13">
        <f>SUMIF('OD 08-24'!A:A,A283,'OD 08-24'!E:E)</f>
        <v>2481.85</v>
      </c>
      <c r="H283" s="14">
        <f t="shared" si="8"/>
        <v>12334.310000000001</v>
      </c>
      <c r="I283" s="14">
        <f t="shared" si="9"/>
        <v>12334.310000000001</v>
      </c>
      <c r="J283" s="8" t="s">
        <v>157</v>
      </c>
      <c r="K283" s="8" t="s">
        <v>512</v>
      </c>
      <c r="M283" s="512"/>
      <c r="N283" s="315"/>
    </row>
    <row r="284" spans="1:14" s="9" customFormat="1" ht="11.25" customHeight="1" x14ac:dyDescent="0.2">
      <c r="A284" s="10">
        <v>60671000</v>
      </c>
      <c r="B284" s="10" t="s">
        <v>374</v>
      </c>
      <c r="C284" s="11">
        <v>0</v>
      </c>
      <c r="D284" s="11">
        <v>113886.774</v>
      </c>
      <c r="E284" s="11">
        <v>0</v>
      </c>
      <c r="F284" s="13">
        <f>SUMIF('OD 08-24'!A:A,A284,'OD 08-24'!D:D)</f>
        <v>13634.6</v>
      </c>
      <c r="G284" s="13">
        <f>SUMIF('OD 08-24'!A:A,A284,'OD 08-24'!E:E)</f>
        <v>13634.6</v>
      </c>
      <c r="H284" s="14">
        <f t="shared" si="8"/>
        <v>113886.774</v>
      </c>
      <c r="I284" s="14">
        <f t="shared" si="9"/>
        <v>113886.774</v>
      </c>
      <c r="J284" s="8" t="s">
        <v>157</v>
      </c>
      <c r="K284" s="8" t="s">
        <v>512</v>
      </c>
      <c r="M284" s="512"/>
      <c r="N284" s="315"/>
    </row>
    <row r="285" spans="1:14" s="9" customFormat="1" ht="11.25" customHeight="1" x14ac:dyDescent="0.2">
      <c r="A285" s="10">
        <v>61400000</v>
      </c>
      <c r="B285" s="10" t="s">
        <v>175</v>
      </c>
      <c r="C285" s="11">
        <v>0</v>
      </c>
      <c r="D285" s="11">
        <v>43497.22</v>
      </c>
      <c r="E285" s="11">
        <v>0</v>
      </c>
      <c r="F285" s="13">
        <f>SUMIF('OD 08-24'!A:A,A285,'OD 08-24'!D:D)</f>
        <v>0</v>
      </c>
      <c r="G285" s="13">
        <f>SUMIF('OD 08-24'!A:A,A285,'OD 08-24'!E:E)</f>
        <v>0</v>
      </c>
      <c r="H285" s="14">
        <f t="shared" si="8"/>
        <v>43497.22</v>
      </c>
      <c r="I285" s="14">
        <f t="shared" si="9"/>
        <v>43497.22</v>
      </c>
      <c r="J285" s="8" t="s">
        <v>157</v>
      </c>
      <c r="K285" s="8" t="s">
        <v>512</v>
      </c>
      <c r="M285" s="512"/>
      <c r="N285" s="315"/>
    </row>
    <row r="286" spans="1:14" s="9" customFormat="1" ht="11.25" customHeight="1" x14ac:dyDescent="0.2">
      <c r="A286" s="10">
        <v>61500000</v>
      </c>
      <c r="B286" s="10" t="s">
        <v>176</v>
      </c>
      <c r="C286" s="11">
        <v>0</v>
      </c>
      <c r="D286" s="11">
        <v>365590.951</v>
      </c>
      <c r="E286" s="11">
        <v>96045.469000000012</v>
      </c>
      <c r="F286" s="13">
        <f>SUMIF('OD 08-24'!A:A,A286,'OD 08-24'!D:D)</f>
        <v>63225.974999999999</v>
      </c>
      <c r="G286" s="13">
        <f>SUMIF('OD 08-24'!A:A,A286,'OD 08-24'!E:E)</f>
        <v>63225.974999999999</v>
      </c>
      <c r="H286" s="14">
        <f t="shared" si="8"/>
        <v>269545.48199999996</v>
      </c>
      <c r="I286" s="14">
        <f t="shared" si="9"/>
        <v>269545.48199999996</v>
      </c>
      <c r="J286" s="8" t="s">
        <v>157</v>
      </c>
      <c r="K286" s="8" t="s">
        <v>512</v>
      </c>
      <c r="M286" s="512"/>
      <c r="N286" s="315"/>
    </row>
    <row r="287" spans="1:14" s="9" customFormat="1" ht="11.25" customHeight="1" x14ac:dyDescent="0.2">
      <c r="A287" s="10">
        <v>61501000</v>
      </c>
      <c r="B287" s="10" t="s">
        <v>177</v>
      </c>
      <c r="C287" s="11">
        <v>0</v>
      </c>
      <c r="D287" s="11">
        <v>150466.226</v>
      </c>
      <c r="E287" s="11">
        <v>1905.373</v>
      </c>
      <c r="F287" s="13">
        <f>SUMIF('OD 08-24'!A:A,A287,'OD 08-24'!D:D)</f>
        <v>24816.300999999999</v>
      </c>
      <c r="G287" s="13">
        <f>SUMIF('OD 08-24'!A:A,A287,'OD 08-24'!E:E)</f>
        <v>15575.949000000001</v>
      </c>
      <c r="H287" s="14">
        <f t="shared" si="8"/>
        <v>157801.20500000002</v>
      </c>
      <c r="I287" s="14">
        <f t="shared" si="9"/>
        <v>157801.20500000002</v>
      </c>
      <c r="J287" s="8" t="s">
        <v>157</v>
      </c>
      <c r="K287" s="8" t="s">
        <v>512</v>
      </c>
      <c r="M287" s="512"/>
      <c r="N287" s="315"/>
    </row>
    <row r="288" spans="1:14" s="9" customFormat="1" ht="11.25" customHeight="1" x14ac:dyDescent="0.2">
      <c r="A288" s="10">
        <v>61600000</v>
      </c>
      <c r="B288" s="10" t="s">
        <v>397</v>
      </c>
      <c r="C288" s="11">
        <v>0</v>
      </c>
      <c r="D288" s="11">
        <v>39737.199999999997</v>
      </c>
      <c r="E288" s="11">
        <v>0</v>
      </c>
      <c r="F288" s="13">
        <f>SUMIF('OD 08-24'!A:A,A288,'OD 08-24'!D:D)</f>
        <v>59042.932999999997</v>
      </c>
      <c r="G288" s="13">
        <f>SUMIF('OD 08-24'!A:A,A288,'OD 08-24'!E:E)</f>
        <v>63953.332999999999</v>
      </c>
      <c r="H288" s="14">
        <f t="shared" si="8"/>
        <v>34826.800000000003</v>
      </c>
      <c r="I288" s="14">
        <f t="shared" si="9"/>
        <v>34826.800000000003</v>
      </c>
      <c r="J288" s="8" t="s">
        <v>157</v>
      </c>
      <c r="K288" s="8" t="s">
        <v>512</v>
      </c>
      <c r="M288" s="512"/>
      <c r="N288" s="315"/>
    </row>
    <row r="289" spans="1:14" s="9" customFormat="1" ht="11.25" customHeight="1" x14ac:dyDescent="0.2">
      <c r="A289" s="10">
        <v>61603000</v>
      </c>
      <c r="B289" s="10" t="s">
        <v>178</v>
      </c>
      <c r="C289" s="11">
        <v>0</v>
      </c>
      <c r="D289" s="11">
        <v>29988.795000000002</v>
      </c>
      <c r="E289" s="11">
        <v>28310.018</v>
      </c>
      <c r="F289" s="13">
        <f>SUMIF('OD 08-24'!A:A,A289,'OD 08-24'!D:D)</f>
        <v>112990.60799999999</v>
      </c>
      <c r="G289" s="13">
        <f>SUMIF('OD 08-24'!A:A,A289,'OD 08-24'!E:E)</f>
        <v>86634.448000000004</v>
      </c>
      <c r="H289" s="14">
        <f t="shared" si="8"/>
        <v>28034.936999999991</v>
      </c>
      <c r="I289" s="14">
        <f t="shared" si="9"/>
        <v>28034.936999999991</v>
      </c>
      <c r="J289" s="8" t="s">
        <v>157</v>
      </c>
      <c r="K289" s="8" t="s">
        <v>512</v>
      </c>
      <c r="M289" s="512"/>
      <c r="N289" s="315"/>
    </row>
    <row r="290" spans="1:14" s="9" customFormat="1" ht="11.25" customHeight="1" x14ac:dyDescent="0.2">
      <c r="A290" s="10">
        <v>61607000</v>
      </c>
      <c r="B290" s="10" t="s">
        <v>179</v>
      </c>
      <c r="C290" s="11">
        <v>0</v>
      </c>
      <c r="D290" s="11">
        <v>0</v>
      </c>
      <c r="E290" s="11">
        <v>0</v>
      </c>
      <c r="F290" s="13">
        <f>SUMIF('OD 08-24'!A:A,A290,'OD 08-24'!D:D)</f>
        <v>0</v>
      </c>
      <c r="G290" s="13">
        <f>SUMIF('OD 08-24'!A:A,A290,'OD 08-24'!E:E)</f>
        <v>0</v>
      </c>
      <c r="H290" s="14">
        <f t="shared" si="8"/>
        <v>0</v>
      </c>
      <c r="I290" s="14">
        <f t="shared" si="9"/>
        <v>0</v>
      </c>
      <c r="J290" s="8" t="s">
        <v>157</v>
      </c>
      <c r="K290" s="8" t="s">
        <v>512</v>
      </c>
      <c r="M290" s="512"/>
      <c r="N290" s="315"/>
    </row>
    <row r="291" spans="1:14" s="9" customFormat="1" ht="11.25" customHeight="1" x14ac:dyDescent="0.2">
      <c r="A291" s="10">
        <v>62120000</v>
      </c>
      <c r="B291" s="10" t="s">
        <v>180</v>
      </c>
      <c r="C291" s="11">
        <v>0</v>
      </c>
      <c r="D291" s="11">
        <v>31332.02</v>
      </c>
      <c r="E291" s="11">
        <v>0</v>
      </c>
      <c r="F291" s="13">
        <f>SUMIF('OD 08-24'!A:A,A291,'OD 08-24'!D:D)</f>
        <v>0</v>
      </c>
      <c r="G291" s="13">
        <f>SUMIF('OD 08-24'!A:A,A291,'OD 08-24'!E:E)</f>
        <v>0</v>
      </c>
      <c r="H291" s="14">
        <f t="shared" si="8"/>
        <v>31332.02</v>
      </c>
      <c r="I291" s="14">
        <f t="shared" si="9"/>
        <v>31332.02</v>
      </c>
      <c r="J291" s="8" t="s">
        <v>157</v>
      </c>
      <c r="K291" s="8" t="s">
        <v>512</v>
      </c>
      <c r="M291" s="512"/>
      <c r="N291" s="315"/>
    </row>
    <row r="292" spans="1:14" s="9" customFormat="1" ht="11.25" customHeight="1" x14ac:dyDescent="0.2">
      <c r="A292" s="10">
        <v>62200000</v>
      </c>
      <c r="B292" s="10" t="s">
        <v>181</v>
      </c>
      <c r="C292" s="11">
        <v>0</v>
      </c>
      <c r="D292" s="11">
        <v>25829.16</v>
      </c>
      <c r="E292" s="11">
        <v>0</v>
      </c>
      <c r="F292" s="13">
        <f>SUMIF('OD 08-24'!A:A,A292,'OD 08-24'!D:D)</f>
        <v>0</v>
      </c>
      <c r="G292" s="13">
        <f>SUMIF('OD 08-24'!A:A,A292,'OD 08-24'!E:E)</f>
        <v>0</v>
      </c>
      <c r="H292" s="14">
        <f t="shared" si="8"/>
        <v>25829.16</v>
      </c>
      <c r="I292" s="14">
        <f t="shared" si="9"/>
        <v>25829.16</v>
      </c>
      <c r="J292" s="8" t="s">
        <v>157</v>
      </c>
      <c r="K292" s="8" t="s">
        <v>512</v>
      </c>
      <c r="M292" s="512"/>
      <c r="N292" s="315"/>
    </row>
    <row r="293" spans="1:14" s="9" customFormat="1" ht="11.25" customHeight="1" x14ac:dyDescent="0.2">
      <c r="A293" s="10">
        <v>62210000</v>
      </c>
      <c r="B293" s="10" t="s">
        <v>398</v>
      </c>
      <c r="C293" s="11">
        <v>0</v>
      </c>
      <c r="D293" s="11">
        <v>47514</v>
      </c>
      <c r="E293" s="11">
        <v>0</v>
      </c>
      <c r="F293" s="13">
        <f>SUMIF('OD 08-24'!A:A,A293,'OD 08-24'!D:D)</f>
        <v>7800</v>
      </c>
      <c r="G293" s="13">
        <f>SUMIF('OD 08-24'!A:A,A293,'OD 08-24'!E:E)</f>
        <v>14733.333000000001</v>
      </c>
      <c r="H293" s="14">
        <f t="shared" si="8"/>
        <v>40580.667000000001</v>
      </c>
      <c r="I293" s="14">
        <f t="shared" si="9"/>
        <v>40580.667000000001</v>
      </c>
      <c r="J293" s="8" t="s">
        <v>157</v>
      </c>
      <c r="K293" s="8" t="s">
        <v>512</v>
      </c>
      <c r="M293" s="512"/>
      <c r="N293" s="315"/>
    </row>
    <row r="294" spans="1:14" s="9" customFormat="1" ht="11.25" customHeight="1" x14ac:dyDescent="0.2">
      <c r="A294" s="10">
        <v>62230000</v>
      </c>
      <c r="B294" s="10" t="s">
        <v>375</v>
      </c>
      <c r="C294" s="11">
        <v>0</v>
      </c>
      <c r="D294" s="11">
        <v>15263.6</v>
      </c>
      <c r="E294" s="11">
        <v>0</v>
      </c>
      <c r="F294" s="13">
        <f>SUMIF('OD 08-24'!A:A,A294,'OD 08-24'!D:D)</f>
        <v>56301.315000000002</v>
      </c>
      <c r="G294" s="13">
        <f>SUMIF('OD 08-24'!A:A,A294,'OD 08-24'!E:E)</f>
        <v>33867.324000000001</v>
      </c>
      <c r="H294" s="14">
        <f t="shared" si="8"/>
        <v>37697.591000000008</v>
      </c>
      <c r="I294" s="14">
        <f t="shared" si="9"/>
        <v>37697.591000000008</v>
      </c>
      <c r="J294" s="8" t="s">
        <v>157</v>
      </c>
      <c r="K294" s="8" t="s">
        <v>512</v>
      </c>
      <c r="M294" s="512"/>
      <c r="N294" s="315"/>
    </row>
    <row r="295" spans="1:14" s="9" customFormat="1" ht="11.25" customHeight="1" x14ac:dyDescent="0.2">
      <c r="A295" s="10">
        <v>62240000</v>
      </c>
      <c r="B295" s="10" t="s">
        <v>267</v>
      </c>
      <c r="C295" s="11">
        <v>0</v>
      </c>
      <c r="D295" s="11">
        <v>50952.55</v>
      </c>
      <c r="E295" s="11">
        <v>523.68799999999999</v>
      </c>
      <c r="F295" s="13">
        <f>SUMIF('OD 08-24'!A:A,A295,'OD 08-24'!D:D)</f>
        <v>218203.06700000001</v>
      </c>
      <c r="G295" s="13">
        <f>SUMIF('OD 08-24'!A:A,A295,'OD 08-24'!E:E)</f>
        <v>233789</v>
      </c>
      <c r="H295" s="14">
        <f t="shared" si="8"/>
        <v>34842.929000000004</v>
      </c>
      <c r="I295" s="14">
        <f t="shared" si="9"/>
        <v>34842.929000000004</v>
      </c>
      <c r="J295" s="8" t="s">
        <v>157</v>
      </c>
      <c r="K295" s="8" t="s">
        <v>512</v>
      </c>
      <c r="M295" s="512"/>
      <c r="N295" s="315"/>
    </row>
    <row r="296" spans="1:14" s="9" customFormat="1" ht="11.25" customHeight="1" x14ac:dyDescent="0.2">
      <c r="A296" s="10">
        <v>62250000</v>
      </c>
      <c r="B296" s="10" t="s">
        <v>268</v>
      </c>
      <c r="C296" s="11">
        <v>0</v>
      </c>
      <c r="D296" s="11">
        <v>0</v>
      </c>
      <c r="E296" s="11">
        <v>0</v>
      </c>
      <c r="F296" s="13">
        <f>SUMIF('OD 08-24'!A:A,A296,'OD 08-24'!D:D)</f>
        <v>135000</v>
      </c>
      <c r="G296" s="13">
        <f>SUMIF('OD 08-24'!A:A,A296,'OD 08-24'!E:E)</f>
        <v>100000</v>
      </c>
      <c r="H296" s="14">
        <f t="shared" si="8"/>
        <v>35000</v>
      </c>
      <c r="I296" s="14">
        <f t="shared" si="9"/>
        <v>35000</v>
      </c>
      <c r="J296" s="8" t="s">
        <v>157</v>
      </c>
      <c r="K296" s="8" t="s">
        <v>512</v>
      </c>
      <c r="M296" s="512"/>
      <c r="N296" s="315"/>
    </row>
    <row r="297" spans="1:14" s="9" customFormat="1" ht="11.25" customHeight="1" x14ac:dyDescent="0.2">
      <c r="A297" s="10">
        <v>62260000</v>
      </c>
      <c r="B297" s="10" t="s">
        <v>7402</v>
      </c>
      <c r="C297" s="11">
        <v>0</v>
      </c>
      <c r="D297" s="11">
        <v>2018</v>
      </c>
      <c r="E297" s="11">
        <v>0</v>
      </c>
      <c r="F297" s="13">
        <f>SUMIF('OD 08-24'!A:A,A297,'OD 08-24'!D:D)</f>
        <v>20000</v>
      </c>
      <c r="G297" s="13">
        <f>SUMIF('OD 08-24'!A:A,A297,'OD 08-24'!E:E)</f>
        <v>10000</v>
      </c>
      <c r="H297" s="14">
        <f t="shared" si="8"/>
        <v>12018</v>
      </c>
      <c r="I297" s="14">
        <f t="shared" si="9"/>
        <v>12018</v>
      </c>
      <c r="J297" s="8" t="s">
        <v>157</v>
      </c>
      <c r="K297" s="8" t="s">
        <v>512</v>
      </c>
      <c r="M297" s="512"/>
      <c r="N297" s="315"/>
    </row>
    <row r="298" spans="1:14" s="9" customFormat="1" ht="11.25" customHeight="1" x14ac:dyDescent="0.2">
      <c r="A298" s="10">
        <v>62270000</v>
      </c>
      <c r="B298" s="10" t="s">
        <v>399</v>
      </c>
      <c r="C298" s="11">
        <v>0</v>
      </c>
      <c r="D298" s="11">
        <v>12491.753999999999</v>
      </c>
      <c r="E298" s="11">
        <v>0</v>
      </c>
      <c r="F298" s="13">
        <f>SUMIF('OD 08-24'!A:A,A298,'OD 08-24'!D:D)</f>
        <v>4450.84</v>
      </c>
      <c r="G298" s="13">
        <f>SUMIF('OD 08-24'!A:A,A298,'OD 08-24'!E:E)</f>
        <v>4450.84</v>
      </c>
      <c r="H298" s="14">
        <f t="shared" si="8"/>
        <v>12491.753999999997</v>
      </c>
      <c r="I298" s="14">
        <f t="shared" si="9"/>
        <v>12491.753999999997</v>
      </c>
      <c r="J298" s="8" t="s">
        <v>157</v>
      </c>
      <c r="K298" s="8" t="s">
        <v>512</v>
      </c>
      <c r="M298" s="512"/>
      <c r="N298" s="315"/>
    </row>
    <row r="299" spans="1:14" s="9" customFormat="1" ht="11.25" customHeight="1" x14ac:dyDescent="0.2">
      <c r="A299" s="10">
        <v>62280000</v>
      </c>
      <c r="B299" s="10" t="s">
        <v>7721</v>
      </c>
      <c r="C299" s="11">
        <v>0</v>
      </c>
      <c r="D299" s="11">
        <v>38212</v>
      </c>
      <c r="E299" s="11">
        <v>24780</v>
      </c>
      <c r="F299" s="13">
        <f>SUMIF('OD 08-24'!A:A,A299,'OD 08-24'!D:D)</f>
        <v>0</v>
      </c>
      <c r="G299" s="13">
        <f>SUMIF('OD 08-24'!A:A,A299,'OD 08-24'!E:E)</f>
        <v>0</v>
      </c>
      <c r="H299" s="14">
        <f t="shared" si="8"/>
        <v>13432</v>
      </c>
      <c r="I299" s="14">
        <f t="shared" si="9"/>
        <v>13432</v>
      </c>
      <c r="J299" s="8" t="s">
        <v>157</v>
      </c>
      <c r="K299" s="8" t="s">
        <v>512</v>
      </c>
      <c r="M299" s="512"/>
      <c r="N299" s="315"/>
    </row>
    <row r="300" spans="1:14" s="9" customFormat="1" ht="11.25" customHeight="1" x14ac:dyDescent="0.2">
      <c r="A300" s="10">
        <v>62300000</v>
      </c>
      <c r="B300" s="10" t="s">
        <v>182</v>
      </c>
      <c r="C300" s="11">
        <v>0</v>
      </c>
      <c r="D300" s="11">
        <v>9790</v>
      </c>
      <c r="E300" s="11">
        <v>0</v>
      </c>
      <c r="F300" s="13">
        <f>SUMIF('OD 08-24'!A:A,A300,'OD 08-24'!D:D)</f>
        <v>414000</v>
      </c>
      <c r="G300" s="13">
        <f>SUMIF('OD 08-24'!A:A,A300,'OD 08-24'!E:E)</f>
        <v>322000</v>
      </c>
      <c r="H300" s="14">
        <f t="shared" si="8"/>
        <v>101790</v>
      </c>
      <c r="I300" s="14">
        <f t="shared" si="9"/>
        <v>101790</v>
      </c>
      <c r="J300" s="8" t="s">
        <v>157</v>
      </c>
      <c r="K300" s="8" t="s">
        <v>512</v>
      </c>
      <c r="M300" s="512"/>
      <c r="N300" s="315"/>
    </row>
    <row r="301" spans="1:14" s="9" customFormat="1" ht="11.25" customHeight="1" x14ac:dyDescent="0.2">
      <c r="A301" s="10">
        <v>62301000</v>
      </c>
      <c r="B301" s="10" t="s">
        <v>7397</v>
      </c>
      <c r="C301" s="11">
        <v>0</v>
      </c>
      <c r="D301" s="11">
        <v>51250.7</v>
      </c>
      <c r="E301" s="11">
        <v>8315</v>
      </c>
      <c r="F301" s="13">
        <f>SUMIF('OD 08-24'!A:A,A301,'OD 08-24'!D:D)</f>
        <v>0</v>
      </c>
      <c r="G301" s="13">
        <f>SUMIF('OD 08-24'!A:A,A301,'OD 08-24'!E:E)</f>
        <v>0</v>
      </c>
      <c r="H301" s="14">
        <f t="shared" si="8"/>
        <v>42935.7</v>
      </c>
      <c r="I301" s="14">
        <f t="shared" si="9"/>
        <v>42935.7</v>
      </c>
      <c r="J301" s="8" t="s">
        <v>157</v>
      </c>
      <c r="K301" s="8" t="s">
        <v>512</v>
      </c>
      <c r="M301" s="512"/>
      <c r="N301" s="315"/>
    </row>
    <row r="302" spans="1:14" s="9" customFormat="1" ht="11.25" customHeight="1" x14ac:dyDescent="0.2">
      <c r="A302" s="10">
        <v>62410000</v>
      </c>
      <c r="B302" s="10" t="s">
        <v>183</v>
      </c>
      <c r="C302" s="11">
        <v>0</v>
      </c>
      <c r="D302" s="11">
        <v>27076.799999999999</v>
      </c>
      <c r="E302" s="11">
        <v>0</v>
      </c>
      <c r="F302" s="13">
        <f>SUMIF('OD 08-24'!A:A,A302,'OD 08-24'!D:D)</f>
        <v>0</v>
      </c>
      <c r="G302" s="13">
        <f>SUMIF('OD 08-24'!A:A,A302,'OD 08-24'!E:E)</f>
        <v>0</v>
      </c>
      <c r="H302" s="14">
        <f t="shared" si="8"/>
        <v>27076.799999999999</v>
      </c>
      <c r="I302" s="14">
        <f t="shared" si="9"/>
        <v>27076.799999999999</v>
      </c>
      <c r="J302" s="8" t="s">
        <v>157</v>
      </c>
      <c r="K302" s="8" t="s">
        <v>512</v>
      </c>
      <c r="M302" s="512"/>
      <c r="N302" s="315"/>
    </row>
    <row r="303" spans="1:14" s="9" customFormat="1" ht="11.25" customHeight="1" x14ac:dyDescent="0.2">
      <c r="A303" s="10">
        <v>62420000</v>
      </c>
      <c r="B303" s="10" t="s">
        <v>184</v>
      </c>
      <c r="C303" s="11">
        <v>0</v>
      </c>
      <c r="D303" s="11">
        <v>420</v>
      </c>
      <c r="E303" s="11">
        <v>0</v>
      </c>
      <c r="F303" s="13">
        <f>SUMIF('OD 08-24'!A:A,A303,'OD 08-24'!D:D)</f>
        <v>0</v>
      </c>
      <c r="G303" s="13">
        <f>SUMIF('OD 08-24'!A:A,A303,'OD 08-24'!E:E)</f>
        <v>0</v>
      </c>
      <c r="H303" s="14">
        <f t="shared" si="8"/>
        <v>420</v>
      </c>
      <c r="I303" s="14">
        <f t="shared" si="9"/>
        <v>420</v>
      </c>
      <c r="J303" s="8" t="s">
        <v>157</v>
      </c>
      <c r="K303" s="8" t="s">
        <v>512</v>
      </c>
      <c r="M303" s="512"/>
      <c r="N303" s="315"/>
    </row>
    <row r="304" spans="1:14" s="9" customFormat="1" ht="11.25" customHeight="1" x14ac:dyDescent="0.2">
      <c r="A304" s="10">
        <v>62430000</v>
      </c>
      <c r="B304" s="10" t="s">
        <v>159</v>
      </c>
      <c r="C304" s="11">
        <v>0</v>
      </c>
      <c r="D304" s="11">
        <v>750135.61400000006</v>
      </c>
      <c r="E304" s="11">
        <v>18196.150000000001</v>
      </c>
      <c r="F304" s="13">
        <f>SUMIF('OD 08-24'!A:A,A304,'OD 08-24'!D:D)</f>
        <v>199756.45</v>
      </c>
      <c r="G304" s="13">
        <f>SUMIF('OD 08-24'!A:A,A304,'OD 08-24'!E:E)</f>
        <v>177756.45</v>
      </c>
      <c r="H304" s="14">
        <f t="shared" si="8"/>
        <v>753939.46399999992</v>
      </c>
      <c r="I304" s="14">
        <f t="shared" si="9"/>
        <v>753939.46399999992</v>
      </c>
      <c r="J304" s="8" t="s">
        <v>157</v>
      </c>
      <c r="K304" s="8" t="s">
        <v>512</v>
      </c>
      <c r="L304" s="339"/>
      <c r="M304" s="512"/>
      <c r="N304" s="315"/>
    </row>
    <row r="305" spans="1:14" s="9" customFormat="1" ht="11.25" customHeight="1" x14ac:dyDescent="0.2">
      <c r="A305" s="10">
        <v>62500000</v>
      </c>
      <c r="B305" s="10" t="s">
        <v>185</v>
      </c>
      <c r="C305" s="11">
        <v>0</v>
      </c>
      <c r="D305" s="11">
        <v>5097.7049999999999</v>
      </c>
      <c r="E305" s="11">
        <v>2039.8370000000002</v>
      </c>
      <c r="F305" s="13">
        <f>SUMIF('OD 08-24'!A:A,A305,'OD 08-24'!D:D)</f>
        <v>0</v>
      </c>
      <c r="G305" s="13">
        <f>SUMIF('OD 08-24'!A:A,A305,'OD 08-24'!E:E)</f>
        <v>0</v>
      </c>
      <c r="H305" s="14">
        <f t="shared" si="8"/>
        <v>3057.8679999999995</v>
      </c>
      <c r="I305" s="14">
        <f t="shared" si="9"/>
        <v>3057.8679999999995</v>
      </c>
      <c r="J305" s="8" t="s">
        <v>157</v>
      </c>
      <c r="K305" s="8" t="s">
        <v>512</v>
      </c>
      <c r="M305" s="512"/>
      <c r="N305" s="315"/>
    </row>
    <row r="306" spans="1:14" s="9" customFormat="1" ht="11.25" customHeight="1" x14ac:dyDescent="0.2">
      <c r="A306" s="10">
        <v>62510000</v>
      </c>
      <c r="B306" s="10" t="s">
        <v>7571</v>
      </c>
      <c r="C306" s="11">
        <v>0</v>
      </c>
      <c r="D306" s="11">
        <v>58810</v>
      </c>
      <c r="E306" s="11">
        <v>0</v>
      </c>
      <c r="F306" s="13">
        <f>SUMIF('OD 08-24'!A:A,A306,'OD 08-24'!D:D)</f>
        <v>60000</v>
      </c>
      <c r="G306" s="13">
        <f>SUMIF('OD 08-24'!A:A,A306,'OD 08-24'!E:E)</f>
        <v>40000</v>
      </c>
      <c r="H306" s="14">
        <f t="shared" si="8"/>
        <v>78810</v>
      </c>
      <c r="I306" s="14">
        <f t="shared" si="9"/>
        <v>78810</v>
      </c>
      <c r="J306" s="8" t="s">
        <v>157</v>
      </c>
      <c r="K306" s="8" t="s">
        <v>512</v>
      </c>
      <c r="M306" s="512"/>
      <c r="N306" s="315"/>
    </row>
    <row r="307" spans="1:14" s="9" customFormat="1" ht="11.25" customHeight="1" x14ac:dyDescent="0.2">
      <c r="A307" s="10">
        <v>62520000</v>
      </c>
      <c r="B307" s="10" t="s">
        <v>7403</v>
      </c>
      <c r="C307" s="11">
        <v>0</v>
      </c>
      <c r="D307" s="11">
        <v>5179.3999999999996</v>
      </c>
      <c r="E307" s="11">
        <v>0</v>
      </c>
      <c r="F307" s="13">
        <f>SUMIF('OD 08-24'!A:A,A307,'OD 08-24'!D:D)</f>
        <v>0</v>
      </c>
      <c r="G307" s="13">
        <f>SUMIF('OD 08-24'!A:A,A307,'OD 08-24'!E:E)</f>
        <v>0</v>
      </c>
      <c r="H307" s="14">
        <f t="shared" si="8"/>
        <v>5179.3999999999996</v>
      </c>
      <c r="I307" s="14">
        <f t="shared" si="9"/>
        <v>5179.3999999999996</v>
      </c>
      <c r="J307" s="8" t="s">
        <v>157</v>
      </c>
      <c r="K307" s="8" t="s">
        <v>512</v>
      </c>
      <c r="M307" s="512"/>
      <c r="N307" s="315"/>
    </row>
    <row r="308" spans="1:14" s="9" customFormat="1" ht="11.25" customHeight="1" x14ac:dyDescent="0.2">
      <c r="A308" s="10">
        <v>62570000</v>
      </c>
      <c r="B308" s="10" t="s">
        <v>186</v>
      </c>
      <c r="C308" s="11">
        <v>0</v>
      </c>
      <c r="D308" s="11">
        <v>90681.084999999992</v>
      </c>
      <c r="E308" s="11">
        <v>1511.9429999999998</v>
      </c>
      <c r="F308" s="13">
        <f>SUMIF('OD 08-24'!A:A,A308,'OD 08-24'!D:D)</f>
        <v>0</v>
      </c>
      <c r="G308" s="13">
        <f>SUMIF('OD 08-24'!A:A,A308,'OD 08-24'!E:E)</f>
        <v>0</v>
      </c>
      <c r="H308" s="14">
        <f t="shared" si="8"/>
        <v>89169.141999999993</v>
      </c>
      <c r="I308" s="14">
        <f t="shared" si="9"/>
        <v>89169.141999999993</v>
      </c>
      <c r="J308" s="8" t="s">
        <v>157</v>
      </c>
      <c r="K308" s="8" t="s">
        <v>512</v>
      </c>
      <c r="M308" s="512"/>
      <c r="N308" s="315"/>
    </row>
    <row r="309" spans="1:14" s="9" customFormat="1" ht="11.25" customHeight="1" x14ac:dyDescent="0.2">
      <c r="A309" s="10">
        <v>62571000</v>
      </c>
      <c r="B309" s="10" t="s">
        <v>376</v>
      </c>
      <c r="C309" s="11">
        <v>0</v>
      </c>
      <c r="D309" s="11">
        <v>10223.376</v>
      </c>
      <c r="E309" s="11">
        <v>0</v>
      </c>
      <c r="F309" s="13">
        <f>SUMIF('OD 08-24'!A:A,A309,'OD 08-24'!D:D)</f>
        <v>0</v>
      </c>
      <c r="G309" s="13">
        <f>SUMIF('OD 08-24'!A:A,A309,'OD 08-24'!E:E)</f>
        <v>0</v>
      </c>
      <c r="H309" s="14">
        <f t="shared" si="8"/>
        <v>10223.376</v>
      </c>
      <c r="I309" s="14">
        <f t="shared" si="9"/>
        <v>10223.376</v>
      </c>
      <c r="J309" s="8" t="s">
        <v>157</v>
      </c>
      <c r="K309" s="8" t="s">
        <v>512</v>
      </c>
      <c r="M309" s="512"/>
      <c r="N309" s="315"/>
    </row>
    <row r="310" spans="1:14" s="9" customFormat="1" ht="11.25" customHeight="1" x14ac:dyDescent="0.2">
      <c r="A310" s="10">
        <v>62572000</v>
      </c>
      <c r="B310" s="10" t="s">
        <v>377</v>
      </c>
      <c r="C310" s="11">
        <v>0</v>
      </c>
      <c r="D310" s="11">
        <v>18415.07</v>
      </c>
      <c r="E310" s="11">
        <v>0</v>
      </c>
      <c r="F310" s="13">
        <f>SUMIF('OD 08-24'!A:A,A310,'OD 08-24'!D:D)</f>
        <v>0</v>
      </c>
      <c r="G310" s="13">
        <f>SUMIF('OD 08-24'!A:A,A310,'OD 08-24'!E:E)</f>
        <v>0</v>
      </c>
      <c r="H310" s="14">
        <f t="shared" si="8"/>
        <v>18415.07</v>
      </c>
      <c r="I310" s="14">
        <f t="shared" si="9"/>
        <v>18415.07</v>
      </c>
      <c r="J310" s="8" t="s">
        <v>157</v>
      </c>
      <c r="K310" s="8" t="s">
        <v>512</v>
      </c>
      <c r="M310" s="512"/>
      <c r="N310" s="315"/>
    </row>
    <row r="311" spans="1:14" s="9" customFormat="1" ht="11.25" customHeight="1" x14ac:dyDescent="0.2">
      <c r="A311" s="10">
        <v>62573000</v>
      </c>
      <c r="B311" s="10" t="s">
        <v>378</v>
      </c>
      <c r="C311" s="11">
        <v>0</v>
      </c>
      <c r="D311" s="11">
        <v>1386.5840000000001</v>
      </c>
      <c r="E311" s="11">
        <v>0</v>
      </c>
      <c r="F311" s="13">
        <f>SUMIF('OD 08-24'!A:A,A311,'OD 08-24'!D:D)</f>
        <v>0</v>
      </c>
      <c r="G311" s="13">
        <f>SUMIF('OD 08-24'!A:A,A311,'OD 08-24'!E:E)</f>
        <v>0</v>
      </c>
      <c r="H311" s="14">
        <f t="shared" si="8"/>
        <v>1386.5840000000001</v>
      </c>
      <c r="I311" s="14">
        <f t="shared" si="9"/>
        <v>1386.5840000000001</v>
      </c>
      <c r="J311" s="8" t="s">
        <v>157</v>
      </c>
      <c r="K311" s="8" t="s">
        <v>512</v>
      </c>
      <c r="M311" s="512"/>
      <c r="N311" s="315"/>
    </row>
    <row r="312" spans="1:14" s="9" customFormat="1" ht="11.25" customHeight="1" x14ac:dyDescent="0.2">
      <c r="A312" s="10">
        <v>62580000</v>
      </c>
      <c r="B312" s="10" t="s">
        <v>187</v>
      </c>
      <c r="C312" s="11">
        <v>0</v>
      </c>
      <c r="D312" s="11">
        <v>6148.2550000000001</v>
      </c>
      <c r="E312" s="11">
        <v>0</v>
      </c>
      <c r="F312" s="13">
        <f>SUMIF('OD 08-24'!A:A,A312,'OD 08-24'!D:D)</f>
        <v>0</v>
      </c>
      <c r="G312" s="13">
        <f>SUMIF('OD 08-24'!A:A,A312,'OD 08-24'!E:E)</f>
        <v>0</v>
      </c>
      <c r="H312" s="14">
        <f t="shared" si="8"/>
        <v>6148.2550000000001</v>
      </c>
      <c r="I312" s="14">
        <f t="shared" si="9"/>
        <v>6148.2550000000001</v>
      </c>
      <c r="J312" s="8" t="s">
        <v>157</v>
      </c>
      <c r="K312" s="8" t="s">
        <v>512</v>
      </c>
      <c r="M312" s="512"/>
      <c r="N312" s="315"/>
    </row>
    <row r="313" spans="1:14" s="9" customFormat="1" ht="11.25" customHeight="1" x14ac:dyDescent="0.2">
      <c r="A313" s="10">
        <v>62600000</v>
      </c>
      <c r="B313" s="10" t="s">
        <v>188</v>
      </c>
      <c r="C313" s="11">
        <v>0</v>
      </c>
      <c r="D313" s="11">
        <v>28241.759999999998</v>
      </c>
      <c r="E313" s="11">
        <v>0</v>
      </c>
      <c r="F313" s="13">
        <f>SUMIF('OD 08-24'!A:A,A313,'OD 08-24'!D:D)</f>
        <v>14123.816000000001</v>
      </c>
      <c r="G313" s="13">
        <f>SUMIF('OD 08-24'!A:A,A313,'OD 08-24'!E:E)</f>
        <v>13128</v>
      </c>
      <c r="H313" s="14">
        <f t="shared" si="8"/>
        <v>29237.576000000001</v>
      </c>
      <c r="I313" s="14">
        <f t="shared" si="9"/>
        <v>29237.576000000001</v>
      </c>
      <c r="J313" s="8" t="s">
        <v>157</v>
      </c>
      <c r="K313" s="8" t="s">
        <v>512</v>
      </c>
      <c r="M313" s="512"/>
      <c r="N313" s="315"/>
    </row>
    <row r="314" spans="1:14" s="9" customFormat="1" ht="11.25" customHeight="1" x14ac:dyDescent="0.2">
      <c r="A314" s="10">
        <v>62780000</v>
      </c>
      <c r="B314" s="10" t="s">
        <v>189</v>
      </c>
      <c r="C314" s="11">
        <v>0</v>
      </c>
      <c r="D314" s="11">
        <v>152430.231</v>
      </c>
      <c r="E314" s="11">
        <v>250.798</v>
      </c>
      <c r="F314" s="13">
        <f>SUMIF('OD 08-24'!A:A,A314,'OD 08-24'!D:D)</f>
        <v>145294.40900000001</v>
      </c>
      <c r="G314" s="13">
        <f>SUMIF('OD 08-24'!A:A,A314,'OD 08-24'!E:E)</f>
        <v>129665.60799999999</v>
      </c>
      <c r="H314" s="14">
        <f t="shared" si="8"/>
        <v>167808.234</v>
      </c>
      <c r="I314" s="14">
        <f t="shared" si="9"/>
        <v>167808.234</v>
      </c>
      <c r="J314" s="8" t="s">
        <v>195</v>
      </c>
      <c r="K314" s="8" t="s">
        <v>517</v>
      </c>
      <c r="M314" s="512"/>
      <c r="N314" s="315"/>
    </row>
    <row r="315" spans="1:14" s="9" customFormat="1" ht="11.25" customHeight="1" x14ac:dyDescent="0.2">
      <c r="A315" s="10">
        <v>63300000</v>
      </c>
      <c r="B315" s="10" t="s">
        <v>269</v>
      </c>
      <c r="C315" s="11">
        <v>0</v>
      </c>
      <c r="D315" s="11">
        <v>0</v>
      </c>
      <c r="E315" s="11">
        <v>0</v>
      </c>
      <c r="F315" s="13">
        <f>SUMIF('OD 08-24'!A:A,A315,'OD 08-24'!D:D)</f>
        <v>375000.00099999999</v>
      </c>
      <c r="G315" s="13">
        <f>SUMIF('OD 08-24'!A:A,A315,'OD 08-24'!E:E)</f>
        <v>291666.66800000001</v>
      </c>
      <c r="H315" s="14">
        <f>+D315+F315-E315-G315</f>
        <v>83333.332999999984</v>
      </c>
      <c r="I315" s="14">
        <f>+H315+C315</f>
        <v>83333.332999999984</v>
      </c>
      <c r="J315" s="8" t="s">
        <v>157</v>
      </c>
      <c r="K315" s="8" t="s">
        <v>512</v>
      </c>
      <c r="M315" s="512"/>
      <c r="N315" s="315"/>
    </row>
    <row r="316" spans="1:14" s="9" customFormat="1" ht="11.25" customHeight="1" x14ac:dyDescent="0.2">
      <c r="A316" s="10">
        <v>63601000</v>
      </c>
      <c r="B316" s="10" t="s">
        <v>7572</v>
      </c>
      <c r="C316" s="11">
        <v>0</v>
      </c>
      <c r="D316" s="11">
        <v>20878.022000000001</v>
      </c>
      <c r="E316" s="11">
        <v>18454.945</v>
      </c>
      <c r="F316" s="13">
        <f>SUMIF('OD 08-24'!A:A,A316,'OD 08-24'!D:D)</f>
        <v>0</v>
      </c>
      <c r="G316" s="13">
        <f>SUMIF('OD 08-24'!A:A,A316,'OD 08-24'!E:E)</f>
        <v>0</v>
      </c>
      <c r="H316" s="14">
        <f t="shared" si="8"/>
        <v>2423.0770000000011</v>
      </c>
      <c r="I316" s="14">
        <f t="shared" si="9"/>
        <v>2423.0770000000011</v>
      </c>
      <c r="J316" s="8" t="s">
        <v>190</v>
      </c>
      <c r="K316" s="8" t="s">
        <v>519</v>
      </c>
      <c r="M316" s="512"/>
      <c r="N316" s="315"/>
    </row>
    <row r="317" spans="1:14" s="9" customFormat="1" ht="11.25" customHeight="1" x14ac:dyDescent="0.2">
      <c r="A317" s="10">
        <v>63602000</v>
      </c>
      <c r="B317" s="10" t="s">
        <v>7573</v>
      </c>
      <c r="C317" s="11">
        <v>0</v>
      </c>
      <c r="D317" s="11">
        <v>51240.887999999999</v>
      </c>
      <c r="E317" s="11">
        <v>31766.782999999996</v>
      </c>
      <c r="F317" s="13">
        <f>SUMIF('OD 08-24'!A:A,A317,'OD 08-24'!D:D)</f>
        <v>0</v>
      </c>
      <c r="G317" s="13">
        <f>SUMIF('OD 08-24'!A:A,A317,'OD 08-24'!E:E)</f>
        <v>0</v>
      </c>
      <c r="H317" s="14">
        <f t="shared" si="8"/>
        <v>19474.105000000003</v>
      </c>
      <c r="I317" s="14">
        <f t="shared" si="9"/>
        <v>19474.105000000003</v>
      </c>
      <c r="J317" s="8" t="s">
        <v>7715</v>
      </c>
      <c r="K317" s="8" t="s">
        <v>7716</v>
      </c>
      <c r="M317" s="512"/>
      <c r="N317" s="315"/>
    </row>
    <row r="318" spans="1:14" s="9" customFormat="1" ht="11.25" customHeight="1" x14ac:dyDescent="0.2">
      <c r="A318" s="10">
        <v>63610000</v>
      </c>
      <c r="B318" s="10" t="s">
        <v>7398</v>
      </c>
      <c r="C318" s="11">
        <v>0</v>
      </c>
      <c r="D318" s="11">
        <v>6480.0480000000007</v>
      </c>
      <c r="E318" s="11">
        <v>300</v>
      </c>
      <c r="F318" s="13">
        <f>SUMIF('OD 08-24'!A:A,A318,'OD 08-24'!D:D)</f>
        <v>0</v>
      </c>
      <c r="G318" s="13">
        <f>SUMIF('OD 08-24'!A:A,A318,'OD 08-24'!E:E)</f>
        <v>0</v>
      </c>
      <c r="H318" s="14">
        <f t="shared" si="8"/>
        <v>6180.0480000000007</v>
      </c>
      <c r="I318" s="14">
        <f t="shared" si="9"/>
        <v>6180.0480000000007</v>
      </c>
      <c r="J318" s="8" t="s">
        <v>190</v>
      </c>
      <c r="K318" s="8" t="s">
        <v>519</v>
      </c>
      <c r="M318" s="512"/>
      <c r="N318" s="315"/>
    </row>
    <row r="319" spans="1:14" s="9" customFormat="1" ht="11.25" customHeight="1" x14ac:dyDescent="0.2">
      <c r="A319" s="10">
        <v>64001000</v>
      </c>
      <c r="B319" s="10" t="s">
        <v>191</v>
      </c>
      <c r="C319" s="11">
        <v>0</v>
      </c>
      <c r="D319" s="11">
        <v>3143139.3050000002</v>
      </c>
      <c r="E319" s="11">
        <v>295302.24800000002</v>
      </c>
      <c r="F319" s="13">
        <f>SUMIF('OD 08-24'!A:A,A319,'OD 08-24'!D:D)</f>
        <v>413518.88400000002</v>
      </c>
      <c r="G319" s="13">
        <f>SUMIF('OD 08-24'!A:A,A319,'OD 08-24'!E:E)</f>
        <v>413518.88400000002</v>
      </c>
      <c r="H319" s="14">
        <f t="shared" si="8"/>
        <v>2847837.057</v>
      </c>
      <c r="I319" s="14">
        <f t="shared" si="9"/>
        <v>2847837.057</v>
      </c>
      <c r="J319" s="8" t="s">
        <v>192</v>
      </c>
      <c r="K319" s="8" t="s">
        <v>511</v>
      </c>
      <c r="M319" s="512"/>
      <c r="N319" s="315"/>
    </row>
    <row r="320" spans="1:14" s="9" customFormat="1" ht="11.25" customHeight="1" x14ac:dyDescent="0.2">
      <c r="A320" s="10">
        <v>64001100</v>
      </c>
      <c r="B320" s="10" t="s">
        <v>408</v>
      </c>
      <c r="C320" s="11">
        <v>0</v>
      </c>
      <c r="D320" s="11">
        <v>0</v>
      </c>
      <c r="E320" s="11">
        <v>0</v>
      </c>
      <c r="F320" s="13">
        <f>SUMIF('OD 08-24'!A:A,A320,'OD 08-24'!D:D)</f>
        <v>900000</v>
      </c>
      <c r="G320" s="13">
        <f>SUMIF('OD 08-24'!A:A,A320,'OD 08-24'!E:E)</f>
        <v>700000</v>
      </c>
      <c r="H320" s="14">
        <f t="shared" si="8"/>
        <v>200000</v>
      </c>
      <c r="I320" s="14">
        <f t="shared" si="9"/>
        <v>200000</v>
      </c>
      <c r="J320" s="8" t="s">
        <v>192</v>
      </c>
      <c r="K320" s="8" t="s">
        <v>511</v>
      </c>
      <c r="M320" s="512"/>
      <c r="N320" s="315"/>
    </row>
    <row r="321" spans="1:14" s="9" customFormat="1" ht="11.25" customHeight="1" x14ac:dyDescent="0.2">
      <c r="A321" s="10">
        <v>64020000</v>
      </c>
      <c r="B321" s="10" t="s">
        <v>406</v>
      </c>
      <c r="C321" s="11">
        <v>0</v>
      </c>
      <c r="D321" s="11">
        <v>0</v>
      </c>
      <c r="E321" s="11">
        <v>0</v>
      </c>
      <c r="F321" s="13">
        <f>SUMIF('OD 08-24'!A:A,A321,'OD 08-24'!D:D)</f>
        <v>1257168.601</v>
      </c>
      <c r="G321" s="13">
        <f>SUMIF('OD 08-24'!A:A,A321,'OD 08-24'!E:E)</f>
        <v>988699.29299999995</v>
      </c>
      <c r="H321" s="14">
        <f t="shared" si="8"/>
        <v>268469.30800000008</v>
      </c>
      <c r="I321" s="14">
        <f t="shared" si="9"/>
        <v>268469.30800000008</v>
      </c>
      <c r="J321" s="8" t="s">
        <v>192</v>
      </c>
      <c r="K321" s="8" t="s">
        <v>511</v>
      </c>
      <c r="M321" s="512"/>
      <c r="N321" s="315"/>
    </row>
    <row r="322" spans="1:14" s="9" customFormat="1" ht="11.25" customHeight="1" x14ac:dyDescent="0.2">
      <c r="A322" s="10">
        <v>64280000</v>
      </c>
      <c r="B322" s="10" t="s">
        <v>193</v>
      </c>
      <c r="C322" s="11">
        <v>0</v>
      </c>
      <c r="D322" s="11">
        <v>39080</v>
      </c>
      <c r="E322" s="11">
        <v>39080</v>
      </c>
      <c r="F322" s="13">
        <f>SUMIF('OD 08-24'!A:A,A322,'OD 08-24'!D:D)</f>
        <v>0</v>
      </c>
      <c r="G322" s="13">
        <f>SUMIF('OD 08-24'!A:A,A322,'OD 08-24'!E:E)</f>
        <v>0</v>
      </c>
      <c r="H322" s="14">
        <f t="shared" si="8"/>
        <v>0</v>
      </c>
      <c r="I322" s="14">
        <f t="shared" si="9"/>
        <v>0</v>
      </c>
      <c r="J322" s="8" t="s">
        <v>192</v>
      </c>
      <c r="K322" s="8" t="s">
        <v>511</v>
      </c>
      <c r="M322" s="512"/>
      <c r="N322" s="315"/>
    </row>
    <row r="323" spans="1:14" s="9" customFormat="1" ht="11.25" customHeight="1" x14ac:dyDescent="0.2">
      <c r="A323" s="10">
        <v>64600100</v>
      </c>
      <c r="B323" s="10" t="s">
        <v>407</v>
      </c>
      <c r="C323" s="11">
        <v>0</v>
      </c>
      <c r="D323" s="11">
        <v>1686.6510000000003</v>
      </c>
      <c r="E323" s="11">
        <v>247618.065</v>
      </c>
      <c r="F323" s="13">
        <f>SUMIF('OD 08-24'!A:A,A323,'OD 08-24'!D:D)</f>
        <v>2804487.4890000001</v>
      </c>
      <c r="G323" s="13">
        <f>SUMIF('OD 08-24'!A:A,A323,'OD 08-24'!E:E)</f>
        <v>2560652.4890000001</v>
      </c>
      <c r="H323" s="14">
        <f t="shared" si="8"/>
        <v>-2096.4139999998733</v>
      </c>
      <c r="I323" s="14">
        <f t="shared" si="9"/>
        <v>-2096.4139999998733</v>
      </c>
      <c r="J323" s="8" t="s">
        <v>192</v>
      </c>
      <c r="K323" s="8" t="s">
        <v>511</v>
      </c>
      <c r="M323" s="512"/>
      <c r="N323" s="315"/>
    </row>
    <row r="324" spans="1:14" s="9" customFormat="1" ht="11.25" customHeight="1" x14ac:dyDescent="0.2">
      <c r="A324" s="10">
        <v>64603000</v>
      </c>
      <c r="B324" s="10" t="s">
        <v>7404</v>
      </c>
      <c r="C324" s="11">
        <v>0</v>
      </c>
      <c r="D324" s="11">
        <v>21363.25</v>
      </c>
      <c r="E324" s="11">
        <v>0</v>
      </c>
      <c r="F324" s="13">
        <f>SUMIF('OD 08-24'!A:A,A324,'OD 08-24'!D:D)</f>
        <v>3192</v>
      </c>
      <c r="G324" s="13">
        <f>SUMIF('OD 08-24'!A:A,A324,'OD 08-24'!E:E)</f>
        <v>3192</v>
      </c>
      <c r="H324" s="14">
        <f t="shared" si="8"/>
        <v>21363.25</v>
      </c>
      <c r="I324" s="14">
        <f t="shared" si="9"/>
        <v>21363.25</v>
      </c>
      <c r="J324" s="8" t="s">
        <v>192</v>
      </c>
      <c r="K324" s="8" t="s">
        <v>511</v>
      </c>
      <c r="M324" s="512"/>
      <c r="N324" s="315"/>
    </row>
    <row r="325" spans="1:14" s="9" customFormat="1" ht="11.25" customHeight="1" x14ac:dyDescent="0.2">
      <c r="A325" s="10">
        <v>64720000</v>
      </c>
      <c r="B325" s="10" t="s">
        <v>194</v>
      </c>
      <c r="C325" s="11">
        <v>0</v>
      </c>
      <c r="D325" s="11">
        <v>242801.7</v>
      </c>
      <c r="E325" s="11">
        <v>21778.701000000001</v>
      </c>
      <c r="F325" s="13">
        <f>SUMIF('OD 08-24'!A:A,A325,'OD 08-24'!D:D)</f>
        <v>614080.12100000004</v>
      </c>
      <c r="G325" s="13">
        <f>SUMIF('OD 08-24'!A:A,A325,'OD 08-24'!E:E)</f>
        <v>539308.98699999996</v>
      </c>
      <c r="H325" s="14">
        <f t="shared" si="8"/>
        <v>295794.13300000003</v>
      </c>
      <c r="I325" s="14">
        <f t="shared" si="9"/>
        <v>295794.13300000003</v>
      </c>
      <c r="J325" s="8" t="s">
        <v>192</v>
      </c>
      <c r="K325" s="8" t="s">
        <v>511</v>
      </c>
      <c r="M325" s="512"/>
      <c r="N325" s="315"/>
    </row>
    <row r="326" spans="1:14" s="9" customFormat="1" ht="11.25" customHeight="1" x14ac:dyDescent="0.2">
      <c r="A326" s="10">
        <v>65110000</v>
      </c>
      <c r="B326" s="10" t="s">
        <v>385</v>
      </c>
      <c r="C326" s="11">
        <v>0</v>
      </c>
      <c r="D326" s="11">
        <v>198884.58899999998</v>
      </c>
      <c r="E326" s="11">
        <v>84401.901999999987</v>
      </c>
      <c r="F326" s="13">
        <f>SUMIF('OD 08-24'!A:A,A326,'OD 08-24'!D:D)</f>
        <v>83574.653000000006</v>
      </c>
      <c r="G326" s="13">
        <f>SUMIF('OD 08-24'!A:A,A326,'OD 08-24'!E:E)</f>
        <v>52845.873</v>
      </c>
      <c r="H326" s="14">
        <f t="shared" si="8"/>
        <v>145211.46699999998</v>
      </c>
      <c r="I326" s="14">
        <f t="shared" si="9"/>
        <v>145211.46699999998</v>
      </c>
      <c r="J326" s="8" t="s">
        <v>195</v>
      </c>
      <c r="K326" s="8" t="s">
        <v>517</v>
      </c>
      <c r="M326" s="512"/>
      <c r="N326" s="315"/>
    </row>
    <row r="327" spans="1:14" s="9" customFormat="1" ht="11.25" customHeight="1" x14ac:dyDescent="0.2">
      <c r="A327" s="10">
        <v>65110200</v>
      </c>
      <c r="B327" s="10" t="s">
        <v>196</v>
      </c>
      <c r="C327" s="11">
        <v>0</v>
      </c>
      <c r="D327" s="11">
        <v>294958.07399999996</v>
      </c>
      <c r="E327" s="11">
        <v>0</v>
      </c>
      <c r="F327" s="13">
        <f>SUMIF('OD 08-24'!A:A,A327,'OD 08-24'!D:D)</f>
        <v>343265.1</v>
      </c>
      <c r="G327" s="13">
        <f>SUMIF('OD 08-24'!A:A,A327,'OD 08-24'!E:E)</f>
        <v>346916.96799999999</v>
      </c>
      <c r="H327" s="14">
        <f t="shared" si="8"/>
        <v>291306.20599999989</v>
      </c>
      <c r="I327" s="14">
        <f t="shared" si="9"/>
        <v>291306.20599999989</v>
      </c>
      <c r="J327" s="8" t="s">
        <v>195</v>
      </c>
      <c r="K327" s="8" t="s">
        <v>517</v>
      </c>
      <c r="M327" s="512"/>
      <c r="N327" s="315"/>
    </row>
    <row r="328" spans="1:14" s="9" customFormat="1" ht="11.25" customHeight="1" x14ac:dyDescent="0.2">
      <c r="A328" s="10">
        <v>65110400</v>
      </c>
      <c r="B328" s="10" t="s">
        <v>197</v>
      </c>
      <c r="C328" s="11">
        <v>0</v>
      </c>
      <c r="D328" s="11">
        <v>453009.33299999998</v>
      </c>
      <c r="E328" s="11">
        <v>0</v>
      </c>
      <c r="F328" s="13">
        <f>SUMIF('OD 08-24'!A:A,A328,'OD 08-24'!D:D)</f>
        <v>527247.54500000004</v>
      </c>
      <c r="G328" s="13">
        <f>SUMIF('OD 08-24'!A:A,A328,'OD 08-24'!E:E)</f>
        <v>532853.09400000004</v>
      </c>
      <c r="H328" s="14">
        <f t="shared" si="8"/>
        <v>447403.78399999999</v>
      </c>
      <c r="I328" s="14">
        <f t="shared" si="9"/>
        <v>447403.78399999999</v>
      </c>
      <c r="J328" s="8" t="s">
        <v>195</v>
      </c>
      <c r="K328" s="8" t="s">
        <v>517</v>
      </c>
      <c r="M328" s="512"/>
      <c r="N328" s="315"/>
    </row>
    <row r="329" spans="1:14" s="9" customFormat="1" ht="11.25" customHeight="1" x14ac:dyDescent="0.2">
      <c r="A329" s="10">
        <v>65115000</v>
      </c>
      <c r="B329" s="10" t="s">
        <v>379</v>
      </c>
      <c r="C329" s="11">
        <v>0</v>
      </c>
      <c r="D329" s="11">
        <v>50946.786</v>
      </c>
      <c r="E329" s="11">
        <v>2060.0309999999999</v>
      </c>
      <c r="F329" s="13">
        <f>SUMIF('OD 08-24'!A:A,A329,'OD 08-24'!D:D)</f>
        <v>0</v>
      </c>
      <c r="G329" s="13">
        <f>SUMIF('OD 08-24'!A:A,A329,'OD 08-24'!E:E)</f>
        <v>0</v>
      </c>
      <c r="H329" s="14">
        <f t="shared" ref="H329:H357" si="10">+D329+F329-E329-G329</f>
        <v>48886.754999999997</v>
      </c>
      <c r="I329" s="14">
        <f t="shared" ref="I329:I357" si="11">+H329+C329</f>
        <v>48886.754999999997</v>
      </c>
      <c r="J329" s="8" t="s">
        <v>195</v>
      </c>
      <c r="K329" s="8" t="s">
        <v>517</v>
      </c>
      <c r="M329" s="512"/>
      <c r="N329" s="315"/>
    </row>
    <row r="330" spans="1:14" s="9" customFormat="1" ht="11.25" customHeight="1" x14ac:dyDescent="0.2">
      <c r="A330" s="10">
        <v>65150000</v>
      </c>
      <c r="B330" s="10" t="s">
        <v>270</v>
      </c>
      <c r="C330" s="11">
        <v>0</v>
      </c>
      <c r="D330" s="11">
        <v>0</v>
      </c>
      <c r="E330" s="11">
        <v>0</v>
      </c>
      <c r="F330" s="13">
        <f>SUMIF('OD 08-24'!A:A,A330,'OD 08-24'!D:D)</f>
        <v>100627.946</v>
      </c>
      <c r="G330" s="13">
        <f>SUMIF('OD 08-24'!A:A,A330,'OD 08-24'!E:E)</f>
        <v>79798.357000000004</v>
      </c>
      <c r="H330" s="14">
        <f t="shared" si="10"/>
        <v>20829.588999999993</v>
      </c>
      <c r="I330" s="14">
        <f t="shared" si="11"/>
        <v>20829.588999999993</v>
      </c>
      <c r="J330" s="8" t="s">
        <v>195</v>
      </c>
      <c r="K330" s="8" t="s">
        <v>517</v>
      </c>
      <c r="M330" s="512"/>
      <c r="N330" s="315"/>
    </row>
    <row r="331" spans="1:14" s="9" customFormat="1" ht="11.25" customHeight="1" x14ac:dyDescent="0.2">
      <c r="A331" s="10">
        <v>65190000</v>
      </c>
      <c r="B331" s="10" t="s">
        <v>198</v>
      </c>
      <c r="C331" s="11">
        <v>0</v>
      </c>
      <c r="D331" s="11">
        <v>183411.247</v>
      </c>
      <c r="E331" s="11">
        <v>0</v>
      </c>
      <c r="F331" s="13">
        <f>SUMIF('OD 08-24'!A:A,A331,'OD 08-24'!D:D)</f>
        <v>536570.90500000003</v>
      </c>
      <c r="G331" s="13">
        <f>SUMIF('OD 08-24'!A:A,A331,'OD 08-24'!E:E)</f>
        <v>474428.36800000002</v>
      </c>
      <c r="H331" s="14">
        <f t="shared" si="10"/>
        <v>245553.78399999999</v>
      </c>
      <c r="I331" s="14">
        <f t="shared" si="11"/>
        <v>245553.78399999999</v>
      </c>
      <c r="J331" s="8" t="s">
        <v>195</v>
      </c>
      <c r="K331" s="8" t="s">
        <v>517</v>
      </c>
      <c r="M331" s="512"/>
      <c r="N331" s="315"/>
    </row>
    <row r="332" spans="1:14" s="9" customFormat="1" ht="11.25" customHeight="1" x14ac:dyDescent="0.2">
      <c r="A332" s="10">
        <v>65500000</v>
      </c>
      <c r="B332" s="10" t="s">
        <v>400</v>
      </c>
      <c r="C332" s="11">
        <v>0</v>
      </c>
      <c r="D332" s="11">
        <v>19683.219000000001</v>
      </c>
      <c r="E332" s="11">
        <v>15431.621999999999</v>
      </c>
      <c r="F332" s="13">
        <f>SUMIF('OD 08-24'!A:A,A332,'OD 08-24'!D:D)</f>
        <v>132020.7524</v>
      </c>
      <c r="G332" s="13">
        <f>SUMIF('OD 08-24'!A:A,A332,'OD 08-24'!E:E)</f>
        <v>79865.165399999998</v>
      </c>
      <c r="H332" s="14">
        <f t="shared" si="10"/>
        <v>56407.184000000008</v>
      </c>
      <c r="I332" s="14">
        <f t="shared" si="11"/>
        <v>56407.184000000008</v>
      </c>
      <c r="J332" s="8" t="s">
        <v>195</v>
      </c>
      <c r="K332" s="8" t="s">
        <v>517</v>
      </c>
      <c r="M332" s="512"/>
      <c r="N332" s="315"/>
    </row>
    <row r="333" spans="1:14" s="9" customFormat="1" ht="11.25" customHeight="1" x14ac:dyDescent="0.2">
      <c r="A333" s="10">
        <v>66500000</v>
      </c>
      <c r="B333" s="536" t="s">
        <v>8974</v>
      </c>
      <c r="C333" s="11">
        <v>0</v>
      </c>
      <c r="D333" s="11">
        <v>0</v>
      </c>
      <c r="E333" s="11">
        <v>0</v>
      </c>
      <c r="F333" s="13">
        <f>SUMIF('OD 08-24'!A:A,A333,'OD 08-24'!D:D)</f>
        <v>0</v>
      </c>
      <c r="G333" s="13">
        <f>SUMIF('OD 08-24'!A:A,A333,'OD 08-24'!E:E)</f>
        <v>0</v>
      </c>
      <c r="H333" s="14">
        <f t="shared" si="10"/>
        <v>0</v>
      </c>
      <c r="I333" s="14">
        <f t="shared" si="11"/>
        <v>0</v>
      </c>
      <c r="J333" s="8" t="s">
        <v>157</v>
      </c>
      <c r="K333" s="8" t="s">
        <v>512</v>
      </c>
      <c r="M333" s="512"/>
      <c r="N333" s="315"/>
    </row>
    <row r="334" spans="1:14" s="9" customFormat="1" ht="11.25" customHeight="1" x14ac:dyDescent="0.2">
      <c r="A334" s="10">
        <v>66520000</v>
      </c>
      <c r="B334" s="10" t="s">
        <v>200</v>
      </c>
      <c r="C334" s="11">
        <v>0</v>
      </c>
      <c r="D334" s="11">
        <v>70806.474000000002</v>
      </c>
      <c r="E334" s="11">
        <v>0</v>
      </c>
      <c r="F334" s="13">
        <f>SUMIF('OD 08-24'!A:A,A334,'OD 08-24'!D:D)</f>
        <v>78851.869000000006</v>
      </c>
      <c r="G334" s="13">
        <f>SUMIF('OD 08-24'!A:A,A334,'OD 08-24'!E:E)</f>
        <v>67260.845000000001</v>
      </c>
      <c r="H334" s="14">
        <f t="shared" si="10"/>
        <v>82397.497999999992</v>
      </c>
      <c r="I334" s="14">
        <f t="shared" si="11"/>
        <v>82397.497999999992</v>
      </c>
      <c r="J334" s="8" t="s">
        <v>157</v>
      </c>
      <c r="K334" s="8" t="s">
        <v>512</v>
      </c>
      <c r="M334" s="512"/>
      <c r="N334" s="315"/>
    </row>
    <row r="335" spans="1:14" s="9" customFormat="1" ht="11.25" customHeight="1" x14ac:dyDescent="0.2">
      <c r="A335" s="10">
        <v>66540000</v>
      </c>
      <c r="B335" s="10" t="s">
        <v>201</v>
      </c>
      <c r="C335" s="11">
        <v>0</v>
      </c>
      <c r="D335" s="11">
        <v>10545.421</v>
      </c>
      <c r="E335" s="11">
        <v>24</v>
      </c>
      <c r="F335" s="13">
        <f>SUMIF('OD 08-24'!A:A,A335,'OD 08-24'!D:D)</f>
        <v>0</v>
      </c>
      <c r="G335" s="13">
        <f>SUMIF('OD 08-24'!A:A,A335,'OD 08-24'!E:E)</f>
        <v>0</v>
      </c>
      <c r="H335" s="14">
        <f t="shared" si="10"/>
        <v>10521.421</v>
      </c>
      <c r="I335" s="14">
        <f t="shared" si="11"/>
        <v>10521.421</v>
      </c>
      <c r="J335" s="8" t="s">
        <v>157</v>
      </c>
      <c r="K335" s="8" t="s">
        <v>512</v>
      </c>
      <c r="M335" s="512"/>
      <c r="N335" s="315"/>
    </row>
    <row r="336" spans="1:14" s="9" customFormat="1" ht="11.25" customHeight="1" x14ac:dyDescent="0.2">
      <c r="A336" s="10">
        <v>66550000</v>
      </c>
      <c r="B336" s="10" t="s">
        <v>202</v>
      </c>
      <c r="C336" s="11">
        <v>0</v>
      </c>
      <c r="D336" s="11">
        <v>15025.692999999999</v>
      </c>
      <c r="E336" s="11">
        <v>0</v>
      </c>
      <c r="F336" s="13">
        <f>SUMIF('OD 08-24'!A:A,A336,'OD 08-24'!D:D)</f>
        <v>32400</v>
      </c>
      <c r="G336" s="13">
        <f>SUMIF('OD 08-24'!A:A,A336,'OD 08-24'!E:E)</f>
        <v>25200</v>
      </c>
      <c r="H336" s="14">
        <f t="shared" si="10"/>
        <v>22225.692999999999</v>
      </c>
      <c r="I336" s="14">
        <f t="shared" si="11"/>
        <v>22225.692999999999</v>
      </c>
      <c r="J336" s="8" t="s">
        <v>157</v>
      </c>
      <c r="K336" s="8" t="s">
        <v>512</v>
      </c>
      <c r="M336" s="512"/>
      <c r="N336" s="315"/>
    </row>
    <row r="337" spans="1:14" s="9" customFormat="1" ht="11.25" customHeight="1" x14ac:dyDescent="0.2">
      <c r="A337" s="10">
        <v>68112000</v>
      </c>
      <c r="B337" s="10" t="s">
        <v>271</v>
      </c>
      <c r="C337" s="11">
        <v>0</v>
      </c>
      <c r="D337" s="11">
        <v>0</v>
      </c>
      <c r="E337" s="11">
        <v>0</v>
      </c>
      <c r="F337" s="13">
        <f>SUMIF('OD 08-24'!A:A,A337,'OD 08-24'!D:D)</f>
        <v>8503323.7640000004</v>
      </c>
      <c r="G337" s="13">
        <f>SUMIF('OD 08-24'!A:A,A337,'OD 08-24'!E:E)</f>
        <v>6587691.4419999998</v>
      </c>
      <c r="H337" s="14">
        <f t="shared" si="10"/>
        <v>1915632.3220000006</v>
      </c>
      <c r="I337" s="14">
        <f t="shared" si="11"/>
        <v>1915632.3220000006</v>
      </c>
      <c r="J337" s="8" t="s">
        <v>203</v>
      </c>
      <c r="K337" s="8" t="s">
        <v>7578</v>
      </c>
      <c r="M337" s="512"/>
      <c r="N337" s="315"/>
    </row>
    <row r="338" spans="1:14" s="9" customFormat="1" ht="11.25" customHeight="1" x14ac:dyDescent="0.2">
      <c r="A338" s="10">
        <v>68150000</v>
      </c>
      <c r="B338" s="10" t="s">
        <v>9481</v>
      </c>
      <c r="C338" s="11">
        <v>0</v>
      </c>
      <c r="D338" s="11">
        <v>0</v>
      </c>
      <c r="E338" s="11">
        <v>0</v>
      </c>
      <c r="F338" s="13">
        <f>SUMIF('OD 08-24'!A:A,A338,'OD 08-24'!D:D)</f>
        <v>120000</v>
      </c>
      <c r="G338" s="13">
        <f>SUMIF('OD 08-24'!A:A,A338,'OD 08-24'!E:E)</f>
        <v>60000</v>
      </c>
      <c r="H338" s="14">
        <f t="shared" si="10"/>
        <v>60000</v>
      </c>
      <c r="I338" s="14">
        <f t="shared" si="11"/>
        <v>60000</v>
      </c>
      <c r="J338" s="8" t="s">
        <v>7715</v>
      </c>
      <c r="K338" s="8" t="s">
        <v>7716</v>
      </c>
      <c r="M338" s="512"/>
      <c r="N338" s="315"/>
    </row>
    <row r="339" spans="1:14" s="9" customFormat="1" ht="11.25" customHeight="1" x14ac:dyDescent="0.2">
      <c r="A339" s="10">
        <v>68170000</v>
      </c>
      <c r="B339" s="10" t="s">
        <v>7577</v>
      </c>
      <c r="C339" s="11">
        <v>0</v>
      </c>
      <c r="D339" s="11">
        <v>0</v>
      </c>
      <c r="E339" s="11">
        <v>0</v>
      </c>
      <c r="F339" s="13">
        <f>SUMIF('OD 08-24'!A:A,A339,'OD 08-24'!D:D)</f>
        <v>1850000</v>
      </c>
      <c r="G339" s="13">
        <f>SUMIF('OD 08-24'!A:A,A339,'OD 08-24'!E:E)</f>
        <v>1375000</v>
      </c>
      <c r="H339" s="14">
        <f t="shared" si="10"/>
        <v>475000</v>
      </c>
      <c r="I339" s="14">
        <f t="shared" si="11"/>
        <v>475000</v>
      </c>
      <c r="J339" s="8" t="s">
        <v>7715</v>
      </c>
      <c r="K339" s="8" t="s">
        <v>7716</v>
      </c>
      <c r="M339" s="512"/>
      <c r="N339" s="315"/>
    </row>
    <row r="340" spans="1:14" s="9" customFormat="1" ht="11.25" customHeight="1" x14ac:dyDescent="0.2">
      <c r="A340" s="10">
        <v>68180000</v>
      </c>
      <c r="B340" s="10" t="s">
        <v>8976</v>
      </c>
      <c r="C340" s="11">
        <v>0</v>
      </c>
      <c r="D340" s="11">
        <v>0</v>
      </c>
      <c r="E340" s="11">
        <v>0</v>
      </c>
      <c r="F340" s="13">
        <f>SUMIF('OD 08-24'!A:A,A340,'OD 08-24'!D:D)</f>
        <v>1001215.567</v>
      </c>
      <c r="G340" s="13">
        <f>SUMIF('OD 08-24'!A:A,A340,'OD 08-24'!E:E)</f>
        <v>600000</v>
      </c>
      <c r="H340" s="14">
        <f t="shared" si="10"/>
        <v>401215.56700000004</v>
      </c>
      <c r="I340" s="14">
        <f t="shared" si="11"/>
        <v>401215.56700000004</v>
      </c>
      <c r="J340" s="8" t="s">
        <v>7715</v>
      </c>
      <c r="K340" s="8" t="s">
        <v>7716</v>
      </c>
      <c r="M340" s="512"/>
      <c r="N340" s="315"/>
    </row>
    <row r="341" spans="1:14" s="9" customFormat="1" ht="11.25" customHeight="1" x14ac:dyDescent="0.2">
      <c r="A341" s="10">
        <v>70000000</v>
      </c>
      <c r="B341" s="10" t="s">
        <v>205</v>
      </c>
      <c r="C341" s="11">
        <v>0</v>
      </c>
      <c r="D341" s="11">
        <v>2847610.63</v>
      </c>
      <c r="E341" s="11">
        <v>24802864.005000003</v>
      </c>
      <c r="F341" s="13">
        <f>SUMIF('OD 08-24'!A:A,A341,'OD 08-24'!D:D)</f>
        <v>0</v>
      </c>
      <c r="G341" s="13">
        <f>SUMIF('OD 08-24'!A:A,A341,'OD 08-24'!E:E)</f>
        <v>0</v>
      </c>
      <c r="H341" s="14">
        <f t="shared" si="10"/>
        <v>-21955253.375000004</v>
      </c>
      <c r="I341" s="14">
        <f t="shared" si="11"/>
        <v>-21955253.375000004</v>
      </c>
      <c r="J341" s="8" t="s">
        <v>206</v>
      </c>
      <c r="K341" s="8" t="s">
        <v>505</v>
      </c>
      <c r="M341" s="512"/>
      <c r="N341" s="315"/>
    </row>
    <row r="342" spans="1:14" s="9" customFormat="1" ht="11.25" customHeight="1" x14ac:dyDescent="0.2">
      <c r="A342" s="10">
        <v>70102000</v>
      </c>
      <c r="B342" s="10" t="s">
        <v>207</v>
      </c>
      <c r="C342" s="11">
        <v>0</v>
      </c>
      <c r="D342" s="11">
        <v>211188.95199999999</v>
      </c>
      <c r="E342" s="11">
        <v>26204282.594000001</v>
      </c>
      <c r="F342" s="13">
        <f>SUMIF('OD 08-24'!A:A,A342,'OD 08-24'!D:D)</f>
        <v>3757277.7850000001</v>
      </c>
      <c r="G342" s="13">
        <f>SUMIF('OD 08-24'!A:A,A342,'OD 08-24'!E:E)</f>
        <v>3757277.7850000001</v>
      </c>
      <c r="H342" s="14">
        <f t="shared" si="10"/>
        <v>-25993093.642000001</v>
      </c>
      <c r="I342" s="14">
        <f t="shared" si="11"/>
        <v>-25993093.642000001</v>
      </c>
      <c r="J342" s="8" t="s">
        <v>227</v>
      </c>
      <c r="K342" s="8" t="s">
        <v>504</v>
      </c>
      <c r="M342" s="512"/>
      <c r="N342" s="315"/>
    </row>
    <row r="343" spans="1:14" s="9" customFormat="1" ht="11.25" customHeight="1" x14ac:dyDescent="0.2">
      <c r="A343" s="10">
        <v>70103000</v>
      </c>
      <c r="B343" s="10" t="s">
        <v>380</v>
      </c>
      <c r="C343" s="11">
        <v>0</v>
      </c>
      <c r="D343" s="11">
        <v>0</v>
      </c>
      <c r="E343" s="11">
        <v>4065</v>
      </c>
      <c r="F343" s="13">
        <f>SUMIF('OD 08-24'!A:A,A343,'OD 08-24'!D:D)</f>
        <v>0</v>
      </c>
      <c r="G343" s="13">
        <f>SUMIF('OD 08-24'!A:A,A343,'OD 08-24'!E:E)</f>
        <v>0</v>
      </c>
      <c r="H343" s="14">
        <f t="shared" si="10"/>
        <v>-4065</v>
      </c>
      <c r="I343" s="14">
        <f t="shared" si="11"/>
        <v>-4065</v>
      </c>
      <c r="J343" s="8" t="s">
        <v>206</v>
      </c>
      <c r="K343" s="8" t="s">
        <v>505</v>
      </c>
      <c r="M343" s="512"/>
      <c r="N343" s="315"/>
    </row>
    <row r="344" spans="1:14" s="9" customFormat="1" ht="11.25" customHeight="1" x14ac:dyDescent="0.2">
      <c r="A344" s="10">
        <v>70600000</v>
      </c>
      <c r="B344" s="10" t="s">
        <v>381</v>
      </c>
      <c r="C344" s="11">
        <v>0</v>
      </c>
      <c r="D344" s="11">
        <v>83709.7</v>
      </c>
      <c r="E344" s="11">
        <f>497676.775+3034</f>
        <v>500710.77500000002</v>
      </c>
      <c r="F344" s="13">
        <f>SUMIF('OD 08-24'!A:A,A344,'OD 08-24'!D:D)</f>
        <v>266789.90000000002</v>
      </c>
      <c r="G344" s="13">
        <f>SUMIF('OD 08-24'!A:A,A344,'OD 08-24'!E:E)</f>
        <v>526480.55000000005</v>
      </c>
      <c r="H344" s="14">
        <f t="shared" si="10"/>
        <v>-676691.72500000009</v>
      </c>
      <c r="I344" s="14">
        <f t="shared" si="11"/>
        <v>-676691.72500000009</v>
      </c>
      <c r="J344" s="8" t="s">
        <v>214</v>
      </c>
      <c r="K344" s="8" t="s">
        <v>506</v>
      </c>
      <c r="M344" s="512"/>
      <c r="N344" s="315"/>
    </row>
    <row r="345" spans="1:14" s="9" customFormat="1" ht="11.25" customHeight="1" x14ac:dyDescent="0.2">
      <c r="A345" s="10">
        <v>70600100</v>
      </c>
      <c r="B345" s="10" t="s">
        <v>7574</v>
      </c>
      <c r="C345" s="11">
        <v>0</v>
      </c>
      <c r="D345" s="11">
        <v>0</v>
      </c>
      <c r="E345" s="11">
        <v>4972.8629999999994</v>
      </c>
      <c r="F345" s="13">
        <f>SUMIF('OD 08-24'!A:A,A345,'OD 08-24'!D:D)</f>
        <v>0</v>
      </c>
      <c r="G345" s="13">
        <f>SUMIF('OD 08-24'!A:A,A345,'OD 08-24'!E:E)</f>
        <v>0</v>
      </c>
      <c r="H345" s="14">
        <f t="shared" si="10"/>
        <v>-4972.8629999999994</v>
      </c>
      <c r="I345" s="14">
        <f t="shared" si="11"/>
        <v>-4972.8629999999994</v>
      </c>
      <c r="J345" s="8" t="s">
        <v>214</v>
      </c>
      <c r="K345" s="8" t="s">
        <v>506</v>
      </c>
      <c r="M345" s="512"/>
      <c r="N345" s="315"/>
    </row>
    <row r="346" spans="1:14" s="9" customFormat="1" ht="11.25" customHeight="1" x14ac:dyDescent="0.2">
      <c r="A346" s="10">
        <v>70600500</v>
      </c>
      <c r="B346" s="10" t="s">
        <v>208</v>
      </c>
      <c r="C346" s="11">
        <v>0</v>
      </c>
      <c r="D346" s="11">
        <v>38770.517999999996</v>
      </c>
      <c r="E346" s="11">
        <v>60430.23</v>
      </c>
      <c r="F346" s="13">
        <f>SUMIF('OD 08-24'!A:A,A346,'OD 08-24'!D:D)</f>
        <v>52017.061000000002</v>
      </c>
      <c r="G346" s="13">
        <f>SUMIF('OD 08-24'!A:A,A346,'OD 08-24'!E:E)</f>
        <v>58777.593000000001</v>
      </c>
      <c r="H346" s="14">
        <f t="shared" si="10"/>
        <v>-28420.244000000006</v>
      </c>
      <c r="I346" s="14">
        <f t="shared" si="11"/>
        <v>-28420.244000000006</v>
      </c>
      <c r="J346" s="8" t="s">
        <v>214</v>
      </c>
      <c r="K346" s="8" t="s">
        <v>506</v>
      </c>
      <c r="M346" s="512"/>
      <c r="N346" s="315"/>
    </row>
    <row r="347" spans="1:14" s="9" customFormat="1" ht="11.25" customHeight="1" x14ac:dyDescent="0.2">
      <c r="A347" s="10">
        <v>71340000</v>
      </c>
      <c r="B347" s="10" t="s">
        <v>382</v>
      </c>
      <c r="C347" s="11">
        <v>0</v>
      </c>
      <c r="D347" s="11">
        <v>744393.83599999989</v>
      </c>
      <c r="E347" s="11">
        <v>0</v>
      </c>
      <c r="F347" s="13">
        <f>SUMIF('OD 08-24'!A:A,A347,'OD 08-24'!D:D)</f>
        <v>2233181.5079999999</v>
      </c>
      <c r="G347" s="13">
        <f>SUMIF('OD 08-24'!A:A,A347,'OD 08-24'!E:E)</f>
        <v>2233181.5079999999</v>
      </c>
      <c r="H347" s="14">
        <f t="shared" si="10"/>
        <v>744393.83599999966</v>
      </c>
      <c r="I347" s="14">
        <f t="shared" si="11"/>
        <v>744393.83599999966</v>
      </c>
      <c r="J347" s="8" t="s">
        <v>210</v>
      </c>
      <c r="K347" s="8" t="s">
        <v>508</v>
      </c>
      <c r="M347" s="512"/>
      <c r="N347" s="315"/>
    </row>
    <row r="348" spans="1:14" s="9" customFormat="1" ht="11.25" customHeight="1" x14ac:dyDescent="0.2">
      <c r="A348" s="10">
        <v>71350000</v>
      </c>
      <c r="B348" s="10" t="s">
        <v>209</v>
      </c>
      <c r="C348" s="11">
        <v>0</v>
      </c>
      <c r="D348" s="11">
        <v>5109884.3080000002</v>
      </c>
      <c r="E348" s="11">
        <v>0</v>
      </c>
      <c r="F348" s="13">
        <f>SUMIF('OD 08-24'!A:A,A348,'OD 08-24'!D:D)</f>
        <v>52094377.414800003</v>
      </c>
      <c r="G348" s="13">
        <f>SUMIF('OD 08-24'!A:A,A348,'OD 08-24'!E:E)</f>
        <v>56255617.955399998</v>
      </c>
      <c r="H348" s="14">
        <f t="shared" si="10"/>
        <v>948643.76740000397</v>
      </c>
      <c r="I348" s="14">
        <f t="shared" si="11"/>
        <v>948643.76740000397</v>
      </c>
      <c r="J348" s="8" t="s">
        <v>210</v>
      </c>
      <c r="K348" s="8" t="s">
        <v>508</v>
      </c>
      <c r="M348" s="512"/>
      <c r="N348" s="315"/>
    </row>
    <row r="349" spans="1:14" s="9" customFormat="1" ht="11.25" customHeight="1" x14ac:dyDescent="0.2">
      <c r="A349" s="10">
        <v>73601000</v>
      </c>
      <c r="B349" s="10" t="s">
        <v>211</v>
      </c>
      <c r="C349" s="11">
        <v>0</v>
      </c>
      <c r="D349" s="11">
        <v>5547.0590000000002</v>
      </c>
      <c r="E349" s="11">
        <v>74991.596999999994</v>
      </c>
      <c r="F349" s="13">
        <f>SUMIF('OD 08-24'!A:A,A349,'OD 08-24'!D:D)</f>
        <v>0</v>
      </c>
      <c r="G349" s="13">
        <f>SUMIF('OD 08-24'!A:A,A349,'OD 08-24'!E:E)</f>
        <v>0</v>
      </c>
      <c r="H349" s="14">
        <f t="shared" si="10"/>
        <v>-69444.538</v>
      </c>
      <c r="I349" s="14">
        <f t="shared" si="11"/>
        <v>-69444.538</v>
      </c>
      <c r="J349" s="8" t="s">
        <v>214</v>
      </c>
      <c r="K349" s="8" t="s">
        <v>506</v>
      </c>
      <c r="M349" s="512"/>
      <c r="N349" s="315"/>
    </row>
    <row r="350" spans="1:14" s="9" customFormat="1" ht="11.25" customHeight="1" x14ac:dyDescent="0.2">
      <c r="A350" s="10">
        <v>73602000</v>
      </c>
      <c r="B350" s="10" t="s">
        <v>8975</v>
      </c>
      <c r="C350" s="11">
        <v>0</v>
      </c>
      <c r="D350" s="11">
        <v>0</v>
      </c>
      <c r="E350" s="11">
        <v>186.06799999999998</v>
      </c>
      <c r="F350" s="13">
        <f>SUMIF('OD 08-24'!A:A,A350,'OD 08-24'!D:D)</f>
        <v>0</v>
      </c>
      <c r="G350" s="13">
        <f>SUMIF('OD 08-24'!A:A,A350,'OD 08-24'!E:E)</f>
        <v>0</v>
      </c>
      <c r="H350" s="14">
        <f t="shared" si="10"/>
        <v>-186.06799999999998</v>
      </c>
      <c r="I350" s="14">
        <f t="shared" si="11"/>
        <v>-186.06799999999998</v>
      </c>
      <c r="J350" s="8" t="s">
        <v>214</v>
      </c>
      <c r="K350" s="8" t="s">
        <v>506</v>
      </c>
      <c r="M350" s="512"/>
      <c r="N350" s="315"/>
    </row>
    <row r="351" spans="1:14" s="9" customFormat="1" ht="11.25" customHeight="1" x14ac:dyDescent="0.2">
      <c r="A351" s="10">
        <v>73900000</v>
      </c>
      <c r="B351" s="10" t="s">
        <v>213</v>
      </c>
      <c r="C351" s="11">
        <v>0</v>
      </c>
      <c r="D351" s="11">
        <v>0</v>
      </c>
      <c r="E351" s="11">
        <v>0</v>
      </c>
      <c r="F351" s="13">
        <f>SUMIF('OD 08-24'!A:A,A351,'OD 08-24'!D:D)</f>
        <v>567907.73400000005</v>
      </c>
      <c r="G351" s="13">
        <f>SUMIF('OD 08-24'!A:A,A351,'OD 08-24'!E:E)</f>
        <v>730167.08700000006</v>
      </c>
      <c r="H351" s="14">
        <f>+D351+F351-E351-G351</f>
        <v>-162259.353</v>
      </c>
      <c r="I351" s="14">
        <f>+H351+C351</f>
        <v>-162259.353</v>
      </c>
      <c r="J351" s="8" t="s">
        <v>214</v>
      </c>
      <c r="K351" s="8" t="s">
        <v>506</v>
      </c>
      <c r="M351" s="512"/>
      <c r="N351" s="315"/>
    </row>
    <row r="352" spans="1:14" s="9" customFormat="1" ht="11.25" customHeight="1" x14ac:dyDescent="0.2">
      <c r="A352" s="10">
        <v>74100000</v>
      </c>
      <c r="B352" s="10" t="s">
        <v>8980</v>
      </c>
      <c r="C352" s="11">
        <v>0</v>
      </c>
      <c r="D352" s="11">
        <v>0</v>
      </c>
      <c r="E352" s="11">
        <v>5128.4340000000002</v>
      </c>
      <c r="F352" s="13">
        <f>SUMIF('OD 08-24'!A:A,A352,'OD 08-24'!D:D)</f>
        <v>0</v>
      </c>
      <c r="G352" s="13">
        <f>SUMIF('OD 08-24'!A:A,A352,'OD 08-24'!E:E)</f>
        <v>0</v>
      </c>
      <c r="H352" s="14">
        <f>+D352+F352-E352-G352</f>
        <v>-5128.4340000000002</v>
      </c>
      <c r="I352" s="14">
        <f>+H352+C352</f>
        <v>-5128.4340000000002</v>
      </c>
      <c r="J352" s="8" t="s">
        <v>214</v>
      </c>
      <c r="K352" s="8" t="s">
        <v>506</v>
      </c>
      <c r="M352" s="512"/>
      <c r="N352" s="315"/>
    </row>
    <row r="353" spans="1:14" s="9" customFormat="1" ht="11.25" customHeight="1" x14ac:dyDescent="0.2">
      <c r="A353" s="10">
        <v>75000000</v>
      </c>
      <c r="B353" s="10" t="s">
        <v>7575</v>
      </c>
      <c r="C353" s="11">
        <v>0</v>
      </c>
      <c r="D353" s="11">
        <v>0</v>
      </c>
      <c r="E353" s="11">
        <v>1043.3700000000001</v>
      </c>
      <c r="F353" s="13">
        <f>SUMIF('OD 08-24'!A:A,A353,'OD 08-24'!D:D)</f>
        <v>0</v>
      </c>
      <c r="G353" s="13">
        <f>SUMIF('OD 08-24'!A:A,A353,'OD 08-24'!E:E)</f>
        <v>0</v>
      </c>
      <c r="H353" s="14">
        <f t="shared" si="10"/>
        <v>-1043.3700000000001</v>
      </c>
      <c r="I353" s="14">
        <f t="shared" si="11"/>
        <v>-1043.3700000000001</v>
      </c>
      <c r="J353" s="8" t="s">
        <v>195</v>
      </c>
      <c r="K353" s="8" t="s">
        <v>517</v>
      </c>
      <c r="M353" s="512"/>
      <c r="N353" s="315"/>
    </row>
    <row r="354" spans="1:14" s="9" customFormat="1" ht="11.25" customHeight="1" x14ac:dyDescent="0.2">
      <c r="A354" s="10">
        <v>75600000</v>
      </c>
      <c r="B354" s="10" t="s">
        <v>215</v>
      </c>
      <c r="C354" s="11">
        <v>0</v>
      </c>
      <c r="D354" s="11">
        <v>1E-3</v>
      </c>
      <c r="E354" s="11">
        <v>11478.505000000001</v>
      </c>
      <c r="F354" s="13">
        <f>SUMIF('OD 08-24'!A:A,A354,'OD 08-24'!D:D)</f>
        <v>23052.332999999999</v>
      </c>
      <c r="G354" s="13">
        <f>SUMIF('OD 08-24'!A:A,A354,'OD 08-24'!E:E)</f>
        <v>23052.332999999999</v>
      </c>
      <c r="H354" s="14">
        <f t="shared" si="10"/>
        <v>-11478.504000000001</v>
      </c>
      <c r="I354" s="14">
        <f t="shared" si="11"/>
        <v>-11478.504000000001</v>
      </c>
      <c r="J354" s="8" t="s">
        <v>195</v>
      </c>
      <c r="K354" s="8" t="s">
        <v>517</v>
      </c>
      <c r="M354" s="512"/>
      <c r="N354" s="315"/>
    </row>
    <row r="355" spans="1:14" s="9" customFormat="1" ht="11.25" customHeight="1" x14ac:dyDescent="0.2">
      <c r="A355" s="10">
        <v>77000000</v>
      </c>
      <c r="B355" s="10" t="s">
        <v>216</v>
      </c>
      <c r="C355" s="11">
        <v>0</v>
      </c>
      <c r="D355" s="11">
        <v>0</v>
      </c>
      <c r="E355" s="11">
        <v>1</v>
      </c>
      <c r="F355" s="13">
        <f>SUMIF('OD 08-24'!A:A,A355,'OD 08-24'!D:D)</f>
        <v>0</v>
      </c>
      <c r="G355" s="13">
        <f>SUMIF('OD 08-24'!A:A,A355,'OD 08-24'!E:E)</f>
        <v>0</v>
      </c>
      <c r="H355" s="14">
        <f t="shared" si="10"/>
        <v>-1</v>
      </c>
      <c r="I355" s="14">
        <f t="shared" si="11"/>
        <v>-1</v>
      </c>
      <c r="J355" s="8" t="s">
        <v>212</v>
      </c>
      <c r="K355" s="8" t="s">
        <v>518</v>
      </c>
      <c r="M355" s="339"/>
      <c r="N355" s="315"/>
    </row>
    <row r="356" spans="1:14" s="9" customFormat="1" ht="11.25" customHeight="1" x14ac:dyDescent="0.2">
      <c r="A356" s="10">
        <v>78000000</v>
      </c>
      <c r="B356" s="10" t="s">
        <v>7576</v>
      </c>
      <c r="C356" s="11">
        <v>0</v>
      </c>
      <c r="D356" s="11">
        <v>0</v>
      </c>
      <c r="E356" s="11">
        <v>59797.479000000007</v>
      </c>
      <c r="F356" s="13">
        <f>SUMIF('OD 08-24'!A:A,A356,'OD 08-24'!D:D)</f>
        <v>0</v>
      </c>
      <c r="G356" s="13">
        <f>SUMIF('OD 08-24'!A:A,A356,'OD 08-24'!E:E)</f>
        <v>0</v>
      </c>
      <c r="H356" s="14">
        <f t="shared" si="10"/>
        <v>-59797.479000000007</v>
      </c>
      <c r="I356" s="14">
        <f t="shared" si="11"/>
        <v>-59797.479000000007</v>
      </c>
      <c r="J356" s="8" t="s">
        <v>7715</v>
      </c>
      <c r="K356" s="8" t="s">
        <v>7716</v>
      </c>
      <c r="M356" s="339"/>
      <c r="N356" s="315"/>
    </row>
    <row r="357" spans="1:14" s="9" customFormat="1" ht="11.25" customHeight="1" x14ac:dyDescent="0.2">
      <c r="A357" s="10">
        <v>79999999</v>
      </c>
      <c r="B357" s="10" t="s">
        <v>383</v>
      </c>
      <c r="C357" s="11">
        <v>-2.6040943339467049E-4</v>
      </c>
      <c r="D357" s="11">
        <v>0</v>
      </c>
      <c r="E357" s="11">
        <v>0</v>
      </c>
      <c r="F357" s="13">
        <f>SUMIF('OD 08-24'!A:A,A357,'OD 08-24'!D:D)</f>
        <v>0</v>
      </c>
      <c r="G357" s="13">
        <f>SUMIF('OD 08-24'!A:A,A357,'OD 08-24'!E:E)</f>
        <v>0</v>
      </c>
      <c r="H357" s="14">
        <f t="shared" si="10"/>
        <v>0</v>
      </c>
      <c r="I357" s="14">
        <f t="shared" si="11"/>
        <v>-2.6040943339467049E-4</v>
      </c>
      <c r="J357" s="8"/>
      <c r="K357" s="8"/>
      <c r="M357" s="339"/>
      <c r="N357" s="315"/>
    </row>
    <row r="358" spans="1:14" ht="15" customHeight="1" x14ac:dyDescent="0.25">
      <c r="C358" s="11">
        <f>SUM(C3:C357)</f>
        <v>1.4514662325382233E-6</v>
      </c>
      <c r="D358" s="11">
        <f>SUM(D3:D357)</f>
        <v>338553301.78051674</v>
      </c>
      <c r="E358" s="11">
        <f t="shared" ref="E358:I358" si="12">SUM(E3:E357)</f>
        <v>338553301.78051645</v>
      </c>
      <c r="F358" s="11">
        <f t="shared" si="12"/>
        <v>392855048.74940002</v>
      </c>
      <c r="G358" s="11">
        <f t="shared" si="12"/>
        <v>392855048.74939996</v>
      </c>
      <c r="H358" s="11">
        <f t="shared" si="12"/>
        <v>3.5666744224727154E-8</v>
      </c>
      <c r="I358" s="11">
        <f t="shared" si="12"/>
        <v>1.484339009039104E-6</v>
      </c>
      <c r="L358" s="9"/>
      <c r="M358" s="339"/>
      <c r="N358" s="315"/>
    </row>
    <row r="359" spans="1:14" x14ac:dyDescent="0.25">
      <c r="L359" s="9"/>
      <c r="M359" s="339"/>
    </row>
    <row r="360" spans="1:14" x14ac:dyDescent="0.25">
      <c r="F360" s="305">
        <f>+'OD 08-24'!D112</f>
        <v>0</v>
      </c>
      <c r="G360" s="305">
        <f>+'OD 08-24'!E112</f>
        <v>0</v>
      </c>
    </row>
    <row r="361" spans="1:14" x14ac:dyDescent="0.25">
      <c r="F361" s="305">
        <f>+F358-F360</f>
        <v>392855048.74940002</v>
      </c>
      <c r="G361" s="305">
        <f>+G358-G360</f>
        <v>392855048.74939996</v>
      </c>
    </row>
  </sheetData>
  <autoFilter ref="A2:K358" xr:uid="{00000000-0009-0000-0000-00001C000000}"/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2:N359"/>
  <sheetViews>
    <sheetView workbookViewId="0">
      <pane ySplit="2" topLeftCell="A324" activePane="bottomLeft" state="frozen"/>
      <selection activeCell="A2" sqref="A2"/>
      <selection pane="bottomLeft" activeCell="E361" sqref="E361"/>
    </sheetView>
  </sheetViews>
  <sheetFormatPr baseColWidth="10" defaultRowHeight="15" x14ac:dyDescent="0.25"/>
  <cols>
    <col min="1" max="1" width="11.5703125" customWidth="1"/>
    <col min="2" max="2" width="28.140625" style="302" customWidth="1"/>
    <col min="3" max="3" width="14.42578125" style="305" bestFit="1" customWidth="1"/>
    <col min="4" max="4" width="16.7109375" style="305" customWidth="1"/>
    <col min="5" max="5" width="16.85546875" style="305" customWidth="1"/>
    <col min="6" max="6" width="15.42578125" style="305" customWidth="1"/>
    <col min="7" max="7" width="14.42578125" style="305" bestFit="1" customWidth="1"/>
    <col min="8" max="9" width="12.7109375" style="305" bestFit="1" customWidth="1"/>
    <col min="10" max="10" width="25.5703125" style="302" customWidth="1"/>
    <col min="11" max="11" width="14.42578125" style="302" customWidth="1"/>
    <col min="12" max="12" width="11.42578125" style="302"/>
    <col min="13" max="13" width="14.140625" style="302" bestFit="1" customWidth="1"/>
    <col min="14" max="16384" width="11.42578125" style="302"/>
  </cols>
  <sheetData>
    <row r="2" spans="1:14" ht="11.25" x14ac:dyDescent="0.2">
      <c r="A2" s="6" t="s">
        <v>1</v>
      </c>
      <c r="B2" s="6" t="s">
        <v>0</v>
      </c>
      <c r="C2" s="7" t="s">
        <v>5</v>
      </c>
      <c r="D2" s="7" t="s">
        <v>2</v>
      </c>
      <c r="E2" s="7" t="s">
        <v>260</v>
      </c>
      <c r="F2" s="7" t="s">
        <v>218</v>
      </c>
      <c r="G2" s="7" t="s">
        <v>219</v>
      </c>
      <c r="H2" s="7" t="s">
        <v>6</v>
      </c>
      <c r="I2" s="7" t="s">
        <v>217</v>
      </c>
      <c r="J2" s="6" t="s">
        <v>412</v>
      </c>
    </row>
    <row r="3" spans="1:14" s="9" customFormat="1" ht="11.25" customHeight="1" x14ac:dyDescent="0.2">
      <c r="A3" s="10">
        <v>10100000</v>
      </c>
      <c r="B3" s="10" t="s">
        <v>7</v>
      </c>
      <c r="C3" s="11">
        <v>-13500000</v>
      </c>
      <c r="D3" s="11">
        <v>0</v>
      </c>
      <c r="E3" s="11">
        <v>0</v>
      </c>
      <c r="F3" s="13">
        <f>SUMIF('OD 09-24'!A:A,A3,'OD 09-24'!D:D)</f>
        <v>0</v>
      </c>
      <c r="G3" s="13">
        <f>SUMIF('OD 09-24'!A:A,A3,'OD 09-24'!E:E)</f>
        <v>0</v>
      </c>
      <c r="H3" s="14">
        <f t="shared" ref="H3:H66" si="0">+D3+F3-E3-G3</f>
        <v>0</v>
      </c>
      <c r="I3" s="14">
        <f t="shared" ref="I3:I66" si="1">+H3+C3</f>
        <v>-13500000</v>
      </c>
      <c r="J3" s="8" t="s">
        <v>8</v>
      </c>
      <c r="K3" s="8"/>
      <c r="M3" s="339"/>
      <c r="N3" s="315"/>
    </row>
    <row r="4" spans="1:14" s="9" customFormat="1" ht="11.25" customHeight="1" x14ac:dyDescent="0.2">
      <c r="A4" s="10">
        <v>11101000</v>
      </c>
      <c r="B4" s="10" t="s">
        <v>9</v>
      </c>
      <c r="C4" s="11">
        <v>-1200000</v>
      </c>
      <c r="D4" s="11">
        <v>0</v>
      </c>
      <c r="E4" s="11">
        <v>0</v>
      </c>
      <c r="F4" s="13">
        <f>SUMIF('OD 09-24'!A:A,A4,'OD 09-24'!D:D)</f>
        <v>0</v>
      </c>
      <c r="G4" s="13">
        <f>SUMIF('OD 09-24'!A:A,A4,'OD 09-24'!E:E)</f>
        <v>0</v>
      </c>
      <c r="H4" s="14">
        <f t="shared" si="0"/>
        <v>0</v>
      </c>
      <c r="I4" s="14">
        <f t="shared" si="1"/>
        <v>-1200000</v>
      </c>
      <c r="J4" s="8" t="s">
        <v>10</v>
      </c>
      <c r="K4" s="8"/>
      <c r="M4" s="339"/>
      <c r="N4" s="315"/>
    </row>
    <row r="5" spans="1:14" s="9" customFormat="1" ht="11.25" customHeight="1" x14ac:dyDescent="0.2">
      <c r="A5" s="10">
        <v>12100000</v>
      </c>
      <c r="B5" s="10" t="s">
        <v>11</v>
      </c>
      <c r="C5" s="11">
        <v>-22014748.230401009</v>
      </c>
      <c r="D5" s="11">
        <v>0</v>
      </c>
      <c r="E5" s="11">
        <v>0</v>
      </c>
      <c r="F5" s="13">
        <f>SUMIF('OD 09-24'!A:A,A5,'OD 09-24'!D:D)</f>
        <v>0</v>
      </c>
      <c r="G5" s="13">
        <f>SUMIF('OD 09-24'!A:A,A5,'OD 09-24'!E:E)</f>
        <v>0</v>
      </c>
      <c r="H5" s="14">
        <f t="shared" si="0"/>
        <v>0</v>
      </c>
      <c r="I5" s="14">
        <f t="shared" si="1"/>
        <v>-22014748.230401009</v>
      </c>
      <c r="J5" s="8" t="s">
        <v>12</v>
      </c>
      <c r="K5" s="8"/>
      <c r="M5" s="339"/>
      <c r="N5" s="315"/>
    </row>
    <row r="6" spans="1:14" s="9" customFormat="1" ht="11.25" customHeight="1" x14ac:dyDescent="0.2">
      <c r="A6" s="10">
        <v>12200000</v>
      </c>
      <c r="B6" s="10" t="s">
        <v>272</v>
      </c>
      <c r="C6" s="11">
        <v>0</v>
      </c>
      <c r="D6" s="11">
        <v>0</v>
      </c>
      <c r="E6" s="11">
        <v>0</v>
      </c>
      <c r="F6" s="13">
        <f>SUMIF('OD 09-24'!A:A,A6,'OD 09-24'!D:D)</f>
        <v>0</v>
      </c>
      <c r="G6" s="13">
        <f>SUMIF('OD 09-24'!A:A,A6,'OD 09-24'!E:E)</f>
        <v>0</v>
      </c>
      <c r="H6" s="14">
        <f t="shared" si="0"/>
        <v>0</v>
      </c>
      <c r="I6" s="14">
        <f t="shared" si="1"/>
        <v>0</v>
      </c>
      <c r="J6" s="8"/>
      <c r="K6" s="8"/>
      <c r="M6" s="339"/>
      <c r="N6" s="315"/>
    </row>
    <row r="7" spans="1:14" s="9" customFormat="1" ht="11.25" customHeight="1" x14ac:dyDescent="0.2">
      <c r="A7" s="10">
        <v>12800000</v>
      </c>
      <c r="B7" s="10" t="s">
        <v>13</v>
      </c>
      <c r="C7" s="11">
        <v>3126298.01</v>
      </c>
      <c r="D7" s="11">
        <v>0</v>
      </c>
      <c r="E7" s="11">
        <v>0</v>
      </c>
      <c r="F7" s="13">
        <f>SUMIF('OD 09-24'!A:A,A7,'OD 09-24'!D:D)</f>
        <v>0</v>
      </c>
      <c r="G7" s="13">
        <f>SUMIF('OD 09-24'!A:A,A7,'OD 09-24'!E:E)</f>
        <v>0</v>
      </c>
      <c r="H7" s="14">
        <f t="shared" si="0"/>
        <v>0</v>
      </c>
      <c r="I7" s="14">
        <f t="shared" si="1"/>
        <v>3126298.01</v>
      </c>
      <c r="J7" s="8" t="s">
        <v>14</v>
      </c>
      <c r="K7" s="8"/>
      <c r="M7" s="339"/>
      <c r="N7" s="315"/>
    </row>
    <row r="8" spans="1:14" s="9" customFormat="1" ht="11.25" customHeight="1" x14ac:dyDescent="0.2">
      <c r="A8" s="10">
        <v>13000000</v>
      </c>
      <c r="B8" s="10" t="s">
        <v>273</v>
      </c>
      <c r="C8" s="11">
        <v>0</v>
      </c>
      <c r="D8" s="11">
        <v>0</v>
      </c>
      <c r="E8" s="11">
        <v>0</v>
      </c>
      <c r="F8" s="13">
        <f>SUMIF('OD 09-24'!A:A,A8,'OD 09-24'!D:D)</f>
        <v>0</v>
      </c>
      <c r="G8" s="13">
        <f>SUMIF('OD 09-24'!A:A,A8,'OD 09-24'!E:E)</f>
        <v>0</v>
      </c>
      <c r="H8" s="14">
        <f t="shared" si="0"/>
        <v>0</v>
      </c>
      <c r="I8" s="14">
        <f t="shared" si="1"/>
        <v>0</v>
      </c>
      <c r="J8" s="8"/>
      <c r="K8" s="8"/>
      <c r="M8" s="339"/>
      <c r="N8" s="315"/>
    </row>
    <row r="9" spans="1:14" s="9" customFormat="1" ht="11.25" customHeight="1" x14ac:dyDescent="0.2">
      <c r="A9" s="10">
        <v>14500000</v>
      </c>
      <c r="B9" s="10" t="s">
        <v>15</v>
      </c>
      <c r="C9" s="11">
        <v>-3479108.84</v>
      </c>
      <c r="D9" s="11">
        <v>0</v>
      </c>
      <c r="E9" s="11">
        <v>0</v>
      </c>
      <c r="F9" s="13">
        <f>SUMIF('OD 09-24'!A:A,A9,'OD 09-24'!D:D)</f>
        <v>0</v>
      </c>
      <c r="G9" s="13">
        <f>SUMIF('OD 09-24'!A:A,A9,'OD 09-24'!E:E)</f>
        <v>0</v>
      </c>
      <c r="H9" s="14">
        <f t="shared" si="0"/>
        <v>0</v>
      </c>
      <c r="I9" s="14">
        <f t="shared" si="1"/>
        <v>-3479108.84</v>
      </c>
      <c r="J9" s="8" t="s">
        <v>16</v>
      </c>
      <c r="K9" s="8"/>
      <c r="M9" s="339"/>
      <c r="N9" s="315"/>
    </row>
    <row r="10" spans="1:14" s="9" customFormat="1" ht="11.25" customHeight="1" x14ac:dyDescent="0.2">
      <c r="A10" s="10">
        <v>14508000</v>
      </c>
      <c r="B10" s="10" t="s">
        <v>17</v>
      </c>
      <c r="C10" s="11">
        <v>2662861.7680000002</v>
      </c>
      <c r="D10" s="11">
        <v>0</v>
      </c>
      <c r="E10" s="11">
        <v>0</v>
      </c>
      <c r="F10" s="13">
        <f>SUMIF('OD 09-24'!A:A,A10,'OD 09-24'!D:D)</f>
        <v>912708.85900000005</v>
      </c>
      <c r="G10" s="13">
        <f>SUMIF('OD 09-24'!A:A,A10,'OD 09-24'!E:E)</f>
        <v>730167.08700000006</v>
      </c>
      <c r="H10" s="14">
        <f t="shared" si="0"/>
        <v>182541.772</v>
      </c>
      <c r="I10" s="14">
        <f t="shared" si="1"/>
        <v>2845403.54</v>
      </c>
      <c r="J10" s="8" t="s">
        <v>18</v>
      </c>
      <c r="K10" s="8"/>
      <c r="M10" s="339"/>
      <c r="N10" s="315"/>
    </row>
    <row r="11" spans="1:14" s="9" customFormat="1" ht="11.25" customHeight="1" x14ac:dyDescent="0.2">
      <c r="A11" s="10">
        <v>15100000</v>
      </c>
      <c r="B11" s="10" t="s">
        <v>19</v>
      </c>
      <c r="C11" s="11">
        <v>-231535.016</v>
      </c>
      <c r="D11" s="11">
        <v>0</v>
      </c>
      <c r="E11" s="11">
        <v>0</v>
      </c>
      <c r="F11" s="13">
        <f>SUMIF('OD 09-24'!A:A,A11,'OD 09-24'!D:D)</f>
        <v>120000</v>
      </c>
      <c r="G11" s="13">
        <f>SUMIF('OD 09-24'!A:A,A11,'OD 09-24'!E:E)</f>
        <v>200000</v>
      </c>
      <c r="H11" s="14">
        <f t="shared" si="0"/>
        <v>-80000</v>
      </c>
      <c r="I11" s="14">
        <f t="shared" si="1"/>
        <v>-311535.016</v>
      </c>
      <c r="J11" s="8" t="s">
        <v>20</v>
      </c>
      <c r="K11" s="8"/>
      <c r="M11" s="339"/>
      <c r="N11" s="315"/>
    </row>
    <row r="12" spans="1:14" s="9" customFormat="1" ht="11.25" customHeight="1" x14ac:dyDescent="0.2">
      <c r="A12" s="10">
        <v>16210250</v>
      </c>
      <c r="B12" s="10" t="s">
        <v>274</v>
      </c>
      <c r="C12" s="11">
        <v>0</v>
      </c>
      <c r="D12" s="11">
        <v>0</v>
      </c>
      <c r="E12" s="11">
        <v>0</v>
      </c>
      <c r="F12" s="13">
        <f>SUMIF('OD 09-24'!A:A,A12,'OD 09-24'!D:D)</f>
        <v>0</v>
      </c>
      <c r="G12" s="13">
        <f>SUMIF('OD 09-24'!A:A,A12,'OD 09-24'!E:E)</f>
        <v>0</v>
      </c>
      <c r="H12" s="14">
        <f t="shared" si="0"/>
        <v>0</v>
      </c>
      <c r="I12" s="14">
        <f t="shared" si="1"/>
        <v>0</v>
      </c>
      <c r="J12" s="8"/>
      <c r="K12" s="8"/>
      <c r="M12" s="339"/>
      <c r="N12" s="315"/>
    </row>
    <row r="13" spans="1:14" s="9" customFormat="1" ht="11.25" customHeight="1" x14ac:dyDescent="0.2">
      <c r="A13" s="10">
        <v>16210500</v>
      </c>
      <c r="B13" s="10" t="s">
        <v>21</v>
      </c>
      <c r="C13" s="11">
        <v>-1416666.6629999988</v>
      </c>
      <c r="D13" s="11">
        <v>0</v>
      </c>
      <c r="E13" s="11">
        <v>0</v>
      </c>
      <c r="F13" s="13">
        <f>SUMIF('OD 09-24'!A:A,A13,'OD 09-24'!D:D)</f>
        <v>0</v>
      </c>
      <c r="G13" s="13">
        <f>SUMIF('OD 09-24'!A:A,A13,'OD 09-24'!E:E)</f>
        <v>0</v>
      </c>
      <c r="H13" s="14">
        <f t="shared" si="0"/>
        <v>0</v>
      </c>
      <c r="I13" s="14">
        <f t="shared" si="1"/>
        <v>-1416666.6629999988</v>
      </c>
      <c r="J13" s="8" t="s">
        <v>22</v>
      </c>
      <c r="K13" s="8"/>
      <c r="M13" s="339"/>
      <c r="N13" s="315"/>
    </row>
    <row r="14" spans="1:14" s="9" customFormat="1" ht="11.25" customHeight="1" x14ac:dyDescent="0.2">
      <c r="A14" s="10">
        <v>16210960</v>
      </c>
      <c r="B14" s="10" t="s">
        <v>275</v>
      </c>
      <c r="C14" s="11">
        <v>0</v>
      </c>
      <c r="D14" s="11">
        <v>0</v>
      </c>
      <c r="E14" s="11">
        <v>0</v>
      </c>
      <c r="F14" s="13">
        <f>SUMIF('OD 09-24'!A:A,A14,'OD 09-24'!D:D)</f>
        <v>0</v>
      </c>
      <c r="G14" s="13">
        <f>SUMIF('OD 09-24'!A:A,A14,'OD 09-24'!E:E)</f>
        <v>0</v>
      </c>
      <c r="H14" s="14">
        <f t="shared" si="0"/>
        <v>0</v>
      </c>
      <c r="I14" s="14">
        <f t="shared" si="1"/>
        <v>0</v>
      </c>
      <c r="J14" s="8"/>
      <c r="K14" s="8"/>
      <c r="M14" s="339"/>
      <c r="N14" s="315"/>
    </row>
    <row r="15" spans="1:14" s="9" customFormat="1" ht="11.25" customHeight="1" x14ac:dyDescent="0.2">
      <c r="A15" s="10">
        <v>16400000</v>
      </c>
      <c r="B15" s="10" t="s">
        <v>276</v>
      </c>
      <c r="C15" s="11">
        <v>-103582.68900000001</v>
      </c>
      <c r="D15" s="11">
        <v>115740.227</v>
      </c>
      <c r="E15" s="11">
        <v>460004.84700000007</v>
      </c>
      <c r="F15" s="13">
        <f>SUMIF('OD 09-24'!A:A,A15,'OD 09-24'!D:D)</f>
        <v>0</v>
      </c>
      <c r="G15" s="13">
        <f>SUMIF('OD 09-24'!A:A,A15,'OD 09-24'!E:E)</f>
        <v>0</v>
      </c>
      <c r="H15" s="14">
        <f t="shared" si="0"/>
        <v>-344264.62000000005</v>
      </c>
      <c r="I15" s="14">
        <f t="shared" si="1"/>
        <v>-447847.30900000007</v>
      </c>
      <c r="J15" s="8" t="s">
        <v>22</v>
      </c>
      <c r="K15" s="8"/>
      <c r="M15" s="339"/>
      <c r="N15" s="315"/>
    </row>
    <row r="16" spans="1:14" s="9" customFormat="1" ht="11.25" customHeight="1" x14ac:dyDescent="0.2">
      <c r="A16" s="10">
        <v>18800000</v>
      </c>
      <c r="B16" s="10" t="s">
        <v>23</v>
      </c>
      <c r="C16" s="11">
        <v>0</v>
      </c>
      <c r="D16" s="11">
        <v>0</v>
      </c>
      <c r="E16" s="11">
        <v>0</v>
      </c>
      <c r="F16" s="13">
        <f>SUMIF('OD 09-24'!A:A,A16,'OD 09-24'!D:D)</f>
        <v>0</v>
      </c>
      <c r="G16" s="13">
        <f>SUMIF('OD 09-24'!A:A,A16,'OD 09-24'!E:E)</f>
        <v>0</v>
      </c>
      <c r="H16" s="14">
        <f t="shared" si="0"/>
        <v>0</v>
      </c>
      <c r="I16" s="14">
        <f t="shared" si="1"/>
        <v>0</v>
      </c>
      <c r="J16" s="8"/>
      <c r="K16" s="8"/>
      <c r="M16" s="339"/>
      <c r="N16" s="315"/>
    </row>
    <row r="17" spans="1:14" s="9" customFormat="1" ht="11.25" customHeight="1" x14ac:dyDescent="0.2">
      <c r="A17" s="10">
        <v>21100000</v>
      </c>
      <c r="B17" s="10" t="s">
        <v>277</v>
      </c>
      <c r="C17" s="11">
        <v>0</v>
      </c>
      <c r="D17" s="11">
        <v>0</v>
      </c>
      <c r="E17" s="11">
        <v>0</v>
      </c>
      <c r="F17" s="13">
        <f>SUMIF('OD 09-24'!A:A,A17,'OD 09-24'!D:D)</f>
        <v>0</v>
      </c>
      <c r="G17" s="13">
        <f>SUMIF('OD 09-24'!A:A,A17,'OD 09-24'!E:E)</f>
        <v>0</v>
      </c>
      <c r="H17" s="14">
        <f t="shared" si="0"/>
        <v>0</v>
      </c>
      <c r="I17" s="14">
        <f t="shared" si="1"/>
        <v>0</v>
      </c>
      <c r="J17" s="8"/>
      <c r="K17" s="8"/>
      <c r="M17" s="339"/>
      <c r="N17" s="315"/>
    </row>
    <row r="18" spans="1:14" s="9" customFormat="1" ht="11.25" customHeight="1" x14ac:dyDescent="0.2">
      <c r="A18" s="10">
        <v>21300000</v>
      </c>
      <c r="B18" s="10" t="s">
        <v>24</v>
      </c>
      <c r="C18" s="11">
        <v>93173.926999999996</v>
      </c>
      <c r="D18" s="11">
        <v>53872.780000000006</v>
      </c>
      <c r="E18" s="11">
        <v>0</v>
      </c>
      <c r="F18" s="13">
        <f>SUMIF('OD 09-24'!A:A,A18,'OD 09-24'!D:D)</f>
        <v>0</v>
      </c>
      <c r="G18" s="13">
        <f>SUMIF('OD 09-24'!A:A,A18,'OD 09-24'!E:E)</f>
        <v>0</v>
      </c>
      <c r="H18" s="14">
        <f t="shared" si="0"/>
        <v>53872.780000000006</v>
      </c>
      <c r="I18" s="14">
        <f t="shared" si="1"/>
        <v>147046.70699999999</v>
      </c>
      <c r="J18" s="8" t="s">
        <v>25</v>
      </c>
      <c r="K18" s="8"/>
      <c r="M18" s="339"/>
      <c r="N18" s="315"/>
    </row>
    <row r="19" spans="1:14" s="9" customFormat="1" ht="11.25" customHeight="1" x14ac:dyDescent="0.2">
      <c r="A19" s="10">
        <v>22000000</v>
      </c>
      <c r="B19" s="10" t="s">
        <v>278</v>
      </c>
      <c r="C19" s="11">
        <v>0</v>
      </c>
      <c r="D19" s="11">
        <v>0</v>
      </c>
      <c r="E19" s="11">
        <v>0</v>
      </c>
      <c r="F19" s="13">
        <f>SUMIF('OD 09-24'!A:A,A19,'OD 09-24'!D:D)</f>
        <v>0</v>
      </c>
      <c r="G19" s="13">
        <f>SUMIF('OD 09-24'!A:A,A19,'OD 09-24'!E:E)</f>
        <v>0</v>
      </c>
      <c r="H19" s="14">
        <f t="shared" si="0"/>
        <v>0</v>
      </c>
      <c r="I19" s="14">
        <f t="shared" si="1"/>
        <v>0</v>
      </c>
      <c r="J19" s="8"/>
      <c r="K19" s="8"/>
      <c r="M19" s="339"/>
      <c r="N19" s="315"/>
    </row>
    <row r="20" spans="1:14" s="9" customFormat="1" ht="11.25" customHeight="1" x14ac:dyDescent="0.2">
      <c r="A20" s="10">
        <v>22100000</v>
      </c>
      <c r="B20" s="10" t="s">
        <v>26</v>
      </c>
      <c r="C20" s="11">
        <v>1275724</v>
      </c>
      <c r="D20" s="11">
        <v>0</v>
      </c>
      <c r="E20" s="11">
        <v>0</v>
      </c>
      <c r="F20" s="13">
        <f>SUMIF('OD 09-24'!A:A,A20,'OD 09-24'!D:D)</f>
        <v>0</v>
      </c>
      <c r="G20" s="13">
        <f>SUMIF('OD 09-24'!A:A,A20,'OD 09-24'!E:E)</f>
        <v>0</v>
      </c>
      <c r="H20" s="14">
        <f t="shared" si="0"/>
        <v>0</v>
      </c>
      <c r="I20" s="14">
        <f t="shared" si="1"/>
        <v>1275724</v>
      </c>
      <c r="J20" s="8" t="s">
        <v>25</v>
      </c>
      <c r="K20" s="8"/>
      <c r="M20" s="339"/>
      <c r="N20" s="315"/>
    </row>
    <row r="21" spans="1:14" s="9" customFormat="1" ht="11.25" customHeight="1" x14ac:dyDescent="0.2">
      <c r="A21" s="10">
        <v>22160000</v>
      </c>
      <c r="B21" s="10" t="s">
        <v>27</v>
      </c>
      <c r="C21" s="11">
        <v>161921.53600000002</v>
      </c>
      <c r="D21" s="11">
        <v>0</v>
      </c>
      <c r="E21" s="11">
        <v>0</v>
      </c>
      <c r="F21" s="13">
        <f>SUMIF('OD 09-24'!A:A,A21,'OD 09-24'!D:D)</f>
        <v>0</v>
      </c>
      <c r="G21" s="13">
        <f>SUMIF('OD 09-24'!A:A,A21,'OD 09-24'!E:E)</f>
        <v>0</v>
      </c>
      <c r="H21" s="14">
        <f t="shared" si="0"/>
        <v>0</v>
      </c>
      <c r="I21" s="14">
        <f t="shared" si="1"/>
        <v>161921.53600000002</v>
      </c>
      <c r="J21" s="8" t="s">
        <v>25</v>
      </c>
      <c r="K21" s="8"/>
      <c r="M21" s="339"/>
      <c r="N21" s="315"/>
    </row>
    <row r="22" spans="1:14" s="9" customFormat="1" ht="11.25" customHeight="1" x14ac:dyDescent="0.2">
      <c r="A22" s="10">
        <v>22200000</v>
      </c>
      <c r="B22" s="10" t="s">
        <v>28</v>
      </c>
      <c r="C22" s="11">
        <v>9174898.748999998</v>
      </c>
      <c r="D22" s="11">
        <v>0</v>
      </c>
      <c r="E22" s="11">
        <v>0</v>
      </c>
      <c r="F22" s="13">
        <f>SUMIF('OD 09-24'!A:A,A22,'OD 09-24'!D:D)</f>
        <v>0</v>
      </c>
      <c r="G22" s="13">
        <f>SUMIF('OD 09-24'!A:A,A22,'OD 09-24'!E:E)</f>
        <v>0</v>
      </c>
      <c r="H22" s="14">
        <f t="shared" si="0"/>
        <v>0</v>
      </c>
      <c r="I22" s="14">
        <f t="shared" si="1"/>
        <v>9174898.748999998</v>
      </c>
      <c r="J22" s="8" t="s">
        <v>25</v>
      </c>
      <c r="K22" s="8"/>
      <c r="M22" s="339"/>
      <c r="N22" s="315"/>
    </row>
    <row r="23" spans="1:14" s="9" customFormat="1" ht="11.25" customHeight="1" x14ac:dyDescent="0.2">
      <c r="A23" s="10">
        <v>22250000</v>
      </c>
      <c r="B23" s="10" t="s">
        <v>29</v>
      </c>
      <c r="C23" s="11">
        <v>696674.05799999996</v>
      </c>
      <c r="D23" s="11">
        <v>100356.76</v>
      </c>
      <c r="E23" s="11">
        <v>13495.522000000001</v>
      </c>
      <c r="F23" s="13">
        <f>SUMIF('OD 09-24'!A:A,A23,'OD 09-24'!D:D)</f>
        <v>0</v>
      </c>
      <c r="G23" s="13">
        <f>SUMIF('OD 09-24'!A:A,A23,'OD 09-24'!E:E)</f>
        <v>0</v>
      </c>
      <c r="H23" s="14">
        <f t="shared" si="0"/>
        <v>86861.237999999998</v>
      </c>
      <c r="I23" s="14">
        <f t="shared" si="1"/>
        <v>783535.29599999997</v>
      </c>
      <c r="J23" s="8" t="s">
        <v>25</v>
      </c>
      <c r="K23" s="8"/>
      <c r="M23" s="339"/>
      <c r="N23" s="315"/>
    </row>
    <row r="24" spans="1:14" s="9" customFormat="1" ht="11.25" customHeight="1" x14ac:dyDescent="0.2">
      <c r="A24" s="10">
        <v>22300000</v>
      </c>
      <c r="B24" s="10" t="s">
        <v>30</v>
      </c>
      <c r="C24" s="11">
        <v>73570.611000000004</v>
      </c>
      <c r="D24" s="11">
        <v>26392</v>
      </c>
      <c r="E24" s="11">
        <v>0</v>
      </c>
      <c r="F24" s="13">
        <f>SUMIF('OD 09-24'!A:A,A24,'OD 09-24'!D:D)</f>
        <v>0</v>
      </c>
      <c r="G24" s="13">
        <f>SUMIF('OD 09-24'!A:A,A24,'OD 09-24'!E:E)</f>
        <v>0</v>
      </c>
      <c r="H24" s="14">
        <f t="shared" si="0"/>
        <v>26392</v>
      </c>
      <c r="I24" s="14">
        <f t="shared" si="1"/>
        <v>99962.611000000004</v>
      </c>
      <c r="J24" s="8" t="s">
        <v>25</v>
      </c>
      <c r="K24" s="8"/>
      <c r="M24" s="339"/>
      <c r="N24" s="315"/>
    </row>
    <row r="25" spans="1:14" s="9" customFormat="1" ht="11.25" customHeight="1" x14ac:dyDescent="0.2">
      <c r="A25" s="10">
        <v>22310000</v>
      </c>
      <c r="B25" s="10" t="s">
        <v>31</v>
      </c>
      <c r="C25" s="11">
        <v>0</v>
      </c>
      <c r="D25" s="11">
        <v>27986.973999999998</v>
      </c>
      <c r="E25" s="11">
        <v>0</v>
      </c>
      <c r="F25" s="13">
        <f>SUMIF('OD 09-24'!A:A,A25,'OD 09-24'!D:D)</f>
        <v>0</v>
      </c>
      <c r="G25" s="13">
        <f>SUMIF('OD 09-24'!A:A,A25,'OD 09-24'!E:E)</f>
        <v>0</v>
      </c>
      <c r="H25" s="14">
        <f t="shared" si="0"/>
        <v>27986.973999999998</v>
      </c>
      <c r="I25" s="14">
        <f t="shared" si="1"/>
        <v>27986.973999999998</v>
      </c>
      <c r="J25" s="8" t="s">
        <v>25</v>
      </c>
      <c r="K25" s="8"/>
      <c r="M25" s="339"/>
      <c r="N25" s="315"/>
    </row>
    <row r="26" spans="1:14" s="9" customFormat="1" ht="11.25" customHeight="1" x14ac:dyDescent="0.2">
      <c r="A26" s="10">
        <v>22340000</v>
      </c>
      <c r="B26" s="10" t="s">
        <v>32</v>
      </c>
      <c r="C26" s="11">
        <v>24676096.882049002</v>
      </c>
      <c r="D26" s="11">
        <v>591740.45050000004</v>
      </c>
      <c r="E26" s="11">
        <v>353106.76799999998</v>
      </c>
      <c r="F26" s="13">
        <f>SUMIF('OD 09-24'!A:A,A26,'OD 09-24'!D:D)</f>
        <v>0</v>
      </c>
      <c r="G26" s="13">
        <f>SUMIF('OD 09-24'!A:A,A26,'OD 09-24'!E:E)</f>
        <v>0</v>
      </c>
      <c r="H26" s="14">
        <f t="shared" si="0"/>
        <v>238633.68250000005</v>
      </c>
      <c r="I26" s="14">
        <f t="shared" si="1"/>
        <v>24914730.564549003</v>
      </c>
      <c r="J26" s="8" t="s">
        <v>25</v>
      </c>
      <c r="K26" s="8"/>
      <c r="M26" s="339"/>
      <c r="N26" s="315"/>
    </row>
    <row r="27" spans="1:14" s="9" customFormat="1" ht="11.25" customHeight="1" x14ac:dyDescent="0.2">
      <c r="A27" s="10">
        <v>22350000</v>
      </c>
      <c r="B27" s="10" t="s">
        <v>33</v>
      </c>
      <c r="C27" s="11">
        <v>651798.13449999969</v>
      </c>
      <c r="D27" s="11">
        <v>51520.542999999998</v>
      </c>
      <c r="E27" s="11">
        <v>2630.2129999999997</v>
      </c>
      <c r="F27" s="13">
        <f>SUMIF('OD 09-24'!A:A,A27,'OD 09-24'!D:D)</f>
        <v>15062.4</v>
      </c>
      <c r="G27" s="13">
        <f>SUMIF('OD 09-24'!A:A,A27,'OD 09-24'!E:E)</f>
        <v>0</v>
      </c>
      <c r="H27" s="14">
        <f t="shared" si="0"/>
        <v>63952.729999999996</v>
      </c>
      <c r="I27" s="14">
        <f t="shared" si="1"/>
        <v>715750.86449999968</v>
      </c>
      <c r="J27" s="8" t="s">
        <v>25</v>
      </c>
      <c r="K27" s="8"/>
      <c r="M27" s="339"/>
      <c r="N27" s="315"/>
    </row>
    <row r="28" spans="1:14" s="9" customFormat="1" ht="11.25" customHeight="1" x14ac:dyDescent="0.2">
      <c r="A28" s="10">
        <v>22370000</v>
      </c>
      <c r="B28" s="10" t="s">
        <v>34</v>
      </c>
      <c r="C28" s="11">
        <v>901593.20599999989</v>
      </c>
      <c r="D28" s="11">
        <v>8125.4519999999993</v>
      </c>
      <c r="E28" s="11">
        <v>8125.4519999999993</v>
      </c>
      <c r="F28" s="13">
        <f>SUMIF('OD 09-24'!A:A,A28,'OD 09-24'!D:D)</f>
        <v>0</v>
      </c>
      <c r="G28" s="13">
        <f>SUMIF('OD 09-24'!A:A,A28,'OD 09-24'!E:E)</f>
        <v>0</v>
      </c>
      <c r="H28" s="14">
        <f t="shared" si="0"/>
        <v>0</v>
      </c>
      <c r="I28" s="14">
        <f t="shared" si="1"/>
        <v>901593.20599999989</v>
      </c>
      <c r="J28" s="8" t="s">
        <v>25</v>
      </c>
      <c r="K28" s="8"/>
      <c r="M28" s="339"/>
      <c r="N28" s="315"/>
    </row>
    <row r="29" spans="1:14" s="9" customFormat="1" ht="11.25" customHeight="1" x14ac:dyDescent="0.2">
      <c r="A29" s="10">
        <v>22400000</v>
      </c>
      <c r="B29" s="10" t="s">
        <v>35</v>
      </c>
      <c r="C29" s="11">
        <v>1176312.6140000001</v>
      </c>
      <c r="D29" s="11">
        <v>133659.84</v>
      </c>
      <c r="E29" s="11">
        <v>96728.61</v>
      </c>
      <c r="F29" s="13">
        <f>SUMIF('OD 09-24'!A:A,A29,'OD 09-24'!D:D)</f>
        <v>0</v>
      </c>
      <c r="G29" s="13">
        <f>SUMIF('OD 09-24'!A:A,A29,'OD 09-24'!E:E)</f>
        <v>0</v>
      </c>
      <c r="H29" s="14">
        <f t="shared" si="0"/>
        <v>36931.229999999996</v>
      </c>
      <c r="I29" s="14">
        <f t="shared" si="1"/>
        <v>1213243.844</v>
      </c>
      <c r="J29" s="8" t="s">
        <v>25</v>
      </c>
      <c r="K29" s="8"/>
      <c r="M29" s="339"/>
      <c r="N29" s="315"/>
    </row>
    <row r="30" spans="1:14" s="9" customFormat="1" ht="11.25" customHeight="1" x14ac:dyDescent="0.2">
      <c r="A30" s="10">
        <v>22810000</v>
      </c>
      <c r="B30" s="10" t="s">
        <v>36</v>
      </c>
      <c r="C30" s="11">
        <v>0</v>
      </c>
      <c r="D30" s="11">
        <v>0</v>
      </c>
      <c r="E30" s="11">
        <v>0</v>
      </c>
      <c r="F30" s="13">
        <f>SUMIF('OD 09-24'!A:A,A30,'OD 09-24'!D:D)</f>
        <v>0</v>
      </c>
      <c r="G30" s="13">
        <f>SUMIF('OD 09-24'!A:A,A30,'OD 09-24'!E:E)</f>
        <v>0</v>
      </c>
      <c r="H30" s="14">
        <f t="shared" si="0"/>
        <v>0</v>
      </c>
      <c r="I30" s="14">
        <f t="shared" si="1"/>
        <v>0</v>
      </c>
      <c r="J30" s="8"/>
      <c r="K30" s="8"/>
      <c r="M30" s="339"/>
      <c r="N30" s="315"/>
    </row>
    <row r="31" spans="1:14" s="9" customFormat="1" ht="11.25" customHeight="1" x14ac:dyDescent="0.2">
      <c r="A31" s="10">
        <v>22820000</v>
      </c>
      <c r="B31" s="10" t="s">
        <v>37</v>
      </c>
      <c r="C31" s="11">
        <v>281171.26415</v>
      </c>
      <c r="D31" s="11">
        <v>50104.12</v>
      </c>
      <c r="E31" s="11">
        <v>313.10000000000002</v>
      </c>
      <c r="F31" s="13">
        <f>SUMIF('OD 09-24'!A:A,A31,'OD 09-24'!D:D)</f>
        <v>0</v>
      </c>
      <c r="G31" s="13">
        <f>SUMIF('OD 09-24'!A:A,A31,'OD 09-24'!E:E)</f>
        <v>0</v>
      </c>
      <c r="H31" s="14">
        <f t="shared" si="0"/>
        <v>49791.020000000004</v>
      </c>
      <c r="I31" s="14">
        <f t="shared" si="1"/>
        <v>330962.28415000002</v>
      </c>
      <c r="J31" s="8" t="s">
        <v>25</v>
      </c>
      <c r="K31" s="8"/>
      <c r="M31" s="339"/>
      <c r="N31" s="315"/>
    </row>
    <row r="32" spans="1:14" s="9" customFormat="1" ht="11.25" customHeight="1" x14ac:dyDescent="0.2">
      <c r="A32" s="10">
        <v>22830000</v>
      </c>
      <c r="B32" s="10" t="s">
        <v>279</v>
      </c>
      <c r="C32" s="11">
        <v>243796.16828599994</v>
      </c>
      <c r="D32" s="11">
        <v>41798.156000000003</v>
      </c>
      <c r="E32" s="11">
        <v>0</v>
      </c>
      <c r="F32" s="13">
        <f>SUMIF('OD 09-24'!A:A,A32,'OD 09-24'!D:D)</f>
        <v>0</v>
      </c>
      <c r="G32" s="13">
        <f>SUMIF('OD 09-24'!A:A,A32,'OD 09-24'!E:E)</f>
        <v>0</v>
      </c>
      <c r="H32" s="14">
        <f t="shared" si="0"/>
        <v>41798.156000000003</v>
      </c>
      <c r="I32" s="14">
        <f t="shared" si="1"/>
        <v>285594.32428599993</v>
      </c>
      <c r="J32" s="8" t="s">
        <v>25</v>
      </c>
      <c r="K32" s="8"/>
      <c r="M32" s="339"/>
      <c r="N32" s="315"/>
    </row>
    <row r="33" spans="1:14" s="9" customFormat="1" ht="11.25" customHeight="1" x14ac:dyDescent="0.2">
      <c r="A33" s="10">
        <v>23000000</v>
      </c>
      <c r="B33" s="10" t="s">
        <v>280</v>
      </c>
      <c r="C33" s="11">
        <v>2.0000000404252205E-5</v>
      </c>
      <c r="D33" s="11">
        <v>0</v>
      </c>
      <c r="E33" s="11">
        <v>0</v>
      </c>
      <c r="F33" s="13">
        <f>SUMIF('OD 09-24'!A:A,A33,'OD 09-24'!D:D)</f>
        <v>0</v>
      </c>
      <c r="G33" s="13">
        <f>SUMIF('OD 09-24'!A:A,A33,'OD 09-24'!E:E)</f>
        <v>0</v>
      </c>
      <c r="H33" s="14">
        <f t="shared" si="0"/>
        <v>0</v>
      </c>
      <c r="I33" s="14">
        <f t="shared" si="1"/>
        <v>2.0000000404252205E-5</v>
      </c>
      <c r="J33" s="8"/>
      <c r="K33" s="8"/>
      <c r="M33" s="339"/>
      <c r="N33" s="315"/>
    </row>
    <row r="34" spans="1:14" s="9" customFormat="1" ht="11.25" customHeight="1" x14ac:dyDescent="0.2">
      <c r="A34" s="10">
        <v>23100000</v>
      </c>
      <c r="B34" s="10" t="s">
        <v>7399</v>
      </c>
      <c r="C34" s="11">
        <v>0</v>
      </c>
      <c r="D34" s="11">
        <v>17045.8</v>
      </c>
      <c r="E34" s="11">
        <v>0</v>
      </c>
      <c r="F34" s="13">
        <f>SUMIF('OD 09-24'!A:A,A34,'OD 09-24'!D:D)</f>
        <v>0</v>
      </c>
      <c r="G34" s="13">
        <f>SUMIF('OD 09-24'!A:A,A34,'OD 09-24'!E:E)</f>
        <v>0</v>
      </c>
      <c r="H34" s="14">
        <f t="shared" si="0"/>
        <v>17045.8</v>
      </c>
      <c r="I34" s="14">
        <f t="shared" si="1"/>
        <v>17045.8</v>
      </c>
      <c r="J34" s="8" t="s">
        <v>25</v>
      </c>
      <c r="K34" s="8"/>
      <c r="M34" s="339"/>
      <c r="N34" s="315"/>
    </row>
    <row r="35" spans="1:14" s="9" customFormat="1" ht="11.25" customHeight="1" x14ac:dyDescent="0.2">
      <c r="A35" s="10">
        <v>23200000</v>
      </c>
      <c r="B35" s="10" t="s">
        <v>38</v>
      </c>
      <c r="C35" s="11">
        <v>404721.24329749867</v>
      </c>
      <c r="D35" s="11">
        <v>262784.84640000004</v>
      </c>
      <c r="E35" s="11">
        <v>144.87899999999999</v>
      </c>
      <c r="F35" s="13">
        <f>SUMIF('OD 09-24'!A:A,A35,'OD 09-24'!D:D)</f>
        <v>0</v>
      </c>
      <c r="G35" s="13">
        <f>SUMIF('OD 09-24'!A:A,A35,'OD 09-24'!E:E)</f>
        <v>0</v>
      </c>
      <c r="H35" s="14">
        <f t="shared" si="0"/>
        <v>262639.96740000002</v>
      </c>
      <c r="I35" s="14">
        <f t="shared" si="1"/>
        <v>667361.21069749864</v>
      </c>
      <c r="J35" s="8" t="s">
        <v>25</v>
      </c>
      <c r="K35" s="8"/>
      <c r="M35" s="339"/>
      <c r="N35" s="315"/>
    </row>
    <row r="36" spans="1:14" s="9" customFormat="1" ht="11.25" customHeight="1" x14ac:dyDescent="0.2">
      <c r="A36" s="10">
        <v>23220000</v>
      </c>
      <c r="B36" s="10" t="s">
        <v>39</v>
      </c>
      <c r="C36" s="11">
        <v>0</v>
      </c>
      <c r="D36" s="11">
        <v>8680.2100000000009</v>
      </c>
      <c r="E36" s="11">
        <v>5800</v>
      </c>
      <c r="F36" s="13">
        <f>SUMIF('OD 09-24'!A:A,A36,'OD 09-24'!D:D)</f>
        <v>0</v>
      </c>
      <c r="G36" s="13">
        <f>SUMIF('OD 09-24'!A:A,A36,'OD 09-24'!E:E)</f>
        <v>0</v>
      </c>
      <c r="H36" s="14">
        <f t="shared" si="0"/>
        <v>2880.2100000000009</v>
      </c>
      <c r="I36" s="14">
        <f t="shared" si="1"/>
        <v>2880.2100000000009</v>
      </c>
      <c r="J36" s="8" t="s">
        <v>25</v>
      </c>
      <c r="K36" s="8"/>
      <c r="M36" s="339"/>
      <c r="N36" s="315"/>
    </row>
    <row r="37" spans="1:14" s="9" customFormat="1" ht="11.25" customHeight="1" x14ac:dyDescent="0.2">
      <c r="A37" s="10">
        <v>23225000</v>
      </c>
      <c r="B37" s="10" t="s">
        <v>281</v>
      </c>
      <c r="C37" s="11">
        <v>0</v>
      </c>
      <c r="D37" s="11">
        <v>0</v>
      </c>
      <c r="E37" s="11">
        <v>0</v>
      </c>
      <c r="F37" s="13">
        <f>SUMIF('OD 09-24'!A:A,A37,'OD 09-24'!D:D)</f>
        <v>0</v>
      </c>
      <c r="G37" s="13">
        <f>SUMIF('OD 09-24'!A:A,A37,'OD 09-24'!E:E)</f>
        <v>0</v>
      </c>
      <c r="H37" s="14">
        <f t="shared" si="0"/>
        <v>0</v>
      </c>
      <c r="I37" s="14">
        <f t="shared" si="1"/>
        <v>0</v>
      </c>
      <c r="J37" s="8"/>
      <c r="K37" s="8"/>
      <c r="M37" s="339"/>
      <c r="N37" s="315"/>
    </row>
    <row r="38" spans="1:14" s="9" customFormat="1" ht="11.25" customHeight="1" x14ac:dyDescent="0.2">
      <c r="A38" s="10">
        <v>23231000</v>
      </c>
      <c r="B38" s="10" t="s">
        <v>282</v>
      </c>
      <c r="C38" s="11">
        <v>0</v>
      </c>
      <c r="D38" s="11">
        <v>0</v>
      </c>
      <c r="E38" s="11">
        <v>0</v>
      </c>
      <c r="F38" s="13">
        <f>SUMIF('OD 09-24'!A:A,A38,'OD 09-24'!D:D)</f>
        <v>0</v>
      </c>
      <c r="G38" s="13">
        <f>SUMIF('OD 09-24'!A:A,A38,'OD 09-24'!E:E)</f>
        <v>0</v>
      </c>
      <c r="H38" s="14">
        <f t="shared" si="0"/>
        <v>0</v>
      </c>
      <c r="I38" s="14">
        <f t="shared" si="1"/>
        <v>0</v>
      </c>
      <c r="J38" s="8"/>
      <c r="K38" s="8"/>
      <c r="M38" s="339"/>
      <c r="N38" s="315"/>
    </row>
    <row r="39" spans="1:14" s="9" customFormat="1" ht="11.25" customHeight="1" x14ac:dyDescent="0.2">
      <c r="A39" s="10">
        <v>23237000</v>
      </c>
      <c r="B39" s="10" t="s">
        <v>283</v>
      </c>
      <c r="C39" s="11">
        <v>0</v>
      </c>
      <c r="D39" s="11">
        <v>0</v>
      </c>
      <c r="E39" s="11">
        <v>0</v>
      </c>
      <c r="F39" s="13">
        <f>SUMIF('OD 09-24'!A:A,A39,'OD 09-24'!D:D)</f>
        <v>0</v>
      </c>
      <c r="G39" s="13">
        <f>SUMIF('OD 09-24'!A:A,A39,'OD 09-24'!E:E)</f>
        <v>0</v>
      </c>
      <c r="H39" s="14">
        <f t="shared" si="0"/>
        <v>0</v>
      </c>
      <c r="I39" s="14">
        <f t="shared" si="1"/>
        <v>0</v>
      </c>
      <c r="J39" s="8"/>
      <c r="K39" s="8"/>
      <c r="M39" s="339"/>
      <c r="N39" s="315"/>
    </row>
    <row r="40" spans="1:14" s="9" customFormat="1" ht="11.25" customHeight="1" x14ac:dyDescent="0.2">
      <c r="A40" s="10">
        <v>23250000</v>
      </c>
      <c r="B40" s="10" t="s">
        <v>284</v>
      </c>
      <c r="C40" s="11">
        <v>0</v>
      </c>
      <c r="D40" s="11">
        <v>0</v>
      </c>
      <c r="E40" s="11">
        <v>0</v>
      </c>
      <c r="F40" s="13">
        <f>SUMIF('OD 09-24'!A:A,A40,'OD 09-24'!D:D)</f>
        <v>0</v>
      </c>
      <c r="G40" s="13">
        <f>SUMIF('OD 09-24'!A:A,A40,'OD 09-24'!E:E)</f>
        <v>0</v>
      </c>
      <c r="H40" s="14">
        <f t="shared" si="0"/>
        <v>0</v>
      </c>
      <c r="I40" s="14">
        <f t="shared" si="1"/>
        <v>0</v>
      </c>
      <c r="J40" s="8"/>
      <c r="K40" s="8"/>
      <c r="M40" s="339"/>
      <c r="N40" s="315"/>
    </row>
    <row r="41" spans="1:14" s="9" customFormat="1" ht="11.25" customHeight="1" x14ac:dyDescent="0.2">
      <c r="A41" s="10">
        <v>23800000</v>
      </c>
      <c r="B41" s="10" t="s">
        <v>285</v>
      </c>
      <c r="C41" s="11">
        <v>0</v>
      </c>
      <c r="D41" s="11">
        <v>0</v>
      </c>
      <c r="E41" s="11">
        <v>0</v>
      </c>
      <c r="F41" s="13">
        <f>SUMIF('OD 09-24'!A:A,A41,'OD 09-24'!D:D)</f>
        <v>0</v>
      </c>
      <c r="G41" s="13">
        <f>SUMIF('OD 09-24'!A:A,A41,'OD 09-24'!E:E)</f>
        <v>0</v>
      </c>
      <c r="H41" s="14">
        <f t="shared" si="0"/>
        <v>0</v>
      </c>
      <c r="I41" s="14">
        <f t="shared" si="1"/>
        <v>0</v>
      </c>
      <c r="J41" s="8"/>
      <c r="K41" s="8"/>
      <c r="M41" s="339"/>
      <c r="N41" s="315"/>
    </row>
    <row r="42" spans="1:14" s="9" customFormat="1" ht="11.25" customHeight="1" x14ac:dyDescent="0.2">
      <c r="A42" s="10">
        <v>24000000</v>
      </c>
      <c r="B42" s="10" t="s">
        <v>40</v>
      </c>
      <c r="C42" s="11">
        <v>770033.75899999996</v>
      </c>
      <c r="D42" s="11">
        <v>675550.6</v>
      </c>
      <c r="E42" s="11">
        <v>267949.43700000003</v>
      </c>
      <c r="F42" s="13">
        <f>SUMIF('OD 09-24'!A:A,A42,'OD 09-24'!D:D)</f>
        <v>0</v>
      </c>
      <c r="G42" s="13">
        <f>SUMIF('OD 09-24'!A:A,A42,'OD 09-24'!E:E)</f>
        <v>0</v>
      </c>
      <c r="H42" s="14">
        <f t="shared" si="0"/>
        <v>407601.16299999994</v>
      </c>
      <c r="I42" s="14">
        <f t="shared" si="1"/>
        <v>1177634.9219999998</v>
      </c>
      <c r="J42" s="8" t="s">
        <v>25</v>
      </c>
      <c r="K42" s="8"/>
      <c r="M42" s="339"/>
      <c r="N42" s="315"/>
    </row>
    <row r="43" spans="1:14" s="9" customFormat="1" ht="11.25" customHeight="1" x14ac:dyDescent="0.2">
      <c r="A43" s="10">
        <v>25100000</v>
      </c>
      <c r="B43" s="10" t="s">
        <v>286</v>
      </c>
      <c r="C43" s="11">
        <v>0</v>
      </c>
      <c r="D43" s="11">
        <v>0</v>
      </c>
      <c r="E43" s="11">
        <v>0</v>
      </c>
      <c r="F43" s="13">
        <f>SUMIF('OD 09-24'!A:A,A43,'OD 09-24'!D:D)</f>
        <v>0</v>
      </c>
      <c r="G43" s="13">
        <f>SUMIF('OD 09-24'!A:A,A43,'OD 09-24'!E:E)</f>
        <v>0</v>
      </c>
      <c r="H43" s="14">
        <f t="shared" si="0"/>
        <v>0</v>
      </c>
      <c r="I43" s="14">
        <f t="shared" si="1"/>
        <v>0</v>
      </c>
      <c r="J43" s="8"/>
      <c r="K43" s="8"/>
      <c r="M43" s="339"/>
      <c r="N43" s="315"/>
    </row>
    <row r="44" spans="1:14" s="9" customFormat="1" ht="11.25" customHeight="1" x14ac:dyDescent="0.2">
      <c r="A44" s="10">
        <v>25110000</v>
      </c>
      <c r="B44" s="10" t="s">
        <v>41</v>
      </c>
      <c r="C44" s="11">
        <v>266820</v>
      </c>
      <c r="D44" s="11">
        <v>0</v>
      </c>
      <c r="E44" s="11">
        <v>0</v>
      </c>
      <c r="F44" s="13">
        <f>SUMIF('OD 09-24'!A:A,A44,'OD 09-24'!D:D)</f>
        <v>0</v>
      </c>
      <c r="G44" s="13">
        <f>SUMIF('OD 09-24'!A:A,A44,'OD 09-24'!E:E)</f>
        <v>0</v>
      </c>
      <c r="H44" s="14">
        <f t="shared" si="0"/>
        <v>0</v>
      </c>
      <c r="I44" s="14">
        <f t="shared" si="1"/>
        <v>266820</v>
      </c>
      <c r="J44" s="8" t="s">
        <v>42</v>
      </c>
      <c r="K44" s="8"/>
      <c r="M44" s="339"/>
      <c r="N44" s="315"/>
    </row>
    <row r="45" spans="1:14" s="9" customFormat="1" ht="11.25" customHeight="1" x14ac:dyDescent="0.2">
      <c r="A45" s="10">
        <v>25120000</v>
      </c>
      <c r="B45" s="10" t="s">
        <v>287</v>
      </c>
      <c r="C45" s="11">
        <v>512700</v>
      </c>
      <c r="D45" s="11">
        <v>0</v>
      </c>
      <c r="E45" s="11">
        <v>0</v>
      </c>
      <c r="F45" s="13">
        <f>SUMIF('OD 09-24'!A:A,A45,'OD 09-24'!D:D)</f>
        <v>0</v>
      </c>
      <c r="G45" s="13">
        <f>SUMIF('OD 09-24'!A:A,A45,'OD 09-24'!E:E)</f>
        <v>0</v>
      </c>
      <c r="H45" s="14">
        <f t="shared" si="0"/>
        <v>0</v>
      </c>
      <c r="I45" s="14">
        <f t="shared" si="1"/>
        <v>512700</v>
      </c>
      <c r="J45" s="8" t="s">
        <v>42</v>
      </c>
      <c r="K45" s="8"/>
      <c r="M45" s="339"/>
      <c r="N45" s="315"/>
    </row>
    <row r="46" spans="1:14" s="9" customFormat="1" ht="11.25" customHeight="1" x14ac:dyDescent="0.2">
      <c r="A46" s="10">
        <v>25130000</v>
      </c>
      <c r="B46" s="10" t="s">
        <v>43</v>
      </c>
      <c r="C46" s="11">
        <v>677000</v>
      </c>
      <c r="D46" s="11">
        <v>0</v>
      </c>
      <c r="E46" s="11">
        <v>0</v>
      </c>
      <c r="F46" s="13">
        <f>SUMIF('OD 09-24'!A:A,A46,'OD 09-24'!D:D)</f>
        <v>0</v>
      </c>
      <c r="G46" s="13">
        <f>SUMIF('OD 09-24'!A:A,A46,'OD 09-24'!E:E)</f>
        <v>0</v>
      </c>
      <c r="H46" s="14">
        <f t="shared" si="0"/>
        <v>0</v>
      </c>
      <c r="I46" s="14">
        <f t="shared" si="1"/>
        <v>677000</v>
      </c>
      <c r="J46" s="8" t="s">
        <v>42</v>
      </c>
      <c r="K46" s="8"/>
      <c r="M46" s="339"/>
      <c r="N46" s="315"/>
    </row>
    <row r="47" spans="1:14" s="9" customFormat="1" ht="11.25" customHeight="1" x14ac:dyDescent="0.2">
      <c r="A47" s="10">
        <v>25140000</v>
      </c>
      <c r="B47" s="10" t="s">
        <v>44</v>
      </c>
      <c r="C47" s="11">
        <v>3150000</v>
      </c>
      <c r="D47" s="11">
        <v>0</v>
      </c>
      <c r="E47" s="11">
        <v>0</v>
      </c>
      <c r="F47" s="13">
        <f>SUMIF('OD 09-24'!A:A,A47,'OD 09-24'!D:D)</f>
        <v>0</v>
      </c>
      <c r="G47" s="13">
        <f>SUMIF('OD 09-24'!A:A,A47,'OD 09-24'!E:E)</f>
        <v>0</v>
      </c>
      <c r="H47" s="14">
        <f t="shared" si="0"/>
        <v>0</v>
      </c>
      <c r="I47" s="14">
        <f t="shared" si="1"/>
        <v>3150000</v>
      </c>
      <c r="J47" s="8" t="s">
        <v>42</v>
      </c>
      <c r="K47" s="8"/>
      <c r="M47" s="339"/>
      <c r="N47" s="315"/>
    </row>
    <row r="48" spans="1:14" s="9" customFormat="1" ht="11.25" customHeight="1" x14ac:dyDescent="0.2">
      <c r="A48" s="10">
        <v>25150000</v>
      </c>
      <c r="B48" s="10" t="s">
        <v>387</v>
      </c>
      <c r="C48" s="11">
        <v>319680</v>
      </c>
      <c r="D48" s="11">
        <v>0</v>
      </c>
      <c r="E48" s="11">
        <v>0</v>
      </c>
      <c r="F48" s="13">
        <f>SUMIF('OD 09-24'!A:A,A48,'OD 09-24'!D:D)</f>
        <v>0</v>
      </c>
      <c r="G48" s="13">
        <f>SUMIF('OD 09-24'!A:A,A48,'OD 09-24'!E:E)</f>
        <v>0</v>
      </c>
      <c r="H48" s="14">
        <f t="shared" si="0"/>
        <v>0</v>
      </c>
      <c r="I48" s="14">
        <f t="shared" si="1"/>
        <v>319680</v>
      </c>
      <c r="J48" s="8" t="s">
        <v>42</v>
      </c>
      <c r="K48" s="8"/>
      <c r="M48" s="339"/>
      <c r="N48" s="315"/>
    </row>
    <row r="49" spans="1:14" s="9" customFormat="1" ht="11.25" customHeight="1" x14ac:dyDescent="0.2">
      <c r="A49" s="10">
        <v>25700000</v>
      </c>
      <c r="B49" s="10" t="s">
        <v>288</v>
      </c>
      <c r="C49" s="11">
        <v>0</v>
      </c>
      <c r="D49" s="11">
        <v>0</v>
      </c>
      <c r="E49" s="11">
        <v>0</v>
      </c>
      <c r="F49" s="13">
        <f>SUMIF('OD 09-24'!A:A,A49,'OD 09-24'!D:D)</f>
        <v>0</v>
      </c>
      <c r="G49" s="13">
        <f>SUMIF('OD 09-24'!A:A,A49,'OD 09-24'!E:E)</f>
        <v>0</v>
      </c>
      <c r="H49" s="14">
        <f t="shared" si="0"/>
        <v>0</v>
      </c>
      <c r="I49" s="14">
        <f t="shared" si="1"/>
        <v>0</v>
      </c>
      <c r="J49" s="8" t="s">
        <v>42</v>
      </c>
      <c r="K49" s="8"/>
      <c r="M49" s="339"/>
      <c r="N49" s="315"/>
    </row>
    <row r="50" spans="1:14" s="9" customFormat="1" ht="11.25" customHeight="1" x14ac:dyDescent="0.2">
      <c r="A50" s="10">
        <v>25810000</v>
      </c>
      <c r="B50" s="10" t="s">
        <v>289</v>
      </c>
      <c r="C50" s="11">
        <v>0</v>
      </c>
      <c r="D50" s="11">
        <v>0</v>
      </c>
      <c r="E50" s="11">
        <v>0</v>
      </c>
      <c r="F50" s="13">
        <f>SUMIF('OD 09-24'!A:A,A50,'OD 09-24'!D:D)</f>
        <v>0</v>
      </c>
      <c r="G50" s="13">
        <f>SUMIF('OD 09-24'!A:A,A50,'OD 09-24'!E:E)</f>
        <v>0</v>
      </c>
      <c r="H50" s="14">
        <f t="shared" si="0"/>
        <v>0</v>
      </c>
      <c r="I50" s="14">
        <f t="shared" si="1"/>
        <v>0</v>
      </c>
      <c r="J50" s="8"/>
      <c r="K50" s="8"/>
      <c r="M50" s="339"/>
      <c r="N50" s="315"/>
    </row>
    <row r="51" spans="1:14" s="9" customFormat="1" ht="11.25" customHeight="1" x14ac:dyDescent="0.2">
      <c r="A51" s="10">
        <v>26400000</v>
      </c>
      <c r="B51" s="10" t="s">
        <v>290</v>
      </c>
      <c r="C51" s="11">
        <v>0</v>
      </c>
      <c r="D51" s="11">
        <v>100</v>
      </c>
      <c r="E51" s="11">
        <v>100</v>
      </c>
      <c r="F51" s="13">
        <f>SUMIF('OD 09-24'!A:A,A51,'OD 09-24'!D:D)</f>
        <v>0</v>
      </c>
      <c r="G51" s="13">
        <f>SUMIF('OD 09-24'!A:A,A51,'OD 09-24'!E:E)</f>
        <v>0</v>
      </c>
      <c r="H51" s="14">
        <f t="shared" si="0"/>
        <v>0</v>
      </c>
      <c r="I51" s="14">
        <f t="shared" si="1"/>
        <v>0</v>
      </c>
      <c r="J51" s="8"/>
      <c r="K51" s="8"/>
      <c r="M51" s="339"/>
      <c r="N51" s="315"/>
    </row>
    <row r="52" spans="1:14" s="9" customFormat="1" ht="11.25" customHeight="1" x14ac:dyDescent="0.2">
      <c r="A52" s="10">
        <v>26430000</v>
      </c>
      <c r="B52" s="10" t="s">
        <v>291</v>
      </c>
      <c r="C52" s="11">
        <v>0</v>
      </c>
      <c r="D52" s="11">
        <v>141500</v>
      </c>
      <c r="E52" s="11">
        <v>141500</v>
      </c>
      <c r="F52" s="13">
        <f>SUMIF('OD 09-24'!A:A,A52,'OD 09-24'!D:D)</f>
        <v>0</v>
      </c>
      <c r="G52" s="13">
        <f>SUMIF('OD 09-24'!A:A,A52,'OD 09-24'!E:E)</f>
        <v>0</v>
      </c>
      <c r="H52" s="14">
        <f t="shared" si="0"/>
        <v>0</v>
      </c>
      <c r="I52" s="14">
        <f t="shared" si="1"/>
        <v>0</v>
      </c>
      <c r="J52" s="8"/>
      <c r="K52" s="8"/>
      <c r="M52" s="339"/>
      <c r="N52" s="315"/>
    </row>
    <row r="53" spans="1:14" s="9" customFormat="1" ht="11.25" customHeight="1" x14ac:dyDescent="0.2">
      <c r="A53" s="10">
        <v>26500000</v>
      </c>
      <c r="B53" s="10" t="s">
        <v>45</v>
      </c>
      <c r="C53" s="11">
        <v>0</v>
      </c>
      <c r="D53" s="11">
        <v>0</v>
      </c>
      <c r="E53" s="11">
        <v>0</v>
      </c>
      <c r="F53" s="13">
        <f>SUMIF('OD 09-24'!A:A,A53,'OD 09-24'!D:D)</f>
        <v>0</v>
      </c>
      <c r="G53" s="13">
        <f>SUMIF('OD 09-24'!A:A,A53,'OD 09-24'!E:E)</f>
        <v>0</v>
      </c>
      <c r="H53" s="14">
        <f t="shared" si="0"/>
        <v>0</v>
      </c>
      <c r="I53" s="14">
        <f t="shared" si="1"/>
        <v>0</v>
      </c>
      <c r="J53" s="8" t="s">
        <v>46</v>
      </c>
      <c r="K53" s="8"/>
      <c r="M53" s="339"/>
      <c r="N53" s="315"/>
    </row>
    <row r="54" spans="1:14" s="9" customFormat="1" ht="11.25" customHeight="1" x14ac:dyDescent="0.2">
      <c r="A54" s="10">
        <v>26510000</v>
      </c>
      <c r="B54" s="10" t="s">
        <v>292</v>
      </c>
      <c r="C54" s="11">
        <v>0</v>
      </c>
      <c r="D54" s="11">
        <v>0</v>
      </c>
      <c r="E54" s="11">
        <v>0</v>
      </c>
      <c r="F54" s="13">
        <f>SUMIF('OD 09-24'!A:A,A54,'OD 09-24'!D:D)</f>
        <v>0</v>
      </c>
      <c r="G54" s="13">
        <f>SUMIF('OD 09-24'!A:A,A54,'OD 09-24'!E:E)</f>
        <v>0</v>
      </c>
      <c r="H54" s="14">
        <f t="shared" si="0"/>
        <v>0</v>
      </c>
      <c r="I54" s="14">
        <f t="shared" si="1"/>
        <v>0</v>
      </c>
      <c r="J54" s="8"/>
      <c r="K54" s="8"/>
      <c r="M54" s="339"/>
      <c r="N54" s="315"/>
    </row>
    <row r="55" spans="1:14" s="9" customFormat="1" ht="11.25" customHeight="1" x14ac:dyDescent="0.2">
      <c r="A55" s="10">
        <v>26550000</v>
      </c>
      <c r="B55" s="10" t="s">
        <v>293</v>
      </c>
      <c r="C55" s="11">
        <v>0</v>
      </c>
      <c r="D55" s="11">
        <v>0</v>
      </c>
      <c r="E55" s="11">
        <v>0</v>
      </c>
      <c r="F55" s="13">
        <f>SUMIF('OD 09-24'!A:A,A55,'OD 09-24'!D:D)</f>
        <v>0</v>
      </c>
      <c r="G55" s="13">
        <f>SUMIF('OD 09-24'!A:A,A55,'OD 09-24'!E:E)</f>
        <v>0</v>
      </c>
      <c r="H55" s="14">
        <f t="shared" si="0"/>
        <v>0</v>
      </c>
      <c r="I55" s="14">
        <f t="shared" si="1"/>
        <v>0</v>
      </c>
      <c r="J55" s="8"/>
      <c r="K55" s="8"/>
      <c r="M55" s="339"/>
      <c r="N55" s="315"/>
    </row>
    <row r="56" spans="1:14" s="9" customFormat="1" ht="11.25" customHeight="1" x14ac:dyDescent="0.2">
      <c r="A56" s="10">
        <v>26580000</v>
      </c>
      <c r="B56" s="10" t="s">
        <v>23</v>
      </c>
      <c r="C56" s="11">
        <v>5771.2</v>
      </c>
      <c r="D56" s="11">
        <v>0</v>
      </c>
      <c r="E56" s="11">
        <v>0</v>
      </c>
      <c r="F56" s="13">
        <f>SUMIF('OD 09-24'!A:A,A56,'OD 09-24'!D:D)</f>
        <v>0</v>
      </c>
      <c r="G56" s="13">
        <f>SUMIF('OD 09-24'!A:A,A56,'OD 09-24'!E:E)</f>
        <v>0</v>
      </c>
      <c r="H56" s="14">
        <f t="shared" si="0"/>
        <v>0</v>
      </c>
      <c r="I56" s="14">
        <f t="shared" si="1"/>
        <v>5771.2</v>
      </c>
      <c r="J56" s="8" t="s">
        <v>46</v>
      </c>
      <c r="K56" s="8"/>
      <c r="M56" s="339"/>
      <c r="N56" s="315"/>
    </row>
    <row r="57" spans="1:14" s="9" customFormat="1" ht="11.25" customHeight="1" x14ac:dyDescent="0.2">
      <c r="A57" s="10">
        <v>27100000</v>
      </c>
      <c r="B57" s="10" t="s">
        <v>294</v>
      </c>
      <c r="C57" s="11">
        <v>0</v>
      </c>
      <c r="D57" s="11">
        <v>0</v>
      </c>
      <c r="E57" s="11">
        <v>0</v>
      </c>
      <c r="F57" s="13">
        <f>SUMIF('OD 09-24'!A:A,A57,'OD 09-24'!D:D)</f>
        <v>0</v>
      </c>
      <c r="G57" s="13">
        <f>SUMIF('OD 09-24'!A:A,A57,'OD 09-24'!E:E)</f>
        <v>0</v>
      </c>
      <c r="H57" s="14">
        <f t="shared" si="0"/>
        <v>0</v>
      </c>
      <c r="I57" s="14">
        <f t="shared" si="1"/>
        <v>0</v>
      </c>
      <c r="J57" s="8"/>
      <c r="K57" s="8"/>
      <c r="M57" s="339"/>
      <c r="N57" s="315"/>
    </row>
    <row r="58" spans="1:14" s="9" customFormat="1" ht="11.25" customHeight="1" x14ac:dyDescent="0.2">
      <c r="A58" s="10">
        <v>28100000</v>
      </c>
      <c r="B58" s="10" t="s">
        <v>295</v>
      </c>
      <c r="C58" s="11">
        <v>0</v>
      </c>
      <c r="D58" s="11">
        <v>0</v>
      </c>
      <c r="E58" s="11">
        <v>0</v>
      </c>
      <c r="F58" s="13">
        <f>SUMIF('OD 09-24'!A:A,A58,'OD 09-24'!D:D)</f>
        <v>0</v>
      </c>
      <c r="G58" s="13">
        <f>SUMIF('OD 09-24'!A:A,A58,'OD 09-24'!E:E)</f>
        <v>0</v>
      </c>
      <c r="H58" s="14">
        <f t="shared" si="0"/>
        <v>0</v>
      </c>
      <c r="I58" s="14">
        <f t="shared" si="1"/>
        <v>0</v>
      </c>
      <c r="J58" s="8"/>
      <c r="K58" s="8"/>
      <c r="M58" s="339"/>
      <c r="N58" s="315"/>
    </row>
    <row r="59" spans="1:14" s="9" customFormat="1" ht="11.25" customHeight="1" x14ac:dyDescent="0.2">
      <c r="A59" s="10">
        <v>28110000</v>
      </c>
      <c r="B59" s="10" t="s">
        <v>296</v>
      </c>
      <c r="C59" s="11">
        <v>0</v>
      </c>
      <c r="D59" s="11">
        <v>0</v>
      </c>
      <c r="E59" s="11">
        <v>0</v>
      </c>
      <c r="F59" s="13">
        <f>SUMIF('OD 09-24'!A:A,A59,'OD 09-24'!D:D)</f>
        <v>0</v>
      </c>
      <c r="G59" s="13">
        <f>SUMIF('OD 09-24'!A:A,A59,'OD 09-24'!E:E)</f>
        <v>0</v>
      </c>
      <c r="H59" s="14">
        <f t="shared" si="0"/>
        <v>0</v>
      </c>
      <c r="I59" s="14">
        <f t="shared" si="1"/>
        <v>0</v>
      </c>
      <c r="J59" s="8"/>
      <c r="K59" s="8"/>
      <c r="M59" s="339"/>
      <c r="N59" s="315"/>
    </row>
    <row r="60" spans="1:14" s="9" customFormat="1" ht="11.25" customHeight="1" x14ac:dyDescent="0.2">
      <c r="A60" s="10">
        <v>28130000</v>
      </c>
      <c r="B60" s="10" t="s">
        <v>8979</v>
      </c>
      <c r="C60" s="11">
        <v>-75004.895999999993</v>
      </c>
      <c r="D60" s="11">
        <v>0</v>
      </c>
      <c r="E60" s="11">
        <v>0</v>
      </c>
      <c r="F60" s="13">
        <f>SUMIF('OD 09-24'!A:A,A60,'OD 09-24'!D:D)</f>
        <v>36746.324000000001</v>
      </c>
      <c r="G60" s="13">
        <f>SUMIF('OD 09-24'!A:A,A60,'OD 09-24'!E:E)</f>
        <v>49316.24</v>
      </c>
      <c r="H60" s="14">
        <f t="shared" si="0"/>
        <v>-12569.915999999997</v>
      </c>
      <c r="I60" s="14">
        <f t="shared" si="1"/>
        <v>-87574.811999999991</v>
      </c>
      <c r="J60" s="8" t="s">
        <v>47</v>
      </c>
      <c r="K60" s="8"/>
      <c r="M60" s="339"/>
      <c r="N60" s="315"/>
    </row>
    <row r="61" spans="1:14" s="9" customFormat="1" ht="11.25" customHeight="1" x14ac:dyDescent="0.2">
      <c r="A61" s="10">
        <v>28216000</v>
      </c>
      <c r="B61" s="10" t="s">
        <v>48</v>
      </c>
      <c r="C61" s="11">
        <v>-148352.71299999999</v>
      </c>
      <c r="D61" s="11">
        <v>0</v>
      </c>
      <c r="E61" s="11">
        <v>0</v>
      </c>
      <c r="F61" s="13">
        <f>SUMIF('OD 09-24'!A:A,A61,'OD 09-24'!D:D)</f>
        <v>8394.4210000000003</v>
      </c>
      <c r="G61" s="13">
        <f>SUMIF('OD 09-24'!A:A,A61,'OD 09-24'!E:E)</f>
        <v>10504.620999999999</v>
      </c>
      <c r="H61" s="14">
        <f t="shared" si="0"/>
        <v>-2110.1999999999989</v>
      </c>
      <c r="I61" s="14">
        <f t="shared" si="1"/>
        <v>-150462.913</v>
      </c>
      <c r="J61" s="8" t="s">
        <v>47</v>
      </c>
      <c r="K61" s="8"/>
      <c r="M61" s="339"/>
      <c r="N61" s="315"/>
    </row>
    <row r="62" spans="1:14" s="9" customFormat="1" ht="11.25" customHeight="1" x14ac:dyDescent="0.2">
      <c r="A62" s="10">
        <v>28220000</v>
      </c>
      <c r="B62" s="10" t="s">
        <v>49</v>
      </c>
      <c r="C62" s="11">
        <v>-3729152.5419999999</v>
      </c>
      <c r="D62" s="11">
        <v>0</v>
      </c>
      <c r="E62" s="11">
        <v>0</v>
      </c>
      <c r="F62" s="13">
        <f>SUMIF('OD 09-24'!A:A,A62,'OD 09-24'!D:D)</f>
        <v>1368857.358</v>
      </c>
      <c r="G62" s="13">
        <f>SUMIF('OD 09-24'!A:A,A62,'OD 09-24'!E:E)</f>
        <v>1712962.385</v>
      </c>
      <c r="H62" s="14">
        <f t="shared" si="0"/>
        <v>-344105.027</v>
      </c>
      <c r="I62" s="14">
        <f t="shared" si="1"/>
        <v>-4073257.5690000001</v>
      </c>
      <c r="J62" s="8" t="s">
        <v>47</v>
      </c>
      <c r="K62" s="8"/>
      <c r="M62" s="339"/>
      <c r="N62" s="315"/>
    </row>
    <row r="63" spans="1:14" s="9" customFormat="1" ht="11.25" customHeight="1" x14ac:dyDescent="0.2">
      <c r="A63" s="10">
        <v>28225000</v>
      </c>
      <c r="B63" s="10" t="s">
        <v>50</v>
      </c>
      <c r="C63" s="11">
        <v>-271826.14399999997</v>
      </c>
      <c r="D63" s="11">
        <v>0</v>
      </c>
      <c r="E63" s="11">
        <v>0</v>
      </c>
      <c r="F63" s="13">
        <f>SUMIF('OD 09-24'!A:A,A63,'OD 09-24'!D:D)</f>
        <v>239383.91800000001</v>
      </c>
      <c r="G63" s="13">
        <f>SUMIF('OD 09-24'!A:A,A63,'OD 09-24'!E:E)</f>
        <v>295480.53499999997</v>
      </c>
      <c r="H63" s="14">
        <f t="shared" si="0"/>
        <v>-56096.616999999969</v>
      </c>
      <c r="I63" s="14">
        <f t="shared" si="1"/>
        <v>-327922.76099999994</v>
      </c>
      <c r="J63" s="8" t="s">
        <v>47</v>
      </c>
      <c r="K63" s="8"/>
      <c r="M63" s="339"/>
      <c r="N63" s="315"/>
    </row>
    <row r="64" spans="1:14" s="9" customFormat="1" ht="11.25" customHeight="1" x14ac:dyDescent="0.2">
      <c r="A64" s="10">
        <v>28230000</v>
      </c>
      <c r="B64" s="10" t="s">
        <v>263</v>
      </c>
      <c r="C64" s="11">
        <v>-43130.395000000004</v>
      </c>
      <c r="D64" s="11">
        <v>0</v>
      </c>
      <c r="E64" s="11">
        <v>0</v>
      </c>
      <c r="F64" s="13">
        <f>SUMIF('OD 09-24'!A:A,A64,'OD 09-24'!D:D)</f>
        <v>80562.835000000006</v>
      </c>
      <c r="G64" s="13">
        <f>SUMIF('OD 09-24'!A:A,A64,'OD 09-24'!E:E)</f>
        <v>102448.69500000001</v>
      </c>
      <c r="H64" s="14">
        <f t="shared" si="0"/>
        <v>-21885.86</v>
      </c>
      <c r="I64" s="14">
        <f t="shared" si="1"/>
        <v>-65016.255000000005</v>
      </c>
      <c r="J64" s="8" t="s">
        <v>47</v>
      </c>
      <c r="K64" s="8"/>
      <c r="M64" s="339"/>
      <c r="N64" s="315"/>
    </row>
    <row r="65" spans="1:14" s="9" customFormat="1" ht="11.25" customHeight="1" x14ac:dyDescent="0.2">
      <c r="A65" s="10">
        <v>28231000</v>
      </c>
      <c r="B65" s="10" t="s">
        <v>402</v>
      </c>
      <c r="C65" s="11">
        <v>0</v>
      </c>
      <c r="D65" s="11">
        <v>0</v>
      </c>
      <c r="E65" s="11">
        <v>0</v>
      </c>
      <c r="F65" s="13">
        <f>SUMIF('OD 09-24'!A:A,A65,'OD 09-24'!D:D)</f>
        <v>3421.826</v>
      </c>
      <c r="G65" s="13">
        <f>SUMIF('OD 09-24'!A:A,A65,'OD 09-24'!E:E)</f>
        <v>5260.1880000000001</v>
      </c>
      <c r="H65" s="14">
        <f t="shared" si="0"/>
        <v>-1838.3620000000001</v>
      </c>
      <c r="I65" s="14">
        <f t="shared" si="1"/>
        <v>-1838.3620000000001</v>
      </c>
      <c r="J65" s="8" t="s">
        <v>47</v>
      </c>
      <c r="K65" s="8"/>
      <c r="M65" s="339"/>
      <c r="N65" s="315"/>
    </row>
    <row r="66" spans="1:14" s="9" customFormat="1" ht="11.25" customHeight="1" x14ac:dyDescent="0.2">
      <c r="A66" s="10">
        <v>28234000</v>
      </c>
      <c r="B66" s="10" t="s">
        <v>51</v>
      </c>
      <c r="C66" s="11">
        <v>-15867226.817000002</v>
      </c>
      <c r="D66" s="11">
        <v>308651.201</v>
      </c>
      <c r="E66" s="11">
        <v>0</v>
      </c>
      <c r="F66" s="13">
        <f>SUMIF('OD 09-24'!A:A,A66,'OD 09-24'!D:D)</f>
        <v>4869002.0219999999</v>
      </c>
      <c r="G66" s="13">
        <f>SUMIF('OD 09-24'!A:A,A66,'OD 09-24'!E:E)</f>
        <v>6084378.5080000004</v>
      </c>
      <c r="H66" s="14">
        <f t="shared" si="0"/>
        <v>-906725.28500000015</v>
      </c>
      <c r="I66" s="14">
        <f t="shared" si="1"/>
        <v>-16773952.102000002</v>
      </c>
      <c r="J66" s="8" t="s">
        <v>47</v>
      </c>
      <c r="K66" s="8"/>
      <c r="M66" s="339"/>
      <c r="N66" s="315"/>
    </row>
    <row r="67" spans="1:14" s="9" customFormat="1" ht="11.25" customHeight="1" x14ac:dyDescent="0.2">
      <c r="A67" s="10">
        <v>28235000</v>
      </c>
      <c r="B67" s="10" t="s">
        <v>52</v>
      </c>
      <c r="C67" s="11">
        <v>-355370.76600000006</v>
      </c>
      <c r="D67" s="11">
        <v>0</v>
      </c>
      <c r="E67" s="11">
        <v>0</v>
      </c>
      <c r="F67" s="13">
        <f>SUMIF('OD 09-24'!A:A,A67,'OD 09-24'!D:D)</f>
        <v>174217.40900000001</v>
      </c>
      <c r="G67" s="13">
        <f>SUMIF('OD 09-24'!A:A,A67,'OD 09-24'!E:E)</f>
        <v>218581.78</v>
      </c>
      <c r="H67" s="14">
        <f t="shared" ref="H67:H130" si="2">+D67+F67-E67-G67</f>
        <v>-44364.370999999985</v>
      </c>
      <c r="I67" s="14">
        <f t="shared" ref="I67:I130" si="3">+H67+C67</f>
        <v>-399735.13700000005</v>
      </c>
      <c r="J67" s="8" t="s">
        <v>47</v>
      </c>
      <c r="K67" s="8"/>
      <c r="M67" s="339"/>
      <c r="N67" s="315"/>
    </row>
    <row r="68" spans="1:14" s="9" customFormat="1" ht="11.25" customHeight="1" x14ac:dyDescent="0.2">
      <c r="A68" s="10">
        <v>28237000</v>
      </c>
      <c r="B68" s="10" t="s">
        <v>53</v>
      </c>
      <c r="C68" s="11">
        <v>-756166.84899999993</v>
      </c>
      <c r="D68" s="11">
        <v>0</v>
      </c>
      <c r="E68" s="11">
        <v>0</v>
      </c>
      <c r="F68" s="13">
        <f>SUMIF('OD 09-24'!A:A,A68,'OD 09-24'!D:D)</f>
        <v>127157.538</v>
      </c>
      <c r="G68" s="13">
        <f>SUMIF('OD 09-24'!A:A,A68,'OD 09-24'!E:E)</f>
        <v>158693.69399999999</v>
      </c>
      <c r="H68" s="14">
        <f t="shared" si="2"/>
        <v>-31536.155999999988</v>
      </c>
      <c r="I68" s="14">
        <f t="shared" si="3"/>
        <v>-787703.00499999989</v>
      </c>
      <c r="J68" s="8" t="s">
        <v>47</v>
      </c>
      <c r="K68" s="8"/>
      <c r="M68" s="339"/>
      <c r="N68" s="315"/>
    </row>
    <row r="69" spans="1:14" s="9" customFormat="1" ht="11.25" customHeight="1" x14ac:dyDescent="0.2">
      <c r="A69" s="10">
        <v>28240000</v>
      </c>
      <c r="B69" s="10" t="s">
        <v>54</v>
      </c>
      <c r="C69" s="11">
        <v>-641382.64299999992</v>
      </c>
      <c r="D69" s="11">
        <v>30121.977999999996</v>
      </c>
      <c r="E69" s="11">
        <v>17545.055</v>
      </c>
      <c r="F69" s="13">
        <f>SUMIF('OD 09-24'!A:A,A69,'OD 09-24'!D:D)</f>
        <v>552856.00300000003</v>
      </c>
      <c r="G69" s="13">
        <f>SUMIF('OD 09-24'!A:A,A69,'OD 09-24'!E:E)</f>
        <v>691091.05900000001</v>
      </c>
      <c r="H69" s="14">
        <f t="shared" si="2"/>
        <v>-125658.13300000003</v>
      </c>
      <c r="I69" s="14">
        <f t="shared" si="3"/>
        <v>-767040.77599999995</v>
      </c>
      <c r="J69" s="8" t="s">
        <v>47</v>
      </c>
      <c r="K69" s="8"/>
      <c r="M69" s="339"/>
      <c r="N69" s="315"/>
    </row>
    <row r="70" spans="1:14" s="9" customFormat="1" ht="11.25" customHeight="1" x14ac:dyDescent="0.2">
      <c r="A70" s="10">
        <v>28282000</v>
      </c>
      <c r="B70" s="10" t="s">
        <v>55</v>
      </c>
      <c r="C70" s="11">
        <v>-227110.92800000001</v>
      </c>
      <c r="D70" s="11">
        <v>0</v>
      </c>
      <c r="E70" s="11">
        <v>0</v>
      </c>
      <c r="F70" s="13">
        <f>SUMIF('OD 09-24'!A:A,A70,'OD 09-24'!D:D)</f>
        <v>161815.20499999999</v>
      </c>
      <c r="G70" s="13">
        <f>SUMIF('OD 09-24'!A:A,A70,'OD 09-24'!E:E)</f>
        <v>203172.88800000001</v>
      </c>
      <c r="H70" s="14">
        <f t="shared" si="2"/>
        <v>-41357.683000000019</v>
      </c>
      <c r="I70" s="14">
        <f t="shared" si="3"/>
        <v>-268468.61100000003</v>
      </c>
      <c r="J70" s="8" t="s">
        <v>47</v>
      </c>
      <c r="K70" s="8"/>
      <c r="M70" s="339"/>
      <c r="N70" s="315"/>
    </row>
    <row r="71" spans="1:14" s="9" customFormat="1" ht="11.25" customHeight="1" x14ac:dyDescent="0.2">
      <c r="A71" s="10">
        <v>28283000</v>
      </c>
      <c r="B71" s="10" t="s">
        <v>264</v>
      </c>
      <c r="C71" s="11">
        <v>-129025.63500000001</v>
      </c>
      <c r="D71" s="11">
        <v>0</v>
      </c>
      <c r="E71" s="11">
        <v>0</v>
      </c>
      <c r="F71" s="13">
        <f>SUMIF('OD 09-24'!A:A,A71,'OD 09-24'!D:D)</f>
        <v>139445.54399999999</v>
      </c>
      <c r="G71" s="13">
        <f>SUMIF('OD 09-24'!A:A,A71,'OD 09-24'!E:E)</f>
        <v>175794.533</v>
      </c>
      <c r="H71" s="14">
        <f t="shared" si="2"/>
        <v>-36348.989000000001</v>
      </c>
      <c r="I71" s="14">
        <f t="shared" si="3"/>
        <v>-165374.62400000001</v>
      </c>
      <c r="J71" s="8" t="s">
        <v>47</v>
      </c>
      <c r="K71" s="8"/>
      <c r="M71" s="339"/>
      <c r="N71" s="315"/>
    </row>
    <row r="72" spans="1:14" s="9" customFormat="1" ht="11.25" customHeight="1" x14ac:dyDescent="0.2">
      <c r="A72" s="10">
        <v>28400000</v>
      </c>
      <c r="B72" s="10" t="s">
        <v>56</v>
      </c>
      <c r="C72" s="11">
        <v>-480076.72500000009</v>
      </c>
      <c r="D72" s="11">
        <v>94339.096999999994</v>
      </c>
      <c r="E72" s="11">
        <v>0</v>
      </c>
      <c r="F72" s="13">
        <f>SUMIF('OD 09-24'!A:A,A72,'OD 09-24'!D:D)</f>
        <v>432132.359</v>
      </c>
      <c r="G72" s="13">
        <f>SUMIF('OD 09-24'!A:A,A72,'OD 09-24'!E:E)</f>
        <v>547524.34100000001</v>
      </c>
      <c r="H72" s="14">
        <f t="shared" si="2"/>
        <v>-21052.885000000009</v>
      </c>
      <c r="I72" s="14">
        <f t="shared" si="3"/>
        <v>-501129.6100000001</v>
      </c>
      <c r="J72" s="8" t="s">
        <v>47</v>
      </c>
      <c r="K72" s="8"/>
      <c r="M72" s="339"/>
      <c r="N72" s="315"/>
    </row>
    <row r="73" spans="1:14" s="9" customFormat="1" ht="11.25" customHeight="1" x14ac:dyDescent="0.2">
      <c r="A73" s="10">
        <v>29220000</v>
      </c>
      <c r="B73" s="10" t="s">
        <v>297</v>
      </c>
      <c r="C73" s="11">
        <v>0</v>
      </c>
      <c r="D73" s="11">
        <v>0</v>
      </c>
      <c r="E73" s="11">
        <v>0</v>
      </c>
      <c r="F73" s="13">
        <f>SUMIF('OD 09-24'!A:A,A73,'OD 09-24'!D:D)</f>
        <v>0</v>
      </c>
      <c r="G73" s="13">
        <f>SUMIF('OD 09-24'!A:A,A73,'OD 09-24'!E:E)</f>
        <v>0</v>
      </c>
      <c r="H73" s="14">
        <f t="shared" si="2"/>
        <v>0</v>
      </c>
      <c r="I73" s="14">
        <f t="shared" si="3"/>
        <v>0</v>
      </c>
      <c r="J73" s="8"/>
      <c r="K73" s="8"/>
      <c r="M73" s="339"/>
      <c r="N73" s="315"/>
    </row>
    <row r="74" spans="1:14" s="9" customFormat="1" ht="11.25" customHeight="1" x14ac:dyDescent="0.2">
      <c r="A74" s="10">
        <v>29234000</v>
      </c>
      <c r="B74" s="10" t="s">
        <v>388</v>
      </c>
      <c r="C74" s="11">
        <v>-223876.883</v>
      </c>
      <c r="D74" s="11">
        <v>59797.479000000007</v>
      </c>
      <c r="E74" s="11">
        <v>0</v>
      </c>
      <c r="F74" s="13">
        <f>SUMIF('OD 09-24'!A:A,A74,'OD 09-24'!D:D)</f>
        <v>0</v>
      </c>
      <c r="G74" s="13">
        <f>SUMIF('OD 09-24'!A:A,A74,'OD 09-24'!E:E)</f>
        <v>100000</v>
      </c>
      <c r="H74" s="14">
        <f t="shared" si="2"/>
        <v>-40202.520999999993</v>
      </c>
      <c r="I74" s="14">
        <f t="shared" si="3"/>
        <v>-264079.40399999998</v>
      </c>
      <c r="J74" s="8" t="s">
        <v>401</v>
      </c>
      <c r="K74" s="8"/>
      <c r="M74" s="339"/>
      <c r="N74" s="315"/>
    </row>
    <row r="75" spans="1:14" s="9" customFormat="1" ht="11.25" customHeight="1" x14ac:dyDescent="0.2">
      <c r="A75" s="10">
        <v>29235000</v>
      </c>
      <c r="B75" s="10" t="s">
        <v>389</v>
      </c>
      <c r="C75" s="11">
        <v>-8171.429000000001</v>
      </c>
      <c r="D75" s="11">
        <v>0</v>
      </c>
      <c r="E75" s="11">
        <v>0</v>
      </c>
      <c r="F75" s="13">
        <f>SUMIF('OD 09-24'!A:A,A75,'OD 09-24'!D:D)</f>
        <v>0</v>
      </c>
      <c r="G75" s="13">
        <f>SUMIF('OD 09-24'!A:A,A75,'OD 09-24'!E:E)</f>
        <v>0</v>
      </c>
      <c r="H75" s="14">
        <f t="shared" si="2"/>
        <v>0</v>
      </c>
      <c r="I75" s="14">
        <f t="shared" si="3"/>
        <v>-8171.429000000001</v>
      </c>
      <c r="J75" s="8" t="s">
        <v>401</v>
      </c>
      <c r="K75" s="8"/>
      <c r="M75" s="339"/>
      <c r="N75" s="315"/>
    </row>
    <row r="76" spans="1:14" s="9" customFormat="1" ht="11.25" customHeight="1" x14ac:dyDescent="0.2">
      <c r="A76" s="10">
        <v>29282000</v>
      </c>
      <c r="B76" s="10" t="s">
        <v>298</v>
      </c>
      <c r="C76" s="11">
        <v>0</v>
      </c>
      <c r="D76" s="11">
        <v>0</v>
      </c>
      <c r="E76" s="11">
        <v>0</v>
      </c>
      <c r="F76" s="13">
        <f>SUMIF('OD 09-24'!A:A,A76,'OD 09-24'!D:D)</f>
        <v>0</v>
      </c>
      <c r="G76" s="13">
        <f>SUMIF('OD 09-24'!A:A,A76,'OD 09-24'!E:E)</f>
        <v>0</v>
      </c>
      <c r="H76" s="14">
        <f t="shared" si="2"/>
        <v>0</v>
      </c>
      <c r="I76" s="14">
        <f t="shared" si="3"/>
        <v>0</v>
      </c>
      <c r="J76" s="8"/>
      <c r="K76" s="8"/>
      <c r="M76" s="339"/>
      <c r="N76" s="315"/>
    </row>
    <row r="77" spans="1:14" s="9" customFormat="1" ht="11.25" customHeight="1" x14ac:dyDescent="0.2">
      <c r="A77" s="10">
        <v>29286500</v>
      </c>
      <c r="B77" s="10" t="s">
        <v>299</v>
      </c>
      <c r="C77" s="11">
        <v>0</v>
      </c>
      <c r="D77" s="11">
        <v>0</v>
      </c>
      <c r="E77" s="11">
        <v>0</v>
      </c>
      <c r="F77" s="13">
        <f>SUMIF('OD 09-24'!A:A,A77,'OD 09-24'!D:D)</f>
        <v>0</v>
      </c>
      <c r="G77" s="13">
        <f>SUMIF('OD 09-24'!A:A,A77,'OD 09-24'!E:E)</f>
        <v>0</v>
      </c>
      <c r="H77" s="14">
        <f t="shared" si="2"/>
        <v>0</v>
      </c>
      <c r="I77" s="14">
        <f t="shared" si="3"/>
        <v>0</v>
      </c>
      <c r="J77" s="8" t="s">
        <v>25</v>
      </c>
      <c r="K77" s="8"/>
      <c r="M77" s="339"/>
      <c r="N77" s="315"/>
    </row>
    <row r="78" spans="1:14" s="9" customFormat="1" ht="11.25" customHeight="1" x14ac:dyDescent="0.2">
      <c r="A78" s="10">
        <v>29700000</v>
      </c>
      <c r="B78" s="10" t="s">
        <v>57</v>
      </c>
      <c r="C78" s="11">
        <v>-29257.384999999998</v>
      </c>
      <c r="D78" s="11">
        <v>0</v>
      </c>
      <c r="E78" s="11">
        <v>0</v>
      </c>
      <c r="F78" s="13">
        <f>SUMIF('OD 09-24'!A:A,A78,'OD 09-24'!D:D)</f>
        <v>0</v>
      </c>
      <c r="G78" s="13">
        <f>SUMIF('OD 09-24'!A:A,A78,'OD 09-24'!E:E)</f>
        <v>0</v>
      </c>
      <c r="H78" s="14">
        <f t="shared" si="2"/>
        <v>0</v>
      </c>
      <c r="I78" s="14">
        <f t="shared" si="3"/>
        <v>-29257.384999999998</v>
      </c>
      <c r="J78" s="8" t="s">
        <v>58</v>
      </c>
      <c r="K78" s="8"/>
      <c r="M78" s="339"/>
      <c r="N78" s="315"/>
    </row>
    <row r="79" spans="1:14" s="9" customFormat="1" ht="11.25" customHeight="1" x14ac:dyDescent="0.2">
      <c r="A79" s="10">
        <v>31100000</v>
      </c>
      <c r="B79" s="10" t="s">
        <v>59</v>
      </c>
      <c r="C79" s="11">
        <v>9520075.0200000107</v>
      </c>
      <c r="D79" s="11">
        <v>0</v>
      </c>
      <c r="E79" s="11">
        <v>9520075.0199999996</v>
      </c>
      <c r="F79" s="13">
        <f>SUMIF('OD 09-24'!A:A,A79,'OD 09-24'!D:D)</f>
        <v>118472681.7622</v>
      </c>
      <c r="G79" s="13">
        <f>SUMIF('OD 09-24'!A:A,A79,'OD 09-24'!E:E)</f>
        <v>108409377.3642</v>
      </c>
      <c r="H79" s="14">
        <f t="shared" si="2"/>
        <v>543229.37800000608</v>
      </c>
      <c r="I79" s="14">
        <f t="shared" si="3"/>
        <v>10063304.398000017</v>
      </c>
      <c r="J79" s="8" t="s">
        <v>60</v>
      </c>
      <c r="K79" s="8"/>
      <c r="M79" s="339"/>
      <c r="N79" s="315"/>
    </row>
    <row r="80" spans="1:14" s="9" customFormat="1" ht="11.25" customHeight="1" x14ac:dyDescent="0.2">
      <c r="A80" s="10">
        <v>31200000</v>
      </c>
      <c r="B80" s="10" t="s">
        <v>390</v>
      </c>
      <c r="C80" s="11">
        <v>1881173.9139999996</v>
      </c>
      <c r="D80" s="11">
        <v>0</v>
      </c>
      <c r="E80" s="11">
        <v>1881173.9140000001</v>
      </c>
      <c r="F80" s="13">
        <f>SUMIF('OD 09-24'!A:A,A80,'OD 09-24'!D:D)</f>
        <v>5854753.227</v>
      </c>
      <c r="G80" s="13">
        <f>SUMIF('OD 09-24'!A:A,A80,'OD 09-24'!E:E)</f>
        <v>3111337.3169999998</v>
      </c>
      <c r="H80" s="14">
        <f t="shared" si="2"/>
        <v>862241.99600000028</v>
      </c>
      <c r="I80" s="467">
        <f t="shared" si="3"/>
        <v>2743415.91</v>
      </c>
      <c r="J80" s="8" t="s">
        <v>60</v>
      </c>
      <c r="K80" s="8"/>
      <c r="M80" s="339"/>
      <c r="N80" s="315"/>
    </row>
    <row r="81" spans="1:14" s="9" customFormat="1" ht="11.25" customHeight="1" x14ac:dyDescent="0.2">
      <c r="A81" s="10">
        <v>32200000</v>
      </c>
      <c r="B81" s="10" t="s">
        <v>61</v>
      </c>
      <c r="C81" s="11">
        <v>662156.42899999954</v>
      </c>
      <c r="D81" s="11">
        <v>0</v>
      </c>
      <c r="E81" s="11">
        <v>662156.429</v>
      </c>
      <c r="F81" s="13">
        <f>SUMIF('OD 09-24'!A:A,A81,'OD 09-24'!D:D)</f>
        <v>7982497.2364999996</v>
      </c>
      <c r="G81" s="13">
        <f>SUMIF('OD 09-24'!A:A,A81,'OD 09-24'!E:E)</f>
        <v>7360170.9205</v>
      </c>
      <c r="H81" s="14">
        <f t="shared" si="2"/>
        <v>-39830.113000000827</v>
      </c>
      <c r="I81" s="14">
        <f t="shared" si="3"/>
        <v>622326.31599999871</v>
      </c>
      <c r="J81" s="8" t="s">
        <v>60</v>
      </c>
      <c r="K81" s="8"/>
      <c r="M81" s="339"/>
      <c r="N81" s="315"/>
    </row>
    <row r="82" spans="1:14" s="9" customFormat="1" ht="11.25" customHeight="1" x14ac:dyDescent="0.2">
      <c r="A82" s="10">
        <v>33100000</v>
      </c>
      <c r="B82" s="10" t="s">
        <v>62</v>
      </c>
      <c r="C82" s="11">
        <v>3435380.2890000008</v>
      </c>
      <c r="D82" s="11">
        <v>0</v>
      </c>
      <c r="E82" s="11">
        <v>3435380.2889999999</v>
      </c>
      <c r="F82" s="13">
        <f>SUMIF('OD 09-24'!A:A,A82,'OD 09-24'!D:D)</f>
        <v>44469470.616400003</v>
      </c>
      <c r="G82" s="13">
        <f>SUMIF('OD 09-24'!A:A,A82,'OD 09-24'!E:E)</f>
        <v>40179330.347400002</v>
      </c>
      <c r="H82" s="14">
        <f t="shared" si="2"/>
        <v>854759.98000000417</v>
      </c>
      <c r="I82" s="14">
        <f t="shared" si="3"/>
        <v>4290140.269000005</v>
      </c>
      <c r="J82" s="8" t="s">
        <v>60</v>
      </c>
      <c r="K82" s="8"/>
      <c r="M82" s="339"/>
      <c r="N82" s="315"/>
    </row>
    <row r="83" spans="1:14" s="9" customFormat="1" ht="11.25" customHeight="1" x14ac:dyDescent="0.2">
      <c r="A83" s="10">
        <v>33500000</v>
      </c>
      <c r="B83" s="10" t="s">
        <v>300</v>
      </c>
      <c r="C83" s="11">
        <v>0</v>
      </c>
      <c r="D83" s="11">
        <v>0</v>
      </c>
      <c r="E83" s="11">
        <v>0</v>
      </c>
      <c r="F83" s="13">
        <f>SUMIF('OD 09-24'!A:A,A83,'OD 09-24'!D:D)</f>
        <v>0</v>
      </c>
      <c r="G83" s="13">
        <f>SUMIF('OD 09-24'!A:A,A83,'OD 09-24'!E:E)</f>
        <v>0</v>
      </c>
      <c r="H83" s="14">
        <f t="shared" si="2"/>
        <v>0</v>
      </c>
      <c r="I83" s="14">
        <f t="shared" si="3"/>
        <v>0</v>
      </c>
      <c r="J83" s="8"/>
      <c r="K83" s="8"/>
      <c r="M83" s="339"/>
      <c r="N83" s="315"/>
    </row>
    <row r="84" spans="1:14" s="9" customFormat="1" ht="11.25" customHeight="1" x14ac:dyDescent="0.2">
      <c r="A84" s="10">
        <v>34100000</v>
      </c>
      <c r="B84" s="10" t="s">
        <v>301</v>
      </c>
      <c r="C84" s="11">
        <v>0</v>
      </c>
      <c r="D84" s="11">
        <v>0</v>
      </c>
      <c r="E84" s="11">
        <v>0</v>
      </c>
      <c r="F84" s="13">
        <f>SUMIF('OD 09-24'!A:A,A84,'OD 09-24'!D:D)</f>
        <v>0</v>
      </c>
      <c r="G84" s="13">
        <f>SUMIF('OD 09-24'!A:A,A84,'OD 09-24'!E:E)</f>
        <v>0</v>
      </c>
      <c r="H84" s="14">
        <f t="shared" si="2"/>
        <v>0</v>
      </c>
      <c r="I84" s="14">
        <f t="shared" si="3"/>
        <v>0</v>
      </c>
      <c r="J84" s="8"/>
      <c r="K84" s="8"/>
      <c r="M84" s="339"/>
      <c r="N84" s="315"/>
    </row>
    <row r="85" spans="1:14" s="9" customFormat="1" ht="11.25" customHeight="1" x14ac:dyDescent="0.2">
      <c r="A85" s="10">
        <v>35500000</v>
      </c>
      <c r="B85" s="10" t="s">
        <v>63</v>
      </c>
      <c r="C85" s="11">
        <v>1674504.0189999994</v>
      </c>
      <c r="D85" s="11">
        <v>19.696999999999999</v>
      </c>
      <c r="E85" s="11">
        <v>1674523.716</v>
      </c>
      <c r="F85" s="13">
        <f>SUMIF('OD 09-24'!A:A,A85,'OD 09-24'!D:D)</f>
        <v>16609226.76</v>
      </c>
      <c r="G85" s="13">
        <f>SUMIF('OD 09-24'!A:A,A85,'OD 09-24'!E:E)</f>
        <v>16076287.607000001</v>
      </c>
      <c r="H85" s="14">
        <f t="shared" si="2"/>
        <v>-1141564.8660000004</v>
      </c>
      <c r="I85" s="14">
        <f t="shared" si="3"/>
        <v>532939.152999999</v>
      </c>
      <c r="J85" s="8" t="s">
        <v>60</v>
      </c>
      <c r="K85" s="8"/>
      <c r="M85" s="339"/>
      <c r="N85" s="315"/>
    </row>
    <row r="86" spans="1:14" s="9" customFormat="1" ht="11.25" customHeight="1" x14ac:dyDescent="0.2">
      <c r="A86" s="10">
        <v>39000000</v>
      </c>
      <c r="B86" s="10" t="s">
        <v>64</v>
      </c>
      <c r="C86" s="11">
        <v>-208158.11300000001</v>
      </c>
      <c r="D86" s="11">
        <v>0</v>
      </c>
      <c r="E86" s="11">
        <v>0</v>
      </c>
      <c r="F86" s="13">
        <f>SUMIF('OD 09-24'!A:A,A86,'OD 09-24'!D:D)</f>
        <v>1001215.567</v>
      </c>
      <c r="G86" s="13">
        <f>SUMIF('OD 09-24'!A:A,A86,'OD 09-24'!E:E)</f>
        <v>1502431.1340000001</v>
      </c>
      <c r="H86" s="14">
        <f t="shared" si="2"/>
        <v>-501215.56700000004</v>
      </c>
      <c r="I86" s="14">
        <f t="shared" si="3"/>
        <v>-709373.68</v>
      </c>
      <c r="J86" s="8" t="s">
        <v>65</v>
      </c>
      <c r="K86" s="8"/>
      <c r="M86" s="339"/>
      <c r="N86" s="315"/>
    </row>
    <row r="87" spans="1:14" s="9" customFormat="1" ht="11.25" customHeight="1" x14ac:dyDescent="0.2">
      <c r="A87" s="10">
        <v>40100000</v>
      </c>
      <c r="B87" s="10" t="s">
        <v>66</v>
      </c>
      <c r="C87" s="11">
        <v>-2875441.9530395269</v>
      </c>
      <c r="D87" s="11">
        <v>45157537.786909997</v>
      </c>
      <c r="E87" s="11">
        <f>274569.492+44847054.330119</f>
        <v>45121623.822118998</v>
      </c>
      <c r="F87" s="13">
        <f>SUMIF('OD 09-24'!A:A,A87,'OD 09-24'!D:D)</f>
        <v>823434.255</v>
      </c>
      <c r="G87" s="13">
        <f>SUMIF('OD 09-24'!A:A,A87,'OD 09-24'!E:E)</f>
        <v>823434.255</v>
      </c>
      <c r="H87" s="14">
        <f t="shared" si="2"/>
        <v>35913.964791002567</v>
      </c>
      <c r="I87" s="14">
        <f t="shared" si="3"/>
        <v>-2839527.9882485243</v>
      </c>
      <c r="J87" s="8" t="s">
        <v>67</v>
      </c>
      <c r="K87" s="8"/>
      <c r="M87" s="339"/>
      <c r="N87" s="315"/>
    </row>
    <row r="88" spans="1:14" s="9" customFormat="1" ht="11.25" customHeight="1" x14ac:dyDescent="0.2">
      <c r="A88" s="10">
        <v>40300000</v>
      </c>
      <c r="B88" s="10" t="s">
        <v>68</v>
      </c>
      <c r="C88" s="11">
        <v>-970419.35000000149</v>
      </c>
      <c r="D88" s="11">
        <v>2358778.358</v>
      </c>
      <c r="E88" s="11">
        <v>1677181.4380000001</v>
      </c>
      <c r="F88" s="13">
        <f>SUMIF('OD 09-24'!A:A,A88,'OD 09-24'!D:D)</f>
        <v>0</v>
      </c>
      <c r="G88" s="13">
        <f>SUMIF('OD 09-24'!A:A,A88,'OD 09-24'!E:E)</f>
        <v>0</v>
      </c>
      <c r="H88" s="14">
        <f t="shared" si="2"/>
        <v>681596.91999999993</v>
      </c>
      <c r="I88" s="14">
        <f t="shared" si="3"/>
        <v>-288822.43000000156</v>
      </c>
      <c r="J88" s="8" t="s">
        <v>67</v>
      </c>
      <c r="K88" s="8"/>
      <c r="M88" s="339"/>
      <c r="N88" s="315"/>
    </row>
    <row r="89" spans="1:14" s="9" customFormat="1" ht="11.25" customHeight="1" x14ac:dyDescent="0.2">
      <c r="A89" s="10">
        <v>40301000</v>
      </c>
      <c r="B89" s="10" t="s">
        <v>302</v>
      </c>
      <c r="C89" s="11">
        <v>0</v>
      </c>
      <c r="D89" s="11">
        <v>0</v>
      </c>
      <c r="E89" s="11">
        <v>0</v>
      </c>
      <c r="F89" s="13">
        <f>SUMIF('OD 09-24'!A:A,A89,'OD 09-24'!D:D)</f>
        <v>0</v>
      </c>
      <c r="G89" s="13">
        <f>SUMIF('OD 09-24'!A:A,A89,'OD 09-24'!E:E)</f>
        <v>0</v>
      </c>
      <c r="H89" s="14">
        <f t="shared" si="2"/>
        <v>0</v>
      </c>
      <c r="I89" s="14">
        <f t="shared" si="3"/>
        <v>0</v>
      </c>
      <c r="J89" s="8"/>
      <c r="K89" s="8"/>
      <c r="M89" s="339"/>
      <c r="N89" s="315"/>
    </row>
    <row r="90" spans="1:14" s="9" customFormat="1" ht="11.25" customHeight="1" x14ac:dyDescent="0.2">
      <c r="A90" s="10">
        <v>40400000</v>
      </c>
      <c r="B90" s="10" t="s">
        <v>69</v>
      </c>
      <c r="C90" s="11">
        <v>9.999983012676239E-5</v>
      </c>
      <c r="D90" s="11">
        <v>0</v>
      </c>
      <c r="E90" s="11">
        <v>0</v>
      </c>
      <c r="F90" s="13">
        <f>SUMIF('OD 09-24'!A:A,A90,'OD 09-24'!D:D)</f>
        <v>0</v>
      </c>
      <c r="G90" s="13">
        <f>SUMIF('OD 09-24'!A:A,A90,'OD 09-24'!E:E)</f>
        <v>0</v>
      </c>
      <c r="H90" s="14">
        <f t="shared" si="2"/>
        <v>0</v>
      </c>
      <c r="I90" s="14">
        <f t="shared" si="3"/>
        <v>9.999983012676239E-5</v>
      </c>
      <c r="J90" s="8"/>
      <c r="K90" s="8"/>
      <c r="M90" s="339"/>
      <c r="N90" s="315"/>
    </row>
    <row r="91" spans="1:14" s="9" customFormat="1" ht="11.25" customHeight="1" x14ac:dyDescent="0.2">
      <c r="A91" s="10">
        <v>40470000</v>
      </c>
      <c r="B91" s="10" t="s">
        <v>303</v>
      </c>
      <c r="C91" s="11">
        <v>0</v>
      </c>
      <c r="D91" s="11">
        <v>0</v>
      </c>
      <c r="E91" s="11">
        <v>0</v>
      </c>
      <c r="F91" s="13">
        <f>SUMIF('OD 09-24'!A:A,A91,'OD 09-24'!D:D)</f>
        <v>0</v>
      </c>
      <c r="G91" s="13">
        <f>SUMIF('OD 09-24'!A:A,A91,'OD 09-24'!E:E)</f>
        <v>0</v>
      </c>
      <c r="H91" s="14">
        <f t="shared" si="2"/>
        <v>0</v>
      </c>
      <c r="I91" s="14">
        <f t="shared" si="3"/>
        <v>0</v>
      </c>
      <c r="J91" s="8"/>
      <c r="K91" s="8"/>
      <c r="M91" s="339"/>
      <c r="N91" s="315"/>
    </row>
    <row r="92" spans="1:14" s="9" customFormat="1" ht="11.25" customHeight="1" x14ac:dyDescent="0.2">
      <c r="A92" s="10">
        <v>40600000</v>
      </c>
      <c r="B92" s="10" t="s">
        <v>70</v>
      </c>
      <c r="C92" s="11">
        <v>-3111690.4287486374</v>
      </c>
      <c r="D92" s="11">
        <v>6448069.8924024999</v>
      </c>
      <c r="E92" s="11">
        <v>5734327.7475505006</v>
      </c>
      <c r="F92" s="13">
        <f>SUMIF('OD 09-24'!A:A,A92,'OD 09-24'!D:D)</f>
        <v>1801303.7439999999</v>
      </c>
      <c r="G92" s="13">
        <f>SUMIF('OD 09-24'!A:A,A92,'OD 09-24'!E:E)</f>
        <v>4392673.62</v>
      </c>
      <c r="H92" s="14">
        <f t="shared" si="2"/>
        <v>-1877627.7311480008</v>
      </c>
      <c r="I92" s="14">
        <f t="shared" si="3"/>
        <v>-4989318.1598966382</v>
      </c>
      <c r="J92" s="8" t="s">
        <v>67</v>
      </c>
      <c r="K92" s="8"/>
      <c r="M92" s="339"/>
      <c r="N92" s="315"/>
    </row>
    <row r="93" spans="1:14" s="9" customFormat="1" ht="11.25" customHeight="1" x14ac:dyDescent="0.2">
      <c r="A93" s="10">
        <v>40800000</v>
      </c>
      <c r="B93" s="10" t="s">
        <v>71</v>
      </c>
      <c r="C93" s="11">
        <v>-4980</v>
      </c>
      <c r="D93" s="11">
        <v>0</v>
      </c>
      <c r="E93" s="11">
        <v>0</v>
      </c>
      <c r="F93" s="13">
        <f>SUMIF('OD 09-24'!A:A,A93,'OD 09-24'!D:D)</f>
        <v>0</v>
      </c>
      <c r="G93" s="13">
        <f>SUMIF('OD 09-24'!A:A,A93,'OD 09-24'!E:E)</f>
        <v>0</v>
      </c>
      <c r="H93" s="14">
        <f t="shared" si="2"/>
        <v>0</v>
      </c>
      <c r="I93" s="14">
        <f t="shared" si="3"/>
        <v>-4980</v>
      </c>
      <c r="J93" s="8" t="s">
        <v>67</v>
      </c>
      <c r="K93" s="8"/>
      <c r="M93" s="339"/>
      <c r="N93" s="315"/>
    </row>
    <row r="94" spans="1:14" s="9" customFormat="1" ht="11.25" customHeight="1" x14ac:dyDescent="0.2">
      <c r="A94" s="10">
        <v>40810000</v>
      </c>
      <c r="B94" s="10" t="s">
        <v>391</v>
      </c>
      <c r="C94" s="11">
        <v>-41980.576999999997</v>
      </c>
      <c r="D94" s="11">
        <v>40054.247000000003</v>
      </c>
      <c r="E94" s="11">
        <v>3169.0909999999994</v>
      </c>
      <c r="F94" s="13">
        <f>SUMIF('OD 09-24'!A:A,A94,'OD 09-24'!D:D)</f>
        <v>5123.701</v>
      </c>
      <c r="G94" s="13">
        <f>SUMIF('OD 09-24'!A:A,A94,'OD 09-24'!E:E)</f>
        <v>5123.701</v>
      </c>
      <c r="H94" s="14">
        <f t="shared" si="2"/>
        <v>36885.156000000003</v>
      </c>
      <c r="I94" s="14">
        <f t="shared" si="3"/>
        <v>-5095.4209999999948</v>
      </c>
      <c r="J94" s="8" t="s">
        <v>67</v>
      </c>
      <c r="K94" s="8"/>
      <c r="M94" s="339"/>
      <c r="N94" s="315"/>
    </row>
    <row r="95" spans="1:14" s="9" customFormat="1" ht="11.25" customHeight="1" x14ac:dyDescent="0.2">
      <c r="A95" s="10">
        <v>40860000</v>
      </c>
      <c r="B95" s="10" t="s">
        <v>304</v>
      </c>
      <c r="C95" s="11">
        <v>0</v>
      </c>
      <c r="D95" s="11">
        <v>0</v>
      </c>
      <c r="E95" s="11">
        <v>0</v>
      </c>
      <c r="F95" s="13">
        <f>SUMIF('OD 09-24'!A:A,A95,'OD 09-24'!D:D)</f>
        <v>0</v>
      </c>
      <c r="G95" s="13">
        <f>SUMIF('OD 09-24'!A:A,A95,'OD 09-24'!E:E)</f>
        <v>0</v>
      </c>
      <c r="H95" s="14">
        <f t="shared" si="2"/>
        <v>0</v>
      </c>
      <c r="I95" s="14">
        <f t="shared" si="3"/>
        <v>0</v>
      </c>
      <c r="J95" s="8"/>
      <c r="K95" s="8"/>
      <c r="M95" s="339"/>
      <c r="N95" s="315"/>
    </row>
    <row r="96" spans="1:14" s="9" customFormat="1" ht="11.25" customHeight="1" x14ac:dyDescent="0.2">
      <c r="A96" s="10">
        <v>40910000</v>
      </c>
      <c r="B96" s="10" t="s">
        <v>72</v>
      </c>
      <c r="C96" s="11">
        <v>0</v>
      </c>
      <c r="D96" s="11">
        <v>0</v>
      </c>
      <c r="E96" s="11">
        <v>0</v>
      </c>
      <c r="F96" s="13">
        <f>SUMIF('OD 09-24'!A:A,A96,'OD 09-24'!D:D)</f>
        <v>0</v>
      </c>
      <c r="G96" s="13">
        <f>SUMIF('OD 09-24'!A:A,A96,'OD 09-24'!E:E)</f>
        <v>0</v>
      </c>
      <c r="H96" s="14">
        <f t="shared" si="2"/>
        <v>0</v>
      </c>
      <c r="I96" s="14">
        <f t="shared" si="3"/>
        <v>0</v>
      </c>
      <c r="J96" s="8" t="s">
        <v>78</v>
      </c>
      <c r="K96" s="8"/>
      <c r="M96" s="339"/>
      <c r="N96" s="315"/>
    </row>
    <row r="97" spans="1:14" s="9" customFormat="1" ht="11.25" customHeight="1" x14ac:dyDescent="0.2">
      <c r="A97" s="10">
        <v>41100000</v>
      </c>
      <c r="B97" s="10" t="s">
        <v>73</v>
      </c>
      <c r="C97" s="11">
        <v>15614197.010682464</v>
      </c>
      <c r="D97" s="11">
        <v>59251078.938000001</v>
      </c>
      <c r="E97" s="11">
        <v>51761705.155000001</v>
      </c>
      <c r="F97" s="13">
        <f>SUMIF('OD 09-24'!A:A,A97,'OD 09-24'!D:D)</f>
        <v>0</v>
      </c>
      <c r="G97" s="13">
        <f>SUMIF('OD 09-24'!A:A,A97,'OD 09-24'!E:E)</f>
        <v>0</v>
      </c>
      <c r="H97" s="14">
        <f t="shared" si="2"/>
        <v>7489373.7829999998</v>
      </c>
      <c r="I97" s="14">
        <f t="shared" si="3"/>
        <v>23103570.793682463</v>
      </c>
      <c r="J97" s="8" t="s">
        <v>74</v>
      </c>
      <c r="K97" s="8"/>
      <c r="M97" s="339"/>
      <c r="N97" s="315"/>
    </row>
    <row r="98" spans="1:14" s="9" customFormat="1" ht="11.25" customHeight="1" x14ac:dyDescent="0.2">
      <c r="A98" s="10">
        <v>41301000</v>
      </c>
      <c r="B98" s="10" t="s">
        <v>305</v>
      </c>
      <c r="C98" s="11">
        <v>0</v>
      </c>
      <c r="D98" s="11">
        <v>0</v>
      </c>
      <c r="E98" s="11">
        <v>0</v>
      </c>
      <c r="F98" s="13">
        <f>SUMIF('OD 09-24'!A:A,A98,'OD 09-24'!D:D)</f>
        <v>0</v>
      </c>
      <c r="G98" s="13">
        <f>SUMIF('OD 09-24'!A:A,A98,'OD 09-24'!E:E)</f>
        <v>0</v>
      </c>
      <c r="H98" s="14">
        <f t="shared" si="2"/>
        <v>0</v>
      </c>
      <c r="I98" s="14">
        <f t="shared" si="3"/>
        <v>0</v>
      </c>
      <c r="J98" s="8"/>
      <c r="K98" s="8"/>
      <c r="M98" s="339"/>
      <c r="N98" s="315"/>
    </row>
    <row r="99" spans="1:14" s="9" customFormat="1" ht="11.25" customHeight="1" x14ac:dyDescent="0.2">
      <c r="A99" s="10">
        <v>41500000</v>
      </c>
      <c r="B99" s="10" t="s">
        <v>75</v>
      </c>
      <c r="C99" s="11">
        <v>3350188.1832604855</v>
      </c>
      <c r="D99" s="11">
        <v>11238146.515000001</v>
      </c>
      <c r="E99" s="11">
        <v>12852688.187999999</v>
      </c>
      <c r="F99" s="13">
        <f>SUMIF('OD 09-24'!A:A,A99,'OD 09-24'!D:D)</f>
        <v>3757277.7850000001</v>
      </c>
      <c r="G99" s="13">
        <f>SUMIF('OD 09-24'!A:A,A99,'OD 09-24'!E:E)</f>
        <v>3757277.7850000001</v>
      </c>
      <c r="H99" s="14">
        <f t="shared" si="2"/>
        <v>-1614541.6729999986</v>
      </c>
      <c r="I99" s="14">
        <f t="shared" si="3"/>
        <v>1735646.510260487</v>
      </c>
      <c r="J99" s="8" t="s">
        <v>74</v>
      </c>
      <c r="K99" s="8"/>
      <c r="M99" s="339"/>
      <c r="N99" s="315"/>
    </row>
    <row r="100" spans="1:14" s="9" customFormat="1" ht="11.25" customHeight="1" x14ac:dyDescent="0.2">
      <c r="A100" s="10">
        <v>41601000</v>
      </c>
      <c r="B100" s="10" t="s">
        <v>306</v>
      </c>
      <c r="C100" s="11">
        <v>0</v>
      </c>
      <c r="D100" s="11">
        <v>0</v>
      </c>
      <c r="E100" s="11">
        <v>0</v>
      </c>
      <c r="F100" s="13">
        <f>SUMIF('OD 09-24'!A:A,A100,'OD 09-24'!D:D)</f>
        <v>0</v>
      </c>
      <c r="G100" s="13">
        <f>SUMIF('OD 09-24'!A:A,A100,'OD 09-24'!E:E)</f>
        <v>0</v>
      </c>
      <c r="H100" s="14">
        <f t="shared" si="2"/>
        <v>0</v>
      </c>
      <c r="I100" s="14">
        <f t="shared" si="3"/>
        <v>0</v>
      </c>
      <c r="J100" s="8"/>
      <c r="K100" s="8"/>
      <c r="M100" s="339"/>
      <c r="N100" s="315"/>
    </row>
    <row r="101" spans="1:14" s="9" customFormat="1" ht="11.25" customHeight="1" x14ac:dyDescent="0.2">
      <c r="A101" s="10">
        <v>41800000</v>
      </c>
      <c r="B101" s="10" t="s">
        <v>307</v>
      </c>
      <c r="C101" s="11">
        <v>0</v>
      </c>
      <c r="D101" s="11">
        <v>0</v>
      </c>
      <c r="E101" s="11">
        <v>0</v>
      </c>
      <c r="F101" s="13">
        <f>SUMIF('OD 09-24'!A:A,A101,'OD 09-24'!D:D)</f>
        <v>0</v>
      </c>
      <c r="G101" s="13">
        <f>SUMIF('OD 09-24'!A:A,A101,'OD 09-24'!E:E)</f>
        <v>0</v>
      </c>
      <c r="H101" s="14">
        <f t="shared" si="2"/>
        <v>0</v>
      </c>
      <c r="I101" s="14">
        <f t="shared" si="3"/>
        <v>0</v>
      </c>
      <c r="J101" s="8"/>
      <c r="K101" s="8"/>
      <c r="M101" s="339"/>
      <c r="N101" s="315"/>
    </row>
    <row r="102" spans="1:14" s="9" customFormat="1" ht="11.25" customHeight="1" x14ac:dyDescent="0.2">
      <c r="A102" s="10">
        <v>41910000</v>
      </c>
      <c r="B102" s="10" t="s">
        <v>308</v>
      </c>
      <c r="C102" s="11">
        <v>0</v>
      </c>
      <c r="D102" s="11">
        <v>0</v>
      </c>
      <c r="E102" s="11">
        <v>0</v>
      </c>
      <c r="F102" s="13">
        <f>SUMIF('OD 09-24'!A:A,A102,'OD 09-24'!D:D)</f>
        <v>0</v>
      </c>
      <c r="G102" s="13">
        <f>SUMIF('OD 09-24'!A:A,A102,'OD 09-24'!E:E)</f>
        <v>0</v>
      </c>
      <c r="H102" s="14">
        <f t="shared" si="2"/>
        <v>0</v>
      </c>
      <c r="I102" s="14">
        <f t="shared" si="3"/>
        <v>0</v>
      </c>
      <c r="J102" s="8"/>
      <c r="K102" s="8"/>
      <c r="M102" s="339"/>
      <c r="N102" s="315"/>
    </row>
    <row r="103" spans="1:14" s="9" customFormat="1" ht="11.25" customHeight="1" x14ac:dyDescent="0.2">
      <c r="A103" s="10">
        <v>42100000</v>
      </c>
      <c r="B103" s="10" t="s">
        <v>76</v>
      </c>
      <c r="C103" s="11">
        <v>0</v>
      </c>
      <c r="D103" s="11">
        <v>240</v>
      </c>
      <c r="E103" s="11">
        <v>240</v>
      </c>
      <c r="F103" s="13">
        <f>SUMIF('OD 09-24'!A:A,A103,'OD 09-24'!D:D)</f>
        <v>0</v>
      </c>
      <c r="G103" s="13">
        <f>SUMIF('OD 09-24'!A:A,A103,'OD 09-24'!E:E)</f>
        <v>0</v>
      </c>
      <c r="H103" s="14">
        <f t="shared" si="2"/>
        <v>0</v>
      </c>
      <c r="I103" s="14">
        <f t="shared" si="3"/>
        <v>0</v>
      </c>
      <c r="J103" s="8"/>
      <c r="K103" s="8"/>
      <c r="M103" s="339"/>
      <c r="N103" s="315"/>
    </row>
    <row r="104" spans="1:14" s="9" customFormat="1" ht="11.25" customHeight="1" x14ac:dyDescent="0.2">
      <c r="A104" s="10">
        <v>42110000</v>
      </c>
      <c r="B104" s="10" t="s">
        <v>309</v>
      </c>
      <c r="C104" s="11">
        <v>0</v>
      </c>
      <c r="D104" s="11">
        <v>0</v>
      </c>
      <c r="E104" s="11">
        <v>0</v>
      </c>
      <c r="F104" s="13">
        <f>SUMIF('OD 09-24'!A:A,A104,'OD 09-24'!D:D)</f>
        <v>0</v>
      </c>
      <c r="G104" s="13">
        <f>SUMIF('OD 09-24'!A:A,A104,'OD 09-24'!E:E)</f>
        <v>0</v>
      </c>
      <c r="H104" s="14">
        <f t="shared" si="2"/>
        <v>0</v>
      </c>
      <c r="I104" s="14">
        <f t="shared" si="3"/>
        <v>0</v>
      </c>
      <c r="J104" s="8"/>
      <c r="K104" s="8"/>
      <c r="M104" s="339"/>
      <c r="N104" s="315"/>
    </row>
    <row r="105" spans="1:14" s="9" customFormat="1" ht="11.25" customHeight="1" x14ac:dyDescent="0.2">
      <c r="A105" s="10">
        <v>42120000</v>
      </c>
      <c r="B105" s="10" t="s">
        <v>77</v>
      </c>
      <c r="C105" s="11">
        <v>21139.859999999986</v>
      </c>
      <c r="D105" s="11">
        <v>95555</v>
      </c>
      <c r="E105" s="11">
        <v>78672.479000000007</v>
      </c>
      <c r="F105" s="13">
        <f>SUMIF('OD 09-24'!A:A,A105,'OD 09-24'!D:D)</f>
        <v>0</v>
      </c>
      <c r="G105" s="13">
        <f>SUMIF('OD 09-24'!A:A,A105,'OD 09-24'!E:E)</f>
        <v>0</v>
      </c>
      <c r="H105" s="14">
        <f t="shared" si="2"/>
        <v>16882.520999999993</v>
      </c>
      <c r="I105" s="14">
        <f t="shared" si="3"/>
        <v>38022.380999999979</v>
      </c>
      <c r="J105" s="8" t="s">
        <v>78</v>
      </c>
      <c r="K105" s="8"/>
      <c r="M105" s="339"/>
      <c r="N105" s="315"/>
    </row>
    <row r="106" spans="1:14" s="9" customFormat="1" ht="11.25" customHeight="1" x14ac:dyDescent="0.2">
      <c r="A106" s="10">
        <v>42400000</v>
      </c>
      <c r="B106" s="10" t="s">
        <v>79</v>
      </c>
      <c r="C106" s="11">
        <v>0</v>
      </c>
      <c r="D106" s="11">
        <v>0</v>
      </c>
      <c r="E106" s="11">
        <v>0</v>
      </c>
      <c r="F106" s="13">
        <f>SUMIF('OD 09-24'!A:A,A106,'OD 09-24'!D:D)</f>
        <v>0</v>
      </c>
      <c r="G106" s="13">
        <f>SUMIF('OD 09-24'!A:A,A106,'OD 09-24'!E:E)</f>
        <v>0</v>
      </c>
      <c r="H106" s="14">
        <f t="shared" si="2"/>
        <v>0</v>
      </c>
      <c r="I106" s="14">
        <f t="shared" si="3"/>
        <v>0</v>
      </c>
      <c r="J106" s="8"/>
      <c r="K106" s="8"/>
      <c r="M106" s="339"/>
      <c r="N106" s="315"/>
    </row>
    <row r="107" spans="1:14" s="9" customFormat="1" ht="11.25" customHeight="1" x14ac:dyDescent="0.2">
      <c r="A107" s="10">
        <v>42500000</v>
      </c>
      <c r="B107" s="10" t="s">
        <v>80</v>
      </c>
      <c r="C107" s="11">
        <v>-180820.1429999955</v>
      </c>
      <c r="D107" s="11">
        <v>2731906.2949999999</v>
      </c>
      <c r="E107" s="11">
        <v>2529469.5669999998</v>
      </c>
      <c r="F107" s="13">
        <f>SUMIF('OD 09-24'!A:A,A107,'OD 09-24'!D:D)</f>
        <v>0</v>
      </c>
      <c r="G107" s="13">
        <f>SUMIF('OD 09-24'!A:A,A107,'OD 09-24'!E:E)</f>
        <v>0</v>
      </c>
      <c r="H107" s="14">
        <f t="shared" si="2"/>
        <v>202436.72800000012</v>
      </c>
      <c r="I107" s="14">
        <f t="shared" si="3"/>
        <v>21616.585000004619</v>
      </c>
      <c r="J107" s="8" t="s">
        <v>78</v>
      </c>
      <c r="K107" s="8"/>
      <c r="M107" s="339"/>
      <c r="N107" s="315"/>
    </row>
    <row r="108" spans="1:14" s="9" customFormat="1" ht="11.25" customHeight="1" x14ac:dyDescent="0.2">
      <c r="A108" s="10">
        <v>42700000</v>
      </c>
      <c r="B108" s="10" t="s">
        <v>310</v>
      </c>
      <c r="C108" s="11">
        <v>0</v>
      </c>
      <c r="D108" s="11">
        <v>0</v>
      </c>
      <c r="E108" s="11">
        <v>0</v>
      </c>
      <c r="F108" s="13">
        <f>SUMIF('OD 09-24'!A:A,A108,'OD 09-24'!D:D)</f>
        <v>0</v>
      </c>
      <c r="G108" s="13">
        <f>SUMIF('OD 09-24'!A:A,A108,'OD 09-24'!E:E)</f>
        <v>0</v>
      </c>
      <c r="H108" s="14">
        <f t="shared" si="2"/>
        <v>0</v>
      </c>
      <c r="I108" s="14">
        <f t="shared" si="3"/>
        <v>0</v>
      </c>
      <c r="J108" s="8"/>
      <c r="K108" s="8"/>
      <c r="M108" s="339"/>
      <c r="N108" s="315"/>
    </row>
    <row r="109" spans="1:14" s="9" customFormat="1" ht="11.25" customHeight="1" x14ac:dyDescent="0.2">
      <c r="A109" s="10">
        <v>42710000</v>
      </c>
      <c r="B109" s="10" t="s">
        <v>82</v>
      </c>
      <c r="C109" s="11">
        <v>-2433.5259999999907</v>
      </c>
      <c r="D109" s="11">
        <v>6713.1040000000012</v>
      </c>
      <c r="E109" s="11">
        <v>6666.3360000000002</v>
      </c>
      <c r="F109" s="13">
        <f>SUMIF('OD 09-24'!A:A,A109,'OD 09-24'!D:D)</f>
        <v>0</v>
      </c>
      <c r="G109" s="13">
        <f>SUMIF('OD 09-24'!A:A,A109,'OD 09-24'!E:E)</f>
        <v>0</v>
      </c>
      <c r="H109" s="14">
        <f t="shared" si="2"/>
        <v>46.768000000000939</v>
      </c>
      <c r="I109" s="14">
        <f t="shared" si="3"/>
        <v>-2386.7579999999898</v>
      </c>
      <c r="J109" s="8" t="s">
        <v>81</v>
      </c>
      <c r="K109" s="8"/>
      <c r="M109" s="339"/>
      <c r="N109" s="315"/>
    </row>
    <row r="110" spans="1:14" s="9" customFormat="1" ht="11.25" customHeight="1" x14ac:dyDescent="0.2">
      <c r="A110" s="10">
        <v>42820000</v>
      </c>
      <c r="B110" s="10" t="s">
        <v>83</v>
      </c>
      <c r="C110" s="11">
        <v>-245931.41399999941</v>
      </c>
      <c r="D110" s="11">
        <v>245931.41399999996</v>
      </c>
      <c r="E110" s="11">
        <v>0</v>
      </c>
      <c r="F110" s="13">
        <f>SUMIF('OD 09-24'!A:A,A110,'OD 09-24'!D:D)</f>
        <v>2804487.4890000001</v>
      </c>
      <c r="G110" s="13">
        <f>SUMIF('OD 09-24'!A:A,A110,'OD 09-24'!E:E)</f>
        <v>3054487.4890000001</v>
      </c>
      <c r="H110" s="14">
        <f t="shared" si="2"/>
        <v>-4068.5860000001267</v>
      </c>
      <c r="I110" s="14">
        <f t="shared" si="3"/>
        <v>-249999.99999999953</v>
      </c>
      <c r="J110" s="8" t="s">
        <v>81</v>
      </c>
      <c r="K110" s="8"/>
      <c r="M110" s="339"/>
      <c r="N110" s="315"/>
    </row>
    <row r="111" spans="1:14" s="9" customFormat="1" ht="11.25" customHeight="1" x14ac:dyDescent="0.2">
      <c r="A111" s="10">
        <v>43200000</v>
      </c>
      <c r="B111" s="10" t="s">
        <v>311</v>
      </c>
      <c r="C111" s="11">
        <v>0</v>
      </c>
      <c r="D111" s="11">
        <v>0</v>
      </c>
      <c r="E111" s="11">
        <v>0</v>
      </c>
      <c r="F111" s="13">
        <f>SUMIF('OD 09-24'!A:A,A111,'OD 09-24'!D:D)</f>
        <v>0</v>
      </c>
      <c r="G111" s="13">
        <f>SUMIF('OD 09-24'!A:A,A111,'OD 09-24'!E:E)</f>
        <v>0</v>
      </c>
      <c r="H111" s="14">
        <f t="shared" si="2"/>
        <v>0</v>
      </c>
      <c r="I111" s="14">
        <f t="shared" si="3"/>
        <v>0</v>
      </c>
      <c r="J111" s="8"/>
      <c r="K111" s="8"/>
      <c r="M111" s="339"/>
      <c r="N111" s="315"/>
    </row>
    <row r="112" spans="1:14" s="9" customFormat="1" ht="11.25" customHeight="1" x14ac:dyDescent="0.2">
      <c r="A112" s="10">
        <v>43210000</v>
      </c>
      <c r="B112" s="10" t="s">
        <v>84</v>
      </c>
      <c r="C112" s="11">
        <v>0</v>
      </c>
      <c r="D112" s="11">
        <v>548650.96899999992</v>
      </c>
      <c r="E112" s="11">
        <v>605811.23399999994</v>
      </c>
      <c r="F112" s="13">
        <f>SUMIF('OD 09-24'!A:A,A112,'OD 09-24'!D:D)</f>
        <v>0</v>
      </c>
      <c r="G112" s="13">
        <f>SUMIF('OD 09-24'!A:A,A112,'OD 09-24'!E:E)</f>
        <v>0</v>
      </c>
      <c r="H112" s="14">
        <f t="shared" si="2"/>
        <v>-57160.265000000014</v>
      </c>
      <c r="I112" s="14">
        <f t="shared" si="3"/>
        <v>-57160.265000000014</v>
      </c>
      <c r="J112" s="8" t="s">
        <v>81</v>
      </c>
      <c r="K112" s="8"/>
      <c r="M112" s="339"/>
      <c r="N112" s="315"/>
    </row>
    <row r="113" spans="1:14" s="9" customFormat="1" ht="11.25" customHeight="1" x14ac:dyDescent="0.2">
      <c r="A113" s="10">
        <v>43211000</v>
      </c>
      <c r="B113" s="10" t="s">
        <v>312</v>
      </c>
      <c r="C113" s="11">
        <v>0</v>
      </c>
      <c r="D113" s="11">
        <v>2549.4430000000002</v>
      </c>
      <c r="E113" s="11">
        <v>2549.4430000000002</v>
      </c>
      <c r="F113" s="13">
        <f>SUMIF('OD 09-24'!A:A,A113,'OD 09-24'!D:D)</f>
        <v>0</v>
      </c>
      <c r="G113" s="13">
        <f>SUMIF('OD 09-24'!A:A,A113,'OD 09-24'!E:E)</f>
        <v>0</v>
      </c>
      <c r="H113" s="14">
        <f t="shared" si="2"/>
        <v>0</v>
      </c>
      <c r="I113" s="14">
        <f t="shared" si="3"/>
        <v>0</v>
      </c>
      <c r="J113" s="8" t="s">
        <v>81</v>
      </c>
      <c r="K113" s="8"/>
      <c r="M113" s="339"/>
      <c r="N113" s="315"/>
    </row>
    <row r="114" spans="1:14" s="9" customFormat="1" ht="11.25" customHeight="1" x14ac:dyDescent="0.2">
      <c r="A114" s="10">
        <v>43211500</v>
      </c>
      <c r="B114" s="10" t="s">
        <v>85</v>
      </c>
      <c r="C114" s="11">
        <v>0</v>
      </c>
      <c r="D114" s="11">
        <v>149.95400000000001</v>
      </c>
      <c r="E114" s="11">
        <v>149.95499999999998</v>
      </c>
      <c r="F114" s="13">
        <f>SUMIF('OD 09-24'!A:A,A114,'OD 09-24'!D:D)</f>
        <v>0</v>
      </c>
      <c r="G114" s="13">
        <f>SUMIF('OD 09-24'!A:A,A114,'OD 09-24'!E:E)</f>
        <v>0</v>
      </c>
      <c r="H114" s="14">
        <f t="shared" si="2"/>
        <v>-9.9999999997635314E-4</v>
      </c>
      <c r="I114" s="14">
        <f t="shared" si="3"/>
        <v>-9.9999999997635314E-4</v>
      </c>
      <c r="J114" s="8" t="s">
        <v>81</v>
      </c>
      <c r="K114" s="8"/>
      <c r="M114" s="339"/>
      <c r="N114" s="315"/>
    </row>
    <row r="115" spans="1:14" s="9" customFormat="1" ht="11.25" customHeight="1" x14ac:dyDescent="0.2">
      <c r="A115" s="10">
        <v>43212500</v>
      </c>
      <c r="B115" s="10" t="s">
        <v>313</v>
      </c>
      <c r="C115" s="11">
        <v>0</v>
      </c>
      <c r="D115" s="11">
        <v>0</v>
      </c>
      <c r="E115" s="11">
        <v>0</v>
      </c>
      <c r="F115" s="13">
        <f>SUMIF('OD 09-24'!A:A,A115,'OD 09-24'!D:D)</f>
        <v>0</v>
      </c>
      <c r="G115" s="13">
        <f>SUMIF('OD 09-24'!A:A,A115,'OD 09-24'!E:E)</f>
        <v>0</v>
      </c>
      <c r="H115" s="14">
        <f t="shared" si="2"/>
        <v>0</v>
      </c>
      <c r="I115" s="14">
        <f t="shared" si="3"/>
        <v>0</v>
      </c>
      <c r="J115" s="8"/>
      <c r="K115" s="8"/>
      <c r="M115" s="339"/>
      <c r="N115" s="315"/>
    </row>
    <row r="116" spans="1:14" s="9" customFormat="1" ht="11.25" customHeight="1" x14ac:dyDescent="0.2">
      <c r="A116" s="10">
        <v>43215000</v>
      </c>
      <c r="B116" s="10" t="s">
        <v>314</v>
      </c>
      <c r="C116" s="11">
        <v>0</v>
      </c>
      <c r="D116" s="11">
        <v>0</v>
      </c>
      <c r="E116" s="11">
        <v>0</v>
      </c>
      <c r="F116" s="13">
        <f>SUMIF('OD 09-24'!A:A,A116,'OD 09-24'!D:D)</f>
        <v>0</v>
      </c>
      <c r="G116" s="13">
        <f>SUMIF('OD 09-24'!A:A,A116,'OD 09-24'!E:E)</f>
        <v>0</v>
      </c>
      <c r="H116" s="14">
        <f t="shared" si="2"/>
        <v>0</v>
      </c>
      <c r="I116" s="14">
        <f t="shared" si="3"/>
        <v>0</v>
      </c>
      <c r="J116" s="8"/>
      <c r="K116" s="8"/>
      <c r="M116" s="339"/>
      <c r="N116" s="315"/>
    </row>
    <row r="117" spans="1:14" s="9" customFormat="1" ht="11.25" customHeight="1" x14ac:dyDescent="0.2">
      <c r="A117" s="10">
        <v>43220000</v>
      </c>
      <c r="B117" s="10" t="s">
        <v>86</v>
      </c>
      <c r="C117" s="11">
        <v>0</v>
      </c>
      <c r="D117" s="11">
        <v>47808.722999999998</v>
      </c>
      <c r="E117" s="11">
        <v>47808.759000000005</v>
      </c>
      <c r="F117" s="13">
        <f>SUMIF('OD 09-24'!A:A,A117,'OD 09-24'!D:D)</f>
        <v>0</v>
      </c>
      <c r="G117" s="13">
        <f>SUMIF('OD 09-24'!A:A,A117,'OD 09-24'!E:E)</f>
        <v>0</v>
      </c>
      <c r="H117" s="14">
        <f t="shared" si="2"/>
        <v>-3.6000000007334165E-2</v>
      </c>
      <c r="I117" s="14">
        <f t="shared" si="3"/>
        <v>-3.6000000007334165E-2</v>
      </c>
      <c r="J117" s="8" t="s">
        <v>81</v>
      </c>
      <c r="K117" s="8"/>
      <c r="M117" s="339"/>
      <c r="N117" s="315"/>
    </row>
    <row r="118" spans="1:14" s="9" customFormat="1" ht="11.25" customHeight="1" x14ac:dyDescent="0.2">
      <c r="A118" s="10">
        <v>43220050</v>
      </c>
      <c r="B118" s="10" t="s">
        <v>315</v>
      </c>
      <c r="C118" s="11">
        <v>4.7000000002299203E-2</v>
      </c>
      <c r="D118" s="11">
        <v>2.98</v>
      </c>
      <c r="E118" s="11">
        <v>2.98</v>
      </c>
      <c r="F118" s="13">
        <f>SUMIF('OD 09-24'!A:A,A118,'OD 09-24'!D:D)</f>
        <v>0</v>
      </c>
      <c r="G118" s="13">
        <f>SUMIF('OD 09-24'!A:A,A118,'OD 09-24'!E:E)</f>
        <v>0</v>
      </c>
      <c r="H118" s="14">
        <f t="shared" si="2"/>
        <v>0</v>
      </c>
      <c r="I118" s="14">
        <f t="shared" si="3"/>
        <v>4.7000000002299203E-2</v>
      </c>
      <c r="J118" s="8" t="s">
        <v>78</v>
      </c>
      <c r="K118" s="8"/>
      <c r="M118" s="339"/>
      <c r="N118" s="315"/>
    </row>
    <row r="119" spans="1:14" s="9" customFormat="1" ht="11.25" customHeight="1" x14ac:dyDescent="0.2">
      <c r="A119" s="10">
        <v>43220100</v>
      </c>
      <c r="B119" s="10" t="s">
        <v>87</v>
      </c>
      <c r="C119" s="11">
        <v>0</v>
      </c>
      <c r="D119" s="11">
        <v>153992.367</v>
      </c>
      <c r="E119" s="11">
        <v>164803.19099999999</v>
      </c>
      <c r="F119" s="13">
        <f>SUMIF('OD 09-24'!A:A,A119,'OD 09-24'!D:D)</f>
        <v>0</v>
      </c>
      <c r="G119" s="13">
        <f>SUMIF('OD 09-24'!A:A,A119,'OD 09-24'!E:E)</f>
        <v>0</v>
      </c>
      <c r="H119" s="14">
        <f t="shared" si="2"/>
        <v>-10810.823999999993</v>
      </c>
      <c r="I119" s="14">
        <f t="shared" si="3"/>
        <v>-10810.823999999993</v>
      </c>
      <c r="J119" s="8" t="s">
        <v>81</v>
      </c>
      <c r="K119" s="8"/>
      <c r="M119" s="339"/>
      <c r="N119" s="315"/>
    </row>
    <row r="120" spans="1:14" s="9" customFormat="1" ht="11.25" customHeight="1" x14ac:dyDescent="0.2">
      <c r="A120" s="10">
        <v>43220300</v>
      </c>
      <c r="B120" s="10" t="s">
        <v>88</v>
      </c>
      <c r="C120" s="11">
        <v>0</v>
      </c>
      <c r="D120" s="11">
        <v>2590.67</v>
      </c>
      <c r="E120" s="11">
        <v>2143.3789999999999</v>
      </c>
      <c r="F120" s="13">
        <f>SUMIF('OD 09-24'!A:A,A120,'OD 09-24'!D:D)</f>
        <v>0</v>
      </c>
      <c r="G120" s="13">
        <f>SUMIF('OD 09-24'!A:A,A120,'OD 09-24'!E:E)</f>
        <v>0</v>
      </c>
      <c r="H120" s="14">
        <f t="shared" si="2"/>
        <v>447.29100000000017</v>
      </c>
      <c r="I120" s="14">
        <f t="shared" si="3"/>
        <v>447.29100000000017</v>
      </c>
      <c r="J120" s="8" t="s">
        <v>78</v>
      </c>
      <c r="K120" s="8"/>
      <c r="M120" s="339"/>
      <c r="N120" s="315"/>
    </row>
    <row r="121" spans="1:14" s="9" customFormat="1" ht="11.25" customHeight="1" x14ac:dyDescent="0.2">
      <c r="A121" s="10">
        <v>43221000</v>
      </c>
      <c r="B121" s="10" t="s">
        <v>89</v>
      </c>
      <c r="C121" s="11">
        <v>0</v>
      </c>
      <c r="D121" s="11">
        <v>44.443999999999996</v>
      </c>
      <c r="E121" s="11">
        <v>66.666000000000011</v>
      </c>
      <c r="F121" s="13">
        <f>SUMIF('OD 09-24'!A:A,A121,'OD 09-24'!D:D)</f>
        <v>0</v>
      </c>
      <c r="G121" s="13">
        <f>SUMIF('OD 09-24'!A:A,A121,'OD 09-24'!E:E)</f>
        <v>0</v>
      </c>
      <c r="H121" s="14">
        <f t="shared" si="2"/>
        <v>-22.222000000000016</v>
      </c>
      <c r="I121" s="14">
        <f t="shared" si="3"/>
        <v>-22.222000000000016</v>
      </c>
      <c r="J121" s="8" t="s">
        <v>81</v>
      </c>
      <c r="K121" s="8"/>
      <c r="M121" s="339"/>
      <c r="N121" s="315"/>
    </row>
    <row r="122" spans="1:14" s="9" customFormat="1" ht="11.25" customHeight="1" x14ac:dyDescent="0.2">
      <c r="A122" s="10">
        <v>43222000</v>
      </c>
      <c r="B122" s="10" t="s">
        <v>316</v>
      </c>
      <c r="C122" s="11">
        <v>0</v>
      </c>
      <c r="D122" s="11">
        <v>81636.790000000008</v>
      </c>
      <c r="E122" s="11">
        <v>121636.79</v>
      </c>
      <c r="F122" s="13">
        <f>SUMIF('OD 09-24'!A:A,A122,'OD 09-24'!D:D)</f>
        <v>0</v>
      </c>
      <c r="G122" s="13">
        <f>SUMIF('OD 09-24'!A:A,A122,'OD 09-24'!E:E)</f>
        <v>0</v>
      </c>
      <c r="H122" s="14">
        <f t="shared" si="2"/>
        <v>-39999.999999999985</v>
      </c>
      <c r="I122" s="14">
        <f t="shared" si="3"/>
        <v>-39999.999999999985</v>
      </c>
      <c r="J122" s="8" t="s">
        <v>81</v>
      </c>
      <c r="K122" s="8"/>
      <c r="M122" s="339"/>
      <c r="N122" s="315"/>
    </row>
    <row r="123" spans="1:14" s="9" customFormat="1" ht="11.25" customHeight="1" x14ac:dyDescent="0.2">
      <c r="A123" s="10">
        <v>43223000</v>
      </c>
      <c r="B123" s="10" t="s">
        <v>90</v>
      </c>
      <c r="C123" s="11">
        <v>-40912.060000000027</v>
      </c>
      <c r="D123" s="11">
        <v>54314.45</v>
      </c>
      <c r="E123" s="11">
        <v>14299.648999999999</v>
      </c>
      <c r="F123" s="13">
        <f>SUMIF('OD 09-24'!A:A,A123,'OD 09-24'!D:D)</f>
        <v>0</v>
      </c>
      <c r="G123" s="13">
        <f>SUMIF('OD 09-24'!A:A,A123,'OD 09-24'!E:E)</f>
        <v>0</v>
      </c>
      <c r="H123" s="14">
        <f t="shared" si="2"/>
        <v>40014.800999999999</v>
      </c>
      <c r="I123" s="14">
        <f t="shared" si="3"/>
        <v>-897.2590000000273</v>
      </c>
      <c r="J123" s="8" t="s">
        <v>81</v>
      </c>
      <c r="K123" s="8"/>
      <c r="M123" s="339"/>
      <c r="N123" s="315"/>
    </row>
    <row r="124" spans="1:14" s="9" customFormat="1" ht="11.25" customHeight="1" x14ac:dyDescent="0.2">
      <c r="A124" s="10">
        <v>43310000</v>
      </c>
      <c r="B124" s="10" t="s">
        <v>317</v>
      </c>
      <c r="C124" s="11">
        <v>0</v>
      </c>
      <c r="D124" s="11">
        <v>0</v>
      </c>
      <c r="E124" s="11">
        <v>0</v>
      </c>
      <c r="F124" s="13">
        <f>SUMIF('OD 09-24'!A:A,A124,'OD 09-24'!D:D)</f>
        <v>0</v>
      </c>
      <c r="G124" s="13">
        <f>SUMIF('OD 09-24'!A:A,A124,'OD 09-24'!E:E)</f>
        <v>0</v>
      </c>
      <c r="H124" s="14">
        <f t="shared" si="2"/>
        <v>0</v>
      </c>
      <c r="I124" s="14">
        <f t="shared" si="3"/>
        <v>0</v>
      </c>
      <c r="J124" s="8"/>
      <c r="K124" s="8"/>
      <c r="M124" s="339"/>
      <c r="N124" s="315"/>
    </row>
    <row r="125" spans="1:14" s="9" customFormat="1" ht="11.25" customHeight="1" x14ac:dyDescent="0.2">
      <c r="A125" s="10">
        <v>43400000</v>
      </c>
      <c r="B125" s="10" t="s">
        <v>91</v>
      </c>
      <c r="C125" s="11">
        <v>967729.65199999954</v>
      </c>
      <c r="D125" s="11">
        <v>0</v>
      </c>
      <c r="E125" s="11">
        <v>0</v>
      </c>
      <c r="F125" s="13">
        <f>SUMIF('OD 09-24'!A:A,A125,'OD 09-24'!D:D)</f>
        <v>0</v>
      </c>
      <c r="G125" s="13">
        <f>SUMIF('OD 09-24'!A:A,A125,'OD 09-24'!E:E)</f>
        <v>0</v>
      </c>
      <c r="H125" s="14">
        <f t="shared" si="2"/>
        <v>0</v>
      </c>
      <c r="I125" s="14">
        <f t="shared" si="3"/>
        <v>967729.65199999954</v>
      </c>
      <c r="J125" s="8" t="s">
        <v>78</v>
      </c>
      <c r="K125" s="8"/>
      <c r="M125" s="339"/>
      <c r="N125" s="315"/>
    </row>
    <row r="126" spans="1:14" s="9" customFormat="1" ht="11.25" customHeight="1" x14ac:dyDescent="0.2">
      <c r="A126" s="10">
        <v>43410000</v>
      </c>
      <c r="B126" s="10" t="s">
        <v>318</v>
      </c>
      <c r="C126" s="11">
        <v>0</v>
      </c>
      <c r="D126" s="11">
        <v>285298.91200000001</v>
      </c>
      <c r="E126" s="11">
        <v>0</v>
      </c>
      <c r="F126" s="13">
        <f>SUMIF('OD 09-24'!A:A,A126,'OD 09-24'!D:D)</f>
        <v>0</v>
      </c>
      <c r="G126" s="13">
        <f>SUMIF('OD 09-24'!A:A,A126,'OD 09-24'!E:E)</f>
        <v>0</v>
      </c>
      <c r="H126" s="14">
        <f t="shared" si="2"/>
        <v>285298.91200000001</v>
      </c>
      <c r="I126" s="14">
        <f t="shared" si="3"/>
        <v>285298.91200000001</v>
      </c>
      <c r="J126" s="8" t="s">
        <v>78</v>
      </c>
      <c r="K126" s="8"/>
      <c r="M126" s="339"/>
      <c r="N126" s="315"/>
    </row>
    <row r="127" spans="1:14" s="9" customFormat="1" ht="11.25" customHeight="1" x14ac:dyDescent="0.2">
      <c r="A127" s="10">
        <v>43420000</v>
      </c>
      <c r="B127" s="10" t="s">
        <v>92</v>
      </c>
      <c r="C127" s="11">
        <v>0</v>
      </c>
      <c r="D127" s="11">
        <v>0</v>
      </c>
      <c r="E127" s="11">
        <v>0</v>
      </c>
      <c r="F127" s="13">
        <f>SUMIF('OD 09-24'!A:A,A127,'OD 09-24'!D:D)</f>
        <v>0</v>
      </c>
      <c r="G127" s="13">
        <f>SUMIF('OD 09-24'!A:A,A127,'OD 09-24'!E:E)</f>
        <v>0</v>
      </c>
      <c r="H127" s="14">
        <f t="shared" si="2"/>
        <v>0</v>
      </c>
      <c r="I127" s="14">
        <f t="shared" si="3"/>
        <v>0</v>
      </c>
      <c r="J127" s="8"/>
      <c r="K127" s="8"/>
      <c r="M127" s="339"/>
      <c r="N127" s="315"/>
    </row>
    <row r="128" spans="1:14" s="9" customFormat="1" ht="11.25" customHeight="1" x14ac:dyDescent="0.2">
      <c r="A128" s="10">
        <v>43430000</v>
      </c>
      <c r="B128" s="10" t="s">
        <v>319</v>
      </c>
      <c r="C128" s="11">
        <v>0</v>
      </c>
      <c r="D128" s="11">
        <v>135.946</v>
      </c>
      <c r="E128" s="11">
        <v>135.946</v>
      </c>
      <c r="F128" s="13">
        <f>SUMIF('OD 09-24'!A:A,A128,'OD 09-24'!D:D)</f>
        <v>0</v>
      </c>
      <c r="G128" s="13">
        <f>SUMIF('OD 09-24'!A:A,A128,'OD 09-24'!E:E)</f>
        <v>0</v>
      </c>
      <c r="H128" s="14">
        <f t="shared" si="2"/>
        <v>0</v>
      </c>
      <c r="I128" s="14">
        <f t="shared" si="3"/>
        <v>0</v>
      </c>
      <c r="J128" s="8" t="s">
        <v>78</v>
      </c>
      <c r="K128" s="8"/>
      <c r="M128" s="339"/>
      <c r="N128" s="315"/>
    </row>
    <row r="129" spans="1:14" s="9" customFormat="1" ht="11.25" customHeight="1" x14ac:dyDescent="0.2">
      <c r="A129" s="10">
        <v>43440000</v>
      </c>
      <c r="B129" s="10" t="s">
        <v>320</v>
      </c>
      <c r="C129" s="11">
        <v>0</v>
      </c>
      <c r="D129" s="11">
        <v>6135.9</v>
      </c>
      <c r="E129" s="11">
        <v>6135.9</v>
      </c>
      <c r="F129" s="13">
        <f>SUMIF('OD 09-24'!A:A,A129,'OD 09-24'!D:D)</f>
        <v>0</v>
      </c>
      <c r="G129" s="13">
        <f>SUMIF('OD 09-24'!A:A,A129,'OD 09-24'!E:E)</f>
        <v>0</v>
      </c>
      <c r="H129" s="14">
        <f t="shared" si="2"/>
        <v>0</v>
      </c>
      <c r="I129" s="14">
        <f t="shared" si="3"/>
        <v>0</v>
      </c>
      <c r="J129" s="8" t="s">
        <v>78</v>
      </c>
      <c r="K129" s="8"/>
      <c r="M129" s="339"/>
      <c r="N129" s="315"/>
    </row>
    <row r="130" spans="1:14" s="9" customFormat="1" ht="11.25" customHeight="1" x14ac:dyDescent="0.2">
      <c r="A130" s="10">
        <v>43500000</v>
      </c>
      <c r="B130" s="10" t="s">
        <v>321</v>
      </c>
      <c r="C130" s="11">
        <v>-70408.270000000484</v>
      </c>
      <c r="D130" s="11">
        <v>846528.15099999995</v>
      </c>
      <c r="E130" s="11">
        <v>1055531.2930000001</v>
      </c>
      <c r="F130" s="13">
        <f>SUMIF('OD 09-24'!A:A,A130,'OD 09-24'!D:D)</f>
        <v>0</v>
      </c>
      <c r="G130" s="13">
        <f>SUMIF('OD 09-24'!A:A,A130,'OD 09-24'!E:E)</f>
        <v>0</v>
      </c>
      <c r="H130" s="14">
        <f t="shared" si="2"/>
        <v>-209003.14200000011</v>
      </c>
      <c r="I130" s="14">
        <f t="shared" si="3"/>
        <v>-279411.41200000059</v>
      </c>
      <c r="J130" s="8" t="s">
        <v>81</v>
      </c>
      <c r="K130" s="8"/>
      <c r="M130" s="339"/>
      <c r="N130" s="315"/>
    </row>
    <row r="131" spans="1:14" s="9" customFormat="1" ht="11.25" customHeight="1" x14ac:dyDescent="0.2">
      <c r="A131" s="10">
        <v>43600000</v>
      </c>
      <c r="B131" s="10" t="s">
        <v>93</v>
      </c>
      <c r="C131" s="11">
        <v>697619.66200000048</v>
      </c>
      <c r="D131" s="11">
        <v>7791404.7060000002</v>
      </c>
      <c r="E131" s="11">
        <v>6302058.2700000005</v>
      </c>
      <c r="F131" s="13">
        <f>SUMIF('OD 09-24'!A:A,A131,'OD 09-24'!D:D)</f>
        <v>0</v>
      </c>
      <c r="G131" s="13">
        <f>SUMIF('OD 09-24'!A:A,A131,'OD 09-24'!E:E)</f>
        <v>0</v>
      </c>
      <c r="H131" s="14">
        <f t="shared" ref="H131:H195" si="4">+D131+F131-E131-G131</f>
        <v>1489346.4359999998</v>
      </c>
      <c r="I131" s="597">
        <f t="shared" ref="I131:I195" si="5">+H131+C131</f>
        <v>2186966.0980000002</v>
      </c>
      <c r="J131" s="8" t="s">
        <v>78</v>
      </c>
      <c r="K131" s="8"/>
      <c r="M131" s="339"/>
      <c r="N131" s="315"/>
    </row>
    <row r="132" spans="1:14" s="9" customFormat="1" ht="11.25" customHeight="1" x14ac:dyDescent="0.2">
      <c r="A132" s="10">
        <v>43625000</v>
      </c>
      <c r="B132" s="10" t="s">
        <v>94</v>
      </c>
      <c r="C132" s="11">
        <v>0</v>
      </c>
      <c r="D132" s="11">
        <v>242619.29199999999</v>
      </c>
      <c r="E132" s="11">
        <v>281767.44300000003</v>
      </c>
      <c r="F132" s="13">
        <f>SUMIF('OD 09-24'!A:A,A132,'OD 09-24'!D:D)</f>
        <v>0</v>
      </c>
      <c r="G132" s="13">
        <f>SUMIF('OD 09-24'!A:A,A132,'OD 09-24'!E:E)</f>
        <v>0</v>
      </c>
      <c r="H132" s="14">
        <f t="shared" si="4"/>
        <v>-39148.151000000042</v>
      </c>
      <c r="I132" s="14">
        <f t="shared" si="5"/>
        <v>-39148.151000000042</v>
      </c>
      <c r="J132" s="8" t="s">
        <v>81</v>
      </c>
      <c r="K132" s="8"/>
      <c r="M132" s="339"/>
      <c r="N132" s="315"/>
    </row>
    <row r="133" spans="1:14" s="9" customFormat="1" ht="11.25" customHeight="1" x14ac:dyDescent="0.2">
      <c r="A133" s="10">
        <v>43627000</v>
      </c>
      <c r="B133" s="10" t="s">
        <v>95</v>
      </c>
      <c r="C133" s="11">
        <v>1.0999999940395355E-2</v>
      </c>
      <c r="D133" s="11">
        <v>1698335.0449999999</v>
      </c>
      <c r="E133" s="11">
        <v>1972372.0819999999</v>
      </c>
      <c r="F133" s="13">
        <f>SUMIF('OD 09-24'!A:A,A133,'OD 09-24'!D:D)</f>
        <v>0</v>
      </c>
      <c r="G133" s="13">
        <f>SUMIF('OD 09-24'!A:A,A133,'OD 09-24'!E:E)</f>
        <v>0</v>
      </c>
      <c r="H133" s="14">
        <f t="shared" si="4"/>
        <v>-274037.03700000001</v>
      </c>
      <c r="I133" s="14">
        <f t="shared" si="5"/>
        <v>-274037.02600000007</v>
      </c>
      <c r="J133" s="8" t="s">
        <v>81</v>
      </c>
      <c r="K133" s="8"/>
      <c r="M133" s="339"/>
      <c r="N133" s="315"/>
    </row>
    <row r="134" spans="1:14" s="9" customFormat="1" ht="11.25" customHeight="1" x14ac:dyDescent="0.2">
      <c r="A134" s="10">
        <v>43630600</v>
      </c>
      <c r="B134" s="10" t="s">
        <v>322</v>
      </c>
      <c r="C134" s="11">
        <v>0</v>
      </c>
      <c r="D134" s="11">
        <v>0</v>
      </c>
      <c r="E134" s="11">
        <v>0</v>
      </c>
      <c r="F134" s="13">
        <f>SUMIF('OD 09-24'!A:A,A134,'OD 09-24'!D:D)</f>
        <v>0</v>
      </c>
      <c r="G134" s="13">
        <f>SUMIF('OD 09-24'!A:A,A134,'OD 09-24'!E:E)</f>
        <v>0</v>
      </c>
      <c r="H134" s="14">
        <f t="shared" si="4"/>
        <v>0</v>
      </c>
      <c r="I134" s="597">
        <f t="shared" si="5"/>
        <v>0</v>
      </c>
      <c r="J134" s="8"/>
      <c r="K134" s="8"/>
      <c r="M134" s="339"/>
      <c r="N134" s="315"/>
    </row>
    <row r="135" spans="1:14" s="9" customFormat="1" ht="11.25" customHeight="1" x14ac:dyDescent="0.2">
      <c r="A135" s="10">
        <v>43630700</v>
      </c>
      <c r="B135" s="10" t="s">
        <v>96</v>
      </c>
      <c r="C135" s="11">
        <v>6400.8769999999786</v>
      </c>
      <c r="D135" s="11">
        <v>21027.217000000001</v>
      </c>
      <c r="E135" s="11">
        <v>25861.087000000003</v>
      </c>
      <c r="F135" s="13">
        <f>SUMIF('OD 09-24'!A:A,A135,'OD 09-24'!D:D)</f>
        <v>0</v>
      </c>
      <c r="G135" s="13">
        <f>SUMIF('OD 09-24'!A:A,A135,'OD 09-24'!E:E)</f>
        <v>0</v>
      </c>
      <c r="H135" s="14">
        <f t="shared" si="4"/>
        <v>-4833.8700000000026</v>
      </c>
      <c r="I135" s="597">
        <f t="shared" si="5"/>
        <v>1567.006999999976</v>
      </c>
      <c r="J135" s="8" t="s">
        <v>78</v>
      </c>
      <c r="K135" s="8"/>
      <c r="M135" s="339"/>
      <c r="N135" s="315"/>
    </row>
    <row r="136" spans="1:14" s="9" customFormat="1" ht="11.25" customHeight="1" x14ac:dyDescent="0.2">
      <c r="A136" s="10">
        <v>43631000</v>
      </c>
      <c r="B136" s="10" t="s">
        <v>323</v>
      </c>
      <c r="C136" s="11">
        <v>0</v>
      </c>
      <c r="D136" s="11">
        <v>0</v>
      </c>
      <c r="E136" s="11">
        <v>0</v>
      </c>
      <c r="F136" s="13">
        <f>SUMIF('OD 09-24'!A:A,A136,'OD 09-24'!D:D)</f>
        <v>0</v>
      </c>
      <c r="G136" s="13">
        <f>SUMIF('OD 09-24'!A:A,A136,'OD 09-24'!E:E)</f>
        <v>0</v>
      </c>
      <c r="H136" s="14">
        <f t="shared" si="4"/>
        <v>0</v>
      </c>
      <c r="I136" s="597">
        <f t="shared" si="5"/>
        <v>0</v>
      </c>
      <c r="J136" s="8"/>
      <c r="K136" s="8"/>
      <c r="M136" s="339"/>
      <c r="N136" s="315"/>
    </row>
    <row r="137" spans="1:14" s="9" customFormat="1" ht="11.25" customHeight="1" x14ac:dyDescent="0.2">
      <c r="A137" s="10">
        <v>43631300</v>
      </c>
      <c r="B137" s="10" t="s">
        <v>324</v>
      </c>
      <c r="C137" s="11">
        <v>0</v>
      </c>
      <c r="D137" s="11">
        <v>18398.486000000001</v>
      </c>
      <c r="E137" s="11">
        <v>16269.393</v>
      </c>
      <c r="F137" s="13">
        <f>SUMIF('OD 09-24'!A:A,A137,'OD 09-24'!D:D)</f>
        <v>0</v>
      </c>
      <c r="G137" s="13">
        <f>SUMIF('OD 09-24'!A:A,A137,'OD 09-24'!E:E)</f>
        <v>0</v>
      </c>
      <c r="H137" s="14">
        <f t="shared" si="4"/>
        <v>2129.0930000000008</v>
      </c>
      <c r="I137" s="597">
        <f t="shared" si="5"/>
        <v>2129.0930000000008</v>
      </c>
      <c r="J137" s="8" t="s">
        <v>78</v>
      </c>
      <c r="K137" s="8"/>
      <c r="M137" s="339"/>
      <c r="N137" s="315"/>
    </row>
    <row r="138" spans="1:14" s="9" customFormat="1" ht="11.25" customHeight="1" x14ac:dyDescent="0.2">
      <c r="A138" s="10">
        <v>43631800</v>
      </c>
      <c r="B138" s="10" t="s">
        <v>325</v>
      </c>
      <c r="C138" s="11">
        <v>0</v>
      </c>
      <c r="D138" s="11">
        <v>0</v>
      </c>
      <c r="E138" s="11">
        <v>0</v>
      </c>
      <c r="F138" s="13">
        <f>SUMIF('OD 09-24'!A:A,A138,'OD 09-24'!D:D)</f>
        <v>0</v>
      </c>
      <c r="G138" s="13">
        <f>SUMIF('OD 09-24'!A:A,A138,'OD 09-24'!E:E)</f>
        <v>0</v>
      </c>
      <c r="H138" s="14">
        <f t="shared" si="4"/>
        <v>0</v>
      </c>
      <c r="I138" s="597">
        <f t="shared" si="5"/>
        <v>0</v>
      </c>
      <c r="J138" s="8"/>
      <c r="K138" s="8"/>
      <c r="M138" s="339"/>
      <c r="N138" s="315"/>
    </row>
    <row r="139" spans="1:14" s="9" customFormat="1" ht="11.25" customHeight="1" x14ac:dyDescent="0.2">
      <c r="A139" s="10">
        <v>43631900</v>
      </c>
      <c r="B139" s="10" t="s">
        <v>97</v>
      </c>
      <c r="C139" s="11">
        <v>-3.9999932050704956E-3</v>
      </c>
      <c r="D139" s="11">
        <f>7035661.029+43838.667</f>
        <v>7079499.6960000005</v>
      </c>
      <c r="E139" s="11">
        <v>6021833.2339999992</v>
      </c>
      <c r="F139" s="13">
        <f>SUMIF('OD 09-24'!A:A,A139,'OD 09-24'!D:D)</f>
        <v>0</v>
      </c>
      <c r="G139" s="13">
        <f>SUMIF('OD 09-24'!A:A,A139,'OD 09-24'!E:E)</f>
        <v>0</v>
      </c>
      <c r="H139" s="14">
        <f t="shared" si="4"/>
        <v>1057666.4620000012</v>
      </c>
      <c r="I139" s="597">
        <f t="shared" si="5"/>
        <v>1057666.458000008</v>
      </c>
      <c r="J139" s="8" t="s">
        <v>78</v>
      </c>
      <c r="K139" s="8"/>
      <c r="M139" s="339"/>
      <c r="N139" s="315"/>
    </row>
    <row r="140" spans="1:14" s="9" customFormat="1" ht="11.25" customHeight="1" x14ac:dyDescent="0.2">
      <c r="A140" s="10">
        <v>43661800</v>
      </c>
      <c r="B140" s="10" t="s">
        <v>326</v>
      </c>
      <c r="C140" s="11">
        <v>0</v>
      </c>
      <c r="D140" s="11">
        <v>0</v>
      </c>
      <c r="E140" s="11">
        <v>0</v>
      </c>
      <c r="F140" s="13">
        <f>SUMIF('OD 09-24'!A:A,A140,'OD 09-24'!D:D)</f>
        <v>0</v>
      </c>
      <c r="G140" s="13">
        <f>SUMIF('OD 09-24'!A:A,A140,'OD 09-24'!E:E)</f>
        <v>0</v>
      </c>
      <c r="H140" s="14">
        <f t="shared" si="4"/>
        <v>0</v>
      </c>
      <c r="I140" s="597">
        <f t="shared" si="5"/>
        <v>0</v>
      </c>
      <c r="J140" s="8"/>
      <c r="K140" s="8"/>
      <c r="M140" s="339"/>
      <c r="N140" s="315"/>
    </row>
    <row r="141" spans="1:14" s="9" customFormat="1" ht="11.25" customHeight="1" x14ac:dyDescent="0.2">
      <c r="A141" s="10">
        <v>43671000</v>
      </c>
      <c r="B141" s="10" t="s">
        <v>98</v>
      </c>
      <c r="C141" s="11">
        <v>0</v>
      </c>
      <c r="D141" s="11">
        <f>5063868.665</f>
        <v>5063868.665</v>
      </c>
      <c r="E141" s="11">
        <v>5942588.9979999997</v>
      </c>
      <c r="F141" s="13">
        <f>SUMIF('OD 09-24'!A:A,A141,'OD 09-24'!D:D)</f>
        <v>0</v>
      </c>
      <c r="G141" s="13">
        <f>SUMIF('OD 09-24'!A:A,A141,'OD 09-24'!E:E)</f>
        <v>0</v>
      </c>
      <c r="H141" s="14">
        <f t="shared" si="4"/>
        <v>-878720.33299999963</v>
      </c>
      <c r="I141" s="597">
        <f t="shared" si="5"/>
        <v>-878720.33299999963</v>
      </c>
      <c r="J141" s="8" t="s">
        <v>81</v>
      </c>
      <c r="K141" s="8"/>
      <c r="M141" s="339"/>
      <c r="N141" s="315"/>
    </row>
    <row r="142" spans="1:14" s="9" customFormat="1" ht="11.25" customHeight="1" x14ac:dyDescent="0.2">
      <c r="A142" s="10">
        <v>43700000</v>
      </c>
      <c r="B142" s="10" t="s">
        <v>99</v>
      </c>
      <c r="C142" s="11">
        <v>0</v>
      </c>
      <c r="D142" s="11">
        <v>34</v>
      </c>
      <c r="E142" s="11">
        <v>39</v>
      </c>
      <c r="F142" s="13">
        <f>SUMIF('OD 09-24'!A:A,A142,'OD 09-24'!D:D)</f>
        <v>0</v>
      </c>
      <c r="G142" s="13">
        <f>SUMIF('OD 09-24'!A:A,A142,'OD 09-24'!E:E)</f>
        <v>0</v>
      </c>
      <c r="H142" s="14">
        <f t="shared" si="4"/>
        <v>-5</v>
      </c>
      <c r="I142" s="14">
        <f t="shared" si="5"/>
        <v>-5</v>
      </c>
      <c r="J142" s="8" t="s">
        <v>81</v>
      </c>
      <c r="K142" s="8"/>
      <c r="M142" s="339"/>
      <c r="N142" s="315"/>
    </row>
    <row r="143" spans="1:14" s="9" customFormat="1" ht="11.25" customHeight="1" x14ac:dyDescent="0.2">
      <c r="A143" s="10">
        <v>43720000</v>
      </c>
      <c r="B143" s="10" t="s">
        <v>327</v>
      </c>
      <c r="C143" s="11">
        <v>0</v>
      </c>
      <c r="D143" s="11">
        <v>0</v>
      </c>
      <c r="E143" s="11">
        <v>0</v>
      </c>
      <c r="F143" s="13">
        <f>SUMIF('OD 09-24'!A:A,A143,'OD 09-24'!D:D)</f>
        <v>0</v>
      </c>
      <c r="G143" s="13">
        <f>SUMIF('OD 09-24'!A:A,A143,'OD 09-24'!E:E)</f>
        <v>0</v>
      </c>
      <c r="H143" s="14">
        <f t="shared" si="4"/>
        <v>0</v>
      </c>
      <c r="I143" s="14">
        <f t="shared" si="5"/>
        <v>0</v>
      </c>
      <c r="J143" s="8"/>
      <c r="K143" s="8"/>
      <c r="M143" s="339"/>
      <c r="N143" s="315"/>
    </row>
    <row r="144" spans="1:14" s="9" customFormat="1" ht="11.25" customHeight="1" x14ac:dyDescent="0.2">
      <c r="A144" s="10">
        <v>43756000</v>
      </c>
      <c r="B144" s="10" t="s">
        <v>328</v>
      </c>
      <c r="C144" s="11">
        <v>0</v>
      </c>
      <c r="D144" s="11">
        <v>0</v>
      </c>
      <c r="E144" s="11">
        <v>0</v>
      </c>
      <c r="F144" s="13">
        <f>SUMIF('OD 09-24'!A:A,A144,'OD 09-24'!D:D)</f>
        <v>0</v>
      </c>
      <c r="G144" s="13">
        <f>SUMIF('OD 09-24'!A:A,A144,'OD 09-24'!E:E)</f>
        <v>0</v>
      </c>
      <c r="H144" s="14">
        <f t="shared" si="4"/>
        <v>0</v>
      </c>
      <c r="I144" s="14">
        <f t="shared" si="5"/>
        <v>0</v>
      </c>
      <c r="J144" s="8"/>
      <c r="K144" s="8"/>
      <c r="M144" s="339"/>
      <c r="N144" s="315"/>
    </row>
    <row r="145" spans="1:14" s="9" customFormat="1" ht="11.25" customHeight="1" x14ac:dyDescent="0.2">
      <c r="A145" s="10">
        <v>44100000</v>
      </c>
      <c r="B145" s="10" t="s">
        <v>329</v>
      </c>
      <c r="C145" s="11">
        <v>0</v>
      </c>
      <c r="D145" s="11">
        <v>0</v>
      </c>
      <c r="E145" s="11">
        <v>0</v>
      </c>
      <c r="F145" s="13">
        <f>SUMIF('OD 09-24'!A:A,A145,'OD 09-24'!D:D)</f>
        <v>0</v>
      </c>
      <c r="G145" s="13">
        <f>SUMIF('OD 09-24'!A:A,A145,'OD 09-24'!E:E)</f>
        <v>0</v>
      </c>
      <c r="H145" s="14">
        <f t="shared" si="4"/>
        <v>0</v>
      </c>
      <c r="I145" s="14">
        <f t="shared" si="5"/>
        <v>0</v>
      </c>
      <c r="J145" s="8"/>
      <c r="K145" s="8"/>
      <c r="M145" s="339"/>
      <c r="N145" s="315"/>
    </row>
    <row r="146" spans="1:14" s="9" customFormat="1" ht="11.25" customHeight="1" x14ac:dyDescent="0.2">
      <c r="A146" s="10">
        <v>44101000</v>
      </c>
      <c r="B146" s="10" t="s">
        <v>7717</v>
      </c>
      <c r="C146" s="11">
        <v>0</v>
      </c>
      <c r="D146" s="11">
        <v>0</v>
      </c>
      <c r="E146" s="11">
        <v>0</v>
      </c>
      <c r="F146" s="13">
        <f>SUMIF('OD 09-24'!A:A,A146,'OD 09-24'!D:D)</f>
        <v>0</v>
      </c>
      <c r="G146" s="13">
        <f>SUMIF('OD 09-24'!A:A,A146,'OD 09-24'!E:E)</f>
        <v>0</v>
      </c>
      <c r="H146" s="14">
        <f t="shared" si="4"/>
        <v>0</v>
      </c>
      <c r="I146" s="14">
        <f t="shared" si="5"/>
        <v>0</v>
      </c>
      <c r="J146" s="8"/>
      <c r="K146" s="8"/>
      <c r="M146" s="339"/>
      <c r="N146" s="315"/>
    </row>
    <row r="147" spans="1:14" s="9" customFormat="1" ht="11.25" customHeight="1" x14ac:dyDescent="0.2">
      <c r="A147" s="10">
        <v>44200000</v>
      </c>
      <c r="B147" s="10" t="s">
        <v>330</v>
      </c>
      <c r="C147" s="11">
        <v>0</v>
      </c>
      <c r="D147" s="11">
        <v>0</v>
      </c>
      <c r="E147" s="11">
        <v>0</v>
      </c>
      <c r="F147" s="13">
        <f>SUMIF('OD 09-24'!A:A,A147,'OD 09-24'!D:D)</f>
        <v>0</v>
      </c>
      <c r="G147" s="13">
        <f>SUMIF('OD 09-24'!A:A,A147,'OD 09-24'!E:E)</f>
        <v>0</v>
      </c>
      <c r="H147" s="14">
        <f t="shared" si="4"/>
        <v>0</v>
      </c>
      <c r="I147" s="14">
        <f t="shared" si="5"/>
        <v>0</v>
      </c>
      <c r="J147" s="8"/>
      <c r="K147" s="8"/>
      <c r="M147" s="339"/>
      <c r="N147" s="315"/>
    </row>
    <row r="148" spans="1:14" s="9" customFormat="1" ht="11.25" customHeight="1" x14ac:dyDescent="0.2">
      <c r="A148" s="10">
        <v>44201000</v>
      </c>
      <c r="B148" s="10" t="s">
        <v>331</v>
      </c>
      <c r="C148" s="11">
        <v>44498.300999999978</v>
      </c>
      <c r="D148" s="11">
        <v>0</v>
      </c>
      <c r="E148" s="11">
        <v>44498.302000000003</v>
      </c>
      <c r="F148" s="13">
        <f>SUMIF('OD 09-24'!A:A,A148,'OD 09-24'!D:D)</f>
        <v>0</v>
      </c>
      <c r="G148" s="13">
        <f>SUMIF('OD 09-24'!A:A,A148,'OD 09-24'!E:E)</f>
        <v>0</v>
      </c>
      <c r="H148" s="14">
        <f t="shared" si="4"/>
        <v>-44498.302000000003</v>
      </c>
      <c r="I148" s="14">
        <f t="shared" si="5"/>
        <v>-1.0000000256695785E-3</v>
      </c>
      <c r="J148" s="8" t="s">
        <v>81</v>
      </c>
      <c r="K148" s="8"/>
      <c r="M148" s="339"/>
      <c r="N148" s="315"/>
    </row>
    <row r="149" spans="1:14" s="9" customFormat="1" ht="11.25" customHeight="1" x14ac:dyDescent="0.2">
      <c r="A149" s="10">
        <v>44202000</v>
      </c>
      <c r="B149" s="10" t="s">
        <v>332</v>
      </c>
      <c r="C149" s="11">
        <v>0</v>
      </c>
      <c r="D149" s="11">
        <v>0</v>
      </c>
      <c r="E149" s="11">
        <v>0</v>
      </c>
      <c r="F149" s="13">
        <f>SUMIF('OD 09-24'!A:A,A149,'OD 09-24'!D:D)</f>
        <v>0</v>
      </c>
      <c r="G149" s="13">
        <f>SUMIF('OD 09-24'!A:A,A149,'OD 09-24'!E:E)</f>
        <v>0</v>
      </c>
      <c r="H149" s="14">
        <f t="shared" si="4"/>
        <v>0</v>
      </c>
      <c r="I149" s="14">
        <f t="shared" si="5"/>
        <v>0</v>
      </c>
      <c r="J149" s="8"/>
      <c r="K149" s="8"/>
      <c r="M149" s="339"/>
      <c r="N149" s="315"/>
    </row>
    <row r="150" spans="1:14" s="9" customFormat="1" ht="11.25" customHeight="1" x14ac:dyDescent="0.2">
      <c r="A150" s="10">
        <v>44203000</v>
      </c>
      <c r="B150" s="10" t="s">
        <v>333</v>
      </c>
      <c r="C150" s="11">
        <v>0</v>
      </c>
      <c r="D150" s="11">
        <v>0</v>
      </c>
      <c r="E150" s="11">
        <v>0</v>
      </c>
      <c r="F150" s="13">
        <f>SUMIF('OD 09-24'!A:A,A150,'OD 09-24'!D:D)</f>
        <v>0</v>
      </c>
      <c r="G150" s="13">
        <f>SUMIF('OD 09-24'!A:A,A150,'OD 09-24'!E:E)</f>
        <v>0</v>
      </c>
      <c r="H150" s="14">
        <f t="shared" si="4"/>
        <v>0</v>
      </c>
      <c r="I150" s="14">
        <f t="shared" si="5"/>
        <v>0</v>
      </c>
      <c r="J150" s="8"/>
      <c r="K150" s="8"/>
      <c r="M150" s="339"/>
      <c r="N150" s="315"/>
    </row>
    <row r="151" spans="1:14" s="9" customFormat="1" ht="11.25" customHeight="1" x14ac:dyDescent="0.2">
      <c r="A151" s="10">
        <v>44204000</v>
      </c>
      <c r="B151" s="10" t="s">
        <v>334</v>
      </c>
      <c r="C151" s="11">
        <v>0</v>
      </c>
      <c r="D151" s="11">
        <v>0</v>
      </c>
      <c r="E151" s="11">
        <v>0</v>
      </c>
      <c r="F151" s="13">
        <f>SUMIF('OD 09-24'!A:A,A151,'OD 09-24'!D:D)</f>
        <v>0</v>
      </c>
      <c r="G151" s="13">
        <f>SUMIF('OD 09-24'!A:A,A151,'OD 09-24'!E:E)</f>
        <v>0</v>
      </c>
      <c r="H151" s="14">
        <f t="shared" si="4"/>
        <v>0</v>
      </c>
      <c r="I151" s="14">
        <f t="shared" si="5"/>
        <v>0</v>
      </c>
      <c r="J151" s="8"/>
      <c r="K151" s="8"/>
      <c r="M151" s="339"/>
      <c r="N151" s="315"/>
    </row>
    <row r="152" spans="1:14" s="9" customFormat="1" ht="11.25" customHeight="1" x14ac:dyDescent="0.2">
      <c r="A152" s="10">
        <v>44205000</v>
      </c>
      <c r="B152" s="10" t="s">
        <v>335</v>
      </c>
      <c r="C152" s="11">
        <v>0</v>
      </c>
      <c r="D152" s="11">
        <v>0</v>
      </c>
      <c r="E152" s="11">
        <v>0</v>
      </c>
      <c r="F152" s="13">
        <f>SUMIF('OD 09-24'!A:A,A152,'OD 09-24'!D:D)</f>
        <v>0</v>
      </c>
      <c r="G152" s="13">
        <f>SUMIF('OD 09-24'!A:A,A152,'OD 09-24'!E:E)</f>
        <v>0</v>
      </c>
      <c r="H152" s="14">
        <f t="shared" si="4"/>
        <v>0</v>
      </c>
      <c r="I152" s="14">
        <f t="shared" si="5"/>
        <v>0</v>
      </c>
      <c r="J152" s="8"/>
      <c r="K152" s="8"/>
      <c r="M152" s="339"/>
      <c r="N152" s="315"/>
    </row>
    <row r="153" spans="1:14" s="9" customFormat="1" ht="11.25" customHeight="1" x14ac:dyDescent="0.2">
      <c r="A153" s="10">
        <v>44206000</v>
      </c>
      <c r="B153" s="10" t="s">
        <v>100</v>
      </c>
      <c r="C153" s="11">
        <v>-439999.99999999988</v>
      </c>
      <c r="D153" s="11">
        <v>145000</v>
      </c>
      <c r="E153" s="11">
        <v>0</v>
      </c>
      <c r="F153" s="13">
        <f>SUMIF('OD 09-24'!A:A,A153,'OD 09-24'!D:D)</f>
        <v>0</v>
      </c>
      <c r="G153" s="13">
        <f>SUMIF('OD 09-24'!A:A,A153,'OD 09-24'!E:E)</f>
        <v>0</v>
      </c>
      <c r="H153" s="14">
        <f t="shared" si="4"/>
        <v>145000</v>
      </c>
      <c r="I153" s="14">
        <f t="shared" si="5"/>
        <v>-294999.99999999988</v>
      </c>
      <c r="J153" s="8" t="s">
        <v>81</v>
      </c>
      <c r="K153" s="8"/>
      <c r="M153" s="339"/>
      <c r="N153" s="315"/>
    </row>
    <row r="154" spans="1:14" s="9" customFormat="1" ht="11.25" customHeight="1" x14ac:dyDescent="0.2">
      <c r="A154" s="10">
        <v>44207000</v>
      </c>
      <c r="B154" s="10" t="s">
        <v>336</v>
      </c>
      <c r="C154" s="11">
        <v>165000</v>
      </c>
      <c r="D154" s="11">
        <v>60000</v>
      </c>
      <c r="E154" s="11">
        <v>0</v>
      </c>
      <c r="F154" s="13">
        <f>SUMIF('OD 09-24'!A:A,A154,'OD 09-24'!D:D)</f>
        <v>0</v>
      </c>
      <c r="G154" s="13">
        <f>SUMIF('OD 09-24'!A:A,A154,'OD 09-24'!E:E)</f>
        <v>0</v>
      </c>
      <c r="H154" s="14">
        <f t="shared" si="4"/>
        <v>60000</v>
      </c>
      <c r="I154" s="14">
        <f t="shared" si="5"/>
        <v>225000</v>
      </c>
      <c r="J154" s="8" t="s">
        <v>78</v>
      </c>
      <c r="K154" s="8"/>
      <c r="M154" s="339"/>
      <c r="N154" s="315"/>
    </row>
    <row r="155" spans="1:14" s="9" customFormat="1" ht="11.25" customHeight="1" x14ac:dyDescent="0.2">
      <c r="A155" s="10">
        <v>44208000</v>
      </c>
      <c r="B155" s="10" t="s">
        <v>337</v>
      </c>
      <c r="C155" s="11">
        <v>2270.971</v>
      </c>
      <c r="D155" s="11">
        <v>0</v>
      </c>
      <c r="E155" s="11">
        <v>0</v>
      </c>
      <c r="F155" s="13">
        <f>SUMIF('OD 09-24'!A:A,A155,'OD 09-24'!D:D)</f>
        <v>0</v>
      </c>
      <c r="G155" s="13">
        <f>SUMIF('OD 09-24'!A:A,A155,'OD 09-24'!E:E)</f>
        <v>0</v>
      </c>
      <c r="H155" s="14">
        <f t="shared" si="4"/>
        <v>0</v>
      </c>
      <c r="I155" s="14">
        <f t="shared" si="5"/>
        <v>2270.971</v>
      </c>
      <c r="J155" s="8" t="s">
        <v>78</v>
      </c>
      <c r="K155" s="8"/>
      <c r="M155" s="339"/>
      <c r="N155" s="315"/>
    </row>
    <row r="156" spans="1:14" s="9" customFormat="1" ht="11.25" customHeight="1" x14ac:dyDescent="0.2">
      <c r="A156" s="10">
        <v>44209000</v>
      </c>
      <c r="B156" s="10" t="s">
        <v>392</v>
      </c>
      <c r="C156" s="11">
        <v>3626.8820000002161</v>
      </c>
      <c r="D156" s="11">
        <v>0</v>
      </c>
      <c r="E156" s="11">
        <v>0</v>
      </c>
      <c r="F156" s="13">
        <f>SUMIF('OD 09-24'!A:A,A156,'OD 09-24'!D:D)</f>
        <v>0</v>
      </c>
      <c r="G156" s="13">
        <f>SUMIF('OD 09-24'!A:A,A156,'OD 09-24'!E:E)</f>
        <v>0</v>
      </c>
      <c r="H156" s="14">
        <f t="shared" si="4"/>
        <v>0</v>
      </c>
      <c r="I156" s="14">
        <f t="shared" si="5"/>
        <v>3626.8820000002161</v>
      </c>
      <c r="J156" s="8" t="s">
        <v>78</v>
      </c>
      <c r="K156" s="8"/>
      <c r="M156" s="339"/>
      <c r="N156" s="315"/>
    </row>
    <row r="157" spans="1:14" s="9" customFormat="1" ht="11.25" customHeight="1" x14ac:dyDescent="0.2">
      <c r="A157" s="10">
        <v>44210000</v>
      </c>
      <c r="B157" s="10" t="s">
        <v>338</v>
      </c>
      <c r="C157" s="11">
        <v>0</v>
      </c>
      <c r="D157" s="11">
        <v>0</v>
      </c>
      <c r="E157" s="11">
        <v>0</v>
      </c>
      <c r="F157" s="13">
        <f>SUMIF('OD 09-24'!A:A,A157,'OD 09-24'!D:D)</f>
        <v>0</v>
      </c>
      <c r="G157" s="13">
        <f>SUMIF('OD 09-24'!A:A,A157,'OD 09-24'!E:E)</f>
        <v>0</v>
      </c>
      <c r="H157" s="14">
        <f t="shared" si="4"/>
        <v>0</v>
      </c>
      <c r="I157" s="14">
        <f t="shared" si="5"/>
        <v>0</v>
      </c>
      <c r="J157" s="8"/>
      <c r="K157" s="8"/>
      <c r="M157" s="339"/>
      <c r="N157" s="315"/>
    </row>
    <row r="158" spans="1:14" s="9" customFormat="1" ht="11.25" customHeight="1" x14ac:dyDescent="0.2">
      <c r="A158" s="10">
        <v>44600000</v>
      </c>
      <c r="B158" s="10" t="s">
        <v>339</v>
      </c>
      <c r="C158" s="11">
        <v>0</v>
      </c>
      <c r="D158" s="11">
        <v>0</v>
      </c>
      <c r="E158" s="11">
        <v>0</v>
      </c>
      <c r="F158" s="13">
        <f>SUMIF('OD 09-24'!A:A,A158,'OD 09-24'!D:D)</f>
        <v>0</v>
      </c>
      <c r="G158" s="13">
        <f>SUMIF('OD 09-24'!A:A,A158,'OD 09-24'!E:E)</f>
        <v>0</v>
      </c>
      <c r="H158" s="14">
        <f t="shared" si="4"/>
        <v>0</v>
      </c>
      <c r="I158" s="14">
        <f t="shared" si="5"/>
        <v>0</v>
      </c>
      <c r="J158" s="8"/>
      <c r="K158" s="8"/>
      <c r="M158" s="339"/>
      <c r="N158" s="315"/>
    </row>
    <row r="159" spans="1:14" s="9" customFormat="1" ht="11.25" customHeight="1" x14ac:dyDescent="0.2">
      <c r="A159" s="10">
        <v>44700000</v>
      </c>
      <c r="B159" s="10" t="s">
        <v>101</v>
      </c>
      <c r="C159" s="11">
        <v>0</v>
      </c>
      <c r="D159" s="11">
        <v>0</v>
      </c>
      <c r="E159" s="11">
        <v>0</v>
      </c>
      <c r="F159" s="13">
        <f>SUMIF('OD 09-24'!A:A,A159,'OD 09-24'!D:D)</f>
        <v>0</v>
      </c>
      <c r="G159" s="13">
        <f>SUMIF('OD 09-24'!A:A,A159,'OD 09-24'!E:E)</f>
        <v>0</v>
      </c>
      <c r="H159" s="14">
        <f t="shared" si="4"/>
        <v>0</v>
      </c>
      <c r="I159" s="14">
        <f t="shared" si="5"/>
        <v>0</v>
      </c>
      <c r="J159" s="8"/>
      <c r="K159" s="8"/>
      <c r="M159" s="339"/>
      <c r="N159" s="315"/>
    </row>
    <row r="160" spans="1:14" s="9" customFormat="1" ht="11.25" customHeight="1" x14ac:dyDescent="0.2">
      <c r="A160" s="10">
        <v>45000000</v>
      </c>
      <c r="B160" s="10" t="s">
        <v>102</v>
      </c>
      <c r="C160" s="11">
        <v>-12700</v>
      </c>
      <c r="D160" s="11">
        <v>0</v>
      </c>
      <c r="E160" s="11">
        <v>0</v>
      </c>
      <c r="F160" s="13">
        <f>SUMIF('OD 09-24'!A:A,A160,'OD 09-24'!D:D)</f>
        <v>0</v>
      </c>
      <c r="G160" s="13">
        <f>SUMIF('OD 09-24'!A:A,A160,'OD 09-24'!E:E)</f>
        <v>0</v>
      </c>
      <c r="H160" s="14">
        <f t="shared" si="4"/>
        <v>0</v>
      </c>
      <c r="I160" s="14">
        <f t="shared" si="5"/>
        <v>-12700</v>
      </c>
      <c r="J160" s="8" t="s">
        <v>81</v>
      </c>
      <c r="K160" s="8"/>
      <c r="M160" s="339"/>
      <c r="N160" s="315"/>
    </row>
    <row r="161" spans="1:14" s="9" customFormat="1" ht="11.25" customHeight="1" x14ac:dyDescent="0.2">
      <c r="A161" s="10">
        <v>45200000</v>
      </c>
      <c r="B161" s="10" t="s">
        <v>103</v>
      </c>
      <c r="C161" s="11">
        <v>-2500</v>
      </c>
      <c r="D161" s="11">
        <v>56000</v>
      </c>
      <c r="E161" s="11">
        <v>56000</v>
      </c>
      <c r="F161" s="13">
        <f>SUMIF('OD 09-24'!A:A,A161,'OD 09-24'!D:D)</f>
        <v>0</v>
      </c>
      <c r="G161" s="13">
        <f>SUMIF('OD 09-24'!A:A,A161,'OD 09-24'!E:E)</f>
        <v>0</v>
      </c>
      <c r="H161" s="14">
        <f t="shared" si="4"/>
        <v>0</v>
      </c>
      <c r="I161" s="14">
        <f t="shared" si="5"/>
        <v>-2500</v>
      </c>
      <c r="J161" s="8" t="s">
        <v>81</v>
      </c>
      <c r="K161" s="8"/>
      <c r="M161" s="339"/>
      <c r="N161" s="315"/>
    </row>
    <row r="162" spans="1:14" s="9" customFormat="1" ht="11.25" customHeight="1" x14ac:dyDescent="0.2">
      <c r="A162" s="10">
        <v>45310000</v>
      </c>
      <c r="B162" s="10" t="s">
        <v>104</v>
      </c>
      <c r="C162" s="11">
        <v>-244010.37100000028</v>
      </c>
      <c r="D162" s="11">
        <v>713401.62099999993</v>
      </c>
      <c r="E162" s="11">
        <v>555318.94700000004</v>
      </c>
      <c r="F162" s="13">
        <f>SUMIF('OD 09-24'!A:A,A162,'OD 09-24'!D:D)</f>
        <v>614080.12100000004</v>
      </c>
      <c r="G162" s="13">
        <f>SUMIF('OD 09-24'!A:A,A162,'OD 09-24'!E:E)</f>
        <v>726236.82400000002</v>
      </c>
      <c r="H162" s="14">
        <f t="shared" si="4"/>
        <v>45925.97100000002</v>
      </c>
      <c r="I162" s="14">
        <f t="shared" si="5"/>
        <v>-198084.40000000026</v>
      </c>
      <c r="J162" s="8" t="s">
        <v>81</v>
      </c>
      <c r="K162" s="8"/>
      <c r="M162" s="339"/>
      <c r="N162" s="315"/>
    </row>
    <row r="163" spans="1:14" s="9" customFormat="1" ht="11.25" customHeight="1" x14ac:dyDescent="0.2">
      <c r="A163" s="10">
        <v>45700000</v>
      </c>
      <c r="B163" s="10" t="s">
        <v>105</v>
      </c>
      <c r="C163" s="11">
        <v>7122.9679999998771</v>
      </c>
      <c r="D163" s="11">
        <v>0</v>
      </c>
      <c r="E163" s="11">
        <v>0</v>
      </c>
      <c r="F163" s="13">
        <f>SUMIF('OD 09-24'!A:A,A163,'OD 09-24'!D:D)</f>
        <v>0</v>
      </c>
      <c r="G163" s="13">
        <f>SUMIF('OD 09-24'!A:A,A163,'OD 09-24'!E:E)</f>
        <v>0</v>
      </c>
      <c r="H163" s="14">
        <f t="shared" si="4"/>
        <v>0</v>
      </c>
      <c r="I163" s="14">
        <f t="shared" si="5"/>
        <v>7122.9679999998771</v>
      </c>
      <c r="J163" s="8" t="s">
        <v>78</v>
      </c>
      <c r="K163" s="8"/>
      <c r="M163" s="339"/>
      <c r="N163" s="315"/>
    </row>
    <row r="164" spans="1:14" s="9" customFormat="1" ht="11.25" customHeight="1" x14ac:dyDescent="0.2">
      <c r="A164" s="10">
        <v>45860000</v>
      </c>
      <c r="B164" s="10" t="s">
        <v>106</v>
      </c>
      <c r="C164" s="11">
        <v>-1872970.182</v>
      </c>
      <c r="D164" s="11">
        <v>1124462.1570000001</v>
      </c>
      <c r="E164" s="11">
        <v>197370.59700000001</v>
      </c>
      <c r="F164" s="13">
        <f>SUMIF('OD 09-24'!A:A,A164,'OD 09-24'!D:D)</f>
        <v>8363204.2460000003</v>
      </c>
      <c r="G164" s="13">
        <f>SUMIF('OD 09-24'!A:A,A164,'OD 09-24'!E:E)</f>
        <v>9920258.2559999991</v>
      </c>
      <c r="H164" s="14">
        <f t="shared" si="4"/>
        <v>-629962.44999999739</v>
      </c>
      <c r="I164" s="14">
        <f t="shared" si="5"/>
        <v>-2502932.6319999974</v>
      </c>
      <c r="J164" s="8" t="s">
        <v>81</v>
      </c>
      <c r="K164" s="8"/>
      <c r="M164" s="339"/>
      <c r="N164" s="315"/>
    </row>
    <row r="165" spans="1:14" s="9" customFormat="1" ht="11.25" customHeight="1" x14ac:dyDescent="0.2">
      <c r="A165" s="10">
        <v>45870000</v>
      </c>
      <c r="B165" s="10" t="s">
        <v>107</v>
      </c>
      <c r="C165" s="11">
        <v>38770.517999999225</v>
      </c>
      <c r="D165" s="11">
        <v>0</v>
      </c>
      <c r="E165" s="11">
        <v>38770.517999999996</v>
      </c>
      <c r="F165" s="13">
        <f>SUMIF('OD 09-24'!A:A,A165,'OD 09-24'!D:D)</f>
        <v>595398.94099999999</v>
      </c>
      <c r="G165" s="13">
        <f>SUMIF('OD 09-24'!A:A,A165,'OD 09-24'!E:E)</f>
        <v>585258.14300000004</v>
      </c>
      <c r="H165" s="14">
        <f t="shared" si="4"/>
        <v>-28629.720000000088</v>
      </c>
      <c r="I165" s="14">
        <f t="shared" si="5"/>
        <v>10140.797999999137</v>
      </c>
      <c r="J165" s="8" t="s">
        <v>78</v>
      </c>
      <c r="K165" s="8"/>
      <c r="M165" s="339"/>
      <c r="N165" s="315"/>
    </row>
    <row r="166" spans="1:14" s="9" customFormat="1" ht="11.25" customHeight="1" x14ac:dyDescent="0.2">
      <c r="A166" s="10">
        <v>46100000</v>
      </c>
      <c r="B166" s="10" t="s">
        <v>340</v>
      </c>
      <c r="C166" s="11">
        <v>0</v>
      </c>
      <c r="D166" s="11">
        <v>26222.382999999994</v>
      </c>
      <c r="E166" s="11">
        <v>26222.382999999994</v>
      </c>
      <c r="F166" s="13">
        <f>SUMIF('OD 09-24'!A:A,A166,'OD 09-24'!D:D)</f>
        <v>0</v>
      </c>
      <c r="G166" s="13">
        <f>SUMIF('OD 09-24'!A:A,A166,'OD 09-24'!E:E)</f>
        <v>0</v>
      </c>
      <c r="H166" s="14">
        <f t="shared" si="4"/>
        <v>0</v>
      </c>
      <c r="I166" s="14">
        <f t="shared" si="5"/>
        <v>0</v>
      </c>
      <c r="J166" s="8"/>
      <c r="K166" s="8"/>
      <c r="M166" s="339"/>
      <c r="N166" s="315"/>
    </row>
    <row r="167" spans="1:14" s="9" customFormat="1" ht="11.25" customHeight="1" x14ac:dyDescent="0.2">
      <c r="A167" s="10">
        <v>46800000</v>
      </c>
      <c r="B167" s="10" t="s">
        <v>108</v>
      </c>
      <c r="C167" s="11">
        <v>0</v>
      </c>
      <c r="D167" s="11">
        <v>0</v>
      </c>
      <c r="E167" s="11">
        <v>0</v>
      </c>
      <c r="F167" s="13">
        <f>SUMIF('OD 09-24'!A:A,A167,'OD 09-24'!D:D)</f>
        <v>0</v>
      </c>
      <c r="G167" s="13">
        <f>SUMIF('OD 09-24'!A:A,A167,'OD 09-24'!E:E)</f>
        <v>0</v>
      </c>
      <c r="H167" s="14">
        <f t="shared" si="4"/>
        <v>0</v>
      </c>
      <c r="I167" s="14">
        <f t="shared" si="5"/>
        <v>0</v>
      </c>
      <c r="J167" s="8"/>
      <c r="K167" s="8"/>
      <c r="M167" s="339"/>
      <c r="N167" s="315"/>
    </row>
    <row r="168" spans="1:14" s="9" customFormat="1" ht="11.25" customHeight="1" x14ac:dyDescent="0.2">
      <c r="A168" s="10">
        <v>47100000</v>
      </c>
      <c r="B168" s="10" t="s">
        <v>109</v>
      </c>
      <c r="C168" s="11">
        <v>222018.92184599978</v>
      </c>
      <c r="D168" s="11">
        <v>523.68799999999999</v>
      </c>
      <c r="E168" s="11">
        <v>221330.79699999996</v>
      </c>
      <c r="F168" s="13">
        <f>SUMIF('OD 09-24'!A:A,A168,'OD 09-24'!D:D)</f>
        <v>1582628.328</v>
      </c>
      <c r="G168" s="13">
        <f>SUMIF('OD 09-24'!A:A,A168,'OD 09-24'!E:E)</f>
        <v>1375088.0560000001</v>
      </c>
      <c r="H168" s="14">
        <f t="shared" si="4"/>
        <v>-13266.837000000058</v>
      </c>
      <c r="I168" s="14">
        <f t="shared" si="5"/>
        <v>208752.08484599972</v>
      </c>
      <c r="J168" s="8" t="s">
        <v>78</v>
      </c>
      <c r="K168" s="8"/>
      <c r="M168" s="339"/>
      <c r="N168" s="315"/>
    </row>
    <row r="169" spans="1:14" s="9" customFormat="1" ht="11.25" customHeight="1" x14ac:dyDescent="0.2">
      <c r="A169" s="10">
        <v>47200000</v>
      </c>
      <c r="B169" s="10" t="s">
        <v>341</v>
      </c>
      <c r="C169" s="11">
        <v>0</v>
      </c>
      <c r="D169" s="11">
        <v>0</v>
      </c>
      <c r="E169" s="11">
        <v>0</v>
      </c>
      <c r="F169" s="13">
        <f>SUMIF('OD 09-24'!A:A,A169,'OD 09-24'!D:D)</f>
        <v>0</v>
      </c>
      <c r="G169" s="13">
        <f>SUMIF('OD 09-24'!A:A,A169,'OD 09-24'!E:E)</f>
        <v>0</v>
      </c>
      <c r="H169" s="14">
        <f t="shared" si="4"/>
        <v>0</v>
      </c>
      <c r="I169" s="14">
        <f t="shared" si="5"/>
        <v>0</v>
      </c>
      <c r="J169" s="8"/>
      <c r="K169" s="8"/>
      <c r="M169" s="339"/>
      <c r="N169" s="315"/>
    </row>
    <row r="170" spans="1:14" s="9" customFormat="1" ht="11.25" customHeight="1" x14ac:dyDescent="0.2">
      <c r="A170" s="10">
        <v>49100000</v>
      </c>
      <c r="B170" s="10" t="s">
        <v>110</v>
      </c>
      <c r="C170" s="11">
        <v>-457129.14999999991</v>
      </c>
      <c r="D170" s="11">
        <v>0</v>
      </c>
      <c r="E170" s="11">
        <v>0</v>
      </c>
      <c r="F170" s="13">
        <f>SUMIF('OD 09-24'!A:A,A170,'OD 09-24'!D:D)</f>
        <v>1500000</v>
      </c>
      <c r="G170" s="13">
        <f>SUMIF('OD 09-24'!A:A,A170,'OD 09-24'!E:E)</f>
        <v>1900000</v>
      </c>
      <c r="H170" s="14">
        <f t="shared" si="4"/>
        <v>-400000</v>
      </c>
      <c r="I170" s="14">
        <f t="shared" si="5"/>
        <v>-857129.14999999991</v>
      </c>
      <c r="J170" s="8" t="s">
        <v>111</v>
      </c>
      <c r="K170" s="8"/>
      <c r="M170" s="339"/>
      <c r="N170" s="315"/>
    </row>
    <row r="171" spans="1:14" s="9" customFormat="1" ht="11.25" customHeight="1" x14ac:dyDescent="0.2">
      <c r="A171" s="10">
        <v>49600000</v>
      </c>
      <c r="B171" s="10" t="s">
        <v>112</v>
      </c>
      <c r="C171" s="11">
        <v>-288613.68499999994</v>
      </c>
      <c r="D171" s="11">
        <v>0</v>
      </c>
      <c r="E171" s="11">
        <v>0</v>
      </c>
      <c r="F171" s="13">
        <f>SUMIF('OD 09-24'!A:A,A171,'OD 09-24'!D:D)</f>
        <v>0</v>
      </c>
      <c r="G171" s="13">
        <f>SUMIF('OD 09-24'!A:A,A171,'OD 09-24'!E:E)</f>
        <v>0</v>
      </c>
      <c r="H171" s="14">
        <f t="shared" si="4"/>
        <v>0</v>
      </c>
      <c r="I171" s="14">
        <f t="shared" si="5"/>
        <v>-288613.68499999994</v>
      </c>
      <c r="J171" s="8" t="s">
        <v>113</v>
      </c>
      <c r="K171" s="8"/>
      <c r="M171" s="339"/>
      <c r="N171" s="315"/>
    </row>
    <row r="172" spans="1:14" s="9" customFormat="1" ht="11.25" customHeight="1" x14ac:dyDescent="0.2">
      <c r="A172" s="10">
        <v>50130000</v>
      </c>
      <c r="B172" s="10" t="s">
        <v>114</v>
      </c>
      <c r="C172" s="11">
        <v>-6000000</v>
      </c>
      <c r="D172" s="11">
        <v>18000000</v>
      </c>
      <c r="E172" s="11">
        <v>18000000</v>
      </c>
      <c r="F172" s="13">
        <f>SUMIF('OD 09-24'!A:A,A172,'OD 09-24'!D:D)</f>
        <v>0</v>
      </c>
      <c r="G172" s="13">
        <f>SUMIF('OD 09-24'!A:A,A172,'OD 09-24'!E:E)</f>
        <v>0</v>
      </c>
      <c r="H172" s="14">
        <f t="shared" si="4"/>
        <v>0</v>
      </c>
      <c r="I172" s="14">
        <f t="shared" si="5"/>
        <v>-6000000</v>
      </c>
      <c r="J172" s="8" t="s">
        <v>115</v>
      </c>
      <c r="K172" s="8"/>
      <c r="M172" s="339"/>
      <c r="N172" s="315"/>
    </row>
    <row r="173" spans="1:14" s="9" customFormat="1" ht="11.25" customHeight="1" x14ac:dyDescent="0.2">
      <c r="A173" s="10">
        <v>50140000</v>
      </c>
      <c r="B173" s="10" t="s">
        <v>116</v>
      </c>
      <c r="C173" s="11">
        <v>-4000000</v>
      </c>
      <c r="D173" s="11">
        <v>12000000</v>
      </c>
      <c r="E173" s="11">
        <v>12000000</v>
      </c>
      <c r="F173" s="13">
        <f>SUMIF('OD 09-24'!A:A,A173,'OD 09-24'!D:D)</f>
        <v>0</v>
      </c>
      <c r="G173" s="13">
        <f>SUMIF('OD 09-24'!A:A,A173,'OD 09-24'!E:E)</f>
        <v>0</v>
      </c>
      <c r="H173" s="14">
        <f t="shared" si="4"/>
        <v>0</v>
      </c>
      <c r="I173" s="14">
        <f t="shared" si="5"/>
        <v>-4000000</v>
      </c>
      <c r="J173" s="8" t="s">
        <v>115</v>
      </c>
      <c r="K173" s="8"/>
      <c r="M173" s="339"/>
      <c r="N173" s="315"/>
    </row>
    <row r="174" spans="1:14" s="9" customFormat="1" ht="11.25" customHeight="1" x14ac:dyDescent="0.2">
      <c r="A174" s="10">
        <v>50500000</v>
      </c>
      <c r="B174" s="10" t="s">
        <v>117</v>
      </c>
      <c r="C174" s="11">
        <v>-625000.00400000252</v>
      </c>
      <c r="D174" s="11">
        <v>416666.66700000002</v>
      </c>
      <c r="E174" s="11">
        <v>0</v>
      </c>
      <c r="F174" s="13">
        <f>SUMIF('OD 09-24'!A:A,A174,'OD 09-24'!D:D)</f>
        <v>0</v>
      </c>
      <c r="G174" s="13">
        <f>SUMIF('OD 09-24'!A:A,A174,'OD 09-24'!E:E)</f>
        <v>0</v>
      </c>
      <c r="H174" s="14">
        <f t="shared" si="4"/>
        <v>416666.66700000002</v>
      </c>
      <c r="I174" s="14">
        <f t="shared" si="5"/>
        <v>-208333.3370000025</v>
      </c>
      <c r="J174" s="8" t="s">
        <v>115</v>
      </c>
      <c r="K174" s="8"/>
      <c r="M174" s="339"/>
      <c r="N174" s="315"/>
    </row>
    <row r="175" spans="1:14" s="9" customFormat="1" ht="11.25" customHeight="1" x14ac:dyDescent="0.2">
      <c r="A175" s="10">
        <v>50515000</v>
      </c>
      <c r="B175" s="10" t="s">
        <v>118</v>
      </c>
      <c r="C175" s="11">
        <v>-131871.57899999991</v>
      </c>
      <c r="D175" s="11">
        <v>230181.08199999999</v>
      </c>
      <c r="E175" s="11">
        <v>225258.14199999999</v>
      </c>
      <c r="F175" s="13">
        <f>SUMIF('OD 09-24'!A:A,A175,'OD 09-24'!D:D)</f>
        <v>0</v>
      </c>
      <c r="G175" s="13">
        <f>SUMIF('OD 09-24'!A:A,A175,'OD 09-24'!E:E)</f>
        <v>0</v>
      </c>
      <c r="H175" s="14">
        <f t="shared" si="4"/>
        <v>4922.9400000000023</v>
      </c>
      <c r="I175" s="14">
        <f t="shared" si="5"/>
        <v>-126948.63899999991</v>
      </c>
      <c r="J175" s="8" t="s">
        <v>115</v>
      </c>
      <c r="K175" s="8"/>
      <c r="M175" s="339"/>
      <c r="N175" s="315"/>
    </row>
    <row r="176" spans="1:14" s="9" customFormat="1" ht="11.25" customHeight="1" x14ac:dyDescent="0.2">
      <c r="A176" s="10">
        <v>50610100</v>
      </c>
      <c r="B176" s="10" t="s">
        <v>342</v>
      </c>
      <c r="C176" s="11">
        <v>0</v>
      </c>
      <c r="D176" s="11">
        <v>0</v>
      </c>
      <c r="E176" s="11">
        <v>0</v>
      </c>
      <c r="F176" s="13">
        <f>SUMIF('OD 09-24'!A:A,A176,'OD 09-24'!D:D)</f>
        <v>0</v>
      </c>
      <c r="G176" s="13">
        <f>SUMIF('OD 09-24'!A:A,A176,'OD 09-24'!E:E)</f>
        <v>0</v>
      </c>
      <c r="H176" s="14">
        <f t="shared" si="4"/>
        <v>0</v>
      </c>
      <c r="I176" s="14">
        <f t="shared" si="5"/>
        <v>0</v>
      </c>
      <c r="J176" s="8"/>
      <c r="K176" s="8"/>
      <c r="M176" s="339"/>
      <c r="N176" s="315"/>
    </row>
    <row r="177" spans="1:14" s="9" customFormat="1" ht="11.25" customHeight="1" x14ac:dyDescent="0.2">
      <c r="A177" s="10">
        <v>50610900</v>
      </c>
      <c r="B177" s="10" t="s">
        <v>119</v>
      </c>
      <c r="C177" s="11">
        <v>-1347864.9606235027</v>
      </c>
      <c r="D177" s="11">
        <v>1359732.8840000001</v>
      </c>
      <c r="E177" s="11">
        <v>11867.923000000001</v>
      </c>
      <c r="F177" s="13">
        <f>SUMIF('OD 09-24'!A:A,A177,'OD 09-24'!D:D)</f>
        <v>0</v>
      </c>
      <c r="G177" s="13">
        <f>SUMIF('OD 09-24'!A:A,A177,'OD 09-24'!E:E)</f>
        <v>0</v>
      </c>
      <c r="H177" s="14">
        <f t="shared" si="4"/>
        <v>1347864.9610000001</v>
      </c>
      <c r="I177" s="14">
        <f t="shared" si="5"/>
        <v>3.7649739533662796E-4</v>
      </c>
      <c r="J177" s="8" t="s">
        <v>115</v>
      </c>
      <c r="K177" s="8"/>
      <c r="M177" s="339"/>
      <c r="N177" s="315"/>
    </row>
    <row r="178" spans="1:14" s="9" customFormat="1" ht="11.25" customHeight="1" x14ac:dyDescent="0.2">
      <c r="A178" s="10">
        <v>50630000</v>
      </c>
      <c r="B178" s="10" t="s">
        <v>343</v>
      </c>
      <c r="C178" s="11">
        <v>-443000</v>
      </c>
      <c r="D178" s="11">
        <v>443000</v>
      </c>
      <c r="E178" s="11">
        <v>0</v>
      </c>
      <c r="F178" s="13">
        <f>SUMIF('OD 09-24'!A:A,A178,'OD 09-24'!D:D)</f>
        <v>0</v>
      </c>
      <c r="G178" s="13">
        <f>SUMIF('OD 09-24'!A:A,A178,'OD 09-24'!E:E)</f>
        <v>0</v>
      </c>
      <c r="H178" s="14">
        <f t="shared" si="4"/>
        <v>443000</v>
      </c>
      <c r="I178" s="14">
        <f t="shared" si="5"/>
        <v>0</v>
      </c>
      <c r="J178" s="8" t="s">
        <v>115</v>
      </c>
      <c r="K178" s="8"/>
      <c r="M178" s="339"/>
      <c r="N178" s="315"/>
    </row>
    <row r="179" spans="1:14" s="9" customFormat="1" ht="11.25" customHeight="1" x14ac:dyDescent="0.2">
      <c r="A179" s="10">
        <v>50800000</v>
      </c>
      <c r="B179" s="10" t="s">
        <v>344</v>
      </c>
      <c r="C179" s="11">
        <v>-31533.957000000002</v>
      </c>
      <c r="D179" s="11">
        <v>31533.957000000002</v>
      </c>
      <c r="E179" s="11">
        <v>0</v>
      </c>
      <c r="F179" s="13">
        <f>SUMIF('OD 09-24'!A:A,A179,'OD 09-24'!D:D)</f>
        <v>0</v>
      </c>
      <c r="G179" s="13">
        <f>SUMIF('OD 09-24'!A:A,A179,'OD 09-24'!E:E)</f>
        <v>0</v>
      </c>
      <c r="H179" s="14">
        <f t="shared" si="4"/>
        <v>31533.957000000002</v>
      </c>
      <c r="I179" s="14">
        <f t="shared" si="5"/>
        <v>0</v>
      </c>
      <c r="J179" s="8" t="s">
        <v>115</v>
      </c>
      <c r="K179" s="8"/>
      <c r="M179" s="339"/>
      <c r="N179" s="315"/>
    </row>
    <row r="180" spans="1:14" s="9" customFormat="1" ht="11.25" customHeight="1" x14ac:dyDescent="0.2">
      <c r="A180" s="10">
        <v>52000000</v>
      </c>
      <c r="B180" s="10" t="s">
        <v>345</v>
      </c>
      <c r="C180" s="11">
        <v>0</v>
      </c>
      <c r="D180" s="11">
        <v>0</v>
      </c>
      <c r="E180" s="11">
        <v>0</v>
      </c>
      <c r="F180" s="13">
        <f>SUMIF('OD 09-24'!A:A,A180,'OD 09-24'!D:D)</f>
        <v>0</v>
      </c>
      <c r="G180" s="13">
        <f>SUMIF('OD 09-24'!A:A,A180,'OD 09-24'!E:E)</f>
        <v>0</v>
      </c>
      <c r="H180" s="14">
        <f t="shared" si="4"/>
        <v>0</v>
      </c>
      <c r="I180" s="14">
        <f t="shared" si="5"/>
        <v>0</v>
      </c>
      <c r="J180" s="8"/>
      <c r="K180" s="8"/>
      <c r="M180" s="339"/>
      <c r="N180" s="315"/>
    </row>
    <row r="181" spans="1:14" s="9" customFormat="1" ht="11.25" customHeight="1" x14ac:dyDescent="0.2">
      <c r="A181" s="10">
        <v>52001100</v>
      </c>
      <c r="B181" s="10" t="s">
        <v>346</v>
      </c>
      <c r="C181" s="11">
        <v>0</v>
      </c>
      <c r="D181" s="11">
        <v>0</v>
      </c>
      <c r="E181" s="11">
        <v>0</v>
      </c>
      <c r="F181" s="13">
        <f>SUMIF('OD 09-24'!A:A,A181,'OD 09-24'!D:D)</f>
        <v>0</v>
      </c>
      <c r="G181" s="13">
        <f>SUMIF('OD 09-24'!A:A,A181,'OD 09-24'!E:E)</f>
        <v>0</v>
      </c>
      <c r="H181" s="14">
        <f t="shared" si="4"/>
        <v>0</v>
      </c>
      <c r="I181" s="14">
        <f t="shared" si="5"/>
        <v>0</v>
      </c>
      <c r="J181" s="8"/>
      <c r="K181" s="8"/>
      <c r="M181" s="339"/>
      <c r="N181" s="315"/>
    </row>
    <row r="182" spans="1:14" s="9" customFormat="1" ht="11.25" customHeight="1" x14ac:dyDescent="0.2">
      <c r="A182" s="10">
        <v>53140000</v>
      </c>
      <c r="B182" s="10" t="s">
        <v>347</v>
      </c>
      <c r="C182" s="11">
        <v>0</v>
      </c>
      <c r="D182" s="11">
        <v>0</v>
      </c>
      <c r="E182" s="11">
        <v>0</v>
      </c>
      <c r="F182" s="13">
        <f>SUMIF('OD 09-24'!A:A,A182,'OD 09-24'!D:D)</f>
        <v>0</v>
      </c>
      <c r="G182" s="13">
        <f>SUMIF('OD 09-24'!A:A,A182,'OD 09-24'!E:E)</f>
        <v>0</v>
      </c>
      <c r="H182" s="14">
        <f t="shared" si="4"/>
        <v>0</v>
      </c>
      <c r="I182" s="14">
        <f t="shared" si="5"/>
        <v>0</v>
      </c>
      <c r="J182" s="8"/>
      <c r="K182" s="8"/>
      <c r="M182" s="339"/>
      <c r="N182" s="315"/>
    </row>
    <row r="183" spans="1:14" s="9" customFormat="1" ht="11.25" x14ac:dyDescent="0.2">
      <c r="A183" s="10">
        <v>53200000</v>
      </c>
      <c r="B183" s="10" t="s">
        <v>120</v>
      </c>
      <c r="C183" s="11">
        <v>185799.56100001931</v>
      </c>
      <c r="D183" s="11">
        <v>23543619.969999999</v>
      </c>
      <c r="E183" s="11">
        <v>23641198.945999999</v>
      </c>
      <c r="F183" s="13">
        <f>SUMIF('OD 09-24'!A:A,A183,'OD 09-24'!D:D)</f>
        <v>0</v>
      </c>
      <c r="G183" s="13">
        <f>SUMIF('OD 09-24'!A:A,A183,'OD 09-24'!E:E)</f>
        <v>0</v>
      </c>
      <c r="H183" s="14">
        <f t="shared" si="4"/>
        <v>-97578.975999999791</v>
      </c>
      <c r="I183" s="14">
        <f t="shared" si="5"/>
        <v>88220.585000019521</v>
      </c>
      <c r="J183" s="8" t="s">
        <v>121</v>
      </c>
      <c r="K183" s="8"/>
      <c r="M183" s="339"/>
      <c r="N183" s="315"/>
    </row>
    <row r="184" spans="1:14" s="9" customFormat="1" ht="11.25" customHeight="1" x14ac:dyDescent="0.2">
      <c r="A184" s="10">
        <v>53201000</v>
      </c>
      <c r="B184" s="10" t="s">
        <v>348</v>
      </c>
      <c r="C184" s="11">
        <v>0</v>
      </c>
      <c r="D184" s="11">
        <v>0</v>
      </c>
      <c r="E184" s="11">
        <v>0</v>
      </c>
      <c r="F184" s="13">
        <f>SUMIF('OD 09-24'!A:A,A184,'OD 09-24'!D:D)</f>
        <v>0</v>
      </c>
      <c r="G184" s="13">
        <f>SUMIF('OD 09-24'!A:A,A184,'OD 09-24'!E:E)</f>
        <v>0</v>
      </c>
      <c r="H184" s="14">
        <f t="shared" si="4"/>
        <v>0</v>
      </c>
      <c r="I184" s="14">
        <f t="shared" si="5"/>
        <v>0</v>
      </c>
      <c r="J184" s="8"/>
      <c r="K184" s="8"/>
      <c r="M184" s="339"/>
      <c r="N184" s="315"/>
    </row>
    <row r="185" spans="1:14" s="9" customFormat="1" ht="11.25" x14ac:dyDescent="0.2">
      <c r="A185" s="10">
        <v>53202000</v>
      </c>
      <c r="B185" s="10" t="s">
        <v>122</v>
      </c>
      <c r="C185" s="11">
        <v>435.74199999962002</v>
      </c>
      <c r="D185" s="11">
        <v>0</v>
      </c>
      <c r="E185" s="11">
        <v>0</v>
      </c>
      <c r="F185" s="13">
        <f>SUMIF('OD 09-24'!A:A,A185,'OD 09-24'!D:D)</f>
        <v>0</v>
      </c>
      <c r="G185" s="13">
        <f>SUMIF('OD 09-24'!A:A,A185,'OD 09-24'!E:E)</f>
        <v>0</v>
      </c>
      <c r="H185" s="14">
        <f t="shared" si="4"/>
        <v>0</v>
      </c>
      <c r="I185" s="14">
        <f t="shared" si="5"/>
        <v>435.74199999962002</v>
      </c>
      <c r="J185" s="8" t="s">
        <v>121</v>
      </c>
      <c r="K185" s="8"/>
      <c r="M185" s="339"/>
      <c r="N185" s="315"/>
    </row>
    <row r="186" spans="1:14" s="9" customFormat="1" ht="11.25" x14ac:dyDescent="0.2">
      <c r="A186" s="10">
        <v>53203000</v>
      </c>
      <c r="B186" s="10" t="s">
        <v>349</v>
      </c>
      <c r="C186" s="11">
        <v>159807.23199999891</v>
      </c>
      <c r="D186" s="11">
        <v>411911.67499999999</v>
      </c>
      <c r="E186" s="11">
        <v>565471.73699999996</v>
      </c>
      <c r="F186" s="13">
        <f>SUMIF('OD 09-24'!A:A,A186,'OD 09-24'!D:D)</f>
        <v>0</v>
      </c>
      <c r="G186" s="13">
        <f>SUMIF('OD 09-24'!A:A,A186,'OD 09-24'!E:E)</f>
        <v>0</v>
      </c>
      <c r="H186" s="14">
        <f t="shared" si="4"/>
        <v>-153560.06199999998</v>
      </c>
      <c r="I186" s="14">
        <f t="shared" si="5"/>
        <v>6247.169999998936</v>
      </c>
      <c r="J186" s="8" t="s">
        <v>121</v>
      </c>
      <c r="K186" s="8"/>
      <c r="M186" s="339"/>
      <c r="N186" s="315"/>
    </row>
    <row r="187" spans="1:14" s="9" customFormat="1" ht="11.25" customHeight="1" x14ac:dyDescent="0.2">
      <c r="A187" s="10">
        <v>53204000</v>
      </c>
      <c r="B187" s="10" t="s">
        <v>350</v>
      </c>
      <c r="C187" s="11">
        <v>0</v>
      </c>
      <c r="D187" s="11">
        <v>0</v>
      </c>
      <c r="E187" s="11">
        <v>0</v>
      </c>
      <c r="F187" s="13">
        <f>SUMIF('OD 09-24'!A:A,A187,'OD 09-24'!D:D)</f>
        <v>0</v>
      </c>
      <c r="G187" s="13">
        <f>SUMIF('OD 09-24'!A:A,A187,'OD 09-24'!E:E)</f>
        <v>0</v>
      </c>
      <c r="H187" s="14">
        <f t="shared" si="4"/>
        <v>0</v>
      </c>
      <c r="I187" s="14">
        <f t="shared" si="5"/>
        <v>0</v>
      </c>
      <c r="J187" s="8"/>
      <c r="K187" s="8"/>
      <c r="M187" s="339"/>
      <c r="N187" s="315"/>
    </row>
    <row r="188" spans="1:14" s="9" customFormat="1" ht="11.25" customHeight="1" x14ac:dyDescent="0.2">
      <c r="A188" s="10">
        <v>53204100</v>
      </c>
      <c r="B188" s="10" t="s">
        <v>351</v>
      </c>
      <c r="C188" s="11">
        <v>0</v>
      </c>
      <c r="D188" s="11">
        <v>0</v>
      </c>
      <c r="E188" s="11">
        <v>0</v>
      </c>
      <c r="F188" s="13">
        <f>SUMIF('OD 09-24'!A:A,A188,'OD 09-24'!D:D)</f>
        <v>0</v>
      </c>
      <c r="G188" s="13">
        <f>SUMIF('OD 09-24'!A:A,A188,'OD 09-24'!E:E)</f>
        <v>0</v>
      </c>
      <c r="H188" s="14">
        <f t="shared" si="4"/>
        <v>0</v>
      </c>
      <c r="I188" s="14">
        <f t="shared" si="5"/>
        <v>0</v>
      </c>
      <c r="J188" s="8"/>
      <c r="K188" s="8"/>
      <c r="M188" s="339"/>
      <c r="N188" s="315"/>
    </row>
    <row r="189" spans="1:14" s="9" customFormat="1" ht="11.25" customHeight="1" x14ac:dyDescent="0.2">
      <c r="A189" s="10">
        <v>53204500</v>
      </c>
      <c r="B189" s="10" t="s">
        <v>123</v>
      </c>
      <c r="C189" s="11">
        <v>5874.02</v>
      </c>
      <c r="D189" s="11">
        <v>0</v>
      </c>
      <c r="E189" s="11">
        <v>0</v>
      </c>
      <c r="F189" s="13">
        <f>SUMIF('OD 09-24'!A:A,A189,'OD 09-24'!D:D)</f>
        <v>0</v>
      </c>
      <c r="G189" s="13">
        <f>SUMIF('OD 09-24'!A:A,A189,'OD 09-24'!E:E)</f>
        <v>0</v>
      </c>
      <c r="H189" s="14">
        <f t="shared" si="4"/>
        <v>0</v>
      </c>
      <c r="I189" s="14">
        <f t="shared" si="5"/>
        <v>5874.02</v>
      </c>
      <c r="J189" s="8" t="s">
        <v>121</v>
      </c>
      <c r="K189" s="8"/>
      <c r="M189" s="339"/>
      <c r="N189" s="315"/>
    </row>
    <row r="190" spans="1:14" s="9" customFormat="1" ht="11.25" customHeight="1" x14ac:dyDescent="0.2">
      <c r="A190" s="10">
        <v>53205000</v>
      </c>
      <c r="B190" s="10" t="s">
        <v>124</v>
      </c>
      <c r="C190" s="11">
        <v>12925.083999991417</v>
      </c>
      <c r="D190" s="11">
        <v>43908.082000000002</v>
      </c>
      <c r="E190" s="11">
        <v>55000.952000000005</v>
      </c>
      <c r="F190" s="13">
        <f>SUMIF('OD 09-24'!A:A,A190,'OD 09-24'!D:D)</f>
        <v>0</v>
      </c>
      <c r="G190" s="13">
        <f>SUMIF('OD 09-24'!A:A,A190,'OD 09-24'!E:E)</f>
        <v>0</v>
      </c>
      <c r="H190" s="14">
        <f t="shared" si="4"/>
        <v>-11092.870000000003</v>
      </c>
      <c r="I190" s="14">
        <f t="shared" si="5"/>
        <v>1832.2139999914143</v>
      </c>
      <c r="J190" s="8" t="s">
        <v>121</v>
      </c>
      <c r="K190" s="8"/>
      <c r="M190" s="339"/>
      <c r="N190" s="315"/>
    </row>
    <row r="191" spans="1:14" s="9" customFormat="1" ht="11.25" customHeight="1" x14ac:dyDescent="0.2">
      <c r="A191" s="10">
        <v>53205200</v>
      </c>
      <c r="B191" s="10" t="s">
        <v>9637</v>
      </c>
      <c r="C191" s="11">
        <v>0</v>
      </c>
      <c r="D191" s="11">
        <v>5000</v>
      </c>
      <c r="E191" s="11">
        <v>0</v>
      </c>
      <c r="F191" s="13">
        <f>SUMIF('OD 09-24'!A:A,A191,'OD 09-24'!D:D)</f>
        <v>0</v>
      </c>
      <c r="G191" s="13">
        <f>SUMIF('OD 09-24'!A:A,A191,'OD 09-24'!E:E)</f>
        <v>0</v>
      </c>
      <c r="H191" s="14">
        <f t="shared" si="4"/>
        <v>5000</v>
      </c>
      <c r="I191" s="14">
        <f t="shared" si="5"/>
        <v>5000</v>
      </c>
      <c r="J191" s="8" t="s">
        <v>121</v>
      </c>
      <c r="K191" s="8"/>
      <c r="M191" s="339"/>
      <c r="N191" s="315"/>
    </row>
    <row r="192" spans="1:14" s="9" customFormat="1" ht="11.25" customHeight="1" x14ac:dyDescent="0.2">
      <c r="A192" s="10">
        <v>53205300</v>
      </c>
      <c r="B192" s="10" t="s">
        <v>125</v>
      </c>
      <c r="C192" s="11">
        <v>0</v>
      </c>
      <c r="D192" s="11">
        <v>0</v>
      </c>
      <c r="E192" s="11">
        <v>0</v>
      </c>
      <c r="F192" s="13">
        <f>SUMIF('OD 09-24'!A:A,A192,'OD 09-24'!D:D)</f>
        <v>0</v>
      </c>
      <c r="G192" s="13">
        <f>SUMIF('OD 09-24'!A:A,A192,'OD 09-24'!E:E)</f>
        <v>0</v>
      </c>
      <c r="H192" s="14">
        <f t="shared" si="4"/>
        <v>0</v>
      </c>
      <c r="I192" s="14">
        <f t="shared" si="5"/>
        <v>0</v>
      </c>
      <c r="J192" s="8" t="s">
        <v>121</v>
      </c>
      <c r="K192" s="8"/>
      <c r="M192" s="339"/>
      <c r="N192" s="315"/>
    </row>
    <row r="193" spans="1:14" s="9" customFormat="1" ht="11.25" customHeight="1" x14ac:dyDescent="0.2">
      <c r="A193" s="10">
        <v>53205400</v>
      </c>
      <c r="B193" s="10" t="s">
        <v>126</v>
      </c>
      <c r="C193" s="11">
        <v>0</v>
      </c>
      <c r="D193" s="11">
        <v>0</v>
      </c>
      <c r="E193" s="11">
        <v>0</v>
      </c>
      <c r="F193" s="13">
        <f>SUMIF('OD 09-24'!A:A,A193,'OD 09-24'!D:D)</f>
        <v>0</v>
      </c>
      <c r="G193" s="13">
        <f>SUMIF('OD 09-24'!A:A,A193,'OD 09-24'!E:E)</f>
        <v>0</v>
      </c>
      <c r="H193" s="14">
        <f t="shared" si="4"/>
        <v>0</v>
      </c>
      <c r="I193" s="14">
        <f t="shared" si="5"/>
        <v>0</v>
      </c>
      <c r="J193" s="8"/>
      <c r="K193" s="8"/>
      <c r="M193" s="339"/>
      <c r="N193" s="315"/>
    </row>
    <row r="194" spans="1:14" s="9" customFormat="1" ht="11.25" customHeight="1" x14ac:dyDescent="0.2">
      <c r="A194" s="10">
        <v>53205500</v>
      </c>
      <c r="B194" s="10" t="s">
        <v>127</v>
      </c>
      <c r="C194" s="11">
        <v>0</v>
      </c>
      <c r="D194" s="11">
        <v>0</v>
      </c>
      <c r="E194" s="11">
        <v>0</v>
      </c>
      <c r="F194" s="13">
        <f>SUMIF('OD 09-24'!A:A,A194,'OD 09-24'!D:D)</f>
        <v>0</v>
      </c>
      <c r="G194" s="13">
        <f>SUMIF('OD 09-24'!A:A,A194,'OD 09-24'!E:E)</f>
        <v>0</v>
      </c>
      <c r="H194" s="14">
        <f t="shared" si="4"/>
        <v>0</v>
      </c>
      <c r="I194" s="14">
        <f t="shared" si="5"/>
        <v>0</v>
      </c>
      <c r="J194" s="8"/>
      <c r="K194" s="8"/>
      <c r="M194" s="339"/>
      <c r="N194" s="315"/>
    </row>
    <row r="195" spans="1:14" s="9" customFormat="1" ht="11.25" customHeight="1" x14ac:dyDescent="0.2">
      <c r="A195" s="10">
        <v>53205600</v>
      </c>
      <c r="B195" s="10" t="s">
        <v>128</v>
      </c>
      <c r="C195" s="11">
        <v>-3300983.9089999795</v>
      </c>
      <c r="D195" s="11">
        <v>66613638.498999998</v>
      </c>
      <c r="E195" s="11">
        <v>66273937.914999999</v>
      </c>
      <c r="F195" s="13">
        <f>SUMIF('OD 09-24'!A:A,A195,'OD 09-24'!D:D)</f>
        <v>0</v>
      </c>
      <c r="G195" s="13">
        <f>SUMIF('OD 09-24'!A:A,A195,'OD 09-24'!E:E)</f>
        <v>0</v>
      </c>
      <c r="H195" s="14">
        <f t="shared" si="4"/>
        <v>339700.58399999887</v>
      </c>
      <c r="I195" s="14">
        <f t="shared" si="5"/>
        <v>-2961283.3249999806</v>
      </c>
      <c r="J195" s="8" t="s">
        <v>115</v>
      </c>
      <c r="K195" s="8"/>
      <c r="M195" s="339"/>
      <c r="N195" s="315"/>
    </row>
    <row r="196" spans="1:14" s="9" customFormat="1" ht="11.25" customHeight="1" x14ac:dyDescent="0.2">
      <c r="A196" s="10">
        <v>53205700</v>
      </c>
      <c r="B196" s="10" t="s">
        <v>129</v>
      </c>
      <c r="C196" s="11">
        <v>1964289.2105972022</v>
      </c>
      <c r="D196" s="11">
        <v>32350864.468000002</v>
      </c>
      <c r="E196" s="11">
        <v>31266174.109000005</v>
      </c>
      <c r="F196" s="13">
        <f>SUMIF('OD 09-24'!A:A,A196,'OD 09-24'!D:D)</f>
        <v>1749201.0684</v>
      </c>
      <c r="G196" s="13">
        <f>SUMIF('OD 09-24'!A:A,A196,'OD 09-24'!E:E)</f>
        <v>1933149.2574</v>
      </c>
      <c r="H196" s="14">
        <f t="shared" ref="H196:H264" si="6">+D196+F196-E196-G196</f>
        <v>900742.17000000039</v>
      </c>
      <c r="I196" s="14">
        <f t="shared" ref="I196:I264" si="7">+H196+C196</f>
        <v>2865031.3805972026</v>
      </c>
      <c r="J196" s="8" t="s">
        <v>121</v>
      </c>
      <c r="K196" s="8"/>
      <c r="M196" s="339"/>
      <c r="N196" s="315"/>
    </row>
    <row r="197" spans="1:14" s="9" customFormat="1" ht="11.25" customHeight="1" x14ac:dyDescent="0.2">
      <c r="A197" s="10">
        <v>53205800</v>
      </c>
      <c r="B197" s="10" t="s">
        <v>130</v>
      </c>
      <c r="C197" s="11">
        <v>-66996.353000000119</v>
      </c>
      <c r="D197" s="11">
        <v>0</v>
      </c>
      <c r="E197" s="11">
        <v>953.88100000000009</v>
      </c>
      <c r="F197" s="13">
        <f>SUMIF('OD 09-24'!A:A,A197,'OD 09-24'!D:D)</f>
        <v>408.173</v>
      </c>
      <c r="G197" s="13">
        <f>SUMIF('OD 09-24'!A:A,A197,'OD 09-24'!E:E)</f>
        <v>433.78699999999998</v>
      </c>
      <c r="H197" s="14">
        <f t="shared" si="6"/>
        <v>-979.49500000000012</v>
      </c>
      <c r="I197" s="14">
        <f t="shared" si="7"/>
        <v>-67975.848000000115</v>
      </c>
      <c r="J197" s="8" t="s">
        <v>115</v>
      </c>
      <c r="K197" s="8"/>
      <c r="M197" s="339"/>
      <c r="N197" s="315"/>
    </row>
    <row r="198" spans="1:14" s="9" customFormat="1" ht="11.25" customHeight="1" x14ac:dyDescent="0.2">
      <c r="A198" s="10">
        <v>53207000</v>
      </c>
      <c r="B198" s="10" t="s">
        <v>352</v>
      </c>
      <c r="C198" s="11">
        <v>0</v>
      </c>
      <c r="D198" s="11">
        <v>0</v>
      </c>
      <c r="E198" s="11">
        <v>0</v>
      </c>
      <c r="F198" s="13">
        <f>SUMIF('OD 09-24'!A:A,A198,'OD 09-24'!D:D)</f>
        <v>0</v>
      </c>
      <c r="G198" s="13">
        <f>SUMIF('OD 09-24'!A:A,A198,'OD 09-24'!E:E)</f>
        <v>0</v>
      </c>
      <c r="H198" s="14">
        <f t="shared" si="6"/>
        <v>0</v>
      </c>
      <c r="I198" s="14">
        <f t="shared" si="7"/>
        <v>0</v>
      </c>
      <c r="J198" s="8"/>
      <c r="K198" s="8"/>
      <c r="M198" s="339"/>
      <c r="N198" s="315"/>
    </row>
    <row r="199" spans="1:14" s="9" customFormat="1" ht="11.25" customHeight="1" x14ac:dyDescent="0.2">
      <c r="A199" s="10">
        <v>53207100</v>
      </c>
      <c r="B199" s="10" t="s">
        <v>353</v>
      </c>
      <c r="C199" s="11">
        <v>0</v>
      </c>
      <c r="D199" s="11">
        <v>0</v>
      </c>
      <c r="E199" s="11">
        <v>0</v>
      </c>
      <c r="F199" s="13">
        <f>SUMIF('OD 09-24'!A:A,A199,'OD 09-24'!D:D)</f>
        <v>0</v>
      </c>
      <c r="G199" s="13">
        <f>SUMIF('OD 09-24'!A:A,A199,'OD 09-24'!E:E)</f>
        <v>0</v>
      </c>
      <c r="H199" s="14">
        <f t="shared" si="6"/>
        <v>0</v>
      </c>
      <c r="I199" s="14">
        <f t="shared" si="7"/>
        <v>0</v>
      </c>
      <c r="J199" s="8"/>
      <c r="K199" s="8"/>
      <c r="M199" s="339"/>
      <c r="N199" s="315"/>
    </row>
    <row r="200" spans="1:14" s="9" customFormat="1" ht="11.25" customHeight="1" x14ac:dyDescent="0.2">
      <c r="A200" s="10">
        <v>53207200</v>
      </c>
      <c r="B200" s="10" t="s">
        <v>354</v>
      </c>
      <c r="C200" s="11">
        <v>0</v>
      </c>
      <c r="D200" s="11">
        <v>0</v>
      </c>
      <c r="E200" s="11">
        <v>0</v>
      </c>
      <c r="F200" s="13">
        <f>SUMIF('OD 09-24'!A:A,A200,'OD 09-24'!D:D)</f>
        <v>0</v>
      </c>
      <c r="G200" s="13">
        <f>SUMIF('OD 09-24'!A:A,A200,'OD 09-24'!E:E)</f>
        <v>0</v>
      </c>
      <c r="H200" s="14">
        <f t="shared" si="6"/>
        <v>0</v>
      </c>
      <c r="I200" s="14">
        <f t="shared" si="7"/>
        <v>0</v>
      </c>
      <c r="J200" s="8"/>
      <c r="K200" s="8"/>
      <c r="M200" s="339"/>
      <c r="N200" s="315"/>
    </row>
    <row r="201" spans="1:14" s="9" customFormat="1" ht="11.25" x14ac:dyDescent="0.2">
      <c r="A201" s="10">
        <v>53208000</v>
      </c>
      <c r="B201" s="10" t="s">
        <v>355</v>
      </c>
      <c r="C201" s="11">
        <v>485.66199999954551</v>
      </c>
      <c r="D201" s="11">
        <v>0</v>
      </c>
      <c r="E201" s="11">
        <v>0</v>
      </c>
      <c r="F201" s="13">
        <f>SUMIF('OD 09-24'!A:A,A201,'OD 09-24'!D:D)</f>
        <v>0</v>
      </c>
      <c r="G201" s="13">
        <f>SUMIF('OD 09-24'!A:A,A201,'OD 09-24'!E:E)</f>
        <v>0</v>
      </c>
      <c r="H201" s="14">
        <f t="shared" si="6"/>
        <v>0</v>
      </c>
      <c r="I201" s="14">
        <f t="shared" si="7"/>
        <v>485.66199999954551</v>
      </c>
      <c r="J201" s="8" t="s">
        <v>121</v>
      </c>
      <c r="K201" s="8"/>
      <c r="M201" s="339"/>
      <c r="N201" s="315"/>
    </row>
    <row r="202" spans="1:14" s="9" customFormat="1" ht="11.25" customHeight="1" x14ac:dyDescent="0.2">
      <c r="A202" s="10">
        <v>53208100</v>
      </c>
      <c r="B202" s="10" t="s">
        <v>356</v>
      </c>
      <c r="C202" s="11">
        <v>0</v>
      </c>
      <c r="D202" s="11">
        <v>0</v>
      </c>
      <c r="E202" s="11">
        <v>0</v>
      </c>
      <c r="F202" s="13">
        <f>SUMIF('OD 09-24'!A:A,A202,'OD 09-24'!D:D)</f>
        <v>0</v>
      </c>
      <c r="G202" s="13">
        <f>SUMIF('OD 09-24'!A:A,A202,'OD 09-24'!E:E)</f>
        <v>0</v>
      </c>
      <c r="H202" s="14">
        <f t="shared" si="6"/>
        <v>0</v>
      </c>
      <c r="I202" s="14">
        <f t="shared" si="7"/>
        <v>0</v>
      </c>
      <c r="J202" s="8"/>
      <c r="K202" s="8"/>
      <c r="M202" s="339"/>
      <c r="N202" s="315"/>
    </row>
    <row r="203" spans="1:14" s="9" customFormat="1" ht="11.25" customHeight="1" x14ac:dyDescent="0.2">
      <c r="A203" s="10">
        <v>53208500</v>
      </c>
      <c r="B203" s="10" t="s">
        <v>357</v>
      </c>
      <c r="C203" s="11">
        <v>0</v>
      </c>
      <c r="D203" s="11">
        <v>0</v>
      </c>
      <c r="E203" s="11">
        <v>0</v>
      </c>
      <c r="F203" s="13">
        <f>SUMIF('OD 09-24'!A:A,A203,'OD 09-24'!D:D)</f>
        <v>0</v>
      </c>
      <c r="G203" s="13">
        <f>SUMIF('OD 09-24'!A:A,A203,'OD 09-24'!E:E)</f>
        <v>0</v>
      </c>
      <c r="H203" s="14">
        <f t="shared" si="6"/>
        <v>0</v>
      </c>
      <c r="I203" s="14">
        <f t="shared" si="7"/>
        <v>0</v>
      </c>
      <c r="J203" s="8"/>
      <c r="K203" s="8"/>
      <c r="M203" s="339"/>
      <c r="N203" s="315"/>
    </row>
    <row r="204" spans="1:14" s="9" customFormat="1" ht="11.25" customHeight="1" x14ac:dyDescent="0.2">
      <c r="A204" s="10">
        <v>54000000</v>
      </c>
      <c r="B204" s="10" t="s">
        <v>358</v>
      </c>
      <c r="C204" s="11">
        <v>0</v>
      </c>
      <c r="D204" s="11">
        <v>16951.525000000001</v>
      </c>
      <c r="E204" s="11">
        <v>16951.525000000001</v>
      </c>
      <c r="F204" s="13">
        <f>SUMIF('OD 09-24'!A:A,A204,'OD 09-24'!D:D)</f>
        <v>0</v>
      </c>
      <c r="G204" s="13">
        <f>SUMIF('OD 09-24'!A:A,A204,'OD 09-24'!E:E)</f>
        <v>0</v>
      </c>
      <c r="H204" s="14">
        <f t="shared" si="6"/>
        <v>0</v>
      </c>
      <c r="I204" s="14">
        <f t="shared" si="7"/>
        <v>0</v>
      </c>
      <c r="J204" s="8"/>
      <c r="K204" s="8"/>
      <c r="M204" s="339"/>
      <c r="N204" s="315"/>
    </row>
    <row r="205" spans="1:14" s="9" customFormat="1" ht="11.25" x14ac:dyDescent="0.2">
      <c r="A205" s="10">
        <v>54100000</v>
      </c>
      <c r="B205" s="10" t="s">
        <v>131</v>
      </c>
      <c r="C205" s="11">
        <v>17</v>
      </c>
      <c r="D205" s="11">
        <v>78065.644</v>
      </c>
      <c r="E205" s="11">
        <v>64258.430999999997</v>
      </c>
      <c r="F205" s="13">
        <f>SUMIF('OD 09-24'!A:A,A205,'OD 09-24'!D:D)</f>
        <v>0</v>
      </c>
      <c r="G205" s="13">
        <f>SUMIF('OD 09-24'!A:A,A205,'OD 09-24'!E:E)</f>
        <v>0</v>
      </c>
      <c r="H205" s="14">
        <f t="shared" si="6"/>
        <v>13807.213000000003</v>
      </c>
      <c r="I205" s="14">
        <f t="shared" si="7"/>
        <v>13824.213000000003</v>
      </c>
      <c r="J205" s="8" t="s">
        <v>121</v>
      </c>
      <c r="K205" s="8"/>
      <c r="M205" s="339"/>
      <c r="N205" s="315"/>
    </row>
    <row r="206" spans="1:14" s="9" customFormat="1" ht="11.25" customHeight="1" x14ac:dyDescent="0.2">
      <c r="A206" s="10">
        <v>54300000</v>
      </c>
      <c r="B206" s="10" t="s">
        <v>359</v>
      </c>
      <c r="C206" s="11">
        <v>0</v>
      </c>
      <c r="D206" s="11">
        <v>0</v>
      </c>
      <c r="E206" s="11">
        <v>0</v>
      </c>
      <c r="F206" s="13">
        <f>SUMIF('OD 09-24'!A:A,A206,'OD 09-24'!D:D)</f>
        <v>0</v>
      </c>
      <c r="G206" s="13">
        <f>SUMIF('OD 09-24'!A:A,A206,'OD 09-24'!E:E)</f>
        <v>0</v>
      </c>
      <c r="H206" s="14">
        <f t="shared" si="6"/>
        <v>0</v>
      </c>
      <c r="I206" s="14">
        <f t="shared" si="7"/>
        <v>0</v>
      </c>
      <c r="J206" s="8"/>
      <c r="K206" s="8"/>
      <c r="M206" s="339"/>
      <c r="N206" s="315"/>
    </row>
    <row r="207" spans="1:14" s="9" customFormat="1" ht="11.25" x14ac:dyDescent="0.2">
      <c r="A207" s="10">
        <v>55010000</v>
      </c>
      <c r="B207" s="10" t="s">
        <v>132</v>
      </c>
      <c r="C207" s="11">
        <v>3000</v>
      </c>
      <c r="D207" s="11">
        <v>0</v>
      </c>
      <c r="E207" s="11">
        <v>0</v>
      </c>
      <c r="F207" s="13">
        <f>SUMIF('OD 09-24'!A:A,A207,'OD 09-24'!D:D)</f>
        <v>0</v>
      </c>
      <c r="G207" s="13">
        <f>SUMIF('OD 09-24'!A:A,A207,'OD 09-24'!E:E)</f>
        <v>0</v>
      </c>
      <c r="H207" s="14">
        <f t="shared" si="6"/>
        <v>0</v>
      </c>
      <c r="I207" s="14">
        <f t="shared" si="7"/>
        <v>3000</v>
      </c>
      <c r="J207" s="8" t="s">
        <v>121</v>
      </c>
      <c r="K207" s="8"/>
      <c r="M207" s="339"/>
      <c r="N207" s="315"/>
    </row>
    <row r="208" spans="1:14" s="9" customFormat="1" ht="11.25" x14ac:dyDescent="0.2">
      <c r="A208" s="10">
        <v>55011000</v>
      </c>
      <c r="B208" s="10" t="s">
        <v>133</v>
      </c>
      <c r="C208" s="11">
        <v>0</v>
      </c>
      <c r="D208" s="11">
        <v>0</v>
      </c>
      <c r="E208" s="11">
        <v>0</v>
      </c>
      <c r="F208" s="13">
        <f>SUMIF('OD 09-24'!A:A,A208,'OD 09-24'!D:D)</f>
        <v>0</v>
      </c>
      <c r="G208" s="13">
        <f>SUMIF('OD 09-24'!A:A,A208,'OD 09-24'!E:E)</f>
        <v>0</v>
      </c>
      <c r="H208" s="14">
        <f t="shared" si="6"/>
        <v>0</v>
      </c>
      <c r="I208" s="14">
        <f t="shared" si="7"/>
        <v>0</v>
      </c>
      <c r="J208" s="8" t="s">
        <v>121</v>
      </c>
      <c r="K208" s="8"/>
      <c r="M208" s="339"/>
      <c r="N208" s="315"/>
    </row>
    <row r="209" spans="1:14" s="9" customFormat="1" ht="11.25" x14ac:dyDescent="0.2">
      <c r="A209" s="10">
        <v>58000000</v>
      </c>
      <c r="B209" s="10" t="s">
        <v>134</v>
      </c>
      <c r="C209" s="11">
        <v>0</v>
      </c>
      <c r="D209" s="11">
        <v>0</v>
      </c>
      <c r="E209" s="11">
        <v>0</v>
      </c>
      <c r="F209" s="13">
        <f>SUMIF('OD 09-24'!A:A,A209,'OD 09-24'!D:D)</f>
        <v>0</v>
      </c>
      <c r="G209" s="13">
        <f>SUMIF('OD 09-24'!A:A,A209,'OD 09-24'!E:E)</f>
        <v>0</v>
      </c>
      <c r="H209" s="14">
        <f t="shared" si="6"/>
        <v>0</v>
      </c>
      <c r="I209" s="14">
        <f t="shared" si="7"/>
        <v>0</v>
      </c>
      <c r="J209" s="8" t="s">
        <v>121</v>
      </c>
      <c r="K209" s="8"/>
      <c r="M209" s="339"/>
      <c r="N209" s="315"/>
    </row>
    <row r="210" spans="1:14" s="9" customFormat="1" ht="11.25" customHeight="1" x14ac:dyDescent="0.2">
      <c r="A210" s="10">
        <v>58001000</v>
      </c>
      <c r="B210" s="10" t="s">
        <v>135</v>
      </c>
      <c r="C210" s="11">
        <v>-1.9999593496322632E-4</v>
      </c>
      <c r="D210" s="11">
        <v>0</v>
      </c>
      <c r="E210" s="11">
        <v>0</v>
      </c>
      <c r="F210" s="13">
        <f>SUMIF('OD 09-24'!A:A,A210,'OD 09-24'!D:D)</f>
        <v>0</v>
      </c>
      <c r="G210" s="13">
        <f>SUMIF('OD 09-24'!A:A,A210,'OD 09-24'!E:E)</f>
        <v>0</v>
      </c>
      <c r="H210" s="14">
        <f t="shared" si="6"/>
        <v>0</v>
      </c>
      <c r="I210" s="14">
        <f t="shared" si="7"/>
        <v>-1.9999593496322632E-4</v>
      </c>
      <c r="J210" s="8"/>
      <c r="K210" s="8"/>
      <c r="M210" s="339"/>
      <c r="N210" s="315"/>
    </row>
    <row r="211" spans="1:14" s="9" customFormat="1" ht="11.25" customHeight="1" x14ac:dyDescent="0.2">
      <c r="A211" s="10">
        <v>58002000</v>
      </c>
      <c r="B211" s="10" t="s">
        <v>360</v>
      </c>
      <c r="C211" s="11">
        <v>0</v>
      </c>
      <c r="D211" s="11">
        <v>0</v>
      </c>
      <c r="E211" s="11">
        <v>0</v>
      </c>
      <c r="F211" s="13">
        <f>SUMIF('OD 09-24'!A:A,A211,'OD 09-24'!D:D)</f>
        <v>0</v>
      </c>
      <c r="G211" s="13">
        <f>SUMIF('OD 09-24'!A:A,A211,'OD 09-24'!E:E)</f>
        <v>0</v>
      </c>
      <c r="H211" s="14">
        <f t="shared" si="6"/>
        <v>0</v>
      </c>
      <c r="I211" s="14">
        <f t="shared" si="7"/>
        <v>0</v>
      </c>
      <c r="J211" s="8"/>
      <c r="K211" s="8"/>
      <c r="M211" s="339"/>
      <c r="N211" s="315"/>
    </row>
    <row r="212" spans="1:14" s="9" customFormat="1" ht="11.25" customHeight="1" x14ac:dyDescent="0.2">
      <c r="A212" s="10">
        <v>58003000</v>
      </c>
      <c r="B212" s="10" t="s">
        <v>136</v>
      </c>
      <c r="C212" s="11">
        <v>1.0100007057189941E-4</v>
      </c>
      <c r="D212" s="11">
        <v>5058742.1540000001</v>
      </c>
      <c r="E212" s="11">
        <v>5058742.1540000001</v>
      </c>
      <c r="F212" s="13">
        <f>SUMIF('OD 09-24'!A:A,A212,'OD 09-24'!D:D)</f>
        <v>0</v>
      </c>
      <c r="G212" s="13">
        <f>SUMIF('OD 09-24'!A:A,A212,'OD 09-24'!E:E)</f>
        <v>0</v>
      </c>
      <c r="H212" s="14">
        <f t="shared" si="6"/>
        <v>0</v>
      </c>
      <c r="I212" s="14">
        <f t="shared" si="7"/>
        <v>1.0100007057189941E-4</v>
      </c>
      <c r="J212" s="8"/>
      <c r="K212" s="8"/>
      <c r="M212" s="339"/>
      <c r="N212" s="315"/>
    </row>
    <row r="213" spans="1:14" s="9" customFormat="1" ht="11.25" customHeight="1" x14ac:dyDescent="0.2">
      <c r="A213" s="10">
        <v>58004000</v>
      </c>
      <c r="B213" s="10" t="s">
        <v>361</v>
      </c>
      <c r="C213" s="11">
        <v>0</v>
      </c>
      <c r="D213" s="11">
        <v>0</v>
      </c>
      <c r="E213" s="11">
        <v>0</v>
      </c>
      <c r="F213" s="13">
        <f>SUMIF('OD 09-24'!A:A,A213,'OD 09-24'!D:D)</f>
        <v>0</v>
      </c>
      <c r="G213" s="13">
        <f>SUMIF('OD 09-24'!A:A,A213,'OD 09-24'!E:E)</f>
        <v>0</v>
      </c>
      <c r="H213" s="14">
        <f t="shared" si="6"/>
        <v>0</v>
      </c>
      <c r="I213" s="14">
        <f t="shared" si="7"/>
        <v>0</v>
      </c>
      <c r="J213" s="8"/>
      <c r="K213" s="8"/>
      <c r="M213" s="339"/>
      <c r="N213" s="315"/>
    </row>
    <row r="214" spans="1:14" s="9" customFormat="1" ht="11.25" x14ac:dyDescent="0.2">
      <c r="A214" s="10">
        <v>58005000</v>
      </c>
      <c r="B214" s="10" t="s">
        <v>362</v>
      </c>
      <c r="C214" s="11">
        <v>3.8483738899230957E-4</v>
      </c>
      <c r="D214" s="11">
        <v>23904254.939000003</v>
      </c>
      <c r="E214" s="11">
        <v>23904254.939000003</v>
      </c>
      <c r="F214" s="13">
        <f>SUMIF('OD 09-24'!A:A,A214,'OD 09-24'!D:D)</f>
        <v>0</v>
      </c>
      <c r="G214" s="13">
        <f>SUMIF('OD 09-24'!A:A,A214,'OD 09-24'!E:E)</f>
        <v>0</v>
      </c>
      <c r="H214" s="14">
        <f t="shared" si="6"/>
        <v>0</v>
      </c>
      <c r="I214" s="14">
        <f t="shared" si="7"/>
        <v>3.8483738899230957E-4</v>
      </c>
      <c r="J214" s="8" t="s">
        <v>121</v>
      </c>
      <c r="K214" s="8"/>
      <c r="M214" s="339"/>
      <c r="N214" s="315"/>
    </row>
    <row r="215" spans="1:14" s="9" customFormat="1" ht="11.25" customHeight="1" x14ac:dyDescent="0.2">
      <c r="A215" s="10">
        <v>60110110</v>
      </c>
      <c r="B215" s="10" t="s">
        <v>403</v>
      </c>
      <c r="C215" s="11">
        <v>0</v>
      </c>
      <c r="D215" s="11">
        <v>1136780.078</v>
      </c>
      <c r="E215" s="11">
        <v>1136780.078</v>
      </c>
      <c r="F215" s="13">
        <f>SUMIF('OD 09-24'!A:A,A215,'OD 09-24'!D:D)</f>
        <v>4207008.9249999998</v>
      </c>
      <c r="G215" s="13">
        <f>SUMIF('OD 09-24'!A:A,A215,'OD 09-24'!E:E)</f>
        <v>1463593.0149999999</v>
      </c>
      <c r="H215" s="14">
        <f t="shared" si="6"/>
        <v>2743415.91</v>
      </c>
      <c r="I215" s="467">
        <f t="shared" si="7"/>
        <v>2743415.91</v>
      </c>
      <c r="J215" s="8" t="s">
        <v>138</v>
      </c>
      <c r="K215" s="8" t="s">
        <v>509</v>
      </c>
      <c r="M215" s="339"/>
      <c r="N215" s="315"/>
    </row>
    <row r="216" spans="1:14" s="9" customFormat="1" ht="11.25" customHeight="1" x14ac:dyDescent="0.2">
      <c r="A216" s="10">
        <v>60110212</v>
      </c>
      <c r="B216" s="10" t="s">
        <v>7391</v>
      </c>
      <c r="C216" s="11">
        <v>0</v>
      </c>
      <c r="D216" s="11">
        <v>35898.511500000001</v>
      </c>
      <c r="E216" s="11">
        <v>0</v>
      </c>
      <c r="F216" s="13">
        <f>SUMIF('OD 09-24'!A:A,A216,'OD 09-24'!D:D)</f>
        <v>0</v>
      </c>
      <c r="G216" s="13">
        <f>SUMIF('OD 09-24'!A:A,A216,'OD 09-24'!E:E)</f>
        <v>0</v>
      </c>
      <c r="H216" s="14">
        <f t="shared" si="6"/>
        <v>35898.511500000001</v>
      </c>
      <c r="I216" s="14">
        <f t="shared" si="7"/>
        <v>35898.511500000001</v>
      </c>
      <c r="J216" s="8" t="s">
        <v>138</v>
      </c>
      <c r="K216" s="8" t="s">
        <v>509</v>
      </c>
      <c r="M216" s="339"/>
      <c r="N216" s="315"/>
    </row>
    <row r="217" spans="1:14" s="9" customFormat="1" ht="11.25" customHeight="1" x14ac:dyDescent="0.2">
      <c r="A217" s="10">
        <v>60110210</v>
      </c>
      <c r="B217" s="10" t="s">
        <v>137</v>
      </c>
      <c r="C217" s="11">
        <v>0</v>
      </c>
      <c r="D217" s="11">
        <v>1401844.7762779999</v>
      </c>
      <c r="E217" s="11">
        <v>0</v>
      </c>
      <c r="F217" s="13">
        <f>SUMIF('OD 09-24'!A:A,A217,'OD 09-24'!D:D)</f>
        <v>0</v>
      </c>
      <c r="G217" s="13">
        <f>SUMIF('OD 09-24'!A:A,A217,'OD 09-24'!E:E)</f>
        <v>0</v>
      </c>
      <c r="H217" s="14">
        <f t="shared" si="6"/>
        <v>1401844.7762779999</v>
      </c>
      <c r="I217" s="14">
        <f t="shared" si="7"/>
        <v>1401844.7762779999</v>
      </c>
      <c r="J217" s="8" t="s">
        <v>138</v>
      </c>
      <c r="K217" s="8" t="s">
        <v>509</v>
      </c>
      <c r="M217" s="339"/>
      <c r="N217" s="315"/>
    </row>
    <row r="218" spans="1:14" s="9" customFormat="1" ht="11.25" customHeight="1" x14ac:dyDescent="0.2">
      <c r="A218" s="10">
        <v>60110211</v>
      </c>
      <c r="B218" s="10" t="s">
        <v>363</v>
      </c>
      <c r="C218" s="11">
        <v>0</v>
      </c>
      <c r="D218" s="11">
        <v>243771.76099749998</v>
      </c>
      <c r="E218" s="11">
        <v>0</v>
      </c>
      <c r="F218" s="13">
        <f>SUMIF('OD 09-24'!A:A,A218,'OD 09-24'!D:D)</f>
        <v>0</v>
      </c>
      <c r="G218" s="13">
        <f>SUMIF('OD 09-24'!A:A,A218,'OD 09-24'!E:E)</f>
        <v>0</v>
      </c>
      <c r="H218" s="14">
        <f t="shared" si="6"/>
        <v>243771.76099749998</v>
      </c>
      <c r="I218" s="14">
        <f t="shared" si="7"/>
        <v>243771.76099749998</v>
      </c>
      <c r="J218" s="8" t="s">
        <v>138</v>
      </c>
      <c r="K218" s="8" t="s">
        <v>509</v>
      </c>
      <c r="M218" s="339"/>
      <c r="N218" s="315"/>
    </row>
    <row r="219" spans="1:14" s="9" customFormat="1" ht="11.25" customHeight="1" x14ac:dyDescent="0.2">
      <c r="A219" s="10">
        <v>60110213</v>
      </c>
      <c r="B219" s="10" t="s">
        <v>364</v>
      </c>
      <c r="C219" s="11">
        <v>0</v>
      </c>
      <c r="D219" s="11">
        <v>5211.6000000000004</v>
      </c>
      <c r="E219" s="11">
        <v>0</v>
      </c>
      <c r="F219" s="13">
        <f>SUMIF('OD 09-24'!A:A,A219,'OD 09-24'!D:D)</f>
        <v>768</v>
      </c>
      <c r="G219" s="13">
        <f>SUMIF('OD 09-24'!A:A,A219,'OD 09-24'!E:E)</f>
        <v>768</v>
      </c>
      <c r="H219" s="14">
        <f t="shared" si="6"/>
        <v>5211.6000000000004</v>
      </c>
      <c r="I219" s="14">
        <f t="shared" si="7"/>
        <v>5211.6000000000004</v>
      </c>
      <c r="J219" s="8" t="s">
        <v>138</v>
      </c>
      <c r="K219" s="8" t="s">
        <v>509</v>
      </c>
      <c r="M219" s="339"/>
      <c r="N219" s="315"/>
    </row>
    <row r="220" spans="1:14" s="9" customFormat="1" ht="11.25" customHeight="1" x14ac:dyDescent="0.2">
      <c r="A220" s="10">
        <v>60110220</v>
      </c>
      <c r="B220" s="10" t="s">
        <v>139</v>
      </c>
      <c r="C220" s="11">
        <v>0</v>
      </c>
      <c r="D220" s="11">
        <v>1651472.9314200003</v>
      </c>
      <c r="E220" s="11">
        <v>12546.76</v>
      </c>
      <c r="F220" s="13">
        <f>SUMIF('OD 09-24'!A:A,A220,'OD 09-24'!D:D)</f>
        <v>0</v>
      </c>
      <c r="G220" s="13">
        <f>SUMIF('OD 09-24'!A:A,A220,'OD 09-24'!E:E)</f>
        <v>0</v>
      </c>
      <c r="H220" s="14">
        <f t="shared" si="6"/>
        <v>1638926.1714200003</v>
      </c>
      <c r="I220" s="14">
        <f t="shared" si="7"/>
        <v>1638926.1714200003</v>
      </c>
      <c r="J220" s="8" t="s">
        <v>138</v>
      </c>
      <c r="K220" s="8" t="s">
        <v>509</v>
      </c>
      <c r="M220" s="339"/>
      <c r="N220" s="315"/>
    </row>
    <row r="221" spans="1:14" s="9" customFormat="1" ht="11.25" customHeight="1" x14ac:dyDescent="0.2">
      <c r="A221" s="10">
        <v>60110230</v>
      </c>
      <c r="B221" s="10" t="s">
        <v>7566</v>
      </c>
      <c r="C221" s="11">
        <v>0</v>
      </c>
      <c r="D221" s="11">
        <v>71024.114700000006</v>
      </c>
      <c r="E221" s="11">
        <v>0</v>
      </c>
      <c r="F221" s="13">
        <f>SUMIF('OD 09-24'!A:A,A221,'OD 09-24'!D:D)</f>
        <v>0</v>
      </c>
      <c r="G221" s="13">
        <f>SUMIF('OD 09-24'!A:A,A221,'OD 09-24'!E:E)</f>
        <v>0</v>
      </c>
      <c r="H221" s="14">
        <f t="shared" si="6"/>
        <v>71024.114700000006</v>
      </c>
      <c r="I221" s="14">
        <f t="shared" si="7"/>
        <v>71024.114700000006</v>
      </c>
      <c r="J221" s="8" t="s">
        <v>138</v>
      </c>
      <c r="K221" s="8" t="s">
        <v>509</v>
      </c>
      <c r="M221" s="339"/>
      <c r="N221" s="315"/>
    </row>
    <row r="222" spans="1:14" s="9" customFormat="1" ht="11.25" customHeight="1" x14ac:dyDescent="0.2">
      <c r="A222" s="10">
        <v>60110300</v>
      </c>
      <c r="B222" s="10" t="s">
        <v>140</v>
      </c>
      <c r="C222" s="11">
        <v>0</v>
      </c>
      <c r="D222" s="11">
        <v>145819.61866900002</v>
      </c>
      <c r="E222" s="11">
        <v>8655.491</v>
      </c>
      <c r="F222" s="13">
        <f>SUMIF('OD 09-24'!A:A,A222,'OD 09-24'!D:D)</f>
        <v>0</v>
      </c>
      <c r="G222" s="13">
        <f>SUMIF('OD 09-24'!A:A,A222,'OD 09-24'!E:E)</f>
        <v>0</v>
      </c>
      <c r="H222" s="14">
        <f t="shared" si="6"/>
        <v>137164.12766900001</v>
      </c>
      <c r="I222" s="14">
        <f t="shared" si="7"/>
        <v>137164.12766900001</v>
      </c>
      <c r="J222" s="8" t="s">
        <v>138</v>
      </c>
      <c r="K222" s="8" t="s">
        <v>509</v>
      </c>
      <c r="M222" s="339"/>
      <c r="N222" s="315"/>
    </row>
    <row r="223" spans="1:14" s="9" customFormat="1" ht="11.25" customHeight="1" x14ac:dyDescent="0.2">
      <c r="A223" s="10">
        <v>60110310</v>
      </c>
      <c r="B223" s="10" t="s">
        <v>141</v>
      </c>
      <c r="C223" s="11">
        <v>0</v>
      </c>
      <c r="D223" s="11">
        <v>112836.94499999999</v>
      </c>
      <c r="E223" s="11">
        <v>0</v>
      </c>
      <c r="F223" s="13">
        <f>SUMIF('OD 09-24'!A:A,A223,'OD 09-24'!D:D)</f>
        <v>0</v>
      </c>
      <c r="G223" s="13">
        <f>SUMIF('OD 09-24'!A:A,A223,'OD 09-24'!E:E)</f>
        <v>0</v>
      </c>
      <c r="H223" s="14">
        <f t="shared" si="6"/>
        <v>112836.94499999999</v>
      </c>
      <c r="I223" s="14">
        <f t="shared" si="7"/>
        <v>112836.94499999999</v>
      </c>
      <c r="J223" s="8" t="s">
        <v>138</v>
      </c>
      <c r="K223" s="8" t="s">
        <v>509</v>
      </c>
      <c r="M223" s="339"/>
      <c r="N223" s="315"/>
    </row>
    <row r="224" spans="1:14" s="9" customFormat="1" ht="11.25" customHeight="1" x14ac:dyDescent="0.2">
      <c r="A224" s="10">
        <v>60110320</v>
      </c>
      <c r="B224" s="10" t="s">
        <v>142</v>
      </c>
      <c r="C224" s="11">
        <v>0</v>
      </c>
      <c r="D224" s="11">
        <v>44893.273368999995</v>
      </c>
      <c r="E224" s="11">
        <v>0</v>
      </c>
      <c r="F224" s="13">
        <f>SUMIF('OD 09-24'!A:A,A224,'OD 09-24'!D:D)</f>
        <v>0</v>
      </c>
      <c r="G224" s="13">
        <f>SUMIF('OD 09-24'!A:A,A224,'OD 09-24'!E:E)</f>
        <v>0</v>
      </c>
      <c r="H224" s="14">
        <f t="shared" si="6"/>
        <v>44893.273368999995</v>
      </c>
      <c r="I224" s="14">
        <f t="shared" si="7"/>
        <v>44893.273368999995</v>
      </c>
      <c r="J224" s="8" t="s">
        <v>138</v>
      </c>
      <c r="K224" s="8" t="s">
        <v>509</v>
      </c>
      <c r="M224" s="339"/>
      <c r="N224" s="315"/>
    </row>
    <row r="225" spans="1:14" s="9" customFormat="1" ht="11.25" customHeight="1" x14ac:dyDescent="0.2">
      <c r="A225" s="10">
        <v>60110330</v>
      </c>
      <c r="B225" s="10" t="s">
        <v>143</v>
      </c>
      <c r="C225" s="11">
        <v>0</v>
      </c>
      <c r="D225" s="11">
        <v>41631.268230000001</v>
      </c>
      <c r="E225" s="11">
        <v>0</v>
      </c>
      <c r="F225" s="13">
        <f>SUMIF('OD 09-24'!A:A,A225,'OD 09-24'!D:D)</f>
        <v>0</v>
      </c>
      <c r="G225" s="13">
        <f>SUMIF('OD 09-24'!A:A,A225,'OD 09-24'!E:E)</f>
        <v>0</v>
      </c>
      <c r="H225" s="14">
        <f t="shared" si="6"/>
        <v>41631.268230000001</v>
      </c>
      <c r="I225" s="14">
        <f t="shared" si="7"/>
        <v>41631.268230000001</v>
      </c>
      <c r="J225" s="8" t="s">
        <v>138</v>
      </c>
      <c r="K225" s="8" t="s">
        <v>509</v>
      </c>
      <c r="M225" s="339"/>
      <c r="N225" s="315"/>
    </row>
    <row r="226" spans="1:14" s="9" customFormat="1" ht="11.25" customHeight="1" x14ac:dyDescent="0.2">
      <c r="A226" s="10">
        <v>60110350</v>
      </c>
      <c r="B226" s="10" t="s">
        <v>261</v>
      </c>
      <c r="C226" s="11">
        <v>0</v>
      </c>
      <c r="D226" s="11">
        <v>847.95</v>
      </c>
      <c r="E226" s="11">
        <v>0.17100000000000001</v>
      </c>
      <c r="F226" s="13">
        <f>SUMIF('OD 09-24'!A:A,A226,'OD 09-24'!D:D)</f>
        <v>0</v>
      </c>
      <c r="G226" s="13">
        <f>SUMIF('OD 09-24'!A:A,A226,'OD 09-24'!E:E)</f>
        <v>0</v>
      </c>
      <c r="H226" s="14">
        <f t="shared" si="6"/>
        <v>847.779</v>
      </c>
      <c r="I226" s="14">
        <f t="shared" si="7"/>
        <v>847.779</v>
      </c>
      <c r="J226" s="8" t="s">
        <v>138</v>
      </c>
      <c r="K226" s="8" t="s">
        <v>509</v>
      </c>
      <c r="M226" s="339"/>
      <c r="N226" s="315"/>
    </row>
    <row r="227" spans="1:14" s="9" customFormat="1" ht="11.25" customHeight="1" x14ac:dyDescent="0.2">
      <c r="A227" s="10">
        <v>60110500</v>
      </c>
      <c r="B227" s="10" t="s">
        <v>144</v>
      </c>
      <c r="C227" s="11">
        <v>0</v>
      </c>
      <c r="D227" s="11">
        <v>9434.1490000000013</v>
      </c>
      <c r="E227" s="11">
        <v>0.23199999999999998</v>
      </c>
      <c r="F227" s="13">
        <f>SUMIF('OD 09-24'!A:A,A227,'OD 09-24'!D:D)</f>
        <v>7502.2709999999997</v>
      </c>
      <c r="G227" s="13">
        <f>SUMIF('OD 09-24'!A:A,A227,'OD 09-24'!E:E)</f>
        <v>7502.2709999999997</v>
      </c>
      <c r="H227" s="14">
        <f t="shared" si="6"/>
        <v>9433.9170000000013</v>
      </c>
      <c r="I227" s="14">
        <f t="shared" si="7"/>
        <v>9433.9170000000013</v>
      </c>
      <c r="J227" s="8" t="s">
        <v>138</v>
      </c>
      <c r="K227" s="8" t="s">
        <v>509</v>
      </c>
      <c r="M227" s="339"/>
      <c r="N227" s="315"/>
    </row>
    <row r="228" spans="1:14" s="9" customFormat="1" ht="11.25" customHeight="1" x14ac:dyDescent="0.2">
      <c r="A228" s="10">
        <v>60110600</v>
      </c>
      <c r="B228" s="10" t="s">
        <v>145</v>
      </c>
      <c r="C228" s="11">
        <v>0</v>
      </c>
      <c r="D228" s="11">
        <v>34009.826000000001</v>
      </c>
      <c r="E228" s="11">
        <v>3.4999999999999996E-2</v>
      </c>
      <c r="F228" s="13">
        <f>SUMIF('OD 09-24'!A:A,A228,'OD 09-24'!D:D)</f>
        <v>0</v>
      </c>
      <c r="G228" s="13">
        <f>SUMIF('OD 09-24'!A:A,A228,'OD 09-24'!E:E)</f>
        <v>0</v>
      </c>
      <c r="H228" s="14">
        <f t="shared" si="6"/>
        <v>34009.790999999997</v>
      </c>
      <c r="I228" s="14">
        <f t="shared" si="7"/>
        <v>34009.790999999997</v>
      </c>
      <c r="J228" s="8" t="s">
        <v>138</v>
      </c>
      <c r="K228" s="8" t="s">
        <v>509</v>
      </c>
      <c r="M228" s="339"/>
      <c r="N228" s="315"/>
    </row>
    <row r="229" spans="1:14" s="9" customFormat="1" ht="11.25" customHeight="1" x14ac:dyDescent="0.2">
      <c r="A229" s="10">
        <v>60110700</v>
      </c>
      <c r="B229" s="10" t="s">
        <v>146</v>
      </c>
      <c r="C229" s="11">
        <v>0</v>
      </c>
      <c r="D229" s="11">
        <v>789.45</v>
      </c>
      <c r="E229" s="11">
        <v>0</v>
      </c>
      <c r="F229" s="13">
        <f>SUMIF('OD 09-24'!A:A,A229,'OD 09-24'!D:D)</f>
        <v>0</v>
      </c>
      <c r="G229" s="13">
        <f>SUMIF('OD 09-24'!A:A,A229,'OD 09-24'!E:E)</f>
        <v>0</v>
      </c>
      <c r="H229" s="14">
        <f t="shared" si="6"/>
        <v>789.45</v>
      </c>
      <c r="I229" s="14">
        <f t="shared" si="7"/>
        <v>789.45</v>
      </c>
      <c r="J229" s="8" t="s">
        <v>138</v>
      </c>
      <c r="K229" s="8" t="s">
        <v>509</v>
      </c>
      <c r="M229" s="339"/>
      <c r="N229" s="315"/>
    </row>
    <row r="230" spans="1:14" s="9" customFormat="1" ht="11.25" customHeight="1" x14ac:dyDescent="0.2">
      <c r="A230" s="10">
        <v>60110900</v>
      </c>
      <c r="B230" s="10" t="s">
        <v>147</v>
      </c>
      <c r="C230" s="11">
        <v>0</v>
      </c>
      <c r="D230" s="11">
        <v>368715.31900000002</v>
      </c>
      <c r="E230" s="11">
        <v>808</v>
      </c>
      <c r="F230" s="13">
        <f>SUMIF('OD 09-24'!A:A,A230,'OD 09-24'!D:D)</f>
        <v>192313.897</v>
      </c>
      <c r="G230" s="13">
        <f>SUMIF('OD 09-24'!A:A,A230,'OD 09-24'!E:E)</f>
        <v>189633.397</v>
      </c>
      <c r="H230" s="14">
        <f t="shared" si="6"/>
        <v>370587.81900000002</v>
      </c>
      <c r="I230" s="14">
        <f t="shared" si="7"/>
        <v>370587.81900000002</v>
      </c>
      <c r="J230" s="8" t="s">
        <v>138</v>
      </c>
      <c r="K230" s="8" t="s">
        <v>509</v>
      </c>
      <c r="M230" s="339"/>
      <c r="N230" s="315"/>
    </row>
    <row r="231" spans="1:14" s="9" customFormat="1" ht="11.25" customHeight="1" x14ac:dyDescent="0.2">
      <c r="A231" s="10">
        <v>60111000</v>
      </c>
      <c r="B231" s="10" t="s">
        <v>148</v>
      </c>
      <c r="C231" s="11">
        <v>0</v>
      </c>
      <c r="D231" s="11">
        <v>0</v>
      </c>
      <c r="E231" s="11">
        <v>0</v>
      </c>
      <c r="F231" s="13">
        <f>SUMIF('OD 09-24'!A:A,A231,'OD 09-24'!D:D)</f>
        <v>0</v>
      </c>
      <c r="G231" s="13">
        <f>SUMIF('OD 09-24'!A:A,A231,'OD 09-24'!E:E)</f>
        <v>0</v>
      </c>
      <c r="H231" s="14">
        <f t="shared" si="6"/>
        <v>0</v>
      </c>
      <c r="I231" s="14">
        <f t="shared" si="7"/>
        <v>0</v>
      </c>
      <c r="J231" s="8" t="s">
        <v>138</v>
      </c>
      <c r="K231" s="8" t="s">
        <v>509</v>
      </c>
      <c r="M231" s="339"/>
      <c r="N231" s="315"/>
    </row>
    <row r="232" spans="1:14" s="9" customFormat="1" ht="11.25" customHeight="1" x14ac:dyDescent="0.2">
      <c r="A232" s="10">
        <v>60111010</v>
      </c>
      <c r="B232" s="10" t="s">
        <v>393</v>
      </c>
      <c r="C232" s="11">
        <v>0</v>
      </c>
      <c r="D232" s="11">
        <v>4646</v>
      </c>
      <c r="E232" s="11">
        <v>0</v>
      </c>
      <c r="F232" s="13">
        <f>SUMIF('OD 09-24'!A:A,A232,'OD 09-24'!D:D)</f>
        <v>0</v>
      </c>
      <c r="G232" s="13">
        <f>SUMIF('OD 09-24'!A:A,A232,'OD 09-24'!E:E)</f>
        <v>0</v>
      </c>
      <c r="H232" s="14">
        <f t="shared" si="6"/>
        <v>4646</v>
      </c>
      <c r="I232" s="14">
        <f t="shared" si="7"/>
        <v>4646</v>
      </c>
      <c r="J232" s="8" t="s">
        <v>138</v>
      </c>
      <c r="K232" s="8" t="s">
        <v>509</v>
      </c>
      <c r="M232" s="339"/>
      <c r="N232" s="315"/>
    </row>
    <row r="233" spans="1:14" s="9" customFormat="1" ht="11.25" customHeight="1" x14ac:dyDescent="0.2">
      <c r="A233" s="10">
        <v>60120100</v>
      </c>
      <c r="B233" s="10" t="s">
        <v>149</v>
      </c>
      <c r="C233" s="11">
        <v>0</v>
      </c>
      <c r="D233" s="11">
        <v>1123168.6498364999</v>
      </c>
      <c r="E233" s="11">
        <v>9063.0944025000008</v>
      </c>
      <c r="F233" s="13">
        <f>SUMIF('OD 09-24'!A:A,A233,'OD 09-24'!D:D)</f>
        <v>0</v>
      </c>
      <c r="G233" s="13">
        <f>SUMIF('OD 09-24'!A:A,A233,'OD 09-24'!E:E)</f>
        <v>0</v>
      </c>
      <c r="H233" s="14">
        <f t="shared" si="6"/>
        <v>1114105.555434</v>
      </c>
      <c r="I233" s="14">
        <f t="shared" si="7"/>
        <v>1114105.555434</v>
      </c>
      <c r="J233" s="8" t="s">
        <v>138</v>
      </c>
      <c r="K233" s="8" t="s">
        <v>509</v>
      </c>
      <c r="M233" s="339"/>
      <c r="N233" s="315"/>
    </row>
    <row r="234" spans="1:14" s="9" customFormat="1" ht="11.25" customHeight="1" x14ac:dyDescent="0.2">
      <c r="A234" s="10">
        <v>60120200</v>
      </c>
      <c r="B234" s="10" t="s">
        <v>8977</v>
      </c>
      <c r="C234" s="11">
        <v>0</v>
      </c>
      <c r="D234" s="11">
        <v>492</v>
      </c>
      <c r="E234" s="11">
        <v>0</v>
      </c>
      <c r="F234" s="13">
        <f>SUMIF('OD 09-24'!A:A,A234,'OD 09-24'!D:D)</f>
        <v>492</v>
      </c>
      <c r="G234" s="13">
        <f>SUMIF('OD 09-24'!A:A,A234,'OD 09-24'!E:E)</f>
        <v>492</v>
      </c>
      <c r="H234" s="14">
        <f t="shared" si="6"/>
        <v>492</v>
      </c>
      <c r="I234" s="14">
        <f t="shared" si="7"/>
        <v>492</v>
      </c>
      <c r="J234" s="8" t="s">
        <v>138</v>
      </c>
      <c r="K234" s="8" t="s">
        <v>509</v>
      </c>
      <c r="M234" s="339"/>
      <c r="N234" s="315"/>
    </row>
    <row r="235" spans="1:14" s="9" customFormat="1" ht="11.25" customHeight="1" x14ac:dyDescent="0.2">
      <c r="A235" s="10">
        <v>60120300</v>
      </c>
      <c r="B235" s="10" t="s">
        <v>150</v>
      </c>
      <c r="C235" s="11">
        <v>0</v>
      </c>
      <c r="D235" s="11">
        <v>6207554.8870000001</v>
      </c>
      <c r="E235" s="11">
        <v>72828.75</v>
      </c>
      <c r="F235" s="13">
        <f>SUMIF('OD 09-24'!A:A,A235,'OD 09-24'!D:D)</f>
        <v>464265.11</v>
      </c>
      <c r="G235" s="13">
        <f>SUMIF('OD 09-24'!A:A,A235,'OD 09-24'!E:E)</f>
        <v>451605.11</v>
      </c>
      <c r="H235" s="14">
        <f t="shared" si="6"/>
        <v>6147386.1370000001</v>
      </c>
      <c r="I235" s="14">
        <f t="shared" si="7"/>
        <v>6147386.1370000001</v>
      </c>
      <c r="J235" s="8" t="s">
        <v>138</v>
      </c>
      <c r="K235" s="8" t="s">
        <v>509</v>
      </c>
      <c r="M235" s="339"/>
      <c r="N235" s="315"/>
    </row>
    <row r="236" spans="1:14" s="9" customFormat="1" ht="11.25" customHeight="1" x14ac:dyDescent="0.2">
      <c r="A236" s="10">
        <v>60120400</v>
      </c>
      <c r="B236" s="10" t="s">
        <v>365</v>
      </c>
      <c r="C236" s="11">
        <v>0</v>
      </c>
      <c r="D236" s="11">
        <f>230729.825+2809704.785</f>
        <v>3040434.6100000003</v>
      </c>
      <c r="E236" s="11">
        <v>0</v>
      </c>
      <c r="F236" s="13">
        <f>SUMIF('OD 09-24'!A:A,A236,'OD 09-24'!D:D)</f>
        <v>157330.79999999999</v>
      </c>
      <c r="G236" s="13">
        <f>SUMIF('OD 09-24'!A:A,A236,'OD 09-24'!E:E)</f>
        <v>157330.79999999999</v>
      </c>
      <c r="H236" s="14">
        <f t="shared" si="6"/>
        <v>3040434.6100000003</v>
      </c>
      <c r="I236" s="14">
        <f t="shared" si="7"/>
        <v>3040434.6100000003</v>
      </c>
      <c r="J236" s="8" t="s">
        <v>138</v>
      </c>
      <c r="K236" s="8" t="s">
        <v>509</v>
      </c>
      <c r="M236" s="339"/>
      <c r="N236" s="315"/>
    </row>
    <row r="237" spans="1:14" s="9" customFormat="1" ht="11.25" customHeight="1" x14ac:dyDescent="0.2">
      <c r="A237" s="10">
        <v>60120800</v>
      </c>
      <c r="B237" s="10" t="s">
        <v>151</v>
      </c>
      <c r="C237" s="11">
        <v>0</v>
      </c>
      <c r="D237" s="11">
        <v>873987.6878999999</v>
      </c>
      <c r="E237" s="11">
        <v>0</v>
      </c>
      <c r="F237" s="13">
        <f>SUMIF('OD 09-24'!A:A,A237,'OD 09-24'!D:D)</f>
        <v>0</v>
      </c>
      <c r="G237" s="13">
        <f>SUMIF('OD 09-24'!A:A,A237,'OD 09-24'!E:E)</f>
        <v>0</v>
      </c>
      <c r="H237" s="14">
        <f t="shared" si="6"/>
        <v>873987.6878999999</v>
      </c>
      <c r="I237" s="14">
        <f t="shared" si="7"/>
        <v>873987.6878999999</v>
      </c>
      <c r="J237" s="8" t="s">
        <v>138</v>
      </c>
      <c r="K237" s="8" t="s">
        <v>509</v>
      </c>
      <c r="M237" s="339"/>
      <c r="N237" s="315"/>
    </row>
    <row r="238" spans="1:14" s="9" customFormat="1" ht="11.25" customHeight="1" x14ac:dyDescent="0.2">
      <c r="A238" s="10">
        <v>60120900</v>
      </c>
      <c r="B238" s="10" t="s">
        <v>7393</v>
      </c>
      <c r="C238" s="11">
        <v>0</v>
      </c>
      <c r="D238" s="11">
        <v>339374.20121249993</v>
      </c>
      <c r="E238" s="11">
        <v>0</v>
      </c>
      <c r="F238" s="13">
        <f>SUMIF('OD 09-24'!A:A,A238,'OD 09-24'!D:D)</f>
        <v>0</v>
      </c>
      <c r="G238" s="13">
        <f>SUMIF('OD 09-24'!A:A,A238,'OD 09-24'!E:E)</f>
        <v>0</v>
      </c>
      <c r="H238" s="14">
        <f t="shared" si="6"/>
        <v>339374.20121249993</v>
      </c>
      <c r="I238" s="14">
        <f t="shared" si="7"/>
        <v>339374.20121249993</v>
      </c>
      <c r="J238" s="8" t="s">
        <v>138</v>
      </c>
      <c r="K238" s="8" t="s">
        <v>509</v>
      </c>
      <c r="M238" s="339"/>
      <c r="N238" s="315"/>
    </row>
    <row r="239" spans="1:14" s="9" customFormat="1" ht="11.25" customHeight="1" x14ac:dyDescent="0.2">
      <c r="A239" s="10">
        <v>60121010</v>
      </c>
      <c r="B239" s="10" t="s">
        <v>152</v>
      </c>
      <c r="C239" s="11">
        <v>0</v>
      </c>
      <c r="D239" s="11">
        <v>14663679.451017499</v>
      </c>
      <c r="E239" s="11">
        <v>31704.632860000002</v>
      </c>
      <c r="F239" s="13">
        <f>SUMIF('OD 09-24'!A:A,A239,'OD 09-24'!D:D)</f>
        <v>0</v>
      </c>
      <c r="G239" s="13">
        <f>SUMIF('OD 09-24'!A:A,A239,'OD 09-24'!E:E)</f>
        <v>0</v>
      </c>
      <c r="H239" s="14">
        <f t="shared" si="6"/>
        <v>14631974.8181575</v>
      </c>
      <c r="I239" s="14">
        <f t="shared" si="7"/>
        <v>14631974.8181575</v>
      </c>
      <c r="J239" s="8" t="s">
        <v>138</v>
      </c>
      <c r="K239" s="8" t="s">
        <v>509</v>
      </c>
      <c r="M239" s="339"/>
      <c r="N239" s="315"/>
    </row>
    <row r="240" spans="1:14" s="9" customFormat="1" ht="11.25" customHeight="1" x14ac:dyDescent="0.2">
      <c r="A240" s="10">
        <v>60121020</v>
      </c>
      <c r="B240" s="10" t="s">
        <v>153</v>
      </c>
      <c r="C240" s="11">
        <v>0</v>
      </c>
      <c r="D240" s="11">
        <v>4664</v>
      </c>
      <c r="E240" s="11">
        <v>4664</v>
      </c>
      <c r="F240" s="13">
        <f>SUMIF('OD 09-24'!A:A,A240,'OD 09-24'!D:D)</f>
        <v>0</v>
      </c>
      <c r="G240" s="13">
        <f>SUMIF('OD 09-24'!A:A,A240,'OD 09-24'!E:E)</f>
        <v>0</v>
      </c>
      <c r="H240" s="14">
        <f t="shared" si="6"/>
        <v>0</v>
      </c>
      <c r="I240" s="14">
        <f t="shared" si="7"/>
        <v>0</v>
      </c>
      <c r="J240" s="8" t="s">
        <v>138</v>
      </c>
      <c r="K240" s="8" t="s">
        <v>509</v>
      </c>
      <c r="M240" s="339"/>
      <c r="N240" s="315"/>
    </row>
    <row r="241" spans="1:14" s="9" customFormat="1" ht="11.25" customHeight="1" x14ac:dyDescent="0.2">
      <c r="A241" s="10">
        <v>60121031</v>
      </c>
      <c r="B241" s="10" t="s">
        <v>394</v>
      </c>
      <c r="C241" s="11">
        <v>0</v>
      </c>
      <c r="D241" s="11">
        <v>114018.09667</v>
      </c>
      <c r="E241" s="11">
        <v>0</v>
      </c>
      <c r="F241" s="13">
        <f>SUMIF('OD 09-24'!A:A,A241,'OD 09-24'!D:D)</f>
        <v>0</v>
      </c>
      <c r="G241" s="13">
        <f>SUMIF('OD 09-24'!A:A,A241,'OD 09-24'!E:E)</f>
        <v>0</v>
      </c>
      <c r="H241" s="14">
        <f t="shared" si="6"/>
        <v>114018.09667</v>
      </c>
      <c r="I241" s="14">
        <f t="shared" si="7"/>
        <v>114018.09667</v>
      </c>
      <c r="J241" s="8" t="s">
        <v>138</v>
      </c>
      <c r="K241" s="8" t="s">
        <v>509</v>
      </c>
      <c r="M241" s="339"/>
      <c r="N241" s="315"/>
    </row>
    <row r="242" spans="1:14" s="9" customFormat="1" ht="11.25" customHeight="1" x14ac:dyDescent="0.2">
      <c r="A242" s="10">
        <v>60121032</v>
      </c>
      <c r="B242" s="10" t="s">
        <v>8973</v>
      </c>
      <c r="C242" s="11">
        <v>0</v>
      </c>
      <c r="D242" s="11">
        <v>10482.185000000001</v>
      </c>
      <c r="E242" s="11">
        <v>0</v>
      </c>
      <c r="F242" s="13">
        <f>SUMIF('OD 09-24'!A:A,A242,'OD 09-24'!D:D)</f>
        <v>0</v>
      </c>
      <c r="G242" s="13">
        <f>SUMIF('OD 09-24'!A:A,A242,'OD 09-24'!E:E)</f>
        <v>0</v>
      </c>
      <c r="H242" s="14">
        <f t="shared" si="6"/>
        <v>10482.185000000001</v>
      </c>
      <c r="I242" s="14">
        <f t="shared" si="7"/>
        <v>10482.185000000001</v>
      </c>
      <c r="J242" s="8" t="s">
        <v>138</v>
      </c>
      <c r="K242" s="8" t="s">
        <v>509</v>
      </c>
      <c r="M242" s="339"/>
      <c r="N242" s="315"/>
    </row>
    <row r="243" spans="1:14" s="9" customFormat="1" ht="11.25" customHeight="1" x14ac:dyDescent="0.2">
      <c r="A243" s="10">
        <v>60121033</v>
      </c>
      <c r="B243" s="10" t="s">
        <v>7718</v>
      </c>
      <c r="C243" s="11">
        <v>0</v>
      </c>
      <c r="D243" s="11">
        <v>14927.626999999999</v>
      </c>
      <c r="E243" s="11">
        <v>0</v>
      </c>
      <c r="F243" s="13">
        <f>SUMIF('OD 09-24'!A:A,A243,'OD 09-24'!D:D)</f>
        <v>0</v>
      </c>
      <c r="G243" s="13">
        <f>SUMIF('OD 09-24'!A:A,A243,'OD 09-24'!E:E)</f>
        <v>0</v>
      </c>
      <c r="H243" s="14">
        <f t="shared" si="6"/>
        <v>14927.626999999999</v>
      </c>
      <c r="I243" s="14">
        <f t="shared" si="7"/>
        <v>14927.626999999999</v>
      </c>
      <c r="J243" s="8" t="s">
        <v>138</v>
      </c>
      <c r="K243" s="8" t="s">
        <v>509</v>
      </c>
      <c r="M243" s="339"/>
      <c r="N243" s="315"/>
    </row>
    <row r="244" spans="1:14" s="9" customFormat="1" ht="11.25" customHeight="1" x14ac:dyDescent="0.2">
      <c r="A244" s="10">
        <v>60121035</v>
      </c>
      <c r="B244" s="10" t="s">
        <v>395</v>
      </c>
      <c r="C244" s="11">
        <v>0</v>
      </c>
      <c r="D244" s="11">
        <v>2907.0840000000003</v>
      </c>
      <c r="E244" s="11">
        <v>0</v>
      </c>
      <c r="F244" s="13">
        <f>SUMIF('OD 09-24'!A:A,A244,'OD 09-24'!D:D)</f>
        <v>0</v>
      </c>
      <c r="G244" s="13">
        <f>SUMIF('OD 09-24'!A:A,A244,'OD 09-24'!E:E)</f>
        <v>0</v>
      </c>
      <c r="H244" s="14">
        <f t="shared" si="6"/>
        <v>2907.0840000000003</v>
      </c>
      <c r="I244" s="14">
        <f t="shared" si="7"/>
        <v>2907.0840000000003</v>
      </c>
      <c r="J244" s="8" t="s">
        <v>138</v>
      </c>
      <c r="K244" s="8" t="s">
        <v>509</v>
      </c>
      <c r="M244" s="339"/>
      <c r="N244" s="315"/>
    </row>
    <row r="245" spans="1:14" s="9" customFormat="1" ht="11.25" customHeight="1" x14ac:dyDescent="0.2">
      <c r="A245" s="10">
        <v>60121040</v>
      </c>
      <c r="B245" s="10" t="s">
        <v>7720</v>
      </c>
      <c r="C245" s="11">
        <v>0</v>
      </c>
      <c r="D245" s="11">
        <v>2058.75</v>
      </c>
      <c r="E245" s="11">
        <v>0</v>
      </c>
      <c r="F245" s="13">
        <f>SUMIF('OD 09-24'!A:A,A245,'OD 09-24'!D:D)</f>
        <v>0</v>
      </c>
      <c r="G245" s="13">
        <f>SUMIF('OD 09-24'!A:A,A245,'OD 09-24'!E:E)</f>
        <v>0</v>
      </c>
      <c r="H245" s="14">
        <f t="shared" si="6"/>
        <v>2058.75</v>
      </c>
      <c r="I245" s="14">
        <f t="shared" si="7"/>
        <v>2058.75</v>
      </c>
      <c r="J245" s="8" t="s">
        <v>138</v>
      </c>
      <c r="K245" s="8" t="s">
        <v>509</v>
      </c>
      <c r="M245" s="339"/>
      <c r="N245" s="315"/>
    </row>
    <row r="246" spans="1:14" s="9" customFormat="1" ht="11.25" customHeight="1" x14ac:dyDescent="0.2">
      <c r="A246" s="10">
        <v>60121210</v>
      </c>
      <c r="B246" s="10" t="s">
        <v>7400</v>
      </c>
      <c r="C246" s="11">
        <v>0</v>
      </c>
      <c r="D246" s="11">
        <v>193882.85927349998</v>
      </c>
      <c r="E246" s="11">
        <v>0</v>
      </c>
      <c r="F246" s="13">
        <f>SUMIF('OD 09-24'!A:A,A246,'OD 09-24'!D:D)</f>
        <v>0</v>
      </c>
      <c r="G246" s="13">
        <f>SUMIF('OD 09-24'!A:A,A246,'OD 09-24'!E:E)</f>
        <v>0</v>
      </c>
      <c r="H246" s="14">
        <f t="shared" si="6"/>
        <v>193882.85927349998</v>
      </c>
      <c r="I246" s="14">
        <f t="shared" si="7"/>
        <v>193882.85927349998</v>
      </c>
      <c r="J246" s="8" t="s">
        <v>138</v>
      </c>
      <c r="K246" s="8" t="s">
        <v>509</v>
      </c>
      <c r="M246" s="339"/>
      <c r="N246" s="315"/>
    </row>
    <row r="247" spans="1:14" s="9" customFormat="1" ht="11.25" customHeight="1" x14ac:dyDescent="0.2">
      <c r="A247" s="10">
        <v>60121400</v>
      </c>
      <c r="B247" s="10" t="s">
        <v>7570</v>
      </c>
      <c r="C247" s="11">
        <v>0</v>
      </c>
      <c r="D247" s="11">
        <v>93840.986879999997</v>
      </c>
      <c r="E247" s="11">
        <v>0</v>
      </c>
      <c r="F247" s="13">
        <f>SUMIF('OD 09-24'!A:A,A247,'OD 09-24'!D:D)</f>
        <v>0</v>
      </c>
      <c r="G247" s="13">
        <f>SUMIF('OD 09-24'!A:A,A247,'OD 09-24'!E:E)</f>
        <v>0</v>
      </c>
      <c r="H247" s="14">
        <f t="shared" si="6"/>
        <v>93840.986879999997</v>
      </c>
      <c r="I247" s="14">
        <f t="shared" si="7"/>
        <v>93840.986879999997</v>
      </c>
      <c r="J247" s="8" t="s">
        <v>138</v>
      </c>
      <c r="K247" s="8" t="s">
        <v>509</v>
      </c>
      <c r="M247" s="339"/>
      <c r="N247" s="315"/>
    </row>
    <row r="248" spans="1:14" s="9" customFormat="1" ht="11.25" customHeight="1" x14ac:dyDescent="0.2">
      <c r="A248" s="10">
        <v>60121500</v>
      </c>
      <c r="B248" s="10" t="s">
        <v>404</v>
      </c>
      <c r="C248" s="11">
        <v>0</v>
      </c>
      <c r="D248" s="11">
        <v>99000</v>
      </c>
      <c r="E248" s="11">
        <v>0</v>
      </c>
      <c r="F248" s="13">
        <f>SUMIF('OD 09-24'!A:A,A248,'OD 09-24'!D:D)</f>
        <v>154800</v>
      </c>
      <c r="G248" s="13">
        <f>SUMIF('OD 09-24'!A:A,A248,'OD 09-24'!E:E)</f>
        <v>154800</v>
      </c>
      <c r="H248" s="14">
        <f t="shared" si="6"/>
        <v>99000</v>
      </c>
      <c r="I248" s="14">
        <f t="shared" si="7"/>
        <v>99000</v>
      </c>
      <c r="J248" s="8" t="s">
        <v>138</v>
      </c>
      <c r="K248" s="8" t="s">
        <v>509</v>
      </c>
      <c r="M248" s="339"/>
      <c r="N248" s="315"/>
    </row>
    <row r="249" spans="1:14" s="9" customFormat="1" ht="11.25" customHeight="1" x14ac:dyDescent="0.2">
      <c r="A249" s="10">
        <v>60121600</v>
      </c>
      <c r="B249" s="10" t="s">
        <v>154</v>
      </c>
      <c r="C249" s="11">
        <v>0</v>
      </c>
      <c r="D249" s="11">
        <v>425496</v>
      </c>
      <c r="E249" s="11">
        <v>0</v>
      </c>
      <c r="F249" s="13">
        <f>SUMIF('OD 09-24'!A:A,A249,'OD 09-24'!D:D)</f>
        <v>0</v>
      </c>
      <c r="G249" s="13">
        <f>SUMIF('OD 09-24'!A:A,A249,'OD 09-24'!E:E)</f>
        <v>0</v>
      </c>
      <c r="H249" s="14">
        <f t="shared" si="6"/>
        <v>425496</v>
      </c>
      <c r="I249" s="14">
        <f t="shared" si="7"/>
        <v>425496</v>
      </c>
      <c r="J249" s="8" t="s">
        <v>138</v>
      </c>
      <c r="K249" s="8" t="s">
        <v>509</v>
      </c>
      <c r="M249" s="339"/>
      <c r="N249" s="315"/>
    </row>
    <row r="250" spans="1:14" s="9" customFormat="1" ht="11.25" customHeight="1" x14ac:dyDescent="0.2">
      <c r="A250" s="10">
        <v>60121900</v>
      </c>
      <c r="B250" s="10" t="s">
        <v>7568</v>
      </c>
      <c r="C250" s="11">
        <v>0</v>
      </c>
      <c r="D250" s="11">
        <v>33763.75</v>
      </c>
      <c r="E250" s="11">
        <v>0</v>
      </c>
      <c r="F250" s="13">
        <f>SUMIF('OD 09-24'!A:A,A250,'OD 09-24'!D:D)</f>
        <v>0</v>
      </c>
      <c r="G250" s="13">
        <f>SUMIF('OD 09-24'!A:A,A250,'OD 09-24'!E:E)</f>
        <v>0</v>
      </c>
      <c r="H250" s="14">
        <f t="shared" si="6"/>
        <v>33763.75</v>
      </c>
      <c r="I250" s="14">
        <f t="shared" si="7"/>
        <v>33763.75</v>
      </c>
      <c r="J250" s="8" t="s">
        <v>138</v>
      </c>
      <c r="K250" s="8" t="s">
        <v>509</v>
      </c>
      <c r="M250" s="339"/>
      <c r="N250" s="315"/>
    </row>
    <row r="251" spans="1:14" s="9" customFormat="1" ht="11.25" customHeight="1" x14ac:dyDescent="0.2">
      <c r="A251" s="10">
        <v>60122000</v>
      </c>
      <c r="B251" s="10" t="s">
        <v>9638</v>
      </c>
      <c r="C251" s="11">
        <v>0</v>
      </c>
      <c r="D251" s="11">
        <v>72713.862434999988</v>
      </c>
      <c r="E251" s="11">
        <v>72713.861999999994</v>
      </c>
      <c r="F251" s="13">
        <f>SUMIF('OD 09-24'!A:A,A251,'OD 09-24'!D:D)</f>
        <v>0</v>
      </c>
      <c r="G251" s="13">
        <f>SUMIF('OD 09-24'!A:A,A251,'OD 09-24'!E:E)</f>
        <v>0</v>
      </c>
      <c r="H251" s="14">
        <f t="shared" si="6"/>
        <v>4.3499999446794391E-4</v>
      </c>
      <c r="I251" s="14">
        <f t="shared" si="7"/>
        <v>4.3499999446794391E-4</v>
      </c>
      <c r="J251" s="8" t="s">
        <v>138</v>
      </c>
      <c r="K251" s="8" t="s">
        <v>509</v>
      </c>
      <c r="M251" s="339"/>
      <c r="N251" s="315"/>
    </row>
    <row r="252" spans="1:14" s="9" customFormat="1" ht="11.25" customHeight="1" x14ac:dyDescent="0.2">
      <c r="A252" s="10">
        <v>60122100</v>
      </c>
      <c r="B252" s="10" t="s">
        <v>155</v>
      </c>
      <c r="C252" s="11">
        <v>0</v>
      </c>
      <c r="D252" s="11">
        <v>86985</v>
      </c>
      <c r="E252" s="11">
        <v>1485</v>
      </c>
      <c r="F252" s="13">
        <f>SUMIF('OD 09-24'!A:A,A252,'OD 09-24'!D:D)</f>
        <v>26730</v>
      </c>
      <c r="G252" s="13">
        <f>SUMIF('OD 09-24'!A:A,A252,'OD 09-24'!E:E)</f>
        <v>26730</v>
      </c>
      <c r="H252" s="14">
        <f t="shared" si="6"/>
        <v>85500</v>
      </c>
      <c r="I252" s="14">
        <f t="shared" si="7"/>
        <v>85500</v>
      </c>
      <c r="J252" s="8" t="s">
        <v>138</v>
      </c>
      <c r="K252" s="8" t="s">
        <v>509</v>
      </c>
      <c r="M252" s="339"/>
      <c r="N252" s="315"/>
    </row>
    <row r="253" spans="1:14" s="9" customFormat="1" ht="11.25" customHeight="1" x14ac:dyDescent="0.2">
      <c r="A253" s="10">
        <v>60122200</v>
      </c>
      <c r="B253" s="10" t="s">
        <v>156</v>
      </c>
      <c r="C253" s="11">
        <v>0</v>
      </c>
      <c r="D253" s="11">
        <v>54164.048999999999</v>
      </c>
      <c r="E253" s="11">
        <v>0</v>
      </c>
      <c r="F253" s="13">
        <f>SUMIF('OD 09-24'!A:A,A253,'OD 09-24'!D:D)</f>
        <v>12789</v>
      </c>
      <c r="G253" s="13">
        <f>SUMIF('OD 09-24'!A:A,A253,'OD 09-24'!E:E)</f>
        <v>12789</v>
      </c>
      <c r="H253" s="14">
        <f t="shared" si="6"/>
        <v>54164.048999999999</v>
      </c>
      <c r="I253" s="14">
        <f t="shared" si="7"/>
        <v>54164.048999999999</v>
      </c>
      <c r="J253" s="8" t="s">
        <v>138</v>
      </c>
      <c r="K253" s="8" t="s">
        <v>509</v>
      </c>
      <c r="M253" s="339"/>
      <c r="N253" s="315"/>
    </row>
    <row r="254" spans="1:14" s="9" customFormat="1" ht="11.25" customHeight="1" x14ac:dyDescent="0.2">
      <c r="A254" s="10">
        <v>60122400</v>
      </c>
      <c r="B254" s="10" t="s">
        <v>7396</v>
      </c>
      <c r="C254" s="11">
        <v>0</v>
      </c>
      <c r="D254" s="11">
        <v>19993.563000000002</v>
      </c>
      <c r="E254" s="11">
        <v>0</v>
      </c>
      <c r="F254" s="13">
        <f>SUMIF('OD 09-24'!A:A,A254,'OD 09-24'!D:D)</f>
        <v>0</v>
      </c>
      <c r="G254" s="13">
        <f>SUMIF('OD 09-24'!A:A,A254,'OD 09-24'!E:E)</f>
        <v>0</v>
      </c>
      <c r="H254" s="14">
        <f t="shared" si="6"/>
        <v>19993.563000000002</v>
      </c>
      <c r="I254" s="14">
        <f t="shared" si="7"/>
        <v>19993.563000000002</v>
      </c>
      <c r="J254" s="8" t="s">
        <v>138</v>
      </c>
      <c r="K254" s="8" t="s">
        <v>509</v>
      </c>
      <c r="M254" s="339"/>
      <c r="N254" s="315"/>
    </row>
    <row r="255" spans="1:14" s="9" customFormat="1" ht="11.25" customHeight="1" x14ac:dyDescent="0.2">
      <c r="A255" s="10">
        <v>60122410</v>
      </c>
      <c r="B255" s="10" t="s">
        <v>366</v>
      </c>
      <c r="C255" s="11">
        <v>0</v>
      </c>
      <c r="D255" s="11">
        <v>6325</v>
      </c>
      <c r="E255" s="11">
        <v>0</v>
      </c>
      <c r="F255" s="13">
        <f>SUMIF('OD 09-24'!A:A,A255,'OD 09-24'!D:D)</f>
        <v>0</v>
      </c>
      <c r="G255" s="13">
        <f>SUMIF('OD 09-24'!A:A,A255,'OD 09-24'!E:E)</f>
        <v>0</v>
      </c>
      <c r="H255" s="14">
        <f t="shared" si="6"/>
        <v>6325</v>
      </c>
      <c r="I255" s="14">
        <f t="shared" si="7"/>
        <v>6325</v>
      </c>
      <c r="J255" s="8" t="s">
        <v>138</v>
      </c>
      <c r="K255" s="8" t="s">
        <v>509</v>
      </c>
      <c r="M255" s="339"/>
      <c r="N255" s="315"/>
    </row>
    <row r="256" spans="1:14" s="9" customFormat="1" ht="11.25" customHeight="1" x14ac:dyDescent="0.2">
      <c r="A256" s="10">
        <v>60122411</v>
      </c>
      <c r="B256" s="10" t="s">
        <v>367</v>
      </c>
      <c r="C256" s="11">
        <v>0</v>
      </c>
      <c r="D256" s="11">
        <v>49854</v>
      </c>
      <c r="E256" s="11">
        <v>0</v>
      </c>
      <c r="F256" s="13">
        <f>SUMIF('OD 09-24'!A:A,A256,'OD 09-24'!D:D)</f>
        <v>1474.8</v>
      </c>
      <c r="G256" s="13">
        <f>SUMIF('OD 09-24'!A:A,A256,'OD 09-24'!E:E)</f>
        <v>1474.8</v>
      </c>
      <c r="H256" s="14">
        <f t="shared" si="6"/>
        <v>49854</v>
      </c>
      <c r="I256" s="14">
        <f t="shared" si="7"/>
        <v>49854</v>
      </c>
      <c r="J256" s="8" t="s">
        <v>138</v>
      </c>
      <c r="K256" s="8" t="s">
        <v>509</v>
      </c>
      <c r="M256" s="339"/>
      <c r="N256" s="315"/>
    </row>
    <row r="257" spans="1:14" s="9" customFormat="1" ht="11.25" customHeight="1" x14ac:dyDescent="0.2">
      <c r="A257" s="10">
        <v>60122510</v>
      </c>
      <c r="B257" s="10" t="s">
        <v>368</v>
      </c>
      <c r="C257" s="11">
        <v>0</v>
      </c>
      <c r="D257" s="11">
        <v>31175.326000000001</v>
      </c>
      <c r="E257" s="11">
        <v>0</v>
      </c>
      <c r="F257" s="13">
        <f>SUMIF('OD 09-24'!A:A,A257,'OD 09-24'!D:D)</f>
        <v>1931.701</v>
      </c>
      <c r="G257" s="13">
        <f>SUMIF('OD 09-24'!A:A,A257,'OD 09-24'!E:E)</f>
        <v>1931.701</v>
      </c>
      <c r="H257" s="14">
        <f t="shared" si="6"/>
        <v>31175.326000000001</v>
      </c>
      <c r="I257" s="14">
        <f t="shared" si="7"/>
        <v>31175.326000000001</v>
      </c>
      <c r="J257" s="8" t="s">
        <v>138</v>
      </c>
      <c r="K257" s="8" t="s">
        <v>509</v>
      </c>
      <c r="M257" s="339"/>
      <c r="N257" s="315"/>
    </row>
    <row r="258" spans="1:14" s="9" customFormat="1" ht="11.25" customHeight="1" x14ac:dyDescent="0.2">
      <c r="A258" s="10">
        <v>60122520</v>
      </c>
      <c r="B258" s="10" t="s">
        <v>396</v>
      </c>
      <c r="C258" s="11">
        <v>0</v>
      </c>
      <c r="D258" s="11">
        <v>4402.8069999999998</v>
      </c>
      <c r="E258" s="11">
        <v>0</v>
      </c>
      <c r="F258" s="13">
        <f>SUMIF('OD 09-24'!A:A,A258,'OD 09-24'!D:D)</f>
        <v>0</v>
      </c>
      <c r="G258" s="13">
        <f>SUMIF('OD 09-24'!A:A,A258,'OD 09-24'!E:E)</f>
        <v>0</v>
      </c>
      <c r="H258" s="14">
        <f t="shared" si="6"/>
        <v>4402.8069999999998</v>
      </c>
      <c r="I258" s="14">
        <f t="shared" si="7"/>
        <v>4402.8069999999998</v>
      </c>
      <c r="J258" s="8" t="s">
        <v>138</v>
      </c>
      <c r="K258" s="8" t="s">
        <v>509</v>
      </c>
      <c r="M258" s="339"/>
      <c r="N258" s="315"/>
    </row>
    <row r="259" spans="1:14" s="9" customFormat="1" ht="11.25" customHeight="1" x14ac:dyDescent="0.2">
      <c r="A259" s="10">
        <v>60122700</v>
      </c>
      <c r="B259" s="10" t="s">
        <v>7567</v>
      </c>
      <c r="C259" s="11">
        <v>0</v>
      </c>
      <c r="D259" s="11">
        <v>9500.0399999999991</v>
      </c>
      <c r="E259" s="11">
        <v>0</v>
      </c>
      <c r="F259" s="13">
        <f>SUMIF('OD 09-24'!A:A,A259,'OD 09-24'!D:D)</f>
        <v>12212.5</v>
      </c>
      <c r="G259" s="13">
        <f>SUMIF('OD 09-24'!A:A,A259,'OD 09-24'!E:E)</f>
        <v>12212.5</v>
      </c>
      <c r="H259" s="14">
        <f t="shared" si="6"/>
        <v>9500.0400000000009</v>
      </c>
      <c r="I259" s="14">
        <f t="shared" si="7"/>
        <v>9500.0400000000009</v>
      </c>
      <c r="J259" s="8" t="s">
        <v>138</v>
      </c>
      <c r="K259" s="8" t="s">
        <v>509</v>
      </c>
      <c r="M259" s="339"/>
      <c r="N259" s="315"/>
    </row>
    <row r="260" spans="1:14" s="9" customFormat="1" ht="11.25" customHeight="1" x14ac:dyDescent="0.2">
      <c r="A260" s="10">
        <v>60171000</v>
      </c>
      <c r="B260" s="10" t="s">
        <v>369</v>
      </c>
      <c r="C260" s="11">
        <v>0</v>
      </c>
      <c r="D260" s="11">
        <v>416256.01500000001</v>
      </c>
      <c r="E260" s="11">
        <v>325.53100000000001</v>
      </c>
      <c r="F260" s="13">
        <f>SUMIF('OD 09-24'!A:A,A260,'OD 09-24'!D:D)</f>
        <v>406817.03600000002</v>
      </c>
      <c r="G260" s="13">
        <f>SUMIF('OD 09-24'!A:A,A260,'OD 09-24'!E:E)</f>
        <v>385536.98200000002</v>
      </c>
      <c r="H260" s="14">
        <f t="shared" si="6"/>
        <v>437210.538</v>
      </c>
      <c r="I260" s="14">
        <f t="shared" si="7"/>
        <v>437210.538</v>
      </c>
      <c r="J260" s="8" t="s">
        <v>138</v>
      </c>
      <c r="K260" s="8" t="s">
        <v>509</v>
      </c>
      <c r="M260" s="339"/>
      <c r="N260" s="315"/>
    </row>
    <row r="261" spans="1:14" s="9" customFormat="1" ht="11.25" customHeight="1" x14ac:dyDescent="0.2">
      <c r="A261" s="10">
        <v>60172000</v>
      </c>
      <c r="B261" s="10" t="s">
        <v>169</v>
      </c>
      <c r="C261" s="11">
        <v>0</v>
      </c>
      <c r="D261" s="11">
        <v>814114.777</v>
      </c>
      <c r="E261" s="11">
        <v>1970.4739999999997</v>
      </c>
      <c r="F261" s="13">
        <f>SUMIF('OD 09-24'!A:A,A261,'OD 09-24'!D:D)</f>
        <v>847695.5</v>
      </c>
      <c r="G261" s="13">
        <f>SUMIF('OD 09-24'!A:A,A261,'OD 09-24'!E:E)</f>
        <v>732847.451</v>
      </c>
      <c r="H261" s="14">
        <f t="shared" si="6"/>
        <v>926992.35200000007</v>
      </c>
      <c r="I261" s="14">
        <f t="shared" si="7"/>
        <v>926992.35200000007</v>
      </c>
      <c r="J261" s="8" t="s">
        <v>138</v>
      </c>
      <c r="K261" s="8" t="s">
        <v>509</v>
      </c>
      <c r="M261" s="339"/>
      <c r="N261" s="315"/>
    </row>
    <row r="262" spans="1:14" s="9" customFormat="1" ht="11.25" customHeight="1" x14ac:dyDescent="0.2">
      <c r="A262" s="10">
        <v>60173000</v>
      </c>
      <c r="B262" s="10" t="s">
        <v>170</v>
      </c>
      <c r="C262" s="11">
        <v>0</v>
      </c>
      <c r="D262" s="11">
        <v>82712.535999999993</v>
      </c>
      <c r="E262" s="11">
        <v>16484.29</v>
      </c>
      <c r="F262" s="13">
        <f>SUMIF('OD 09-24'!A:A,A262,'OD 09-24'!D:D)</f>
        <v>65613.881999999998</v>
      </c>
      <c r="G262" s="13">
        <f>SUMIF('OD 09-24'!A:A,A262,'OD 09-24'!E:E)</f>
        <v>58073.440999999999</v>
      </c>
      <c r="H262" s="14">
        <f t="shared" si="6"/>
        <v>73768.687000000005</v>
      </c>
      <c r="I262" s="14">
        <f t="shared" si="7"/>
        <v>73768.687000000005</v>
      </c>
      <c r="J262" s="8" t="s">
        <v>138</v>
      </c>
      <c r="K262" s="8" t="s">
        <v>509</v>
      </c>
      <c r="M262" s="339"/>
      <c r="N262" s="315"/>
    </row>
    <row r="263" spans="1:14" s="9" customFormat="1" ht="11.25" customHeight="1" x14ac:dyDescent="0.2">
      <c r="A263" s="10">
        <v>60191000</v>
      </c>
      <c r="B263" s="10" t="s">
        <v>158</v>
      </c>
      <c r="C263" s="11">
        <v>0</v>
      </c>
      <c r="D263" s="11">
        <v>1456295.2598899999</v>
      </c>
      <c r="E263" s="11">
        <v>39627.936999999998</v>
      </c>
      <c r="F263" s="13">
        <f>SUMIF('OD 09-24'!A:A,A263,'OD 09-24'!D:D)</f>
        <v>0</v>
      </c>
      <c r="G263" s="13">
        <f>SUMIF('OD 09-24'!A:A,A263,'OD 09-24'!E:E)</f>
        <v>0</v>
      </c>
      <c r="H263" s="14">
        <f t="shared" si="6"/>
        <v>1416667.32289</v>
      </c>
      <c r="I263" s="14">
        <f t="shared" si="7"/>
        <v>1416667.32289</v>
      </c>
      <c r="J263" s="8" t="s">
        <v>138</v>
      </c>
      <c r="K263" s="8" t="s">
        <v>509</v>
      </c>
      <c r="M263" s="339"/>
      <c r="N263" s="315"/>
    </row>
    <row r="264" spans="1:14" s="9" customFormat="1" ht="11.25" customHeight="1" x14ac:dyDescent="0.2">
      <c r="A264" s="10">
        <v>60215000</v>
      </c>
      <c r="B264" s="10" t="s">
        <v>370</v>
      </c>
      <c r="C264" s="11">
        <v>0</v>
      </c>
      <c r="D264" s="11">
        <v>0</v>
      </c>
      <c r="E264" s="11">
        <v>0</v>
      </c>
      <c r="F264" s="13">
        <f>SUMIF('OD 09-24'!A:A,A264,'OD 09-24'!D:D)</f>
        <v>0</v>
      </c>
      <c r="G264" s="13">
        <f>SUMIF('OD 09-24'!A:A,A264,'OD 09-24'!E:E)</f>
        <v>0</v>
      </c>
      <c r="H264" s="14">
        <f t="shared" si="6"/>
        <v>0</v>
      </c>
      <c r="I264" s="14">
        <f t="shared" si="7"/>
        <v>0</v>
      </c>
      <c r="J264" s="8" t="s">
        <v>138</v>
      </c>
      <c r="K264" s="8" t="s">
        <v>509</v>
      </c>
      <c r="M264" s="339"/>
      <c r="N264" s="315"/>
    </row>
    <row r="265" spans="1:14" s="9" customFormat="1" ht="11.25" customHeight="1" x14ac:dyDescent="0.2">
      <c r="A265" s="10">
        <v>60216000</v>
      </c>
      <c r="B265" s="10" t="s">
        <v>371</v>
      </c>
      <c r="C265" s="11">
        <v>0</v>
      </c>
      <c r="D265" s="11">
        <v>293619.22151249996</v>
      </c>
      <c r="E265" s="11">
        <v>0</v>
      </c>
      <c r="F265" s="13">
        <f>SUMIF('OD 09-24'!A:A,A265,'OD 09-24'!D:D)</f>
        <v>0</v>
      </c>
      <c r="G265" s="13">
        <f>SUMIF('OD 09-24'!A:A,A265,'OD 09-24'!E:E)</f>
        <v>0</v>
      </c>
      <c r="H265" s="14">
        <f t="shared" ref="H265:H328" si="8">+D265+F265-E265-G265</f>
        <v>293619.22151249996</v>
      </c>
      <c r="I265" s="14">
        <f t="shared" ref="I265:I328" si="9">+H265+C265</f>
        <v>293619.22151249996</v>
      </c>
      <c r="J265" s="8" t="s">
        <v>138</v>
      </c>
      <c r="K265" s="8" t="s">
        <v>509</v>
      </c>
      <c r="M265" s="339"/>
      <c r="N265" s="315"/>
    </row>
    <row r="266" spans="1:14" s="9" customFormat="1" ht="11.25" customHeight="1" x14ac:dyDescent="0.2">
      <c r="A266" s="10">
        <v>60260200</v>
      </c>
      <c r="B266" s="10" t="s">
        <v>372</v>
      </c>
      <c r="C266" s="11">
        <v>0</v>
      </c>
      <c r="D266" s="11">
        <v>8410.75</v>
      </c>
      <c r="E266" s="11">
        <v>0</v>
      </c>
      <c r="F266" s="13">
        <f>SUMIF('OD 09-24'!A:A,A266,'OD 09-24'!D:D)</f>
        <v>0</v>
      </c>
      <c r="G266" s="13">
        <f>SUMIF('OD 09-24'!A:A,A266,'OD 09-24'!E:E)</f>
        <v>0</v>
      </c>
      <c r="H266" s="14">
        <f t="shared" si="8"/>
        <v>8410.75</v>
      </c>
      <c r="I266" s="14">
        <f t="shared" si="9"/>
        <v>8410.75</v>
      </c>
      <c r="J266" s="8" t="s">
        <v>138</v>
      </c>
      <c r="K266" s="8" t="s">
        <v>509</v>
      </c>
      <c r="M266" s="339"/>
      <c r="N266" s="315"/>
    </row>
    <row r="267" spans="1:14" s="9" customFormat="1" ht="11.25" customHeight="1" x14ac:dyDescent="0.2">
      <c r="A267" s="10">
        <v>60260300</v>
      </c>
      <c r="B267" s="10" t="s">
        <v>160</v>
      </c>
      <c r="C267" s="11">
        <v>0</v>
      </c>
      <c r="D267" s="11">
        <v>95008.650999999998</v>
      </c>
      <c r="E267" s="11">
        <v>1624.701</v>
      </c>
      <c r="F267" s="13">
        <f>SUMIF('OD 09-24'!A:A,A267,'OD 09-24'!D:D)</f>
        <v>0</v>
      </c>
      <c r="G267" s="13">
        <f>SUMIF('OD 09-24'!A:A,A267,'OD 09-24'!E:E)</f>
        <v>0</v>
      </c>
      <c r="H267" s="14">
        <f t="shared" si="8"/>
        <v>93383.95</v>
      </c>
      <c r="I267" s="14">
        <f t="shared" si="9"/>
        <v>93383.95</v>
      </c>
      <c r="J267" s="8" t="s">
        <v>138</v>
      </c>
      <c r="K267" s="8" t="s">
        <v>509</v>
      </c>
      <c r="M267" s="339"/>
      <c r="N267" s="315"/>
    </row>
    <row r="268" spans="1:14" s="9" customFormat="1" ht="11.25" customHeight="1" x14ac:dyDescent="0.2">
      <c r="A268" s="10">
        <v>60260400</v>
      </c>
      <c r="B268" s="10" t="s">
        <v>161</v>
      </c>
      <c r="C268" s="11">
        <v>0</v>
      </c>
      <c r="D268" s="11">
        <v>68953.595000000001</v>
      </c>
      <c r="E268" s="11">
        <v>0</v>
      </c>
      <c r="F268" s="13">
        <f>SUMIF('OD 09-24'!A:A,A268,'OD 09-24'!D:D)</f>
        <v>23134.2</v>
      </c>
      <c r="G268" s="13">
        <f>SUMIF('OD 09-24'!A:A,A268,'OD 09-24'!E:E)</f>
        <v>18640.599999999999</v>
      </c>
      <c r="H268" s="14">
        <f t="shared" si="8"/>
        <v>73447.195000000007</v>
      </c>
      <c r="I268" s="14">
        <f t="shared" si="9"/>
        <v>73447.195000000007</v>
      </c>
      <c r="J268" s="8" t="s">
        <v>138</v>
      </c>
      <c r="K268" s="8" t="s">
        <v>509</v>
      </c>
      <c r="M268" s="339"/>
      <c r="N268" s="315"/>
    </row>
    <row r="269" spans="1:14" s="9" customFormat="1" ht="11.25" customHeight="1" x14ac:dyDescent="0.2">
      <c r="A269" s="10">
        <v>60260500</v>
      </c>
      <c r="B269" s="10" t="s">
        <v>162</v>
      </c>
      <c r="C269" s="11">
        <v>0</v>
      </c>
      <c r="D269" s="11">
        <v>62388.648999999998</v>
      </c>
      <c r="E269" s="11">
        <v>0</v>
      </c>
      <c r="F269" s="13">
        <f>SUMIF('OD 09-24'!A:A,A269,'OD 09-24'!D:D)</f>
        <v>0</v>
      </c>
      <c r="G269" s="13">
        <f>SUMIF('OD 09-24'!A:A,A269,'OD 09-24'!E:E)</f>
        <v>0</v>
      </c>
      <c r="H269" s="14">
        <f t="shared" si="8"/>
        <v>62388.648999999998</v>
      </c>
      <c r="I269" s="14">
        <f t="shared" si="9"/>
        <v>62388.648999999998</v>
      </c>
      <c r="J269" s="8" t="s">
        <v>138</v>
      </c>
      <c r="K269" s="8" t="s">
        <v>509</v>
      </c>
      <c r="M269" s="339"/>
      <c r="N269" s="315"/>
    </row>
    <row r="270" spans="1:14" s="9" customFormat="1" ht="11.25" customHeight="1" x14ac:dyDescent="0.2">
      <c r="A270" s="10">
        <v>60260600</v>
      </c>
      <c r="B270" s="10" t="s">
        <v>7401</v>
      </c>
      <c r="C270" s="11">
        <v>0</v>
      </c>
      <c r="D270" s="11">
        <v>2004.85</v>
      </c>
      <c r="E270" s="11">
        <v>0</v>
      </c>
      <c r="F270" s="13">
        <f>SUMIF('OD 09-24'!A:A,A270,'OD 09-24'!D:D)</f>
        <v>196.95</v>
      </c>
      <c r="G270" s="13">
        <f>SUMIF('OD 09-24'!A:A,A270,'OD 09-24'!E:E)</f>
        <v>0</v>
      </c>
      <c r="H270" s="14">
        <f t="shared" si="8"/>
        <v>2201.7999999999997</v>
      </c>
      <c r="I270" s="14">
        <f t="shared" si="9"/>
        <v>2201.7999999999997</v>
      </c>
      <c r="J270" s="8" t="s">
        <v>138</v>
      </c>
      <c r="K270" s="8" t="s">
        <v>509</v>
      </c>
      <c r="M270" s="339"/>
      <c r="N270" s="315"/>
    </row>
    <row r="271" spans="1:14" s="9" customFormat="1" ht="11.25" customHeight="1" x14ac:dyDescent="0.2">
      <c r="A271" s="10">
        <v>60260700</v>
      </c>
      <c r="B271" s="10" t="s">
        <v>163</v>
      </c>
      <c r="C271" s="11">
        <v>0</v>
      </c>
      <c r="D271" s="11">
        <v>63256.3</v>
      </c>
      <c r="E271" s="11">
        <v>3368.35</v>
      </c>
      <c r="F271" s="13">
        <f>SUMIF('OD 09-24'!A:A,A271,'OD 09-24'!D:D)</f>
        <v>5845.7</v>
      </c>
      <c r="G271" s="13">
        <f>SUMIF('OD 09-24'!A:A,A271,'OD 09-24'!E:E)</f>
        <v>5845.7</v>
      </c>
      <c r="H271" s="14">
        <f t="shared" si="8"/>
        <v>59887.95</v>
      </c>
      <c r="I271" s="14">
        <f t="shared" si="9"/>
        <v>59887.95</v>
      </c>
      <c r="J271" s="8" t="s">
        <v>138</v>
      </c>
      <c r="K271" s="8" t="s">
        <v>509</v>
      </c>
      <c r="M271" s="339"/>
      <c r="N271" s="315"/>
    </row>
    <row r="272" spans="1:14" s="9" customFormat="1" ht="11.25" customHeight="1" x14ac:dyDescent="0.2">
      <c r="A272" s="10">
        <v>60262000</v>
      </c>
      <c r="B272" s="10" t="s">
        <v>164</v>
      </c>
      <c r="C272" s="11">
        <v>0</v>
      </c>
      <c r="D272" s="11">
        <v>173983.07557250001</v>
      </c>
      <c r="E272" s="11">
        <v>0</v>
      </c>
      <c r="F272" s="13">
        <f>SUMIF('OD 09-24'!A:A,A272,'OD 09-24'!D:D)</f>
        <v>26125.929</v>
      </c>
      <c r="G272" s="13">
        <f>SUMIF('OD 09-24'!A:A,A272,'OD 09-24'!E:E)</f>
        <v>23425.929</v>
      </c>
      <c r="H272" s="14">
        <f t="shared" si="8"/>
        <v>176683.07557250001</v>
      </c>
      <c r="I272" s="14">
        <f t="shared" si="9"/>
        <v>176683.07557250001</v>
      </c>
      <c r="J272" s="8" t="s">
        <v>138</v>
      </c>
      <c r="K272" s="8" t="s">
        <v>509</v>
      </c>
      <c r="M272" s="339"/>
      <c r="N272" s="315"/>
    </row>
    <row r="273" spans="1:14" s="9" customFormat="1" ht="11.25" customHeight="1" x14ac:dyDescent="0.2">
      <c r="A273" s="10">
        <v>60263000</v>
      </c>
      <c r="B273" s="10" t="s">
        <v>165</v>
      </c>
      <c r="C273" s="11">
        <v>0</v>
      </c>
      <c r="D273" s="11">
        <v>99462.630822000006</v>
      </c>
      <c r="E273" s="11">
        <v>43242.447999999997</v>
      </c>
      <c r="F273" s="13">
        <f>SUMIF('OD 09-24'!A:A,A273,'OD 09-24'!D:D)</f>
        <v>13804.923000000001</v>
      </c>
      <c r="G273" s="13">
        <f>SUMIF('OD 09-24'!A:A,A273,'OD 09-24'!E:E)</f>
        <v>13804.923000000001</v>
      </c>
      <c r="H273" s="14">
        <f t="shared" si="8"/>
        <v>56220.18282200001</v>
      </c>
      <c r="I273" s="14">
        <f t="shared" si="9"/>
        <v>56220.18282200001</v>
      </c>
      <c r="J273" s="8" t="s">
        <v>138</v>
      </c>
      <c r="K273" s="8" t="s">
        <v>509</v>
      </c>
      <c r="M273" s="339"/>
      <c r="N273" s="315"/>
    </row>
    <row r="274" spans="1:14" s="9" customFormat="1" ht="11.25" customHeight="1" x14ac:dyDescent="0.2">
      <c r="A274" s="10">
        <v>60310000</v>
      </c>
      <c r="B274" s="10" t="s">
        <v>265</v>
      </c>
      <c r="C274" s="11">
        <v>0</v>
      </c>
      <c r="D274" s="11">
        <v>10656855.097999999</v>
      </c>
      <c r="E274" s="11">
        <v>1136780.078</v>
      </c>
      <c r="F274" s="13">
        <f>SUMIF('OD 09-24'!A:A,A274,'OD 09-24'!D:D)</f>
        <v>109872970.37819999</v>
      </c>
      <c r="G274" s="13">
        <f>SUMIF('OD 09-24'!A:A,A274,'OD 09-24'!E:E)</f>
        <v>122679690.68619999</v>
      </c>
      <c r="H274" s="14">
        <f t="shared" si="8"/>
        <v>-3286645.2879999876</v>
      </c>
      <c r="I274" s="14">
        <f t="shared" si="9"/>
        <v>-3286645.2879999876</v>
      </c>
      <c r="J274" s="8" t="s">
        <v>138</v>
      </c>
      <c r="K274" s="8" t="s">
        <v>509</v>
      </c>
      <c r="M274" s="339"/>
      <c r="N274" s="315"/>
    </row>
    <row r="275" spans="1:14" s="9" customFormat="1" ht="11.25" customHeight="1" x14ac:dyDescent="0.2">
      <c r="A275" s="10">
        <v>60330000</v>
      </c>
      <c r="B275" s="10" t="s">
        <v>266</v>
      </c>
      <c r="C275" s="11">
        <v>0</v>
      </c>
      <c r="D275" s="11">
        <v>662156.429</v>
      </c>
      <c r="E275" s="11">
        <v>0</v>
      </c>
      <c r="F275" s="13">
        <f>SUMIF('OD 09-24'!A:A,A275,'OD 09-24'!D:D)</f>
        <v>7360170.9205</v>
      </c>
      <c r="G275" s="13">
        <f>SUMIF('OD 09-24'!A:A,A275,'OD 09-24'!E:E)</f>
        <v>7982497.2364999996</v>
      </c>
      <c r="H275" s="14">
        <f t="shared" si="8"/>
        <v>39830.113000000827</v>
      </c>
      <c r="I275" s="14">
        <f t="shared" si="9"/>
        <v>39830.113000000827</v>
      </c>
      <c r="J275" s="8" t="s">
        <v>157</v>
      </c>
      <c r="K275" s="8" t="s">
        <v>512</v>
      </c>
      <c r="M275" s="339"/>
      <c r="N275" s="315"/>
    </row>
    <row r="276" spans="1:14" s="9" customFormat="1" ht="11.25" customHeight="1" x14ac:dyDescent="0.2">
      <c r="A276" s="10">
        <v>60401000</v>
      </c>
      <c r="B276" s="10" t="s">
        <v>166</v>
      </c>
      <c r="C276" s="11">
        <v>0</v>
      </c>
      <c r="D276" s="11">
        <v>0</v>
      </c>
      <c r="E276" s="11">
        <v>0</v>
      </c>
      <c r="F276" s="13">
        <f>SUMIF('OD 09-24'!A:A,A276,'OD 09-24'!D:D)</f>
        <v>637556.00100000005</v>
      </c>
      <c r="G276" s="13">
        <f>SUMIF('OD 09-24'!A:A,A276,'OD 09-24'!E:E)</f>
        <v>515669.00099999999</v>
      </c>
      <c r="H276" s="14">
        <f t="shared" si="8"/>
        <v>121887.00000000006</v>
      </c>
      <c r="I276" s="14">
        <f t="shared" si="9"/>
        <v>121887.00000000006</v>
      </c>
      <c r="J276" s="8" t="s">
        <v>157</v>
      </c>
      <c r="K276" s="8" t="s">
        <v>512</v>
      </c>
      <c r="M276" s="339"/>
      <c r="N276" s="315"/>
    </row>
    <row r="277" spans="1:14" s="9" customFormat="1" ht="11.25" customHeight="1" x14ac:dyDescent="0.2">
      <c r="A277" s="10">
        <v>60502000</v>
      </c>
      <c r="B277" s="10" t="s">
        <v>167</v>
      </c>
      <c r="C277" s="11">
        <v>0</v>
      </c>
      <c r="D277" s="11">
        <v>647755.97758399998</v>
      </c>
      <c r="E277" s="11">
        <v>34510.453049999996</v>
      </c>
      <c r="F277" s="13">
        <f>SUMIF('OD 09-24'!A:A,A277,'OD 09-24'!D:D)</f>
        <v>58949.224000000002</v>
      </c>
      <c r="G277" s="13">
        <f>SUMIF('OD 09-24'!A:A,A277,'OD 09-24'!E:E)</f>
        <v>58949.224000000002</v>
      </c>
      <c r="H277" s="14">
        <f t="shared" si="8"/>
        <v>613245.52453399997</v>
      </c>
      <c r="I277" s="14">
        <f t="shared" si="9"/>
        <v>613245.52453399997</v>
      </c>
      <c r="J277" s="8" t="s">
        <v>157</v>
      </c>
      <c r="K277" s="8" t="s">
        <v>512</v>
      </c>
      <c r="M277" s="339"/>
      <c r="N277" s="315"/>
    </row>
    <row r="278" spans="1:14" s="9" customFormat="1" ht="11.25" customHeight="1" x14ac:dyDescent="0.2">
      <c r="A278" s="10">
        <v>60504000</v>
      </c>
      <c r="B278" s="10" t="s">
        <v>168</v>
      </c>
      <c r="C278" s="11">
        <v>0</v>
      </c>
      <c r="D278" s="11">
        <v>11604.42</v>
      </c>
      <c r="E278" s="11">
        <v>0</v>
      </c>
      <c r="F278" s="13">
        <f>SUMIF('OD 09-24'!A:A,A278,'OD 09-24'!D:D)</f>
        <v>0</v>
      </c>
      <c r="G278" s="13">
        <f>SUMIF('OD 09-24'!A:A,A278,'OD 09-24'!E:E)</f>
        <v>0</v>
      </c>
      <c r="H278" s="14">
        <f t="shared" si="8"/>
        <v>11604.42</v>
      </c>
      <c r="I278" s="14">
        <f t="shared" si="9"/>
        <v>11604.42</v>
      </c>
      <c r="J278" s="8" t="s">
        <v>157</v>
      </c>
      <c r="K278" s="8" t="s">
        <v>512</v>
      </c>
      <c r="M278" s="339"/>
      <c r="N278" s="315"/>
    </row>
    <row r="279" spans="1:14" s="9" customFormat="1" ht="11.25" customHeight="1" x14ac:dyDescent="0.2">
      <c r="A279" s="10">
        <v>60614000</v>
      </c>
      <c r="B279" s="10" t="s">
        <v>171</v>
      </c>
      <c r="C279" s="11">
        <v>0</v>
      </c>
      <c r="D279" s="11">
        <v>197693.24100000001</v>
      </c>
      <c r="E279" s="11">
        <v>4625</v>
      </c>
      <c r="F279" s="13">
        <f>SUMIF('OD 09-24'!A:A,A279,'OD 09-24'!D:D)</f>
        <v>7104.1120000000001</v>
      </c>
      <c r="G279" s="13">
        <f>SUMIF('OD 09-24'!A:A,A279,'OD 09-24'!E:E)</f>
        <v>7104.1120000000001</v>
      </c>
      <c r="H279" s="14">
        <f t="shared" si="8"/>
        <v>193068.24100000001</v>
      </c>
      <c r="I279" s="14">
        <f t="shared" si="9"/>
        <v>193068.24100000001</v>
      </c>
      <c r="J279" s="8" t="s">
        <v>157</v>
      </c>
      <c r="K279" s="8" t="s">
        <v>512</v>
      </c>
      <c r="M279" s="339"/>
      <c r="N279" s="315"/>
    </row>
    <row r="280" spans="1:14" s="9" customFormat="1" ht="11.25" customHeight="1" x14ac:dyDescent="0.2">
      <c r="A280" s="10">
        <v>60620000</v>
      </c>
      <c r="B280" s="10" t="s">
        <v>172</v>
      </c>
      <c r="C280" s="11">
        <v>0</v>
      </c>
      <c r="D280" s="11">
        <v>30201.515000000003</v>
      </c>
      <c r="E280" s="11">
        <v>117.64400000000001</v>
      </c>
      <c r="F280" s="13">
        <f>SUMIF('OD 09-24'!A:A,A280,'OD 09-24'!D:D)</f>
        <v>3197.9749999999999</v>
      </c>
      <c r="G280" s="13">
        <f>SUMIF('OD 09-24'!A:A,A280,'OD 09-24'!E:E)</f>
        <v>3017.9749999999999</v>
      </c>
      <c r="H280" s="14">
        <f t="shared" si="8"/>
        <v>30263.871000000006</v>
      </c>
      <c r="I280" s="14">
        <f t="shared" si="9"/>
        <v>30263.871000000006</v>
      </c>
      <c r="J280" s="8" t="s">
        <v>157</v>
      </c>
      <c r="K280" s="8" t="s">
        <v>512</v>
      </c>
      <c r="M280" s="339"/>
      <c r="N280" s="315"/>
    </row>
    <row r="281" spans="1:14" s="9" customFormat="1" ht="11.25" customHeight="1" x14ac:dyDescent="0.2">
      <c r="A281" s="10">
        <v>60650000</v>
      </c>
      <c r="B281" s="10" t="s">
        <v>373</v>
      </c>
      <c r="C281" s="11">
        <v>0</v>
      </c>
      <c r="D281" s="11">
        <v>18900</v>
      </c>
      <c r="E281" s="11">
        <v>0</v>
      </c>
      <c r="F281" s="13">
        <f>SUMIF('OD 09-24'!A:A,A281,'OD 09-24'!D:D)</f>
        <v>4050</v>
      </c>
      <c r="G281" s="13">
        <f>SUMIF('OD 09-24'!A:A,A281,'OD 09-24'!E:E)</f>
        <v>4050</v>
      </c>
      <c r="H281" s="14">
        <f t="shared" si="8"/>
        <v>18900</v>
      </c>
      <c r="I281" s="14">
        <f t="shared" si="9"/>
        <v>18900</v>
      </c>
      <c r="J281" s="8" t="s">
        <v>138</v>
      </c>
      <c r="K281" s="8" t="s">
        <v>509</v>
      </c>
      <c r="M281" s="339"/>
      <c r="N281" s="315"/>
    </row>
    <row r="282" spans="1:14" s="9" customFormat="1" ht="11.25" customHeight="1" x14ac:dyDescent="0.2">
      <c r="A282" s="10">
        <v>60660000</v>
      </c>
      <c r="B282" s="10" t="s">
        <v>173</v>
      </c>
      <c r="C282" s="11">
        <v>0</v>
      </c>
      <c r="D282" s="11">
        <v>17030.875</v>
      </c>
      <c r="E282" s="11">
        <v>0</v>
      </c>
      <c r="F282" s="13">
        <f>SUMIF('OD 09-24'!A:A,A282,'OD 09-24'!D:D)</f>
        <v>491</v>
      </c>
      <c r="G282" s="13">
        <f>SUMIF('OD 09-24'!A:A,A282,'OD 09-24'!E:E)</f>
        <v>245.5</v>
      </c>
      <c r="H282" s="14">
        <f t="shared" si="8"/>
        <v>17276.375</v>
      </c>
      <c r="I282" s="14">
        <f t="shared" si="9"/>
        <v>17276.375</v>
      </c>
      <c r="J282" s="8" t="s">
        <v>157</v>
      </c>
      <c r="K282" s="8" t="s">
        <v>512</v>
      </c>
      <c r="M282" s="339"/>
      <c r="N282" s="315"/>
    </row>
    <row r="283" spans="1:14" s="9" customFormat="1" ht="11.25" customHeight="1" x14ac:dyDescent="0.2">
      <c r="A283" s="10">
        <v>60670000</v>
      </c>
      <c r="B283" s="10" t="s">
        <v>174</v>
      </c>
      <c r="C283" s="11">
        <v>0</v>
      </c>
      <c r="D283" s="11">
        <v>14092.76</v>
      </c>
      <c r="E283" s="11">
        <v>0</v>
      </c>
      <c r="F283" s="13">
        <f>SUMIF('OD 09-24'!A:A,A283,'OD 09-24'!D:D)</f>
        <v>4661.5349999999999</v>
      </c>
      <c r="G283" s="13">
        <f>SUMIF('OD 09-24'!A:A,A283,'OD 09-24'!E:E)</f>
        <v>2726.35</v>
      </c>
      <c r="H283" s="14">
        <f t="shared" si="8"/>
        <v>16027.944999999998</v>
      </c>
      <c r="I283" s="14">
        <f t="shared" si="9"/>
        <v>16027.944999999998</v>
      </c>
      <c r="J283" s="8" t="s">
        <v>157</v>
      </c>
      <c r="K283" s="8" t="s">
        <v>512</v>
      </c>
      <c r="M283" s="339"/>
      <c r="N283" s="315"/>
    </row>
    <row r="284" spans="1:14" s="9" customFormat="1" ht="11.25" customHeight="1" x14ac:dyDescent="0.2">
      <c r="A284" s="10">
        <v>60671000</v>
      </c>
      <c r="B284" s="10" t="s">
        <v>374</v>
      </c>
      <c r="C284" s="11">
        <v>0</v>
      </c>
      <c r="D284" s="11">
        <v>118633.58599999998</v>
      </c>
      <c r="E284" s="11">
        <v>1354.9839999999999</v>
      </c>
      <c r="F284" s="13">
        <f>SUMIF('OD 09-24'!A:A,A284,'OD 09-24'!D:D)</f>
        <v>13634.6</v>
      </c>
      <c r="G284" s="13">
        <f>SUMIF('OD 09-24'!A:A,A284,'OD 09-24'!E:E)</f>
        <v>13634.6</v>
      </c>
      <c r="H284" s="14">
        <f t="shared" si="8"/>
        <v>117278.60199999998</v>
      </c>
      <c r="I284" s="14">
        <f t="shared" si="9"/>
        <v>117278.60199999998</v>
      </c>
      <c r="J284" s="8" t="s">
        <v>157</v>
      </c>
      <c r="K284" s="8" t="s">
        <v>512</v>
      </c>
      <c r="M284" s="339"/>
      <c r="N284" s="315"/>
    </row>
    <row r="285" spans="1:14" s="9" customFormat="1" ht="11.25" customHeight="1" x14ac:dyDescent="0.2">
      <c r="A285" s="10">
        <v>61400000</v>
      </c>
      <c r="B285" s="10" t="s">
        <v>175</v>
      </c>
      <c r="C285" s="11">
        <v>0</v>
      </c>
      <c r="D285" s="11">
        <v>45509.442000000003</v>
      </c>
      <c r="E285" s="11">
        <v>0</v>
      </c>
      <c r="F285" s="13">
        <f>SUMIF('OD 09-24'!A:A,A285,'OD 09-24'!D:D)</f>
        <v>0</v>
      </c>
      <c r="G285" s="13">
        <f>SUMIF('OD 09-24'!A:A,A285,'OD 09-24'!E:E)</f>
        <v>0</v>
      </c>
      <c r="H285" s="14">
        <f t="shared" si="8"/>
        <v>45509.442000000003</v>
      </c>
      <c r="I285" s="14">
        <f t="shared" si="9"/>
        <v>45509.442000000003</v>
      </c>
      <c r="J285" s="8" t="s">
        <v>157</v>
      </c>
      <c r="K285" s="8" t="s">
        <v>512</v>
      </c>
      <c r="M285" s="339"/>
      <c r="N285" s="315"/>
    </row>
    <row r="286" spans="1:14" s="9" customFormat="1" ht="11.25" customHeight="1" x14ac:dyDescent="0.2">
      <c r="A286" s="10">
        <v>61500000</v>
      </c>
      <c r="B286" s="10" t="s">
        <v>176</v>
      </c>
      <c r="C286" s="11">
        <v>0</v>
      </c>
      <c r="D286" s="11">
        <v>471809.17499999999</v>
      </c>
      <c r="E286" s="11">
        <v>106254.21699999999</v>
      </c>
      <c r="F286" s="13">
        <f>SUMIF('OD 09-24'!A:A,A286,'OD 09-24'!D:D)</f>
        <v>68325.975000000006</v>
      </c>
      <c r="G286" s="13">
        <f>SUMIF('OD 09-24'!A:A,A286,'OD 09-24'!E:E)</f>
        <v>63225.974999999999</v>
      </c>
      <c r="H286" s="14">
        <f t="shared" si="8"/>
        <v>370654.95800000004</v>
      </c>
      <c r="I286" s="14">
        <f t="shared" si="9"/>
        <v>370654.95800000004</v>
      </c>
      <c r="J286" s="8" t="s">
        <v>157</v>
      </c>
      <c r="K286" s="8" t="s">
        <v>512</v>
      </c>
      <c r="M286" s="339"/>
      <c r="N286" s="315"/>
    </row>
    <row r="287" spans="1:14" s="9" customFormat="1" ht="11.25" customHeight="1" x14ac:dyDescent="0.2">
      <c r="A287" s="10">
        <v>61501000</v>
      </c>
      <c r="B287" s="10" t="s">
        <v>177</v>
      </c>
      <c r="C287" s="11">
        <v>0</v>
      </c>
      <c r="D287" s="11">
        <v>166707.33900000001</v>
      </c>
      <c r="E287" s="11">
        <v>1905.373</v>
      </c>
      <c r="F287" s="13">
        <f>SUMIF('OD 09-24'!A:A,A287,'OD 09-24'!D:D)</f>
        <v>32012.673999999999</v>
      </c>
      <c r="G287" s="13">
        <f>SUMIF('OD 09-24'!A:A,A287,'OD 09-24'!E:E)</f>
        <v>24816.300999999999</v>
      </c>
      <c r="H287" s="14">
        <f t="shared" si="8"/>
        <v>171998.33900000001</v>
      </c>
      <c r="I287" s="14">
        <f t="shared" si="9"/>
        <v>171998.33900000001</v>
      </c>
      <c r="J287" s="8" t="s">
        <v>157</v>
      </c>
      <c r="K287" s="8" t="s">
        <v>512</v>
      </c>
      <c r="M287" s="339"/>
      <c r="N287" s="315"/>
    </row>
    <row r="288" spans="1:14" s="9" customFormat="1" ht="11.25" customHeight="1" x14ac:dyDescent="0.2">
      <c r="A288" s="10">
        <v>61600000</v>
      </c>
      <c r="B288" s="10" t="s">
        <v>397</v>
      </c>
      <c r="C288" s="11">
        <v>0</v>
      </c>
      <c r="D288" s="11">
        <v>48541.588000000003</v>
      </c>
      <c r="E288" s="11">
        <v>0</v>
      </c>
      <c r="F288" s="13">
        <f>SUMIF('OD 09-24'!A:A,A288,'OD 09-24'!D:D)</f>
        <v>63953.332999999999</v>
      </c>
      <c r="G288" s="13">
        <f>SUMIF('OD 09-24'!A:A,A288,'OD 09-24'!E:E)</f>
        <v>70209.466</v>
      </c>
      <c r="H288" s="14">
        <f t="shared" si="8"/>
        <v>42285.455000000002</v>
      </c>
      <c r="I288" s="14">
        <f t="shared" si="9"/>
        <v>42285.455000000002</v>
      </c>
      <c r="J288" s="8" t="s">
        <v>157</v>
      </c>
      <c r="K288" s="8" t="s">
        <v>512</v>
      </c>
      <c r="M288" s="339"/>
      <c r="N288" s="315"/>
    </row>
    <row r="289" spans="1:14" s="9" customFormat="1" ht="11.25" customHeight="1" x14ac:dyDescent="0.2">
      <c r="A289" s="10">
        <v>61603000</v>
      </c>
      <c r="B289" s="10" t="s">
        <v>178</v>
      </c>
      <c r="C289" s="11">
        <v>0</v>
      </c>
      <c r="D289" s="11">
        <v>29988.795000000002</v>
      </c>
      <c r="E289" s="11">
        <v>28310.018</v>
      </c>
      <c r="F289" s="13">
        <f>SUMIF('OD 09-24'!A:A,A289,'OD 09-24'!D:D)</f>
        <v>142641.288</v>
      </c>
      <c r="G289" s="13">
        <f>SUMIF('OD 09-24'!A:A,A289,'OD 09-24'!E:E)</f>
        <v>112990.60799999999</v>
      </c>
      <c r="H289" s="14">
        <f t="shared" si="8"/>
        <v>31329.457000000009</v>
      </c>
      <c r="I289" s="14">
        <f t="shared" si="9"/>
        <v>31329.457000000009</v>
      </c>
      <c r="J289" s="8" t="s">
        <v>157</v>
      </c>
      <c r="K289" s="8" t="s">
        <v>512</v>
      </c>
      <c r="M289" s="339"/>
      <c r="N289" s="315"/>
    </row>
    <row r="290" spans="1:14" s="9" customFormat="1" ht="11.25" customHeight="1" x14ac:dyDescent="0.2">
      <c r="A290" s="10">
        <v>61607000</v>
      </c>
      <c r="B290" s="10" t="s">
        <v>179</v>
      </c>
      <c r="C290" s="11">
        <v>0</v>
      </c>
      <c r="D290" s="11">
        <v>0</v>
      </c>
      <c r="E290" s="11">
        <v>0</v>
      </c>
      <c r="F290" s="13">
        <f>SUMIF('OD 09-24'!A:A,A290,'OD 09-24'!D:D)</f>
        <v>0</v>
      </c>
      <c r="G290" s="13">
        <f>SUMIF('OD 09-24'!A:A,A290,'OD 09-24'!E:E)</f>
        <v>0</v>
      </c>
      <c r="H290" s="14">
        <f t="shared" si="8"/>
        <v>0</v>
      </c>
      <c r="I290" s="14">
        <f t="shared" si="9"/>
        <v>0</v>
      </c>
      <c r="J290" s="8" t="s">
        <v>157</v>
      </c>
      <c r="K290" s="8" t="s">
        <v>512</v>
      </c>
      <c r="M290" s="339"/>
      <c r="N290" s="315"/>
    </row>
    <row r="291" spans="1:14" s="9" customFormat="1" ht="11.25" customHeight="1" x14ac:dyDescent="0.2">
      <c r="A291" s="10">
        <v>62120000</v>
      </c>
      <c r="B291" s="10" t="s">
        <v>180</v>
      </c>
      <c r="C291" s="11">
        <v>0</v>
      </c>
      <c r="D291" s="11">
        <v>34243.159999999996</v>
      </c>
      <c r="E291" s="11">
        <v>0</v>
      </c>
      <c r="F291" s="13">
        <f>SUMIF('OD 09-24'!A:A,A291,'OD 09-24'!D:D)</f>
        <v>0</v>
      </c>
      <c r="G291" s="13">
        <f>SUMIF('OD 09-24'!A:A,A291,'OD 09-24'!E:E)</f>
        <v>0</v>
      </c>
      <c r="H291" s="14">
        <f t="shared" si="8"/>
        <v>34243.159999999996</v>
      </c>
      <c r="I291" s="14">
        <f t="shared" si="9"/>
        <v>34243.159999999996</v>
      </c>
      <c r="J291" s="8" t="s">
        <v>157</v>
      </c>
      <c r="K291" s="8" t="s">
        <v>512</v>
      </c>
      <c r="M291" s="339"/>
      <c r="N291" s="315"/>
    </row>
    <row r="292" spans="1:14" s="9" customFormat="1" ht="11.25" customHeight="1" x14ac:dyDescent="0.2">
      <c r="A292" s="10">
        <v>62200000</v>
      </c>
      <c r="B292" s="10" t="s">
        <v>181</v>
      </c>
      <c r="C292" s="11">
        <v>0</v>
      </c>
      <c r="D292" s="11">
        <v>25829.16</v>
      </c>
      <c r="E292" s="11">
        <v>0</v>
      </c>
      <c r="F292" s="13">
        <f>SUMIF('OD 09-24'!A:A,A292,'OD 09-24'!D:D)</f>
        <v>0</v>
      </c>
      <c r="G292" s="13">
        <f>SUMIF('OD 09-24'!A:A,A292,'OD 09-24'!E:E)</f>
        <v>0</v>
      </c>
      <c r="H292" s="14">
        <f t="shared" si="8"/>
        <v>25829.16</v>
      </c>
      <c r="I292" s="14">
        <f t="shared" si="9"/>
        <v>25829.16</v>
      </c>
      <c r="J292" s="8" t="s">
        <v>157</v>
      </c>
      <c r="K292" s="8" t="s">
        <v>512</v>
      </c>
      <c r="M292" s="339"/>
      <c r="N292" s="315"/>
    </row>
    <row r="293" spans="1:14" s="9" customFormat="1" ht="11.25" customHeight="1" x14ac:dyDescent="0.2">
      <c r="A293" s="10">
        <v>62210000</v>
      </c>
      <c r="B293" s="10" t="s">
        <v>398</v>
      </c>
      <c r="C293" s="11">
        <v>0</v>
      </c>
      <c r="D293" s="11">
        <v>69114</v>
      </c>
      <c r="E293" s="11">
        <v>25705</v>
      </c>
      <c r="F293" s="13">
        <f>SUMIF('OD 09-24'!A:A,A293,'OD 09-24'!D:D)</f>
        <v>14733.333000000001</v>
      </c>
      <c r="G293" s="13">
        <f>SUMIF('OD 09-24'!A:A,A293,'OD 09-24'!E:E)</f>
        <v>20800</v>
      </c>
      <c r="H293" s="14">
        <f t="shared" si="8"/>
        <v>37342.332999999999</v>
      </c>
      <c r="I293" s="14">
        <f t="shared" si="9"/>
        <v>37342.332999999999</v>
      </c>
      <c r="J293" s="8" t="s">
        <v>157</v>
      </c>
      <c r="K293" s="8" t="s">
        <v>512</v>
      </c>
      <c r="M293" s="339"/>
      <c r="N293" s="315"/>
    </row>
    <row r="294" spans="1:14" s="9" customFormat="1" ht="11.25" customHeight="1" x14ac:dyDescent="0.2">
      <c r="A294" s="10">
        <v>62230000</v>
      </c>
      <c r="B294" s="10" t="s">
        <v>375</v>
      </c>
      <c r="C294" s="11">
        <v>0</v>
      </c>
      <c r="D294" s="11">
        <v>45830.924000000006</v>
      </c>
      <c r="E294" s="11">
        <v>0</v>
      </c>
      <c r="F294" s="13">
        <f>SUMIF('OD 09-24'!A:A,A294,'OD 09-24'!D:D)</f>
        <v>60313.398000000001</v>
      </c>
      <c r="G294" s="13">
        <f>SUMIF('OD 09-24'!A:A,A294,'OD 09-24'!E:E)</f>
        <v>56534.648000000001</v>
      </c>
      <c r="H294" s="14">
        <f t="shared" si="8"/>
        <v>49609.674000000014</v>
      </c>
      <c r="I294" s="14">
        <f t="shared" si="9"/>
        <v>49609.674000000014</v>
      </c>
      <c r="J294" s="8" t="s">
        <v>157</v>
      </c>
      <c r="K294" s="8" t="s">
        <v>512</v>
      </c>
      <c r="M294" s="339"/>
      <c r="N294" s="315"/>
    </row>
    <row r="295" spans="1:14" s="9" customFormat="1" ht="11.25" customHeight="1" x14ac:dyDescent="0.2">
      <c r="A295" s="10">
        <v>62240000</v>
      </c>
      <c r="B295" s="10" t="s">
        <v>267</v>
      </c>
      <c r="C295" s="11">
        <v>0</v>
      </c>
      <c r="D295" s="11">
        <v>50952.55</v>
      </c>
      <c r="E295" s="11">
        <v>523.68799999999999</v>
      </c>
      <c r="F295" s="13">
        <f>SUMIF('OD 09-24'!A:A,A295,'OD 09-24'!D:D)</f>
        <v>233789</v>
      </c>
      <c r="G295" s="13">
        <f>SUMIF('OD 09-24'!A:A,A295,'OD 09-24'!E:E)</f>
        <v>245478.45</v>
      </c>
      <c r="H295" s="14">
        <f t="shared" si="8"/>
        <v>38739.411999999953</v>
      </c>
      <c r="I295" s="14">
        <f t="shared" si="9"/>
        <v>38739.411999999953</v>
      </c>
      <c r="J295" s="8" t="s">
        <v>157</v>
      </c>
      <c r="K295" s="8" t="s">
        <v>512</v>
      </c>
      <c r="M295" s="339"/>
      <c r="N295" s="315"/>
    </row>
    <row r="296" spans="1:14" s="9" customFormat="1" ht="11.25" customHeight="1" x14ac:dyDescent="0.2">
      <c r="A296" s="10">
        <v>62250000</v>
      </c>
      <c r="B296" s="10" t="s">
        <v>268</v>
      </c>
      <c r="C296" s="11">
        <v>0</v>
      </c>
      <c r="D296" s="11">
        <v>43320</v>
      </c>
      <c r="E296" s="11">
        <v>30000</v>
      </c>
      <c r="F296" s="13">
        <f>SUMIF('OD 09-24'!A:A,A296,'OD 09-24'!D:D)</f>
        <v>172500</v>
      </c>
      <c r="G296" s="13">
        <f>SUMIF('OD 09-24'!A:A,A296,'OD 09-24'!E:E)</f>
        <v>135000</v>
      </c>
      <c r="H296" s="14">
        <f t="shared" si="8"/>
        <v>50820</v>
      </c>
      <c r="I296" s="14">
        <f t="shared" si="9"/>
        <v>50820</v>
      </c>
      <c r="J296" s="8" t="s">
        <v>157</v>
      </c>
      <c r="K296" s="8" t="s">
        <v>512</v>
      </c>
      <c r="M296" s="339"/>
      <c r="N296" s="315"/>
    </row>
    <row r="297" spans="1:14" s="9" customFormat="1" ht="11.25" customHeight="1" x14ac:dyDescent="0.2">
      <c r="A297" s="10">
        <v>62260000</v>
      </c>
      <c r="B297" s="10" t="s">
        <v>7402</v>
      </c>
      <c r="C297" s="11">
        <v>0</v>
      </c>
      <c r="D297" s="11">
        <v>3337.328</v>
      </c>
      <c r="E297" s="11">
        <v>0</v>
      </c>
      <c r="F297" s="13">
        <f>SUMIF('OD 09-24'!A:A,A297,'OD 09-24'!D:D)</f>
        <v>30000</v>
      </c>
      <c r="G297" s="13">
        <f>SUMIF('OD 09-24'!A:A,A297,'OD 09-24'!E:E)</f>
        <v>20000</v>
      </c>
      <c r="H297" s="14">
        <f t="shared" si="8"/>
        <v>13337.328000000001</v>
      </c>
      <c r="I297" s="14">
        <f t="shared" si="9"/>
        <v>13337.328000000001</v>
      </c>
      <c r="J297" s="8" t="s">
        <v>157</v>
      </c>
      <c r="K297" s="8" t="s">
        <v>512</v>
      </c>
      <c r="M297" s="339"/>
      <c r="N297" s="315"/>
    </row>
    <row r="298" spans="1:14" s="9" customFormat="1" ht="11.25" customHeight="1" x14ac:dyDescent="0.2">
      <c r="A298" s="10">
        <v>62270000</v>
      </c>
      <c r="B298" s="10" t="s">
        <v>399</v>
      </c>
      <c r="C298" s="11">
        <v>0</v>
      </c>
      <c r="D298" s="11">
        <v>17894.025000000001</v>
      </c>
      <c r="E298" s="11">
        <v>0</v>
      </c>
      <c r="F298" s="13">
        <f>SUMIF('OD 09-24'!A:A,A298,'OD 09-24'!D:D)</f>
        <v>4450.84</v>
      </c>
      <c r="G298" s="13">
        <f>SUMIF('OD 09-24'!A:A,A298,'OD 09-24'!E:E)</f>
        <v>4450.84</v>
      </c>
      <c r="H298" s="14">
        <f t="shared" si="8"/>
        <v>17894.025000000001</v>
      </c>
      <c r="I298" s="14">
        <f t="shared" si="9"/>
        <v>17894.025000000001</v>
      </c>
      <c r="J298" s="8" t="s">
        <v>157</v>
      </c>
      <c r="K298" s="8" t="s">
        <v>512</v>
      </c>
      <c r="M298" s="339"/>
      <c r="N298" s="315"/>
    </row>
    <row r="299" spans="1:14" s="9" customFormat="1" ht="11.25" customHeight="1" x14ac:dyDescent="0.2">
      <c r="A299" s="10">
        <v>62280000</v>
      </c>
      <c r="B299" s="10" t="s">
        <v>7721</v>
      </c>
      <c r="C299" s="11">
        <v>0</v>
      </c>
      <c r="D299" s="11">
        <v>38212</v>
      </c>
      <c r="E299" s="11">
        <v>24780</v>
      </c>
      <c r="F299" s="13">
        <f>SUMIF('OD 09-24'!A:A,A299,'OD 09-24'!D:D)</f>
        <v>0</v>
      </c>
      <c r="G299" s="13">
        <f>SUMIF('OD 09-24'!A:A,A299,'OD 09-24'!E:E)</f>
        <v>0</v>
      </c>
      <c r="H299" s="14">
        <f t="shared" si="8"/>
        <v>13432</v>
      </c>
      <c r="I299" s="14">
        <f t="shared" si="9"/>
        <v>13432</v>
      </c>
      <c r="J299" s="8" t="s">
        <v>157</v>
      </c>
      <c r="K299" s="8" t="s">
        <v>512</v>
      </c>
      <c r="M299" s="339"/>
      <c r="N299" s="315"/>
    </row>
    <row r="300" spans="1:14" s="9" customFormat="1" ht="11.25" customHeight="1" x14ac:dyDescent="0.2">
      <c r="A300" s="10">
        <v>62300000</v>
      </c>
      <c r="B300" s="10" t="s">
        <v>182</v>
      </c>
      <c r="C300" s="11">
        <v>0</v>
      </c>
      <c r="D300" s="11">
        <v>17236.3</v>
      </c>
      <c r="E300" s="11">
        <v>0</v>
      </c>
      <c r="F300" s="13">
        <f>SUMIF('OD 09-24'!A:A,A300,'OD 09-24'!D:D)</f>
        <v>517500</v>
      </c>
      <c r="G300" s="13">
        <f>SUMIF('OD 09-24'!A:A,A300,'OD 09-24'!E:E)</f>
        <v>414000</v>
      </c>
      <c r="H300" s="14">
        <f t="shared" si="8"/>
        <v>120736.30000000005</v>
      </c>
      <c r="I300" s="14">
        <f t="shared" si="9"/>
        <v>120736.30000000005</v>
      </c>
      <c r="J300" s="8" t="s">
        <v>157</v>
      </c>
      <c r="K300" s="8" t="s">
        <v>512</v>
      </c>
      <c r="M300" s="339"/>
      <c r="N300" s="315"/>
    </row>
    <row r="301" spans="1:14" s="9" customFormat="1" ht="11.25" customHeight="1" x14ac:dyDescent="0.2">
      <c r="A301" s="10">
        <v>62301000</v>
      </c>
      <c r="B301" s="10" t="s">
        <v>7397</v>
      </c>
      <c r="C301" s="11">
        <v>0</v>
      </c>
      <c r="D301" s="11">
        <v>55085.659999999996</v>
      </c>
      <c r="E301" s="11">
        <v>8315</v>
      </c>
      <c r="F301" s="13">
        <f>SUMIF('OD 09-24'!A:A,A301,'OD 09-24'!D:D)</f>
        <v>0</v>
      </c>
      <c r="G301" s="13">
        <f>SUMIF('OD 09-24'!A:A,A301,'OD 09-24'!E:E)</f>
        <v>0</v>
      </c>
      <c r="H301" s="14">
        <f t="shared" si="8"/>
        <v>46770.659999999996</v>
      </c>
      <c r="I301" s="14">
        <f t="shared" si="9"/>
        <v>46770.659999999996</v>
      </c>
      <c r="J301" s="8" t="s">
        <v>157</v>
      </c>
      <c r="K301" s="8" t="s">
        <v>512</v>
      </c>
      <c r="M301" s="339"/>
      <c r="N301" s="315"/>
    </row>
    <row r="302" spans="1:14" s="9" customFormat="1" ht="11.25" customHeight="1" x14ac:dyDescent="0.2">
      <c r="A302" s="10">
        <v>62410000</v>
      </c>
      <c r="B302" s="10" t="s">
        <v>183</v>
      </c>
      <c r="C302" s="11">
        <v>0</v>
      </c>
      <c r="D302" s="11">
        <v>29941.3</v>
      </c>
      <c r="E302" s="11">
        <v>0</v>
      </c>
      <c r="F302" s="13">
        <f>SUMIF('OD 09-24'!A:A,A302,'OD 09-24'!D:D)</f>
        <v>0</v>
      </c>
      <c r="G302" s="13">
        <f>SUMIF('OD 09-24'!A:A,A302,'OD 09-24'!E:E)</f>
        <v>0</v>
      </c>
      <c r="H302" s="14">
        <f t="shared" si="8"/>
        <v>29941.3</v>
      </c>
      <c r="I302" s="14">
        <f t="shared" si="9"/>
        <v>29941.3</v>
      </c>
      <c r="J302" s="8" t="s">
        <v>157</v>
      </c>
      <c r="K302" s="8" t="s">
        <v>512</v>
      </c>
      <c r="M302" s="339"/>
      <c r="N302" s="315"/>
    </row>
    <row r="303" spans="1:14" s="9" customFormat="1" ht="11.25" customHeight="1" x14ac:dyDescent="0.2">
      <c r="A303" s="10">
        <v>62420000</v>
      </c>
      <c r="B303" s="10" t="s">
        <v>184</v>
      </c>
      <c r="C303" s="11">
        <v>0</v>
      </c>
      <c r="D303" s="11">
        <v>420</v>
      </c>
      <c r="E303" s="11">
        <v>0</v>
      </c>
      <c r="F303" s="13">
        <f>SUMIF('OD 09-24'!A:A,A303,'OD 09-24'!D:D)</f>
        <v>0</v>
      </c>
      <c r="G303" s="13">
        <f>SUMIF('OD 09-24'!A:A,A303,'OD 09-24'!E:E)</f>
        <v>0</v>
      </c>
      <c r="H303" s="14">
        <f t="shared" si="8"/>
        <v>420</v>
      </c>
      <c r="I303" s="14">
        <f t="shared" si="9"/>
        <v>420</v>
      </c>
      <c r="J303" s="8" t="s">
        <v>157</v>
      </c>
      <c r="K303" s="8" t="s">
        <v>512</v>
      </c>
      <c r="M303" s="339"/>
      <c r="N303" s="315"/>
    </row>
    <row r="304" spans="1:14" s="9" customFormat="1" ht="11.25" customHeight="1" x14ac:dyDescent="0.2">
      <c r="A304" s="10">
        <v>62430000</v>
      </c>
      <c r="B304" s="10" t="s">
        <v>159</v>
      </c>
      <c r="C304" s="11">
        <v>0</v>
      </c>
      <c r="D304" s="11">
        <v>830443.98699999996</v>
      </c>
      <c r="E304" s="11">
        <v>18196.150000000001</v>
      </c>
      <c r="F304" s="13">
        <f>SUMIF('OD 09-24'!A:A,A304,'OD 09-24'!D:D)</f>
        <v>219756.45</v>
      </c>
      <c r="G304" s="13">
        <f>SUMIF('OD 09-24'!A:A,A304,'OD 09-24'!E:E)</f>
        <v>199756.45</v>
      </c>
      <c r="H304" s="14">
        <f t="shared" si="8"/>
        <v>832247.83699999982</v>
      </c>
      <c r="I304" s="14">
        <f t="shared" si="9"/>
        <v>832247.83699999982</v>
      </c>
      <c r="J304" s="8" t="s">
        <v>157</v>
      </c>
      <c r="K304" s="8" t="s">
        <v>512</v>
      </c>
      <c r="L304" s="339"/>
      <c r="M304" s="339"/>
      <c r="N304" s="315"/>
    </row>
    <row r="305" spans="1:14" s="9" customFormat="1" ht="11.25" customHeight="1" x14ac:dyDescent="0.2">
      <c r="A305" s="10">
        <v>62500000</v>
      </c>
      <c r="B305" s="10" t="s">
        <v>185</v>
      </c>
      <c r="C305" s="11">
        <v>0</v>
      </c>
      <c r="D305" s="11">
        <v>5465.12</v>
      </c>
      <c r="E305" s="11">
        <v>2039.8370000000002</v>
      </c>
      <c r="F305" s="13">
        <f>SUMIF('OD 09-24'!A:A,A305,'OD 09-24'!D:D)</f>
        <v>0</v>
      </c>
      <c r="G305" s="13">
        <f>SUMIF('OD 09-24'!A:A,A305,'OD 09-24'!E:E)</f>
        <v>0</v>
      </c>
      <c r="H305" s="14">
        <f t="shared" si="8"/>
        <v>3425.2829999999994</v>
      </c>
      <c r="I305" s="14">
        <f t="shared" si="9"/>
        <v>3425.2829999999994</v>
      </c>
      <c r="J305" s="8" t="s">
        <v>157</v>
      </c>
      <c r="K305" s="8" t="s">
        <v>512</v>
      </c>
      <c r="M305" s="339"/>
      <c r="N305" s="315"/>
    </row>
    <row r="306" spans="1:14" s="9" customFormat="1" ht="11.25" customHeight="1" x14ac:dyDescent="0.2">
      <c r="A306" s="10">
        <v>62510000</v>
      </c>
      <c r="B306" s="10" t="s">
        <v>7571</v>
      </c>
      <c r="C306" s="11">
        <v>0</v>
      </c>
      <c r="D306" s="11">
        <v>84778.1</v>
      </c>
      <c r="E306" s="11">
        <v>0</v>
      </c>
      <c r="F306" s="13">
        <f>SUMIF('OD 09-24'!A:A,A306,'OD 09-24'!D:D)</f>
        <v>80000</v>
      </c>
      <c r="G306" s="13">
        <f>SUMIF('OD 09-24'!A:A,A306,'OD 09-24'!E:E)</f>
        <v>60000</v>
      </c>
      <c r="H306" s="14">
        <f t="shared" si="8"/>
        <v>104778.1</v>
      </c>
      <c r="I306" s="14">
        <f t="shared" si="9"/>
        <v>104778.1</v>
      </c>
      <c r="J306" s="8" t="s">
        <v>157</v>
      </c>
      <c r="K306" s="8" t="s">
        <v>512</v>
      </c>
      <c r="M306" s="339"/>
      <c r="N306" s="315"/>
    </row>
    <row r="307" spans="1:14" s="9" customFormat="1" ht="11.25" customHeight="1" x14ac:dyDescent="0.2">
      <c r="A307" s="10">
        <v>62520000</v>
      </c>
      <c r="B307" s="10" t="s">
        <v>7403</v>
      </c>
      <c r="C307" s="11">
        <v>0</v>
      </c>
      <c r="D307" s="11">
        <v>5179.3999999999996</v>
      </c>
      <c r="E307" s="11">
        <v>0</v>
      </c>
      <c r="F307" s="13">
        <f>SUMIF('OD 09-24'!A:A,A307,'OD 09-24'!D:D)</f>
        <v>0</v>
      </c>
      <c r="G307" s="13">
        <f>SUMIF('OD 09-24'!A:A,A307,'OD 09-24'!E:E)</f>
        <v>0</v>
      </c>
      <c r="H307" s="14">
        <f t="shared" si="8"/>
        <v>5179.3999999999996</v>
      </c>
      <c r="I307" s="14">
        <f t="shared" si="9"/>
        <v>5179.3999999999996</v>
      </c>
      <c r="J307" s="8" t="s">
        <v>157</v>
      </c>
      <c r="K307" s="8" t="s">
        <v>512</v>
      </c>
      <c r="M307" s="339"/>
      <c r="N307" s="315"/>
    </row>
    <row r="308" spans="1:14" s="9" customFormat="1" ht="11.25" customHeight="1" x14ac:dyDescent="0.2">
      <c r="A308" s="10">
        <v>62570000</v>
      </c>
      <c r="B308" s="10" t="s">
        <v>186</v>
      </c>
      <c r="C308" s="11">
        <v>0</v>
      </c>
      <c r="D308" s="11">
        <v>143143.67499999999</v>
      </c>
      <c r="E308" s="11">
        <v>1511.9429999999998</v>
      </c>
      <c r="F308" s="13">
        <f>SUMIF('OD 09-24'!A:A,A308,'OD 09-24'!D:D)</f>
        <v>0</v>
      </c>
      <c r="G308" s="13">
        <f>SUMIF('OD 09-24'!A:A,A308,'OD 09-24'!E:E)</f>
        <v>0</v>
      </c>
      <c r="H308" s="14">
        <f t="shared" si="8"/>
        <v>141631.73199999999</v>
      </c>
      <c r="I308" s="14">
        <f t="shared" si="9"/>
        <v>141631.73199999999</v>
      </c>
      <c r="J308" s="8" t="s">
        <v>157</v>
      </c>
      <c r="K308" s="8" t="s">
        <v>512</v>
      </c>
      <c r="M308" s="339"/>
      <c r="N308" s="315"/>
    </row>
    <row r="309" spans="1:14" s="9" customFormat="1" ht="11.25" customHeight="1" x14ac:dyDescent="0.2">
      <c r="A309" s="10">
        <v>62571000</v>
      </c>
      <c r="B309" s="10" t="s">
        <v>376</v>
      </c>
      <c r="C309" s="11">
        <v>0</v>
      </c>
      <c r="D309" s="11">
        <v>11726.876</v>
      </c>
      <c r="E309" s="11">
        <v>0</v>
      </c>
      <c r="F309" s="13">
        <f>SUMIF('OD 09-24'!A:A,A309,'OD 09-24'!D:D)</f>
        <v>0</v>
      </c>
      <c r="G309" s="13">
        <f>SUMIF('OD 09-24'!A:A,A309,'OD 09-24'!E:E)</f>
        <v>0</v>
      </c>
      <c r="H309" s="14">
        <f t="shared" si="8"/>
        <v>11726.876</v>
      </c>
      <c r="I309" s="14">
        <f t="shared" si="9"/>
        <v>11726.876</v>
      </c>
      <c r="J309" s="8" t="s">
        <v>157</v>
      </c>
      <c r="K309" s="8" t="s">
        <v>512</v>
      </c>
      <c r="M309" s="339"/>
      <c r="N309" s="315"/>
    </row>
    <row r="310" spans="1:14" s="9" customFormat="1" ht="11.25" customHeight="1" x14ac:dyDescent="0.2">
      <c r="A310" s="10">
        <v>62572000</v>
      </c>
      <c r="B310" s="10" t="s">
        <v>377</v>
      </c>
      <c r="C310" s="11">
        <v>0</v>
      </c>
      <c r="D310" s="11">
        <v>22325.57</v>
      </c>
      <c r="E310" s="11">
        <v>0</v>
      </c>
      <c r="F310" s="13">
        <f>SUMIF('OD 09-24'!A:A,A310,'OD 09-24'!D:D)</f>
        <v>0</v>
      </c>
      <c r="G310" s="13">
        <f>SUMIF('OD 09-24'!A:A,A310,'OD 09-24'!E:E)</f>
        <v>0</v>
      </c>
      <c r="H310" s="14">
        <f t="shared" si="8"/>
        <v>22325.57</v>
      </c>
      <c r="I310" s="14">
        <f t="shared" si="9"/>
        <v>22325.57</v>
      </c>
      <c r="J310" s="8" t="s">
        <v>157</v>
      </c>
      <c r="K310" s="8" t="s">
        <v>512</v>
      </c>
      <c r="M310" s="339"/>
      <c r="N310" s="315"/>
    </row>
    <row r="311" spans="1:14" s="9" customFormat="1" ht="11.25" customHeight="1" x14ac:dyDescent="0.2">
      <c r="A311" s="10">
        <v>62573000</v>
      </c>
      <c r="B311" s="10" t="s">
        <v>378</v>
      </c>
      <c r="C311" s="11">
        <v>0</v>
      </c>
      <c r="D311" s="11">
        <v>1386.5840000000001</v>
      </c>
      <c r="E311" s="11">
        <v>0</v>
      </c>
      <c r="F311" s="13">
        <f>SUMIF('OD 09-24'!A:A,A311,'OD 09-24'!D:D)</f>
        <v>0</v>
      </c>
      <c r="G311" s="13">
        <f>SUMIF('OD 09-24'!A:A,A311,'OD 09-24'!E:E)</f>
        <v>0</v>
      </c>
      <c r="H311" s="14">
        <f t="shared" si="8"/>
        <v>1386.5840000000001</v>
      </c>
      <c r="I311" s="14">
        <f t="shared" si="9"/>
        <v>1386.5840000000001</v>
      </c>
      <c r="J311" s="8" t="s">
        <v>157</v>
      </c>
      <c r="K311" s="8" t="s">
        <v>512</v>
      </c>
      <c r="M311" s="339"/>
      <c r="N311" s="315"/>
    </row>
    <row r="312" spans="1:14" s="9" customFormat="1" ht="11.25" customHeight="1" x14ac:dyDescent="0.2">
      <c r="A312" s="10">
        <v>62580000</v>
      </c>
      <c r="B312" s="10" t="s">
        <v>187</v>
      </c>
      <c r="C312" s="11">
        <v>0</v>
      </c>
      <c r="D312" s="11">
        <v>6170.5050000000001</v>
      </c>
      <c r="E312" s="11">
        <v>0</v>
      </c>
      <c r="F312" s="13">
        <f>SUMIF('OD 09-24'!A:A,A312,'OD 09-24'!D:D)</f>
        <v>0</v>
      </c>
      <c r="G312" s="13">
        <f>SUMIF('OD 09-24'!A:A,A312,'OD 09-24'!E:E)</f>
        <v>0</v>
      </c>
      <c r="H312" s="14">
        <f t="shared" si="8"/>
        <v>6170.5050000000001</v>
      </c>
      <c r="I312" s="14">
        <f t="shared" si="9"/>
        <v>6170.5050000000001</v>
      </c>
      <c r="J312" s="8" t="s">
        <v>157</v>
      </c>
      <c r="K312" s="8" t="s">
        <v>512</v>
      </c>
      <c r="M312" s="339"/>
      <c r="N312" s="315"/>
    </row>
    <row r="313" spans="1:14" s="9" customFormat="1" ht="11.25" customHeight="1" x14ac:dyDescent="0.2">
      <c r="A313" s="10">
        <v>62600000</v>
      </c>
      <c r="B313" s="10" t="s">
        <v>188</v>
      </c>
      <c r="C313" s="11">
        <v>0</v>
      </c>
      <c r="D313" s="11">
        <v>29407.469000000001</v>
      </c>
      <c r="E313" s="11">
        <v>0</v>
      </c>
      <c r="F313" s="13">
        <f>SUMIF('OD 09-24'!A:A,A313,'OD 09-24'!D:D)</f>
        <v>15160.776</v>
      </c>
      <c r="G313" s="13">
        <f>SUMIF('OD 09-24'!A:A,A313,'OD 09-24'!E:E)</f>
        <v>14123.816000000001</v>
      </c>
      <c r="H313" s="14">
        <f t="shared" si="8"/>
        <v>30444.429000000004</v>
      </c>
      <c r="I313" s="14">
        <f t="shared" si="9"/>
        <v>30444.429000000004</v>
      </c>
      <c r="J313" s="8" t="s">
        <v>157</v>
      </c>
      <c r="K313" s="8" t="s">
        <v>512</v>
      </c>
      <c r="M313" s="339"/>
      <c r="N313" s="315"/>
    </row>
    <row r="314" spans="1:14" s="9" customFormat="1" ht="11.25" customHeight="1" x14ac:dyDescent="0.2">
      <c r="A314" s="10">
        <v>62780000</v>
      </c>
      <c r="B314" s="10" t="s">
        <v>189</v>
      </c>
      <c r="C314" s="11">
        <v>0</v>
      </c>
      <c r="D314" s="11">
        <v>195213.63800000001</v>
      </c>
      <c r="E314" s="11">
        <v>250.798</v>
      </c>
      <c r="F314" s="13">
        <f>SUMIF('OD 09-24'!A:A,A314,'OD 09-24'!D:D)</f>
        <v>168737.61</v>
      </c>
      <c r="G314" s="13">
        <f>SUMIF('OD 09-24'!A:A,A314,'OD 09-24'!E:E)</f>
        <v>145294.40900000001</v>
      </c>
      <c r="H314" s="14">
        <f t="shared" si="8"/>
        <v>218406.041</v>
      </c>
      <c r="I314" s="14">
        <f t="shared" si="9"/>
        <v>218406.041</v>
      </c>
      <c r="J314" s="8" t="s">
        <v>195</v>
      </c>
      <c r="K314" s="8" t="s">
        <v>517</v>
      </c>
      <c r="M314" s="339"/>
      <c r="N314" s="315"/>
    </row>
    <row r="315" spans="1:14" s="9" customFormat="1" ht="11.25" customHeight="1" x14ac:dyDescent="0.2">
      <c r="A315" s="10">
        <v>63300000</v>
      </c>
      <c r="B315" s="10" t="s">
        <v>269</v>
      </c>
      <c r="C315" s="11">
        <v>0</v>
      </c>
      <c r="D315" s="11">
        <v>0</v>
      </c>
      <c r="E315" s="11">
        <v>0</v>
      </c>
      <c r="F315" s="13">
        <f>SUMIF('OD 09-24'!A:A,A315,'OD 09-24'!D:D)</f>
        <v>468750.00099999999</v>
      </c>
      <c r="G315" s="13">
        <f>SUMIF('OD 09-24'!A:A,A315,'OD 09-24'!E:E)</f>
        <v>375000.00099999999</v>
      </c>
      <c r="H315" s="14">
        <f>+D315+F315-E315-G315</f>
        <v>93750</v>
      </c>
      <c r="I315" s="14">
        <f>+H315+C315</f>
        <v>93750</v>
      </c>
      <c r="J315" s="8" t="s">
        <v>157</v>
      </c>
      <c r="K315" s="8" t="s">
        <v>512</v>
      </c>
      <c r="M315" s="339"/>
      <c r="N315" s="315"/>
    </row>
    <row r="316" spans="1:14" s="9" customFormat="1" ht="11.25" customHeight="1" x14ac:dyDescent="0.2">
      <c r="A316" s="10">
        <v>63601000</v>
      </c>
      <c r="B316" s="10" t="s">
        <v>7572</v>
      </c>
      <c r="C316" s="11">
        <v>0</v>
      </c>
      <c r="D316" s="11">
        <v>20878.022000000001</v>
      </c>
      <c r="E316" s="11">
        <v>18454.945</v>
      </c>
      <c r="F316" s="13">
        <f>SUMIF('OD 09-24'!A:A,A316,'OD 09-24'!D:D)</f>
        <v>0</v>
      </c>
      <c r="G316" s="13">
        <f>SUMIF('OD 09-24'!A:A,A316,'OD 09-24'!E:E)</f>
        <v>0</v>
      </c>
      <c r="H316" s="14">
        <f t="shared" si="8"/>
        <v>2423.0770000000011</v>
      </c>
      <c r="I316" s="14">
        <f t="shared" si="9"/>
        <v>2423.0770000000011</v>
      </c>
      <c r="J316" s="8" t="s">
        <v>157</v>
      </c>
      <c r="K316" s="8" t="s">
        <v>512</v>
      </c>
      <c r="M316" s="339"/>
      <c r="N316" s="315"/>
    </row>
    <row r="317" spans="1:14" s="9" customFormat="1" ht="11.25" customHeight="1" x14ac:dyDescent="0.2">
      <c r="A317" s="10">
        <v>63602000</v>
      </c>
      <c r="B317" s="10" t="s">
        <v>7573</v>
      </c>
      <c r="C317" s="11">
        <v>0</v>
      </c>
      <c r="D317" s="11">
        <v>72712.175000000003</v>
      </c>
      <c r="E317" s="11">
        <v>31766.782999999996</v>
      </c>
      <c r="F317" s="13">
        <f>SUMIF('OD 09-24'!A:A,A317,'OD 09-24'!D:D)</f>
        <v>0</v>
      </c>
      <c r="G317" s="13">
        <f>SUMIF('OD 09-24'!A:A,A317,'OD 09-24'!E:E)</f>
        <v>0</v>
      </c>
      <c r="H317" s="14">
        <f t="shared" si="8"/>
        <v>40945.392000000007</v>
      </c>
      <c r="I317" s="14">
        <f t="shared" si="9"/>
        <v>40945.392000000007</v>
      </c>
      <c r="J317" s="8" t="s">
        <v>157</v>
      </c>
      <c r="K317" s="8" t="s">
        <v>512</v>
      </c>
      <c r="M317" s="339"/>
      <c r="N317" s="315"/>
    </row>
    <row r="318" spans="1:14" s="9" customFormat="1" ht="11.25" customHeight="1" x14ac:dyDescent="0.2">
      <c r="A318" s="10">
        <v>63610000</v>
      </c>
      <c r="B318" s="10" t="s">
        <v>7398</v>
      </c>
      <c r="C318" s="11">
        <v>0</v>
      </c>
      <c r="D318" s="11">
        <v>7480.0480000000007</v>
      </c>
      <c r="E318" s="11">
        <v>300</v>
      </c>
      <c r="F318" s="13">
        <f>SUMIF('OD 09-24'!A:A,A318,'OD 09-24'!D:D)</f>
        <v>0</v>
      </c>
      <c r="G318" s="13">
        <f>SUMIF('OD 09-24'!A:A,A318,'OD 09-24'!E:E)</f>
        <v>0</v>
      </c>
      <c r="H318" s="14">
        <f t="shared" si="8"/>
        <v>7180.0480000000007</v>
      </c>
      <c r="I318" s="14">
        <f t="shared" si="9"/>
        <v>7180.0480000000007</v>
      </c>
      <c r="J318" s="8" t="s">
        <v>190</v>
      </c>
      <c r="K318" s="8" t="s">
        <v>519</v>
      </c>
      <c r="M318" s="339"/>
      <c r="N318" s="315"/>
    </row>
    <row r="319" spans="1:14" s="9" customFormat="1" ht="11.25" customHeight="1" x14ac:dyDescent="0.2">
      <c r="A319" s="10">
        <v>64001000</v>
      </c>
      <c r="B319" s="10" t="s">
        <v>191</v>
      </c>
      <c r="C319" s="11">
        <v>0</v>
      </c>
      <c r="D319" s="11">
        <v>3480494.2749999999</v>
      </c>
      <c r="E319" s="11">
        <v>302427.908</v>
      </c>
      <c r="F319" s="13">
        <f>SUMIF('OD 09-24'!A:A,A319,'OD 09-24'!D:D)</f>
        <v>413518.88400000002</v>
      </c>
      <c r="G319" s="13">
        <f>SUMIF('OD 09-24'!A:A,A319,'OD 09-24'!E:E)</f>
        <v>413518.88400000002</v>
      </c>
      <c r="H319" s="14">
        <f t="shared" si="8"/>
        <v>3178066.3670000001</v>
      </c>
      <c r="I319" s="14">
        <f t="shared" si="9"/>
        <v>3178066.3670000001</v>
      </c>
      <c r="J319" s="8" t="s">
        <v>192</v>
      </c>
      <c r="K319" s="8" t="s">
        <v>511</v>
      </c>
      <c r="M319" s="339"/>
      <c r="N319" s="315"/>
    </row>
    <row r="320" spans="1:14" s="9" customFormat="1" ht="11.25" customHeight="1" x14ac:dyDescent="0.2">
      <c r="A320" s="10">
        <v>64001100</v>
      </c>
      <c r="B320" s="10" t="s">
        <v>408</v>
      </c>
      <c r="C320" s="11">
        <v>0</v>
      </c>
      <c r="D320" s="11">
        <v>0</v>
      </c>
      <c r="E320" s="11">
        <v>0</v>
      </c>
      <c r="F320" s="13">
        <f>SUMIF('OD 09-24'!A:A,A320,'OD 09-24'!D:D)</f>
        <v>1125000</v>
      </c>
      <c r="G320" s="13">
        <f>SUMIF('OD 09-24'!A:A,A320,'OD 09-24'!E:E)</f>
        <v>900000</v>
      </c>
      <c r="H320" s="14">
        <f t="shared" si="8"/>
        <v>225000</v>
      </c>
      <c r="I320" s="14">
        <f t="shared" si="9"/>
        <v>225000</v>
      </c>
      <c r="J320" s="8" t="s">
        <v>192</v>
      </c>
      <c r="K320" s="8" t="s">
        <v>511</v>
      </c>
      <c r="M320" s="339"/>
      <c r="N320" s="315"/>
    </row>
    <row r="321" spans="1:14" s="9" customFormat="1" ht="11.25" customHeight="1" x14ac:dyDescent="0.2">
      <c r="A321" s="10">
        <v>64020000</v>
      </c>
      <c r="B321" s="10" t="s">
        <v>406</v>
      </c>
      <c r="C321" s="11">
        <v>0</v>
      </c>
      <c r="D321" s="11">
        <v>0</v>
      </c>
      <c r="E321" s="11">
        <v>0</v>
      </c>
      <c r="F321" s="13">
        <f>SUMIF('OD 09-24'!A:A,A321,'OD 09-24'!D:D)</f>
        <v>1559196.5730000001</v>
      </c>
      <c r="G321" s="13">
        <f>SUMIF('OD 09-24'!A:A,A321,'OD 09-24'!E:E)</f>
        <v>1257168.601</v>
      </c>
      <c r="H321" s="14">
        <f t="shared" si="8"/>
        <v>302027.97200000007</v>
      </c>
      <c r="I321" s="14">
        <f t="shared" si="9"/>
        <v>302027.97200000007</v>
      </c>
      <c r="J321" s="8" t="s">
        <v>192</v>
      </c>
      <c r="K321" s="8" t="s">
        <v>511</v>
      </c>
      <c r="M321" s="339"/>
      <c r="N321" s="315"/>
    </row>
    <row r="322" spans="1:14" s="9" customFormat="1" ht="11.25" customHeight="1" x14ac:dyDescent="0.2">
      <c r="A322" s="10">
        <v>64280000</v>
      </c>
      <c r="B322" s="10" t="s">
        <v>193</v>
      </c>
      <c r="C322" s="11">
        <v>0</v>
      </c>
      <c r="D322" s="11">
        <v>39080</v>
      </c>
      <c r="E322" s="11">
        <v>39080</v>
      </c>
      <c r="F322" s="13">
        <f>SUMIF('OD 09-24'!A:A,A322,'OD 09-24'!D:D)</f>
        <v>0</v>
      </c>
      <c r="G322" s="13">
        <f>SUMIF('OD 09-24'!A:A,A322,'OD 09-24'!E:E)</f>
        <v>0</v>
      </c>
      <c r="H322" s="14">
        <f t="shared" si="8"/>
        <v>0</v>
      </c>
      <c r="I322" s="14">
        <f t="shared" si="9"/>
        <v>0</v>
      </c>
      <c r="J322" s="8" t="s">
        <v>192</v>
      </c>
      <c r="K322" s="8" t="s">
        <v>511</v>
      </c>
      <c r="M322" s="339"/>
      <c r="N322" s="315"/>
    </row>
    <row r="323" spans="1:14" s="9" customFormat="1" ht="11.25" customHeight="1" x14ac:dyDescent="0.2">
      <c r="A323" s="10">
        <v>64600100</v>
      </c>
      <c r="B323" s="10" t="s">
        <v>407</v>
      </c>
      <c r="C323" s="11">
        <v>0</v>
      </c>
      <c r="D323" s="11">
        <v>1686.6510000000003</v>
      </c>
      <c r="E323" s="11">
        <v>247618.065</v>
      </c>
      <c r="F323" s="13">
        <f>SUMIF('OD 09-24'!A:A,A323,'OD 09-24'!D:D)</f>
        <v>3054487.4890000001</v>
      </c>
      <c r="G323" s="13">
        <f>SUMIF('OD 09-24'!A:A,A323,'OD 09-24'!E:E)</f>
        <v>2804487.4890000001</v>
      </c>
      <c r="H323" s="14">
        <f t="shared" si="8"/>
        <v>4068.5860000001267</v>
      </c>
      <c r="I323" s="14">
        <f t="shared" si="9"/>
        <v>4068.5860000001267</v>
      </c>
      <c r="J323" s="8" t="s">
        <v>192</v>
      </c>
      <c r="K323" s="8" t="s">
        <v>511</v>
      </c>
      <c r="M323" s="339"/>
      <c r="N323" s="315"/>
    </row>
    <row r="324" spans="1:14" s="9" customFormat="1" ht="11.25" customHeight="1" x14ac:dyDescent="0.2">
      <c r="A324" s="10">
        <v>64603000</v>
      </c>
      <c r="B324" s="10" t="s">
        <v>7404</v>
      </c>
      <c r="C324" s="11">
        <v>0</v>
      </c>
      <c r="D324" s="11">
        <v>31647.25</v>
      </c>
      <c r="E324" s="11">
        <v>0</v>
      </c>
      <c r="F324" s="13">
        <f>SUMIF('OD 09-24'!A:A,A324,'OD 09-24'!D:D)</f>
        <v>3192</v>
      </c>
      <c r="G324" s="13">
        <f>SUMIF('OD 09-24'!A:A,A324,'OD 09-24'!E:E)</f>
        <v>3192</v>
      </c>
      <c r="H324" s="14">
        <f t="shared" si="8"/>
        <v>31647.25</v>
      </c>
      <c r="I324" s="14">
        <f t="shared" si="9"/>
        <v>31647.25</v>
      </c>
      <c r="J324" s="8" t="s">
        <v>192</v>
      </c>
      <c r="K324" s="8" t="s">
        <v>511</v>
      </c>
      <c r="M324" s="339"/>
      <c r="N324" s="315"/>
    </row>
    <row r="325" spans="1:14" s="9" customFormat="1" ht="11.25" customHeight="1" x14ac:dyDescent="0.2">
      <c r="A325" s="10">
        <v>64720000</v>
      </c>
      <c r="B325" s="10" t="s">
        <v>194</v>
      </c>
      <c r="C325" s="11">
        <v>0</v>
      </c>
      <c r="D325" s="11">
        <v>242801.7</v>
      </c>
      <c r="E325" s="11">
        <v>21778.701000000001</v>
      </c>
      <c r="F325" s="13">
        <f>SUMIF('OD 09-24'!A:A,A325,'OD 09-24'!D:D)</f>
        <v>726236.82400000002</v>
      </c>
      <c r="G325" s="13">
        <f>SUMIF('OD 09-24'!A:A,A325,'OD 09-24'!E:E)</f>
        <v>614080.12100000004</v>
      </c>
      <c r="H325" s="14">
        <f t="shared" si="8"/>
        <v>333179.70199999993</v>
      </c>
      <c r="I325" s="14">
        <f t="shared" si="9"/>
        <v>333179.70199999993</v>
      </c>
      <c r="J325" s="8" t="s">
        <v>192</v>
      </c>
      <c r="K325" s="8" t="s">
        <v>511</v>
      </c>
      <c r="M325" s="339"/>
      <c r="N325" s="315"/>
    </row>
    <row r="326" spans="1:14" s="9" customFormat="1" ht="11.25" customHeight="1" x14ac:dyDescent="0.2">
      <c r="A326" s="10">
        <v>65110000</v>
      </c>
      <c r="B326" s="10" t="s">
        <v>385</v>
      </c>
      <c r="C326" s="11">
        <v>0</v>
      </c>
      <c r="D326" s="11">
        <v>225010.033</v>
      </c>
      <c r="E326" s="11">
        <v>84401.901999999987</v>
      </c>
      <c r="F326" s="13">
        <f>SUMIF('OD 09-24'!A:A,A326,'OD 09-24'!D:D)</f>
        <v>101279.9</v>
      </c>
      <c r="G326" s="13">
        <f>SUMIF('OD 09-24'!A:A,A326,'OD 09-24'!E:E)</f>
        <v>83574.653000000006</v>
      </c>
      <c r="H326" s="14">
        <f t="shared" si="8"/>
        <v>158313.37799999997</v>
      </c>
      <c r="I326" s="14">
        <f t="shared" si="9"/>
        <v>158313.37799999997</v>
      </c>
      <c r="J326" s="8" t="s">
        <v>195</v>
      </c>
      <c r="K326" s="8" t="s">
        <v>517</v>
      </c>
      <c r="M326" s="339"/>
      <c r="N326" s="315"/>
    </row>
    <row r="327" spans="1:14" s="9" customFormat="1" ht="11.25" customHeight="1" x14ac:dyDescent="0.2">
      <c r="A327" s="10">
        <v>65110200</v>
      </c>
      <c r="B327" s="10" t="s">
        <v>196</v>
      </c>
      <c r="C327" s="11">
        <v>0</v>
      </c>
      <c r="D327" s="11">
        <v>401164.74100000004</v>
      </c>
      <c r="E327" s="11">
        <v>0</v>
      </c>
      <c r="F327" s="13">
        <f>SUMIF('OD 09-24'!A:A,A327,'OD 09-24'!D:D)</f>
        <v>346916.96799999999</v>
      </c>
      <c r="G327" s="13">
        <f>SUMIF('OD 09-24'!A:A,A327,'OD 09-24'!E:E)</f>
        <v>419277.554</v>
      </c>
      <c r="H327" s="14">
        <f t="shared" si="8"/>
        <v>328804.15500000003</v>
      </c>
      <c r="I327" s="14">
        <f t="shared" si="9"/>
        <v>328804.15500000003</v>
      </c>
      <c r="J327" s="8" t="s">
        <v>195</v>
      </c>
      <c r="K327" s="8" t="s">
        <v>517</v>
      </c>
      <c r="M327" s="339"/>
      <c r="N327" s="315"/>
    </row>
    <row r="328" spans="1:14" s="9" customFormat="1" ht="11.25" customHeight="1" x14ac:dyDescent="0.2">
      <c r="A328" s="10">
        <v>65110400</v>
      </c>
      <c r="B328" s="10" t="s">
        <v>197</v>
      </c>
      <c r="C328" s="11">
        <v>0</v>
      </c>
      <c r="D328" s="11">
        <v>616027.66599999997</v>
      </c>
      <c r="E328" s="11">
        <v>0</v>
      </c>
      <c r="F328" s="13">
        <f>SUMIF('OD 09-24'!A:A,A328,'OD 09-24'!D:D)</f>
        <v>532853.09400000004</v>
      </c>
      <c r="G328" s="13">
        <f>SUMIF('OD 09-24'!A:A,A328,'OD 09-24'!E:E)</f>
        <v>643920.53</v>
      </c>
      <c r="H328" s="14">
        <f t="shared" si="8"/>
        <v>504960.23</v>
      </c>
      <c r="I328" s="14">
        <f t="shared" si="9"/>
        <v>504960.23</v>
      </c>
      <c r="J328" s="8" t="s">
        <v>195</v>
      </c>
      <c r="K328" s="8" t="s">
        <v>517</v>
      </c>
      <c r="M328" s="339"/>
      <c r="N328" s="315"/>
    </row>
    <row r="329" spans="1:14" s="9" customFormat="1" ht="11.25" customHeight="1" x14ac:dyDescent="0.2">
      <c r="A329" s="10">
        <v>65115000</v>
      </c>
      <c r="B329" s="10" t="s">
        <v>379</v>
      </c>
      <c r="C329" s="11">
        <v>0</v>
      </c>
      <c r="D329" s="11">
        <v>52761.86</v>
      </c>
      <c r="E329" s="11">
        <v>2060.0309999999999</v>
      </c>
      <c r="F329" s="13">
        <f>SUMIF('OD 09-24'!A:A,A329,'OD 09-24'!D:D)</f>
        <v>2903.0230000000001</v>
      </c>
      <c r="G329" s="13">
        <f>SUMIF('OD 09-24'!A:A,A329,'OD 09-24'!E:E)</f>
        <v>0</v>
      </c>
      <c r="H329" s="14">
        <f t="shared" ref="H329:H357" si="10">+D329+F329-E329-G329</f>
        <v>53604.851999999999</v>
      </c>
      <c r="I329" s="14">
        <f t="shared" ref="I329:I357" si="11">+H329+C329</f>
        <v>53604.851999999999</v>
      </c>
      <c r="J329" s="8" t="s">
        <v>195</v>
      </c>
      <c r="K329" s="8" t="s">
        <v>517</v>
      </c>
      <c r="M329" s="339"/>
      <c r="N329" s="315"/>
    </row>
    <row r="330" spans="1:14" s="9" customFormat="1" ht="11.25" customHeight="1" x14ac:dyDescent="0.2">
      <c r="A330" s="10">
        <v>65150000</v>
      </c>
      <c r="B330" s="10" t="s">
        <v>270</v>
      </c>
      <c r="C330" s="11">
        <v>0</v>
      </c>
      <c r="D330" s="11">
        <v>0</v>
      </c>
      <c r="E330" s="11">
        <v>0</v>
      </c>
      <c r="F330" s="13">
        <f>SUMIF('OD 09-24'!A:A,A330,'OD 09-24'!D:D)</f>
        <v>123461.91899999999</v>
      </c>
      <c r="G330" s="13">
        <f>SUMIF('OD 09-24'!A:A,A330,'OD 09-24'!E:E)</f>
        <v>100627.946</v>
      </c>
      <c r="H330" s="14">
        <f t="shared" si="10"/>
        <v>22833.972999999998</v>
      </c>
      <c r="I330" s="14">
        <f t="shared" si="11"/>
        <v>22833.972999999998</v>
      </c>
      <c r="J330" s="8" t="s">
        <v>195</v>
      </c>
      <c r="K330" s="8" t="s">
        <v>517</v>
      </c>
      <c r="M330" s="339"/>
      <c r="N330" s="315"/>
    </row>
    <row r="331" spans="1:14" s="9" customFormat="1" ht="11.25" customHeight="1" x14ac:dyDescent="0.2">
      <c r="A331" s="10">
        <v>65190000</v>
      </c>
      <c r="B331" s="10" t="s">
        <v>198</v>
      </c>
      <c r="C331" s="11">
        <v>0</v>
      </c>
      <c r="D331" s="11">
        <v>183411.247</v>
      </c>
      <c r="E331" s="11">
        <v>0</v>
      </c>
      <c r="F331" s="13">
        <f>SUMIF('OD 09-24'!A:A,A331,'OD 09-24'!D:D)</f>
        <v>629784.71</v>
      </c>
      <c r="G331" s="13">
        <f>SUMIF('OD 09-24'!A:A,A331,'OD 09-24'!E:E)</f>
        <v>536570.90500000003</v>
      </c>
      <c r="H331" s="14">
        <f t="shared" si="10"/>
        <v>276625.05199999991</v>
      </c>
      <c r="I331" s="14">
        <f t="shared" si="11"/>
        <v>276625.05199999991</v>
      </c>
      <c r="J331" s="8" t="s">
        <v>195</v>
      </c>
      <c r="K331" s="8" t="s">
        <v>517</v>
      </c>
      <c r="M331" s="339"/>
      <c r="N331" s="315"/>
    </row>
    <row r="332" spans="1:14" s="9" customFormat="1" ht="11.25" customHeight="1" x14ac:dyDescent="0.2">
      <c r="A332" s="10">
        <v>65500000</v>
      </c>
      <c r="B332" s="10" t="s">
        <v>400</v>
      </c>
      <c r="C332" s="11">
        <v>0</v>
      </c>
      <c r="D332" s="11">
        <v>33626.442999999999</v>
      </c>
      <c r="E332" s="11">
        <v>18900.766</v>
      </c>
      <c r="F332" s="13">
        <f>SUMIF('OD 09-24'!A:A,A332,'OD 09-24'!D:D)</f>
        <v>163948.5214</v>
      </c>
      <c r="G332" s="13">
        <f>SUMIF('OD 09-24'!A:A,A332,'OD 09-24'!E:E)</f>
        <v>132020.7524</v>
      </c>
      <c r="H332" s="14">
        <f t="shared" si="10"/>
        <v>46653.445999999996</v>
      </c>
      <c r="I332" s="14">
        <f t="shared" si="11"/>
        <v>46653.445999999996</v>
      </c>
      <c r="J332" s="8" t="s">
        <v>195</v>
      </c>
      <c r="K332" s="8" t="s">
        <v>517</v>
      </c>
      <c r="M332" s="339"/>
      <c r="N332" s="315"/>
    </row>
    <row r="333" spans="1:14" s="9" customFormat="1" ht="11.25" customHeight="1" x14ac:dyDescent="0.2">
      <c r="A333" s="10">
        <v>66500000</v>
      </c>
      <c r="B333" s="536" t="s">
        <v>8974</v>
      </c>
      <c r="C333" s="11">
        <v>0</v>
      </c>
      <c r="D333" s="11">
        <v>0</v>
      </c>
      <c r="E333" s="11">
        <v>0</v>
      </c>
      <c r="F333" s="13">
        <f>SUMIF('OD 09-24'!A:A,A333,'OD 09-24'!D:D)</f>
        <v>0</v>
      </c>
      <c r="G333" s="13">
        <f>SUMIF('OD 09-24'!A:A,A333,'OD 09-24'!E:E)</f>
        <v>0</v>
      </c>
      <c r="H333" s="14">
        <f t="shared" si="10"/>
        <v>0</v>
      </c>
      <c r="I333" s="14">
        <f t="shared" si="11"/>
        <v>0</v>
      </c>
      <c r="J333" s="8" t="s">
        <v>157</v>
      </c>
      <c r="K333" s="8" t="s">
        <v>512</v>
      </c>
      <c r="M333" s="339"/>
      <c r="N333" s="315"/>
    </row>
    <row r="334" spans="1:14" s="9" customFormat="1" ht="11.25" customHeight="1" x14ac:dyDescent="0.2">
      <c r="A334" s="10">
        <v>66520000</v>
      </c>
      <c r="B334" s="10" t="s">
        <v>200</v>
      </c>
      <c r="C334" s="11">
        <v>0</v>
      </c>
      <c r="D334" s="11">
        <v>82403.565000000002</v>
      </c>
      <c r="E334" s="11">
        <v>0</v>
      </c>
      <c r="F334" s="13">
        <f>SUMIF('OD 09-24'!A:A,A334,'OD 09-24'!D:D)</f>
        <v>93993.216</v>
      </c>
      <c r="G334" s="13">
        <f>SUMIF('OD 09-24'!A:A,A334,'OD 09-24'!E:E)</f>
        <v>78851.869000000006</v>
      </c>
      <c r="H334" s="14">
        <f t="shared" si="10"/>
        <v>97544.912000000011</v>
      </c>
      <c r="I334" s="14">
        <f t="shared" si="11"/>
        <v>97544.912000000011</v>
      </c>
      <c r="J334" s="8" t="s">
        <v>157</v>
      </c>
      <c r="K334" s="8" t="s">
        <v>512</v>
      </c>
      <c r="M334" s="339"/>
      <c r="N334" s="315"/>
    </row>
    <row r="335" spans="1:14" s="9" customFormat="1" ht="11.25" customHeight="1" x14ac:dyDescent="0.2">
      <c r="A335" s="10">
        <v>66540000</v>
      </c>
      <c r="B335" s="10" t="s">
        <v>201</v>
      </c>
      <c r="C335" s="11">
        <v>0</v>
      </c>
      <c r="D335" s="11">
        <f>1+11109.083</f>
        <v>11110.083000000001</v>
      </c>
      <c r="E335" s="11">
        <v>35</v>
      </c>
      <c r="F335" s="13">
        <f>SUMIF('OD 09-24'!A:A,A335,'OD 09-24'!D:D)</f>
        <v>0</v>
      </c>
      <c r="G335" s="13">
        <f>SUMIF('OD 09-24'!A:A,A335,'OD 09-24'!E:E)</f>
        <v>0</v>
      </c>
      <c r="H335" s="14">
        <f t="shared" si="10"/>
        <v>11075.083000000001</v>
      </c>
      <c r="I335" s="14">
        <f t="shared" si="11"/>
        <v>11075.083000000001</v>
      </c>
      <c r="J335" s="8" t="s">
        <v>157</v>
      </c>
      <c r="K335" s="8" t="s">
        <v>512</v>
      </c>
      <c r="M335" s="339"/>
      <c r="N335" s="315"/>
    </row>
    <row r="336" spans="1:14" s="9" customFormat="1" ht="11.25" customHeight="1" x14ac:dyDescent="0.2">
      <c r="A336" s="10">
        <v>66550000</v>
      </c>
      <c r="B336" s="10" t="s">
        <v>202</v>
      </c>
      <c r="C336" s="11">
        <v>0</v>
      </c>
      <c r="D336" s="11">
        <v>15097.587</v>
      </c>
      <c r="E336" s="11">
        <v>0</v>
      </c>
      <c r="F336" s="13">
        <f>SUMIF('OD 09-24'!A:A,A336,'OD 09-24'!D:D)</f>
        <v>40500</v>
      </c>
      <c r="G336" s="13">
        <f>SUMIF('OD 09-24'!A:A,A336,'OD 09-24'!E:E)</f>
        <v>32400</v>
      </c>
      <c r="H336" s="14">
        <f t="shared" si="10"/>
        <v>23197.587</v>
      </c>
      <c r="I336" s="14">
        <f t="shared" si="11"/>
        <v>23197.587</v>
      </c>
      <c r="J336" s="8" t="s">
        <v>157</v>
      </c>
      <c r="K336" s="8" t="s">
        <v>512</v>
      </c>
      <c r="M336" s="339"/>
      <c r="N336" s="315"/>
    </row>
    <row r="337" spans="1:14" s="9" customFormat="1" ht="11.25" customHeight="1" x14ac:dyDescent="0.2">
      <c r="A337" s="10">
        <v>68112000</v>
      </c>
      <c r="B337" s="10" t="s">
        <v>271</v>
      </c>
      <c r="C337" s="11">
        <v>0</v>
      </c>
      <c r="D337" s="11">
        <v>0</v>
      </c>
      <c r="E337" s="11">
        <v>0</v>
      </c>
      <c r="F337" s="13">
        <f>SUMIF('OD 09-24'!A:A,A337,'OD 09-24'!D:D)</f>
        <v>10748903.469000001</v>
      </c>
      <c r="G337" s="13">
        <f>SUMIF('OD 09-24'!A:A,A337,'OD 09-24'!E:E)</f>
        <v>8503323.7640000004</v>
      </c>
      <c r="H337" s="14">
        <f t="shared" si="10"/>
        <v>2245579.7050000001</v>
      </c>
      <c r="I337" s="14">
        <f t="shared" si="11"/>
        <v>2245579.7050000001</v>
      </c>
      <c r="J337" s="8" t="s">
        <v>203</v>
      </c>
      <c r="K337" s="8" t="s">
        <v>7578</v>
      </c>
      <c r="M337" s="339"/>
      <c r="N337" s="315"/>
    </row>
    <row r="338" spans="1:14" s="9" customFormat="1" ht="11.25" customHeight="1" x14ac:dyDescent="0.2">
      <c r="A338" s="10">
        <v>68150000</v>
      </c>
      <c r="B338" s="10" t="s">
        <v>9481</v>
      </c>
      <c r="C338" s="11">
        <v>0</v>
      </c>
      <c r="D338" s="11">
        <v>0</v>
      </c>
      <c r="E338" s="11">
        <v>0</v>
      </c>
      <c r="F338" s="13">
        <f>SUMIF('OD 09-24'!A:A,A338,'OD 09-24'!D:D)</f>
        <v>200000</v>
      </c>
      <c r="G338" s="13">
        <f>SUMIF('OD 09-24'!A:A,A338,'OD 09-24'!E:E)</f>
        <v>120000</v>
      </c>
      <c r="H338" s="14">
        <f t="shared" si="10"/>
        <v>80000</v>
      </c>
      <c r="I338" s="14">
        <f t="shared" si="11"/>
        <v>80000</v>
      </c>
      <c r="J338" s="8" t="s">
        <v>7715</v>
      </c>
      <c r="K338" s="8" t="s">
        <v>7716</v>
      </c>
      <c r="M338" s="339"/>
      <c r="N338" s="315"/>
    </row>
    <row r="339" spans="1:14" s="9" customFormat="1" ht="11.25" customHeight="1" x14ac:dyDescent="0.2">
      <c r="A339" s="10">
        <v>68170000</v>
      </c>
      <c r="B339" s="10" t="s">
        <v>7577</v>
      </c>
      <c r="C339" s="11">
        <v>0</v>
      </c>
      <c r="D339" s="11">
        <v>0</v>
      </c>
      <c r="E339" s="11">
        <v>0</v>
      </c>
      <c r="F339" s="13">
        <f>SUMIF('OD 09-24'!A:A,A339,'OD 09-24'!D:D)</f>
        <v>2375000</v>
      </c>
      <c r="G339" s="13">
        <f>SUMIF('OD 09-24'!A:A,A339,'OD 09-24'!E:E)</f>
        <v>1850000</v>
      </c>
      <c r="H339" s="14">
        <f t="shared" si="10"/>
        <v>525000</v>
      </c>
      <c r="I339" s="14">
        <f t="shared" si="11"/>
        <v>525000</v>
      </c>
      <c r="J339" s="8" t="s">
        <v>7715</v>
      </c>
      <c r="K339" s="8" t="s">
        <v>7716</v>
      </c>
      <c r="M339" s="339"/>
      <c r="N339" s="315"/>
    </row>
    <row r="340" spans="1:14" s="9" customFormat="1" ht="11.25" customHeight="1" x14ac:dyDescent="0.2">
      <c r="A340" s="10">
        <v>68180000</v>
      </c>
      <c r="B340" s="10" t="s">
        <v>8976</v>
      </c>
      <c r="C340" s="11">
        <v>0</v>
      </c>
      <c r="D340" s="11">
        <v>0</v>
      </c>
      <c r="E340" s="11">
        <v>0</v>
      </c>
      <c r="F340" s="13">
        <f>SUMIF('OD 09-24'!A:A,A340,'OD 09-24'!D:D)</f>
        <v>1502431.1340000001</v>
      </c>
      <c r="G340" s="13">
        <f>SUMIF('OD 09-24'!A:A,A340,'OD 09-24'!E:E)</f>
        <v>1001215.567</v>
      </c>
      <c r="H340" s="14">
        <f t="shared" si="10"/>
        <v>501215.56700000004</v>
      </c>
      <c r="I340" s="14">
        <f t="shared" si="11"/>
        <v>501215.56700000004</v>
      </c>
      <c r="J340" s="8" t="s">
        <v>7715</v>
      </c>
      <c r="K340" s="8" t="s">
        <v>7716</v>
      </c>
      <c r="M340" s="339"/>
      <c r="N340" s="315"/>
    </row>
    <row r="341" spans="1:14" s="9" customFormat="1" ht="11.25" customHeight="1" x14ac:dyDescent="0.2">
      <c r="A341" s="10">
        <v>70000000</v>
      </c>
      <c r="B341" s="10" t="s">
        <v>205</v>
      </c>
      <c r="C341" s="11">
        <v>0</v>
      </c>
      <c r="D341" s="11">
        <v>2964667.7260000003</v>
      </c>
      <c r="E341" s="11">
        <v>28794555.068999998</v>
      </c>
      <c r="F341" s="13">
        <f>SUMIF('OD 09-24'!A:A,A341,'OD 09-24'!D:D)</f>
        <v>0</v>
      </c>
      <c r="G341" s="13">
        <f>SUMIF('OD 09-24'!A:A,A341,'OD 09-24'!E:E)</f>
        <v>0</v>
      </c>
      <c r="H341" s="14">
        <f t="shared" si="10"/>
        <v>-25829887.342999998</v>
      </c>
      <c r="I341" s="467">
        <f t="shared" si="11"/>
        <v>-25829887.342999998</v>
      </c>
      <c r="J341" s="8" t="s">
        <v>206</v>
      </c>
      <c r="K341" s="8" t="s">
        <v>505</v>
      </c>
      <c r="M341" s="339"/>
      <c r="N341" s="315"/>
    </row>
    <row r="342" spans="1:14" s="9" customFormat="1" ht="11.25" customHeight="1" x14ac:dyDescent="0.2">
      <c r="A342" s="10">
        <v>70102000</v>
      </c>
      <c r="B342" s="10" t="s">
        <v>207</v>
      </c>
      <c r="C342" s="11">
        <v>0</v>
      </c>
      <c r="D342" s="11">
        <v>211188.95199999999</v>
      </c>
      <c r="E342" s="11">
        <v>30338501.436999999</v>
      </c>
      <c r="F342" s="13">
        <f>SUMIF('OD 09-24'!A:A,A342,'OD 09-24'!D:D)</f>
        <v>3757277.7850000001</v>
      </c>
      <c r="G342" s="13">
        <f>SUMIF('OD 09-24'!A:A,A342,'OD 09-24'!E:E)</f>
        <v>3757277.7850000001</v>
      </c>
      <c r="H342" s="14">
        <f t="shared" si="10"/>
        <v>-30127312.484999999</v>
      </c>
      <c r="I342" s="14">
        <f t="shared" si="11"/>
        <v>-30127312.484999999</v>
      </c>
      <c r="J342" s="8" t="s">
        <v>227</v>
      </c>
      <c r="K342" s="8" t="s">
        <v>504</v>
      </c>
      <c r="M342" s="339"/>
      <c r="N342" s="315"/>
    </row>
    <row r="343" spans="1:14" s="9" customFormat="1" ht="11.25" customHeight="1" x14ac:dyDescent="0.2">
      <c r="A343" s="10">
        <v>70103000</v>
      </c>
      <c r="B343" s="10" t="s">
        <v>380</v>
      </c>
      <c r="C343" s="11">
        <v>0</v>
      </c>
      <c r="D343" s="11">
        <v>0</v>
      </c>
      <c r="E343" s="11">
        <v>4065</v>
      </c>
      <c r="F343" s="13">
        <f>SUMIF('OD 09-24'!A:A,A343,'OD 09-24'!D:D)</f>
        <v>0</v>
      </c>
      <c r="G343" s="13">
        <f>SUMIF('OD 09-24'!A:A,A343,'OD 09-24'!E:E)</f>
        <v>0</v>
      </c>
      <c r="H343" s="14">
        <f t="shared" si="10"/>
        <v>-4065</v>
      </c>
      <c r="I343" s="467">
        <f t="shared" si="11"/>
        <v>-4065</v>
      </c>
      <c r="J343" s="8" t="s">
        <v>206</v>
      </c>
      <c r="K343" s="8" t="s">
        <v>505</v>
      </c>
      <c r="M343" s="339"/>
      <c r="N343" s="315"/>
    </row>
    <row r="344" spans="1:14" s="9" customFormat="1" ht="11.25" customHeight="1" x14ac:dyDescent="0.2">
      <c r="A344" s="10">
        <v>70600000</v>
      </c>
      <c r="B344" s="10" t="s">
        <v>381</v>
      </c>
      <c r="C344" s="11">
        <v>0</v>
      </c>
      <c r="D344" s="11">
        <v>83709.7</v>
      </c>
      <c r="E344" s="11">
        <v>937735.42500000005</v>
      </c>
      <c r="F344" s="13">
        <f>SUMIF('OD 09-24'!A:A,A344,'OD 09-24'!D:D)</f>
        <v>526480.55000000005</v>
      </c>
      <c r="G344" s="13">
        <f>SUMIF('OD 09-24'!A:A,A344,'OD 09-24'!E:E)</f>
        <v>526480.55000000005</v>
      </c>
      <c r="H344" s="14">
        <f t="shared" si="10"/>
        <v>-854025.72500000009</v>
      </c>
      <c r="I344" s="14">
        <f t="shared" si="11"/>
        <v>-854025.72500000009</v>
      </c>
      <c r="J344" s="8" t="s">
        <v>214</v>
      </c>
      <c r="K344" s="8" t="s">
        <v>506</v>
      </c>
      <c r="M344" s="339"/>
      <c r="N344" s="315"/>
    </row>
    <row r="345" spans="1:14" s="9" customFormat="1" ht="11.25" customHeight="1" x14ac:dyDescent="0.2">
      <c r="A345" s="10">
        <v>70600100</v>
      </c>
      <c r="B345" s="10" t="s">
        <v>7574</v>
      </c>
      <c r="C345" s="11">
        <v>0</v>
      </c>
      <c r="D345" s="11">
        <v>0</v>
      </c>
      <c r="E345" s="11">
        <v>4972.8629999999994</v>
      </c>
      <c r="F345" s="13">
        <f>SUMIF('OD 09-24'!A:A,A345,'OD 09-24'!D:D)</f>
        <v>0</v>
      </c>
      <c r="G345" s="13">
        <f>SUMIF('OD 09-24'!A:A,A345,'OD 09-24'!E:E)</f>
        <v>0</v>
      </c>
      <c r="H345" s="14">
        <f t="shared" si="10"/>
        <v>-4972.8629999999994</v>
      </c>
      <c r="I345" s="14">
        <f t="shared" si="11"/>
        <v>-4972.8629999999994</v>
      </c>
      <c r="J345" s="8" t="s">
        <v>214</v>
      </c>
      <c r="K345" s="8" t="s">
        <v>506</v>
      </c>
      <c r="M345" s="339"/>
      <c r="N345" s="315"/>
    </row>
    <row r="346" spans="1:14" s="9" customFormat="1" ht="11.25" customHeight="1" x14ac:dyDescent="0.2">
      <c r="A346" s="10">
        <v>70600500</v>
      </c>
      <c r="B346" s="10" t="s">
        <v>208</v>
      </c>
      <c r="C346" s="11">
        <v>0</v>
      </c>
      <c r="D346" s="11">
        <v>38770.517999999996</v>
      </c>
      <c r="E346" s="11">
        <v>60430.23</v>
      </c>
      <c r="F346" s="13">
        <f>SUMIF('OD 09-24'!A:A,A346,'OD 09-24'!D:D)</f>
        <v>58777.593000000001</v>
      </c>
      <c r="G346" s="13">
        <f>SUMIF('OD 09-24'!A:A,A346,'OD 09-24'!E:E)</f>
        <v>68918.391000000003</v>
      </c>
      <c r="H346" s="14">
        <f t="shared" si="10"/>
        <v>-31800.510000000002</v>
      </c>
      <c r="I346" s="14">
        <f t="shared" si="11"/>
        <v>-31800.510000000002</v>
      </c>
      <c r="J346" s="8" t="s">
        <v>214</v>
      </c>
      <c r="K346" s="8" t="s">
        <v>506</v>
      </c>
      <c r="M346" s="339"/>
      <c r="N346" s="315"/>
    </row>
    <row r="347" spans="1:14" s="9" customFormat="1" ht="11.25" customHeight="1" x14ac:dyDescent="0.2">
      <c r="A347" s="10">
        <v>71340000</v>
      </c>
      <c r="B347" s="10" t="s">
        <v>382</v>
      </c>
      <c r="C347" s="11">
        <v>0</v>
      </c>
      <c r="D347" s="11">
        <v>744393.83599999989</v>
      </c>
      <c r="E347" s="11">
        <v>0</v>
      </c>
      <c r="F347" s="13">
        <f>SUMIF('OD 09-24'!A:A,A347,'OD 09-24'!D:D)</f>
        <v>2233181.5079999999</v>
      </c>
      <c r="G347" s="13">
        <f>SUMIF('OD 09-24'!A:A,A347,'OD 09-24'!E:E)</f>
        <v>2233181.5079999999</v>
      </c>
      <c r="H347" s="14">
        <f t="shared" si="10"/>
        <v>744393.83599999966</v>
      </c>
      <c r="I347" s="14">
        <f t="shared" si="11"/>
        <v>744393.83599999966</v>
      </c>
      <c r="J347" s="8" t="s">
        <v>210</v>
      </c>
      <c r="K347" s="8" t="s">
        <v>508</v>
      </c>
      <c r="M347" s="339"/>
      <c r="N347" s="315"/>
    </row>
    <row r="348" spans="1:14" s="9" customFormat="1" ht="11.25" customHeight="1" x14ac:dyDescent="0.2">
      <c r="A348" s="10">
        <v>71350000</v>
      </c>
      <c r="B348" s="10" t="s">
        <v>209</v>
      </c>
      <c r="C348" s="11">
        <v>0</v>
      </c>
      <c r="D348" s="11">
        <v>5109884.3080000002</v>
      </c>
      <c r="E348" s="11">
        <v>0</v>
      </c>
      <c r="F348" s="13">
        <f>SUMIF('OD 09-24'!A:A,A348,'OD 09-24'!D:D)</f>
        <v>56255617.955399998</v>
      </c>
      <c r="G348" s="13">
        <f>SUMIF('OD 09-24'!A:A,A348,'OD 09-24'!E:E)</f>
        <v>61078697.377400003</v>
      </c>
      <c r="H348" s="14">
        <f t="shared" si="10"/>
        <v>286804.88599999249</v>
      </c>
      <c r="I348" s="14">
        <f t="shared" si="11"/>
        <v>286804.88599999249</v>
      </c>
      <c r="J348" s="8" t="s">
        <v>210</v>
      </c>
      <c r="K348" s="8" t="s">
        <v>508</v>
      </c>
      <c r="M348" s="339"/>
      <c r="N348" s="315"/>
    </row>
    <row r="349" spans="1:14" s="9" customFormat="1" ht="11.25" customHeight="1" x14ac:dyDescent="0.2">
      <c r="A349" s="10">
        <v>73601000</v>
      </c>
      <c r="B349" s="10" t="s">
        <v>211</v>
      </c>
      <c r="C349" s="11">
        <v>0</v>
      </c>
      <c r="D349" s="11">
        <v>5547.0590000000002</v>
      </c>
      <c r="E349" s="11">
        <v>74991.596999999994</v>
      </c>
      <c r="F349" s="13">
        <f>SUMIF('OD 09-24'!A:A,A349,'OD 09-24'!D:D)</f>
        <v>0</v>
      </c>
      <c r="G349" s="13">
        <f>SUMIF('OD 09-24'!A:A,A349,'OD 09-24'!E:E)</f>
        <v>0</v>
      </c>
      <c r="H349" s="14">
        <f t="shared" si="10"/>
        <v>-69444.538</v>
      </c>
      <c r="I349" s="14">
        <f t="shared" si="11"/>
        <v>-69444.538</v>
      </c>
      <c r="J349" s="8" t="s">
        <v>214</v>
      </c>
      <c r="K349" s="8" t="s">
        <v>506</v>
      </c>
      <c r="M349" s="339"/>
      <c r="N349" s="315"/>
    </row>
    <row r="350" spans="1:14" s="9" customFormat="1" ht="11.25" customHeight="1" x14ac:dyDescent="0.2">
      <c r="A350" s="10">
        <v>73602000</v>
      </c>
      <c r="B350" s="10" t="s">
        <v>8975</v>
      </c>
      <c r="C350" s="11">
        <v>0</v>
      </c>
      <c r="D350" s="11">
        <v>0</v>
      </c>
      <c r="E350" s="11">
        <v>667.72500000000002</v>
      </c>
      <c r="F350" s="13">
        <f>SUMIF('OD 09-24'!A:A,A350,'OD 09-24'!D:D)</f>
        <v>0</v>
      </c>
      <c r="G350" s="13">
        <f>SUMIF('OD 09-24'!A:A,A350,'OD 09-24'!E:E)</f>
        <v>0</v>
      </c>
      <c r="H350" s="14">
        <f t="shared" si="10"/>
        <v>-667.72500000000002</v>
      </c>
      <c r="I350" s="14">
        <f t="shared" si="11"/>
        <v>-667.72500000000002</v>
      </c>
      <c r="J350" s="8" t="s">
        <v>214</v>
      </c>
      <c r="K350" s="8" t="s">
        <v>506</v>
      </c>
      <c r="M350" s="339"/>
      <c r="N350" s="315"/>
    </row>
    <row r="351" spans="1:14" s="9" customFormat="1" ht="11.25" customHeight="1" x14ac:dyDescent="0.2">
      <c r="A351" s="10">
        <v>73900000</v>
      </c>
      <c r="B351" s="10" t="s">
        <v>213</v>
      </c>
      <c r="C351" s="11">
        <v>0</v>
      </c>
      <c r="D351" s="11">
        <v>0</v>
      </c>
      <c r="E351" s="11">
        <v>0</v>
      </c>
      <c r="F351" s="13">
        <f>SUMIF('OD 09-24'!A:A,A351,'OD 09-24'!D:D)</f>
        <v>730167.08700000006</v>
      </c>
      <c r="G351" s="13">
        <f>SUMIF('OD 09-24'!A:A,A351,'OD 09-24'!E:E)</f>
        <v>912708.85900000005</v>
      </c>
      <c r="H351" s="14">
        <f>+D351+F351-E351-G351</f>
        <v>-182541.772</v>
      </c>
      <c r="I351" s="14">
        <f>+H351+C351</f>
        <v>-182541.772</v>
      </c>
      <c r="J351" s="8" t="s">
        <v>214</v>
      </c>
      <c r="K351" s="8" t="s">
        <v>506</v>
      </c>
      <c r="M351" s="339"/>
      <c r="N351" s="315"/>
    </row>
    <row r="352" spans="1:14" s="9" customFormat="1" ht="11.25" customHeight="1" x14ac:dyDescent="0.2">
      <c r="A352" s="10">
        <v>74100000</v>
      </c>
      <c r="B352" s="10" t="s">
        <v>8980</v>
      </c>
      <c r="C352" s="11">
        <v>0</v>
      </c>
      <c r="D352" s="11">
        <v>0</v>
      </c>
      <c r="E352" s="11">
        <v>5128.4340000000002</v>
      </c>
      <c r="F352" s="13">
        <f>SUMIF('OD 09-24'!A:A,A352,'OD 09-24'!D:D)</f>
        <v>0</v>
      </c>
      <c r="G352" s="13">
        <f>SUMIF('OD 09-24'!A:A,A352,'OD 09-24'!E:E)</f>
        <v>0</v>
      </c>
      <c r="H352" s="14">
        <f>+D352+F352-E352-G352</f>
        <v>-5128.4340000000002</v>
      </c>
      <c r="I352" s="14">
        <f>+H352+C352</f>
        <v>-5128.4340000000002</v>
      </c>
      <c r="J352" s="8" t="s">
        <v>214</v>
      </c>
      <c r="K352" s="8" t="s">
        <v>506</v>
      </c>
      <c r="M352" s="339"/>
      <c r="N352" s="315"/>
    </row>
    <row r="353" spans="1:14" s="9" customFormat="1" ht="11.25" customHeight="1" x14ac:dyDescent="0.2">
      <c r="A353" s="10">
        <v>75000000</v>
      </c>
      <c r="B353" s="10" t="s">
        <v>7575</v>
      </c>
      <c r="C353" s="11">
        <v>0</v>
      </c>
      <c r="D353" s="11">
        <v>0</v>
      </c>
      <c r="E353" s="11">
        <v>1074.4860000000001</v>
      </c>
      <c r="F353" s="13">
        <f>SUMIF('OD 09-24'!A:A,A353,'OD 09-24'!D:D)</f>
        <v>0</v>
      </c>
      <c r="G353" s="13">
        <f>SUMIF('OD 09-24'!A:A,A353,'OD 09-24'!E:E)</f>
        <v>0</v>
      </c>
      <c r="H353" s="14">
        <f t="shared" si="10"/>
        <v>-1074.4860000000001</v>
      </c>
      <c r="I353" s="14">
        <f t="shared" si="11"/>
        <v>-1074.4860000000001</v>
      </c>
      <c r="J353" s="8" t="s">
        <v>195</v>
      </c>
      <c r="K353" s="8" t="s">
        <v>517</v>
      </c>
      <c r="M353" s="339"/>
      <c r="N353" s="315"/>
    </row>
    <row r="354" spans="1:14" s="9" customFormat="1" ht="11.25" customHeight="1" x14ac:dyDescent="0.2">
      <c r="A354" s="10">
        <v>75600000</v>
      </c>
      <c r="B354" s="10" t="s">
        <v>215</v>
      </c>
      <c r="C354" s="11">
        <v>0</v>
      </c>
      <c r="D354" s="11">
        <v>1E-3</v>
      </c>
      <c r="E354" s="11">
        <v>11478.505000000001</v>
      </c>
      <c r="F354" s="13">
        <f>SUMIF('OD 09-24'!A:A,A354,'OD 09-24'!D:D)</f>
        <v>23052.332999999999</v>
      </c>
      <c r="G354" s="13">
        <f>SUMIF('OD 09-24'!A:A,A354,'OD 09-24'!E:E)</f>
        <v>23052.332999999999</v>
      </c>
      <c r="H354" s="14">
        <f t="shared" si="10"/>
        <v>-11478.504000000001</v>
      </c>
      <c r="I354" s="14">
        <f t="shared" si="11"/>
        <v>-11478.504000000001</v>
      </c>
      <c r="J354" s="8" t="s">
        <v>195</v>
      </c>
      <c r="K354" s="8" t="s">
        <v>517</v>
      </c>
      <c r="M354" s="339"/>
      <c r="N354" s="315"/>
    </row>
    <row r="355" spans="1:14" s="9" customFormat="1" ht="11.25" customHeight="1" x14ac:dyDescent="0.2">
      <c r="A355" s="10">
        <v>77000000</v>
      </c>
      <c r="B355" s="10" t="s">
        <v>216</v>
      </c>
      <c r="C355" s="11">
        <v>0</v>
      </c>
      <c r="D355" s="11">
        <v>0</v>
      </c>
      <c r="E355" s="11">
        <v>1</v>
      </c>
      <c r="F355" s="13">
        <f>SUMIF('OD 09-24'!A:A,A355,'OD 09-24'!D:D)</f>
        <v>0</v>
      </c>
      <c r="G355" s="13">
        <f>SUMIF('OD 09-24'!A:A,A355,'OD 09-24'!E:E)</f>
        <v>0</v>
      </c>
      <c r="H355" s="14">
        <f t="shared" si="10"/>
        <v>-1</v>
      </c>
      <c r="I355" s="14">
        <f t="shared" si="11"/>
        <v>-1</v>
      </c>
      <c r="J355" s="8" t="s">
        <v>214</v>
      </c>
      <c r="K355" s="8" t="s">
        <v>506</v>
      </c>
      <c r="M355" s="339"/>
      <c r="N355" s="315"/>
    </row>
    <row r="356" spans="1:14" s="9" customFormat="1" ht="11.25" customHeight="1" x14ac:dyDescent="0.2">
      <c r="A356" s="10">
        <v>78000000</v>
      </c>
      <c r="B356" s="10" t="s">
        <v>7576</v>
      </c>
      <c r="C356" s="11">
        <v>0</v>
      </c>
      <c r="D356" s="11">
        <v>0</v>
      </c>
      <c r="E356" s="11">
        <v>59797.479000000007</v>
      </c>
      <c r="F356" s="13">
        <f>SUMIF('OD 09-24'!A:A,A356,'OD 09-24'!D:D)</f>
        <v>0</v>
      </c>
      <c r="G356" s="13">
        <f>SUMIF('OD 09-24'!A:A,A356,'OD 09-24'!E:E)</f>
        <v>0</v>
      </c>
      <c r="H356" s="14">
        <f t="shared" si="10"/>
        <v>-59797.479000000007</v>
      </c>
      <c r="I356" s="14">
        <f t="shared" si="11"/>
        <v>-59797.479000000007</v>
      </c>
      <c r="J356" s="8" t="s">
        <v>7715</v>
      </c>
      <c r="K356" s="8" t="s">
        <v>7716</v>
      </c>
      <c r="M356" s="339"/>
      <c r="N356" s="315"/>
    </row>
    <row r="357" spans="1:14" s="9" customFormat="1" ht="11.25" customHeight="1" x14ac:dyDescent="0.2">
      <c r="A357" s="10">
        <v>79999999</v>
      </c>
      <c r="B357" s="10" t="s">
        <v>383</v>
      </c>
      <c r="C357" s="11">
        <v>-2.6040943339467049E-4</v>
      </c>
      <c r="D357" s="11">
        <v>0</v>
      </c>
      <c r="E357" s="11">
        <v>0</v>
      </c>
      <c r="F357" s="13">
        <f>SUMIF('OD 09-24'!A:A,A357,'OD 09-24'!D:D)</f>
        <v>0</v>
      </c>
      <c r="G357" s="13">
        <f>SUMIF('OD 09-24'!A:A,A357,'OD 09-24'!E:E)</f>
        <v>0</v>
      </c>
      <c r="H357" s="14">
        <f t="shared" si="10"/>
        <v>0</v>
      </c>
      <c r="I357" s="14">
        <f t="shared" si="11"/>
        <v>-2.6040943339467049E-4</v>
      </c>
      <c r="J357" s="8"/>
      <c r="K357" s="8"/>
      <c r="M357" s="339"/>
      <c r="N357" s="315"/>
    </row>
    <row r="358" spans="1:14" ht="15" customHeight="1" x14ac:dyDescent="0.25">
      <c r="C358" s="11">
        <f>SUM(C3:C357)</f>
        <v>1.4514662325382233E-6</v>
      </c>
      <c r="D358" s="11">
        <f>SUM(D3:D357)</f>
        <v>407057241.33598226</v>
      </c>
      <c r="E358" s="11">
        <f t="shared" ref="E358:I358" si="12">SUM(E3:E357)</f>
        <v>407057241.33598202</v>
      </c>
      <c r="F358" s="11">
        <f t="shared" si="12"/>
        <v>441440583.12500006</v>
      </c>
      <c r="G358" s="11">
        <f t="shared" si="12"/>
        <v>441440583.125</v>
      </c>
      <c r="H358" s="11">
        <f t="shared" si="12"/>
        <v>-2.3559550754725933E-8</v>
      </c>
      <c r="I358" s="11">
        <f t="shared" si="12"/>
        <v>1.4251127140596509E-6</v>
      </c>
      <c r="L358" s="9"/>
      <c r="M358" s="339"/>
      <c r="N358" s="315"/>
    </row>
    <row r="359" spans="1:14" x14ac:dyDescent="0.25">
      <c r="L359" s="9"/>
      <c r="M359" s="339"/>
    </row>
  </sheetData>
  <autoFilter ref="A2:K358" xr:uid="{00000000-0009-0000-0000-00001D000000}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N359"/>
  <sheetViews>
    <sheetView workbookViewId="0">
      <pane ySplit="2" topLeftCell="A247" activePane="bottomLeft" state="frozen"/>
      <selection activeCell="A2" sqref="A2"/>
      <selection pane="bottomLeft" activeCell="C293" sqref="C293"/>
    </sheetView>
  </sheetViews>
  <sheetFormatPr baseColWidth="10" defaultRowHeight="15" x14ac:dyDescent="0.25"/>
  <cols>
    <col min="1" max="1" width="11.5703125" customWidth="1"/>
    <col min="2" max="2" width="28.140625" style="302" customWidth="1"/>
    <col min="3" max="3" width="14.42578125" style="305" bestFit="1" customWidth="1"/>
    <col min="4" max="4" width="16.7109375" style="305" customWidth="1"/>
    <col min="5" max="5" width="16.85546875" style="305" customWidth="1"/>
    <col min="6" max="6" width="15.42578125" style="305" customWidth="1"/>
    <col min="7" max="7" width="14.42578125" style="305" bestFit="1" customWidth="1"/>
    <col min="8" max="8" width="12.7109375" style="305" bestFit="1" customWidth="1"/>
    <col min="9" max="9" width="12.7109375" style="604" bestFit="1" customWidth="1"/>
    <col min="10" max="10" width="25.5703125" style="302" customWidth="1"/>
    <col min="11" max="11" width="16.7109375" style="302" customWidth="1"/>
    <col min="12" max="12" width="11.42578125" style="302"/>
    <col min="13" max="13" width="14.140625" style="302" bestFit="1" customWidth="1"/>
    <col min="14" max="16384" width="11.42578125" style="302"/>
  </cols>
  <sheetData>
    <row r="2" spans="1:14" ht="11.25" x14ac:dyDescent="0.2">
      <c r="A2" s="6" t="s">
        <v>1</v>
      </c>
      <c r="B2" s="6" t="s">
        <v>0</v>
      </c>
      <c r="C2" s="7" t="s">
        <v>5</v>
      </c>
      <c r="D2" s="7" t="s">
        <v>2</v>
      </c>
      <c r="E2" s="7" t="s">
        <v>260</v>
      </c>
      <c r="F2" s="7" t="s">
        <v>218</v>
      </c>
      <c r="G2" s="7" t="s">
        <v>219</v>
      </c>
      <c r="H2" s="7" t="s">
        <v>6</v>
      </c>
      <c r="I2" s="603" t="s">
        <v>217</v>
      </c>
      <c r="J2" s="6" t="s">
        <v>412</v>
      </c>
    </row>
    <row r="3" spans="1:14" s="9" customFormat="1" ht="11.25" customHeight="1" x14ac:dyDescent="0.2">
      <c r="A3" s="10">
        <v>10100000</v>
      </c>
      <c r="B3" s="10" t="s">
        <v>7</v>
      </c>
      <c r="C3" s="11">
        <v>-13500000</v>
      </c>
      <c r="D3" s="11">
        <v>0</v>
      </c>
      <c r="E3" s="11">
        <v>0</v>
      </c>
      <c r="F3" s="13">
        <f>SUMIF('OD 10-24'!A:A,A3,'OD 10-24'!D:D)</f>
        <v>0</v>
      </c>
      <c r="G3" s="13">
        <f>SUMIF('OD 12-24'!A:A,A3,'OD 12-24'!E:E)</f>
        <v>0</v>
      </c>
      <c r="H3" s="14">
        <f t="shared" ref="H3:H66" si="0">+D3+F3-E3-G3</f>
        <v>0</v>
      </c>
      <c r="I3" s="14">
        <f t="shared" ref="I3:I66" si="1">+H3+C3</f>
        <v>-13500000</v>
      </c>
      <c r="J3" s="8" t="s">
        <v>8</v>
      </c>
      <c r="K3" s="8"/>
      <c r="M3" s="339"/>
      <c r="N3" s="315"/>
    </row>
    <row r="4" spans="1:14" s="9" customFormat="1" ht="11.25" customHeight="1" x14ac:dyDescent="0.2">
      <c r="A4" s="10">
        <v>11101000</v>
      </c>
      <c r="B4" s="10" t="s">
        <v>9</v>
      </c>
      <c r="C4" s="11">
        <v>-1200000</v>
      </c>
      <c r="D4" s="11">
        <v>0</v>
      </c>
      <c r="E4" s="11">
        <v>0</v>
      </c>
      <c r="F4" s="13">
        <f>SUMIF('OD 10-24'!A:A,A4,'OD 10-24'!D:D)</f>
        <v>0</v>
      </c>
      <c r="G4" s="13">
        <f>SUMIF('OD 12-24'!A:A,A4,'OD 12-24'!E:E)</f>
        <v>0</v>
      </c>
      <c r="H4" s="14">
        <f t="shared" si="0"/>
        <v>0</v>
      </c>
      <c r="I4" s="14">
        <f t="shared" si="1"/>
        <v>-1200000</v>
      </c>
      <c r="J4" s="8" t="s">
        <v>10</v>
      </c>
      <c r="K4" s="8"/>
      <c r="M4" s="339"/>
      <c r="N4" s="315"/>
    </row>
    <row r="5" spans="1:14" s="9" customFormat="1" ht="11.25" customHeight="1" x14ac:dyDescent="0.2">
      <c r="A5" s="10">
        <v>12100000</v>
      </c>
      <c r="B5" s="10" t="s">
        <v>11</v>
      </c>
      <c r="C5" s="11">
        <v>-22014748.230401009</v>
      </c>
      <c r="D5" s="11">
        <v>0</v>
      </c>
      <c r="E5" s="11">
        <v>0</v>
      </c>
      <c r="F5" s="13">
        <f>SUMIF('OD 10-24'!A:A,A5,'OD 10-24'!D:D)</f>
        <v>0</v>
      </c>
      <c r="G5" s="13">
        <f>SUMIF('OD 12-24'!A:A,A5,'OD 12-24'!E:E)</f>
        <v>0</v>
      </c>
      <c r="H5" s="14">
        <f t="shared" si="0"/>
        <v>0</v>
      </c>
      <c r="I5" s="14">
        <f t="shared" si="1"/>
        <v>-22014748.230401009</v>
      </c>
      <c r="J5" s="8" t="s">
        <v>12</v>
      </c>
      <c r="K5" s="8"/>
      <c r="M5" s="339"/>
      <c r="N5" s="315"/>
    </row>
    <row r="6" spans="1:14" s="9" customFormat="1" ht="11.25" customHeight="1" x14ac:dyDescent="0.2">
      <c r="A6" s="10">
        <v>12200000</v>
      </c>
      <c r="B6" s="10" t="s">
        <v>272</v>
      </c>
      <c r="C6" s="11">
        <v>0</v>
      </c>
      <c r="D6" s="11">
        <v>0</v>
      </c>
      <c r="E6" s="11">
        <v>0</v>
      </c>
      <c r="F6" s="13">
        <f>SUMIF('OD 10-24'!A:A,A6,'OD 10-24'!D:D)</f>
        <v>0</v>
      </c>
      <c r="G6" s="13">
        <f>SUMIF('OD 12-24'!A:A,A6,'OD 12-24'!E:E)</f>
        <v>0</v>
      </c>
      <c r="H6" s="14">
        <f t="shared" si="0"/>
        <v>0</v>
      </c>
      <c r="I6" s="14">
        <f t="shared" si="1"/>
        <v>0</v>
      </c>
      <c r="J6" s="8"/>
      <c r="K6" s="8"/>
      <c r="M6" s="339"/>
      <c r="N6" s="315"/>
    </row>
    <row r="7" spans="1:14" s="9" customFormat="1" ht="11.25" customHeight="1" x14ac:dyDescent="0.2">
      <c r="A7" s="10">
        <v>12800000</v>
      </c>
      <c r="B7" s="10" t="s">
        <v>13</v>
      </c>
      <c r="C7" s="11">
        <v>3126298.01</v>
      </c>
      <c r="D7" s="11">
        <v>0</v>
      </c>
      <c r="E7" s="11">
        <v>0</v>
      </c>
      <c r="F7" s="13">
        <f>SUMIF('OD 10-24'!A:A,A7,'OD 10-24'!D:D)</f>
        <v>0</v>
      </c>
      <c r="G7" s="13">
        <f>SUMIF('OD 12-24'!A:A,A7,'OD 12-24'!E:E)</f>
        <v>0</v>
      </c>
      <c r="H7" s="14">
        <f t="shared" si="0"/>
        <v>0</v>
      </c>
      <c r="I7" s="14">
        <f t="shared" si="1"/>
        <v>3126298.01</v>
      </c>
      <c r="J7" s="8" t="s">
        <v>14</v>
      </c>
      <c r="K7" s="8"/>
      <c r="M7" s="339"/>
      <c r="N7" s="315"/>
    </row>
    <row r="8" spans="1:14" s="9" customFormat="1" ht="11.25" customHeight="1" x14ac:dyDescent="0.2">
      <c r="A8" s="10">
        <v>13000000</v>
      </c>
      <c r="B8" s="10" t="s">
        <v>273</v>
      </c>
      <c r="C8" s="11">
        <v>0</v>
      </c>
      <c r="D8" s="11">
        <v>0</v>
      </c>
      <c r="E8" s="11">
        <v>0</v>
      </c>
      <c r="F8" s="13">
        <f>SUMIF('OD 10-24'!A:A,A8,'OD 10-24'!D:D)</f>
        <v>0</v>
      </c>
      <c r="G8" s="13">
        <f>SUMIF('OD 12-24'!A:A,A8,'OD 12-24'!E:E)</f>
        <v>0</v>
      </c>
      <c r="H8" s="14">
        <f t="shared" si="0"/>
        <v>0</v>
      </c>
      <c r="I8" s="14">
        <f t="shared" si="1"/>
        <v>0</v>
      </c>
      <c r="J8" s="8"/>
      <c r="K8" s="8"/>
      <c r="M8" s="339"/>
      <c r="N8" s="315"/>
    </row>
    <row r="9" spans="1:14" s="9" customFormat="1" ht="11.25" customHeight="1" x14ac:dyDescent="0.2">
      <c r="A9" s="10">
        <v>14500000</v>
      </c>
      <c r="B9" s="10" t="s">
        <v>15</v>
      </c>
      <c r="C9" s="11">
        <v>-3479108.84</v>
      </c>
      <c r="D9" s="11">
        <v>0</v>
      </c>
      <c r="E9" s="11">
        <v>0</v>
      </c>
      <c r="F9" s="13">
        <f>SUMIF('OD 10-24'!A:A,A9,'OD 10-24'!D:D)</f>
        <v>0</v>
      </c>
      <c r="G9" s="13">
        <f>SUMIF('OD 12-24'!A:A,A9,'OD 12-24'!E:E)</f>
        <v>0</v>
      </c>
      <c r="H9" s="14">
        <f t="shared" si="0"/>
        <v>0</v>
      </c>
      <c r="I9" s="14">
        <f t="shared" si="1"/>
        <v>-3479108.84</v>
      </c>
      <c r="J9" s="8" t="s">
        <v>16</v>
      </c>
      <c r="K9" s="8"/>
      <c r="M9" s="339"/>
      <c r="N9" s="315"/>
    </row>
    <row r="10" spans="1:14" s="9" customFormat="1" ht="11.25" customHeight="1" x14ac:dyDescent="0.2">
      <c r="A10" s="10">
        <v>14508000</v>
      </c>
      <c r="B10" s="10" t="s">
        <v>17</v>
      </c>
      <c r="C10" s="11">
        <v>2662861.7680000002</v>
      </c>
      <c r="D10" s="11">
        <v>0</v>
      </c>
      <c r="E10" s="11">
        <v>0</v>
      </c>
      <c r="F10" s="13">
        <f>SUMIF('OD 10-24'!A:A,A10,'OD 10-24'!D:D)</f>
        <v>1115533.05</v>
      </c>
      <c r="G10" s="13">
        <f>SUMIF('OD 12-24'!A:A,A10,'OD 12-24'!E:E)</f>
        <v>1338639.6599999999</v>
      </c>
      <c r="H10" s="14">
        <f t="shared" si="0"/>
        <v>-223106.60999999987</v>
      </c>
      <c r="I10" s="14">
        <f t="shared" si="1"/>
        <v>2439755.1580000003</v>
      </c>
      <c r="J10" s="8" t="s">
        <v>18</v>
      </c>
      <c r="K10" s="8"/>
      <c r="M10" s="339"/>
      <c r="N10" s="315"/>
    </row>
    <row r="11" spans="1:14" s="9" customFormat="1" ht="11.25" customHeight="1" x14ac:dyDescent="0.2">
      <c r="A11" s="10">
        <v>15100000</v>
      </c>
      <c r="B11" s="10" t="s">
        <v>19</v>
      </c>
      <c r="C11" s="11">
        <v>-231535.016</v>
      </c>
      <c r="D11" s="11">
        <v>0</v>
      </c>
      <c r="E11" s="11">
        <v>0</v>
      </c>
      <c r="F11" s="13">
        <f>SUMIF('OD 10-24'!A:A,A11,'OD 10-24'!D:D)</f>
        <v>200000</v>
      </c>
      <c r="G11" s="13">
        <f>SUMIF('OD 12-24'!A:A,A11,'OD 12-24'!E:E)</f>
        <v>540000</v>
      </c>
      <c r="H11" s="14">
        <f t="shared" si="0"/>
        <v>-340000</v>
      </c>
      <c r="I11" s="14">
        <f t="shared" si="1"/>
        <v>-571535.01600000006</v>
      </c>
      <c r="J11" s="8" t="s">
        <v>20</v>
      </c>
      <c r="K11" s="8"/>
      <c r="M11" s="339"/>
      <c r="N11" s="315"/>
    </row>
    <row r="12" spans="1:14" s="9" customFormat="1" ht="11.25" customHeight="1" x14ac:dyDescent="0.2">
      <c r="A12" s="10">
        <v>16210250</v>
      </c>
      <c r="B12" s="10" t="s">
        <v>274</v>
      </c>
      <c r="C12" s="11">
        <v>0</v>
      </c>
      <c r="D12" s="11">
        <v>0</v>
      </c>
      <c r="E12" s="11">
        <v>0</v>
      </c>
      <c r="F12" s="13">
        <f>SUMIF('OD 10-24'!A:A,A12,'OD 10-24'!D:D)</f>
        <v>0</v>
      </c>
      <c r="G12" s="13">
        <f>SUMIF('OD 12-24'!A:A,A12,'OD 12-24'!E:E)</f>
        <v>0</v>
      </c>
      <c r="H12" s="14">
        <f t="shared" si="0"/>
        <v>0</v>
      </c>
      <c r="I12" s="14">
        <f t="shared" si="1"/>
        <v>0</v>
      </c>
      <c r="J12" s="8"/>
      <c r="K12" s="8"/>
      <c r="M12" s="339"/>
      <c r="N12" s="315"/>
    </row>
    <row r="13" spans="1:14" s="9" customFormat="1" ht="11.25" customHeight="1" x14ac:dyDescent="0.2">
      <c r="A13" s="10">
        <v>16210500</v>
      </c>
      <c r="B13" s="10" t="s">
        <v>21</v>
      </c>
      <c r="C13" s="11">
        <v>-1416666.6629999988</v>
      </c>
      <c r="D13" s="11">
        <v>0</v>
      </c>
      <c r="E13" s="11">
        <v>0</v>
      </c>
      <c r="F13" s="13">
        <f>SUMIF('OD 10-24'!A:A,A13,'OD 10-24'!D:D)</f>
        <v>0</v>
      </c>
      <c r="G13" s="13">
        <f>SUMIF('OD 12-24'!A:A,A13,'OD 12-24'!E:E)</f>
        <v>0</v>
      </c>
      <c r="H13" s="14">
        <f t="shared" si="0"/>
        <v>0</v>
      </c>
      <c r="I13" s="14">
        <f t="shared" si="1"/>
        <v>-1416666.6629999988</v>
      </c>
      <c r="J13" s="8" t="s">
        <v>22</v>
      </c>
      <c r="K13" s="8"/>
      <c r="M13" s="339"/>
      <c r="N13" s="315"/>
    </row>
    <row r="14" spans="1:14" s="9" customFormat="1" ht="11.25" customHeight="1" x14ac:dyDescent="0.2">
      <c r="A14" s="10">
        <v>16210960</v>
      </c>
      <c r="B14" s="10" t="s">
        <v>275</v>
      </c>
      <c r="C14" s="11">
        <v>0</v>
      </c>
      <c r="D14" s="11">
        <v>0</v>
      </c>
      <c r="E14" s="11">
        <v>0</v>
      </c>
      <c r="F14" s="13">
        <f>SUMIF('OD 10-24'!A:A,A14,'OD 10-24'!D:D)</f>
        <v>0</v>
      </c>
      <c r="G14" s="13">
        <f>SUMIF('OD 12-24'!A:A,A14,'OD 12-24'!E:E)</f>
        <v>0</v>
      </c>
      <c r="H14" s="14">
        <f t="shared" si="0"/>
        <v>0</v>
      </c>
      <c r="I14" s="14">
        <f t="shared" si="1"/>
        <v>0</v>
      </c>
      <c r="J14" s="8"/>
      <c r="K14" s="8"/>
      <c r="M14" s="339"/>
      <c r="N14" s="315"/>
    </row>
    <row r="15" spans="1:14" s="9" customFormat="1" ht="11.25" customHeight="1" x14ac:dyDescent="0.2">
      <c r="A15" s="10">
        <v>16400000</v>
      </c>
      <c r="B15" s="10" t="s">
        <v>276</v>
      </c>
      <c r="C15" s="11">
        <v>-103582.68900000001</v>
      </c>
      <c r="D15" s="11">
        <v>181732.467</v>
      </c>
      <c r="E15" s="11">
        <v>500967.03899999999</v>
      </c>
      <c r="F15" s="13">
        <f>SUMIF('OD 10-24'!A:A,A15,'OD 10-24'!D:D)</f>
        <v>0</v>
      </c>
      <c r="G15" s="13">
        <f>SUMIF('OD 12-24'!A:A,A15,'OD 12-24'!E:E)</f>
        <v>0</v>
      </c>
      <c r="H15" s="14">
        <f t="shared" si="0"/>
        <v>-319234.57199999999</v>
      </c>
      <c r="I15" s="14">
        <f t="shared" si="1"/>
        <v>-422817.261</v>
      </c>
      <c r="J15" s="8" t="s">
        <v>22</v>
      </c>
      <c r="K15" s="8"/>
      <c r="M15" s="339"/>
      <c r="N15" s="315"/>
    </row>
    <row r="16" spans="1:14" s="9" customFormat="1" ht="11.25" customHeight="1" x14ac:dyDescent="0.2">
      <c r="A16" s="10">
        <v>18800000</v>
      </c>
      <c r="B16" s="10" t="s">
        <v>23</v>
      </c>
      <c r="C16" s="11">
        <v>0</v>
      </c>
      <c r="D16" s="11">
        <v>0</v>
      </c>
      <c r="E16" s="11">
        <v>0</v>
      </c>
      <c r="F16" s="13">
        <f>SUMIF('OD 10-24'!A:A,A16,'OD 10-24'!D:D)</f>
        <v>0</v>
      </c>
      <c r="G16" s="13">
        <f>SUMIF('OD 12-24'!A:A,A16,'OD 12-24'!E:E)</f>
        <v>0</v>
      </c>
      <c r="H16" s="14">
        <f t="shared" si="0"/>
        <v>0</v>
      </c>
      <c r="I16" s="14">
        <f t="shared" si="1"/>
        <v>0</v>
      </c>
      <c r="J16" s="8"/>
      <c r="K16" s="8"/>
      <c r="M16" s="339"/>
      <c r="N16" s="315"/>
    </row>
    <row r="17" spans="1:14" s="9" customFormat="1" ht="11.25" customHeight="1" x14ac:dyDescent="0.2">
      <c r="A17" s="10">
        <v>21100000</v>
      </c>
      <c r="B17" s="10" t="s">
        <v>277</v>
      </c>
      <c r="C17" s="11">
        <v>0</v>
      </c>
      <c r="D17" s="11">
        <v>0</v>
      </c>
      <c r="E17" s="11">
        <v>0</v>
      </c>
      <c r="F17" s="13">
        <f>SUMIF('OD 10-24'!A:A,A17,'OD 10-24'!D:D)</f>
        <v>0</v>
      </c>
      <c r="G17" s="13">
        <f>SUMIF('OD 12-24'!A:A,A17,'OD 12-24'!E:E)</f>
        <v>0</v>
      </c>
      <c r="H17" s="14">
        <f t="shared" si="0"/>
        <v>0</v>
      </c>
      <c r="I17" s="14">
        <f t="shared" si="1"/>
        <v>0</v>
      </c>
      <c r="J17" s="8"/>
      <c r="K17" s="8"/>
      <c r="M17" s="339"/>
      <c r="N17" s="315"/>
    </row>
    <row r="18" spans="1:14" s="9" customFormat="1" ht="11.25" customHeight="1" x14ac:dyDescent="0.2">
      <c r="A18" s="10">
        <v>21300000</v>
      </c>
      <c r="B18" s="10" t="s">
        <v>24</v>
      </c>
      <c r="C18" s="11">
        <v>93173.926999999996</v>
      </c>
      <c r="D18" s="11">
        <v>53872.780000000006</v>
      </c>
      <c r="E18" s="11">
        <v>0</v>
      </c>
      <c r="F18" s="13">
        <f>SUMIF('OD 10-24'!A:A,A18,'OD 10-24'!D:D)</f>
        <v>0</v>
      </c>
      <c r="G18" s="13">
        <f>SUMIF('OD 12-24'!A:A,A18,'OD 12-24'!E:E)</f>
        <v>42950.400000000001</v>
      </c>
      <c r="H18" s="14">
        <f t="shared" si="0"/>
        <v>10922.380000000005</v>
      </c>
      <c r="I18" s="14">
        <f t="shared" si="1"/>
        <v>104096.307</v>
      </c>
      <c r="J18" s="8" t="s">
        <v>25</v>
      </c>
      <c r="K18" s="8"/>
      <c r="M18" s="339"/>
      <c r="N18" s="315"/>
    </row>
    <row r="19" spans="1:14" s="9" customFormat="1" ht="11.25" customHeight="1" x14ac:dyDescent="0.2">
      <c r="A19" s="10">
        <v>22000000</v>
      </c>
      <c r="B19" s="10" t="s">
        <v>278</v>
      </c>
      <c r="C19" s="11">
        <v>0</v>
      </c>
      <c r="D19" s="11">
        <v>0</v>
      </c>
      <c r="E19" s="11">
        <v>0</v>
      </c>
      <c r="F19" s="13">
        <f>SUMIF('OD 10-24'!A:A,A19,'OD 10-24'!D:D)</f>
        <v>0</v>
      </c>
      <c r="G19" s="13">
        <f>SUMIF('OD 12-24'!A:A,A19,'OD 12-24'!E:E)</f>
        <v>0</v>
      </c>
      <c r="H19" s="14">
        <f t="shared" si="0"/>
        <v>0</v>
      </c>
      <c r="I19" s="14">
        <f t="shared" si="1"/>
        <v>0</v>
      </c>
      <c r="J19" s="8"/>
      <c r="K19" s="8"/>
      <c r="M19" s="339"/>
      <c r="N19" s="315"/>
    </row>
    <row r="20" spans="1:14" s="9" customFormat="1" ht="11.25" customHeight="1" x14ac:dyDescent="0.2">
      <c r="A20" s="10">
        <v>22100000</v>
      </c>
      <c r="B20" s="10" t="s">
        <v>26</v>
      </c>
      <c r="C20" s="11">
        <v>1275724</v>
      </c>
      <c r="D20" s="11">
        <v>0</v>
      </c>
      <c r="E20" s="11">
        <v>0</v>
      </c>
      <c r="F20" s="13">
        <f>SUMIF('OD 10-24'!A:A,A20,'OD 10-24'!D:D)</f>
        <v>0</v>
      </c>
      <c r="G20" s="13">
        <f>SUMIF('OD 12-24'!A:A,A20,'OD 12-24'!E:E)</f>
        <v>0</v>
      </c>
      <c r="H20" s="14">
        <f t="shared" si="0"/>
        <v>0</v>
      </c>
      <c r="I20" s="14">
        <f t="shared" si="1"/>
        <v>1275724</v>
      </c>
      <c r="J20" s="8" t="s">
        <v>25</v>
      </c>
      <c r="K20" s="8"/>
      <c r="M20" s="339"/>
      <c r="N20" s="315"/>
    </row>
    <row r="21" spans="1:14" s="9" customFormat="1" ht="11.25" customHeight="1" x14ac:dyDescent="0.2">
      <c r="A21" s="10">
        <v>22160000</v>
      </c>
      <c r="B21" s="10" t="s">
        <v>27</v>
      </c>
      <c r="C21" s="11">
        <v>161921.53600000002</v>
      </c>
      <c r="D21" s="11">
        <v>0</v>
      </c>
      <c r="E21" s="11">
        <v>0</v>
      </c>
      <c r="F21" s="13">
        <f>SUMIF('OD 10-24'!A:A,A21,'OD 10-24'!D:D)</f>
        <v>0</v>
      </c>
      <c r="G21" s="13">
        <f>SUMIF('OD 12-24'!A:A,A21,'OD 12-24'!E:E)</f>
        <v>0</v>
      </c>
      <c r="H21" s="14">
        <f t="shared" si="0"/>
        <v>0</v>
      </c>
      <c r="I21" s="14">
        <f t="shared" si="1"/>
        <v>161921.53600000002</v>
      </c>
      <c r="J21" s="8" t="s">
        <v>25</v>
      </c>
      <c r="K21" s="8"/>
      <c r="M21" s="339"/>
      <c r="N21" s="315"/>
    </row>
    <row r="22" spans="1:14" s="9" customFormat="1" ht="11.25" customHeight="1" x14ac:dyDescent="0.2">
      <c r="A22" s="10">
        <v>22200000</v>
      </c>
      <c r="B22" s="10" t="s">
        <v>28</v>
      </c>
      <c r="C22" s="11">
        <v>9174898.748999998</v>
      </c>
      <c r="D22" s="11">
        <v>0</v>
      </c>
      <c r="E22" s="11">
        <v>0</v>
      </c>
      <c r="F22" s="13">
        <f>SUMIF('OD 10-24'!A:A,A22,'OD 10-24'!D:D)</f>
        <v>0</v>
      </c>
      <c r="G22" s="13">
        <f>SUMIF('OD 12-24'!A:A,A22,'OD 12-24'!E:E)</f>
        <v>0</v>
      </c>
      <c r="H22" s="14">
        <f t="shared" si="0"/>
        <v>0</v>
      </c>
      <c r="I22" s="14">
        <f t="shared" si="1"/>
        <v>9174898.748999998</v>
      </c>
      <c r="J22" s="8" t="s">
        <v>25</v>
      </c>
      <c r="K22" s="8"/>
      <c r="M22" s="339"/>
      <c r="N22" s="315"/>
    </row>
    <row r="23" spans="1:14" s="9" customFormat="1" ht="11.25" customHeight="1" x14ac:dyDescent="0.2">
      <c r="A23" s="10">
        <v>22250000</v>
      </c>
      <c r="B23" s="10" t="s">
        <v>29</v>
      </c>
      <c r="C23" s="11">
        <v>696674.05799999996</v>
      </c>
      <c r="D23" s="11">
        <v>104656.76</v>
      </c>
      <c r="E23" s="11">
        <v>13495.522000000001</v>
      </c>
      <c r="F23" s="13">
        <f>SUMIF('OD 10-24'!A:A,A23,'OD 10-24'!D:D)</f>
        <v>0</v>
      </c>
      <c r="G23" s="13">
        <f>SUMIF('OD 12-24'!A:A,A23,'OD 12-24'!E:E)</f>
        <v>0</v>
      </c>
      <c r="H23" s="14">
        <f t="shared" si="0"/>
        <v>91161.237999999998</v>
      </c>
      <c r="I23" s="14">
        <f t="shared" si="1"/>
        <v>787835.29599999997</v>
      </c>
      <c r="J23" s="8" t="s">
        <v>25</v>
      </c>
      <c r="K23" s="8"/>
      <c r="M23" s="339"/>
      <c r="N23" s="315"/>
    </row>
    <row r="24" spans="1:14" s="9" customFormat="1" ht="11.25" customHeight="1" x14ac:dyDescent="0.2">
      <c r="A24" s="10">
        <v>22300000</v>
      </c>
      <c r="B24" s="10" t="s">
        <v>30</v>
      </c>
      <c r="C24" s="11">
        <v>73570.611000000004</v>
      </c>
      <c r="D24" s="11">
        <v>26392</v>
      </c>
      <c r="E24" s="11">
        <v>0</v>
      </c>
      <c r="F24" s="13">
        <f>SUMIF('OD 10-24'!A:A,A24,'OD 10-24'!D:D)</f>
        <v>0</v>
      </c>
      <c r="G24" s="13">
        <f>SUMIF('OD 12-24'!A:A,A24,'OD 12-24'!E:E)</f>
        <v>0</v>
      </c>
      <c r="H24" s="14">
        <f t="shared" si="0"/>
        <v>26392</v>
      </c>
      <c r="I24" s="14">
        <f t="shared" si="1"/>
        <v>99962.611000000004</v>
      </c>
      <c r="J24" s="8" t="s">
        <v>25</v>
      </c>
      <c r="K24" s="8"/>
      <c r="M24" s="339"/>
      <c r="N24" s="315"/>
    </row>
    <row r="25" spans="1:14" s="9" customFormat="1" ht="11.25" customHeight="1" x14ac:dyDescent="0.2">
      <c r="A25" s="10">
        <v>22310000</v>
      </c>
      <c r="B25" s="10" t="s">
        <v>31</v>
      </c>
      <c r="C25" s="11">
        <v>0</v>
      </c>
      <c r="D25" s="11">
        <v>27986.973999999998</v>
      </c>
      <c r="E25" s="11">
        <v>0</v>
      </c>
      <c r="F25" s="13">
        <f>SUMIF('OD 10-24'!A:A,A25,'OD 10-24'!D:D)</f>
        <v>0</v>
      </c>
      <c r="G25" s="13">
        <f>SUMIF('OD 12-24'!A:A,A25,'OD 12-24'!E:E)</f>
        <v>0</v>
      </c>
      <c r="H25" s="14">
        <f t="shared" si="0"/>
        <v>27986.973999999998</v>
      </c>
      <c r="I25" s="14">
        <f t="shared" si="1"/>
        <v>27986.973999999998</v>
      </c>
      <c r="J25" s="8" t="s">
        <v>25</v>
      </c>
      <c r="K25" s="8"/>
      <c r="M25" s="339"/>
      <c r="N25" s="315"/>
    </row>
    <row r="26" spans="1:14" s="9" customFormat="1" ht="11.25" customHeight="1" x14ac:dyDescent="0.2">
      <c r="A26" s="10">
        <v>22340000</v>
      </c>
      <c r="B26" s="10" t="s">
        <v>32</v>
      </c>
      <c r="C26" s="11">
        <v>24676096.882049002</v>
      </c>
      <c r="D26" s="11">
        <v>641674.66749999998</v>
      </c>
      <c r="E26" s="11">
        <v>353106.76799999998</v>
      </c>
      <c r="F26" s="13">
        <f>SUMIF('OD 10-24'!A:A,A26,'OD 10-24'!D:D)</f>
        <v>9020</v>
      </c>
      <c r="G26" s="13">
        <f>SUMIF('OD 12-24'!A:A,A26,'OD 12-24'!E:E)</f>
        <v>9020</v>
      </c>
      <c r="H26" s="14">
        <f t="shared" si="0"/>
        <v>288567.8995</v>
      </c>
      <c r="I26" s="14">
        <f t="shared" si="1"/>
        <v>24964664.781549003</v>
      </c>
      <c r="J26" s="8" t="s">
        <v>25</v>
      </c>
      <c r="K26" s="8"/>
      <c r="M26" s="339"/>
      <c r="N26" s="315"/>
    </row>
    <row r="27" spans="1:14" s="9" customFormat="1" ht="11.25" customHeight="1" x14ac:dyDescent="0.2">
      <c r="A27" s="10">
        <v>22350000</v>
      </c>
      <c r="B27" s="10" t="s">
        <v>33</v>
      </c>
      <c r="C27" s="11">
        <v>651798.13449999969</v>
      </c>
      <c r="D27" s="11">
        <v>79525.542999999991</v>
      </c>
      <c r="E27" s="11">
        <v>2630.2129999999997</v>
      </c>
      <c r="F27" s="13">
        <f>SUMIF('OD 10-24'!A:A,A27,'OD 10-24'!D:D)</f>
        <v>15062.4</v>
      </c>
      <c r="G27" s="13">
        <f>SUMIF('OD 12-24'!A:A,A27,'OD 12-24'!E:E)</f>
        <v>15062.4</v>
      </c>
      <c r="H27" s="14">
        <f t="shared" si="0"/>
        <v>76895.329999999987</v>
      </c>
      <c r="I27" s="14">
        <f t="shared" si="1"/>
        <v>728693.46449999965</v>
      </c>
      <c r="J27" s="8" t="s">
        <v>25</v>
      </c>
      <c r="K27" s="8"/>
      <c r="M27" s="339"/>
      <c r="N27" s="315"/>
    </row>
    <row r="28" spans="1:14" s="9" customFormat="1" ht="11.25" customHeight="1" x14ac:dyDescent="0.2">
      <c r="A28" s="10">
        <v>22370000</v>
      </c>
      <c r="B28" s="10" t="s">
        <v>34</v>
      </c>
      <c r="C28" s="11">
        <v>901593.20599999989</v>
      </c>
      <c r="D28" s="11">
        <v>8125.4519999999993</v>
      </c>
      <c r="E28" s="11">
        <v>8125.4519999999993</v>
      </c>
      <c r="F28" s="13">
        <f>SUMIF('OD 10-24'!A:A,A28,'OD 10-24'!D:D)</f>
        <v>0</v>
      </c>
      <c r="G28" s="13">
        <f>SUMIF('OD 12-24'!A:A,A28,'OD 12-24'!E:E)</f>
        <v>0</v>
      </c>
      <c r="H28" s="14">
        <f t="shared" si="0"/>
        <v>0</v>
      </c>
      <c r="I28" s="14">
        <f t="shared" si="1"/>
        <v>901593.20599999989</v>
      </c>
      <c r="J28" s="8" t="s">
        <v>25</v>
      </c>
      <c r="K28" s="8"/>
      <c r="M28" s="339"/>
      <c r="N28" s="315"/>
    </row>
    <row r="29" spans="1:14" s="9" customFormat="1" ht="11.25" customHeight="1" x14ac:dyDescent="0.2">
      <c r="A29" s="10">
        <v>22400000</v>
      </c>
      <c r="B29" s="10" t="s">
        <v>35</v>
      </c>
      <c r="C29" s="11">
        <v>1176312.6140000001</v>
      </c>
      <c r="D29" s="11">
        <v>133659.84</v>
      </c>
      <c r="E29" s="11">
        <v>96728.61</v>
      </c>
      <c r="F29" s="13">
        <f>SUMIF('OD 10-24'!A:A,A29,'OD 10-24'!D:D)</f>
        <v>0</v>
      </c>
      <c r="G29" s="13">
        <f>SUMIF('OD 12-24'!A:A,A29,'OD 12-24'!E:E)</f>
        <v>0</v>
      </c>
      <c r="H29" s="14">
        <f t="shared" si="0"/>
        <v>36931.229999999996</v>
      </c>
      <c r="I29" s="14">
        <f t="shared" si="1"/>
        <v>1213243.844</v>
      </c>
      <c r="J29" s="8" t="s">
        <v>25</v>
      </c>
      <c r="K29" s="8"/>
      <c r="M29" s="339"/>
      <c r="N29" s="315"/>
    </row>
    <row r="30" spans="1:14" s="9" customFormat="1" ht="11.25" customHeight="1" x14ac:dyDescent="0.2">
      <c r="A30" s="10">
        <v>22810000</v>
      </c>
      <c r="B30" s="10" t="s">
        <v>36</v>
      </c>
      <c r="C30" s="11">
        <v>0</v>
      </c>
      <c r="D30" s="11">
        <v>0</v>
      </c>
      <c r="E30" s="11">
        <v>0</v>
      </c>
      <c r="F30" s="13">
        <f>SUMIF('OD 10-24'!A:A,A30,'OD 10-24'!D:D)</f>
        <v>0</v>
      </c>
      <c r="G30" s="13">
        <f>SUMIF('OD 12-24'!A:A,A30,'OD 12-24'!E:E)</f>
        <v>0</v>
      </c>
      <c r="H30" s="14">
        <f t="shared" si="0"/>
        <v>0</v>
      </c>
      <c r="I30" s="14">
        <f t="shared" si="1"/>
        <v>0</v>
      </c>
      <c r="J30" s="8"/>
      <c r="K30" s="8"/>
      <c r="M30" s="339"/>
      <c r="N30" s="315"/>
    </row>
    <row r="31" spans="1:14" s="9" customFormat="1" ht="11.25" customHeight="1" x14ac:dyDescent="0.2">
      <c r="A31" s="10">
        <v>22820000</v>
      </c>
      <c r="B31" s="10" t="s">
        <v>37</v>
      </c>
      <c r="C31" s="11">
        <v>281171.26415</v>
      </c>
      <c r="D31" s="11">
        <v>51924.12</v>
      </c>
      <c r="E31" s="11">
        <v>313.10000000000002</v>
      </c>
      <c r="F31" s="13">
        <f>SUMIF('OD 10-24'!A:A,A31,'OD 10-24'!D:D)</f>
        <v>0</v>
      </c>
      <c r="G31" s="13">
        <f>SUMIF('OD 12-24'!A:A,A31,'OD 12-24'!E:E)</f>
        <v>0</v>
      </c>
      <c r="H31" s="14">
        <f t="shared" si="0"/>
        <v>51611.020000000004</v>
      </c>
      <c r="I31" s="14">
        <f t="shared" si="1"/>
        <v>332782.28415000002</v>
      </c>
      <c r="J31" s="8" t="s">
        <v>25</v>
      </c>
      <c r="K31" s="8"/>
      <c r="M31" s="339"/>
      <c r="N31" s="315"/>
    </row>
    <row r="32" spans="1:14" s="9" customFormat="1" ht="11.25" customHeight="1" x14ac:dyDescent="0.2">
      <c r="A32" s="10">
        <v>22830000</v>
      </c>
      <c r="B32" s="10" t="s">
        <v>279</v>
      </c>
      <c r="C32" s="11">
        <v>243796.16828599994</v>
      </c>
      <c r="D32" s="11">
        <v>53449.845999999998</v>
      </c>
      <c r="E32" s="11">
        <v>2487.395</v>
      </c>
      <c r="F32" s="13">
        <f>SUMIF('OD 10-24'!A:A,A32,'OD 10-24'!D:D)</f>
        <v>0</v>
      </c>
      <c r="G32" s="13">
        <f>SUMIF('OD 12-24'!A:A,A32,'OD 12-24'!E:E)</f>
        <v>12816.754000000001</v>
      </c>
      <c r="H32" s="14">
        <f t="shared" si="0"/>
        <v>38145.697</v>
      </c>
      <c r="I32" s="14">
        <f t="shared" si="1"/>
        <v>281941.86528599996</v>
      </c>
      <c r="J32" s="8" t="s">
        <v>25</v>
      </c>
      <c r="K32" s="8"/>
      <c r="M32" s="339"/>
      <c r="N32" s="315"/>
    </row>
    <row r="33" spans="1:14" s="9" customFormat="1" ht="11.25" customHeight="1" x14ac:dyDescent="0.2">
      <c r="A33" s="10">
        <v>23000000</v>
      </c>
      <c r="B33" s="10" t="s">
        <v>280</v>
      </c>
      <c r="C33" s="11">
        <v>2.0000000404252205E-5</v>
      </c>
      <c r="D33" s="11">
        <v>0</v>
      </c>
      <c r="E33" s="11">
        <v>0</v>
      </c>
      <c r="F33" s="13">
        <f>SUMIF('OD 10-24'!A:A,A33,'OD 10-24'!D:D)</f>
        <v>0</v>
      </c>
      <c r="G33" s="13">
        <f>SUMIF('OD 12-24'!A:A,A33,'OD 12-24'!E:E)</f>
        <v>0</v>
      </c>
      <c r="H33" s="14">
        <f t="shared" si="0"/>
        <v>0</v>
      </c>
      <c r="I33" s="14">
        <f t="shared" si="1"/>
        <v>2.0000000404252205E-5</v>
      </c>
      <c r="J33" s="8"/>
      <c r="K33" s="8"/>
      <c r="M33" s="339"/>
      <c r="N33" s="315"/>
    </row>
    <row r="34" spans="1:14" s="9" customFormat="1" ht="11.25" customHeight="1" x14ac:dyDescent="0.2">
      <c r="A34" s="10">
        <v>23100000</v>
      </c>
      <c r="B34" s="10" t="s">
        <v>7399</v>
      </c>
      <c r="C34" s="11">
        <v>0</v>
      </c>
      <c r="D34" s="11">
        <v>17045.8</v>
      </c>
      <c r="E34" s="11">
        <v>0</v>
      </c>
      <c r="F34" s="13">
        <f>SUMIF('OD 10-24'!A:A,A34,'OD 10-24'!D:D)</f>
        <v>0</v>
      </c>
      <c r="G34" s="13">
        <f>SUMIF('OD 12-24'!A:A,A34,'OD 12-24'!E:E)</f>
        <v>0</v>
      </c>
      <c r="H34" s="14">
        <f t="shared" si="0"/>
        <v>17045.8</v>
      </c>
      <c r="I34" s="14">
        <f t="shared" si="1"/>
        <v>17045.8</v>
      </c>
      <c r="J34" s="8" t="s">
        <v>25</v>
      </c>
      <c r="K34" s="8"/>
      <c r="M34" s="339"/>
      <c r="N34" s="315"/>
    </row>
    <row r="35" spans="1:14" s="9" customFormat="1" ht="11.25" customHeight="1" x14ac:dyDescent="0.2">
      <c r="A35" s="10">
        <v>23200000</v>
      </c>
      <c r="B35" s="10" t="s">
        <v>38</v>
      </c>
      <c r="C35" s="11">
        <v>404721.24329749867</v>
      </c>
      <c r="D35" s="11">
        <v>262784.84640000004</v>
      </c>
      <c r="E35" s="11">
        <v>144.87899999999999</v>
      </c>
      <c r="F35" s="13">
        <f>SUMIF('OD 10-24'!A:A,A35,'OD 10-24'!D:D)</f>
        <v>0</v>
      </c>
      <c r="G35" s="13">
        <f>SUMIF('OD 12-24'!A:A,A35,'OD 12-24'!E:E)</f>
        <v>0</v>
      </c>
      <c r="H35" s="14">
        <f t="shared" si="0"/>
        <v>262639.96740000002</v>
      </c>
      <c r="I35" s="14">
        <f t="shared" si="1"/>
        <v>667361.21069749864</v>
      </c>
      <c r="J35" s="8" t="s">
        <v>25</v>
      </c>
      <c r="K35" s="8"/>
      <c r="M35" s="339"/>
      <c r="N35" s="315"/>
    </row>
    <row r="36" spans="1:14" s="9" customFormat="1" ht="11.25" customHeight="1" x14ac:dyDescent="0.2">
      <c r="A36" s="10">
        <v>23220000</v>
      </c>
      <c r="B36" s="10" t="s">
        <v>39</v>
      </c>
      <c r="C36" s="11">
        <v>0</v>
      </c>
      <c r="D36" s="11">
        <v>9020.2100000000009</v>
      </c>
      <c r="E36" s="11">
        <v>5800</v>
      </c>
      <c r="F36" s="13">
        <f>SUMIF('OD 10-24'!A:A,A36,'OD 10-24'!D:D)</f>
        <v>0</v>
      </c>
      <c r="G36" s="13">
        <f>SUMIF('OD 12-24'!A:A,A36,'OD 12-24'!E:E)</f>
        <v>0</v>
      </c>
      <c r="H36" s="14">
        <f t="shared" si="0"/>
        <v>3220.2100000000009</v>
      </c>
      <c r="I36" s="14">
        <f t="shared" si="1"/>
        <v>3220.2100000000009</v>
      </c>
      <c r="J36" s="8" t="s">
        <v>25</v>
      </c>
      <c r="K36" s="8"/>
      <c r="M36" s="339"/>
      <c r="N36" s="315"/>
    </row>
    <row r="37" spans="1:14" s="9" customFormat="1" ht="11.25" customHeight="1" x14ac:dyDescent="0.2">
      <c r="A37" s="10">
        <v>23225000</v>
      </c>
      <c r="B37" s="10" t="s">
        <v>281</v>
      </c>
      <c r="C37" s="11">
        <v>0</v>
      </c>
      <c r="D37" s="11">
        <v>0</v>
      </c>
      <c r="E37" s="11">
        <v>0</v>
      </c>
      <c r="F37" s="13">
        <f>SUMIF('OD 10-24'!A:A,A37,'OD 10-24'!D:D)</f>
        <v>0</v>
      </c>
      <c r="G37" s="13">
        <f>SUMIF('OD 12-24'!A:A,A37,'OD 12-24'!E:E)</f>
        <v>0</v>
      </c>
      <c r="H37" s="14">
        <f t="shared" si="0"/>
        <v>0</v>
      </c>
      <c r="I37" s="14">
        <f t="shared" si="1"/>
        <v>0</v>
      </c>
      <c r="J37" s="8"/>
      <c r="K37" s="8"/>
      <c r="M37" s="339"/>
      <c r="N37" s="315"/>
    </row>
    <row r="38" spans="1:14" s="9" customFormat="1" ht="11.25" customHeight="1" x14ac:dyDescent="0.2">
      <c r="A38" s="10">
        <v>23231000</v>
      </c>
      <c r="B38" s="10" t="s">
        <v>282</v>
      </c>
      <c r="C38" s="11">
        <v>0</v>
      </c>
      <c r="D38" s="11">
        <v>0</v>
      </c>
      <c r="E38" s="11">
        <v>0</v>
      </c>
      <c r="F38" s="13">
        <f>SUMIF('OD 10-24'!A:A,A38,'OD 10-24'!D:D)</f>
        <v>0</v>
      </c>
      <c r="G38" s="13">
        <f>SUMIF('OD 12-24'!A:A,A38,'OD 12-24'!E:E)</f>
        <v>0</v>
      </c>
      <c r="H38" s="14">
        <f t="shared" si="0"/>
        <v>0</v>
      </c>
      <c r="I38" s="14">
        <f t="shared" si="1"/>
        <v>0</v>
      </c>
      <c r="J38" s="8"/>
      <c r="K38" s="8"/>
      <c r="M38" s="339"/>
      <c r="N38" s="315"/>
    </row>
    <row r="39" spans="1:14" s="9" customFormat="1" ht="11.25" customHeight="1" x14ac:dyDescent="0.2">
      <c r="A39" s="10">
        <v>23237000</v>
      </c>
      <c r="B39" s="10" t="s">
        <v>283</v>
      </c>
      <c r="C39" s="11">
        <v>0</v>
      </c>
      <c r="D39" s="11">
        <v>0</v>
      </c>
      <c r="E39" s="11">
        <v>0</v>
      </c>
      <c r="F39" s="13">
        <f>SUMIF('OD 10-24'!A:A,A39,'OD 10-24'!D:D)</f>
        <v>0</v>
      </c>
      <c r="G39" s="13">
        <f>SUMIF('OD 12-24'!A:A,A39,'OD 12-24'!E:E)</f>
        <v>0</v>
      </c>
      <c r="H39" s="14">
        <f t="shared" si="0"/>
        <v>0</v>
      </c>
      <c r="I39" s="14">
        <f t="shared" si="1"/>
        <v>0</v>
      </c>
      <c r="J39" s="8"/>
      <c r="K39" s="8"/>
      <c r="M39" s="339"/>
      <c r="N39" s="315"/>
    </row>
    <row r="40" spans="1:14" s="9" customFormat="1" ht="11.25" customHeight="1" x14ac:dyDescent="0.2">
      <c r="A40" s="10">
        <v>23250000</v>
      </c>
      <c r="B40" s="10" t="s">
        <v>284</v>
      </c>
      <c r="C40" s="11">
        <v>0</v>
      </c>
      <c r="D40" s="11">
        <v>0</v>
      </c>
      <c r="E40" s="11">
        <v>0</v>
      </c>
      <c r="F40" s="13">
        <f>SUMIF('OD 10-24'!A:A,A40,'OD 10-24'!D:D)</f>
        <v>0</v>
      </c>
      <c r="G40" s="13">
        <f>SUMIF('OD 12-24'!A:A,A40,'OD 12-24'!E:E)</f>
        <v>0</v>
      </c>
      <c r="H40" s="14">
        <f t="shared" si="0"/>
        <v>0</v>
      </c>
      <c r="I40" s="14">
        <f t="shared" si="1"/>
        <v>0</v>
      </c>
      <c r="J40" s="8"/>
      <c r="K40" s="8"/>
      <c r="M40" s="339"/>
      <c r="N40" s="315"/>
    </row>
    <row r="41" spans="1:14" s="9" customFormat="1" ht="11.25" customHeight="1" x14ac:dyDescent="0.2">
      <c r="A41" s="10">
        <v>23800000</v>
      </c>
      <c r="B41" s="10" t="s">
        <v>285</v>
      </c>
      <c r="C41" s="11">
        <v>0</v>
      </c>
      <c r="D41" s="11">
        <v>0</v>
      </c>
      <c r="E41" s="11">
        <v>0</v>
      </c>
      <c r="F41" s="13">
        <f>SUMIF('OD 10-24'!A:A,A41,'OD 10-24'!D:D)</f>
        <v>0</v>
      </c>
      <c r="G41" s="13">
        <f>SUMIF('OD 12-24'!A:A,A41,'OD 12-24'!E:E)</f>
        <v>0</v>
      </c>
      <c r="H41" s="14">
        <f t="shared" si="0"/>
        <v>0</v>
      </c>
      <c r="I41" s="14">
        <f t="shared" si="1"/>
        <v>0</v>
      </c>
      <c r="J41" s="8"/>
      <c r="K41" s="8"/>
      <c r="M41" s="339"/>
      <c r="N41" s="315"/>
    </row>
    <row r="42" spans="1:14" s="9" customFormat="1" ht="11.25" customHeight="1" x14ac:dyDescent="0.2">
      <c r="A42" s="10">
        <v>24000000</v>
      </c>
      <c r="B42" s="10" t="s">
        <v>40</v>
      </c>
      <c r="C42" s="11">
        <v>770033.75899999996</v>
      </c>
      <c r="D42" s="11">
        <v>675550.6</v>
      </c>
      <c r="E42" s="11">
        <v>385280.63500000001</v>
      </c>
      <c r="F42" s="13">
        <f>SUMIF('OD 10-24'!A:A,A42,'OD 10-24'!D:D)</f>
        <v>0</v>
      </c>
      <c r="G42" s="13">
        <f>SUMIF('OD 12-24'!A:A,A42,'OD 12-24'!E:E)</f>
        <v>0</v>
      </c>
      <c r="H42" s="14">
        <f t="shared" si="0"/>
        <v>290269.96499999997</v>
      </c>
      <c r="I42" s="14">
        <f t="shared" si="1"/>
        <v>1060303.7239999999</v>
      </c>
      <c r="J42" s="8" t="s">
        <v>25</v>
      </c>
      <c r="K42" s="8"/>
      <c r="M42" s="339"/>
      <c r="N42" s="315"/>
    </row>
    <row r="43" spans="1:14" s="9" customFormat="1" ht="11.25" customHeight="1" x14ac:dyDescent="0.2">
      <c r="A43" s="10">
        <v>25100000</v>
      </c>
      <c r="B43" s="10" t="s">
        <v>286</v>
      </c>
      <c r="C43" s="11">
        <v>0</v>
      </c>
      <c r="D43" s="11">
        <v>0</v>
      </c>
      <c r="E43" s="11">
        <v>0</v>
      </c>
      <c r="F43" s="13">
        <f>SUMIF('OD 10-24'!A:A,A43,'OD 10-24'!D:D)</f>
        <v>0</v>
      </c>
      <c r="G43" s="13">
        <f>SUMIF('OD 12-24'!A:A,A43,'OD 12-24'!E:E)</f>
        <v>0</v>
      </c>
      <c r="H43" s="14">
        <f t="shared" si="0"/>
        <v>0</v>
      </c>
      <c r="I43" s="14">
        <f t="shared" si="1"/>
        <v>0</v>
      </c>
      <c r="J43" s="8"/>
      <c r="K43" s="8"/>
      <c r="M43" s="339"/>
      <c r="N43" s="315"/>
    </row>
    <row r="44" spans="1:14" s="9" customFormat="1" ht="11.25" customHeight="1" x14ac:dyDescent="0.2">
      <c r="A44" s="10">
        <v>25110000</v>
      </c>
      <c r="B44" s="10" t="s">
        <v>41</v>
      </c>
      <c r="C44" s="11">
        <v>266820</v>
      </c>
      <c r="D44" s="11">
        <v>0</v>
      </c>
      <c r="E44" s="11">
        <v>0</v>
      </c>
      <c r="F44" s="13">
        <f>SUMIF('OD 10-24'!A:A,A44,'OD 10-24'!D:D)</f>
        <v>0</v>
      </c>
      <c r="G44" s="13">
        <f>SUMIF('OD 12-24'!A:A,A44,'OD 12-24'!E:E)</f>
        <v>0</v>
      </c>
      <c r="H44" s="14">
        <f t="shared" si="0"/>
        <v>0</v>
      </c>
      <c r="I44" s="14">
        <f t="shared" si="1"/>
        <v>266820</v>
      </c>
      <c r="J44" s="8" t="s">
        <v>42</v>
      </c>
      <c r="K44" s="8"/>
      <c r="M44" s="339"/>
      <c r="N44" s="315"/>
    </row>
    <row r="45" spans="1:14" s="9" customFormat="1" ht="11.25" customHeight="1" x14ac:dyDescent="0.2">
      <c r="A45" s="10">
        <v>25120000</v>
      </c>
      <c r="B45" s="10" t="s">
        <v>287</v>
      </c>
      <c r="C45" s="11">
        <v>512700</v>
      </c>
      <c r="D45" s="11">
        <v>0</v>
      </c>
      <c r="E45" s="11">
        <v>0</v>
      </c>
      <c r="F45" s="13">
        <f>SUMIF('OD 10-24'!A:A,A45,'OD 10-24'!D:D)</f>
        <v>0</v>
      </c>
      <c r="G45" s="13">
        <f>SUMIF('OD 12-24'!A:A,A45,'OD 12-24'!E:E)</f>
        <v>0</v>
      </c>
      <c r="H45" s="14">
        <f t="shared" si="0"/>
        <v>0</v>
      </c>
      <c r="I45" s="14">
        <f t="shared" si="1"/>
        <v>512700</v>
      </c>
      <c r="J45" s="8" t="s">
        <v>42</v>
      </c>
      <c r="K45" s="8"/>
      <c r="M45" s="339"/>
      <c r="N45" s="315"/>
    </row>
    <row r="46" spans="1:14" s="9" customFormat="1" ht="11.25" customHeight="1" x14ac:dyDescent="0.2">
      <c r="A46" s="10">
        <v>25130000</v>
      </c>
      <c r="B46" s="10" t="s">
        <v>43</v>
      </c>
      <c r="C46" s="11">
        <v>677000</v>
      </c>
      <c r="D46" s="11">
        <v>0</v>
      </c>
      <c r="E46" s="11">
        <v>0</v>
      </c>
      <c r="F46" s="13">
        <f>SUMIF('OD 10-24'!A:A,A46,'OD 10-24'!D:D)</f>
        <v>0</v>
      </c>
      <c r="G46" s="13">
        <f>SUMIF('OD 12-24'!A:A,A46,'OD 12-24'!E:E)</f>
        <v>0</v>
      </c>
      <c r="H46" s="14">
        <f t="shared" si="0"/>
        <v>0</v>
      </c>
      <c r="I46" s="14">
        <f t="shared" si="1"/>
        <v>677000</v>
      </c>
      <c r="J46" s="8" t="s">
        <v>42</v>
      </c>
      <c r="K46" s="8"/>
      <c r="M46" s="339"/>
      <c r="N46" s="315"/>
    </row>
    <row r="47" spans="1:14" s="9" customFormat="1" ht="11.25" customHeight="1" x14ac:dyDescent="0.2">
      <c r="A47" s="10">
        <v>25140000</v>
      </c>
      <c r="B47" s="10" t="s">
        <v>44</v>
      </c>
      <c r="C47" s="11">
        <v>3150000</v>
      </c>
      <c r="D47" s="11">
        <v>0</v>
      </c>
      <c r="E47" s="11">
        <v>0</v>
      </c>
      <c r="F47" s="13">
        <f>SUMIF('OD 10-24'!A:A,A47,'OD 10-24'!D:D)</f>
        <v>0</v>
      </c>
      <c r="G47" s="13">
        <f>SUMIF('OD 12-24'!A:A,A47,'OD 12-24'!E:E)</f>
        <v>0</v>
      </c>
      <c r="H47" s="14">
        <f t="shared" si="0"/>
        <v>0</v>
      </c>
      <c r="I47" s="14">
        <f t="shared" si="1"/>
        <v>3150000</v>
      </c>
      <c r="J47" s="8" t="s">
        <v>42</v>
      </c>
      <c r="K47" s="8"/>
      <c r="M47" s="339"/>
      <c r="N47" s="315"/>
    </row>
    <row r="48" spans="1:14" s="9" customFormat="1" ht="11.25" customHeight="1" x14ac:dyDescent="0.2">
      <c r="A48" s="10">
        <v>25150000</v>
      </c>
      <c r="B48" s="10" t="s">
        <v>387</v>
      </c>
      <c r="C48" s="11">
        <v>319680</v>
      </c>
      <c r="D48" s="11">
        <v>0</v>
      </c>
      <c r="E48" s="11">
        <v>0</v>
      </c>
      <c r="F48" s="13">
        <f>SUMIF('OD 10-24'!A:A,A48,'OD 10-24'!D:D)</f>
        <v>0</v>
      </c>
      <c r="G48" s="13">
        <f>SUMIF('OD 12-24'!A:A,A48,'OD 12-24'!E:E)</f>
        <v>0</v>
      </c>
      <c r="H48" s="14">
        <f t="shared" si="0"/>
        <v>0</v>
      </c>
      <c r="I48" s="14">
        <f t="shared" si="1"/>
        <v>319680</v>
      </c>
      <c r="J48" s="8" t="s">
        <v>42</v>
      </c>
      <c r="K48" s="8"/>
      <c r="M48" s="339"/>
      <c r="N48" s="315"/>
    </row>
    <row r="49" spans="1:14" s="9" customFormat="1" ht="11.25" customHeight="1" x14ac:dyDescent="0.2">
      <c r="A49" s="10">
        <v>25700000</v>
      </c>
      <c r="B49" s="10" t="s">
        <v>288</v>
      </c>
      <c r="C49" s="11">
        <v>0</v>
      </c>
      <c r="D49" s="11">
        <v>0</v>
      </c>
      <c r="E49" s="11">
        <v>0</v>
      </c>
      <c r="F49" s="13">
        <f>SUMIF('OD 10-24'!A:A,A49,'OD 10-24'!D:D)</f>
        <v>0</v>
      </c>
      <c r="G49" s="13">
        <f>SUMIF('OD 12-24'!A:A,A49,'OD 12-24'!E:E)</f>
        <v>0</v>
      </c>
      <c r="H49" s="14">
        <f t="shared" si="0"/>
        <v>0</v>
      </c>
      <c r="I49" s="14">
        <f t="shared" si="1"/>
        <v>0</v>
      </c>
      <c r="J49" s="8" t="s">
        <v>42</v>
      </c>
      <c r="K49" s="8"/>
      <c r="M49" s="339"/>
      <c r="N49" s="315"/>
    </row>
    <row r="50" spans="1:14" s="9" customFormat="1" ht="11.25" customHeight="1" x14ac:dyDescent="0.2">
      <c r="A50" s="10">
        <v>25810000</v>
      </c>
      <c r="B50" s="10" t="s">
        <v>289</v>
      </c>
      <c r="C50" s="11">
        <v>0</v>
      </c>
      <c r="D50" s="11">
        <v>0</v>
      </c>
      <c r="E50" s="11">
        <v>0</v>
      </c>
      <c r="F50" s="13">
        <f>SUMIF('OD 10-24'!A:A,A50,'OD 10-24'!D:D)</f>
        <v>0</v>
      </c>
      <c r="G50" s="13">
        <f>SUMIF('OD 12-24'!A:A,A50,'OD 12-24'!E:E)</f>
        <v>0</v>
      </c>
      <c r="H50" s="14">
        <f t="shared" si="0"/>
        <v>0</v>
      </c>
      <c r="I50" s="14">
        <f t="shared" si="1"/>
        <v>0</v>
      </c>
      <c r="J50" s="8"/>
      <c r="K50" s="8"/>
      <c r="M50" s="339"/>
      <c r="N50" s="315"/>
    </row>
    <row r="51" spans="1:14" s="9" customFormat="1" ht="11.25" customHeight="1" x14ac:dyDescent="0.2">
      <c r="A51" s="10">
        <v>26400000</v>
      </c>
      <c r="B51" s="10" t="s">
        <v>290</v>
      </c>
      <c r="C51" s="11">
        <v>0</v>
      </c>
      <c r="D51" s="11">
        <v>100</v>
      </c>
      <c r="E51" s="11">
        <v>100</v>
      </c>
      <c r="F51" s="13">
        <f>SUMIF('OD 10-24'!A:A,A51,'OD 10-24'!D:D)</f>
        <v>0</v>
      </c>
      <c r="G51" s="13">
        <f>SUMIF('OD 12-24'!A:A,A51,'OD 12-24'!E:E)</f>
        <v>0</v>
      </c>
      <c r="H51" s="14">
        <f t="shared" si="0"/>
        <v>0</v>
      </c>
      <c r="I51" s="14">
        <f t="shared" si="1"/>
        <v>0</v>
      </c>
      <c r="J51" s="8"/>
      <c r="K51" s="8"/>
      <c r="M51" s="339"/>
      <c r="N51" s="315"/>
    </row>
    <row r="52" spans="1:14" s="9" customFormat="1" ht="11.25" customHeight="1" x14ac:dyDescent="0.2">
      <c r="A52" s="10">
        <v>26430000</v>
      </c>
      <c r="B52" s="10" t="s">
        <v>291</v>
      </c>
      <c r="C52" s="11">
        <v>0</v>
      </c>
      <c r="D52" s="11">
        <v>141500</v>
      </c>
      <c r="E52" s="11">
        <v>141500</v>
      </c>
      <c r="F52" s="13">
        <f>SUMIF('OD 10-24'!A:A,A52,'OD 10-24'!D:D)</f>
        <v>0</v>
      </c>
      <c r="G52" s="13">
        <f>SUMIF('OD 12-24'!A:A,A52,'OD 12-24'!E:E)</f>
        <v>0</v>
      </c>
      <c r="H52" s="14">
        <f t="shared" si="0"/>
        <v>0</v>
      </c>
      <c r="I52" s="14">
        <f t="shared" si="1"/>
        <v>0</v>
      </c>
      <c r="J52" s="8"/>
      <c r="K52" s="8"/>
      <c r="M52" s="339"/>
      <c r="N52" s="315"/>
    </row>
    <row r="53" spans="1:14" s="9" customFormat="1" ht="11.25" customHeight="1" x14ac:dyDescent="0.2">
      <c r="A53" s="10">
        <v>26500000</v>
      </c>
      <c r="B53" s="10" t="s">
        <v>45</v>
      </c>
      <c r="C53" s="11">
        <v>0</v>
      </c>
      <c r="D53" s="11">
        <v>0</v>
      </c>
      <c r="E53" s="11">
        <v>0</v>
      </c>
      <c r="F53" s="13">
        <f>SUMIF('OD 10-24'!A:A,A53,'OD 10-24'!D:D)</f>
        <v>0</v>
      </c>
      <c r="G53" s="13">
        <f>SUMIF('OD 12-24'!A:A,A53,'OD 12-24'!E:E)</f>
        <v>0</v>
      </c>
      <c r="H53" s="14">
        <f t="shared" si="0"/>
        <v>0</v>
      </c>
      <c r="I53" s="14">
        <f t="shared" si="1"/>
        <v>0</v>
      </c>
      <c r="J53" s="8" t="s">
        <v>46</v>
      </c>
      <c r="K53" s="8"/>
      <c r="M53" s="339"/>
      <c r="N53" s="315"/>
    </row>
    <row r="54" spans="1:14" s="9" customFormat="1" ht="11.25" customHeight="1" x14ac:dyDescent="0.2">
      <c r="A54" s="10">
        <v>26510000</v>
      </c>
      <c r="B54" s="10" t="s">
        <v>292</v>
      </c>
      <c r="C54" s="11">
        <v>0</v>
      </c>
      <c r="D54" s="11">
        <v>0</v>
      </c>
      <c r="E54" s="11">
        <v>0</v>
      </c>
      <c r="F54" s="13">
        <f>SUMIF('OD 10-24'!A:A,A54,'OD 10-24'!D:D)</f>
        <v>0</v>
      </c>
      <c r="G54" s="13">
        <f>SUMIF('OD 12-24'!A:A,A54,'OD 12-24'!E:E)</f>
        <v>0</v>
      </c>
      <c r="H54" s="14">
        <f t="shared" si="0"/>
        <v>0</v>
      </c>
      <c r="I54" s="14">
        <f t="shared" si="1"/>
        <v>0</v>
      </c>
      <c r="J54" s="8"/>
      <c r="K54" s="8"/>
      <c r="M54" s="339"/>
      <c r="N54" s="315"/>
    </row>
    <row r="55" spans="1:14" s="9" customFormat="1" ht="11.25" customHeight="1" x14ac:dyDescent="0.2">
      <c r="A55" s="10">
        <v>26550000</v>
      </c>
      <c r="B55" s="10" t="s">
        <v>293</v>
      </c>
      <c r="C55" s="11">
        <v>0</v>
      </c>
      <c r="D55" s="11">
        <v>0</v>
      </c>
      <c r="E55" s="11">
        <v>0</v>
      </c>
      <c r="F55" s="13">
        <f>SUMIF('OD 10-24'!A:A,A55,'OD 10-24'!D:D)</f>
        <v>0</v>
      </c>
      <c r="G55" s="13">
        <f>SUMIF('OD 12-24'!A:A,A55,'OD 12-24'!E:E)</f>
        <v>0</v>
      </c>
      <c r="H55" s="14">
        <f t="shared" si="0"/>
        <v>0</v>
      </c>
      <c r="I55" s="14">
        <f t="shared" si="1"/>
        <v>0</v>
      </c>
      <c r="J55" s="8"/>
      <c r="K55" s="8"/>
      <c r="M55" s="339"/>
      <c r="N55" s="315"/>
    </row>
    <row r="56" spans="1:14" s="9" customFormat="1" ht="11.25" customHeight="1" x14ac:dyDescent="0.2">
      <c r="A56" s="10">
        <v>26580000</v>
      </c>
      <c r="B56" s="10" t="s">
        <v>23</v>
      </c>
      <c r="C56" s="11">
        <v>5771.2</v>
      </c>
      <c r="D56" s="11">
        <v>0</v>
      </c>
      <c r="E56" s="11">
        <v>0</v>
      </c>
      <c r="F56" s="13">
        <f>SUMIF('OD 10-24'!A:A,A56,'OD 10-24'!D:D)</f>
        <v>0</v>
      </c>
      <c r="G56" s="13">
        <f>SUMIF('OD 12-24'!A:A,A56,'OD 12-24'!E:E)</f>
        <v>0</v>
      </c>
      <c r="H56" s="14">
        <f t="shared" si="0"/>
        <v>0</v>
      </c>
      <c r="I56" s="14">
        <f t="shared" si="1"/>
        <v>5771.2</v>
      </c>
      <c r="J56" s="8" t="s">
        <v>46</v>
      </c>
      <c r="K56" s="8"/>
      <c r="M56" s="339"/>
      <c r="N56" s="315"/>
    </row>
    <row r="57" spans="1:14" s="9" customFormat="1" ht="11.25" customHeight="1" x14ac:dyDescent="0.2">
      <c r="A57" s="10">
        <v>27100000</v>
      </c>
      <c r="B57" s="10" t="s">
        <v>294</v>
      </c>
      <c r="C57" s="11">
        <v>0</v>
      </c>
      <c r="D57" s="11">
        <v>0</v>
      </c>
      <c r="E57" s="11">
        <v>0</v>
      </c>
      <c r="F57" s="13">
        <f>SUMIF('OD 10-24'!A:A,A57,'OD 10-24'!D:D)</f>
        <v>0</v>
      </c>
      <c r="G57" s="13">
        <f>SUMIF('OD 12-24'!A:A,A57,'OD 12-24'!E:E)</f>
        <v>0</v>
      </c>
      <c r="H57" s="14">
        <f t="shared" si="0"/>
        <v>0</v>
      </c>
      <c r="I57" s="14">
        <f t="shared" si="1"/>
        <v>0</v>
      </c>
      <c r="J57" s="8"/>
      <c r="K57" s="8"/>
      <c r="M57" s="339"/>
      <c r="N57" s="315"/>
    </row>
    <row r="58" spans="1:14" s="9" customFormat="1" ht="11.25" customHeight="1" x14ac:dyDescent="0.2">
      <c r="A58" s="10">
        <v>28100000</v>
      </c>
      <c r="B58" s="10" t="s">
        <v>295</v>
      </c>
      <c r="C58" s="11">
        <v>0</v>
      </c>
      <c r="D58" s="11">
        <v>0</v>
      </c>
      <c r="E58" s="11">
        <v>0</v>
      </c>
      <c r="F58" s="13">
        <f>SUMIF('OD 10-24'!A:A,A58,'OD 10-24'!D:D)</f>
        <v>0</v>
      </c>
      <c r="G58" s="13">
        <f>SUMIF('OD 12-24'!A:A,A58,'OD 12-24'!E:E)</f>
        <v>0</v>
      </c>
      <c r="H58" s="14">
        <f t="shared" si="0"/>
        <v>0</v>
      </c>
      <c r="I58" s="14">
        <f t="shared" si="1"/>
        <v>0</v>
      </c>
      <c r="J58" s="8"/>
      <c r="K58" s="8"/>
      <c r="M58" s="339"/>
      <c r="N58" s="315"/>
    </row>
    <row r="59" spans="1:14" s="9" customFormat="1" ht="11.25" customHeight="1" x14ac:dyDescent="0.2">
      <c r="A59" s="10">
        <v>28110000</v>
      </c>
      <c r="B59" s="10" t="s">
        <v>296</v>
      </c>
      <c r="C59" s="11">
        <v>0</v>
      </c>
      <c r="D59" s="11">
        <v>0</v>
      </c>
      <c r="E59" s="11">
        <v>0</v>
      </c>
      <c r="F59" s="13">
        <f>SUMIF('OD 10-24'!A:A,A59,'OD 10-24'!D:D)</f>
        <v>0</v>
      </c>
      <c r="G59" s="13">
        <f>SUMIF('OD 12-24'!A:A,A59,'OD 12-24'!E:E)</f>
        <v>0</v>
      </c>
      <c r="H59" s="14">
        <f t="shared" si="0"/>
        <v>0</v>
      </c>
      <c r="I59" s="14">
        <f t="shared" si="1"/>
        <v>0</v>
      </c>
      <c r="J59" s="8"/>
      <c r="K59" s="8"/>
      <c r="M59" s="339"/>
      <c r="N59" s="315"/>
    </row>
    <row r="60" spans="1:14" s="9" customFormat="1" ht="11.25" customHeight="1" x14ac:dyDescent="0.2">
      <c r="A60" s="10">
        <v>28130000</v>
      </c>
      <c r="B60" s="10" t="s">
        <v>8979</v>
      </c>
      <c r="C60" s="11">
        <v>-75004.895999999993</v>
      </c>
      <c r="D60" s="11">
        <v>0</v>
      </c>
      <c r="E60" s="11">
        <v>0</v>
      </c>
      <c r="F60" s="13">
        <f>SUMIF('OD 10-24'!A:A,A60,'OD 10-24'!D:D)</f>
        <v>49316.24</v>
      </c>
      <c r="G60" s="13">
        <f>SUMIF('OD 12-24'!A:A,A60,'OD 12-24'!E:E)</f>
        <v>94805.332999999999</v>
      </c>
      <c r="H60" s="14">
        <f t="shared" si="0"/>
        <v>-45489.093000000001</v>
      </c>
      <c r="I60" s="14">
        <f t="shared" si="1"/>
        <v>-120493.989</v>
      </c>
      <c r="J60" s="8" t="s">
        <v>47</v>
      </c>
      <c r="K60" s="8"/>
      <c r="M60" s="339"/>
      <c r="N60" s="315"/>
    </row>
    <row r="61" spans="1:14" s="9" customFormat="1" ht="11.25" customHeight="1" x14ac:dyDescent="0.2">
      <c r="A61" s="10">
        <v>28216000</v>
      </c>
      <c r="B61" s="10" t="s">
        <v>48</v>
      </c>
      <c r="C61" s="11">
        <v>-148352.71299999999</v>
      </c>
      <c r="D61" s="11">
        <v>0</v>
      </c>
      <c r="E61" s="11">
        <v>0</v>
      </c>
      <c r="F61" s="13">
        <f>SUMIF('OD 10-24'!A:A,A61,'OD 10-24'!D:D)</f>
        <v>10504.620999999999</v>
      </c>
      <c r="G61" s="13">
        <f>SUMIF('OD 12-24'!A:A,A61,'OD 12-24'!E:E)</f>
        <v>18257.481</v>
      </c>
      <c r="H61" s="14">
        <f t="shared" si="0"/>
        <v>-7752.8600000000006</v>
      </c>
      <c r="I61" s="14">
        <f t="shared" si="1"/>
        <v>-156105.57299999997</v>
      </c>
      <c r="J61" s="8" t="s">
        <v>47</v>
      </c>
      <c r="K61" s="8"/>
      <c r="M61" s="339"/>
      <c r="N61" s="315"/>
    </row>
    <row r="62" spans="1:14" s="9" customFormat="1" ht="11.25" customHeight="1" x14ac:dyDescent="0.2">
      <c r="A62" s="10">
        <v>28220000</v>
      </c>
      <c r="B62" s="10" t="s">
        <v>49</v>
      </c>
      <c r="C62" s="11">
        <v>-3729152.5419999999</v>
      </c>
      <c r="D62" s="11">
        <v>0</v>
      </c>
      <c r="E62" s="11">
        <v>0</v>
      </c>
      <c r="F62" s="13">
        <f>SUMIF('OD 10-24'!A:A,A62,'OD 10-24'!D:D)</f>
        <v>1712962.385</v>
      </c>
      <c r="G62" s="13">
        <f>SUMIF('OD 12-24'!A:A,A62,'OD 12-24'!E:E)</f>
        <v>2977201.7319999998</v>
      </c>
      <c r="H62" s="14">
        <f t="shared" si="0"/>
        <v>-1264239.3469999998</v>
      </c>
      <c r="I62" s="14">
        <f t="shared" si="1"/>
        <v>-4993391.8889999995</v>
      </c>
      <c r="J62" s="8" t="s">
        <v>47</v>
      </c>
      <c r="K62" s="8"/>
      <c r="M62" s="339"/>
      <c r="N62" s="315"/>
    </row>
    <row r="63" spans="1:14" s="9" customFormat="1" ht="11.25" customHeight="1" x14ac:dyDescent="0.2">
      <c r="A63" s="10">
        <v>28225000</v>
      </c>
      <c r="B63" s="10" t="s">
        <v>50</v>
      </c>
      <c r="C63" s="11">
        <v>-271826.14399999997</v>
      </c>
      <c r="D63" s="11">
        <v>0</v>
      </c>
      <c r="E63" s="11">
        <v>0</v>
      </c>
      <c r="F63" s="13">
        <f>SUMIF('OD 10-24'!A:A,A63,'OD 10-24'!D:D)</f>
        <v>295480.53499999997</v>
      </c>
      <c r="G63" s="13">
        <f>SUMIF('OD 12-24'!A:A,A63,'OD 12-24'!E:E)</f>
        <v>499995.978</v>
      </c>
      <c r="H63" s="14">
        <f t="shared" si="0"/>
        <v>-204515.44300000003</v>
      </c>
      <c r="I63" s="14">
        <f t="shared" si="1"/>
        <v>-476341.587</v>
      </c>
      <c r="J63" s="8" t="s">
        <v>47</v>
      </c>
      <c r="K63" s="8"/>
      <c r="M63" s="339"/>
      <c r="N63" s="315"/>
    </row>
    <row r="64" spans="1:14" s="9" customFormat="1" ht="11.25" customHeight="1" x14ac:dyDescent="0.2">
      <c r="A64" s="10">
        <v>28230000</v>
      </c>
      <c r="B64" s="10" t="s">
        <v>263</v>
      </c>
      <c r="C64" s="11">
        <v>-43130.395000000004</v>
      </c>
      <c r="D64" s="11">
        <v>0</v>
      </c>
      <c r="E64" s="11">
        <v>0</v>
      </c>
      <c r="F64" s="13">
        <f>SUMIF('OD 10-24'!A:A,A64,'OD 10-24'!D:D)</f>
        <v>102448.69500000001</v>
      </c>
      <c r="G64" s="13">
        <f>SUMIF('OD 12-24'!A:A,A64,'OD 12-24'!E:E)</f>
        <v>184781.35699999999</v>
      </c>
      <c r="H64" s="14">
        <f t="shared" si="0"/>
        <v>-82332.661999999982</v>
      </c>
      <c r="I64" s="14">
        <f t="shared" si="1"/>
        <v>-125463.05699999999</v>
      </c>
      <c r="J64" s="8" t="s">
        <v>47</v>
      </c>
      <c r="K64" s="8"/>
      <c r="M64" s="339"/>
      <c r="N64" s="315"/>
    </row>
    <row r="65" spans="1:14" s="9" customFormat="1" ht="11.25" customHeight="1" x14ac:dyDescent="0.2">
      <c r="A65" s="10">
        <v>28231000</v>
      </c>
      <c r="B65" s="10" t="s">
        <v>402</v>
      </c>
      <c r="C65" s="11">
        <v>0</v>
      </c>
      <c r="D65" s="11">
        <v>0</v>
      </c>
      <c r="E65" s="11">
        <v>0</v>
      </c>
      <c r="F65" s="13">
        <f>SUMIF('OD 10-24'!A:A,A65,'OD 10-24'!D:D)</f>
        <v>5260.1880000000001</v>
      </c>
      <c r="G65" s="13">
        <f>SUMIF('OD 12-24'!A:A,A65,'OD 12-24'!E:E)</f>
        <v>15443.87</v>
      </c>
      <c r="H65" s="14">
        <f t="shared" si="0"/>
        <v>-10183.682000000001</v>
      </c>
      <c r="I65" s="14">
        <f t="shared" si="1"/>
        <v>-10183.682000000001</v>
      </c>
      <c r="J65" s="8" t="s">
        <v>47</v>
      </c>
      <c r="K65" s="8"/>
      <c r="M65" s="339"/>
      <c r="N65" s="315"/>
    </row>
    <row r="66" spans="1:14" s="9" customFormat="1" ht="11.25" customHeight="1" x14ac:dyDescent="0.2">
      <c r="A66" s="10">
        <v>28234000</v>
      </c>
      <c r="B66" s="10" t="s">
        <v>51</v>
      </c>
      <c r="C66" s="11">
        <v>-15867226.817000002</v>
      </c>
      <c r="D66" s="11">
        <v>308651.201</v>
      </c>
      <c r="E66" s="11">
        <v>0</v>
      </c>
      <c r="F66" s="13">
        <f>SUMIF('OD 10-24'!A:A,A66,'OD 10-24'!D:D)</f>
        <v>6084378.5080000004</v>
      </c>
      <c r="G66" s="13">
        <f>SUMIF('OD 12-24'!A:A,A66,'OD 12-24'!E:E)</f>
        <v>10564651.658</v>
      </c>
      <c r="H66" s="14">
        <f t="shared" si="0"/>
        <v>-4171621.9489999991</v>
      </c>
      <c r="I66" s="14">
        <f t="shared" si="1"/>
        <v>-20038848.766000003</v>
      </c>
      <c r="J66" s="8" t="s">
        <v>47</v>
      </c>
      <c r="K66" s="8"/>
      <c r="M66" s="339"/>
      <c r="N66" s="315"/>
    </row>
    <row r="67" spans="1:14" s="9" customFormat="1" ht="11.25" customHeight="1" x14ac:dyDescent="0.2">
      <c r="A67" s="10">
        <v>28235000</v>
      </c>
      <c r="B67" s="10" t="s">
        <v>52</v>
      </c>
      <c r="C67" s="11">
        <v>-355370.76600000006</v>
      </c>
      <c r="D67" s="11">
        <v>0</v>
      </c>
      <c r="E67" s="11">
        <v>0</v>
      </c>
      <c r="F67" s="13">
        <f>SUMIF('OD 10-24'!A:A,A67,'OD 10-24'!D:D)</f>
        <v>218581.78</v>
      </c>
      <c r="G67" s="13">
        <f>SUMIF('OD 12-24'!A:A,A67,'OD 12-24'!E:E)</f>
        <v>379736.15899999999</v>
      </c>
      <c r="H67" s="14">
        <f t="shared" ref="H67:H130" si="2">+D67+F67-E67-G67</f>
        <v>-161154.37899999999</v>
      </c>
      <c r="I67" s="14">
        <f t="shared" ref="I67:I130" si="3">+H67+C67</f>
        <v>-516525.14500000002</v>
      </c>
      <c r="J67" s="8" t="s">
        <v>47</v>
      </c>
      <c r="K67" s="8"/>
      <c r="M67" s="339"/>
      <c r="N67" s="315"/>
    </row>
    <row r="68" spans="1:14" s="9" customFormat="1" ht="11.25" customHeight="1" x14ac:dyDescent="0.2">
      <c r="A68" s="10">
        <v>28237000</v>
      </c>
      <c r="B68" s="10" t="s">
        <v>53</v>
      </c>
      <c r="C68" s="11">
        <v>-756166.84899999993</v>
      </c>
      <c r="D68" s="11">
        <v>0</v>
      </c>
      <c r="E68" s="11">
        <v>0</v>
      </c>
      <c r="F68" s="13">
        <f>SUMIF('OD 10-24'!A:A,A68,'OD 10-24'!D:D)</f>
        <v>158693.69399999999</v>
      </c>
      <c r="G68" s="13">
        <f>SUMIF('OD 12-24'!A:A,A68,'OD 12-24'!E:E)</f>
        <v>264738.76400000002</v>
      </c>
      <c r="H68" s="14">
        <f t="shared" si="2"/>
        <v>-106045.07000000004</v>
      </c>
      <c r="I68" s="14">
        <f t="shared" si="3"/>
        <v>-862211.91899999999</v>
      </c>
      <c r="J68" s="8" t="s">
        <v>47</v>
      </c>
      <c r="K68" s="8"/>
      <c r="M68" s="339"/>
      <c r="N68" s="315"/>
    </row>
    <row r="69" spans="1:14" s="9" customFormat="1" ht="11.25" customHeight="1" x14ac:dyDescent="0.2">
      <c r="A69" s="10">
        <v>28240000</v>
      </c>
      <c r="B69" s="10" t="s">
        <v>54</v>
      </c>
      <c r="C69" s="11">
        <v>-641382.64299999992</v>
      </c>
      <c r="D69" s="11">
        <v>30121.977999999996</v>
      </c>
      <c r="E69" s="11">
        <v>17545.055</v>
      </c>
      <c r="F69" s="13">
        <f>SUMIF('OD 10-24'!A:A,A69,'OD 10-24'!D:D)</f>
        <v>691091.05900000001</v>
      </c>
      <c r="G69" s="13">
        <f>SUMIF('OD 12-24'!A:A,A69,'OD 12-24'!E:E)</f>
        <v>1183166.933</v>
      </c>
      <c r="H69" s="14">
        <f t="shared" si="2"/>
        <v>-479498.951</v>
      </c>
      <c r="I69" s="14">
        <f t="shared" si="3"/>
        <v>-1120881.594</v>
      </c>
      <c r="J69" s="8" t="s">
        <v>47</v>
      </c>
      <c r="K69" s="8"/>
      <c r="M69" s="339"/>
      <c r="N69" s="315"/>
    </row>
    <row r="70" spans="1:14" s="9" customFormat="1" ht="11.25" customHeight="1" x14ac:dyDescent="0.2">
      <c r="A70" s="10">
        <v>28282000</v>
      </c>
      <c r="B70" s="10" t="s">
        <v>55</v>
      </c>
      <c r="C70" s="11">
        <v>-227110.92800000001</v>
      </c>
      <c r="D70" s="11">
        <v>0</v>
      </c>
      <c r="E70" s="11">
        <v>0</v>
      </c>
      <c r="F70" s="13">
        <f>SUMIF('OD 10-24'!A:A,A70,'OD 10-24'!D:D)</f>
        <v>203172.88800000001</v>
      </c>
      <c r="G70" s="13">
        <f>SUMIF('OD 12-24'!A:A,A70,'OD 12-24'!E:E)</f>
        <v>357490.71100000001</v>
      </c>
      <c r="H70" s="14">
        <f t="shared" si="2"/>
        <v>-154317.823</v>
      </c>
      <c r="I70" s="14">
        <f t="shared" si="3"/>
        <v>-381428.75100000005</v>
      </c>
      <c r="J70" s="8" t="s">
        <v>47</v>
      </c>
      <c r="K70" s="8"/>
      <c r="M70" s="339"/>
      <c r="N70" s="315"/>
    </row>
    <row r="71" spans="1:14" s="9" customFormat="1" ht="11.25" customHeight="1" x14ac:dyDescent="0.2">
      <c r="A71" s="10">
        <v>28283000</v>
      </c>
      <c r="B71" s="10" t="s">
        <v>264</v>
      </c>
      <c r="C71" s="11">
        <v>-129025.63500000001</v>
      </c>
      <c r="D71" s="11">
        <v>0</v>
      </c>
      <c r="E71" s="11">
        <v>0</v>
      </c>
      <c r="F71" s="13">
        <f>SUMIF('OD 10-24'!A:A,A71,'OD 10-24'!D:D)</f>
        <v>175794.533</v>
      </c>
      <c r="G71" s="13">
        <f>SUMIF('OD 12-24'!A:A,A71,'OD 12-24'!E:E)</f>
        <v>312856.52799999999</v>
      </c>
      <c r="H71" s="14">
        <f t="shared" si="2"/>
        <v>-137061.995</v>
      </c>
      <c r="I71" s="14">
        <f t="shared" si="3"/>
        <v>-266087.63</v>
      </c>
      <c r="J71" s="8" t="s">
        <v>47</v>
      </c>
      <c r="K71" s="8"/>
      <c r="M71" s="339"/>
      <c r="N71" s="315"/>
    </row>
    <row r="72" spans="1:14" s="9" customFormat="1" ht="11.25" customHeight="1" x14ac:dyDescent="0.2">
      <c r="A72" s="10">
        <v>28400000</v>
      </c>
      <c r="B72" s="10" t="s">
        <v>56</v>
      </c>
      <c r="C72" s="11">
        <v>-480076.72500000009</v>
      </c>
      <c r="D72" s="11">
        <v>127922.60400000001</v>
      </c>
      <c r="E72" s="11">
        <v>0</v>
      </c>
      <c r="F72" s="13">
        <f>SUMIF('OD 10-24'!A:A,A72,'OD 10-24'!D:D)</f>
        <v>547524.34100000001</v>
      </c>
      <c r="G72" s="13">
        <f>SUMIF('OD 12-24'!A:A,A72,'OD 12-24'!E:E)</f>
        <v>971575.701</v>
      </c>
      <c r="H72" s="14">
        <f t="shared" si="2"/>
        <v>-296128.75599999994</v>
      </c>
      <c r="I72" s="14">
        <f t="shared" si="3"/>
        <v>-776205.48100000003</v>
      </c>
      <c r="J72" s="8" t="s">
        <v>47</v>
      </c>
      <c r="K72" s="8"/>
      <c r="M72" s="339"/>
      <c r="N72" s="315"/>
    </row>
    <row r="73" spans="1:14" s="9" customFormat="1" ht="11.25" customHeight="1" x14ac:dyDescent="0.2">
      <c r="A73" s="10">
        <v>29220000</v>
      </c>
      <c r="B73" s="10" t="s">
        <v>297</v>
      </c>
      <c r="C73" s="11">
        <v>0</v>
      </c>
      <c r="D73" s="11">
        <v>0</v>
      </c>
      <c r="E73" s="11">
        <v>0</v>
      </c>
      <c r="F73" s="13">
        <f>SUMIF('OD 10-24'!A:A,A73,'OD 10-24'!D:D)</f>
        <v>0</v>
      </c>
      <c r="G73" s="13">
        <f>SUMIF('OD 12-24'!A:A,A73,'OD 12-24'!E:E)</f>
        <v>0</v>
      </c>
      <c r="H73" s="14">
        <f t="shared" si="2"/>
        <v>0</v>
      </c>
      <c r="I73" s="14">
        <f t="shared" si="3"/>
        <v>0</v>
      </c>
      <c r="J73" s="8"/>
      <c r="K73" s="8"/>
      <c r="M73" s="339"/>
      <c r="N73" s="315"/>
    </row>
    <row r="74" spans="1:14" s="9" customFormat="1" ht="11.25" customHeight="1" x14ac:dyDescent="0.2">
      <c r="A74" s="10">
        <v>29234000</v>
      </c>
      <c r="B74" s="10" t="s">
        <v>388</v>
      </c>
      <c r="C74" s="11">
        <v>-223876.883</v>
      </c>
      <c r="D74" s="11">
        <v>59797.479000000007</v>
      </c>
      <c r="E74" s="11">
        <v>0</v>
      </c>
      <c r="F74" s="13">
        <f>SUMIF('OD 10-24'!A:A,A74,'OD 10-24'!D:D)</f>
        <v>100000</v>
      </c>
      <c r="G74" s="13">
        <f>SUMIF('OD 12-24'!A:A,A74,'OD 12-24'!E:E)</f>
        <v>627693.68799999997</v>
      </c>
      <c r="H74" s="14">
        <f t="shared" si="2"/>
        <v>-467896.20899999997</v>
      </c>
      <c r="I74" s="14">
        <f t="shared" si="3"/>
        <v>-691773.09199999995</v>
      </c>
      <c r="J74" s="8" t="s">
        <v>401</v>
      </c>
      <c r="K74" s="8"/>
      <c r="M74" s="339"/>
      <c r="N74" s="315"/>
    </row>
    <row r="75" spans="1:14" s="9" customFormat="1" ht="11.25" customHeight="1" x14ac:dyDescent="0.2">
      <c r="A75" s="10">
        <v>29235000</v>
      </c>
      <c r="B75" s="10" t="s">
        <v>389</v>
      </c>
      <c r="C75" s="11">
        <v>-8171.429000000001</v>
      </c>
      <c r="D75" s="11">
        <v>0</v>
      </c>
      <c r="E75" s="11">
        <v>0</v>
      </c>
      <c r="F75" s="13">
        <f>SUMIF('OD 10-24'!A:A,A75,'OD 10-24'!D:D)</f>
        <v>0</v>
      </c>
      <c r="G75" s="13">
        <f>SUMIF('OD 12-24'!A:A,A75,'OD 12-24'!E:E)</f>
        <v>0</v>
      </c>
      <c r="H75" s="14">
        <f t="shared" si="2"/>
        <v>0</v>
      </c>
      <c r="I75" s="14">
        <f t="shared" si="3"/>
        <v>-8171.429000000001</v>
      </c>
      <c r="J75" s="8" t="s">
        <v>401</v>
      </c>
      <c r="K75" s="8"/>
      <c r="M75" s="339"/>
      <c r="N75" s="315"/>
    </row>
    <row r="76" spans="1:14" s="9" customFormat="1" ht="11.25" customHeight="1" x14ac:dyDescent="0.2">
      <c r="A76" s="10">
        <v>29282000</v>
      </c>
      <c r="B76" s="10" t="s">
        <v>298</v>
      </c>
      <c r="C76" s="11">
        <v>0</v>
      </c>
      <c r="D76" s="11">
        <v>0</v>
      </c>
      <c r="E76" s="11">
        <v>0</v>
      </c>
      <c r="F76" s="13">
        <f>SUMIF('OD 10-24'!A:A,A76,'OD 10-24'!D:D)</f>
        <v>0</v>
      </c>
      <c r="G76" s="13">
        <f>SUMIF('OD 12-24'!A:A,A76,'OD 12-24'!E:E)</f>
        <v>0</v>
      </c>
      <c r="H76" s="14">
        <f t="shared" si="2"/>
        <v>0</v>
      </c>
      <c r="I76" s="14">
        <f t="shared" si="3"/>
        <v>0</v>
      </c>
      <c r="J76" s="8"/>
      <c r="K76" s="8"/>
      <c r="M76" s="339"/>
      <c r="N76" s="315"/>
    </row>
    <row r="77" spans="1:14" s="9" customFormat="1" ht="11.25" customHeight="1" x14ac:dyDescent="0.2">
      <c r="A77" s="10">
        <v>29286500</v>
      </c>
      <c r="B77" s="10" t="s">
        <v>299</v>
      </c>
      <c r="C77" s="11">
        <v>0</v>
      </c>
      <c r="D77" s="11">
        <v>0</v>
      </c>
      <c r="E77" s="11">
        <v>0</v>
      </c>
      <c r="F77" s="13">
        <f>SUMIF('OD 10-24'!A:A,A77,'OD 10-24'!D:D)</f>
        <v>0</v>
      </c>
      <c r="G77" s="13">
        <f>SUMIF('OD 12-24'!A:A,A77,'OD 12-24'!E:E)</f>
        <v>0</v>
      </c>
      <c r="H77" s="14">
        <f t="shared" si="2"/>
        <v>0</v>
      </c>
      <c r="I77" s="14">
        <f t="shared" si="3"/>
        <v>0</v>
      </c>
      <c r="J77" s="8" t="s">
        <v>25</v>
      </c>
      <c r="K77" s="8"/>
      <c r="M77" s="339"/>
      <c r="N77" s="315"/>
    </row>
    <row r="78" spans="1:14" s="9" customFormat="1" ht="11.25" customHeight="1" x14ac:dyDescent="0.2">
      <c r="A78" s="10">
        <v>29700000</v>
      </c>
      <c r="B78" s="10" t="s">
        <v>57</v>
      </c>
      <c r="C78" s="11">
        <v>-29257.384999999998</v>
      </c>
      <c r="D78" s="11">
        <v>0</v>
      </c>
      <c r="E78" s="11">
        <v>0</v>
      </c>
      <c r="F78" s="13">
        <f>SUMIF('OD 10-24'!A:A,A78,'OD 10-24'!D:D)</f>
        <v>0</v>
      </c>
      <c r="G78" s="13">
        <f>SUMIF('OD 12-24'!A:A,A78,'OD 12-24'!E:E)</f>
        <v>0</v>
      </c>
      <c r="H78" s="14">
        <f t="shared" si="2"/>
        <v>0</v>
      </c>
      <c r="I78" s="14">
        <f t="shared" si="3"/>
        <v>-29257.384999999998</v>
      </c>
      <c r="J78" s="8" t="s">
        <v>58</v>
      </c>
      <c r="K78" s="8"/>
      <c r="M78" s="339"/>
      <c r="N78" s="315"/>
    </row>
    <row r="79" spans="1:14" s="9" customFormat="1" ht="11.25" customHeight="1" x14ac:dyDescent="0.2">
      <c r="A79" s="10">
        <v>31100000</v>
      </c>
      <c r="B79" s="10" t="s">
        <v>59</v>
      </c>
      <c r="C79" s="11">
        <v>9520075.0200000107</v>
      </c>
      <c r="D79" s="11">
        <v>0</v>
      </c>
      <c r="E79" s="11">
        <v>9520075.0199999996</v>
      </c>
      <c r="F79" s="13">
        <f>SUMIF('OD 10-24'!A:A,A79,'OD 10-24'!D:D)</f>
        <v>129652455.1802</v>
      </c>
      <c r="G79" s="13">
        <f>SUMIF('OD 12-24'!A:A,A79,'OD 12-24'!E:E)</f>
        <v>140745458.85620001</v>
      </c>
      <c r="H79" s="14">
        <f t="shared" si="2"/>
        <v>-20613078.69600001</v>
      </c>
      <c r="I79" s="14">
        <f t="shared" si="3"/>
        <v>-11093003.675999999</v>
      </c>
      <c r="J79" s="8" t="s">
        <v>60</v>
      </c>
      <c r="K79" s="8"/>
      <c r="M79" s="339"/>
      <c r="N79" s="315"/>
    </row>
    <row r="80" spans="1:14" s="9" customFormat="1" ht="11.25" customHeight="1" x14ac:dyDescent="0.2">
      <c r="A80" s="10">
        <v>31200000</v>
      </c>
      <c r="B80" s="10" t="s">
        <v>390</v>
      </c>
      <c r="C80" s="11">
        <v>1881173.9139999996</v>
      </c>
      <c r="D80" s="11">
        <v>0</v>
      </c>
      <c r="E80" s="11">
        <v>1881173.9140000001</v>
      </c>
      <c r="F80" s="13">
        <f>SUMIF('OD 10-24'!A:A,A80,'OD 10-24'!D:D)</f>
        <v>5854753.227</v>
      </c>
      <c r="G80" s="13">
        <f>SUMIF('OD 12-24'!A:A,A80,'OD 12-24'!E:E)</f>
        <v>5854753.227</v>
      </c>
      <c r="H80" s="14">
        <f t="shared" si="2"/>
        <v>-1881173.9139999999</v>
      </c>
      <c r="I80" s="14">
        <f t="shared" si="3"/>
        <v>0</v>
      </c>
      <c r="J80" s="8" t="s">
        <v>60</v>
      </c>
      <c r="K80" s="8"/>
      <c r="M80" s="339"/>
      <c r="N80" s="315"/>
    </row>
    <row r="81" spans="1:14" s="9" customFormat="1" ht="11.25" customHeight="1" x14ac:dyDescent="0.2">
      <c r="A81" s="10">
        <v>32200000</v>
      </c>
      <c r="B81" s="10" t="s">
        <v>61</v>
      </c>
      <c r="C81" s="11">
        <v>662156.42899999954</v>
      </c>
      <c r="D81" s="11">
        <v>0</v>
      </c>
      <c r="E81" s="11">
        <v>662156.429</v>
      </c>
      <c r="F81" s="13">
        <f>SUMIF('OD 10-24'!A:A,A81,'OD 10-24'!D:D)</f>
        <v>8614830.8774999995</v>
      </c>
      <c r="G81" s="13">
        <f>SUMIF('OD 12-24'!A:A,A81,'OD 12-24'!E:E)</f>
        <v>9358523.2255000006</v>
      </c>
      <c r="H81" s="14">
        <f t="shared" si="2"/>
        <v>-1405848.7770000007</v>
      </c>
      <c r="I81" s="14">
        <f t="shared" si="3"/>
        <v>-743692.34800000116</v>
      </c>
      <c r="J81" s="8" t="s">
        <v>60</v>
      </c>
      <c r="K81" s="8"/>
      <c r="M81" s="339"/>
      <c r="N81" s="315"/>
    </row>
    <row r="82" spans="1:14" s="9" customFormat="1" ht="11.25" customHeight="1" x14ac:dyDescent="0.2">
      <c r="A82" s="10">
        <v>33100000</v>
      </c>
      <c r="B82" s="10" t="s">
        <v>62</v>
      </c>
      <c r="C82" s="11">
        <v>3435380.2890000008</v>
      </c>
      <c r="D82" s="11">
        <v>0</v>
      </c>
      <c r="E82" s="11">
        <v>3435380.2889999999</v>
      </c>
      <c r="F82" s="13">
        <f>SUMIF('OD 10-24'!A:A,A82,'OD 10-24'!D:D)</f>
        <v>49026901.486400001</v>
      </c>
      <c r="G82" s="13">
        <f>SUMIF('OD 12-24'!A:A,A82,'OD 12-24'!E:E)</f>
        <v>54964978.217399999</v>
      </c>
      <c r="H82" s="14">
        <f t="shared" si="2"/>
        <v>-9373457.0199999958</v>
      </c>
      <c r="I82" s="14">
        <f t="shared" si="3"/>
        <v>-5938076.730999995</v>
      </c>
      <c r="J82" s="8" t="s">
        <v>60</v>
      </c>
      <c r="K82" s="8"/>
      <c r="M82" s="339"/>
      <c r="N82" s="315"/>
    </row>
    <row r="83" spans="1:14" s="9" customFormat="1" ht="11.25" customHeight="1" x14ac:dyDescent="0.2">
      <c r="A83" s="10">
        <v>33500000</v>
      </c>
      <c r="B83" s="10" t="s">
        <v>300</v>
      </c>
      <c r="C83" s="11">
        <v>0</v>
      </c>
      <c r="D83" s="11">
        <v>0</v>
      </c>
      <c r="E83" s="11">
        <v>0</v>
      </c>
      <c r="F83" s="13">
        <f>SUMIF('OD 10-24'!A:A,A83,'OD 10-24'!D:D)</f>
        <v>0</v>
      </c>
      <c r="G83" s="13">
        <f>SUMIF('OD 12-24'!A:A,A83,'OD 12-24'!E:E)</f>
        <v>0</v>
      </c>
      <c r="H83" s="14">
        <f t="shared" si="2"/>
        <v>0</v>
      </c>
      <c r="I83" s="14">
        <f t="shared" si="3"/>
        <v>0</v>
      </c>
      <c r="J83" s="8"/>
      <c r="K83" s="8"/>
      <c r="M83" s="339"/>
      <c r="N83" s="315"/>
    </row>
    <row r="84" spans="1:14" s="9" customFormat="1" ht="11.25" customHeight="1" x14ac:dyDescent="0.2">
      <c r="A84" s="10">
        <v>34100000</v>
      </c>
      <c r="B84" s="10" t="s">
        <v>301</v>
      </c>
      <c r="C84" s="11">
        <v>0</v>
      </c>
      <c r="D84" s="11">
        <v>0</v>
      </c>
      <c r="E84" s="11">
        <v>0</v>
      </c>
      <c r="F84" s="13">
        <f>SUMIF('OD 10-24'!A:A,A84,'OD 10-24'!D:D)</f>
        <v>0</v>
      </c>
      <c r="G84" s="13">
        <f>SUMIF('OD 12-24'!A:A,A84,'OD 12-24'!E:E)</f>
        <v>0</v>
      </c>
      <c r="H84" s="14">
        <f t="shared" si="2"/>
        <v>0</v>
      </c>
      <c r="I84" s="14">
        <f t="shared" si="3"/>
        <v>0</v>
      </c>
      <c r="J84" s="8"/>
      <c r="K84" s="8"/>
      <c r="M84" s="339"/>
      <c r="N84" s="315"/>
    </row>
    <row r="85" spans="1:14" s="9" customFormat="1" ht="11.25" customHeight="1" x14ac:dyDescent="0.2">
      <c r="A85" s="10">
        <v>35500000</v>
      </c>
      <c r="B85" s="10" t="s">
        <v>63</v>
      </c>
      <c r="C85" s="11">
        <v>1674504.0189999994</v>
      </c>
      <c r="D85" s="11">
        <v>19.696999999999999</v>
      </c>
      <c r="E85" s="11">
        <v>1674523.716</v>
      </c>
      <c r="F85" s="13">
        <f>SUMIF('OD 10-24'!A:A,A85,'OD 10-24'!D:D)</f>
        <v>17533716.734000001</v>
      </c>
      <c r="G85" s="13">
        <f>SUMIF('OD 12-24'!A:A,A85,'OD 12-24'!E:E)</f>
        <v>17786463.848999999</v>
      </c>
      <c r="H85" s="14">
        <f t="shared" si="2"/>
        <v>-1927251.1339999977</v>
      </c>
      <c r="I85" s="14">
        <f t="shared" si="3"/>
        <v>-252747.11499999836</v>
      </c>
      <c r="J85" s="8" t="s">
        <v>60</v>
      </c>
      <c r="K85" s="8"/>
      <c r="M85" s="339"/>
      <c r="N85" s="315"/>
    </row>
    <row r="86" spans="1:14" s="9" customFormat="1" ht="11.25" customHeight="1" x14ac:dyDescent="0.2">
      <c r="A86" s="10">
        <v>39000000</v>
      </c>
      <c r="B86" s="10" t="s">
        <v>64</v>
      </c>
      <c r="C86" s="11">
        <v>-208158.11300000001</v>
      </c>
      <c r="D86" s="11">
        <v>0</v>
      </c>
      <c r="E86" s="11">
        <v>0</v>
      </c>
      <c r="F86" s="13">
        <f>SUMIF('OD 10-24'!A:A,A86,'OD 10-24'!D:D)</f>
        <v>1502431.1340000001</v>
      </c>
      <c r="G86" s="13">
        <f>SUMIF('OD 12-24'!A:A,A86,'OD 12-24'!E:E)</f>
        <v>2900187.3220000002</v>
      </c>
      <c r="H86" s="14">
        <f t="shared" si="2"/>
        <v>-1397756.1880000001</v>
      </c>
      <c r="I86" s="14">
        <f t="shared" si="3"/>
        <v>-1605914.301</v>
      </c>
      <c r="J86" s="8" t="s">
        <v>65</v>
      </c>
      <c r="K86" s="8"/>
      <c r="M86" s="339"/>
      <c r="N86" s="315"/>
    </row>
    <row r="87" spans="1:14" s="9" customFormat="1" ht="11.25" customHeight="1" x14ac:dyDescent="0.2">
      <c r="A87" s="10">
        <v>40100000</v>
      </c>
      <c r="B87" s="10" t="s">
        <v>66</v>
      </c>
      <c r="C87" s="11">
        <v>-2875441.9530395269</v>
      </c>
      <c r="D87" s="11">
        <v>51920833.891377002</v>
      </c>
      <c r="E87" s="11">
        <v>53878282.175362505</v>
      </c>
      <c r="F87" s="13">
        <f>SUMIF('OD 10-24'!A:A,A87,'OD 10-24'!D:D)</f>
        <v>823434.255</v>
      </c>
      <c r="G87" s="13">
        <f>SUMIF('OD 12-24'!A:A,A87,'OD 12-24'!E:E)</f>
        <v>823434.255</v>
      </c>
      <c r="H87" s="14">
        <f t="shared" si="2"/>
        <v>-1957448.2839855002</v>
      </c>
      <c r="I87" s="14">
        <f t="shared" si="3"/>
        <v>-4832890.2370250272</v>
      </c>
      <c r="J87" s="8" t="s">
        <v>67</v>
      </c>
      <c r="K87" s="8"/>
      <c r="M87" s="339"/>
      <c r="N87" s="315"/>
    </row>
    <row r="88" spans="1:14" s="9" customFormat="1" ht="11.25" customHeight="1" x14ac:dyDescent="0.2">
      <c r="A88" s="10">
        <v>40300000</v>
      </c>
      <c r="B88" s="10" t="s">
        <v>68</v>
      </c>
      <c r="C88" s="11">
        <v>-970419.35000000149</v>
      </c>
      <c r="D88" s="11">
        <v>2696578.0139999995</v>
      </c>
      <c r="E88" s="11">
        <v>2149689.19</v>
      </c>
      <c r="F88" s="13">
        <f>SUMIF('OD 10-24'!A:A,A88,'OD 10-24'!D:D)</f>
        <v>0</v>
      </c>
      <c r="G88" s="13">
        <f>SUMIF('OD 12-24'!A:A,A88,'OD 12-24'!E:E)</f>
        <v>0</v>
      </c>
      <c r="H88" s="14">
        <f t="shared" si="2"/>
        <v>546888.82399999956</v>
      </c>
      <c r="I88" s="14">
        <f t="shared" si="3"/>
        <v>-423530.52600000193</v>
      </c>
      <c r="J88" s="8" t="s">
        <v>67</v>
      </c>
      <c r="K88" s="8"/>
      <c r="M88" s="339"/>
      <c r="N88" s="315"/>
    </row>
    <row r="89" spans="1:14" s="9" customFormat="1" ht="11.25" customHeight="1" x14ac:dyDescent="0.2">
      <c r="A89" s="10">
        <v>40301000</v>
      </c>
      <c r="B89" s="10" t="s">
        <v>302</v>
      </c>
      <c r="C89" s="11">
        <v>0</v>
      </c>
      <c r="D89" s="11">
        <v>0</v>
      </c>
      <c r="E89" s="11">
        <v>0</v>
      </c>
      <c r="F89" s="13">
        <f>SUMIF('OD 10-24'!A:A,A89,'OD 10-24'!D:D)</f>
        <v>0</v>
      </c>
      <c r="G89" s="13">
        <f>SUMIF('OD 12-24'!A:A,A89,'OD 12-24'!E:E)</f>
        <v>0</v>
      </c>
      <c r="H89" s="14">
        <f t="shared" si="2"/>
        <v>0</v>
      </c>
      <c r="I89" s="14">
        <f t="shared" si="3"/>
        <v>0</v>
      </c>
      <c r="J89" s="8"/>
      <c r="K89" s="8"/>
      <c r="M89" s="339"/>
      <c r="N89" s="315"/>
    </row>
    <row r="90" spans="1:14" s="9" customFormat="1" ht="11.25" customHeight="1" x14ac:dyDescent="0.2">
      <c r="A90" s="10">
        <v>40400000</v>
      </c>
      <c r="B90" s="10" t="s">
        <v>69</v>
      </c>
      <c r="C90" s="11">
        <v>9.999983012676239E-5</v>
      </c>
      <c r="D90" s="11">
        <v>0</v>
      </c>
      <c r="E90" s="11">
        <v>0</v>
      </c>
      <c r="F90" s="13">
        <f>SUMIF('OD 10-24'!A:A,A90,'OD 10-24'!D:D)</f>
        <v>0</v>
      </c>
      <c r="G90" s="13">
        <f>SUMIF('OD 12-24'!A:A,A90,'OD 12-24'!E:E)</f>
        <v>0</v>
      </c>
      <c r="H90" s="14">
        <f t="shared" si="2"/>
        <v>0</v>
      </c>
      <c r="I90" s="14">
        <f t="shared" si="3"/>
        <v>9.999983012676239E-5</v>
      </c>
      <c r="J90" s="8"/>
      <c r="K90" s="8"/>
      <c r="M90" s="339"/>
      <c r="N90" s="315"/>
    </row>
    <row r="91" spans="1:14" s="9" customFormat="1" ht="11.25" customHeight="1" x14ac:dyDescent="0.2">
      <c r="A91" s="10">
        <v>40470000</v>
      </c>
      <c r="B91" s="10" t="s">
        <v>303</v>
      </c>
      <c r="C91" s="11">
        <v>0</v>
      </c>
      <c r="D91" s="11">
        <v>0</v>
      </c>
      <c r="E91" s="11">
        <v>0</v>
      </c>
      <c r="F91" s="13">
        <f>SUMIF('OD 10-24'!A:A,A91,'OD 10-24'!D:D)</f>
        <v>0</v>
      </c>
      <c r="G91" s="13">
        <f>SUMIF('OD 12-24'!A:A,A91,'OD 12-24'!E:E)</f>
        <v>0</v>
      </c>
      <c r="H91" s="14">
        <f t="shared" si="2"/>
        <v>0</v>
      </c>
      <c r="I91" s="14">
        <f t="shared" si="3"/>
        <v>0</v>
      </c>
      <c r="J91" s="8"/>
      <c r="K91" s="8"/>
      <c r="M91" s="339"/>
      <c r="N91" s="315"/>
    </row>
    <row r="92" spans="1:14" s="9" customFormat="1" ht="11.25" customHeight="1" x14ac:dyDescent="0.2">
      <c r="A92" s="10">
        <v>40600000</v>
      </c>
      <c r="B92" s="10" t="s">
        <v>70</v>
      </c>
      <c r="C92" s="11">
        <v>-3111690.4287486374</v>
      </c>
      <c r="D92" s="11">
        <v>7171810.4374024989</v>
      </c>
      <c r="E92" s="16">
        <f>6509452.127565+72939.87</f>
        <v>6582391.9975650003</v>
      </c>
      <c r="F92" s="13">
        <f>SUMIF('OD 10-24'!A:A,A92,'OD 10-24'!D:D)</f>
        <v>5442668.773</v>
      </c>
      <c r="G92" s="13">
        <f>SUMIF('OD 12-24'!A:A,A92,'OD 12-24'!E:E)</f>
        <v>7899879.5279999999</v>
      </c>
      <c r="H92" s="14">
        <f t="shared" si="2"/>
        <v>-1867792.3151625004</v>
      </c>
      <c r="I92" s="14">
        <f t="shared" si="3"/>
        <v>-4979482.7439111378</v>
      </c>
      <c r="J92" s="8" t="s">
        <v>67</v>
      </c>
      <c r="K92" s="8"/>
      <c r="M92" s="339"/>
      <c r="N92" s="315"/>
    </row>
    <row r="93" spans="1:14" s="9" customFormat="1" ht="11.25" customHeight="1" x14ac:dyDescent="0.2">
      <c r="A93" s="10">
        <v>40800000</v>
      </c>
      <c r="B93" s="10" t="s">
        <v>71</v>
      </c>
      <c r="C93" s="11">
        <v>-4980</v>
      </c>
      <c r="D93" s="11">
        <v>0</v>
      </c>
      <c r="E93" s="11">
        <v>0</v>
      </c>
      <c r="F93" s="13">
        <f>SUMIF('OD 10-24'!A:A,A93,'OD 10-24'!D:D)</f>
        <v>0</v>
      </c>
      <c r="G93" s="13">
        <f>SUMIF('OD 12-24'!A:A,A93,'OD 12-24'!E:E)</f>
        <v>0</v>
      </c>
      <c r="H93" s="14">
        <f t="shared" si="2"/>
        <v>0</v>
      </c>
      <c r="I93" s="14">
        <f t="shared" si="3"/>
        <v>-4980</v>
      </c>
      <c r="J93" s="8" t="s">
        <v>67</v>
      </c>
      <c r="K93" s="8"/>
      <c r="M93" s="339"/>
      <c r="N93" s="315"/>
    </row>
    <row r="94" spans="1:14" s="9" customFormat="1" ht="11.25" customHeight="1" x14ac:dyDescent="0.2">
      <c r="A94" s="10">
        <v>40810000</v>
      </c>
      <c r="B94" s="10" t="s">
        <v>391</v>
      </c>
      <c r="C94" s="11">
        <v>-41980.576999999997</v>
      </c>
      <c r="D94" s="11">
        <v>40054.247000000003</v>
      </c>
      <c r="E94" s="11">
        <v>3169.0909999999994</v>
      </c>
      <c r="F94" s="13">
        <f>SUMIF('OD 10-24'!A:A,A94,'OD 10-24'!D:D)</f>
        <v>5123.701</v>
      </c>
      <c r="G94" s="13">
        <f>SUMIF('OD 12-24'!A:A,A94,'OD 12-24'!E:E)</f>
        <v>20928.241999999998</v>
      </c>
      <c r="H94" s="14">
        <f t="shared" si="2"/>
        <v>21080.615000000005</v>
      </c>
      <c r="I94" s="14">
        <f t="shared" si="3"/>
        <v>-20899.961999999992</v>
      </c>
      <c r="J94" s="8" t="s">
        <v>67</v>
      </c>
      <c r="K94" s="8"/>
      <c r="M94" s="339"/>
      <c r="N94" s="315"/>
    </row>
    <row r="95" spans="1:14" s="9" customFormat="1" ht="11.25" customHeight="1" x14ac:dyDescent="0.2">
      <c r="A95" s="10">
        <v>40860000</v>
      </c>
      <c r="B95" s="10" t="s">
        <v>304</v>
      </c>
      <c r="C95" s="11">
        <v>0</v>
      </c>
      <c r="D95" s="11">
        <v>0</v>
      </c>
      <c r="E95" s="11">
        <v>0</v>
      </c>
      <c r="F95" s="13">
        <f>SUMIF('OD 10-24'!A:A,A95,'OD 10-24'!D:D)</f>
        <v>0</v>
      </c>
      <c r="G95" s="13">
        <f>SUMIF('OD 12-24'!A:A,A95,'OD 12-24'!E:E)</f>
        <v>0</v>
      </c>
      <c r="H95" s="14">
        <f t="shared" si="2"/>
        <v>0</v>
      </c>
      <c r="I95" s="14">
        <f t="shared" si="3"/>
        <v>0</v>
      </c>
      <c r="J95" s="8"/>
      <c r="K95" s="8"/>
      <c r="M95" s="339"/>
      <c r="N95" s="315"/>
    </row>
    <row r="96" spans="1:14" s="9" customFormat="1" ht="11.25" customHeight="1" x14ac:dyDescent="0.2">
      <c r="A96" s="10">
        <v>40910000</v>
      </c>
      <c r="B96" s="10" t="s">
        <v>72</v>
      </c>
      <c r="C96" s="11">
        <v>0</v>
      </c>
      <c r="D96" s="11">
        <v>0</v>
      </c>
      <c r="E96" s="11">
        <v>0</v>
      </c>
      <c r="F96" s="13">
        <f>SUMIF('OD 10-24'!A:A,A96,'OD 10-24'!D:D)</f>
        <v>0</v>
      </c>
      <c r="G96" s="13">
        <f>SUMIF('OD 12-24'!A:A,A96,'OD 12-24'!E:E)</f>
        <v>0</v>
      </c>
      <c r="H96" s="14">
        <f t="shared" si="2"/>
        <v>0</v>
      </c>
      <c r="I96" s="14">
        <f t="shared" si="3"/>
        <v>0</v>
      </c>
      <c r="J96" s="8" t="s">
        <v>78</v>
      </c>
      <c r="K96" s="8"/>
      <c r="M96" s="339"/>
      <c r="N96" s="315"/>
    </row>
    <row r="97" spans="1:14" s="9" customFormat="1" ht="11.25" customHeight="1" x14ac:dyDescent="0.2">
      <c r="A97" s="10">
        <v>41100000</v>
      </c>
      <c r="B97" s="10" t="s">
        <v>73</v>
      </c>
      <c r="C97" s="11">
        <v>15614197.010682464</v>
      </c>
      <c r="D97" s="11">
        <v>66462796.416000009</v>
      </c>
      <c r="E97" s="11">
        <v>57619226.768999994</v>
      </c>
      <c r="F97" s="13">
        <f>SUMIF('OD 10-24'!A:A,A97,'OD 10-24'!D:D)</f>
        <v>0</v>
      </c>
      <c r="G97" s="13">
        <f>SUMIF('OD 12-24'!A:A,A97,'OD 12-24'!E:E)</f>
        <v>4033105.8640000001</v>
      </c>
      <c r="H97" s="14">
        <f t="shared" si="2"/>
        <v>4810463.7830000147</v>
      </c>
      <c r="I97" s="14">
        <f t="shared" si="3"/>
        <v>20424660.793682478</v>
      </c>
      <c r="J97" s="8" t="s">
        <v>74</v>
      </c>
      <c r="K97" s="8"/>
      <c r="M97" s="339"/>
      <c r="N97" s="315"/>
    </row>
    <row r="98" spans="1:14" s="9" customFormat="1" ht="11.25" customHeight="1" x14ac:dyDescent="0.2">
      <c r="A98" s="10">
        <v>41301000</v>
      </c>
      <c r="B98" s="10" t="s">
        <v>305</v>
      </c>
      <c r="C98" s="11">
        <v>0</v>
      </c>
      <c r="D98" s="11">
        <v>0</v>
      </c>
      <c r="E98" s="11">
        <v>0</v>
      </c>
      <c r="F98" s="13">
        <f>SUMIF('OD 10-24'!A:A,A98,'OD 10-24'!D:D)</f>
        <v>0</v>
      </c>
      <c r="G98" s="13">
        <f>SUMIF('OD 12-24'!A:A,A98,'OD 12-24'!E:E)</f>
        <v>0</v>
      </c>
      <c r="H98" s="14">
        <f t="shared" si="2"/>
        <v>0</v>
      </c>
      <c r="I98" s="14">
        <f t="shared" si="3"/>
        <v>0</v>
      </c>
      <c r="J98" s="8"/>
      <c r="K98" s="8"/>
      <c r="M98" s="339"/>
      <c r="N98" s="315"/>
    </row>
    <row r="99" spans="1:14" s="9" customFormat="1" ht="11.25" customHeight="1" x14ac:dyDescent="0.2">
      <c r="A99" s="10">
        <v>41500000</v>
      </c>
      <c r="B99" s="10" t="s">
        <v>75</v>
      </c>
      <c r="C99" s="11">
        <v>3350188.1832604855</v>
      </c>
      <c r="D99" s="11">
        <v>12162952.335999999</v>
      </c>
      <c r="E99" s="11">
        <v>14283428.465</v>
      </c>
      <c r="F99" s="13">
        <f>SUMIF('OD 10-24'!A:A,A99,'OD 10-24'!D:D)</f>
        <v>3757277.7850000001</v>
      </c>
      <c r="G99" s="13">
        <f>SUMIF('OD 12-24'!A:A,A99,'OD 12-24'!E:E)</f>
        <v>3857342.92</v>
      </c>
      <c r="H99" s="14">
        <f t="shared" si="2"/>
        <v>-2220541.2640000004</v>
      </c>
      <c r="I99" s="14">
        <f t="shared" si="3"/>
        <v>1129646.9192604851</v>
      </c>
      <c r="J99" s="8" t="s">
        <v>74</v>
      </c>
      <c r="K99" s="8"/>
      <c r="M99" s="339"/>
      <c r="N99" s="315"/>
    </row>
    <row r="100" spans="1:14" s="9" customFormat="1" ht="11.25" customHeight="1" x14ac:dyDescent="0.2">
      <c r="A100" s="10">
        <v>41601000</v>
      </c>
      <c r="B100" s="10" t="s">
        <v>306</v>
      </c>
      <c r="C100" s="11">
        <v>0</v>
      </c>
      <c r="D100" s="11">
        <v>0</v>
      </c>
      <c r="E100" s="11">
        <v>0</v>
      </c>
      <c r="F100" s="13">
        <f>SUMIF('OD 10-24'!A:A,A100,'OD 10-24'!D:D)</f>
        <v>0</v>
      </c>
      <c r="G100" s="13">
        <f>SUMIF('OD 12-24'!A:A,A100,'OD 12-24'!E:E)</f>
        <v>0</v>
      </c>
      <c r="H100" s="14">
        <f t="shared" si="2"/>
        <v>0</v>
      </c>
      <c r="I100" s="14">
        <f t="shared" si="3"/>
        <v>0</v>
      </c>
      <c r="J100" s="8"/>
      <c r="K100" s="8"/>
      <c r="M100" s="339"/>
      <c r="N100" s="315"/>
    </row>
    <row r="101" spans="1:14" s="9" customFormat="1" ht="11.25" customHeight="1" x14ac:dyDescent="0.2">
      <c r="A101" s="10">
        <v>41800000</v>
      </c>
      <c r="B101" s="10" t="s">
        <v>307</v>
      </c>
      <c r="C101" s="11">
        <v>0</v>
      </c>
      <c r="D101" s="11">
        <v>0</v>
      </c>
      <c r="E101" s="11">
        <v>0</v>
      </c>
      <c r="F101" s="13">
        <f>SUMIF('OD 10-24'!A:A,A101,'OD 10-24'!D:D)</f>
        <v>0</v>
      </c>
      <c r="G101" s="13">
        <f>SUMIF('OD 12-24'!A:A,A101,'OD 12-24'!E:E)</f>
        <v>0</v>
      </c>
      <c r="H101" s="14">
        <f t="shared" si="2"/>
        <v>0</v>
      </c>
      <c r="I101" s="14">
        <f t="shared" si="3"/>
        <v>0</v>
      </c>
      <c r="J101" s="8"/>
      <c r="K101" s="8"/>
      <c r="M101" s="339"/>
      <c r="N101" s="315"/>
    </row>
    <row r="102" spans="1:14" s="9" customFormat="1" ht="11.25" customHeight="1" x14ac:dyDescent="0.2">
      <c r="A102" s="10">
        <v>41910000</v>
      </c>
      <c r="B102" s="10" t="s">
        <v>308</v>
      </c>
      <c r="C102" s="11">
        <v>0</v>
      </c>
      <c r="D102" s="11">
        <v>0</v>
      </c>
      <c r="E102" s="11">
        <v>0</v>
      </c>
      <c r="F102" s="13">
        <f>SUMIF('OD 10-24'!A:A,A102,'OD 10-24'!D:D)</f>
        <v>0</v>
      </c>
      <c r="G102" s="13">
        <f>SUMIF('OD 12-24'!A:A,A102,'OD 12-24'!E:E)</f>
        <v>0</v>
      </c>
      <c r="H102" s="14">
        <f t="shared" si="2"/>
        <v>0</v>
      </c>
      <c r="I102" s="14">
        <f t="shared" si="3"/>
        <v>0</v>
      </c>
      <c r="J102" s="8"/>
      <c r="K102" s="8"/>
      <c r="M102" s="339"/>
      <c r="N102" s="315"/>
    </row>
    <row r="103" spans="1:14" s="9" customFormat="1" ht="11.25" customHeight="1" x14ac:dyDescent="0.2">
      <c r="A103" s="10">
        <v>42100000</v>
      </c>
      <c r="B103" s="10" t="s">
        <v>76</v>
      </c>
      <c r="C103" s="11">
        <v>0</v>
      </c>
      <c r="D103" s="11">
        <v>240</v>
      </c>
      <c r="E103" s="11">
        <v>240</v>
      </c>
      <c r="F103" s="13">
        <f>SUMIF('OD 10-24'!A:A,A103,'OD 10-24'!D:D)</f>
        <v>0</v>
      </c>
      <c r="G103" s="13">
        <f>SUMIF('OD 12-24'!A:A,A103,'OD 12-24'!E:E)</f>
        <v>0</v>
      </c>
      <c r="H103" s="14">
        <f t="shared" si="2"/>
        <v>0</v>
      </c>
      <c r="I103" s="14">
        <f t="shared" si="3"/>
        <v>0</v>
      </c>
      <c r="J103" s="8"/>
      <c r="K103" s="8"/>
      <c r="M103" s="339"/>
      <c r="N103" s="315"/>
    </row>
    <row r="104" spans="1:14" s="9" customFormat="1" ht="11.25" customHeight="1" x14ac:dyDescent="0.2">
      <c r="A104" s="10">
        <v>42110000</v>
      </c>
      <c r="B104" s="10" t="s">
        <v>309</v>
      </c>
      <c r="C104" s="11">
        <v>0</v>
      </c>
      <c r="D104" s="11">
        <v>0</v>
      </c>
      <c r="E104" s="11">
        <v>0</v>
      </c>
      <c r="F104" s="13">
        <f>SUMIF('OD 10-24'!A:A,A104,'OD 10-24'!D:D)</f>
        <v>0</v>
      </c>
      <c r="G104" s="13">
        <f>SUMIF('OD 12-24'!A:A,A104,'OD 12-24'!E:E)</f>
        <v>0</v>
      </c>
      <c r="H104" s="14">
        <f t="shared" si="2"/>
        <v>0</v>
      </c>
      <c r="I104" s="14">
        <f t="shared" si="3"/>
        <v>0</v>
      </c>
      <c r="J104" s="8"/>
      <c r="K104" s="8"/>
      <c r="M104" s="339"/>
      <c r="N104" s="315"/>
    </row>
    <row r="105" spans="1:14" s="9" customFormat="1" ht="11.25" customHeight="1" x14ac:dyDescent="0.2">
      <c r="A105" s="10">
        <v>42120000</v>
      </c>
      <c r="B105" s="10" t="s">
        <v>77</v>
      </c>
      <c r="C105" s="11">
        <v>21139.859999999986</v>
      </c>
      <c r="D105" s="11">
        <v>95555</v>
      </c>
      <c r="E105" s="11">
        <v>90472.479000000007</v>
      </c>
      <c r="F105" s="13">
        <f>SUMIF('OD 10-24'!A:A,A105,'OD 10-24'!D:D)</f>
        <v>0</v>
      </c>
      <c r="G105" s="13">
        <f>SUMIF('OD 12-24'!A:A,A105,'OD 12-24'!E:E)</f>
        <v>0</v>
      </c>
      <c r="H105" s="14">
        <f t="shared" si="2"/>
        <v>5082.5209999999934</v>
      </c>
      <c r="I105" s="14">
        <f t="shared" si="3"/>
        <v>26222.380999999979</v>
      </c>
      <c r="J105" s="8" t="s">
        <v>78</v>
      </c>
      <c r="K105" s="8"/>
      <c r="M105" s="339"/>
      <c r="N105" s="315"/>
    </row>
    <row r="106" spans="1:14" s="9" customFormat="1" ht="11.25" customHeight="1" x14ac:dyDescent="0.2">
      <c r="A106" s="10">
        <v>42400000</v>
      </c>
      <c r="B106" s="10" t="s">
        <v>79</v>
      </c>
      <c r="C106" s="11">
        <v>0</v>
      </c>
      <c r="D106" s="11">
        <v>0</v>
      </c>
      <c r="E106" s="11">
        <v>0</v>
      </c>
      <c r="F106" s="13">
        <f>SUMIF('OD 10-24'!A:A,A106,'OD 10-24'!D:D)</f>
        <v>0</v>
      </c>
      <c r="G106" s="13">
        <f>SUMIF('OD 12-24'!A:A,A106,'OD 12-24'!E:E)</f>
        <v>0</v>
      </c>
      <c r="H106" s="14">
        <f t="shared" si="2"/>
        <v>0</v>
      </c>
      <c r="I106" s="14">
        <f t="shared" si="3"/>
        <v>0</v>
      </c>
      <c r="J106" s="8"/>
      <c r="K106" s="8"/>
      <c r="M106" s="339"/>
      <c r="N106" s="315"/>
    </row>
    <row r="107" spans="1:14" s="9" customFormat="1" ht="11.25" customHeight="1" x14ac:dyDescent="0.2">
      <c r="A107" s="10">
        <v>42500000</v>
      </c>
      <c r="B107" s="10" t="s">
        <v>80</v>
      </c>
      <c r="C107" s="11">
        <v>-180820.1429999955</v>
      </c>
      <c r="D107" s="11">
        <v>2981321.4899999998</v>
      </c>
      <c r="E107" s="11">
        <v>2783427.1639999999</v>
      </c>
      <c r="F107" s="13">
        <f>SUMIF('OD 10-24'!A:A,A107,'OD 10-24'!D:D)</f>
        <v>0</v>
      </c>
      <c r="G107" s="13">
        <f>SUMIF('OD 12-24'!A:A,A107,'OD 12-24'!E:E)</f>
        <v>0</v>
      </c>
      <c r="H107" s="14">
        <f t="shared" si="2"/>
        <v>197894.32599999988</v>
      </c>
      <c r="I107" s="14">
        <f t="shared" si="3"/>
        <v>17074.183000004385</v>
      </c>
      <c r="J107" s="8" t="s">
        <v>78</v>
      </c>
      <c r="K107" s="8"/>
      <c r="M107" s="339"/>
      <c r="N107" s="315"/>
    </row>
    <row r="108" spans="1:14" s="9" customFormat="1" ht="11.25" customHeight="1" x14ac:dyDescent="0.2">
      <c r="A108" s="10">
        <v>42700000</v>
      </c>
      <c r="B108" s="10" t="s">
        <v>310</v>
      </c>
      <c r="C108" s="11">
        <v>0</v>
      </c>
      <c r="D108" s="11">
        <v>0</v>
      </c>
      <c r="E108" s="11">
        <v>0</v>
      </c>
      <c r="F108" s="13">
        <f>SUMIF('OD 10-24'!A:A,A108,'OD 10-24'!D:D)</f>
        <v>0</v>
      </c>
      <c r="G108" s="13">
        <f>SUMIF('OD 12-24'!A:A,A108,'OD 12-24'!E:E)</f>
        <v>0</v>
      </c>
      <c r="H108" s="14">
        <f t="shared" si="2"/>
        <v>0</v>
      </c>
      <c r="I108" s="14">
        <f t="shared" si="3"/>
        <v>0</v>
      </c>
      <c r="J108" s="8"/>
      <c r="K108" s="8"/>
      <c r="M108" s="339"/>
      <c r="N108" s="315"/>
    </row>
    <row r="109" spans="1:14" s="9" customFormat="1" ht="11.25" customHeight="1" x14ac:dyDescent="0.2">
      <c r="A109" s="10">
        <v>42710000</v>
      </c>
      <c r="B109" s="10" t="s">
        <v>82</v>
      </c>
      <c r="C109" s="11">
        <v>-2433.5259999999907</v>
      </c>
      <c r="D109" s="11">
        <v>7397.1149999999998</v>
      </c>
      <c r="E109" s="11">
        <v>7350.3469999999998</v>
      </c>
      <c r="F109" s="13">
        <f>SUMIF('OD 10-24'!A:A,A109,'OD 10-24'!D:D)</f>
        <v>0</v>
      </c>
      <c r="G109" s="13">
        <f>SUMIF('OD 12-24'!A:A,A109,'OD 12-24'!E:E)</f>
        <v>0</v>
      </c>
      <c r="H109" s="14">
        <f t="shared" si="2"/>
        <v>46.768000000000029</v>
      </c>
      <c r="I109" s="14">
        <f t="shared" si="3"/>
        <v>-2386.7579999999907</v>
      </c>
      <c r="J109" s="8" t="s">
        <v>81</v>
      </c>
      <c r="K109" s="8"/>
      <c r="M109" s="339"/>
      <c r="N109" s="315"/>
    </row>
    <row r="110" spans="1:14" s="9" customFormat="1" ht="11.25" customHeight="1" x14ac:dyDescent="0.2">
      <c r="A110" s="10">
        <v>42820000</v>
      </c>
      <c r="B110" s="10" t="s">
        <v>83</v>
      </c>
      <c r="C110" s="11">
        <v>-245931.41399999941</v>
      </c>
      <c r="D110" s="11">
        <v>245931.41399999996</v>
      </c>
      <c r="E110" s="11">
        <v>0</v>
      </c>
      <c r="F110" s="13">
        <f>SUMIF('OD 10-24'!A:A,A110,'OD 10-24'!D:D)</f>
        <v>3054487.4890000001</v>
      </c>
      <c r="G110" s="13">
        <f>SUMIF('OD 12-24'!A:A,A110,'OD 12-24'!E:E)</f>
        <v>3829487.4890000001</v>
      </c>
      <c r="H110" s="14">
        <f t="shared" si="2"/>
        <v>-529068.58600000013</v>
      </c>
      <c r="I110" s="14">
        <f t="shared" si="3"/>
        <v>-774999.99999999953</v>
      </c>
      <c r="J110" s="8" t="s">
        <v>81</v>
      </c>
      <c r="K110" s="8"/>
      <c r="M110" s="339"/>
      <c r="N110" s="315"/>
    </row>
    <row r="111" spans="1:14" s="9" customFormat="1" ht="11.25" customHeight="1" x14ac:dyDescent="0.2">
      <c r="A111" s="10">
        <v>43200000</v>
      </c>
      <c r="B111" s="10" t="s">
        <v>311</v>
      </c>
      <c r="C111" s="11">
        <v>0</v>
      </c>
      <c r="D111" s="11">
        <v>10000</v>
      </c>
      <c r="E111" s="11">
        <v>10000</v>
      </c>
      <c r="F111" s="13">
        <f>SUMIF('OD 10-24'!A:A,A111,'OD 10-24'!D:D)</f>
        <v>0</v>
      </c>
      <c r="G111" s="13">
        <f>SUMIF('OD 12-24'!A:A,A111,'OD 12-24'!E:E)</f>
        <v>0</v>
      </c>
      <c r="H111" s="14">
        <f t="shared" si="2"/>
        <v>0</v>
      </c>
      <c r="I111" s="14">
        <f t="shared" si="3"/>
        <v>0</v>
      </c>
      <c r="J111" s="8" t="s">
        <v>81</v>
      </c>
      <c r="K111" s="8"/>
      <c r="M111" s="339"/>
      <c r="N111" s="315"/>
    </row>
    <row r="112" spans="1:14" s="9" customFormat="1" ht="11.25" customHeight="1" x14ac:dyDescent="0.2">
      <c r="A112" s="10">
        <v>43210000</v>
      </c>
      <c r="B112" s="10" t="s">
        <v>84</v>
      </c>
      <c r="C112" s="11">
        <v>0</v>
      </c>
      <c r="D112" s="11">
        <v>605811.23399999994</v>
      </c>
      <c r="E112" s="11">
        <v>605811.23399999994</v>
      </c>
      <c r="F112" s="13">
        <f>SUMIF('OD 10-24'!A:A,A112,'OD 10-24'!D:D)</f>
        <v>0</v>
      </c>
      <c r="G112" s="13">
        <f>SUMIF('OD 12-24'!A:A,A112,'OD 12-24'!E:E)</f>
        <v>0</v>
      </c>
      <c r="H112" s="14">
        <f t="shared" si="2"/>
        <v>0</v>
      </c>
      <c r="I112" s="14">
        <f t="shared" si="3"/>
        <v>0</v>
      </c>
      <c r="J112" s="8" t="s">
        <v>81</v>
      </c>
      <c r="K112" s="8"/>
      <c r="M112" s="339"/>
      <c r="N112" s="315"/>
    </row>
    <row r="113" spans="1:14" s="9" customFormat="1" ht="11.25" customHeight="1" x14ac:dyDescent="0.2">
      <c r="A113" s="10">
        <v>43211000</v>
      </c>
      <c r="B113" s="10" t="s">
        <v>312</v>
      </c>
      <c r="C113" s="11">
        <v>0</v>
      </c>
      <c r="D113" s="11">
        <v>2549.4430000000002</v>
      </c>
      <c r="E113" s="11">
        <v>2549.4430000000002</v>
      </c>
      <c r="F113" s="13">
        <f>SUMIF('OD 10-24'!A:A,A113,'OD 10-24'!D:D)</f>
        <v>0</v>
      </c>
      <c r="G113" s="13">
        <f>SUMIF('OD 12-24'!A:A,A113,'OD 12-24'!E:E)</f>
        <v>0</v>
      </c>
      <c r="H113" s="14">
        <f t="shared" si="2"/>
        <v>0</v>
      </c>
      <c r="I113" s="14">
        <f t="shared" si="3"/>
        <v>0</v>
      </c>
      <c r="J113" s="8" t="s">
        <v>81</v>
      </c>
      <c r="K113" s="8"/>
      <c r="M113" s="339"/>
      <c r="N113" s="315"/>
    </row>
    <row r="114" spans="1:14" s="9" customFormat="1" ht="11.25" customHeight="1" x14ac:dyDescent="0.2">
      <c r="A114" s="10">
        <v>43211500</v>
      </c>
      <c r="B114" s="10" t="s">
        <v>85</v>
      </c>
      <c r="C114" s="11">
        <v>0</v>
      </c>
      <c r="D114" s="11">
        <v>149.95400000000001</v>
      </c>
      <c r="E114" s="11">
        <v>149.95499999999998</v>
      </c>
      <c r="F114" s="13">
        <f>SUMIF('OD 10-24'!A:A,A114,'OD 10-24'!D:D)</f>
        <v>0</v>
      </c>
      <c r="G114" s="13">
        <f>SUMIF('OD 12-24'!A:A,A114,'OD 12-24'!E:E)</f>
        <v>0</v>
      </c>
      <c r="H114" s="14">
        <f t="shared" si="2"/>
        <v>-9.9999999997635314E-4</v>
      </c>
      <c r="I114" s="14">
        <f t="shared" si="3"/>
        <v>-9.9999999997635314E-4</v>
      </c>
      <c r="J114" s="8" t="s">
        <v>81</v>
      </c>
      <c r="K114" s="8"/>
      <c r="M114" s="339"/>
      <c r="N114" s="315"/>
    </row>
    <row r="115" spans="1:14" s="9" customFormat="1" ht="11.25" customHeight="1" x14ac:dyDescent="0.2">
      <c r="A115" s="10">
        <v>43212500</v>
      </c>
      <c r="B115" s="10" t="s">
        <v>313</v>
      </c>
      <c r="C115" s="11">
        <v>0</v>
      </c>
      <c r="D115" s="11">
        <v>0</v>
      </c>
      <c r="E115" s="11">
        <v>0</v>
      </c>
      <c r="F115" s="13">
        <f>SUMIF('OD 10-24'!A:A,A115,'OD 10-24'!D:D)</f>
        <v>0</v>
      </c>
      <c r="G115" s="13">
        <f>SUMIF('OD 12-24'!A:A,A115,'OD 12-24'!E:E)</f>
        <v>0</v>
      </c>
      <c r="H115" s="14">
        <f t="shared" si="2"/>
        <v>0</v>
      </c>
      <c r="I115" s="14">
        <f t="shared" si="3"/>
        <v>0</v>
      </c>
      <c r="J115" s="8"/>
      <c r="K115" s="8"/>
      <c r="M115" s="339"/>
      <c r="N115" s="315"/>
    </row>
    <row r="116" spans="1:14" s="9" customFormat="1" ht="11.25" customHeight="1" x14ac:dyDescent="0.2">
      <c r="A116" s="10">
        <v>43215000</v>
      </c>
      <c r="B116" s="10" t="s">
        <v>314</v>
      </c>
      <c r="C116" s="11">
        <v>0</v>
      </c>
      <c r="D116" s="11">
        <v>0</v>
      </c>
      <c r="E116" s="11">
        <v>0</v>
      </c>
      <c r="F116" s="13">
        <f>SUMIF('OD 10-24'!A:A,A116,'OD 10-24'!D:D)</f>
        <v>0</v>
      </c>
      <c r="G116" s="13">
        <f>SUMIF('OD 12-24'!A:A,A116,'OD 12-24'!E:E)</f>
        <v>0</v>
      </c>
      <c r="H116" s="14">
        <f t="shared" si="2"/>
        <v>0</v>
      </c>
      <c r="I116" s="14">
        <f t="shared" si="3"/>
        <v>0</v>
      </c>
      <c r="J116" s="8"/>
      <c r="K116" s="8"/>
      <c r="M116" s="339"/>
      <c r="N116" s="315"/>
    </row>
    <row r="117" spans="1:14" s="9" customFormat="1" ht="11.25" customHeight="1" x14ac:dyDescent="0.2">
      <c r="A117" s="10">
        <v>43220000</v>
      </c>
      <c r="B117" s="10" t="s">
        <v>86</v>
      </c>
      <c r="C117" s="11">
        <v>0</v>
      </c>
      <c r="D117" s="11">
        <v>47808.722999999998</v>
      </c>
      <c r="E117" s="11">
        <v>111235.25200000001</v>
      </c>
      <c r="F117" s="13">
        <f>SUMIF('OD 10-24'!A:A,A117,'OD 10-24'!D:D)</f>
        <v>0</v>
      </c>
      <c r="G117" s="13">
        <f>SUMIF('OD 12-24'!A:A,A117,'OD 12-24'!E:E)</f>
        <v>0</v>
      </c>
      <c r="H117" s="14">
        <f t="shared" si="2"/>
        <v>-63426.52900000001</v>
      </c>
      <c r="I117" s="14">
        <f t="shared" si="3"/>
        <v>-63426.52900000001</v>
      </c>
      <c r="J117" s="8" t="s">
        <v>81</v>
      </c>
      <c r="K117" s="8"/>
      <c r="M117" s="339"/>
      <c r="N117" s="315"/>
    </row>
    <row r="118" spans="1:14" s="9" customFormat="1" ht="11.25" customHeight="1" x14ac:dyDescent="0.2">
      <c r="A118" s="10">
        <v>43220050</v>
      </c>
      <c r="B118" s="10" t="s">
        <v>315</v>
      </c>
      <c r="C118" s="11">
        <v>4.7000000002299203E-2</v>
      </c>
      <c r="D118" s="11">
        <v>2.98</v>
      </c>
      <c r="E118" s="11">
        <v>2.98</v>
      </c>
      <c r="F118" s="13">
        <f>SUMIF('OD 10-24'!A:A,A118,'OD 10-24'!D:D)</f>
        <v>0</v>
      </c>
      <c r="G118" s="13">
        <f>SUMIF('OD 12-24'!A:A,A118,'OD 12-24'!E:E)</f>
        <v>0</v>
      </c>
      <c r="H118" s="14">
        <f t="shared" si="2"/>
        <v>0</v>
      </c>
      <c r="I118" s="14">
        <f t="shared" si="3"/>
        <v>4.7000000002299203E-2</v>
      </c>
      <c r="J118" s="8" t="s">
        <v>78</v>
      </c>
      <c r="K118" s="8"/>
      <c r="M118" s="339"/>
      <c r="N118" s="315"/>
    </row>
    <row r="119" spans="1:14" s="9" customFormat="1" ht="11.25" customHeight="1" x14ac:dyDescent="0.2">
      <c r="A119" s="10">
        <v>43220100</v>
      </c>
      <c r="B119" s="10" t="s">
        <v>87</v>
      </c>
      <c r="C119" s="11">
        <v>0</v>
      </c>
      <c r="D119" s="11">
        <v>164831.48199999999</v>
      </c>
      <c r="E119" s="11">
        <v>176284.014</v>
      </c>
      <c r="F119" s="13">
        <f>SUMIF('OD 10-24'!A:A,A119,'OD 10-24'!D:D)</f>
        <v>0</v>
      </c>
      <c r="G119" s="13">
        <f>SUMIF('OD 12-24'!A:A,A119,'OD 12-24'!E:E)</f>
        <v>0</v>
      </c>
      <c r="H119" s="14">
        <f t="shared" si="2"/>
        <v>-11452.532000000007</v>
      </c>
      <c r="I119" s="14">
        <f t="shared" si="3"/>
        <v>-11452.532000000007</v>
      </c>
      <c r="J119" s="8" t="s">
        <v>81</v>
      </c>
      <c r="K119" s="8"/>
      <c r="M119" s="339"/>
      <c r="N119" s="315"/>
    </row>
    <row r="120" spans="1:14" s="9" customFormat="1" ht="11.25" customHeight="1" x14ac:dyDescent="0.2">
      <c r="A120" s="10">
        <v>43220300</v>
      </c>
      <c r="B120" s="10" t="s">
        <v>88</v>
      </c>
      <c r="C120" s="11">
        <v>0</v>
      </c>
      <c r="D120" s="11">
        <v>2590.67</v>
      </c>
      <c r="E120" s="11">
        <v>3759.9470000000001</v>
      </c>
      <c r="F120" s="13">
        <f>SUMIF('OD 10-24'!A:A,A120,'OD 10-24'!D:D)</f>
        <v>0</v>
      </c>
      <c r="G120" s="13">
        <f>SUMIF('OD 12-24'!A:A,A120,'OD 12-24'!E:E)</f>
        <v>0</v>
      </c>
      <c r="H120" s="14">
        <f t="shared" si="2"/>
        <v>-1169.277</v>
      </c>
      <c r="I120" s="14">
        <f t="shared" si="3"/>
        <v>-1169.277</v>
      </c>
      <c r="J120" s="8" t="s">
        <v>81</v>
      </c>
      <c r="K120" s="8"/>
      <c r="M120" s="339"/>
      <c r="N120" s="315"/>
    </row>
    <row r="121" spans="1:14" s="9" customFormat="1" ht="11.25" customHeight="1" x14ac:dyDescent="0.2">
      <c r="A121" s="10">
        <v>43221000</v>
      </c>
      <c r="B121" s="10" t="s">
        <v>89</v>
      </c>
      <c r="C121" s="11">
        <v>0</v>
      </c>
      <c r="D121" s="11">
        <v>66.666000000000011</v>
      </c>
      <c r="E121" s="11">
        <v>111.10999999999999</v>
      </c>
      <c r="F121" s="13">
        <f>SUMIF('OD 10-24'!A:A,A121,'OD 10-24'!D:D)</f>
        <v>0</v>
      </c>
      <c r="G121" s="13">
        <f>SUMIF('OD 12-24'!A:A,A121,'OD 12-24'!E:E)</f>
        <v>0</v>
      </c>
      <c r="H121" s="14">
        <f t="shared" si="2"/>
        <v>-44.443999999999974</v>
      </c>
      <c r="I121" s="14">
        <f t="shared" si="3"/>
        <v>-44.443999999999974</v>
      </c>
      <c r="J121" s="8" t="s">
        <v>81</v>
      </c>
      <c r="K121" s="8"/>
      <c r="M121" s="339"/>
      <c r="N121" s="315"/>
    </row>
    <row r="122" spans="1:14" s="9" customFormat="1" ht="11.25" customHeight="1" x14ac:dyDescent="0.2">
      <c r="A122" s="10">
        <v>43222000</v>
      </c>
      <c r="B122" s="10" t="s">
        <v>316</v>
      </c>
      <c r="C122" s="11">
        <v>0</v>
      </c>
      <c r="D122" s="11">
        <v>126636.79</v>
      </c>
      <c r="E122" s="11">
        <v>131636.78999999998</v>
      </c>
      <c r="F122" s="13">
        <f>SUMIF('OD 10-24'!A:A,A122,'OD 10-24'!D:D)</f>
        <v>0</v>
      </c>
      <c r="G122" s="13">
        <f>SUMIF('OD 12-24'!A:A,A122,'OD 12-24'!E:E)</f>
        <v>0</v>
      </c>
      <c r="H122" s="14">
        <f t="shared" si="2"/>
        <v>-4999.9999999999854</v>
      </c>
      <c r="I122" s="14">
        <f t="shared" si="3"/>
        <v>-4999.9999999999854</v>
      </c>
      <c r="J122" s="8" t="s">
        <v>81</v>
      </c>
      <c r="K122" s="8"/>
      <c r="M122" s="339"/>
      <c r="N122" s="315"/>
    </row>
    <row r="123" spans="1:14" s="9" customFormat="1" ht="11.25" customHeight="1" x14ac:dyDescent="0.2">
      <c r="A123" s="10">
        <v>43223000</v>
      </c>
      <c r="B123" s="10" t="s">
        <v>90</v>
      </c>
      <c r="C123" s="11">
        <v>-40912.060000000027</v>
      </c>
      <c r="D123" s="11">
        <v>55708.280999999995</v>
      </c>
      <c r="E123" s="11">
        <v>15822.796000000002</v>
      </c>
      <c r="F123" s="13">
        <f>SUMIF('OD 10-24'!A:A,A123,'OD 10-24'!D:D)</f>
        <v>0</v>
      </c>
      <c r="G123" s="13">
        <f>SUMIF('OD 12-24'!A:A,A123,'OD 12-24'!E:E)</f>
        <v>0</v>
      </c>
      <c r="H123" s="14">
        <f t="shared" si="2"/>
        <v>39885.484999999993</v>
      </c>
      <c r="I123" s="14">
        <f t="shared" si="3"/>
        <v>-1026.5750000000335</v>
      </c>
      <c r="J123" s="8" t="s">
        <v>81</v>
      </c>
      <c r="K123" s="8"/>
      <c r="M123" s="339"/>
      <c r="N123" s="315"/>
    </row>
    <row r="124" spans="1:14" s="9" customFormat="1" ht="11.25" customHeight="1" x14ac:dyDescent="0.2">
      <c r="A124" s="10">
        <v>43310000</v>
      </c>
      <c r="B124" s="10" t="s">
        <v>317</v>
      </c>
      <c r="C124" s="11">
        <v>0</v>
      </c>
      <c r="D124" s="11">
        <v>0</v>
      </c>
      <c r="E124" s="11">
        <v>0</v>
      </c>
      <c r="F124" s="13">
        <f>SUMIF('OD 10-24'!A:A,A124,'OD 10-24'!D:D)</f>
        <v>0</v>
      </c>
      <c r="G124" s="13">
        <f>SUMIF('OD 12-24'!A:A,A124,'OD 12-24'!E:E)</f>
        <v>0</v>
      </c>
      <c r="H124" s="14">
        <f t="shared" si="2"/>
        <v>0</v>
      </c>
      <c r="I124" s="14">
        <f t="shared" si="3"/>
        <v>0</v>
      </c>
      <c r="J124" s="8"/>
      <c r="K124" s="8"/>
      <c r="M124" s="339"/>
      <c r="N124" s="315"/>
    </row>
    <row r="125" spans="1:14" s="9" customFormat="1" ht="11.25" customHeight="1" x14ac:dyDescent="0.2">
      <c r="A125" s="10">
        <v>43400000</v>
      </c>
      <c r="B125" s="10" t="s">
        <v>91</v>
      </c>
      <c r="C125" s="11">
        <v>967729.65199999954</v>
      </c>
      <c r="D125" s="11">
        <v>0</v>
      </c>
      <c r="E125" s="11">
        <v>0</v>
      </c>
      <c r="F125" s="13">
        <f>SUMIF('OD 10-24'!A:A,A125,'OD 10-24'!D:D)</f>
        <v>0</v>
      </c>
      <c r="G125" s="13">
        <f>SUMIF('OD 12-24'!A:A,A125,'OD 12-24'!E:E)</f>
        <v>0</v>
      </c>
      <c r="H125" s="14">
        <f t="shared" si="2"/>
        <v>0</v>
      </c>
      <c r="I125" s="14">
        <f t="shared" si="3"/>
        <v>967729.65199999954</v>
      </c>
      <c r="J125" s="8" t="s">
        <v>78</v>
      </c>
      <c r="K125" s="8"/>
      <c r="M125" s="339"/>
      <c r="N125" s="315"/>
    </row>
    <row r="126" spans="1:14" s="9" customFormat="1" ht="11.25" customHeight="1" x14ac:dyDescent="0.2">
      <c r="A126" s="10">
        <v>43410000</v>
      </c>
      <c r="B126" s="10" t="s">
        <v>318</v>
      </c>
      <c r="C126" s="11">
        <v>0</v>
      </c>
      <c r="D126" s="11">
        <v>320270.35100000002</v>
      </c>
      <c r="E126" s="11">
        <v>0</v>
      </c>
      <c r="F126" s="13">
        <f>SUMIF('OD 10-24'!A:A,A126,'OD 10-24'!D:D)</f>
        <v>0</v>
      </c>
      <c r="G126" s="13">
        <f>SUMIF('OD 12-24'!A:A,A126,'OD 12-24'!E:E)</f>
        <v>0</v>
      </c>
      <c r="H126" s="14">
        <f t="shared" si="2"/>
        <v>320270.35100000002</v>
      </c>
      <c r="I126" s="14">
        <f t="shared" si="3"/>
        <v>320270.35100000002</v>
      </c>
      <c r="J126" s="8" t="s">
        <v>78</v>
      </c>
      <c r="K126" s="8"/>
      <c r="M126" s="339"/>
      <c r="N126" s="315"/>
    </row>
    <row r="127" spans="1:14" s="9" customFormat="1" ht="11.25" customHeight="1" x14ac:dyDescent="0.2">
      <c r="A127" s="10">
        <v>43420000</v>
      </c>
      <c r="B127" s="10" t="s">
        <v>92</v>
      </c>
      <c r="C127" s="11">
        <v>0</v>
      </c>
      <c r="D127" s="11">
        <v>0</v>
      </c>
      <c r="E127" s="11">
        <v>0</v>
      </c>
      <c r="F127" s="13">
        <f>SUMIF('OD 10-24'!A:A,A127,'OD 10-24'!D:D)</f>
        <v>0</v>
      </c>
      <c r="G127" s="13">
        <f>SUMIF('OD 12-24'!A:A,A127,'OD 12-24'!E:E)</f>
        <v>0</v>
      </c>
      <c r="H127" s="14">
        <f t="shared" si="2"/>
        <v>0</v>
      </c>
      <c r="I127" s="14">
        <f t="shared" si="3"/>
        <v>0</v>
      </c>
      <c r="J127" s="8"/>
      <c r="K127" s="8"/>
      <c r="M127" s="339"/>
      <c r="N127" s="315"/>
    </row>
    <row r="128" spans="1:14" s="9" customFormat="1" ht="11.25" customHeight="1" x14ac:dyDescent="0.2">
      <c r="A128" s="10">
        <v>43430000</v>
      </c>
      <c r="B128" s="10" t="s">
        <v>319</v>
      </c>
      <c r="C128" s="11">
        <v>0</v>
      </c>
      <c r="D128" s="11">
        <v>135.946</v>
      </c>
      <c r="E128" s="11">
        <v>135.946</v>
      </c>
      <c r="F128" s="13">
        <f>SUMIF('OD 10-24'!A:A,A128,'OD 10-24'!D:D)</f>
        <v>0</v>
      </c>
      <c r="G128" s="13">
        <f>SUMIF('OD 12-24'!A:A,A128,'OD 12-24'!E:E)</f>
        <v>0</v>
      </c>
      <c r="H128" s="14">
        <f t="shared" si="2"/>
        <v>0</v>
      </c>
      <c r="I128" s="14">
        <f t="shared" si="3"/>
        <v>0</v>
      </c>
      <c r="J128" s="8" t="s">
        <v>78</v>
      </c>
      <c r="K128" s="8"/>
      <c r="M128" s="339"/>
      <c r="N128" s="315"/>
    </row>
    <row r="129" spans="1:14" s="9" customFormat="1" ht="11.25" customHeight="1" x14ac:dyDescent="0.2">
      <c r="A129" s="10">
        <v>43440000</v>
      </c>
      <c r="B129" s="10" t="s">
        <v>320</v>
      </c>
      <c r="C129" s="11">
        <v>0</v>
      </c>
      <c r="D129" s="11">
        <v>6135.9</v>
      </c>
      <c r="E129" s="11">
        <v>6135.9</v>
      </c>
      <c r="F129" s="13">
        <f>SUMIF('OD 10-24'!A:A,A129,'OD 10-24'!D:D)</f>
        <v>0</v>
      </c>
      <c r="G129" s="13">
        <f>SUMIF('OD 12-24'!A:A,A129,'OD 12-24'!E:E)</f>
        <v>0</v>
      </c>
      <c r="H129" s="14">
        <f t="shared" si="2"/>
        <v>0</v>
      </c>
      <c r="I129" s="14">
        <f t="shared" si="3"/>
        <v>0</v>
      </c>
      <c r="J129" s="8" t="s">
        <v>78</v>
      </c>
      <c r="K129" s="8"/>
      <c r="M129" s="339"/>
      <c r="N129" s="315"/>
    </row>
    <row r="130" spans="1:14" s="9" customFormat="1" ht="11.25" customHeight="1" x14ac:dyDescent="0.2">
      <c r="A130" s="10">
        <v>43500000</v>
      </c>
      <c r="B130" s="10" t="s">
        <v>321</v>
      </c>
      <c r="C130" s="11">
        <v>-70408.270000000484</v>
      </c>
      <c r="D130" s="11">
        <v>846528.15099999995</v>
      </c>
      <c r="E130" s="11">
        <v>1202047.0519999999</v>
      </c>
      <c r="F130" s="13">
        <f>SUMIF('OD 10-24'!A:A,A130,'OD 10-24'!D:D)</f>
        <v>0</v>
      </c>
      <c r="G130" s="13">
        <f>SUMIF('OD 12-24'!A:A,A130,'OD 12-24'!E:E)</f>
        <v>0</v>
      </c>
      <c r="H130" s="14">
        <f t="shared" si="2"/>
        <v>-355518.90099999995</v>
      </c>
      <c r="I130" s="14">
        <f t="shared" si="3"/>
        <v>-425927.17100000044</v>
      </c>
      <c r="J130" s="8" t="s">
        <v>81</v>
      </c>
      <c r="K130" s="8"/>
      <c r="M130" s="339"/>
      <c r="N130" s="315"/>
    </row>
    <row r="131" spans="1:14" s="9" customFormat="1" ht="11.25" customHeight="1" x14ac:dyDescent="0.2">
      <c r="A131" s="10">
        <v>43600000</v>
      </c>
      <c r="B131" s="10" t="s">
        <v>93</v>
      </c>
      <c r="C131" s="11">
        <v>697619.66200000048</v>
      </c>
      <c r="D131" s="11">
        <v>9165952.4710000008</v>
      </c>
      <c r="E131" s="11">
        <v>7493963.807000001</v>
      </c>
      <c r="F131" s="13">
        <f>SUMIF('OD 10-24'!A:A,A131,'OD 10-24'!D:D)</f>
        <v>0</v>
      </c>
      <c r="G131" s="13">
        <f>SUMIF('OD 12-24'!A:A,A131,'OD 12-24'!E:E)</f>
        <v>0</v>
      </c>
      <c r="H131" s="14">
        <f t="shared" ref="H131:H195" si="4">+D131+F131-E131-G131</f>
        <v>1671988.6639999999</v>
      </c>
      <c r="I131" s="14">
        <f t="shared" ref="I131:I195" si="5">+H131+C131</f>
        <v>2369608.3260000004</v>
      </c>
      <c r="J131" s="8" t="s">
        <v>78</v>
      </c>
      <c r="K131" s="8"/>
      <c r="M131" s="339"/>
      <c r="N131" s="315"/>
    </row>
    <row r="132" spans="1:14" s="9" customFormat="1" ht="11.25" customHeight="1" x14ac:dyDescent="0.2">
      <c r="A132" s="10">
        <v>43625000</v>
      </c>
      <c r="B132" s="10" t="s">
        <v>94</v>
      </c>
      <c r="C132" s="11">
        <v>0</v>
      </c>
      <c r="D132" s="11">
        <v>282338.50100000005</v>
      </c>
      <c r="E132" s="11">
        <v>316533.68400000001</v>
      </c>
      <c r="F132" s="13">
        <f>SUMIF('OD 10-24'!A:A,A132,'OD 10-24'!D:D)</f>
        <v>0</v>
      </c>
      <c r="G132" s="13">
        <f>SUMIF('OD 12-24'!A:A,A132,'OD 12-24'!E:E)</f>
        <v>30688.393</v>
      </c>
      <c r="H132" s="14">
        <f t="shared" si="4"/>
        <v>-64883.575999999957</v>
      </c>
      <c r="I132" s="14">
        <f t="shared" si="5"/>
        <v>-64883.575999999957</v>
      </c>
      <c r="J132" s="8" t="s">
        <v>81</v>
      </c>
      <c r="K132" s="8"/>
      <c r="M132" s="339"/>
      <c r="N132" s="315"/>
    </row>
    <row r="133" spans="1:14" s="9" customFormat="1" ht="11.25" customHeight="1" x14ac:dyDescent="0.2">
      <c r="A133" s="10">
        <v>43627000</v>
      </c>
      <c r="B133" s="10" t="s">
        <v>95</v>
      </c>
      <c r="C133" s="11">
        <v>1.0999999940395355E-2</v>
      </c>
      <c r="D133" s="11">
        <v>1976369.5059999998</v>
      </c>
      <c r="E133" s="11">
        <v>2215735.7759999996</v>
      </c>
      <c r="F133" s="13">
        <f>SUMIF('OD 10-24'!A:A,A133,'OD 10-24'!D:D)</f>
        <v>0</v>
      </c>
      <c r="G133" s="13">
        <f>SUMIF('OD 12-24'!A:A,A133,'OD 12-24'!E:E)</f>
        <v>214818.74900000001</v>
      </c>
      <c r="H133" s="14">
        <f t="shared" si="4"/>
        <v>-454185.0189999998</v>
      </c>
      <c r="I133" s="14">
        <f t="shared" si="5"/>
        <v>-454185.00799999986</v>
      </c>
      <c r="J133" s="8" t="s">
        <v>81</v>
      </c>
      <c r="K133" s="8"/>
      <c r="M133" s="339"/>
      <c r="N133" s="315"/>
    </row>
    <row r="134" spans="1:14" s="9" customFormat="1" ht="11.25" customHeight="1" x14ac:dyDescent="0.2">
      <c r="A134" s="10">
        <v>43630600</v>
      </c>
      <c r="B134" s="10" t="s">
        <v>322</v>
      </c>
      <c r="C134" s="11">
        <v>0</v>
      </c>
      <c r="D134" s="11">
        <v>0</v>
      </c>
      <c r="E134" s="11">
        <v>0</v>
      </c>
      <c r="F134" s="13">
        <f>SUMIF('OD 10-24'!A:A,A134,'OD 10-24'!D:D)</f>
        <v>0</v>
      </c>
      <c r="G134" s="13">
        <f>SUMIF('OD 12-24'!A:A,A134,'OD 12-24'!E:E)</f>
        <v>0</v>
      </c>
      <c r="H134" s="14">
        <f t="shared" si="4"/>
        <v>0</v>
      </c>
      <c r="I134" s="14">
        <f t="shared" si="5"/>
        <v>0</v>
      </c>
      <c r="J134" s="8"/>
      <c r="K134" s="8"/>
      <c r="M134" s="339"/>
      <c r="N134" s="315"/>
    </row>
    <row r="135" spans="1:14" s="9" customFormat="1" ht="11.25" customHeight="1" x14ac:dyDescent="0.2">
      <c r="A135" s="10">
        <v>43630700</v>
      </c>
      <c r="B135" s="10" t="s">
        <v>96</v>
      </c>
      <c r="C135" s="11">
        <v>6400.8769999999786</v>
      </c>
      <c r="D135" s="11">
        <v>23658.482</v>
      </c>
      <c r="E135" s="11">
        <v>27865.889000000003</v>
      </c>
      <c r="F135" s="13">
        <f>SUMIF('OD 10-24'!A:A,A135,'OD 10-24'!D:D)</f>
        <v>0</v>
      </c>
      <c r="G135" s="13">
        <f>SUMIF('OD 12-24'!A:A,A135,'OD 12-24'!E:E)</f>
        <v>0</v>
      </c>
      <c r="H135" s="14">
        <f t="shared" si="4"/>
        <v>-4207.4070000000029</v>
      </c>
      <c r="I135" s="14">
        <f t="shared" si="5"/>
        <v>2193.4699999999757</v>
      </c>
      <c r="J135" s="8" t="s">
        <v>78</v>
      </c>
      <c r="K135" s="8"/>
      <c r="M135" s="339"/>
      <c r="N135" s="315"/>
    </row>
    <row r="136" spans="1:14" s="9" customFormat="1" ht="11.25" customHeight="1" x14ac:dyDescent="0.2">
      <c r="A136" s="10">
        <v>43631000</v>
      </c>
      <c r="B136" s="10" t="s">
        <v>323</v>
      </c>
      <c r="C136" s="11">
        <v>0</v>
      </c>
      <c r="D136" s="11">
        <v>0</v>
      </c>
      <c r="E136" s="11">
        <v>0</v>
      </c>
      <c r="F136" s="13">
        <f>SUMIF('OD 10-24'!A:A,A136,'OD 10-24'!D:D)</f>
        <v>0</v>
      </c>
      <c r="G136" s="13">
        <f>SUMIF('OD 12-24'!A:A,A136,'OD 12-24'!E:E)</f>
        <v>0</v>
      </c>
      <c r="H136" s="14">
        <f t="shared" si="4"/>
        <v>0</v>
      </c>
      <c r="I136" s="14">
        <f t="shared" si="5"/>
        <v>0</v>
      </c>
      <c r="J136" s="8"/>
      <c r="K136" s="8"/>
      <c r="M136" s="339"/>
      <c r="N136" s="315"/>
    </row>
    <row r="137" spans="1:14" s="9" customFormat="1" ht="11.25" customHeight="1" x14ac:dyDescent="0.2">
      <c r="A137" s="10">
        <v>43631300</v>
      </c>
      <c r="B137" s="10" t="s">
        <v>324</v>
      </c>
      <c r="C137" s="11">
        <v>0</v>
      </c>
      <c r="D137" s="11">
        <v>20468.701999999997</v>
      </c>
      <c r="E137" s="11">
        <v>18398.486000000001</v>
      </c>
      <c r="F137" s="13">
        <f>SUMIF('OD 10-24'!A:A,A137,'OD 10-24'!D:D)</f>
        <v>0</v>
      </c>
      <c r="G137" s="13">
        <f>SUMIF('OD 12-24'!A:A,A137,'OD 12-24'!E:E)</f>
        <v>0</v>
      </c>
      <c r="H137" s="14">
        <f t="shared" si="4"/>
        <v>2070.2159999999967</v>
      </c>
      <c r="I137" s="14">
        <f t="shared" si="5"/>
        <v>2070.2159999999967</v>
      </c>
      <c r="J137" s="8" t="s">
        <v>78</v>
      </c>
      <c r="K137" s="8"/>
      <c r="M137" s="339"/>
      <c r="N137" s="315"/>
    </row>
    <row r="138" spans="1:14" s="9" customFormat="1" ht="11.25" customHeight="1" x14ac:dyDescent="0.2">
      <c r="A138" s="10">
        <v>43631800</v>
      </c>
      <c r="B138" s="10" t="s">
        <v>325</v>
      </c>
      <c r="C138" s="11">
        <v>0</v>
      </c>
      <c r="D138" s="11">
        <v>0</v>
      </c>
      <c r="E138" s="11">
        <v>0</v>
      </c>
      <c r="F138" s="13">
        <f>SUMIF('OD 10-24'!A:A,A138,'OD 10-24'!D:D)</f>
        <v>0</v>
      </c>
      <c r="G138" s="13">
        <f>SUMIF('OD 12-24'!A:A,A138,'OD 12-24'!E:E)</f>
        <v>0</v>
      </c>
      <c r="H138" s="14">
        <f t="shared" si="4"/>
        <v>0</v>
      </c>
      <c r="I138" s="14">
        <f t="shared" si="5"/>
        <v>0</v>
      </c>
      <c r="J138" s="8"/>
      <c r="K138" s="8"/>
      <c r="M138" s="339"/>
      <c r="N138" s="315"/>
    </row>
    <row r="139" spans="1:14" s="9" customFormat="1" ht="11.25" customHeight="1" x14ac:dyDescent="0.2">
      <c r="A139" s="10">
        <v>43631900</v>
      </c>
      <c r="B139" s="10" t="s">
        <v>97</v>
      </c>
      <c r="C139" s="11">
        <v>-3.9999932050704956E-3</v>
      </c>
      <c r="D139" s="11">
        <v>8479532.7510000002</v>
      </c>
      <c r="E139" s="11">
        <v>7080728.8169999998</v>
      </c>
      <c r="F139" s="13">
        <f>SUMIF('OD 10-24'!A:A,A139,'OD 10-24'!D:D)</f>
        <v>0</v>
      </c>
      <c r="G139" s="13">
        <f>SUMIF('OD 12-24'!A:A,A139,'OD 12-24'!E:E)</f>
        <v>0</v>
      </c>
      <c r="H139" s="14">
        <f t="shared" si="4"/>
        <v>1398803.9340000004</v>
      </c>
      <c r="I139" s="14">
        <f t="shared" si="5"/>
        <v>1398803.9300000072</v>
      </c>
      <c r="J139" s="8" t="s">
        <v>78</v>
      </c>
      <c r="K139" s="8"/>
      <c r="M139" s="339"/>
      <c r="N139" s="315"/>
    </row>
    <row r="140" spans="1:14" s="9" customFormat="1" ht="11.25" customHeight="1" x14ac:dyDescent="0.2">
      <c r="A140" s="10">
        <v>43661800</v>
      </c>
      <c r="B140" s="10" t="s">
        <v>326</v>
      </c>
      <c r="C140" s="11">
        <v>0</v>
      </c>
      <c r="D140" s="11">
        <v>0</v>
      </c>
      <c r="E140" s="11">
        <v>0</v>
      </c>
      <c r="F140" s="13">
        <f>SUMIF('OD 10-24'!A:A,A140,'OD 10-24'!D:D)</f>
        <v>0</v>
      </c>
      <c r="G140" s="13">
        <f>SUMIF('OD 12-24'!A:A,A140,'OD 12-24'!E:E)</f>
        <v>0</v>
      </c>
      <c r="H140" s="14">
        <f t="shared" si="4"/>
        <v>0</v>
      </c>
      <c r="I140" s="14">
        <f t="shared" si="5"/>
        <v>0</v>
      </c>
      <c r="J140" s="8"/>
      <c r="K140" s="8"/>
      <c r="M140" s="339"/>
      <c r="N140" s="315"/>
    </row>
    <row r="141" spans="1:14" s="9" customFormat="1" ht="11.25" customHeight="1" x14ac:dyDescent="0.2">
      <c r="A141" s="10">
        <v>43671000</v>
      </c>
      <c r="B141" s="10" t="s">
        <v>98</v>
      </c>
      <c r="C141" s="11">
        <v>0</v>
      </c>
      <c r="D141" s="11">
        <v>5954307.097000001</v>
      </c>
      <c r="E141" s="11">
        <v>6656263.8439999996</v>
      </c>
      <c r="F141" s="13">
        <f>SUMIF('OD 10-24'!A:A,A141,'OD 10-24'!D:D)</f>
        <v>0</v>
      </c>
      <c r="G141" s="13">
        <f>SUMIF('OD 12-24'!A:A,A141,'OD 12-24'!E:E)</f>
        <v>643940.79099999997</v>
      </c>
      <c r="H141" s="14">
        <f t="shared" si="4"/>
        <v>-1345897.5379999985</v>
      </c>
      <c r="I141" s="14">
        <f t="shared" si="5"/>
        <v>-1345897.5379999985</v>
      </c>
      <c r="J141" s="8" t="s">
        <v>81</v>
      </c>
      <c r="K141" s="8"/>
      <c r="M141" s="339"/>
      <c r="N141" s="315"/>
    </row>
    <row r="142" spans="1:14" s="9" customFormat="1" ht="11.25" customHeight="1" x14ac:dyDescent="0.2">
      <c r="A142" s="10">
        <v>43700000</v>
      </c>
      <c r="B142" s="10" t="s">
        <v>99</v>
      </c>
      <c r="C142" s="11">
        <v>0</v>
      </c>
      <c r="D142" s="11">
        <v>39</v>
      </c>
      <c r="E142" s="11">
        <v>43</v>
      </c>
      <c r="F142" s="13">
        <f>SUMIF('OD 10-24'!A:A,A142,'OD 10-24'!D:D)</f>
        <v>0</v>
      </c>
      <c r="G142" s="13">
        <f>SUMIF('OD 12-24'!A:A,A142,'OD 12-24'!E:E)</f>
        <v>3</v>
      </c>
      <c r="H142" s="14">
        <f t="shared" si="4"/>
        <v>-7</v>
      </c>
      <c r="I142" s="14">
        <f t="shared" si="5"/>
        <v>-7</v>
      </c>
      <c r="J142" s="8" t="s">
        <v>81</v>
      </c>
      <c r="K142" s="8"/>
      <c r="M142" s="339"/>
      <c r="N142" s="315"/>
    </row>
    <row r="143" spans="1:14" s="9" customFormat="1" ht="11.25" customHeight="1" x14ac:dyDescent="0.2">
      <c r="A143" s="10">
        <v>43720000</v>
      </c>
      <c r="B143" s="10" t="s">
        <v>327</v>
      </c>
      <c r="C143" s="11">
        <v>0</v>
      </c>
      <c r="D143" s="11">
        <v>0</v>
      </c>
      <c r="E143" s="11">
        <v>0</v>
      </c>
      <c r="F143" s="13">
        <f>SUMIF('OD 10-24'!A:A,A143,'OD 10-24'!D:D)</f>
        <v>0</v>
      </c>
      <c r="G143" s="13">
        <f>SUMIF('OD 12-24'!A:A,A143,'OD 12-24'!E:E)</f>
        <v>0</v>
      </c>
      <c r="H143" s="14">
        <f t="shared" si="4"/>
        <v>0</v>
      </c>
      <c r="I143" s="14">
        <f t="shared" si="5"/>
        <v>0</v>
      </c>
      <c r="J143" s="8"/>
      <c r="K143" s="8"/>
      <c r="M143" s="339"/>
      <c r="N143" s="315"/>
    </row>
    <row r="144" spans="1:14" s="9" customFormat="1" ht="11.25" customHeight="1" x14ac:dyDescent="0.2">
      <c r="A144" s="10">
        <v>43756000</v>
      </c>
      <c r="B144" s="10" t="s">
        <v>328</v>
      </c>
      <c r="C144" s="11">
        <v>0</v>
      </c>
      <c r="D144" s="11">
        <v>0</v>
      </c>
      <c r="E144" s="11">
        <v>0</v>
      </c>
      <c r="F144" s="13">
        <f>SUMIF('OD 10-24'!A:A,A144,'OD 10-24'!D:D)</f>
        <v>0</v>
      </c>
      <c r="G144" s="13">
        <f>SUMIF('OD 12-24'!A:A,A144,'OD 12-24'!E:E)</f>
        <v>0</v>
      </c>
      <c r="H144" s="14">
        <f t="shared" si="4"/>
        <v>0</v>
      </c>
      <c r="I144" s="14">
        <f t="shared" si="5"/>
        <v>0</v>
      </c>
      <c r="J144" s="8"/>
      <c r="K144" s="8"/>
      <c r="M144" s="339"/>
      <c r="N144" s="315"/>
    </row>
    <row r="145" spans="1:14" s="9" customFormat="1" ht="11.25" customHeight="1" x14ac:dyDescent="0.2">
      <c r="A145" s="10">
        <v>44100000</v>
      </c>
      <c r="B145" s="10" t="s">
        <v>329</v>
      </c>
      <c r="C145" s="11">
        <v>0</v>
      </c>
      <c r="D145" s="11">
        <v>0</v>
      </c>
      <c r="E145" s="11">
        <v>0</v>
      </c>
      <c r="F145" s="13">
        <f>SUMIF('OD 10-24'!A:A,A145,'OD 10-24'!D:D)</f>
        <v>0</v>
      </c>
      <c r="G145" s="13">
        <f>SUMIF('OD 12-24'!A:A,A145,'OD 12-24'!E:E)</f>
        <v>0</v>
      </c>
      <c r="H145" s="14">
        <f t="shared" si="4"/>
        <v>0</v>
      </c>
      <c r="I145" s="14">
        <f t="shared" si="5"/>
        <v>0</v>
      </c>
      <c r="J145" s="8"/>
      <c r="K145" s="8"/>
      <c r="M145" s="339"/>
      <c r="N145" s="315"/>
    </row>
    <row r="146" spans="1:14" s="9" customFormat="1" ht="11.25" customHeight="1" x14ac:dyDescent="0.2">
      <c r="A146" s="10">
        <v>44101000</v>
      </c>
      <c r="B146" s="10" t="s">
        <v>7717</v>
      </c>
      <c r="C146" s="11">
        <v>0</v>
      </c>
      <c r="D146" s="11">
        <v>0</v>
      </c>
      <c r="E146" s="11">
        <v>0</v>
      </c>
      <c r="F146" s="13">
        <f>SUMIF('OD 10-24'!A:A,A146,'OD 10-24'!D:D)</f>
        <v>0</v>
      </c>
      <c r="G146" s="13">
        <f>SUMIF('OD 12-24'!A:A,A146,'OD 12-24'!E:E)</f>
        <v>0</v>
      </c>
      <c r="H146" s="14">
        <f t="shared" si="4"/>
        <v>0</v>
      </c>
      <c r="I146" s="14">
        <f t="shared" si="5"/>
        <v>0</v>
      </c>
      <c r="J146" s="8"/>
      <c r="K146" s="8"/>
      <c r="M146" s="339"/>
      <c r="N146" s="315"/>
    </row>
    <row r="147" spans="1:14" s="9" customFormat="1" ht="11.25" customHeight="1" x14ac:dyDescent="0.2">
      <c r="A147" s="10">
        <v>44200000</v>
      </c>
      <c r="B147" s="10" t="s">
        <v>330</v>
      </c>
      <c r="C147" s="11">
        <v>0</v>
      </c>
      <c r="D147" s="11">
        <v>0</v>
      </c>
      <c r="E147" s="11">
        <v>0</v>
      </c>
      <c r="F147" s="13">
        <f>SUMIF('OD 10-24'!A:A,A147,'OD 10-24'!D:D)</f>
        <v>0</v>
      </c>
      <c r="G147" s="13">
        <f>SUMIF('OD 12-24'!A:A,A147,'OD 12-24'!E:E)</f>
        <v>0</v>
      </c>
      <c r="H147" s="14">
        <f t="shared" si="4"/>
        <v>0</v>
      </c>
      <c r="I147" s="14">
        <f t="shared" si="5"/>
        <v>0</v>
      </c>
      <c r="J147" s="8"/>
      <c r="K147" s="8"/>
      <c r="M147" s="339"/>
      <c r="N147" s="315"/>
    </row>
    <row r="148" spans="1:14" s="9" customFormat="1" ht="11.25" customHeight="1" x14ac:dyDescent="0.2">
      <c r="A148" s="10">
        <v>44201000</v>
      </c>
      <c r="B148" s="10" t="s">
        <v>331</v>
      </c>
      <c r="C148" s="11">
        <v>44498.300999999978</v>
      </c>
      <c r="D148" s="11">
        <v>0</v>
      </c>
      <c r="E148" s="11">
        <v>44498.302000000003</v>
      </c>
      <c r="F148" s="13">
        <f>SUMIF('OD 10-24'!A:A,A148,'OD 10-24'!D:D)</f>
        <v>0</v>
      </c>
      <c r="G148" s="13">
        <f>SUMIF('OD 12-24'!A:A,A148,'OD 12-24'!E:E)</f>
        <v>0</v>
      </c>
      <c r="H148" s="14">
        <f t="shared" si="4"/>
        <v>-44498.302000000003</v>
      </c>
      <c r="I148" s="14">
        <f t="shared" si="5"/>
        <v>-1.0000000256695785E-3</v>
      </c>
      <c r="J148" s="8" t="s">
        <v>81</v>
      </c>
      <c r="K148" s="8"/>
      <c r="M148" s="339"/>
      <c r="N148" s="315"/>
    </row>
    <row r="149" spans="1:14" s="9" customFormat="1" ht="11.25" customHeight="1" x14ac:dyDescent="0.2">
      <c r="A149" s="10">
        <v>44202000</v>
      </c>
      <c r="B149" s="10" t="s">
        <v>332</v>
      </c>
      <c r="C149" s="11">
        <v>0</v>
      </c>
      <c r="D149" s="11">
        <v>0</v>
      </c>
      <c r="E149" s="11">
        <v>0</v>
      </c>
      <c r="F149" s="13">
        <f>SUMIF('OD 10-24'!A:A,A149,'OD 10-24'!D:D)</f>
        <v>0</v>
      </c>
      <c r="G149" s="13">
        <f>SUMIF('OD 12-24'!A:A,A149,'OD 12-24'!E:E)</f>
        <v>0</v>
      </c>
      <c r="H149" s="14">
        <f t="shared" si="4"/>
        <v>0</v>
      </c>
      <c r="I149" s="14">
        <f t="shared" si="5"/>
        <v>0</v>
      </c>
      <c r="J149" s="8"/>
      <c r="K149" s="8"/>
      <c r="M149" s="339"/>
      <c r="N149" s="315"/>
    </row>
    <row r="150" spans="1:14" s="9" customFormat="1" ht="11.25" customHeight="1" x14ac:dyDescent="0.2">
      <c r="A150" s="10">
        <v>44203000</v>
      </c>
      <c r="B150" s="10" t="s">
        <v>333</v>
      </c>
      <c r="C150" s="11">
        <v>0</v>
      </c>
      <c r="D150" s="11">
        <v>0</v>
      </c>
      <c r="E150" s="11">
        <v>0</v>
      </c>
      <c r="F150" s="13">
        <f>SUMIF('OD 10-24'!A:A,A150,'OD 10-24'!D:D)</f>
        <v>0</v>
      </c>
      <c r="G150" s="13">
        <f>SUMIF('OD 12-24'!A:A,A150,'OD 12-24'!E:E)</f>
        <v>0</v>
      </c>
      <c r="H150" s="14">
        <f t="shared" si="4"/>
        <v>0</v>
      </c>
      <c r="I150" s="14">
        <f t="shared" si="5"/>
        <v>0</v>
      </c>
      <c r="J150" s="8"/>
      <c r="K150" s="8"/>
      <c r="M150" s="339"/>
      <c r="N150" s="315"/>
    </row>
    <row r="151" spans="1:14" s="9" customFormat="1" ht="11.25" customHeight="1" x14ac:dyDescent="0.2">
      <c r="A151" s="10">
        <v>44204000</v>
      </c>
      <c r="B151" s="10" t="s">
        <v>334</v>
      </c>
      <c r="C151" s="11">
        <v>0</v>
      </c>
      <c r="D151" s="11">
        <v>0</v>
      </c>
      <c r="E151" s="11">
        <v>0</v>
      </c>
      <c r="F151" s="13">
        <f>SUMIF('OD 10-24'!A:A,A151,'OD 10-24'!D:D)</f>
        <v>0</v>
      </c>
      <c r="G151" s="13">
        <f>SUMIF('OD 12-24'!A:A,A151,'OD 12-24'!E:E)</f>
        <v>0</v>
      </c>
      <c r="H151" s="14">
        <f t="shared" si="4"/>
        <v>0</v>
      </c>
      <c r="I151" s="14">
        <f t="shared" si="5"/>
        <v>0</v>
      </c>
      <c r="J151" s="8"/>
      <c r="K151" s="8"/>
      <c r="M151" s="339"/>
      <c r="N151" s="315"/>
    </row>
    <row r="152" spans="1:14" s="9" customFormat="1" ht="11.25" customHeight="1" x14ac:dyDescent="0.2">
      <c r="A152" s="10">
        <v>44205000</v>
      </c>
      <c r="B152" s="10" t="s">
        <v>335</v>
      </c>
      <c r="C152" s="11">
        <v>0</v>
      </c>
      <c r="D152" s="11">
        <v>0</v>
      </c>
      <c r="E152" s="11">
        <v>0</v>
      </c>
      <c r="F152" s="13">
        <f>SUMIF('OD 10-24'!A:A,A152,'OD 10-24'!D:D)</f>
        <v>0</v>
      </c>
      <c r="G152" s="13">
        <f>SUMIF('OD 12-24'!A:A,A152,'OD 12-24'!E:E)</f>
        <v>0</v>
      </c>
      <c r="H152" s="14">
        <f t="shared" si="4"/>
        <v>0</v>
      </c>
      <c r="I152" s="14">
        <f t="shared" si="5"/>
        <v>0</v>
      </c>
      <c r="J152" s="8"/>
      <c r="K152" s="8"/>
      <c r="M152" s="339"/>
      <c r="N152" s="315"/>
    </row>
    <row r="153" spans="1:14" s="9" customFormat="1" ht="11.25" customHeight="1" x14ac:dyDescent="0.2">
      <c r="A153" s="10">
        <v>44206000</v>
      </c>
      <c r="B153" s="10" t="s">
        <v>100</v>
      </c>
      <c r="C153" s="11">
        <v>-439999.99999999988</v>
      </c>
      <c r="D153" s="11">
        <v>145000</v>
      </c>
      <c r="E153" s="11">
        <v>0</v>
      </c>
      <c r="F153" s="13">
        <f>SUMIF('OD 10-24'!A:A,A153,'OD 10-24'!D:D)</f>
        <v>0</v>
      </c>
      <c r="G153" s="13">
        <f>SUMIF('OD 12-24'!A:A,A153,'OD 12-24'!E:E)</f>
        <v>0</v>
      </c>
      <c r="H153" s="14">
        <f t="shared" si="4"/>
        <v>145000</v>
      </c>
      <c r="I153" s="14">
        <f t="shared" si="5"/>
        <v>-294999.99999999988</v>
      </c>
      <c r="J153" s="8" t="s">
        <v>81</v>
      </c>
      <c r="K153" s="8"/>
      <c r="M153" s="339"/>
      <c r="N153" s="315"/>
    </row>
    <row r="154" spans="1:14" s="9" customFormat="1" ht="11.25" customHeight="1" x14ac:dyDescent="0.2">
      <c r="A154" s="10">
        <v>44207000</v>
      </c>
      <c r="B154" s="10" t="s">
        <v>336</v>
      </c>
      <c r="C154" s="11">
        <v>165000</v>
      </c>
      <c r="D154" s="11">
        <v>60000</v>
      </c>
      <c r="E154" s="11">
        <v>0</v>
      </c>
      <c r="F154" s="13">
        <f>SUMIF('OD 10-24'!A:A,A154,'OD 10-24'!D:D)</f>
        <v>0</v>
      </c>
      <c r="G154" s="13">
        <f>SUMIF('OD 12-24'!A:A,A154,'OD 12-24'!E:E)</f>
        <v>0</v>
      </c>
      <c r="H154" s="14">
        <f t="shared" si="4"/>
        <v>60000</v>
      </c>
      <c r="I154" s="14">
        <f t="shared" si="5"/>
        <v>225000</v>
      </c>
      <c r="J154" s="8" t="s">
        <v>78</v>
      </c>
      <c r="K154" s="8"/>
      <c r="M154" s="339"/>
      <c r="N154" s="315"/>
    </row>
    <row r="155" spans="1:14" s="9" customFormat="1" ht="11.25" customHeight="1" x14ac:dyDescent="0.2">
      <c r="A155" s="10">
        <v>44208000</v>
      </c>
      <c r="B155" s="10" t="s">
        <v>337</v>
      </c>
      <c r="C155" s="11">
        <v>2270.971</v>
      </c>
      <c r="D155" s="11">
        <v>0</v>
      </c>
      <c r="E155" s="11">
        <v>0</v>
      </c>
      <c r="F155" s="13">
        <f>SUMIF('OD 10-24'!A:A,A155,'OD 10-24'!D:D)</f>
        <v>0</v>
      </c>
      <c r="G155" s="13">
        <f>SUMIF('OD 12-24'!A:A,A155,'OD 12-24'!E:E)</f>
        <v>0</v>
      </c>
      <c r="H155" s="14">
        <f t="shared" si="4"/>
        <v>0</v>
      </c>
      <c r="I155" s="14">
        <f t="shared" si="5"/>
        <v>2270.971</v>
      </c>
      <c r="J155" s="8" t="s">
        <v>78</v>
      </c>
      <c r="K155" s="8"/>
      <c r="M155" s="339"/>
      <c r="N155" s="315"/>
    </row>
    <row r="156" spans="1:14" s="9" customFormat="1" ht="11.25" customHeight="1" x14ac:dyDescent="0.2">
      <c r="A156" s="10">
        <v>44209000</v>
      </c>
      <c r="B156" s="10" t="s">
        <v>392</v>
      </c>
      <c r="C156" s="11">
        <v>3626.8820000002161</v>
      </c>
      <c r="D156" s="11">
        <v>0</v>
      </c>
      <c r="E156" s="11">
        <v>0</v>
      </c>
      <c r="F156" s="13">
        <f>SUMIF('OD 10-24'!A:A,A156,'OD 10-24'!D:D)</f>
        <v>0</v>
      </c>
      <c r="G156" s="13">
        <f>SUMIF('OD 12-24'!A:A,A156,'OD 12-24'!E:E)</f>
        <v>0</v>
      </c>
      <c r="H156" s="14">
        <f t="shared" si="4"/>
        <v>0</v>
      </c>
      <c r="I156" s="14">
        <f t="shared" si="5"/>
        <v>3626.8820000002161</v>
      </c>
      <c r="J156" s="8" t="s">
        <v>78</v>
      </c>
      <c r="K156" s="8"/>
      <c r="M156" s="339"/>
      <c r="N156" s="315"/>
    </row>
    <row r="157" spans="1:14" s="9" customFormat="1" ht="11.25" customHeight="1" x14ac:dyDescent="0.2">
      <c r="A157" s="10">
        <v>44210000</v>
      </c>
      <c r="B157" s="10" t="s">
        <v>338</v>
      </c>
      <c r="C157" s="11">
        <v>0</v>
      </c>
      <c r="D157" s="11">
        <v>0</v>
      </c>
      <c r="E157" s="11">
        <v>0</v>
      </c>
      <c r="F157" s="13">
        <f>SUMIF('OD 10-24'!A:A,A157,'OD 10-24'!D:D)</f>
        <v>0</v>
      </c>
      <c r="G157" s="13">
        <f>SUMIF('OD 12-24'!A:A,A157,'OD 12-24'!E:E)</f>
        <v>0</v>
      </c>
      <c r="H157" s="14">
        <f t="shared" si="4"/>
        <v>0</v>
      </c>
      <c r="I157" s="14">
        <f t="shared" si="5"/>
        <v>0</v>
      </c>
      <c r="J157" s="8"/>
      <c r="K157" s="8"/>
      <c r="M157" s="339"/>
      <c r="N157" s="315"/>
    </row>
    <row r="158" spans="1:14" s="9" customFormat="1" ht="11.25" customHeight="1" x14ac:dyDescent="0.2">
      <c r="A158" s="10">
        <v>44600000</v>
      </c>
      <c r="B158" s="10" t="s">
        <v>339</v>
      </c>
      <c r="C158" s="11">
        <v>0</v>
      </c>
      <c r="D158" s="11">
        <v>0</v>
      </c>
      <c r="E158" s="11">
        <v>0</v>
      </c>
      <c r="F158" s="13">
        <f>SUMIF('OD 10-24'!A:A,A158,'OD 10-24'!D:D)</f>
        <v>0</v>
      </c>
      <c r="G158" s="13">
        <f>SUMIF('OD 12-24'!A:A,A158,'OD 12-24'!E:E)</f>
        <v>0</v>
      </c>
      <c r="H158" s="14">
        <f t="shared" si="4"/>
        <v>0</v>
      </c>
      <c r="I158" s="14">
        <f t="shared" si="5"/>
        <v>0</v>
      </c>
      <c r="J158" s="8"/>
      <c r="K158" s="8"/>
      <c r="M158" s="339"/>
      <c r="N158" s="315"/>
    </row>
    <row r="159" spans="1:14" s="9" customFormat="1" ht="11.25" customHeight="1" x14ac:dyDescent="0.2">
      <c r="A159" s="10">
        <v>44700000</v>
      </c>
      <c r="B159" s="10" t="s">
        <v>101</v>
      </c>
      <c r="C159" s="11">
        <v>0</v>
      </c>
      <c r="D159" s="11">
        <v>0</v>
      </c>
      <c r="E159" s="11">
        <v>0</v>
      </c>
      <c r="F159" s="13">
        <f>SUMIF('OD 10-24'!A:A,A159,'OD 10-24'!D:D)</f>
        <v>0</v>
      </c>
      <c r="G159" s="13">
        <f>SUMIF('OD 12-24'!A:A,A159,'OD 12-24'!E:E)</f>
        <v>0</v>
      </c>
      <c r="H159" s="14">
        <f t="shared" si="4"/>
        <v>0</v>
      </c>
      <c r="I159" s="14">
        <f t="shared" si="5"/>
        <v>0</v>
      </c>
      <c r="J159" s="8"/>
      <c r="K159" s="8"/>
      <c r="M159" s="339"/>
      <c r="N159" s="315"/>
    </row>
    <row r="160" spans="1:14" s="9" customFormat="1" ht="11.25" customHeight="1" x14ac:dyDescent="0.2">
      <c r="A160" s="10">
        <v>45000000</v>
      </c>
      <c r="B160" s="10" t="s">
        <v>102</v>
      </c>
      <c r="C160" s="11">
        <v>-12700</v>
      </c>
      <c r="D160" s="11">
        <v>0</v>
      </c>
      <c r="E160" s="11">
        <v>0</v>
      </c>
      <c r="F160" s="13">
        <f>SUMIF('OD 10-24'!A:A,A160,'OD 10-24'!D:D)</f>
        <v>0</v>
      </c>
      <c r="G160" s="13">
        <f>SUMIF('OD 12-24'!A:A,A160,'OD 12-24'!E:E)</f>
        <v>0</v>
      </c>
      <c r="H160" s="14">
        <f t="shared" si="4"/>
        <v>0</v>
      </c>
      <c r="I160" s="14">
        <f t="shared" si="5"/>
        <v>-12700</v>
      </c>
      <c r="J160" s="8" t="s">
        <v>81</v>
      </c>
      <c r="K160" s="8"/>
      <c r="M160" s="339"/>
      <c r="N160" s="315"/>
    </row>
    <row r="161" spans="1:14" s="9" customFormat="1" ht="11.25" customHeight="1" x14ac:dyDescent="0.2">
      <c r="A161" s="10">
        <v>45200000</v>
      </c>
      <c r="B161" s="10" t="s">
        <v>103</v>
      </c>
      <c r="C161" s="11">
        <v>-2500</v>
      </c>
      <c r="D161" s="11">
        <v>56000</v>
      </c>
      <c r="E161" s="11">
        <v>56000</v>
      </c>
      <c r="F161" s="13">
        <f>SUMIF('OD 10-24'!A:A,A161,'OD 10-24'!D:D)</f>
        <v>0</v>
      </c>
      <c r="G161" s="13">
        <f>SUMIF('OD 12-24'!A:A,A161,'OD 12-24'!E:E)</f>
        <v>0</v>
      </c>
      <c r="H161" s="14">
        <f t="shared" si="4"/>
        <v>0</v>
      </c>
      <c r="I161" s="14">
        <f t="shared" si="5"/>
        <v>-2500</v>
      </c>
      <c r="J161" s="8" t="s">
        <v>81</v>
      </c>
      <c r="K161" s="8"/>
      <c r="M161" s="339"/>
      <c r="N161" s="315"/>
    </row>
    <row r="162" spans="1:14" s="9" customFormat="1" ht="11.25" customHeight="1" x14ac:dyDescent="0.2">
      <c r="A162" s="10">
        <v>45310000</v>
      </c>
      <c r="B162" s="10" t="s">
        <v>104</v>
      </c>
      <c r="C162" s="11">
        <v>-244010.37100000028</v>
      </c>
      <c r="D162" s="11">
        <v>910820.37900000007</v>
      </c>
      <c r="E162" s="11">
        <v>691690.02099999995</v>
      </c>
      <c r="F162" s="13">
        <f>SUMIF('OD 10-24'!A:A,A162,'OD 10-24'!D:D)</f>
        <v>726236.82400000002</v>
      </c>
      <c r="G162" s="13">
        <f>SUMIF('OD 12-24'!A:A,A162,'OD 12-24'!E:E)</f>
        <v>962096.11399999994</v>
      </c>
      <c r="H162" s="14">
        <f t="shared" si="4"/>
        <v>-16728.931999999681</v>
      </c>
      <c r="I162" s="14">
        <f t="shared" si="5"/>
        <v>-260739.30299999996</v>
      </c>
      <c r="J162" s="8" t="s">
        <v>81</v>
      </c>
      <c r="K162" s="8"/>
      <c r="M162" s="339"/>
      <c r="N162" s="315"/>
    </row>
    <row r="163" spans="1:14" s="9" customFormat="1" ht="11.25" customHeight="1" x14ac:dyDescent="0.2">
      <c r="A163" s="10">
        <v>45700000</v>
      </c>
      <c r="B163" s="10" t="s">
        <v>105</v>
      </c>
      <c r="C163" s="11">
        <v>7122.9679999998771</v>
      </c>
      <c r="D163" s="11">
        <v>0</v>
      </c>
      <c r="E163" s="11">
        <v>0</v>
      </c>
      <c r="F163" s="13">
        <f>SUMIF('OD 10-24'!A:A,A163,'OD 10-24'!D:D)</f>
        <v>0</v>
      </c>
      <c r="G163" s="13">
        <f>SUMIF('OD 12-24'!A:A,A163,'OD 12-24'!E:E)</f>
        <v>0</v>
      </c>
      <c r="H163" s="14">
        <f t="shared" si="4"/>
        <v>0</v>
      </c>
      <c r="I163" s="14">
        <f t="shared" si="5"/>
        <v>7122.9679999998771</v>
      </c>
      <c r="J163" s="8" t="s">
        <v>78</v>
      </c>
      <c r="K163" s="8"/>
      <c r="M163" s="339"/>
      <c r="N163" s="315"/>
    </row>
    <row r="164" spans="1:14" s="9" customFormat="1" ht="11.25" customHeight="1" x14ac:dyDescent="0.2">
      <c r="A164" s="10">
        <v>45860000</v>
      </c>
      <c r="B164" s="10" t="s">
        <v>106</v>
      </c>
      <c r="C164" s="11">
        <v>-1872970.182</v>
      </c>
      <c r="D164" s="11">
        <v>1149462.1570000001</v>
      </c>
      <c r="E164" s="11">
        <v>197370.59700000001</v>
      </c>
      <c r="F164" s="13">
        <f>SUMIF('OD 10-24'!A:A,A164,'OD 10-24'!D:D)</f>
        <v>9920258.2559999991</v>
      </c>
      <c r="G164" s="13">
        <f>SUMIF('OD 12-24'!A:A,A164,'OD 12-24'!E:E)</f>
        <v>15506470.107000001</v>
      </c>
      <c r="H164" s="14">
        <f t="shared" si="4"/>
        <v>-4634120.2910000011</v>
      </c>
      <c r="I164" s="14">
        <f t="shared" si="5"/>
        <v>-6507090.4730000012</v>
      </c>
      <c r="J164" s="8" t="s">
        <v>81</v>
      </c>
      <c r="K164" s="8"/>
      <c r="M164" s="339"/>
      <c r="N164" s="315"/>
    </row>
    <row r="165" spans="1:14" s="9" customFormat="1" ht="11.25" customHeight="1" x14ac:dyDescent="0.2">
      <c r="A165" s="10">
        <v>45870000</v>
      </c>
      <c r="B165" s="10" t="s">
        <v>107</v>
      </c>
      <c r="C165" s="11">
        <v>38770.517999999225</v>
      </c>
      <c r="D165" s="11">
        <v>0</v>
      </c>
      <c r="E165" s="11">
        <v>38770.517999999996</v>
      </c>
      <c r="F165" s="13">
        <f>SUMIF('OD 10-24'!A:A,A165,'OD 10-24'!D:D)</f>
        <v>744228.76399999997</v>
      </c>
      <c r="G165" s="13">
        <f>SUMIF('OD 12-24'!A:A,A165,'OD 12-24'!E:E)</f>
        <v>761130.09400000004</v>
      </c>
      <c r="H165" s="14">
        <f t="shared" si="4"/>
        <v>-55671.848000000115</v>
      </c>
      <c r="I165" s="14">
        <f t="shared" si="5"/>
        <v>-16901.330000000889</v>
      </c>
      <c r="J165" s="8" t="s">
        <v>78</v>
      </c>
      <c r="K165" s="8"/>
      <c r="M165" s="339"/>
      <c r="N165" s="315"/>
    </row>
    <row r="166" spans="1:14" s="9" customFormat="1" ht="11.25" customHeight="1" x14ac:dyDescent="0.2">
      <c r="A166" s="10">
        <v>46100000</v>
      </c>
      <c r="B166" s="10" t="s">
        <v>340</v>
      </c>
      <c r="C166" s="11">
        <v>0</v>
      </c>
      <c r="D166" s="11">
        <v>26222.382999999994</v>
      </c>
      <c r="E166" s="11">
        <v>26222.382999999994</v>
      </c>
      <c r="F166" s="13">
        <f>SUMIF('OD 10-24'!A:A,A166,'OD 10-24'!D:D)</f>
        <v>0</v>
      </c>
      <c r="G166" s="13">
        <f>SUMIF('OD 12-24'!A:A,A166,'OD 12-24'!E:E)</f>
        <v>0</v>
      </c>
      <c r="H166" s="14">
        <f t="shared" si="4"/>
        <v>0</v>
      </c>
      <c r="I166" s="14">
        <f t="shared" si="5"/>
        <v>0</v>
      </c>
      <c r="J166" s="8"/>
      <c r="K166" s="8"/>
      <c r="M166" s="339"/>
      <c r="N166" s="315"/>
    </row>
    <row r="167" spans="1:14" s="9" customFormat="1" ht="11.25" customHeight="1" x14ac:dyDescent="0.2">
      <c r="A167" s="10">
        <v>46800000</v>
      </c>
      <c r="B167" s="10" t="s">
        <v>108</v>
      </c>
      <c r="C167" s="11">
        <v>0</v>
      </c>
      <c r="D167" s="11">
        <v>0</v>
      </c>
      <c r="E167" s="11">
        <v>0</v>
      </c>
      <c r="F167" s="13">
        <f>SUMIF('OD 10-24'!A:A,A167,'OD 10-24'!D:D)</f>
        <v>0</v>
      </c>
      <c r="G167" s="13">
        <f>SUMIF('OD 12-24'!A:A,A167,'OD 12-24'!E:E)</f>
        <v>0</v>
      </c>
      <c r="H167" s="14">
        <f t="shared" si="4"/>
        <v>0</v>
      </c>
      <c r="I167" s="14">
        <f t="shared" si="5"/>
        <v>0</v>
      </c>
      <c r="J167" s="8"/>
      <c r="K167" s="8"/>
      <c r="M167" s="339"/>
      <c r="N167" s="315"/>
    </row>
    <row r="168" spans="1:14" s="9" customFormat="1" ht="11.25" customHeight="1" x14ac:dyDescent="0.2">
      <c r="A168" s="10">
        <v>47100000</v>
      </c>
      <c r="B168" s="10" t="s">
        <v>109</v>
      </c>
      <c r="C168" s="11">
        <v>222018.92184599978</v>
      </c>
      <c r="D168" s="11">
        <v>523.68799999999999</v>
      </c>
      <c r="E168" s="11">
        <v>221330.79699999996</v>
      </c>
      <c r="F168" s="13">
        <f>SUMIF('OD 10-24'!A:A,A168,'OD 10-24'!D:D)</f>
        <v>1694253.173</v>
      </c>
      <c r="G168" s="13">
        <f>SUMIF('OD 12-24'!A:A,A168,'OD 12-24'!E:E)</f>
        <v>1983780.872</v>
      </c>
      <c r="H168" s="14">
        <f t="shared" si="4"/>
        <v>-510334.80799999996</v>
      </c>
      <c r="I168" s="14">
        <f t="shared" si="5"/>
        <v>-288315.88615400018</v>
      </c>
      <c r="J168" s="8" t="s">
        <v>78</v>
      </c>
      <c r="K168" s="8"/>
      <c r="M168" s="339"/>
      <c r="N168" s="315"/>
    </row>
    <row r="169" spans="1:14" s="9" customFormat="1" ht="11.25" customHeight="1" x14ac:dyDescent="0.2">
      <c r="A169" s="10">
        <v>47200000</v>
      </c>
      <c r="B169" s="10" t="s">
        <v>341</v>
      </c>
      <c r="C169" s="11">
        <v>0</v>
      </c>
      <c r="D169" s="11">
        <v>0</v>
      </c>
      <c r="E169" s="11">
        <v>0</v>
      </c>
      <c r="F169" s="13">
        <f>SUMIF('OD 10-24'!A:A,A169,'OD 10-24'!D:D)</f>
        <v>0</v>
      </c>
      <c r="G169" s="13">
        <f>SUMIF('OD 12-24'!A:A,A169,'OD 12-24'!E:E)</f>
        <v>0</v>
      </c>
      <c r="H169" s="14">
        <f t="shared" si="4"/>
        <v>0</v>
      </c>
      <c r="I169" s="14">
        <f t="shared" si="5"/>
        <v>0</v>
      </c>
      <c r="J169" s="8"/>
      <c r="K169" s="8"/>
      <c r="M169" s="339"/>
      <c r="N169" s="315"/>
    </row>
    <row r="170" spans="1:14" s="9" customFormat="1" ht="11.25" customHeight="1" x14ac:dyDescent="0.2">
      <c r="A170" s="10">
        <v>49100000</v>
      </c>
      <c r="B170" s="10" t="s">
        <v>110</v>
      </c>
      <c r="C170" s="11">
        <v>-457129.14999999991</v>
      </c>
      <c r="D170" s="11">
        <v>0</v>
      </c>
      <c r="E170" s="11">
        <v>0</v>
      </c>
      <c r="F170" s="13">
        <f>SUMIF('OD 10-24'!A:A,A170,'OD 10-24'!D:D)</f>
        <v>1900000</v>
      </c>
      <c r="G170" s="13">
        <f>SUMIF('OD 12-24'!A:A,A170,'OD 12-24'!E:E)</f>
        <v>3323988.5890000002</v>
      </c>
      <c r="H170" s="14">
        <f t="shared" si="4"/>
        <v>-1423988.5890000002</v>
      </c>
      <c r="I170" s="14">
        <f t="shared" si="5"/>
        <v>-1881117.7390000001</v>
      </c>
      <c r="J170" s="8" t="s">
        <v>111</v>
      </c>
      <c r="K170" s="8"/>
      <c r="M170" s="339"/>
      <c r="N170" s="315"/>
    </row>
    <row r="171" spans="1:14" s="9" customFormat="1" ht="11.25" customHeight="1" x14ac:dyDescent="0.2">
      <c r="A171" s="10">
        <v>49600000</v>
      </c>
      <c r="B171" s="10" t="s">
        <v>112</v>
      </c>
      <c r="C171" s="11">
        <v>-288613.68499999994</v>
      </c>
      <c r="D171" s="11">
        <v>0</v>
      </c>
      <c r="E171" s="11">
        <v>0</v>
      </c>
      <c r="F171" s="13">
        <f>SUMIF('OD 10-24'!A:A,A171,'OD 10-24'!D:D)</f>
        <v>0</v>
      </c>
      <c r="G171" s="13">
        <f>SUMIF('OD 12-24'!A:A,A171,'OD 12-24'!E:E)</f>
        <v>0</v>
      </c>
      <c r="H171" s="14">
        <f t="shared" si="4"/>
        <v>0</v>
      </c>
      <c r="I171" s="14">
        <f t="shared" si="5"/>
        <v>-288613.68499999994</v>
      </c>
      <c r="J171" s="8" t="s">
        <v>113</v>
      </c>
      <c r="K171" s="8"/>
      <c r="M171" s="339"/>
      <c r="N171" s="315"/>
    </row>
    <row r="172" spans="1:14" s="9" customFormat="1" ht="11.25" customHeight="1" x14ac:dyDescent="0.2">
      <c r="A172" s="10">
        <v>50130000</v>
      </c>
      <c r="B172" s="10" t="s">
        <v>114</v>
      </c>
      <c r="C172" s="11">
        <v>-6000000</v>
      </c>
      <c r="D172" s="11">
        <v>18000000</v>
      </c>
      <c r="E172" s="11">
        <v>18000000</v>
      </c>
      <c r="F172" s="13">
        <f>SUMIF('OD 10-24'!A:A,A172,'OD 10-24'!D:D)</f>
        <v>0</v>
      </c>
      <c r="G172" s="13">
        <f>SUMIF('OD 12-24'!A:A,A172,'OD 12-24'!E:E)</f>
        <v>0</v>
      </c>
      <c r="H172" s="14">
        <f t="shared" si="4"/>
        <v>0</v>
      </c>
      <c r="I172" s="14">
        <f t="shared" si="5"/>
        <v>-6000000</v>
      </c>
      <c r="J172" s="8" t="s">
        <v>115</v>
      </c>
      <c r="K172" s="8"/>
      <c r="M172" s="339"/>
      <c r="N172" s="315"/>
    </row>
    <row r="173" spans="1:14" s="9" customFormat="1" ht="11.25" customHeight="1" x14ac:dyDescent="0.2">
      <c r="A173" s="10">
        <v>50140000</v>
      </c>
      <c r="B173" s="10" t="s">
        <v>116</v>
      </c>
      <c r="C173" s="11">
        <v>-4000000</v>
      </c>
      <c r="D173" s="11">
        <v>12000000</v>
      </c>
      <c r="E173" s="11">
        <v>12000000</v>
      </c>
      <c r="F173" s="13">
        <f>SUMIF('OD 10-24'!A:A,A173,'OD 10-24'!D:D)</f>
        <v>0</v>
      </c>
      <c r="G173" s="13">
        <f>SUMIF('OD 12-24'!A:A,A173,'OD 12-24'!E:E)</f>
        <v>0</v>
      </c>
      <c r="H173" s="14">
        <f t="shared" si="4"/>
        <v>0</v>
      </c>
      <c r="I173" s="14">
        <f t="shared" si="5"/>
        <v>-4000000</v>
      </c>
      <c r="J173" s="8" t="s">
        <v>115</v>
      </c>
      <c r="K173" s="8"/>
      <c r="M173" s="339"/>
      <c r="N173" s="315"/>
    </row>
    <row r="174" spans="1:14" s="9" customFormat="1" ht="11.25" customHeight="1" x14ac:dyDescent="0.2">
      <c r="A174" s="10">
        <v>50500000</v>
      </c>
      <c r="B174" s="10" t="s">
        <v>117</v>
      </c>
      <c r="C174" s="11">
        <v>-625000.00400000252</v>
      </c>
      <c r="D174" s="11">
        <v>625000</v>
      </c>
      <c r="E174" s="11">
        <v>0</v>
      </c>
      <c r="F174" s="13">
        <f>SUMIF('OD 10-24'!A:A,A174,'OD 10-24'!D:D)</f>
        <v>0</v>
      </c>
      <c r="G174" s="13">
        <f>SUMIF('OD 12-24'!A:A,A174,'OD 12-24'!E:E)</f>
        <v>586666</v>
      </c>
      <c r="H174" s="14">
        <f t="shared" si="4"/>
        <v>38334</v>
      </c>
      <c r="I174" s="14">
        <f t="shared" si="5"/>
        <v>-586666.00400000252</v>
      </c>
      <c r="J174" s="8" t="s">
        <v>115</v>
      </c>
      <c r="K174" s="8"/>
      <c r="M174" s="339"/>
      <c r="N174" s="315"/>
    </row>
    <row r="175" spans="1:14" s="9" customFormat="1" ht="11.25" customHeight="1" x14ac:dyDescent="0.2">
      <c r="A175" s="10">
        <v>50515000</v>
      </c>
      <c r="B175" s="10" t="s">
        <v>118</v>
      </c>
      <c r="C175" s="11">
        <v>-131871.57899999991</v>
      </c>
      <c r="D175" s="11">
        <v>302265.60800000001</v>
      </c>
      <c r="E175" s="11">
        <v>225258.14199999999</v>
      </c>
      <c r="F175" s="13">
        <f>SUMIF('OD 10-24'!A:A,A175,'OD 10-24'!D:D)</f>
        <v>0</v>
      </c>
      <c r="G175" s="13">
        <f>SUMIF('OD 12-24'!A:A,A175,'OD 12-24'!E:E)</f>
        <v>78552.648000000001</v>
      </c>
      <c r="H175" s="14">
        <f t="shared" si="4"/>
        <v>-1545.1819999999861</v>
      </c>
      <c r="I175" s="14">
        <f t="shared" si="5"/>
        <v>-133416.76099999988</v>
      </c>
      <c r="J175" s="8" t="s">
        <v>115</v>
      </c>
      <c r="K175" s="8"/>
      <c r="M175" s="339"/>
      <c r="N175" s="315"/>
    </row>
    <row r="176" spans="1:14" s="9" customFormat="1" ht="11.25" customHeight="1" x14ac:dyDescent="0.2">
      <c r="A176" s="10">
        <v>50610100</v>
      </c>
      <c r="B176" s="10" t="s">
        <v>342</v>
      </c>
      <c r="C176" s="11">
        <v>0</v>
      </c>
      <c r="D176" s="11">
        <v>0</v>
      </c>
      <c r="E176" s="11">
        <v>0</v>
      </c>
      <c r="F176" s="13">
        <f>SUMIF('OD 10-24'!A:A,A176,'OD 10-24'!D:D)</f>
        <v>0</v>
      </c>
      <c r="G176" s="13">
        <f>SUMIF('OD 12-24'!A:A,A176,'OD 12-24'!E:E)</f>
        <v>0</v>
      </c>
      <c r="H176" s="14">
        <f t="shared" si="4"/>
        <v>0</v>
      </c>
      <c r="I176" s="14">
        <f t="shared" si="5"/>
        <v>0</v>
      </c>
      <c r="J176" s="8"/>
      <c r="K176" s="8"/>
      <c r="M176" s="339"/>
      <c r="N176" s="315"/>
    </row>
    <row r="177" spans="1:14" s="9" customFormat="1" ht="11.25" customHeight="1" x14ac:dyDescent="0.2">
      <c r="A177" s="10">
        <v>50610900</v>
      </c>
      <c r="B177" s="10" t="s">
        <v>119</v>
      </c>
      <c r="C177" s="11">
        <v>-1347864.9606235027</v>
      </c>
      <c r="D177" s="11">
        <v>1359732.8840000001</v>
      </c>
      <c r="E177" s="11">
        <v>11867.923000000001</v>
      </c>
      <c r="F177" s="13">
        <f>SUMIF('OD 10-24'!A:A,A177,'OD 10-24'!D:D)</f>
        <v>0</v>
      </c>
      <c r="G177" s="13">
        <f>SUMIF('OD 12-24'!A:A,A177,'OD 12-24'!E:E)</f>
        <v>0</v>
      </c>
      <c r="H177" s="14">
        <f t="shared" si="4"/>
        <v>1347864.9610000001</v>
      </c>
      <c r="I177" s="14">
        <f t="shared" si="5"/>
        <v>3.7649739533662796E-4</v>
      </c>
      <c r="J177" s="8" t="s">
        <v>115</v>
      </c>
      <c r="K177" s="8"/>
      <c r="M177" s="339"/>
      <c r="N177" s="315"/>
    </row>
    <row r="178" spans="1:14" s="9" customFormat="1" ht="11.25" customHeight="1" x14ac:dyDescent="0.2">
      <c r="A178" s="10">
        <v>50630000</v>
      </c>
      <c r="B178" s="10" t="s">
        <v>343</v>
      </c>
      <c r="C178" s="11">
        <v>-443000</v>
      </c>
      <c r="D178" s="11">
        <v>443000</v>
      </c>
      <c r="E178" s="11">
        <v>0</v>
      </c>
      <c r="F178" s="13">
        <f>SUMIF('OD 10-24'!A:A,A178,'OD 10-24'!D:D)</f>
        <v>0</v>
      </c>
      <c r="G178" s="13">
        <f>SUMIF('OD 12-24'!A:A,A178,'OD 12-24'!E:E)</f>
        <v>0</v>
      </c>
      <c r="H178" s="14">
        <f t="shared" si="4"/>
        <v>443000</v>
      </c>
      <c r="I178" s="14">
        <f t="shared" si="5"/>
        <v>0</v>
      </c>
      <c r="J178" s="8" t="s">
        <v>115</v>
      </c>
      <c r="K178" s="8"/>
      <c r="M178" s="339"/>
      <c r="N178" s="315"/>
    </row>
    <row r="179" spans="1:14" s="9" customFormat="1" ht="11.25" customHeight="1" x14ac:dyDescent="0.2">
      <c r="A179" s="10">
        <v>50800000</v>
      </c>
      <c r="B179" s="10" t="s">
        <v>344</v>
      </c>
      <c r="C179" s="11">
        <v>-31533.957000000002</v>
      </c>
      <c r="D179" s="11">
        <v>31533.957000000002</v>
      </c>
      <c r="E179" s="11">
        <v>0</v>
      </c>
      <c r="F179" s="13">
        <f>SUMIF('OD 10-24'!A:A,A179,'OD 10-24'!D:D)</f>
        <v>0</v>
      </c>
      <c r="G179" s="13">
        <f>SUMIF('OD 12-24'!A:A,A179,'OD 12-24'!E:E)</f>
        <v>0</v>
      </c>
      <c r="H179" s="14">
        <f t="shared" si="4"/>
        <v>31533.957000000002</v>
      </c>
      <c r="I179" s="14">
        <f t="shared" si="5"/>
        <v>0</v>
      </c>
      <c r="J179" s="8" t="s">
        <v>115</v>
      </c>
      <c r="K179" s="8"/>
      <c r="M179" s="339"/>
      <c r="N179" s="315"/>
    </row>
    <row r="180" spans="1:14" s="9" customFormat="1" ht="11.25" customHeight="1" x14ac:dyDescent="0.2">
      <c r="A180" s="10">
        <v>52000000</v>
      </c>
      <c r="B180" s="10" t="s">
        <v>345</v>
      </c>
      <c r="C180" s="11">
        <v>0</v>
      </c>
      <c r="D180" s="11">
        <v>0</v>
      </c>
      <c r="E180" s="11">
        <v>0</v>
      </c>
      <c r="F180" s="13">
        <f>SUMIF('OD 10-24'!A:A,A180,'OD 10-24'!D:D)</f>
        <v>0</v>
      </c>
      <c r="G180" s="13">
        <f>SUMIF('OD 12-24'!A:A,A180,'OD 12-24'!E:E)</f>
        <v>0</v>
      </c>
      <c r="H180" s="14">
        <f t="shared" si="4"/>
        <v>0</v>
      </c>
      <c r="I180" s="14">
        <f t="shared" si="5"/>
        <v>0</v>
      </c>
      <c r="J180" s="8"/>
      <c r="K180" s="8"/>
      <c r="M180" s="339"/>
      <c r="N180" s="315"/>
    </row>
    <row r="181" spans="1:14" s="9" customFormat="1" ht="11.25" customHeight="1" x14ac:dyDescent="0.2">
      <c r="A181" s="10">
        <v>52001100</v>
      </c>
      <c r="B181" s="10" t="s">
        <v>346</v>
      </c>
      <c r="C181" s="11">
        <v>0</v>
      </c>
      <c r="D181" s="11">
        <v>0</v>
      </c>
      <c r="E181" s="11">
        <v>0</v>
      </c>
      <c r="F181" s="13">
        <f>SUMIF('OD 10-24'!A:A,A181,'OD 10-24'!D:D)</f>
        <v>0</v>
      </c>
      <c r="G181" s="13">
        <f>SUMIF('OD 12-24'!A:A,A181,'OD 12-24'!E:E)</f>
        <v>0</v>
      </c>
      <c r="H181" s="14">
        <f t="shared" si="4"/>
        <v>0</v>
      </c>
      <c r="I181" s="14">
        <f t="shared" si="5"/>
        <v>0</v>
      </c>
      <c r="J181" s="8"/>
      <c r="K181" s="8"/>
      <c r="M181" s="339"/>
      <c r="N181" s="315"/>
    </row>
    <row r="182" spans="1:14" s="9" customFormat="1" ht="11.25" customHeight="1" x14ac:dyDescent="0.2">
      <c r="A182" s="10">
        <v>53140000</v>
      </c>
      <c r="B182" s="10" t="s">
        <v>347</v>
      </c>
      <c r="C182" s="11">
        <v>0</v>
      </c>
      <c r="D182" s="11">
        <v>0</v>
      </c>
      <c r="E182" s="11">
        <v>0</v>
      </c>
      <c r="F182" s="13">
        <f>SUMIF('OD 10-24'!A:A,A182,'OD 10-24'!D:D)</f>
        <v>0</v>
      </c>
      <c r="G182" s="13">
        <f>SUMIF('OD 12-24'!A:A,A182,'OD 12-24'!E:E)</f>
        <v>0</v>
      </c>
      <c r="H182" s="14">
        <f t="shared" si="4"/>
        <v>0</v>
      </c>
      <c r="I182" s="14">
        <f t="shared" si="5"/>
        <v>0</v>
      </c>
      <c r="J182" s="8"/>
      <c r="K182" s="8"/>
      <c r="M182" s="339"/>
      <c r="N182" s="315"/>
    </row>
    <row r="183" spans="1:14" s="9" customFormat="1" ht="11.25" x14ac:dyDescent="0.2">
      <c r="A183" s="10">
        <v>53200000</v>
      </c>
      <c r="B183" s="10" t="s">
        <v>120</v>
      </c>
      <c r="C183" s="11">
        <v>185799.56100001931</v>
      </c>
      <c r="D183" s="11">
        <v>24366585.286999997</v>
      </c>
      <c r="E183" s="11">
        <v>24513314.263000004</v>
      </c>
      <c r="F183" s="13">
        <f>SUMIF('OD 10-24'!A:A,A183,'OD 10-24'!D:D)</f>
        <v>0</v>
      </c>
      <c r="G183" s="13">
        <f>SUMIF('OD 12-24'!A:A,A183,'OD 12-24'!E:E)</f>
        <v>0</v>
      </c>
      <c r="H183" s="14">
        <f t="shared" si="4"/>
        <v>-146728.97600000724</v>
      </c>
      <c r="I183" s="14">
        <f t="shared" si="5"/>
        <v>39070.58500001207</v>
      </c>
      <c r="J183" s="8" t="s">
        <v>121</v>
      </c>
      <c r="K183" s="8"/>
      <c r="M183" s="339"/>
      <c r="N183" s="315"/>
    </row>
    <row r="184" spans="1:14" s="9" customFormat="1" ht="11.25" customHeight="1" x14ac:dyDescent="0.2">
      <c r="A184" s="10">
        <v>53201000</v>
      </c>
      <c r="B184" s="10" t="s">
        <v>348</v>
      </c>
      <c r="C184" s="11">
        <v>0</v>
      </c>
      <c r="D184" s="11">
        <v>0</v>
      </c>
      <c r="E184" s="11">
        <v>0</v>
      </c>
      <c r="F184" s="13">
        <f>SUMIF('OD 10-24'!A:A,A184,'OD 10-24'!D:D)</f>
        <v>0</v>
      </c>
      <c r="G184" s="13">
        <f>SUMIF('OD 12-24'!A:A,A184,'OD 12-24'!E:E)</f>
        <v>0</v>
      </c>
      <c r="H184" s="14">
        <f t="shared" si="4"/>
        <v>0</v>
      </c>
      <c r="I184" s="14">
        <f t="shared" si="5"/>
        <v>0</v>
      </c>
      <c r="J184" s="8"/>
      <c r="K184" s="8"/>
      <c r="M184" s="339"/>
      <c r="N184" s="315"/>
    </row>
    <row r="185" spans="1:14" s="9" customFormat="1" ht="11.25" x14ac:dyDescent="0.2">
      <c r="A185" s="10">
        <v>53202000</v>
      </c>
      <c r="B185" s="10" t="s">
        <v>122</v>
      </c>
      <c r="C185" s="11">
        <v>435.74199999962002</v>
      </c>
      <c r="D185" s="11">
        <v>0</v>
      </c>
      <c r="E185" s="11">
        <v>0</v>
      </c>
      <c r="F185" s="13">
        <f>SUMIF('OD 10-24'!A:A,A185,'OD 10-24'!D:D)</f>
        <v>0</v>
      </c>
      <c r="G185" s="13">
        <f>SUMIF('OD 12-24'!A:A,A185,'OD 12-24'!E:E)</f>
        <v>0</v>
      </c>
      <c r="H185" s="14">
        <f t="shared" si="4"/>
        <v>0</v>
      </c>
      <c r="I185" s="14">
        <f t="shared" si="5"/>
        <v>435.74199999962002</v>
      </c>
      <c r="J185" s="8" t="s">
        <v>121</v>
      </c>
      <c r="K185" s="8"/>
      <c r="M185" s="339"/>
      <c r="N185" s="315"/>
    </row>
    <row r="186" spans="1:14" s="9" customFormat="1" ht="11.25" x14ac:dyDescent="0.2">
      <c r="A186" s="10">
        <v>53203000</v>
      </c>
      <c r="B186" s="10" t="s">
        <v>349</v>
      </c>
      <c r="C186" s="11">
        <v>159807.23199999891</v>
      </c>
      <c r="D186" s="11">
        <v>411911.67499999999</v>
      </c>
      <c r="E186" s="11">
        <v>571718.90700000001</v>
      </c>
      <c r="F186" s="13">
        <f>SUMIF('OD 10-24'!A:A,A186,'OD 10-24'!D:D)</f>
        <v>0</v>
      </c>
      <c r="G186" s="13">
        <f>SUMIF('OD 12-24'!A:A,A186,'OD 12-24'!E:E)</f>
        <v>0</v>
      </c>
      <c r="H186" s="14">
        <f t="shared" si="4"/>
        <v>-159807.23200000002</v>
      </c>
      <c r="I186" s="14">
        <f t="shared" si="5"/>
        <v>-1.1059455573558807E-9</v>
      </c>
      <c r="J186" s="8" t="s">
        <v>121</v>
      </c>
      <c r="K186" s="8"/>
      <c r="M186" s="339"/>
      <c r="N186" s="315"/>
    </row>
    <row r="187" spans="1:14" s="9" customFormat="1" ht="11.25" customHeight="1" x14ac:dyDescent="0.2">
      <c r="A187" s="10">
        <v>53204000</v>
      </c>
      <c r="B187" s="10" t="s">
        <v>350</v>
      </c>
      <c r="C187" s="11">
        <v>0</v>
      </c>
      <c r="D187" s="11">
        <v>0</v>
      </c>
      <c r="E187" s="11">
        <v>0</v>
      </c>
      <c r="F187" s="13">
        <f>SUMIF('OD 10-24'!A:A,A187,'OD 10-24'!D:D)</f>
        <v>0</v>
      </c>
      <c r="G187" s="13">
        <f>SUMIF('OD 12-24'!A:A,A187,'OD 12-24'!E:E)</f>
        <v>0</v>
      </c>
      <c r="H187" s="14">
        <f t="shared" si="4"/>
        <v>0</v>
      </c>
      <c r="I187" s="14">
        <f t="shared" si="5"/>
        <v>0</v>
      </c>
      <c r="J187" s="8"/>
      <c r="K187" s="8"/>
      <c r="M187" s="339"/>
      <c r="N187" s="315"/>
    </row>
    <row r="188" spans="1:14" s="9" customFormat="1" ht="11.25" customHeight="1" x14ac:dyDescent="0.2">
      <c r="A188" s="10">
        <v>53204100</v>
      </c>
      <c r="B188" s="10" t="s">
        <v>351</v>
      </c>
      <c r="C188" s="11">
        <v>0</v>
      </c>
      <c r="D188" s="11">
        <v>0</v>
      </c>
      <c r="E188" s="11">
        <v>0</v>
      </c>
      <c r="F188" s="13">
        <f>SUMIF('OD 10-24'!A:A,A188,'OD 10-24'!D:D)</f>
        <v>0</v>
      </c>
      <c r="G188" s="13">
        <f>SUMIF('OD 12-24'!A:A,A188,'OD 12-24'!E:E)</f>
        <v>0</v>
      </c>
      <c r="H188" s="14">
        <f t="shared" si="4"/>
        <v>0</v>
      </c>
      <c r="I188" s="14">
        <f t="shared" si="5"/>
        <v>0</v>
      </c>
      <c r="J188" s="8"/>
      <c r="K188" s="8"/>
      <c r="M188" s="339"/>
      <c r="N188" s="315"/>
    </row>
    <row r="189" spans="1:14" s="9" customFormat="1" ht="11.25" customHeight="1" x14ac:dyDescent="0.2">
      <c r="A189" s="10">
        <v>53204500</v>
      </c>
      <c r="B189" s="10" t="s">
        <v>123</v>
      </c>
      <c r="C189" s="11">
        <v>5874.02</v>
      </c>
      <c r="D189" s="11">
        <v>0</v>
      </c>
      <c r="E189" s="11">
        <v>0</v>
      </c>
      <c r="F189" s="13">
        <f>SUMIF('OD 10-24'!A:A,A189,'OD 10-24'!D:D)</f>
        <v>0</v>
      </c>
      <c r="G189" s="13">
        <f>SUMIF('OD 12-24'!A:A,A189,'OD 12-24'!E:E)</f>
        <v>0</v>
      </c>
      <c r="H189" s="14">
        <f t="shared" si="4"/>
        <v>0</v>
      </c>
      <c r="I189" s="14">
        <f t="shared" si="5"/>
        <v>5874.02</v>
      </c>
      <c r="J189" s="8" t="s">
        <v>121</v>
      </c>
      <c r="K189" s="8"/>
      <c r="M189" s="339"/>
      <c r="N189" s="315"/>
    </row>
    <row r="190" spans="1:14" s="9" customFormat="1" ht="11.25" customHeight="1" x14ac:dyDescent="0.2">
      <c r="A190" s="10">
        <v>53205000</v>
      </c>
      <c r="B190" s="10" t="s">
        <v>124</v>
      </c>
      <c r="C190" s="11">
        <v>12925.083999991417</v>
      </c>
      <c r="D190" s="11">
        <v>43908.082000000002</v>
      </c>
      <c r="E190" s="11">
        <v>55000.952000000005</v>
      </c>
      <c r="F190" s="13">
        <f>SUMIF('OD 10-24'!A:A,A190,'OD 10-24'!D:D)</f>
        <v>0</v>
      </c>
      <c r="G190" s="13">
        <f>SUMIF('OD 12-24'!A:A,A190,'OD 12-24'!E:E)</f>
        <v>0</v>
      </c>
      <c r="H190" s="14">
        <f t="shared" si="4"/>
        <v>-11092.870000000003</v>
      </c>
      <c r="I190" s="14">
        <f t="shared" si="5"/>
        <v>1832.2139999914143</v>
      </c>
      <c r="J190" s="8" t="s">
        <v>121</v>
      </c>
      <c r="K190" s="8"/>
      <c r="M190" s="339"/>
      <c r="N190" s="315"/>
    </row>
    <row r="191" spans="1:14" s="9" customFormat="1" ht="11.25" customHeight="1" x14ac:dyDescent="0.2">
      <c r="A191" s="10">
        <v>53205200</v>
      </c>
      <c r="B191" s="10" t="s">
        <v>9637</v>
      </c>
      <c r="C191" s="11">
        <v>0</v>
      </c>
      <c r="D191" s="11">
        <v>5000</v>
      </c>
      <c r="E191" s="11">
        <v>0</v>
      </c>
      <c r="F191" s="13">
        <f>SUMIF('OD 10-24'!A:A,A191,'OD 10-24'!D:D)</f>
        <v>0</v>
      </c>
      <c r="G191" s="13">
        <f>SUMIF('OD 12-24'!A:A,A191,'OD 12-24'!E:E)</f>
        <v>0</v>
      </c>
      <c r="H191" s="14">
        <f t="shared" si="4"/>
        <v>5000</v>
      </c>
      <c r="I191" s="14">
        <f t="shared" si="5"/>
        <v>5000</v>
      </c>
      <c r="J191" s="8" t="s">
        <v>121</v>
      </c>
      <c r="K191" s="8"/>
      <c r="M191" s="339"/>
      <c r="N191" s="315"/>
    </row>
    <row r="192" spans="1:14" s="9" customFormat="1" ht="11.25" customHeight="1" x14ac:dyDescent="0.2">
      <c r="A192" s="10">
        <v>53205300</v>
      </c>
      <c r="B192" s="10" t="s">
        <v>125</v>
      </c>
      <c r="C192" s="11">
        <v>0</v>
      </c>
      <c r="D192" s="11">
        <v>0</v>
      </c>
      <c r="E192" s="11">
        <v>0</v>
      </c>
      <c r="F192" s="13">
        <f>SUMIF('OD 10-24'!A:A,A192,'OD 10-24'!D:D)</f>
        <v>0</v>
      </c>
      <c r="G192" s="13">
        <f>SUMIF('OD 12-24'!A:A,A192,'OD 12-24'!E:E)</f>
        <v>0</v>
      </c>
      <c r="H192" s="14">
        <f t="shared" si="4"/>
        <v>0</v>
      </c>
      <c r="I192" s="14">
        <f t="shared" si="5"/>
        <v>0</v>
      </c>
      <c r="J192" s="8" t="s">
        <v>121</v>
      </c>
      <c r="K192" s="8"/>
      <c r="M192" s="339"/>
      <c r="N192" s="315"/>
    </row>
    <row r="193" spans="1:14" s="9" customFormat="1" ht="11.25" customHeight="1" x14ac:dyDescent="0.2">
      <c r="A193" s="10">
        <v>53205400</v>
      </c>
      <c r="B193" s="10" t="s">
        <v>126</v>
      </c>
      <c r="C193" s="11">
        <v>0</v>
      </c>
      <c r="D193" s="11">
        <v>0</v>
      </c>
      <c r="E193" s="11">
        <v>0</v>
      </c>
      <c r="F193" s="13">
        <f>SUMIF('OD 10-24'!A:A,A193,'OD 10-24'!D:D)</f>
        <v>0</v>
      </c>
      <c r="G193" s="13">
        <f>SUMIF('OD 12-24'!A:A,A193,'OD 12-24'!E:E)</f>
        <v>0</v>
      </c>
      <c r="H193" s="14">
        <f t="shared" si="4"/>
        <v>0</v>
      </c>
      <c r="I193" s="14">
        <f t="shared" si="5"/>
        <v>0</v>
      </c>
      <c r="J193" s="8"/>
      <c r="K193" s="8"/>
      <c r="M193" s="339"/>
      <c r="N193" s="315"/>
    </row>
    <row r="194" spans="1:14" s="9" customFormat="1" ht="11.25" customHeight="1" x14ac:dyDescent="0.2">
      <c r="A194" s="10">
        <v>53205500</v>
      </c>
      <c r="B194" s="10" t="s">
        <v>127</v>
      </c>
      <c r="C194" s="11">
        <v>0</v>
      </c>
      <c r="D194" s="11">
        <v>0</v>
      </c>
      <c r="E194" s="11">
        <v>0</v>
      </c>
      <c r="F194" s="13">
        <f>SUMIF('OD 10-24'!A:A,A194,'OD 10-24'!D:D)</f>
        <v>0</v>
      </c>
      <c r="G194" s="13">
        <f>SUMIF('OD 12-24'!A:A,A194,'OD 12-24'!E:E)</f>
        <v>0</v>
      </c>
      <c r="H194" s="14">
        <f t="shared" si="4"/>
        <v>0</v>
      </c>
      <c r="I194" s="14">
        <f t="shared" si="5"/>
        <v>0</v>
      </c>
      <c r="J194" s="8"/>
      <c r="K194" s="8"/>
      <c r="M194" s="339"/>
      <c r="N194" s="315"/>
    </row>
    <row r="195" spans="1:14" s="9" customFormat="1" ht="11.25" customHeight="1" x14ac:dyDescent="0.2">
      <c r="A195" s="10">
        <v>53205600</v>
      </c>
      <c r="B195" s="10" t="s">
        <v>128</v>
      </c>
      <c r="C195" s="11">
        <v>-3300983.9089999795</v>
      </c>
      <c r="D195" s="11">
        <v>70152854.088</v>
      </c>
      <c r="E195" s="11">
        <v>70595201.758999988</v>
      </c>
      <c r="F195" s="13">
        <f>SUMIF('OD 10-24'!A:A,A195,'OD 10-24'!D:D)</f>
        <v>0</v>
      </c>
      <c r="G195" s="13">
        <f>SUMIF('OD 12-24'!A:A,A195,'OD 12-24'!E:E)</f>
        <v>0</v>
      </c>
      <c r="H195" s="14">
        <f t="shared" si="4"/>
        <v>-442347.67099998891</v>
      </c>
      <c r="I195" s="14">
        <f t="shared" si="5"/>
        <v>-3743331.5799999684</v>
      </c>
      <c r="J195" s="8" t="s">
        <v>115</v>
      </c>
      <c r="K195" s="8"/>
      <c r="M195" s="339"/>
      <c r="N195" s="315"/>
    </row>
    <row r="196" spans="1:14" s="9" customFormat="1" ht="11.25" customHeight="1" x14ac:dyDescent="0.2">
      <c r="A196" s="10">
        <v>53205700</v>
      </c>
      <c r="B196" s="10" t="s">
        <v>129</v>
      </c>
      <c r="C196" s="11">
        <v>1964289.2105972022</v>
      </c>
      <c r="D196" s="11">
        <v>36067671.141999997</v>
      </c>
      <c r="E196" s="11">
        <v>34823266.589999996</v>
      </c>
      <c r="F196" s="13">
        <f>SUMIF('OD 10-24'!A:A,A196,'OD 10-24'!D:D)</f>
        <v>1933149.2574</v>
      </c>
      <c r="G196" s="13">
        <f>SUMIF('OD 12-24'!A:A,A196,'OD 12-24'!E:E)</f>
        <v>4097150.8834000002</v>
      </c>
      <c r="H196" s="14">
        <f t="shared" ref="H196:H264" si="6">+D196+F196-E196-G196</f>
        <v>-919597.07400000049</v>
      </c>
      <c r="I196" s="14">
        <f t="shared" ref="I196:I264" si="7">+H196+C196</f>
        <v>1044692.1365972017</v>
      </c>
      <c r="J196" s="8" t="s">
        <v>121</v>
      </c>
      <c r="K196" s="8"/>
      <c r="M196" s="339"/>
      <c r="N196" s="315"/>
    </row>
    <row r="197" spans="1:14" s="9" customFormat="1" ht="11.25" customHeight="1" x14ac:dyDescent="0.2">
      <c r="A197" s="10">
        <v>53205800</v>
      </c>
      <c r="B197" s="10" t="s">
        <v>130</v>
      </c>
      <c r="C197" s="11">
        <v>-66996.353000000119</v>
      </c>
      <c r="D197" s="11">
        <v>0</v>
      </c>
      <c r="E197" s="11">
        <v>3538.0830000000001</v>
      </c>
      <c r="F197" s="13">
        <f>SUMIF('OD 10-24'!A:A,A197,'OD 10-24'!D:D)</f>
        <v>474.61799999999999</v>
      </c>
      <c r="G197" s="13">
        <f>SUMIF('OD 12-24'!A:A,A197,'OD 12-24'!E:E)</f>
        <v>517.85299999999995</v>
      </c>
      <c r="H197" s="14">
        <f t="shared" si="6"/>
        <v>-3581.3180000000002</v>
      </c>
      <c r="I197" s="14">
        <f t="shared" si="7"/>
        <v>-70577.671000000119</v>
      </c>
      <c r="J197" s="8" t="s">
        <v>115</v>
      </c>
      <c r="K197" s="8"/>
      <c r="M197" s="339"/>
      <c r="N197" s="315"/>
    </row>
    <row r="198" spans="1:14" s="9" customFormat="1" ht="11.25" customHeight="1" x14ac:dyDescent="0.2">
      <c r="A198" s="10">
        <v>53207000</v>
      </c>
      <c r="B198" s="10" t="s">
        <v>352</v>
      </c>
      <c r="C198" s="11">
        <v>0</v>
      </c>
      <c r="D198" s="11">
        <v>0</v>
      </c>
      <c r="E198" s="11">
        <v>0</v>
      </c>
      <c r="F198" s="13">
        <f>SUMIF('OD 10-24'!A:A,A198,'OD 10-24'!D:D)</f>
        <v>0</v>
      </c>
      <c r="G198" s="13">
        <f>SUMIF('OD 12-24'!A:A,A198,'OD 12-24'!E:E)</f>
        <v>0</v>
      </c>
      <c r="H198" s="14">
        <f t="shared" si="6"/>
        <v>0</v>
      </c>
      <c r="I198" s="14">
        <f t="shared" si="7"/>
        <v>0</v>
      </c>
      <c r="J198" s="8"/>
      <c r="K198" s="8"/>
      <c r="M198" s="339"/>
      <c r="N198" s="315"/>
    </row>
    <row r="199" spans="1:14" s="9" customFormat="1" ht="11.25" customHeight="1" x14ac:dyDescent="0.2">
      <c r="A199" s="10">
        <v>53207100</v>
      </c>
      <c r="B199" s="10" t="s">
        <v>353</v>
      </c>
      <c r="C199" s="11">
        <v>0</v>
      </c>
      <c r="D199" s="11">
        <v>0</v>
      </c>
      <c r="E199" s="11">
        <v>0</v>
      </c>
      <c r="F199" s="13">
        <f>SUMIF('OD 10-24'!A:A,A199,'OD 10-24'!D:D)</f>
        <v>0</v>
      </c>
      <c r="G199" s="13">
        <f>SUMIF('OD 12-24'!A:A,A199,'OD 12-24'!E:E)</f>
        <v>0</v>
      </c>
      <c r="H199" s="14">
        <f t="shared" si="6"/>
        <v>0</v>
      </c>
      <c r="I199" s="14">
        <f t="shared" si="7"/>
        <v>0</v>
      </c>
      <c r="J199" s="8"/>
      <c r="K199" s="8"/>
      <c r="M199" s="339"/>
      <c r="N199" s="315"/>
    </row>
    <row r="200" spans="1:14" s="9" customFormat="1" ht="11.25" customHeight="1" x14ac:dyDescent="0.2">
      <c r="A200" s="10">
        <v>53207200</v>
      </c>
      <c r="B200" s="10" t="s">
        <v>354</v>
      </c>
      <c r="C200" s="11">
        <v>0</v>
      </c>
      <c r="D200" s="11">
        <v>0</v>
      </c>
      <c r="E200" s="11">
        <v>0</v>
      </c>
      <c r="F200" s="13">
        <f>SUMIF('OD 10-24'!A:A,A200,'OD 10-24'!D:D)</f>
        <v>0</v>
      </c>
      <c r="G200" s="13">
        <f>SUMIF('OD 12-24'!A:A,A200,'OD 12-24'!E:E)</f>
        <v>0</v>
      </c>
      <c r="H200" s="14">
        <f t="shared" si="6"/>
        <v>0</v>
      </c>
      <c r="I200" s="14">
        <f t="shared" si="7"/>
        <v>0</v>
      </c>
      <c r="J200" s="8"/>
      <c r="K200" s="8"/>
      <c r="M200" s="339"/>
      <c r="N200" s="315"/>
    </row>
    <row r="201" spans="1:14" s="9" customFormat="1" ht="11.25" x14ac:dyDescent="0.2">
      <c r="A201" s="10">
        <v>53208000</v>
      </c>
      <c r="B201" s="10" t="s">
        <v>355</v>
      </c>
      <c r="C201" s="11">
        <v>485.66199999954551</v>
      </c>
      <c r="D201" s="11">
        <v>0</v>
      </c>
      <c r="E201" s="11">
        <v>0</v>
      </c>
      <c r="F201" s="13">
        <f>SUMIF('OD 10-24'!A:A,A201,'OD 10-24'!D:D)</f>
        <v>0</v>
      </c>
      <c r="G201" s="13">
        <f>SUMIF('OD 12-24'!A:A,A201,'OD 12-24'!E:E)</f>
        <v>0</v>
      </c>
      <c r="H201" s="14">
        <f t="shared" si="6"/>
        <v>0</v>
      </c>
      <c r="I201" s="14">
        <f t="shared" si="7"/>
        <v>485.66199999954551</v>
      </c>
      <c r="J201" s="8" t="s">
        <v>121</v>
      </c>
      <c r="K201" s="8"/>
      <c r="M201" s="339"/>
      <c r="N201" s="315"/>
    </row>
    <row r="202" spans="1:14" s="9" customFormat="1" ht="11.25" customHeight="1" x14ac:dyDescent="0.2">
      <c r="A202" s="10">
        <v>53208100</v>
      </c>
      <c r="B202" s="10" t="s">
        <v>356</v>
      </c>
      <c r="C202" s="11">
        <v>0</v>
      </c>
      <c r="D202" s="11">
        <v>0</v>
      </c>
      <c r="E202" s="11">
        <v>0</v>
      </c>
      <c r="F202" s="13">
        <f>SUMIF('OD 10-24'!A:A,A202,'OD 10-24'!D:D)</f>
        <v>0</v>
      </c>
      <c r="G202" s="13">
        <f>SUMIF('OD 12-24'!A:A,A202,'OD 12-24'!E:E)</f>
        <v>0</v>
      </c>
      <c r="H202" s="14">
        <f t="shared" si="6"/>
        <v>0</v>
      </c>
      <c r="I202" s="14">
        <f t="shared" si="7"/>
        <v>0</v>
      </c>
      <c r="J202" s="8"/>
      <c r="K202" s="8"/>
      <c r="M202" s="339"/>
      <c r="N202" s="315"/>
    </row>
    <row r="203" spans="1:14" s="9" customFormat="1" ht="11.25" customHeight="1" x14ac:dyDescent="0.2">
      <c r="A203" s="10">
        <v>53208500</v>
      </c>
      <c r="B203" s="10" t="s">
        <v>357</v>
      </c>
      <c r="C203" s="11">
        <v>0</v>
      </c>
      <c r="D203" s="11">
        <v>0</v>
      </c>
      <c r="E203" s="11">
        <v>0</v>
      </c>
      <c r="F203" s="13">
        <f>SUMIF('OD 10-24'!A:A,A203,'OD 10-24'!D:D)</f>
        <v>0</v>
      </c>
      <c r="G203" s="13">
        <f>SUMIF('OD 12-24'!A:A,A203,'OD 12-24'!E:E)</f>
        <v>0</v>
      </c>
      <c r="H203" s="14">
        <f t="shared" si="6"/>
        <v>0</v>
      </c>
      <c r="I203" s="14">
        <f t="shared" si="7"/>
        <v>0</v>
      </c>
      <c r="J203" s="8"/>
      <c r="K203" s="8"/>
      <c r="M203" s="339"/>
      <c r="N203" s="315"/>
    </row>
    <row r="204" spans="1:14" s="9" customFormat="1" ht="11.25" customHeight="1" x14ac:dyDescent="0.2">
      <c r="A204" s="10">
        <v>54000000</v>
      </c>
      <c r="B204" s="10" t="s">
        <v>358</v>
      </c>
      <c r="C204" s="11">
        <v>0</v>
      </c>
      <c r="D204" s="11">
        <v>16951.525000000001</v>
      </c>
      <c r="E204" s="11">
        <v>16951.525000000001</v>
      </c>
      <c r="F204" s="13">
        <f>SUMIF('OD 10-24'!A:A,A204,'OD 10-24'!D:D)</f>
        <v>0</v>
      </c>
      <c r="G204" s="13">
        <f>SUMIF('OD 12-24'!A:A,A204,'OD 12-24'!E:E)</f>
        <v>0</v>
      </c>
      <c r="H204" s="14">
        <f t="shared" si="6"/>
        <v>0</v>
      </c>
      <c r="I204" s="14">
        <f t="shared" si="7"/>
        <v>0</v>
      </c>
      <c r="J204" s="8"/>
      <c r="K204" s="8"/>
      <c r="M204" s="339"/>
      <c r="N204" s="315"/>
    </row>
    <row r="205" spans="1:14" s="9" customFormat="1" ht="11.25" x14ac:dyDescent="0.2">
      <c r="A205" s="10">
        <v>54100000</v>
      </c>
      <c r="B205" s="10" t="s">
        <v>131</v>
      </c>
      <c r="C205" s="11">
        <v>17</v>
      </c>
      <c r="D205" s="11">
        <v>88405.644</v>
      </c>
      <c r="E205" s="11">
        <v>88325.319999999992</v>
      </c>
      <c r="F205" s="13">
        <f>SUMIF('OD 10-24'!A:A,A205,'OD 10-24'!D:D)</f>
        <v>0</v>
      </c>
      <c r="G205" s="13">
        <f>SUMIF('OD 12-24'!A:A,A205,'OD 12-24'!E:E)</f>
        <v>0</v>
      </c>
      <c r="H205" s="14">
        <f t="shared" si="6"/>
        <v>80.3240000000078</v>
      </c>
      <c r="I205" s="14">
        <f t="shared" si="7"/>
        <v>97.3240000000078</v>
      </c>
      <c r="J205" s="8" t="s">
        <v>121</v>
      </c>
      <c r="K205" s="8"/>
      <c r="M205" s="339"/>
      <c r="N205" s="315"/>
    </row>
    <row r="206" spans="1:14" s="9" customFormat="1" ht="11.25" customHeight="1" x14ac:dyDescent="0.2">
      <c r="A206" s="10">
        <v>54300000</v>
      </c>
      <c r="B206" s="10" t="s">
        <v>359</v>
      </c>
      <c r="C206" s="11">
        <v>0</v>
      </c>
      <c r="D206" s="11">
        <v>0</v>
      </c>
      <c r="E206" s="11">
        <v>0</v>
      </c>
      <c r="F206" s="13">
        <f>SUMIF('OD 10-24'!A:A,A206,'OD 10-24'!D:D)</f>
        <v>0</v>
      </c>
      <c r="G206" s="13">
        <f>SUMIF('OD 12-24'!A:A,A206,'OD 12-24'!E:E)</f>
        <v>0</v>
      </c>
      <c r="H206" s="14">
        <f t="shared" si="6"/>
        <v>0</v>
      </c>
      <c r="I206" s="14">
        <f t="shared" si="7"/>
        <v>0</v>
      </c>
      <c r="J206" s="8"/>
      <c r="K206" s="8"/>
      <c r="M206" s="339"/>
      <c r="N206" s="315"/>
    </row>
    <row r="207" spans="1:14" s="9" customFormat="1" ht="11.25" x14ac:dyDescent="0.2">
      <c r="A207" s="10">
        <v>55010000</v>
      </c>
      <c r="B207" s="10" t="s">
        <v>132</v>
      </c>
      <c r="C207" s="11">
        <v>3000</v>
      </c>
      <c r="D207" s="11">
        <v>0</v>
      </c>
      <c r="E207" s="11">
        <v>0</v>
      </c>
      <c r="F207" s="13">
        <f>SUMIF('OD 10-24'!A:A,A207,'OD 10-24'!D:D)</f>
        <v>0</v>
      </c>
      <c r="G207" s="13">
        <f>SUMIF('OD 12-24'!A:A,A207,'OD 12-24'!E:E)</f>
        <v>0</v>
      </c>
      <c r="H207" s="14">
        <f t="shared" si="6"/>
        <v>0</v>
      </c>
      <c r="I207" s="14">
        <f t="shared" si="7"/>
        <v>3000</v>
      </c>
      <c r="J207" s="8" t="s">
        <v>121</v>
      </c>
      <c r="K207" s="8"/>
      <c r="M207" s="339"/>
      <c r="N207" s="315"/>
    </row>
    <row r="208" spans="1:14" s="9" customFormat="1" ht="11.25" x14ac:dyDescent="0.2">
      <c r="A208" s="10">
        <v>55011000</v>
      </c>
      <c r="B208" s="10" t="s">
        <v>133</v>
      </c>
      <c r="C208" s="11">
        <v>0</v>
      </c>
      <c r="D208" s="11">
        <v>0</v>
      </c>
      <c r="E208" s="11">
        <v>0</v>
      </c>
      <c r="F208" s="13">
        <f>SUMIF('OD 10-24'!A:A,A208,'OD 10-24'!D:D)</f>
        <v>0</v>
      </c>
      <c r="G208" s="13">
        <f>SUMIF('OD 12-24'!A:A,A208,'OD 12-24'!E:E)</f>
        <v>0</v>
      </c>
      <c r="H208" s="14">
        <f t="shared" si="6"/>
        <v>0</v>
      </c>
      <c r="I208" s="14">
        <f t="shared" si="7"/>
        <v>0</v>
      </c>
      <c r="J208" s="8" t="s">
        <v>121</v>
      </c>
      <c r="K208" s="8"/>
      <c r="M208" s="339"/>
      <c r="N208" s="315"/>
    </row>
    <row r="209" spans="1:14" s="9" customFormat="1" ht="11.25" x14ac:dyDescent="0.2">
      <c r="A209" s="10">
        <v>58000000</v>
      </c>
      <c r="B209" s="10" t="s">
        <v>134</v>
      </c>
      <c r="C209" s="11">
        <v>0</v>
      </c>
      <c r="D209" s="11">
        <v>0</v>
      </c>
      <c r="E209" s="11">
        <v>0</v>
      </c>
      <c r="F209" s="13">
        <f>SUMIF('OD 10-24'!A:A,A209,'OD 10-24'!D:D)</f>
        <v>0</v>
      </c>
      <c r="G209" s="13">
        <f>SUMIF('OD 12-24'!A:A,A209,'OD 12-24'!E:E)</f>
        <v>0</v>
      </c>
      <c r="H209" s="14">
        <f t="shared" si="6"/>
        <v>0</v>
      </c>
      <c r="I209" s="14">
        <f t="shared" si="7"/>
        <v>0</v>
      </c>
      <c r="J209" s="8" t="s">
        <v>121</v>
      </c>
      <c r="K209" s="8"/>
      <c r="M209" s="339"/>
      <c r="N209" s="315"/>
    </row>
    <row r="210" spans="1:14" s="9" customFormat="1" ht="11.25" customHeight="1" x14ac:dyDescent="0.2">
      <c r="A210" s="10">
        <v>58001000</v>
      </c>
      <c r="B210" s="10" t="s">
        <v>135</v>
      </c>
      <c r="C210" s="11">
        <v>-1.9999593496322632E-4</v>
      </c>
      <c r="D210" s="11">
        <v>0</v>
      </c>
      <c r="E210" s="11">
        <v>0</v>
      </c>
      <c r="F210" s="13">
        <f>SUMIF('OD 10-24'!A:A,A210,'OD 10-24'!D:D)</f>
        <v>0</v>
      </c>
      <c r="G210" s="13">
        <f>SUMIF('OD 12-24'!A:A,A210,'OD 12-24'!E:E)</f>
        <v>0</v>
      </c>
      <c r="H210" s="14">
        <f t="shared" si="6"/>
        <v>0</v>
      </c>
      <c r="I210" s="14">
        <f t="shared" si="7"/>
        <v>-1.9999593496322632E-4</v>
      </c>
      <c r="J210" s="8"/>
      <c r="K210" s="8"/>
      <c r="M210" s="339"/>
      <c r="N210" s="315"/>
    </row>
    <row r="211" spans="1:14" s="9" customFormat="1" ht="11.25" customHeight="1" x14ac:dyDescent="0.2">
      <c r="A211" s="10">
        <v>58002000</v>
      </c>
      <c r="B211" s="10" t="s">
        <v>360</v>
      </c>
      <c r="C211" s="11">
        <v>0</v>
      </c>
      <c r="D211" s="11">
        <v>0</v>
      </c>
      <c r="E211" s="11">
        <v>0</v>
      </c>
      <c r="F211" s="13">
        <f>SUMIF('OD 10-24'!A:A,A211,'OD 10-24'!D:D)</f>
        <v>0</v>
      </c>
      <c r="G211" s="13">
        <f>SUMIF('OD 12-24'!A:A,A211,'OD 12-24'!E:E)</f>
        <v>0</v>
      </c>
      <c r="H211" s="14">
        <f t="shared" si="6"/>
        <v>0</v>
      </c>
      <c r="I211" s="14">
        <f t="shared" si="7"/>
        <v>0</v>
      </c>
      <c r="J211" s="8"/>
      <c r="K211" s="8"/>
      <c r="M211" s="339"/>
      <c r="N211" s="315"/>
    </row>
    <row r="212" spans="1:14" s="9" customFormat="1" ht="11.25" customHeight="1" x14ac:dyDescent="0.2">
      <c r="A212" s="10">
        <v>58003000</v>
      </c>
      <c r="B212" s="10" t="s">
        <v>136</v>
      </c>
      <c r="C212" s="11">
        <v>1.0100007057189941E-4</v>
      </c>
      <c r="D212" s="11">
        <v>5158199.625</v>
      </c>
      <c r="E212" s="11">
        <v>5158199.625</v>
      </c>
      <c r="F212" s="13">
        <f>SUMIF('OD 10-24'!A:A,A212,'OD 10-24'!D:D)</f>
        <v>0</v>
      </c>
      <c r="G212" s="13">
        <f>SUMIF('OD 12-24'!A:A,A212,'OD 12-24'!E:E)</f>
        <v>0</v>
      </c>
      <c r="H212" s="14">
        <f t="shared" si="6"/>
        <v>0</v>
      </c>
      <c r="I212" s="14">
        <f t="shared" si="7"/>
        <v>1.0100007057189941E-4</v>
      </c>
      <c r="J212" s="8" t="s">
        <v>121</v>
      </c>
      <c r="K212" s="8"/>
      <c r="M212" s="339"/>
      <c r="N212" s="315"/>
    </row>
    <row r="213" spans="1:14" s="9" customFormat="1" ht="11.25" customHeight="1" x14ac:dyDescent="0.2">
      <c r="A213" s="10">
        <v>58004000</v>
      </c>
      <c r="B213" s="10" t="s">
        <v>361</v>
      </c>
      <c r="C213" s="11">
        <v>0</v>
      </c>
      <c r="D213" s="11">
        <v>0</v>
      </c>
      <c r="E213" s="11">
        <v>0</v>
      </c>
      <c r="F213" s="13">
        <f>SUMIF('OD 10-24'!A:A,A213,'OD 10-24'!D:D)</f>
        <v>0</v>
      </c>
      <c r="G213" s="13">
        <f>SUMIF('OD 12-24'!A:A,A213,'OD 12-24'!E:E)</f>
        <v>0</v>
      </c>
      <c r="H213" s="14">
        <f t="shared" si="6"/>
        <v>0</v>
      </c>
      <c r="I213" s="14">
        <f t="shared" si="7"/>
        <v>0</v>
      </c>
      <c r="J213" s="8"/>
      <c r="K213" s="8"/>
      <c r="M213" s="339"/>
      <c r="N213" s="315"/>
    </row>
    <row r="214" spans="1:14" s="9" customFormat="1" ht="11.25" x14ac:dyDescent="0.2">
      <c r="A214" s="10">
        <v>58005000</v>
      </c>
      <c r="B214" s="10" t="s">
        <v>362</v>
      </c>
      <c r="C214" s="11">
        <v>3.8483738899230957E-4</v>
      </c>
      <c r="D214" s="11">
        <v>27538134.857000001</v>
      </c>
      <c r="E214" s="11">
        <v>27538134.857000001</v>
      </c>
      <c r="F214" s="13">
        <f>SUMIF('OD 10-24'!A:A,A214,'OD 10-24'!D:D)</f>
        <v>0</v>
      </c>
      <c r="G214" s="13">
        <f>SUMIF('OD 12-24'!A:A,A214,'OD 12-24'!E:E)</f>
        <v>0</v>
      </c>
      <c r="H214" s="14">
        <f t="shared" si="6"/>
        <v>0</v>
      </c>
      <c r="I214" s="14">
        <f t="shared" si="7"/>
        <v>3.8483738899230957E-4</v>
      </c>
      <c r="J214" s="8" t="s">
        <v>121</v>
      </c>
      <c r="K214" s="8"/>
      <c r="M214" s="339"/>
      <c r="N214" s="315"/>
    </row>
    <row r="215" spans="1:14" s="9" customFormat="1" ht="11.25" customHeight="1" x14ac:dyDescent="0.2">
      <c r="A215" s="10">
        <v>60110110</v>
      </c>
      <c r="B215" s="10" t="s">
        <v>403</v>
      </c>
      <c r="C215" s="11">
        <v>0</v>
      </c>
      <c r="D215" s="11">
        <v>1136780.078</v>
      </c>
      <c r="E215" s="11">
        <v>1136780.078</v>
      </c>
      <c r="F215" s="13">
        <f>SUMIF('OD 10-24'!A:A,A215,'OD 10-24'!D:D)</f>
        <v>4207008.9249999998</v>
      </c>
      <c r="G215" s="13">
        <f>SUMIF('OD 12-24'!A:A,A215,'OD 12-24'!E:E)</f>
        <v>4207008.9249999998</v>
      </c>
      <c r="H215" s="14">
        <f t="shared" si="6"/>
        <v>0</v>
      </c>
      <c r="I215" s="14">
        <f t="shared" si="7"/>
        <v>0</v>
      </c>
      <c r="J215" s="8" t="s">
        <v>138</v>
      </c>
      <c r="K215" s="8" t="s">
        <v>509</v>
      </c>
      <c r="M215" s="339"/>
      <c r="N215" s="315"/>
    </row>
    <row r="216" spans="1:14" s="9" customFormat="1" ht="11.25" customHeight="1" x14ac:dyDescent="0.2">
      <c r="A216" s="10">
        <v>60110212</v>
      </c>
      <c r="B216" s="10" t="s">
        <v>7391</v>
      </c>
      <c r="C216" s="11">
        <v>0</v>
      </c>
      <c r="D216" s="11">
        <v>45488.04075</v>
      </c>
      <c r="E216" s="11">
        <v>0</v>
      </c>
      <c r="F216" s="13">
        <f>SUMIF('OD 10-24'!A:A,A216,'OD 10-24'!D:D)</f>
        <v>0</v>
      </c>
      <c r="G216" s="13">
        <f>SUMIF('OD 12-24'!A:A,A216,'OD 12-24'!E:E)</f>
        <v>0</v>
      </c>
      <c r="H216" s="14">
        <f t="shared" si="6"/>
        <v>45488.04075</v>
      </c>
      <c r="I216" s="14">
        <f t="shared" si="7"/>
        <v>45488.04075</v>
      </c>
      <c r="J216" s="8" t="s">
        <v>138</v>
      </c>
      <c r="K216" s="8" t="s">
        <v>509</v>
      </c>
      <c r="M216" s="339"/>
      <c r="N216" s="315"/>
    </row>
    <row r="217" spans="1:14" s="9" customFormat="1" ht="11.25" customHeight="1" x14ac:dyDescent="0.2">
      <c r="A217" s="10">
        <v>60110210</v>
      </c>
      <c r="B217" s="10" t="s">
        <v>137</v>
      </c>
      <c r="C217" s="11">
        <v>0</v>
      </c>
      <c r="D217" s="11">
        <v>1541593.9488665001</v>
      </c>
      <c r="E217" s="11">
        <v>0</v>
      </c>
      <c r="F217" s="13">
        <f>SUMIF('OD 10-24'!A:A,A217,'OD 10-24'!D:D)</f>
        <v>0</v>
      </c>
      <c r="G217" s="13">
        <f>SUMIF('OD 12-24'!A:A,A217,'OD 12-24'!E:E)</f>
        <v>0</v>
      </c>
      <c r="H217" s="14">
        <f t="shared" si="6"/>
        <v>1541593.9488665001</v>
      </c>
      <c r="I217" s="14">
        <f t="shared" si="7"/>
        <v>1541593.9488665001</v>
      </c>
      <c r="J217" s="8" t="s">
        <v>138</v>
      </c>
      <c r="K217" s="8" t="s">
        <v>509</v>
      </c>
      <c r="M217" s="339"/>
      <c r="N217" s="315"/>
    </row>
    <row r="218" spans="1:14" s="9" customFormat="1" ht="11.25" customHeight="1" x14ac:dyDescent="0.2">
      <c r="A218" s="10">
        <v>60110211</v>
      </c>
      <c r="B218" s="10" t="s">
        <v>363</v>
      </c>
      <c r="C218" s="11">
        <v>0</v>
      </c>
      <c r="D218" s="11">
        <v>271407.36257150001</v>
      </c>
      <c r="E218" s="11">
        <v>0</v>
      </c>
      <c r="F218" s="13">
        <f>SUMIF('OD 10-24'!A:A,A218,'OD 10-24'!D:D)</f>
        <v>0</v>
      </c>
      <c r="G218" s="13">
        <f>SUMIF('OD 12-24'!A:A,A218,'OD 12-24'!E:E)</f>
        <v>0</v>
      </c>
      <c r="H218" s="14">
        <f t="shared" si="6"/>
        <v>271407.36257150001</v>
      </c>
      <c r="I218" s="14">
        <f t="shared" si="7"/>
        <v>271407.36257150001</v>
      </c>
      <c r="J218" s="8" t="s">
        <v>138</v>
      </c>
      <c r="K218" s="8" t="s">
        <v>509</v>
      </c>
      <c r="M218" s="339"/>
      <c r="N218" s="315"/>
    </row>
    <row r="219" spans="1:14" s="9" customFormat="1" ht="11.25" customHeight="1" x14ac:dyDescent="0.2">
      <c r="A219" s="10">
        <v>60110213</v>
      </c>
      <c r="B219" s="10" t="s">
        <v>364</v>
      </c>
      <c r="C219" s="11">
        <v>0</v>
      </c>
      <c r="D219" s="11">
        <v>5211.6000000000004</v>
      </c>
      <c r="E219" s="11">
        <v>0</v>
      </c>
      <c r="F219" s="13">
        <f>SUMIF('OD 10-24'!A:A,A219,'OD 10-24'!D:D)</f>
        <v>768</v>
      </c>
      <c r="G219" s="13">
        <f>SUMIF('OD 12-24'!A:A,A219,'OD 12-24'!E:E)</f>
        <v>768</v>
      </c>
      <c r="H219" s="14">
        <f t="shared" si="6"/>
        <v>5211.6000000000004</v>
      </c>
      <c r="I219" s="14">
        <f t="shared" si="7"/>
        <v>5211.6000000000004</v>
      </c>
      <c r="J219" s="8" t="s">
        <v>138</v>
      </c>
      <c r="K219" s="8" t="s">
        <v>509</v>
      </c>
      <c r="M219" s="339"/>
      <c r="N219" s="315"/>
    </row>
    <row r="220" spans="1:14" s="9" customFormat="1" ht="11.25" customHeight="1" x14ac:dyDescent="0.2">
      <c r="A220" s="10">
        <v>60110220</v>
      </c>
      <c r="B220" s="10" t="s">
        <v>139</v>
      </c>
      <c r="C220" s="11">
        <v>0</v>
      </c>
      <c r="D220" s="11">
        <v>1899828.4573989995</v>
      </c>
      <c r="E220" s="11">
        <v>12546.76</v>
      </c>
      <c r="F220" s="13">
        <f>SUMIF('OD 10-24'!A:A,A220,'OD 10-24'!D:D)</f>
        <v>0</v>
      </c>
      <c r="G220" s="13">
        <f>SUMIF('OD 12-24'!A:A,A220,'OD 12-24'!E:E)</f>
        <v>0</v>
      </c>
      <c r="H220" s="14">
        <f t="shared" si="6"/>
        <v>1887281.6973989995</v>
      </c>
      <c r="I220" s="14">
        <f t="shared" si="7"/>
        <v>1887281.6973989995</v>
      </c>
      <c r="J220" s="8" t="s">
        <v>138</v>
      </c>
      <c r="K220" s="8" t="s">
        <v>509</v>
      </c>
      <c r="M220" s="339"/>
      <c r="N220" s="315"/>
    </row>
    <row r="221" spans="1:14" s="9" customFormat="1" ht="11.25" customHeight="1" x14ac:dyDescent="0.2">
      <c r="A221" s="10">
        <v>60110230</v>
      </c>
      <c r="B221" s="10" t="s">
        <v>7566</v>
      </c>
      <c r="C221" s="11">
        <v>0</v>
      </c>
      <c r="D221" s="11">
        <v>146039.71567500001</v>
      </c>
      <c r="E221" s="11">
        <v>0</v>
      </c>
      <c r="F221" s="13">
        <f>SUMIF('OD 10-24'!A:A,A221,'OD 10-24'!D:D)</f>
        <v>0</v>
      </c>
      <c r="G221" s="13">
        <f>SUMIF('OD 12-24'!A:A,A221,'OD 12-24'!E:E)</f>
        <v>0</v>
      </c>
      <c r="H221" s="14">
        <f t="shared" si="6"/>
        <v>146039.71567500001</v>
      </c>
      <c r="I221" s="14">
        <f t="shared" si="7"/>
        <v>146039.71567500001</v>
      </c>
      <c r="J221" s="8" t="s">
        <v>138</v>
      </c>
      <c r="K221" s="8" t="s">
        <v>509</v>
      </c>
      <c r="M221" s="339"/>
      <c r="N221" s="315"/>
    </row>
    <row r="222" spans="1:14" s="9" customFormat="1" ht="11.25" customHeight="1" x14ac:dyDescent="0.2">
      <c r="A222" s="10">
        <v>60110300</v>
      </c>
      <c r="B222" s="10" t="s">
        <v>140</v>
      </c>
      <c r="C222" s="11">
        <v>0</v>
      </c>
      <c r="D222" s="11">
        <v>156687.78673650001</v>
      </c>
      <c r="E222" s="11">
        <v>8655.491</v>
      </c>
      <c r="F222" s="13">
        <f>SUMIF('OD 10-24'!A:A,A222,'OD 10-24'!D:D)</f>
        <v>0</v>
      </c>
      <c r="G222" s="13">
        <f>SUMIF('OD 12-24'!A:A,A222,'OD 12-24'!E:E)</f>
        <v>0</v>
      </c>
      <c r="H222" s="14">
        <f t="shared" si="6"/>
        <v>148032.2957365</v>
      </c>
      <c r="I222" s="14">
        <f t="shared" si="7"/>
        <v>148032.2957365</v>
      </c>
      <c r="J222" s="8" t="s">
        <v>138</v>
      </c>
      <c r="K222" s="8" t="s">
        <v>509</v>
      </c>
      <c r="M222" s="339"/>
      <c r="N222" s="315"/>
    </row>
    <row r="223" spans="1:14" s="9" customFormat="1" ht="11.25" customHeight="1" x14ac:dyDescent="0.2">
      <c r="A223" s="10">
        <v>60110310</v>
      </c>
      <c r="B223" s="10" t="s">
        <v>141</v>
      </c>
      <c r="C223" s="11">
        <v>0</v>
      </c>
      <c r="D223" s="11">
        <v>112836.94499999999</v>
      </c>
      <c r="E223" s="11">
        <v>0</v>
      </c>
      <c r="F223" s="13">
        <f>SUMIF('OD 10-24'!A:A,A223,'OD 10-24'!D:D)</f>
        <v>0</v>
      </c>
      <c r="G223" s="13">
        <f>SUMIF('OD 12-24'!A:A,A223,'OD 12-24'!E:E)</f>
        <v>0</v>
      </c>
      <c r="H223" s="14">
        <f t="shared" si="6"/>
        <v>112836.94499999999</v>
      </c>
      <c r="I223" s="14">
        <f t="shared" si="7"/>
        <v>112836.94499999999</v>
      </c>
      <c r="J223" s="8" t="s">
        <v>138</v>
      </c>
      <c r="K223" s="8" t="s">
        <v>509</v>
      </c>
      <c r="M223" s="339"/>
      <c r="N223" s="315"/>
    </row>
    <row r="224" spans="1:14" s="9" customFormat="1" ht="11.25" customHeight="1" x14ac:dyDescent="0.2">
      <c r="A224" s="10">
        <v>60110320</v>
      </c>
      <c r="B224" s="10" t="s">
        <v>142</v>
      </c>
      <c r="C224" s="11">
        <v>0</v>
      </c>
      <c r="D224" s="11">
        <v>48796.065893000006</v>
      </c>
      <c r="E224" s="11">
        <v>0</v>
      </c>
      <c r="F224" s="13">
        <f>SUMIF('OD 10-24'!A:A,A224,'OD 10-24'!D:D)</f>
        <v>0</v>
      </c>
      <c r="G224" s="13">
        <f>SUMIF('OD 12-24'!A:A,A224,'OD 12-24'!E:E)</f>
        <v>0</v>
      </c>
      <c r="H224" s="14">
        <f t="shared" si="6"/>
        <v>48796.065893000006</v>
      </c>
      <c r="I224" s="14">
        <f t="shared" si="7"/>
        <v>48796.065893000006</v>
      </c>
      <c r="J224" s="8" t="s">
        <v>138</v>
      </c>
      <c r="K224" s="8" t="s">
        <v>509</v>
      </c>
      <c r="M224" s="339"/>
      <c r="N224" s="315"/>
    </row>
    <row r="225" spans="1:14" s="9" customFormat="1" ht="11.25" customHeight="1" x14ac:dyDescent="0.2">
      <c r="A225" s="10">
        <v>60110330</v>
      </c>
      <c r="B225" s="10" t="s">
        <v>143</v>
      </c>
      <c r="C225" s="11">
        <v>0</v>
      </c>
      <c r="D225" s="11">
        <v>56218.660230000001</v>
      </c>
      <c r="E225" s="11">
        <v>0</v>
      </c>
      <c r="F225" s="13">
        <f>SUMIF('OD 10-24'!A:A,A225,'OD 10-24'!D:D)</f>
        <v>0</v>
      </c>
      <c r="G225" s="13">
        <f>SUMIF('OD 12-24'!A:A,A225,'OD 12-24'!E:E)</f>
        <v>0</v>
      </c>
      <c r="H225" s="14">
        <f t="shared" si="6"/>
        <v>56218.660230000001</v>
      </c>
      <c r="I225" s="14">
        <f t="shared" si="7"/>
        <v>56218.660230000001</v>
      </c>
      <c r="J225" s="8" t="s">
        <v>138</v>
      </c>
      <c r="K225" s="8" t="s">
        <v>509</v>
      </c>
      <c r="M225" s="339"/>
      <c r="N225" s="315"/>
    </row>
    <row r="226" spans="1:14" s="9" customFormat="1" ht="11.25" customHeight="1" x14ac:dyDescent="0.2">
      <c r="A226" s="10">
        <v>60110350</v>
      </c>
      <c r="B226" s="10" t="s">
        <v>261</v>
      </c>
      <c r="C226" s="11">
        <v>0</v>
      </c>
      <c r="D226" s="11">
        <v>847.95</v>
      </c>
      <c r="E226" s="11">
        <v>0.17100000000000001</v>
      </c>
      <c r="F226" s="13">
        <f>SUMIF('OD 10-24'!A:A,A226,'OD 10-24'!D:D)</f>
        <v>0</v>
      </c>
      <c r="G226" s="13">
        <f>SUMIF('OD 12-24'!A:A,A226,'OD 12-24'!E:E)</f>
        <v>0</v>
      </c>
      <c r="H226" s="14">
        <f t="shared" si="6"/>
        <v>847.779</v>
      </c>
      <c r="I226" s="14">
        <f t="shared" si="7"/>
        <v>847.779</v>
      </c>
      <c r="J226" s="8" t="s">
        <v>138</v>
      </c>
      <c r="K226" s="8" t="s">
        <v>509</v>
      </c>
      <c r="M226" s="339"/>
      <c r="N226" s="315"/>
    </row>
    <row r="227" spans="1:14" s="9" customFormat="1" ht="11.25" customHeight="1" x14ac:dyDescent="0.2">
      <c r="A227" s="10">
        <v>60110500</v>
      </c>
      <c r="B227" s="10" t="s">
        <v>144</v>
      </c>
      <c r="C227" s="11">
        <v>0</v>
      </c>
      <c r="D227" s="11">
        <v>11378.713999999998</v>
      </c>
      <c r="E227" s="11">
        <v>0.37</v>
      </c>
      <c r="F227" s="13">
        <f>SUMIF('OD 10-24'!A:A,A227,'OD 10-24'!D:D)</f>
        <v>7502.2709999999997</v>
      </c>
      <c r="G227" s="13">
        <f>SUMIF('OD 12-24'!A:A,A227,'OD 12-24'!E:E)</f>
        <v>7502.2709999999997</v>
      </c>
      <c r="H227" s="14">
        <f t="shared" si="6"/>
        <v>11378.343999999997</v>
      </c>
      <c r="I227" s="14">
        <f t="shared" si="7"/>
        <v>11378.343999999997</v>
      </c>
      <c r="J227" s="8" t="s">
        <v>138</v>
      </c>
      <c r="K227" s="8" t="s">
        <v>509</v>
      </c>
      <c r="M227" s="339"/>
      <c r="N227" s="315"/>
    </row>
    <row r="228" spans="1:14" s="9" customFormat="1" ht="11.25" customHeight="1" x14ac:dyDescent="0.2">
      <c r="A228" s="10">
        <v>60110600</v>
      </c>
      <c r="B228" s="10" t="s">
        <v>145</v>
      </c>
      <c r="C228" s="11">
        <v>0</v>
      </c>
      <c r="D228" s="11">
        <v>41751.471000000005</v>
      </c>
      <c r="E228" s="11">
        <v>3.4999999999999996E-2</v>
      </c>
      <c r="F228" s="13">
        <f>SUMIF('OD 10-24'!A:A,A228,'OD 10-24'!D:D)</f>
        <v>0</v>
      </c>
      <c r="G228" s="13">
        <f>SUMIF('OD 12-24'!A:A,A228,'OD 12-24'!E:E)</f>
        <v>0</v>
      </c>
      <c r="H228" s="14">
        <f t="shared" si="6"/>
        <v>41751.436000000002</v>
      </c>
      <c r="I228" s="14">
        <f t="shared" si="7"/>
        <v>41751.436000000002</v>
      </c>
      <c r="J228" s="8" t="s">
        <v>138</v>
      </c>
      <c r="K228" s="8" t="s">
        <v>509</v>
      </c>
      <c r="M228" s="339"/>
      <c r="N228" s="315"/>
    </row>
    <row r="229" spans="1:14" s="9" customFormat="1" ht="11.25" customHeight="1" x14ac:dyDescent="0.2">
      <c r="A229" s="10">
        <v>60110700</v>
      </c>
      <c r="B229" s="10" t="s">
        <v>146</v>
      </c>
      <c r="C229" s="11">
        <v>0</v>
      </c>
      <c r="D229" s="11">
        <v>789.45</v>
      </c>
      <c r="E229" s="11">
        <v>0</v>
      </c>
      <c r="F229" s="13">
        <f>SUMIF('OD 10-24'!A:A,A229,'OD 10-24'!D:D)</f>
        <v>0</v>
      </c>
      <c r="G229" s="13">
        <f>SUMIF('OD 12-24'!A:A,A229,'OD 12-24'!E:E)</f>
        <v>0</v>
      </c>
      <c r="H229" s="14">
        <f t="shared" si="6"/>
        <v>789.45</v>
      </c>
      <c r="I229" s="14">
        <f t="shared" si="7"/>
        <v>789.45</v>
      </c>
      <c r="J229" s="8" t="s">
        <v>138</v>
      </c>
      <c r="K229" s="8" t="s">
        <v>509</v>
      </c>
      <c r="M229" s="339"/>
      <c r="N229" s="315"/>
    </row>
    <row r="230" spans="1:14" s="9" customFormat="1" ht="11.25" customHeight="1" x14ac:dyDescent="0.2">
      <c r="A230" s="10">
        <v>60110900</v>
      </c>
      <c r="B230" s="10" t="s">
        <v>147</v>
      </c>
      <c r="C230" s="11">
        <v>0</v>
      </c>
      <c r="D230" s="11">
        <v>395416.49700000003</v>
      </c>
      <c r="E230" s="11">
        <v>808</v>
      </c>
      <c r="F230" s="13">
        <f>SUMIF('OD 10-24'!A:A,A230,'OD 10-24'!D:D)</f>
        <v>207714.43700000001</v>
      </c>
      <c r="G230" s="13">
        <f>SUMIF('OD 12-24'!A:A,A230,'OD 12-24'!E:E)</f>
        <v>219792.07699999999</v>
      </c>
      <c r="H230" s="14">
        <f t="shared" si="6"/>
        <v>382530.85700000002</v>
      </c>
      <c r="I230" s="14">
        <f t="shared" si="7"/>
        <v>382530.85700000002</v>
      </c>
      <c r="J230" s="8" t="s">
        <v>138</v>
      </c>
      <c r="K230" s="8" t="s">
        <v>509</v>
      </c>
      <c r="M230" s="339"/>
      <c r="N230" s="315"/>
    </row>
    <row r="231" spans="1:14" s="9" customFormat="1" ht="11.25" customHeight="1" x14ac:dyDescent="0.2">
      <c r="A231" s="10">
        <v>60111000</v>
      </c>
      <c r="B231" s="10" t="s">
        <v>148</v>
      </c>
      <c r="C231" s="11">
        <v>0</v>
      </c>
      <c r="D231" s="11">
        <v>0</v>
      </c>
      <c r="E231" s="11">
        <v>0</v>
      </c>
      <c r="F231" s="13">
        <f>SUMIF('OD 10-24'!A:A,A231,'OD 10-24'!D:D)</f>
        <v>0</v>
      </c>
      <c r="G231" s="13">
        <f>SUMIF('OD 12-24'!A:A,A231,'OD 12-24'!E:E)</f>
        <v>0</v>
      </c>
      <c r="H231" s="14">
        <f t="shared" si="6"/>
        <v>0</v>
      </c>
      <c r="I231" s="14">
        <f t="shared" si="7"/>
        <v>0</v>
      </c>
      <c r="J231" s="8" t="s">
        <v>138</v>
      </c>
      <c r="K231" s="8" t="s">
        <v>509</v>
      </c>
      <c r="M231" s="339"/>
      <c r="N231" s="315"/>
    </row>
    <row r="232" spans="1:14" s="9" customFormat="1" ht="11.25" customHeight="1" x14ac:dyDescent="0.2">
      <c r="A232" s="10">
        <v>60111010</v>
      </c>
      <c r="B232" s="10" t="s">
        <v>393</v>
      </c>
      <c r="C232" s="11">
        <v>0</v>
      </c>
      <c r="D232" s="11">
        <v>4646</v>
      </c>
      <c r="E232" s="11">
        <v>0</v>
      </c>
      <c r="F232" s="13">
        <f>SUMIF('OD 10-24'!A:A,A232,'OD 10-24'!D:D)</f>
        <v>0</v>
      </c>
      <c r="G232" s="13">
        <f>SUMIF('OD 12-24'!A:A,A232,'OD 12-24'!E:E)</f>
        <v>0</v>
      </c>
      <c r="H232" s="14">
        <f t="shared" si="6"/>
        <v>4646</v>
      </c>
      <c r="I232" s="14">
        <f t="shared" si="7"/>
        <v>4646</v>
      </c>
      <c r="J232" s="8" t="s">
        <v>138</v>
      </c>
      <c r="K232" s="8" t="s">
        <v>509</v>
      </c>
      <c r="M232" s="339"/>
      <c r="N232" s="315"/>
    </row>
    <row r="233" spans="1:14" s="9" customFormat="1" ht="11.25" customHeight="1" x14ac:dyDescent="0.2">
      <c r="A233" s="10">
        <v>60120100</v>
      </c>
      <c r="B233" s="10" t="s">
        <v>149</v>
      </c>
      <c r="C233" s="11">
        <v>0</v>
      </c>
      <c r="D233" s="11">
        <v>1278227.4458445001</v>
      </c>
      <c r="E233" s="11">
        <v>9063.0944025000008</v>
      </c>
      <c r="F233" s="13">
        <f>SUMIF('OD 10-24'!A:A,A233,'OD 10-24'!D:D)</f>
        <v>0</v>
      </c>
      <c r="G233" s="13">
        <f>SUMIF('OD 12-24'!A:A,A233,'OD 12-24'!E:E)</f>
        <v>0</v>
      </c>
      <c r="H233" s="14">
        <f t="shared" si="6"/>
        <v>1269164.3514420001</v>
      </c>
      <c r="I233" s="14">
        <f t="shared" si="7"/>
        <v>1269164.3514420001</v>
      </c>
      <c r="J233" s="8" t="s">
        <v>138</v>
      </c>
      <c r="K233" s="8" t="s">
        <v>509</v>
      </c>
      <c r="M233" s="339"/>
      <c r="N233" s="315"/>
    </row>
    <row r="234" spans="1:14" s="9" customFormat="1" ht="11.25" customHeight="1" x14ac:dyDescent="0.2">
      <c r="A234" s="10">
        <v>60120200</v>
      </c>
      <c r="B234" s="10" t="s">
        <v>8977</v>
      </c>
      <c r="C234" s="11">
        <v>0</v>
      </c>
      <c r="D234" s="11">
        <v>492</v>
      </c>
      <c r="E234" s="11">
        <v>0</v>
      </c>
      <c r="F234" s="13">
        <f>SUMIF('OD 10-24'!A:A,A234,'OD 10-24'!D:D)</f>
        <v>492</v>
      </c>
      <c r="G234" s="13">
        <f>SUMIF('OD 12-24'!A:A,A234,'OD 12-24'!E:E)</f>
        <v>492</v>
      </c>
      <c r="H234" s="14">
        <f t="shared" si="6"/>
        <v>492</v>
      </c>
      <c r="I234" s="14">
        <f t="shared" si="7"/>
        <v>492</v>
      </c>
      <c r="J234" s="8" t="s">
        <v>138</v>
      </c>
      <c r="K234" s="8" t="s">
        <v>509</v>
      </c>
      <c r="M234" s="339"/>
      <c r="N234" s="315"/>
    </row>
    <row r="235" spans="1:14" s="9" customFormat="1" ht="11.25" customHeight="1" x14ac:dyDescent="0.2">
      <c r="A235" s="10">
        <v>60120300</v>
      </c>
      <c r="B235" s="10" t="s">
        <v>150</v>
      </c>
      <c r="C235" s="11">
        <v>0</v>
      </c>
      <c r="D235" s="11">
        <v>6207554.8870000001</v>
      </c>
      <c r="E235" s="11">
        <v>72828.75</v>
      </c>
      <c r="F235" s="13">
        <f>SUMIF('OD 10-24'!A:A,A235,'OD 10-24'!D:D)</f>
        <v>476925.11</v>
      </c>
      <c r="G235" s="13">
        <f>SUMIF('OD 12-24'!A:A,A235,'OD 12-24'!E:E)</f>
        <v>476925.11</v>
      </c>
      <c r="H235" s="14">
        <f t="shared" si="6"/>
        <v>6134726.1370000001</v>
      </c>
      <c r="I235" s="14">
        <f t="shared" si="7"/>
        <v>6134726.1370000001</v>
      </c>
      <c r="J235" s="8" t="s">
        <v>138</v>
      </c>
      <c r="K235" s="8" t="s">
        <v>509</v>
      </c>
      <c r="M235" s="339"/>
      <c r="N235" s="315"/>
    </row>
    <row r="236" spans="1:14" s="9" customFormat="1" ht="11.25" customHeight="1" x14ac:dyDescent="0.2">
      <c r="A236" s="10">
        <v>60120400</v>
      </c>
      <c r="B236" s="10" t="s">
        <v>365</v>
      </c>
      <c r="C236" s="11">
        <v>0</v>
      </c>
      <c r="D236" s="11">
        <v>3062676.6100000003</v>
      </c>
      <c r="E236" s="11">
        <v>0</v>
      </c>
      <c r="F236" s="13">
        <f>SUMIF('OD 10-24'!A:A,A236,'OD 10-24'!D:D)</f>
        <v>157330.79999999999</v>
      </c>
      <c r="G236" s="13">
        <f>SUMIF('OD 12-24'!A:A,A236,'OD 12-24'!E:E)</f>
        <v>332101.09000000003</v>
      </c>
      <c r="H236" s="14">
        <f t="shared" si="6"/>
        <v>2887906.3200000003</v>
      </c>
      <c r="I236" s="14">
        <f t="shared" si="7"/>
        <v>2887906.3200000003</v>
      </c>
      <c r="J236" s="8" t="s">
        <v>138</v>
      </c>
      <c r="K236" s="8" t="s">
        <v>509</v>
      </c>
      <c r="M236" s="339"/>
      <c r="N236" s="315"/>
    </row>
    <row r="237" spans="1:14" s="9" customFormat="1" ht="11.25" customHeight="1" x14ac:dyDescent="0.2">
      <c r="A237" s="10">
        <v>60120800</v>
      </c>
      <c r="B237" s="10" t="s">
        <v>151</v>
      </c>
      <c r="C237" s="11">
        <v>0</v>
      </c>
      <c r="D237" s="11">
        <v>987009.6878999999</v>
      </c>
      <c r="E237" s="11">
        <v>0</v>
      </c>
      <c r="F237" s="13">
        <f>SUMIF('OD 10-24'!A:A,A237,'OD 10-24'!D:D)</f>
        <v>0</v>
      </c>
      <c r="G237" s="13">
        <f>SUMIF('OD 12-24'!A:A,A237,'OD 12-24'!E:E)</f>
        <v>145607</v>
      </c>
      <c r="H237" s="14">
        <f t="shared" si="6"/>
        <v>841402.6878999999</v>
      </c>
      <c r="I237" s="14">
        <f t="shared" si="7"/>
        <v>841402.6878999999</v>
      </c>
      <c r="J237" s="8" t="s">
        <v>138</v>
      </c>
      <c r="K237" s="8" t="s">
        <v>509</v>
      </c>
      <c r="M237" s="339"/>
      <c r="N237" s="315"/>
    </row>
    <row r="238" spans="1:14" s="9" customFormat="1" ht="11.25" customHeight="1" x14ac:dyDescent="0.2">
      <c r="A238" s="10">
        <v>60120900</v>
      </c>
      <c r="B238" s="10" t="s">
        <v>7393</v>
      </c>
      <c r="C238" s="11">
        <v>0</v>
      </c>
      <c r="D238" s="11">
        <v>744932.99126249994</v>
      </c>
      <c r="E238" s="11">
        <v>0</v>
      </c>
      <c r="F238" s="13">
        <f>SUMIF('OD 10-24'!A:A,A238,'OD 10-24'!D:D)</f>
        <v>0</v>
      </c>
      <c r="G238" s="13">
        <f>SUMIF('OD 12-24'!A:A,A238,'OD 12-24'!E:E)</f>
        <v>0</v>
      </c>
      <c r="H238" s="14">
        <f t="shared" si="6"/>
        <v>744932.99126249994</v>
      </c>
      <c r="I238" s="14">
        <f t="shared" si="7"/>
        <v>744932.99126249994</v>
      </c>
      <c r="J238" s="8" t="s">
        <v>138</v>
      </c>
      <c r="K238" s="8" t="s">
        <v>509</v>
      </c>
      <c r="M238" s="339"/>
      <c r="N238" s="315"/>
    </row>
    <row r="239" spans="1:14" s="9" customFormat="1" ht="11.25" customHeight="1" x14ac:dyDescent="0.2">
      <c r="A239" s="10">
        <v>60121010</v>
      </c>
      <c r="B239" s="10" t="s">
        <v>152</v>
      </c>
      <c r="C239" s="11">
        <v>0</v>
      </c>
      <c r="D239" s="11">
        <v>19862659.3869645</v>
      </c>
      <c r="E239" s="11">
        <v>121160.19332699999</v>
      </c>
      <c r="F239" s="13">
        <f>SUMIF('OD 10-24'!A:A,A239,'OD 10-24'!D:D)</f>
        <v>0</v>
      </c>
      <c r="G239" s="13">
        <f>SUMIF('OD 12-24'!A:A,A239,'OD 12-24'!E:E)</f>
        <v>0</v>
      </c>
      <c r="H239" s="14">
        <f t="shared" si="6"/>
        <v>19741499.193637501</v>
      </c>
      <c r="I239" s="14">
        <f t="shared" si="7"/>
        <v>19741499.193637501</v>
      </c>
      <c r="J239" s="8" t="s">
        <v>138</v>
      </c>
      <c r="K239" s="8" t="s">
        <v>509</v>
      </c>
      <c r="M239" s="339"/>
      <c r="N239" s="315"/>
    </row>
    <row r="240" spans="1:14" s="9" customFormat="1" ht="11.25" customHeight="1" x14ac:dyDescent="0.2">
      <c r="A240" s="10">
        <v>60121020</v>
      </c>
      <c r="B240" s="10" t="s">
        <v>153</v>
      </c>
      <c r="C240" s="11">
        <v>0</v>
      </c>
      <c r="D240" s="11">
        <v>4664</v>
      </c>
      <c r="E240" s="11">
        <v>4664</v>
      </c>
      <c r="F240" s="13">
        <f>SUMIF('OD 10-24'!A:A,A240,'OD 10-24'!D:D)</f>
        <v>0</v>
      </c>
      <c r="G240" s="13">
        <f>SUMIF('OD 12-24'!A:A,A240,'OD 12-24'!E:E)</f>
        <v>0</v>
      </c>
      <c r="H240" s="14">
        <f t="shared" si="6"/>
        <v>0</v>
      </c>
      <c r="I240" s="14">
        <f t="shared" si="7"/>
        <v>0</v>
      </c>
      <c r="J240" s="8" t="s">
        <v>138</v>
      </c>
      <c r="K240" s="8" t="s">
        <v>509</v>
      </c>
      <c r="M240" s="339"/>
      <c r="N240" s="315"/>
    </row>
    <row r="241" spans="1:14" s="9" customFormat="1" ht="11.25" customHeight="1" x14ac:dyDescent="0.2">
      <c r="A241" s="10">
        <v>60121031</v>
      </c>
      <c r="B241" s="10" t="s">
        <v>394</v>
      </c>
      <c r="C241" s="11">
        <v>0</v>
      </c>
      <c r="D241" s="11">
        <v>171625.31027000002</v>
      </c>
      <c r="E241" s="11">
        <v>0</v>
      </c>
      <c r="F241" s="13">
        <f>SUMIF('OD 10-24'!A:A,A241,'OD 10-24'!D:D)</f>
        <v>0</v>
      </c>
      <c r="G241" s="13">
        <f>SUMIF('OD 12-24'!A:A,A241,'OD 12-24'!E:E)</f>
        <v>0</v>
      </c>
      <c r="H241" s="14">
        <f t="shared" si="6"/>
        <v>171625.31027000002</v>
      </c>
      <c r="I241" s="14">
        <f t="shared" si="7"/>
        <v>171625.31027000002</v>
      </c>
      <c r="J241" s="8" t="s">
        <v>138</v>
      </c>
      <c r="K241" s="8" t="s">
        <v>509</v>
      </c>
      <c r="M241" s="339"/>
      <c r="N241" s="315"/>
    </row>
    <row r="242" spans="1:14" s="9" customFormat="1" ht="11.25" customHeight="1" x14ac:dyDescent="0.2">
      <c r="A242" s="10">
        <v>60121032</v>
      </c>
      <c r="B242" s="10" t="s">
        <v>8973</v>
      </c>
      <c r="C242" s="11">
        <v>0</v>
      </c>
      <c r="D242" s="11">
        <v>10482.185000000001</v>
      </c>
      <c r="E242" s="11">
        <v>0</v>
      </c>
      <c r="F242" s="13">
        <f>SUMIF('OD 10-24'!A:A,A242,'OD 10-24'!D:D)</f>
        <v>0</v>
      </c>
      <c r="G242" s="13">
        <f>SUMIF('OD 12-24'!A:A,A242,'OD 12-24'!E:E)</f>
        <v>0</v>
      </c>
      <c r="H242" s="14">
        <f t="shared" si="6"/>
        <v>10482.185000000001</v>
      </c>
      <c r="I242" s="14">
        <f t="shared" si="7"/>
        <v>10482.185000000001</v>
      </c>
      <c r="J242" s="8" t="s">
        <v>138</v>
      </c>
      <c r="K242" s="8" t="s">
        <v>509</v>
      </c>
      <c r="M242" s="339"/>
      <c r="N242" s="315"/>
    </row>
    <row r="243" spans="1:14" s="9" customFormat="1" ht="11.25" customHeight="1" x14ac:dyDescent="0.2">
      <c r="A243" s="10">
        <v>60121033</v>
      </c>
      <c r="B243" s="10" t="s">
        <v>7718</v>
      </c>
      <c r="C243" s="11">
        <v>0</v>
      </c>
      <c r="D243" s="11">
        <v>14927.626999999999</v>
      </c>
      <c r="E243" s="11">
        <v>0</v>
      </c>
      <c r="F243" s="13">
        <f>SUMIF('OD 10-24'!A:A,A243,'OD 10-24'!D:D)</f>
        <v>0</v>
      </c>
      <c r="G243" s="13">
        <f>SUMIF('OD 12-24'!A:A,A243,'OD 12-24'!E:E)</f>
        <v>0</v>
      </c>
      <c r="H243" s="14">
        <f t="shared" si="6"/>
        <v>14927.626999999999</v>
      </c>
      <c r="I243" s="14">
        <f t="shared" si="7"/>
        <v>14927.626999999999</v>
      </c>
      <c r="J243" s="8" t="s">
        <v>138</v>
      </c>
      <c r="K243" s="8" t="s">
        <v>509</v>
      </c>
      <c r="M243" s="339"/>
      <c r="N243" s="315"/>
    </row>
    <row r="244" spans="1:14" s="9" customFormat="1" ht="11.25" customHeight="1" x14ac:dyDescent="0.2">
      <c r="A244" s="10">
        <v>60121035</v>
      </c>
      <c r="B244" s="10" t="s">
        <v>395</v>
      </c>
      <c r="C244" s="11">
        <v>0</v>
      </c>
      <c r="D244" s="11">
        <v>2907.0840000000003</v>
      </c>
      <c r="E244" s="11">
        <v>0</v>
      </c>
      <c r="F244" s="13">
        <f>SUMIF('OD 10-24'!A:A,A244,'OD 10-24'!D:D)</f>
        <v>0</v>
      </c>
      <c r="G244" s="13">
        <f>SUMIF('OD 12-24'!A:A,A244,'OD 12-24'!E:E)</f>
        <v>0</v>
      </c>
      <c r="H244" s="14">
        <f t="shared" si="6"/>
        <v>2907.0840000000003</v>
      </c>
      <c r="I244" s="14">
        <f t="shared" si="7"/>
        <v>2907.0840000000003</v>
      </c>
      <c r="J244" s="8" t="s">
        <v>138</v>
      </c>
      <c r="K244" s="8" t="s">
        <v>509</v>
      </c>
      <c r="M244" s="339"/>
      <c r="N244" s="315"/>
    </row>
    <row r="245" spans="1:14" s="9" customFormat="1" ht="11.25" customHeight="1" x14ac:dyDescent="0.2">
      <c r="A245" s="10">
        <v>60121040</v>
      </c>
      <c r="B245" s="10" t="s">
        <v>7720</v>
      </c>
      <c r="C245" s="11">
        <v>0</v>
      </c>
      <c r="D245" s="11">
        <v>2058.75</v>
      </c>
      <c r="E245" s="11">
        <v>0</v>
      </c>
      <c r="F245" s="13">
        <f>SUMIF('OD 10-24'!A:A,A245,'OD 10-24'!D:D)</f>
        <v>0</v>
      </c>
      <c r="G245" s="13">
        <f>SUMIF('OD 12-24'!A:A,A245,'OD 12-24'!E:E)</f>
        <v>0</v>
      </c>
      <c r="H245" s="14">
        <f t="shared" si="6"/>
        <v>2058.75</v>
      </c>
      <c r="I245" s="14">
        <f t="shared" si="7"/>
        <v>2058.75</v>
      </c>
      <c r="J245" s="8" t="s">
        <v>138</v>
      </c>
      <c r="K245" s="8" t="s">
        <v>509</v>
      </c>
      <c r="M245" s="339"/>
      <c r="N245" s="315"/>
    </row>
    <row r="246" spans="1:14" s="9" customFormat="1" ht="11.25" customHeight="1" x14ac:dyDescent="0.2">
      <c r="A246" s="10">
        <v>60121210</v>
      </c>
      <c r="B246" s="10" t="s">
        <v>7400</v>
      </c>
      <c r="C246" s="11">
        <v>0</v>
      </c>
      <c r="D246" s="11">
        <v>193882.85927349998</v>
      </c>
      <c r="E246" s="11">
        <v>0</v>
      </c>
      <c r="F246" s="13">
        <f>SUMIF('OD 10-24'!A:A,A246,'OD 10-24'!D:D)</f>
        <v>0</v>
      </c>
      <c r="G246" s="13">
        <f>SUMIF('OD 12-24'!A:A,A246,'OD 12-24'!E:E)</f>
        <v>0</v>
      </c>
      <c r="H246" s="14">
        <f t="shared" si="6"/>
        <v>193882.85927349998</v>
      </c>
      <c r="I246" s="14">
        <f t="shared" si="7"/>
        <v>193882.85927349998</v>
      </c>
      <c r="J246" s="8" t="s">
        <v>138</v>
      </c>
      <c r="K246" s="8" t="s">
        <v>509</v>
      </c>
      <c r="M246" s="339"/>
      <c r="N246" s="315"/>
    </row>
    <row r="247" spans="1:14" s="9" customFormat="1" ht="11.25" customHeight="1" x14ac:dyDescent="0.2">
      <c r="A247" s="10">
        <v>60121400</v>
      </c>
      <c r="B247" s="10" t="s">
        <v>7570</v>
      </c>
      <c r="C247" s="11">
        <v>0</v>
      </c>
      <c r="D247" s="11">
        <v>93840.986879999997</v>
      </c>
      <c r="E247" s="11">
        <v>0</v>
      </c>
      <c r="F247" s="13">
        <f>SUMIF('OD 10-24'!A:A,A247,'OD 10-24'!D:D)</f>
        <v>0</v>
      </c>
      <c r="G247" s="13">
        <f>SUMIF('OD 12-24'!A:A,A247,'OD 12-24'!E:E)</f>
        <v>0</v>
      </c>
      <c r="H247" s="14">
        <f t="shared" si="6"/>
        <v>93840.986879999997</v>
      </c>
      <c r="I247" s="14">
        <f t="shared" si="7"/>
        <v>93840.986879999997</v>
      </c>
      <c r="J247" s="8" t="s">
        <v>138</v>
      </c>
      <c r="K247" s="8" t="s">
        <v>509</v>
      </c>
      <c r="M247" s="339"/>
      <c r="N247" s="315"/>
    </row>
    <row r="248" spans="1:14" s="9" customFormat="1" ht="11.25" customHeight="1" x14ac:dyDescent="0.2">
      <c r="A248" s="10">
        <v>60121500</v>
      </c>
      <c r="B248" s="10" t="s">
        <v>404</v>
      </c>
      <c r="C248" s="11">
        <v>0</v>
      </c>
      <c r="D248" s="11">
        <v>99000</v>
      </c>
      <c r="E248" s="11">
        <v>0</v>
      </c>
      <c r="F248" s="13">
        <f>SUMIF('OD 10-24'!A:A,A248,'OD 10-24'!D:D)</f>
        <v>154800</v>
      </c>
      <c r="G248" s="13">
        <f>SUMIF('OD 12-24'!A:A,A248,'OD 12-24'!E:E)</f>
        <v>154800</v>
      </c>
      <c r="H248" s="14">
        <f t="shared" si="6"/>
        <v>99000</v>
      </c>
      <c r="I248" s="14">
        <f t="shared" si="7"/>
        <v>99000</v>
      </c>
      <c r="J248" s="8" t="s">
        <v>138</v>
      </c>
      <c r="K248" s="8" t="s">
        <v>509</v>
      </c>
      <c r="M248" s="339"/>
      <c r="N248" s="315"/>
    </row>
    <row r="249" spans="1:14" s="9" customFormat="1" ht="11.25" customHeight="1" x14ac:dyDescent="0.2">
      <c r="A249" s="10">
        <v>60121600</v>
      </c>
      <c r="B249" s="10" t="s">
        <v>154</v>
      </c>
      <c r="C249" s="11">
        <v>0</v>
      </c>
      <c r="D249" s="11">
        <v>506424</v>
      </c>
      <c r="E249" s="11">
        <v>0</v>
      </c>
      <c r="F249" s="13">
        <f>SUMIF('OD 10-24'!A:A,A249,'OD 10-24'!D:D)</f>
        <v>0</v>
      </c>
      <c r="G249" s="13">
        <f>SUMIF('OD 12-24'!A:A,A249,'OD 12-24'!E:E)</f>
        <v>0</v>
      </c>
      <c r="H249" s="14">
        <f t="shared" si="6"/>
        <v>506424</v>
      </c>
      <c r="I249" s="14">
        <f t="shared" si="7"/>
        <v>506424</v>
      </c>
      <c r="J249" s="8" t="s">
        <v>138</v>
      </c>
      <c r="K249" s="8" t="s">
        <v>509</v>
      </c>
      <c r="M249" s="339"/>
      <c r="N249" s="315"/>
    </row>
    <row r="250" spans="1:14" s="9" customFormat="1" ht="11.25" customHeight="1" x14ac:dyDescent="0.2">
      <c r="A250" s="10">
        <v>60121900</v>
      </c>
      <c r="B250" s="10" t="s">
        <v>7568</v>
      </c>
      <c r="C250" s="11">
        <v>0</v>
      </c>
      <c r="D250" s="11">
        <v>33763.75</v>
      </c>
      <c r="E250" s="11">
        <v>0</v>
      </c>
      <c r="F250" s="13">
        <f>SUMIF('OD 10-24'!A:A,A250,'OD 10-24'!D:D)</f>
        <v>0</v>
      </c>
      <c r="G250" s="13">
        <f>SUMIF('OD 12-24'!A:A,A250,'OD 12-24'!E:E)</f>
        <v>0</v>
      </c>
      <c r="H250" s="14">
        <f t="shared" si="6"/>
        <v>33763.75</v>
      </c>
      <c r="I250" s="14">
        <f t="shared" si="7"/>
        <v>33763.75</v>
      </c>
      <c r="J250" s="8" t="s">
        <v>138</v>
      </c>
      <c r="K250" s="8" t="s">
        <v>509</v>
      </c>
      <c r="M250" s="339"/>
      <c r="N250" s="315"/>
    </row>
    <row r="251" spans="1:14" s="9" customFormat="1" ht="11.25" customHeight="1" x14ac:dyDescent="0.2">
      <c r="A251" s="10">
        <v>60122000</v>
      </c>
      <c r="B251" s="10" t="s">
        <v>9638</v>
      </c>
      <c r="C251" s="11">
        <v>0</v>
      </c>
      <c r="D251" s="16">
        <v>72713.861999999994</v>
      </c>
      <c r="E251" s="11">
        <v>72713.861999999994</v>
      </c>
      <c r="F251" s="13">
        <f>SUMIF('OD 10-24'!A:A,A251,'OD 10-24'!D:D)</f>
        <v>0</v>
      </c>
      <c r="G251" s="13">
        <f>SUMIF('OD 12-24'!A:A,A251,'OD 12-24'!E:E)</f>
        <v>72713.861999999994</v>
      </c>
      <c r="H251" s="14">
        <f t="shared" si="6"/>
        <v>-72713.861999999994</v>
      </c>
      <c r="I251" s="14">
        <f t="shared" si="7"/>
        <v>-72713.861999999994</v>
      </c>
      <c r="J251" s="8" t="s">
        <v>138</v>
      </c>
      <c r="K251" s="8" t="s">
        <v>509</v>
      </c>
      <c r="M251" s="339"/>
      <c r="N251" s="315"/>
    </row>
    <row r="252" spans="1:14" s="9" customFormat="1" ht="11.25" customHeight="1" x14ac:dyDescent="0.2">
      <c r="A252" s="10">
        <v>60122100</v>
      </c>
      <c r="B252" s="10" t="s">
        <v>155</v>
      </c>
      <c r="C252" s="11">
        <v>0</v>
      </c>
      <c r="D252" s="11">
        <v>86985</v>
      </c>
      <c r="E252" s="11">
        <v>1485</v>
      </c>
      <c r="F252" s="13">
        <f>SUMIF('OD 10-24'!A:A,A252,'OD 10-24'!D:D)</f>
        <v>26730</v>
      </c>
      <c r="G252" s="13">
        <f>SUMIF('OD 12-24'!A:A,A252,'OD 12-24'!E:E)</f>
        <v>26730</v>
      </c>
      <c r="H252" s="14">
        <f t="shared" si="6"/>
        <v>85500</v>
      </c>
      <c r="I252" s="14">
        <f t="shared" si="7"/>
        <v>85500</v>
      </c>
      <c r="J252" s="8" t="s">
        <v>138</v>
      </c>
      <c r="K252" s="8" t="s">
        <v>509</v>
      </c>
      <c r="M252" s="339"/>
      <c r="N252" s="315"/>
    </row>
    <row r="253" spans="1:14" s="9" customFormat="1" ht="11.25" customHeight="1" x14ac:dyDescent="0.2">
      <c r="A253" s="10">
        <v>60122200</v>
      </c>
      <c r="B253" s="10" t="s">
        <v>156</v>
      </c>
      <c r="C253" s="11">
        <v>0</v>
      </c>
      <c r="D253" s="11">
        <v>54164.048999999999</v>
      </c>
      <c r="E253" s="11">
        <v>0</v>
      </c>
      <c r="F253" s="13">
        <f>SUMIF('OD 10-24'!A:A,A253,'OD 10-24'!D:D)</f>
        <v>12789</v>
      </c>
      <c r="G253" s="13">
        <f>SUMIF('OD 12-24'!A:A,A253,'OD 12-24'!E:E)</f>
        <v>12789</v>
      </c>
      <c r="H253" s="14">
        <f t="shared" si="6"/>
        <v>54164.048999999999</v>
      </c>
      <c r="I253" s="14">
        <f t="shared" si="7"/>
        <v>54164.048999999999</v>
      </c>
      <c r="J253" s="8" t="s">
        <v>138</v>
      </c>
      <c r="K253" s="8" t="s">
        <v>509</v>
      </c>
      <c r="M253" s="339"/>
      <c r="N253" s="315"/>
    </row>
    <row r="254" spans="1:14" s="9" customFormat="1" ht="11.25" customHeight="1" x14ac:dyDescent="0.2">
      <c r="A254" s="10">
        <v>60122400</v>
      </c>
      <c r="B254" s="10" t="s">
        <v>7396</v>
      </c>
      <c r="C254" s="11">
        <v>0</v>
      </c>
      <c r="D254" s="11">
        <v>30280.058999999997</v>
      </c>
      <c r="E254" s="11">
        <v>0</v>
      </c>
      <c r="F254" s="13">
        <f>SUMIF('OD 10-24'!A:A,A254,'OD 10-24'!D:D)</f>
        <v>0</v>
      </c>
      <c r="G254" s="13">
        <f>SUMIF('OD 12-24'!A:A,A254,'OD 12-24'!E:E)</f>
        <v>0</v>
      </c>
      <c r="H254" s="14">
        <f t="shared" si="6"/>
        <v>30280.058999999997</v>
      </c>
      <c r="I254" s="14">
        <f t="shared" si="7"/>
        <v>30280.058999999997</v>
      </c>
      <c r="J254" s="8" t="s">
        <v>138</v>
      </c>
      <c r="K254" s="8" t="s">
        <v>509</v>
      </c>
      <c r="M254" s="339"/>
      <c r="N254" s="315"/>
    </row>
    <row r="255" spans="1:14" s="9" customFormat="1" ht="11.25" customHeight="1" x14ac:dyDescent="0.2">
      <c r="A255" s="10">
        <v>60122410</v>
      </c>
      <c r="B255" s="10" t="s">
        <v>366</v>
      </c>
      <c r="C255" s="11">
        <v>0</v>
      </c>
      <c r="D255" s="11">
        <v>6325</v>
      </c>
      <c r="E255" s="11">
        <v>0</v>
      </c>
      <c r="F255" s="13">
        <f>SUMIF('OD 10-24'!A:A,A255,'OD 10-24'!D:D)</f>
        <v>0</v>
      </c>
      <c r="G255" s="13">
        <f>SUMIF('OD 12-24'!A:A,A255,'OD 12-24'!E:E)</f>
        <v>0</v>
      </c>
      <c r="H255" s="14">
        <f t="shared" si="6"/>
        <v>6325</v>
      </c>
      <c r="I255" s="14">
        <f t="shared" si="7"/>
        <v>6325</v>
      </c>
      <c r="J255" s="8" t="s">
        <v>138</v>
      </c>
      <c r="K255" s="8" t="s">
        <v>509</v>
      </c>
      <c r="M255" s="339"/>
      <c r="N255" s="315"/>
    </row>
    <row r="256" spans="1:14" s="9" customFormat="1" ht="11.25" customHeight="1" x14ac:dyDescent="0.2">
      <c r="A256" s="10">
        <v>60122411</v>
      </c>
      <c r="B256" s="10" t="s">
        <v>367</v>
      </c>
      <c r="C256" s="11">
        <v>0</v>
      </c>
      <c r="D256" s="11">
        <v>59350</v>
      </c>
      <c r="E256" s="11">
        <v>0</v>
      </c>
      <c r="F256" s="13">
        <f>SUMIF('OD 10-24'!A:A,A256,'OD 10-24'!D:D)</f>
        <v>1474.8</v>
      </c>
      <c r="G256" s="13">
        <f>SUMIF('OD 12-24'!A:A,A256,'OD 12-24'!E:E)</f>
        <v>1474.8</v>
      </c>
      <c r="H256" s="14">
        <f t="shared" si="6"/>
        <v>59350</v>
      </c>
      <c r="I256" s="14">
        <f t="shared" si="7"/>
        <v>59350</v>
      </c>
      <c r="J256" s="8" t="s">
        <v>138</v>
      </c>
      <c r="K256" s="8" t="s">
        <v>509</v>
      </c>
      <c r="M256" s="339"/>
      <c r="N256" s="315"/>
    </row>
    <row r="257" spans="1:14" s="9" customFormat="1" ht="11.25" customHeight="1" x14ac:dyDescent="0.2">
      <c r="A257" s="10">
        <v>60122510</v>
      </c>
      <c r="B257" s="10" t="s">
        <v>368</v>
      </c>
      <c r="C257" s="11">
        <v>0</v>
      </c>
      <c r="D257" s="11">
        <v>35646.666000000005</v>
      </c>
      <c r="E257" s="11">
        <v>0</v>
      </c>
      <c r="F257" s="13">
        <f>SUMIF('OD 10-24'!A:A,A257,'OD 10-24'!D:D)</f>
        <v>3850.7689999999998</v>
      </c>
      <c r="G257" s="13">
        <f>SUMIF('OD 12-24'!A:A,A257,'OD 12-24'!E:E)</f>
        <v>6249.6040000000003</v>
      </c>
      <c r="H257" s="14">
        <f t="shared" si="6"/>
        <v>33247.831000000006</v>
      </c>
      <c r="I257" s="14">
        <f t="shared" si="7"/>
        <v>33247.831000000006</v>
      </c>
      <c r="J257" s="8" t="s">
        <v>138</v>
      </c>
      <c r="K257" s="8" t="s">
        <v>509</v>
      </c>
      <c r="M257" s="339"/>
      <c r="N257" s="315"/>
    </row>
    <row r="258" spans="1:14" s="9" customFormat="1" ht="11.25" customHeight="1" x14ac:dyDescent="0.2">
      <c r="A258" s="10">
        <v>60122520</v>
      </c>
      <c r="B258" s="10" t="s">
        <v>396</v>
      </c>
      <c r="C258" s="11">
        <v>0</v>
      </c>
      <c r="D258" s="11">
        <v>4886.8069999999998</v>
      </c>
      <c r="E258" s="11">
        <v>0</v>
      </c>
      <c r="F258" s="13">
        <f>SUMIF('OD 10-24'!A:A,A258,'OD 10-24'!D:D)</f>
        <v>0</v>
      </c>
      <c r="G258" s="13">
        <f>SUMIF('OD 12-24'!A:A,A258,'OD 12-24'!E:E)</f>
        <v>0</v>
      </c>
      <c r="H258" s="14">
        <f t="shared" si="6"/>
        <v>4886.8069999999998</v>
      </c>
      <c r="I258" s="14">
        <f t="shared" si="7"/>
        <v>4886.8069999999998</v>
      </c>
      <c r="J258" s="8" t="s">
        <v>138</v>
      </c>
      <c r="K258" s="8" t="s">
        <v>509</v>
      </c>
      <c r="M258" s="339"/>
      <c r="N258" s="315"/>
    </row>
    <row r="259" spans="1:14" s="9" customFormat="1" ht="11.25" customHeight="1" x14ac:dyDescent="0.2">
      <c r="A259" s="10">
        <v>60122700</v>
      </c>
      <c r="B259" s="10" t="s">
        <v>7567</v>
      </c>
      <c r="C259" s="11">
        <v>0</v>
      </c>
      <c r="D259" s="11">
        <v>9500.0399999999991</v>
      </c>
      <c r="E259" s="11">
        <v>0</v>
      </c>
      <c r="F259" s="13">
        <f>SUMIF('OD 10-24'!A:A,A259,'OD 10-24'!D:D)</f>
        <v>12212.5</v>
      </c>
      <c r="G259" s="13">
        <f>SUMIF('OD 12-24'!A:A,A259,'OD 12-24'!E:E)</f>
        <v>12212.5</v>
      </c>
      <c r="H259" s="14">
        <f t="shared" si="6"/>
        <v>9500.0400000000009</v>
      </c>
      <c r="I259" s="14">
        <f t="shared" si="7"/>
        <v>9500.0400000000009</v>
      </c>
      <c r="J259" s="8" t="s">
        <v>138</v>
      </c>
      <c r="K259" s="8" t="s">
        <v>509</v>
      </c>
      <c r="M259" s="339"/>
      <c r="N259" s="315"/>
    </row>
    <row r="260" spans="1:14" s="9" customFormat="1" ht="11.25" customHeight="1" x14ac:dyDescent="0.2">
      <c r="A260" s="10">
        <v>60171000</v>
      </c>
      <c r="B260" s="10" t="s">
        <v>369</v>
      </c>
      <c r="C260" s="11">
        <v>0</v>
      </c>
      <c r="D260" s="11">
        <v>437536.06899999996</v>
      </c>
      <c r="E260" s="11">
        <v>325.53100000000001</v>
      </c>
      <c r="F260" s="13">
        <f>SUMIF('OD 10-24'!A:A,A260,'OD 10-24'!D:D)</f>
        <v>428097.09</v>
      </c>
      <c r="G260" s="13">
        <f>SUMIF('OD 12-24'!A:A,A260,'OD 12-24'!E:E)</f>
        <v>450589.09</v>
      </c>
      <c r="H260" s="14">
        <f t="shared" si="6"/>
        <v>414718.538</v>
      </c>
      <c r="I260" s="14">
        <f t="shared" si="7"/>
        <v>414718.538</v>
      </c>
      <c r="J260" s="8" t="s">
        <v>138</v>
      </c>
      <c r="K260" s="8" t="s">
        <v>509</v>
      </c>
      <c r="M260" s="339"/>
      <c r="N260" s="315"/>
    </row>
    <row r="261" spans="1:14" s="9" customFormat="1" ht="11.25" customHeight="1" x14ac:dyDescent="0.2">
      <c r="A261" s="10">
        <v>60172000</v>
      </c>
      <c r="B261" s="10" t="s">
        <v>169</v>
      </c>
      <c r="C261" s="11">
        <v>0</v>
      </c>
      <c r="D261" s="11">
        <v>928962.826</v>
      </c>
      <c r="E261" s="11">
        <v>1970.4739999999997</v>
      </c>
      <c r="F261" s="13">
        <f>SUMIF('OD 10-24'!A:A,A261,'OD 10-24'!D:D)</f>
        <v>962543.549</v>
      </c>
      <c r="G261" s="13">
        <f>SUMIF('OD 12-24'!A:A,A261,'OD 12-24'!E:E)</f>
        <v>1094910.594</v>
      </c>
      <c r="H261" s="14">
        <f t="shared" si="6"/>
        <v>794625.30700000003</v>
      </c>
      <c r="I261" s="14">
        <f t="shared" si="7"/>
        <v>794625.30700000003</v>
      </c>
      <c r="J261" s="8" t="s">
        <v>138</v>
      </c>
      <c r="K261" s="8" t="s">
        <v>509</v>
      </c>
      <c r="M261" s="339"/>
      <c r="N261" s="315"/>
    </row>
    <row r="262" spans="1:14" s="9" customFormat="1" ht="11.25" customHeight="1" x14ac:dyDescent="0.2">
      <c r="A262" s="10">
        <v>60173000</v>
      </c>
      <c r="B262" s="10" t="s">
        <v>170</v>
      </c>
      <c r="C262" s="11">
        <v>0</v>
      </c>
      <c r="D262" s="11">
        <v>90988.923999999999</v>
      </c>
      <c r="E262" s="11">
        <v>16484.29</v>
      </c>
      <c r="F262" s="13">
        <f>SUMIF('OD 10-24'!A:A,A262,'OD 10-24'!D:D)</f>
        <v>73542.532000000007</v>
      </c>
      <c r="G262" s="13">
        <f>SUMIF('OD 12-24'!A:A,A262,'OD 12-24'!E:E)</f>
        <v>78495.595000000001</v>
      </c>
      <c r="H262" s="14">
        <f t="shared" si="6"/>
        <v>69551.570999999996</v>
      </c>
      <c r="I262" s="14">
        <f t="shared" si="7"/>
        <v>69551.570999999996</v>
      </c>
      <c r="J262" s="8" t="s">
        <v>138</v>
      </c>
      <c r="K262" s="8" t="s">
        <v>509</v>
      </c>
      <c r="M262" s="339"/>
      <c r="N262" s="315"/>
    </row>
    <row r="263" spans="1:14" s="9" customFormat="1" ht="11.25" customHeight="1" x14ac:dyDescent="0.2">
      <c r="A263" s="10">
        <v>60191000</v>
      </c>
      <c r="B263" s="10" t="s">
        <v>158</v>
      </c>
      <c r="C263" s="11">
        <v>0</v>
      </c>
      <c r="D263" s="16">
        <f>1764679.62004+226.008</f>
        <v>1764905.6280399999</v>
      </c>
      <c r="E263" s="11">
        <v>40627.396000000001</v>
      </c>
      <c r="F263" s="13">
        <f>SUMIF('OD 10-24'!A:A,A263,'OD 10-24'!D:D)</f>
        <v>0</v>
      </c>
      <c r="G263" s="13">
        <f>SUMIF('OD 12-24'!A:A,A263,'OD 12-24'!E:E)</f>
        <v>14226.008</v>
      </c>
      <c r="H263" s="14">
        <f t="shared" si="6"/>
        <v>1710052.22404</v>
      </c>
      <c r="I263" s="14">
        <f t="shared" si="7"/>
        <v>1710052.22404</v>
      </c>
      <c r="J263" s="8" t="s">
        <v>138</v>
      </c>
      <c r="K263" s="8" t="s">
        <v>509</v>
      </c>
      <c r="M263" s="339"/>
      <c r="N263" s="315"/>
    </row>
    <row r="264" spans="1:14" s="9" customFormat="1" ht="11.25" customHeight="1" x14ac:dyDescent="0.2">
      <c r="A264" s="10">
        <v>60215000</v>
      </c>
      <c r="B264" s="10" t="s">
        <v>370</v>
      </c>
      <c r="C264" s="11">
        <v>0</v>
      </c>
      <c r="D264" s="11">
        <v>0</v>
      </c>
      <c r="E264" s="11">
        <v>0</v>
      </c>
      <c r="F264" s="13">
        <f>SUMIF('OD 10-24'!A:A,A264,'OD 10-24'!D:D)</f>
        <v>0</v>
      </c>
      <c r="G264" s="13">
        <f>SUMIF('OD 12-24'!A:A,A264,'OD 12-24'!E:E)</f>
        <v>0</v>
      </c>
      <c r="H264" s="14">
        <f t="shared" si="6"/>
        <v>0</v>
      </c>
      <c r="I264" s="14">
        <f t="shared" si="7"/>
        <v>0</v>
      </c>
      <c r="J264" s="8" t="s">
        <v>138</v>
      </c>
      <c r="K264" s="8" t="s">
        <v>509</v>
      </c>
      <c r="M264" s="339"/>
      <c r="N264" s="315"/>
    </row>
    <row r="265" spans="1:14" s="9" customFormat="1" ht="11.25" customHeight="1" x14ac:dyDescent="0.2">
      <c r="A265" s="10">
        <v>60216000</v>
      </c>
      <c r="B265" s="10" t="s">
        <v>371</v>
      </c>
      <c r="C265" s="11">
        <v>0</v>
      </c>
      <c r="D265" s="11">
        <v>293619.22151249996</v>
      </c>
      <c r="E265" s="11">
        <v>0</v>
      </c>
      <c r="F265" s="13">
        <f>SUMIF('OD 10-24'!A:A,A265,'OD 10-24'!D:D)</f>
        <v>0</v>
      </c>
      <c r="G265" s="13">
        <f>SUMIF('OD 12-24'!A:A,A265,'OD 12-24'!E:E)</f>
        <v>0</v>
      </c>
      <c r="H265" s="14">
        <f t="shared" ref="H265:H328" si="8">+D265+F265-E265-G265</f>
        <v>293619.22151249996</v>
      </c>
      <c r="I265" s="14">
        <f t="shared" ref="I265:I328" si="9">+H265+C265</f>
        <v>293619.22151249996</v>
      </c>
      <c r="J265" s="8" t="s">
        <v>138</v>
      </c>
      <c r="K265" s="8" t="s">
        <v>509</v>
      </c>
      <c r="M265" s="339"/>
      <c r="N265" s="315"/>
    </row>
    <row r="266" spans="1:14" s="9" customFormat="1" ht="11.25" customHeight="1" x14ac:dyDescent="0.2">
      <c r="A266" s="10">
        <v>60260200</v>
      </c>
      <c r="B266" s="10" t="s">
        <v>372</v>
      </c>
      <c r="C266" s="11">
        <v>0</v>
      </c>
      <c r="D266" s="11">
        <v>9293.6</v>
      </c>
      <c r="E266" s="11">
        <v>0</v>
      </c>
      <c r="F266" s="13">
        <f>SUMIF('OD 10-24'!A:A,A266,'OD 10-24'!D:D)</f>
        <v>4836.8</v>
      </c>
      <c r="G266" s="13">
        <f>SUMIF('OD 12-24'!A:A,A266,'OD 12-24'!E:E)</f>
        <v>4836.8</v>
      </c>
      <c r="H266" s="14">
        <f t="shared" si="8"/>
        <v>9293.6000000000022</v>
      </c>
      <c r="I266" s="14">
        <f t="shared" si="9"/>
        <v>9293.6000000000022</v>
      </c>
      <c r="J266" s="8" t="s">
        <v>138</v>
      </c>
      <c r="K266" s="8" t="s">
        <v>509</v>
      </c>
      <c r="M266" s="339"/>
      <c r="N266" s="315"/>
    </row>
    <row r="267" spans="1:14" s="9" customFormat="1" ht="11.25" customHeight="1" x14ac:dyDescent="0.2">
      <c r="A267" s="10">
        <v>60260300</v>
      </c>
      <c r="B267" s="10" t="s">
        <v>160</v>
      </c>
      <c r="C267" s="11">
        <v>0</v>
      </c>
      <c r="D267" s="11">
        <v>117448.651</v>
      </c>
      <c r="E267" s="11">
        <v>1624.701</v>
      </c>
      <c r="F267" s="13">
        <f>SUMIF('OD 10-24'!A:A,A267,'OD 10-24'!D:D)</f>
        <v>0</v>
      </c>
      <c r="G267" s="13">
        <f>SUMIF('OD 12-24'!A:A,A267,'OD 12-24'!E:E)</f>
        <v>0</v>
      </c>
      <c r="H267" s="14">
        <f t="shared" si="8"/>
        <v>115823.95</v>
      </c>
      <c r="I267" s="14">
        <f t="shared" si="9"/>
        <v>115823.95</v>
      </c>
      <c r="J267" s="8" t="s">
        <v>138</v>
      </c>
      <c r="K267" s="8" t="s">
        <v>509</v>
      </c>
      <c r="M267" s="339"/>
      <c r="N267" s="315"/>
    </row>
    <row r="268" spans="1:14" s="9" customFormat="1" ht="11.25" customHeight="1" x14ac:dyDescent="0.2">
      <c r="A268" s="10">
        <v>60260400</v>
      </c>
      <c r="B268" s="10" t="s">
        <v>161</v>
      </c>
      <c r="C268" s="11">
        <v>0</v>
      </c>
      <c r="D268" s="11">
        <v>72666.095000000001</v>
      </c>
      <c r="E268" s="11">
        <v>0</v>
      </c>
      <c r="F268" s="13">
        <f>SUMIF('OD 10-24'!A:A,A268,'OD 10-24'!D:D)</f>
        <v>27627.8</v>
      </c>
      <c r="G268" s="13">
        <f>SUMIF('OD 12-24'!A:A,A268,'OD 12-24'!E:E)</f>
        <v>32621.4</v>
      </c>
      <c r="H268" s="14">
        <f t="shared" si="8"/>
        <v>67672.494999999995</v>
      </c>
      <c r="I268" s="14">
        <f t="shared" si="9"/>
        <v>67672.494999999995</v>
      </c>
      <c r="J268" s="8" t="s">
        <v>138</v>
      </c>
      <c r="K268" s="8" t="s">
        <v>509</v>
      </c>
      <c r="M268" s="339"/>
      <c r="N268" s="315"/>
    </row>
    <row r="269" spans="1:14" s="9" customFormat="1" ht="11.25" customHeight="1" x14ac:dyDescent="0.2">
      <c r="A269" s="10">
        <v>60260500</v>
      </c>
      <c r="B269" s="10" t="s">
        <v>162</v>
      </c>
      <c r="C269" s="11">
        <v>0</v>
      </c>
      <c r="D269" s="11">
        <v>62388.648999999998</v>
      </c>
      <c r="E269" s="11">
        <v>0</v>
      </c>
      <c r="F269" s="13">
        <f>SUMIF('OD 10-24'!A:A,A269,'OD 10-24'!D:D)</f>
        <v>0</v>
      </c>
      <c r="G269" s="13">
        <f>SUMIF('OD 12-24'!A:A,A269,'OD 12-24'!E:E)</f>
        <v>0</v>
      </c>
      <c r="H269" s="14">
        <f t="shared" si="8"/>
        <v>62388.648999999998</v>
      </c>
      <c r="I269" s="14">
        <f t="shared" si="9"/>
        <v>62388.648999999998</v>
      </c>
      <c r="J269" s="8" t="s">
        <v>138</v>
      </c>
      <c r="K269" s="8" t="s">
        <v>509</v>
      </c>
      <c r="M269" s="339"/>
      <c r="N269" s="315"/>
    </row>
    <row r="270" spans="1:14" s="9" customFormat="1" ht="11.25" customHeight="1" x14ac:dyDescent="0.2">
      <c r="A270" s="10">
        <v>60260600</v>
      </c>
      <c r="B270" s="10" t="s">
        <v>7401</v>
      </c>
      <c r="C270" s="11">
        <v>0</v>
      </c>
      <c r="D270" s="11">
        <v>2004.85</v>
      </c>
      <c r="E270" s="11">
        <v>0</v>
      </c>
      <c r="F270" s="13">
        <f>SUMIF('OD 10-24'!A:A,A270,'OD 10-24'!D:D)</f>
        <v>393.9</v>
      </c>
      <c r="G270" s="13">
        <f>SUMIF('OD 12-24'!A:A,A270,'OD 12-24'!E:E)</f>
        <v>393.9</v>
      </c>
      <c r="H270" s="14">
        <f t="shared" si="8"/>
        <v>2004.85</v>
      </c>
      <c r="I270" s="14">
        <f t="shared" si="9"/>
        <v>2004.85</v>
      </c>
      <c r="J270" s="8" t="s">
        <v>138</v>
      </c>
      <c r="K270" s="8" t="s">
        <v>509</v>
      </c>
      <c r="M270" s="339"/>
      <c r="N270" s="315"/>
    </row>
    <row r="271" spans="1:14" s="9" customFormat="1" ht="11.25" customHeight="1" x14ac:dyDescent="0.2">
      <c r="A271" s="10">
        <v>60260700</v>
      </c>
      <c r="B271" s="10" t="s">
        <v>163</v>
      </c>
      <c r="C271" s="11">
        <v>0</v>
      </c>
      <c r="D271" s="11">
        <v>65680.3</v>
      </c>
      <c r="E271" s="11">
        <v>3368.35</v>
      </c>
      <c r="F271" s="13">
        <f>SUMIF('OD 10-24'!A:A,A271,'OD 10-24'!D:D)</f>
        <v>5845.7</v>
      </c>
      <c r="G271" s="13">
        <f>SUMIF('OD 12-24'!A:A,A271,'OD 12-24'!E:E)</f>
        <v>5845.7</v>
      </c>
      <c r="H271" s="14">
        <f t="shared" si="8"/>
        <v>62311.95</v>
      </c>
      <c r="I271" s="14">
        <f t="shared" si="9"/>
        <v>62311.95</v>
      </c>
      <c r="J271" s="8" t="s">
        <v>138</v>
      </c>
      <c r="K271" s="8" t="s">
        <v>509</v>
      </c>
      <c r="M271" s="339"/>
      <c r="N271" s="315"/>
    </row>
    <row r="272" spans="1:14" s="9" customFormat="1" ht="11.25" customHeight="1" x14ac:dyDescent="0.2">
      <c r="A272" s="10">
        <v>60262000</v>
      </c>
      <c r="B272" s="10" t="s">
        <v>164</v>
      </c>
      <c r="C272" s="11">
        <v>0</v>
      </c>
      <c r="D272" s="11">
        <v>191340.13355249999</v>
      </c>
      <c r="E272" s="11">
        <v>0</v>
      </c>
      <c r="F272" s="13">
        <f>SUMIF('OD 10-24'!A:A,A272,'OD 10-24'!D:D)</f>
        <v>31175.929</v>
      </c>
      <c r="G272" s="13">
        <f>SUMIF('OD 12-24'!A:A,A272,'OD 12-24'!E:E)</f>
        <v>36925.928999999996</v>
      </c>
      <c r="H272" s="14">
        <f t="shared" si="8"/>
        <v>185590.13355249999</v>
      </c>
      <c r="I272" s="14">
        <f t="shared" si="9"/>
        <v>185590.13355249999</v>
      </c>
      <c r="J272" s="8" t="s">
        <v>138</v>
      </c>
      <c r="K272" s="8" t="s">
        <v>509</v>
      </c>
      <c r="M272" s="339"/>
      <c r="N272" s="315"/>
    </row>
    <row r="273" spans="1:14" s="9" customFormat="1" ht="11.25" customHeight="1" x14ac:dyDescent="0.2">
      <c r="A273" s="10">
        <v>60263000</v>
      </c>
      <c r="B273" s="10" t="s">
        <v>165</v>
      </c>
      <c r="C273" s="11">
        <v>0</v>
      </c>
      <c r="D273" s="11">
        <v>111334.807822</v>
      </c>
      <c r="E273" s="11">
        <v>43242.447999999997</v>
      </c>
      <c r="F273" s="13">
        <f>SUMIF('OD 10-24'!A:A,A273,'OD 10-24'!D:D)</f>
        <v>16099.643</v>
      </c>
      <c r="G273" s="13">
        <f>SUMIF('OD 12-24'!A:A,A273,'OD 12-24'!E:E)</f>
        <v>16099.643</v>
      </c>
      <c r="H273" s="14">
        <f t="shared" si="8"/>
        <v>68092.359822000013</v>
      </c>
      <c r="I273" s="14">
        <f t="shared" si="9"/>
        <v>68092.359822000013</v>
      </c>
      <c r="J273" s="8" t="s">
        <v>138</v>
      </c>
      <c r="K273" s="8" t="s">
        <v>509</v>
      </c>
      <c r="M273" s="339"/>
      <c r="N273" s="315"/>
    </row>
    <row r="274" spans="1:14" s="9" customFormat="1" ht="11.25" customHeight="1" x14ac:dyDescent="0.2">
      <c r="A274" s="10">
        <v>60310000</v>
      </c>
      <c r="B274" s="10" t="s">
        <v>265</v>
      </c>
      <c r="C274" s="11">
        <v>0</v>
      </c>
      <c r="D274" s="11">
        <v>10656855.097999999</v>
      </c>
      <c r="E274" s="11">
        <v>1136780.078</v>
      </c>
      <c r="F274" s="13">
        <f>SUMIF('OD 10-24'!A:A,A274,'OD 10-24'!D:D)</f>
        <v>122802087.7432</v>
      </c>
      <c r="G274" s="13">
        <f>SUMIF('OD 12-24'!A:A,A274,'OD 12-24'!E:E)</f>
        <v>160858354.0772</v>
      </c>
      <c r="H274" s="14">
        <f t="shared" si="8"/>
        <v>-28536191.313999981</v>
      </c>
      <c r="I274" s="14">
        <f t="shared" si="9"/>
        <v>-28536191.313999981</v>
      </c>
      <c r="J274" s="8" t="s">
        <v>138</v>
      </c>
      <c r="K274" s="8" t="s">
        <v>509</v>
      </c>
      <c r="M274" s="339"/>
      <c r="N274" s="315"/>
    </row>
    <row r="275" spans="1:14" s="9" customFormat="1" ht="11.25" customHeight="1" x14ac:dyDescent="0.2">
      <c r="A275" s="10">
        <v>60330000</v>
      </c>
      <c r="B275" s="10" t="s">
        <v>266</v>
      </c>
      <c r="C275" s="11">
        <v>0</v>
      </c>
      <c r="D275" s="11">
        <v>662156.429</v>
      </c>
      <c r="E275" s="11">
        <v>0</v>
      </c>
      <c r="F275" s="13">
        <f>SUMIF('OD 10-24'!A:A,A275,'OD 10-24'!D:D)</f>
        <v>7982497.2364999996</v>
      </c>
      <c r="G275" s="13">
        <f>SUMIF('OD 12-24'!A:A,A275,'OD 12-24'!E:E)</f>
        <v>9969956.1744999997</v>
      </c>
      <c r="H275" s="14">
        <f t="shared" si="8"/>
        <v>-1325302.5089999996</v>
      </c>
      <c r="I275" s="14">
        <f t="shared" si="9"/>
        <v>-1325302.5089999996</v>
      </c>
      <c r="J275" s="8" t="s">
        <v>157</v>
      </c>
      <c r="K275" s="8" t="s">
        <v>512</v>
      </c>
      <c r="M275" s="339"/>
      <c r="N275" s="315"/>
    </row>
    <row r="276" spans="1:14" s="9" customFormat="1" ht="11.25" customHeight="1" x14ac:dyDescent="0.2">
      <c r="A276" s="10">
        <v>60401000</v>
      </c>
      <c r="B276" s="10" t="s">
        <v>166</v>
      </c>
      <c r="C276" s="11">
        <v>0</v>
      </c>
      <c r="D276" s="11">
        <v>0</v>
      </c>
      <c r="E276" s="11">
        <v>0</v>
      </c>
      <c r="F276" s="13">
        <f>SUMIF('OD 10-24'!A:A,A276,'OD 10-24'!D:D)</f>
        <v>772986.00100000005</v>
      </c>
      <c r="G276" s="13">
        <f>SUMIF('OD 12-24'!A:A,A276,'OD 12-24'!E:E)</f>
        <v>921959.00100000005</v>
      </c>
      <c r="H276" s="14">
        <f t="shared" si="8"/>
        <v>-148973</v>
      </c>
      <c r="I276" s="14">
        <f t="shared" si="9"/>
        <v>-148973</v>
      </c>
      <c r="J276" s="8" t="s">
        <v>157</v>
      </c>
      <c r="K276" s="8" t="s">
        <v>512</v>
      </c>
      <c r="M276" s="339"/>
      <c r="N276" s="315"/>
    </row>
    <row r="277" spans="1:14" s="9" customFormat="1" ht="11.25" customHeight="1" x14ac:dyDescent="0.2">
      <c r="A277" s="10">
        <v>60502000</v>
      </c>
      <c r="B277" s="10" t="s">
        <v>167</v>
      </c>
      <c r="C277" s="11">
        <v>0</v>
      </c>
      <c r="D277" s="11">
        <v>709875.29958399979</v>
      </c>
      <c r="E277" s="11">
        <v>40764.670050000001</v>
      </c>
      <c r="F277" s="13">
        <f>SUMIF('OD 10-24'!A:A,A277,'OD 10-24'!D:D)</f>
        <v>85358.053</v>
      </c>
      <c r="G277" s="13">
        <f>SUMIF('OD 12-24'!A:A,A277,'OD 12-24'!E:E)</f>
        <v>97905.712</v>
      </c>
      <c r="H277" s="14">
        <f t="shared" si="8"/>
        <v>656562.97053399985</v>
      </c>
      <c r="I277" s="14">
        <f t="shared" si="9"/>
        <v>656562.97053399985</v>
      </c>
      <c r="J277" s="8" t="s">
        <v>157</v>
      </c>
      <c r="K277" s="8" t="s">
        <v>512</v>
      </c>
      <c r="M277" s="339"/>
      <c r="N277" s="315"/>
    </row>
    <row r="278" spans="1:14" s="9" customFormat="1" ht="11.25" customHeight="1" x14ac:dyDescent="0.2">
      <c r="A278" s="10">
        <v>60504000</v>
      </c>
      <c r="B278" s="10" t="s">
        <v>168</v>
      </c>
      <c r="C278" s="11">
        <v>0</v>
      </c>
      <c r="D278" s="11">
        <v>12632.02</v>
      </c>
      <c r="E278" s="11">
        <v>0</v>
      </c>
      <c r="F278" s="13">
        <f>SUMIF('OD 10-24'!A:A,A278,'OD 10-24'!D:D)</f>
        <v>0</v>
      </c>
      <c r="G278" s="13">
        <f>SUMIF('OD 12-24'!A:A,A278,'OD 12-24'!E:E)</f>
        <v>0</v>
      </c>
      <c r="H278" s="14">
        <f t="shared" si="8"/>
        <v>12632.02</v>
      </c>
      <c r="I278" s="14">
        <f t="shared" si="9"/>
        <v>12632.02</v>
      </c>
      <c r="J278" s="8" t="s">
        <v>157</v>
      </c>
      <c r="K278" s="8" t="s">
        <v>512</v>
      </c>
      <c r="M278" s="339"/>
      <c r="N278" s="315"/>
    </row>
    <row r="279" spans="1:14" s="9" customFormat="1" ht="11.25" customHeight="1" x14ac:dyDescent="0.2">
      <c r="A279" s="10">
        <v>60614000</v>
      </c>
      <c r="B279" s="10" t="s">
        <v>171</v>
      </c>
      <c r="C279" s="11">
        <v>0</v>
      </c>
      <c r="D279" s="11">
        <v>216493.70199999999</v>
      </c>
      <c r="E279" s="11">
        <v>4625</v>
      </c>
      <c r="F279" s="13">
        <f>SUMIF('OD 10-24'!A:A,A279,'OD 10-24'!D:D)</f>
        <v>7104.1120000000001</v>
      </c>
      <c r="G279" s="13">
        <f>SUMIF('OD 12-24'!A:A,A279,'OD 12-24'!E:E)</f>
        <v>7104.1120000000001</v>
      </c>
      <c r="H279" s="14">
        <f t="shared" si="8"/>
        <v>211868.70199999999</v>
      </c>
      <c r="I279" s="14">
        <f t="shared" si="9"/>
        <v>211868.70199999999</v>
      </c>
      <c r="J279" s="8" t="s">
        <v>157</v>
      </c>
      <c r="K279" s="8" t="s">
        <v>512</v>
      </c>
      <c r="M279" s="339"/>
      <c r="N279" s="315"/>
    </row>
    <row r="280" spans="1:14" s="9" customFormat="1" ht="11.25" customHeight="1" x14ac:dyDescent="0.2">
      <c r="A280" s="10">
        <v>60620000</v>
      </c>
      <c r="B280" s="10" t="s">
        <v>172</v>
      </c>
      <c r="C280" s="11">
        <v>0</v>
      </c>
      <c r="D280" s="11">
        <v>37979.561999999998</v>
      </c>
      <c r="E280" s="11">
        <v>117.64400000000001</v>
      </c>
      <c r="F280" s="13">
        <f>SUMIF('OD 10-24'!A:A,A280,'OD 10-24'!D:D)</f>
        <v>5435.0150000000003</v>
      </c>
      <c r="G280" s="13">
        <f>SUMIF('OD 12-24'!A:A,A280,'OD 12-24'!E:E)</f>
        <v>10648.688</v>
      </c>
      <c r="H280" s="14">
        <f t="shared" si="8"/>
        <v>32648.244999999995</v>
      </c>
      <c r="I280" s="14">
        <f t="shared" si="9"/>
        <v>32648.244999999995</v>
      </c>
      <c r="J280" s="8" t="s">
        <v>157</v>
      </c>
      <c r="K280" s="8" t="s">
        <v>512</v>
      </c>
      <c r="M280" s="339"/>
      <c r="N280" s="315"/>
    </row>
    <row r="281" spans="1:14" s="9" customFormat="1" ht="11.25" customHeight="1" x14ac:dyDescent="0.2">
      <c r="A281" s="10">
        <v>60650000</v>
      </c>
      <c r="B281" s="10" t="s">
        <v>373</v>
      </c>
      <c r="C281" s="11">
        <v>0</v>
      </c>
      <c r="D281" s="11">
        <v>21600</v>
      </c>
      <c r="E281" s="11">
        <v>0</v>
      </c>
      <c r="F281" s="13">
        <f>SUMIF('OD 10-24'!A:A,A281,'OD 10-24'!D:D)</f>
        <v>4050</v>
      </c>
      <c r="G281" s="13">
        <f>SUMIF('OD 12-24'!A:A,A281,'OD 12-24'!E:E)</f>
        <v>4050</v>
      </c>
      <c r="H281" s="14">
        <f t="shared" si="8"/>
        <v>21600</v>
      </c>
      <c r="I281" s="14">
        <f t="shared" si="9"/>
        <v>21600</v>
      </c>
      <c r="J281" s="8" t="s">
        <v>138</v>
      </c>
      <c r="K281" s="8" t="s">
        <v>509</v>
      </c>
      <c r="M281" s="339"/>
      <c r="N281" s="315"/>
    </row>
    <row r="282" spans="1:14" s="9" customFormat="1" ht="11.25" customHeight="1" x14ac:dyDescent="0.2">
      <c r="A282" s="10">
        <v>60660000</v>
      </c>
      <c r="B282" s="10" t="s">
        <v>173</v>
      </c>
      <c r="C282" s="11">
        <v>0</v>
      </c>
      <c r="D282" s="11">
        <v>19619.875</v>
      </c>
      <c r="E282" s="11">
        <v>0</v>
      </c>
      <c r="F282" s="13">
        <f>SUMIF('OD 10-24'!A:A,A282,'OD 10-24'!D:D)</f>
        <v>736.5</v>
      </c>
      <c r="G282" s="13">
        <f>SUMIF('OD 12-24'!A:A,A282,'OD 12-24'!E:E)</f>
        <v>982</v>
      </c>
      <c r="H282" s="14">
        <f t="shared" si="8"/>
        <v>19374.375</v>
      </c>
      <c r="I282" s="14">
        <f t="shared" si="9"/>
        <v>19374.375</v>
      </c>
      <c r="J282" s="8" t="s">
        <v>157</v>
      </c>
      <c r="K282" s="8" t="s">
        <v>512</v>
      </c>
      <c r="M282" s="339"/>
      <c r="N282" s="315"/>
    </row>
    <row r="283" spans="1:14" s="9" customFormat="1" ht="11.25" customHeight="1" x14ac:dyDescent="0.2">
      <c r="A283" s="10">
        <v>60670000</v>
      </c>
      <c r="B283" s="10" t="s">
        <v>174</v>
      </c>
      <c r="C283" s="11">
        <v>0</v>
      </c>
      <c r="D283" s="11">
        <v>16172.91</v>
      </c>
      <c r="E283" s="11">
        <v>0</v>
      </c>
      <c r="F283" s="13">
        <f>SUMIF('OD 10-24'!A:A,A283,'OD 10-24'!D:D)</f>
        <v>4661.5349999999999</v>
      </c>
      <c r="G283" s="13">
        <f>SUMIF('OD 12-24'!A:A,A283,'OD 12-24'!E:E)</f>
        <v>4891.5349999999999</v>
      </c>
      <c r="H283" s="14">
        <f t="shared" si="8"/>
        <v>15942.91</v>
      </c>
      <c r="I283" s="14">
        <f t="shared" si="9"/>
        <v>15942.91</v>
      </c>
      <c r="J283" s="8" t="s">
        <v>157</v>
      </c>
      <c r="K283" s="8" t="s">
        <v>512</v>
      </c>
      <c r="M283" s="339"/>
      <c r="N283" s="315"/>
    </row>
    <row r="284" spans="1:14" s="9" customFormat="1" ht="11.25" customHeight="1" x14ac:dyDescent="0.2">
      <c r="A284" s="10">
        <v>60671000</v>
      </c>
      <c r="B284" s="10" t="s">
        <v>374</v>
      </c>
      <c r="C284" s="11">
        <v>0</v>
      </c>
      <c r="D284" s="11">
        <v>136344.329</v>
      </c>
      <c r="E284" s="11">
        <v>1354.9839999999999</v>
      </c>
      <c r="F284" s="13">
        <f>SUMIF('OD 10-24'!A:A,A284,'OD 10-24'!D:D)</f>
        <v>13634.6</v>
      </c>
      <c r="G284" s="13">
        <f>SUMIF('OD 12-24'!A:A,A284,'OD 12-24'!E:E)</f>
        <v>13634.6</v>
      </c>
      <c r="H284" s="14">
        <f t="shared" si="8"/>
        <v>134989.345</v>
      </c>
      <c r="I284" s="14">
        <f t="shared" si="9"/>
        <v>134989.345</v>
      </c>
      <c r="J284" s="8" t="s">
        <v>157</v>
      </c>
      <c r="K284" s="8" t="s">
        <v>512</v>
      </c>
      <c r="M284" s="339"/>
      <c r="N284" s="315"/>
    </row>
    <row r="285" spans="1:14" s="9" customFormat="1" ht="11.25" customHeight="1" x14ac:dyDescent="0.2">
      <c r="A285" s="10">
        <v>61400000</v>
      </c>
      <c r="B285" s="10" t="s">
        <v>175</v>
      </c>
      <c r="C285" s="11">
        <v>0</v>
      </c>
      <c r="D285" s="11">
        <v>55024.996999999996</v>
      </c>
      <c r="E285" s="11">
        <v>700</v>
      </c>
      <c r="F285" s="13">
        <f>SUMIF('OD 10-24'!A:A,A285,'OD 10-24'!D:D)</f>
        <v>0</v>
      </c>
      <c r="G285" s="13">
        <f>SUMIF('OD 12-24'!A:A,A285,'OD 12-24'!E:E)</f>
        <v>0</v>
      </c>
      <c r="H285" s="14">
        <f t="shared" si="8"/>
        <v>54324.996999999996</v>
      </c>
      <c r="I285" s="14">
        <f t="shared" si="9"/>
        <v>54324.996999999996</v>
      </c>
      <c r="J285" s="8" t="s">
        <v>157</v>
      </c>
      <c r="K285" s="8" t="s">
        <v>512</v>
      </c>
      <c r="M285" s="339"/>
      <c r="N285" s="315"/>
    </row>
    <row r="286" spans="1:14" s="9" customFormat="1" ht="11.25" customHeight="1" x14ac:dyDescent="0.2">
      <c r="A286" s="10">
        <v>61500000</v>
      </c>
      <c r="B286" s="10" t="s">
        <v>176</v>
      </c>
      <c r="C286" s="11">
        <v>0</v>
      </c>
      <c r="D286" s="11">
        <v>560605.03799999994</v>
      </c>
      <c r="E286" s="11">
        <v>113534.21699999999</v>
      </c>
      <c r="F286" s="13">
        <f>SUMIF('OD 10-24'!A:A,A286,'OD 10-24'!D:D)</f>
        <v>97428.251000000004</v>
      </c>
      <c r="G286" s="13">
        <f>SUMIF('OD 12-24'!A:A,A286,'OD 12-24'!E:E)</f>
        <v>101145.573</v>
      </c>
      <c r="H286" s="14">
        <f t="shared" si="8"/>
        <v>443353.49900000007</v>
      </c>
      <c r="I286" s="14">
        <f t="shared" si="9"/>
        <v>443353.49900000007</v>
      </c>
      <c r="J286" s="8" t="s">
        <v>157</v>
      </c>
      <c r="K286" s="8" t="s">
        <v>512</v>
      </c>
      <c r="M286" s="339"/>
      <c r="N286" s="315"/>
    </row>
    <row r="287" spans="1:14" s="9" customFormat="1" ht="11.25" customHeight="1" x14ac:dyDescent="0.2">
      <c r="A287" s="10">
        <v>61501000</v>
      </c>
      <c r="B287" s="10" t="s">
        <v>177</v>
      </c>
      <c r="C287" s="11">
        <v>0</v>
      </c>
      <c r="D287" s="11">
        <v>190376.65399999998</v>
      </c>
      <c r="E287" s="11">
        <v>4123.9859999999999</v>
      </c>
      <c r="F287" s="13">
        <f>SUMIF('OD 10-24'!A:A,A287,'OD 10-24'!D:D)</f>
        <v>36321.017</v>
      </c>
      <c r="G287" s="13">
        <f>SUMIF('OD 12-24'!A:A,A287,'OD 12-24'!E:E)</f>
        <v>41359.741999999998</v>
      </c>
      <c r="H287" s="14">
        <f t="shared" si="8"/>
        <v>181213.94299999997</v>
      </c>
      <c r="I287" s="14">
        <f t="shared" si="9"/>
        <v>181213.94299999997</v>
      </c>
      <c r="J287" s="8" t="s">
        <v>157</v>
      </c>
      <c r="K287" s="8" t="s">
        <v>512</v>
      </c>
      <c r="M287" s="339"/>
      <c r="N287" s="315"/>
    </row>
    <row r="288" spans="1:14" s="9" customFormat="1" ht="11.25" customHeight="1" x14ac:dyDescent="0.2">
      <c r="A288" s="10">
        <v>61600000</v>
      </c>
      <c r="B288" s="10" t="s">
        <v>397</v>
      </c>
      <c r="C288" s="11">
        <v>0</v>
      </c>
      <c r="D288" s="11">
        <v>48541.588000000003</v>
      </c>
      <c r="E288" s="11">
        <v>0</v>
      </c>
      <c r="F288" s="13">
        <f>SUMIF('OD 10-24'!A:A,A288,'OD 10-24'!D:D)</f>
        <v>70209.466</v>
      </c>
      <c r="G288" s="13">
        <f>SUMIF('OD 12-24'!A:A,A288,'OD 12-24'!E:E)</f>
        <v>73892.266000000003</v>
      </c>
      <c r="H288" s="14">
        <f t="shared" si="8"/>
        <v>44858.788</v>
      </c>
      <c r="I288" s="14">
        <f t="shared" si="9"/>
        <v>44858.788</v>
      </c>
      <c r="J288" s="8" t="s">
        <v>157</v>
      </c>
      <c r="K288" s="8" t="s">
        <v>512</v>
      </c>
      <c r="M288" s="339"/>
      <c r="N288" s="315"/>
    </row>
    <row r="289" spans="1:14" s="9" customFormat="1" ht="11.25" customHeight="1" x14ac:dyDescent="0.2">
      <c r="A289" s="10">
        <v>61603000</v>
      </c>
      <c r="B289" s="10" t="s">
        <v>178</v>
      </c>
      <c r="C289" s="11">
        <v>0</v>
      </c>
      <c r="D289" s="11">
        <v>29988.795000000002</v>
      </c>
      <c r="E289" s="11">
        <v>28310.018</v>
      </c>
      <c r="F289" s="13">
        <f>SUMIF('OD 10-24'!A:A,A289,'OD 10-24'!D:D)</f>
        <v>175586.48800000001</v>
      </c>
      <c r="G289" s="13">
        <f>SUMIF('OD 12-24'!A:A,A289,'OD 12-24'!E:E)</f>
        <v>211826.20800000001</v>
      </c>
      <c r="H289" s="14">
        <f t="shared" si="8"/>
        <v>-34560.942999999999</v>
      </c>
      <c r="I289" s="14">
        <f t="shared" si="9"/>
        <v>-34560.942999999999</v>
      </c>
      <c r="J289" s="8" t="s">
        <v>157</v>
      </c>
      <c r="K289" s="8" t="s">
        <v>512</v>
      </c>
      <c r="M289" s="339"/>
      <c r="N289" s="315"/>
    </row>
    <row r="290" spans="1:14" s="9" customFormat="1" ht="11.25" customHeight="1" x14ac:dyDescent="0.2">
      <c r="A290" s="10">
        <v>61607000</v>
      </c>
      <c r="B290" s="10" t="s">
        <v>179</v>
      </c>
      <c r="C290" s="11">
        <v>0</v>
      </c>
      <c r="D290" s="11">
        <v>0</v>
      </c>
      <c r="E290" s="11">
        <v>0</v>
      </c>
      <c r="F290" s="13">
        <f>SUMIF('OD 10-24'!A:A,A290,'OD 10-24'!D:D)</f>
        <v>0</v>
      </c>
      <c r="G290" s="13">
        <f>SUMIF('OD 12-24'!A:A,A290,'OD 12-24'!E:E)</f>
        <v>0</v>
      </c>
      <c r="H290" s="14">
        <f t="shared" si="8"/>
        <v>0</v>
      </c>
      <c r="I290" s="14">
        <f t="shared" si="9"/>
        <v>0</v>
      </c>
      <c r="J290" s="8" t="s">
        <v>157</v>
      </c>
      <c r="K290" s="8" t="s">
        <v>512</v>
      </c>
      <c r="M290" s="339"/>
      <c r="N290" s="315"/>
    </row>
    <row r="291" spans="1:14" s="9" customFormat="1" ht="11.25" customHeight="1" x14ac:dyDescent="0.2">
      <c r="A291" s="10">
        <v>62120000</v>
      </c>
      <c r="B291" s="10" t="s">
        <v>180</v>
      </c>
      <c r="C291" s="11">
        <v>0</v>
      </c>
      <c r="D291" s="11">
        <v>37904.777000000002</v>
      </c>
      <c r="E291" s="11">
        <v>0</v>
      </c>
      <c r="F291" s="13">
        <f>SUMIF('OD 10-24'!A:A,A291,'OD 10-24'!D:D)</f>
        <v>0</v>
      </c>
      <c r="G291" s="13">
        <f>SUMIF('OD 12-24'!A:A,A291,'OD 12-24'!E:E)</f>
        <v>0</v>
      </c>
      <c r="H291" s="14">
        <f t="shared" si="8"/>
        <v>37904.777000000002</v>
      </c>
      <c r="I291" s="14">
        <f t="shared" si="9"/>
        <v>37904.777000000002</v>
      </c>
      <c r="J291" s="8" t="s">
        <v>157</v>
      </c>
      <c r="K291" s="8" t="s">
        <v>512</v>
      </c>
      <c r="M291" s="339"/>
      <c r="N291" s="315"/>
    </row>
    <row r="292" spans="1:14" s="9" customFormat="1" ht="11.25" customHeight="1" x14ac:dyDescent="0.2">
      <c r="A292" s="10">
        <v>62200000</v>
      </c>
      <c r="B292" s="10" t="s">
        <v>181</v>
      </c>
      <c r="C292" s="11">
        <v>0</v>
      </c>
      <c r="D292" s="11">
        <v>28829.159999999996</v>
      </c>
      <c r="E292" s="11">
        <v>0</v>
      </c>
      <c r="F292" s="13">
        <f>SUMIF('OD 10-24'!A:A,A292,'OD 10-24'!D:D)</f>
        <v>0</v>
      </c>
      <c r="G292" s="13">
        <f>SUMIF('OD 12-24'!A:A,A292,'OD 12-24'!E:E)</f>
        <v>99521.320999999996</v>
      </c>
      <c r="H292" s="14">
        <f t="shared" si="8"/>
        <v>-70692.160999999993</v>
      </c>
      <c r="I292" s="14">
        <f t="shared" si="9"/>
        <v>-70692.160999999993</v>
      </c>
      <c r="J292" s="8" t="s">
        <v>157</v>
      </c>
      <c r="K292" s="8" t="s">
        <v>512</v>
      </c>
      <c r="M292" s="339"/>
      <c r="N292" s="315"/>
    </row>
    <row r="293" spans="1:14" s="9" customFormat="1" ht="11.25" customHeight="1" x14ac:dyDescent="0.2">
      <c r="A293" s="10">
        <v>62210000</v>
      </c>
      <c r="B293" s="10" t="s">
        <v>398</v>
      </c>
      <c r="C293" s="11">
        <v>0</v>
      </c>
      <c r="D293" s="11">
        <v>69114</v>
      </c>
      <c r="E293" s="11">
        <v>25705</v>
      </c>
      <c r="F293" s="13">
        <f>SUMIF('OD 10-24'!A:A,A293,'OD 10-24'!D:D)</f>
        <v>20800</v>
      </c>
      <c r="G293" s="13">
        <f>SUMIF('OD 12-24'!A:A,A293,'OD 12-24'!E:E)</f>
        <v>33800</v>
      </c>
      <c r="H293" s="14">
        <f t="shared" si="8"/>
        <v>30409</v>
      </c>
      <c r="I293" s="14">
        <f t="shared" si="9"/>
        <v>30409</v>
      </c>
      <c r="J293" s="8" t="s">
        <v>157</v>
      </c>
      <c r="K293" s="8" t="s">
        <v>512</v>
      </c>
      <c r="M293" s="339"/>
      <c r="N293" s="315"/>
    </row>
    <row r="294" spans="1:14" s="9" customFormat="1" ht="11.25" customHeight="1" x14ac:dyDescent="0.2">
      <c r="A294" s="10">
        <v>62230000</v>
      </c>
      <c r="B294" s="10" t="s">
        <v>375</v>
      </c>
      <c r="C294" s="11">
        <v>0</v>
      </c>
      <c r="D294" s="11">
        <v>46978.924000000006</v>
      </c>
      <c r="E294" s="11">
        <v>0</v>
      </c>
      <c r="F294" s="13">
        <f>SUMIF('OD 10-24'!A:A,A294,'OD 10-24'!D:D)</f>
        <v>60413.398000000001</v>
      </c>
      <c r="G294" s="13">
        <f>SUMIF('OD 12-24'!A:A,A294,'OD 12-24'!E:E)</f>
        <v>60513.398000000001</v>
      </c>
      <c r="H294" s="14">
        <f t="shared" si="8"/>
        <v>46878.924000000014</v>
      </c>
      <c r="I294" s="14">
        <f t="shared" si="9"/>
        <v>46878.924000000014</v>
      </c>
      <c r="J294" s="8" t="s">
        <v>157</v>
      </c>
      <c r="K294" s="8" t="s">
        <v>512</v>
      </c>
      <c r="M294" s="339"/>
      <c r="N294" s="315"/>
    </row>
    <row r="295" spans="1:14" s="9" customFormat="1" ht="11.25" customHeight="1" x14ac:dyDescent="0.2">
      <c r="A295" s="10">
        <v>62240000</v>
      </c>
      <c r="B295" s="10" t="s">
        <v>267</v>
      </c>
      <c r="C295" s="11">
        <v>0</v>
      </c>
      <c r="D295" s="11">
        <v>50952.55</v>
      </c>
      <c r="E295" s="11">
        <v>523.68799999999999</v>
      </c>
      <c r="F295" s="13">
        <f>SUMIF('OD 10-24'!A:A,A295,'OD 10-24'!D:D)</f>
        <v>245478.45</v>
      </c>
      <c r="G295" s="13">
        <f>SUMIF('OD 12-24'!A:A,A295,'OD 12-24'!E:E)</f>
        <v>259372.9</v>
      </c>
      <c r="H295" s="14">
        <f t="shared" si="8"/>
        <v>36534.411999999982</v>
      </c>
      <c r="I295" s="14">
        <f t="shared" si="9"/>
        <v>36534.411999999982</v>
      </c>
      <c r="J295" s="8" t="s">
        <v>157</v>
      </c>
      <c r="K295" s="8" t="s">
        <v>512</v>
      </c>
      <c r="M295" s="339"/>
      <c r="N295" s="315"/>
    </row>
    <row r="296" spans="1:14" s="9" customFormat="1" ht="11.25" customHeight="1" x14ac:dyDescent="0.2">
      <c r="A296" s="10">
        <v>62250000</v>
      </c>
      <c r="B296" s="10" t="s">
        <v>268</v>
      </c>
      <c r="C296" s="11">
        <v>0</v>
      </c>
      <c r="D296" s="11">
        <v>43320</v>
      </c>
      <c r="E296" s="11">
        <v>30000</v>
      </c>
      <c r="F296" s="13">
        <f>SUMIF('OD 10-24'!A:A,A296,'OD 10-24'!D:D)</f>
        <v>212500</v>
      </c>
      <c r="G296" s="13">
        <f>SUMIF('OD 12-24'!A:A,A296,'OD 12-24'!E:E)</f>
        <v>255000</v>
      </c>
      <c r="H296" s="14">
        <f t="shared" si="8"/>
        <v>-29180</v>
      </c>
      <c r="I296" s="14">
        <f t="shared" si="9"/>
        <v>-29180</v>
      </c>
      <c r="J296" s="8" t="s">
        <v>157</v>
      </c>
      <c r="K296" s="8" t="s">
        <v>512</v>
      </c>
      <c r="M296" s="339"/>
      <c r="N296" s="315"/>
    </row>
    <row r="297" spans="1:14" s="9" customFormat="1" ht="11.25" customHeight="1" x14ac:dyDescent="0.2">
      <c r="A297" s="10">
        <v>62260000</v>
      </c>
      <c r="B297" s="10" t="s">
        <v>7402</v>
      </c>
      <c r="C297" s="11">
        <v>0</v>
      </c>
      <c r="D297" s="11">
        <v>4652.0280000000002</v>
      </c>
      <c r="E297" s="11">
        <v>0</v>
      </c>
      <c r="F297" s="13">
        <f>SUMIF('OD 10-24'!A:A,A297,'OD 10-24'!D:D)</f>
        <v>40000</v>
      </c>
      <c r="G297" s="13">
        <f>SUMIF('OD 12-24'!A:A,A297,'OD 12-24'!E:E)</f>
        <v>50000</v>
      </c>
      <c r="H297" s="14">
        <f t="shared" si="8"/>
        <v>-5347.9720000000016</v>
      </c>
      <c r="I297" s="14">
        <f t="shared" si="9"/>
        <v>-5347.9720000000016</v>
      </c>
      <c r="J297" s="8" t="s">
        <v>157</v>
      </c>
      <c r="K297" s="8" t="s">
        <v>512</v>
      </c>
      <c r="M297" s="339"/>
      <c r="N297" s="315"/>
    </row>
    <row r="298" spans="1:14" s="9" customFormat="1" ht="11.25" customHeight="1" x14ac:dyDescent="0.2">
      <c r="A298" s="10">
        <v>62270000</v>
      </c>
      <c r="B298" s="10" t="s">
        <v>399</v>
      </c>
      <c r="C298" s="11">
        <v>0</v>
      </c>
      <c r="D298" s="11">
        <v>17984.025000000001</v>
      </c>
      <c r="E298" s="11">
        <v>0</v>
      </c>
      <c r="F298" s="13">
        <f>SUMIF('OD 10-24'!A:A,A298,'OD 10-24'!D:D)</f>
        <v>4450.84</v>
      </c>
      <c r="G298" s="13">
        <f>SUMIF('OD 12-24'!A:A,A298,'OD 12-24'!E:E)</f>
        <v>4450.84</v>
      </c>
      <c r="H298" s="14">
        <f t="shared" si="8"/>
        <v>17984.025000000001</v>
      </c>
      <c r="I298" s="14">
        <f t="shared" si="9"/>
        <v>17984.025000000001</v>
      </c>
      <c r="J298" s="8" t="s">
        <v>157</v>
      </c>
      <c r="K298" s="8" t="s">
        <v>512</v>
      </c>
      <c r="M298" s="339"/>
      <c r="N298" s="315"/>
    </row>
    <row r="299" spans="1:14" s="9" customFormat="1" ht="11.25" customHeight="1" x14ac:dyDescent="0.2">
      <c r="A299" s="10">
        <v>62280000</v>
      </c>
      <c r="B299" s="10" t="s">
        <v>7721</v>
      </c>
      <c r="C299" s="11">
        <v>0</v>
      </c>
      <c r="D299" s="11">
        <v>46132</v>
      </c>
      <c r="E299" s="11">
        <v>24780</v>
      </c>
      <c r="F299" s="13">
        <f>SUMIF('OD 10-24'!A:A,A299,'OD 10-24'!D:D)</f>
        <v>3240</v>
      </c>
      <c r="G299" s="13">
        <f>SUMIF('OD 12-24'!A:A,A299,'OD 12-24'!E:E)</f>
        <v>6480</v>
      </c>
      <c r="H299" s="14">
        <f t="shared" si="8"/>
        <v>18112</v>
      </c>
      <c r="I299" s="14">
        <f t="shared" si="9"/>
        <v>18112</v>
      </c>
      <c r="J299" s="8" t="s">
        <v>157</v>
      </c>
      <c r="K299" s="8" t="s">
        <v>512</v>
      </c>
      <c r="M299" s="339"/>
      <c r="N299" s="315"/>
    </row>
    <row r="300" spans="1:14" s="9" customFormat="1" ht="11.25" customHeight="1" x14ac:dyDescent="0.2">
      <c r="A300" s="10">
        <v>62300000</v>
      </c>
      <c r="B300" s="10" t="s">
        <v>182</v>
      </c>
      <c r="C300" s="11">
        <v>0</v>
      </c>
      <c r="D300" s="11">
        <v>19196.3</v>
      </c>
      <c r="E300" s="11">
        <v>0</v>
      </c>
      <c r="F300" s="13">
        <f>SUMIF('OD 10-24'!A:A,A300,'OD 10-24'!D:D)</f>
        <v>632500</v>
      </c>
      <c r="G300" s="13">
        <f>SUMIF('OD 12-24'!A:A,A300,'OD 12-24'!E:E)</f>
        <v>759000</v>
      </c>
      <c r="H300" s="14">
        <f t="shared" si="8"/>
        <v>-107303.69999999995</v>
      </c>
      <c r="I300" s="14">
        <f t="shared" si="9"/>
        <v>-107303.69999999995</v>
      </c>
      <c r="J300" s="8" t="s">
        <v>157</v>
      </c>
      <c r="K300" s="8" t="s">
        <v>512</v>
      </c>
      <c r="M300" s="339"/>
      <c r="N300" s="315"/>
    </row>
    <row r="301" spans="1:14" s="9" customFormat="1" ht="11.25" customHeight="1" x14ac:dyDescent="0.2">
      <c r="A301" s="10">
        <v>62301000</v>
      </c>
      <c r="B301" s="10" t="s">
        <v>7397</v>
      </c>
      <c r="C301" s="11">
        <v>0</v>
      </c>
      <c r="D301" s="11">
        <v>55085.659999999996</v>
      </c>
      <c r="E301" s="11">
        <v>8315</v>
      </c>
      <c r="F301" s="13">
        <f>SUMIF('OD 10-24'!A:A,A301,'OD 10-24'!D:D)</f>
        <v>0</v>
      </c>
      <c r="G301" s="13">
        <f>SUMIF('OD 12-24'!A:A,A301,'OD 12-24'!E:E)</f>
        <v>0</v>
      </c>
      <c r="H301" s="14">
        <f t="shared" si="8"/>
        <v>46770.659999999996</v>
      </c>
      <c r="I301" s="14">
        <f t="shared" si="9"/>
        <v>46770.659999999996</v>
      </c>
      <c r="J301" s="8" t="s">
        <v>157</v>
      </c>
      <c r="K301" s="8" t="s">
        <v>512</v>
      </c>
      <c r="M301" s="339"/>
      <c r="N301" s="315"/>
    </row>
    <row r="302" spans="1:14" s="9" customFormat="1" ht="11.25" customHeight="1" x14ac:dyDescent="0.2">
      <c r="A302" s="10">
        <v>62410000</v>
      </c>
      <c r="B302" s="10" t="s">
        <v>183</v>
      </c>
      <c r="C302" s="11">
        <v>0</v>
      </c>
      <c r="D302" s="11">
        <v>31009.714</v>
      </c>
      <c r="E302" s="11">
        <v>0</v>
      </c>
      <c r="F302" s="13">
        <f>SUMIF('OD 10-24'!A:A,A302,'OD 10-24'!D:D)</f>
        <v>0</v>
      </c>
      <c r="G302" s="13">
        <f>SUMIF('OD 12-24'!A:A,A302,'OD 12-24'!E:E)</f>
        <v>0</v>
      </c>
      <c r="H302" s="14">
        <f t="shared" si="8"/>
        <v>31009.714</v>
      </c>
      <c r="I302" s="14">
        <f t="shared" si="9"/>
        <v>31009.714</v>
      </c>
      <c r="J302" s="8" t="s">
        <v>157</v>
      </c>
      <c r="K302" s="8" t="s">
        <v>512</v>
      </c>
      <c r="M302" s="339"/>
      <c r="N302" s="315"/>
    </row>
    <row r="303" spans="1:14" s="9" customFormat="1" ht="11.25" customHeight="1" x14ac:dyDescent="0.2">
      <c r="A303" s="10">
        <v>62420000</v>
      </c>
      <c r="B303" s="10" t="s">
        <v>184</v>
      </c>
      <c r="C303" s="11">
        <v>0</v>
      </c>
      <c r="D303" s="11">
        <v>420</v>
      </c>
      <c r="E303" s="11">
        <v>0</v>
      </c>
      <c r="F303" s="13">
        <f>SUMIF('OD 10-24'!A:A,A303,'OD 10-24'!D:D)</f>
        <v>0</v>
      </c>
      <c r="G303" s="13">
        <f>SUMIF('OD 12-24'!A:A,A303,'OD 12-24'!E:E)</f>
        <v>0</v>
      </c>
      <c r="H303" s="14">
        <f t="shared" si="8"/>
        <v>420</v>
      </c>
      <c r="I303" s="14">
        <f t="shared" si="9"/>
        <v>420</v>
      </c>
      <c r="J303" s="8" t="s">
        <v>157</v>
      </c>
      <c r="K303" s="8" t="s">
        <v>512</v>
      </c>
      <c r="M303" s="339"/>
      <c r="N303" s="315"/>
    </row>
    <row r="304" spans="1:14" s="9" customFormat="1" ht="11.25" customHeight="1" x14ac:dyDescent="0.2">
      <c r="A304" s="10">
        <v>62430000</v>
      </c>
      <c r="B304" s="10" t="s">
        <v>159</v>
      </c>
      <c r="C304" s="11">
        <v>0</v>
      </c>
      <c r="D304" s="11">
        <v>914645.49100000004</v>
      </c>
      <c r="E304" s="11">
        <v>18320.150000000001</v>
      </c>
      <c r="F304" s="13">
        <f>SUMIF('OD 10-24'!A:A,A304,'OD 10-24'!D:D)</f>
        <v>269756.45</v>
      </c>
      <c r="G304" s="13">
        <f>SUMIF('OD 12-24'!A:A,A304,'OD 12-24'!E:E)</f>
        <v>307608.45</v>
      </c>
      <c r="H304" s="14">
        <f t="shared" si="8"/>
        <v>858473.34100000025</v>
      </c>
      <c r="I304" s="14">
        <f t="shared" si="9"/>
        <v>858473.34100000025</v>
      </c>
      <c r="J304" s="8" t="s">
        <v>157</v>
      </c>
      <c r="K304" s="8" t="s">
        <v>512</v>
      </c>
      <c r="M304" s="339"/>
      <c r="N304" s="315"/>
    </row>
    <row r="305" spans="1:14" s="9" customFormat="1" ht="11.25" customHeight="1" x14ac:dyDescent="0.2">
      <c r="A305" s="10">
        <v>62500000</v>
      </c>
      <c r="B305" s="10" t="s">
        <v>185</v>
      </c>
      <c r="C305" s="11">
        <v>0</v>
      </c>
      <c r="D305" s="11">
        <v>6692.9169999999995</v>
      </c>
      <c r="E305" s="11">
        <v>2039.8370000000002</v>
      </c>
      <c r="F305" s="13">
        <f>SUMIF('OD 10-24'!A:A,A305,'OD 10-24'!D:D)</f>
        <v>0</v>
      </c>
      <c r="G305" s="13">
        <f>SUMIF('OD 12-24'!A:A,A305,'OD 12-24'!E:E)</f>
        <v>0</v>
      </c>
      <c r="H305" s="14">
        <f t="shared" si="8"/>
        <v>4653.079999999999</v>
      </c>
      <c r="I305" s="14">
        <f t="shared" si="9"/>
        <v>4653.079999999999</v>
      </c>
      <c r="J305" s="8" t="s">
        <v>157</v>
      </c>
      <c r="K305" s="8" t="s">
        <v>512</v>
      </c>
      <c r="M305" s="339"/>
      <c r="N305" s="315"/>
    </row>
    <row r="306" spans="1:14" s="9" customFormat="1" ht="11.25" customHeight="1" x14ac:dyDescent="0.2">
      <c r="A306" s="10">
        <v>62510000</v>
      </c>
      <c r="B306" s="10" t="s">
        <v>7571</v>
      </c>
      <c r="C306" s="11">
        <v>0</v>
      </c>
      <c r="D306" s="11">
        <v>178012.6</v>
      </c>
      <c r="E306" s="11">
        <v>0</v>
      </c>
      <c r="F306" s="13">
        <f>SUMIF('OD 10-24'!A:A,A306,'OD 10-24'!D:D)</f>
        <v>100000</v>
      </c>
      <c r="G306" s="13">
        <f>SUMIF('OD 12-24'!A:A,A306,'OD 12-24'!E:E)</f>
        <v>120000</v>
      </c>
      <c r="H306" s="14">
        <f t="shared" si="8"/>
        <v>158012.59999999998</v>
      </c>
      <c r="I306" s="14">
        <f t="shared" si="9"/>
        <v>158012.59999999998</v>
      </c>
      <c r="J306" s="8" t="s">
        <v>157</v>
      </c>
      <c r="K306" s="8" t="s">
        <v>512</v>
      </c>
      <c r="M306" s="339"/>
      <c r="N306" s="315"/>
    </row>
    <row r="307" spans="1:14" s="9" customFormat="1" ht="11.25" customHeight="1" x14ac:dyDescent="0.2">
      <c r="A307" s="10">
        <v>62520000</v>
      </c>
      <c r="B307" s="10" t="s">
        <v>7403</v>
      </c>
      <c r="C307" s="11">
        <v>0</v>
      </c>
      <c r="D307" s="11">
        <v>5179.3999999999996</v>
      </c>
      <c r="E307" s="11">
        <v>0</v>
      </c>
      <c r="F307" s="13">
        <f>SUMIF('OD 10-24'!A:A,A307,'OD 10-24'!D:D)</f>
        <v>0</v>
      </c>
      <c r="G307" s="13">
        <f>SUMIF('OD 12-24'!A:A,A307,'OD 12-24'!E:E)</f>
        <v>0</v>
      </c>
      <c r="H307" s="14">
        <f t="shared" si="8"/>
        <v>5179.3999999999996</v>
      </c>
      <c r="I307" s="14">
        <f t="shared" si="9"/>
        <v>5179.3999999999996</v>
      </c>
      <c r="J307" s="8" t="s">
        <v>157</v>
      </c>
      <c r="K307" s="8" t="s">
        <v>512</v>
      </c>
      <c r="M307" s="339"/>
      <c r="N307" s="315"/>
    </row>
    <row r="308" spans="1:14" s="9" customFormat="1" ht="11.25" customHeight="1" x14ac:dyDescent="0.2">
      <c r="A308" s="10">
        <v>62570000</v>
      </c>
      <c r="B308" s="10" t="s">
        <v>186</v>
      </c>
      <c r="C308" s="11">
        <v>0</v>
      </c>
      <c r="D308" s="11">
        <v>159819.5</v>
      </c>
      <c r="E308" s="11">
        <v>1511.9429999999998</v>
      </c>
      <c r="F308" s="13">
        <f>SUMIF('OD 10-24'!A:A,A308,'OD 10-24'!D:D)</f>
        <v>0</v>
      </c>
      <c r="G308" s="13">
        <f>SUMIF('OD 12-24'!A:A,A308,'OD 12-24'!E:E)</f>
        <v>0</v>
      </c>
      <c r="H308" s="14">
        <f t="shared" si="8"/>
        <v>158307.557</v>
      </c>
      <c r="I308" s="14">
        <f t="shared" si="9"/>
        <v>158307.557</v>
      </c>
      <c r="J308" s="8" t="s">
        <v>157</v>
      </c>
      <c r="K308" s="8" t="s">
        <v>512</v>
      </c>
      <c r="M308" s="339"/>
      <c r="N308" s="315"/>
    </row>
    <row r="309" spans="1:14" s="9" customFormat="1" ht="11.25" customHeight="1" x14ac:dyDescent="0.2">
      <c r="A309" s="10">
        <v>62571000</v>
      </c>
      <c r="B309" s="10" t="s">
        <v>376</v>
      </c>
      <c r="C309" s="11">
        <v>0</v>
      </c>
      <c r="D309" s="11">
        <v>14251.451000000001</v>
      </c>
      <c r="E309" s="11">
        <v>0</v>
      </c>
      <c r="F309" s="13">
        <f>SUMIF('OD 10-24'!A:A,A309,'OD 10-24'!D:D)</f>
        <v>0</v>
      </c>
      <c r="G309" s="13">
        <f>SUMIF('OD 12-24'!A:A,A309,'OD 12-24'!E:E)</f>
        <v>0</v>
      </c>
      <c r="H309" s="14">
        <f t="shared" si="8"/>
        <v>14251.451000000001</v>
      </c>
      <c r="I309" s="14">
        <f t="shared" si="9"/>
        <v>14251.451000000001</v>
      </c>
      <c r="J309" s="8" t="s">
        <v>157</v>
      </c>
      <c r="K309" s="8" t="s">
        <v>512</v>
      </c>
      <c r="M309" s="339"/>
      <c r="N309" s="315"/>
    </row>
    <row r="310" spans="1:14" s="9" customFormat="1" ht="11.25" customHeight="1" x14ac:dyDescent="0.2">
      <c r="A310" s="10">
        <v>62572000</v>
      </c>
      <c r="B310" s="10" t="s">
        <v>377</v>
      </c>
      <c r="C310" s="11">
        <v>0</v>
      </c>
      <c r="D310" s="11">
        <v>27636.565000000002</v>
      </c>
      <c r="E310" s="11">
        <v>0</v>
      </c>
      <c r="F310" s="13">
        <f>SUMIF('OD 10-24'!A:A,A310,'OD 10-24'!D:D)</f>
        <v>0</v>
      </c>
      <c r="G310" s="13">
        <f>SUMIF('OD 12-24'!A:A,A310,'OD 12-24'!E:E)</f>
        <v>0</v>
      </c>
      <c r="H310" s="14">
        <f t="shared" si="8"/>
        <v>27636.565000000002</v>
      </c>
      <c r="I310" s="14">
        <f t="shared" si="9"/>
        <v>27636.565000000002</v>
      </c>
      <c r="J310" s="8" t="s">
        <v>157</v>
      </c>
      <c r="K310" s="8" t="s">
        <v>512</v>
      </c>
      <c r="M310" s="339"/>
      <c r="N310" s="315"/>
    </row>
    <row r="311" spans="1:14" s="9" customFormat="1" ht="11.25" customHeight="1" x14ac:dyDescent="0.2">
      <c r="A311" s="10">
        <v>62573000</v>
      </c>
      <c r="B311" s="10" t="s">
        <v>378</v>
      </c>
      <c r="C311" s="11">
        <v>0</v>
      </c>
      <c r="D311" s="11">
        <v>2048.7150000000001</v>
      </c>
      <c r="E311" s="11">
        <v>0</v>
      </c>
      <c r="F311" s="13">
        <f>SUMIF('OD 10-24'!A:A,A311,'OD 10-24'!D:D)</f>
        <v>0</v>
      </c>
      <c r="G311" s="13">
        <f>SUMIF('OD 12-24'!A:A,A311,'OD 12-24'!E:E)</f>
        <v>0</v>
      </c>
      <c r="H311" s="14">
        <f t="shared" si="8"/>
        <v>2048.7150000000001</v>
      </c>
      <c r="I311" s="14">
        <f t="shared" si="9"/>
        <v>2048.7150000000001</v>
      </c>
      <c r="J311" s="8" t="s">
        <v>157</v>
      </c>
      <c r="K311" s="8" t="s">
        <v>512</v>
      </c>
      <c r="M311" s="339"/>
      <c r="N311" s="315"/>
    </row>
    <row r="312" spans="1:14" s="9" customFormat="1" ht="11.25" customHeight="1" x14ac:dyDescent="0.2">
      <c r="A312" s="10">
        <v>62580000</v>
      </c>
      <c r="B312" s="10" t="s">
        <v>187</v>
      </c>
      <c r="C312" s="11">
        <v>0</v>
      </c>
      <c r="D312" s="11">
        <v>6830.3310000000001</v>
      </c>
      <c r="E312" s="11">
        <v>0</v>
      </c>
      <c r="F312" s="13">
        <f>SUMIF('OD 10-24'!A:A,A312,'OD 10-24'!D:D)</f>
        <v>0</v>
      </c>
      <c r="G312" s="13">
        <f>SUMIF('OD 12-24'!A:A,A312,'OD 12-24'!E:E)</f>
        <v>0</v>
      </c>
      <c r="H312" s="14">
        <f t="shared" si="8"/>
        <v>6830.3310000000001</v>
      </c>
      <c r="I312" s="14">
        <f t="shared" si="9"/>
        <v>6830.3310000000001</v>
      </c>
      <c r="J312" s="8" t="s">
        <v>157</v>
      </c>
      <c r="K312" s="8" t="s">
        <v>512</v>
      </c>
      <c r="M312" s="339"/>
      <c r="N312" s="315"/>
    </row>
    <row r="313" spans="1:14" s="9" customFormat="1" ht="11.25" customHeight="1" x14ac:dyDescent="0.2">
      <c r="A313" s="10">
        <v>62600000</v>
      </c>
      <c r="B313" s="10" t="s">
        <v>188</v>
      </c>
      <c r="C313" s="11">
        <v>0</v>
      </c>
      <c r="D313" s="11">
        <v>37280.976999999999</v>
      </c>
      <c r="E313" s="11">
        <v>0</v>
      </c>
      <c r="F313" s="13">
        <f>SUMIF('OD 10-24'!A:A,A313,'OD 10-24'!D:D)</f>
        <v>16208.927</v>
      </c>
      <c r="G313" s="13">
        <f>SUMIF('OD 12-24'!A:A,A313,'OD 12-24'!E:E)</f>
        <v>23938.421999999999</v>
      </c>
      <c r="H313" s="14">
        <f t="shared" si="8"/>
        <v>29551.481999999996</v>
      </c>
      <c r="I313" s="14">
        <f t="shared" si="9"/>
        <v>29551.481999999996</v>
      </c>
      <c r="J313" s="8" t="s">
        <v>157</v>
      </c>
      <c r="K313" s="8" t="s">
        <v>512</v>
      </c>
      <c r="M313" s="339"/>
      <c r="N313" s="315"/>
    </row>
    <row r="314" spans="1:14" s="9" customFormat="1" ht="11.25" customHeight="1" x14ac:dyDescent="0.2">
      <c r="A314" s="10">
        <v>62780000</v>
      </c>
      <c r="B314" s="10" t="s">
        <v>189</v>
      </c>
      <c r="C314" s="11">
        <v>0</v>
      </c>
      <c r="D314" s="11">
        <v>243790.63999999998</v>
      </c>
      <c r="E314" s="11">
        <v>250.798</v>
      </c>
      <c r="F314" s="13">
        <f>SUMIF('OD 10-24'!A:A,A314,'OD 10-24'!D:D)</f>
        <v>176094.58300000001</v>
      </c>
      <c r="G314" s="13">
        <f>SUMIF('OD 12-24'!A:A,A314,'OD 12-24'!E:E)</f>
        <v>190808.53</v>
      </c>
      <c r="H314" s="14">
        <f t="shared" si="8"/>
        <v>228825.89499999999</v>
      </c>
      <c r="I314" s="14">
        <f t="shared" si="9"/>
        <v>228825.89499999999</v>
      </c>
      <c r="J314" s="8" t="s">
        <v>195</v>
      </c>
      <c r="K314" s="8" t="s">
        <v>517</v>
      </c>
      <c r="M314" s="339"/>
      <c r="N314" s="315"/>
    </row>
    <row r="315" spans="1:14" s="9" customFormat="1" ht="11.25" customHeight="1" x14ac:dyDescent="0.2">
      <c r="A315" s="10">
        <v>63300000</v>
      </c>
      <c r="B315" s="10" t="s">
        <v>269</v>
      </c>
      <c r="C315" s="11">
        <v>0</v>
      </c>
      <c r="D315" s="11">
        <v>0</v>
      </c>
      <c r="E315" s="11">
        <v>0</v>
      </c>
      <c r="F315" s="13">
        <f>SUMIF('OD 10-24'!A:A,A315,'OD 10-24'!D:D)</f>
        <v>572916.66799999995</v>
      </c>
      <c r="G315" s="13">
        <f>SUMIF('OD 12-24'!A:A,A315,'OD 12-24'!E:E)</f>
        <v>687500.00100000005</v>
      </c>
      <c r="H315" s="14">
        <f>+D315+F315-E315-G315</f>
        <v>-114583.3330000001</v>
      </c>
      <c r="I315" s="14">
        <f>+H315+C315</f>
        <v>-114583.3330000001</v>
      </c>
      <c r="J315" s="8" t="s">
        <v>157</v>
      </c>
      <c r="K315" s="8" t="s">
        <v>512</v>
      </c>
      <c r="M315" s="339"/>
      <c r="N315" s="315"/>
    </row>
    <row r="316" spans="1:14" s="9" customFormat="1" ht="11.25" customHeight="1" x14ac:dyDescent="0.2">
      <c r="A316" s="10">
        <v>63601000</v>
      </c>
      <c r="B316" s="10" t="s">
        <v>7572</v>
      </c>
      <c r="C316" s="11">
        <v>0</v>
      </c>
      <c r="D316" s="11">
        <v>59805.360999999997</v>
      </c>
      <c r="E316" s="11">
        <v>18454.945</v>
      </c>
      <c r="F316" s="13">
        <f>SUMIF('OD 10-24'!A:A,A316,'OD 10-24'!D:D)</f>
        <v>0</v>
      </c>
      <c r="G316" s="13">
        <f>SUMIF('OD 12-24'!A:A,A316,'OD 12-24'!E:E)</f>
        <v>0</v>
      </c>
      <c r="H316" s="14">
        <f t="shared" si="8"/>
        <v>41350.415999999997</v>
      </c>
      <c r="I316" s="14">
        <f t="shared" si="9"/>
        <v>41350.415999999997</v>
      </c>
      <c r="J316" s="8" t="s">
        <v>157</v>
      </c>
      <c r="K316" s="8" t="s">
        <v>512</v>
      </c>
      <c r="M316" s="339"/>
      <c r="N316" s="315"/>
    </row>
    <row r="317" spans="1:14" s="9" customFormat="1" ht="11.25" customHeight="1" x14ac:dyDescent="0.2">
      <c r="A317" s="10">
        <v>63602000</v>
      </c>
      <c r="B317" s="10" t="s">
        <v>7573</v>
      </c>
      <c r="C317" s="11">
        <v>0</v>
      </c>
      <c r="D317" s="11">
        <v>72712.186000000002</v>
      </c>
      <c r="E317" s="11">
        <v>52938.670999999995</v>
      </c>
      <c r="F317" s="13">
        <f>SUMIF('OD 10-24'!A:A,A317,'OD 10-24'!D:D)</f>
        <v>0</v>
      </c>
      <c r="G317" s="13">
        <f>SUMIF('OD 12-24'!A:A,A317,'OD 12-24'!E:E)</f>
        <v>0</v>
      </c>
      <c r="H317" s="14">
        <f t="shared" si="8"/>
        <v>19773.515000000007</v>
      </c>
      <c r="I317" s="14">
        <f t="shared" si="9"/>
        <v>19773.515000000007</v>
      </c>
      <c r="J317" s="8" t="s">
        <v>157</v>
      </c>
      <c r="K317" s="8" t="s">
        <v>512</v>
      </c>
      <c r="M317" s="339"/>
      <c r="N317" s="315"/>
    </row>
    <row r="318" spans="1:14" s="9" customFormat="1" ht="11.25" customHeight="1" x14ac:dyDescent="0.2">
      <c r="A318" s="10">
        <v>63610000</v>
      </c>
      <c r="B318" s="10" t="s">
        <v>7398</v>
      </c>
      <c r="C318" s="11">
        <v>0</v>
      </c>
      <c r="D318" s="11">
        <v>7986.0399999999991</v>
      </c>
      <c r="E318" s="11">
        <v>300</v>
      </c>
      <c r="F318" s="13">
        <f>SUMIF('OD 10-24'!A:A,A318,'OD 10-24'!D:D)</f>
        <v>0</v>
      </c>
      <c r="G318" s="13">
        <f>SUMIF('OD 12-24'!A:A,A318,'OD 12-24'!E:E)</f>
        <v>0</v>
      </c>
      <c r="H318" s="14">
        <f t="shared" si="8"/>
        <v>7686.0399999999991</v>
      </c>
      <c r="I318" s="14">
        <f t="shared" si="9"/>
        <v>7686.0399999999991</v>
      </c>
      <c r="J318" s="8" t="s">
        <v>190</v>
      </c>
      <c r="K318" s="8" t="s">
        <v>519</v>
      </c>
      <c r="M318" s="339"/>
      <c r="N318" s="315"/>
    </row>
    <row r="319" spans="1:14" s="9" customFormat="1" ht="11.25" customHeight="1" x14ac:dyDescent="0.2">
      <c r="A319" s="10">
        <v>64001000</v>
      </c>
      <c r="B319" s="10" t="s">
        <v>191</v>
      </c>
      <c r="C319" s="11">
        <v>0</v>
      </c>
      <c r="D319" s="11">
        <v>3852189.3930000002</v>
      </c>
      <c r="E319" s="11">
        <v>309583.56800000003</v>
      </c>
      <c r="F319" s="13">
        <f>SUMIF('OD 10-24'!A:A,A319,'OD 10-24'!D:D)</f>
        <v>413518.88400000002</v>
      </c>
      <c r="G319" s="13">
        <f>SUMIF('OD 12-24'!A:A,A319,'OD 12-24'!E:E)</f>
        <v>413518.88400000002</v>
      </c>
      <c r="H319" s="14">
        <f t="shared" si="8"/>
        <v>3542605.8249999997</v>
      </c>
      <c r="I319" s="14">
        <f t="shared" si="9"/>
        <v>3542605.8249999997</v>
      </c>
      <c r="J319" s="8" t="s">
        <v>192</v>
      </c>
      <c r="K319" s="8" t="s">
        <v>511</v>
      </c>
      <c r="M319" s="339"/>
      <c r="N319" s="315"/>
    </row>
    <row r="320" spans="1:14" s="9" customFormat="1" ht="11.25" customHeight="1" x14ac:dyDescent="0.2">
      <c r="A320" s="10">
        <v>64001100</v>
      </c>
      <c r="B320" s="10" t="s">
        <v>408</v>
      </c>
      <c r="C320" s="11">
        <v>0</v>
      </c>
      <c r="D320" s="11">
        <v>0</v>
      </c>
      <c r="E320" s="11">
        <v>0</v>
      </c>
      <c r="F320" s="13">
        <f>SUMIF('OD 10-24'!A:A,A320,'OD 10-24'!D:D)</f>
        <v>1375000</v>
      </c>
      <c r="G320" s="13">
        <f>SUMIF('OD 12-24'!A:A,A320,'OD 12-24'!E:E)</f>
        <v>1650000</v>
      </c>
      <c r="H320" s="14">
        <f t="shared" si="8"/>
        <v>-275000</v>
      </c>
      <c r="I320" s="14">
        <f t="shared" si="9"/>
        <v>-275000</v>
      </c>
      <c r="J320" s="8" t="s">
        <v>192</v>
      </c>
      <c r="K320" s="8" t="s">
        <v>511</v>
      </c>
      <c r="M320" s="339"/>
      <c r="N320" s="315"/>
    </row>
    <row r="321" spans="1:14" s="9" customFormat="1" ht="11.25" customHeight="1" x14ac:dyDescent="0.2">
      <c r="A321" s="10">
        <v>64020000</v>
      </c>
      <c r="B321" s="10" t="s">
        <v>406</v>
      </c>
      <c r="C321" s="11">
        <v>0</v>
      </c>
      <c r="D321" s="11">
        <v>0</v>
      </c>
      <c r="E321" s="11">
        <v>0</v>
      </c>
      <c r="F321" s="13">
        <f>SUMIF('OD 10-24'!A:A,A321,'OD 10-24'!D:D)</f>
        <v>1894783.2080000001</v>
      </c>
      <c r="G321" s="13">
        <f>SUMIF('OD 12-24'!A:A,A321,'OD 12-24'!E:E)</f>
        <v>2263928.5070000002</v>
      </c>
      <c r="H321" s="14">
        <f t="shared" si="8"/>
        <v>-369145.29900000012</v>
      </c>
      <c r="I321" s="14">
        <f t="shared" si="9"/>
        <v>-369145.29900000012</v>
      </c>
      <c r="J321" s="8" t="s">
        <v>192</v>
      </c>
      <c r="K321" s="8" t="s">
        <v>511</v>
      </c>
      <c r="M321" s="339"/>
      <c r="N321" s="315"/>
    </row>
    <row r="322" spans="1:14" s="9" customFormat="1" ht="11.25" customHeight="1" x14ac:dyDescent="0.2">
      <c r="A322" s="10">
        <v>64280000</v>
      </c>
      <c r="B322" s="10" t="s">
        <v>193</v>
      </c>
      <c r="C322" s="11">
        <v>0</v>
      </c>
      <c r="D322" s="11">
        <v>39080</v>
      </c>
      <c r="E322" s="11">
        <v>39080</v>
      </c>
      <c r="F322" s="13">
        <f>SUMIF('OD 10-24'!A:A,A322,'OD 10-24'!D:D)</f>
        <v>0</v>
      </c>
      <c r="G322" s="13">
        <f>SUMIF('OD 12-24'!A:A,A322,'OD 12-24'!E:E)</f>
        <v>0</v>
      </c>
      <c r="H322" s="14">
        <f t="shared" si="8"/>
        <v>0</v>
      </c>
      <c r="I322" s="14">
        <f t="shared" si="9"/>
        <v>0</v>
      </c>
      <c r="J322" s="8" t="s">
        <v>192</v>
      </c>
      <c r="K322" s="8" t="s">
        <v>511</v>
      </c>
      <c r="M322" s="339"/>
      <c r="N322" s="315"/>
    </row>
    <row r="323" spans="1:14" s="9" customFormat="1" ht="11.25" customHeight="1" x14ac:dyDescent="0.2">
      <c r="A323" s="10">
        <v>64600100</v>
      </c>
      <c r="B323" s="10" t="s">
        <v>407</v>
      </c>
      <c r="C323" s="11">
        <v>0</v>
      </c>
      <c r="D323" s="11">
        <v>1686.6510000000003</v>
      </c>
      <c r="E323" s="11">
        <v>247618.065</v>
      </c>
      <c r="F323" s="13">
        <f>SUMIF('OD 10-24'!A:A,A323,'OD 10-24'!D:D)</f>
        <v>3309487.4890000001</v>
      </c>
      <c r="G323" s="13">
        <f>SUMIF('OD 12-24'!A:A,A323,'OD 12-24'!E:E)</f>
        <v>3569487.4890000001</v>
      </c>
      <c r="H323" s="14">
        <f t="shared" si="8"/>
        <v>-505931.41399999987</v>
      </c>
      <c r="I323" s="14">
        <f t="shared" si="9"/>
        <v>-505931.41399999987</v>
      </c>
      <c r="J323" s="8" t="s">
        <v>192</v>
      </c>
      <c r="K323" s="8" t="s">
        <v>511</v>
      </c>
      <c r="M323" s="339"/>
      <c r="N323" s="315"/>
    </row>
    <row r="324" spans="1:14" s="9" customFormat="1" ht="11.25" customHeight="1" x14ac:dyDescent="0.2">
      <c r="A324" s="10">
        <v>64603000</v>
      </c>
      <c r="B324" s="10" t="s">
        <v>7404</v>
      </c>
      <c r="C324" s="11">
        <v>0</v>
      </c>
      <c r="D324" s="11">
        <v>31647.25</v>
      </c>
      <c r="E324" s="11">
        <v>0</v>
      </c>
      <c r="F324" s="13">
        <f>SUMIF('OD 10-24'!A:A,A324,'OD 10-24'!D:D)</f>
        <v>3192</v>
      </c>
      <c r="G324" s="13">
        <f>SUMIF('OD 12-24'!A:A,A324,'OD 12-24'!E:E)</f>
        <v>3192</v>
      </c>
      <c r="H324" s="14">
        <f t="shared" si="8"/>
        <v>31647.25</v>
      </c>
      <c r="I324" s="14">
        <f t="shared" si="9"/>
        <v>31647.25</v>
      </c>
      <c r="J324" s="8" t="s">
        <v>192</v>
      </c>
      <c r="K324" s="8" t="s">
        <v>511</v>
      </c>
      <c r="M324" s="339"/>
      <c r="N324" s="315"/>
    </row>
    <row r="325" spans="1:14" s="9" customFormat="1" ht="11.25" customHeight="1" x14ac:dyDescent="0.2">
      <c r="A325" s="10">
        <v>64720000</v>
      </c>
      <c r="B325" s="10" t="s">
        <v>194</v>
      </c>
      <c r="C325" s="11">
        <v>0</v>
      </c>
      <c r="D325" s="11">
        <v>346024.56399999995</v>
      </c>
      <c r="E325" s="11">
        <v>21778.701000000001</v>
      </c>
      <c r="F325" s="13">
        <f>SUMIF('OD 10-24'!A:A,A325,'OD 10-24'!D:D)</f>
        <v>760644.44499999995</v>
      </c>
      <c r="G325" s="13">
        <f>SUMIF('OD 12-24'!A:A,A325,'OD 12-24'!E:E)</f>
        <v>829459.68700000003</v>
      </c>
      <c r="H325" s="14">
        <f t="shared" si="8"/>
        <v>255430.62099999969</v>
      </c>
      <c r="I325" s="14">
        <f t="shared" si="9"/>
        <v>255430.62099999969</v>
      </c>
      <c r="J325" s="8" t="s">
        <v>192</v>
      </c>
      <c r="K325" s="8" t="s">
        <v>511</v>
      </c>
      <c r="M325" s="339"/>
      <c r="N325" s="315"/>
    </row>
    <row r="326" spans="1:14" s="9" customFormat="1" ht="11.25" customHeight="1" x14ac:dyDescent="0.2">
      <c r="A326" s="10">
        <v>65110000</v>
      </c>
      <c r="B326" s="10" t="s">
        <v>385</v>
      </c>
      <c r="C326" s="11">
        <v>0</v>
      </c>
      <c r="D326" s="11">
        <v>241359.2</v>
      </c>
      <c r="E326" s="11">
        <v>84401.901999999987</v>
      </c>
      <c r="F326" s="13">
        <f>SUMIF('OD 10-24'!A:A,A326,'OD 10-24'!D:D)</f>
        <v>118553.048</v>
      </c>
      <c r="G326" s="13">
        <f>SUMIF('OD 12-24'!A:A,A326,'OD 12-24'!E:E)</f>
        <v>121616.49800000001</v>
      </c>
      <c r="H326" s="14">
        <f t="shared" si="8"/>
        <v>153893.848</v>
      </c>
      <c r="I326" s="14">
        <f t="shared" si="9"/>
        <v>153893.848</v>
      </c>
      <c r="J326" s="8" t="s">
        <v>195</v>
      </c>
      <c r="K326" s="8" t="s">
        <v>517</v>
      </c>
      <c r="M326" s="339"/>
      <c r="N326" s="315"/>
    </row>
    <row r="327" spans="1:14" s="9" customFormat="1" ht="11.25" customHeight="1" x14ac:dyDescent="0.2">
      <c r="A327" s="10">
        <v>65110200</v>
      </c>
      <c r="B327" s="10" t="s">
        <v>196</v>
      </c>
      <c r="C327" s="11">
        <v>0</v>
      </c>
      <c r="D327" s="11">
        <v>401164.74100000004</v>
      </c>
      <c r="E327" s="11">
        <v>0</v>
      </c>
      <c r="F327" s="13">
        <f>SUMIF('OD 10-24'!A:A,A327,'OD 10-24'!D:D)</f>
        <v>419277.554</v>
      </c>
      <c r="G327" s="13">
        <f>SUMIF('OD 12-24'!A:A,A327,'OD 12-24'!E:E)</f>
        <v>635300.67819999997</v>
      </c>
      <c r="H327" s="14">
        <f t="shared" si="8"/>
        <v>185141.61680000008</v>
      </c>
      <c r="I327" s="14">
        <f t="shared" si="9"/>
        <v>185141.61680000008</v>
      </c>
      <c r="J327" s="8" t="s">
        <v>195</v>
      </c>
      <c r="K327" s="8" t="s">
        <v>517</v>
      </c>
      <c r="M327" s="339"/>
      <c r="N327" s="315"/>
    </row>
    <row r="328" spans="1:14" s="9" customFormat="1" ht="11.25" customHeight="1" x14ac:dyDescent="0.2">
      <c r="A328" s="10">
        <v>65110400</v>
      </c>
      <c r="B328" s="10" t="s">
        <v>197</v>
      </c>
      <c r="C328" s="11">
        <v>0</v>
      </c>
      <c r="D328" s="11">
        <v>616027.66599999997</v>
      </c>
      <c r="E328" s="11">
        <v>0</v>
      </c>
      <c r="F328" s="13">
        <f>SUMIF('OD 10-24'!A:A,A328,'OD 10-24'!D:D)</f>
        <v>643920.53</v>
      </c>
      <c r="G328" s="13">
        <f>SUMIF('OD 12-24'!A:A,A328,'OD 12-24'!E:E)</f>
        <v>975497.92180000001</v>
      </c>
      <c r="H328" s="14">
        <f t="shared" si="8"/>
        <v>284450.27419999999</v>
      </c>
      <c r="I328" s="14">
        <f t="shared" si="9"/>
        <v>284450.27419999999</v>
      </c>
      <c r="J328" s="8" t="s">
        <v>195</v>
      </c>
      <c r="K328" s="8" t="s">
        <v>517</v>
      </c>
      <c r="M328" s="339"/>
      <c r="N328" s="315"/>
    </row>
    <row r="329" spans="1:14" s="9" customFormat="1" ht="11.25" customHeight="1" x14ac:dyDescent="0.2">
      <c r="A329" s="10">
        <v>65115000</v>
      </c>
      <c r="B329" s="10" t="s">
        <v>379</v>
      </c>
      <c r="C329" s="11">
        <v>0</v>
      </c>
      <c r="D329" s="11">
        <v>61263.813999999998</v>
      </c>
      <c r="E329" s="11">
        <v>2060.0309999999999</v>
      </c>
      <c r="F329" s="13">
        <f>SUMIF('OD 10-24'!A:A,A329,'OD 10-24'!D:D)</f>
        <v>2903.0230000000001</v>
      </c>
      <c r="G329" s="13">
        <f>SUMIF('OD 12-24'!A:A,A329,'OD 12-24'!E:E)</f>
        <v>2903.0230000000001</v>
      </c>
      <c r="H329" s="14">
        <f t="shared" ref="H329:H357" si="10">+D329+F329-E329-G329</f>
        <v>59203.782999999996</v>
      </c>
      <c r="I329" s="14">
        <f t="shared" ref="I329:I357" si="11">+H329+C329</f>
        <v>59203.782999999996</v>
      </c>
      <c r="J329" s="8" t="s">
        <v>195</v>
      </c>
      <c r="K329" s="8" t="s">
        <v>517</v>
      </c>
      <c r="M329" s="339"/>
      <c r="N329" s="315"/>
    </row>
    <row r="330" spans="1:14" s="9" customFormat="1" ht="11.25" customHeight="1" x14ac:dyDescent="0.2">
      <c r="A330" s="10">
        <v>65150000</v>
      </c>
      <c r="B330" s="10" t="s">
        <v>270</v>
      </c>
      <c r="C330" s="11">
        <v>0</v>
      </c>
      <c r="D330" s="11">
        <v>0</v>
      </c>
      <c r="E330" s="11">
        <v>0</v>
      </c>
      <c r="F330" s="13">
        <f>SUMIF('OD 10-24'!A:A,A330,'OD 10-24'!D:D)</f>
        <v>148364.93299999999</v>
      </c>
      <c r="G330" s="13">
        <f>SUMIF('OD 12-24'!A:A,A330,'OD 12-24'!E:E)</f>
        <v>175272.33</v>
      </c>
      <c r="H330" s="14">
        <f t="shared" si="10"/>
        <v>-26907.396999999997</v>
      </c>
      <c r="I330" s="14">
        <f t="shared" si="11"/>
        <v>-26907.396999999997</v>
      </c>
      <c r="J330" s="8" t="s">
        <v>195</v>
      </c>
      <c r="K330" s="8" t="s">
        <v>517</v>
      </c>
      <c r="M330" s="339"/>
      <c r="N330" s="315"/>
    </row>
    <row r="331" spans="1:14" s="9" customFormat="1" ht="11.25" customHeight="1" x14ac:dyDescent="0.2">
      <c r="A331" s="10">
        <v>65190000</v>
      </c>
      <c r="B331" s="10" t="s">
        <v>198</v>
      </c>
      <c r="C331" s="11">
        <v>0</v>
      </c>
      <c r="D331" s="11">
        <v>270439.58899999998</v>
      </c>
      <c r="E331" s="11">
        <v>0</v>
      </c>
      <c r="F331" s="13">
        <f>SUMIF('OD 10-24'!A:A,A331,'OD 10-24'!D:D)</f>
        <v>658794.15700000001</v>
      </c>
      <c r="G331" s="13">
        <f>SUMIF('OD 12-24'!A:A,A331,'OD 12-24'!E:E)</f>
        <v>716813.05200000003</v>
      </c>
      <c r="H331" s="14">
        <f t="shared" si="10"/>
        <v>212420.69400000002</v>
      </c>
      <c r="I331" s="14">
        <f t="shared" si="11"/>
        <v>212420.69400000002</v>
      </c>
      <c r="J331" s="8" t="s">
        <v>195</v>
      </c>
      <c r="K331" s="8" t="s">
        <v>517</v>
      </c>
      <c r="M331" s="339"/>
      <c r="N331" s="315"/>
    </row>
    <row r="332" spans="1:14" s="9" customFormat="1" ht="11.25" customHeight="1" x14ac:dyDescent="0.2">
      <c r="A332" s="10">
        <v>65500000</v>
      </c>
      <c r="B332" s="10" t="s">
        <v>400</v>
      </c>
      <c r="C332" s="11">
        <v>0</v>
      </c>
      <c r="D332" s="11">
        <v>33971.468999999997</v>
      </c>
      <c r="E332" s="11">
        <v>18900.766</v>
      </c>
      <c r="F332" s="13">
        <f>SUMIF('OD 10-24'!A:A,A332,'OD 10-24'!D:D)</f>
        <v>220689.14840000001</v>
      </c>
      <c r="G332" s="13">
        <f>SUMIF('OD 12-24'!A:A,A332,'OD 12-24'!E:E)</f>
        <v>337202.72039999999</v>
      </c>
      <c r="H332" s="14">
        <f t="shared" si="10"/>
        <v>-101442.86900000001</v>
      </c>
      <c r="I332" s="14">
        <f t="shared" si="11"/>
        <v>-101442.86900000001</v>
      </c>
      <c r="J332" s="8" t="s">
        <v>195</v>
      </c>
      <c r="K332" s="8" t="s">
        <v>517</v>
      </c>
      <c r="M332" s="339"/>
      <c r="N332" s="315"/>
    </row>
    <row r="333" spans="1:14" s="9" customFormat="1" ht="11.25" customHeight="1" x14ac:dyDescent="0.2">
      <c r="A333" s="10">
        <v>66500000</v>
      </c>
      <c r="B333" s="536" t="s">
        <v>8974</v>
      </c>
      <c r="C333" s="11">
        <v>0</v>
      </c>
      <c r="D333" s="11">
        <v>0</v>
      </c>
      <c r="E333" s="11">
        <v>0</v>
      </c>
      <c r="F333" s="13">
        <f>SUMIF('OD 10-24'!A:A,A333,'OD 10-24'!D:D)</f>
        <v>0</v>
      </c>
      <c r="G333" s="13">
        <f>SUMIF('OD 12-24'!A:A,A333,'OD 12-24'!E:E)</f>
        <v>0</v>
      </c>
      <c r="H333" s="14">
        <f t="shared" si="10"/>
        <v>0</v>
      </c>
      <c r="I333" s="14">
        <f t="shared" si="11"/>
        <v>0</v>
      </c>
      <c r="J333" s="8" t="s">
        <v>157</v>
      </c>
      <c r="K333" s="8" t="s">
        <v>512</v>
      </c>
      <c r="M333" s="339"/>
      <c r="N333" s="315"/>
    </row>
    <row r="334" spans="1:14" s="9" customFormat="1" ht="11.25" customHeight="1" x14ac:dyDescent="0.2">
      <c r="A334" s="10">
        <v>66520000</v>
      </c>
      <c r="B334" s="10" t="s">
        <v>200</v>
      </c>
      <c r="C334" s="11">
        <v>0</v>
      </c>
      <c r="D334" s="11">
        <v>97544.910999999993</v>
      </c>
      <c r="E334" s="11">
        <v>0</v>
      </c>
      <c r="F334" s="13">
        <f>SUMIF('OD 10-24'!A:A,A334,'OD 10-24'!D:D)</f>
        <v>104677.29</v>
      </c>
      <c r="G334" s="13">
        <f>SUMIF('OD 12-24'!A:A,A334,'OD 12-24'!E:E)</f>
        <v>117948.3</v>
      </c>
      <c r="H334" s="14">
        <f t="shared" si="10"/>
        <v>84273.900999999998</v>
      </c>
      <c r="I334" s="14">
        <f t="shared" si="11"/>
        <v>84273.900999999998</v>
      </c>
      <c r="J334" s="8" t="s">
        <v>157</v>
      </c>
      <c r="K334" s="8" t="s">
        <v>512</v>
      </c>
      <c r="M334" s="339"/>
      <c r="N334" s="315"/>
    </row>
    <row r="335" spans="1:14" s="9" customFormat="1" ht="11.25" customHeight="1" x14ac:dyDescent="0.2">
      <c r="A335" s="10">
        <v>66540000</v>
      </c>
      <c r="B335" s="10" t="s">
        <v>201</v>
      </c>
      <c r="C335" s="11">
        <v>0</v>
      </c>
      <c r="D335" s="11">
        <v>13487.903</v>
      </c>
      <c r="E335" s="11">
        <v>40</v>
      </c>
      <c r="F335" s="13">
        <f>SUMIF('OD 10-24'!A:A,A335,'OD 10-24'!D:D)</f>
        <v>0</v>
      </c>
      <c r="G335" s="13">
        <f>SUMIF('OD 12-24'!A:A,A335,'OD 12-24'!E:E)</f>
        <v>0</v>
      </c>
      <c r="H335" s="14">
        <f t="shared" si="10"/>
        <v>13447.903</v>
      </c>
      <c r="I335" s="14">
        <f t="shared" si="11"/>
        <v>13447.903</v>
      </c>
      <c r="J335" s="8" t="s">
        <v>157</v>
      </c>
      <c r="K335" s="8" t="s">
        <v>512</v>
      </c>
      <c r="M335" s="339"/>
      <c r="N335" s="315"/>
    </row>
    <row r="336" spans="1:14" s="9" customFormat="1" ht="11.25" customHeight="1" x14ac:dyDescent="0.2">
      <c r="A336" s="10">
        <v>66550000</v>
      </c>
      <c r="B336" s="10" t="s">
        <v>202</v>
      </c>
      <c r="C336" s="11">
        <v>0</v>
      </c>
      <c r="D336" s="11">
        <v>15097.587</v>
      </c>
      <c r="E336" s="11">
        <v>0</v>
      </c>
      <c r="F336" s="13">
        <f>SUMIF('OD 10-24'!A:A,A336,'OD 10-24'!D:D)</f>
        <v>49500</v>
      </c>
      <c r="G336" s="13">
        <f>SUMIF('OD 12-24'!A:A,A336,'OD 12-24'!E:E)</f>
        <v>59400</v>
      </c>
      <c r="H336" s="14">
        <f t="shared" si="10"/>
        <v>5197.5869999999995</v>
      </c>
      <c r="I336" s="14">
        <f t="shared" si="11"/>
        <v>5197.5869999999995</v>
      </c>
      <c r="J336" s="8" t="s">
        <v>157</v>
      </c>
      <c r="K336" s="8" t="s">
        <v>512</v>
      </c>
      <c r="M336" s="339"/>
      <c r="N336" s="315"/>
    </row>
    <row r="337" spans="1:14" s="9" customFormat="1" ht="11.25" customHeight="1" x14ac:dyDescent="0.2">
      <c r="A337" s="10">
        <v>68112000</v>
      </c>
      <c r="B337" s="10" t="s">
        <v>271</v>
      </c>
      <c r="C337" s="11">
        <v>0</v>
      </c>
      <c r="D337" s="11">
        <v>0</v>
      </c>
      <c r="E337" s="11">
        <v>0</v>
      </c>
      <c r="F337" s="13">
        <f>SUMIF('OD 10-24'!A:A,A337,'OD 10-24'!D:D)</f>
        <v>13333488.515000001</v>
      </c>
      <c r="G337" s="13">
        <f>SUMIF('OD 12-24'!A:A,A337,'OD 12-24'!E:E)</f>
        <v>16061293.588</v>
      </c>
      <c r="H337" s="14">
        <f t="shared" si="10"/>
        <v>-2727805.0729999989</v>
      </c>
      <c r="I337" s="14">
        <f t="shared" si="11"/>
        <v>-2727805.0729999989</v>
      </c>
      <c r="J337" s="8" t="s">
        <v>203</v>
      </c>
      <c r="K337" s="8" t="s">
        <v>7578</v>
      </c>
      <c r="M337" s="339"/>
      <c r="N337" s="315"/>
    </row>
    <row r="338" spans="1:14" s="9" customFormat="1" ht="11.25" customHeight="1" x14ac:dyDescent="0.2">
      <c r="A338" s="10">
        <v>68150000</v>
      </c>
      <c r="B338" s="10" t="s">
        <v>9481</v>
      </c>
      <c r="C338" s="11">
        <v>0</v>
      </c>
      <c r="D338" s="11">
        <v>0</v>
      </c>
      <c r="E338" s="11">
        <v>0</v>
      </c>
      <c r="F338" s="13">
        <f>SUMIF('OD 10-24'!A:A,A338,'OD 10-24'!D:D)</f>
        <v>300000</v>
      </c>
      <c r="G338" s="13">
        <f>SUMIF('OD 12-24'!A:A,A338,'OD 12-24'!E:E)</f>
        <v>420000</v>
      </c>
      <c r="H338" s="14">
        <f t="shared" si="10"/>
        <v>-120000</v>
      </c>
      <c r="I338" s="14">
        <f t="shared" si="11"/>
        <v>-120000</v>
      </c>
      <c r="J338" s="8" t="s">
        <v>7715</v>
      </c>
      <c r="K338" s="8" t="s">
        <v>7716</v>
      </c>
      <c r="M338" s="339"/>
      <c r="N338" s="315"/>
    </row>
    <row r="339" spans="1:14" s="9" customFormat="1" ht="11.25" customHeight="1" x14ac:dyDescent="0.2">
      <c r="A339" s="10">
        <v>68170000</v>
      </c>
      <c r="B339" s="10" t="s">
        <v>7577</v>
      </c>
      <c r="C339" s="11">
        <v>0</v>
      </c>
      <c r="D339" s="11">
        <v>0</v>
      </c>
      <c r="E339" s="11">
        <v>0</v>
      </c>
      <c r="F339" s="13">
        <f>SUMIF('OD 10-24'!A:A,A339,'OD 10-24'!D:D)</f>
        <v>2950000</v>
      </c>
      <c r="G339" s="13">
        <f>SUMIF('OD 12-24'!A:A,A339,'OD 12-24'!E:E)</f>
        <v>3575000</v>
      </c>
      <c r="H339" s="14">
        <f t="shared" si="10"/>
        <v>-625000</v>
      </c>
      <c r="I339" s="14">
        <f t="shared" si="11"/>
        <v>-625000</v>
      </c>
      <c r="J339" s="8" t="s">
        <v>7715</v>
      </c>
      <c r="K339" s="8" t="s">
        <v>7716</v>
      </c>
      <c r="M339" s="339"/>
      <c r="N339" s="315"/>
    </row>
    <row r="340" spans="1:14" s="9" customFormat="1" ht="11.25" customHeight="1" x14ac:dyDescent="0.2">
      <c r="A340" s="10">
        <v>68180000</v>
      </c>
      <c r="B340" s="10" t="s">
        <v>8976</v>
      </c>
      <c r="C340" s="11">
        <v>0</v>
      </c>
      <c r="D340" s="11">
        <v>0</v>
      </c>
      <c r="E340" s="11">
        <v>0</v>
      </c>
      <c r="F340" s="13">
        <f>SUMIF('OD 10-24'!A:A,A340,'OD 10-24'!D:D)</f>
        <v>1902431.1340000001</v>
      </c>
      <c r="G340" s="13">
        <f>SUMIF('OD 12-24'!A:A,A340,'OD 12-24'!E:E)</f>
        <v>2402431.1340000001</v>
      </c>
      <c r="H340" s="14">
        <f t="shared" si="10"/>
        <v>-500000</v>
      </c>
      <c r="I340" s="14">
        <f t="shared" si="11"/>
        <v>-500000</v>
      </c>
      <c r="J340" s="8" t="s">
        <v>7715</v>
      </c>
      <c r="K340" s="8" t="s">
        <v>7716</v>
      </c>
      <c r="M340" s="339"/>
      <c r="N340" s="315"/>
    </row>
    <row r="341" spans="1:14" s="9" customFormat="1" ht="11.25" customHeight="1" x14ac:dyDescent="0.2">
      <c r="A341" s="10">
        <v>70000000</v>
      </c>
      <c r="B341" s="10" t="s">
        <v>205</v>
      </c>
      <c r="C341" s="11">
        <v>0</v>
      </c>
      <c r="D341" s="11">
        <v>3021773.4919999996</v>
      </c>
      <c r="E341" s="11">
        <v>32271179.294999998</v>
      </c>
      <c r="F341" s="13">
        <f>SUMIF('OD 10-24'!A:A,A341,'OD 10-24'!D:D)</f>
        <v>0</v>
      </c>
      <c r="G341" s="13">
        <f>SUMIF('OD 12-24'!A:A,A341,'OD 12-24'!E:E)</f>
        <v>3068854.2719999999</v>
      </c>
      <c r="H341" s="14">
        <f t="shared" si="10"/>
        <v>-32318260.074999999</v>
      </c>
      <c r="I341" s="14">
        <f t="shared" si="11"/>
        <v>-32318260.074999999</v>
      </c>
      <c r="J341" s="8" t="s">
        <v>206</v>
      </c>
      <c r="K341" s="8" t="s">
        <v>505</v>
      </c>
      <c r="M341" s="339"/>
      <c r="N341" s="315"/>
    </row>
    <row r="342" spans="1:14" s="9" customFormat="1" ht="11.25" customHeight="1" x14ac:dyDescent="0.2">
      <c r="A342" s="10">
        <v>70102000</v>
      </c>
      <c r="B342" s="10" t="s">
        <v>207</v>
      </c>
      <c r="C342" s="11">
        <v>0</v>
      </c>
      <c r="D342" s="11">
        <v>211188.95199999999</v>
      </c>
      <c r="E342" s="11">
        <v>33980070.5</v>
      </c>
      <c r="F342" s="13">
        <f>SUMIF('OD 10-24'!A:A,A342,'OD 10-24'!D:D)</f>
        <v>3757277.7850000001</v>
      </c>
      <c r="G342" s="13">
        <f>SUMIF('OD 12-24'!A:A,A342,'OD 12-24'!E:E)</f>
        <v>3757277.7850000001</v>
      </c>
      <c r="H342" s="14">
        <f t="shared" si="10"/>
        <v>-33768881.548</v>
      </c>
      <c r="I342" s="14">
        <f t="shared" si="11"/>
        <v>-33768881.548</v>
      </c>
      <c r="J342" s="8" t="s">
        <v>227</v>
      </c>
      <c r="K342" s="8" t="s">
        <v>504</v>
      </c>
      <c r="M342" s="339"/>
      <c r="N342" s="315"/>
    </row>
    <row r="343" spans="1:14" s="9" customFormat="1" ht="11.25" customHeight="1" x14ac:dyDescent="0.2">
      <c r="A343" s="10">
        <v>70103000</v>
      </c>
      <c r="B343" s="10" t="s">
        <v>380</v>
      </c>
      <c r="C343" s="11">
        <v>0</v>
      </c>
      <c r="D343" s="11">
        <v>0</v>
      </c>
      <c r="E343" s="11">
        <v>4225</v>
      </c>
      <c r="F343" s="13">
        <f>SUMIF('OD 10-24'!A:A,A343,'OD 10-24'!D:D)</f>
        <v>0</v>
      </c>
      <c r="G343" s="13">
        <f>SUMIF('OD 12-24'!A:A,A343,'OD 12-24'!E:E)</f>
        <v>0</v>
      </c>
      <c r="H343" s="14">
        <f t="shared" si="10"/>
        <v>-4225</v>
      </c>
      <c r="I343" s="14">
        <f t="shared" si="11"/>
        <v>-4225</v>
      </c>
      <c r="J343" s="8" t="s">
        <v>206</v>
      </c>
      <c r="K343" s="8" t="s">
        <v>505</v>
      </c>
      <c r="M343" s="339"/>
      <c r="N343" s="315"/>
    </row>
    <row r="344" spans="1:14" s="9" customFormat="1" ht="11.25" customHeight="1" x14ac:dyDescent="0.2">
      <c r="A344" s="10">
        <v>70600000</v>
      </c>
      <c r="B344" s="10" t="s">
        <v>381</v>
      </c>
      <c r="C344" s="11">
        <v>0</v>
      </c>
      <c r="D344" s="11">
        <v>84633.7</v>
      </c>
      <c r="E344" s="11">
        <v>964096.6540000001</v>
      </c>
      <c r="F344" s="13">
        <f>SUMIF('OD 10-24'!A:A,A344,'OD 10-24'!D:D)</f>
        <v>526480.55000000005</v>
      </c>
      <c r="G344" s="13">
        <f>SUMIF('OD 12-24'!A:A,A344,'OD 12-24'!E:E)</f>
        <v>736589.96799999999</v>
      </c>
      <c r="H344" s="14">
        <f t="shared" si="10"/>
        <v>-1089572.372</v>
      </c>
      <c r="I344" s="14">
        <f t="shared" si="11"/>
        <v>-1089572.372</v>
      </c>
      <c r="J344" s="8" t="s">
        <v>214</v>
      </c>
      <c r="K344" s="8" t="s">
        <v>506</v>
      </c>
      <c r="M344" s="339"/>
      <c r="N344" s="315"/>
    </row>
    <row r="345" spans="1:14" s="9" customFormat="1" ht="11.25" customHeight="1" x14ac:dyDescent="0.2">
      <c r="A345" s="10">
        <v>70600100</v>
      </c>
      <c r="B345" s="10" t="s">
        <v>7574</v>
      </c>
      <c r="C345" s="11">
        <v>0</v>
      </c>
      <c r="D345" s="11">
        <v>0</v>
      </c>
      <c r="E345" s="11">
        <v>4972.8629999999994</v>
      </c>
      <c r="F345" s="13">
        <f>SUMIF('OD 10-24'!A:A,A345,'OD 10-24'!D:D)</f>
        <v>0</v>
      </c>
      <c r="G345" s="13">
        <f>SUMIF('OD 12-24'!A:A,A345,'OD 12-24'!E:E)</f>
        <v>0</v>
      </c>
      <c r="H345" s="14">
        <f t="shared" si="10"/>
        <v>-4972.8629999999994</v>
      </c>
      <c r="I345" s="14">
        <f t="shared" si="11"/>
        <v>-4972.8629999999994</v>
      </c>
      <c r="J345" s="8" t="s">
        <v>214</v>
      </c>
      <c r="K345" s="8" t="s">
        <v>506</v>
      </c>
      <c r="M345" s="339"/>
      <c r="N345" s="315"/>
    </row>
    <row r="346" spans="1:14" s="9" customFormat="1" ht="11.25" customHeight="1" x14ac:dyDescent="0.2">
      <c r="A346" s="10">
        <v>70600500</v>
      </c>
      <c r="B346" s="10" t="s">
        <v>208</v>
      </c>
      <c r="C346" s="11">
        <v>0</v>
      </c>
      <c r="D346" s="11">
        <v>38770.517999999996</v>
      </c>
      <c r="E346" s="11">
        <v>60430.23</v>
      </c>
      <c r="F346" s="13">
        <f>SUMIF('OD 10-24'!A:A,A346,'OD 10-24'!D:D)</f>
        <v>68918.391000000003</v>
      </c>
      <c r="G346" s="13">
        <f>SUMIF('OD 12-24'!A:A,A346,'OD 12-24'!E:E)</f>
        <v>119622.38099999999</v>
      </c>
      <c r="H346" s="14">
        <f t="shared" si="10"/>
        <v>-72363.70199999999</v>
      </c>
      <c r="I346" s="14">
        <f t="shared" si="11"/>
        <v>-72363.70199999999</v>
      </c>
      <c r="J346" s="8" t="s">
        <v>214</v>
      </c>
      <c r="K346" s="8" t="s">
        <v>506</v>
      </c>
      <c r="M346" s="339"/>
      <c r="N346" s="315"/>
    </row>
    <row r="347" spans="1:14" s="9" customFormat="1" ht="11.25" customHeight="1" x14ac:dyDescent="0.2">
      <c r="A347" s="10">
        <v>71340000</v>
      </c>
      <c r="B347" s="10" t="s">
        <v>382</v>
      </c>
      <c r="C347" s="11">
        <v>0</v>
      </c>
      <c r="D347" s="11">
        <v>744393.83599999989</v>
      </c>
      <c r="E347" s="11">
        <v>0</v>
      </c>
      <c r="F347" s="13">
        <f>SUMIF('OD 10-24'!A:A,A347,'OD 10-24'!D:D)</f>
        <v>2233181.5079999999</v>
      </c>
      <c r="G347" s="13">
        <f>SUMIF('OD 12-24'!A:A,A347,'OD 12-24'!E:E)</f>
        <v>2233181.5079999999</v>
      </c>
      <c r="H347" s="14">
        <f t="shared" si="10"/>
        <v>744393.83599999966</v>
      </c>
      <c r="I347" s="14">
        <f t="shared" si="11"/>
        <v>744393.83599999966</v>
      </c>
      <c r="J347" s="8" t="s">
        <v>210</v>
      </c>
      <c r="K347" s="8" t="s">
        <v>508</v>
      </c>
      <c r="M347" s="339"/>
      <c r="N347" s="315"/>
    </row>
    <row r="348" spans="1:14" s="9" customFormat="1" ht="11.25" customHeight="1" x14ac:dyDescent="0.2">
      <c r="A348" s="10">
        <v>71350000</v>
      </c>
      <c r="B348" s="10" t="s">
        <v>209</v>
      </c>
      <c r="C348" s="11">
        <v>0</v>
      </c>
      <c r="D348" s="11">
        <v>5109884.3080000002</v>
      </c>
      <c r="E348" s="11">
        <v>0</v>
      </c>
      <c r="F348" s="13">
        <f>SUMIF('OD 10-24'!A:A,A348,'OD 10-24'!D:D)</f>
        <v>61078697.377400003</v>
      </c>
      <c r="G348" s="13">
        <f>SUMIF('OD 12-24'!A:A,A348,'OD 12-24'!E:E)</f>
        <v>79106071.691400006</v>
      </c>
      <c r="H348" s="14">
        <f t="shared" si="10"/>
        <v>-12917490.006000005</v>
      </c>
      <c r="I348" s="14">
        <f t="shared" si="11"/>
        <v>-12917490.006000005</v>
      </c>
      <c r="J348" s="8" t="s">
        <v>210</v>
      </c>
      <c r="K348" s="8" t="s">
        <v>508</v>
      </c>
      <c r="M348" s="339"/>
      <c r="N348" s="315"/>
    </row>
    <row r="349" spans="1:14" s="9" customFormat="1" ht="11.25" customHeight="1" x14ac:dyDescent="0.2">
      <c r="A349" s="10">
        <v>73601000</v>
      </c>
      <c r="B349" s="10" t="s">
        <v>211</v>
      </c>
      <c r="C349" s="11">
        <v>0</v>
      </c>
      <c r="D349" s="11">
        <v>5547.0590000000002</v>
      </c>
      <c r="E349" s="11">
        <v>74991.596999999994</v>
      </c>
      <c r="F349" s="13">
        <f>SUMIF('OD 10-24'!A:A,A349,'OD 10-24'!D:D)</f>
        <v>0</v>
      </c>
      <c r="G349" s="13">
        <f>SUMIF('OD 12-24'!A:A,A349,'OD 12-24'!E:E)</f>
        <v>0</v>
      </c>
      <c r="H349" s="14">
        <f t="shared" si="10"/>
        <v>-69444.538</v>
      </c>
      <c r="I349" s="14">
        <f t="shared" si="11"/>
        <v>-69444.538</v>
      </c>
      <c r="J349" s="8" t="s">
        <v>214</v>
      </c>
      <c r="K349" s="8" t="s">
        <v>506</v>
      </c>
      <c r="M349" s="339"/>
      <c r="N349" s="315"/>
    </row>
    <row r="350" spans="1:14" s="9" customFormat="1" ht="11.25" customHeight="1" x14ac:dyDescent="0.2">
      <c r="A350" s="10">
        <v>73602000</v>
      </c>
      <c r="B350" s="10" t="s">
        <v>8975</v>
      </c>
      <c r="C350" s="11">
        <v>0</v>
      </c>
      <c r="D350" s="11">
        <v>0</v>
      </c>
      <c r="E350" s="11">
        <v>18848.343000000001</v>
      </c>
      <c r="F350" s="13">
        <f>SUMIF('OD 10-24'!A:A,A350,'OD 10-24'!D:D)</f>
        <v>0</v>
      </c>
      <c r="G350" s="13">
        <f>SUMIF('OD 12-24'!A:A,A350,'OD 12-24'!E:E)</f>
        <v>0</v>
      </c>
      <c r="H350" s="14">
        <f t="shared" si="10"/>
        <v>-18848.343000000001</v>
      </c>
      <c r="I350" s="14">
        <f t="shared" si="11"/>
        <v>-18848.343000000001</v>
      </c>
      <c r="J350" s="8" t="s">
        <v>214</v>
      </c>
      <c r="K350" s="8" t="s">
        <v>506</v>
      </c>
      <c r="M350" s="339"/>
      <c r="N350" s="315"/>
    </row>
    <row r="351" spans="1:14" s="9" customFormat="1" ht="11.25" customHeight="1" x14ac:dyDescent="0.2">
      <c r="A351" s="10">
        <v>73900000</v>
      </c>
      <c r="B351" s="10" t="s">
        <v>213</v>
      </c>
      <c r="C351" s="11">
        <v>0</v>
      </c>
      <c r="D351" s="11">
        <v>0</v>
      </c>
      <c r="E351" s="11">
        <v>0</v>
      </c>
      <c r="F351" s="13">
        <f>SUMIF('OD 10-24'!A:A,A351,'OD 10-24'!D:D)</f>
        <v>912708.85900000005</v>
      </c>
      <c r="G351" s="13">
        <f>SUMIF('OD 12-24'!A:A,A351,'OD 12-24'!E:E)</f>
        <v>1582028.689</v>
      </c>
      <c r="H351" s="14">
        <f>+D351+F351-E351-G351</f>
        <v>-669319.82999999996</v>
      </c>
      <c r="I351" s="14">
        <f>+H351+C351</f>
        <v>-669319.82999999996</v>
      </c>
      <c r="J351" s="8" t="s">
        <v>214</v>
      </c>
      <c r="K351" s="8" t="s">
        <v>506</v>
      </c>
      <c r="M351" s="339"/>
      <c r="N351" s="315"/>
    </row>
    <row r="352" spans="1:14" s="9" customFormat="1" ht="11.25" customHeight="1" x14ac:dyDescent="0.2">
      <c r="A352" s="10">
        <v>74100000</v>
      </c>
      <c r="B352" s="10" t="s">
        <v>8980</v>
      </c>
      <c r="C352" s="11">
        <v>0</v>
      </c>
      <c r="D352" s="11">
        <v>0</v>
      </c>
      <c r="E352" s="11">
        <v>5128.4340000000002</v>
      </c>
      <c r="F352" s="13">
        <f>SUMIF('OD 10-24'!A:A,A352,'OD 10-24'!D:D)</f>
        <v>0</v>
      </c>
      <c r="G352" s="13">
        <f>SUMIF('OD 12-24'!A:A,A352,'OD 12-24'!E:E)</f>
        <v>0</v>
      </c>
      <c r="H352" s="14">
        <f>+D352+F352-E352-G352</f>
        <v>-5128.4340000000002</v>
      </c>
      <c r="I352" s="14">
        <f>+H352+C352</f>
        <v>-5128.4340000000002</v>
      </c>
      <c r="J352" s="8" t="s">
        <v>214</v>
      </c>
      <c r="K352" s="8" t="s">
        <v>506</v>
      </c>
      <c r="M352" s="339"/>
      <c r="N352" s="315"/>
    </row>
    <row r="353" spans="1:14" s="9" customFormat="1" ht="11.25" customHeight="1" x14ac:dyDescent="0.2">
      <c r="A353" s="10">
        <v>75000000</v>
      </c>
      <c r="B353" s="10" t="s">
        <v>7575</v>
      </c>
      <c r="C353" s="11">
        <v>0</v>
      </c>
      <c r="D353" s="11">
        <v>0</v>
      </c>
      <c r="E353" s="11">
        <v>1074.4860000000001</v>
      </c>
      <c r="F353" s="13">
        <f>SUMIF('OD 10-24'!A:A,A353,'OD 10-24'!D:D)</f>
        <v>0</v>
      </c>
      <c r="G353" s="13">
        <f>SUMIF('OD 12-24'!A:A,A353,'OD 12-24'!E:E)</f>
        <v>0</v>
      </c>
      <c r="H353" s="14">
        <f t="shared" si="10"/>
        <v>-1074.4860000000001</v>
      </c>
      <c r="I353" s="14">
        <f t="shared" si="11"/>
        <v>-1074.4860000000001</v>
      </c>
      <c r="J353" s="8" t="s">
        <v>195</v>
      </c>
      <c r="K353" s="8" t="s">
        <v>517</v>
      </c>
      <c r="M353" s="339"/>
      <c r="N353" s="315"/>
    </row>
    <row r="354" spans="1:14" s="9" customFormat="1" ht="11.25" customHeight="1" x14ac:dyDescent="0.2">
      <c r="A354" s="10">
        <v>75600000</v>
      </c>
      <c r="B354" s="10" t="s">
        <v>215</v>
      </c>
      <c r="C354" s="11">
        <v>0</v>
      </c>
      <c r="D354" s="11">
        <v>1E-3</v>
      </c>
      <c r="E354" s="11">
        <v>11478.505000000001</v>
      </c>
      <c r="F354" s="13">
        <f>SUMIF('OD 10-24'!A:A,A354,'OD 10-24'!D:D)</f>
        <v>23052.332999999999</v>
      </c>
      <c r="G354" s="13">
        <f>SUMIF('OD 12-24'!A:A,A354,'OD 12-24'!E:E)</f>
        <v>81243.839999999997</v>
      </c>
      <c r="H354" s="14">
        <f t="shared" si="10"/>
        <v>-69670.010999999999</v>
      </c>
      <c r="I354" s="14">
        <f t="shared" si="11"/>
        <v>-69670.010999999999</v>
      </c>
      <c r="J354" s="8" t="s">
        <v>195</v>
      </c>
      <c r="K354" s="8" t="s">
        <v>517</v>
      </c>
      <c r="M354" s="339"/>
      <c r="N354" s="315"/>
    </row>
    <row r="355" spans="1:14" s="9" customFormat="1" ht="11.25" customHeight="1" x14ac:dyDescent="0.2">
      <c r="A355" s="10">
        <v>77000000</v>
      </c>
      <c r="B355" s="10" t="s">
        <v>216</v>
      </c>
      <c r="C355" s="11">
        <v>0</v>
      </c>
      <c r="D355" s="11">
        <v>0</v>
      </c>
      <c r="E355" s="11">
        <v>1</v>
      </c>
      <c r="F355" s="13">
        <f>SUMIF('OD 10-24'!A:A,A355,'OD 10-24'!D:D)</f>
        <v>0</v>
      </c>
      <c r="G355" s="13">
        <f>SUMIF('OD 12-24'!A:A,A355,'OD 12-24'!E:E)</f>
        <v>0</v>
      </c>
      <c r="H355" s="14">
        <f t="shared" si="10"/>
        <v>-1</v>
      </c>
      <c r="I355" s="14">
        <f t="shared" si="11"/>
        <v>-1</v>
      </c>
      <c r="J355" s="8" t="s">
        <v>214</v>
      </c>
      <c r="K355" s="8" t="s">
        <v>506</v>
      </c>
      <c r="M355" s="339"/>
      <c r="N355" s="315"/>
    </row>
    <row r="356" spans="1:14" s="9" customFormat="1" ht="11.25" customHeight="1" x14ac:dyDescent="0.2">
      <c r="A356" s="10">
        <v>78000000</v>
      </c>
      <c r="B356" s="10" t="s">
        <v>7576</v>
      </c>
      <c r="C356" s="11">
        <v>0</v>
      </c>
      <c r="D356" s="11">
        <v>0</v>
      </c>
      <c r="E356" s="11">
        <v>59797.479000000007</v>
      </c>
      <c r="F356" s="13">
        <f>SUMIF('OD 10-24'!A:A,A356,'OD 10-24'!D:D)</f>
        <v>0</v>
      </c>
      <c r="G356" s="13">
        <f>SUMIF('OD 12-24'!A:A,A356,'OD 12-24'!E:E)</f>
        <v>0</v>
      </c>
      <c r="H356" s="14">
        <f t="shared" si="10"/>
        <v>-59797.479000000007</v>
      </c>
      <c r="I356" s="14">
        <f t="shared" si="11"/>
        <v>-59797.479000000007</v>
      </c>
      <c r="J356" s="8" t="s">
        <v>7715</v>
      </c>
      <c r="K356" s="8" t="s">
        <v>7716</v>
      </c>
      <c r="M356" s="339"/>
      <c r="N356" s="315"/>
    </row>
    <row r="357" spans="1:14" s="9" customFormat="1" ht="11.25" customHeight="1" x14ac:dyDescent="0.2">
      <c r="A357" s="10">
        <v>79999999</v>
      </c>
      <c r="B357" s="10" t="s">
        <v>383</v>
      </c>
      <c r="C357" s="11">
        <v>-2.6040943339467049E-4</v>
      </c>
      <c r="D357" s="11">
        <v>0</v>
      </c>
      <c r="E357" s="11">
        <v>0</v>
      </c>
      <c r="F357" s="13">
        <f>SUMIF('OD 10-24'!A:A,A357,'OD 10-24'!D:D)</f>
        <v>0</v>
      </c>
      <c r="G357" s="13">
        <f>SUMIF('OD 12-24'!A:A,A357,'OD 12-24'!E:E)</f>
        <v>0</v>
      </c>
      <c r="H357" s="14">
        <f t="shared" si="10"/>
        <v>0</v>
      </c>
      <c r="I357" s="14">
        <f t="shared" si="11"/>
        <v>-2.6040943339467049E-4</v>
      </c>
      <c r="J357" s="8"/>
      <c r="K357" s="8"/>
      <c r="M357" s="339"/>
      <c r="N357" s="315"/>
    </row>
    <row r="358" spans="1:14" ht="15" customHeight="1" x14ac:dyDescent="0.25">
      <c r="C358" s="11">
        <f>SUM(C3:C357)</f>
        <v>1.4514662325382233E-6</v>
      </c>
      <c r="D358" s="11">
        <f>SUM(D3:D357)</f>
        <v>448292645.04270703</v>
      </c>
      <c r="E358" s="11">
        <f t="shared" ref="E358:I358" si="12">SUM(E3:E357)</f>
        <v>448292645.04270709</v>
      </c>
      <c r="F358" s="11">
        <f t="shared" si="12"/>
        <v>492323265.50200009</v>
      </c>
      <c r="G358" s="11">
        <f t="shared" si="12"/>
        <v>608278182.59100008</v>
      </c>
      <c r="H358" s="11">
        <f t="shared" si="12"/>
        <v>-115954917.089</v>
      </c>
      <c r="I358" s="11">
        <f t="shared" si="12"/>
        <v>-115954917.08899854</v>
      </c>
      <c r="L358" s="9"/>
      <c r="M358" s="339"/>
      <c r="N358" s="315"/>
    </row>
    <row r="359" spans="1:14" x14ac:dyDescent="0.25">
      <c r="L359" s="9"/>
      <c r="M359" s="339"/>
    </row>
  </sheetData>
  <autoFilter ref="A2:N358" xr:uid="{00000000-0009-0000-0000-00001E000000}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2:N707"/>
  <sheetViews>
    <sheetView workbookViewId="0">
      <pane ySplit="2" topLeftCell="A27" activePane="bottomLeft" state="frozen"/>
      <selection activeCell="A2" sqref="A2"/>
      <selection pane="bottomLeft" activeCell="F54" sqref="F54"/>
    </sheetView>
  </sheetViews>
  <sheetFormatPr baseColWidth="10" defaultRowHeight="15" x14ac:dyDescent="0.25"/>
  <cols>
    <col min="1" max="1" width="11.5703125" customWidth="1"/>
    <col min="2" max="2" width="28.140625" style="302" customWidth="1"/>
    <col min="3" max="3" width="14.42578125" style="305" bestFit="1" customWidth="1"/>
    <col min="4" max="4" width="16.7109375" style="305" customWidth="1"/>
    <col min="5" max="5" width="16.85546875" style="305" customWidth="1"/>
    <col min="6" max="6" width="15.42578125" style="305" customWidth="1"/>
    <col min="7" max="7" width="14.42578125" style="305" bestFit="1" customWidth="1"/>
    <col min="8" max="8" width="12.7109375" style="305" bestFit="1" customWidth="1"/>
    <col min="9" max="9" width="12.7109375" style="604" bestFit="1" customWidth="1"/>
    <col min="10" max="10" width="25.5703125" style="302" customWidth="1"/>
    <col min="11" max="11" width="16.7109375" style="302" customWidth="1"/>
    <col min="12" max="12" width="11.42578125" style="302"/>
    <col min="13" max="13" width="14.140625" style="302" bestFit="1" customWidth="1"/>
    <col min="14" max="16384" width="11.42578125" style="302"/>
  </cols>
  <sheetData>
    <row r="2" spans="1:14" ht="11.25" x14ac:dyDescent="0.2">
      <c r="A2" s="6" t="s">
        <v>1</v>
      </c>
      <c r="B2" s="6" t="s">
        <v>0</v>
      </c>
      <c r="C2" s="7" t="s">
        <v>5</v>
      </c>
      <c r="D2" s="7" t="s">
        <v>2</v>
      </c>
      <c r="E2" s="7" t="s">
        <v>260</v>
      </c>
      <c r="F2" s="7" t="s">
        <v>218</v>
      </c>
      <c r="G2" s="7" t="s">
        <v>219</v>
      </c>
      <c r="H2" s="7" t="s">
        <v>6</v>
      </c>
      <c r="I2" s="603" t="s">
        <v>217</v>
      </c>
      <c r="J2" s="6" t="s">
        <v>412</v>
      </c>
    </row>
    <row r="3" spans="1:14" s="9" customFormat="1" ht="11.25" customHeight="1" x14ac:dyDescent="0.2">
      <c r="A3" s="10">
        <v>10100000</v>
      </c>
      <c r="B3" s="10" t="s">
        <v>7</v>
      </c>
      <c r="C3" s="11">
        <v>-13500000</v>
      </c>
      <c r="D3" s="11">
        <v>0</v>
      </c>
      <c r="E3" s="11">
        <v>0</v>
      </c>
      <c r="F3" s="13">
        <f>SUMIF('OD 11-24'!A:A,A3,'OD 11-24'!D:D)</f>
        <v>0</v>
      </c>
      <c r="G3" s="13">
        <f>SUMIF('OD 11-24'!A:A,A3,'OD 11-24'!E:E)</f>
        <v>0</v>
      </c>
      <c r="H3" s="14">
        <f t="shared" ref="H3:H66" si="0">+D3+F3-E3-G3</f>
        <v>0</v>
      </c>
      <c r="I3" s="14">
        <f t="shared" ref="I3:I66" si="1">+H3+C3</f>
        <v>-13500000</v>
      </c>
      <c r="J3" s="8" t="s">
        <v>8</v>
      </c>
      <c r="K3" s="8"/>
      <c r="M3" s="339"/>
      <c r="N3" s="315"/>
    </row>
    <row r="4" spans="1:14" s="9" customFormat="1" ht="11.25" customHeight="1" x14ac:dyDescent="0.2">
      <c r="A4" s="10">
        <v>11101000</v>
      </c>
      <c r="B4" s="10" t="s">
        <v>9</v>
      </c>
      <c r="C4" s="11">
        <v>-1200000</v>
      </c>
      <c r="D4" s="11">
        <v>0</v>
      </c>
      <c r="E4" s="11">
        <v>0</v>
      </c>
      <c r="F4" s="13">
        <f>SUMIF('OD 11-24'!A:A,A4,'OD 11-24'!D:D)</f>
        <v>0</v>
      </c>
      <c r="G4" s="13">
        <f>SUMIF('OD 11-24'!A:A,A4,'OD 11-24'!E:E)</f>
        <v>0</v>
      </c>
      <c r="H4" s="14">
        <f t="shared" si="0"/>
        <v>0</v>
      </c>
      <c r="I4" s="14">
        <f t="shared" si="1"/>
        <v>-1200000</v>
      </c>
      <c r="J4" s="8" t="s">
        <v>10</v>
      </c>
      <c r="K4" s="8"/>
      <c r="M4" s="339"/>
      <c r="N4" s="315"/>
    </row>
    <row r="5" spans="1:14" s="9" customFormat="1" ht="11.25" customHeight="1" x14ac:dyDescent="0.2">
      <c r="A5" s="10">
        <v>12100000</v>
      </c>
      <c r="B5" s="10" t="s">
        <v>11</v>
      </c>
      <c r="C5" s="11">
        <v>-22014748.229807556</v>
      </c>
      <c r="D5" s="11">
        <v>0</v>
      </c>
      <c r="E5" s="11">
        <v>0</v>
      </c>
      <c r="F5" s="13">
        <f>SUMIF('OD 11-24'!A:A,A5,'OD 11-24'!D:D)</f>
        <v>0</v>
      </c>
      <c r="G5" s="13">
        <f>SUMIF('OD 11-24'!A:A,A5,'OD 11-24'!E:E)</f>
        <v>0</v>
      </c>
      <c r="H5" s="14">
        <f t="shared" si="0"/>
        <v>0</v>
      </c>
      <c r="I5" s="14">
        <f t="shared" si="1"/>
        <v>-22014748.229807556</v>
      </c>
      <c r="J5" s="8" t="s">
        <v>12</v>
      </c>
      <c r="K5" s="8"/>
      <c r="M5" s="339"/>
      <c r="N5" s="315"/>
    </row>
    <row r="6" spans="1:14" s="9" customFormat="1" ht="11.25" customHeight="1" x14ac:dyDescent="0.2">
      <c r="A6" s="10">
        <v>12200000</v>
      </c>
      <c r="B6" s="10" t="s">
        <v>272</v>
      </c>
      <c r="C6" s="11">
        <v>0</v>
      </c>
      <c r="D6" s="11">
        <v>0</v>
      </c>
      <c r="E6" s="11">
        <v>0</v>
      </c>
      <c r="F6" s="13">
        <f>SUMIF('OD 11-24'!A:A,A6,'OD 11-24'!D:D)</f>
        <v>0</v>
      </c>
      <c r="G6" s="13">
        <f>SUMIF('OD 11-24'!A:A,A6,'OD 11-24'!E:E)</f>
        <v>0</v>
      </c>
      <c r="H6" s="14">
        <f t="shared" si="0"/>
        <v>0</v>
      </c>
      <c r="I6" s="14">
        <f t="shared" si="1"/>
        <v>0</v>
      </c>
      <c r="J6" s="8"/>
      <c r="K6" s="8"/>
      <c r="M6" s="339"/>
      <c r="N6" s="315"/>
    </row>
    <row r="7" spans="1:14" s="9" customFormat="1" ht="11.25" customHeight="1" x14ac:dyDescent="0.2">
      <c r="A7" s="10">
        <v>12800000</v>
      </c>
      <c r="B7" s="10" t="s">
        <v>13</v>
      </c>
      <c r="C7" s="11">
        <v>3126298.01</v>
      </c>
      <c r="D7" s="11">
        <v>0</v>
      </c>
      <c r="E7" s="11">
        <v>0</v>
      </c>
      <c r="F7" s="13">
        <f>SUMIF('OD 11-24'!A:A,A7,'OD 11-24'!D:D)</f>
        <v>0</v>
      </c>
      <c r="G7" s="13">
        <f>SUMIF('OD 11-24'!A:A,A7,'OD 11-24'!E:E)</f>
        <v>0</v>
      </c>
      <c r="H7" s="14">
        <f t="shared" si="0"/>
        <v>0</v>
      </c>
      <c r="I7" s="14">
        <f t="shared" si="1"/>
        <v>3126298.01</v>
      </c>
      <c r="J7" s="8" t="s">
        <v>14</v>
      </c>
      <c r="K7" s="8"/>
      <c r="M7" s="339"/>
      <c r="N7" s="315"/>
    </row>
    <row r="8" spans="1:14" s="9" customFormat="1" ht="11.25" customHeight="1" x14ac:dyDescent="0.2">
      <c r="A8" s="10">
        <v>13000000</v>
      </c>
      <c r="B8" s="10" t="s">
        <v>273</v>
      </c>
      <c r="C8" s="11">
        <v>0</v>
      </c>
      <c r="D8" s="11">
        <v>0</v>
      </c>
      <c r="E8" s="11">
        <v>0</v>
      </c>
      <c r="F8" s="13">
        <f>SUMIF('OD 11-24'!A:A,A8,'OD 11-24'!D:D)</f>
        <v>0</v>
      </c>
      <c r="G8" s="13">
        <f>SUMIF('OD 11-24'!A:A,A8,'OD 11-24'!E:E)</f>
        <v>0</v>
      </c>
      <c r="H8" s="14">
        <f t="shared" si="0"/>
        <v>0</v>
      </c>
      <c r="I8" s="14">
        <f t="shared" si="1"/>
        <v>0</v>
      </c>
      <c r="J8" s="8"/>
      <c r="K8" s="8"/>
      <c r="M8" s="339"/>
      <c r="N8" s="315"/>
    </row>
    <row r="9" spans="1:14" s="9" customFormat="1" ht="11.25" customHeight="1" x14ac:dyDescent="0.2">
      <c r="A9" s="10">
        <v>14500000</v>
      </c>
      <c r="B9" s="10" t="s">
        <v>15</v>
      </c>
      <c r="C9" s="11">
        <v>-3479108.84</v>
      </c>
      <c r="D9" s="11">
        <v>0</v>
      </c>
      <c r="E9" s="11">
        <v>0</v>
      </c>
      <c r="F9" s="13">
        <f>SUMIF('OD 11-24'!A:A,A9,'OD 11-24'!D:D)</f>
        <v>0</v>
      </c>
      <c r="G9" s="13">
        <f>SUMIF('OD 11-24'!A:A,A9,'OD 11-24'!E:E)</f>
        <v>0</v>
      </c>
      <c r="H9" s="14">
        <f t="shared" si="0"/>
        <v>0</v>
      </c>
      <c r="I9" s="14">
        <f t="shared" si="1"/>
        <v>-3479108.84</v>
      </c>
      <c r="J9" s="8" t="s">
        <v>16</v>
      </c>
      <c r="K9" s="8"/>
      <c r="M9" s="339"/>
      <c r="N9" s="315"/>
    </row>
    <row r="10" spans="1:14" s="9" customFormat="1" ht="11.25" customHeight="1" x14ac:dyDescent="0.2">
      <c r="A10" s="10">
        <v>14508000</v>
      </c>
      <c r="B10" s="10" t="s">
        <v>17</v>
      </c>
      <c r="C10" s="11">
        <v>2662861.7680000002</v>
      </c>
      <c r="D10" s="11">
        <v>0</v>
      </c>
      <c r="E10" s="11">
        <v>0</v>
      </c>
      <c r="F10" s="13">
        <f>SUMIF('OD 11-24'!A:A,A10,'OD 11-24'!D:D)</f>
        <v>1338639.6599999999</v>
      </c>
      <c r="G10" s="13">
        <f>SUMIF('OD 11-24'!A:A,A10,'OD 11-24'!E:E)</f>
        <v>1115533.05</v>
      </c>
      <c r="H10" s="14">
        <f t="shared" si="0"/>
        <v>223106.60999999987</v>
      </c>
      <c r="I10" s="14">
        <f t="shared" si="1"/>
        <v>2885968.378</v>
      </c>
      <c r="J10" s="8" t="s">
        <v>18</v>
      </c>
      <c r="K10" s="8"/>
      <c r="M10" s="339"/>
      <c r="N10" s="315"/>
    </row>
    <row r="11" spans="1:14" s="9" customFormat="1" ht="11.25" customHeight="1" x14ac:dyDescent="0.2">
      <c r="A11" s="10">
        <v>15100000</v>
      </c>
      <c r="B11" s="10" t="s">
        <v>19</v>
      </c>
      <c r="C11" s="11">
        <v>-231535.016</v>
      </c>
      <c r="D11" s="11">
        <v>0</v>
      </c>
      <c r="E11" s="11">
        <v>0</v>
      </c>
      <c r="F11" s="13">
        <f>SUMIF('OD 11-24'!A:A,A11,'OD 11-24'!D:D)</f>
        <v>300000</v>
      </c>
      <c r="G11" s="13">
        <f>SUMIF('OD 11-24'!A:A,A11,'OD 11-24'!E:E)</f>
        <v>420000</v>
      </c>
      <c r="H11" s="14">
        <f t="shared" si="0"/>
        <v>-120000</v>
      </c>
      <c r="I11" s="14">
        <f t="shared" si="1"/>
        <v>-351535.016</v>
      </c>
      <c r="J11" s="8" t="s">
        <v>20</v>
      </c>
      <c r="K11" s="8"/>
      <c r="M11" s="339"/>
      <c r="N11" s="315"/>
    </row>
    <row r="12" spans="1:14" s="9" customFormat="1" ht="11.25" customHeight="1" x14ac:dyDescent="0.2">
      <c r="A12" s="10">
        <v>16210250</v>
      </c>
      <c r="B12" s="10" t="s">
        <v>274</v>
      </c>
      <c r="C12" s="11">
        <v>0</v>
      </c>
      <c r="D12" s="11">
        <v>0</v>
      </c>
      <c r="E12" s="11">
        <v>0</v>
      </c>
      <c r="F12" s="13">
        <f>SUMIF('OD 11-24'!A:A,A12,'OD 11-24'!D:D)</f>
        <v>0</v>
      </c>
      <c r="G12" s="13">
        <f>SUMIF('OD 11-24'!A:A,A12,'OD 11-24'!E:E)</f>
        <v>0</v>
      </c>
      <c r="H12" s="14">
        <f t="shared" si="0"/>
        <v>0</v>
      </c>
      <c r="I12" s="14">
        <f t="shared" si="1"/>
        <v>0</v>
      </c>
      <c r="J12" s="8"/>
      <c r="K12" s="8"/>
      <c r="M12" s="339"/>
      <c r="N12" s="315"/>
    </row>
    <row r="13" spans="1:14" s="9" customFormat="1" ht="11.25" customHeight="1" x14ac:dyDescent="0.2">
      <c r="A13" s="10">
        <v>16210500</v>
      </c>
      <c r="B13" s="10" t="s">
        <v>21</v>
      </c>
      <c r="C13" s="11">
        <v>-1416666.6629999988</v>
      </c>
      <c r="D13" s="11">
        <v>0</v>
      </c>
      <c r="E13" s="11">
        <v>0</v>
      </c>
      <c r="F13" s="13">
        <f>SUMIF('OD 11-24'!A:A,A13,'OD 11-24'!D:D)</f>
        <v>0</v>
      </c>
      <c r="G13" s="13">
        <f>SUMIF('OD 11-24'!A:A,A13,'OD 11-24'!E:E)</f>
        <v>0</v>
      </c>
      <c r="H13" s="14">
        <f t="shared" si="0"/>
        <v>0</v>
      </c>
      <c r="I13" s="14">
        <f t="shared" si="1"/>
        <v>-1416666.6629999988</v>
      </c>
      <c r="J13" s="8" t="s">
        <v>22</v>
      </c>
      <c r="K13" s="8"/>
      <c r="M13" s="339"/>
      <c r="N13" s="315"/>
    </row>
    <row r="14" spans="1:14" s="9" customFormat="1" ht="11.25" customHeight="1" x14ac:dyDescent="0.2">
      <c r="A14" s="10">
        <v>16210960</v>
      </c>
      <c r="B14" s="10" t="s">
        <v>275</v>
      </c>
      <c r="C14" s="11">
        <v>0</v>
      </c>
      <c r="D14" s="11">
        <v>0</v>
      </c>
      <c r="E14" s="11">
        <v>0</v>
      </c>
      <c r="F14" s="13">
        <f>SUMIF('OD 11-24'!A:A,A14,'OD 11-24'!D:D)</f>
        <v>0</v>
      </c>
      <c r="G14" s="13">
        <f>SUMIF('OD 11-24'!A:A,A14,'OD 11-24'!E:E)</f>
        <v>0</v>
      </c>
      <c r="H14" s="14">
        <f t="shared" si="0"/>
        <v>0</v>
      </c>
      <c r="I14" s="14">
        <f t="shared" si="1"/>
        <v>0</v>
      </c>
      <c r="J14" s="8"/>
      <c r="K14" s="8"/>
      <c r="M14" s="339"/>
      <c r="N14" s="315"/>
    </row>
    <row r="15" spans="1:14" s="9" customFormat="1" ht="11.25" customHeight="1" x14ac:dyDescent="0.2">
      <c r="A15" s="10">
        <v>16400000</v>
      </c>
      <c r="B15" s="10" t="s">
        <v>276</v>
      </c>
      <c r="C15" s="11">
        <v>-103582.68900000001</v>
      </c>
      <c r="D15" s="11">
        <v>181732.467</v>
      </c>
      <c r="E15" s="11">
        <v>500967.03899999999</v>
      </c>
      <c r="F15" s="13">
        <f>SUMIF('OD 11-24'!A:A,A15,'OD 11-24'!D:D)</f>
        <v>0</v>
      </c>
      <c r="G15" s="13">
        <f>SUMIF('OD 11-24'!A:A,A15,'OD 11-24'!E:E)</f>
        <v>0</v>
      </c>
      <c r="H15" s="14">
        <f t="shared" si="0"/>
        <v>-319234.57199999999</v>
      </c>
      <c r="I15" s="14">
        <f t="shared" si="1"/>
        <v>-422817.261</v>
      </c>
      <c r="J15" s="8" t="s">
        <v>22</v>
      </c>
      <c r="K15" s="8"/>
      <c r="M15" s="339"/>
      <c r="N15" s="315"/>
    </row>
    <row r="16" spans="1:14" s="9" customFormat="1" ht="11.25" customHeight="1" x14ac:dyDescent="0.2">
      <c r="A16" s="10">
        <v>18800000</v>
      </c>
      <c r="B16" s="10" t="s">
        <v>23</v>
      </c>
      <c r="C16" s="11">
        <v>0</v>
      </c>
      <c r="D16" s="11">
        <v>0</v>
      </c>
      <c r="E16" s="11">
        <v>0</v>
      </c>
      <c r="F16" s="13">
        <f>SUMIF('OD 11-24'!A:A,A16,'OD 11-24'!D:D)</f>
        <v>0</v>
      </c>
      <c r="G16" s="13">
        <f>SUMIF('OD 11-24'!A:A,A16,'OD 11-24'!E:E)</f>
        <v>0</v>
      </c>
      <c r="H16" s="14">
        <f t="shared" si="0"/>
        <v>0</v>
      </c>
      <c r="I16" s="14">
        <f t="shared" si="1"/>
        <v>0</v>
      </c>
      <c r="J16" s="8"/>
      <c r="K16" s="8"/>
      <c r="M16" s="339"/>
      <c r="N16" s="315"/>
    </row>
    <row r="17" spans="1:14" s="9" customFormat="1" ht="11.25" customHeight="1" x14ac:dyDescent="0.2">
      <c r="A17" s="10">
        <v>21100000</v>
      </c>
      <c r="B17" s="10" t="s">
        <v>277</v>
      </c>
      <c r="C17" s="11">
        <v>0</v>
      </c>
      <c r="D17" s="11">
        <v>0</v>
      </c>
      <c r="E17" s="11">
        <v>0</v>
      </c>
      <c r="F17" s="13">
        <f>SUMIF('OD 11-24'!A:A,A17,'OD 11-24'!D:D)</f>
        <v>0</v>
      </c>
      <c r="G17" s="13">
        <f>SUMIF('OD 11-24'!A:A,A17,'OD 11-24'!E:E)</f>
        <v>0</v>
      </c>
      <c r="H17" s="14">
        <f t="shared" si="0"/>
        <v>0</v>
      </c>
      <c r="I17" s="14">
        <f t="shared" si="1"/>
        <v>0</v>
      </c>
      <c r="J17" s="8"/>
      <c r="K17" s="8"/>
      <c r="M17" s="339"/>
      <c r="N17" s="315"/>
    </row>
    <row r="18" spans="1:14" s="9" customFormat="1" ht="11.25" customHeight="1" x14ac:dyDescent="0.2">
      <c r="A18" s="10">
        <v>21300000</v>
      </c>
      <c r="B18" s="10" t="s">
        <v>24</v>
      </c>
      <c r="C18" s="11">
        <v>93173.926999999996</v>
      </c>
      <c r="D18" s="11">
        <v>53872.780000000006</v>
      </c>
      <c r="E18" s="11">
        <v>0</v>
      </c>
      <c r="F18" s="13">
        <f>SUMIF('OD 11-24'!A:A,A18,'OD 11-24'!D:D)</f>
        <v>42950.400000000001</v>
      </c>
      <c r="G18" s="13">
        <f>SUMIF('OD 11-24'!A:A,A18,'OD 11-24'!E:E)</f>
        <v>0</v>
      </c>
      <c r="H18" s="14">
        <f t="shared" si="0"/>
        <v>96823.180000000008</v>
      </c>
      <c r="I18" s="14">
        <f t="shared" si="1"/>
        <v>189997.10700000002</v>
      </c>
      <c r="J18" s="8" t="s">
        <v>25</v>
      </c>
      <c r="K18" s="8"/>
      <c r="M18" s="339"/>
      <c r="N18" s="315"/>
    </row>
    <row r="19" spans="1:14" s="9" customFormat="1" ht="11.25" customHeight="1" x14ac:dyDescent="0.2">
      <c r="A19" s="10">
        <v>22000000</v>
      </c>
      <c r="B19" s="10" t="s">
        <v>278</v>
      </c>
      <c r="C19" s="11">
        <v>0</v>
      </c>
      <c r="D19" s="11">
        <v>0</v>
      </c>
      <c r="E19" s="11">
        <v>0</v>
      </c>
      <c r="F19" s="13">
        <f>SUMIF('OD 11-24'!A:A,A19,'OD 11-24'!D:D)</f>
        <v>0</v>
      </c>
      <c r="G19" s="13">
        <f>SUMIF('OD 11-24'!A:A,A19,'OD 11-24'!E:E)</f>
        <v>0</v>
      </c>
      <c r="H19" s="14">
        <f t="shared" si="0"/>
        <v>0</v>
      </c>
      <c r="I19" s="14">
        <f t="shared" si="1"/>
        <v>0</v>
      </c>
      <c r="J19" s="8"/>
      <c r="K19" s="8"/>
      <c r="M19" s="339"/>
      <c r="N19" s="315"/>
    </row>
    <row r="20" spans="1:14" s="9" customFormat="1" ht="11.25" customHeight="1" x14ac:dyDescent="0.2">
      <c r="A20" s="10">
        <v>22100000</v>
      </c>
      <c r="B20" s="10" t="s">
        <v>26</v>
      </c>
      <c r="C20" s="11">
        <v>1275724</v>
      </c>
      <c r="D20" s="11">
        <v>0</v>
      </c>
      <c r="E20" s="11">
        <v>0</v>
      </c>
      <c r="F20" s="13">
        <f>SUMIF('OD 11-24'!A:A,A20,'OD 11-24'!D:D)</f>
        <v>0</v>
      </c>
      <c r="G20" s="13">
        <f>SUMIF('OD 11-24'!A:A,A20,'OD 11-24'!E:E)</f>
        <v>0</v>
      </c>
      <c r="H20" s="14">
        <f t="shared" si="0"/>
        <v>0</v>
      </c>
      <c r="I20" s="14">
        <f t="shared" si="1"/>
        <v>1275724</v>
      </c>
      <c r="J20" s="8" t="s">
        <v>25</v>
      </c>
      <c r="K20" s="8"/>
      <c r="M20" s="339"/>
      <c r="N20" s="315"/>
    </row>
    <row r="21" spans="1:14" s="9" customFormat="1" ht="11.25" customHeight="1" x14ac:dyDescent="0.2">
      <c r="A21" s="10">
        <v>22160000</v>
      </c>
      <c r="B21" s="10" t="s">
        <v>27</v>
      </c>
      <c r="C21" s="11">
        <v>161921.53600000002</v>
      </c>
      <c r="D21" s="11">
        <v>0</v>
      </c>
      <c r="E21" s="11">
        <v>0</v>
      </c>
      <c r="F21" s="13">
        <f>SUMIF('OD 11-24'!A:A,A21,'OD 11-24'!D:D)</f>
        <v>0</v>
      </c>
      <c r="G21" s="13">
        <f>SUMIF('OD 11-24'!A:A,A21,'OD 11-24'!E:E)</f>
        <v>0</v>
      </c>
      <c r="H21" s="14">
        <f t="shared" si="0"/>
        <v>0</v>
      </c>
      <c r="I21" s="14">
        <f t="shared" si="1"/>
        <v>161921.53600000002</v>
      </c>
      <c r="J21" s="8" t="s">
        <v>25</v>
      </c>
      <c r="K21" s="8"/>
      <c r="M21" s="339"/>
      <c r="N21" s="315"/>
    </row>
    <row r="22" spans="1:14" s="9" customFormat="1" ht="11.25" customHeight="1" x14ac:dyDescent="0.2">
      <c r="A22" s="10">
        <v>22200000</v>
      </c>
      <c r="B22" s="10" t="s">
        <v>28</v>
      </c>
      <c r="C22" s="11">
        <v>9174898.748999998</v>
      </c>
      <c r="D22" s="11">
        <v>0</v>
      </c>
      <c r="E22" s="11">
        <v>0</v>
      </c>
      <c r="F22" s="13">
        <f>SUMIF('OD 11-24'!A:A,A22,'OD 11-24'!D:D)</f>
        <v>0</v>
      </c>
      <c r="G22" s="13">
        <f>SUMIF('OD 11-24'!A:A,A22,'OD 11-24'!E:E)</f>
        <v>0</v>
      </c>
      <c r="H22" s="14">
        <f t="shared" si="0"/>
        <v>0</v>
      </c>
      <c r="I22" s="14">
        <f t="shared" si="1"/>
        <v>9174898.748999998</v>
      </c>
      <c r="J22" s="8" t="s">
        <v>25</v>
      </c>
      <c r="K22" s="8"/>
      <c r="M22" s="339"/>
      <c r="N22" s="315"/>
    </row>
    <row r="23" spans="1:14" s="9" customFormat="1" ht="11.25" customHeight="1" x14ac:dyDescent="0.2">
      <c r="A23" s="10">
        <v>22250000</v>
      </c>
      <c r="B23" s="10" t="s">
        <v>29</v>
      </c>
      <c r="C23" s="11">
        <v>696674.05799999996</v>
      </c>
      <c r="D23" s="11">
        <v>110156.76000000001</v>
      </c>
      <c r="E23" s="11">
        <v>13495.522000000001</v>
      </c>
      <c r="F23" s="13">
        <f>SUMIF('OD 11-24'!A:A,A23,'OD 11-24'!D:D)</f>
        <v>0</v>
      </c>
      <c r="G23" s="13">
        <f>SUMIF('OD 11-24'!A:A,A23,'OD 11-24'!E:E)</f>
        <v>0</v>
      </c>
      <c r="H23" s="14">
        <f t="shared" si="0"/>
        <v>96661.238000000012</v>
      </c>
      <c r="I23" s="14">
        <f t="shared" si="1"/>
        <v>793335.29599999997</v>
      </c>
      <c r="J23" s="8" t="s">
        <v>25</v>
      </c>
      <c r="K23" s="8"/>
      <c r="M23" s="339"/>
      <c r="N23" s="315"/>
    </row>
    <row r="24" spans="1:14" s="9" customFormat="1" ht="11.25" customHeight="1" x14ac:dyDescent="0.2">
      <c r="A24" s="10">
        <v>22300000</v>
      </c>
      <c r="B24" s="10" t="s">
        <v>30</v>
      </c>
      <c r="C24" s="11">
        <v>73570.611000000004</v>
      </c>
      <c r="D24" s="11">
        <v>26392</v>
      </c>
      <c r="E24" s="11">
        <v>0</v>
      </c>
      <c r="F24" s="13">
        <f>SUMIF('OD 11-24'!A:A,A24,'OD 11-24'!D:D)</f>
        <v>0</v>
      </c>
      <c r="G24" s="13">
        <f>SUMIF('OD 11-24'!A:A,A24,'OD 11-24'!E:E)</f>
        <v>0</v>
      </c>
      <c r="H24" s="14">
        <f t="shared" si="0"/>
        <v>26392</v>
      </c>
      <c r="I24" s="14">
        <f t="shared" si="1"/>
        <v>99962.611000000004</v>
      </c>
      <c r="J24" s="8" t="s">
        <v>25</v>
      </c>
      <c r="K24" s="8"/>
      <c r="M24" s="339"/>
      <c r="N24" s="315"/>
    </row>
    <row r="25" spans="1:14" s="9" customFormat="1" ht="11.25" customHeight="1" x14ac:dyDescent="0.2">
      <c r="A25" s="10">
        <v>22310000</v>
      </c>
      <c r="B25" s="10" t="s">
        <v>31</v>
      </c>
      <c r="C25" s="11">
        <v>0</v>
      </c>
      <c r="D25" s="11">
        <v>27986.973999999998</v>
      </c>
      <c r="E25" s="11">
        <v>0</v>
      </c>
      <c r="F25" s="13">
        <f>SUMIF('OD 11-24'!A:A,A25,'OD 11-24'!D:D)</f>
        <v>0</v>
      </c>
      <c r="G25" s="13">
        <f>SUMIF('OD 11-24'!A:A,A25,'OD 11-24'!E:E)</f>
        <v>0</v>
      </c>
      <c r="H25" s="14">
        <f t="shared" si="0"/>
        <v>27986.973999999998</v>
      </c>
      <c r="I25" s="14">
        <f t="shared" si="1"/>
        <v>27986.973999999998</v>
      </c>
      <c r="J25" s="8" t="s">
        <v>25</v>
      </c>
      <c r="K25" s="8"/>
      <c r="M25" s="339"/>
      <c r="N25" s="315"/>
    </row>
    <row r="26" spans="1:14" s="9" customFormat="1" ht="11.25" customHeight="1" x14ac:dyDescent="0.2">
      <c r="A26" s="10">
        <v>22340000</v>
      </c>
      <c r="B26" s="10" t="s">
        <v>32</v>
      </c>
      <c r="C26" s="11">
        <v>24676096.882049002</v>
      </c>
      <c r="D26" s="11">
        <v>1284344.3484999998</v>
      </c>
      <c r="E26" s="11">
        <v>353106.76799999998</v>
      </c>
      <c r="F26" s="13">
        <f>SUMIF('OD 11-24'!A:A,A26,'OD 11-24'!D:D)</f>
        <v>9020</v>
      </c>
      <c r="G26" s="13">
        <f>SUMIF('OD 11-24'!A:A,A26,'OD 11-24'!E:E)</f>
        <v>9020</v>
      </c>
      <c r="H26" s="14">
        <f t="shared" si="0"/>
        <v>931237.58049999992</v>
      </c>
      <c r="I26" s="14">
        <f t="shared" si="1"/>
        <v>25607334.462549001</v>
      </c>
      <c r="J26" s="8" t="s">
        <v>25</v>
      </c>
      <c r="K26" s="8"/>
      <c r="M26" s="339"/>
      <c r="N26" s="315"/>
    </row>
    <row r="27" spans="1:14" s="9" customFormat="1" ht="11.25" customHeight="1" x14ac:dyDescent="0.2">
      <c r="A27" s="10">
        <v>22350000</v>
      </c>
      <c r="B27" s="10" t="s">
        <v>33</v>
      </c>
      <c r="C27" s="11">
        <v>651798.13449999969</v>
      </c>
      <c r="D27" s="11">
        <v>85314.448999999993</v>
      </c>
      <c r="E27" s="11">
        <v>2630.2129999999997</v>
      </c>
      <c r="F27" s="13">
        <f>SUMIF('OD 11-24'!A:A,A27,'OD 11-24'!D:D)</f>
        <v>15062.4</v>
      </c>
      <c r="G27" s="13">
        <f>SUMIF('OD 11-24'!A:A,A27,'OD 11-24'!E:E)</f>
        <v>15062.4</v>
      </c>
      <c r="H27" s="14">
        <f t="shared" si="0"/>
        <v>82684.23599999999</v>
      </c>
      <c r="I27" s="14">
        <f t="shared" si="1"/>
        <v>734482.37049999973</v>
      </c>
      <c r="J27" s="8" t="s">
        <v>25</v>
      </c>
      <c r="K27" s="8"/>
      <c r="M27" s="339"/>
      <c r="N27" s="315"/>
    </row>
    <row r="28" spans="1:14" s="9" customFormat="1" ht="11.25" customHeight="1" x14ac:dyDescent="0.2">
      <c r="A28" s="10">
        <v>22370000</v>
      </c>
      <c r="B28" s="10" t="s">
        <v>34</v>
      </c>
      <c r="C28" s="11">
        <v>901593.20599999989</v>
      </c>
      <c r="D28" s="11">
        <v>8125.4519999999993</v>
      </c>
      <c r="E28" s="11">
        <v>8125.4519999999993</v>
      </c>
      <c r="F28" s="13">
        <f>SUMIF('OD 11-24'!A:A,A28,'OD 11-24'!D:D)</f>
        <v>0</v>
      </c>
      <c r="G28" s="13">
        <f>SUMIF('OD 11-24'!A:A,A28,'OD 11-24'!E:E)</f>
        <v>0</v>
      </c>
      <c r="H28" s="14">
        <f t="shared" si="0"/>
        <v>0</v>
      </c>
      <c r="I28" s="14">
        <f t="shared" si="1"/>
        <v>901593.20599999989</v>
      </c>
      <c r="J28" s="8" t="s">
        <v>25</v>
      </c>
      <c r="K28" s="8"/>
      <c r="M28" s="339"/>
      <c r="N28" s="315"/>
    </row>
    <row r="29" spans="1:14" s="9" customFormat="1" ht="11.25" customHeight="1" x14ac:dyDescent="0.2">
      <c r="A29" s="10">
        <v>22400000</v>
      </c>
      <c r="B29" s="10" t="s">
        <v>35</v>
      </c>
      <c r="C29" s="11">
        <v>1176312.6140000001</v>
      </c>
      <c r="D29" s="11">
        <v>133659.84</v>
      </c>
      <c r="E29" s="11">
        <v>96728.61</v>
      </c>
      <c r="F29" s="13">
        <f>SUMIF('OD 11-24'!A:A,A29,'OD 11-24'!D:D)</f>
        <v>0</v>
      </c>
      <c r="G29" s="13">
        <f>SUMIF('OD 11-24'!A:A,A29,'OD 11-24'!E:E)</f>
        <v>0</v>
      </c>
      <c r="H29" s="14">
        <f t="shared" si="0"/>
        <v>36931.229999999996</v>
      </c>
      <c r="I29" s="14">
        <f t="shared" si="1"/>
        <v>1213243.844</v>
      </c>
      <c r="J29" s="8" t="s">
        <v>25</v>
      </c>
      <c r="K29" s="8"/>
      <c r="M29" s="339"/>
      <c r="N29" s="315"/>
    </row>
    <row r="30" spans="1:14" s="9" customFormat="1" ht="11.25" customHeight="1" x14ac:dyDescent="0.2">
      <c r="A30" s="10">
        <v>22810000</v>
      </c>
      <c r="B30" s="10" t="s">
        <v>36</v>
      </c>
      <c r="C30" s="11">
        <v>0</v>
      </c>
      <c r="D30" s="11">
        <v>0</v>
      </c>
      <c r="E30" s="11">
        <v>0</v>
      </c>
      <c r="F30" s="13">
        <f>SUMIF('OD 11-24'!A:A,A30,'OD 11-24'!D:D)</f>
        <v>0</v>
      </c>
      <c r="G30" s="13">
        <f>SUMIF('OD 11-24'!A:A,A30,'OD 11-24'!E:E)</f>
        <v>0</v>
      </c>
      <c r="H30" s="14">
        <f t="shared" si="0"/>
        <v>0</v>
      </c>
      <c r="I30" s="14">
        <f t="shared" si="1"/>
        <v>0</v>
      </c>
      <c r="J30" s="8"/>
      <c r="K30" s="8"/>
      <c r="M30" s="339"/>
      <c r="N30" s="315"/>
    </row>
    <row r="31" spans="1:14" s="9" customFormat="1" ht="11.25" customHeight="1" x14ac:dyDescent="0.2">
      <c r="A31" s="10">
        <v>22820000</v>
      </c>
      <c r="B31" s="10" t="s">
        <v>37</v>
      </c>
      <c r="C31" s="11">
        <v>281171.26415</v>
      </c>
      <c r="D31" s="11">
        <v>54924.694999999992</v>
      </c>
      <c r="E31" s="11">
        <v>313.10000000000002</v>
      </c>
      <c r="F31" s="13">
        <f>SUMIF('OD 11-24'!A:A,A31,'OD 11-24'!D:D)</f>
        <v>0</v>
      </c>
      <c r="G31" s="13">
        <f>SUMIF('OD 11-24'!A:A,A31,'OD 11-24'!E:E)</f>
        <v>0</v>
      </c>
      <c r="H31" s="14">
        <f t="shared" si="0"/>
        <v>54611.594999999994</v>
      </c>
      <c r="I31" s="14">
        <f t="shared" si="1"/>
        <v>335782.85914999997</v>
      </c>
      <c r="J31" s="8" t="s">
        <v>25</v>
      </c>
      <c r="K31" s="8"/>
      <c r="M31" s="339"/>
      <c r="N31" s="315"/>
    </row>
    <row r="32" spans="1:14" s="9" customFormat="1" ht="11.25" customHeight="1" x14ac:dyDescent="0.2">
      <c r="A32" s="10">
        <v>22830000</v>
      </c>
      <c r="B32" s="10" t="s">
        <v>279</v>
      </c>
      <c r="C32" s="11">
        <v>243796.16828599994</v>
      </c>
      <c r="D32" s="11">
        <v>68455.617999999988</v>
      </c>
      <c r="E32" s="11">
        <v>2487.395</v>
      </c>
      <c r="F32" s="13">
        <f>SUMIF('OD 11-24'!A:A,A32,'OD 11-24'!D:D)</f>
        <v>12816.754000000001</v>
      </c>
      <c r="G32" s="13">
        <f>SUMIF('OD 11-24'!A:A,A32,'OD 11-24'!E:E)</f>
        <v>0</v>
      </c>
      <c r="H32" s="14">
        <f t="shared" si="0"/>
        <v>78784.976999999984</v>
      </c>
      <c r="I32" s="14">
        <f t="shared" si="1"/>
        <v>322581.14528599993</v>
      </c>
      <c r="J32" s="8" t="s">
        <v>25</v>
      </c>
      <c r="K32" s="8"/>
      <c r="M32" s="339"/>
      <c r="N32" s="315"/>
    </row>
    <row r="33" spans="1:14" s="9" customFormat="1" ht="11.25" customHeight="1" x14ac:dyDescent="0.2">
      <c r="A33" s="10">
        <v>23000000</v>
      </c>
      <c r="B33" s="10" t="s">
        <v>280</v>
      </c>
      <c r="C33" s="11">
        <v>2.0000000404252205E-5</v>
      </c>
      <c r="D33" s="11">
        <v>0</v>
      </c>
      <c r="E33" s="11">
        <v>0</v>
      </c>
      <c r="F33" s="13">
        <f>SUMIF('OD 11-24'!A:A,A33,'OD 11-24'!D:D)</f>
        <v>0</v>
      </c>
      <c r="G33" s="13">
        <f>SUMIF('OD 11-24'!A:A,A33,'OD 11-24'!E:E)</f>
        <v>0</v>
      </c>
      <c r="H33" s="14">
        <f t="shared" si="0"/>
        <v>0</v>
      </c>
      <c r="I33" s="14">
        <f t="shared" si="1"/>
        <v>2.0000000404252205E-5</v>
      </c>
      <c r="J33" s="8"/>
      <c r="K33" s="8"/>
      <c r="M33" s="339"/>
      <c r="N33" s="315"/>
    </row>
    <row r="34" spans="1:14" s="9" customFormat="1" ht="11.25" customHeight="1" x14ac:dyDescent="0.2">
      <c r="A34" s="10">
        <v>23100000</v>
      </c>
      <c r="B34" s="10" t="s">
        <v>7399</v>
      </c>
      <c r="C34" s="11">
        <v>0</v>
      </c>
      <c r="D34" s="11">
        <v>17045.8</v>
      </c>
      <c r="E34" s="11">
        <v>0</v>
      </c>
      <c r="F34" s="13">
        <f>SUMIF('OD 11-24'!A:A,A34,'OD 11-24'!D:D)</f>
        <v>0</v>
      </c>
      <c r="G34" s="13">
        <f>SUMIF('OD 11-24'!A:A,A34,'OD 11-24'!E:E)</f>
        <v>0</v>
      </c>
      <c r="H34" s="14">
        <f t="shared" si="0"/>
        <v>17045.8</v>
      </c>
      <c r="I34" s="14">
        <f t="shared" si="1"/>
        <v>17045.8</v>
      </c>
      <c r="J34" s="8" t="s">
        <v>25</v>
      </c>
      <c r="K34" s="8"/>
      <c r="M34" s="339"/>
      <c r="N34" s="315"/>
    </row>
    <row r="35" spans="1:14" s="9" customFormat="1" ht="11.25" customHeight="1" x14ac:dyDescent="0.2">
      <c r="A35" s="10">
        <v>23200000</v>
      </c>
      <c r="B35" s="10" t="s">
        <v>38</v>
      </c>
      <c r="C35" s="11">
        <v>404721.24329749867</v>
      </c>
      <c r="D35" s="11">
        <v>262784.84640000004</v>
      </c>
      <c r="E35" s="11">
        <v>97677.876999999993</v>
      </c>
      <c r="F35" s="13">
        <f>SUMIF('OD 11-24'!A:A,A35,'OD 11-24'!D:D)</f>
        <v>0</v>
      </c>
      <c r="G35" s="13">
        <f>SUMIF('OD 11-24'!A:A,A35,'OD 11-24'!E:E)</f>
        <v>0</v>
      </c>
      <c r="H35" s="14">
        <f t="shared" si="0"/>
        <v>165106.96940000006</v>
      </c>
      <c r="I35" s="14">
        <f t="shared" si="1"/>
        <v>569828.21269749873</v>
      </c>
      <c r="J35" s="8" t="s">
        <v>25</v>
      </c>
      <c r="K35" s="8"/>
      <c r="M35" s="339"/>
      <c r="N35" s="315"/>
    </row>
    <row r="36" spans="1:14" s="9" customFormat="1" ht="11.25" customHeight="1" x14ac:dyDescent="0.2">
      <c r="A36" s="10">
        <v>23220000</v>
      </c>
      <c r="B36" s="10" t="s">
        <v>39</v>
      </c>
      <c r="C36" s="11">
        <v>0</v>
      </c>
      <c r="D36" s="11">
        <v>9020.2100000000009</v>
      </c>
      <c r="E36" s="11">
        <v>5800</v>
      </c>
      <c r="F36" s="13">
        <f>SUMIF('OD 11-24'!A:A,A36,'OD 11-24'!D:D)</f>
        <v>0</v>
      </c>
      <c r="G36" s="13">
        <f>SUMIF('OD 11-24'!A:A,A36,'OD 11-24'!E:E)</f>
        <v>0</v>
      </c>
      <c r="H36" s="14">
        <f t="shared" si="0"/>
        <v>3220.2100000000009</v>
      </c>
      <c r="I36" s="14">
        <f t="shared" si="1"/>
        <v>3220.2100000000009</v>
      </c>
      <c r="J36" s="8" t="s">
        <v>25</v>
      </c>
      <c r="K36" s="8"/>
      <c r="M36" s="339"/>
      <c r="N36" s="315"/>
    </row>
    <row r="37" spans="1:14" s="9" customFormat="1" ht="11.25" customHeight="1" x14ac:dyDescent="0.2">
      <c r="A37" s="10">
        <v>23225000</v>
      </c>
      <c r="B37" s="10" t="s">
        <v>281</v>
      </c>
      <c r="C37" s="11">
        <v>0</v>
      </c>
      <c r="D37" s="11">
        <v>0</v>
      </c>
      <c r="E37" s="11">
        <v>0</v>
      </c>
      <c r="F37" s="13">
        <f>SUMIF('OD 11-24'!A:A,A37,'OD 11-24'!D:D)</f>
        <v>0</v>
      </c>
      <c r="G37" s="13">
        <f>SUMIF('OD 11-24'!A:A,A37,'OD 11-24'!E:E)</f>
        <v>0</v>
      </c>
      <c r="H37" s="14">
        <f t="shared" si="0"/>
        <v>0</v>
      </c>
      <c r="I37" s="14">
        <f t="shared" si="1"/>
        <v>0</v>
      </c>
      <c r="J37" s="8"/>
      <c r="K37" s="8"/>
      <c r="M37" s="339"/>
      <c r="N37" s="315"/>
    </row>
    <row r="38" spans="1:14" s="9" customFormat="1" ht="11.25" customHeight="1" x14ac:dyDescent="0.2">
      <c r="A38" s="10">
        <v>23231000</v>
      </c>
      <c r="B38" s="10" t="s">
        <v>282</v>
      </c>
      <c r="C38" s="11">
        <v>0</v>
      </c>
      <c r="D38" s="11">
        <v>0</v>
      </c>
      <c r="E38" s="11">
        <v>0</v>
      </c>
      <c r="F38" s="13">
        <f>SUMIF('OD 11-24'!A:A,A38,'OD 11-24'!D:D)</f>
        <v>0</v>
      </c>
      <c r="G38" s="13">
        <f>SUMIF('OD 11-24'!A:A,A38,'OD 11-24'!E:E)</f>
        <v>0</v>
      </c>
      <c r="H38" s="14">
        <f t="shared" si="0"/>
        <v>0</v>
      </c>
      <c r="I38" s="14">
        <f t="shared" si="1"/>
        <v>0</v>
      </c>
      <c r="J38" s="8"/>
      <c r="K38" s="8"/>
      <c r="M38" s="339"/>
      <c r="N38" s="315"/>
    </row>
    <row r="39" spans="1:14" s="9" customFormat="1" ht="11.25" customHeight="1" x14ac:dyDescent="0.2">
      <c r="A39" s="10">
        <v>23237000</v>
      </c>
      <c r="B39" s="10" t="s">
        <v>283</v>
      </c>
      <c r="C39" s="11">
        <v>0</v>
      </c>
      <c r="D39" s="11">
        <v>0</v>
      </c>
      <c r="E39" s="11">
        <v>0</v>
      </c>
      <c r="F39" s="13">
        <f>SUMIF('OD 11-24'!A:A,A39,'OD 11-24'!D:D)</f>
        <v>0</v>
      </c>
      <c r="G39" s="13">
        <f>SUMIF('OD 11-24'!A:A,A39,'OD 11-24'!E:E)</f>
        <v>0</v>
      </c>
      <c r="H39" s="14">
        <f t="shared" si="0"/>
        <v>0</v>
      </c>
      <c r="I39" s="14">
        <f t="shared" si="1"/>
        <v>0</v>
      </c>
      <c r="J39" s="8"/>
      <c r="K39" s="8"/>
      <c r="M39" s="339"/>
      <c r="N39" s="315"/>
    </row>
    <row r="40" spans="1:14" s="9" customFormat="1" ht="11.25" customHeight="1" x14ac:dyDescent="0.2">
      <c r="A40" s="10">
        <v>23250000</v>
      </c>
      <c r="B40" s="10" t="s">
        <v>284</v>
      </c>
      <c r="C40" s="11">
        <v>0</v>
      </c>
      <c r="D40" s="11">
        <v>0</v>
      </c>
      <c r="E40" s="11">
        <v>0</v>
      </c>
      <c r="F40" s="13">
        <f>SUMIF('OD 11-24'!A:A,A40,'OD 11-24'!D:D)</f>
        <v>0</v>
      </c>
      <c r="G40" s="13">
        <f>SUMIF('OD 11-24'!A:A,A40,'OD 11-24'!E:E)</f>
        <v>0</v>
      </c>
      <c r="H40" s="14">
        <f t="shared" si="0"/>
        <v>0</v>
      </c>
      <c r="I40" s="14">
        <f t="shared" si="1"/>
        <v>0</v>
      </c>
      <c r="J40" s="8"/>
      <c r="K40" s="8"/>
      <c r="M40" s="339"/>
      <c r="N40" s="315"/>
    </row>
    <row r="41" spans="1:14" s="9" customFormat="1" ht="11.25" customHeight="1" x14ac:dyDescent="0.2">
      <c r="A41" s="10">
        <v>23800000</v>
      </c>
      <c r="B41" s="10" t="s">
        <v>285</v>
      </c>
      <c r="C41" s="11">
        <v>0</v>
      </c>
      <c r="D41" s="11">
        <v>0</v>
      </c>
      <c r="E41" s="11">
        <v>0</v>
      </c>
      <c r="F41" s="13">
        <f>SUMIF('OD 11-24'!A:A,A41,'OD 11-24'!D:D)</f>
        <v>0</v>
      </c>
      <c r="G41" s="13">
        <f>SUMIF('OD 11-24'!A:A,A41,'OD 11-24'!E:E)</f>
        <v>0</v>
      </c>
      <c r="H41" s="14">
        <f t="shared" si="0"/>
        <v>0</v>
      </c>
      <c r="I41" s="14">
        <f t="shared" si="1"/>
        <v>0</v>
      </c>
      <c r="J41" s="8"/>
      <c r="K41" s="8"/>
      <c r="M41" s="339"/>
      <c r="N41" s="315"/>
    </row>
    <row r="42" spans="1:14" s="9" customFormat="1" ht="11.25" customHeight="1" x14ac:dyDescent="0.2">
      <c r="A42" s="10">
        <v>24000000</v>
      </c>
      <c r="B42" s="10" t="s">
        <v>40</v>
      </c>
      <c r="C42" s="11">
        <v>770033.75899999996</v>
      </c>
      <c r="D42" s="11">
        <v>675550.6</v>
      </c>
      <c r="E42" s="11">
        <v>385280.63500000001</v>
      </c>
      <c r="F42" s="13">
        <f>SUMIF('OD 11-24'!A:A,A42,'OD 11-24'!D:D)</f>
        <v>0</v>
      </c>
      <c r="G42" s="13">
        <f>SUMIF('OD 11-24'!A:A,A42,'OD 11-24'!E:E)</f>
        <v>0</v>
      </c>
      <c r="H42" s="14">
        <f t="shared" si="0"/>
        <v>290269.96499999997</v>
      </c>
      <c r="I42" s="14">
        <f t="shared" si="1"/>
        <v>1060303.7239999999</v>
      </c>
      <c r="J42" s="8" t="s">
        <v>25</v>
      </c>
      <c r="K42" s="8"/>
      <c r="M42" s="339"/>
      <c r="N42" s="315"/>
    </row>
    <row r="43" spans="1:14" s="9" customFormat="1" ht="11.25" customHeight="1" x14ac:dyDescent="0.2">
      <c r="A43" s="10">
        <v>25100000</v>
      </c>
      <c r="B43" s="10" t="s">
        <v>286</v>
      </c>
      <c r="C43" s="11">
        <v>0</v>
      </c>
      <c r="D43" s="11">
        <v>0</v>
      </c>
      <c r="E43" s="11">
        <v>0</v>
      </c>
      <c r="F43" s="13">
        <f>SUMIF('OD 11-24'!A:A,A43,'OD 11-24'!D:D)</f>
        <v>0</v>
      </c>
      <c r="G43" s="13">
        <f>SUMIF('OD 11-24'!A:A,A43,'OD 11-24'!E:E)</f>
        <v>0</v>
      </c>
      <c r="H43" s="14">
        <f t="shared" si="0"/>
        <v>0</v>
      </c>
      <c r="I43" s="14">
        <f t="shared" si="1"/>
        <v>0</v>
      </c>
      <c r="J43" s="8"/>
      <c r="K43" s="8"/>
      <c r="M43" s="339"/>
      <c r="N43" s="315"/>
    </row>
    <row r="44" spans="1:14" s="9" customFormat="1" ht="11.25" customHeight="1" x14ac:dyDescent="0.2">
      <c r="A44" s="10">
        <v>25110000</v>
      </c>
      <c r="B44" s="10" t="s">
        <v>41</v>
      </c>
      <c r="C44" s="11">
        <v>266820</v>
      </c>
      <c r="D44" s="11">
        <v>0</v>
      </c>
      <c r="E44" s="11">
        <v>0</v>
      </c>
      <c r="F44" s="13">
        <f>SUMIF('OD 11-24'!A:A,A44,'OD 11-24'!D:D)</f>
        <v>0</v>
      </c>
      <c r="G44" s="13">
        <f>SUMIF('OD 11-24'!A:A,A44,'OD 11-24'!E:E)</f>
        <v>0</v>
      </c>
      <c r="H44" s="14">
        <f t="shared" si="0"/>
        <v>0</v>
      </c>
      <c r="I44" s="14">
        <f t="shared" si="1"/>
        <v>266820</v>
      </c>
      <c r="J44" s="8" t="s">
        <v>42</v>
      </c>
      <c r="K44" s="8"/>
      <c r="M44" s="339"/>
      <c r="N44" s="315"/>
    </row>
    <row r="45" spans="1:14" s="9" customFormat="1" ht="11.25" customHeight="1" x14ac:dyDescent="0.2">
      <c r="A45" s="10">
        <v>25120000</v>
      </c>
      <c r="B45" s="10" t="s">
        <v>287</v>
      </c>
      <c r="C45" s="11">
        <v>512700</v>
      </c>
      <c r="D45" s="11">
        <v>0</v>
      </c>
      <c r="E45" s="11">
        <v>0</v>
      </c>
      <c r="F45" s="13">
        <f>SUMIF('OD 11-24'!A:A,A45,'OD 11-24'!D:D)</f>
        <v>0</v>
      </c>
      <c r="G45" s="13">
        <f>SUMIF('OD 11-24'!A:A,A45,'OD 11-24'!E:E)</f>
        <v>0</v>
      </c>
      <c r="H45" s="14">
        <f t="shared" si="0"/>
        <v>0</v>
      </c>
      <c r="I45" s="14">
        <f t="shared" si="1"/>
        <v>512700</v>
      </c>
      <c r="J45" s="8" t="s">
        <v>42</v>
      </c>
      <c r="K45" s="8"/>
      <c r="M45" s="339"/>
      <c r="N45" s="315"/>
    </row>
    <row r="46" spans="1:14" s="9" customFormat="1" ht="11.25" customHeight="1" x14ac:dyDescent="0.2">
      <c r="A46" s="10">
        <v>25130000</v>
      </c>
      <c r="B46" s="10" t="s">
        <v>43</v>
      </c>
      <c r="C46" s="11">
        <v>677000</v>
      </c>
      <c r="D46" s="11">
        <v>0</v>
      </c>
      <c r="E46" s="11">
        <v>0</v>
      </c>
      <c r="F46" s="13">
        <f>SUMIF('OD 11-24'!A:A,A46,'OD 11-24'!D:D)</f>
        <v>0</v>
      </c>
      <c r="G46" s="13">
        <f>SUMIF('OD 11-24'!A:A,A46,'OD 11-24'!E:E)</f>
        <v>0</v>
      </c>
      <c r="H46" s="14">
        <f t="shared" si="0"/>
        <v>0</v>
      </c>
      <c r="I46" s="14">
        <f t="shared" si="1"/>
        <v>677000</v>
      </c>
      <c r="J46" s="8" t="s">
        <v>42</v>
      </c>
      <c r="K46" s="8"/>
      <c r="M46" s="339"/>
      <c r="N46" s="315"/>
    </row>
    <row r="47" spans="1:14" s="9" customFormat="1" ht="11.25" customHeight="1" x14ac:dyDescent="0.2">
      <c r="A47" s="10">
        <v>25140000</v>
      </c>
      <c r="B47" s="10" t="s">
        <v>44</v>
      </c>
      <c r="C47" s="11">
        <v>3150000</v>
      </c>
      <c r="D47" s="11">
        <v>0</v>
      </c>
      <c r="E47" s="11">
        <v>0</v>
      </c>
      <c r="F47" s="13">
        <f>SUMIF('OD 11-24'!A:A,A47,'OD 11-24'!D:D)</f>
        <v>0</v>
      </c>
      <c r="G47" s="13">
        <f>SUMIF('OD 11-24'!A:A,A47,'OD 11-24'!E:E)</f>
        <v>0</v>
      </c>
      <c r="H47" s="14">
        <f t="shared" si="0"/>
        <v>0</v>
      </c>
      <c r="I47" s="14">
        <f t="shared" si="1"/>
        <v>3150000</v>
      </c>
      <c r="J47" s="8" t="s">
        <v>42</v>
      </c>
      <c r="K47" s="8"/>
      <c r="M47" s="339"/>
      <c r="N47" s="315"/>
    </row>
    <row r="48" spans="1:14" s="9" customFormat="1" ht="11.25" customHeight="1" x14ac:dyDescent="0.2">
      <c r="A48" s="10">
        <v>25150000</v>
      </c>
      <c r="B48" s="10" t="s">
        <v>387</v>
      </c>
      <c r="C48" s="11">
        <v>319680</v>
      </c>
      <c r="D48" s="11">
        <v>0</v>
      </c>
      <c r="E48" s="11">
        <v>0</v>
      </c>
      <c r="F48" s="13">
        <f>SUMIF('OD 11-24'!A:A,A48,'OD 11-24'!D:D)</f>
        <v>0</v>
      </c>
      <c r="G48" s="13">
        <f>SUMIF('OD 11-24'!A:A,A48,'OD 11-24'!E:E)</f>
        <v>0</v>
      </c>
      <c r="H48" s="14">
        <f t="shared" si="0"/>
        <v>0</v>
      </c>
      <c r="I48" s="14">
        <f t="shared" si="1"/>
        <v>319680</v>
      </c>
      <c r="J48" s="8" t="s">
        <v>42</v>
      </c>
      <c r="K48" s="8"/>
      <c r="M48" s="339"/>
      <c r="N48" s="315"/>
    </row>
    <row r="49" spans="1:14" s="9" customFormat="1" ht="11.25" customHeight="1" x14ac:dyDescent="0.2">
      <c r="A49" s="10">
        <v>25700000</v>
      </c>
      <c r="B49" s="10" t="s">
        <v>288</v>
      </c>
      <c r="C49" s="11">
        <v>0</v>
      </c>
      <c r="D49" s="11">
        <v>0</v>
      </c>
      <c r="E49" s="11">
        <v>0</v>
      </c>
      <c r="F49" s="13">
        <f>SUMIF('OD 11-24'!A:A,A49,'OD 11-24'!D:D)</f>
        <v>0</v>
      </c>
      <c r="G49" s="13">
        <f>SUMIF('OD 11-24'!A:A,A49,'OD 11-24'!E:E)</f>
        <v>0</v>
      </c>
      <c r="H49" s="14">
        <f t="shared" si="0"/>
        <v>0</v>
      </c>
      <c r="I49" s="14">
        <f t="shared" si="1"/>
        <v>0</v>
      </c>
      <c r="J49" s="8" t="s">
        <v>42</v>
      </c>
      <c r="K49" s="8"/>
      <c r="M49" s="339"/>
      <c r="N49" s="315"/>
    </row>
    <row r="50" spans="1:14" s="9" customFormat="1" ht="11.25" customHeight="1" x14ac:dyDescent="0.2">
      <c r="A50" s="10">
        <v>25810000</v>
      </c>
      <c r="B50" s="10" t="s">
        <v>289</v>
      </c>
      <c r="C50" s="11">
        <v>0</v>
      </c>
      <c r="D50" s="11">
        <v>0</v>
      </c>
      <c r="E50" s="11">
        <v>0</v>
      </c>
      <c r="F50" s="13">
        <f>SUMIF('OD 11-24'!A:A,A50,'OD 11-24'!D:D)</f>
        <v>0</v>
      </c>
      <c r="G50" s="13">
        <f>SUMIF('OD 11-24'!A:A,A50,'OD 11-24'!E:E)</f>
        <v>0</v>
      </c>
      <c r="H50" s="14">
        <f t="shared" si="0"/>
        <v>0</v>
      </c>
      <c r="I50" s="14">
        <f t="shared" si="1"/>
        <v>0</v>
      </c>
      <c r="J50" s="8"/>
      <c r="K50" s="8"/>
      <c r="M50" s="339"/>
      <c r="N50" s="315"/>
    </row>
    <row r="51" spans="1:14" s="9" customFormat="1" ht="11.25" customHeight="1" x14ac:dyDescent="0.2">
      <c r="A51" s="10">
        <v>26400000</v>
      </c>
      <c r="B51" s="10" t="s">
        <v>290</v>
      </c>
      <c r="C51" s="11">
        <v>0</v>
      </c>
      <c r="D51" s="11">
        <v>100</v>
      </c>
      <c r="E51" s="11">
        <v>100</v>
      </c>
      <c r="F51" s="13">
        <f>SUMIF('OD 11-24'!A:A,A51,'OD 11-24'!D:D)</f>
        <v>0</v>
      </c>
      <c r="G51" s="13">
        <f>SUMIF('OD 11-24'!A:A,A51,'OD 11-24'!E:E)</f>
        <v>0</v>
      </c>
      <c r="H51" s="14">
        <f t="shared" si="0"/>
        <v>0</v>
      </c>
      <c r="I51" s="14">
        <f t="shared" si="1"/>
        <v>0</v>
      </c>
      <c r="J51" s="8"/>
      <c r="K51" s="8"/>
      <c r="M51" s="339"/>
      <c r="N51" s="315"/>
    </row>
    <row r="52" spans="1:14" s="9" customFormat="1" ht="11.25" customHeight="1" x14ac:dyDescent="0.2">
      <c r="A52" s="10">
        <v>26430000</v>
      </c>
      <c r="B52" s="10" t="s">
        <v>291</v>
      </c>
      <c r="C52" s="11">
        <v>0</v>
      </c>
      <c r="D52" s="11">
        <v>141500</v>
      </c>
      <c r="E52" s="11">
        <v>141500</v>
      </c>
      <c r="F52" s="13">
        <f>SUMIF('OD 11-24'!A:A,A52,'OD 11-24'!D:D)</f>
        <v>0</v>
      </c>
      <c r="G52" s="13">
        <f>SUMIF('OD 11-24'!A:A,A52,'OD 11-24'!E:E)</f>
        <v>0</v>
      </c>
      <c r="H52" s="14">
        <f t="shared" si="0"/>
        <v>0</v>
      </c>
      <c r="I52" s="14">
        <f t="shared" si="1"/>
        <v>0</v>
      </c>
      <c r="J52" s="8"/>
      <c r="K52" s="8"/>
      <c r="M52" s="339"/>
      <c r="N52" s="315"/>
    </row>
    <row r="53" spans="1:14" s="9" customFormat="1" ht="11.25" customHeight="1" x14ac:dyDescent="0.2">
      <c r="A53" s="10">
        <v>26500000</v>
      </c>
      <c r="B53" s="10" t="s">
        <v>45</v>
      </c>
      <c r="C53" s="11">
        <v>0</v>
      </c>
      <c r="D53" s="11">
        <v>0</v>
      </c>
      <c r="E53" s="11">
        <v>0</v>
      </c>
      <c r="F53" s="13">
        <f>SUMIF('OD 11-24'!A:A,A53,'OD 11-24'!D:D)</f>
        <v>0</v>
      </c>
      <c r="G53" s="13">
        <f>SUMIF('OD 11-24'!A:A,A53,'OD 11-24'!E:E)</f>
        <v>0</v>
      </c>
      <c r="H53" s="14">
        <f t="shared" si="0"/>
        <v>0</v>
      </c>
      <c r="I53" s="14">
        <f t="shared" si="1"/>
        <v>0</v>
      </c>
      <c r="J53" s="8" t="s">
        <v>46</v>
      </c>
      <c r="K53" s="8"/>
      <c r="M53" s="339"/>
      <c r="N53" s="315"/>
    </row>
    <row r="54" spans="1:14" s="9" customFormat="1" ht="11.25" customHeight="1" x14ac:dyDescent="0.2">
      <c r="A54" s="10">
        <v>26510000</v>
      </c>
      <c r="B54" s="10" t="s">
        <v>292</v>
      </c>
      <c r="C54" s="11">
        <v>0</v>
      </c>
      <c r="D54" s="11">
        <v>0</v>
      </c>
      <c r="E54" s="11">
        <v>0</v>
      </c>
      <c r="F54" s="13">
        <f>SUMIF('OD 11-24'!A:A,A54,'OD 11-24'!D:D)</f>
        <v>0</v>
      </c>
      <c r="G54" s="13">
        <f>SUMIF('OD 11-24'!A:A,A54,'OD 11-24'!E:E)</f>
        <v>0</v>
      </c>
      <c r="H54" s="14">
        <f t="shared" si="0"/>
        <v>0</v>
      </c>
      <c r="I54" s="14">
        <f t="shared" si="1"/>
        <v>0</v>
      </c>
      <c r="J54" s="8"/>
      <c r="K54" s="8"/>
      <c r="M54" s="339"/>
      <c r="N54" s="315"/>
    </row>
    <row r="55" spans="1:14" s="9" customFormat="1" ht="11.25" customHeight="1" x14ac:dyDescent="0.2">
      <c r="A55" s="10">
        <v>26550000</v>
      </c>
      <c r="B55" s="10" t="s">
        <v>293</v>
      </c>
      <c r="C55" s="11">
        <v>0</v>
      </c>
      <c r="D55" s="11">
        <v>0</v>
      </c>
      <c r="E55" s="11">
        <v>0</v>
      </c>
      <c r="F55" s="13">
        <f>SUMIF('OD 11-24'!A:A,A55,'OD 11-24'!D:D)</f>
        <v>0</v>
      </c>
      <c r="G55" s="13">
        <f>SUMIF('OD 11-24'!A:A,A55,'OD 11-24'!E:E)</f>
        <v>0</v>
      </c>
      <c r="H55" s="14">
        <f t="shared" si="0"/>
        <v>0</v>
      </c>
      <c r="I55" s="14">
        <f t="shared" si="1"/>
        <v>0</v>
      </c>
      <c r="J55" s="8"/>
      <c r="K55" s="8"/>
      <c r="M55" s="339"/>
      <c r="N55" s="315"/>
    </row>
    <row r="56" spans="1:14" s="9" customFormat="1" ht="11.25" customHeight="1" x14ac:dyDescent="0.2">
      <c r="A56" s="10">
        <v>26580000</v>
      </c>
      <c r="B56" s="10" t="s">
        <v>23</v>
      </c>
      <c r="C56" s="11">
        <v>5771.2</v>
      </c>
      <c r="D56" s="11">
        <v>0</v>
      </c>
      <c r="E56" s="11">
        <v>0</v>
      </c>
      <c r="F56" s="13">
        <f>SUMIF('OD 11-24'!A:A,A56,'OD 11-24'!D:D)</f>
        <v>0</v>
      </c>
      <c r="G56" s="13">
        <f>SUMIF('OD 11-24'!A:A,A56,'OD 11-24'!E:E)</f>
        <v>0</v>
      </c>
      <c r="H56" s="14">
        <f t="shared" si="0"/>
        <v>0</v>
      </c>
      <c r="I56" s="14">
        <f t="shared" si="1"/>
        <v>5771.2</v>
      </c>
      <c r="J56" s="8" t="s">
        <v>46</v>
      </c>
      <c r="K56" s="8"/>
      <c r="M56" s="339"/>
      <c r="N56" s="315"/>
    </row>
    <row r="57" spans="1:14" s="9" customFormat="1" ht="11.25" customHeight="1" x14ac:dyDescent="0.2">
      <c r="A57" s="10">
        <v>27100000</v>
      </c>
      <c r="B57" s="10" t="s">
        <v>294</v>
      </c>
      <c r="C57" s="11">
        <v>0</v>
      </c>
      <c r="D57" s="11">
        <v>0</v>
      </c>
      <c r="E57" s="11">
        <v>0</v>
      </c>
      <c r="F57" s="13">
        <f>SUMIF('OD 11-24'!A:A,A57,'OD 11-24'!D:D)</f>
        <v>0</v>
      </c>
      <c r="G57" s="13">
        <f>SUMIF('OD 11-24'!A:A,A57,'OD 11-24'!E:E)</f>
        <v>0</v>
      </c>
      <c r="H57" s="14">
        <f t="shared" si="0"/>
        <v>0</v>
      </c>
      <c r="I57" s="14">
        <f t="shared" si="1"/>
        <v>0</v>
      </c>
      <c r="J57" s="8"/>
      <c r="K57" s="8"/>
      <c r="M57" s="339"/>
      <c r="N57" s="315"/>
    </row>
    <row r="58" spans="1:14" s="9" customFormat="1" ht="11.25" customHeight="1" x14ac:dyDescent="0.2">
      <c r="A58" s="10">
        <v>28100000</v>
      </c>
      <c r="B58" s="10" t="s">
        <v>295</v>
      </c>
      <c r="C58" s="11">
        <v>0</v>
      </c>
      <c r="D58" s="11">
        <v>0</v>
      </c>
      <c r="E58" s="11">
        <v>0</v>
      </c>
      <c r="F58" s="13">
        <f>SUMIF('OD 11-24'!A:A,A58,'OD 11-24'!D:D)</f>
        <v>0</v>
      </c>
      <c r="G58" s="13">
        <f>SUMIF('OD 11-24'!A:A,A58,'OD 11-24'!E:E)</f>
        <v>0</v>
      </c>
      <c r="H58" s="14">
        <f t="shared" si="0"/>
        <v>0</v>
      </c>
      <c r="I58" s="14">
        <f t="shared" si="1"/>
        <v>0</v>
      </c>
      <c r="J58" s="8"/>
      <c r="K58" s="8"/>
      <c r="M58" s="339"/>
      <c r="N58" s="315"/>
    </row>
    <row r="59" spans="1:14" s="9" customFormat="1" ht="11.25" customHeight="1" x14ac:dyDescent="0.2">
      <c r="A59" s="10">
        <v>28110000</v>
      </c>
      <c r="B59" s="10" t="s">
        <v>296</v>
      </c>
      <c r="C59" s="11">
        <v>0</v>
      </c>
      <c r="D59" s="11">
        <v>0</v>
      </c>
      <c r="E59" s="11">
        <v>0</v>
      </c>
      <c r="F59" s="13">
        <f>SUMIF('OD 11-24'!A:A,A59,'OD 11-24'!D:D)</f>
        <v>0</v>
      </c>
      <c r="G59" s="13">
        <f>SUMIF('OD 11-24'!A:A,A59,'OD 11-24'!E:E)</f>
        <v>0</v>
      </c>
      <c r="H59" s="14">
        <f t="shared" si="0"/>
        <v>0</v>
      </c>
      <c r="I59" s="14">
        <f t="shared" si="1"/>
        <v>0</v>
      </c>
      <c r="J59" s="8"/>
      <c r="K59" s="8"/>
      <c r="M59" s="339"/>
      <c r="N59" s="315"/>
    </row>
    <row r="60" spans="1:14" s="9" customFormat="1" ht="11.25" customHeight="1" x14ac:dyDescent="0.2">
      <c r="A60" s="10">
        <v>28130000</v>
      </c>
      <c r="B60" s="10" t="s">
        <v>8979</v>
      </c>
      <c r="C60" s="11">
        <v>-75004.895999999993</v>
      </c>
      <c r="D60" s="11">
        <v>0</v>
      </c>
      <c r="E60" s="11">
        <v>0</v>
      </c>
      <c r="F60" s="13">
        <f>SUMIF('OD 11-24'!A:A,A60,'OD 11-24'!D:D)</f>
        <v>64295.178</v>
      </c>
      <c r="G60" s="13">
        <f>SUMIF('OD 11-24'!A:A,A60,'OD 11-24'!E:E)</f>
        <v>81494.475999999995</v>
      </c>
      <c r="H60" s="14">
        <f t="shared" si="0"/>
        <v>-17199.297999999995</v>
      </c>
      <c r="I60" s="14">
        <f t="shared" si="1"/>
        <v>-92204.193999999989</v>
      </c>
      <c r="J60" s="8" t="s">
        <v>47</v>
      </c>
      <c r="K60" s="8"/>
      <c r="M60" s="339"/>
      <c r="N60" s="315"/>
    </row>
    <row r="61" spans="1:14" s="9" customFormat="1" ht="11.25" customHeight="1" x14ac:dyDescent="0.2">
      <c r="A61" s="10">
        <v>28216000</v>
      </c>
      <c r="B61" s="10" t="s">
        <v>48</v>
      </c>
      <c r="C61" s="11">
        <v>-148352.71299999999</v>
      </c>
      <c r="D61" s="11">
        <v>0</v>
      </c>
      <c r="E61" s="11">
        <v>0</v>
      </c>
      <c r="F61" s="13">
        <f>SUMIF('OD 11-24'!A:A,A61,'OD 11-24'!D:D)</f>
        <v>12854.441000000001</v>
      </c>
      <c r="G61" s="13">
        <f>SUMIF('OD 11-24'!A:A,A61,'OD 11-24'!E:E)</f>
        <v>15436.151</v>
      </c>
      <c r="H61" s="14">
        <f t="shared" si="0"/>
        <v>-2581.7099999999991</v>
      </c>
      <c r="I61" s="14">
        <f t="shared" si="1"/>
        <v>-150934.42299999998</v>
      </c>
      <c r="J61" s="8" t="s">
        <v>47</v>
      </c>
      <c r="K61" s="8"/>
      <c r="M61" s="339"/>
      <c r="N61" s="315"/>
    </row>
    <row r="62" spans="1:14" s="9" customFormat="1" ht="11.25" customHeight="1" x14ac:dyDescent="0.2">
      <c r="A62" s="10">
        <v>28220000</v>
      </c>
      <c r="B62" s="10" t="s">
        <v>49</v>
      </c>
      <c r="C62" s="11">
        <v>-3729152.5419999999</v>
      </c>
      <c r="D62" s="11">
        <v>0</v>
      </c>
      <c r="E62" s="11">
        <v>0</v>
      </c>
      <c r="F62" s="13">
        <f>SUMIF('OD 11-24'!A:A,A62,'OD 11-24'!D:D)</f>
        <v>2096141.6089999999</v>
      </c>
      <c r="G62" s="13">
        <f>SUMIF('OD 11-24'!A:A,A62,'OD 11-24'!E:E)</f>
        <v>2517134.5720000002</v>
      </c>
      <c r="H62" s="14">
        <f t="shared" si="0"/>
        <v>-420992.96300000022</v>
      </c>
      <c r="I62" s="14">
        <f t="shared" si="1"/>
        <v>-4150145.5049999999</v>
      </c>
      <c r="J62" s="8" t="s">
        <v>47</v>
      </c>
      <c r="K62" s="8"/>
      <c r="M62" s="339"/>
      <c r="N62" s="315"/>
    </row>
    <row r="63" spans="1:14" s="9" customFormat="1" ht="11.25" customHeight="1" x14ac:dyDescent="0.2">
      <c r="A63" s="10">
        <v>28225000</v>
      </c>
      <c r="B63" s="10" t="s">
        <v>50</v>
      </c>
      <c r="C63" s="11">
        <v>-271826.14399999997</v>
      </c>
      <c r="D63" s="11">
        <v>0</v>
      </c>
      <c r="E63" s="11">
        <v>0</v>
      </c>
      <c r="F63" s="13">
        <f>SUMIF('OD 11-24'!A:A,A63,'OD 11-24'!D:D)</f>
        <v>357683.57500000001</v>
      </c>
      <c r="G63" s="13">
        <f>SUMIF('OD 11-24'!A:A,A63,'OD 11-24'!E:E)</f>
        <v>425762.98800000001</v>
      </c>
      <c r="H63" s="14">
        <f t="shared" si="0"/>
        <v>-68079.413</v>
      </c>
      <c r="I63" s="14">
        <f t="shared" si="1"/>
        <v>-339905.55699999997</v>
      </c>
      <c r="J63" s="8" t="s">
        <v>47</v>
      </c>
      <c r="K63" s="8"/>
      <c r="M63" s="339"/>
      <c r="N63" s="315"/>
    </row>
    <row r="64" spans="1:14" s="9" customFormat="1" ht="11.25" customHeight="1" x14ac:dyDescent="0.2">
      <c r="A64" s="10">
        <v>28230000</v>
      </c>
      <c r="B64" s="10" t="s">
        <v>263</v>
      </c>
      <c r="C64" s="11">
        <v>-43130.395000000004</v>
      </c>
      <c r="D64" s="11">
        <v>0</v>
      </c>
      <c r="E64" s="11">
        <v>0</v>
      </c>
      <c r="F64" s="13">
        <f>SUMIF('OD 11-24'!A:A,A64,'OD 11-24'!D:D)</f>
        <v>127143.944</v>
      </c>
      <c r="G64" s="13">
        <f>SUMIF('OD 11-24'!A:A,A64,'OD 11-24'!E:E)</f>
        <v>154557.95600000001</v>
      </c>
      <c r="H64" s="14">
        <f t="shared" si="0"/>
        <v>-27414.012000000002</v>
      </c>
      <c r="I64" s="14">
        <f t="shared" si="1"/>
        <v>-70544.407000000007</v>
      </c>
      <c r="J64" s="8" t="s">
        <v>47</v>
      </c>
      <c r="K64" s="8"/>
      <c r="M64" s="339"/>
      <c r="N64" s="315"/>
    </row>
    <row r="65" spans="1:14" s="9" customFormat="1" ht="11.25" customHeight="1" x14ac:dyDescent="0.2">
      <c r="A65" s="10">
        <v>28231000</v>
      </c>
      <c r="B65" s="10" t="s">
        <v>402</v>
      </c>
      <c r="C65" s="11">
        <v>0</v>
      </c>
      <c r="D65" s="11">
        <v>0</v>
      </c>
      <c r="E65" s="11">
        <v>0</v>
      </c>
      <c r="F65" s="13">
        <f>SUMIF('OD 11-24'!A:A,A65,'OD 11-24'!D:D)</f>
        <v>7885.107</v>
      </c>
      <c r="G65" s="13">
        <f>SUMIF('OD 11-24'!A:A,A65,'OD 11-24'!E:E)</f>
        <v>11271.21</v>
      </c>
      <c r="H65" s="14">
        <f t="shared" si="0"/>
        <v>-3386.1029999999992</v>
      </c>
      <c r="I65" s="14">
        <f t="shared" si="1"/>
        <v>-3386.1029999999992</v>
      </c>
      <c r="J65" s="8" t="s">
        <v>47</v>
      </c>
      <c r="K65" s="8"/>
      <c r="M65" s="339"/>
      <c r="N65" s="315"/>
    </row>
    <row r="66" spans="1:14" s="9" customFormat="1" ht="11.25" customHeight="1" x14ac:dyDescent="0.2">
      <c r="A66" s="10">
        <v>28234000</v>
      </c>
      <c r="B66" s="10" t="s">
        <v>51</v>
      </c>
      <c r="C66" s="11">
        <v>-15867226.817000002</v>
      </c>
      <c r="D66" s="11">
        <v>308651.201</v>
      </c>
      <c r="E66" s="11">
        <v>0</v>
      </c>
      <c r="F66" s="13">
        <f>SUMIF('OD 11-24'!A:A,A66,'OD 11-24'!D:D)</f>
        <v>7435489.2869999995</v>
      </c>
      <c r="G66" s="13">
        <f>SUMIF('OD 11-24'!A:A,A66,'OD 11-24'!E:E)</f>
        <v>8929374.1030000001</v>
      </c>
      <c r="H66" s="14">
        <f t="shared" si="0"/>
        <v>-1185233.6150000002</v>
      </c>
      <c r="I66" s="14">
        <f t="shared" si="1"/>
        <v>-17052460.432000004</v>
      </c>
      <c r="J66" s="8" t="s">
        <v>47</v>
      </c>
      <c r="K66" s="8"/>
      <c r="M66" s="339"/>
      <c r="N66" s="315"/>
    </row>
    <row r="67" spans="1:14" s="9" customFormat="1" ht="11.25" customHeight="1" x14ac:dyDescent="0.2">
      <c r="A67" s="10">
        <v>28235000</v>
      </c>
      <c r="B67" s="10" t="s">
        <v>52</v>
      </c>
      <c r="C67" s="11">
        <v>-355370.76600000006</v>
      </c>
      <c r="D67" s="11">
        <v>0</v>
      </c>
      <c r="E67" s="11">
        <v>0</v>
      </c>
      <c r="F67" s="13">
        <f>SUMIF('OD 11-24'!A:A,A67,'OD 11-24'!D:D)</f>
        <v>267616.41499999998</v>
      </c>
      <c r="G67" s="13">
        <f>SUMIF('OD 11-24'!A:A,A67,'OD 11-24'!E:E)</f>
        <v>321253.58399999997</v>
      </c>
      <c r="H67" s="14">
        <f t="shared" ref="H67:H130" si="2">+D67+F67-E67-G67</f>
        <v>-53637.168999999994</v>
      </c>
      <c r="I67" s="14">
        <f t="shared" ref="I67:I130" si="3">+H67+C67</f>
        <v>-409007.93500000006</v>
      </c>
      <c r="J67" s="8" t="s">
        <v>47</v>
      </c>
      <c r="K67" s="8"/>
      <c r="M67" s="339"/>
      <c r="N67" s="315"/>
    </row>
    <row r="68" spans="1:14" s="9" customFormat="1" ht="11.25" customHeight="1" x14ac:dyDescent="0.2">
      <c r="A68" s="10">
        <v>28237000</v>
      </c>
      <c r="B68" s="10" t="s">
        <v>53</v>
      </c>
      <c r="C68" s="11">
        <v>-756166.84899999993</v>
      </c>
      <c r="D68" s="11">
        <v>0</v>
      </c>
      <c r="E68" s="11">
        <v>0</v>
      </c>
      <c r="F68" s="13">
        <f>SUMIF('OD 11-24'!A:A,A68,'OD 11-24'!D:D)</f>
        <v>192156.66899999999</v>
      </c>
      <c r="G68" s="13">
        <f>SUMIF('OD 11-24'!A:A,A68,'OD 11-24'!E:E)</f>
        <v>227484.307</v>
      </c>
      <c r="H68" s="14">
        <f t="shared" si="2"/>
        <v>-35327.638000000006</v>
      </c>
      <c r="I68" s="14">
        <f t="shared" si="3"/>
        <v>-791494.48699999996</v>
      </c>
      <c r="J68" s="8" t="s">
        <v>47</v>
      </c>
      <c r="K68" s="8"/>
      <c r="M68" s="339"/>
      <c r="N68" s="315"/>
    </row>
    <row r="69" spans="1:14" s="9" customFormat="1" ht="11.25" customHeight="1" x14ac:dyDescent="0.2">
      <c r="A69" s="10">
        <v>28240000</v>
      </c>
      <c r="B69" s="10" t="s">
        <v>54</v>
      </c>
      <c r="C69" s="11">
        <v>-641382.64299999992</v>
      </c>
      <c r="D69" s="11">
        <v>30121.977999999996</v>
      </c>
      <c r="E69" s="11">
        <v>17545.055</v>
      </c>
      <c r="F69" s="13">
        <f>SUMIF('OD 11-24'!A:A,A69,'OD 11-24'!D:D)</f>
        <v>842361.397</v>
      </c>
      <c r="G69" s="13">
        <f>SUMIF('OD 11-24'!A:A,A69,'OD 11-24'!E:E)</f>
        <v>1006246.524</v>
      </c>
      <c r="H69" s="14">
        <f t="shared" si="2"/>
        <v>-151308.20400000003</v>
      </c>
      <c r="I69" s="14">
        <f t="shared" si="3"/>
        <v>-792690.84699999995</v>
      </c>
      <c r="J69" s="8" t="s">
        <v>47</v>
      </c>
      <c r="K69" s="8"/>
      <c r="M69" s="339"/>
      <c r="N69" s="315"/>
    </row>
    <row r="70" spans="1:14" s="9" customFormat="1" ht="11.25" customHeight="1" x14ac:dyDescent="0.2">
      <c r="A70" s="10">
        <v>28282000</v>
      </c>
      <c r="B70" s="10" t="s">
        <v>55</v>
      </c>
      <c r="C70" s="11">
        <v>-227110.92800000001</v>
      </c>
      <c r="D70" s="11">
        <v>0</v>
      </c>
      <c r="E70" s="11">
        <v>0</v>
      </c>
      <c r="F70" s="13">
        <f>SUMIF('OD 11-24'!A:A,A70,'OD 11-24'!D:D)</f>
        <v>249660.44200000001</v>
      </c>
      <c r="G70" s="13">
        <f>SUMIF('OD 11-24'!A:A,A70,'OD 11-24'!E:E)</f>
        <v>301120.571</v>
      </c>
      <c r="H70" s="14">
        <f t="shared" si="2"/>
        <v>-51460.128999999986</v>
      </c>
      <c r="I70" s="14">
        <f t="shared" si="3"/>
        <v>-278571.05700000003</v>
      </c>
      <c r="J70" s="8" t="s">
        <v>47</v>
      </c>
      <c r="K70" s="8"/>
      <c r="M70" s="339"/>
      <c r="N70" s="315"/>
    </row>
    <row r="71" spans="1:14" s="9" customFormat="1" ht="11.25" customHeight="1" x14ac:dyDescent="0.2">
      <c r="A71" s="10">
        <v>28283000</v>
      </c>
      <c r="B71" s="10" t="s">
        <v>264</v>
      </c>
      <c r="C71" s="11">
        <v>-129025.63500000001</v>
      </c>
      <c r="D71" s="11">
        <v>0</v>
      </c>
      <c r="E71" s="11">
        <v>0</v>
      </c>
      <c r="F71" s="13">
        <f>SUMIF('OD 11-24'!A:A,A71,'OD 11-24'!D:D)</f>
        <v>216733.14499999999</v>
      </c>
      <c r="G71" s="13">
        <f>SUMIF('OD 11-24'!A:A,A71,'OD 11-24'!E:E)</f>
        <v>262370.13099999999</v>
      </c>
      <c r="H71" s="14">
        <f t="shared" si="2"/>
        <v>-45636.986000000004</v>
      </c>
      <c r="I71" s="14">
        <f t="shared" si="3"/>
        <v>-174662.62100000001</v>
      </c>
      <c r="J71" s="8" t="s">
        <v>47</v>
      </c>
      <c r="K71" s="8"/>
      <c r="M71" s="339"/>
      <c r="N71" s="315"/>
    </row>
    <row r="72" spans="1:14" s="9" customFormat="1" ht="11.25" customHeight="1" x14ac:dyDescent="0.2">
      <c r="A72" s="10">
        <v>28400000</v>
      </c>
      <c r="B72" s="10" t="s">
        <v>56</v>
      </c>
      <c r="C72" s="11">
        <v>-480076.72500000009</v>
      </c>
      <c r="D72" s="11">
        <v>127922.60400000001</v>
      </c>
      <c r="E72" s="11">
        <v>0</v>
      </c>
      <c r="F72" s="13">
        <f>SUMIF('OD 11-24'!A:A,A72,'OD 11-24'!D:D)</f>
        <v>676036.63699999999</v>
      </c>
      <c r="G72" s="13">
        <f>SUMIF('OD 11-24'!A:A,A72,'OD 11-24'!E:E)</f>
        <v>817246.01199999999</v>
      </c>
      <c r="H72" s="14">
        <f t="shared" si="2"/>
        <v>-13286.77099999995</v>
      </c>
      <c r="I72" s="14">
        <f t="shared" si="3"/>
        <v>-493363.49600000004</v>
      </c>
      <c r="J72" s="8" t="s">
        <v>47</v>
      </c>
      <c r="K72" s="8"/>
      <c r="M72" s="339"/>
      <c r="N72" s="315"/>
    </row>
    <row r="73" spans="1:14" s="9" customFormat="1" ht="11.25" customHeight="1" x14ac:dyDescent="0.2">
      <c r="A73" s="10">
        <v>29220000</v>
      </c>
      <c r="B73" s="10" t="s">
        <v>297</v>
      </c>
      <c r="C73" s="11">
        <v>0</v>
      </c>
      <c r="D73" s="11">
        <v>0</v>
      </c>
      <c r="E73" s="11">
        <v>0</v>
      </c>
      <c r="F73" s="13">
        <f>SUMIF('OD 11-24'!A:A,A73,'OD 11-24'!D:D)</f>
        <v>0</v>
      </c>
      <c r="G73" s="13">
        <f>SUMIF('OD 11-24'!A:A,A73,'OD 11-24'!E:E)</f>
        <v>0</v>
      </c>
      <c r="H73" s="14">
        <f t="shared" si="2"/>
        <v>0</v>
      </c>
      <c r="I73" s="14">
        <f t="shared" si="3"/>
        <v>0</v>
      </c>
      <c r="J73" s="8"/>
      <c r="K73" s="8"/>
      <c r="M73" s="339"/>
      <c r="N73" s="315"/>
    </row>
    <row r="74" spans="1:14" s="9" customFormat="1" ht="11.25" customHeight="1" x14ac:dyDescent="0.2">
      <c r="A74" s="10">
        <v>29234000</v>
      </c>
      <c r="B74" s="10" t="s">
        <v>388</v>
      </c>
      <c r="C74" s="11">
        <v>-223876.883</v>
      </c>
      <c r="D74" s="11">
        <v>59797.479000000007</v>
      </c>
      <c r="E74" s="11">
        <v>0</v>
      </c>
      <c r="F74" s="13">
        <f>SUMIF('OD 11-24'!A:A,A74,'OD 11-24'!D:D)</f>
        <v>300000</v>
      </c>
      <c r="G74" s="13">
        <f>SUMIF('OD 11-24'!A:A,A74,'OD 11-24'!E:E)</f>
        <v>400000</v>
      </c>
      <c r="H74" s="14">
        <f t="shared" si="2"/>
        <v>-40202.521000000008</v>
      </c>
      <c r="I74" s="14">
        <f t="shared" si="3"/>
        <v>-264079.40399999998</v>
      </c>
      <c r="J74" s="8" t="s">
        <v>401</v>
      </c>
      <c r="K74" s="8"/>
      <c r="M74" s="339"/>
      <c r="N74" s="315"/>
    </row>
    <row r="75" spans="1:14" s="9" customFormat="1" ht="11.25" customHeight="1" x14ac:dyDescent="0.2">
      <c r="A75" s="10">
        <v>29235000</v>
      </c>
      <c r="B75" s="10" t="s">
        <v>389</v>
      </c>
      <c r="C75" s="11">
        <v>-8171.429000000001</v>
      </c>
      <c r="D75" s="11">
        <v>0</v>
      </c>
      <c r="E75" s="11">
        <v>0</v>
      </c>
      <c r="F75" s="13">
        <f>SUMIF('OD 11-24'!A:A,A75,'OD 11-24'!D:D)</f>
        <v>0</v>
      </c>
      <c r="G75" s="13">
        <f>SUMIF('OD 11-24'!A:A,A75,'OD 11-24'!E:E)</f>
        <v>0</v>
      </c>
      <c r="H75" s="14">
        <f t="shared" si="2"/>
        <v>0</v>
      </c>
      <c r="I75" s="14">
        <f t="shared" si="3"/>
        <v>-8171.429000000001</v>
      </c>
      <c r="J75" s="8" t="s">
        <v>401</v>
      </c>
      <c r="K75" s="8"/>
      <c r="M75" s="339"/>
      <c r="N75" s="315"/>
    </row>
    <row r="76" spans="1:14" s="9" customFormat="1" ht="11.25" customHeight="1" x14ac:dyDescent="0.2">
      <c r="A76" s="10">
        <v>29282000</v>
      </c>
      <c r="B76" s="10" t="s">
        <v>298</v>
      </c>
      <c r="C76" s="11">
        <v>0</v>
      </c>
      <c r="D76" s="11">
        <v>0</v>
      </c>
      <c r="E76" s="11">
        <v>0</v>
      </c>
      <c r="F76" s="13">
        <f>SUMIF('OD 11-24'!A:A,A76,'OD 11-24'!D:D)</f>
        <v>0</v>
      </c>
      <c r="G76" s="13">
        <f>SUMIF('OD 11-24'!A:A,A76,'OD 11-24'!E:E)</f>
        <v>0</v>
      </c>
      <c r="H76" s="14">
        <f t="shared" si="2"/>
        <v>0</v>
      </c>
      <c r="I76" s="14">
        <f t="shared" si="3"/>
        <v>0</v>
      </c>
      <c r="J76" s="8"/>
      <c r="K76" s="8"/>
      <c r="M76" s="339"/>
      <c r="N76" s="315"/>
    </row>
    <row r="77" spans="1:14" s="9" customFormat="1" ht="11.25" customHeight="1" x14ac:dyDescent="0.2">
      <c r="A77" s="10">
        <v>29286500</v>
      </c>
      <c r="B77" s="10" t="s">
        <v>299</v>
      </c>
      <c r="C77" s="11">
        <v>0</v>
      </c>
      <c r="D77" s="11">
        <v>0</v>
      </c>
      <c r="E77" s="11">
        <v>0</v>
      </c>
      <c r="F77" s="13">
        <f>SUMIF('OD 11-24'!A:A,A77,'OD 11-24'!D:D)</f>
        <v>0</v>
      </c>
      <c r="G77" s="13">
        <f>SUMIF('OD 11-24'!A:A,A77,'OD 11-24'!E:E)</f>
        <v>0</v>
      </c>
      <c r="H77" s="14">
        <f t="shared" si="2"/>
        <v>0</v>
      </c>
      <c r="I77" s="14">
        <f t="shared" si="3"/>
        <v>0</v>
      </c>
      <c r="J77" s="8" t="s">
        <v>25</v>
      </c>
      <c r="K77" s="8"/>
      <c r="M77" s="339"/>
      <c r="N77" s="315"/>
    </row>
    <row r="78" spans="1:14" s="9" customFormat="1" ht="11.25" customHeight="1" x14ac:dyDescent="0.2">
      <c r="A78" s="10">
        <v>29700000</v>
      </c>
      <c r="B78" s="10" t="s">
        <v>57</v>
      </c>
      <c r="C78" s="11">
        <v>-29257.384999999998</v>
      </c>
      <c r="D78" s="11">
        <v>0</v>
      </c>
      <c r="E78" s="11">
        <v>0</v>
      </c>
      <c r="F78" s="13">
        <f>SUMIF('OD 11-24'!A:A,A78,'OD 11-24'!D:D)</f>
        <v>0</v>
      </c>
      <c r="G78" s="13">
        <f>SUMIF('OD 11-24'!A:A,A78,'OD 11-24'!E:E)</f>
        <v>0</v>
      </c>
      <c r="H78" s="14">
        <f t="shared" si="2"/>
        <v>0</v>
      </c>
      <c r="I78" s="14">
        <f t="shared" si="3"/>
        <v>-29257.384999999998</v>
      </c>
      <c r="J78" s="8" t="s">
        <v>58</v>
      </c>
      <c r="K78" s="8"/>
      <c r="M78" s="339"/>
      <c r="N78" s="315"/>
    </row>
    <row r="79" spans="1:14" s="9" customFormat="1" ht="11.25" customHeight="1" x14ac:dyDescent="0.2">
      <c r="A79" s="10">
        <v>31100000</v>
      </c>
      <c r="B79" s="10" t="s">
        <v>59</v>
      </c>
      <c r="C79" s="11">
        <v>9520075.0200000107</v>
      </c>
      <c r="D79" s="11">
        <v>0</v>
      </c>
      <c r="E79" s="11">
        <v>9520075.0199999996</v>
      </c>
      <c r="F79" s="13">
        <f>SUMIF('OD 11-24'!A:A,A79,'OD 11-24'!D:D)</f>
        <v>140745458.85620001</v>
      </c>
      <c r="G79" s="13">
        <f>SUMIF('OD 11-24'!A:A,A79,'OD 11-24'!E:E)</f>
        <v>129652455.1802</v>
      </c>
      <c r="H79" s="14">
        <f t="shared" si="2"/>
        <v>1572928.6560000181</v>
      </c>
      <c r="I79" s="14">
        <f t="shared" si="3"/>
        <v>11093003.676000029</v>
      </c>
      <c r="J79" s="8" t="s">
        <v>60</v>
      </c>
      <c r="K79" s="8"/>
      <c r="M79" s="339"/>
      <c r="N79" s="315"/>
    </row>
    <row r="80" spans="1:14" s="9" customFormat="1" ht="11.25" customHeight="1" x14ac:dyDescent="0.2">
      <c r="A80" s="10">
        <v>31200000</v>
      </c>
      <c r="B80" s="10" t="s">
        <v>390</v>
      </c>
      <c r="C80" s="11">
        <v>1881173.9139999996</v>
      </c>
      <c r="D80" s="11">
        <v>0</v>
      </c>
      <c r="E80" s="11">
        <v>1881173.9140000001</v>
      </c>
      <c r="F80" s="13">
        <f>SUMIF('OD 11-24'!A:A,A80,'OD 11-24'!D:D)</f>
        <v>5854753.227</v>
      </c>
      <c r="G80" s="13">
        <f>SUMIF('OD 11-24'!A:A,A80,'OD 11-24'!E:E)</f>
        <v>5854753.227</v>
      </c>
      <c r="H80" s="14">
        <f t="shared" si="2"/>
        <v>-1881173.9139999999</v>
      </c>
      <c r="I80" s="14">
        <f t="shared" si="3"/>
        <v>0</v>
      </c>
      <c r="J80" s="8" t="s">
        <v>60</v>
      </c>
      <c r="K80" s="8"/>
      <c r="M80" s="339"/>
      <c r="N80" s="315"/>
    </row>
    <row r="81" spans="1:14" s="9" customFormat="1" ht="11.25" customHeight="1" x14ac:dyDescent="0.2">
      <c r="A81" s="10">
        <v>32200000</v>
      </c>
      <c r="B81" s="10" t="s">
        <v>61</v>
      </c>
      <c r="C81" s="11">
        <v>662156.42899999954</v>
      </c>
      <c r="D81" s="11">
        <v>0</v>
      </c>
      <c r="E81" s="11">
        <v>662156.429</v>
      </c>
      <c r="F81" s="13">
        <f>SUMIF('OD 11-24'!A:A,A81,'OD 11-24'!D:D)</f>
        <v>9358523.2255000006</v>
      </c>
      <c r="G81" s="13">
        <f>SUMIF('OD 11-24'!A:A,A81,'OD 11-24'!E:E)</f>
        <v>8614830.8774999995</v>
      </c>
      <c r="H81" s="14">
        <f t="shared" si="2"/>
        <v>81535.919000001624</v>
      </c>
      <c r="I81" s="14">
        <f t="shared" si="3"/>
        <v>743692.34800000116</v>
      </c>
      <c r="J81" s="8" t="s">
        <v>60</v>
      </c>
      <c r="K81" s="8"/>
      <c r="M81" s="339"/>
      <c r="N81" s="315"/>
    </row>
    <row r="82" spans="1:14" s="9" customFormat="1" ht="11.25" customHeight="1" x14ac:dyDescent="0.2">
      <c r="A82" s="10">
        <v>33100000</v>
      </c>
      <c r="B82" s="10" t="s">
        <v>62</v>
      </c>
      <c r="C82" s="11">
        <v>3435380.2890000008</v>
      </c>
      <c r="D82" s="11">
        <v>0</v>
      </c>
      <c r="E82" s="11">
        <v>3435380.2889999999</v>
      </c>
      <c r="F82" s="13">
        <f>SUMIF('OD 11-24'!A:A,A82,'OD 11-24'!D:D)</f>
        <v>54964978.217399999</v>
      </c>
      <c r="G82" s="13">
        <f>SUMIF('OD 11-24'!A:A,A82,'OD 11-24'!E:E)</f>
        <v>49026901.486400001</v>
      </c>
      <c r="H82" s="14">
        <f t="shared" si="2"/>
        <v>2502696.4420000017</v>
      </c>
      <c r="I82" s="14">
        <f t="shared" si="3"/>
        <v>5938076.7310000025</v>
      </c>
      <c r="J82" s="8" t="s">
        <v>60</v>
      </c>
      <c r="K82" s="8"/>
      <c r="M82" s="339"/>
      <c r="N82" s="315"/>
    </row>
    <row r="83" spans="1:14" s="9" customFormat="1" ht="11.25" customHeight="1" x14ac:dyDescent="0.2">
      <c r="A83" s="10">
        <v>33500000</v>
      </c>
      <c r="B83" s="10" t="s">
        <v>300</v>
      </c>
      <c r="C83" s="11">
        <v>0</v>
      </c>
      <c r="D83" s="11">
        <v>0</v>
      </c>
      <c r="E83" s="11">
        <v>0</v>
      </c>
      <c r="F83" s="13">
        <f>SUMIF('OD 11-24'!A:A,A83,'OD 11-24'!D:D)</f>
        <v>0</v>
      </c>
      <c r="G83" s="13">
        <f>SUMIF('OD 11-24'!A:A,A83,'OD 11-24'!E:E)</f>
        <v>0</v>
      </c>
      <c r="H83" s="14">
        <f t="shared" si="2"/>
        <v>0</v>
      </c>
      <c r="I83" s="14">
        <f t="shared" si="3"/>
        <v>0</v>
      </c>
      <c r="J83" s="8"/>
      <c r="K83" s="8"/>
      <c r="M83" s="339"/>
      <c r="N83" s="315"/>
    </row>
    <row r="84" spans="1:14" s="9" customFormat="1" ht="11.25" customHeight="1" x14ac:dyDescent="0.2">
      <c r="A84" s="10">
        <v>34100000</v>
      </c>
      <c r="B84" s="10" t="s">
        <v>301</v>
      </c>
      <c r="C84" s="11">
        <v>0</v>
      </c>
      <c r="D84" s="11">
        <v>0</v>
      </c>
      <c r="E84" s="11">
        <v>0</v>
      </c>
      <c r="F84" s="13">
        <f>SUMIF('OD 11-24'!A:A,A84,'OD 11-24'!D:D)</f>
        <v>0</v>
      </c>
      <c r="G84" s="13">
        <f>SUMIF('OD 11-24'!A:A,A84,'OD 11-24'!E:E)</f>
        <v>0</v>
      </c>
      <c r="H84" s="14">
        <f t="shared" si="2"/>
        <v>0</v>
      </c>
      <c r="I84" s="14">
        <f t="shared" si="3"/>
        <v>0</v>
      </c>
      <c r="J84" s="8"/>
      <c r="K84" s="8"/>
      <c r="M84" s="339"/>
      <c r="N84" s="315"/>
    </row>
    <row r="85" spans="1:14" s="9" customFormat="1" ht="11.25" customHeight="1" x14ac:dyDescent="0.2">
      <c r="A85" s="10">
        <v>35500000</v>
      </c>
      <c r="B85" s="10" t="s">
        <v>63</v>
      </c>
      <c r="C85" s="11">
        <v>1674504.0189999994</v>
      </c>
      <c r="D85" s="11">
        <v>19.696999999999999</v>
      </c>
      <c r="E85" s="11">
        <v>1674523.716</v>
      </c>
      <c r="F85" s="13">
        <f>SUMIF('OD 11-24'!A:A,A85,'OD 11-24'!D:D)</f>
        <v>17786463.848999999</v>
      </c>
      <c r="G85" s="13">
        <f>SUMIF('OD 11-24'!A:A,A85,'OD 11-24'!E:E)</f>
        <v>17533716.734000001</v>
      </c>
      <c r="H85" s="14">
        <f t="shared" si="2"/>
        <v>-1421756.904000001</v>
      </c>
      <c r="I85" s="14">
        <f t="shared" si="3"/>
        <v>252747.11499999836</v>
      </c>
      <c r="J85" s="8" t="s">
        <v>60</v>
      </c>
      <c r="K85" s="8"/>
      <c r="M85" s="339"/>
      <c r="N85" s="315"/>
    </row>
    <row r="86" spans="1:14" s="9" customFormat="1" ht="11.25" customHeight="1" x14ac:dyDescent="0.2">
      <c r="A86" s="10">
        <v>39000000</v>
      </c>
      <c r="B86" s="10" t="s">
        <v>64</v>
      </c>
      <c r="C86" s="11">
        <v>-208158.11300000001</v>
      </c>
      <c r="D86" s="11">
        <v>0</v>
      </c>
      <c r="E86" s="11">
        <v>0</v>
      </c>
      <c r="F86" s="13">
        <f>SUMIF('OD 11-24'!A:A,A86,'OD 11-24'!D:D)</f>
        <v>1902431.1340000001</v>
      </c>
      <c r="G86" s="13">
        <f>SUMIF('OD 11-24'!A:A,A86,'OD 11-24'!E:E)</f>
        <v>2402431.1340000001</v>
      </c>
      <c r="H86" s="14">
        <f t="shared" si="2"/>
        <v>-500000</v>
      </c>
      <c r="I86" s="14">
        <f t="shared" si="3"/>
        <v>-708158.11300000001</v>
      </c>
      <c r="J86" s="8" t="s">
        <v>65</v>
      </c>
      <c r="K86" s="8"/>
      <c r="M86" s="339"/>
      <c r="N86" s="315"/>
    </row>
    <row r="87" spans="1:14" s="9" customFormat="1" ht="11.25" customHeight="1" x14ac:dyDescent="0.2">
      <c r="A87" s="10">
        <v>40100000</v>
      </c>
      <c r="B87" s="10" t="s">
        <v>66</v>
      </c>
      <c r="C87" s="11">
        <v>-2875441.9530395269</v>
      </c>
      <c r="D87" s="11">
        <v>58150229.926376998</v>
      </c>
      <c r="E87" s="11">
        <v>61833429.841659009</v>
      </c>
      <c r="F87" s="13">
        <f>SUMIF('OD 11-24'!A:A,A87,'OD 11-24'!D:D)</f>
        <v>823434.255</v>
      </c>
      <c r="G87" s="13">
        <f>SUMIF('OD 11-24'!A:A,A87,'OD 11-24'!E:E)</f>
        <v>823434.255</v>
      </c>
      <c r="H87" s="14">
        <f t="shared" si="2"/>
        <v>-3683199.9152820082</v>
      </c>
      <c r="I87" s="14">
        <f t="shared" si="3"/>
        <v>-6558641.8683215352</v>
      </c>
      <c r="J87" s="8" t="s">
        <v>67</v>
      </c>
      <c r="K87" s="8"/>
      <c r="M87" s="339"/>
      <c r="N87" s="315"/>
    </row>
    <row r="88" spans="1:14" s="9" customFormat="1" ht="11.25" customHeight="1" x14ac:dyDescent="0.2">
      <c r="A88" s="10">
        <v>40300000</v>
      </c>
      <c r="B88" s="10" t="s">
        <v>68</v>
      </c>
      <c r="C88" s="11">
        <v>-970419.35000000149</v>
      </c>
      <c r="D88" s="11">
        <v>3047628.1979999999</v>
      </c>
      <c r="E88" s="11">
        <v>2405631.6719999998</v>
      </c>
      <c r="F88" s="13">
        <f>SUMIF('OD 11-24'!A:A,A88,'OD 11-24'!D:D)</f>
        <v>0</v>
      </c>
      <c r="G88" s="13">
        <f>SUMIF('OD 11-24'!A:A,A88,'OD 11-24'!E:E)</f>
        <v>0</v>
      </c>
      <c r="H88" s="14">
        <f t="shared" si="2"/>
        <v>641996.52600000007</v>
      </c>
      <c r="I88" s="14">
        <f t="shared" si="3"/>
        <v>-328422.82400000142</v>
      </c>
      <c r="J88" s="8" t="s">
        <v>67</v>
      </c>
      <c r="K88" s="8"/>
      <c r="M88" s="339"/>
      <c r="N88" s="315"/>
    </row>
    <row r="89" spans="1:14" s="9" customFormat="1" ht="11.25" customHeight="1" x14ac:dyDescent="0.2">
      <c r="A89" s="10">
        <v>40301000</v>
      </c>
      <c r="B89" s="10" t="s">
        <v>302</v>
      </c>
      <c r="C89" s="11">
        <v>0</v>
      </c>
      <c r="D89" s="11">
        <v>0</v>
      </c>
      <c r="E89" s="11">
        <v>0</v>
      </c>
      <c r="F89" s="13">
        <f>SUMIF('OD 11-24'!A:A,A89,'OD 11-24'!D:D)</f>
        <v>0</v>
      </c>
      <c r="G89" s="13">
        <f>SUMIF('OD 11-24'!A:A,A89,'OD 11-24'!E:E)</f>
        <v>0</v>
      </c>
      <c r="H89" s="14">
        <f t="shared" si="2"/>
        <v>0</v>
      </c>
      <c r="I89" s="14">
        <f t="shared" si="3"/>
        <v>0</v>
      </c>
      <c r="J89" s="8"/>
      <c r="K89" s="8"/>
      <c r="M89" s="339"/>
      <c r="N89" s="315"/>
    </row>
    <row r="90" spans="1:14" s="9" customFormat="1" ht="11.25" customHeight="1" x14ac:dyDescent="0.2">
      <c r="A90" s="10">
        <v>40400000</v>
      </c>
      <c r="B90" s="10" t="s">
        <v>69</v>
      </c>
      <c r="C90" s="11">
        <v>9.999983012676239E-5</v>
      </c>
      <c r="D90" s="11">
        <v>0</v>
      </c>
      <c r="E90" s="11">
        <v>0</v>
      </c>
      <c r="F90" s="13">
        <f>SUMIF('OD 11-24'!A:A,A90,'OD 11-24'!D:D)</f>
        <v>0</v>
      </c>
      <c r="G90" s="13">
        <f>SUMIF('OD 11-24'!A:A,A90,'OD 11-24'!E:E)</f>
        <v>0</v>
      </c>
      <c r="H90" s="14">
        <f t="shared" si="2"/>
        <v>0</v>
      </c>
      <c r="I90" s="14">
        <f t="shared" si="3"/>
        <v>9.999983012676239E-5</v>
      </c>
      <c r="J90" s="8"/>
      <c r="K90" s="8"/>
      <c r="M90" s="339"/>
      <c r="N90" s="315"/>
    </row>
    <row r="91" spans="1:14" s="9" customFormat="1" ht="11.25" customHeight="1" x14ac:dyDescent="0.2">
      <c r="A91" s="10">
        <v>40470000</v>
      </c>
      <c r="B91" s="10" t="s">
        <v>303</v>
      </c>
      <c r="C91" s="11">
        <v>0</v>
      </c>
      <c r="D91" s="11">
        <v>0</v>
      </c>
      <c r="E91" s="11">
        <v>0</v>
      </c>
      <c r="F91" s="13">
        <f>SUMIF('OD 11-24'!A:A,A91,'OD 11-24'!D:D)</f>
        <v>0</v>
      </c>
      <c r="G91" s="13">
        <f>SUMIF('OD 11-24'!A:A,A91,'OD 11-24'!E:E)</f>
        <v>0</v>
      </c>
      <c r="H91" s="14">
        <f t="shared" si="2"/>
        <v>0</v>
      </c>
      <c r="I91" s="14">
        <f t="shared" si="3"/>
        <v>0</v>
      </c>
      <c r="J91" s="8"/>
      <c r="K91" s="8"/>
      <c r="M91" s="339"/>
      <c r="N91" s="315"/>
    </row>
    <row r="92" spans="1:14" s="9" customFormat="1" ht="11.25" customHeight="1" x14ac:dyDescent="0.2">
      <c r="A92" s="10">
        <v>40600000</v>
      </c>
      <c r="B92" s="10" t="s">
        <v>70</v>
      </c>
      <c r="C92" s="11">
        <v>-3111690.4287486374</v>
      </c>
      <c r="D92" s="11">
        <v>7993998.8964024987</v>
      </c>
      <c r="E92" s="11">
        <v>7950767.7215834986</v>
      </c>
      <c r="F92" s="13">
        <f>SUMIF('OD 11-24'!A:A,A92,'OD 11-24'!D:D)</f>
        <v>6458286.7860000003</v>
      </c>
      <c r="G92" s="13">
        <f>SUMIF('OD 11-24'!A:A,A92,'OD 11-24'!E:E)</f>
        <v>5515608.6430000002</v>
      </c>
      <c r="H92" s="14">
        <f t="shared" si="2"/>
        <v>985909.31781900022</v>
      </c>
      <c r="I92" s="14">
        <f t="shared" si="3"/>
        <v>-2125781.1109296372</v>
      </c>
      <c r="J92" s="8" t="s">
        <v>67</v>
      </c>
      <c r="K92" s="8"/>
      <c r="M92" s="339"/>
      <c r="N92" s="315"/>
    </row>
    <row r="93" spans="1:14" s="9" customFormat="1" ht="11.25" customHeight="1" x14ac:dyDescent="0.2">
      <c r="A93" s="10">
        <v>40800000</v>
      </c>
      <c r="B93" s="10" t="s">
        <v>71</v>
      </c>
      <c r="C93" s="11">
        <v>-4980</v>
      </c>
      <c r="D93" s="11">
        <v>0</v>
      </c>
      <c r="E93" s="11">
        <v>0</v>
      </c>
      <c r="F93" s="13">
        <f>SUMIF('OD 11-24'!A:A,A93,'OD 11-24'!D:D)</f>
        <v>0</v>
      </c>
      <c r="G93" s="13">
        <f>SUMIF('OD 11-24'!A:A,A93,'OD 11-24'!E:E)</f>
        <v>0</v>
      </c>
      <c r="H93" s="14">
        <f t="shared" si="2"/>
        <v>0</v>
      </c>
      <c r="I93" s="14">
        <f t="shared" si="3"/>
        <v>-4980</v>
      </c>
      <c r="J93" s="8" t="s">
        <v>67</v>
      </c>
      <c r="K93" s="8"/>
      <c r="M93" s="339"/>
      <c r="N93" s="315"/>
    </row>
    <row r="94" spans="1:14" s="9" customFormat="1" ht="11.25" customHeight="1" x14ac:dyDescent="0.2">
      <c r="A94" s="10">
        <v>40810000</v>
      </c>
      <c r="B94" s="10" t="s">
        <v>391</v>
      </c>
      <c r="C94" s="11">
        <v>-41980.576999999997</v>
      </c>
      <c r="D94" s="11">
        <v>40054.247000000003</v>
      </c>
      <c r="E94" s="11">
        <v>3169.0909999999994</v>
      </c>
      <c r="F94" s="13">
        <f>SUMIF('OD 11-24'!A:A,A94,'OD 11-24'!D:D)</f>
        <v>5123.701</v>
      </c>
      <c r="G94" s="13">
        <f>SUMIF('OD 11-24'!A:A,A94,'OD 11-24'!E:E)</f>
        <v>5123.701</v>
      </c>
      <c r="H94" s="14">
        <f t="shared" si="2"/>
        <v>36885.156000000003</v>
      </c>
      <c r="I94" s="14">
        <f t="shared" si="3"/>
        <v>-5095.4209999999948</v>
      </c>
      <c r="J94" s="8" t="s">
        <v>67</v>
      </c>
      <c r="K94" s="8"/>
      <c r="M94" s="339"/>
      <c r="N94" s="315"/>
    </row>
    <row r="95" spans="1:14" s="9" customFormat="1" ht="11.25" customHeight="1" x14ac:dyDescent="0.2">
      <c r="A95" s="10">
        <v>40860000</v>
      </c>
      <c r="B95" s="10" t="s">
        <v>304</v>
      </c>
      <c r="C95" s="11">
        <v>0</v>
      </c>
      <c r="D95" s="11">
        <v>0</v>
      </c>
      <c r="E95" s="11">
        <v>0</v>
      </c>
      <c r="F95" s="13">
        <f>SUMIF('OD 11-24'!A:A,A95,'OD 11-24'!D:D)</f>
        <v>0</v>
      </c>
      <c r="G95" s="13">
        <f>SUMIF('OD 11-24'!A:A,A95,'OD 11-24'!E:E)</f>
        <v>0</v>
      </c>
      <c r="H95" s="14">
        <f t="shared" si="2"/>
        <v>0</v>
      </c>
      <c r="I95" s="14">
        <f t="shared" si="3"/>
        <v>0</v>
      </c>
      <c r="J95" s="8"/>
      <c r="K95" s="8"/>
      <c r="M95" s="339"/>
      <c r="N95" s="315"/>
    </row>
    <row r="96" spans="1:14" s="9" customFormat="1" ht="11.25" customHeight="1" x14ac:dyDescent="0.2">
      <c r="A96" s="10">
        <v>40910000</v>
      </c>
      <c r="B96" s="10" t="s">
        <v>72</v>
      </c>
      <c r="C96" s="11">
        <v>0</v>
      </c>
      <c r="D96" s="11">
        <v>0</v>
      </c>
      <c r="E96" s="11">
        <v>0</v>
      </c>
      <c r="F96" s="13">
        <f>SUMIF('OD 11-24'!A:A,A96,'OD 11-24'!D:D)</f>
        <v>0</v>
      </c>
      <c r="G96" s="13">
        <f>SUMIF('OD 11-24'!A:A,A96,'OD 11-24'!E:E)</f>
        <v>0</v>
      </c>
      <c r="H96" s="14">
        <f t="shared" si="2"/>
        <v>0</v>
      </c>
      <c r="I96" s="14">
        <f t="shared" si="3"/>
        <v>0</v>
      </c>
      <c r="J96" s="8" t="s">
        <v>78</v>
      </c>
      <c r="K96" s="8"/>
      <c r="M96" s="339"/>
      <c r="N96" s="315"/>
    </row>
    <row r="97" spans="1:14" s="9" customFormat="1" ht="11.25" customHeight="1" x14ac:dyDescent="0.2">
      <c r="A97" s="10">
        <v>41100000</v>
      </c>
      <c r="B97" s="10" t="s">
        <v>73</v>
      </c>
      <c r="C97" s="11">
        <v>15614197.010682464</v>
      </c>
      <c r="D97" s="11">
        <v>71225361.711999997</v>
      </c>
      <c r="E97" s="11">
        <v>64460006.486000001</v>
      </c>
      <c r="F97" s="13">
        <f>SUMIF('OD 11-24'!A:A,A97,'OD 11-24'!D:D)</f>
        <v>3998216.4470000002</v>
      </c>
      <c r="G97" s="13">
        <f>SUMIF('OD 11-24'!A:A,A97,'OD 11-24'!E:E)</f>
        <v>34889.417000000001</v>
      </c>
      <c r="H97" s="14">
        <f t="shared" si="2"/>
        <v>10728682.255999994</v>
      </c>
      <c r="I97" s="14">
        <f t="shared" si="3"/>
        <v>26342879.266682457</v>
      </c>
      <c r="J97" s="8" t="s">
        <v>74</v>
      </c>
      <c r="K97" s="8"/>
      <c r="M97" s="339"/>
      <c r="N97" s="315"/>
    </row>
    <row r="98" spans="1:14" s="9" customFormat="1" ht="11.25" customHeight="1" x14ac:dyDescent="0.2">
      <c r="A98" s="10">
        <v>41301000</v>
      </c>
      <c r="B98" s="10" t="s">
        <v>305</v>
      </c>
      <c r="C98" s="11">
        <v>0</v>
      </c>
      <c r="D98" s="11">
        <v>0</v>
      </c>
      <c r="E98" s="11">
        <v>0</v>
      </c>
      <c r="F98" s="13">
        <f>SUMIF('OD 11-24'!A:A,A98,'OD 11-24'!D:D)</f>
        <v>0</v>
      </c>
      <c r="G98" s="13">
        <f>SUMIF('OD 11-24'!A:A,A98,'OD 11-24'!E:E)</f>
        <v>0</v>
      </c>
      <c r="H98" s="14">
        <f t="shared" si="2"/>
        <v>0</v>
      </c>
      <c r="I98" s="14">
        <f t="shared" si="3"/>
        <v>0</v>
      </c>
      <c r="J98" s="8"/>
      <c r="K98" s="8"/>
      <c r="M98" s="339"/>
      <c r="N98" s="315"/>
    </row>
    <row r="99" spans="1:14" s="9" customFormat="1" ht="11.25" customHeight="1" x14ac:dyDescent="0.2">
      <c r="A99" s="10">
        <v>41500000</v>
      </c>
      <c r="B99" s="10" t="s">
        <v>75</v>
      </c>
      <c r="C99" s="11">
        <v>3350188.1832604855</v>
      </c>
      <c r="D99" s="11">
        <v>12641350.197999999</v>
      </c>
      <c r="E99" s="11">
        <v>14982152.153000001</v>
      </c>
      <c r="F99" s="13">
        <f>SUMIF('OD 11-24'!A:A,A99,'OD 11-24'!D:D)</f>
        <v>3757277.7850000001</v>
      </c>
      <c r="G99" s="13">
        <f>SUMIF('OD 11-24'!A:A,A99,'OD 11-24'!E:E)</f>
        <v>3757277.7850000001</v>
      </c>
      <c r="H99" s="14">
        <f t="shared" si="2"/>
        <v>-2340801.9550000019</v>
      </c>
      <c r="I99" s="14">
        <f t="shared" si="3"/>
        <v>1009386.2282604836</v>
      </c>
      <c r="J99" s="8" t="s">
        <v>74</v>
      </c>
      <c r="K99" s="8"/>
      <c r="M99" s="339"/>
      <c r="N99" s="315"/>
    </row>
    <row r="100" spans="1:14" s="9" customFormat="1" ht="11.25" customHeight="1" x14ac:dyDescent="0.2">
      <c r="A100" s="10">
        <v>41601000</v>
      </c>
      <c r="B100" s="10" t="s">
        <v>306</v>
      </c>
      <c r="C100" s="11">
        <v>0</v>
      </c>
      <c r="D100" s="11">
        <v>0</v>
      </c>
      <c r="E100" s="11">
        <v>0</v>
      </c>
      <c r="F100" s="13">
        <f>SUMIF('OD 11-24'!A:A,A100,'OD 11-24'!D:D)</f>
        <v>0</v>
      </c>
      <c r="G100" s="13">
        <f>SUMIF('OD 11-24'!A:A,A100,'OD 11-24'!E:E)</f>
        <v>0</v>
      </c>
      <c r="H100" s="14">
        <f t="shared" si="2"/>
        <v>0</v>
      </c>
      <c r="I100" s="14">
        <f t="shared" si="3"/>
        <v>0</v>
      </c>
      <c r="J100" s="8"/>
      <c r="K100" s="8"/>
      <c r="M100" s="339"/>
      <c r="N100" s="315"/>
    </row>
    <row r="101" spans="1:14" s="9" customFormat="1" ht="11.25" customHeight="1" x14ac:dyDescent="0.2">
      <c r="A101" s="10">
        <v>41800000</v>
      </c>
      <c r="B101" s="10" t="s">
        <v>307</v>
      </c>
      <c r="C101" s="11">
        <v>0</v>
      </c>
      <c r="D101" s="11">
        <v>0</v>
      </c>
      <c r="E101" s="11">
        <v>0</v>
      </c>
      <c r="F101" s="13">
        <f>SUMIF('OD 11-24'!A:A,A101,'OD 11-24'!D:D)</f>
        <v>0</v>
      </c>
      <c r="G101" s="13">
        <f>SUMIF('OD 11-24'!A:A,A101,'OD 11-24'!E:E)</f>
        <v>0</v>
      </c>
      <c r="H101" s="14">
        <f t="shared" si="2"/>
        <v>0</v>
      </c>
      <c r="I101" s="14">
        <f t="shared" si="3"/>
        <v>0</v>
      </c>
      <c r="J101" s="8"/>
      <c r="K101" s="8"/>
      <c r="M101" s="339"/>
      <c r="N101" s="315"/>
    </row>
    <row r="102" spans="1:14" s="9" customFormat="1" ht="11.25" customHeight="1" x14ac:dyDescent="0.2">
      <c r="A102" s="10">
        <v>41910000</v>
      </c>
      <c r="B102" s="10" t="s">
        <v>308</v>
      </c>
      <c r="C102" s="11">
        <v>0</v>
      </c>
      <c r="D102" s="11">
        <v>0</v>
      </c>
      <c r="E102" s="11">
        <v>0</v>
      </c>
      <c r="F102" s="13">
        <f>SUMIF('OD 11-24'!A:A,A102,'OD 11-24'!D:D)</f>
        <v>0</v>
      </c>
      <c r="G102" s="13">
        <f>SUMIF('OD 11-24'!A:A,A102,'OD 11-24'!E:E)</f>
        <v>0</v>
      </c>
      <c r="H102" s="14">
        <f t="shared" si="2"/>
        <v>0</v>
      </c>
      <c r="I102" s="14">
        <f t="shared" si="3"/>
        <v>0</v>
      </c>
      <c r="J102" s="8"/>
      <c r="K102" s="8"/>
      <c r="M102" s="339"/>
      <c r="N102" s="315"/>
    </row>
    <row r="103" spans="1:14" s="9" customFormat="1" ht="11.25" customHeight="1" x14ac:dyDescent="0.2">
      <c r="A103" s="10">
        <v>42100000</v>
      </c>
      <c r="B103" s="10" t="s">
        <v>76</v>
      </c>
      <c r="C103" s="11">
        <v>0</v>
      </c>
      <c r="D103" s="11">
        <v>240</v>
      </c>
      <c r="E103" s="11">
        <v>240</v>
      </c>
      <c r="F103" s="13">
        <f>SUMIF('OD 11-24'!A:A,A103,'OD 11-24'!D:D)</f>
        <v>0</v>
      </c>
      <c r="G103" s="13">
        <f>SUMIF('OD 11-24'!A:A,A103,'OD 11-24'!E:E)</f>
        <v>0</v>
      </c>
      <c r="H103" s="14">
        <f t="shared" si="2"/>
        <v>0</v>
      </c>
      <c r="I103" s="14">
        <f t="shared" si="3"/>
        <v>0</v>
      </c>
      <c r="J103" s="8"/>
      <c r="K103" s="8"/>
      <c r="M103" s="339"/>
      <c r="N103" s="315"/>
    </row>
    <row r="104" spans="1:14" s="9" customFormat="1" ht="11.25" customHeight="1" x14ac:dyDescent="0.2">
      <c r="A104" s="10">
        <v>42110000</v>
      </c>
      <c r="B104" s="10" t="s">
        <v>309</v>
      </c>
      <c r="C104" s="11">
        <v>0</v>
      </c>
      <c r="D104" s="11">
        <v>0</v>
      </c>
      <c r="E104" s="11">
        <v>0</v>
      </c>
      <c r="F104" s="13">
        <f>SUMIF('OD 11-24'!A:A,A104,'OD 11-24'!D:D)</f>
        <v>0</v>
      </c>
      <c r="G104" s="13">
        <f>SUMIF('OD 11-24'!A:A,A104,'OD 11-24'!E:E)</f>
        <v>0</v>
      </c>
      <c r="H104" s="14">
        <f t="shared" si="2"/>
        <v>0</v>
      </c>
      <c r="I104" s="14">
        <f t="shared" si="3"/>
        <v>0</v>
      </c>
      <c r="J104" s="8"/>
      <c r="K104" s="8"/>
      <c r="M104" s="339"/>
      <c r="N104" s="315"/>
    </row>
    <row r="105" spans="1:14" s="9" customFormat="1" ht="11.25" customHeight="1" x14ac:dyDescent="0.2">
      <c r="A105" s="10">
        <v>42120000</v>
      </c>
      <c r="B105" s="10" t="s">
        <v>77</v>
      </c>
      <c r="C105" s="11">
        <v>21139.859999999986</v>
      </c>
      <c r="D105" s="11">
        <v>95555</v>
      </c>
      <c r="E105" s="11">
        <v>99772.479000000007</v>
      </c>
      <c r="F105" s="13">
        <f>SUMIF('OD 11-24'!A:A,A105,'OD 11-24'!D:D)</f>
        <v>0</v>
      </c>
      <c r="G105" s="13">
        <f>SUMIF('OD 11-24'!A:A,A105,'OD 11-24'!E:E)</f>
        <v>0</v>
      </c>
      <c r="H105" s="14">
        <f t="shared" si="2"/>
        <v>-4217.4790000000066</v>
      </c>
      <c r="I105" s="14">
        <f t="shared" si="3"/>
        <v>16922.380999999979</v>
      </c>
      <c r="J105" s="8" t="s">
        <v>78</v>
      </c>
      <c r="K105" s="8"/>
      <c r="M105" s="339"/>
      <c r="N105" s="315"/>
    </row>
    <row r="106" spans="1:14" s="9" customFormat="1" ht="11.25" customHeight="1" x14ac:dyDescent="0.2">
      <c r="A106" s="10">
        <v>42400000</v>
      </c>
      <c r="B106" s="10" t="s">
        <v>79</v>
      </c>
      <c r="C106" s="11">
        <v>0</v>
      </c>
      <c r="D106" s="11">
        <v>0</v>
      </c>
      <c r="E106" s="11">
        <v>0</v>
      </c>
      <c r="F106" s="13">
        <f>SUMIF('OD 11-24'!A:A,A106,'OD 11-24'!D:D)</f>
        <v>0</v>
      </c>
      <c r="G106" s="13">
        <f>SUMIF('OD 11-24'!A:A,A106,'OD 11-24'!E:E)</f>
        <v>0</v>
      </c>
      <c r="H106" s="14">
        <f t="shared" si="2"/>
        <v>0</v>
      </c>
      <c r="I106" s="14">
        <f t="shared" si="3"/>
        <v>0</v>
      </c>
      <c r="J106" s="8"/>
      <c r="K106" s="8"/>
      <c r="M106" s="339"/>
      <c r="N106" s="315"/>
    </row>
    <row r="107" spans="1:14" s="9" customFormat="1" ht="11.25" customHeight="1" x14ac:dyDescent="0.2">
      <c r="A107" s="10">
        <v>42500000</v>
      </c>
      <c r="B107" s="10" t="s">
        <v>80</v>
      </c>
      <c r="C107" s="11">
        <v>-180820.1429999955</v>
      </c>
      <c r="D107" s="11">
        <v>3333102.335</v>
      </c>
      <c r="E107" s="11">
        <v>3132785.6380000003</v>
      </c>
      <c r="F107" s="13">
        <f>SUMIF('OD 11-24'!A:A,A107,'OD 11-24'!D:D)</f>
        <v>0</v>
      </c>
      <c r="G107" s="13">
        <f>SUMIF('OD 11-24'!A:A,A107,'OD 11-24'!E:E)</f>
        <v>0</v>
      </c>
      <c r="H107" s="14">
        <f t="shared" si="2"/>
        <v>200316.69699999969</v>
      </c>
      <c r="I107" s="14">
        <f t="shared" si="3"/>
        <v>19496.554000004195</v>
      </c>
      <c r="J107" s="8" t="s">
        <v>78</v>
      </c>
      <c r="K107" s="8"/>
      <c r="M107" s="339"/>
      <c r="N107" s="315"/>
    </row>
    <row r="108" spans="1:14" s="9" customFormat="1" ht="11.25" customHeight="1" x14ac:dyDescent="0.2">
      <c r="A108" s="10">
        <v>42700000</v>
      </c>
      <c r="B108" s="10" t="s">
        <v>310</v>
      </c>
      <c r="C108" s="11">
        <v>0</v>
      </c>
      <c r="D108" s="11">
        <v>0</v>
      </c>
      <c r="E108" s="11">
        <v>0</v>
      </c>
      <c r="F108" s="13">
        <f>SUMIF('OD 11-24'!A:A,A108,'OD 11-24'!D:D)</f>
        <v>0</v>
      </c>
      <c r="G108" s="13">
        <f>SUMIF('OD 11-24'!A:A,A108,'OD 11-24'!E:E)</f>
        <v>0</v>
      </c>
      <c r="H108" s="14">
        <f t="shared" si="2"/>
        <v>0</v>
      </c>
      <c r="I108" s="14">
        <f t="shared" si="3"/>
        <v>0</v>
      </c>
      <c r="J108" s="8"/>
      <c r="K108" s="8"/>
      <c r="M108" s="339"/>
      <c r="N108" s="315"/>
    </row>
    <row r="109" spans="1:14" s="9" customFormat="1" ht="11.25" customHeight="1" x14ac:dyDescent="0.2">
      <c r="A109" s="10">
        <v>42710000</v>
      </c>
      <c r="B109" s="10" t="s">
        <v>82</v>
      </c>
      <c r="C109" s="11">
        <v>-2433.5259999999907</v>
      </c>
      <c r="D109" s="11">
        <v>8081.1259999999993</v>
      </c>
      <c r="E109" s="11">
        <v>7714.6180000000004</v>
      </c>
      <c r="F109" s="13">
        <f>SUMIF('OD 11-24'!A:A,A109,'OD 11-24'!D:D)</f>
        <v>0</v>
      </c>
      <c r="G109" s="13">
        <f>SUMIF('OD 11-24'!A:A,A109,'OD 11-24'!E:E)</f>
        <v>0</v>
      </c>
      <c r="H109" s="14">
        <f t="shared" si="2"/>
        <v>366.5079999999989</v>
      </c>
      <c r="I109" s="14">
        <f t="shared" si="3"/>
        <v>-2067.0179999999918</v>
      </c>
      <c r="J109" s="8" t="s">
        <v>81</v>
      </c>
      <c r="K109" s="8"/>
      <c r="M109" s="339"/>
      <c r="N109" s="315"/>
    </row>
    <row r="110" spans="1:14" s="9" customFormat="1" ht="11.25" customHeight="1" x14ac:dyDescent="0.2">
      <c r="A110" s="10">
        <v>42820000</v>
      </c>
      <c r="B110" s="10" t="s">
        <v>83</v>
      </c>
      <c r="C110" s="11">
        <v>-245931.41399999941</v>
      </c>
      <c r="D110" s="11">
        <v>245931.41399999996</v>
      </c>
      <c r="E110" s="11">
        <v>0</v>
      </c>
      <c r="F110" s="13">
        <f>SUMIF('OD 11-24'!A:A,A110,'OD 11-24'!D:D)</f>
        <v>3309487.4890000001</v>
      </c>
      <c r="G110" s="13">
        <f>SUMIF('OD 11-24'!A:A,A110,'OD 11-24'!E:E)</f>
        <v>3569487.4890000001</v>
      </c>
      <c r="H110" s="14">
        <f t="shared" si="2"/>
        <v>-14068.586000000127</v>
      </c>
      <c r="I110" s="14">
        <f t="shared" si="3"/>
        <v>-259999.99999999953</v>
      </c>
      <c r="J110" s="8" t="s">
        <v>81</v>
      </c>
      <c r="K110" s="8"/>
      <c r="M110" s="339"/>
      <c r="N110" s="315"/>
    </row>
    <row r="111" spans="1:14" s="9" customFormat="1" ht="11.25" customHeight="1" x14ac:dyDescent="0.2">
      <c r="A111" s="10">
        <v>43200000</v>
      </c>
      <c r="B111" s="10" t="s">
        <v>311</v>
      </c>
      <c r="C111" s="11">
        <v>0</v>
      </c>
      <c r="D111" s="11">
        <v>10000</v>
      </c>
      <c r="E111" s="11">
        <v>10000</v>
      </c>
      <c r="F111" s="13">
        <f>SUMIF('OD 11-24'!A:A,A111,'OD 11-24'!D:D)</f>
        <v>0</v>
      </c>
      <c r="G111" s="13">
        <f>SUMIF('OD 11-24'!A:A,A111,'OD 11-24'!E:E)</f>
        <v>0</v>
      </c>
      <c r="H111" s="14">
        <f t="shared" si="2"/>
        <v>0</v>
      </c>
      <c r="I111" s="14">
        <f t="shared" si="3"/>
        <v>0</v>
      </c>
      <c r="J111" s="8" t="s">
        <v>81</v>
      </c>
      <c r="K111" s="8"/>
      <c r="M111" s="339"/>
      <c r="N111" s="315"/>
    </row>
    <row r="112" spans="1:14" s="9" customFormat="1" ht="11.25" customHeight="1" x14ac:dyDescent="0.2">
      <c r="A112" s="10">
        <v>43210000</v>
      </c>
      <c r="B112" s="10" t="s">
        <v>84</v>
      </c>
      <c r="C112" s="11">
        <v>0</v>
      </c>
      <c r="D112" s="11">
        <v>669237.72700000007</v>
      </c>
      <c r="E112" s="11">
        <v>716813.99700000009</v>
      </c>
      <c r="F112" s="13">
        <f>SUMIF('OD 11-24'!A:A,A112,'OD 11-24'!D:D)</f>
        <v>0</v>
      </c>
      <c r="G112" s="13">
        <f>SUMIF('OD 11-24'!A:A,A112,'OD 11-24'!E:E)</f>
        <v>0</v>
      </c>
      <c r="H112" s="14">
        <f t="shared" si="2"/>
        <v>-47576.270000000019</v>
      </c>
      <c r="I112" s="14">
        <f t="shared" si="3"/>
        <v>-47576.270000000019</v>
      </c>
      <c r="J112" s="8" t="s">
        <v>81</v>
      </c>
      <c r="K112" s="8"/>
      <c r="M112" s="339"/>
      <c r="N112" s="315"/>
    </row>
    <row r="113" spans="1:14" s="9" customFormat="1" ht="11.25" customHeight="1" x14ac:dyDescent="0.2">
      <c r="A113" s="10">
        <v>43211000</v>
      </c>
      <c r="B113" s="10" t="s">
        <v>312</v>
      </c>
      <c r="C113" s="11">
        <v>0</v>
      </c>
      <c r="D113" s="11">
        <v>2549.4430000000002</v>
      </c>
      <c r="E113" s="11">
        <v>2549.4430000000002</v>
      </c>
      <c r="F113" s="13">
        <f>SUMIF('OD 11-24'!A:A,A113,'OD 11-24'!D:D)</f>
        <v>0</v>
      </c>
      <c r="G113" s="13">
        <f>SUMIF('OD 11-24'!A:A,A113,'OD 11-24'!E:E)</f>
        <v>0</v>
      </c>
      <c r="H113" s="14">
        <f t="shared" si="2"/>
        <v>0</v>
      </c>
      <c r="I113" s="14">
        <f t="shared" si="3"/>
        <v>0</v>
      </c>
      <c r="J113" s="8" t="s">
        <v>81</v>
      </c>
      <c r="K113" s="8"/>
      <c r="M113" s="339"/>
      <c r="N113" s="315"/>
    </row>
    <row r="114" spans="1:14" s="9" customFormat="1" ht="11.25" customHeight="1" x14ac:dyDescent="0.2">
      <c r="A114" s="10">
        <v>43211500</v>
      </c>
      <c r="B114" s="10" t="s">
        <v>85</v>
      </c>
      <c r="C114" s="11">
        <v>0</v>
      </c>
      <c r="D114" s="11">
        <v>149.95400000000001</v>
      </c>
      <c r="E114" s="11">
        <v>149.95499999999998</v>
      </c>
      <c r="F114" s="13">
        <f>SUMIF('OD 11-24'!A:A,A114,'OD 11-24'!D:D)</f>
        <v>0</v>
      </c>
      <c r="G114" s="13">
        <f>SUMIF('OD 11-24'!A:A,A114,'OD 11-24'!E:E)</f>
        <v>0</v>
      </c>
      <c r="H114" s="14">
        <f t="shared" si="2"/>
        <v>-9.9999999997635314E-4</v>
      </c>
      <c r="I114" s="14">
        <f t="shared" si="3"/>
        <v>-9.9999999997635314E-4</v>
      </c>
      <c r="J114" s="8" t="s">
        <v>81</v>
      </c>
      <c r="K114" s="8"/>
      <c r="M114" s="339"/>
      <c r="N114" s="315"/>
    </row>
    <row r="115" spans="1:14" s="9" customFormat="1" ht="11.25" customHeight="1" x14ac:dyDescent="0.2">
      <c r="A115" s="10">
        <v>43212500</v>
      </c>
      <c r="B115" s="10" t="s">
        <v>313</v>
      </c>
      <c r="C115" s="11">
        <v>0</v>
      </c>
      <c r="D115" s="11">
        <v>0</v>
      </c>
      <c r="E115" s="11">
        <v>0</v>
      </c>
      <c r="F115" s="13">
        <f>SUMIF('OD 11-24'!A:A,A115,'OD 11-24'!D:D)</f>
        <v>0</v>
      </c>
      <c r="G115" s="13">
        <f>SUMIF('OD 11-24'!A:A,A115,'OD 11-24'!E:E)</f>
        <v>0</v>
      </c>
      <c r="H115" s="14">
        <f t="shared" si="2"/>
        <v>0</v>
      </c>
      <c r="I115" s="14">
        <f t="shared" si="3"/>
        <v>0</v>
      </c>
      <c r="J115" s="8"/>
      <c r="K115" s="8"/>
      <c r="M115" s="339"/>
      <c r="N115" s="315"/>
    </row>
    <row r="116" spans="1:14" s="9" customFormat="1" ht="11.25" customHeight="1" x14ac:dyDescent="0.2">
      <c r="A116" s="10">
        <v>43215000</v>
      </c>
      <c r="B116" s="10" t="s">
        <v>314</v>
      </c>
      <c r="C116" s="11">
        <v>0</v>
      </c>
      <c r="D116" s="11">
        <v>0</v>
      </c>
      <c r="E116" s="11">
        <v>0</v>
      </c>
      <c r="F116" s="13">
        <f>SUMIF('OD 11-24'!A:A,A116,'OD 11-24'!D:D)</f>
        <v>0</v>
      </c>
      <c r="G116" s="13">
        <f>SUMIF('OD 11-24'!A:A,A116,'OD 11-24'!E:E)</f>
        <v>0</v>
      </c>
      <c r="H116" s="14">
        <f t="shared" si="2"/>
        <v>0</v>
      </c>
      <c r="I116" s="14">
        <f t="shared" si="3"/>
        <v>0</v>
      </c>
      <c r="J116" s="8"/>
      <c r="K116" s="8"/>
      <c r="M116" s="339"/>
      <c r="N116" s="315"/>
    </row>
    <row r="117" spans="1:14" s="9" customFormat="1" ht="11.25" customHeight="1" x14ac:dyDescent="0.2">
      <c r="A117" s="10">
        <v>43220000</v>
      </c>
      <c r="B117" s="10" t="s">
        <v>86</v>
      </c>
      <c r="C117" s="11">
        <v>0</v>
      </c>
      <c r="D117" s="11">
        <v>47808.722999999998</v>
      </c>
      <c r="E117" s="11">
        <v>111235.25200000001</v>
      </c>
      <c r="F117" s="13">
        <f>SUMIF('OD 11-24'!A:A,A117,'OD 11-24'!D:D)</f>
        <v>0</v>
      </c>
      <c r="G117" s="13">
        <f>SUMIF('OD 11-24'!A:A,A117,'OD 11-24'!E:E)</f>
        <v>0</v>
      </c>
      <c r="H117" s="14">
        <f t="shared" si="2"/>
        <v>-63426.52900000001</v>
      </c>
      <c r="I117" s="14">
        <f t="shared" si="3"/>
        <v>-63426.52900000001</v>
      </c>
      <c r="J117" s="8" t="s">
        <v>81</v>
      </c>
      <c r="K117" s="8"/>
      <c r="M117" s="339"/>
      <c r="N117" s="315"/>
    </row>
    <row r="118" spans="1:14" s="9" customFormat="1" ht="11.25" customHeight="1" x14ac:dyDescent="0.2">
      <c r="A118" s="10">
        <v>43220050</v>
      </c>
      <c r="B118" s="10" t="s">
        <v>315</v>
      </c>
      <c r="C118" s="11">
        <v>4.7000000002299203E-2</v>
      </c>
      <c r="D118" s="11">
        <v>2.98</v>
      </c>
      <c r="E118" s="11">
        <v>2.98</v>
      </c>
      <c r="F118" s="13">
        <f>SUMIF('OD 11-24'!A:A,A118,'OD 11-24'!D:D)</f>
        <v>0</v>
      </c>
      <c r="G118" s="13">
        <f>SUMIF('OD 11-24'!A:A,A118,'OD 11-24'!E:E)</f>
        <v>0</v>
      </c>
      <c r="H118" s="14">
        <f t="shared" si="2"/>
        <v>0</v>
      </c>
      <c r="I118" s="14">
        <f t="shared" si="3"/>
        <v>4.7000000002299203E-2</v>
      </c>
      <c r="J118" s="8" t="s">
        <v>78</v>
      </c>
      <c r="K118" s="8"/>
      <c r="M118" s="339"/>
      <c r="N118" s="315"/>
    </row>
    <row r="119" spans="1:14" s="9" customFormat="1" ht="11.25" customHeight="1" x14ac:dyDescent="0.2">
      <c r="A119" s="10">
        <v>43220100</v>
      </c>
      <c r="B119" s="10" t="s">
        <v>87</v>
      </c>
      <c r="C119" s="11">
        <v>0</v>
      </c>
      <c r="D119" s="11">
        <v>176284.01300000001</v>
      </c>
      <c r="E119" s="11">
        <v>183263.21399999998</v>
      </c>
      <c r="F119" s="13">
        <f>SUMIF('OD 11-24'!A:A,A119,'OD 11-24'!D:D)</f>
        <v>0</v>
      </c>
      <c r="G119" s="13">
        <f>SUMIF('OD 11-24'!A:A,A119,'OD 11-24'!E:E)</f>
        <v>0</v>
      </c>
      <c r="H119" s="14">
        <f t="shared" si="2"/>
        <v>-6979.2009999999718</v>
      </c>
      <c r="I119" s="14">
        <f t="shared" si="3"/>
        <v>-6979.2009999999718</v>
      </c>
      <c r="J119" s="8" t="s">
        <v>81</v>
      </c>
      <c r="K119" s="8"/>
      <c r="M119" s="339"/>
      <c r="N119" s="315"/>
    </row>
    <row r="120" spans="1:14" s="9" customFormat="1" ht="11.25" customHeight="1" x14ac:dyDescent="0.2">
      <c r="A120" s="10">
        <v>43220300</v>
      </c>
      <c r="B120" s="10" t="s">
        <v>88</v>
      </c>
      <c r="C120" s="11">
        <v>0</v>
      </c>
      <c r="D120" s="11">
        <v>3759.9470000000001</v>
      </c>
      <c r="E120" s="11">
        <v>3902.7770000000005</v>
      </c>
      <c r="F120" s="13">
        <f>SUMIF('OD 11-24'!A:A,A120,'OD 11-24'!D:D)</f>
        <v>0</v>
      </c>
      <c r="G120" s="13">
        <f>SUMIF('OD 11-24'!A:A,A120,'OD 11-24'!E:E)</f>
        <v>0</v>
      </c>
      <c r="H120" s="14">
        <f t="shared" si="2"/>
        <v>-142.83000000000038</v>
      </c>
      <c r="I120" s="14">
        <f t="shared" si="3"/>
        <v>-142.83000000000038</v>
      </c>
      <c r="J120" s="8" t="s">
        <v>81</v>
      </c>
      <c r="K120" s="8"/>
      <c r="M120" s="339"/>
      <c r="N120" s="315"/>
    </row>
    <row r="121" spans="1:14" s="9" customFormat="1" ht="11.25" customHeight="1" x14ac:dyDescent="0.2">
      <c r="A121" s="10">
        <v>43221000</v>
      </c>
      <c r="B121" s="10" t="s">
        <v>89</v>
      </c>
      <c r="C121" s="11">
        <v>0</v>
      </c>
      <c r="D121" s="11">
        <v>111.10999999999999</v>
      </c>
      <c r="E121" s="11">
        <v>111.10999999999999</v>
      </c>
      <c r="F121" s="13">
        <f>SUMIF('OD 11-24'!A:A,A121,'OD 11-24'!D:D)</f>
        <v>0</v>
      </c>
      <c r="G121" s="13">
        <f>SUMIF('OD 11-24'!A:A,A121,'OD 11-24'!E:E)</f>
        <v>0</v>
      </c>
      <c r="H121" s="14">
        <f t="shared" si="2"/>
        <v>0</v>
      </c>
      <c r="I121" s="14">
        <f t="shared" si="3"/>
        <v>0</v>
      </c>
      <c r="J121" s="8" t="s">
        <v>81</v>
      </c>
      <c r="K121" s="8"/>
      <c r="M121" s="339"/>
      <c r="N121" s="315"/>
    </row>
    <row r="122" spans="1:14" s="9" customFormat="1" ht="11.25" customHeight="1" x14ac:dyDescent="0.2">
      <c r="A122" s="10">
        <v>43222000</v>
      </c>
      <c r="B122" s="10" t="s">
        <v>316</v>
      </c>
      <c r="C122" s="11">
        <v>0</v>
      </c>
      <c r="D122" s="11">
        <v>131636.78999999998</v>
      </c>
      <c r="E122" s="11">
        <v>141639.15699999998</v>
      </c>
      <c r="F122" s="13">
        <f>SUMIF('OD 11-24'!A:A,A122,'OD 11-24'!D:D)</f>
        <v>0</v>
      </c>
      <c r="G122" s="13">
        <f>SUMIF('OD 11-24'!A:A,A122,'OD 11-24'!E:E)</f>
        <v>0</v>
      </c>
      <c r="H122" s="14">
        <f t="shared" si="2"/>
        <v>-10002.366999999998</v>
      </c>
      <c r="I122" s="14">
        <f t="shared" si="3"/>
        <v>-10002.366999999998</v>
      </c>
      <c r="J122" s="8" t="s">
        <v>81</v>
      </c>
      <c r="K122" s="8"/>
      <c r="M122" s="339"/>
      <c r="N122" s="315"/>
    </row>
    <row r="123" spans="1:14" s="9" customFormat="1" ht="11.25" customHeight="1" x14ac:dyDescent="0.2">
      <c r="A123" s="10">
        <v>43223000</v>
      </c>
      <c r="B123" s="10" t="s">
        <v>90</v>
      </c>
      <c r="C123" s="11">
        <v>-40912.060000000027</v>
      </c>
      <c r="D123" s="11">
        <v>57231.428</v>
      </c>
      <c r="E123" s="11">
        <v>18038.748</v>
      </c>
      <c r="F123" s="13">
        <f>SUMIF('OD 11-24'!A:A,A123,'OD 11-24'!D:D)</f>
        <v>0</v>
      </c>
      <c r="G123" s="13">
        <f>SUMIF('OD 11-24'!A:A,A123,'OD 11-24'!E:E)</f>
        <v>0</v>
      </c>
      <c r="H123" s="14">
        <f t="shared" si="2"/>
        <v>39192.68</v>
      </c>
      <c r="I123" s="14">
        <f t="shared" si="3"/>
        <v>-1719.3800000000265</v>
      </c>
      <c r="J123" s="8" t="s">
        <v>81</v>
      </c>
      <c r="K123" s="8"/>
      <c r="M123" s="339"/>
      <c r="N123" s="315"/>
    </row>
    <row r="124" spans="1:14" s="9" customFormat="1" ht="11.25" customHeight="1" x14ac:dyDescent="0.2">
      <c r="A124" s="10">
        <v>43310000</v>
      </c>
      <c r="B124" s="10" t="s">
        <v>317</v>
      </c>
      <c r="C124" s="11">
        <v>0</v>
      </c>
      <c r="D124" s="11">
        <v>0</v>
      </c>
      <c r="E124" s="11">
        <v>0</v>
      </c>
      <c r="F124" s="13">
        <f>SUMIF('OD 11-24'!A:A,A124,'OD 11-24'!D:D)</f>
        <v>0</v>
      </c>
      <c r="G124" s="13">
        <f>SUMIF('OD 11-24'!A:A,A124,'OD 11-24'!E:E)</f>
        <v>0</v>
      </c>
      <c r="H124" s="14">
        <f t="shared" si="2"/>
        <v>0</v>
      </c>
      <c r="I124" s="14">
        <f t="shared" si="3"/>
        <v>0</v>
      </c>
      <c r="J124" s="8"/>
      <c r="K124" s="8"/>
      <c r="M124" s="339"/>
      <c r="N124" s="315"/>
    </row>
    <row r="125" spans="1:14" s="9" customFormat="1" ht="11.25" customHeight="1" x14ac:dyDescent="0.2">
      <c r="A125" s="10">
        <v>43400000</v>
      </c>
      <c r="B125" s="10" t="s">
        <v>91</v>
      </c>
      <c r="C125" s="11">
        <v>967729.65199999954</v>
      </c>
      <c r="D125" s="11">
        <v>0</v>
      </c>
      <c r="E125" s="11">
        <v>0</v>
      </c>
      <c r="F125" s="13">
        <f>SUMIF('OD 11-24'!A:A,A125,'OD 11-24'!D:D)</f>
        <v>0</v>
      </c>
      <c r="G125" s="13">
        <f>SUMIF('OD 11-24'!A:A,A125,'OD 11-24'!E:E)</f>
        <v>0</v>
      </c>
      <c r="H125" s="14">
        <f t="shared" si="2"/>
        <v>0</v>
      </c>
      <c r="I125" s="14">
        <f t="shared" si="3"/>
        <v>967729.65199999954</v>
      </c>
      <c r="J125" s="8" t="s">
        <v>78</v>
      </c>
      <c r="K125" s="8"/>
      <c r="M125" s="339"/>
      <c r="N125" s="315"/>
    </row>
    <row r="126" spans="1:14" s="9" customFormat="1" ht="11.25" customHeight="1" x14ac:dyDescent="0.2">
      <c r="A126" s="10">
        <v>43410000</v>
      </c>
      <c r="B126" s="10" t="s">
        <v>318</v>
      </c>
      <c r="C126" s="11">
        <v>0</v>
      </c>
      <c r="D126" s="11">
        <v>369601.26299999998</v>
      </c>
      <c r="E126" s="11">
        <v>0</v>
      </c>
      <c r="F126" s="13">
        <f>SUMIF('OD 11-24'!A:A,A126,'OD 11-24'!D:D)</f>
        <v>0</v>
      </c>
      <c r="G126" s="13">
        <f>SUMIF('OD 11-24'!A:A,A126,'OD 11-24'!E:E)</f>
        <v>0</v>
      </c>
      <c r="H126" s="14">
        <f t="shared" si="2"/>
        <v>369601.26299999998</v>
      </c>
      <c r="I126" s="14">
        <f t="shared" si="3"/>
        <v>369601.26299999998</v>
      </c>
      <c r="J126" s="8" t="s">
        <v>78</v>
      </c>
      <c r="K126" s="8"/>
      <c r="M126" s="339"/>
      <c r="N126" s="315"/>
    </row>
    <row r="127" spans="1:14" s="9" customFormat="1" ht="11.25" customHeight="1" x14ac:dyDescent="0.2">
      <c r="A127" s="10">
        <v>43420000</v>
      </c>
      <c r="B127" s="10" t="s">
        <v>92</v>
      </c>
      <c r="C127" s="11">
        <v>0</v>
      </c>
      <c r="D127" s="11">
        <v>0</v>
      </c>
      <c r="E127" s="11">
        <v>0</v>
      </c>
      <c r="F127" s="13">
        <f>SUMIF('OD 11-24'!A:A,A127,'OD 11-24'!D:D)</f>
        <v>0</v>
      </c>
      <c r="G127" s="13">
        <f>SUMIF('OD 11-24'!A:A,A127,'OD 11-24'!E:E)</f>
        <v>0</v>
      </c>
      <c r="H127" s="14">
        <f t="shared" si="2"/>
        <v>0</v>
      </c>
      <c r="I127" s="14">
        <f t="shared" si="3"/>
        <v>0</v>
      </c>
      <c r="J127" s="8"/>
      <c r="K127" s="8"/>
      <c r="M127" s="339"/>
      <c r="N127" s="315"/>
    </row>
    <row r="128" spans="1:14" s="9" customFormat="1" ht="11.25" customHeight="1" x14ac:dyDescent="0.2">
      <c r="A128" s="10">
        <v>43430000</v>
      </c>
      <c r="B128" s="10" t="s">
        <v>319</v>
      </c>
      <c r="C128" s="11">
        <v>0</v>
      </c>
      <c r="D128" s="11">
        <v>135.946</v>
      </c>
      <c r="E128" s="11">
        <v>135.946</v>
      </c>
      <c r="F128" s="13">
        <f>SUMIF('OD 11-24'!A:A,A128,'OD 11-24'!D:D)</f>
        <v>0</v>
      </c>
      <c r="G128" s="13">
        <f>SUMIF('OD 11-24'!A:A,A128,'OD 11-24'!E:E)</f>
        <v>0</v>
      </c>
      <c r="H128" s="14">
        <f t="shared" si="2"/>
        <v>0</v>
      </c>
      <c r="I128" s="14">
        <f t="shared" si="3"/>
        <v>0</v>
      </c>
      <c r="J128" s="8" t="s">
        <v>78</v>
      </c>
      <c r="K128" s="8"/>
      <c r="M128" s="339"/>
      <c r="N128" s="315"/>
    </row>
    <row r="129" spans="1:14" s="9" customFormat="1" ht="11.25" customHeight="1" x14ac:dyDescent="0.2">
      <c r="A129" s="10">
        <v>43440000</v>
      </c>
      <c r="B129" s="10" t="s">
        <v>320</v>
      </c>
      <c r="C129" s="11">
        <v>0</v>
      </c>
      <c r="D129" s="11">
        <v>6135.9</v>
      </c>
      <c r="E129" s="11">
        <v>6135.9</v>
      </c>
      <c r="F129" s="13">
        <f>SUMIF('OD 11-24'!A:A,A129,'OD 11-24'!D:D)</f>
        <v>0</v>
      </c>
      <c r="G129" s="13">
        <f>SUMIF('OD 11-24'!A:A,A129,'OD 11-24'!E:E)</f>
        <v>0</v>
      </c>
      <c r="H129" s="14">
        <f t="shared" si="2"/>
        <v>0</v>
      </c>
      <c r="I129" s="14">
        <f t="shared" si="3"/>
        <v>0</v>
      </c>
      <c r="J129" s="8" t="s">
        <v>78</v>
      </c>
      <c r="K129" s="8"/>
      <c r="M129" s="339"/>
      <c r="N129" s="315"/>
    </row>
    <row r="130" spans="1:14" s="9" customFormat="1" ht="11.25" customHeight="1" x14ac:dyDescent="0.2">
      <c r="A130" s="10">
        <v>43500000</v>
      </c>
      <c r="B130" s="10" t="s">
        <v>321</v>
      </c>
      <c r="C130" s="11">
        <v>-70408.270000000484</v>
      </c>
      <c r="D130" s="11">
        <v>846528.15099999995</v>
      </c>
      <c r="E130" s="11">
        <v>1202047.0519999999</v>
      </c>
      <c r="F130" s="13">
        <f>SUMIF('OD 11-24'!A:A,A130,'OD 11-24'!D:D)</f>
        <v>0</v>
      </c>
      <c r="G130" s="13">
        <f>SUMIF('OD 11-24'!A:A,A130,'OD 11-24'!E:E)</f>
        <v>0</v>
      </c>
      <c r="H130" s="14">
        <f t="shared" si="2"/>
        <v>-355518.90099999995</v>
      </c>
      <c r="I130" s="14">
        <f t="shared" si="3"/>
        <v>-425927.17100000044</v>
      </c>
      <c r="J130" s="8" t="s">
        <v>81</v>
      </c>
      <c r="K130" s="8"/>
      <c r="M130" s="339"/>
      <c r="N130" s="315"/>
    </row>
    <row r="131" spans="1:14" s="9" customFormat="1" ht="11.25" customHeight="1" x14ac:dyDescent="0.2">
      <c r="A131" s="10">
        <v>43600000</v>
      </c>
      <c r="B131" s="10" t="s">
        <v>93</v>
      </c>
      <c r="C131" s="11">
        <v>697619.66200000048</v>
      </c>
      <c r="D131" s="11">
        <v>10842581.550000001</v>
      </c>
      <c r="E131" s="11">
        <v>8469482.0140000004</v>
      </c>
      <c r="F131" s="13">
        <f>SUMIF('OD 11-24'!A:A,A131,'OD 11-24'!D:D)</f>
        <v>0</v>
      </c>
      <c r="G131" s="13">
        <f>SUMIF('OD 11-24'!A:A,A131,'OD 11-24'!E:E)</f>
        <v>0</v>
      </c>
      <c r="H131" s="14">
        <f t="shared" ref="H131:H195" si="4">+D131+F131-E131-G131</f>
        <v>2373099.5360000003</v>
      </c>
      <c r="I131" s="14">
        <f t="shared" ref="I131:I195" si="5">+H131+C131</f>
        <v>3070719.1980000008</v>
      </c>
      <c r="J131" s="8" t="s">
        <v>78</v>
      </c>
      <c r="K131" s="8"/>
      <c r="M131" s="339"/>
      <c r="N131" s="315"/>
    </row>
    <row r="132" spans="1:14" s="9" customFormat="1" ht="11.25" customHeight="1" x14ac:dyDescent="0.2">
      <c r="A132" s="10">
        <v>43625000</v>
      </c>
      <c r="B132" s="10" t="s">
        <v>94</v>
      </c>
      <c r="C132" s="11">
        <v>0</v>
      </c>
      <c r="D132" s="11">
        <v>316533.68400000001</v>
      </c>
      <c r="E132" s="11">
        <v>316533.68400000001</v>
      </c>
      <c r="F132" s="13">
        <f>SUMIF('OD 11-24'!A:A,A132,'OD 11-24'!D:D)</f>
        <v>271.471</v>
      </c>
      <c r="G132" s="13">
        <f>SUMIF('OD 11-24'!A:A,A132,'OD 11-24'!E:E)</f>
        <v>30416.921999999999</v>
      </c>
      <c r="H132" s="14">
        <f t="shared" si="4"/>
        <v>-30145.450999999979</v>
      </c>
      <c r="I132" s="14">
        <f t="shared" si="5"/>
        <v>-30145.450999999979</v>
      </c>
      <c r="J132" s="8" t="s">
        <v>81</v>
      </c>
      <c r="K132" s="8"/>
      <c r="M132" s="339"/>
      <c r="N132" s="315"/>
    </row>
    <row r="133" spans="1:14" s="9" customFormat="1" ht="11.25" customHeight="1" x14ac:dyDescent="0.2">
      <c r="A133" s="10">
        <v>43627000</v>
      </c>
      <c r="B133" s="10" t="s">
        <v>95</v>
      </c>
      <c r="C133" s="11">
        <v>1.0999999940395355E-2</v>
      </c>
      <c r="D133" s="11">
        <v>2215735.7869999995</v>
      </c>
      <c r="E133" s="11">
        <v>2215735.7759999996</v>
      </c>
      <c r="F133" s="13">
        <f>SUMIF('OD 11-24'!A:A,A133,'OD 11-24'!D:D)</f>
        <v>1900.2950000000001</v>
      </c>
      <c r="G133" s="13">
        <f>SUMIF('OD 11-24'!A:A,A133,'OD 11-24'!E:E)</f>
        <v>212918.454</v>
      </c>
      <c r="H133" s="14">
        <f t="shared" si="4"/>
        <v>-211018.14800000013</v>
      </c>
      <c r="I133" s="14">
        <f t="shared" si="5"/>
        <v>-211018.13700000019</v>
      </c>
      <c r="J133" s="8" t="s">
        <v>81</v>
      </c>
      <c r="K133" s="8"/>
      <c r="M133" s="339"/>
      <c r="N133" s="315"/>
    </row>
    <row r="134" spans="1:14" s="9" customFormat="1" ht="11.25" customHeight="1" x14ac:dyDescent="0.2">
      <c r="A134" s="10">
        <v>43630600</v>
      </c>
      <c r="B134" s="10" t="s">
        <v>322</v>
      </c>
      <c r="C134" s="11">
        <v>0</v>
      </c>
      <c r="D134" s="11">
        <v>0</v>
      </c>
      <c r="E134" s="11">
        <v>0</v>
      </c>
      <c r="F134" s="13">
        <f>SUMIF('OD 11-24'!A:A,A134,'OD 11-24'!D:D)</f>
        <v>0</v>
      </c>
      <c r="G134" s="13">
        <f>SUMIF('OD 11-24'!A:A,A134,'OD 11-24'!E:E)</f>
        <v>0</v>
      </c>
      <c r="H134" s="14">
        <f t="shared" si="4"/>
        <v>0</v>
      </c>
      <c r="I134" s="14">
        <f t="shared" si="5"/>
        <v>0</v>
      </c>
      <c r="J134" s="8"/>
      <c r="K134" s="8"/>
      <c r="M134" s="339"/>
      <c r="N134" s="315"/>
    </row>
    <row r="135" spans="1:14" s="9" customFormat="1" ht="11.25" customHeight="1" x14ac:dyDescent="0.2">
      <c r="A135" s="10">
        <v>43630700</v>
      </c>
      <c r="B135" s="10" t="s">
        <v>96</v>
      </c>
      <c r="C135" s="11">
        <v>6400.8769999999786</v>
      </c>
      <c r="D135" s="11">
        <v>26187.287999999997</v>
      </c>
      <c r="E135" s="11">
        <v>30079.589</v>
      </c>
      <c r="F135" s="13">
        <f>SUMIF('OD 11-24'!A:A,A135,'OD 11-24'!D:D)</f>
        <v>0</v>
      </c>
      <c r="G135" s="13">
        <f>SUMIF('OD 11-24'!A:A,A135,'OD 11-24'!E:E)</f>
        <v>0</v>
      </c>
      <c r="H135" s="14">
        <f t="shared" si="4"/>
        <v>-3892.3010000000031</v>
      </c>
      <c r="I135" s="14">
        <f t="shared" si="5"/>
        <v>2508.5759999999755</v>
      </c>
      <c r="J135" s="8" t="s">
        <v>78</v>
      </c>
      <c r="K135" s="8"/>
      <c r="M135" s="339"/>
      <c r="N135" s="315"/>
    </row>
    <row r="136" spans="1:14" s="9" customFormat="1" ht="11.25" customHeight="1" x14ac:dyDescent="0.2">
      <c r="A136" s="10">
        <v>43631000</v>
      </c>
      <c r="B136" s="10" t="s">
        <v>323</v>
      </c>
      <c r="C136" s="11">
        <v>0</v>
      </c>
      <c r="D136" s="11">
        <v>0</v>
      </c>
      <c r="E136" s="11">
        <v>0</v>
      </c>
      <c r="F136" s="13">
        <f>SUMIF('OD 11-24'!A:A,A136,'OD 11-24'!D:D)</f>
        <v>0</v>
      </c>
      <c r="G136" s="13">
        <f>SUMIF('OD 11-24'!A:A,A136,'OD 11-24'!E:E)</f>
        <v>0</v>
      </c>
      <c r="H136" s="14">
        <f t="shared" si="4"/>
        <v>0</v>
      </c>
      <c r="I136" s="14">
        <f t="shared" si="5"/>
        <v>0</v>
      </c>
      <c r="J136" s="8"/>
      <c r="K136" s="8"/>
      <c r="M136" s="339"/>
      <c r="N136" s="315"/>
    </row>
    <row r="137" spans="1:14" s="9" customFormat="1" ht="11.25" customHeight="1" x14ac:dyDescent="0.2">
      <c r="A137" s="10">
        <v>43631300</v>
      </c>
      <c r="B137" s="10" t="s">
        <v>324</v>
      </c>
      <c r="C137" s="11">
        <v>0</v>
      </c>
      <c r="D137" s="11">
        <v>22499.953999999998</v>
      </c>
      <c r="E137" s="11">
        <v>20468.701999999997</v>
      </c>
      <c r="F137" s="13">
        <f>SUMIF('OD 11-24'!A:A,A137,'OD 11-24'!D:D)</f>
        <v>0</v>
      </c>
      <c r="G137" s="13">
        <f>SUMIF('OD 11-24'!A:A,A137,'OD 11-24'!E:E)</f>
        <v>0</v>
      </c>
      <c r="H137" s="14">
        <f t="shared" si="4"/>
        <v>2031.2520000000004</v>
      </c>
      <c r="I137" s="14">
        <f t="shared" si="5"/>
        <v>2031.2520000000004</v>
      </c>
      <c r="J137" s="8" t="s">
        <v>78</v>
      </c>
      <c r="K137" s="8"/>
      <c r="M137" s="339"/>
      <c r="N137" s="315"/>
    </row>
    <row r="138" spans="1:14" s="9" customFormat="1" ht="11.25" customHeight="1" x14ac:dyDescent="0.2">
      <c r="A138" s="10">
        <v>43631800</v>
      </c>
      <c r="B138" s="10" t="s">
        <v>325</v>
      </c>
      <c r="C138" s="11">
        <v>0</v>
      </c>
      <c r="D138" s="11">
        <v>0</v>
      </c>
      <c r="E138" s="11">
        <v>0</v>
      </c>
      <c r="F138" s="13">
        <f>SUMIF('OD 11-24'!A:A,A138,'OD 11-24'!D:D)</f>
        <v>0</v>
      </c>
      <c r="G138" s="13">
        <f>SUMIF('OD 11-24'!A:A,A138,'OD 11-24'!E:E)</f>
        <v>0</v>
      </c>
      <c r="H138" s="14">
        <f t="shared" si="4"/>
        <v>0</v>
      </c>
      <c r="I138" s="14">
        <f t="shared" si="5"/>
        <v>0</v>
      </c>
      <c r="J138" s="8"/>
      <c r="K138" s="8"/>
      <c r="M138" s="339"/>
      <c r="N138" s="315"/>
    </row>
    <row r="139" spans="1:14" s="9" customFormat="1" ht="11.25" customHeight="1" x14ac:dyDescent="0.2">
      <c r="A139" s="10">
        <v>43631900</v>
      </c>
      <c r="B139" s="10" t="s">
        <v>97</v>
      </c>
      <c r="C139" s="11">
        <v>-3.9999932050704956E-3</v>
      </c>
      <c r="D139" s="11">
        <v>9819790.5879999995</v>
      </c>
      <c r="E139" s="11">
        <v>8479542.3260000013</v>
      </c>
      <c r="F139" s="13">
        <f>SUMIF('OD 11-24'!A:A,A139,'OD 11-24'!D:D)</f>
        <v>0</v>
      </c>
      <c r="G139" s="13">
        <f>SUMIF('OD 11-24'!A:A,A139,'OD 11-24'!E:E)</f>
        <v>0</v>
      </c>
      <c r="H139" s="14">
        <f t="shared" si="4"/>
        <v>1340248.2619999982</v>
      </c>
      <c r="I139" s="14">
        <f t="shared" si="5"/>
        <v>1340248.258000005</v>
      </c>
      <c r="J139" s="8" t="s">
        <v>78</v>
      </c>
      <c r="K139" s="8"/>
      <c r="M139" s="339"/>
      <c r="N139" s="315"/>
    </row>
    <row r="140" spans="1:14" s="9" customFormat="1" ht="11.25" customHeight="1" x14ac:dyDescent="0.2">
      <c r="A140" s="10">
        <v>43661800</v>
      </c>
      <c r="B140" s="10" t="s">
        <v>326</v>
      </c>
      <c r="C140" s="11">
        <v>0</v>
      </c>
      <c r="D140" s="11">
        <v>0</v>
      </c>
      <c r="E140" s="11">
        <v>0</v>
      </c>
      <c r="F140" s="13">
        <f>SUMIF('OD 11-24'!A:A,A140,'OD 11-24'!D:D)</f>
        <v>0</v>
      </c>
      <c r="G140" s="13">
        <f>SUMIF('OD 11-24'!A:A,A140,'OD 11-24'!E:E)</f>
        <v>0</v>
      </c>
      <c r="H140" s="14">
        <f t="shared" si="4"/>
        <v>0</v>
      </c>
      <c r="I140" s="14">
        <f t="shared" si="5"/>
        <v>0</v>
      </c>
      <c r="J140" s="8"/>
      <c r="K140" s="8"/>
      <c r="M140" s="339"/>
      <c r="N140" s="315"/>
    </row>
    <row r="141" spans="1:14" s="9" customFormat="1" ht="11.25" customHeight="1" x14ac:dyDescent="0.2">
      <c r="A141" s="10">
        <v>43671000</v>
      </c>
      <c r="B141" s="10" t="s">
        <v>98</v>
      </c>
      <c r="C141" s="11">
        <v>0</v>
      </c>
      <c r="D141" s="11">
        <v>6656263.8399999999</v>
      </c>
      <c r="E141" s="11">
        <v>6672773.0959999999</v>
      </c>
      <c r="F141" s="13">
        <f>SUMIF('OD 11-24'!A:A,A141,'OD 11-24'!D:D)</f>
        <v>5570.5789999999997</v>
      </c>
      <c r="G141" s="13">
        <f>SUMIF('OD 11-24'!A:A,A141,'OD 11-24'!E:E)</f>
        <v>638370.21200000006</v>
      </c>
      <c r="H141" s="14">
        <f t="shared" si="4"/>
        <v>-649308.8890000002</v>
      </c>
      <c r="I141" s="14">
        <f t="shared" si="5"/>
        <v>-649308.8890000002</v>
      </c>
      <c r="J141" s="8" t="s">
        <v>81</v>
      </c>
      <c r="K141" s="8"/>
      <c r="M141" s="339"/>
      <c r="N141" s="315"/>
    </row>
    <row r="142" spans="1:14" s="9" customFormat="1" ht="11.25" customHeight="1" x14ac:dyDescent="0.2">
      <c r="A142" s="10">
        <v>43700000</v>
      </c>
      <c r="B142" s="10" t="s">
        <v>99</v>
      </c>
      <c r="C142" s="11">
        <v>0</v>
      </c>
      <c r="D142" s="11">
        <v>43</v>
      </c>
      <c r="E142" s="11">
        <v>44</v>
      </c>
      <c r="F142" s="13">
        <f>SUMIF('OD 11-24'!A:A,A142,'OD 11-24'!D:D)</f>
        <v>0</v>
      </c>
      <c r="G142" s="13">
        <f>SUMIF('OD 11-24'!A:A,A142,'OD 11-24'!E:E)</f>
        <v>3</v>
      </c>
      <c r="H142" s="14">
        <f t="shared" si="4"/>
        <v>-4</v>
      </c>
      <c r="I142" s="14">
        <f t="shared" si="5"/>
        <v>-4</v>
      </c>
      <c r="J142" s="8" t="s">
        <v>81</v>
      </c>
      <c r="K142" s="8"/>
      <c r="M142" s="339"/>
      <c r="N142" s="315"/>
    </row>
    <row r="143" spans="1:14" s="9" customFormat="1" ht="11.25" customHeight="1" x14ac:dyDescent="0.2">
      <c r="A143" s="10">
        <v>43720000</v>
      </c>
      <c r="B143" s="10" t="s">
        <v>327</v>
      </c>
      <c r="C143" s="11">
        <v>0</v>
      </c>
      <c r="D143" s="11">
        <v>0</v>
      </c>
      <c r="E143" s="11">
        <v>0</v>
      </c>
      <c r="F143" s="13">
        <f>SUMIF('OD 11-24'!A:A,A143,'OD 11-24'!D:D)</f>
        <v>0</v>
      </c>
      <c r="G143" s="13">
        <f>SUMIF('OD 11-24'!A:A,A143,'OD 11-24'!E:E)</f>
        <v>0</v>
      </c>
      <c r="H143" s="14">
        <f t="shared" si="4"/>
        <v>0</v>
      </c>
      <c r="I143" s="14">
        <f t="shared" si="5"/>
        <v>0</v>
      </c>
      <c r="J143" s="8"/>
      <c r="K143" s="8"/>
      <c r="M143" s="339"/>
      <c r="N143" s="315"/>
    </row>
    <row r="144" spans="1:14" s="9" customFormat="1" ht="11.25" customHeight="1" x14ac:dyDescent="0.2">
      <c r="A144" s="10">
        <v>43756000</v>
      </c>
      <c r="B144" s="10" t="s">
        <v>328</v>
      </c>
      <c r="C144" s="11">
        <v>0</v>
      </c>
      <c r="D144" s="11">
        <v>0</v>
      </c>
      <c r="E144" s="11">
        <v>0</v>
      </c>
      <c r="F144" s="13">
        <f>SUMIF('OD 11-24'!A:A,A144,'OD 11-24'!D:D)</f>
        <v>0</v>
      </c>
      <c r="G144" s="13">
        <f>SUMIF('OD 11-24'!A:A,A144,'OD 11-24'!E:E)</f>
        <v>0</v>
      </c>
      <c r="H144" s="14">
        <f t="shared" si="4"/>
        <v>0</v>
      </c>
      <c r="I144" s="14">
        <f t="shared" si="5"/>
        <v>0</v>
      </c>
      <c r="J144" s="8"/>
      <c r="K144" s="8"/>
      <c r="M144" s="339"/>
      <c r="N144" s="315"/>
    </row>
    <row r="145" spans="1:14" s="9" customFormat="1" ht="11.25" customHeight="1" x14ac:dyDescent="0.2">
      <c r="A145" s="10">
        <v>44100000</v>
      </c>
      <c r="B145" s="10" t="s">
        <v>329</v>
      </c>
      <c r="C145" s="11">
        <v>0</v>
      </c>
      <c r="D145" s="11">
        <v>0</v>
      </c>
      <c r="E145" s="11">
        <v>0</v>
      </c>
      <c r="F145" s="13">
        <f>SUMIF('OD 11-24'!A:A,A145,'OD 11-24'!D:D)</f>
        <v>0</v>
      </c>
      <c r="G145" s="13">
        <f>SUMIF('OD 11-24'!A:A,A145,'OD 11-24'!E:E)</f>
        <v>0</v>
      </c>
      <c r="H145" s="14">
        <f t="shared" si="4"/>
        <v>0</v>
      </c>
      <c r="I145" s="14">
        <f t="shared" si="5"/>
        <v>0</v>
      </c>
      <c r="J145" s="8"/>
      <c r="K145" s="8"/>
      <c r="M145" s="339"/>
      <c r="N145" s="315"/>
    </row>
    <row r="146" spans="1:14" s="9" customFormat="1" ht="11.25" customHeight="1" x14ac:dyDescent="0.2">
      <c r="A146" s="10">
        <v>44101000</v>
      </c>
      <c r="B146" s="10" t="s">
        <v>7717</v>
      </c>
      <c r="C146" s="11">
        <v>0</v>
      </c>
      <c r="D146" s="11">
        <v>0</v>
      </c>
      <c r="E146" s="11">
        <v>0</v>
      </c>
      <c r="F146" s="13">
        <f>SUMIF('OD 11-24'!A:A,A146,'OD 11-24'!D:D)</f>
        <v>0</v>
      </c>
      <c r="G146" s="13">
        <f>SUMIF('OD 11-24'!A:A,A146,'OD 11-24'!E:E)</f>
        <v>0</v>
      </c>
      <c r="H146" s="14">
        <f t="shared" si="4"/>
        <v>0</v>
      </c>
      <c r="I146" s="14">
        <f t="shared" si="5"/>
        <v>0</v>
      </c>
      <c r="J146" s="8"/>
      <c r="K146" s="8"/>
      <c r="M146" s="339"/>
      <c r="N146" s="315"/>
    </row>
    <row r="147" spans="1:14" s="9" customFormat="1" ht="11.25" customHeight="1" x14ac:dyDescent="0.2">
      <c r="A147" s="10">
        <v>44200000</v>
      </c>
      <c r="B147" s="10" t="s">
        <v>330</v>
      </c>
      <c r="C147" s="11">
        <v>0</v>
      </c>
      <c r="D147" s="11">
        <v>0</v>
      </c>
      <c r="E147" s="11">
        <v>0</v>
      </c>
      <c r="F147" s="13">
        <f>SUMIF('OD 11-24'!A:A,A147,'OD 11-24'!D:D)</f>
        <v>0</v>
      </c>
      <c r="G147" s="13">
        <f>SUMIF('OD 11-24'!A:A,A147,'OD 11-24'!E:E)</f>
        <v>0</v>
      </c>
      <c r="H147" s="14">
        <f t="shared" si="4"/>
        <v>0</v>
      </c>
      <c r="I147" s="14">
        <f t="shared" si="5"/>
        <v>0</v>
      </c>
      <c r="J147" s="8"/>
      <c r="K147" s="8"/>
      <c r="M147" s="339"/>
      <c r="N147" s="315"/>
    </row>
    <row r="148" spans="1:14" s="9" customFormat="1" ht="11.25" customHeight="1" x14ac:dyDescent="0.2">
      <c r="A148" s="10">
        <v>44201000</v>
      </c>
      <c r="B148" s="10" t="s">
        <v>331</v>
      </c>
      <c r="C148" s="11">
        <v>44498.300999999978</v>
      </c>
      <c r="D148" s="11">
        <v>0</v>
      </c>
      <c r="E148" s="11">
        <v>44498.302000000003</v>
      </c>
      <c r="F148" s="13">
        <f>SUMIF('OD 11-24'!A:A,A148,'OD 11-24'!D:D)</f>
        <v>0</v>
      </c>
      <c r="G148" s="13">
        <f>SUMIF('OD 11-24'!A:A,A148,'OD 11-24'!E:E)</f>
        <v>0</v>
      </c>
      <c r="H148" s="14">
        <f t="shared" si="4"/>
        <v>-44498.302000000003</v>
      </c>
      <c r="I148" s="14">
        <f t="shared" si="5"/>
        <v>-1.0000000256695785E-3</v>
      </c>
      <c r="J148" s="8" t="s">
        <v>81</v>
      </c>
      <c r="K148" s="8"/>
      <c r="M148" s="339"/>
      <c r="N148" s="315"/>
    </row>
    <row r="149" spans="1:14" s="9" customFormat="1" ht="11.25" customHeight="1" x14ac:dyDescent="0.2">
      <c r="A149" s="10">
        <v>44202000</v>
      </c>
      <c r="B149" s="10" t="s">
        <v>332</v>
      </c>
      <c r="C149" s="11">
        <v>0</v>
      </c>
      <c r="D149" s="11">
        <v>0</v>
      </c>
      <c r="E149" s="11">
        <v>0</v>
      </c>
      <c r="F149" s="13">
        <f>SUMIF('OD 11-24'!A:A,A149,'OD 11-24'!D:D)</f>
        <v>0</v>
      </c>
      <c r="G149" s="13">
        <f>SUMIF('OD 11-24'!A:A,A149,'OD 11-24'!E:E)</f>
        <v>0</v>
      </c>
      <c r="H149" s="14">
        <f t="shared" si="4"/>
        <v>0</v>
      </c>
      <c r="I149" s="14">
        <f t="shared" si="5"/>
        <v>0</v>
      </c>
      <c r="J149" s="8"/>
      <c r="K149" s="8"/>
      <c r="M149" s="339"/>
      <c r="N149" s="315"/>
    </row>
    <row r="150" spans="1:14" s="9" customFormat="1" ht="11.25" customHeight="1" x14ac:dyDescent="0.2">
      <c r="A150" s="10">
        <v>44203000</v>
      </c>
      <c r="B150" s="10" t="s">
        <v>333</v>
      </c>
      <c r="C150" s="11">
        <v>0</v>
      </c>
      <c r="D150" s="11">
        <v>0</v>
      </c>
      <c r="E150" s="11">
        <v>0</v>
      </c>
      <c r="F150" s="13">
        <f>SUMIF('OD 11-24'!A:A,A150,'OD 11-24'!D:D)</f>
        <v>0</v>
      </c>
      <c r="G150" s="13">
        <f>SUMIF('OD 11-24'!A:A,A150,'OD 11-24'!E:E)</f>
        <v>0</v>
      </c>
      <c r="H150" s="14">
        <f t="shared" si="4"/>
        <v>0</v>
      </c>
      <c r="I150" s="14">
        <f t="shared" si="5"/>
        <v>0</v>
      </c>
      <c r="J150" s="8"/>
      <c r="K150" s="8"/>
      <c r="M150" s="339"/>
      <c r="N150" s="315"/>
    </row>
    <row r="151" spans="1:14" s="9" customFormat="1" ht="11.25" customHeight="1" x14ac:dyDescent="0.2">
      <c r="A151" s="10">
        <v>44204000</v>
      </c>
      <c r="B151" s="10" t="s">
        <v>334</v>
      </c>
      <c r="C151" s="11">
        <v>0</v>
      </c>
      <c r="D151" s="11">
        <v>0</v>
      </c>
      <c r="E151" s="11">
        <v>0</v>
      </c>
      <c r="F151" s="13">
        <f>SUMIF('OD 11-24'!A:A,A151,'OD 11-24'!D:D)</f>
        <v>0</v>
      </c>
      <c r="G151" s="13">
        <f>SUMIF('OD 11-24'!A:A,A151,'OD 11-24'!E:E)</f>
        <v>0</v>
      </c>
      <c r="H151" s="14">
        <f t="shared" si="4"/>
        <v>0</v>
      </c>
      <c r="I151" s="14">
        <f t="shared" si="5"/>
        <v>0</v>
      </c>
      <c r="J151" s="8"/>
      <c r="K151" s="8"/>
      <c r="M151" s="339"/>
      <c r="N151" s="315"/>
    </row>
    <row r="152" spans="1:14" s="9" customFormat="1" ht="11.25" customHeight="1" x14ac:dyDescent="0.2">
      <c r="A152" s="10">
        <v>44205000</v>
      </c>
      <c r="B152" s="10" t="s">
        <v>335</v>
      </c>
      <c r="C152" s="11">
        <v>0</v>
      </c>
      <c r="D152" s="11">
        <v>0</v>
      </c>
      <c r="E152" s="11">
        <v>0</v>
      </c>
      <c r="F152" s="13">
        <f>SUMIF('OD 11-24'!A:A,A152,'OD 11-24'!D:D)</f>
        <v>0</v>
      </c>
      <c r="G152" s="13">
        <f>SUMIF('OD 11-24'!A:A,A152,'OD 11-24'!E:E)</f>
        <v>0</v>
      </c>
      <c r="H152" s="14">
        <f t="shared" si="4"/>
        <v>0</v>
      </c>
      <c r="I152" s="14">
        <f t="shared" si="5"/>
        <v>0</v>
      </c>
      <c r="J152" s="8"/>
      <c r="K152" s="8"/>
      <c r="M152" s="339"/>
      <c r="N152" s="315"/>
    </row>
    <row r="153" spans="1:14" s="9" customFormat="1" ht="11.25" customHeight="1" x14ac:dyDescent="0.2">
      <c r="A153" s="10">
        <v>44206000</v>
      </c>
      <c r="B153" s="10" t="s">
        <v>100</v>
      </c>
      <c r="C153" s="11">
        <v>-439999.99999999988</v>
      </c>
      <c r="D153" s="11">
        <v>145000</v>
      </c>
      <c r="E153" s="11">
        <v>0</v>
      </c>
      <c r="F153" s="13">
        <f>SUMIF('OD 11-24'!A:A,A153,'OD 11-24'!D:D)</f>
        <v>0</v>
      </c>
      <c r="G153" s="13">
        <f>SUMIF('OD 11-24'!A:A,A153,'OD 11-24'!E:E)</f>
        <v>0</v>
      </c>
      <c r="H153" s="14">
        <f t="shared" si="4"/>
        <v>145000</v>
      </c>
      <c r="I153" s="14">
        <f t="shared" si="5"/>
        <v>-294999.99999999988</v>
      </c>
      <c r="J153" s="8" t="s">
        <v>81</v>
      </c>
      <c r="K153" s="8"/>
      <c r="M153" s="339"/>
      <c r="N153" s="315"/>
    </row>
    <row r="154" spans="1:14" s="9" customFormat="1" ht="11.25" customHeight="1" x14ac:dyDescent="0.2">
      <c r="A154" s="10">
        <v>44207000</v>
      </c>
      <c r="B154" s="10" t="s">
        <v>336</v>
      </c>
      <c r="C154" s="11">
        <v>165000</v>
      </c>
      <c r="D154" s="11">
        <v>60000</v>
      </c>
      <c r="E154" s="11">
        <v>0</v>
      </c>
      <c r="F154" s="13">
        <f>SUMIF('OD 11-24'!A:A,A154,'OD 11-24'!D:D)</f>
        <v>0</v>
      </c>
      <c r="G154" s="13">
        <f>SUMIF('OD 11-24'!A:A,A154,'OD 11-24'!E:E)</f>
        <v>0</v>
      </c>
      <c r="H154" s="14">
        <f t="shared" si="4"/>
        <v>60000</v>
      </c>
      <c r="I154" s="14">
        <f t="shared" si="5"/>
        <v>225000</v>
      </c>
      <c r="J154" s="8" t="s">
        <v>78</v>
      </c>
      <c r="K154" s="8"/>
      <c r="M154" s="339"/>
      <c r="N154" s="315"/>
    </row>
    <row r="155" spans="1:14" s="9" customFormat="1" ht="11.25" customHeight="1" x14ac:dyDescent="0.2">
      <c r="A155" s="10">
        <v>44208000</v>
      </c>
      <c r="B155" s="10" t="s">
        <v>337</v>
      </c>
      <c r="C155" s="11">
        <v>2270.971</v>
      </c>
      <c r="D155" s="11">
        <v>0</v>
      </c>
      <c r="E155" s="11">
        <v>0</v>
      </c>
      <c r="F155" s="13">
        <f>SUMIF('OD 11-24'!A:A,A155,'OD 11-24'!D:D)</f>
        <v>0</v>
      </c>
      <c r="G155" s="13">
        <f>SUMIF('OD 11-24'!A:A,A155,'OD 11-24'!E:E)</f>
        <v>0</v>
      </c>
      <c r="H155" s="14">
        <f t="shared" si="4"/>
        <v>0</v>
      </c>
      <c r="I155" s="14">
        <f t="shared" si="5"/>
        <v>2270.971</v>
      </c>
      <c r="J155" s="8" t="s">
        <v>78</v>
      </c>
      <c r="K155" s="8"/>
      <c r="M155" s="339"/>
      <c r="N155" s="315"/>
    </row>
    <row r="156" spans="1:14" s="9" customFormat="1" ht="11.25" customHeight="1" x14ac:dyDescent="0.2">
      <c r="A156" s="10">
        <v>44209000</v>
      </c>
      <c r="B156" s="10" t="s">
        <v>392</v>
      </c>
      <c r="C156" s="11">
        <v>3626.8820000002161</v>
      </c>
      <c r="D156" s="11">
        <v>0</v>
      </c>
      <c r="E156" s="11">
        <v>0</v>
      </c>
      <c r="F156" s="13">
        <f>SUMIF('OD 11-24'!A:A,A156,'OD 11-24'!D:D)</f>
        <v>0</v>
      </c>
      <c r="G156" s="13">
        <f>SUMIF('OD 11-24'!A:A,A156,'OD 11-24'!E:E)</f>
        <v>0</v>
      </c>
      <c r="H156" s="14">
        <f t="shared" si="4"/>
        <v>0</v>
      </c>
      <c r="I156" s="14">
        <f t="shared" si="5"/>
        <v>3626.8820000002161</v>
      </c>
      <c r="J156" s="8" t="s">
        <v>78</v>
      </c>
      <c r="K156" s="8"/>
      <c r="M156" s="339"/>
      <c r="N156" s="315"/>
    </row>
    <row r="157" spans="1:14" s="9" customFormat="1" ht="11.25" customHeight="1" x14ac:dyDescent="0.2">
      <c r="A157" s="10">
        <v>44210000</v>
      </c>
      <c r="B157" s="10" t="s">
        <v>338</v>
      </c>
      <c r="C157" s="11">
        <v>0</v>
      </c>
      <c r="D157" s="11">
        <v>0</v>
      </c>
      <c r="E157" s="11">
        <v>0</v>
      </c>
      <c r="F157" s="13">
        <f>SUMIF('OD 11-24'!A:A,A157,'OD 11-24'!D:D)</f>
        <v>0</v>
      </c>
      <c r="G157" s="13">
        <f>SUMIF('OD 11-24'!A:A,A157,'OD 11-24'!E:E)</f>
        <v>0</v>
      </c>
      <c r="H157" s="14">
        <f t="shared" si="4"/>
        <v>0</v>
      </c>
      <c r="I157" s="14">
        <f t="shared" si="5"/>
        <v>0</v>
      </c>
      <c r="J157" s="8"/>
      <c r="K157" s="8"/>
      <c r="M157" s="339"/>
      <c r="N157" s="315"/>
    </row>
    <row r="158" spans="1:14" s="9" customFormat="1" ht="11.25" customHeight="1" x14ac:dyDescent="0.2">
      <c r="A158" s="10">
        <v>44600000</v>
      </c>
      <c r="B158" s="10" t="s">
        <v>339</v>
      </c>
      <c r="C158" s="11">
        <v>0</v>
      </c>
      <c r="D158" s="11">
        <v>0</v>
      </c>
      <c r="E158" s="11">
        <v>0</v>
      </c>
      <c r="F158" s="13">
        <f>SUMIF('OD 11-24'!A:A,A158,'OD 11-24'!D:D)</f>
        <v>0</v>
      </c>
      <c r="G158" s="13">
        <f>SUMIF('OD 11-24'!A:A,A158,'OD 11-24'!E:E)</f>
        <v>0</v>
      </c>
      <c r="H158" s="14">
        <f t="shared" si="4"/>
        <v>0</v>
      </c>
      <c r="I158" s="14">
        <f t="shared" si="5"/>
        <v>0</v>
      </c>
      <c r="J158" s="8"/>
      <c r="K158" s="8"/>
      <c r="M158" s="339"/>
      <c r="N158" s="315"/>
    </row>
    <row r="159" spans="1:14" s="9" customFormat="1" ht="11.25" customHeight="1" x14ac:dyDescent="0.2">
      <c r="A159" s="10">
        <v>44700000</v>
      </c>
      <c r="B159" s="10" t="s">
        <v>101</v>
      </c>
      <c r="C159" s="11">
        <v>0</v>
      </c>
      <c r="D159" s="11">
        <v>0</v>
      </c>
      <c r="E159" s="11">
        <v>0</v>
      </c>
      <c r="F159" s="13">
        <f>SUMIF('OD 11-24'!A:A,A159,'OD 11-24'!D:D)</f>
        <v>0</v>
      </c>
      <c r="G159" s="13">
        <f>SUMIF('OD 11-24'!A:A,A159,'OD 11-24'!E:E)</f>
        <v>0</v>
      </c>
      <c r="H159" s="14">
        <f t="shared" si="4"/>
        <v>0</v>
      </c>
      <c r="I159" s="14">
        <f t="shared" si="5"/>
        <v>0</v>
      </c>
      <c r="J159" s="8"/>
      <c r="K159" s="8"/>
      <c r="M159" s="339"/>
      <c r="N159" s="315"/>
    </row>
    <row r="160" spans="1:14" s="9" customFormat="1" ht="11.25" customHeight="1" x14ac:dyDescent="0.2">
      <c r="A160" s="10">
        <v>45000000</v>
      </c>
      <c r="B160" s="10" t="s">
        <v>102</v>
      </c>
      <c r="C160" s="11">
        <v>-12700</v>
      </c>
      <c r="D160" s="11">
        <v>0</v>
      </c>
      <c r="E160" s="11">
        <v>0</v>
      </c>
      <c r="F160" s="13">
        <f>SUMIF('OD 11-24'!A:A,A160,'OD 11-24'!D:D)</f>
        <v>0</v>
      </c>
      <c r="G160" s="13">
        <f>SUMIF('OD 11-24'!A:A,A160,'OD 11-24'!E:E)</f>
        <v>0</v>
      </c>
      <c r="H160" s="14">
        <f t="shared" si="4"/>
        <v>0</v>
      </c>
      <c r="I160" s="14">
        <f t="shared" si="5"/>
        <v>-12700</v>
      </c>
      <c r="J160" s="8" t="s">
        <v>81</v>
      </c>
      <c r="K160" s="8"/>
      <c r="M160" s="339"/>
      <c r="N160" s="315"/>
    </row>
    <row r="161" spans="1:14" s="9" customFormat="1" ht="11.25" customHeight="1" x14ac:dyDescent="0.2">
      <c r="A161" s="10">
        <v>45200000</v>
      </c>
      <c r="B161" s="10" t="s">
        <v>103</v>
      </c>
      <c r="C161" s="11">
        <v>-2500</v>
      </c>
      <c r="D161" s="11">
        <v>56000</v>
      </c>
      <c r="E161" s="11">
        <v>56000</v>
      </c>
      <c r="F161" s="13">
        <f>SUMIF('OD 11-24'!A:A,A161,'OD 11-24'!D:D)</f>
        <v>0</v>
      </c>
      <c r="G161" s="13">
        <f>SUMIF('OD 11-24'!A:A,A161,'OD 11-24'!E:E)</f>
        <v>0</v>
      </c>
      <c r="H161" s="14">
        <f t="shared" si="4"/>
        <v>0</v>
      </c>
      <c r="I161" s="14">
        <f t="shared" si="5"/>
        <v>-2500</v>
      </c>
      <c r="J161" s="8" t="s">
        <v>81</v>
      </c>
      <c r="K161" s="8"/>
      <c r="M161" s="339"/>
      <c r="N161" s="315"/>
    </row>
    <row r="162" spans="1:14" s="9" customFormat="1" ht="11.25" customHeight="1" x14ac:dyDescent="0.2">
      <c r="A162" s="10">
        <v>45310000</v>
      </c>
      <c r="B162" s="10" t="s">
        <v>104</v>
      </c>
      <c r="C162" s="11">
        <v>-244010.37100000028</v>
      </c>
      <c r="D162" s="11">
        <v>911939.82699999993</v>
      </c>
      <c r="E162" s="11">
        <v>724900.04299999995</v>
      </c>
      <c r="F162" s="13">
        <f>SUMIF('OD 11-24'!A:A,A162,'OD 11-24'!D:D)</f>
        <v>760644.44499999995</v>
      </c>
      <c r="G162" s="13">
        <f>SUMIF('OD 11-24'!A:A,A162,'OD 11-24'!E:E)</f>
        <v>829459.68700000003</v>
      </c>
      <c r="H162" s="14">
        <f t="shared" si="4"/>
        <v>118224.5419999999</v>
      </c>
      <c r="I162" s="14">
        <f t="shared" si="5"/>
        <v>-125785.82900000038</v>
      </c>
      <c r="J162" s="8" t="s">
        <v>81</v>
      </c>
      <c r="K162" s="8"/>
      <c r="M162" s="339"/>
      <c r="N162" s="315"/>
    </row>
    <row r="163" spans="1:14" s="9" customFormat="1" ht="11.25" customHeight="1" x14ac:dyDescent="0.2">
      <c r="A163" s="10">
        <v>45700000</v>
      </c>
      <c r="B163" s="10" t="s">
        <v>105</v>
      </c>
      <c r="C163" s="11">
        <v>7122.9679999998771</v>
      </c>
      <c r="D163" s="11">
        <v>0</v>
      </c>
      <c r="E163" s="11">
        <v>0</v>
      </c>
      <c r="F163" s="13">
        <f>SUMIF('OD 11-24'!A:A,A163,'OD 11-24'!D:D)</f>
        <v>0</v>
      </c>
      <c r="G163" s="13">
        <f>SUMIF('OD 11-24'!A:A,A163,'OD 11-24'!E:E)</f>
        <v>0</v>
      </c>
      <c r="H163" s="14">
        <f t="shared" si="4"/>
        <v>0</v>
      </c>
      <c r="I163" s="14">
        <f t="shared" si="5"/>
        <v>7122.9679999998771</v>
      </c>
      <c r="J163" s="8" t="s">
        <v>78</v>
      </c>
      <c r="K163" s="8"/>
      <c r="M163" s="339"/>
      <c r="N163" s="315"/>
    </row>
    <row r="164" spans="1:14" s="9" customFormat="1" ht="11.25" customHeight="1" x14ac:dyDescent="0.2">
      <c r="A164" s="10">
        <v>45860000</v>
      </c>
      <c r="B164" s="10" t="s">
        <v>106</v>
      </c>
      <c r="C164" s="11">
        <v>-1872970.182</v>
      </c>
      <c r="D164" s="11">
        <v>1199462.1570000001</v>
      </c>
      <c r="E164" s="11">
        <v>197370.59700000001</v>
      </c>
      <c r="F164" s="13">
        <f>SUMIF('OD 11-24'!A:A,A164,'OD 11-24'!D:D)</f>
        <v>11596868.651000001</v>
      </c>
      <c r="G164" s="13">
        <f>SUMIF('OD 11-24'!A:A,A164,'OD 11-24'!E:E)</f>
        <v>13676379.568</v>
      </c>
      <c r="H164" s="14">
        <f t="shared" si="4"/>
        <v>-1077419.3569999989</v>
      </c>
      <c r="I164" s="14">
        <f t="shared" si="5"/>
        <v>-2950389.5389999989</v>
      </c>
      <c r="J164" s="8" t="s">
        <v>81</v>
      </c>
      <c r="K164" s="8"/>
      <c r="M164" s="339"/>
      <c r="N164" s="315"/>
    </row>
    <row r="165" spans="1:14" s="9" customFormat="1" ht="11.25" customHeight="1" x14ac:dyDescent="0.2">
      <c r="A165" s="10">
        <v>45870000</v>
      </c>
      <c r="B165" s="10" t="s">
        <v>107</v>
      </c>
      <c r="C165" s="11">
        <v>38770.517999999225</v>
      </c>
      <c r="D165" s="11">
        <v>0</v>
      </c>
      <c r="E165" s="11">
        <v>38770.517999999996</v>
      </c>
      <c r="F165" s="13">
        <f>SUMIF('OD 11-24'!A:A,A165,'OD 11-24'!D:D)</f>
        <v>761130.09400000004</v>
      </c>
      <c r="G165" s="13">
        <f>SUMIF('OD 11-24'!A:A,A165,'OD 11-24'!E:E)</f>
        <v>744228.76399999997</v>
      </c>
      <c r="H165" s="14">
        <f t="shared" si="4"/>
        <v>-21869.187999999966</v>
      </c>
      <c r="I165" s="14">
        <f t="shared" si="5"/>
        <v>16901.32999999926</v>
      </c>
      <c r="J165" s="8" t="s">
        <v>78</v>
      </c>
      <c r="K165" s="8"/>
      <c r="M165" s="339"/>
      <c r="N165" s="315"/>
    </row>
    <row r="166" spans="1:14" s="9" customFormat="1" ht="11.25" customHeight="1" x14ac:dyDescent="0.2">
      <c r="A166" s="10">
        <v>46100000</v>
      </c>
      <c r="B166" s="10" t="s">
        <v>340</v>
      </c>
      <c r="C166" s="11">
        <v>0</v>
      </c>
      <c r="D166" s="11">
        <v>26222.382999999994</v>
      </c>
      <c r="E166" s="11">
        <v>26222.382999999994</v>
      </c>
      <c r="F166" s="13">
        <f>SUMIF('OD 11-24'!A:A,A166,'OD 11-24'!D:D)</f>
        <v>0</v>
      </c>
      <c r="G166" s="13">
        <f>SUMIF('OD 11-24'!A:A,A166,'OD 11-24'!E:E)</f>
        <v>0</v>
      </c>
      <c r="H166" s="14">
        <f t="shared" si="4"/>
        <v>0</v>
      </c>
      <c r="I166" s="14">
        <f t="shared" si="5"/>
        <v>0</v>
      </c>
      <c r="J166" s="8"/>
      <c r="K166" s="8"/>
      <c r="M166" s="339"/>
      <c r="N166" s="315"/>
    </row>
    <row r="167" spans="1:14" s="9" customFormat="1" ht="11.25" customHeight="1" x14ac:dyDescent="0.2">
      <c r="A167" s="10">
        <v>46800000</v>
      </c>
      <c r="B167" s="10" t="s">
        <v>108</v>
      </c>
      <c r="C167" s="11">
        <v>0</v>
      </c>
      <c r="D167" s="11">
        <v>0</v>
      </c>
      <c r="E167" s="11">
        <v>0</v>
      </c>
      <c r="F167" s="13">
        <f>SUMIF('OD 11-24'!A:A,A167,'OD 11-24'!D:D)</f>
        <v>0</v>
      </c>
      <c r="G167" s="13">
        <f>SUMIF('OD 11-24'!A:A,A167,'OD 11-24'!E:E)</f>
        <v>0</v>
      </c>
      <c r="H167" s="14">
        <f t="shared" si="4"/>
        <v>0</v>
      </c>
      <c r="I167" s="14">
        <f t="shared" si="5"/>
        <v>0</v>
      </c>
      <c r="J167" s="8"/>
      <c r="K167" s="8"/>
      <c r="M167" s="339"/>
      <c r="N167" s="315"/>
    </row>
    <row r="168" spans="1:14" s="9" customFormat="1" ht="11.25" customHeight="1" x14ac:dyDescent="0.2">
      <c r="A168" s="10">
        <v>47100000</v>
      </c>
      <c r="B168" s="10" t="s">
        <v>109</v>
      </c>
      <c r="C168" s="11">
        <v>222018.92184599978</v>
      </c>
      <c r="D168" s="11">
        <v>6490.0880000000006</v>
      </c>
      <c r="E168" s="11">
        <v>221330.79699999996</v>
      </c>
      <c r="F168" s="13">
        <f>SUMIF('OD 11-24'!A:A,A168,'OD 11-24'!D:D)</f>
        <v>1983780.872</v>
      </c>
      <c r="G168" s="13">
        <f>SUMIF('OD 11-24'!A:A,A168,'OD 11-24'!E:E)</f>
        <v>1694253.173</v>
      </c>
      <c r="H168" s="14">
        <f t="shared" si="4"/>
        <v>74686.989999999991</v>
      </c>
      <c r="I168" s="14">
        <f t="shared" si="5"/>
        <v>296705.91184599977</v>
      </c>
      <c r="J168" s="8" t="s">
        <v>78</v>
      </c>
      <c r="K168" s="8"/>
      <c r="M168" s="339"/>
      <c r="N168" s="315"/>
    </row>
    <row r="169" spans="1:14" s="9" customFormat="1" ht="11.25" customHeight="1" x14ac:dyDescent="0.2">
      <c r="A169" s="10">
        <v>47200000</v>
      </c>
      <c r="B169" s="10" t="s">
        <v>341</v>
      </c>
      <c r="C169" s="11">
        <v>0</v>
      </c>
      <c r="D169" s="11">
        <v>0</v>
      </c>
      <c r="E169" s="11">
        <v>0</v>
      </c>
      <c r="F169" s="13">
        <f>SUMIF('OD 11-24'!A:A,A169,'OD 11-24'!D:D)</f>
        <v>0</v>
      </c>
      <c r="G169" s="13">
        <f>SUMIF('OD 11-24'!A:A,A169,'OD 11-24'!E:E)</f>
        <v>0</v>
      </c>
      <c r="H169" s="14">
        <f t="shared" si="4"/>
        <v>0</v>
      </c>
      <c r="I169" s="14">
        <f t="shared" si="5"/>
        <v>0</v>
      </c>
      <c r="J169" s="8"/>
      <c r="K169" s="8"/>
      <c r="M169" s="339"/>
      <c r="N169" s="315"/>
    </row>
    <row r="170" spans="1:14" s="9" customFormat="1" ht="11.25" customHeight="1" x14ac:dyDescent="0.2">
      <c r="A170" s="10">
        <v>49100000</v>
      </c>
      <c r="B170" s="10" t="s">
        <v>110</v>
      </c>
      <c r="C170" s="11">
        <v>-457129.14999999991</v>
      </c>
      <c r="D170" s="11">
        <v>0</v>
      </c>
      <c r="E170" s="11">
        <v>0</v>
      </c>
      <c r="F170" s="13">
        <f>SUMIF('OD 11-24'!A:A,A170,'OD 11-24'!D:D)</f>
        <v>2350000</v>
      </c>
      <c r="G170" s="13">
        <f>SUMIF('OD 11-24'!A:A,A170,'OD 11-24'!E:E)</f>
        <v>2850000</v>
      </c>
      <c r="H170" s="14">
        <f t="shared" si="4"/>
        <v>-500000</v>
      </c>
      <c r="I170" s="14">
        <f t="shared" si="5"/>
        <v>-957129.14999999991</v>
      </c>
      <c r="J170" s="8" t="s">
        <v>111</v>
      </c>
      <c r="K170" s="8"/>
      <c r="M170" s="339"/>
      <c r="N170" s="315"/>
    </row>
    <row r="171" spans="1:14" s="9" customFormat="1" ht="11.25" customHeight="1" x14ac:dyDescent="0.2">
      <c r="A171" s="10">
        <v>49600000</v>
      </c>
      <c r="B171" s="10" t="s">
        <v>112</v>
      </c>
      <c r="C171" s="11">
        <v>-288613.68499999994</v>
      </c>
      <c r="D171" s="11">
        <v>0</v>
      </c>
      <c r="E171" s="11">
        <v>0</v>
      </c>
      <c r="F171" s="13">
        <f>SUMIF('OD 11-24'!A:A,A171,'OD 11-24'!D:D)</f>
        <v>0</v>
      </c>
      <c r="G171" s="13">
        <f>SUMIF('OD 11-24'!A:A,A171,'OD 11-24'!E:E)</f>
        <v>0</v>
      </c>
      <c r="H171" s="14">
        <f t="shared" si="4"/>
        <v>0</v>
      </c>
      <c r="I171" s="14">
        <f t="shared" si="5"/>
        <v>-288613.68499999994</v>
      </c>
      <c r="J171" s="8" t="s">
        <v>113</v>
      </c>
      <c r="K171" s="8"/>
      <c r="M171" s="339"/>
      <c r="N171" s="315"/>
    </row>
    <row r="172" spans="1:14" s="9" customFormat="1" ht="11.25" customHeight="1" x14ac:dyDescent="0.2">
      <c r="A172" s="10">
        <v>50130000</v>
      </c>
      <c r="B172" s="10" t="s">
        <v>114</v>
      </c>
      <c r="C172" s="11">
        <v>-6000000</v>
      </c>
      <c r="D172" s="11">
        <v>24000000</v>
      </c>
      <c r="E172" s="11">
        <v>24000000</v>
      </c>
      <c r="F172" s="13">
        <f>SUMIF('OD 11-24'!A:A,A172,'OD 11-24'!D:D)</f>
        <v>0</v>
      </c>
      <c r="G172" s="13">
        <f>SUMIF('OD 11-24'!A:A,A172,'OD 11-24'!E:E)</f>
        <v>0</v>
      </c>
      <c r="H172" s="14">
        <f t="shared" si="4"/>
        <v>0</v>
      </c>
      <c r="I172" s="14">
        <f t="shared" si="5"/>
        <v>-6000000</v>
      </c>
      <c r="J172" s="8" t="s">
        <v>115</v>
      </c>
      <c r="K172" s="8"/>
      <c r="M172" s="339"/>
      <c r="N172" s="315"/>
    </row>
    <row r="173" spans="1:14" s="9" customFormat="1" ht="11.25" customHeight="1" x14ac:dyDescent="0.2">
      <c r="A173" s="10">
        <v>50140000</v>
      </c>
      <c r="B173" s="10" t="s">
        <v>116</v>
      </c>
      <c r="C173" s="11">
        <v>-4000000</v>
      </c>
      <c r="D173" s="11">
        <v>16000000</v>
      </c>
      <c r="E173" s="11">
        <v>16000000</v>
      </c>
      <c r="F173" s="13">
        <f>SUMIF('OD 11-24'!A:A,A173,'OD 11-24'!D:D)</f>
        <v>0</v>
      </c>
      <c r="G173" s="13">
        <f>SUMIF('OD 11-24'!A:A,A173,'OD 11-24'!E:E)</f>
        <v>0</v>
      </c>
      <c r="H173" s="14">
        <f t="shared" si="4"/>
        <v>0</v>
      </c>
      <c r="I173" s="14">
        <f t="shared" si="5"/>
        <v>-4000000</v>
      </c>
      <c r="J173" s="8" t="s">
        <v>115</v>
      </c>
      <c r="K173" s="8"/>
      <c r="M173" s="339"/>
      <c r="N173" s="315"/>
    </row>
    <row r="174" spans="1:14" s="9" customFormat="1" ht="11.25" customHeight="1" x14ac:dyDescent="0.2">
      <c r="A174" s="10">
        <v>50500000</v>
      </c>
      <c r="B174" s="10" t="s">
        <v>117</v>
      </c>
      <c r="C174" s="11">
        <v>-625000.00400000252</v>
      </c>
      <c r="D174" s="11">
        <v>625000</v>
      </c>
      <c r="E174" s="11">
        <v>0</v>
      </c>
      <c r="F174" s="13">
        <f>SUMIF('OD 11-24'!A:A,A174,'OD 11-24'!D:D)</f>
        <v>0</v>
      </c>
      <c r="G174" s="13">
        <f>SUMIF('OD 11-24'!A:A,A174,'OD 11-24'!E:E)</f>
        <v>0</v>
      </c>
      <c r="H174" s="14">
        <f t="shared" si="4"/>
        <v>625000</v>
      </c>
      <c r="I174" s="14">
        <f t="shared" si="5"/>
        <v>-4.0000025182962418E-3</v>
      </c>
      <c r="J174" s="8" t="s">
        <v>115</v>
      </c>
      <c r="K174" s="8"/>
      <c r="M174" s="339"/>
      <c r="N174" s="315"/>
    </row>
    <row r="175" spans="1:14" s="9" customFormat="1" ht="11.25" customHeight="1" x14ac:dyDescent="0.2">
      <c r="A175" s="10">
        <v>50515000</v>
      </c>
      <c r="B175" s="10" t="s">
        <v>118</v>
      </c>
      <c r="C175" s="11">
        <v>-131871.57899999991</v>
      </c>
      <c r="D175" s="11">
        <v>323053.89399999997</v>
      </c>
      <c r="E175" s="11">
        <v>225258.14199999999</v>
      </c>
      <c r="F175" s="13">
        <f>SUMIF('OD 11-24'!A:A,A175,'OD 11-24'!D:D)</f>
        <v>0</v>
      </c>
      <c r="G175" s="13">
        <f>SUMIF('OD 11-24'!A:A,A175,'OD 11-24'!E:E)</f>
        <v>0</v>
      </c>
      <c r="H175" s="14">
        <f t="shared" si="4"/>
        <v>97795.751999999979</v>
      </c>
      <c r="I175" s="14">
        <f t="shared" si="5"/>
        <v>-34075.826999999932</v>
      </c>
      <c r="J175" s="8" t="s">
        <v>115</v>
      </c>
      <c r="K175" s="8"/>
      <c r="M175" s="339"/>
      <c r="N175" s="315"/>
    </row>
    <row r="176" spans="1:14" s="9" customFormat="1" ht="11.25" customHeight="1" x14ac:dyDescent="0.2">
      <c r="A176" s="10">
        <v>50610100</v>
      </c>
      <c r="B176" s="10" t="s">
        <v>342</v>
      </c>
      <c r="C176" s="11">
        <v>0</v>
      </c>
      <c r="D176" s="11">
        <v>0</v>
      </c>
      <c r="E176" s="11">
        <v>0</v>
      </c>
      <c r="F176" s="13">
        <f>SUMIF('OD 11-24'!A:A,A176,'OD 11-24'!D:D)</f>
        <v>0</v>
      </c>
      <c r="G176" s="13">
        <f>SUMIF('OD 11-24'!A:A,A176,'OD 11-24'!E:E)</f>
        <v>0</v>
      </c>
      <c r="H176" s="14">
        <f t="shared" si="4"/>
        <v>0</v>
      </c>
      <c r="I176" s="14">
        <f t="shared" si="5"/>
        <v>0</v>
      </c>
      <c r="J176" s="8"/>
      <c r="K176" s="8"/>
      <c r="M176" s="339"/>
      <c r="N176" s="315"/>
    </row>
    <row r="177" spans="1:14" s="9" customFormat="1" ht="11.25" customHeight="1" x14ac:dyDescent="0.2">
      <c r="A177" s="10">
        <v>50610900</v>
      </c>
      <c r="B177" s="10" t="s">
        <v>119</v>
      </c>
      <c r="C177" s="11">
        <v>-1347864.9606235027</v>
      </c>
      <c r="D177" s="11">
        <v>1359732.8840000001</v>
      </c>
      <c r="E177" s="11">
        <v>11867.923000000001</v>
      </c>
      <c r="F177" s="13">
        <f>SUMIF('OD 11-24'!A:A,A177,'OD 11-24'!D:D)</f>
        <v>0</v>
      </c>
      <c r="G177" s="13">
        <f>SUMIF('OD 11-24'!A:A,A177,'OD 11-24'!E:E)</f>
        <v>0</v>
      </c>
      <c r="H177" s="14">
        <f t="shared" si="4"/>
        <v>1347864.9610000001</v>
      </c>
      <c r="I177" s="14">
        <f t="shared" si="5"/>
        <v>3.7649739533662796E-4</v>
      </c>
      <c r="J177" s="8" t="s">
        <v>115</v>
      </c>
      <c r="K177" s="8"/>
      <c r="M177" s="339"/>
      <c r="N177" s="315"/>
    </row>
    <row r="178" spans="1:14" s="9" customFormat="1" ht="11.25" customHeight="1" x14ac:dyDescent="0.2">
      <c r="A178" s="10">
        <v>50630000</v>
      </c>
      <c r="B178" s="10" t="s">
        <v>343</v>
      </c>
      <c r="C178" s="11">
        <v>-443000</v>
      </c>
      <c r="D178" s="11">
        <v>443000</v>
      </c>
      <c r="E178" s="11">
        <v>839470.78499999992</v>
      </c>
      <c r="F178" s="13">
        <f>SUMIF('OD 11-24'!A:A,A178,'OD 11-24'!D:D)</f>
        <v>0</v>
      </c>
      <c r="G178" s="13">
        <f>SUMIF('OD 11-24'!A:A,A178,'OD 11-24'!E:E)</f>
        <v>0</v>
      </c>
      <c r="H178" s="14">
        <f t="shared" si="4"/>
        <v>-396470.78499999992</v>
      </c>
      <c r="I178" s="14">
        <f t="shared" si="5"/>
        <v>-839470.78499999992</v>
      </c>
      <c r="J178" s="8" t="s">
        <v>115</v>
      </c>
      <c r="K178" s="8"/>
      <c r="M178" s="339"/>
      <c r="N178" s="315"/>
    </row>
    <row r="179" spans="1:14" s="9" customFormat="1" ht="11.25" customHeight="1" x14ac:dyDescent="0.2">
      <c r="A179" s="10">
        <v>50800000</v>
      </c>
      <c r="B179" s="10" t="s">
        <v>344</v>
      </c>
      <c r="C179" s="11">
        <v>-31533.957000000002</v>
      </c>
      <c r="D179" s="11">
        <v>31533.957000000002</v>
      </c>
      <c r="E179" s="11">
        <v>0</v>
      </c>
      <c r="F179" s="13">
        <f>SUMIF('OD 11-24'!A:A,A179,'OD 11-24'!D:D)</f>
        <v>0</v>
      </c>
      <c r="G179" s="13">
        <f>SUMIF('OD 11-24'!A:A,A179,'OD 11-24'!E:E)</f>
        <v>0</v>
      </c>
      <c r="H179" s="14">
        <f t="shared" si="4"/>
        <v>31533.957000000002</v>
      </c>
      <c r="I179" s="14">
        <f t="shared" si="5"/>
        <v>0</v>
      </c>
      <c r="J179" s="8" t="s">
        <v>115</v>
      </c>
      <c r="K179" s="8"/>
      <c r="M179" s="339"/>
      <c r="N179" s="315"/>
    </row>
    <row r="180" spans="1:14" s="9" customFormat="1" ht="11.25" customHeight="1" x14ac:dyDescent="0.2">
      <c r="A180" s="10">
        <v>52000000</v>
      </c>
      <c r="B180" s="10" t="s">
        <v>345</v>
      </c>
      <c r="C180" s="11">
        <v>0</v>
      </c>
      <c r="D180" s="11">
        <v>0</v>
      </c>
      <c r="E180" s="11">
        <v>0</v>
      </c>
      <c r="F180" s="13">
        <f>SUMIF('OD 11-24'!A:A,A180,'OD 11-24'!D:D)</f>
        <v>0</v>
      </c>
      <c r="G180" s="13">
        <f>SUMIF('OD 11-24'!A:A,A180,'OD 11-24'!E:E)</f>
        <v>0</v>
      </c>
      <c r="H180" s="14">
        <f t="shared" si="4"/>
        <v>0</v>
      </c>
      <c r="I180" s="14">
        <f t="shared" si="5"/>
        <v>0</v>
      </c>
      <c r="J180" s="8"/>
      <c r="K180" s="8"/>
      <c r="M180" s="339"/>
      <c r="N180" s="315"/>
    </row>
    <row r="181" spans="1:14" s="9" customFormat="1" ht="11.25" customHeight="1" x14ac:dyDescent="0.2">
      <c r="A181" s="10">
        <v>52001100</v>
      </c>
      <c r="B181" s="10" t="s">
        <v>346</v>
      </c>
      <c r="C181" s="11">
        <v>0</v>
      </c>
      <c r="D181" s="11">
        <v>0</v>
      </c>
      <c r="E181" s="11">
        <v>0</v>
      </c>
      <c r="F181" s="13">
        <f>SUMIF('OD 11-24'!A:A,A181,'OD 11-24'!D:D)</f>
        <v>0</v>
      </c>
      <c r="G181" s="13">
        <f>SUMIF('OD 11-24'!A:A,A181,'OD 11-24'!E:E)</f>
        <v>0</v>
      </c>
      <c r="H181" s="14">
        <f t="shared" si="4"/>
        <v>0</v>
      </c>
      <c r="I181" s="14">
        <f t="shared" si="5"/>
        <v>0</v>
      </c>
      <c r="J181" s="8"/>
      <c r="K181" s="8"/>
      <c r="M181" s="339"/>
      <c r="N181" s="315"/>
    </row>
    <row r="182" spans="1:14" s="9" customFormat="1" ht="11.25" customHeight="1" x14ac:dyDescent="0.2">
      <c r="A182" s="10">
        <v>53140000</v>
      </c>
      <c r="B182" s="10" t="s">
        <v>347</v>
      </c>
      <c r="C182" s="11">
        <v>0</v>
      </c>
      <c r="D182" s="11">
        <v>0</v>
      </c>
      <c r="E182" s="11">
        <v>0</v>
      </c>
      <c r="F182" s="13">
        <f>SUMIF('OD 11-24'!A:A,A182,'OD 11-24'!D:D)</f>
        <v>0</v>
      </c>
      <c r="G182" s="13">
        <f>SUMIF('OD 11-24'!A:A,A182,'OD 11-24'!E:E)</f>
        <v>0</v>
      </c>
      <c r="H182" s="14">
        <f t="shared" si="4"/>
        <v>0</v>
      </c>
      <c r="I182" s="14">
        <f t="shared" si="5"/>
        <v>0</v>
      </c>
      <c r="J182" s="8"/>
      <c r="K182" s="8"/>
      <c r="M182" s="339"/>
      <c r="N182" s="315"/>
    </row>
    <row r="183" spans="1:14" s="9" customFormat="1" ht="11.25" x14ac:dyDescent="0.2">
      <c r="A183" s="10">
        <v>53200000</v>
      </c>
      <c r="B183" s="10" t="s">
        <v>120</v>
      </c>
      <c r="C183" s="11">
        <v>185799.56100001931</v>
      </c>
      <c r="D183" s="11">
        <v>25212585.286999997</v>
      </c>
      <c r="E183" s="11">
        <v>25388804.263000004</v>
      </c>
      <c r="F183" s="13">
        <f>SUMIF('OD 11-24'!A:A,A183,'OD 11-24'!D:D)</f>
        <v>0</v>
      </c>
      <c r="G183" s="13">
        <f>SUMIF('OD 11-24'!A:A,A183,'OD 11-24'!E:E)</f>
        <v>0</v>
      </c>
      <c r="H183" s="14">
        <f t="shared" si="4"/>
        <v>-176218.97600000724</v>
      </c>
      <c r="I183" s="14">
        <f t="shared" si="5"/>
        <v>9580.5850000120699</v>
      </c>
      <c r="J183" s="8" t="s">
        <v>121</v>
      </c>
      <c r="K183" s="8"/>
      <c r="M183" s="339"/>
      <c r="N183" s="315"/>
    </row>
    <row r="184" spans="1:14" s="9" customFormat="1" ht="11.25" customHeight="1" x14ac:dyDescent="0.2">
      <c r="A184" s="10">
        <v>53201000</v>
      </c>
      <c r="B184" s="10" t="s">
        <v>348</v>
      </c>
      <c r="C184" s="11">
        <v>0</v>
      </c>
      <c r="D184" s="11">
        <v>0</v>
      </c>
      <c r="E184" s="11">
        <v>0</v>
      </c>
      <c r="F184" s="13">
        <f>SUMIF('OD 11-24'!A:A,A184,'OD 11-24'!D:D)</f>
        <v>0</v>
      </c>
      <c r="G184" s="13">
        <f>SUMIF('OD 11-24'!A:A,A184,'OD 11-24'!E:E)</f>
        <v>0</v>
      </c>
      <c r="H184" s="14">
        <f t="shared" si="4"/>
        <v>0</v>
      </c>
      <c r="I184" s="14">
        <f t="shared" si="5"/>
        <v>0</v>
      </c>
      <c r="J184" s="8"/>
      <c r="K184" s="8"/>
      <c r="M184" s="339"/>
      <c r="N184" s="315"/>
    </row>
    <row r="185" spans="1:14" s="9" customFormat="1" ht="11.25" x14ac:dyDescent="0.2">
      <c r="A185" s="10">
        <v>53202000</v>
      </c>
      <c r="B185" s="10" t="s">
        <v>122</v>
      </c>
      <c r="C185" s="11">
        <v>435.74199999962002</v>
      </c>
      <c r="D185" s="11">
        <v>0</v>
      </c>
      <c r="E185" s="11">
        <v>0</v>
      </c>
      <c r="F185" s="13">
        <f>SUMIF('OD 11-24'!A:A,A185,'OD 11-24'!D:D)</f>
        <v>0</v>
      </c>
      <c r="G185" s="13">
        <f>SUMIF('OD 11-24'!A:A,A185,'OD 11-24'!E:E)</f>
        <v>0</v>
      </c>
      <c r="H185" s="14">
        <f t="shared" si="4"/>
        <v>0</v>
      </c>
      <c r="I185" s="14">
        <f t="shared" si="5"/>
        <v>435.74199999962002</v>
      </c>
      <c r="J185" s="8" t="s">
        <v>121</v>
      </c>
      <c r="K185" s="8"/>
      <c r="M185" s="339"/>
      <c r="N185" s="315"/>
    </row>
    <row r="186" spans="1:14" s="9" customFormat="1" ht="11.25" x14ac:dyDescent="0.2">
      <c r="A186" s="10">
        <v>53203000</v>
      </c>
      <c r="B186" s="10" t="s">
        <v>349</v>
      </c>
      <c r="C186" s="11">
        <v>159807.23199999891</v>
      </c>
      <c r="D186" s="11">
        <v>411911.67499999999</v>
      </c>
      <c r="E186" s="11">
        <v>571718.90700000001</v>
      </c>
      <c r="F186" s="13">
        <f>SUMIF('OD 11-24'!A:A,A186,'OD 11-24'!D:D)</f>
        <v>0</v>
      </c>
      <c r="G186" s="13">
        <f>SUMIF('OD 11-24'!A:A,A186,'OD 11-24'!E:E)</f>
        <v>0</v>
      </c>
      <c r="H186" s="14">
        <f t="shared" si="4"/>
        <v>-159807.23200000002</v>
      </c>
      <c r="I186" s="14">
        <f t="shared" si="5"/>
        <v>-1.1059455573558807E-9</v>
      </c>
      <c r="J186" s="8" t="s">
        <v>121</v>
      </c>
      <c r="K186" s="8"/>
      <c r="M186" s="339"/>
      <c r="N186" s="315"/>
    </row>
    <row r="187" spans="1:14" s="9" customFormat="1" ht="11.25" customHeight="1" x14ac:dyDescent="0.2">
      <c r="A187" s="10">
        <v>53204000</v>
      </c>
      <c r="B187" s="10" t="s">
        <v>350</v>
      </c>
      <c r="C187" s="11">
        <v>0</v>
      </c>
      <c r="D187" s="11">
        <v>0</v>
      </c>
      <c r="E187" s="11">
        <v>0</v>
      </c>
      <c r="F187" s="13">
        <f>SUMIF('OD 11-24'!A:A,A187,'OD 11-24'!D:D)</f>
        <v>0</v>
      </c>
      <c r="G187" s="13">
        <f>SUMIF('OD 11-24'!A:A,A187,'OD 11-24'!E:E)</f>
        <v>0</v>
      </c>
      <c r="H187" s="14">
        <f t="shared" si="4"/>
        <v>0</v>
      </c>
      <c r="I187" s="14">
        <f t="shared" si="5"/>
        <v>0</v>
      </c>
      <c r="J187" s="8"/>
      <c r="K187" s="8"/>
      <c r="M187" s="339"/>
      <c r="N187" s="315"/>
    </row>
    <row r="188" spans="1:14" s="9" customFormat="1" ht="11.25" customHeight="1" x14ac:dyDescent="0.2">
      <c r="A188" s="10">
        <v>53204100</v>
      </c>
      <c r="B188" s="10" t="s">
        <v>351</v>
      </c>
      <c r="C188" s="11">
        <v>0</v>
      </c>
      <c r="D188" s="11">
        <v>0</v>
      </c>
      <c r="E188" s="11">
        <v>0</v>
      </c>
      <c r="F188" s="13">
        <f>SUMIF('OD 11-24'!A:A,A188,'OD 11-24'!D:D)</f>
        <v>0</v>
      </c>
      <c r="G188" s="13">
        <f>SUMIF('OD 11-24'!A:A,A188,'OD 11-24'!E:E)</f>
        <v>0</v>
      </c>
      <c r="H188" s="14">
        <f t="shared" si="4"/>
        <v>0</v>
      </c>
      <c r="I188" s="14">
        <f t="shared" si="5"/>
        <v>0</v>
      </c>
      <c r="J188" s="8"/>
      <c r="K188" s="8"/>
      <c r="M188" s="339"/>
      <c r="N188" s="315"/>
    </row>
    <row r="189" spans="1:14" s="9" customFormat="1" ht="11.25" customHeight="1" x14ac:dyDescent="0.2">
      <c r="A189" s="10">
        <v>53204500</v>
      </c>
      <c r="B189" s="10" t="s">
        <v>123</v>
      </c>
      <c r="C189" s="11">
        <v>5874.02</v>
      </c>
      <c r="D189" s="11">
        <v>0</v>
      </c>
      <c r="E189" s="11">
        <v>0</v>
      </c>
      <c r="F189" s="13">
        <f>SUMIF('OD 11-24'!A:A,A189,'OD 11-24'!D:D)</f>
        <v>0</v>
      </c>
      <c r="G189" s="13">
        <f>SUMIF('OD 11-24'!A:A,A189,'OD 11-24'!E:E)</f>
        <v>0</v>
      </c>
      <c r="H189" s="14">
        <f t="shared" si="4"/>
        <v>0</v>
      </c>
      <c r="I189" s="14">
        <f t="shared" si="5"/>
        <v>5874.02</v>
      </c>
      <c r="J189" s="8" t="s">
        <v>121</v>
      </c>
      <c r="K189" s="8"/>
      <c r="M189" s="339"/>
      <c r="N189" s="315"/>
    </row>
    <row r="190" spans="1:14" s="9" customFormat="1" ht="11.25" customHeight="1" x14ac:dyDescent="0.2">
      <c r="A190" s="10">
        <v>53205000</v>
      </c>
      <c r="B190" s="10" t="s">
        <v>124</v>
      </c>
      <c r="C190" s="11">
        <v>12925.083999991417</v>
      </c>
      <c r="D190" s="11">
        <v>43908.082000000002</v>
      </c>
      <c r="E190" s="11">
        <v>55000.952000000005</v>
      </c>
      <c r="F190" s="13">
        <f>SUMIF('OD 11-24'!A:A,A190,'OD 11-24'!D:D)</f>
        <v>0</v>
      </c>
      <c r="G190" s="13">
        <f>SUMIF('OD 11-24'!A:A,A190,'OD 11-24'!E:E)</f>
        <v>0</v>
      </c>
      <c r="H190" s="14">
        <f t="shared" si="4"/>
        <v>-11092.870000000003</v>
      </c>
      <c r="I190" s="14">
        <f t="shared" si="5"/>
        <v>1832.2139999914143</v>
      </c>
      <c r="J190" s="8" t="s">
        <v>121</v>
      </c>
      <c r="K190" s="8"/>
      <c r="M190" s="339"/>
      <c r="N190" s="315"/>
    </row>
    <row r="191" spans="1:14" s="9" customFormat="1" ht="11.25" customHeight="1" x14ac:dyDescent="0.2">
      <c r="A191" s="10">
        <v>53205200</v>
      </c>
      <c r="B191" s="10" t="s">
        <v>9637</v>
      </c>
      <c r="C191" s="11">
        <v>0</v>
      </c>
      <c r="D191" s="11">
        <v>5000</v>
      </c>
      <c r="E191" s="11">
        <v>0</v>
      </c>
      <c r="F191" s="13">
        <f>SUMIF('OD 11-24'!A:A,A191,'OD 11-24'!D:D)</f>
        <v>0</v>
      </c>
      <c r="G191" s="13">
        <f>SUMIF('OD 11-24'!A:A,A191,'OD 11-24'!E:E)</f>
        <v>0</v>
      </c>
      <c r="H191" s="14">
        <f t="shared" si="4"/>
        <v>5000</v>
      </c>
      <c r="I191" s="14">
        <f t="shared" si="5"/>
        <v>5000</v>
      </c>
      <c r="J191" s="8" t="s">
        <v>121</v>
      </c>
      <c r="K191" s="8"/>
      <c r="M191" s="339"/>
      <c r="N191" s="315"/>
    </row>
    <row r="192" spans="1:14" s="9" customFormat="1" ht="11.25" customHeight="1" x14ac:dyDescent="0.2">
      <c r="A192" s="10">
        <v>53205300</v>
      </c>
      <c r="B192" s="10" t="s">
        <v>125</v>
      </c>
      <c r="C192" s="11">
        <v>0</v>
      </c>
      <c r="D192" s="11">
        <v>0</v>
      </c>
      <c r="E192" s="11">
        <v>0</v>
      </c>
      <c r="F192" s="13">
        <f>SUMIF('OD 11-24'!A:A,A192,'OD 11-24'!D:D)</f>
        <v>0</v>
      </c>
      <c r="G192" s="13">
        <f>SUMIF('OD 11-24'!A:A,A192,'OD 11-24'!E:E)</f>
        <v>0</v>
      </c>
      <c r="H192" s="14">
        <f t="shared" si="4"/>
        <v>0</v>
      </c>
      <c r="I192" s="14">
        <f t="shared" si="5"/>
        <v>0</v>
      </c>
      <c r="J192" s="8" t="s">
        <v>121</v>
      </c>
      <c r="K192" s="8"/>
      <c r="M192" s="339"/>
      <c r="N192" s="315"/>
    </row>
    <row r="193" spans="1:14" s="9" customFormat="1" ht="11.25" customHeight="1" x14ac:dyDescent="0.2">
      <c r="A193" s="10">
        <v>53205400</v>
      </c>
      <c r="B193" s="10" t="s">
        <v>126</v>
      </c>
      <c r="C193" s="11">
        <v>0</v>
      </c>
      <c r="D193" s="11">
        <v>0</v>
      </c>
      <c r="E193" s="11">
        <v>0</v>
      </c>
      <c r="F193" s="13">
        <f>SUMIF('OD 11-24'!A:A,A193,'OD 11-24'!D:D)</f>
        <v>0</v>
      </c>
      <c r="G193" s="13">
        <f>SUMIF('OD 11-24'!A:A,A193,'OD 11-24'!E:E)</f>
        <v>0</v>
      </c>
      <c r="H193" s="14">
        <f t="shared" si="4"/>
        <v>0</v>
      </c>
      <c r="I193" s="14">
        <f t="shared" si="5"/>
        <v>0</v>
      </c>
      <c r="J193" s="8"/>
      <c r="K193" s="8"/>
      <c r="M193" s="339"/>
      <c r="N193" s="315"/>
    </row>
    <row r="194" spans="1:14" s="9" customFormat="1" ht="11.25" customHeight="1" x14ac:dyDescent="0.2">
      <c r="A194" s="10">
        <v>53205500</v>
      </c>
      <c r="B194" s="10" t="s">
        <v>127</v>
      </c>
      <c r="C194" s="11">
        <v>0</v>
      </c>
      <c r="D194" s="11">
        <v>0</v>
      </c>
      <c r="E194" s="11">
        <v>0</v>
      </c>
      <c r="F194" s="13">
        <f>SUMIF('OD 11-24'!A:A,A194,'OD 11-24'!D:D)</f>
        <v>0</v>
      </c>
      <c r="G194" s="13">
        <f>SUMIF('OD 11-24'!A:A,A194,'OD 11-24'!E:E)</f>
        <v>0</v>
      </c>
      <c r="H194" s="14">
        <f t="shared" si="4"/>
        <v>0</v>
      </c>
      <c r="I194" s="14">
        <f t="shared" si="5"/>
        <v>0</v>
      </c>
      <c r="J194" s="8"/>
      <c r="K194" s="8"/>
      <c r="M194" s="339"/>
      <c r="N194" s="315"/>
    </row>
    <row r="195" spans="1:14" s="9" customFormat="1" ht="11.25" customHeight="1" x14ac:dyDescent="0.2">
      <c r="A195" s="10">
        <v>53205600</v>
      </c>
      <c r="B195" s="10" t="s">
        <v>128</v>
      </c>
      <c r="C195" s="11">
        <v>-3300983.9089999795</v>
      </c>
      <c r="D195" s="11">
        <v>86582174.320000008</v>
      </c>
      <c r="E195" s="11">
        <v>84909173.393000007</v>
      </c>
      <c r="F195" s="13">
        <f>SUMIF('OD 11-24'!A:A,A195,'OD 11-24'!D:D)</f>
        <v>0</v>
      </c>
      <c r="G195" s="13">
        <f>SUMIF('OD 11-24'!A:A,A195,'OD 11-24'!E:E)</f>
        <v>0</v>
      </c>
      <c r="H195" s="14">
        <f t="shared" si="4"/>
        <v>1673000.9270000011</v>
      </c>
      <c r="I195" s="14">
        <f t="shared" si="5"/>
        <v>-1627982.9819999784</v>
      </c>
      <c r="J195" s="8" t="s">
        <v>115</v>
      </c>
      <c r="K195" s="8"/>
      <c r="M195" s="339"/>
      <c r="N195" s="315"/>
    </row>
    <row r="196" spans="1:14" s="9" customFormat="1" ht="11.25" customHeight="1" x14ac:dyDescent="0.2">
      <c r="A196" s="10">
        <v>53205700</v>
      </c>
      <c r="B196" s="10" t="s">
        <v>129</v>
      </c>
      <c r="C196" s="11">
        <v>1964289.2105972022</v>
      </c>
      <c r="D196" s="11">
        <v>38674081.305</v>
      </c>
      <c r="E196" s="11">
        <v>39057799.428000003</v>
      </c>
      <c r="F196" s="13">
        <f>SUMIF('OD 11-24'!A:A,A196,'OD 11-24'!D:D)</f>
        <v>2887839.0033999998</v>
      </c>
      <c r="G196" s="13">
        <f>SUMIF('OD 11-24'!A:A,A196,'OD 11-24'!E:E)</f>
        <v>3978060.7673999998</v>
      </c>
      <c r="H196" s="14">
        <f t="shared" ref="H196:H264" si="6">+D196+F196-E196-G196</f>
        <v>-1473939.8870000052</v>
      </c>
      <c r="I196" s="14">
        <f t="shared" ref="I196:I264" si="7">+H196+C196</f>
        <v>490349.32359719696</v>
      </c>
      <c r="J196" s="8" t="s">
        <v>121</v>
      </c>
      <c r="K196" s="8"/>
      <c r="M196" s="339"/>
      <c r="N196" s="315"/>
    </row>
    <row r="197" spans="1:14" s="9" customFormat="1" ht="11.25" customHeight="1" x14ac:dyDescent="0.2">
      <c r="A197" s="10">
        <v>53205800</v>
      </c>
      <c r="B197" s="10" t="s">
        <v>130</v>
      </c>
      <c r="C197" s="11">
        <v>-66996.353000000119</v>
      </c>
      <c r="D197" s="11">
        <v>0</v>
      </c>
      <c r="E197" s="11">
        <v>3538.0830000000001</v>
      </c>
      <c r="F197" s="13">
        <f>SUMIF('OD 11-24'!A:A,A197,'OD 11-24'!D:D)</f>
        <v>517.85299999999995</v>
      </c>
      <c r="G197" s="13">
        <f>SUMIF('OD 11-24'!A:A,A197,'OD 11-24'!E:E)</f>
        <v>474.61799999999999</v>
      </c>
      <c r="H197" s="14">
        <f t="shared" si="6"/>
        <v>-3494.848</v>
      </c>
      <c r="I197" s="14">
        <f t="shared" si="7"/>
        <v>-70491.201000000117</v>
      </c>
      <c r="J197" s="8" t="s">
        <v>115</v>
      </c>
      <c r="K197" s="8"/>
      <c r="M197" s="339"/>
      <c r="N197" s="315"/>
    </row>
    <row r="198" spans="1:14" s="9" customFormat="1" ht="11.25" customHeight="1" x14ac:dyDescent="0.2">
      <c r="A198" s="10">
        <v>53207000</v>
      </c>
      <c r="B198" s="10" t="s">
        <v>352</v>
      </c>
      <c r="C198" s="11">
        <v>0</v>
      </c>
      <c r="D198" s="11">
        <v>0</v>
      </c>
      <c r="E198" s="11">
        <v>0</v>
      </c>
      <c r="F198" s="13">
        <f>SUMIF('OD 11-24'!A:A,A198,'OD 11-24'!D:D)</f>
        <v>0</v>
      </c>
      <c r="G198" s="13">
        <f>SUMIF('OD 11-24'!A:A,A198,'OD 11-24'!E:E)</f>
        <v>0</v>
      </c>
      <c r="H198" s="14">
        <f t="shared" si="6"/>
        <v>0</v>
      </c>
      <c r="I198" s="14">
        <f t="shared" si="7"/>
        <v>0</v>
      </c>
      <c r="J198" s="8"/>
      <c r="K198" s="8"/>
      <c r="M198" s="339"/>
      <c r="N198" s="315"/>
    </row>
    <row r="199" spans="1:14" s="9" customFormat="1" ht="11.25" customHeight="1" x14ac:dyDescent="0.2">
      <c r="A199" s="10">
        <v>53207100</v>
      </c>
      <c r="B199" s="10" t="s">
        <v>353</v>
      </c>
      <c r="C199" s="11">
        <v>0</v>
      </c>
      <c r="D199" s="11">
        <v>0</v>
      </c>
      <c r="E199" s="11">
        <v>0</v>
      </c>
      <c r="F199" s="13">
        <f>SUMIF('OD 11-24'!A:A,A199,'OD 11-24'!D:D)</f>
        <v>0</v>
      </c>
      <c r="G199" s="13">
        <f>SUMIF('OD 11-24'!A:A,A199,'OD 11-24'!E:E)</f>
        <v>0</v>
      </c>
      <c r="H199" s="14">
        <f t="shared" si="6"/>
        <v>0</v>
      </c>
      <c r="I199" s="14">
        <f t="shared" si="7"/>
        <v>0</v>
      </c>
      <c r="J199" s="8"/>
      <c r="K199" s="8"/>
      <c r="M199" s="339"/>
      <c r="N199" s="315"/>
    </row>
    <row r="200" spans="1:14" s="9" customFormat="1" ht="11.25" customHeight="1" x14ac:dyDescent="0.2">
      <c r="A200" s="10">
        <v>53207200</v>
      </c>
      <c r="B200" s="10" t="s">
        <v>354</v>
      </c>
      <c r="C200" s="11">
        <v>0</v>
      </c>
      <c r="D200" s="11">
        <v>0</v>
      </c>
      <c r="E200" s="11">
        <v>0</v>
      </c>
      <c r="F200" s="13">
        <f>SUMIF('OD 11-24'!A:A,A200,'OD 11-24'!D:D)</f>
        <v>0</v>
      </c>
      <c r="G200" s="13">
        <f>SUMIF('OD 11-24'!A:A,A200,'OD 11-24'!E:E)</f>
        <v>0</v>
      </c>
      <c r="H200" s="14">
        <f t="shared" si="6"/>
        <v>0</v>
      </c>
      <c r="I200" s="14">
        <f t="shared" si="7"/>
        <v>0</v>
      </c>
      <c r="J200" s="8"/>
      <c r="K200" s="8"/>
      <c r="M200" s="339"/>
      <c r="N200" s="315"/>
    </row>
    <row r="201" spans="1:14" s="9" customFormat="1" ht="11.25" x14ac:dyDescent="0.2">
      <c r="A201" s="10">
        <v>53208000</v>
      </c>
      <c r="B201" s="10" t="s">
        <v>355</v>
      </c>
      <c r="C201" s="11">
        <v>485.66199999954551</v>
      </c>
      <c r="D201" s="11">
        <v>0</v>
      </c>
      <c r="E201" s="11">
        <v>428.4</v>
      </c>
      <c r="F201" s="13">
        <f>SUMIF('OD 11-24'!A:A,A201,'OD 11-24'!D:D)</f>
        <v>0</v>
      </c>
      <c r="G201" s="13">
        <f>SUMIF('OD 11-24'!A:A,A201,'OD 11-24'!E:E)</f>
        <v>0</v>
      </c>
      <c r="H201" s="14">
        <f t="shared" si="6"/>
        <v>-428.4</v>
      </c>
      <c r="I201" s="14">
        <f t="shared" si="7"/>
        <v>57.261999999545537</v>
      </c>
      <c r="J201" s="8" t="s">
        <v>121</v>
      </c>
      <c r="K201" s="8"/>
      <c r="M201" s="339"/>
      <c r="N201" s="315"/>
    </row>
    <row r="202" spans="1:14" s="9" customFormat="1" ht="11.25" customHeight="1" x14ac:dyDescent="0.2">
      <c r="A202" s="10">
        <v>53208100</v>
      </c>
      <c r="B202" s="10" t="s">
        <v>356</v>
      </c>
      <c r="C202" s="11">
        <v>0</v>
      </c>
      <c r="D202" s="11">
        <v>0</v>
      </c>
      <c r="E202" s="11">
        <v>0</v>
      </c>
      <c r="F202" s="13">
        <f>SUMIF('OD 11-24'!A:A,A202,'OD 11-24'!D:D)</f>
        <v>0</v>
      </c>
      <c r="G202" s="13">
        <f>SUMIF('OD 11-24'!A:A,A202,'OD 11-24'!E:E)</f>
        <v>0</v>
      </c>
      <c r="H202" s="14">
        <f t="shared" si="6"/>
        <v>0</v>
      </c>
      <c r="I202" s="14">
        <f t="shared" si="7"/>
        <v>0</v>
      </c>
      <c r="J202" s="8"/>
      <c r="K202" s="8"/>
      <c r="M202" s="339"/>
      <c r="N202" s="315"/>
    </row>
    <row r="203" spans="1:14" s="9" customFormat="1" ht="11.25" customHeight="1" x14ac:dyDescent="0.2">
      <c r="A203" s="10">
        <v>53208500</v>
      </c>
      <c r="B203" s="10" t="s">
        <v>357</v>
      </c>
      <c r="C203" s="11">
        <v>0</v>
      </c>
      <c r="D203" s="11">
        <v>0</v>
      </c>
      <c r="E203" s="11">
        <v>0</v>
      </c>
      <c r="F203" s="13">
        <f>SUMIF('OD 11-24'!A:A,A203,'OD 11-24'!D:D)</f>
        <v>0</v>
      </c>
      <c r="G203" s="13">
        <f>SUMIF('OD 11-24'!A:A,A203,'OD 11-24'!E:E)</f>
        <v>0</v>
      </c>
      <c r="H203" s="14">
        <f t="shared" si="6"/>
        <v>0</v>
      </c>
      <c r="I203" s="14">
        <f t="shared" si="7"/>
        <v>0</v>
      </c>
      <c r="J203" s="8"/>
      <c r="K203" s="8"/>
      <c r="M203" s="339"/>
      <c r="N203" s="315"/>
    </row>
    <row r="204" spans="1:14" s="9" customFormat="1" ht="11.25" customHeight="1" x14ac:dyDescent="0.2">
      <c r="A204" s="10">
        <v>54000000</v>
      </c>
      <c r="B204" s="10" t="s">
        <v>358</v>
      </c>
      <c r="C204" s="11">
        <v>0</v>
      </c>
      <c r="D204" s="11">
        <v>16951.525000000001</v>
      </c>
      <c r="E204" s="11">
        <v>16951.525000000001</v>
      </c>
      <c r="F204" s="13">
        <f>SUMIF('OD 11-24'!A:A,A204,'OD 11-24'!D:D)</f>
        <v>0</v>
      </c>
      <c r="G204" s="13">
        <f>SUMIF('OD 11-24'!A:A,A204,'OD 11-24'!E:E)</f>
        <v>0</v>
      </c>
      <c r="H204" s="14">
        <f t="shared" si="6"/>
        <v>0</v>
      </c>
      <c r="I204" s="14">
        <f t="shared" si="7"/>
        <v>0</v>
      </c>
      <c r="J204" s="8"/>
      <c r="K204" s="8"/>
      <c r="M204" s="339"/>
      <c r="N204" s="315"/>
    </row>
    <row r="205" spans="1:14" s="9" customFormat="1" ht="11.25" x14ac:dyDescent="0.2">
      <c r="A205" s="10">
        <v>54100000</v>
      </c>
      <c r="B205" s="10" t="s">
        <v>131</v>
      </c>
      <c r="C205" s="11">
        <v>17</v>
      </c>
      <c r="D205" s="11">
        <v>97458.644</v>
      </c>
      <c r="E205" s="11">
        <v>97376.078000000009</v>
      </c>
      <c r="F205" s="13">
        <f>SUMIF('OD 11-24'!A:A,A205,'OD 11-24'!D:D)</f>
        <v>0</v>
      </c>
      <c r="G205" s="13">
        <f>SUMIF('OD 11-24'!A:A,A205,'OD 11-24'!E:E)</f>
        <v>0</v>
      </c>
      <c r="H205" s="14">
        <f t="shared" si="6"/>
        <v>82.565999999991618</v>
      </c>
      <c r="I205" s="14">
        <f t="shared" si="7"/>
        <v>99.565999999991618</v>
      </c>
      <c r="J205" s="8" t="s">
        <v>121</v>
      </c>
      <c r="K205" s="8"/>
      <c r="M205" s="339"/>
      <c r="N205" s="315"/>
    </row>
    <row r="206" spans="1:14" s="9" customFormat="1" ht="11.25" customHeight="1" x14ac:dyDescent="0.2">
      <c r="A206" s="10">
        <v>54300000</v>
      </c>
      <c r="B206" s="10" t="s">
        <v>359</v>
      </c>
      <c r="C206" s="11">
        <v>0</v>
      </c>
      <c r="D206" s="11">
        <v>0</v>
      </c>
      <c r="E206" s="11">
        <v>0</v>
      </c>
      <c r="F206" s="13">
        <f>SUMIF('OD 11-24'!A:A,A206,'OD 11-24'!D:D)</f>
        <v>0</v>
      </c>
      <c r="G206" s="13">
        <f>SUMIF('OD 11-24'!A:A,A206,'OD 11-24'!E:E)</f>
        <v>0</v>
      </c>
      <c r="H206" s="14">
        <f t="shared" si="6"/>
        <v>0</v>
      </c>
      <c r="I206" s="14">
        <f t="shared" si="7"/>
        <v>0</v>
      </c>
      <c r="J206" s="8"/>
      <c r="K206" s="8"/>
      <c r="M206" s="339"/>
      <c r="N206" s="315"/>
    </row>
    <row r="207" spans="1:14" s="9" customFormat="1" ht="11.25" x14ac:dyDescent="0.2">
      <c r="A207" s="10">
        <v>55010000</v>
      </c>
      <c r="B207" s="10" t="s">
        <v>132</v>
      </c>
      <c r="C207" s="11">
        <v>3000</v>
      </c>
      <c r="D207" s="11">
        <v>0</v>
      </c>
      <c r="E207" s="11">
        <v>0</v>
      </c>
      <c r="F207" s="13">
        <f>SUMIF('OD 11-24'!A:A,A207,'OD 11-24'!D:D)</f>
        <v>0</v>
      </c>
      <c r="G207" s="13">
        <f>SUMIF('OD 11-24'!A:A,A207,'OD 11-24'!E:E)</f>
        <v>0</v>
      </c>
      <c r="H207" s="14">
        <f t="shared" si="6"/>
        <v>0</v>
      </c>
      <c r="I207" s="14">
        <f t="shared" si="7"/>
        <v>3000</v>
      </c>
      <c r="J207" s="8" t="s">
        <v>121</v>
      </c>
      <c r="K207" s="8"/>
      <c r="M207" s="339"/>
      <c r="N207" s="315"/>
    </row>
    <row r="208" spans="1:14" s="9" customFormat="1" ht="11.25" x14ac:dyDescent="0.2">
      <c r="A208" s="10">
        <v>55011000</v>
      </c>
      <c r="B208" s="10" t="s">
        <v>133</v>
      </c>
      <c r="C208" s="11">
        <v>0</v>
      </c>
      <c r="D208" s="11">
        <v>0</v>
      </c>
      <c r="E208" s="11">
        <v>0</v>
      </c>
      <c r="F208" s="13">
        <f>SUMIF('OD 11-24'!A:A,A208,'OD 11-24'!D:D)</f>
        <v>0</v>
      </c>
      <c r="G208" s="13">
        <f>SUMIF('OD 11-24'!A:A,A208,'OD 11-24'!E:E)</f>
        <v>0</v>
      </c>
      <c r="H208" s="14">
        <f t="shared" si="6"/>
        <v>0</v>
      </c>
      <c r="I208" s="14">
        <f t="shared" si="7"/>
        <v>0</v>
      </c>
      <c r="J208" s="8" t="s">
        <v>121</v>
      </c>
      <c r="K208" s="8"/>
      <c r="M208" s="339"/>
      <c r="N208" s="315"/>
    </row>
    <row r="209" spans="1:14" s="9" customFormat="1" ht="11.25" x14ac:dyDescent="0.2">
      <c r="A209" s="10">
        <v>58000000</v>
      </c>
      <c r="B209" s="10" t="s">
        <v>134</v>
      </c>
      <c r="C209" s="11">
        <v>0</v>
      </c>
      <c r="D209" s="11">
        <v>0</v>
      </c>
      <c r="E209" s="11">
        <v>0</v>
      </c>
      <c r="F209" s="13">
        <f>SUMIF('OD 11-24'!A:A,A209,'OD 11-24'!D:D)</f>
        <v>0</v>
      </c>
      <c r="G209" s="13">
        <f>SUMIF('OD 11-24'!A:A,A209,'OD 11-24'!E:E)</f>
        <v>0</v>
      </c>
      <c r="H209" s="14">
        <f t="shared" si="6"/>
        <v>0</v>
      </c>
      <c r="I209" s="14">
        <f t="shared" si="7"/>
        <v>0</v>
      </c>
      <c r="J209" s="8" t="s">
        <v>121</v>
      </c>
      <c r="K209" s="8"/>
      <c r="M209" s="339"/>
      <c r="N209" s="315"/>
    </row>
    <row r="210" spans="1:14" s="9" customFormat="1" ht="11.25" customHeight="1" x14ac:dyDescent="0.2">
      <c r="A210" s="10">
        <v>58001000</v>
      </c>
      <c r="B210" s="10" t="s">
        <v>135</v>
      </c>
      <c r="C210" s="11">
        <v>-1.9999593496322632E-4</v>
      </c>
      <c r="D210" s="11">
        <v>0</v>
      </c>
      <c r="E210" s="11">
        <v>0</v>
      </c>
      <c r="F210" s="13">
        <f>SUMIF('OD 11-24'!A:A,A210,'OD 11-24'!D:D)</f>
        <v>0</v>
      </c>
      <c r="G210" s="13">
        <f>SUMIF('OD 11-24'!A:A,A210,'OD 11-24'!E:E)</f>
        <v>0</v>
      </c>
      <c r="H210" s="14">
        <f t="shared" si="6"/>
        <v>0</v>
      </c>
      <c r="I210" s="14">
        <f t="shared" si="7"/>
        <v>-1.9999593496322632E-4</v>
      </c>
      <c r="J210" s="8"/>
      <c r="K210" s="8"/>
      <c r="M210" s="339"/>
      <c r="N210" s="315"/>
    </row>
    <row r="211" spans="1:14" s="9" customFormat="1" ht="11.25" customHeight="1" x14ac:dyDescent="0.2">
      <c r="A211" s="10">
        <v>58002000</v>
      </c>
      <c r="B211" s="10" t="s">
        <v>360</v>
      </c>
      <c r="C211" s="11">
        <v>0</v>
      </c>
      <c r="D211" s="11">
        <v>0</v>
      </c>
      <c r="E211" s="11">
        <v>0</v>
      </c>
      <c r="F211" s="13">
        <f>SUMIF('OD 11-24'!A:A,A211,'OD 11-24'!D:D)</f>
        <v>0</v>
      </c>
      <c r="G211" s="13">
        <f>SUMIF('OD 11-24'!A:A,A211,'OD 11-24'!E:E)</f>
        <v>0</v>
      </c>
      <c r="H211" s="14">
        <f t="shared" si="6"/>
        <v>0</v>
      </c>
      <c r="I211" s="14">
        <f t="shared" si="7"/>
        <v>0</v>
      </c>
      <c r="J211" s="8"/>
      <c r="K211" s="8"/>
      <c r="M211" s="339"/>
      <c r="N211" s="315"/>
    </row>
    <row r="212" spans="1:14" s="9" customFormat="1" ht="11.25" customHeight="1" x14ac:dyDescent="0.2">
      <c r="A212" s="10">
        <v>58003000</v>
      </c>
      <c r="B212" s="10" t="s">
        <v>136</v>
      </c>
      <c r="C212" s="11">
        <v>1.0100007057189941E-4</v>
      </c>
      <c r="D212" s="11">
        <v>5873135.5129999993</v>
      </c>
      <c r="E212" s="11">
        <v>5873135.5129999993</v>
      </c>
      <c r="F212" s="13">
        <f>SUMIF('OD 11-24'!A:A,A212,'OD 11-24'!D:D)</f>
        <v>0</v>
      </c>
      <c r="G212" s="13">
        <f>SUMIF('OD 11-24'!A:A,A212,'OD 11-24'!E:E)</f>
        <v>0</v>
      </c>
      <c r="H212" s="14">
        <f t="shared" si="6"/>
        <v>0</v>
      </c>
      <c r="I212" s="14">
        <f t="shared" si="7"/>
        <v>1.0100007057189941E-4</v>
      </c>
      <c r="J212" s="8" t="s">
        <v>121</v>
      </c>
      <c r="K212" s="8"/>
      <c r="M212" s="339"/>
      <c r="N212" s="315"/>
    </row>
    <row r="213" spans="1:14" s="9" customFormat="1" ht="11.25" customHeight="1" x14ac:dyDescent="0.2">
      <c r="A213" s="10">
        <v>58004000</v>
      </c>
      <c r="B213" s="10" t="s">
        <v>361</v>
      </c>
      <c r="C213" s="11">
        <v>0</v>
      </c>
      <c r="D213" s="11">
        <v>0</v>
      </c>
      <c r="E213" s="11">
        <v>0</v>
      </c>
      <c r="F213" s="13">
        <f>SUMIF('OD 11-24'!A:A,A213,'OD 11-24'!D:D)</f>
        <v>0</v>
      </c>
      <c r="G213" s="13">
        <f>SUMIF('OD 11-24'!A:A,A213,'OD 11-24'!E:E)</f>
        <v>0</v>
      </c>
      <c r="H213" s="14">
        <f t="shared" si="6"/>
        <v>0</v>
      </c>
      <c r="I213" s="14">
        <f t="shared" si="7"/>
        <v>0</v>
      </c>
      <c r="J213" s="8"/>
      <c r="K213" s="8"/>
      <c r="M213" s="339"/>
      <c r="N213" s="315"/>
    </row>
    <row r="214" spans="1:14" s="9" customFormat="1" ht="11.25" x14ac:dyDescent="0.2">
      <c r="A214" s="10">
        <v>58005000</v>
      </c>
      <c r="B214" s="10" t="s">
        <v>362</v>
      </c>
      <c r="C214" s="11">
        <v>3.8483738899230957E-4</v>
      </c>
      <c r="D214" s="11">
        <v>31079614.489</v>
      </c>
      <c r="E214" s="11">
        <v>31079614.489</v>
      </c>
      <c r="F214" s="13">
        <f>SUMIF('OD 11-24'!A:A,A214,'OD 11-24'!D:D)</f>
        <v>0</v>
      </c>
      <c r="G214" s="13">
        <f>SUMIF('OD 11-24'!A:A,A214,'OD 11-24'!E:E)</f>
        <v>0</v>
      </c>
      <c r="H214" s="14">
        <f t="shared" si="6"/>
        <v>0</v>
      </c>
      <c r="I214" s="14">
        <f t="shared" si="7"/>
        <v>3.8483738899230957E-4</v>
      </c>
      <c r="J214" s="8" t="s">
        <v>121</v>
      </c>
      <c r="K214" s="8"/>
      <c r="M214" s="339"/>
      <c r="N214" s="315"/>
    </row>
    <row r="215" spans="1:14" s="9" customFormat="1" ht="11.25" customHeight="1" x14ac:dyDescent="0.2">
      <c r="A215" s="10">
        <v>60110110</v>
      </c>
      <c r="B215" s="10" t="s">
        <v>403</v>
      </c>
      <c r="C215" s="11">
        <v>0</v>
      </c>
      <c r="D215" s="11">
        <v>1136780.078</v>
      </c>
      <c r="E215" s="11">
        <v>1136780.078</v>
      </c>
      <c r="F215" s="13">
        <f>SUMIF('OD 11-24'!A:A,A215,'OD 11-24'!D:D)</f>
        <v>4207008.9249999998</v>
      </c>
      <c r="G215" s="13">
        <f>SUMIF('OD 11-24'!A:A,A215,'OD 11-24'!E:E)</f>
        <v>4207008.9249999998</v>
      </c>
      <c r="H215" s="14">
        <f t="shared" si="6"/>
        <v>0</v>
      </c>
      <c r="I215" s="14">
        <f t="shared" si="7"/>
        <v>0</v>
      </c>
      <c r="J215" s="8" t="s">
        <v>138</v>
      </c>
      <c r="K215" s="8" t="s">
        <v>509</v>
      </c>
      <c r="M215" s="339"/>
      <c r="N215" s="315"/>
    </row>
    <row r="216" spans="1:14" s="9" customFormat="1" ht="11.25" customHeight="1" x14ac:dyDescent="0.2">
      <c r="A216" s="10">
        <v>60110212</v>
      </c>
      <c r="B216" s="10" t="s">
        <v>7391</v>
      </c>
      <c r="C216" s="11">
        <v>0</v>
      </c>
      <c r="D216" s="11">
        <v>45488.04075</v>
      </c>
      <c r="E216" s="11">
        <v>0</v>
      </c>
      <c r="F216" s="13">
        <f>SUMIF('OD 11-24'!A:A,A216,'OD 11-24'!D:D)</f>
        <v>0</v>
      </c>
      <c r="G216" s="13">
        <f>SUMIF('OD 11-24'!A:A,A216,'OD 11-24'!E:E)</f>
        <v>0</v>
      </c>
      <c r="H216" s="14">
        <f t="shared" si="6"/>
        <v>45488.04075</v>
      </c>
      <c r="I216" s="14">
        <f t="shared" si="7"/>
        <v>45488.04075</v>
      </c>
      <c r="J216" s="8" t="s">
        <v>138</v>
      </c>
      <c r="K216" s="8" t="s">
        <v>509</v>
      </c>
      <c r="M216" s="339"/>
      <c r="N216" s="315"/>
    </row>
    <row r="217" spans="1:14" s="9" customFormat="1" ht="11.25" customHeight="1" x14ac:dyDescent="0.2">
      <c r="A217" s="10">
        <v>60110210</v>
      </c>
      <c r="B217" s="10" t="s">
        <v>137</v>
      </c>
      <c r="C217" s="11">
        <v>0</v>
      </c>
      <c r="D217" s="11">
        <v>1640067.2872055001</v>
      </c>
      <c r="E217" s="11">
        <v>0</v>
      </c>
      <c r="F217" s="13">
        <f>SUMIF('OD 11-24'!A:A,A217,'OD 11-24'!D:D)</f>
        <v>0</v>
      </c>
      <c r="G217" s="13">
        <f>SUMIF('OD 11-24'!A:A,A217,'OD 11-24'!E:E)</f>
        <v>0</v>
      </c>
      <c r="H217" s="14">
        <f t="shared" si="6"/>
        <v>1640067.2872055001</v>
      </c>
      <c r="I217" s="14">
        <f t="shared" si="7"/>
        <v>1640067.2872055001</v>
      </c>
      <c r="J217" s="8" t="s">
        <v>138</v>
      </c>
      <c r="K217" s="8" t="s">
        <v>509</v>
      </c>
      <c r="M217" s="339"/>
      <c r="N217" s="315"/>
    </row>
    <row r="218" spans="1:14" s="9" customFormat="1" ht="11.25" customHeight="1" x14ac:dyDescent="0.2">
      <c r="A218" s="10">
        <v>60110211</v>
      </c>
      <c r="B218" s="10" t="s">
        <v>363</v>
      </c>
      <c r="C218" s="11">
        <v>0</v>
      </c>
      <c r="D218" s="11">
        <v>301111.44833599997</v>
      </c>
      <c r="E218" s="11">
        <v>0</v>
      </c>
      <c r="F218" s="13">
        <f>SUMIF('OD 11-24'!A:A,A218,'OD 11-24'!D:D)</f>
        <v>0</v>
      </c>
      <c r="G218" s="13">
        <f>SUMIF('OD 11-24'!A:A,A218,'OD 11-24'!E:E)</f>
        <v>0</v>
      </c>
      <c r="H218" s="14">
        <f t="shared" si="6"/>
        <v>301111.44833599997</v>
      </c>
      <c r="I218" s="14">
        <f t="shared" si="7"/>
        <v>301111.44833599997</v>
      </c>
      <c r="J218" s="8" t="s">
        <v>138</v>
      </c>
      <c r="K218" s="8" t="s">
        <v>509</v>
      </c>
      <c r="M218" s="339"/>
      <c r="N218" s="315"/>
    </row>
    <row r="219" spans="1:14" s="9" customFormat="1" ht="11.25" customHeight="1" x14ac:dyDescent="0.2">
      <c r="A219" s="10">
        <v>60110213</v>
      </c>
      <c r="B219" s="10" t="s">
        <v>364</v>
      </c>
      <c r="C219" s="11">
        <v>0</v>
      </c>
      <c r="D219" s="11">
        <v>5211.6000000000004</v>
      </c>
      <c r="E219" s="11">
        <v>0</v>
      </c>
      <c r="F219" s="13">
        <f>SUMIF('OD 11-24'!A:A,A219,'OD 11-24'!D:D)</f>
        <v>768</v>
      </c>
      <c r="G219" s="13">
        <f>SUMIF('OD 11-24'!A:A,A219,'OD 11-24'!E:E)</f>
        <v>768</v>
      </c>
      <c r="H219" s="14">
        <f t="shared" si="6"/>
        <v>5211.6000000000004</v>
      </c>
      <c r="I219" s="14">
        <f t="shared" si="7"/>
        <v>5211.6000000000004</v>
      </c>
      <c r="J219" s="8" t="s">
        <v>138</v>
      </c>
      <c r="K219" s="8" t="s">
        <v>509</v>
      </c>
      <c r="M219" s="339"/>
      <c r="N219" s="315"/>
    </row>
    <row r="220" spans="1:14" s="9" customFormat="1" ht="11.25" customHeight="1" x14ac:dyDescent="0.2">
      <c r="A220" s="10">
        <v>60110220</v>
      </c>
      <c r="B220" s="10" t="s">
        <v>139</v>
      </c>
      <c r="C220" s="11">
        <v>0</v>
      </c>
      <c r="D220" s="11">
        <v>2081666.8361889999</v>
      </c>
      <c r="E220" s="11">
        <v>12546.76</v>
      </c>
      <c r="F220" s="13">
        <f>SUMIF('OD 11-24'!A:A,A220,'OD 11-24'!D:D)</f>
        <v>0</v>
      </c>
      <c r="G220" s="13">
        <f>SUMIF('OD 11-24'!A:A,A220,'OD 11-24'!E:E)</f>
        <v>0</v>
      </c>
      <c r="H220" s="14">
        <f t="shared" si="6"/>
        <v>2069120.0761889999</v>
      </c>
      <c r="I220" s="14">
        <f t="shared" si="7"/>
        <v>2069120.0761889999</v>
      </c>
      <c r="J220" s="8" t="s">
        <v>138</v>
      </c>
      <c r="K220" s="8" t="s">
        <v>509</v>
      </c>
      <c r="M220" s="339"/>
      <c r="N220" s="315"/>
    </row>
    <row r="221" spans="1:14" s="9" customFormat="1" ht="11.25" customHeight="1" x14ac:dyDescent="0.2">
      <c r="A221" s="10">
        <v>60110230</v>
      </c>
      <c r="B221" s="10" t="s">
        <v>7566</v>
      </c>
      <c r="C221" s="11">
        <v>0</v>
      </c>
      <c r="D221" s="11">
        <v>146039.71567500001</v>
      </c>
      <c r="E221" s="11">
        <v>0</v>
      </c>
      <c r="F221" s="13">
        <f>SUMIF('OD 11-24'!A:A,A221,'OD 11-24'!D:D)</f>
        <v>0</v>
      </c>
      <c r="G221" s="13">
        <f>SUMIF('OD 11-24'!A:A,A221,'OD 11-24'!E:E)</f>
        <v>0</v>
      </c>
      <c r="H221" s="14">
        <f t="shared" si="6"/>
        <v>146039.71567500001</v>
      </c>
      <c r="I221" s="14">
        <f t="shared" si="7"/>
        <v>146039.71567500001</v>
      </c>
      <c r="J221" s="8" t="s">
        <v>138</v>
      </c>
      <c r="K221" s="8" t="s">
        <v>509</v>
      </c>
      <c r="M221" s="339"/>
      <c r="N221" s="315"/>
    </row>
    <row r="222" spans="1:14" s="9" customFormat="1" ht="11.25" customHeight="1" x14ac:dyDescent="0.2">
      <c r="A222" s="10">
        <v>60110300</v>
      </c>
      <c r="B222" s="10" t="s">
        <v>140</v>
      </c>
      <c r="C222" s="11">
        <v>0</v>
      </c>
      <c r="D222" s="11">
        <v>156687.78673650001</v>
      </c>
      <c r="E222" s="11">
        <v>8655.491</v>
      </c>
      <c r="F222" s="13">
        <f>SUMIF('OD 11-24'!A:A,A222,'OD 11-24'!D:D)</f>
        <v>0</v>
      </c>
      <c r="G222" s="13">
        <f>SUMIF('OD 11-24'!A:A,A222,'OD 11-24'!E:E)</f>
        <v>0</v>
      </c>
      <c r="H222" s="14">
        <f t="shared" si="6"/>
        <v>148032.2957365</v>
      </c>
      <c r="I222" s="14">
        <f t="shared" si="7"/>
        <v>148032.2957365</v>
      </c>
      <c r="J222" s="8" t="s">
        <v>138</v>
      </c>
      <c r="K222" s="8" t="s">
        <v>509</v>
      </c>
      <c r="M222" s="339"/>
      <c r="N222" s="315"/>
    </row>
    <row r="223" spans="1:14" s="9" customFormat="1" ht="11.25" customHeight="1" x14ac:dyDescent="0.2">
      <c r="A223" s="10">
        <v>60110310</v>
      </c>
      <c r="B223" s="10" t="s">
        <v>141</v>
      </c>
      <c r="C223" s="11">
        <v>0</v>
      </c>
      <c r="D223" s="11">
        <v>112836.94499999999</v>
      </c>
      <c r="E223" s="11">
        <v>0</v>
      </c>
      <c r="F223" s="13">
        <f>SUMIF('OD 11-24'!A:A,A223,'OD 11-24'!D:D)</f>
        <v>0</v>
      </c>
      <c r="G223" s="13">
        <f>SUMIF('OD 11-24'!A:A,A223,'OD 11-24'!E:E)</f>
        <v>0</v>
      </c>
      <c r="H223" s="14">
        <f t="shared" si="6"/>
        <v>112836.94499999999</v>
      </c>
      <c r="I223" s="14">
        <f t="shared" si="7"/>
        <v>112836.94499999999</v>
      </c>
      <c r="J223" s="8" t="s">
        <v>138</v>
      </c>
      <c r="K223" s="8" t="s">
        <v>509</v>
      </c>
      <c r="M223" s="339"/>
      <c r="N223" s="315"/>
    </row>
    <row r="224" spans="1:14" s="9" customFormat="1" ht="11.25" customHeight="1" x14ac:dyDescent="0.2">
      <c r="A224" s="10">
        <v>60110320</v>
      </c>
      <c r="B224" s="10" t="s">
        <v>142</v>
      </c>
      <c r="C224" s="11">
        <v>0</v>
      </c>
      <c r="D224" s="11">
        <v>48796.065893000006</v>
      </c>
      <c r="E224" s="11">
        <v>0</v>
      </c>
      <c r="F224" s="13">
        <f>SUMIF('OD 11-24'!A:A,A224,'OD 11-24'!D:D)</f>
        <v>0</v>
      </c>
      <c r="G224" s="13">
        <f>SUMIF('OD 11-24'!A:A,A224,'OD 11-24'!E:E)</f>
        <v>0</v>
      </c>
      <c r="H224" s="14">
        <f t="shared" si="6"/>
        <v>48796.065893000006</v>
      </c>
      <c r="I224" s="14">
        <f t="shared" si="7"/>
        <v>48796.065893000006</v>
      </c>
      <c r="J224" s="8" t="s">
        <v>138</v>
      </c>
      <c r="K224" s="8" t="s">
        <v>509</v>
      </c>
      <c r="M224" s="339"/>
      <c r="N224" s="315"/>
    </row>
    <row r="225" spans="1:14" s="9" customFormat="1" ht="11.25" customHeight="1" x14ac:dyDescent="0.2">
      <c r="A225" s="10">
        <v>60110330</v>
      </c>
      <c r="B225" s="10" t="s">
        <v>143</v>
      </c>
      <c r="C225" s="11">
        <v>0</v>
      </c>
      <c r="D225" s="11">
        <v>59014.785230000001</v>
      </c>
      <c r="E225" s="11">
        <v>0</v>
      </c>
      <c r="F225" s="13">
        <f>SUMIF('OD 11-24'!A:A,A225,'OD 11-24'!D:D)</f>
        <v>0</v>
      </c>
      <c r="G225" s="13">
        <f>SUMIF('OD 11-24'!A:A,A225,'OD 11-24'!E:E)</f>
        <v>0</v>
      </c>
      <c r="H225" s="14">
        <f t="shared" si="6"/>
        <v>59014.785230000001</v>
      </c>
      <c r="I225" s="14">
        <f t="shared" si="7"/>
        <v>59014.785230000001</v>
      </c>
      <c r="J225" s="8" t="s">
        <v>138</v>
      </c>
      <c r="K225" s="8" t="s">
        <v>509</v>
      </c>
      <c r="M225" s="339"/>
      <c r="N225" s="315"/>
    </row>
    <row r="226" spans="1:14" s="9" customFormat="1" ht="11.25" customHeight="1" x14ac:dyDescent="0.2">
      <c r="A226" s="10">
        <v>60110350</v>
      </c>
      <c r="B226" s="10" t="s">
        <v>261</v>
      </c>
      <c r="C226" s="11">
        <v>0</v>
      </c>
      <c r="D226" s="11">
        <v>847.95</v>
      </c>
      <c r="E226" s="11">
        <v>0.17100000000000001</v>
      </c>
      <c r="F226" s="13">
        <f>SUMIF('OD 11-24'!A:A,A226,'OD 11-24'!D:D)</f>
        <v>0</v>
      </c>
      <c r="G226" s="13">
        <f>SUMIF('OD 11-24'!A:A,A226,'OD 11-24'!E:E)</f>
        <v>0</v>
      </c>
      <c r="H226" s="14">
        <f t="shared" si="6"/>
        <v>847.779</v>
      </c>
      <c r="I226" s="14">
        <f t="shared" si="7"/>
        <v>847.779</v>
      </c>
      <c r="J226" s="8" t="s">
        <v>138</v>
      </c>
      <c r="K226" s="8" t="s">
        <v>509</v>
      </c>
      <c r="M226" s="339"/>
      <c r="N226" s="315"/>
    </row>
    <row r="227" spans="1:14" s="9" customFormat="1" ht="11.25" customHeight="1" x14ac:dyDescent="0.2">
      <c r="A227" s="10">
        <v>60110500</v>
      </c>
      <c r="B227" s="10" t="s">
        <v>144</v>
      </c>
      <c r="C227" s="11">
        <v>0</v>
      </c>
      <c r="D227" s="11">
        <v>14482.973999999998</v>
      </c>
      <c r="E227" s="11">
        <v>0.37</v>
      </c>
      <c r="F227" s="13">
        <f>SUMIF('OD 11-24'!A:A,A227,'OD 11-24'!D:D)</f>
        <v>7502.2709999999997</v>
      </c>
      <c r="G227" s="13">
        <f>SUMIF('OD 11-24'!A:A,A227,'OD 11-24'!E:E)</f>
        <v>7502.2709999999997</v>
      </c>
      <c r="H227" s="14">
        <f t="shared" si="6"/>
        <v>14482.603999999999</v>
      </c>
      <c r="I227" s="14">
        <f t="shared" si="7"/>
        <v>14482.603999999999</v>
      </c>
      <c r="J227" s="8" t="s">
        <v>138</v>
      </c>
      <c r="K227" s="8" t="s">
        <v>509</v>
      </c>
      <c r="M227" s="339"/>
      <c r="N227" s="315"/>
    </row>
    <row r="228" spans="1:14" s="9" customFormat="1" ht="11.25" customHeight="1" x14ac:dyDescent="0.2">
      <c r="A228" s="10">
        <v>60110600</v>
      </c>
      <c r="B228" s="10" t="s">
        <v>145</v>
      </c>
      <c r="C228" s="11">
        <v>0</v>
      </c>
      <c r="D228" s="11">
        <v>50684.137999999999</v>
      </c>
      <c r="E228" s="11">
        <v>3.4999999999999996E-2</v>
      </c>
      <c r="F228" s="13">
        <f>SUMIF('OD 11-24'!A:A,A228,'OD 11-24'!D:D)</f>
        <v>0</v>
      </c>
      <c r="G228" s="13">
        <f>SUMIF('OD 11-24'!A:A,A228,'OD 11-24'!E:E)</f>
        <v>0</v>
      </c>
      <c r="H228" s="14">
        <f t="shared" si="6"/>
        <v>50684.102999999996</v>
      </c>
      <c r="I228" s="14">
        <f t="shared" si="7"/>
        <v>50684.102999999996</v>
      </c>
      <c r="J228" s="8" t="s">
        <v>138</v>
      </c>
      <c r="K228" s="8" t="s">
        <v>509</v>
      </c>
      <c r="M228" s="339"/>
      <c r="N228" s="315"/>
    </row>
    <row r="229" spans="1:14" s="9" customFormat="1" ht="11.25" customHeight="1" x14ac:dyDescent="0.2">
      <c r="A229" s="10">
        <v>60110700</v>
      </c>
      <c r="B229" s="10" t="s">
        <v>146</v>
      </c>
      <c r="C229" s="11">
        <v>0</v>
      </c>
      <c r="D229" s="11">
        <v>1608.1560000000002</v>
      </c>
      <c r="E229" s="11">
        <v>0</v>
      </c>
      <c r="F229" s="13">
        <f>SUMIF('OD 11-24'!A:A,A229,'OD 11-24'!D:D)</f>
        <v>0</v>
      </c>
      <c r="G229" s="13">
        <f>SUMIF('OD 11-24'!A:A,A229,'OD 11-24'!E:E)</f>
        <v>0</v>
      </c>
      <c r="H229" s="14">
        <f t="shared" si="6"/>
        <v>1608.1560000000002</v>
      </c>
      <c r="I229" s="14">
        <f t="shared" si="7"/>
        <v>1608.1560000000002</v>
      </c>
      <c r="J229" s="8" t="s">
        <v>138</v>
      </c>
      <c r="K229" s="8" t="s">
        <v>509</v>
      </c>
      <c r="M229" s="339"/>
      <c r="N229" s="315"/>
    </row>
    <row r="230" spans="1:14" s="9" customFormat="1" ht="11.25" customHeight="1" x14ac:dyDescent="0.2">
      <c r="A230" s="10">
        <v>60110900</v>
      </c>
      <c r="B230" s="10" t="s">
        <v>147</v>
      </c>
      <c r="C230" s="11">
        <v>0</v>
      </c>
      <c r="D230" s="11">
        <v>479847.60700000002</v>
      </c>
      <c r="E230" s="11">
        <v>808</v>
      </c>
      <c r="F230" s="13">
        <f>SUMIF('OD 11-24'!A:A,A230,'OD 11-24'!D:D)</f>
        <v>219792.07699999999</v>
      </c>
      <c r="G230" s="13">
        <f>SUMIF('OD 11-24'!A:A,A230,'OD 11-24'!E:E)</f>
        <v>207714.43700000001</v>
      </c>
      <c r="H230" s="14">
        <f t="shared" si="6"/>
        <v>491117.24699999997</v>
      </c>
      <c r="I230" s="14">
        <f t="shared" si="7"/>
        <v>491117.24699999997</v>
      </c>
      <c r="J230" s="8" t="s">
        <v>138</v>
      </c>
      <c r="K230" s="8" t="s">
        <v>509</v>
      </c>
      <c r="M230" s="339"/>
      <c r="N230" s="315"/>
    </row>
    <row r="231" spans="1:14" s="9" customFormat="1" ht="11.25" customHeight="1" x14ac:dyDescent="0.2">
      <c r="A231" s="10">
        <v>60111000</v>
      </c>
      <c r="B231" s="10" t="s">
        <v>148</v>
      </c>
      <c r="C231" s="11">
        <v>0</v>
      </c>
      <c r="D231" s="11">
        <v>606</v>
      </c>
      <c r="E231" s="11">
        <v>0</v>
      </c>
      <c r="F231" s="13">
        <f>SUMIF('OD 11-24'!A:A,A231,'OD 11-24'!D:D)</f>
        <v>0</v>
      </c>
      <c r="G231" s="13">
        <f>SUMIF('OD 11-24'!A:A,A231,'OD 11-24'!E:E)</f>
        <v>0</v>
      </c>
      <c r="H231" s="14">
        <f t="shared" si="6"/>
        <v>606</v>
      </c>
      <c r="I231" s="14">
        <f t="shared" si="7"/>
        <v>606</v>
      </c>
      <c r="J231" s="8" t="s">
        <v>138</v>
      </c>
      <c r="K231" s="8" t="s">
        <v>509</v>
      </c>
      <c r="M231" s="339"/>
      <c r="N231" s="315"/>
    </row>
    <row r="232" spans="1:14" s="9" customFormat="1" ht="11.25" customHeight="1" x14ac:dyDescent="0.2">
      <c r="A232" s="10">
        <v>60111010</v>
      </c>
      <c r="B232" s="10" t="s">
        <v>393</v>
      </c>
      <c r="C232" s="11">
        <v>0</v>
      </c>
      <c r="D232" s="11">
        <v>6262</v>
      </c>
      <c r="E232" s="11">
        <v>0</v>
      </c>
      <c r="F232" s="13">
        <f>SUMIF('OD 11-24'!A:A,A232,'OD 11-24'!D:D)</f>
        <v>0</v>
      </c>
      <c r="G232" s="13">
        <f>SUMIF('OD 11-24'!A:A,A232,'OD 11-24'!E:E)</f>
        <v>0</v>
      </c>
      <c r="H232" s="14">
        <f t="shared" si="6"/>
        <v>6262</v>
      </c>
      <c r="I232" s="14">
        <f t="shared" si="7"/>
        <v>6262</v>
      </c>
      <c r="J232" s="8" t="s">
        <v>138</v>
      </c>
      <c r="K232" s="8" t="s">
        <v>509</v>
      </c>
      <c r="M232" s="339"/>
      <c r="N232" s="315"/>
    </row>
    <row r="233" spans="1:14" s="9" customFormat="1" ht="11.25" customHeight="1" x14ac:dyDescent="0.2">
      <c r="A233" s="10">
        <v>60120100</v>
      </c>
      <c r="B233" s="10" t="s">
        <v>149</v>
      </c>
      <c r="C233" s="11">
        <v>0</v>
      </c>
      <c r="D233" s="11">
        <v>1407613.5508795003</v>
      </c>
      <c r="E233" s="11">
        <v>9063.0944025000008</v>
      </c>
      <c r="F233" s="13">
        <f>SUMIF('OD 11-24'!A:A,A233,'OD 11-24'!D:D)</f>
        <v>0</v>
      </c>
      <c r="G233" s="13">
        <f>SUMIF('OD 11-24'!A:A,A233,'OD 11-24'!E:E)</f>
        <v>0</v>
      </c>
      <c r="H233" s="14">
        <f t="shared" si="6"/>
        <v>1398550.4564770004</v>
      </c>
      <c r="I233" s="14">
        <f t="shared" si="7"/>
        <v>1398550.4564770004</v>
      </c>
      <c r="J233" s="8" t="s">
        <v>138</v>
      </c>
      <c r="K233" s="8" t="s">
        <v>509</v>
      </c>
      <c r="M233" s="339"/>
      <c r="N233" s="315"/>
    </row>
    <row r="234" spans="1:14" s="9" customFormat="1" ht="11.25" customHeight="1" x14ac:dyDescent="0.2">
      <c r="A234" s="10">
        <v>60120200</v>
      </c>
      <c r="B234" s="10" t="s">
        <v>8977</v>
      </c>
      <c r="C234" s="11">
        <v>0</v>
      </c>
      <c r="D234" s="11">
        <v>492</v>
      </c>
      <c r="E234" s="11">
        <v>0</v>
      </c>
      <c r="F234" s="13">
        <f>SUMIF('OD 11-24'!A:A,A234,'OD 11-24'!D:D)</f>
        <v>492</v>
      </c>
      <c r="G234" s="13">
        <f>SUMIF('OD 11-24'!A:A,A234,'OD 11-24'!E:E)</f>
        <v>492</v>
      </c>
      <c r="H234" s="14">
        <f t="shared" si="6"/>
        <v>492</v>
      </c>
      <c r="I234" s="14">
        <f t="shared" si="7"/>
        <v>492</v>
      </c>
      <c r="J234" s="8" t="s">
        <v>138</v>
      </c>
      <c r="K234" s="8" t="s">
        <v>509</v>
      </c>
      <c r="M234" s="339"/>
      <c r="N234" s="315"/>
    </row>
    <row r="235" spans="1:14" s="9" customFormat="1" ht="11.25" customHeight="1" x14ac:dyDescent="0.2">
      <c r="A235" s="10">
        <v>60120300</v>
      </c>
      <c r="B235" s="10" t="s">
        <v>150</v>
      </c>
      <c r="C235" s="11">
        <v>0</v>
      </c>
      <c r="D235" s="11">
        <v>6218193.5429999996</v>
      </c>
      <c r="E235" s="11">
        <v>72828.75</v>
      </c>
      <c r="F235" s="13">
        <f>SUMIF('OD 11-24'!A:A,A235,'OD 11-24'!D:D)</f>
        <v>476925.11</v>
      </c>
      <c r="G235" s="13">
        <f>SUMIF('OD 11-24'!A:A,A235,'OD 11-24'!E:E)</f>
        <v>476925.11</v>
      </c>
      <c r="H235" s="14">
        <f t="shared" si="6"/>
        <v>6145364.7929999996</v>
      </c>
      <c r="I235" s="14">
        <f t="shared" si="7"/>
        <v>6145364.7929999996</v>
      </c>
      <c r="J235" s="8" t="s">
        <v>138</v>
      </c>
      <c r="K235" s="8" t="s">
        <v>509</v>
      </c>
      <c r="M235" s="339"/>
      <c r="N235" s="315"/>
    </row>
    <row r="236" spans="1:14" s="9" customFormat="1" ht="11.25" customHeight="1" x14ac:dyDescent="0.2">
      <c r="A236" s="10">
        <v>60120400</v>
      </c>
      <c r="B236" s="10" t="s">
        <v>365</v>
      </c>
      <c r="C236" s="11">
        <v>0</v>
      </c>
      <c r="D236" s="11">
        <v>4020958.2920000004</v>
      </c>
      <c r="E236" s="11">
        <v>0</v>
      </c>
      <c r="F236" s="13">
        <f>SUMIF('OD 11-24'!A:A,A236,'OD 11-24'!D:D)</f>
        <v>170767.3</v>
      </c>
      <c r="G236" s="13">
        <f>SUMIF('OD 11-24'!A:A,A236,'OD 11-24'!E:E)</f>
        <v>157330.79999999999</v>
      </c>
      <c r="H236" s="14">
        <f t="shared" si="6"/>
        <v>4034394.7920000004</v>
      </c>
      <c r="I236" s="14">
        <f t="shared" si="7"/>
        <v>4034394.7920000004</v>
      </c>
      <c r="J236" s="8" t="s">
        <v>138</v>
      </c>
      <c r="K236" s="8" t="s">
        <v>509</v>
      </c>
      <c r="M236" s="339"/>
      <c r="N236" s="315"/>
    </row>
    <row r="237" spans="1:14" s="9" customFormat="1" ht="11.25" customHeight="1" x14ac:dyDescent="0.2">
      <c r="A237" s="10">
        <v>60120800</v>
      </c>
      <c r="B237" s="10" t="s">
        <v>151</v>
      </c>
      <c r="C237" s="11">
        <v>0</v>
      </c>
      <c r="D237" s="11">
        <v>1046301.6878999999</v>
      </c>
      <c r="E237" s="11">
        <v>0</v>
      </c>
      <c r="F237" s="13">
        <f>SUMIF('OD 11-24'!A:A,A237,'OD 11-24'!D:D)</f>
        <v>145607</v>
      </c>
      <c r="G237" s="13">
        <f>SUMIF('OD 11-24'!A:A,A237,'OD 11-24'!E:E)</f>
        <v>0</v>
      </c>
      <c r="H237" s="14">
        <f t="shared" si="6"/>
        <v>1191908.6878999998</v>
      </c>
      <c r="I237" s="14">
        <f t="shared" si="7"/>
        <v>1191908.6878999998</v>
      </c>
      <c r="J237" s="8" t="s">
        <v>138</v>
      </c>
      <c r="K237" s="8" t="s">
        <v>509</v>
      </c>
      <c r="M237" s="339"/>
      <c r="N237" s="315"/>
    </row>
    <row r="238" spans="1:14" s="9" customFormat="1" ht="11.25" customHeight="1" x14ac:dyDescent="0.2">
      <c r="A238" s="10">
        <v>60120900</v>
      </c>
      <c r="B238" s="10" t="s">
        <v>7393</v>
      </c>
      <c r="C238" s="11">
        <v>0</v>
      </c>
      <c r="D238" s="11">
        <v>995103.48910499993</v>
      </c>
      <c r="E238" s="11">
        <v>0</v>
      </c>
      <c r="F238" s="13">
        <f>SUMIF('OD 11-24'!A:A,A238,'OD 11-24'!D:D)</f>
        <v>0</v>
      </c>
      <c r="G238" s="13">
        <f>SUMIF('OD 11-24'!A:A,A238,'OD 11-24'!E:E)</f>
        <v>0</v>
      </c>
      <c r="H238" s="14">
        <f t="shared" si="6"/>
        <v>995103.48910499993</v>
      </c>
      <c r="I238" s="14">
        <f t="shared" si="7"/>
        <v>995103.48910499993</v>
      </c>
      <c r="J238" s="8" t="s">
        <v>138</v>
      </c>
      <c r="K238" s="8" t="s">
        <v>509</v>
      </c>
      <c r="M238" s="339"/>
      <c r="N238" s="315"/>
    </row>
    <row r="239" spans="1:14" s="9" customFormat="1" ht="11.25" customHeight="1" x14ac:dyDescent="0.2">
      <c r="A239" s="10">
        <v>60121010</v>
      </c>
      <c r="B239" s="10" t="s">
        <v>152</v>
      </c>
      <c r="C239" s="11">
        <v>0</v>
      </c>
      <c r="D239" s="11">
        <v>24170916.796123497</v>
      </c>
      <c r="E239" s="11">
        <v>121160.19332699999</v>
      </c>
      <c r="F239" s="13">
        <f>SUMIF('OD 11-24'!A:A,A239,'OD 11-24'!D:D)</f>
        <v>0</v>
      </c>
      <c r="G239" s="13">
        <f>SUMIF('OD 11-24'!A:A,A239,'OD 11-24'!E:E)</f>
        <v>0</v>
      </c>
      <c r="H239" s="14">
        <f t="shared" si="6"/>
        <v>24049756.602796499</v>
      </c>
      <c r="I239" s="14">
        <f t="shared" si="7"/>
        <v>24049756.602796499</v>
      </c>
      <c r="J239" s="8" t="s">
        <v>138</v>
      </c>
      <c r="K239" s="8" t="s">
        <v>509</v>
      </c>
      <c r="M239" s="339"/>
      <c r="N239" s="315"/>
    </row>
    <row r="240" spans="1:14" s="9" customFormat="1" ht="11.25" customHeight="1" x14ac:dyDescent="0.2">
      <c r="A240" s="10">
        <v>60121020</v>
      </c>
      <c r="B240" s="10" t="s">
        <v>153</v>
      </c>
      <c r="C240" s="11">
        <v>0</v>
      </c>
      <c r="D240" s="11">
        <v>4664</v>
      </c>
      <c r="E240" s="11">
        <v>4664</v>
      </c>
      <c r="F240" s="13">
        <f>SUMIF('OD 11-24'!A:A,A240,'OD 11-24'!D:D)</f>
        <v>0</v>
      </c>
      <c r="G240" s="13">
        <f>SUMIF('OD 11-24'!A:A,A240,'OD 11-24'!E:E)</f>
        <v>0</v>
      </c>
      <c r="H240" s="14">
        <f t="shared" si="6"/>
        <v>0</v>
      </c>
      <c r="I240" s="14">
        <f t="shared" si="7"/>
        <v>0</v>
      </c>
      <c r="J240" s="8" t="s">
        <v>138</v>
      </c>
      <c r="K240" s="8" t="s">
        <v>509</v>
      </c>
      <c r="M240" s="339"/>
      <c r="N240" s="315"/>
    </row>
    <row r="241" spans="1:14" s="9" customFormat="1" ht="11.25" customHeight="1" x14ac:dyDescent="0.2">
      <c r="A241" s="10">
        <v>60121031</v>
      </c>
      <c r="B241" s="10" t="s">
        <v>394</v>
      </c>
      <c r="C241" s="11">
        <v>0</v>
      </c>
      <c r="D241" s="11">
        <v>171625.31027000002</v>
      </c>
      <c r="E241" s="11">
        <v>0</v>
      </c>
      <c r="F241" s="13">
        <f>SUMIF('OD 11-24'!A:A,A241,'OD 11-24'!D:D)</f>
        <v>0</v>
      </c>
      <c r="G241" s="13">
        <f>SUMIF('OD 11-24'!A:A,A241,'OD 11-24'!E:E)</f>
        <v>0</v>
      </c>
      <c r="H241" s="14">
        <f t="shared" si="6"/>
        <v>171625.31027000002</v>
      </c>
      <c r="I241" s="14">
        <f t="shared" si="7"/>
        <v>171625.31027000002</v>
      </c>
      <c r="J241" s="8" t="s">
        <v>138</v>
      </c>
      <c r="K241" s="8" t="s">
        <v>509</v>
      </c>
      <c r="M241" s="339"/>
      <c r="N241" s="315"/>
    </row>
    <row r="242" spans="1:14" s="9" customFormat="1" ht="11.25" customHeight="1" x14ac:dyDescent="0.2">
      <c r="A242" s="10">
        <v>60121032</v>
      </c>
      <c r="B242" s="10" t="s">
        <v>8973</v>
      </c>
      <c r="C242" s="11">
        <v>0</v>
      </c>
      <c r="D242" s="11">
        <v>10482.185000000001</v>
      </c>
      <c r="E242" s="11">
        <v>0</v>
      </c>
      <c r="F242" s="13">
        <f>SUMIF('OD 11-24'!A:A,A242,'OD 11-24'!D:D)</f>
        <v>0</v>
      </c>
      <c r="G242" s="13">
        <f>SUMIF('OD 11-24'!A:A,A242,'OD 11-24'!E:E)</f>
        <v>0</v>
      </c>
      <c r="H242" s="14">
        <f t="shared" si="6"/>
        <v>10482.185000000001</v>
      </c>
      <c r="I242" s="14">
        <f t="shared" si="7"/>
        <v>10482.185000000001</v>
      </c>
      <c r="J242" s="8" t="s">
        <v>138</v>
      </c>
      <c r="K242" s="8" t="s">
        <v>509</v>
      </c>
      <c r="M242" s="339"/>
      <c r="N242" s="315"/>
    </row>
    <row r="243" spans="1:14" s="9" customFormat="1" ht="11.25" customHeight="1" x14ac:dyDescent="0.2">
      <c r="A243" s="10">
        <v>60121033</v>
      </c>
      <c r="B243" s="10" t="s">
        <v>7718</v>
      </c>
      <c r="C243" s="11">
        <v>0</v>
      </c>
      <c r="D243" s="11">
        <v>14927.626999999999</v>
      </c>
      <c r="E243" s="11">
        <v>0</v>
      </c>
      <c r="F243" s="13">
        <f>SUMIF('OD 11-24'!A:A,A243,'OD 11-24'!D:D)</f>
        <v>0</v>
      </c>
      <c r="G243" s="13">
        <f>SUMIF('OD 11-24'!A:A,A243,'OD 11-24'!E:E)</f>
        <v>0</v>
      </c>
      <c r="H243" s="14">
        <f t="shared" si="6"/>
        <v>14927.626999999999</v>
      </c>
      <c r="I243" s="14">
        <f t="shared" si="7"/>
        <v>14927.626999999999</v>
      </c>
      <c r="J243" s="8" t="s">
        <v>138</v>
      </c>
      <c r="K243" s="8" t="s">
        <v>509</v>
      </c>
      <c r="M243" s="339"/>
      <c r="N243" s="315"/>
    </row>
    <row r="244" spans="1:14" s="9" customFormat="1" ht="11.25" customHeight="1" x14ac:dyDescent="0.2">
      <c r="A244" s="10">
        <v>60121035</v>
      </c>
      <c r="B244" s="10" t="s">
        <v>395</v>
      </c>
      <c r="C244" s="11">
        <v>0</v>
      </c>
      <c r="D244" s="11">
        <v>3633.8550000000005</v>
      </c>
      <c r="E244" s="11">
        <v>0</v>
      </c>
      <c r="F244" s="13">
        <f>SUMIF('OD 11-24'!A:A,A244,'OD 11-24'!D:D)</f>
        <v>0</v>
      </c>
      <c r="G244" s="13">
        <f>SUMIF('OD 11-24'!A:A,A244,'OD 11-24'!E:E)</f>
        <v>0</v>
      </c>
      <c r="H244" s="14">
        <f t="shared" si="6"/>
        <v>3633.8550000000005</v>
      </c>
      <c r="I244" s="14">
        <f t="shared" si="7"/>
        <v>3633.8550000000005</v>
      </c>
      <c r="J244" s="8" t="s">
        <v>138</v>
      </c>
      <c r="K244" s="8" t="s">
        <v>509</v>
      </c>
      <c r="M244" s="339"/>
      <c r="N244" s="315"/>
    </row>
    <row r="245" spans="1:14" s="9" customFormat="1" ht="11.25" customHeight="1" x14ac:dyDescent="0.2">
      <c r="A245" s="10">
        <v>60121040</v>
      </c>
      <c r="B245" s="10" t="s">
        <v>7720</v>
      </c>
      <c r="C245" s="11">
        <v>0</v>
      </c>
      <c r="D245" s="11">
        <v>2058.75</v>
      </c>
      <c r="E245" s="11">
        <v>0</v>
      </c>
      <c r="F245" s="13">
        <f>SUMIF('OD 11-24'!A:A,A245,'OD 11-24'!D:D)</f>
        <v>0</v>
      </c>
      <c r="G245" s="13">
        <f>SUMIF('OD 11-24'!A:A,A245,'OD 11-24'!E:E)</f>
        <v>0</v>
      </c>
      <c r="H245" s="14">
        <f t="shared" si="6"/>
        <v>2058.75</v>
      </c>
      <c r="I245" s="14">
        <f t="shared" si="7"/>
        <v>2058.75</v>
      </c>
      <c r="J245" s="8" t="s">
        <v>138</v>
      </c>
      <c r="K245" s="8" t="s">
        <v>509</v>
      </c>
      <c r="M245" s="339"/>
      <c r="N245" s="315"/>
    </row>
    <row r="246" spans="1:14" s="9" customFormat="1" ht="11.25" customHeight="1" x14ac:dyDescent="0.2">
      <c r="A246" s="10">
        <v>60121210</v>
      </c>
      <c r="B246" s="10" t="s">
        <v>7400</v>
      </c>
      <c r="C246" s="11">
        <v>0</v>
      </c>
      <c r="D246" s="11">
        <v>193882.85927349998</v>
      </c>
      <c r="E246" s="11">
        <v>0</v>
      </c>
      <c r="F246" s="13">
        <f>SUMIF('OD 11-24'!A:A,A246,'OD 11-24'!D:D)</f>
        <v>0</v>
      </c>
      <c r="G246" s="13">
        <f>SUMIF('OD 11-24'!A:A,A246,'OD 11-24'!E:E)</f>
        <v>0</v>
      </c>
      <c r="H246" s="14">
        <f t="shared" si="6"/>
        <v>193882.85927349998</v>
      </c>
      <c r="I246" s="14">
        <f t="shared" si="7"/>
        <v>193882.85927349998</v>
      </c>
      <c r="J246" s="8" t="s">
        <v>138</v>
      </c>
      <c r="K246" s="8" t="s">
        <v>509</v>
      </c>
      <c r="M246" s="339"/>
      <c r="N246" s="315"/>
    </row>
    <row r="247" spans="1:14" s="9" customFormat="1" ht="11.25" customHeight="1" x14ac:dyDescent="0.2">
      <c r="A247" s="10">
        <v>60121400</v>
      </c>
      <c r="B247" s="10" t="s">
        <v>7570</v>
      </c>
      <c r="C247" s="11">
        <v>0</v>
      </c>
      <c r="D247" s="11">
        <v>93840.986879999997</v>
      </c>
      <c r="E247" s="11">
        <v>0</v>
      </c>
      <c r="F247" s="13">
        <f>SUMIF('OD 11-24'!A:A,A247,'OD 11-24'!D:D)</f>
        <v>0</v>
      </c>
      <c r="G247" s="13">
        <f>SUMIF('OD 11-24'!A:A,A247,'OD 11-24'!E:E)</f>
        <v>0</v>
      </c>
      <c r="H247" s="14">
        <f t="shared" si="6"/>
        <v>93840.986879999997</v>
      </c>
      <c r="I247" s="14">
        <f t="shared" si="7"/>
        <v>93840.986879999997</v>
      </c>
      <c r="J247" s="8" t="s">
        <v>138</v>
      </c>
      <c r="K247" s="8" t="s">
        <v>509</v>
      </c>
      <c r="M247" s="339"/>
      <c r="N247" s="315"/>
    </row>
    <row r="248" spans="1:14" s="9" customFormat="1" ht="11.25" customHeight="1" x14ac:dyDescent="0.2">
      <c r="A248" s="10">
        <v>60121500</v>
      </c>
      <c r="B248" s="10" t="s">
        <v>404</v>
      </c>
      <c r="C248" s="11">
        <v>0</v>
      </c>
      <c r="D248" s="11">
        <v>99000</v>
      </c>
      <c r="E248" s="11">
        <v>0</v>
      </c>
      <c r="F248" s="13">
        <f>SUMIF('OD 11-24'!A:A,A248,'OD 11-24'!D:D)</f>
        <v>154800</v>
      </c>
      <c r="G248" s="13">
        <f>SUMIF('OD 11-24'!A:A,A248,'OD 11-24'!E:E)</f>
        <v>154800</v>
      </c>
      <c r="H248" s="14">
        <f t="shared" si="6"/>
        <v>99000</v>
      </c>
      <c r="I248" s="14">
        <f t="shared" si="7"/>
        <v>99000</v>
      </c>
      <c r="J248" s="8" t="s">
        <v>138</v>
      </c>
      <c r="K248" s="8" t="s">
        <v>509</v>
      </c>
      <c r="M248" s="339"/>
      <c r="N248" s="315"/>
    </row>
    <row r="249" spans="1:14" s="9" customFormat="1" ht="11.25" customHeight="1" x14ac:dyDescent="0.2">
      <c r="A249" s="10">
        <v>60121600</v>
      </c>
      <c r="B249" s="10" t="s">
        <v>154</v>
      </c>
      <c r="C249" s="11">
        <v>0</v>
      </c>
      <c r="D249" s="11">
        <v>560364</v>
      </c>
      <c r="E249" s="11">
        <v>0</v>
      </c>
      <c r="F249" s="13">
        <f>SUMIF('OD 11-24'!A:A,A249,'OD 11-24'!D:D)</f>
        <v>0</v>
      </c>
      <c r="G249" s="13">
        <f>SUMIF('OD 11-24'!A:A,A249,'OD 11-24'!E:E)</f>
        <v>0</v>
      </c>
      <c r="H249" s="14">
        <f t="shared" si="6"/>
        <v>560364</v>
      </c>
      <c r="I249" s="14">
        <f t="shared" si="7"/>
        <v>560364</v>
      </c>
      <c r="J249" s="8" t="s">
        <v>138</v>
      </c>
      <c r="K249" s="8" t="s">
        <v>509</v>
      </c>
      <c r="M249" s="339"/>
      <c r="N249" s="315"/>
    </row>
    <row r="250" spans="1:14" s="9" customFormat="1" ht="11.25" customHeight="1" x14ac:dyDescent="0.2">
      <c r="A250" s="10">
        <v>60121900</v>
      </c>
      <c r="B250" s="10" t="s">
        <v>7568</v>
      </c>
      <c r="C250" s="11">
        <v>0</v>
      </c>
      <c r="D250" s="11">
        <v>33763.75</v>
      </c>
      <c r="E250" s="11">
        <v>0</v>
      </c>
      <c r="F250" s="13">
        <f>SUMIF('OD 11-24'!A:A,A250,'OD 11-24'!D:D)</f>
        <v>0</v>
      </c>
      <c r="G250" s="13">
        <f>SUMIF('OD 11-24'!A:A,A250,'OD 11-24'!E:E)</f>
        <v>0</v>
      </c>
      <c r="H250" s="14">
        <f t="shared" si="6"/>
        <v>33763.75</v>
      </c>
      <c r="I250" s="14">
        <f t="shared" si="7"/>
        <v>33763.75</v>
      </c>
      <c r="J250" s="8" t="s">
        <v>138</v>
      </c>
      <c r="K250" s="8" t="s">
        <v>509</v>
      </c>
      <c r="M250" s="339"/>
      <c r="N250" s="315"/>
    </row>
    <row r="251" spans="1:14" s="9" customFormat="1" ht="11.25" customHeight="1" x14ac:dyDescent="0.2">
      <c r="A251" s="10">
        <v>60122000</v>
      </c>
      <c r="B251" s="10" t="s">
        <v>9638</v>
      </c>
      <c r="C251" s="11">
        <v>0</v>
      </c>
      <c r="D251" s="11">
        <v>62292.496025</v>
      </c>
      <c r="E251" s="11">
        <v>72713.861999999994</v>
      </c>
      <c r="F251" s="13">
        <f>SUMIF('OD 11-24'!A:A,A251,'OD 11-24'!D:D)</f>
        <v>72713.861999999994</v>
      </c>
      <c r="G251" s="13">
        <f>SUMIF('OD 11-24'!A:A,A251,'OD 11-24'!E:E)</f>
        <v>0</v>
      </c>
      <c r="H251" s="14">
        <f t="shared" si="6"/>
        <v>62292.496025</v>
      </c>
      <c r="I251" s="14">
        <f t="shared" si="7"/>
        <v>62292.496025</v>
      </c>
      <c r="J251" s="8" t="s">
        <v>138</v>
      </c>
      <c r="K251" s="8" t="s">
        <v>509</v>
      </c>
      <c r="M251" s="339"/>
      <c r="N251" s="315"/>
    </row>
    <row r="252" spans="1:14" s="9" customFormat="1" ht="11.25" customHeight="1" x14ac:dyDescent="0.2">
      <c r="A252" s="10">
        <v>60122100</v>
      </c>
      <c r="B252" s="10" t="s">
        <v>155</v>
      </c>
      <c r="C252" s="11">
        <v>0</v>
      </c>
      <c r="D252" s="11">
        <v>86985</v>
      </c>
      <c r="E252" s="11">
        <v>1485</v>
      </c>
      <c r="F252" s="13">
        <f>SUMIF('OD 11-24'!A:A,A252,'OD 11-24'!D:D)</f>
        <v>26730</v>
      </c>
      <c r="G252" s="13">
        <f>SUMIF('OD 11-24'!A:A,A252,'OD 11-24'!E:E)</f>
        <v>26730</v>
      </c>
      <c r="H252" s="14">
        <f t="shared" si="6"/>
        <v>85500</v>
      </c>
      <c r="I252" s="14">
        <f t="shared" si="7"/>
        <v>85500</v>
      </c>
      <c r="J252" s="8" t="s">
        <v>138</v>
      </c>
      <c r="K252" s="8" t="s">
        <v>509</v>
      </c>
      <c r="M252" s="339"/>
      <c r="N252" s="315"/>
    </row>
    <row r="253" spans="1:14" s="9" customFormat="1" ht="11.25" customHeight="1" x14ac:dyDescent="0.2">
      <c r="A253" s="10">
        <v>60122200</v>
      </c>
      <c r="B253" s="10" t="s">
        <v>156</v>
      </c>
      <c r="C253" s="11">
        <v>0</v>
      </c>
      <c r="D253" s="11">
        <v>54164.048999999999</v>
      </c>
      <c r="E253" s="11">
        <v>0</v>
      </c>
      <c r="F253" s="13">
        <f>SUMIF('OD 11-24'!A:A,A253,'OD 11-24'!D:D)</f>
        <v>12789</v>
      </c>
      <c r="G253" s="13">
        <f>SUMIF('OD 11-24'!A:A,A253,'OD 11-24'!E:E)</f>
        <v>12789</v>
      </c>
      <c r="H253" s="14">
        <f t="shared" si="6"/>
        <v>54164.048999999999</v>
      </c>
      <c r="I253" s="14">
        <f t="shared" si="7"/>
        <v>54164.048999999999</v>
      </c>
      <c r="J253" s="8" t="s">
        <v>138</v>
      </c>
      <c r="K253" s="8" t="s">
        <v>509</v>
      </c>
      <c r="M253" s="339"/>
      <c r="N253" s="315"/>
    </row>
    <row r="254" spans="1:14" s="9" customFormat="1" ht="11.25" customHeight="1" x14ac:dyDescent="0.2">
      <c r="A254" s="10">
        <v>60122400</v>
      </c>
      <c r="B254" s="10" t="s">
        <v>7396</v>
      </c>
      <c r="C254" s="11">
        <v>0</v>
      </c>
      <c r="D254" s="11">
        <v>30280.058999999997</v>
      </c>
      <c r="E254" s="11">
        <v>0</v>
      </c>
      <c r="F254" s="13">
        <f>SUMIF('OD 11-24'!A:A,A254,'OD 11-24'!D:D)</f>
        <v>0</v>
      </c>
      <c r="G254" s="13">
        <f>SUMIF('OD 11-24'!A:A,A254,'OD 11-24'!E:E)</f>
        <v>0</v>
      </c>
      <c r="H254" s="14">
        <f t="shared" si="6"/>
        <v>30280.058999999997</v>
      </c>
      <c r="I254" s="14">
        <f t="shared" si="7"/>
        <v>30280.058999999997</v>
      </c>
      <c r="J254" s="8" t="s">
        <v>138</v>
      </c>
      <c r="K254" s="8" t="s">
        <v>509</v>
      </c>
      <c r="M254" s="339"/>
      <c r="N254" s="315"/>
    </row>
    <row r="255" spans="1:14" s="9" customFormat="1" ht="11.25" customHeight="1" x14ac:dyDescent="0.2">
      <c r="A255" s="10">
        <v>60122410</v>
      </c>
      <c r="B255" s="10" t="s">
        <v>366</v>
      </c>
      <c r="C255" s="11">
        <v>0</v>
      </c>
      <c r="D255" s="11">
        <v>6325</v>
      </c>
      <c r="E255" s="11">
        <v>0</v>
      </c>
      <c r="F255" s="13">
        <f>SUMIF('OD 11-24'!A:A,A255,'OD 11-24'!D:D)</f>
        <v>0</v>
      </c>
      <c r="G255" s="13">
        <f>SUMIF('OD 11-24'!A:A,A255,'OD 11-24'!E:E)</f>
        <v>0</v>
      </c>
      <c r="H255" s="14">
        <f t="shared" si="6"/>
        <v>6325</v>
      </c>
      <c r="I255" s="14">
        <f t="shared" si="7"/>
        <v>6325</v>
      </c>
      <c r="J255" s="8" t="s">
        <v>138</v>
      </c>
      <c r="K255" s="8" t="s">
        <v>509</v>
      </c>
      <c r="M255" s="339"/>
      <c r="N255" s="315"/>
    </row>
    <row r="256" spans="1:14" s="9" customFormat="1" ht="11.25" customHeight="1" x14ac:dyDescent="0.2">
      <c r="A256" s="10">
        <v>60122411</v>
      </c>
      <c r="B256" s="10" t="s">
        <v>367</v>
      </c>
      <c r="C256" s="11">
        <v>0</v>
      </c>
      <c r="D256" s="11">
        <v>64098</v>
      </c>
      <c r="E256" s="11">
        <v>0</v>
      </c>
      <c r="F256" s="13">
        <f>SUMIF('OD 11-24'!A:A,A256,'OD 11-24'!D:D)</f>
        <v>1474.8</v>
      </c>
      <c r="G256" s="13">
        <f>SUMIF('OD 11-24'!A:A,A256,'OD 11-24'!E:E)</f>
        <v>1474.8</v>
      </c>
      <c r="H256" s="14">
        <f t="shared" si="6"/>
        <v>64098</v>
      </c>
      <c r="I256" s="14">
        <f t="shared" si="7"/>
        <v>64098</v>
      </c>
      <c r="J256" s="8" t="s">
        <v>138</v>
      </c>
      <c r="K256" s="8" t="s">
        <v>509</v>
      </c>
      <c r="M256" s="339"/>
      <c r="N256" s="315"/>
    </row>
    <row r="257" spans="1:14" s="9" customFormat="1" ht="11.25" customHeight="1" x14ac:dyDescent="0.2">
      <c r="A257" s="10">
        <v>60122510</v>
      </c>
      <c r="B257" s="10" t="s">
        <v>368</v>
      </c>
      <c r="C257" s="11">
        <v>0</v>
      </c>
      <c r="D257" s="11">
        <v>38913.387999999999</v>
      </c>
      <c r="E257" s="11">
        <v>0</v>
      </c>
      <c r="F257" s="13">
        <f>SUMIF('OD 11-24'!A:A,A257,'OD 11-24'!D:D)</f>
        <v>6249.6040000000003</v>
      </c>
      <c r="G257" s="13">
        <f>SUMIF('OD 11-24'!A:A,A257,'OD 11-24'!E:E)</f>
        <v>3850.7689999999998</v>
      </c>
      <c r="H257" s="14">
        <f t="shared" si="6"/>
        <v>41312.222999999998</v>
      </c>
      <c r="I257" s="14">
        <f t="shared" si="7"/>
        <v>41312.222999999998</v>
      </c>
      <c r="J257" s="8" t="s">
        <v>138</v>
      </c>
      <c r="K257" s="8" t="s">
        <v>509</v>
      </c>
      <c r="M257" s="339"/>
      <c r="N257" s="315"/>
    </row>
    <row r="258" spans="1:14" s="9" customFormat="1" ht="11.25" customHeight="1" x14ac:dyDescent="0.2">
      <c r="A258" s="10">
        <v>60122520</v>
      </c>
      <c r="B258" s="10" t="s">
        <v>396</v>
      </c>
      <c r="C258" s="11">
        <v>0</v>
      </c>
      <c r="D258" s="11">
        <v>5548.39</v>
      </c>
      <c r="E258" s="11">
        <v>0</v>
      </c>
      <c r="F258" s="13">
        <f>SUMIF('OD 11-24'!A:A,A258,'OD 11-24'!D:D)</f>
        <v>0</v>
      </c>
      <c r="G258" s="13">
        <f>SUMIF('OD 11-24'!A:A,A258,'OD 11-24'!E:E)</f>
        <v>0</v>
      </c>
      <c r="H258" s="14">
        <f t="shared" si="6"/>
        <v>5548.39</v>
      </c>
      <c r="I258" s="14">
        <f t="shared" si="7"/>
        <v>5548.39</v>
      </c>
      <c r="J258" s="8" t="s">
        <v>138</v>
      </c>
      <c r="K258" s="8" t="s">
        <v>509</v>
      </c>
      <c r="M258" s="339"/>
      <c r="N258" s="315"/>
    </row>
    <row r="259" spans="1:14" s="9" customFormat="1" ht="11.25" customHeight="1" x14ac:dyDescent="0.2">
      <c r="A259" s="10">
        <v>60122700</v>
      </c>
      <c r="B259" s="10" t="s">
        <v>7567</v>
      </c>
      <c r="C259" s="11">
        <v>0</v>
      </c>
      <c r="D259" s="11">
        <v>9500.0399999999991</v>
      </c>
      <c r="E259" s="11">
        <v>0</v>
      </c>
      <c r="F259" s="13">
        <f>SUMIF('OD 11-24'!A:A,A259,'OD 11-24'!D:D)</f>
        <v>12212.5</v>
      </c>
      <c r="G259" s="13">
        <f>SUMIF('OD 11-24'!A:A,A259,'OD 11-24'!E:E)</f>
        <v>12212.5</v>
      </c>
      <c r="H259" s="14">
        <f t="shared" si="6"/>
        <v>9500.0400000000009</v>
      </c>
      <c r="I259" s="14">
        <f t="shared" si="7"/>
        <v>9500.0400000000009</v>
      </c>
      <c r="J259" s="8" t="s">
        <v>138</v>
      </c>
      <c r="K259" s="8" t="s">
        <v>509</v>
      </c>
      <c r="M259" s="339"/>
      <c r="N259" s="315"/>
    </row>
    <row r="260" spans="1:14" s="9" customFormat="1" ht="11.25" customHeight="1" x14ac:dyDescent="0.2">
      <c r="A260" s="10">
        <v>60171000</v>
      </c>
      <c r="B260" s="10" t="s">
        <v>369</v>
      </c>
      <c r="C260" s="11">
        <v>0</v>
      </c>
      <c r="D260" s="11">
        <v>460028.06899999996</v>
      </c>
      <c r="E260" s="11">
        <v>325.53100000000001</v>
      </c>
      <c r="F260" s="13">
        <f>SUMIF('OD 11-24'!A:A,A260,'OD 11-24'!D:D)</f>
        <v>450589.09</v>
      </c>
      <c r="G260" s="13">
        <f>SUMIF('OD 11-24'!A:A,A260,'OD 11-24'!E:E)</f>
        <v>428097.09</v>
      </c>
      <c r="H260" s="14">
        <f t="shared" si="6"/>
        <v>482194.538</v>
      </c>
      <c r="I260" s="14">
        <f t="shared" si="7"/>
        <v>482194.538</v>
      </c>
      <c r="J260" s="8" t="s">
        <v>138</v>
      </c>
      <c r="K260" s="8" t="s">
        <v>509</v>
      </c>
      <c r="M260" s="339"/>
      <c r="N260" s="315"/>
    </row>
    <row r="261" spans="1:14" s="9" customFormat="1" ht="11.25" customHeight="1" x14ac:dyDescent="0.2">
      <c r="A261" s="10">
        <v>60172000</v>
      </c>
      <c r="B261" s="10" t="s">
        <v>169</v>
      </c>
      <c r="C261" s="11">
        <v>0</v>
      </c>
      <c r="D261" s="11">
        <v>1061329.8709999998</v>
      </c>
      <c r="E261" s="11">
        <v>1970.4739999999997</v>
      </c>
      <c r="F261" s="13">
        <f>SUMIF('OD 11-24'!A:A,A261,'OD 11-24'!D:D)</f>
        <v>1094910.594</v>
      </c>
      <c r="G261" s="13">
        <f>SUMIF('OD 11-24'!A:A,A261,'OD 11-24'!E:E)</f>
        <v>962543.549</v>
      </c>
      <c r="H261" s="14">
        <f t="shared" si="6"/>
        <v>1191726.4419999998</v>
      </c>
      <c r="I261" s="14">
        <f t="shared" si="7"/>
        <v>1191726.4419999998</v>
      </c>
      <c r="J261" s="8" t="s">
        <v>138</v>
      </c>
      <c r="K261" s="8" t="s">
        <v>509</v>
      </c>
      <c r="M261" s="339"/>
      <c r="N261" s="315"/>
    </row>
    <row r="262" spans="1:14" s="9" customFormat="1" ht="11.25" customHeight="1" x14ac:dyDescent="0.2">
      <c r="A262" s="10">
        <v>60173000</v>
      </c>
      <c r="B262" s="10" t="s">
        <v>170</v>
      </c>
      <c r="C262" s="11">
        <v>0</v>
      </c>
      <c r="D262" s="11">
        <v>95941.986999999994</v>
      </c>
      <c r="E262" s="11">
        <v>16484.29</v>
      </c>
      <c r="F262" s="13">
        <f>SUMIF('OD 11-24'!A:A,A262,'OD 11-24'!D:D)</f>
        <v>78495.595000000001</v>
      </c>
      <c r="G262" s="13">
        <f>SUMIF('OD 11-24'!A:A,A262,'OD 11-24'!E:E)</f>
        <v>73542.532000000007</v>
      </c>
      <c r="H262" s="14">
        <f t="shared" si="6"/>
        <v>84410.75999999998</v>
      </c>
      <c r="I262" s="14">
        <f t="shared" si="7"/>
        <v>84410.75999999998</v>
      </c>
      <c r="J262" s="8" t="s">
        <v>138</v>
      </c>
      <c r="K262" s="8" t="s">
        <v>509</v>
      </c>
      <c r="M262" s="339"/>
      <c r="N262" s="315"/>
    </row>
    <row r="263" spans="1:14" s="9" customFormat="1" ht="11.25" customHeight="1" x14ac:dyDescent="0.2">
      <c r="A263" s="10">
        <v>60191000</v>
      </c>
      <c r="B263" s="10" t="s">
        <v>158</v>
      </c>
      <c r="C263" s="11">
        <v>0</v>
      </c>
      <c r="D263" s="11">
        <v>1963604.2230400003</v>
      </c>
      <c r="E263" s="11">
        <v>40627.396000000001</v>
      </c>
      <c r="F263" s="13">
        <f>SUMIF('OD 11-24'!A:A,A263,'OD 11-24'!D:D)</f>
        <v>14226.008</v>
      </c>
      <c r="G263" s="13">
        <f>SUMIF('OD 11-24'!A:A,A263,'OD 11-24'!E:E)</f>
        <v>0</v>
      </c>
      <c r="H263" s="14">
        <f t="shared" si="6"/>
        <v>1937202.8350400003</v>
      </c>
      <c r="I263" s="14">
        <f t="shared" si="7"/>
        <v>1937202.8350400003</v>
      </c>
      <c r="J263" s="8" t="s">
        <v>138</v>
      </c>
      <c r="K263" s="8" t="s">
        <v>509</v>
      </c>
      <c r="M263" s="339"/>
      <c r="N263" s="315"/>
    </row>
    <row r="264" spans="1:14" s="9" customFormat="1" ht="11.25" customHeight="1" x14ac:dyDescent="0.2">
      <c r="A264" s="10">
        <v>60215000</v>
      </c>
      <c r="B264" s="10" t="s">
        <v>370</v>
      </c>
      <c r="C264" s="11">
        <v>0</v>
      </c>
      <c r="D264" s="11">
        <v>0</v>
      </c>
      <c r="E264" s="11">
        <v>0</v>
      </c>
      <c r="F264" s="13">
        <f>SUMIF('OD 11-24'!A:A,A264,'OD 11-24'!D:D)</f>
        <v>0</v>
      </c>
      <c r="G264" s="13">
        <f>SUMIF('OD 11-24'!A:A,A264,'OD 11-24'!E:E)</f>
        <v>0</v>
      </c>
      <c r="H264" s="14">
        <f t="shared" si="6"/>
        <v>0</v>
      </c>
      <c r="I264" s="14">
        <f t="shared" si="7"/>
        <v>0</v>
      </c>
      <c r="J264" s="8" t="s">
        <v>138</v>
      </c>
      <c r="K264" s="8" t="s">
        <v>509</v>
      </c>
      <c r="M264" s="339"/>
      <c r="N264" s="315"/>
    </row>
    <row r="265" spans="1:14" s="9" customFormat="1" ht="11.25" customHeight="1" x14ac:dyDescent="0.2">
      <c r="A265" s="10">
        <v>60216000</v>
      </c>
      <c r="B265" s="10" t="s">
        <v>371</v>
      </c>
      <c r="C265" s="11">
        <v>0</v>
      </c>
      <c r="D265" s="11">
        <v>293619.22151249996</v>
      </c>
      <c r="E265" s="11">
        <v>0</v>
      </c>
      <c r="F265" s="13">
        <f>SUMIF('OD 11-24'!A:A,A265,'OD 11-24'!D:D)</f>
        <v>0</v>
      </c>
      <c r="G265" s="13">
        <f>SUMIF('OD 11-24'!A:A,A265,'OD 11-24'!E:E)</f>
        <v>0</v>
      </c>
      <c r="H265" s="14">
        <f t="shared" ref="H265:H329" si="8">+D265+F265-E265-G265</f>
        <v>293619.22151249996</v>
      </c>
      <c r="I265" s="14">
        <f t="shared" ref="I265:I329" si="9">+H265+C265</f>
        <v>293619.22151249996</v>
      </c>
      <c r="J265" s="8" t="s">
        <v>138</v>
      </c>
      <c r="K265" s="8" t="s">
        <v>509</v>
      </c>
      <c r="M265" s="339"/>
      <c r="N265" s="315"/>
    </row>
    <row r="266" spans="1:14" s="9" customFormat="1" ht="11.25" customHeight="1" x14ac:dyDescent="0.2">
      <c r="A266" s="10">
        <v>60260200</v>
      </c>
      <c r="B266" s="10" t="s">
        <v>372</v>
      </c>
      <c r="C266" s="11">
        <v>0</v>
      </c>
      <c r="D266" s="11">
        <v>11173.05</v>
      </c>
      <c r="E266" s="11">
        <v>0</v>
      </c>
      <c r="F266" s="13">
        <f>SUMIF('OD 11-24'!A:A,A266,'OD 11-24'!D:D)</f>
        <v>4836.8</v>
      </c>
      <c r="G266" s="13">
        <f>SUMIF('OD 11-24'!A:A,A266,'OD 11-24'!E:E)</f>
        <v>4836.8</v>
      </c>
      <c r="H266" s="14">
        <f t="shared" si="8"/>
        <v>11173.05</v>
      </c>
      <c r="I266" s="14">
        <f t="shared" si="9"/>
        <v>11173.05</v>
      </c>
      <c r="J266" s="8" t="s">
        <v>138</v>
      </c>
      <c r="K266" s="8" t="s">
        <v>509</v>
      </c>
      <c r="M266" s="339"/>
      <c r="N266" s="315"/>
    </row>
    <row r="267" spans="1:14" s="9" customFormat="1" ht="11.25" customHeight="1" x14ac:dyDescent="0.2">
      <c r="A267" s="10">
        <v>60260300</v>
      </c>
      <c r="B267" s="10" t="s">
        <v>160</v>
      </c>
      <c r="C267" s="11">
        <v>0</v>
      </c>
      <c r="D267" s="11">
        <v>139920.65100000001</v>
      </c>
      <c r="E267" s="11">
        <v>1624.701</v>
      </c>
      <c r="F267" s="13">
        <f>SUMIF('OD 11-24'!A:A,A267,'OD 11-24'!D:D)</f>
        <v>0</v>
      </c>
      <c r="G267" s="13">
        <f>SUMIF('OD 11-24'!A:A,A267,'OD 11-24'!E:E)</f>
        <v>0</v>
      </c>
      <c r="H267" s="14">
        <f t="shared" si="8"/>
        <v>138295.95000000001</v>
      </c>
      <c r="I267" s="14">
        <f t="shared" si="9"/>
        <v>138295.95000000001</v>
      </c>
      <c r="J267" s="8" t="s">
        <v>138</v>
      </c>
      <c r="K267" s="8" t="s">
        <v>509</v>
      </c>
      <c r="M267" s="339"/>
      <c r="N267" s="315"/>
    </row>
    <row r="268" spans="1:14" s="9" customFormat="1" ht="11.25" customHeight="1" x14ac:dyDescent="0.2">
      <c r="A268" s="10">
        <v>60260400</v>
      </c>
      <c r="B268" s="10" t="s">
        <v>161</v>
      </c>
      <c r="C268" s="11">
        <v>0</v>
      </c>
      <c r="D268" s="11">
        <v>88563.994999999995</v>
      </c>
      <c r="E268" s="11">
        <v>0</v>
      </c>
      <c r="F268" s="13">
        <f>SUMIF('OD 11-24'!A:A,A268,'OD 11-24'!D:D)</f>
        <v>32621.4</v>
      </c>
      <c r="G268" s="13">
        <f>SUMIF('OD 11-24'!A:A,A268,'OD 11-24'!E:E)</f>
        <v>27627.8</v>
      </c>
      <c r="H268" s="14">
        <f t="shared" si="8"/>
        <v>93557.594999999987</v>
      </c>
      <c r="I268" s="14">
        <f t="shared" si="9"/>
        <v>93557.594999999987</v>
      </c>
      <c r="J268" s="8" t="s">
        <v>138</v>
      </c>
      <c r="K268" s="8" t="s">
        <v>509</v>
      </c>
      <c r="M268" s="339"/>
      <c r="N268" s="315"/>
    </row>
    <row r="269" spans="1:14" s="9" customFormat="1" ht="11.25" customHeight="1" x14ac:dyDescent="0.2">
      <c r="A269" s="10">
        <v>60260500</v>
      </c>
      <c r="B269" s="10" t="s">
        <v>162</v>
      </c>
      <c r="C269" s="11">
        <v>0</v>
      </c>
      <c r="D269" s="11">
        <v>66081.729000000007</v>
      </c>
      <c r="E269" s="11">
        <v>0</v>
      </c>
      <c r="F269" s="13">
        <f>SUMIF('OD 11-24'!A:A,A269,'OD 11-24'!D:D)</f>
        <v>0</v>
      </c>
      <c r="G269" s="13">
        <f>SUMIF('OD 11-24'!A:A,A269,'OD 11-24'!E:E)</f>
        <v>0</v>
      </c>
      <c r="H269" s="14">
        <f t="shared" si="8"/>
        <v>66081.729000000007</v>
      </c>
      <c r="I269" s="14">
        <f t="shared" si="9"/>
        <v>66081.729000000007</v>
      </c>
      <c r="J269" s="8" t="s">
        <v>138</v>
      </c>
      <c r="K269" s="8" t="s">
        <v>509</v>
      </c>
      <c r="M269" s="339"/>
      <c r="N269" s="315"/>
    </row>
    <row r="270" spans="1:14" s="9" customFormat="1" ht="11.25" customHeight="1" x14ac:dyDescent="0.2">
      <c r="A270" s="10">
        <v>60260600</v>
      </c>
      <c r="B270" s="10" t="s">
        <v>7401</v>
      </c>
      <c r="C270" s="11">
        <v>0</v>
      </c>
      <c r="D270" s="11">
        <v>2184.85</v>
      </c>
      <c r="E270" s="11">
        <v>0</v>
      </c>
      <c r="F270" s="13">
        <f>SUMIF('OD 11-24'!A:A,A270,'OD 11-24'!D:D)</f>
        <v>393.9</v>
      </c>
      <c r="G270" s="13">
        <f>SUMIF('OD 11-24'!A:A,A270,'OD 11-24'!E:E)</f>
        <v>393.9</v>
      </c>
      <c r="H270" s="14">
        <f t="shared" si="8"/>
        <v>2184.85</v>
      </c>
      <c r="I270" s="14">
        <f t="shared" si="9"/>
        <v>2184.85</v>
      </c>
      <c r="J270" s="8" t="s">
        <v>138</v>
      </c>
      <c r="K270" s="8" t="s">
        <v>509</v>
      </c>
      <c r="M270" s="339"/>
      <c r="N270" s="315"/>
    </row>
    <row r="271" spans="1:14" s="9" customFormat="1" ht="11.25" customHeight="1" x14ac:dyDescent="0.2">
      <c r="A271" s="10">
        <v>60260700</v>
      </c>
      <c r="B271" s="10" t="s">
        <v>163</v>
      </c>
      <c r="C271" s="11">
        <v>0</v>
      </c>
      <c r="D271" s="11">
        <v>68710.3</v>
      </c>
      <c r="E271" s="11">
        <v>3368.35</v>
      </c>
      <c r="F271" s="13">
        <f>SUMIF('OD 11-24'!A:A,A271,'OD 11-24'!D:D)</f>
        <v>5845.7</v>
      </c>
      <c r="G271" s="13">
        <f>SUMIF('OD 11-24'!A:A,A271,'OD 11-24'!E:E)</f>
        <v>5845.7</v>
      </c>
      <c r="H271" s="14">
        <f t="shared" si="8"/>
        <v>65341.95</v>
      </c>
      <c r="I271" s="14">
        <f t="shared" si="9"/>
        <v>65341.95</v>
      </c>
      <c r="J271" s="8" t="s">
        <v>138</v>
      </c>
      <c r="K271" s="8" t="s">
        <v>509</v>
      </c>
      <c r="M271" s="339"/>
      <c r="N271" s="315"/>
    </row>
    <row r="272" spans="1:14" s="9" customFormat="1" ht="11.25" customHeight="1" x14ac:dyDescent="0.2">
      <c r="A272" s="10">
        <v>60262000</v>
      </c>
      <c r="B272" s="10" t="s">
        <v>164</v>
      </c>
      <c r="C272" s="11">
        <v>0</v>
      </c>
      <c r="D272" s="11">
        <v>207205.13355249999</v>
      </c>
      <c r="E272" s="11">
        <v>0</v>
      </c>
      <c r="F272" s="13">
        <f>SUMIF('OD 11-24'!A:A,A272,'OD 11-24'!D:D)</f>
        <v>36925.928999999996</v>
      </c>
      <c r="G272" s="13">
        <f>SUMIF('OD 11-24'!A:A,A272,'OD 11-24'!E:E)</f>
        <v>31175.929</v>
      </c>
      <c r="H272" s="14">
        <f t="shared" si="8"/>
        <v>212955.13355249999</v>
      </c>
      <c r="I272" s="14">
        <f t="shared" si="9"/>
        <v>212955.13355249999</v>
      </c>
      <c r="J272" s="8" t="s">
        <v>138</v>
      </c>
      <c r="K272" s="8" t="s">
        <v>509</v>
      </c>
      <c r="M272" s="339"/>
      <c r="N272" s="315"/>
    </row>
    <row r="273" spans="1:14" s="9" customFormat="1" ht="11.25" customHeight="1" x14ac:dyDescent="0.2">
      <c r="A273" s="10">
        <v>60263000</v>
      </c>
      <c r="B273" s="10" t="s">
        <v>165</v>
      </c>
      <c r="C273" s="11">
        <v>0</v>
      </c>
      <c r="D273" s="11">
        <v>125194.310822</v>
      </c>
      <c r="E273" s="11">
        <v>43242.447999999997</v>
      </c>
      <c r="F273" s="13">
        <f>SUMIF('OD 11-24'!A:A,A273,'OD 11-24'!D:D)</f>
        <v>16099.643</v>
      </c>
      <c r="G273" s="13">
        <f>SUMIF('OD 11-24'!A:A,A273,'OD 11-24'!E:E)</f>
        <v>16099.643</v>
      </c>
      <c r="H273" s="14">
        <f t="shared" si="8"/>
        <v>81951.86282200001</v>
      </c>
      <c r="I273" s="14">
        <f t="shared" si="9"/>
        <v>81951.86282200001</v>
      </c>
      <c r="J273" s="8" t="s">
        <v>138</v>
      </c>
      <c r="K273" s="8" t="s">
        <v>509</v>
      </c>
      <c r="M273" s="339"/>
      <c r="N273" s="315"/>
    </row>
    <row r="274" spans="1:14" s="9" customFormat="1" ht="11.25" customHeight="1" x14ac:dyDescent="0.2">
      <c r="A274" s="10">
        <v>60310000</v>
      </c>
      <c r="B274" s="10" t="s">
        <v>265</v>
      </c>
      <c r="C274" s="11">
        <v>0</v>
      </c>
      <c r="D274" s="11">
        <v>10656855.097999999</v>
      </c>
      <c r="E274" s="11">
        <v>1136780.078</v>
      </c>
      <c r="F274" s="13">
        <f>SUMIF('OD 11-24'!A:A,A274,'OD 11-24'!D:D)</f>
        <v>133859464.10420001</v>
      </c>
      <c r="G274" s="13">
        <f>SUMIF('OD 11-24'!A:A,A274,'OD 11-24'!E:E)</f>
        <v>144952467.7802</v>
      </c>
      <c r="H274" s="14">
        <f t="shared" si="8"/>
        <v>-1572928.6560000181</v>
      </c>
      <c r="I274" s="14">
        <f t="shared" si="9"/>
        <v>-1572928.6560000181</v>
      </c>
      <c r="J274" s="8" t="s">
        <v>138</v>
      </c>
      <c r="K274" s="8" t="s">
        <v>509</v>
      </c>
      <c r="M274" s="339"/>
      <c r="N274" s="315"/>
    </row>
    <row r="275" spans="1:14" s="9" customFormat="1" ht="11.25" customHeight="1" x14ac:dyDescent="0.2">
      <c r="A275" s="10">
        <v>60330000</v>
      </c>
      <c r="B275" s="10" t="s">
        <v>266</v>
      </c>
      <c r="C275" s="11">
        <v>0</v>
      </c>
      <c r="D275" s="11">
        <v>662156.429</v>
      </c>
      <c r="E275" s="11">
        <v>0</v>
      </c>
      <c r="F275" s="13">
        <f>SUMIF('OD 11-24'!A:A,A275,'OD 11-24'!D:D)</f>
        <v>8614830.8774999995</v>
      </c>
      <c r="G275" s="13">
        <f>SUMIF('OD 11-24'!A:A,A275,'OD 11-24'!E:E)</f>
        <v>9358523.2255000006</v>
      </c>
      <c r="H275" s="14">
        <f t="shared" si="8"/>
        <v>-81535.919000001624</v>
      </c>
      <c r="I275" s="14">
        <f t="shared" si="9"/>
        <v>-81535.919000001624</v>
      </c>
      <c r="J275" s="8" t="s">
        <v>157</v>
      </c>
      <c r="K275" s="8" t="s">
        <v>512</v>
      </c>
      <c r="M275" s="339"/>
      <c r="N275" s="315"/>
    </row>
    <row r="276" spans="1:14" s="9" customFormat="1" ht="11.25" customHeight="1" x14ac:dyDescent="0.2">
      <c r="A276" s="10">
        <v>60401000</v>
      </c>
      <c r="B276" s="10" t="s">
        <v>166</v>
      </c>
      <c r="C276" s="11">
        <v>0</v>
      </c>
      <c r="D276" s="11">
        <v>0</v>
      </c>
      <c r="E276" s="11">
        <v>0</v>
      </c>
      <c r="F276" s="13">
        <f>SUMIF('OD 11-24'!A:A,A276,'OD 11-24'!D:D)</f>
        <v>921959.00100000005</v>
      </c>
      <c r="G276" s="13">
        <f>SUMIF('OD 11-24'!A:A,A276,'OD 11-24'!E:E)</f>
        <v>772986.00100000005</v>
      </c>
      <c r="H276" s="14">
        <f t="shared" si="8"/>
        <v>148973</v>
      </c>
      <c r="I276" s="14">
        <f t="shared" si="9"/>
        <v>148973</v>
      </c>
      <c r="J276" s="8" t="s">
        <v>157</v>
      </c>
      <c r="K276" s="8" t="s">
        <v>512</v>
      </c>
      <c r="M276" s="339"/>
      <c r="N276" s="315"/>
    </row>
    <row r="277" spans="1:14" s="9" customFormat="1" ht="11.25" customHeight="1" x14ac:dyDescent="0.2">
      <c r="A277" s="10">
        <v>60502000</v>
      </c>
      <c r="B277" s="10" t="s">
        <v>167</v>
      </c>
      <c r="C277" s="11">
        <v>0</v>
      </c>
      <c r="D277" s="11">
        <v>796294.00094399997</v>
      </c>
      <c r="E277" s="11">
        <v>40764.670050000001</v>
      </c>
      <c r="F277" s="13">
        <f>SUMIF('OD 11-24'!A:A,A277,'OD 11-24'!D:D)</f>
        <v>97905.712</v>
      </c>
      <c r="G277" s="13">
        <f>SUMIF('OD 11-24'!A:A,A277,'OD 11-24'!E:E)</f>
        <v>85358.053</v>
      </c>
      <c r="H277" s="14">
        <f t="shared" si="8"/>
        <v>768076.98989400011</v>
      </c>
      <c r="I277" s="14">
        <f t="shared" si="9"/>
        <v>768076.98989400011</v>
      </c>
      <c r="J277" s="8" t="s">
        <v>157</v>
      </c>
      <c r="K277" s="8" t="s">
        <v>512</v>
      </c>
      <c r="M277" s="339"/>
      <c r="N277" s="315"/>
    </row>
    <row r="278" spans="1:14" s="9" customFormat="1" ht="11.25" customHeight="1" x14ac:dyDescent="0.2">
      <c r="A278" s="10">
        <v>60504000</v>
      </c>
      <c r="B278" s="10" t="s">
        <v>168</v>
      </c>
      <c r="C278" s="11">
        <v>0</v>
      </c>
      <c r="D278" s="11">
        <v>12632.02</v>
      </c>
      <c r="E278" s="11">
        <v>0</v>
      </c>
      <c r="F278" s="13">
        <f>SUMIF('OD 11-24'!A:A,A278,'OD 11-24'!D:D)</f>
        <v>0</v>
      </c>
      <c r="G278" s="13">
        <f>SUMIF('OD 11-24'!A:A,A278,'OD 11-24'!E:E)</f>
        <v>0</v>
      </c>
      <c r="H278" s="14">
        <f t="shared" si="8"/>
        <v>12632.02</v>
      </c>
      <c r="I278" s="14">
        <f t="shared" si="9"/>
        <v>12632.02</v>
      </c>
      <c r="J278" s="8" t="s">
        <v>157</v>
      </c>
      <c r="K278" s="8" t="s">
        <v>512</v>
      </c>
      <c r="M278" s="339"/>
      <c r="N278" s="315"/>
    </row>
    <row r="279" spans="1:14" s="9" customFormat="1" ht="11.25" customHeight="1" x14ac:dyDescent="0.2">
      <c r="A279" s="10">
        <v>60614000</v>
      </c>
      <c r="B279" s="10" t="s">
        <v>171</v>
      </c>
      <c r="C279" s="11">
        <v>0</v>
      </c>
      <c r="D279" s="11">
        <v>234898.45</v>
      </c>
      <c r="E279" s="11">
        <v>4625</v>
      </c>
      <c r="F279" s="13">
        <f>SUMIF('OD 11-24'!A:A,A279,'OD 11-24'!D:D)</f>
        <v>7104.1120000000001</v>
      </c>
      <c r="G279" s="13">
        <f>SUMIF('OD 11-24'!A:A,A279,'OD 11-24'!E:E)</f>
        <v>7104.1120000000001</v>
      </c>
      <c r="H279" s="14">
        <f t="shared" si="8"/>
        <v>230273.45</v>
      </c>
      <c r="I279" s="14">
        <f t="shared" si="9"/>
        <v>230273.45</v>
      </c>
      <c r="J279" s="8" t="s">
        <v>157</v>
      </c>
      <c r="K279" s="8" t="s">
        <v>512</v>
      </c>
      <c r="M279" s="339"/>
      <c r="N279" s="315"/>
    </row>
    <row r="280" spans="1:14" s="9" customFormat="1" ht="11.25" customHeight="1" x14ac:dyDescent="0.2">
      <c r="A280" s="10">
        <v>60620000</v>
      </c>
      <c r="B280" s="10" t="s">
        <v>172</v>
      </c>
      <c r="C280" s="11">
        <v>0</v>
      </c>
      <c r="D280" s="11">
        <v>42092.342000000004</v>
      </c>
      <c r="E280" s="11">
        <v>457.06299999999999</v>
      </c>
      <c r="F280" s="13">
        <f>SUMIF('OD 11-24'!A:A,A280,'OD 11-24'!D:D)</f>
        <v>10648.688</v>
      </c>
      <c r="G280" s="13">
        <f>SUMIF('OD 11-24'!A:A,A280,'OD 11-24'!E:E)</f>
        <v>5435.0150000000003</v>
      </c>
      <c r="H280" s="14">
        <f t="shared" si="8"/>
        <v>46848.952000000005</v>
      </c>
      <c r="I280" s="14">
        <f t="shared" si="9"/>
        <v>46848.952000000005</v>
      </c>
      <c r="J280" s="8" t="s">
        <v>157</v>
      </c>
      <c r="K280" s="8" t="s">
        <v>512</v>
      </c>
      <c r="M280" s="339"/>
      <c r="N280" s="315"/>
    </row>
    <row r="281" spans="1:14" s="9" customFormat="1" ht="11.25" customHeight="1" x14ac:dyDescent="0.2">
      <c r="A281" s="10">
        <v>60650000</v>
      </c>
      <c r="B281" s="10" t="s">
        <v>373</v>
      </c>
      <c r="C281" s="11">
        <v>0</v>
      </c>
      <c r="D281" s="11">
        <v>24300</v>
      </c>
      <c r="E281" s="11">
        <v>0</v>
      </c>
      <c r="F281" s="13">
        <f>SUMIF('OD 11-24'!A:A,A281,'OD 11-24'!D:D)</f>
        <v>4050</v>
      </c>
      <c r="G281" s="13">
        <f>SUMIF('OD 11-24'!A:A,A281,'OD 11-24'!E:E)</f>
        <v>4050</v>
      </c>
      <c r="H281" s="14">
        <f t="shared" si="8"/>
        <v>24300</v>
      </c>
      <c r="I281" s="14">
        <f t="shared" si="9"/>
        <v>24300</v>
      </c>
      <c r="J281" s="8" t="s">
        <v>138</v>
      </c>
      <c r="K281" s="8" t="s">
        <v>509</v>
      </c>
      <c r="M281" s="339"/>
      <c r="N281" s="315"/>
    </row>
    <row r="282" spans="1:14" s="9" customFormat="1" ht="11.25" customHeight="1" x14ac:dyDescent="0.2">
      <c r="A282" s="10">
        <v>60660000</v>
      </c>
      <c r="B282" s="10" t="s">
        <v>173</v>
      </c>
      <c r="C282" s="11">
        <v>0</v>
      </c>
      <c r="D282" s="11">
        <v>22158.942999999999</v>
      </c>
      <c r="E282" s="11">
        <v>0</v>
      </c>
      <c r="F282" s="13">
        <f>SUMIF('OD 11-24'!A:A,A282,'OD 11-24'!D:D)</f>
        <v>982</v>
      </c>
      <c r="G282" s="13">
        <f>SUMIF('OD 11-24'!A:A,A282,'OD 11-24'!E:E)</f>
        <v>736.5</v>
      </c>
      <c r="H282" s="14">
        <f t="shared" si="8"/>
        <v>22404.442999999999</v>
      </c>
      <c r="I282" s="14">
        <f t="shared" si="9"/>
        <v>22404.442999999999</v>
      </c>
      <c r="J282" s="8" t="s">
        <v>157</v>
      </c>
      <c r="K282" s="8" t="s">
        <v>512</v>
      </c>
      <c r="M282" s="339"/>
      <c r="N282" s="315"/>
    </row>
    <row r="283" spans="1:14" s="9" customFormat="1" ht="11.25" customHeight="1" x14ac:dyDescent="0.2">
      <c r="A283" s="10">
        <v>60670000</v>
      </c>
      <c r="B283" s="10" t="s">
        <v>174</v>
      </c>
      <c r="C283" s="11">
        <v>0</v>
      </c>
      <c r="D283" s="11">
        <v>16206.320000000002</v>
      </c>
      <c r="E283" s="11">
        <v>0</v>
      </c>
      <c r="F283" s="13">
        <f>SUMIF('OD 11-24'!A:A,A283,'OD 11-24'!D:D)</f>
        <v>4891.5349999999999</v>
      </c>
      <c r="G283" s="13">
        <f>SUMIF('OD 11-24'!A:A,A283,'OD 11-24'!E:E)</f>
        <v>4661.5349999999999</v>
      </c>
      <c r="H283" s="14">
        <f t="shared" si="8"/>
        <v>16436.320000000003</v>
      </c>
      <c r="I283" s="14">
        <f t="shared" si="9"/>
        <v>16436.320000000003</v>
      </c>
      <c r="J283" s="8" t="s">
        <v>157</v>
      </c>
      <c r="K283" s="8" t="s">
        <v>512</v>
      </c>
      <c r="M283" s="339"/>
      <c r="N283" s="315"/>
    </row>
    <row r="284" spans="1:14" s="9" customFormat="1" ht="11.25" customHeight="1" x14ac:dyDescent="0.2">
      <c r="A284" s="10">
        <v>60671000</v>
      </c>
      <c r="B284" s="10" t="s">
        <v>374</v>
      </c>
      <c r="C284" s="11">
        <v>0</v>
      </c>
      <c r="D284" s="11">
        <v>137534.98599999998</v>
      </c>
      <c r="E284" s="11">
        <v>1354.9839999999999</v>
      </c>
      <c r="F284" s="13">
        <f>SUMIF('OD 11-24'!A:A,A284,'OD 11-24'!D:D)</f>
        <v>13634.6</v>
      </c>
      <c r="G284" s="13">
        <f>SUMIF('OD 11-24'!A:A,A284,'OD 11-24'!E:E)</f>
        <v>13634.6</v>
      </c>
      <c r="H284" s="14">
        <f t="shared" si="8"/>
        <v>136180.00199999998</v>
      </c>
      <c r="I284" s="14">
        <f t="shared" si="9"/>
        <v>136180.00199999998</v>
      </c>
      <c r="J284" s="8" t="s">
        <v>157</v>
      </c>
      <c r="K284" s="8" t="s">
        <v>512</v>
      </c>
      <c r="M284" s="339"/>
      <c r="N284" s="315"/>
    </row>
    <row r="285" spans="1:14" s="9" customFormat="1" ht="11.25" customHeight="1" x14ac:dyDescent="0.2">
      <c r="A285" s="10">
        <v>60672000</v>
      </c>
      <c r="B285" s="10" t="s">
        <v>7569</v>
      </c>
      <c r="C285" s="11">
        <v>0</v>
      </c>
      <c r="D285" s="11">
        <v>5092.6499999999996</v>
      </c>
      <c r="E285" s="11">
        <v>0</v>
      </c>
      <c r="F285" s="13">
        <f>SUMIF('OD 11-24'!A:A,A285,'OD 11-24'!D:D)</f>
        <v>0</v>
      </c>
      <c r="G285" s="13">
        <f>SUMIF('OD 11-24'!A:A,A285,'OD 11-24'!E:E)</f>
        <v>0</v>
      </c>
      <c r="H285" s="14">
        <f t="shared" si="8"/>
        <v>5092.6499999999996</v>
      </c>
      <c r="I285" s="14">
        <f t="shared" si="9"/>
        <v>5092.6499999999996</v>
      </c>
      <c r="J285" s="8" t="s">
        <v>157</v>
      </c>
      <c r="K285" s="8" t="s">
        <v>512</v>
      </c>
      <c r="M285" s="339"/>
      <c r="N285" s="315"/>
    </row>
    <row r="286" spans="1:14" s="9" customFormat="1" ht="11.25" customHeight="1" x14ac:dyDescent="0.2">
      <c r="A286" s="10">
        <v>61400000</v>
      </c>
      <c r="B286" s="10" t="s">
        <v>175</v>
      </c>
      <c r="C286" s="11">
        <v>0</v>
      </c>
      <c r="D286" s="11">
        <v>55445.165000000001</v>
      </c>
      <c r="E286" s="11">
        <v>700</v>
      </c>
      <c r="F286" s="13">
        <f>SUMIF('OD 11-24'!A:A,A286,'OD 11-24'!D:D)</f>
        <v>0</v>
      </c>
      <c r="G286" s="13">
        <f>SUMIF('OD 11-24'!A:A,A286,'OD 11-24'!E:E)</f>
        <v>0</v>
      </c>
      <c r="H286" s="14">
        <f t="shared" si="8"/>
        <v>54745.165000000001</v>
      </c>
      <c r="I286" s="14">
        <f t="shared" si="9"/>
        <v>54745.165000000001</v>
      </c>
      <c r="J286" s="8" t="s">
        <v>157</v>
      </c>
      <c r="K286" s="8" t="s">
        <v>512</v>
      </c>
      <c r="M286" s="339"/>
      <c r="N286" s="315"/>
    </row>
    <row r="287" spans="1:14" s="9" customFormat="1" ht="11.25" customHeight="1" x14ac:dyDescent="0.2">
      <c r="A287" s="10">
        <v>61500000</v>
      </c>
      <c r="B287" s="10" t="s">
        <v>176</v>
      </c>
      <c r="C287" s="11">
        <v>0</v>
      </c>
      <c r="D287" s="11">
        <v>600933.50200000009</v>
      </c>
      <c r="E287" s="11">
        <v>119234.21699999999</v>
      </c>
      <c r="F287" s="13">
        <f>SUMIF('OD 11-24'!A:A,A287,'OD 11-24'!D:D)</f>
        <v>101145.573</v>
      </c>
      <c r="G287" s="13">
        <f>SUMIF('OD 11-24'!A:A,A287,'OD 11-24'!E:E)</f>
        <v>97428.251000000004</v>
      </c>
      <c r="H287" s="14">
        <f t="shared" si="8"/>
        <v>485416.60700000013</v>
      </c>
      <c r="I287" s="14">
        <f t="shared" si="9"/>
        <v>485416.60700000013</v>
      </c>
      <c r="J287" s="8" t="s">
        <v>157</v>
      </c>
      <c r="K287" s="8" t="s">
        <v>512</v>
      </c>
      <c r="M287" s="339"/>
      <c r="N287" s="315"/>
    </row>
    <row r="288" spans="1:14" s="9" customFormat="1" ht="11.25" customHeight="1" x14ac:dyDescent="0.2">
      <c r="A288" s="10">
        <v>61501000</v>
      </c>
      <c r="B288" s="10" t="s">
        <v>177</v>
      </c>
      <c r="C288" s="11">
        <v>0</v>
      </c>
      <c r="D288" s="11">
        <v>216960.13199999998</v>
      </c>
      <c r="E288" s="11">
        <v>4123.9859999999999</v>
      </c>
      <c r="F288" s="13">
        <f>SUMIF('OD 11-24'!A:A,A288,'OD 11-24'!D:D)</f>
        <v>41359.741999999998</v>
      </c>
      <c r="G288" s="13">
        <f>SUMIF('OD 11-24'!A:A,A288,'OD 11-24'!E:E)</f>
        <v>36321.017</v>
      </c>
      <c r="H288" s="14">
        <f t="shared" si="8"/>
        <v>217874.87099999998</v>
      </c>
      <c r="I288" s="14">
        <f t="shared" si="9"/>
        <v>217874.87099999998</v>
      </c>
      <c r="J288" s="8" t="s">
        <v>157</v>
      </c>
      <c r="K288" s="8" t="s">
        <v>512</v>
      </c>
      <c r="M288" s="339"/>
      <c r="N288" s="315"/>
    </row>
    <row r="289" spans="1:14" s="9" customFormat="1" ht="11.25" customHeight="1" x14ac:dyDescent="0.2">
      <c r="A289" s="10">
        <v>61600000</v>
      </c>
      <c r="B289" s="10" t="s">
        <v>397</v>
      </c>
      <c r="C289" s="11">
        <v>0</v>
      </c>
      <c r="D289" s="11">
        <v>48541.588000000003</v>
      </c>
      <c r="E289" s="11">
        <v>0</v>
      </c>
      <c r="F289" s="13">
        <f>SUMIF('OD 11-24'!A:A,A289,'OD 11-24'!D:D)</f>
        <v>72664.665999999997</v>
      </c>
      <c r="G289" s="13">
        <f>SUMIF('OD 11-24'!A:A,A289,'OD 11-24'!E:E)</f>
        <v>73892.266000000003</v>
      </c>
      <c r="H289" s="14">
        <f t="shared" si="8"/>
        <v>47313.987999999998</v>
      </c>
      <c r="I289" s="14">
        <f t="shared" si="9"/>
        <v>47313.987999999998</v>
      </c>
      <c r="J289" s="8" t="s">
        <v>157</v>
      </c>
      <c r="K289" s="8" t="s">
        <v>512</v>
      </c>
      <c r="M289" s="339"/>
      <c r="N289" s="315"/>
    </row>
    <row r="290" spans="1:14" s="9" customFormat="1" ht="11.25" customHeight="1" x14ac:dyDescent="0.2">
      <c r="A290" s="10">
        <v>61603000</v>
      </c>
      <c r="B290" s="10" t="s">
        <v>178</v>
      </c>
      <c r="C290" s="11">
        <v>0</v>
      </c>
      <c r="D290" s="11">
        <v>29988.795000000002</v>
      </c>
      <c r="E290" s="11">
        <v>28310.018</v>
      </c>
      <c r="F290" s="13">
        <f>SUMIF('OD 11-24'!A:A,A290,'OD 11-24'!D:D)</f>
        <v>211826.20800000001</v>
      </c>
      <c r="G290" s="13">
        <f>SUMIF('OD 11-24'!A:A,A290,'OD 11-24'!E:E)</f>
        <v>175586.48800000001</v>
      </c>
      <c r="H290" s="14">
        <f t="shared" si="8"/>
        <v>37918.497000000003</v>
      </c>
      <c r="I290" s="14">
        <f t="shared" si="9"/>
        <v>37918.497000000003</v>
      </c>
      <c r="J290" s="8" t="s">
        <v>157</v>
      </c>
      <c r="K290" s="8" t="s">
        <v>512</v>
      </c>
      <c r="M290" s="339"/>
      <c r="N290" s="315"/>
    </row>
    <row r="291" spans="1:14" s="9" customFormat="1" ht="11.25" customHeight="1" x14ac:dyDescent="0.2">
      <c r="A291" s="10">
        <v>61607000</v>
      </c>
      <c r="B291" s="10" t="s">
        <v>179</v>
      </c>
      <c r="C291" s="11">
        <v>0</v>
      </c>
      <c r="D291" s="11">
        <v>0</v>
      </c>
      <c r="E291" s="11">
        <v>0</v>
      </c>
      <c r="F291" s="13">
        <f>SUMIF('OD 11-24'!A:A,A291,'OD 11-24'!D:D)</f>
        <v>0</v>
      </c>
      <c r="G291" s="13">
        <f>SUMIF('OD 11-24'!A:A,A291,'OD 11-24'!E:E)</f>
        <v>0</v>
      </c>
      <c r="H291" s="14">
        <f t="shared" si="8"/>
        <v>0</v>
      </c>
      <c r="I291" s="14">
        <f t="shared" si="9"/>
        <v>0</v>
      </c>
      <c r="J291" s="8" t="s">
        <v>157</v>
      </c>
      <c r="K291" s="8" t="s">
        <v>512</v>
      </c>
      <c r="M291" s="339"/>
      <c r="N291" s="315"/>
    </row>
    <row r="292" spans="1:14" s="9" customFormat="1" ht="11.25" customHeight="1" x14ac:dyDescent="0.2">
      <c r="A292" s="10">
        <v>62120000</v>
      </c>
      <c r="B292" s="10" t="s">
        <v>180</v>
      </c>
      <c r="C292" s="11">
        <v>0</v>
      </c>
      <c r="D292" s="11">
        <v>40594.197</v>
      </c>
      <c r="E292" s="11">
        <v>0</v>
      </c>
      <c r="F292" s="13">
        <f>SUMIF('OD 11-24'!A:A,A292,'OD 11-24'!D:D)</f>
        <v>0</v>
      </c>
      <c r="G292" s="13">
        <f>SUMIF('OD 11-24'!A:A,A292,'OD 11-24'!E:E)</f>
        <v>0</v>
      </c>
      <c r="H292" s="14">
        <f t="shared" si="8"/>
        <v>40594.197</v>
      </c>
      <c r="I292" s="14">
        <f t="shared" si="9"/>
        <v>40594.197</v>
      </c>
      <c r="J292" s="8" t="s">
        <v>157</v>
      </c>
      <c r="K292" s="8" t="s">
        <v>512</v>
      </c>
      <c r="M292" s="339"/>
      <c r="N292" s="315"/>
    </row>
    <row r="293" spans="1:14" s="9" customFormat="1" ht="11.25" customHeight="1" x14ac:dyDescent="0.2">
      <c r="A293" s="10">
        <v>62200000</v>
      </c>
      <c r="B293" s="10" t="s">
        <v>181</v>
      </c>
      <c r="C293" s="11">
        <v>0</v>
      </c>
      <c r="D293" s="11">
        <v>34129.159999999996</v>
      </c>
      <c r="E293" s="11">
        <v>0</v>
      </c>
      <c r="F293" s="13">
        <f>SUMIF('OD 11-24'!A:A,A293,'OD 11-24'!D:D)</f>
        <v>99521.320999999996</v>
      </c>
      <c r="G293" s="13">
        <f>SUMIF('OD 11-24'!A:A,A293,'OD 11-24'!E:E)</f>
        <v>0</v>
      </c>
      <c r="H293" s="14">
        <f t="shared" si="8"/>
        <v>133650.481</v>
      </c>
      <c r="I293" s="14">
        <f t="shared" si="9"/>
        <v>133650.481</v>
      </c>
      <c r="J293" s="8" t="s">
        <v>157</v>
      </c>
      <c r="K293" s="8" t="s">
        <v>512</v>
      </c>
      <c r="M293" s="339"/>
      <c r="N293" s="315"/>
    </row>
    <row r="294" spans="1:14" s="9" customFormat="1" ht="11.25" customHeight="1" x14ac:dyDescent="0.2">
      <c r="A294" s="10">
        <v>62210000</v>
      </c>
      <c r="B294" s="10" t="s">
        <v>398</v>
      </c>
      <c r="C294" s="11">
        <v>0</v>
      </c>
      <c r="D294" s="11">
        <v>69114</v>
      </c>
      <c r="E294" s="11">
        <v>25705</v>
      </c>
      <c r="F294" s="13">
        <f>SUMIF('OD 11-24'!A:A,A294,'OD 11-24'!D:D)</f>
        <v>26000</v>
      </c>
      <c r="G294" s="13">
        <f>SUMIF('OD 11-24'!A:A,A294,'OD 11-24'!E:E)</f>
        <v>30333.332999999999</v>
      </c>
      <c r="H294" s="14">
        <f t="shared" si="8"/>
        <v>39075.667000000001</v>
      </c>
      <c r="I294" s="14">
        <f t="shared" si="9"/>
        <v>39075.667000000001</v>
      </c>
      <c r="J294" s="8" t="s">
        <v>157</v>
      </c>
      <c r="K294" s="8" t="s">
        <v>512</v>
      </c>
      <c r="M294" s="339"/>
      <c r="N294" s="315"/>
    </row>
    <row r="295" spans="1:14" s="9" customFormat="1" ht="11.25" customHeight="1" x14ac:dyDescent="0.2">
      <c r="A295" s="10">
        <v>62230000</v>
      </c>
      <c r="B295" s="10" t="s">
        <v>375</v>
      </c>
      <c r="C295" s="11">
        <v>0</v>
      </c>
      <c r="D295" s="11">
        <v>48234.924000000006</v>
      </c>
      <c r="E295" s="11">
        <v>0</v>
      </c>
      <c r="F295" s="13">
        <f>SUMIF('OD 11-24'!A:A,A295,'OD 11-24'!D:D)</f>
        <v>60480.065000000002</v>
      </c>
      <c r="G295" s="13">
        <f>SUMIF('OD 11-24'!A:A,A295,'OD 11-24'!E:E)</f>
        <v>60513.398000000001</v>
      </c>
      <c r="H295" s="14">
        <f t="shared" si="8"/>
        <v>48201.591</v>
      </c>
      <c r="I295" s="14">
        <f t="shared" si="9"/>
        <v>48201.591</v>
      </c>
      <c r="J295" s="8" t="s">
        <v>157</v>
      </c>
      <c r="K295" s="8" t="s">
        <v>512</v>
      </c>
      <c r="M295" s="339"/>
      <c r="N295" s="315"/>
    </row>
    <row r="296" spans="1:14" s="9" customFormat="1" ht="11.25" customHeight="1" x14ac:dyDescent="0.2">
      <c r="A296" s="10">
        <v>62240000</v>
      </c>
      <c r="B296" s="10" t="s">
        <v>267</v>
      </c>
      <c r="C296" s="11">
        <v>0</v>
      </c>
      <c r="D296" s="11">
        <v>56918.95</v>
      </c>
      <c r="E296" s="11">
        <v>523.68799999999999</v>
      </c>
      <c r="F296" s="13">
        <f>SUMIF('OD 11-24'!A:A,A296,'OD 11-24'!D:D)</f>
        <v>253271.41699999999</v>
      </c>
      <c r="G296" s="13">
        <f>SUMIF('OD 11-24'!A:A,A296,'OD 11-24'!E:E)</f>
        <v>257167.9</v>
      </c>
      <c r="H296" s="14">
        <f t="shared" si="8"/>
        <v>52498.778999999951</v>
      </c>
      <c r="I296" s="14">
        <f t="shared" si="9"/>
        <v>52498.778999999951</v>
      </c>
      <c r="J296" s="8" t="s">
        <v>157</v>
      </c>
      <c r="K296" s="8" t="s">
        <v>512</v>
      </c>
      <c r="M296" s="339"/>
      <c r="N296" s="315"/>
    </row>
    <row r="297" spans="1:14" s="9" customFormat="1" ht="11.25" customHeight="1" x14ac:dyDescent="0.2">
      <c r="A297" s="10">
        <v>62250000</v>
      </c>
      <c r="B297" s="10" t="s">
        <v>268</v>
      </c>
      <c r="C297" s="11">
        <v>0</v>
      </c>
      <c r="D297" s="11">
        <v>43320</v>
      </c>
      <c r="E297" s="11">
        <v>30000</v>
      </c>
      <c r="F297" s="13">
        <f>SUMIF('OD 11-24'!A:A,A297,'OD 11-24'!D:D)</f>
        <v>255000</v>
      </c>
      <c r="G297" s="13">
        <f>SUMIF('OD 11-24'!A:A,A297,'OD 11-24'!E:E)</f>
        <v>212500</v>
      </c>
      <c r="H297" s="14">
        <f t="shared" si="8"/>
        <v>55820</v>
      </c>
      <c r="I297" s="14">
        <f t="shared" si="9"/>
        <v>55820</v>
      </c>
      <c r="J297" s="8" t="s">
        <v>157</v>
      </c>
      <c r="K297" s="8" t="s">
        <v>512</v>
      </c>
      <c r="M297" s="339"/>
      <c r="N297" s="315"/>
    </row>
    <row r="298" spans="1:14" s="9" customFormat="1" ht="11.25" customHeight="1" x14ac:dyDescent="0.2">
      <c r="A298" s="10">
        <v>62260000</v>
      </c>
      <c r="B298" s="10" t="s">
        <v>7402</v>
      </c>
      <c r="C298" s="11">
        <v>0</v>
      </c>
      <c r="D298" s="11">
        <v>5847.9480000000003</v>
      </c>
      <c r="E298" s="11">
        <v>0</v>
      </c>
      <c r="F298" s="13">
        <f>SUMIF('OD 11-24'!A:A,A298,'OD 11-24'!D:D)</f>
        <v>50000</v>
      </c>
      <c r="G298" s="13">
        <f>SUMIF('OD 11-24'!A:A,A298,'OD 11-24'!E:E)</f>
        <v>40000</v>
      </c>
      <c r="H298" s="14">
        <f t="shared" si="8"/>
        <v>15847.948000000004</v>
      </c>
      <c r="I298" s="14">
        <f t="shared" si="9"/>
        <v>15847.948000000004</v>
      </c>
      <c r="J298" s="8" t="s">
        <v>157</v>
      </c>
      <c r="K298" s="8" t="s">
        <v>512</v>
      </c>
      <c r="M298" s="339"/>
      <c r="N298" s="315"/>
    </row>
    <row r="299" spans="1:14" s="9" customFormat="1" ht="11.25" customHeight="1" x14ac:dyDescent="0.2">
      <c r="A299" s="10">
        <v>62270000</v>
      </c>
      <c r="B299" s="10" t="s">
        <v>399</v>
      </c>
      <c r="C299" s="11">
        <v>0</v>
      </c>
      <c r="D299" s="11">
        <v>18056.724999999999</v>
      </c>
      <c r="E299" s="11">
        <v>0</v>
      </c>
      <c r="F299" s="13">
        <f>SUMIF('OD 11-24'!A:A,A299,'OD 11-24'!D:D)</f>
        <v>4450.84</v>
      </c>
      <c r="G299" s="13">
        <f>SUMIF('OD 11-24'!A:A,A299,'OD 11-24'!E:E)</f>
        <v>4450.84</v>
      </c>
      <c r="H299" s="14">
        <f t="shared" si="8"/>
        <v>18056.724999999999</v>
      </c>
      <c r="I299" s="14">
        <f t="shared" si="9"/>
        <v>18056.724999999999</v>
      </c>
      <c r="J299" s="8" t="s">
        <v>157</v>
      </c>
      <c r="K299" s="8" t="s">
        <v>512</v>
      </c>
      <c r="M299" s="339"/>
      <c r="N299" s="315"/>
    </row>
    <row r="300" spans="1:14" s="9" customFormat="1" ht="11.25" customHeight="1" x14ac:dyDescent="0.2">
      <c r="A300" s="10">
        <v>62280000</v>
      </c>
      <c r="B300" s="10" t="s">
        <v>7721</v>
      </c>
      <c r="C300" s="11">
        <v>0</v>
      </c>
      <c r="D300" s="11">
        <v>46772</v>
      </c>
      <c r="E300" s="11">
        <v>24780</v>
      </c>
      <c r="F300" s="13">
        <f>SUMIF('OD 11-24'!A:A,A300,'OD 11-24'!D:D)</f>
        <v>6480</v>
      </c>
      <c r="G300" s="13">
        <f>SUMIF('OD 11-24'!A:A,A300,'OD 11-24'!E:E)</f>
        <v>3240</v>
      </c>
      <c r="H300" s="14">
        <f t="shared" si="8"/>
        <v>25232</v>
      </c>
      <c r="I300" s="14">
        <f t="shared" si="9"/>
        <v>25232</v>
      </c>
      <c r="J300" s="8" t="s">
        <v>157</v>
      </c>
      <c r="K300" s="8" t="s">
        <v>512</v>
      </c>
      <c r="M300" s="339"/>
      <c r="N300" s="315"/>
    </row>
    <row r="301" spans="1:14" s="9" customFormat="1" ht="11.25" customHeight="1" x14ac:dyDescent="0.2">
      <c r="A301" s="10">
        <v>62300000</v>
      </c>
      <c r="B301" s="10" t="s">
        <v>182</v>
      </c>
      <c r="C301" s="11">
        <v>0</v>
      </c>
      <c r="D301" s="11">
        <v>20986.3</v>
      </c>
      <c r="E301" s="11">
        <v>0</v>
      </c>
      <c r="F301" s="13">
        <f>SUMIF('OD 11-24'!A:A,A301,'OD 11-24'!D:D)</f>
        <v>759000</v>
      </c>
      <c r="G301" s="13">
        <f>SUMIF('OD 11-24'!A:A,A301,'OD 11-24'!E:E)</f>
        <v>632500</v>
      </c>
      <c r="H301" s="14">
        <f t="shared" si="8"/>
        <v>147486.30000000005</v>
      </c>
      <c r="I301" s="14">
        <f t="shared" si="9"/>
        <v>147486.30000000005</v>
      </c>
      <c r="J301" s="8" t="s">
        <v>157</v>
      </c>
      <c r="K301" s="8" t="s">
        <v>512</v>
      </c>
      <c r="M301" s="339"/>
      <c r="N301" s="315"/>
    </row>
    <row r="302" spans="1:14" s="9" customFormat="1" ht="11.25" customHeight="1" x14ac:dyDescent="0.2">
      <c r="A302" s="10">
        <v>62301000</v>
      </c>
      <c r="B302" s="10" t="s">
        <v>7397</v>
      </c>
      <c r="C302" s="11">
        <v>0</v>
      </c>
      <c r="D302" s="11">
        <v>55522.634999999995</v>
      </c>
      <c r="E302" s="11">
        <v>8315</v>
      </c>
      <c r="F302" s="13">
        <f>SUMIF('OD 11-24'!A:A,A302,'OD 11-24'!D:D)</f>
        <v>0</v>
      </c>
      <c r="G302" s="13">
        <f>SUMIF('OD 11-24'!A:A,A302,'OD 11-24'!E:E)</f>
        <v>0</v>
      </c>
      <c r="H302" s="14">
        <f t="shared" si="8"/>
        <v>47207.634999999995</v>
      </c>
      <c r="I302" s="14">
        <f t="shared" si="9"/>
        <v>47207.634999999995</v>
      </c>
      <c r="J302" s="8" t="s">
        <v>157</v>
      </c>
      <c r="K302" s="8" t="s">
        <v>512</v>
      </c>
      <c r="M302" s="339"/>
      <c r="N302" s="315"/>
    </row>
    <row r="303" spans="1:14" s="9" customFormat="1" ht="11.25" customHeight="1" x14ac:dyDescent="0.2">
      <c r="A303" s="10">
        <v>62410000</v>
      </c>
      <c r="B303" s="10" t="s">
        <v>183</v>
      </c>
      <c r="C303" s="11">
        <v>0</v>
      </c>
      <c r="D303" s="11">
        <v>31774.243999999999</v>
      </c>
      <c r="E303" s="11">
        <v>0</v>
      </c>
      <c r="F303" s="13">
        <f>SUMIF('OD 11-24'!A:A,A303,'OD 11-24'!D:D)</f>
        <v>0</v>
      </c>
      <c r="G303" s="13">
        <f>SUMIF('OD 11-24'!A:A,A303,'OD 11-24'!E:E)</f>
        <v>0</v>
      </c>
      <c r="H303" s="14">
        <f t="shared" si="8"/>
        <v>31774.243999999999</v>
      </c>
      <c r="I303" s="14">
        <f t="shared" si="9"/>
        <v>31774.243999999999</v>
      </c>
      <c r="J303" s="8" t="s">
        <v>157</v>
      </c>
      <c r="K303" s="8" t="s">
        <v>512</v>
      </c>
      <c r="M303" s="339"/>
      <c r="N303" s="315"/>
    </row>
    <row r="304" spans="1:14" s="9" customFormat="1" ht="11.25" customHeight="1" x14ac:dyDescent="0.2">
      <c r="A304" s="10">
        <v>62420000</v>
      </c>
      <c r="B304" s="10" t="s">
        <v>184</v>
      </c>
      <c r="C304" s="11">
        <v>0</v>
      </c>
      <c r="D304" s="11">
        <v>420</v>
      </c>
      <c r="E304" s="11">
        <v>0</v>
      </c>
      <c r="F304" s="13">
        <f>SUMIF('OD 11-24'!A:A,A304,'OD 11-24'!D:D)</f>
        <v>0</v>
      </c>
      <c r="G304" s="13">
        <f>SUMIF('OD 11-24'!A:A,A304,'OD 11-24'!E:E)</f>
        <v>0</v>
      </c>
      <c r="H304" s="14">
        <f t="shared" si="8"/>
        <v>420</v>
      </c>
      <c r="I304" s="14">
        <f t="shared" si="9"/>
        <v>420</v>
      </c>
      <c r="J304" s="8" t="s">
        <v>157</v>
      </c>
      <c r="K304" s="8" t="s">
        <v>512</v>
      </c>
      <c r="M304" s="339"/>
      <c r="N304" s="315"/>
    </row>
    <row r="305" spans="1:14" s="9" customFormat="1" ht="11.25" customHeight="1" x14ac:dyDescent="0.2">
      <c r="A305" s="10">
        <v>62430000</v>
      </c>
      <c r="B305" s="10" t="s">
        <v>159</v>
      </c>
      <c r="C305" s="11">
        <v>0</v>
      </c>
      <c r="D305" s="11">
        <v>1065608.9370000002</v>
      </c>
      <c r="E305" s="11">
        <v>18320.150000000001</v>
      </c>
      <c r="F305" s="13">
        <f>SUMIF('OD 11-24'!A:A,A305,'OD 11-24'!D:D)</f>
        <v>307608.45</v>
      </c>
      <c r="G305" s="13">
        <f>SUMIF('OD 11-24'!A:A,A305,'OD 11-24'!E:E)</f>
        <v>269756.45</v>
      </c>
      <c r="H305" s="14">
        <f t="shared" si="8"/>
        <v>1085140.7870000002</v>
      </c>
      <c r="I305" s="14">
        <f t="shared" si="9"/>
        <v>1085140.7870000002</v>
      </c>
      <c r="J305" s="8" t="s">
        <v>157</v>
      </c>
      <c r="K305" s="8" t="s">
        <v>512</v>
      </c>
      <c r="M305" s="339"/>
      <c r="N305" s="315"/>
    </row>
    <row r="306" spans="1:14" s="9" customFormat="1" ht="11.25" customHeight="1" x14ac:dyDescent="0.2">
      <c r="A306" s="10">
        <v>62500000</v>
      </c>
      <c r="B306" s="10" t="s">
        <v>185</v>
      </c>
      <c r="C306" s="11">
        <v>0</v>
      </c>
      <c r="D306" s="11">
        <v>6975.5169999999998</v>
      </c>
      <c r="E306" s="11">
        <v>2039.8370000000002</v>
      </c>
      <c r="F306" s="13">
        <f>SUMIF('OD 11-24'!A:A,A306,'OD 11-24'!D:D)</f>
        <v>0</v>
      </c>
      <c r="G306" s="13">
        <f>SUMIF('OD 11-24'!A:A,A306,'OD 11-24'!E:E)</f>
        <v>0</v>
      </c>
      <c r="H306" s="14">
        <f t="shared" si="8"/>
        <v>4935.6799999999994</v>
      </c>
      <c r="I306" s="14">
        <f t="shared" si="9"/>
        <v>4935.6799999999994</v>
      </c>
      <c r="J306" s="8" t="s">
        <v>157</v>
      </c>
      <c r="K306" s="8" t="s">
        <v>512</v>
      </c>
      <c r="M306" s="339"/>
      <c r="N306" s="315"/>
    </row>
    <row r="307" spans="1:14" s="9" customFormat="1" ht="11.25" customHeight="1" x14ac:dyDescent="0.2">
      <c r="A307" s="10">
        <v>62510000</v>
      </c>
      <c r="B307" s="10" t="s">
        <v>7571</v>
      </c>
      <c r="C307" s="11">
        <v>0</v>
      </c>
      <c r="D307" s="11">
        <v>188541.99</v>
      </c>
      <c r="E307" s="11">
        <v>0</v>
      </c>
      <c r="F307" s="13">
        <f>SUMIF('OD 11-24'!A:A,A307,'OD 11-24'!D:D)</f>
        <v>120000</v>
      </c>
      <c r="G307" s="13">
        <f>SUMIF('OD 11-24'!A:A,A307,'OD 11-24'!E:E)</f>
        <v>100000</v>
      </c>
      <c r="H307" s="14">
        <f t="shared" si="8"/>
        <v>208541.99</v>
      </c>
      <c r="I307" s="14">
        <f t="shared" si="9"/>
        <v>208541.99</v>
      </c>
      <c r="J307" s="8" t="s">
        <v>157</v>
      </c>
      <c r="K307" s="8" t="s">
        <v>512</v>
      </c>
      <c r="M307" s="339"/>
      <c r="N307" s="315"/>
    </row>
    <row r="308" spans="1:14" s="9" customFormat="1" ht="11.25" customHeight="1" x14ac:dyDescent="0.2">
      <c r="A308" s="10">
        <v>62520000</v>
      </c>
      <c r="B308" s="10" t="s">
        <v>7403</v>
      </c>
      <c r="C308" s="11">
        <v>0</v>
      </c>
      <c r="D308" s="11">
        <v>5179.3999999999996</v>
      </c>
      <c r="E308" s="11">
        <v>0</v>
      </c>
      <c r="F308" s="13">
        <f>SUMIF('OD 11-24'!A:A,A308,'OD 11-24'!D:D)</f>
        <v>0</v>
      </c>
      <c r="G308" s="13">
        <f>SUMIF('OD 11-24'!A:A,A308,'OD 11-24'!E:E)</f>
        <v>0</v>
      </c>
      <c r="H308" s="14">
        <f t="shared" si="8"/>
        <v>5179.3999999999996</v>
      </c>
      <c r="I308" s="14">
        <f t="shared" si="9"/>
        <v>5179.3999999999996</v>
      </c>
      <c r="J308" s="8" t="s">
        <v>157</v>
      </c>
      <c r="K308" s="8" t="s">
        <v>512</v>
      </c>
      <c r="M308" s="339"/>
      <c r="N308" s="315"/>
    </row>
    <row r="309" spans="1:14" s="9" customFormat="1" ht="11.25" customHeight="1" x14ac:dyDescent="0.2">
      <c r="A309" s="10">
        <v>62570000</v>
      </c>
      <c r="B309" s="10" t="s">
        <v>186</v>
      </c>
      <c r="C309" s="11">
        <v>0</v>
      </c>
      <c r="D309" s="11">
        <v>168515.89300000001</v>
      </c>
      <c r="E309" s="11">
        <v>1511.9429999999998</v>
      </c>
      <c r="F309" s="13">
        <f>SUMIF('OD 11-24'!A:A,A309,'OD 11-24'!D:D)</f>
        <v>0</v>
      </c>
      <c r="G309" s="13">
        <f>SUMIF('OD 11-24'!A:A,A309,'OD 11-24'!E:E)</f>
        <v>0</v>
      </c>
      <c r="H309" s="14">
        <f t="shared" si="8"/>
        <v>167003.95000000001</v>
      </c>
      <c r="I309" s="14">
        <f t="shared" si="9"/>
        <v>167003.95000000001</v>
      </c>
      <c r="J309" s="8" t="s">
        <v>157</v>
      </c>
      <c r="K309" s="8" t="s">
        <v>512</v>
      </c>
      <c r="M309" s="339"/>
      <c r="N309" s="315"/>
    </row>
    <row r="310" spans="1:14" s="9" customFormat="1" ht="11.25" customHeight="1" x14ac:dyDescent="0.2">
      <c r="A310" s="10">
        <v>62571000</v>
      </c>
      <c r="B310" s="10" t="s">
        <v>376</v>
      </c>
      <c r="C310" s="11">
        <v>0</v>
      </c>
      <c r="D310" s="11">
        <v>17653.296000000002</v>
      </c>
      <c r="E310" s="11">
        <v>0</v>
      </c>
      <c r="F310" s="13">
        <f>SUMIF('OD 11-24'!A:A,A310,'OD 11-24'!D:D)</f>
        <v>0</v>
      </c>
      <c r="G310" s="13">
        <f>SUMIF('OD 11-24'!A:A,A310,'OD 11-24'!E:E)</f>
        <v>0</v>
      </c>
      <c r="H310" s="14">
        <f t="shared" si="8"/>
        <v>17653.296000000002</v>
      </c>
      <c r="I310" s="14">
        <f t="shared" si="9"/>
        <v>17653.296000000002</v>
      </c>
      <c r="J310" s="8" t="s">
        <v>157</v>
      </c>
      <c r="K310" s="8" t="s">
        <v>512</v>
      </c>
      <c r="M310" s="339"/>
      <c r="N310" s="315"/>
    </row>
    <row r="311" spans="1:14" s="9" customFormat="1" ht="11.25" customHeight="1" x14ac:dyDescent="0.2">
      <c r="A311" s="10">
        <v>62572000</v>
      </c>
      <c r="B311" s="10" t="s">
        <v>377</v>
      </c>
      <c r="C311" s="11">
        <v>0</v>
      </c>
      <c r="D311" s="11">
        <v>31618.665000000001</v>
      </c>
      <c r="E311" s="11">
        <v>0</v>
      </c>
      <c r="F311" s="13">
        <f>SUMIF('OD 11-24'!A:A,A311,'OD 11-24'!D:D)</f>
        <v>0</v>
      </c>
      <c r="G311" s="13">
        <f>SUMIF('OD 11-24'!A:A,A311,'OD 11-24'!E:E)</f>
        <v>0</v>
      </c>
      <c r="H311" s="14">
        <f t="shared" si="8"/>
        <v>31618.665000000001</v>
      </c>
      <c r="I311" s="14">
        <f t="shared" si="9"/>
        <v>31618.665000000001</v>
      </c>
      <c r="J311" s="8" t="s">
        <v>157</v>
      </c>
      <c r="K311" s="8" t="s">
        <v>512</v>
      </c>
      <c r="M311" s="339"/>
      <c r="N311" s="315"/>
    </row>
    <row r="312" spans="1:14" s="9" customFormat="1" ht="11.25" customHeight="1" x14ac:dyDescent="0.2">
      <c r="A312" s="10">
        <v>62573000</v>
      </c>
      <c r="B312" s="10" t="s">
        <v>378</v>
      </c>
      <c r="C312" s="11">
        <v>0</v>
      </c>
      <c r="D312" s="11">
        <v>2048.7150000000001</v>
      </c>
      <c r="E312" s="11">
        <v>0</v>
      </c>
      <c r="F312" s="13">
        <f>SUMIF('OD 11-24'!A:A,A312,'OD 11-24'!D:D)</f>
        <v>0</v>
      </c>
      <c r="G312" s="13">
        <f>SUMIF('OD 11-24'!A:A,A312,'OD 11-24'!E:E)</f>
        <v>0</v>
      </c>
      <c r="H312" s="14">
        <f t="shared" si="8"/>
        <v>2048.7150000000001</v>
      </c>
      <c r="I312" s="14">
        <f t="shared" si="9"/>
        <v>2048.7150000000001</v>
      </c>
      <c r="J312" s="8" t="s">
        <v>157</v>
      </c>
      <c r="K312" s="8" t="s">
        <v>512</v>
      </c>
      <c r="M312" s="339"/>
      <c r="N312" s="315"/>
    </row>
    <row r="313" spans="1:14" s="9" customFormat="1" ht="11.25" customHeight="1" x14ac:dyDescent="0.2">
      <c r="A313" s="10">
        <v>62580000</v>
      </c>
      <c r="B313" s="10" t="s">
        <v>187</v>
      </c>
      <c r="C313" s="11">
        <v>0</v>
      </c>
      <c r="D313" s="11">
        <v>8799.8310000000001</v>
      </c>
      <c r="E313" s="11">
        <v>0</v>
      </c>
      <c r="F313" s="13">
        <f>SUMIF('OD 11-24'!A:A,A313,'OD 11-24'!D:D)</f>
        <v>0</v>
      </c>
      <c r="G313" s="13">
        <f>SUMIF('OD 11-24'!A:A,A313,'OD 11-24'!E:E)</f>
        <v>0</v>
      </c>
      <c r="H313" s="14">
        <f t="shared" si="8"/>
        <v>8799.8310000000001</v>
      </c>
      <c r="I313" s="14">
        <f t="shared" si="9"/>
        <v>8799.8310000000001</v>
      </c>
      <c r="J313" s="8" t="s">
        <v>157</v>
      </c>
      <c r="K313" s="8" t="s">
        <v>512</v>
      </c>
      <c r="M313" s="339"/>
      <c r="N313" s="315"/>
    </row>
    <row r="314" spans="1:14" s="9" customFormat="1" ht="11.25" customHeight="1" x14ac:dyDescent="0.2">
      <c r="A314" s="10">
        <v>62600000</v>
      </c>
      <c r="B314" s="10" t="s">
        <v>188</v>
      </c>
      <c r="C314" s="11">
        <v>0</v>
      </c>
      <c r="D314" s="11">
        <v>39303.992000000006</v>
      </c>
      <c r="E314" s="11">
        <v>0</v>
      </c>
      <c r="F314" s="13">
        <f>SUMIF('OD 11-24'!A:A,A314,'OD 11-24'!D:D)</f>
        <v>21740.421999999999</v>
      </c>
      <c r="G314" s="13">
        <f>SUMIF('OD 11-24'!A:A,A314,'OD 11-24'!E:E)</f>
        <v>22802.927</v>
      </c>
      <c r="H314" s="14">
        <f t="shared" si="8"/>
        <v>38241.487000000008</v>
      </c>
      <c r="I314" s="14">
        <f t="shared" si="9"/>
        <v>38241.487000000008</v>
      </c>
      <c r="J314" s="8" t="s">
        <v>157</v>
      </c>
      <c r="K314" s="8" t="s">
        <v>512</v>
      </c>
      <c r="M314" s="339"/>
      <c r="N314" s="315"/>
    </row>
    <row r="315" spans="1:14" s="9" customFormat="1" ht="11.25" customHeight="1" x14ac:dyDescent="0.2">
      <c r="A315" s="10">
        <v>62780000</v>
      </c>
      <c r="B315" s="10" t="s">
        <v>189</v>
      </c>
      <c r="C315" s="11">
        <v>0</v>
      </c>
      <c r="D315" s="11">
        <v>256339.30800000002</v>
      </c>
      <c r="E315" s="11">
        <v>250.798</v>
      </c>
      <c r="F315" s="13">
        <f>SUMIF('OD 11-24'!A:A,A315,'OD 11-24'!D:D)</f>
        <v>190808.53</v>
      </c>
      <c r="G315" s="13">
        <f>SUMIF('OD 11-24'!A:A,A315,'OD 11-24'!E:E)</f>
        <v>176094.58300000001</v>
      </c>
      <c r="H315" s="14">
        <f t="shared" si="8"/>
        <v>270802.45699999994</v>
      </c>
      <c r="I315" s="14">
        <f t="shared" si="9"/>
        <v>270802.45699999994</v>
      </c>
      <c r="J315" s="8" t="s">
        <v>195</v>
      </c>
      <c r="K315" s="8" t="s">
        <v>517</v>
      </c>
      <c r="M315" s="339"/>
      <c r="N315" s="315"/>
    </row>
    <row r="316" spans="1:14" s="9" customFormat="1" ht="11.25" customHeight="1" x14ac:dyDescent="0.2">
      <c r="A316" s="10">
        <v>63300000</v>
      </c>
      <c r="B316" s="10" t="s">
        <v>269</v>
      </c>
      <c r="C316" s="11">
        <v>0</v>
      </c>
      <c r="D316" s="11">
        <v>0</v>
      </c>
      <c r="E316" s="11">
        <v>0</v>
      </c>
      <c r="F316" s="13">
        <f>SUMIF('OD 11-24'!A:A,A316,'OD 11-24'!D:D)</f>
        <v>687500.00100000005</v>
      </c>
      <c r="G316" s="13">
        <f>SUMIF('OD 11-24'!A:A,A316,'OD 11-24'!E:E)</f>
        <v>572916.66799999995</v>
      </c>
      <c r="H316" s="14">
        <f>+D316+F316-E316-G316</f>
        <v>114583.3330000001</v>
      </c>
      <c r="I316" s="14">
        <f>+H316+C316</f>
        <v>114583.3330000001</v>
      </c>
      <c r="J316" s="8" t="s">
        <v>157</v>
      </c>
      <c r="K316" s="8" t="s">
        <v>512</v>
      </c>
      <c r="M316" s="339"/>
      <c r="N316" s="315"/>
    </row>
    <row r="317" spans="1:14" s="9" customFormat="1" ht="11.25" customHeight="1" x14ac:dyDescent="0.2">
      <c r="A317" s="10">
        <v>63601000</v>
      </c>
      <c r="B317" s="10" t="s">
        <v>7572</v>
      </c>
      <c r="C317" s="11">
        <v>0</v>
      </c>
      <c r="D317" s="11">
        <v>59805.360999999997</v>
      </c>
      <c r="E317" s="11">
        <v>18454.945</v>
      </c>
      <c r="F317" s="13">
        <f>SUMIF('OD 11-24'!A:A,A317,'OD 11-24'!D:D)</f>
        <v>0</v>
      </c>
      <c r="G317" s="13">
        <f>SUMIF('OD 11-24'!A:A,A317,'OD 11-24'!E:E)</f>
        <v>0</v>
      </c>
      <c r="H317" s="14">
        <f t="shared" si="8"/>
        <v>41350.415999999997</v>
      </c>
      <c r="I317" s="14">
        <f t="shared" si="9"/>
        <v>41350.415999999997</v>
      </c>
      <c r="J317" s="8" t="s">
        <v>157</v>
      </c>
      <c r="K317" s="8" t="s">
        <v>512</v>
      </c>
      <c r="M317" s="339"/>
      <c r="N317" s="315"/>
    </row>
    <row r="318" spans="1:14" s="9" customFormat="1" ht="11.25" customHeight="1" x14ac:dyDescent="0.2">
      <c r="A318" s="10">
        <v>63602000</v>
      </c>
      <c r="B318" s="10" t="s">
        <v>7573</v>
      </c>
      <c r="C318" s="11">
        <v>0</v>
      </c>
      <c r="D318" s="11">
        <v>72713.184000000008</v>
      </c>
      <c r="E318" s="11">
        <v>52938.670999999995</v>
      </c>
      <c r="F318" s="13">
        <f>SUMIF('OD 11-24'!A:A,A318,'OD 11-24'!D:D)</f>
        <v>0</v>
      </c>
      <c r="G318" s="13">
        <f>SUMIF('OD 11-24'!A:A,A318,'OD 11-24'!E:E)</f>
        <v>0</v>
      </c>
      <c r="H318" s="14">
        <f t="shared" si="8"/>
        <v>19774.513000000014</v>
      </c>
      <c r="I318" s="14">
        <f t="shared" si="9"/>
        <v>19774.513000000014</v>
      </c>
      <c r="J318" s="8" t="s">
        <v>157</v>
      </c>
      <c r="K318" s="8" t="s">
        <v>512</v>
      </c>
      <c r="M318" s="339"/>
      <c r="N318" s="315"/>
    </row>
    <row r="319" spans="1:14" s="9" customFormat="1" ht="11.25" customHeight="1" x14ac:dyDescent="0.2">
      <c r="A319" s="10">
        <v>63610000</v>
      </c>
      <c r="B319" s="10" t="s">
        <v>7398</v>
      </c>
      <c r="C319" s="11">
        <v>0</v>
      </c>
      <c r="D319" s="11">
        <v>9386.0399999999991</v>
      </c>
      <c r="E319" s="11">
        <v>300</v>
      </c>
      <c r="F319" s="13">
        <f>SUMIF('OD 11-24'!A:A,A319,'OD 11-24'!D:D)</f>
        <v>0</v>
      </c>
      <c r="G319" s="13">
        <f>SUMIF('OD 11-24'!A:A,A319,'OD 11-24'!E:E)</f>
        <v>0</v>
      </c>
      <c r="H319" s="14">
        <f t="shared" si="8"/>
        <v>9086.0399999999991</v>
      </c>
      <c r="I319" s="14">
        <f t="shared" si="9"/>
        <v>9086.0399999999991</v>
      </c>
      <c r="J319" s="8" t="s">
        <v>190</v>
      </c>
      <c r="K319" s="8" t="s">
        <v>519</v>
      </c>
      <c r="M319" s="339"/>
      <c r="N319" s="315"/>
    </row>
    <row r="320" spans="1:14" s="9" customFormat="1" ht="11.25" customHeight="1" x14ac:dyDescent="0.2">
      <c r="A320" s="10">
        <v>64001000</v>
      </c>
      <c r="B320" s="10" t="s">
        <v>191</v>
      </c>
      <c r="C320" s="11">
        <v>0</v>
      </c>
      <c r="D320" s="11">
        <v>4364766.5350000001</v>
      </c>
      <c r="E320" s="11">
        <v>316709.21799999999</v>
      </c>
      <c r="F320" s="13">
        <f>SUMIF('OD 11-24'!A:A,A320,'OD 11-24'!D:D)</f>
        <v>413518.88400000002</v>
      </c>
      <c r="G320" s="13">
        <f>SUMIF('OD 11-24'!A:A,A320,'OD 11-24'!E:E)</f>
        <v>413518.88400000002</v>
      </c>
      <c r="H320" s="14">
        <f t="shared" si="8"/>
        <v>4048057.3169999993</v>
      </c>
      <c r="I320" s="14">
        <f t="shared" si="9"/>
        <v>4048057.3169999993</v>
      </c>
      <c r="J320" s="8" t="s">
        <v>192</v>
      </c>
      <c r="K320" s="8" t="s">
        <v>511</v>
      </c>
      <c r="M320" s="339"/>
      <c r="N320" s="315"/>
    </row>
    <row r="321" spans="1:14" s="9" customFormat="1" ht="11.25" customHeight="1" x14ac:dyDescent="0.2">
      <c r="A321" s="10">
        <v>64001100</v>
      </c>
      <c r="B321" s="10" t="s">
        <v>408</v>
      </c>
      <c r="C321" s="11">
        <v>0</v>
      </c>
      <c r="D321" s="11">
        <v>0</v>
      </c>
      <c r="E321" s="11">
        <v>0</v>
      </c>
      <c r="F321" s="13">
        <f>SUMIF('OD 11-24'!A:A,A321,'OD 11-24'!D:D)</f>
        <v>1650000</v>
      </c>
      <c r="G321" s="13">
        <f>SUMIF('OD 11-24'!A:A,A321,'OD 11-24'!E:E)</f>
        <v>1375000</v>
      </c>
      <c r="H321" s="14">
        <f t="shared" si="8"/>
        <v>275000</v>
      </c>
      <c r="I321" s="14">
        <f t="shared" si="9"/>
        <v>275000</v>
      </c>
      <c r="J321" s="8" t="s">
        <v>192</v>
      </c>
      <c r="K321" s="8" t="s">
        <v>511</v>
      </c>
      <c r="M321" s="339"/>
      <c r="N321" s="315"/>
    </row>
    <row r="322" spans="1:14" s="9" customFormat="1" ht="11.25" customHeight="1" x14ac:dyDescent="0.2">
      <c r="A322" s="10">
        <v>64020000</v>
      </c>
      <c r="B322" s="10" t="s">
        <v>406</v>
      </c>
      <c r="C322" s="11">
        <v>0</v>
      </c>
      <c r="D322" s="11">
        <v>0</v>
      </c>
      <c r="E322" s="11">
        <v>0</v>
      </c>
      <c r="F322" s="13">
        <f>SUMIF('OD 11-24'!A:A,A322,'OD 11-24'!D:D)</f>
        <v>2263928.5070000002</v>
      </c>
      <c r="G322" s="13">
        <f>SUMIF('OD 11-24'!A:A,A322,'OD 11-24'!E:E)</f>
        <v>1894783.2080000001</v>
      </c>
      <c r="H322" s="14">
        <f t="shared" si="8"/>
        <v>369145.29900000012</v>
      </c>
      <c r="I322" s="14">
        <f t="shared" si="9"/>
        <v>369145.29900000012</v>
      </c>
      <c r="J322" s="8" t="s">
        <v>192</v>
      </c>
      <c r="K322" s="8" t="s">
        <v>511</v>
      </c>
      <c r="M322" s="339"/>
      <c r="N322" s="315"/>
    </row>
    <row r="323" spans="1:14" s="9" customFormat="1" ht="11.25" customHeight="1" x14ac:dyDescent="0.2">
      <c r="A323" s="10">
        <v>64280000</v>
      </c>
      <c r="B323" s="10" t="s">
        <v>193</v>
      </c>
      <c r="C323" s="11">
        <v>0</v>
      </c>
      <c r="D323" s="11">
        <v>39080</v>
      </c>
      <c r="E323" s="11">
        <v>39080</v>
      </c>
      <c r="F323" s="13">
        <f>SUMIF('OD 11-24'!A:A,A323,'OD 11-24'!D:D)</f>
        <v>0</v>
      </c>
      <c r="G323" s="13">
        <f>SUMIF('OD 11-24'!A:A,A323,'OD 11-24'!E:E)</f>
        <v>0</v>
      </c>
      <c r="H323" s="14">
        <f t="shared" si="8"/>
        <v>0</v>
      </c>
      <c r="I323" s="14">
        <f t="shared" si="9"/>
        <v>0</v>
      </c>
      <c r="J323" s="8" t="s">
        <v>192</v>
      </c>
      <c r="K323" s="8" t="s">
        <v>511</v>
      </c>
      <c r="M323" s="339"/>
      <c r="N323" s="315"/>
    </row>
    <row r="324" spans="1:14" s="9" customFormat="1" ht="11.25" customHeight="1" x14ac:dyDescent="0.2">
      <c r="A324" s="10">
        <v>64600100</v>
      </c>
      <c r="B324" s="10" t="s">
        <v>407</v>
      </c>
      <c r="C324" s="11">
        <v>0</v>
      </c>
      <c r="D324" s="11">
        <v>1686.6510000000003</v>
      </c>
      <c r="E324" s="11">
        <v>247618.065</v>
      </c>
      <c r="F324" s="13">
        <f>SUMIF('OD 11-24'!A:A,A324,'OD 11-24'!D:D)</f>
        <v>3569487.4890000001</v>
      </c>
      <c r="G324" s="13">
        <f>SUMIF('OD 11-24'!A:A,A324,'OD 11-24'!E:E)</f>
        <v>3309487.4890000001</v>
      </c>
      <c r="H324" s="14">
        <f t="shared" si="8"/>
        <v>14068.586000000127</v>
      </c>
      <c r="I324" s="14">
        <f t="shared" si="9"/>
        <v>14068.586000000127</v>
      </c>
      <c r="J324" s="8" t="s">
        <v>192</v>
      </c>
      <c r="K324" s="8" t="s">
        <v>511</v>
      </c>
      <c r="M324" s="339"/>
      <c r="N324" s="315"/>
    </row>
    <row r="325" spans="1:14" s="9" customFormat="1" ht="11.25" customHeight="1" x14ac:dyDescent="0.2">
      <c r="A325" s="10">
        <v>64603000</v>
      </c>
      <c r="B325" s="10" t="s">
        <v>7404</v>
      </c>
      <c r="C325" s="11">
        <v>0</v>
      </c>
      <c r="D325" s="11">
        <v>31647.25</v>
      </c>
      <c r="E325" s="11">
        <v>0</v>
      </c>
      <c r="F325" s="13">
        <f>SUMIF('OD 11-24'!A:A,A325,'OD 11-24'!D:D)</f>
        <v>3192</v>
      </c>
      <c r="G325" s="13">
        <f>SUMIF('OD 11-24'!A:A,A325,'OD 11-24'!E:E)</f>
        <v>3192</v>
      </c>
      <c r="H325" s="14">
        <f t="shared" si="8"/>
        <v>31647.25</v>
      </c>
      <c r="I325" s="14">
        <f t="shared" si="9"/>
        <v>31647.25</v>
      </c>
      <c r="J325" s="8" t="s">
        <v>192</v>
      </c>
      <c r="K325" s="8" t="s">
        <v>511</v>
      </c>
      <c r="M325" s="339"/>
      <c r="N325" s="315"/>
    </row>
    <row r="326" spans="1:14" s="9" customFormat="1" ht="11.25" customHeight="1" x14ac:dyDescent="0.2">
      <c r="A326" s="10">
        <v>64720000</v>
      </c>
      <c r="B326" s="10" t="s">
        <v>194</v>
      </c>
      <c r="C326" s="11">
        <v>0</v>
      </c>
      <c r="D326" s="11">
        <v>346024.56399999995</v>
      </c>
      <c r="E326" s="11">
        <v>21778.701000000001</v>
      </c>
      <c r="F326" s="13">
        <f>SUMIF('OD 11-24'!A:A,A326,'OD 11-24'!D:D)</f>
        <v>829459.68700000003</v>
      </c>
      <c r="G326" s="13">
        <f>SUMIF('OD 11-24'!A:A,A326,'OD 11-24'!E:E)</f>
        <v>760644.44499999995</v>
      </c>
      <c r="H326" s="14">
        <f t="shared" si="8"/>
        <v>393061.10499999986</v>
      </c>
      <c r="I326" s="14">
        <f t="shared" si="9"/>
        <v>393061.10499999986</v>
      </c>
      <c r="J326" s="8" t="s">
        <v>192</v>
      </c>
      <c r="K326" s="8" t="s">
        <v>511</v>
      </c>
      <c r="M326" s="339"/>
      <c r="N326" s="315"/>
    </row>
    <row r="327" spans="1:14" s="9" customFormat="1" ht="11.25" customHeight="1" x14ac:dyDescent="0.2">
      <c r="A327" s="10">
        <v>65110000</v>
      </c>
      <c r="B327" s="10" t="s">
        <v>385</v>
      </c>
      <c r="C327" s="11">
        <v>0</v>
      </c>
      <c r="D327" s="11">
        <v>274494.43799999997</v>
      </c>
      <c r="E327" s="11">
        <v>84401.901999999987</v>
      </c>
      <c r="F327" s="13">
        <f>SUMIF('OD 11-24'!A:A,A327,'OD 11-24'!D:D)</f>
        <v>121616.49800000001</v>
      </c>
      <c r="G327" s="13">
        <f>SUMIF('OD 11-24'!A:A,A327,'OD 11-24'!E:E)</f>
        <v>118553.048</v>
      </c>
      <c r="H327" s="14">
        <f t="shared" si="8"/>
        <v>193155.98599999998</v>
      </c>
      <c r="I327" s="14">
        <f t="shared" si="9"/>
        <v>193155.98599999998</v>
      </c>
      <c r="J327" s="8" t="s">
        <v>195</v>
      </c>
      <c r="K327" s="8" t="s">
        <v>517</v>
      </c>
      <c r="M327" s="339"/>
      <c r="N327" s="315"/>
    </row>
    <row r="328" spans="1:14" s="9" customFormat="1" ht="11.25" customHeight="1" x14ac:dyDescent="0.2">
      <c r="A328" s="10">
        <v>65110200</v>
      </c>
      <c r="B328" s="10" t="s">
        <v>196</v>
      </c>
      <c r="C328" s="11">
        <v>0</v>
      </c>
      <c r="D328" s="11">
        <v>514531.408</v>
      </c>
      <c r="E328" s="11">
        <v>0</v>
      </c>
      <c r="F328" s="13">
        <f>SUMIF('OD 11-24'!A:A,A328,'OD 11-24'!D:D)</f>
        <v>455457.84720000002</v>
      </c>
      <c r="G328" s="13">
        <f>SUMIF('OD 11-24'!A:A,A328,'OD 11-24'!E:E)</f>
        <v>565062.63419999997</v>
      </c>
      <c r="H328" s="14">
        <f t="shared" si="8"/>
        <v>404926.62100000004</v>
      </c>
      <c r="I328" s="14">
        <f t="shared" si="9"/>
        <v>404926.62100000004</v>
      </c>
      <c r="J328" s="8" t="s">
        <v>195</v>
      </c>
      <c r="K328" s="8" t="s">
        <v>517</v>
      </c>
      <c r="M328" s="339"/>
      <c r="N328" s="315"/>
    </row>
    <row r="329" spans="1:14" s="9" customFormat="1" ht="11.25" customHeight="1" x14ac:dyDescent="0.2">
      <c r="A329" s="10">
        <v>65110400</v>
      </c>
      <c r="B329" s="10" t="s">
        <v>197</v>
      </c>
      <c r="C329" s="11">
        <v>0</v>
      </c>
      <c r="D329" s="11">
        <v>790035.99900000007</v>
      </c>
      <c r="E329" s="11">
        <v>0</v>
      </c>
      <c r="F329" s="13">
        <f>SUMIF('OD 11-24'!A:A,A329,'OD 11-24'!D:D)</f>
        <v>699454.24780000001</v>
      </c>
      <c r="G329" s="13">
        <f>SUMIF('OD 11-24'!A:A,A329,'OD 11-24'!E:E)</f>
        <v>867688.41079999995</v>
      </c>
      <c r="H329" s="14">
        <f t="shared" si="8"/>
        <v>621801.83600000013</v>
      </c>
      <c r="I329" s="14">
        <f t="shared" si="9"/>
        <v>621801.83600000013</v>
      </c>
      <c r="J329" s="8" t="s">
        <v>195</v>
      </c>
      <c r="K329" s="8" t="s">
        <v>517</v>
      </c>
      <c r="M329" s="339"/>
      <c r="N329" s="315"/>
    </row>
    <row r="330" spans="1:14" s="9" customFormat="1" ht="11.25" customHeight="1" x14ac:dyDescent="0.2">
      <c r="A330" s="10">
        <v>65115000</v>
      </c>
      <c r="B330" s="10" t="s">
        <v>379</v>
      </c>
      <c r="C330" s="11">
        <v>0</v>
      </c>
      <c r="D330" s="11">
        <v>66086.414000000004</v>
      </c>
      <c r="E330" s="11">
        <v>2060.0309999999999</v>
      </c>
      <c r="F330" s="13">
        <f>SUMIF('OD 11-24'!A:A,A330,'OD 11-24'!D:D)</f>
        <v>2903.0230000000001</v>
      </c>
      <c r="G330" s="13">
        <f>SUMIF('OD 11-24'!A:A,A330,'OD 11-24'!E:E)</f>
        <v>2903.0230000000001</v>
      </c>
      <c r="H330" s="14">
        <f t="shared" ref="H330:H357" si="10">+D330+F330-E330-G330</f>
        <v>64026.383000000002</v>
      </c>
      <c r="I330" s="14">
        <f t="shared" ref="I330:I357" si="11">+H330+C330</f>
        <v>64026.383000000002</v>
      </c>
      <c r="J330" s="8" t="s">
        <v>195</v>
      </c>
      <c r="K330" s="8" t="s">
        <v>517</v>
      </c>
      <c r="M330" s="339"/>
      <c r="N330" s="315"/>
    </row>
    <row r="331" spans="1:14" s="9" customFormat="1" ht="11.25" customHeight="1" x14ac:dyDescent="0.2">
      <c r="A331" s="10">
        <v>65150000</v>
      </c>
      <c r="B331" s="10" t="s">
        <v>270</v>
      </c>
      <c r="C331" s="11">
        <v>0</v>
      </c>
      <c r="D331" s="11">
        <v>0</v>
      </c>
      <c r="E331" s="11">
        <v>0</v>
      </c>
      <c r="F331" s="13">
        <f>SUMIF('OD 11-24'!A:A,A331,'OD 11-24'!D:D)</f>
        <v>175272.33</v>
      </c>
      <c r="G331" s="13">
        <f>SUMIF('OD 11-24'!A:A,A331,'OD 11-24'!E:E)</f>
        <v>148364.93299999999</v>
      </c>
      <c r="H331" s="14">
        <f t="shared" si="10"/>
        <v>26907.396999999997</v>
      </c>
      <c r="I331" s="14">
        <f t="shared" si="11"/>
        <v>26907.396999999997</v>
      </c>
      <c r="J331" s="8" t="s">
        <v>195</v>
      </c>
      <c r="K331" s="8" t="s">
        <v>517</v>
      </c>
      <c r="M331" s="339"/>
      <c r="N331" s="315"/>
    </row>
    <row r="332" spans="1:14" s="9" customFormat="1" ht="11.25" customHeight="1" x14ac:dyDescent="0.2">
      <c r="A332" s="10">
        <v>65190000</v>
      </c>
      <c r="B332" s="10" t="s">
        <v>198</v>
      </c>
      <c r="C332" s="11">
        <v>0</v>
      </c>
      <c r="D332" s="11">
        <v>270439.58899999998</v>
      </c>
      <c r="E332" s="11">
        <v>0</v>
      </c>
      <c r="F332" s="13">
        <f>SUMIF('OD 11-24'!A:A,A332,'OD 11-24'!D:D)</f>
        <v>716813.05200000003</v>
      </c>
      <c r="G332" s="13">
        <f>SUMIF('OD 11-24'!A:A,A332,'OD 11-24'!E:E)</f>
        <v>658794.15700000001</v>
      </c>
      <c r="H332" s="14">
        <f t="shared" si="10"/>
        <v>328458.48400000005</v>
      </c>
      <c r="I332" s="14">
        <f t="shared" si="11"/>
        <v>328458.48400000005</v>
      </c>
      <c r="J332" s="8" t="s">
        <v>195</v>
      </c>
      <c r="K332" s="8" t="s">
        <v>517</v>
      </c>
      <c r="M332" s="339"/>
      <c r="N332" s="315"/>
    </row>
    <row r="333" spans="1:14" s="9" customFormat="1" ht="11.25" customHeight="1" x14ac:dyDescent="0.2">
      <c r="A333" s="10">
        <v>65500000</v>
      </c>
      <c r="B333" s="10" t="s">
        <v>400</v>
      </c>
      <c r="C333" s="11">
        <v>0</v>
      </c>
      <c r="D333" s="11">
        <v>41060.629999999997</v>
      </c>
      <c r="E333" s="11">
        <v>18900.766</v>
      </c>
      <c r="F333" s="13">
        <f>SUMIF('OD 11-24'!A:A,A333,'OD 11-24'!D:D)</f>
        <v>295292.89939999999</v>
      </c>
      <c r="G333" s="13">
        <f>SUMIF('OD 11-24'!A:A,A333,'OD 11-24'!E:E)</f>
        <v>220689.14840000001</v>
      </c>
      <c r="H333" s="14">
        <f t="shared" si="10"/>
        <v>96763.614999999991</v>
      </c>
      <c r="I333" s="14">
        <f t="shared" si="11"/>
        <v>96763.614999999991</v>
      </c>
      <c r="J333" s="8" t="s">
        <v>195</v>
      </c>
      <c r="K333" s="8" t="s">
        <v>517</v>
      </c>
      <c r="M333" s="339"/>
      <c r="N333" s="315"/>
    </row>
    <row r="334" spans="1:14" s="9" customFormat="1" ht="11.25" customHeight="1" x14ac:dyDescent="0.2">
      <c r="A334" s="10">
        <v>66500000</v>
      </c>
      <c r="B334" s="536" t="s">
        <v>8974</v>
      </c>
      <c r="C334" s="11">
        <v>0</v>
      </c>
      <c r="D334" s="11">
        <v>0</v>
      </c>
      <c r="E334" s="11">
        <v>0</v>
      </c>
      <c r="F334" s="13">
        <f>SUMIF('OD 11-24'!A:A,A334,'OD 11-24'!D:D)</f>
        <v>0</v>
      </c>
      <c r="G334" s="13">
        <f>SUMIF('OD 11-24'!A:A,A334,'OD 11-24'!E:E)</f>
        <v>0</v>
      </c>
      <c r="H334" s="14">
        <f t="shared" si="10"/>
        <v>0</v>
      </c>
      <c r="I334" s="14">
        <f t="shared" si="11"/>
        <v>0</v>
      </c>
      <c r="J334" s="8" t="s">
        <v>157</v>
      </c>
      <c r="K334" s="8" t="s">
        <v>512</v>
      </c>
      <c r="M334" s="339"/>
      <c r="N334" s="315"/>
    </row>
    <row r="335" spans="1:14" s="9" customFormat="1" ht="11.25" customHeight="1" x14ac:dyDescent="0.2">
      <c r="A335" s="10">
        <v>66520000</v>
      </c>
      <c r="B335" s="10" t="s">
        <v>200</v>
      </c>
      <c r="C335" s="11">
        <v>0</v>
      </c>
      <c r="D335" s="11">
        <v>110027.747</v>
      </c>
      <c r="E335" s="11">
        <v>0</v>
      </c>
      <c r="F335" s="13">
        <f>SUMIF('OD 11-24'!A:A,A335,'OD 11-24'!D:D)</f>
        <v>117948.3</v>
      </c>
      <c r="G335" s="13">
        <f>SUMIF('OD 11-24'!A:A,A335,'OD 11-24'!E:E)</f>
        <v>104677.29</v>
      </c>
      <c r="H335" s="14">
        <f t="shared" si="10"/>
        <v>123298.75700000003</v>
      </c>
      <c r="I335" s="14">
        <f t="shared" si="11"/>
        <v>123298.75700000003</v>
      </c>
      <c r="J335" s="8" t="s">
        <v>157</v>
      </c>
      <c r="K335" s="8" t="s">
        <v>512</v>
      </c>
      <c r="M335" s="339"/>
      <c r="N335" s="315"/>
    </row>
    <row r="336" spans="1:14" s="9" customFormat="1" ht="11.25" customHeight="1" x14ac:dyDescent="0.2">
      <c r="A336" s="10">
        <v>66540000</v>
      </c>
      <c r="B336" s="10" t="s">
        <v>201</v>
      </c>
      <c r="C336" s="11">
        <v>0</v>
      </c>
      <c r="D336" s="11">
        <v>14781.857</v>
      </c>
      <c r="E336" s="11">
        <v>41</v>
      </c>
      <c r="F336" s="13">
        <f>SUMIF('OD 11-24'!A:A,A336,'OD 11-24'!D:D)</f>
        <v>0</v>
      </c>
      <c r="G336" s="13">
        <f>SUMIF('OD 11-24'!A:A,A336,'OD 11-24'!E:E)</f>
        <v>0</v>
      </c>
      <c r="H336" s="14">
        <f t="shared" si="10"/>
        <v>14740.857</v>
      </c>
      <c r="I336" s="14">
        <f t="shared" si="11"/>
        <v>14740.857</v>
      </c>
      <c r="J336" s="8" t="s">
        <v>157</v>
      </c>
      <c r="K336" s="8" t="s">
        <v>512</v>
      </c>
      <c r="M336" s="339"/>
      <c r="N336" s="315"/>
    </row>
    <row r="337" spans="1:14" s="9" customFormat="1" ht="11.25" customHeight="1" x14ac:dyDescent="0.2">
      <c r="A337" s="10">
        <v>66550000</v>
      </c>
      <c r="B337" s="10" t="s">
        <v>202</v>
      </c>
      <c r="C337" s="11">
        <v>0</v>
      </c>
      <c r="D337" s="11">
        <v>15097.587</v>
      </c>
      <c r="E337" s="11">
        <v>0</v>
      </c>
      <c r="F337" s="13">
        <f>SUMIF('OD 11-24'!A:A,A337,'OD 11-24'!D:D)</f>
        <v>59400</v>
      </c>
      <c r="G337" s="13">
        <f>SUMIF('OD 11-24'!A:A,A337,'OD 11-24'!E:E)</f>
        <v>49500</v>
      </c>
      <c r="H337" s="14">
        <f t="shared" si="10"/>
        <v>24997.587</v>
      </c>
      <c r="I337" s="14">
        <f t="shared" si="11"/>
        <v>24997.587</v>
      </c>
      <c r="J337" s="8" t="s">
        <v>157</v>
      </c>
      <c r="K337" s="8" t="s">
        <v>512</v>
      </c>
      <c r="M337" s="339"/>
      <c r="N337" s="315"/>
    </row>
    <row r="338" spans="1:14" s="9" customFormat="1" ht="11.25" customHeight="1" x14ac:dyDescent="0.2">
      <c r="A338" s="10">
        <v>68112000</v>
      </c>
      <c r="B338" s="10" t="s">
        <v>271</v>
      </c>
      <c r="C338" s="11">
        <v>0</v>
      </c>
      <c r="D338" s="11">
        <v>0</v>
      </c>
      <c r="E338" s="11">
        <v>0</v>
      </c>
      <c r="F338" s="13">
        <f>SUMIF('OD 11-24'!A:A,A338,'OD 11-24'!D:D)</f>
        <v>16061293.588</v>
      </c>
      <c r="G338" s="13">
        <f>SUMIF('OD 11-24'!A:A,A338,'OD 11-24'!E:E)</f>
        <v>13333488.515000001</v>
      </c>
      <c r="H338" s="14">
        <f t="shared" si="10"/>
        <v>2727805.0729999989</v>
      </c>
      <c r="I338" s="14">
        <f t="shared" si="11"/>
        <v>2727805.0729999989</v>
      </c>
      <c r="J338" s="8" t="s">
        <v>203</v>
      </c>
      <c r="K338" s="8" t="s">
        <v>7578</v>
      </c>
      <c r="M338" s="339"/>
      <c r="N338" s="315"/>
    </row>
    <row r="339" spans="1:14" s="9" customFormat="1" ht="11.25" customHeight="1" x14ac:dyDescent="0.2">
      <c r="A339" s="10">
        <v>68150000</v>
      </c>
      <c r="B339" s="10" t="s">
        <v>9481</v>
      </c>
      <c r="C339" s="11">
        <v>0</v>
      </c>
      <c r="D339" s="11">
        <v>0</v>
      </c>
      <c r="E339" s="11">
        <v>0</v>
      </c>
      <c r="F339" s="13">
        <f>SUMIF('OD 11-24'!A:A,A339,'OD 11-24'!D:D)</f>
        <v>420000</v>
      </c>
      <c r="G339" s="13">
        <f>SUMIF('OD 11-24'!A:A,A339,'OD 11-24'!E:E)</f>
        <v>300000</v>
      </c>
      <c r="H339" s="14">
        <f t="shared" si="10"/>
        <v>120000</v>
      </c>
      <c r="I339" s="14">
        <f t="shared" si="11"/>
        <v>120000</v>
      </c>
      <c r="J339" s="8" t="s">
        <v>7715</v>
      </c>
      <c r="K339" s="8" t="s">
        <v>7716</v>
      </c>
      <c r="M339" s="339"/>
      <c r="N339" s="315"/>
    </row>
    <row r="340" spans="1:14" s="9" customFormat="1" ht="11.25" customHeight="1" x14ac:dyDescent="0.2">
      <c r="A340" s="10">
        <v>68170000</v>
      </c>
      <c r="B340" s="10" t="s">
        <v>7577</v>
      </c>
      <c r="C340" s="11">
        <v>0</v>
      </c>
      <c r="D340" s="11">
        <v>0</v>
      </c>
      <c r="E340" s="11">
        <v>0</v>
      </c>
      <c r="F340" s="13">
        <f>SUMIF('OD 11-24'!A:A,A340,'OD 11-24'!D:D)</f>
        <v>3575000</v>
      </c>
      <c r="G340" s="13">
        <f>SUMIF('OD 11-24'!A:A,A340,'OD 11-24'!E:E)</f>
        <v>2950000</v>
      </c>
      <c r="H340" s="14">
        <f t="shared" si="10"/>
        <v>625000</v>
      </c>
      <c r="I340" s="14">
        <f t="shared" si="11"/>
        <v>625000</v>
      </c>
      <c r="J340" s="8" t="s">
        <v>7715</v>
      </c>
      <c r="K340" s="8" t="s">
        <v>7716</v>
      </c>
      <c r="M340" s="339"/>
      <c r="N340" s="315"/>
    </row>
    <row r="341" spans="1:14" s="9" customFormat="1" ht="11.25" customHeight="1" x14ac:dyDescent="0.2">
      <c r="A341" s="10">
        <v>68180000</v>
      </c>
      <c r="B341" s="10" t="s">
        <v>8976</v>
      </c>
      <c r="C341" s="11">
        <v>0</v>
      </c>
      <c r="D341" s="11">
        <v>0</v>
      </c>
      <c r="E341" s="11">
        <v>0</v>
      </c>
      <c r="F341" s="13">
        <f>SUMIF('OD 11-24'!A:A,A341,'OD 11-24'!D:D)</f>
        <v>2402431.1340000001</v>
      </c>
      <c r="G341" s="13">
        <f>SUMIF('OD 11-24'!A:A,A341,'OD 11-24'!E:E)</f>
        <v>1902431.1340000001</v>
      </c>
      <c r="H341" s="14">
        <f t="shared" si="10"/>
        <v>500000</v>
      </c>
      <c r="I341" s="14">
        <f t="shared" si="11"/>
        <v>500000</v>
      </c>
      <c r="J341" s="8" t="s">
        <v>7715</v>
      </c>
      <c r="K341" s="8" t="s">
        <v>7716</v>
      </c>
      <c r="M341" s="339"/>
      <c r="N341" s="315"/>
    </row>
    <row r="342" spans="1:14" s="9" customFormat="1" ht="11.25" customHeight="1" x14ac:dyDescent="0.2">
      <c r="A342" s="10">
        <v>70000000</v>
      </c>
      <c r="B342" s="10" t="s">
        <v>205</v>
      </c>
      <c r="C342" s="11">
        <v>0</v>
      </c>
      <c r="D342" s="11">
        <v>3021773.4919999996</v>
      </c>
      <c r="E342" s="11">
        <v>32271179.294999998</v>
      </c>
      <c r="F342" s="13">
        <f>SUMIF('OD 11-24'!A:A,A342,'OD 11-24'!D:D)</f>
        <v>27147.072</v>
      </c>
      <c r="G342" s="13">
        <f>SUMIF('OD 11-24'!A:A,A342,'OD 11-24'!E:E)</f>
        <v>3041707.2</v>
      </c>
      <c r="H342" s="14">
        <f t="shared" si="10"/>
        <v>-32263965.930999998</v>
      </c>
      <c r="I342" s="14">
        <f t="shared" si="11"/>
        <v>-32263965.930999998</v>
      </c>
      <c r="J342" s="8" t="s">
        <v>206</v>
      </c>
      <c r="K342" s="8" t="s">
        <v>505</v>
      </c>
      <c r="M342" s="339"/>
      <c r="N342" s="315"/>
    </row>
    <row r="343" spans="1:14" s="9" customFormat="1" ht="11.25" customHeight="1" x14ac:dyDescent="0.2">
      <c r="A343" s="10">
        <v>70102000</v>
      </c>
      <c r="B343" s="10" t="s">
        <v>207</v>
      </c>
      <c r="C343" s="11">
        <v>0</v>
      </c>
      <c r="D343" s="11">
        <v>211188.95199999999</v>
      </c>
      <c r="E343" s="11">
        <v>39117632.605999999</v>
      </c>
      <c r="F343" s="13">
        <f>SUMIF('OD 11-24'!A:A,A343,'OD 11-24'!D:D)</f>
        <v>3757277.7850000001</v>
      </c>
      <c r="G343" s="13">
        <f>SUMIF('OD 11-24'!A:A,A343,'OD 11-24'!E:E)</f>
        <v>3757277.7850000001</v>
      </c>
      <c r="H343" s="14">
        <f t="shared" si="10"/>
        <v>-38906443.653999999</v>
      </c>
      <c r="I343" s="14">
        <f t="shared" si="11"/>
        <v>-38906443.653999999</v>
      </c>
      <c r="J343" s="8" t="s">
        <v>227</v>
      </c>
      <c r="K343" s="8" t="s">
        <v>504</v>
      </c>
      <c r="M343" s="339"/>
      <c r="N343" s="315"/>
    </row>
    <row r="344" spans="1:14" s="9" customFormat="1" ht="11.25" customHeight="1" x14ac:dyDescent="0.2">
      <c r="A344" s="10">
        <v>70103000</v>
      </c>
      <c r="B344" s="10" t="s">
        <v>380</v>
      </c>
      <c r="C344" s="11">
        <v>0</v>
      </c>
      <c r="D344" s="11">
        <v>0</v>
      </c>
      <c r="E344" s="11">
        <v>4225</v>
      </c>
      <c r="F344" s="13">
        <f>SUMIF('OD 11-24'!A:A,A344,'OD 11-24'!D:D)</f>
        <v>0</v>
      </c>
      <c r="G344" s="13">
        <f>SUMIF('OD 11-24'!A:A,A344,'OD 11-24'!E:E)</f>
        <v>0</v>
      </c>
      <c r="H344" s="14">
        <f t="shared" si="10"/>
        <v>-4225</v>
      </c>
      <c r="I344" s="14">
        <f t="shared" si="11"/>
        <v>-4225</v>
      </c>
      <c r="J344" s="8" t="s">
        <v>206</v>
      </c>
      <c r="K344" s="8" t="s">
        <v>505</v>
      </c>
      <c r="M344" s="339"/>
      <c r="N344" s="315"/>
    </row>
    <row r="345" spans="1:14" s="9" customFormat="1" ht="11.25" customHeight="1" x14ac:dyDescent="0.2">
      <c r="A345" s="10">
        <v>70600000</v>
      </c>
      <c r="B345" s="10" t="s">
        <v>381</v>
      </c>
      <c r="C345" s="11">
        <v>0</v>
      </c>
      <c r="D345" s="11">
        <v>84633.7</v>
      </c>
      <c r="E345" s="11">
        <v>1050987.4540000001</v>
      </c>
      <c r="F345" s="13">
        <f>SUMIF('OD 11-24'!A:A,A345,'OD 11-24'!D:D)</f>
        <v>661789.30900000001</v>
      </c>
      <c r="G345" s="13">
        <f>SUMIF('OD 11-24'!A:A,A345,'OD 11-24'!E:E)</f>
        <v>736589.96799999999</v>
      </c>
      <c r="H345" s="14">
        <f t="shared" si="10"/>
        <v>-1041154.4130000002</v>
      </c>
      <c r="I345" s="14">
        <f t="shared" si="11"/>
        <v>-1041154.4130000002</v>
      </c>
      <c r="J345" s="8" t="s">
        <v>214</v>
      </c>
      <c r="K345" s="8" t="s">
        <v>506</v>
      </c>
      <c r="M345" s="339"/>
      <c r="N345" s="315"/>
    </row>
    <row r="346" spans="1:14" s="9" customFormat="1" ht="11.25" customHeight="1" x14ac:dyDescent="0.2">
      <c r="A346" s="10">
        <v>70600100</v>
      </c>
      <c r="B346" s="10" t="s">
        <v>7574</v>
      </c>
      <c r="C346" s="11">
        <v>0</v>
      </c>
      <c r="D346" s="11">
        <v>0</v>
      </c>
      <c r="E346" s="11">
        <v>4972.8629999999994</v>
      </c>
      <c r="F346" s="13">
        <f>SUMIF('OD 11-24'!A:A,A346,'OD 11-24'!D:D)</f>
        <v>0</v>
      </c>
      <c r="G346" s="13">
        <f>SUMIF('OD 11-24'!A:A,A346,'OD 11-24'!E:E)</f>
        <v>0</v>
      </c>
      <c r="H346" s="14">
        <f t="shared" si="10"/>
        <v>-4972.8629999999994</v>
      </c>
      <c r="I346" s="14">
        <f t="shared" si="11"/>
        <v>-4972.8629999999994</v>
      </c>
      <c r="J346" s="8" t="s">
        <v>214</v>
      </c>
      <c r="K346" s="8" t="s">
        <v>506</v>
      </c>
      <c r="M346" s="339"/>
      <c r="N346" s="315"/>
    </row>
    <row r="347" spans="1:14" s="9" customFormat="1" ht="11.25" customHeight="1" x14ac:dyDescent="0.2">
      <c r="A347" s="10">
        <v>70600500</v>
      </c>
      <c r="B347" s="10" t="s">
        <v>208</v>
      </c>
      <c r="C347" s="11">
        <v>0</v>
      </c>
      <c r="D347" s="11">
        <v>38770.517999999996</v>
      </c>
      <c r="E347" s="11">
        <v>60430.23</v>
      </c>
      <c r="F347" s="13">
        <f>SUMIF('OD 11-24'!A:A,A347,'OD 11-24'!D:D)</f>
        <v>82439.455000000002</v>
      </c>
      <c r="G347" s="13">
        <f>SUMIF('OD 11-24'!A:A,A347,'OD 11-24'!E:E)</f>
        <v>99340.785000000003</v>
      </c>
      <c r="H347" s="14">
        <f t="shared" si="10"/>
        <v>-38561.042000000009</v>
      </c>
      <c r="I347" s="14">
        <f t="shared" si="11"/>
        <v>-38561.042000000009</v>
      </c>
      <c r="J347" s="8" t="s">
        <v>214</v>
      </c>
      <c r="K347" s="8" t="s">
        <v>506</v>
      </c>
      <c r="M347" s="339"/>
      <c r="N347" s="315"/>
    </row>
    <row r="348" spans="1:14" s="9" customFormat="1" ht="11.25" customHeight="1" x14ac:dyDescent="0.2">
      <c r="A348" s="10">
        <v>71340000</v>
      </c>
      <c r="B348" s="10" t="s">
        <v>382</v>
      </c>
      <c r="C348" s="11">
        <v>0</v>
      </c>
      <c r="D348" s="11">
        <v>744393.83599999989</v>
      </c>
      <c r="E348" s="11">
        <v>0</v>
      </c>
      <c r="F348" s="13">
        <f>SUMIF('OD 11-24'!A:A,A348,'OD 11-24'!D:D)</f>
        <v>2233181.5079999999</v>
      </c>
      <c r="G348" s="13">
        <f>SUMIF('OD 11-24'!A:A,A348,'OD 11-24'!E:E)</f>
        <v>2233181.5079999999</v>
      </c>
      <c r="H348" s="14">
        <f t="shared" si="10"/>
        <v>744393.83599999966</v>
      </c>
      <c r="I348" s="14">
        <f t="shared" si="11"/>
        <v>744393.83599999966</v>
      </c>
      <c r="J348" s="8" t="s">
        <v>210</v>
      </c>
      <c r="K348" s="8" t="s">
        <v>508</v>
      </c>
      <c r="M348" s="339"/>
      <c r="N348" s="315"/>
    </row>
    <row r="349" spans="1:14" s="9" customFormat="1" ht="11.25" customHeight="1" x14ac:dyDescent="0.2">
      <c r="A349" s="10">
        <v>71350000</v>
      </c>
      <c r="B349" s="10" t="s">
        <v>209</v>
      </c>
      <c r="C349" s="11">
        <v>0</v>
      </c>
      <c r="D349" s="11">
        <v>5109884.3080000002</v>
      </c>
      <c r="E349" s="11">
        <v>0</v>
      </c>
      <c r="F349" s="13">
        <f>SUMIF('OD 11-24'!A:A,A349,'OD 11-24'!D:D)</f>
        <v>66560618.2214</v>
      </c>
      <c r="G349" s="13">
        <f>SUMIF('OD 11-24'!A:A,A349,'OD 11-24'!E:E)</f>
        <v>72751442.067399994</v>
      </c>
      <c r="H349" s="14">
        <f t="shared" si="10"/>
        <v>-1080939.5379999876</v>
      </c>
      <c r="I349" s="14">
        <f t="shared" si="11"/>
        <v>-1080939.5379999876</v>
      </c>
      <c r="J349" s="8" t="s">
        <v>210</v>
      </c>
      <c r="K349" s="8" t="s">
        <v>508</v>
      </c>
      <c r="M349" s="339"/>
      <c r="N349" s="315"/>
    </row>
    <row r="350" spans="1:14" s="9" customFormat="1" ht="11.25" customHeight="1" x14ac:dyDescent="0.2">
      <c r="A350" s="10">
        <v>73601000</v>
      </c>
      <c r="B350" s="10" t="s">
        <v>211</v>
      </c>
      <c r="C350" s="11">
        <v>0</v>
      </c>
      <c r="D350" s="11">
        <v>5547.0590000000002</v>
      </c>
      <c r="E350" s="11">
        <v>74991.596999999994</v>
      </c>
      <c r="F350" s="13">
        <f>SUMIF('OD 11-24'!A:A,A350,'OD 11-24'!D:D)</f>
        <v>0</v>
      </c>
      <c r="G350" s="13">
        <f>SUMIF('OD 11-24'!A:A,A350,'OD 11-24'!E:E)</f>
        <v>0</v>
      </c>
      <c r="H350" s="14">
        <f t="shared" si="10"/>
        <v>-69444.538</v>
      </c>
      <c r="I350" s="14">
        <f t="shared" si="11"/>
        <v>-69444.538</v>
      </c>
      <c r="J350" s="8" t="s">
        <v>214</v>
      </c>
      <c r="K350" s="8" t="s">
        <v>506</v>
      </c>
      <c r="M350" s="339"/>
      <c r="N350" s="315"/>
    </row>
    <row r="351" spans="1:14" s="9" customFormat="1" ht="11.25" customHeight="1" x14ac:dyDescent="0.2">
      <c r="A351" s="10">
        <v>73602000</v>
      </c>
      <c r="B351" s="10" t="s">
        <v>8975</v>
      </c>
      <c r="C351" s="11">
        <v>0</v>
      </c>
      <c r="D351" s="11">
        <v>0</v>
      </c>
      <c r="E351" s="11">
        <v>18848.377</v>
      </c>
      <c r="F351" s="13">
        <f>SUMIF('OD 11-24'!A:A,A351,'OD 11-24'!D:D)</f>
        <v>0</v>
      </c>
      <c r="G351" s="13">
        <f>SUMIF('OD 11-24'!A:A,A351,'OD 11-24'!E:E)</f>
        <v>0</v>
      </c>
      <c r="H351" s="14">
        <f t="shared" si="10"/>
        <v>-18848.377</v>
      </c>
      <c r="I351" s="14">
        <f t="shared" si="11"/>
        <v>-18848.377</v>
      </c>
      <c r="J351" s="8" t="s">
        <v>214</v>
      </c>
      <c r="K351" s="8" t="s">
        <v>506</v>
      </c>
      <c r="M351" s="339"/>
      <c r="N351" s="315"/>
    </row>
    <row r="352" spans="1:14" s="9" customFormat="1" ht="11.25" customHeight="1" x14ac:dyDescent="0.2">
      <c r="A352" s="10">
        <v>73900000</v>
      </c>
      <c r="B352" s="10" t="s">
        <v>213</v>
      </c>
      <c r="C352" s="11">
        <v>0</v>
      </c>
      <c r="D352" s="11">
        <v>0</v>
      </c>
      <c r="E352" s="11">
        <v>0</v>
      </c>
      <c r="F352" s="13">
        <f>SUMIF('OD 11-24'!A:A,A352,'OD 11-24'!D:D)</f>
        <v>1115533.05</v>
      </c>
      <c r="G352" s="13">
        <f>SUMIF('OD 11-24'!A:A,A352,'OD 11-24'!E:E)</f>
        <v>1338639.6599999999</v>
      </c>
      <c r="H352" s="14">
        <f>+D352+F352-E352-G352</f>
        <v>-223106.60999999987</v>
      </c>
      <c r="I352" s="14">
        <f>+H352+C352</f>
        <v>-223106.60999999987</v>
      </c>
      <c r="J352" s="8" t="s">
        <v>214</v>
      </c>
      <c r="K352" s="8" t="s">
        <v>506</v>
      </c>
      <c r="M352" s="339"/>
      <c r="N352" s="315"/>
    </row>
    <row r="353" spans="1:14" s="9" customFormat="1" ht="11.25" customHeight="1" x14ac:dyDescent="0.2">
      <c r="A353" s="10">
        <v>74100000</v>
      </c>
      <c r="B353" s="10" t="s">
        <v>8980</v>
      </c>
      <c r="C353" s="11">
        <v>0</v>
      </c>
      <c r="D353" s="11">
        <v>0</v>
      </c>
      <c r="E353" s="11">
        <v>5128.4340000000002</v>
      </c>
      <c r="F353" s="13">
        <f>SUMIF('OD 11-24'!A:A,A353,'OD 11-24'!D:D)</f>
        <v>0</v>
      </c>
      <c r="G353" s="13">
        <f>SUMIF('OD 11-24'!A:A,A353,'OD 11-24'!E:E)</f>
        <v>0</v>
      </c>
      <c r="H353" s="14">
        <f>+D353+F353-E353-G353</f>
        <v>-5128.4340000000002</v>
      </c>
      <c r="I353" s="14">
        <f>+H353+C353</f>
        <v>-5128.4340000000002</v>
      </c>
      <c r="J353" s="8" t="s">
        <v>214</v>
      </c>
      <c r="K353" s="8" t="s">
        <v>506</v>
      </c>
      <c r="M353" s="339"/>
      <c r="N353" s="315"/>
    </row>
    <row r="354" spans="1:14" s="9" customFormat="1" ht="11.25" customHeight="1" x14ac:dyDescent="0.2">
      <c r="A354" s="10">
        <v>75000000</v>
      </c>
      <c r="B354" s="10" t="s">
        <v>7575</v>
      </c>
      <c r="C354" s="11">
        <v>0</v>
      </c>
      <c r="D354" s="11">
        <v>0</v>
      </c>
      <c r="E354" s="11">
        <v>1074.4860000000001</v>
      </c>
      <c r="F354" s="13">
        <f>SUMIF('OD 11-24'!A:A,A354,'OD 11-24'!D:D)</f>
        <v>0</v>
      </c>
      <c r="G354" s="13">
        <f>SUMIF('OD 11-24'!A:A,A354,'OD 11-24'!E:E)</f>
        <v>0</v>
      </c>
      <c r="H354" s="14">
        <f t="shared" si="10"/>
        <v>-1074.4860000000001</v>
      </c>
      <c r="I354" s="14">
        <f t="shared" si="11"/>
        <v>-1074.4860000000001</v>
      </c>
      <c r="J354" s="8" t="s">
        <v>195</v>
      </c>
      <c r="K354" s="8" t="s">
        <v>517</v>
      </c>
      <c r="M354" s="339"/>
      <c r="N354" s="315"/>
    </row>
    <row r="355" spans="1:14" s="9" customFormat="1" ht="11.25" customHeight="1" x14ac:dyDescent="0.2">
      <c r="A355" s="10">
        <v>75600000</v>
      </c>
      <c r="B355" s="10" t="s">
        <v>215</v>
      </c>
      <c r="C355" s="11">
        <v>0</v>
      </c>
      <c r="D355" s="11">
        <v>1E-3</v>
      </c>
      <c r="E355" s="11">
        <v>11478.505000000001</v>
      </c>
      <c r="F355" s="13">
        <f>SUMIF('OD 11-24'!A:A,A355,'OD 11-24'!D:D)</f>
        <v>23093.164000000001</v>
      </c>
      <c r="G355" s="13">
        <f>SUMIF('OD 11-24'!A:A,A355,'OD 11-24'!E:E)</f>
        <v>23136.399000000001</v>
      </c>
      <c r="H355" s="14">
        <f t="shared" si="10"/>
        <v>-11521.739000000001</v>
      </c>
      <c r="I355" s="14">
        <f t="shared" si="11"/>
        <v>-11521.739000000001</v>
      </c>
      <c r="J355" s="8" t="s">
        <v>195</v>
      </c>
      <c r="K355" s="8" t="s">
        <v>517</v>
      </c>
      <c r="M355" s="339"/>
      <c r="N355" s="315"/>
    </row>
    <row r="356" spans="1:14" s="9" customFormat="1" ht="11.25" customHeight="1" x14ac:dyDescent="0.2">
      <c r="A356" s="10">
        <v>77000000</v>
      </c>
      <c r="B356" s="10" t="s">
        <v>216</v>
      </c>
      <c r="C356" s="11">
        <v>0</v>
      </c>
      <c r="D356" s="11">
        <v>0</v>
      </c>
      <c r="E356" s="11">
        <v>1</v>
      </c>
      <c r="F356" s="13">
        <f>SUMIF('OD 11-24'!A:A,A356,'OD 11-24'!D:D)</f>
        <v>0</v>
      </c>
      <c r="G356" s="13">
        <f>SUMIF('OD 11-24'!A:A,A356,'OD 11-24'!E:E)</f>
        <v>0</v>
      </c>
      <c r="H356" s="14">
        <f t="shared" si="10"/>
        <v>-1</v>
      </c>
      <c r="I356" s="14">
        <f t="shared" si="11"/>
        <v>-1</v>
      </c>
      <c r="J356" s="8" t="s">
        <v>214</v>
      </c>
      <c r="K356" s="8" t="s">
        <v>506</v>
      </c>
      <c r="M356" s="339"/>
      <c r="N356" s="315"/>
    </row>
    <row r="357" spans="1:14" s="9" customFormat="1" ht="11.25" customHeight="1" x14ac:dyDescent="0.2">
      <c r="A357" s="10">
        <v>78000000</v>
      </c>
      <c r="B357" s="10" t="s">
        <v>7576</v>
      </c>
      <c r="C357" s="11">
        <v>0</v>
      </c>
      <c r="D357" s="11">
        <v>0</v>
      </c>
      <c r="E357" s="11">
        <v>59797.479000000007</v>
      </c>
      <c r="F357" s="13">
        <f>SUMIF('OD 11-24'!A:A,A357,'OD 11-24'!D:D)</f>
        <v>0</v>
      </c>
      <c r="G357" s="13">
        <f>SUMIF('OD 11-24'!A:A,A357,'OD 11-24'!E:E)</f>
        <v>0</v>
      </c>
      <c r="H357" s="14">
        <f t="shared" si="10"/>
        <v>-59797.479000000007</v>
      </c>
      <c r="I357" s="14">
        <f t="shared" si="11"/>
        <v>-59797.479000000007</v>
      </c>
      <c r="J357" s="8" t="s">
        <v>7715</v>
      </c>
      <c r="K357" s="8" t="s">
        <v>7716</v>
      </c>
      <c r="M357" s="339"/>
      <c r="N357" s="315"/>
    </row>
    <row r="358" spans="1:14" ht="15" customHeight="1" x14ac:dyDescent="0.25">
      <c r="C358" s="11">
        <f t="shared" ref="C358:I358" si="12">SUM(C3:C357)</f>
        <v>8.5531454533338547E-4</v>
      </c>
      <c r="D358" s="11">
        <f t="shared" si="12"/>
        <v>508193828.02502227</v>
      </c>
      <c r="E358" s="11">
        <f t="shared" si="12"/>
        <v>508193828.02502221</v>
      </c>
      <c r="F358" s="11">
        <f t="shared" si="12"/>
        <v>546226159.31900001</v>
      </c>
      <c r="G358" s="11">
        <f t="shared" si="12"/>
        <v>546226159.31900001</v>
      </c>
      <c r="H358" s="11">
        <f t="shared" si="12"/>
        <v>-4.5693013817071915E-9</v>
      </c>
      <c r="I358" s="11">
        <f t="shared" si="12"/>
        <v>8.5530718206427991E-4</v>
      </c>
      <c r="L358" s="9"/>
      <c r="M358" s="339"/>
      <c r="N358" s="315"/>
    </row>
    <row r="359" spans="1:14" x14ac:dyDescent="0.25">
      <c r="F359" s="305">
        <f>+'OD 11-24'!D130</f>
        <v>546226159.31900001</v>
      </c>
      <c r="G359" s="305">
        <f>+'OD 11-24'!E130</f>
        <v>546226159.31900001</v>
      </c>
      <c r="L359" s="9"/>
      <c r="M359" s="339"/>
    </row>
    <row r="360" spans="1:14" x14ac:dyDescent="0.25">
      <c r="D360" s="305">
        <f>+D358-D707</f>
        <v>0</v>
      </c>
      <c r="E360" s="305">
        <f>+E358-E707</f>
        <v>0</v>
      </c>
      <c r="F360" s="305">
        <f>+F359-F358</f>
        <v>0</v>
      </c>
      <c r="G360" s="305">
        <f>+G359-G358</f>
        <v>0</v>
      </c>
    </row>
    <row r="365" spans="1:14" ht="11.25" x14ac:dyDescent="0.2">
      <c r="A365" s="654">
        <v>10100000</v>
      </c>
      <c r="B365" s="655" t="s">
        <v>9744</v>
      </c>
      <c r="C365" s="656">
        <v>-13500000</v>
      </c>
      <c r="D365" s="656">
        <v>0</v>
      </c>
      <c r="E365" s="656">
        <v>0</v>
      </c>
      <c r="F365" s="656">
        <v>0</v>
      </c>
      <c r="G365" s="656">
        <v>-13500000</v>
      </c>
      <c r="H365" s="305">
        <f t="shared" ref="H365:H428" si="13">VLOOKUP($A365,$A$2:$B$357,1,0)</f>
        <v>10100000</v>
      </c>
    </row>
    <row r="366" spans="1:14" ht="11.25" x14ac:dyDescent="0.2">
      <c r="A366" s="654">
        <v>11101000</v>
      </c>
      <c r="B366" s="655" t="s">
        <v>9745</v>
      </c>
      <c r="C366" s="656">
        <v>-1200000</v>
      </c>
      <c r="D366" s="656">
        <v>0</v>
      </c>
      <c r="E366" s="656">
        <v>0</v>
      </c>
      <c r="F366" s="656">
        <v>0</v>
      </c>
      <c r="G366" s="656">
        <v>-1200000</v>
      </c>
      <c r="H366" s="305">
        <f t="shared" si="13"/>
        <v>11101000</v>
      </c>
    </row>
    <row r="367" spans="1:14" ht="11.25" x14ac:dyDescent="0.2">
      <c r="A367" s="654">
        <v>12100000</v>
      </c>
      <c r="B367" s="655" t="s">
        <v>9746</v>
      </c>
      <c r="C367" s="656">
        <v>-22014748.229807556</v>
      </c>
      <c r="D367" s="656">
        <v>0</v>
      </c>
      <c r="E367" s="656">
        <v>0</v>
      </c>
      <c r="F367" s="656">
        <v>0</v>
      </c>
      <c r="G367" s="656">
        <v>-22014748.229807556</v>
      </c>
      <c r="H367" s="305">
        <f t="shared" si="13"/>
        <v>12100000</v>
      </c>
    </row>
    <row r="368" spans="1:14" ht="11.25" x14ac:dyDescent="0.2">
      <c r="A368" s="654">
        <v>12200000</v>
      </c>
      <c r="B368" s="655" t="s">
        <v>9747</v>
      </c>
      <c r="C368" s="656">
        <v>0</v>
      </c>
      <c r="D368" s="656">
        <v>0</v>
      </c>
      <c r="E368" s="656">
        <v>0</v>
      </c>
      <c r="F368" s="656">
        <v>0</v>
      </c>
      <c r="G368" s="656">
        <v>0</v>
      </c>
      <c r="H368" s="305">
        <f t="shared" si="13"/>
        <v>12200000</v>
      </c>
    </row>
    <row r="369" spans="1:8" ht="11.25" x14ac:dyDescent="0.2">
      <c r="A369" s="654">
        <v>12800000</v>
      </c>
      <c r="B369" s="655" t="s">
        <v>9748</v>
      </c>
      <c r="C369" s="656">
        <v>3126298.01</v>
      </c>
      <c r="D369" s="656">
        <v>0</v>
      </c>
      <c r="E369" s="656">
        <v>0</v>
      </c>
      <c r="F369" s="656">
        <v>0</v>
      </c>
      <c r="G369" s="656">
        <v>3126298.01</v>
      </c>
      <c r="H369" s="305">
        <f t="shared" si="13"/>
        <v>12800000</v>
      </c>
    </row>
    <row r="370" spans="1:8" ht="11.25" x14ac:dyDescent="0.2">
      <c r="A370" s="654">
        <v>13000000</v>
      </c>
      <c r="B370" s="655" t="s">
        <v>9749</v>
      </c>
      <c r="C370" s="656">
        <v>0</v>
      </c>
      <c r="D370" s="656">
        <v>0</v>
      </c>
      <c r="E370" s="656">
        <v>0</v>
      </c>
      <c r="F370" s="656">
        <v>0</v>
      </c>
      <c r="G370" s="656">
        <v>0</v>
      </c>
      <c r="H370" s="305">
        <f t="shared" si="13"/>
        <v>13000000</v>
      </c>
    </row>
    <row r="371" spans="1:8" ht="11.25" x14ac:dyDescent="0.2">
      <c r="A371" s="654">
        <v>14500000</v>
      </c>
      <c r="B371" s="655" t="s">
        <v>9750</v>
      </c>
      <c r="C371" s="656">
        <v>-3479108.84</v>
      </c>
      <c r="D371" s="656">
        <v>0</v>
      </c>
      <c r="E371" s="656">
        <v>0</v>
      </c>
      <c r="F371" s="656">
        <v>0</v>
      </c>
      <c r="G371" s="656">
        <v>-3479108.84</v>
      </c>
      <c r="H371" s="305">
        <f t="shared" si="13"/>
        <v>14500000</v>
      </c>
    </row>
    <row r="372" spans="1:8" ht="11.25" x14ac:dyDescent="0.2">
      <c r="A372" s="654">
        <v>14508000</v>
      </c>
      <c r="B372" s="655" t="s">
        <v>9751</v>
      </c>
      <c r="C372" s="656">
        <v>2662861.7680000002</v>
      </c>
      <c r="D372" s="656">
        <v>0</v>
      </c>
      <c r="E372" s="656">
        <v>0</v>
      </c>
      <c r="F372" s="656">
        <v>0</v>
      </c>
      <c r="G372" s="656">
        <v>2662861.7680000002</v>
      </c>
      <c r="H372" s="305">
        <f t="shared" si="13"/>
        <v>14508000</v>
      </c>
    </row>
    <row r="373" spans="1:8" ht="11.25" x14ac:dyDescent="0.2">
      <c r="A373" s="654">
        <v>15100000</v>
      </c>
      <c r="B373" s="655" t="s">
        <v>9752</v>
      </c>
      <c r="C373" s="656">
        <v>-231535.016</v>
      </c>
      <c r="D373" s="656">
        <v>0</v>
      </c>
      <c r="E373" s="656">
        <v>0</v>
      </c>
      <c r="F373" s="656">
        <v>0</v>
      </c>
      <c r="G373" s="656">
        <v>-231535.016</v>
      </c>
      <c r="H373" s="305">
        <f t="shared" si="13"/>
        <v>15100000</v>
      </c>
    </row>
    <row r="374" spans="1:8" ht="11.25" x14ac:dyDescent="0.2">
      <c r="A374" s="654">
        <v>16210250</v>
      </c>
      <c r="B374" s="655" t="s">
        <v>9753</v>
      </c>
      <c r="C374" s="656">
        <v>0</v>
      </c>
      <c r="D374" s="656">
        <v>0</v>
      </c>
      <c r="E374" s="656">
        <v>0</v>
      </c>
      <c r="F374" s="656">
        <v>0</v>
      </c>
      <c r="G374" s="656">
        <v>0</v>
      </c>
      <c r="H374" s="305">
        <f t="shared" si="13"/>
        <v>16210250</v>
      </c>
    </row>
    <row r="375" spans="1:8" ht="11.25" x14ac:dyDescent="0.2">
      <c r="A375" s="654">
        <v>16210500</v>
      </c>
      <c r="B375" s="655" t="s">
        <v>9754</v>
      </c>
      <c r="C375" s="656">
        <v>-1416666.6629999988</v>
      </c>
      <c r="D375" s="656">
        <v>0</v>
      </c>
      <c r="E375" s="656">
        <v>0</v>
      </c>
      <c r="F375" s="656">
        <v>0</v>
      </c>
      <c r="G375" s="656">
        <v>-1416666.6629999988</v>
      </c>
      <c r="H375" s="305">
        <f t="shared" si="13"/>
        <v>16210500</v>
      </c>
    </row>
    <row r="376" spans="1:8" ht="11.25" x14ac:dyDescent="0.2">
      <c r="A376" s="654">
        <v>16210960</v>
      </c>
      <c r="B376" s="655" t="s">
        <v>9755</v>
      </c>
      <c r="C376" s="656">
        <v>0</v>
      </c>
      <c r="D376" s="656">
        <v>0</v>
      </c>
      <c r="E376" s="656">
        <v>0</v>
      </c>
      <c r="F376" s="656">
        <v>0</v>
      </c>
      <c r="G376" s="656">
        <v>0</v>
      </c>
      <c r="H376" s="305">
        <f t="shared" si="13"/>
        <v>16210960</v>
      </c>
    </row>
    <row r="377" spans="1:8" ht="11.25" x14ac:dyDescent="0.2">
      <c r="A377" s="654">
        <v>16400000</v>
      </c>
      <c r="B377" s="655" t="s">
        <v>9756</v>
      </c>
      <c r="C377" s="656">
        <v>-103582.68900000001</v>
      </c>
      <c r="D377" s="656">
        <v>181732.467</v>
      </c>
      <c r="E377" s="656">
        <v>500967.03899999999</v>
      </c>
      <c r="F377" s="656">
        <v>-319234.57199999999</v>
      </c>
      <c r="G377" s="656">
        <v>-422817.261</v>
      </c>
      <c r="H377" s="305">
        <f t="shared" si="13"/>
        <v>16400000</v>
      </c>
    </row>
    <row r="378" spans="1:8" ht="11.25" x14ac:dyDescent="0.2">
      <c r="A378" s="654">
        <v>18800000</v>
      </c>
      <c r="B378" s="655" t="s">
        <v>9757</v>
      </c>
      <c r="C378" s="656">
        <v>0</v>
      </c>
      <c r="D378" s="656">
        <v>0</v>
      </c>
      <c r="E378" s="656">
        <v>0</v>
      </c>
      <c r="F378" s="656">
        <v>0</v>
      </c>
      <c r="G378" s="656">
        <v>0</v>
      </c>
      <c r="H378" s="305">
        <f t="shared" si="13"/>
        <v>18800000</v>
      </c>
    </row>
    <row r="379" spans="1:8" ht="11.25" x14ac:dyDescent="0.2">
      <c r="A379" s="654">
        <v>21100000</v>
      </c>
      <c r="B379" s="655" t="s">
        <v>9758</v>
      </c>
      <c r="C379" s="656">
        <v>0</v>
      </c>
      <c r="D379" s="656">
        <v>0</v>
      </c>
      <c r="E379" s="656">
        <v>0</v>
      </c>
      <c r="F379" s="656">
        <v>0</v>
      </c>
      <c r="G379" s="656">
        <v>0</v>
      </c>
      <c r="H379" s="305">
        <f t="shared" si="13"/>
        <v>21100000</v>
      </c>
    </row>
    <row r="380" spans="1:8" ht="11.25" x14ac:dyDescent="0.2">
      <c r="A380" s="654">
        <v>21300000</v>
      </c>
      <c r="B380" s="655" t="s">
        <v>9759</v>
      </c>
      <c r="C380" s="656">
        <v>93173.926999999996</v>
      </c>
      <c r="D380" s="656">
        <v>53872.780000000006</v>
      </c>
      <c r="E380" s="656">
        <v>0</v>
      </c>
      <c r="F380" s="656">
        <v>53872.780000000006</v>
      </c>
      <c r="G380" s="656">
        <v>147046.70699999999</v>
      </c>
      <c r="H380" s="305">
        <f t="shared" si="13"/>
        <v>21300000</v>
      </c>
    </row>
    <row r="381" spans="1:8" ht="11.25" x14ac:dyDescent="0.2">
      <c r="A381" s="654">
        <v>22000000</v>
      </c>
      <c r="B381" s="655" t="s">
        <v>9760</v>
      </c>
      <c r="C381" s="656">
        <v>0</v>
      </c>
      <c r="D381" s="656">
        <v>0</v>
      </c>
      <c r="E381" s="656">
        <v>0</v>
      </c>
      <c r="F381" s="656">
        <v>0</v>
      </c>
      <c r="G381" s="656">
        <v>0</v>
      </c>
      <c r="H381" s="305">
        <f t="shared" si="13"/>
        <v>22000000</v>
      </c>
    </row>
    <row r="382" spans="1:8" ht="11.25" x14ac:dyDescent="0.2">
      <c r="A382" s="654">
        <v>22100000</v>
      </c>
      <c r="B382" s="655" t="s">
        <v>9761</v>
      </c>
      <c r="C382" s="656">
        <v>1275724</v>
      </c>
      <c r="D382" s="656">
        <v>0</v>
      </c>
      <c r="E382" s="656">
        <v>0</v>
      </c>
      <c r="F382" s="656">
        <v>0</v>
      </c>
      <c r="G382" s="656">
        <v>1275724</v>
      </c>
      <c r="H382" s="305">
        <f t="shared" si="13"/>
        <v>22100000</v>
      </c>
    </row>
    <row r="383" spans="1:8" ht="11.25" x14ac:dyDescent="0.2">
      <c r="A383" s="654">
        <v>22160000</v>
      </c>
      <c r="B383" s="655" t="s">
        <v>9762</v>
      </c>
      <c r="C383" s="656">
        <v>161921.53600000002</v>
      </c>
      <c r="D383" s="656">
        <v>0</v>
      </c>
      <c r="E383" s="656">
        <v>0</v>
      </c>
      <c r="F383" s="656">
        <v>0</v>
      </c>
      <c r="G383" s="656">
        <v>161921.53600000002</v>
      </c>
      <c r="H383" s="305">
        <f t="shared" si="13"/>
        <v>22160000</v>
      </c>
    </row>
    <row r="384" spans="1:8" ht="11.25" x14ac:dyDescent="0.2">
      <c r="A384" s="654">
        <v>22200000</v>
      </c>
      <c r="B384" s="655" t="s">
        <v>9763</v>
      </c>
      <c r="C384" s="656">
        <v>9174898.748999998</v>
      </c>
      <c r="D384" s="656">
        <v>0</v>
      </c>
      <c r="E384" s="656">
        <v>0</v>
      </c>
      <c r="F384" s="656">
        <v>0</v>
      </c>
      <c r="G384" s="656">
        <v>9174898.748999998</v>
      </c>
      <c r="H384" s="305">
        <f t="shared" si="13"/>
        <v>22200000</v>
      </c>
    </row>
    <row r="385" spans="1:8" ht="11.25" x14ac:dyDescent="0.2">
      <c r="A385" s="654">
        <v>22250000</v>
      </c>
      <c r="B385" s="655" t="s">
        <v>9764</v>
      </c>
      <c r="C385" s="656">
        <v>696674.05799999996</v>
      </c>
      <c r="D385" s="656">
        <v>110156.76000000001</v>
      </c>
      <c r="E385" s="656">
        <v>13495.522000000001</v>
      </c>
      <c r="F385" s="656">
        <v>96661.238000000012</v>
      </c>
      <c r="G385" s="656">
        <v>793335.29599999997</v>
      </c>
      <c r="H385" s="305">
        <f t="shared" si="13"/>
        <v>22250000</v>
      </c>
    </row>
    <row r="386" spans="1:8" ht="11.25" x14ac:dyDescent="0.2">
      <c r="A386" s="654">
        <v>22300000</v>
      </c>
      <c r="B386" s="655" t="s">
        <v>9765</v>
      </c>
      <c r="C386" s="656">
        <v>73570.611000000004</v>
      </c>
      <c r="D386" s="656">
        <v>26392</v>
      </c>
      <c r="E386" s="656">
        <v>0</v>
      </c>
      <c r="F386" s="656">
        <v>26392</v>
      </c>
      <c r="G386" s="656">
        <v>99962.611000000004</v>
      </c>
      <c r="H386" s="305">
        <f t="shared" si="13"/>
        <v>22300000</v>
      </c>
    </row>
    <row r="387" spans="1:8" ht="11.25" x14ac:dyDescent="0.2">
      <c r="A387" s="654">
        <v>22310000</v>
      </c>
      <c r="B387" s="655" t="s">
        <v>9766</v>
      </c>
      <c r="C387" s="656">
        <v>0</v>
      </c>
      <c r="D387" s="656">
        <v>27986.973999999998</v>
      </c>
      <c r="E387" s="656">
        <v>0</v>
      </c>
      <c r="F387" s="656">
        <v>27986.973999999998</v>
      </c>
      <c r="G387" s="656">
        <v>27986.973999999998</v>
      </c>
      <c r="H387" s="305">
        <f t="shared" si="13"/>
        <v>22310000</v>
      </c>
    </row>
    <row r="388" spans="1:8" ht="11.25" x14ac:dyDescent="0.2">
      <c r="A388" s="654">
        <v>22340000</v>
      </c>
      <c r="B388" s="655" t="s">
        <v>9767</v>
      </c>
      <c r="C388" s="656">
        <v>24676096.882049002</v>
      </c>
      <c r="D388" s="656">
        <v>1284344.3484999998</v>
      </c>
      <c r="E388" s="656">
        <v>353106.76799999998</v>
      </c>
      <c r="F388" s="656">
        <v>931237.58049999992</v>
      </c>
      <c r="G388" s="656">
        <v>25607334.462549001</v>
      </c>
      <c r="H388" s="305">
        <f t="shared" si="13"/>
        <v>22340000</v>
      </c>
    </row>
    <row r="389" spans="1:8" ht="11.25" x14ac:dyDescent="0.2">
      <c r="A389" s="654">
        <v>22350000</v>
      </c>
      <c r="B389" s="655" t="s">
        <v>9768</v>
      </c>
      <c r="C389" s="656">
        <v>651798.13449999969</v>
      </c>
      <c r="D389" s="656">
        <v>85314.448999999993</v>
      </c>
      <c r="E389" s="656">
        <v>2630.2129999999997</v>
      </c>
      <c r="F389" s="656">
        <v>82684.23599999999</v>
      </c>
      <c r="G389" s="656">
        <v>734482.37049999973</v>
      </c>
      <c r="H389" s="305">
        <f t="shared" si="13"/>
        <v>22350000</v>
      </c>
    </row>
    <row r="390" spans="1:8" ht="11.25" x14ac:dyDescent="0.2">
      <c r="A390" s="654">
        <v>22370000</v>
      </c>
      <c r="B390" s="655" t="s">
        <v>9769</v>
      </c>
      <c r="C390" s="656">
        <v>901593.20599999989</v>
      </c>
      <c r="D390" s="656">
        <v>8125.4519999999993</v>
      </c>
      <c r="E390" s="656">
        <v>8125.4519999999993</v>
      </c>
      <c r="F390" s="656">
        <v>0</v>
      </c>
      <c r="G390" s="656">
        <v>901593.20599999989</v>
      </c>
      <c r="H390" s="305">
        <f t="shared" si="13"/>
        <v>22370000</v>
      </c>
    </row>
    <row r="391" spans="1:8" ht="11.25" x14ac:dyDescent="0.2">
      <c r="A391" s="654">
        <v>22400000</v>
      </c>
      <c r="B391" s="655" t="s">
        <v>9770</v>
      </c>
      <c r="C391" s="656">
        <v>1176312.6140000001</v>
      </c>
      <c r="D391" s="656">
        <v>133659.84</v>
      </c>
      <c r="E391" s="656">
        <v>96728.61</v>
      </c>
      <c r="F391" s="656">
        <v>36931.229999999996</v>
      </c>
      <c r="G391" s="656">
        <v>1213243.844</v>
      </c>
      <c r="H391" s="305">
        <f t="shared" si="13"/>
        <v>22400000</v>
      </c>
    </row>
    <row r="392" spans="1:8" ht="11.25" x14ac:dyDescent="0.2">
      <c r="A392" s="654">
        <v>22810000</v>
      </c>
      <c r="B392" s="655" t="s">
        <v>9771</v>
      </c>
      <c r="C392" s="656">
        <v>0</v>
      </c>
      <c r="D392" s="656">
        <v>0</v>
      </c>
      <c r="E392" s="656">
        <v>0</v>
      </c>
      <c r="F392" s="656">
        <v>0</v>
      </c>
      <c r="G392" s="656">
        <v>0</v>
      </c>
      <c r="H392" s="305">
        <f t="shared" si="13"/>
        <v>22810000</v>
      </c>
    </row>
    <row r="393" spans="1:8" ht="11.25" x14ac:dyDescent="0.2">
      <c r="A393" s="654">
        <v>22820000</v>
      </c>
      <c r="B393" s="655" t="s">
        <v>9772</v>
      </c>
      <c r="C393" s="656">
        <v>281171.26415</v>
      </c>
      <c r="D393" s="656">
        <v>54924.694999999992</v>
      </c>
      <c r="E393" s="656">
        <v>313.10000000000002</v>
      </c>
      <c r="F393" s="656">
        <v>54611.594999999994</v>
      </c>
      <c r="G393" s="656">
        <v>335782.85914999997</v>
      </c>
      <c r="H393" s="305">
        <f t="shared" si="13"/>
        <v>22820000</v>
      </c>
    </row>
    <row r="394" spans="1:8" ht="11.25" x14ac:dyDescent="0.2">
      <c r="A394" s="654">
        <v>22830000</v>
      </c>
      <c r="B394" s="655" t="s">
        <v>9773</v>
      </c>
      <c r="C394" s="656">
        <v>243796.16828599994</v>
      </c>
      <c r="D394" s="656">
        <v>68455.617999999988</v>
      </c>
      <c r="E394" s="656">
        <v>2487.395</v>
      </c>
      <c r="F394" s="656">
        <v>65968.222999999984</v>
      </c>
      <c r="G394" s="656">
        <v>309764.39128599991</v>
      </c>
      <c r="H394" s="305">
        <f t="shared" si="13"/>
        <v>22830000</v>
      </c>
    </row>
    <row r="395" spans="1:8" ht="11.25" x14ac:dyDescent="0.2">
      <c r="A395" s="654">
        <v>23000000</v>
      </c>
      <c r="B395" s="655" t="s">
        <v>9774</v>
      </c>
      <c r="C395" s="656">
        <v>2.0000000404252205E-5</v>
      </c>
      <c r="D395" s="656">
        <v>0</v>
      </c>
      <c r="E395" s="656">
        <v>0</v>
      </c>
      <c r="F395" s="656">
        <v>0</v>
      </c>
      <c r="G395" s="656">
        <v>2.0000000404252205E-5</v>
      </c>
      <c r="H395" s="305">
        <f t="shared" si="13"/>
        <v>23000000</v>
      </c>
    </row>
    <row r="396" spans="1:8" ht="11.25" x14ac:dyDescent="0.2">
      <c r="A396" s="654">
        <v>23100000</v>
      </c>
      <c r="B396" s="655" t="s">
        <v>9775</v>
      </c>
      <c r="C396" s="656">
        <v>0</v>
      </c>
      <c r="D396" s="656">
        <v>17045.8</v>
      </c>
      <c r="E396" s="656">
        <v>0</v>
      </c>
      <c r="F396" s="656">
        <v>17045.8</v>
      </c>
      <c r="G396" s="656">
        <v>17045.8</v>
      </c>
      <c r="H396" s="305">
        <f t="shared" si="13"/>
        <v>23100000</v>
      </c>
    </row>
    <row r="397" spans="1:8" ht="11.25" x14ac:dyDescent="0.2">
      <c r="A397" s="654">
        <v>23200000</v>
      </c>
      <c r="B397" s="655" t="s">
        <v>9776</v>
      </c>
      <c r="C397" s="656">
        <v>404721.24329749867</v>
      </c>
      <c r="D397" s="656">
        <v>262784.84640000004</v>
      </c>
      <c r="E397" s="656">
        <v>97677.876999999993</v>
      </c>
      <c r="F397" s="656">
        <v>165106.96940000006</v>
      </c>
      <c r="G397" s="656">
        <v>569828.21269749873</v>
      </c>
      <c r="H397" s="305">
        <f t="shared" si="13"/>
        <v>23200000</v>
      </c>
    </row>
    <row r="398" spans="1:8" ht="11.25" x14ac:dyDescent="0.2">
      <c r="A398" s="654">
        <v>23220000</v>
      </c>
      <c r="B398" s="655" t="s">
        <v>9777</v>
      </c>
      <c r="C398" s="656">
        <v>0</v>
      </c>
      <c r="D398" s="656">
        <v>9020.2100000000009</v>
      </c>
      <c r="E398" s="656">
        <v>5800</v>
      </c>
      <c r="F398" s="656">
        <v>3220.2100000000009</v>
      </c>
      <c r="G398" s="656">
        <v>3220.2100000000009</v>
      </c>
      <c r="H398" s="305">
        <f t="shared" si="13"/>
        <v>23220000</v>
      </c>
    </row>
    <row r="399" spans="1:8" ht="11.25" x14ac:dyDescent="0.2">
      <c r="A399" s="654">
        <v>23225000</v>
      </c>
      <c r="B399" s="655" t="s">
        <v>9778</v>
      </c>
      <c r="C399" s="656">
        <v>0</v>
      </c>
      <c r="D399" s="656">
        <v>0</v>
      </c>
      <c r="E399" s="656">
        <v>0</v>
      </c>
      <c r="F399" s="656">
        <v>0</v>
      </c>
      <c r="G399" s="656">
        <v>0</v>
      </c>
      <c r="H399" s="305">
        <f t="shared" si="13"/>
        <v>23225000</v>
      </c>
    </row>
    <row r="400" spans="1:8" ht="11.25" x14ac:dyDescent="0.2">
      <c r="A400" s="654">
        <v>23231000</v>
      </c>
      <c r="B400" s="655" t="s">
        <v>9779</v>
      </c>
      <c r="C400" s="656">
        <v>0</v>
      </c>
      <c r="D400" s="656">
        <v>0</v>
      </c>
      <c r="E400" s="656">
        <v>0</v>
      </c>
      <c r="F400" s="656">
        <v>0</v>
      </c>
      <c r="G400" s="656">
        <v>0</v>
      </c>
      <c r="H400" s="305">
        <f t="shared" si="13"/>
        <v>23231000</v>
      </c>
    </row>
    <row r="401" spans="1:8" ht="11.25" x14ac:dyDescent="0.2">
      <c r="A401" s="654">
        <v>23237000</v>
      </c>
      <c r="B401" s="655" t="s">
        <v>9780</v>
      </c>
      <c r="C401" s="656">
        <v>0</v>
      </c>
      <c r="D401" s="656">
        <v>0</v>
      </c>
      <c r="E401" s="656">
        <v>0</v>
      </c>
      <c r="F401" s="656">
        <v>0</v>
      </c>
      <c r="G401" s="656">
        <v>0</v>
      </c>
      <c r="H401" s="305">
        <f t="shared" si="13"/>
        <v>23237000</v>
      </c>
    </row>
    <row r="402" spans="1:8" ht="11.25" x14ac:dyDescent="0.2">
      <c r="A402" s="654">
        <v>23250000</v>
      </c>
      <c r="B402" s="655" t="s">
        <v>9781</v>
      </c>
      <c r="C402" s="656">
        <v>0</v>
      </c>
      <c r="D402" s="656">
        <v>0</v>
      </c>
      <c r="E402" s="656">
        <v>0</v>
      </c>
      <c r="F402" s="656">
        <v>0</v>
      </c>
      <c r="G402" s="656">
        <v>0</v>
      </c>
      <c r="H402" s="305">
        <f t="shared" si="13"/>
        <v>23250000</v>
      </c>
    </row>
    <row r="403" spans="1:8" ht="11.25" x14ac:dyDescent="0.2">
      <c r="A403" s="654">
        <v>23800000</v>
      </c>
      <c r="B403" s="655" t="s">
        <v>9782</v>
      </c>
      <c r="C403" s="656">
        <v>0</v>
      </c>
      <c r="D403" s="656">
        <v>0</v>
      </c>
      <c r="E403" s="656">
        <v>0</v>
      </c>
      <c r="F403" s="656">
        <v>0</v>
      </c>
      <c r="G403" s="656">
        <v>0</v>
      </c>
      <c r="H403" s="305">
        <f t="shared" si="13"/>
        <v>23800000</v>
      </c>
    </row>
    <row r="404" spans="1:8" ht="11.25" x14ac:dyDescent="0.2">
      <c r="A404" s="654">
        <v>24000000</v>
      </c>
      <c r="B404" s="655" t="s">
        <v>9783</v>
      </c>
      <c r="C404" s="656">
        <v>770033.75899999996</v>
      </c>
      <c r="D404" s="656">
        <v>675550.6</v>
      </c>
      <c r="E404" s="656">
        <v>385280.63500000001</v>
      </c>
      <c r="F404" s="656">
        <v>290269.96499999997</v>
      </c>
      <c r="G404" s="656">
        <v>1060303.7239999999</v>
      </c>
      <c r="H404" s="305">
        <f t="shared" si="13"/>
        <v>24000000</v>
      </c>
    </row>
    <row r="405" spans="1:8" ht="11.25" x14ac:dyDescent="0.2">
      <c r="A405" s="654">
        <v>25100000</v>
      </c>
      <c r="B405" s="655" t="s">
        <v>9784</v>
      </c>
      <c r="C405" s="656">
        <v>0</v>
      </c>
      <c r="D405" s="656">
        <v>0</v>
      </c>
      <c r="E405" s="656">
        <v>0</v>
      </c>
      <c r="F405" s="656">
        <v>0</v>
      </c>
      <c r="G405" s="656">
        <v>0</v>
      </c>
      <c r="H405" s="305">
        <f t="shared" si="13"/>
        <v>25100000</v>
      </c>
    </row>
    <row r="406" spans="1:8" ht="11.25" x14ac:dyDescent="0.2">
      <c r="A406" s="654">
        <v>25110000</v>
      </c>
      <c r="B406" s="655" t="s">
        <v>9785</v>
      </c>
      <c r="C406" s="656">
        <v>266820</v>
      </c>
      <c r="D406" s="656">
        <v>0</v>
      </c>
      <c r="E406" s="656">
        <v>0</v>
      </c>
      <c r="F406" s="656">
        <v>0</v>
      </c>
      <c r="G406" s="656">
        <v>266820</v>
      </c>
      <c r="H406" s="305">
        <f t="shared" si="13"/>
        <v>25110000</v>
      </c>
    </row>
    <row r="407" spans="1:8" ht="11.25" x14ac:dyDescent="0.2">
      <c r="A407" s="654">
        <v>25120000</v>
      </c>
      <c r="B407" s="655" t="s">
        <v>9786</v>
      </c>
      <c r="C407" s="656">
        <v>512700</v>
      </c>
      <c r="D407" s="656">
        <v>0</v>
      </c>
      <c r="E407" s="656">
        <v>0</v>
      </c>
      <c r="F407" s="656">
        <v>0</v>
      </c>
      <c r="G407" s="656">
        <v>512700</v>
      </c>
      <c r="H407" s="305">
        <f t="shared" si="13"/>
        <v>25120000</v>
      </c>
    </row>
    <row r="408" spans="1:8" ht="11.25" x14ac:dyDescent="0.2">
      <c r="A408" s="654">
        <v>25130000</v>
      </c>
      <c r="B408" s="655" t="s">
        <v>9787</v>
      </c>
      <c r="C408" s="656">
        <v>677000</v>
      </c>
      <c r="D408" s="656">
        <v>0</v>
      </c>
      <c r="E408" s="656">
        <v>0</v>
      </c>
      <c r="F408" s="656">
        <v>0</v>
      </c>
      <c r="G408" s="656">
        <v>677000</v>
      </c>
      <c r="H408" s="305">
        <f t="shared" si="13"/>
        <v>25130000</v>
      </c>
    </row>
    <row r="409" spans="1:8" ht="11.25" x14ac:dyDescent="0.2">
      <c r="A409" s="654">
        <v>25140000</v>
      </c>
      <c r="B409" s="655" t="s">
        <v>9788</v>
      </c>
      <c r="C409" s="656">
        <v>3150000</v>
      </c>
      <c r="D409" s="656">
        <v>0</v>
      </c>
      <c r="E409" s="656">
        <v>0</v>
      </c>
      <c r="F409" s="656">
        <v>0</v>
      </c>
      <c r="G409" s="656">
        <v>3150000</v>
      </c>
      <c r="H409" s="305">
        <f t="shared" si="13"/>
        <v>25140000</v>
      </c>
    </row>
    <row r="410" spans="1:8" ht="11.25" x14ac:dyDescent="0.2">
      <c r="A410" s="654">
        <v>25150000</v>
      </c>
      <c r="B410" s="655" t="s">
        <v>9789</v>
      </c>
      <c r="C410" s="656">
        <v>319680</v>
      </c>
      <c r="D410" s="656">
        <v>0</v>
      </c>
      <c r="E410" s="656">
        <v>0</v>
      </c>
      <c r="F410" s="656">
        <v>0</v>
      </c>
      <c r="G410" s="656">
        <v>319680</v>
      </c>
      <c r="H410" s="305">
        <f t="shared" si="13"/>
        <v>25150000</v>
      </c>
    </row>
    <row r="411" spans="1:8" ht="11.25" x14ac:dyDescent="0.2">
      <c r="A411" s="654">
        <v>25700000</v>
      </c>
      <c r="B411" s="655" t="s">
        <v>9790</v>
      </c>
      <c r="C411" s="656">
        <v>0</v>
      </c>
      <c r="D411" s="656">
        <v>0</v>
      </c>
      <c r="E411" s="656">
        <v>0</v>
      </c>
      <c r="F411" s="656">
        <v>0</v>
      </c>
      <c r="G411" s="656">
        <v>0</v>
      </c>
      <c r="H411" s="305">
        <f t="shared" si="13"/>
        <v>25700000</v>
      </c>
    </row>
    <row r="412" spans="1:8" ht="11.25" x14ac:dyDescent="0.2">
      <c r="A412" s="654">
        <v>25810000</v>
      </c>
      <c r="B412" s="655" t="s">
        <v>9791</v>
      </c>
      <c r="C412" s="656">
        <v>0</v>
      </c>
      <c r="D412" s="656">
        <v>0</v>
      </c>
      <c r="E412" s="656">
        <v>0</v>
      </c>
      <c r="F412" s="656">
        <v>0</v>
      </c>
      <c r="G412" s="656">
        <v>0</v>
      </c>
      <c r="H412" s="305">
        <f t="shared" si="13"/>
        <v>25810000</v>
      </c>
    </row>
    <row r="413" spans="1:8" ht="11.25" x14ac:dyDescent="0.2">
      <c r="A413" s="654">
        <v>26400000</v>
      </c>
      <c r="B413" s="655" t="s">
        <v>9792</v>
      </c>
      <c r="C413" s="656">
        <v>0</v>
      </c>
      <c r="D413" s="656">
        <v>100</v>
      </c>
      <c r="E413" s="656">
        <v>100</v>
      </c>
      <c r="F413" s="656">
        <v>0</v>
      </c>
      <c r="G413" s="656">
        <v>0</v>
      </c>
      <c r="H413" s="305">
        <f t="shared" si="13"/>
        <v>26400000</v>
      </c>
    </row>
    <row r="414" spans="1:8" ht="11.25" x14ac:dyDescent="0.2">
      <c r="A414" s="654">
        <v>26430000</v>
      </c>
      <c r="B414" s="655" t="s">
        <v>9793</v>
      </c>
      <c r="C414" s="656">
        <v>0</v>
      </c>
      <c r="D414" s="656">
        <v>141500</v>
      </c>
      <c r="E414" s="656">
        <v>141500</v>
      </c>
      <c r="F414" s="656">
        <v>0</v>
      </c>
      <c r="G414" s="656">
        <v>0</v>
      </c>
      <c r="H414" s="305">
        <f t="shared" si="13"/>
        <v>26430000</v>
      </c>
    </row>
    <row r="415" spans="1:8" ht="11.25" x14ac:dyDescent="0.2">
      <c r="A415" s="654">
        <v>26500000</v>
      </c>
      <c r="B415" s="655" t="s">
        <v>9794</v>
      </c>
      <c r="C415" s="656">
        <v>0</v>
      </c>
      <c r="D415" s="656">
        <v>0</v>
      </c>
      <c r="E415" s="656">
        <v>0</v>
      </c>
      <c r="F415" s="656">
        <v>0</v>
      </c>
      <c r="G415" s="656">
        <v>0</v>
      </c>
      <c r="H415" s="305">
        <f t="shared" si="13"/>
        <v>26500000</v>
      </c>
    </row>
    <row r="416" spans="1:8" ht="11.25" x14ac:dyDescent="0.2">
      <c r="A416" s="654">
        <v>26510000</v>
      </c>
      <c r="B416" s="655" t="s">
        <v>9795</v>
      </c>
      <c r="C416" s="656">
        <v>0</v>
      </c>
      <c r="D416" s="656">
        <v>0</v>
      </c>
      <c r="E416" s="656">
        <v>0</v>
      </c>
      <c r="F416" s="656">
        <v>0</v>
      </c>
      <c r="G416" s="656">
        <v>0</v>
      </c>
      <c r="H416" s="305">
        <f t="shared" si="13"/>
        <v>26510000</v>
      </c>
    </row>
    <row r="417" spans="1:8" ht="11.25" x14ac:dyDescent="0.2">
      <c r="A417" s="654">
        <v>26550000</v>
      </c>
      <c r="B417" s="655" t="s">
        <v>9796</v>
      </c>
      <c r="C417" s="656">
        <v>0</v>
      </c>
      <c r="D417" s="656">
        <v>0</v>
      </c>
      <c r="E417" s="656">
        <v>0</v>
      </c>
      <c r="F417" s="656">
        <v>0</v>
      </c>
      <c r="G417" s="656">
        <v>0</v>
      </c>
      <c r="H417" s="305">
        <f t="shared" si="13"/>
        <v>26550000</v>
      </c>
    </row>
    <row r="418" spans="1:8" ht="11.25" x14ac:dyDescent="0.2">
      <c r="A418" s="654">
        <v>26580000</v>
      </c>
      <c r="B418" s="655" t="s">
        <v>9797</v>
      </c>
      <c r="C418" s="656">
        <v>5771.2</v>
      </c>
      <c r="D418" s="656">
        <v>0</v>
      </c>
      <c r="E418" s="656">
        <v>0</v>
      </c>
      <c r="F418" s="656">
        <v>0</v>
      </c>
      <c r="G418" s="656">
        <v>5771.2</v>
      </c>
      <c r="H418" s="305">
        <f t="shared" si="13"/>
        <v>26580000</v>
      </c>
    </row>
    <row r="419" spans="1:8" ht="11.25" x14ac:dyDescent="0.2">
      <c r="A419" s="654">
        <v>27100000</v>
      </c>
      <c r="B419" s="655" t="s">
        <v>9798</v>
      </c>
      <c r="C419" s="656">
        <v>0</v>
      </c>
      <c r="D419" s="656">
        <v>0</v>
      </c>
      <c r="E419" s="656">
        <v>0</v>
      </c>
      <c r="F419" s="656">
        <v>0</v>
      </c>
      <c r="G419" s="656">
        <v>0</v>
      </c>
      <c r="H419" s="305">
        <f t="shared" si="13"/>
        <v>27100000</v>
      </c>
    </row>
    <row r="420" spans="1:8" ht="11.25" x14ac:dyDescent="0.2">
      <c r="A420" s="654">
        <v>28100000</v>
      </c>
      <c r="B420" s="655" t="s">
        <v>9799</v>
      </c>
      <c r="C420" s="656">
        <v>0</v>
      </c>
      <c r="D420" s="656">
        <v>0</v>
      </c>
      <c r="E420" s="656">
        <v>0</v>
      </c>
      <c r="F420" s="656">
        <v>0</v>
      </c>
      <c r="G420" s="656">
        <v>0</v>
      </c>
      <c r="H420" s="305">
        <f t="shared" si="13"/>
        <v>28100000</v>
      </c>
    </row>
    <row r="421" spans="1:8" ht="11.25" x14ac:dyDescent="0.2">
      <c r="A421" s="654">
        <v>28110000</v>
      </c>
      <c r="B421" s="655" t="s">
        <v>9800</v>
      </c>
      <c r="C421" s="656">
        <v>0</v>
      </c>
      <c r="D421" s="656">
        <v>0</v>
      </c>
      <c r="E421" s="656">
        <v>0</v>
      </c>
      <c r="F421" s="656">
        <v>0</v>
      </c>
      <c r="G421" s="656">
        <v>0</v>
      </c>
      <c r="H421" s="305">
        <f t="shared" si="13"/>
        <v>28110000</v>
      </c>
    </row>
    <row r="422" spans="1:8" ht="11.25" x14ac:dyDescent="0.2">
      <c r="A422" s="654">
        <v>28130000</v>
      </c>
      <c r="B422" s="655" t="s">
        <v>9801</v>
      </c>
      <c r="C422" s="656">
        <v>-75004.895999999993</v>
      </c>
      <c r="D422" s="656">
        <v>0</v>
      </c>
      <c r="E422" s="656">
        <v>0</v>
      </c>
      <c r="F422" s="656">
        <v>0</v>
      </c>
      <c r="G422" s="656">
        <v>-75004.895999999993</v>
      </c>
      <c r="H422" s="305">
        <f t="shared" si="13"/>
        <v>28130000</v>
      </c>
    </row>
    <row r="423" spans="1:8" ht="11.25" x14ac:dyDescent="0.2">
      <c r="A423" s="654">
        <v>28216000</v>
      </c>
      <c r="B423" s="655" t="s">
        <v>9802</v>
      </c>
      <c r="C423" s="656">
        <v>-148352.71299999999</v>
      </c>
      <c r="D423" s="656">
        <v>0</v>
      </c>
      <c r="E423" s="656">
        <v>0</v>
      </c>
      <c r="F423" s="656">
        <v>0</v>
      </c>
      <c r="G423" s="656">
        <v>-148352.71299999999</v>
      </c>
      <c r="H423" s="305">
        <f t="shared" si="13"/>
        <v>28216000</v>
      </c>
    </row>
    <row r="424" spans="1:8" ht="11.25" x14ac:dyDescent="0.2">
      <c r="A424" s="654">
        <v>28220000</v>
      </c>
      <c r="B424" s="655" t="s">
        <v>9803</v>
      </c>
      <c r="C424" s="656">
        <v>-3729152.5419999999</v>
      </c>
      <c r="D424" s="656">
        <v>0</v>
      </c>
      <c r="E424" s="656">
        <v>0</v>
      </c>
      <c r="F424" s="656">
        <v>0</v>
      </c>
      <c r="G424" s="656">
        <v>-3729152.5419999999</v>
      </c>
      <c r="H424" s="305">
        <f t="shared" si="13"/>
        <v>28220000</v>
      </c>
    </row>
    <row r="425" spans="1:8" ht="11.25" x14ac:dyDescent="0.2">
      <c r="A425" s="654">
        <v>28225000</v>
      </c>
      <c r="B425" s="655" t="s">
        <v>9804</v>
      </c>
      <c r="C425" s="656">
        <v>-271826.14399999997</v>
      </c>
      <c r="D425" s="656">
        <v>0</v>
      </c>
      <c r="E425" s="656">
        <v>0</v>
      </c>
      <c r="F425" s="656">
        <v>0</v>
      </c>
      <c r="G425" s="656">
        <v>-271826.14399999997</v>
      </c>
      <c r="H425" s="305">
        <f t="shared" si="13"/>
        <v>28225000</v>
      </c>
    </row>
    <row r="426" spans="1:8" ht="11.25" x14ac:dyDescent="0.2">
      <c r="A426" s="654">
        <v>28230000</v>
      </c>
      <c r="B426" s="655" t="s">
        <v>9805</v>
      </c>
      <c r="C426" s="656">
        <v>-43130.395000000004</v>
      </c>
      <c r="D426" s="656">
        <v>0</v>
      </c>
      <c r="E426" s="656">
        <v>0</v>
      </c>
      <c r="F426" s="656">
        <v>0</v>
      </c>
      <c r="G426" s="656">
        <v>-43130.395000000004</v>
      </c>
      <c r="H426" s="305">
        <f t="shared" si="13"/>
        <v>28230000</v>
      </c>
    </row>
    <row r="427" spans="1:8" ht="11.25" x14ac:dyDescent="0.2">
      <c r="A427" s="654">
        <v>28234000</v>
      </c>
      <c r="B427" s="655" t="s">
        <v>9806</v>
      </c>
      <c r="C427" s="656">
        <v>-15867226.817000002</v>
      </c>
      <c r="D427" s="656">
        <v>308651.201</v>
      </c>
      <c r="E427" s="656">
        <v>0</v>
      </c>
      <c r="F427" s="656">
        <v>308651.201</v>
      </c>
      <c r="G427" s="656">
        <v>-15558575.616000002</v>
      </c>
      <c r="H427" s="305">
        <f t="shared" si="13"/>
        <v>28234000</v>
      </c>
    </row>
    <row r="428" spans="1:8" ht="11.25" x14ac:dyDescent="0.2">
      <c r="A428" s="654">
        <v>28235000</v>
      </c>
      <c r="B428" s="655" t="s">
        <v>9807</v>
      </c>
      <c r="C428" s="656">
        <v>-355370.76600000006</v>
      </c>
      <c r="D428" s="656">
        <v>0</v>
      </c>
      <c r="E428" s="656">
        <v>0</v>
      </c>
      <c r="F428" s="656">
        <v>0</v>
      </c>
      <c r="G428" s="656">
        <v>-355370.76600000006</v>
      </c>
      <c r="H428" s="305">
        <f t="shared" si="13"/>
        <v>28235000</v>
      </c>
    </row>
    <row r="429" spans="1:8" ht="11.25" x14ac:dyDescent="0.2">
      <c r="A429" s="654">
        <v>28237000</v>
      </c>
      <c r="B429" s="655" t="s">
        <v>9808</v>
      </c>
      <c r="C429" s="656">
        <v>-756166.84899999993</v>
      </c>
      <c r="D429" s="656">
        <v>0</v>
      </c>
      <c r="E429" s="656">
        <v>0</v>
      </c>
      <c r="F429" s="656">
        <v>0</v>
      </c>
      <c r="G429" s="656">
        <v>-756166.84899999993</v>
      </c>
      <c r="H429" s="305">
        <f t="shared" ref="H429:H492" si="14">VLOOKUP($A429,$A$2:$B$357,1,0)</f>
        <v>28237000</v>
      </c>
    </row>
    <row r="430" spans="1:8" ht="11.25" x14ac:dyDescent="0.2">
      <c r="A430" s="654">
        <v>28240000</v>
      </c>
      <c r="B430" s="655" t="s">
        <v>9809</v>
      </c>
      <c r="C430" s="656">
        <v>-641382.64299999992</v>
      </c>
      <c r="D430" s="656">
        <v>30121.977999999996</v>
      </c>
      <c r="E430" s="656">
        <v>17545.055</v>
      </c>
      <c r="F430" s="656">
        <v>12576.922999999995</v>
      </c>
      <c r="G430" s="656">
        <v>-628805.72</v>
      </c>
      <c r="H430" s="305">
        <f t="shared" si="14"/>
        <v>28240000</v>
      </c>
    </row>
    <row r="431" spans="1:8" ht="11.25" x14ac:dyDescent="0.2">
      <c r="A431" s="654">
        <v>28282000</v>
      </c>
      <c r="B431" s="655" t="s">
        <v>9810</v>
      </c>
      <c r="C431" s="656">
        <v>-227110.92800000001</v>
      </c>
      <c r="D431" s="656">
        <v>0</v>
      </c>
      <c r="E431" s="656">
        <v>0</v>
      </c>
      <c r="F431" s="656">
        <v>0</v>
      </c>
      <c r="G431" s="656">
        <v>-227110.92800000001</v>
      </c>
      <c r="H431" s="305">
        <f t="shared" si="14"/>
        <v>28282000</v>
      </c>
    </row>
    <row r="432" spans="1:8" ht="11.25" x14ac:dyDescent="0.2">
      <c r="A432" s="654">
        <v>28283000</v>
      </c>
      <c r="B432" s="655" t="s">
        <v>9811</v>
      </c>
      <c r="C432" s="656">
        <v>-129025.63500000001</v>
      </c>
      <c r="D432" s="656">
        <v>0</v>
      </c>
      <c r="E432" s="656">
        <v>0</v>
      </c>
      <c r="F432" s="656">
        <v>0</v>
      </c>
      <c r="G432" s="656">
        <v>-129025.63500000001</v>
      </c>
      <c r="H432" s="305">
        <f t="shared" si="14"/>
        <v>28283000</v>
      </c>
    </row>
    <row r="433" spans="1:8" ht="11.25" x14ac:dyDescent="0.2">
      <c r="A433" s="654">
        <v>28400000</v>
      </c>
      <c r="B433" s="655" t="s">
        <v>9812</v>
      </c>
      <c r="C433" s="656">
        <v>-480076.72500000009</v>
      </c>
      <c r="D433" s="656">
        <v>127922.60400000001</v>
      </c>
      <c r="E433" s="656">
        <v>0</v>
      </c>
      <c r="F433" s="656">
        <v>127922.60400000001</v>
      </c>
      <c r="G433" s="656">
        <v>-352154.1210000001</v>
      </c>
      <c r="H433" s="305">
        <f t="shared" si="14"/>
        <v>28400000</v>
      </c>
    </row>
    <row r="434" spans="1:8" ht="11.25" x14ac:dyDescent="0.2">
      <c r="A434" s="654">
        <v>29220000</v>
      </c>
      <c r="B434" s="655" t="s">
        <v>9813</v>
      </c>
      <c r="C434" s="656">
        <v>0</v>
      </c>
      <c r="D434" s="656">
        <v>0</v>
      </c>
      <c r="E434" s="656">
        <v>0</v>
      </c>
      <c r="F434" s="656">
        <v>0</v>
      </c>
      <c r="G434" s="656">
        <v>0</v>
      </c>
      <c r="H434" s="305">
        <f t="shared" si="14"/>
        <v>29220000</v>
      </c>
    </row>
    <row r="435" spans="1:8" ht="11.25" x14ac:dyDescent="0.2">
      <c r="A435" s="654">
        <v>29234000</v>
      </c>
      <c r="B435" s="655" t="s">
        <v>9814</v>
      </c>
      <c r="C435" s="656">
        <v>-223876.883</v>
      </c>
      <c r="D435" s="656">
        <v>59797.479000000007</v>
      </c>
      <c r="E435" s="656">
        <v>0</v>
      </c>
      <c r="F435" s="656">
        <v>59797.479000000007</v>
      </c>
      <c r="G435" s="656">
        <v>-164079.40399999998</v>
      </c>
      <c r="H435" s="305">
        <f t="shared" si="14"/>
        <v>29234000</v>
      </c>
    </row>
    <row r="436" spans="1:8" ht="11.25" x14ac:dyDescent="0.2">
      <c r="A436" s="654">
        <v>29235000</v>
      </c>
      <c r="B436" s="655" t="s">
        <v>9815</v>
      </c>
      <c r="C436" s="656">
        <v>-8171.429000000001</v>
      </c>
      <c r="D436" s="656">
        <v>0</v>
      </c>
      <c r="E436" s="656">
        <v>0</v>
      </c>
      <c r="F436" s="656">
        <v>0</v>
      </c>
      <c r="G436" s="656">
        <v>-8171.429000000001</v>
      </c>
      <c r="H436" s="305">
        <f t="shared" si="14"/>
        <v>29235000</v>
      </c>
    </row>
    <row r="437" spans="1:8" ht="11.25" x14ac:dyDescent="0.2">
      <c r="A437" s="654">
        <v>29282000</v>
      </c>
      <c r="B437" s="655" t="s">
        <v>9816</v>
      </c>
      <c r="C437" s="656">
        <v>0</v>
      </c>
      <c r="D437" s="656">
        <v>0</v>
      </c>
      <c r="E437" s="656">
        <v>0</v>
      </c>
      <c r="F437" s="656">
        <v>0</v>
      </c>
      <c r="G437" s="656">
        <v>0</v>
      </c>
      <c r="H437" s="305">
        <f t="shared" si="14"/>
        <v>29282000</v>
      </c>
    </row>
    <row r="438" spans="1:8" ht="11.25" x14ac:dyDescent="0.2">
      <c r="A438" s="654">
        <v>29286500</v>
      </c>
      <c r="B438" s="655" t="s">
        <v>9817</v>
      </c>
      <c r="C438" s="656">
        <v>0</v>
      </c>
      <c r="D438" s="656">
        <v>0</v>
      </c>
      <c r="E438" s="656">
        <v>0</v>
      </c>
      <c r="F438" s="656">
        <v>0</v>
      </c>
      <c r="G438" s="656">
        <v>0</v>
      </c>
      <c r="H438" s="305">
        <f t="shared" si="14"/>
        <v>29286500</v>
      </c>
    </row>
    <row r="439" spans="1:8" ht="11.25" x14ac:dyDescent="0.2">
      <c r="A439" s="654">
        <v>29700000</v>
      </c>
      <c r="B439" s="655" t="s">
        <v>9818</v>
      </c>
      <c r="C439" s="656">
        <v>-29257.384999999998</v>
      </c>
      <c r="D439" s="656">
        <v>0</v>
      </c>
      <c r="E439" s="656">
        <v>0</v>
      </c>
      <c r="F439" s="656">
        <v>0</v>
      </c>
      <c r="G439" s="656">
        <v>-29257.384999999998</v>
      </c>
      <c r="H439" s="305">
        <f t="shared" si="14"/>
        <v>29700000</v>
      </c>
    </row>
    <row r="440" spans="1:8" ht="11.25" x14ac:dyDescent="0.2">
      <c r="A440" s="654">
        <v>31100000</v>
      </c>
      <c r="B440" s="655" t="s">
        <v>9819</v>
      </c>
      <c r="C440" s="656">
        <v>9520075.0200000107</v>
      </c>
      <c r="D440" s="656">
        <v>0</v>
      </c>
      <c r="E440" s="656">
        <v>9520075.0199999996</v>
      </c>
      <c r="F440" s="656">
        <v>-9520075.0199999996</v>
      </c>
      <c r="G440" s="656">
        <v>0</v>
      </c>
      <c r="H440" s="305">
        <f t="shared" si="14"/>
        <v>31100000</v>
      </c>
    </row>
    <row r="441" spans="1:8" ht="11.25" x14ac:dyDescent="0.2">
      <c r="A441" s="654">
        <v>31200000</v>
      </c>
      <c r="B441" s="655" t="s">
        <v>9820</v>
      </c>
      <c r="C441" s="656">
        <v>1881173.9139999996</v>
      </c>
      <c r="D441" s="656">
        <v>0</v>
      </c>
      <c r="E441" s="656">
        <v>1881173.9140000001</v>
      </c>
      <c r="F441" s="656">
        <v>-1881173.9140000001</v>
      </c>
      <c r="G441" s="656">
        <v>0</v>
      </c>
      <c r="H441" s="305">
        <f t="shared" si="14"/>
        <v>31200000</v>
      </c>
    </row>
    <row r="442" spans="1:8" ht="11.25" x14ac:dyDescent="0.2">
      <c r="A442" s="654">
        <v>32200000</v>
      </c>
      <c r="B442" s="655" t="s">
        <v>9821</v>
      </c>
      <c r="C442" s="656">
        <v>662156.42899999954</v>
      </c>
      <c r="D442" s="656">
        <v>0</v>
      </c>
      <c r="E442" s="656">
        <v>662156.429</v>
      </c>
      <c r="F442" s="656">
        <v>-662156.429</v>
      </c>
      <c r="G442" s="656">
        <v>0</v>
      </c>
      <c r="H442" s="305">
        <f t="shared" si="14"/>
        <v>32200000</v>
      </c>
    </row>
    <row r="443" spans="1:8" ht="11.25" x14ac:dyDescent="0.2">
      <c r="A443" s="654">
        <v>33100000</v>
      </c>
      <c r="B443" s="655" t="s">
        <v>9822</v>
      </c>
      <c r="C443" s="656">
        <v>3435380.2890000008</v>
      </c>
      <c r="D443" s="656">
        <v>0</v>
      </c>
      <c r="E443" s="656">
        <v>3435380.2889999999</v>
      </c>
      <c r="F443" s="656">
        <v>-3435380.2889999999</v>
      </c>
      <c r="G443" s="656">
        <v>0</v>
      </c>
      <c r="H443" s="305">
        <f t="shared" si="14"/>
        <v>33100000</v>
      </c>
    </row>
    <row r="444" spans="1:8" ht="11.25" x14ac:dyDescent="0.2">
      <c r="A444" s="654">
        <v>33500000</v>
      </c>
      <c r="B444" s="655" t="s">
        <v>9823</v>
      </c>
      <c r="C444" s="656">
        <v>0</v>
      </c>
      <c r="D444" s="656">
        <v>0</v>
      </c>
      <c r="E444" s="656">
        <v>0</v>
      </c>
      <c r="F444" s="656">
        <v>0</v>
      </c>
      <c r="G444" s="656">
        <v>0</v>
      </c>
      <c r="H444" s="305">
        <f t="shared" si="14"/>
        <v>33500000</v>
      </c>
    </row>
    <row r="445" spans="1:8" ht="11.25" x14ac:dyDescent="0.2">
      <c r="A445" s="654">
        <v>34100000</v>
      </c>
      <c r="B445" s="655" t="s">
        <v>9824</v>
      </c>
      <c r="C445" s="656">
        <v>0</v>
      </c>
      <c r="D445" s="656">
        <v>0</v>
      </c>
      <c r="E445" s="656">
        <v>0</v>
      </c>
      <c r="F445" s="656">
        <v>0</v>
      </c>
      <c r="G445" s="656">
        <v>0</v>
      </c>
      <c r="H445" s="305">
        <f t="shared" si="14"/>
        <v>34100000</v>
      </c>
    </row>
    <row r="446" spans="1:8" ht="11.25" x14ac:dyDescent="0.2">
      <c r="A446" s="654">
        <v>35500000</v>
      </c>
      <c r="B446" s="655" t="s">
        <v>9825</v>
      </c>
      <c r="C446" s="656">
        <v>1674504.0189999994</v>
      </c>
      <c r="D446" s="656">
        <v>19.696999999999999</v>
      </c>
      <c r="E446" s="656">
        <v>1674523.716</v>
      </c>
      <c r="F446" s="656">
        <v>-1674504.0190000001</v>
      </c>
      <c r="G446" s="656">
        <v>0</v>
      </c>
      <c r="H446" s="305">
        <f t="shared" si="14"/>
        <v>35500000</v>
      </c>
    </row>
    <row r="447" spans="1:8" ht="11.25" x14ac:dyDescent="0.2">
      <c r="A447" s="654">
        <v>39000000</v>
      </c>
      <c r="B447" s="655" t="s">
        <v>9826</v>
      </c>
      <c r="C447" s="656">
        <v>-208158.11300000001</v>
      </c>
      <c r="D447" s="656">
        <v>0</v>
      </c>
      <c r="E447" s="656">
        <v>0</v>
      </c>
      <c r="F447" s="656">
        <v>0</v>
      </c>
      <c r="G447" s="656">
        <v>-208158.11300000001</v>
      </c>
      <c r="H447" s="305">
        <f t="shared" si="14"/>
        <v>39000000</v>
      </c>
    </row>
    <row r="448" spans="1:8" ht="11.25" x14ac:dyDescent="0.2">
      <c r="A448" s="654">
        <v>40100000</v>
      </c>
      <c r="B448" s="655" t="s">
        <v>9827</v>
      </c>
      <c r="C448" s="656">
        <v>-2875441.9530395269</v>
      </c>
      <c r="D448" s="656">
        <v>58150229.926376998</v>
      </c>
      <c r="E448" s="656">
        <v>61833429.841659009</v>
      </c>
      <c r="F448" s="656">
        <v>-3683199.915282011</v>
      </c>
      <c r="G448" s="656">
        <v>-6558641.868321538</v>
      </c>
      <c r="H448" s="305">
        <f t="shared" si="14"/>
        <v>40100000</v>
      </c>
    </row>
    <row r="449" spans="1:8" ht="11.25" x14ac:dyDescent="0.2">
      <c r="A449" s="654">
        <v>40300000</v>
      </c>
      <c r="B449" s="655" t="s">
        <v>9828</v>
      </c>
      <c r="C449" s="656">
        <v>-970419.35000000149</v>
      </c>
      <c r="D449" s="656">
        <v>3047628.1979999999</v>
      </c>
      <c r="E449" s="656">
        <v>2405631.6719999998</v>
      </c>
      <c r="F449" s="656">
        <v>641996.52600000007</v>
      </c>
      <c r="G449" s="656">
        <v>-328422.82400000142</v>
      </c>
      <c r="H449" s="305">
        <f t="shared" si="14"/>
        <v>40300000</v>
      </c>
    </row>
    <row r="450" spans="1:8" ht="11.25" x14ac:dyDescent="0.2">
      <c r="A450" s="654">
        <v>40301000</v>
      </c>
      <c r="B450" s="655" t="s">
        <v>9829</v>
      </c>
      <c r="C450" s="656">
        <v>0</v>
      </c>
      <c r="D450" s="656">
        <v>0</v>
      </c>
      <c r="E450" s="656">
        <v>0</v>
      </c>
      <c r="F450" s="656">
        <v>0</v>
      </c>
      <c r="G450" s="656">
        <v>0</v>
      </c>
      <c r="H450" s="305">
        <f t="shared" si="14"/>
        <v>40301000</v>
      </c>
    </row>
    <row r="451" spans="1:8" ht="11.25" x14ac:dyDescent="0.2">
      <c r="A451" s="654">
        <v>40400000</v>
      </c>
      <c r="B451" s="655" t="s">
        <v>9830</v>
      </c>
      <c r="C451" s="656">
        <v>9.999983012676239E-5</v>
      </c>
      <c r="D451" s="656">
        <v>0</v>
      </c>
      <c r="E451" s="656">
        <v>0</v>
      </c>
      <c r="F451" s="656">
        <v>0</v>
      </c>
      <c r="G451" s="656">
        <v>9.999983012676239E-5</v>
      </c>
      <c r="H451" s="305">
        <f t="shared" si="14"/>
        <v>40400000</v>
      </c>
    </row>
    <row r="452" spans="1:8" ht="11.25" x14ac:dyDescent="0.2">
      <c r="A452" s="654">
        <v>40470000</v>
      </c>
      <c r="B452" s="655" t="s">
        <v>9831</v>
      </c>
      <c r="C452" s="656">
        <v>0</v>
      </c>
      <c r="D452" s="656">
        <v>0</v>
      </c>
      <c r="E452" s="656">
        <v>0</v>
      </c>
      <c r="F452" s="656">
        <v>0</v>
      </c>
      <c r="G452" s="656">
        <v>0</v>
      </c>
      <c r="H452" s="305">
        <f t="shared" si="14"/>
        <v>40470000</v>
      </c>
    </row>
    <row r="453" spans="1:8" ht="11.25" x14ac:dyDescent="0.2">
      <c r="A453" s="654">
        <v>40600000</v>
      </c>
      <c r="B453" s="655" t="s">
        <v>9832</v>
      </c>
      <c r="C453" s="656">
        <v>-3111690.4287486374</v>
      </c>
      <c r="D453" s="656">
        <v>7993998.8964024987</v>
      </c>
      <c r="E453" s="656">
        <v>7950767.7215834986</v>
      </c>
      <c r="F453" s="656">
        <v>43231.174819000065</v>
      </c>
      <c r="G453" s="656">
        <v>-3068459.2539296374</v>
      </c>
      <c r="H453" s="305">
        <f t="shared" si="14"/>
        <v>40600000</v>
      </c>
    </row>
    <row r="454" spans="1:8" ht="11.25" x14ac:dyDescent="0.2">
      <c r="A454" s="654">
        <v>40800000</v>
      </c>
      <c r="B454" s="655" t="s">
        <v>9833</v>
      </c>
      <c r="C454" s="656">
        <v>-4980</v>
      </c>
      <c r="D454" s="656">
        <v>0</v>
      </c>
      <c r="E454" s="656">
        <v>0</v>
      </c>
      <c r="F454" s="656">
        <v>0</v>
      </c>
      <c r="G454" s="656">
        <v>-4980</v>
      </c>
      <c r="H454" s="305">
        <f t="shared" si="14"/>
        <v>40800000</v>
      </c>
    </row>
    <row r="455" spans="1:8" ht="11.25" x14ac:dyDescent="0.2">
      <c r="A455" s="654">
        <v>40810000</v>
      </c>
      <c r="B455" s="655" t="s">
        <v>9834</v>
      </c>
      <c r="C455" s="656">
        <v>-41980.576999999997</v>
      </c>
      <c r="D455" s="656">
        <v>40054.247000000003</v>
      </c>
      <c r="E455" s="656">
        <v>3169.0909999999994</v>
      </c>
      <c r="F455" s="656">
        <v>36885.156000000003</v>
      </c>
      <c r="G455" s="656">
        <v>-5095.4209999999948</v>
      </c>
      <c r="H455" s="305">
        <f t="shared" si="14"/>
        <v>40810000</v>
      </c>
    </row>
    <row r="456" spans="1:8" ht="11.25" x14ac:dyDescent="0.2">
      <c r="A456" s="654">
        <v>40860000</v>
      </c>
      <c r="B456" s="655" t="s">
        <v>9835</v>
      </c>
      <c r="C456" s="656">
        <v>0</v>
      </c>
      <c r="D456" s="656">
        <v>0</v>
      </c>
      <c r="E456" s="656">
        <v>0</v>
      </c>
      <c r="F456" s="656">
        <v>0</v>
      </c>
      <c r="G456" s="656">
        <v>0</v>
      </c>
      <c r="H456" s="305">
        <f t="shared" si="14"/>
        <v>40860000</v>
      </c>
    </row>
    <row r="457" spans="1:8" ht="11.25" x14ac:dyDescent="0.2">
      <c r="A457" s="654">
        <v>40910000</v>
      </c>
      <c r="B457" s="655" t="s">
        <v>9836</v>
      </c>
      <c r="C457" s="656">
        <v>0</v>
      </c>
      <c r="D457" s="656">
        <v>0</v>
      </c>
      <c r="E457" s="656">
        <v>0</v>
      </c>
      <c r="F457" s="656">
        <v>0</v>
      </c>
      <c r="G457" s="656">
        <v>0</v>
      </c>
      <c r="H457" s="305">
        <f t="shared" si="14"/>
        <v>40910000</v>
      </c>
    </row>
    <row r="458" spans="1:8" ht="11.25" x14ac:dyDescent="0.2">
      <c r="A458" s="654">
        <v>41100000</v>
      </c>
      <c r="B458" s="655" t="s">
        <v>9837</v>
      </c>
      <c r="C458" s="656">
        <v>15614197.010682464</v>
      </c>
      <c r="D458" s="656">
        <v>71225361.711999997</v>
      </c>
      <c r="E458" s="656">
        <v>64460006.486000001</v>
      </c>
      <c r="F458" s="656">
        <v>6765355.2259999961</v>
      </c>
      <c r="G458" s="656">
        <v>22379552.23668246</v>
      </c>
      <c r="H458" s="305">
        <f t="shared" si="14"/>
        <v>41100000</v>
      </c>
    </row>
    <row r="459" spans="1:8" ht="11.25" x14ac:dyDescent="0.2">
      <c r="A459" s="654">
        <v>41301000</v>
      </c>
      <c r="B459" s="655" t="s">
        <v>9838</v>
      </c>
      <c r="C459" s="656">
        <v>0</v>
      </c>
      <c r="D459" s="656">
        <v>0</v>
      </c>
      <c r="E459" s="656">
        <v>0</v>
      </c>
      <c r="F459" s="656">
        <v>0</v>
      </c>
      <c r="G459" s="656">
        <v>0</v>
      </c>
      <c r="H459" s="305">
        <f t="shared" si="14"/>
        <v>41301000</v>
      </c>
    </row>
    <row r="460" spans="1:8" ht="11.25" x14ac:dyDescent="0.2">
      <c r="A460" s="654">
        <v>41500000</v>
      </c>
      <c r="B460" s="655" t="s">
        <v>9839</v>
      </c>
      <c r="C460" s="656">
        <v>3350188.1832604855</v>
      </c>
      <c r="D460" s="656">
        <v>12641350.197999999</v>
      </c>
      <c r="E460" s="656">
        <v>14982152.153000001</v>
      </c>
      <c r="F460" s="656">
        <v>-2340801.9550000019</v>
      </c>
      <c r="G460" s="656">
        <v>1009386.2282604836</v>
      </c>
      <c r="H460" s="305">
        <f t="shared" si="14"/>
        <v>41500000</v>
      </c>
    </row>
    <row r="461" spans="1:8" ht="11.25" x14ac:dyDescent="0.2">
      <c r="A461" s="654">
        <v>41601000</v>
      </c>
      <c r="B461" s="655" t="s">
        <v>9840</v>
      </c>
      <c r="C461" s="656">
        <v>0</v>
      </c>
      <c r="D461" s="656">
        <v>0</v>
      </c>
      <c r="E461" s="656">
        <v>0</v>
      </c>
      <c r="F461" s="656">
        <v>0</v>
      </c>
      <c r="G461" s="656">
        <v>0</v>
      </c>
      <c r="H461" s="305">
        <f t="shared" si="14"/>
        <v>41601000</v>
      </c>
    </row>
    <row r="462" spans="1:8" ht="11.25" x14ac:dyDescent="0.2">
      <c r="A462" s="654">
        <v>41800000</v>
      </c>
      <c r="B462" s="655" t="s">
        <v>9841</v>
      </c>
      <c r="C462" s="656">
        <v>0</v>
      </c>
      <c r="D462" s="656">
        <v>0</v>
      </c>
      <c r="E462" s="656">
        <v>0</v>
      </c>
      <c r="F462" s="656">
        <v>0</v>
      </c>
      <c r="G462" s="656">
        <v>0</v>
      </c>
      <c r="H462" s="305">
        <f t="shared" si="14"/>
        <v>41800000</v>
      </c>
    </row>
    <row r="463" spans="1:8" ht="11.25" x14ac:dyDescent="0.2">
      <c r="A463" s="654">
        <v>41910000</v>
      </c>
      <c r="B463" s="655" t="s">
        <v>9842</v>
      </c>
      <c r="C463" s="656">
        <v>0</v>
      </c>
      <c r="D463" s="656">
        <v>0</v>
      </c>
      <c r="E463" s="656">
        <v>0</v>
      </c>
      <c r="F463" s="656">
        <v>0</v>
      </c>
      <c r="G463" s="656">
        <v>0</v>
      </c>
      <c r="H463" s="305">
        <f t="shared" si="14"/>
        <v>41910000</v>
      </c>
    </row>
    <row r="464" spans="1:8" ht="11.25" x14ac:dyDescent="0.2">
      <c r="A464" s="654">
        <v>42100000</v>
      </c>
      <c r="B464" s="655" t="s">
        <v>9843</v>
      </c>
      <c r="C464" s="656">
        <v>0</v>
      </c>
      <c r="D464" s="656">
        <v>240</v>
      </c>
      <c r="E464" s="656">
        <v>240</v>
      </c>
      <c r="F464" s="656">
        <v>0</v>
      </c>
      <c r="G464" s="656">
        <v>0</v>
      </c>
      <c r="H464" s="305">
        <f t="shared" si="14"/>
        <v>42100000</v>
      </c>
    </row>
    <row r="465" spans="1:8" ht="11.25" x14ac:dyDescent="0.2">
      <c r="A465" s="654">
        <v>42110000</v>
      </c>
      <c r="B465" s="655" t="s">
        <v>9844</v>
      </c>
      <c r="C465" s="656">
        <v>0</v>
      </c>
      <c r="D465" s="656">
        <v>0</v>
      </c>
      <c r="E465" s="656">
        <v>0</v>
      </c>
      <c r="F465" s="656">
        <v>0</v>
      </c>
      <c r="G465" s="656">
        <v>0</v>
      </c>
      <c r="H465" s="305">
        <f t="shared" si="14"/>
        <v>42110000</v>
      </c>
    </row>
    <row r="466" spans="1:8" ht="11.25" x14ac:dyDescent="0.2">
      <c r="A466" s="654">
        <v>42120000</v>
      </c>
      <c r="B466" s="655" t="s">
        <v>9845</v>
      </c>
      <c r="C466" s="656">
        <v>21139.859999999986</v>
      </c>
      <c r="D466" s="656">
        <v>95555</v>
      </c>
      <c r="E466" s="656">
        <v>99772.479000000007</v>
      </c>
      <c r="F466" s="656">
        <v>-4217.4790000000066</v>
      </c>
      <c r="G466" s="656">
        <v>16922.380999999979</v>
      </c>
      <c r="H466" s="305">
        <f t="shared" si="14"/>
        <v>42120000</v>
      </c>
    </row>
    <row r="467" spans="1:8" ht="11.25" x14ac:dyDescent="0.2">
      <c r="A467" s="654">
        <v>42400000</v>
      </c>
      <c r="B467" s="655" t="s">
        <v>9846</v>
      </c>
      <c r="C467" s="656">
        <v>0</v>
      </c>
      <c r="D467" s="656">
        <v>0</v>
      </c>
      <c r="E467" s="656">
        <v>0</v>
      </c>
      <c r="F467" s="656">
        <v>0</v>
      </c>
      <c r="G467" s="656">
        <v>0</v>
      </c>
      <c r="H467" s="305">
        <f t="shared" si="14"/>
        <v>42400000</v>
      </c>
    </row>
    <row r="468" spans="1:8" ht="11.25" x14ac:dyDescent="0.2">
      <c r="A468" s="654">
        <v>42500000</v>
      </c>
      <c r="B468" s="655" t="s">
        <v>9847</v>
      </c>
      <c r="C468" s="656">
        <v>-180820.1429999955</v>
      </c>
      <c r="D468" s="656">
        <v>3333102.335</v>
      </c>
      <c r="E468" s="656">
        <v>3132785.6380000003</v>
      </c>
      <c r="F468" s="656">
        <v>200316.69699999969</v>
      </c>
      <c r="G468" s="656">
        <v>19496.554000004195</v>
      </c>
      <c r="H468" s="305">
        <f t="shared" si="14"/>
        <v>42500000</v>
      </c>
    </row>
    <row r="469" spans="1:8" ht="11.25" x14ac:dyDescent="0.2">
      <c r="A469" s="654">
        <v>42700000</v>
      </c>
      <c r="B469" s="655" t="s">
        <v>9848</v>
      </c>
      <c r="C469" s="656">
        <v>0</v>
      </c>
      <c r="D469" s="656">
        <v>0</v>
      </c>
      <c r="E469" s="656">
        <v>0</v>
      </c>
      <c r="F469" s="656">
        <v>0</v>
      </c>
      <c r="G469" s="656">
        <v>0</v>
      </c>
      <c r="H469" s="305">
        <f t="shared" si="14"/>
        <v>42700000</v>
      </c>
    </row>
    <row r="470" spans="1:8" ht="11.25" x14ac:dyDescent="0.2">
      <c r="A470" s="654">
        <v>42710000</v>
      </c>
      <c r="B470" s="655" t="s">
        <v>9849</v>
      </c>
      <c r="C470" s="656">
        <v>-2433.5259999999907</v>
      </c>
      <c r="D470" s="656">
        <v>8081.1259999999993</v>
      </c>
      <c r="E470" s="656">
        <v>7714.6180000000004</v>
      </c>
      <c r="F470" s="656">
        <v>366.5079999999989</v>
      </c>
      <c r="G470" s="656">
        <v>-2067.0179999999918</v>
      </c>
      <c r="H470" s="305">
        <f t="shared" si="14"/>
        <v>42710000</v>
      </c>
    </row>
    <row r="471" spans="1:8" ht="11.25" x14ac:dyDescent="0.2">
      <c r="A471" s="654">
        <v>42820000</v>
      </c>
      <c r="B471" s="655" t="s">
        <v>9850</v>
      </c>
      <c r="C471" s="656">
        <v>-245931.41399999941</v>
      </c>
      <c r="D471" s="656">
        <v>245931.41399999996</v>
      </c>
      <c r="E471" s="656">
        <v>0</v>
      </c>
      <c r="F471" s="656">
        <v>245931.41399999996</v>
      </c>
      <c r="G471" s="656">
        <v>5.5297277867794037E-10</v>
      </c>
      <c r="H471" s="305">
        <f t="shared" si="14"/>
        <v>42820000</v>
      </c>
    </row>
    <row r="472" spans="1:8" ht="11.25" x14ac:dyDescent="0.2">
      <c r="A472" s="654">
        <v>43200000</v>
      </c>
      <c r="B472" s="655" t="s">
        <v>9851</v>
      </c>
      <c r="C472" s="656">
        <v>0</v>
      </c>
      <c r="D472" s="656">
        <v>10000</v>
      </c>
      <c r="E472" s="656">
        <v>10000</v>
      </c>
      <c r="F472" s="656">
        <v>0</v>
      </c>
      <c r="G472" s="656">
        <v>0</v>
      </c>
      <c r="H472" s="305">
        <f t="shared" si="14"/>
        <v>43200000</v>
      </c>
    </row>
    <row r="473" spans="1:8" ht="11.25" x14ac:dyDescent="0.2">
      <c r="A473" s="654">
        <v>43210000</v>
      </c>
      <c r="B473" s="655" t="s">
        <v>9852</v>
      </c>
      <c r="C473" s="656">
        <v>0</v>
      </c>
      <c r="D473" s="656">
        <v>669237.72700000007</v>
      </c>
      <c r="E473" s="656">
        <v>716813.99700000009</v>
      </c>
      <c r="F473" s="656">
        <v>-47576.270000000019</v>
      </c>
      <c r="G473" s="656">
        <v>-47576.270000000019</v>
      </c>
      <c r="H473" s="305">
        <f t="shared" si="14"/>
        <v>43210000</v>
      </c>
    </row>
    <row r="474" spans="1:8" ht="11.25" x14ac:dyDescent="0.2">
      <c r="A474" s="654">
        <v>43211000</v>
      </c>
      <c r="B474" s="655" t="s">
        <v>9853</v>
      </c>
      <c r="C474" s="656">
        <v>0</v>
      </c>
      <c r="D474" s="656">
        <v>2549.4430000000002</v>
      </c>
      <c r="E474" s="656">
        <v>2549.4430000000002</v>
      </c>
      <c r="F474" s="656">
        <v>0</v>
      </c>
      <c r="G474" s="656">
        <v>0</v>
      </c>
      <c r="H474" s="305">
        <f t="shared" si="14"/>
        <v>43211000</v>
      </c>
    </row>
    <row r="475" spans="1:8" ht="11.25" x14ac:dyDescent="0.2">
      <c r="A475" s="654">
        <v>43211500</v>
      </c>
      <c r="B475" s="655" t="s">
        <v>9854</v>
      </c>
      <c r="C475" s="656">
        <v>0</v>
      </c>
      <c r="D475" s="656">
        <v>149.95400000000001</v>
      </c>
      <c r="E475" s="656">
        <v>149.95499999999998</v>
      </c>
      <c r="F475" s="656">
        <v>-9.9999999997635314E-4</v>
      </c>
      <c r="G475" s="656">
        <v>-9.9999999997635314E-4</v>
      </c>
      <c r="H475" s="305">
        <f t="shared" si="14"/>
        <v>43211500</v>
      </c>
    </row>
    <row r="476" spans="1:8" ht="11.25" x14ac:dyDescent="0.2">
      <c r="A476" s="654">
        <v>43212500</v>
      </c>
      <c r="B476" s="655" t="s">
        <v>9855</v>
      </c>
      <c r="C476" s="656">
        <v>0</v>
      </c>
      <c r="D476" s="656">
        <v>0</v>
      </c>
      <c r="E476" s="656">
        <v>0</v>
      </c>
      <c r="F476" s="656">
        <v>0</v>
      </c>
      <c r="G476" s="656">
        <v>0</v>
      </c>
      <c r="H476" s="305">
        <f t="shared" si="14"/>
        <v>43212500</v>
      </c>
    </row>
    <row r="477" spans="1:8" ht="11.25" x14ac:dyDescent="0.2">
      <c r="A477" s="654">
        <v>43215000</v>
      </c>
      <c r="B477" s="655" t="s">
        <v>9856</v>
      </c>
      <c r="C477" s="656">
        <v>0</v>
      </c>
      <c r="D477" s="656">
        <v>0</v>
      </c>
      <c r="E477" s="656">
        <v>0</v>
      </c>
      <c r="F477" s="656">
        <v>0</v>
      </c>
      <c r="G477" s="656">
        <v>0</v>
      </c>
      <c r="H477" s="305">
        <f t="shared" si="14"/>
        <v>43215000</v>
      </c>
    </row>
    <row r="478" spans="1:8" ht="11.25" x14ac:dyDescent="0.2">
      <c r="A478" s="654">
        <v>43220000</v>
      </c>
      <c r="B478" s="655" t="s">
        <v>9857</v>
      </c>
      <c r="C478" s="656">
        <v>0</v>
      </c>
      <c r="D478" s="656">
        <v>47808.722999999998</v>
      </c>
      <c r="E478" s="656">
        <v>111235.25200000001</v>
      </c>
      <c r="F478" s="656">
        <v>-63426.52900000001</v>
      </c>
      <c r="G478" s="656">
        <v>-63426.52900000001</v>
      </c>
      <c r="H478" s="305">
        <f t="shared" si="14"/>
        <v>43220000</v>
      </c>
    </row>
    <row r="479" spans="1:8" ht="11.25" x14ac:dyDescent="0.2">
      <c r="A479" s="654">
        <v>43220050</v>
      </c>
      <c r="B479" s="655" t="s">
        <v>9858</v>
      </c>
      <c r="C479" s="656">
        <v>4.7000000002299203E-2</v>
      </c>
      <c r="D479" s="656">
        <v>2.98</v>
      </c>
      <c r="E479" s="656">
        <v>2.98</v>
      </c>
      <c r="F479" s="656">
        <v>0</v>
      </c>
      <c r="G479" s="656">
        <v>4.7000000002299203E-2</v>
      </c>
      <c r="H479" s="305">
        <f t="shared" si="14"/>
        <v>43220050</v>
      </c>
    </row>
    <row r="480" spans="1:8" ht="11.25" x14ac:dyDescent="0.2">
      <c r="A480" s="654">
        <v>43220100</v>
      </c>
      <c r="B480" s="655" t="s">
        <v>9859</v>
      </c>
      <c r="C480" s="656">
        <v>0</v>
      </c>
      <c r="D480" s="656">
        <v>176284.01300000001</v>
      </c>
      <c r="E480" s="656">
        <v>183263.21399999998</v>
      </c>
      <c r="F480" s="656">
        <v>-6979.2009999999718</v>
      </c>
      <c r="G480" s="656">
        <v>-6979.2009999999718</v>
      </c>
      <c r="H480" s="305">
        <f t="shared" si="14"/>
        <v>43220100</v>
      </c>
    </row>
    <row r="481" spans="1:8" ht="11.25" x14ac:dyDescent="0.2">
      <c r="A481" s="654">
        <v>43220300</v>
      </c>
      <c r="B481" s="655" t="s">
        <v>9860</v>
      </c>
      <c r="C481" s="656">
        <v>0</v>
      </c>
      <c r="D481" s="656">
        <v>3759.9470000000001</v>
      </c>
      <c r="E481" s="656">
        <v>3902.7770000000005</v>
      </c>
      <c r="F481" s="656">
        <v>-142.83000000000038</v>
      </c>
      <c r="G481" s="656">
        <v>-142.83000000000038</v>
      </c>
      <c r="H481" s="305">
        <f t="shared" si="14"/>
        <v>43220300</v>
      </c>
    </row>
    <row r="482" spans="1:8" ht="11.25" x14ac:dyDescent="0.2">
      <c r="A482" s="654">
        <v>43221000</v>
      </c>
      <c r="B482" s="655" t="s">
        <v>9861</v>
      </c>
      <c r="C482" s="656">
        <v>0</v>
      </c>
      <c r="D482" s="656">
        <v>111.10999999999999</v>
      </c>
      <c r="E482" s="656">
        <v>111.10999999999999</v>
      </c>
      <c r="F482" s="656">
        <v>0</v>
      </c>
      <c r="G482" s="656">
        <v>0</v>
      </c>
      <c r="H482" s="305">
        <f t="shared" si="14"/>
        <v>43221000</v>
      </c>
    </row>
    <row r="483" spans="1:8" ht="11.25" x14ac:dyDescent="0.2">
      <c r="A483" s="654">
        <v>43222000</v>
      </c>
      <c r="B483" s="655" t="s">
        <v>9862</v>
      </c>
      <c r="C483" s="656">
        <v>0</v>
      </c>
      <c r="D483" s="656">
        <v>131636.78999999998</v>
      </c>
      <c r="E483" s="656">
        <v>141639.15699999998</v>
      </c>
      <c r="F483" s="656">
        <v>-10002.366999999998</v>
      </c>
      <c r="G483" s="656">
        <v>-10002.366999999998</v>
      </c>
      <c r="H483" s="305">
        <f t="shared" si="14"/>
        <v>43222000</v>
      </c>
    </row>
    <row r="484" spans="1:8" ht="11.25" x14ac:dyDescent="0.2">
      <c r="A484" s="654">
        <v>43223000</v>
      </c>
      <c r="B484" s="655" t="s">
        <v>9863</v>
      </c>
      <c r="C484" s="656">
        <v>-40912.060000000027</v>
      </c>
      <c r="D484" s="656">
        <v>57231.428</v>
      </c>
      <c r="E484" s="656">
        <v>18038.748</v>
      </c>
      <c r="F484" s="656">
        <v>39192.68</v>
      </c>
      <c r="G484" s="656">
        <v>-1719.3800000000265</v>
      </c>
      <c r="H484" s="305">
        <f t="shared" si="14"/>
        <v>43223000</v>
      </c>
    </row>
    <row r="485" spans="1:8" ht="11.25" x14ac:dyDescent="0.2">
      <c r="A485" s="654">
        <v>43310000</v>
      </c>
      <c r="B485" s="655" t="s">
        <v>9864</v>
      </c>
      <c r="C485" s="656">
        <v>0</v>
      </c>
      <c r="D485" s="656">
        <v>0</v>
      </c>
      <c r="E485" s="656">
        <v>0</v>
      </c>
      <c r="F485" s="656">
        <v>0</v>
      </c>
      <c r="G485" s="656">
        <v>0</v>
      </c>
      <c r="H485" s="305">
        <f t="shared" si="14"/>
        <v>43310000</v>
      </c>
    </row>
    <row r="486" spans="1:8" ht="11.25" x14ac:dyDescent="0.2">
      <c r="A486" s="654">
        <v>43400000</v>
      </c>
      <c r="B486" s="655" t="s">
        <v>9865</v>
      </c>
      <c r="C486" s="656">
        <v>967729.65199999954</v>
      </c>
      <c r="D486" s="656">
        <v>0</v>
      </c>
      <c r="E486" s="656">
        <v>0</v>
      </c>
      <c r="F486" s="656">
        <v>0</v>
      </c>
      <c r="G486" s="656">
        <v>967729.65199999954</v>
      </c>
      <c r="H486" s="305">
        <f t="shared" si="14"/>
        <v>43400000</v>
      </c>
    </row>
    <row r="487" spans="1:8" ht="11.25" x14ac:dyDescent="0.2">
      <c r="A487" s="654">
        <v>43410000</v>
      </c>
      <c r="B487" s="655" t="s">
        <v>9866</v>
      </c>
      <c r="C487" s="656">
        <v>0</v>
      </c>
      <c r="D487" s="656">
        <v>369601.26299999998</v>
      </c>
      <c r="E487" s="656">
        <v>0</v>
      </c>
      <c r="F487" s="656">
        <v>369601.26299999998</v>
      </c>
      <c r="G487" s="656">
        <v>369601.26299999998</v>
      </c>
      <c r="H487" s="305">
        <f t="shared" si="14"/>
        <v>43410000</v>
      </c>
    </row>
    <row r="488" spans="1:8" ht="11.25" x14ac:dyDescent="0.2">
      <c r="A488" s="654">
        <v>43420000</v>
      </c>
      <c r="B488" s="655" t="s">
        <v>9867</v>
      </c>
      <c r="C488" s="656">
        <v>0</v>
      </c>
      <c r="D488" s="656">
        <v>0</v>
      </c>
      <c r="E488" s="656">
        <v>0</v>
      </c>
      <c r="F488" s="656">
        <v>0</v>
      </c>
      <c r="G488" s="656">
        <v>0</v>
      </c>
      <c r="H488" s="305">
        <f t="shared" si="14"/>
        <v>43420000</v>
      </c>
    </row>
    <row r="489" spans="1:8" ht="11.25" x14ac:dyDescent="0.2">
      <c r="A489" s="654">
        <v>43430000</v>
      </c>
      <c r="B489" s="655" t="s">
        <v>9868</v>
      </c>
      <c r="C489" s="656">
        <v>0</v>
      </c>
      <c r="D489" s="656">
        <v>135.946</v>
      </c>
      <c r="E489" s="656">
        <v>135.946</v>
      </c>
      <c r="F489" s="656">
        <v>0</v>
      </c>
      <c r="G489" s="656">
        <v>0</v>
      </c>
      <c r="H489" s="305">
        <f t="shared" si="14"/>
        <v>43430000</v>
      </c>
    </row>
    <row r="490" spans="1:8" ht="11.25" x14ac:dyDescent="0.2">
      <c r="A490" s="654">
        <v>43440000</v>
      </c>
      <c r="B490" s="655" t="s">
        <v>9869</v>
      </c>
      <c r="C490" s="656">
        <v>0</v>
      </c>
      <c r="D490" s="656">
        <v>6135.9</v>
      </c>
      <c r="E490" s="656">
        <v>6135.9</v>
      </c>
      <c r="F490" s="656">
        <v>0</v>
      </c>
      <c r="G490" s="656">
        <v>0</v>
      </c>
      <c r="H490" s="305">
        <f t="shared" si="14"/>
        <v>43440000</v>
      </c>
    </row>
    <row r="491" spans="1:8" ht="11.25" x14ac:dyDescent="0.2">
      <c r="A491" s="654">
        <v>43500000</v>
      </c>
      <c r="B491" s="655" t="s">
        <v>9870</v>
      </c>
      <c r="C491" s="656">
        <v>-70408.270000000484</v>
      </c>
      <c r="D491" s="656">
        <v>846528.15099999995</v>
      </c>
      <c r="E491" s="656">
        <v>1202047.0519999999</v>
      </c>
      <c r="F491" s="656">
        <v>-355518.90099999995</v>
      </c>
      <c r="G491" s="656">
        <v>-425927.17100000044</v>
      </c>
      <c r="H491" s="305">
        <f t="shared" si="14"/>
        <v>43500000</v>
      </c>
    </row>
    <row r="492" spans="1:8" ht="11.25" x14ac:dyDescent="0.2">
      <c r="A492" s="654">
        <v>43600000</v>
      </c>
      <c r="B492" s="655" t="s">
        <v>9871</v>
      </c>
      <c r="C492" s="656">
        <v>697619.66200000048</v>
      </c>
      <c r="D492" s="656">
        <v>10842581.550000001</v>
      </c>
      <c r="E492" s="656">
        <v>8469482.0140000004</v>
      </c>
      <c r="F492" s="656">
        <v>2373099.5360000003</v>
      </c>
      <c r="G492" s="656">
        <v>3070719.1980000008</v>
      </c>
      <c r="H492" s="305">
        <f t="shared" si="14"/>
        <v>43600000</v>
      </c>
    </row>
    <row r="493" spans="1:8" ht="11.25" x14ac:dyDescent="0.2">
      <c r="A493" s="654">
        <v>43625000</v>
      </c>
      <c r="B493" s="655" t="s">
        <v>9872</v>
      </c>
      <c r="C493" s="656">
        <v>0</v>
      </c>
      <c r="D493" s="656">
        <v>316533.68400000001</v>
      </c>
      <c r="E493" s="656">
        <v>316533.68400000001</v>
      </c>
      <c r="F493" s="656">
        <v>0</v>
      </c>
      <c r="G493" s="656">
        <v>0</v>
      </c>
      <c r="H493" s="305">
        <f t="shared" ref="H493:H556" si="15">VLOOKUP($A493,$A$2:$B$357,1,0)</f>
        <v>43625000</v>
      </c>
    </row>
    <row r="494" spans="1:8" ht="11.25" x14ac:dyDescent="0.2">
      <c r="A494" s="654">
        <v>43627000</v>
      </c>
      <c r="B494" s="655" t="s">
        <v>9873</v>
      </c>
      <c r="C494" s="656">
        <v>1.0999999940395355E-2</v>
      </c>
      <c r="D494" s="656">
        <v>2215735.7869999995</v>
      </c>
      <c r="E494" s="656">
        <v>2215735.7759999996</v>
      </c>
      <c r="F494" s="656">
        <v>1.0999999940395355E-2</v>
      </c>
      <c r="G494" s="656">
        <v>2.199999988079071E-2</v>
      </c>
      <c r="H494" s="305">
        <f t="shared" si="15"/>
        <v>43627000</v>
      </c>
    </row>
    <row r="495" spans="1:8" ht="11.25" x14ac:dyDescent="0.2">
      <c r="A495" s="654">
        <v>43630600</v>
      </c>
      <c r="B495" s="655" t="s">
        <v>9874</v>
      </c>
      <c r="C495" s="656">
        <v>0</v>
      </c>
      <c r="D495" s="656">
        <v>0</v>
      </c>
      <c r="E495" s="656">
        <v>0</v>
      </c>
      <c r="F495" s="656">
        <v>0</v>
      </c>
      <c r="G495" s="656">
        <v>0</v>
      </c>
      <c r="H495" s="305">
        <f t="shared" si="15"/>
        <v>43630600</v>
      </c>
    </row>
    <row r="496" spans="1:8" ht="11.25" x14ac:dyDescent="0.2">
      <c r="A496" s="654">
        <v>43630700</v>
      </c>
      <c r="B496" s="655" t="s">
        <v>9875</v>
      </c>
      <c r="C496" s="656">
        <v>6400.8769999999786</v>
      </c>
      <c r="D496" s="656">
        <v>26187.287999999997</v>
      </c>
      <c r="E496" s="656">
        <v>30079.589</v>
      </c>
      <c r="F496" s="656">
        <v>-3892.3010000000031</v>
      </c>
      <c r="G496" s="656">
        <v>2508.5759999999755</v>
      </c>
      <c r="H496" s="305">
        <f t="shared" si="15"/>
        <v>43630700</v>
      </c>
    </row>
    <row r="497" spans="1:8" ht="11.25" x14ac:dyDescent="0.2">
      <c r="A497" s="654">
        <v>43631000</v>
      </c>
      <c r="B497" s="655" t="s">
        <v>9876</v>
      </c>
      <c r="C497" s="656">
        <v>0</v>
      </c>
      <c r="D497" s="656">
        <v>0</v>
      </c>
      <c r="E497" s="656">
        <v>0</v>
      </c>
      <c r="F497" s="656">
        <v>0</v>
      </c>
      <c r="G497" s="656">
        <v>0</v>
      </c>
      <c r="H497" s="305">
        <f t="shared" si="15"/>
        <v>43631000</v>
      </c>
    </row>
    <row r="498" spans="1:8" ht="11.25" x14ac:dyDescent="0.2">
      <c r="A498" s="654">
        <v>43631300</v>
      </c>
      <c r="B498" s="655" t="s">
        <v>9877</v>
      </c>
      <c r="C498" s="656">
        <v>0</v>
      </c>
      <c r="D498" s="656">
        <v>22499.953999999998</v>
      </c>
      <c r="E498" s="656">
        <v>20468.701999999997</v>
      </c>
      <c r="F498" s="656">
        <v>2031.2520000000004</v>
      </c>
      <c r="G498" s="656">
        <v>2031.2520000000004</v>
      </c>
      <c r="H498" s="305">
        <f t="shared" si="15"/>
        <v>43631300</v>
      </c>
    </row>
    <row r="499" spans="1:8" ht="11.25" x14ac:dyDescent="0.2">
      <c r="A499" s="654">
        <v>43631800</v>
      </c>
      <c r="B499" s="655" t="s">
        <v>9878</v>
      </c>
      <c r="C499" s="656">
        <v>0</v>
      </c>
      <c r="D499" s="656">
        <v>0</v>
      </c>
      <c r="E499" s="656">
        <v>0</v>
      </c>
      <c r="F499" s="656">
        <v>0</v>
      </c>
      <c r="G499" s="656">
        <v>0</v>
      </c>
      <c r="H499" s="305">
        <f t="shared" si="15"/>
        <v>43631800</v>
      </c>
    </row>
    <row r="500" spans="1:8" ht="11.25" x14ac:dyDescent="0.2">
      <c r="A500" s="654">
        <v>43631900</v>
      </c>
      <c r="B500" s="655" t="s">
        <v>9879</v>
      </c>
      <c r="C500" s="656">
        <v>-3.9999932050704956E-3</v>
      </c>
      <c r="D500" s="656">
        <v>9819790.5879999995</v>
      </c>
      <c r="E500" s="656">
        <v>8479542.3260000013</v>
      </c>
      <c r="F500" s="656">
        <v>1340248.2619999982</v>
      </c>
      <c r="G500" s="656">
        <v>1340248.258000005</v>
      </c>
      <c r="H500" s="305">
        <f t="shared" si="15"/>
        <v>43631900</v>
      </c>
    </row>
    <row r="501" spans="1:8" ht="11.25" x14ac:dyDescent="0.2">
      <c r="A501" s="654">
        <v>43661800</v>
      </c>
      <c r="B501" s="655" t="s">
        <v>9880</v>
      </c>
      <c r="C501" s="656">
        <v>0</v>
      </c>
      <c r="D501" s="656">
        <v>0</v>
      </c>
      <c r="E501" s="656">
        <v>0</v>
      </c>
      <c r="F501" s="656">
        <v>0</v>
      </c>
      <c r="G501" s="656">
        <v>0</v>
      </c>
      <c r="H501" s="305">
        <f t="shared" si="15"/>
        <v>43661800</v>
      </c>
    </row>
    <row r="502" spans="1:8" ht="11.25" x14ac:dyDescent="0.2">
      <c r="A502" s="654">
        <v>43671000</v>
      </c>
      <c r="B502" s="655" t="s">
        <v>9881</v>
      </c>
      <c r="C502" s="656">
        <v>0</v>
      </c>
      <c r="D502" s="656">
        <v>6656263.8399999999</v>
      </c>
      <c r="E502" s="656">
        <v>6672773.0959999999</v>
      </c>
      <c r="F502" s="656">
        <v>-16509.256000000052</v>
      </c>
      <c r="G502" s="656">
        <v>-16509.256000000052</v>
      </c>
      <c r="H502" s="305">
        <f t="shared" si="15"/>
        <v>43671000</v>
      </c>
    </row>
    <row r="503" spans="1:8" ht="11.25" x14ac:dyDescent="0.2">
      <c r="A503" s="654">
        <v>43700000</v>
      </c>
      <c r="B503" s="655" t="s">
        <v>9882</v>
      </c>
      <c r="C503" s="656">
        <v>0</v>
      </c>
      <c r="D503" s="656">
        <v>43</v>
      </c>
      <c r="E503" s="656">
        <v>44</v>
      </c>
      <c r="F503" s="656">
        <v>-1</v>
      </c>
      <c r="G503" s="656">
        <v>-1</v>
      </c>
      <c r="H503" s="305">
        <f t="shared" si="15"/>
        <v>43700000</v>
      </c>
    </row>
    <row r="504" spans="1:8" ht="11.25" x14ac:dyDescent="0.2">
      <c r="A504" s="654">
        <v>43720000</v>
      </c>
      <c r="B504" s="655" t="s">
        <v>9883</v>
      </c>
      <c r="C504" s="656">
        <v>0</v>
      </c>
      <c r="D504" s="656">
        <v>0</v>
      </c>
      <c r="E504" s="656">
        <v>0</v>
      </c>
      <c r="F504" s="656">
        <v>0</v>
      </c>
      <c r="G504" s="656">
        <v>0</v>
      </c>
      <c r="H504" s="305">
        <f t="shared" si="15"/>
        <v>43720000</v>
      </c>
    </row>
    <row r="505" spans="1:8" ht="11.25" x14ac:dyDescent="0.2">
      <c r="A505" s="654">
        <v>43756000</v>
      </c>
      <c r="B505" s="655" t="s">
        <v>9884</v>
      </c>
      <c r="C505" s="656">
        <v>0</v>
      </c>
      <c r="D505" s="656">
        <v>0</v>
      </c>
      <c r="E505" s="656">
        <v>0</v>
      </c>
      <c r="F505" s="656">
        <v>0</v>
      </c>
      <c r="G505" s="656">
        <v>0</v>
      </c>
      <c r="H505" s="305">
        <f t="shared" si="15"/>
        <v>43756000</v>
      </c>
    </row>
    <row r="506" spans="1:8" ht="11.25" x14ac:dyDescent="0.2">
      <c r="A506" s="654">
        <v>44100000</v>
      </c>
      <c r="B506" s="655" t="s">
        <v>9885</v>
      </c>
      <c r="C506" s="656">
        <v>0</v>
      </c>
      <c r="D506" s="656">
        <v>0</v>
      </c>
      <c r="E506" s="656">
        <v>0</v>
      </c>
      <c r="F506" s="656">
        <v>0</v>
      </c>
      <c r="G506" s="656">
        <v>0</v>
      </c>
      <c r="H506" s="305">
        <f t="shared" si="15"/>
        <v>44100000</v>
      </c>
    </row>
    <row r="507" spans="1:8" ht="11.25" x14ac:dyDescent="0.2">
      <c r="A507" s="654">
        <v>44101000</v>
      </c>
      <c r="B507" s="655" t="s">
        <v>9886</v>
      </c>
      <c r="C507" s="656">
        <v>0</v>
      </c>
      <c r="D507" s="656">
        <v>0</v>
      </c>
      <c r="E507" s="656">
        <v>0</v>
      </c>
      <c r="F507" s="656">
        <v>0</v>
      </c>
      <c r="G507" s="656">
        <v>0</v>
      </c>
      <c r="H507" s="305">
        <f t="shared" si="15"/>
        <v>44101000</v>
      </c>
    </row>
    <row r="508" spans="1:8" ht="11.25" x14ac:dyDescent="0.2">
      <c r="A508" s="654">
        <v>44200000</v>
      </c>
      <c r="B508" s="655" t="s">
        <v>9887</v>
      </c>
      <c r="C508" s="656">
        <v>0</v>
      </c>
      <c r="D508" s="656">
        <v>0</v>
      </c>
      <c r="E508" s="656">
        <v>0</v>
      </c>
      <c r="F508" s="656">
        <v>0</v>
      </c>
      <c r="G508" s="656">
        <v>0</v>
      </c>
      <c r="H508" s="305">
        <f t="shared" si="15"/>
        <v>44200000</v>
      </c>
    </row>
    <row r="509" spans="1:8" ht="11.25" x14ac:dyDescent="0.2">
      <c r="A509" s="654">
        <v>44201000</v>
      </c>
      <c r="B509" s="655" t="s">
        <v>9888</v>
      </c>
      <c r="C509" s="656">
        <v>44498.300999999978</v>
      </c>
      <c r="D509" s="656">
        <v>0</v>
      </c>
      <c r="E509" s="656">
        <v>44498.302000000003</v>
      </c>
      <c r="F509" s="656">
        <v>-44498.302000000003</v>
      </c>
      <c r="G509" s="656">
        <v>-1.0000000256695785E-3</v>
      </c>
      <c r="H509" s="305">
        <f t="shared" si="15"/>
        <v>44201000</v>
      </c>
    </row>
    <row r="510" spans="1:8" ht="11.25" x14ac:dyDescent="0.2">
      <c r="A510" s="654">
        <v>44202000</v>
      </c>
      <c r="B510" s="655" t="s">
        <v>9889</v>
      </c>
      <c r="C510" s="656">
        <v>0</v>
      </c>
      <c r="D510" s="656">
        <v>0</v>
      </c>
      <c r="E510" s="656">
        <v>0</v>
      </c>
      <c r="F510" s="656">
        <v>0</v>
      </c>
      <c r="G510" s="656">
        <v>0</v>
      </c>
      <c r="H510" s="305">
        <f t="shared" si="15"/>
        <v>44202000</v>
      </c>
    </row>
    <row r="511" spans="1:8" ht="11.25" x14ac:dyDescent="0.2">
      <c r="A511" s="654">
        <v>44203000</v>
      </c>
      <c r="B511" s="655" t="s">
        <v>9890</v>
      </c>
      <c r="C511" s="656">
        <v>0</v>
      </c>
      <c r="D511" s="656">
        <v>0</v>
      </c>
      <c r="E511" s="656">
        <v>0</v>
      </c>
      <c r="F511" s="656">
        <v>0</v>
      </c>
      <c r="G511" s="656">
        <v>0</v>
      </c>
      <c r="H511" s="305">
        <f t="shared" si="15"/>
        <v>44203000</v>
      </c>
    </row>
    <row r="512" spans="1:8" ht="11.25" x14ac:dyDescent="0.2">
      <c r="A512" s="654">
        <v>44204000</v>
      </c>
      <c r="B512" s="655" t="s">
        <v>9891</v>
      </c>
      <c r="C512" s="656">
        <v>0</v>
      </c>
      <c r="D512" s="656">
        <v>0</v>
      </c>
      <c r="E512" s="656">
        <v>0</v>
      </c>
      <c r="F512" s="656">
        <v>0</v>
      </c>
      <c r="G512" s="656">
        <v>0</v>
      </c>
      <c r="H512" s="305">
        <f t="shared" si="15"/>
        <v>44204000</v>
      </c>
    </row>
    <row r="513" spans="1:8" ht="11.25" x14ac:dyDescent="0.2">
      <c r="A513" s="654">
        <v>44205000</v>
      </c>
      <c r="B513" s="655" t="s">
        <v>9892</v>
      </c>
      <c r="C513" s="656">
        <v>0</v>
      </c>
      <c r="D513" s="656">
        <v>0</v>
      </c>
      <c r="E513" s="656">
        <v>0</v>
      </c>
      <c r="F513" s="656">
        <v>0</v>
      </c>
      <c r="G513" s="656">
        <v>0</v>
      </c>
      <c r="H513" s="305">
        <f t="shared" si="15"/>
        <v>44205000</v>
      </c>
    </row>
    <row r="514" spans="1:8" ht="11.25" x14ac:dyDescent="0.2">
      <c r="A514" s="654">
        <v>44206000</v>
      </c>
      <c r="B514" s="655" t="s">
        <v>9893</v>
      </c>
      <c r="C514" s="656">
        <v>-439999.99999999988</v>
      </c>
      <c r="D514" s="656">
        <v>145000</v>
      </c>
      <c r="E514" s="656">
        <v>0</v>
      </c>
      <c r="F514" s="656">
        <v>145000</v>
      </c>
      <c r="G514" s="656">
        <v>-294999.99999999988</v>
      </c>
      <c r="H514" s="305">
        <f t="shared" si="15"/>
        <v>44206000</v>
      </c>
    </row>
    <row r="515" spans="1:8" ht="11.25" x14ac:dyDescent="0.2">
      <c r="A515" s="654">
        <v>44207000</v>
      </c>
      <c r="B515" s="655" t="s">
        <v>9894</v>
      </c>
      <c r="C515" s="656">
        <v>165000</v>
      </c>
      <c r="D515" s="656">
        <v>60000</v>
      </c>
      <c r="E515" s="656">
        <v>0</v>
      </c>
      <c r="F515" s="656">
        <v>60000</v>
      </c>
      <c r="G515" s="656">
        <v>225000</v>
      </c>
      <c r="H515" s="305">
        <f t="shared" si="15"/>
        <v>44207000</v>
      </c>
    </row>
    <row r="516" spans="1:8" ht="11.25" x14ac:dyDescent="0.2">
      <c r="A516" s="654">
        <v>44208000</v>
      </c>
      <c r="B516" s="655" t="s">
        <v>9895</v>
      </c>
      <c r="C516" s="656">
        <v>2270.971</v>
      </c>
      <c r="D516" s="656">
        <v>0</v>
      </c>
      <c r="E516" s="656">
        <v>0</v>
      </c>
      <c r="F516" s="656">
        <v>0</v>
      </c>
      <c r="G516" s="656">
        <v>2270.971</v>
      </c>
      <c r="H516" s="305">
        <f t="shared" si="15"/>
        <v>44208000</v>
      </c>
    </row>
    <row r="517" spans="1:8" ht="11.25" x14ac:dyDescent="0.2">
      <c r="A517" s="654">
        <v>44209000</v>
      </c>
      <c r="B517" s="655" t="s">
        <v>9896</v>
      </c>
      <c r="C517" s="656">
        <v>3626.8820000002161</v>
      </c>
      <c r="D517" s="656">
        <v>0</v>
      </c>
      <c r="E517" s="656">
        <v>0</v>
      </c>
      <c r="F517" s="656">
        <v>0</v>
      </c>
      <c r="G517" s="656">
        <v>3626.8820000002161</v>
      </c>
      <c r="H517" s="305">
        <f t="shared" si="15"/>
        <v>44209000</v>
      </c>
    </row>
    <row r="518" spans="1:8" ht="11.25" x14ac:dyDescent="0.2">
      <c r="A518" s="654">
        <v>44210000</v>
      </c>
      <c r="B518" s="655" t="s">
        <v>9897</v>
      </c>
      <c r="C518" s="656">
        <v>0</v>
      </c>
      <c r="D518" s="656">
        <v>0</v>
      </c>
      <c r="E518" s="656">
        <v>0</v>
      </c>
      <c r="F518" s="656">
        <v>0</v>
      </c>
      <c r="G518" s="656">
        <v>0</v>
      </c>
      <c r="H518" s="305">
        <f t="shared" si="15"/>
        <v>44210000</v>
      </c>
    </row>
    <row r="519" spans="1:8" ht="11.25" x14ac:dyDescent="0.2">
      <c r="A519" s="654">
        <v>44600000</v>
      </c>
      <c r="B519" s="655" t="s">
        <v>9898</v>
      </c>
      <c r="C519" s="656">
        <v>0</v>
      </c>
      <c r="D519" s="656">
        <v>0</v>
      </c>
      <c r="E519" s="656">
        <v>0</v>
      </c>
      <c r="F519" s="656">
        <v>0</v>
      </c>
      <c r="G519" s="656">
        <v>0</v>
      </c>
      <c r="H519" s="305">
        <f t="shared" si="15"/>
        <v>44600000</v>
      </c>
    </row>
    <row r="520" spans="1:8" ht="11.25" x14ac:dyDescent="0.2">
      <c r="A520" s="654">
        <v>44700000</v>
      </c>
      <c r="B520" s="655" t="s">
        <v>9899</v>
      </c>
      <c r="C520" s="656">
        <v>0</v>
      </c>
      <c r="D520" s="656">
        <v>0</v>
      </c>
      <c r="E520" s="656">
        <v>0</v>
      </c>
      <c r="F520" s="656">
        <v>0</v>
      </c>
      <c r="G520" s="656">
        <v>0</v>
      </c>
      <c r="H520" s="305">
        <f t="shared" si="15"/>
        <v>44700000</v>
      </c>
    </row>
    <row r="521" spans="1:8" ht="11.25" x14ac:dyDescent="0.2">
      <c r="A521" s="654">
        <v>45000000</v>
      </c>
      <c r="B521" s="655" t="s">
        <v>9900</v>
      </c>
      <c r="C521" s="656">
        <v>-12700</v>
      </c>
      <c r="D521" s="656">
        <v>0</v>
      </c>
      <c r="E521" s="656">
        <v>0</v>
      </c>
      <c r="F521" s="656">
        <v>0</v>
      </c>
      <c r="G521" s="656">
        <v>-12700</v>
      </c>
      <c r="H521" s="305">
        <f t="shared" si="15"/>
        <v>45000000</v>
      </c>
    </row>
    <row r="522" spans="1:8" ht="11.25" x14ac:dyDescent="0.2">
      <c r="A522" s="654">
        <v>45200000</v>
      </c>
      <c r="B522" s="655" t="s">
        <v>9901</v>
      </c>
      <c r="C522" s="656">
        <v>-2500</v>
      </c>
      <c r="D522" s="656">
        <v>56000</v>
      </c>
      <c r="E522" s="656">
        <v>56000</v>
      </c>
      <c r="F522" s="656">
        <v>0</v>
      </c>
      <c r="G522" s="656">
        <v>-2500</v>
      </c>
      <c r="H522" s="305">
        <f t="shared" si="15"/>
        <v>45200000</v>
      </c>
    </row>
    <row r="523" spans="1:8" ht="11.25" x14ac:dyDescent="0.2">
      <c r="A523" s="654">
        <v>45310000</v>
      </c>
      <c r="B523" s="655" t="s">
        <v>9902</v>
      </c>
      <c r="C523" s="656">
        <v>-244010.37100000028</v>
      </c>
      <c r="D523" s="656">
        <v>911939.82699999993</v>
      </c>
      <c r="E523" s="656">
        <v>724900.04299999995</v>
      </c>
      <c r="F523" s="656">
        <v>187039.78399999999</v>
      </c>
      <c r="G523" s="656">
        <v>-56970.587000000291</v>
      </c>
      <c r="H523" s="305">
        <f t="shared" si="15"/>
        <v>45310000</v>
      </c>
    </row>
    <row r="524" spans="1:8" ht="11.25" x14ac:dyDescent="0.2">
      <c r="A524" s="654">
        <v>45700000</v>
      </c>
      <c r="B524" s="655" t="s">
        <v>9903</v>
      </c>
      <c r="C524" s="656">
        <v>7122.9679999998771</v>
      </c>
      <c r="D524" s="656">
        <v>0</v>
      </c>
      <c r="E524" s="656">
        <v>0</v>
      </c>
      <c r="F524" s="656">
        <v>0</v>
      </c>
      <c r="G524" s="656">
        <v>7122.9679999998771</v>
      </c>
      <c r="H524" s="305">
        <f t="shared" si="15"/>
        <v>45700000</v>
      </c>
    </row>
    <row r="525" spans="1:8" ht="11.25" x14ac:dyDescent="0.2">
      <c r="A525" s="654">
        <v>45860000</v>
      </c>
      <c r="B525" s="655" t="s">
        <v>9904</v>
      </c>
      <c r="C525" s="656">
        <v>-1872970.182</v>
      </c>
      <c r="D525" s="656">
        <v>1199462.1570000001</v>
      </c>
      <c r="E525" s="656">
        <v>197370.59700000001</v>
      </c>
      <c r="F525" s="656">
        <v>1002091.56</v>
      </c>
      <c r="G525" s="656">
        <v>-870878.62199999997</v>
      </c>
      <c r="H525" s="305">
        <f t="shared" si="15"/>
        <v>45860000</v>
      </c>
    </row>
    <row r="526" spans="1:8" ht="11.25" x14ac:dyDescent="0.2">
      <c r="A526" s="654">
        <v>45870000</v>
      </c>
      <c r="B526" s="655" t="s">
        <v>9905</v>
      </c>
      <c r="C526" s="656">
        <v>38770.517999999225</v>
      </c>
      <c r="D526" s="656">
        <v>0</v>
      </c>
      <c r="E526" s="656">
        <v>38770.517999999996</v>
      </c>
      <c r="F526" s="656">
        <v>-38770.517999999996</v>
      </c>
      <c r="G526" s="656">
        <v>-7.7125150710344315E-10</v>
      </c>
      <c r="H526" s="305">
        <f t="shared" si="15"/>
        <v>45870000</v>
      </c>
    </row>
    <row r="527" spans="1:8" ht="11.25" x14ac:dyDescent="0.2">
      <c r="A527" s="654">
        <v>46100000</v>
      </c>
      <c r="B527" s="655" t="s">
        <v>9906</v>
      </c>
      <c r="C527" s="656">
        <v>0</v>
      </c>
      <c r="D527" s="656">
        <v>26222.382999999994</v>
      </c>
      <c r="E527" s="656">
        <v>26222.382999999994</v>
      </c>
      <c r="F527" s="656">
        <v>0</v>
      </c>
      <c r="G527" s="656">
        <v>0</v>
      </c>
      <c r="H527" s="305">
        <f t="shared" si="15"/>
        <v>46100000</v>
      </c>
    </row>
    <row r="528" spans="1:8" ht="11.25" x14ac:dyDescent="0.2">
      <c r="A528" s="654">
        <v>46800000</v>
      </c>
      <c r="B528" s="655" t="s">
        <v>9907</v>
      </c>
      <c r="C528" s="656">
        <v>0</v>
      </c>
      <c r="D528" s="656">
        <v>0</v>
      </c>
      <c r="E528" s="656">
        <v>0</v>
      </c>
      <c r="F528" s="656">
        <v>0</v>
      </c>
      <c r="G528" s="656">
        <v>0</v>
      </c>
      <c r="H528" s="305">
        <f t="shared" si="15"/>
        <v>46800000</v>
      </c>
    </row>
    <row r="529" spans="1:8" ht="11.25" x14ac:dyDescent="0.2">
      <c r="A529" s="654">
        <v>47100000</v>
      </c>
      <c r="B529" s="655" t="s">
        <v>9908</v>
      </c>
      <c r="C529" s="656">
        <v>222018.92184599978</v>
      </c>
      <c r="D529" s="656">
        <v>6490.0880000000006</v>
      </c>
      <c r="E529" s="656">
        <v>221330.79699999996</v>
      </c>
      <c r="F529" s="656">
        <v>-214840.70899999997</v>
      </c>
      <c r="G529" s="656">
        <v>7178.2128459998057</v>
      </c>
      <c r="H529" s="305">
        <f t="shared" si="15"/>
        <v>47100000</v>
      </c>
    </row>
    <row r="530" spans="1:8" ht="11.25" x14ac:dyDescent="0.2">
      <c r="A530" s="654">
        <v>47200000</v>
      </c>
      <c r="B530" s="655" t="s">
        <v>9909</v>
      </c>
      <c r="C530" s="656">
        <v>0</v>
      </c>
      <c r="D530" s="656">
        <v>0</v>
      </c>
      <c r="E530" s="656">
        <v>0</v>
      </c>
      <c r="F530" s="656">
        <v>0</v>
      </c>
      <c r="G530" s="656">
        <v>0</v>
      </c>
      <c r="H530" s="305">
        <f t="shared" si="15"/>
        <v>47200000</v>
      </c>
    </row>
    <row r="531" spans="1:8" ht="11.25" x14ac:dyDescent="0.2">
      <c r="A531" s="654">
        <v>49100000</v>
      </c>
      <c r="B531" s="655" t="s">
        <v>9910</v>
      </c>
      <c r="C531" s="656">
        <v>-457129.14999999991</v>
      </c>
      <c r="D531" s="656">
        <v>0</v>
      </c>
      <c r="E531" s="656">
        <v>0</v>
      </c>
      <c r="F531" s="656">
        <v>0</v>
      </c>
      <c r="G531" s="656">
        <v>-457129.14999999991</v>
      </c>
      <c r="H531" s="305">
        <f t="shared" si="15"/>
        <v>49100000</v>
      </c>
    </row>
    <row r="532" spans="1:8" ht="11.25" x14ac:dyDescent="0.2">
      <c r="A532" s="654">
        <v>49600000</v>
      </c>
      <c r="B532" s="655" t="s">
        <v>9911</v>
      </c>
      <c r="C532" s="656">
        <v>-288613.68499999994</v>
      </c>
      <c r="D532" s="656">
        <v>0</v>
      </c>
      <c r="E532" s="656">
        <v>0</v>
      </c>
      <c r="F532" s="656">
        <v>0</v>
      </c>
      <c r="G532" s="656">
        <v>-288613.68499999994</v>
      </c>
      <c r="H532" s="305">
        <f t="shared" si="15"/>
        <v>49600000</v>
      </c>
    </row>
    <row r="533" spans="1:8" ht="11.25" x14ac:dyDescent="0.2">
      <c r="A533" s="654">
        <v>50130000</v>
      </c>
      <c r="B533" s="655" t="s">
        <v>9912</v>
      </c>
      <c r="C533" s="656">
        <v>-6000000</v>
      </c>
      <c r="D533" s="656">
        <v>24000000</v>
      </c>
      <c r="E533" s="656">
        <v>24000000</v>
      </c>
      <c r="F533" s="656">
        <v>0</v>
      </c>
      <c r="G533" s="656">
        <v>-6000000</v>
      </c>
      <c r="H533" s="305">
        <f t="shared" si="15"/>
        <v>50130000</v>
      </c>
    </row>
    <row r="534" spans="1:8" ht="11.25" x14ac:dyDescent="0.2">
      <c r="A534" s="654">
        <v>50140000</v>
      </c>
      <c r="B534" s="655" t="s">
        <v>9913</v>
      </c>
      <c r="C534" s="656">
        <v>-4000000</v>
      </c>
      <c r="D534" s="656">
        <v>16000000</v>
      </c>
      <c r="E534" s="656">
        <v>16000000</v>
      </c>
      <c r="F534" s="656">
        <v>0</v>
      </c>
      <c r="G534" s="656">
        <v>-4000000</v>
      </c>
      <c r="H534" s="305">
        <f t="shared" si="15"/>
        <v>50140000</v>
      </c>
    </row>
    <row r="535" spans="1:8" ht="11.25" x14ac:dyDescent="0.2">
      <c r="A535" s="654">
        <v>50500000</v>
      </c>
      <c r="B535" s="655" t="s">
        <v>9914</v>
      </c>
      <c r="C535" s="656">
        <v>-625000.00400000252</v>
      </c>
      <c r="D535" s="656">
        <v>625000</v>
      </c>
      <c r="E535" s="656">
        <v>0</v>
      </c>
      <c r="F535" s="656">
        <v>625000</v>
      </c>
      <c r="G535" s="656">
        <v>-4.0000025182962418E-3</v>
      </c>
      <c r="H535" s="305">
        <f t="shared" si="15"/>
        <v>50500000</v>
      </c>
    </row>
    <row r="536" spans="1:8" ht="11.25" x14ac:dyDescent="0.2">
      <c r="A536" s="654">
        <v>50515000</v>
      </c>
      <c r="B536" s="655" t="s">
        <v>9915</v>
      </c>
      <c r="C536" s="656">
        <v>-131871.57899999991</v>
      </c>
      <c r="D536" s="656">
        <v>323053.89399999997</v>
      </c>
      <c r="E536" s="656">
        <v>225258.14199999999</v>
      </c>
      <c r="F536" s="656">
        <v>97795.751999999979</v>
      </c>
      <c r="G536" s="656">
        <v>-34075.826999999932</v>
      </c>
      <c r="H536" s="305">
        <f t="shared" si="15"/>
        <v>50515000</v>
      </c>
    </row>
    <row r="537" spans="1:8" ht="11.25" x14ac:dyDescent="0.2">
      <c r="A537" s="654">
        <v>50610100</v>
      </c>
      <c r="B537" s="655" t="s">
        <v>9916</v>
      </c>
      <c r="C537" s="656">
        <v>0</v>
      </c>
      <c r="D537" s="656">
        <v>0</v>
      </c>
      <c r="E537" s="656">
        <v>0</v>
      </c>
      <c r="F537" s="656">
        <v>0</v>
      </c>
      <c r="G537" s="656">
        <v>0</v>
      </c>
      <c r="H537" s="305">
        <f t="shared" si="15"/>
        <v>50610100</v>
      </c>
    </row>
    <row r="538" spans="1:8" ht="11.25" x14ac:dyDescent="0.2">
      <c r="A538" s="654">
        <v>50610900</v>
      </c>
      <c r="B538" s="655" t="s">
        <v>9917</v>
      </c>
      <c r="C538" s="656">
        <v>-1347864.9606235027</v>
      </c>
      <c r="D538" s="656">
        <v>1359732.8840000001</v>
      </c>
      <c r="E538" s="656">
        <v>11867.923000000001</v>
      </c>
      <c r="F538" s="656">
        <v>1347864.9610000001</v>
      </c>
      <c r="G538" s="656">
        <v>3.7649739533662796E-4</v>
      </c>
      <c r="H538" s="305">
        <f t="shared" si="15"/>
        <v>50610900</v>
      </c>
    </row>
    <row r="539" spans="1:8" ht="11.25" x14ac:dyDescent="0.2">
      <c r="A539" s="654">
        <v>50630000</v>
      </c>
      <c r="B539" s="655" t="s">
        <v>9918</v>
      </c>
      <c r="C539" s="656">
        <v>-443000</v>
      </c>
      <c r="D539" s="656">
        <v>443000</v>
      </c>
      <c r="E539" s="656">
        <v>839470.78499999992</v>
      </c>
      <c r="F539" s="656">
        <v>-396470.78499999992</v>
      </c>
      <c r="G539" s="656">
        <v>-839470.78499999992</v>
      </c>
      <c r="H539" s="305">
        <f t="shared" si="15"/>
        <v>50630000</v>
      </c>
    </row>
    <row r="540" spans="1:8" ht="11.25" x14ac:dyDescent="0.2">
      <c r="A540" s="654">
        <v>50800000</v>
      </c>
      <c r="B540" s="655" t="s">
        <v>9919</v>
      </c>
      <c r="C540" s="656">
        <v>-31533.957000000002</v>
      </c>
      <c r="D540" s="656">
        <v>31533.957000000002</v>
      </c>
      <c r="E540" s="656">
        <v>0</v>
      </c>
      <c r="F540" s="656">
        <v>31533.957000000002</v>
      </c>
      <c r="G540" s="656">
        <v>0</v>
      </c>
      <c r="H540" s="305">
        <f t="shared" si="15"/>
        <v>50800000</v>
      </c>
    </row>
    <row r="541" spans="1:8" ht="11.25" x14ac:dyDescent="0.2">
      <c r="A541" s="654">
        <v>52000000</v>
      </c>
      <c r="B541" s="655" t="s">
        <v>9920</v>
      </c>
      <c r="C541" s="656">
        <v>0</v>
      </c>
      <c r="D541" s="656">
        <v>0</v>
      </c>
      <c r="E541" s="656">
        <v>0</v>
      </c>
      <c r="F541" s="656">
        <v>0</v>
      </c>
      <c r="G541" s="656">
        <v>0</v>
      </c>
      <c r="H541" s="305">
        <f t="shared" si="15"/>
        <v>52000000</v>
      </c>
    </row>
    <row r="542" spans="1:8" ht="11.25" x14ac:dyDescent="0.2">
      <c r="A542" s="654">
        <v>52001100</v>
      </c>
      <c r="B542" s="655" t="s">
        <v>9921</v>
      </c>
      <c r="C542" s="656">
        <v>0</v>
      </c>
      <c r="D542" s="656">
        <v>0</v>
      </c>
      <c r="E542" s="656">
        <v>0</v>
      </c>
      <c r="F542" s="656">
        <v>0</v>
      </c>
      <c r="G542" s="656">
        <v>0</v>
      </c>
      <c r="H542" s="305">
        <f t="shared" si="15"/>
        <v>52001100</v>
      </c>
    </row>
    <row r="543" spans="1:8" ht="11.25" x14ac:dyDescent="0.2">
      <c r="A543" s="654">
        <v>53140000</v>
      </c>
      <c r="B543" s="655" t="s">
        <v>9922</v>
      </c>
      <c r="C543" s="656">
        <v>0</v>
      </c>
      <c r="D543" s="656">
        <v>0</v>
      </c>
      <c r="E543" s="656">
        <v>0</v>
      </c>
      <c r="F543" s="656">
        <v>0</v>
      </c>
      <c r="G543" s="656">
        <v>0</v>
      </c>
      <c r="H543" s="305">
        <f t="shared" si="15"/>
        <v>53140000</v>
      </c>
    </row>
    <row r="544" spans="1:8" ht="11.25" x14ac:dyDescent="0.2">
      <c r="A544" s="654">
        <v>53200000</v>
      </c>
      <c r="B544" s="655" t="s">
        <v>9923</v>
      </c>
      <c r="C544" s="656">
        <v>185799.56100001931</v>
      </c>
      <c r="D544" s="656">
        <v>25212585.286999997</v>
      </c>
      <c r="E544" s="656">
        <v>25388804.263000004</v>
      </c>
      <c r="F544" s="656">
        <v>-176218.97600000724</v>
      </c>
      <c r="G544" s="656">
        <v>9580.5850000120699</v>
      </c>
      <c r="H544" s="305">
        <f t="shared" si="15"/>
        <v>53200000</v>
      </c>
    </row>
    <row r="545" spans="1:8" ht="11.25" x14ac:dyDescent="0.2">
      <c r="A545" s="654">
        <v>53201000</v>
      </c>
      <c r="B545" s="655" t="s">
        <v>9924</v>
      </c>
      <c r="C545" s="656">
        <v>0</v>
      </c>
      <c r="D545" s="656">
        <v>0</v>
      </c>
      <c r="E545" s="656">
        <v>0</v>
      </c>
      <c r="F545" s="656">
        <v>0</v>
      </c>
      <c r="G545" s="656">
        <v>0</v>
      </c>
      <c r="H545" s="305">
        <f t="shared" si="15"/>
        <v>53201000</v>
      </c>
    </row>
    <row r="546" spans="1:8" ht="11.25" x14ac:dyDescent="0.2">
      <c r="A546" s="654">
        <v>53202000</v>
      </c>
      <c r="B546" s="655" t="s">
        <v>9925</v>
      </c>
      <c r="C546" s="656">
        <v>435.74199999962002</v>
      </c>
      <c r="D546" s="656">
        <v>0</v>
      </c>
      <c r="E546" s="656">
        <v>0</v>
      </c>
      <c r="F546" s="656">
        <v>0</v>
      </c>
      <c r="G546" s="656">
        <v>435.74199999962002</v>
      </c>
      <c r="H546" s="305">
        <f t="shared" si="15"/>
        <v>53202000</v>
      </c>
    </row>
    <row r="547" spans="1:8" ht="11.25" x14ac:dyDescent="0.2">
      <c r="A547" s="654">
        <v>53203000</v>
      </c>
      <c r="B547" s="655" t="s">
        <v>9926</v>
      </c>
      <c r="C547" s="656">
        <v>159807.23199999891</v>
      </c>
      <c r="D547" s="656">
        <v>411911.67499999999</v>
      </c>
      <c r="E547" s="656">
        <v>571718.90700000001</v>
      </c>
      <c r="F547" s="656">
        <v>-159807.23200000002</v>
      </c>
      <c r="G547" s="656">
        <v>-1.1059455573558807E-9</v>
      </c>
      <c r="H547" s="305">
        <f t="shared" si="15"/>
        <v>53203000</v>
      </c>
    </row>
    <row r="548" spans="1:8" ht="11.25" x14ac:dyDescent="0.2">
      <c r="A548" s="654">
        <v>53204000</v>
      </c>
      <c r="B548" s="655" t="s">
        <v>9927</v>
      </c>
      <c r="C548" s="656">
        <v>0</v>
      </c>
      <c r="D548" s="656">
        <v>0</v>
      </c>
      <c r="E548" s="656">
        <v>0</v>
      </c>
      <c r="F548" s="656">
        <v>0</v>
      </c>
      <c r="G548" s="656">
        <v>0</v>
      </c>
      <c r="H548" s="305">
        <f t="shared" si="15"/>
        <v>53204000</v>
      </c>
    </row>
    <row r="549" spans="1:8" ht="11.25" x14ac:dyDescent="0.2">
      <c r="A549" s="654">
        <v>53204100</v>
      </c>
      <c r="B549" s="655" t="s">
        <v>9928</v>
      </c>
      <c r="C549" s="656">
        <v>0</v>
      </c>
      <c r="D549" s="656">
        <v>0</v>
      </c>
      <c r="E549" s="656">
        <v>0</v>
      </c>
      <c r="F549" s="656">
        <v>0</v>
      </c>
      <c r="G549" s="656">
        <v>0</v>
      </c>
      <c r="H549" s="305">
        <f t="shared" si="15"/>
        <v>53204100</v>
      </c>
    </row>
    <row r="550" spans="1:8" ht="11.25" x14ac:dyDescent="0.2">
      <c r="A550" s="654">
        <v>53204500</v>
      </c>
      <c r="B550" s="655" t="s">
        <v>9929</v>
      </c>
      <c r="C550" s="656">
        <v>5874.02</v>
      </c>
      <c r="D550" s="656">
        <v>0</v>
      </c>
      <c r="E550" s="656">
        <v>0</v>
      </c>
      <c r="F550" s="656">
        <v>0</v>
      </c>
      <c r="G550" s="656">
        <v>5874.02</v>
      </c>
      <c r="H550" s="305">
        <f t="shared" si="15"/>
        <v>53204500</v>
      </c>
    </row>
    <row r="551" spans="1:8" ht="11.25" x14ac:dyDescent="0.2">
      <c r="A551" s="654">
        <v>53205000</v>
      </c>
      <c r="B551" s="655" t="s">
        <v>9930</v>
      </c>
      <c r="C551" s="656">
        <v>12925.083999991417</v>
      </c>
      <c r="D551" s="656">
        <v>43908.082000000002</v>
      </c>
      <c r="E551" s="656">
        <v>55000.952000000005</v>
      </c>
      <c r="F551" s="656">
        <v>-11092.870000000003</v>
      </c>
      <c r="G551" s="656">
        <v>1832.2139999914143</v>
      </c>
      <c r="H551" s="305">
        <f t="shared" si="15"/>
        <v>53205000</v>
      </c>
    </row>
    <row r="552" spans="1:8" ht="11.25" x14ac:dyDescent="0.2">
      <c r="A552" s="654">
        <v>53205200</v>
      </c>
      <c r="B552" s="655" t="s">
        <v>9931</v>
      </c>
      <c r="C552" s="656">
        <v>0</v>
      </c>
      <c r="D552" s="656">
        <v>5000</v>
      </c>
      <c r="E552" s="656">
        <v>0</v>
      </c>
      <c r="F552" s="656">
        <v>5000</v>
      </c>
      <c r="G552" s="656">
        <v>5000</v>
      </c>
      <c r="H552" s="305">
        <f t="shared" si="15"/>
        <v>53205200</v>
      </c>
    </row>
    <row r="553" spans="1:8" ht="11.25" x14ac:dyDescent="0.2">
      <c r="A553" s="654">
        <v>53205300</v>
      </c>
      <c r="B553" s="655" t="s">
        <v>9932</v>
      </c>
      <c r="C553" s="656">
        <v>0</v>
      </c>
      <c r="D553" s="656">
        <v>0</v>
      </c>
      <c r="E553" s="656">
        <v>0</v>
      </c>
      <c r="F553" s="656">
        <v>0</v>
      </c>
      <c r="G553" s="656">
        <v>0</v>
      </c>
      <c r="H553" s="305">
        <f t="shared" si="15"/>
        <v>53205300</v>
      </c>
    </row>
    <row r="554" spans="1:8" ht="11.25" x14ac:dyDescent="0.2">
      <c r="A554" s="654">
        <v>53205400</v>
      </c>
      <c r="B554" s="655" t="s">
        <v>9933</v>
      </c>
      <c r="C554" s="656">
        <v>0</v>
      </c>
      <c r="D554" s="656">
        <v>0</v>
      </c>
      <c r="E554" s="656">
        <v>0</v>
      </c>
      <c r="F554" s="656">
        <v>0</v>
      </c>
      <c r="G554" s="656">
        <v>0</v>
      </c>
      <c r="H554" s="305">
        <f t="shared" si="15"/>
        <v>53205400</v>
      </c>
    </row>
    <row r="555" spans="1:8" ht="11.25" x14ac:dyDescent="0.2">
      <c r="A555" s="654">
        <v>53205500</v>
      </c>
      <c r="B555" s="655" t="s">
        <v>9934</v>
      </c>
      <c r="C555" s="656">
        <v>0</v>
      </c>
      <c r="D555" s="656">
        <v>0</v>
      </c>
      <c r="E555" s="656">
        <v>0</v>
      </c>
      <c r="F555" s="656">
        <v>0</v>
      </c>
      <c r="G555" s="656">
        <v>0</v>
      </c>
      <c r="H555" s="305">
        <f t="shared" si="15"/>
        <v>53205500</v>
      </c>
    </row>
    <row r="556" spans="1:8" ht="11.25" x14ac:dyDescent="0.2">
      <c r="A556" s="654">
        <v>53205600</v>
      </c>
      <c r="B556" s="655" t="s">
        <v>9935</v>
      </c>
      <c r="C556" s="656">
        <v>-3300983.9089999795</v>
      </c>
      <c r="D556" s="656">
        <v>86582174.320000008</v>
      </c>
      <c r="E556" s="656">
        <v>84909173.393000007</v>
      </c>
      <c r="F556" s="656">
        <v>1673000.9270000011</v>
      </c>
      <c r="G556" s="656">
        <v>-1627982.9819999784</v>
      </c>
      <c r="H556" s="305">
        <f t="shared" si="15"/>
        <v>53205600</v>
      </c>
    </row>
    <row r="557" spans="1:8" ht="11.25" x14ac:dyDescent="0.2">
      <c r="A557" s="654">
        <v>53205700</v>
      </c>
      <c r="B557" s="655" t="s">
        <v>9936</v>
      </c>
      <c r="C557" s="656">
        <v>1964289.2105972022</v>
      </c>
      <c r="D557" s="656">
        <v>38674081.305</v>
      </c>
      <c r="E557" s="656">
        <v>39057799.428000003</v>
      </c>
      <c r="F557" s="656">
        <v>-383718.1230000034</v>
      </c>
      <c r="G557" s="656">
        <v>1580571.0875971988</v>
      </c>
      <c r="H557" s="305">
        <f t="shared" ref="H557:H620" si="16">VLOOKUP($A557,$A$2:$B$357,1,0)</f>
        <v>53205700</v>
      </c>
    </row>
    <row r="558" spans="1:8" ht="11.25" x14ac:dyDescent="0.2">
      <c r="A558" s="654">
        <v>53205800</v>
      </c>
      <c r="B558" s="655" t="s">
        <v>9937</v>
      </c>
      <c r="C558" s="656">
        <v>-66996.353000000119</v>
      </c>
      <c r="D558" s="656">
        <v>0</v>
      </c>
      <c r="E558" s="656">
        <v>3538.0830000000001</v>
      </c>
      <c r="F558" s="656">
        <v>-3538.0830000000001</v>
      </c>
      <c r="G558" s="656">
        <v>-70534.436000000118</v>
      </c>
      <c r="H558" s="305">
        <f t="shared" si="16"/>
        <v>53205800</v>
      </c>
    </row>
    <row r="559" spans="1:8" ht="11.25" x14ac:dyDescent="0.2">
      <c r="A559" s="654">
        <v>53207000</v>
      </c>
      <c r="B559" s="655" t="s">
        <v>9938</v>
      </c>
      <c r="C559" s="656">
        <v>0</v>
      </c>
      <c r="D559" s="656">
        <v>0</v>
      </c>
      <c r="E559" s="656">
        <v>0</v>
      </c>
      <c r="F559" s="656">
        <v>0</v>
      </c>
      <c r="G559" s="656">
        <v>0</v>
      </c>
      <c r="H559" s="305">
        <f t="shared" si="16"/>
        <v>53207000</v>
      </c>
    </row>
    <row r="560" spans="1:8" ht="11.25" x14ac:dyDescent="0.2">
      <c r="A560" s="654">
        <v>53207100</v>
      </c>
      <c r="B560" s="655" t="s">
        <v>9939</v>
      </c>
      <c r="C560" s="656">
        <v>0</v>
      </c>
      <c r="D560" s="656">
        <v>0</v>
      </c>
      <c r="E560" s="656">
        <v>0</v>
      </c>
      <c r="F560" s="656">
        <v>0</v>
      </c>
      <c r="G560" s="656">
        <v>0</v>
      </c>
      <c r="H560" s="305">
        <f t="shared" si="16"/>
        <v>53207100</v>
      </c>
    </row>
    <row r="561" spans="1:8" ht="11.25" x14ac:dyDescent="0.2">
      <c r="A561" s="654">
        <v>53207200</v>
      </c>
      <c r="B561" s="655" t="s">
        <v>9940</v>
      </c>
      <c r="C561" s="656">
        <v>0</v>
      </c>
      <c r="D561" s="656">
        <v>0</v>
      </c>
      <c r="E561" s="656">
        <v>0</v>
      </c>
      <c r="F561" s="656">
        <v>0</v>
      </c>
      <c r="G561" s="656">
        <v>0</v>
      </c>
      <c r="H561" s="305">
        <f t="shared" si="16"/>
        <v>53207200</v>
      </c>
    </row>
    <row r="562" spans="1:8" ht="11.25" x14ac:dyDescent="0.2">
      <c r="A562" s="654">
        <v>53208000</v>
      </c>
      <c r="B562" s="655" t="s">
        <v>9941</v>
      </c>
      <c r="C562" s="656">
        <v>485.66199999954551</v>
      </c>
      <c r="D562" s="656">
        <v>0</v>
      </c>
      <c r="E562" s="656">
        <v>428.4</v>
      </c>
      <c r="F562" s="656">
        <v>-428.4</v>
      </c>
      <c r="G562" s="656">
        <v>57.261999999545537</v>
      </c>
      <c r="H562" s="305">
        <f t="shared" si="16"/>
        <v>53208000</v>
      </c>
    </row>
    <row r="563" spans="1:8" ht="11.25" x14ac:dyDescent="0.2">
      <c r="A563" s="654">
        <v>53208100</v>
      </c>
      <c r="B563" s="655" t="s">
        <v>9942</v>
      </c>
      <c r="C563" s="656">
        <v>0</v>
      </c>
      <c r="D563" s="656">
        <v>0</v>
      </c>
      <c r="E563" s="656">
        <v>0</v>
      </c>
      <c r="F563" s="656">
        <v>0</v>
      </c>
      <c r="G563" s="656">
        <v>0</v>
      </c>
      <c r="H563" s="305">
        <f t="shared" si="16"/>
        <v>53208100</v>
      </c>
    </row>
    <row r="564" spans="1:8" ht="11.25" x14ac:dyDescent="0.2">
      <c r="A564" s="654">
        <v>53208500</v>
      </c>
      <c r="B564" s="655" t="s">
        <v>9943</v>
      </c>
      <c r="C564" s="656">
        <v>0</v>
      </c>
      <c r="D564" s="656">
        <v>0</v>
      </c>
      <c r="E564" s="656">
        <v>0</v>
      </c>
      <c r="F564" s="656">
        <v>0</v>
      </c>
      <c r="G564" s="656">
        <v>0</v>
      </c>
      <c r="H564" s="305">
        <f t="shared" si="16"/>
        <v>53208500</v>
      </c>
    </row>
    <row r="565" spans="1:8" ht="11.25" x14ac:dyDescent="0.2">
      <c r="A565" s="654">
        <v>54000000</v>
      </c>
      <c r="B565" s="655" t="s">
        <v>9944</v>
      </c>
      <c r="C565" s="656">
        <v>0</v>
      </c>
      <c r="D565" s="656">
        <v>16951.525000000001</v>
      </c>
      <c r="E565" s="656">
        <v>16951.525000000001</v>
      </c>
      <c r="F565" s="656">
        <v>0</v>
      </c>
      <c r="G565" s="656">
        <v>0</v>
      </c>
      <c r="H565" s="305">
        <f t="shared" si="16"/>
        <v>54000000</v>
      </c>
    </row>
    <row r="566" spans="1:8" ht="11.25" x14ac:dyDescent="0.2">
      <c r="A566" s="654">
        <v>54100000</v>
      </c>
      <c r="B566" s="655" t="s">
        <v>9945</v>
      </c>
      <c r="C566" s="656">
        <v>17</v>
      </c>
      <c r="D566" s="656">
        <v>97458.644</v>
      </c>
      <c r="E566" s="656">
        <v>97376.078000000009</v>
      </c>
      <c r="F566" s="656">
        <v>82.565999999991618</v>
      </c>
      <c r="G566" s="656">
        <v>99.565999999991618</v>
      </c>
      <c r="H566" s="305">
        <f t="shared" si="16"/>
        <v>54100000</v>
      </c>
    </row>
    <row r="567" spans="1:8" ht="11.25" x14ac:dyDescent="0.2">
      <c r="A567" s="654">
        <v>54300000</v>
      </c>
      <c r="B567" s="655" t="s">
        <v>9946</v>
      </c>
      <c r="C567" s="656">
        <v>0</v>
      </c>
      <c r="D567" s="656">
        <v>0</v>
      </c>
      <c r="E567" s="656">
        <v>0</v>
      </c>
      <c r="F567" s="656">
        <v>0</v>
      </c>
      <c r="G567" s="656">
        <v>0</v>
      </c>
      <c r="H567" s="305">
        <f t="shared" si="16"/>
        <v>54300000</v>
      </c>
    </row>
    <row r="568" spans="1:8" ht="11.25" x14ac:dyDescent="0.2">
      <c r="A568" s="654">
        <v>55010000</v>
      </c>
      <c r="B568" s="655" t="s">
        <v>9947</v>
      </c>
      <c r="C568" s="656">
        <v>3000</v>
      </c>
      <c r="D568" s="656">
        <v>0</v>
      </c>
      <c r="E568" s="656">
        <v>0</v>
      </c>
      <c r="F568" s="656">
        <v>0</v>
      </c>
      <c r="G568" s="656">
        <v>3000</v>
      </c>
      <c r="H568" s="305">
        <f t="shared" si="16"/>
        <v>55010000</v>
      </c>
    </row>
    <row r="569" spans="1:8" ht="11.25" x14ac:dyDescent="0.2">
      <c r="A569" s="654">
        <v>55011000</v>
      </c>
      <c r="B569" s="655" t="s">
        <v>9948</v>
      </c>
      <c r="C569" s="656">
        <v>0</v>
      </c>
      <c r="D569" s="656">
        <v>0</v>
      </c>
      <c r="E569" s="656">
        <v>0</v>
      </c>
      <c r="F569" s="656">
        <v>0</v>
      </c>
      <c r="G569" s="656">
        <v>0</v>
      </c>
      <c r="H569" s="305">
        <f t="shared" si="16"/>
        <v>55011000</v>
      </c>
    </row>
    <row r="570" spans="1:8" ht="11.25" x14ac:dyDescent="0.2">
      <c r="A570" s="654">
        <v>58000000</v>
      </c>
      <c r="B570" s="655" t="s">
        <v>9949</v>
      </c>
      <c r="C570" s="656">
        <v>0</v>
      </c>
      <c r="D570" s="656">
        <v>0</v>
      </c>
      <c r="E570" s="656">
        <v>0</v>
      </c>
      <c r="F570" s="656">
        <v>0</v>
      </c>
      <c r="G570" s="656">
        <v>0</v>
      </c>
      <c r="H570" s="305">
        <f t="shared" si="16"/>
        <v>58000000</v>
      </c>
    </row>
    <row r="571" spans="1:8" ht="11.25" x14ac:dyDescent="0.2">
      <c r="A571" s="654">
        <v>58001000</v>
      </c>
      <c r="B571" s="655" t="s">
        <v>9950</v>
      </c>
      <c r="C571" s="656">
        <v>-1.9999593496322632E-4</v>
      </c>
      <c r="D571" s="656">
        <v>0</v>
      </c>
      <c r="E571" s="656">
        <v>0</v>
      </c>
      <c r="F571" s="656">
        <v>0</v>
      </c>
      <c r="G571" s="656">
        <v>-1.9999593496322632E-4</v>
      </c>
      <c r="H571" s="305">
        <f t="shared" si="16"/>
        <v>58001000</v>
      </c>
    </row>
    <row r="572" spans="1:8" ht="11.25" x14ac:dyDescent="0.2">
      <c r="A572" s="654">
        <v>58002000</v>
      </c>
      <c r="B572" s="655" t="s">
        <v>9951</v>
      </c>
      <c r="C572" s="656">
        <v>0</v>
      </c>
      <c r="D572" s="656">
        <v>0</v>
      </c>
      <c r="E572" s="656">
        <v>0</v>
      </c>
      <c r="F572" s="656">
        <v>0</v>
      </c>
      <c r="G572" s="656">
        <v>0</v>
      </c>
      <c r="H572" s="305">
        <f t="shared" si="16"/>
        <v>58002000</v>
      </c>
    </row>
    <row r="573" spans="1:8" ht="11.25" x14ac:dyDescent="0.2">
      <c r="A573" s="654">
        <v>58003000</v>
      </c>
      <c r="B573" s="655" t="s">
        <v>9952</v>
      </c>
      <c r="C573" s="656">
        <v>1.0100007057189941E-4</v>
      </c>
      <c r="D573" s="656">
        <v>5873135.5129999993</v>
      </c>
      <c r="E573" s="656">
        <v>5873135.5129999993</v>
      </c>
      <c r="F573" s="656">
        <v>0</v>
      </c>
      <c r="G573" s="656">
        <v>1.0100007057189941E-4</v>
      </c>
      <c r="H573" s="305">
        <f t="shared" si="16"/>
        <v>58003000</v>
      </c>
    </row>
    <row r="574" spans="1:8" ht="11.25" x14ac:dyDescent="0.2">
      <c r="A574" s="654">
        <v>58004000</v>
      </c>
      <c r="B574" s="655" t="s">
        <v>9953</v>
      </c>
      <c r="C574" s="656">
        <v>0</v>
      </c>
      <c r="D574" s="656">
        <v>0</v>
      </c>
      <c r="E574" s="656">
        <v>0</v>
      </c>
      <c r="F574" s="656">
        <v>0</v>
      </c>
      <c r="G574" s="656">
        <v>0</v>
      </c>
      <c r="H574" s="305">
        <f t="shared" si="16"/>
        <v>58004000</v>
      </c>
    </row>
    <row r="575" spans="1:8" ht="11.25" x14ac:dyDescent="0.2">
      <c r="A575" s="654">
        <v>58005000</v>
      </c>
      <c r="B575" s="655" t="s">
        <v>9954</v>
      </c>
      <c r="C575" s="656">
        <v>3.8483738899230957E-4</v>
      </c>
      <c r="D575" s="656">
        <v>31079614.489</v>
      </c>
      <c r="E575" s="656">
        <v>31079614.489</v>
      </c>
      <c r="F575" s="656">
        <v>0</v>
      </c>
      <c r="G575" s="656">
        <v>3.8483738899230957E-4</v>
      </c>
      <c r="H575" s="305">
        <f t="shared" si="16"/>
        <v>58005000</v>
      </c>
    </row>
    <row r="576" spans="1:8" ht="11.25" x14ac:dyDescent="0.2">
      <c r="A576" s="654">
        <v>60110110</v>
      </c>
      <c r="B576" s="655" t="s">
        <v>9955</v>
      </c>
      <c r="C576" s="656">
        <v>0</v>
      </c>
      <c r="D576" s="656">
        <v>1136780.078</v>
      </c>
      <c r="E576" s="656">
        <v>1136780.078</v>
      </c>
      <c r="F576" s="656">
        <v>0</v>
      </c>
      <c r="G576" s="656">
        <v>0</v>
      </c>
      <c r="H576" s="305">
        <f t="shared" si="16"/>
        <v>60110110</v>
      </c>
    </row>
    <row r="577" spans="1:8" ht="11.25" x14ac:dyDescent="0.2">
      <c r="A577" s="654">
        <v>60110210</v>
      </c>
      <c r="B577" s="655" t="s">
        <v>9956</v>
      </c>
      <c r="C577" s="656">
        <v>0</v>
      </c>
      <c r="D577" s="656">
        <v>1640067.2872055001</v>
      </c>
      <c r="E577" s="656">
        <v>0</v>
      </c>
      <c r="F577" s="656">
        <v>1640067.2872055001</v>
      </c>
      <c r="G577" s="656">
        <v>1640067.2872055001</v>
      </c>
      <c r="H577" s="305">
        <f t="shared" si="16"/>
        <v>60110210</v>
      </c>
    </row>
    <row r="578" spans="1:8" ht="11.25" x14ac:dyDescent="0.2">
      <c r="A578" s="654">
        <v>60110211</v>
      </c>
      <c r="B578" s="655" t="s">
        <v>9957</v>
      </c>
      <c r="C578" s="656">
        <v>0</v>
      </c>
      <c r="D578" s="656">
        <v>301111.44833599997</v>
      </c>
      <c r="E578" s="656">
        <v>0</v>
      </c>
      <c r="F578" s="656">
        <v>301111.44833599997</v>
      </c>
      <c r="G578" s="656">
        <v>301111.44833599997</v>
      </c>
      <c r="H578" s="305">
        <f t="shared" si="16"/>
        <v>60110211</v>
      </c>
    </row>
    <row r="579" spans="1:8" ht="11.25" x14ac:dyDescent="0.2">
      <c r="A579" s="654">
        <v>60110212</v>
      </c>
      <c r="B579" s="655" t="s">
        <v>9958</v>
      </c>
      <c r="C579" s="656">
        <v>0</v>
      </c>
      <c r="D579" s="656">
        <v>45488.04075</v>
      </c>
      <c r="E579" s="656">
        <v>0</v>
      </c>
      <c r="F579" s="656">
        <v>45488.04075</v>
      </c>
      <c r="G579" s="656">
        <v>45488.04075</v>
      </c>
      <c r="H579" s="305">
        <f t="shared" si="16"/>
        <v>60110212</v>
      </c>
    </row>
    <row r="580" spans="1:8" ht="11.25" x14ac:dyDescent="0.2">
      <c r="A580" s="654">
        <v>60110213</v>
      </c>
      <c r="B580" s="655" t="s">
        <v>9959</v>
      </c>
      <c r="C580" s="656">
        <v>0</v>
      </c>
      <c r="D580" s="656">
        <v>5211.6000000000004</v>
      </c>
      <c r="E580" s="656">
        <v>0</v>
      </c>
      <c r="F580" s="656">
        <v>5211.6000000000004</v>
      </c>
      <c r="G580" s="656">
        <v>5211.6000000000004</v>
      </c>
      <c r="H580" s="305">
        <f t="shared" si="16"/>
        <v>60110213</v>
      </c>
    </row>
    <row r="581" spans="1:8" ht="11.25" x14ac:dyDescent="0.2">
      <c r="A581" s="654">
        <v>60110220</v>
      </c>
      <c r="B581" s="655" t="s">
        <v>9960</v>
      </c>
      <c r="C581" s="656">
        <v>0</v>
      </c>
      <c r="D581" s="656">
        <v>2081666.8361889999</v>
      </c>
      <c r="E581" s="656">
        <v>12546.76</v>
      </c>
      <c r="F581" s="656">
        <v>2069120.0761889999</v>
      </c>
      <c r="G581" s="656">
        <v>2069120.0761889999</v>
      </c>
      <c r="H581" s="305">
        <f t="shared" si="16"/>
        <v>60110220</v>
      </c>
    </row>
    <row r="582" spans="1:8" ht="11.25" x14ac:dyDescent="0.2">
      <c r="A582" s="654">
        <v>60110230</v>
      </c>
      <c r="B582" s="655" t="s">
        <v>9961</v>
      </c>
      <c r="C582" s="656">
        <v>0</v>
      </c>
      <c r="D582" s="656">
        <v>146039.71567500001</v>
      </c>
      <c r="E582" s="656">
        <v>0</v>
      </c>
      <c r="F582" s="656">
        <v>146039.71567500001</v>
      </c>
      <c r="G582" s="656">
        <v>146039.71567500001</v>
      </c>
      <c r="H582" s="305">
        <f t="shared" si="16"/>
        <v>60110230</v>
      </c>
    </row>
    <row r="583" spans="1:8" ht="11.25" x14ac:dyDescent="0.2">
      <c r="A583" s="654">
        <v>60110300</v>
      </c>
      <c r="B583" s="655" t="s">
        <v>9962</v>
      </c>
      <c r="C583" s="656">
        <v>0</v>
      </c>
      <c r="D583" s="656">
        <v>156687.78673650001</v>
      </c>
      <c r="E583" s="656">
        <v>8655.491</v>
      </c>
      <c r="F583" s="656">
        <v>148032.2957365</v>
      </c>
      <c r="G583" s="656">
        <v>148032.2957365</v>
      </c>
      <c r="H583" s="305">
        <f t="shared" si="16"/>
        <v>60110300</v>
      </c>
    </row>
    <row r="584" spans="1:8" ht="11.25" x14ac:dyDescent="0.2">
      <c r="A584" s="654">
        <v>60110310</v>
      </c>
      <c r="B584" s="655" t="s">
        <v>9963</v>
      </c>
      <c r="C584" s="656">
        <v>0</v>
      </c>
      <c r="D584" s="656">
        <v>112836.94499999999</v>
      </c>
      <c r="E584" s="656">
        <v>0</v>
      </c>
      <c r="F584" s="656">
        <v>112836.94499999999</v>
      </c>
      <c r="G584" s="656">
        <v>112836.94499999999</v>
      </c>
      <c r="H584" s="305">
        <f t="shared" si="16"/>
        <v>60110310</v>
      </c>
    </row>
    <row r="585" spans="1:8" ht="11.25" x14ac:dyDescent="0.2">
      <c r="A585" s="654">
        <v>60110320</v>
      </c>
      <c r="B585" s="655" t="s">
        <v>9964</v>
      </c>
      <c r="C585" s="656">
        <v>0</v>
      </c>
      <c r="D585" s="656">
        <v>48796.065893000006</v>
      </c>
      <c r="E585" s="656">
        <v>0</v>
      </c>
      <c r="F585" s="656">
        <v>48796.065893000006</v>
      </c>
      <c r="G585" s="656">
        <v>48796.065893000006</v>
      </c>
      <c r="H585" s="305">
        <f t="shared" si="16"/>
        <v>60110320</v>
      </c>
    </row>
    <row r="586" spans="1:8" ht="11.25" x14ac:dyDescent="0.2">
      <c r="A586" s="654">
        <v>60110330</v>
      </c>
      <c r="B586" s="655" t="s">
        <v>9965</v>
      </c>
      <c r="C586" s="656">
        <v>0</v>
      </c>
      <c r="D586" s="656">
        <v>59014.785230000001</v>
      </c>
      <c r="E586" s="656">
        <v>0</v>
      </c>
      <c r="F586" s="656">
        <v>59014.785230000001</v>
      </c>
      <c r="G586" s="656">
        <v>59014.785230000001</v>
      </c>
      <c r="H586" s="305">
        <f t="shared" si="16"/>
        <v>60110330</v>
      </c>
    </row>
    <row r="587" spans="1:8" ht="11.25" x14ac:dyDescent="0.2">
      <c r="A587" s="654">
        <v>60110350</v>
      </c>
      <c r="B587" s="655" t="s">
        <v>9966</v>
      </c>
      <c r="C587" s="656">
        <v>0</v>
      </c>
      <c r="D587" s="656">
        <v>847.95</v>
      </c>
      <c r="E587" s="656">
        <v>0.17100000000000001</v>
      </c>
      <c r="F587" s="656">
        <v>847.779</v>
      </c>
      <c r="G587" s="656">
        <v>847.779</v>
      </c>
      <c r="H587" s="305">
        <f t="shared" si="16"/>
        <v>60110350</v>
      </c>
    </row>
    <row r="588" spans="1:8" ht="11.25" x14ac:dyDescent="0.2">
      <c r="A588" s="654">
        <v>60110500</v>
      </c>
      <c r="B588" s="655" t="s">
        <v>9967</v>
      </c>
      <c r="C588" s="656">
        <v>0</v>
      </c>
      <c r="D588" s="656">
        <v>14482.973999999998</v>
      </c>
      <c r="E588" s="656">
        <v>0.37</v>
      </c>
      <c r="F588" s="656">
        <v>14482.603999999998</v>
      </c>
      <c r="G588" s="656">
        <v>14482.603999999998</v>
      </c>
      <c r="H588" s="305">
        <f t="shared" si="16"/>
        <v>60110500</v>
      </c>
    </row>
    <row r="589" spans="1:8" ht="11.25" x14ac:dyDescent="0.2">
      <c r="A589" s="654">
        <v>60110600</v>
      </c>
      <c r="B589" s="655" t="s">
        <v>9968</v>
      </c>
      <c r="C589" s="656">
        <v>0</v>
      </c>
      <c r="D589" s="656">
        <v>50684.137999999999</v>
      </c>
      <c r="E589" s="656">
        <v>3.4999999999999996E-2</v>
      </c>
      <c r="F589" s="656">
        <v>50684.102999999996</v>
      </c>
      <c r="G589" s="656">
        <v>50684.102999999996</v>
      </c>
      <c r="H589" s="305">
        <f t="shared" si="16"/>
        <v>60110600</v>
      </c>
    </row>
    <row r="590" spans="1:8" ht="11.25" x14ac:dyDescent="0.2">
      <c r="A590" s="654">
        <v>60110700</v>
      </c>
      <c r="B590" s="655" t="s">
        <v>9969</v>
      </c>
      <c r="C590" s="656">
        <v>0</v>
      </c>
      <c r="D590" s="656">
        <v>1608.1560000000002</v>
      </c>
      <c r="E590" s="656">
        <v>0</v>
      </c>
      <c r="F590" s="656">
        <v>1608.1560000000002</v>
      </c>
      <c r="G590" s="656">
        <v>1608.1560000000002</v>
      </c>
      <c r="H590" s="305">
        <f t="shared" si="16"/>
        <v>60110700</v>
      </c>
    </row>
    <row r="591" spans="1:8" ht="11.25" x14ac:dyDescent="0.2">
      <c r="A591" s="654">
        <v>60110900</v>
      </c>
      <c r="B591" s="655" t="s">
        <v>9970</v>
      </c>
      <c r="C591" s="656">
        <v>0</v>
      </c>
      <c r="D591" s="656">
        <v>479847.60700000002</v>
      </c>
      <c r="E591" s="656">
        <v>808</v>
      </c>
      <c r="F591" s="656">
        <v>479039.60700000002</v>
      </c>
      <c r="G591" s="656">
        <v>479039.60700000002</v>
      </c>
      <c r="H591" s="305">
        <f t="shared" si="16"/>
        <v>60110900</v>
      </c>
    </row>
    <row r="592" spans="1:8" ht="11.25" x14ac:dyDescent="0.2">
      <c r="A592" s="654">
        <v>60111000</v>
      </c>
      <c r="B592" s="655" t="s">
        <v>9971</v>
      </c>
      <c r="C592" s="656">
        <v>0</v>
      </c>
      <c r="D592" s="656">
        <v>606</v>
      </c>
      <c r="E592" s="656">
        <v>0</v>
      </c>
      <c r="F592" s="656">
        <v>606</v>
      </c>
      <c r="G592" s="656">
        <v>606</v>
      </c>
      <c r="H592" s="305">
        <f t="shared" si="16"/>
        <v>60111000</v>
      </c>
    </row>
    <row r="593" spans="1:8" ht="11.25" x14ac:dyDescent="0.2">
      <c r="A593" s="654">
        <v>60111010</v>
      </c>
      <c r="B593" s="655" t="s">
        <v>9972</v>
      </c>
      <c r="C593" s="656">
        <v>0</v>
      </c>
      <c r="D593" s="656">
        <v>6262</v>
      </c>
      <c r="E593" s="656">
        <v>0</v>
      </c>
      <c r="F593" s="656">
        <v>6262</v>
      </c>
      <c r="G593" s="656">
        <v>6262</v>
      </c>
      <c r="H593" s="305">
        <f t="shared" si="16"/>
        <v>60111010</v>
      </c>
    </row>
    <row r="594" spans="1:8" ht="11.25" x14ac:dyDescent="0.2">
      <c r="A594" s="654">
        <v>60120100</v>
      </c>
      <c r="B594" s="655" t="s">
        <v>9973</v>
      </c>
      <c r="C594" s="656">
        <v>0</v>
      </c>
      <c r="D594" s="656">
        <v>1407613.5508795003</v>
      </c>
      <c r="E594" s="656">
        <v>9063.0944025000008</v>
      </c>
      <c r="F594" s="656">
        <v>1398550.4564770004</v>
      </c>
      <c r="G594" s="656">
        <v>1398550.4564770004</v>
      </c>
      <c r="H594" s="305">
        <f t="shared" si="16"/>
        <v>60120100</v>
      </c>
    </row>
    <row r="595" spans="1:8" ht="11.25" x14ac:dyDescent="0.2">
      <c r="A595" s="654">
        <v>60120200</v>
      </c>
      <c r="B595" s="655" t="s">
        <v>9974</v>
      </c>
      <c r="C595" s="656">
        <v>0</v>
      </c>
      <c r="D595" s="656">
        <v>492</v>
      </c>
      <c r="E595" s="656">
        <v>0</v>
      </c>
      <c r="F595" s="656">
        <v>492</v>
      </c>
      <c r="G595" s="656">
        <v>492</v>
      </c>
      <c r="H595" s="305">
        <f t="shared" si="16"/>
        <v>60120200</v>
      </c>
    </row>
    <row r="596" spans="1:8" ht="11.25" x14ac:dyDescent="0.2">
      <c r="A596" s="654">
        <v>60120300</v>
      </c>
      <c r="B596" s="655" t="s">
        <v>9975</v>
      </c>
      <c r="C596" s="656">
        <v>0</v>
      </c>
      <c r="D596" s="656">
        <v>6218193.5429999996</v>
      </c>
      <c r="E596" s="656">
        <v>72828.75</v>
      </c>
      <c r="F596" s="656">
        <v>6145364.7929999996</v>
      </c>
      <c r="G596" s="656">
        <v>6145364.7929999996</v>
      </c>
      <c r="H596" s="305">
        <f t="shared" si="16"/>
        <v>60120300</v>
      </c>
    </row>
    <row r="597" spans="1:8" ht="11.25" x14ac:dyDescent="0.2">
      <c r="A597" s="654">
        <v>60120400</v>
      </c>
      <c r="B597" s="655" t="s">
        <v>9976</v>
      </c>
      <c r="C597" s="656">
        <v>0</v>
      </c>
      <c r="D597" s="656">
        <v>4020958.2920000004</v>
      </c>
      <c r="E597" s="656">
        <v>0</v>
      </c>
      <c r="F597" s="656">
        <v>4020958.2920000004</v>
      </c>
      <c r="G597" s="656">
        <v>4020958.2920000004</v>
      </c>
      <c r="H597" s="305">
        <f t="shared" si="16"/>
        <v>60120400</v>
      </c>
    </row>
    <row r="598" spans="1:8" ht="11.25" x14ac:dyDescent="0.2">
      <c r="A598" s="654">
        <v>60120800</v>
      </c>
      <c r="B598" s="655" t="s">
        <v>9977</v>
      </c>
      <c r="C598" s="656">
        <v>0</v>
      </c>
      <c r="D598" s="656">
        <v>1046301.6878999999</v>
      </c>
      <c r="E598" s="656">
        <v>0</v>
      </c>
      <c r="F598" s="656">
        <v>1046301.6878999999</v>
      </c>
      <c r="G598" s="656">
        <v>1046301.6878999999</v>
      </c>
      <c r="H598" s="305">
        <f t="shared" si="16"/>
        <v>60120800</v>
      </c>
    </row>
    <row r="599" spans="1:8" ht="11.25" x14ac:dyDescent="0.2">
      <c r="A599" s="654">
        <v>60120900</v>
      </c>
      <c r="B599" s="655" t="s">
        <v>9978</v>
      </c>
      <c r="C599" s="656">
        <v>0</v>
      </c>
      <c r="D599" s="656">
        <v>995103.48910499993</v>
      </c>
      <c r="E599" s="656">
        <v>0</v>
      </c>
      <c r="F599" s="656">
        <v>995103.48910499993</v>
      </c>
      <c r="G599" s="656">
        <v>995103.48910499993</v>
      </c>
      <c r="H599" s="305">
        <f t="shared" si="16"/>
        <v>60120900</v>
      </c>
    </row>
    <row r="600" spans="1:8" ht="11.25" x14ac:dyDescent="0.2">
      <c r="A600" s="654">
        <v>60121010</v>
      </c>
      <c r="B600" s="655" t="s">
        <v>9979</v>
      </c>
      <c r="C600" s="656">
        <v>0</v>
      </c>
      <c r="D600" s="656">
        <v>24170916.796123497</v>
      </c>
      <c r="E600" s="656">
        <v>121160.19332699999</v>
      </c>
      <c r="F600" s="656">
        <v>24049756.602796499</v>
      </c>
      <c r="G600" s="656">
        <v>24049756.602796499</v>
      </c>
      <c r="H600" s="305">
        <f t="shared" si="16"/>
        <v>60121010</v>
      </c>
    </row>
    <row r="601" spans="1:8" ht="11.25" x14ac:dyDescent="0.2">
      <c r="A601" s="654">
        <v>60121020</v>
      </c>
      <c r="B601" s="655" t="s">
        <v>9980</v>
      </c>
      <c r="C601" s="656">
        <v>0</v>
      </c>
      <c r="D601" s="656">
        <v>4664</v>
      </c>
      <c r="E601" s="656">
        <v>4664</v>
      </c>
      <c r="F601" s="656">
        <v>0</v>
      </c>
      <c r="G601" s="656">
        <v>0</v>
      </c>
      <c r="H601" s="305">
        <f t="shared" si="16"/>
        <v>60121020</v>
      </c>
    </row>
    <row r="602" spans="1:8" ht="11.25" x14ac:dyDescent="0.2">
      <c r="A602" s="654">
        <v>60121031</v>
      </c>
      <c r="B602" s="655" t="s">
        <v>9981</v>
      </c>
      <c r="C602" s="656">
        <v>0</v>
      </c>
      <c r="D602" s="656">
        <v>171625.31027000002</v>
      </c>
      <c r="E602" s="656">
        <v>0</v>
      </c>
      <c r="F602" s="656">
        <v>171625.31027000002</v>
      </c>
      <c r="G602" s="656">
        <v>171625.31027000002</v>
      </c>
      <c r="H602" s="305">
        <f t="shared" si="16"/>
        <v>60121031</v>
      </c>
    </row>
    <row r="603" spans="1:8" ht="11.25" x14ac:dyDescent="0.2">
      <c r="A603" s="654">
        <v>60121032</v>
      </c>
      <c r="B603" s="655" t="s">
        <v>9982</v>
      </c>
      <c r="C603" s="656">
        <v>0</v>
      </c>
      <c r="D603" s="656">
        <v>10482.185000000001</v>
      </c>
      <c r="E603" s="656">
        <v>0</v>
      </c>
      <c r="F603" s="656">
        <v>10482.185000000001</v>
      </c>
      <c r="G603" s="656">
        <v>10482.185000000001</v>
      </c>
      <c r="H603" s="305">
        <f t="shared" si="16"/>
        <v>60121032</v>
      </c>
    </row>
    <row r="604" spans="1:8" ht="11.25" x14ac:dyDescent="0.2">
      <c r="A604" s="654">
        <v>60121033</v>
      </c>
      <c r="B604" s="655" t="s">
        <v>9983</v>
      </c>
      <c r="C604" s="656">
        <v>0</v>
      </c>
      <c r="D604" s="656">
        <v>14927.626999999999</v>
      </c>
      <c r="E604" s="656">
        <v>0</v>
      </c>
      <c r="F604" s="656">
        <v>14927.626999999999</v>
      </c>
      <c r="G604" s="656">
        <v>14927.626999999999</v>
      </c>
      <c r="H604" s="305">
        <f t="shared" si="16"/>
        <v>60121033</v>
      </c>
    </row>
    <row r="605" spans="1:8" ht="11.25" x14ac:dyDescent="0.2">
      <c r="A605" s="654">
        <v>60121035</v>
      </c>
      <c r="B605" s="655" t="s">
        <v>9984</v>
      </c>
      <c r="C605" s="656">
        <v>0</v>
      </c>
      <c r="D605" s="656">
        <v>3633.8550000000005</v>
      </c>
      <c r="E605" s="656">
        <v>0</v>
      </c>
      <c r="F605" s="656">
        <v>3633.8550000000005</v>
      </c>
      <c r="G605" s="656">
        <v>3633.8550000000005</v>
      </c>
      <c r="H605" s="305">
        <f t="shared" si="16"/>
        <v>60121035</v>
      </c>
    </row>
    <row r="606" spans="1:8" ht="11.25" x14ac:dyDescent="0.2">
      <c r="A606" s="654">
        <v>60121040</v>
      </c>
      <c r="B606" s="655" t="s">
        <v>9985</v>
      </c>
      <c r="C606" s="656">
        <v>0</v>
      </c>
      <c r="D606" s="656">
        <v>2058.75</v>
      </c>
      <c r="E606" s="656">
        <v>0</v>
      </c>
      <c r="F606" s="656">
        <v>2058.75</v>
      </c>
      <c r="G606" s="656">
        <v>2058.75</v>
      </c>
      <c r="H606" s="305">
        <f t="shared" si="16"/>
        <v>60121040</v>
      </c>
    </row>
    <row r="607" spans="1:8" ht="11.25" x14ac:dyDescent="0.2">
      <c r="A607" s="654">
        <v>60121210</v>
      </c>
      <c r="B607" s="655" t="s">
        <v>9986</v>
      </c>
      <c r="C607" s="656">
        <v>0</v>
      </c>
      <c r="D607" s="656">
        <v>193882.85927349998</v>
      </c>
      <c r="E607" s="656">
        <v>0</v>
      </c>
      <c r="F607" s="656">
        <v>193882.85927349998</v>
      </c>
      <c r="G607" s="656">
        <v>193882.85927349998</v>
      </c>
      <c r="H607" s="305">
        <f t="shared" si="16"/>
        <v>60121210</v>
      </c>
    </row>
    <row r="608" spans="1:8" ht="11.25" x14ac:dyDescent="0.2">
      <c r="A608" s="654">
        <v>60121400</v>
      </c>
      <c r="B608" s="655" t="s">
        <v>9987</v>
      </c>
      <c r="C608" s="656">
        <v>0</v>
      </c>
      <c r="D608" s="656">
        <v>93840.986879999997</v>
      </c>
      <c r="E608" s="656">
        <v>0</v>
      </c>
      <c r="F608" s="656">
        <v>93840.986879999997</v>
      </c>
      <c r="G608" s="656">
        <v>93840.986879999997</v>
      </c>
      <c r="H608" s="305">
        <f t="shared" si="16"/>
        <v>60121400</v>
      </c>
    </row>
    <row r="609" spans="1:8" ht="11.25" x14ac:dyDescent="0.2">
      <c r="A609" s="654">
        <v>60121500</v>
      </c>
      <c r="B609" s="655" t="s">
        <v>9988</v>
      </c>
      <c r="C609" s="656">
        <v>0</v>
      </c>
      <c r="D609" s="656">
        <v>99000</v>
      </c>
      <c r="E609" s="656">
        <v>0</v>
      </c>
      <c r="F609" s="656">
        <v>99000</v>
      </c>
      <c r="G609" s="656">
        <v>99000</v>
      </c>
      <c r="H609" s="305">
        <f t="shared" si="16"/>
        <v>60121500</v>
      </c>
    </row>
    <row r="610" spans="1:8" ht="11.25" x14ac:dyDescent="0.2">
      <c r="A610" s="654">
        <v>60121600</v>
      </c>
      <c r="B610" s="655" t="s">
        <v>9989</v>
      </c>
      <c r="C610" s="656">
        <v>0</v>
      </c>
      <c r="D610" s="656">
        <v>560364</v>
      </c>
      <c r="E610" s="656">
        <v>0</v>
      </c>
      <c r="F610" s="656">
        <v>560364</v>
      </c>
      <c r="G610" s="656">
        <v>560364</v>
      </c>
      <c r="H610" s="305">
        <f t="shared" si="16"/>
        <v>60121600</v>
      </c>
    </row>
    <row r="611" spans="1:8" ht="11.25" x14ac:dyDescent="0.2">
      <c r="A611" s="654">
        <v>60121900</v>
      </c>
      <c r="B611" s="655" t="s">
        <v>9990</v>
      </c>
      <c r="C611" s="656">
        <v>0</v>
      </c>
      <c r="D611" s="656">
        <v>33763.75</v>
      </c>
      <c r="E611" s="656">
        <v>0</v>
      </c>
      <c r="F611" s="656">
        <v>33763.75</v>
      </c>
      <c r="G611" s="656">
        <v>33763.75</v>
      </c>
      <c r="H611" s="305">
        <f t="shared" si="16"/>
        <v>60121900</v>
      </c>
    </row>
    <row r="612" spans="1:8" ht="11.25" x14ac:dyDescent="0.2">
      <c r="A612" s="654">
        <v>60122000</v>
      </c>
      <c r="B612" s="655" t="s">
        <v>9991</v>
      </c>
      <c r="C612" s="656">
        <v>0</v>
      </c>
      <c r="D612" s="656">
        <v>62292.496025</v>
      </c>
      <c r="E612" s="656">
        <v>72713.861999999994</v>
      </c>
      <c r="F612" s="656">
        <v>-10421.365974999993</v>
      </c>
      <c r="G612" s="656">
        <v>-10421.365974999993</v>
      </c>
      <c r="H612" s="305">
        <f t="shared" si="16"/>
        <v>60122000</v>
      </c>
    </row>
    <row r="613" spans="1:8" ht="11.25" x14ac:dyDescent="0.2">
      <c r="A613" s="654">
        <v>60122100</v>
      </c>
      <c r="B613" s="655" t="s">
        <v>9992</v>
      </c>
      <c r="C613" s="656">
        <v>0</v>
      </c>
      <c r="D613" s="656">
        <v>86985</v>
      </c>
      <c r="E613" s="656">
        <v>1485</v>
      </c>
      <c r="F613" s="656">
        <v>85500</v>
      </c>
      <c r="G613" s="656">
        <v>85500</v>
      </c>
      <c r="H613" s="305">
        <f t="shared" si="16"/>
        <v>60122100</v>
      </c>
    </row>
    <row r="614" spans="1:8" ht="11.25" x14ac:dyDescent="0.2">
      <c r="A614" s="654">
        <v>60122200</v>
      </c>
      <c r="B614" s="655" t="s">
        <v>9993</v>
      </c>
      <c r="C614" s="656">
        <v>0</v>
      </c>
      <c r="D614" s="656">
        <v>54164.048999999999</v>
      </c>
      <c r="E614" s="656">
        <v>0</v>
      </c>
      <c r="F614" s="656">
        <v>54164.048999999999</v>
      </c>
      <c r="G614" s="656">
        <v>54164.048999999999</v>
      </c>
      <c r="H614" s="305">
        <f t="shared" si="16"/>
        <v>60122200</v>
      </c>
    </row>
    <row r="615" spans="1:8" ht="11.25" x14ac:dyDescent="0.2">
      <c r="A615" s="654">
        <v>60122400</v>
      </c>
      <c r="B615" s="655" t="s">
        <v>9994</v>
      </c>
      <c r="C615" s="656">
        <v>0</v>
      </c>
      <c r="D615" s="656">
        <v>30280.058999999997</v>
      </c>
      <c r="E615" s="656">
        <v>0</v>
      </c>
      <c r="F615" s="656">
        <v>30280.058999999997</v>
      </c>
      <c r="G615" s="656">
        <v>30280.058999999997</v>
      </c>
      <c r="H615" s="305">
        <f t="shared" si="16"/>
        <v>60122400</v>
      </c>
    </row>
    <row r="616" spans="1:8" ht="11.25" x14ac:dyDescent="0.2">
      <c r="A616" s="654">
        <v>60122410</v>
      </c>
      <c r="B616" s="655" t="s">
        <v>9995</v>
      </c>
      <c r="C616" s="656">
        <v>0</v>
      </c>
      <c r="D616" s="656">
        <v>6325</v>
      </c>
      <c r="E616" s="656">
        <v>0</v>
      </c>
      <c r="F616" s="656">
        <v>6325</v>
      </c>
      <c r="G616" s="656">
        <v>6325</v>
      </c>
      <c r="H616" s="305">
        <f t="shared" si="16"/>
        <v>60122410</v>
      </c>
    </row>
    <row r="617" spans="1:8" ht="11.25" x14ac:dyDescent="0.2">
      <c r="A617" s="654">
        <v>60122411</v>
      </c>
      <c r="B617" s="655" t="s">
        <v>9996</v>
      </c>
      <c r="C617" s="656">
        <v>0</v>
      </c>
      <c r="D617" s="656">
        <v>64098</v>
      </c>
      <c r="E617" s="656">
        <v>0</v>
      </c>
      <c r="F617" s="656">
        <v>64098</v>
      </c>
      <c r="G617" s="656">
        <v>64098</v>
      </c>
      <c r="H617" s="305">
        <f t="shared" si="16"/>
        <v>60122411</v>
      </c>
    </row>
    <row r="618" spans="1:8" ht="11.25" x14ac:dyDescent="0.2">
      <c r="A618" s="654">
        <v>60122510</v>
      </c>
      <c r="B618" s="655" t="s">
        <v>9997</v>
      </c>
      <c r="C618" s="656">
        <v>0</v>
      </c>
      <c r="D618" s="656">
        <v>38913.387999999999</v>
      </c>
      <c r="E618" s="656">
        <v>0</v>
      </c>
      <c r="F618" s="656">
        <v>38913.387999999999</v>
      </c>
      <c r="G618" s="656">
        <v>38913.387999999999</v>
      </c>
      <c r="H618" s="305">
        <f t="shared" si="16"/>
        <v>60122510</v>
      </c>
    </row>
    <row r="619" spans="1:8" ht="11.25" x14ac:dyDescent="0.2">
      <c r="A619" s="654">
        <v>60122520</v>
      </c>
      <c r="B619" s="655" t="s">
        <v>9998</v>
      </c>
      <c r="C619" s="656">
        <v>0</v>
      </c>
      <c r="D619" s="656">
        <v>5548.39</v>
      </c>
      <c r="E619" s="656">
        <v>0</v>
      </c>
      <c r="F619" s="656">
        <v>5548.39</v>
      </c>
      <c r="G619" s="656">
        <v>5548.39</v>
      </c>
      <c r="H619" s="305">
        <f t="shared" si="16"/>
        <v>60122520</v>
      </c>
    </row>
    <row r="620" spans="1:8" ht="11.25" x14ac:dyDescent="0.2">
      <c r="A620" s="654">
        <v>60122700</v>
      </c>
      <c r="B620" s="655" t="s">
        <v>9999</v>
      </c>
      <c r="C620" s="656">
        <v>0</v>
      </c>
      <c r="D620" s="656">
        <v>9500.0399999999991</v>
      </c>
      <c r="E620" s="656">
        <v>0</v>
      </c>
      <c r="F620" s="656">
        <v>9500.0399999999991</v>
      </c>
      <c r="G620" s="656">
        <v>9500.0399999999991</v>
      </c>
      <c r="H620" s="305">
        <f t="shared" si="16"/>
        <v>60122700</v>
      </c>
    </row>
    <row r="621" spans="1:8" ht="11.25" x14ac:dyDescent="0.2">
      <c r="A621" s="654">
        <v>60171000</v>
      </c>
      <c r="B621" s="655" t="s">
        <v>10000</v>
      </c>
      <c r="C621" s="656">
        <v>0</v>
      </c>
      <c r="D621" s="656">
        <v>460028.06899999996</v>
      </c>
      <c r="E621" s="656">
        <v>325.53100000000001</v>
      </c>
      <c r="F621" s="656">
        <v>459702.53799999994</v>
      </c>
      <c r="G621" s="656">
        <v>459702.53799999994</v>
      </c>
      <c r="H621" s="305">
        <f t="shared" ref="H621:H684" si="17">VLOOKUP($A621,$A$2:$B$357,1,0)</f>
        <v>60171000</v>
      </c>
    </row>
    <row r="622" spans="1:8" ht="11.25" x14ac:dyDescent="0.2">
      <c r="A622" s="654">
        <v>60172000</v>
      </c>
      <c r="B622" s="655" t="s">
        <v>10001</v>
      </c>
      <c r="C622" s="656">
        <v>0</v>
      </c>
      <c r="D622" s="656">
        <v>1061329.8709999998</v>
      </c>
      <c r="E622" s="656">
        <v>1970.4739999999997</v>
      </c>
      <c r="F622" s="656">
        <v>1059359.3969999999</v>
      </c>
      <c r="G622" s="656">
        <v>1059359.3969999999</v>
      </c>
      <c r="H622" s="305">
        <f t="shared" si="17"/>
        <v>60172000</v>
      </c>
    </row>
    <row r="623" spans="1:8" ht="11.25" x14ac:dyDescent="0.2">
      <c r="A623" s="654">
        <v>60173000</v>
      </c>
      <c r="B623" s="655" t="s">
        <v>10002</v>
      </c>
      <c r="C623" s="656">
        <v>0</v>
      </c>
      <c r="D623" s="656">
        <v>95941.986999999994</v>
      </c>
      <c r="E623" s="656">
        <v>16484.29</v>
      </c>
      <c r="F623" s="656">
        <v>79457.696999999986</v>
      </c>
      <c r="G623" s="656">
        <v>79457.696999999986</v>
      </c>
      <c r="H623" s="305">
        <f t="shared" si="17"/>
        <v>60173000</v>
      </c>
    </row>
    <row r="624" spans="1:8" ht="11.25" x14ac:dyDescent="0.2">
      <c r="A624" s="654">
        <v>60191000</v>
      </c>
      <c r="B624" s="655" t="s">
        <v>10003</v>
      </c>
      <c r="C624" s="656">
        <v>0</v>
      </c>
      <c r="D624" s="656">
        <v>1963604.2230400003</v>
      </c>
      <c r="E624" s="656">
        <v>40627.396000000001</v>
      </c>
      <c r="F624" s="656">
        <v>1922976.8270400004</v>
      </c>
      <c r="G624" s="656">
        <v>1922976.8270400004</v>
      </c>
      <c r="H624" s="305">
        <f t="shared" si="17"/>
        <v>60191000</v>
      </c>
    </row>
    <row r="625" spans="1:8" ht="11.25" x14ac:dyDescent="0.2">
      <c r="A625" s="654">
        <v>60216000</v>
      </c>
      <c r="B625" s="655" t="s">
        <v>10004</v>
      </c>
      <c r="C625" s="656">
        <v>0</v>
      </c>
      <c r="D625" s="656">
        <v>293619.22151249996</v>
      </c>
      <c r="E625" s="656">
        <v>0</v>
      </c>
      <c r="F625" s="656">
        <v>293619.22151249996</v>
      </c>
      <c r="G625" s="656">
        <v>293619.22151249996</v>
      </c>
      <c r="H625" s="305">
        <f t="shared" si="17"/>
        <v>60216000</v>
      </c>
    </row>
    <row r="626" spans="1:8" ht="11.25" x14ac:dyDescent="0.2">
      <c r="A626" s="654">
        <v>60260200</v>
      </c>
      <c r="B626" s="655" t="s">
        <v>10005</v>
      </c>
      <c r="C626" s="656">
        <v>0</v>
      </c>
      <c r="D626" s="656">
        <v>11173.05</v>
      </c>
      <c r="E626" s="656">
        <v>0</v>
      </c>
      <c r="F626" s="656">
        <v>11173.05</v>
      </c>
      <c r="G626" s="656">
        <v>11173.05</v>
      </c>
      <c r="H626" s="305">
        <f t="shared" si="17"/>
        <v>60260200</v>
      </c>
    </row>
    <row r="627" spans="1:8" ht="11.25" x14ac:dyDescent="0.2">
      <c r="A627" s="654">
        <v>60260300</v>
      </c>
      <c r="B627" s="655" t="s">
        <v>10006</v>
      </c>
      <c r="C627" s="656">
        <v>0</v>
      </c>
      <c r="D627" s="656">
        <v>139920.65100000001</v>
      </c>
      <c r="E627" s="656">
        <v>1624.701</v>
      </c>
      <c r="F627" s="656">
        <v>138295.95000000001</v>
      </c>
      <c r="G627" s="656">
        <v>138295.95000000001</v>
      </c>
      <c r="H627" s="305">
        <f t="shared" si="17"/>
        <v>60260300</v>
      </c>
    </row>
    <row r="628" spans="1:8" ht="11.25" x14ac:dyDescent="0.2">
      <c r="A628" s="654">
        <v>60260400</v>
      </c>
      <c r="B628" s="655" t="s">
        <v>10007</v>
      </c>
      <c r="C628" s="656">
        <v>0</v>
      </c>
      <c r="D628" s="656">
        <v>88563.994999999995</v>
      </c>
      <c r="E628" s="656">
        <v>0</v>
      </c>
      <c r="F628" s="656">
        <v>88563.994999999995</v>
      </c>
      <c r="G628" s="656">
        <v>88563.994999999995</v>
      </c>
      <c r="H628" s="305">
        <f t="shared" si="17"/>
        <v>60260400</v>
      </c>
    </row>
    <row r="629" spans="1:8" ht="11.25" x14ac:dyDescent="0.2">
      <c r="A629" s="654">
        <v>60260500</v>
      </c>
      <c r="B629" s="655" t="s">
        <v>10008</v>
      </c>
      <c r="C629" s="656">
        <v>0</v>
      </c>
      <c r="D629" s="656">
        <v>66081.729000000007</v>
      </c>
      <c r="E629" s="656">
        <v>0</v>
      </c>
      <c r="F629" s="656">
        <v>66081.729000000007</v>
      </c>
      <c r="G629" s="656">
        <v>66081.729000000007</v>
      </c>
      <c r="H629" s="305">
        <f t="shared" si="17"/>
        <v>60260500</v>
      </c>
    </row>
    <row r="630" spans="1:8" ht="11.25" x14ac:dyDescent="0.2">
      <c r="A630" s="654">
        <v>60260600</v>
      </c>
      <c r="B630" s="655" t="s">
        <v>10009</v>
      </c>
      <c r="C630" s="656">
        <v>0</v>
      </c>
      <c r="D630" s="656">
        <v>2184.85</v>
      </c>
      <c r="E630" s="656">
        <v>0</v>
      </c>
      <c r="F630" s="656">
        <v>2184.85</v>
      </c>
      <c r="G630" s="656">
        <v>2184.85</v>
      </c>
      <c r="H630" s="305">
        <f t="shared" si="17"/>
        <v>60260600</v>
      </c>
    </row>
    <row r="631" spans="1:8" ht="11.25" x14ac:dyDescent="0.2">
      <c r="A631" s="654">
        <v>60260700</v>
      </c>
      <c r="B631" s="655" t="s">
        <v>10010</v>
      </c>
      <c r="C631" s="656">
        <v>0</v>
      </c>
      <c r="D631" s="656">
        <v>68710.3</v>
      </c>
      <c r="E631" s="656">
        <v>3368.35</v>
      </c>
      <c r="F631" s="656">
        <v>65341.950000000004</v>
      </c>
      <c r="G631" s="656">
        <v>65341.950000000004</v>
      </c>
      <c r="H631" s="305">
        <f t="shared" si="17"/>
        <v>60260700</v>
      </c>
    </row>
    <row r="632" spans="1:8" ht="11.25" x14ac:dyDescent="0.2">
      <c r="A632" s="654">
        <v>60262000</v>
      </c>
      <c r="B632" s="655" t="s">
        <v>10011</v>
      </c>
      <c r="C632" s="656">
        <v>0</v>
      </c>
      <c r="D632" s="656">
        <v>207205.13355249999</v>
      </c>
      <c r="E632" s="656">
        <v>0</v>
      </c>
      <c r="F632" s="656">
        <v>207205.13355249999</v>
      </c>
      <c r="G632" s="656">
        <v>207205.13355249999</v>
      </c>
      <c r="H632" s="305">
        <f t="shared" si="17"/>
        <v>60262000</v>
      </c>
    </row>
    <row r="633" spans="1:8" ht="11.25" x14ac:dyDescent="0.2">
      <c r="A633" s="654">
        <v>60263000</v>
      </c>
      <c r="B633" s="655" t="s">
        <v>10012</v>
      </c>
      <c r="C633" s="656">
        <v>0</v>
      </c>
      <c r="D633" s="656">
        <v>125194.310822</v>
      </c>
      <c r="E633" s="656">
        <v>43242.447999999997</v>
      </c>
      <c r="F633" s="656">
        <v>81951.862821999996</v>
      </c>
      <c r="G633" s="656">
        <v>81951.862821999996</v>
      </c>
      <c r="H633" s="305">
        <f t="shared" si="17"/>
        <v>60263000</v>
      </c>
    </row>
    <row r="634" spans="1:8" ht="11.25" x14ac:dyDescent="0.2">
      <c r="A634" s="654">
        <v>60310000</v>
      </c>
      <c r="B634" s="655" t="s">
        <v>10013</v>
      </c>
      <c r="C634" s="656">
        <v>0</v>
      </c>
      <c r="D634" s="656">
        <v>10656855.097999999</v>
      </c>
      <c r="E634" s="656">
        <v>1136780.078</v>
      </c>
      <c r="F634" s="656">
        <v>9520075.0199999996</v>
      </c>
      <c r="G634" s="656">
        <v>9520075.0199999996</v>
      </c>
      <c r="H634" s="305">
        <f t="shared" si="17"/>
        <v>60310000</v>
      </c>
    </row>
    <row r="635" spans="1:8" ht="11.25" x14ac:dyDescent="0.2">
      <c r="A635" s="654">
        <v>60330000</v>
      </c>
      <c r="B635" s="655" t="s">
        <v>10014</v>
      </c>
      <c r="C635" s="656">
        <v>0</v>
      </c>
      <c r="D635" s="656">
        <v>662156.429</v>
      </c>
      <c r="E635" s="656">
        <v>0</v>
      </c>
      <c r="F635" s="656">
        <v>662156.429</v>
      </c>
      <c r="G635" s="656">
        <v>662156.429</v>
      </c>
      <c r="H635" s="305">
        <f t="shared" si="17"/>
        <v>60330000</v>
      </c>
    </row>
    <row r="636" spans="1:8" ht="11.25" x14ac:dyDescent="0.2">
      <c r="A636" s="654">
        <v>60502000</v>
      </c>
      <c r="B636" s="655" t="s">
        <v>10015</v>
      </c>
      <c r="C636" s="656">
        <v>0</v>
      </c>
      <c r="D636" s="656">
        <v>796294.00094399997</v>
      </c>
      <c r="E636" s="656">
        <v>40764.670050000001</v>
      </c>
      <c r="F636" s="656">
        <v>755529.33089400001</v>
      </c>
      <c r="G636" s="656">
        <v>755529.33089400001</v>
      </c>
      <c r="H636" s="305">
        <f t="shared" si="17"/>
        <v>60502000</v>
      </c>
    </row>
    <row r="637" spans="1:8" ht="11.25" x14ac:dyDescent="0.2">
      <c r="A637" s="654">
        <v>60504000</v>
      </c>
      <c r="B637" s="655" t="s">
        <v>10016</v>
      </c>
      <c r="C637" s="656">
        <v>0</v>
      </c>
      <c r="D637" s="656">
        <v>12632.02</v>
      </c>
      <c r="E637" s="656">
        <v>0</v>
      </c>
      <c r="F637" s="656">
        <v>12632.02</v>
      </c>
      <c r="G637" s="656">
        <v>12632.02</v>
      </c>
      <c r="H637" s="305">
        <f t="shared" si="17"/>
        <v>60504000</v>
      </c>
    </row>
    <row r="638" spans="1:8" ht="11.25" x14ac:dyDescent="0.2">
      <c r="A638" s="654">
        <v>60614000</v>
      </c>
      <c r="B638" s="655" t="s">
        <v>10017</v>
      </c>
      <c r="C638" s="656">
        <v>0</v>
      </c>
      <c r="D638" s="656">
        <v>234898.45</v>
      </c>
      <c r="E638" s="656">
        <v>4625</v>
      </c>
      <c r="F638" s="656">
        <v>230273.45</v>
      </c>
      <c r="G638" s="656">
        <v>230273.45</v>
      </c>
      <c r="H638" s="305">
        <f t="shared" si="17"/>
        <v>60614000</v>
      </c>
    </row>
    <row r="639" spans="1:8" ht="11.25" x14ac:dyDescent="0.2">
      <c r="A639" s="654">
        <v>60620000</v>
      </c>
      <c r="B639" s="655" t="s">
        <v>10018</v>
      </c>
      <c r="C639" s="656">
        <v>0</v>
      </c>
      <c r="D639" s="656">
        <v>42092.342000000004</v>
      </c>
      <c r="E639" s="656">
        <v>457.06299999999999</v>
      </c>
      <c r="F639" s="656">
        <v>41635.279000000002</v>
      </c>
      <c r="G639" s="656">
        <v>41635.279000000002</v>
      </c>
      <c r="H639" s="305">
        <f t="shared" si="17"/>
        <v>60620000</v>
      </c>
    </row>
    <row r="640" spans="1:8" ht="11.25" x14ac:dyDescent="0.2">
      <c r="A640" s="654">
        <v>60650000</v>
      </c>
      <c r="B640" s="655" t="s">
        <v>10019</v>
      </c>
      <c r="C640" s="656">
        <v>0</v>
      </c>
      <c r="D640" s="656">
        <v>24300</v>
      </c>
      <c r="E640" s="656">
        <v>0</v>
      </c>
      <c r="F640" s="656">
        <v>24300</v>
      </c>
      <c r="G640" s="656">
        <v>24300</v>
      </c>
      <c r="H640" s="305">
        <f t="shared" si="17"/>
        <v>60650000</v>
      </c>
    </row>
    <row r="641" spans="1:8" ht="11.25" x14ac:dyDescent="0.2">
      <c r="A641" s="654">
        <v>60660000</v>
      </c>
      <c r="B641" s="655" t="s">
        <v>10020</v>
      </c>
      <c r="C641" s="656">
        <v>0</v>
      </c>
      <c r="D641" s="656">
        <v>22158.942999999999</v>
      </c>
      <c r="E641" s="656">
        <v>0</v>
      </c>
      <c r="F641" s="656">
        <v>22158.942999999999</v>
      </c>
      <c r="G641" s="656">
        <v>22158.942999999999</v>
      </c>
      <c r="H641" s="305">
        <f t="shared" si="17"/>
        <v>60660000</v>
      </c>
    </row>
    <row r="642" spans="1:8" ht="11.25" x14ac:dyDescent="0.2">
      <c r="A642" s="654">
        <v>60670000</v>
      </c>
      <c r="B642" s="655" t="s">
        <v>10021</v>
      </c>
      <c r="C642" s="656">
        <v>0</v>
      </c>
      <c r="D642" s="656">
        <v>16206.320000000002</v>
      </c>
      <c r="E642" s="656">
        <v>0</v>
      </c>
      <c r="F642" s="656">
        <v>16206.320000000002</v>
      </c>
      <c r="G642" s="656">
        <v>16206.320000000002</v>
      </c>
      <c r="H642" s="305">
        <f t="shared" si="17"/>
        <v>60670000</v>
      </c>
    </row>
    <row r="643" spans="1:8" ht="11.25" x14ac:dyDescent="0.2">
      <c r="A643" s="654">
        <v>60671000</v>
      </c>
      <c r="B643" s="655" t="s">
        <v>10022</v>
      </c>
      <c r="C643" s="656">
        <v>0</v>
      </c>
      <c r="D643" s="656">
        <v>137534.98599999998</v>
      </c>
      <c r="E643" s="656">
        <v>1354.9839999999999</v>
      </c>
      <c r="F643" s="656">
        <v>136180.00199999998</v>
      </c>
      <c r="G643" s="656">
        <v>136180.00199999998</v>
      </c>
      <c r="H643" s="305">
        <f t="shared" si="17"/>
        <v>60671000</v>
      </c>
    </row>
    <row r="644" spans="1:8" ht="11.25" x14ac:dyDescent="0.2">
      <c r="A644" s="654">
        <v>60672000</v>
      </c>
      <c r="B644" s="655" t="s">
        <v>10023</v>
      </c>
      <c r="C644" s="656">
        <v>0</v>
      </c>
      <c r="D644" s="656">
        <v>5092.6499999999996</v>
      </c>
      <c r="E644" s="656">
        <v>0</v>
      </c>
      <c r="F644" s="656">
        <v>5092.6499999999996</v>
      </c>
      <c r="G644" s="656">
        <v>5092.6499999999996</v>
      </c>
      <c r="H644" s="305">
        <f t="shared" si="17"/>
        <v>60672000</v>
      </c>
    </row>
    <row r="645" spans="1:8" ht="11.25" x14ac:dyDescent="0.2">
      <c r="A645" s="654">
        <v>61400000</v>
      </c>
      <c r="B645" s="655" t="s">
        <v>10024</v>
      </c>
      <c r="C645" s="656">
        <v>0</v>
      </c>
      <c r="D645" s="656">
        <v>55445.165000000001</v>
      </c>
      <c r="E645" s="656">
        <v>700</v>
      </c>
      <c r="F645" s="656">
        <v>54745.165000000001</v>
      </c>
      <c r="G645" s="656">
        <v>54745.165000000001</v>
      </c>
      <c r="H645" s="305">
        <f t="shared" si="17"/>
        <v>61400000</v>
      </c>
    </row>
    <row r="646" spans="1:8" ht="11.25" x14ac:dyDescent="0.2">
      <c r="A646" s="654">
        <v>61500000</v>
      </c>
      <c r="B646" s="655" t="s">
        <v>10025</v>
      </c>
      <c r="C646" s="656">
        <v>0</v>
      </c>
      <c r="D646" s="656">
        <v>600933.50200000009</v>
      </c>
      <c r="E646" s="656">
        <v>119234.21699999999</v>
      </c>
      <c r="F646" s="656">
        <v>481699.28500000009</v>
      </c>
      <c r="G646" s="656">
        <v>481699.28500000009</v>
      </c>
      <c r="H646" s="305">
        <f t="shared" si="17"/>
        <v>61500000</v>
      </c>
    </row>
    <row r="647" spans="1:8" ht="11.25" x14ac:dyDescent="0.2">
      <c r="A647" s="654">
        <v>61501000</v>
      </c>
      <c r="B647" s="655" t="s">
        <v>10026</v>
      </c>
      <c r="C647" s="656">
        <v>0</v>
      </c>
      <c r="D647" s="656">
        <v>216960.13199999998</v>
      </c>
      <c r="E647" s="656">
        <v>4123.9859999999999</v>
      </c>
      <c r="F647" s="656">
        <v>212836.14599999998</v>
      </c>
      <c r="G647" s="656">
        <v>212836.14599999998</v>
      </c>
      <c r="H647" s="305">
        <f t="shared" si="17"/>
        <v>61501000</v>
      </c>
    </row>
    <row r="648" spans="1:8" ht="11.25" x14ac:dyDescent="0.2">
      <c r="A648" s="654">
        <v>61600000</v>
      </c>
      <c r="B648" s="655" t="s">
        <v>10027</v>
      </c>
      <c r="C648" s="656">
        <v>0</v>
      </c>
      <c r="D648" s="656">
        <v>48541.588000000003</v>
      </c>
      <c r="E648" s="656">
        <v>0</v>
      </c>
      <c r="F648" s="656">
        <v>48541.588000000003</v>
      </c>
      <c r="G648" s="656">
        <v>48541.588000000003</v>
      </c>
      <c r="H648" s="305">
        <f t="shared" si="17"/>
        <v>61600000</v>
      </c>
    </row>
    <row r="649" spans="1:8" ht="11.25" x14ac:dyDescent="0.2">
      <c r="A649" s="654">
        <v>61603000</v>
      </c>
      <c r="B649" s="655" t="s">
        <v>10028</v>
      </c>
      <c r="C649" s="656">
        <v>0</v>
      </c>
      <c r="D649" s="656">
        <v>29988.795000000002</v>
      </c>
      <c r="E649" s="656">
        <v>28310.018</v>
      </c>
      <c r="F649" s="656">
        <v>1678.7770000000019</v>
      </c>
      <c r="G649" s="656">
        <v>1678.7770000000019</v>
      </c>
      <c r="H649" s="305">
        <f t="shared" si="17"/>
        <v>61603000</v>
      </c>
    </row>
    <row r="650" spans="1:8" ht="11.25" x14ac:dyDescent="0.2">
      <c r="A650" s="654">
        <v>62120000</v>
      </c>
      <c r="B650" s="655" t="s">
        <v>10029</v>
      </c>
      <c r="C650" s="656">
        <v>0</v>
      </c>
      <c r="D650" s="656">
        <v>40594.197</v>
      </c>
      <c r="E650" s="656">
        <v>0</v>
      </c>
      <c r="F650" s="656">
        <v>40594.197</v>
      </c>
      <c r="G650" s="656">
        <v>40594.197</v>
      </c>
      <c r="H650" s="305">
        <f t="shared" si="17"/>
        <v>62120000</v>
      </c>
    </row>
    <row r="651" spans="1:8" ht="11.25" x14ac:dyDescent="0.2">
      <c r="A651" s="654">
        <v>62200000</v>
      </c>
      <c r="B651" s="655" t="s">
        <v>10030</v>
      </c>
      <c r="C651" s="656">
        <v>0</v>
      </c>
      <c r="D651" s="656">
        <v>34129.159999999996</v>
      </c>
      <c r="E651" s="656">
        <v>0</v>
      </c>
      <c r="F651" s="656">
        <v>34129.159999999996</v>
      </c>
      <c r="G651" s="656">
        <v>34129.159999999996</v>
      </c>
      <c r="H651" s="305">
        <f t="shared" si="17"/>
        <v>62200000</v>
      </c>
    </row>
    <row r="652" spans="1:8" ht="11.25" x14ac:dyDescent="0.2">
      <c r="A652" s="654">
        <v>62210000</v>
      </c>
      <c r="B652" s="655" t="s">
        <v>10031</v>
      </c>
      <c r="C652" s="656">
        <v>0</v>
      </c>
      <c r="D652" s="656">
        <v>69114</v>
      </c>
      <c r="E652" s="656">
        <v>25705</v>
      </c>
      <c r="F652" s="656">
        <v>43409</v>
      </c>
      <c r="G652" s="656">
        <v>43409</v>
      </c>
      <c r="H652" s="305">
        <f t="shared" si="17"/>
        <v>62210000</v>
      </c>
    </row>
    <row r="653" spans="1:8" ht="11.25" x14ac:dyDescent="0.2">
      <c r="A653" s="654">
        <v>62230000</v>
      </c>
      <c r="B653" s="655" t="s">
        <v>10032</v>
      </c>
      <c r="C653" s="656">
        <v>0</v>
      </c>
      <c r="D653" s="656">
        <v>48234.924000000006</v>
      </c>
      <c r="E653" s="656">
        <v>0</v>
      </c>
      <c r="F653" s="656">
        <v>48234.924000000006</v>
      </c>
      <c r="G653" s="656">
        <v>48234.924000000006</v>
      </c>
      <c r="H653" s="305">
        <f t="shared" si="17"/>
        <v>62230000</v>
      </c>
    </row>
    <row r="654" spans="1:8" ht="11.25" x14ac:dyDescent="0.2">
      <c r="A654" s="654">
        <v>62240000</v>
      </c>
      <c r="B654" s="655" t="s">
        <v>10033</v>
      </c>
      <c r="C654" s="656">
        <v>0</v>
      </c>
      <c r="D654" s="656">
        <v>56918.95</v>
      </c>
      <c r="E654" s="656">
        <v>523.68799999999999</v>
      </c>
      <c r="F654" s="656">
        <v>56395.261999999995</v>
      </c>
      <c r="G654" s="656">
        <v>56395.261999999995</v>
      </c>
      <c r="H654" s="305">
        <f t="shared" si="17"/>
        <v>62240000</v>
      </c>
    </row>
    <row r="655" spans="1:8" ht="11.25" x14ac:dyDescent="0.2">
      <c r="A655" s="654">
        <v>62250000</v>
      </c>
      <c r="B655" s="655" t="s">
        <v>10034</v>
      </c>
      <c r="C655" s="656">
        <v>0</v>
      </c>
      <c r="D655" s="656">
        <v>43320</v>
      </c>
      <c r="E655" s="656">
        <v>30000</v>
      </c>
      <c r="F655" s="656">
        <v>13320</v>
      </c>
      <c r="G655" s="656">
        <v>13320</v>
      </c>
      <c r="H655" s="305">
        <f t="shared" si="17"/>
        <v>62250000</v>
      </c>
    </row>
    <row r="656" spans="1:8" ht="11.25" x14ac:dyDescent="0.2">
      <c r="A656" s="654">
        <v>62260000</v>
      </c>
      <c r="B656" s="655" t="s">
        <v>10035</v>
      </c>
      <c r="C656" s="656">
        <v>0</v>
      </c>
      <c r="D656" s="656">
        <v>5847.9480000000003</v>
      </c>
      <c r="E656" s="656">
        <v>0</v>
      </c>
      <c r="F656" s="656">
        <v>5847.9480000000003</v>
      </c>
      <c r="G656" s="656">
        <v>5847.9480000000003</v>
      </c>
      <c r="H656" s="305">
        <f t="shared" si="17"/>
        <v>62260000</v>
      </c>
    </row>
    <row r="657" spans="1:8" ht="11.25" x14ac:dyDescent="0.2">
      <c r="A657" s="654">
        <v>62270000</v>
      </c>
      <c r="B657" s="655" t="s">
        <v>10036</v>
      </c>
      <c r="C657" s="656">
        <v>0</v>
      </c>
      <c r="D657" s="656">
        <v>18056.724999999999</v>
      </c>
      <c r="E657" s="656">
        <v>0</v>
      </c>
      <c r="F657" s="656">
        <v>18056.724999999999</v>
      </c>
      <c r="G657" s="656">
        <v>18056.724999999999</v>
      </c>
      <c r="H657" s="305">
        <f t="shared" si="17"/>
        <v>62270000</v>
      </c>
    </row>
    <row r="658" spans="1:8" ht="11.25" x14ac:dyDescent="0.2">
      <c r="A658" s="654">
        <v>62280000</v>
      </c>
      <c r="B658" s="655" t="s">
        <v>10037</v>
      </c>
      <c r="C658" s="656">
        <v>0</v>
      </c>
      <c r="D658" s="656">
        <v>46772</v>
      </c>
      <c r="E658" s="656">
        <v>24780</v>
      </c>
      <c r="F658" s="656">
        <v>21992</v>
      </c>
      <c r="G658" s="656">
        <v>21992</v>
      </c>
      <c r="H658" s="305">
        <f t="shared" si="17"/>
        <v>62280000</v>
      </c>
    </row>
    <row r="659" spans="1:8" ht="11.25" x14ac:dyDescent="0.2">
      <c r="A659" s="654">
        <v>62300000</v>
      </c>
      <c r="B659" s="655" t="s">
        <v>10038</v>
      </c>
      <c r="C659" s="656">
        <v>0</v>
      </c>
      <c r="D659" s="656">
        <v>20986.3</v>
      </c>
      <c r="E659" s="656">
        <v>0</v>
      </c>
      <c r="F659" s="656">
        <v>20986.3</v>
      </c>
      <c r="G659" s="656">
        <v>20986.3</v>
      </c>
      <c r="H659" s="305">
        <f t="shared" si="17"/>
        <v>62300000</v>
      </c>
    </row>
    <row r="660" spans="1:8" ht="11.25" x14ac:dyDescent="0.2">
      <c r="A660" s="654">
        <v>62301000</v>
      </c>
      <c r="B660" s="655" t="s">
        <v>10039</v>
      </c>
      <c r="C660" s="656">
        <v>0</v>
      </c>
      <c r="D660" s="656">
        <v>55522.634999999995</v>
      </c>
      <c r="E660" s="656">
        <v>8315</v>
      </c>
      <c r="F660" s="656">
        <v>47207.634999999995</v>
      </c>
      <c r="G660" s="656">
        <v>47207.634999999995</v>
      </c>
      <c r="H660" s="305">
        <f t="shared" si="17"/>
        <v>62301000</v>
      </c>
    </row>
    <row r="661" spans="1:8" ht="11.25" x14ac:dyDescent="0.2">
      <c r="A661" s="654">
        <v>62410000</v>
      </c>
      <c r="B661" s="655" t="s">
        <v>10040</v>
      </c>
      <c r="C661" s="656">
        <v>0</v>
      </c>
      <c r="D661" s="656">
        <v>31774.243999999999</v>
      </c>
      <c r="E661" s="656">
        <v>0</v>
      </c>
      <c r="F661" s="656">
        <v>31774.243999999999</v>
      </c>
      <c r="G661" s="656">
        <v>31774.243999999999</v>
      </c>
      <c r="H661" s="305">
        <f t="shared" si="17"/>
        <v>62410000</v>
      </c>
    </row>
    <row r="662" spans="1:8" ht="11.25" x14ac:dyDescent="0.2">
      <c r="A662" s="654">
        <v>62420000</v>
      </c>
      <c r="B662" s="655" t="s">
        <v>10041</v>
      </c>
      <c r="C662" s="656">
        <v>0</v>
      </c>
      <c r="D662" s="656">
        <v>420</v>
      </c>
      <c r="E662" s="656">
        <v>0</v>
      </c>
      <c r="F662" s="656">
        <v>420</v>
      </c>
      <c r="G662" s="656">
        <v>420</v>
      </c>
      <c r="H662" s="305">
        <f t="shared" si="17"/>
        <v>62420000</v>
      </c>
    </row>
    <row r="663" spans="1:8" ht="11.25" x14ac:dyDescent="0.2">
      <c r="A663" s="654">
        <v>62430000</v>
      </c>
      <c r="B663" s="655" t="s">
        <v>10042</v>
      </c>
      <c r="C663" s="656">
        <v>0</v>
      </c>
      <c r="D663" s="656">
        <v>1065608.9370000002</v>
      </c>
      <c r="E663" s="656">
        <v>18320.150000000001</v>
      </c>
      <c r="F663" s="656">
        <v>1047288.7870000001</v>
      </c>
      <c r="G663" s="656">
        <v>1047288.7870000001</v>
      </c>
      <c r="H663" s="305">
        <f t="shared" si="17"/>
        <v>62430000</v>
      </c>
    </row>
    <row r="664" spans="1:8" ht="11.25" x14ac:dyDescent="0.2">
      <c r="A664" s="654">
        <v>62500000</v>
      </c>
      <c r="B664" s="655" t="s">
        <v>10043</v>
      </c>
      <c r="C664" s="656">
        <v>0</v>
      </c>
      <c r="D664" s="656">
        <v>6975.5169999999998</v>
      </c>
      <c r="E664" s="656">
        <v>2039.8370000000002</v>
      </c>
      <c r="F664" s="656">
        <v>4935.6799999999994</v>
      </c>
      <c r="G664" s="656">
        <v>4935.6799999999994</v>
      </c>
      <c r="H664" s="305">
        <f t="shared" si="17"/>
        <v>62500000</v>
      </c>
    </row>
    <row r="665" spans="1:8" ht="11.25" x14ac:dyDescent="0.2">
      <c r="A665" s="654">
        <v>62510000</v>
      </c>
      <c r="B665" s="655" t="s">
        <v>10044</v>
      </c>
      <c r="C665" s="656">
        <v>0</v>
      </c>
      <c r="D665" s="656">
        <v>188541.99</v>
      </c>
      <c r="E665" s="656">
        <v>0</v>
      </c>
      <c r="F665" s="656">
        <v>188541.99</v>
      </c>
      <c r="G665" s="656">
        <v>188541.99</v>
      </c>
      <c r="H665" s="305">
        <f t="shared" si="17"/>
        <v>62510000</v>
      </c>
    </row>
    <row r="666" spans="1:8" ht="11.25" x14ac:dyDescent="0.2">
      <c r="A666" s="654">
        <v>62520000</v>
      </c>
      <c r="B666" s="655" t="s">
        <v>10045</v>
      </c>
      <c r="C666" s="656">
        <v>0</v>
      </c>
      <c r="D666" s="656">
        <v>5179.3999999999996</v>
      </c>
      <c r="E666" s="656">
        <v>0</v>
      </c>
      <c r="F666" s="656">
        <v>5179.3999999999996</v>
      </c>
      <c r="G666" s="656">
        <v>5179.3999999999996</v>
      </c>
      <c r="H666" s="305">
        <f t="shared" si="17"/>
        <v>62520000</v>
      </c>
    </row>
    <row r="667" spans="1:8" ht="11.25" x14ac:dyDescent="0.2">
      <c r="A667" s="654">
        <v>62570000</v>
      </c>
      <c r="B667" s="655" t="s">
        <v>10046</v>
      </c>
      <c r="C667" s="656">
        <v>0</v>
      </c>
      <c r="D667" s="656">
        <v>168515.89300000001</v>
      </c>
      <c r="E667" s="656">
        <v>1511.9429999999998</v>
      </c>
      <c r="F667" s="656">
        <v>167003.95000000001</v>
      </c>
      <c r="G667" s="656">
        <v>167003.95000000001</v>
      </c>
      <c r="H667" s="305">
        <f t="shared" si="17"/>
        <v>62570000</v>
      </c>
    </row>
    <row r="668" spans="1:8" ht="11.25" x14ac:dyDescent="0.2">
      <c r="A668" s="654">
        <v>62571000</v>
      </c>
      <c r="B668" s="655" t="s">
        <v>10047</v>
      </c>
      <c r="C668" s="656">
        <v>0</v>
      </c>
      <c r="D668" s="656">
        <v>17653.296000000002</v>
      </c>
      <c r="E668" s="656">
        <v>0</v>
      </c>
      <c r="F668" s="656">
        <v>17653.296000000002</v>
      </c>
      <c r="G668" s="656">
        <v>17653.296000000002</v>
      </c>
      <c r="H668" s="305">
        <f t="shared" si="17"/>
        <v>62571000</v>
      </c>
    </row>
    <row r="669" spans="1:8" ht="11.25" x14ac:dyDescent="0.2">
      <c r="A669" s="654">
        <v>62572000</v>
      </c>
      <c r="B669" s="655" t="s">
        <v>10048</v>
      </c>
      <c r="C669" s="656">
        <v>0</v>
      </c>
      <c r="D669" s="656">
        <v>31618.665000000001</v>
      </c>
      <c r="E669" s="656">
        <v>0</v>
      </c>
      <c r="F669" s="656">
        <v>31618.665000000001</v>
      </c>
      <c r="G669" s="656">
        <v>31618.665000000001</v>
      </c>
      <c r="H669" s="305">
        <f t="shared" si="17"/>
        <v>62572000</v>
      </c>
    </row>
    <row r="670" spans="1:8" ht="11.25" x14ac:dyDescent="0.2">
      <c r="A670" s="654">
        <v>62573000</v>
      </c>
      <c r="B670" s="655" t="s">
        <v>10049</v>
      </c>
      <c r="C670" s="656">
        <v>0</v>
      </c>
      <c r="D670" s="656">
        <v>2048.7150000000001</v>
      </c>
      <c r="E670" s="656">
        <v>0</v>
      </c>
      <c r="F670" s="656">
        <v>2048.7150000000001</v>
      </c>
      <c r="G670" s="656">
        <v>2048.7150000000001</v>
      </c>
      <c r="H670" s="305">
        <f t="shared" si="17"/>
        <v>62573000</v>
      </c>
    </row>
    <row r="671" spans="1:8" ht="11.25" x14ac:dyDescent="0.2">
      <c r="A671" s="654">
        <v>62580000</v>
      </c>
      <c r="B671" s="655" t="s">
        <v>10050</v>
      </c>
      <c r="C671" s="656">
        <v>0</v>
      </c>
      <c r="D671" s="656">
        <v>8799.8310000000001</v>
      </c>
      <c r="E671" s="656">
        <v>0</v>
      </c>
      <c r="F671" s="656">
        <v>8799.8310000000001</v>
      </c>
      <c r="G671" s="656">
        <v>8799.8310000000001</v>
      </c>
      <c r="H671" s="305">
        <f t="shared" si="17"/>
        <v>62580000</v>
      </c>
    </row>
    <row r="672" spans="1:8" ht="11.25" x14ac:dyDescent="0.2">
      <c r="A672" s="654">
        <v>62600000</v>
      </c>
      <c r="B672" s="655" t="s">
        <v>10051</v>
      </c>
      <c r="C672" s="656">
        <v>0</v>
      </c>
      <c r="D672" s="656">
        <v>39303.992000000006</v>
      </c>
      <c r="E672" s="656">
        <v>0</v>
      </c>
      <c r="F672" s="656">
        <v>39303.992000000006</v>
      </c>
      <c r="G672" s="656">
        <v>39303.992000000006</v>
      </c>
      <c r="H672" s="305">
        <f t="shared" si="17"/>
        <v>62600000</v>
      </c>
    </row>
    <row r="673" spans="1:8" ht="11.25" x14ac:dyDescent="0.2">
      <c r="A673" s="654">
        <v>62780000</v>
      </c>
      <c r="B673" s="655" t="s">
        <v>10052</v>
      </c>
      <c r="C673" s="656">
        <v>0</v>
      </c>
      <c r="D673" s="656">
        <v>256339.30800000002</v>
      </c>
      <c r="E673" s="656">
        <v>250.798</v>
      </c>
      <c r="F673" s="656">
        <v>256088.51</v>
      </c>
      <c r="G673" s="656">
        <v>256088.51</v>
      </c>
      <c r="H673" s="305">
        <f t="shared" si="17"/>
        <v>62780000</v>
      </c>
    </row>
    <row r="674" spans="1:8" ht="11.25" x14ac:dyDescent="0.2">
      <c r="A674" s="654">
        <v>63601000</v>
      </c>
      <c r="B674" s="655" t="s">
        <v>10053</v>
      </c>
      <c r="C674" s="656">
        <v>0</v>
      </c>
      <c r="D674" s="656">
        <v>59805.360999999997</v>
      </c>
      <c r="E674" s="656">
        <v>18454.945</v>
      </c>
      <c r="F674" s="656">
        <v>41350.415999999997</v>
      </c>
      <c r="G674" s="656">
        <v>41350.415999999997</v>
      </c>
      <c r="H674" s="305">
        <f t="shared" si="17"/>
        <v>63601000</v>
      </c>
    </row>
    <row r="675" spans="1:8" ht="11.25" x14ac:dyDescent="0.2">
      <c r="A675" s="654">
        <v>63602000</v>
      </c>
      <c r="B675" s="655" t="s">
        <v>10054</v>
      </c>
      <c r="C675" s="656">
        <v>0</v>
      </c>
      <c r="D675" s="656">
        <v>72713.184000000008</v>
      </c>
      <c r="E675" s="656">
        <v>52938.670999999995</v>
      </c>
      <c r="F675" s="656">
        <v>19774.513000000014</v>
      </c>
      <c r="G675" s="656">
        <v>19774.513000000014</v>
      </c>
      <c r="H675" s="305">
        <f t="shared" si="17"/>
        <v>63602000</v>
      </c>
    </row>
    <row r="676" spans="1:8" ht="11.25" x14ac:dyDescent="0.2">
      <c r="A676" s="654">
        <v>63610000</v>
      </c>
      <c r="B676" s="655" t="s">
        <v>10055</v>
      </c>
      <c r="C676" s="656">
        <v>0</v>
      </c>
      <c r="D676" s="656">
        <v>9386.0399999999991</v>
      </c>
      <c r="E676" s="656">
        <v>300</v>
      </c>
      <c r="F676" s="656">
        <v>9086.0399999999991</v>
      </c>
      <c r="G676" s="656">
        <v>9086.0399999999991</v>
      </c>
      <c r="H676" s="305">
        <f t="shared" si="17"/>
        <v>63610000</v>
      </c>
    </row>
    <row r="677" spans="1:8" ht="11.25" x14ac:dyDescent="0.2">
      <c r="A677" s="654">
        <v>64001000</v>
      </c>
      <c r="B677" s="655" t="s">
        <v>10056</v>
      </c>
      <c r="C677" s="656">
        <v>0</v>
      </c>
      <c r="D677" s="656">
        <v>4364766.5350000001</v>
      </c>
      <c r="E677" s="656">
        <v>316709.21799999999</v>
      </c>
      <c r="F677" s="656">
        <v>4048057.3170000003</v>
      </c>
      <c r="G677" s="656">
        <v>4048057.3170000003</v>
      </c>
      <c r="H677" s="305">
        <f t="shared" si="17"/>
        <v>64001000</v>
      </c>
    </row>
    <row r="678" spans="1:8" ht="11.25" x14ac:dyDescent="0.2">
      <c r="A678" s="654">
        <v>64280000</v>
      </c>
      <c r="B678" s="655" t="s">
        <v>10057</v>
      </c>
      <c r="C678" s="656">
        <v>0</v>
      </c>
      <c r="D678" s="656">
        <v>39080</v>
      </c>
      <c r="E678" s="656">
        <v>39080</v>
      </c>
      <c r="F678" s="656">
        <v>0</v>
      </c>
      <c r="G678" s="656">
        <v>0</v>
      </c>
      <c r="H678" s="305">
        <f t="shared" si="17"/>
        <v>64280000</v>
      </c>
    </row>
    <row r="679" spans="1:8" ht="11.25" x14ac:dyDescent="0.2">
      <c r="A679" s="654">
        <v>64600100</v>
      </c>
      <c r="B679" s="655" t="s">
        <v>10058</v>
      </c>
      <c r="C679" s="656">
        <v>0</v>
      </c>
      <c r="D679" s="656">
        <v>1686.6510000000003</v>
      </c>
      <c r="E679" s="656">
        <v>247618.065</v>
      </c>
      <c r="F679" s="656">
        <v>-245931.41399999999</v>
      </c>
      <c r="G679" s="656">
        <v>-245931.41399999999</v>
      </c>
      <c r="H679" s="305">
        <f t="shared" si="17"/>
        <v>64600100</v>
      </c>
    </row>
    <row r="680" spans="1:8" ht="11.25" x14ac:dyDescent="0.2">
      <c r="A680" s="654">
        <v>64603000</v>
      </c>
      <c r="B680" s="655" t="s">
        <v>10059</v>
      </c>
      <c r="C680" s="656">
        <v>0</v>
      </c>
      <c r="D680" s="656">
        <v>31647.25</v>
      </c>
      <c r="E680" s="656">
        <v>0</v>
      </c>
      <c r="F680" s="656">
        <v>31647.25</v>
      </c>
      <c r="G680" s="656">
        <v>31647.25</v>
      </c>
      <c r="H680" s="305">
        <f t="shared" si="17"/>
        <v>64603000</v>
      </c>
    </row>
    <row r="681" spans="1:8" ht="11.25" x14ac:dyDescent="0.2">
      <c r="A681" s="654">
        <v>64720000</v>
      </c>
      <c r="B681" s="655" t="s">
        <v>10060</v>
      </c>
      <c r="C681" s="656">
        <v>0</v>
      </c>
      <c r="D681" s="656">
        <v>346024.56399999995</v>
      </c>
      <c r="E681" s="656">
        <v>21778.701000000001</v>
      </c>
      <c r="F681" s="656">
        <v>324245.86299999995</v>
      </c>
      <c r="G681" s="656">
        <v>324245.86299999995</v>
      </c>
      <c r="H681" s="305">
        <f t="shared" si="17"/>
        <v>64720000</v>
      </c>
    </row>
    <row r="682" spans="1:8" ht="11.25" x14ac:dyDescent="0.2">
      <c r="A682" s="654">
        <v>65110000</v>
      </c>
      <c r="B682" s="655" t="s">
        <v>10061</v>
      </c>
      <c r="C682" s="656">
        <v>0</v>
      </c>
      <c r="D682" s="656">
        <v>274494.43799999997</v>
      </c>
      <c r="E682" s="656">
        <v>84401.901999999987</v>
      </c>
      <c r="F682" s="656">
        <v>190092.53599999996</v>
      </c>
      <c r="G682" s="656">
        <v>190092.53599999996</v>
      </c>
      <c r="H682" s="305">
        <f t="shared" si="17"/>
        <v>65110000</v>
      </c>
    </row>
    <row r="683" spans="1:8" ht="11.25" x14ac:dyDescent="0.2">
      <c r="A683" s="654">
        <v>65110200</v>
      </c>
      <c r="B683" s="655" t="s">
        <v>10062</v>
      </c>
      <c r="C683" s="656">
        <v>0</v>
      </c>
      <c r="D683" s="656">
        <v>514531.408</v>
      </c>
      <c r="E683" s="656">
        <v>0</v>
      </c>
      <c r="F683" s="656">
        <v>514531.408</v>
      </c>
      <c r="G683" s="656">
        <v>514531.408</v>
      </c>
      <c r="H683" s="305">
        <f t="shared" si="17"/>
        <v>65110200</v>
      </c>
    </row>
    <row r="684" spans="1:8" ht="11.25" x14ac:dyDescent="0.2">
      <c r="A684" s="654">
        <v>65110400</v>
      </c>
      <c r="B684" s="655" t="s">
        <v>10063</v>
      </c>
      <c r="C684" s="656">
        <v>0</v>
      </c>
      <c r="D684" s="656">
        <v>790035.99900000007</v>
      </c>
      <c r="E684" s="656">
        <v>0</v>
      </c>
      <c r="F684" s="656">
        <v>790035.99900000007</v>
      </c>
      <c r="G684" s="656">
        <v>790035.99900000007</v>
      </c>
      <c r="H684" s="305">
        <f t="shared" si="17"/>
        <v>65110400</v>
      </c>
    </row>
    <row r="685" spans="1:8" ht="11.25" x14ac:dyDescent="0.2">
      <c r="A685" s="654">
        <v>65115000</v>
      </c>
      <c r="B685" s="655" t="s">
        <v>10064</v>
      </c>
      <c r="C685" s="656">
        <v>0</v>
      </c>
      <c r="D685" s="656">
        <v>66086.414000000004</v>
      </c>
      <c r="E685" s="656">
        <v>2060.0309999999999</v>
      </c>
      <c r="F685" s="656">
        <v>64026.383000000002</v>
      </c>
      <c r="G685" s="656">
        <v>64026.383000000002</v>
      </c>
      <c r="H685" s="305">
        <f t="shared" ref="H685:H707" si="18">VLOOKUP($A685,$A$2:$B$357,1,0)</f>
        <v>65115000</v>
      </c>
    </row>
    <row r="686" spans="1:8" ht="11.25" x14ac:dyDescent="0.2">
      <c r="A686" s="654">
        <v>65190000</v>
      </c>
      <c r="B686" s="655" t="s">
        <v>10065</v>
      </c>
      <c r="C686" s="656">
        <v>0</v>
      </c>
      <c r="D686" s="656">
        <v>270439.58899999998</v>
      </c>
      <c r="E686" s="656">
        <v>0</v>
      </c>
      <c r="F686" s="656">
        <v>270439.58899999998</v>
      </c>
      <c r="G686" s="656">
        <v>270439.58899999998</v>
      </c>
      <c r="H686" s="305">
        <f t="shared" si="18"/>
        <v>65190000</v>
      </c>
    </row>
    <row r="687" spans="1:8" ht="11.25" x14ac:dyDescent="0.2">
      <c r="A687" s="654">
        <v>65500000</v>
      </c>
      <c r="B687" s="655" t="s">
        <v>10066</v>
      </c>
      <c r="C687" s="656">
        <v>0</v>
      </c>
      <c r="D687" s="656">
        <v>41060.629999999997</v>
      </c>
      <c r="E687" s="656">
        <v>18900.766</v>
      </c>
      <c r="F687" s="656">
        <v>22159.863999999998</v>
      </c>
      <c r="G687" s="656">
        <v>22159.863999999998</v>
      </c>
      <c r="H687" s="305">
        <f t="shared" si="18"/>
        <v>65500000</v>
      </c>
    </row>
    <row r="688" spans="1:8" ht="11.25" x14ac:dyDescent="0.2">
      <c r="A688" s="654">
        <v>66520000</v>
      </c>
      <c r="B688" s="655" t="s">
        <v>10067</v>
      </c>
      <c r="C688" s="656">
        <v>0</v>
      </c>
      <c r="D688" s="656">
        <v>110027.747</v>
      </c>
      <c r="E688" s="656">
        <v>0</v>
      </c>
      <c r="F688" s="656">
        <v>110027.747</v>
      </c>
      <c r="G688" s="656">
        <v>110027.747</v>
      </c>
      <c r="H688" s="305">
        <f t="shared" si="18"/>
        <v>66520000</v>
      </c>
    </row>
    <row r="689" spans="1:8" ht="11.25" x14ac:dyDescent="0.2">
      <c r="A689" s="654">
        <v>66540000</v>
      </c>
      <c r="B689" s="655" t="s">
        <v>10068</v>
      </c>
      <c r="C689" s="656">
        <v>0</v>
      </c>
      <c r="D689" s="656">
        <v>14781.857</v>
      </c>
      <c r="E689" s="656">
        <v>41</v>
      </c>
      <c r="F689" s="656">
        <v>14740.857</v>
      </c>
      <c r="G689" s="656">
        <v>14740.857</v>
      </c>
      <c r="H689" s="305">
        <f t="shared" si="18"/>
        <v>66540000</v>
      </c>
    </row>
    <row r="690" spans="1:8" ht="11.25" x14ac:dyDescent="0.2">
      <c r="A690" s="654">
        <v>66550000</v>
      </c>
      <c r="B690" s="655" t="s">
        <v>10069</v>
      </c>
      <c r="C690" s="656">
        <v>0</v>
      </c>
      <c r="D690" s="656">
        <v>15097.587</v>
      </c>
      <c r="E690" s="656">
        <v>0</v>
      </c>
      <c r="F690" s="656">
        <v>15097.587</v>
      </c>
      <c r="G690" s="656">
        <v>15097.587</v>
      </c>
      <c r="H690" s="305">
        <f t="shared" si="18"/>
        <v>66550000</v>
      </c>
    </row>
    <row r="691" spans="1:8" ht="11.25" x14ac:dyDescent="0.2">
      <c r="A691" s="654">
        <v>70000000</v>
      </c>
      <c r="B691" s="655" t="s">
        <v>10070</v>
      </c>
      <c r="C691" s="656">
        <v>0</v>
      </c>
      <c r="D691" s="656">
        <v>3021773.4919999996</v>
      </c>
      <c r="E691" s="656">
        <v>32271179.294999998</v>
      </c>
      <c r="F691" s="656">
        <v>-29249405.802999999</v>
      </c>
      <c r="G691" s="656">
        <v>-29249405.802999999</v>
      </c>
      <c r="H691" s="305">
        <f t="shared" si="18"/>
        <v>70000000</v>
      </c>
    </row>
    <row r="692" spans="1:8" ht="11.25" x14ac:dyDescent="0.2">
      <c r="A692" s="654">
        <v>70102000</v>
      </c>
      <c r="B692" s="655" t="s">
        <v>10071</v>
      </c>
      <c r="C692" s="656">
        <v>0</v>
      </c>
      <c r="D692" s="656">
        <v>211188.95199999999</v>
      </c>
      <c r="E692" s="656">
        <v>39117632.605999999</v>
      </c>
      <c r="F692" s="656">
        <v>-38906443.653999999</v>
      </c>
      <c r="G692" s="656">
        <v>-38906443.653999999</v>
      </c>
      <c r="H692" s="305">
        <f t="shared" si="18"/>
        <v>70102000</v>
      </c>
    </row>
    <row r="693" spans="1:8" ht="11.25" x14ac:dyDescent="0.2">
      <c r="A693" s="654">
        <v>70103000</v>
      </c>
      <c r="B693" s="655" t="s">
        <v>10072</v>
      </c>
      <c r="C693" s="656">
        <v>0</v>
      </c>
      <c r="D693" s="656">
        <v>0</v>
      </c>
      <c r="E693" s="656">
        <v>4225</v>
      </c>
      <c r="F693" s="656">
        <v>-4225</v>
      </c>
      <c r="G693" s="656">
        <v>-4225</v>
      </c>
      <c r="H693" s="305">
        <f t="shared" si="18"/>
        <v>70103000</v>
      </c>
    </row>
    <row r="694" spans="1:8" ht="11.25" x14ac:dyDescent="0.2">
      <c r="A694" s="654">
        <v>70600000</v>
      </c>
      <c r="B694" s="655" t="s">
        <v>10073</v>
      </c>
      <c r="C694" s="656">
        <v>0</v>
      </c>
      <c r="D694" s="656">
        <v>84633.7</v>
      </c>
      <c r="E694" s="656">
        <v>1050987.4540000001</v>
      </c>
      <c r="F694" s="656">
        <v>-966353.75400000019</v>
      </c>
      <c r="G694" s="656">
        <v>-966353.75400000019</v>
      </c>
      <c r="H694" s="305">
        <f t="shared" si="18"/>
        <v>70600000</v>
      </c>
    </row>
    <row r="695" spans="1:8" ht="11.25" x14ac:dyDescent="0.2">
      <c r="A695" s="654">
        <v>70600100</v>
      </c>
      <c r="B695" s="655" t="s">
        <v>10074</v>
      </c>
      <c r="C695" s="656">
        <v>0</v>
      </c>
      <c r="D695" s="656">
        <v>0</v>
      </c>
      <c r="E695" s="656">
        <v>4972.8629999999994</v>
      </c>
      <c r="F695" s="656">
        <v>-4972.8629999999994</v>
      </c>
      <c r="G695" s="656">
        <v>-4972.8629999999994</v>
      </c>
      <c r="H695" s="305">
        <f t="shared" si="18"/>
        <v>70600100</v>
      </c>
    </row>
    <row r="696" spans="1:8" ht="11.25" x14ac:dyDescent="0.2">
      <c r="A696" s="654">
        <v>70600500</v>
      </c>
      <c r="B696" s="655" t="s">
        <v>10075</v>
      </c>
      <c r="C696" s="656">
        <v>0</v>
      </c>
      <c r="D696" s="656">
        <v>38770.517999999996</v>
      </c>
      <c r="E696" s="656">
        <v>60430.23</v>
      </c>
      <c r="F696" s="656">
        <v>-21659.712000000007</v>
      </c>
      <c r="G696" s="656">
        <v>-21659.712000000007</v>
      </c>
      <c r="H696" s="305">
        <f t="shared" si="18"/>
        <v>70600500</v>
      </c>
    </row>
    <row r="697" spans="1:8" ht="11.25" x14ac:dyDescent="0.2">
      <c r="A697" s="654">
        <v>71340000</v>
      </c>
      <c r="B697" s="655" t="s">
        <v>10076</v>
      </c>
      <c r="C697" s="656">
        <v>0</v>
      </c>
      <c r="D697" s="656">
        <v>744393.83599999989</v>
      </c>
      <c r="E697" s="656">
        <v>0</v>
      </c>
      <c r="F697" s="656">
        <v>744393.83599999989</v>
      </c>
      <c r="G697" s="656">
        <v>744393.83599999989</v>
      </c>
      <c r="H697" s="305">
        <f t="shared" si="18"/>
        <v>71340000</v>
      </c>
    </row>
    <row r="698" spans="1:8" ht="11.25" x14ac:dyDescent="0.2">
      <c r="A698" s="654">
        <v>71350000</v>
      </c>
      <c r="B698" s="655" t="s">
        <v>10077</v>
      </c>
      <c r="C698" s="656">
        <v>0</v>
      </c>
      <c r="D698" s="656">
        <v>5109884.3080000002</v>
      </c>
      <c r="E698" s="656">
        <v>0</v>
      </c>
      <c r="F698" s="656">
        <v>5109884.3080000002</v>
      </c>
      <c r="G698" s="656">
        <v>5109884.3080000002</v>
      </c>
      <c r="H698" s="305">
        <f t="shared" si="18"/>
        <v>71350000</v>
      </c>
    </row>
    <row r="699" spans="1:8" ht="11.25" x14ac:dyDescent="0.2">
      <c r="A699" s="654">
        <v>73601000</v>
      </c>
      <c r="B699" s="655" t="s">
        <v>10078</v>
      </c>
      <c r="C699" s="656">
        <v>0</v>
      </c>
      <c r="D699" s="656">
        <v>5547.0590000000002</v>
      </c>
      <c r="E699" s="656">
        <v>74991.596999999994</v>
      </c>
      <c r="F699" s="656">
        <v>-69444.538</v>
      </c>
      <c r="G699" s="656">
        <v>-69444.538</v>
      </c>
      <c r="H699" s="305">
        <f t="shared" si="18"/>
        <v>73601000</v>
      </c>
    </row>
    <row r="700" spans="1:8" ht="11.25" x14ac:dyDescent="0.2">
      <c r="A700" s="654">
        <v>73602000</v>
      </c>
      <c r="B700" s="655" t="s">
        <v>10079</v>
      </c>
      <c r="C700" s="656">
        <v>0</v>
      </c>
      <c r="D700" s="656">
        <v>0</v>
      </c>
      <c r="E700" s="656">
        <v>18848.377</v>
      </c>
      <c r="F700" s="656">
        <v>-18848.377</v>
      </c>
      <c r="G700" s="656">
        <v>-18848.377</v>
      </c>
      <c r="H700" s="305">
        <f t="shared" si="18"/>
        <v>73602000</v>
      </c>
    </row>
    <row r="701" spans="1:8" ht="11.25" x14ac:dyDescent="0.2">
      <c r="A701" s="654">
        <v>74100000</v>
      </c>
      <c r="B701" s="655" t="s">
        <v>10080</v>
      </c>
      <c r="C701" s="656">
        <v>0</v>
      </c>
      <c r="D701" s="656">
        <v>0</v>
      </c>
      <c r="E701" s="656">
        <v>5128.4340000000002</v>
      </c>
      <c r="F701" s="656">
        <v>-5128.4340000000002</v>
      </c>
      <c r="G701" s="656">
        <v>-5128.4340000000002</v>
      </c>
      <c r="H701" s="305">
        <f t="shared" si="18"/>
        <v>74100000</v>
      </c>
    </row>
    <row r="702" spans="1:8" ht="11.25" x14ac:dyDescent="0.2">
      <c r="A702" s="654">
        <v>75000000</v>
      </c>
      <c r="B702" s="655" t="s">
        <v>10081</v>
      </c>
      <c r="C702" s="656">
        <v>0</v>
      </c>
      <c r="D702" s="656">
        <v>0</v>
      </c>
      <c r="E702" s="656">
        <v>1074.4860000000001</v>
      </c>
      <c r="F702" s="656">
        <v>-1074.4860000000001</v>
      </c>
      <c r="G702" s="656">
        <v>-1074.4860000000001</v>
      </c>
      <c r="H702" s="305">
        <f t="shared" si="18"/>
        <v>75000000</v>
      </c>
    </row>
    <row r="703" spans="1:8" ht="11.25" x14ac:dyDescent="0.2">
      <c r="A703" s="654">
        <v>75600000</v>
      </c>
      <c r="B703" s="655" t="s">
        <v>10082</v>
      </c>
      <c r="C703" s="656">
        <v>0</v>
      </c>
      <c r="D703" s="656">
        <v>1E-3</v>
      </c>
      <c r="E703" s="656">
        <v>11478.505000000001</v>
      </c>
      <c r="F703" s="656">
        <v>-11478.504000000001</v>
      </c>
      <c r="G703" s="656">
        <v>-11478.504000000001</v>
      </c>
      <c r="H703" s="305">
        <f t="shared" si="18"/>
        <v>75600000</v>
      </c>
    </row>
    <row r="704" spans="1:8" ht="11.25" x14ac:dyDescent="0.2">
      <c r="A704" s="654">
        <v>77000000</v>
      </c>
      <c r="B704" s="655" t="s">
        <v>10083</v>
      </c>
      <c r="C704" s="656">
        <v>0</v>
      </c>
      <c r="D704" s="656">
        <v>0</v>
      </c>
      <c r="E704" s="656">
        <v>1</v>
      </c>
      <c r="F704" s="656">
        <v>-1</v>
      </c>
      <c r="G704" s="656">
        <v>-1</v>
      </c>
      <c r="H704" s="305">
        <f t="shared" si="18"/>
        <v>77000000</v>
      </c>
    </row>
    <row r="705" spans="1:8" ht="11.25" x14ac:dyDescent="0.2">
      <c r="A705" s="654">
        <v>78000000</v>
      </c>
      <c r="B705" s="655" t="s">
        <v>10084</v>
      </c>
      <c r="C705" s="656">
        <v>0</v>
      </c>
      <c r="D705" s="656">
        <v>0</v>
      </c>
      <c r="E705" s="656">
        <v>59797.479000000007</v>
      </c>
      <c r="F705" s="656">
        <v>-59797.479000000007</v>
      </c>
      <c r="G705" s="656">
        <v>-59797.479000000007</v>
      </c>
      <c r="H705" s="305">
        <f t="shared" si="18"/>
        <v>78000000</v>
      </c>
    </row>
    <row r="706" spans="1:8" ht="11.25" x14ac:dyDescent="0.2">
      <c r="A706" s="654">
        <v>79999999</v>
      </c>
      <c r="B706" s="655" t="s">
        <v>10085</v>
      </c>
      <c r="C706" s="656">
        <v>-2.6040943339467049E-4</v>
      </c>
      <c r="D706" s="656">
        <v>0</v>
      </c>
      <c r="E706" s="656">
        <v>0</v>
      </c>
      <c r="F706" s="656">
        <v>0</v>
      </c>
      <c r="G706" s="656">
        <v>-2.6040943339467049E-4</v>
      </c>
      <c r="H706" s="305" t="e">
        <f t="shared" si="18"/>
        <v>#N/A</v>
      </c>
    </row>
    <row r="707" spans="1:8" ht="12.75" x14ac:dyDescent="0.2">
      <c r="A707" s="654" t="s">
        <v>10086</v>
      </c>
      <c r="B707" s="657" t="s">
        <v>10087</v>
      </c>
      <c r="C707" s="656">
        <f>SUM(C365:C706)</f>
        <v>5.9490511193871498E-4</v>
      </c>
      <c r="D707" s="656">
        <f t="shared" ref="D707:G707" si="19">SUM(D365:D706)</f>
        <v>508193828.02502227</v>
      </c>
      <c r="E707" s="656">
        <f t="shared" si="19"/>
        <v>508193828.02502221</v>
      </c>
      <c r="F707" s="656">
        <f t="shared" si="19"/>
        <v>-3.9159203879535198E-8</v>
      </c>
      <c r="G707" s="656">
        <f t="shared" si="19"/>
        <v>5.948631587671116E-4</v>
      </c>
      <c r="H707" s="305" t="e">
        <f t="shared" si="18"/>
        <v>#N/A</v>
      </c>
    </row>
  </sheetData>
  <autoFilter ref="A2:N360" xr:uid="{00000000-0009-0000-0000-00001F000000}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filterMode="1"/>
  <dimension ref="A2:P359"/>
  <sheetViews>
    <sheetView workbookViewId="0">
      <pane ySplit="2" topLeftCell="A3" activePane="bottomLeft" state="frozen"/>
      <selection activeCell="A2" sqref="A2"/>
      <selection pane="bottomLeft" activeCell="D15" sqref="D15"/>
    </sheetView>
  </sheetViews>
  <sheetFormatPr baseColWidth="10" defaultRowHeight="15" x14ac:dyDescent="0.25"/>
  <cols>
    <col min="1" max="1" width="11.5703125" customWidth="1"/>
    <col min="2" max="2" width="28.140625" style="302" customWidth="1"/>
    <col min="3" max="3" width="14.42578125" style="305" bestFit="1" customWidth="1"/>
    <col min="4" max="4" width="16.7109375" style="305" customWidth="1"/>
    <col min="5" max="5" width="16.85546875" style="305" customWidth="1"/>
    <col min="6" max="6" width="15.42578125" style="305" customWidth="1"/>
    <col min="7" max="7" width="14.42578125" style="305" bestFit="1" customWidth="1"/>
    <col min="8" max="8" width="12.7109375" style="305" bestFit="1" customWidth="1"/>
    <col min="9" max="9" width="12.7109375" style="604" bestFit="1" customWidth="1"/>
    <col min="10" max="10" width="25.5703125" style="302" customWidth="1"/>
    <col min="11" max="11" width="16.7109375" style="302" customWidth="1"/>
    <col min="12" max="12" width="11.42578125" style="302"/>
    <col min="13" max="13" width="14.140625" style="302" bestFit="1" customWidth="1"/>
    <col min="14" max="16384" width="11.42578125" style="302"/>
  </cols>
  <sheetData>
    <row r="2" spans="1:16" ht="11.25" x14ac:dyDescent="0.2">
      <c r="A2" s="6" t="s">
        <v>1</v>
      </c>
      <c r="B2" s="6" t="s">
        <v>0</v>
      </c>
      <c r="C2" s="7" t="s">
        <v>5</v>
      </c>
      <c r="D2" s="7" t="s">
        <v>2</v>
      </c>
      <c r="E2" s="7" t="s">
        <v>260</v>
      </c>
      <c r="F2" s="7" t="s">
        <v>218</v>
      </c>
      <c r="G2" s="7" t="s">
        <v>219</v>
      </c>
      <c r="H2" s="7" t="s">
        <v>6</v>
      </c>
      <c r="I2" s="7" t="s">
        <v>217</v>
      </c>
      <c r="J2" s="6" t="s">
        <v>412</v>
      </c>
    </row>
    <row r="3" spans="1:16" s="9" customFormat="1" ht="11.25" hidden="1" customHeight="1" x14ac:dyDescent="0.2">
      <c r="A3" s="10">
        <v>10100000</v>
      </c>
      <c r="B3" s="10" t="s">
        <v>7</v>
      </c>
      <c r="C3" s="11">
        <v>-13500000</v>
      </c>
      <c r="D3" s="11">
        <v>0</v>
      </c>
      <c r="E3" s="11">
        <v>0</v>
      </c>
      <c r="F3" s="13">
        <f>SUMIF('OD 12-24'!A:A,A3,'OD 12-24'!D:D)</f>
        <v>0</v>
      </c>
      <c r="G3" s="13">
        <f>SUMIF('OD 12-24'!A:A,A3,'OD 12-24'!E:E)</f>
        <v>0</v>
      </c>
      <c r="H3" s="14">
        <f t="shared" ref="H3:H66" si="0">+D3+F3-E3-G3</f>
        <v>0</v>
      </c>
      <c r="I3" s="14">
        <f t="shared" ref="I3:I66" si="1">+H3+C3</f>
        <v>-13500000</v>
      </c>
      <c r="J3" s="8" t="s">
        <v>8</v>
      </c>
      <c r="K3" s="8"/>
      <c r="L3" s="9" t="s">
        <v>10090</v>
      </c>
      <c r="M3" s="339"/>
      <c r="N3" s="315"/>
      <c r="O3" s="339"/>
      <c r="P3" s="339"/>
    </row>
    <row r="4" spans="1:16" s="9" customFormat="1" ht="11.25" hidden="1" customHeight="1" x14ac:dyDescent="0.2">
      <c r="A4" s="10">
        <v>11101000</v>
      </c>
      <c r="B4" s="10" t="s">
        <v>9</v>
      </c>
      <c r="C4" s="11">
        <v>-1200000</v>
      </c>
      <c r="D4" s="11">
        <v>0</v>
      </c>
      <c r="E4" s="11">
        <v>0</v>
      </c>
      <c r="F4" s="13">
        <f>SUMIF('OD 12-24'!A:A,A4,'OD 12-24'!D:D)</f>
        <v>0</v>
      </c>
      <c r="G4" s="13">
        <f>SUMIF('OD 12-24'!A:A,A4,'OD 12-24'!E:E)</f>
        <v>0</v>
      </c>
      <c r="H4" s="14">
        <f t="shared" si="0"/>
        <v>0</v>
      </c>
      <c r="I4" s="14">
        <f t="shared" si="1"/>
        <v>-1200000</v>
      </c>
      <c r="J4" s="8" t="s">
        <v>10</v>
      </c>
      <c r="K4" s="8"/>
      <c r="L4" s="9">
        <v>0</v>
      </c>
      <c r="M4" s="339"/>
      <c r="N4" s="315"/>
      <c r="O4" s="339"/>
      <c r="P4" s="339"/>
    </row>
    <row r="5" spans="1:16" s="9" customFormat="1" ht="11.25" hidden="1" customHeight="1" x14ac:dyDescent="0.2">
      <c r="A5" s="10">
        <v>12100000</v>
      </c>
      <c r="B5" s="10" t="s">
        <v>11</v>
      </c>
      <c r="C5" s="11">
        <v>-22014748.229807556</v>
      </c>
      <c r="D5" s="11">
        <v>0</v>
      </c>
      <c r="E5" s="11">
        <v>0</v>
      </c>
      <c r="F5" s="13">
        <f>SUMIF('OD 12-24'!A:A,A5,'OD 12-24'!D:D)</f>
        <v>0</v>
      </c>
      <c r="G5" s="13">
        <f>SUMIF('OD 12-24'!A:A,A5,'OD 12-24'!E:E)</f>
        <v>0</v>
      </c>
      <c r="H5" s="14">
        <f t="shared" si="0"/>
        <v>0</v>
      </c>
      <c r="I5" s="14">
        <f t="shared" si="1"/>
        <v>-22014748.229807556</v>
      </c>
      <c r="J5" s="8" t="s">
        <v>12</v>
      </c>
      <c r="K5" s="8"/>
      <c r="L5" s="9">
        <v>0</v>
      </c>
      <c r="M5" s="339"/>
      <c r="N5" s="315"/>
      <c r="O5" s="339"/>
      <c r="P5" s="339"/>
    </row>
    <row r="6" spans="1:16" s="9" customFormat="1" ht="11.25" hidden="1" customHeight="1" x14ac:dyDescent="0.2">
      <c r="A6" s="10">
        <v>12200000</v>
      </c>
      <c r="B6" s="10" t="s">
        <v>272</v>
      </c>
      <c r="C6" s="11">
        <v>0</v>
      </c>
      <c r="D6" s="11">
        <v>0</v>
      </c>
      <c r="E6" s="11">
        <v>0</v>
      </c>
      <c r="F6" s="13">
        <f>SUMIF('OD 12-24'!A:A,A6,'OD 12-24'!D:D)</f>
        <v>0</v>
      </c>
      <c r="G6" s="13">
        <f>SUMIF('OD 12-24'!A:A,A6,'OD 12-24'!E:E)</f>
        <v>0</v>
      </c>
      <c r="H6" s="14">
        <f t="shared" si="0"/>
        <v>0</v>
      </c>
      <c r="I6" s="14">
        <f t="shared" si="1"/>
        <v>0</v>
      </c>
      <c r="J6" s="8"/>
      <c r="K6" s="8"/>
      <c r="L6" s="9">
        <v>0</v>
      </c>
      <c r="M6" s="339"/>
      <c r="N6" s="315"/>
      <c r="O6" s="339"/>
      <c r="P6" s="339"/>
    </row>
    <row r="7" spans="1:16" s="9" customFormat="1" ht="11.25" hidden="1" customHeight="1" x14ac:dyDescent="0.2">
      <c r="A7" s="10">
        <v>12800000</v>
      </c>
      <c r="B7" s="10" t="s">
        <v>13</v>
      </c>
      <c r="C7" s="11">
        <v>3126298.01</v>
      </c>
      <c r="D7" s="11">
        <v>333026.48199999996</v>
      </c>
      <c r="E7" s="11">
        <v>0</v>
      </c>
      <c r="F7" s="13">
        <f>SUMIF('OD 12-24'!A:A,A7,'OD 12-24'!D:D)</f>
        <v>0</v>
      </c>
      <c r="G7" s="13">
        <f>SUMIF('OD 12-24'!A:A,A7,'OD 12-24'!E:E)</f>
        <v>0</v>
      </c>
      <c r="H7" s="14">
        <f t="shared" si="0"/>
        <v>333026.48199999996</v>
      </c>
      <c r="I7" s="14">
        <f t="shared" si="1"/>
        <v>3459324.4919999996</v>
      </c>
      <c r="J7" s="8" t="s">
        <v>14</v>
      </c>
      <c r="K7" s="8"/>
      <c r="L7" s="9">
        <v>0</v>
      </c>
      <c r="M7" s="339"/>
      <c r="N7" s="315"/>
      <c r="O7" s="339"/>
      <c r="P7" s="339"/>
    </row>
    <row r="8" spans="1:16" s="9" customFormat="1" ht="11.25" hidden="1" customHeight="1" x14ac:dyDescent="0.2">
      <c r="A8" s="10">
        <v>13000000</v>
      </c>
      <c r="B8" s="10" t="s">
        <v>273</v>
      </c>
      <c r="C8" s="11">
        <v>0</v>
      </c>
      <c r="D8" s="11">
        <v>0</v>
      </c>
      <c r="E8" s="11">
        <v>0</v>
      </c>
      <c r="F8" s="13">
        <f>SUMIF('OD 12-24'!A:A,A8,'OD 12-24'!D:D)</f>
        <v>0</v>
      </c>
      <c r="G8" s="13">
        <f>SUMIF('OD 12-24'!A:A,A8,'OD 12-24'!E:E)</f>
        <v>0</v>
      </c>
      <c r="H8" s="14">
        <f t="shared" si="0"/>
        <v>0</v>
      </c>
      <c r="I8" s="14">
        <f t="shared" si="1"/>
        <v>0</v>
      </c>
      <c r="J8" s="8"/>
      <c r="K8" s="8"/>
      <c r="L8" s="9">
        <v>0</v>
      </c>
      <c r="M8" s="339"/>
      <c r="N8" s="315"/>
      <c r="O8" s="339"/>
      <c r="P8" s="339"/>
    </row>
    <row r="9" spans="1:16" s="9" customFormat="1" ht="11.25" hidden="1" customHeight="1" x14ac:dyDescent="0.2">
      <c r="A9" s="10">
        <v>14500000</v>
      </c>
      <c r="B9" s="10" t="s">
        <v>15</v>
      </c>
      <c r="C9" s="11">
        <v>-3479108.84</v>
      </c>
      <c r="D9" s="11">
        <v>0</v>
      </c>
      <c r="E9" s="11">
        <v>0</v>
      </c>
      <c r="F9" s="13">
        <f>SUMIF('OD 12-24'!A:A,A9,'OD 12-24'!D:D)</f>
        <v>0</v>
      </c>
      <c r="G9" s="13">
        <f>SUMIF('OD 12-24'!A:A,A9,'OD 12-24'!E:E)</f>
        <v>0</v>
      </c>
      <c r="H9" s="14">
        <f t="shared" si="0"/>
        <v>0</v>
      </c>
      <c r="I9" s="14">
        <f t="shared" si="1"/>
        <v>-3479108.84</v>
      </c>
      <c r="J9" s="8" t="s">
        <v>16</v>
      </c>
      <c r="K9" s="8"/>
      <c r="L9" s="9" t="s">
        <v>10091</v>
      </c>
      <c r="M9" s="339"/>
      <c r="N9" s="315"/>
      <c r="O9" s="339"/>
      <c r="P9" s="339"/>
    </row>
    <row r="10" spans="1:16" s="9" customFormat="1" ht="11.25" hidden="1" customHeight="1" x14ac:dyDescent="0.2">
      <c r="A10" s="10">
        <v>14508000</v>
      </c>
      <c r="B10" s="10" t="s">
        <v>17</v>
      </c>
      <c r="C10" s="11">
        <v>2662861.7680000002</v>
      </c>
      <c r="D10" s="11">
        <v>0</v>
      </c>
      <c r="E10" s="11">
        <v>0</v>
      </c>
      <c r="F10" s="13">
        <f>SUMIF('OD 12-24'!A:A,A10,'OD 12-24'!D:D)</f>
        <v>1582028.689</v>
      </c>
      <c r="G10" s="13">
        <f>SUMIF('OD 12-24'!A:A,A10,'OD 12-24'!E:E)</f>
        <v>1338639.6599999999</v>
      </c>
      <c r="H10" s="14">
        <f t="shared" si="0"/>
        <v>243389.0290000001</v>
      </c>
      <c r="I10" s="14">
        <f t="shared" si="1"/>
        <v>2906250.7970000003</v>
      </c>
      <c r="J10" s="8" t="s">
        <v>18</v>
      </c>
      <c r="K10" s="8"/>
      <c r="L10" s="9">
        <v>0</v>
      </c>
      <c r="M10" s="339"/>
      <c r="N10" s="315"/>
      <c r="O10" s="339"/>
      <c r="P10" s="339"/>
    </row>
    <row r="11" spans="1:16" s="9" customFormat="1" ht="11.25" hidden="1" customHeight="1" x14ac:dyDescent="0.2">
      <c r="A11" s="10">
        <v>15100000</v>
      </c>
      <c r="B11" s="10" t="s">
        <v>19</v>
      </c>
      <c r="C11" s="11">
        <v>-231535.016</v>
      </c>
      <c r="D11" s="11">
        <v>4090.3909999999996</v>
      </c>
      <c r="E11" s="11">
        <v>0</v>
      </c>
      <c r="F11" s="13">
        <f>SUMIF('OD 12-24'!A:A,A11,'OD 12-24'!D:D)</f>
        <v>420000</v>
      </c>
      <c r="G11" s="13">
        <f>SUMIF('OD 12-24'!A:A,A11,'OD 12-24'!E:E)</f>
        <v>540000</v>
      </c>
      <c r="H11" s="14">
        <f t="shared" si="0"/>
        <v>-115909.609</v>
      </c>
      <c r="I11" s="14">
        <f t="shared" si="1"/>
        <v>-347444.625</v>
      </c>
      <c r="J11" s="8" t="s">
        <v>20</v>
      </c>
      <c r="K11" s="8"/>
      <c r="L11" s="9" t="s">
        <v>10092</v>
      </c>
      <c r="M11" s="339"/>
      <c r="N11" s="315"/>
      <c r="O11" s="339"/>
      <c r="P11" s="339"/>
    </row>
    <row r="12" spans="1:16" s="9" customFormat="1" ht="11.25" hidden="1" customHeight="1" x14ac:dyDescent="0.2">
      <c r="A12" s="10">
        <v>16210250</v>
      </c>
      <c r="B12" s="10" t="s">
        <v>274</v>
      </c>
      <c r="C12" s="11">
        <v>0</v>
      </c>
      <c r="D12" s="11">
        <v>0</v>
      </c>
      <c r="E12" s="11">
        <v>0</v>
      </c>
      <c r="F12" s="13">
        <f>SUMIF('OD 12-24'!A:A,A12,'OD 12-24'!D:D)</f>
        <v>0</v>
      </c>
      <c r="G12" s="13">
        <f>SUMIF('OD 12-24'!A:A,A12,'OD 12-24'!E:E)</f>
        <v>0</v>
      </c>
      <c r="H12" s="14">
        <f t="shared" si="0"/>
        <v>0</v>
      </c>
      <c r="I12" s="14">
        <f t="shared" si="1"/>
        <v>0</v>
      </c>
      <c r="J12" s="8"/>
      <c r="K12" s="8"/>
      <c r="L12" s="9">
        <v>0</v>
      </c>
      <c r="M12" s="339"/>
      <c r="N12" s="315"/>
      <c r="O12" s="339"/>
      <c r="P12" s="339"/>
    </row>
    <row r="13" spans="1:16" s="9" customFormat="1" ht="11.25" customHeight="1" x14ac:dyDescent="0.2">
      <c r="A13" s="10">
        <v>16210500</v>
      </c>
      <c r="B13" s="10" t="s">
        <v>21</v>
      </c>
      <c r="C13" s="11">
        <v>-1416666.6629999988</v>
      </c>
      <c r="D13" s="11">
        <v>0</v>
      </c>
      <c r="E13" s="11">
        <v>700000</v>
      </c>
      <c r="F13" s="13">
        <f>SUMIF('OD 12-24'!A:A,A13,'OD 12-24'!D:D)</f>
        <v>586666</v>
      </c>
      <c r="G13" s="13">
        <f>SUMIF('OD 12-24'!A:A,A13,'OD 12-24'!E:E)</f>
        <v>0</v>
      </c>
      <c r="H13" s="14">
        <f t="shared" si="0"/>
        <v>-113334</v>
      </c>
      <c r="I13" s="14">
        <f t="shared" si="1"/>
        <v>-1530000.6629999988</v>
      </c>
      <c r="J13" s="8" t="s">
        <v>22</v>
      </c>
      <c r="K13" s="8"/>
      <c r="L13" s="9" t="s">
        <v>10093</v>
      </c>
      <c r="M13" s="339"/>
      <c r="N13" s="315"/>
      <c r="O13" s="339"/>
      <c r="P13" s="339"/>
    </row>
    <row r="14" spans="1:16" s="9" customFormat="1" ht="11.25" hidden="1" customHeight="1" x14ac:dyDescent="0.2">
      <c r="A14" s="10">
        <v>16210960</v>
      </c>
      <c r="B14" s="10" t="s">
        <v>275</v>
      </c>
      <c r="C14" s="11">
        <v>0</v>
      </c>
      <c r="D14" s="11">
        <v>0</v>
      </c>
      <c r="E14" s="11">
        <v>0</v>
      </c>
      <c r="F14" s="13">
        <f>SUMIF('OD 12-24'!A:A,A14,'OD 12-24'!D:D)</f>
        <v>0</v>
      </c>
      <c r="G14" s="13">
        <f>SUMIF('OD 12-24'!A:A,A14,'OD 12-24'!E:E)</f>
        <v>0</v>
      </c>
      <c r="H14" s="14">
        <f t="shared" si="0"/>
        <v>0</v>
      </c>
      <c r="I14" s="14">
        <f t="shared" si="1"/>
        <v>0</v>
      </c>
      <c r="J14" s="8"/>
      <c r="K14" s="8"/>
      <c r="L14" s="9">
        <v>0</v>
      </c>
      <c r="M14" s="339"/>
      <c r="N14" s="315"/>
      <c r="O14" s="339"/>
      <c r="P14" s="339"/>
    </row>
    <row r="15" spans="1:16" s="9" customFormat="1" ht="11.25" customHeight="1" x14ac:dyDescent="0.2">
      <c r="A15" s="10">
        <v>16400000</v>
      </c>
      <c r="B15" s="10" t="s">
        <v>276</v>
      </c>
      <c r="C15" s="11">
        <v>-103582.68900000001</v>
      </c>
      <c r="D15" s="11">
        <v>181732.467</v>
      </c>
      <c r="E15" s="11">
        <v>500967.03899999999</v>
      </c>
      <c r="F15" s="13">
        <f>SUMIF('OD 12-24'!A:A,A15,'OD 12-24'!D:D)</f>
        <v>78552.648000000001</v>
      </c>
      <c r="G15" s="13">
        <f>SUMIF('OD 12-24'!A:A,A15,'OD 12-24'!E:E)</f>
        <v>0</v>
      </c>
      <c r="H15" s="14">
        <f t="shared" si="0"/>
        <v>-240681.924</v>
      </c>
      <c r="I15" s="14">
        <f t="shared" si="1"/>
        <v>-344264.61300000001</v>
      </c>
      <c r="J15" s="8" t="s">
        <v>22</v>
      </c>
      <c r="K15" s="8"/>
      <c r="L15" s="9" t="s">
        <v>10093</v>
      </c>
      <c r="M15" s="339"/>
      <c r="N15" s="315"/>
      <c r="O15" s="339"/>
      <c r="P15" s="339"/>
    </row>
    <row r="16" spans="1:16" s="9" customFormat="1" ht="11.25" hidden="1" customHeight="1" x14ac:dyDescent="0.2">
      <c r="A16" s="10">
        <v>18800000</v>
      </c>
      <c r="B16" s="10" t="s">
        <v>23</v>
      </c>
      <c r="C16" s="11">
        <v>0</v>
      </c>
      <c r="D16" s="11">
        <v>0</v>
      </c>
      <c r="E16" s="11">
        <v>0</v>
      </c>
      <c r="F16" s="13">
        <f>SUMIF('OD 12-24'!A:A,A16,'OD 12-24'!D:D)</f>
        <v>0</v>
      </c>
      <c r="G16" s="13">
        <f>SUMIF('OD 12-24'!A:A,A16,'OD 12-24'!E:E)</f>
        <v>0</v>
      </c>
      <c r="H16" s="14">
        <f t="shared" si="0"/>
        <v>0</v>
      </c>
      <c r="I16" s="14">
        <f t="shared" si="1"/>
        <v>0</v>
      </c>
      <c r="J16" s="8"/>
      <c r="K16" s="8"/>
      <c r="L16" s="9">
        <v>0</v>
      </c>
      <c r="M16" s="339"/>
      <c r="N16" s="315"/>
      <c r="O16" s="339"/>
      <c r="P16" s="339"/>
    </row>
    <row r="17" spans="1:16" s="9" customFormat="1" ht="11.25" hidden="1" customHeight="1" x14ac:dyDescent="0.2">
      <c r="A17" s="10">
        <v>21100000</v>
      </c>
      <c r="B17" s="10" t="s">
        <v>277</v>
      </c>
      <c r="C17" s="11">
        <v>0</v>
      </c>
      <c r="D17" s="11">
        <v>0</v>
      </c>
      <c r="E17" s="11">
        <v>0</v>
      </c>
      <c r="F17" s="13">
        <f>SUMIF('OD 12-24'!A:A,A17,'OD 12-24'!D:D)</f>
        <v>0</v>
      </c>
      <c r="G17" s="13">
        <f>SUMIF('OD 12-24'!A:A,A17,'OD 12-24'!E:E)</f>
        <v>0</v>
      </c>
      <c r="H17" s="14">
        <f t="shared" si="0"/>
        <v>0</v>
      </c>
      <c r="I17" s="14">
        <f t="shared" si="1"/>
        <v>0</v>
      </c>
      <c r="J17" s="8"/>
      <c r="K17" s="8"/>
      <c r="L17" s="9">
        <v>0</v>
      </c>
      <c r="M17" s="339"/>
      <c r="N17" s="315"/>
      <c r="O17" s="339"/>
      <c r="P17" s="339"/>
    </row>
    <row r="18" spans="1:16" s="9" customFormat="1" ht="11.25" hidden="1" customHeight="1" x14ac:dyDescent="0.2">
      <c r="A18" s="10">
        <v>21300000</v>
      </c>
      <c r="B18" s="10" t="s">
        <v>24</v>
      </c>
      <c r="C18" s="11">
        <v>93173.926999999996</v>
      </c>
      <c r="D18" s="11">
        <v>53872.780000000006</v>
      </c>
      <c r="E18" s="11">
        <v>34191.4</v>
      </c>
      <c r="F18" s="13">
        <f>SUMIF('OD 12-24'!A:A,A18,'OD 12-24'!D:D)</f>
        <v>42950.400000000001</v>
      </c>
      <c r="G18" s="13">
        <f>SUMIF('OD 12-24'!A:A,A18,'OD 12-24'!E:E)</f>
        <v>42950.400000000001</v>
      </c>
      <c r="H18" s="14">
        <f t="shared" si="0"/>
        <v>19681.380000000005</v>
      </c>
      <c r="I18" s="14">
        <f t="shared" si="1"/>
        <v>112855.307</v>
      </c>
      <c r="J18" s="8" t="s">
        <v>25</v>
      </c>
      <c r="K18" s="8"/>
      <c r="L18" s="9" t="s">
        <v>10095</v>
      </c>
      <c r="M18" s="339"/>
      <c r="N18" s="315"/>
      <c r="O18" s="339"/>
      <c r="P18" s="339"/>
    </row>
    <row r="19" spans="1:16" s="9" customFormat="1" ht="11.25" hidden="1" customHeight="1" x14ac:dyDescent="0.2">
      <c r="A19" s="10">
        <v>22000000</v>
      </c>
      <c r="B19" s="10" t="s">
        <v>278</v>
      </c>
      <c r="C19" s="11">
        <v>0</v>
      </c>
      <c r="D19" s="11">
        <v>0</v>
      </c>
      <c r="E19" s="11">
        <v>0</v>
      </c>
      <c r="F19" s="13">
        <f>SUMIF('OD 12-24'!A:A,A19,'OD 12-24'!D:D)</f>
        <v>0</v>
      </c>
      <c r="G19" s="13">
        <f>SUMIF('OD 12-24'!A:A,A19,'OD 12-24'!E:E)</f>
        <v>0</v>
      </c>
      <c r="H19" s="14">
        <f t="shared" si="0"/>
        <v>0</v>
      </c>
      <c r="I19" s="14">
        <f t="shared" si="1"/>
        <v>0</v>
      </c>
      <c r="J19" s="8"/>
      <c r="K19" s="8"/>
      <c r="L19" s="9">
        <v>0</v>
      </c>
      <c r="M19" s="339"/>
      <c r="N19" s="315"/>
      <c r="O19" s="339"/>
      <c r="P19" s="339"/>
    </row>
    <row r="20" spans="1:16" s="9" customFormat="1" ht="11.25" hidden="1" customHeight="1" x14ac:dyDescent="0.2">
      <c r="A20" s="10">
        <v>22100000</v>
      </c>
      <c r="B20" s="10" t="s">
        <v>26</v>
      </c>
      <c r="C20" s="11">
        <v>1275724</v>
      </c>
      <c r="D20" s="11">
        <v>0</v>
      </c>
      <c r="E20" s="11">
        <v>0</v>
      </c>
      <c r="F20" s="13">
        <f>SUMIF('OD 12-24'!A:A,A20,'OD 12-24'!D:D)</f>
        <v>0</v>
      </c>
      <c r="G20" s="13">
        <f>SUMIF('OD 12-24'!A:A,A20,'OD 12-24'!E:E)</f>
        <v>0</v>
      </c>
      <c r="H20" s="14">
        <f t="shared" si="0"/>
        <v>0</v>
      </c>
      <c r="I20" s="14">
        <f t="shared" si="1"/>
        <v>1275724</v>
      </c>
      <c r="J20" s="8" t="s">
        <v>25</v>
      </c>
      <c r="K20" s="8"/>
      <c r="L20" s="9" t="s">
        <v>10095</v>
      </c>
      <c r="M20" s="339"/>
      <c r="N20" s="315"/>
      <c r="O20" s="339"/>
      <c r="P20" s="339"/>
    </row>
    <row r="21" spans="1:16" s="9" customFormat="1" ht="11.25" hidden="1" customHeight="1" x14ac:dyDescent="0.2">
      <c r="A21" s="10">
        <v>22160000</v>
      </c>
      <c r="B21" s="10" t="s">
        <v>27</v>
      </c>
      <c r="C21" s="11">
        <v>161921.53600000002</v>
      </c>
      <c r="D21" s="11">
        <v>0</v>
      </c>
      <c r="E21" s="11">
        <v>0</v>
      </c>
      <c r="F21" s="13">
        <f>SUMIF('OD 12-24'!A:A,A21,'OD 12-24'!D:D)</f>
        <v>0</v>
      </c>
      <c r="G21" s="13">
        <f>SUMIF('OD 12-24'!A:A,A21,'OD 12-24'!E:E)</f>
        <v>0</v>
      </c>
      <c r="H21" s="14">
        <f t="shared" si="0"/>
        <v>0</v>
      </c>
      <c r="I21" s="14">
        <f t="shared" si="1"/>
        <v>161921.53600000002</v>
      </c>
      <c r="J21" s="8" t="s">
        <v>25</v>
      </c>
      <c r="K21" s="8"/>
      <c r="L21" s="9" t="s">
        <v>10095</v>
      </c>
      <c r="M21" s="339"/>
      <c r="N21" s="315"/>
      <c r="O21" s="339"/>
      <c r="P21" s="339"/>
    </row>
    <row r="22" spans="1:16" s="9" customFormat="1" ht="11.25" hidden="1" customHeight="1" x14ac:dyDescent="0.2">
      <c r="A22" s="10">
        <v>22200000</v>
      </c>
      <c r="B22" s="10" t="s">
        <v>28</v>
      </c>
      <c r="C22" s="11">
        <v>9174898.748999998</v>
      </c>
      <c r="D22" s="11">
        <v>0</v>
      </c>
      <c r="E22" s="11">
        <v>0</v>
      </c>
      <c r="F22" s="13">
        <f>SUMIF('OD 12-24'!A:A,A22,'OD 12-24'!D:D)</f>
        <v>0</v>
      </c>
      <c r="G22" s="13">
        <f>SUMIF('OD 12-24'!A:A,A22,'OD 12-24'!E:E)</f>
        <v>0</v>
      </c>
      <c r="H22" s="14">
        <f t="shared" si="0"/>
        <v>0</v>
      </c>
      <c r="I22" s="14">
        <f t="shared" si="1"/>
        <v>9174898.748999998</v>
      </c>
      <c r="J22" s="8" t="s">
        <v>25</v>
      </c>
      <c r="K22" s="8"/>
      <c r="L22" s="9" t="s">
        <v>10095</v>
      </c>
      <c r="M22" s="339"/>
      <c r="N22" s="315"/>
      <c r="O22" s="339"/>
      <c r="P22" s="339"/>
    </row>
    <row r="23" spans="1:16" s="9" customFormat="1" ht="11.25" hidden="1" customHeight="1" x14ac:dyDescent="0.2">
      <c r="A23" s="10">
        <v>22250000</v>
      </c>
      <c r="B23" s="10" t="s">
        <v>29</v>
      </c>
      <c r="C23" s="11">
        <v>696674.05799999996</v>
      </c>
      <c r="D23" s="11">
        <v>118650.205</v>
      </c>
      <c r="E23" s="11">
        <v>13795.523999999999</v>
      </c>
      <c r="F23" s="13">
        <f>SUMIF('OD 12-24'!A:A,A23,'OD 12-24'!D:D)</f>
        <v>0</v>
      </c>
      <c r="G23" s="13">
        <f>SUMIF('OD 12-24'!A:A,A23,'OD 12-24'!E:E)</f>
        <v>0</v>
      </c>
      <c r="H23" s="14">
        <f t="shared" si="0"/>
        <v>104854.681</v>
      </c>
      <c r="I23" s="14">
        <f t="shared" si="1"/>
        <v>801528.73899999994</v>
      </c>
      <c r="J23" s="8" t="s">
        <v>25</v>
      </c>
      <c r="K23" s="8"/>
      <c r="L23" s="9" t="s">
        <v>10095</v>
      </c>
      <c r="M23" s="339"/>
      <c r="N23" s="315"/>
      <c r="O23" s="339"/>
      <c r="P23" s="339"/>
    </row>
    <row r="24" spans="1:16" s="9" customFormat="1" ht="11.25" hidden="1" customHeight="1" x14ac:dyDescent="0.2">
      <c r="A24" s="10">
        <v>22300000</v>
      </c>
      <c r="B24" s="10" t="s">
        <v>30</v>
      </c>
      <c r="C24" s="11">
        <v>73570.611000000004</v>
      </c>
      <c r="D24" s="11">
        <v>26392</v>
      </c>
      <c r="E24" s="11">
        <v>0</v>
      </c>
      <c r="F24" s="13">
        <f>SUMIF('OD 12-24'!A:A,A24,'OD 12-24'!D:D)</f>
        <v>0</v>
      </c>
      <c r="G24" s="13">
        <f>SUMIF('OD 12-24'!A:A,A24,'OD 12-24'!E:E)</f>
        <v>0</v>
      </c>
      <c r="H24" s="14">
        <f t="shared" si="0"/>
        <v>26392</v>
      </c>
      <c r="I24" s="14">
        <f t="shared" si="1"/>
        <v>99962.611000000004</v>
      </c>
      <c r="J24" s="8" t="s">
        <v>25</v>
      </c>
      <c r="K24" s="8"/>
      <c r="L24" s="9" t="s">
        <v>10095</v>
      </c>
      <c r="M24" s="339"/>
      <c r="N24" s="315"/>
      <c r="O24" s="339"/>
      <c r="P24" s="339"/>
    </row>
    <row r="25" spans="1:16" s="9" customFormat="1" ht="11.25" hidden="1" customHeight="1" x14ac:dyDescent="0.2">
      <c r="A25" s="10">
        <v>22310000</v>
      </c>
      <c r="B25" s="10" t="s">
        <v>31</v>
      </c>
      <c r="C25" s="11">
        <v>0</v>
      </c>
      <c r="D25" s="11">
        <v>27986.973999999998</v>
      </c>
      <c r="E25" s="11">
        <v>0</v>
      </c>
      <c r="F25" s="13">
        <f>SUMIF('OD 12-24'!A:A,A25,'OD 12-24'!D:D)</f>
        <v>0</v>
      </c>
      <c r="G25" s="13">
        <f>SUMIF('OD 12-24'!A:A,A25,'OD 12-24'!E:E)</f>
        <v>0</v>
      </c>
      <c r="H25" s="14">
        <f t="shared" si="0"/>
        <v>27986.973999999998</v>
      </c>
      <c r="I25" s="14">
        <f t="shared" si="1"/>
        <v>27986.973999999998</v>
      </c>
      <c r="J25" s="8" t="s">
        <v>25</v>
      </c>
      <c r="K25" s="8"/>
      <c r="L25" s="9">
        <v>0</v>
      </c>
      <c r="M25" s="339"/>
      <c r="N25" s="315"/>
      <c r="O25" s="339"/>
      <c r="P25" s="339"/>
    </row>
    <row r="26" spans="1:16" s="9" customFormat="1" ht="11.25" hidden="1" customHeight="1" x14ac:dyDescent="0.2">
      <c r="A26" s="10">
        <v>22340000</v>
      </c>
      <c r="B26" s="10" t="s">
        <v>32</v>
      </c>
      <c r="C26" s="11">
        <v>24676096.882049002</v>
      </c>
      <c r="D26" s="11">
        <v>1323562.7045</v>
      </c>
      <c r="E26" s="11">
        <v>359516.76799999998</v>
      </c>
      <c r="F26" s="13">
        <f>SUMIF('OD 12-24'!A:A,A26,'OD 12-24'!D:D)</f>
        <v>9020</v>
      </c>
      <c r="G26" s="13">
        <f>SUMIF('OD 12-24'!A:A,A26,'OD 12-24'!E:E)</f>
        <v>9020</v>
      </c>
      <c r="H26" s="14">
        <f t="shared" si="0"/>
        <v>964045.93650000007</v>
      </c>
      <c r="I26" s="14">
        <f t="shared" si="1"/>
        <v>25640142.818549003</v>
      </c>
      <c r="J26" s="8" t="s">
        <v>25</v>
      </c>
      <c r="K26" s="8"/>
      <c r="L26" s="9" t="s">
        <v>10095</v>
      </c>
      <c r="M26" s="339"/>
      <c r="N26" s="315"/>
      <c r="O26" s="339"/>
      <c r="P26" s="339"/>
    </row>
    <row r="27" spans="1:16" s="9" customFormat="1" ht="11.25" hidden="1" customHeight="1" x14ac:dyDescent="0.2">
      <c r="A27" s="10">
        <v>22350000</v>
      </c>
      <c r="B27" s="10" t="s">
        <v>33</v>
      </c>
      <c r="C27" s="11">
        <v>651798.13449999969</v>
      </c>
      <c r="D27" s="11">
        <v>101244.76999999999</v>
      </c>
      <c r="E27" s="11">
        <v>3830.2129999999997</v>
      </c>
      <c r="F27" s="13">
        <f>SUMIF('OD 12-24'!A:A,A27,'OD 12-24'!D:D)</f>
        <v>15062.4</v>
      </c>
      <c r="G27" s="13">
        <f>SUMIF('OD 12-24'!A:A,A27,'OD 12-24'!E:E)</f>
        <v>15062.4</v>
      </c>
      <c r="H27" s="14">
        <f t="shared" si="0"/>
        <v>97414.556999999986</v>
      </c>
      <c r="I27" s="14">
        <f t="shared" si="1"/>
        <v>749212.69149999972</v>
      </c>
      <c r="J27" s="8" t="s">
        <v>25</v>
      </c>
      <c r="K27" s="8"/>
      <c r="L27" s="9" t="s">
        <v>10095</v>
      </c>
      <c r="M27" s="339"/>
      <c r="N27" s="315"/>
      <c r="O27" s="339"/>
      <c r="P27" s="339"/>
    </row>
    <row r="28" spans="1:16" s="9" customFormat="1" ht="11.25" hidden="1" customHeight="1" x14ac:dyDescent="0.2">
      <c r="A28" s="10">
        <v>22370000</v>
      </c>
      <c r="B28" s="10" t="s">
        <v>34</v>
      </c>
      <c r="C28" s="11">
        <v>901593.20599999989</v>
      </c>
      <c r="D28" s="11">
        <v>8125.4519999999993</v>
      </c>
      <c r="E28" s="11">
        <v>8125.4519999999993</v>
      </c>
      <c r="F28" s="13">
        <f>SUMIF('OD 12-24'!A:A,A28,'OD 12-24'!D:D)</f>
        <v>0</v>
      </c>
      <c r="G28" s="13">
        <f>SUMIF('OD 12-24'!A:A,A28,'OD 12-24'!E:E)</f>
        <v>0</v>
      </c>
      <c r="H28" s="14">
        <f t="shared" si="0"/>
        <v>0</v>
      </c>
      <c r="I28" s="14">
        <f t="shared" si="1"/>
        <v>901593.20599999989</v>
      </c>
      <c r="J28" s="8" t="s">
        <v>25</v>
      </c>
      <c r="K28" s="8"/>
      <c r="L28" s="9" t="s">
        <v>10095</v>
      </c>
      <c r="M28" s="339"/>
      <c r="N28" s="315"/>
      <c r="O28" s="339"/>
      <c r="P28" s="339"/>
    </row>
    <row r="29" spans="1:16" s="9" customFormat="1" ht="11.25" hidden="1" customHeight="1" x14ac:dyDescent="0.2">
      <c r="A29" s="10">
        <v>22400000</v>
      </c>
      <c r="B29" s="10" t="s">
        <v>35</v>
      </c>
      <c r="C29" s="11">
        <v>1176312.6140000001</v>
      </c>
      <c r="D29" s="11">
        <v>133659.84</v>
      </c>
      <c r="E29" s="11">
        <v>96728.61</v>
      </c>
      <c r="F29" s="13">
        <f>SUMIF('OD 12-24'!A:A,A29,'OD 12-24'!D:D)</f>
        <v>0</v>
      </c>
      <c r="G29" s="13">
        <f>SUMIF('OD 12-24'!A:A,A29,'OD 12-24'!E:E)</f>
        <v>0</v>
      </c>
      <c r="H29" s="14">
        <f t="shared" si="0"/>
        <v>36931.229999999996</v>
      </c>
      <c r="I29" s="14">
        <f t="shared" si="1"/>
        <v>1213243.844</v>
      </c>
      <c r="J29" s="8" t="s">
        <v>25</v>
      </c>
      <c r="K29" s="8"/>
      <c r="L29" s="9" t="s">
        <v>10095</v>
      </c>
      <c r="M29" s="339"/>
      <c r="N29" s="315"/>
      <c r="O29" s="339"/>
      <c r="P29" s="339"/>
    </row>
    <row r="30" spans="1:16" s="9" customFormat="1" ht="11.25" hidden="1" customHeight="1" x14ac:dyDescent="0.2">
      <c r="A30" s="10">
        <v>22810000</v>
      </c>
      <c r="B30" s="10" t="s">
        <v>36</v>
      </c>
      <c r="C30" s="11">
        <v>0</v>
      </c>
      <c r="D30" s="11">
        <v>0</v>
      </c>
      <c r="E30" s="11">
        <v>0</v>
      </c>
      <c r="F30" s="13">
        <f>SUMIF('OD 12-24'!A:A,A30,'OD 12-24'!D:D)</f>
        <v>0</v>
      </c>
      <c r="G30" s="13">
        <f>SUMIF('OD 12-24'!A:A,A30,'OD 12-24'!E:E)</f>
        <v>0</v>
      </c>
      <c r="H30" s="14">
        <f t="shared" si="0"/>
        <v>0</v>
      </c>
      <c r="I30" s="14">
        <f t="shared" si="1"/>
        <v>0</v>
      </c>
      <c r="J30" s="8"/>
      <c r="K30" s="8"/>
      <c r="L30" s="9">
        <v>0</v>
      </c>
      <c r="M30" s="339"/>
      <c r="N30" s="315"/>
      <c r="O30" s="339"/>
      <c r="P30" s="339"/>
    </row>
    <row r="31" spans="1:16" s="9" customFormat="1" ht="11.25" hidden="1" customHeight="1" x14ac:dyDescent="0.2">
      <c r="A31" s="10">
        <v>22820000</v>
      </c>
      <c r="B31" s="10" t="s">
        <v>37</v>
      </c>
      <c r="C31" s="11">
        <v>281171.26415</v>
      </c>
      <c r="D31" s="11">
        <v>65182.865999999995</v>
      </c>
      <c r="E31" s="11">
        <v>2867.6309999999999</v>
      </c>
      <c r="F31" s="13">
        <f>SUMIF('OD 12-24'!A:A,A31,'OD 12-24'!D:D)</f>
        <v>0</v>
      </c>
      <c r="G31" s="13">
        <f>SUMIF('OD 12-24'!A:A,A31,'OD 12-24'!E:E)</f>
        <v>0</v>
      </c>
      <c r="H31" s="14">
        <f t="shared" si="0"/>
        <v>62315.234999999993</v>
      </c>
      <c r="I31" s="14">
        <f t="shared" si="1"/>
        <v>343486.49914999999</v>
      </c>
      <c r="J31" s="8" t="s">
        <v>25</v>
      </c>
      <c r="K31" s="8"/>
      <c r="L31" s="9" t="s">
        <v>10095</v>
      </c>
      <c r="M31" s="339"/>
      <c r="N31" s="315"/>
      <c r="O31" s="339"/>
      <c r="P31" s="339"/>
    </row>
    <row r="32" spans="1:16" s="9" customFormat="1" ht="11.25" hidden="1" customHeight="1" x14ac:dyDescent="0.2">
      <c r="A32" s="10">
        <v>22830000</v>
      </c>
      <c r="B32" s="10" t="s">
        <v>279</v>
      </c>
      <c r="C32" s="11">
        <v>243796.16828599994</v>
      </c>
      <c r="D32" s="11">
        <v>84800.715999999986</v>
      </c>
      <c r="E32" s="11">
        <v>13609.566000000001</v>
      </c>
      <c r="F32" s="13">
        <f>SUMIF('OD 12-24'!A:A,A32,'OD 12-24'!D:D)</f>
        <v>12816.754000000001</v>
      </c>
      <c r="G32" s="13">
        <f>SUMIF('OD 12-24'!A:A,A32,'OD 12-24'!E:E)</f>
        <v>12816.754000000001</v>
      </c>
      <c r="H32" s="14">
        <f t="shared" si="0"/>
        <v>71191.14999999998</v>
      </c>
      <c r="I32" s="14">
        <f t="shared" si="1"/>
        <v>314987.31828599994</v>
      </c>
      <c r="J32" s="8" t="s">
        <v>25</v>
      </c>
      <c r="K32" s="8"/>
      <c r="L32" s="9" t="s">
        <v>10095</v>
      </c>
      <c r="M32" s="339"/>
      <c r="N32" s="315"/>
      <c r="O32" s="339"/>
      <c r="P32" s="339"/>
    </row>
    <row r="33" spans="1:16" s="9" customFormat="1" ht="11.25" hidden="1" customHeight="1" x14ac:dyDescent="0.2">
      <c r="A33" s="10">
        <v>23000000</v>
      </c>
      <c r="B33" s="10" t="s">
        <v>280</v>
      </c>
      <c r="C33" s="11">
        <v>2.0000000404252205E-5</v>
      </c>
      <c r="D33" s="11">
        <v>0</v>
      </c>
      <c r="E33" s="11">
        <v>0</v>
      </c>
      <c r="F33" s="13">
        <f>SUMIF('OD 12-24'!A:A,A33,'OD 12-24'!D:D)</f>
        <v>0</v>
      </c>
      <c r="G33" s="13">
        <f>SUMIF('OD 12-24'!A:A,A33,'OD 12-24'!E:E)</f>
        <v>0</v>
      </c>
      <c r="H33" s="14">
        <f t="shared" si="0"/>
        <v>0</v>
      </c>
      <c r="I33" s="14">
        <f t="shared" si="1"/>
        <v>2.0000000404252205E-5</v>
      </c>
      <c r="J33" s="8"/>
      <c r="K33" s="8"/>
      <c r="L33" s="9">
        <v>0</v>
      </c>
      <c r="M33" s="339"/>
      <c r="N33" s="315"/>
      <c r="O33" s="339"/>
      <c r="P33" s="339"/>
    </row>
    <row r="34" spans="1:16" s="9" customFormat="1" ht="11.25" hidden="1" customHeight="1" x14ac:dyDescent="0.2">
      <c r="A34" s="10">
        <v>23100000</v>
      </c>
      <c r="B34" s="10" t="s">
        <v>7399</v>
      </c>
      <c r="C34" s="11">
        <v>0</v>
      </c>
      <c r="D34" s="11">
        <v>17045.8</v>
      </c>
      <c r="E34" s="11">
        <v>0</v>
      </c>
      <c r="F34" s="13">
        <f>SUMIF('OD 12-24'!A:A,A34,'OD 12-24'!D:D)</f>
        <v>0</v>
      </c>
      <c r="G34" s="13">
        <f>SUMIF('OD 12-24'!A:A,A34,'OD 12-24'!E:E)</f>
        <v>0</v>
      </c>
      <c r="H34" s="14">
        <f t="shared" si="0"/>
        <v>17045.8</v>
      </c>
      <c r="I34" s="14">
        <f t="shared" si="1"/>
        <v>17045.8</v>
      </c>
      <c r="J34" s="8" t="s">
        <v>25</v>
      </c>
      <c r="K34" s="8"/>
      <c r="L34" s="9" t="e">
        <v>#N/A</v>
      </c>
      <c r="M34" s="339"/>
      <c r="N34" s="315"/>
      <c r="O34" s="339"/>
      <c r="P34" s="339"/>
    </row>
    <row r="35" spans="1:16" s="9" customFormat="1" ht="11.25" hidden="1" customHeight="1" x14ac:dyDescent="0.2">
      <c r="A35" s="10">
        <v>23200000</v>
      </c>
      <c r="B35" s="10" t="s">
        <v>38</v>
      </c>
      <c r="C35" s="11">
        <v>404721.24329749867</v>
      </c>
      <c r="D35" s="11">
        <v>530801.1004</v>
      </c>
      <c r="E35" s="11">
        <v>97677.876999999993</v>
      </c>
      <c r="F35" s="13">
        <f>SUMIF('OD 12-24'!A:A,A35,'OD 12-24'!D:D)</f>
        <v>0</v>
      </c>
      <c r="G35" s="13">
        <f>SUMIF('OD 12-24'!A:A,A35,'OD 12-24'!E:E)</f>
        <v>0</v>
      </c>
      <c r="H35" s="14">
        <f t="shared" si="0"/>
        <v>433123.22340000002</v>
      </c>
      <c r="I35" s="14">
        <f t="shared" si="1"/>
        <v>837844.46669749869</v>
      </c>
      <c r="J35" s="8" t="s">
        <v>25</v>
      </c>
      <c r="K35" s="8"/>
      <c r="L35" s="9" t="s">
        <v>10095</v>
      </c>
      <c r="M35" s="339"/>
      <c r="N35" s="315"/>
      <c r="O35" s="339"/>
      <c r="P35" s="339"/>
    </row>
    <row r="36" spans="1:16" s="9" customFormat="1" ht="11.25" hidden="1" customHeight="1" x14ac:dyDescent="0.2">
      <c r="A36" s="10">
        <v>23220000</v>
      </c>
      <c r="B36" s="10" t="s">
        <v>39</v>
      </c>
      <c r="C36" s="11">
        <v>0</v>
      </c>
      <c r="D36" s="11">
        <v>9020.2100000000009</v>
      </c>
      <c r="E36" s="11">
        <v>5800</v>
      </c>
      <c r="F36" s="13">
        <f>SUMIF('OD 12-24'!A:A,A36,'OD 12-24'!D:D)</f>
        <v>0</v>
      </c>
      <c r="G36" s="13">
        <f>SUMIF('OD 12-24'!A:A,A36,'OD 12-24'!E:E)</f>
        <v>0</v>
      </c>
      <c r="H36" s="14">
        <f t="shared" si="0"/>
        <v>3220.2100000000009</v>
      </c>
      <c r="I36" s="14">
        <f t="shared" si="1"/>
        <v>3220.2100000000009</v>
      </c>
      <c r="J36" s="8" t="s">
        <v>25</v>
      </c>
      <c r="K36" s="8"/>
      <c r="L36" s="9" t="s">
        <v>10095</v>
      </c>
      <c r="M36" s="339"/>
      <c r="N36" s="315"/>
      <c r="O36" s="339"/>
      <c r="P36" s="339"/>
    </row>
    <row r="37" spans="1:16" s="9" customFormat="1" ht="11.25" hidden="1" customHeight="1" x14ac:dyDescent="0.2">
      <c r="A37" s="10">
        <v>23225000</v>
      </c>
      <c r="B37" s="10" t="s">
        <v>281</v>
      </c>
      <c r="C37" s="11">
        <v>0</v>
      </c>
      <c r="D37" s="11">
        <v>0</v>
      </c>
      <c r="E37" s="11">
        <v>0</v>
      </c>
      <c r="F37" s="13">
        <f>SUMIF('OD 12-24'!A:A,A37,'OD 12-24'!D:D)</f>
        <v>0</v>
      </c>
      <c r="G37" s="13">
        <f>SUMIF('OD 12-24'!A:A,A37,'OD 12-24'!E:E)</f>
        <v>0</v>
      </c>
      <c r="H37" s="14">
        <f t="shared" si="0"/>
        <v>0</v>
      </c>
      <c r="I37" s="14">
        <f t="shared" si="1"/>
        <v>0</v>
      </c>
      <c r="J37" s="8"/>
      <c r="K37" s="8"/>
      <c r="L37" s="9">
        <v>0</v>
      </c>
      <c r="M37" s="339"/>
      <c r="N37" s="315"/>
      <c r="O37" s="339"/>
      <c r="P37" s="339"/>
    </row>
    <row r="38" spans="1:16" s="9" customFormat="1" ht="11.25" hidden="1" customHeight="1" x14ac:dyDescent="0.2">
      <c r="A38" s="10">
        <v>23231000</v>
      </c>
      <c r="B38" s="10" t="s">
        <v>282</v>
      </c>
      <c r="C38" s="11">
        <v>0</v>
      </c>
      <c r="D38" s="11">
        <v>0</v>
      </c>
      <c r="E38" s="11">
        <v>0</v>
      </c>
      <c r="F38" s="13">
        <f>SUMIF('OD 12-24'!A:A,A38,'OD 12-24'!D:D)</f>
        <v>0</v>
      </c>
      <c r="G38" s="13">
        <f>SUMIF('OD 12-24'!A:A,A38,'OD 12-24'!E:E)</f>
        <v>0</v>
      </c>
      <c r="H38" s="14">
        <f t="shared" si="0"/>
        <v>0</v>
      </c>
      <c r="I38" s="14">
        <f t="shared" si="1"/>
        <v>0</v>
      </c>
      <c r="J38" s="8"/>
      <c r="K38" s="8"/>
      <c r="L38" s="9">
        <v>0</v>
      </c>
      <c r="M38" s="339"/>
      <c r="N38" s="315"/>
      <c r="O38" s="339"/>
      <c r="P38" s="339"/>
    </row>
    <row r="39" spans="1:16" s="9" customFormat="1" ht="11.25" hidden="1" customHeight="1" x14ac:dyDescent="0.2">
      <c r="A39" s="10">
        <v>23237000</v>
      </c>
      <c r="B39" s="10" t="s">
        <v>283</v>
      </c>
      <c r="C39" s="11">
        <v>0</v>
      </c>
      <c r="D39" s="11">
        <v>0</v>
      </c>
      <c r="E39" s="11">
        <v>0</v>
      </c>
      <c r="F39" s="13">
        <f>SUMIF('OD 12-24'!A:A,A39,'OD 12-24'!D:D)</f>
        <v>0</v>
      </c>
      <c r="G39" s="13">
        <f>SUMIF('OD 12-24'!A:A,A39,'OD 12-24'!E:E)</f>
        <v>0</v>
      </c>
      <c r="H39" s="14">
        <f t="shared" si="0"/>
        <v>0</v>
      </c>
      <c r="I39" s="14">
        <f t="shared" si="1"/>
        <v>0</v>
      </c>
      <c r="J39" s="8"/>
      <c r="K39" s="8"/>
      <c r="L39" s="9">
        <v>0</v>
      </c>
      <c r="M39" s="339"/>
      <c r="N39" s="315"/>
      <c r="O39" s="339"/>
      <c r="P39" s="339"/>
    </row>
    <row r="40" spans="1:16" s="9" customFormat="1" ht="11.25" hidden="1" customHeight="1" x14ac:dyDescent="0.2">
      <c r="A40" s="10">
        <v>23250000</v>
      </c>
      <c r="B40" s="10" t="s">
        <v>284</v>
      </c>
      <c r="C40" s="11">
        <v>0</v>
      </c>
      <c r="D40" s="11">
        <v>0</v>
      </c>
      <c r="E40" s="11">
        <v>0</v>
      </c>
      <c r="F40" s="13">
        <f>SUMIF('OD 12-24'!A:A,A40,'OD 12-24'!D:D)</f>
        <v>0</v>
      </c>
      <c r="G40" s="13">
        <f>SUMIF('OD 12-24'!A:A,A40,'OD 12-24'!E:E)</f>
        <v>0</v>
      </c>
      <c r="H40" s="14">
        <f t="shared" si="0"/>
        <v>0</v>
      </c>
      <c r="I40" s="14">
        <f t="shared" si="1"/>
        <v>0</v>
      </c>
      <c r="J40" s="8"/>
      <c r="K40" s="8"/>
      <c r="L40" s="9">
        <v>0</v>
      </c>
      <c r="M40" s="339"/>
      <c r="N40" s="315"/>
      <c r="O40" s="339"/>
      <c r="P40" s="339"/>
    </row>
    <row r="41" spans="1:16" s="9" customFormat="1" ht="11.25" hidden="1" customHeight="1" x14ac:dyDescent="0.2">
      <c r="A41" s="10">
        <v>23800000</v>
      </c>
      <c r="B41" s="10" t="s">
        <v>285</v>
      </c>
      <c r="C41" s="11">
        <v>0</v>
      </c>
      <c r="D41" s="11">
        <v>0</v>
      </c>
      <c r="E41" s="11">
        <v>0</v>
      </c>
      <c r="F41" s="13">
        <f>SUMIF('OD 12-24'!A:A,A41,'OD 12-24'!D:D)</f>
        <v>0</v>
      </c>
      <c r="G41" s="13">
        <f>SUMIF('OD 12-24'!A:A,A41,'OD 12-24'!E:E)</f>
        <v>0</v>
      </c>
      <c r="H41" s="14">
        <f t="shared" si="0"/>
        <v>0</v>
      </c>
      <c r="I41" s="14">
        <f t="shared" si="1"/>
        <v>0</v>
      </c>
      <c r="J41" s="8"/>
      <c r="K41" s="8"/>
      <c r="L41" s="9">
        <v>0</v>
      </c>
      <c r="M41" s="339"/>
      <c r="N41" s="315"/>
      <c r="O41" s="339"/>
      <c r="P41" s="339"/>
    </row>
    <row r="42" spans="1:16" s="9" customFormat="1" ht="11.25" hidden="1" customHeight="1" x14ac:dyDescent="0.2">
      <c r="A42" s="10">
        <v>24000000</v>
      </c>
      <c r="B42" s="10" t="s">
        <v>40</v>
      </c>
      <c r="C42" s="11">
        <v>770033.75899999996</v>
      </c>
      <c r="D42" s="11">
        <v>675550.6</v>
      </c>
      <c r="E42" s="11">
        <v>385280.63500000001</v>
      </c>
      <c r="F42" s="13">
        <f>SUMIF('OD 12-24'!A:A,A42,'OD 12-24'!D:D)</f>
        <v>0</v>
      </c>
      <c r="G42" s="13">
        <f>SUMIF('OD 12-24'!A:A,A42,'OD 12-24'!E:E)</f>
        <v>0</v>
      </c>
      <c r="H42" s="14">
        <f t="shared" si="0"/>
        <v>290269.96499999997</v>
      </c>
      <c r="I42" s="14">
        <f t="shared" si="1"/>
        <v>1060303.7239999999</v>
      </c>
      <c r="J42" s="8" t="s">
        <v>25</v>
      </c>
      <c r="K42" s="8"/>
      <c r="L42" s="9" t="s">
        <v>10095</v>
      </c>
      <c r="M42" s="339"/>
      <c r="N42" s="315"/>
      <c r="O42" s="339"/>
      <c r="P42" s="339"/>
    </row>
    <row r="43" spans="1:16" s="9" customFormat="1" ht="11.25" hidden="1" customHeight="1" x14ac:dyDescent="0.2">
      <c r="A43" s="10">
        <v>25100000</v>
      </c>
      <c r="B43" s="10" t="s">
        <v>286</v>
      </c>
      <c r="C43" s="11">
        <v>0</v>
      </c>
      <c r="D43" s="11">
        <v>0</v>
      </c>
      <c r="E43" s="11">
        <v>0</v>
      </c>
      <c r="F43" s="13">
        <f>SUMIF('OD 12-24'!A:A,A43,'OD 12-24'!D:D)</f>
        <v>0</v>
      </c>
      <c r="G43" s="13">
        <f>SUMIF('OD 12-24'!A:A,A43,'OD 12-24'!E:E)</f>
        <v>0</v>
      </c>
      <c r="H43" s="14">
        <f t="shared" si="0"/>
        <v>0</v>
      </c>
      <c r="I43" s="14">
        <f t="shared" si="1"/>
        <v>0</v>
      </c>
      <c r="J43" s="8"/>
      <c r="K43" s="8"/>
      <c r="L43" s="9">
        <v>0</v>
      </c>
      <c r="M43" s="339"/>
      <c r="N43" s="315"/>
      <c r="O43" s="339"/>
      <c r="P43" s="339"/>
    </row>
    <row r="44" spans="1:16" s="9" customFormat="1" ht="11.25" hidden="1" customHeight="1" x14ac:dyDescent="0.2">
      <c r="A44" s="10">
        <v>25110000</v>
      </c>
      <c r="B44" s="10" t="s">
        <v>41</v>
      </c>
      <c r="C44" s="11">
        <v>266820</v>
      </c>
      <c r="D44" s="11">
        <v>0</v>
      </c>
      <c r="E44" s="11">
        <v>0</v>
      </c>
      <c r="F44" s="13">
        <f>SUMIF('OD 12-24'!A:A,A44,'OD 12-24'!D:D)</f>
        <v>0</v>
      </c>
      <c r="G44" s="13">
        <f>SUMIF('OD 12-24'!A:A,A44,'OD 12-24'!E:E)</f>
        <v>0</v>
      </c>
      <c r="H44" s="14">
        <f t="shared" si="0"/>
        <v>0</v>
      </c>
      <c r="I44" s="14">
        <f t="shared" si="1"/>
        <v>266820</v>
      </c>
      <c r="J44" s="8" t="s">
        <v>42</v>
      </c>
      <c r="K44" s="8"/>
      <c r="L44" s="9" t="s">
        <v>10097</v>
      </c>
      <c r="M44" s="339"/>
      <c r="N44" s="315"/>
      <c r="O44" s="339"/>
      <c r="P44" s="339"/>
    </row>
    <row r="45" spans="1:16" s="9" customFormat="1" ht="11.25" hidden="1" customHeight="1" x14ac:dyDescent="0.2">
      <c r="A45" s="10">
        <v>25120000</v>
      </c>
      <c r="B45" s="10" t="s">
        <v>287</v>
      </c>
      <c r="C45" s="11">
        <v>512700</v>
      </c>
      <c r="D45" s="11">
        <v>0</v>
      </c>
      <c r="E45" s="11">
        <v>0</v>
      </c>
      <c r="F45" s="13">
        <f>SUMIF('OD 12-24'!A:A,A45,'OD 12-24'!D:D)</f>
        <v>0</v>
      </c>
      <c r="G45" s="13">
        <f>SUMIF('OD 12-24'!A:A,A45,'OD 12-24'!E:E)</f>
        <v>0</v>
      </c>
      <c r="H45" s="14">
        <f t="shared" si="0"/>
        <v>0</v>
      </c>
      <c r="I45" s="14">
        <f t="shared" si="1"/>
        <v>512700</v>
      </c>
      <c r="J45" s="8" t="s">
        <v>42</v>
      </c>
      <c r="K45" s="8"/>
      <c r="L45" s="9" t="s">
        <v>10097</v>
      </c>
      <c r="M45" s="339"/>
      <c r="N45" s="315"/>
      <c r="O45" s="339"/>
      <c r="P45" s="339"/>
    </row>
    <row r="46" spans="1:16" s="9" customFormat="1" ht="11.25" hidden="1" customHeight="1" x14ac:dyDescent="0.2">
      <c r="A46" s="10">
        <v>25130000</v>
      </c>
      <c r="B46" s="10" t="s">
        <v>43</v>
      </c>
      <c r="C46" s="11">
        <v>677000</v>
      </c>
      <c r="D46" s="11">
        <v>0</v>
      </c>
      <c r="E46" s="11">
        <v>0</v>
      </c>
      <c r="F46" s="13">
        <f>SUMIF('OD 12-24'!A:A,A46,'OD 12-24'!D:D)</f>
        <v>0</v>
      </c>
      <c r="G46" s="13">
        <f>SUMIF('OD 12-24'!A:A,A46,'OD 12-24'!E:E)</f>
        <v>0</v>
      </c>
      <c r="H46" s="14">
        <f t="shared" si="0"/>
        <v>0</v>
      </c>
      <c r="I46" s="14">
        <f t="shared" si="1"/>
        <v>677000</v>
      </c>
      <c r="J46" s="8" t="s">
        <v>42</v>
      </c>
      <c r="K46" s="8"/>
      <c r="L46" s="9" t="s">
        <v>10097</v>
      </c>
      <c r="M46" s="339"/>
      <c r="N46" s="315"/>
      <c r="O46" s="339"/>
      <c r="P46" s="339"/>
    </row>
    <row r="47" spans="1:16" s="9" customFormat="1" ht="11.25" hidden="1" customHeight="1" x14ac:dyDescent="0.2">
      <c r="A47" s="10">
        <v>25140000</v>
      </c>
      <c r="B47" s="10" t="s">
        <v>44</v>
      </c>
      <c r="C47" s="11">
        <v>3150000</v>
      </c>
      <c r="D47" s="11">
        <v>0</v>
      </c>
      <c r="E47" s="11">
        <v>0</v>
      </c>
      <c r="F47" s="13">
        <f>SUMIF('OD 12-24'!A:A,A47,'OD 12-24'!D:D)</f>
        <v>0</v>
      </c>
      <c r="G47" s="13">
        <f>SUMIF('OD 12-24'!A:A,A47,'OD 12-24'!E:E)</f>
        <v>0</v>
      </c>
      <c r="H47" s="14">
        <f t="shared" si="0"/>
        <v>0</v>
      </c>
      <c r="I47" s="14">
        <f t="shared" si="1"/>
        <v>3150000</v>
      </c>
      <c r="J47" s="8" t="s">
        <v>42</v>
      </c>
      <c r="K47" s="8"/>
      <c r="L47" s="9" t="s">
        <v>10097</v>
      </c>
      <c r="M47" s="339"/>
      <c r="N47" s="315"/>
      <c r="O47" s="339"/>
      <c r="P47" s="339"/>
    </row>
    <row r="48" spans="1:16" s="9" customFormat="1" ht="11.25" hidden="1" customHeight="1" x14ac:dyDescent="0.2">
      <c r="A48" s="10">
        <v>25150000</v>
      </c>
      <c r="B48" s="10" t="s">
        <v>387</v>
      </c>
      <c r="C48" s="11">
        <v>319680</v>
      </c>
      <c r="D48" s="11">
        <v>0</v>
      </c>
      <c r="E48" s="11">
        <v>0</v>
      </c>
      <c r="F48" s="13">
        <f>SUMIF('OD 12-24'!A:A,A48,'OD 12-24'!D:D)</f>
        <v>0</v>
      </c>
      <c r="G48" s="13">
        <f>SUMIF('OD 12-24'!A:A,A48,'OD 12-24'!E:E)</f>
        <v>0</v>
      </c>
      <c r="H48" s="14">
        <f t="shared" si="0"/>
        <v>0</v>
      </c>
      <c r="I48" s="14">
        <f t="shared" si="1"/>
        <v>319680</v>
      </c>
      <c r="J48" s="8" t="s">
        <v>42</v>
      </c>
      <c r="K48" s="8"/>
      <c r="L48" s="9" t="s">
        <v>10097</v>
      </c>
      <c r="M48" s="339"/>
      <c r="N48" s="315"/>
      <c r="O48" s="339"/>
      <c r="P48" s="339"/>
    </row>
    <row r="49" spans="1:16" s="9" customFormat="1" ht="11.25" hidden="1" customHeight="1" x14ac:dyDescent="0.2">
      <c r="A49" s="10">
        <v>25700000</v>
      </c>
      <c r="B49" s="10" t="s">
        <v>288</v>
      </c>
      <c r="C49" s="11">
        <v>0</v>
      </c>
      <c r="D49" s="11">
        <v>0</v>
      </c>
      <c r="E49" s="11">
        <v>0</v>
      </c>
      <c r="F49" s="13">
        <f>SUMIF('OD 12-24'!A:A,A49,'OD 12-24'!D:D)</f>
        <v>0</v>
      </c>
      <c r="G49" s="13">
        <f>SUMIF('OD 12-24'!A:A,A49,'OD 12-24'!E:E)</f>
        <v>0</v>
      </c>
      <c r="H49" s="14">
        <f t="shared" si="0"/>
        <v>0</v>
      </c>
      <c r="I49" s="14">
        <f t="shared" si="1"/>
        <v>0</v>
      </c>
      <c r="J49" s="8" t="s">
        <v>42</v>
      </c>
      <c r="K49" s="8"/>
      <c r="L49" s="9" t="s">
        <v>10097</v>
      </c>
      <c r="M49" s="339"/>
      <c r="N49" s="315"/>
      <c r="O49" s="339"/>
      <c r="P49" s="339"/>
    </row>
    <row r="50" spans="1:16" s="9" customFormat="1" ht="11.25" hidden="1" customHeight="1" x14ac:dyDescent="0.2">
      <c r="A50" s="10">
        <v>25810000</v>
      </c>
      <c r="B50" s="10" t="s">
        <v>289</v>
      </c>
      <c r="C50" s="11">
        <v>0</v>
      </c>
      <c r="D50" s="11">
        <v>0</v>
      </c>
      <c r="E50" s="11">
        <v>0</v>
      </c>
      <c r="F50" s="13">
        <f>SUMIF('OD 12-24'!A:A,A50,'OD 12-24'!D:D)</f>
        <v>0</v>
      </c>
      <c r="G50" s="13">
        <f>SUMIF('OD 12-24'!A:A,A50,'OD 12-24'!E:E)</f>
        <v>0</v>
      </c>
      <c r="H50" s="14">
        <f t="shared" si="0"/>
        <v>0</v>
      </c>
      <c r="I50" s="14">
        <f t="shared" si="1"/>
        <v>0</v>
      </c>
      <c r="J50" s="8"/>
      <c r="K50" s="8"/>
      <c r="L50" s="9">
        <v>0</v>
      </c>
      <c r="M50" s="339"/>
      <c r="N50" s="315"/>
      <c r="O50" s="339"/>
      <c r="P50" s="339"/>
    </row>
    <row r="51" spans="1:16" s="9" customFormat="1" ht="11.25" hidden="1" customHeight="1" x14ac:dyDescent="0.2">
      <c r="A51" s="10">
        <v>26400000</v>
      </c>
      <c r="B51" s="10" t="s">
        <v>290</v>
      </c>
      <c r="C51" s="11">
        <v>0</v>
      </c>
      <c r="D51" s="11">
        <v>100</v>
      </c>
      <c r="E51" s="11">
        <v>100</v>
      </c>
      <c r="F51" s="13">
        <f>SUMIF('OD 12-24'!A:A,A51,'OD 12-24'!D:D)</f>
        <v>0</v>
      </c>
      <c r="G51" s="13">
        <f>SUMIF('OD 12-24'!A:A,A51,'OD 12-24'!E:E)</f>
        <v>0</v>
      </c>
      <c r="H51" s="14">
        <f t="shared" si="0"/>
        <v>0</v>
      </c>
      <c r="I51" s="14">
        <f t="shared" si="1"/>
        <v>0</v>
      </c>
      <c r="J51" s="8"/>
      <c r="K51" s="8"/>
      <c r="L51" s="9">
        <v>0</v>
      </c>
      <c r="M51" s="339"/>
      <c r="N51" s="315"/>
      <c r="O51" s="339"/>
      <c r="P51" s="339"/>
    </row>
    <row r="52" spans="1:16" s="9" customFormat="1" ht="11.25" hidden="1" customHeight="1" x14ac:dyDescent="0.2">
      <c r="A52" s="10">
        <v>26430000</v>
      </c>
      <c r="B52" s="10" t="s">
        <v>291</v>
      </c>
      <c r="C52" s="11">
        <v>0</v>
      </c>
      <c r="D52" s="11">
        <v>141500</v>
      </c>
      <c r="E52" s="11">
        <v>141500</v>
      </c>
      <c r="F52" s="13">
        <f>SUMIF('OD 12-24'!A:A,A52,'OD 12-24'!D:D)</f>
        <v>0</v>
      </c>
      <c r="G52" s="13">
        <f>SUMIF('OD 12-24'!A:A,A52,'OD 12-24'!E:E)</f>
        <v>0</v>
      </c>
      <c r="H52" s="14">
        <f t="shared" si="0"/>
        <v>0</v>
      </c>
      <c r="I52" s="14">
        <f t="shared" si="1"/>
        <v>0</v>
      </c>
      <c r="J52" s="8"/>
      <c r="K52" s="8"/>
      <c r="L52" s="9">
        <v>0</v>
      </c>
      <c r="M52" s="339"/>
      <c r="N52" s="315"/>
      <c r="O52" s="339"/>
      <c r="P52" s="339"/>
    </row>
    <row r="53" spans="1:16" s="9" customFormat="1" ht="11.25" hidden="1" customHeight="1" x14ac:dyDescent="0.2">
      <c r="A53" s="10">
        <v>26500000</v>
      </c>
      <c r="B53" s="10" t="s">
        <v>45</v>
      </c>
      <c r="C53" s="11">
        <v>0</v>
      </c>
      <c r="D53" s="11">
        <v>0</v>
      </c>
      <c r="E53" s="11">
        <v>0</v>
      </c>
      <c r="F53" s="13">
        <f>SUMIF('OD 12-24'!A:A,A53,'OD 12-24'!D:D)</f>
        <v>0</v>
      </c>
      <c r="G53" s="13">
        <f>SUMIF('OD 12-24'!A:A,A53,'OD 12-24'!E:E)</f>
        <v>0</v>
      </c>
      <c r="H53" s="14">
        <f t="shared" si="0"/>
        <v>0</v>
      </c>
      <c r="I53" s="14">
        <f t="shared" si="1"/>
        <v>0</v>
      </c>
      <c r="J53" s="8" t="s">
        <v>46</v>
      </c>
      <c r="K53" s="8"/>
      <c r="L53" s="9" t="s">
        <v>10097</v>
      </c>
      <c r="M53" s="339"/>
      <c r="N53" s="315"/>
      <c r="O53" s="339"/>
      <c r="P53" s="339"/>
    </row>
    <row r="54" spans="1:16" s="9" customFormat="1" ht="11.25" hidden="1" customHeight="1" x14ac:dyDescent="0.2">
      <c r="A54" s="10">
        <v>26510000</v>
      </c>
      <c r="B54" s="10" t="s">
        <v>292</v>
      </c>
      <c r="C54" s="11">
        <v>0</v>
      </c>
      <c r="D54" s="11">
        <v>0</v>
      </c>
      <c r="E54" s="11">
        <v>0</v>
      </c>
      <c r="F54" s="13">
        <f>SUMIF('OD 12-24'!A:A,A54,'OD 12-24'!D:D)</f>
        <v>0</v>
      </c>
      <c r="G54" s="13">
        <f>SUMIF('OD 12-24'!A:A,A54,'OD 12-24'!E:E)</f>
        <v>0</v>
      </c>
      <c r="H54" s="14">
        <f t="shared" si="0"/>
        <v>0</v>
      </c>
      <c r="I54" s="14">
        <f t="shared" si="1"/>
        <v>0</v>
      </c>
      <c r="J54" s="8"/>
      <c r="K54" s="8"/>
      <c r="L54" s="9">
        <v>0</v>
      </c>
      <c r="M54" s="339"/>
      <c r="N54" s="315"/>
      <c r="O54" s="339"/>
      <c r="P54" s="339"/>
    </row>
    <row r="55" spans="1:16" s="9" customFormat="1" ht="11.25" hidden="1" customHeight="1" x14ac:dyDescent="0.2">
      <c r="A55" s="10">
        <v>26550000</v>
      </c>
      <c r="B55" s="10" t="s">
        <v>293</v>
      </c>
      <c r="C55" s="11">
        <v>0</v>
      </c>
      <c r="D55" s="11">
        <v>0</v>
      </c>
      <c r="E55" s="11">
        <v>0</v>
      </c>
      <c r="F55" s="13">
        <f>SUMIF('OD 12-24'!A:A,A55,'OD 12-24'!D:D)</f>
        <v>0</v>
      </c>
      <c r="G55" s="13">
        <f>SUMIF('OD 12-24'!A:A,A55,'OD 12-24'!E:E)</f>
        <v>0</v>
      </c>
      <c r="H55" s="14">
        <f t="shared" si="0"/>
        <v>0</v>
      </c>
      <c r="I55" s="14">
        <f t="shared" si="1"/>
        <v>0</v>
      </c>
      <c r="J55" s="8"/>
      <c r="K55" s="8"/>
      <c r="L55" s="9">
        <v>0</v>
      </c>
      <c r="M55" s="339"/>
      <c r="N55" s="315"/>
      <c r="O55" s="339"/>
      <c r="P55" s="339"/>
    </row>
    <row r="56" spans="1:16" s="9" customFormat="1" ht="11.25" hidden="1" customHeight="1" x14ac:dyDescent="0.2">
      <c r="A56" s="10">
        <v>26580000</v>
      </c>
      <c r="B56" s="10" t="s">
        <v>23</v>
      </c>
      <c r="C56" s="11">
        <v>5771.2</v>
      </c>
      <c r="D56" s="11">
        <v>0</v>
      </c>
      <c r="E56" s="11">
        <v>0</v>
      </c>
      <c r="F56" s="13">
        <f>SUMIF('OD 12-24'!A:A,A56,'OD 12-24'!D:D)</f>
        <v>0</v>
      </c>
      <c r="G56" s="13">
        <f>SUMIF('OD 12-24'!A:A,A56,'OD 12-24'!E:E)</f>
        <v>0</v>
      </c>
      <c r="H56" s="14">
        <f t="shared" si="0"/>
        <v>0</v>
      </c>
      <c r="I56" s="14">
        <f t="shared" si="1"/>
        <v>5771.2</v>
      </c>
      <c r="J56" s="8" t="s">
        <v>46</v>
      </c>
      <c r="K56" s="8"/>
      <c r="L56" s="9">
        <v>0</v>
      </c>
      <c r="M56" s="339"/>
      <c r="N56" s="315"/>
      <c r="O56" s="339"/>
      <c r="P56" s="339"/>
    </row>
    <row r="57" spans="1:16" s="9" customFormat="1" ht="11.25" hidden="1" customHeight="1" x14ac:dyDescent="0.2">
      <c r="A57" s="10">
        <v>27100000</v>
      </c>
      <c r="B57" s="10" t="s">
        <v>294</v>
      </c>
      <c r="C57" s="11">
        <v>0</v>
      </c>
      <c r="D57" s="11">
        <v>0</v>
      </c>
      <c r="E57" s="11">
        <v>0</v>
      </c>
      <c r="F57" s="13">
        <f>SUMIF('OD 12-24'!A:A,A57,'OD 12-24'!D:D)</f>
        <v>0</v>
      </c>
      <c r="G57" s="13">
        <f>SUMIF('OD 12-24'!A:A,A57,'OD 12-24'!E:E)</f>
        <v>0</v>
      </c>
      <c r="H57" s="14">
        <f t="shared" si="0"/>
        <v>0</v>
      </c>
      <c r="I57" s="14">
        <f t="shared" si="1"/>
        <v>0</v>
      </c>
      <c r="J57" s="8"/>
      <c r="K57" s="8"/>
      <c r="L57" s="9">
        <v>0</v>
      </c>
      <c r="M57" s="339"/>
      <c r="N57" s="315"/>
      <c r="O57" s="339"/>
      <c r="P57" s="339"/>
    </row>
    <row r="58" spans="1:16" s="9" customFormat="1" ht="11.25" hidden="1" customHeight="1" x14ac:dyDescent="0.2">
      <c r="A58" s="10">
        <v>28100000</v>
      </c>
      <c r="B58" s="10" t="s">
        <v>295</v>
      </c>
      <c r="C58" s="11">
        <v>0</v>
      </c>
      <c r="D58" s="11">
        <v>0</v>
      </c>
      <c r="E58" s="11">
        <v>0</v>
      </c>
      <c r="F58" s="13">
        <f>SUMIF('OD 12-24'!A:A,A58,'OD 12-24'!D:D)</f>
        <v>0</v>
      </c>
      <c r="G58" s="13">
        <f>SUMIF('OD 12-24'!A:A,A58,'OD 12-24'!E:E)</f>
        <v>0</v>
      </c>
      <c r="H58" s="14">
        <f t="shared" si="0"/>
        <v>0</v>
      </c>
      <c r="I58" s="14">
        <f t="shared" si="1"/>
        <v>0</v>
      </c>
      <c r="J58" s="8"/>
      <c r="K58" s="8"/>
      <c r="L58" s="9">
        <v>0</v>
      </c>
      <c r="M58" s="339"/>
      <c r="N58" s="315"/>
      <c r="O58" s="339"/>
      <c r="P58" s="339"/>
    </row>
    <row r="59" spans="1:16" s="9" customFormat="1" ht="11.25" hidden="1" customHeight="1" x14ac:dyDescent="0.2">
      <c r="A59" s="10">
        <v>28110000</v>
      </c>
      <c r="B59" s="10" t="s">
        <v>296</v>
      </c>
      <c r="C59" s="11">
        <v>0</v>
      </c>
      <c r="D59" s="11">
        <v>0</v>
      </c>
      <c r="E59" s="11">
        <v>0</v>
      </c>
      <c r="F59" s="13">
        <f>SUMIF('OD 12-24'!A:A,A59,'OD 12-24'!D:D)</f>
        <v>0</v>
      </c>
      <c r="G59" s="13">
        <f>SUMIF('OD 12-24'!A:A,A59,'OD 12-24'!E:E)</f>
        <v>0</v>
      </c>
      <c r="H59" s="14">
        <f t="shared" si="0"/>
        <v>0</v>
      </c>
      <c r="I59" s="14">
        <f t="shared" si="1"/>
        <v>0</v>
      </c>
      <c r="J59" s="8"/>
      <c r="K59" s="8"/>
      <c r="L59" s="9">
        <v>0</v>
      </c>
      <c r="M59" s="339"/>
      <c r="N59" s="315"/>
      <c r="O59" s="339"/>
      <c r="P59" s="339"/>
    </row>
    <row r="60" spans="1:16" s="9" customFormat="1" ht="11.25" hidden="1" customHeight="1" x14ac:dyDescent="0.2">
      <c r="A60" s="10">
        <v>28130000</v>
      </c>
      <c r="B60" s="10" t="s">
        <v>8979</v>
      </c>
      <c r="C60" s="11">
        <v>-75004.895999999993</v>
      </c>
      <c r="D60" s="11">
        <v>0</v>
      </c>
      <c r="E60" s="11">
        <v>0</v>
      </c>
      <c r="F60" s="13">
        <f>SUMIF('OD 12-24'!A:A,A60,'OD 12-24'!D:D)</f>
        <v>81494.475999999995</v>
      </c>
      <c r="G60" s="13">
        <f>SUMIF('OD 12-24'!A:A,A60,'OD 12-24'!E:E)</f>
        <v>94805.332999999999</v>
      </c>
      <c r="H60" s="14">
        <f t="shared" si="0"/>
        <v>-13310.857000000004</v>
      </c>
      <c r="I60" s="14">
        <f t="shared" si="1"/>
        <v>-88315.752999999997</v>
      </c>
      <c r="J60" s="8" t="s">
        <v>47</v>
      </c>
      <c r="K60" s="8"/>
      <c r="L60" s="9">
        <v>0</v>
      </c>
      <c r="M60" s="339"/>
      <c r="N60" s="315"/>
      <c r="O60" s="339"/>
      <c r="P60" s="339"/>
    </row>
    <row r="61" spans="1:16" s="9" customFormat="1" ht="11.25" hidden="1" customHeight="1" x14ac:dyDescent="0.2">
      <c r="A61" s="10">
        <v>28216000</v>
      </c>
      <c r="B61" s="10" t="s">
        <v>48</v>
      </c>
      <c r="C61" s="11">
        <v>-148352.71299999999</v>
      </c>
      <c r="D61" s="11">
        <v>0</v>
      </c>
      <c r="E61" s="11">
        <v>0</v>
      </c>
      <c r="F61" s="13">
        <f>SUMIF('OD 12-24'!A:A,A61,'OD 12-24'!D:D)</f>
        <v>15436.151</v>
      </c>
      <c r="G61" s="13">
        <f>SUMIF('OD 12-24'!A:A,A61,'OD 12-24'!E:E)</f>
        <v>18257.481</v>
      </c>
      <c r="H61" s="14">
        <f t="shared" si="0"/>
        <v>-2821.33</v>
      </c>
      <c r="I61" s="14">
        <f t="shared" si="1"/>
        <v>-151174.04299999998</v>
      </c>
      <c r="J61" s="8" t="s">
        <v>47</v>
      </c>
      <c r="K61" s="8"/>
      <c r="L61" s="9">
        <v>0</v>
      </c>
      <c r="M61" s="339"/>
      <c r="N61" s="315"/>
      <c r="O61" s="339"/>
      <c r="P61" s="339"/>
    </row>
    <row r="62" spans="1:16" s="9" customFormat="1" ht="11.25" hidden="1" customHeight="1" x14ac:dyDescent="0.2">
      <c r="A62" s="10">
        <v>28220000</v>
      </c>
      <c r="B62" s="10" t="s">
        <v>49</v>
      </c>
      <c r="C62" s="11">
        <v>-3729152.5419999999</v>
      </c>
      <c r="D62" s="11">
        <v>0</v>
      </c>
      <c r="E62" s="11">
        <v>0</v>
      </c>
      <c r="F62" s="13">
        <f>SUMIF('OD 12-24'!A:A,A62,'OD 12-24'!D:D)</f>
        <v>2517134.5720000002</v>
      </c>
      <c r="G62" s="13">
        <f>SUMIF('OD 12-24'!A:A,A62,'OD 12-24'!E:E)</f>
        <v>2977201.7319999998</v>
      </c>
      <c r="H62" s="14">
        <f t="shared" si="0"/>
        <v>-460067.15999999968</v>
      </c>
      <c r="I62" s="14">
        <f t="shared" si="1"/>
        <v>-4189219.7019999996</v>
      </c>
      <c r="J62" s="8" t="s">
        <v>47</v>
      </c>
      <c r="K62" s="8"/>
      <c r="L62" s="9">
        <v>0</v>
      </c>
      <c r="M62" s="339"/>
      <c r="N62" s="315"/>
      <c r="O62" s="339"/>
      <c r="P62" s="339"/>
    </row>
    <row r="63" spans="1:16" s="9" customFormat="1" ht="11.25" hidden="1" customHeight="1" x14ac:dyDescent="0.2">
      <c r="A63" s="10">
        <v>28225000</v>
      </c>
      <c r="B63" s="10" t="s">
        <v>50</v>
      </c>
      <c r="C63" s="11">
        <v>-271826.14399999997</v>
      </c>
      <c r="D63" s="11">
        <v>0</v>
      </c>
      <c r="E63" s="11">
        <v>0</v>
      </c>
      <c r="F63" s="13">
        <f>SUMIF('OD 12-24'!A:A,A63,'OD 12-24'!D:D)</f>
        <v>425762.98800000001</v>
      </c>
      <c r="G63" s="13">
        <f>SUMIF('OD 12-24'!A:A,A63,'OD 12-24'!E:E)</f>
        <v>499995.978</v>
      </c>
      <c r="H63" s="14">
        <f t="shared" si="0"/>
        <v>-74232.989999999991</v>
      </c>
      <c r="I63" s="14">
        <f t="shared" si="1"/>
        <v>-346059.13399999996</v>
      </c>
      <c r="J63" s="8" t="s">
        <v>47</v>
      </c>
      <c r="K63" s="8"/>
      <c r="L63" s="9">
        <v>0</v>
      </c>
      <c r="M63" s="339"/>
      <c r="N63" s="315"/>
      <c r="O63" s="339"/>
      <c r="P63" s="339"/>
    </row>
    <row r="64" spans="1:16" s="9" customFormat="1" ht="11.25" hidden="1" customHeight="1" x14ac:dyDescent="0.2">
      <c r="A64" s="10">
        <v>28230000</v>
      </c>
      <c r="B64" s="10" t="s">
        <v>263</v>
      </c>
      <c r="C64" s="11">
        <v>-43130.395000000004</v>
      </c>
      <c r="D64" s="11">
        <v>0</v>
      </c>
      <c r="E64" s="11">
        <v>0</v>
      </c>
      <c r="F64" s="13">
        <f>SUMIF('OD 12-24'!A:A,A64,'OD 12-24'!D:D)</f>
        <v>154557.95600000001</v>
      </c>
      <c r="G64" s="13">
        <f>SUMIF('OD 12-24'!A:A,A64,'OD 12-24'!E:E)</f>
        <v>184781.35699999999</v>
      </c>
      <c r="H64" s="14">
        <f t="shared" si="0"/>
        <v>-30223.400999999983</v>
      </c>
      <c r="I64" s="14">
        <f t="shared" si="1"/>
        <v>-73353.795999999988</v>
      </c>
      <c r="J64" s="8" t="s">
        <v>47</v>
      </c>
      <c r="K64" s="8"/>
      <c r="L64" s="9">
        <v>0</v>
      </c>
      <c r="M64" s="339"/>
      <c r="N64" s="315"/>
      <c r="O64" s="339"/>
      <c r="P64" s="339"/>
    </row>
    <row r="65" spans="1:16" s="9" customFormat="1" ht="11.25" hidden="1" customHeight="1" x14ac:dyDescent="0.2">
      <c r="A65" s="10">
        <v>28231000</v>
      </c>
      <c r="B65" s="10" t="s">
        <v>402</v>
      </c>
      <c r="C65" s="11">
        <v>0</v>
      </c>
      <c r="D65" s="11">
        <v>0</v>
      </c>
      <c r="E65" s="11">
        <v>0</v>
      </c>
      <c r="F65" s="13">
        <f>SUMIF('OD 12-24'!A:A,A65,'OD 12-24'!D:D)</f>
        <v>11271.21</v>
      </c>
      <c r="G65" s="13">
        <f>SUMIF('OD 12-24'!A:A,A65,'OD 12-24'!E:E)</f>
        <v>15443.87</v>
      </c>
      <c r="H65" s="14">
        <f t="shared" si="0"/>
        <v>-4172.6600000000017</v>
      </c>
      <c r="I65" s="14">
        <f t="shared" si="1"/>
        <v>-4172.6600000000017</v>
      </c>
      <c r="J65" s="8" t="s">
        <v>47</v>
      </c>
      <c r="K65" s="8"/>
      <c r="L65" s="9" t="e">
        <v>#N/A</v>
      </c>
      <c r="M65" s="339"/>
      <c r="N65" s="315"/>
      <c r="O65" s="339"/>
      <c r="P65" s="339"/>
    </row>
    <row r="66" spans="1:16" s="9" customFormat="1" ht="11.25" hidden="1" customHeight="1" x14ac:dyDescent="0.2">
      <c r="A66" s="10">
        <v>28234000</v>
      </c>
      <c r="B66" s="10" t="s">
        <v>51</v>
      </c>
      <c r="C66" s="11">
        <v>-15867226.817000002</v>
      </c>
      <c r="D66" s="11">
        <v>308651.201</v>
      </c>
      <c r="E66" s="11">
        <v>0</v>
      </c>
      <c r="F66" s="13">
        <f>SUMIF('OD 12-24'!A:A,A66,'OD 12-24'!D:D)</f>
        <v>8929374.1030000001</v>
      </c>
      <c r="G66" s="13">
        <f>SUMIF('OD 12-24'!A:A,A66,'OD 12-24'!E:E)</f>
        <v>10564651.658</v>
      </c>
      <c r="H66" s="14">
        <f t="shared" si="0"/>
        <v>-1326626.3540000003</v>
      </c>
      <c r="I66" s="14">
        <f t="shared" si="1"/>
        <v>-17193853.171000004</v>
      </c>
      <c r="J66" s="8" t="s">
        <v>47</v>
      </c>
      <c r="K66" s="8"/>
      <c r="L66" s="9">
        <v>0</v>
      </c>
      <c r="M66" s="339"/>
      <c r="N66" s="315"/>
      <c r="O66" s="339"/>
      <c r="P66" s="339"/>
    </row>
    <row r="67" spans="1:16" s="9" customFormat="1" ht="11.25" hidden="1" customHeight="1" x14ac:dyDescent="0.2">
      <c r="A67" s="10">
        <v>28235000</v>
      </c>
      <c r="B67" s="10" t="s">
        <v>52</v>
      </c>
      <c r="C67" s="11">
        <v>-355370.76600000006</v>
      </c>
      <c r="D67" s="11">
        <v>0</v>
      </c>
      <c r="E67" s="11">
        <v>0</v>
      </c>
      <c r="F67" s="13">
        <f>SUMIF('OD 12-24'!A:A,A67,'OD 12-24'!D:D)</f>
        <v>321253.58399999997</v>
      </c>
      <c r="G67" s="13">
        <f>SUMIF('OD 12-24'!A:A,A67,'OD 12-24'!E:E)</f>
        <v>379736.15899999999</v>
      </c>
      <c r="H67" s="14">
        <f t="shared" ref="H67:H130" si="2">+D67+F67-E67-G67</f>
        <v>-58482.575000000012</v>
      </c>
      <c r="I67" s="14">
        <f t="shared" ref="I67:I130" si="3">+H67+C67</f>
        <v>-413853.34100000007</v>
      </c>
      <c r="J67" s="8" t="s">
        <v>47</v>
      </c>
      <c r="K67" s="8"/>
      <c r="L67" s="9">
        <v>0</v>
      </c>
      <c r="M67" s="339"/>
      <c r="N67" s="315"/>
      <c r="O67" s="339"/>
      <c r="P67" s="339"/>
    </row>
    <row r="68" spans="1:16" s="9" customFormat="1" ht="11.25" hidden="1" customHeight="1" x14ac:dyDescent="0.2">
      <c r="A68" s="10">
        <v>28237000</v>
      </c>
      <c r="B68" s="10" t="s">
        <v>53</v>
      </c>
      <c r="C68" s="11">
        <v>-756166.84899999993</v>
      </c>
      <c r="D68" s="11">
        <v>0</v>
      </c>
      <c r="E68" s="11">
        <v>0</v>
      </c>
      <c r="F68" s="13">
        <f>SUMIF('OD 12-24'!A:A,A68,'OD 12-24'!D:D)</f>
        <v>227484.307</v>
      </c>
      <c r="G68" s="13">
        <f>SUMIF('OD 12-24'!A:A,A68,'OD 12-24'!E:E)</f>
        <v>264738.76400000002</v>
      </c>
      <c r="H68" s="14">
        <f t="shared" si="2"/>
        <v>-37254.457000000024</v>
      </c>
      <c r="I68" s="14">
        <f t="shared" si="3"/>
        <v>-793421.30599999998</v>
      </c>
      <c r="J68" s="8" t="s">
        <v>47</v>
      </c>
      <c r="K68" s="8"/>
      <c r="L68" s="9">
        <v>0</v>
      </c>
      <c r="M68" s="339"/>
      <c r="N68" s="315"/>
      <c r="O68" s="339"/>
      <c r="P68" s="339"/>
    </row>
    <row r="69" spans="1:16" s="9" customFormat="1" ht="11.25" hidden="1" customHeight="1" x14ac:dyDescent="0.2">
      <c r="A69" s="10">
        <v>28240000</v>
      </c>
      <c r="B69" s="10" t="s">
        <v>54</v>
      </c>
      <c r="C69" s="11">
        <v>-641382.64299999992</v>
      </c>
      <c r="D69" s="11">
        <v>30121.977999999996</v>
      </c>
      <c r="E69" s="11">
        <v>17545.055</v>
      </c>
      <c r="F69" s="13">
        <f>SUMIF('OD 12-24'!A:A,A69,'OD 12-24'!D:D)</f>
        <v>1006246.524</v>
      </c>
      <c r="G69" s="13">
        <f>SUMIF('OD 12-24'!A:A,A69,'OD 12-24'!E:E)</f>
        <v>1183166.933</v>
      </c>
      <c r="H69" s="14">
        <f t="shared" si="2"/>
        <v>-164343.48600000003</v>
      </c>
      <c r="I69" s="14">
        <f t="shared" si="3"/>
        <v>-805726.12899999996</v>
      </c>
      <c r="J69" s="8" t="s">
        <v>47</v>
      </c>
      <c r="K69" s="8"/>
      <c r="L69" s="9">
        <v>0</v>
      </c>
      <c r="M69" s="339"/>
      <c r="N69" s="315"/>
      <c r="O69" s="339"/>
      <c r="P69" s="339"/>
    </row>
    <row r="70" spans="1:16" s="9" customFormat="1" ht="11.25" hidden="1" customHeight="1" x14ac:dyDescent="0.2">
      <c r="A70" s="10">
        <v>28282000</v>
      </c>
      <c r="B70" s="10" t="s">
        <v>55</v>
      </c>
      <c r="C70" s="11">
        <v>-227110.92800000001</v>
      </c>
      <c r="D70" s="11">
        <v>0</v>
      </c>
      <c r="E70" s="11">
        <v>0</v>
      </c>
      <c r="F70" s="13">
        <f>SUMIF('OD 12-24'!A:A,A70,'OD 12-24'!D:D)</f>
        <v>301120.571</v>
      </c>
      <c r="G70" s="13">
        <f>SUMIF('OD 12-24'!A:A,A70,'OD 12-24'!E:E)</f>
        <v>357490.71100000001</v>
      </c>
      <c r="H70" s="14">
        <f t="shared" si="2"/>
        <v>-56370.140000000014</v>
      </c>
      <c r="I70" s="14">
        <f t="shared" si="3"/>
        <v>-283481.06800000003</v>
      </c>
      <c r="J70" s="8" t="s">
        <v>47</v>
      </c>
      <c r="K70" s="8"/>
      <c r="L70" s="9">
        <v>0</v>
      </c>
      <c r="M70" s="339"/>
      <c r="N70" s="315"/>
      <c r="O70" s="339"/>
      <c r="P70" s="339"/>
    </row>
    <row r="71" spans="1:16" s="9" customFormat="1" ht="11.25" hidden="1" customHeight="1" x14ac:dyDescent="0.2">
      <c r="A71" s="10">
        <v>28283000</v>
      </c>
      <c r="B71" s="10" t="s">
        <v>264</v>
      </c>
      <c r="C71" s="11">
        <v>-129025.63500000001</v>
      </c>
      <c r="D71" s="11">
        <v>0</v>
      </c>
      <c r="E71" s="11">
        <v>0</v>
      </c>
      <c r="F71" s="13">
        <f>SUMIF('OD 12-24'!A:A,A71,'OD 12-24'!D:D)</f>
        <v>262370.13099999999</v>
      </c>
      <c r="G71" s="13">
        <f>SUMIF('OD 12-24'!A:A,A71,'OD 12-24'!E:E)</f>
        <v>312856.52799999999</v>
      </c>
      <c r="H71" s="14">
        <f t="shared" si="2"/>
        <v>-50486.396999999997</v>
      </c>
      <c r="I71" s="14">
        <f t="shared" si="3"/>
        <v>-179512.03200000001</v>
      </c>
      <c r="J71" s="8" t="s">
        <v>47</v>
      </c>
      <c r="K71" s="8"/>
      <c r="L71" s="9">
        <v>0</v>
      </c>
      <c r="M71" s="339"/>
      <c r="N71" s="315"/>
      <c r="O71" s="339"/>
      <c r="P71" s="339"/>
    </row>
    <row r="72" spans="1:16" s="9" customFormat="1" ht="11.25" hidden="1" customHeight="1" x14ac:dyDescent="0.2">
      <c r="A72" s="10">
        <v>28400000</v>
      </c>
      <c r="B72" s="10" t="s">
        <v>56</v>
      </c>
      <c r="C72" s="11">
        <v>-480076.72500000009</v>
      </c>
      <c r="D72" s="11">
        <v>127922.60400000001</v>
      </c>
      <c r="E72" s="11">
        <v>0</v>
      </c>
      <c r="F72" s="13">
        <f>SUMIF('OD 12-24'!A:A,A72,'OD 12-24'!D:D)</f>
        <v>817246.01199999999</v>
      </c>
      <c r="G72" s="13">
        <f>SUMIF('OD 12-24'!A:A,A72,'OD 12-24'!E:E)</f>
        <v>971575.701</v>
      </c>
      <c r="H72" s="14">
        <f t="shared" si="2"/>
        <v>-26407.084999999963</v>
      </c>
      <c r="I72" s="14">
        <f t="shared" si="3"/>
        <v>-506483.81000000006</v>
      </c>
      <c r="J72" s="8" t="s">
        <v>47</v>
      </c>
      <c r="K72" s="8"/>
      <c r="L72" s="9">
        <v>0</v>
      </c>
      <c r="M72" s="339"/>
      <c r="N72" s="315"/>
      <c r="O72" s="339"/>
      <c r="P72" s="339"/>
    </row>
    <row r="73" spans="1:16" s="9" customFormat="1" ht="11.25" hidden="1" customHeight="1" x14ac:dyDescent="0.2">
      <c r="A73" s="10">
        <v>29220000</v>
      </c>
      <c r="B73" s="10" t="s">
        <v>297</v>
      </c>
      <c r="C73" s="11">
        <v>0</v>
      </c>
      <c r="D73" s="11">
        <v>0</v>
      </c>
      <c r="E73" s="11">
        <v>0</v>
      </c>
      <c r="F73" s="13">
        <f>SUMIF('OD 12-24'!A:A,A73,'OD 12-24'!D:D)</f>
        <v>0</v>
      </c>
      <c r="G73" s="13">
        <f>SUMIF('OD 12-24'!A:A,A73,'OD 12-24'!E:E)</f>
        <v>0</v>
      </c>
      <c r="H73" s="14">
        <f t="shared" si="2"/>
        <v>0</v>
      </c>
      <c r="I73" s="14">
        <f t="shared" si="3"/>
        <v>0</v>
      </c>
      <c r="J73" s="8"/>
      <c r="K73" s="8"/>
      <c r="L73" s="9">
        <v>0</v>
      </c>
      <c r="M73" s="339"/>
      <c r="N73" s="315"/>
      <c r="O73" s="339"/>
      <c r="P73" s="339"/>
    </row>
    <row r="74" spans="1:16" s="9" customFormat="1" ht="11.25" hidden="1" customHeight="1" x14ac:dyDescent="0.2">
      <c r="A74" s="10">
        <v>29234000</v>
      </c>
      <c r="B74" s="10" t="s">
        <v>388</v>
      </c>
      <c r="C74" s="11">
        <v>-223876.883</v>
      </c>
      <c r="D74" s="11">
        <v>59797.479000000007</v>
      </c>
      <c r="E74" s="11">
        <v>0</v>
      </c>
      <c r="F74" s="13">
        <f>SUMIF('OD 12-24'!A:A,A74,'OD 12-24'!D:D)</f>
        <v>400000</v>
      </c>
      <c r="G74" s="13">
        <f>SUMIF('OD 12-24'!A:A,A74,'OD 12-24'!E:E)</f>
        <v>627693.68799999997</v>
      </c>
      <c r="H74" s="14">
        <f t="shared" si="2"/>
        <v>-167896.20899999997</v>
      </c>
      <c r="I74" s="14">
        <f t="shared" si="3"/>
        <v>-391773.09199999995</v>
      </c>
      <c r="J74" s="8" t="s">
        <v>401</v>
      </c>
      <c r="K74" s="8"/>
      <c r="L74" s="9">
        <v>0</v>
      </c>
      <c r="M74" s="339"/>
      <c r="N74" s="315"/>
      <c r="O74" s="339"/>
      <c r="P74" s="339"/>
    </row>
    <row r="75" spans="1:16" s="9" customFormat="1" ht="11.25" hidden="1" customHeight="1" x14ac:dyDescent="0.2">
      <c r="A75" s="10">
        <v>29235000</v>
      </c>
      <c r="B75" s="10" t="s">
        <v>389</v>
      </c>
      <c r="C75" s="11">
        <v>-8171.429000000001</v>
      </c>
      <c r="D75" s="11">
        <v>0</v>
      </c>
      <c r="E75" s="11">
        <v>0</v>
      </c>
      <c r="F75" s="13">
        <f>SUMIF('OD 12-24'!A:A,A75,'OD 12-24'!D:D)</f>
        <v>0</v>
      </c>
      <c r="G75" s="13">
        <f>SUMIF('OD 12-24'!A:A,A75,'OD 12-24'!E:E)</f>
        <v>0</v>
      </c>
      <c r="H75" s="14">
        <f t="shared" si="2"/>
        <v>0</v>
      </c>
      <c r="I75" s="14">
        <f t="shared" si="3"/>
        <v>-8171.429000000001</v>
      </c>
      <c r="J75" s="8" t="s">
        <v>401</v>
      </c>
      <c r="K75" s="8"/>
      <c r="L75" s="9">
        <v>0</v>
      </c>
      <c r="M75" s="339"/>
      <c r="N75" s="315"/>
      <c r="O75" s="339"/>
      <c r="P75" s="339"/>
    </row>
    <row r="76" spans="1:16" s="9" customFormat="1" ht="11.25" hidden="1" customHeight="1" x14ac:dyDescent="0.2">
      <c r="A76" s="10">
        <v>29282000</v>
      </c>
      <c r="B76" s="10" t="s">
        <v>298</v>
      </c>
      <c r="C76" s="11">
        <v>0</v>
      </c>
      <c r="D76" s="11">
        <v>0</v>
      </c>
      <c r="E76" s="11">
        <v>0</v>
      </c>
      <c r="F76" s="13">
        <f>SUMIF('OD 12-24'!A:A,A76,'OD 12-24'!D:D)</f>
        <v>0</v>
      </c>
      <c r="G76" s="13">
        <f>SUMIF('OD 12-24'!A:A,A76,'OD 12-24'!E:E)</f>
        <v>0</v>
      </c>
      <c r="H76" s="14">
        <f t="shared" si="2"/>
        <v>0</v>
      </c>
      <c r="I76" s="14">
        <f t="shared" si="3"/>
        <v>0</v>
      </c>
      <c r="J76" s="8"/>
      <c r="K76" s="8"/>
      <c r="L76" s="9">
        <v>0</v>
      </c>
      <c r="M76" s="339"/>
      <c r="N76" s="315"/>
      <c r="O76" s="339"/>
      <c r="P76" s="339"/>
    </row>
    <row r="77" spans="1:16" s="9" customFormat="1" ht="11.25" hidden="1" customHeight="1" x14ac:dyDescent="0.2">
      <c r="A77" s="10">
        <v>29286500</v>
      </c>
      <c r="B77" s="10" t="s">
        <v>299</v>
      </c>
      <c r="C77" s="11">
        <v>0</v>
      </c>
      <c r="D77" s="11">
        <v>0</v>
      </c>
      <c r="E77" s="11">
        <v>0</v>
      </c>
      <c r="F77" s="13">
        <f>SUMIF('OD 12-24'!A:A,A77,'OD 12-24'!D:D)</f>
        <v>0</v>
      </c>
      <c r="G77" s="13">
        <f>SUMIF('OD 12-24'!A:A,A77,'OD 12-24'!E:E)</f>
        <v>0</v>
      </c>
      <c r="H77" s="14">
        <f t="shared" si="2"/>
        <v>0</v>
      </c>
      <c r="I77" s="14">
        <f t="shared" si="3"/>
        <v>0</v>
      </c>
      <c r="J77" s="8" t="s">
        <v>25</v>
      </c>
      <c r="K77" s="8"/>
      <c r="L77" s="9">
        <v>0</v>
      </c>
      <c r="M77" s="339"/>
      <c r="N77" s="315"/>
      <c r="O77" s="339"/>
      <c r="P77" s="339"/>
    </row>
    <row r="78" spans="1:16" s="9" customFormat="1" ht="11.25" hidden="1" customHeight="1" x14ac:dyDescent="0.2">
      <c r="A78" s="10">
        <v>29700000</v>
      </c>
      <c r="B78" s="10" t="s">
        <v>57</v>
      </c>
      <c r="C78" s="11">
        <v>-29257.384999999998</v>
      </c>
      <c r="D78" s="11">
        <v>0</v>
      </c>
      <c r="E78" s="11">
        <v>0</v>
      </c>
      <c r="F78" s="13">
        <f>SUMIF('OD 12-24'!A:A,A78,'OD 12-24'!D:D)</f>
        <v>0</v>
      </c>
      <c r="G78" s="13">
        <f>SUMIF('OD 12-24'!A:A,A78,'OD 12-24'!E:E)</f>
        <v>0</v>
      </c>
      <c r="H78" s="14">
        <f t="shared" si="2"/>
        <v>0</v>
      </c>
      <c r="I78" s="14">
        <f t="shared" si="3"/>
        <v>-29257.384999999998</v>
      </c>
      <c r="J78" s="8" t="s">
        <v>58</v>
      </c>
      <c r="K78" s="8"/>
      <c r="L78" s="9">
        <v>0</v>
      </c>
      <c r="M78" s="339"/>
      <c r="N78" s="315"/>
      <c r="O78" s="339"/>
      <c r="P78" s="339"/>
    </row>
    <row r="79" spans="1:16" s="9" customFormat="1" ht="11.25" hidden="1" customHeight="1" x14ac:dyDescent="0.2">
      <c r="A79" s="10">
        <v>31100000</v>
      </c>
      <c r="B79" s="10" t="s">
        <v>59</v>
      </c>
      <c r="C79" s="11">
        <v>9520075.0200000107</v>
      </c>
      <c r="D79" s="11">
        <v>0</v>
      </c>
      <c r="E79" s="11">
        <v>9520075.0199999996</v>
      </c>
      <c r="F79" s="13">
        <f>SUMIF('OD 12-24'!A:A,A79,'OD 12-24'!D:D)</f>
        <v>155282692.28119999</v>
      </c>
      <c r="G79" s="13">
        <f>SUMIF('OD 12-24'!A:A,A79,'OD 12-24'!E:E)</f>
        <v>140745458.85620001</v>
      </c>
      <c r="H79" s="14">
        <f t="shared" si="2"/>
        <v>5017158.4049999714</v>
      </c>
      <c r="I79" s="14">
        <f t="shared" si="3"/>
        <v>14537233.424999982</v>
      </c>
      <c r="J79" s="8" t="s">
        <v>60</v>
      </c>
      <c r="K79" s="8"/>
      <c r="L79" s="9" t="s">
        <v>10099</v>
      </c>
      <c r="M79" s="339"/>
      <c r="N79" s="315"/>
      <c r="O79" s="339"/>
      <c r="P79" s="339"/>
    </row>
    <row r="80" spans="1:16" s="9" customFormat="1" ht="11.25" hidden="1" customHeight="1" x14ac:dyDescent="0.2">
      <c r="A80" s="10">
        <v>31200000</v>
      </c>
      <c r="B80" s="10" t="s">
        <v>390</v>
      </c>
      <c r="C80" s="11">
        <v>1881173.9139999996</v>
      </c>
      <c r="D80" s="11">
        <v>0</v>
      </c>
      <c r="E80" s="11">
        <v>1881173.9140000001</v>
      </c>
      <c r="F80" s="13">
        <f>SUMIF('OD 12-24'!A:A,A80,'OD 12-24'!D:D)</f>
        <v>7223406.0990000004</v>
      </c>
      <c r="G80" s="13">
        <f>SUMIF('OD 12-24'!A:A,A80,'OD 12-24'!E:E)</f>
        <v>5854753.227</v>
      </c>
      <c r="H80" s="14">
        <f t="shared" si="2"/>
        <v>-512521.04199999943</v>
      </c>
      <c r="I80" s="14">
        <f t="shared" si="3"/>
        <v>1368652.8720000002</v>
      </c>
      <c r="J80" s="8" t="s">
        <v>60</v>
      </c>
      <c r="K80" s="8"/>
      <c r="L80" s="9" t="s">
        <v>10099</v>
      </c>
      <c r="M80" s="339"/>
      <c r="N80" s="315"/>
      <c r="O80" s="339"/>
      <c r="P80" s="339"/>
    </row>
    <row r="81" spans="1:16" s="9" customFormat="1" ht="11.25" hidden="1" customHeight="1" x14ac:dyDescent="0.2">
      <c r="A81" s="10">
        <v>32200000</v>
      </c>
      <c r="B81" s="10" t="s">
        <v>61</v>
      </c>
      <c r="C81" s="11">
        <v>662156.42899999954</v>
      </c>
      <c r="D81" s="11">
        <v>0</v>
      </c>
      <c r="E81" s="11">
        <v>662156.429</v>
      </c>
      <c r="F81" s="13">
        <f>SUMIF('OD 12-24'!A:A,A81,'OD 12-24'!D:D)</f>
        <v>9969956.1744999997</v>
      </c>
      <c r="G81" s="13">
        <f>SUMIF('OD 12-24'!A:A,A81,'OD 12-24'!E:E)</f>
        <v>9358523.2255000006</v>
      </c>
      <c r="H81" s="14">
        <f t="shared" si="2"/>
        <v>-50723.480000000447</v>
      </c>
      <c r="I81" s="14">
        <f t="shared" si="3"/>
        <v>611432.94899999909</v>
      </c>
      <c r="J81" s="8" t="s">
        <v>60</v>
      </c>
      <c r="K81" s="8"/>
      <c r="L81" s="9" t="s">
        <v>10099</v>
      </c>
      <c r="M81" s="339"/>
      <c r="N81" s="315"/>
      <c r="O81" s="339"/>
      <c r="P81" s="339"/>
    </row>
    <row r="82" spans="1:16" s="9" customFormat="1" ht="11.25" hidden="1" customHeight="1" x14ac:dyDescent="0.2">
      <c r="A82" s="10">
        <v>33100000</v>
      </c>
      <c r="B82" s="10" t="s">
        <v>62</v>
      </c>
      <c r="C82" s="11">
        <v>3435380.2890000008</v>
      </c>
      <c r="D82" s="11">
        <v>0</v>
      </c>
      <c r="E82" s="11">
        <v>3435380.2889999999</v>
      </c>
      <c r="F82" s="13">
        <f>SUMIF('OD 12-24'!A:A,A82,'OD 12-24'!D:D)</f>
        <v>60997927.780400001</v>
      </c>
      <c r="G82" s="13">
        <f>SUMIF('OD 12-24'!A:A,A82,'OD 12-24'!E:E)</f>
        <v>54964978.217399999</v>
      </c>
      <c r="H82" s="14">
        <f t="shared" si="2"/>
        <v>2597569.2740000039</v>
      </c>
      <c r="I82" s="14">
        <f t="shared" si="3"/>
        <v>6032949.5630000047</v>
      </c>
      <c r="J82" s="8" t="s">
        <v>60</v>
      </c>
      <c r="K82" s="8"/>
      <c r="L82" s="9" t="s">
        <v>10099</v>
      </c>
      <c r="M82" s="339"/>
      <c r="N82" s="315"/>
      <c r="O82" s="339"/>
      <c r="P82" s="339"/>
    </row>
    <row r="83" spans="1:16" s="9" customFormat="1" ht="11.25" hidden="1" customHeight="1" x14ac:dyDescent="0.2">
      <c r="A83" s="10">
        <v>33500000</v>
      </c>
      <c r="B83" s="10" t="s">
        <v>300</v>
      </c>
      <c r="C83" s="11">
        <v>0</v>
      </c>
      <c r="D83" s="11">
        <v>0</v>
      </c>
      <c r="E83" s="11">
        <v>0</v>
      </c>
      <c r="F83" s="13">
        <f>SUMIF('OD 12-24'!A:A,A83,'OD 12-24'!D:D)</f>
        <v>0</v>
      </c>
      <c r="G83" s="13">
        <f>SUMIF('OD 12-24'!A:A,A83,'OD 12-24'!E:E)</f>
        <v>0</v>
      </c>
      <c r="H83" s="14">
        <f t="shared" si="2"/>
        <v>0</v>
      </c>
      <c r="I83" s="14">
        <f t="shared" si="3"/>
        <v>0</v>
      </c>
      <c r="J83" s="8"/>
      <c r="K83" s="8"/>
      <c r="L83" s="9">
        <v>0</v>
      </c>
      <c r="M83" s="339"/>
      <c r="N83" s="315"/>
      <c r="O83" s="339"/>
      <c r="P83" s="339"/>
    </row>
    <row r="84" spans="1:16" s="9" customFormat="1" ht="11.25" hidden="1" customHeight="1" x14ac:dyDescent="0.2">
      <c r="A84" s="10">
        <v>34100000</v>
      </c>
      <c r="B84" s="10" t="s">
        <v>301</v>
      </c>
      <c r="C84" s="11">
        <v>0</v>
      </c>
      <c r="D84" s="11">
        <v>0</v>
      </c>
      <c r="E84" s="11">
        <v>0</v>
      </c>
      <c r="F84" s="13">
        <f>SUMIF('OD 12-24'!A:A,A84,'OD 12-24'!D:D)</f>
        <v>0</v>
      </c>
      <c r="G84" s="13">
        <f>SUMIF('OD 12-24'!A:A,A84,'OD 12-24'!E:E)</f>
        <v>0</v>
      </c>
      <c r="H84" s="14">
        <f t="shared" si="2"/>
        <v>0</v>
      </c>
      <c r="I84" s="14">
        <f t="shared" si="3"/>
        <v>0</v>
      </c>
      <c r="J84" s="8"/>
      <c r="K84" s="8"/>
      <c r="L84" s="9">
        <v>0</v>
      </c>
      <c r="M84" s="339"/>
      <c r="N84" s="315"/>
      <c r="O84" s="339"/>
      <c r="P84" s="339"/>
    </row>
    <row r="85" spans="1:16" s="9" customFormat="1" ht="11.25" hidden="1" customHeight="1" x14ac:dyDescent="0.2">
      <c r="A85" s="10">
        <v>35500000</v>
      </c>
      <c r="B85" s="10" t="s">
        <v>63</v>
      </c>
      <c r="C85" s="11">
        <v>1674504.0189999994</v>
      </c>
      <c r="D85" s="11">
        <v>19.696999999999999</v>
      </c>
      <c r="E85" s="11">
        <v>1674523.716</v>
      </c>
      <c r="F85" s="13">
        <f>SUMIF('OD 12-24'!A:A,A85,'OD 12-24'!D:D)</f>
        <v>18108143.91</v>
      </c>
      <c r="G85" s="13">
        <f>SUMIF('OD 12-24'!A:A,A85,'OD 12-24'!E:E)</f>
        <v>17786463.848999999</v>
      </c>
      <c r="H85" s="14">
        <f t="shared" si="2"/>
        <v>-1352823.9579999987</v>
      </c>
      <c r="I85" s="14">
        <f t="shared" si="3"/>
        <v>321680.06100000069</v>
      </c>
      <c r="J85" s="8" t="s">
        <v>60</v>
      </c>
      <c r="K85" s="8"/>
      <c r="L85" s="9">
        <v>0</v>
      </c>
      <c r="M85" s="339"/>
      <c r="N85" s="315"/>
      <c r="O85" s="339"/>
      <c r="P85" s="339"/>
    </row>
    <row r="86" spans="1:16" s="9" customFormat="1" ht="11.25" hidden="1" customHeight="1" x14ac:dyDescent="0.2">
      <c r="A86" s="10">
        <v>39000000</v>
      </c>
      <c r="B86" s="10" t="s">
        <v>64</v>
      </c>
      <c r="C86" s="11">
        <v>-208158.11300000001</v>
      </c>
      <c r="D86" s="11">
        <v>0</v>
      </c>
      <c r="E86" s="11">
        <v>0</v>
      </c>
      <c r="F86" s="13">
        <f>SUMIF('OD 12-24'!A:A,A86,'OD 12-24'!D:D)</f>
        <v>2402431.1340000001</v>
      </c>
      <c r="G86" s="13">
        <f>SUMIF('OD 12-24'!A:A,A86,'OD 12-24'!E:E)</f>
        <v>2900187.3220000002</v>
      </c>
      <c r="H86" s="14">
        <f t="shared" si="2"/>
        <v>-497756.18800000008</v>
      </c>
      <c r="I86" s="14">
        <f t="shared" si="3"/>
        <v>-705914.30100000009</v>
      </c>
      <c r="J86" s="8" t="s">
        <v>65</v>
      </c>
      <c r="K86" s="8"/>
      <c r="L86" s="9" t="s">
        <v>10101</v>
      </c>
      <c r="M86" s="339"/>
      <c r="N86" s="315"/>
      <c r="O86" s="339"/>
      <c r="P86" s="339"/>
    </row>
    <row r="87" spans="1:16" s="9" customFormat="1" ht="11.25" hidden="1" customHeight="1" x14ac:dyDescent="0.2">
      <c r="A87" s="10">
        <v>40100000</v>
      </c>
      <c r="B87" s="10" t="s">
        <v>66</v>
      </c>
      <c r="C87" s="11">
        <v>-2875441.9530395269</v>
      </c>
      <c r="D87" s="11">
        <v>71188335.044545993</v>
      </c>
      <c r="E87" s="11">
        <f>75734620.6650275+379166.51</f>
        <v>76113787.175027505</v>
      </c>
      <c r="F87" s="13">
        <f>SUMIF('OD 12-24'!A:A,A87,'OD 12-24'!D:D)</f>
        <v>823434.255</v>
      </c>
      <c r="G87" s="13">
        <f>SUMIF('OD 12-24'!A:A,A87,'OD 12-24'!E:E)</f>
        <v>823434.255</v>
      </c>
      <c r="H87" s="14">
        <f t="shared" si="2"/>
        <v>-4925452.130481516</v>
      </c>
      <c r="I87" s="14">
        <f t="shared" si="3"/>
        <v>-7800894.083521043</v>
      </c>
      <c r="J87" s="8" t="s">
        <v>67</v>
      </c>
      <c r="K87" s="8"/>
      <c r="L87" s="9" t="s">
        <v>10101</v>
      </c>
      <c r="M87" s="339"/>
      <c r="N87" s="315"/>
      <c r="O87" s="339"/>
      <c r="P87" s="339"/>
    </row>
    <row r="88" spans="1:16" s="9" customFormat="1" ht="11.25" hidden="1" customHeight="1" x14ac:dyDescent="0.2">
      <c r="A88" s="10">
        <v>40300000</v>
      </c>
      <c r="B88" s="10" t="s">
        <v>68</v>
      </c>
      <c r="C88" s="11">
        <v>-970419.35000000149</v>
      </c>
      <c r="D88" s="11">
        <v>3315039.4189999998</v>
      </c>
      <c r="E88" s="11">
        <v>2804945.5130000003</v>
      </c>
      <c r="F88" s="13">
        <f>SUMIF('OD 12-24'!A:A,A88,'OD 12-24'!D:D)</f>
        <v>0</v>
      </c>
      <c r="G88" s="13">
        <f>SUMIF('OD 12-24'!A:A,A88,'OD 12-24'!E:E)</f>
        <v>0</v>
      </c>
      <c r="H88" s="14">
        <f t="shared" si="2"/>
        <v>510093.90599999949</v>
      </c>
      <c r="I88" s="14">
        <f t="shared" si="3"/>
        <v>-460325.444000002</v>
      </c>
      <c r="J88" s="8" t="s">
        <v>67</v>
      </c>
      <c r="K88" s="8"/>
      <c r="L88" s="9" t="s">
        <v>10101</v>
      </c>
      <c r="M88" s="339"/>
      <c r="N88" s="315"/>
      <c r="O88" s="339"/>
      <c r="P88" s="339"/>
    </row>
    <row r="89" spans="1:16" s="9" customFormat="1" ht="11.25" hidden="1" customHeight="1" x14ac:dyDescent="0.2">
      <c r="A89" s="10">
        <v>40301000</v>
      </c>
      <c r="B89" s="10" t="s">
        <v>302</v>
      </c>
      <c r="C89" s="11">
        <v>0</v>
      </c>
      <c r="D89" s="11">
        <v>0</v>
      </c>
      <c r="E89" s="11">
        <v>0</v>
      </c>
      <c r="F89" s="13">
        <f>SUMIF('OD 12-24'!A:A,A89,'OD 12-24'!D:D)</f>
        <v>0</v>
      </c>
      <c r="G89" s="13">
        <f>SUMIF('OD 12-24'!A:A,A89,'OD 12-24'!E:E)</f>
        <v>0</v>
      </c>
      <c r="H89" s="14">
        <f t="shared" si="2"/>
        <v>0</v>
      </c>
      <c r="I89" s="14">
        <f t="shared" si="3"/>
        <v>0</v>
      </c>
      <c r="J89" s="8"/>
      <c r="K89" s="8"/>
      <c r="L89" s="9">
        <v>0</v>
      </c>
      <c r="M89" s="339"/>
      <c r="N89" s="315"/>
      <c r="O89" s="339"/>
      <c r="P89" s="339"/>
    </row>
    <row r="90" spans="1:16" s="9" customFormat="1" ht="11.25" hidden="1" customHeight="1" x14ac:dyDescent="0.2">
      <c r="A90" s="10">
        <v>40400000</v>
      </c>
      <c r="B90" s="10" t="s">
        <v>69</v>
      </c>
      <c r="C90" s="11">
        <v>9.999983012676239E-5</v>
      </c>
      <c r="D90" s="11">
        <v>0</v>
      </c>
      <c r="E90" s="11">
        <v>0</v>
      </c>
      <c r="F90" s="13">
        <f>SUMIF('OD 12-24'!A:A,A90,'OD 12-24'!D:D)</f>
        <v>0</v>
      </c>
      <c r="G90" s="13">
        <f>SUMIF('OD 12-24'!A:A,A90,'OD 12-24'!E:E)</f>
        <v>0</v>
      </c>
      <c r="H90" s="14">
        <f t="shared" si="2"/>
        <v>0</v>
      </c>
      <c r="I90" s="14">
        <f t="shared" si="3"/>
        <v>9.999983012676239E-5</v>
      </c>
      <c r="J90" s="8"/>
      <c r="K90" s="8"/>
      <c r="L90" s="9">
        <v>0</v>
      </c>
      <c r="M90" s="339"/>
      <c r="N90" s="315"/>
      <c r="O90" s="339"/>
      <c r="P90" s="339"/>
    </row>
    <row r="91" spans="1:16" s="9" customFormat="1" ht="11.25" hidden="1" customHeight="1" x14ac:dyDescent="0.2">
      <c r="A91" s="10">
        <v>40470000</v>
      </c>
      <c r="B91" s="10" t="s">
        <v>303</v>
      </c>
      <c r="C91" s="11">
        <v>0</v>
      </c>
      <c r="D91" s="11">
        <v>0</v>
      </c>
      <c r="E91" s="11">
        <v>0</v>
      </c>
      <c r="F91" s="13">
        <f>SUMIF('OD 12-24'!A:A,A91,'OD 12-24'!D:D)</f>
        <v>0</v>
      </c>
      <c r="G91" s="13">
        <f>SUMIF('OD 12-24'!A:A,A91,'OD 12-24'!E:E)</f>
        <v>0</v>
      </c>
      <c r="H91" s="14">
        <f t="shared" si="2"/>
        <v>0</v>
      </c>
      <c r="I91" s="14">
        <f t="shared" si="3"/>
        <v>0</v>
      </c>
      <c r="J91" s="8"/>
      <c r="K91" s="8"/>
      <c r="L91" s="9">
        <v>0</v>
      </c>
      <c r="M91" s="339"/>
      <c r="N91" s="315"/>
      <c r="O91" s="339"/>
      <c r="P91" s="339"/>
    </row>
    <row r="92" spans="1:16" s="9" customFormat="1" ht="11.25" hidden="1" customHeight="1" x14ac:dyDescent="0.2">
      <c r="A92" s="10">
        <v>40600000</v>
      </c>
      <c r="B92" s="10" t="s">
        <v>70</v>
      </c>
      <c r="C92" s="11">
        <v>-3111690.4287486374</v>
      </c>
      <c r="D92" s="11">
        <v>9746822.3754674997</v>
      </c>
      <c r="E92" s="11">
        <v>8486069.8083264995</v>
      </c>
      <c r="F92" s="13">
        <f>SUMIF('OD 12-24'!A:A,A92,'OD 12-24'!D:D)</f>
        <v>6725829.9680000003</v>
      </c>
      <c r="G92" s="13">
        <f>SUMIF('OD 12-24'!A:A,A92,'OD 12-24'!E:E)</f>
        <v>7899879.5279999999</v>
      </c>
      <c r="H92" s="14">
        <f t="shared" si="2"/>
        <v>86703.007141000591</v>
      </c>
      <c r="I92" s="14">
        <f t="shared" si="3"/>
        <v>-3024987.4216076368</v>
      </c>
      <c r="J92" s="8" t="s">
        <v>67</v>
      </c>
      <c r="K92" s="8"/>
      <c r="L92" s="9" t="s">
        <v>10101</v>
      </c>
      <c r="M92" s="339"/>
      <c r="N92" s="315"/>
      <c r="O92" s="339"/>
      <c r="P92" s="339"/>
    </row>
    <row r="93" spans="1:16" s="9" customFormat="1" ht="11.25" hidden="1" customHeight="1" x14ac:dyDescent="0.2">
      <c r="A93" s="10">
        <v>40800000</v>
      </c>
      <c r="B93" s="10" t="s">
        <v>71</v>
      </c>
      <c r="C93" s="11">
        <v>-4980</v>
      </c>
      <c r="D93" s="11">
        <v>0</v>
      </c>
      <c r="E93" s="11">
        <v>0</v>
      </c>
      <c r="F93" s="13">
        <f>SUMIF('OD 12-24'!A:A,A93,'OD 12-24'!D:D)</f>
        <v>0</v>
      </c>
      <c r="G93" s="13">
        <f>SUMIF('OD 12-24'!A:A,A93,'OD 12-24'!E:E)</f>
        <v>0</v>
      </c>
      <c r="H93" s="14">
        <f t="shared" si="2"/>
        <v>0</v>
      </c>
      <c r="I93" s="14">
        <f t="shared" si="3"/>
        <v>-4980</v>
      </c>
      <c r="J93" s="8" t="s">
        <v>67</v>
      </c>
      <c r="K93" s="8"/>
      <c r="L93" s="9" t="s">
        <v>10101</v>
      </c>
      <c r="M93" s="339"/>
      <c r="N93" s="315"/>
      <c r="O93" s="339"/>
      <c r="P93" s="339"/>
    </row>
    <row r="94" spans="1:16" s="9" customFormat="1" ht="11.25" hidden="1" customHeight="1" x14ac:dyDescent="0.2">
      <c r="A94" s="10">
        <v>40810000</v>
      </c>
      <c r="B94" s="10" t="s">
        <v>391</v>
      </c>
      <c r="C94" s="11">
        <v>-41980.576999999997</v>
      </c>
      <c r="D94" s="11">
        <v>40054.247000000003</v>
      </c>
      <c r="E94" s="11">
        <v>3169.0909999999994</v>
      </c>
      <c r="F94" s="13">
        <f>SUMIF('OD 12-24'!A:A,A94,'OD 12-24'!D:D)</f>
        <v>5123.701</v>
      </c>
      <c r="G94" s="13">
        <f>SUMIF('OD 12-24'!A:A,A94,'OD 12-24'!E:E)</f>
        <v>20928.241999999998</v>
      </c>
      <c r="H94" s="14">
        <f t="shared" si="2"/>
        <v>21080.615000000005</v>
      </c>
      <c r="I94" s="14">
        <f t="shared" si="3"/>
        <v>-20899.961999999992</v>
      </c>
      <c r="J94" s="8" t="s">
        <v>67</v>
      </c>
      <c r="K94" s="8"/>
      <c r="L94" s="9">
        <v>0</v>
      </c>
      <c r="M94" s="339"/>
      <c r="N94" s="315"/>
      <c r="O94" s="339"/>
      <c r="P94" s="339"/>
    </row>
    <row r="95" spans="1:16" s="9" customFormat="1" ht="11.25" hidden="1" customHeight="1" x14ac:dyDescent="0.2">
      <c r="A95" s="10">
        <v>40860000</v>
      </c>
      <c r="B95" s="10" t="s">
        <v>304</v>
      </c>
      <c r="C95" s="11">
        <v>0</v>
      </c>
      <c r="D95" s="11">
        <v>0</v>
      </c>
      <c r="E95" s="11">
        <v>0</v>
      </c>
      <c r="F95" s="13">
        <f>SUMIF('OD 12-24'!A:A,A95,'OD 12-24'!D:D)</f>
        <v>0</v>
      </c>
      <c r="G95" s="13">
        <f>SUMIF('OD 12-24'!A:A,A95,'OD 12-24'!E:E)</f>
        <v>0</v>
      </c>
      <c r="H95" s="14">
        <f t="shared" si="2"/>
        <v>0</v>
      </c>
      <c r="I95" s="14">
        <f t="shared" si="3"/>
        <v>0</v>
      </c>
      <c r="J95" s="8"/>
      <c r="K95" s="8"/>
      <c r="L95" s="9">
        <v>0</v>
      </c>
      <c r="M95" s="339"/>
      <c r="N95" s="315"/>
      <c r="O95" s="339"/>
      <c r="P95" s="339"/>
    </row>
    <row r="96" spans="1:16" s="9" customFormat="1" ht="11.25" hidden="1" customHeight="1" x14ac:dyDescent="0.2">
      <c r="A96" s="10">
        <v>40910000</v>
      </c>
      <c r="B96" s="10" t="s">
        <v>72</v>
      </c>
      <c r="C96" s="11">
        <v>0</v>
      </c>
      <c r="D96" s="11">
        <v>0</v>
      </c>
      <c r="E96" s="11">
        <v>0</v>
      </c>
      <c r="F96" s="13">
        <f>SUMIF('OD 12-24'!A:A,A96,'OD 12-24'!D:D)</f>
        <v>0</v>
      </c>
      <c r="G96" s="13">
        <f>SUMIF('OD 12-24'!A:A,A96,'OD 12-24'!E:E)</f>
        <v>0</v>
      </c>
      <c r="H96" s="14">
        <f t="shared" si="2"/>
        <v>0</v>
      </c>
      <c r="I96" s="14">
        <f t="shared" si="3"/>
        <v>0</v>
      </c>
      <c r="J96" s="8" t="s">
        <v>78</v>
      </c>
      <c r="K96" s="8"/>
      <c r="L96" s="9" t="s">
        <v>10102</v>
      </c>
      <c r="M96" s="339"/>
      <c r="N96" s="315"/>
      <c r="O96" s="339"/>
      <c r="P96" s="339"/>
    </row>
    <row r="97" spans="1:16" s="9" customFormat="1" ht="11.25" hidden="1" customHeight="1" x14ac:dyDescent="0.2">
      <c r="A97" s="10">
        <v>41100000</v>
      </c>
      <c r="B97" s="10" t="s">
        <v>73</v>
      </c>
      <c r="C97" s="11">
        <v>15614197.010682464</v>
      </c>
      <c r="D97" s="11">
        <v>81986403.015000001</v>
      </c>
      <c r="E97" s="11">
        <v>75804098.181999996</v>
      </c>
      <c r="F97" s="13">
        <f>SUMIF('OD 12-24'!A:A,A97,'OD 12-24'!D:D)</f>
        <v>4033105.8640000001</v>
      </c>
      <c r="G97" s="13">
        <f>SUMIF('OD 12-24'!A:A,A97,'OD 12-24'!E:E)</f>
        <v>4033105.8640000001</v>
      </c>
      <c r="H97" s="14">
        <f t="shared" si="2"/>
        <v>6182304.8330000117</v>
      </c>
      <c r="I97" s="14">
        <f t="shared" si="3"/>
        <v>21796501.843682475</v>
      </c>
      <c r="J97" s="8" t="s">
        <v>74</v>
      </c>
      <c r="K97" s="8"/>
      <c r="L97" s="9" t="s">
        <v>10102</v>
      </c>
      <c r="M97" s="339"/>
      <c r="N97" s="315"/>
      <c r="O97" s="339"/>
      <c r="P97" s="339"/>
    </row>
    <row r="98" spans="1:16" s="9" customFormat="1" ht="11.25" hidden="1" customHeight="1" x14ac:dyDescent="0.2">
      <c r="A98" s="10">
        <v>41301000</v>
      </c>
      <c r="B98" s="10" t="s">
        <v>305</v>
      </c>
      <c r="C98" s="11">
        <v>0</v>
      </c>
      <c r="D98" s="11">
        <v>0</v>
      </c>
      <c r="E98" s="11">
        <v>0</v>
      </c>
      <c r="F98" s="13">
        <f>SUMIF('OD 12-24'!A:A,A98,'OD 12-24'!D:D)</f>
        <v>0</v>
      </c>
      <c r="G98" s="13">
        <f>SUMIF('OD 12-24'!A:A,A98,'OD 12-24'!E:E)</f>
        <v>0</v>
      </c>
      <c r="H98" s="14">
        <f t="shared" si="2"/>
        <v>0</v>
      </c>
      <c r="I98" s="14">
        <f t="shared" si="3"/>
        <v>0</v>
      </c>
      <c r="J98" s="8"/>
      <c r="K98" s="8"/>
      <c r="L98" s="9">
        <v>0</v>
      </c>
      <c r="M98" s="339"/>
      <c r="N98" s="315"/>
      <c r="O98" s="339"/>
      <c r="P98" s="339"/>
    </row>
    <row r="99" spans="1:16" s="9" customFormat="1" ht="11.25" hidden="1" customHeight="1" x14ac:dyDescent="0.2">
      <c r="A99" s="10">
        <v>41500000</v>
      </c>
      <c r="B99" s="10" t="s">
        <v>75</v>
      </c>
      <c r="C99" s="11">
        <v>3350188.1832604855</v>
      </c>
      <c r="D99" s="11">
        <v>14041036.330000002</v>
      </c>
      <c r="E99" s="11">
        <v>15305583.868000001</v>
      </c>
      <c r="F99" s="13">
        <f>SUMIF('OD 12-24'!A:A,A99,'OD 12-24'!D:D)</f>
        <v>3757277.7850000001</v>
      </c>
      <c r="G99" s="13">
        <f>SUMIF('OD 12-24'!A:A,A99,'OD 12-24'!E:E)</f>
        <v>3857342.92</v>
      </c>
      <c r="H99" s="14">
        <f t="shared" si="2"/>
        <v>-1364612.6729999986</v>
      </c>
      <c r="I99" s="14">
        <f t="shared" si="3"/>
        <v>1985575.510260487</v>
      </c>
      <c r="J99" s="8" t="s">
        <v>74</v>
      </c>
      <c r="K99" s="8"/>
      <c r="L99" s="9" t="s">
        <v>10103</v>
      </c>
      <c r="M99" s="339"/>
      <c r="N99" s="315"/>
      <c r="O99" s="339"/>
      <c r="P99" s="339"/>
    </row>
    <row r="100" spans="1:16" s="9" customFormat="1" ht="11.25" hidden="1" customHeight="1" x14ac:dyDescent="0.2">
      <c r="A100" s="10">
        <v>41601000</v>
      </c>
      <c r="B100" s="10" t="s">
        <v>306</v>
      </c>
      <c r="C100" s="11">
        <v>0</v>
      </c>
      <c r="D100" s="11">
        <v>0</v>
      </c>
      <c r="E100" s="11">
        <v>0</v>
      </c>
      <c r="F100" s="13">
        <f>SUMIF('OD 12-24'!A:A,A100,'OD 12-24'!D:D)</f>
        <v>0</v>
      </c>
      <c r="G100" s="13">
        <f>SUMIF('OD 12-24'!A:A,A100,'OD 12-24'!E:E)</f>
        <v>0</v>
      </c>
      <c r="H100" s="14">
        <f t="shared" si="2"/>
        <v>0</v>
      </c>
      <c r="I100" s="14">
        <f t="shared" si="3"/>
        <v>0</v>
      </c>
      <c r="J100" s="8"/>
      <c r="K100" s="8"/>
      <c r="L100" s="9">
        <v>0</v>
      </c>
      <c r="M100" s="339"/>
      <c r="N100" s="315"/>
      <c r="O100" s="339"/>
      <c r="P100" s="339"/>
    </row>
    <row r="101" spans="1:16" s="9" customFormat="1" ht="11.25" hidden="1" customHeight="1" x14ac:dyDescent="0.2">
      <c r="A101" s="10">
        <v>41800000</v>
      </c>
      <c r="B101" s="10" t="s">
        <v>307</v>
      </c>
      <c r="C101" s="11">
        <v>0</v>
      </c>
      <c r="D101" s="11">
        <v>0</v>
      </c>
      <c r="E101" s="11">
        <v>0</v>
      </c>
      <c r="F101" s="13">
        <f>SUMIF('OD 12-24'!A:A,A101,'OD 12-24'!D:D)</f>
        <v>0</v>
      </c>
      <c r="G101" s="13">
        <f>SUMIF('OD 12-24'!A:A,A101,'OD 12-24'!E:E)</f>
        <v>0</v>
      </c>
      <c r="H101" s="14">
        <f t="shared" si="2"/>
        <v>0</v>
      </c>
      <c r="I101" s="14">
        <f t="shared" si="3"/>
        <v>0</v>
      </c>
      <c r="J101" s="8"/>
      <c r="K101" s="8"/>
      <c r="L101" s="9">
        <v>0</v>
      </c>
      <c r="M101" s="339"/>
      <c r="N101" s="315"/>
      <c r="O101" s="339"/>
      <c r="P101" s="339"/>
    </row>
    <row r="102" spans="1:16" s="9" customFormat="1" ht="11.25" hidden="1" customHeight="1" x14ac:dyDescent="0.2">
      <c r="A102" s="10">
        <v>41910000</v>
      </c>
      <c r="B102" s="10" t="s">
        <v>308</v>
      </c>
      <c r="C102" s="11">
        <v>0</v>
      </c>
      <c r="D102" s="11">
        <v>0</v>
      </c>
      <c r="E102" s="11">
        <v>0</v>
      </c>
      <c r="F102" s="13">
        <f>SUMIF('OD 12-24'!A:A,A102,'OD 12-24'!D:D)</f>
        <v>0</v>
      </c>
      <c r="G102" s="13">
        <f>SUMIF('OD 12-24'!A:A,A102,'OD 12-24'!E:E)</f>
        <v>0</v>
      </c>
      <c r="H102" s="14">
        <f t="shared" si="2"/>
        <v>0</v>
      </c>
      <c r="I102" s="14">
        <f t="shared" si="3"/>
        <v>0</v>
      </c>
      <c r="J102" s="8"/>
      <c r="K102" s="8"/>
      <c r="L102" s="9">
        <v>0</v>
      </c>
      <c r="M102" s="339"/>
      <c r="N102" s="315"/>
      <c r="O102" s="339"/>
      <c r="P102" s="339"/>
    </row>
    <row r="103" spans="1:16" s="9" customFormat="1" ht="11.25" hidden="1" customHeight="1" x14ac:dyDescent="0.2">
      <c r="A103" s="10">
        <v>42100000</v>
      </c>
      <c r="B103" s="10" t="s">
        <v>76</v>
      </c>
      <c r="C103" s="11">
        <v>0</v>
      </c>
      <c r="D103" s="11">
        <v>240</v>
      </c>
      <c r="E103" s="11">
        <v>240</v>
      </c>
      <c r="F103" s="13">
        <f>SUMIF('OD 12-24'!A:A,A103,'OD 12-24'!D:D)</f>
        <v>0</v>
      </c>
      <c r="G103" s="13">
        <f>SUMIF('OD 12-24'!A:A,A103,'OD 12-24'!E:E)</f>
        <v>0</v>
      </c>
      <c r="H103" s="14">
        <f t="shared" si="2"/>
        <v>0</v>
      </c>
      <c r="I103" s="14">
        <f t="shared" si="3"/>
        <v>0</v>
      </c>
      <c r="J103" s="8"/>
      <c r="K103" s="8"/>
      <c r="L103" s="9">
        <v>0</v>
      </c>
      <c r="M103" s="339"/>
      <c r="N103" s="315"/>
      <c r="O103" s="339"/>
      <c r="P103" s="339"/>
    </row>
    <row r="104" spans="1:16" s="9" customFormat="1" ht="11.25" hidden="1" customHeight="1" x14ac:dyDescent="0.2">
      <c r="A104" s="10">
        <v>42110000</v>
      </c>
      <c r="B104" s="10" t="s">
        <v>309</v>
      </c>
      <c r="C104" s="11">
        <v>0</v>
      </c>
      <c r="D104" s="11">
        <v>0</v>
      </c>
      <c r="E104" s="11">
        <v>0</v>
      </c>
      <c r="F104" s="13">
        <f>SUMIF('OD 12-24'!A:A,A104,'OD 12-24'!D:D)</f>
        <v>0</v>
      </c>
      <c r="G104" s="13">
        <f>SUMIF('OD 12-24'!A:A,A104,'OD 12-24'!E:E)</f>
        <v>0</v>
      </c>
      <c r="H104" s="14">
        <f t="shared" si="2"/>
        <v>0</v>
      </c>
      <c r="I104" s="14">
        <f t="shared" si="3"/>
        <v>0</v>
      </c>
      <c r="J104" s="8"/>
      <c r="K104" s="8"/>
      <c r="L104" s="9">
        <v>0</v>
      </c>
      <c r="M104" s="339"/>
      <c r="N104" s="315"/>
      <c r="O104" s="339"/>
      <c r="P104" s="339"/>
    </row>
    <row r="105" spans="1:16" s="9" customFormat="1" ht="11.25" hidden="1" customHeight="1" x14ac:dyDescent="0.2">
      <c r="A105" s="10">
        <v>42120000</v>
      </c>
      <c r="B105" s="10" t="s">
        <v>77</v>
      </c>
      <c r="C105" s="11">
        <v>21139.859999999986</v>
      </c>
      <c r="D105" s="11">
        <v>95555</v>
      </c>
      <c r="E105" s="11">
        <v>108372.47900000001</v>
      </c>
      <c r="F105" s="13">
        <f>SUMIF('OD 12-24'!A:A,A105,'OD 12-24'!D:D)</f>
        <v>0</v>
      </c>
      <c r="G105" s="13">
        <f>SUMIF('OD 12-24'!A:A,A105,'OD 12-24'!E:E)</f>
        <v>0</v>
      </c>
      <c r="H105" s="14">
        <f t="shared" si="2"/>
        <v>-12817.479000000007</v>
      </c>
      <c r="I105" s="14">
        <f t="shared" si="3"/>
        <v>8322.3809999999794</v>
      </c>
      <c r="J105" s="8" t="s">
        <v>78</v>
      </c>
      <c r="K105" s="8"/>
      <c r="L105" s="9" t="s">
        <v>10104</v>
      </c>
      <c r="M105" s="339"/>
      <c r="N105" s="315"/>
      <c r="O105" s="339"/>
      <c r="P105" s="339"/>
    </row>
    <row r="106" spans="1:16" s="9" customFormat="1" ht="11.25" hidden="1" customHeight="1" x14ac:dyDescent="0.2">
      <c r="A106" s="10">
        <v>42400000</v>
      </c>
      <c r="B106" s="10" t="s">
        <v>79</v>
      </c>
      <c r="C106" s="11">
        <v>0</v>
      </c>
      <c r="D106" s="11">
        <v>0</v>
      </c>
      <c r="E106" s="11">
        <v>0</v>
      </c>
      <c r="F106" s="13">
        <f>SUMIF('OD 12-24'!A:A,A106,'OD 12-24'!D:D)</f>
        <v>0</v>
      </c>
      <c r="G106" s="13">
        <f>SUMIF('OD 12-24'!A:A,A106,'OD 12-24'!E:E)</f>
        <v>0</v>
      </c>
      <c r="H106" s="14">
        <f t="shared" si="2"/>
        <v>0</v>
      </c>
      <c r="I106" s="14">
        <f t="shared" si="3"/>
        <v>0</v>
      </c>
      <c r="J106" s="8"/>
      <c r="K106" s="8"/>
      <c r="L106" s="9">
        <v>0</v>
      </c>
      <c r="M106" s="339"/>
      <c r="N106" s="315"/>
      <c r="O106" s="339"/>
      <c r="P106" s="339"/>
    </row>
    <row r="107" spans="1:16" s="9" customFormat="1" ht="11.25" hidden="1" customHeight="1" x14ac:dyDescent="0.2">
      <c r="A107" s="10">
        <v>42500000</v>
      </c>
      <c r="B107" s="10" t="s">
        <v>80</v>
      </c>
      <c r="C107" s="11">
        <v>-180820.1429999955</v>
      </c>
      <c r="D107" s="11">
        <v>3763351.0549999997</v>
      </c>
      <c r="E107" s="11">
        <v>3584601.571</v>
      </c>
      <c r="F107" s="13">
        <f>SUMIF('OD 12-24'!A:A,A107,'OD 12-24'!D:D)</f>
        <v>0</v>
      </c>
      <c r="G107" s="13">
        <f>SUMIF('OD 12-24'!A:A,A107,'OD 12-24'!E:E)</f>
        <v>0</v>
      </c>
      <c r="H107" s="14">
        <f t="shared" si="2"/>
        <v>178749.48399999971</v>
      </c>
      <c r="I107" s="14">
        <f t="shared" si="3"/>
        <v>-2070.6589999957941</v>
      </c>
      <c r="J107" s="8" t="s">
        <v>81</v>
      </c>
      <c r="K107" s="8"/>
      <c r="L107" s="9" t="s">
        <v>10104</v>
      </c>
      <c r="M107" s="339"/>
      <c r="N107" s="315"/>
      <c r="O107" s="339"/>
      <c r="P107" s="339"/>
    </row>
    <row r="108" spans="1:16" s="9" customFormat="1" ht="11.25" hidden="1" customHeight="1" x14ac:dyDescent="0.2">
      <c r="A108" s="10">
        <v>42700000</v>
      </c>
      <c r="B108" s="10" t="s">
        <v>310</v>
      </c>
      <c r="C108" s="11">
        <v>0</v>
      </c>
      <c r="D108" s="11">
        <v>0</v>
      </c>
      <c r="E108" s="11">
        <v>0</v>
      </c>
      <c r="F108" s="13">
        <f>SUMIF('OD 12-24'!A:A,A108,'OD 12-24'!D:D)</f>
        <v>0</v>
      </c>
      <c r="G108" s="13">
        <f>SUMIF('OD 12-24'!A:A,A108,'OD 12-24'!E:E)</f>
        <v>0</v>
      </c>
      <c r="H108" s="14">
        <f t="shared" si="2"/>
        <v>0</v>
      </c>
      <c r="I108" s="14">
        <f t="shared" si="3"/>
        <v>0</v>
      </c>
      <c r="J108" s="8"/>
      <c r="K108" s="8"/>
      <c r="L108" s="9">
        <v>0</v>
      </c>
      <c r="M108" s="339"/>
      <c r="N108" s="315"/>
      <c r="O108" s="339"/>
      <c r="P108" s="339"/>
    </row>
    <row r="109" spans="1:16" s="9" customFormat="1" ht="11.25" hidden="1" customHeight="1" x14ac:dyDescent="0.2">
      <c r="A109" s="10">
        <v>42710000</v>
      </c>
      <c r="B109" s="10" t="s">
        <v>82</v>
      </c>
      <c r="C109" s="11">
        <v>-2433.5259999999907</v>
      </c>
      <c r="D109" s="11">
        <v>8445.398000000001</v>
      </c>
      <c r="E109" s="11">
        <v>8078.8890000000001</v>
      </c>
      <c r="F109" s="13">
        <f>SUMIF('OD 12-24'!A:A,A109,'OD 12-24'!D:D)</f>
        <v>0</v>
      </c>
      <c r="G109" s="13">
        <f>SUMIF('OD 12-24'!A:A,A109,'OD 12-24'!E:E)</f>
        <v>0</v>
      </c>
      <c r="H109" s="14">
        <f t="shared" si="2"/>
        <v>366.50900000000092</v>
      </c>
      <c r="I109" s="14">
        <f t="shared" si="3"/>
        <v>-2067.0169999999898</v>
      </c>
      <c r="J109" s="8" t="s">
        <v>81</v>
      </c>
      <c r="K109" s="8"/>
      <c r="L109" s="9" t="s">
        <v>10104</v>
      </c>
      <c r="M109" s="339"/>
      <c r="N109" s="315"/>
      <c r="O109" s="339"/>
      <c r="P109" s="339"/>
    </row>
    <row r="110" spans="1:16" s="9" customFormat="1" ht="11.25" hidden="1" customHeight="1" x14ac:dyDescent="0.2">
      <c r="A110" s="10">
        <v>42820000</v>
      </c>
      <c r="B110" s="10" t="s">
        <v>83</v>
      </c>
      <c r="C110" s="11">
        <v>-245931.41399999941</v>
      </c>
      <c r="D110" s="11">
        <v>245931.41399999996</v>
      </c>
      <c r="E110" s="11">
        <v>0</v>
      </c>
      <c r="F110" s="13">
        <f>SUMIF('OD 12-24'!A:A,A110,'OD 12-24'!D:D)</f>
        <v>3569487.4890000001</v>
      </c>
      <c r="G110" s="13">
        <f>SUMIF('OD 12-24'!A:A,A110,'OD 12-24'!E:E)</f>
        <v>3829487.4890000001</v>
      </c>
      <c r="H110" s="14">
        <f t="shared" si="2"/>
        <v>-14068.586000000127</v>
      </c>
      <c r="I110" s="14">
        <f t="shared" si="3"/>
        <v>-259999.99999999953</v>
      </c>
      <c r="J110" s="8" t="s">
        <v>81</v>
      </c>
      <c r="K110" s="8"/>
      <c r="L110" s="9" t="s">
        <v>10104</v>
      </c>
      <c r="M110" s="339"/>
      <c r="N110" s="315"/>
      <c r="O110" s="339"/>
      <c r="P110" s="339"/>
    </row>
    <row r="111" spans="1:16" s="9" customFormat="1" ht="11.25" hidden="1" customHeight="1" x14ac:dyDescent="0.2">
      <c r="A111" s="10">
        <v>43200000</v>
      </c>
      <c r="B111" s="10" t="s">
        <v>311</v>
      </c>
      <c r="C111" s="11">
        <v>0</v>
      </c>
      <c r="D111" s="11">
        <v>10000</v>
      </c>
      <c r="E111" s="11">
        <v>10000</v>
      </c>
      <c r="F111" s="13">
        <f>SUMIF('OD 12-24'!A:A,A111,'OD 12-24'!D:D)</f>
        <v>0</v>
      </c>
      <c r="G111" s="13">
        <f>SUMIF('OD 12-24'!A:A,A111,'OD 12-24'!E:E)</f>
        <v>0</v>
      </c>
      <c r="H111" s="14">
        <f t="shared" si="2"/>
        <v>0</v>
      </c>
      <c r="I111" s="14">
        <f t="shared" si="3"/>
        <v>0</v>
      </c>
      <c r="J111" s="8" t="s">
        <v>81</v>
      </c>
      <c r="K111" s="8"/>
      <c r="L111" s="9">
        <v>0</v>
      </c>
      <c r="M111" s="339"/>
      <c r="N111" s="315"/>
      <c r="O111" s="339"/>
      <c r="P111" s="339"/>
    </row>
    <row r="112" spans="1:16" s="9" customFormat="1" ht="11.25" hidden="1" customHeight="1" x14ac:dyDescent="0.2">
      <c r="A112" s="10">
        <v>43210000</v>
      </c>
      <c r="B112" s="10" t="s">
        <v>84</v>
      </c>
      <c r="C112" s="11">
        <v>0</v>
      </c>
      <c r="D112" s="11">
        <f>780240.49+122394.508</f>
        <v>902634.99800000002</v>
      </c>
      <c r="E112" s="11">
        <v>902634.99800000002</v>
      </c>
      <c r="F112" s="13">
        <f>SUMIF('OD 12-24'!A:A,A112,'OD 12-24'!D:D)</f>
        <v>0</v>
      </c>
      <c r="G112" s="13">
        <f>SUMIF('OD 12-24'!A:A,A112,'OD 12-24'!E:E)</f>
        <v>0</v>
      </c>
      <c r="H112" s="14">
        <f t="shared" si="2"/>
        <v>0</v>
      </c>
      <c r="I112" s="14">
        <f t="shared" si="3"/>
        <v>0</v>
      </c>
      <c r="J112" s="8" t="s">
        <v>81</v>
      </c>
      <c r="K112" s="8"/>
      <c r="L112" s="9">
        <v>0</v>
      </c>
      <c r="M112" s="339"/>
      <c r="N112" s="315"/>
      <c r="O112" s="339"/>
      <c r="P112" s="339"/>
    </row>
    <row r="113" spans="1:16" s="9" customFormat="1" ht="11.25" hidden="1" customHeight="1" x14ac:dyDescent="0.2">
      <c r="A113" s="10">
        <v>43211000</v>
      </c>
      <c r="B113" s="10" t="s">
        <v>312</v>
      </c>
      <c r="C113" s="11">
        <v>0</v>
      </c>
      <c r="D113" s="11">
        <v>2549.4430000000002</v>
      </c>
      <c r="E113" s="11">
        <v>2549.4430000000002</v>
      </c>
      <c r="F113" s="13">
        <f>SUMIF('OD 12-24'!A:A,A113,'OD 12-24'!D:D)</f>
        <v>0</v>
      </c>
      <c r="G113" s="13">
        <f>SUMIF('OD 12-24'!A:A,A113,'OD 12-24'!E:E)</f>
        <v>0</v>
      </c>
      <c r="H113" s="14">
        <f t="shared" si="2"/>
        <v>0</v>
      </c>
      <c r="I113" s="14">
        <f t="shared" si="3"/>
        <v>0</v>
      </c>
      <c r="J113" s="8" t="s">
        <v>81</v>
      </c>
      <c r="K113" s="8"/>
      <c r="L113" s="9">
        <v>0</v>
      </c>
      <c r="M113" s="339"/>
      <c r="N113" s="315"/>
      <c r="O113" s="339"/>
      <c r="P113" s="339"/>
    </row>
    <row r="114" spans="1:16" s="9" customFormat="1" ht="11.25" hidden="1" customHeight="1" x14ac:dyDescent="0.2">
      <c r="A114" s="10">
        <v>43211500</v>
      </c>
      <c r="B114" s="10" t="s">
        <v>85</v>
      </c>
      <c r="C114" s="11">
        <v>0</v>
      </c>
      <c r="D114" s="11">
        <v>149.95400000000001</v>
      </c>
      <c r="E114" s="11">
        <v>149.95499999999998</v>
      </c>
      <c r="F114" s="13">
        <f>SUMIF('OD 12-24'!A:A,A114,'OD 12-24'!D:D)</f>
        <v>0</v>
      </c>
      <c r="G114" s="13">
        <f>SUMIF('OD 12-24'!A:A,A114,'OD 12-24'!E:E)</f>
        <v>0</v>
      </c>
      <c r="H114" s="14">
        <f t="shared" si="2"/>
        <v>-9.9999999997635314E-4</v>
      </c>
      <c r="I114" s="14">
        <f t="shared" si="3"/>
        <v>-9.9999999997635314E-4</v>
      </c>
      <c r="J114" s="8" t="s">
        <v>81</v>
      </c>
      <c r="K114" s="8"/>
      <c r="L114" s="9">
        <v>0</v>
      </c>
      <c r="M114" s="339"/>
      <c r="N114" s="315"/>
      <c r="O114" s="339"/>
      <c r="P114" s="339"/>
    </row>
    <row r="115" spans="1:16" s="9" customFormat="1" ht="11.25" hidden="1" customHeight="1" x14ac:dyDescent="0.2">
      <c r="A115" s="10">
        <v>43212500</v>
      </c>
      <c r="B115" s="10" t="s">
        <v>313</v>
      </c>
      <c r="C115" s="11">
        <v>0</v>
      </c>
      <c r="D115" s="11">
        <v>0</v>
      </c>
      <c r="E115" s="11">
        <v>0</v>
      </c>
      <c r="F115" s="13">
        <f>SUMIF('OD 12-24'!A:A,A115,'OD 12-24'!D:D)</f>
        <v>0</v>
      </c>
      <c r="G115" s="13">
        <f>SUMIF('OD 12-24'!A:A,A115,'OD 12-24'!E:E)</f>
        <v>0</v>
      </c>
      <c r="H115" s="14">
        <f t="shared" si="2"/>
        <v>0</v>
      </c>
      <c r="I115" s="14">
        <f t="shared" si="3"/>
        <v>0</v>
      </c>
      <c r="J115" s="8"/>
      <c r="K115" s="8"/>
      <c r="L115" s="9">
        <v>0</v>
      </c>
      <c r="M115" s="339"/>
      <c r="N115" s="315"/>
      <c r="O115" s="339"/>
      <c r="P115" s="339"/>
    </row>
    <row r="116" spans="1:16" s="9" customFormat="1" ht="11.25" hidden="1" customHeight="1" x14ac:dyDescent="0.2">
      <c r="A116" s="10">
        <v>43215000</v>
      </c>
      <c r="B116" s="10" t="s">
        <v>314</v>
      </c>
      <c r="C116" s="11">
        <v>0</v>
      </c>
      <c r="D116" s="11">
        <v>0</v>
      </c>
      <c r="E116" s="11">
        <v>0</v>
      </c>
      <c r="F116" s="13">
        <f>SUMIF('OD 12-24'!A:A,A116,'OD 12-24'!D:D)</f>
        <v>0</v>
      </c>
      <c r="G116" s="13">
        <f>SUMIF('OD 12-24'!A:A,A116,'OD 12-24'!E:E)</f>
        <v>0</v>
      </c>
      <c r="H116" s="14">
        <f t="shared" si="2"/>
        <v>0</v>
      </c>
      <c r="I116" s="14">
        <f t="shared" si="3"/>
        <v>0</v>
      </c>
      <c r="J116" s="8"/>
      <c r="K116" s="8"/>
      <c r="L116" s="9">
        <v>0</v>
      </c>
      <c r="M116" s="339"/>
      <c r="N116" s="315"/>
      <c r="O116" s="339"/>
      <c r="P116" s="339"/>
    </row>
    <row r="117" spans="1:16" s="9" customFormat="1" ht="11.25" hidden="1" customHeight="1" x14ac:dyDescent="0.2">
      <c r="A117" s="10">
        <v>43220000</v>
      </c>
      <c r="B117" s="10" t="s">
        <v>86</v>
      </c>
      <c r="C117" s="11">
        <v>0</v>
      </c>
      <c r="D117" s="11">
        <v>111235.21599999999</v>
      </c>
      <c r="E117" s="11">
        <v>111235.25200000001</v>
      </c>
      <c r="F117" s="13">
        <f>SUMIF('OD 12-24'!A:A,A117,'OD 12-24'!D:D)</f>
        <v>0</v>
      </c>
      <c r="G117" s="13">
        <f>SUMIF('OD 12-24'!A:A,A117,'OD 12-24'!E:E)</f>
        <v>0</v>
      </c>
      <c r="H117" s="14">
        <f t="shared" si="2"/>
        <v>-3.6000000021886081E-2</v>
      </c>
      <c r="I117" s="14">
        <f t="shared" si="3"/>
        <v>-3.6000000021886081E-2</v>
      </c>
      <c r="J117" s="8" t="s">
        <v>81</v>
      </c>
      <c r="K117" s="8"/>
      <c r="L117" s="9" t="s">
        <v>10104</v>
      </c>
      <c r="M117" s="339"/>
      <c r="N117" s="315"/>
      <c r="O117" s="339"/>
      <c r="P117" s="339"/>
    </row>
    <row r="118" spans="1:16" s="9" customFormat="1" ht="11.25" hidden="1" customHeight="1" x14ac:dyDescent="0.2">
      <c r="A118" s="10">
        <v>43220050</v>
      </c>
      <c r="B118" s="10" t="s">
        <v>315</v>
      </c>
      <c r="C118" s="11">
        <v>4.7000000002299203E-2</v>
      </c>
      <c r="D118" s="11">
        <v>2.98</v>
      </c>
      <c r="E118" s="11">
        <v>2.98</v>
      </c>
      <c r="F118" s="13">
        <f>SUMIF('OD 12-24'!A:A,A118,'OD 12-24'!D:D)</f>
        <v>0</v>
      </c>
      <c r="G118" s="13">
        <f>SUMIF('OD 12-24'!A:A,A118,'OD 12-24'!E:E)</f>
        <v>0</v>
      </c>
      <c r="H118" s="14">
        <f t="shared" si="2"/>
        <v>0</v>
      </c>
      <c r="I118" s="14">
        <f t="shared" si="3"/>
        <v>4.7000000002299203E-2</v>
      </c>
      <c r="J118" s="8" t="s">
        <v>78</v>
      </c>
      <c r="K118" s="8"/>
      <c r="L118" s="9" t="s">
        <v>10104</v>
      </c>
      <c r="M118" s="339"/>
      <c r="N118" s="315"/>
      <c r="O118" s="339"/>
      <c r="P118" s="339"/>
    </row>
    <row r="119" spans="1:16" s="9" customFormat="1" ht="11.25" hidden="1" customHeight="1" x14ac:dyDescent="0.2">
      <c r="A119" s="10">
        <v>43220100</v>
      </c>
      <c r="B119" s="10" t="s">
        <v>87</v>
      </c>
      <c r="C119" s="11">
        <v>0</v>
      </c>
      <c r="D119" s="11">
        <f>183334.223+20966.957</f>
        <v>204301.18</v>
      </c>
      <c r="E119" s="11">
        <v>204301.18100000001</v>
      </c>
      <c r="F119" s="13">
        <f>SUMIF('OD 12-24'!A:A,A119,'OD 12-24'!D:D)</f>
        <v>0</v>
      </c>
      <c r="G119" s="13">
        <f>SUMIF('OD 12-24'!A:A,A119,'OD 12-24'!E:E)</f>
        <v>0</v>
      </c>
      <c r="H119" s="14">
        <f t="shared" si="2"/>
        <v>-1.0000000183936208E-3</v>
      </c>
      <c r="I119" s="14">
        <f t="shared" si="3"/>
        <v>-1.0000000183936208E-3</v>
      </c>
      <c r="J119" s="8" t="s">
        <v>81</v>
      </c>
      <c r="K119" s="8"/>
      <c r="L119" s="9" t="s">
        <v>10104</v>
      </c>
      <c r="M119" s="339"/>
      <c r="N119" s="315"/>
      <c r="O119" s="339"/>
      <c r="P119" s="339"/>
    </row>
    <row r="120" spans="1:16" s="9" customFormat="1" ht="11.25" hidden="1" customHeight="1" x14ac:dyDescent="0.2">
      <c r="A120" s="10">
        <v>43220300</v>
      </c>
      <c r="B120" s="10" t="s">
        <v>88</v>
      </c>
      <c r="C120" s="11">
        <v>0</v>
      </c>
      <c r="D120" s="11">
        <f>3902.776+92.782</f>
        <v>3995.558</v>
      </c>
      <c r="E120" s="11">
        <v>3995.5590000000002</v>
      </c>
      <c r="F120" s="13">
        <f>SUMIF('OD 12-24'!A:A,A120,'OD 12-24'!D:D)</f>
        <v>0</v>
      </c>
      <c r="G120" s="13">
        <f>SUMIF('OD 12-24'!A:A,A120,'OD 12-24'!E:E)</f>
        <v>0</v>
      </c>
      <c r="H120" s="14">
        <f t="shared" si="2"/>
        <v>-1.0000000002037268E-3</v>
      </c>
      <c r="I120" s="14">
        <f t="shared" si="3"/>
        <v>-1.0000000002037268E-3</v>
      </c>
      <c r="J120" s="8" t="s">
        <v>81</v>
      </c>
      <c r="K120" s="8"/>
      <c r="L120" s="9" t="s">
        <v>10104</v>
      </c>
      <c r="M120" s="339"/>
      <c r="N120" s="315"/>
      <c r="O120" s="339"/>
      <c r="P120" s="339"/>
    </row>
    <row r="121" spans="1:16" s="9" customFormat="1" ht="11.25" hidden="1" customHeight="1" x14ac:dyDescent="0.2">
      <c r="A121" s="10">
        <v>43221000</v>
      </c>
      <c r="B121" s="10" t="s">
        <v>89</v>
      </c>
      <c r="C121" s="11">
        <v>0</v>
      </c>
      <c r="D121" s="11">
        <v>111.10999999999999</v>
      </c>
      <c r="E121" s="11">
        <v>111.10999999999999</v>
      </c>
      <c r="F121" s="13">
        <f>SUMIF('OD 12-24'!A:A,A121,'OD 12-24'!D:D)</f>
        <v>0</v>
      </c>
      <c r="G121" s="13">
        <f>SUMIF('OD 12-24'!A:A,A121,'OD 12-24'!E:E)</f>
        <v>0</v>
      </c>
      <c r="H121" s="14">
        <f t="shared" si="2"/>
        <v>0</v>
      </c>
      <c r="I121" s="14">
        <f t="shared" si="3"/>
        <v>0</v>
      </c>
      <c r="J121" s="8" t="s">
        <v>81</v>
      </c>
      <c r="K121" s="8"/>
      <c r="L121" s="9" t="s">
        <v>10104</v>
      </c>
      <c r="M121" s="339"/>
      <c r="N121" s="315"/>
      <c r="O121" s="339"/>
      <c r="P121" s="339"/>
    </row>
    <row r="122" spans="1:16" s="9" customFormat="1" ht="11.25" hidden="1" customHeight="1" x14ac:dyDescent="0.2">
      <c r="A122" s="10">
        <v>43222000</v>
      </c>
      <c r="B122" s="10" t="s">
        <v>316</v>
      </c>
      <c r="C122" s="11">
        <v>0</v>
      </c>
      <c r="D122" s="11">
        <f>141639.157+23000</f>
        <v>164639.15700000001</v>
      </c>
      <c r="E122" s="11">
        <v>164639.16999999998</v>
      </c>
      <c r="F122" s="13">
        <f>SUMIF('OD 12-24'!A:A,A122,'OD 12-24'!D:D)</f>
        <v>0</v>
      </c>
      <c r="G122" s="13">
        <f>SUMIF('OD 12-24'!A:A,A122,'OD 12-24'!E:E)</f>
        <v>0</v>
      </c>
      <c r="H122" s="14">
        <f t="shared" si="2"/>
        <v>-1.2999999977182597E-2</v>
      </c>
      <c r="I122" s="14">
        <f t="shared" si="3"/>
        <v>-1.2999999977182597E-2</v>
      </c>
      <c r="J122" s="8" t="s">
        <v>81</v>
      </c>
      <c r="K122" s="8"/>
      <c r="L122" s="9" t="s">
        <v>10104</v>
      </c>
      <c r="M122" s="339"/>
      <c r="N122" s="315"/>
      <c r="O122" s="339"/>
      <c r="P122" s="339"/>
    </row>
    <row r="123" spans="1:16" s="9" customFormat="1" ht="11.25" hidden="1" customHeight="1" x14ac:dyDescent="0.2">
      <c r="A123" s="10">
        <v>43223000</v>
      </c>
      <c r="B123" s="10" t="s">
        <v>90</v>
      </c>
      <c r="C123" s="11">
        <v>-40912.060000000027</v>
      </c>
      <c r="D123" s="11">
        <f>112579.562+2668.046</f>
        <v>115247.60800000001</v>
      </c>
      <c r="E123" s="11">
        <v>73838.975999999995</v>
      </c>
      <c r="F123" s="13">
        <f>SUMIF('OD 12-24'!A:A,A123,'OD 12-24'!D:D)</f>
        <v>0</v>
      </c>
      <c r="G123" s="13">
        <f>SUMIF('OD 12-24'!A:A,A123,'OD 12-24'!E:E)</f>
        <v>0</v>
      </c>
      <c r="H123" s="14">
        <f t="shared" si="2"/>
        <v>41408.632000000012</v>
      </c>
      <c r="I123" s="14">
        <f t="shared" si="3"/>
        <v>496.57199999998556</v>
      </c>
      <c r="J123" s="8" t="s">
        <v>81</v>
      </c>
      <c r="K123" s="8"/>
      <c r="L123" s="9" t="s">
        <v>10103</v>
      </c>
      <c r="M123" s="339"/>
      <c r="N123" s="315"/>
      <c r="O123" s="339"/>
      <c r="P123" s="339"/>
    </row>
    <row r="124" spans="1:16" s="9" customFormat="1" ht="11.25" hidden="1" customHeight="1" x14ac:dyDescent="0.2">
      <c r="A124" s="10">
        <v>43310000</v>
      </c>
      <c r="B124" s="10" t="s">
        <v>317</v>
      </c>
      <c r="C124" s="11">
        <v>0</v>
      </c>
      <c r="D124" s="11">
        <v>0</v>
      </c>
      <c r="E124" s="11">
        <v>0</v>
      </c>
      <c r="F124" s="13">
        <f>SUMIF('OD 12-24'!A:A,A124,'OD 12-24'!D:D)</f>
        <v>0</v>
      </c>
      <c r="G124" s="13">
        <f>SUMIF('OD 12-24'!A:A,A124,'OD 12-24'!E:E)</f>
        <v>0</v>
      </c>
      <c r="H124" s="14">
        <f t="shared" si="2"/>
        <v>0</v>
      </c>
      <c r="I124" s="14">
        <f t="shared" si="3"/>
        <v>0</v>
      </c>
      <c r="J124" s="8"/>
      <c r="K124" s="8"/>
      <c r="L124" s="9">
        <v>0</v>
      </c>
      <c r="M124" s="339"/>
      <c r="N124" s="315"/>
      <c r="O124" s="339"/>
      <c r="P124" s="339"/>
    </row>
    <row r="125" spans="1:16" s="9" customFormat="1" ht="11.25" hidden="1" customHeight="1" x14ac:dyDescent="0.2">
      <c r="A125" s="10">
        <v>43400000</v>
      </c>
      <c r="B125" s="10" t="s">
        <v>91</v>
      </c>
      <c r="C125" s="11">
        <v>967729.65199999954</v>
      </c>
      <c r="D125" s="11">
        <v>0</v>
      </c>
      <c r="E125" s="11">
        <v>279894.3</v>
      </c>
      <c r="F125" s="13">
        <f>SUMIF('OD 12-24'!A:A,A125,'OD 12-24'!D:D)</f>
        <v>0</v>
      </c>
      <c r="G125" s="13">
        <f>SUMIF('OD 12-24'!A:A,A125,'OD 12-24'!E:E)</f>
        <v>0</v>
      </c>
      <c r="H125" s="14">
        <f t="shared" si="2"/>
        <v>-279894.3</v>
      </c>
      <c r="I125" s="14">
        <f t="shared" si="3"/>
        <v>687835.35199999949</v>
      </c>
      <c r="J125" s="8" t="s">
        <v>78</v>
      </c>
      <c r="K125" s="8"/>
      <c r="L125" s="9" t="s">
        <v>10103</v>
      </c>
      <c r="M125" s="339"/>
      <c r="N125" s="315"/>
      <c r="O125" s="339"/>
      <c r="P125" s="339"/>
    </row>
    <row r="126" spans="1:16" s="9" customFormat="1" ht="11.25" hidden="1" customHeight="1" x14ac:dyDescent="0.2">
      <c r="A126" s="10">
        <v>43410000</v>
      </c>
      <c r="B126" s="10" t="s">
        <v>318</v>
      </c>
      <c r="C126" s="11">
        <v>0</v>
      </c>
      <c r="D126" s="11">
        <v>431126.50299999991</v>
      </c>
      <c r="E126" s="11">
        <v>252.52500000000001</v>
      </c>
      <c r="F126" s="13">
        <f>SUMIF('OD 12-24'!A:A,A126,'OD 12-24'!D:D)</f>
        <v>0</v>
      </c>
      <c r="G126" s="13">
        <f>SUMIF('OD 12-24'!A:A,A126,'OD 12-24'!E:E)</f>
        <v>0</v>
      </c>
      <c r="H126" s="14">
        <f t="shared" si="2"/>
        <v>430873.97799999989</v>
      </c>
      <c r="I126" s="14">
        <f t="shared" si="3"/>
        <v>430873.97799999989</v>
      </c>
      <c r="J126" s="8" t="s">
        <v>78</v>
      </c>
      <c r="K126" s="8"/>
      <c r="L126" s="9" t="s">
        <v>10103</v>
      </c>
      <c r="M126" s="339"/>
      <c r="N126" s="315"/>
      <c r="O126" s="339"/>
      <c r="P126" s="339"/>
    </row>
    <row r="127" spans="1:16" s="9" customFormat="1" ht="11.25" hidden="1" customHeight="1" x14ac:dyDescent="0.2">
      <c r="A127" s="10">
        <v>43420000</v>
      </c>
      <c r="B127" s="10" t="s">
        <v>92</v>
      </c>
      <c r="C127" s="11">
        <v>0</v>
      </c>
      <c r="D127" s="11">
        <v>0</v>
      </c>
      <c r="E127" s="11">
        <v>0</v>
      </c>
      <c r="F127" s="13">
        <f>SUMIF('OD 12-24'!A:A,A127,'OD 12-24'!D:D)</f>
        <v>0</v>
      </c>
      <c r="G127" s="13">
        <f>SUMIF('OD 12-24'!A:A,A127,'OD 12-24'!E:E)</f>
        <v>0</v>
      </c>
      <c r="H127" s="14">
        <f t="shared" si="2"/>
        <v>0</v>
      </c>
      <c r="I127" s="14">
        <f t="shared" si="3"/>
        <v>0</v>
      </c>
      <c r="J127" s="8"/>
      <c r="K127" s="8"/>
      <c r="L127" s="9">
        <v>0</v>
      </c>
      <c r="M127" s="339"/>
      <c r="N127" s="315"/>
      <c r="O127" s="339"/>
      <c r="P127" s="339"/>
    </row>
    <row r="128" spans="1:16" s="9" customFormat="1" ht="11.25" hidden="1" customHeight="1" x14ac:dyDescent="0.2">
      <c r="A128" s="10">
        <v>43430000</v>
      </c>
      <c r="B128" s="10" t="s">
        <v>319</v>
      </c>
      <c r="C128" s="11">
        <v>0</v>
      </c>
      <c r="D128" s="11">
        <v>135.946</v>
      </c>
      <c r="E128" s="11">
        <v>135.946</v>
      </c>
      <c r="F128" s="13">
        <f>SUMIF('OD 12-24'!A:A,A128,'OD 12-24'!D:D)</f>
        <v>0</v>
      </c>
      <c r="G128" s="13">
        <f>SUMIF('OD 12-24'!A:A,A128,'OD 12-24'!E:E)</f>
        <v>0</v>
      </c>
      <c r="H128" s="14">
        <f t="shared" si="2"/>
        <v>0</v>
      </c>
      <c r="I128" s="14">
        <f t="shared" si="3"/>
        <v>0</v>
      </c>
      <c r="J128" s="8" t="s">
        <v>78</v>
      </c>
      <c r="K128" s="8"/>
      <c r="L128" s="9">
        <v>0</v>
      </c>
      <c r="M128" s="339"/>
      <c r="N128" s="315"/>
      <c r="O128" s="339"/>
      <c r="P128" s="339"/>
    </row>
    <row r="129" spans="1:16" s="9" customFormat="1" ht="11.25" hidden="1" customHeight="1" x14ac:dyDescent="0.2">
      <c r="A129" s="10">
        <v>43440000</v>
      </c>
      <c r="B129" s="10" t="s">
        <v>320</v>
      </c>
      <c r="C129" s="11">
        <v>0</v>
      </c>
      <c r="D129" s="11">
        <v>6135.9</v>
      </c>
      <c r="E129" s="11">
        <v>6135.9</v>
      </c>
      <c r="F129" s="13">
        <f>SUMIF('OD 12-24'!A:A,A129,'OD 12-24'!D:D)</f>
        <v>0</v>
      </c>
      <c r="G129" s="13">
        <f>SUMIF('OD 12-24'!A:A,A129,'OD 12-24'!E:E)</f>
        <v>0</v>
      </c>
      <c r="H129" s="14">
        <f t="shared" si="2"/>
        <v>0</v>
      </c>
      <c r="I129" s="14">
        <f t="shared" si="3"/>
        <v>0</v>
      </c>
      <c r="J129" s="8" t="s">
        <v>78</v>
      </c>
      <c r="K129" s="8"/>
      <c r="L129" s="9">
        <v>0</v>
      </c>
      <c r="M129" s="339"/>
      <c r="N129" s="315"/>
      <c r="O129" s="339"/>
      <c r="P129" s="339"/>
    </row>
    <row r="130" spans="1:16" s="9" customFormat="1" ht="11.25" hidden="1" customHeight="1" x14ac:dyDescent="0.2">
      <c r="A130" s="10">
        <v>43500000</v>
      </c>
      <c r="B130" s="10" t="s">
        <v>321</v>
      </c>
      <c r="C130" s="11">
        <v>-70408.270000000484</v>
      </c>
      <c r="D130" s="11">
        <v>1125939.5629999998</v>
      </c>
      <c r="E130" s="11">
        <v>1587144.1530000002</v>
      </c>
      <c r="F130" s="13">
        <f>SUMIF('OD 12-24'!A:A,A130,'OD 12-24'!D:D)</f>
        <v>0</v>
      </c>
      <c r="G130" s="13">
        <f>SUMIF('OD 12-24'!A:A,A130,'OD 12-24'!E:E)</f>
        <v>0</v>
      </c>
      <c r="H130" s="14">
        <f t="shared" si="2"/>
        <v>-461204.59000000032</v>
      </c>
      <c r="I130" s="14">
        <f t="shared" si="3"/>
        <v>-531612.8600000008</v>
      </c>
      <c r="J130" s="8" t="s">
        <v>81</v>
      </c>
      <c r="K130" s="8"/>
      <c r="L130" s="9">
        <v>0</v>
      </c>
      <c r="M130" s="339"/>
      <c r="N130" s="315"/>
      <c r="O130" s="339"/>
      <c r="P130" s="339"/>
    </row>
    <row r="131" spans="1:16" s="9" customFormat="1" ht="11.25" hidden="1" customHeight="1" x14ac:dyDescent="0.2">
      <c r="A131" s="10">
        <v>43600000</v>
      </c>
      <c r="B131" s="10" t="s">
        <v>93</v>
      </c>
      <c r="C131" s="11">
        <v>697619.66200000048</v>
      </c>
      <c r="D131" s="11">
        <f>12430591.059+198641.032+5724.067+3531.285+1682736.94</f>
        <v>14321224.382999999</v>
      </c>
      <c r="E131" s="11">
        <f>9353203.895+198641.032+514826.463</f>
        <v>10066671.389999999</v>
      </c>
      <c r="F131" s="13">
        <f>SUMIF('OD 12-24'!A:A,A131,'OD 12-24'!D:D)</f>
        <v>0</v>
      </c>
      <c r="G131" s="13">
        <f>SUMIF('OD 12-24'!A:A,A131,'OD 12-24'!E:E)</f>
        <v>0</v>
      </c>
      <c r="H131" s="14">
        <f t="shared" ref="H131:H195" si="4">+D131+F131-E131-G131</f>
        <v>4254552.9930000007</v>
      </c>
      <c r="I131" s="14">
        <f t="shared" ref="I131:I195" si="5">+H131+C131</f>
        <v>4952172.6550000012</v>
      </c>
      <c r="J131" s="8" t="s">
        <v>78</v>
      </c>
      <c r="K131" s="8"/>
      <c r="L131" s="9" t="s">
        <v>10103</v>
      </c>
      <c r="M131" s="339"/>
      <c r="N131" s="315"/>
      <c r="O131" s="339"/>
      <c r="P131" s="339"/>
    </row>
    <row r="132" spans="1:16" s="9" customFormat="1" ht="11.25" hidden="1" customHeight="1" x14ac:dyDescent="0.2">
      <c r="A132" s="10">
        <v>43625000</v>
      </c>
      <c r="B132" s="10" t="s">
        <v>94</v>
      </c>
      <c r="C132" s="11">
        <v>0</v>
      </c>
      <c r="D132" s="11">
        <f>347534.094+24830.129</f>
        <v>372364.223</v>
      </c>
      <c r="E132" s="11">
        <v>372364.22100000002</v>
      </c>
      <c r="F132" s="13">
        <f>SUMIF('OD 12-24'!A:A,A132,'OD 12-24'!D:D)</f>
        <v>30688.393</v>
      </c>
      <c r="G132" s="13">
        <f>SUMIF('OD 12-24'!A:A,A132,'OD 12-24'!E:E)</f>
        <v>30688.393</v>
      </c>
      <c r="H132" s="14">
        <f t="shared" si="4"/>
        <v>1.9999999603896867E-3</v>
      </c>
      <c r="I132" s="14">
        <f t="shared" si="5"/>
        <v>1.9999999603896867E-3</v>
      </c>
      <c r="J132" s="8" t="s">
        <v>81</v>
      </c>
      <c r="K132" s="8"/>
      <c r="L132" s="9" t="s">
        <v>10103</v>
      </c>
      <c r="M132" s="339"/>
      <c r="N132" s="315"/>
      <c r="O132" s="339"/>
      <c r="P132" s="339"/>
    </row>
    <row r="133" spans="1:16" s="9" customFormat="1" ht="11.25" hidden="1" customHeight="1" x14ac:dyDescent="0.2">
      <c r="A133" s="10">
        <v>43627000</v>
      </c>
      <c r="B133" s="10" t="s">
        <v>95</v>
      </c>
      <c r="C133" s="11">
        <v>1.0999999940395355E-2</v>
      </c>
      <c r="D133" s="11">
        <f>2432738.653+173810.903</f>
        <v>2606549.5559999999</v>
      </c>
      <c r="E133" s="11">
        <v>2606549.531</v>
      </c>
      <c r="F133" s="13">
        <f>SUMIF('OD 12-24'!A:A,A133,'OD 12-24'!D:D)</f>
        <v>214818.74900000001</v>
      </c>
      <c r="G133" s="13">
        <f>SUMIF('OD 12-24'!A:A,A133,'OD 12-24'!E:E)</f>
        <v>214818.74900000001</v>
      </c>
      <c r="H133" s="14">
        <f t="shared" si="4"/>
        <v>2.499999973224476E-2</v>
      </c>
      <c r="I133" s="14">
        <f t="shared" si="5"/>
        <v>3.5999999672640115E-2</v>
      </c>
      <c r="J133" s="8" t="s">
        <v>81</v>
      </c>
      <c r="K133" s="8"/>
      <c r="L133" s="9" t="s">
        <v>10103</v>
      </c>
      <c r="M133" s="339"/>
      <c r="N133" s="315"/>
      <c r="O133" s="339"/>
      <c r="P133" s="339"/>
    </row>
    <row r="134" spans="1:16" s="9" customFormat="1" ht="11.25" hidden="1" customHeight="1" x14ac:dyDescent="0.2">
      <c r="A134" s="10">
        <v>43630600</v>
      </c>
      <c r="B134" s="10" t="s">
        <v>322</v>
      </c>
      <c r="C134" s="11">
        <v>0</v>
      </c>
      <c r="D134" s="11">
        <v>0</v>
      </c>
      <c r="E134" s="11">
        <v>0</v>
      </c>
      <c r="F134" s="13">
        <f>SUMIF('OD 12-24'!A:A,A134,'OD 12-24'!D:D)</f>
        <v>0</v>
      </c>
      <c r="G134" s="13">
        <f>SUMIF('OD 12-24'!A:A,A134,'OD 12-24'!E:E)</f>
        <v>0</v>
      </c>
      <c r="H134" s="14">
        <f t="shared" si="4"/>
        <v>0</v>
      </c>
      <c r="I134" s="14">
        <f t="shared" si="5"/>
        <v>0</v>
      </c>
      <c r="J134" s="8"/>
      <c r="K134" s="8"/>
      <c r="L134" s="9">
        <v>0</v>
      </c>
      <c r="M134" s="339"/>
      <c r="N134" s="315"/>
      <c r="O134" s="339"/>
      <c r="P134" s="339"/>
    </row>
    <row r="135" spans="1:16" s="9" customFormat="1" ht="11.25" hidden="1" customHeight="1" x14ac:dyDescent="0.2">
      <c r="A135" s="10">
        <v>43630700</v>
      </c>
      <c r="B135" s="10" t="s">
        <v>96</v>
      </c>
      <c r="C135" s="11">
        <v>6400.8769999999786</v>
      </c>
      <c r="D135" s="11">
        <v>31932.411</v>
      </c>
      <c r="E135" s="11">
        <f>32609.221+5724.067</f>
        <v>38333.288</v>
      </c>
      <c r="F135" s="13">
        <f>SUMIF('OD 12-24'!A:A,A135,'OD 12-24'!D:D)</f>
        <v>0</v>
      </c>
      <c r="G135" s="13">
        <f>SUMIF('OD 12-24'!A:A,A135,'OD 12-24'!E:E)</f>
        <v>0</v>
      </c>
      <c r="H135" s="14">
        <f t="shared" si="4"/>
        <v>-6400.8770000000004</v>
      </c>
      <c r="I135" s="14">
        <f t="shared" si="5"/>
        <v>-2.1827872842550278E-11</v>
      </c>
      <c r="J135" s="8" t="s">
        <v>78</v>
      </c>
      <c r="K135" s="8"/>
      <c r="L135" s="9" t="s">
        <v>10103</v>
      </c>
      <c r="M135" s="339"/>
      <c r="N135" s="315"/>
      <c r="O135" s="339"/>
      <c r="P135" s="339"/>
    </row>
    <row r="136" spans="1:16" s="9" customFormat="1" ht="11.25" hidden="1" customHeight="1" x14ac:dyDescent="0.2">
      <c r="A136" s="10">
        <v>43631000</v>
      </c>
      <c r="B136" s="10" t="s">
        <v>323</v>
      </c>
      <c r="C136" s="11">
        <v>0</v>
      </c>
      <c r="D136" s="11">
        <v>0</v>
      </c>
      <c r="E136" s="11">
        <v>0</v>
      </c>
      <c r="F136" s="13">
        <f>SUMIF('OD 12-24'!A:A,A136,'OD 12-24'!D:D)</f>
        <v>0</v>
      </c>
      <c r="G136" s="13">
        <f>SUMIF('OD 12-24'!A:A,A136,'OD 12-24'!E:E)</f>
        <v>0</v>
      </c>
      <c r="H136" s="14">
        <f t="shared" si="4"/>
        <v>0</v>
      </c>
      <c r="I136" s="14">
        <f t="shared" si="5"/>
        <v>0</v>
      </c>
      <c r="J136" s="8"/>
      <c r="K136" s="8"/>
      <c r="L136" s="9">
        <v>0</v>
      </c>
      <c r="M136" s="339"/>
      <c r="N136" s="315"/>
      <c r="O136" s="339"/>
      <c r="P136" s="339"/>
    </row>
    <row r="137" spans="1:16" s="9" customFormat="1" ht="11.25" hidden="1" customHeight="1" x14ac:dyDescent="0.2">
      <c r="A137" s="10">
        <v>43631300</v>
      </c>
      <c r="B137" s="10" t="s">
        <v>324</v>
      </c>
      <c r="C137" s="11">
        <v>0</v>
      </c>
      <c r="D137" s="11">
        <v>26031.238999999998</v>
      </c>
      <c r="E137" s="11">
        <f>22499.954+3531.285</f>
        <v>26031.239000000001</v>
      </c>
      <c r="F137" s="13">
        <f>SUMIF('OD 12-24'!A:A,A137,'OD 12-24'!D:D)</f>
        <v>0</v>
      </c>
      <c r="G137" s="13">
        <f>SUMIF('OD 12-24'!A:A,A137,'OD 12-24'!E:E)</f>
        <v>0</v>
      </c>
      <c r="H137" s="14">
        <f t="shared" si="4"/>
        <v>-3.637978807091713E-12</v>
      </c>
      <c r="I137" s="14">
        <f t="shared" si="5"/>
        <v>-3.637978807091713E-12</v>
      </c>
      <c r="J137" s="8" t="s">
        <v>78</v>
      </c>
      <c r="K137" s="8"/>
      <c r="L137" s="9">
        <v>0</v>
      </c>
      <c r="M137" s="339"/>
      <c r="N137" s="315"/>
      <c r="O137" s="339"/>
      <c r="P137" s="339"/>
    </row>
    <row r="138" spans="1:16" s="9" customFormat="1" ht="11.25" hidden="1" customHeight="1" x14ac:dyDescent="0.2">
      <c r="A138" s="10">
        <v>43631800</v>
      </c>
      <c r="B138" s="10" t="s">
        <v>325</v>
      </c>
      <c r="C138" s="11">
        <v>0</v>
      </c>
      <c r="D138" s="11">
        <v>0</v>
      </c>
      <c r="E138" s="11">
        <v>0</v>
      </c>
      <c r="F138" s="13">
        <f>SUMIF('OD 12-24'!A:A,A138,'OD 12-24'!D:D)</f>
        <v>0</v>
      </c>
      <c r="G138" s="13">
        <f>SUMIF('OD 12-24'!A:A,A138,'OD 12-24'!E:E)</f>
        <v>0</v>
      </c>
      <c r="H138" s="14">
        <f t="shared" si="4"/>
        <v>0</v>
      </c>
      <c r="I138" s="14">
        <f t="shared" si="5"/>
        <v>0</v>
      </c>
      <c r="J138" s="8"/>
      <c r="K138" s="8"/>
      <c r="L138" s="9">
        <v>0</v>
      </c>
      <c r="M138" s="339"/>
      <c r="N138" s="315"/>
      <c r="O138" s="339"/>
      <c r="P138" s="339"/>
    </row>
    <row r="139" spans="1:16" s="9" customFormat="1" ht="11.25" hidden="1" customHeight="1" x14ac:dyDescent="0.2">
      <c r="A139" s="10">
        <v>43631900</v>
      </c>
      <c r="B139" s="10" t="s">
        <v>97</v>
      </c>
      <c r="C139" s="11">
        <v>-3.9999932050704956E-3</v>
      </c>
      <c r="D139" s="11">
        <v>11504689.74</v>
      </c>
      <c r="E139" s="11">
        <f>9821952.795+1682736.94</f>
        <v>11504689.734999999</v>
      </c>
      <c r="F139" s="13">
        <f>SUMIF('OD 12-24'!A:A,A139,'OD 12-24'!D:D)</f>
        <v>0</v>
      </c>
      <c r="G139" s="13">
        <f>SUMIF('OD 12-24'!A:A,A139,'OD 12-24'!E:E)</f>
        <v>0</v>
      </c>
      <c r="H139" s="14">
        <f t="shared" si="4"/>
        <v>5.0000008195638657E-3</v>
      </c>
      <c r="I139" s="14">
        <f t="shared" si="5"/>
        <v>1.0000076144933701E-3</v>
      </c>
      <c r="J139" s="8" t="s">
        <v>78</v>
      </c>
      <c r="K139" s="8"/>
      <c r="L139" s="9" t="s">
        <v>10104</v>
      </c>
      <c r="M139" s="339"/>
      <c r="N139" s="315"/>
      <c r="O139" s="339"/>
      <c r="P139" s="339"/>
    </row>
    <row r="140" spans="1:16" s="9" customFormat="1" ht="11.25" hidden="1" customHeight="1" x14ac:dyDescent="0.2">
      <c r="A140" s="10">
        <v>43661800</v>
      </c>
      <c r="B140" s="10" t="s">
        <v>326</v>
      </c>
      <c r="C140" s="11">
        <v>0</v>
      </c>
      <c r="D140" s="11">
        <v>0</v>
      </c>
      <c r="E140" s="11">
        <v>0</v>
      </c>
      <c r="F140" s="13">
        <f>SUMIF('OD 12-24'!A:A,A140,'OD 12-24'!D:D)</f>
        <v>0</v>
      </c>
      <c r="G140" s="13">
        <f>SUMIF('OD 12-24'!A:A,A140,'OD 12-24'!E:E)</f>
        <v>0</v>
      </c>
      <c r="H140" s="14">
        <f t="shared" si="4"/>
        <v>0</v>
      </c>
      <c r="I140" s="14">
        <f t="shared" si="5"/>
        <v>0</v>
      </c>
      <c r="J140" s="8"/>
      <c r="K140" s="8"/>
      <c r="L140" s="9">
        <v>0</v>
      </c>
      <c r="M140" s="339"/>
      <c r="N140" s="315"/>
      <c r="O140" s="339"/>
      <c r="P140" s="339"/>
    </row>
    <row r="141" spans="1:16" s="9" customFormat="1" ht="11.25" hidden="1" customHeight="1" x14ac:dyDescent="0.2">
      <c r="A141" s="10">
        <v>43671000</v>
      </c>
      <c r="B141" s="10" t="s">
        <v>98</v>
      </c>
      <c r="C141" s="11">
        <v>0</v>
      </c>
      <c r="D141" s="11">
        <f>7309029.745+514826.463</f>
        <v>7823856.2080000006</v>
      </c>
      <c r="E141" s="11">
        <v>7823856.182000001</v>
      </c>
      <c r="F141" s="13">
        <f>SUMIF('OD 12-24'!A:A,A141,'OD 12-24'!D:D)</f>
        <v>643940.79099999997</v>
      </c>
      <c r="G141" s="13">
        <f>SUMIF('OD 12-24'!A:A,A141,'OD 12-24'!E:E)</f>
        <v>643940.79099999997</v>
      </c>
      <c r="H141" s="14">
        <f t="shared" si="4"/>
        <v>2.5999998906627297E-2</v>
      </c>
      <c r="I141" s="14">
        <f t="shared" si="5"/>
        <v>2.5999998906627297E-2</v>
      </c>
      <c r="J141" s="8" t="s">
        <v>81</v>
      </c>
      <c r="K141" s="8"/>
      <c r="L141" s="9" t="s">
        <v>10104</v>
      </c>
      <c r="M141" s="339"/>
      <c r="N141" s="315"/>
      <c r="O141" s="339"/>
      <c r="P141" s="339"/>
    </row>
    <row r="142" spans="1:16" s="9" customFormat="1" ht="11.25" hidden="1" customHeight="1" x14ac:dyDescent="0.2">
      <c r="A142" s="10">
        <v>43700000</v>
      </c>
      <c r="B142" s="10" t="s">
        <v>99</v>
      </c>
      <c r="C142" s="11">
        <v>0</v>
      </c>
      <c r="D142" s="11">
        <f>46+3</f>
        <v>49</v>
      </c>
      <c r="E142" s="11">
        <v>49</v>
      </c>
      <c r="F142" s="13">
        <f>SUMIF('OD 12-24'!A:A,A142,'OD 12-24'!D:D)</f>
        <v>3</v>
      </c>
      <c r="G142" s="13">
        <f>SUMIF('OD 12-24'!A:A,A142,'OD 12-24'!E:E)</f>
        <v>3</v>
      </c>
      <c r="H142" s="14">
        <f t="shared" si="4"/>
        <v>0</v>
      </c>
      <c r="I142" s="14">
        <f t="shared" si="5"/>
        <v>0</v>
      </c>
      <c r="J142" s="8" t="s">
        <v>81</v>
      </c>
      <c r="K142" s="8"/>
      <c r="L142" s="9">
        <v>0</v>
      </c>
      <c r="M142" s="339"/>
      <c r="N142" s="315"/>
      <c r="O142" s="339"/>
      <c r="P142" s="339"/>
    </row>
    <row r="143" spans="1:16" s="9" customFormat="1" ht="11.25" hidden="1" customHeight="1" x14ac:dyDescent="0.2">
      <c r="A143" s="10">
        <v>43720000</v>
      </c>
      <c r="B143" s="10" t="s">
        <v>327</v>
      </c>
      <c r="C143" s="11">
        <v>0</v>
      </c>
      <c r="D143" s="11">
        <v>0</v>
      </c>
      <c r="E143" s="11">
        <v>0</v>
      </c>
      <c r="F143" s="13">
        <f>SUMIF('OD 12-24'!A:A,A143,'OD 12-24'!D:D)</f>
        <v>0</v>
      </c>
      <c r="G143" s="13">
        <f>SUMIF('OD 12-24'!A:A,A143,'OD 12-24'!E:E)</f>
        <v>0</v>
      </c>
      <c r="H143" s="14">
        <f t="shared" si="4"/>
        <v>0</v>
      </c>
      <c r="I143" s="14">
        <f t="shared" si="5"/>
        <v>0</v>
      </c>
      <c r="J143" s="8"/>
      <c r="K143" s="8"/>
      <c r="L143" s="9">
        <v>0</v>
      </c>
      <c r="M143" s="339"/>
      <c r="N143" s="315"/>
      <c r="O143" s="339"/>
      <c r="P143" s="339"/>
    </row>
    <row r="144" spans="1:16" s="9" customFormat="1" ht="11.25" hidden="1" customHeight="1" x14ac:dyDescent="0.2">
      <c r="A144" s="10">
        <v>43756000</v>
      </c>
      <c r="B144" s="10" t="s">
        <v>328</v>
      </c>
      <c r="C144" s="11">
        <v>0</v>
      </c>
      <c r="D144" s="11">
        <v>0</v>
      </c>
      <c r="E144" s="11">
        <v>0</v>
      </c>
      <c r="F144" s="13">
        <f>SUMIF('OD 12-24'!A:A,A144,'OD 12-24'!D:D)</f>
        <v>0</v>
      </c>
      <c r="G144" s="13">
        <f>SUMIF('OD 12-24'!A:A,A144,'OD 12-24'!E:E)</f>
        <v>0</v>
      </c>
      <c r="H144" s="14">
        <f t="shared" si="4"/>
        <v>0</v>
      </c>
      <c r="I144" s="14">
        <f t="shared" si="5"/>
        <v>0</v>
      </c>
      <c r="J144" s="8"/>
      <c r="K144" s="8"/>
      <c r="L144" s="9">
        <v>0</v>
      </c>
      <c r="M144" s="339"/>
      <c r="N144" s="315"/>
      <c r="O144" s="339"/>
      <c r="P144" s="339"/>
    </row>
    <row r="145" spans="1:16" s="9" customFormat="1" ht="11.25" hidden="1" customHeight="1" x14ac:dyDescent="0.2">
      <c r="A145" s="10">
        <v>44100000</v>
      </c>
      <c r="B145" s="10" t="s">
        <v>329</v>
      </c>
      <c r="C145" s="11">
        <v>0</v>
      </c>
      <c r="D145" s="11">
        <v>0</v>
      </c>
      <c r="E145" s="11">
        <v>0</v>
      </c>
      <c r="F145" s="13">
        <f>SUMIF('OD 12-24'!A:A,A145,'OD 12-24'!D:D)</f>
        <v>0</v>
      </c>
      <c r="G145" s="13">
        <f>SUMIF('OD 12-24'!A:A,A145,'OD 12-24'!E:E)</f>
        <v>0</v>
      </c>
      <c r="H145" s="14">
        <f t="shared" si="4"/>
        <v>0</v>
      </c>
      <c r="I145" s="14">
        <f t="shared" si="5"/>
        <v>0</v>
      </c>
      <c r="J145" s="8"/>
      <c r="K145" s="8"/>
      <c r="L145" s="9">
        <v>0</v>
      </c>
      <c r="M145" s="339"/>
      <c r="N145" s="315"/>
      <c r="O145" s="339"/>
      <c r="P145" s="339"/>
    </row>
    <row r="146" spans="1:16" s="9" customFormat="1" ht="11.25" hidden="1" customHeight="1" x14ac:dyDescent="0.2">
      <c r="A146" s="10">
        <v>44101000</v>
      </c>
      <c r="B146" s="10" t="s">
        <v>7717</v>
      </c>
      <c r="C146" s="11">
        <v>0</v>
      </c>
      <c r="D146" s="11">
        <v>0</v>
      </c>
      <c r="E146" s="11">
        <v>0</v>
      </c>
      <c r="F146" s="13">
        <f>SUMIF('OD 12-24'!A:A,A146,'OD 12-24'!D:D)</f>
        <v>0</v>
      </c>
      <c r="G146" s="13">
        <f>SUMIF('OD 12-24'!A:A,A146,'OD 12-24'!E:E)</f>
        <v>0</v>
      </c>
      <c r="H146" s="14">
        <f t="shared" si="4"/>
        <v>0</v>
      </c>
      <c r="I146" s="14">
        <f t="shared" si="5"/>
        <v>0</v>
      </c>
      <c r="J146" s="8"/>
      <c r="K146" s="8"/>
      <c r="L146" s="9">
        <v>0</v>
      </c>
      <c r="M146" s="339"/>
      <c r="N146" s="315"/>
      <c r="O146" s="339"/>
      <c r="P146" s="339"/>
    </row>
    <row r="147" spans="1:16" s="9" customFormat="1" ht="11.25" hidden="1" customHeight="1" x14ac:dyDescent="0.2">
      <c r="A147" s="10">
        <v>44200000</v>
      </c>
      <c r="B147" s="10" t="s">
        <v>330</v>
      </c>
      <c r="C147" s="11">
        <v>0</v>
      </c>
      <c r="D147" s="11">
        <v>0</v>
      </c>
      <c r="E147" s="11">
        <v>0</v>
      </c>
      <c r="F147" s="13">
        <f>SUMIF('OD 12-24'!A:A,A147,'OD 12-24'!D:D)</f>
        <v>0</v>
      </c>
      <c r="G147" s="13">
        <f>SUMIF('OD 12-24'!A:A,A147,'OD 12-24'!E:E)</f>
        <v>0</v>
      </c>
      <c r="H147" s="14">
        <f t="shared" si="4"/>
        <v>0</v>
      </c>
      <c r="I147" s="14">
        <f t="shared" si="5"/>
        <v>0</v>
      </c>
      <c r="J147" s="8"/>
      <c r="K147" s="8"/>
      <c r="L147" s="9">
        <v>0</v>
      </c>
      <c r="M147" s="339"/>
      <c r="N147" s="315"/>
      <c r="O147" s="339"/>
      <c r="P147" s="339"/>
    </row>
    <row r="148" spans="1:16" s="9" customFormat="1" ht="11.25" hidden="1" customHeight="1" x14ac:dyDescent="0.2">
      <c r="A148" s="10">
        <v>44201000</v>
      </c>
      <c r="B148" s="10" t="s">
        <v>331</v>
      </c>
      <c r="C148" s="11">
        <v>44498.300999999978</v>
      </c>
      <c r="D148" s="11">
        <v>0</v>
      </c>
      <c r="E148" s="11">
        <v>44498.302000000003</v>
      </c>
      <c r="F148" s="13">
        <f>SUMIF('OD 12-24'!A:A,A148,'OD 12-24'!D:D)</f>
        <v>0</v>
      </c>
      <c r="G148" s="13">
        <f>SUMIF('OD 12-24'!A:A,A148,'OD 12-24'!E:E)</f>
        <v>0</v>
      </c>
      <c r="H148" s="14">
        <f t="shared" si="4"/>
        <v>-44498.302000000003</v>
      </c>
      <c r="I148" s="14">
        <f t="shared" si="5"/>
        <v>-1.0000000256695785E-3</v>
      </c>
      <c r="J148" s="8" t="s">
        <v>81</v>
      </c>
      <c r="K148" s="8"/>
      <c r="L148" s="9">
        <v>0</v>
      </c>
      <c r="M148" s="339"/>
      <c r="N148" s="315"/>
      <c r="O148" s="339"/>
      <c r="P148" s="339"/>
    </row>
    <row r="149" spans="1:16" s="9" customFormat="1" ht="11.25" hidden="1" customHeight="1" x14ac:dyDescent="0.2">
      <c r="A149" s="10">
        <v>44202000</v>
      </c>
      <c r="B149" s="10" t="s">
        <v>332</v>
      </c>
      <c r="C149" s="11">
        <v>0</v>
      </c>
      <c r="D149" s="11">
        <v>0</v>
      </c>
      <c r="E149" s="11">
        <v>0</v>
      </c>
      <c r="F149" s="13">
        <f>SUMIF('OD 12-24'!A:A,A149,'OD 12-24'!D:D)</f>
        <v>0</v>
      </c>
      <c r="G149" s="13">
        <f>SUMIF('OD 12-24'!A:A,A149,'OD 12-24'!E:E)</f>
        <v>0</v>
      </c>
      <c r="H149" s="14">
        <f t="shared" si="4"/>
        <v>0</v>
      </c>
      <c r="I149" s="14">
        <f t="shared" si="5"/>
        <v>0</v>
      </c>
      <c r="J149" s="8"/>
      <c r="K149" s="8"/>
      <c r="L149" s="9">
        <v>0</v>
      </c>
      <c r="M149" s="339"/>
      <c r="N149" s="315"/>
      <c r="O149" s="339"/>
      <c r="P149" s="339"/>
    </row>
    <row r="150" spans="1:16" s="9" customFormat="1" ht="11.25" hidden="1" customHeight="1" x14ac:dyDescent="0.2">
      <c r="A150" s="10">
        <v>44203000</v>
      </c>
      <c r="B150" s="10" t="s">
        <v>333</v>
      </c>
      <c r="C150" s="11">
        <v>0</v>
      </c>
      <c r="D150" s="11">
        <v>0</v>
      </c>
      <c r="E150" s="11">
        <v>0</v>
      </c>
      <c r="F150" s="13">
        <f>SUMIF('OD 12-24'!A:A,A150,'OD 12-24'!D:D)</f>
        <v>0</v>
      </c>
      <c r="G150" s="13">
        <f>SUMIF('OD 12-24'!A:A,A150,'OD 12-24'!E:E)</f>
        <v>0</v>
      </c>
      <c r="H150" s="14">
        <f t="shared" si="4"/>
        <v>0</v>
      </c>
      <c r="I150" s="14">
        <f t="shared" si="5"/>
        <v>0</v>
      </c>
      <c r="J150" s="8"/>
      <c r="K150" s="8"/>
      <c r="L150" s="9">
        <v>0</v>
      </c>
      <c r="M150" s="339"/>
      <c r="N150" s="315"/>
      <c r="O150" s="339"/>
      <c r="P150" s="339"/>
    </row>
    <row r="151" spans="1:16" s="9" customFormat="1" ht="11.25" hidden="1" customHeight="1" x14ac:dyDescent="0.2">
      <c r="A151" s="10">
        <v>44204000</v>
      </c>
      <c r="B151" s="10" t="s">
        <v>334</v>
      </c>
      <c r="C151" s="11">
        <v>0</v>
      </c>
      <c r="D151" s="11">
        <v>0</v>
      </c>
      <c r="E151" s="11">
        <v>0</v>
      </c>
      <c r="F151" s="13">
        <f>SUMIF('OD 12-24'!A:A,A151,'OD 12-24'!D:D)</f>
        <v>0</v>
      </c>
      <c r="G151" s="13">
        <f>SUMIF('OD 12-24'!A:A,A151,'OD 12-24'!E:E)</f>
        <v>0</v>
      </c>
      <c r="H151" s="14">
        <f t="shared" si="4"/>
        <v>0</v>
      </c>
      <c r="I151" s="14">
        <f t="shared" si="5"/>
        <v>0</v>
      </c>
      <c r="J151" s="8"/>
      <c r="K151" s="8"/>
      <c r="L151" s="9">
        <v>0</v>
      </c>
      <c r="M151" s="339"/>
      <c r="N151" s="315"/>
      <c r="O151" s="339"/>
      <c r="P151" s="339"/>
    </row>
    <row r="152" spans="1:16" s="9" customFormat="1" ht="11.25" hidden="1" customHeight="1" x14ac:dyDescent="0.2">
      <c r="A152" s="10">
        <v>44205000</v>
      </c>
      <c r="B152" s="10" t="s">
        <v>335</v>
      </c>
      <c r="C152" s="11">
        <v>0</v>
      </c>
      <c r="D152" s="11">
        <v>0</v>
      </c>
      <c r="E152" s="11">
        <v>0</v>
      </c>
      <c r="F152" s="13">
        <f>SUMIF('OD 12-24'!A:A,A152,'OD 12-24'!D:D)</f>
        <v>0</v>
      </c>
      <c r="G152" s="13">
        <f>SUMIF('OD 12-24'!A:A,A152,'OD 12-24'!E:E)</f>
        <v>0</v>
      </c>
      <c r="H152" s="14">
        <f t="shared" si="4"/>
        <v>0</v>
      </c>
      <c r="I152" s="14">
        <f t="shared" si="5"/>
        <v>0</v>
      </c>
      <c r="J152" s="8"/>
      <c r="K152" s="8"/>
      <c r="L152" s="9">
        <v>0</v>
      </c>
      <c r="M152" s="339"/>
      <c r="N152" s="315"/>
      <c r="O152" s="339"/>
      <c r="P152" s="339"/>
    </row>
    <row r="153" spans="1:16" s="9" customFormat="1" ht="11.25" hidden="1" customHeight="1" x14ac:dyDescent="0.2">
      <c r="A153" s="10">
        <v>44206000</v>
      </c>
      <c r="B153" s="10" t="s">
        <v>100</v>
      </c>
      <c r="C153" s="11">
        <v>-439999.99999999988</v>
      </c>
      <c r="D153" s="11">
        <v>145000</v>
      </c>
      <c r="E153" s="11">
        <v>0</v>
      </c>
      <c r="F153" s="13">
        <f>SUMIF('OD 12-24'!A:A,A153,'OD 12-24'!D:D)</f>
        <v>0</v>
      </c>
      <c r="G153" s="13">
        <f>SUMIF('OD 12-24'!A:A,A153,'OD 12-24'!E:E)</f>
        <v>0</v>
      </c>
      <c r="H153" s="14">
        <f t="shared" si="4"/>
        <v>145000</v>
      </c>
      <c r="I153" s="14">
        <f t="shared" si="5"/>
        <v>-294999.99999999988</v>
      </c>
      <c r="J153" s="8" t="s">
        <v>81</v>
      </c>
      <c r="K153" s="8"/>
      <c r="L153" s="9" t="s">
        <v>10103</v>
      </c>
      <c r="M153" s="339"/>
      <c r="N153" s="315"/>
      <c r="O153" s="339"/>
      <c r="P153" s="339"/>
    </row>
    <row r="154" spans="1:16" s="9" customFormat="1" ht="11.25" hidden="1" customHeight="1" x14ac:dyDescent="0.2">
      <c r="A154" s="10">
        <v>44207000</v>
      </c>
      <c r="B154" s="10" t="s">
        <v>336</v>
      </c>
      <c r="C154" s="11">
        <v>165000</v>
      </c>
      <c r="D154" s="11">
        <v>60000</v>
      </c>
      <c r="E154" s="11">
        <v>0</v>
      </c>
      <c r="F154" s="13">
        <f>SUMIF('OD 12-24'!A:A,A154,'OD 12-24'!D:D)</f>
        <v>0</v>
      </c>
      <c r="G154" s="13">
        <f>SUMIF('OD 12-24'!A:A,A154,'OD 12-24'!E:E)</f>
        <v>0</v>
      </c>
      <c r="H154" s="14">
        <f t="shared" si="4"/>
        <v>60000</v>
      </c>
      <c r="I154" s="14">
        <f t="shared" si="5"/>
        <v>225000</v>
      </c>
      <c r="J154" s="8" t="s">
        <v>78</v>
      </c>
      <c r="K154" s="8"/>
      <c r="L154" s="9" t="s">
        <v>10104</v>
      </c>
      <c r="M154" s="339"/>
      <c r="N154" s="315"/>
      <c r="O154" s="339"/>
      <c r="P154" s="339"/>
    </row>
    <row r="155" spans="1:16" s="9" customFormat="1" ht="11.25" hidden="1" customHeight="1" x14ac:dyDescent="0.2">
      <c r="A155" s="10">
        <v>44208000</v>
      </c>
      <c r="B155" s="10" t="s">
        <v>337</v>
      </c>
      <c r="C155" s="11">
        <v>2270.971</v>
      </c>
      <c r="D155" s="11">
        <v>0</v>
      </c>
      <c r="E155" s="11">
        <v>0</v>
      </c>
      <c r="F155" s="13">
        <f>SUMIF('OD 12-24'!A:A,A155,'OD 12-24'!D:D)</f>
        <v>0</v>
      </c>
      <c r="G155" s="13">
        <f>SUMIF('OD 12-24'!A:A,A155,'OD 12-24'!E:E)</f>
        <v>0</v>
      </c>
      <c r="H155" s="14">
        <f t="shared" si="4"/>
        <v>0</v>
      </c>
      <c r="I155" s="14">
        <f t="shared" si="5"/>
        <v>2270.971</v>
      </c>
      <c r="J155" s="8" t="s">
        <v>78</v>
      </c>
      <c r="K155" s="8"/>
      <c r="L155" s="9" t="s">
        <v>10104</v>
      </c>
      <c r="M155" s="339"/>
      <c r="N155" s="315"/>
      <c r="O155" s="339"/>
      <c r="P155" s="339"/>
    </row>
    <row r="156" spans="1:16" s="9" customFormat="1" ht="11.25" hidden="1" customHeight="1" x14ac:dyDescent="0.2">
      <c r="A156" s="10">
        <v>44209000</v>
      </c>
      <c r="B156" s="10" t="s">
        <v>392</v>
      </c>
      <c r="C156" s="11">
        <v>3626.8820000002161</v>
      </c>
      <c r="D156" s="11">
        <v>0</v>
      </c>
      <c r="E156" s="11">
        <v>0</v>
      </c>
      <c r="F156" s="13">
        <f>SUMIF('OD 12-24'!A:A,A156,'OD 12-24'!D:D)</f>
        <v>0</v>
      </c>
      <c r="G156" s="13">
        <f>SUMIF('OD 12-24'!A:A,A156,'OD 12-24'!E:E)</f>
        <v>0</v>
      </c>
      <c r="H156" s="14">
        <f t="shared" si="4"/>
        <v>0</v>
      </c>
      <c r="I156" s="14">
        <f t="shared" si="5"/>
        <v>3626.8820000002161</v>
      </c>
      <c r="J156" s="8" t="s">
        <v>78</v>
      </c>
      <c r="K156" s="8"/>
      <c r="L156" s="9" t="s">
        <v>10104</v>
      </c>
      <c r="M156" s="339"/>
      <c r="N156" s="315"/>
      <c r="O156" s="339"/>
      <c r="P156" s="339"/>
    </row>
    <row r="157" spans="1:16" s="9" customFormat="1" ht="11.25" hidden="1" customHeight="1" x14ac:dyDescent="0.2">
      <c r="A157" s="10">
        <v>44210000</v>
      </c>
      <c r="B157" s="10" t="s">
        <v>338</v>
      </c>
      <c r="C157" s="11">
        <v>0</v>
      </c>
      <c r="D157" s="11">
        <v>0</v>
      </c>
      <c r="E157" s="11">
        <v>0</v>
      </c>
      <c r="F157" s="13">
        <f>SUMIF('OD 12-24'!A:A,A157,'OD 12-24'!D:D)</f>
        <v>0</v>
      </c>
      <c r="G157" s="13">
        <f>SUMIF('OD 12-24'!A:A,A157,'OD 12-24'!E:E)</f>
        <v>0</v>
      </c>
      <c r="H157" s="14">
        <f t="shared" si="4"/>
        <v>0</v>
      </c>
      <c r="I157" s="14">
        <f t="shared" si="5"/>
        <v>0</v>
      </c>
      <c r="J157" s="8"/>
      <c r="K157" s="8"/>
      <c r="L157" s="9">
        <v>0</v>
      </c>
      <c r="M157" s="339"/>
      <c r="N157" s="315"/>
      <c r="O157" s="339"/>
      <c r="P157" s="339"/>
    </row>
    <row r="158" spans="1:16" s="9" customFormat="1" ht="11.25" hidden="1" customHeight="1" x14ac:dyDescent="0.2">
      <c r="A158" s="10">
        <v>44600000</v>
      </c>
      <c r="B158" s="10" t="s">
        <v>339</v>
      </c>
      <c r="C158" s="11">
        <v>0</v>
      </c>
      <c r="D158" s="11">
        <v>0</v>
      </c>
      <c r="E158" s="11">
        <v>0</v>
      </c>
      <c r="F158" s="13">
        <f>SUMIF('OD 12-24'!A:A,A158,'OD 12-24'!D:D)</f>
        <v>0</v>
      </c>
      <c r="G158" s="13">
        <f>SUMIF('OD 12-24'!A:A,A158,'OD 12-24'!E:E)</f>
        <v>0</v>
      </c>
      <c r="H158" s="14">
        <f t="shared" si="4"/>
        <v>0</v>
      </c>
      <c r="I158" s="14">
        <f t="shared" si="5"/>
        <v>0</v>
      </c>
      <c r="J158" s="8"/>
      <c r="K158" s="8"/>
      <c r="L158" s="9">
        <v>0</v>
      </c>
      <c r="M158" s="339"/>
      <c r="N158" s="315"/>
      <c r="O158" s="339"/>
      <c r="P158" s="339"/>
    </row>
    <row r="159" spans="1:16" s="9" customFormat="1" ht="11.25" hidden="1" customHeight="1" x14ac:dyDescent="0.2">
      <c r="A159" s="10">
        <v>44700000</v>
      </c>
      <c r="B159" s="10" t="s">
        <v>101</v>
      </c>
      <c r="C159" s="11">
        <v>0</v>
      </c>
      <c r="D159" s="11">
        <v>0</v>
      </c>
      <c r="E159" s="11">
        <v>0</v>
      </c>
      <c r="F159" s="13">
        <f>SUMIF('OD 12-24'!A:A,A159,'OD 12-24'!D:D)</f>
        <v>0</v>
      </c>
      <c r="G159" s="13">
        <f>SUMIF('OD 12-24'!A:A,A159,'OD 12-24'!E:E)</f>
        <v>0</v>
      </c>
      <c r="H159" s="14">
        <f t="shared" si="4"/>
        <v>0</v>
      </c>
      <c r="I159" s="14">
        <f t="shared" si="5"/>
        <v>0</v>
      </c>
      <c r="J159" s="8"/>
      <c r="K159" s="8"/>
      <c r="L159" s="9">
        <v>0</v>
      </c>
      <c r="M159" s="339"/>
      <c r="N159" s="315"/>
      <c r="O159" s="339"/>
      <c r="P159" s="339"/>
    </row>
    <row r="160" spans="1:16" s="9" customFormat="1" ht="11.25" hidden="1" customHeight="1" x14ac:dyDescent="0.2">
      <c r="A160" s="10">
        <v>45000000</v>
      </c>
      <c r="B160" s="10" t="s">
        <v>102</v>
      </c>
      <c r="C160" s="11">
        <v>-12700</v>
      </c>
      <c r="D160" s="11">
        <v>0</v>
      </c>
      <c r="E160" s="11">
        <v>0</v>
      </c>
      <c r="F160" s="13">
        <f>SUMIF('OD 12-24'!A:A,A160,'OD 12-24'!D:D)</f>
        <v>0</v>
      </c>
      <c r="G160" s="13">
        <f>SUMIF('OD 12-24'!A:A,A160,'OD 12-24'!E:E)</f>
        <v>0</v>
      </c>
      <c r="H160" s="14">
        <f t="shared" si="4"/>
        <v>0</v>
      </c>
      <c r="I160" s="14">
        <f t="shared" si="5"/>
        <v>-12700</v>
      </c>
      <c r="J160" s="8" t="s">
        <v>81</v>
      </c>
      <c r="K160" s="8"/>
      <c r="L160" s="9">
        <v>0</v>
      </c>
      <c r="M160" s="339"/>
      <c r="N160" s="315"/>
      <c r="O160" s="339"/>
      <c r="P160" s="339"/>
    </row>
    <row r="161" spans="1:16" s="9" customFormat="1" ht="11.25" hidden="1" customHeight="1" x14ac:dyDescent="0.2">
      <c r="A161" s="10">
        <v>45200000</v>
      </c>
      <c r="B161" s="10" t="s">
        <v>103</v>
      </c>
      <c r="C161" s="11">
        <v>-2500</v>
      </c>
      <c r="D161" s="11">
        <v>56000</v>
      </c>
      <c r="E161" s="11">
        <v>56000</v>
      </c>
      <c r="F161" s="13">
        <f>SUMIF('OD 12-24'!A:A,A161,'OD 12-24'!D:D)</f>
        <v>0</v>
      </c>
      <c r="G161" s="13">
        <f>SUMIF('OD 12-24'!A:A,A161,'OD 12-24'!E:E)</f>
        <v>0</v>
      </c>
      <c r="H161" s="14">
        <f t="shared" si="4"/>
        <v>0</v>
      </c>
      <c r="I161" s="14">
        <f t="shared" si="5"/>
        <v>-2500</v>
      </c>
      <c r="J161" s="8" t="s">
        <v>81</v>
      </c>
      <c r="K161" s="8"/>
      <c r="L161" s="9" t="s">
        <v>10104</v>
      </c>
      <c r="M161" s="339"/>
      <c r="N161" s="315"/>
      <c r="O161" s="339"/>
      <c r="P161" s="339"/>
    </row>
    <row r="162" spans="1:16" s="9" customFormat="1" ht="11.25" hidden="1" customHeight="1" x14ac:dyDescent="0.2">
      <c r="A162" s="10">
        <v>45310000</v>
      </c>
      <c r="B162" s="10" t="s">
        <v>104</v>
      </c>
      <c r="C162" s="11">
        <v>-244010.37100000028</v>
      </c>
      <c r="D162" s="11">
        <v>911939.82699999993</v>
      </c>
      <c r="E162" s="11">
        <v>785648.11400000006</v>
      </c>
      <c r="F162" s="13">
        <f>SUMIF('OD 12-24'!A:A,A162,'OD 12-24'!D:D)</f>
        <v>829459.68700000003</v>
      </c>
      <c r="G162" s="13">
        <f>SUMIF('OD 12-24'!A:A,A162,'OD 12-24'!E:E)</f>
        <v>962096.11399999994</v>
      </c>
      <c r="H162" s="14">
        <f t="shared" si="4"/>
        <v>-6344.7140000000363</v>
      </c>
      <c r="I162" s="14">
        <f t="shared" si="5"/>
        <v>-250355.08500000031</v>
      </c>
      <c r="J162" s="8" t="s">
        <v>81</v>
      </c>
      <c r="K162" s="8"/>
      <c r="L162" s="9" t="s">
        <v>10103</v>
      </c>
      <c r="M162" s="339"/>
      <c r="N162" s="315"/>
      <c r="O162" s="339"/>
      <c r="P162" s="339"/>
    </row>
    <row r="163" spans="1:16" s="9" customFormat="1" ht="11.25" hidden="1" customHeight="1" x14ac:dyDescent="0.2">
      <c r="A163" s="10">
        <v>45700000</v>
      </c>
      <c r="B163" s="10" t="s">
        <v>105</v>
      </c>
      <c r="C163" s="11">
        <v>7122.9679999998771</v>
      </c>
      <c r="D163" s="11">
        <v>0</v>
      </c>
      <c r="E163" s="11">
        <v>0</v>
      </c>
      <c r="F163" s="13">
        <f>SUMIF('OD 12-24'!A:A,A163,'OD 12-24'!D:D)</f>
        <v>0</v>
      </c>
      <c r="G163" s="13">
        <f>SUMIF('OD 12-24'!A:A,A163,'OD 12-24'!E:E)</f>
        <v>0</v>
      </c>
      <c r="H163" s="14">
        <f t="shared" si="4"/>
        <v>0</v>
      </c>
      <c r="I163" s="14">
        <f t="shared" si="5"/>
        <v>7122.9679999998771</v>
      </c>
      <c r="J163" s="8" t="s">
        <v>78</v>
      </c>
      <c r="K163" s="8"/>
      <c r="L163" s="9" t="s">
        <v>10104</v>
      </c>
      <c r="M163" s="339"/>
      <c r="N163" s="315"/>
      <c r="O163" s="339"/>
      <c r="P163" s="339"/>
    </row>
    <row r="164" spans="1:16" s="9" customFormat="1" ht="11.25" hidden="1" customHeight="1" x14ac:dyDescent="0.2">
      <c r="A164" s="10">
        <v>45860000</v>
      </c>
      <c r="B164" s="10" t="s">
        <v>106</v>
      </c>
      <c r="C164" s="11">
        <v>-1872970.182</v>
      </c>
      <c r="D164" s="11">
        <v>1314462.1580000001</v>
      </c>
      <c r="E164" s="11">
        <v>197370.59700000001</v>
      </c>
      <c r="F164" s="13">
        <f>SUMIF('OD 12-24'!A:A,A164,'OD 12-24'!D:D)</f>
        <v>13676379.568</v>
      </c>
      <c r="G164" s="13">
        <f>SUMIF('OD 12-24'!A:A,A164,'OD 12-24'!E:E)</f>
        <v>15506470.107000001</v>
      </c>
      <c r="H164" s="14">
        <f t="shared" si="4"/>
        <v>-712998.97800000012</v>
      </c>
      <c r="I164" s="14">
        <f t="shared" si="5"/>
        <v>-2585969.16</v>
      </c>
      <c r="J164" s="8" t="s">
        <v>81</v>
      </c>
      <c r="K164" s="8"/>
      <c r="L164" s="9">
        <v>0</v>
      </c>
      <c r="M164" s="339"/>
      <c r="N164" s="315"/>
      <c r="O164" s="339"/>
      <c r="P164" s="339"/>
    </row>
    <row r="165" spans="1:16" s="9" customFormat="1" ht="11.25" hidden="1" customHeight="1" x14ac:dyDescent="0.2">
      <c r="A165" s="10">
        <v>45870000</v>
      </c>
      <c r="B165" s="10" t="s">
        <v>107</v>
      </c>
      <c r="C165" s="11">
        <v>38770.517999999225</v>
      </c>
      <c r="D165" s="11">
        <v>0</v>
      </c>
      <c r="E165" s="11">
        <v>38770.517999999996</v>
      </c>
      <c r="F165" s="13">
        <f>SUMIF('OD 12-24'!A:A,A165,'OD 12-24'!D:D)</f>
        <v>781411.69</v>
      </c>
      <c r="G165" s="13">
        <f>SUMIF('OD 12-24'!A:A,A165,'OD 12-24'!E:E)</f>
        <v>761130.09400000004</v>
      </c>
      <c r="H165" s="14">
        <f t="shared" si="4"/>
        <v>-18488.922000000137</v>
      </c>
      <c r="I165" s="14">
        <f t="shared" si="5"/>
        <v>20281.595999999088</v>
      </c>
      <c r="J165" s="8" t="s">
        <v>78</v>
      </c>
      <c r="K165" s="8"/>
      <c r="L165" s="9">
        <v>0</v>
      </c>
      <c r="M165" s="339"/>
      <c r="N165" s="315"/>
      <c r="O165" s="339"/>
      <c r="P165" s="339"/>
    </row>
    <row r="166" spans="1:16" s="9" customFormat="1" ht="11.25" hidden="1" customHeight="1" x14ac:dyDescent="0.2">
      <c r="A166" s="10">
        <v>46100000</v>
      </c>
      <c r="B166" s="10" t="s">
        <v>340</v>
      </c>
      <c r="C166" s="11">
        <v>0</v>
      </c>
      <c r="D166" s="11">
        <v>26222.382999999994</v>
      </c>
      <c r="E166" s="11">
        <v>26222.382999999994</v>
      </c>
      <c r="F166" s="13">
        <f>SUMIF('OD 12-24'!A:A,A166,'OD 12-24'!D:D)</f>
        <v>0</v>
      </c>
      <c r="G166" s="13">
        <f>SUMIF('OD 12-24'!A:A,A166,'OD 12-24'!E:E)</f>
        <v>0</v>
      </c>
      <c r="H166" s="14">
        <f t="shared" si="4"/>
        <v>0</v>
      </c>
      <c r="I166" s="14">
        <f t="shared" si="5"/>
        <v>0</v>
      </c>
      <c r="J166" s="8"/>
      <c r="K166" s="8"/>
      <c r="L166" s="9" t="s">
        <v>10103</v>
      </c>
      <c r="M166" s="339"/>
      <c r="N166" s="315"/>
      <c r="O166" s="339"/>
      <c r="P166" s="339"/>
    </row>
    <row r="167" spans="1:16" s="9" customFormat="1" ht="11.25" hidden="1" customHeight="1" x14ac:dyDescent="0.2">
      <c r="A167" s="10">
        <v>46800000</v>
      </c>
      <c r="B167" s="10" t="s">
        <v>108</v>
      </c>
      <c r="C167" s="11">
        <v>0</v>
      </c>
      <c r="D167" s="11">
        <v>0</v>
      </c>
      <c r="E167" s="11">
        <v>0</v>
      </c>
      <c r="F167" s="13">
        <f>SUMIF('OD 12-24'!A:A,A167,'OD 12-24'!D:D)</f>
        <v>0</v>
      </c>
      <c r="G167" s="13">
        <f>SUMIF('OD 12-24'!A:A,A167,'OD 12-24'!E:E)</f>
        <v>0</v>
      </c>
      <c r="H167" s="14">
        <f t="shared" si="4"/>
        <v>0</v>
      </c>
      <c r="I167" s="14">
        <f t="shared" si="5"/>
        <v>0</v>
      </c>
      <c r="J167" s="8"/>
      <c r="K167" s="8"/>
      <c r="L167" s="9">
        <v>0</v>
      </c>
      <c r="M167" s="339"/>
      <c r="N167" s="315"/>
      <c r="O167" s="339"/>
      <c r="P167" s="339"/>
    </row>
    <row r="168" spans="1:16" s="9" customFormat="1" ht="11.25" hidden="1" customHeight="1" x14ac:dyDescent="0.2">
      <c r="A168" s="10">
        <v>47100000</v>
      </c>
      <c r="B168" s="10" t="s">
        <v>109</v>
      </c>
      <c r="C168" s="11">
        <v>222018.92184599978</v>
      </c>
      <c r="D168" s="11">
        <v>20120.424999999999</v>
      </c>
      <c r="E168" s="11">
        <v>221330.79699999996</v>
      </c>
      <c r="F168" s="13">
        <f>SUMIF('OD 12-24'!A:A,A168,'OD 12-24'!D:D)</f>
        <v>2328833.8840000001</v>
      </c>
      <c r="G168" s="13">
        <f>SUMIF('OD 12-24'!A:A,A168,'OD 12-24'!E:E)</f>
        <v>1983780.872</v>
      </c>
      <c r="H168" s="14">
        <f t="shared" si="4"/>
        <v>143842.64000000013</v>
      </c>
      <c r="I168" s="14">
        <f t="shared" si="5"/>
        <v>365861.56184599991</v>
      </c>
      <c r="J168" s="8" t="s">
        <v>78</v>
      </c>
      <c r="K168" s="8"/>
      <c r="L168" s="9">
        <v>0</v>
      </c>
      <c r="M168" s="339"/>
      <c r="N168" s="315"/>
      <c r="O168" s="339"/>
      <c r="P168" s="339"/>
    </row>
    <row r="169" spans="1:16" s="9" customFormat="1" ht="11.25" hidden="1" customHeight="1" x14ac:dyDescent="0.2">
      <c r="A169" s="10">
        <v>47200000</v>
      </c>
      <c r="B169" s="10" t="s">
        <v>341</v>
      </c>
      <c r="C169" s="11">
        <v>0</v>
      </c>
      <c r="D169" s="11">
        <v>0</v>
      </c>
      <c r="E169" s="11">
        <v>0</v>
      </c>
      <c r="F169" s="13">
        <f>SUMIF('OD 12-24'!A:A,A169,'OD 12-24'!D:D)</f>
        <v>0</v>
      </c>
      <c r="G169" s="13">
        <f>SUMIF('OD 12-24'!A:A,A169,'OD 12-24'!E:E)</f>
        <v>0</v>
      </c>
      <c r="H169" s="14">
        <f t="shared" si="4"/>
        <v>0</v>
      </c>
      <c r="I169" s="14">
        <f t="shared" si="5"/>
        <v>0</v>
      </c>
      <c r="J169" s="8"/>
      <c r="K169" s="8"/>
      <c r="L169" s="9">
        <v>0</v>
      </c>
      <c r="M169" s="339"/>
      <c r="N169" s="315"/>
      <c r="O169" s="339"/>
      <c r="P169" s="339"/>
    </row>
    <row r="170" spans="1:16" s="9" customFormat="1" ht="11.25" hidden="1" customHeight="1" x14ac:dyDescent="0.2">
      <c r="A170" s="10">
        <v>49100000</v>
      </c>
      <c r="B170" s="10" t="s">
        <v>110</v>
      </c>
      <c r="C170" s="11">
        <v>-457129.14999999991</v>
      </c>
      <c r="D170" s="11">
        <v>0</v>
      </c>
      <c r="E170" s="11">
        <v>0</v>
      </c>
      <c r="F170" s="13">
        <f>SUMIF('OD 12-24'!A:A,A170,'OD 12-24'!D:D)</f>
        <v>2850000</v>
      </c>
      <c r="G170" s="13">
        <f>SUMIF('OD 12-24'!A:A,A170,'OD 12-24'!E:E)</f>
        <v>3323988.5890000002</v>
      </c>
      <c r="H170" s="14">
        <f t="shared" si="4"/>
        <v>-473988.58900000015</v>
      </c>
      <c r="I170" s="14">
        <f t="shared" si="5"/>
        <v>-931117.73900000006</v>
      </c>
      <c r="J170" s="8" t="s">
        <v>111</v>
      </c>
      <c r="K170" s="8"/>
      <c r="L170" s="9">
        <v>0</v>
      </c>
      <c r="M170" s="339"/>
      <c r="N170" s="315"/>
      <c r="O170" s="339"/>
      <c r="P170" s="339"/>
    </row>
    <row r="171" spans="1:16" s="9" customFormat="1" ht="11.25" hidden="1" customHeight="1" x14ac:dyDescent="0.2">
      <c r="A171" s="10">
        <v>49600000</v>
      </c>
      <c r="B171" s="10" t="s">
        <v>112</v>
      </c>
      <c r="C171" s="11">
        <v>-288613.68499999994</v>
      </c>
      <c r="D171" s="11">
        <v>0</v>
      </c>
      <c r="E171" s="11">
        <v>0</v>
      </c>
      <c r="F171" s="13">
        <f>SUMIF('OD 12-24'!A:A,A171,'OD 12-24'!D:D)</f>
        <v>0</v>
      </c>
      <c r="G171" s="13">
        <f>SUMIF('OD 12-24'!A:A,A171,'OD 12-24'!E:E)</f>
        <v>0</v>
      </c>
      <c r="H171" s="14">
        <f t="shared" si="4"/>
        <v>0</v>
      </c>
      <c r="I171" s="14">
        <f t="shared" si="5"/>
        <v>-288613.68499999994</v>
      </c>
      <c r="J171" s="8" t="s">
        <v>113</v>
      </c>
      <c r="K171" s="8"/>
      <c r="L171" s="9" t="s">
        <v>10108</v>
      </c>
      <c r="M171" s="339"/>
      <c r="N171" s="315"/>
      <c r="O171" s="339"/>
      <c r="P171" s="339"/>
    </row>
    <row r="172" spans="1:16" s="9" customFormat="1" ht="11.25" hidden="1" customHeight="1" x14ac:dyDescent="0.2">
      <c r="A172" s="10">
        <v>50130000</v>
      </c>
      <c r="B172" s="10" t="s">
        <v>114</v>
      </c>
      <c r="C172" s="11">
        <v>-6000000</v>
      </c>
      <c r="D172" s="11">
        <v>24000000</v>
      </c>
      <c r="E172" s="11">
        <v>24000000</v>
      </c>
      <c r="F172" s="13">
        <f>SUMIF('OD 12-24'!A:A,A172,'OD 12-24'!D:D)</f>
        <v>0</v>
      </c>
      <c r="G172" s="13">
        <f>SUMIF('OD 12-24'!A:A,A172,'OD 12-24'!E:E)</f>
        <v>0</v>
      </c>
      <c r="H172" s="14">
        <f t="shared" si="4"/>
        <v>0</v>
      </c>
      <c r="I172" s="14">
        <f t="shared" si="5"/>
        <v>-6000000</v>
      </c>
      <c r="J172" s="8" t="s">
        <v>115</v>
      </c>
      <c r="K172" s="8"/>
      <c r="L172" s="9" t="s">
        <v>10108</v>
      </c>
      <c r="M172" s="339"/>
      <c r="N172" s="315"/>
      <c r="O172" s="339"/>
      <c r="P172" s="339"/>
    </row>
    <row r="173" spans="1:16" s="9" customFormat="1" ht="11.25" hidden="1" customHeight="1" x14ac:dyDescent="0.2">
      <c r="A173" s="10">
        <v>50140000</v>
      </c>
      <c r="B173" s="10" t="s">
        <v>116</v>
      </c>
      <c r="C173" s="11">
        <v>-4000000</v>
      </c>
      <c r="D173" s="11">
        <v>16000000</v>
      </c>
      <c r="E173" s="11">
        <v>16000000</v>
      </c>
      <c r="F173" s="13">
        <f>SUMIF('OD 12-24'!A:A,A173,'OD 12-24'!D:D)</f>
        <v>0</v>
      </c>
      <c r="G173" s="13">
        <f>SUMIF('OD 12-24'!A:A,A173,'OD 12-24'!E:E)</f>
        <v>0</v>
      </c>
      <c r="H173" s="14">
        <f t="shared" si="4"/>
        <v>0</v>
      </c>
      <c r="I173" s="14">
        <f t="shared" si="5"/>
        <v>-4000000</v>
      </c>
      <c r="J173" s="8" t="s">
        <v>115</v>
      </c>
      <c r="K173" s="8"/>
      <c r="L173" s="9">
        <v>0</v>
      </c>
      <c r="M173" s="339"/>
      <c r="N173" s="315"/>
      <c r="O173" s="339"/>
      <c r="P173" s="339"/>
    </row>
    <row r="174" spans="1:16" s="9" customFormat="1" ht="11.25" hidden="1" customHeight="1" x14ac:dyDescent="0.2">
      <c r="A174" s="10">
        <v>50500000</v>
      </c>
      <c r="B174" s="10" t="s">
        <v>117</v>
      </c>
      <c r="C174" s="11">
        <v>-625000.00400000252</v>
      </c>
      <c r="D174" s="11">
        <v>625000</v>
      </c>
      <c r="E174" s="11">
        <v>0</v>
      </c>
      <c r="F174" s="13">
        <f>SUMIF('OD 12-24'!A:A,A174,'OD 12-24'!D:D)</f>
        <v>0</v>
      </c>
      <c r="G174" s="13">
        <f>SUMIF('OD 12-24'!A:A,A174,'OD 12-24'!E:E)</f>
        <v>586666</v>
      </c>
      <c r="H174" s="14">
        <f t="shared" si="4"/>
        <v>38334</v>
      </c>
      <c r="I174" s="14">
        <f t="shared" si="5"/>
        <v>-586666.00400000252</v>
      </c>
      <c r="J174" s="8" t="s">
        <v>115</v>
      </c>
      <c r="K174" s="8"/>
      <c r="L174" s="9">
        <v>0</v>
      </c>
      <c r="M174" s="339"/>
      <c r="N174" s="315"/>
      <c r="O174" s="339"/>
      <c r="P174" s="339"/>
    </row>
    <row r="175" spans="1:16" s="9" customFormat="1" ht="11.25" hidden="1" customHeight="1" x14ac:dyDescent="0.2">
      <c r="A175" s="10">
        <v>50515000</v>
      </c>
      <c r="B175" s="10" t="s">
        <v>118</v>
      </c>
      <c r="C175" s="11">
        <v>-131871.57899999991</v>
      </c>
      <c r="D175" s="11">
        <v>344069.39899999998</v>
      </c>
      <c r="E175" s="11">
        <v>225258.14199999999</v>
      </c>
      <c r="F175" s="13">
        <f>SUMIF('OD 12-24'!A:A,A175,'OD 12-24'!D:D)</f>
        <v>0</v>
      </c>
      <c r="G175" s="13">
        <f>SUMIF('OD 12-24'!A:A,A175,'OD 12-24'!E:E)</f>
        <v>78552.648000000001</v>
      </c>
      <c r="H175" s="14">
        <f t="shared" si="4"/>
        <v>40258.608999999982</v>
      </c>
      <c r="I175" s="14">
        <f t="shared" si="5"/>
        <v>-91612.969999999928</v>
      </c>
      <c r="J175" s="8" t="s">
        <v>115</v>
      </c>
      <c r="K175" s="8"/>
      <c r="L175" s="9">
        <v>0</v>
      </c>
      <c r="M175" s="339"/>
      <c r="N175" s="315"/>
      <c r="O175" s="339"/>
      <c r="P175" s="339"/>
    </row>
    <row r="176" spans="1:16" s="9" customFormat="1" ht="11.25" hidden="1" customHeight="1" x14ac:dyDescent="0.2">
      <c r="A176" s="10">
        <v>50610100</v>
      </c>
      <c r="B176" s="10" t="s">
        <v>342</v>
      </c>
      <c r="C176" s="11">
        <v>0</v>
      </c>
      <c r="D176" s="11">
        <v>0</v>
      </c>
      <c r="E176" s="11">
        <v>0</v>
      </c>
      <c r="F176" s="13">
        <f>SUMIF('OD 12-24'!A:A,A176,'OD 12-24'!D:D)</f>
        <v>0</v>
      </c>
      <c r="G176" s="13">
        <f>SUMIF('OD 12-24'!A:A,A176,'OD 12-24'!E:E)</f>
        <v>0</v>
      </c>
      <c r="H176" s="14">
        <f t="shared" si="4"/>
        <v>0</v>
      </c>
      <c r="I176" s="14">
        <f t="shared" si="5"/>
        <v>0</v>
      </c>
      <c r="J176" s="8"/>
      <c r="K176" s="8"/>
      <c r="L176" s="9">
        <v>0</v>
      </c>
      <c r="M176" s="339"/>
      <c r="N176" s="315"/>
      <c r="O176" s="339"/>
      <c r="P176" s="339"/>
    </row>
    <row r="177" spans="1:16" s="9" customFormat="1" ht="11.25" hidden="1" customHeight="1" x14ac:dyDescent="0.2">
      <c r="A177" s="10">
        <v>50610900</v>
      </c>
      <c r="B177" s="10" t="s">
        <v>119</v>
      </c>
      <c r="C177" s="11">
        <v>-1347864.9606235027</v>
      </c>
      <c r="D177" s="11">
        <v>1359732.8840000001</v>
      </c>
      <c r="E177" s="11">
        <v>11867.923000000001</v>
      </c>
      <c r="F177" s="13">
        <f>SUMIF('OD 12-24'!A:A,A177,'OD 12-24'!D:D)</f>
        <v>0</v>
      </c>
      <c r="G177" s="13">
        <f>SUMIF('OD 12-24'!A:A,A177,'OD 12-24'!E:E)</f>
        <v>0</v>
      </c>
      <c r="H177" s="14">
        <f t="shared" si="4"/>
        <v>1347864.9610000001</v>
      </c>
      <c r="I177" s="14">
        <f t="shared" si="5"/>
        <v>3.7649739533662796E-4</v>
      </c>
      <c r="J177" s="8" t="s">
        <v>115</v>
      </c>
      <c r="K177" s="8"/>
      <c r="L177" s="9">
        <v>0</v>
      </c>
      <c r="M177" s="339"/>
      <c r="N177" s="315"/>
      <c r="O177" s="339"/>
      <c r="P177" s="339"/>
    </row>
    <row r="178" spans="1:16" s="9" customFormat="1" ht="11.25" hidden="1" customHeight="1" x14ac:dyDescent="0.2">
      <c r="A178" s="10">
        <v>50630000</v>
      </c>
      <c r="B178" s="10" t="s">
        <v>343</v>
      </c>
      <c r="C178" s="11">
        <v>-443000</v>
      </c>
      <c r="D178" s="11">
        <v>857342.277</v>
      </c>
      <c r="E178" s="11">
        <v>839470.78499999992</v>
      </c>
      <c r="F178" s="13">
        <f>SUMIF('OD 12-24'!A:A,A178,'OD 12-24'!D:D)</f>
        <v>0</v>
      </c>
      <c r="G178" s="13">
        <f>SUMIF('OD 12-24'!A:A,A178,'OD 12-24'!E:E)</f>
        <v>0</v>
      </c>
      <c r="H178" s="14">
        <f t="shared" si="4"/>
        <v>17871.492000000086</v>
      </c>
      <c r="I178" s="14">
        <f t="shared" si="5"/>
        <v>-425128.50799999991</v>
      </c>
      <c r="J178" s="8" t="s">
        <v>115</v>
      </c>
      <c r="K178" s="8"/>
      <c r="L178" s="9">
        <v>0</v>
      </c>
      <c r="M178" s="339"/>
      <c r="N178" s="315"/>
      <c r="O178" s="339"/>
      <c r="P178" s="339"/>
    </row>
    <row r="179" spans="1:16" s="9" customFormat="1" ht="11.25" hidden="1" customHeight="1" x14ac:dyDescent="0.2">
      <c r="A179" s="10">
        <v>50800000</v>
      </c>
      <c r="B179" s="10" t="s">
        <v>344</v>
      </c>
      <c r="C179" s="11">
        <v>-31533.957000000002</v>
      </c>
      <c r="D179" s="11">
        <v>31533.957000000002</v>
      </c>
      <c r="E179" s="11">
        <v>0</v>
      </c>
      <c r="F179" s="13">
        <f>SUMIF('OD 12-24'!A:A,A179,'OD 12-24'!D:D)</f>
        <v>0</v>
      </c>
      <c r="G179" s="13">
        <f>SUMIF('OD 12-24'!A:A,A179,'OD 12-24'!E:E)</f>
        <v>0</v>
      </c>
      <c r="H179" s="14">
        <f t="shared" si="4"/>
        <v>31533.957000000002</v>
      </c>
      <c r="I179" s="14">
        <f t="shared" si="5"/>
        <v>0</v>
      </c>
      <c r="J179" s="8" t="s">
        <v>115</v>
      </c>
      <c r="K179" s="8"/>
      <c r="L179" s="9">
        <v>0</v>
      </c>
      <c r="M179" s="339"/>
      <c r="N179" s="315"/>
      <c r="O179" s="339"/>
      <c r="P179" s="339"/>
    </row>
    <row r="180" spans="1:16" s="9" customFormat="1" ht="11.25" hidden="1" customHeight="1" x14ac:dyDescent="0.2">
      <c r="A180" s="10">
        <v>52000000</v>
      </c>
      <c r="B180" s="10" t="s">
        <v>345</v>
      </c>
      <c r="C180" s="11">
        <v>0</v>
      </c>
      <c r="D180" s="11">
        <v>0</v>
      </c>
      <c r="E180" s="11">
        <v>0</v>
      </c>
      <c r="F180" s="13">
        <f>SUMIF('OD 12-24'!A:A,A180,'OD 12-24'!D:D)</f>
        <v>0</v>
      </c>
      <c r="G180" s="13">
        <f>SUMIF('OD 12-24'!A:A,A180,'OD 12-24'!E:E)</f>
        <v>0</v>
      </c>
      <c r="H180" s="14">
        <f t="shared" si="4"/>
        <v>0</v>
      </c>
      <c r="I180" s="14">
        <f t="shared" si="5"/>
        <v>0</v>
      </c>
      <c r="J180" s="8"/>
      <c r="K180" s="8"/>
      <c r="L180" s="9">
        <v>0</v>
      </c>
      <c r="M180" s="339"/>
      <c r="N180" s="315"/>
      <c r="O180" s="339"/>
      <c r="P180" s="339"/>
    </row>
    <row r="181" spans="1:16" s="9" customFormat="1" ht="11.25" hidden="1" customHeight="1" x14ac:dyDescent="0.2">
      <c r="A181" s="10">
        <v>52001100</v>
      </c>
      <c r="B181" s="10" t="s">
        <v>346</v>
      </c>
      <c r="C181" s="11">
        <v>0</v>
      </c>
      <c r="D181" s="11">
        <v>0</v>
      </c>
      <c r="E181" s="11">
        <v>0</v>
      </c>
      <c r="F181" s="13">
        <f>SUMIF('OD 12-24'!A:A,A181,'OD 12-24'!D:D)</f>
        <v>0</v>
      </c>
      <c r="G181" s="13">
        <f>SUMIF('OD 12-24'!A:A,A181,'OD 12-24'!E:E)</f>
        <v>0</v>
      </c>
      <c r="H181" s="14">
        <f t="shared" si="4"/>
        <v>0</v>
      </c>
      <c r="I181" s="14">
        <f t="shared" si="5"/>
        <v>0</v>
      </c>
      <c r="J181" s="8"/>
      <c r="K181" s="8"/>
      <c r="L181" s="9">
        <v>0</v>
      </c>
      <c r="M181" s="339"/>
      <c r="N181" s="315"/>
      <c r="O181" s="339"/>
      <c r="P181" s="339"/>
    </row>
    <row r="182" spans="1:16" s="9" customFormat="1" ht="11.25" hidden="1" customHeight="1" x14ac:dyDescent="0.2">
      <c r="A182" s="10">
        <v>53140000</v>
      </c>
      <c r="B182" s="10" t="s">
        <v>347</v>
      </c>
      <c r="C182" s="11">
        <v>0</v>
      </c>
      <c r="D182" s="11">
        <v>0</v>
      </c>
      <c r="E182" s="11">
        <v>0</v>
      </c>
      <c r="F182" s="13">
        <f>SUMIF('OD 12-24'!A:A,A182,'OD 12-24'!D:D)</f>
        <v>0</v>
      </c>
      <c r="G182" s="13">
        <f>SUMIF('OD 12-24'!A:A,A182,'OD 12-24'!E:E)</f>
        <v>0</v>
      </c>
      <c r="H182" s="14">
        <f t="shared" si="4"/>
        <v>0</v>
      </c>
      <c r="I182" s="14">
        <f t="shared" si="5"/>
        <v>0</v>
      </c>
      <c r="J182" s="8"/>
      <c r="K182" s="8"/>
      <c r="L182" s="9">
        <v>0</v>
      </c>
      <c r="M182" s="339"/>
      <c r="N182" s="315"/>
      <c r="O182" s="339"/>
      <c r="P182" s="339"/>
    </row>
    <row r="183" spans="1:16" s="9" customFormat="1" ht="11.25" hidden="1" x14ac:dyDescent="0.2">
      <c r="A183" s="10">
        <v>53200000</v>
      </c>
      <c r="B183" s="10" t="s">
        <v>120</v>
      </c>
      <c r="C183" s="11">
        <v>185799.56100001931</v>
      </c>
      <c r="D183" s="11">
        <f>26321292.458+252.525</f>
        <v>26321544.982999999</v>
      </c>
      <c r="E183" s="11">
        <v>26507344.544</v>
      </c>
      <c r="F183" s="13">
        <f>SUMIF('OD 12-24'!A:A,A183,'OD 12-24'!D:D)</f>
        <v>0</v>
      </c>
      <c r="G183" s="13">
        <f>SUMIF('OD 12-24'!A:A,A183,'OD 12-24'!E:E)</f>
        <v>0</v>
      </c>
      <c r="H183" s="14">
        <f t="shared" si="4"/>
        <v>-185799.56100000069</v>
      </c>
      <c r="I183" s="14">
        <f t="shared" si="5"/>
        <v>1.862645149230957E-8</v>
      </c>
      <c r="J183" s="8" t="s">
        <v>115</v>
      </c>
      <c r="K183" s="8"/>
      <c r="L183" s="9" t="s">
        <v>10110</v>
      </c>
      <c r="M183" s="339"/>
      <c r="N183" s="315"/>
      <c r="O183" s="339"/>
      <c r="P183" s="339"/>
    </row>
    <row r="184" spans="1:16" s="9" customFormat="1" ht="11.25" hidden="1" customHeight="1" x14ac:dyDescent="0.2">
      <c r="A184" s="10">
        <v>53201000</v>
      </c>
      <c r="B184" s="10" t="s">
        <v>348</v>
      </c>
      <c r="C184" s="11">
        <v>0</v>
      </c>
      <c r="D184" s="11">
        <v>0</v>
      </c>
      <c r="E184" s="11">
        <v>0</v>
      </c>
      <c r="F184" s="13">
        <f>SUMIF('OD 12-24'!A:A,A184,'OD 12-24'!D:D)</f>
        <v>0</v>
      </c>
      <c r="G184" s="13">
        <f>SUMIF('OD 12-24'!A:A,A184,'OD 12-24'!E:E)</f>
        <v>0</v>
      </c>
      <c r="H184" s="14">
        <f t="shared" si="4"/>
        <v>0</v>
      </c>
      <c r="I184" s="14">
        <f t="shared" si="5"/>
        <v>0</v>
      </c>
      <c r="J184" s="8"/>
      <c r="K184" s="8"/>
      <c r="L184" s="9">
        <v>0</v>
      </c>
      <c r="M184" s="339"/>
      <c r="N184" s="315"/>
      <c r="O184" s="339"/>
      <c r="P184" s="339"/>
    </row>
    <row r="185" spans="1:16" s="9" customFormat="1" ht="11.25" hidden="1" x14ac:dyDescent="0.2">
      <c r="A185" s="10">
        <v>53202000</v>
      </c>
      <c r="B185" s="10" t="s">
        <v>122</v>
      </c>
      <c r="C185" s="11">
        <v>435.74199999962002</v>
      </c>
      <c r="D185" s="11">
        <v>0</v>
      </c>
      <c r="E185" s="11">
        <v>0</v>
      </c>
      <c r="F185" s="13">
        <f>SUMIF('OD 12-24'!A:A,A185,'OD 12-24'!D:D)</f>
        <v>0</v>
      </c>
      <c r="G185" s="13">
        <f>SUMIF('OD 12-24'!A:A,A185,'OD 12-24'!E:E)</f>
        <v>0</v>
      </c>
      <c r="H185" s="14">
        <f t="shared" si="4"/>
        <v>0</v>
      </c>
      <c r="I185" s="14">
        <f t="shared" si="5"/>
        <v>435.74199999962002</v>
      </c>
      <c r="J185" s="8" t="s">
        <v>121</v>
      </c>
      <c r="K185" s="8"/>
      <c r="L185" s="9" t="s">
        <v>10110</v>
      </c>
      <c r="M185" s="339"/>
      <c r="N185" s="315"/>
      <c r="O185" s="339"/>
      <c r="P185" s="339"/>
    </row>
    <row r="186" spans="1:16" s="9" customFormat="1" ht="11.25" hidden="1" x14ac:dyDescent="0.2">
      <c r="A186" s="10">
        <v>53203000</v>
      </c>
      <c r="B186" s="10" t="s">
        <v>349</v>
      </c>
      <c r="C186" s="11">
        <v>159807.23199999891</v>
      </c>
      <c r="D186" s="11">
        <v>411911.67499999999</v>
      </c>
      <c r="E186" s="11">
        <v>571718.90700000001</v>
      </c>
      <c r="F186" s="13">
        <f>SUMIF('OD 12-24'!A:A,A186,'OD 12-24'!D:D)</f>
        <v>0</v>
      </c>
      <c r="G186" s="13">
        <f>SUMIF('OD 12-24'!A:A,A186,'OD 12-24'!E:E)</f>
        <v>0</v>
      </c>
      <c r="H186" s="14">
        <f t="shared" si="4"/>
        <v>-159807.23200000002</v>
      </c>
      <c r="I186" s="14">
        <f t="shared" si="5"/>
        <v>-1.1059455573558807E-9</v>
      </c>
      <c r="J186" s="8" t="s">
        <v>121</v>
      </c>
      <c r="K186" s="8"/>
      <c r="L186" s="9" t="s">
        <v>10110</v>
      </c>
      <c r="M186" s="339"/>
      <c r="N186" s="315"/>
      <c r="O186" s="339"/>
      <c r="P186" s="339"/>
    </row>
    <row r="187" spans="1:16" s="9" customFormat="1" ht="11.25" hidden="1" customHeight="1" x14ac:dyDescent="0.2">
      <c r="A187" s="10">
        <v>53204000</v>
      </c>
      <c r="B187" s="10" t="s">
        <v>350</v>
      </c>
      <c r="C187" s="11">
        <v>0</v>
      </c>
      <c r="D187" s="11">
        <v>0</v>
      </c>
      <c r="E187" s="11">
        <v>0</v>
      </c>
      <c r="F187" s="13">
        <f>SUMIF('OD 12-24'!A:A,A187,'OD 12-24'!D:D)</f>
        <v>0</v>
      </c>
      <c r="G187" s="13">
        <f>SUMIF('OD 12-24'!A:A,A187,'OD 12-24'!E:E)</f>
        <v>0</v>
      </c>
      <c r="H187" s="14">
        <f t="shared" si="4"/>
        <v>0</v>
      </c>
      <c r="I187" s="14">
        <f t="shared" si="5"/>
        <v>0</v>
      </c>
      <c r="J187" s="8"/>
      <c r="K187" s="8"/>
      <c r="L187" s="9">
        <v>0</v>
      </c>
      <c r="M187" s="339"/>
      <c r="N187" s="315"/>
      <c r="O187" s="339"/>
      <c r="P187" s="339"/>
    </row>
    <row r="188" spans="1:16" s="9" customFormat="1" ht="11.25" hidden="1" customHeight="1" x14ac:dyDescent="0.2">
      <c r="A188" s="10">
        <v>53204100</v>
      </c>
      <c r="B188" s="10" t="s">
        <v>351</v>
      </c>
      <c r="C188" s="11">
        <v>0</v>
      </c>
      <c r="D188" s="11">
        <v>0</v>
      </c>
      <c r="E188" s="11">
        <v>0</v>
      </c>
      <c r="F188" s="13">
        <f>SUMIF('OD 12-24'!A:A,A188,'OD 12-24'!D:D)</f>
        <v>0</v>
      </c>
      <c r="G188" s="13">
        <f>SUMIF('OD 12-24'!A:A,A188,'OD 12-24'!E:E)</f>
        <v>0</v>
      </c>
      <c r="H188" s="14">
        <f t="shared" si="4"/>
        <v>0</v>
      </c>
      <c r="I188" s="14">
        <f t="shared" si="5"/>
        <v>0</v>
      </c>
      <c r="J188" s="8"/>
      <c r="K188" s="8"/>
      <c r="L188" s="9">
        <v>0</v>
      </c>
      <c r="M188" s="339"/>
      <c r="N188" s="315"/>
      <c r="O188" s="339"/>
      <c r="P188" s="339"/>
    </row>
    <row r="189" spans="1:16" s="9" customFormat="1" ht="11.25" hidden="1" customHeight="1" x14ac:dyDescent="0.2">
      <c r="A189" s="10">
        <v>53204500</v>
      </c>
      <c r="B189" s="10" t="s">
        <v>123</v>
      </c>
      <c r="C189" s="11">
        <v>5874.02</v>
      </c>
      <c r="D189" s="11">
        <v>0</v>
      </c>
      <c r="E189" s="11">
        <v>0</v>
      </c>
      <c r="F189" s="13">
        <f>SUMIF('OD 12-24'!A:A,A189,'OD 12-24'!D:D)</f>
        <v>0</v>
      </c>
      <c r="G189" s="13">
        <f>SUMIF('OD 12-24'!A:A,A189,'OD 12-24'!E:E)</f>
        <v>0</v>
      </c>
      <c r="H189" s="14">
        <f t="shared" si="4"/>
        <v>0</v>
      </c>
      <c r="I189" s="14">
        <f t="shared" si="5"/>
        <v>5874.02</v>
      </c>
      <c r="J189" s="8" t="s">
        <v>121</v>
      </c>
      <c r="K189" s="8"/>
      <c r="L189" s="9" t="s">
        <v>10110</v>
      </c>
      <c r="M189" s="339"/>
      <c r="N189" s="315"/>
      <c r="O189" s="339"/>
      <c r="P189" s="339"/>
    </row>
    <row r="190" spans="1:16" s="9" customFormat="1" ht="11.25" hidden="1" customHeight="1" x14ac:dyDescent="0.2">
      <c r="A190" s="10">
        <v>53205000</v>
      </c>
      <c r="B190" s="10" t="s">
        <v>124</v>
      </c>
      <c r="C190" s="11">
        <v>12925.083999991417</v>
      </c>
      <c r="D190" s="11">
        <v>43908.082000000002</v>
      </c>
      <c r="E190" s="11">
        <v>55000.952000000005</v>
      </c>
      <c r="F190" s="13">
        <f>SUMIF('OD 12-24'!A:A,A190,'OD 12-24'!D:D)</f>
        <v>0</v>
      </c>
      <c r="G190" s="13">
        <f>SUMIF('OD 12-24'!A:A,A190,'OD 12-24'!E:E)</f>
        <v>0</v>
      </c>
      <c r="H190" s="14">
        <f t="shared" si="4"/>
        <v>-11092.870000000003</v>
      </c>
      <c r="I190" s="14">
        <f t="shared" si="5"/>
        <v>1832.2139999914143</v>
      </c>
      <c r="J190" s="8" t="s">
        <v>121</v>
      </c>
      <c r="K190" s="8"/>
      <c r="L190" s="9" t="s">
        <v>10110</v>
      </c>
      <c r="M190" s="339"/>
      <c r="N190" s="315"/>
      <c r="O190" s="339"/>
      <c r="P190" s="339"/>
    </row>
    <row r="191" spans="1:16" s="9" customFormat="1" ht="11.25" hidden="1" customHeight="1" x14ac:dyDescent="0.2">
      <c r="A191" s="10">
        <v>53205200</v>
      </c>
      <c r="B191" s="10" t="s">
        <v>9637</v>
      </c>
      <c r="C191" s="11">
        <v>0</v>
      </c>
      <c r="D191" s="11">
        <v>5000</v>
      </c>
      <c r="E191" s="11">
        <v>0</v>
      </c>
      <c r="F191" s="13">
        <f>SUMIF('OD 12-24'!A:A,A191,'OD 12-24'!D:D)</f>
        <v>0</v>
      </c>
      <c r="G191" s="13">
        <f>SUMIF('OD 12-24'!A:A,A191,'OD 12-24'!E:E)</f>
        <v>0</v>
      </c>
      <c r="H191" s="14">
        <f t="shared" ref="H191" si="6">+D191+F191-E191-G191</f>
        <v>5000</v>
      </c>
      <c r="I191" s="14">
        <f t="shared" ref="I191" si="7">+H191+C191</f>
        <v>5000</v>
      </c>
      <c r="J191" s="8" t="s">
        <v>121</v>
      </c>
      <c r="K191" s="8"/>
      <c r="L191" s="9" t="e">
        <v>#N/A</v>
      </c>
      <c r="M191" s="339"/>
      <c r="N191" s="315"/>
      <c r="O191" s="339"/>
      <c r="P191" s="339"/>
    </row>
    <row r="192" spans="1:16" s="9" customFormat="1" ht="11.25" hidden="1" customHeight="1" x14ac:dyDescent="0.2">
      <c r="A192" s="10">
        <v>53205300</v>
      </c>
      <c r="B192" s="10" t="s">
        <v>125</v>
      </c>
      <c r="C192" s="11">
        <v>0</v>
      </c>
      <c r="D192" s="11">
        <v>0</v>
      </c>
      <c r="E192" s="11">
        <v>0</v>
      </c>
      <c r="F192" s="13">
        <f>SUMIF('OD 12-24'!A:A,A192,'OD 12-24'!D:D)</f>
        <v>0</v>
      </c>
      <c r="G192" s="13">
        <f>SUMIF('OD 12-24'!A:A,A192,'OD 12-24'!E:E)</f>
        <v>0</v>
      </c>
      <c r="H192" s="14">
        <f t="shared" si="4"/>
        <v>0</v>
      </c>
      <c r="I192" s="14">
        <f t="shared" si="5"/>
        <v>0</v>
      </c>
      <c r="J192" s="8" t="s">
        <v>121</v>
      </c>
      <c r="K192" s="8"/>
      <c r="L192" s="9" t="s">
        <v>10110</v>
      </c>
      <c r="M192" s="339"/>
      <c r="N192" s="315"/>
      <c r="O192" s="339"/>
      <c r="P192" s="339"/>
    </row>
    <row r="193" spans="1:16" s="9" customFormat="1" ht="11.25" hidden="1" customHeight="1" x14ac:dyDescent="0.2">
      <c r="A193" s="10">
        <v>53205400</v>
      </c>
      <c r="B193" s="10" t="s">
        <v>126</v>
      </c>
      <c r="C193" s="11">
        <v>0</v>
      </c>
      <c r="D193" s="11">
        <v>0</v>
      </c>
      <c r="E193" s="11">
        <v>0</v>
      </c>
      <c r="F193" s="13">
        <f>SUMIF('OD 12-24'!A:A,A193,'OD 12-24'!D:D)</f>
        <v>0</v>
      </c>
      <c r="G193" s="13">
        <f>SUMIF('OD 12-24'!A:A,A193,'OD 12-24'!E:E)</f>
        <v>0</v>
      </c>
      <c r="H193" s="14">
        <f t="shared" si="4"/>
        <v>0</v>
      </c>
      <c r="I193" s="14">
        <f t="shared" si="5"/>
        <v>0</v>
      </c>
      <c r="J193" s="8"/>
      <c r="K193" s="8"/>
      <c r="L193" s="9">
        <v>0</v>
      </c>
      <c r="M193" s="339"/>
      <c r="N193" s="315"/>
      <c r="O193" s="339"/>
      <c r="P193" s="339"/>
    </row>
    <row r="194" spans="1:16" s="9" customFormat="1" ht="11.25" hidden="1" customHeight="1" x14ac:dyDescent="0.2">
      <c r="A194" s="10">
        <v>53205500</v>
      </c>
      <c r="B194" s="10" t="s">
        <v>127</v>
      </c>
      <c r="C194" s="11">
        <v>0</v>
      </c>
      <c r="D194" s="11">
        <v>0</v>
      </c>
      <c r="E194" s="11">
        <v>0</v>
      </c>
      <c r="F194" s="13">
        <f>SUMIF('OD 12-24'!A:A,A194,'OD 12-24'!D:D)</f>
        <v>0</v>
      </c>
      <c r="G194" s="13">
        <f>SUMIF('OD 12-24'!A:A,A194,'OD 12-24'!E:E)</f>
        <v>0</v>
      </c>
      <c r="H194" s="14">
        <f t="shared" si="4"/>
        <v>0</v>
      </c>
      <c r="I194" s="14">
        <f t="shared" si="5"/>
        <v>0</v>
      </c>
      <c r="J194" s="8"/>
      <c r="K194" s="8"/>
      <c r="L194" s="9">
        <v>0</v>
      </c>
      <c r="M194" s="339"/>
      <c r="N194" s="315"/>
      <c r="O194" s="339"/>
      <c r="P194" s="339"/>
    </row>
    <row r="195" spans="1:16" s="9" customFormat="1" ht="11.25" hidden="1" customHeight="1" x14ac:dyDescent="0.2">
      <c r="A195" s="10">
        <v>53205600</v>
      </c>
      <c r="B195" s="10" t="s">
        <v>128</v>
      </c>
      <c r="C195" s="11">
        <v>-3300983.9089999795</v>
      </c>
      <c r="D195" s="11">
        <v>95558624.266000003</v>
      </c>
      <c r="E195" s="11">
        <v>94845352.752000004</v>
      </c>
      <c r="F195" s="13">
        <f>SUMIF('OD 12-24'!A:A,A195,'OD 12-24'!D:D)</f>
        <v>0</v>
      </c>
      <c r="G195" s="13">
        <f>SUMIF('OD 12-24'!A:A,A195,'OD 12-24'!E:E)</f>
        <v>0</v>
      </c>
      <c r="H195" s="14">
        <f t="shared" si="4"/>
        <v>713271.51399999857</v>
      </c>
      <c r="I195" s="14">
        <f t="shared" si="5"/>
        <v>-2587712.3949999809</v>
      </c>
      <c r="J195" s="8" t="s">
        <v>115</v>
      </c>
      <c r="K195" s="8"/>
      <c r="L195" s="9" t="s">
        <v>10110</v>
      </c>
      <c r="M195" s="339"/>
      <c r="N195" s="315"/>
      <c r="O195" s="339"/>
      <c r="P195" s="339"/>
    </row>
    <row r="196" spans="1:16" s="9" customFormat="1" ht="11.25" hidden="1" customHeight="1" x14ac:dyDescent="0.2">
      <c r="A196" s="10">
        <v>53205700</v>
      </c>
      <c r="B196" s="10" t="s">
        <v>129</v>
      </c>
      <c r="C196" s="11">
        <v>1964289.2105972022</v>
      </c>
      <c r="D196" s="11">
        <v>44447259.035000004</v>
      </c>
      <c r="E196" s="11">
        <v>44426819.146000005</v>
      </c>
      <c r="F196" s="13">
        <f>SUMIF('OD 12-24'!A:A,A196,'OD 12-24'!D:D)</f>
        <v>3978060.7673999998</v>
      </c>
      <c r="G196" s="13">
        <f>SUMIF('OD 12-24'!A:A,A196,'OD 12-24'!E:E)</f>
        <v>4097150.8834000002</v>
      </c>
      <c r="H196" s="14">
        <f t="shared" ref="H196:H264" si="8">+D196+F196-E196-G196</f>
        <v>-98650.227000005078</v>
      </c>
      <c r="I196" s="14">
        <f t="shared" ref="I196:I264" si="9">+H196+C196</f>
        <v>1865638.9835971971</v>
      </c>
      <c r="J196" s="8" t="s">
        <v>121</v>
      </c>
      <c r="K196" s="8"/>
      <c r="L196" s="9" t="s">
        <v>10110</v>
      </c>
      <c r="M196" s="339"/>
      <c r="N196" s="315"/>
      <c r="O196" s="339"/>
      <c r="P196" s="339"/>
    </row>
    <row r="197" spans="1:16" s="9" customFormat="1" ht="11.25" hidden="1" customHeight="1" x14ac:dyDescent="0.2">
      <c r="A197" s="10">
        <v>53205800</v>
      </c>
      <c r="B197" s="10" t="s">
        <v>130</v>
      </c>
      <c r="C197" s="11">
        <v>-66996.353000000119</v>
      </c>
      <c r="D197" s="11">
        <v>0</v>
      </c>
      <c r="E197" s="11">
        <v>3538.0830000000001</v>
      </c>
      <c r="F197" s="13">
        <f>SUMIF('OD 12-24'!A:A,A197,'OD 12-24'!D:D)</f>
        <v>562.84100000000001</v>
      </c>
      <c r="G197" s="13">
        <f>SUMIF('OD 12-24'!A:A,A197,'OD 12-24'!E:E)</f>
        <v>517.85299999999995</v>
      </c>
      <c r="H197" s="14">
        <f t="shared" si="8"/>
        <v>-3493.0950000000003</v>
      </c>
      <c r="I197" s="14">
        <f t="shared" si="9"/>
        <v>-70489.44800000012</v>
      </c>
      <c r="J197" s="8" t="s">
        <v>115</v>
      </c>
      <c r="K197" s="8"/>
      <c r="L197" s="9" t="s">
        <v>10110</v>
      </c>
      <c r="M197" s="339"/>
      <c r="N197" s="315"/>
      <c r="O197" s="339"/>
      <c r="P197" s="339"/>
    </row>
    <row r="198" spans="1:16" s="9" customFormat="1" ht="11.25" hidden="1" customHeight="1" x14ac:dyDescent="0.2">
      <c r="A198" s="10">
        <v>53207000</v>
      </c>
      <c r="B198" s="10" t="s">
        <v>352</v>
      </c>
      <c r="C198" s="11">
        <v>0</v>
      </c>
      <c r="D198" s="11">
        <v>0</v>
      </c>
      <c r="E198" s="11">
        <v>0</v>
      </c>
      <c r="F198" s="13">
        <f>SUMIF('OD 12-24'!A:A,A198,'OD 12-24'!D:D)</f>
        <v>0</v>
      </c>
      <c r="G198" s="13">
        <f>SUMIF('OD 12-24'!A:A,A198,'OD 12-24'!E:E)</f>
        <v>0</v>
      </c>
      <c r="H198" s="14">
        <f t="shared" si="8"/>
        <v>0</v>
      </c>
      <c r="I198" s="14">
        <f t="shared" si="9"/>
        <v>0</v>
      </c>
      <c r="J198" s="8"/>
      <c r="K198" s="8"/>
      <c r="L198" s="9">
        <v>0</v>
      </c>
      <c r="M198" s="339"/>
      <c r="N198" s="315"/>
      <c r="O198" s="339"/>
      <c r="P198" s="339"/>
    </row>
    <row r="199" spans="1:16" s="9" customFormat="1" ht="11.25" hidden="1" customHeight="1" x14ac:dyDescent="0.2">
      <c r="A199" s="10">
        <v>53207100</v>
      </c>
      <c r="B199" s="10" t="s">
        <v>353</v>
      </c>
      <c r="C199" s="11">
        <v>0</v>
      </c>
      <c r="D199" s="11">
        <v>0</v>
      </c>
      <c r="E199" s="11">
        <v>0</v>
      </c>
      <c r="F199" s="13">
        <f>SUMIF('OD 12-24'!A:A,A199,'OD 12-24'!D:D)</f>
        <v>0</v>
      </c>
      <c r="G199" s="13">
        <f>SUMIF('OD 12-24'!A:A,A199,'OD 12-24'!E:E)</f>
        <v>0</v>
      </c>
      <c r="H199" s="14">
        <f t="shared" si="8"/>
        <v>0</v>
      </c>
      <c r="I199" s="14">
        <f t="shared" si="9"/>
        <v>0</v>
      </c>
      <c r="J199" s="8"/>
      <c r="K199" s="8"/>
      <c r="L199" s="9">
        <v>0</v>
      </c>
      <c r="M199" s="339"/>
      <c r="N199" s="315"/>
      <c r="O199" s="339"/>
      <c r="P199" s="339"/>
    </row>
    <row r="200" spans="1:16" s="9" customFormat="1" ht="11.25" hidden="1" customHeight="1" x14ac:dyDescent="0.2">
      <c r="A200" s="10">
        <v>53207200</v>
      </c>
      <c r="B200" s="10" t="s">
        <v>354</v>
      </c>
      <c r="C200" s="11">
        <v>0</v>
      </c>
      <c r="D200" s="11">
        <v>0</v>
      </c>
      <c r="E200" s="11">
        <v>0</v>
      </c>
      <c r="F200" s="13">
        <f>SUMIF('OD 12-24'!A:A,A200,'OD 12-24'!D:D)</f>
        <v>0</v>
      </c>
      <c r="G200" s="13">
        <f>SUMIF('OD 12-24'!A:A,A200,'OD 12-24'!E:E)</f>
        <v>0</v>
      </c>
      <c r="H200" s="14">
        <f t="shared" si="8"/>
        <v>0</v>
      </c>
      <c r="I200" s="14">
        <f t="shared" si="9"/>
        <v>0</v>
      </c>
      <c r="J200" s="8"/>
      <c r="K200" s="8"/>
      <c r="L200" s="9">
        <v>0</v>
      </c>
      <c r="M200" s="339"/>
      <c r="N200" s="315"/>
      <c r="O200" s="339"/>
      <c r="P200" s="339"/>
    </row>
    <row r="201" spans="1:16" s="9" customFormat="1" ht="11.25" hidden="1" x14ac:dyDescent="0.2">
      <c r="A201" s="10">
        <v>53208000</v>
      </c>
      <c r="B201" s="10" t="s">
        <v>355</v>
      </c>
      <c r="C201" s="11">
        <v>485.66199999954551</v>
      </c>
      <c r="D201" s="11">
        <v>0</v>
      </c>
      <c r="E201" s="11">
        <v>428.4</v>
      </c>
      <c r="F201" s="13">
        <f>SUMIF('OD 12-24'!A:A,A201,'OD 12-24'!D:D)</f>
        <v>0</v>
      </c>
      <c r="G201" s="13">
        <f>SUMIF('OD 12-24'!A:A,A201,'OD 12-24'!E:E)</f>
        <v>0</v>
      </c>
      <c r="H201" s="14">
        <f t="shared" si="8"/>
        <v>-428.4</v>
      </c>
      <c r="I201" s="14">
        <f t="shared" si="9"/>
        <v>57.261999999545537</v>
      </c>
      <c r="J201" s="8" t="s">
        <v>121</v>
      </c>
      <c r="K201" s="8"/>
      <c r="L201" s="9">
        <v>0</v>
      </c>
      <c r="M201" s="339"/>
      <c r="N201" s="315"/>
      <c r="O201" s="339"/>
      <c r="P201" s="339"/>
    </row>
    <row r="202" spans="1:16" s="9" customFormat="1" ht="11.25" hidden="1" customHeight="1" x14ac:dyDescent="0.2">
      <c r="A202" s="10">
        <v>53208100</v>
      </c>
      <c r="B202" s="10" t="s">
        <v>356</v>
      </c>
      <c r="C202" s="11">
        <v>0</v>
      </c>
      <c r="D202" s="11">
        <v>0</v>
      </c>
      <c r="E202" s="11">
        <v>0</v>
      </c>
      <c r="F202" s="13">
        <f>SUMIF('OD 12-24'!A:A,A202,'OD 12-24'!D:D)</f>
        <v>0</v>
      </c>
      <c r="G202" s="13">
        <f>SUMIF('OD 12-24'!A:A,A202,'OD 12-24'!E:E)</f>
        <v>0</v>
      </c>
      <c r="H202" s="14">
        <f t="shared" si="8"/>
        <v>0</v>
      </c>
      <c r="I202" s="14">
        <f t="shared" si="9"/>
        <v>0</v>
      </c>
      <c r="J202" s="8"/>
      <c r="K202" s="8"/>
      <c r="L202" s="9">
        <v>0</v>
      </c>
      <c r="M202" s="339"/>
      <c r="N202" s="315"/>
      <c r="O202" s="339"/>
      <c r="P202" s="339"/>
    </row>
    <row r="203" spans="1:16" s="9" customFormat="1" ht="11.25" hidden="1" customHeight="1" x14ac:dyDescent="0.2">
      <c r="A203" s="10">
        <v>53208500</v>
      </c>
      <c r="B203" s="10" t="s">
        <v>357</v>
      </c>
      <c r="C203" s="11">
        <v>0</v>
      </c>
      <c r="D203" s="11">
        <v>0</v>
      </c>
      <c r="E203" s="11">
        <v>0</v>
      </c>
      <c r="F203" s="13">
        <f>SUMIF('OD 12-24'!A:A,A203,'OD 12-24'!D:D)</f>
        <v>0</v>
      </c>
      <c r="G203" s="13">
        <f>SUMIF('OD 12-24'!A:A,A203,'OD 12-24'!E:E)</f>
        <v>0</v>
      </c>
      <c r="H203" s="14">
        <f t="shared" si="8"/>
        <v>0</v>
      </c>
      <c r="I203" s="14">
        <f t="shared" si="9"/>
        <v>0</v>
      </c>
      <c r="J203" s="8"/>
      <c r="K203" s="8"/>
      <c r="L203" s="9">
        <v>0</v>
      </c>
      <c r="M203" s="339"/>
      <c r="N203" s="315"/>
      <c r="O203" s="339"/>
      <c r="P203" s="339"/>
    </row>
    <row r="204" spans="1:16" s="9" customFormat="1" ht="11.25" hidden="1" customHeight="1" x14ac:dyDescent="0.2">
      <c r="A204" s="10">
        <v>54000000</v>
      </c>
      <c r="B204" s="10" t="s">
        <v>358</v>
      </c>
      <c r="C204" s="11">
        <v>0</v>
      </c>
      <c r="D204" s="11">
        <v>16951.525000000001</v>
      </c>
      <c r="E204" s="11">
        <v>16951.525000000001</v>
      </c>
      <c r="F204" s="13">
        <f>SUMIF('OD 12-24'!A:A,A204,'OD 12-24'!D:D)</f>
        <v>0</v>
      </c>
      <c r="G204" s="13">
        <f>SUMIF('OD 12-24'!A:A,A204,'OD 12-24'!E:E)</f>
        <v>0</v>
      </c>
      <c r="H204" s="14">
        <f t="shared" si="8"/>
        <v>0</v>
      </c>
      <c r="I204" s="14">
        <f t="shared" si="9"/>
        <v>0</v>
      </c>
      <c r="J204" s="8"/>
      <c r="K204" s="8"/>
      <c r="L204" s="9">
        <v>0</v>
      </c>
      <c r="M204" s="339"/>
      <c r="N204" s="315"/>
      <c r="O204" s="339"/>
      <c r="P204" s="339"/>
    </row>
    <row r="205" spans="1:16" s="9" customFormat="1" ht="11.25" hidden="1" x14ac:dyDescent="0.2">
      <c r="A205" s="10">
        <v>54100000</v>
      </c>
      <c r="B205" s="10" t="s">
        <v>131</v>
      </c>
      <c r="C205" s="11">
        <v>17</v>
      </c>
      <c r="D205" s="11">
        <v>108738.644</v>
      </c>
      <c r="E205" s="11">
        <v>111660.36099999999</v>
      </c>
      <c r="F205" s="13">
        <f>SUMIF('OD 12-24'!A:A,A205,'OD 12-24'!D:D)</f>
        <v>0</v>
      </c>
      <c r="G205" s="13">
        <f>SUMIF('OD 12-24'!A:A,A205,'OD 12-24'!E:E)</f>
        <v>0</v>
      </c>
      <c r="H205" s="14">
        <f t="shared" si="8"/>
        <v>-2921.7169999999896</v>
      </c>
      <c r="I205" s="14">
        <f t="shared" si="9"/>
        <v>-2904.7169999999896</v>
      </c>
      <c r="J205" s="8" t="s">
        <v>121</v>
      </c>
      <c r="K205" s="8"/>
      <c r="L205" s="9" t="s">
        <v>10110</v>
      </c>
      <c r="M205" s="339"/>
      <c r="N205" s="315"/>
      <c r="O205" s="339"/>
      <c r="P205" s="339"/>
    </row>
    <row r="206" spans="1:16" s="9" customFormat="1" ht="11.25" hidden="1" customHeight="1" x14ac:dyDescent="0.2">
      <c r="A206" s="10">
        <v>54300000</v>
      </c>
      <c r="B206" s="10" t="s">
        <v>359</v>
      </c>
      <c r="C206" s="11">
        <v>0</v>
      </c>
      <c r="D206" s="11">
        <v>0</v>
      </c>
      <c r="E206" s="11">
        <v>0</v>
      </c>
      <c r="F206" s="13">
        <f>SUMIF('OD 12-24'!A:A,A206,'OD 12-24'!D:D)</f>
        <v>0</v>
      </c>
      <c r="G206" s="13">
        <f>SUMIF('OD 12-24'!A:A,A206,'OD 12-24'!E:E)</f>
        <v>0</v>
      </c>
      <c r="H206" s="14">
        <f t="shared" si="8"/>
        <v>0</v>
      </c>
      <c r="I206" s="14">
        <f t="shared" si="9"/>
        <v>0</v>
      </c>
      <c r="J206" s="8"/>
      <c r="K206" s="8"/>
      <c r="L206" s="9">
        <v>0</v>
      </c>
      <c r="M206" s="339"/>
      <c r="N206" s="315"/>
      <c r="O206" s="339"/>
      <c r="P206" s="339"/>
    </row>
    <row r="207" spans="1:16" s="9" customFormat="1" ht="11.25" hidden="1" x14ac:dyDescent="0.2">
      <c r="A207" s="10">
        <v>55010000</v>
      </c>
      <c r="B207" s="10" t="s">
        <v>132</v>
      </c>
      <c r="C207" s="11">
        <v>3000</v>
      </c>
      <c r="D207" s="11">
        <v>0</v>
      </c>
      <c r="E207" s="11">
        <v>0</v>
      </c>
      <c r="F207" s="13">
        <f>SUMIF('OD 12-24'!A:A,A207,'OD 12-24'!D:D)</f>
        <v>0</v>
      </c>
      <c r="G207" s="13">
        <f>SUMIF('OD 12-24'!A:A,A207,'OD 12-24'!E:E)</f>
        <v>0</v>
      </c>
      <c r="H207" s="14">
        <f t="shared" si="8"/>
        <v>0</v>
      </c>
      <c r="I207" s="14">
        <f t="shared" si="9"/>
        <v>3000</v>
      </c>
      <c r="J207" s="8" t="s">
        <v>121</v>
      </c>
      <c r="K207" s="8"/>
      <c r="L207" s="9" t="s">
        <v>10110</v>
      </c>
      <c r="M207" s="339"/>
      <c r="N207" s="315"/>
      <c r="O207" s="339"/>
      <c r="P207" s="339"/>
    </row>
    <row r="208" spans="1:16" s="9" customFormat="1" ht="11.25" hidden="1" x14ac:dyDescent="0.2">
      <c r="A208" s="10">
        <v>55011000</v>
      </c>
      <c r="B208" s="10" t="s">
        <v>133</v>
      </c>
      <c r="C208" s="11">
        <v>0</v>
      </c>
      <c r="D208" s="11">
        <v>0</v>
      </c>
      <c r="E208" s="11">
        <v>0</v>
      </c>
      <c r="F208" s="13">
        <f>SUMIF('OD 12-24'!A:A,A208,'OD 12-24'!D:D)</f>
        <v>0</v>
      </c>
      <c r="G208" s="13">
        <f>SUMIF('OD 12-24'!A:A,A208,'OD 12-24'!E:E)</f>
        <v>0</v>
      </c>
      <c r="H208" s="14">
        <f t="shared" si="8"/>
        <v>0</v>
      </c>
      <c r="I208" s="14">
        <f t="shared" si="9"/>
        <v>0</v>
      </c>
      <c r="J208" s="8" t="s">
        <v>121</v>
      </c>
      <c r="K208" s="8"/>
      <c r="L208" s="9" t="s">
        <v>10110</v>
      </c>
      <c r="M208" s="339"/>
      <c r="N208" s="315"/>
      <c r="O208" s="339"/>
      <c r="P208" s="339"/>
    </row>
    <row r="209" spans="1:16" s="9" customFormat="1" ht="11.25" hidden="1" x14ac:dyDescent="0.2">
      <c r="A209" s="10">
        <v>58000000</v>
      </c>
      <c r="B209" s="10" t="s">
        <v>134</v>
      </c>
      <c r="C209" s="11">
        <v>0</v>
      </c>
      <c r="D209" s="11">
        <v>0</v>
      </c>
      <c r="E209" s="11">
        <v>0</v>
      </c>
      <c r="F209" s="13">
        <f>SUMIF('OD 12-24'!A:A,A209,'OD 12-24'!D:D)</f>
        <v>0</v>
      </c>
      <c r="G209" s="13">
        <f>SUMIF('OD 12-24'!A:A,A209,'OD 12-24'!E:E)</f>
        <v>0</v>
      </c>
      <c r="H209" s="14">
        <f t="shared" si="8"/>
        <v>0</v>
      </c>
      <c r="I209" s="14">
        <f t="shared" si="9"/>
        <v>0</v>
      </c>
      <c r="J209" s="8" t="s">
        <v>121</v>
      </c>
      <c r="K209" s="8"/>
      <c r="L209" s="9">
        <v>0</v>
      </c>
      <c r="M209" s="339"/>
      <c r="N209" s="315"/>
      <c r="O209" s="339"/>
      <c r="P209" s="339"/>
    </row>
    <row r="210" spans="1:16" s="9" customFormat="1" ht="11.25" hidden="1" customHeight="1" x14ac:dyDescent="0.2">
      <c r="A210" s="10">
        <v>58001000</v>
      </c>
      <c r="B210" s="10" t="s">
        <v>135</v>
      </c>
      <c r="C210" s="11">
        <v>-1.9999593496322632E-4</v>
      </c>
      <c r="D210" s="11">
        <v>0</v>
      </c>
      <c r="E210" s="11">
        <v>0</v>
      </c>
      <c r="F210" s="13">
        <f>SUMIF('OD 12-24'!A:A,A210,'OD 12-24'!D:D)</f>
        <v>0</v>
      </c>
      <c r="G210" s="13">
        <f>SUMIF('OD 12-24'!A:A,A210,'OD 12-24'!E:E)</f>
        <v>0</v>
      </c>
      <c r="H210" s="14">
        <f t="shared" si="8"/>
        <v>0</v>
      </c>
      <c r="I210" s="14">
        <f t="shared" si="9"/>
        <v>-1.9999593496322632E-4</v>
      </c>
      <c r="J210" s="8"/>
      <c r="K210" s="8"/>
      <c r="L210" s="9">
        <v>0</v>
      </c>
      <c r="M210" s="339"/>
      <c r="N210" s="315"/>
      <c r="O210" s="339"/>
      <c r="P210" s="339"/>
    </row>
    <row r="211" spans="1:16" s="9" customFormat="1" ht="11.25" hidden="1" customHeight="1" x14ac:dyDescent="0.2">
      <c r="A211" s="10">
        <v>58002000</v>
      </c>
      <c r="B211" s="10" t="s">
        <v>360</v>
      </c>
      <c r="C211" s="11">
        <v>0</v>
      </c>
      <c r="D211" s="11">
        <v>0</v>
      </c>
      <c r="E211" s="11">
        <v>0</v>
      </c>
      <c r="F211" s="13">
        <f>SUMIF('OD 12-24'!A:A,A211,'OD 12-24'!D:D)</f>
        <v>0</v>
      </c>
      <c r="G211" s="13">
        <f>SUMIF('OD 12-24'!A:A,A211,'OD 12-24'!E:E)</f>
        <v>0</v>
      </c>
      <c r="H211" s="14">
        <f t="shared" si="8"/>
        <v>0</v>
      </c>
      <c r="I211" s="14">
        <f t="shared" si="9"/>
        <v>0</v>
      </c>
      <c r="J211" s="8"/>
      <c r="K211" s="8"/>
      <c r="L211" s="9">
        <v>0</v>
      </c>
      <c r="M211" s="339"/>
      <c r="N211" s="315"/>
      <c r="O211" s="339"/>
      <c r="P211" s="339"/>
    </row>
    <row r="212" spans="1:16" s="9" customFormat="1" ht="11.25" hidden="1" customHeight="1" x14ac:dyDescent="0.2">
      <c r="A212" s="10">
        <v>58003000</v>
      </c>
      <c r="B212" s="10" t="s">
        <v>136</v>
      </c>
      <c r="C212" s="11">
        <v>1.0100007057189941E-4</v>
      </c>
      <c r="D212" s="11">
        <v>6831688.7229999993</v>
      </c>
      <c r="E212" s="11">
        <v>6831688.7229999993</v>
      </c>
      <c r="F212" s="13">
        <f>SUMIF('OD 12-24'!A:A,A212,'OD 12-24'!D:D)</f>
        <v>0</v>
      </c>
      <c r="G212" s="13">
        <f>SUMIF('OD 12-24'!A:A,A212,'OD 12-24'!E:E)</f>
        <v>0</v>
      </c>
      <c r="H212" s="14">
        <f t="shared" si="8"/>
        <v>0</v>
      </c>
      <c r="I212" s="14">
        <f t="shared" si="9"/>
        <v>1.0100007057189941E-4</v>
      </c>
      <c r="J212" s="8" t="s">
        <v>121</v>
      </c>
      <c r="K212" s="8"/>
      <c r="L212" s="9">
        <v>0</v>
      </c>
      <c r="M212" s="339"/>
      <c r="N212" s="315"/>
      <c r="O212" s="339"/>
      <c r="P212" s="339"/>
    </row>
    <row r="213" spans="1:16" s="9" customFormat="1" ht="11.25" hidden="1" customHeight="1" x14ac:dyDescent="0.2">
      <c r="A213" s="10">
        <v>58004000</v>
      </c>
      <c r="B213" s="10" t="s">
        <v>361</v>
      </c>
      <c r="C213" s="11">
        <v>0</v>
      </c>
      <c r="D213" s="11">
        <v>0</v>
      </c>
      <c r="E213" s="11">
        <v>0</v>
      </c>
      <c r="F213" s="13">
        <f>SUMIF('OD 12-24'!A:A,A213,'OD 12-24'!D:D)</f>
        <v>0</v>
      </c>
      <c r="G213" s="13">
        <f>SUMIF('OD 12-24'!A:A,A213,'OD 12-24'!E:E)</f>
        <v>0</v>
      </c>
      <c r="H213" s="14">
        <f t="shared" si="8"/>
        <v>0</v>
      </c>
      <c r="I213" s="14">
        <f t="shared" si="9"/>
        <v>0</v>
      </c>
      <c r="J213" s="8"/>
      <c r="K213" s="8"/>
      <c r="L213" s="9">
        <v>0</v>
      </c>
      <c r="M213" s="339"/>
      <c r="N213" s="315"/>
      <c r="O213" s="339"/>
      <c r="P213" s="339"/>
    </row>
    <row r="214" spans="1:16" s="9" customFormat="1" ht="11.25" hidden="1" x14ac:dyDescent="0.2">
      <c r="A214" s="10">
        <v>58005000</v>
      </c>
      <c r="B214" s="10" t="s">
        <v>362</v>
      </c>
      <c r="C214" s="11">
        <v>3.8483738899230957E-4</v>
      </c>
      <c r="D214" s="11">
        <v>35918562.542999998</v>
      </c>
      <c r="E214" s="11">
        <v>35918562.542999998</v>
      </c>
      <c r="F214" s="13">
        <f>SUMIF('OD 12-24'!A:A,A214,'OD 12-24'!D:D)</f>
        <v>0</v>
      </c>
      <c r="G214" s="13">
        <f>SUMIF('OD 12-24'!A:A,A214,'OD 12-24'!E:E)</f>
        <v>0</v>
      </c>
      <c r="H214" s="14">
        <f t="shared" si="8"/>
        <v>0</v>
      </c>
      <c r="I214" s="14">
        <f t="shared" si="9"/>
        <v>3.8483738899230957E-4</v>
      </c>
      <c r="J214" s="8" t="s">
        <v>121</v>
      </c>
      <c r="K214" s="8"/>
      <c r="L214" s="9">
        <v>0</v>
      </c>
      <c r="M214" s="339"/>
      <c r="N214" s="315"/>
      <c r="O214" s="339"/>
      <c r="P214" s="339"/>
    </row>
    <row r="215" spans="1:16" s="9" customFormat="1" ht="11.25" hidden="1" customHeight="1" x14ac:dyDescent="0.2">
      <c r="A215" s="10">
        <v>60110110</v>
      </c>
      <c r="B215" s="10" t="s">
        <v>403</v>
      </c>
      <c r="C215" s="11">
        <v>0</v>
      </c>
      <c r="D215" s="11">
        <v>1136780.078</v>
      </c>
      <c r="E215" s="11">
        <v>1136780.078</v>
      </c>
      <c r="F215" s="13">
        <f>SUMIF('OD 12-24'!A:A,A215,'OD 12-24'!D:D)</f>
        <v>5575661.7970000003</v>
      </c>
      <c r="G215" s="13">
        <f>SUMIF('OD 12-24'!A:A,A215,'OD 12-24'!E:E)</f>
        <v>4207008.9249999998</v>
      </c>
      <c r="H215" s="14">
        <f t="shared" si="8"/>
        <v>1368652.8720000004</v>
      </c>
      <c r="I215" s="14">
        <f t="shared" si="9"/>
        <v>1368652.8720000004</v>
      </c>
      <c r="J215" s="8" t="s">
        <v>138</v>
      </c>
      <c r="K215" s="8" t="s">
        <v>509</v>
      </c>
      <c r="L215" s="9">
        <v>0</v>
      </c>
      <c r="M215" s="339"/>
      <c r="N215" s="315"/>
      <c r="O215" s="339"/>
      <c r="P215" s="339"/>
    </row>
    <row r="216" spans="1:16" s="9" customFormat="1" ht="11.25" hidden="1" customHeight="1" x14ac:dyDescent="0.2">
      <c r="A216" s="10">
        <v>60110212</v>
      </c>
      <c r="B216" s="10" t="s">
        <v>7391</v>
      </c>
      <c r="C216" s="11">
        <v>0</v>
      </c>
      <c r="D216" s="11">
        <v>53512.599375000005</v>
      </c>
      <c r="E216" s="11">
        <v>0</v>
      </c>
      <c r="F216" s="13">
        <f>SUMIF('OD 12-24'!A:A,A216,'OD 12-24'!D:D)</f>
        <v>0</v>
      </c>
      <c r="G216" s="13">
        <f>SUMIF('OD 12-24'!A:A,A216,'OD 12-24'!E:E)</f>
        <v>0</v>
      </c>
      <c r="H216" s="14">
        <f t="shared" si="8"/>
        <v>53512.599375000005</v>
      </c>
      <c r="I216" s="14">
        <f t="shared" si="9"/>
        <v>53512.599375000005</v>
      </c>
      <c r="J216" s="8" t="s">
        <v>138</v>
      </c>
      <c r="K216" s="8" t="s">
        <v>509</v>
      </c>
      <c r="L216" s="9">
        <v>0</v>
      </c>
      <c r="M216" s="339"/>
      <c r="N216" s="315"/>
      <c r="O216" s="339"/>
      <c r="P216" s="339"/>
    </row>
    <row r="217" spans="1:16" s="9" customFormat="1" ht="11.25" hidden="1" customHeight="1" x14ac:dyDescent="0.2">
      <c r="A217" s="10">
        <v>60110210</v>
      </c>
      <c r="B217" s="10" t="s">
        <v>137</v>
      </c>
      <c r="C217" s="11">
        <v>0</v>
      </c>
      <c r="D217" s="11">
        <v>1817730.5291744999</v>
      </c>
      <c r="E217" s="11">
        <v>0</v>
      </c>
      <c r="F217" s="13">
        <f>SUMIF('OD 12-24'!A:A,A217,'OD 12-24'!D:D)</f>
        <v>0</v>
      </c>
      <c r="G217" s="13">
        <f>SUMIF('OD 12-24'!A:A,A217,'OD 12-24'!E:E)</f>
        <v>0</v>
      </c>
      <c r="H217" s="14">
        <f t="shared" si="8"/>
        <v>1817730.5291744999</v>
      </c>
      <c r="I217" s="14">
        <f t="shared" si="9"/>
        <v>1817730.5291744999</v>
      </c>
      <c r="J217" s="8" t="s">
        <v>138</v>
      </c>
      <c r="K217" s="8" t="s">
        <v>509</v>
      </c>
      <c r="L217" s="9">
        <v>0</v>
      </c>
      <c r="M217" s="339"/>
      <c r="N217" s="315"/>
      <c r="O217" s="339"/>
      <c r="P217" s="339"/>
    </row>
    <row r="218" spans="1:16" s="9" customFormat="1" ht="11.25" hidden="1" customHeight="1" x14ac:dyDescent="0.2">
      <c r="A218" s="10">
        <v>60110211</v>
      </c>
      <c r="B218" s="10" t="s">
        <v>363</v>
      </c>
      <c r="C218" s="11">
        <v>0</v>
      </c>
      <c r="D218" s="11">
        <v>340451.66981549992</v>
      </c>
      <c r="E218" s="11">
        <v>0</v>
      </c>
      <c r="F218" s="13">
        <f>SUMIF('OD 12-24'!A:A,A218,'OD 12-24'!D:D)</f>
        <v>0</v>
      </c>
      <c r="G218" s="13">
        <f>SUMIF('OD 12-24'!A:A,A218,'OD 12-24'!E:E)</f>
        <v>0</v>
      </c>
      <c r="H218" s="14">
        <f t="shared" si="8"/>
        <v>340451.66981549992</v>
      </c>
      <c r="I218" s="14">
        <f t="shared" si="9"/>
        <v>340451.66981549992</v>
      </c>
      <c r="J218" s="8" t="s">
        <v>138</v>
      </c>
      <c r="K218" s="8" t="s">
        <v>509</v>
      </c>
      <c r="L218" s="9">
        <v>0</v>
      </c>
      <c r="M218" s="339"/>
      <c r="N218" s="315"/>
      <c r="O218" s="339"/>
      <c r="P218" s="339"/>
    </row>
    <row r="219" spans="1:16" s="9" customFormat="1" ht="11.25" hidden="1" customHeight="1" x14ac:dyDescent="0.2">
      <c r="A219" s="10">
        <v>60110213</v>
      </c>
      <c r="B219" s="10" t="s">
        <v>364</v>
      </c>
      <c r="C219" s="11">
        <v>0</v>
      </c>
      <c r="D219" s="11">
        <v>5211.6000000000004</v>
      </c>
      <c r="E219" s="11">
        <v>0</v>
      </c>
      <c r="F219" s="13">
        <f>SUMIF('OD 12-24'!A:A,A219,'OD 12-24'!D:D)</f>
        <v>768</v>
      </c>
      <c r="G219" s="13">
        <f>SUMIF('OD 12-24'!A:A,A219,'OD 12-24'!E:E)</f>
        <v>768</v>
      </c>
      <c r="H219" s="14">
        <f t="shared" si="8"/>
        <v>5211.6000000000004</v>
      </c>
      <c r="I219" s="14">
        <f t="shared" si="9"/>
        <v>5211.6000000000004</v>
      </c>
      <c r="J219" s="8" t="s">
        <v>138</v>
      </c>
      <c r="K219" s="8" t="s">
        <v>509</v>
      </c>
      <c r="L219" s="9">
        <v>0</v>
      </c>
      <c r="M219" s="339"/>
      <c r="N219" s="315"/>
      <c r="O219" s="339"/>
      <c r="P219" s="339"/>
    </row>
    <row r="220" spans="1:16" s="9" customFormat="1" ht="11.25" hidden="1" customHeight="1" x14ac:dyDescent="0.2">
      <c r="A220" s="10">
        <v>60110220</v>
      </c>
      <c r="B220" s="10" t="s">
        <v>139</v>
      </c>
      <c r="C220" s="11">
        <v>0</v>
      </c>
      <c r="D220" s="11">
        <v>2441392.991159</v>
      </c>
      <c r="E220" s="11">
        <v>12546.76</v>
      </c>
      <c r="F220" s="13">
        <f>SUMIF('OD 12-24'!A:A,A220,'OD 12-24'!D:D)</f>
        <v>0</v>
      </c>
      <c r="G220" s="13">
        <f>SUMIF('OD 12-24'!A:A,A220,'OD 12-24'!E:E)</f>
        <v>0</v>
      </c>
      <c r="H220" s="14">
        <f t="shared" si="8"/>
        <v>2428846.2311590002</v>
      </c>
      <c r="I220" s="14">
        <f t="shared" si="9"/>
        <v>2428846.2311590002</v>
      </c>
      <c r="J220" s="8" t="s">
        <v>138</v>
      </c>
      <c r="K220" s="8" t="s">
        <v>509</v>
      </c>
      <c r="L220" s="9">
        <v>0</v>
      </c>
      <c r="M220" s="339"/>
      <c r="N220" s="315"/>
      <c r="O220" s="339"/>
      <c r="P220" s="339"/>
    </row>
    <row r="221" spans="1:16" s="9" customFormat="1" ht="11.25" hidden="1" customHeight="1" x14ac:dyDescent="0.2">
      <c r="A221" s="10">
        <v>60110230</v>
      </c>
      <c r="B221" s="10" t="s">
        <v>7566</v>
      </c>
      <c r="C221" s="11">
        <v>0</v>
      </c>
      <c r="D221" s="11">
        <v>146039.71567500001</v>
      </c>
      <c r="E221" s="11">
        <v>0</v>
      </c>
      <c r="F221" s="13">
        <f>SUMIF('OD 12-24'!A:A,A221,'OD 12-24'!D:D)</f>
        <v>0</v>
      </c>
      <c r="G221" s="13">
        <f>SUMIF('OD 12-24'!A:A,A221,'OD 12-24'!E:E)</f>
        <v>0</v>
      </c>
      <c r="H221" s="14">
        <f t="shared" si="8"/>
        <v>146039.71567500001</v>
      </c>
      <c r="I221" s="14">
        <f t="shared" si="9"/>
        <v>146039.71567500001</v>
      </c>
      <c r="J221" s="8" t="s">
        <v>138</v>
      </c>
      <c r="K221" s="8" t="s">
        <v>509</v>
      </c>
      <c r="L221" s="9" t="e">
        <v>#N/A</v>
      </c>
      <c r="M221" s="339"/>
      <c r="N221" s="315"/>
      <c r="O221" s="339"/>
      <c r="P221" s="339"/>
    </row>
    <row r="222" spans="1:16" s="9" customFormat="1" ht="11.25" hidden="1" customHeight="1" x14ac:dyDescent="0.2">
      <c r="A222" s="10">
        <v>60110300</v>
      </c>
      <c r="B222" s="10" t="s">
        <v>140</v>
      </c>
      <c r="C222" s="11">
        <v>0</v>
      </c>
      <c r="D222" s="11">
        <v>163055.4132365</v>
      </c>
      <c r="E222" s="11">
        <v>8655.491</v>
      </c>
      <c r="F222" s="13">
        <f>SUMIF('OD 12-24'!A:A,A222,'OD 12-24'!D:D)</f>
        <v>0</v>
      </c>
      <c r="G222" s="13">
        <f>SUMIF('OD 12-24'!A:A,A222,'OD 12-24'!E:E)</f>
        <v>0</v>
      </c>
      <c r="H222" s="14">
        <f t="shared" si="8"/>
        <v>154399.92223649999</v>
      </c>
      <c r="I222" s="14">
        <f t="shared" si="9"/>
        <v>154399.92223649999</v>
      </c>
      <c r="J222" s="8" t="s">
        <v>138</v>
      </c>
      <c r="K222" s="8" t="s">
        <v>509</v>
      </c>
      <c r="L222" s="9">
        <v>0</v>
      </c>
      <c r="M222" s="339"/>
      <c r="N222" s="315"/>
      <c r="O222" s="339"/>
      <c r="P222" s="339"/>
    </row>
    <row r="223" spans="1:16" s="9" customFormat="1" ht="11.25" hidden="1" customHeight="1" x14ac:dyDescent="0.2">
      <c r="A223" s="10">
        <v>60110310</v>
      </c>
      <c r="B223" s="10" t="s">
        <v>141</v>
      </c>
      <c r="C223" s="11">
        <v>0</v>
      </c>
      <c r="D223" s="11">
        <v>112836.94499999999</v>
      </c>
      <c r="E223" s="11">
        <v>0</v>
      </c>
      <c r="F223" s="13">
        <f>SUMIF('OD 12-24'!A:A,A223,'OD 12-24'!D:D)</f>
        <v>0</v>
      </c>
      <c r="G223" s="13">
        <f>SUMIF('OD 12-24'!A:A,A223,'OD 12-24'!E:E)</f>
        <v>0</v>
      </c>
      <c r="H223" s="14">
        <f t="shared" si="8"/>
        <v>112836.94499999999</v>
      </c>
      <c r="I223" s="14">
        <f t="shared" si="9"/>
        <v>112836.94499999999</v>
      </c>
      <c r="J223" s="8" t="s">
        <v>138</v>
      </c>
      <c r="K223" s="8" t="s">
        <v>509</v>
      </c>
      <c r="L223" s="9">
        <v>0</v>
      </c>
      <c r="M223" s="339"/>
      <c r="N223" s="315"/>
      <c r="O223" s="339"/>
      <c r="P223" s="339"/>
    </row>
    <row r="224" spans="1:16" s="9" customFormat="1" ht="11.25" hidden="1" customHeight="1" x14ac:dyDescent="0.2">
      <c r="A224" s="10">
        <v>60110320</v>
      </c>
      <c r="B224" s="10" t="s">
        <v>142</v>
      </c>
      <c r="C224" s="11">
        <v>0</v>
      </c>
      <c r="D224" s="11">
        <v>48796.065893000006</v>
      </c>
      <c r="E224" s="11">
        <v>0</v>
      </c>
      <c r="F224" s="13">
        <f>SUMIF('OD 12-24'!A:A,A224,'OD 12-24'!D:D)</f>
        <v>0</v>
      </c>
      <c r="G224" s="13">
        <f>SUMIF('OD 12-24'!A:A,A224,'OD 12-24'!E:E)</f>
        <v>0</v>
      </c>
      <c r="H224" s="14">
        <f t="shared" si="8"/>
        <v>48796.065893000006</v>
      </c>
      <c r="I224" s="14">
        <f t="shared" si="9"/>
        <v>48796.065893000006</v>
      </c>
      <c r="J224" s="8" t="s">
        <v>138</v>
      </c>
      <c r="K224" s="8" t="s">
        <v>509</v>
      </c>
      <c r="L224" s="9">
        <v>0</v>
      </c>
      <c r="M224" s="339"/>
      <c r="N224" s="315"/>
      <c r="O224" s="339"/>
      <c r="P224" s="339"/>
    </row>
    <row r="225" spans="1:16" s="9" customFormat="1" ht="11.25" hidden="1" customHeight="1" x14ac:dyDescent="0.2">
      <c r="A225" s="10">
        <v>60110330</v>
      </c>
      <c r="B225" s="10" t="s">
        <v>143</v>
      </c>
      <c r="C225" s="11">
        <v>0</v>
      </c>
      <c r="D225" s="11">
        <v>59014.785230000001</v>
      </c>
      <c r="E225" s="11">
        <v>0</v>
      </c>
      <c r="F225" s="13">
        <f>SUMIF('OD 12-24'!A:A,A225,'OD 12-24'!D:D)</f>
        <v>0</v>
      </c>
      <c r="G225" s="13">
        <f>SUMIF('OD 12-24'!A:A,A225,'OD 12-24'!E:E)</f>
        <v>0</v>
      </c>
      <c r="H225" s="14">
        <f t="shared" si="8"/>
        <v>59014.785230000001</v>
      </c>
      <c r="I225" s="14">
        <f t="shared" si="9"/>
        <v>59014.785230000001</v>
      </c>
      <c r="J225" s="8" t="s">
        <v>138</v>
      </c>
      <c r="K225" s="8" t="s">
        <v>509</v>
      </c>
      <c r="L225" s="9">
        <v>0</v>
      </c>
      <c r="M225" s="339"/>
      <c r="N225" s="315"/>
      <c r="O225" s="339"/>
      <c r="P225" s="339"/>
    </row>
    <row r="226" spans="1:16" s="9" customFormat="1" ht="11.25" hidden="1" customHeight="1" x14ac:dyDescent="0.2">
      <c r="A226" s="10">
        <v>60110350</v>
      </c>
      <c r="B226" s="10" t="s">
        <v>261</v>
      </c>
      <c r="C226" s="11">
        <v>0</v>
      </c>
      <c r="D226" s="11">
        <v>847.95</v>
      </c>
      <c r="E226" s="11">
        <v>0.17100000000000001</v>
      </c>
      <c r="F226" s="13">
        <f>SUMIF('OD 12-24'!A:A,A226,'OD 12-24'!D:D)</f>
        <v>0</v>
      </c>
      <c r="G226" s="13">
        <f>SUMIF('OD 12-24'!A:A,A226,'OD 12-24'!E:E)</f>
        <v>0</v>
      </c>
      <c r="H226" s="14">
        <f t="shared" si="8"/>
        <v>847.779</v>
      </c>
      <c r="I226" s="14">
        <f t="shared" si="9"/>
        <v>847.779</v>
      </c>
      <c r="J226" s="8" t="s">
        <v>138</v>
      </c>
      <c r="K226" s="8" t="s">
        <v>509</v>
      </c>
      <c r="L226" s="9">
        <v>0</v>
      </c>
      <c r="M226" s="339"/>
      <c r="N226" s="315"/>
      <c r="O226" s="339"/>
      <c r="P226" s="339"/>
    </row>
    <row r="227" spans="1:16" s="9" customFormat="1" ht="11.25" hidden="1" customHeight="1" x14ac:dyDescent="0.2">
      <c r="A227" s="10">
        <v>60110500</v>
      </c>
      <c r="B227" s="10" t="s">
        <v>144</v>
      </c>
      <c r="C227" s="11">
        <v>0</v>
      </c>
      <c r="D227" s="11">
        <v>17143.769</v>
      </c>
      <c r="E227" s="11">
        <v>0.37</v>
      </c>
      <c r="F227" s="13">
        <f>SUMIF('OD 12-24'!A:A,A227,'OD 12-24'!D:D)</f>
        <v>7502.2709999999997</v>
      </c>
      <c r="G227" s="13">
        <f>SUMIF('OD 12-24'!A:A,A227,'OD 12-24'!E:E)</f>
        <v>7502.2709999999997</v>
      </c>
      <c r="H227" s="14">
        <f t="shared" si="8"/>
        <v>17143.399000000001</v>
      </c>
      <c r="I227" s="14">
        <f t="shared" si="9"/>
        <v>17143.399000000001</v>
      </c>
      <c r="J227" s="8" t="s">
        <v>138</v>
      </c>
      <c r="K227" s="8" t="s">
        <v>509</v>
      </c>
      <c r="L227" s="9">
        <v>0</v>
      </c>
      <c r="M227" s="339"/>
      <c r="N227" s="315"/>
      <c r="O227" s="339"/>
      <c r="P227" s="339"/>
    </row>
    <row r="228" spans="1:16" s="9" customFormat="1" ht="11.25" hidden="1" customHeight="1" x14ac:dyDescent="0.2">
      <c r="A228" s="10">
        <v>60110600</v>
      </c>
      <c r="B228" s="10" t="s">
        <v>145</v>
      </c>
      <c r="C228" s="11">
        <v>0</v>
      </c>
      <c r="D228" s="11">
        <v>53066.182999999997</v>
      </c>
      <c r="E228" s="11">
        <v>3.4999999999999996E-2</v>
      </c>
      <c r="F228" s="13">
        <f>SUMIF('OD 12-24'!A:A,A228,'OD 12-24'!D:D)</f>
        <v>0</v>
      </c>
      <c r="G228" s="13">
        <f>SUMIF('OD 12-24'!A:A,A228,'OD 12-24'!E:E)</f>
        <v>0</v>
      </c>
      <c r="H228" s="14">
        <f t="shared" si="8"/>
        <v>53066.147999999994</v>
      </c>
      <c r="I228" s="14">
        <f t="shared" si="9"/>
        <v>53066.147999999994</v>
      </c>
      <c r="J228" s="8" t="s">
        <v>138</v>
      </c>
      <c r="K228" s="8" t="s">
        <v>509</v>
      </c>
      <c r="L228" s="9">
        <v>0</v>
      </c>
      <c r="M228" s="339"/>
      <c r="N228" s="315"/>
      <c r="O228" s="339"/>
      <c r="P228" s="339"/>
    </row>
    <row r="229" spans="1:16" s="9" customFormat="1" ht="11.25" hidden="1" customHeight="1" x14ac:dyDescent="0.2">
      <c r="A229" s="10">
        <v>60110700</v>
      </c>
      <c r="B229" s="10" t="s">
        <v>146</v>
      </c>
      <c r="C229" s="11">
        <v>0</v>
      </c>
      <c r="D229" s="11">
        <v>2426.8620000000001</v>
      </c>
      <c r="E229" s="11">
        <v>0</v>
      </c>
      <c r="F229" s="13">
        <f>SUMIF('OD 12-24'!A:A,A229,'OD 12-24'!D:D)</f>
        <v>0</v>
      </c>
      <c r="G229" s="13">
        <f>SUMIF('OD 12-24'!A:A,A229,'OD 12-24'!E:E)</f>
        <v>0</v>
      </c>
      <c r="H229" s="14">
        <f t="shared" si="8"/>
        <v>2426.8620000000001</v>
      </c>
      <c r="I229" s="14">
        <f t="shared" si="9"/>
        <v>2426.8620000000001</v>
      </c>
      <c r="J229" s="8" t="s">
        <v>138</v>
      </c>
      <c r="K229" s="8" t="s">
        <v>509</v>
      </c>
      <c r="L229" s="9">
        <v>0</v>
      </c>
      <c r="M229" s="339"/>
      <c r="N229" s="315"/>
      <c r="O229" s="339"/>
      <c r="P229" s="339"/>
    </row>
    <row r="230" spans="1:16" s="9" customFormat="1" ht="11.25" hidden="1" customHeight="1" x14ac:dyDescent="0.2">
      <c r="A230" s="10">
        <v>60110900</v>
      </c>
      <c r="B230" s="10" t="s">
        <v>147</v>
      </c>
      <c r="C230" s="11">
        <v>0</v>
      </c>
      <c r="D230" s="11">
        <v>563737.69500000007</v>
      </c>
      <c r="E230" s="11">
        <v>808</v>
      </c>
      <c r="F230" s="13">
        <f>SUMIF('OD 12-24'!A:A,A230,'OD 12-24'!D:D)</f>
        <v>219792.07699999999</v>
      </c>
      <c r="G230" s="13">
        <f>SUMIF('OD 12-24'!A:A,A230,'OD 12-24'!E:E)</f>
        <v>219792.07699999999</v>
      </c>
      <c r="H230" s="14">
        <f t="shared" si="8"/>
        <v>562929.69500000007</v>
      </c>
      <c r="I230" s="14">
        <f t="shared" si="9"/>
        <v>562929.69500000007</v>
      </c>
      <c r="J230" s="8" t="s">
        <v>138</v>
      </c>
      <c r="K230" s="8" t="s">
        <v>509</v>
      </c>
      <c r="L230" s="9">
        <v>0</v>
      </c>
      <c r="M230" s="339"/>
      <c r="N230" s="315"/>
      <c r="O230" s="339"/>
      <c r="P230" s="339"/>
    </row>
    <row r="231" spans="1:16" s="9" customFormat="1" ht="11.25" hidden="1" customHeight="1" x14ac:dyDescent="0.2">
      <c r="A231" s="10">
        <v>60111000</v>
      </c>
      <c r="B231" s="10" t="s">
        <v>148</v>
      </c>
      <c r="C231" s="11">
        <v>0</v>
      </c>
      <c r="D231" s="11">
        <v>606</v>
      </c>
      <c r="E231" s="11">
        <v>0</v>
      </c>
      <c r="F231" s="13">
        <f>SUMIF('OD 12-24'!A:A,A231,'OD 12-24'!D:D)</f>
        <v>0</v>
      </c>
      <c r="G231" s="13">
        <f>SUMIF('OD 12-24'!A:A,A231,'OD 12-24'!E:E)</f>
        <v>0</v>
      </c>
      <c r="H231" s="14">
        <f t="shared" si="8"/>
        <v>606</v>
      </c>
      <c r="I231" s="14">
        <f t="shared" si="9"/>
        <v>606</v>
      </c>
      <c r="J231" s="8" t="s">
        <v>138</v>
      </c>
      <c r="K231" s="8" t="s">
        <v>509</v>
      </c>
      <c r="L231" s="9">
        <v>0</v>
      </c>
      <c r="M231" s="339"/>
      <c r="N231" s="315"/>
      <c r="O231" s="339"/>
      <c r="P231" s="339"/>
    </row>
    <row r="232" spans="1:16" s="9" customFormat="1" ht="11.25" hidden="1" customHeight="1" x14ac:dyDescent="0.2">
      <c r="A232" s="10">
        <v>60111010</v>
      </c>
      <c r="B232" s="10" t="s">
        <v>393</v>
      </c>
      <c r="C232" s="11">
        <v>0</v>
      </c>
      <c r="D232" s="11">
        <v>6262</v>
      </c>
      <c r="E232" s="11">
        <v>0</v>
      </c>
      <c r="F232" s="13">
        <f>SUMIF('OD 12-24'!A:A,A232,'OD 12-24'!D:D)</f>
        <v>0</v>
      </c>
      <c r="G232" s="13">
        <f>SUMIF('OD 12-24'!A:A,A232,'OD 12-24'!E:E)</f>
        <v>0</v>
      </c>
      <c r="H232" s="14">
        <f t="shared" si="8"/>
        <v>6262</v>
      </c>
      <c r="I232" s="14">
        <f t="shared" si="9"/>
        <v>6262</v>
      </c>
      <c r="J232" s="8" t="s">
        <v>138</v>
      </c>
      <c r="K232" s="8" t="s">
        <v>509</v>
      </c>
      <c r="L232" s="9">
        <v>0</v>
      </c>
      <c r="M232" s="339"/>
      <c r="N232" s="315"/>
      <c r="O232" s="339"/>
      <c r="P232" s="339"/>
    </row>
    <row r="233" spans="1:16" s="9" customFormat="1" ht="11.25" hidden="1" customHeight="1" x14ac:dyDescent="0.2">
      <c r="A233" s="10">
        <v>60120100</v>
      </c>
      <c r="B233" s="10" t="s">
        <v>149</v>
      </c>
      <c r="C233" s="11">
        <v>0</v>
      </c>
      <c r="D233" s="11">
        <v>1568948.7097289998</v>
      </c>
      <c r="E233" s="11">
        <v>9063.0944025000008</v>
      </c>
      <c r="F233" s="13">
        <f>SUMIF('OD 12-24'!A:A,A233,'OD 12-24'!D:D)</f>
        <v>0</v>
      </c>
      <c r="G233" s="13">
        <f>SUMIF('OD 12-24'!A:A,A233,'OD 12-24'!E:E)</f>
        <v>0</v>
      </c>
      <c r="H233" s="14">
        <f t="shared" si="8"/>
        <v>1559885.6153264998</v>
      </c>
      <c r="I233" s="14">
        <f t="shared" si="9"/>
        <v>1559885.6153264998</v>
      </c>
      <c r="J233" s="8" t="s">
        <v>138</v>
      </c>
      <c r="K233" s="8" t="s">
        <v>509</v>
      </c>
      <c r="L233" s="9">
        <v>0</v>
      </c>
      <c r="M233" s="339"/>
      <c r="N233" s="315"/>
      <c r="O233" s="339"/>
      <c r="P233" s="339"/>
    </row>
    <row r="234" spans="1:16" s="9" customFormat="1" ht="11.25" hidden="1" customHeight="1" x14ac:dyDescent="0.2">
      <c r="A234" s="10">
        <v>60120200</v>
      </c>
      <c r="B234" s="10" t="s">
        <v>8977</v>
      </c>
      <c r="C234" s="11">
        <v>0</v>
      </c>
      <c r="D234" s="11">
        <v>492</v>
      </c>
      <c r="E234" s="11">
        <v>0</v>
      </c>
      <c r="F234" s="13">
        <f>SUMIF('OD 12-24'!A:A,A234,'OD 12-24'!D:D)</f>
        <v>492</v>
      </c>
      <c r="G234" s="13">
        <f>SUMIF('OD 12-24'!A:A,A234,'OD 12-24'!E:E)</f>
        <v>492</v>
      </c>
      <c r="H234" s="14">
        <f t="shared" ref="H234" si="10">+D234+F234-E234-G234</f>
        <v>492</v>
      </c>
      <c r="I234" s="14">
        <f t="shared" ref="I234" si="11">+H234+C234</f>
        <v>492</v>
      </c>
      <c r="J234" s="8" t="s">
        <v>138</v>
      </c>
      <c r="K234" s="8" t="s">
        <v>509</v>
      </c>
      <c r="L234" s="9" t="e">
        <v>#N/A</v>
      </c>
      <c r="M234" s="339"/>
      <c r="N234" s="315"/>
      <c r="O234" s="339"/>
      <c r="P234" s="339"/>
    </row>
    <row r="235" spans="1:16" s="9" customFormat="1" ht="11.25" hidden="1" customHeight="1" x14ac:dyDescent="0.2">
      <c r="A235" s="10">
        <v>60120300</v>
      </c>
      <c r="B235" s="10" t="s">
        <v>150</v>
      </c>
      <c r="C235" s="11">
        <v>0</v>
      </c>
      <c r="D235" s="11">
        <v>6273496.8429999994</v>
      </c>
      <c r="E235" s="11">
        <v>72828.75</v>
      </c>
      <c r="F235" s="13">
        <f>SUMIF('OD 12-24'!A:A,A235,'OD 12-24'!D:D)</f>
        <v>476925.11</v>
      </c>
      <c r="G235" s="13">
        <f>SUMIF('OD 12-24'!A:A,A235,'OD 12-24'!E:E)</f>
        <v>476925.11</v>
      </c>
      <c r="H235" s="14">
        <f t="shared" si="8"/>
        <v>6200668.0929999994</v>
      </c>
      <c r="I235" s="14">
        <f t="shared" si="9"/>
        <v>6200668.0929999994</v>
      </c>
      <c r="J235" s="8" t="s">
        <v>138</v>
      </c>
      <c r="K235" s="8" t="s">
        <v>509</v>
      </c>
      <c r="L235" s="9">
        <v>0</v>
      </c>
      <c r="M235" s="339"/>
      <c r="N235" s="315"/>
      <c r="O235" s="339"/>
      <c r="P235" s="339"/>
    </row>
    <row r="236" spans="1:16" s="9" customFormat="1" ht="11.25" hidden="1" customHeight="1" x14ac:dyDescent="0.2">
      <c r="A236" s="10">
        <v>60120400</v>
      </c>
      <c r="B236" s="10" t="s">
        <v>365</v>
      </c>
      <c r="C236" s="11">
        <v>0</v>
      </c>
      <c r="D236" s="11">
        <v>5951939.358</v>
      </c>
      <c r="E236" s="11">
        <v>0</v>
      </c>
      <c r="F236" s="13">
        <f>SUMIF('OD 12-24'!A:A,A236,'OD 12-24'!D:D)</f>
        <v>170767.3</v>
      </c>
      <c r="G236" s="13">
        <f>SUMIF('OD 12-24'!A:A,A236,'OD 12-24'!E:E)</f>
        <v>332101.09000000003</v>
      </c>
      <c r="H236" s="14">
        <f t="shared" si="8"/>
        <v>5790605.568</v>
      </c>
      <c r="I236" s="14">
        <f t="shared" si="9"/>
        <v>5790605.568</v>
      </c>
      <c r="J236" s="8" t="s">
        <v>138</v>
      </c>
      <c r="K236" s="8" t="s">
        <v>509</v>
      </c>
      <c r="L236" s="9">
        <v>0</v>
      </c>
      <c r="M236" s="339"/>
      <c r="N236" s="315"/>
      <c r="O236" s="339"/>
      <c r="P236" s="339"/>
    </row>
    <row r="237" spans="1:16" s="9" customFormat="1" ht="11.25" hidden="1" customHeight="1" x14ac:dyDescent="0.2">
      <c r="A237" s="10">
        <v>60120800</v>
      </c>
      <c r="B237" s="10" t="s">
        <v>151</v>
      </c>
      <c r="C237" s="11">
        <v>0</v>
      </c>
      <c r="D237" s="11">
        <v>1264620.6879</v>
      </c>
      <c r="E237" s="11">
        <v>0</v>
      </c>
      <c r="F237" s="13">
        <f>SUMIF('OD 12-24'!A:A,A237,'OD 12-24'!D:D)</f>
        <v>322696</v>
      </c>
      <c r="G237" s="13">
        <f>SUMIF('OD 12-24'!A:A,A237,'OD 12-24'!E:E)</f>
        <v>145607</v>
      </c>
      <c r="H237" s="14">
        <f t="shared" si="8"/>
        <v>1441709.6879</v>
      </c>
      <c r="I237" s="14">
        <f t="shared" si="9"/>
        <v>1441709.6879</v>
      </c>
      <c r="J237" s="8" t="s">
        <v>138</v>
      </c>
      <c r="K237" s="8" t="s">
        <v>509</v>
      </c>
      <c r="L237" s="9">
        <v>0</v>
      </c>
      <c r="M237" s="339"/>
      <c r="N237" s="315"/>
      <c r="O237" s="339"/>
      <c r="P237" s="339"/>
    </row>
    <row r="238" spans="1:16" s="9" customFormat="1" ht="11.25" hidden="1" customHeight="1" x14ac:dyDescent="0.2">
      <c r="A238" s="10">
        <v>60120900</v>
      </c>
      <c r="B238" s="10" t="s">
        <v>7393</v>
      </c>
      <c r="C238" s="11">
        <v>0</v>
      </c>
      <c r="D238" s="11">
        <v>995103.48910499993</v>
      </c>
      <c r="E238" s="11">
        <v>0</v>
      </c>
      <c r="F238" s="13">
        <f>SUMIF('OD 12-24'!A:A,A238,'OD 12-24'!D:D)</f>
        <v>0</v>
      </c>
      <c r="G238" s="13">
        <f>SUMIF('OD 12-24'!A:A,A238,'OD 12-24'!E:E)</f>
        <v>0</v>
      </c>
      <c r="H238" s="14">
        <f t="shared" si="8"/>
        <v>995103.48910499993</v>
      </c>
      <c r="I238" s="14">
        <f t="shared" si="9"/>
        <v>995103.48910499993</v>
      </c>
      <c r="J238" s="8" t="s">
        <v>138</v>
      </c>
      <c r="K238" s="8" t="s">
        <v>509</v>
      </c>
      <c r="L238" s="9">
        <v>0</v>
      </c>
      <c r="M238" s="339"/>
      <c r="N238" s="315"/>
      <c r="O238" s="339"/>
      <c r="P238" s="339"/>
    </row>
    <row r="239" spans="1:16" s="9" customFormat="1" ht="11.25" hidden="1" customHeight="1" x14ac:dyDescent="0.2">
      <c r="A239" s="10">
        <v>60121010</v>
      </c>
      <c r="B239" s="10" t="s">
        <v>152</v>
      </c>
      <c r="C239" s="11">
        <v>0</v>
      </c>
      <c r="D239" s="11">
        <v>30038610.275917005</v>
      </c>
      <c r="E239" s="11">
        <v>1121330.9544960002</v>
      </c>
      <c r="F239" s="13">
        <f>SUMIF('OD 12-24'!A:A,A239,'OD 12-24'!D:D)</f>
        <v>0</v>
      </c>
      <c r="G239" s="13">
        <f>SUMIF('OD 12-24'!A:A,A239,'OD 12-24'!E:E)</f>
        <v>0</v>
      </c>
      <c r="H239" s="14">
        <f t="shared" si="8"/>
        <v>28917279.321421005</v>
      </c>
      <c r="I239" s="14">
        <f t="shared" si="9"/>
        <v>28917279.321421005</v>
      </c>
      <c r="J239" s="8" t="s">
        <v>138</v>
      </c>
      <c r="K239" s="8" t="s">
        <v>509</v>
      </c>
      <c r="L239" s="9">
        <v>0</v>
      </c>
      <c r="M239" s="339"/>
      <c r="N239" s="315"/>
      <c r="O239" s="339"/>
      <c r="P239" s="339"/>
    </row>
    <row r="240" spans="1:16" s="9" customFormat="1" ht="11.25" hidden="1" customHeight="1" x14ac:dyDescent="0.2">
      <c r="A240" s="10">
        <v>60121020</v>
      </c>
      <c r="B240" s="10" t="s">
        <v>153</v>
      </c>
      <c r="C240" s="11">
        <v>0</v>
      </c>
      <c r="D240" s="11">
        <v>4664</v>
      </c>
      <c r="E240" s="11">
        <v>4664</v>
      </c>
      <c r="F240" s="13">
        <f>SUMIF('OD 12-24'!A:A,A240,'OD 12-24'!D:D)</f>
        <v>0</v>
      </c>
      <c r="G240" s="13">
        <f>SUMIF('OD 12-24'!A:A,A240,'OD 12-24'!E:E)</f>
        <v>0</v>
      </c>
      <c r="H240" s="14">
        <f t="shared" si="8"/>
        <v>0</v>
      </c>
      <c r="I240" s="14">
        <f t="shared" si="9"/>
        <v>0</v>
      </c>
      <c r="J240" s="8" t="s">
        <v>138</v>
      </c>
      <c r="K240" s="8" t="s">
        <v>509</v>
      </c>
      <c r="L240" s="9" t="e">
        <v>#N/A</v>
      </c>
      <c r="M240" s="339"/>
      <c r="N240" s="315"/>
      <c r="O240" s="339"/>
      <c r="P240" s="339"/>
    </row>
    <row r="241" spans="1:16" s="9" customFormat="1" ht="11.25" hidden="1" customHeight="1" x14ac:dyDescent="0.2">
      <c r="A241" s="10">
        <v>60121031</v>
      </c>
      <c r="B241" s="10" t="s">
        <v>394</v>
      </c>
      <c r="C241" s="11">
        <v>0</v>
      </c>
      <c r="D241" s="11">
        <v>171625.31027000002</v>
      </c>
      <c r="E241" s="11">
        <v>0</v>
      </c>
      <c r="F241" s="13">
        <f>SUMIF('OD 12-24'!A:A,A241,'OD 12-24'!D:D)</f>
        <v>0</v>
      </c>
      <c r="G241" s="13">
        <f>SUMIF('OD 12-24'!A:A,A241,'OD 12-24'!E:E)</f>
        <v>0</v>
      </c>
      <c r="H241" s="14">
        <f t="shared" ref="H241:H244" si="12">+D241+F241-E241-G241</f>
        <v>171625.31027000002</v>
      </c>
      <c r="I241" s="14">
        <f t="shared" ref="I241:I244" si="13">+H241+C241</f>
        <v>171625.31027000002</v>
      </c>
      <c r="J241" s="8" t="s">
        <v>138</v>
      </c>
      <c r="K241" s="8" t="s">
        <v>509</v>
      </c>
      <c r="L241" s="9">
        <v>0</v>
      </c>
      <c r="M241" s="339"/>
      <c r="N241" s="315"/>
      <c r="O241" s="339"/>
      <c r="P241" s="339"/>
    </row>
    <row r="242" spans="1:16" s="9" customFormat="1" ht="11.25" hidden="1" customHeight="1" x14ac:dyDescent="0.2">
      <c r="A242" s="10">
        <v>60121032</v>
      </c>
      <c r="B242" s="10" t="s">
        <v>8973</v>
      </c>
      <c r="C242" s="11">
        <v>0</v>
      </c>
      <c r="D242" s="11">
        <v>10482.185000000001</v>
      </c>
      <c r="E242" s="11">
        <v>0</v>
      </c>
      <c r="F242" s="13">
        <f>SUMIF('OD 12-24'!A:A,A242,'OD 12-24'!D:D)</f>
        <v>0</v>
      </c>
      <c r="G242" s="13">
        <f>SUMIF('OD 12-24'!A:A,A242,'OD 12-24'!E:E)</f>
        <v>0</v>
      </c>
      <c r="H242" s="14">
        <f t="shared" si="12"/>
        <v>10482.185000000001</v>
      </c>
      <c r="I242" s="14">
        <f t="shared" si="13"/>
        <v>10482.185000000001</v>
      </c>
      <c r="J242" s="8" t="s">
        <v>138</v>
      </c>
      <c r="K242" s="8" t="s">
        <v>509</v>
      </c>
      <c r="L242" s="9">
        <v>0</v>
      </c>
      <c r="M242" s="339"/>
      <c r="N242" s="315"/>
      <c r="O242" s="339"/>
      <c r="P242" s="339"/>
    </row>
    <row r="243" spans="1:16" s="9" customFormat="1" ht="11.25" hidden="1" customHeight="1" x14ac:dyDescent="0.2">
      <c r="A243" s="10">
        <v>60121033</v>
      </c>
      <c r="B243" s="10" t="s">
        <v>7718</v>
      </c>
      <c r="C243" s="11">
        <v>0</v>
      </c>
      <c r="D243" s="11">
        <v>14927.626999999999</v>
      </c>
      <c r="E243" s="11">
        <v>0</v>
      </c>
      <c r="F243" s="13">
        <f>SUMIF('OD 12-24'!A:A,A243,'OD 12-24'!D:D)</f>
        <v>0</v>
      </c>
      <c r="G243" s="13">
        <f>SUMIF('OD 12-24'!A:A,A243,'OD 12-24'!E:E)</f>
        <v>0</v>
      </c>
      <c r="H243" s="14">
        <f t="shared" si="12"/>
        <v>14927.626999999999</v>
      </c>
      <c r="I243" s="14">
        <f t="shared" si="13"/>
        <v>14927.626999999999</v>
      </c>
      <c r="J243" s="8" t="s">
        <v>138</v>
      </c>
      <c r="K243" s="8" t="s">
        <v>509</v>
      </c>
      <c r="L243" s="9">
        <v>0</v>
      </c>
      <c r="M243" s="339"/>
      <c r="N243" s="315"/>
      <c r="O243" s="339"/>
      <c r="P243" s="339"/>
    </row>
    <row r="244" spans="1:16" s="9" customFormat="1" ht="11.25" hidden="1" customHeight="1" x14ac:dyDescent="0.2">
      <c r="A244" s="10">
        <v>60121035</v>
      </c>
      <c r="B244" s="10" t="s">
        <v>395</v>
      </c>
      <c r="C244" s="11">
        <v>0</v>
      </c>
      <c r="D244" s="11">
        <v>3633.8550000000005</v>
      </c>
      <c r="E244" s="11">
        <v>0</v>
      </c>
      <c r="F244" s="13">
        <f>SUMIF('OD 12-24'!A:A,A244,'OD 12-24'!D:D)</f>
        <v>0</v>
      </c>
      <c r="G244" s="13">
        <f>SUMIF('OD 12-24'!A:A,A244,'OD 12-24'!E:E)</f>
        <v>0</v>
      </c>
      <c r="H244" s="14">
        <f t="shared" si="12"/>
        <v>3633.8550000000005</v>
      </c>
      <c r="I244" s="14">
        <f t="shared" si="13"/>
        <v>3633.8550000000005</v>
      </c>
      <c r="J244" s="8" t="s">
        <v>138</v>
      </c>
      <c r="K244" s="8" t="s">
        <v>509</v>
      </c>
      <c r="L244" s="9">
        <v>0</v>
      </c>
      <c r="M244" s="339"/>
      <c r="N244" s="315"/>
      <c r="O244" s="339"/>
      <c r="P244" s="339"/>
    </row>
    <row r="245" spans="1:16" s="9" customFormat="1" ht="11.25" hidden="1" customHeight="1" x14ac:dyDescent="0.2">
      <c r="A245" s="10">
        <v>60121040</v>
      </c>
      <c r="B245" s="10" t="s">
        <v>7720</v>
      </c>
      <c r="C245" s="11">
        <v>0</v>
      </c>
      <c r="D245" s="11">
        <v>2058.75</v>
      </c>
      <c r="E245" s="11">
        <v>0</v>
      </c>
      <c r="F245" s="13">
        <f>SUMIF('OD 12-24'!A:A,A245,'OD 12-24'!D:D)</f>
        <v>0</v>
      </c>
      <c r="G245" s="13">
        <f>SUMIF('OD 12-24'!A:A,A245,'OD 12-24'!E:E)</f>
        <v>0</v>
      </c>
      <c r="H245" s="14">
        <f t="shared" si="8"/>
        <v>2058.75</v>
      </c>
      <c r="I245" s="14">
        <f t="shared" si="9"/>
        <v>2058.75</v>
      </c>
      <c r="J245" s="8" t="s">
        <v>138</v>
      </c>
      <c r="K245" s="8" t="s">
        <v>509</v>
      </c>
      <c r="L245" s="9">
        <v>0</v>
      </c>
      <c r="M245" s="339"/>
      <c r="N245" s="315"/>
      <c r="O245" s="339"/>
      <c r="P245" s="339"/>
    </row>
    <row r="246" spans="1:16" s="9" customFormat="1" ht="11.25" hidden="1" customHeight="1" x14ac:dyDescent="0.2">
      <c r="A246" s="10">
        <v>60121210</v>
      </c>
      <c r="B246" s="10" t="s">
        <v>7400</v>
      </c>
      <c r="C246" s="11">
        <v>0</v>
      </c>
      <c r="D246" s="11">
        <v>256175.3552735</v>
      </c>
      <c r="E246" s="11">
        <v>0</v>
      </c>
      <c r="F246" s="13">
        <f>SUMIF('OD 12-24'!A:A,A246,'OD 12-24'!D:D)</f>
        <v>0</v>
      </c>
      <c r="G246" s="13">
        <f>SUMIF('OD 12-24'!A:A,A246,'OD 12-24'!E:E)</f>
        <v>0</v>
      </c>
      <c r="H246" s="14">
        <f t="shared" si="8"/>
        <v>256175.3552735</v>
      </c>
      <c r="I246" s="14">
        <f t="shared" si="9"/>
        <v>256175.3552735</v>
      </c>
      <c r="J246" s="8" t="s">
        <v>138</v>
      </c>
      <c r="K246" s="8" t="s">
        <v>509</v>
      </c>
      <c r="L246" s="9">
        <v>0</v>
      </c>
      <c r="M246" s="339"/>
      <c r="N246" s="315"/>
      <c r="O246" s="339"/>
      <c r="P246" s="339"/>
    </row>
    <row r="247" spans="1:16" s="9" customFormat="1" ht="11.25" hidden="1" customHeight="1" x14ac:dyDescent="0.2">
      <c r="A247" s="10">
        <v>60121400</v>
      </c>
      <c r="B247" s="10" t="s">
        <v>7570</v>
      </c>
      <c r="C247" s="11">
        <v>0</v>
      </c>
      <c r="D247" s="11">
        <v>93840.986879999997</v>
      </c>
      <c r="E247" s="11">
        <v>0</v>
      </c>
      <c r="F247" s="13">
        <f>SUMIF('OD 12-24'!A:A,A247,'OD 12-24'!D:D)</f>
        <v>0</v>
      </c>
      <c r="G247" s="13">
        <f>SUMIF('OD 12-24'!A:A,A247,'OD 12-24'!E:E)</f>
        <v>0</v>
      </c>
      <c r="H247" s="14">
        <f t="shared" si="8"/>
        <v>93840.986879999997</v>
      </c>
      <c r="I247" s="14">
        <f t="shared" si="9"/>
        <v>93840.986879999997</v>
      </c>
      <c r="J247" s="8" t="s">
        <v>138</v>
      </c>
      <c r="K247" s="8" t="s">
        <v>509</v>
      </c>
      <c r="L247" s="9">
        <v>0</v>
      </c>
      <c r="M247" s="339"/>
      <c r="N247" s="315"/>
      <c r="O247" s="339"/>
      <c r="P247" s="339"/>
    </row>
    <row r="248" spans="1:16" s="9" customFormat="1" ht="11.25" hidden="1" customHeight="1" x14ac:dyDescent="0.2">
      <c r="A248" s="10">
        <v>60121500</v>
      </c>
      <c r="B248" s="10" t="s">
        <v>404</v>
      </c>
      <c r="C248" s="11">
        <v>0</v>
      </c>
      <c r="D248" s="11">
        <v>99000</v>
      </c>
      <c r="E248" s="11">
        <v>0</v>
      </c>
      <c r="F248" s="13">
        <f>SUMIF('OD 12-24'!A:A,A248,'OD 12-24'!D:D)</f>
        <v>154800</v>
      </c>
      <c r="G248" s="13">
        <f>SUMIF('OD 12-24'!A:A,A248,'OD 12-24'!E:E)</f>
        <v>154800</v>
      </c>
      <c r="H248" s="14">
        <f t="shared" si="8"/>
        <v>99000</v>
      </c>
      <c r="I248" s="14">
        <f t="shared" si="9"/>
        <v>99000</v>
      </c>
      <c r="J248" s="8" t="s">
        <v>138</v>
      </c>
      <c r="K248" s="8" t="s">
        <v>509</v>
      </c>
      <c r="L248" s="9">
        <v>0</v>
      </c>
      <c r="M248" s="339"/>
      <c r="N248" s="315"/>
      <c r="O248" s="339"/>
      <c r="P248" s="339"/>
    </row>
    <row r="249" spans="1:16" s="9" customFormat="1" ht="11.25" hidden="1" customHeight="1" x14ac:dyDescent="0.2">
      <c r="A249" s="10">
        <v>60121600</v>
      </c>
      <c r="B249" s="10" t="s">
        <v>154</v>
      </c>
      <c r="C249" s="11">
        <v>0</v>
      </c>
      <c r="D249" s="11">
        <v>640836</v>
      </c>
      <c r="E249" s="11">
        <v>0</v>
      </c>
      <c r="F249" s="13">
        <f>SUMIF('OD 12-24'!A:A,A249,'OD 12-24'!D:D)</f>
        <v>0</v>
      </c>
      <c r="G249" s="13">
        <f>SUMIF('OD 12-24'!A:A,A249,'OD 12-24'!E:E)</f>
        <v>0</v>
      </c>
      <c r="H249" s="14">
        <f t="shared" si="8"/>
        <v>640836</v>
      </c>
      <c r="I249" s="14">
        <f t="shared" si="9"/>
        <v>640836</v>
      </c>
      <c r="J249" s="8" t="s">
        <v>138</v>
      </c>
      <c r="K249" s="8" t="s">
        <v>509</v>
      </c>
      <c r="L249" s="9">
        <v>0</v>
      </c>
      <c r="M249" s="339"/>
      <c r="N249" s="315"/>
      <c r="O249" s="339"/>
      <c r="P249" s="339"/>
    </row>
    <row r="250" spans="1:16" s="9" customFormat="1" ht="11.25" hidden="1" customHeight="1" x14ac:dyDescent="0.2">
      <c r="A250" s="10">
        <v>60121900</v>
      </c>
      <c r="B250" s="10" t="s">
        <v>7568</v>
      </c>
      <c r="C250" s="11">
        <v>0</v>
      </c>
      <c r="D250" s="11">
        <v>33763.75</v>
      </c>
      <c r="E250" s="11">
        <v>0</v>
      </c>
      <c r="F250" s="13">
        <f>SUMIF('OD 12-24'!A:A,A250,'OD 12-24'!D:D)</f>
        <v>0</v>
      </c>
      <c r="G250" s="13">
        <f>SUMIF('OD 12-24'!A:A,A250,'OD 12-24'!E:E)</f>
        <v>0</v>
      </c>
      <c r="H250" s="14">
        <f t="shared" si="8"/>
        <v>33763.75</v>
      </c>
      <c r="I250" s="14">
        <f t="shared" si="9"/>
        <v>33763.75</v>
      </c>
      <c r="J250" s="8" t="s">
        <v>138</v>
      </c>
      <c r="K250" s="8" t="s">
        <v>509</v>
      </c>
      <c r="L250" s="9">
        <v>0</v>
      </c>
      <c r="M250" s="339"/>
      <c r="N250" s="315"/>
      <c r="O250" s="339"/>
      <c r="P250" s="339"/>
    </row>
    <row r="251" spans="1:16" s="9" customFormat="1" ht="11.25" hidden="1" customHeight="1" x14ac:dyDescent="0.2">
      <c r="A251" s="10">
        <v>60122000</v>
      </c>
      <c r="B251" s="10" t="s">
        <v>9638</v>
      </c>
      <c r="C251" s="11">
        <v>0</v>
      </c>
      <c r="D251" s="11">
        <v>135006.35802500002</v>
      </c>
      <c r="E251" s="11">
        <v>135006.35800000001</v>
      </c>
      <c r="F251" s="13">
        <f>SUMIF('OD 12-24'!A:A,A251,'OD 12-24'!D:D)</f>
        <v>72713.861999999994</v>
      </c>
      <c r="G251" s="13">
        <f>SUMIF('OD 12-24'!A:A,A251,'OD 12-24'!E:E)</f>
        <v>72713.861999999994</v>
      </c>
      <c r="H251" s="14">
        <f t="shared" ref="H251" si="14">+D251+F251-E251-G251</f>
        <v>2.5000015739351511E-5</v>
      </c>
      <c r="I251" s="14">
        <f t="shared" ref="I251" si="15">+H251+C251</f>
        <v>2.5000015739351511E-5</v>
      </c>
      <c r="J251" s="8" t="s">
        <v>138</v>
      </c>
      <c r="K251" s="8" t="s">
        <v>509</v>
      </c>
      <c r="L251" s="9">
        <v>0</v>
      </c>
      <c r="M251" s="339"/>
      <c r="N251" s="315"/>
      <c r="O251" s="339"/>
      <c r="P251" s="339"/>
    </row>
    <row r="252" spans="1:16" s="9" customFormat="1" ht="11.25" hidden="1" customHeight="1" x14ac:dyDescent="0.2">
      <c r="A252" s="10">
        <v>60122100</v>
      </c>
      <c r="B252" s="10" t="s">
        <v>155</v>
      </c>
      <c r="C252" s="11">
        <v>0</v>
      </c>
      <c r="D252" s="11">
        <v>86985</v>
      </c>
      <c r="E252" s="11">
        <v>1485</v>
      </c>
      <c r="F252" s="13">
        <f>SUMIF('OD 12-24'!A:A,A252,'OD 12-24'!D:D)</f>
        <v>26730</v>
      </c>
      <c r="G252" s="13">
        <f>SUMIF('OD 12-24'!A:A,A252,'OD 12-24'!E:E)</f>
        <v>26730</v>
      </c>
      <c r="H252" s="14">
        <f t="shared" si="8"/>
        <v>85500</v>
      </c>
      <c r="I252" s="14">
        <f t="shared" si="9"/>
        <v>85500</v>
      </c>
      <c r="J252" s="8" t="s">
        <v>138</v>
      </c>
      <c r="K252" s="8" t="s">
        <v>509</v>
      </c>
      <c r="L252" s="9">
        <v>0</v>
      </c>
      <c r="M252" s="339"/>
      <c r="N252" s="315"/>
      <c r="O252" s="339"/>
      <c r="P252" s="339"/>
    </row>
    <row r="253" spans="1:16" s="9" customFormat="1" ht="11.25" hidden="1" customHeight="1" x14ac:dyDescent="0.2">
      <c r="A253" s="10">
        <v>60122200</v>
      </c>
      <c r="B253" s="10" t="s">
        <v>156</v>
      </c>
      <c r="C253" s="11">
        <v>0</v>
      </c>
      <c r="D253" s="11">
        <v>54164.048999999999</v>
      </c>
      <c r="E253" s="11">
        <v>0</v>
      </c>
      <c r="F253" s="13">
        <f>SUMIF('OD 12-24'!A:A,A253,'OD 12-24'!D:D)</f>
        <v>12789</v>
      </c>
      <c r="G253" s="13">
        <f>SUMIF('OD 12-24'!A:A,A253,'OD 12-24'!E:E)</f>
        <v>12789</v>
      </c>
      <c r="H253" s="14">
        <f t="shared" si="8"/>
        <v>54164.048999999999</v>
      </c>
      <c r="I253" s="14">
        <f t="shared" si="9"/>
        <v>54164.048999999999</v>
      </c>
      <c r="J253" s="8" t="s">
        <v>138</v>
      </c>
      <c r="K253" s="8" t="s">
        <v>509</v>
      </c>
      <c r="L253" s="9">
        <v>0</v>
      </c>
      <c r="M253" s="339"/>
      <c r="N253" s="315"/>
      <c r="O253" s="339"/>
      <c r="P253" s="339"/>
    </row>
    <row r="254" spans="1:16" s="9" customFormat="1" ht="11.25" hidden="1" customHeight="1" x14ac:dyDescent="0.2">
      <c r="A254" s="10">
        <v>60122400</v>
      </c>
      <c r="B254" s="10" t="s">
        <v>7396</v>
      </c>
      <c r="C254" s="11">
        <v>0</v>
      </c>
      <c r="D254" s="11">
        <v>30280.058999999997</v>
      </c>
      <c r="E254" s="11">
        <v>0</v>
      </c>
      <c r="F254" s="13">
        <f>SUMIF('OD 12-24'!A:A,A254,'OD 12-24'!D:D)</f>
        <v>0</v>
      </c>
      <c r="G254" s="13">
        <f>SUMIF('OD 12-24'!A:A,A254,'OD 12-24'!E:E)</f>
        <v>0</v>
      </c>
      <c r="H254" s="14">
        <f t="shared" ref="H254" si="16">+D254+F254-E254-G254</f>
        <v>30280.058999999997</v>
      </c>
      <c r="I254" s="14">
        <f t="shared" ref="I254" si="17">+H254+C254</f>
        <v>30280.058999999997</v>
      </c>
      <c r="J254" s="8" t="s">
        <v>138</v>
      </c>
      <c r="K254" s="8" t="s">
        <v>509</v>
      </c>
      <c r="L254" s="9">
        <v>0</v>
      </c>
      <c r="M254" s="339"/>
      <c r="N254" s="315"/>
      <c r="O254" s="339"/>
      <c r="P254" s="339"/>
    </row>
    <row r="255" spans="1:16" s="9" customFormat="1" ht="11.25" hidden="1" customHeight="1" x14ac:dyDescent="0.2">
      <c r="A255" s="10">
        <v>60122410</v>
      </c>
      <c r="B255" s="10" t="s">
        <v>366</v>
      </c>
      <c r="C255" s="11">
        <v>0</v>
      </c>
      <c r="D255" s="11">
        <v>6325</v>
      </c>
      <c r="E255" s="11">
        <v>0</v>
      </c>
      <c r="F255" s="13">
        <f>SUMIF('OD 12-24'!A:A,A255,'OD 12-24'!D:D)</f>
        <v>0</v>
      </c>
      <c r="G255" s="13">
        <f>SUMIF('OD 12-24'!A:A,A255,'OD 12-24'!E:E)</f>
        <v>0</v>
      </c>
      <c r="H255" s="14">
        <f t="shared" si="8"/>
        <v>6325</v>
      </c>
      <c r="I255" s="14">
        <f t="shared" si="9"/>
        <v>6325</v>
      </c>
      <c r="J255" s="8" t="s">
        <v>138</v>
      </c>
      <c r="K255" s="8" t="s">
        <v>509</v>
      </c>
      <c r="L255" s="9">
        <v>0</v>
      </c>
      <c r="M255" s="339"/>
      <c r="N255" s="315"/>
      <c r="O255" s="339"/>
      <c r="P255" s="339"/>
    </row>
    <row r="256" spans="1:16" s="9" customFormat="1" ht="11.25" hidden="1" customHeight="1" x14ac:dyDescent="0.2">
      <c r="A256" s="10">
        <v>60122411</v>
      </c>
      <c r="B256" s="10" t="s">
        <v>367</v>
      </c>
      <c r="C256" s="11">
        <v>0</v>
      </c>
      <c r="D256" s="11">
        <v>73594</v>
      </c>
      <c r="E256" s="11">
        <v>0</v>
      </c>
      <c r="F256" s="13">
        <f>SUMIF('OD 12-24'!A:A,A256,'OD 12-24'!D:D)</f>
        <v>1474.8</v>
      </c>
      <c r="G256" s="13">
        <f>SUMIF('OD 12-24'!A:A,A256,'OD 12-24'!E:E)</f>
        <v>1474.8</v>
      </c>
      <c r="H256" s="14">
        <f t="shared" si="8"/>
        <v>73594</v>
      </c>
      <c r="I256" s="14">
        <f t="shared" si="9"/>
        <v>73594</v>
      </c>
      <c r="J256" s="8" t="s">
        <v>138</v>
      </c>
      <c r="K256" s="8" t="s">
        <v>509</v>
      </c>
      <c r="L256" s="9">
        <v>0</v>
      </c>
      <c r="M256" s="339"/>
      <c r="N256" s="315"/>
      <c r="O256" s="339"/>
      <c r="P256" s="339"/>
    </row>
    <row r="257" spans="1:16" s="9" customFormat="1" ht="11.25" hidden="1" customHeight="1" x14ac:dyDescent="0.2">
      <c r="A257" s="10">
        <v>60122510</v>
      </c>
      <c r="B257" s="10" t="s">
        <v>368</v>
      </c>
      <c r="C257" s="11">
        <v>0</v>
      </c>
      <c r="D257" s="11">
        <v>40492.832000000002</v>
      </c>
      <c r="E257" s="11">
        <v>0</v>
      </c>
      <c r="F257" s="13">
        <f>SUMIF('OD 12-24'!A:A,A257,'OD 12-24'!D:D)</f>
        <v>8168.6719999999996</v>
      </c>
      <c r="G257" s="13">
        <f>SUMIF('OD 12-24'!A:A,A257,'OD 12-24'!E:E)</f>
        <v>6249.6040000000003</v>
      </c>
      <c r="H257" s="14">
        <f t="shared" si="8"/>
        <v>42411.9</v>
      </c>
      <c r="I257" s="14">
        <f t="shared" si="9"/>
        <v>42411.9</v>
      </c>
      <c r="J257" s="8" t="s">
        <v>138</v>
      </c>
      <c r="K257" s="8" t="s">
        <v>509</v>
      </c>
      <c r="L257" s="9">
        <v>0</v>
      </c>
      <c r="M257" s="339"/>
      <c r="N257" s="315"/>
      <c r="O257" s="339"/>
      <c r="P257" s="339"/>
    </row>
    <row r="258" spans="1:16" s="9" customFormat="1" ht="11.25" hidden="1" customHeight="1" x14ac:dyDescent="0.2">
      <c r="A258" s="10">
        <v>60122520</v>
      </c>
      <c r="B258" s="10" t="s">
        <v>396</v>
      </c>
      <c r="C258" s="11">
        <v>0</v>
      </c>
      <c r="D258" s="11">
        <v>5812.39</v>
      </c>
      <c r="E258" s="11">
        <v>0</v>
      </c>
      <c r="F258" s="13">
        <f>SUMIF('OD 12-24'!A:A,A258,'OD 12-24'!D:D)</f>
        <v>0</v>
      </c>
      <c r="G258" s="13">
        <f>SUMIF('OD 12-24'!A:A,A258,'OD 12-24'!E:E)</f>
        <v>0</v>
      </c>
      <c r="H258" s="14">
        <f t="shared" si="8"/>
        <v>5812.39</v>
      </c>
      <c r="I258" s="14">
        <f t="shared" si="9"/>
        <v>5812.39</v>
      </c>
      <c r="J258" s="8" t="s">
        <v>138</v>
      </c>
      <c r="K258" s="8" t="s">
        <v>509</v>
      </c>
      <c r="L258" s="9">
        <v>0</v>
      </c>
      <c r="M258" s="339"/>
      <c r="N258" s="315"/>
      <c r="O258" s="339"/>
      <c r="P258" s="339"/>
    </row>
    <row r="259" spans="1:16" s="9" customFormat="1" ht="11.25" hidden="1" customHeight="1" x14ac:dyDescent="0.2">
      <c r="A259" s="10">
        <v>60122700</v>
      </c>
      <c r="B259" s="10" t="s">
        <v>7567</v>
      </c>
      <c r="C259" s="11">
        <v>0</v>
      </c>
      <c r="D259" s="11">
        <v>9500.0399999999991</v>
      </c>
      <c r="E259" s="11">
        <v>0</v>
      </c>
      <c r="F259" s="13">
        <f>SUMIF('OD 12-24'!A:A,A259,'OD 12-24'!D:D)</f>
        <v>12212.5</v>
      </c>
      <c r="G259" s="13">
        <f>SUMIF('OD 12-24'!A:A,A259,'OD 12-24'!E:E)</f>
        <v>12212.5</v>
      </c>
      <c r="H259" s="14">
        <f t="shared" si="8"/>
        <v>9500.0400000000009</v>
      </c>
      <c r="I259" s="14">
        <f t="shared" si="9"/>
        <v>9500.0400000000009</v>
      </c>
      <c r="J259" s="8" t="s">
        <v>138</v>
      </c>
      <c r="K259" s="8" t="s">
        <v>509</v>
      </c>
      <c r="L259" s="9">
        <v>0</v>
      </c>
      <c r="M259" s="339"/>
      <c r="N259" s="315"/>
      <c r="O259" s="339"/>
      <c r="P259" s="339"/>
    </row>
    <row r="260" spans="1:16" s="9" customFormat="1" ht="11.25" hidden="1" customHeight="1" x14ac:dyDescent="0.2">
      <c r="A260" s="10">
        <v>60171000</v>
      </c>
      <c r="B260" s="10" t="s">
        <v>369</v>
      </c>
      <c r="C260" s="11">
        <v>0</v>
      </c>
      <c r="D260" s="11">
        <v>491795.81200000003</v>
      </c>
      <c r="E260" s="11">
        <v>465.28099999999995</v>
      </c>
      <c r="F260" s="13">
        <f>SUMIF('OD 12-24'!A:A,A260,'OD 12-24'!D:D)</f>
        <v>475739.19900000002</v>
      </c>
      <c r="G260" s="13">
        <f>SUMIF('OD 12-24'!A:A,A260,'OD 12-24'!E:E)</f>
        <v>450589.09</v>
      </c>
      <c r="H260" s="14">
        <f t="shared" si="8"/>
        <v>516480.64000000007</v>
      </c>
      <c r="I260" s="14">
        <f t="shared" si="9"/>
        <v>516480.64000000007</v>
      </c>
      <c r="J260" s="8" t="s">
        <v>138</v>
      </c>
      <c r="K260" s="8" t="s">
        <v>509</v>
      </c>
      <c r="L260" s="9">
        <v>0</v>
      </c>
      <c r="M260" s="339"/>
      <c r="N260" s="315"/>
      <c r="O260" s="339"/>
      <c r="P260" s="339"/>
    </row>
    <row r="261" spans="1:16" s="9" customFormat="1" ht="11.25" hidden="1" customHeight="1" x14ac:dyDescent="0.2">
      <c r="A261" s="10">
        <v>60172000</v>
      </c>
      <c r="B261" s="10" t="s">
        <v>169</v>
      </c>
      <c r="C261" s="11">
        <v>0</v>
      </c>
      <c r="D261" s="11">
        <v>1237159.6329999999</v>
      </c>
      <c r="E261" s="11">
        <v>1970.4739999999997</v>
      </c>
      <c r="F261" s="13">
        <f>SUMIF('OD 12-24'!A:A,A261,'OD 12-24'!D:D)</f>
        <v>1166255.5619999999</v>
      </c>
      <c r="G261" s="13">
        <f>SUMIF('OD 12-24'!A:A,A261,'OD 12-24'!E:E)</f>
        <v>1094910.594</v>
      </c>
      <c r="H261" s="14">
        <f t="shared" si="8"/>
        <v>1306534.1269999999</v>
      </c>
      <c r="I261" s="14">
        <f t="shared" si="9"/>
        <v>1306534.1269999999</v>
      </c>
      <c r="J261" s="8" t="s">
        <v>138</v>
      </c>
      <c r="K261" s="8" t="s">
        <v>509</v>
      </c>
      <c r="L261" s="9">
        <v>0</v>
      </c>
      <c r="M261" s="339"/>
      <c r="N261" s="315"/>
      <c r="O261" s="339"/>
      <c r="P261" s="339"/>
    </row>
    <row r="262" spans="1:16" s="9" customFormat="1" ht="11.25" hidden="1" customHeight="1" x14ac:dyDescent="0.2">
      <c r="A262" s="10">
        <v>60173000</v>
      </c>
      <c r="B262" s="10" t="s">
        <v>170</v>
      </c>
      <c r="C262" s="11">
        <v>0</v>
      </c>
      <c r="D262" s="11">
        <v>104970.78</v>
      </c>
      <c r="E262" s="11">
        <v>16484.29</v>
      </c>
      <c r="F262" s="13">
        <f>SUMIF('OD 12-24'!A:A,A262,'OD 12-24'!D:D)</f>
        <v>78495.595000000001</v>
      </c>
      <c r="G262" s="13">
        <f>SUMIF('OD 12-24'!A:A,A262,'OD 12-24'!E:E)</f>
        <v>78495.595000000001</v>
      </c>
      <c r="H262" s="14">
        <f t="shared" si="8"/>
        <v>88486.489999999991</v>
      </c>
      <c r="I262" s="14">
        <f t="shared" si="9"/>
        <v>88486.489999999991</v>
      </c>
      <c r="J262" s="8" t="s">
        <v>138</v>
      </c>
      <c r="K262" s="8" t="s">
        <v>509</v>
      </c>
      <c r="L262" s="9">
        <v>0</v>
      </c>
      <c r="M262" s="339"/>
      <c r="N262" s="315"/>
      <c r="O262" s="339"/>
      <c r="P262" s="339"/>
    </row>
    <row r="263" spans="1:16" s="9" customFormat="1" ht="11.25" hidden="1" customHeight="1" x14ac:dyDescent="0.2">
      <c r="A263" s="10">
        <v>60191000</v>
      </c>
      <c r="B263" s="10" t="s">
        <v>158</v>
      </c>
      <c r="C263" s="11">
        <v>0</v>
      </c>
      <c r="D263" s="11">
        <v>2288521.1900400002</v>
      </c>
      <c r="E263" s="11">
        <v>56450.587</v>
      </c>
      <c r="F263" s="13">
        <f>SUMIF('OD 12-24'!A:A,A263,'OD 12-24'!D:D)</f>
        <v>14226.008</v>
      </c>
      <c r="G263" s="13">
        <f>SUMIF('OD 12-24'!A:A,A263,'OD 12-24'!E:E)</f>
        <v>14226.008</v>
      </c>
      <c r="H263" s="14">
        <f t="shared" si="8"/>
        <v>2232070.6030400004</v>
      </c>
      <c r="I263" s="14">
        <f t="shared" si="9"/>
        <v>2232070.6030400004</v>
      </c>
      <c r="J263" s="8" t="s">
        <v>138</v>
      </c>
      <c r="K263" s="8" t="s">
        <v>509</v>
      </c>
      <c r="L263" s="9">
        <v>0</v>
      </c>
      <c r="M263" s="339"/>
      <c r="N263" s="315"/>
      <c r="O263" s="339"/>
      <c r="P263" s="339"/>
    </row>
    <row r="264" spans="1:16" s="9" customFormat="1" ht="11.25" hidden="1" customHeight="1" x14ac:dyDescent="0.2">
      <c r="A264" s="10">
        <v>60215000</v>
      </c>
      <c r="B264" s="10" t="s">
        <v>370</v>
      </c>
      <c r="C264" s="11">
        <v>0</v>
      </c>
      <c r="D264" s="11">
        <v>0</v>
      </c>
      <c r="E264" s="11">
        <v>0</v>
      </c>
      <c r="F264" s="13">
        <f>SUMIF('OD 12-24'!A:A,A264,'OD 12-24'!D:D)</f>
        <v>0</v>
      </c>
      <c r="G264" s="13">
        <f>SUMIF('OD 12-24'!A:A,A264,'OD 12-24'!E:E)</f>
        <v>0</v>
      </c>
      <c r="H264" s="14">
        <f t="shared" si="8"/>
        <v>0</v>
      </c>
      <c r="I264" s="14">
        <f t="shared" si="9"/>
        <v>0</v>
      </c>
      <c r="J264" s="8" t="s">
        <v>138</v>
      </c>
      <c r="K264" s="8" t="s">
        <v>509</v>
      </c>
      <c r="L264" s="9">
        <v>0</v>
      </c>
      <c r="M264" s="339"/>
      <c r="N264" s="315"/>
      <c r="O264" s="339"/>
      <c r="P264" s="339"/>
    </row>
    <row r="265" spans="1:16" s="9" customFormat="1" ht="11.25" hidden="1" customHeight="1" x14ac:dyDescent="0.2">
      <c r="A265" s="10">
        <v>60216000</v>
      </c>
      <c r="B265" s="10" t="s">
        <v>371</v>
      </c>
      <c r="C265" s="11">
        <v>0</v>
      </c>
      <c r="D265" s="11">
        <v>293619.22151249996</v>
      </c>
      <c r="E265" s="11">
        <v>0</v>
      </c>
      <c r="F265" s="13">
        <f>SUMIF('OD 12-24'!A:A,A265,'OD 12-24'!D:D)</f>
        <v>0</v>
      </c>
      <c r="G265" s="13">
        <f>SUMIF('OD 12-24'!A:A,A265,'OD 12-24'!E:E)</f>
        <v>0</v>
      </c>
      <c r="H265" s="14">
        <f t="shared" ref="H265:H330" si="18">+D265+F265-E265-G265</f>
        <v>293619.22151249996</v>
      </c>
      <c r="I265" s="14">
        <f t="shared" ref="I265:I330" si="19">+H265+C265</f>
        <v>293619.22151249996</v>
      </c>
      <c r="J265" s="8" t="s">
        <v>138</v>
      </c>
      <c r="K265" s="8" t="s">
        <v>509</v>
      </c>
      <c r="L265" s="9">
        <v>0</v>
      </c>
      <c r="M265" s="339"/>
      <c r="N265" s="315"/>
      <c r="O265" s="339"/>
      <c r="P265" s="339"/>
    </row>
    <row r="266" spans="1:16" s="9" customFormat="1" ht="11.25" hidden="1" customHeight="1" x14ac:dyDescent="0.2">
      <c r="A266" s="10">
        <v>60260200</v>
      </c>
      <c r="B266" s="10" t="s">
        <v>372</v>
      </c>
      <c r="C266" s="11">
        <v>0</v>
      </c>
      <c r="D266" s="11">
        <v>12439.5</v>
      </c>
      <c r="E266" s="11">
        <v>0</v>
      </c>
      <c r="F266" s="13">
        <f>SUMIF('OD 12-24'!A:A,A266,'OD 12-24'!D:D)</f>
        <v>4836.8</v>
      </c>
      <c r="G266" s="13">
        <f>SUMIF('OD 12-24'!A:A,A266,'OD 12-24'!E:E)</f>
        <v>4836.8</v>
      </c>
      <c r="H266" s="14">
        <f t="shared" si="18"/>
        <v>12439.5</v>
      </c>
      <c r="I266" s="14">
        <f t="shared" si="19"/>
        <v>12439.5</v>
      </c>
      <c r="J266" s="8" t="s">
        <v>138</v>
      </c>
      <c r="K266" s="8" t="s">
        <v>509</v>
      </c>
      <c r="L266" s="9">
        <v>0</v>
      </c>
      <c r="M266" s="339"/>
      <c r="N266" s="315"/>
      <c r="O266" s="339"/>
      <c r="P266" s="339"/>
    </row>
    <row r="267" spans="1:16" s="9" customFormat="1" ht="11.25" hidden="1" customHeight="1" x14ac:dyDescent="0.2">
      <c r="A267" s="10">
        <v>60260300</v>
      </c>
      <c r="B267" s="10" t="s">
        <v>160</v>
      </c>
      <c r="C267" s="11">
        <v>0</v>
      </c>
      <c r="D267" s="11">
        <v>163720.65100000001</v>
      </c>
      <c r="E267" s="11">
        <v>1624.701</v>
      </c>
      <c r="F267" s="13">
        <f>SUMIF('OD 12-24'!A:A,A267,'OD 12-24'!D:D)</f>
        <v>0</v>
      </c>
      <c r="G267" s="13">
        <f>SUMIF('OD 12-24'!A:A,A267,'OD 12-24'!E:E)</f>
        <v>0</v>
      </c>
      <c r="H267" s="14">
        <f t="shared" si="18"/>
        <v>162095.95000000001</v>
      </c>
      <c r="I267" s="14">
        <f t="shared" si="19"/>
        <v>162095.95000000001</v>
      </c>
      <c r="J267" s="8" t="s">
        <v>138</v>
      </c>
      <c r="K267" s="8" t="s">
        <v>509</v>
      </c>
      <c r="L267" s="9">
        <v>0</v>
      </c>
      <c r="M267" s="339"/>
      <c r="N267" s="315"/>
      <c r="O267" s="339"/>
      <c r="P267" s="339"/>
    </row>
    <row r="268" spans="1:16" s="9" customFormat="1" ht="11.25" hidden="1" customHeight="1" x14ac:dyDescent="0.2">
      <c r="A268" s="10">
        <v>60260400</v>
      </c>
      <c r="B268" s="10" t="s">
        <v>161</v>
      </c>
      <c r="C268" s="11">
        <v>0</v>
      </c>
      <c r="D268" s="11">
        <v>96660.559000000008</v>
      </c>
      <c r="E268" s="11">
        <v>0</v>
      </c>
      <c r="F268" s="13">
        <f>SUMIF('OD 12-24'!A:A,A268,'OD 12-24'!D:D)</f>
        <v>36855</v>
      </c>
      <c r="G268" s="13">
        <f>SUMIF('OD 12-24'!A:A,A268,'OD 12-24'!E:E)</f>
        <v>32621.4</v>
      </c>
      <c r="H268" s="14">
        <f t="shared" si="18"/>
        <v>100894.15900000001</v>
      </c>
      <c r="I268" s="14">
        <f t="shared" si="19"/>
        <v>100894.15900000001</v>
      </c>
      <c r="J268" s="8" t="s">
        <v>138</v>
      </c>
      <c r="K268" s="8" t="s">
        <v>509</v>
      </c>
      <c r="L268" s="9">
        <v>0</v>
      </c>
      <c r="M268" s="339"/>
      <c r="N268" s="315"/>
      <c r="O268" s="339"/>
      <c r="P268" s="339"/>
    </row>
    <row r="269" spans="1:16" s="9" customFormat="1" ht="11.25" hidden="1" customHeight="1" x14ac:dyDescent="0.2">
      <c r="A269" s="10">
        <v>60260500</v>
      </c>
      <c r="B269" s="10" t="s">
        <v>162</v>
      </c>
      <c r="C269" s="11">
        <v>0</v>
      </c>
      <c r="D269" s="11">
        <v>66081.729000000007</v>
      </c>
      <c r="E269" s="11">
        <v>0</v>
      </c>
      <c r="F269" s="13">
        <f>SUMIF('OD 12-24'!A:A,A269,'OD 12-24'!D:D)</f>
        <v>0</v>
      </c>
      <c r="G269" s="13">
        <f>SUMIF('OD 12-24'!A:A,A269,'OD 12-24'!E:E)</f>
        <v>0</v>
      </c>
      <c r="H269" s="14">
        <f t="shared" si="18"/>
        <v>66081.729000000007</v>
      </c>
      <c r="I269" s="14">
        <f t="shared" si="19"/>
        <v>66081.729000000007</v>
      </c>
      <c r="J269" s="8" t="s">
        <v>138</v>
      </c>
      <c r="K269" s="8" t="s">
        <v>509</v>
      </c>
      <c r="L269" s="9">
        <v>0</v>
      </c>
      <c r="M269" s="339"/>
      <c r="N269" s="315"/>
      <c r="O269" s="339"/>
      <c r="P269" s="339"/>
    </row>
    <row r="270" spans="1:16" s="9" customFormat="1" ht="11.25" hidden="1" customHeight="1" x14ac:dyDescent="0.2">
      <c r="A270" s="10">
        <v>60260600</v>
      </c>
      <c r="B270" s="10" t="s">
        <v>7401</v>
      </c>
      <c r="C270" s="11">
        <v>0</v>
      </c>
      <c r="D270" s="11">
        <v>2184.85</v>
      </c>
      <c r="E270" s="11">
        <v>0</v>
      </c>
      <c r="F270" s="13">
        <f>SUMIF('OD 12-24'!A:A,A270,'OD 12-24'!D:D)</f>
        <v>393.9</v>
      </c>
      <c r="G270" s="13">
        <f>SUMIF('OD 12-24'!A:A,A270,'OD 12-24'!E:E)</f>
        <v>393.9</v>
      </c>
      <c r="H270" s="14">
        <f t="shared" si="18"/>
        <v>2184.85</v>
      </c>
      <c r="I270" s="14">
        <f t="shared" si="19"/>
        <v>2184.85</v>
      </c>
      <c r="J270" s="8" t="s">
        <v>138</v>
      </c>
      <c r="K270" s="8" t="s">
        <v>509</v>
      </c>
      <c r="L270" s="9">
        <v>0</v>
      </c>
      <c r="M270" s="339"/>
      <c r="N270" s="315"/>
      <c r="O270" s="339"/>
      <c r="P270" s="339"/>
    </row>
    <row r="271" spans="1:16" s="9" customFormat="1" ht="11.25" hidden="1" customHeight="1" x14ac:dyDescent="0.2">
      <c r="A271" s="10">
        <v>60260700</v>
      </c>
      <c r="B271" s="10" t="s">
        <v>163</v>
      </c>
      <c r="C271" s="11">
        <v>0</v>
      </c>
      <c r="D271" s="11">
        <v>68710.3</v>
      </c>
      <c r="E271" s="11">
        <v>3368.35</v>
      </c>
      <c r="F271" s="13">
        <f>SUMIF('OD 12-24'!A:A,A271,'OD 12-24'!D:D)</f>
        <v>5845.7</v>
      </c>
      <c r="G271" s="13">
        <f>SUMIF('OD 12-24'!A:A,A271,'OD 12-24'!E:E)</f>
        <v>5845.7</v>
      </c>
      <c r="H271" s="14">
        <f t="shared" si="18"/>
        <v>65341.95</v>
      </c>
      <c r="I271" s="14">
        <f t="shared" si="19"/>
        <v>65341.95</v>
      </c>
      <c r="J271" s="8" t="s">
        <v>138</v>
      </c>
      <c r="K271" s="8" t="s">
        <v>509</v>
      </c>
      <c r="L271" s="9">
        <v>0</v>
      </c>
      <c r="M271" s="339"/>
      <c r="N271" s="315"/>
      <c r="O271" s="339"/>
      <c r="P271" s="339"/>
    </row>
    <row r="272" spans="1:16" s="9" customFormat="1" ht="11.25" hidden="1" customHeight="1" x14ac:dyDescent="0.2">
      <c r="A272" s="10">
        <v>60262000</v>
      </c>
      <c r="B272" s="10" t="s">
        <v>164</v>
      </c>
      <c r="C272" s="11">
        <v>0</v>
      </c>
      <c r="D272" s="11">
        <v>230101.46457750001</v>
      </c>
      <c r="E272" s="11">
        <v>0</v>
      </c>
      <c r="F272" s="13">
        <f>SUMIF('OD 12-24'!A:A,A272,'OD 12-24'!D:D)</f>
        <v>39385.928999999996</v>
      </c>
      <c r="G272" s="13">
        <f>SUMIF('OD 12-24'!A:A,A272,'OD 12-24'!E:E)</f>
        <v>36925.928999999996</v>
      </c>
      <c r="H272" s="14">
        <f t="shared" si="18"/>
        <v>232561.46457750001</v>
      </c>
      <c r="I272" s="14">
        <f t="shared" si="19"/>
        <v>232561.46457750001</v>
      </c>
      <c r="J272" s="8" t="s">
        <v>138</v>
      </c>
      <c r="K272" s="8" t="s">
        <v>509</v>
      </c>
      <c r="L272" s="9">
        <v>0</v>
      </c>
      <c r="M272" s="339"/>
      <c r="N272" s="315"/>
      <c r="O272" s="339"/>
      <c r="P272" s="339"/>
    </row>
    <row r="273" spans="1:16" s="9" customFormat="1" ht="11.25" hidden="1" customHeight="1" x14ac:dyDescent="0.2">
      <c r="A273" s="10">
        <v>60263000</v>
      </c>
      <c r="B273" s="10" t="s">
        <v>165</v>
      </c>
      <c r="C273" s="11">
        <v>0</v>
      </c>
      <c r="D273" s="11">
        <v>142167.57882200001</v>
      </c>
      <c r="E273" s="11">
        <v>43242.447999999997</v>
      </c>
      <c r="F273" s="13">
        <f>SUMIF('OD 12-24'!A:A,A273,'OD 12-24'!D:D)</f>
        <v>16099.643</v>
      </c>
      <c r="G273" s="13">
        <f>SUMIF('OD 12-24'!A:A,A273,'OD 12-24'!E:E)</f>
        <v>16099.643</v>
      </c>
      <c r="H273" s="14">
        <f t="shared" si="18"/>
        <v>98925.130822000021</v>
      </c>
      <c r="I273" s="14">
        <f t="shared" si="19"/>
        <v>98925.130822000021</v>
      </c>
      <c r="J273" s="8" t="s">
        <v>138</v>
      </c>
      <c r="K273" s="8" t="s">
        <v>509</v>
      </c>
      <c r="L273" s="9">
        <v>0</v>
      </c>
      <c r="M273" s="339"/>
      <c r="N273" s="315"/>
      <c r="O273" s="339"/>
      <c r="P273" s="339"/>
    </row>
    <row r="274" spans="1:16" s="9" customFormat="1" ht="11.25" hidden="1" customHeight="1" x14ac:dyDescent="0.2">
      <c r="A274" s="10">
        <v>60310000</v>
      </c>
      <c r="B274" s="10" t="s">
        <v>265</v>
      </c>
      <c r="C274" s="11">
        <v>0</v>
      </c>
      <c r="D274" s="11">
        <v>10656855.097999999</v>
      </c>
      <c r="E274" s="11">
        <v>1136780.078</v>
      </c>
      <c r="F274" s="13">
        <f>SUMIF('OD 12-24'!A:A,A274,'OD 12-24'!D:D)</f>
        <v>144952467.7802</v>
      </c>
      <c r="G274" s="13">
        <f>SUMIF('OD 12-24'!A:A,A274,'OD 12-24'!E:E)</f>
        <v>160858354.0772</v>
      </c>
      <c r="H274" s="14">
        <f t="shared" si="18"/>
        <v>-6385811.27700001</v>
      </c>
      <c r="I274" s="14">
        <f t="shared" si="19"/>
        <v>-6385811.27700001</v>
      </c>
      <c r="J274" s="8" t="s">
        <v>138</v>
      </c>
      <c r="K274" s="8" t="s">
        <v>509</v>
      </c>
      <c r="L274" s="9">
        <v>0</v>
      </c>
      <c r="M274" s="339"/>
      <c r="N274" s="315"/>
      <c r="O274" s="339"/>
      <c r="P274" s="339"/>
    </row>
    <row r="275" spans="1:16" s="9" customFormat="1" ht="11.25" hidden="1" customHeight="1" x14ac:dyDescent="0.2">
      <c r="A275" s="10">
        <v>60330000</v>
      </c>
      <c r="B275" s="10" t="s">
        <v>266</v>
      </c>
      <c r="C275" s="11">
        <v>0</v>
      </c>
      <c r="D275" s="11">
        <v>662156.429</v>
      </c>
      <c r="E275" s="11">
        <v>0</v>
      </c>
      <c r="F275" s="13">
        <f>SUMIF('OD 12-24'!A:A,A275,'OD 12-24'!D:D)</f>
        <v>9358523.2255000006</v>
      </c>
      <c r="G275" s="13">
        <f>SUMIF('OD 12-24'!A:A,A275,'OD 12-24'!E:E)</f>
        <v>9969956.1744999997</v>
      </c>
      <c r="H275" s="14">
        <f t="shared" si="18"/>
        <v>50723.480000000447</v>
      </c>
      <c r="I275" s="14">
        <f t="shared" si="19"/>
        <v>50723.480000000447</v>
      </c>
      <c r="J275" s="8" t="s">
        <v>157</v>
      </c>
      <c r="K275" s="8" t="s">
        <v>512</v>
      </c>
      <c r="L275" s="9">
        <v>0</v>
      </c>
      <c r="M275" s="339"/>
      <c r="N275" s="315"/>
      <c r="O275" s="339"/>
      <c r="P275" s="339"/>
    </row>
    <row r="276" spans="1:16" s="9" customFormat="1" ht="11.25" hidden="1" customHeight="1" x14ac:dyDescent="0.2">
      <c r="A276" s="10">
        <v>60401000</v>
      </c>
      <c r="B276" s="10" t="s">
        <v>166</v>
      </c>
      <c r="C276" s="11">
        <v>0</v>
      </c>
      <c r="D276" s="11">
        <v>0</v>
      </c>
      <c r="E276" s="11">
        <v>0</v>
      </c>
      <c r="F276" s="13">
        <f>SUMIF('OD 12-24'!A:A,A276,'OD 12-24'!D:D)</f>
        <v>1084475.0009999999</v>
      </c>
      <c r="G276" s="13">
        <f>SUMIF('OD 12-24'!A:A,A276,'OD 12-24'!E:E)</f>
        <v>921959.00100000005</v>
      </c>
      <c r="H276" s="14">
        <f t="shared" si="18"/>
        <v>162515.99999999988</v>
      </c>
      <c r="I276" s="14">
        <f t="shared" si="19"/>
        <v>162515.99999999988</v>
      </c>
      <c r="J276" s="8" t="s">
        <v>157</v>
      </c>
      <c r="K276" s="8" t="s">
        <v>512</v>
      </c>
      <c r="L276" s="9">
        <v>0</v>
      </c>
      <c r="M276" s="339"/>
      <c r="N276" s="315"/>
      <c r="O276" s="339"/>
      <c r="P276" s="339"/>
    </row>
    <row r="277" spans="1:16" s="9" customFormat="1" ht="11.25" hidden="1" customHeight="1" x14ac:dyDescent="0.2">
      <c r="A277" s="10">
        <v>60502000</v>
      </c>
      <c r="B277" s="10" t="s">
        <v>167</v>
      </c>
      <c r="C277" s="11">
        <v>0</v>
      </c>
      <c r="D277" s="11">
        <v>883179.36084399989</v>
      </c>
      <c r="E277" s="11">
        <v>65331.61305</v>
      </c>
      <c r="F277" s="13">
        <f>SUMIF('OD 12-24'!A:A,A277,'OD 12-24'!D:D)</f>
        <v>97905.712</v>
      </c>
      <c r="G277" s="13">
        <f>SUMIF('OD 12-24'!A:A,A277,'OD 12-24'!E:E)</f>
        <v>97905.712</v>
      </c>
      <c r="H277" s="14">
        <f t="shared" si="18"/>
        <v>817847.74779399973</v>
      </c>
      <c r="I277" s="14">
        <f t="shared" si="19"/>
        <v>817847.74779399973</v>
      </c>
      <c r="J277" s="8" t="s">
        <v>157</v>
      </c>
      <c r="K277" s="8" t="s">
        <v>512</v>
      </c>
      <c r="L277" s="9">
        <v>0</v>
      </c>
      <c r="M277" s="339"/>
      <c r="N277" s="315"/>
      <c r="O277" s="339"/>
      <c r="P277" s="339"/>
    </row>
    <row r="278" spans="1:16" s="9" customFormat="1" ht="11.25" hidden="1" customHeight="1" x14ac:dyDescent="0.2">
      <c r="A278" s="10">
        <v>60504000</v>
      </c>
      <c r="B278" s="10" t="s">
        <v>168</v>
      </c>
      <c r="C278" s="11">
        <v>0</v>
      </c>
      <c r="D278" s="11">
        <v>14427.966999999999</v>
      </c>
      <c r="E278" s="11">
        <v>0</v>
      </c>
      <c r="F278" s="13">
        <f>SUMIF('OD 12-24'!A:A,A278,'OD 12-24'!D:D)</f>
        <v>0</v>
      </c>
      <c r="G278" s="13">
        <f>SUMIF('OD 12-24'!A:A,A278,'OD 12-24'!E:E)</f>
        <v>0</v>
      </c>
      <c r="H278" s="14">
        <f t="shared" si="18"/>
        <v>14427.966999999999</v>
      </c>
      <c r="I278" s="14">
        <f t="shared" si="19"/>
        <v>14427.966999999999</v>
      </c>
      <c r="J278" s="8" t="s">
        <v>157</v>
      </c>
      <c r="K278" s="8" t="s">
        <v>512</v>
      </c>
      <c r="L278" s="9">
        <v>0</v>
      </c>
      <c r="M278" s="339"/>
      <c r="N278" s="315"/>
      <c r="O278" s="339"/>
      <c r="P278" s="339"/>
    </row>
    <row r="279" spans="1:16" s="9" customFormat="1" ht="11.25" hidden="1" customHeight="1" x14ac:dyDescent="0.2">
      <c r="A279" s="10">
        <v>60614000</v>
      </c>
      <c r="B279" s="10" t="s">
        <v>171</v>
      </c>
      <c r="C279" s="11">
        <v>0</v>
      </c>
      <c r="D279" s="11">
        <v>252345.02499999999</v>
      </c>
      <c r="E279" s="11">
        <v>4625</v>
      </c>
      <c r="F279" s="13">
        <f>SUMIF('OD 12-24'!A:A,A279,'OD 12-24'!D:D)</f>
        <v>7104.1120000000001</v>
      </c>
      <c r="G279" s="13">
        <f>SUMIF('OD 12-24'!A:A,A279,'OD 12-24'!E:E)</f>
        <v>7104.1120000000001</v>
      </c>
      <c r="H279" s="14">
        <f t="shared" si="18"/>
        <v>247720.02499999999</v>
      </c>
      <c r="I279" s="14">
        <f t="shared" si="19"/>
        <v>247720.02499999999</v>
      </c>
      <c r="J279" s="8" t="s">
        <v>157</v>
      </c>
      <c r="K279" s="8" t="s">
        <v>512</v>
      </c>
      <c r="L279" s="9">
        <v>0</v>
      </c>
      <c r="M279" s="339"/>
      <c r="N279" s="315"/>
      <c r="O279" s="339"/>
      <c r="P279" s="339"/>
    </row>
    <row r="280" spans="1:16" s="9" customFormat="1" ht="11.25" hidden="1" customHeight="1" x14ac:dyDescent="0.2">
      <c r="A280" s="10">
        <v>60620000</v>
      </c>
      <c r="B280" s="10" t="s">
        <v>172</v>
      </c>
      <c r="C280" s="11">
        <v>0</v>
      </c>
      <c r="D280" s="11">
        <v>52247.6</v>
      </c>
      <c r="E280" s="11">
        <v>608.27600000000007</v>
      </c>
      <c r="F280" s="13">
        <f>SUMIF('OD 12-24'!A:A,A280,'OD 12-24'!D:D)</f>
        <v>14743.460999999999</v>
      </c>
      <c r="G280" s="13">
        <f>SUMIF('OD 12-24'!A:A,A280,'OD 12-24'!E:E)</f>
        <v>10648.688</v>
      </c>
      <c r="H280" s="14">
        <f t="shared" si="18"/>
        <v>55734.097000000002</v>
      </c>
      <c r="I280" s="14">
        <f t="shared" si="19"/>
        <v>55734.097000000002</v>
      </c>
      <c r="J280" s="8" t="s">
        <v>157</v>
      </c>
      <c r="K280" s="8" t="s">
        <v>512</v>
      </c>
      <c r="L280" s="9">
        <v>0</v>
      </c>
      <c r="M280" s="339"/>
      <c r="N280" s="315"/>
      <c r="O280" s="339"/>
      <c r="P280" s="339"/>
    </row>
    <row r="281" spans="1:16" s="9" customFormat="1" ht="11.25" hidden="1" customHeight="1" x14ac:dyDescent="0.2">
      <c r="A281" s="10">
        <v>60650000</v>
      </c>
      <c r="B281" s="10" t="s">
        <v>373</v>
      </c>
      <c r="C281" s="11">
        <v>0</v>
      </c>
      <c r="D281" s="11">
        <v>28350</v>
      </c>
      <c r="E281" s="11">
        <v>0</v>
      </c>
      <c r="F281" s="13">
        <f>SUMIF('OD 12-24'!A:A,A281,'OD 12-24'!D:D)</f>
        <v>4050</v>
      </c>
      <c r="G281" s="13">
        <f>SUMIF('OD 12-24'!A:A,A281,'OD 12-24'!E:E)</f>
        <v>4050</v>
      </c>
      <c r="H281" s="14">
        <f t="shared" si="18"/>
        <v>28350</v>
      </c>
      <c r="I281" s="14">
        <f t="shared" si="19"/>
        <v>28350</v>
      </c>
      <c r="J281" s="8" t="s">
        <v>138</v>
      </c>
      <c r="K281" s="8" t="s">
        <v>509</v>
      </c>
      <c r="L281" s="9">
        <v>0</v>
      </c>
      <c r="M281" s="339"/>
      <c r="N281" s="315"/>
      <c r="O281" s="339"/>
      <c r="P281" s="339"/>
    </row>
    <row r="282" spans="1:16" s="9" customFormat="1" ht="11.25" hidden="1" customHeight="1" x14ac:dyDescent="0.2">
      <c r="A282" s="10">
        <v>60660000</v>
      </c>
      <c r="B282" s="10" t="s">
        <v>173</v>
      </c>
      <c r="C282" s="11">
        <v>0</v>
      </c>
      <c r="D282" s="11">
        <v>24417.942999999999</v>
      </c>
      <c r="E282" s="11">
        <v>0</v>
      </c>
      <c r="F282" s="13">
        <f>SUMIF('OD 12-24'!A:A,A282,'OD 12-24'!D:D)</f>
        <v>1227.5</v>
      </c>
      <c r="G282" s="13">
        <f>SUMIF('OD 12-24'!A:A,A282,'OD 12-24'!E:E)</f>
        <v>982</v>
      </c>
      <c r="H282" s="14">
        <f t="shared" si="18"/>
        <v>24663.442999999999</v>
      </c>
      <c r="I282" s="14">
        <f t="shared" si="19"/>
        <v>24663.442999999999</v>
      </c>
      <c r="J282" s="8" t="s">
        <v>157</v>
      </c>
      <c r="K282" s="8" t="s">
        <v>512</v>
      </c>
      <c r="L282" s="9">
        <v>0</v>
      </c>
      <c r="M282" s="339"/>
      <c r="N282" s="315"/>
      <c r="O282" s="339"/>
      <c r="P282" s="339"/>
    </row>
    <row r="283" spans="1:16" s="9" customFormat="1" ht="11.25" hidden="1" customHeight="1" x14ac:dyDescent="0.2">
      <c r="A283" s="10">
        <v>60670000</v>
      </c>
      <c r="B283" s="10" t="s">
        <v>174</v>
      </c>
      <c r="C283" s="11">
        <v>0</v>
      </c>
      <c r="D283" s="11">
        <v>18029.170000000002</v>
      </c>
      <c r="E283" s="11">
        <v>0</v>
      </c>
      <c r="F283" s="13">
        <f>SUMIF('OD 12-24'!A:A,A283,'OD 12-24'!D:D)</f>
        <v>4891.5349999999999</v>
      </c>
      <c r="G283" s="13">
        <f>SUMIF('OD 12-24'!A:A,A283,'OD 12-24'!E:E)</f>
        <v>4891.5349999999999</v>
      </c>
      <c r="H283" s="14">
        <f t="shared" si="18"/>
        <v>18029.170000000002</v>
      </c>
      <c r="I283" s="14">
        <f t="shared" si="19"/>
        <v>18029.170000000002</v>
      </c>
      <c r="J283" s="8" t="s">
        <v>157</v>
      </c>
      <c r="K283" s="8" t="s">
        <v>512</v>
      </c>
      <c r="L283" s="9">
        <v>0</v>
      </c>
      <c r="M283" s="339"/>
      <c r="N283" s="315"/>
      <c r="O283" s="339"/>
      <c r="P283" s="339"/>
    </row>
    <row r="284" spans="1:16" s="9" customFormat="1" ht="11.25" hidden="1" customHeight="1" x14ac:dyDescent="0.2">
      <c r="A284" s="10">
        <v>60671000</v>
      </c>
      <c r="B284" s="10" t="s">
        <v>374</v>
      </c>
      <c r="C284" s="11">
        <v>0</v>
      </c>
      <c r="D284" s="11">
        <v>150232.894</v>
      </c>
      <c r="E284" s="11">
        <v>1354.9839999999999</v>
      </c>
      <c r="F284" s="13">
        <f>SUMIF('OD 12-24'!A:A,A284,'OD 12-24'!D:D)</f>
        <v>13634.6</v>
      </c>
      <c r="G284" s="13">
        <f>SUMIF('OD 12-24'!A:A,A284,'OD 12-24'!E:E)</f>
        <v>13634.6</v>
      </c>
      <c r="H284" s="14">
        <f t="shared" si="18"/>
        <v>148877.91</v>
      </c>
      <c r="I284" s="14">
        <f t="shared" si="19"/>
        <v>148877.91</v>
      </c>
      <c r="J284" s="8" t="s">
        <v>157</v>
      </c>
      <c r="K284" s="8" t="s">
        <v>512</v>
      </c>
      <c r="L284" s="9">
        <v>0</v>
      </c>
      <c r="M284" s="339"/>
      <c r="N284" s="315"/>
      <c r="O284" s="339"/>
      <c r="P284" s="339"/>
    </row>
    <row r="285" spans="1:16" s="9" customFormat="1" ht="11.25" hidden="1" customHeight="1" x14ac:dyDescent="0.2">
      <c r="A285" s="10">
        <v>60672000</v>
      </c>
      <c r="B285" s="10" t="s">
        <v>7569</v>
      </c>
      <c r="C285" s="11">
        <v>0</v>
      </c>
      <c r="D285" s="11">
        <v>5092.6499999999996</v>
      </c>
      <c r="E285" s="11">
        <v>0</v>
      </c>
      <c r="F285" s="13">
        <f>SUMIF('OD 12-24'!A:A,A285,'OD 12-24'!D:D)</f>
        <v>0</v>
      </c>
      <c r="G285" s="13">
        <f>SUMIF('OD 12-24'!A:A,A285,'OD 12-24'!E:E)</f>
        <v>0</v>
      </c>
      <c r="H285" s="14">
        <f t="shared" ref="H285" si="20">+D285+F285-E285-G285</f>
        <v>5092.6499999999996</v>
      </c>
      <c r="I285" s="14">
        <f t="shared" ref="I285" si="21">+H285+C285</f>
        <v>5092.6499999999996</v>
      </c>
      <c r="J285" s="8" t="s">
        <v>157</v>
      </c>
      <c r="K285" s="8" t="s">
        <v>512</v>
      </c>
      <c r="L285" s="9">
        <v>0</v>
      </c>
      <c r="M285" s="339"/>
      <c r="N285" s="315"/>
      <c r="O285" s="339"/>
      <c r="P285" s="339"/>
    </row>
    <row r="286" spans="1:16" s="9" customFormat="1" ht="11.25" hidden="1" customHeight="1" x14ac:dyDescent="0.2">
      <c r="A286" s="10">
        <v>60900000</v>
      </c>
      <c r="B286" s="10" t="s">
        <v>10089</v>
      </c>
      <c r="C286" s="11">
        <v>0</v>
      </c>
      <c r="D286" s="11">
        <v>0</v>
      </c>
      <c r="E286" s="11">
        <v>29313.310064999998</v>
      </c>
      <c r="F286" s="13">
        <f>SUMIF('OD 12-24'!A:A,A286,'OD 12-24'!D:D)</f>
        <v>0</v>
      </c>
      <c r="G286" s="13">
        <f>SUMIF('OD 12-24'!A:A,A286,'OD 12-24'!E:E)</f>
        <v>88544.426000000007</v>
      </c>
      <c r="H286" s="14">
        <f t="shared" ref="H286:H287" si="22">+D286+F286-E286-G286</f>
        <v>-117857.736065</v>
      </c>
      <c r="I286" s="14">
        <f t="shared" ref="I286:I287" si="23">+H286+C286</f>
        <v>-117857.736065</v>
      </c>
      <c r="J286" s="8" t="s">
        <v>138</v>
      </c>
      <c r="K286" s="8" t="s">
        <v>509</v>
      </c>
      <c r="L286" s="9" t="e">
        <v>#N/A</v>
      </c>
      <c r="M286" s="339"/>
      <c r="N286" s="315"/>
      <c r="O286" s="339"/>
      <c r="P286" s="339"/>
    </row>
    <row r="287" spans="1:16" s="9" customFormat="1" ht="11.25" hidden="1" customHeight="1" x14ac:dyDescent="0.2">
      <c r="A287" s="10">
        <v>61400000</v>
      </c>
      <c r="B287" s="10" t="s">
        <v>175</v>
      </c>
      <c r="C287" s="11">
        <v>0</v>
      </c>
      <c r="D287" s="11">
        <v>79857.892000000007</v>
      </c>
      <c r="E287" s="11">
        <v>700</v>
      </c>
      <c r="F287" s="13">
        <f>SUMIF('OD 12-24'!A:A,A287,'OD 12-24'!D:D)</f>
        <v>0</v>
      </c>
      <c r="G287" s="13">
        <f>SUMIF('OD 12-24'!A:A,A287,'OD 12-24'!E:E)</f>
        <v>0</v>
      </c>
      <c r="H287" s="14">
        <f t="shared" si="22"/>
        <v>79157.892000000007</v>
      </c>
      <c r="I287" s="14">
        <f t="shared" si="23"/>
        <v>79157.892000000007</v>
      </c>
      <c r="J287" s="8" t="s">
        <v>157</v>
      </c>
      <c r="K287" s="8" t="s">
        <v>512</v>
      </c>
      <c r="L287" s="9">
        <v>0</v>
      </c>
      <c r="M287" s="339"/>
      <c r="N287" s="315"/>
      <c r="O287" s="339"/>
      <c r="P287" s="339"/>
    </row>
    <row r="288" spans="1:16" s="9" customFormat="1" ht="11.25" hidden="1" customHeight="1" x14ac:dyDescent="0.2">
      <c r="A288" s="10">
        <v>61500000</v>
      </c>
      <c r="B288" s="10" t="s">
        <v>176</v>
      </c>
      <c r="C288" s="11">
        <v>0</v>
      </c>
      <c r="D288" s="11">
        <v>660534.21699999995</v>
      </c>
      <c r="E288" s="11">
        <v>123714.21699999999</v>
      </c>
      <c r="F288" s="13">
        <f>SUMIF('OD 12-24'!A:A,A288,'OD 12-24'!D:D)</f>
        <v>101145.573</v>
      </c>
      <c r="G288" s="13">
        <f>SUMIF('OD 12-24'!A:A,A288,'OD 12-24'!E:E)</f>
        <v>101145.573</v>
      </c>
      <c r="H288" s="14">
        <f t="shared" si="18"/>
        <v>536820</v>
      </c>
      <c r="I288" s="14">
        <f t="shared" si="19"/>
        <v>536820</v>
      </c>
      <c r="J288" s="8" t="s">
        <v>157</v>
      </c>
      <c r="K288" s="8" t="s">
        <v>512</v>
      </c>
      <c r="L288" s="9">
        <v>0</v>
      </c>
      <c r="M288" s="339"/>
      <c r="N288" s="315"/>
      <c r="O288" s="339"/>
      <c r="P288" s="339"/>
    </row>
    <row r="289" spans="1:16" s="9" customFormat="1" ht="11.25" hidden="1" customHeight="1" x14ac:dyDescent="0.2">
      <c r="A289" s="10">
        <v>61501000</v>
      </c>
      <c r="B289" s="10" t="s">
        <v>177</v>
      </c>
      <c r="C289" s="11">
        <v>0</v>
      </c>
      <c r="D289" s="11">
        <v>235169.85800000001</v>
      </c>
      <c r="E289" s="11">
        <v>4123.9859999999999</v>
      </c>
      <c r="F289" s="13">
        <f>SUMIF('OD 12-24'!A:A,A289,'OD 12-24'!D:D)</f>
        <v>44211.341999999997</v>
      </c>
      <c r="G289" s="13">
        <f>SUMIF('OD 12-24'!A:A,A289,'OD 12-24'!E:E)</f>
        <v>41359.741999999998</v>
      </c>
      <c r="H289" s="14">
        <f t="shared" si="18"/>
        <v>233897.47200000004</v>
      </c>
      <c r="I289" s="14">
        <f t="shared" si="19"/>
        <v>233897.47200000004</v>
      </c>
      <c r="J289" s="8" t="s">
        <v>157</v>
      </c>
      <c r="K289" s="8" t="s">
        <v>512</v>
      </c>
      <c r="L289" s="9">
        <v>0</v>
      </c>
      <c r="M289" s="339"/>
      <c r="N289" s="315"/>
      <c r="O289" s="339"/>
      <c r="P289" s="339"/>
    </row>
    <row r="290" spans="1:16" s="9" customFormat="1" ht="11.25" hidden="1" customHeight="1" x14ac:dyDescent="0.2">
      <c r="A290" s="10">
        <v>61600000</v>
      </c>
      <c r="B290" s="10" t="s">
        <v>397</v>
      </c>
      <c r="C290" s="11">
        <v>0</v>
      </c>
      <c r="D290" s="11">
        <v>48541.588000000003</v>
      </c>
      <c r="E290" s="11">
        <v>0</v>
      </c>
      <c r="F290" s="13">
        <f>SUMIF('OD 12-24'!A:A,A290,'OD 12-24'!D:D)</f>
        <v>73892.266000000003</v>
      </c>
      <c r="G290" s="13">
        <f>SUMIF('OD 12-24'!A:A,A290,'OD 12-24'!E:E)</f>
        <v>73892.266000000003</v>
      </c>
      <c r="H290" s="14">
        <f t="shared" si="18"/>
        <v>48541.588000000003</v>
      </c>
      <c r="I290" s="14">
        <f t="shared" si="19"/>
        <v>48541.588000000003</v>
      </c>
      <c r="J290" s="8" t="s">
        <v>157</v>
      </c>
      <c r="K290" s="8" t="s">
        <v>512</v>
      </c>
      <c r="L290" s="9">
        <v>0</v>
      </c>
      <c r="M290" s="339"/>
      <c r="N290" s="315"/>
      <c r="O290" s="339"/>
      <c r="P290" s="339"/>
    </row>
    <row r="291" spans="1:16" s="9" customFormat="1" ht="11.25" hidden="1" customHeight="1" x14ac:dyDescent="0.2">
      <c r="A291" s="10">
        <v>61603000</v>
      </c>
      <c r="B291" s="10" t="s">
        <v>178</v>
      </c>
      <c r="C291" s="11">
        <v>0</v>
      </c>
      <c r="D291" s="11">
        <v>29988.795000000002</v>
      </c>
      <c r="E291" s="11">
        <v>28310.018</v>
      </c>
      <c r="F291" s="13">
        <f>SUMIF('OD 12-24'!A:A,A291,'OD 12-24'!D:D)</f>
        <v>251360.448</v>
      </c>
      <c r="G291" s="13">
        <f>SUMIF('OD 12-24'!A:A,A291,'OD 12-24'!E:E)</f>
        <v>211826.20800000001</v>
      </c>
      <c r="H291" s="14">
        <f t="shared" si="18"/>
        <v>41213.016999999993</v>
      </c>
      <c r="I291" s="14">
        <f t="shared" si="19"/>
        <v>41213.016999999993</v>
      </c>
      <c r="J291" s="8" t="s">
        <v>157</v>
      </c>
      <c r="K291" s="8" t="s">
        <v>512</v>
      </c>
      <c r="L291" s="9">
        <v>0</v>
      </c>
      <c r="M291" s="339"/>
      <c r="N291" s="315"/>
      <c r="O291" s="339"/>
      <c r="P291" s="339"/>
    </row>
    <row r="292" spans="1:16" s="9" customFormat="1" ht="11.25" hidden="1" customHeight="1" x14ac:dyDescent="0.2">
      <c r="A292" s="10">
        <v>61607000</v>
      </c>
      <c r="B292" s="10" t="s">
        <v>179</v>
      </c>
      <c r="C292" s="11">
        <v>0</v>
      </c>
      <c r="D292" s="11">
        <v>0</v>
      </c>
      <c r="E292" s="11">
        <v>0</v>
      </c>
      <c r="F292" s="13">
        <f>SUMIF('OD 12-24'!A:A,A292,'OD 12-24'!D:D)</f>
        <v>0</v>
      </c>
      <c r="G292" s="13">
        <f>SUMIF('OD 12-24'!A:A,A292,'OD 12-24'!E:E)</f>
        <v>0</v>
      </c>
      <c r="H292" s="14">
        <f t="shared" si="18"/>
        <v>0</v>
      </c>
      <c r="I292" s="14">
        <f t="shared" si="19"/>
        <v>0</v>
      </c>
      <c r="J292" s="8" t="s">
        <v>157</v>
      </c>
      <c r="K292" s="8" t="s">
        <v>512</v>
      </c>
      <c r="L292" s="9">
        <v>0</v>
      </c>
      <c r="M292" s="339"/>
      <c r="N292" s="315"/>
      <c r="O292" s="339"/>
      <c r="P292" s="339"/>
    </row>
    <row r="293" spans="1:16" s="9" customFormat="1" ht="11.25" hidden="1" customHeight="1" x14ac:dyDescent="0.2">
      <c r="A293" s="10">
        <v>62120000</v>
      </c>
      <c r="B293" s="10" t="s">
        <v>180</v>
      </c>
      <c r="C293" s="11">
        <v>0</v>
      </c>
      <c r="D293" s="11">
        <v>40674.197</v>
      </c>
      <c r="E293" s="11">
        <v>0</v>
      </c>
      <c r="F293" s="13">
        <f>SUMIF('OD 12-24'!A:A,A293,'OD 12-24'!D:D)</f>
        <v>0</v>
      </c>
      <c r="G293" s="13">
        <f>SUMIF('OD 12-24'!A:A,A293,'OD 12-24'!E:E)</f>
        <v>0</v>
      </c>
      <c r="H293" s="14">
        <f t="shared" si="18"/>
        <v>40674.197</v>
      </c>
      <c r="I293" s="14">
        <f t="shared" si="19"/>
        <v>40674.197</v>
      </c>
      <c r="J293" s="8" t="s">
        <v>157</v>
      </c>
      <c r="K293" s="8" t="s">
        <v>512</v>
      </c>
      <c r="L293" s="9">
        <v>0</v>
      </c>
      <c r="M293" s="339"/>
      <c r="N293" s="315"/>
      <c r="O293" s="339"/>
      <c r="P293" s="339"/>
    </row>
    <row r="294" spans="1:16" s="9" customFormat="1" ht="11.25" hidden="1" customHeight="1" x14ac:dyDescent="0.2">
      <c r="A294" s="10">
        <v>62200000</v>
      </c>
      <c r="B294" s="10" t="s">
        <v>181</v>
      </c>
      <c r="C294" s="11">
        <v>0</v>
      </c>
      <c r="D294" s="11">
        <v>57119.56</v>
      </c>
      <c r="E294" s="11">
        <v>0</v>
      </c>
      <c r="F294" s="13">
        <f>SUMIF('OD 12-24'!A:A,A294,'OD 12-24'!D:D)</f>
        <v>199042.64199999999</v>
      </c>
      <c r="G294" s="13">
        <f>SUMIF('OD 12-24'!A:A,A294,'OD 12-24'!E:E)</f>
        <v>99521.320999999996</v>
      </c>
      <c r="H294" s="14">
        <f t="shared" si="18"/>
        <v>156640.88099999999</v>
      </c>
      <c r="I294" s="14">
        <f t="shared" si="19"/>
        <v>156640.88099999999</v>
      </c>
      <c r="J294" s="8" t="s">
        <v>157</v>
      </c>
      <c r="K294" s="8" t="s">
        <v>512</v>
      </c>
      <c r="L294" s="9" t="e">
        <v>#N/A</v>
      </c>
      <c r="M294" s="339"/>
      <c r="N294" s="315"/>
      <c r="O294" s="339"/>
      <c r="P294" s="339"/>
    </row>
    <row r="295" spans="1:16" s="9" customFormat="1" ht="11.25" hidden="1" customHeight="1" x14ac:dyDescent="0.2">
      <c r="A295" s="10">
        <v>62210000</v>
      </c>
      <c r="B295" s="10" t="s">
        <v>398</v>
      </c>
      <c r="C295" s="11">
        <v>0</v>
      </c>
      <c r="D295" s="11">
        <v>70614</v>
      </c>
      <c r="E295" s="11">
        <v>25705</v>
      </c>
      <c r="F295" s="13">
        <f>SUMIF('OD 12-24'!A:A,A295,'OD 12-24'!D:D)</f>
        <v>30333.332999999999</v>
      </c>
      <c r="G295" s="13">
        <f>SUMIF('OD 12-24'!A:A,A295,'OD 12-24'!E:E)</f>
        <v>33800</v>
      </c>
      <c r="H295" s="14">
        <f t="shared" si="18"/>
        <v>41442.332999999999</v>
      </c>
      <c r="I295" s="14">
        <f t="shared" si="19"/>
        <v>41442.332999999999</v>
      </c>
      <c r="J295" s="8" t="s">
        <v>157</v>
      </c>
      <c r="K295" s="8" t="s">
        <v>512</v>
      </c>
      <c r="L295" s="9">
        <v>0</v>
      </c>
      <c r="M295" s="339"/>
      <c r="N295" s="315"/>
      <c r="O295" s="339"/>
      <c r="P295" s="339"/>
    </row>
    <row r="296" spans="1:16" s="9" customFormat="1" ht="11.25" hidden="1" customHeight="1" x14ac:dyDescent="0.2">
      <c r="A296" s="10">
        <v>62230000</v>
      </c>
      <c r="B296" s="10" t="s">
        <v>375</v>
      </c>
      <c r="C296" s="11">
        <v>0</v>
      </c>
      <c r="D296" s="11">
        <v>50004.924000000006</v>
      </c>
      <c r="E296" s="11">
        <v>0</v>
      </c>
      <c r="F296" s="13">
        <f>SUMIF('OD 12-24'!A:A,A296,'OD 12-24'!D:D)</f>
        <v>60513.398000000001</v>
      </c>
      <c r="G296" s="13">
        <f>SUMIF('OD 12-24'!A:A,A296,'OD 12-24'!E:E)</f>
        <v>60513.398000000001</v>
      </c>
      <c r="H296" s="14">
        <f t="shared" si="18"/>
        <v>50004.924000000014</v>
      </c>
      <c r="I296" s="14">
        <f t="shared" si="19"/>
        <v>50004.924000000014</v>
      </c>
      <c r="J296" s="8" t="s">
        <v>157</v>
      </c>
      <c r="K296" s="8" t="s">
        <v>512</v>
      </c>
      <c r="L296" s="9">
        <v>0</v>
      </c>
      <c r="M296" s="339"/>
      <c r="N296" s="315"/>
      <c r="O296" s="339"/>
      <c r="P296" s="339"/>
    </row>
    <row r="297" spans="1:16" s="9" customFormat="1" ht="11.25" hidden="1" customHeight="1" x14ac:dyDescent="0.2">
      <c r="A297" s="10">
        <v>62240000</v>
      </c>
      <c r="B297" s="10" t="s">
        <v>267</v>
      </c>
      <c r="C297" s="11">
        <v>0</v>
      </c>
      <c r="D297" s="11">
        <v>59123.95</v>
      </c>
      <c r="E297" s="11">
        <v>523.68799999999999</v>
      </c>
      <c r="F297" s="13">
        <f>SUMIF('OD 12-24'!A:A,A297,'OD 12-24'!D:D)</f>
        <v>257167.9</v>
      </c>
      <c r="G297" s="13">
        <f>SUMIF('OD 12-24'!A:A,A297,'OD 12-24'!E:E)</f>
        <v>259372.9</v>
      </c>
      <c r="H297" s="14">
        <f t="shared" si="18"/>
        <v>56395.261999999959</v>
      </c>
      <c r="I297" s="14">
        <f t="shared" si="19"/>
        <v>56395.261999999959</v>
      </c>
      <c r="J297" s="8" t="s">
        <v>157</v>
      </c>
      <c r="K297" s="8" t="s">
        <v>512</v>
      </c>
      <c r="L297" s="9">
        <v>0</v>
      </c>
      <c r="M297" s="339"/>
      <c r="N297" s="315"/>
      <c r="O297" s="339"/>
      <c r="P297" s="339"/>
    </row>
    <row r="298" spans="1:16" s="9" customFormat="1" ht="11.25" hidden="1" customHeight="1" x14ac:dyDescent="0.2">
      <c r="A298" s="10">
        <v>62250000</v>
      </c>
      <c r="B298" s="10" t="s">
        <v>268</v>
      </c>
      <c r="C298" s="11">
        <v>0</v>
      </c>
      <c r="D298" s="11">
        <v>43320</v>
      </c>
      <c r="E298" s="11">
        <v>30000</v>
      </c>
      <c r="F298" s="13">
        <f>SUMIF('OD 12-24'!A:A,A298,'OD 12-24'!D:D)</f>
        <v>300000</v>
      </c>
      <c r="G298" s="13">
        <f>SUMIF('OD 12-24'!A:A,A298,'OD 12-24'!E:E)</f>
        <v>255000</v>
      </c>
      <c r="H298" s="14">
        <f t="shared" si="18"/>
        <v>58320</v>
      </c>
      <c r="I298" s="14">
        <f t="shared" si="19"/>
        <v>58320</v>
      </c>
      <c r="J298" s="8" t="s">
        <v>157</v>
      </c>
      <c r="K298" s="8" t="s">
        <v>512</v>
      </c>
      <c r="L298" s="9">
        <v>0</v>
      </c>
      <c r="M298" s="339"/>
      <c r="N298" s="315"/>
      <c r="O298" s="339"/>
      <c r="P298" s="339"/>
    </row>
    <row r="299" spans="1:16" s="9" customFormat="1" ht="11.25" hidden="1" customHeight="1" x14ac:dyDescent="0.2">
      <c r="A299" s="10">
        <v>62260000</v>
      </c>
      <c r="B299" s="10" t="s">
        <v>7402</v>
      </c>
      <c r="C299" s="11">
        <v>0</v>
      </c>
      <c r="D299" s="11">
        <v>9209.64</v>
      </c>
      <c r="E299" s="11">
        <v>0</v>
      </c>
      <c r="F299" s="13">
        <f>SUMIF('OD 12-24'!A:A,A299,'OD 12-24'!D:D)</f>
        <v>60000</v>
      </c>
      <c r="G299" s="13">
        <f>SUMIF('OD 12-24'!A:A,A299,'OD 12-24'!E:E)</f>
        <v>50000</v>
      </c>
      <c r="H299" s="14">
        <f t="shared" si="18"/>
        <v>19209.64</v>
      </c>
      <c r="I299" s="14">
        <f t="shared" si="19"/>
        <v>19209.64</v>
      </c>
      <c r="J299" s="8" t="s">
        <v>157</v>
      </c>
      <c r="K299" s="8" t="s">
        <v>512</v>
      </c>
      <c r="L299" s="9">
        <v>0</v>
      </c>
      <c r="M299" s="339"/>
      <c r="N299" s="315"/>
      <c r="O299" s="339"/>
      <c r="P299" s="339"/>
    </row>
    <row r="300" spans="1:16" s="9" customFormat="1" ht="11.25" hidden="1" customHeight="1" x14ac:dyDescent="0.2">
      <c r="A300" s="10">
        <v>62270000</v>
      </c>
      <c r="B300" s="10" t="s">
        <v>399</v>
      </c>
      <c r="C300" s="11">
        <v>0</v>
      </c>
      <c r="D300" s="11">
        <v>53210.224999999999</v>
      </c>
      <c r="E300" s="11">
        <v>0</v>
      </c>
      <c r="F300" s="13">
        <f>SUMIF('OD 12-24'!A:A,A300,'OD 12-24'!D:D)</f>
        <v>4450.84</v>
      </c>
      <c r="G300" s="13">
        <f>SUMIF('OD 12-24'!A:A,A300,'OD 12-24'!E:E)</f>
        <v>4450.84</v>
      </c>
      <c r="H300" s="14">
        <f t="shared" si="18"/>
        <v>53210.225000000006</v>
      </c>
      <c r="I300" s="14">
        <f t="shared" si="19"/>
        <v>53210.225000000006</v>
      </c>
      <c r="J300" s="8" t="s">
        <v>157</v>
      </c>
      <c r="K300" s="8" t="s">
        <v>512</v>
      </c>
      <c r="L300" s="9">
        <v>0</v>
      </c>
      <c r="M300" s="339"/>
      <c r="N300" s="315"/>
      <c r="O300" s="339"/>
      <c r="P300" s="339"/>
    </row>
    <row r="301" spans="1:16" s="9" customFormat="1" ht="11.25" hidden="1" customHeight="1" x14ac:dyDescent="0.2">
      <c r="A301" s="10">
        <v>62280000</v>
      </c>
      <c r="B301" s="10" t="s">
        <v>7721</v>
      </c>
      <c r="C301" s="11">
        <v>0</v>
      </c>
      <c r="D301" s="11">
        <v>50012</v>
      </c>
      <c r="E301" s="11">
        <v>24780</v>
      </c>
      <c r="F301" s="13">
        <f>SUMIF('OD 12-24'!A:A,A301,'OD 12-24'!D:D)</f>
        <v>6480</v>
      </c>
      <c r="G301" s="13">
        <f>SUMIF('OD 12-24'!A:A,A301,'OD 12-24'!E:E)</f>
        <v>6480</v>
      </c>
      <c r="H301" s="14">
        <f t="shared" si="18"/>
        <v>25232</v>
      </c>
      <c r="I301" s="14">
        <f t="shared" si="19"/>
        <v>25232</v>
      </c>
      <c r="J301" s="8" t="s">
        <v>157</v>
      </c>
      <c r="K301" s="8" t="s">
        <v>512</v>
      </c>
      <c r="L301" s="9" t="e">
        <v>#N/A</v>
      </c>
      <c r="M301" s="339"/>
      <c r="N301" s="315"/>
      <c r="O301" s="339"/>
      <c r="P301" s="339"/>
    </row>
    <row r="302" spans="1:16" s="9" customFormat="1" ht="11.25" hidden="1" customHeight="1" x14ac:dyDescent="0.2">
      <c r="A302" s="10">
        <v>62300000</v>
      </c>
      <c r="B302" s="10" t="s">
        <v>182</v>
      </c>
      <c r="C302" s="11">
        <v>0</v>
      </c>
      <c r="D302" s="11">
        <v>101458.40599999999</v>
      </c>
      <c r="E302" s="11">
        <v>0</v>
      </c>
      <c r="F302" s="13">
        <f>SUMIF('OD 12-24'!A:A,A302,'OD 12-24'!D:D)</f>
        <v>759000</v>
      </c>
      <c r="G302" s="13">
        <f>SUMIF('OD 12-24'!A:A,A302,'OD 12-24'!E:E)</f>
        <v>759000</v>
      </c>
      <c r="H302" s="14">
        <f t="shared" si="18"/>
        <v>101458.40599999996</v>
      </c>
      <c r="I302" s="14">
        <f t="shared" si="19"/>
        <v>101458.40599999996</v>
      </c>
      <c r="J302" s="8" t="s">
        <v>157</v>
      </c>
      <c r="K302" s="8" t="s">
        <v>512</v>
      </c>
      <c r="L302" s="9">
        <v>0</v>
      </c>
      <c r="M302" s="339"/>
      <c r="N302" s="315"/>
      <c r="O302" s="339"/>
      <c r="P302" s="339"/>
    </row>
    <row r="303" spans="1:16" s="9" customFormat="1" ht="11.25" hidden="1" customHeight="1" x14ac:dyDescent="0.2">
      <c r="A303" s="10">
        <v>62301000</v>
      </c>
      <c r="B303" s="10" t="s">
        <v>7397</v>
      </c>
      <c r="C303" s="11">
        <v>0</v>
      </c>
      <c r="D303" s="11">
        <v>84729.710999999996</v>
      </c>
      <c r="E303" s="11">
        <v>8315</v>
      </c>
      <c r="F303" s="13">
        <f>SUMIF('OD 12-24'!A:A,A303,'OD 12-24'!D:D)</f>
        <v>0</v>
      </c>
      <c r="G303" s="13">
        <f>SUMIF('OD 12-24'!A:A,A303,'OD 12-24'!E:E)</f>
        <v>0</v>
      </c>
      <c r="H303" s="14">
        <f t="shared" si="18"/>
        <v>76414.710999999996</v>
      </c>
      <c r="I303" s="14">
        <f t="shared" si="19"/>
        <v>76414.710999999996</v>
      </c>
      <c r="J303" s="8" t="s">
        <v>157</v>
      </c>
      <c r="K303" s="8" t="s">
        <v>512</v>
      </c>
      <c r="L303" s="9">
        <v>0</v>
      </c>
      <c r="M303" s="339"/>
      <c r="N303" s="315"/>
      <c r="O303" s="339"/>
      <c r="P303" s="339"/>
    </row>
    <row r="304" spans="1:16" s="9" customFormat="1" ht="11.25" hidden="1" customHeight="1" x14ac:dyDescent="0.2">
      <c r="A304" s="10">
        <v>62410000</v>
      </c>
      <c r="B304" s="10" t="s">
        <v>183</v>
      </c>
      <c r="C304" s="11">
        <v>0</v>
      </c>
      <c r="D304" s="11">
        <v>33083.868000000002</v>
      </c>
      <c r="E304" s="11">
        <v>0</v>
      </c>
      <c r="F304" s="13">
        <f>SUMIF('OD 12-24'!A:A,A304,'OD 12-24'!D:D)</f>
        <v>0</v>
      </c>
      <c r="G304" s="13">
        <f>SUMIF('OD 12-24'!A:A,A304,'OD 12-24'!E:E)</f>
        <v>0</v>
      </c>
      <c r="H304" s="14">
        <f t="shared" si="18"/>
        <v>33083.868000000002</v>
      </c>
      <c r="I304" s="14">
        <f t="shared" si="19"/>
        <v>33083.868000000002</v>
      </c>
      <c r="J304" s="8" t="s">
        <v>157</v>
      </c>
      <c r="K304" s="8" t="s">
        <v>512</v>
      </c>
      <c r="L304" s="9">
        <v>0</v>
      </c>
      <c r="M304" s="339"/>
      <c r="N304" s="315"/>
      <c r="O304" s="339"/>
      <c r="P304" s="339"/>
    </row>
    <row r="305" spans="1:16" s="9" customFormat="1" ht="11.25" hidden="1" customHeight="1" x14ac:dyDescent="0.2">
      <c r="A305" s="10">
        <v>62420000</v>
      </c>
      <c r="B305" s="10" t="s">
        <v>184</v>
      </c>
      <c r="C305" s="11">
        <v>0</v>
      </c>
      <c r="D305" s="11">
        <v>420</v>
      </c>
      <c r="E305" s="11">
        <v>0</v>
      </c>
      <c r="F305" s="13">
        <f>SUMIF('OD 12-24'!A:A,A305,'OD 12-24'!D:D)</f>
        <v>0</v>
      </c>
      <c r="G305" s="13">
        <f>SUMIF('OD 12-24'!A:A,A305,'OD 12-24'!E:E)</f>
        <v>0</v>
      </c>
      <c r="H305" s="14">
        <f t="shared" si="18"/>
        <v>420</v>
      </c>
      <c r="I305" s="14">
        <f t="shared" si="19"/>
        <v>420</v>
      </c>
      <c r="J305" s="8" t="s">
        <v>157</v>
      </c>
      <c r="K305" s="8" t="s">
        <v>512</v>
      </c>
      <c r="L305" s="9">
        <v>0</v>
      </c>
      <c r="M305" s="339"/>
      <c r="N305" s="315"/>
      <c r="O305" s="339"/>
      <c r="P305" s="339"/>
    </row>
    <row r="306" spans="1:16" s="9" customFormat="1" ht="11.25" hidden="1" customHeight="1" x14ac:dyDescent="0.2">
      <c r="A306" s="10">
        <v>62430000</v>
      </c>
      <c r="B306" s="10" t="s">
        <v>159</v>
      </c>
      <c r="C306" s="11">
        <v>0</v>
      </c>
      <c r="D306" s="11">
        <v>1235342.281</v>
      </c>
      <c r="E306" s="11">
        <v>18320.150000000001</v>
      </c>
      <c r="F306" s="13">
        <f>SUMIF('OD 12-24'!A:A,A306,'OD 12-24'!D:D)</f>
        <v>307608.45</v>
      </c>
      <c r="G306" s="13">
        <f>SUMIF('OD 12-24'!A:A,A306,'OD 12-24'!E:E)</f>
        <v>307608.45</v>
      </c>
      <c r="H306" s="14">
        <f t="shared" si="18"/>
        <v>1217022.1310000001</v>
      </c>
      <c r="I306" s="14">
        <f t="shared" si="19"/>
        <v>1217022.1310000001</v>
      </c>
      <c r="J306" s="8" t="s">
        <v>157</v>
      </c>
      <c r="K306" s="8" t="s">
        <v>512</v>
      </c>
      <c r="L306" s="9">
        <v>0</v>
      </c>
      <c r="M306" s="339"/>
      <c r="N306" s="315"/>
      <c r="O306" s="339"/>
      <c r="P306" s="339"/>
    </row>
    <row r="307" spans="1:16" s="9" customFormat="1" ht="11.25" hidden="1" customHeight="1" x14ac:dyDescent="0.2">
      <c r="A307" s="10">
        <v>62500000</v>
      </c>
      <c r="B307" s="10" t="s">
        <v>185</v>
      </c>
      <c r="C307" s="11">
        <v>0</v>
      </c>
      <c r="D307" s="11">
        <v>8492.273000000001</v>
      </c>
      <c r="E307" s="11">
        <v>2039.8370000000002</v>
      </c>
      <c r="F307" s="13">
        <f>SUMIF('OD 12-24'!A:A,A307,'OD 12-24'!D:D)</f>
        <v>0</v>
      </c>
      <c r="G307" s="13">
        <f>SUMIF('OD 12-24'!A:A,A307,'OD 12-24'!E:E)</f>
        <v>0</v>
      </c>
      <c r="H307" s="14">
        <f t="shared" si="18"/>
        <v>6452.4360000000006</v>
      </c>
      <c r="I307" s="14">
        <f t="shared" si="19"/>
        <v>6452.4360000000006</v>
      </c>
      <c r="J307" s="8" t="s">
        <v>157</v>
      </c>
      <c r="K307" s="8" t="s">
        <v>512</v>
      </c>
      <c r="L307" s="9">
        <v>0</v>
      </c>
      <c r="M307" s="339"/>
      <c r="N307" s="315"/>
      <c r="O307" s="339"/>
      <c r="P307" s="339"/>
    </row>
    <row r="308" spans="1:16" s="9" customFormat="1" ht="11.25" hidden="1" customHeight="1" x14ac:dyDescent="0.2">
      <c r="A308" s="10">
        <v>62510000</v>
      </c>
      <c r="B308" s="10" t="s">
        <v>7571</v>
      </c>
      <c r="C308" s="11">
        <v>0</v>
      </c>
      <c r="D308" s="11">
        <v>201125.69</v>
      </c>
      <c r="E308" s="11">
        <v>0</v>
      </c>
      <c r="F308" s="13">
        <f>SUMIF('OD 12-24'!A:A,A308,'OD 12-24'!D:D)</f>
        <v>140000</v>
      </c>
      <c r="G308" s="13">
        <f>SUMIF('OD 12-24'!A:A,A308,'OD 12-24'!E:E)</f>
        <v>120000</v>
      </c>
      <c r="H308" s="14">
        <f t="shared" si="18"/>
        <v>221125.69</v>
      </c>
      <c r="I308" s="14">
        <f t="shared" si="19"/>
        <v>221125.69</v>
      </c>
      <c r="J308" s="8" t="s">
        <v>157</v>
      </c>
      <c r="K308" s="8" t="s">
        <v>512</v>
      </c>
      <c r="L308" s="9">
        <v>0</v>
      </c>
      <c r="M308" s="339"/>
      <c r="N308" s="315"/>
      <c r="O308" s="339"/>
      <c r="P308" s="339"/>
    </row>
    <row r="309" spans="1:16" s="9" customFormat="1" ht="11.25" hidden="1" customHeight="1" x14ac:dyDescent="0.2">
      <c r="A309" s="10">
        <v>62520000</v>
      </c>
      <c r="B309" s="10" t="s">
        <v>7403</v>
      </c>
      <c r="C309" s="11">
        <v>0</v>
      </c>
      <c r="D309" s="11">
        <v>5179.3999999999996</v>
      </c>
      <c r="E309" s="11">
        <v>0</v>
      </c>
      <c r="F309" s="13">
        <f>SUMIF('OD 12-24'!A:A,A309,'OD 12-24'!D:D)</f>
        <v>0</v>
      </c>
      <c r="G309" s="13">
        <f>SUMIF('OD 12-24'!A:A,A309,'OD 12-24'!E:E)</f>
        <v>0</v>
      </c>
      <c r="H309" s="14">
        <f t="shared" si="18"/>
        <v>5179.3999999999996</v>
      </c>
      <c r="I309" s="14">
        <f t="shared" si="19"/>
        <v>5179.3999999999996</v>
      </c>
      <c r="J309" s="8" t="s">
        <v>157</v>
      </c>
      <c r="K309" s="8" t="s">
        <v>512</v>
      </c>
      <c r="L309" s="9">
        <v>0</v>
      </c>
      <c r="M309" s="339"/>
      <c r="N309" s="315"/>
      <c r="O309" s="339"/>
      <c r="P309" s="339"/>
    </row>
    <row r="310" spans="1:16" s="9" customFormat="1" ht="11.25" hidden="1" customHeight="1" x14ac:dyDescent="0.2">
      <c r="A310" s="10">
        <v>62570000</v>
      </c>
      <c r="B310" s="10" t="s">
        <v>186</v>
      </c>
      <c r="C310" s="11">
        <v>0</v>
      </c>
      <c r="D310" s="11">
        <v>168815.89300000001</v>
      </c>
      <c r="E310" s="11">
        <v>1511.9429999999998</v>
      </c>
      <c r="F310" s="13">
        <f>SUMIF('OD 12-24'!A:A,A310,'OD 12-24'!D:D)</f>
        <v>0</v>
      </c>
      <c r="G310" s="13">
        <f>SUMIF('OD 12-24'!A:A,A310,'OD 12-24'!E:E)</f>
        <v>0</v>
      </c>
      <c r="H310" s="14">
        <f t="shared" si="18"/>
        <v>167303.95000000001</v>
      </c>
      <c r="I310" s="14">
        <f t="shared" si="19"/>
        <v>167303.95000000001</v>
      </c>
      <c r="J310" s="8" t="s">
        <v>157</v>
      </c>
      <c r="K310" s="8" t="s">
        <v>512</v>
      </c>
      <c r="L310" s="9">
        <v>0</v>
      </c>
      <c r="M310" s="339"/>
      <c r="N310" s="315"/>
      <c r="O310" s="339"/>
      <c r="P310" s="339"/>
    </row>
    <row r="311" spans="1:16" s="9" customFormat="1" ht="11.25" hidden="1" customHeight="1" x14ac:dyDescent="0.2">
      <c r="A311" s="10">
        <v>62571000</v>
      </c>
      <c r="B311" s="10" t="s">
        <v>376</v>
      </c>
      <c r="C311" s="11">
        <v>0</v>
      </c>
      <c r="D311" s="11">
        <v>20082.616000000002</v>
      </c>
      <c r="E311" s="11">
        <v>0</v>
      </c>
      <c r="F311" s="13">
        <f>SUMIF('OD 12-24'!A:A,A311,'OD 12-24'!D:D)</f>
        <v>0</v>
      </c>
      <c r="G311" s="13">
        <f>SUMIF('OD 12-24'!A:A,A311,'OD 12-24'!E:E)</f>
        <v>0</v>
      </c>
      <c r="H311" s="14">
        <f t="shared" si="18"/>
        <v>20082.616000000002</v>
      </c>
      <c r="I311" s="14">
        <f t="shared" si="19"/>
        <v>20082.616000000002</v>
      </c>
      <c r="J311" s="8" t="s">
        <v>157</v>
      </c>
      <c r="K311" s="8" t="s">
        <v>512</v>
      </c>
      <c r="L311" s="9">
        <v>0</v>
      </c>
      <c r="M311" s="339"/>
      <c r="N311" s="315"/>
      <c r="O311" s="339"/>
      <c r="P311" s="339"/>
    </row>
    <row r="312" spans="1:16" s="9" customFormat="1" ht="11.25" hidden="1" customHeight="1" x14ac:dyDescent="0.2">
      <c r="A312" s="10">
        <v>62572000</v>
      </c>
      <c r="B312" s="10" t="s">
        <v>377</v>
      </c>
      <c r="C312" s="11">
        <v>0</v>
      </c>
      <c r="D312" s="11">
        <v>35582.365000000005</v>
      </c>
      <c r="E312" s="11">
        <v>0</v>
      </c>
      <c r="F312" s="13">
        <f>SUMIF('OD 12-24'!A:A,A312,'OD 12-24'!D:D)</f>
        <v>0</v>
      </c>
      <c r="G312" s="13">
        <f>SUMIF('OD 12-24'!A:A,A312,'OD 12-24'!E:E)</f>
        <v>0</v>
      </c>
      <c r="H312" s="14">
        <f t="shared" si="18"/>
        <v>35582.365000000005</v>
      </c>
      <c r="I312" s="14">
        <f t="shared" si="19"/>
        <v>35582.365000000005</v>
      </c>
      <c r="J312" s="8" t="s">
        <v>157</v>
      </c>
      <c r="K312" s="8" t="s">
        <v>512</v>
      </c>
      <c r="L312" s="9">
        <v>0</v>
      </c>
      <c r="M312" s="339"/>
      <c r="N312" s="315"/>
      <c r="O312" s="339"/>
      <c r="P312" s="339"/>
    </row>
    <row r="313" spans="1:16" s="9" customFormat="1" ht="11.25" hidden="1" customHeight="1" x14ac:dyDescent="0.2">
      <c r="A313" s="10">
        <v>62573000</v>
      </c>
      <c r="B313" s="10" t="s">
        <v>378</v>
      </c>
      <c r="C313" s="11">
        <v>0</v>
      </c>
      <c r="D313" s="11">
        <v>2048.7150000000001</v>
      </c>
      <c r="E313" s="11">
        <v>0</v>
      </c>
      <c r="F313" s="13">
        <f>SUMIF('OD 12-24'!A:A,A313,'OD 12-24'!D:D)</f>
        <v>0</v>
      </c>
      <c r="G313" s="13">
        <f>SUMIF('OD 12-24'!A:A,A313,'OD 12-24'!E:E)</f>
        <v>0</v>
      </c>
      <c r="H313" s="14">
        <f t="shared" si="18"/>
        <v>2048.7150000000001</v>
      </c>
      <c r="I313" s="14">
        <f t="shared" si="19"/>
        <v>2048.7150000000001</v>
      </c>
      <c r="J313" s="8" t="s">
        <v>157</v>
      </c>
      <c r="K313" s="8" t="s">
        <v>512</v>
      </c>
      <c r="L313" s="9">
        <v>0</v>
      </c>
      <c r="M313" s="339"/>
      <c r="N313" s="315"/>
      <c r="O313" s="339"/>
      <c r="P313" s="339"/>
    </row>
    <row r="314" spans="1:16" s="9" customFormat="1" ht="11.25" hidden="1" customHeight="1" x14ac:dyDescent="0.2">
      <c r="A314" s="10">
        <v>62580000</v>
      </c>
      <c r="B314" s="10" t="s">
        <v>187</v>
      </c>
      <c r="C314" s="11">
        <v>0</v>
      </c>
      <c r="D314" s="11">
        <v>10330.331</v>
      </c>
      <c r="E314" s="11">
        <v>0</v>
      </c>
      <c r="F314" s="13">
        <f>SUMIF('OD 12-24'!A:A,A314,'OD 12-24'!D:D)</f>
        <v>0</v>
      </c>
      <c r="G314" s="13">
        <f>SUMIF('OD 12-24'!A:A,A314,'OD 12-24'!E:E)</f>
        <v>0</v>
      </c>
      <c r="H314" s="14">
        <f t="shared" si="18"/>
        <v>10330.331</v>
      </c>
      <c r="I314" s="14">
        <f t="shared" si="19"/>
        <v>10330.331</v>
      </c>
      <c r="J314" s="8" t="s">
        <v>157</v>
      </c>
      <c r="K314" s="8" t="s">
        <v>512</v>
      </c>
      <c r="L314" s="9">
        <v>0</v>
      </c>
      <c r="M314" s="339"/>
      <c r="N314" s="315"/>
      <c r="O314" s="339"/>
      <c r="P314" s="339"/>
    </row>
    <row r="315" spans="1:16" s="9" customFormat="1" ht="11.25" hidden="1" customHeight="1" x14ac:dyDescent="0.2">
      <c r="A315" s="10">
        <v>62600000</v>
      </c>
      <c r="B315" s="10" t="s">
        <v>188</v>
      </c>
      <c r="C315" s="11">
        <v>0</v>
      </c>
      <c r="D315" s="11">
        <v>41685.56</v>
      </c>
      <c r="E315" s="11">
        <v>0</v>
      </c>
      <c r="F315" s="13">
        <f>SUMIF('OD 12-24'!A:A,A315,'OD 12-24'!D:D)</f>
        <v>23938.421999999999</v>
      </c>
      <c r="G315" s="13">
        <f>SUMIF('OD 12-24'!A:A,A315,'OD 12-24'!E:E)</f>
        <v>23938.421999999999</v>
      </c>
      <c r="H315" s="14">
        <f t="shared" si="18"/>
        <v>41685.55999999999</v>
      </c>
      <c r="I315" s="14">
        <f t="shared" si="19"/>
        <v>41685.55999999999</v>
      </c>
      <c r="J315" s="8" t="s">
        <v>157</v>
      </c>
      <c r="K315" s="8" t="s">
        <v>512</v>
      </c>
      <c r="L315" s="9">
        <v>0</v>
      </c>
      <c r="M315" s="339"/>
      <c r="N315" s="315"/>
      <c r="O315" s="339"/>
      <c r="P315" s="339"/>
    </row>
    <row r="316" spans="1:16" s="9" customFormat="1" ht="11.25" hidden="1" customHeight="1" x14ac:dyDescent="0.2">
      <c r="A316" s="10">
        <v>62780000</v>
      </c>
      <c r="B316" s="10" t="s">
        <v>189</v>
      </c>
      <c r="C316" s="11">
        <v>0</v>
      </c>
      <c r="D316" s="11">
        <v>298206.73499999999</v>
      </c>
      <c r="E316" s="11">
        <v>250.798</v>
      </c>
      <c r="F316" s="13">
        <f>SUMIF('OD 12-24'!A:A,A316,'OD 12-24'!D:D)</f>
        <v>206179.45</v>
      </c>
      <c r="G316" s="13">
        <f>SUMIF('OD 12-24'!A:A,A316,'OD 12-24'!E:E)</f>
        <v>190808.53</v>
      </c>
      <c r="H316" s="14">
        <f t="shared" si="18"/>
        <v>313326.85699999996</v>
      </c>
      <c r="I316" s="14">
        <f t="shared" si="19"/>
        <v>313326.85699999996</v>
      </c>
      <c r="J316" s="8" t="s">
        <v>195</v>
      </c>
      <c r="K316" s="8" t="s">
        <v>517</v>
      </c>
      <c r="L316" s="9">
        <v>0</v>
      </c>
      <c r="M316" s="339"/>
      <c r="N316" s="315"/>
      <c r="O316" s="339"/>
      <c r="P316" s="339"/>
    </row>
    <row r="317" spans="1:16" s="9" customFormat="1" ht="11.25" hidden="1" customHeight="1" x14ac:dyDescent="0.2">
      <c r="A317" s="10">
        <v>63300000</v>
      </c>
      <c r="B317" s="10" t="s">
        <v>269</v>
      </c>
      <c r="C317" s="11">
        <v>0</v>
      </c>
      <c r="D317" s="11">
        <v>0</v>
      </c>
      <c r="E317" s="11">
        <v>0</v>
      </c>
      <c r="F317" s="13">
        <f>SUMIF('OD 12-24'!A:A,A317,'OD 12-24'!D:D)</f>
        <v>812500.00100000005</v>
      </c>
      <c r="G317" s="13">
        <f>SUMIF('OD 12-24'!A:A,A317,'OD 12-24'!E:E)</f>
        <v>687500.00100000005</v>
      </c>
      <c r="H317" s="14">
        <f>+D317+F317-E317-G317</f>
        <v>125000</v>
      </c>
      <c r="I317" s="14">
        <f>+H317+C317</f>
        <v>125000</v>
      </c>
      <c r="J317" s="8" t="s">
        <v>157</v>
      </c>
      <c r="K317" s="8" t="s">
        <v>512</v>
      </c>
      <c r="L317" s="9">
        <v>0</v>
      </c>
      <c r="M317" s="339"/>
      <c r="N317" s="315"/>
      <c r="O317" s="339"/>
      <c r="P317" s="339"/>
    </row>
    <row r="318" spans="1:16" s="9" customFormat="1" ht="11.25" hidden="1" customHeight="1" x14ac:dyDescent="0.2">
      <c r="A318" s="10">
        <v>63601000</v>
      </c>
      <c r="B318" s="10" t="s">
        <v>7572</v>
      </c>
      <c r="C318" s="11">
        <v>0</v>
      </c>
      <c r="D318" s="11">
        <v>59805.360999999997</v>
      </c>
      <c r="E318" s="11">
        <v>18454.945</v>
      </c>
      <c r="F318" s="13">
        <f>SUMIF('OD 12-24'!A:A,A318,'OD 12-24'!D:D)</f>
        <v>0</v>
      </c>
      <c r="G318" s="13">
        <f>SUMIF('OD 12-24'!A:A,A318,'OD 12-24'!E:E)</f>
        <v>0</v>
      </c>
      <c r="H318" s="14">
        <f t="shared" si="18"/>
        <v>41350.415999999997</v>
      </c>
      <c r="I318" s="14">
        <f t="shared" si="19"/>
        <v>41350.415999999997</v>
      </c>
      <c r="J318" s="8" t="s">
        <v>157</v>
      </c>
      <c r="K318" s="8" t="s">
        <v>512</v>
      </c>
      <c r="L318" s="9" t="e">
        <v>#N/A</v>
      </c>
      <c r="M318" s="339"/>
      <c r="N318" s="315"/>
      <c r="O318" s="339"/>
      <c r="P318" s="339"/>
    </row>
    <row r="319" spans="1:16" s="9" customFormat="1" ht="11.25" hidden="1" customHeight="1" x14ac:dyDescent="0.2">
      <c r="A319" s="10">
        <v>63602000</v>
      </c>
      <c r="B319" s="10" t="s">
        <v>7573</v>
      </c>
      <c r="C319" s="11">
        <v>0</v>
      </c>
      <c r="D319" s="11">
        <v>72713.184000000008</v>
      </c>
      <c r="E319" s="11">
        <v>52938.670999999995</v>
      </c>
      <c r="F319" s="13">
        <f>SUMIF('OD 12-24'!A:A,A319,'OD 12-24'!D:D)</f>
        <v>0</v>
      </c>
      <c r="G319" s="13">
        <f>SUMIF('OD 12-24'!A:A,A319,'OD 12-24'!E:E)</f>
        <v>0</v>
      </c>
      <c r="H319" s="14">
        <f t="shared" si="18"/>
        <v>19774.513000000014</v>
      </c>
      <c r="I319" s="14">
        <f t="shared" si="19"/>
        <v>19774.513000000014</v>
      </c>
      <c r="J319" s="8" t="s">
        <v>157</v>
      </c>
      <c r="K319" s="8" t="s">
        <v>512</v>
      </c>
      <c r="L319" s="9">
        <v>0</v>
      </c>
      <c r="M319" s="339"/>
      <c r="N319" s="315"/>
      <c r="O319" s="339"/>
      <c r="P319" s="339"/>
    </row>
    <row r="320" spans="1:16" s="9" customFormat="1" ht="11.25" hidden="1" customHeight="1" x14ac:dyDescent="0.2">
      <c r="A320" s="10">
        <v>63610000</v>
      </c>
      <c r="B320" s="10" t="s">
        <v>7398</v>
      </c>
      <c r="C320" s="11">
        <v>0</v>
      </c>
      <c r="D320" s="11">
        <v>17045.715</v>
      </c>
      <c r="E320" s="11">
        <v>300</v>
      </c>
      <c r="F320" s="13">
        <f>SUMIF('OD 12-24'!A:A,A320,'OD 12-24'!D:D)</f>
        <v>0</v>
      </c>
      <c r="G320" s="13">
        <f>SUMIF('OD 12-24'!A:A,A320,'OD 12-24'!E:E)</f>
        <v>0</v>
      </c>
      <c r="H320" s="14">
        <f t="shared" si="18"/>
        <v>16745.715</v>
      </c>
      <c r="I320" s="14">
        <f t="shared" si="19"/>
        <v>16745.715</v>
      </c>
      <c r="J320" s="8" t="s">
        <v>190</v>
      </c>
      <c r="K320" s="8" t="s">
        <v>519</v>
      </c>
      <c r="L320" s="9" t="s">
        <v>10114</v>
      </c>
      <c r="M320" s="339"/>
      <c r="N320" s="315"/>
      <c r="O320" s="339"/>
      <c r="P320" s="339"/>
    </row>
    <row r="321" spans="1:16" s="9" customFormat="1" ht="11.25" hidden="1" customHeight="1" x14ac:dyDescent="0.2">
      <c r="A321" s="10">
        <v>64001000</v>
      </c>
      <c r="B321" s="10" t="s">
        <v>191</v>
      </c>
      <c r="C321" s="11">
        <v>0</v>
      </c>
      <c r="D321" s="11">
        <v>5018683.0239999993</v>
      </c>
      <c r="E321" s="11">
        <v>324034.86800000002</v>
      </c>
      <c r="F321" s="13">
        <f>SUMIF('OD 12-24'!A:A,A321,'OD 12-24'!D:D)</f>
        <v>413518.88400000002</v>
      </c>
      <c r="G321" s="13">
        <f>SUMIF('OD 12-24'!A:A,A321,'OD 12-24'!E:E)</f>
        <v>413518.88400000002</v>
      </c>
      <c r="H321" s="14">
        <f t="shared" si="18"/>
        <v>4694648.1559999995</v>
      </c>
      <c r="I321" s="14">
        <f t="shared" si="19"/>
        <v>4694648.1559999995</v>
      </c>
      <c r="J321" s="8" t="s">
        <v>192</v>
      </c>
      <c r="K321" s="8" t="s">
        <v>511</v>
      </c>
      <c r="L321" s="9">
        <v>0</v>
      </c>
      <c r="M321" s="339"/>
      <c r="N321" s="315"/>
      <c r="O321" s="339"/>
      <c r="P321" s="339"/>
    </row>
    <row r="322" spans="1:16" s="9" customFormat="1" ht="11.25" hidden="1" customHeight="1" x14ac:dyDescent="0.2">
      <c r="A322" s="10">
        <v>64001100</v>
      </c>
      <c r="B322" s="10" t="s">
        <v>408</v>
      </c>
      <c r="C322" s="11">
        <v>0</v>
      </c>
      <c r="D322" s="11">
        <v>0</v>
      </c>
      <c r="E322" s="11">
        <v>0</v>
      </c>
      <c r="F322" s="13">
        <f>SUMIF('OD 12-24'!A:A,A322,'OD 12-24'!D:D)</f>
        <v>1950000</v>
      </c>
      <c r="G322" s="13">
        <f>SUMIF('OD 12-24'!A:A,A322,'OD 12-24'!E:E)</f>
        <v>1650000</v>
      </c>
      <c r="H322" s="14">
        <f t="shared" si="18"/>
        <v>300000</v>
      </c>
      <c r="I322" s="14">
        <f t="shared" si="19"/>
        <v>300000</v>
      </c>
      <c r="J322" s="8" t="s">
        <v>192</v>
      </c>
      <c r="K322" s="8" t="s">
        <v>511</v>
      </c>
      <c r="L322" s="9" t="e">
        <v>#N/A</v>
      </c>
      <c r="M322" s="339"/>
      <c r="N322" s="315"/>
      <c r="O322" s="339"/>
      <c r="P322" s="339"/>
    </row>
    <row r="323" spans="1:16" s="9" customFormat="1" ht="11.25" hidden="1" customHeight="1" x14ac:dyDescent="0.2">
      <c r="A323" s="10">
        <v>64020000</v>
      </c>
      <c r="B323" s="10" t="s">
        <v>406</v>
      </c>
      <c r="C323" s="11">
        <v>0</v>
      </c>
      <c r="D323" s="11">
        <v>0</v>
      </c>
      <c r="E323" s="11">
        <v>0</v>
      </c>
      <c r="F323" s="13">
        <f>SUMIF('OD 12-24'!A:A,A323,'OD 12-24'!D:D)</f>
        <v>2631535.14</v>
      </c>
      <c r="G323" s="13">
        <f>SUMIF('OD 12-24'!A:A,A323,'OD 12-24'!E:E)</f>
        <v>2263928.5070000002</v>
      </c>
      <c r="H323" s="14">
        <f t="shared" si="18"/>
        <v>367606.63299999991</v>
      </c>
      <c r="I323" s="14">
        <f t="shared" si="19"/>
        <v>367606.63299999991</v>
      </c>
      <c r="J323" s="8" t="s">
        <v>192</v>
      </c>
      <c r="K323" s="8" t="s">
        <v>511</v>
      </c>
      <c r="L323" s="9" t="e">
        <v>#N/A</v>
      </c>
      <c r="M323" s="339"/>
      <c r="N323" s="315"/>
      <c r="O323" s="339"/>
      <c r="P323" s="339"/>
    </row>
    <row r="324" spans="1:16" s="9" customFormat="1" ht="11.25" hidden="1" customHeight="1" x14ac:dyDescent="0.2">
      <c r="A324" s="10">
        <v>64280000</v>
      </c>
      <c r="B324" s="10" t="s">
        <v>193</v>
      </c>
      <c r="C324" s="11">
        <v>0</v>
      </c>
      <c r="D324" s="11">
        <v>39080</v>
      </c>
      <c r="E324" s="11">
        <v>39080</v>
      </c>
      <c r="F324" s="13">
        <f>SUMIF('OD 12-24'!A:A,A324,'OD 12-24'!D:D)</f>
        <v>0</v>
      </c>
      <c r="G324" s="13">
        <f>SUMIF('OD 12-24'!A:A,A324,'OD 12-24'!E:E)</f>
        <v>0</v>
      </c>
      <c r="H324" s="14">
        <f t="shared" si="18"/>
        <v>0</v>
      </c>
      <c r="I324" s="14">
        <f t="shared" si="19"/>
        <v>0</v>
      </c>
      <c r="J324" s="8" t="s">
        <v>192</v>
      </c>
      <c r="K324" s="8" t="s">
        <v>511</v>
      </c>
      <c r="L324" s="9">
        <v>0</v>
      </c>
      <c r="M324" s="339"/>
      <c r="N324" s="315"/>
      <c r="O324" s="339"/>
      <c r="P324" s="339"/>
    </row>
    <row r="325" spans="1:16" s="9" customFormat="1" ht="11.25" hidden="1" customHeight="1" x14ac:dyDescent="0.2">
      <c r="A325" s="10">
        <v>64600100</v>
      </c>
      <c r="B325" s="10" t="s">
        <v>407</v>
      </c>
      <c r="C325" s="11">
        <v>0</v>
      </c>
      <c r="D325" s="11">
        <v>1686.6510000000003</v>
      </c>
      <c r="E325" s="11">
        <v>247618.065</v>
      </c>
      <c r="F325" s="13">
        <f>SUMIF('OD 12-24'!A:A,A325,'OD 12-24'!D:D)</f>
        <v>3829487.4890000001</v>
      </c>
      <c r="G325" s="13">
        <f>SUMIF('OD 12-24'!A:A,A325,'OD 12-24'!E:E)</f>
        <v>3569487.4890000001</v>
      </c>
      <c r="H325" s="14">
        <f t="shared" si="18"/>
        <v>14068.586000000127</v>
      </c>
      <c r="I325" s="14">
        <f t="shared" si="19"/>
        <v>14068.586000000127</v>
      </c>
      <c r="J325" s="8" t="s">
        <v>192</v>
      </c>
      <c r="K325" s="8" t="s">
        <v>511</v>
      </c>
      <c r="L325" s="9">
        <v>0</v>
      </c>
      <c r="M325" s="339"/>
      <c r="N325" s="315"/>
      <c r="O325" s="339"/>
      <c r="P325" s="339"/>
    </row>
    <row r="326" spans="1:16" s="9" customFormat="1" ht="11.25" hidden="1" customHeight="1" x14ac:dyDescent="0.2">
      <c r="A326" s="10">
        <v>64603000</v>
      </c>
      <c r="B326" s="10" t="s">
        <v>7404</v>
      </c>
      <c r="C326" s="11">
        <v>0</v>
      </c>
      <c r="D326" s="11">
        <v>31647.25</v>
      </c>
      <c r="E326" s="11">
        <v>0</v>
      </c>
      <c r="F326" s="13">
        <f>SUMIF('OD 12-24'!A:A,A326,'OD 12-24'!D:D)</f>
        <v>3192</v>
      </c>
      <c r="G326" s="13">
        <f>SUMIF('OD 12-24'!A:A,A326,'OD 12-24'!E:E)</f>
        <v>3192</v>
      </c>
      <c r="H326" s="14">
        <f t="shared" si="18"/>
        <v>31647.25</v>
      </c>
      <c r="I326" s="14">
        <f t="shared" si="19"/>
        <v>31647.25</v>
      </c>
      <c r="J326" s="664" t="s">
        <v>157</v>
      </c>
      <c r="K326" s="8" t="s">
        <v>512</v>
      </c>
      <c r="L326" s="9">
        <v>0</v>
      </c>
      <c r="M326" s="339"/>
      <c r="N326" s="315"/>
      <c r="O326" s="339"/>
      <c r="P326" s="339"/>
    </row>
    <row r="327" spans="1:16" s="9" customFormat="1" ht="11.25" hidden="1" customHeight="1" x14ac:dyDescent="0.2">
      <c r="A327" s="10">
        <v>64720000</v>
      </c>
      <c r="B327" s="10" t="s">
        <v>194</v>
      </c>
      <c r="C327" s="11">
        <v>0</v>
      </c>
      <c r="D327" s="11">
        <v>346024.56399999995</v>
      </c>
      <c r="E327" s="11">
        <v>21778.701000000001</v>
      </c>
      <c r="F327" s="13">
        <f>SUMIF('OD 12-24'!A:A,A327,'OD 12-24'!D:D)</f>
        <v>962096.11399999994</v>
      </c>
      <c r="G327" s="13">
        <f>SUMIF('OD 12-24'!A:A,A327,'OD 12-24'!E:E)</f>
        <v>829459.68700000003</v>
      </c>
      <c r="H327" s="14">
        <f t="shared" si="18"/>
        <v>456882.28999999992</v>
      </c>
      <c r="I327" s="14">
        <f t="shared" si="19"/>
        <v>456882.28999999992</v>
      </c>
      <c r="J327" s="8" t="s">
        <v>192</v>
      </c>
      <c r="K327" s="8" t="s">
        <v>511</v>
      </c>
      <c r="L327" s="9">
        <v>0</v>
      </c>
      <c r="M327" s="339"/>
      <c r="N327" s="315"/>
      <c r="O327" s="339"/>
      <c r="P327" s="339"/>
    </row>
    <row r="328" spans="1:16" s="9" customFormat="1" ht="11.25" hidden="1" customHeight="1" x14ac:dyDescent="0.2">
      <c r="A328" s="10">
        <v>65110000</v>
      </c>
      <c r="B328" s="10" t="s">
        <v>385</v>
      </c>
      <c r="C328" s="11">
        <v>0</v>
      </c>
      <c r="D328" s="11">
        <v>276871.02500000002</v>
      </c>
      <c r="E328" s="11">
        <v>84401.901999999987</v>
      </c>
      <c r="F328" s="13">
        <f>SUMIF('OD 12-24'!A:A,A328,'OD 12-24'!D:D)</f>
        <v>136285.06599999999</v>
      </c>
      <c r="G328" s="13">
        <f>SUMIF('OD 12-24'!A:A,A328,'OD 12-24'!E:E)</f>
        <v>121616.49800000001</v>
      </c>
      <c r="H328" s="14">
        <f t="shared" si="18"/>
        <v>207137.69099999999</v>
      </c>
      <c r="I328" s="14">
        <f t="shared" si="19"/>
        <v>207137.69099999999</v>
      </c>
      <c r="J328" s="8" t="s">
        <v>195</v>
      </c>
      <c r="K328" s="8" t="s">
        <v>517</v>
      </c>
      <c r="L328" s="9">
        <v>0</v>
      </c>
      <c r="M328" s="339"/>
      <c r="N328" s="315"/>
      <c r="O328" s="339"/>
      <c r="P328" s="339"/>
    </row>
    <row r="329" spans="1:16" s="9" customFormat="1" ht="11.25" hidden="1" customHeight="1" x14ac:dyDescent="0.2">
      <c r="A329" s="10">
        <v>65110200</v>
      </c>
      <c r="B329" s="10" t="s">
        <v>196</v>
      </c>
      <c r="C329" s="11">
        <v>0</v>
      </c>
      <c r="D329" s="11">
        <v>514531.408</v>
      </c>
      <c r="E329" s="11">
        <v>0</v>
      </c>
      <c r="F329" s="13">
        <f>SUMIF('OD 12-24'!A:A,A329,'OD 12-24'!D:D)</f>
        <v>565062.63419999997</v>
      </c>
      <c r="G329" s="13">
        <f>SUMIF('OD 12-24'!A:A,A329,'OD 12-24'!E:E)</f>
        <v>635300.67819999997</v>
      </c>
      <c r="H329" s="14">
        <f t="shared" si="18"/>
        <v>444293.36400000006</v>
      </c>
      <c r="I329" s="14">
        <f t="shared" si="19"/>
        <v>444293.36400000006</v>
      </c>
      <c r="J329" s="8" t="s">
        <v>195</v>
      </c>
      <c r="K329" s="8" t="s">
        <v>517</v>
      </c>
      <c r="L329" s="9">
        <v>0</v>
      </c>
      <c r="M329" s="339"/>
      <c r="N329" s="315"/>
      <c r="O329" s="339"/>
      <c r="P329" s="339"/>
    </row>
    <row r="330" spans="1:16" s="9" customFormat="1" ht="11.25" hidden="1" customHeight="1" x14ac:dyDescent="0.2">
      <c r="A330" s="10">
        <v>65110400</v>
      </c>
      <c r="B330" s="10" t="s">
        <v>197</v>
      </c>
      <c r="C330" s="11">
        <v>0</v>
      </c>
      <c r="D330" s="11">
        <v>790035.99900000007</v>
      </c>
      <c r="E330" s="11">
        <v>0</v>
      </c>
      <c r="F330" s="13">
        <f>SUMIF('OD 12-24'!A:A,A330,'OD 12-24'!D:D)</f>
        <v>867688.41079999995</v>
      </c>
      <c r="G330" s="13">
        <f>SUMIF('OD 12-24'!A:A,A330,'OD 12-24'!E:E)</f>
        <v>975497.92180000001</v>
      </c>
      <c r="H330" s="14">
        <f t="shared" si="18"/>
        <v>682226.48800000001</v>
      </c>
      <c r="I330" s="14">
        <f t="shared" si="19"/>
        <v>682226.48800000001</v>
      </c>
      <c r="J330" s="8" t="s">
        <v>195</v>
      </c>
      <c r="K330" s="8" t="s">
        <v>517</v>
      </c>
      <c r="L330" s="9">
        <v>0</v>
      </c>
      <c r="M330" s="339"/>
      <c r="N330" s="315"/>
      <c r="O330" s="339"/>
      <c r="P330" s="339"/>
    </row>
    <row r="331" spans="1:16" s="9" customFormat="1" ht="11.25" hidden="1" customHeight="1" x14ac:dyDescent="0.2">
      <c r="A331" s="10">
        <v>65115000</v>
      </c>
      <c r="B331" s="10" t="s">
        <v>379</v>
      </c>
      <c r="C331" s="11">
        <v>0</v>
      </c>
      <c r="D331" s="11">
        <v>70681.794999999998</v>
      </c>
      <c r="E331" s="11">
        <v>2060.0309999999999</v>
      </c>
      <c r="F331" s="13">
        <f>SUMIF('OD 12-24'!A:A,A331,'OD 12-24'!D:D)</f>
        <v>2903.0230000000001</v>
      </c>
      <c r="G331" s="13">
        <f>SUMIF('OD 12-24'!A:A,A331,'OD 12-24'!E:E)</f>
        <v>2903.0230000000001</v>
      </c>
      <c r="H331" s="14">
        <f t="shared" ref="H331:H358" si="24">+D331+F331-E331-G331</f>
        <v>68621.763999999996</v>
      </c>
      <c r="I331" s="14">
        <f t="shared" ref="I331:I358" si="25">+H331+C331</f>
        <v>68621.763999999996</v>
      </c>
      <c r="J331" s="8" t="s">
        <v>195</v>
      </c>
      <c r="K331" s="8" t="s">
        <v>517</v>
      </c>
      <c r="L331" s="9">
        <v>0</v>
      </c>
      <c r="M331" s="339"/>
      <c r="N331" s="315"/>
      <c r="O331" s="339"/>
      <c r="P331" s="339"/>
    </row>
    <row r="332" spans="1:16" s="9" customFormat="1" ht="11.25" hidden="1" customHeight="1" x14ac:dyDescent="0.2">
      <c r="A332" s="10">
        <v>65150000</v>
      </c>
      <c r="B332" s="10" t="s">
        <v>270</v>
      </c>
      <c r="C332" s="11">
        <v>0</v>
      </c>
      <c r="D332" s="11">
        <v>0</v>
      </c>
      <c r="E332" s="11">
        <v>0</v>
      </c>
      <c r="F332" s="13">
        <f>SUMIF('OD 12-24'!A:A,A332,'OD 12-24'!D:D)</f>
        <v>204248.76800000001</v>
      </c>
      <c r="G332" s="13">
        <f>SUMIF('OD 12-24'!A:A,A332,'OD 12-24'!E:E)</f>
        <v>175272.33</v>
      </c>
      <c r="H332" s="14">
        <f t="shared" si="24"/>
        <v>28976.438000000024</v>
      </c>
      <c r="I332" s="14">
        <f t="shared" si="25"/>
        <v>28976.438000000024</v>
      </c>
      <c r="J332" s="8" t="s">
        <v>195</v>
      </c>
      <c r="K332" s="8" t="s">
        <v>517</v>
      </c>
      <c r="L332" s="9">
        <v>0</v>
      </c>
      <c r="M332" s="339"/>
      <c r="N332" s="315"/>
      <c r="O332" s="339"/>
      <c r="P332" s="339"/>
    </row>
    <row r="333" spans="1:16" s="9" customFormat="1" ht="11.25" hidden="1" customHeight="1" x14ac:dyDescent="0.2">
      <c r="A333" s="10">
        <v>65190000</v>
      </c>
      <c r="B333" s="10" t="s">
        <v>198</v>
      </c>
      <c r="C333" s="11">
        <v>0</v>
      </c>
      <c r="D333" s="11">
        <v>270439.58899999998</v>
      </c>
      <c r="E333" s="11">
        <v>0</v>
      </c>
      <c r="F333" s="13">
        <f>SUMIF('OD 12-24'!A:A,A333,'OD 12-24'!D:D)</f>
        <v>796841.39399999997</v>
      </c>
      <c r="G333" s="13">
        <f>SUMIF('OD 12-24'!A:A,A333,'OD 12-24'!E:E)</f>
        <v>716813.05200000003</v>
      </c>
      <c r="H333" s="14">
        <f t="shared" si="24"/>
        <v>350467.93099999998</v>
      </c>
      <c r="I333" s="14">
        <f t="shared" si="25"/>
        <v>350467.93099999998</v>
      </c>
      <c r="J333" s="8" t="s">
        <v>195</v>
      </c>
      <c r="K333" s="8" t="s">
        <v>517</v>
      </c>
      <c r="L333" s="9">
        <v>0</v>
      </c>
      <c r="M333" s="339"/>
      <c r="N333" s="315"/>
      <c r="O333" s="339"/>
      <c r="P333" s="339"/>
    </row>
    <row r="334" spans="1:16" s="9" customFormat="1" ht="11.25" hidden="1" customHeight="1" x14ac:dyDescent="0.2">
      <c r="A334" s="10">
        <v>65500000</v>
      </c>
      <c r="B334" s="10" t="s">
        <v>400</v>
      </c>
      <c r="C334" s="11">
        <v>0</v>
      </c>
      <c r="D334" s="11">
        <v>49375.215000000004</v>
      </c>
      <c r="E334" s="11">
        <v>22981.114999999998</v>
      </c>
      <c r="F334" s="13">
        <f>SUMIF('OD 12-24'!A:A,A334,'OD 12-24'!D:D)</f>
        <v>423642.92540000001</v>
      </c>
      <c r="G334" s="13">
        <f>SUMIF('OD 12-24'!A:A,A334,'OD 12-24'!E:E)</f>
        <v>337202.72039999999</v>
      </c>
      <c r="H334" s="14">
        <f t="shared" si="24"/>
        <v>112834.30500000005</v>
      </c>
      <c r="I334" s="14">
        <f t="shared" si="25"/>
        <v>112834.30500000005</v>
      </c>
      <c r="J334" s="8" t="s">
        <v>195</v>
      </c>
      <c r="K334" s="8" t="s">
        <v>517</v>
      </c>
      <c r="L334" s="9">
        <v>0</v>
      </c>
      <c r="M334" s="339"/>
      <c r="N334" s="315"/>
      <c r="O334" s="339"/>
      <c r="P334" s="339"/>
    </row>
    <row r="335" spans="1:16" s="9" customFormat="1" ht="11.25" hidden="1" customHeight="1" x14ac:dyDescent="0.2">
      <c r="A335" s="10">
        <v>66500000</v>
      </c>
      <c r="B335" s="536" t="s">
        <v>8974</v>
      </c>
      <c r="C335" s="11">
        <v>0</v>
      </c>
      <c r="D335" s="11">
        <v>0</v>
      </c>
      <c r="E335" s="11">
        <v>0</v>
      </c>
      <c r="F335" s="13">
        <f>SUMIF('OD 12-24'!A:A,A335,'OD 12-24'!D:D)</f>
        <v>0</v>
      </c>
      <c r="G335" s="13">
        <f>SUMIF('OD 12-24'!A:A,A335,'OD 12-24'!E:E)</f>
        <v>0</v>
      </c>
      <c r="H335" s="14">
        <f t="shared" ref="H335" si="26">+D335+F335-E335-G335</f>
        <v>0</v>
      </c>
      <c r="I335" s="14">
        <f t="shared" ref="I335" si="27">+H335+C335</f>
        <v>0</v>
      </c>
      <c r="J335" s="8" t="s">
        <v>157</v>
      </c>
      <c r="K335" s="8" t="s">
        <v>512</v>
      </c>
      <c r="L335" s="9">
        <v>0</v>
      </c>
      <c r="M335" s="339"/>
      <c r="N335" s="315"/>
      <c r="O335" s="339"/>
      <c r="P335" s="339"/>
    </row>
    <row r="336" spans="1:16" s="9" customFormat="1" ht="11.25" hidden="1" customHeight="1" x14ac:dyDescent="0.2">
      <c r="A336" s="10">
        <v>66520000</v>
      </c>
      <c r="B336" s="10" t="s">
        <v>200</v>
      </c>
      <c r="C336" s="11">
        <v>0</v>
      </c>
      <c r="D336" s="11">
        <f>123188.419+11400.185</f>
        <v>134588.60399999999</v>
      </c>
      <c r="E336" s="11">
        <v>0</v>
      </c>
      <c r="F336" s="13">
        <f>SUMIF('OD 12-24'!A:A,A336,'OD 12-24'!D:D)</f>
        <v>117948.3</v>
      </c>
      <c r="G336" s="13">
        <f>SUMIF('OD 12-24'!A:A,A336,'OD 12-24'!E:E)</f>
        <v>117948.3</v>
      </c>
      <c r="H336" s="14">
        <f t="shared" si="24"/>
        <v>134588.60399999999</v>
      </c>
      <c r="I336" s="14">
        <f t="shared" si="25"/>
        <v>134588.60399999999</v>
      </c>
      <c r="J336" s="8" t="s">
        <v>157</v>
      </c>
      <c r="K336" s="8" t="s">
        <v>512</v>
      </c>
      <c r="L336" s="9">
        <v>0</v>
      </c>
      <c r="M336" s="339"/>
      <c r="N336" s="315"/>
      <c r="O336" s="339"/>
      <c r="P336" s="339"/>
    </row>
    <row r="337" spans="1:16" s="9" customFormat="1" ht="11.25" hidden="1" customHeight="1" x14ac:dyDescent="0.2">
      <c r="A337" s="10">
        <v>66540000</v>
      </c>
      <c r="B337" s="10" t="s">
        <v>201</v>
      </c>
      <c r="C337" s="11">
        <v>0</v>
      </c>
      <c r="D337" s="11">
        <v>15921.957</v>
      </c>
      <c r="E337" s="11">
        <v>48</v>
      </c>
      <c r="F337" s="13">
        <f>SUMIF('OD 12-24'!A:A,A337,'OD 12-24'!D:D)</f>
        <v>0</v>
      </c>
      <c r="G337" s="13">
        <f>SUMIF('OD 12-24'!A:A,A337,'OD 12-24'!E:E)</f>
        <v>0</v>
      </c>
      <c r="H337" s="14">
        <f t="shared" si="24"/>
        <v>15873.957</v>
      </c>
      <c r="I337" s="14">
        <f t="shared" si="25"/>
        <v>15873.957</v>
      </c>
      <c r="J337" s="8" t="s">
        <v>157</v>
      </c>
      <c r="K337" s="8" t="s">
        <v>512</v>
      </c>
      <c r="L337" s="9">
        <v>0</v>
      </c>
      <c r="M337" s="339"/>
      <c r="N337" s="315"/>
      <c r="O337" s="339"/>
      <c r="P337" s="339"/>
    </row>
    <row r="338" spans="1:16" s="9" customFormat="1" ht="11.25" hidden="1" customHeight="1" x14ac:dyDescent="0.2">
      <c r="A338" s="10">
        <v>66550000</v>
      </c>
      <c r="B338" s="10" t="s">
        <v>202</v>
      </c>
      <c r="C338" s="11">
        <v>0</v>
      </c>
      <c r="D338" s="11">
        <v>15097.587</v>
      </c>
      <c r="E338" s="11">
        <v>0</v>
      </c>
      <c r="F338" s="13">
        <f>SUMIF('OD 12-24'!A:A,A338,'OD 12-24'!D:D)</f>
        <v>70200</v>
      </c>
      <c r="G338" s="13">
        <f>SUMIF('OD 12-24'!A:A,A338,'OD 12-24'!E:E)</f>
        <v>59400</v>
      </c>
      <c r="H338" s="14">
        <f t="shared" si="24"/>
        <v>25897.587</v>
      </c>
      <c r="I338" s="14">
        <f t="shared" si="25"/>
        <v>25897.587</v>
      </c>
      <c r="J338" s="8" t="s">
        <v>157</v>
      </c>
      <c r="K338" s="8" t="s">
        <v>512</v>
      </c>
      <c r="L338" s="9">
        <v>0</v>
      </c>
      <c r="M338" s="339"/>
      <c r="N338" s="315"/>
      <c r="O338" s="339"/>
      <c r="P338" s="339"/>
    </row>
    <row r="339" spans="1:16" s="9" customFormat="1" ht="11.25" hidden="1" customHeight="1" x14ac:dyDescent="0.2">
      <c r="A339" s="10">
        <v>68112000</v>
      </c>
      <c r="B339" s="10" t="s">
        <v>7390</v>
      </c>
      <c r="C339" s="11">
        <v>0</v>
      </c>
      <c r="D339" s="11">
        <v>0</v>
      </c>
      <c r="E339" s="11">
        <v>0</v>
      </c>
      <c r="F339" s="13">
        <f>SUMIF('OD 12-24'!A:A,A339,'OD 12-24'!D:D)</f>
        <v>19155420.896000002</v>
      </c>
      <c r="G339" s="13">
        <f>SUMIF('OD 12-24'!A:A,A339,'OD 12-24'!E:E)</f>
        <v>16061293.588</v>
      </c>
      <c r="H339" s="14">
        <f t="shared" si="24"/>
        <v>3094127.3080000021</v>
      </c>
      <c r="I339" s="14">
        <f t="shared" si="25"/>
        <v>3094127.3080000021</v>
      </c>
      <c r="J339" s="8" t="s">
        <v>203</v>
      </c>
      <c r="K339" s="8" t="s">
        <v>7578</v>
      </c>
      <c r="L339" s="9">
        <v>0</v>
      </c>
      <c r="M339" s="339"/>
      <c r="N339" s="315"/>
      <c r="O339" s="339"/>
      <c r="P339" s="339"/>
    </row>
    <row r="340" spans="1:16" s="9" customFormat="1" ht="11.25" hidden="1" customHeight="1" x14ac:dyDescent="0.2">
      <c r="A340" s="10">
        <v>68150000</v>
      </c>
      <c r="B340" s="10" t="s">
        <v>9481</v>
      </c>
      <c r="C340" s="11">
        <v>0</v>
      </c>
      <c r="D340" s="11">
        <v>0</v>
      </c>
      <c r="E340" s="11">
        <v>0</v>
      </c>
      <c r="F340" s="13">
        <f>SUMIF('OD 12-24'!A:A,A340,'OD 12-24'!D:D)</f>
        <v>540000</v>
      </c>
      <c r="G340" s="13">
        <f>SUMIF('OD 12-24'!A:A,A340,'OD 12-24'!E:E)</f>
        <v>420000</v>
      </c>
      <c r="H340" s="14">
        <f t="shared" ref="H340" si="28">+D340+F340-E340-G340</f>
        <v>120000</v>
      </c>
      <c r="I340" s="14">
        <f t="shared" ref="I340" si="29">+H340+C340</f>
        <v>120000</v>
      </c>
      <c r="J340" s="8" t="s">
        <v>7715</v>
      </c>
      <c r="K340" s="8" t="s">
        <v>7716</v>
      </c>
      <c r="L340" s="9" t="e">
        <v>#N/A</v>
      </c>
      <c r="M340" s="339"/>
      <c r="N340" s="315"/>
      <c r="O340" s="339"/>
      <c r="P340" s="339"/>
    </row>
    <row r="341" spans="1:16" s="9" customFormat="1" ht="11.25" hidden="1" customHeight="1" x14ac:dyDescent="0.2">
      <c r="A341" s="10">
        <v>68170000</v>
      </c>
      <c r="B341" s="10" t="s">
        <v>7577</v>
      </c>
      <c r="C341" s="11">
        <v>0</v>
      </c>
      <c r="D341" s="11">
        <v>0</v>
      </c>
      <c r="E341" s="11">
        <v>0</v>
      </c>
      <c r="F341" s="13">
        <f>SUMIF('OD 12-24'!A:A,A341,'OD 12-24'!D:D)</f>
        <v>4173988.5890000002</v>
      </c>
      <c r="G341" s="13">
        <f>SUMIF('OD 12-24'!A:A,A341,'OD 12-24'!E:E)</f>
        <v>3575000</v>
      </c>
      <c r="H341" s="14">
        <f t="shared" si="24"/>
        <v>598988.58900000015</v>
      </c>
      <c r="I341" s="14">
        <f t="shared" si="25"/>
        <v>598988.58900000015</v>
      </c>
      <c r="J341" s="8" t="s">
        <v>7715</v>
      </c>
      <c r="K341" s="8" t="s">
        <v>7716</v>
      </c>
      <c r="L341" s="9" t="e">
        <v>#N/A</v>
      </c>
      <c r="M341" s="339"/>
      <c r="N341" s="315"/>
      <c r="O341" s="339"/>
      <c r="P341" s="339"/>
    </row>
    <row r="342" spans="1:16" s="9" customFormat="1" ht="11.25" hidden="1" customHeight="1" x14ac:dyDescent="0.2">
      <c r="A342" s="10">
        <v>68180000</v>
      </c>
      <c r="B342" s="10" t="s">
        <v>8976</v>
      </c>
      <c r="C342" s="11">
        <v>0</v>
      </c>
      <c r="D342" s="11">
        <v>0</v>
      </c>
      <c r="E342" s="11">
        <v>0</v>
      </c>
      <c r="F342" s="13">
        <f>SUMIF('OD 12-24'!A:A,A342,'OD 12-24'!D:D)</f>
        <v>2900187.3220000002</v>
      </c>
      <c r="G342" s="13">
        <f>SUMIF('OD 12-24'!A:A,A342,'OD 12-24'!E:E)</f>
        <v>2402431.1340000001</v>
      </c>
      <c r="H342" s="14">
        <f t="shared" ref="H342" si="30">+D342+F342-E342-G342</f>
        <v>497756.18800000008</v>
      </c>
      <c r="I342" s="14">
        <f t="shared" ref="I342" si="31">+H342+C342</f>
        <v>497756.18800000008</v>
      </c>
      <c r="J342" s="8" t="s">
        <v>7715</v>
      </c>
      <c r="K342" s="8" t="s">
        <v>7716</v>
      </c>
      <c r="L342" s="9" t="e">
        <v>#N/A</v>
      </c>
      <c r="M342" s="339"/>
      <c r="N342" s="315"/>
      <c r="O342" s="339"/>
      <c r="P342" s="339"/>
    </row>
    <row r="343" spans="1:16" s="9" customFormat="1" ht="11.25" hidden="1" customHeight="1" x14ac:dyDescent="0.2">
      <c r="A343" s="10">
        <v>70000000</v>
      </c>
      <c r="B343" s="10" t="s">
        <v>205</v>
      </c>
      <c r="C343" s="11">
        <v>0</v>
      </c>
      <c r="D343" s="11">
        <f>3081546.633+65587.165+606.1</f>
        <v>3147739.898</v>
      </c>
      <c r="E343" s="11">
        <v>37854624.496999994</v>
      </c>
      <c r="F343" s="13">
        <f>SUMIF('OD 12-24'!A:A,A343,'OD 12-24'!D:D)</f>
        <v>3068854.2719999999</v>
      </c>
      <c r="G343" s="13">
        <f>SUMIF('OD 12-24'!A:A,A343,'OD 12-24'!E:E)</f>
        <v>3068854.2719999999</v>
      </c>
      <c r="H343" s="14">
        <f t="shared" si="24"/>
        <v>-34706884.598999992</v>
      </c>
      <c r="I343" s="14">
        <f t="shared" si="25"/>
        <v>-34706884.598999992</v>
      </c>
      <c r="J343" s="8" t="s">
        <v>206</v>
      </c>
      <c r="K343" s="8" t="s">
        <v>505</v>
      </c>
      <c r="L343" s="9" t="s">
        <v>10117</v>
      </c>
      <c r="M343" s="339"/>
      <c r="N343" s="315"/>
      <c r="O343" s="339"/>
      <c r="P343" s="339"/>
    </row>
    <row r="344" spans="1:16" s="9" customFormat="1" ht="11.25" hidden="1" customHeight="1" x14ac:dyDescent="0.2">
      <c r="A344" s="10">
        <v>70102000</v>
      </c>
      <c r="B344" s="10" t="s">
        <v>207</v>
      </c>
      <c r="C344" s="11">
        <v>0</v>
      </c>
      <c r="D344" s="11">
        <v>211188.95199999999</v>
      </c>
      <c r="E344" s="11">
        <v>44068939.761</v>
      </c>
      <c r="F344" s="13">
        <f>SUMIF('OD 12-24'!A:A,A344,'OD 12-24'!D:D)</f>
        <v>3757277.7850000001</v>
      </c>
      <c r="G344" s="13">
        <f>SUMIF('OD 12-24'!A:A,A344,'OD 12-24'!E:E)</f>
        <v>3757277.7850000001</v>
      </c>
      <c r="H344" s="14">
        <f t="shared" si="24"/>
        <v>-43857750.809</v>
      </c>
      <c r="I344" s="14">
        <f t="shared" si="25"/>
        <v>-43857750.809</v>
      </c>
      <c r="J344" s="8" t="s">
        <v>227</v>
      </c>
      <c r="K344" s="8" t="s">
        <v>504</v>
      </c>
      <c r="L344" s="9" t="s">
        <v>10118</v>
      </c>
      <c r="M344" s="339"/>
      <c r="N344" s="315"/>
      <c r="O344" s="339"/>
      <c r="P344" s="339"/>
    </row>
    <row r="345" spans="1:16" s="9" customFormat="1" ht="11.25" hidden="1" customHeight="1" x14ac:dyDescent="0.2">
      <c r="A345" s="10">
        <v>70103000</v>
      </c>
      <c r="B345" s="10" t="s">
        <v>380</v>
      </c>
      <c r="C345" s="11">
        <v>0</v>
      </c>
      <c r="D345" s="11">
        <v>0</v>
      </c>
      <c r="E345" s="11">
        <v>6085</v>
      </c>
      <c r="F345" s="13">
        <f>SUMIF('OD 12-24'!A:A,A345,'OD 12-24'!D:D)</f>
        <v>0</v>
      </c>
      <c r="G345" s="13">
        <f>SUMIF('OD 12-24'!A:A,A345,'OD 12-24'!E:E)</f>
        <v>0</v>
      </c>
      <c r="H345" s="14">
        <f t="shared" si="24"/>
        <v>-6085</v>
      </c>
      <c r="I345" s="14">
        <f t="shared" si="25"/>
        <v>-6085</v>
      </c>
      <c r="J345" s="8" t="s">
        <v>206</v>
      </c>
      <c r="K345" s="8" t="s">
        <v>505</v>
      </c>
      <c r="L345" s="9" t="s">
        <v>10117</v>
      </c>
      <c r="M345" s="339"/>
      <c r="N345" s="315"/>
      <c r="O345" s="339"/>
      <c r="P345" s="339"/>
    </row>
    <row r="346" spans="1:16" s="9" customFormat="1" ht="11.25" hidden="1" customHeight="1" x14ac:dyDescent="0.2">
      <c r="A346" s="10">
        <v>70600000</v>
      </c>
      <c r="B346" s="10" t="s">
        <v>381</v>
      </c>
      <c r="C346" s="11">
        <v>0</v>
      </c>
      <c r="D346" s="11">
        <v>84633.7</v>
      </c>
      <c r="E346" s="11">
        <f>1077370.154+65587.165+606.1</f>
        <v>1143563.4190000002</v>
      </c>
      <c r="F346" s="13">
        <f>SUMIF('OD 12-24'!A:A,A346,'OD 12-24'!D:D)</f>
        <v>736589.96799999999</v>
      </c>
      <c r="G346" s="13">
        <f>SUMIF('OD 12-24'!A:A,A346,'OD 12-24'!E:E)</f>
        <v>736589.96799999999</v>
      </c>
      <c r="H346" s="14">
        <f t="shared" si="24"/>
        <v>-1058929.7190000003</v>
      </c>
      <c r="I346" s="14">
        <f t="shared" si="25"/>
        <v>-1058929.7190000003</v>
      </c>
      <c r="J346" s="8" t="s">
        <v>214</v>
      </c>
      <c r="K346" s="8" t="s">
        <v>506</v>
      </c>
      <c r="L346" s="9" t="s">
        <v>10117</v>
      </c>
      <c r="M346" s="339"/>
      <c r="N346" s="315"/>
      <c r="O346" s="339"/>
      <c r="P346" s="339"/>
    </row>
    <row r="347" spans="1:16" s="9" customFormat="1" ht="11.25" hidden="1" customHeight="1" x14ac:dyDescent="0.2">
      <c r="A347" s="10">
        <v>70600100</v>
      </c>
      <c r="B347" s="10" t="s">
        <v>7574</v>
      </c>
      <c r="C347" s="11">
        <v>0</v>
      </c>
      <c r="D347" s="11">
        <v>0</v>
      </c>
      <c r="E347" s="11">
        <v>4972.8629999999994</v>
      </c>
      <c r="F347" s="13">
        <f>SUMIF('OD 12-24'!A:A,A347,'OD 12-24'!D:D)</f>
        <v>0</v>
      </c>
      <c r="G347" s="13">
        <f>SUMIF('OD 12-24'!A:A,A347,'OD 12-24'!E:E)</f>
        <v>0</v>
      </c>
      <c r="H347" s="14">
        <f t="shared" si="24"/>
        <v>-4972.8629999999994</v>
      </c>
      <c r="I347" s="14">
        <f t="shared" si="25"/>
        <v>-4972.8629999999994</v>
      </c>
      <c r="J347" s="8" t="s">
        <v>214</v>
      </c>
      <c r="K347" s="8" t="s">
        <v>506</v>
      </c>
      <c r="L347" s="9">
        <v>0</v>
      </c>
      <c r="M347" s="339"/>
      <c r="N347" s="315"/>
      <c r="O347" s="339"/>
      <c r="P347" s="339"/>
    </row>
    <row r="348" spans="1:16" s="9" customFormat="1" ht="11.25" hidden="1" customHeight="1" x14ac:dyDescent="0.2">
      <c r="A348" s="10">
        <v>70600500</v>
      </c>
      <c r="B348" s="10" t="s">
        <v>208</v>
      </c>
      <c r="C348" s="11">
        <v>0</v>
      </c>
      <c r="D348" s="11">
        <v>38770.517999999996</v>
      </c>
      <c r="E348" s="11">
        <v>60430.23</v>
      </c>
      <c r="F348" s="13">
        <f>SUMIF('OD 12-24'!A:A,A348,'OD 12-24'!D:D)</f>
        <v>99340.785000000003</v>
      </c>
      <c r="G348" s="13">
        <f>SUMIF('OD 12-24'!A:A,A348,'OD 12-24'!E:E)</f>
        <v>119622.38099999999</v>
      </c>
      <c r="H348" s="14">
        <f t="shared" si="24"/>
        <v>-41941.30799999999</v>
      </c>
      <c r="I348" s="14">
        <f t="shared" si="25"/>
        <v>-41941.30799999999</v>
      </c>
      <c r="J348" s="8" t="s">
        <v>214</v>
      </c>
      <c r="K348" s="8" t="s">
        <v>506</v>
      </c>
      <c r="L348" s="9" t="s">
        <v>10117</v>
      </c>
      <c r="M348" s="339"/>
      <c r="N348" s="315"/>
      <c r="O348" s="339"/>
      <c r="P348" s="339"/>
    </row>
    <row r="349" spans="1:16" s="9" customFormat="1" ht="11.25" hidden="1" customHeight="1" x14ac:dyDescent="0.2">
      <c r="A349" s="10">
        <v>71340000</v>
      </c>
      <c r="B349" s="10" t="s">
        <v>382</v>
      </c>
      <c r="C349" s="11">
        <v>0</v>
      </c>
      <c r="D349" s="11">
        <v>744393.83599999989</v>
      </c>
      <c r="E349" s="11">
        <v>0</v>
      </c>
      <c r="F349" s="13">
        <f>SUMIF('OD 12-24'!A:A,A349,'OD 12-24'!D:D)</f>
        <v>2233181.5079999999</v>
      </c>
      <c r="G349" s="13">
        <f>SUMIF('OD 12-24'!A:A,A349,'OD 12-24'!E:E)</f>
        <v>2233181.5079999999</v>
      </c>
      <c r="H349" s="14">
        <f t="shared" si="24"/>
        <v>744393.83599999966</v>
      </c>
      <c r="I349" s="14">
        <f t="shared" si="25"/>
        <v>744393.83599999966</v>
      </c>
      <c r="J349" s="8" t="s">
        <v>210</v>
      </c>
      <c r="K349" s="8" t="s">
        <v>508</v>
      </c>
      <c r="L349" s="9">
        <v>0</v>
      </c>
      <c r="M349" s="339"/>
      <c r="N349" s="315"/>
      <c r="O349" s="339"/>
      <c r="P349" s="339"/>
    </row>
    <row r="350" spans="1:16" s="9" customFormat="1" ht="11.25" hidden="1" customHeight="1" x14ac:dyDescent="0.2">
      <c r="A350" s="10">
        <v>71350000</v>
      </c>
      <c r="B350" s="10" t="s">
        <v>209</v>
      </c>
      <c r="C350" s="11">
        <v>0</v>
      </c>
      <c r="D350" s="11">
        <v>5109884.3080000002</v>
      </c>
      <c r="E350" s="11">
        <v>0</v>
      </c>
      <c r="F350" s="13">
        <f>SUMIF('OD 12-24'!A:A,A350,'OD 12-24'!D:D)</f>
        <v>72751442.067399994</v>
      </c>
      <c r="G350" s="13">
        <f>SUMIF('OD 12-24'!A:A,A350,'OD 12-24'!E:E)</f>
        <v>79106071.691400006</v>
      </c>
      <c r="H350" s="14">
        <f t="shared" si="24"/>
        <v>-1244745.3160000145</v>
      </c>
      <c r="I350" s="14">
        <f t="shared" si="25"/>
        <v>-1244745.3160000145</v>
      </c>
      <c r="J350" s="8" t="s">
        <v>210</v>
      </c>
      <c r="K350" s="8" t="s">
        <v>508</v>
      </c>
      <c r="L350" s="9">
        <v>0</v>
      </c>
      <c r="M350" s="339"/>
      <c r="N350" s="315"/>
      <c r="O350" s="339"/>
      <c r="P350" s="339"/>
    </row>
    <row r="351" spans="1:16" s="9" customFormat="1" ht="11.25" hidden="1" customHeight="1" x14ac:dyDescent="0.2">
      <c r="A351" s="10">
        <v>73601000</v>
      </c>
      <c r="B351" s="10" t="s">
        <v>211</v>
      </c>
      <c r="C351" s="11">
        <v>0</v>
      </c>
      <c r="D351" s="11">
        <v>5547.0590000000002</v>
      </c>
      <c r="E351" s="11">
        <v>74991.596999999994</v>
      </c>
      <c r="F351" s="13">
        <f>SUMIF('OD 12-24'!A:A,A351,'OD 12-24'!D:D)</f>
        <v>0</v>
      </c>
      <c r="G351" s="13">
        <f>SUMIF('OD 12-24'!A:A,A351,'OD 12-24'!E:E)</f>
        <v>0</v>
      </c>
      <c r="H351" s="14">
        <f t="shared" ref="H351:H355" si="32">+D351+F351-E351-G351</f>
        <v>-69444.538</v>
      </c>
      <c r="I351" s="14">
        <f t="shared" ref="I351:I355" si="33">+H351+C351</f>
        <v>-69444.538</v>
      </c>
      <c r="J351" s="8" t="s">
        <v>214</v>
      </c>
      <c r="K351" s="8" t="s">
        <v>506</v>
      </c>
      <c r="L351" s="9" t="s">
        <v>10121</v>
      </c>
      <c r="M351" s="339"/>
      <c r="N351" s="315"/>
      <c r="O351" s="339"/>
      <c r="P351" s="339"/>
    </row>
    <row r="352" spans="1:16" s="9" customFormat="1" ht="11.25" hidden="1" customHeight="1" x14ac:dyDescent="0.2">
      <c r="A352" s="10">
        <v>73602000</v>
      </c>
      <c r="B352" s="10" t="s">
        <v>8975</v>
      </c>
      <c r="C352" s="11">
        <v>0</v>
      </c>
      <c r="D352" s="11">
        <v>0</v>
      </c>
      <c r="E352" s="11">
        <v>18848.386999999999</v>
      </c>
      <c r="F352" s="13">
        <f>SUMIF('OD 12-24'!A:A,A352,'OD 12-24'!D:D)</f>
        <v>0</v>
      </c>
      <c r="G352" s="13">
        <f>SUMIF('OD 12-24'!A:A,A352,'OD 12-24'!E:E)</f>
        <v>0</v>
      </c>
      <c r="H352" s="14">
        <f t="shared" si="32"/>
        <v>-18848.386999999999</v>
      </c>
      <c r="I352" s="14">
        <f t="shared" si="33"/>
        <v>-18848.386999999999</v>
      </c>
      <c r="J352" s="8" t="s">
        <v>214</v>
      </c>
      <c r="K352" s="8" t="s">
        <v>506</v>
      </c>
      <c r="L352" s="9">
        <v>0</v>
      </c>
      <c r="M352" s="339"/>
      <c r="N352" s="315"/>
      <c r="O352" s="339"/>
      <c r="P352" s="339"/>
    </row>
    <row r="353" spans="1:16" s="9" customFormat="1" ht="11.25" hidden="1" customHeight="1" x14ac:dyDescent="0.2">
      <c r="A353" s="10">
        <v>73900000</v>
      </c>
      <c r="B353" s="10" t="s">
        <v>213</v>
      </c>
      <c r="C353" s="11">
        <v>0</v>
      </c>
      <c r="D353" s="11">
        <v>0</v>
      </c>
      <c r="E353" s="11">
        <v>0</v>
      </c>
      <c r="F353" s="13">
        <f>SUMIF('OD 12-24'!A:A,A353,'OD 12-24'!D:D)</f>
        <v>1338639.6599999999</v>
      </c>
      <c r="G353" s="13">
        <f>SUMIF('OD 12-24'!A:A,A353,'OD 12-24'!E:E)</f>
        <v>1582028.689</v>
      </c>
      <c r="H353" s="14">
        <f>+D353+F353-E353-G353</f>
        <v>-243389.0290000001</v>
      </c>
      <c r="I353" s="14">
        <f>+H353+C353</f>
        <v>-243389.0290000001</v>
      </c>
      <c r="J353" s="8" t="s">
        <v>214</v>
      </c>
      <c r="K353" s="8" t="s">
        <v>506</v>
      </c>
      <c r="L353" s="9" t="s">
        <v>10122</v>
      </c>
      <c r="M353" s="339"/>
      <c r="N353" s="315"/>
      <c r="O353" s="339"/>
      <c r="P353" s="339"/>
    </row>
    <row r="354" spans="1:16" s="9" customFormat="1" ht="11.25" hidden="1" customHeight="1" x14ac:dyDescent="0.2">
      <c r="A354" s="10">
        <v>74100000</v>
      </c>
      <c r="B354" s="10" t="s">
        <v>8980</v>
      </c>
      <c r="C354" s="11">
        <v>0</v>
      </c>
      <c r="D354" s="11">
        <v>0</v>
      </c>
      <c r="E354" s="11">
        <v>5128.4340000000002</v>
      </c>
      <c r="F354" s="13">
        <f>SUMIF('OD 12-24'!A:A,A354,'OD 12-24'!D:D)</f>
        <v>0</v>
      </c>
      <c r="G354" s="13">
        <f>SUMIF('OD 12-24'!A:A,A354,'OD 12-24'!E:E)</f>
        <v>0</v>
      </c>
      <c r="H354" s="14">
        <f>+D354+F354-E354-G354</f>
        <v>-5128.4340000000002</v>
      </c>
      <c r="I354" s="14">
        <f>+H354+C354</f>
        <v>-5128.4340000000002</v>
      </c>
      <c r="J354" s="8" t="s">
        <v>214</v>
      </c>
      <c r="K354" s="8" t="s">
        <v>506</v>
      </c>
      <c r="L354" s="9">
        <v>0</v>
      </c>
      <c r="M354" s="339"/>
      <c r="N354" s="315"/>
      <c r="O354" s="339"/>
      <c r="P354" s="339"/>
    </row>
    <row r="355" spans="1:16" s="9" customFormat="1" ht="11.25" hidden="1" customHeight="1" x14ac:dyDescent="0.2">
      <c r="A355" s="10">
        <v>75000000</v>
      </c>
      <c r="B355" s="10" t="s">
        <v>7575</v>
      </c>
      <c r="C355" s="11">
        <v>0</v>
      </c>
      <c r="D355" s="11">
        <v>0</v>
      </c>
      <c r="E355" s="11">
        <v>1074.4860000000001</v>
      </c>
      <c r="F355" s="13">
        <f>SUMIF('OD 12-24'!A:A,A355,'OD 12-24'!D:D)</f>
        <v>0</v>
      </c>
      <c r="G355" s="13">
        <f>SUMIF('OD 12-24'!A:A,A355,'OD 12-24'!E:E)</f>
        <v>0</v>
      </c>
      <c r="H355" s="14">
        <f t="shared" si="32"/>
        <v>-1074.4860000000001</v>
      </c>
      <c r="I355" s="14">
        <f t="shared" si="33"/>
        <v>-1074.4860000000001</v>
      </c>
      <c r="J355" s="8" t="s">
        <v>195</v>
      </c>
      <c r="K355" s="8" t="s">
        <v>517</v>
      </c>
      <c r="L355" s="9">
        <v>0</v>
      </c>
      <c r="M355" s="339"/>
      <c r="N355" s="315"/>
      <c r="O355" s="339"/>
      <c r="P355" s="339"/>
    </row>
    <row r="356" spans="1:16" s="9" customFormat="1" ht="11.25" hidden="1" customHeight="1" x14ac:dyDescent="0.2">
      <c r="A356" s="10">
        <v>75600000</v>
      </c>
      <c r="B356" s="10" t="s">
        <v>215</v>
      </c>
      <c r="C356" s="11">
        <v>0</v>
      </c>
      <c r="D356" s="11">
        <v>1E-3</v>
      </c>
      <c r="E356" s="11">
        <v>11509.156999999999</v>
      </c>
      <c r="F356" s="13">
        <f>SUMIF('OD 12-24'!A:A,A356,'OD 12-24'!D:D)</f>
        <v>107855.012</v>
      </c>
      <c r="G356" s="13">
        <f>SUMIF('OD 12-24'!A:A,A356,'OD 12-24'!E:E)</f>
        <v>81243.839999999997</v>
      </c>
      <c r="H356" s="14">
        <f t="shared" si="24"/>
        <v>15102.016000000003</v>
      </c>
      <c r="I356" s="14">
        <f t="shared" si="25"/>
        <v>15102.016000000003</v>
      </c>
      <c r="J356" s="8" t="s">
        <v>195</v>
      </c>
      <c r="K356" s="8" t="s">
        <v>517</v>
      </c>
      <c r="L356" s="9">
        <v>0</v>
      </c>
      <c r="M356" s="339"/>
      <c r="N356" s="315"/>
      <c r="O356" s="339"/>
      <c r="P356" s="339"/>
    </row>
    <row r="357" spans="1:16" s="9" customFormat="1" ht="11.25" hidden="1" customHeight="1" x14ac:dyDescent="0.2">
      <c r="A357" s="10">
        <v>77000000</v>
      </c>
      <c r="B357" s="10" t="s">
        <v>216</v>
      </c>
      <c r="C357" s="11">
        <v>0</v>
      </c>
      <c r="D357" s="11">
        <v>0</v>
      </c>
      <c r="E357" s="11">
        <v>1</v>
      </c>
      <c r="F357" s="13">
        <f>SUMIF('OD 12-24'!A:A,A357,'OD 12-24'!D:D)</f>
        <v>0</v>
      </c>
      <c r="G357" s="13">
        <f>SUMIF('OD 12-24'!A:A,A357,'OD 12-24'!E:E)</f>
        <v>0</v>
      </c>
      <c r="H357" s="14">
        <f t="shared" si="24"/>
        <v>-1</v>
      </c>
      <c r="I357" s="14">
        <f t="shared" si="25"/>
        <v>-1</v>
      </c>
      <c r="J357" s="8" t="s">
        <v>214</v>
      </c>
      <c r="K357" s="8" t="s">
        <v>506</v>
      </c>
      <c r="L357" s="9">
        <v>0</v>
      </c>
      <c r="M357" s="339"/>
      <c r="N357" s="315"/>
      <c r="O357" s="339"/>
      <c r="P357" s="339"/>
    </row>
    <row r="358" spans="1:16" s="9" customFormat="1" ht="11.25" hidden="1" customHeight="1" x14ac:dyDescent="0.2">
      <c r="A358" s="10">
        <v>78000000</v>
      </c>
      <c r="B358" s="10" t="s">
        <v>7576</v>
      </c>
      <c r="C358" s="11">
        <v>0</v>
      </c>
      <c r="D358" s="11">
        <v>0</v>
      </c>
      <c r="E358" s="11">
        <v>63887.869999999995</v>
      </c>
      <c r="F358" s="13">
        <f>SUMIF('OD 12-24'!A:A,A358,'OD 12-24'!D:D)</f>
        <v>0</v>
      </c>
      <c r="G358" s="13">
        <f>SUMIF('OD 12-24'!A:A,A358,'OD 12-24'!E:E)</f>
        <v>0</v>
      </c>
      <c r="H358" s="14">
        <f t="shared" si="24"/>
        <v>-63887.869999999995</v>
      </c>
      <c r="I358" s="14">
        <f t="shared" si="25"/>
        <v>-63887.869999999995</v>
      </c>
      <c r="J358" s="8" t="s">
        <v>7715</v>
      </c>
      <c r="K358" s="8" t="s">
        <v>7716</v>
      </c>
      <c r="L358" s="9" t="e">
        <v>#N/A</v>
      </c>
      <c r="M358" s="339"/>
      <c r="N358" s="315"/>
      <c r="O358" s="339"/>
      <c r="P358" s="339"/>
    </row>
    <row r="359" spans="1:16" ht="15" hidden="1" customHeight="1" x14ac:dyDescent="0.25">
      <c r="C359" s="11">
        <f t="shared" ref="C359:I359" si="34">SUM(C3:C358)</f>
        <v>8.5531454533338547E-4</v>
      </c>
      <c r="D359" s="11">
        <f t="shared" si="34"/>
        <v>577555697.33536768</v>
      </c>
      <c r="E359" s="11">
        <f t="shared" si="34"/>
        <v>577555697.33536756</v>
      </c>
      <c r="F359" s="11">
        <f t="shared" si="34"/>
        <v>608366727.01700032</v>
      </c>
      <c r="G359" s="11">
        <f t="shared" si="34"/>
        <v>608366727.01700008</v>
      </c>
      <c r="H359" s="11">
        <f t="shared" si="34"/>
        <v>-6.9805537350475788E-8</v>
      </c>
      <c r="I359" s="11">
        <f t="shared" si="34"/>
        <v>8.5525684698950499E-4</v>
      </c>
      <c r="L359" s="9"/>
      <c r="M359" s="339"/>
      <c r="N359" s="315"/>
    </row>
  </sheetData>
  <autoFilter ref="A2:N359" xr:uid="{00000000-0009-0000-0000-000020000000}">
    <filterColumn colId="11">
      <filters>
        <filter val="Augmentation des emprunts"/>
      </filters>
    </filterColumn>
  </autoFilter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00B050"/>
    <pageSetUpPr fitToPage="1"/>
  </sheetPr>
  <dimension ref="A1:P863"/>
  <sheetViews>
    <sheetView topLeftCell="C2" zoomScale="90" zoomScaleNormal="90" zoomScaleSheetLayoutView="100" workbookViewId="0">
      <selection activeCell="K11" sqref="K11"/>
    </sheetView>
  </sheetViews>
  <sheetFormatPr baseColWidth="10" defaultColWidth="11.42578125" defaultRowHeight="15" x14ac:dyDescent="0.25"/>
  <cols>
    <col min="1" max="1" width="10.5703125" style="227" hidden="1" customWidth="1"/>
    <col min="2" max="2" width="11" style="227" hidden="1" customWidth="1"/>
    <col min="3" max="3" width="5.140625" style="242" customWidth="1"/>
    <col min="4" max="5" width="43.85546875" style="227" customWidth="1"/>
    <col min="6" max="6" width="18.7109375" style="233" customWidth="1"/>
    <col min="7" max="7" width="8.140625" style="230" bestFit="1" customWidth="1"/>
    <col min="8" max="8" width="18.7109375" style="233" customWidth="1"/>
    <col min="9" max="9" width="7.85546875" style="230" bestFit="1" customWidth="1"/>
    <col min="10" max="11" width="7.85546875" style="230" customWidth="1"/>
    <col min="12" max="12" width="11.42578125" style="227"/>
    <col min="13" max="13" width="18.7109375" style="233" customWidth="1"/>
    <col min="14" max="14" width="11.42578125" style="227"/>
    <col min="15" max="15" width="18.7109375" style="233" customWidth="1"/>
    <col min="16" max="16384" width="11.42578125" style="227"/>
  </cols>
  <sheetData>
    <row r="1" spans="1:16" ht="26.25" hidden="1" customHeight="1" x14ac:dyDescent="0.4">
      <c r="A1" s="226" t="s">
        <v>220</v>
      </c>
      <c r="B1" s="227" t="s">
        <v>221</v>
      </c>
      <c r="D1" s="228" t="s">
        <v>222</v>
      </c>
      <c r="E1" s="228"/>
      <c r="F1" s="229"/>
      <c r="H1" s="229"/>
      <c r="M1" s="229"/>
      <c r="O1" s="229"/>
    </row>
    <row r="2" spans="1:16" ht="26.25" x14ac:dyDescent="0.4">
      <c r="A2" s="231">
        <v>40179</v>
      </c>
      <c r="B2" s="231">
        <v>40543</v>
      </c>
      <c r="D2" s="228" t="s">
        <v>223</v>
      </c>
      <c r="E2" s="228"/>
      <c r="F2" s="232"/>
      <c r="H2" s="232"/>
      <c r="M2" s="232"/>
      <c r="O2" s="232"/>
    </row>
    <row r="3" spans="1:16" ht="5.25" customHeight="1" thickBot="1" x14ac:dyDescent="0.3">
      <c r="A3" s="231">
        <v>39814</v>
      </c>
      <c r="B3" s="231">
        <v>40178</v>
      </c>
    </row>
    <row r="4" spans="1:16" ht="19.5" thickBot="1" x14ac:dyDescent="0.25">
      <c r="C4" s="240"/>
      <c r="D4" s="239"/>
      <c r="E4" s="240"/>
      <c r="F4" s="301">
        <v>45657</v>
      </c>
      <c r="G4" s="300"/>
      <c r="H4" s="301">
        <v>45291</v>
      </c>
      <c r="I4" s="241"/>
      <c r="J4" s="614"/>
      <c r="K4" s="614"/>
      <c r="M4" s="621">
        <v>45565</v>
      </c>
      <c r="N4" s="624"/>
      <c r="O4" s="631" t="s">
        <v>10426</v>
      </c>
      <c r="P4" s="641"/>
    </row>
    <row r="5" spans="1:16" ht="19.5" customHeight="1" x14ac:dyDescent="0.25">
      <c r="C5" s="243"/>
      <c r="D5" s="242"/>
      <c r="E5" s="243"/>
      <c r="F5" s="244"/>
      <c r="G5" s="245"/>
      <c r="H5" s="244"/>
      <c r="I5" s="245"/>
      <c r="J5" s="615"/>
      <c r="K5" s="615"/>
      <c r="M5" s="622"/>
      <c r="N5" s="624"/>
      <c r="O5" s="632"/>
      <c r="P5" s="641"/>
    </row>
    <row r="6" spans="1:16" x14ac:dyDescent="0.25">
      <c r="C6" s="246" t="s">
        <v>224</v>
      </c>
      <c r="D6" s="242"/>
      <c r="E6" s="246" t="s">
        <v>7357</v>
      </c>
      <c r="F6" s="247"/>
      <c r="G6" s="245"/>
      <c r="H6" s="247"/>
      <c r="I6" s="245"/>
      <c r="J6" s="615"/>
      <c r="K6" s="615"/>
      <c r="M6" s="623"/>
      <c r="N6" s="624"/>
      <c r="O6" s="633"/>
      <c r="P6" s="641"/>
    </row>
    <row r="7" spans="1:16" x14ac:dyDescent="0.25">
      <c r="A7" s="227" t="s">
        <v>225</v>
      </c>
      <c r="B7" s="227" t="s">
        <v>226</v>
      </c>
      <c r="C7" s="243"/>
      <c r="D7" s="242" t="s">
        <v>206</v>
      </c>
      <c r="E7" s="243" t="s">
        <v>7358</v>
      </c>
      <c r="F7" s="247">
        <f>-SUMIF('BAL 12-24'!$J:$J,$D7,'BAL 12-24'!$I:$I)</f>
        <v>34712969.598999992</v>
      </c>
      <c r="G7" s="248"/>
      <c r="H7" s="247">
        <f>-SUMIF('BAL 12-23'!$H:$H,$D7,'BAL 12-23'!$G:$G)</f>
        <v>32036812.397</v>
      </c>
      <c r="I7" s="248"/>
      <c r="J7" s="616"/>
      <c r="K7" s="616"/>
      <c r="M7" s="247">
        <v>25833952.342999998</v>
      </c>
      <c r="N7" s="624"/>
      <c r="O7" s="633">
        <f>+F7-M7</f>
        <v>8879017.2559999935</v>
      </c>
      <c r="P7" s="641"/>
    </row>
    <row r="8" spans="1:16" x14ac:dyDescent="0.25">
      <c r="C8" s="243"/>
      <c r="D8" s="242" t="s">
        <v>227</v>
      </c>
      <c r="E8" s="243" t="s">
        <v>7359</v>
      </c>
      <c r="F8" s="247">
        <f>-SUMIF('BAL 12-24'!$J:$J,$D8,'BAL 12-24'!$I:$I)</f>
        <v>43857750.809</v>
      </c>
      <c r="G8" s="248"/>
      <c r="H8" s="247">
        <f>-SUMIF('BAL 12-23'!$H:$H,$D8,'BAL 12-23'!$G:$G)</f>
        <v>19506673.700380001</v>
      </c>
      <c r="I8" s="248"/>
      <c r="J8" s="616"/>
      <c r="K8" s="616"/>
      <c r="M8" s="247">
        <v>30127312.484999999</v>
      </c>
      <c r="N8" s="624"/>
      <c r="O8" s="633">
        <f t="shared" ref="O8:O44" si="0">+F8-M8</f>
        <v>13730438.324000001</v>
      </c>
      <c r="P8" s="641"/>
    </row>
    <row r="9" spans="1:16" x14ac:dyDescent="0.25">
      <c r="A9" s="227" t="s">
        <v>225</v>
      </c>
      <c r="B9" s="227" t="s">
        <v>228</v>
      </c>
      <c r="C9" s="243"/>
      <c r="D9" s="242" t="s">
        <v>214</v>
      </c>
      <c r="E9" s="243" t="s">
        <v>506</v>
      </c>
      <c r="F9" s="247">
        <f>-SUMIF('BAL 12-24'!$J:$J,$D9,'BAL 12-24'!$I:$I)</f>
        <v>1442655.2780000002</v>
      </c>
      <c r="G9" s="248"/>
      <c r="H9" s="247">
        <f>-SUMIF('BAL 12-23'!$H:$H,$D9,'BAL 12-23'!$G:$G)</f>
        <v>514542.136</v>
      </c>
      <c r="I9" s="248"/>
      <c r="J9" s="616"/>
      <c r="K9" s="616"/>
      <c r="M9" s="247">
        <v>1148582.567</v>
      </c>
      <c r="N9" s="624"/>
      <c r="O9" s="633">
        <f t="shared" si="0"/>
        <v>294072.71100000013</v>
      </c>
      <c r="P9" s="641"/>
    </row>
    <row r="10" spans="1:16" ht="15.75" thickBot="1" x14ac:dyDescent="0.3">
      <c r="A10" s="227" t="s">
        <v>225</v>
      </c>
      <c r="B10" s="227" t="s">
        <v>229</v>
      </c>
      <c r="C10" s="250"/>
      <c r="D10" s="249" t="s">
        <v>230</v>
      </c>
      <c r="E10" s="250"/>
      <c r="F10" s="251"/>
      <c r="G10" s="252"/>
      <c r="H10" s="251"/>
      <c r="I10" s="252"/>
      <c r="J10" s="615"/>
      <c r="K10" s="615"/>
      <c r="M10" s="251"/>
      <c r="N10" s="624"/>
      <c r="O10" s="634">
        <f t="shared" si="0"/>
        <v>0</v>
      </c>
      <c r="P10" s="641"/>
    </row>
    <row r="11" spans="1:16" ht="15.75" thickBot="1" x14ac:dyDescent="0.3">
      <c r="C11" s="254" t="s">
        <v>231</v>
      </c>
      <c r="D11" s="253"/>
      <c r="E11" s="254" t="s">
        <v>7360</v>
      </c>
      <c r="F11" s="255">
        <f>SUM(F7:F10)</f>
        <v>80013375.68599999</v>
      </c>
      <c r="G11" s="256"/>
      <c r="H11" s="255">
        <f>SUM(H7:H10)</f>
        <v>52058028.233379997</v>
      </c>
      <c r="I11" s="256"/>
      <c r="J11" s="617"/>
      <c r="K11" s="617"/>
      <c r="M11" s="255">
        <v>57109847.394999996</v>
      </c>
      <c r="N11" s="624"/>
      <c r="O11" s="635">
        <f t="shared" si="0"/>
        <v>22903528.290999994</v>
      </c>
      <c r="P11" s="641"/>
    </row>
    <row r="12" spans="1:16" ht="13.5" customHeight="1" x14ac:dyDescent="0.25">
      <c r="C12" s="246"/>
      <c r="D12" s="242"/>
      <c r="E12" s="246"/>
      <c r="F12" s="247"/>
      <c r="G12" s="245"/>
      <c r="H12" s="247"/>
      <c r="I12" s="245"/>
      <c r="J12" s="615"/>
      <c r="K12" s="615"/>
      <c r="M12" s="247"/>
      <c r="N12" s="624"/>
      <c r="O12" s="633">
        <f t="shared" si="0"/>
        <v>0</v>
      </c>
      <c r="P12" s="641"/>
    </row>
    <row r="13" spans="1:16" ht="10.5" customHeight="1" x14ac:dyDescent="0.25">
      <c r="C13" s="243"/>
      <c r="D13" s="242"/>
      <c r="E13" s="243"/>
      <c r="F13" s="247"/>
      <c r="G13" s="245"/>
      <c r="H13" s="247"/>
      <c r="I13" s="245"/>
      <c r="J13" s="615"/>
      <c r="K13" s="615"/>
      <c r="M13" s="247"/>
      <c r="N13" s="624"/>
      <c r="O13" s="633">
        <f t="shared" si="0"/>
        <v>0</v>
      </c>
      <c r="P13" s="641"/>
    </row>
    <row r="14" spans="1:16" x14ac:dyDescent="0.25">
      <c r="C14" s="246" t="s">
        <v>232</v>
      </c>
      <c r="D14" s="242"/>
      <c r="E14" s="246" t="s">
        <v>7361</v>
      </c>
      <c r="F14" s="247"/>
      <c r="G14" s="245"/>
      <c r="H14" s="247"/>
      <c r="I14" s="245"/>
      <c r="J14" s="615"/>
      <c r="K14" s="615"/>
      <c r="M14" s="247"/>
      <c r="N14" s="624"/>
      <c r="O14" s="633">
        <f t="shared" si="0"/>
        <v>0</v>
      </c>
      <c r="P14" s="641"/>
    </row>
    <row r="15" spans="1:16" x14ac:dyDescent="0.25">
      <c r="C15" s="246"/>
      <c r="D15" s="242" t="s">
        <v>210</v>
      </c>
      <c r="E15" s="246" t="s">
        <v>7362</v>
      </c>
      <c r="F15" s="247">
        <f>-SUMIF('BAL 12-24'!$J:$J,$D15,'BAL 12-24'!$I:$I)</f>
        <v>500351.48000001488</v>
      </c>
      <c r="G15" s="248"/>
      <c r="H15" s="247">
        <f>-SUMIF('BAL 12-23'!H:H,D15,'BAL 12-23'!G:G)</f>
        <v>861776.22900000028</v>
      </c>
      <c r="I15" s="248"/>
      <c r="J15" s="616"/>
      <c r="K15" s="616"/>
      <c r="M15" s="247">
        <v>-1031198.7219999922</v>
      </c>
      <c r="N15" s="624"/>
      <c r="O15" s="633">
        <f t="shared" si="0"/>
        <v>1531550.202000007</v>
      </c>
      <c r="P15" s="641"/>
    </row>
    <row r="16" spans="1:16" x14ac:dyDescent="0.25">
      <c r="A16" s="227" t="s">
        <v>233</v>
      </c>
      <c r="B16" s="227" t="s">
        <v>234</v>
      </c>
      <c r="C16" s="243"/>
      <c r="D16" s="242" t="s">
        <v>138</v>
      </c>
      <c r="E16" s="243" t="s">
        <v>7363</v>
      </c>
      <c r="F16" s="247">
        <f>-SUMIF('BAL 12-24'!$J:$J,$D16,'BAL 12-24'!$I:$I)</f>
        <v>-52420846.652646497</v>
      </c>
      <c r="G16" s="257">
        <f>-(F16+F15)/F11</f>
        <v>0.64889769651014806</v>
      </c>
      <c r="H16" s="247">
        <f>-SUMIF('BAL 12-23'!H:H,D16,'BAL 12-23'!G:G)</f>
        <v>-34339786.635755971</v>
      </c>
      <c r="I16" s="257">
        <f>-(H16+H15)/H11</f>
        <v>0.64309025030052169</v>
      </c>
      <c r="J16" s="618"/>
      <c r="K16" s="618"/>
      <c r="M16" s="247">
        <v>-34709116.734923005</v>
      </c>
      <c r="N16" s="625">
        <f>-(M16+M15)/M11</f>
        <v>0.6258170365913478</v>
      </c>
      <c r="O16" s="633">
        <f t="shared" si="0"/>
        <v>-17711729.917723492</v>
      </c>
      <c r="P16" s="610">
        <f>-(O16+O15)/O11</f>
        <v>0.70644922084260409</v>
      </c>
    </row>
    <row r="17" spans="1:16" x14ac:dyDescent="0.25">
      <c r="A17" s="227" t="s">
        <v>233</v>
      </c>
      <c r="B17" s="227" t="s">
        <v>235</v>
      </c>
      <c r="C17" s="243"/>
      <c r="D17" s="242" t="s">
        <v>192</v>
      </c>
      <c r="E17" s="243" t="s">
        <v>7364</v>
      </c>
      <c r="F17" s="247">
        <f>-SUMIF('BAL 12-24'!$J:$J,$D17,'BAL 12-24'!$I:$I)</f>
        <v>-5833205.6649999991</v>
      </c>
      <c r="G17" s="257">
        <f>-F17/F11</f>
        <v>7.2902881736817415E-2</v>
      </c>
      <c r="H17" s="247">
        <f>-SUMIF('BAL 12-23'!H:H,D17,'BAL 12-23'!G:G)</f>
        <v>-5287785.6439999994</v>
      </c>
      <c r="I17" s="257">
        <f>-H17/H11</f>
        <v>0.1015748353029136</v>
      </c>
      <c r="J17" s="618"/>
      <c r="K17" s="618"/>
      <c r="M17" s="247">
        <v>-4073989.8770000003</v>
      </c>
      <c r="N17" s="625">
        <f>-M17/M11</f>
        <v>7.1336031574769726E-2</v>
      </c>
      <c r="O17" s="633">
        <f t="shared" si="0"/>
        <v>-1759215.7879999988</v>
      </c>
      <c r="P17" s="610">
        <f>-O17/O11</f>
        <v>7.6809815747527752E-2</v>
      </c>
    </row>
    <row r="18" spans="1:16" x14ac:dyDescent="0.25">
      <c r="C18" s="243"/>
      <c r="D18" s="242" t="s">
        <v>7715</v>
      </c>
      <c r="E18" s="243" t="s">
        <v>7716</v>
      </c>
      <c r="F18" s="247">
        <f>-SUMIF('BAL 12-24'!$J:$J,$D18,'BAL 12-24'!$I:$I)</f>
        <v>-1152856.9070000001</v>
      </c>
      <c r="G18" s="257">
        <f>-F18/F11</f>
        <v>1.4408302325903699E-2</v>
      </c>
      <c r="H18" s="247">
        <f>-SUMIF('BAL 12-23'!H:H,D18,'BAL 12-23'!G:G)</f>
        <v>0</v>
      </c>
      <c r="I18" s="257">
        <f>-H18/H11</f>
        <v>0</v>
      </c>
      <c r="J18" s="618"/>
      <c r="K18" s="618"/>
      <c r="M18" s="247">
        <v>-1046418.088</v>
      </c>
      <c r="N18" s="625">
        <f>-M18/M11</f>
        <v>1.8322901141066866E-2</v>
      </c>
      <c r="O18" s="633">
        <f t="shared" si="0"/>
        <v>-106438.81900000013</v>
      </c>
      <c r="P18" s="610">
        <f>-O18/O11</f>
        <v>4.6472673401078369E-3</v>
      </c>
    </row>
    <row r="19" spans="1:16" x14ac:dyDescent="0.25">
      <c r="A19" s="227" t="s">
        <v>233</v>
      </c>
      <c r="B19" s="227" t="s">
        <v>236</v>
      </c>
      <c r="C19" s="243"/>
      <c r="D19" s="242" t="s">
        <v>203</v>
      </c>
      <c r="E19" s="243" t="s">
        <v>7365</v>
      </c>
      <c r="F19" s="247">
        <f>-SUMIF('BAL 12-24'!$J:$J,$D19,'BAL 12-24'!$I:$I)</f>
        <v>-3094127.3080000021</v>
      </c>
      <c r="G19" s="257">
        <f>-F19/F11</f>
        <v>3.8670125856737028E-2</v>
      </c>
      <c r="H19" s="247">
        <f>-SUMIF('BAL 12-23'!H:H,D19,'BAL 12-23'!G:G)</f>
        <v>-2490371.8530000001</v>
      </c>
      <c r="I19" s="257">
        <f>-H19/H11</f>
        <v>4.7838382234445732E-2</v>
      </c>
      <c r="J19" s="618"/>
      <c r="K19" s="618"/>
      <c r="M19" s="247">
        <v>-2245579.7050000001</v>
      </c>
      <c r="N19" s="625">
        <f>-M19/M11</f>
        <v>3.9320359052414523E-2</v>
      </c>
      <c r="O19" s="633">
        <f t="shared" si="0"/>
        <v>-848547.60300000198</v>
      </c>
      <c r="P19" s="610">
        <f>-O19/O11</f>
        <v>3.704877223364058E-2</v>
      </c>
    </row>
    <row r="20" spans="1:16" ht="15.75" thickBot="1" x14ac:dyDescent="0.3">
      <c r="A20" s="227" t="s">
        <v>233</v>
      </c>
      <c r="B20" s="227" t="s">
        <v>237</v>
      </c>
      <c r="C20" s="243"/>
      <c r="D20" s="242" t="s">
        <v>157</v>
      </c>
      <c r="E20" s="243" t="s">
        <v>7366</v>
      </c>
      <c r="F20" s="247">
        <f>-SUMIF('BAL 12-24'!$J:$J,$D20,'BAL 12-24'!$I:$I)</f>
        <v>-5318714.4267940037</v>
      </c>
      <c r="G20" s="257">
        <f>-F20/F11</f>
        <v>6.6472816340938656E-2</v>
      </c>
      <c r="H20" s="247">
        <f>-SUMIF('BAL 12-23'!H:H,D20,'BAL 12-23'!G:G)</f>
        <v>-4060102.4519174984</v>
      </c>
      <c r="I20" s="257">
        <f>-H20/H11</f>
        <v>7.7991860039641883E-2</v>
      </c>
      <c r="J20" s="618"/>
      <c r="K20" s="618"/>
      <c r="M20" s="247">
        <v>-3729627.4615340005</v>
      </c>
      <c r="N20" s="625">
        <f>-M20/M11</f>
        <v>6.5306206051262042E-2</v>
      </c>
      <c r="O20" s="633">
        <f t="shared" si="0"/>
        <v>-1589086.9652600032</v>
      </c>
      <c r="P20" s="610">
        <f>-O20/O11</f>
        <v>6.9381753984360542E-2</v>
      </c>
    </row>
    <row r="21" spans="1:16" x14ac:dyDescent="0.25">
      <c r="C21" s="259" t="s">
        <v>238</v>
      </c>
      <c r="D21" s="258"/>
      <c r="E21" s="259" t="s">
        <v>7367</v>
      </c>
      <c r="F21" s="260">
        <f>SUM(F15:F20)</f>
        <v>-67319399.479440495</v>
      </c>
      <c r="G21" s="261"/>
      <c r="H21" s="260">
        <f>SUM(H15:H20)</f>
        <v>-45316270.35567347</v>
      </c>
      <c r="I21" s="261"/>
      <c r="J21" s="617"/>
      <c r="K21" s="617"/>
      <c r="M21" s="260">
        <v>-46835930.588456996</v>
      </c>
      <c r="N21" s="626"/>
      <c r="O21" s="636">
        <f t="shared" si="0"/>
        <v>-20483468.8909835</v>
      </c>
      <c r="P21" s="642"/>
    </row>
    <row r="22" spans="1:16" ht="5.25" customHeight="1" thickBot="1" x14ac:dyDescent="0.3">
      <c r="C22" s="250"/>
      <c r="D22" s="249"/>
      <c r="E22" s="250"/>
      <c r="F22" s="251"/>
      <c r="G22" s="252"/>
      <c r="H22" s="251"/>
      <c r="I22" s="252"/>
      <c r="J22" s="615"/>
      <c r="K22" s="615"/>
      <c r="M22" s="251"/>
      <c r="N22" s="627"/>
      <c r="O22" s="634">
        <f t="shared" si="0"/>
        <v>0</v>
      </c>
      <c r="P22" s="611"/>
    </row>
    <row r="23" spans="1:16" ht="15.75" thickBot="1" x14ac:dyDescent="0.3">
      <c r="C23" s="262" t="s">
        <v>239</v>
      </c>
      <c r="D23" s="253"/>
      <c r="E23" s="262" t="s">
        <v>7368</v>
      </c>
      <c r="F23" s="263">
        <f>+F11+F21</f>
        <v>12693976.206559494</v>
      </c>
      <c r="G23" s="264">
        <f>+F23/F11</f>
        <v>0.15864817722945504</v>
      </c>
      <c r="H23" s="263">
        <f>+H11+H21</f>
        <v>6741757.8777065277</v>
      </c>
      <c r="I23" s="264">
        <f>+H23/H11</f>
        <v>0.12950467212247702</v>
      </c>
      <c r="J23" s="618"/>
      <c r="K23" s="618"/>
      <c r="M23" s="263">
        <v>10273916.806543</v>
      </c>
      <c r="N23" s="625">
        <f>+M23/M11</f>
        <v>0.17989746558913916</v>
      </c>
      <c r="O23" s="637">
        <f t="shared" si="0"/>
        <v>2420059.4000164941</v>
      </c>
      <c r="P23" s="610">
        <f>+O23/O11</f>
        <v>0.10566316985175875</v>
      </c>
    </row>
    <row r="24" spans="1:16" ht="4.5" customHeight="1" x14ac:dyDescent="0.25">
      <c r="C24" s="243"/>
      <c r="D24" s="242"/>
      <c r="E24" s="243"/>
      <c r="F24" s="247"/>
      <c r="G24" s="245"/>
      <c r="H24" s="247"/>
      <c r="I24" s="245"/>
      <c r="J24" s="615"/>
      <c r="K24" s="615"/>
      <c r="M24" s="247"/>
      <c r="N24" s="627"/>
      <c r="O24" s="633">
        <f t="shared" si="0"/>
        <v>0</v>
      </c>
      <c r="P24" s="611"/>
    </row>
    <row r="25" spans="1:16" ht="4.5" customHeight="1" x14ac:dyDescent="0.25">
      <c r="C25" s="243"/>
      <c r="D25" s="242"/>
      <c r="E25" s="243"/>
      <c r="F25" s="247"/>
      <c r="G25" s="245"/>
      <c r="H25" s="247"/>
      <c r="I25" s="245"/>
      <c r="J25" s="615"/>
      <c r="K25" s="615"/>
      <c r="M25" s="247"/>
      <c r="N25" s="627"/>
      <c r="O25" s="633">
        <f t="shared" si="0"/>
        <v>0</v>
      </c>
      <c r="P25" s="611"/>
    </row>
    <row r="26" spans="1:16" ht="4.5" customHeight="1" x14ac:dyDescent="0.25">
      <c r="C26" s="243"/>
      <c r="D26" s="242"/>
      <c r="E26" s="243"/>
      <c r="F26" s="247"/>
      <c r="G26" s="245"/>
      <c r="H26" s="247"/>
      <c r="I26" s="245"/>
      <c r="J26" s="615"/>
      <c r="K26" s="615"/>
      <c r="M26" s="247"/>
      <c r="N26" s="627"/>
      <c r="O26" s="633">
        <f t="shared" si="0"/>
        <v>0</v>
      </c>
      <c r="P26" s="611"/>
    </row>
    <row r="27" spans="1:16" ht="4.5" customHeight="1" x14ac:dyDescent="0.25">
      <c r="C27" s="243"/>
      <c r="D27" s="242"/>
      <c r="E27" s="243"/>
      <c r="F27" s="247"/>
      <c r="G27" s="245"/>
      <c r="H27" s="247"/>
      <c r="I27" s="245"/>
      <c r="J27" s="615"/>
      <c r="K27" s="615"/>
      <c r="M27" s="247"/>
      <c r="N27" s="627"/>
      <c r="O27" s="633">
        <f t="shared" si="0"/>
        <v>0</v>
      </c>
      <c r="P27" s="611"/>
    </row>
    <row r="28" spans="1:16" x14ac:dyDescent="0.25">
      <c r="A28" s="227" t="s">
        <v>240</v>
      </c>
      <c r="B28" s="227" t="s">
        <v>241</v>
      </c>
      <c r="C28" s="266"/>
      <c r="D28" s="265"/>
      <c r="E28" s="266" t="s">
        <v>7369</v>
      </c>
      <c r="F28" s="267">
        <f>+F23-F19</f>
        <v>15788103.514559496</v>
      </c>
      <c r="G28" s="268">
        <f>+F28/F11</f>
        <v>0.19731830308619205</v>
      </c>
      <c r="H28" s="267">
        <f>+H23-H19</f>
        <v>9232129.7307065278</v>
      </c>
      <c r="I28" s="268">
        <f>+H28/H11</f>
        <v>0.17734305435692274</v>
      </c>
      <c r="J28" s="619"/>
      <c r="K28" s="619"/>
      <c r="M28" s="267">
        <v>12519496.511543</v>
      </c>
      <c r="N28" s="628">
        <f>+M28/M11</f>
        <v>0.21921782464155368</v>
      </c>
      <c r="O28" s="638">
        <f t="shared" si="0"/>
        <v>3268607.0030164961</v>
      </c>
      <c r="P28" s="612">
        <f>+O28/O11</f>
        <v>0.14271194208539933</v>
      </c>
    </row>
    <row r="29" spans="1:16" x14ac:dyDescent="0.25">
      <c r="C29" s="243"/>
      <c r="D29" s="242"/>
      <c r="E29" s="243"/>
      <c r="F29" s="247"/>
      <c r="G29" s="245"/>
      <c r="H29" s="247"/>
      <c r="I29" s="245"/>
      <c r="J29" s="615"/>
      <c r="K29" s="615"/>
      <c r="M29" s="247"/>
      <c r="N29" s="627"/>
      <c r="O29" s="633">
        <f t="shared" si="0"/>
        <v>0</v>
      </c>
      <c r="P29" s="611"/>
    </row>
    <row r="30" spans="1:16" x14ac:dyDescent="0.25">
      <c r="A30" s="227" t="s">
        <v>240</v>
      </c>
      <c r="B30" s="227" t="s">
        <v>242</v>
      </c>
      <c r="C30" s="243"/>
      <c r="D30" s="242" t="s">
        <v>195</v>
      </c>
      <c r="E30" s="243" t="s">
        <v>7370</v>
      </c>
      <c r="F30" s="247">
        <f>-SUMIF('BAL 12-24'!$J:$J,$D30,'BAL 12-24'!$I:$I)</f>
        <v>-2221912.3679999998</v>
      </c>
      <c r="G30" s="257">
        <f>-F30/F11</f>
        <v>2.7769261688440044E-2</v>
      </c>
      <c r="H30" s="247">
        <f>-SUMIF('BAL 12-23'!H:H,D30,'BAL 12-23'!G:G)</f>
        <v>-2016758.4039999996</v>
      </c>
      <c r="I30" s="257">
        <f>-H30/H11</f>
        <v>3.8740583776218383E-2</v>
      </c>
      <c r="J30" s="618"/>
      <c r="K30" s="618"/>
      <c r="M30" s="247">
        <v>-1597648.1369999999</v>
      </c>
      <c r="N30" s="625">
        <f>-M30/M11</f>
        <v>2.7975002733764527E-2</v>
      </c>
      <c r="O30" s="633">
        <f t="shared" si="0"/>
        <v>-624264.23099999991</v>
      </c>
      <c r="P30" s="610">
        <f>-O30/O11</f>
        <v>2.7256247293798237E-2</v>
      </c>
    </row>
    <row r="31" spans="1:16" x14ac:dyDescent="0.25">
      <c r="A31" s="227" t="s">
        <v>240</v>
      </c>
      <c r="B31" s="227" t="s">
        <v>244</v>
      </c>
      <c r="C31" s="243"/>
      <c r="D31" s="242" t="s">
        <v>199</v>
      </c>
      <c r="E31" s="243"/>
      <c r="F31" s="247">
        <f>-SUMIF('BAL 12-24'!$J:$J,$D31,'BAL 12-24'!$I:$I)</f>
        <v>0</v>
      </c>
      <c r="G31" s="257"/>
      <c r="H31" s="247">
        <f>-SUMIF('BAL 12-23'!H:H,D31,'BAL 12-23'!G:G)</f>
        <v>0</v>
      </c>
      <c r="I31" s="257"/>
      <c r="J31" s="618"/>
      <c r="K31" s="618"/>
      <c r="M31" s="247">
        <v>0</v>
      </c>
      <c r="N31" s="625"/>
      <c r="O31" s="633">
        <f t="shared" si="0"/>
        <v>0</v>
      </c>
      <c r="P31" s="610"/>
    </row>
    <row r="32" spans="1:16" x14ac:dyDescent="0.25">
      <c r="A32" s="227" t="s">
        <v>240</v>
      </c>
      <c r="B32" s="227" t="s">
        <v>245</v>
      </c>
      <c r="C32" s="243"/>
      <c r="D32" s="242" t="s">
        <v>243</v>
      </c>
      <c r="E32" s="243"/>
      <c r="F32" s="247">
        <f>-SUMIF('BAL 12-24'!$J:$J,$D32,'BAL 12-24'!$I:$I)</f>
        <v>0</v>
      </c>
      <c r="G32" s="248"/>
      <c r="H32" s="247">
        <f>-SUMIF('BAL 12-23'!H:H,D32,'BAL 12-23'!G:G)</f>
        <v>0</v>
      </c>
      <c r="I32" s="248"/>
      <c r="J32" s="616"/>
      <c r="K32" s="616"/>
      <c r="M32" s="247">
        <v>0</v>
      </c>
      <c r="N32" s="629"/>
      <c r="O32" s="633">
        <f t="shared" si="0"/>
        <v>0</v>
      </c>
      <c r="P32" s="613"/>
    </row>
    <row r="33" spans="1:16" x14ac:dyDescent="0.25">
      <c r="B33" s="227" t="s">
        <v>246</v>
      </c>
      <c r="C33" s="243"/>
      <c r="D33" s="242" t="s">
        <v>212</v>
      </c>
      <c r="E33" s="243" t="s">
        <v>7371</v>
      </c>
      <c r="F33" s="247">
        <f>-SUMIF('BAL 12-24'!$J:$J,$D33,'BAL 12-24'!$I:$I)</f>
        <v>0</v>
      </c>
      <c r="G33" s="248"/>
      <c r="H33" s="247">
        <f>-SUMIF('BAL 12-23'!H:H,D33,'BAL 12-23'!G:G)</f>
        <v>0</v>
      </c>
      <c r="I33" s="248"/>
      <c r="J33" s="616"/>
      <c r="K33" s="616"/>
      <c r="M33" s="247">
        <v>0</v>
      </c>
      <c r="N33" s="629"/>
      <c r="O33" s="633">
        <f t="shared" si="0"/>
        <v>0</v>
      </c>
      <c r="P33" s="613"/>
    </row>
    <row r="34" spans="1:16" ht="15.75" thickBot="1" x14ac:dyDescent="0.3">
      <c r="A34" s="227" t="s">
        <v>248</v>
      </c>
      <c r="B34" s="227" t="s">
        <v>204</v>
      </c>
      <c r="C34" s="243"/>
      <c r="D34" s="242" t="s">
        <v>190</v>
      </c>
      <c r="E34" s="243" t="s">
        <v>7372</v>
      </c>
      <c r="F34" s="247">
        <f>-SUMIF('BAL 12-24'!$J:$J,$D34,'BAL 12-24'!$I:$I)</f>
        <v>-16745.715</v>
      </c>
      <c r="G34" s="248"/>
      <c r="H34" s="247">
        <f>-SUMIF('BAL 12-23'!H:H,D34,'BAL 12-23'!G:G)</f>
        <v>-22580.147999999997</v>
      </c>
      <c r="I34" s="248"/>
      <c r="J34" s="616"/>
      <c r="K34" s="616"/>
      <c r="M34" s="247">
        <v>-7180.0480000000007</v>
      </c>
      <c r="N34" s="629"/>
      <c r="O34" s="633">
        <f t="shared" si="0"/>
        <v>-9565.6669999999995</v>
      </c>
      <c r="P34" s="613"/>
    </row>
    <row r="35" spans="1:16" ht="15.75" thickBot="1" x14ac:dyDescent="0.3">
      <c r="B35" s="227" t="s">
        <v>249</v>
      </c>
      <c r="C35" s="262" t="s">
        <v>247</v>
      </c>
      <c r="D35" s="253"/>
      <c r="E35" s="262" t="s">
        <v>520</v>
      </c>
      <c r="F35" s="263">
        <f>SUM(F23:F34)-F28</f>
        <v>10455318.123559494</v>
      </c>
      <c r="G35" s="264">
        <f>+F35/F11</f>
        <v>0.13066962909538724</v>
      </c>
      <c r="H35" s="263">
        <f>SUM(H23:H34)-H28</f>
        <v>4702419.3257065285</v>
      </c>
      <c r="I35" s="264">
        <f>+H35/H11</f>
        <v>9.0330338763989187E-2</v>
      </c>
      <c r="J35" s="618"/>
      <c r="K35" s="618"/>
      <c r="M35" s="263">
        <v>8669088.6215429995</v>
      </c>
      <c r="N35" s="625">
        <f>+M35/M11</f>
        <v>0.1517967393886257</v>
      </c>
      <c r="O35" s="637">
        <f t="shared" si="0"/>
        <v>1786229.5020164941</v>
      </c>
      <c r="P35" s="610">
        <f>+O35/O11</f>
        <v>7.7989272190800318E-2</v>
      </c>
    </row>
    <row r="36" spans="1:16" x14ac:dyDescent="0.25">
      <c r="C36" s="269"/>
      <c r="D36" s="242"/>
      <c r="E36" s="269"/>
      <c r="F36" s="270"/>
      <c r="G36" s="257"/>
      <c r="H36" s="270"/>
      <c r="I36" s="257"/>
      <c r="J36" s="618"/>
      <c r="K36" s="618"/>
      <c r="M36" s="270"/>
      <c r="N36" s="625"/>
      <c r="O36" s="639">
        <f t="shared" si="0"/>
        <v>0</v>
      </c>
      <c r="P36" s="610"/>
    </row>
    <row r="37" spans="1:16" ht="15.75" thickBot="1" x14ac:dyDescent="0.3">
      <c r="C37" s="250"/>
      <c r="D37" s="249" t="s">
        <v>204</v>
      </c>
      <c r="E37" s="250" t="s">
        <v>7373</v>
      </c>
      <c r="F37" s="271"/>
      <c r="G37" s="272"/>
      <c r="H37" s="247">
        <f>-SUMIF('BAL 12-23'!H:H,D37,'BAL 12-23'!G:G)</f>
        <v>-205043.10000000003</v>
      </c>
      <c r="I37" s="272"/>
      <c r="J37" s="620"/>
      <c r="K37" s="620"/>
      <c r="M37" s="271"/>
      <c r="N37" s="630"/>
      <c r="O37" s="640">
        <f t="shared" si="0"/>
        <v>0</v>
      </c>
      <c r="P37" s="643"/>
    </row>
    <row r="38" spans="1:16" ht="15.75" thickBot="1" x14ac:dyDescent="0.3">
      <c r="C38" s="262"/>
      <c r="D38" s="253"/>
      <c r="E38" s="262" t="s">
        <v>7374</v>
      </c>
      <c r="F38" s="263">
        <f>+F35+F36</f>
        <v>10455318.123559494</v>
      </c>
      <c r="G38" s="273"/>
      <c r="H38" s="263">
        <f>+H35+H37</f>
        <v>4497376.2257065289</v>
      </c>
      <c r="I38" s="273"/>
      <c r="J38" s="620"/>
      <c r="K38" s="620"/>
      <c r="M38" s="263">
        <v>8669088.6215429995</v>
      </c>
      <c r="N38" s="630"/>
      <c r="O38" s="637">
        <f t="shared" si="0"/>
        <v>1786229.5020164941</v>
      </c>
      <c r="P38" s="643"/>
    </row>
    <row r="39" spans="1:16" ht="6" customHeight="1" x14ac:dyDescent="0.25">
      <c r="A39" s="227" t="s">
        <v>250</v>
      </c>
      <c r="B39" s="227" t="s">
        <v>251</v>
      </c>
      <c r="C39" s="269"/>
      <c r="D39" s="242"/>
      <c r="E39" s="269"/>
      <c r="F39" s="247"/>
      <c r="G39" s="245"/>
      <c r="H39" s="247"/>
      <c r="I39" s="245"/>
      <c r="J39" s="615"/>
      <c r="K39" s="615"/>
      <c r="M39" s="247"/>
      <c r="N39" s="627"/>
      <c r="O39" s="633">
        <f t="shared" si="0"/>
        <v>0</v>
      </c>
      <c r="P39" s="611"/>
    </row>
    <row r="40" spans="1:16" ht="6" customHeight="1" x14ac:dyDescent="0.25">
      <c r="C40" s="269"/>
      <c r="D40" s="242"/>
      <c r="E40" s="269"/>
      <c r="F40" s="247"/>
      <c r="G40" s="245"/>
      <c r="H40" s="247"/>
      <c r="I40" s="245"/>
      <c r="J40" s="615"/>
      <c r="K40" s="615"/>
      <c r="M40" s="247"/>
      <c r="N40" s="627"/>
      <c r="O40" s="633">
        <f t="shared" si="0"/>
        <v>0</v>
      </c>
      <c r="P40" s="611"/>
    </row>
    <row r="41" spans="1:16" ht="6" customHeight="1" x14ac:dyDescent="0.25">
      <c r="C41" s="269"/>
      <c r="D41" s="242"/>
      <c r="E41" s="269"/>
      <c r="F41" s="247"/>
      <c r="G41" s="245"/>
      <c r="H41" s="247"/>
      <c r="I41" s="245"/>
      <c r="J41" s="615"/>
      <c r="K41" s="615"/>
      <c r="M41" s="247"/>
      <c r="N41" s="627"/>
      <c r="O41" s="633">
        <f t="shared" si="0"/>
        <v>0</v>
      </c>
      <c r="P41" s="611"/>
    </row>
    <row r="42" spans="1:16" x14ac:dyDescent="0.25">
      <c r="C42" s="243"/>
      <c r="D42" s="242" t="s">
        <v>251</v>
      </c>
      <c r="E42" s="243" t="s">
        <v>7375</v>
      </c>
      <c r="F42" s="247">
        <v>0</v>
      </c>
      <c r="G42" s="248"/>
      <c r="H42" s="247">
        <v>0</v>
      </c>
      <c r="I42" s="248"/>
      <c r="J42" s="616"/>
      <c r="K42" s="616"/>
      <c r="M42" s="247">
        <v>0</v>
      </c>
      <c r="N42" s="629"/>
      <c r="O42" s="633">
        <f t="shared" si="0"/>
        <v>0</v>
      </c>
      <c r="P42" s="613"/>
    </row>
    <row r="43" spans="1:16" ht="15.75" thickBot="1" x14ac:dyDescent="0.3">
      <c r="C43" s="243"/>
      <c r="D43" s="242"/>
      <c r="E43" s="243"/>
      <c r="F43" s="247"/>
      <c r="G43" s="245"/>
      <c r="H43" s="247"/>
      <c r="I43" s="245"/>
      <c r="J43" s="615"/>
      <c r="K43" s="615"/>
      <c r="M43" s="247"/>
      <c r="N43" s="627"/>
      <c r="O43" s="633">
        <f t="shared" si="0"/>
        <v>0</v>
      </c>
      <c r="P43" s="611"/>
    </row>
    <row r="44" spans="1:16" ht="15.75" thickBot="1" x14ac:dyDescent="0.3">
      <c r="C44" s="262" t="s">
        <v>252</v>
      </c>
      <c r="D44" s="253"/>
      <c r="E44" s="262" t="s">
        <v>7376</v>
      </c>
      <c r="F44" s="263">
        <f>+F38+F42</f>
        <v>10455318.123559494</v>
      </c>
      <c r="G44" s="273"/>
      <c r="H44" s="263">
        <f>+H38+H42</f>
        <v>4497376.2257065289</v>
      </c>
      <c r="I44" s="273"/>
      <c r="J44" s="620"/>
      <c r="K44" s="620"/>
      <c r="M44" s="263">
        <v>8669088.6215429995</v>
      </c>
      <c r="N44" s="630"/>
      <c r="O44" s="637">
        <f t="shared" si="0"/>
        <v>1786229.5020164941</v>
      </c>
      <c r="P44" s="643"/>
    </row>
    <row r="851" spans="1:1" x14ac:dyDescent="0.25">
      <c r="A851" s="227" t="s">
        <v>253</v>
      </c>
    </row>
    <row r="852" spans="1:1" x14ac:dyDescent="0.25">
      <c r="A852" s="227" t="s">
        <v>254</v>
      </c>
    </row>
    <row r="853" spans="1:1" x14ac:dyDescent="0.25">
      <c r="A853" s="227" t="s">
        <v>255</v>
      </c>
    </row>
    <row r="854" spans="1:1" x14ac:dyDescent="0.25">
      <c r="A854" s="227" t="s">
        <v>256</v>
      </c>
    </row>
    <row r="855" spans="1:1" x14ac:dyDescent="0.25">
      <c r="A855" s="227" t="s">
        <v>254</v>
      </c>
    </row>
    <row r="856" spans="1:1" x14ac:dyDescent="0.25">
      <c r="A856" s="227" t="s">
        <v>255</v>
      </c>
    </row>
    <row r="857" spans="1:1" x14ac:dyDescent="0.25">
      <c r="A857" s="227" t="s">
        <v>257</v>
      </c>
    </row>
    <row r="858" spans="1:1" x14ac:dyDescent="0.25">
      <c r="A858" s="227" t="s">
        <v>254</v>
      </c>
    </row>
    <row r="859" spans="1:1" x14ac:dyDescent="0.25">
      <c r="A859" s="227" t="s">
        <v>255</v>
      </c>
    </row>
    <row r="860" spans="1:1" x14ac:dyDescent="0.25">
      <c r="A860" s="227" t="s">
        <v>258</v>
      </c>
    </row>
    <row r="861" spans="1:1" x14ac:dyDescent="0.25">
      <c r="A861" s="227" t="s">
        <v>254</v>
      </c>
    </row>
    <row r="862" spans="1:1" x14ac:dyDescent="0.25">
      <c r="A862" s="227" t="s">
        <v>255</v>
      </c>
    </row>
    <row r="863" spans="1:1" x14ac:dyDescent="0.25">
      <c r="A863" s="227" t="s">
        <v>259</v>
      </c>
    </row>
  </sheetData>
  <pageMargins left="0.23622047244094491" right="0.11811023622047245" top="0.98425196850393704" bottom="0.98425196850393704" header="0.51181102362204722" footer="0.51181102362204722"/>
  <pageSetup paperSize="9" scale="80" orientation="landscape" verticalDpi="180" r:id="rId1"/>
  <headerFooter alignWithMargins="0"/>
  <ignoredErrors>
    <ignoredError sqref="G28:G35 G23:H23 H24:H30 H35 H16:H22 O16:O35" 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00B050"/>
  </sheetPr>
  <dimension ref="C1:Q29"/>
  <sheetViews>
    <sheetView topLeftCell="A3" zoomScale="115" zoomScaleNormal="115" workbookViewId="0">
      <selection activeCell="K11" sqref="K11"/>
    </sheetView>
  </sheetViews>
  <sheetFormatPr baseColWidth="10" defaultColWidth="39.7109375" defaultRowHeight="15" x14ac:dyDescent="0.25"/>
  <cols>
    <col min="1" max="1" width="2.5703125" customWidth="1"/>
    <col min="2" max="2" width="3" customWidth="1"/>
    <col min="3" max="3" width="24.85546875" customWidth="1"/>
    <col min="4" max="5" width="11.7109375" bestFit="1" customWidth="1"/>
    <col min="6" max="6" width="8.5703125" bestFit="1" customWidth="1"/>
    <col min="7" max="8" width="11.7109375" bestFit="1" customWidth="1"/>
    <col min="9" max="9" width="8.5703125" bestFit="1" customWidth="1"/>
    <col min="10" max="10" width="11.42578125" bestFit="1" customWidth="1"/>
    <col min="11" max="11" width="10.85546875" bestFit="1" customWidth="1"/>
    <col min="12" max="12" width="11.5703125" customWidth="1"/>
    <col min="13" max="13" width="2" customWidth="1"/>
    <col min="14" max="14" width="8.42578125" customWidth="1"/>
    <col min="15" max="15" width="1.140625" customWidth="1"/>
    <col min="16" max="16" width="11.28515625" customWidth="1"/>
    <col min="17" max="17" width="27.42578125" customWidth="1"/>
  </cols>
  <sheetData>
    <row r="1" spans="3:17" x14ac:dyDescent="0.25">
      <c r="D1" s="169"/>
      <c r="G1" s="169"/>
    </row>
    <row r="2" spans="3:17" ht="15.75" thickBot="1" x14ac:dyDescent="0.3">
      <c r="G2" s="169"/>
    </row>
    <row r="3" spans="3:17" x14ac:dyDescent="0.25">
      <c r="C3" s="64"/>
      <c r="D3" s="65"/>
      <c r="E3" s="65"/>
      <c r="F3" s="66"/>
      <c r="G3" s="65"/>
      <c r="H3" s="67"/>
      <c r="I3" s="68"/>
      <c r="J3" s="69"/>
      <c r="K3" s="69"/>
      <c r="L3" s="69"/>
      <c r="M3" s="69"/>
      <c r="N3" s="70"/>
      <c r="O3" s="70"/>
      <c r="P3" s="70"/>
      <c r="Q3" s="71"/>
    </row>
    <row r="4" spans="3:17" x14ac:dyDescent="0.25">
      <c r="C4" s="72" t="s">
        <v>496</v>
      </c>
      <c r="D4" s="756">
        <v>3.3654000000000002</v>
      </c>
      <c r="E4" s="74"/>
      <c r="F4" s="75"/>
      <c r="G4" s="73">
        <v>3.3582999999999998</v>
      </c>
      <c r="H4" s="74"/>
      <c r="I4" s="76"/>
      <c r="J4" s="76"/>
      <c r="K4" s="76"/>
      <c r="L4" s="76"/>
      <c r="M4" s="77"/>
      <c r="N4" s="78" t="s">
        <v>497</v>
      </c>
      <c r="O4" s="79"/>
      <c r="P4" s="80"/>
      <c r="Q4" s="81"/>
    </row>
    <row r="5" spans="3:17" x14ac:dyDescent="0.25">
      <c r="C5" s="82"/>
      <c r="D5" s="77"/>
      <c r="E5" s="77"/>
      <c r="F5" s="77"/>
      <c r="G5" s="77"/>
      <c r="H5" s="77"/>
      <c r="I5" s="83"/>
      <c r="J5" s="77"/>
      <c r="K5" s="77"/>
      <c r="L5" s="77"/>
      <c r="M5" s="77"/>
      <c r="N5" s="84"/>
      <c r="O5" s="85"/>
      <c r="P5" s="86"/>
      <c r="Q5" s="87"/>
    </row>
    <row r="6" spans="3:17" x14ac:dyDescent="0.25">
      <c r="C6" s="859" t="s">
        <v>498</v>
      </c>
      <c r="D6" s="858">
        <v>45657</v>
      </c>
      <c r="E6" s="858"/>
      <c r="F6" s="860" t="s">
        <v>499</v>
      </c>
      <c r="G6" s="858">
        <v>45291</v>
      </c>
      <c r="H6" s="858"/>
      <c r="I6" s="861" t="s">
        <v>499</v>
      </c>
      <c r="J6" s="858" t="s">
        <v>500</v>
      </c>
      <c r="K6" s="858"/>
      <c r="L6" s="858"/>
      <c r="M6" s="77"/>
      <c r="N6" s="88"/>
      <c r="O6" s="88"/>
      <c r="P6" s="88"/>
      <c r="Q6" s="89"/>
    </row>
    <row r="7" spans="3:17" x14ac:dyDescent="0.25">
      <c r="C7" s="859"/>
      <c r="D7" s="90" t="s">
        <v>501</v>
      </c>
      <c r="E7" s="494" t="s">
        <v>502</v>
      </c>
      <c r="F7" s="860"/>
      <c r="G7" s="90" t="s">
        <v>501</v>
      </c>
      <c r="H7" s="494" t="s">
        <v>502</v>
      </c>
      <c r="I7" s="861"/>
      <c r="J7" s="90" t="s">
        <v>501</v>
      </c>
      <c r="K7" s="90" t="s">
        <v>502</v>
      </c>
      <c r="L7" s="90" t="s">
        <v>503</v>
      </c>
      <c r="M7" s="77"/>
      <c r="N7" s="88"/>
      <c r="O7" s="88"/>
      <c r="P7" s="88"/>
      <c r="Q7" s="89"/>
    </row>
    <row r="8" spans="3:17" x14ac:dyDescent="0.25">
      <c r="C8" s="91"/>
      <c r="D8" s="93"/>
      <c r="E8" s="495"/>
      <c r="F8" s="94"/>
      <c r="G8" s="92"/>
      <c r="H8" s="495"/>
      <c r="I8" s="95"/>
      <c r="J8" s="93"/>
      <c r="K8" s="92"/>
      <c r="L8" s="96"/>
      <c r="M8" s="77"/>
      <c r="N8" s="97"/>
      <c r="O8" s="98"/>
      <c r="P8" s="97"/>
      <c r="Q8" s="89"/>
    </row>
    <row r="9" spans="3:17" x14ac:dyDescent="0.25">
      <c r="C9" s="82" t="s">
        <v>504</v>
      </c>
      <c r="D9" s="99">
        <f>-SUMIF('BAL 12-24'!$K:$K,$C9,'BAL 12-24'!$I:$I)</f>
        <v>43857750.809</v>
      </c>
      <c r="E9" s="496">
        <f>+D9/$D$4</f>
        <v>13031957.808581445</v>
      </c>
      <c r="F9" s="100"/>
      <c r="G9" s="99">
        <f>-SUMIF('BAL 12-23'!$I:$I,$C9,'BAL 12-23'!$G:$G)</f>
        <v>19506673.700380001</v>
      </c>
      <c r="H9" s="496">
        <f>+G9/$G$4</f>
        <v>5808496.4715421498</v>
      </c>
      <c r="I9" s="101"/>
      <c r="J9" s="102">
        <f t="shared" ref="J9:K28" si="0">D9-G9</f>
        <v>24351077.108619999</v>
      </c>
      <c r="K9" s="102">
        <f t="shared" si="0"/>
        <v>7223461.3370392956</v>
      </c>
      <c r="L9" s="103">
        <f>K9/H9</f>
        <v>1.2436026039491548</v>
      </c>
      <c r="M9" s="104"/>
      <c r="N9" s="88"/>
      <c r="O9" s="88"/>
      <c r="P9" s="88"/>
      <c r="Q9" s="89"/>
    </row>
    <row r="10" spans="3:17" x14ac:dyDescent="0.25">
      <c r="C10" s="82" t="s">
        <v>505</v>
      </c>
      <c r="D10" s="99">
        <f>-SUMIF('BAL 12-24'!$K:$K,$C10,'BAL 12-24'!$I:$I)</f>
        <v>34712969.598999992</v>
      </c>
      <c r="E10" s="496">
        <f t="shared" ref="E10:E28" si="1">+D10/$D$4</f>
        <v>10314663.813811135</v>
      </c>
      <c r="F10" s="100"/>
      <c r="G10" s="99">
        <f>-SUMIF('BAL 12-23'!$I:$I,$C10,'BAL 12-23'!$G:$G)</f>
        <v>32036812.397</v>
      </c>
      <c r="H10" s="496">
        <f t="shared" ref="H10:H28" si="2">+G10/$G$4</f>
        <v>9539592.1737188455</v>
      </c>
      <c r="I10" s="101"/>
      <c r="J10" s="102">
        <f t="shared" si="0"/>
        <v>2676157.2019999921</v>
      </c>
      <c r="K10" s="102">
        <f t="shared" si="0"/>
        <v>775071.64009228908</v>
      </c>
      <c r="L10" s="103">
        <f>K10/H10</f>
        <v>8.1247879990884425E-2</v>
      </c>
      <c r="M10" s="104"/>
      <c r="N10" s="88"/>
      <c r="O10" s="88"/>
      <c r="P10" s="88"/>
      <c r="Q10" s="89"/>
    </row>
    <row r="11" spans="3:17" x14ac:dyDescent="0.25">
      <c r="C11" s="105" t="s">
        <v>506</v>
      </c>
      <c r="D11" s="106">
        <f>-SUMIF('BAL 12-24'!$K:$K,$C11,'BAL 12-24'!$I:$I)</f>
        <v>1442655.2780000002</v>
      </c>
      <c r="E11" s="497">
        <f t="shared" si="1"/>
        <v>428672.75153027877</v>
      </c>
      <c r="F11" s="107"/>
      <c r="G11" s="106">
        <f>-SUMIF('BAL 12-23'!$I:$I,$C11,'BAL 12-23'!$G:$G)</f>
        <v>514542.136</v>
      </c>
      <c r="H11" s="497">
        <f t="shared" si="2"/>
        <v>153215.06000059555</v>
      </c>
      <c r="I11" s="108"/>
      <c r="J11" s="174">
        <f t="shared" si="0"/>
        <v>928113.14200000023</v>
      </c>
      <c r="K11" s="174">
        <f t="shared" si="0"/>
        <v>275457.69152968319</v>
      </c>
      <c r="L11" s="175">
        <f>K11/H11</f>
        <v>1.7978499732899134</v>
      </c>
      <c r="M11" s="104"/>
      <c r="N11" s="109"/>
      <c r="O11" s="109"/>
      <c r="P11" s="109"/>
      <c r="Q11" s="110"/>
    </row>
    <row r="12" spans="3:17" x14ac:dyDescent="0.25">
      <c r="C12" s="111" t="s">
        <v>507</v>
      </c>
      <c r="D12" s="112">
        <f>SUM(D9:D11)</f>
        <v>80013375.68599999</v>
      </c>
      <c r="E12" s="498">
        <f t="shared" si="1"/>
        <v>23775294.373922858</v>
      </c>
      <c r="F12" s="113"/>
      <c r="G12" s="112">
        <f>SUM(G9:G11)</f>
        <v>52058028.233379997</v>
      </c>
      <c r="H12" s="498">
        <f t="shared" si="2"/>
        <v>15501303.70526159</v>
      </c>
      <c r="I12" s="114"/>
      <c r="J12" s="115">
        <f t="shared" si="0"/>
        <v>27955347.452619992</v>
      </c>
      <c r="K12" s="115">
        <f t="shared" si="0"/>
        <v>8273990.6686612684</v>
      </c>
      <c r="L12" s="116">
        <f>K12/H12</f>
        <v>0.5337609549481207</v>
      </c>
      <c r="M12" s="104"/>
      <c r="N12" s="117">
        <f>L12</f>
        <v>0.5337609549481207</v>
      </c>
      <c r="O12" s="118"/>
      <c r="P12" s="119">
        <f>+K12</f>
        <v>8273990.6686612684</v>
      </c>
      <c r="Q12" s="120"/>
    </row>
    <row r="13" spans="3:17" x14ac:dyDescent="0.25">
      <c r="C13" s="82" t="s">
        <v>508</v>
      </c>
      <c r="D13" s="99">
        <f>-SUMIF('BAL 12-24'!$K:$K,$C13,'BAL 12-24'!$I:$I)</f>
        <v>500351.48000001488</v>
      </c>
      <c r="E13" s="496">
        <f t="shared" si="1"/>
        <v>148675.18868485614</v>
      </c>
      <c r="F13" s="121">
        <f>+E13/$E$12</f>
        <v>6.2533479647648689E-3</v>
      </c>
      <c r="G13" s="99">
        <f>-SUMIF('BAL 12-23'!$I:$I,$C13,'BAL 12-23'!$G:$G)</f>
        <v>861776.22900000028</v>
      </c>
      <c r="H13" s="496">
        <f t="shared" si="2"/>
        <v>256610.85340797435</v>
      </c>
      <c r="I13" s="121">
        <f>+H13/$H$12</f>
        <v>1.6554146560000191E-2</v>
      </c>
      <c r="J13" s="172">
        <f t="shared" si="0"/>
        <v>-361424.7489999854</v>
      </c>
      <c r="K13" s="172">
        <f t="shared" si="0"/>
        <v>-107935.66472311821</v>
      </c>
      <c r="L13" s="173">
        <f>K13/H13</f>
        <v>-0.42062002947130234</v>
      </c>
      <c r="M13" s="104"/>
      <c r="N13" s="122"/>
      <c r="O13" s="123"/>
      <c r="P13" s="124"/>
      <c r="Q13" s="89"/>
    </row>
    <row r="14" spans="3:17" x14ac:dyDescent="0.25">
      <c r="C14" s="82" t="s">
        <v>509</v>
      </c>
      <c r="D14" s="99">
        <f>-SUMIF('BAL 12-24'!$K:$K,$C14,'BAL 12-24'!$I:$I)</f>
        <v>-52420846.652646497</v>
      </c>
      <c r="E14" s="496">
        <f t="shared" si="1"/>
        <v>-15576408.941774081</v>
      </c>
      <c r="F14" s="121">
        <f t="shared" ref="F14:F28" si="3">+E14/$E$12</f>
        <v>-0.6551510444749129</v>
      </c>
      <c r="G14" s="99">
        <f>-SUMIF('BAL 12-23'!$I:$I,$C14,'BAL 12-23'!$G:$G)</f>
        <v>-34339786.635755971</v>
      </c>
      <c r="H14" s="496">
        <f t="shared" si="2"/>
        <v>-10225348.133209055</v>
      </c>
      <c r="I14" s="121">
        <f t="shared" ref="I14:I28" si="4">+H14/$H$12</f>
        <v>-0.6596443968605219</v>
      </c>
      <c r="J14" s="172">
        <f t="shared" si="0"/>
        <v>-18081060.016890526</v>
      </c>
      <c r="K14" s="172">
        <f t="shared" si="0"/>
        <v>-5351060.8085650261</v>
      </c>
      <c r="L14" s="173">
        <f>-K14/H14</f>
        <v>-0.523313313038828</v>
      </c>
      <c r="M14" s="104"/>
      <c r="N14" s="109"/>
      <c r="O14" s="109"/>
      <c r="P14" s="109"/>
      <c r="Q14" s="89"/>
    </row>
    <row r="15" spans="3:17" x14ac:dyDescent="0.25">
      <c r="C15" s="125" t="s">
        <v>510</v>
      </c>
      <c r="D15" s="126">
        <f>+D12+SUM(D13:D14)</f>
        <v>28092880.513353504</v>
      </c>
      <c r="E15" s="499">
        <f t="shared" si="1"/>
        <v>8347560.6208336316</v>
      </c>
      <c r="F15" s="127">
        <f t="shared" si="3"/>
        <v>0.35110230348985189</v>
      </c>
      <c r="G15" s="126">
        <f>+G12+SUM(G13:G14)</f>
        <v>18580017.826624028</v>
      </c>
      <c r="H15" s="499">
        <f t="shared" si="2"/>
        <v>5532566.42546051</v>
      </c>
      <c r="I15" s="127">
        <f t="shared" si="4"/>
        <v>0.35690974969947831</v>
      </c>
      <c r="J15" s="176">
        <f t="shared" si="0"/>
        <v>9512862.6867294759</v>
      </c>
      <c r="K15" s="176">
        <f t="shared" si="0"/>
        <v>2814994.1953731216</v>
      </c>
      <c r="L15" s="177">
        <f>K15/H15</f>
        <v>0.50880440990616971</v>
      </c>
      <c r="M15" s="104"/>
      <c r="N15" s="117">
        <f>F15-I15</f>
        <v>-5.8074462096264212E-3</v>
      </c>
      <c r="O15" s="118"/>
      <c r="P15" s="119">
        <f>+K15</f>
        <v>2814994.1953731216</v>
      </c>
      <c r="Q15" s="120"/>
    </row>
    <row r="16" spans="3:17" x14ac:dyDescent="0.25">
      <c r="C16" s="128" t="s">
        <v>511</v>
      </c>
      <c r="D16" s="129">
        <f>-SUMIF('BAL 12-24'!$K:$K,$C16,'BAL 12-24'!$I:$I)</f>
        <v>-5833205.6649999991</v>
      </c>
      <c r="E16" s="500">
        <f t="shared" si="1"/>
        <v>-1733287.4740001184</v>
      </c>
      <c r="F16" s="130">
        <f t="shared" si="3"/>
        <v>-7.2902881736817415E-2</v>
      </c>
      <c r="G16" s="129">
        <f>-SUMIF('BAL 12-23'!$I:$I,$C16,'BAL 12-23'!$G:$G)</f>
        <v>-5287785.6439999994</v>
      </c>
      <c r="H16" s="500">
        <f t="shared" si="2"/>
        <v>-1574542.3708423905</v>
      </c>
      <c r="I16" s="130">
        <f t="shared" si="4"/>
        <v>-0.10157483530291361</v>
      </c>
      <c r="J16" s="170">
        <f t="shared" si="0"/>
        <v>-545420.02099999972</v>
      </c>
      <c r="K16" s="170">
        <f t="shared" si="0"/>
        <v>-158745.10315772798</v>
      </c>
      <c r="L16" s="171">
        <f>-K16/H16</f>
        <v>-0.10081983571696347</v>
      </c>
      <c r="M16" s="104"/>
      <c r="N16" s="123"/>
      <c r="O16" s="88"/>
      <c r="P16" s="131"/>
      <c r="Q16" s="132"/>
    </row>
    <row r="17" spans="3:17" x14ac:dyDescent="0.25">
      <c r="C17" s="128" t="s">
        <v>512</v>
      </c>
      <c r="D17" s="129">
        <f>-SUMIF('BAL 12-24'!$K:$K,$C17,'BAL 12-24'!$I:$I)</f>
        <v>-5318714.4267940037</v>
      </c>
      <c r="E17" s="500">
        <f t="shared" si="1"/>
        <v>-1580410.7763695263</v>
      </c>
      <c r="F17" s="130">
        <f t="shared" si="3"/>
        <v>-6.6472816340938656E-2</v>
      </c>
      <c r="G17" s="129">
        <f>-SUMIF('BAL 12-23'!$I:$I,$C17,'BAL 12-23'!$G:$G)</f>
        <v>-4051993.4519174984</v>
      </c>
      <c r="H17" s="500">
        <f t="shared" si="2"/>
        <v>-1206560.8944756272</v>
      </c>
      <c r="I17" s="130">
        <f t="shared" si="4"/>
        <v>-7.7836091558291687E-2</v>
      </c>
      <c r="J17" s="170">
        <f t="shared" si="0"/>
        <v>-1266720.9748765053</v>
      </c>
      <c r="K17" s="170">
        <f t="shared" si="0"/>
        <v>-373849.88189389906</v>
      </c>
      <c r="L17" s="171">
        <f>-K17/H17</f>
        <v>-0.30984750426241409</v>
      </c>
      <c r="M17" s="104"/>
      <c r="N17" s="88"/>
      <c r="O17" s="88"/>
      <c r="P17" s="131"/>
      <c r="Q17" s="132"/>
    </row>
    <row r="18" spans="3:17" x14ac:dyDescent="0.25">
      <c r="C18" s="128" t="s">
        <v>7716</v>
      </c>
      <c r="D18" s="129">
        <f>-SUMIF('BAL 12-24'!$K:$K,$C18,'BAL 12-24'!$I:$I)</f>
        <v>-1152856.9070000001</v>
      </c>
      <c r="E18" s="500">
        <f t="shared" si="1"/>
        <v>-342561.62922683783</v>
      </c>
      <c r="F18" s="130">
        <f t="shared" si="3"/>
        <v>-1.4408302325903698E-2</v>
      </c>
      <c r="G18" s="129">
        <f>-SUMIF('BAL 12-23'!$I:$I,$C18,'BAL 12-23'!$G:$G)</f>
        <v>0</v>
      </c>
      <c r="H18" s="500">
        <f t="shared" si="2"/>
        <v>0</v>
      </c>
      <c r="I18" s="130">
        <f t="shared" si="4"/>
        <v>0</v>
      </c>
      <c r="J18" s="170">
        <f t="shared" si="0"/>
        <v>-1152856.9070000001</v>
      </c>
      <c r="K18" s="170">
        <f t="shared" si="0"/>
        <v>-342561.62922683783</v>
      </c>
      <c r="L18" s="171">
        <v>0</v>
      </c>
      <c r="M18" s="104"/>
      <c r="N18" s="88"/>
      <c r="O18" s="88"/>
      <c r="P18" s="131"/>
      <c r="Q18" s="132"/>
    </row>
    <row r="19" spans="3:17" x14ac:dyDescent="0.25">
      <c r="C19" s="133" t="s">
        <v>513</v>
      </c>
      <c r="D19" s="134">
        <f>SUM(D13:D18)-D15</f>
        <v>-64225272.171440482</v>
      </c>
      <c r="E19" s="501">
        <f t="shared" si="1"/>
        <v>-19083993.632685706</v>
      </c>
      <c r="F19" s="135">
        <f t="shared" si="3"/>
        <v>-0.80268169691380775</v>
      </c>
      <c r="G19" s="134">
        <f>SUM(G13:G18)-G15</f>
        <v>-42817789.502673469</v>
      </c>
      <c r="H19" s="501">
        <f t="shared" si="2"/>
        <v>-12749840.545119099</v>
      </c>
      <c r="I19" s="135">
        <f t="shared" si="4"/>
        <v>-0.8225011771617271</v>
      </c>
      <c r="J19" s="178">
        <f t="shared" si="0"/>
        <v>-21407482.668767013</v>
      </c>
      <c r="K19" s="178">
        <f t="shared" si="0"/>
        <v>-6334153.0875666067</v>
      </c>
      <c r="L19" s="179">
        <f>-K19/H19</f>
        <v>-0.49680253373768274</v>
      </c>
      <c r="M19" s="104"/>
      <c r="N19" s="88"/>
      <c r="O19" s="88"/>
      <c r="P19" s="88"/>
      <c r="Q19" s="136"/>
    </row>
    <row r="20" spans="3:17" ht="32.25" customHeight="1" x14ac:dyDescent="0.25">
      <c r="C20" s="137" t="s">
        <v>514</v>
      </c>
      <c r="D20" s="138">
        <f>SUM(D12+D19)</f>
        <v>15788103.514559507</v>
      </c>
      <c r="E20" s="502">
        <f t="shared" si="1"/>
        <v>4691300.7412371505</v>
      </c>
      <c r="F20" s="325">
        <f t="shared" si="3"/>
        <v>0.19731830308619219</v>
      </c>
      <c r="G20" s="138">
        <f>SUM(G12+G19)</f>
        <v>9240238.7307065278</v>
      </c>
      <c r="H20" s="502">
        <f t="shared" si="2"/>
        <v>2751463.1601424911</v>
      </c>
      <c r="I20" s="325">
        <f t="shared" si="4"/>
        <v>0.17749882283827295</v>
      </c>
      <c r="J20" s="180">
        <f t="shared" si="0"/>
        <v>6547864.7838529795</v>
      </c>
      <c r="K20" s="180">
        <f t="shared" si="0"/>
        <v>1939837.5810946594</v>
      </c>
      <c r="L20" s="181">
        <f>K20/H20</f>
        <v>0.70502037214054514</v>
      </c>
      <c r="M20" s="104"/>
      <c r="N20" s="117">
        <f>+F20-I20</f>
        <v>1.9819480247919241E-2</v>
      </c>
      <c r="O20" s="118"/>
      <c r="P20" s="119">
        <f>+K20</f>
        <v>1939837.5810946594</v>
      </c>
      <c r="Q20" s="139"/>
    </row>
    <row r="21" spans="3:17" x14ac:dyDescent="0.25">
      <c r="C21" s="128" t="s">
        <v>7578</v>
      </c>
      <c r="D21" s="129">
        <f>-SUMIF('BAL 12-24'!$K:$K,$C21,'BAL 12-24'!$I:$I)</f>
        <v>-3094127.3080000021</v>
      </c>
      <c r="E21" s="500">
        <f t="shared" si="1"/>
        <v>-919393.6257205687</v>
      </c>
      <c r="F21" s="130">
        <f t="shared" si="3"/>
        <v>-3.8670125856737028E-2</v>
      </c>
      <c r="G21" s="129">
        <f>-SUMIF('BAL 12-23'!$I:$I,$C21,'BAL 12-23'!$G:$G)</f>
        <v>-2490371.8530000001</v>
      </c>
      <c r="H21" s="500">
        <f t="shared" si="2"/>
        <v>-741557.29178453388</v>
      </c>
      <c r="I21" s="130">
        <f t="shared" si="4"/>
        <v>-4.7838382234445732E-2</v>
      </c>
      <c r="J21" s="170">
        <f t="shared" si="0"/>
        <v>-603755.45500000194</v>
      </c>
      <c r="K21" s="170">
        <f t="shared" si="0"/>
        <v>-177836.33393603482</v>
      </c>
      <c r="L21" s="171">
        <f>-K21/H21</f>
        <v>-0.23981469254799906</v>
      </c>
      <c r="M21" s="104"/>
      <c r="N21" s="140"/>
      <c r="O21" s="140"/>
      <c r="P21" s="141"/>
      <c r="Q21" s="142"/>
    </row>
    <row r="22" spans="3:17" x14ac:dyDescent="0.25">
      <c r="C22" s="143" t="s">
        <v>516</v>
      </c>
      <c r="D22" s="144">
        <f>SUM(D20+D21)</f>
        <v>12693976.206559505</v>
      </c>
      <c r="E22" s="503">
        <f t="shared" si="1"/>
        <v>3771907.115516582</v>
      </c>
      <c r="F22" s="145">
        <f t="shared" si="3"/>
        <v>0.15864817722945518</v>
      </c>
      <c r="G22" s="144">
        <f>SUM(G20+G21)</f>
        <v>6749866.8777065277</v>
      </c>
      <c r="H22" s="503">
        <f t="shared" si="2"/>
        <v>2009905.8683579573</v>
      </c>
      <c r="I22" s="145">
        <f t="shared" si="4"/>
        <v>0.12966044060382723</v>
      </c>
      <c r="J22" s="182">
        <f t="shared" si="0"/>
        <v>5944109.3288529776</v>
      </c>
      <c r="K22" s="182">
        <f t="shared" si="0"/>
        <v>1762001.2471586247</v>
      </c>
      <c r="L22" s="183">
        <f>K22/H22</f>
        <v>0.87665859127926993</v>
      </c>
      <c r="M22" s="77"/>
      <c r="N22" s="117">
        <f>+F22-I22</f>
        <v>2.8987736625627952E-2</v>
      </c>
      <c r="O22" s="118"/>
      <c r="P22" s="119">
        <f>+K22</f>
        <v>1762001.2471586247</v>
      </c>
      <c r="Q22" s="146"/>
    </row>
    <row r="23" spans="3:17" x14ac:dyDescent="0.25">
      <c r="C23" s="128" t="s">
        <v>517</v>
      </c>
      <c r="D23" s="129">
        <f>-SUMIF('BAL 12-24'!$K:$K,$C23,'BAL 12-24'!$I:$I)</f>
        <v>-2221912.3679999998</v>
      </c>
      <c r="E23" s="500">
        <f t="shared" si="1"/>
        <v>-660222.37118916016</v>
      </c>
      <c r="F23" s="130">
        <f t="shared" si="3"/>
        <v>-2.7769261688440044E-2</v>
      </c>
      <c r="G23" s="129">
        <f>-SUMIF('BAL 12-23'!$I:$I,$C23,'BAL 12-23'!$G:$G)</f>
        <v>-2016758.4039999996</v>
      </c>
      <c r="H23" s="500">
        <f t="shared" si="2"/>
        <v>-600529.55483429111</v>
      </c>
      <c r="I23" s="130">
        <f t="shared" si="4"/>
        <v>-3.8740583776218383E-2</v>
      </c>
      <c r="J23" s="170">
        <f t="shared" si="0"/>
        <v>-205153.96400000015</v>
      </c>
      <c r="K23" s="170">
        <f t="shared" si="0"/>
        <v>-59692.81635486905</v>
      </c>
      <c r="L23" s="171">
        <f>-K23/H23</f>
        <v>-9.9400297411408114E-2</v>
      </c>
      <c r="M23" s="77"/>
      <c r="N23" s="147">
        <f>+F23-I23</f>
        <v>1.0971322087778339E-2</v>
      </c>
      <c r="O23" s="140"/>
      <c r="P23" s="148">
        <f>K23</f>
        <v>-59692.81635486905</v>
      </c>
      <c r="Q23" s="149"/>
    </row>
    <row r="24" spans="3:17" x14ac:dyDescent="0.25">
      <c r="C24" s="82" t="s">
        <v>518</v>
      </c>
      <c r="D24" s="99">
        <f>-SUMIF('BAL 12-24'!$K:$K,$C24,'BAL 12-24'!$I:$I)</f>
        <v>0</v>
      </c>
      <c r="E24" s="496">
        <f t="shared" si="1"/>
        <v>0</v>
      </c>
      <c r="F24" s="121">
        <f t="shared" si="3"/>
        <v>0</v>
      </c>
      <c r="G24" s="99">
        <f>-SUMIF('BAL 12-23'!$I:$I,$C24,'BAL 12-23'!$G:$G)</f>
        <v>0</v>
      </c>
      <c r="H24" s="496">
        <f t="shared" si="2"/>
        <v>0</v>
      </c>
      <c r="I24" s="121">
        <f t="shared" si="4"/>
        <v>0</v>
      </c>
      <c r="J24" s="172">
        <f t="shared" si="0"/>
        <v>0</v>
      </c>
      <c r="K24" s="172">
        <f t="shared" si="0"/>
        <v>0</v>
      </c>
      <c r="L24" s="173" t="e">
        <f>-K24/H24</f>
        <v>#DIV/0!</v>
      </c>
      <c r="M24" s="77"/>
      <c r="N24" s="88"/>
      <c r="O24" s="88"/>
      <c r="P24" s="88"/>
      <c r="Q24" s="89"/>
    </row>
    <row r="25" spans="3:17" x14ac:dyDescent="0.25">
      <c r="C25" s="150" t="s">
        <v>519</v>
      </c>
      <c r="D25" s="151">
        <f>-SUMIF('BAL 12-24'!$K:$K,$C25,'BAL 12-24'!$I:$I)</f>
        <v>-16745.715</v>
      </c>
      <c r="E25" s="504">
        <f t="shared" si="1"/>
        <v>-4975.8468532715278</v>
      </c>
      <c r="F25" s="152">
        <f t="shared" si="3"/>
        <v>-2.0928644562774037E-4</v>
      </c>
      <c r="G25" s="151">
        <f>-SUMIF('BAL 12-23'!$I:$I,$C25,'BAL 12-23'!$G:$G)</f>
        <v>-30689.147999999997</v>
      </c>
      <c r="H25" s="504">
        <f t="shared" si="2"/>
        <v>-9138.2985439061431</v>
      </c>
      <c r="I25" s="152">
        <f t="shared" si="4"/>
        <v>-5.8951806361966447E-4</v>
      </c>
      <c r="J25" s="153">
        <f t="shared" si="0"/>
        <v>13943.432999999997</v>
      </c>
      <c r="K25" s="153">
        <f t="shared" si="0"/>
        <v>4162.4516906346153</v>
      </c>
      <c r="L25" s="154">
        <f>-K25/H25</f>
        <v>0.45549526212517299</v>
      </c>
      <c r="M25" s="77"/>
      <c r="N25" s="155"/>
      <c r="O25" s="155"/>
      <c r="P25" s="155"/>
      <c r="Q25" s="156"/>
    </row>
    <row r="26" spans="3:17" x14ac:dyDescent="0.25">
      <c r="C26" s="157" t="s">
        <v>520</v>
      </c>
      <c r="D26" s="158">
        <f>SUM(D22:D25)</f>
        <v>10455318.123559505</v>
      </c>
      <c r="E26" s="505">
        <f t="shared" si="1"/>
        <v>3106708.8974741502</v>
      </c>
      <c r="F26" s="159">
        <f t="shared" si="3"/>
        <v>0.13066962909538737</v>
      </c>
      <c r="G26" s="158">
        <f>SUM(G22:G25)</f>
        <v>4702419.3257065285</v>
      </c>
      <c r="H26" s="505">
        <f t="shared" si="2"/>
        <v>1400238.0149797602</v>
      </c>
      <c r="I26" s="159">
        <f t="shared" si="4"/>
        <v>9.0330338763989187E-2</v>
      </c>
      <c r="J26" s="184">
        <f t="shared" si="0"/>
        <v>5752898.7978529762</v>
      </c>
      <c r="K26" s="184">
        <f t="shared" si="0"/>
        <v>1706470.88249439</v>
      </c>
      <c r="L26" s="185">
        <f>K26/H26</f>
        <v>1.2187005810716089</v>
      </c>
      <c r="M26" s="77"/>
      <c r="N26" s="117">
        <f>+F26-I26</f>
        <v>4.0339290331398187E-2</v>
      </c>
      <c r="O26" s="118"/>
      <c r="P26" s="119">
        <f>+K26</f>
        <v>1706470.88249439</v>
      </c>
      <c r="Q26" s="160"/>
    </row>
    <row r="27" spans="3:17" x14ac:dyDescent="0.25">
      <c r="C27" s="133" t="s">
        <v>521</v>
      </c>
      <c r="D27" s="99">
        <f>-SUMIF('BAL 12-24'!$K:$K,$C27,'BAL 12-24'!$I:$I)</f>
        <v>0</v>
      </c>
      <c r="E27" s="496">
        <f t="shared" si="1"/>
        <v>0</v>
      </c>
      <c r="F27" s="121">
        <f t="shared" si="3"/>
        <v>0</v>
      </c>
      <c r="G27" s="99">
        <f>-SUMIF('BAL 12-23'!$I:$I,$C27,'BAL 12-23'!$G:$G)</f>
        <v>-205043.10000000003</v>
      </c>
      <c r="H27" s="496">
        <f t="shared" si="2"/>
        <v>-61055.623380877245</v>
      </c>
      <c r="I27" s="121">
        <f t="shared" si="4"/>
        <v>-3.9387411885977823E-3</v>
      </c>
      <c r="J27" s="102">
        <f t="shared" si="0"/>
        <v>205043.10000000003</v>
      </c>
      <c r="K27" s="102">
        <f t="shared" si="0"/>
        <v>61055.623380877245</v>
      </c>
      <c r="L27" s="161">
        <v>-1</v>
      </c>
      <c r="M27" s="77"/>
      <c r="N27" s="88"/>
      <c r="O27" s="88"/>
      <c r="P27" s="88"/>
      <c r="Q27" s="89"/>
    </row>
    <row r="28" spans="3:17" x14ac:dyDescent="0.25">
      <c r="C28" s="143" t="s">
        <v>522</v>
      </c>
      <c r="D28" s="144">
        <f>SUM(D26:D27)</f>
        <v>10455318.123559505</v>
      </c>
      <c r="E28" s="503">
        <f t="shared" si="1"/>
        <v>3106708.8974741502</v>
      </c>
      <c r="F28" s="145">
        <f t="shared" si="3"/>
        <v>0.13066962909538737</v>
      </c>
      <c r="G28" s="144">
        <f>SUM(G26:G27)</f>
        <v>4497376.2257065289</v>
      </c>
      <c r="H28" s="503">
        <f t="shared" si="2"/>
        <v>1339182.3915988831</v>
      </c>
      <c r="I28" s="145">
        <f t="shared" si="4"/>
        <v>8.6391597575391416E-2</v>
      </c>
      <c r="J28" s="182">
        <f t="shared" si="0"/>
        <v>5957941.8978529759</v>
      </c>
      <c r="K28" s="182">
        <f t="shared" si="0"/>
        <v>1767526.5058752671</v>
      </c>
      <c r="L28" s="183">
        <f>K28/H28</f>
        <v>1.3198549480365951</v>
      </c>
      <c r="M28" s="77"/>
      <c r="N28" s="117">
        <f>+F28-I28</f>
        <v>4.4278031519995958E-2</v>
      </c>
      <c r="O28" s="118"/>
      <c r="P28" s="119">
        <f>+K28</f>
        <v>1767526.5058752671</v>
      </c>
      <c r="Q28" s="160"/>
    </row>
    <row r="29" spans="3:17" ht="15.75" thickBot="1" x14ac:dyDescent="0.3">
      <c r="C29" s="162"/>
      <c r="D29" s="163"/>
      <c r="E29" s="506"/>
      <c r="F29" s="164"/>
      <c r="G29" s="163"/>
      <c r="H29" s="506"/>
      <c r="I29" s="165"/>
      <c r="J29" s="163"/>
      <c r="K29" s="163"/>
      <c r="L29" s="165"/>
      <c r="M29" s="166"/>
      <c r="N29" s="167"/>
      <c r="O29" s="167"/>
      <c r="P29" s="167"/>
      <c r="Q29" s="168"/>
    </row>
  </sheetData>
  <mergeCells count="6">
    <mergeCell ref="J6:L6"/>
    <mergeCell ref="C6:C7"/>
    <mergeCell ref="D6:E6"/>
    <mergeCell ref="F6:F7"/>
    <mergeCell ref="G6:H6"/>
    <mergeCell ref="I6:I7"/>
  </mergeCells>
  <conditionalFormatting sqref="J9:L28">
    <cfRule type="cellIs" dxfId="22" priority="1" stopIfTrue="1" operator="greaterThan">
      <formula>0</formula>
    </cfRule>
    <cfRule type="cellIs" dxfId="21" priority="2" stopIfTrue="1" operator="lessThan">
      <formula>0</formula>
    </cfRule>
  </conditionalFormatting>
  <pageMargins left="0.7" right="0.7" top="0.75" bottom="0.75" header="0.3" footer="0.3"/>
  <pageSetup paperSize="9" orientation="portrait" r:id="rId1"/>
  <ignoredErrors>
    <ignoredError sqref="D12 D26 G12 L20:L23 L27:L29 D28:D35 G28:G32 D15 G15 D20 G20 D22 G22 G26 L14:L17" formula="1"/>
    <ignoredError sqref="L25" evalError="1"/>
  </ignoredError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00B050"/>
  </sheetPr>
  <dimension ref="A1:N1135"/>
  <sheetViews>
    <sheetView topLeftCell="D14" workbookViewId="0">
      <selection activeCell="F34" sqref="F34"/>
    </sheetView>
  </sheetViews>
  <sheetFormatPr baseColWidth="10" defaultRowHeight="15.75" x14ac:dyDescent="0.25"/>
  <cols>
    <col min="1" max="1" width="16.7109375" style="63" hidden="1" customWidth="1"/>
    <col min="2" max="2" width="8.140625" style="35" hidden="1" customWidth="1"/>
    <col min="3" max="3" width="0.140625" style="35" hidden="1" customWidth="1"/>
    <col min="4" max="4" width="2" style="35" customWidth="1"/>
    <col min="5" max="5" width="49.42578125" style="35" bestFit="1" customWidth="1"/>
    <col min="6" max="7" width="18" style="49" bestFit="1" customWidth="1"/>
    <col min="8" max="8" width="1.140625" style="35" customWidth="1"/>
    <col min="9" max="9" width="41.28515625" style="35" bestFit="1" customWidth="1"/>
    <col min="10" max="11" width="18" style="35" bestFit="1" customWidth="1"/>
    <col min="12" max="13" width="18.85546875" style="35" bestFit="1" customWidth="1"/>
    <col min="14" max="14" width="15.85546875" style="35" bestFit="1" customWidth="1"/>
    <col min="15" max="16384" width="11.42578125" style="35"/>
  </cols>
  <sheetData>
    <row r="1" spans="1:14" s="26" customFormat="1" ht="21" thickBot="1" x14ac:dyDescent="0.3">
      <c r="A1" s="20" t="s">
        <v>220</v>
      </c>
      <c r="B1" s="21">
        <v>39873</v>
      </c>
      <c r="C1" s="21">
        <v>39508</v>
      </c>
      <c r="D1" s="22" t="s">
        <v>413</v>
      </c>
      <c r="E1" s="23"/>
      <c r="F1" s="24"/>
      <c r="G1" s="24"/>
      <c r="H1" s="25"/>
      <c r="I1" s="25" t="s">
        <v>10123</v>
      </c>
    </row>
    <row r="2" spans="1:14" ht="17.25" thickTop="1" thickBot="1" x14ac:dyDescent="0.3">
      <c r="A2" s="27" t="s">
        <v>414</v>
      </c>
      <c r="B2" s="28">
        <v>40178</v>
      </c>
      <c r="C2" s="29">
        <v>39813</v>
      </c>
      <c r="D2" s="30" t="s">
        <v>415</v>
      </c>
      <c r="E2" s="31"/>
      <c r="F2" s="32">
        <v>45657</v>
      </c>
      <c r="G2" s="32">
        <v>45291</v>
      </c>
      <c r="H2" s="33"/>
      <c r="I2" s="34"/>
      <c r="J2" s="32">
        <v>45657</v>
      </c>
      <c r="K2" s="32">
        <v>45291</v>
      </c>
    </row>
    <row r="3" spans="1:14" x14ac:dyDescent="0.25">
      <c r="A3" s="36" t="s">
        <v>416</v>
      </c>
      <c r="D3" s="37" t="s">
        <v>417</v>
      </c>
      <c r="E3" s="38"/>
      <c r="F3" s="39"/>
      <c r="G3" s="39"/>
      <c r="H3" s="40"/>
      <c r="I3" s="41"/>
      <c r="J3" s="42"/>
      <c r="K3" s="42"/>
    </row>
    <row r="4" spans="1:14" x14ac:dyDescent="0.25">
      <c r="A4" s="36" t="s">
        <v>416</v>
      </c>
      <c r="D4" s="43"/>
      <c r="F4" s="39"/>
      <c r="G4" s="39"/>
      <c r="H4" s="40"/>
      <c r="I4" s="44" t="s">
        <v>8</v>
      </c>
      <c r="J4" s="518">
        <f>-SUMIF('BAL 12-24'!$J:$J,$I$4,'BAL 12-24'!$I:$I)</f>
        <v>13500000</v>
      </c>
      <c r="K4" s="518">
        <f>-SUMIF('BAL 12-23'!$H:$H,$I$4,'BAL 12-23'!$G:$G)</f>
        <v>13500000</v>
      </c>
      <c r="L4" s="45"/>
    </row>
    <row r="5" spans="1:14" x14ac:dyDescent="0.25">
      <c r="A5" s="46" t="e">
        <v>#REF!</v>
      </c>
      <c r="D5" s="47" t="s">
        <v>418</v>
      </c>
      <c r="F5" s="517"/>
      <c r="G5" s="517"/>
      <c r="H5" s="40"/>
      <c r="I5" s="44" t="s">
        <v>10</v>
      </c>
      <c r="J5" s="518">
        <f>-SUMIF('BAL 12-24'!$J:$J,$I$5,'BAL 12-24'!$I:$I)</f>
        <v>1200000</v>
      </c>
      <c r="K5" s="518">
        <f>-SUMIF('BAL 12-23'!$H:$H,$I$5,'BAL 12-23'!$G:$G)</f>
        <v>1200000</v>
      </c>
      <c r="L5" s="45"/>
    </row>
    <row r="6" spans="1:14" x14ac:dyDescent="0.25">
      <c r="A6" s="46"/>
      <c r="D6" s="47"/>
      <c r="E6" s="48" t="s">
        <v>25</v>
      </c>
      <c r="F6" s="518">
        <f>+SUMIF('BAL 12-24'!$J:$J,$E$6,'BAL 12-24'!$I:$I)</f>
        <v>42735958.494182497</v>
      </c>
      <c r="G6" s="518">
        <f>+SUMIF('BAL 12-23'!$H:$H,$E$6,'BAL 12-23'!$G:$G)</f>
        <v>40581486.152282506</v>
      </c>
      <c r="H6" s="40"/>
      <c r="I6" s="44" t="s">
        <v>16</v>
      </c>
      <c r="J6" s="518">
        <f>-SUMIF('BAL 12-24'!$J:$J,$I$6,'BAL 12-24'!$I:$I)</f>
        <v>3479108.84</v>
      </c>
      <c r="K6" s="518">
        <f>-SUMIF('BAL 12-23'!$H:$H,$I$6,'BAL 12-23'!$G:$G)</f>
        <v>3479108.84</v>
      </c>
      <c r="L6" s="45"/>
    </row>
    <row r="7" spans="1:14" x14ac:dyDescent="0.25">
      <c r="A7" s="46"/>
      <c r="D7" s="47"/>
      <c r="E7" s="48" t="s">
        <v>47</v>
      </c>
      <c r="F7" s="518">
        <f>+SUMIF('BAL 12-24'!$J:$J,$E$7,'BAL 12-24'!$I:$I)</f>
        <v>-25028625.945000008</v>
      </c>
      <c r="G7" s="518">
        <f>+SUMIF('BAL 12-23'!$H:$H,$E$7,'BAL 12-23'!$G:$G)</f>
        <v>-22955875.365000002</v>
      </c>
      <c r="H7" s="40"/>
      <c r="I7" s="44" t="s">
        <v>18</v>
      </c>
      <c r="J7" s="518">
        <f>-SUMIF('BAL 12-24'!$J:$J,$I$7,'BAL 12-24'!$I:$I)</f>
        <v>-2906250.7970000003</v>
      </c>
      <c r="K7" s="518">
        <f>-SUMIF('BAL 12-23'!$H:$H,$I$7,'BAL 12-23'!$G:$G)</f>
        <v>-2662861.7679999997</v>
      </c>
      <c r="L7" s="45"/>
    </row>
    <row r="8" spans="1:14" x14ac:dyDescent="0.25">
      <c r="A8" s="46"/>
      <c r="D8" s="47"/>
      <c r="E8" s="48" t="s">
        <v>401</v>
      </c>
      <c r="F8" s="518">
        <f>+SUMIF('BAL 12-24'!$J:$J,$E$8,'BAL 12-24'!$I:$I)</f>
        <v>-399944.52099999995</v>
      </c>
      <c r="G8" s="518">
        <f>+SUMIF('BAL 12-23'!$H:$H,$E$8,'BAL 12-23'!$G:$G)</f>
        <v>0</v>
      </c>
      <c r="H8" s="40"/>
      <c r="I8" s="44" t="s">
        <v>14</v>
      </c>
      <c r="J8" s="518">
        <f>-SUMIF('BAL 12-24'!$J:$J,$I$8,'BAL 12-24'!$I:$I)</f>
        <v>-3459324.4919999996</v>
      </c>
      <c r="K8" s="518">
        <f>-SUMIF('BAL 12-23'!$H:$H,$I$8,'BAL 12-23'!$G:$G)</f>
        <v>-3126298.01</v>
      </c>
      <c r="L8" s="45"/>
    </row>
    <row r="9" spans="1:14" ht="16.5" thickBot="1" x14ac:dyDescent="0.3">
      <c r="A9" s="46"/>
      <c r="D9" s="47"/>
      <c r="E9" s="48"/>
      <c r="F9" s="518"/>
      <c r="G9" s="518"/>
      <c r="H9" s="40"/>
      <c r="I9" s="44" t="s">
        <v>12</v>
      </c>
      <c r="J9" s="518">
        <f>-SUMIF('BAL 12-24'!$J:$J,$I$9,'BAL 12-24'!$I:$I)</f>
        <v>22014748.229807556</v>
      </c>
      <c r="K9" s="518">
        <f>-SUMIF('BAL 12-23'!$H:$H,$I$9,'BAL 12-23'!$G:$G)</f>
        <v>17517372.004645001</v>
      </c>
      <c r="L9" s="45"/>
      <c r="N9" s="49"/>
    </row>
    <row r="10" spans="1:14" x14ac:dyDescent="0.25">
      <c r="A10" s="36" t="e">
        <v>#REF!</v>
      </c>
      <c r="B10" s="50" t="s">
        <v>419</v>
      </c>
      <c r="C10" s="35" t="s">
        <v>420</v>
      </c>
      <c r="D10" s="43" t="s">
        <v>421</v>
      </c>
      <c r="F10" s="519">
        <f>SUM(F6:F9)</f>
        <v>17307388.028182488</v>
      </c>
      <c r="G10" s="519">
        <f>SUM(G6:G9)</f>
        <v>17625610.787282504</v>
      </c>
      <c r="H10" s="40"/>
      <c r="I10" s="44"/>
      <c r="J10" s="519">
        <f>SUM(J3:J9)</f>
        <v>33828281.780807555</v>
      </c>
      <c r="K10" s="519">
        <f>SUM(K3:K9)</f>
        <v>29907321.066645004</v>
      </c>
      <c r="L10" s="45"/>
      <c r="M10" s="51"/>
    </row>
    <row r="11" spans="1:14" x14ac:dyDescent="0.25">
      <c r="A11" s="36" t="e">
        <v>#REF!</v>
      </c>
      <c r="B11" s="50" t="s">
        <v>419</v>
      </c>
      <c r="C11" s="35" t="s">
        <v>422</v>
      </c>
      <c r="D11" s="43"/>
      <c r="F11" s="517"/>
      <c r="G11" s="517"/>
      <c r="H11" s="40"/>
      <c r="I11" s="44"/>
      <c r="J11" s="522"/>
      <c r="K11" s="522"/>
      <c r="L11" s="45"/>
      <c r="M11" s="51"/>
    </row>
    <row r="12" spans="1:14" x14ac:dyDescent="0.25">
      <c r="A12" s="36" t="e">
        <v>#REF!</v>
      </c>
      <c r="B12" s="50" t="s">
        <v>419</v>
      </c>
      <c r="C12" s="35" t="s">
        <v>423</v>
      </c>
      <c r="D12" s="52" t="s">
        <v>424</v>
      </c>
      <c r="E12" s="52"/>
      <c r="F12" s="520"/>
      <c r="G12" s="520"/>
      <c r="H12" s="40"/>
      <c r="I12" s="44"/>
      <c r="J12" s="517"/>
      <c r="K12" s="517"/>
      <c r="L12" s="45"/>
      <c r="M12" s="51"/>
    </row>
    <row r="13" spans="1:14" x14ac:dyDescent="0.25">
      <c r="A13" s="36" t="e">
        <v>#REF!</v>
      </c>
      <c r="B13" s="50" t="s">
        <v>419</v>
      </c>
      <c r="C13" s="35" t="s">
        <v>425</v>
      </c>
      <c r="D13" s="43"/>
      <c r="E13" s="48" t="s">
        <v>46</v>
      </c>
      <c r="F13" s="518">
        <f>+SUMIF('BAL 12-24'!$J:$J,$E$13,'BAL 12-24'!$I:$I)</f>
        <v>5771.2</v>
      </c>
      <c r="G13" s="518">
        <f>+SUMIF('BAL 12-23'!$H:$H,$E$13,'BAL 12-23'!$G:$G)</f>
        <v>5771.2000000002035</v>
      </c>
      <c r="H13" s="40"/>
      <c r="I13" s="44" t="s">
        <v>426</v>
      </c>
      <c r="J13" s="518">
        <f>+'P&amp;L 12-24'!$F$44</f>
        <v>10455318.123559494</v>
      </c>
      <c r="K13" s="518">
        <f>+'P&amp;L 12-24'!$H$44</f>
        <v>4497376.2257065289</v>
      </c>
      <c r="L13" s="45"/>
      <c r="M13" s="51"/>
    </row>
    <row r="14" spans="1:14" ht="16.5" thickBot="1" x14ac:dyDescent="0.3">
      <c r="A14" s="36"/>
      <c r="B14" s="50"/>
      <c r="D14" s="43"/>
      <c r="E14" s="48" t="s">
        <v>58</v>
      </c>
      <c r="F14" s="518">
        <f>+SUMIF('BAL 12-24'!$J:$J,$E$14,'BAL 12-24'!$I:$I)</f>
        <v>-29257.384999999998</v>
      </c>
      <c r="G14" s="518">
        <f>+SUMIF('BAL 12-23'!$H:$H,$E$14,'BAL 12-23'!$G:$G)</f>
        <v>-29257.384999999998</v>
      </c>
      <c r="H14" s="40"/>
      <c r="I14" s="42"/>
      <c r="J14" s="517"/>
      <c r="K14" s="517"/>
      <c r="L14" s="45"/>
      <c r="M14" s="53"/>
    </row>
    <row r="15" spans="1:14" ht="16.5" thickBot="1" x14ac:dyDescent="0.3">
      <c r="A15" s="36" t="e">
        <v>#REF!</v>
      </c>
      <c r="B15" s="50" t="s">
        <v>419</v>
      </c>
      <c r="C15" s="35" t="s">
        <v>427</v>
      </c>
      <c r="D15" s="54"/>
      <c r="E15" s="48" t="s">
        <v>42</v>
      </c>
      <c r="F15" s="518">
        <f>+SUMIF('BAL 12-24'!$J:$J,$E$15,'BAL 12-24'!$I:$I)</f>
        <v>4926200</v>
      </c>
      <c r="G15" s="518">
        <f>+SUMIF('BAL 12-23'!$H:$H,$E$15,'BAL 12-23'!$G:$G)</f>
        <v>4926200</v>
      </c>
      <c r="H15" s="40"/>
      <c r="I15" s="42"/>
      <c r="J15" s="519">
        <f>+J13+J10</f>
        <v>44283599.904367045</v>
      </c>
      <c r="K15" s="519">
        <f>+K13+K10</f>
        <v>34404697.292351529</v>
      </c>
      <c r="L15" s="45"/>
      <c r="M15" s="53"/>
    </row>
    <row r="16" spans="1:14" x14ac:dyDescent="0.25">
      <c r="A16" s="36"/>
      <c r="B16" s="50"/>
      <c r="D16" s="43" t="s">
        <v>428</v>
      </c>
      <c r="F16" s="519">
        <f>SUM(F10:F15)</f>
        <v>22210101.843182486</v>
      </c>
      <c r="G16" s="519">
        <f>SUM(G10:G15)</f>
        <v>22528324.602282502</v>
      </c>
      <c r="H16" s="40"/>
      <c r="I16" s="42"/>
      <c r="J16" s="517"/>
      <c r="K16" s="517"/>
      <c r="L16" s="45"/>
      <c r="M16" s="51"/>
    </row>
    <row r="17" spans="1:14" ht="5.25" customHeight="1" x14ac:dyDescent="0.25">
      <c r="A17" s="36" t="e">
        <v>#REF!</v>
      </c>
      <c r="B17" s="50" t="s">
        <v>419</v>
      </c>
      <c r="C17" s="35" t="s">
        <v>429</v>
      </c>
      <c r="D17" s="43"/>
      <c r="F17" s="517"/>
      <c r="G17" s="517"/>
      <c r="H17" s="40"/>
      <c r="I17" s="42"/>
      <c r="J17" s="517"/>
      <c r="K17" s="517"/>
      <c r="L17" s="45"/>
    </row>
    <row r="18" spans="1:14" x14ac:dyDescent="0.25">
      <c r="A18" s="36" t="e">
        <v>#REF!</v>
      </c>
      <c r="B18" s="50" t="s">
        <v>419</v>
      </c>
      <c r="C18" s="35" t="s">
        <v>430</v>
      </c>
      <c r="D18" s="55" t="s">
        <v>431</v>
      </c>
      <c r="F18" s="517"/>
      <c r="G18" s="517"/>
      <c r="H18" s="40"/>
      <c r="I18" s="44" t="s">
        <v>22</v>
      </c>
      <c r="J18" s="518">
        <f>-SUMIF('BAL 12-24'!$J:$J,$I$18,'BAL 12-24'!$I:$I)</f>
        <v>1874265.2759999987</v>
      </c>
      <c r="K18" s="518">
        <f>-SUMIF('BAL 12-23'!$H:$H,$I$18,'BAL 12-23'!$G:$G)</f>
        <v>1520249.351999999</v>
      </c>
      <c r="L18" s="45"/>
      <c r="M18" s="51"/>
    </row>
    <row r="19" spans="1:14" x14ac:dyDescent="0.25">
      <c r="A19" s="36" t="e">
        <v>#REF!</v>
      </c>
      <c r="B19" s="50" t="s">
        <v>419</v>
      </c>
      <c r="C19" s="35" t="s">
        <v>432</v>
      </c>
      <c r="D19" s="54"/>
      <c r="E19" s="48" t="s">
        <v>60</v>
      </c>
      <c r="F19" s="518">
        <f>+SUMIF('BAL 12-24'!$J:$J,$E$19,'BAL 12-24'!$I:$I)</f>
        <v>22871948.869999986</v>
      </c>
      <c r="G19" s="518">
        <f>+SUMIF('BAL 12-23'!$H:$H,$E$19,'BAL 12-23'!$G:$G)</f>
        <v>17173289.671000008</v>
      </c>
      <c r="H19" s="40"/>
      <c r="I19" s="44" t="s">
        <v>20</v>
      </c>
      <c r="J19" s="518">
        <f>-SUMIF('BAL 12-24'!$J:$J,$I$19,'BAL 12-24'!$I:$I)</f>
        <v>347444.625</v>
      </c>
      <c r="K19" s="518">
        <f>-SUMIF('BAL 12-23'!$H:$H,$I$19,'BAL 12-23'!$G:$G)</f>
        <v>231535.016</v>
      </c>
      <c r="L19" s="45"/>
      <c r="M19" s="51"/>
    </row>
    <row r="20" spans="1:14" x14ac:dyDescent="0.25">
      <c r="A20" s="36" t="e">
        <v>#REF!</v>
      </c>
      <c r="B20" s="50" t="s">
        <v>419</v>
      </c>
      <c r="C20" s="35" t="s">
        <v>433</v>
      </c>
      <c r="D20" s="54"/>
      <c r="E20" s="48" t="s">
        <v>65</v>
      </c>
      <c r="F20" s="518">
        <f>+SUMIF('BAL 12-24'!$J:$J,$E$20,'BAL 12-24'!$I:$I)</f>
        <v>-705914.30100000009</v>
      </c>
      <c r="G20" s="518">
        <f>+SUMIF('BAL 12-23'!$H:$H,$E$20,'BAL 12-23'!$G:$G)</f>
        <v>-208158.11300000001</v>
      </c>
      <c r="H20" s="40"/>
      <c r="I20" s="42"/>
      <c r="J20" s="518"/>
      <c r="K20" s="518"/>
      <c r="L20" s="45"/>
    </row>
    <row r="21" spans="1:14" x14ac:dyDescent="0.25">
      <c r="A21" s="36"/>
      <c r="B21" s="56"/>
      <c r="D21" s="54"/>
      <c r="E21" s="48" t="s">
        <v>74</v>
      </c>
      <c r="F21" s="518">
        <f>+SUMIF('BAL 12-24'!$J:$J,$E$21,'BAL 12-24'!$I:$I)</f>
        <v>23782077.353942961</v>
      </c>
      <c r="G21" s="518">
        <f>+SUMIF('BAL 12-23'!$H:$H,$E$21,'BAL 12-23'!$G:$G)</f>
        <v>18964385.193942983</v>
      </c>
      <c r="H21" s="40"/>
      <c r="I21" s="42"/>
      <c r="J21" s="518"/>
      <c r="K21" s="518"/>
      <c r="L21" s="45"/>
      <c r="M21" s="51"/>
    </row>
    <row r="22" spans="1:14" x14ac:dyDescent="0.25">
      <c r="A22" s="36"/>
      <c r="B22" s="56"/>
      <c r="D22" s="54"/>
      <c r="E22" s="48" t="s">
        <v>111</v>
      </c>
      <c r="F22" s="518">
        <f>+SUMIF('BAL 12-24'!$J:$J,$E$22,'BAL 12-24'!$I:$I)</f>
        <v>-931117.73900000006</v>
      </c>
      <c r="G22" s="518">
        <f>+SUMIF('BAL 12-23'!$H:$H,$E$22,'BAL 12-23'!$G:$G)</f>
        <v>-457129.14999999991</v>
      </c>
      <c r="H22" s="40"/>
      <c r="I22" s="44" t="s">
        <v>67</v>
      </c>
      <c r="J22" s="518">
        <f>-SUMIF('BAL 12-24'!$J:$J,$I$22,'BAL 12-24'!$I:$I)</f>
        <v>11312086.911128681</v>
      </c>
      <c r="K22" s="518">
        <f>-SUMIF('BAL 12-23'!$H:$H,$I$22,'BAL 12-23'!$G:$G)</f>
        <v>7004512.3087881431</v>
      </c>
      <c r="L22" s="45"/>
      <c r="M22" s="51"/>
    </row>
    <row r="23" spans="1:14" x14ac:dyDescent="0.25">
      <c r="A23" s="36"/>
      <c r="B23" s="56"/>
      <c r="D23" s="54"/>
      <c r="E23" s="48" t="s">
        <v>78</v>
      </c>
      <c r="F23" s="518">
        <f>+SUMIF('BAL 12-24'!$J:$J,$E$23,'BAL 12-24'!$I:$I)</f>
        <v>6703368.3928460078</v>
      </c>
      <c r="G23" s="518">
        <f>+SUMIF('BAL 12-23'!$H:$H,$E$23,'BAL 12-23'!$G:$G)</f>
        <v>2176198.6708459845</v>
      </c>
      <c r="H23" s="40"/>
      <c r="I23" s="44" t="s">
        <v>81</v>
      </c>
      <c r="J23" s="518">
        <f>-SUMIF('BAL 12-24'!$J:$J,$I$23,'BAL 12-24'!$I:$I)</f>
        <v>3941778.197999998</v>
      </c>
      <c r="K23" s="518">
        <f>-SUMIF('BAL 12-23'!$H:$H,$I$23,'BAL 12-23'!$G:$G)</f>
        <v>3112685.9699999974</v>
      </c>
      <c r="L23" s="45"/>
      <c r="M23" s="51"/>
      <c r="N23" s="51"/>
    </row>
    <row r="24" spans="1:14" x14ac:dyDescent="0.25">
      <c r="A24" s="46" t="e">
        <v>#REF!</v>
      </c>
      <c r="B24" s="57"/>
      <c r="C24" s="49" t="s">
        <v>434</v>
      </c>
      <c r="D24" s="54"/>
      <c r="E24" s="48" t="s">
        <v>113</v>
      </c>
      <c r="F24" s="518">
        <f>+SUMIF('BAL 12-24'!$J:$J,$E$24,'BAL 12-24'!$I:$I)</f>
        <v>-288613.68499999994</v>
      </c>
      <c r="G24" s="518">
        <f>+SUMIF('BAL 12-23'!$H:$H,$E$24,'BAL 12-23'!$G:$G)</f>
        <v>-288613.68499999994</v>
      </c>
      <c r="H24" s="40"/>
      <c r="I24" s="44" t="s">
        <v>115</v>
      </c>
      <c r="J24" s="518">
        <f>-SUMIF('BAL 12-24'!$J:$J,$I$24,'BAL 12-24'!$I:$I)</f>
        <v>13761609.324623469</v>
      </c>
      <c r="K24" s="518">
        <f>-SUMIF('BAL 12-23'!$H:$H,$I$24,'BAL 12-23'!$G:$G)</f>
        <v>15947250.762238583</v>
      </c>
      <c r="L24" s="45"/>
      <c r="M24" s="51"/>
    </row>
    <row r="25" spans="1:14" ht="16.5" thickBot="1" x14ac:dyDescent="0.3">
      <c r="A25" s="36" t="s">
        <v>416</v>
      </c>
      <c r="D25" s="54"/>
      <c r="E25" s="48" t="s">
        <v>121</v>
      </c>
      <c r="F25" s="518">
        <f>+SUMIF('BAL 12-24'!$J:$J,$E$25,'BAL 12-24'!$I:$I)</f>
        <v>1878933.5050830243</v>
      </c>
      <c r="G25" s="518">
        <f>+SUMIF('BAL 12-23'!$H:$H,$E$25,'BAL 12-23'!$G:$G)</f>
        <v>2332633.5115971831</v>
      </c>
      <c r="H25" s="40"/>
      <c r="I25" s="42"/>
      <c r="J25" s="517"/>
      <c r="K25" s="517"/>
      <c r="L25" s="45"/>
      <c r="M25" s="51"/>
      <c r="N25" s="51"/>
    </row>
    <row r="26" spans="1:14" x14ac:dyDescent="0.25">
      <c r="A26" s="58" t="e">
        <v>#REF!</v>
      </c>
      <c r="D26" s="55" t="s">
        <v>435</v>
      </c>
      <c r="F26" s="519">
        <f>SUM(F19:F25)</f>
        <v>53310682.396871984</v>
      </c>
      <c r="G26" s="519">
        <f>SUM(G19:G25)</f>
        <v>39692606.099386163</v>
      </c>
      <c r="H26" s="40"/>
      <c r="I26" s="42"/>
      <c r="J26" s="519">
        <f>SUM(J18:J24)</f>
        <v>31237184.334752146</v>
      </c>
      <c r="K26" s="519">
        <f>SUM(K18:K24)</f>
        <v>27816233.40902672</v>
      </c>
      <c r="L26" s="45"/>
    </row>
    <row r="27" spans="1:14" ht="5.25" customHeight="1" x14ac:dyDescent="0.25">
      <c r="A27" s="36" t="e">
        <v>#REF!</v>
      </c>
      <c r="B27" s="50" t="s">
        <v>419</v>
      </c>
      <c r="C27" s="35" t="s">
        <v>436</v>
      </c>
      <c r="D27" s="55"/>
      <c r="F27" s="517"/>
      <c r="G27" s="517"/>
      <c r="H27" s="40"/>
      <c r="I27" s="42"/>
      <c r="J27" s="517"/>
      <c r="K27" s="517"/>
      <c r="L27" s="45"/>
    </row>
    <row r="28" spans="1:14" ht="5.25" customHeight="1" thickBot="1" x14ac:dyDescent="0.3">
      <c r="A28" s="36" t="e">
        <v>#REF!</v>
      </c>
      <c r="B28" s="50" t="s">
        <v>419</v>
      </c>
      <c r="C28" s="35" t="s">
        <v>437</v>
      </c>
      <c r="D28" s="55"/>
      <c r="F28" s="517"/>
      <c r="G28" s="517"/>
      <c r="H28" s="40"/>
      <c r="I28" s="42"/>
      <c r="J28" s="523"/>
      <c r="K28" s="523"/>
      <c r="L28" s="45"/>
    </row>
    <row r="29" spans="1:14" ht="16.5" thickBot="1" x14ac:dyDescent="0.3">
      <c r="A29" s="58" t="e">
        <v>#REF!</v>
      </c>
      <c r="B29" s="57"/>
      <c r="C29" s="49" t="s">
        <v>438</v>
      </c>
      <c r="D29" s="59" t="s">
        <v>439</v>
      </c>
      <c r="E29" s="60"/>
      <c r="F29" s="521">
        <f>+F26+F16</f>
        <v>75520784.240054473</v>
      </c>
      <c r="G29" s="521">
        <f>+G26+G16</f>
        <v>62220930.701668665</v>
      </c>
      <c r="H29" s="40"/>
      <c r="I29" s="61"/>
      <c r="J29" s="521">
        <f>+J26+J15</f>
        <v>75520784.239119187</v>
      </c>
      <c r="K29" s="521">
        <f>+K26+K15</f>
        <v>62220930.701378249</v>
      </c>
      <c r="L29" s="45"/>
    </row>
    <row r="30" spans="1:14" ht="16.5" thickTop="1" x14ac:dyDescent="0.25">
      <c r="A30" s="36" t="s">
        <v>416</v>
      </c>
      <c r="J30" s="53"/>
      <c r="K30" s="53"/>
      <c r="M30" s="51"/>
    </row>
    <row r="31" spans="1:14" x14ac:dyDescent="0.25">
      <c r="A31" s="36" t="e">
        <v>#REF!</v>
      </c>
      <c r="B31" s="35" t="s">
        <v>440</v>
      </c>
      <c r="C31" s="35" t="s">
        <v>441</v>
      </c>
      <c r="J31" s="62"/>
      <c r="K31" s="62"/>
    </row>
    <row r="32" spans="1:14" x14ac:dyDescent="0.25">
      <c r="A32" s="36" t="s">
        <v>416</v>
      </c>
      <c r="B32" s="57"/>
      <c r="C32" s="49" t="s">
        <v>442</v>
      </c>
      <c r="I32" s="53"/>
      <c r="J32" s="62">
        <f>+F29-J29</f>
        <v>9.3528628349304199E-4</v>
      </c>
      <c r="K32" s="62">
        <f>+G29-K29</f>
        <v>2.904161810874939E-4</v>
      </c>
    </row>
    <row r="33" spans="6:12" x14ac:dyDescent="0.25">
      <c r="I33" s="53"/>
    </row>
    <row r="34" spans="6:12" x14ac:dyDescent="0.25">
      <c r="F34" s="49">
        <f>+G21+G22+G23-F21-F22-F23</f>
        <v>-8870873.2929999977</v>
      </c>
      <c r="I34" s="49"/>
    </row>
    <row r="35" spans="6:12" x14ac:dyDescent="0.25">
      <c r="I35" s="49"/>
    </row>
    <row r="36" spans="6:12" x14ac:dyDescent="0.25">
      <c r="I36" s="49"/>
    </row>
    <row r="37" spans="6:12" x14ac:dyDescent="0.25">
      <c r="I37" s="49"/>
    </row>
    <row r="38" spans="6:12" x14ac:dyDescent="0.25">
      <c r="F38" s="464"/>
    </row>
    <row r="40" spans="6:12" x14ac:dyDescent="0.25">
      <c r="L40" s="51">
        <f>+M22-M51</f>
        <v>0</v>
      </c>
    </row>
    <row r="762" spans="1:7" x14ac:dyDescent="0.25">
      <c r="A762" s="63" t="s">
        <v>443</v>
      </c>
      <c r="B762" s="63"/>
      <c r="C762" s="63"/>
      <c r="D762" s="63"/>
      <c r="E762" s="63"/>
      <c r="F762" s="63"/>
      <c r="G762" s="63"/>
    </row>
    <row r="763" spans="1:7" x14ac:dyDescent="0.25">
      <c r="A763" s="63" t="s">
        <v>254</v>
      </c>
      <c r="B763" s="63"/>
      <c r="C763" s="63"/>
      <c r="D763" s="63"/>
      <c r="E763" s="63"/>
      <c r="F763" s="63"/>
      <c r="G763" s="63"/>
    </row>
    <row r="764" spans="1:7" x14ac:dyDescent="0.25">
      <c r="A764" s="63" t="s">
        <v>255</v>
      </c>
      <c r="B764" s="63"/>
      <c r="C764" s="63"/>
      <c r="D764" s="63"/>
      <c r="E764" s="63"/>
      <c r="F764" s="63"/>
      <c r="G764" s="63"/>
    </row>
    <row r="765" spans="1:7" x14ac:dyDescent="0.25">
      <c r="A765" s="63" t="s">
        <v>444</v>
      </c>
      <c r="B765" s="63"/>
      <c r="C765" s="63"/>
      <c r="D765" s="63"/>
      <c r="E765" s="63"/>
      <c r="F765" s="63"/>
      <c r="G765" s="63"/>
    </row>
    <row r="766" spans="1:7" x14ac:dyDescent="0.25">
      <c r="A766" s="63" t="s">
        <v>254</v>
      </c>
      <c r="B766" s="63"/>
      <c r="C766" s="63"/>
      <c r="D766" s="63"/>
      <c r="E766" s="63"/>
      <c r="F766" s="63"/>
      <c r="G766" s="63"/>
    </row>
    <row r="767" spans="1:7" x14ac:dyDescent="0.25">
      <c r="A767" s="63" t="s">
        <v>255</v>
      </c>
      <c r="B767" s="63"/>
      <c r="C767" s="63"/>
      <c r="D767" s="63"/>
      <c r="E767" s="63"/>
      <c r="F767" s="63"/>
      <c r="G767" s="63"/>
    </row>
    <row r="768" spans="1:7" x14ac:dyDescent="0.25">
      <c r="A768" s="63" t="s">
        <v>445</v>
      </c>
      <c r="B768" s="63"/>
      <c r="C768" s="63"/>
      <c r="D768" s="63"/>
      <c r="E768" s="63"/>
      <c r="F768" s="63"/>
      <c r="G768" s="63"/>
    </row>
    <row r="769" spans="1:7" x14ac:dyDescent="0.25">
      <c r="A769" s="63" t="s">
        <v>254</v>
      </c>
      <c r="B769" s="63"/>
      <c r="C769" s="63"/>
      <c r="D769" s="63"/>
      <c r="E769" s="63"/>
      <c r="F769" s="63"/>
      <c r="G769" s="63"/>
    </row>
    <row r="770" spans="1:7" x14ac:dyDescent="0.25">
      <c r="A770" s="63" t="s">
        <v>255</v>
      </c>
      <c r="B770" s="63"/>
      <c r="C770" s="63"/>
      <c r="D770" s="63"/>
      <c r="E770" s="63"/>
      <c r="F770" s="63"/>
      <c r="G770" s="63"/>
    </row>
    <row r="873" spans="1:7" x14ac:dyDescent="0.25">
      <c r="A873" s="63" t="s">
        <v>446</v>
      </c>
      <c r="B873" s="63"/>
      <c r="C873" s="63"/>
      <c r="D873" s="63"/>
      <c r="E873" s="63"/>
      <c r="F873" s="63"/>
      <c r="G873" s="63"/>
    </row>
    <row r="874" spans="1:7" x14ac:dyDescent="0.25">
      <c r="A874" s="63" t="s">
        <v>254</v>
      </c>
      <c r="B874" s="63"/>
      <c r="C874" s="63"/>
      <c r="D874" s="63"/>
      <c r="E874" s="63"/>
      <c r="F874" s="63"/>
      <c r="G874" s="63"/>
    </row>
    <row r="875" spans="1:7" x14ac:dyDescent="0.25">
      <c r="A875" s="63" t="s">
        <v>255</v>
      </c>
      <c r="B875" s="63"/>
      <c r="C875" s="63"/>
      <c r="D875" s="63"/>
      <c r="E875" s="63"/>
      <c r="F875" s="63"/>
      <c r="G875" s="63"/>
    </row>
    <row r="876" spans="1:7" x14ac:dyDescent="0.25">
      <c r="A876" s="63" t="s">
        <v>447</v>
      </c>
      <c r="B876" s="63"/>
      <c r="C876" s="63"/>
      <c r="D876" s="63"/>
      <c r="E876" s="63"/>
      <c r="F876" s="63"/>
      <c r="G876" s="63"/>
    </row>
    <row r="877" spans="1:7" x14ac:dyDescent="0.25">
      <c r="A877" s="63" t="s">
        <v>254</v>
      </c>
      <c r="B877" s="63"/>
      <c r="C877" s="63"/>
      <c r="D877" s="63"/>
      <c r="E877" s="63"/>
      <c r="F877" s="63"/>
      <c r="G877" s="63"/>
    </row>
    <row r="878" spans="1:7" x14ac:dyDescent="0.25">
      <c r="A878" s="63" t="s">
        <v>255</v>
      </c>
      <c r="B878" s="63"/>
      <c r="C878" s="63"/>
      <c r="D878" s="63"/>
      <c r="E878" s="63"/>
      <c r="F878" s="63"/>
      <c r="G878" s="63"/>
    </row>
    <row r="879" spans="1:7" x14ac:dyDescent="0.25">
      <c r="A879" s="63" t="s">
        <v>448</v>
      </c>
      <c r="B879" s="63"/>
      <c r="C879" s="63"/>
      <c r="D879" s="63"/>
      <c r="E879" s="63"/>
      <c r="F879" s="63"/>
      <c r="G879" s="63"/>
    </row>
    <row r="880" spans="1:7" x14ac:dyDescent="0.25">
      <c r="A880" s="63" t="s">
        <v>254</v>
      </c>
      <c r="B880" s="63"/>
      <c r="C880" s="63"/>
      <c r="D880" s="63"/>
      <c r="E880" s="63"/>
      <c r="F880" s="63"/>
      <c r="G880" s="63"/>
    </row>
    <row r="881" spans="1:7" x14ac:dyDescent="0.25">
      <c r="A881" s="63" t="s">
        <v>255</v>
      </c>
      <c r="B881" s="63"/>
      <c r="C881" s="63"/>
      <c r="D881" s="63"/>
      <c r="E881" s="63"/>
      <c r="F881" s="63"/>
      <c r="G881" s="63"/>
    </row>
    <row r="882" spans="1:7" x14ac:dyDescent="0.25">
      <c r="A882" s="63" t="s">
        <v>449</v>
      </c>
      <c r="B882" s="63"/>
      <c r="C882" s="63"/>
      <c r="D882" s="63"/>
      <c r="E882" s="63"/>
      <c r="F882" s="63"/>
      <c r="G882" s="63"/>
    </row>
    <row r="883" spans="1:7" x14ac:dyDescent="0.25">
      <c r="A883" s="63" t="s">
        <v>254</v>
      </c>
      <c r="B883" s="63"/>
      <c r="C883" s="63"/>
      <c r="D883" s="63"/>
      <c r="E883" s="63"/>
      <c r="F883" s="63"/>
      <c r="G883" s="63"/>
    </row>
    <row r="884" spans="1:7" x14ac:dyDescent="0.25">
      <c r="A884" s="63" t="s">
        <v>255</v>
      </c>
      <c r="B884" s="63"/>
      <c r="C884" s="63"/>
      <c r="D884" s="63"/>
      <c r="E884" s="63"/>
      <c r="F884" s="63"/>
      <c r="G884" s="63"/>
    </row>
    <row r="885" spans="1:7" x14ac:dyDescent="0.25">
      <c r="A885" s="63" t="s">
        <v>450</v>
      </c>
      <c r="B885" s="63"/>
      <c r="C885" s="63"/>
      <c r="D885" s="63"/>
      <c r="E885" s="63"/>
      <c r="F885" s="63"/>
      <c r="G885" s="63"/>
    </row>
    <row r="886" spans="1:7" x14ac:dyDescent="0.25">
      <c r="A886" s="63" t="s">
        <v>254</v>
      </c>
      <c r="B886" s="63"/>
      <c r="C886" s="63"/>
      <c r="D886" s="63"/>
      <c r="E886" s="63"/>
      <c r="F886" s="63"/>
      <c r="G886" s="63"/>
    </row>
    <row r="887" spans="1:7" x14ac:dyDescent="0.25">
      <c r="A887" s="63" t="s">
        <v>255</v>
      </c>
      <c r="B887" s="63"/>
      <c r="C887" s="63"/>
      <c r="D887" s="63"/>
      <c r="E887" s="63"/>
      <c r="F887" s="63"/>
      <c r="G887" s="63"/>
    </row>
    <row r="888" spans="1:7" x14ac:dyDescent="0.25">
      <c r="A888" s="63" t="s">
        <v>451</v>
      </c>
      <c r="B888" s="63"/>
      <c r="C888" s="63"/>
      <c r="D888" s="63"/>
      <c r="E888" s="63"/>
      <c r="F888" s="63"/>
      <c r="G888" s="63"/>
    </row>
    <row r="889" spans="1:7" x14ac:dyDescent="0.25">
      <c r="A889" s="63" t="s">
        <v>254</v>
      </c>
      <c r="B889" s="63"/>
      <c r="C889" s="63"/>
      <c r="D889" s="63"/>
      <c r="E889" s="63"/>
      <c r="F889" s="63"/>
      <c r="G889" s="63"/>
    </row>
    <row r="890" spans="1:7" x14ac:dyDescent="0.25">
      <c r="A890" s="63" t="s">
        <v>255</v>
      </c>
      <c r="B890" s="63"/>
      <c r="C890" s="63"/>
      <c r="D890" s="63"/>
      <c r="E890" s="63"/>
      <c r="F890" s="63"/>
      <c r="G890" s="63"/>
    </row>
    <row r="907" spans="1:7" x14ac:dyDescent="0.25">
      <c r="A907" s="63" t="s">
        <v>452</v>
      </c>
      <c r="B907" s="63"/>
      <c r="C907" s="63"/>
      <c r="D907" s="63"/>
      <c r="E907" s="63"/>
      <c r="F907" s="63"/>
      <c r="G907" s="63"/>
    </row>
    <row r="908" spans="1:7" x14ac:dyDescent="0.25">
      <c r="A908" s="63" t="s">
        <v>254</v>
      </c>
      <c r="B908" s="63"/>
      <c r="C908" s="63"/>
      <c r="D908" s="63"/>
      <c r="E908" s="63"/>
      <c r="F908" s="63"/>
      <c r="G908" s="63"/>
    </row>
    <row r="909" spans="1:7" x14ac:dyDescent="0.25">
      <c r="A909" s="63" t="s">
        <v>255</v>
      </c>
      <c r="B909" s="63"/>
      <c r="C909" s="63"/>
      <c r="D909" s="63"/>
      <c r="E909" s="63"/>
      <c r="F909" s="63"/>
      <c r="G909" s="63"/>
    </row>
    <row r="910" spans="1:7" x14ac:dyDescent="0.25">
      <c r="A910" s="63" t="s">
        <v>453</v>
      </c>
      <c r="B910" s="63"/>
      <c r="C910" s="63"/>
      <c r="D910" s="63"/>
      <c r="E910" s="63"/>
      <c r="F910" s="63"/>
      <c r="G910" s="63"/>
    </row>
    <row r="911" spans="1:7" x14ac:dyDescent="0.25">
      <c r="A911" s="63" t="s">
        <v>254</v>
      </c>
      <c r="B911" s="63"/>
      <c r="C911" s="63"/>
      <c r="D911" s="63"/>
      <c r="E911" s="63"/>
      <c r="F911" s="63"/>
      <c r="G911" s="63"/>
    </row>
    <row r="912" spans="1:7" x14ac:dyDescent="0.25">
      <c r="A912" s="63" t="s">
        <v>255</v>
      </c>
      <c r="B912" s="63"/>
      <c r="C912" s="63"/>
      <c r="D912" s="63"/>
      <c r="E912" s="63"/>
      <c r="F912" s="63"/>
      <c r="G912" s="63"/>
    </row>
    <row r="913" spans="1:7" x14ac:dyDescent="0.25">
      <c r="A913" s="63" t="s">
        <v>454</v>
      </c>
      <c r="B913" s="63"/>
      <c r="C913" s="63"/>
      <c r="D913" s="63"/>
      <c r="E913" s="63"/>
      <c r="F913" s="63"/>
      <c r="G913" s="63"/>
    </row>
    <row r="914" spans="1:7" x14ac:dyDescent="0.25">
      <c r="A914" s="63" t="s">
        <v>254</v>
      </c>
      <c r="B914" s="63"/>
      <c r="C914" s="63"/>
      <c r="D914" s="63"/>
      <c r="E914" s="63"/>
      <c r="F914" s="63"/>
      <c r="G914" s="63"/>
    </row>
    <row r="929" spans="1:7" x14ac:dyDescent="0.25">
      <c r="A929" s="63" t="s">
        <v>455</v>
      </c>
      <c r="B929" s="63"/>
      <c r="C929" s="63"/>
      <c r="D929" s="63"/>
      <c r="E929" s="63"/>
      <c r="F929" s="63"/>
      <c r="G929" s="63"/>
    </row>
    <row r="930" spans="1:7" x14ac:dyDescent="0.25">
      <c r="A930" s="63" t="s">
        <v>254</v>
      </c>
      <c r="B930" s="63"/>
      <c r="C930" s="63"/>
      <c r="D930" s="63"/>
      <c r="E930" s="63"/>
      <c r="F930" s="63"/>
      <c r="G930" s="63"/>
    </row>
    <row r="931" spans="1:7" x14ac:dyDescent="0.25">
      <c r="A931" s="63" t="s">
        <v>255</v>
      </c>
      <c r="B931" s="63"/>
      <c r="C931" s="63"/>
      <c r="D931" s="63"/>
      <c r="E931" s="63"/>
      <c r="F931" s="63"/>
      <c r="G931" s="63"/>
    </row>
    <row r="932" spans="1:7" x14ac:dyDescent="0.25">
      <c r="A932" s="63" t="s">
        <v>456</v>
      </c>
      <c r="B932" s="63"/>
      <c r="C932" s="63"/>
      <c r="D932" s="63"/>
      <c r="E932" s="63"/>
      <c r="F932" s="63"/>
      <c r="G932" s="63"/>
    </row>
    <row r="933" spans="1:7" x14ac:dyDescent="0.25">
      <c r="A933" s="63" t="s">
        <v>254</v>
      </c>
      <c r="B933" s="63"/>
      <c r="C933" s="63"/>
      <c r="D933" s="63"/>
      <c r="E933" s="63"/>
      <c r="F933" s="63"/>
      <c r="G933" s="63"/>
    </row>
    <row r="934" spans="1:7" x14ac:dyDescent="0.25">
      <c r="A934" s="63" t="s">
        <v>255</v>
      </c>
      <c r="B934" s="63"/>
      <c r="C934" s="63"/>
      <c r="D934" s="63"/>
      <c r="E934" s="63"/>
      <c r="F934" s="63"/>
      <c r="G934" s="63"/>
    </row>
    <row r="935" spans="1:7" x14ac:dyDescent="0.25">
      <c r="A935" s="63" t="s">
        <v>457</v>
      </c>
      <c r="B935" s="63"/>
      <c r="C935" s="63"/>
      <c r="D935" s="63"/>
      <c r="E935" s="63"/>
      <c r="F935" s="63"/>
      <c r="G935" s="63"/>
    </row>
    <row r="936" spans="1:7" x14ac:dyDescent="0.25">
      <c r="A936" s="63" t="s">
        <v>254</v>
      </c>
      <c r="B936" s="63"/>
      <c r="C936" s="63"/>
      <c r="D936" s="63"/>
      <c r="E936" s="63"/>
      <c r="F936" s="63"/>
      <c r="G936" s="63"/>
    </row>
    <row r="937" spans="1:7" x14ac:dyDescent="0.25">
      <c r="A937" s="63" t="s">
        <v>255</v>
      </c>
      <c r="B937" s="63"/>
      <c r="C937" s="63"/>
      <c r="D937" s="63"/>
      <c r="E937" s="63"/>
      <c r="F937" s="63"/>
      <c r="G937" s="63"/>
    </row>
    <row r="938" spans="1:7" x14ac:dyDescent="0.25">
      <c r="A938" s="63" t="s">
        <v>458</v>
      </c>
      <c r="B938" s="63"/>
      <c r="C938" s="63"/>
      <c r="D938" s="63"/>
      <c r="E938" s="63"/>
      <c r="F938" s="63"/>
      <c r="G938" s="63"/>
    </row>
    <row r="939" spans="1:7" x14ac:dyDescent="0.25">
      <c r="A939" s="63" t="s">
        <v>254</v>
      </c>
      <c r="B939" s="63"/>
      <c r="C939" s="63"/>
      <c r="D939" s="63"/>
      <c r="E939" s="63"/>
      <c r="F939" s="63"/>
      <c r="G939" s="63"/>
    </row>
    <row r="940" spans="1:7" x14ac:dyDescent="0.25">
      <c r="A940" s="63" t="s">
        <v>255</v>
      </c>
      <c r="B940" s="63"/>
      <c r="C940" s="63"/>
      <c r="D940" s="63"/>
      <c r="E940" s="63"/>
      <c r="F940" s="63"/>
      <c r="G940" s="63"/>
    </row>
    <row r="941" spans="1:7" x14ac:dyDescent="0.25">
      <c r="A941" s="63" t="s">
        <v>459</v>
      </c>
      <c r="B941" s="63"/>
      <c r="C941" s="63"/>
      <c r="D941" s="63"/>
      <c r="E941" s="63"/>
      <c r="F941" s="63"/>
      <c r="G941" s="63"/>
    </row>
    <row r="942" spans="1:7" x14ac:dyDescent="0.25">
      <c r="A942" s="63" t="s">
        <v>254</v>
      </c>
      <c r="B942" s="63"/>
      <c r="C942" s="63"/>
      <c r="D942" s="63"/>
      <c r="E942" s="63"/>
      <c r="F942" s="63"/>
      <c r="G942" s="63"/>
    </row>
    <row r="943" spans="1:7" x14ac:dyDescent="0.25">
      <c r="A943" s="63" t="s">
        <v>255</v>
      </c>
      <c r="B943" s="63"/>
      <c r="C943" s="63"/>
      <c r="D943" s="63"/>
      <c r="E943" s="63"/>
      <c r="F943" s="63"/>
      <c r="G943" s="63"/>
    </row>
    <row r="944" spans="1:7" x14ac:dyDescent="0.25">
      <c r="A944" s="63" t="s">
        <v>460</v>
      </c>
      <c r="B944" s="63"/>
      <c r="C944" s="63"/>
      <c r="D944" s="63"/>
      <c r="E944" s="63"/>
      <c r="F944" s="63"/>
      <c r="G944" s="63"/>
    </row>
    <row r="945" spans="1:7" x14ac:dyDescent="0.25">
      <c r="A945" s="63" t="s">
        <v>254</v>
      </c>
      <c r="B945" s="63"/>
      <c r="C945" s="63"/>
      <c r="D945" s="63"/>
      <c r="E945" s="63"/>
      <c r="F945" s="63"/>
      <c r="G945" s="63"/>
    </row>
    <row r="946" spans="1:7" x14ac:dyDescent="0.25">
      <c r="A946" s="63" t="s">
        <v>255</v>
      </c>
      <c r="B946" s="63"/>
      <c r="C946" s="63"/>
      <c r="D946" s="63"/>
      <c r="E946" s="63"/>
      <c r="F946" s="63"/>
      <c r="G946" s="63"/>
    </row>
    <row r="947" spans="1:7" x14ac:dyDescent="0.25">
      <c r="A947" s="63" t="s">
        <v>461</v>
      </c>
      <c r="B947" s="63"/>
      <c r="C947" s="63"/>
      <c r="D947" s="63"/>
      <c r="E947" s="63"/>
      <c r="F947" s="63"/>
      <c r="G947" s="63"/>
    </row>
    <row r="948" spans="1:7" x14ac:dyDescent="0.25">
      <c r="A948" s="63">
        <v>42766</v>
      </c>
      <c r="B948" s="35" t="s">
        <v>462</v>
      </c>
      <c r="C948" s="35">
        <v>62036</v>
      </c>
      <c r="D948" s="35" t="s">
        <v>463</v>
      </c>
    </row>
    <row r="949" spans="1:7" x14ac:dyDescent="0.25">
      <c r="A949" s="63">
        <v>42766</v>
      </c>
      <c r="B949" s="35" t="s">
        <v>462</v>
      </c>
      <c r="C949" s="35">
        <v>62052</v>
      </c>
      <c r="D949" s="35" t="s">
        <v>464</v>
      </c>
    </row>
    <row r="950" spans="1:7" x14ac:dyDescent="0.25">
      <c r="A950" s="63">
        <v>42766</v>
      </c>
      <c r="B950" s="35" t="s">
        <v>462</v>
      </c>
      <c r="C950" s="35">
        <v>62052</v>
      </c>
      <c r="D950" s="35" t="s">
        <v>464</v>
      </c>
    </row>
    <row r="951" spans="1:7" x14ac:dyDescent="0.25">
      <c r="A951" s="63" t="s">
        <v>254</v>
      </c>
      <c r="B951" s="63"/>
      <c r="C951" s="63"/>
      <c r="D951" s="63"/>
      <c r="E951" s="63"/>
      <c r="F951" s="63"/>
      <c r="G951" s="63"/>
    </row>
    <row r="952" spans="1:7" x14ac:dyDescent="0.25">
      <c r="A952" s="63" t="s">
        <v>255</v>
      </c>
      <c r="B952" s="63"/>
      <c r="C952" s="63"/>
      <c r="D952" s="63"/>
      <c r="E952" s="63"/>
      <c r="F952" s="63"/>
      <c r="G952" s="63"/>
    </row>
    <row r="953" spans="1:7" x14ac:dyDescent="0.25">
      <c r="A953" s="63" t="s">
        <v>465</v>
      </c>
      <c r="B953" s="63"/>
      <c r="C953" s="63"/>
      <c r="D953" s="63"/>
      <c r="E953" s="63"/>
      <c r="F953" s="63"/>
      <c r="G953" s="63"/>
    </row>
    <row r="954" spans="1:7" x14ac:dyDescent="0.25">
      <c r="A954" s="63" t="s">
        <v>254</v>
      </c>
      <c r="B954" s="63"/>
      <c r="C954" s="63"/>
      <c r="D954" s="63"/>
      <c r="E954" s="63"/>
      <c r="F954" s="63"/>
      <c r="G954" s="63"/>
    </row>
    <row r="955" spans="1:7" x14ac:dyDescent="0.25">
      <c r="A955" s="63" t="s">
        <v>255</v>
      </c>
      <c r="B955" s="63"/>
      <c r="C955" s="63"/>
      <c r="D955" s="63"/>
      <c r="E955" s="63"/>
      <c r="F955" s="63"/>
      <c r="G955" s="63"/>
    </row>
    <row r="956" spans="1:7" x14ac:dyDescent="0.25">
      <c r="A956" s="63" t="s">
        <v>466</v>
      </c>
      <c r="B956" s="63"/>
      <c r="C956" s="63"/>
      <c r="D956" s="63"/>
      <c r="E956" s="63"/>
      <c r="F956" s="63"/>
      <c r="G956" s="63"/>
    </row>
    <row r="957" spans="1:7" x14ac:dyDescent="0.25">
      <c r="A957" s="63">
        <v>42745</v>
      </c>
      <c r="B957" s="35" t="s">
        <v>462</v>
      </c>
      <c r="C957" s="35">
        <v>62033</v>
      </c>
      <c r="D957" s="35" t="s">
        <v>467</v>
      </c>
    </row>
    <row r="958" spans="1:7" x14ac:dyDescent="0.25">
      <c r="A958" s="63" t="s">
        <v>254</v>
      </c>
      <c r="B958" s="63"/>
      <c r="C958" s="63"/>
      <c r="D958" s="63"/>
      <c r="E958" s="63"/>
      <c r="F958" s="63"/>
      <c r="G958" s="63"/>
    </row>
    <row r="959" spans="1:7" x14ac:dyDescent="0.25">
      <c r="A959" s="63" t="s">
        <v>255</v>
      </c>
      <c r="B959" s="63"/>
      <c r="C959" s="63"/>
      <c r="D959" s="63"/>
      <c r="E959" s="63"/>
      <c r="F959" s="63"/>
      <c r="G959" s="63"/>
    </row>
    <row r="960" spans="1:7" x14ac:dyDescent="0.25">
      <c r="A960" s="63" t="s">
        <v>468</v>
      </c>
      <c r="B960" s="63"/>
      <c r="C960" s="63"/>
      <c r="D960" s="63"/>
      <c r="E960" s="63"/>
      <c r="F960" s="63"/>
      <c r="G960" s="63"/>
    </row>
    <row r="961" spans="1:7" x14ac:dyDescent="0.25">
      <c r="A961" s="63" t="s">
        <v>254</v>
      </c>
      <c r="B961" s="63"/>
      <c r="C961" s="63"/>
      <c r="D961" s="63"/>
      <c r="E961" s="63"/>
      <c r="F961" s="63"/>
      <c r="G961" s="63"/>
    </row>
    <row r="962" spans="1:7" x14ac:dyDescent="0.25">
      <c r="A962" s="63" t="s">
        <v>255</v>
      </c>
      <c r="B962" s="63"/>
      <c r="C962" s="63"/>
      <c r="D962" s="63"/>
      <c r="E962" s="63"/>
      <c r="F962" s="63"/>
      <c r="G962" s="63"/>
    </row>
    <row r="963" spans="1:7" x14ac:dyDescent="0.25">
      <c r="A963" s="63" t="s">
        <v>469</v>
      </c>
      <c r="B963" s="63"/>
      <c r="C963" s="63"/>
      <c r="D963" s="63"/>
      <c r="E963" s="63"/>
      <c r="F963" s="63"/>
      <c r="G963" s="63"/>
    </row>
    <row r="964" spans="1:7" x14ac:dyDescent="0.25">
      <c r="A964" s="63" t="s">
        <v>254</v>
      </c>
      <c r="B964" s="63"/>
      <c r="C964" s="63"/>
      <c r="D964" s="63"/>
      <c r="E964" s="63"/>
      <c r="F964" s="63"/>
      <c r="G964" s="63"/>
    </row>
    <row r="965" spans="1:7" x14ac:dyDescent="0.25">
      <c r="A965" s="63" t="s">
        <v>255</v>
      </c>
      <c r="B965" s="63"/>
      <c r="C965" s="63"/>
      <c r="D965" s="63"/>
      <c r="E965" s="63"/>
      <c r="F965" s="63"/>
      <c r="G965" s="63"/>
    </row>
    <row r="966" spans="1:7" x14ac:dyDescent="0.25">
      <c r="A966" s="63" t="s">
        <v>470</v>
      </c>
      <c r="B966" s="63"/>
      <c r="C966" s="63"/>
      <c r="D966" s="63"/>
      <c r="E966" s="63"/>
      <c r="F966" s="63"/>
      <c r="G966" s="63"/>
    </row>
    <row r="967" spans="1:7" x14ac:dyDescent="0.25">
      <c r="A967" s="63">
        <v>42766</v>
      </c>
      <c r="B967" s="35" t="s">
        <v>462</v>
      </c>
      <c r="C967" s="35">
        <v>62036</v>
      </c>
      <c r="D967" s="35" t="s">
        <v>463</v>
      </c>
    </row>
    <row r="968" spans="1:7" x14ac:dyDescent="0.25">
      <c r="A968" s="63">
        <v>42766</v>
      </c>
      <c r="B968" s="35" t="s">
        <v>462</v>
      </c>
      <c r="C968" s="35">
        <v>62052</v>
      </c>
      <c r="D968" s="35" t="s">
        <v>464</v>
      </c>
    </row>
    <row r="969" spans="1:7" x14ac:dyDescent="0.25">
      <c r="A969" s="63" t="s">
        <v>254</v>
      </c>
      <c r="B969" s="63"/>
      <c r="C969" s="63"/>
      <c r="D969" s="63"/>
      <c r="E969" s="63"/>
      <c r="F969" s="63"/>
      <c r="G969" s="63"/>
    </row>
    <row r="970" spans="1:7" x14ac:dyDescent="0.25">
      <c r="A970" s="63" t="s">
        <v>255</v>
      </c>
      <c r="B970" s="63"/>
      <c r="C970" s="63"/>
      <c r="D970" s="63"/>
      <c r="E970" s="63"/>
      <c r="F970" s="63"/>
      <c r="G970" s="63"/>
    </row>
    <row r="971" spans="1:7" x14ac:dyDescent="0.25">
      <c r="A971" s="63" t="s">
        <v>471</v>
      </c>
      <c r="B971" s="63"/>
      <c r="C971" s="63"/>
      <c r="D971" s="63"/>
      <c r="E971" s="63"/>
      <c r="F971" s="63"/>
      <c r="G971" s="63"/>
    </row>
    <row r="972" spans="1:7" x14ac:dyDescent="0.25">
      <c r="A972" s="63" t="s">
        <v>254</v>
      </c>
      <c r="B972" s="63"/>
      <c r="C972" s="63"/>
      <c r="D972" s="63"/>
      <c r="E972" s="63"/>
      <c r="F972" s="63"/>
      <c r="G972" s="63"/>
    </row>
    <row r="984" spans="1:7" x14ac:dyDescent="0.25">
      <c r="A984" s="63" t="s">
        <v>472</v>
      </c>
      <c r="B984" s="63"/>
      <c r="C984" s="63"/>
      <c r="D984" s="63"/>
      <c r="E984" s="63"/>
      <c r="F984" s="63"/>
      <c r="G984" s="63"/>
    </row>
    <row r="985" spans="1:7" x14ac:dyDescent="0.25">
      <c r="A985" s="63" t="s">
        <v>254</v>
      </c>
      <c r="B985" s="63"/>
      <c r="C985" s="63"/>
      <c r="D985" s="63"/>
      <c r="E985" s="63"/>
      <c r="F985" s="63"/>
      <c r="G985" s="63"/>
    </row>
    <row r="986" spans="1:7" x14ac:dyDescent="0.25">
      <c r="A986" s="63" t="s">
        <v>255</v>
      </c>
      <c r="B986" s="63"/>
      <c r="C986" s="63"/>
      <c r="D986" s="63"/>
      <c r="E986" s="63"/>
      <c r="F986" s="63"/>
      <c r="G986" s="63"/>
    </row>
    <row r="987" spans="1:7" x14ac:dyDescent="0.25">
      <c r="A987" s="63" t="s">
        <v>473</v>
      </c>
      <c r="B987" s="63"/>
      <c r="C987" s="63"/>
      <c r="D987" s="63"/>
      <c r="E987" s="63"/>
      <c r="F987" s="63"/>
      <c r="G987" s="63"/>
    </row>
    <row r="988" spans="1:7" x14ac:dyDescent="0.25">
      <c r="A988" s="63" t="s">
        <v>254</v>
      </c>
      <c r="B988" s="63"/>
      <c r="C988" s="63"/>
      <c r="D988" s="63"/>
      <c r="E988" s="63"/>
      <c r="F988" s="63"/>
      <c r="G988" s="63"/>
    </row>
    <row r="989" spans="1:7" x14ac:dyDescent="0.25">
      <c r="A989" s="63" t="s">
        <v>255</v>
      </c>
      <c r="B989" s="63"/>
      <c r="C989" s="63"/>
      <c r="D989" s="63"/>
      <c r="E989" s="63"/>
      <c r="F989" s="63"/>
      <c r="G989" s="63"/>
    </row>
    <row r="990" spans="1:7" x14ac:dyDescent="0.25">
      <c r="A990" s="63" t="s">
        <v>474</v>
      </c>
      <c r="B990" s="63"/>
      <c r="C990" s="63"/>
      <c r="D990" s="63"/>
      <c r="E990" s="63"/>
      <c r="F990" s="63"/>
      <c r="G990" s="63"/>
    </row>
    <row r="991" spans="1:7" x14ac:dyDescent="0.25">
      <c r="A991" s="63" t="s">
        <v>254</v>
      </c>
      <c r="B991" s="63"/>
      <c r="C991" s="63"/>
      <c r="D991" s="63"/>
      <c r="E991" s="63"/>
      <c r="F991" s="63"/>
      <c r="G991" s="63"/>
    </row>
    <row r="992" spans="1:7" x14ac:dyDescent="0.25">
      <c r="A992" s="63" t="s">
        <v>255</v>
      </c>
      <c r="B992" s="63"/>
      <c r="C992" s="63"/>
      <c r="D992" s="63"/>
      <c r="E992" s="63"/>
      <c r="F992" s="63"/>
      <c r="G992" s="63"/>
    </row>
    <row r="993" spans="1:7" x14ac:dyDescent="0.25">
      <c r="A993" s="63" t="s">
        <v>475</v>
      </c>
      <c r="B993" s="63"/>
      <c r="C993" s="63"/>
      <c r="D993" s="63"/>
      <c r="E993" s="63"/>
      <c r="F993" s="63"/>
      <c r="G993" s="63"/>
    </row>
    <row r="1021" spans="1:7" x14ac:dyDescent="0.25">
      <c r="A1021" s="63" t="s">
        <v>476</v>
      </c>
      <c r="B1021" s="63"/>
      <c r="C1021" s="63"/>
      <c r="D1021" s="63"/>
      <c r="E1021" s="63"/>
      <c r="F1021" s="63"/>
      <c r="G1021" s="63"/>
    </row>
    <row r="1022" spans="1:7" x14ac:dyDescent="0.25">
      <c r="A1022" s="63" t="s">
        <v>254</v>
      </c>
      <c r="B1022" s="63"/>
      <c r="C1022" s="63"/>
      <c r="D1022" s="63"/>
      <c r="E1022" s="63"/>
      <c r="F1022" s="63"/>
      <c r="G1022" s="63"/>
    </row>
    <row r="1023" spans="1:7" x14ac:dyDescent="0.25">
      <c r="A1023" s="63" t="s">
        <v>255</v>
      </c>
      <c r="B1023" s="63"/>
      <c r="C1023" s="63"/>
      <c r="D1023" s="63"/>
      <c r="E1023" s="63"/>
      <c r="F1023" s="63"/>
      <c r="G1023" s="63"/>
    </row>
    <row r="1024" spans="1:7" x14ac:dyDescent="0.25">
      <c r="A1024" s="63" t="s">
        <v>477</v>
      </c>
      <c r="B1024" s="63"/>
      <c r="C1024" s="63"/>
      <c r="D1024" s="63"/>
      <c r="E1024" s="63"/>
      <c r="F1024" s="63"/>
      <c r="G1024" s="63"/>
    </row>
    <row r="1025" spans="1:7" x14ac:dyDescent="0.25">
      <c r="A1025" s="63" t="s">
        <v>254</v>
      </c>
      <c r="B1025" s="63"/>
      <c r="C1025" s="63"/>
      <c r="D1025" s="63"/>
      <c r="E1025" s="63"/>
      <c r="F1025" s="63"/>
      <c r="G1025" s="63"/>
    </row>
    <row r="1026" spans="1:7" x14ac:dyDescent="0.25">
      <c r="A1026" s="63" t="s">
        <v>255</v>
      </c>
      <c r="B1026" s="63"/>
      <c r="C1026" s="63"/>
      <c r="D1026" s="63"/>
      <c r="E1026" s="63"/>
      <c r="F1026" s="63"/>
      <c r="G1026" s="63"/>
    </row>
    <row r="1027" spans="1:7" x14ac:dyDescent="0.25">
      <c r="A1027" s="63" t="s">
        <v>478</v>
      </c>
      <c r="B1027" s="63"/>
      <c r="C1027" s="63"/>
      <c r="D1027" s="63"/>
      <c r="E1027" s="63"/>
      <c r="F1027" s="63"/>
      <c r="G1027" s="63"/>
    </row>
    <row r="1028" spans="1:7" x14ac:dyDescent="0.25">
      <c r="A1028" s="63" t="s">
        <v>254</v>
      </c>
      <c r="B1028" s="63"/>
      <c r="C1028" s="63"/>
      <c r="D1028" s="63"/>
      <c r="E1028" s="63"/>
      <c r="F1028" s="63"/>
      <c r="G1028" s="63"/>
    </row>
    <row r="1029" spans="1:7" x14ac:dyDescent="0.25">
      <c r="A1029" s="63" t="s">
        <v>255</v>
      </c>
      <c r="B1029" s="63"/>
      <c r="C1029" s="63"/>
      <c r="D1029" s="63"/>
      <c r="E1029" s="63"/>
      <c r="F1029" s="63"/>
      <c r="G1029" s="63"/>
    </row>
    <row r="1030" spans="1:7" x14ac:dyDescent="0.25">
      <c r="A1030" s="63" t="s">
        <v>479</v>
      </c>
      <c r="B1030" s="63"/>
      <c r="C1030" s="63"/>
      <c r="D1030" s="63"/>
      <c r="E1030" s="63"/>
      <c r="F1030" s="63"/>
      <c r="G1030" s="63"/>
    </row>
    <row r="1031" spans="1:7" x14ac:dyDescent="0.25">
      <c r="A1031" s="63" t="s">
        <v>254</v>
      </c>
      <c r="B1031" s="63"/>
      <c r="C1031" s="63"/>
      <c r="D1031" s="63"/>
      <c r="E1031" s="63"/>
      <c r="F1031" s="63"/>
      <c r="G1031" s="63"/>
    </row>
    <row r="1032" spans="1:7" x14ac:dyDescent="0.25">
      <c r="A1032" s="63" t="s">
        <v>255</v>
      </c>
      <c r="B1032" s="63"/>
      <c r="C1032" s="63"/>
      <c r="D1032" s="63"/>
      <c r="E1032" s="63"/>
      <c r="F1032" s="63"/>
      <c r="G1032" s="63"/>
    </row>
    <row r="1033" spans="1:7" x14ac:dyDescent="0.25">
      <c r="A1033" s="63" t="s">
        <v>480</v>
      </c>
      <c r="B1033" s="63"/>
      <c r="C1033" s="63"/>
      <c r="D1033" s="63"/>
      <c r="E1033" s="63"/>
      <c r="F1033" s="63"/>
      <c r="G1033" s="63"/>
    </row>
    <row r="1034" spans="1:7" x14ac:dyDescent="0.25">
      <c r="A1034" s="63" t="s">
        <v>254</v>
      </c>
      <c r="B1034" s="63"/>
      <c r="C1034" s="63"/>
      <c r="D1034" s="63"/>
      <c r="E1034" s="63"/>
      <c r="F1034" s="63"/>
      <c r="G1034" s="63"/>
    </row>
    <row r="1099" spans="1:7" x14ac:dyDescent="0.25">
      <c r="A1099" s="63" t="s">
        <v>481</v>
      </c>
      <c r="B1099" s="63"/>
      <c r="C1099" s="63"/>
      <c r="D1099" s="63"/>
      <c r="E1099" s="63"/>
      <c r="F1099" s="63"/>
      <c r="G1099" s="63"/>
    </row>
    <row r="1100" spans="1:7" x14ac:dyDescent="0.25">
      <c r="A1100" s="63" t="s">
        <v>254</v>
      </c>
      <c r="B1100" s="63"/>
      <c r="C1100" s="63"/>
      <c r="D1100" s="63"/>
      <c r="E1100" s="63"/>
      <c r="F1100" s="63"/>
      <c r="G1100" s="63"/>
    </row>
    <row r="1101" spans="1:7" x14ac:dyDescent="0.25">
      <c r="A1101" s="63" t="s">
        <v>255</v>
      </c>
      <c r="B1101" s="63"/>
      <c r="C1101" s="63"/>
      <c r="D1101" s="63"/>
      <c r="E1101" s="63"/>
      <c r="F1101" s="63"/>
      <c r="G1101" s="63"/>
    </row>
    <row r="1102" spans="1:7" x14ac:dyDescent="0.25">
      <c r="A1102" s="63" t="s">
        <v>482</v>
      </c>
      <c r="B1102" s="63"/>
      <c r="C1102" s="63"/>
      <c r="D1102" s="63"/>
      <c r="E1102" s="63"/>
      <c r="F1102" s="63"/>
      <c r="G1102" s="63"/>
    </row>
    <row r="1103" spans="1:7" x14ac:dyDescent="0.25">
      <c r="A1103" s="63" t="s">
        <v>254</v>
      </c>
      <c r="B1103" s="63"/>
      <c r="C1103" s="63"/>
      <c r="D1103" s="63"/>
      <c r="E1103" s="63"/>
      <c r="F1103" s="63"/>
      <c r="G1103" s="63"/>
    </row>
    <row r="1104" spans="1:7" x14ac:dyDescent="0.25">
      <c r="A1104" s="63" t="s">
        <v>255</v>
      </c>
      <c r="B1104" s="63"/>
      <c r="C1104" s="63"/>
      <c r="D1104" s="63"/>
      <c r="E1104" s="63"/>
      <c r="F1104" s="63"/>
      <c r="G1104" s="63"/>
    </row>
    <row r="1105" spans="1:7" x14ac:dyDescent="0.25">
      <c r="A1105" s="63" t="s">
        <v>483</v>
      </c>
      <c r="B1105" s="63"/>
      <c r="C1105" s="63"/>
      <c r="D1105" s="63"/>
      <c r="E1105" s="63"/>
      <c r="F1105" s="63"/>
      <c r="G1105" s="63"/>
    </row>
    <row r="1106" spans="1:7" x14ac:dyDescent="0.25">
      <c r="A1106" s="63">
        <v>42761</v>
      </c>
      <c r="B1106" s="35" t="s">
        <v>484</v>
      </c>
      <c r="C1106" s="35">
        <v>44454</v>
      </c>
      <c r="D1106" s="35" t="s">
        <v>485</v>
      </c>
      <c r="E1106" s="35" t="s">
        <v>486</v>
      </c>
    </row>
    <row r="1107" spans="1:7" x14ac:dyDescent="0.25">
      <c r="A1107" s="63">
        <v>42761</v>
      </c>
      <c r="B1107" s="35" t="s">
        <v>484</v>
      </c>
      <c r="C1107" s="35">
        <v>45024</v>
      </c>
      <c r="D1107" s="35" t="s">
        <v>487</v>
      </c>
      <c r="E1107" s="35" t="s">
        <v>486</v>
      </c>
    </row>
    <row r="1108" spans="1:7" x14ac:dyDescent="0.25">
      <c r="A1108" s="63">
        <v>42766</v>
      </c>
      <c r="B1108" s="35" t="s">
        <v>484</v>
      </c>
      <c r="C1108" s="35">
        <v>44570</v>
      </c>
      <c r="D1108" s="35" t="s">
        <v>488</v>
      </c>
      <c r="E1108" s="35" t="s">
        <v>489</v>
      </c>
    </row>
    <row r="1109" spans="1:7" x14ac:dyDescent="0.25">
      <c r="A1109" s="63">
        <v>42766</v>
      </c>
      <c r="B1109" s="35" t="s">
        <v>484</v>
      </c>
      <c r="C1109" s="35">
        <v>44571</v>
      </c>
      <c r="D1109" s="35" t="s">
        <v>490</v>
      </c>
      <c r="E1109" s="35" t="s">
        <v>491</v>
      </c>
    </row>
    <row r="1110" spans="1:7" x14ac:dyDescent="0.25">
      <c r="A1110" s="63">
        <v>42766</v>
      </c>
      <c r="B1110" s="35" t="s">
        <v>484</v>
      </c>
      <c r="C1110" s="35">
        <v>44572</v>
      </c>
      <c r="D1110" s="35" t="s">
        <v>492</v>
      </c>
      <c r="E1110" s="35" t="s">
        <v>489</v>
      </c>
    </row>
    <row r="1111" spans="1:7" x14ac:dyDescent="0.25">
      <c r="A1111" s="63" t="s">
        <v>254</v>
      </c>
      <c r="B1111" s="63"/>
      <c r="C1111" s="63"/>
      <c r="D1111" s="63"/>
      <c r="E1111" s="63"/>
      <c r="F1111" s="63"/>
      <c r="G1111" s="63"/>
    </row>
    <row r="1112" spans="1:7" x14ac:dyDescent="0.25">
      <c r="A1112" s="63" t="s">
        <v>255</v>
      </c>
      <c r="B1112" s="63"/>
      <c r="C1112" s="63"/>
      <c r="D1112" s="63"/>
      <c r="E1112" s="63"/>
      <c r="F1112" s="63"/>
      <c r="G1112" s="63"/>
    </row>
    <row r="1113" spans="1:7" x14ac:dyDescent="0.25">
      <c r="A1113" s="63" t="s">
        <v>493</v>
      </c>
      <c r="B1113" s="63"/>
      <c r="C1113" s="63"/>
      <c r="D1113" s="63"/>
      <c r="E1113" s="63"/>
      <c r="F1113" s="63"/>
      <c r="G1113" s="63"/>
    </row>
    <row r="1114" spans="1:7" x14ac:dyDescent="0.25">
      <c r="A1114" s="63" t="s">
        <v>254</v>
      </c>
      <c r="B1114" s="63"/>
      <c r="C1114" s="63"/>
      <c r="D1114" s="63"/>
      <c r="E1114" s="63"/>
      <c r="F1114" s="63"/>
      <c r="G1114" s="63"/>
    </row>
    <row r="1115" spans="1:7" x14ac:dyDescent="0.25">
      <c r="A1115" s="63" t="s">
        <v>255</v>
      </c>
      <c r="B1115" s="63"/>
      <c r="C1115" s="63"/>
      <c r="D1115" s="63"/>
      <c r="E1115" s="63"/>
      <c r="F1115" s="63"/>
      <c r="G1115" s="63"/>
    </row>
    <row r="1128" spans="1:7" x14ac:dyDescent="0.25">
      <c r="A1128" s="63" t="s">
        <v>254</v>
      </c>
    </row>
    <row r="1129" spans="1:7" x14ac:dyDescent="0.25">
      <c r="A1129" s="63" t="s">
        <v>255</v>
      </c>
      <c r="B1129" s="63"/>
      <c r="C1129" s="63"/>
      <c r="D1129" s="63"/>
      <c r="E1129" s="63"/>
      <c r="F1129" s="63"/>
      <c r="G1129" s="63"/>
    </row>
    <row r="1130" spans="1:7" x14ac:dyDescent="0.25">
      <c r="A1130" s="63" t="s">
        <v>494</v>
      </c>
      <c r="B1130" s="63"/>
      <c r="C1130" s="63"/>
      <c r="D1130" s="63"/>
      <c r="E1130" s="63"/>
      <c r="F1130" s="63"/>
      <c r="G1130" s="63"/>
    </row>
    <row r="1131" spans="1:7" x14ac:dyDescent="0.25">
      <c r="A1131" s="63" t="s">
        <v>254</v>
      </c>
      <c r="B1131" s="63"/>
      <c r="C1131" s="63"/>
      <c r="D1131" s="63"/>
      <c r="E1131" s="63"/>
      <c r="F1131" s="63"/>
      <c r="G1131" s="63"/>
    </row>
    <row r="1132" spans="1:7" x14ac:dyDescent="0.25">
      <c r="A1132" s="63" t="s">
        <v>255</v>
      </c>
      <c r="B1132" s="63"/>
      <c r="C1132" s="63"/>
      <c r="D1132" s="63"/>
      <c r="E1132" s="63"/>
      <c r="F1132" s="63"/>
      <c r="G1132" s="63"/>
    </row>
    <row r="1133" spans="1:7" x14ac:dyDescent="0.25">
      <c r="A1133" s="63" t="s">
        <v>495</v>
      </c>
      <c r="B1133" s="63"/>
      <c r="C1133" s="63"/>
      <c r="D1133" s="63"/>
      <c r="E1133" s="63"/>
      <c r="F1133" s="63"/>
      <c r="G1133" s="63"/>
    </row>
    <row r="1134" spans="1:7" x14ac:dyDescent="0.25">
      <c r="A1134" s="63" t="s">
        <v>254</v>
      </c>
      <c r="B1134" s="63"/>
      <c r="C1134" s="63"/>
      <c r="D1134" s="63"/>
      <c r="E1134" s="63"/>
      <c r="F1134" s="63"/>
      <c r="G1134" s="63"/>
    </row>
    <row r="1135" spans="1:7" x14ac:dyDescent="0.25">
      <c r="A1135" s="63" t="s">
        <v>255</v>
      </c>
      <c r="B1135" s="63"/>
      <c r="C1135" s="63"/>
      <c r="D1135" s="63"/>
      <c r="E1135" s="63"/>
      <c r="F1135" s="63"/>
      <c r="G1135" s="63"/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rgb="FF00B050"/>
  </sheetPr>
  <dimension ref="B1:M30"/>
  <sheetViews>
    <sheetView topLeftCell="A17" zoomScale="85" zoomScaleNormal="85" workbookViewId="0">
      <selection activeCell="L30" sqref="L30"/>
    </sheetView>
  </sheetViews>
  <sheetFormatPr baseColWidth="10" defaultColWidth="9.140625" defaultRowHeight="15" x14ac:dyDescent="0.25"/>
  <cols>
    <col min="1" max="1" width="7" customWidth="1"/>
    <col min="2" max="2" width="2" customWidth="1"/>
    <col min="3" max="3" width="23.5703125" customWidth="1"/>
    <col min="4" max="4" width="26.28515625" customWidth="1"/>
    <col min="5" max="5" width="15.5703125" customWidth="1"/>
    <col min="6" max="6" width="8" customWidth="1"/>
    <col min="7" max="7" width="24" customWidth="1"/>
    <col min="8" max="8" width="10.28515625" customWidth="1"/>
    <col min="9" max="9" width="13.7109375" customWidth="1"/>
    <col min="10" max="10" width="1.85546875" customWidth="1"/>
    <col min="12" max="12" width="11.28515625" bestFit="1" customWidth="1"/>
  </cols>
  <sheetData>
    <row r="1" spans="2:13" x14ac:dyDescent="0.25">
      <c r="D1" s="340">
        <f>'P&amp;L analyt 12-24'!D4</f>
        <v>3.3654000000000002</v>
      </c>
      <c r="E1" s="341">
        <f>'P&amp;L analyt 12-24'!G4</f>
        <v>3.3582999999999998</v>
      </c>
      <c r="F1" s="341"/>
      <c r="G1" s="340">
        <v>3.35</v>
      </c>
    </row>
    <row r="2" spans="2:13" ht="15.75" thickBot="1" x14ac:dyDescent="0.3">
      <c r="E2" s="274"/>
      <c r="F2" s="274"/>
    </row>
    <row r="3" spans="2:13" ht="36.75" thickBot="1" x14ac:dyDescent="0.6">
      <c r="B3" s="275" t="s">
        <v>7377</v>
      </c>
      <c r="C3" s="276"/>
      <c r="D3" s="276"/>
      <c r="E3" s="277"/>
      <c r="F3" s="277"/>
      <c r="G3" s="276"/>
      <c r="H3" s="276"/>
      <c r="I3" s="276"/>
      <c r="J3" s="278"/>
    </row>
    <row r="4" spans="2:13" ht="30.75" thickBot="1" x14ac:dyDescent="0.3">
      <c r="B4" s="279"/>
      <c r="C4" s="280" t="s">
        <v>7378</v>
      </c>
      <c r="D4" s="320" t="s">
        <v>10438</v>
      </c>
      <c r="E4" s="321" t="s">
        <v>10439</v>
      </c>
      <c r="F4" s="316" t="s">
        <v>7707</v>
      </c>
      <c r="G4" s="322" t="s">
        <v>10440</v>
      </c>
      <c r="H4" s="316" t="s">
        <v>7708</v>
      </c>
      <c r="I4" s="316" t="s">
        <v>7709</v>
      </c>
      <c r="J4" s="281"/>
    </row>
    <row r="5" spans="2:13" ht="16.5" thickBot="1" x14ac:dyDescent="0.3">
      <c r="B5" s="279"/>
      <c r="C5" s="282" t="s">
        <v>7379</v>
      </c>
      <c r="D5" s="323">
        <f>+D6+D7</f>
        <v>476603</v>
      </c>
      <c r="E5" s="323">
        <f>+E6+E7</f>
        <v>372261</v>
      </c>
      <c r="F5" s="317">
        <f>+(D5-E5)/E5</f>
        <v>0.28029259041371513</v>
      </c>
      <c r="G5" s="323">
        <f>+G6+G7</f>
        <v>481452</v>
      </c>
      <c r="H5" s="317">
        <f>+(D5-G5)/G5</f>
        <v>-1.0071616692837499E-2</v>
      </c>
      <c r="I5" s="283">
        <f>+D5-G5</f>
        <v>-4849</v>
      </c>
      <c r="J5" s="281"/>
    </row>
    <row r="6" spans="2:13" ht="15.75" thickBot="1" x14ac:dyDescent="0.3">
      <c r="B6" s="279"/>
      <c r="C6" s="338" t="s">
        <v>7380</v>
      </c>
      <c r="D6" s="327">
        <v>220881</v>
      </c>
      <c r="E6" s="327">
        <v>208609</v>
      </c>
      <c r="F6" s="328">
        <f t="shared" ref="F6:F13" si="0">+(D6-E6)/E6</f>
        <v>5.8827759109146775E-2</v>
      </c>
      <c r="G6" s="327">
        <v>227666</v>
      </c>
      <c r="H6" s="328">
        <f t="shared" ref="H6:H13" si="1">+(D6-G6)/G6</f>
        <v>-2.9802429875343706E-2</v>
      </c>
      <c r="I6" s="329">
        <f>+D6-G6</f>
        <v>-6785</v>
      </c>
      <c r="J6" s="281"/>
    </row>
    <row r="7" spans="2:13" ht="15.75" thickBot="1" x14ac:dyDescent="0.3">
      <c r="B7" s="279"/>
      <c r="C7" s="338" t="s">
        <v>7381</v>
      </c>
      <c r="D7" s="327">
        <v>255722</v>
      </c>
      <c r="E7" s="327">
        <v>163652</v>
      </c>
      <c r="F7" s="328">
        <f t="shared" si="0"/>
        <v>0.56259624080365656</v>
      </c>
      <c r="G7" s="327">
        <v>253786</v>
      </c>
      <c r="H7" s="328">
        <f t="shared" si="1"/>
        <v>7.6284743839297679E-3</v>
      </c>
      <c r="I7" s="329">
        <f t="shared" ref="I7:I13" si="2">+D7-G7</f>
        <v>1936</v>
      </c>
      <c r="J7" s="281"/>
    </row>
    <row r="8" spans="2:13" ht="15.75" thickBot="1" x14ac:dyDescent="0.3">
      <c r="B8" s="279"/>
      <c r="C8" s="491" t="s">
        <v>7710</v>
      </c>
      <c r="D8" s="329">
        <v>1331380</v>
      </c>
      <c r="E8" s="329">
        <v>95517</v>
      </c>
      <c r="F8" s="328">
        <f t="shared" si="0"/>
        <v>12.938670603138709</v>
      </c>
      <c r="G8" s="329">
        <v>192954</v>
      </c>
      <c r="H8" s="328">
        <f t="shared" ref="H8:H11" si="3">+(D8-G8)/G8</f>
        <v>5.8999865252858195</v>
      </c>
      <c r="I8" s="329">
        <f t="shared" ref="I8:I11" si="4">+D8-G8</f>
        <v>1138426</v>
      </c>
      <c r="J8" s="281"/>
      <c r="L8" s="291"/>
    </row>
    <row r="9" spans="2:13" ht="16.5" thickBot="1" x14ac:dyDescent="0.3">
      <c r="B9" s="279"/>
      <c r="C9" s="334" t="s">
        <v>7712</v>
      </c>
      <c r="D9" s="335">
        <f>+'P&amp;L 12-24'!F11</f>
        <v>80013375.68599999</v>
      </c>
      <c r="E9" s="335">
        <f>'P&amp;L 12-24'!H11</f>
        <v>52058028.233379997</v>
      </c>
      <c r="F9" s="336">
        <f>+(D9-E9)/E9</f>
        <v>0.53700357853152059</v>
      </c>
      <c r="G9" s="335">
        <v>57528185</v>
      </c>
      <c r="H9" s="336">
        <f>+(D9-G9)/G9</f>
        <v>0.39085520751263036</v>
      </c>
      <c r="I9" s="337">
        <f>+D9-G9</f>
        <v>22485190.68599999</v>
      </c>
      <c r="J9" s="281"/>
      <c r="L9" s="493"/>
    </row>
    <row r="10" spans="2:13" ht="15.75" thickBot="1" x14ac:dyDescent="0.3">
      <c r="B10" s="279"/>
      <c r="C10" s="330" t="s">
        <v>7713</v>
      </c>
      <c r="D10" s="331">
        <v>62118241.407999992</v>
      </c>
      <c r="E10" s="331">
        <v>49103769.653379999</v>
      </c>
      <c r="F10" s="332">
        <f t="shared" si="0"/>
        <v>0.26504017606974412</v>
      </c>
      <c r="G10" s="331">
        <v>60122495</v>
      </c>
      <c r="H10" s="332">
        <f t="shared" si="3"/>
        <v>3.319467044739232E-2</v>
      </c>
      <c r="I10" s="333">
        <f t="shared" si="4"/>
        <v>1995746.4079999924</v>
      </c>
      <c r="J10" s="281"/>
      <c r="L10" s="291"/>
      <c r="M10" s="291"/>
    </row>
    <row r="11" spans="2:13" ht="15.75" thickBot="1" x14ac:dyDescent="0.3">
      <c r="B11" s="279"/>
      <c r="C11" s="330" t="s">
        <v>7714</v>
      </c>
      <c r="D11" s="331">
        <v>16452479</v>
      </c>
      <c r="E11" s="331">
        <v>1205905</v>
      </c>
      <c r="F11" s="332">
        <f t="shared" si="0"/>
        <v>12.643262943598376</v>
      </c>
      <c r="G11" s="331">
        <v>2272571</v>
      </c>
      <c r="H11" s="332">
        <f t="shared" si="3"/>
        <v>6.2395885541089804</v>
      </c>
      <c r="I11" s="333">
        <f t="shared" si="4"/>
        <v>14179908</v>
      </c>
      <c r="J11" s="281"/>
    </row>
    <row r="12" spans="2:13" ht="15.75" thickBot="1" x14ac:dyDescent="0.3">
      <c r="B12" s="279"/>
      <c r="C12" s="330" t="s">
        <v>7711</v>
      </c>
      <c r="D12" s="331">
        <v>1376462.0130000003</v>
      </c>
      <c r="E12" s="331">
        <v>1748353.58</v>
      </c>
      <c r="F12" s="332">
        <f>+(D12-E12)/E12</f>
        <v>-0.21270958646705765</v>
      </c>
      <c r="G12" s="331">
        <v>250000</v>
      </c>
      <c r="H12" s="332">
        <f>+(D12-G12)/G12</f>
        <v>4.505848052000001</v>
      </c>
      <c r="I12" s="333">
        <f>+D12-G12</f>
        <v>1126462.0130000003</v>
      </c>
      <c r="J12" s="281"/>
      <c r="L12" s="291"/>
    </row>
    <row r="13" spans="2:13" ht="16.5" thickBot="1" x14ac:dyDescent="0.3">
      <c r="B13" s="279"/>
      <c r="C13" s="284" t="s">
        <v>514</v>
      </c>
      <c r="D13" s="324">
        <f>+'P&amp;L 12-24'!F28</f>
        <v>15788103.514559496</v>
      </c>
      <c r="E13" s="324">
        <f>+'P&amp;L 12-24'!H28</f>
        <v>9232129.7307065278</v>
      </c>
      <c r="F13" s="317">
        <f t="shared" si="0"/>
        <v>0.71012582958485404</v>
      </c>
      <c r="G13" s="324">
        <v>12035235.648879457</v>
      </c>
      <c r="H13" s="317">
        <f t="shared" si="1"/>
        <v>0.31182338054423142</v>
      </c>
      <c r="I13" s="283">
        <f t="shared" si="2"/>
        <v>3752867.8656800389</v>
      </c>
      <c r="J13" s="281"/>
      <c r="L13" s="291"/>
    </row>
    <row r="14" spans="2:13" ht="15.75" thickBot="1" x14ac:dyDescent="0.3">
      <c r="B14" s="279"/>
      <c r="C14" s="284" t="s">
        <v>7382</v>
      </c>
      <c r="D14" s="285">
        <f>+D13/D9</f>
        <v>0.19731830308619205</v>
      </c>
      <c r="E14" s="285">
        <f>+E13/E9</f>
        <v>0.17734305435692274</v>
      </c>
      <c r="F14" s="318">
        <f>+D14-E14</f>
        <v>1.9975248729269313E-2</v>
      </c>
      <c r="G14" s="285">
        <f>+G13/G9</f>
        <v>0.20920589879342547</v>
      </c>
      <c r="H14" s="318">
        <f>+D14-G14</f>
        <v>-1.1887595707233412E-2</v>
      </c>
      <c r="I14" s="319"/>
      <c r="J14" s="281"/>
    </row>
    <row r="15" spans="2:13" ht="15.75" thickBot="1" x14ac:dyDescent="0.3">
      <c r="B15" s="286"/>
      <c r="C15" s="287"/>
      <c r="D15" s="326"/>
      <c r="E15" s="288"/>
      <c r="F15" s="288"/>
      <c r="G15" s="287"/>
      <c r="H15" s="287"/>
      <c r="I15" s="287"/>
      <c r="J15" s="289"/>
    </row>
    <row r="16" spans="2:13" ht="15.75" x14ac:dyDescent="0.25">
      <c r="C16" s="290"/>
      <c r="D16" s="291"/>
      <c r="E16" s="292"/>
      <c r="F16" s="292"/>
    </row>
    <row r="17" spans="2:10" ht="31.5" customHeight="1" thickBot="1" x14ac:dyDescent="0.6">
      <c r="B17" s="293"/>
      <c r="E17" s="274"/>
      <c r="F17" s="274"/>
    </row>
    <row r="18" spans="2:10" ht="36.75" thickBot="1" x14ac:dyDescent="0.6">
      <c r="B18" s="275" t="s">
        <v>7383</v>
      </c>
      <c r="C18" s="276"/>
      <c r="D18" s="276"/>
      <c r="E18" s="277"/>
      <c r="F18" s="277"/>
      <c r="G18" s="276"/>
      <c r="H18" s="276"/>
      <c r="I18" s="276"/>
      <c r="J18" s="278"/>
    </row>
    <row r="19" spans="2:10" ht="30.75" thickBot="1" x14ac:dyDescent="0.3">
      <c r="B19" s="279"/>
      <c r="C19" s="280" t="s">
        <v>7384</v>
      </c>
      <c r="D19" s="320" t="s">
        <v>10438</v>
      </c>
      <c r="E19" s="321" t="s">
        <v>10439</v>
      </c>
      <c r="F19" s="316" t="s">
        <v>7707</v>
      </c>
      <c r="G19" s="322" t="s">
        <v>10440</v>
      </c>
      <c r="H19" s="316" t="s">
        <v>7708</v>
      </c>
      <c r="I19" s="316" t="s">
        <v>7709</v>
      </c>
      <c r="J19" s="281"/>
    </row>
    <row r="20" spans="2:10" ht="16.5" thickBot="1" x14ac:dyDescent="0.3">
      <c r="B20" s="279"/>
      <c r="C20" s="282" t="s">
        <v>7379</v>
      </c>
      <c r="D20" s="323">
        <f t="shared" ref="D20:E23" si="5">+D5</f>
        <v>476603</v>
      </c>
      <c r="E20" s="323">
        <f t="shared" si="5"/>
        <v>372261</v>
      </c>
      <c r="F20" s="317">
        <f>+(D20-E20)/E20</f>
        <v>0.28029259041371513</v>
      </c>
      <c r="G20" s="323">
        <f>+G5</f>
        <v>481452</v>
      </c>
      <c r="H20" s="317">
        <f>+(D20-G20)/G20</f>
        <v>-1.0071616692837499E-2</v>
      </c>
      <c r="I20" s="283">
        <f t="shared" ref="I20:I28" si="6">+D20-G20</f>
        <v>-4849</v>
      </c>
      <c r="J20" s="281"/>
    </row>
    <row r="21" spans="2:10" ht="15.75" thickBot="1" x14ac:dyDescent="0.3">
      <c r="B21" s="279"/>
      <c r="C21" s="338" t="s">
        <v>7380</v>
      </c>
      <c r="D21" s="327">
        <f t="shared" si="5"/>
        <v>220881</v>
      </c>
      <c r="E21" s="327">
        <f t="shared" si="5"/>
        <v>208609</v>
      </c>
      <c r="F21" s="328">
        <f>+(D21-E21)/E21</f>
        <v>5.8827759109146775E-2</v>
      </c>
      <c r="G21" s="327">
        <f>+G6</f>
        <v>227666</v>
      </c>
      <c r="H21" s="328">
        <f t="shared" ref="H21:H28" si="7">+(D21-G21)/G21</f>
        <v>-2.9802429875343706E-2</v>
      </c>
      <c r="I21" s="329">
        <f t="shared" si="6"/>
        <v>-6785</v>
      </c>
      <c r="J21" s="281"/>
    </row>
    <row r="22" spans="2:10" ht="15.75" thickBot="1" x14ac:dyDescent="0.3">
      <c r="B22" s="279"/>
      <c r="C22" s="338" t="s">
        <v>7381</v>
      </c>
      <c r="D22" s="327">
        <f t="shared" si="5"/>
        <v>255722</v>
      </c>
      <c r="E22" s="327">
        <f t="shared" si="5"/>
        <v>163652</v>
      </c>
      <c r="F22" s="328">
        <f>+(D22-E22)/E22</f>
        <v>0.56259624080365656</v>
      </c>
      <c r="G22" s="327">
        <f>+G7</f>
        <v>253786</v>
      </c>
      <c r="H22" s="328">
        <f t="shared" si="7"/>
        <v>7.6284743839297679E-3</v>
      </c>
      <c r="I22" s="329">
        <f t="shared" si="6"/>
        <v>1936</v>
      </c>
      <c r="J22" s="281"/>
    </row>
    <row r="23" spans="2:10" ht="15.75" thickBot="1" x14ac:dyDescent="0.3">
      <c r="B23" s="279"/>
      <c r="C23" s="492" t="s">
        <v>7710</v>
      </c>
      <c r="D23" s="329">
        <f t="shared" si="5"/>
        <v>1331380</v>
      </c>
      <c r="E23" s="329">
        <f t="shared" si="5"/>
        <v>95517</v>
      </c>
      <c r="F23" s="328">
        <f t="shared" ref="F23:F25" si="8">+(D23-E23)/E23</f>
        <v>12.938670603138709</v>
      </c>
      <c r="G23" s="329">
        <f>+G8</f>
        <v>192954</v>
      </c>
      <c r="H23" s="328">
        <f t="shared" si="7"/>
        <v>5.8999865252858195</v>
      </c>
      <c r="I23" s="329">
        <f t="shared" si="6"/>
        <v>1138426</v>
      </c>
      <c r="J23" s="281"/>
    </row>
    <row r="24" spans="2:10" ht="16.5" thickBot="1" x14ac:dyDescent="0.3">
      <c r="B24" s="279"/>
      <c r="C24" s="334" t="s">
        <v>7712</v>
      </c>
      <c r="D24" s="335">
        <f>+D9/$D$1</f>
        <v>23775294.373922858</v>
      </c>
      <c r="E24" s="335">
        <f>+E9/$E$1</f>
        <v>15501303.70526159</v>
      </c>
      <c r="F24" s="336">
        <f>+(D24-E24)/E24</f>
        <v>0.5337609549481207</v>
      </c>
      <c r="G24" s="335">
        <f>+G9/$G$1</f>
        <v>17172592.537313432</v>
      </c>
      <c r="H24" s="336">
        <f>+(D24-G24)/G24</f>
        <v>0.38449068317802104</v>
      </c>
      <c r="I24" s="337">
        <f>+D24-G24</f>
        <v>6602701.8366094269</v>
      </c>
      <c r="J24" s="281"/>
    </row>
    <row r="25" spans="2:10" ht="15.75" thickBot="1" x14ac:dyDescent="0.3">
      <c r="B25" s="279"/>
      <c r="C25" s="330" t="s">
        <v>7713</v>
      </c>
      <c r="D25" s="331">
        <f>+D10/$D$1</f>
        <v>18457907.353657808</v>
      </c>
      <c r="E25" s="331">
        <f>+E10/$D$1</f>
        <v>14590767.710637664</v>
      </c>
      <c r="F25" s="332">
        <f t="shared" si="8"/>
        <v>0.26504017606974412</v>
      </c>
      <c r="G25" s="331">
        <f>+G10/$D$1</f>
        <v>17864888.274796456</v>
      </c>
      <c r="H25" s="332">
        <f t="shared" si="7"/>
        <v>3.3194670447392355E-2</v>
      </c>
      <c r="I25" s="333">
        <f t="shared" si="6"/>
        <v>593019.07886135206</v>
      </c>
      <c r="J25" s="281"/>
    </row>
    <row r="26" spans="2:10" ht="15.75" thickBot="1" x14ac:dyDescent="0.3">
      <c r="B26" s="279"/>
      <c r="C26" s="330" t="s">
        <v>7714</v>
      </c>
      <c r="D26" s="331">
        <f>+D11/$D$1</f>
        <v>4888714.2687347708</v>
      </c>
      <c r="E26" s="331">
        <f>+E11/$D$1</f>
        <v>358324.41908836988</v>
      </c>
      <c r="F26" s="332">
        <f t="shared" ref="F26" si="9">+(D26-E26)/E26</f>
        <v>12.643262943598375</v>
      </c>
      <c r="G26" s="331">
        <f>+G11/$D$1</f>
        <v>675275.15302787186</v>
      </c>
      <c r="H26" s="332">
        <f t="shared" si="7"/>
        <v>6.2395885541089804</v>
      </c>
      <c r="I26" s="333">
        <f t="shared" si="6"/>
        <v>4213439.1157068992</v>
      </c>
      <c r="J26" s="281"/>
    </row>
    <row r="27" spans="2:10" ht="15.75" thickBot="1" x14ac:dyDescent="0.3">
      <c r="B27" s="279"/>
      <c r="C27" s="330" t="s">
        <v>7711</v>
      </c>
      <c r="D27" s="331">
        <f>+D12/$D$1</f>
        <v>409003.98555892322</v>
      </c>
      <c r="E27" s="331">
        <f>+E12/$D$1</f>
        <v>519508.40316158556</v>
      </c>
      <c r="F27" s="332">
        <f t="shared" ref="F27" si="10">+(D27-E27)/E27</f>
        <v>-0.21270958646705768</v>
      </c>
      <c r="G27" s="331">
        <f>+G12/$D$1</f>
        <v>74285.374695429957</v>
      </c>
      <c r="H27" s="332">
        <f>+(D27-G27)/G27</f>
        <v>4.5058480520000019</v>
      </c>
      <c r="I27" s="333">
        <f>+D27-G27</f>
        <v>334718.61086349329</v>
      </c>
      <c r="J27" s="281"/>
    </row>
    <row r="28" spans="2:10" ht="16.5" thickBot="1" x14ac:dyDescent="0.3">
      <c r="B28" s="279"/>
      <c r="C28" s="284" t="s">
        <v>514</v>
      </c>
      <c r="D28" s="324">
        <f>+D13/$D$1</f>
        <v>4691300.7412371477</v>
      </c>
      <c r="E28" s="324">
        <f>+E13/$E$1</f>
        <v>2749048.545605374</v>
      </c>
      <c r="F28" s="317">
        <f t="shared" ref="F28" si="11">+(D28-E28)/E28</f>
        <v>0.70651796918488607</v>
      </c>
      <c r="G28" s="324">
        <f>+G13/$G$1</f>
        <v>3592607.6563819274</v>
      </c>
      <c r="H28" s="317">
        <f t="shared" si="7"/>
        <v>0.30582050419658158</v>
      </c>
      <c r="I28" s="283">
        <f t="shared" si="6"/>
        <v>1098693.0848552203</v>
      </c>
      <c r="J28" s="281"/>
    </row>
    <row r="29" spans="2:10" ht="15.75" thickBot="1" x14ac:dyDescent="0.3">
      <c r="B29" s="279"/>
      <c r="C29" s="284" t="s">
        <v>7382</v>
      </c>
      <c r="D29" s="285">
        <f>+D28/D24</f>
        <v>0.19731830308619208</v>
      </c>
      <c r="E29" s="285">
        <f>+E28/E24</f>
        <v>0.17734305435692274</v>
      </c>
      <c r="F29" s="318">
        <f>+D29-E29</f>
        <v>1.997524872926934E-2</v>
      </c>
      <c r="G29" s="285">
        <f>+G28/G24</f>
        <v>0.20920589879342549</v>
      </c>
      <c r="H29" s="318">
        <f>+D29-G29</f>
        <v>-1.1887595707233412E-2</v>
      </c>
      <c r="I29" s="319"/>
      <c r="J29" s="281"/>
    </row>
    <row r="30" spans="2:10" ht="15.75" thickBot="1" x14ac:dyDescent="0.3">
      <c r="B30" s="286"/>
      <c r="C30" s="287"/>
      <c r="D30" s="287"/>
      <c r="E30" s="288"/>
      <c r="F30" s="288"/>
      <c r="G30" s="287"/>
      <c r="H30" s="287"/>
      <c r="I30" s="287"/>
      <c r="J30" s="289"/>
    </row>
  </sheetData>
  <conditionalFormatting sqref="F5:F14 H5:I14 F20:F29 H20:I29">
    <cfRule type="cellIs" dxfId="20" priority="1" operator="greaterThan">
      <formula>0</formula>
    </cfRule>
    <cfRule type="cellIs" dxfId="19" priority="2" operator="lessThan">
      <formula>0</formula>
    </cfRule>
  </conditionalFormatting>
  <pageMargins left="0.7" right="0.7" top="0.75" bottom="0.75" header="0.3" footer="0.3"/>
  <ignoredErrors>
    <ignoredError sqref="F20:F29 F5:F14" 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rgb="FF00B050"/>
  </sheetPr>
  <dimension ref="A1:J1610"/>
  <sheetViews>
    <sheetView tabSelected="1" topLeftCell="A173" workbookViewId="0">
      <selection activeCell="G182" sqref="G182"/>
    </sheetView>
  </sheetViews>
  <sheetFormatPr baseColWidth="10" defaultRowHeight="15.75" x14ac:dyDescent="0.25"/>
  <cols>
    <col min="1" max="1" width="3.140625" style="363" customWidth="1"/>
    <col min="2" max="2" width="44.7109375" style="356" customWidth="1"/>
    <col min="3" max="3" width="19" style="356" customWidth="1"/>
    <col min="4" max="4" width="17.85546875" style="356" bestFit="1" customWidth="1"/>
    <col min="5" max="5" width="17.140625" style="356" bestFit="1" customWidth="1"/>
    <col min="6" max="6" width="14.28515625" style="356" customWidth="1"/>
    <col min="7" max="7" width="17.42578125" style="356"/>
    <col min="8" max="8" width="16.28515625" style="356" bestFit="1" customWidth="1"/>
    <col min="9" max="9" width="14.140625" style="356" bestFit="1" customWidth="1"/>
    <col min="10" max="16384" width="11.42578125" style="356"/>
  </cols>
  <sheetData>
    <row r="1" spans="1:5" ht="12" customHeight="1" x14ac:dyDescent="0.25">
      <c r="A1" s="352"/>
      <c r="B1" s="353"/>
      <c r="C1" s="354"/>
      <c r="D1" s="354"/>
      <c r="E1" s="355"/>
    </row>
    <row r="2" spans="1:5" s="358" customFormat="1" ht="20.100000000000001" customHeight="1" x14ac:dyDescent="0.25">
      <c r="A2" s="357"/>
      <c r="B2" s="863" t="s">
        <v>8896</v>
      </c>
      <c r="C2" s="864"/>
      <c r="D2" s="864"/>
      <c r="E2" s="865"/>
    </row>
    <row r="3" spans="1:5" s="358" customFormat="1" ht="20.100000000000001" customHeight="1" x14ac:dyDescent="0.25">
      <c r="A3" s="357"/>
      <c r="B3" s="863" t="s">
        <v>10428</v>
      </c>
      <c r="C3" s="864"/>
      <c r="D3" s="864"/>
      <c r="E3" s="865"/>
    </row>
    <row r="4" spans="1:5" ht="12" customHeight="1" thickBot="1" x14ac:dyDescent="0.3">
      <c r="A4" s="352"/>
      <c r="B4" s="359"/>
      <c r="C4" s="360"/>
      <c r="D4" s="360"/>
      <c r="E4" s="361"/>
    </row>
    <row r="5" spans="1:5" ht="13.5" customHeight="1" x14ac:dyDescent="0.25">
      <c r="A5" s="352"/>
      <c r="B5" s="362"/>
    </row>
    <row r="6" spans="1:5" ht="13.5" customHeight="1" thickBot="1" x14ac:dyDescent="0.3">
      <c r="A6" s="352"/>
      <c r="B6" s="362"/>
    </row>
    <row r="7" spans="1:5" ht="19.899999999999999" customHeight="1" thickBot="1" x14ac:dyDescent="0.3">
      <c r="B7" s="364" t="s">
        <v>8897</v>
      </c>
    </row>
    <row r="8" spans="1:5" ht="11.25" customHeight="1" thickBot="1" x14ac:dyDescent="0.3"/>
    <row r="9" spans="1:5" ht="19.899999999999999" customHeight="1" thickBot="1" x14ac:dyDescent="0.3">
      <c r="B9" s="365" t="s">
        <v>8898</v>
      </c>
    </row>
    <row r="10" spans="1:5" ht="13.5" customHeight="1" x14ac:dyDescent="0.25"/>
    <row r="11" spans="1:5" s="367" customFormat="1" ht="13.5" customHeight="1" x14ac:dyDescent="0.25">
      <c r="A11" s="366"/>
      <c r="B11" s="367" t="s">
        <v>8899</v>
      </c>
    </row>
    <row r="12" spans="1:5" s="367" customFormat="1" ht="13.5" customHeight="1" x14ac:dyDescent="0.25">
      <c r="A12" s="366"/>
      <c r="B12" s="367" t="s">
        <v>8900</v>
      </c>
    </row>
    <row r="13" spans="1:5" s="367" customFormat="1" ht="13.5" customHeight="1" x14ac:dyDescent="0.25">
      <c r="A13" s="366"/>
      <c r="B13" s="368" t="s">
        <v>8901</v>
      </c>
    </row>
    <row r="14" spans="1:5" s="367" customFormat="1" ht="13.5" customHeight="1" x14ac:dyDescent="0.25">
      <c r="A14" s="366"/>
      <c r="B14" s="367" t="s">
        <v>8902</v>
      </c>
    </row>
    <row r="15" spans="1:5" s="367" customFormat="1" ht="13.5" customHeight="1" x14ac:dyDescent="0.25">
      <c r="A15" s="366"/>
      <c r="B15" s="368" t="s">
        <v>8903</v>
      </c>
    </row>
    <row r="16" spans="1:5" s="367" customFormat="1" ht="13.5" customHeight="1" x14ac:dyDescent="0.25">
      <c r="A16" s="366"/>
      <c r="B16" s="368" t="s">
        <v>10429</v>
      </c>
    </row>
    <row r="17" spans="1:2" s="367" customFormat="1" ht="13.5" customHeight="1" x14ac:dyDescent="0.25">
      <c r="A17" s="366"/>
      <c r="B17" s="368" t="s">
        <v>8904</v>
      </c>
    </row>
    <row r="18" spans="1:2" s="367" customFormat="1" ht="13.5" customHeight="1" x14ac:dyDescent="0.25">
      <c r="A18" s="366"/>
    </row>
    <row r="19" spans="1:2" s="367" customFormat="1" ht="13.5" customHeight="1" x14ac:dyDescent="0.25">
      <c r="A19" s="366"/>
      <c r="B19" s="369" t="s">
        <v>8905</v>
      </c>
    </row>
    <row r="20" spans="1:2" s="367" customFormat="1" ht="13.5" customHeight="1" x14ac:dyDescent="0.25">
      <c r="A20" s="366"/>
    </row>
    <row r="21" spans="1:2" s="367" customFormat="1" ht="13.5" customHeight="1" x14ac:dyDescent="0.25">
      <c r="A21" s="366"/>
      <c r="B21" s="367" t="s">
        <v>8906</v>
      </c>
    </row>
    <row r="22" spans="1:2" s="367" customFormat="1" ht="13.5" customHeight="1" x14ac:dyDescent="0.25">
      <c r="A22" s="366"/>
      <c r="B22" s="367" t="s">
        <v>8907</v>
      </c>
    </row>
    <row r="23" spans="1:2" s="367" customFormat="1" ht="13.5" customHeight="1" x14ac:dyDescent="0.25">
      <c r="A23" s="366"/>
      <c r="B23" s="367" t="s">
        <v>8908</v>
      </c>
    </row>
    <row r="24" spans="1:2" s="367" customFormat="1" ht="13.5" customHeight="1" x14ac:dyDescent="0.25">
      <c r="A24" s="366"/>
      <c r="B24" s="367" t="s">
        <v>8909</v>
      </c>
    </row>
    <row r="25" spans="1:2" s="367" customFormat="1" ht="13.5" customHeight="1" x14ac:dyDescent="0.25">
      <c r="A25" s="366"/>
      <c r="B25" s="367" t="s">
        <v>8910</v>
      </c>
    </row>
    <row r="26" spans="1:2" s="367" customFormat="1" ht="13.5" customHeight="1" x14ac:dyDescent="0.25">
      <c r="A26" s="366"/>
      <c r="B26" s="367" t="s">
        <v>8911</v>
      </c>
    </row>
    <row r="27" spans="1:2" s="367" customFormat="1" ht="13.5" customHeight="1" x14ac:dyDescent="0.25">
      <c r="A27" s="366"/>
      <c r="B27" s="367" t="s">
        <v>8912</v>
      </c>
    </row>
    <row r="28" spans="1:2" s="367" customFormat="1" ht="13.5" customHeight="1" x14ac:dyDescent="0.25">
      <c r="A28" s="366"/>
      <c r="B28" s="367" t="s">
        <v>8913</v>
      </c>
    </row>
    <row r="29" spans="1:2" s="367" customFormat="1" ht="13.5" customHeight="1" x14ac:dyDescent="0.25">
      <c r="A29" s="366"/>
      <c r="B29" s="367" t="s">
        <v>8914</v>
      </c>
    </row>
    <row r="30" spans="1:2" s="367" customFormat="1" ht="13.5" customHeight="1" x14ac:dyDescent="0.25">
      <c r="A30" s="366"/>
      <c r="B30" s="367" t="s">
        <v>8915</v>
      </c>
    </row>
    <row r="31" spans="1:2" s="367" customFormat="1" ht="13.5" customHeight="1" x14ac:dyDescent="0.25">
      <c r="A31" s="366"/>
      <c r="B31" s="367" t="s">
        <v>8916</v>
      </c>
    </row>
    <row r="32" spans="1:2" s="367" customFormat="1" ht="13.5" customHeight="1" x14ac:dyDescent="0.25">
      <c r="A32" s="366"/>
      <c r="B32" s="367" t="s">
        <v>8917</v>
      </c>
    </row>
    <row r="33" spans="1:3" s="367" customFormat="1" ht="13.5" customHeight="1" x14ac:dyDescent="0.25">
      <c r="A33" s="366"/>
      <c r="B33" s="367" t="s">
        <v>8918</v>
      </c>
    </row>
    <row r="34" spans="1:3" s="371" customFormat="1" ht="13.5" customHeight="1" thickBot="1" x14ac:dyDescent="0.3">
      <c r="A34" s="370"/>
    </row>
    <row r="35" spans="1:3" ht="20.100000000000001" customHeight="1" thickBot="1" x14ac:dyDescent="0.3">
      <c r="B35" s="365" t="s">
        <v>8919</v>
      </c>
    </row>
    <row r="36" spans="1:3" ht="12" customHeight="1" thickBot="1" x14ac:dyDescent="0.3"/>
    <row r="37" spans="1:3" ht="20.100000000000001" customHeight="1" thickBot="1" x14ac:dyDescent="0.3">
      <c r="B37" s="866" t="s">
        <v>8920</v>
      </c>
      <c r="C37" s="867"/>
    </row>
    <row r="38" spans="1:3" ht="13.5" customHeight="1" x14ac:dyDescent="0.25">
      <c r="B38" s="372"/>
    </row>
    <row r="39" spans="1:3" s="367" customFormat="1" ht="13.5" customHeight="1" x14ac:dyDescent="0.25">
      <c r="A39" s="366"/>
      <c r="B39" s="367" t="s">
        <v>8921</v>
      </c>
    </row>
    <row r="40" spans="1:3" s="367" customFormat="1" ht="13.5" customHeight="1" x14ac:dyDescent="0.25">
      <c r="A40" s="366"/>
      <c r="B40" s="367" t="s">
        <v>8922</v>
      </c>
    </row>
    <row r="41" spans="1:3" s="367" customFormat="1" ht="13.5" customHeight="1" x14ac:dyDescent="0.25">
      <c r="A41" s="366"/>
      <c r="B41" s="367" t="s">
        <v>8923</v>
      </c>
    </row>
    <row r="42" spans="1:3" ht="13.5" customHeight="1" thickBot="1" x14ac:dyDescent="0.3"/>
    <row r="43" spans="1:3" s="362" customFormat="1" ht="20.100000000000001" customHeight="1" thickBot="1" x14ac:dyDescent="0.3">
      <c r="A43" s="352"/>
      <c r="B43" s="373" t="s">
        <v>527</v>
      </c>
      <c r="C43" s="373" t="s">
        <v>8924</v>
      </c>
    </row>
    <row r="44" spans="1:3" ht="15" customHeight="1" x14ac:dyDescent="0.25">
      <c r="B44" s="374" t="s">
        <v>8925</v>
      </c>
      <c r="C44" s="375">
        <v>0.05</v>
      </c>
    </row>
    <row r="45" spans="1:3" ht="15" customHeight="1" x14ac:dyDescent="0.25">
      <c r="B45" s="376" t="s">
        <v>8926</v>
      </c>
      <c r="C45" s="377">
        <v>0.1</v>
      </c>
    </row>
    <row r="46" spans="1:3" ht="15" customHeight="1" x14ac:dyDescent="0.25">
      <c r="B46" s="376" t="s">
        <v>8927</v>
      </c>
      <c r="C46" s="377">
        <v>0.1</v>
      </c>
    </row>
    <row r="47" spans="1:3" ht="15" customHeight="1" x14ac:dyDescent="0.25">
      <c r="B47" s="376" t="s">
        <v>8928</v>
      </c>
      <c r="C47" s="377">
        <v>0.1</v>
      </c>
    </row>
    <row r="48" spans="1:3" ht="15" customHeight="1" x14ac:dyDescent="0.25">
      <c r="B48" s="376" t="s">
        <v>8929</v>
      </c>
      <c r="C48" s="377">
        <v>0.15</v>
      </c>
    </row>
    <row r="49" spans="1:5" ht="15" customHeight="1" x14ac:dyDescent="0.25">
      <c r="B49" s="376" t="s">
        <v>8930</v>
      </c>
      <c r="C49" s="377">
        <v>0.15</v>
      </c>
    </row>
    <row r="50" spans="1:5" ht="15" customHeight="1" x14ac:dyDescent="0.25">
      <c r="B50" s="376" t="s">
        <v>8931</v>
      </c>
      <c r="C50" s="378">
        <v>0.2</v>
      </c>
    </row>
    <row r="51" spans="1:5" ht="15" customHeight="1" x14ac:dyDescent="0.25">
      <c r="B51" s="376" t="s">
        <v>8932</v>
      </c>
      <c r="C51" s="377">
        <v>0.1</v>
      </c>
    </row>
    <row r="52" spans="1:5" ht="15" customHeight="1" thickBot="1" x14ac:dyDescent="0.3">
      <c r="B52" s="379" t="s">
        <v>8933</v>
      </c>
      <c r="C52" s="380">
        <v>0.33329999999999999</v>
      </c>
    </row>
    <row r="53" spans="1:5" ht="13.5" customHeight="1" thickBot="1" x14ac:dyDescent="0.3">
      <c r="C53" s="362"/>
    </row>
    <row r="54" spans="1:5" ht="20.100000000000001" customHeight="1" thickBot="1" x14ac:dyDescent="0.3">
      <c r="B54" s="381" t="s">
        <v>8934</v>
      </c>
      <c r="C54" s="362"/>
    </row>
    <row r="55" spans="1:5" ht="11.25" customHeight="1" x14ac:dyDescent="0.25">
      <c r="C55" s="362"/>
    </row>
    <row r="56" spans="1:5" s="367" customFormat="1" ht="13.5" customHeight="1" x14ac:dyDescent="0.25">
      <c r="A56" s="366"/>
      <c r="B56" s="367" t="s">
        <v>8935</v>
      </c>
      <c r="C56" s="382"/>
    </row>
    <row r="57" spans="1:5" ht="13.5" customHeight="1" thickBot="1" x14ac:dyDescent="0.3">
      <c r="B57" s="358"/>
      <c r="C57" s="362"/>
    </row>
    <row r="58" spans="1:5" s="358" customFormat="1" ht="20.100000000000001" customHeight="1" thickBot="1" x14ac:dyDescent="0.3">
      <c r="A58" s="383"/>
      <c r="B58" s="384"/>
      <c r="C58" s="385" t="s">
        <v>8936</v>
      </c>
      <c r="D58" s="386"/>
      <c r="E58" s="387"/>
    </row>
    <row r="59" spans="1:5" ht="13.5" customHeight="1" thickBot="1" x14ac:dyDescent="0.3"/>
    <row r="60" spans="1:5" ht="20.100000000000001" customHeight="1" thickBot="1" x14ac:dyDescent="0.3">
      <c r="B60" s="381" t="s">
        <v>8937</v>
      </c>
    </row>
    <row r="61" spans="1:5" ht="13.5" customHeight="1" thickBot="1" x14ac:dyDescent="0.3"/>
    <row r="62" spans="1:5" ht="20.100000000000001" customHeight="1" thickBot="1" x14ac:dyDescent="0.3">
      <c r="B62" s="381" t="s">
        <v>8938</v>
      </c>
    </row>
    <row r="63" spans="1:5" ht="13.5" customHeight="1" thickBot="1" x14ac:dyDescent="0.3">
      <c r="B63" s="358"/>
    </row>
    <row r="64" spans="1:5" ht="20.100000000000001" customHeight="1" thickBot="1" x14ac:dyDescent="0.3">
      <c r="B64" s="388" t="s">
        <v>8939</v>
      </c>
    </row>
    <row r="65" spans="1:6" ht="13.5" customHeight="1" x14ac:dyDescent="0.25"/>
    <row r="66" spans="1:6" s="367" customFormat="1" ht="13.5" customHeight="1" x14ac:dyDescent="0.25">
      <c r="A66" s="366"/>
      <c r="B66" s="367" t="str">
        <f>+A66&amp;"Au 31/12/2024, cette rubrique présente un solde brut débiteur de " &amp; ROUND($C$87,3) &amp; " dt" &amp; " qui s’analyse comme suit :"</f>
        <v>Au 31/12/2024, cette rubrique présente un solde brut débiteur de 42735958,494 dt qui s’analyse comme suit :</v>
      </c>
    </row>
    <row r="67" spans="1:6" s="367" customFormat="1" ht="13.5" customHeight="1" x14ac:dyDescent="0.25">
      <c r="A67" s="366"/>
    </row>
    <row r="68" spans="1:6" ht="13.5" customHeight="1" x14ac:dyDescent="0.25"/>
    <row r="69" spans="1:6" s="362" customFormat="1" ht="15" customHeight="1" x14ac:dyDescent="0.25">
      <c r="A69" s="352"/>
      <c r="B69" s="389" t="s">
        <v>527</v>
      </c>
      <c r="C69" s="389" t="s">
        <v>10430</v>
      </c>
      <c r="D69" s="389" t="s">
        <v>10431</v>
      </c>
      <c r="E69" s="389" t="s">
        <v>6</v>
      </c>
      <c r="F69" s="390"/>
    </row>
    <row r="70" spans="1:6" s="395" customFormat="1" ht="12.75" customHeight="1" x14ac:dyDescent="0.2">
      <c r="A70" s="391"/>
      <c r="B70" s="10" t="s">
        <v>24</v>
      </c>
      <c r="C70" s="392">
        <f>SUMIF('BAL 12-24'!$B:$B,B70,'BAL 12-24'!$I:$I)</f>
        <v>112855.307</v>
      </c>
      <c r="D70" s="392">
        <f>SUMIF('BAL 12-23'!$B:$B,B70,'BAL 12-23'!$G:$G)</f>
        <v>93173.926999999996</v>
      </c>
      <c r="E70" s="393">
        <f>+C70-D70</f>
        <v>19681.380000000005</v>
      </c>
      <c r="F70" s="394"/>
    </row>
    <row r="71" spans="1:6" s="395" customFormat="1" ht="12.75" customHeight="1" x14ac:dyDescent="0.2">
      <c r="A71" s="391"/>
      <c r="B71" s="10" t="s">
        <v>26</v>
      </c>
      <c r="C71" s="392">
        <f>SUMIF('BAL 12-24'!$B:$B,B71,'BAL 12-24'!$I:$I)</f>
        <v>1275724</v>
      </c>
      <c r="D71" s="392">
        <f>SUMIF('BAL 12-23'!$B:$B,B71,'BAL 12-23'!$G:$G)</f>
        <v>1275724</v>
      </c>
      <c r="E71" s="393">
        <f t="shared" ref="E71:E86" si="0">+C71-D71</f>
        <v>0</v>
      </c>
      <c r="F71" s="394"/>
    </row>
    <row r="72" spans="1:6" s="395" customFormat="1" ht="12.75" customHeight="1" x14ac:dyDescent="0.2">
      <c r="A72" s="391"/>
      <c r="B72" s="10" t="s">
        <v>27</v>
      </c>
      <c r="C72" s="392">
        <f>SUMIF('BAL 12-24'!$B:$B,B72,'BAL 12-24'!$I:$I)</f>
        <v>161921.53600000002</v>
      </c>
      <c r="D72" s="392">
        <f>SUMIF('BAL 12-23'!$B:$B,B72,'BAL 12-23'!$G:$G)</f>
        <v>161921.53600000002</v>
      </c>
      <c r="E72" s="393">
        <f t="shared" si="0"/>
        <v>0</v>
      </c>
      <c r="F72" s="394"/>
    </row>
    <row r="73" spans="1:6" s="395" customFormat="1" ht="12.75" customHeight="1" x14ac:dyDescent="0.2">
      <c r="A73" s="391"/>
      <c r="B73" s="10" t="s">
        <v>28</v>
      </c>
      <c r="C73" s="392">
        <f>SUMIF('BAL 12-24'!$B:$B,B73,'BAL 12-24'!$I:$I)</f>
        <v>9174898.748999998</v>
      </c>
      <c r="D73" s="392">
        <f>SUMIF('BAL 12-23'!$B:$B,B73,'BAL 12-23'!$G:$G)</f>
        <v>9174898.7489999998</v>
      </c>
      <c r="E73" s="393">
        <f t="shared" si="0"/>
        <v>0</v>
      </c>
      <c r="F73" s="394"/>
    </row>
    <row r="74" spans="1:6" s="395" customFormat="1" ht="12.75" customHeight="1" x14ac:dyDescent="0.2">
      <c r="A74" s="391"/>
      <c r="B74" s="10" t="s">
        <v>29</v>
      </c>
      <c r="C74" s="392">
        <f>SUMIF('BAL 12-24'!$B:$B,B74,'BAL 12-24'!$I:$I)</f>
        <v>801528.73899999994</v>
      </c>
      <c r="D74" s="392">
        <f>SUMIF('BAL 12-23'!$B:$B,B74,'BAL 12-23'!$G:$G)</f>
        <v>696674.05799999996</v>
      </c>
      <c r="E74" s="393">
        <f t="shared" si="0"/>
        <v>104854.68099999998</v>
      </c>
      <c r="F74" s="394"/>
    </row>
    <row r="75" spans="1:6" s="395" customFormat="1" ht="12.75" customHeight="1" x14ac:dyDescent="0.2">
      <c r="A75" s="391"/>
      <c r="B75" s="10" t="s">
        <v>30</v>
      </c>
      <c r="C75" s="392">
        <f>SUMIF('BAL 12-24'!$B:$B,B75,'BAL 12-24'!$I:$I)</f>
        <v>99962.611000000004</v>
      </c>
      <c r="D75" s="392">
        <f>SUMIF('BAL 12-23'!$B:$B,B75,'BAL 12-23'!$G:$G)</f>
        <v>73570.611000000004</v>
      </c>
      <c r="E75" s="393">
        <f t="shared" si="0"/>
        <v>26392</v>
      </c>
      <c r="F75" s="394"/>
    </row>
    <row r="76" spans="1:6" s="395" customFormat="1" ht="12.75" customHeight="1" x14ac:dyDescent="0.2">
      <c r="A76" s="391"/>
      <c r="B76" s="10" t="s">
        <v>31</v>
      </c>
      <c r="C76" s="392">
        <f>SUMIF('BAL 12-24'!$B:$B,B76,'BAL 12-24'!$I:$I)</f>
        <v>27986.973999999998</v>
      </c>
      <c r="D76" s="392">
        <f>SUMIF('BAL 12-23'!$B:$B,B76,'BAL 12-23'!$G:$G)</f>
        <v>0</v>
      </c>
      <c r="E76" s="393">
        <f t="shared" si="0"/>
        <v>27986.973999999998</v>
      </c>
      <c r="F76" s="394"/>
    </row>
    <row r="77" spans="1:6" s="395" customFormat="1" ht="12.75" customHeight="1" x14ac:dyDescent="0.2">
      <c r="A77" s="391"/>
      <c r="B77" s="10" t="s">
        <v>32</v>
      </c>
      <c r="C77" s="392">
        <f>SUMIF('BAL 12-24'!$B:$B,B77,'BAL 12-24'!$I:$I)</f>
        <v>25640142.818549003</v>
      </c>
      <c r="D77" s="392">
        <f>SUMIF('BAL 12-23'!$B:$B,B77,'BAL 12-23'!$G:$G)</f>
        <v>24676096.882048998</v>
      </c>
      <c r="E77" s="393">
        <f t="shared" si="0"/>
        <v>964045.93650000542</v>
      </c>
      <c r="F77" s="394"/>
    </row>
    <row r="78" spans="1:6" s="395" customFormat="1" ht="12.75" customHeight="1" x14ac:dyDescent="0.2">
      <c r="A78" s="391"/>
      <c r="B78" s="10" t="s">
        <v>33</v>
      </c>
      <c r="C78" s="392">
        <f>SUMIF('BAL 12-24'!$B:$B,B78,'BAL 12-24'!$I:$I)</f>
        <v>749212.69149999972</v>
      </c>
      <c r="D78" s="392">
        <f>SUMIF('BAL 12-23'!$B:$B,B78,'BAL 12-23'!$G:$G)</f>
        <v>651798.13449999981</v>
      </c>
      <c r="E78" s="393">
        <f t="shared" si="0"/>
        <v>97414.556999999913</v>
      </c>
      <c r="F78" s="394"/>
    </row>
    <row r="79" spans="1:6" s="395" customFormat="1" ht="12.75" customHeight="1" x14ac:dyDescent="0.2">
      <c r="A79" s="391"/>
      <c r="B79" s="10" t="s">
        <v>34</v>
      </c>
      <c r="C79" s="392">
        <f>SUMIF('BAL 12-24'!$B:$B,B79,'BAL 12-24'!$I:$I)</f>
        <v>901593.20599999989</v>
      </c>
      <c r="D79" s="392">
        <f>SUMIF('BAL 12-23'!$B:$B,B79,'BAL 12-23'!$G:$G)</f>
        <v>901593.20599999989</v>
      </c>
      <c r="E79" s="393">
        <f t="shared" si="0"/>
        <v>0</v>
      </c>
      <c r="F79" s="394"/>
    </row>
    <row r="80" spans="1:6" s="395" customFormat="1" ht="12.75" customHeight="1" x14ac:dyDescent="0.2">
      <c r="A80" s="391"/>
      <c r="B80" s="10" t="s">
        <v>35</v>
      </c>
      <c r="C80" s="392">
        <f>SUMIF('BAL 12-24'!$B:$B,B80,'BAL 12-24'!$I:$I)</f>
        <v>1213243.844</v>
      </c>
      <c r="D80" s="392">
        <f>SUMIF('BAL 12-23'!$B:$B,B80,'BAL 12-23'!$G:$G)</f>
        <v>1176312.6140000001</v>
      </c>
      <c r="E80" s="393">
        <f t="shared" si="0"/>
        <v>36931.229999999981</v>
      </c>
      <c r="F80" s="394"/>
    </row>
    <row r="81" spans="1:6" s="395" customFormat="1" ht="12.75" customHeight="1" x14ac:dyDescent="0.2">
      <c r="A81" s="391"/>
      <c r="B81" s="10" t="s">
        <v>37</v>
      </c>
      <c r="C81" s="392">
        <f>SUMIF('BAL 12-24'!$B:$B,B81,'BAL 12-24'!$I:$I)</f>
        <v>343486.49914999999</v>
      </c>
      <c r="D81" s="392">
        <f>SUMIF('BAL 12-23'!$B:$B,B81,'BAL 12-23'!$G:$G)</f>
        <v>281171.26414999994</v>
      </c>
      <c r="E81" s="393">
        <f t="shared" si="0"/>
        <v>62315.235000000044</v>
      </c>
      <c r="F81" s="394"/>
    </row>
    <row r="82" spans="1:6" s="395" customFormat="1" ht="12.75" customHeight="1" x14ac:dyDescent="0.2">
      <c r="A82" s="391"/>
      <c r="B82" s="10" t="s">
        <v>279</v>
      </c>
      <c r="C82" s="392">
        <f>SUMIF('BAL 12-24'!$B:$B,B82,'BAL 12-24'!$I:$I)</f>
        <v>314987.31828599994</v>
      </c>
      <c r="D82" s="392">
        <f>SUMIF('BAL 12-23'!$B:$B,B82,'BAL 12-23'!$G:$G)</f>
        <v>243796.16828599997</v>
      </c>
      <c r="E82" s="393">
        <f t="shared" si="0"/>
        <v>71191.149999999965</v>
      </c>
      <c r="F82" s="394"/>
    </row>
    <row r="83" spans="1:6" s="395" customFormat="1" ht="12.75" customHeight="1" x14ac:dyDescent="0.2">
      <c r="A83" s="391"/>
      <c r="B83" s="10" t="s">
        <v>7399</v>
      </c>
      <c r="C83" s="392">
        <f>SUMIF('BAL 12-24'!$B:$B,B83,'BAL 12-24'!$I:$I)</f>
        <v>17045.8</v>
      </c>
      <c r="D83" s="392">
        <f>SUMIF('BAL 12-23'!$B:$B,B83,'BAL 12-23'!$G:$G)</f>
        <v>0</v>
      </c>
      <c r="E83" s="393">
        <f t="shared" si="0"/>
        <v>17045.8</v>
      </c>
      <c r="F83" s="394"/>
    </row>
    <row r="84" spans="1:6" s="395" customFormat="1" ht="12.75" customHeight="1" x14ac:dyDescent="0.2">
      <c r="A84" s="391"/>
      <c r="B84" s="10" t="s">
        <v>38</v>
      </c>
      <c r="C84" s="392">
        <f>SUMIF('BAL 12-24'!$B:$B,B84,'BAL 12-24'!$I:$I)</f>
        <v>837844.46669749869</v>
      </c>
      <c r="D84" s="392">
        <f>SUMIF('BAL 12-23'!$B:$B,B84,'BAL 12-23'!$G:$G)</f>
        <v>404721.24329749914</v>
      </c>
      <c r="E84" s="393">
        <f t="shared" si="0"/>
        <v>433123.22339999955</v>
      </c>
      <c r="F84" s="394"/>
    </row>
    <row r="85" spans="1:6" s="395" customFormat="1" ht="12.75" customHeight="1" x14ac:dyDescent="0.2">
      <c r="A85" s="391"/>
      <c r="B85" s="10" t="s">
        <v>39</v>
      </c>
      <c r="C85" s="392">
        <f>SUMIF('BAL 12-24'!$B:$B,B85,'BAL 12-24'!$I:$I)</f>
        <v>3220.2100000000009</v>
      </c>
      <c r="D85" s="392">
        <f>SUMIF('BAL 12-23'!$B:$B,B85,'BAL 12-23'!$G:$G)</f>
        <v>-2.6193447411060333E-9</v>
      </c>
      <c r="E85" s="393">
        <f t="shared" si="0"/>
        <v>3220.2100000026203</v>
      </c>
      <c r="F85" s="394"/>
    </row>
    <row r="86" spans="1:6" s="395" customFormat="1" ht="12.75" customHeight="1" x14ac:dyDescent="0.2">
      <c r="A86" s="391"/>
      <c r="B86" s="10" t="s">
        <v>40</v>
      </c>
      <c r="C86" s="392">
        <f>SUMIF('BAL 12-24'!$B:$B,B86,'BAL 12-24'!$I:$I)</f>
        <v>1060303.7239999999</v>
      </c>
      <c r="D86" s="392">
        <f>SUMIF('BAL 12-23'!$B:$B,B86,'BAL 12-23'!$G:$G)</f>
        <v>770033.75899999996</v>
      </c>
      <c r="E86" s="393">
        <f t="shared" si="0"/>
        <v>290269.96499999997</v>
      </c>
      <c r="F86" s="394"/>
    </row>
    <row r="87" spans="1:6" ht="15" customHeight="1" x14ac:dyDescent="0.2">
      <c r="B87" s="396" t="s">
        <v>8940</v>
      </c>
      <c r="C87" s="397">
        <f>SUM(C70:C86)</f>
        <v>42735958.494182497</v>
      </c>
      <c r="D87" s="397">
        <f t="shared" ref="D87:E87" si="1">SUM(D70:D86)</f>
        <v>40581486.152282506</v>
      </c>
      <c r="E87" s="397">
        <f t="shared" si="1"/>
        <v>2154472.3419000073</v>
      </c>
      <c r="F87" s="394"/>
    </row>
    <row r="88" spans="1:6" s="402" customFormat="1" ht="15.75" customHeight="1" x14ac:dyDescent="0.2">
      <c r="A88" s="398"/>
      <c r="B88" s="399"/>
      <c r="C88" s="400">
        <f>+BILAN!F6-Notes!C87</f>
        <v>0</v>
      </c>
      <c r="D88" s="400">
        <f>+BILAN!G6-Notes!D87</f>
        <v>0</v>
      </c>
      <c r="E88" s="401"/>
      <c r="F88" s="394"/>
    </row>
    <row r="89" spans="1:6" s="402" customFormat="1" ht="14.25" customHeight="1" thickBot="1" x14ac:dyDescent="0.3">
      <c r="A89" s="398"/>
      <c r="B89" s="399"/>
      <c r="C89" s="403"/>
      <c r="D89" s="403"/>
    </row>
    <row r="90" spans="1:6" ht="20.100000000000001" customHeight="1" thickBot="1" x14ac:dyDescent="0.3">
      <c r="B90" s="388" t="s">
        <v>8941</v>
      </c>
    </row>
    <row r="91" spans="1:6" ht="12" customHeight="1" x14ac:dyDescent="0.25">
      <c r="B91" s="372"/>
      <c r="D91" s="358"/>
    </row>
    <row r="92" spans="1:6" s="367" customFormat="1" ht="20.100000000000001" customHeight="1" x14ac:dyDescent="0.25">
      <c r="A92" s="366"/>
      <c r="B92" s="367" t="str">
        <f>+A92&amp;"Le solde de cette rubrique s'élève au 31/12/2024 à " &amp; $C$101 &amp;" dt contre " &amp; $D$101 &amp;" dt au 31/12/2023"</f>
        <v>Le solde de cette rubrique s'élève au 31/12/2024 à 4931971,2 dt contre 4931971,2 dt au 31/12/2023</v>
      </c>
      <c r="C92" s="369"/>
    </row>
    <row r="93" spans="1:6" ht="15" customHeight="1" x14ac:dyDescent="0.25">
      <c r="C93" s="358"/>
    </row>
    <row r="94" spans="1:6" ht="20.100000000000001" customHeight="1" x14ac:dyDescent="0.25">
      <c r="B94" s="404" t="s">
        <v>8942</v>
      </c>
      <c r="C94" s="389" t="s">
        <v>10430</v>
      </c>
      <c r="D94" s="389" t="s">
        <v>10431</v>
      </c>
      <c r="E94" s="389" t="s">
        <v>6</v>
      </c>
      <c r="F94" s="390"/>
    </row>
    <row r="95" spans="1:6" s="395" customFormat="1" ht="12.75" customHeight="1" x14ac:dyDescent="0.2">
      <c r="A95" s="391"/>
      <c r="B95" s="405" t="s">
        <v>41</v>
      </c>
      <c r="C95" s="392">
        <f>SUMIF('BAL 12-24'!$B:$B,B95,'BAL 12-24'!$I:$I)</f>
        <v>266820</v>
      </c>
      <c r="D95" s="392">
        <f>SUMIF('BAL 12-23'!$B:$B,B95,'BAL 12-23'!$G:$G)</f>
        <v>266820</v>
      </c>
      <c r="E95" s="393">
        <f t="shared" ref="E95:E100" si="2">+C95-D95</f>
        <v>0</v>
      </c>
      <c r="F95" s="394"/>
    </row>
    <row r="96" spans="1:6" s="395" customFormat="1" ht="12.75" customHeight="1" x14ac:dyDescent="0.2">
      <c r="A96" s="391"/>
      <c r="B96" s="405" t="s">
        <v>287</v>
      </c>
      <c r="C96" s="392">
        <f>SUMIF('BAL 12-24'!$B:$B,B96,'BAL 12-24'!$I:$I)</f>
        <v>512700</v>
      </c>
      <c r="D96" s="392">
        <f>SUMIF('BAL 12-23'!$B:$B,B96,'BAL 12-23'!$G:$G)</f>
        <v>512700</v>
      </c>
      <c r="E96" s="393">
        <f t="shared" si="2"/>
        <v>0</v>
      </c>
      <c r="F96" s="394"/>
    </row>
    <row r="97" spans="1:6" s="395" customFormat="1" ht="12.75" customHeight="1" x14ac:dyDescent="0.2">
      <c r="A97" s="391"/>
      <c r="B97" s="405" t="s">
        <v>43</v>
      </c>
      <c r="C97" s="392">
        <f>SUMIF('BAL 12-24'!$B:$B,B97,'BAL 12-24'!$I:$I)</f>
        <v>677000</v>
      </c>
      <c r="D97" s="392">
        <f>SUMIF('BAL 12-23'!$B:$B,B97,'BAL 12-23'!$G:$G)</f>
        <v>677000</v>
      </c>
      <c r="E97" s="393">
        <f t="shared" si="2"/>
        <v>0</v>
      </c>
      <c r="F97" s="394"/>
    </row>
    <row r="98" spans="1:6" s="395" customFormat="1" ht="12.75" customHeight="1" x14ac:dyDescent="0.2">
      <c r="A98" s="391"/>
      <c r="B98" s="405" t="s">
        <v>44</v>
      </c>
      <c r="C98" s="392">
        <f>SUMIF('BAL 12-24'!$B:$B,B98,'BAL 12-24'!$I:$I)</f>
        <v>3150000</v>
      </c>
      <c r="D98" s="392">
        <f>SUMIF('BAL 12-23'!$B:$B,B98,'BAL 12-23'!$G:$G)</f>
        <v>3150000</v>
      </c>
      <c r="E98" s="393">
        <f t="shared" si="2"/>
        <v>0</v>
      </c>
      <c r="F98" s="394"/>
    </row>
    <row r="99" spans="1:6" s="395" customFormat="1" ht="12.75" customHeight="1" x14ac:dyDescent="0.2">
      <c r="A99" s="391"/>
      <c r="B99" s="10" t="s">
        <v>387</v>
      </c>
      <c r="C99" s="392">
        <f>SUMIF('BAL 12-24'!$B:$B,B99,'BAL 12-24'!$I:$I)</f>
        <v>319680</v>
      </c>
      <c r="D99" s="392">
        <f>SUMIF('BAL 12-23'!$B:$B,B99,'BAL 12-23'!$G:$G)</f>
        <v>319680</v>
      </c>
      <c r="E99" s="393">
        <f t="shared" si="2"/>
        <v>0</v>
      </c>
      <c r="F99" s="406"/>
    </row>
    <row r="100" spans="1:6" s="395" customFormat="1" ht="12.75" customHeight="1" x14ac:dyDescent="0.2">
      <c r="A100" s="391"/>
      <c r="B100" s="10" t="s">
        <v>23</v>
      </c>
      <c r="C100" s="392">
        <f>SUMIF('BAL 12-24'!$B:$B,B100,'BAL 12-24'!$I:$I)</f>
        <v>5771.2</v>
      </c>
      <c r="D100" s="392">
        <f>SUMIF('BAL 12-23'!$B:$B,B100,'BAL 12-23'!$G:$G)</f>
        <v>5771.2</v>
      </c>
      <c r="E100" s="393">
        <f t="shared" si="2"/>
        <v>0</v>
      </c>
      <c r="F100" s="406"/>
    </row>
    <row r="101" spans="1:6" ht="16.5" customHeight="1" x14ac:dyDescent="0.25">
      <c r="B101" s="396" t="s">
        <v>8940</v>
      </c>
      <c r="C101" s="396">
        <f>SUM(C95:C100)</f>
        <v>4931971.2</v>
      </c>
      <c r="D101" s="396">
        <f>SUM(D95:D100)</f>
        <v>4931971.2</v>
      </c>
      <c r="E101" s="396">
        <f>SUM(E95:E100)</f>
        <v>0</v>
      </c>
      <c r="F101" s="390"/>
    </row>
    <row r="102" spans="1:6" ht="16.5" customHeight="1" x14ac:dyDescent="0.25">
      <c r="B102" s="358"/>
      <c r="C102" s="400">
        <f>+BILAN!F13+BILAN!F15-Notes!C101</f>
        <v>0</v>
      </c>
      <c r="D102" s="400">
        <f>+BILAN!G13+BILAN!G15-Notes!D101</f>
        <v>0</v>
      </c>
      <c r="E102" s="358"/>
      <c r="F102" s="390"/>
    </row>
    <row r="103" spans="1:6" s="367" customFormat="1" ht="15.75" customHeight="1" thickBot="1" x14ac:dyDescent="0.3">
      <c r="A103" s="366"/>
      <c r="B103" s="369"/>
      <c r="C103" s="369"/>
      <c r="D103" s="369"/>
      <c r="F103" s="407"/>
    </row>
    <row r="104" spans="1:6" ht="20.100000000000001" customHeight="1" thickBot="1" x14ac:dyDescent="0.3">
      <c r="B104" s="408" t="s">
        <v>8943</v>
      </c>
      <c r="F104" s="390"/>
    </row>
    <row r="105" spans="1:6" ht="12" customHeight="1" thickBot="1" x14ac:dyDescent="0.3">
      <c r="F105" s="390"/>
    </row>
    <row r="106" spans="1:6" ht="18.75" customHeight="1" thickBot="1" x14ac:dyDescent="0.3">
      <c r="B106" s="388" t="s">
        <v>8944</v>
      </c>
    </row>
    <row r="107" spans="1:6" s="390" customFormat="1" ht="14.25" customHeight="1" x14ac:dyDescent="0.25">
      <c r="A107" s="409"/>
      <c r="B107" s="367"/>
    </row>
    <row r="108" spans="1:6" s="367" customFormat="1" ht="15.75" customHeight="1" x14ac:dyDescent="0.25">
      <c r="A108" s="366"/>
      <c r="B108" s="356" t="str">
        <f>+A108&amp;"Le stock est valorisé au 31/12/2024 à " &amp; ROUND( $C$116,3) &amp;" dt contre un solde de " &amp; $D$116 &amp;" dt au 31/12/2023 et ce détail comme suit:"</f>
        <v>Le stock est valorisé au 31/12/2024 à 22871948,87 dt contre un solde de 17173289,671 dt au 31/12/2023 et ce détail comme suit:</v>
      </c>
    </row>
    <row r="109" spans="1:6" ht="15.75" customHeight="1" x14ac:dyDescent="0.25"/>
    <row r="110" spans="1:6" ht="15.75" customHeight="1" x14ac:dyDescent="0.25">
      <c r="B110" s="404" t="s">
        <v>8942</v>
      </c>
      <c r="C110" s="389" t="s">
        <v>10430</v>
      </c>
      <c r="D110" s="389" t="s">
        <v>10431</v>
      </c>
      <c r="E110" s="389" t="s">
        <v>6</v>
      </c>
    </row>
    <row r="111" spans="1:6" s="395" customFormat="1" ht="12.75" customHeight="1" x14ac:dyDescent="0.25">
      <c r="A111" s="391"/>
      <c r="B111" s="405" t="s">
        <v>59</v>
      </c>
      <c r="C111" s="392">
        <f>SUMIF('BAL 12-24'!$B:$B,B111,'BAL 12-24'!$I:$I)</f>
        <v>14537233.424999982</v>
      </c>
      <c r="D111" s="392">
        <f>SUMIF('BAL 12-23'!$B:$B,B111,'BAL 12-23'!$G:$G)</f>
        <v>9520075.0200000033</v>
      </c>
      <c r="E111" s="393">
        <f>+C111-D111</f>
        <v>5017158.4049999788</v>
      </c>
    </row>
    <row r="112" spans="1:6" s="395" customFormat="1" ht="12.75" customHeight="1" x14ac:dyDescent="0.25">
      <c r="A112" s="391"/>
      <c r="B112" s="405" t="s">
        <v>390</v>
      </c>
      <c r="C112" s="392">
        <f>SUMIF('BAL 12-24'!$B:$B,B112,'BAL 12-24'!$I:$I)</f>
        <v>1368652.8720000002</v>
      </c>
      <c r="D112" s="392">
        <f>SUMIF('BAL 12-23'!$B:$B,B112,'BAL 12-23'!$G:$G)</f>
        <v>1881173.9140000001</v>
      </c>
      <c r="E112" s="393">
        <f>+C112-D112</f>
        <v>-512521.0419999999</v>
      </c>
    </row>
    <row r="113" spans="1:5" s="395" customFormat="1" ht="12.75" customHeight="1" x14ac:dyDescent="0.25">
      <c r="A113" s="391"/>
      <c r="B113" s="405" t="s">
        <v>61</v>
      </c>
      <c r="C113" s="392">
        <f>SUMIF('BAL 12-24'!$B:$B,B113,'BAL 12-24'!$I:$I)</f>
        <v>611432.94899999909</v>
      </c>
      <c r="D113" s="392">
        <f>SUMIF('BAL 12-23'!$B:$B,B113,'BAL 12-23'!$G:$G)</f>
        <v>662156.42900000059</v>
      </c>
      <c r="E113" s="393">
        <f>+C113-D113</f>
        <v>-50723.480000001495</v>
      </c>
    </row>
    <row r="114" spans="1:5" s="395" customFormat="1" ht="12.75" customHeight="1" x14ac:dyDescent="0.25">
      <c r="A114" s="391"/>
      <c r="B114" s="405" t="s">
        <v>62</v>
      </c>
      <c r="C114" s="392">
        <f>SUMIF('BAL 12-24'!$B:$B,B114,'BAL 12-24'!$I:$I)</f>
        <v>6032949.5630000047</v>
      </c>
      <c r="D114" s="392">
        <f>SUMIF('BAL 12-23'!$B:$B,B114,'BAL 12-23'!$G:$G)</f>
        <v>3435380.2889999999</v>
      </c>
      <c r="E114" s="393">
        <f>+C114-D114</f>
        <v>2597569.2740000049</v>
      </c>
    </row>
    <row r="115" spans="1:5" s="395" customFormat="1" ht="12.75" customHeight="1" x14ac:dyDescent="0.25">
      <c r="A115" s="391"/>
      <c r="B115" s="405" t="s">
        <v>63</v>
      </c>
      <c r="C115" s="392">
        <f>SUMIF('BAL 12-24'!$B:$B,B115,'BAL 12-24'!$I:$I)</f>
        <v>321680.06100000069</v>
      </c>
      <c r="D115" s="392">
        <f>SUMIF('BAL 12-23'!$B:$B,B115,'BAL 12-23'!$G:$G)</f>
        <v>1674504.0190000013</v>
      </c>
      <c r="E115" s="393">
        <f>+C115-D115</f>
        <v>-1352823.9580000006</v>
      </c>
    </row>
    <row r="116" spans="1:5" ht="15.75" customHeight="1" x14ac:dyDescent="0.25">
      <c r="B116" s="410" t="s">
        <v>7565</v>
      </c>
      <c r="C116" s="411">
        <f>SUM(C111:C115)</f>
        <v>22871948.869999986</v>
      </c>
      <c r="D116" s="411">
        <f>SUM(D111:D115)</f>
        <v>17173289.671000008</v>
      </c>
      <c r="E116" s="411">
        <f t="shared" ref="E116" si="3">SUM(E111:E115)</f>
        <v>5698659.1989999823</v>
      </c>
    </row>
    <row r="117" spans="1:5" ht="16.5" customHeight="1" x14ac:dyDescent="0.25">
      <c r="B117" s="372"/>
      <c r="C117" s="400">
        <f>+BILAN!F19-Notes!C116</f>
        <v>0</v>
      </c>
      <c r="D117" s="400">
        <f>+BILAN!G19-Notes!D116</f>
        <v>0</v>
      </c>
    </row>
    <row r="118" spans="1:5" ht="15" customHeight="1" thickBot="1" x14ac:dyDescent="0.3">
      <c r="B118" s="372"/>
    </row>
    <row r="119" spans="1:5" ht="18.75" customHeight="1" thickBot="1" x14ac:dyDescent="0.3">
      <c r="B119" s="388" t="s">
        <v>8945</v>
      </c>
    </row>
    <row r="120" spans="1:5" ht="12" customHeight="1" x14ac:dyDescent="0.25"/>
    <row r="121" spans="1:5" ht="12" customHeight="1" x14ac:dyDescent="0.25">
      <c r="B121" s="356" t="str">
        <f>+A121&amp;"Au 31/12/2024 le solde de cette rubrique s'élève à " &amp; ROUND($C$133,3) &amp;" dt contre " &amp; ROUND($D$133,3) &amp;" dt au 31/12/2023"</f>
        <v>Au 31/12/2024 le solde de cette rubrique s'élève à 23782077,354 dt contre 18964385,194 dt au 31/12/2023</v>
      </c>
    </row>
    <row r="122" spans="1:5" ht="12" customHeight="1" x14ac:dyDescent="0.25"/>
    <row r="123" spans="1:5" ht="15.75" customHeight="1" x14ac:dyDescent="0.25">
      <c r="B123" s="389" t="s">
        <v>527</v>
      </c>
      <c r="C123" s="389" t="s">
        <v>10430</v>
      </c>
      <c r="D123" s="389" t="s">
        <v>10431</v>
      </c>
      <c r="E123" s="389" t="s">
        <v>6</v>
      </c>
    </row>
    <row r="124" spans="1:5" s="395" customFormat="1" ht="12.75" customHeight="1" x14ac:dyDescent="0.25">
      <c r="A124" s="391"/>
      <c r="B124" s="405" t="s">
        <v>8981</v>
      </c>
      <c r="C124" s="392">
        <v>13057031.635999978</v>
      </c>
      <c r="D124" s="392">
        <v>10578447.823000001</v>
      </c>
      <c r="E124" s="393">
        <f>+C124-D124</f>
        <v>2478583.8129999768</v>
      </c>
    </row>
    <row r="125" spans="1:5" s="395" customFormat="1" ht="12.75" customHeight="1" x14ac:dyDescent="0.25">
      <c r="A125" s="391"/>
      <c r="B125" s="405" t="s">
        <v>8982</v>
      </c>
      <c r="C125" s="392">
        <v>1934580.7530000005</v>
      </c>
      <c r="D125" s="392">
        <v>0</v>
      </c>
      <c r="E125" s="393">
        <f t="shared" ref="E125:E132" si="4">+C125-D125</f>
        <v>1934580.7530000005</v>
      </c>
    </row>
    <row r="126" spans="1:5" s="395" customFormat="1" ht="12.75" customHeight="1" x14ac:dyDescent="0.25">
      <c r="A126" s="391"/>
      <c r="B126" s="405" t="s">
        <v>8983</v>
      </c>
      <c r="C126" s="392">
        <v>1126945.2819999997</v>
      </c>
      <c r="D126" s="392">
        <v>0</v>
      </c>
      <c r="E126" s="393">
        <f t="shared" si="4"/>
        <v>1126945.2819999997</v>
      </c>
    </row>
    <row r="127" spans="1:5" s="395" customFormat="1" ht="12.75" customHeight="1" x14ac:dyDescent="0.25">
      <c r="A127" s="391"/>
      <c r="B127" s="405" t="s">
        <v>9652</v>
      </c>
      <c r="C127" s="392">
        <v>522873.02300000028</v>
      </c>
      <c r="D127" s="392">
        <v>0</v>
      </c>
      <c r="E127" s="393">
        <f t="shared" si="4"/>
        <v>522873.02300000028</v>
      </c>
    </row>
    <row r="128" spans="1:5" s="395" customFormat="1" ht="12.75" customHeight="1" x14ac:dyDescent="0.25">
      <c r="A128" s="391"/>
      <c r="B128" s="405" t="s">
        <v>9654</v>
      </c>
      <c r="C128" s="392">
        <v>2104865.8600000013</v>
      </c>
      <c r="D128" s="392">
        <v>3623716.9789999998</v>
      </c>
      <c r="E128" s="393">
        <f t="shared" ref="E128" si="5">+C128-D128</f>
        <v>-1518851.1189999986</v>
      </c>
    </row>
    <row r="129" spans="1:9" s="395" customFormat="1" ht="12.75" customHeight="1" x14ac:dyDescent="0.25">
      <c r="A129" s="391"/>
      <c r="B129" s="405" t="s">
        <v>9655</v>
      </c>
      <c r="C129" s="392">
        <v>1210421.1399999997</v>
      </c>
      <c r="D129" s="392">
        <v>1510028.7139999999</v>
      </c>
      <c r="E129" s="393">
        <f t="shared" ref="E129" si="6">+C129-D129</f>
        <v>-299607.57400000026</v>
      </c>
    </row>
    <row r="130" spans="1:9" s="395" customFormat="1" ht="12.75" customHeight="1" x14ac:dyDescent="0.25">
      <c r="A130" s="391"/>
      <c r="B130" s="405" t="s">
        <v>9656</v>
      </c>
      <c r="C130" s="392">
        <v>842659.62299999967</v>
      </c>
      <c r="D130" s="392">
        <v>1314940.304</v>
      </c>
      <c r="E130" s="393">
        <f t="shared" ref="E130" si="7">+C130-D130</f>
        <v>-472280.68100000033</v>
      </c>
    </row>
    <row r="131" spans="1:9" s="395" customFormat="1" ht="12.75" customHeight="1" x14ac:dyDescent="0.25">
      <c r="A131" s="391"/>
      <c r="B131" s="405" t="s">
        <v>9657</v>
      </c>
      <c r="C131" s="392">
        <v>608641.67099998891</v>
      </c>
      <c r="D131" s="392">
        <v>1540432.456</v>
      </c>
      <c r="E131" s="393">
        <f t="shared" ref="E131" si="8">+C131-D131</f>
        <v>-931790.78500001109</v>
      </c>
    </row>
    <row r="132" spans="1:9" s="395" customFormat="1" ht="12.75" customHeight="1" x14ac:dyDescent="0.25">
      <c r="A132" s="391"/>
      <c r="B132" s="405" t="s">
        <v>23</v>
      </c>
      <c r="C132" s="392">
        <f>1507375.487+866682.879</f>
        <v>2374058.3659999999</v>
      </c>
      <c r="D132" s="392">
        <v>396818.91800000001</v>
      </c>
      <c r="E132" s="393">
        <f t="shared" si="4"/>
        <v>1977239.4479999999</v>
      </c>
      <c r="G132" s="356"/>
      <c r="H132" s="356"/>
      <c r="I132" s="356"/>
    </row>
    <row r="133" spans="1:9" ht="16.5" customHeight="1" x14ac:dyDescent="0.25">
      <c r="B133" s="396" t="s">
        <v>8940</v>
      </c>
      <c r="C133" s="396">
        <f>SUM(C124:C132)</f>
        <v>23782077.353999969</v>
      </c>
      <c r="D133" s="396">
        <f>SUM(D124:D132)</f>
        <v>18964385.194000002</v>
      </c>
      <c r="E133" s="396">
        <f>SUM(E124:E132)</f>
        <v>4817692.1599999666</v>
      </c>
    </row>
    <row r="134" spans="1:9" ht="17.25" customHeight="1" x14ac:dyDescent="0.25">
      <c r="C134" s="400">
        <f>BILAN!F21-C133</f>
        <v>-5.7008117437362671E-5</v>
      </c>
      <c r="D134" s="400">
        <f>BILAN!G21-D133</f>
        <v>-5.7019293308258057E-5</v>
      </c>
    </row>
    <row r="135" spans="1:9" ht="17.25" customHeight="1" thickBot="1" x14ac:dyDescent="0.3"/>
    <row r="136" spans="1:9" ht="20.100000000000001" customHeight="1" thickBot="1" x14ac:dyDescent="0.3">
      <c r="B136" s="388" t="s">
        <v>8946</v>
      </c>
    </row>
    <row r="137" spans="1:9" ht="12" customHeight="1" x14ac:dyDescent="0.25"/>
    <row r="138" spans="1:9" s="367" customFormat="1" ht="12" customHeight="1" x14ac:dyDescent="0.25">
      <c r="A138" s="366"/>
      <c r="B138" s="356" t="str">
        <f>+A138&amp;"Le solde de cette rubrique s'élève au 31/12/2024 à " &amp; ROUND($C$157,3) &amp;" dt contre " &amp; ROUND($D$157,3) &amp;" dt au 31/12/2023"</f>
        <v>Le solde de cette rubrique s'élève au 31/12/2024 à 6703368,393 dt contre 2176198,671 dt au 31/12/2023</v>
      </c>
      <c r="G138" s="356"/>
      <c r="H138" s="356"/>
      <c r="I138" s="356"/>
    </row>
    <row r="139" spans="1:9" ht="12" customHeight="1" x14ac:dyDescent="0.25"/>
    <row r="140" spans="1:9" s="362" customFormat="1" ht="20.100000000000001" customHeight="1" x14ac:dyDescent="0.25">
      <c r="A140" s="352"/>
      <c r="B140" s="389" t="s">
        <v>527</v>
      </c>
      <c r="C140" s="389" t="s">
        <v>10430</v>
      </c>
      <c r="D140" s="389" t="s">
        <v>10431</v>
      </c>
      <c r="E140" s="389" t="s">
        <v>6</v>
      </c>
      <c r="G140" s="356"/>
    </row>
    <row r="141" spans="1:9" s="395" customFormat="1" ht="12.75" customHeight="1" x14ac:dyDescent="0.2">
      <c r="A141" s="391"/>
      <c r="B141" s="10" t="s">
        <v>77</v>
      </c>
      <c r="C141" s="392">
        <f>SUMIF('BAL 12-24'!$B:$B,B141,'BAL 12-24'!$I:$I)</f>
        <v>8322.3809999999794</v>
      </c>
      <c r="D141" s="392">
        <f>SUMIF('BAL 12-23'!$B:$B,B141,'BAL 12-23'!$G:$G)</f>
        <v>21139.859999999986</v>
      </c>
      <c r="E141" s="393">
        <f t="shared" ref="E141:E156" si="9">+C141-D141</f>
        <v>-12817.479000000007</v>
      </c>
      <c r="G141" s="356"/>
    </row>
    <row r="142" spans="1:9" s="395" customFormat="1" ht="12.75" customHeight="1" x14ac:dyDescent="0.2">
      <c r="A142" s="391"/>
      <c r="B142" s="10" t="s">
        <v>315</v>
      </c>
      <c r="C142" s="392">
        <f>SUMIF('BAL 12-24'!$B:$B,B142,'BAL 12-24'!$I:$I)</f>
        <v>4.7000000002299203E-2</v>
      </c>
      <c r="D142" s="392">
        <f>SUMIF('BAL 12-23'!$B:$B,B142,'BAL 12-23'!$G:$G)</f>
        <v>4.6999999998661224E-2</v>
      </c>
      <c r="E142" s="393">
        <f>+C142-D142</f>
        <v>3.637978807091713E-12</v>
      </c>
      <c r="G142" s="356"/>
    </row>
    <row r="143" spans="1:9" s="395" customFormat="1" ht="12.75" customHeight="1" x14ac:dyDescent="0.2">
      <c r="A143" s="391"/>
      <c r="B143" s="10" t="s">
        <v>95</v>
      </c>
      <c r="C143" s="392">
        <v>0</v>
      </c>
      <c r="D143" s="392">
        <f>SUMIF('BAL 12-23'!$B:$B,B143,'BAL 12-23'!$G:$G)</f>
        <v>1.0999999940395355E-2</v>
      </c>
      <c r="E143" s="393">
        <f>+C143-D143</f>
        <v>-1.0999999940395355E-2</v>
      </c>
      <c r="G143" s="356"/>
    </row>
    <row r="144" spans="1:9" s="395" customFormat="1" ht="12.75" customHeight="1" x14ac:dyDescent="0.2">
      <c r="A144" s="391"/>
      <c r="B144" s="10" t="s">
        <v>91</v>
      </c>
      <c r="C144" s="392">
        <f>SUMIF('BAL 12-24'!$B:$B,B144,'BAL 12-24'!$I:$I)</f>
        <v>687835.35199999949</v>
      </c>
      <c r="D144" s="392">
        <f>SUMIF('BAL 12-23'!$B:$B,B144,'BAL 12-23'!$G:$G)</f>
        <v>967729.65199999989</v>
      </c>
      <c r="E144" s="393">
        <f t="shared" ref="E144" si="10">+C144-D144</f>
        <v>-279894.3000000004</v>
      </c>
      <c r="G144" s="356"/>
    </row>
    <row r="145" spans="1:7" s="395" customFormat="1" ht="12.75" customHeight="1" x14ac:dyDescent="0.2">
      <c r="A145" s="391"/>
      <c r="B145" s="10" t="s">
        <v>318</v>
      </c>
      <c r="C145" s="392">
        <f>SUMIF('BAL 12-24'!$B:$B,B145,'BAL 12-24'!$I:$I)</f>
        <v>430873.97799999989</v>
      </c>
      <c r="D145" s="392">
        <f>SUMIF('BAL 12-23'!$B:$B,B145,'BAL 12-23'!$G:$G)</f>
        <v>0</v>
      </c>
      <c r="E145" s="393">
        <f>+C145-D145</f>
        <v>430873.97799999989</v>
      </c>
      <c r="G145" s="356"/>
    </row>
    <row r="146" spans="1:7" s="395" customFormat="1" ht="12.75" customHeight="1" x14ac:dyDescent="0.2">
      <c r="A146" s="391"/>
      <c r="B146" s="10" t="s">
        <v>93</v>
      </c>
      <c r="C146" s="392">
        <f>SUMIF('BAL 12-24'!$B:$B,B146,'BAL 12-24'!$I:$I)</f>
        <v>4952172.6550000012</v>
      </c>
      <c r="D146" s="392">
        <f>SUMIF('BAL 12-23'!$B:$B,B146,'BAL 12-23'!$G:$G)</f>
        <v>697619.66199998744</v>
      </c>
      <c r="E146" s="393">
        <f t="shared" si="9"/>
        <v>4254552.9930000138</v>
      </c>
      <c r="G146" s="356"/>
    </row>
    <row r="147" spans="1:7" s="395" customFormat="1" ht="12.75" customHeight="1" x14ac:dyDescent="0.2">
      <c r="A147" s="391"/>
      <c r="B147" s="10" t="s">
        <v>96</v>
      </c>
      <c r="C147" s="392">
        <f>SUMIF('BAL 12-24'!$B:$B,B147,'BAL 12-24'!$I:$I)</f>
        <v>-2.1827872842550278E-11</v>
      </c>
      <c r="D147" s="392">
        <f>SUMIF('BAL 12-23'!$B:$B,B147,'BAL 12-23'!$G:$G)</f>
        <v>6400.8770000000368</v>
      </c>
      <c r="E147" s="393">
        <f t="shared" si="9"/>
        <v>-6400.8770000000586</v>
      </c>
      <c r="G147" s="356"/>
    </row>
    <row r="148" spans="1:7" s="395" customFormat="1" ht="12.75" customHeight="1" x14ac:dyDescent="0.2">
      <c r="A148" s="391"/>
      <c r="B148" s="10" t="s">
        <v>324</v>
      </c>
      <c r="C148" s="392">
        <f>SUMIF('BAL 12-24'!$B:$B,B148,'BAL 12-24'!$I:$I)</f>
        <v>-3.637978807091713E-12</v>
      </c>
      <c r="D148" s="392">
        <f>SUMIF('BAL 12-23'!$B:$B,B148,'BAL 12-23'!$G:$G)</f>
        <v>-7.2759576141834259E-12</v>
      </c>
      <c r="E148" s="393">
        <f t="shared" si="9"/>
        <v>3.637978807091713E-12</v>
      </c>
      <c r="G148" s="356"/>
    </row>
    <row r="149" spans="1:7" s="395" customFormat="1" ht="12.75" customHeight="1" x14ac:dyDescent="0.2">
      <c r="A149" s="391"/>
      <c r="B149" s="10" t="s">
        <v>97</v>
      </c>
      <c r="C149" s="392">
        <f>SUMIF('BAL 12-24'!$B:$B,B149,'BAL 12-24'!$I:$I)</f>
        <v>1.0000076144933701E-3</v>
      </c>
      <c r="D149" s="392">
        <v>0</v>
      </c>
      <c r="E149" s="393">
        <f>+C149-D149</f>
        <v>1.0000076144933701E-3</v>
      </c>
      <c r="G149" s="356"/>
    </row>
    <row r="150" spans="1:7" s="395" customFormat="1" ht="12.75" customHeight="1" x14ac:dyDescent="0.2">
      <c r="A150" s="391"/>
      <c r="B150" s="10" t="s">
        <v>10105</v>
      </c>
      <c r="C150" s="392">
        <f>SUMIF('BAL 12-24'!$B:$B,B150,'BAL 12-24'!$I:$I)</f>
        <v>0</v>
      </c>
      <c r="D150" s="392">
        <f>SUMIF('BAL 12-23'!$B:$B,B150,'BAL 12-23'!$G:$G)</f>
        <v>44498.300999999978</v>
      </c>
      <c r="E150" s="393">
        <f t="shared" ref="E150" si="11">+C150-D150</f>
        <v>-44498.300999999978</v>
      </c>
      <c r="G150" s="356"/>
    </row>
    <row r="151" spans="1:7" s="395" customFormat="1" ht="12.75" customHeight="1" x14ac:dyDescent="0.2">
      <c r="A151" s="391"/>
      <c r="B151" s="10" t="s">
        <v>336</v>
      </c>
      <c r="C151" s="392">
        <f>SUMIF('BAL 12-24'!$B:$B,B151,'BAL 12-24'!$I:$I)</f>
        <v>225000</v>
      </c>
      <c r="D151" s="392">
        <f>SUMIF('BAL 12-23'!$B:$B,B151,'BAL 12-23'!$G:$G)</f>
        <v>165000</v>
      </c>
      <c r="E151" s="393">
        <f t="shared" si="9"/>
        <v>60000</v>
      </c>
      <c r="G151" s="356"/>
    </row>
    <row r="152" spans="1:7" s="395" customFormat="1" ht="12.75" customHeight="1" x14ac:dyDescent="0.2">
      <c r="A152" s="391"/>
      <c r="B152" s="10" t="s">
        <v>337</v>
      </c>
      <c r="C152" s="392">
        <f>SUMIF('BAL 12-24'!$B:$B,B152,'BAL 12-24'!$I:$I)</f>
        <v>2270.971</v>
      </c>
      <c r="D152" s="392">
        <f>SUMIF('BAL 12-23'!$B:$B,B152,'BAL 12-23'!$G:$G)</f>
        <v>2270.971</v>
      </c>
      <c r="E152" s="393">
        <f t="shared" si="9"/>
        <v>0</v>
      </c>
      <c r="G152" s="356"/>
    </row>
    <row r="153" spans="1:7" s="395" customFormat="1" ht="12.75" customHeight="1" x14ac:dyDescent="0.2">
      <c r="A153" s="391"/>
      <c r="B153" s="10" t="s">
        <v>392</v>
      </c>
      <c r="C153" s="392">
        <f>SUMIF('BAL 12-24'!$B:$B,B153,'BAL 12-24'!$I:$I)</f>
        <v>3626.8820000002161</v>
      </c>
      <c r="D153" s="392">
        <f>SUMIF('BAL 12-23'!$B:$B,B153,'BAL 12-23'!$G:$G)</f>
        <v>3626.8820000002161</v>
      </c>
      <c r="E153" s="393">
        <f t="shared" si="9"/>
        <v>0</v>
      </c>
      <c r="G153" s="356"/>
    </row>
    <row r="154" spans="1:7" s="395" customFormat="1" ht="12.75" customHeight="1" x14ac:dyDescent="0.2">
      <c r="A154" s="391"/>
      <c r="B154" s="10" t="s">
        <v>105</v>
      </c>
      <c r="C154" s="392">
        <f>SUMIF('BAL 12-24'!$B:$B,B154,'BAL 12-24'!$I:$I)</f>
        <v>7122.9679999998771</v>
      </c>
      <c r="D154" s="392">
        <f>SUMIF('BAL 12-23'!$B:$B,B154,'BAL 12-23'!$G:$G)</f>
        <v>7122.9679999999998</v>
      </c>
      <c r="E154" s="393">
        <f t="shared" si="9"/>
        <v>-1.2278178473934531E-10</v>
      </c>
      <c r="G154" s="356"/>
    </row>
    <row r="155" spans="1:7" s="395" customFormat="1" ht="12.75" customHeight="1" x14ac:dyDescent="0.2">
      <c r="A155" s="391"/>
      <c r="B155" s="10" t="s">
        <v>107</v>
      </c>
      <c r="C155" s="392">
        <f>SUMIF('BAL 12-24'!$B:$B,B155,'BAL 12-24'!$I:$I)</f>
        <v>20281.595999999088</v>
      </c>
      <c r="D155" s="392">
        <f>SUMIF('BAL 12-23'!$B:$B,B155,'BAL 12-23'!$G:$G)</f>
        <v>38770.517999999691</v>
      </c>
      <c r="E155" s="393">
        <f t="shared" si="9"/>
        <v>-18488.922000000603</v>
      </c>
      <c r="G155" s="356"/>
    </row>
    <row r="156" spans="1:7" s="395" customFormat="1" ht="12.75" customHeight="1" thickBot="1" x14ac:dyDescent="0.25">
      <c r="A156" s="391"/>
      <c r="B156" s="10" t="s">
        <v>109</v>
      </c>
      <c r="C156" s="392">
        <f>SUMIF('BAL 12-24'!$B:$B,B156,'BAL 12-24'!$I:$I)</f>
        <v>365861.56184599991</v>
      </c>
      <c r="D156" s="392">
        <f>SUMIF('BAL 12-23'!$B:$B,B156,'BAL 12-23'!$G:$G)</f>
        <v>222018.92184600013</v>
      </c>
      <c r="E156" s="393">
        <f t="shared" si="9"/>
        <v>143842.63999999978</v>
      </c>
      <c r="G156" s="356"/>
    </row>
    <row r="157" spans="1:7" ht="15" customHeight="1" thickBot="1" x14ac:dyDescent="0.3">
      <c r="B157" s="412" t="s">
        <v>8940</v>
      </c>
      <c r="C157" s="413">
        <f>SUM(C141:C156)</f>
        <v>6703368.3928460078</v>
      </c>
      <c r="D157" s="413">
        <f>SUM(D141:D156)</f>
        <v>2176198.6708459873</v>
      </c>
      <c r="E157" s="414">
        <f>SUM(E141:E156)</f>
        <v>4527169.7220000196</v>
      </c>
    </row>
    <row r="158" spans="1:7" ht="17.25" customHeight="1" x14ac:dyDescent="0.25">
      <c r="C158" s="400">
        <f>+BILAN!F23-Notes!C157</f>
        <v>0</v>
      </c>
      <c r="D158" s="400">
        <f>+BILAN!G23-Notes!D157</f>
        <v>0</v>
      </c>
    </row>
    <row r="159" spans="1:7" ht="18" customHeight="1" thickBot="1" x14ac:dyDescent="0.3"/>
    <row r="160" spans="1:7" ht="18" customHeight="1" thickBot="1" x14ac:dyDescent="0.3">
      <c r="B160" s="388" t="s">
        <v>8947</v>
      </c>
    </row>
    <row r="161" spans="1:6" ht="12" customHeight="1" x14ac:dyDescent="0.25"/>
    <row r="162" spans="1:6" s="367" customFormat="1" ht="13.5" customHeight="1" x14ac:dyDescent="0.25">
      <c r="A162" s="366"/>
      <c r="B162" s="367" t="s">
        <v>10432</v>
      </c>
    </row>
    <row r="163" spans="1:6" ht="12" customHeight="1" thickBot="1" x14ac:dyDescent="0.3"/>
    <row r="164" spans="1:6" ht="20.100000000000001" customHeight="1" thickBot="1" x14ac:dyDescent="0.3">
      <c r="B164" s="388" t="s">
        <v>8948</v>
      </c>
    </row>
    <row r="165" spans="1:6" ht="9" customHeight="1" x14ac:dyDescent="0.25"/>
    <row r="166" spans="1:6" ht="15" customHeight="1" x14ac:dyDescent="0.25">
      <c r="B166" s="356" t="str">
        <f>+A166&amp;"Au 31/12/2024 le solde de cette rubrique s'élève à " &amp; ROUND($C$179,3) &amp;" dt contre un solde de " &amp; ROUND($D$179,3) &amp;" dt au 31/12/2023"</f>
        <v>Au 31/12/2024 le solde de cette rubrique s'élève à 1878933,505 dt contre un solde de 2332633,512 dt au 31/12/2023</v>
      </c>
      <c r="F166" s="415"/>
    </row>
    <row r="167" spans="1:6" ht="10.5" customHeight="1" x14ac:dyDescent="0.25">
      <c r="F167" s="415"/>
    </row>
    <row r="168" spans="1:6" s="362" customFormat="1" ht="20.100000000000001" customHeight="1" x14ac:dyDescent="0.25">
      <c r="A168" s="352"/>
      <c r="B168" s="389" t="s">
        <v>527</v>
      </c>
      <c r="C168" s="389" t="s">
        <v>10430</v>
      </c>
      <c r="D168" s="389" t="s">
        <v>10431</v>
      </c>
      <c r="E168" s="389" t="s">
        <v>6</v>
      </c>
    </row>
    <row r="169" spans="1:6" s="395" customFormat="1" ht="12.75" customHeight="1" x14ac:dyDescent="0.2">
      <c r="A169" s="391"/>
      <c r="B169" s="10" t="s">
        <v>120</v>
      </c>
      <c r="C169" s="392">
        <v>0</v>
      </c>
      <c r="D169" s="392">
        <f>SUMIF('BAL 12-23'!$B:$B,B169,'BAL 12-23'!$G:$G)</f>
        <v>185799.56100000441</v>
      </c>
      <c r="E169" s="393">
        <f t="shared" ref="E169:E178" si="12">+C169-D169</f>
        <v>-185799.56100000441</v>
      </c>
    </row>
    <row r="170" spans="1:6" s="395" customFormat="1" ht="12.75" customHeight="1" x14ac:dyDescent="0.25">
      <c r="A170" s="391"/>
      <c r="B170" s="405" t="s">
        <v>122</v>
      </c>
      <c r="C170" s="392">
        <f>SUMIF('BAL 12-24'!$B:$B,B170,'BAL 12-24'!$I:$I)</f>
        <v>435.74199999962002</v>
      </c>
      <c r="D170" s="392">
        <f>SUMIF('BAL 12-23'!$B:$B,B170,'BAL 12-23'!$G:$G)</f>
        <v>435.74199999962002</v>
      </c>
      <c r="E170" s="393">
        <f t="shared" si="12"/>
        <v>0</v>
      </c>
    </row>
    <row r="171" spans="1:6" s="395" customFormat="1" ht="12.75" customHeight="1" x14ac:dyDescent="0.25">
      <c r="A171" s="391"/>
      <c r="B171" s="405" t="s">
        <v>123</v>
      </c>
      <c r="C171" s="392">
        <f>SUMIF('BAL 12-24'!$B:$B,B171,'BAL 12-24'!$I:$I)</f>
        <v>5874.02</v>
      </c>
      <c r="D171" s="392">
        <f>SUMIF('BAL 12-23'!$B:$B,B171,'BAL 12-23'!$G:$G)</f>
        <v>5874.02</v>
      </c>
      <c r="E171" s="393">
        <f t="shared" si="12"/>
        <v>0</v>
      </c>
    </row>
    <row r="172" spans="1:6" s="395" customFormat="1" ht="12.75" customHeight="1" x14ac:dyDescent="0.25">
      <c r="A172" s="391"/>
      <c r="B172" s="405" t="s">
        <v>349</v>
      </c>
      <c r="C172" s="392">
        <f>SUMIF('BAL 12-24'!$B:$B,B172,'BAL 12-24'!$I:$I)</f>
        <v>-1.1059455573558807E-9</v>
      </c>
      <c r="D172" s="392">
        <f>SUMIF('BAL 12-23'!$B:$B,B172,'BAL 12-23'!$G:$G)</f>
        <v>159807.23200000031</v>
      </c>
      <c r="E172" s="393">
        <f t="shared" si="12"/>
        <v>-159807.23200000142</v>
      </c>
    </row>
    <row r="173" spans="1:6" s="395" customFormat="1" ht="12.75" customHeight="1" x14ac:dyDescent="0.25">
      <c r="A173" s="391"/>
      <c r="B173" s="405" t="s">
        <v>9637</v>
      </c>
      <c r="C173" s="392">
        <f>SUMIF('BAL 12-24'!$B:$B,B173,'BAL 12-24'!$I:$I)</f>
        <v>5000</v>
      </c>
      <c r="D173" s="392">
        <f>SUMIF('BAL 12-23'!$B:$B,B173,'BAL 12-23'!$G:$G)</f>
        <v>0</v>
      </c>
      <c r="E173" s="393">
        <f t="shared" ref="E173" si="13">+C173-D173</f>
        <v>5000</v>
      </c>
    </row>
    <row r="174" spans="1:6" s="395" customFormat="1" ht="12.75" customHeight="1" x14ac:dyDescent="0.15">
      <c r="A174" s="391"/>
      <c r="B174" s="416" t="s">
        <v>124</v>
      </c>
      <c r="C174" s="392">
        <f>SUMIF('BAL 12-24'!$B:$B,B174,'BAL 12-24'!$I:$I)</f>
        <v>1832.2139999914143</v>
      </c>
      <c r="D174" s="392">
        <f>SUMIF('BAL 12-23'!$B:$B,B174,'BAL 12-23'!$G:$G)</f>
        <v>12925.083999977098</v>
      </c>
      <c r="E174" s="393">
        <f t="shared" si="12"/>
        <v>-11092.869999985684</v>
      </c>
    </row>
    <row r="175" spans="1:6" s="395" customFormat="1" ht="12.75" customHeight="1" x14ac:dyDescent="0.25">
      <c r="A175" s="391"/>
      <c r="B175" s="405" t="s">
        <v>129</v>
      </c>
      <c r="C175" s="392">
        <f>SUMIF('BAL 12-24'!$B:$B,B175,'BAL 12-24'!$I:$I)</f>
        <v>1865638.9835971971</v>
      </c>
      <c r="D175" s="392">
        <f>SUMIF('BAL 12-23'!$B:$B,B175,'BAL 12-23'!$G:$G)</f>
        <v>1964289.2105972022</v>
      </c>
      <c r="E175" s="393">
        <f t="shared" si="12"/>
        <v>-98650.227000005078</v>
      </c>
    </row>
    <row r="176" spans="1:6" s="395" customFormat="1" ht="12.75" customHeight="1" x14ac:dyDescent="0.25">
      <c r="A176" s="391"/>
      <c r="B176" s="405" t="s">
        <v>355</v>
      </c>
      <c r="C176" s="392">
        <f>SUMIF('BAL 12-24'!$B:$B,B176,'BAL 12-24'!$I:$I)</f>
        <v>57.261999999545537</v>
      </c>
      <c r="D176" s="392">
        <f>SUMIF('BAL 12-23'!$B:$B,B176,'BAL 12-23'!$G:$G)</f>
        <v>485.66199999954551</v>
      </c>
      <c r="E176" s="393">
        <f t="shared" si="12"/>
        <v>-428.4</v>
      </c>
    </row>
    <row r="177" spans="1:5" s="395" customFormat="1" ht="12.75" customHeight="1" x14ac:dyDescent="0.25">
      <c r="A177" s="391"/>
      <c r="B177" s="405" t="s">
        <v>132</v>
      </c>
      <c r="C177" s="392">
        <f>SUMIF('BAL 12-24'!$B:$B,B177,'BAL 12-24'!$I:$I)</f>
        <v>3000</v>
      </c>
      <c r="D177" s="392">
        <f>SUMIF('BAL 12-23'!$B:$B,B177,'BAL 12-23'!$G:$G)</f>
        <v>3000</v>
      </c>
      <c r="E177" s="393">
        <f t="shared" si="12"/>
        <v>0</v>
      </c>
    </row>
    <row r="178" spans="1:5" s="395" customFormat="1" ht="12.75" customHeight="1" thickBot="1" x14ac:dyDescent="0.3">
      <c r="A178" s="391"/>
      <c r="B178" s="405" t="s">
        <v>131</v>
      </c>
      <c r="C178" s="392">
        <f>SUMIF('BAL 12-24'!$B:$B,B178,'BAL 12-24'!$I:$I)</f>
        <v>-2904.7169999999896</v>
      </c>
      <c r="D178" s="392">
        <f>SUMIF('BAL 12-23'!$B:$B,B178,'BAL 12-23'!$G:$G)</f>
        <v>17</v>
      </c>
      <c r="E178" s="393">
        <f t="shared" si="12"/>
        <v>-2921.7169999999896</v>
      </c>
    </row>
    <row r="179" spans="1:5" ht="15" customHeight="1" thickBot="1" x14ac:dyDescent="0.3">
      <c r="B179" s="412" t="s">
        <v>8940</v>
      </c>
      <c r="C179" s="413">
        <f>SUM(C169:C178)</f>
        <v>1878933.5045971868</v>
      </c>
      <c r="D179" s="413">
        <f>SUM(D169:D178)</f>
        <v>2332633.5115971831</v>
      </c>
      <c r="E179" s="414">
        <f>SUM(E169:E178)</f>
        <v>-453700.00699999661</v>
      </c>
    </row>
    <row r="180" spans="1:5" ht="15" customHeight="1" x14ac:dyDescent="0.25">
      <c r="B180" s="358"/>
      <c r="C180" s="400">
        <f>+BILAN!F25-Notes!C179</f>
        <v>4.8583745956420898E-4</v>
      </c>
      <c r="D180" s="400">
        <f>+BILAN!G25-Notes!D179</f>
        <v>0</v>
      </c>
      <c r="E180" s="358"/>
    </row>
    <row r="181" spans="1:5" ht="20.100000000000001" customHeight="1" thickBot="1" x14ac:dyDescent="0.3"/>
    <row r="182" spans="1:5" ht="20.100000000000001" customHeight="1" thickBot="1" x14ac:dyDescent="0.3">
      <c r="B182" s="420"/>
      <c r="C182" s="421" t="s">
        <v>8949</v>
      </c>
      <c r="D182" s="422"/>
      <c r="E182" s="423"/>
    </row>
    <row r="183" spans="1:5" ht="13.5" customHeight="1" x14ac:dyDescent="0.25">
      <c r="B183" s="362"/>
      <c r="C183" s="424"/>
      <c r="D183" s="362"/>
      <c r="E183" s="424"/>
    </row>
    <row r="184" spans="1:5" ht="13.5" customHeight="1" thickBot="1" x14ac:dyDescent="0.3"/>
    <row r="185" spans="1:5" ht="20.100000000000001" customHeight="1" thickBot="1" x14ac:dyDescent="0.3">
      <c r="B185" s="388" t="s">
        <v>8950</v>
      </c>
    </row>
    <row r="186" spans="1:5" ht="16.5" customHeight="1" x14ac:dyDescent="0.25"/>
    <row r="187" spans="1:5" s="367" customFormat="1" ht="15" customHeight="1" x14ac:dyDescent="0.25">
      <c r="A187" s="366"/>
      <c r="B187" s="367" t="s">
        <v>8951</v>
      </c>
    </row>
    <row r="188" spans="1:5" s="367" customFormat="1" ht="15" customHeight="1" x14ac:dyDescent="0.25">
      <c r="A188" s="366"/>
      <c r="B188" s="367" t="s">
        <v>8952</v>
      </c>
    </row>
    <row r="189" spans="1:5" ht="14.25" customHeight="1" thickBot="1" x14ac:dyDescent="0.3"/>
    <row r="190" spans="1:5" ht="20.100000000000001" customHeight="1" thickBot="1" x14ac:dyDescent="0.3">
      <c r="B190" s="388" t="s">
        <v>10433</v>
      </c>
    </row>
    <row r="191" spans="1:5" x14ac:dyDescent="0.25">
      <c r="B191" s="372"/>
    </row>
    <row r="192" spans="1:5" s="367" customFormat="1" ht="15" customHeight="1" x14ac:dyDescent="0.25">
      <c r="A192" s="366"/>
      <c r="B192" s="367" t="s">
        <v>10434</v>
      </c>
    </row>
    <row r="193" spans="1:5" s="367" customFormat="1" ht="15" customHeight="1" x14ac:dyDescent="0.25">
      <c r="A193" s="366"/>
      <c r="B193" s="367" t="s">
        <v>8953</v>
      </c>
    </row>
    <row r="194" spans="1:5" s="363" customFormat="1" ht="15" customHeight="1" x14ac:dyDescent="0.25">
      <c r="C194" s="425">
        <v>2024</v>
      </c>
      <c r="D194" s="425">
        <v>2023</v>
      </c>
    </row>
    <row r="195" spans="1:5" s="395" customFormat="1" ht="12.75" customHeight="1" x14ac:dyDescent="0.25">
      <c r="A195" s="391"/>
      <c r="B195" s="405" t="s">
        <v>8</v>
      </c>
      <c r="C195" s="392">
        <f>-SUMIF('BAL 12-24'!$B:$B,B195,'BAL 12-24'!$I:$I)</f>
        <v>13500000</v>
      </c>
      <c r="D195" s="392">
        <f>-SUMIF('BAL 12-23'!$B:$B,B195,'BAL 12-23'!$G:$G)</f>
        <v>13500000</v>
      </c>
      <c r="E195" s="356"/>
    </row>
    <row r="196" spans="1:5" s="395" customFormat="1" ht="12.75" customHeight="1" x14ac:dyDescent="0.25">
      <c r="A196" s="391"/>
      <c r="B196" s="405" t="s">
        <v>9</v>
      </c>
      <c r="C196" s="392">
        <f>-SUMIF('BAL 12-24'!$B:$B,B196,'BAL 12-24'!$I:$I)</f>
        <v>1200000</v>
      </c>
      <c r="D196" s="392">
        <f>-SUMIF('BAL 12-23'!$B:$B,B196,'BAL 12-23'!$G:$G)</f>
        <v>1200000</v>
      </c>
      <c r="E196" s="356"/>
    </row>
    <row r="197" spans="1:5" s="395" customFormat="1" ht="12.75" customHeight="1" x14ac:dyDescent="0.25">
      <c r="A197" s="391"/>
      <c r="B197" s="405" t="s">
        <v>15</v>
      </c>
      <c r="C197" s="392">
        <f>-SUMIF('BAL 12-24'!$B:$B,B197,'BAL 12-24'!$I:$I)</f>
        <v>3479108.84</v>
      </c>
      <c r="D197" s="392">
        <f>-SUMIF('BAL 12-23'!$B:$B,B197,'BAL 12-23'!$G:$G)</f>
        <v>3479108.84</v>
      </c>
      <c r="E197" s="356"/>
    </row>
    <row r="198" spans="1:5" s="395" customFormat="1" ht="12.75" customHeight="1" x14ac:dyDescent="0.25">
      <c r="A198" s="391"/>
      <c r="B198" s="405" t="s">
        <v>17</v>
      </c>
      <c r="C198" s="392">
        <f>-SUMIF('BAL 12-24'!$B:$B,B198,'BAL 12-24'!$I:$I)</f>
        <v>-2906250.7970000003</v>
      </c>
      <c r="D198" s="392">
        <f>-SUMIF('BAL 12-23'!$B:$B,B198,'BAL 12-23'!$G:$G)</f>
        <v>-2662861.7679999997</v>
      </c>
      <c r="E198" s="356"/>
    </row>
    <row r="199" spans="1:5" s="395" customFormat="1" ht="12.75" customHeight="1" x14ac:dyDescent="0.25">
      <c r="A199" s="391"/>
      <c r="B199" s="405" t="s">
        <v>13</v>
      </c>
      <c r="C199" s="392">
        <f>-SUMIF('BAL 12-24'!$B:$B,B199,'BAL 12-24'!$I:$I)</f>
        <v>-3459324.4919999996</v>
      </c>
      <c r="D199" s="392">
        <f>-SUMIF('BAL 12-23'!$B:$B,B199,'BAL 12-23'!$G:$G)</f>
        <v>-3126298.01</v>
      </c>
      <c r="E199" s="356"/>
    </row>
    <row r="200" spans="1:5" s="395" customFormat="1" ht="12.75" customHeight="1" x14ac:dyDescent="0.25">
      <c r="A200" s="391"/>
      <c r="B200" s="405" t="s">
        <v>11</v>
      </c>
      <c r="C200" s="392">
        <f>-SUMIF('BAL 12-24'!$B:$B,B200,'BAL 12-24'!$I:$I)</f>
        <v>22014748.229807556</v>
      </c>
      <c r="D200" s="392">
        <f>-SUMIF('BAL 12-23'!$B:$B,B200,'BAL 12-23'!$G:$G)</f>
        <v>17517372.004645001</v>
      </c>
      <c r="E200" s="356"/>
    </row>
    <row r="201" spans="1:5" s="395" customFormat="1" ht="12.75" customHeight="1" x14ac:dyDescent="0.25">
      <c r="A201" s="391"/>
      <c r="B201" s="405" t="s">
        <v>426</v>
      </c>
      <c r="C201" s="392">
        <f>BILAN!J13</f>
        <v>10455318.123559494</v>
      </c>
      <c r="D201" s="392">
        <f>BILAN!K13</f>
        <v>4497376.2257065289</v>
      </c>
      <c r="E201" s="356"/>
    </row>
    <row r="202" spans="1:5" ht="16.5" customHeight="1" x14ac:dyDescent="0.25">
      <c r="B202" s="426" t="s">
        <v>8954</v>
      </c>
      <c r="C202" s="426">
        <f>SUM(C195:C201)</f>
        <v>44283599.904367045</v>
      </c>
      <c r="D202" s="426">
        <f>SUM(D195:D201)</f>
        <v>34404697.292351529</v>
      </c>
    </row>
    <row r="203" spans="1:5" ht="16.5" customHeight="1" x14ac:dyDescent="0.25">
      <c r="B203" s="427"/>
      <c r="C203" s="400">
        <f>+BILAN!J15-Notes!C202</f>
        <v>0</v>
      </c>
      <c r="D203" s="400">
        <f>+BILAN!K15-Notes!D202</f>
        <v>0</v>
      </c>
    </row>
    <row r="204" spans="1:5" ht="16.5" customHeight="1" thickBot="1" x14ac:dyDescent="0.3">
      <c r="B204" s="358"/>
      <c r="C204" s="358"/>
    </row>
    <row r="205" spans="1:5" ht="20.100000000000001" customHeight="1" thickBot="1" x14ac:dyDescent="0.3">
      <c r="B205" s="408" t="s">
        <v>8955</v>
      </c>
    </row>
    <row r="206" spans="1:5" ht="20.100000000000001" customHeight="1" thickBot="1" x14ac:dyDescent="0.3">
      <c r="B206" s="372"/>
    </row>
    <row r="207" spans="1:5" ht="20.100000000000001" customHeight="1" thickBot="1" x14ac:dyDescent="0.3">
      <c r="B207" s="408" t="s">
        <v>8956</v>
      </c>
    </row>
    <row r="208" spans="1:5" ht="20.100000000000001" customHeight="1" thickBot="1" x14ac:dyDescent="0.3">
      <c r="B208" s="372"/>
    </row>
    <row r="209" spans="1:6" ht="18" customHeight="1" thickBot="1" x14ac:dyDescent="0.3">
      <c r="B209" s="388" t="s">
        <v>8957</v>
      </c>
    </row>
    <row r="210" spans="1:6" s="367" customFormat="1" ht="18" customHeight="1" x14ac:dyDescent="0.25">
      <c r="A210" s="366"/>
      <c r="B210" s="356" t="str">
        <f>+A210&amp;"Au 31/12/2024 ,les emprunts présentent un solde créditeur de " &amp; $C$215 &amp; " dt et se détaillent comme suit :"</f>
        <v>Au 31/12/2024 ,les emprunts présentent un solde créditeur de 1874265,276 dt et se détaillent comme suit :</v>
      </c>
    </row>
    <row r="211" spans="1:6" ht="13.5" customHeight="1" x14ac:dyDescent="0.25"/>
    <row r="212" spans="1:6" s="362" customFormat="1" ht="20.100000000000001" customHeight="1" x14ac:dyDescent="0.25">
      <c r="A212" s="352"/>
      <c r="B212" s="428" t="s">
        <v>527</v>
      </c>
      <c r="C212" s="389" t="s">
        <v>10430</v>
      </c>
      <c r="D212" s="389" t="s">
        <v>10431</v>
      </c>
      <c r="E212" s="389" t="s">
        <v>6</v>
      </c>
    </row>
    <row r="213" spans="1:6" s="395" customFormat="1" ht="12.75" customHeight="1" x14ac:dyDescent="0.25">
      <c r="A213" s="391"/>
      <c r="B213" s="405" t="s">
        <v>21</v>
      </c>
      <c r="C213" s="392">
        <f>-SUMIF('BAL 12-24'!$B:$B,B213,'BAL 12-24'!$I:$I)</f>
        <v>1530000.6629999988</v>
      </c>
      <c r="D213" s="392">
        <f>-SUMIF('BAL 12-23'!$B:$B,B213,'BAL 12-23'!$G:$G)</f>
        <v>1416666.6629999988</v>
      </c>
      <c r="E213" s="393">
        <f>+C213-D213</f>
        <v>113334</v>
      </c>
    </row>
    <row r="214" spans="1:6" s="395" customFormat="1" ht="12.75" customHeight="1" x14ac:dyDescent="0.25">
      <c r="A214" s="391"/>
      <c r="B214" s="405" t="s">
        <v>276</v>
      </c>
      <c r="C214" s="392">
        <f>-SUMIF('BAL 12-24'!$B:$B,B214,'BAL 12-24'!$I:$I)</f>
        <v>344264.61300000001</v>
      </c>
      <c r="D214" s="392">
        <f>-SUMIF('BAL 12-23'!$B:$B,B214,'BAL 12-23'!$G:$G)</f>
        <v>103582.68900000023</v>
      </c>
      <c r="E214" s="393">
        <f>+C214-D214</f>
        <v>240681.92399999977</v>
      </c>
    </row>
    <row r="215" spans="1:6" ht="15" customHeight="1" x14ac:dyDescent="0.25">
      <c r="B215" s="429" t="s">
        <v>7407</v>
      </c>
      <c r="C215" s="430">
        <f>SUM(C213:C214)</f>
        <v>1874265.2759999987</v>
      </c>
      <c r="D215" s="430">
        <f>SUM(D213:D214)</f>
        <v>1520249.351999999</v>
      </c>
      <c r="E215" s="430">
        <f>SUM(E213:E214)</f>
        <v>354015.92399999977</v>
      </c>
    </row>
    <row r="216" spans="1:6" ht="15" customHeight="1" x14ac:dyDescent="0.25">
      <c r="B216" s="431"/>
      <c r="C216" s="400">
        <f>BILAN!J18-C215</f>
        <v>0</v>
      </c>
      <c r="D216" s="400">
        <f>BILAN!K18-D215</f>
        <v>0</v>
      </c>
      <c r="E216" s="432"/>
    </row>
    <row r="217" spans="1:6" ht="13.5" customHeight="1" thickBot="1" x14ac:dyDescent="0.3">
      <c r="B217" s="431"/>
      <c r="C217" s="433"/>
    </row>
    <row r="218" spans="1:6" ht="20.100000000000001" customHeight="1" thickBot="1" x14ac:dyDescent="0.3">
      <c r="B218" s="408" t="s">
        <v>8958</v>
      </c>
      <c r="C218" s="433"/>
      <c r="D218" s="433"/>
    </row>
    <row r="219" spans="1:6" ht="13.5" customHeight="1" thickBot="1" x14ac:dyDescent="0.3">
      <c r="B219" s="431"/>
      <c r="C219" s="433"/>
      <c r="D219" s="433"/>
    </row>
    <row r="220" spans="1:6" ht="20.100000000000001" customHeight="1" thickBot="1" x14ac:dyDescent="0.3">
      <c r="B220" s="434" t="s">
        <v>8959</v>
      </c>
    </row>
    <row r="221" spans="1:6" ht="13.5" customHeight="1" x14ac:dyDescent="0.25"/>
    <row r="222" spans="1:6" s="367" customFormat="1" ht="15.95" customHeight="1" x14ac:dyDescent="0.25">
      <c r="A222" s="366"/>
      <c r="B222" s="356" t="str">
        <f>+A222&amp;"Au 31/12/2024 Ce poste présente un solde créditeur de "&amp;ROUND($C$233,3)</f>
        <v>Au 31/12/2024 Ce poste présente un solde créditeur de 11312086,911</v>
      </c>
    </row>
    <row r="223" spans="1:6" ht="13.5" customHeight="1" x14ac:dyDescent="0.25"/>
    <row r="224" spans="1:6" ht="20.100000000000001" customHeight="1" x14ac:dyDescent="0.25">
      <c r="B224" s="428" t="s">
        <v>527</v>
      </c>
      <c r="C224" s="389" t="s">
        <v>10430</v>
      </c>
      <c r="D224" s="389" t="s">
        <v>10431</v>
      </c>
      <c r="E224" s="389" t="s">
        <v>6</v>
      </c>
      <c r="F224" s="431"/>
    </row>
    <row r="225" spans="1:6" s="395" customFormat="1" ht="12.75" customHeight="1" x14ac:dyDescent="0.2">
      <c r="A225" s="391"/>
      <c r="B225" s="10" t="s">
        <v>8984</v>
      </c>
      <c r="C225" s="392">
        <f>474449.335999999+75711</f>
        <v>550160.33599999896</v>
      </c>
      <c r="D225" s="392">
        <v>873136.37800000003</v>
      </c>
      <c r="E225" s="393">
        <f t="shared" ref="E225:E232" si="14">+C225-D225</f>
        <v>-322976.04200000106</v>
      </c>
    </row>
    <row r="226" spans="1:6" s="395" customFormat="1" ht="12.75" customHeight="1" x14ac:dyDescent="0.2">
      <c r="A226" s="391"/>
      <c r="B226" s="10" t="s">
        <v>9650</v>
      </c>
      <c r="C226" s="392">
        <v>245798.954999999</v>
      </c>
      <c r="D226" s="392">
        <v>395685.342</v>
      </c>
      <c r="E226" s="393">
        <f t="shared" si="14"/>
        <v>-149886.38700000101</v>
      </c>
    </row>
    <row r="227" spans="1:6" s="395" customFormat="1" ht="12.75" customHeight="1" x14ac:dyDescent="0.2">
      <c r="A227" s="391"/>
      <c r="B227" s="10" t="s">
        <v>8985</v>
      </c>
      <c r="C227" s="392">
        <v>3121808.8450000002</v>
      </c>
      <c r="D227" s="392">
        <v>675253.80299999996</v>
      </c>
      <c r="E227" s="393">
        <f t="shared" si="14"/>
        <v>2446555.0420000004</v>
      </c>
    </row>
    <row r="228" spans="1:6" s="395" customFormat="1" ht="12.75" customHeight="1" x14ac:dyDescent="0.2">
      <c r="A228" s="391"/>
      <c r="B228" s="10" t="s">
        <v>10436</v>
      </c>
      <c r="C228" s="392">
        <v>607468.87300000002</v>
      </c>
      <c r="D228" s="392">
        <v>0</v>
      </c>
      <c r="E228" s="393">
        <f t="shared" ref="E228" si="15">+C228-D228</f>
        <v>607468.87300000002</v>
      </c>
    </row>
    <row r="229" spans="1:6" s="395" customFormat="1" ht="12.75" customHeight="1" x14ac:dyDescent="0.2">
      <c r="A229" s="391"/>
      <c r="B229" s="10" t="s">
        <v>9651</v>
      </c>
      <c r="C229" s="392">
        <f>3406714.779+681761</f>
        <v>4088475.7790000001</v>
      </c>
      <c r="D229" s="392">
        <v>0</v>
      </c>
      <c r="E229" s="393">
        <f t="shared" si="14"/>
        <v>4088475.7790000001</v>
      </c>
    </row>
    <row r="230" spans="1:6" s="395" customFormat="1" ht="12.75" customHeight="1" x14ac:dyDescent="0.2">
      <c r="A230" s="391"/>
      <c r="B230" s="10" t="s">
        <v>10437</v>
      </c>
      <c r="C230" s="392">
        <v>459533</v>
      </c>
      <c r="D230" s="392">
        <v>0</v>
      </c>
      <c r="E230" s="393">
        <f t="shared" ref="E230" si="16">+C230-D230</f>
        <v>459533</v>
      </c>
    </row>
    <row r="231" spans="1:6" s="395" customFormat="1" ht="12.75" customHeight="1" x14ac:dyDescent="0.2">
      <c r="A231" s="391"/>
      <c r="B231" s="10" t="s">
        <v>8986</v>
      </c>
      <c r="C231" s="392">
        <v>160841.39600000001</v>
      </c>
      <c r="D231" s="392">
        <v>784934.81099999999</v>
      </c>
      <c r="E231" s="393">
        <f t="shared" si="14"/>
        <v>-624093.41500000004</v>
      </c>
    </row>
    <row r="232" spans="1:6" s="395" customFormat="1" ht="12.75" customHeight="1" x14ac:dyDescent="0.2">
      <c r="A232" s="391"/>
      <c r="B232" s="10" t="s">
        <v>23</v>
      </c>
      <c r="C232" s="392">
        <f>1698833.217+379166.51</f>
        <v>2077999.727</v>
      </c>
      <c r="D232" s="392">
        <v>4275501.9749999996</v>
      </c>
      <c r="E232" s="393">
        <f t="shared" si="14"/>
        <v>-2197502.2479999997</v>
      </c>
    </row>
    <row r="233" spans="1:6" ht="15" customHeight="1" x14ac:dyDescent="0.25">
      <c r="B233" s="429" t="s">
        <v>7407</v>
      </c>
      <c r="C233" s="430">
        <f>SUM(C225:C232)</f>
        <v>11312086.910999998</v>
      </c>
      <c r="D233" s="430">
        <f>SUM(D225:D232)</f>
        <v>7004512.3089999994</v>
      </c>
      <c r="E233" s="430">
        <f>SUM(E225:E232)</f>
        <v>4307574.601999999</v>
      </c>
    </row>
    <row r="234" spans="1:6" ht="15" customHeight="1" x14ac:dyDescent="0.25">
      <c r="B234" s="431"/>
      <c r="C234" s="400">
        <f>BILAN!J22-C233</f>
        <v>1.286827027797699E-4</v>
      </c>
      <c r="D234" s="400">
        <f>BILAN!K22-D233</f>
        <v>-2.1185632795095444E-4</v>
      </c>
      <c r="E234" s="432"/>
    </row>
    <row r="235" spans="1:6" ht="13.5" customHeight="1" thickBot="1" x14ac:dyDescent="0.3">
      <c r="B235" s="431"/>
      <c r="C235" s="433"/>
      <c r="D235" s="433"/>
      <c r="E235" s="433"/>
    </row>
    <row r="236" spans="1:6" ht="20.100000000000001" customHeight="1" thickBot="1" x14ac:dyDescent="0.3">
      <c r="B236" s="435" t="s">
        <v>8960</v>
      </c>
    </row>
    <row r="237" spans="1:6" ht="13.5" customHeight="1" x14ac:dyDescent="0.25">
      <c r="E237" s="431"/>
      <c r="F237" s="436"/>
    </row>
    <row r="238" spans="1:6" s="367" customFormat="1" ht="15" customHeight="1" x14ac:dyDescent="0.25">
      <c r="A238" s="366"/>
      <c r="B238" s="356" t="str">
        <f>+A238&amp;"Au 31/12/2024 Ce poste présente un solde créditeur de " &amp;ROUND( $C$263,3) &amp; " le détail de cette rubrique s’analyse ainsi :"</f>
        <v>Au 31/12/2024 Ce poste présente un solde créditeur de 3941778,198 le détail de cette rubrique s’analyse ainsi :</v>
      </c>
      <c r="E238" s="437"/>
      <c r="F238" s="438"/>
    </row>
    <row r="239" spans="1:6" ht="13.5" customHeight="1" x14ac:dyDescent="0.25">
      <c r="E239" s="436"/>
    </row>
    <row r="240" spans="1:6" ht="20.100000000000001" customHeight="1" x14ac:dyDescent="0.25">
      <c r="B240" s="428" t="s">
        <v>527</v>
      </c>
      <c r="C240" s="389" t="s">
        <v>10430</v>
      </c>
      <c r="D240" s="389" t="s">
        <v>10431</v>
      </c>
      <c r="E240" s="428" t="s">
        <v>8961</v>
      </c>
    </row>
    <row r="241" spans="1:7" s="395" customFormat="1" ht="12.75" customHeight="1" x14ac:dyDescent="0.2">
      <c r="A241" s="391"/>
      <c r="B241" s="10" t="s">
        <v>80</v>
      </c>
      <c r="C241" s="392">
        <f>-SUMIF('BAL 12-24'!$B:$B,B241,'BAL 12-24'!$I:$I)</f>
        <v>2070.6589999957941</v>
      </c>
      <c r="D241" s="392">
        <f>-SUMIF('BAL 12-23'!$B:$B,B241,'BAL 12-23'!$G:$G)</f>
        <v>180820.14299999969</v>
      </c>
      <c r="E241" s="393">
        <f t="shared" ref="E241:E262" si="17">+C241-D241</f>
        <v>-178749.4840000039</v>
      </c>
      <c r="G241" s="394"/>
    </row>
    <row r="242" spans="1:7" s="395" customFormat="1" ht="12.75" customHeight="1" x14ac:dyDescent="0.2">
      <c r="A242" s="391"/>
      <c r="B242" s="10" t="s">
        <v>82</v>
      </c>
      <c r="C242" s="392">
        <f>-SUMIF('BAL 12-24'!$B:$B,B242,'BAL 12-24'!$I:$I)</f>
        <v>2067.0169999999898</v>
      </c>
      <c r="D242" s="392">
        <f>-SUMIF('BAL 12-23'!$B:$B,B242,'BAL 12-23'!$G:$G)</f>
        <v>2433.5260000000035</v>
      </c>
      <c r="E242" s="393">
        <f t="shared" si="17"/>
        <v>-366.50900000001366</v>
      </c>
      <c r="G242" s="394"/>
    </row>
    <row r="243" spans="1:7" s="395" customFormat="1" ht="12.75" customHeight="1" x14ac:dyDescent="0.2">
      <c r="A243" s="391"/>
      <c r="B243" s="10" t="s">
        <v>83</v>
      </c>
      <c r="C243" s="392">
        <f>-SUMIF('BAL 12-24'!$B:$B,B243,'BAL 12-24'!$I:$I)</f>
        <v>259999.99999999953</v>
      </c>
      <c r="D243" s="392">
        <f>-SUMIF('BAL 12-23'!$B:$B,B243,'BAL 12-23'!$G:$G)</f>
        <v>245931.41399999987</v>
      </c>
      <c r="E243" s="393">
        <f t="shared" si="17"/>
        <v>14068.585999999661</v>
      </c>
      <c r="G243" s="394"/>
    </row>
    <row r="244" spans="1:7" s="395" customFormat="1" ht="12.75" customHeight="1" x14ac:dyDescent="0.2">
      <c r="A244" s="391"/>
      <c r="B244" s="10" t="s">
        <v>84</v>
      </c>
      <c r="C244" s="392">
        <f>-SUMIF('BAL 12-24'!$B:$B,B244,'BAL 12-24'!$I:$I)</f>
        <v>0</v>
      </c>
      <c r="D244" s="392">
        <f>-SUMIF('BAL 12-23'!$B:$B,B244,'BAL 12-23'!$G:$G)</f>
        <v>0</v>
      </c>
      <c r="E244" s="393">
        <f t="shared" si="17"/>
        <v>0</v>
      </c>
      <c r="G244" s="394"/>
    </row>
    <row r="245" spans="1:7" s="395" customFormat="1" ht="12.75" customHeight="1" x14ac:dyDescent="0.2">
      <c r="A245" s="391"/>
      <c r="B245" s="10" t="s">
        <v>86</v>
      </c>
      <c r="C245" s="392">
        <f>-SUMIF('BAL 12-24'!$B:$B,B245,'BAL 12-24'!$I:$I)</f>
        <v>3.6000000021886081E-2</v>
      </c>
      <c r="D245" s="392">
        <f>-SUMIF('BAL 12-23'!$B:$B,B245,'BAL 12-23'!$G:$G)</f>
        <v>0</v>
      </c>
      <c r="E245" s="393">
        <f t="shared" si="17"/>
        <v>3.6000000021886081E-2</v>
      </c>
      <c r="G245" s="394"/>
    </row>
    <row r="246" spans="1:7" s="395" customFormat="1" ht="12.75" customHeight="1" x14ac:dyDescent="0.2">
      <c r="A246" s="391"/>
      <c r="B246" s="10" t="s">
        <v>85</v>
      </c>
      <c r="C246" s="392">
        <f>-SUMIF('BAL 12-24'!$B:$B,B246,'BAL 12-24'!$I:$I)</f>
        <v>9.9999999997635314E-4</v>
      </c>
      <c r="D246" s="392">
        <f>-SUMIF('BAL 12-23'!$B:$B,B246,'BAL 12-23'!$G:$G)</f>
        <v>0</v>
      </c>
      <c r="E246" s="393">
        <f t="shared" ref="E246" si="18">+C246-D246</f>
        <v>9.9999999997635314E-4</v>
      </c>
      <c r="G246" s="394"/>
    </row>
    <row r="247" spans="1:7" s="395" customFormat="1" ht="12.75" customHeight="1" x14ac:dyDescent="0.2">
      <c r="A247" s="391"/>
      <c r="B247" s="10" t="s">
        <v>87</v>
      </c>
      <c r="C247" s="392">
        <f>-SUMIF('BAL 12-24'!$B:$B,B247,'BAL 12-24'!$I:$I)</f>
        <v>1.0000000183936208E-3</v>
      </c>
      <c r="D247" s="392">
        <f>-SUMIF('BAL 12-23'!$B:$B,B247,'BAL 12-23'!$G:$G)</f>
        <v>2.9103830456733704E-11</v>
      </c>
      <c r="E247" s="393">
        <f t="shared" si="17"/>
        <v>9.9999998928979039E-4</v>
      </c>
      <c r="G247" s="394"/>
    </row>
    <row r="248" spans="1:7" s="395" customFormat="1" ht="12.75" customHeight="1" x14ac:dyDescent="0.2">
      <c r="A248" s="391"/>
      <c r="B248" s="10" t="s">
        <v>88</v>
      </c>
      <c r="C248" s="392">
        <f>-SUMIF('BAL 12-24'!$B:$B,B248,'BAL 12-24'!$I:$I)</f>
        <v>1.0000000002037268E-3</v>
      </c>
      <c r="D248" s="392">
        <f>-SUMIF('BAL 12-23'!$B:$B,B248,'BAL 12-23'!$G:$G)</f>
        <v>0</v>
      </c>
      <c r="E248" s="393">
        <f t="shared" ref="E248:E249" si="19">+C248-D248</f>
        <v>1.0000000002037268E-3</v>
      </c>
      <c r="G248" s="394"/>
    </row>
    <row r="249" spans="1:7" s="395" customFormat="1" ht="12.75" customHeight="1" x14ac:dyDescent="0.2">
      <c r="A249" s="391"/>
      <c r="B249" s="10" t="s">
        <v>316</v>
      </c>
      <c r="C249" s="392">
        <f>-SUMIF('BAL 12-24'!$B:$B,B249,'BAL 12-24'!$I:$I)</f>
        <v>1.2999999977182597E-2</v>
      </c>
      <c r="D249" s="392">
        <f>-SUMIF('BAL 12-23'!$B:$B,B249,'BAL 12-23'!$G:$G)</f>
        <v>0</v>
      </c>
      <c r="E249" s="393">
        <f t="shared" si="19"/>
        <v>1.2999999977182597E-2</v>
      </c>
      <c r="G249" s="394"/>
    </row>
    <row r="250" spans="1:7" s="395" customFormat="1" ht="12.75" customHeight="1" x14ac:dyDescent="0.2">
      <c r="A250" s="391"/>
      <c r="B250" s="10" t="s">
        <v>97</v>
      </c>
      <c r="C250" s="392">
        <v>0</v>
      </c>
      <c r="D250" s="392">
        <f>-SUMIF('BAL 12-23'!$B:$B,B250,'BAL 12-23'!$G:$G)</f>
        <v>3.9999987930059433E-3</v>
      </c>
      <c r="E250" s="393">
        <f t="shared" si="17"/>
        <v>-3.9999987930059433E-3</v>
      </c>
      <c r="G250" s="394"/>
    </row>
    <row r="251" spans="1:7" s="395" customFormat="1" ht="12.75" customHeight="1" x14ac:dyDescent="0.2">
      <c r="A251" s="391"/>
      <c r="B251" s="10" t="s">
        <v>90</v>
      </c>
      <c r="C251" s="392">
        <f>-SUMIF('BAL 12-24'!$B:$B,B251,'BAL 12-24'!$I:$I)</f>
        <v>-496.57199999998556</v>
      </c>
      <c r="D251" s="392">
        <f>-SUMIF('BAL 12-23'!$B:$B,B251,'BAL 12-23'!$G:$G)</f>
        <v>40912.060000000027</v>
      </c>
      <c r="E251" s="393">
        <f t="shared" si="17"/>
        <v>-41408.632000000012</v>
      </c>
      <c r="G251" s="394"/>
    </row>
    <row r="252" spans="1:7" s="395" customFormat="1" ht="12.75" customHeight="1" x14ac:dyDescent="0.2">
      <c r="A252" s="391"/>
      <c r="B252" s="10" t="s">
        <v>321</v>
      </c>
      <c r="C252" s="392">
        <f>-SUMIF('BAL 12-24'!$B:$B,B252,'BAL 12-24'!$I:$I)</f>
        <v>531612.8600000008</v>
      </c>
      <c r="D252" s="392">
        <f>-SUMIF('BAL 12-23'!$B:$B,B252,'BAL 12-23'!$G:$G)</f>
        <v>70408.270000000019</v>
      </c>
      <c r="E252" s="393">
        <f t="shared" si="17"/>
        <v>461204.59000000078</v>
      </c>
      <c r="G252" s="394"/>
    </row>
    <row r="253" spans="1:7" s="395" customFormat="1" ht="12.75" customHeight="1" x14ac:dyDescent="0.2">
      <c r="A253" s="391"/>
      <c r="B253" s="10" t="s">
        <v>94</v>
      </c>
      <c r="C253" s="392">
        <f>-SUMIF('BAL 12-24'!$B:$B,B253,'BAL 12-24'!$I:$I)</f>
        <v>-1.9999999603896867E-3</v>
      </c>
      <c r="D253" s="392">
        <f>-SUMIF('BAL 12-23'!$B:$B,B253,'BAL 12-23'!$G:$G)</f>
        <v>1.7462298274040222E-10</v>
      </c>
      <c r="E253" s="393">
        <f t="shared" si="17"/>
        <v>-2.0000001350126695E-3</v>
      </c>
      <c r="G253" s="394"/>
    </row>
    <row r="254" spans="1:7" s="395" customFormat="1" ht="12.75" customHeight="1" x14ac:dyDescent="0.2">
      <c r="A254" s="391"/>
      <c r="B254" s="10" t="s">
        <v>95</v>
      </c>
      <c r="C254" s="392">
        <f>-SUMIF('BAL 12-24'!$B:$B,B254,'BAL 12-24'!$I:$I)</f>
        <v>-3.5999999672640115E-2</v>
      </c>
      <c r="D254" s="392">
        <v>0</v>
      </c>
      <c r="E254" s="393">
        <f t="shared" si="17"/>
        <v>-3.5999999672640115E-2</v>
      </c>
      <c r="G254" s="394"/>
    </row>
    <row r="255" spans="1:7" s="395" customFormat="1" ht="12.75" customHeight="1" x14ac:dyDescent="0.2">
      <c r="A255" s="391"/>
      <c r="B255" s="10" t="s">
        <v>98</v>
      </c>
      <c r="C255" s="392">
        <f>-SUMIF('BAL 12-24'!$B:$B,B255,'BAL 12-24'!$I:$I)</f>
        <v>-2.5999998906627297E-2</v>
      </c>
      <c r="D255" s="392">
        <f>-SUMIF('BAL 12-23'!$B:$B,B255,'BAL 12-23'!$G:$G)</f>
        <v>2.7939677238464355E-9</v>
      </c>
      <c r="E255" s="393">
        <f t="shared" si="17"/>
        <v>-2.6000001700595021E-2</v>
      </c>
      <c r="G255" s="394"/>
    </row>
    <row r="256" spans="1:7" s="395" customFormat="1" ht="12.75" customHeight="1" x14ac:dyDescent="0.2">
      <c r="A256" s="391"/>
      <c r="B256" s="10" t="s">
        <v>99</v>
      </c>
      <c r="C256" s="392">
        <f>-SUMIF('BAL 12-24'!$B:$B,B256,'BAL 12-24'!$I:$I)</f>
        <v>0</v>
      </c>
      <c r="D256" s="392">
        <f>-SUMIF('BAL 12-23'!$B:$B,B256,'BAL 12-23'!$G:$G)</f>
        <v>0</v>
      </c>
      <c r="E256" s="393">
        <f t="shared" si="17"/>
        <v>0</v>
      </c>
      <c r="G256" s="394"/>
    </row>
    <row r="257" spans="1:7" s="395" customFormat="1" ht="12.75" customHeight="1" x14ac:dyDescent="0.2">
      <c r="A257" s="391"/>
      <c r="B257" s="10" t="s">
        <v>331</v>
      </c>
      <c r="C257" s="392">
        <f>-SUMIF('BAL 12-24'!$B:$B,B257,'BAL 12-24'!$I:$I)</f>
        <v>1.0000000256695785E-3</v>
      </c>
      <c r="D257" s="392">
        <f>-SUMIF('BAL 12-23'!$B:$B,B257,'BAL 12-23'!$G:$G)</f>
        <v>0</v>
      </c>
      <c r="E257" s="393">
        <f>+C257-D257</f>
        <v>1.0000000256695785E-3</v>
      </c>
      <c r="G257" s="394"/>
    </row>
    <row r="258" spans="1:7" s="395" customFormat="1" ht="12.75" customHeight="1" x14ac:dyDescent="0.2">
      <c r="A258" s="391"/>
      <c r="B258" s="10" t="s">
        <v>100</v>
      </c>
      <c r="C258" s="392">
        <f>-SUMIF('BAL 12-24'!$B:$B,B258,'BAL 12-24'!$I:$I)</f>
        <v>294999.99999999988</v>
      </c>
      <c r="D258" s="392">
        <f>-SUMIF('BAL 12-23'!$B:$B,B258,'BAL 12-23'!$G:$G)</f>
        <v>439999.99999999988</v>
      </c>
      <c r="E258" s="393">
        <f t="shared" si="17"/>
        <v>-145000</v>
      </c>
      <c r="G258" s="394"/>
    </row>
    <row r="259" spans="1:7" s="395" customFormat="1" ht="12.75" customHeight="1" x14ac:dyDescent="0.2">
      <c r="A259" s="391"/>
      <c r="B259" s="10" t="s">
        <v>102</v>
      </c>
      <c r="C259" s="392">
        <f>-SUMIF('BAL 12-24'!$B:$B,B259,'BAL 12-24'!$I:$I)</f>
        <v>12700</v>
      </c>
      <c r="D259" s="392">
        <f>-SUMIF('BAL 12-23'!$B:$B,B259,'BAL 12-23'!$G:$G)</f>
        <v>12699.999999999534</v>
      </c>
      <c r="E259" s="393">
        <f t="shared" si="17"/>
        <v>4.6566128730773926E-10</v>
      </c>
      <c r="G259" s="394"/>
    </row>
    <row r="260" spans="1:7" s="395" customFormat="1" ht="12.75" customHeight="1" x14ac:dyDescent="0.2">
      <c r="A260" s="391"/>
      <c r="B260" s="10" t="s">
        <v>103</v>
      </c>
      <c r="C260" s="392">
        <f>-SUMIF('BAL 12-24'!$B:$B,B260,'BAL 12-24'!$I:$I)</f>
        <v>2500</v>
      </c>
      <c r="D260" s="392">
        <f>-SUMIF('BAL 12-23'!$B:$B,B260,'BAL 12-23'!$G:$G)</f>
        <v>2500</v>
      </c>
      <c r="E260" s="393">
        <f t="shared" si="17"/>
        <v>0</v>
      </c>
      <c r="G260" s="394"/>
    </row>
    <row r="261" spans="1:7" s="395" customFormat="1" ht="12.75" customHeight="1" x14ac:dyDescent="0.2">
      <c r="A261" s="391"/>
      <c r="B261" s="10" t="s">
        <v>104</v>
      </c>
      <c r="C261" s="392">
        <f>-SUMIF('BAL 12-24'!$B:$B,B261,'BAL 12-24'!$I:$I)</f>
        <v>250355.08500000031</v>
      </c>
      <c r="D261" s="392">
        <f>-SUMIF('BAL 12-23'!$B:$B,B261,'BAL 12-23'!$G:$G)</f>
        <v>244010.37100000004</v>
      </c>
      <c r="E261" s="393">
        <f t="shared" si="17"/>
        <v>6344.7140000002692</v>
      </c>
    </row>
    <row r="262" spans="1:7" s="395" customFormat="1" ht="12.75" customHeight="1" thickBot="1" x14ac:dyDescent="0.25">
      <c r="A262" s="391"/>
      <c r="B262" s="417" t="s">
        <v>106</v>
      </c>
      <c r="C262" s="418">
        <f>-SUMIF('BAL 12-24'!$B:$B,B262,'BAL 12-24'!$I:$I)</f>
        <v>2585969.16</v>
      </c>
      <c r="D262" s="418">
        <f>-SUMIF('BAL 12-23'!$B:$B,B262,'BAL 12-23'!$G:$G)</f>
        <v>1872970.1819999996</v>
      </c>
      <c r="E262" s="419">
        <f t="shared" si="17"/>
        <v>712998.97800000058</v>
      </c>
    </row>
    <row r="263" spans="1:7" ht="15" customHeight="1" thickBot="1" x14ac:dyDescent="0.3">
      <c r="B263" s="439" t="s">
        <v>8940</v>
      </c>
      <c r="C263" s="440">
        <f>SUM(C241:C262)</f>
        <v>3941778.197999998</v>
      </c>
      <c r="D263" s="440">
        <f>SUM(D241:D262)</f>
        <v>3112685.9700000007</v>
      </c>
      <c r="E263" s="441">
        <f>SUM(E241:E262)</f>
        <v>829092.22799999756</v>
      </c>
    </row>
    <row r="264" spans="1:7" ht="15" customHeight="1" x14ac:dyDescent="0.25">
      <c r="B264" s="431"/>
      <c r="C264" s="400">
        <f>BILAN!J23-C263</f>
        <v>0</v>
      </c>
      <c r="D264" s="400">
        <f>BILAN!K23-D263</f>
        <v>0</v>
      </c>
      <c r="E264" s="432"/>
    </row>
    <row r="265" spans="1:7" ht="12" customHeight="1" thickBot="1" x14ac:dyDescent="0.3"/>
    <row r="266" spans="1:7" ht="20.100000000000001" customHeight="1" thickBot="1" x14ac:dyDescent="0.3">
      <c r="B266" s="435" t="s">
        <v>8962</v>
      </c>
    </row>
    <row r="267" spans="1:7" ht="12" customHeight="1" x14ac:dyDescent="0.25"/>
    <row r="268" spans="1:7" s="367" customFormat="1" ht="15" customHeight="1" x14ac:dyDescent="0.25">
      <c r="A268" s="366"/>
      <c r="B268" s="356" t="str">
        <f>+A268&amp;"Cette rubrique présente un solde de " &amp; $C$281 &amp; " DT au 31/12/2024"</f>
        <v>Cette rubrique présente un solde de 13761609,3246235 DT au 31/12/2024</v>
      </c>
    </row>
    <row r="269" spans="1:7" ht="12" customHeight="1" x14ac:dyDescent="0.25"/>
    <row r="270" spans="1:7" ht="20.100000000000001" customHeight="1" x14ac:dyDescent="0.25">
      <c r="B270" s="428" t="s">
        <v>527</v>
      </c>
      <c r="C270" s="389" t="s">
        <v>10430</v>
      </c>
      <c r="D270" s="389" t="s">
        <v>10431</v>
      </c>
      <c r="E270" s="428" t="s">
        <v>8961</v>
      </c>
    </row>
    <row r="271" spans="1:7" s="395" customFormat="1" ht="12.75" customHeight="1" x14ac:dyDescent="0.2">
      <c r="A271" s="391"/>
      <c r="B271" s="10" t="s">
        <v>114</v>
      </c>
      <c r="C271" s="392">
        <f>-SUMIF('BAL 12-24'!$B:$B,B271,'BAL 12-24'!$I:$I)</f>
        <v>6000000</v>
      </c>
      <c r="D271" s="392">
        <f>-SUMIF('BAL 12-23'!$B:$B,B271,'BAL 12-23'!$G:$G)</f>
        <v>6000000</v>
      </c>
      <c r="E271" s="393">
        <f t="shared" ref="E271:E280" si="20">+C271-D271</f>
        <v>0</v>
      </c>
      <c r="G271" s="356"/>
    </row>
    <row r="272" spans="1:7" s="395" customFormat="1" ht="12.75" customHeight="1" x14ac:dyDescent="0.2">
      <c r="A272" s="391"/>
      <c r="B272" s="10" t="s">
        <v>116</v>
      </c>
      <c r="C272" s="392">
        <f>-SUMIF('BAL 12-24'!$B:$B,B272,'BAL 12-24'!$I:$I)</f>
        <v>4000000</v>
      </c>
      <c r="D272" s="392">
        <f>-SUMIF('BAL 12-23'!$B:$B,B272,'BAL 12-23'!$G:$G)</f>
        <v>4000000</v>
      </c>
      <c r="E272" s="393">
        <f t="shared" si="20"/>
        <v>0</v>
      </c>
      <c r="G272" s="356"/>
    </row>
    <row r="273" spans="1:7" s="395" customFormat="1" ht="12.75" customHeight="1" x14ac:dyDescent="0.2">
      <c r="A273" s="391"/>
      <c r="B273" s="10" t="s">
        <v>117</v>
      </c>
      <c r="C273" s="392">
        <f>-SUMIF('BAL 12-24'!$B:$B,B273,'BAL 12-24'!$I:$I)</f>
        <v>586666.00400000252</v>
      </c>
      <c r="D273" s="392">
        <f>-SUMIF('BAL 12-23'!$B:$B,B273,'BAL 12-23'!$G:$G)</f>
        <v>625000.00400000135</v>
      </c>
      <c r="E273" s="393">
        <f t="shared" si="20"/>
        <v>-38333.999999998836</v>
      </c>
      <c r="G273" s="356"/>
    </row>
    <row r="274" spans="1:7" s="395" customFormat="1" ht="12.75" customHeight="1" x14ac:dyDescent="0.2">
      <c r="A274" s="391"/>
      <c r="B274" s="10" t="s">
        <v>118</v>
      </c>
      <c r="C274" s="392">
        <f>-SUMIF('BAL 12-24'!$B:$B,B274,'BAL 12-24'!$I:$I)</f>
        <v>91612.969999999928</v>
      </c>
      <c r="D274" s="392">
        <f>-SUMIF('BAL 12-23'!$B:$B,B274,'BAL 12-23'!$G:$G)</f>
        <v>131871.57900000014</v>
      </c>
      <c r="E274" s="393">
        <f t="shared" si="20"/>
        <v>-40258.609000000215</v>
      </c>
      <c r="G274" s="356"/>
    </row>
    <row r="275" spans="1:7" s="395" customFormat="1" ht="12.75" customHeight="1" x14ac:dyDescent="0.2">
      <c r="A275" s="391"/>
      <c r="B275" s="10" t="s">
        <v>119</v>
      </c>
      <c r="C275" s="392">
        <f>-SUMIF('BAL 12-24'!$B:$B,B275,'BAL 12-24'!$I:$I)</f>
        <v>-3.7649739533662796E-4</v>
      </c>
      <c r="D275" s="392">
        <f>-SUMIF('BAL 12-23'!$B:$B,B275,'BAL 12-23'!$G:$G)</f>
        <v>1347864.9606234999</v>
      </c>
      <c r="E275" s="393">
        <f t="shared" si="20"/>
        <v>-1347864.9609999973</v>
      </c>
      <c r="G275" s="356"/>
    </row>
    <row r="276" spans="1:7" s="395" customFormat="1" ht="12.75" customHeight="1" x14ac:dyDescent="0.2">
      <c r="A276" s="391"/>
      <c r="B276" s="10" t="s">
        <v>343</v>
      </c>
      <c r="C276" s="392">
        <f>-SUMIF('BAL 12-24'!$B:$B,B276,'BAL 12-24'!$I:$I)</f>
        <v>425128.50799999991</v>
      </c>
      <c r="D276" s="392">
        <f>-SUMIF('BAL 12-23'!$B:$B,B276,'BAL 12-23'!$G:$G)</f>
        <v>443000</v>
      </c>
      <c r="E276" s="393">
        <f t="shared" ref="E276:E279" si="21">+C276-D276</f>
        <v>-17871.492000000086</v>
      </c>
      <c r="G276" s="356"/>
    </row>
    <row r="277" spans="1:7" s="395" customFormat="1" ht="12.75" customHeight="1" x14ac:dyDescent="0.2">
      <c r="A277" s="391"/>
      <c r="B277" s="10" t="s">
        <v>344</v>
      </c>
      <c r="C277" s="392">
        <f>-SUMIF('BAL 12-24'!$B:$B,B277,'BAL 12-24'!$I:$I)</f>
        <v>0</v>
      </c>
      <c r="D277" s="392">
        <f>-SUMIF('BAL 12-23'!$B:$B,B277,'BAL 12-23'!$G:$G)</f>
        <v>31533.956999999999</v>
      </c>
      <c r="E277" s="393">
        <f t="shared" si="21"/>
        <v>-31533.956999999999</v>
      </c>
      <c r="G277" s="356"/>
    </row>
    <row r="278" spans="1:7" s="395" customFormat="1" ht="12.75" customHeight="1" x14ac:dyDescent="0.2">
      <c r="A278" s="391"/>
      <c r="B278" s="10" t="s">
        <v>120</v>
      </c>
      <c r="C278" s="392">
        <f>-SUMIF('BAL 12-24'!$B:$B,B278,'BAL 12-24'!$I:$I)</f>
        <v>-1.862645149230957E-8</v>
      </c>
      <c r="D278" s="392">
        <v>0</v>
      </c>
      <c r="E278" s="393">
        <f t="shared" si="21"/>
        <v>-1.862645149230957E-8</v>
      </c>
      <c r="G278" s="356"/>
    </row>
    <row r="279" spans="1:7" s="395" customFormat="1" ht="12.75" customHeight="1" x14ac:dyDescent="0.2">
      <c r="A279" s="391"/>
      <c r="B279" s="10" t="s">
        <v>130</v>
      </c>
      <c r="C279" s="392">
        <f>-SUMIF('BAL 12-24'!$B:$B,B279,'BAL 12-24'!$I:$I)</f>
        <v>70489.44800000012</v>
      </c>
      <c r="D279" s="392">
        <f>-SUMIF('BAL 12-23'!$B:$B,B279,'BAL 12-23'!$G:$G)</f>
        <v>66996.352999999654</v>
      </c>
      <c r="E279" s="393">
        <f t="shared" si="21"/>
        <v>3493.0950000004668</v>
      </c>
      <c r="G279" s="356"/>
    </row>
    <row r="280" spans="1:7" s="395" customFormat="1" ht="12.75" customHeight="1" thickBot="1" x14ac:dyDescent="0.25">
      <c r="A280" s="391"/>
      <c r="B280" s="417" t="s">
        <v>128</v>
      </c>
      <c r="C280" s="418">
        <f>-SUMIF('BAL 12-24'!$B:$B,B280,'BAL 12-24'!$I:$I)</f>
        <v>2587712.3949999809</v>
      </c>
      <c r="D280" s="418">
        <f>-SUMIF('BAL 12-23'!$B:$B,B280,'BAL 12-23'!$G:$G)</f>
        <v>3300983.9089999199</v>
      </c>
      <c r="E280" s="419">
        <f t="shared" si="20"/>
        <v>-713271.51399993896</v>
      </c>
      <c r="G280" s="356"/>
    </row>
    <row r="281" spans="1:7" ht="15" customHeight="1" thickBot="1" x14ac:dyDescent="0.3">
      <c r="B281" s="439" t="s">
        <v>7407</v>
      </c>
      <c r="C281" s="440">
        <f>SUM(C271:C280)</f>
        <v>13761609.324623469</v>
      </c>
      <c r="D281" s="440">
        <f>SUM(D271:D280)</f>
        <v>15947250.76262342</v>
      </c>
      <c r="E281" s="441">
        <f>SUM(E271:E280)</f>
        <v>-2185641.4379999535</v>
      </c>
    </row>
    <row r="282" spans="1:7" ht="15" customHeight="1" x14ac:dyDescent="0.25">
      <c r="B282" s="431"/>
      <c r="C282" s="400">
        <f>BILAN!J24-C281</f>
        <v>0</v>
      </c>
      <c r="D282" s="400">
        <f>BILAN!K24-D281</f>
        <v>-3.8483738899230957E-4</v>
      </c>
      <c r="E282" s="432"/>
    </row>
    <row r="283" spans="1:7" ht="20.100000000000001" customHeight="1" thickBot="1" x14ac:dyDescent="0.3">
      <c r="D283" s="436"/>
      <c r="E283" s="436"/>
    </row>
    <row r="284" spans="1:7" ht="20.100000000000001" customHeight="1" thickBot="1" x14ac:dyDescent="0.3">
      <c r="B284" s="435" t="s">
        <v>8963</v>
      </c>
      <c r="E284" s="436"/>
    </row>
    <row r="285" spans="1:7" ht="20.100000000000001" customHeight="1" x14ac:dyDescent="0.25">
      <c r="D285" s="436"/>
      <c r="E285" s="436"/>
    </row>
    <row r="286" spans="1:7" ht="20.100000000000001" customHeight="1" x14ac:dyDescent="0.25">
      <c r="B286" s="428" t="s">
        <v>527</v>
      </c>
      <c r="C286" s="389" t="s">
        <v>10430</v>
      </c>
      <c r="D286" s="389" t="s">
        <v>10431</v>
      </c>
      <c r="E286" s="389" t="s">
        <v>8961</v>
      </c>
    </row>
    <row r="287" spans="1:7" s="395" customFormat="1" ht="12.75" customHeight="1" x14ac:dyDescent="0.2">
      <c r="A287" s="391"/>
      <c r="B287" s="10" t="s">
        <v>205</v>
      </c>
      <c r="C287" s="392">
        <f>-SUMIF('BAL 12-24'!$B:$B,B287,'BAL 12-24'!$I:$I)</f>
        <v>34706884.598999992</v>
      </c>
      <c r="D287" s="392">
        <f>-SUMIF('BAL 12-23'!$B:$B,B287,'BAL 12-23'!$G:$G)</f>
        <v>31973563.397</v>
      </c>
      <c r="E287" s="393">
        <f t="shared" ref="E287:E295" si="22">+C287-D287</f>
        <v>2733321.2019999921</v>
      </c>
      <c r="F287" s="442"/>
    </row>
    <row r="288" spans="1:7" s="395" customFormat="1" ht="12.75" customHeight="1" x14ac:dyDescent="0.2">
      <c r="A288" s="391"/>
      <c r="B288" s="10" t="s">
        <v>207</v>
      </c>
      <c r="C288" s="392">
        <f>-SUMIF('BAL 12-24'!$B:$B,B288,'BAL 12-24'!$I:$I)</f>
        <v>43857750.809</v>
      </c>
      <c r="D288" s="392">
        <f>-SUMIF('BAL 12-23'!$B:$B,B288,'BAL 12-23'!$G:$G)</f>
        <v>19506673.700380001</v>
      </c>
      <c r="E288" s="393">
        <f t="shared" si="22"/>
        <v>24351077.108619999</v>
      </c>
      <c r="F288" s="442"/>
    </row>
    <row r="289" spans="1:6" s="395" customFormat="1" ht="12.75" customHeight="1" x14ac:dyDescent="0.2">
      <c r="A289" s="391"/>
      <c r="B289" s="10" t="s">
        <v>380</v>
      </c>
      <c r="C289" s="392">
        <f>-SUMIF('BAL 12-24'!$B:$B,B289,'BAL 12-24'!$I:$I)</f>
        <v>6085</v>
      </c>
      <c r="D289" s="392">
        <f>-SUMIF('BAL 12-23'!$B:$B,B289,'BAL 12-23'!$G:$G)</f>
        <v>63249</v>
      </c>
      <c r="E289" s="393">
        <f t="shared" si="22"/>
        <v>-57164</v>
      </c>
      <c r="F289" s="442"/>
    </row>
    <row r="290" spans="1:6" s="395" customFormat="1" ht="12.75" customHeight="1" x14ac:dyDescent="0.2">
      <c r="A290" s="391"/>
      <c r="B290" s="10" t="s">
        <v>381</v>
      </c>
      <c r="C290" s="392">
        <f>-SUMIF('BAL 12-24'!$B:$B,B290,'BAL 12-24'!$I:$I)</f>
        <v>1058929.7190000003</v>
      </c>
      <c r="D290" s="392">
        <f>-SUMIF('BAL 12-23'!$B:$B,B290,'BAL 12-23'!$G:$G)</f>
        <v>140625.38</v>
      </c>
      <c r="E290" s="393">
        <f t="shared" si="22"/>
        <v>918304.33900000027</v>
      </c>
      <c r="F290" s="442"/>
    </row>
    <row r="291" spans="1:6" s="395" customFormat="1" ht="12.75" customHeight="1" x14ac:dyDescent="0.2">
      <c r="A291" s="391"/>
      <c r="B291" s="10" t="s">
        <v>7574</v>
      </c>
      <c r="C291" s="392">
        <f>-SUMIF('BAL 12-24'!$B:$B,B291,'BAL 12-24'!$I:$I)</f>
        <v>4972.8629999999994</v>
      </c>
      <c r="D291" s="392">
        <f>-SUMIF('BAL 12-23'!$B:$B,B291,'BAL 12-23'!$G:$G)</f>
        <v>964.0200000000001</v>
      </c>
      <c r="E291" s="393">
        <f t="shared" si="22"/>
        <v>4008.8429999999994</v>
      </c>
      <c r="F291" s="442"/>
    </row>
    <row r="292" spans="1:6" s="395" customFormat="1" ht="12.75" customHeight="1" x14ac:dyDescent="0.2">
      <c r="A292" s="391"/>
      <c r="B292" s="10" t="s">
        <v>208</v>
      </c>
      <c r="C292" s="392">
        <f>-SUMIF('BAL 12-24'!$B:$B,B292,'BAL 12-24'!$I:$I)</f>
        <v>41941.30799999999</v>
      </c>
      <c r="D292" s="392">
        <f>-SUMIF('BAL 12-23'!$B:$B,B292,'BAL 12-23'!$G:$G)</f>
        <v>38770.517999999996</v>
      </c>
      <c r="E292" s="393">
        <f t="shared" si="22"/>
        <v>3170.7899999999936</v>
      </c>
      <c r="F292" s="442"/>
    </row>
    <row r="293" spans="1:6" s="395" customFormat="1" ht="12.75" customHeight="1" x14ac:dyDescent="0.2">
      <c r="A293" s="391"/>
      <c r="B293" s="10" t="s">
        <v>211</v>
      </c>
      <c r="C293" s="392">
        <f>-SUMIF('BAL 12-24'!$B:$B,B293,'BAL 12-24'!$I:$I)</f>
        <v>69444.538</v>
      </c>
      <c r="D293" s="392">
        <f>-SUMIF('BAL 12-23'!$B:$B,B293,'BAL 12-23'!$G:$G)</f>
        <v>20042</v>
      </c>
      <c r="E293" s="393">
        <f t="shared" si="22"/>
        <v>49402.538</v>
      </c>
      <c r="F293" s="442"/>
    </row>
    <row r="294" spans="1:6" s="395" customFormat="1" ht="12.75" customHeight="1" x14ac:dyDescent="0.2">
      <c r="A294" s="391"/>
      <c r="B294" s="10" t="s">
        <v>8975</v>
      </c>
      <c r="C294" s="392">
        <f>-SUMIF('BAL 12-24'!$B:$B,B294,'BAL 12-24'!$I:$I)</f>
        <v>18848.386999999999</v>
      </c>
      <c r="D294" s="392">
        <f>-SUMIF('BAL 12-23'!$B:$B,B294,'BAL 12-23'!$G:$G)</f>
        <v>59664.634000000005</v>
      </c>
      <c r="E294" s="393">
        <f t="shared" ref="E294" si="23">+C294-D294</f>
        <v>-40816.247000000003</v>
      </c>
      <c r="F294" s="442"/>
    </row>
    <row r="295" spans="1:6" s="395" customFormat="1" ht="12.75" customHeight="1" x14ac:dyDescent="0.2">
      <c r="A295" s="391"/>
      <c r="B295" s="10" t="s">
        <v>213</v>
      </c>
      <c r="C295" s="392">
        <f>-SUMIF('BAL 12-24'!$B:$B,B295,'BAL 12-24'!$I:$I)</f>
        <v>243389.0290000001</v>
      </c>
      <c r="D295" s="392">
        <f>-SUMIF('BAL 12-23'!$B:$B,B295,'BAL 12-23'!$G:$G)</f>
        <v>252620.448</v>
      </c>
      <c r="E295" s="393">
        <f t="shared" si="22"/>
        <v>-9231.4189999999071</v>
      </c>
      <c r="F295" s="442"/>
    </row>
    <row r="296" spans="1:6" s="395" customFormat="1" ht="12.75" customHeight="1" x14ac:dyDescent="0.2">
      <c r="A296" s="391"/>
      <c r="B296" s="10" t="s">
        <v>216</v>
      </c>
      <c r="C296" s="392">
        <f>-SUMIF('BAL 12-24'!$B:$B,B296,'BAL 12-24'!$I:$I)</f>
        <v>1</v>
      </c>
      <c r="D296" s="392">
        <f>-SUMIF('BAL 12-23'!$B:$B,B296,'BAL 12-23'!$G:$G)</f>
        <v>11.428000000000001</v>
      </c>
      <c r="E296" s="393">
        <f t="shared" ref="E296" si="24">+C296-D296</f>
        <v>-10.428000000000001</v>
      </c>
      <c r="F296" s="442"/>
    </row>
    <row r="297" spans="1:6" s="395" customFormat="1" ht="12.75" customHeight="1" x14ac:dyDescent="0.2">
      <c r="A297" s="391"/>
      <c r="B297" s="10" t="s">
        <v>8980</v>
      </c>
      <c r="C297" s="392">
        <f>-SUMIF('BAL 12-24'!$B:$B,B297,'BAL 12-24'!$I:$I)</f>
        <v>5128.4340000000002</v>
      </c>
      <c r="D297" s="392">
        <f>-SUMIF('BAL 12-23'!$B:$B,B297,'BAL 12-23'!$G:$G)</f>
        <v>1843.7079999999999</v>
      </c>
      <c r="E297" s="393">
        <f t="shared" ref="E297" si="25">+C297-D297</f>
        <v>3284.7260000000006</v>
      </c>
      <c r="F297" s="442"/>
    </row>
    <row r="298" spans="1:6" ht="17.25" customHeight="1" x14ac:dyDescent="0.25">
      <c r="B298" s="429" t="s">
        <v>7407</v>
      </c>
      <c r="C298" s="430">
        <f>SUM(C287:C297)</f>
        <v>80013375.68599999</v>
      </c>
      <c r="D298" s="430">
        <f t="shared" ref="D298:E298" si="26">SUM(D287:D297)</f>
        <v>52058028.233380005</v>
      </c>
      <c r="E298" s="430">
        <f t="shared" si="26"/>
        <v>27955347.452619988</v>
      </c>
    </row>
    <row r="299" spans="1:6" ht="20.100000000000001" customHeight="1" x14ac:dyDescent="0.25">
      <c r="C299" s="400">
        <f>'P&amp;L 12-24'!F11-C298</f>
        <v>0</v>
      </c>
      <c r="D299" s="400">
        <f>'P&amp;L 12-24'!H11-D298</f>
        <v>0</v>
      </c>
      <c r="E299" s="436"/>
    </row>
    <row r="300" spans="1:6" ht="20.100000000000001" customHeight="1" thickBot="1" x14ac:dyDescent="0.3">
      <c r="C300" s="436"/>
      <c r="D300" s="436"/>
      <c r="E300" s="436"/>
    </row>
    <row r="301" spans="1:6" ht="20.100000000000001" customHeight="1" thickBot="1" x14ac:dyDescent="0.3">
      <c r="B301" s="435" t="s">
        <v>8964</v>
      </c>
    </row>
    <row r="302" spans="1:6" ht="15.75" customHeight="1" x14ac:dyDescent="0.25"/>
    <row r="303" spans="1:6" ht="20.100000000000001" customHeight="1" x14ac:dyDescent="0.25">
      <c r="B303" s="367" t="str">
        <f>+A303&amp;"Le solde de cette rubrique s'élève au 31/12/2024 à " &amp; ROUND($C$371,3) &amp;" dt contre " &amp; ROUND($D$371,3) &amp;" dt au 31/12/2023"</f>
        <v>Le solde de cette rubrique s'élève au 31/12/2024 à 52420846,653 dt contre 34339786,636 dt au 31/12/2023</v>
      </c>
    </row>
    <row r="304" spans="1:6" ht="14.25" customHeight="1" x14ac:dyDescent="0.25">
      <c r="B304" s="367"/>
    </row>
    <row r="305" spans="1:10" ht="20.100000000000001" customHeight="1" x14ac:dyDescent="0.25">
      <c r="B305" s="389" t="s">
        <v>8965</v>
      </c>
      <c r="C305" s="389" t="s">
        <v>10430</v>
      </c>
      <c r="D305" s="389" t="s">
        <v>10431</v>
      </c>
      <c r="E305" s="389" t="s">
        <v>8961</v>
      </c>
      <c r="F305" s="390"/>
      <c r="G305" s="390"/>
    </row>
    <row r="306" spans="1:10" s="395" customFormat="1" ht="12.75" customHeight="1" x14ac:dyDescent="0.2">
      <c r="A306" s="391"/>
      <c r="B306" s="405" t="s">
        <v>152</v>
      </c>
      <c r="C306" s="392">
        <f>SUMIF('BAL 12-24'!$B:$B,B306,'BAL 12-24'!$I:$I)</f>
        <v>28917279.321421005</v>
      </c>
      <c r="D306" s="392">
        <f>SUMIF('BAL 12-23'!$B:$B,B306,'BAL 12-23'!$G:$G)</f>
        <v>5223548.3422114998</v>
      </c>
      <c r="E306" s="393">
        <f t="shared" ref="E306:E338" si="27">+C306-D306</f>
        <v>23693730.979209505</v>
      </c>
      <c r="F306" s="394"/>
      <c r="G306" s="406"/>
      <c r="H306" s="356"/>
      <c r="I306" s="356"/>
      <c r="J306" s="356"/>
    </row>
    <row r="307" spans="1:10" s="395" customFormat="1" ht="12.75" customHeight="1" x14ac:dyDescent="0.2">
      <c r="A307" s="391"/>
      <c r="B307" s="10" t="s">
        <v>403</v>
      </c>
      <c r="C307" s="392">
        <f>SUMIF('BAL 12-24'!$B:$B,B307,'BAL 12-24'!$I:$I)</f>
        <v>1368652.8720000004</v>
      </c>
      <c r="D307" s="392">
        <f>SUMIF('BAL 12-23'!$B:$B,B307,'BAL 12-23'!$G:$G)</f>
        <v>1136780.078</v>
      </c>
      <c r="E307" s="393">
        <f t="shared" ref="E307" si="28">+C307-D307</f>
        <v>231872.79400000046</v>
      </c>
      <c r="F307" s="394"/>
      <c r="G307" s="406"/>
      <c r="H307" s="356"/>
      <c r="I307" s="356"/>
      <c r="J307" s="356"/>
    </row>
    <row r="308" spans="1:10" s="395" customFormat="1" ht="12.75" customHeight="1" x14ac:dyDescent="0.2">
      <c r="A308" s="391"/>
      <c r="B308" s="405" t="s">
        <v>150</v>
      </c>
      <c r="C308" s="392">
        <f>SUMIF('BAL 12-24'!$B:$B,B308,'BAL 12-24'!$I:$I)</f>
        <v>6200668.0929999994</v>
      </c>
      <c r="D308" s="392">
        <f>SUMIF('BAL 12-23'!$B:$B,B308,'BAL 12-23'!$G:$G)</f>
        <v>11196553.140000001</v>
      </c>
      <c r="E308" s="393">
        <f t="shared" si="27"/>
        <v>-4995885.0470000012</v>
      </c>
      <c r="F308" s="394"/>
      <c r="G308" s="406"/>
      <c r="H308" s="356"/>
      <c r="I308" s="356"/>
      <c r="J308" s="356"/>
    </row>
    <row r="309" spans="1:10" s="395" customFormat="1" ht="12.75" customHeight="1" x14ac:dyDescent="0.2">
      <c r="A309" s="391"/>
      <c r="B309" s="405" t="s">
        <v>139</v>
      </c>
      <c r="C309" s="392">
        <f>SUMIF('BAL 12-24'!$B:$B,B309,'BAL 12-24'!$I:$I)</f>
        <v>2428846.2311590002</v>
      </c>
      <c r="D309" s="392">
        <f>SUMIF('BAL 12-23'!$B:$B,B309,'BAL 12-23'!$G:$G)</f>
        <v>2332626.313085</v>
      </c>
      <c r="E309" s="393">
        <f t="shared" si="27"/>
        <v>96219.918074000161</v>
      </c>
      <c r="F309" s="394"/>
      <c r="G309" s="406"/>
      <c r="H309" s="356"/>
      <c r="I309" s="356"/>
      <c r="J309" s="356"/>
    </row>
    <row r="310" spans="1:10" s="395" customFormat="1" ht="12.75" customHeight="1" x14ac:dyDescent="0.2">
      <c r="A310" s="391"/>
      <c r="B310" s="405" t="s">
        <v>137</v>
      </c>
      <c r="C310" s="392">
        <f>SUMIF('BAL 12-24'!$B:$B,B310,'BAL 12-24'!$I:$I)</f>
        <v>1817730.5291744999</v>
      </c>
      <c r="D310" s="392">
        <f>SUMIF('BAL 12-23'!$B:$B,B310,'BAL 12-23'!$G:$G)</f>
        <v>1851927.4734315001</v>
      </c>
      <c r="E310" s="393">
        <f t="shared" si="27"/>
        <v>-34196.944257000228</v>
      </c>
      <c r="F310" s="394"/>
      <c r="G310" s="406"/>
      <c r="H310" s="356"/>
      <c r="I310" s="356"/>
      <c r="J310" s="356"/>
    </row>
    <row r="311" spans="1:10" s="395" customFormat="1" ht="12.75" customHeight="1" x14ac:dyDescent="0.2">
      <c r="A311" s="391"/>
      <c r="B311" s="405" t="s">
        <v>158</v>
      </c>
      <c r="C311" s="392">
        <f>SUMIF('BAL 12-24'!$B:$B,B311,'BAL 12-24'!$I:$I)</f>
        <v>2232070.6030400004</v>
      </c>
      <c r="D311" s="392">
        <f>SUMIF('BAL 12-23'!$B:$B,B311,'BAL 12-23'!$G:$G)</f>
        <v>1603422.802316</v>
      </c>
      <c r="E311" s="393">
        <f t="shared" si="27"/>
        <v>628647.80072400044</v>
      </c>
      <c r="F311" s="394"/>
      <c r="G311" s="406"/>
      <c r="H311" s="356"/>
      <c r="I311" s="356"/>
      <c r="J311" s="356"/>
    </row>
    <row r="312" spans="1:10" s="395" customFormat="1" ht="12.75" customHeight="1" x14ac:dyDescent="0.2">
      <c r="A312" s="391"/>
      <c r="B312" s="405" t="s">
        <v>365</v>
      </c>
      <c r="C312" s="392">
        <f>SUMIF('BAL 12-24'!$B:$B,B312,'BAL 12-24'!$I:$I)</f>
        <v>5790605.568</v>
      </c>
      <c r="D312" s="392">
        <f>SUMIF('BAL 12-23'!$B:$B,B312,'BAL 12-23'!$G:$G)</f>
        <v>1292982.9099999999</v>
      </c>
      <c r="E312" s="393">
        <f t="shared" si="27"/>
        <v>4497622.6579999998</v>
      </c>
      <c r="F312" s="394"/>
      <c r="G312" s="406"/>
      <c r="H312" s="356"/>
      <c r="I312" s="356"/>
      <c r="J312" s="356"/>
    </row>
    <row r="313" spans="1:10" s="395" customFormat="1" ht="12.75" customHeight="1" x14ac:dyDescent="0.2">
      <c r="A313" s="391"/>
      <c r="B313" s="405" t="s">
        <v>169</v>
      </c>
      <c r="C313" s="392">
        <f>SUMIF('BAL 12-24'!$B:$B,B313,'BAL 12-24'!$I:$I)</f>
        <v>1306534.1269999999</v>
      </c>
      <c r="D313" s="392">
        <f>SUMIF('BAL 12-23'!$B:$B,B313,'BAL 12-23'!$G:$G)</f>
        <v>1269366.5749999997</v>
      </c>
      <c r="E313" s="393">
        <f t="shared" si="27"/>
        <v>37167.552000000142</v>
      </c>
      <c r="F313" s="394"/>
      <c r="G313" s="406"/>
      <c r="H313" s="356"/>
      <c r="I313" s="356"/>
      <c r="J313" s="356"/>
    </row>
    <row r="314" spans="1:10" s="395" customFormat="1" ht="12.75" customHeight="1" x14ac:dyDescent="0.2">
      <c r="A314" s="391"/>
      <c r="B314" s="405" t="s">
        <v>149</v>
      </c>
      <c r="C314" s="392">
        <f>SUMIF('BAL 12-24'!$B:$B,B314,'BAL 12-24'!$I:$I)</f>
        <v>1559885.6153264998</v>
      </c>
      <c r="D314" s="392">
        <f>SUMIF('BAL 12-23'!$B:$B,B314,'BAL 12-23'!$G:$G)</f>
        <v>1810034.9837770001</v>
      </c>
      <c r="E314" s="393">
        <f t="shared" si="27"/>
        <v>-250149.3684505003</v>
      </c>
      <c r="F314" s="394"/>
      <c r="G314" s="406"/>
      <c r="H314" s="356"/>
      <c r="I314" s="356"/>
      <c r="J314" s="356"/>
    </row>
    <row r="315" spans="1:10" s="395" customFormat="1" ht="12.75" customHeight="1" x14ac:dyDescent="0.2">
      <c r="A315" s="391"/>
      <c r="B315" s="405" t="s">
        <v>151</v>
      </c>
      <c r="C315" s="392">
        <f>SUMIF('BAL 12-24'!$B:$B,B315,'BAL 12-24'!$I:$I)</f>
        <v>1441709.6879</v>
      </c>
      <c r="D315" s="392">
        <f>SUMIF('BAL 12-23'!$B:$B,B315,'BAL 12-23'!$G:$G)</f>
        <v>1300006</v>
      </c>
      <c r="E315" s="393">
        <f t="shared" si="27"/>
        <v>141703.68790000002</v>
      </c>
      <c r="F315" s="394"/>
      <c r="G315" s="406"/>
      <c r="H315" s="356"/>
      <c r="I315" s="356"/>
      <c r="J315" s="356"/>
    </row>
    <row r="316" spans="1:10" s="395" customFormat="1" ht="12.75" customHeight="1" x14ac:dyDescent="0.2">
      <c r="A316" s="391"/>
      <c r="B316" s="405" t="s">
        <v>369</v>
      </c>
      <c r="C316" s="392">
        <f>SUMIF('BAL 12-24'!$B:$B,B316,'BAL 12-24'!$I:$I)</f>
        <v>516480.64000000007</v>
      </c>
      <c r="D316" s="392">
        <f>SUMIF('BAL 12-23'!$B:$B,B316,'BAL 12-23'!$G:$G)</f>
        <v>746123.14500000002</v>
      </c>
      <c r="E316" s="393">
        <f t="shared" si="27"/>
        <v>-229642.50499999995</v>
      </c>
      <c r="F316" s="394"/>
      <c r="G316" s="406"/>
      <c r="H316" s="356"/>
      <c r="I316" s="356"/>
      <c r="J316" s="356"/>
    </row>
    <row r="317" spans="1:10" s="395" customFormat="1" ht="12.75" customHeight="1" x14ac:dyDescent="0.2">
      <c r="A317" s="391"/>
      <c r="B317" s="405" t="s">
        <v>371</v>
      </c>
      <c r="C317" s="392">
        <f>SUMIF('BAL 12-24'!$B:$B,B317,'BAL 12-24'!$I:$I)</f>
        <v>293619.22151249996</v>
      </c>
      <c r="D317" s="392">
        <f>SUMIF('BAL 12-23'!$B:$B,B317,'BAL 12-23'!$G:$G)</f>
        <v>744924.70609800017</v>
      </c>
      <c r="E317" s="393">
        <f t="shared" si="27"/>
        <v>-451305.48458550021</v>
      </c>
      <c r="F317" s="394"/>
      <c r="G317" s="406"/>
      <c r="H317" s="356"/>
      <c r="I317" s="356"/>
      <c r="J317" s="356"/>
    </row>
    <row r="318" spans="1:10" s="395" customFormat="1" ht="12.75" customHeight="1" x14ac:dyDescent="0.2">
      <c r="A318" s="391"/>
      <c r="B318" s="405" t="s">
        <v>154</v>
      </c>
      <c r="C318" s="392">
        <f>SUMIF('BAL 12-24'!$B:$B,B318,'BAL 12-24'!$I:$I)</f>
        <v>640836</v>
      </c>
      <c r="D318" s="392">
        <f>SUMIF('BAL 12-23'!$B:$B,B318,'BAL 12-23'!$G:$G)</f>
        <v>632533.19999999995</v>
      </c>
      <c r="E318" s="393">
        <f t="shared" si="27"/>
        <v>8302.8000000000466</v>
      </c>
      <c r="F318" s="394"/>
      <c r="G318" s="406"/>
      <c r="H318" s="356"/>
      <c r="I318" s="356"/>
      <c r="J318" s="356"/>
    </row>
    <row r="319" spans="1:10" s="395" customFormat="1" ht="12.75" customHeight="1" x14ac:dyDescent="0.2">
      <c r="A319" s="391"/>
      <c r="B319" s="405" t="s">
        <v>147</v>
      </c>
      <c r="C319" s="392">
        <f>SUMIF('BAL 12-24'!$B:$B,B319,'BAL 12-24'!$I:$I)</f>
        <v>562929.69500000007</v>
      </c>
      <c r="D319" s="392">
        <f>SUMIF('BAL 12-23'!$B:$B,B319,'BAL 12-23'!$G:$G)</f>
        <v>506349.51400000002</v>
      </c>
      <c r="E319" s="393">
        <f t="shared" si="27"/>
        <v>56580.181000000041</v>
      </c>
      <c r="F319" s="394"/>
      <c r="G319" s="406"/>
      <c r="H319" s="356"/>
      <c r="I319" s="356"/>
      <c r="J319" s="356"/>
    </row>
    <row r="320" spans="1:10" s="395" customFormat="1" ht="12.75" customHeight="1" x14ac:dyDescent="0.2">
      <c r="A320" s="391"/>
      <c r="B320" s="405" t="s">
        <v>363</v>
      </c>
      <c r="C320" s="392">
        <f>SUMIF('BAL 12-24'!$B:$B,B320,'BAL 12-24'!$I:$I)</f>
        <v>340451.66981549992</v>
      </c>
      <c r="D320" s="392">
        <f>SUMIF('BAL 12-23'!$B:$B,B320,'BAL 12-23'!$G:$G)</f>
        <v>320648.32061700005</v>
      </c>
      <c r="E320" s="393">
        <f t="shared" si="27"/>
        <v>19803.349198499869</v>
      </c>
      <c r="F320" s="394"/>
      <c r="G320" s="406"/>
      <c r="H320" s="356"/>
      <c r="I320" s="356"/>
      <c r="J320" s="356"/>
    </row>
    <row r="321" spans="1:10" s="395" customFormat="1" ht="12.75" customHeight="1" x14ac:dyDescent="0.2">
      <c r="A321" s="391"/>
      <c r="B321" s="405" t="s">
        <v>7393</v>
      </c>
      <c r="C321" s="392">
        <f>SUMIF('BAL 12-24'!$B:$B,B321,'BAL 12-24'!$I:$I)</f>
        <v>995103.48910499993</v>
      </c>
      <c r="D321" s="392">
        <f>SUMIF('BAL 12-23'!$B:$B,B321,'BAL 12-23'!$G:$G)</f>
        <v>195068.03374499999</v>
      </c>
      <c r="E321" s="393">
        <f t="shared" si="27"/>
        <v>800035.45535999991</v>
      </c>
      <c r="F321" s="394"/>
      <c r="G321" s="406"/>
      <c r="H321" s="356"/>
      <c r="I321" s="356"/>
      <c r="J321" s="356"/>
    </row>
    <row r="322" spans="1:10" s="395" customFormat="1" ht="12.75" customHeight="1" x14ac:dyDescent="0.2">
      <c r="A322" s="391"/>
      <c r="B322" s="405" t="s">
        <v>7400</v>
      </c>
      <c r="C322" s="392">
        <f>SUMIF('BAL 12-24'!$B:$B,B322,'BAL 12-24'!$I:$I)</f>
        <v>256175.3552735</v>
      </c>
      <c r="D322" s="392">
        <f>SUMIF('BAL 12-23'!$B:$B,B322,'BAL 12-23'!$G:$G)</f>
        <v>153347.74001150002</v>
      </c>
      <c r="E322" s="393">
        <f t="shared" si="27"/>
        <v>102827.61526199998</v>
      </c>
      <c r="F322" s="394"/>
      <c r="G322" s="406"/>
      <c r="H322" s="356"/>
      <c r="I322" s="356"/>
      <c r="J322" s="356"/>
    </row>
    <row r="323" spans="1:10" s="395" customFormat="1" ht="12.75" customHeight="1" x14ac:dyDescent="0.2">
      <c r="A323" s="391"/>
      <c r="B323" s="405" t="s">
        <v>164</v>
      </c>
      <c r="C323" s="392">
        <f>SUMIF('BAL 12-24'!$B:$B,B323,'BAL 12-24'!$I:$I)</f>
        <v>232561.46457750001</v>
      </c>
      <c r="D323" s="392">
        <f>SUMIF('BAL 12-23'!$B:$B,B323,'BAL 12-23'!$G:$G)</f>
        <v>254728.00929800002</v>
      </c>
      <c r="E323" s="393">
        <f t="shared" si="27"/>
        <v>-22166.544720500009</v>
      </c>
      <c r="F323" s="394"/>
      <c r="G323" s="406"/>
      <c r="H323" s="356"/>
      <c r="I323" s="356"/>
      <c r="J323" s="356"/>
    </row>
    <row r="324" spans="1:10" s="395" customFormat="1" ht="12.75" customHeight="1" x14ac:dyDescent="0.2">
      <c r="A324" s="391"/>
      <c r="B324" s="405" t="s">
        <v>404</v>
      </c>
      <c r="C324" s="392">
        <f>SUMIF('BAL 12-24'!$B:$B,B324,'BAL 12-24'!$I:$I)</f>
        <v>99000</v>
      </c>
      <c r="D324" s="392">
        <f>SUMIF('BAL 12-23'!$B:$B,B324,'BAL 12-23'!$G:$G)</f>
        <v>115072.5</v>
      </c>
      <c r="E324" s="393">
        <f t="shared" si="27"/>
        <v>-16072.5</v>
      </c>
      <c r="F324" s="394"/>
      <c r="G324" s="406"/>
      <c r="H324" s="356"/>
      <c r="I324" s="356"/>
      <c r="J324" s="356"/>
    </row>
    <row r="325" spans="1:10" s="395" customFormat="1" ht="12.75" customHeight="1" x14ac:dyDescent="0.2">
      <c r="A325" s="391"/>
      <c r="B325" s="405" t="s">
        <v>155</v>
      </c>
      <c r="C325" s="392">
        <f>SUMIF('BAL 12-24'!$B:$B,B325,'BAL 12-24'!$I:$I)</f>
        <v>85500</v>
      </c>
      <c r="D325" s="392">
        <f>SUMIF('BAL 12-23'!$B:$B,B325,'BAL 12-23'!$G:$G)</f>
        <v>186749.2</v>
      </c>
      <c r="E325" s="393">
        <f t="shared" si="27"/>
        <v>-101249.20000000001</v>
      </c>
      <c r="F325" s="394"/>
      <c r="G325" s="406"/>
      <c r="H325" s="356"/>
      <c r="I325" s="356"/>
      <c r="J325" s="356"/>
    </row>
    <row r="326" spans="1:10" s="395" customFormat="1" ht="12.75" customHeight="1" x14ac:dyDescent="0.2">
      <c r="A326" s="391"/>
      <c r="B326" s="405" t="s">
        <v>394</v>
      </c>
      <c r="C326" s="392">
        <f>SUMIF('BAL 12-24'!$B:$B,B326,'BAL 12-24'!$I:$I)</f>
        <v>171625.31027000002</v>
      </c>
      <c r="D326" s="392">
        <f>SUMIF('BAL 12-23'!$B:$B,B326,'BAL 12-23'!$G:$G)</f>
        <v>80289.789124999996</v>
      </c>
      <c r="E326" s="393">
        <f t="shared" si="27"/>
        <v>91335.521145000021</v>
      </c>
      <c r="F326" s="394"/>
      <c r="G326" s="406"/>
      <c r="H326" s="356"/>
      <c r="I326" s="356"/>
      <c r="J326" s="356"/>
    </row>
    <row r="327" spans="1:10" s="395" customFormat="1" ht="12.75" customHeight="1" x14ac:dyDescent="0.2">
      <c r="A327" s="391"/>
      <c r="B327" s="405" t="s">
        <v>7566</v>
      </c>
      <c r="C327" s="392">
        <f>SUMIF('BAL 12-24'!$B:$B,B327,'BAL 12-24'!$I:$I)</f>
        <v>146039.71567500001</v>
      </c>
      <c r="D327" s="392">
        <f>SUMIF('BAL 12-23'!$B:$B,B327,'BAL 12-23'!$G:$G)</f>
        <v>0</v>
      </c>
      <c r="E327" s="393">
        <f t="shared" si="27"/>
        <v>146039.71567500001</v>
      </c>
      <c r="F327" s="394"/>
      <c r="G327" s="406"/>
      <c r="H327" s="356"/>
      <c r="I327" s="356"/>
      <c r="J327" s="356"/>
    </row>
    <row r="328" spans="1:10" s="395" customFormat="1" ht="12.75" customHeight="1" x14ac:dyDescent="0.2">
      <c r="A328" s="391"/>
      <c r="B328" s="405" t="s">
        <v>160</v>
      </c>
      <c r="C328" s="392">
        <f>SUMIF('BAL 12-24'!$B:$B,B328,'BAL 12-24'!$I:$I)</f>
        <v>162095.95000000001</v>
      </c>
      <c r="D328" s="392">
        <f>SUMIF('BAL 12-23'!$B:$B,B328,'BAL 12-23'!$G:$G)</f>
        <v>1704.4139999999898</v>
      </c>
      <c r="E328" s="393">
        <f t="shared" si="27"/>
        <v>160391.53600000002</v>
      </c>
      <c r="F328" s="394"/>
      <c r="G328" s="406"/>
      <c r="H328" s="356"/>
      <c r="I328" s="356"/>
      <c r="J328" s="356"/>
    </row>
    <row r="329" spans="1:10" s="395" customFormat="1" ht="12.75" customHeight="1" x14ac:dyDescent="0.2">
      <c r="A329" s="391"/>
      <c r="B329" s="405" t="s">
        <v>156</v>
      </c>
      <c r="C329" s="392">
        <f>SUMIF('BAL 12-24'!$B:$B,B329,'BAL 12-24'!$I:$I)</f>
        <v>54164.048999999999</v>
      </c>
      <c r="D329" s="392">
        <f>SUMIF('BAL 12-23'!$B:$B,B329,'BAL 12-23'!$G:$G)</f>
        <v>103305.007</v>
      </c>
      <c r="E329" s="393">
        <f t="shared" si="27"/>
        <v>-49140.957999999999</v>
      </c>
      <c r="F329" s="394"/>
      <c r="G329" s="406"/>
      <c r="H329" s="356"/>
      <c r="I329" s="356"/>
      <c r="J329" s="356"/>
    </row>
    <row r="330" spans="1:10" s="395" customFormat="1" ht="12.75" customHeight="1" x14ac:dyDescent="0.2">
      <c r="A330" s="391"/>
      <c r="B330" s="405" t="s">
        <v>7570</v>
      </c>
      <c r="C330" s="392">
        <f>SUMIF('BAL 12-24'!$B:$B,B330,'BAL 12-24'!$I:$I)</f>
        <v>93840.986879999997</v>
      </c>
      <c r="D330" s="392">
        <f>SUMIF('BAL 12-23'!$B:$B,B330,'BAL 12-23'!$G:$G)</f>
        <v>52207.795200000008</v>
      </c>
      <c r="E330" s="393">
        <f t="shared" si="27"/>
        <v>41633.191679999989</v>
      </c>
      <c r="F330" s="394"/>
      <c r="G330" s="406"/>
      <c r="H330" s="356"/>
      <c r="I330" s="356"/>
      <c r="J330" s="356"/>
    </row>
    <row r="331" spans="1:10" s="395" customFormat="1" ht="12.75" customHeight="1" x14ac:dyDescent="0.2">
      <c r="A331" s="391"/>
      <c r="B331" s="405" t="s">
        <v>141</v>
      </c>
      <c r="C331" s="392">
        <f>SUMIF('BAL 12-24'!$B:$B,B331,'BAL 12-24'!$I:$I)</f>
        <v>112836.94499999999</v>
      </c>
      <c r="D331" s="392">
        <f>SUMIF('BAL 12-23'!$B:$B,B331,'BAL 12-23'!$G:$G)</f>
        <v>103356.81000000001</v>
      </c>
      <c r="E331" s="393">
        <f t="shared" si="27"/>
        <v>9480.1349999999802</v>
      </c>
      <c r="F331" s="394"/>
      <c r="G331" s="406"/>
      <c r="H331" s="356"/>
      <c r="I331" s="356"/>
      <c r="J331" s="356"/>
    </row>
    <row r="332" spans="1:10" s="395" customFormat="1" ht="12.75" customHeight="1" x14ac:dyDescent="0.2">
      <c r="A332" s="391"/>
      <c r="B332" s="405" t="s">
        <v>163</v>
      </c>
      <c r="C332" s="392">
        <f>SUMIF('BAL 12-24'!$B:$B,B332,'BAL 12-24'!$I:$I)</f>
        <v>65341.95</v>
      </c>
      <c r="D332" s="392">
        <f>SUMIF('BAL 12-23'!$B:$B,B332,'BAL 12-23'!$G:$G)</f>
        <v>132901.9</v>
      </c>
      <c r="E332" s="393">
        <f t="shared" si="27"/>
        <v>-67559.95</v>
      </c>
      <c r="F332" s="394"/>
      <c r="G332" s="406"/>
      <c r="H332" s="356"/>
      <c r="I332" s="356"/>
      <c r="J332" s="356"/>
    </row>
    <row r="333" spans="1:10" s="395" customFormat="1" ht="12.75" customHeight="1" x14ac:dyDescent="0.2">
      <c r="A333" s="391"/>
      <c r="B333" s="405" t="s">
        <v>170</v>
      </c>
      <c r="C333" s="392">
        <f>SUMIF('BAL 12-24'!$B:$B,B333,'BAL 12-24'!$I:$I)</f>
        <v>88486.489999999991</v>
      </c>
      <c r="D333" s="392">
        <f>SUMIF('BAL 12-23'!$B:$B,B333,'BAL 12-23'!$G:$G)</f>
        <v>116969.03500000002</v>
      </c>
      <c r="E333" s="393">
        <f t="shared" si="27"/>
        <v>-28482.545000000027</v>
      </c>
      <c r="F333" s="394"/>
      <c r="G333" s="406"/>
      <c r="H333" s="356"/>
      <c r="I333" s="356"/>
      <c r="J333" s="356"/>
    </row>
    <row r="334" spans="1:10" s="395" customFormat="1" ht="12.75" customHeight="1" x14ac:dyDescent="0.2">
      <c r="A334" s="391"/>
      <c r="B334" s="405" t="s">
        <v>161</v>
      </c>
      <c r="C334" s="392">
        <f>SUMIF('BAL 12-24'!$B:$B,B334,'BAL 12-24'!$I:$I)</f>
        <v>100894.15900000001</v>
      </c>
      <c r="D334" s="392">
        <f>SUMIF('BAL 12-23'!$B:$B,B334,'BAL 12-23'!$G:$G)</f>
        <v>98823.763999999996</v>
      </c>
      <c r="E334" s="393">
        <f t="shared" si="27"/>
        <v>2070.3950000000186</v>
      </c>
      <c r="F334" s="394"/>
      <c r="G334" s="406"/>
      <c r="H334" s="356"/>
      <c r="I334" s="356"/>
      <c r="J334" s="356"/>
    </row>
    <row r="335" spans="1:10" s="395" customFormat="1" ht="12.75" customHeight="1" x14ac:dyDescent="0.2">
      <c r="A335" s="391"/>
      <c r="B335" s="405" t="s">
        <v>142</v>
      </c>
      <c r="C335" s="392">
        <f>SUMIF('BAL 12-24'!$B:$B,B335,'BAL 12-24'!$I:$I)</f>
        <v>48796.065893000006</v>
      </c>
      <c r="D335" s="392">
        <f>SUMIF('BAL 12-23'!$B:$B,B335,'BAL 12-23'!$G:$G)</f>
        <v>73673.712243000002</v>
      </c>
      <c r="E335" s="393">
        <f t="shared" si="27"/>
        <v>-24877.646349999995</v>
      </c>
      <c r="F335" s="394"/>
      <c r="G335" s="406"/>
      <c r="H335" s="356"/>
      <c r="I335" s="356"/>
      <c r="J335" s="356"/>
    </row>
    <row r="336" spans="1:10" s="395" customFormat="1" ht="12.75" customHeight="1" x14ac:dyDescent="0.2">
      <c r="A336" s="391"/>
      <c r="B336" s="405" t="s">
        <v>7391</v>
      </c>
      <c r="C336" s="392">
        <f>SUMIF('BAL 12-24'!$B:$B,B336,'BAL 12-24'!$I:$I)</f>
        <v>53512.599375000005</v>
      </c>
      <c r="D336" s="392">
        <f>SUMIF('BAL 12-23'!$B:$B,B336,'BAL 12-23'!$G:$G)</f>
        <v>52138.206250000003</v>
      </c>
      <c r="E336" s="393">
        <f t="shared" si="27"/>
        <v>1374.3931250000023</v>
      </c>
      <c r="F336" s="394"/>
      <c r="G336" s="406"/>
      <c r="H336" s="356"/>
      <c r="I336" s="356"/>
      <c r="J336" s="356"/>
    </row>
    <row r="337" spans="1:10" s="395" customFormat="1" ht="12.75" customHeight="1" x14ac:dyDescent="0.2">
      <c r="A337" s="391"/>
      <c r="B337" s="405" t="s">
        <v>367</v>
      </c>
      <c r="C337" s="392">
        <f>SUMIF('BAL 12-24'!$B:$B,B337,'BAL 12-24'!$I:$I)</f>
        <v>73594</v>
      </c>
      <c r="D337" s="392">
        <f>SUMIF('BAL 12-23'!$B:$B,B337,'BAL 12-23'!$G:$G)</f>
        <v>56079.1</v>
      </c>
      <c r="E337" s="393">
        <f t="shared" si="27"/>
        <v>17514.900000000001</v>
      </c>
      <c r="F337" s="394"/>
      <c r="G337" s="406"/>
      <c r="H337" s="356"/>
      <c r="I337" s="356"/>
      <c r="J337" s="356"/>
    </row>
    <row r="338" spans="1:10" s="395" customFormat="1" ht="12.75" customHeight="1" x14ac:dyDescent="0.2">
      <c r="A338" s="391"/>
      <c r="B338" s="405" t="s">
        <v>7568</v>
      </c>
      <c r="C338" s="392">
        <f>SUMIF('BAL 12-24'!$B:$B,B338,'BAL 12-24'!$I:$I)</f>
        <v>33763.75</v>
      </c>
      <c r="D338" s="392">
        <f>SUMIF('BAL 12-23'!$B:$B,B338,'BAL 12-23'!$G:$G)</f>
        <v>138604</v>
      </c>
      <c r="E338" s="393">
        <f t="shared" si="27"/>
        <v>-104840.25</v>
      </c>
      <c r="F338" s="394"/>
      <c r="G338" s="406"/>
      <c r="H338" s="356"/>
      <c r="I338" s="356"/>
      <c r="J338" s="356"/>
    </row>
    <row r="339" spans="1:10" s="395" customFormat="1" ht="12.75" customHeight="1" x14ac:dyDescent="0.2">
      <c r="A339" s="391"/>
      <c r="B339" s="405" t="s">
        <v>140</v>
      </c>
      <c r="C339" s="392">
        <f>SUMIF('BAL 12-24'!$B:$B,B339,'BAL 12-24'!$I:$I)</f>
        <v>154399.92223649999</v>
      </c>
      <c r="D339" s="392">
        <f>SUMIF('BAL 12-23'!$B:$B,B339,'BAL 12-23'!$G:$G)</f>
        <v>171420.03677249997</v>
      </c>
      <c r="E339" s="393">
        <f t="shared" ref="E339:E369" si="29">+C339-D339</f>
        <v>-17020.114535999979</v>
      </c>
      <c r="F339" s="394"/>
      <c r="G339" s="406"/>
      <c r="H339" s="356"/>
      <c r="I339" s="356"/>
      <c r="J339" s="356"/>
    </row>
    <row r="340" spans="1:10" s="395" customFormat="1" ht="12.75" customHeight="1" x14ac:dyDescent="0.2">
      <c r="A340" s="391"/>
      <c r="B340" s="405" t="s">
        <v>165</v>
      </c>
      <c r="C340" s="392">
        <f>SUMIF('BAL 12-24'!$B:$B,B340,'BAL 12-24'!$I:$I)</f>
        <v>98925.130822000021</v>
      </c>
      <c r="D340" s="392">
        <f>SUMIF('BAL 12-23'!$B:$B,B340,'BAL 12-23'!$G:$G)</f>
        <v>54364.83</v>
      </c>
      <c r="E340" s="393">
        <f t="shared" si="29"/>
        <v>44560.300822000019</v>
      </c>
      <c r="F340" s="394"/>
      <c r="G340" s="406"/>
      <c r="H340" s="356"/>
      <c r="I340" s="356"/>
      <c r="J340" s="356"/>
    </row>
    <row r="341" spans="1:10" s="395" customFormat="1" ht="12.75" customHeight="1" x14ac:dyDescent="0.2">
      <c r="A341" s="391"/>
      <c r="B341" s="405" t="s">
        <v>162</v>
      </c>
      <c r="C341" s="392">
        <f>SUMIF('BAL 12-24'!$B:$B,B341,'BAL 12-24'!$I:$I)</f>
        <v>66081.729000000007</v>
      </c>
      <c r="D341" s="392">
        <f>SUMIF('BAL 12-23'!$B:$B,B341,'BAL 12-23'!$G:$G)</f>
        <v>56338.16</v>
      </c>
      <c r="E341" s="393">
        <f t="shared" si="29"/>
        <v>9743.5690000000031</v>
      </c>
      <c r="F341" s="394"/>
      <c r="G341" s="406"/>
      <c r="H341" s="356"/>
      <c r="I341" s="356"/>
      <c r="J341" s="356"/>
    </row>
    <row r="342" spans="1:10" s="395" customFormat="1" ht="12.75" customHeight="1" x14ac:dyDescent="0.2">
      <c r="A342" s="391"/>
      <c r="B342" s="405" t="s">
        <v>143</v>
      </c>
      <c r="C342" s="392">
        <f>SUMIF('BAL 12-24'!$B:$B,B342,'BAL 12-24'!$I:$I)</f>
        <v>59014.785230000001</v>
      </c>
      <c r="D342" s="392">
        <f>SUMIF('BAL 12-23'!$B:$B,B342,'BAL 12-23'!$G:$G)</f>
        <v>47859.581200000001</v>
      </c>
      <c r="E342" s="393">
        <f t="shared" si="29"/>
        <v>11155.204030000001</v>
      </c>
      <c r="F342" s="394"/>
      <c r="G342" s="406"/>
      <c r="H342" s="356"/>
      <c r="I342" s="356"/>
      <c r="J342" s="356"/>
    </row>
    <row r="343" spans="1:10" s="395" customFormat="1" ht="12.75" customHeight="1" x14ac:dyDescent="0.2">
      <c r="A343" s="391"/>
      <c r="B343" s="405" t="s">
        <v>145</v>
      </c>
      <c r="C343" s="392">
        <f>SUMIF('BAL 12-24'!$B:$B,B343,'BAL 12-24'!$I:$I)</f>
        <v>53066.147999999994</v>
      </c>
      <c r="D343" s="392">
        <f>SUMIF('BAL 12-23'!$B:$B,B343,'BAL 12-23'!$G:$G)</f>
        <v>29179.371000000003</v>
      </c>
      <c r="E343" s="393">
        <f t="shared" si="29"/>
        <v>23886.776999999991</v>
      </c>
      <c r="F343" s="394"/>
      <c r="G343" s="406"/>
      <c r="H343" s="356"/>
      <c r="I343" s="356"/>
      <c r="J343" s="356"/>
    </row>
    <row r="344" spans="1:10" s="395" customFormat="1" ht="12.75" customHeight="1" x14ac:dyDescent="0.2">
      <c r="A344" s="391"/>
      <c r="B344" s="405" t="s">
        <v>368</v>
      </c>
      <c r="C344" s="392">
        <f>SUMIF('BAL 12-24'!$B:$B,B344,'BAL 12-24'!$I:$I)</f>
        <v>42411.9</v>
      </c>
      <c r="D344" s="392">
        <f>SUMIF('BAL 12-23'!$B:$B,B344,'BAL 12-23'!$G:$G)</f>
        <v>40627.192000000003</v>
      </c>
      <c r="E344" s="393">
        <f t="shared" si="29"/>
        <v>1784.7079999999987</v>
      </c>
      <c r="F344" s="394"/>
      <c r="G344" s="406"/>
      <c r="H344" s="356"/>
      <c r="I344" s="356"/>
      <c r="J344" s="356"/>
    </row>
    <row r="345" spans="1:10" s="395" customFormat="1" ht="12.75" customHeight="1" x14ac:dyDescent="0.2">
      <c r="A345" s="391"/>
      <c r="B345" s="405" t="s">
        <v>8973</v>
      </c>
      <c r="C345" s="392">
        <f>SUMIF('BAL 12-24'!$B:$B,B345,'BAL 12-24'!$I:$I)</f>
        <v>10482.185000000001</v>
      </c>
      <c r="D345" s="392">
        <f>SUMIF('BAL 12-23'!$B:$B,B345,'BAL 12-23'!$G:$G)</f>
        <v>9936.5</v>
      </c>
      <c r="E345" s="393">
        <f t="shared" si="29"/>
        <v>545.68500000000131</v>
      </c>
      <c r="F345" s="394"/>
      <c r="G345" s="406"/>
      <c r="H345" s="356"/>
      <c r="I345" s="356"/>
      <c r="J345" s="356"/>
    </row>
    <row r="346" spans="1:10" s="395" customFormat="1" ht="12.75" customHeight="1" x14ac:dyDescent="0.2">
      <c r="A346" s="391"/>
      <c r="B346" s="405" t="s">
        <v>7396</v>
      </c>
      <c r="C346" s="392">
        <f>SUMIF('BAL 12-24'!$B:$B,B346,'BAL 12-24'!$I:$I)</f>
        <v>30280.058999999997</v>
      </c>
      <c r="D346" s="392">
        <f>SUMIF('BAL 12-23'!$B:$B,B346,'BAL 12-23'!$G:$G)</f>
        <v>38607.696000000004</v>
      </c>
      <c r="E346" s="393">
        <f t="shared" si="29"/>
        <v>-8327.6370000000061</v>
      </c>
      <c r="F346" s="394"/>
      <c r="G346" s="406"/>
      <c r="H346" s="356"/>
      <c r="I346" s="356"/>
      <c r="J346" s="356"/>
    </row>
    <row r="347" spans="1:10" s="395" customFormat="1" ht="12.75" customHeight="1" x14ac:dyDescent="0.2">
      <c r="A347" s="391"/>
      <c r="B347" s="405" t="s">
        <v>7567</v>
      </c>
      <c r="C347" s="392">
        <f>SUMIF('BAL 12-24'!$B:$B,B347,'BAL 12-24'!$I:$I)</f>
        <v>9500.0400000000009</v>
      </c>
      <c r="D347" s="392">
        <f>SUMIF('BAL 12-23'!$B:$B,B347,'BAL 12-23'!$G:$G)</f>
        <v>7798.4359999999997</v>
      </c>
      <c r="E347" s="393">
        <f t="shared" si="29"/>
        <v>1701.6040000000012</v>
      </c>
      <c r="F347" s="394"/>
      <c r="G347" s="406"/>
      <c r="H347" s="356"/>
      <c r="I347" s="356"/>
      <c r="J347" s="356"/>
    </row>
    <row r="348" spans="1:10" s="395" customFormat="1" ht="12.75" customHeight="1" x14ac:dyDescent="0.2">
      <c r="A348" s="391"/>
      <c r="B348" s="405" t="s">
        <v>373</v>
      </c>
      <c r="C348" s="392">
        <f>SUMIF('BAL 12-24'!$B:$B,B348,'BAL 12-24'!$I:$I)</f>
        <v>28350</v>
      </c>
      <c r="D348" s="392">
        <f>SUMIF('BAL 12-23'!$B:$B,B348,'BAL 12-23'!$G:$G)</f>
        <v>13350</v>
      </c>
      <c r="E348" s="393">
        <f t="shared" si="29"/>
        <v>15000</v>
      </c>
      <c r="F348" s="394"/>
      <c r="G348" s="406"/>
      <c r="H348" s="356"/>
      <c r="I348" s="356"/>
      <c r="J348" s="356"/>
    </row>
    <row r="349" spans="1:10" s="395" customFormat="1" ht="12.75" customHeight="1" x14ac:dyDescent="0.2">
      <c r="A349" s="391"/>
      <c r="B349" s="405" t="s">
        <v>7718</v>
      </c>
      <c r="C349" s="392">
        <f>SUMIF('BAL 12-24'!$B:$B,B349,'BAL 12-24'!$I:$I)</f>
        <v>14927.626999999999</v>
      </c>
      <c r="D349" s="392">
        <f>SUMIF('BAL 12-23'!$B:$B,B349,'BAL 12-23'!$G:$G)</f>
        <v>17519.478149999999</v>
      </c>
      <c r="E349" s="393">
        <f t="shared" si="29"/>
        <v>-2591.8511500000004</v>
      </c>
      <c r="F349" s="394"/>
      <c r="G349" s="406"/>
      <c r="H349" s="356"/>
      <c r="I349" s="356"/>
      <c r="J349" s="356"/>
    </row>
    <row r="350" spans="1:10" s="395" customFormat="1" ht="12.75" customHeight="1" x14ac:dyDescent="0.2">
      <c r="A350" s="391"/>
      <c r="B350" s="405" t="s">
        <v>372</v>
      </c>
      <c r="C350" s="392">
        <f>SUMIF('BAL 12-24'!$B:$B,B350,'BAL 12-24'!$I:$I)</f>
        <v>12439.5</v>
      </c>
      <c r="D350" s="392">
        <f>SUMIF('BAL 12-23'!$B:$B,B350,'BAL 12-23'!$G:$G)</f>
        <v>208138.76699999999</v>
      </c>
      <c r="E350" s="393">
        <f t="shared" si="29"/>
        <v>-195699.26699999999</v>
      </c>
      <c r="F350" s="394"/>
      <c r="G350" s="406"/>
      <c r="H350" s="356"/>
      <c r="I350" s="356"/>
      <c r="J350" s="356"/>
    </row>
    <row r="351" spans="1:10" s="395" customFormat="1" ht="12.75" customHeight="1" x14ac:dyDescent="0.2">
      <c r="A351" s="391"/>
      <c r="B351" s="405" t="s">
        <v>364</v>
      </c>
      <c r="C351" s="392">
        <f>SUMIF('BAL 12-24'!$B:$B,B351,'BAL 12-24'!$I:$I)</f>
        <v>5211.6000000000004</v>
      </c>
      <c r="D351" s="392">
        <f>SUMIF('BAL 12-23'!$B:$B,B351,'BAL 12-23'!$G:$G)</f>
        <v>9453.6</v>
      </c>
      <c r="E351" s="393">
        <f t="shared" si="29"/>
        <v>-4242</v>
      </c>
      <c r="F351" s="394"/>
      <c r="G351" s="406"/>
      <c r="H351" s="356"/>
      <c r="I351" s="356"/>
      <c r="J351" s="356"/>
    </row>
    <row r="352" spans="1:10" s="395" customFormat="1" ht="12.75" customHeight="1" x14ac:dyDescent="0.2">
      <c r="A352" s="391"/>
      <c r="B352" s="405" t="s">
        <v>144</v>
      </c>
      <c r="C352" s="392">
        <f>SUMIF('BAL 12-24'!$B:$B,B352,'BAL 12-24'!$I:$I)</f>
        <v>17143.399000000001</v>
      </c>
      <c r="D352" s="392">
        <f>SUMIF('BAL 12-23'!$B:$B,B352,'BAL 12-23'!$G:$G)</f>
        <v>18259.216</v>
      </c>
      <c r="E352" s="393">
        <f t="shared" si="29"/>
        <v>-1115.8169999999991</v>
      </c>
      <c r="F352" s="394"/>
      <c r="G352" s="406"/>
      <c r="H352" s="356"/>
      <c r="I352" s="356"/>
      <c r="J352" s="356"/>
    </row>
    <row r="353" spans="1:10" s="395" customFormat="1" ht="12.75" customHeight="1" x14ac:dyDescent="0.2">
      <c r="A353" s="391"/>
      <c r="B353" s="405" t="s">
        <v>393</v>
      </c>
      <c r="C353" s="392">
        <f>SUMIF('BAL 12-24'!$B:$B,B353,'BAL 12-24'!$I:$I)</f>
        <v>6262</v>
      </c>
      <c r="D353" s="392">
        <f>SUMIF('BAL 12-23'!$B:$B,B353,'BAL 12-23'!$G:$G)</f>
        <v>2646.2</v>
      </c>
      <c r="E353" s="393">
        <f t="shared" si="29"/>
        <v>3615.8</v>
      </c>
      <c r="F353" s="394"/>
      <c r="G353" s="406"/>
      <c r="H353" s="356"/>
      <c r="I353" s="356"/>
      <c r="J353" s="356"/>
    </row>
    <row r="354" spans="1:10" s="395" customFormat="1" ht="12.75" customHeight="1" x14ac:dyDescent="0.2">
      <c r="A354" s="391"/>
      <c r="B354" s="405" t="s">
        <v>396</v>
      </c>
      <c r="C354" s="392">
        <f>SUMIF('BAL 12-24'!$B:$B,B354,'BAL 12-24'!$I:$I)</f>
        <v>5812.39</v>
      </c>
      <c r="D354" s="392">
        <f>SUMIF('BAL 12-23'!$B:$B,B354,'BAL 12-23'!$G:$G)</f>
        <v>7795.0759999999991</v>
      </c>
      <c r="E354" s="393">
        <f t="shared" si="29"/>
        <v>-1982.6859999999988</v>
      </c>
      <c r="F354" s="394"/>
      <c r="G354" s="406"/>
      <c r="H354" s="356"/>
      <c r="I354" s="356"/>
      <c r="J354" s="356"/>
    </row>
    <row r="355" spans="1:10" s="395" customFormat="1" ht="12.75" customHeight="1" x14ac:dyDescent="0.2">
      <c r="A355" s="391"/>
      <c r="B355" s="405" t="s">
        <v>9648</v>
      </c>
      <c r="C355" s="392">
        <f>SUMIF('BAL 12-24'!$B:$B,B355,'BAL 12-24'!$I:$I)</f>
        <v>0</v>
      </c>
      <c r="D355" s="392">
        <f>SUMIF('BAL 12-23'!$B:$B,B355,'BAL 12-23'!$G:$G)</f>
        <v>552.5</v>
      </c>
      <c r="E355" s="393">
        <f t="shared" ref="E355" si="30">+C355-D355</f>
        <v>-552.5</v>
      </c>
      <c r="F355" s="394"/>
      <c r="G355" s="406"/>
      <c r="H355" s="356"/>
      <c r="I355" s="356"/>
      <c r="J355" s="356"/>
    </row>
    <row r="356" spans="1:10" s="395" customFormat="1" ht="12.75" customHeight="1" x14ac:dyDescent="0.2">
      <c r="A356" s="391"/>
      <c r="B356" s="405" t="s">
        <v>9638</v>
      </c>
      <c r="C356" s="392">
        <f>SUMIF('BAL 12-24'!$B:$B,B356,'BAL 12-24'!$I:$I)</f>
        <v>2.5000015739351511E-5</v>
      </c>
      <c r="D356" s="392">
        <f>SUMIF('BAL 12-23'!$B:$B,B356,'BAL 12-23'!$G:$G)</f>
        <v>4588.8525</v>
      </c>
      <c r="E356" s="393">
        <f t="shared" ref="E356:E357" si="31">+C356-D356</f>
        <v>-4588.8524749999842</v>
      </c>
      <c r="F356" s="394"/>
      <c r="G356" s="406"/>
      <c r="H356" s="356"/>
      <c r="I356" s="356"/>
      <c r="J356" s="356"/>
    </row>
    <row r="357" spans="1:10" s="395" customFormat="1" ht="12.75" customHeight="1" x14ac:dyDescent="0.2">
      <c r="A357" s="391"/>
      <c r="B357" s="405" t="s">
        <v>366</v>
      </c>
      <c r="C357" s="392">
        <f>SUMIF('BAL 12-24'!$B:$B,B357,'BAL 12-24'!$I:$I)</f>
        <v>6325</v>
      </c>
      <c r="D357" s="392">
        <f>SUMIF('BAL 12-23'!$B:$B,B357,'BAL 12-23'!$G:$G)</f>
        <v>7350</v>
      </c>
      <c r="E357" s="393">
        <f t="shared" si="31"/>
        <v>-1025</v>
      </c>
      <c r="F357" s="394"/>
      <c r="G357" s="406"/>
      <c r="H357" s="356"/>
      <c r="I357" s="356"/>
      <c r="J357" s="356"/>
    </row>
    <row r="358" spans="1:10" s="395" customFormat="1" ht="12.75" customHeight="1" x14ac:dyDescent="0.2">
      <c r="A358" s="391"/>
      <c r="B358" s="405" t="s">
        <v>395</v>
      </c>
      <c r="C358" s="392">
        <f>SUMIF('BAL 12-24'!$B:$B,B358,'BAL 12-24'!$I:$I)</f>
        <v>3633.8550000000005</v>
      </c>
      <c r="D358" s="392">
        <f>SUMIF('BAL 12-23'!$B:$B,B358,'BAL 12-23'!$G:$G)</f>
        <v>2076.489</v>
      </c>
      <c r="E358" s="393">
        <f t="shared" si="29"/>
        <v>1557.3660000000004</v>
      </c>
      <c r="F358" s="394"/>
      <c r="G358" s="406"/>
      <c r="H358" s="356"/>
      <c r="I358" s="356"/>
      <c r="J358" s="356"/>
    </row>
    <row r="359" spans="1:10" s="395" customFormat="1" ht="12.75" customHeight="1" x14ac:dyDescent="0.2">
      <c r="A359" s="391"/>
      <c r="B359" s="405" t="s">
        <v>7720</v>
      </c>
      <c r="C359" s="392">
        <f>SUMIF('BAL 12-24'!$B:$B,B359,'BAL 12-24'!$I:$I)</f>
        <v>2058.75</v>
      </c>
      <c r="D359" s="392">
        <f>SUMIF('BAL 12-23'!$B:$B,B359,'BAL 12-23'!$G:$G)</f>
        <v>168116.4</v>
      </c>
      <c r="E359" s="393">
        <f t="shared" si="29"/>
        <v>-166057.65</v>
      </c>
      <c r="F359" s="394"/>
      <c r="G359" s="406"/>
      <c r="H359" s="356"/>
      <c r="I359" s="356"/>
      <c r="J359" s="356"/>
    </row>
    <row r="360" spans="1:10" s="395" customFormat="1" ht="12.75" customHeight="1" x14ac:dyDescent="0.2">
      <c r="A360" s="391"/>
      <c r="B360" s="405" t="s">
        <v>7401</v>
      </c>
      <c r="C360" s="392">
        <f>SUMIF('BAL 12-24'!$B:$B,B360,'BAL 12-24'!$I:$I)</f>
        <v>2184.85</v>
      </c>
      <c r="D360" s="392">
        <f>SUMIF('BAL 12-23'!$B:$B,B360,'BAL 12-23'!$G:$G)</f>
        <v>1171.6030000000001</v>
      </c>
      <c r="E360" s="393">
        <f t="shared" si="29"/>
        <v>1013.2469999999998</v>
      </c>
      <c r="F360" s="394"/>
      <c r="G360" s="406"/>
      <c r="H360" s="356"/>
      <c r="I360" s="356"/>
      <c r="J360" s="356"/>
    </row>
    <row r="361" spans="1:10" s="395" customFormat="1" ht="12.75" customHeight="1" x14ac:dyDescent="0.2">
      <c r="A361" s="391"/>
      <c r="B361" s="405" t="s">
        <v>8977</v>
      </c>
      <c r="C361" s="392">
        <f>SUMIF('BAL 12-24'!$B:$B,B361,'BAL 12-24'!$I:$I)</f>
        <v>492</v>
      </c>
      <c r="D361" s="392">
        <f>SUMIF('BAL 12-23'!$B:$B,B361,'BAL 12-23'!$G:$G)</f>
        <v>0</v>
      </c>
      <c r="E361" s="393">
        <f t="shared" si="29"/>
        <v>492</v>
      </c>
      <c r="F361" s="394"/>
      <c r="G361" s="406"/>
      <c r="H361" s="356"/>
      <c r="I361" s="356"/>
      <c r="J361" s="356"/>
    </row>
    <row r="362" spans="1:10" s="395" customFormat="1" ht="12.75" customHeight="1" x14ac:dyDescent="0.2">
      <c r="A362" s="391"/>
      <c r="B362" s="405" t="s">
        <v>146</v>
      </c>
      <c r="C362" s="392">
        <f>SUMIF('BAL 12-24'!$B:$B,B362,'BAL 12-24'!$I:$I)</f>
        <v>2426.8620000000001</v>
      </c>
      <c r="D362" s="392">
        <f>SUMIF('BAL 12-23'!$B:$B,B362,'BAL 12-23'!$G:$G)</f>
        <v>13450.472</v>
      </c>
      <c r="E362" s="393">
        <f t="shared" si="29"/>
        <v>-11023.61</v>
      </c>
      <c r="F362" s="394"/>
      <c r="G362" s="406"/>
      <c r="H362" s="356"/>
      <c r="I362" s="356"/>
      <c r="J362" s="356"/>
    </row>
    <row r="363" spans="1:10" s="395" customFormat="1" ht="12.75" customHeight="1" x14ac:dyDescent="0.2">
      <c r="A363" s="391"/>
      <c r="B363" s="405" t="s">
        <v>7392</v>
      </c>
      <c r="C363" s="392">
        <f>SUMIF('BAL 12-24'!$B:$B,B363,'BAL 12-24'!$I:$I)</f>
        <v>0</v>
      </c>
      <c r="D363" s="392">
        <f>SUMIF('BAL 12-23'!$B:$B,B363,'BAL 12-23'!$G:$G)</f>
        <v>2523.0747249999999</v>
      </c>
      <c r="E363" s="393">
        <f t="shared" si="29"/>
        <v>-2523.0747249999999</v>
      </c>
      <c r="F363" s="394"/>
      <c r="G363" s="406"/>
      <c r="H363" s="356"/>
      <c r="I363" s="356"/>
      <c r="J363" s="356"/>
    </row>
    <row r="364" spans="1:10" s="395" customFormat="1" ht="12.75" customHeight="1" x14ac:dyDescent="0.2">
      <c r="A364" s="391"/>
      <c r="B364" s="405" t="s">
        <v>261</v>
      </c>
      <c r="C364" s="392">
        <f>SUMIF('BAL 12-24'!$B:$B,B364,'BAL 12-24'!$I:$I)</f>
        <v>847.779</v>
      </c>
      <c r="D364" s="392">
        <f>SUMIF('BAL 12-23'!$B:$B,B364,'BAL 12-23'!$G:$G)</f>
        <v>5382.0619999999999</v>
      </c>
      <c r="E364" s="393">
        <f t="shared" si="29"/>
        <v>-4534.2829999999994</v>
      </c>
      <c r="F364" s="394"/>
      <c r="G364" s="406"/>
      <c r="H364" s="356"/>
      <c r="I364" s="356"/>
      <c r="J364" s="356"/>
    </row>
    <row r="365" spans="1:10" s="395" customFormat="1" ht="12.75" customHeight="1" x14ac:dyDescent="0.2">
      <c r="A365" s="391"/>
      <c r="B365" s="405" t="s">
        <v>148</v>
      </c>
      <c r="C365" s="392">
        <f>SUMIF('BAL 12-24'!$B:$B,B365,'BAL 12-24'!$I:$I)</f>
        <v>606</v>
      </c>
      <c r="D365" s="392">
        <f>SUMIF('BAL 12-23'!$B:$B,B365,'BAL 12-23'!$G:$G)</f>
        <v>23602.247000000003</v>
      </c>
      <c r="E365" s="393">
        <f t="shared" si="29"/>
        <v>-22996.247000000003</v>
      </c>
      <c r="F365" s="394"/>
      <c r="G365" s="406"/>
      <c r="H365" s="356"/>
      <c r="I365" s="356"/>
      <c r="J365" s="356"/>
    </row>
    <row r="366" spans="1:10" s="395" customFormat="1" ht="12.75" customHeight="1" x14ac:dyDescent="0.2">
      <c r="A366" s="391"/>
      <c r="B366" s="405" t="s">
        <v>7394</v>
      </c>
      <c r="C366" s="392">
        <f>SUMIF('BAL 12-24'!$B:$B,B366,'BAL 12-24'!$I:$I)</f>
        <v>0</v>
      </c>
      <c r="D366" s="392">
        <f>SUMIF('BAL 12-23'!$B:$B,B366,'BAL 12-23'!$G:$G)</f>
        <v>976.17600000000004</v>
      </c>
      <c r="E366" s="393">
        <f t="shared" si="29"/>
        <v>-976.17600000000004</v>
      </c>
      <c r="F366" s="394"/>
      <c r="G366" s="406"/>
      <c r="H366" s="356"/>
      <c r="I366" s="356"/>
      <c r="J366" s="356"/>
    </row>
    <row r="367" spans="1:10" s="395" customFormat="1" ht="12.75" customHeight="1" x14ac:dyDescent="0.2">
      <c r="A367" s="391"/>
      <c r="B367" s="405" t="s">
        <v>7395</v>
      </c>
      <c r="C367" s="392">
        <f>SUMIF('BAL 12-24'!$B:$B,B367,'BAL 12-24'!$I:$I)</f>
        <v>0</v>
      </c>
      <c r="D367" s="392">
        <f>SUMIF('BAL 12-23'!$B:$B,B367,'BAL 12-23'!$G:$G)</f>
        <v>1435</v>
      </c>
      <c r="E367" s="393">
        <f t="shared" si="29"/>
        <v>-1435</v>
      </c>
      <c r="F367" s="394"/>
      <c r="G367" s="406"/>
      <c r="H367" s="356"/>
      <c r="I367" s="356"/>
      <c r="J367" s="356"/>
    </row>
    <row r="368" spans="1:10" s="395" customFormat="1" ht="12.75" customHeight="1" x14ac:dyDescent="0.2">
      <c r="A368" s="391"/>
      <c r="B368" s="405" t="s">
        <v>370</v>
      </c>
      <c r="C368" s="392">
        <f>SUMIF('BAL 12-24'!$B:$B,B368,'BAL 12-24'!$I:$I)</f>
        <v>0</v>
      </c>
      <c r="D368" s="392">
        <f>SUMIF('BAL 12-23'!$B:$B,B368,'BAL 12-23'!$G:$G)</f>
        <v>24171.527000000002</v>
      </c>
      <c r="E368" s="393">
        <f t="shared" si="29"/>
        <v>-24171.527000000002</v>
      </c>
      <c r="F368" s="394"/>
      <c r="G368" s="406"/>
      <c r="H368" s="356"/>
      <c r="I368" s="356"/>
      <c r="J368" s="356"/>
    </row>
    <row r="369" spans="1:10" s="395" customFormat="1" ht="12.75" customHeight="1" x14ac:dyDescent="0.2">
      <c r="A369" s="391"/>
      <c r="B369" s="405" t="s">
        <v>265</v>
      </c>
      <c r="C369" s="392">
        <f>SUMIF('BAL 12-24'!$B:$B,B369,'BAL 12-24'!$I:$I)</f>
        <v>-6385811.27700001</v>
      </c>
      <c r="D369" s="392">
        <f>SUMIF('BAL 12-23'!$B:$B,B369,'BAL 12-23'!$G:$G)</f>
        <v>-531750.42699999921</v>
      </c>
      <c r="E369" s="393">
        <f t="shared" si="29"/>
        <v>-5854060.8500000108</v>
      </c>
      <c r="F369" s="394"/>
      <c r="G369" s="406"/>
      <c r="H369" s="356"/>
      <c r="I369" s="356"/>
      <c r="J369" s="356"/>
    </row>
    <row r="370" spans="1:10" s="395" customFormat="1" ht="12.75" customHeight="1" x14ac:dyDescent="0.2">
      <c r="A370" s="391"/>
      <c r="B370" s="405" t="s">
        <v>10089</v>
      </c>
      <c r="C370" s="392">
        <f>SUMIF('BAL 12-24'!$B:$B,B370,'BAL 12-24'!$I:$I)</f>
        <v>-117857.736065</v>
      </c>
      <c r="D370" s="392">
        <f>SUMIF('BAL 12-23'!$B:$B,B370,'BAL 12-23'!$G:$G)</f>
        <v>0</v>
      </c>
      <c r="E370" s="393">
        <f t="shared" ref="E370" si="32">+C370-D370</f>
        <v>-117857.736065</v>
      </c>
      <c r="F370" s="394"/>
      <c r="G370" s="406"/>
      <c r="H370" s="356"/>
      <c r="I370" s="356"/>
      <c r="J370" s="356"/>
    </row>
    <row r="371" spans="1:10" ht="16.5" customHeight="1" x14ac:dyDescent="0.25">
      <c r="B371" s="429" t="s">
        <v>7407</v>
      </c>
      <c r="C371" s="443">
        <f>SUM(C306:C370)</f>
        <v>52420846.652646512</v>
      </c>
      <c r="D371" s="443">
        <f t="shared" ref="D371:E371" si="33">SUM(D306:D370)</f>
        <v>34339786.635755993</v>
      </c>
      <c r="E371" s="443">
        <f t="shared" si="33"/>
        <v>18081060.016890503</v>
      </c>
    </row>
    <row r="372" spans="1:10" ht="16.5" customHeight="1" x14ac:dyDescent="0.25">
      <c r="B372" s="431"/>
      <c r="C372" s="400">
        <f>-'P&amp;L 12-24'!F16-C371</f>
        <v>0</v>
      </c>
      <c r="D372" s="400">
        <f>-'P&amp;L 12-24'!H16-D371</f>
        <v>0</v>
      </c>
      <c r="E372" s="427"/>
    </row>
    <row r="373" spans="1:10" s="445" customFormat="1" ht="20.100000000000001" customHeight="1" thickBot="1" x14ac:dyDescent="0.3">
      <c r="A373" s="444"/>
      <c r="E373" s="371"/>
      <c r="H373" s="356"/>
      <c r="I373" s="356"/>
      <c r="J373" s="356"/>
    </row>
    <row r="374" spans="1:10" ht="20.100000000000001" customHeight="1" thickBot="1" x14ac:dyDescent="0.3">
      <c r="B374" s="446" t="s">
        <v>8966</v>
      </c>
    </row>
    <row r="376" spans="1:10" ht="20.100000000000001" customHeight="1" x14ac:dyDescent="0.25">
      <c r="B376" s="367" t="str">
        <f>+A382&amp;"Le solde de cette rubrique s'élève au 31/12/2024 à " &amp; ROUND($C$382,3) &amp;" dt contre " &amp; ROUND($D$382,3) &amp;" dt au 31/12/2023"</f>
        <v>Le solde de cette rubrique s'élève au 31/12/2024 à 1152856,907 dt contre 0 dt au 31/12/2023</v>
      </c>
    </row>
    <row r="377" spans="1:10" ht="20.100000000000001" customHeight="1" x14ac:dyDescent="0.25">
      <c r="B377" s="389" t="s">
        <v>8965</v>
      </c>
      <c r="C377" s="389" t="s">
        <v>10430</v>
      </c>
      <c r="D377" s="389" t="s">
        <v>10431</v>
      </c>
      <c r="E377" s="389" t="s">
        <v>8961</v>
      </c>
    </row>
    <row r="378" spans="1:10" s="395" customFormat="1" ht="12.75" customHeight="1" x14ac:dyDescent="0.2">
      <c r="A378" s="391"/>
      <c r="B378" s="10" t="s">
        <v>7577</v>
      </c>
      <c r="C378" s="392">
        <f>SUMIF('BAL 12-24'!$B:$B,B378,'BAL 12-24'!$I:$I)</f>
        <v>598988.58900000015</v>
      </c>
      <c r="D378" s="392">
        <f>SUMIF('BAL 12-23'!$B:$B,B378,'BAL 12-23'!$G:$G)</f>
        <v>0</v>
      </c>
      <c r="E378" s="393">
        <f t="shared" ref="E378:E381" si="34">+C378-D378</f>
        <v>598988.58900000015</v>
      </c>
      <c r="F378" s="394"/>
      <c r="G378" s="356"/>
    </row>
    <row r="379" spans="1:10" s="395" customFormat="1" ht="12.75" customHeight="1" x14ac:dyDescent="0.2">
      <c r="A379" s="391"/>
      <c r="B379" s="10" t="s">
        <v>8976</v>
      </c>
      <c r="C379" s="392">
        <f>SUMIF('BAL 12-24'!$B:$B,B379,'BAL 12-24'!$I:$I)</f>
        <v>497756.18800000008</v>
      </c>
      <c r="D379" s="392">
        <f>SUMIF('BAL 12-23'!$B:$B,B379,'BAL 12-23'!$G:$G)</f>
        <v>0</v>
      </c>
      <c r="E379" s="393">
        <f t="shared" ref="E379" si="35">+C379-D379</f>
        <v>497756.18800000008</v>
      </c>
      <c r="F379" s="394"/>
      <c r="G379" s="356"/>
    </row>
    <row r="380" spans="1:10" s="395" customFormat="1" ht="12.75" customHeight="1" x14ac:dyDescent="0.2">
      <c r="A380" s="391"/>
      <c r="B380" s="10" t="s">
        <v>9481</v>
      </c>
      <c r="C380" s="392">
        <f>SUMIF('BAL 12-24'!$B:$B,B380,'BAL 12-24'!$I:$I)</f>
        <v>120000</v>
      </c>
      <c r="D380" s="392">
        <f>SUMIF('BAL 12-23'!$B:$B,B380,'BAL 12-23'!$G:$G)</f>
        <v>0</v>
      </c>
      <c r="E380" s="393">
        <f t="shared" ref="E380" si="36">+C380-D380</f>
        <v>120000</v>
      </c>
      <c r="F380" s="394"/>
      <c r="G380" s="356"/>
    </row>
    <row r="381" spans="1:10" s="395" customFormat="1" ht="12.75" customHeight="1" x14ac:dyDescent="0.2">
      <c r="A381" s="391"/>
      <c r="B381" s="10" t="s">
        <v>7576</v>
      </c>
      <c r="C381" s="392">
        <f>SUMIF('BAL 12-24'!$B:$B,B381,'BAL 12-24'!$I:$I)</f>
        <v>-63887.869999999995</v>
      </c>
      <c r="D381" s="392">
        <f>SUMIF('BAL 12-23'!$B:$B,B381,'BAL 12-23'!$G:$G)</f>
        <v>0</v>
      </c>
      <c r="E381" s="393">
        <f t="shared" si="34"/>
        <v>-63887.869999999995</v>
      </c>
      <c r="F381" s="394"/>
      <c r="G381" s="356"/>
    </row>
    <row r="382" spans="1:10" ht="16.5" customHeight="1" x14ac:dyDescent="0.25">
      <c r="B382" s="429" t="s">
        <v>7407</v>
      </c>
      <c r="C382" s="443">
        <f>SUM(C378:C381)</f>
        <v>1152856.9070000001</v>
      </c>
      <c r="D382" s="443">
        <f>SUM(D378:D381)</f>
        <v>0</v>
      </c>
      <c r="E382" s="443">
        <f>SUM(E378:E381)</f>
        <v>1152856.9070000001</v>
      </c>
    </row>
    <row r="383" spans="1:10" ht="16.5" customHeight="1" x14ac:dyDescent="0.25">
      <c r="B383" s="431"/>
      <c r="C383" s="400">
        <f>-'P&amp;L 12-24'!F18-C382</f>
        <v>0</v>
      </c>
      <c r="D383" s="400">
        <f>-'P&amp;L 12-24'!H18-D382</f>
        <v>0</v>
      </c>
      <c r="E383" s="450"/>
      <c r="F383" s="390"/>
    </row>
    <row r="384" spans="1:10" ht="16.5" customHeight="1" thickBot="1" x14ac:dyDescent="0.3">
      <c r="B384" s="431"/>
      <c r="E384" s="450"/>
      <c r="F384" s="390"/>
    </row>
    <row r="385" spans="1:6" ht="20.100000000000001" customHeight="1" thickBot="1" x14ac:dyDescent="0.3">
      <c r="B385" s="446" t="s">
        <v>8967</v>
      </c>
    </row>
    <row r="387" spans="1:6" ht="20.100000000000001" customHeight="1" x14ac:dyDescent="0.25">
      <c r="B387" s="367" t="str">
        <f>+A387&amp;"Le solde de cette rubrique s'élève au 31/12/2024 à " &amp; ROUND($C$390,3) &amp;" dt contre " &amp; ROUND($D$390,3) &amp;" dt au 31/12/2023"</f>
        <v>Le solde de cette rubrique s'élève au 31/12/2024 à 3094127,308 dt contre 2490371,853 dt au 31/12/2023</v>
      </c>
    </row>
    <row r="388" spans="1:6" ht="20.100000000000001" customHeight="1" x14ac:dyDescent="0.25">
      <c r="B388" s="389" t="s">
        <v>8965</v>
      </c>
      <c r="C388" s="389" t="s">
        <v>10430</v>
      </c>
      <c r="D388" s="389" t="s">
        <v>10431</v>
      </c>
      <c r="E388" s="389" t="s">
        <v>8961</v>
      </c>
    </row>
    <row r="389" spans="1:6" s="395" customFormat="1" ht="12.75" customHeight="1" x14ac:dyDescent="0.2">
      <c r="A389" s="391"/>
      <c r="B389" s="405" t="s">
        <v>7390</v>
      </c>
      <c r="C389" s="392">
        <f>SUMIF('BAL 12-24'!$B:$B,B389,'BAL 12-24'!$I:$I)</f>
        <v>3094127.3080000021</v>
      </c>
      <c r="D389" s="392">
        <f>SUMIF('BAL 12-23'!$B:$B,B389,'BAL 12-23'!$G:$G)</f>
        <v>2490371.8530000001</v>
      </c>
      <c r="E389" s="393">
        <f t="shared" ref="E389" si="37">+C389-D389</f>
        <v>603755.45500000194</v>
      </c>
      <c r="F389" s="394"/>
    </row>
    <row r="390" spans="1:6" ht="16.5" customHeight="1" x14ac:dyDescent="0.25">
      <c r="B390" s="429" t="s">
        <v>7407</v>
      </c>
      <c r="C390" s="443">
        <f>SUM(C389:C389)</f>
        <v>3094127.3080000021</v>
      </c>
      <c r="D390" s="443">
        <f>SUM(D389:D389)</f>
        <v>2490371.8530000001</v>
      </c>
      <c r="E390" s="443">
        <f>SUM(E389:E389)</f>
        <v>603755.45500000194</v>
      </c>
    </row>
    <row r="391" spans="1:6" ht="16.5" customHeight="1" x14ac:dyDescent="0.25">
      <c r="B391" s="431"/>
      <c r="C391" s="400">
        <f>-'P&amp;L 12-24'!F19-C390</f>
        <v>0</v>
      </c>
      <c r="D391" s="400">
        <f>-'P&amp;L 12-24'!H19-D390</f>
        <v>0</v>
      </c>
      <c r="E391" s="427"/>
    </row>
    <row r="392" spans="1:6" ht="20.100000000000001" customHeight="1" thickBot="1" x14ac:dyDescent="0.3"/>
    <row r="393" spans="1:6" ht="20.100000000000001" customHeight="1" thickBot="1" x14ac:dyDescent="0.3">
      <c r="B393" s="435" t="s">
        <v>8968</v>
      </c>
    </row>
    <row r="395" spans="1:6" ht="20.100000000000001" customHeight="1" x14ac:dyDescent="0.25">
      <c r="B395" s="367" t="str">
        <f>+A395&amp;"Le solde de cette rubrique s'élève au 31/12/2024 à " &amp; ROUND($C$403,3) &amp;" dt contre " &amp; ROUND($D$403,3) &amp;" dt au 31/12/2023"</f>
        <v>Le solde de cette rubrique s'élève au 31/12/2024 à 5833205,665 dt contre 5287785,644 dt au 31/12/2023</v>
      </c>
    </row>
    <row r="396" spans="1:6" ht="20.100000000000001" customHeight="1" x14ac:dyDescent="0.25">
      <c r="B396" s="389" t="s">
        <v>8965</v>
      </c>
      <c r="C396" s="389" t="s">
        <v>10430</v>
      </c>
      <c r="D396" s="389" t="s">
        <v>10431</v>
      </c>
      <c r="E396" s="389" t="s">
        <v>8961</v>
      </c>
    </row>
    <row r="397" spans="1:6" s="395" customFormat="1" ht="12.75" customHeight="1" x14ac:dyDescent="0.2">
      <c r="A397" s="391"/>
      <c r="B397" s="10" t="s">
        <v>191</v>
      </c>
      <c r="C397" s="392">
        <f>SUMIF('BAL 12-24'!$B:$B,B397,'BAL 12-24'!$I:$I)</f>
        <v>4694648.1559999995</v>
      </c>
      <c r="D397" s="392">
        <f>SUMIF('BAL 12-23'!$B:$B,B397,'BAL 12-23'!$G:$G)</f>
        <v>4796007.0539999995</v>
      </c>
      <c r="E397" s="393">
        <f>+C397-D397</f>
        <v>-101358.89800000004</v>
      </c>
      <c r="F397" s="394"/>
    </row>
    <row r="398" spans="1:6" s="395" customFormat="1" ht="12.75" customHeight="1" x14ac:dyDescent="0.2">
      <c r="A398" s="391"/>
      <c r="B398" s="10" t="s">
        <v>408</v>
      </c>
      <c r="C398" s="392">
        <f>SUMIF('BAL 12-24'!$B:$B,B398,'BAL 12-24'!$I:$I)</f>
        <v>300000</v>
      </c>
      <c r="D398" s="392">
        <f>SUMIF('BAL 12-23'!$B:$B,B398,'BAL 12-23'!$G:$G)</f>
        <v>0</v>
      </c>
      <c r="E398" s="393">
        <f t="shared" ref="E398:E402" si="38">+C398-D398</f>
        <v>300000</v>
      </c>
      <c r="F398" s="394"/>
    </row>
    <row r="399" spans="1:6" s="395" customFormat="1" ht="12.75" customHeight="1" x14ac:dyDescent="0.2">
      <c r="A399" s="391"/>
      <c r="B399" s="10" t="s">
        <v>406</v>
      </c>
      <c r="C399" s="392">
        <f>SUMIF('BAL 12-24'!$B:$B,B399,'BAL 12-24'!$I:$I)</f>
        <v>367606.63299999991</v>
      </c>
      <c r="D399" s="392">
        <f>SUMIF('BAL 12-23'!$B:$B,B399,'BAL 12-23'!$G:$G)</f>
        <v>0</v>
      </c>
      <c r="E399" s="393">
        <f t="shared" si="38"/>
        <v>367606.63299999991</v>
      </c>
      <c r="F399" s="394"/>
    </row>
    <row r="400" spans="1:6" s="395" customFormat="1" ht="12.75" customHeight="1" x14ac:dyDescent="0.2">
      <c r="A400" s="391"/>
      <c r="B400" s="10" t="s">
        <v>407</v>
      </c>
      <c r="C400" s="392">
        <f>SUMIF('BAL 12-24'!$B:$B,B400,'BAL 12-24'!$I:$I)</f>
        <v>14068.586000000127</v>
      </c>
      <c r="D400" s="392">
        <f>SUMIF('BAL 12-23'!$B:$B,B400,'BAL 12-23'!$G:$G)</f>
        <v>55527.371999999974</v>
      </c>
      <c r="E400" s="393">
        <f t="shared" si="38"/>
        <v>-41458.785999999847</v>
      </c>
      <c r="F400" s="394"/>
    </row>
    <row r="401" spans="1:10" s="395" customFormat="1" ht="12.75" customHeight="1" x14ac:dyDescent="0.2">
      <c r="A401" s="391"/>
      <c r="B401" s="10" t="s">
        <v>193</v>
      </c>
      <c r="C401" s="392">
        <f>SUMIF('BAL 12-24'!$B:$B,B401,'BAL 12-24'!$I:$I)</f>
        <v>0</v>
      </c>
      <c r="D401" s="392">
        <f>SUMIF('BAL 12-23'!$B:$B,B401,'BAL 12-23'!$G:$G)</f>
        <v>24780</v>
      </c>
      <c r="E401" s="393">
        <f t="shared" ref="E401" si="39">+C401-D401</f>
        <v>-24780</v>
      </c>
      <c r="F401" s="394"/>
    </row>
    <row r="402" spans="1:10" s="395" customFormat="1" ht="12.75" customHeight="1" x14ac:dyDescent="0.2">
      <c r="A402" s="391"/>
      <c r="B402" s="10" t="s">
        <v>194</v>
      </c>
      <c r="C402" s="392">
        <f>SUMIF('BAL 12-24'!$B:$B,B402,'BAL 12-24'!$I:$I)</f>
        <v>456882.28999999992</v>
      </c>
      <c r="D402" s="392">
        <f>SUMIF('BAL 12-23'!$B:$B,B402,'BAL 12-23'!$G:$G)</f>
        <v>411471.21799999994</v>
      </c>
      <c r="E402" s="393">
        <f t="shared" si="38"/>
        <v>45411.071999999986</v>
      </c>
      <c r="F402" s="394"/>
    </row>
    <row r="403" spans="1:10" ht="18.75" customHeight="1" x14ac:dyDescent="0.25">
      <c r="B403" s="429" t="s">
        <v>7407</v>
      </c>
      <c r="C403" s="443">
        <f>SUM(C397:C402)</f>
        <v>5833205.6649999991</v>
      </c>
      <c r="D403" s="443">
        <f t="shared" ref="D403:E403" si="40">SUM(D397:D402)</f>
        <v>5287785.6439999994</v>
      </c>
      <c r="E403" s="443">
        <f t="shared" si="40"/>
        <v>545420.02099999995</v>
      </c>
    </row>
    <row r="404" spans="1:10" ht="18.75" customHeight="1" x14ac:dyDescent="0.25">
      <c r="B404" s="431"/>
      <c r="C404" s="400">
        <f>-'P&amp;L 12-24'!F17-C403</f>
        <v>0</v>
      </c>
      <c r="D404" s="400">
        <f>-'P&amp;L 12-24'!H17-D403</f>
        <v>0</v>
      </c>
      <c r="E404" s="427"/>
    </row>
    <row r="405" spans="1:10" ht="20.100000000000001" customHeight="1" thickBot="1" x14ac:dyDescent="0.3"/>
    <row r="406" spans="1:10" ht="20.100000000000001" customHeight="1" thickBot="1" x14ac:dyDescent="0.3">
      <c r="B406" s="435" t="s">
        <v>8969</v>
      </c>
    </row>
    <row r="407" spans="1:10" ht="20.100000000000001" customHeight="1" x14ac:dyDescent="0.25">
      <c r="B407" s="367" t="str">
        <f>+A407&amp;"Le solde de cette rubrique s'élève au 31/12/2024 à " &amp; ROUND($C$458,3) &amp;" dt contre " &amp; ROUND($D$458,3) &amp;" dt au 31/12/2023"</f>
        <v>Le solde de cette rubrique s'élève au 31/12/2024 à 5318714,427 dt contre 4060102,452 dt au 31/12/2023</v>
      </c>
    </row>
    <row r="408" spans="1:10" ht="20.100000000000001" customHeight="1" x14ac:dyDescent="0.25">
      <c r="B408" s="389" t="s">
        <v>8965</v>
      </c>
      <c r="C408" s="389" t="s">
        <v>10430</v>
      </c>
      <c r="D408" s="389" t="s">
        <v>10431</v>
      </c>
      <c r="E408" s="389" t="s">
        <v>8961</v>
      </c>
    </row>
    <row r="409" spans="1:10" s="395" customFormat="1" ht="12.75" customHeight="1" x14ac:dyDescent="0.2">
      <c r="A409" s="391"/>
      <c r="B409" s="10" t="s">
        <v>159</v>
      </c>
      <c r="C409" s="392">
        <f>SUMIF('BAL 12-24'!$B:$B,B409,'BAL 12-24'!$I:$I)</f>
        <v>1217022.1310000001</v>
      </c>
      <c r="D409" s="392">
        <f>SUMIF('BAL 12-23'!$B:$B,B409,'BAL 12-23'!$G:$G)</f>
        <v>804639.22799999989</v>
      </c>
      <c r="E409" s="393">
        <f t="shared" ref="E409:E457" si="41">+C409-D409</f>
        <v>412382.90300000017</v>
      </c>
      <c r="G409" s="356"/>
      <c r="H409" s="356"/>
      <c r="I409" s="356"/>
      <c r="J409" s="356"/>
    </row>
    <row r="410" spans="1:10" s="395" customFormat="1" ht="12.75" customHeight="1" x14ac:dyDescent="0.2">
      <c r="A410" s="391"/>
      <c r="B410" s="10" t="s">
        <v>167</v>
      </c>
      <c r="C410" s="392">
        <f>SUMIF('BAL 12-24'!$B:$B,B410,'BAL 12-24'!$I:$I)</f>
        <v>817847.74779399973</v>
      </c>
      <c r="D410" s="392">
        <f>SUMIF('BAL 12-23'!$B:$B,B410,'BAL 12-23'!$G:$G)</f>
        <v>680820.18026749999</v>
      </c>
      <c r="E410" s="393">
        <f t="shared" si="41"/>
        <v>137027.56752649974</v>
      </c>
      <c r="G410" s="356"/>
      <c r="H410" s="356"/>
      <c r="I410" s="356"/>
      <c r="J410" s="356"/>
    </row>
    <row r="411" spans="1:10" s="395" customFormat="1" ht="12.75" customHeight="1" x14ac:dyDescent="0.2">
      <c r="A411" s="391"/>
      <c r="B411" s="10" t="s">
        <v>176</v>
      </c>
      <c r="C411" s="392">
        <f>SUMIF('BAL 12-24'!$B:$B,B411,'BAL 12-24'!$I:$I)</f>
        <v>536820</v>
      </c>
      <c r="D411" s="392">
        <f>SUMIF('BAL 12-23'!$B:$B,B411,'BAL 12-23'!$G:$G)</f>
        <v>308543.17000000004</v>
      </c>
      <c r="E411" s="393">
        <f t="shared" si="41"/>
        <v>228276.82999999996</v>
      </c>
      <c r="G411" s="356"/>
      <c r="H411" s="356"/>
      <c r="I411" s="356"/>
      <c r="J411" s="356"/>
    </row>
    <row r="412" spans="1:10" s="395" customFormat="1" ht="12.75" customHeight="1" x14ac:dyDescent="0.2">
      <c r="A412" s="391"/>
      <c r="B412" s="10" t="s">
        <v>171</v>
      </c>
      <c r="C412" s="392">
        <f>SUMIF('BAL 12-24'!$B:$B,B412,'BAL 12-24'!$I:$I)</f>
        <v>247720.02499999999</v>
      </c>
      <c r="D412" s="392">
        <f>SUMIF('BAL 12-23'!$B:$B,B412,'BAL 12-23'!$G:$G)</f>
        <v>217586.277</v>
      </c>
      <c r="E412" s="393">
        <f t="shared" si="41"/>
        <v>30133.747999999992</v>
      </c>
      <c r="G412" s="356"/>
      <c r="H412" s="356"/>
      <c r="I412" s="356"/>
      <c r="J412" s="356"/>
    </row>
    <row r="413" spans="1:10" s="395" customFormat="1" ht="12.75" customHeight="1" x14ac:dyDescent="0.2">
      <c r="A413" s="391"/>
      <c r="B413" s="10" t="s">
        <v>177</v>
      </c>
      <c r="C413" s="392">
        <f>SUMIF('BAL 12-24'!$B:$B,B413,'BAL 12-24'!$I:$I)</f>
        <v>233897.47200000004</v>
      </c>
      <c r="D413" s="392">
        <f>SUMIF('BAL 12-23'!$B:$B,B413,'BAL 12-23'!$G:$G)</f>
        <v>287675.12399999995</v>
      </c>
      <c r="E413" s="393">
        <f t="shared" si="41"/>
        <v>-53777.651999999915</v>
      </c>
      <c r="G413" s="356"/>
      <c r="H413" s="356"/>
      <c r="I413" s="356"/>
      <c r="J413" s="356"/>
    </row>
    <row r="414" spans="1:10" s="395" customFormat="1" ht="12.75" customHeight="1" x14ac:dyDescent="0.2">
      <c r="A414" s="391"/>
      <c r="B414" s="10" t="s">
        <v>374</v>
      </c>
      <c r="C414" s="392">
        <f>SUMIF('BAL 12-24'!$B:$B,B414,'BAL 12-24'!$I:$I)</f>
        <v>148877.91</v>
      </c>
      <c r="D414" s="392">
        <f>SUMIF('BAL 12-23'!$B:$B,B414,'BAL 12-23'!$G:$G)</f>
        <v>151977.42499999999</v>
      </c>
      <c r="E414" s="393">
        <f t="shared" si="41"/>
        <v>-3099.5149999999849</v>
      </c>
      <c r="G414" s="356"/>
      <c r="H414" s="356"/>
      <c r="I414" s="356"/>
      <c r="J414" s="356"/>
    </row>
    <row r="415" spans="1:10" s="395" customFormat="1" ht="12.75" customHeight="1" x14ac:dyDescent="0.2">
      <c r="A415" s="391"/>
      <c r="B415" s="10" t="s">
        <v>10112</v>
      </c>
      <c r="C415" s="392">
        <f>SUMIF('BAL 12-24'!$B:$B,B415,'BAL 12-24'!$I:$I)</f>
        <v>0</v>
      </c>
      <c r="D415" s="392">
        <f>SUMIF('BAL 12-23'!$B:$B,B415,'BAL 12-23'!$G:$G)</f>
        <v>15708</v>
      </c>
      <c r="E415" s="393">
        <f t="shared" ref="E415:E416" si="42">+C415-D415</f>
        <v>-15708</v>
      </c>
      <c r="G415" s="356"/>
      <c r="H415" s="356"/>
      <c r="I415" s="356"/>
      <c r="J415" s="356"/>
    </row>
    <row r="416" spans="1:10" s="395" customFormat="1" ht="12.75" customHeight="1" x14ac:dyDescent="0.2">
      <c r="A416" s="391"/>
      <c r="B416" s="10" t="s">
        <v>166</v>
      </c>
      <c r="C416" s="392">
        <f>SUMIF('BAL 12-24'!$B:$B,B416,'BAL 12-24'!$I:$I)</f>
        <v>162515.99999999988</v>
      </c>
      <c r="D416" s="392">
        <f>SUMIF('BAL 12-23'!$B:$B,B416,'BAL 12-23'!$G:$G)</f>
        <v>275000</v>
      </c>
      <c r="E416" s="393">
        <f t="shared" si="42"/>
        <v>-112484.00000000012</v>
      </c>
      <c r="G416" s="356"/>
      <c r="H416" s="356"/>
      <c r="I416" s="356"/>
      <c r="J416" s="356"/>
    </row>
    <row r="417" spans="1:10" s="395" customFormat="1" ht="12.75" customHeight="1" x14ac:dyDescent="0.2">
      <c r="A417" s="391"/>
      <c r="B417" s="10" t="s">
        <v>10113</v>
      </c>
      <c r="C417" s="392">
        <f>SUMIF('BAL 12-24'!$B:$B,B417,'BAL 12-24'!$I:$I)</f>
        <v>0</v>
      </c>
      <c r="D417" s="392">
        <f>SUMIF('BAL 12-23'!$B:$B,B417,'BAL 12-23'!$G:$G)</f>
        <v>25823.361000000001</v>
      </c>
      <c r="E417" s="393">
        <f t="shared" ref="E417:E418" si="43">+C417-D417</f>
        <v>-25823.361000000001</v>
      </c>
      <c r="G417" s="356"/>
      <c r="H417" s="356"/>
      <c r="I417" s="356"/>
      <c r="J417" s="356"/>
    </row>
    <row r="418" spans="1:10" s="395" customFormat="1" ht="12.75" customHeight="1" x14ac:dyDescent="0.2">
      <c r="A418" s="391"/>
      <c r="B418" s="10" t="s">
        <v>182</v>
      </c>
      <c r="C418" s="392">
        <f>SUMIF('BAL 12-24'!$B:$B,B418,'BAL 12-24'!$I:$I)</f>
        <v>101458.40599999996</v>
      </c>
      <c r="D418" s="392">
        <f>SUMIF('BAL 12-23'!$B:$B,B418,'BAL 12-23'!$G:$G)</f>
        <v>142946.23999999996</v>
      </c>
      <c r="E418" s="393">
        <f t="shared" si="43"/>
        <v>-41487.834000000003</v>
      </c>
      <c r="G418" s="356"/>
      <c r="H418" s="356"/>
      <c r="I418" s="356"/>
      <c r="J418" s="356"/>
    </row>
    <row r="419" spans="1:10" s="395" customFormat="1" ht="12.75" customHeight="1" x14ac:dyDescent="0.2">
      <c r="A419" s="391"/>
      <c r="B419" s="10" t="s">
        <v>186</v>
      </c>
      <c r="C419" s="392">
        <f>SUMIF('BAL 12-24'!$B:$B,B419,'BAL 12-24'!$I:$I)</f>
        <v>167303.95000000001</v>
      </c>
      <c r="D419" s="392">
        <f>SUMIF('BAL 12-23'!$B:$B,B419,'BAL 12-23'!$G:$G)</f>
        <v>46676.817000000003</v>
      </c>
      <c r="E419" s="393">
        <f t="shared" si="41"/>
        <v>120627.133</v>
      </c>
      <c r="G419" s="356"/>
      <c r="H419" s="356"/>
      <c r="I419" s="356"/>
      <c r="J419" s="356"/>
    </row>
    <row r="420" spans="1:10" s="395" customFormat="1" ht="12.75" customHeight="1" x14ac:dyDescent="0.2">
      <c r="A420" s="391"/>
      <c r="B420" s="10" t="s">
        <v>269</v>
      </c>
      <c r="C420" s="392">
        <f>SUMIF('BAL 12-24'!$B:$B,B420,'BAL 12-24'!$I:$I)</f>
        <v>125000</v>
      </c>
      <c r="D420" s="392">
        <f>SUMIF('BAL 12-23'!$B:$B,B420,'BAL 12-23'!$G:$G)</f>
        <v>125000</v>
      </c>
      <c r="E420" s="393">
        <f t="shared" si="41"/>
        <v>0</v>
      </c>
      <c r="G420" s="356"/>
      <c r="H420" s="356"/>
      <c r="I420" s="356"/>
      <c r="J420" s="356"/>
    </row>
    <row r="421" spans="1:10" s="395" customFormat="1" ht="12.75" customHeight="1" x14ac:dyDescent="0.2">
      <c r="A421" s="391"/>
      <c r="B421" s="10" t="s">
        <v>7573</v>
      </c>
      <c r="C421" s="392">
        <f>SUMIF('BAL 12-24'!$B:$B,B421,'BAL 12-24'!$I:$I)</f>
        <v>19774.513000000014</v>
      </c>
      <c r="D421" s="392">
        <f>SUMIF('BAL 12-23'!$B:$B,B421,'BAL 12-23'!$G:$G)</f>
        <v>220411.99900000001</v>
      </c>
      <c r="E421" s="393">
        <f t="shared" ref="E421" si="44">+C421-D421</f>
        <v>-200637.486</v>
      </c>
      <c r="G421" s="356"/>
      <c r="H421" s="356"/>
      <c r="I421" s="356"/>
      <c r="J421" s="356"/>
    </row>
    <row r="422" spans="1:10" s="395" customFormat="1" ht="12.75" customHeight="1" x14ac:dyDescent="0.2">
      <c r="A422" s="391"/>
      <c r="B422" s="10" t="s">
        <v>7572</v>
      </c>
      <c r="C422" s="392">
        <f>SUMIF('BAL 12-24'!$B:$B,B422,'BAL 12-24'!$I:$I)</f>
        <v>41350.415999999997</v>
      </c>
      <c r="D422" s="392">
        <f>SUMIF('BAL 12-23'!$B:$B,B422,'BAL 12-23'!$G:$G)</f>
        <v>0</v>
      </c>
      <c r="E422" s="393">
        <f t="shared" ref="E422:E423" si="45">+C422-D422</f>
        <v>41350.415999999997</v>
      </c>
      <c r="G422" s="356"/>
      <c r="H422" s="356"/>
      <c r="I422" s="356"/>
      <c r="J422" s="356"/>
    </row>
    <row r="423" spans="1:10" s="395" customFormat="1" ht="12.75" customHeight="1" x14ac:dyDescent="0.2">
      <c r="A423" s="391"/>
      <c r="B423" s="10" t="s">
        <v>200</v>
      </c>
      <c r="C423" s="392">
        <f>SUMIF('BAL 12-24'!$B:$B,B423,'BAL 12-24'!$I:$I)</f>
        <v>134588.60399999999</v>
      </c>
      <c r="D423" s="392">
        <f>SUMIF('BAL 12-23'!$B:$B,B423,'BAL 12-23'!$G:$G)</f>
        <v>102697.20900000002</v>
      </c>
      <c r="E423" s="393">
        <f t="shared" si="45"/>
        <v>31891.394999999975</v>
      </c>
      <c r="G423" s="356"/>
      <c r="H423" s="356"/>
      <c r="I423" s="356"/>
      <c r="J423" s="356"/>
    </row>
    <row r="424" spans="1:10" s="395" customFormat="1" ht="12.75" customHeight="1" x14ac:dyDescent="0.2">
      <c r="A424" s="391"/>
      <c r="B424" s="10" t="s">
        <v>7571</v>
      </c>
      <c r="C424" s="392">
        <f>SUMIF('BAL 12-24'!$B:$B,B424,'BAL 12-24'!$I:$I)</f>
        <v>221125.69</v>
      </c>
      <c r="D424" s="392">
        <f>SUMIF('BAL 12-23'!$B:$B,B424,'BAL 12-23'!$G:$G)</f>
        <v>5831</v>
      </c>
      <c r="E424" s="393">
        <f t="shared" si="41"/>
        <v>215294.69</v>
      </c>
      <c r="G424" s="356"/>
      <c r="H424" s="356"/>
      <c r="I424" s="356"/>
      <c r="J424" s="356"/>
    </row>
    <row r="425" spans="1:10" s="395" customFormat="1" ht="12.75" customHeight="1" x14ac:dyDescent="0.2">
      <c r="A425" s="391"/>
      <c r="B425" s="10" t="s">
        <v>7397</v>
      </c>
      <c r="C425" s="392">
        <f>SUMIF('BAL 12-24'!$B:$B,B425,'BAL 12-24'!$I:$I)</f>
        <v>76414.710999999996</v>
      </c>
      <c r="D425" s="392">
        <f>SUMIF('BAL 12-23'!$B:$B,B425,'BAL 12-23'!$G:$G)</f>
        <v>39476.469000000005</v>
      </c>
      <c r="E425" s="393">
        <f t="shared" si="41"/>
        <v>36938.241999999991</v>
      </c>
      <c r="G425" s="356"/>
      <c r="H425" s="356"/>
      <c r="I425" s="356"/>
      <c r="J425" s="356"/>
    </row>
    <row r="426" spans="1:10" s="395" customFormat="1" ht="12.75" customHeight="1" x14ac:dyDescent="0.2">
      <c r="A426" s="391"/>
      <c r="B426" s="10" t="s">
        <v>398</v>
      </c>
      <c r="C426" s="392">
        <f>SUMIF('BAL 12-24'!$B:$B,B426,'BAL 12-24'!$I:$I)</f>
        <v>41442.332999999999</v>
      </c>
      <c r="D426" s="392">
        <f>SUMIF('BAL 12-23'!$B:$B,B426,'BAL 12-23'!$G:$G)</f>
        <v>8685.5040000000008</v>
      </c>
      <c r="E426" s="393">
        <f t="shared" si="41"/>
        <v>32756.828999999998</v>
      </c>
      <c r="G426" s="356"/>
      <c r="H426" s="356"/>
      <c r="I426" s="356"/>
      <c r="J426" s="356"/>
    </row>
    <row r="427" spans="1:10" s="395" customFormat="1" ht="12.75" customHeight="1" x14ac:dyDescent="0.2">
      <c r="A427" s="391"/>
      <c r="B427" s="10" t="s">
        <v>175</v>
      </c>
      <c r="C427" s="392">
        <f>SUMIF('BAL 12-24'!$B:$B,B427,'BAL 12-24'!$I:$I)</f>
        <v>79157.892000000007</v>
      </c>
      <c r="D427" s="392">
        <f>SUMIF('BAL 12-23'!$B:$B,B427,'BAL 12-23'!$G:$G)</f>
        <v>28663.071999999996</v>
      </c>
      <c r="E427" s="393">
        <f t="shared" si="41"/>
        <v>50494.820000000007</v>
      </c>
      <c r="G427" s="356"/>
      <c r="H427" s="356"/>
      <c r="I427" s="356"/>
      <c r="J427" s="356"/>
    </row>
    <row r="428" spans="1:10" s="395" customFormat="1" ht="12.75" customHeight="1" x14ac:dyDescent="0.2">
      <c r="A428" s="391"/>
      <c r="B428" s="10" t="s">
        <v>397</v>
      </c>
      <c r="C428" s="392">
        <f>SUMIF('BAL 12-24'!$B:$B,B428,'BAL 12-24'!$I:$I)</f>
        <v>48541.588000000003</v>
      </c>
      <c r="D428" s="392">
        <f>SUMIF('BAL 12-23'!$B:$B,B428,'BAL 12-23'!$G:$G)</f>
        <v>25162.1</v>
      </c>
      <c r="E428" s="393">
        <f t="shared" si="41"/>
        <v>23379.488000000005</v>
      </c>
      <c r="G428" s="356"/>
      <c r="H428" s="356"/>
      <c r="I428" s="356"/>
      <c r="J428" s="356"/>
    </row>
    <row r="429" spans="1:10" s="395" customFormat="1" ht="12.75" customHeight="1" x14ac:dyDescent="0.2">
      <c r="A429" s="391"/>
      <c r="B429" s="10" t="s">
        <v>267</v>
      </c>
      <c r="C429" s="392">
        <f>SUMIF('BAL 12-24'!$B:$B,B429,'BAL 12-24'!$I:$I)</f>
        <v>56395.261999999959</v>
      </c>
      <c r="D429" s="392">
        <f>SUMIF('BAL 12-23'!$B:$B,B429,'BAL 12-23'!$G:$G)</f>
        <v>38337.923999999999</v>
      </c>
      <c r="E429" s="393">
        <f t="shared" si="41"/>
        <v>18057.33799999996</v>
      </c>
      <c r="G429" s="356"/>
      <c r="H429" s="356"/>
      <c r="I429" s="356"/>
      <c r="J429" s="356"/>
    </row>
    <row r="430" spans="1:10" s="395" customFormat="1" ht="12.75" customHeight="1" x14ac:dyDescent="0.2">
      <c r="A430" s="391"/>
      <c r="B430" s="10" t="s">
        <v>183</v>
      </c>
      <c r="C430" s="392">
        <f>SUMIF('BAL 12-24'!$B:$B,B430,'BAL 12-24'!$I:$I)</f>
        <v>33083.868000000002</v>
      </c>
      <c r="D430" s="392">
        <f>SUMIF('BAL 12-23'!$B:$B,B430,'BAL 12-23'!$G:$G)</f>
        <v>9752</v>
      </c>
      <c r="E430" s="393">
        <f t="shared" si="41"/>
        <v>23331.868000000002</v>
      </c>
      <c r="G430" s="356"/>
      <c r="H430" s="356"/>
      <c r="I430" s="356"/>
      <c r="J430" s="356"/>
    </row>
    <row r="431" spans="1:10" s="395" customFormat="1" ht="12.75" customHeight="1" x14ac:dyDescent="0.2">
      <c r="A431" s="391"/>
      <c r="B431" s="10" t="s">
        <v>181</v>
      </c>
      <c r="C431" s="392">
        <f>SUMIF('BAL 12-24'!$B:$B,B431,'BAL 12-24'!$I:$I)</f>
        <v>156640.88099999999</v>
      </c>
      <c r="D431" s="392">
        <f>SUMIF('BAL 12-23'!$B:$B,B431,'BAL 12-23'!$G:$G)</f>
        <v>0</v>
      </c>
      <c r="E431" s="393">
        <f t="shared" si="41"/>
        <v>156640.88099999999</v>
      </c>
      <c r="G431" s="356"/>
      <c r="H431" s="356"/>
      <c r="I431" s="356"/>
      <c r="J431" s="356"/>
    </row>
    <row r="432" spans="1:10" s="395" customFormat="1" ht="12.75" customHeight="1" x14ac:dyDescent="0.2">
      <c r="A432" s="391"/>
      <c r="B432" s="10" t="s">
        <v>180</v>
      </c>
      <c r="C432" s="392">
        <f>SUMIF('BAL 12-24'!$B:$B,B432,'BAL 12-24'!$I:$I)</f>
        <v>40674.197</v>
      </c>
      <c r="D432" s="392">
        <f>SUMIF('BAL 12-23'!$B:$B,B432,'BAL 12-23'!$G:$G)</f>
        <v>63058.94</v>
      </c>
      <c r="E432" s="393">
        <f t="shared" si="41"/>
        <v>-22384.743000000002</v>
      </c>
      <c r="G432" s="356"/>
      <c r="H432" s="356"/>
      <c r="I432" s="356"/>
      <c r="J432" s="356"/>
    </row>
    <row r="433" spans="1:10" s="395" customFormat="1" ht="12.75" customHeight="1" x14ac:dyDescent="0.2">
      <c r="A433" s="391"/>
      <c r="B433" s="10" t="s">
        <v>172</v>
      </c>
      <c r="C433" s="392">
        <f>SUMIF('BAL 12-24'!$B:$B,B433,'BAL 12-24'!$I:$I)</f>
        <v>55734.097000000002</v>
      </c>
      <c r="D433" s="392">
        <f>SUMIF('BAL 12-23'!$B:$B,B433,'BAL 12-23'!$G:$G)</f>
        <v>23867.477999999996</v>
      </c>
      <c r="E433" s="393">
        <f t="shared" si="41"/>
        <v>31866.619000000006</v>
      </c>
      <c r="G433" s="356"/>
      <c r="H433" s="356"/>
      <c r="I433" s="356"/>
      <c r="J433" s="356"/>
    </row>
    <row r="434" spans="1:10" s="395" customFormat="1" ht="12.75" customHeight="1" x14ac:dyDescent="0.2">
      <c r="A434" s="391"/>
      <c r="B434" s="10" t="s">
        <v>178</v>
      </c>
      <c r="C434" s="392">
        <f>SUMIF('BAL 12-24'!$B:$B,B434,'BAL 12-24'!$I:$I)</f>
        <v>41213.016999999993</v>
      </c>
      <c r="D434" s="392">
        <f>SUMIF('BAL 12-23'!$B:$B,B434,'BAL 12-23'!$G:$G)</f>
        <v>35388.715000000004</v>
      </c>
      <c r="E434" s="393">
        <f t="shared" si="41"/>
        <v>5824.3019999999888</v>
      </c>
      <c r="G434" s="356"/>
      <c r="H434" s="356"/>
      <c r="I434" s="356"/>
      <c r="J434" s="356"/>
    </row>
    <row r="435" spans="1:10" s="395" customFormat="1" ht="12.75" customHeight="1" x14ac:dyDescent="0.2">
      <c r="A435" s="391"/>
      <c r="B435" s="10" t="s">
        <v>202</v>
      </c>
      <c r="C435" s="392">
        <f>SUMIF('BAL 12-24'!$B:$B,B435,'BAL 12-24'!$I:$I)</f>
        <v>25897.587</v>
      </c>
      <c r="D435" s="392">
        <f>SUMIF('BAL 12-23'!$B:$B,B435,'BAL 12-23'!$G:$G)</f>
        <v>12059.924999999999</v>
      </c>
      <c r="E435" s="393">
        <f t="shared" si="41"/>
        <v>13837.662</v>
      </c>
      <c r="G435" s="356"/>
      <c r="H435" s="356"/>
      <c r="I435" s="356"/>
      <c r="J435" s="356"/>
    </row>
    <row r="436" spans="1:10" s="395" customFormat="1" ht="12.75" customHeight="1" x14ac:dyDescent="0.2">
      <c r="A436" s="391"/>
      <c r="B436" s="10" t="s">
        <v>188</v>
      </c>
      <c r="C436" s="392">
        <f>SUMIF('BAL 12-24'!$B:$B,B436,'BAL 12-24'!$I:$I)</f>
        <v>41685.55999999999</v>
      </c>
      <c r="D436" s="392">
        <f>SUMIF('BAL 12-23'!$B:$B,B436,'BAL 12-23'!$G:$G)</f>
        <v>39651.675999999999</v>
      </c>
      <c r="E436" s="393">
        <f t="shared" si="41"/>
        <v>2033.8839999999909</v>
      </c>
      <c r="G436" s="356"/>
      <c r="H436" s="356"/>
      <c r="I436" s="356"/>
      <c r="J436" s="356"/>
    </row>
    <row r="437" spans="1:10" s="395" customFormat="1" ht="12.75" customHeight="1" x14ac:dyDescent="0.2">
      <c r="A437" s="391"/>
      <c r="B437" s="10" t="s">
        <v>268</v>
      </c>
      <c r="C437" s="392">
        <f>SUMIF('BAL 12-24'!$B:$B,B437,'BAL 12-24'!$I:$I)</f>
        <v>58320</v>
      </c>
      <c r="D437" s="392">
        <f>SUMIF('BAL 12-23'!$B:$B,B437,'BAL 12-23'!$G:$G)</f>
        <v>58812.999999999985</v>
      </c>
      <c r="E437" s="393">
        <f t="shared" si="41"/>
        <v>-492.99999999998545</v>
      </c>
      <c r="G437" s="356"/>
      <c r="H437" s="356"/>
      <c r="I437" s="356"/>
      <c r="J437" s="356"/>
    </row>
    <row r="438" spans="1:10" s="395" customFormat="1" ht="12.75" customHeight="1" x14ac:dyDescent="0.2">
      <c r="A438" s="391"/>
      <c r="B438" s="10" t="s">
        <v>399</v>
      </c>
      <c r="C438" s="392">
        <f>SUMIF('BAL 12-24'!$B:$B,B438,'BAL 12-24'!$I:$I)</f>
        <v>53210.225000000006</v>
      </c>
      <c r="D438" s="392">
        <f>SUMIF('BAL 12-23'!$B:$B,B438,'BAL 12-23'!$G:$G)</f>
        <v>1438.9070000000002</v>
      </c>
      <c r="E438" s="393">
        <f t="shared" si="41"/>
        <v>51771.318000000007</v>
      </c>
      <c r="G438" s="356"/>
      <c r="H438" s="356"/>
      <c r="I438" s="356"/>
      <c r="J438" s="356"/>
    </row>
    <row r="439" spans="1:10" s="395" customFormat="1" ht="12.75" customHeight="1" x14ac:dyDescent="0.2">
      <c r="A439" s="391"/>
      <c r="B439" s="10" t="s">
        <v>173</v>
      </c>
      <c r="C439" s="392">
        <f>SUMIF('BAL 12-24'!$B:$B,B439,'BAL 12-24'!$I:$I)</f>
        <v>24663.442999999999</v>
      </c>
      <c r="D439" s="392">
        <f>SUMIF('BAL 12-23'!$B:$B,B439,'BAL 12-23'!$G:$G)</f>
        <v>31433.833999999995</v>
      </c>
      <c r="E439" s="393">
        <f t="shared" si="41"/>
        <v>-6770.390999999996</v>
      </c>
      <c r="G439" s="356"/>
      <c r="H439" s="356"/>
      <c r="I439" s="356"/>
      <c r="J439" s="356"/>
    </row>
    <row r="440" spans="1:10" s="395" customFormat="1" ht="12.75" customHeight="1" x14ac:dyDescent="0.2">
      <c r="A440" s="391"/>
      <c r="B440" s="10" t="s">
        <v>174</v>
      </c>
      <c r="C440" s="392">
        <f>SUMIF('BAL 12-24'!$B:$B,B440,'BAL 12-24'!$I:$I)</f>
        <v>18029.170000000002</v>
      </c>
      <c r="D440" s="392">
        <f>SUMIF('BAL 12-23'!$B:$B,B440,'BAL 12-23'!$G:$G)</f>
        <v>15118.564999999999</v>
      </c>
      <c r="E440" s="393">
        <f t="shared" si="41"/>
        <v>2910.6050000000032</v>
      </c>
      <c r="G440" s="356"/>
      <c r="H440" s="356"/>
      <c r="I440" s="356"/>
      <c r="J440" s="356"/>
    </row>
    <row r="441" spans="1:10" s="395" customFormat="1" ht="12.75" customHeight="1" x14ac:dyDescent="0.2">
      <c r="A441" s="391"/>
      <c r="B441" s="10" t="s">
        <v>168</v>
      </c>
      <c r="C441" s="392">
        <f>SUMIF('BAL 12-24'!$B:$B,B441,'BAL 12-24'!$I:$I)</f>
        <v>14427.966999999999</v>
      </c>
      <c r="D441" s="392">
        <f>SUMIF('BAL 12-23'!$B:$B,B441,'BAL 12-23'!$G:$G)</f>
        <v>6265.4819999999991</v>
      </c>
      <c r="E441" s="393">
        <f t="shared" si="41"/>
        <v>8162.4849999999997</v>
      </c>
      <c r="G441" s="356"/>
      <c r="H441" s="356"/>
      <c r="I441" s="356"/>
      <c r="J441" s="356"/>
    </row>
    <row r="442" spans="1:10" s="395" customFormat="1" ht="12.75" customHeight="1" x14ac:dyDescent="0.2">
      <c r="A442" s="391"/>
      <c r="B442" s="10" t="s">
        <v>377</v>
      </c>
      <c r="C442" s="392">
        <f>SUMIF('BAL 12-24'!$B:$B,B442,'BAL 12-24'!$I:$I)</f>
        <v>35582.365000000005</v>
      </c>
      <c r="D442" s="392">
        <f>SUMIF('BAL 12-23'!$B:$B,B442,'BAL 12-23'!$G:$G)</f>
        <v>18107.3</v>
      </c>
      <c r="E442" s="393">
        <f t="shared" si="41"/>
        <v>17475.065000000006</v>
      </c>
      <c r="G442" s="356"/>
      <c r="H442" s="356"/>
      <c r="I442" s="356"/>
      <c r="J442" s="356"/>
    </row>
    <row r="443" spans="1:10" s="395" customFormat="1" ht="12.75" customHeight="1" x14ac:dyDescent="0.2">
      <c r="A443" s="391"/>
      <c r="B443" s="10" t="s">
        <v>201</v>
      </c>
      <c r="C443" s="392">
        <f>SUMIF('BAL 12-24'!$B:$B,B443,'BAL 12-24'!$I:$I)</f>
        <v>15873.957</v>
      </c>
      <c r="D443" s="392">
        <f>SUMIF('BAL 12-23'!$B:$B,B443,'BAL 12-23'!$G:$G)</f>
        <v>10779.804</v>
      </c>
      <c r="E443" s="393">
        <f t="shared" si="41"/>
        <v>5094.1530000000002</v>
      </c>
      <c r="G443" s="356"/>
      <c r="H443" s="356"/>
      <c r="I443" s="356"/>
      <c r="J443" s="356"/>
    </row>
    <row r="444" spans="1:10" s="395" customFormat="1" ht="12.75" customHeight="1" x14ac:dyDescent="0.2">
      <c r="A444" s="391"/>
      <c r="B444" s="10" t="s">
        <v>376</v>
      </c>
      <c r="C444" s="392">
        <f>SUMIF('BAL 12-24'!$B:$B,B444,'BAL 12-24'!$I:$I)</f>
        <v>20082.616000000002</v>
      </c>
      <c r="D444" s="392">
        <f>SUMIF('BAL 12-23'!$B:$B,B444,'BAL 12-23'!$G:$G)</f>
        <v>24039.768</v>
      </c>
      <c r="E444" s="393">
        <f t="shared" si="41"/>
        <v>-3957.1519999999982</v>
      </c>
      <c r="G444" s="356"/>
      <c r="H444" s="356"/>
      <c r="I444" s="356"/>
      <c r="J444" s="356"/>
    </row>
    <row r="445" spans="1:10" s="395" customFormat="1" ht="12.75" customHeight="1" x14ac:dyDescent="0.2">
      <c r="A445" s="391"/>
      <c r="B445" s="10" t="s">
        <v>375</v>
      </c>
      <c r="C445" s="392">
        <f>SUMIF('BAL 12-24'!$B:$B,B445,'BAL 12-24'!$I:$I)</f>
        <v>50004.924000000014</v>
      </c>
      <c r="D445" s="392">
        <f>SUMIF('BAL 12-23'!$B:$B,B445,'BAL 12-23'!$G:$G)</f>
        <v>79375.102650000001</v>
      </c>
      <c r="E445" s="393">
        <f t="shared" si="41"/>
        <v>-29370.178649999987</v>
      </c>
      <c r="G445" s="356"/>
      <c r="H445" s="356"/>
      <c r="I445" s="356"/>
      <c r="J445" s="356"/>
    </row>
    <row r="446" spans="1:10" s="395" customFormat="1" ht="12.75" customHeight="1" x14ac:dyDescent="0.2">
      <c r="A446" s="391"/>
      <c r="B446" s="10" t="s">
        <v>7403</v>
      </c>
      <c r="C446" s="392">
        <f>SUMIF('BAL 12-24'!$B:$B,B446,'BAL 12-24'!$I:$I)</f>
        <v>5179.3999999999996</v>
      </c>
      <c r="D446" s="392">
        <f>SUMIF('BAL 12-23'!$B:$B,B446,'BAL 12-23'!$G:$G)</f>
        <v>31670.149999999998</v>
      </c>
      <c r="E446" s="393">
        <f t="shared" si="41"/>
        <v>-26490.75</v>
      </c>
      <c r="G446" s="356"/>
      <c r="H446" s="356"/>
      <c r="I446" s="356"/>
      <c r="J446" s="356"/>
    </row>
    <row r="447" spans="1:10" s="395" customFormat="1" ht="12.75" customHeight="1" x14ac:dyDescent="0.2">
      <c r="A447" s="391"/>
      <c r="B447" s="10" t="s">
        <v>7721</v>
      </c>
      <c r="C447" s="392">
        <f>SUMIF('BAL 12-24'!$B:$B,B447,'BAL 12-24'!$I:$I)</f>
        <v>25232</v>
      </c>
      <c r="D447" s="392">
        <f>SUMIF('BAL 12-23'!$B:$B,B447,'BAL 12-23'!$G:$G)</f>
        <v>0</v>
      </c>
      <c r="E447" s="393">
        <f t="shared" si="41"/>
        <v>25232</v>
      </c>
      <c r="G447" s="356"/>
      <c r="H447" s="356"/>
      <c r="I447" s="356"/>
      <c r="J447" s="356"/>
    </row>
    <row r="448" spans="1:10" s="395" customFormat="1" ht="12.75" customHeight="1" x14ac:dyDescent="0.2">
      <c r="A448" s="391"/>
      <c r="B448" s="10" t="s">
        <v>185</v>
      </c>
      <c r="C448" s="392">
        <f>SUMIF('BAL 12-24'!$B:$B,B448,'BAL 12-24'!$I:$I)</f>
        <v>6452.4360000000006</v>
      </c>
      <c r="D448" s="392">
        <f>SUMIF('BAL 12-23'!$B:$B,B448,'BAL 12-23'!$G:$G)</f>
        <v>1693.8</v>
      </c>
      <c r="E448" s="393">
        <f t="shared" si="41"/>
        <v>4758.6360000000004</v>
      </c>
      <c r="G448" s="356"/>
      <c r="H448" s="356"/>
      <c r="I448" s="356"/>
      <c r="J448" s="356"/>
    </row>
    <row r="449" spans="1:10" s="395" customFormat="1" ht="12.75" customHeight="1" x14ac:dyDescent="0.2">
      <c r="A449" s="391"/>
      <c r="B449" s="10" t="s">
        <v>187</v>
      </c>
      <c r="C449" s="392">
        <f>SUMIF('BAL 12-24'!$B:$B,B449,'BAL 12-24'!$I:$I)</f>
        <v>10330.331</v>
      </c>
      <c r="D449" s="392">
        <f>SUMIF('BAL 12-23'!$B:$B,B449,'BAL 12-23'!$G:$G)</f>
        <v>14491</v>
      </c>
      <c r="E449" s="393">
        <f t="shared" si="41"/>
        <v>-4160.6689999999999</v>
      </c>
      <c r="G449" s="356"/>
      <c r="H449" s="356"/>
      <c r="I449" s="356"/>
      <c r="J449" s="356"/>
    </row>
    <row r="450" spans="1:10" s="395" customFormat="1" ht="12.75" customHeight="1" x14ac:dyDescent="0.2">
      <c r="A450" s="391"/>
      <c r="B450" s="10" t="s">
        <v>7402</v>
      </c>
      <c r="C450" s="392">
        <f>SUMIF('BAL 12-24'!$B:$B,B450,'BAL 12-24'!$I:$I)</f>
        <v>19209.64</v>
      </c>
      <c r="D450" s="392">
        <f>SUMIF('BAL 12-23'!$B:$B,B450,'BAL 12-23'!$G:$G)</f>
        <v>19970.233</v>
      </c>
      <c r="E450" s="393">
        <f t="shared" si="41"/>
        <v>-760.59300000000076</v>
      </c>
      <c r="G450" s="356"/>
      <c r="H450" s="356"/>
      <c r="I450" s="356"/>
      <c r="J450" s="356"/>
    </row>
    <row r="451" spans="1:10" s="395" customFormat="1" ht="12.75" customHeight="1" x14ac:dyDescent="0.2">
      <c r="A451" s="391"/>
      <c r="B451" s="10" t="s">
        <v>378</v>
      </c>
      <c r="C451" s="392">
        <f>SUMIF('BAL 12-24'!$B:$B,B451,'BAL 12-24'!$I:$I)</f>
        <v>2048.7150000000001</v>
      </c>
      <c r="D451" s="392">
        <f>SUMIF('BAL 12-23'!$B:$B,B451,'BAL 12-23'!$G:$G)</f>
        <v>5545.7269999999999</v>
      </c>
      <c r="E451" s="393">
        <f t="shared" si="41"/>
        <v>-3497.0119999999997</v>
      </c>
      <c r="G451" s="356"/>
      <c r="H451" s="356"/>
      <c r="I451" s="356"/>
      <c r="J451" s="356"/>
    </row>
    <row r="452" spans="1:10" s="395" customFormat="1" ht="12.75" customHeight="1" x14ac:dyDescent="0.2">
      <c r="A452" s="391"/>
      <c r="B452" s="10" t="s">
        <v>184</v>
      </c>
      <c r="C452" s="392">
        <f>SUMIF('BAL 12-24'!$B:$B,B452,'BAL 12-24'!$I:$I)</f>
        <v>420</v>
      </c>
      <c r="D452" s="392">
        <f>SUMIF('BAL 12-23'!$B:$B,B452,'BAL 12-23'!$G:$G)</f>
        <v>11150</v>
      </c>
      <c r="E452" s="393">
        <f t="shared" si="41"/>
        <v>-10730</v>
      </c>
      <c r="G452" s="356"/>
      <c r="H452" s="356"/>
      <c r="I452" s="356"/>
      <c r="J452" s="356"/>
    </row>
    <row r="453" spans="1:10" s="395" customFormat="1" ht="12.75" customHeight="1" x14ac:dyDescent="0.2">
      <c r="A453" s="391"/>
      <c r="B453" s="10" t="s">
        <v>7569</v>
      </c>
      <c r="C453" s="392">
        <f>SUMIF('BAL 12-24'!$B:$B,B453,'BAL 12-24'!$I:$I)</f>
        <v>5092.6499999999996</v>
      </c>
      <c r="D453" s="392">
        <f>SUMIF('BAL 12-23'!$B:$B,B453,'BAL 12-23'!$G:$G)</f>
        <v>7377</v>
      </c>
      <c r="E453" s="393">
        <f t="shared" si="41"/>
        <v>-2284.3500000000004</v>
      </c>
      <c r="F453" s="394"/>
      <c r="G453" s="356"/>
      <c r="H453" s="356"/>
      <c r="I453" s="356"/>
      <c r="J453" s="356"/>
    </row>
    <row r="454" spans="1:10" s="395" customFormat="1" ht="12.75" customHeight="1" x14ac:dyDescent="0.2">
      <c r="A454" s="391"/>
      <c r="B454" s="10" t="s">
        <v>179</v>
      </c>
      <c r="C454" s="392">
        <f>SUMIF('BAL 12-24'!$B:$B,B454,'BAL 12-24'!$I:$I)</f>
        <v>0</v>
      </c>
      <c r="D454" s="392">
        <f>SUMIF('BAL 12-23'!$B:$B,B454,'BAL 12-23'!$G:$G)</f>
        <v>14731.2</v>
      </c>
      <c r="E454" s="393">
        <f t="shared" si="41"/>
        <v>-14731.2</v>
      </c>
      <c r="F454" s="394"/>
      <c r="G454" s="356"/>
      <c r="H454" s="356"/>
      <c r="I454" s="356"/>
      <c r="J454" s="356"/>
    </row>
    <row r="455" spans="1:10" s="395" customFormat="1" ht="12.75" customHeight="1" x14ac:dyDescent="0.2">
      <c r="A455" s="391"/>
      <c r="B455" s="10" t="s">
        <v>7404</v>
      </c>
      <c r="C455" s="392">
        <f>SUMIF('BAL 12-24'!$B:$B,B455,'BAL 12-24'!$I:$I)</f>
        <v>31647.25</v>
      </c>
      <c r="D455" s="392">
        <f>SUMIF('BAL 12-23'!$B:$B,B455,'BAL 12-23'!$G:$G)</f>
        <v>8109</v>
      </c>
      <c r="E455" s="393">
        <f t="shared" ref="E455:E456" si="46">+C455-D455</f>
        <v>23538.25</v>
      </c>
      <c r="F455" s="394"/>
      <c r="G455" s="356"/>
      <c r="H455" s="356"/>
      <c r="I455" s="356"/>
      <c r="J455" s="356"/>
    </row>
    <row r="456" spans="1:10" s="395" customFormat="1" ht="12.75" customHeight="1" x14ac:dyDescent="0.2">
      <c r="A456" s="391"/>
      <c r="B456" s="10" t="s">
        <v>8974</v>
      </c>
      <c r="C456" s="392">
        <f>SUMIF('BAL 12-24'!$B:$B,B456,'BAL 12-24'!$I:$I)</f>
        <v>0</v>
      </c>
      <c r="D456" s="392">
        <f>SUMIF('BAL 12-23'!$B:$B,B456,'BAL 12-23'!$G:$G)</f>
        <v>43078.524000000012</v>
      </c>
      <c r="E456" s="393">
        <f t="shared" si="46"/>
        <v>-43078.524000000012</v>
      </c>
      <c r="F456" s="394"/>
      <c r="G456" s="356"/>
      <c r="H456" s="356"/>
      <c r="I456" s="356"/>
      <c r="J456" s="356"/>
    </row>
    <row r="457" spans="1:10" s="395" customFormat="1" ht="12.75" customHeight="1" x14ac:dyDescent="0.2">
      <c r="A457" s="391"/>
      <c r="B457" s="10" t="s">
        <v>266</v>
      </c>
      <c r="C457" s="392">
        <f>SUMIF('BAL 12-24'!$B:$B,B457,'BAL 12-24'!$I:$I)</f>
        <v>50723.480000000447</v>
      </c>
      <c r="D457" s="392">
        <f>SUMIF('BAL 12-23'!$B:$B,B457,'BAL 12-23'!$G:$G)</f>
        <v>-78525.778000000049</v>
      </c>
      <c r="E457" s="393">
        <f t="shared" si="41"/>
        <v>129249.2580000005</v>
      </c>
      <c r="F457" s="394"/>
      <c r="G457" s="356"/>
      <c r="H457" s="356"/>
      <c r="I457" s="356"/>
      <c r="J457" s="356"/>
    </row>
    <row r="458" spans="1:10" ht="15.75" customHeight="1" x14ac:dyDescent="0.25">
      <c r="B458" s="447" t="s">
        <v>7407</v>
      </c>
      <c r="C458" s="448">
        <f>SUM(C409:C457)</f>
        <v>5318714.426794</v>
      </c>
      <c r="D458" s="448">
        <f>SUM(D409:D457)</f>
        <v>4060102.4519174988</v>
      </c>
      <c r="E458" s="448">
        <f>SUM(E409:E457)</f>
        <v>1258611.9748764997</v>
      </c>
      <c r="F458" s="390"/>
    </row>
    <row r="459" spans="1:10" ht="15.75" customHeight="1" x14ac:dyDescent="0.25">
      <c r="B459" s="431"/>
      <c r="C459" s="400">
        <f>-'P&amp;L 12-24'!F20-C458</f>
        <v>0</v>
      </c>
      <c r="D459" s="400">
        <f>-'P&amp;L 12-24'!H20-D458</f>
        <v>0</v>
      </c>
      <c r="E459" s="427"/>
      <c r="F459" s="390"/>
    </row>
    <row r="460" spans="1:10" ht="15.75" customHeight="1" thickBot="1" x14ac:dyDescent="0.3"/>
    <row r="461" spans="1:10" ht="15.75" customHeight="1" thickBot="1" x14ac:dyDescent="0.3">
      <c r="B461" s="435" t="s">
        <v>8970</v>
      </c>
      <c r="C461" s="390"/>
      <c r="D461" s="390"/>
    </row>
    <row r="462" spans="1:10" ht="14.25" customHeight="1" x14ac:dyDescent="0.25">
      <c r="B462" s="449"/>
    </row>
    <row r="463" spans="1:10" ht="14.25" customHeight="1" x14ac:dyDescent="0.25">
      <c r="B463" s="356" t="str">
        <f>+A463&amp;"Cette rubrique présente un solde de " &amp; $C$479 &amp; " DT au 31/12/2024"</f>
        <v>Cette rubrique présente un solde de 2221912,368 DT au 31/12/2024</v>
      </c>
      <c r="C463" s="427"/>
    </row>
    <row r="464" spans="1:10" ht="14.25" customHeight="1" x14ac:dyDescent="0.25">
      <c r="C464" s="450"/>
    </row>
    <row r="465" spans="1:10" ht="14.25" customHeight="1" x14ac:dyDescent="0.25">
      <c r="B465" s="389" t="s">
        <v>8965</v>
      </c>
      <c r="C465" s="389" t="s">
        <v>10430</v>
      </c>
      <c r="D465" s="389" t="s">
        <v>10431</v>
      </c>
      <c r="E465" s="389" t="s">
        <v>8961</v>
      </c>
      <c r="F465" s="390"/>
    </row>
    <row r="466" spans="1:10" s="395" customFormat="1" ht="12.75" customHeight="1" x14ac:dyDescent="0.2">
      <c r="A466" s="391"/>
      <c r="B466" s="10" t="s">
        <v>189</v>
      </c>
      <c r="C466" s="392">
        <f>SUMIF('BAL 12-24'!$B:$B,B466,'BAL 12-24'!$I:$I)</f>
        <v>313326.85699999996</v>
      </c>
      <c r="D466" s="392">
        <f>SUMIF('BAL 12-23'!$B:$B,B466,'BAL 12-23'!$G:$G)</f>
        <v>174623.41500000001</v>
      </c>
      <c r="E466" s="393">
        <f t="shared" ref="E466:E476" si="47">+C466-D466</f>
        <v>138703.44199999995</v>
      </c>
      <c r="G466" s="356"/>
      <c r="H466" s="356"/>
      <c r="I466" s="356"/>
      <c r="J466" s="356"/>
    </row>
    <row r="467" spans="1:10" s="395" customFormat="1" ht="12.75" customHeight="1" x14ac:dyDescent="0.2">
      <c r="A467" s="391"/>
      <c r="B467" s="10" t="s">
        <v>8978</v>
      </c>
      <c r="C467" s="392">
        <f>SUMIF('BAL 12-24'!$B:$B,B467,'BAL 12-24'!$I:$I)</f>
        <v>0</v>
      </c>
      <c r="D467" s="392">
        <f>SUMIF('BAL 12-23'!$B:$B,B467,'BAL 12-23'!$G:$G)</f>
        <v>317596.76800000004</v>
      </c>
      <c r="E467" s="393">
        <f t="shared" ref="E467:E468" si="48">+C467-D467</f>
        <v>-317596.76800000004</v>
      </c>
      <c r="G467" s="356"/>
      <c r="H467" s="356"/>
      <c r="I467" s="356"/>
      <c r="J467" s="356"/>
    </row>
    <row r="468" spans="1:10" s="395" customFormat="1" ht="12.75" customHeight="1" x14ac:dyDescent="0.2">
      <c r="A468" s="391"/>
      <c r="B468" s="10" t="s">
        <v>385</v>
      </c>
      <c r="C468" s="392">
        <f>SUMIF('BAL 12-24'!$B:$B,B468,'BAL 12-24'!$I:$I)</f>
        <v>207137.69099999999</v>
      </c>
      <c r="D468" s="392">
        <f>SUMIF('BAL 12-23'!$B:$B,B468,'BAL 12-23'!$G:$G)</f>
        <v>0</v>
      </c>
      <c r="E468" s="393">
        <f t="shared" si="48"/>
        <v>207137.69099999999</v>
      </c>
      <c r="G468" s="356"/>
      <c r="H468" s="356"/>
      <c r="I468" s="356"/>
      <c r="J468" s="356"/>
    </row>
    <row r="469" spans="1:10" s="395" customFormat="1" ht="12.75" customHeight="1" x14ac:dyDescent="0.2">
      <c r="A469" s="391"/>
      <c r="B469" s="10" t="s">
        <v>196</v>
      </c>
      <c r="C469" s="392">
        <f>SUMIF('BAL 12-24'!$B:$B,B469,'BAL 12-24'!$I:$I)</f>
        <v>444293.36400000006</v>
      </c>
      <c r="D469" s="392">
        <f>SUMIF('BAL 12-23'!$B:$B,B469,'BAL 12-23'!$G:$G)</f>
        <v>398809.70500000007</v>
      </c>
      <c r="E469" s="393">
        <f t="shared" si="47"/>
        <v>45483.658999999985</v>
      </c>
      <c r="G469" s="356"/>
      <c r="H469" s="356"/>
      <c r="I469" s="356"/>
      <c r="J469" s="356"/>
    </row>
    <row r="470" spans="1:10" s="395" customFormat="1" ht="12.75" customHeight="1" x14ac:dyDescent="0.2">
      <c r="A470" s="391"/>
      <c r="B470" s="10" t="s">
        <v>197</v>
      </c>
      <c r="C470" s="392">
        <f>SUMIF('BAL 12-24'!$B:$B,B470,'BAL 12-24'!$I:$I)</f>
        <v>682226.48800000001</v>
      </c>
      <c r="D470" s="392">
        <f>SUMIF('BAL 12-23'!$B:$B,B470,'BAL 12-23'!$G:$G)</f>
        <v>613116.94999999995</v>
      </c>
      <c r="E470" s="393">
        <f t="shared" si="47"/>
        <v>69109.538000000059</v>
      </c>
      <c r="G470" s="356"/>
      <c r="H470" s="356"/>
      <c r="I470" s="356"/>
      <c r="J470" s="356"/>
    </row>
    <row r="471" spans="1:10" s="395" customFormat="1" ht="12.75" customHeight="1" x14ac:dyDescent="0.2">
      <c r="A471" s="391"/>
      <c r="B471" s="10" t="s">
        <v>10115</v>
      </c>
      <c r="C471" s="392">
        <f>SUMIF('BAL 12-24'!$B:$B,B471,'BAL 12-24'!$I:$I)</f>
        <v>0</v>
      </c>
      <c r="D471" s="392">
        <f>SUMIF('BAL 12-23'!$B:$B,B471,'BAL 12-23'!$G:$G)</f>
        <v>7332.7100000000009</v>
      </c>
      <c r="E471" s="393">
        <f t="shared" ref="E471:E473" si="49">+C471-D471</f>
        <v>-7332.7100000000009</v>
      </c>
      <c r="G471" s="356"/>
      <c r="H471" s="356"/>
      <c r="I471" s="356"/>
      <c r="J471" s="356"/>
    </row>
    <row r="472" spans="1:10" s="395" customFormat="1" ht="12.75" customHeight="1" x14ac:dyDescent="0.2">
      <c r="A472" s="391"/>
      <c r="B472" s="10" t="s">
        <v>379</v>
      </c>
      <c r="C472" s="392">
        <f>SUMIF('BAL 12-24'!$B:$B,B472,'BAL 12-24'!$I:$I)</f>
        <v>68621.763999999996</v>
      </c>
      <c r="D472" s="392">
        <f>SUMIF('BAL 12-23'!$B:$B,B472,'BAL 12-23'!$G:$G)</f>
        <v>40303.639000000003</v>
      </c>
      <c r="E472" s="393">
        <f t="shared" si="49"/>
        <v>28318.124999999993</v>
      </c>
      <c r="G472" s="356"/>
      <c r="H472" s="356"/>
      <c r="I472" s="356"/>
      <c r="J472" s="356"/>
    </row>
    <row r="473" spans="1:10" s="395" customFormat="1" ht="12.75" customHeight="1" x14ac:dyDescent="0.2">
      <c r="A473" s="391"/>
      <c r="B473" s="10" t="s">
        <v>270</v>
      </c>
      <c r="C473" s="392">
        <f>SUMIF('BAL 12-24'!$B:$B,B473,'BAL 12-24'!$I:$I)</f>
        <v>28976.438000000024</v>
      </c>
      <c r="D473" s="392">
        <f>SUMIF('BAL 12-23'!$B:$B,B473,'BAL 12-23'!$G:$G)</f>
        <v>91441.09599999999</v>
      </c>
      <c r="E473" s="393">
        <f t="shared" si="49"/>
        <v>-62464.657999999967</v>
      </c>
      <c r="G473" s="356"/>
      <c r="H473" s="356"/>
      <c r="I473" s="356"/>
      <c r="J473" s="356"/>
    </row>
    <row r="474" spans="1:10" s="395" customFormat="1" ht="12.75" customHeight="1" x14ac:dyDescent="0.2">
      <c r="A474" s="391"/>
      <c r="B474" s="10" t="s">
        <v>9649</v>
      </c>
      <c r="C474" s="392">
        <f>SUMIF('BAL 12-24'!$B:$B,B474,'BAL 12-24'!$I:$I)</f>
        <v>0</v>
      </c>
      <c r="D474" s="392">
        <f>SUMIF('BAL 12-23'!$B:$B,B474,'BAL 12-23'!$G:$G)</f>
        <v>-831.40499999999975</v>
      </c>
      <c r="E474" s="393">
        <f t="shared" ref="E474:E475" si="50">+C474-D474</f>
        <v>831.40499999999975</v>
      </c>
      <c r="G474" s="356"/>
      <c r="H474" s="356"/>
      <c r="I474" s="356"/>
      <c r="J474" s="356"/>
    </row>
    <row r="475" spans="1:10" s="395" customFormat="1" ht="12.75" customHeight="1" x14ac:dyDescent="0.2">
      <c r="A475" s="391"/>
      <c r="B475" s="10" t="s">
        <v>198</v>
      </c>
      <c r="C475" s="392">
        <f>SUMIF('BAL 12-24'!$B:$B,B475,'BAL 12-24'!$I:$I)</f>
        <v>350467.93099999998</v>
      </c>
      <c r="D475" s="392">
        <f>SUMIF('BAL 12-23'!$B:$B,B475,'BAL 12-23'!$G:$G)</f>
        <v>352820.47899999993</v>
      </c>
      <c r="E475" s="393">
        <f t="shared" si="50"/>
        <v>-2352.5479999999516</v>
      </c>
      <c r="G475" s="356"/>
      <c r="H475" s="356"/>
      <c r="I475" s="356"/>
      <c r="J475" s="356"/>
    </row>
    <row r="476" spans="1:10" s="395" customFormat="1" ht="12.75" customHeight="1" x14ac:dyDescent="0.2">
      <c r="A476" s="391"/>
      <c r="B476" s="10" t="s">
        <v>400</v>
      </c>
      <c r="C476" s="392">
        <f>SUMIF('BAL 12-24'!$B:$B,B476,'BAL 12-24'!$I:$I)</f>
        <v>112834.30500000005</v>
      </c>
      <c r="D476" s="392">
        <f>SUMIF('BAL 12-23'!$B:$B,B476,'BAL 12-23'!$G:$G)</f>
        <v>76620.550656000007</v>
      </c>
      <c r="E476" s="393">
        <f t="shared" si="47"/>
        <v>36213.754344000045</v>
      </c>
      <c r="G476" s="356"/>
      <c r="H476" s="356"/>
      <c r="I476" s="356"/>
      <c r="J476" s="356"/>
    </row>
    <row r="477" spans="1:10" s="390" customFormat="1" ht="14.25" customHeight="1" x14ac:dyDescent="0.2">
      <c r="A477" s="409"/>
      <c r="B477" s="10" t="s">
        <v>7575</v>
      </c>
      <c r="C477" s="392">
        <f>SUMIF('BAL 12-24'!$B:$B,B477,'BAL 12-24'!$I:$I)</f>
        <v>-1074.4860000000001</v>
      </c>
      <c r="D477" s="392">
        <f>SUMIF('BAL 12-23'!$B:$B,B477,'BAL 12-23'!$G:$G)</f>
        <v>-1747.3849999999998</v>
      </c>
      <c r="E477" s="393">
        <f>+C477-D477</f>
        <v>672.89899999999966</v>
      </c>
      <c r="G477" s="356"/>
    </row>
    <row r="478" spans="1:10" s="390" customFormat="1" ht="14.25" customHeight="1" x14ac:dyDescent="0.2">
      <c r="A478" s="409"/>
      <c r="B478" s="10" t="s">
        <v>215</v>
      </c>
      <c r="C478" s="392">
        <f>SUMIF('BAL 12-24'!$B:$B,B478,'BAL 12-24'!$I:$I)</f>
        <v>15102.016000000003</v>
      </c>
      <c r="D478" s="392">
        <f>SUMIF('BAL 12-23'!$B:$B,B478,'BAL 12-23'!$G:$G)</f>
        <v>-53328.118656000006</v>
      </c>
      <c r="E478" s="393">
        <f>+C478-D478</f>
        <v>68430.134656000009</v>
      </c>
      <c r="G478" s="356"/>
    </row>
    <row r="479" spans="1:10" ht="14.25" customHeight="1" x14ac:dyDescent="0.25">
      <c r="B479" s="429" t="s">
        <v>7407</v>
      </c>
      <c r="C479" s="443">
        <f>SUM(C466:C478)</f>
        <v>2221912.3679999998</v>
      </c>
      <c r="D479" s="443">
        <f>SUM(D466:D478)</f>
        <v>2016758.4039999996</v>
      </c>
      <c r="E479" s="443">
        <f>SUM(E466:E478)</f>
        <v>205153.96400000009</v>
      </c>
    </row>
    <row r="480" spans="1:10" ht="14.25" customHeight="1" x14ac:dyDescent="0.25">
      <c r="B480" s="431"/>
      <c r="C480" s="400">
        <f>-'P&amp;L 12-24'!F30-C479</f>
        <v>0</v>
      </c>
      <c r="D480" s="400">
        <f>-'P&amp;L 12-24'!H30-D479</f>
        <v>0</v>
      </c>
      <c r="E480" s="450"/>
      <c r="F480" s="390"/>
    </row>
    <row r="481" spans="1:5" s="390" customFormat="1" ht="14.25" customHeight="1" x14ac:dyDescent="0.25">
      <c r="A481" s="409"/>
    </row>
    <row r="482" spans="1:5" s="390" customFormat="1" ht="14.25" customHeight="1" thickBot="1" x14ac:dyDescent="0.3">
      <c r="A482" s="409"/>
      <c r="B482" s="451"/>
      <c r="C482" s="450"/>
      <c r="D482" s="450"/>
      <c r="E482" s="450"/>
    </row>
    <row r="483" spans="1:5" ht="16.5" customHeight="1" thickBot="1" x14ac:dyDescent="0.3">
      <c r="B483" s="435" t="s">
        <v>8971</v>
      </c>
    </row>
    <row r="484" spans="1:5" ht="11.25" customHeight="1" x14ac:dyDescent="0.25"/>
    <row r="485" spans="1:5" ht="14.25" customHeight="1" x14ac:dyDescent="0.25">
      <c r="B485" s="452" t="s">
        <v>10435</v>
      </c>
    </row>
    <row r="486" spans="1:5" ht="11.25" customHeight="1" x14ac:dyDescent="0.25">
      <c r="B486" s="452"/>
    </row>
    <row r="487" spans="1:5" ht="14.25" customHeight="1" x14ac:dyDescent="0.25">
      <c r="B487" s="389" t="s">
        <v>8965</v>
      </c>
      <c r="C487" s="389" t="s">
        <v>10430</v>
      </c>
      <c r="D487" s="389" t="s">
        <v>10431</v>
      </c>
      <c r="E487" s="389" t="s">
        <v>8961</v>
      </c>
    </row>
    <row r="488" spans="1:5" s="371" customFormat="1" ht="14.25" customHeight="1" x14ac:dyDescent="0.25">
      <c r="A488" s="370"/>
      <c r="B488" s="453" t="s">
        <v>246</v>
      </c>
      <c r="C488" s="454">
        <f>'P&amp;L 12-24'!F35</f>
        <v>10455318.123559494</v>
      </c>
      <c r="D488" s="454">
        <f>'P&amp;L 12-24'!H35</f>
        <v>4702419.3257065285</v>
      </c>
      <c r="E488" s="453">
        <f>+C488-D488</f>
        <v>5752898.7978529651</v>
      </c>
    </row>
    <row r="489" spans="1:5" s="371" customFormat="1" ht="14.25" customHeight="1" x14ac:dyDescent="0.25">
      <c r="A489" s="370"/>
      <c r="B489" s="453" t="s">
        <v>204</v>
      </c>
      <c r="C489" s="454">
        <f>'P&amp;L 12-24'!F37</f>
        <v>0</v>
      </c>
      <c r="D489" s="454">
        <f>'P&amp;L 12-24'!H37</f>
        <v>-205043.10000000003</v>
      </c>
      <c r="E489" s="453">
        <f t="shared" ref="E489:E490" si="51">+C489-D489</f>
        <v>205043.10000000003</v>
      </c>
    </row>
    <row r="490" spans="1:5" s="371" customFormat="1" ht="14.25" customHeight="1" x14ac:dyDescent="0.25">
      <c r="A490" s="370"/>
      <c r="B490" s="453" t="s">
        <v>249</v>
      </c>
      <c r="C490" s="454">
        <f>+C488+C489</f>
        <v>10455318.123559494</v>
      </c>
      <c r="D490" s="454">
        <f>+D488+D489</f>
        <v>4497376.2257065289</v>
      </c>
      <c r="E490" s="453">
        <f t="shared" si="51"/>
        <v>5957941.8978529647</v>
      </c>
    </row>
    <row r="491" spans="1:5" ht="14.25" customHeight="1" x14ac:dyDescent="0.25">
      <c r="B491" s="396" t="s">
        <v>8972</v>
      </c>
      <c r="C491" s="396">
        <f>+C490</f>
        <v>10455318.123559494</v>
      </c>
      <c r="D491" s="396">
        <f>+D490</f>
        <v>4497376.2257065289</v>
      </c>
      <c r="E491" s="396">
        <f>+E490</f>
        <v>5957941.8978529647</v>
      </c>
    </row>
    <row r="492" spans="1:5" ht="14.25" customHeight="1" x14ac:dyDescent="0.25"/>
    <row r="493" spans="1:5" ht="14.25" customHeight="1" x14ac:dyDescent="0.25"/>
    <row r="933" spans="1:6" ht="20.100000000000001" customHeight="1" x14ac:dyDescent="0.25">
      <c r="A933" s="862"/>
      <c r="B933" s="862"/>
      <c r="C933" s="862"/>
      <c r="D933" s="862"/>
      <c r="E933" s="862"/>
      <c r="F933" s="862"/>
    </row>
    <row r="937" spans="1:6" ht="20.100000000000001" customHeight="1" x14ac:dyDescent="0.25">
      <c r="A937" s="409"/>
      <c r="D937" s="415"/>
    </row>
    <row r="938" spans="1:6" ht="20.100000000000001" customHeight="1" x14ac:dyDescent="0.25">
      <c r="A938" s="409"/>
      <c r="D938" s="415"/>
    </row>
    <row r="939" spans="1:6" ht="20.100000000000001" customHeight="1" x14ac:dyDescent="0.25">
      <c r="A939" s="862"/>
      <c r="B939" s="862"/>
      <c r="C939" s="862"/>
      <c r="D939" s="862"/>
      <c r="E939" s="862"/>
      <c r="F939" s="862"/>
    </row>
    <row r="940" spans="1:6" ht="20.100000000000001" customHeight="1" x14ac:dyDescent="0.25">
      <c r="A940" s="409"/>
      <c r="D940" s="415"/>
    </row>
    <row r="941" spans="1:6" ht="20.100000000000001" customHeight="1" x14ac:dyDescent="0.25">
      <c r="A941" s="409"/>
      <c r="D941" s="415"/>
    </row>
    <row r="942" spans="1:6" ht="20.100000000000001" customHeight="1" x14ac:dyDescent="0.25">
      <c r="A942" s="862"/>
      <c r="B942" s="862"/>
      <c r="C942" s="862"/>
      <c r="D942" s="862"/>
      <c r="E942" s="862"/>
      <c r="F942" s="862"/>
    </row>
    <row r="943" spans="1:6" ht="20.100000000000001" customHeight="1" x14ac:dyDescent="0.25">
      <c r="A943" s="409"/>
      <c r="D943" s="415"/>
    </row>
    <row r="944" spans="1:6" ht="20.100000000000001" customHeight="1" x14ac:dyDescent="0.25">
      <c r="A944" s="409"/>
      <c r="D944" s="415"/>
    </row>
    <row r="945" spans="1:6" ht="20.100000000000001" customHeight="1" x14ac:dyDescent="0.25">
      <c r="A945" s="862"/>
      <c r="B945" s="862"/>
      <c r="C945" s="862"/>
      <c r="D945" s="862"/>
      <c r="E945" s="862"/>
      <c r="F945" s="862"/>
    </row>
    <row r="946" spans="1:6" ht="20.100000000000001" customHeight="1" x14ac:dyDescent="0.25">
      <c r="A946" s="409"/>
      <c r="D946" s="415"/>
    </row>
    <row r="947" spans="1:6" ht="20.100000000000001" customHeight="1" x14ac:dyDescent="0.25">
      <c r="A947" s="409"/>
      <c r="D947" s="415"/>
    </row>
    <row r="948" spans="1:6" ht="20.100000000000001" customHeight="1" x14ac:dyDescent="0.25">
      <c r="A948" s="862"/>
      <c r="B948" s="862"/>
      <c r="C948" s="862"/>
      <c r="D948" s="862"/>
      <c r="E948" s="862"/>
      <c r="F948" s="862"/>
    </row>
    <row r="949" spans="1:6" ht="20.100000000000001" customHeight="1" x14ac:dyDescent="0.25">
      <c r="A949" s="409"/>
      <c r="D949" s="415"/>
    </row>
    <row r="950" spans="1:6" ht="20.100000000000001" customHeight="1" x14ac:dyDescent="0.25">
      <c r="A950" s="409"/>
      <c r="D950" s="415"/>
    </row>
    <row r="951" spans="1:6" ht="20.100000000000001" customHeight="1" x14ac:dyDescent="0.25">
      <c r="A951" s="862"/>
      <c r="B951" s="862"/>
      <c r="C951" s="862"/>
      <c r="D951" s="862"/>
      <c r="E951" s="862"/>
      <c r="F951" s="862"/>
    </row>
    <row r="952" spans="1:6" ht="20.100000000000001" customHeight="1" x14ac:dyDescent="0.25">
      <c r="A952" s="409"/>
      <c r="D952" s="415"/>
    </row>
    <row r="953" spans="1:6" ht="20.100000000000001" customHeight="1" x14ac:dyDescent="0.25">
      <c r="A953" s="409"/>
      <c r="D953" s="415"/>
    </row>
    <row r="954" spans="1:6" ht="20.100000000000001" customHeight="1" x14ac:dyDescent="0.25">
      <c r="A954" s="862"/>
      <c r="B954" s="862"/>
      <c r="C954" s="862"/>
      <c r="D954" s="862"/>
      <c r="E954" s="862"/>
      <c r="F954" s="862"/>
    </row>
    <row r="955" spans="1:6" ht="20.100000000000001" customHeight="1" x14ac:dyDescent="0.25">
      <c r="A955" s="409"/>
      <c r="D955" s="415"/>
    </row>
    <row r="956" spans="1:6" ht="20.100000000000001" customHeight="1" x14ac:dyDescent="0.25">
      <c r="A956" s="409"/>
      <c r="D956" s="415"/>
    </row>
    <row r="957" spans="1:6" ht="20.100000000000001" customHeight="1" x14ac:dyDescent="0.25">
      <c r="A957" s="862"/>
      <c r="B957" s="862"/>
      <c r="C957" s="862"/>
      <c r="D957" s="862"/>
      <c r="E957" s="862"/>
      <c r="F957" s="862"/>
    </row>
    <row r="958" spans="1:6" ht="20.100000000000001" customHeight="1" x14ac:dyDescent="0.25">
      <c r="A958" s="409"/>
      <c r="D958" s="415"/>
    </row>
    <row r="959" spans="1:6" ht="20.100000000000001" customHeight="1" x14ac:dyDescent="0.25">
      <c r="A959" s="409"/>
      <c r="D959" s="415"/>
    </row>
    <row r="978" spans="1:6" ht="20.100000000000001" customHeight="1" x14ac:dyDescent="0.25">
      <c r="A978" s="862"/>
      <c r="B978" s="862"/>
      <c r="C978" s="862"/>
      <c r="D978" s="862"/>
      <c r="E978" s="862"/>
      <c r="F978" s="862"/>
    </row>
    <row r="979" spans="1:6" ht="20.100000000000001" customHeight="1" x14ac:dyDescent="0.25">
      <c r="A979" s="409"/>
      <c r="D979" s="415"/>
    </row>
    <row r="980" spans="1:6" ht="20.100000000000001" customHeight="1" x14ac:dyDescent="0.25">
      <c r="A980" s="409"/>
      <c r="D980" s="415"/>
    </row>
    <row r="981" spans="1:6" ht="20.100000000000001" customHeight="1" x14ac:dyDescent="0.25">
      <c r="A981" s="862"/>
      <c r="B981" s="862"/>
      <c r="C981" s="862"/>
      <c r="D981" s="862"/>
      <c r="E981" s="862"/>
      <c r="F981" s="862"/>
    </row>
    <row r="982" spans="1:6" ht="20.100000000000001" customHeight="1" x14ac:dyDescent="0.25">
      <c r="A982" s="409"/>
      <c r="D982" s="415"/>
    </row>
    <row r="983" spans="1:6" ht="20.100000000000001" customHeight="1" x14ac:dyDescent="0.25">
      <c r="A983" s="409"/>
      <c r="D983" s="415"/>
    </row>
    <row r="984" spans="1:6" ht="20.100000000000001" customHeight="1" x14ac:dyDescent="0.25">
      <c r="A984" s="862"/>
      <c r="B984" s="862"/>
      <c r="C984" s="862"/>
      <c r="D984" s="862"/>
      <c r="E984" s="862"/>
      <c r="F984" s="862"/>
    </row>
    <row r="985" spans="1:6" ht="20.100000000000001" customHeight="1" x14ac:dyDescent="0.25">
      <c r="A985" s="409"/>
      <c r="D985" s="415"/>
    </row>
    <row r="986" spans="1:6" ht="20.100000000000001" customHeight="1" x14ac:dyDescent="0.25">
      <c r="A986" s="409"/>
      <c r="D986" s="415"/>
    </row>
    <row r="987" spans="1:6" ht="20.100000000000001" customHeight="1" x14ac:dyDescent="0.25">
      <c r="A987" s="862"/>
      <c r="B987" s="862"/>
      <c r="C987" s="862"/>
      <c r="D987" s="862"/>
      <c r="E987" s="862"/>
      <c r="F987" s="862"/>
    </row>
    <row r="988" spans="1:6" ht="20.100000000000001" customHeight="1" x14ac:dyDescent="0.25">
      <c r="A988" s="409"/>
      <c r="D988" s="415"/>
    </row>
    <row r="989" spans="1:6" ht="20.100000000000001" customHeight="1" x14ac:dyDescent="0.25">
      <c r="A989" s="409"/>
      <c r="D989" s="415"/>
    </row>
    <row r="990" spans="1:6" ht="20.100000000000001" customHeight="1" x14ac:dyDescent="0.25">
      <c r="A990" s="862"/>
      <c r="B990" s="862"/>
      <c r="C990" s="862"/>
      <c r="D990" s="862"/>
      <c r="E990" s="862"/>
      <c r="F990" s="862"/>
    </row>
    <row r="991" spans="1:6" ht="20.100000000000001" customHeight="1" x14ac:dyDescent="0.25">
      <c r="A991" s="409"/>
      <c r="D991" s="415"/>
    </row>
    <row r="992" spans="1:6" ht="20.100000000000001" customHeight="1" x14ac:dyDescent="0.25">
      <c r="A992" s="409"/>
      <c r="D992" s="415"/>
    </row>
    <row r="993" spans="1:6" ht="20.100000000000001" customHeight="1" x14ac:dyDescent="0.25">
      <c r="A993" s="862"/>
      <c r="B993" s="862"/>
      <c r="C993" s="862"/>
      <c r="D993" s="862"/>
      <c r="E993" s="862"/>
      <c r="F993" s="862"/>
    </row>
    <row r="1001" spans="1:6" ht="20.100000000000001" customHeight="1" x14ac:dyDescent="0.25">
      <c r="A1001" s="862"/>
      <c r="B1001" s="862"/>
      <c r="C1001" s="862"/>
      <c r="D1001" s="862"/>
      <c r="E1001" s="862"/>
      <c r="F1001" s="862"/>
    </row>
    <row r="1002" spans="1:6" ht="20.100000000000001" customHeight="1" x14ac:dyDescent="0.25">
      <c r="A1002" s="409"/>
      <c r="D1002" s="415"/>
    </row>
    <row r="1003" spans="1:6" ht="20.100000000000001" customHeight="1" x14ac:dyDescent="0.25">
      <c r="A1003" s="409"/>
      <c r="D1003" s="415"/>
    </row>
    <row r="1004" spans="1:6" ht="20.100000000000001" customHeight="1" x14ac:dyDescent="0.25">
      <c r="A1004" s="862"/>
      <c r="B1004" s="862"/>
      <c r="C1004" s="862"/>
      <c r="D1004" s="862"/>
      <c r="E1004" s="862"/>
      <c r="F1004" s="862"/>
    </row>
    <row r="1005" spans="1:6" ht="20.100000000000001" customHeight="1" x14ac:dyDescent="0.25">
      <c r="A1005" s="409"/>
      <c r="D1005" s="415"/>
    </row>
    <row r="1006" spans="1:6" ht="20.100000000000001" customHeight="1" x14ac:dyDescent="0.25">
      <c r="A1006" s="409"/>
      <c r="D1006" s="415"/>
    </row>
    <row r="1007" spans="1:6" ht="20.100000000000001" customHeight="1" x14ac:dyDescent="0.25">
      <c r="A1007" s="862"/>
      <c r="B1007" s="862"/>
      <c r="C1007" s="862"/>
      <c r="D1007" s="862"/>
      <c r="E1007" s="862"/>
      <c r="F1007" s="862"/>
    </row>
    <row r="1008" spans="1:6" ht="20.100000000000001" customHeight="1" x14ac:dyDescent="0.25">
      <c r="A1008" s="409"/>
      <c r="D1008" s="415"/>
    </row>
    <row r="1009" spans="1:6" ht="20.100000000000001" customHeight="1" x14ac:dyDescent="0.25">
      <c r="A1009" s="409"/>
      <c r="D1009" s="415"/>
    </row>
    <row r="1010" spans="1:6" ht="20.100000000000001" customHeight="1" x14ac:dyDescent="0.25">
      <c r="A1010" s="862"/>
      <c r="B1010" s="862"/>
      <c r="C1010" s="862"/>
      <c r="D1010" s="862"/>
      <c r="E1010" s="862"/>
      <c r="F1010" s="862"/>
    </row>
    <row r="1011" spans="1:6" ht="20.100000000000001" customHeight="1" x14ac:dyDescent="0.25">
      <c r="A1011" s="409"/>
      <c r="D1011" s="415"/>
    </row>
    <row r="1012" spans="1:6" ht="20.100000000000001" customHeight="1" x14ac:dyDescent="0.25">
      <c r="A1012" s="409"/>
      <c r="D1012" s="415"/>
    </row>
    <row r="1013" spans="1:6" ht="20.100000000000001" customHeight="1" x14ac:dyDescent="0.25">
      <c r="A1013" s="862"/>
      <c r="B1013" s="862"/>
      <c r="C1013" s="862"/>
      <c r="D1013" s="862"/>
      <c r="E1013" s="862"/>
      <c r="F1013" s="862"/>
    </row>
    <row r="1014" spans="1:6" ht="20.100000000000001" customHeight="1" x14ac:dyDescent="0.25">
      <c r="A1014" s="409"/>
      <c r="D1014" s="415"/>
    </row>
    <row r="1015" spans="1:6" ht="20.100000000000001" customHeight="1" x14ac:dyDescent="0.25">
      <c r="A1015" s="409"/>
      <c r="D1015" s="415"/>
    </row>
    <row r="1059" spans="1:6" ht="20.100000000000001" customHeight="1" x14ac:dyDescent="0.25">
      <c r="A1059" s="862"/>
      <c r="B1059" s="862"/>
      <c r="C1059" s="862"/>
      <c r="D1059" s="862"/>
      <c r="E1059" s="862"/>
      <c r="F1059" s="862"/>
    </row>
    <row r="1060" spans="1:6" ht="20.100000000000001" customHeight="1" x14ac:dyDescent="0.25">
      <c r="A1060" s="409"/>
      <c r="D1060" s="415"/>
    </row>
    <row r="1061" spans="1:6" ht="20.100000000000001" customHeight="1" x14ac:dyDescent="0.25">
      <c r="A1061" s="409"/>
      <c r="D1061" s="415"/>
    </row>
    <row r="1062" spans="1:6" ht="20.100000000000001" customHeight="1" x14ac:dyDescent="0.25">
      <c r="A1062" s="862"/>
      <c r="B1062" s="862"/>
      <c r="C1062" s="862"/>
      <c r="D1062" s="862"/>
      <c r="E1062" s="862"/>
      <c r="F1062" s="862"/>
    </row>
    <row r="1063" spans="1:6" ht="20.100000000000001" customHeight="1" x14ac:dyDescent="0.25">
      <c r="A1063" s="409"/>
      <c r="D1063" s="415"/>
    </row>
    <row r="1064" spans="1:6" ht="20.100000000000001" customHeight="1" x14ac:dyDescent="0.25">
      <c r="A1064" s="409"/>
      <c r="D1064" s="415"/>
    </row>
    <row r="1065" spans="1:6" ht="20.100000000000001" customHeight="1" x14ac:dyDescent="0.25">
      <c r="A1065" s="862"/>
      <c r="B1065" s="862"/>
      <c r="C1065" s="862"/>
      <c r="D1065" s="862"/>
      <c r="E1065" s="862"/>
      <c r="F1065" s="862"/>
    </row>
    <row r="1066" spans="1:6" ht="20.100000000000001" customHeight="1" x14ac:dyDescent="0.25">
      <c r="A1066" s="409"/>
      <c r="D1066" s="415"/>
    </row>
    <row r="1067" spans="1:6" ht="20.100000000000001" customHeight="1" x14ac:dyDescent="0.25">
      <c r="A1067" s="409"/>
      <c r="D1067" s="415"/>
    </row>
    <row r="1068" spans="1:6" ht="20.100000000000001" customHeight="1" x14ac:dyDescent="0.25">
      <c r="A1068" s="862"/>
      <c r="B1068" s="862"/>
      <c r="C1068" s="862"/>
      <c r="D1068" s="862"/>
      <c r="E1068" s="862"/>
      <c r="F1068" s="862"/>
    </row>
    <row r="1069" spans="1:6" ht="20.100000000000001" customHeight="1" x14ac:dyDescent="0.25">
      <c r="A1069" s="409"/>
      <c r="D1069" s="415"/>
    </row>
    <row r="1070" spans="1:6" ht="20.100000000000001" customHeight="1" x14ac:dyDescent="0.25">
      <c r="A1070" s="409"/>
      <c r="D1070" s="415"/>
    </row>
    <row r="1081" spans="1:6" ht="20.100000000000001" customHeight="1" x14ac:dyDescent="0.25">
      <c r="A1081" s="409"/>
      <c r="D1081" s="415"/>
    </row>
    <row r="1082" spans="1:6" ht="20.100000000000001" customHeight="1" x14ac:dyDescent="0.25">
      <c r="A1082" s="409"/>
      <c r="D1082" s="415"/>
    </row>
    <row r="1083" spans="1:6" ht="20.100000000000001" customHeight="1" x14ac:dyDescent="0.25">
      <c r="A1083" s="862"/>
      <c r="B1083" s="862"/>
      <c r="C1083" s="862"/>
      <c r="D1083" s="862"/>
      <c r="E1083" s="862"/>
      <c r="F1083" s="862"/>
    </row>
    <row r="1084" spans="1:6" ht="20.100000000000001" customHeight="1" x14ac:dyDescent="0.25">
      <c r="A1084" s="409"/>
      <c r="D1084" s="415"/>
    </row>
    <row r="1085" spans="1:6" ht="20.100000000000001" customHeight="1" x14ac:dyDescent="0.25">
      <c r="A1085" s="409"/>
      <c r="D1085" s="415"/>
    </row>
    <row r="1086" spans="1:6" ht="20.100000000000001" customHeight="1" x14ac:dyDescent="0.25">
      <c r="A1086" s="862"/>
      <c r="B1086" s="862"/>
      <c r="C1086" s="862"/>
      <c r="D1086" s="862"/>
      <c r="E1086" s="862"/>
      <c r="F1086" s="862"/>
    </row>
    <row r="1087" spans="1:6" ht="20.100000000000001" customHeight="1" x14ac:dyDescent="0.25">
      <c r="A1087" s="409"/>
      <c r="D1087" s="415"/>
    </row>
    <row r="1088" spans="1:6" ht="20.100000000000001" customHeight="1" x14ac:dyDescent="0.25">
      <c r="A1088" s="409"/>
      <c r="D1088" s="415"/>
    </row>
    <row r="1089" spans="1:6" ht="20.100000000000001" customHeight="1" x14ac:dyDescent="0.25">
      <c r="A1089" s="409"/>
      <c r="D1089" s="415"/>
    </row>
    <row r="1090" spans="1:6" ht="20.100000000000001" customHeight="1" x14ac:dyDescent="0.25">
      <c r="A1090" s="862"/>
      <c r="B1090" s="862"/>
      <c r="C1090" s="862"/>
      <c r="D1090" s="862"/>
      <c r="E1090" s="862"/>
      <c r="F1090" s="862"/>
    </row>
    <row r="1091" spans="1:6" ht="20.100000000000001" customHeight="1" x14ac:dyDescent="0.25">
      <c r="A1091" s="409"/>
      <c r="D1091" s="415"/>
    </row>
    <row r="1092" spans="1:6" ht="20.100000000000001" customHeight="1" x14ac:dyDescent="0.25">
      <c r="A1092" s="409"/>
      <c r="D1092" s="415"/>
    </row>
    <row r="1093" spans="1:6" ht="20.100000000000001" customHeight="1" x14ac:dyDescent="0.25">
      <c r="A1093" s="862"/>
      <c r="B1093" s="862"/>
      <c r="C1093" s="862"/>
      <c r="D1093" s="862"/>
      <c r="E1093" s="862"/>
      <c r="F1093" s="862"/>
    </row>
    <row r="1094" spans="1:6" ht="20.100000000000001" customHeight="1" x14ac:dyDescent="0.25">
      <c r="A1094" s="409"/>
      <c r="D1094" s="415"/>
    </row>
    <row r="1095" spans="1:6" ht="20.100000000000001" customHeight="1" x14ac:dyDescent="0.25">
      <c r="A1095" s="409"/>
      <c r="D1095" s="415"/>
    </row>
    <row r="1096" spans="1:6" ht="20.100000000000001" customHeight="1" x14ac:dyDescent="0.25">
      <c r="A1096" s="862"/>
      <c r="B1096" s="862"/>
      <c r="C1096" s="862"/>
      <c r="D1096" s="862"/>
      <c r="E1096" s="862"/>
      <c r="F1096" s="862"/>
    </row>
    <row r="1097" spans="1:6" ht="20.100000000000001" customHeight="1" x14ac:dyDescent="0.25">
      <c r="A1097" s="409"/>
      <c r="D1097" s="415"/>
    </row>
    <row r="1098" spans="1:6" ht="20.100000000000001" customHeight="1" x14ac:dyDescent="0.25">
      <c r="A1098" s="409"/>
      <c r="D1098" s="415"/>
    </row>
    <row r="1099" spans="1:6" ht="20.100000000000001" customHeight="1" x14ac:dyDescent="0.25">
      <c r="A1099" s="862"/>
      <c r="B1099" s="862"/>
      <c r="C1099" s="862"/>
      <c r="D1099" s="862"/>
      <c r="E1099" s="862"/>
      <c r="F1099" s="862"/>
    </row>
    <row r="1100" spans="1:6" ht="20.100000000000001" customHeight="1" x14ac:dyDescent="0.25">
      <c r="A1100" s="409"/>
      <c r="D1100" s="415"/>
    </row>
    <row r="1101" spans="1:6" ht="20.100000000000001" customHeight="1" x14ac:dyDescent="0.25">
      <c r="A1101" s="409"/>
      <c r="D1101" s="415"/>
    </row>
    <row r="1102" spans="1:6" ht="20.100000000000001" customHeight="1" x14ac:dyDescent="0.25">
      <c r="A1102" s="862"/>
      <c r="B1102" s="862"/>
      <c r="C1102" s="862"/>
      <c r="D1102" s="862"/>
      <c r="E1102" s="862"/>
      <c r="F1102" s="862"/>
    </row>
    <row r="1103" spans="1:6" ht="20.100000000000001" customHeight="1" x14ac:dyDescent="0.25">
      <c r="A1103" s="409"/>
      <c r="D1103" s="415"/>
    </row>
    <row r="1104" spans="1:6" ht="20.100000000000001" customHeight="1" x14ac:dyDescent="0.25">
      <c r="A1104" s="409"/>
      <c r="D1104" s="415"/>
    </row>
    <row r="1105" spans="1:6" ht="20.100000000000001" customHeight="1" x14ac:dyDescent="0.25">
      <c r="A1105" s="862"/>
      <c r="B1105" s="862"/>
      <c r="C1105" s="862"/>
      <c r="D1105" s="862"/>
      <c r="E1105" s="862"/>
      <c r="F1105" s="862"/>
    </row>
    <row r="1106" spans="1:6" ht="20.100000000000001" customHeight="1" x14ac:dyDescent="0.25">
      <c r="A1106" s="409"/>
      <c r="D1106" s="415"/>
    </row>
    <row r="1107" spans="1:6" ht="20.100000000000001" customHeight="1" x14ac:dyDescent="0.25">
      <c r="A1107" s="409"/>
      <c r="D1107" s="415"/>
    </row>
    <row r="1121" spans="1:6" ht="20.100000000000001" customHeight="1" x14ac:dyDescent="0.25">
      <c r="A1121" s="862"/>
      <c r="B1121" s="862"/>
      <c r="C1121" s="862"/>
      <c r="D1121" s="862"/>
      <c r="E1121" s="862"/>
      <c r="F1121" s="862"/>
    </row>
    <row r="1122" spans="1:6" ht="20.100000000000001" customHeight="1" x14ac:dyDescent="0.25">
      <c r="A1122" s="409"/>
      <c r="D1122" s="415"/>
    </row>
    <row r="1123" spans="1:6" ht="20.100000000000001" customHeight="1" x14ac:dyDescent="0.25">
      <c r="A1123" s="409"/>
      <c r="D1123" s="415"/>
    </row>
    <row r="1138" spans="1:6" ht="20.100000000000001" customHeight="1" x14ac:dyDescent="0.25">
      <c r="A1138" s="409"/>
      <c r="D1138" s="415"/>
    </row>
    <row r="1139" spans="1:6" ht="20.100000000000001" customHeight="1" x14ac:dyDescent="0.25">
      <c r="A1139" s="409"/>
      <c r="D1139" s="415"/>
    </row>
    <row r="1140" spans="1:6" ht="20.100000000000001" customHeight="1" x14ac:dyDescent="0.25">
      <c r="A1140" s="862"/>
      <c r="B1140" s="862"/>
      <c r="C1140" s="862"/>
      <c r="D1140" s="862"/>
      <c r="E1140" s="862"/>
      <c r="F1140" s="862"/>
    </row>
    <row r="1141" spans="1:6" ht="20.100000000000001" customHeight="1" x14ac:dyDescent="0.25">
      <c r="A1141" s="409"/>
      <c r="D1141" s="415"/>
    </row>
    <row r="1142" spans="1:6" ht="20.100000000000001" customHeight="1" x14ac:dyDescent="0.25">
      <c r="A1142" s="409"/>
      <c r="D1142" s="415"/>
    </row>
    <row r="1143" spans="1:6" ht="20.100000000000001" customHeight="1" x14ac:dyDescent="0.25">
      <c r="A1143" s="862"/>
      <c r="B1143" s="862"/>
      <c r="C1143" s="862"/>
      <c r="D1143" s="862"/>
      <c r="E1143" s="862"/>
      <c r="F1143" s="862"/>
    </row>
    <row r="1153" spans="1:6" ht="20.100000000000001" customHeight="1" x14ac:dyDescent="0.25">
      <c r="A1153" s="409"/>
      <c r="D1153" s="415"/>
    </row>
    <row r="1154" spans="1:6" ht="20.100000000000001" customHeight="1" x14ac:dyDescent="0.25">
      <c r="A1154" s="409"/>
      <c r="D1154" s="415"/>
    </row>
    <row r="1155" spans="1:6" ht="20.100000000000001" customHeight="1" x14ac:dyDescent="0.25">
      <c r="A1155" s="862"/>
      <c r="B1155" s="862"/>
      <c r="C1155" s="862"/>
      <c r="D1155" s="862"/>
      <c r="E1155" s="862"/>
      <c r="F1155" s="862"/>
    </row>
    <row r="1156" spans="1:6" ht="20.100000000000001" customHeight="1" x14ac:dyDescent="0.25">
      <c r="D1156" s="415"/>
    </row>
    <row r="1157" spans="1:6" ht="20.100000000000001" customHeight="1" x14ac:dyDescent="0.25">
      <c r="A1157" s="409"/>
      <c r="D1157" s="415"/>
    </row>
    <row r="1158" spans="1:6" ht="20.100000000000001" customHeight="1" x14ac:dyDescent="0.25">
      <c r="A1158" s="409"/>
      <c r="D1158" s="415"/>
    </row>
    <row r="1159" spans="1:6" ht="20.100000000000001" customHeight="1" x14ac:dyDescent="0.25">
      <c r="A1159" s="862"/>
      <c r="B1159" s="862"/>
      <c r="C1159" s="862"/>
      <c r="D1159" s="862"/>
      <c r="E1159" s="862"/>
      <c r="F1159" s="862"/>
    </row>
    <row r="1160" spans="1:6" ht="20.100000000000001" customHeight="1" x14ac:dyDescent="0.25">
      <c r="A1160" s="409"/>
      <c r="D1160" s="415"/>
    </row>
    <row r="1161" spans="1:6" ht="20.100000000000001" customHeight="1" x14ac:dyDescent="0.25">
      <c r="A1161" s="409"/>
      <c r="D1161" s="415"/>
    </row>
    <row r="1177" spans="1:6" ht="20.100000000000001" customHeight="1" x14ac:dyDescent="0.25">
      <c r="A1177" s="862"/>
      <c r="B1177" s="862"/>
      <c r="C1177" s="862"/>
      <c r="D1177" s="862"/>
      <c r="E1177" s="862"/>
      <c r="F1177" s="862"/>
    </row>
    <row r="1178" spans="1:6" ht="20.100000000000001" customHeight="1" x14ac:dyDescent="0.25">
      <c r="A1178" s="409"/>
      <c r="D1178" s="415"/>
    </row>
    <row r="1179" spans="1:6" ht="20.100000000000001" customHeight="1" x14ac:dyDescent="0.25">
      <c r="A1179" s="409"/>
      <c r="D1179" s="415"/>
    </row>
    <row r="1180" spans="1:6" ht="20.100000000000001" customHeight="1" x14ac:dyDescent="0.25">
      <c r="A1180" s="862"/>
      <c r="B1180" s="862"/>
      <c r="C1180" s="862"/>
      <c r="D1180" s="862"/>
      <c r="E1180" s="862"/>
      <c r="F1180" s="862"/>
    </row>
    <row r="1181" spans="1:6" ht="20.100000000000001" customHeight="1" x14ac:dyDescent="0.25">
      <c r="A1181" s="409"/>
      <c r="D1181" s="415"/>
    </row>
    <row r="1182" spans="1:6" ht="20.100000000000001" customHeight="1" x14ac:dyDescent="0.25">
      <c r="A1182" s="409"/>
      <c r="D1182" s="415"/>
    </row>
    <row r="1183" spans="1:6" ht="20.100000000000001" customHeight="1" x14ac:dyDescent="0.25">
      <c r="A1183" s="862"/>
      <c r="B1183" s="862"/>
      <c r="C1183" s="862"/>
      <c r="D1183" s="862"/>
      <c r="E1183" s="862"/>
      <c r="F1183" s="862"/>
    </row>
    <row r="1184" spans="1:6" ht="20.100000000000001" customHeight="1" x14ac:dyDescent="0.25">
      <c r="A1184" s="409"/>
      <c r="D1184" s="415"/>
    </row>
    <row r="1185" spans="1:4" ht="20.100000000000001" customHeight="1" x14ac:dyDescent="0.25">
      <c r="A1185" s="409"/>
      <c r="D1185" s="415"/>
    </row>
    <row r="1203" spans="1:6" ht="20.100000000000001" customHeight="1" x14ac:dyDescent="0.25">
      <c r="A1203" s="862"/>
      <c r="B1203" s="862"/>
      <c r="C1203" s="862"/>
      <c r="D1203" s="862"/>
      <c r="E1203" s="862"/>
      <c r="F1203" s="862"/>
    </row>
    <row r="1204" spans="1:6" ht="20.100000000000001" customHeight="1" x14ac:dyDescent="0.25">
      <c r="A1204" s="409"/>
      <c r="D1204" s="415"/>
    </row>
    <row r="1205" spans="1:6" ht="20.100000000000001" customHeight="1" x14ac:dyDescent="0.25">
      <c r="A1205" s="409"/>
      <c r="D1205" s="415"/>
    </row>
    <row r="1206" spans="1:6" ht="20.100000000000001" customHeight="1" x14ac:dyDescent="0.25">
      <c r="A1206" s="862"/>
      <c r="B1206" s="862"/>
      <c r="C1206" s="862"/>
      <c r="D1206" s="862"/>
      <c r="E1206" s="862"/>
      <c r="F1206" s="862"/>
    </row>
    <row r="1207" spans="1:6" ht="20.100000000000001" customHeight="1" x14ac:dyDescent="0.25">
      <c r="A1207" s="409"/>
      <c r="D1207" s="415"/>
    </row>
    <row r="1208" spans="1:6" ht="20.100000000000001" customHeight="1" x14ac:dyDescent="0.25">
      <c r="A1208" s="409"/>
      <c r="D1208" s="415"/>
    </row>
    <row r="1209" spans="1:6" ht="20.100000000000001" customHeight="1" x14ac:dyDescent="0.25">
      <c r="A1209" s="862"/>
      <c r="B1209" s="862"/>
      <c r="C1209" s="862"/>
      <c r="D1209" s="862"/>
      <c r="E1209" s="862"/>
      <c r="F1209" s="862"/>
    </row>
    <row r="1210" spans="1:6" ht="20.100000000000001" customHeight="1" x14ac:dyDescent="0.25">
      <c r="A1210" s="409"/>
      <c r="D1210" s="415"/>
    </row>
    <row r="1211" spans="1:6" ht="20.100000000000001" customHeight="1" x14ac:dyDescent="0.25">
      <c r="A1211" s="409"/>
      <c r="D1211" s="415"/>
    </row>
    <row r="1212" spans="1:6" ht="20.100000000000001" customHeight="1" x14ac:dyDescent="0.25">
      <c r="A1212" s="862"/>
      <c r="B1212" s="862"/>
      <c r="C1212" s="862"/>
      <c r="D1212" s="862"/>
      <c r="E1212" s="862"/>
      <c r="F1212" s="862"/>
    </row>
    <row r="1223" spans="1:6" ht="20.100000000000001" customHeight="1" x14ac:dyDescent="0.25">
      <c r="A1223" s="862"/>
      <c r="B1223" s="862"/>
      <c r="C1223" s="862"/>
      <c r="D1223" s="862"/>
      <c r="E1223" s="862"/>
      <c r="F1223" s="862"/>
    </row>
    <row r="1224" spans="1:6" ht="20.100000000000001" customHeight="1" x14ac:dyDescent="0.25">
      <c r="A1224" s="409"/>
      <c r="D1224" s="415"/>
    </row>
    <row r="1225" spans="1:6" ht="20.100000000000001" customHeight="1" x14ac:dyDescent="0.25">
      <c r="A1225" s="409"/>
      <c r="D1225" s="415"/>
    </row>
    <row r="1226" spans="1:6" ht="20.100000000000001" customHeight="1" x14ac:dyDescent="0.25">
      <c r="A1226" s="862"/>
      <c r="B1226" s="862"/>
      <c r="C1226" s="862"/>
      <c r="D1226" s="862"/>
      <c r="E1226" s="862"/>
      <c r="F1226" s="862"/>
    </row>
    <row r="1227" spans="1:6" ht="20.100000000000001" customHeight="1" x14ac:dyDescent="0.25">
      <c r="A1227" s="409"/>
      <c r="D1227" s="415"/>
    </row>
    <row r="1228" spans="1:6" ht="20.100000000000001" customHeight="1" x14ac:dyDescent="0.25">
      <c r="A1228" s="409"/>
      <c r="D1228" s="415"/>
    </row>
    <row r="1229" spans="1:6" ht="20.100000000000001" customHeight="1" x14ac:dyDescent="0.25">
      <c r="A1229" s="862"/>
      <c r="B1229" s="862"/>
      <c r="C1229" s="862"/>
      <c r="D1229" s="862"/>
      <c r="E1229" s="862"/>
      <c r="F1229" s="862"/>
    </row>
    <row r="1230" spans="1:6" ht="20.100000000000001" customHeight="1" x14ac:dyDescent="0.25">
      <c r="A1230" s="409"/>
      <c r="D1230" s="415"/>
    </row>
    <row r="1231" spans="1:6" ht="20.100000000000001" customHeight="1" x14ac:dyDescent="0.25">
      <c r="A1231" s="409"/>
      <c r="D1231" s="415"/>
    </row>
    <row r="1232" spans="1:6" ht="20.100000000000001" customHeight="1" x14ac:dyDescent="0.25">
      <c r="A1232" s="862"/>
      <c r="B1232" s="862"/>
      <c r="C1232" s="862"/>
      <c r="D1232" s="862"/>
      <c r="E1232" s="862"/>
      <c r="F1232" s="862"/>
    </row>
    <row r="1233" spans="1:6" ht="20.100000000000001" customHeight="1" x14ac:dyDescent="0.25">
      <c r="A1233" s="409"/>
      <c r="D1233" s="415"/>
    </row>
    <row r="1234" spans="1:6" ht="20.100000000000001" customHeight="1" x14ac:dyDescent="0.25">
      <c r="A1234" s="409"/>
      <c r="D1234" s="415"/>
    </row>
    <row r="1235" spans="1:6" ht="20.100000000000001" customHeight="1" x14ac:dyDescent="0.25">
      <c r="A1235" s="862"/>
      <c r="B1235" s="862"/>
      <c r="C1235" s="862"/>
      <c r="D1235" s="862"/>
      <c r="E1235" s="862"/>
      <c r="F1235" s="862"/>
    </row>
    <row r="1236" spans="1:6" ht="20.100000000000001" customHeight="1" x14ac:dyDescent="0.25">
      <c r="A1236" s="409"/>
      <c r="D1236" s="415"/>
    </row>
    <row r="1237" spans="1:6" ht="20.100000000000001" customHeight="1" x14ac:dyDescent="0.25">
      <c r="A1237" s="409"/>
      <c r="D1237" s="415"/>
    </row>
    <row r="1238" spans="1:6" ht="20.100000000000001" customHeight="1" x14ac:dyDescent="0.25">
      <c r="A1238" s="862"/>
      <c r="B1238" s="862"/>
      <c r="C1238" s="862"/>
      <c r="D1238" s="862"/>
      <c r="E1238" s="862"/>
      <c r="F1238" s="862"/>
    </row>
    <row r="1239" spans="1:6" ht="20.100000000000001" customHeight="1" x14ac:dyDescent="0.25">
      <c r="A1239" s="409"/>
      <c r="D1239" s="415"/>
    </row>
    <row r="1240" spans="1:6" ht="20.100000000000001" customHeight="1" x14ac:dyDescent="0.25">
      <c r="A1240" s="409"/>
      <c r="D1240" s="415"/>
    </row>
    <row r="1241" spans="1:6" ht="20.100000000000001" customHeight="1" x14ac:dyDescent="0.25">
      <c r="A1241" s="862"/>
      <c r="B1241" s="862"/>
      <c r="C1241" s="862"/>
      <c r="D1241" s="862"/>
      <c r="E1241" s="862"/>
      <c r="F1241" s="862"/>
    </row>
    <row r="1242" spans="1:6" ht="20.100000000000001" customHeight="1" x14ac:dyDescent="0.25">
      <c r="A1242" s="409"/>
      <c r="D1242" s="415"/>
    </row>
    <row r="1243" spans="1:6" ht="20.100000000000001" customHeight="1" x14ac:dyDescent="0.25">
      <c r="A1243" s="409"/>
      <c r="D1243" s="415"/>
    </row>
    <row r="1244" spans="1:6" ht="20.100000000000001" customHeight="1" x14ac:dyDescent="0.25">
      <c r="A1244" s="862"/>
      <c r="B1244" s="862"/>
      <c r="C1244" s="862"/>
      <c r="D1244" s="862"/>
      <c r="E1244" s="862"/>
      <c r="F1244" s="862"/>
    </row>
    <row r="1246" spans="1:6" ht="20.100000000000001" customHeight="1" x14ac:dyDescent="0.25">
      <c r="A1246" s="409"/>
      <c r="D1246" s="415"/>
    </row>
    <row r="1247" spans="1:6" ht="20.100000000000001" customHeight="1" x14ac:dyDescent="0.25">
      <c r="A1247" s="409"/>
      <c r="D1247" s="415"/>
    </row>
    <row r="1248" spans="1:6" ht="20.100000000000001" customHeight="1" x14ac:dyDescent="0.25">
      <c r="A1248" s="862"/>
      <c r="B1248" s="862"/>
      <c r="C1248" s="862"/>
      <c r="D1248" s="862"/>
      <c r="E1248" s="862"/>
      <c r="F1248" s="862"/>
    </row>
    <row r="1249" spans="1:6" ht="20.100000000000001" customHeight="1" x14ac:dyDescent="0.25">
      <c r="A1249" s="409"/>
      <c r="D1249" s="415"/>
    </row>
    <row r="1250" spans="1:6" ht="20.100000000000001" customHeight="1" x14ac:dyDescent="0.25">
      <c r="A1250" s="409"/>
      <c r="D1250" s="415"/>
    </row>
    <row r="1251" spans="1:6" ht="20.100000000000001" customHeight="1" x14ac:dyDescent="0.25">
      <c r="A1251" s="862"/>
      <c r="B1251" s="862"/>
      <c r="C1251" s="862"/>
      <c r="D1251" s="862"/>
      <c r="E1251" s="862"/>
      <c r="F1251" s="862"/>
    </row>
    <row r="1252" spans="1:6" ht="20.100000000000001" customHeight="1" x14ac:dyDescent="0.25">
      <c r="A1252" s="409"/>
      <c r="D1252" s="415"/>
    </row>
    <row r="1253" spans="1:6" ht="20.100000000000001" customHeight="1" x14ac:dyDescent="0.25">
      <c r="A1253" s="409"/>
      <c r="D1253" s="415"/>
    </row>
    <row r="1254" spans="1:6" ht="20.100000000000001" customHeight="1" x14ac:dyDescent="0.25">
      <c r="A1254" s="862"/>
      <c r="B1254" s="862"/>
      <c r="C1254" s="862"/>
      <c r="D1254" s="862"/>
      <c r="E1254" s="862"/>
      <c r="F1254" s="862"/>
    </row>
    <row r="1255" spans="1:6" ht="20.100000000000001" customHeight="1" x14ac:dyDescent="0.25">
      <c r="A1255" s="409"/>
      <c r="D1255" s="415"/>
    </row>
    <row r="1256" spans="1:6" ht="20.100000000000001" customHeight="1" x14ac:dyDescent="0.25">
      <c r="A1256" s="409"/>
      <c r="D1256" s="415"/>
    </row>
    <row r="1257" spans="1:6" ht="20.100000000000001" customHeight="1" x14ac:dyDescent="0.25">
      <c r="A1257" s="862"/>
      <c r="B1257" s="862"/>
      <c r="C1257" s="862"/>
      <c r="D1257" s="862"/>
      <c r="E1257" s="862"/>
      <c r="F1257" s="862"/>
    </row>
    <row r="1258" spans="1:6" ht="20.100000000000001" customHeight="1" x14ac:dyDescent="0.25">
      <c r="A1258" s="409"/>
      <c r="D1258" s="415"/>
    </row>
    <row r="1259" spans="1:6" ht="20.100000000000001" customHeight="1" x14ac:dyDescent="0.25">
      <c r="A1259" s="409"/>
      <c r="D1259" s="415"/>
    </row>
    <row r="1260" spans="1:6" ht="20.100000000000001" customHeight="1" x14ac:dyDescent="0.25">
      <c r="A1260" s="862"/>
      <c r="B1260" s="862"/>
      <c r="C1260" s="862"/>
      <c r="D1260" s="862"/>
      <c r="E1260" s="862"/>
      <c r="F1260" s="862"/>
    </row>
    <row r="1261" spans="1:6" ht="20.100000000000001" customHeight="1" x14ac:dyDescent="0.25">
      <c r="A1261" s="409"/>
      <c r="D1261" s="415"/>
    </row>
    <row r="1262" spans="1:6" ht="20.100000000000001" customHeight="1" x14ac:dyDescent="0.25">
      <c r="A1262" s="409"/>
      <c r="D1262" s="415"/>
    </row>
    <row r="1263" spans="1:6" ht="20.100000000000001" customHeight="1" x14ac:dyDescent="0.25">
      <c r="A1263" s="862"/>
      <c r="B1263" s="862"/>
      <c r="C1263" s="862"/>
      <c r="D1263" s="862"/>
      <c r="E1263" s="862"/>
      <c r="F1263" s="862"/>
    </row>
    <row r="1264" spans="1:6" ht="20.100000000000001" customHeight="1" x14ac:dyDescent="0.25">
      <c r="A1264" s="409"/>
      <c r="D1264" s="415"/>
    </row>
    <row r="1265" spans="1:6" ht="20.100000000000001" customHeight="1" x14ac:dyDescent="0.25">
      <c r="A1265" s="409"/>
      <c r="D1265" s="415"/>
    </row>
    <row r="1266" spans="1:6" ht="20.100000000000001" customHeight="1" x14ac:dyDescent="0.25">
      <c r="A1266" s="862"/>
      <c r="B1266" s="862"/>
      <c r="C1266" s="862"/>
      <c r="D1266" s="862"/>
      <c r="E1266" s="862"/>
      <c r="F1266" s="862"/>
    </row>
    <row r="1267" spans="1:6" ht="20.100000000000001" customHeight="1" x14ac:dyDescent="0.25">
      <c r="A1267" s="409"/>
      <c r="D1267" s="415"/>
    </row>
    <row r="1268" spans="1:6" ht="20.100000000000001" customHeight="1" x14ac:dyDescent="0.25">
      <c r="A1268" s="409"/>
      <c r="D1268" s="415"/>
    </row>
    <row r="1269" spans="1:6" ht="20.100000000000001" customHeight="1" x14ac:dyDescent="0.25">
      <c r="A1269" s="862"/>
      <c r="B1269" s="862"/>
      <c r="C1269" s="862"/>
      <c r="D1269" s="862"/>
      <c r="E1269" s="862"/>
      <c r="F1269" s="862"/>
    </row>
    <row r="1270" spans="1:6" ht="20.100000000000001" customHeight="1" x14ac:dyDescent="0.25">
      <c r="A1270" s="409"/>
      <c r="D1270" s="415"/>
    </row>
    <row r="1271" spans="1:6" ht="20.100000000000001" customHeight="1" x14ac:dyDescent="0.25">
      <c r="A1271" s="409"/>
      <c r="D1271" s="415"/>
    </row>
    <row r="1272" spans="1:6" ht="20.100000000000001" customHeight="1" x14ac:dyDescent="0.25">
      <c r="A1272" s="409"/>
      <c r="D1272" s="415"/>
    </row>
    <row r="1273" spans="1:6" ht="20.100000000000001" customHeight="1" x14ac:dyDescent="0.25">
      <c r="A1273" s="862"/>
      <c r="B1273" s="862"/>
      <c r="C1273" s="862"/>
      <c r="D1273" s="862"/>
      <c r="E1273" s="862"/>
      <c r="F1273" s="862"/>
    </row>
    <row r="1274" spans="1:6" ht="20.100000000000001" customHeight="1" x14ac:dyDescent="0.25">
      <c r="A1274" s="409"/>
      <c r="D1274" s="415"/>
    </row>
    <row r="1275" spans="1:6" ht="20.100000000000001" customHeight="1" x14ac:dyDescent="0.25">
      <c r="A1275" s="409"/>
      <c r="D1275" s="415"/>
    </row>
    <row r="1276" spans="1:6" ht="20.100000000000001" customHeight="1" x14ac:dyDescent="0.25">
      <c r="A1276" s="862"/>
      <c r="B1276" s="862"/>
      <c r="C1276" s="862"/>
      <c r="D1276" s="862"/>
      <c r="E1276" s="862"/>
      <c r="F1276" s="862"/>
    </row>
    <row r="1278" spans="1:6" ht="20.100000000000001" customHeight="1" x14ac:dyDescent="0.25">
      <c r="A1278" s="409"/>
      <c r="D1278" s="415"/>
    </row>
    <row r="1279" spans="1:6" ht="20.100000000000001" customHeight="1" x14ac:dyDescent="0.25">
      <c r="A1279" s="409"/>
      <c r="D1279" s="415"/>
    </row>
    <row r="1280" spans="1:6" ht="20.100000000000001" customHeight="1" x14ac:dyDescent="0.25">
      <c r="A1280" s="862"/>
      <c r="B1280" s="862"/>
      <c r="C1280" s="862"/>
      <c r="D1280" s="862"/>
      <c r="E1280" s="862"/>
      <c r="F1280" s="862"/>
    </row>
    <row r="1281" spans="1:6" ht="20.100000000000001" customHeight="1" x14ac:dyDescent="0.25">
      <c r="A1281" s="409"/>
      <c r="D1281" s="415"/>
    </row>
    <row r="1282" spans="1:6" ht="20.100000000000001" customHeight="1" x14ac:dyDescent="0.25">
      <c r="A1282" s="409"/>
      <c r="D1282" s="415"/>
    </row>
    <row r="1283" spans="1:6" ht="20.100000000000001" customHeight="1" x14ac:dyDescent="0.25">
      <c r="A1283" s="862"/>
      <c r="B1283" s="862"/>
      <c r="C1283" s="862"/>
      <c r="D1283" s="862"/>
      <c r="E1283" s="862"/>
      <c r="F1283" s="862"/>
    </row>
    <row r="1284" spans="1:6" ht="20.100000000000001" customHeight="1" x14ac:dyDescent="0.25">
      <c r="A1284" s="409"/>
      <c r="D1284" s="415"/>
    </row>
    <row r="1285" spans="1:6" ht="20.100000000000001" customHeight="1" x14ac:dyDescent="0.25">
      <c r="A1285" s="409"/>
      <c r="D1285" s="415"/>
    </row>
    <row r="1286" spans="1:6" ht="20.100000000000001" customHeight="1" x14ac:dyDescent="0.25">
      <c r="A1286" s="862"/>
      <c r="B1286" s="862"/>
      <c r="C1286" s="862"/>
      <c r="D1286" s="862"/>
      <c r="E1286" s="862"/>
      <c r="F1286" s="862"/>
    </row>
    <row r="1289" spans="1:6" ht="20.100000000000001" customHeight="1" x14ac:dyDescent="0.25">
      <c r="A1289" s="409"/>
      <c r="D1289" s="415"/>
    </row>
    <row r="1290" spans="1:6" ht="20.100000000000001" customHeight="1" x14ac:dyDescent="0.25">
      <c r="A1290" s="409"/>
      <c r="D1290" s="415"/>
    </row>
    <row r="1291" spans="1:6" ht="20.100000000000001" customHeight="1" x14ac:dyDescent="0.25">
      <c r="A1291" s="862"/>
      <c r="B1291" s="862"/>
      <c r="C1291" s="862"/>
      <c r="D1291" s="862"/>
      <c r="E1291" s="862"/>
      <c r="F1291" s="862"/>
    </row>
    <row r="1292" spans="1:6" ht="20.100000000000001" customHeight="1" x14ac:dyDescent="0.25">
      <c r="A1292" s="409"/>
      <c r="D1292" s="415"/>
    </row>
    <row r="1293" spans="1:6" ht="20.100000000000001" customHeight="1" x14ac:dyDescent="0.25">
      <c r="A1293" s="409"/>
      <c r="D1293" s="415"/>
    </row>
    <row r="1294" spans="1:6" ht="20.100000000000001" customHeight="1" x14ac:dyDescent="0.25">
      <c r="A1294" s="862"/>
      <c r="B1294" s="862"/>
      <c r="C1294" s="862"/>
      <c r="D1294" s="862"/>
      <c r="E1294" s="862"/>
      <c r="F1294" s="862"/>
    </row>
    <row r="1295" spans="1:6" ht="20.100000000000001" customHeight="1" x14ac:dyDescent="0.25">
      <c r="A1295" s="409"/>
      <c r="D1295" s="415"/>
    </row>
    <row r="1296" spans="1:6" ht="20.100000000000001" customHeight="1" x14ac:dyDescent="0.25">
      <c r="A1296" s="409"/>
      <c r="D1296" s="415"/>
    </row>
    <row r="1297" spans="1:6" ht="20.100000000000001" customHeight="1" x14ac:dyDescent="0.25">
      <c r="A1297" s="862"/>
      <c r="B1297" s="862"/>
      <c r="C1297" s="862"/>
      <c r="D1297" s="862"/>
      <c r="E1297" s="862"/>
      <c r="F1297" s="862"/>
    </row>
    <row r="1298" spans="1:6" ht="20.100000000000001" customHeight="1" x14ac:dyDescent="0.25">
      <c r="A1298" s="409"/>
      <c r="D1298" s="415"/>
    </row>
    <row r="1299" spans="1:6" ht="20.100000000000001" customHeight="1" x14ac:dyDescent="0.25">
      <c r="A1299" s="409"/>
      <c r="D1299" s="415"/>
    </row>
    <row r="1300" spans="1:6" ht="20.100000000000001" customHeight="1" x14ac:dyDescent="0.25">
      <c r="A1300" s="862"/>
      <c r="B1300" s="862"/>
      <c r="C1300" s="862"/>
      <c r="D1300" s="862"/>
      <c r="E1300" s="862"/>
      <c r="F1300" s="862"/>
    </row>
    <row r="1301" spans="1:6" ht="20.100000000000001" customHeight="1" x14ac:dyDescent="0.25">
      <c r="A1301" s="409"/>
      <c r="D1301" s="415"/>
    </row>
    <row r="1302" spans="1:6" ht="20.100000000000001" customHeight="1" x14ac:dyDescent="0.25">
      <c r="A1302" s="409"/>
      <c r="D1302" s="415"/>
    </row>
    <row r="1303" spans="1:6" ht="20.100000000000001" customHeight="1" x14ac:dyDescent="0.25">
      <c r="A1303" s="862"/>
      <c r="B1303" s="862"/>
      <c r="C1303" s="862"/>
      <c r="D1303" s="862"/>
      <c r="E1303" s="862"/>
      <c r="F1303" s="862"/>
    </row>
    <row r="1304" spans="1:6" ht="20.100000000000001" customHeight="1" x14ac:dyDescent="0.25">
      <c r="A1304" s="409"/>
      <c r="D1304" s="415"/>
    </row>
    <row r="1305" spans="1:6" ht="20.100000000000001" customHeight="1" x14ac:dyDescent="0.25">
      <c r="A1305" s="409"/>
      <c r="D1305" s="415"/>
    </row>
    <row r="1306" spans="1:6" ht="20.100000000000001" customHeight="1" x14ac:dyDescent="0.25">
      <c r="A1306" s="862"/>
      <c r="B1306" s="862"/>
      <c r="C1306" s="862"/>
      <c r="D1306" s="862"/>
      <c r="E1306" s="862"/>
      <c r="F1306" s="862"/>
    </row>
    <row r="1307" spans="1:6" ht="20.100000000000001" customHeight="1" x14ac:dyDescent="0.25">
      <c r="A1307" s="409"/>
      <c r="D1307" s="415"/>
    </row>
    <row r="1308" spans="1:6" ht="20.100000000000001" customHeight="1" x14ac:dyDescent="0.25">
      <c r="A1308" s="409"/>
      <c r="D1308" s="415"/>
    </row>
    <row r="1309" spans="1:6" ht="20.100000000000001" customHeight="1" x14ac:dyDescent="0.25">
      <c r="A1309" s="862"/>
      <c r="B1309" s="862"/>
      <c r="C1309" s="862"/>
      <c r="D1309" s="862"/>
      <c r="E1309" s="862"/>
      <c r="F1309" s="862"/>
    </row>
    <row r="1310" spans="1:6" ht="20.100000000000001" customHeight="1" x14ac:dyDescent="0.25">
      <c r="A1310" s="409"/>
      <c r="D1310" s="415"/>
    </row>
    <row r="1311" spans="1:6" ht="20.100000000000001" customHeight="1" x14ac:dyDescent="0.25">
      <c r="A1311" s="409"/>
      <c r="D1311" s="415"/>
    </row>
    <row r="1312" spans="1:6" ht="20.100000000000001" customHeight="1" x14ac:dyDescent="0.25">
      <c r="A1312" s="862"/>
      <c r="B1312" s="862"/>
      <c r="C1312" s="862"/>
      <c r="D1312" s="862"/>
      <c r="E1312" s="862"/>
      <c r="F1312" s="862"/>
    </row>
    <row r="1313" spans="1:6" ht="20.100000000000001" customHeight="1" x14ac:dyDescent="0.25">
      <c r="A1313" s="409"/>
      <c r="D1313" s="415"/>
    </row>
    <row r="1314" spans="1:6" ht="20.100000000000001" customHeight="1" x14ac:dyDescent="0.25">
      <c r="A1314" s="409"/>
      <c r="D1314" s="415"/>
    </row>
    <row r="1315" spans="1:6" ht="20.100000000000001" customHeight="1" x14ac:dyDescent="0.25">
      <c r="A1315" s="862"/>
      <c r="B1315" s="862"/>
      <c r="C1315" s="862"/>
      <c r="D1315" s="862"/>
      <c r="E1315" s="862"/>
      <c r="F1315" s="862"/>
    </row>
    <row r="1316" spans="1:6" ht="20.100000000000001" customHeight="1" x14ac:dyDescent="0.25">
      <c r="A1316" s="409"/>
      <c r="D1316" s="415"/>
    </row>
    <row r="1317" spans="1:6" ht="20.100000000000001" customHeight="1" x14ac:dyDescent="0.25">
      <c r="A1317" s="409"/>
      <c r="D1317" s="415"/>
    </row>
    <row r="1318" spans="1:6" ht="20.100000000000001" customHeight="1" x14ac:dyDescent="0.25">
      <c r="A1318" s="862"/>
      <c r="B1318" s="862"/>
      <c r="C1318" s="862"/>
      <c r="D1318" s="862"/>
      <c r="E1318" s="862"/>
      <c r="F1318" s="862"/>
    </row>
    <row r="1319" spans="1:6" ht="20.100000000000001" customHeight="1" x14ac:dyDescent="0.25">
      <c r="A1319" s="409"/>
      <c r="D1319" s="415"/>
    </row>
    <row r="1320" spans="1:6" ht="20.100000000000001" customHeight="1" x14ac:dyDescent="0.25">
      <c r="A1320" s="409"/>
      <c r="D1320" s="415"/>
    </row>
    <row r="1321" spans="1:6" ht="20.100000000000001" customHeight="1" x14ac:dyDescent="0.25">
      <c r="A1321" s="862"/>
      <c r="B1321" s="862"/>
      <c r="C1321" s="862"/>
      <c r="D1321" s="862"/>
      <c r="E1321" s="862"/>
      <c r="F1321" s="862"/>
    </row>
    <row r="1322" spans="1:6" ht="20.100000000000001" customHeight="1" x14ac:dyDescent="0.25">
      <c r="A1322" s="409"/>
      <c r="D1322" s="415"/>
    </row>
    <row r="1323" spans="1:6" ht="20.100000000000001" customHeight="1" x14ac:dyDescent="0.25">
      <c r="A1323" s="409"/>
      <c r="D1323" s="415"/>
    </row>
    <row r="1324" spans="1:6" ht="20.100000000000001" customHeight="1" x14ac:dyDescent="0.25">
      <c r="A1324" s="862"/>
      <c r="B1324" s="862"/>
      <c r="C1324" s="862"/>
      <c r="D1324" s="862"/>
      <c r="E1324" s="862"/>
      <c r="F1324" s="862"/>
    </row>
    <row r="1325" spans="1:6" ht="20.100000000000001" customHeight="1" x14ac:dyDescent="0.25">
      <c r="D1325" s="415"/>
    </row>
    <row r="1326" spans="1:6" ht="20.100000000000001" customHeight="1" x14ac:dyDescent="0.25">
      <c r="A1326" s="409"/>
      <c r="D1326" s="415"/>
    </row>
    <row r="1327" spans="1:6" ht="20.100000000000001" customHeight="1" x14ac:dyDescent="0.25">
      <c r="A1327" s="409"/>
      <c r="D1327" s="415"/>
    </row>
    <row r="1328" spans="1:6" ht="20.100000000000001" customHeight="1" x14ac:dyDescent="0.25">
      <c r="A1328" s="862"/>
      <c r="B1328" s="862"/>
      <c r="C1328" s="862"/>
      <c r="D1328" s="862"/>
      <c r="E1328" s="862"/>
      <c r="F1328" s="862"/>
    </row>
    <row r="1331" spans="1:6" ht="20.100000000000001" customHeight="1" x14ac:dyDescent="0.25">
      <c r="A1331" s="862"/>
      <c r="B1331" s="862"/>
      <c r="C1331" s="862"/>
      <c r="D1331" s="862"/>
      <c r="E1331" s="862"/>
      <c r="F1331" s="862"/>
    </row>
    <row r="1332" spans="1:6" ht="20.100000000000001" customHeight="1" x14ac:dyDescent="0.25">
      <c r="A1332" s="409"/>
      <c r="D1332" s="415"/>
    </row>
    <row r="1333" spans="1:6" ht="20.100000000000001" customHeight="1" x14ac:dyDescent="0.25">
      <c r="A1333" s="409"/>
      <c r="D1333" s="415"/>
    </row>
    <row r="1334" spans="1:6" ht="20.100000000000001" customHeight="1" x14ac:dyDescent="0.25">
      <c r="A1334" s="862"/>
      <c r="B1334" s="862"/>
      <c r="C1334" s="862"/>
      <c r="D1334" s="862"/>
      <c r="E1334" s="862"/>
      <c r="F1334" s="862"/>
    </row>
    <row r="1336" spans="1:6" ht="20.100000000000001" customHeight="1" x14ac:dyDescent="0.25">
      <c r="A1336" s="409"/>
      <c r="D1336" s="415"/>
    </row>
    <row r="1337" spans="1:6" ht="20.100000000000001" customHeight="1" x14ac:dyDescent="0.25">
      <c r="A1337" s="409"/>
      <c r="D1337" s="415"/>
    </row>
    <row r="1338" spans="1:6" ht="20.100000000000001" customHeight="1" x14ac:dyDescent="0.25">
      <c r="A1338" s="862"/>
      <c r="B1338" s="862"/>
      <c r="C1338" s="862"/>
      <c r="D1338" s="862"/>
      <c r="E1338" s="862"/>
      <c r="F1338" s="862"/>
    </row>
    <row r="1339" spans="1:6" ht="20.100000000000001" customHeight="1" x14ac:dyDescent="0.25">
      <c r="A1339" s="409"/>
      <c r="D1339" s="415"/>
    </row>
    <row r="1340" spans="1:6" ht="20.100000000000001" customHeight="1" x14ac:dyDescent="0.25">
      <c r="A1340" s="409"/>
      <c r="D1340" s="415"/>
    </row>
    <row r="1341" spans="1:6" ht="20.100000000000001" customHeight="1" x14ac:dyDescent="0.25">
      <c r="A1341" s="862"/>
      <c r="B1341" s="862"/>
      <c r="C1341" s="862"/>
      <c r="D1341" s="862"/>
      <c r="E1341" s="862"/>
      <c r="F1341" s="862"/>
    </row>
    <row r="1342" spans="1:6" ht="20.100000000000001" customHeight="1" x14ac:dyDescent="0.25">
      <c r="A1342" s="409"/>
      <c r="D1342" s="415"/>
    </row>
    <row r="1343" spans="1:6" ht="20.100000000000001" customHeight="1" x14ac:dyDescent="0.25">
      <c r="A1343" s="409"/>
      <c r="D1343" s="415"/>
    </row>
    <row r="1344" spans="1:6" ht="20.100000000000001" customHeight="1" x14ac:dyDescent="0.25">
      <c r="A1344" s="862"/>
      <c r="B1344" s="862"/>
      <c r="C1344" s="862"/>
      <c r="D1344" s="862"/>
      <c r="E1344" s="862"/>
      <c r="F1344" s="862"/>
    </row>
    <row r="1345" spans="1:6" ht="20.100000000000001" customHeight="1" x14ac:dyDescent="0.25">
      <c r="A1345" s="409"/>
      <c r="D1345" s="415"/>
    </row>
    <row r="1346" spans="1:6" ht="20.100000000000001" customHeight="1" x14ac:dyDescent="0.25">
      <c r="A1346" s="409"/>
      <c r="D1346" s="415"/>
    </row>
    <row r="1347" spans="1:6" ht="20.100000000000001" customHeight="1" x14ac:dyDescent="0.25">
      <c r="A1347" s="862"/>
      <c r="B1347" s="862"/>
      <c r="C1347" s="862"/>
      <c r="D1347" s="862"/>
      <c r="E1347" s="862"/>
      <c r="F1347" s="862"/>
    </row>
    <row r="1348" spans="1:6" ht="20.100000000000001" customHeight="1" x14ac:dyDescent="0.25">
      <c r="A1348" s="409"/>
      <c r="D1348" s="415"/>
    </row>
    <row r="1349" spans="1:6" ht="20.100000000000001" customHeight="1" x14ac:dyDescent="0.25">
      <c r="A1349" s="409"/>
      <c r="D1349" s="415"/>
    </row>
    <row r="1350" spans="1:6" ht="20.100000000000001" customHeight="1" x14ac:dyDescent="0.25">
      <c r="A1350" s="862"/>
      <c r="B1350" s="862"/>
      <c r="C1350" s="862"/>
      <c r="D1350" s="862"/>
      <c r="E1350" s="862"/>
      <c r="F1350" s="862"/>
    </row>
    <row r="1351" spans="1:6" ht="20.100000000000001" customHeight="1" x14ac:dyDescent="0.25">
      <c r="A1351" s="409"/>
      <c r="D1351" s="415"/>
    </row>
    <row r="1352" spans="1:6" ht="20.100000000000001" customHeight="1" x14ac:dyDescent="0.25">
      <c r="A1352" s="409"/>
      <c r="D1352" s="415"/>
    </row>
    <row r="1353" spans="1:6" ht="20.100000000000001" customHeight="1" x14ac:dyDescent="0.25">
      <c r="A1353" s="862"/>
      <c r="B1353" s="862"/>
      <c r="C1353" s="862"/>
      <c r="D1353" s="862"/>
      <c r="E1353" s="862"/>
      <c r="F1353" s="862"/>
    </row>
    <row r="1354" spans="1:6" ht="20.100000000000001" customHeight="1" x14ac:dyDescent="0.25">
      <c r="A1354" s="409"/>
      <c r="D1354" s="415"/>
    </row>
    <row r="1355" spans="1:6" ht="20.100000000000001" customHeight="1" x14ac:dyDescent="0.25">
      <c r="A1355" s="409"/>
      <c r="D1355" s="415"/>
    </row>
    <row r="1356" spans="1:6" ht="20.100000000000001" customHeight="1" x14ac:dyDescent="0.25">
      <c r="A1356" s="862"/>
      <c r="B1356" s="862"/>
      <c r="C1356" s="862"/>
      <c r="D1356" s="862"/>
      <c r="E1356" s="862"/>
      <c r="F1356" s="862"/>
    </row>
    <row r="1357" spans="1:6" ht="20.100000000000001" customHeight="1" x14ac:dyDescent="0.25">
      <c r="A1357" s="409"/>
      <c r="D1357" s="415"/>
    </row>
    <row r="1358" spans="1:6" ht="20.100000000000001" customHeight="1" x14ac:dyDescent="0.25">
      <c r="A1358" s="409"/>
      <c r="D1358" s="415"/>
    </row>
    <row r="1359" spans="1:6" ht="20.100000000000001" customHeight="1" x14ac:dyDescent="0.25">
      <c r="A1359" s="862"/>
      <c r="B1359" s="862"/>
      <c r="C1359" s="862"/>
      <c r="D1359" s="862"/>
      <c r="E1359" s="862"/>
      <c r="F1359" s="862"/>
    </row>
    <row r="1362" spans="1:6" ht="20.100000000000001" customHeight="1" x14ac:dyDescent="0.25">
      <c r="A1362" s="409"/>
      <c r="D1362" s="415"/>
    </row>
    <row r="1363" spans="1:6" ht="20.100000000000001" customHeight="1" x14ac:dyDescent="0.25">
      <c r="A1363" s="409"/>
      <c r="D1363" s="415"/>
    </row>
    <row r="1364" spans="1:6" ht="20.100000000000001" customHeight="1" x14ac:dyDescent="0.25">
      <c r="A1364" s="862"/>
      <c r="B1364" s="862"/>
      <c r="C1364" s="862"/>
      <c r="D1364" s="862"/>
      <c r="E1364" s="862"/>
      <c r="F1364" s="862"/>
    </row>
    <row r="1365" spans="1:6" ht="20.100000000000001" customHeight="1" x14ac:dyDescent="0.25">
      <c r="A1365" s="409"/>
      <c r="D1365" s="415"/>
    </row>
    <row r="1370" spans="1:6" ht="20.100000000000001" customHeight="1" x14ac:dyDescent="0.25">
      <c r="A1370" s="409"/>
      <c r="D1370" s="415"/>
    </row>
    <row r="1371" spans="1:6" ht="20.100000000000001" customHeight="1" x14ac:dyDescent="0.25">
      <c r="A1371" s="409"/>
      <c r="D1371" s="415"/>
    </row>
    <row r="1372" spans="1:6" ht="20.100000000000001" customHeight="1" x14ac:dyDescent="0.25">
      <c r="A1372" s="862"/>
      <c r="B1372" s="862"/>
      <c r="C1372" s="862"/>
      <c r="D1372" s="862"/>
      <c r="E1372" s="862"/>
      <c r="F1372" s="862"/>
    </row>
    <row r="1373" spans="1:6" ht="20.100000000000001" customHeight="1" x14ac:dyDescent="0.25">
      <c r="A1373" s="409"/>
      <c r="D1373" s="415"/>
    </row>
    <row r="1374" spans="1:6" ht="20.100000000000001" customHeight="1" x14ac:dyDescent="0.25">
      <c r="A1374" s="409"/>
      <c r="D1374" s="415"/>
    </row>
    <row r="1375" spans="1:6" ht="20.100000000000001" customHeight="1" x14ac:dyDescent="0.25">
      <c r="A1375" s="862"/>
      <c r="B1375" s="862"/>
      <c r="C1375" s="862"/>
      <c r="D1375" s="862"/>
      <c r="E1375" s="862"/>
      <c r="F1375" s="862"/>
    </row>
    <row r="1376" spans="1:6" ht="20.100000000000001" customHeight="1" x14ac:dyDescent="0.25">
      <c r="A1376" s="409"/>
      <c r="D1376" s="415"/>
    </row>
    <row r="1377" spans="1:6" ht="20.100000000000001" customHeight="1" x14ac:dyDescent="0.25">
      <c r="A1377" s="409"/>
      <c r="D1377" s="415"/>
    </row>
    <row r="1378" spans="1:6" ht="20.100000000000001" customHeight="1" x14ac:dyDescent="0.25">
      <c r="A1378" s="862"/>
      <c r="B1378" s="862"/>
      <c r="C1378" s="862"/>
      <c r="D1378" s="862"/>
      <c r="E1378" s="862"/>
      <c r="F1378" s="862"/>
    </row>
    <row r="1379" spans="1:6" ht="20.100000000000001" customHeight="1" x14ac:dyDescent="0.25">
      <c r="A1379" s="409"/>
      <c r="D1379" s="415"/>
    </row>
    <row r="1380" spans="1:6" ht="20.100000000000001" customHeight="1" x14ac:dyDescent="0.25">
      <c r="A1380" s="409"/>
      <c r="D1380" s="415"/>
    </row>
    <row r="1381" spans="1:6" ht="20.100000000000001" customHeight="1" x14ac:dyDescent="0.25">
      <c r="A1381" s="862"/>
      <c r="B1381" s="862"/>
      <c r="C1381" s="862"/>
      <c r="D1381" s="862"/>
      <c r="E1381" s="862"/>
      <c r="F1381" s="862"/>
    </row>
    <row r="1382" spans="1:6" ht="20.100000000000001" customHeight="1" x14ac:dyDescent="0.25">
      <c r="A1382" s="409"/>
      <c r="D1382" s="415"/>
    </row>
    <row r="1383" spans="1:6" ht="20.100000000000001" customHeight="1" x14ac:dyDescent="0.25">
      <c r="A1383" s="409"/>
      <c r="D1383" s="415"/>
    </row>
    <row r="1384" spans="1:6" ht="20.100000000000001" customHeight="1" x14ac:dyDescent="0.25">
      <c r="A1384" s="862"/>
      <c r="B1384" s="862"/>
      <c r="C1384" s="862"/>
      <c r="D1384" s="862"/>
      <c r="E1384" s="862"/>
      <c r="F1384" s="862"/>
    </row>
    <row r="1385" spans="1:6" ht="20.100000000000001" customHeight="1" x14ac:dyDescent="0.25">
      <c r="A1385" s="409"/>
      <c r="D1385" s="415"/>
    </row>
    <row r="1386" spans="1:6" ht="20.100000000000001" customHeight="1" x14ac:dyDescent="0.25">
      <c r="A1386" s="409"/>
      <c r="D1386" s="415"/>
    </row>
    <row r="1387" spans="1:6" ht="20.100000000000001" customHeight="1" x14ac:dyDescent="0.25">
      <c r="A1387" s="862"/>
      <c r="B1387" s="862"/>
      <c r="C1387" s="862"/>
      <c r="D1387" s="862"/>
      <c r="E1387" s="862"/>
      <c r="F1387" s="862"/>
    </row>
    <row r="1388" spans="1:6" ht="20.100000000000001" customHeight="1" x14ac:dyDescent="0.25">
      <c r="A1388" s="409"/>
      <c r="D1388" s="415"/>
    </row>
    <row r="1389" spans="1:6" ht="20.100000000000001" customHeight="1" x14ac:dyDescent="0.25">
      <c r="A1389" s="409"/>
      <c r="D1389" s="415"/>
    </row>
    <row r="1390" spans="1:6" ht="20.100000000000001" customHeight="1" x14ac:dyDescent="0.25">
      <c r="A1390" s="862"/>
      <c r="B1390" s="862"/>
      <c r="C1390" s="862"/>
      <c r="D1390" s="862"/>
      <c r="E1390" s="862"/>
      <c r="F1390" s="862"/>
    </row>
    <row r="1391" spans="1:6" ht="20.100000000000001" customHeight="1" x14ac:dyDescent="0.25">
      <c r="A1391" s="409"/>
      <c r="D1391" s="415"/>
    </row>
    <row r="1392" spans="1:6" ht="20.100000000000001" customHeight="1" x14ac:dyDescent="0.25">
      <c r="A1392" s="409"/>
      <c r="D1392" s="415"/>
    </row>
    <row r="1393" spans="1:6" ht="20.100000000000001" customHeight="1" x14ac:dyDescent="0.25">
      <c r="A1393" s="862"/>
      <c r="B1393" s="862"/>
      <c r="C1393" s="862"/>
      <c r="D1393" s="862"/>
      <c r="E1393" s="862"/>
      <c r="F1393" s="862"/>
    </row>
    <row r="1394" spans="1:6" ht="20.100000000000001" customHeight="1" x14ac:dyDescent="0.25">
      <c r="A1394" s="409"/>
      <c r="D1394" s="415"/>
    </row>
    <row r="1395" spans="1:6" ht="20.100000000000001" customHeight="1" x14ac:dyDescent="0.25">
      <c r="A1395" s="409"/>
      <c r="D1395" s="415"/>
    </row>
    <row r="1396" spans="1:6" ht="20.100000000000001" customHeight="1" x14ac:dyDescent="0.25">
      <c r="A1396" s="862"/>
      <c r="B1396" s="862"/>
      <c r="C1396" s="862"/>
      <c r="D1396" s="862"/>
      <c r="E1396" s="862"/>
      <c r="F1396" s="862"/>
    </row>
    <row r="1397" spans="1:6" ht="20.100000000000001" customHeight="1" x14ac:dyDescent="0.25">
      <c r="A1397" s="409"/>
      <c r="D1397" s="415"/>
    </row>
    <row r="1398" spans="1:6" ht="20.100000000000001" customHeight="1" x14ac:dyDescent="0.25">
      <c r="A1398" s="409"/>
      <c r="D1398" s="415"/>
    </row>
    <row r="1399" spans="1:6" ht="20.100000000000001" customHeight="1" x14ac:dyDescent="0.25">
      <c r="A1399" s="862"/>
      <c r="B1399" s="862"/>
      <c r="C1399" s="862"/>
      <c r="D1399" s="862"/>
      <c r="E1399" s="862"/>
      <c r="F1399" s="862"/>
    </row>
    <row r="1408" spans="1:6" ht="20.100000000000001" customHeight="1" x14ac:dyDescent="0.25">
      <c r="A1408" s="409"/>
      <c r="D1408" s="415"/>
    </row>
    <row r="1409" spans="1:6" ht="20.100000000000001" customHeight="1" x14ac:dyDescent="0.25">
      <c r="A1409" s="862"/>
      <c r="B1409" s="862"/>
      <c r="C1409" s="862"/>
      <c r="D1409" s="862"/>
      <c r="E1409" s="862"/>
      <c r="F1409" s="862"/>
    </row>
    <row r="1410" spans="1:6" ht="20.100000000000001" customHeight="1" x14ac:dyDescent="0.25">
      <c r="A1410" s="409"/>
      <c r="D1410" s="415"/>
    </row>
    <row r="1411" spans="1:6" ht="20.100000000000001" customHeight="1" x14ac:dyDescent="0.25">
      <c r="A1411" s="409"/>
      <c r="D1411" s="415"/>
    </row>
    <row r="1412" spans="1:6" ht="20.100000000000001" customHeight="1" x14ac:dyDescent="0.25">
      <c r="A1412" s="862"/>
      <c r="B1412" s="862"/>
      <c r="C1412" s="862"/>
      <c r="D1412" s="862"/>
      <c r="E1412" s="862"/>
      <c r="F1412" s="862"/>
    </row>
    <row r="1413" spans="1:6" ht="20.100000000000001" customHeight="1" x14ac:dyDescent="0.25">
      <c r="A1413" s="409"/>
      <c r="D1413" s="415"/>
    </row>
    <row r="1414" spans="1:6" ht="20.100000000000001" customHeight="1" x14ac:dyDescent="0.25">
      <c r="A1414" s="409"/>
      <c r="D1414" s="415"/>
    </row>
    <row r="1415" spans="1:6" ht="20.100000000000001" customHeight="1" x14ac:dyDescent="0.25">
      <c r="A1415" s="862"/>
      <c r="B1415" s="862"/>
      <c r="C1415" s="862"/>
      <c r="D1415" s="862"/>
      <c r="E1415" s="862"/>
      <c r="F1415" s="862"/>
    </row>
    <row r="1416" spans="1:6" ht="20.100000000000001" customHeight="1" x14ac:dyDescent="0.25">
      <c r="A1416" s="409"/>
      <c r="D1416" s="415"/>
    </row>
    <row r="1417" spans="1:6" ht="20.100000000000001" customHeight="1" x14ac:dyDescent="0.25">
      <c r="A1417" s="409"/>
      <c r="D1417" s="415"/>
    </row>
    <row r="1418" spans="1:6" ht="20.100000000000001" customHeight="1" x14ac:dyDescent="0.25">
      <c r="A1418" s="862"/>
      <c r="B1418" s="862"/>
      <c r="C1418" s="862"/>
      <c r="D1418" s="862"/>
      <c r="E1418" s="862"/>
      <c r="F1418" s="862"/>
    </row>
    <row r="1419" spans="1:6" ht="20.100000000000001" customHeight="1" x14ac:dyDescent="0.25">
      <c r="A1419" s="409"/>
      <c r="D1419" s="415"/>
    </row>
    <row r="1420" spans="1:6" ht="20.100000000000001" customHeight="1" x14ac:dyDescent="0.25">
      <c r="A1420" s="409"/>
      <c r="D1420" s="415"/>
    </row>
    <row r="1421" spans="1:6" ht="20.100000000000001" customHeight="1" x14ac:dyDescent="0.25">
      <c r="A1421" s="862"/>
      <c r="B1421" s="862"/>
      <c r="C1421" s="862"/>
      <c r="D1421" s="862"/>
      <c r="E1421" s="862"/>
      <c r="F1421" s="862"/>
    </row>
    <row r="1422" spans="1:6" ht="20.100000000000001" customHeight="1" x14ac:dyDescent="0.25">
      <c r="A1422" s="409"/>
      <c r="D1422" s="415"/>
    </row>
    <row r="1423" spans="1:6" ht="20.100000000000001" customHeight="1" x14ac:dyDescent="0.25">
      <c r="A1423" s="409"/>
      <c r="D1423" s="415"/>
    </row>
    <row r="1424" spans="1:6" ht="20.100000000000001" customHeight="1" x14ac:dyDescent="0.25">
      <c r="A1424" s="862"/>
      <c r="B1424" s="862"/>
      <c r="C1424" s="862"/>
      <c r="D1424" s="862"/>
      <c r="E1424" s="862"/>
      <c r="F1424" s="862"/>
    </row>
    <row r="1425" spans="1:6" ht="20.100000000000001" customHeight="1" x14ac:dyDescent="0.25">
      <c r="A1425" s="409"/>
      <c r="D1425" s="415"/>
    </row>
    <row r="1426" spans="1:6" ht="20.100000000000001" customHeight="1" x14ac:dyDescent="0.25">
      <c r="A1426" s="409"/>
      <c r="D1426" s="415"/>
    </row>
    <row r="1427" spans="1:6" ht="20.100000000000001" customHeight="1" x14ac:dyDescent="0.25">
      <c r="A1427" s="409"/>
      <c r="D1427" s="415"/>
    </row>
    <row r="1428" spans="1:6" ht="20.100000000000001" customHeight="1" x14ac:dyDescent="0.25">
      <c r="A1428" s="409"/>
      <c r="D1428" s="415"/>
    </row>
    <row r="1429" spans="1:6" ht="20.100000000000001" customHeight="1" x14ac:dyDescent="0.25">
      <c r="A1429" s="862"/>
      <c r="B1429" s="862"/>
      <c r="C1429" s="862"/>
      <c r="D1429" s="862"/>
      <c r="E1429" s="862"/>
      <c r="F1429" s="862"/>
    </row>
    <row r="1430" spans="1:6" ht="20.100000000000001" customHeight="1" x14ac:dyDescent="0.25">
      <c r="A1430" s="409"/>
      <c r="D1430" s="415"/>
    </row>
    <row r="1431" spans="1:6" ht="20.100000000000001" customHeight="1" x14ac:dyDescent="0.25">
      <c r="A1431" s="409"/>
      <c r="D1431" s="415"/>
    </row>
    <row r="1432" spans="1:6" ht="20.100000000000001" customHeight="1" x14ac:dyDescent="0.25">
      <c r="A1432" s="862"/>
      <c r="B1432" s="862"/>
      <c r="C1432" s="862"/>
      <c r="D1432" s="862"/>
      <c r="E1432" s="862"/>
      <c r="F1432" s="862"/>
    </row>
    <row r="1433" spans="1:6" ht="20.100000000000001" customHeight="1" x14ac:dyDescent="0.25">
      <c r="A1433" s="409"/>
      <c r="D1433" s="415"/>
    </row>
    <row r="1434" spans="1:6" ht="20.100000000000001" customHeight="1" x14ac:dyDescent="0.25">
      <c r="A1434" s="409"/>
      <c r="D1434" s="415"/>
    </row>
    <row r="1435" spans="1:6" ht="20.100000000000001" customHeight="1" x14ac:dyDescent="0.25">
      <c r="A1435" s="862"/>
      <c r="B1435" s="862"/>
      <c r="C1435" s="862"/>
      <c r="D1435" s="862"/>
      <c r="E1435" s="862"/>
      <c r="F1435" s="862"/>
    </row>
    <row r="1436" spans="1:6" ht="20.100000000000001" customHeight="1" x14ac:dyDescent="0.25">
      <c r="A1436" s="409"/>
      <c r="D1436" s="415"/>
    </row>
    <row r="1437" spans="1:6" ht="20.100000000000001" customHeight="1" x14ac:dyDescent="0.25">
      <c r="A1437" s="409"/>
      <c r="D1437" s="415"/>
    </row>
    <row r="1438" spans="1:6" ht="20.100000000000001" customHeight="1" x14ac:dyDescent="0.25">
      <c r="A1438" s="862"/>
      <c r="B1438" s="862"/>
      <c r="C1438" s="862"/>
      <c r="D1438" s="862"/>
      <c r="E1438" s="862"/>
      <c r="F1438" s="862"/>
    </row>
    <row r="1439" spans="1:6" ht="20.100000000000001" customHeight="1" x14ac:dyDescent="0.25">
      <c r="A1439" s="409"/>
      <c r="D1439" s="415"/>
    </row>
    <row r="1440" spans="1:6" ht="20.100000000000001" customHeight="1" x14ac:dyDescent="0.25">
      <c r="A1440" s="409"/>
      <c r="D1440" s="415"/>
    </row>
    <row r="1441" spans="1:6" ht="20.100000000000001" customHeight="1" x14ac:dyDescent="0.25">
      <c r="A1441" s="862"/>
      <c r="B1441" s="862"/>
      <c r="C1441" s="862"/>
      <c r="D1441" s="862"/>
      <c r="E1441" s="862"/>
      <c r="F1441" s="862"/>
    </row>
    <row r="1442" spans="1:6" ht="20.100000000000001" customHeight="1" x14ac:dyDescent="0.25">
      <c r="A1442" s="409"/>
      <c r="D1442" s="415"/>
    </row>
    <row r="1443" spans="1:6" ht="20.100000000000001" customHeight="1" x14ac:dyDescent="0.25">
      <c r="A1443" s="409"/>
      <c r="D1443" s="415"/>
    </row>
    <row r="1444" spans="1:6" ht="20.100000000000001" customHeight="1" x14ac:dyDescent="0.25">
      <c r="A1444" s="862"/>
      <c r="B1444" s="862"/>
      <c r="C1444" s="862"/>
      <c r="D1444" s="862"/>
      <c r="E1444" s="862"/>
      <c r="F1444" s="862"/>
    </row>
    <row r="1445" spans="1:6" ht="20.100000000000001" customHeight="1" x14ac:dyDescent="0.25">
      <c r="A1445" s="409"/>
      <c r="D1445" s="415"/>
    </row>
    <row r="1446" spans="1:6" ht="20.100000000000001" customHeight="1" x14ac:dyDescent="0.25">
      <c r="A1446" s="409"/>
      <c r="D1446" s="415"/>
    </row>
    <row r="1447" spans="1:6" ht="20.100000000000001" customHeight="1" x14ac:dyDescent="0.25">
      <c r="A1447" s="862"/>
      <c r="B1447" s="862"/>
      <c r="C1447" s="862"/>
      <c r="D1447" s="862"/>
      <c r="E1447" s="862"/>
      <c r="F1447" s="862"/>
    </row>
    <row r="1452" spans="1:6" ht="20.100000000000001" customHeight="1" x14ac:dyDescent="0.25">
      <c r="A1452" s="409"/>
      <c r="D1452" s="415"/>
    </row>
    <row r="1453" spans="1:6" ht="20.100000000000001" customHeight="1" x14ac:dyDescent="0.25">
      <c r="A1453" s="409"/>
      <c r="D1453" s="415"/>
    </row>
    <row r="1454" spans="1:6" ht="20.100000000000001" customHeight="1" x14ac:dyDescent="0.25">
      <c r="A1454" s="862"/>
      <c r="B1454" s="862"/>
      <c r="C1454" s="862"/>
      <c r="D1454" s="862"/>
      <c r="E1454" s="862"/>
      <c r="F1454" s="862"/>
    </row>
    <row r="1455" spans="1:6" ht="20.100000000000001" customHeight="1" x14ac:dyDescent="0.25">
      <c r="A1455" s="409"/>
      <c r="D1455" s="415"/>
    </row>
    <row r="1456" spans="1:6" ht="20.100000000000001" customHeight="1" x14ac:dyDescent="0.25">
      <c r="A1456" s="409"/>
      <c r="D1456" s="415"/>
    </row>
    <row r="1457" spans="1:6" ht="20.100000000000001" customHeight="1" x14ac:dyDescent="0.25">
      <c r="A1457" s="862"/>
      <c r="B1457" s="862"/>
      <c r="C1457" s="862"/>
      <c r="D1457" s="862"/>
      <c r="E1457" s="862"/>
      <c r="F1457" s="862"/>
    </row>
    <row r="1458" spans="1:6" ht="20.100000000000001" customHeight="1" x14ac:dyDescent="0.25">
      <c r="A1458" s="409"/>
      <c r="D1458" s="415"/>
    </row>
    <row r="1459" spans="1:6" ht="20.100000000000001" customHeight="1" x14ac:dyDescent="0.25">
      <c r="A1459" s="409"/>
      <c r="D1459" s="415"/>
    </row>
    <row r="1460" spans="1:6" ht="20.100000000000001" customHeight="1" x14ac:dyDescent="0.25">
      <c r="A1460" s="862"/>
      <c r="B1460" s="862"/>
      <c r="C1460" s="862"/>
      <c r="D1460" s="862"/>
      <c r="E1460" s="862"/>
      <c r="F1460" s="862"/>
    </row>
    <row r="1461" spans="1:6" ht="20.100000000000001" customHeight="1" x14ac:dyDescent="0.25">
      <c r="A1461" s="409"/>
      <c r="D1461" s="415"/>
    </row>
    <row r="1462" spans="1:6" ht="20.100000000000001" customHeight="1" x14ac:dyDescent="0.25">
      <c r="A1462" s="409"/>
      <c r="D1462" s="415"/>
    </row>
    <row r="1463" spans="1:6" ht="20.100000000000001" customHeight="1" x14ac:dyDescent="0.25">
      <c r="A1463" s="862"/>
      <c r="B1463" s="862"/>
      <c r="C1463" s="862"/>
      <c r="D1463" s="862"/>
      <c r="E1463" s="862"/>
      <c r="F1463" s="862"/>
    </row>
    <row r="1464" spans="1:6" ht="20.100000000000001" customHeight="1" x14ac:dyDescent="0.25">
      <c r="A1464" s="409"/>
      <c r="D1464" s="415"/>
    </row>
    <row r="1465" spans="1:6" ht="20.100000000000001" customHeight="1" x14ac:dyDescent="0.25">
      <c r="A1465" s="409"/>
      <c r="D1465" s="415"/>
    </row>
    <row r="1466" spans="1:6" ht="20.100000000000001" customHeight="1" x14ac:dyDescent="0.25">
      <c r="A1466" s="862"/>
      <c r="B1466" s="862"/>
      <c r="C1466" s="862"/>
      <c r="D1466" s="862"/>
      <c r="E1466" s="862"/>
      <c r="F1466" s="862"/>
    </row>
    <row r="1467" spans="1:6" ht="20.100000000000001" customHeight="1" x14ac:dyDescent="0.25">
      <c r="A1467" s="409"/>
      <c r="D1467" s="415"/>
    </row>
    <row r="1468" spans="1:6" ht="20.100000000000001" customHeight="1" x14ac:dyDescent="0.25">
      <c r="A1468" s="409"/>
      <c r="D1468" s="415"/>
    </row>
    <row r="1469" spans="1:6" ht="20.100000000000001" customHeight="1" x14ac:dyDescent="0.25">
      <c r="A1469" s="862"/>
      <c r="B1469" s="862"/>
      <c r="C1469" s="862"/>
      <c r="D1469" s="862"/>
      <c r="E1469" s="862"/>
      <c r="F1469" s="862"/>
    </row>
    <row r="1470" spans="1:6" ht="20.100000000000001" customHeight="1" x14ac:dyDescent="0.25">
      <c r="A1470" s="409"/>
      <c r="D1470" s="415"/>
    </row>
    <row r="1471" spans="1:6" ht="20.100000000000001" customHeight="1" x14ac:dyDescent="0.25">
      <c r="A1471" s="409"/>
      <c r="D1471" s="415"/>
    </row>
    <row r="1472" spans="1:6" ht="20.100000000000001" customHeight="1" x14ac:dyDescent="0.25">
      <c r="A1472" s="862"/>
      <c r="B1472" s="862"/>
      <c r="C1472" s="862"/>
      <c r="D1472" s="862"/>
      <c r="E1472" s="862"/>
      <c r="F1472" s="862"/>
    </row>
    <row r="1473" spans="1:6" ht="20.100000000000001" customHeight="1" x14ac:dyDescent="0.25">
      <c r="A1473" s="409"/>
      <c r="D1473" s="415"/>
    </row>
    <row r="1474" spans="1:6" ht="20.100000000000001" customHeight="1" x14ac:dyDescent="0.25">
      <c r="A1474" s="409"/>
      <c r="D1474" s="415"/>
    </row>
    <row r="1475" spans="1:6" ht="20.100000000000001" customHeight="1" x14ac:dyDescent="0.25">
      <c r="A1475" s="862"/>
      <c r="B1475" s="862"/>
      <c r="C1475" s="862"/>
      <c r="D1475" s="862"/>
      <c r="E1475" s="862"/>
      <c r="F1475" s="862"/>
    </row>
    <row r="1476" spans="1:6" ht="20.100000000000001" customHeight="1" x14ac:dyDescent="0.25">
      <c r="A1476" s="409"/>
      <c r="D1476" s="415"/>
    </row>
    <row r="1477" spans="1:6" ht="20.100000000000001" customHeight="1" x14ac:dyDescent="0.25">
      <c r="A1477" s="409"/>
      <c r="D1477" s="415"/>
    </row>
    <row r="1478" spans="1:6" ht="20.100000000000001" customHeight="1" x14ac:dyDescent="0.25">
      <c r="A1478" s="862"/>
      <c r="B1478" s="862"/>
      <c r="C1478" s="862"/>
      <c r="D1478" s="862"/>
      <c r="E1478" s="862"/>
      <c r="F1478" s="862"/>
    </row>
    <row r="1479" spans="1:6" ht="20.100000000000001" customHeight="1" x14ac:dyDescent="0.25">
      <c r="A1479" s="409"/>
      <c r="D1479" s="415"/>
    </row>
    <row r="1480" spans="1:6" ht="20.100000000000001" customHeight="1" x14ac:dyDescent="0.25">
      <c r="A1480" s="409"/>
      <c r="D1480" s="415"/>
    </row>
    <row r="1481" spans="1:6" ht="20.100000000000001" customHeight="1" x14ac:dyDescent="0.25">
      <c r="A1481" s="862"/>
      <c r="B1481" s="862"/>
      <c r="C1481" s="862"/>
      <c r="D1481" s="862"/>
      <c r="E1481" s="862"/>
      <c r="F1481" s="862"/>
    </row>
    <row r="1486" spans="1:6" ht="20.100000000000001" customHeight="1" x14ac:dyDescent="0.25">
      <c r="A1486" s="409"/>
      <c r="D1486" s="415"/>
    </row>
    <row r="1487" spans="1:6" ht="20.100000000000001" customHeight="1" x14ac:dyDescent="0.25">
      <c r="A1487" s="409"/>
      <c r="D1487" s="415"/>
    </row>
    <row r="1488" spans="1:6" ht="20.100000000000001" customHeight="1" x14ac:dyDescent="0.25">
      <c r="A1488" s="862"/>
      <c r="B1488" s="862"/>
      <c r="C1488" s="862"/>
      <c r="D1488" s="862"/>
      <c r="E1488" s="862"/>
      <c r="F1488" s="862"/>
    </row>
    <row r="1489" spans="1:6" ht="20.100000000000001" customHeight="1" x14ac:dyDescent="0.25">
      <c r="A1489" s="409"/>
      <c r="D1489" s="415"/>
    </row>
    <row r="1490" spans="1:6" ht="20.100000000000001" customHeight="1" x14ac:dyDescent="0.25">
      <c r="A1490" s="409"/>
      <c r="D1490" s="415"/>
    </row>
    <row r="1491" spans="1:6" ht="20.100000000000001" customHeight="1" x14ac:dyDescent="0.25">
      <c r="A1491" s="862"/>
      <c r="B1491" s="862"/>
      <c r="C1491" s="862"/>
      <c r="D1491" s="862"/>
      <c r="E1491" s="862"/>
      <c r="F1491" s="862"/>
    </row>
    <row r="1492" spans="1:6" ht="20.100000000000001" customHeight="1" x14ac:dyDescent="0.25">
      <c r="A1492" s="409"/>
      <c r="D1492" s="415"/>
    </row>
    <row r="1493" spans="1:6" ht="20.100000000000001" customHeight="1" x14ac:dyDescent="0.25">
      <c r="A1493" s="409"/>
      <c r="D1493" s="415"/>
    </row>
    <row r="1494" spans="1:6" ht="20.100000000000001" customHeight="1" x14ac:dyDescent="0.25">
      <c r="A1494" s="862"/>
      <c r="B1494" s="862"/>
      <c r="C1494" s="862"/>
      <c r="D1494" s="862"/>
      <c r="E1494" s="862"/>
      <c r="F1494" s="862"/>
    </row>
    <row r="1495" spans="1:6" ht="20.100000000000001" customHeight="1" x14ac:dyDescent="0.25">
      <c r="A1495" s="409"/>
      <c r="D1495" s="415"/>
    </row>
    <row r="1496" spans="1:6" ht="20.100000000000001" customHeight="1" x14ac:dyDescent="0.25">
      <c r="A1496" s="409"/>
      <c r="D1496" s="415"/>
    </row>
    <row r="1497" spans="1:6" ht="20.100000000000001" customHeight="1" x14ac:dyDescent="0.25">
      <c r="A1497" s="862"/>
      <c r="B1497" s="862"/>
      <c r="C1497" s="862"/>
      <c r="D1497" s="862"/>
      <c r="E1497" s="862"/>
      <c r="F1497" s="862"/>
    </row>
    <row r="1498" spans="1:6" ht="20.100000000000001" customHeight="1" x14ac:dyDescent="0.25">
      <c r="A1498" s="409"/>
      <c r="D1498" s="415"/>
    </row>
    <row r="1499" spans="1:6" ht="20.100000000000001" customHeight="1" x14ac:dyDescent="0.25">
      <c r="A1499" s="409"/>
      <c r="D1499" s="415"/>
    </row>
    <row r="1500" spans="1:6" ht="20.100000000000001" customHeight="1" x14ac:dyDescent="0.25">
      <c r="A1500" s="862"/>
      <c r="B1500" s="862"/>
      <c r="C1500" s="862"/>
      <c r="D1500" s="862"/>
      <c r="E1500" s="862"/>
      <c r="F1500" s="862"/>
    </row>
    <row r="1501" spans="1:6" ht="20.100000000000001" customHeight="1" x14ac:dyDescent="0.25">
      <c r="A1501" s="409"/>
      <c r="D1501" s="415"/>
    </row>
    <row r="1502" spans="1:6" ht="20.100000000000001" customHeight="1" x14ac:dyDescent="0.25">
      <c r="A1502" s="409"/>
      <c r="D1502" s="415"/>
    </row>
    <row r="1503" spans="1:6" ht="20.100000000000001" customHeight="1" x14ac:dyDescent="0.25">
      <c r="A1503" s="862"/>
      <c r="B1503" s="862"/>
      <c r="C1503" s="862"/>
      <c r="D1503" s="862"/>
      <c r="E1503" s="862"/>
      <c r="F1503" s="862"/>
    </row>
    <row r="1504" spans="1:6" ht="20.100000000000001" customHeight="1" x14ac:dyDescent="0.25">
      <c r="A1504" s="409"/>
      <c r="D1504" s="415"/>
    </row>
    <row r="1505" spans="1:6" ht="20.100000000000001" customHeight="1" x14ac:dyDescent="0.25">
      <c r="A1505" s="409"/>
      <c r="D1505" s="415"/>
    </row>
    <row r="1506" spans="1:6" ht="20.100000000000001" customHeight="1" x14ac:dyDescent="0.25">
      <c r="A1506" s="862"/>
      <c r="B1506" s="862"/>
      <c r="C1506" s="862"/>
      <c r="D1506" s="862"/>
      <c r="E1506" s="862"/>
      <c r="F1506" s="862"/>
    </row>
    <row r="1507" spans="1:6" ht="20.100000000000001" customHeight="1" x14ac:dyDescent="0.25">
      <c r="A1507" s="409"/>
      <c r="D1507" s="415"/>
    </row>
    <row r="1508" spans="1:6" ht="20.100000000000001" customHeight="1" x14ac:dyDescent="0.25">
      <c r="A1508" s="409"/>
      <c r="D1508" s="415"/>
    </row>
    <row r="1509" spans="1:6" ht="20.100000000000001" customHeight="1" x14ac:dyDescent="0.25">
      <c r="A1509" s="862"/>
      <c r="B1509" s="862"/>
      <c r="C1509" s="862"/>
      <c r="D1509" s="862"/>
      <c r="E1509" s="862"/>
      <c r="F1509" s="862"/>
    </row>
    <row r="1510" spans="1:6" ht="20.100000000000001" customHeight="1" x14ac:dyDescent="0.25">
      <c r="A1510" s="409"/>
      <c r="D1510" s="415"/>
    </row>
    <row r="1511" spans="1:6" ht="20.100000000000001" customHeight="1" x14ac:dyDescent="0.25">
      <c r="A1511" s="409"/>
      <c r="D1511" s="415"/>
    </row>
    <row r="1512" spans="1:6" ht="20.100000000000001" customHeight="1" x14ac:dyDescent="0.25">
      <c r="A1512" s="862"/>
      <c r="B1512" s="862"/>
      <c r="C1512" s="862"/>
      <c r="D1512" s="862"/>
      <c r="E1512" s="862"/>
      <c r="F1512" s="862"/>
    </row>
    <row r="1513" spans="1:6" ht="20.100000000000001" customHeight="1" x14ac:dyDescent="0.25">
      <c r="A1513" s="409"/>
      <c r="D1513" s="415"/>
    </row>
    <row r="1514" spans="1:6" ht="20.100000000000001" customHeight="1" x14ac:dyDescent="0.25">
      <c r="A1514" s="409"/>
      <c r="D1514" s="415"/>
    </row>
    <row r="1515" spans="1:6" ht="20.100000000000001" customHeight="1" x14ac:dyDescent="0.25">
      <c r="A1515" s="862"/>
      <c r="B1515" s="862"/>
      <c r="C1515" s="862"/>
      <c r="D1515" s="862"/>
      <c r="E1515" s="862"/>
      <c r="F1515" s="862"/>
    </row>
    <row r="1522" spans="1:6" ht="20.100000000000001" customHeight="1" x14ac:dyDescent="0.25">
      <c r="A1522" s="862"/>
      <c r="B1522" s="862"/>
      <c r="C1522" s="862"/>
      <c r="D1522" s="862"/>
      <c r="E1522" s="862"/>
      <c r="F1522" s="862"/>
    </row>
    <row r="1523" spans="1:6" ht="20.100000000000001" customHeight="1" x14ac:dyDescent="0.25">
      <c r="A1523" s="409"/>
      <c r="D1523" s="415"/>
    </row>
    <row r="1524" spans="1:6" ht="20.100000000000001" customHeight="1" x14ac:dyDescent="0.25">
      <c r="A1524" s="409"/>
      <c r="D1524" s="415"/>
    </row>
    <row r="1525" spans="1:6" ht="20.100000000000001" customHeight="1" x14ac:dyDescent="0.25">
      <c r="A1525" s="862"/>
      <c r="B1525" s="862"/>
      <c r="C1525" s="862"/>
      <c r="D1525" s="862"/>
      <c r="E1525" s="862"/>
      <c r="F1525" s="862"/>
    </row>
    <row r="1526" spans="1:6" ht="20.100000000000001" customHeight="1" x14ac:dyDescent="0.25">
      <c r="A1526" s="409"/>
      <c r="D1526" s="415"/>
    </row>
    <row r="1527" spans="1:6" ht="20.100000000000001" customHeight="1" x14ac:dyDescent="0.25">
      <c r="A1527" s="409"/>
      <c r="D1527" s="415"/>
    </row>
    <row r="1528" spans="1:6" ht="20.100000000000001" customHeight="1" x14ac:dyDescent="0.25">
      <c r="A1528" s="862"/>
      <c r="B1528" s="862"/>
      <c r="C1528" s="862"/>
      <c r="D1528" s="862"/>
      <c r="E1528" s="862"/>
      <c r="F1528" s="862"/>
    </row>
    <row r="1530" spans="1:6" ht="20.100000000000001" customHeight="1" x14ac:dyDescent="0.25">
      <c r="A1530" s="409"/>
      <c r="D1530" s="415"/>
    </row>
    <row r="1531" spans="1:6" ht="20.100000000000001" customHeight="1" x14ac:dyDescent="0.25">
      <c r="A1531" s="409"/>
      <c r="D1531" s="415"/>
    </row>
    <row r="1532" spans="1:6" ht="20.100000000000001" customHeight="1" x14ac:dyDescent="0.25">
      <c r="A1532" s="862"/>
      <c r="B1532" s="862"/>
      <c r="C1532" s="862"/>
      <c r="D1532" s="862"/>
      <c r="E1532" s="862"/>
      <c r="F1532" s="862"/>
    </row>
    <row r="1533" spans="1:6" ht="20.100000000000001" customHeight="1" x14ac:dyDescent="0.25">
      <c r="A1533" s="409"/>
      <c r="D1533" s="415"/>
    </row>
    <row r="1534" spans="1:6" ht="20.100000000000001" customHeight="1" x14ac:dyDescent="0.25">
      <c r="A1534" s="409"/>
      <c r="D1534" s="415"/>
    </row>
    <row r="1535" spans="1:6" ht="20.100000000000001" customHeight="1" x14ac:dyDescent="0.25">
      <c r="A1535" s="862"/>
      <c r="B1535" s="862"/>
      <c r="C1535" s="862"/>
      <c r="D1535" s="862"/>
      <c r="E1535" s="862"/>
      <c r="F1535" s="862"/>
    </row>
    <row r="1536" spans="1:6" ht="20.100000000000001" customHeight="1" x14ac:dyDescent="0.25">
      <c r="A1536" s="409"/>
      <c r="D1536" s="415"/>
    </row>
    <row r="1537" spans="1:6" ht="20.100000000000001" customHeight="1" x14ac:dyDescent="0.25">
      <c r="A1537" s="409"/>
      <c r="D1537" s="415"/>
    </row>
    <row r="1538" spans="1:6" ht="20.100000000000001" customHeight="1" x14ac:dyDescent="0.25">
      <c r="A1538" s="862"/>
      <c r="B1538" s="862"/>
      <c r="C1538" s="862"/>
      <c r="D1538" s="862"/>
      <c r="E1538" s="862"/>
      <c r="F1538" s="862"/>
    </row>
    <row r="1539" spans="1:6" ht="20.100000000000001" customHeight="1" x14ac:dyDescent="0.25">
      <c r="A1539" s="409"/>
      <c r="D1539" s="415"/>
    </row>
    <row r="1540" spans="1:6" ht="20.100000000000001" customHeight="1" x14ac:dyDescent="0.25">
      <c r="A1540" s="409"/>
      <c r="D1540" s="415"/>
    </row>
    <row r="1541" spans="1:6" ht="20.100000000000001" customHeight="1" x14ac:dyDescent="0.25">
      <c r="A1541" s="862"/>
      <c r="B1541" s="862"/>
      <c r="C1541" s="862"/>
      <c r="D1541" s="862"/>
      <c r="E1541" s="862"/>
      <c r="F1541" s="862"/>
    </row>
    <row r="1542" spans="1:6" ht="20.100000000000001" customHeight="1" x14ac:dyDescent="0.25">
      <c r="A1542" s="409"/>
      <c r="D1542" s="415"/>
    </row>
    <row r="1543" spans="1:6" ht="20.100000000000001" customHeight="1" x14ac:dyDescent="0.25">
      <c r="A1543" s="409"/>
      <c r="D1543" s="415"/>
    </row>
    <row r="1544" spans="1:6" ht="20.100000000000001" customHeight="1" x14ac:dyDescent="0.25">
      <c r="A1544" s="862"/>
      <c r="B1544" s="862"/>
      <c r="C1544" s="862"/>
      <c r="D1544" s="862"/>
      <c r="E1544" s="862"/>
      <c r="F1544" s="862"/>
    </row>
    <row r="1545" spans="1:6" ht="20.100000000000001" customHeight="1" x14ac:dyDescent="0.25">
      <c r="A1545" s="409"/>
      <c r="D1545" s="415"/>
    </row>
    <row r="1546" spans="1:6" ht="20.100000000000001" customHeight="1" x14ac:dyDescent="0.25">
      <c r="A1546" s="409"/>
      <c r="D1546" s="415"/>
    </row>
    <row r="1547" spans="1:6" ht="20.100000000000001" customHeight="1" x14ac:dyDescent="0.25">
      <c r="A1547" s="862"/>
      <c r="B1547" s="862"/>
      <c r="C1547" s="862"/>
      <c r="D1547" s="862"/>
      <c r="E1547" s="862"/>
      <c r="F1547" s="862"/>
    </row>
    <row r="1567" spans="1:4" ht="20.100000000000001" customHeight="1" x14ac:dyDescent="0.25">
      <c r="A1567" s="409"/>
      <c r="D1567" s="415"/>
    </row>
    <row r="1568" spans="1:4" ht="20.100000000000001" customHeight="1" x14ac:dyDescent="0.25">
      <c r="A1568" s="409"/>
      <c r="D1568" s="415"/>
    </row>
    <row r="1569" spans="1:6" ht="20.100000000000001" customHeight="1" x14ac:dyDescent="0.25">
      <c r="A1569" s="862"/>
      <c r="B1569" s="862"/>
      <c r="C1569" s="862"/>
      <c r="D1569" s="862"/>
      <c r="E1569" s="862"/>
      <c r="F1569" s="862"/>
    </row>
    <row r="1570" spans="1:6" ht="20.100000000000001" customHeight="1" x14ac:dyDescent="0.25">
      <c r="A1570" s="409"/>
      <c r="D1570" s="415"/>
    </row>
    <row r="1571" spans="1:6" ht="20.100000000000001" customHeight="1" x14ac:dyDescent="0.25">
      <c r="A1571" s="409"/>
      <c r="D1571" s="415"/>
    </row>
    <row r="1572" spans="1:6" ht="20.100000000000001" customHeight="1" x14ac:dyDescent="0.25">
      <c r="A1572" s="862"/>
      <c r="B1572" s="862"/>
      <c r="C1572" s="862"/>
      <c r="D1572" s="862"/>
      <c r="E1572" s="862"/>
      <c r="F1572" s="862"/>
    </row>
    <row r="1573" spans="1:6" ht="20.100000000000001" customHeight="1" x14ac:dyDescent="0.25">
      <c r="A1573" s="409"/>
      <c r="D1573" s="415"/>
    </row>
    <row r="1574" spans="1:6" ht="20.100000000000001" customHeight="1" x14ac:dyDescent="0.25">
      <c r="A1574" s="409"/>
      <c r="D1574" s="415"/>
    </row>
    <row r="1575" spans="1:6" ht="20.100000000000001" customHeight="1" x14ac:dyDescent="0.25">
      <c r="A1575" s="862"/>
      <c r="B1575" s="862"/>
      <c r="C1575" s="862"/>
      <c r="D1575" s="862"/>
      <c r="E1575" s="862"/>
      <c r="F1575" s="862"/>
    </row>
    <row r="1576" spans="1:6" ht="20.100000000000001" customHeight="1" x14ac:dyDescent="0.25">
      <c r="A1576" s="409"/>
      <c r="D1576" s="415"/>
    </row>
    <row r="1577" spans="1:6" ht="20.100000000000001" customHeight="1" x14ac:dyDescent="0.25">
      <c r="A1577" s="409"/>
      <c r="D1577" s="415"/>
    </row>
    <row r="1578" spans="1:6" ht="20.100000000000001" customHeight="1" x14ac:dyDescent="0.25">
      <c r="A1578" s="862"/>
      <c r="B1578" s="862"/>
      <c r="C1578" s="862"/>
      <c r="D1578" s="862"/>
      <c r="E1578" s="862"/>
      <c r="F1578" s="862"/>
    </row>
    <row r="1579" spans="1:6" ht="20.100000000000001" customHeight="1" x14ac:dyDescent="0.25">
      <c r="A1579" s="409"/>
      <c r="D1579" s="415"/>
    </row>
    <row r="1580" spans="1:6" ht="20.100000000000001" customHeight="1" x14ac:dyDescent="0.25">
      <c r="A1580" s="409"/>
      <c r="D1580" s="415"/>
    </row>
    <row r="1581" spans="1:6" ht="20.100000000000001" customHeight="1" x14ac:dyDescent="0.25">
      <c r="A1581" s="862"/>
      <c r="B1581" s="862"/>
      <c r="C1581" s="862"/>
      <c r="D1581" s="862"/>
      <c r="E1581" s="862"/>
      <c r="F1581" s="862"/>
    </row>
    <row r="1582" spans="1:6" ht="20.100000000000001" customHeight="1" x14ac:dyDescent="0.25">
      <c r="A1582" s="409"/>
      <c r="D1582" s="415"/>
    </row>
    <row r="1583" spans="1:6" ht="20.100000000000001" customHeight="1" x14ac:dyDescent="0.25">
      <c r="A1583" s="409"/>
      <c r="D1583" s="415"/>
    </row>
    <row r="1584" spans="1:6" ht="20.100000000000001" customHeight="1" x14ac:dyDescent="0.25">
      <c r="A1584" s="862"/>
      <c r="B1584" s="862"/>
      <c r="C1584" s="862"/>
      <c r="D1584" s="862"/>
      <c r="E1584" s="862"/>
      <c r="F1584" s="862"/>
    </row>
    <row r="1585" spans="1:6" ht="20.100000000000001" customHeight="1" x14ac:dyDescent="0.25">
      <c r="A1585" s="409"/>
      <c r="D1585" s="415"/>
    </row>
    <row r="1586" spans="1:6" ht="20.100000000000001" customHeight="1" x14ac:dyDescent="0.25">
      <c r="A1586" s="409"/>
      <c r="D1586" s="415"/>
    </row>
    <row r="1587" spans="1:6" ht="20.100000000000001" customHeight="1" x14ac:dyDescent="0.25">
      <c r="A1587" s="862"/>
      <c r="B1587" s="862"/>
      <c r="C1587" s="862"/>
      <c r="D1587" s="862"/>
      <c r="E1587" s="862"/>
      <c r="F1587" s="862"/>
    </row>
    <row r="1588" spans="1:6" ht="20.100000000000001" customHeight="1" x14ac:dyDescent="0.25">
      <c r="A1588" s="409"/>
      <c r="D1588" s="415"/>
    </row>
    <row r="1589" spans="1:6" ht="20.100000000000001" customHeight="1" x14ac:dyDescent="0.25">
      <c r="A1589" s="409"/>
      <c r="D1589" s="415"/>
    </row>
    <row r="1590" spans="1:6" ht="20.100000000000001" customHeight="1" x14ac:dyDescent="0.25">
      <c r="A1590" s="862"/>
      <c r="B1590" s="862"/>
      <c r="C1590" s="862"/>
      <c r="D1590" s="862"/>
      <c r="E1590" s="862"/>
      <c r="F1590" s="862"/>
    </row>
    <row r="1591" spans="1:6" ht="20.100000000000001" customHeight="1" x14ac:dyDescent="0.25">
      <c r="A1591" s="409"/>
      <c r="D1591" s="415"/>
    </row>
    <row r="1592" spans="1:6" ht="20.100000000000001" customHeight="1" x14ac:dyDescent="0.25">
      <c r="A1592" s="409"/>
      <c r="D1592" s="415"/>
    </row>
    <row r="1593" spans="1:6" ht="20.100000000000001" customHeight="1" x14ac:dyDescent="0.25">
      <c r="A1593" s="862"/>
      <c r="B1593" s="862"/>
      <c r="C1593" s="862"/>
      <c r="D1593" s="862"/>
      <c r="E1593" s="862"/>
      <c r="F1593" s="862"/>
    </row>
    <row r="1594" spans="1:6" ht="20.100000000000001" customHeight="1" x14ac:dyDescent="0.25">
      <c r="A1594" s="409"/>
      <c r="D1594" s="415"/>
    </row>
    <row r="1595" spans="1:6" ht="20.100000000000001" customHeight="1" x14ac:dyDescent="0.25">
      <c r="A1595" s="409"/>
      <c r="D1595" s="415"/>
    </row>
    <row r="1596" spans="1:6" ht="20.100000000000001" customHeight="1" x14ac:dyDescent="0.25">
      <c r="A1596" s="862"/>
      <c r="B1596" s="862"/>
      <c r="C1596" s="862"/>
      <c r="D1596" s="862"/>
      <c r="E1596" s="862"/>
      <c r="F1596" s="862"/>
    </row>
    <row r="1597" spans="1:6" ht="20.100000000000001" customHeight="1" x14ac:dyDescent="0.25">
      <c r="A1597" s="409"/>
      <c r="D1597" s="415"/>
    </row>
    <row r="1598" spans="1:6" ht="20.100000000000001" customHeight="1" x14ac:dyDescent="0.25">
      <c r="A1598" s="409"/>
      <c r="D1598" s="415"/>
    </row>
    <row r="1599" spans="1:6" ht="20.100000000000001" customHeight="1" x14ac:dyDescent="0.25">
      <c r="A1599" s="862"/>
      <c r="B1599" s="862"/>
      <c r="C1599" s="862"/>
      <c r="D1599" s="862"/>
      <c r="E1599" s="862"/>
      <c r="F1599" s="862"/>
    </row>
    <row r="1600" spans="1:6" ht="20.100000000000001" customHeight="1" x14ac:dyDescent="0.25">
      <c r="A1600" s="409"/>
      <c r="D1600" s="415"/>
    </row>
    <row r="1601" spans="1:6" ht="20.100000000000001" customHeight="1" x14ac:dyDescent="0.25">
      <c r="A1601" s="409"/>
      <c r="D1601" s="415"/>
    </row>
    <row r="1602" spans="1:6" ht="20.100000000000001" customHeight="1" x14ac:dyDescent="0.25">
      <c r="A1602" s="862"/>
      <c r="B1602" s="862"/>
      <c r="C1602" s="862"/>
      <c r="D1602" s="862"/>
      <c r="E1602" s="862"/>
      <c r="F1602" s="862"/>
    </row>
    <row r="1603" spans="1:6" ht="20.100000000000001" customHeight="1" x14ac:dyDescent="0.25">
      <c r="A1603" s="409"/>
      <c r="D1603" s="415"/>
    </row>
    <row r="1604" spans="1:6" ht="20.100000000000001" customHeight="1" x14ac:dyDescent="0.25">
      <c r="A1604" s="409"/>
      <c r="D1604" s="415"/>
    </row>
    <row r="1605" spans="1:6" ht="20.100000000000001" customHeight="1" x14ac:dyDescent="0.25">
      <c r="A1605" s="862"/>
      <c r="B1605" s="862"/>
      <c r="C1605" s="862"/>
      <c r="D1605" s="862"/>
      <c r="E1605" s="862"/>
      <c r="F1605" s="862"/>
    </row>
    <row r="1606" spans="1:6" ht="20.100000000000001" customHeight="1" x14ac:dyDescent="0.25">
      <c r="A1606" s="409"/>
      <c r="D1606" s="415"/>
    </row>
    <row r="1607" spans="1:6" ht="20.100000000000001" customHeight="1" x14ac:dyDescent="0.25">
      <c r="A1607" s="409"/>
      <c r="D1607" s="415"/>
    </row>
    <row r="1608" spans="1:6" ht="20.100000000000001" customHeight="1" x14ac:dyDescent="0.25">
      <c r="A1608" s="862"/>
      <c r="B1608" s="862"/>
      <c r="C1608" s="862"/>
      <c r="D1608" s="862"/>
      <c r="E1608" s="862"/>
      <c r="F1608" s="862"/>
    </row>
    <row r="1610" spans="1:6" ht="20.100000000000001" customHeight="1" x14ac:dyDescent="0.25">
      <c r="A1610" s="409"/>
      <c r="D1610" s="415"/>
    </row>
  </sheetData>
  <sortState xmlns:xlrd2="http://schemas.microsoft.com/office/spreadsheetml/2017/richdata2" ref="B410:E454">
    <sortCondition descending="1" ref="C410:C454"/>
  </sortState>
  <mergeCells count="157">
    <mergeCell ref="A945:F945"/>
    <mergeCell ref="A948:F948"/>
    <mergeCell ref="A951:F951"/>
    <mergeCell ref="A954:F954"/>
    <mergeCell ref="A957:F957"/>
    <mergeCell ref="A978:F978"/>
    <mergeCell ref="B2:E2"/>
    <mergeCell ref="B3:E3"/>
    <mergeCell ref="B37:C37"/>
    <mergeCell ref="A933:F933"/>
    <mergeCell ref="A939:F939"/>
    <mergeCell ref="A942:F942"/>
    <mergeCell ref="A1004:F1004"/>
    <mergeCell ref="A1007:F1007"/>
    <mergeCell ref="A1010:F1010"/>
    <mergeCell ref="A1013:F1013"/>
    <mergeCell ref="A1059:F1059"/>
    <mergeCell ref="A1062:F1062"/>
    <mergeCell ref="A981:F981"/>
    <mergeCell ref="A984:F984"/>
    <mergeCell ref="A987:F987"/>
    <mergeCell ref="A990:F990"/>
    <mergeCell ref="A993:F993"/>
    <mergeCell ref="A1001:F1001"/>
    <mergeCell ref="A1096:F1096"/>
    <mergeCell ref="A1099:F1099"/>
    <mergeCell ref="A1102:F1102"/>
    <mergeCell ref="A1105:F1105"/>
    <mergeCell ref="A1121:F1121"/>
    <mergeCell ref="A1140:F1140"/>
    <mergeCell ref="A1065:F1065"/>
    <mergeCell ref="A1068:F1068"/>
    <mergeCell ref="A1083:F1083"/>
    <mergeCell ref="A1086:F1086"/>
    <mergeCell ref="A1090:F1090"/>
    <mergeCell ref="A1093:F1093"/>
    <mergeCell ref="A1203:F1203"/>
    <mergeCell ref="A1206:F1206"/>
    <mergeCell ref="A1209:F1209"/>
    <mergeCell ref="A1212:F1212"/>
    <mergeCell ref="A1223:F1223"/>
    <mergeCell ref="A1226:F1226"/>
    <mergeCell ref="A1143:F1143"/>
    <mergeCell ref="A1155:F1155"/>
    <mergeCell ref="A1159:F1159"/>
    <mergeCell ref="A1177:F1177"/>
    <mergeCell ref="A1180:F1180"/>
    <mergeCell ref="A1183:F1183"/>
    <mergeCell ref="A1248:F1248"/>
    <mergeCell ref="A1251:F1251"/>
    <mergeCell ref="A1254:F1254"/>
    <mergeCell ref="A1257:F1257"/>
    <mergeCell ref="A1260:F1260"/>
    <mergeCell ref="A1263:F1263"/>
    <mergeCell ref="A1229:F1229"/>
    <mergeCell ref="A1232:F1232"/>
    <mergeCell ref="A1235:F1235"/>
    <mergeCell ref="A1238:F1238"/>
    <mergeCell ref="A1241:F1241"/>
    <mergeCell ref="A1244:F1244"/>
    <mergeCell ref="A1286:F1286"/>
    <mergeCell ref="A1291:F1291"/>
    <mergeCell ref="A1294:F1294"/>
    <mergeCell ref="A1297:F1297"/>
    <mergeCell ref="A1300:F1300"/>
    <mergeCell ref="A1303:F1303"/>
    <mergeCell ref="A1266:F1266"/>
    <mergeCell ref="A1269:F1269"/>
    <mergeCell ref="A1273:F1273"/>
    <mergeCell ref="A1276:F1276"/>
    <mergeCell ref="A1280:F1280"/>
    <mergeCell ref="A1283:F1283"/>
    <mergeCell ref="A1324:F1324"/>
    <mergeCell ref="A1328:F1328"/>
    <mergeCell ref="A1331:F1331"/>
    <mergeCell ref="A1334:F1334"/>
    <mergeCell ref="A1338:F1338"/>
    <mergeCell ref="A1341:F1341"/>
    <mergeCell ref="A1306:F1306"/>
    <mergeCell ref="A1309:F1309"/>
    <mergeCell ref="A1312:F1312"/>
    <mergeCell ref="A1315:F1315"/>
    <mergeCell ref="A1318:F1318"/>
    <mergeCell ref="A1321:F1321"/>
    <mergeCell ref="A1364:F1364"/>
    <mergeCell ref="A1372:F1372"/>
    <mergeCell ref="A1375:F1375"/>
    <mergeCell ref="A1378:F1378"/>
    <mergeCell ref="A1381:F1381"/>
    <mergeCell ref="A1384:F1384"/>
    <mergeCell ref="A1344:F1344"/>
    <mergeCell ref="A1347:F1347"/>
    <mergeCell ref="A1350:F1350"/>
    <mergeCell ref="A1353:F1353"/>
    <mergeCell ref="A1356:F1356"/>
    <mergeCell ref="A1359:F1359"/>
    <mergeCell ref="A1412:F1412"/>
    <mergeCell ref="A1415:F1415"/>
    <mergeCell ref="A1418:F1418"/>
    <mergeCell ref="A1421:F1421"/>
    <mergeCell ref="A1424:F1424"/>
    <mergeCell ref="A1429:F1429"/>
    <mergeCell ref="A1387:F1387"/>
    <mergeCell ref="A1390:F1390"/>
    <mergeCell ref="A1393:F1393"/>
    <mergeCell ref="A1396:F1396"/>
    <mergeCell ref="A1399:F1399"/>
    <mergeCell ref="A1409:F1409"/>
    <mergeCell ref="A1454:F1454"/>
    <mergeCell ref="A1457:F1457"/>
    <mergeCell ref="A1460:F1460"/>
    <mergeCell ref="A1463:F1463"/>
    <mergeCell ref="A1466:F1466"/>
    <mergeCell ref="A1469:F1469"/>
    <mergeCell ref="A1432:F1432"/>
    <mergeCell ref="A1435:F1435"/>
    <mergeCell ref="A1438:F1438"/>
    <mergeCell ref="A1441:F1441"/>
    <mergeCell ref="A1444:F1444"/>
    <mergeCell ref="A1447:F1447"/>
    <mergeCell ref="A1494:F1494"/>
    <mergeCell ref="A1497:F1497"/>
    <mergeCell ref="A1500:F1500"/>
    <mergeCell ref="A1503:F1503"/>
    <mergeCell ref="A1506:F1506"/>
    <mergeCell ref="A1509:F1509"/>
    <mergeCell ref="A1472:F1472"/>
    <mergeCell ref="A1475:F1475"/>
    <mergeCell ref="A1478:F1478"/>
    <mergeCell ref="A1481:F1481"/>
    <mergeCell ref="A1488:F1488"/>
    <mergeCell ref="A1491:F1491"/>
    <mergeCell ref="A1535:F1535"/>
    <mergeCell ref="A1538:F1538"/>
    <mergeCell ref="A1541:F1541"/>
    <mergeCell ref="A1544:F1544"/>
    <mergeCell ref="A1547:F1547"/>
    <mergeCell ref="A1569:F1569"/>
    <mergeCell ref="A1512:F1512"/>
    <mergeCell ref="A1515:F1515"/>
    <mergeCell ref="A1522:F1522"/>
    <mergeCell ref="A1525:F1525"/>
    <mergeCell ref="A1528:F1528"/>
    <mergeCell ref="A1532:F1532"/>
    <mergeCell ref="A1608:F1608"/>
    <mergeCell ref="A1590:F1590"/>
    <mergeCell ref="A1593:F1593"/>
    <mergeCell ref="A1596:F1596"/>
    <mergeCell ref="A1599:F1599"/>
    <mergeCell ref="A1602:F1602"/>
    <mergeCell ref="A1605:F1605"/>
    <mergeCell ref="A1572:F1572"/>
    <mergeCell ref="A1575:F1575"/>
    <mergeCell ref="A1578:F1578"/>
    <mergeCell ref="A1581:F1581"/>
    <mergeCell ref="A1584:F1584"/>
    <mergeCell ref="A1587:F1587"/>
  </mergeCells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rgb="FF00B050"/>
  </sheetPr>
  <dimension ref="A1:Q3912"/>
  <sheetViews>
    <sheetView workbookViewId="0">
      <selection activeCell="J27" sqref="J27"/>
    </sheetView>
  </sheetViews>
  <sheetFormatPr baseColWidth="10" defaultRowHeight="15" x14ac:dyDescent="0.25"/>
  <cols>
    <col min="9" max="9" width="19.5703125" bestFit="1" customWidth="1"/>
    <col min="10" max="10" width="23.42578125" bestFit="1" customWidth="1"/>
    <col min="11" max="11" width="21.5703125" bestFit="1" customWidth="1"/>
    <col min="14" max="14" width="16" customWidth="1"/>
    <col min="15" max="15" width="17.42578125" customWidth="1"/>
    <col min="16" max="16" width="18.85546875" customWidth="1"/>
    <col min="17" max="17" width="23.140625" customWidth="1"/>
  </cols>
  <sheetData>
    <row r="1" spans="1:17" x14ac:dyDescent="0.25">
      <c r="H1">
        <v>16676871.040302994</v>
      </c>
    </row>
    <row r="4" spans="1:17" x14ac:dyDescent="0.25">
      <c r="A4" s="350" t="s">
        <v>524</v>
      </c>
      <c r="B4" s="350" t="s">
        <v>525</v>
      </c>
      <c r="C4" s="350" t="s">
        <v>526</v>
      </c>
      <c r="D4" s="350" t="s">
        <v>527</v>
      </c>
      <c r="E4" s="350" t="s">
        <v>528</v>
      </c>
      <c r="F4" s="350" t="s">
        <v>7723</v>
      </c>
      <c r="G4" s="350" t="s">
        <v>7406</v>
      </c>
      <c r="H4" s="350" t="s">
        <v>7407</v>
      </c>
      <c r="I4" s="350" t="s">
        <v>7579</v>
      </c>
    </row>
    <row r="5" spans="1:17" x14ac:dyDescent="0.25">
      <c r="A5" t="s">
        <v>747</v>
      </c>
      <c r="B5" t="s">
        <v>781</v>
      </c>
      <c r="C5" t="s">
        <v>782</v>
      </c>
      <c r="D5" t="s">
        <v>783</v>
      </c>
      <c r="E5" t="s">
        <v>535</v>
      </c>
      <c r="F5">
        <v>59648</v>
      </c>
      <c r="G5">
        <v>2.1149325455062171</v>
      </c>
      <c r="H5">
        <v>126151.49647435483</v>
      </c>
      <c r="I5" t="s">
        <v>541</v>
      </c>
    </row>
    <row r="6" spans="1:17" x14ac:dyDescent="0.25">
      <c r="A6" t="s">
        <v>747</v>
      </c>
      <c r="B6" t="s">
        <v>781</v>
      </c>
      <c r="C6" t="s">
        <v>784</v>
      </c>
      <c r="D6" t="s">
        <v>785</v>
      </c>
      <c r="E6" t="s">
        <v>535</v>
      </c>
      <c r="F6">
        <v>76917</v>
      </c>
      <c r="G6">
        <v>3.1520689414100098</v>
      </c>
      <c r="H6">
        <v>242447.68676643373</v>
      </c>
      <c r="I6" t="s">
        <v>541</v>
      </c>
      <c r="K6" s="1"/>
      <c r="Q6" s="1"/>
    </row>
    <row r="7" spans="1:17" x14ac:dyDescent="0.25">
      <c r="A7" t="s">
        <v>747</v>
      </c>
      <c r="B7" t="s">
        <v>781</v>
      </c>
      <c r="C7" t="s">
        <v>790</v>
      </c>
      <c r="D7" t="s">
        <v>791</v>
      </c>
      <c r="E7" t="s">
        <v>535</v>
      </c>
      <c r="F7">
        <v>10000</v>
      </c>
      <c r="G7">
        <v>2.5328512036206181</v>
      </c>
      <c r="H7">
        <v>25328.512036206183</v>
      </c>
      <c r="I7" t="s">
        <v>541</v>
      </c>
      <c r="J7" s="350" t="s">
        <v>7563</v>
      </c>
      <c r="K7" s="351" t="s">
        <v>7564</v>
      </c>
      <c r="O7" s="1"/>
      <c r="Q7" s="1"/>
    </row>
    <row r="8" spans="1:17" x14ac:dyDescent="0.25">
      <c r="A8" t="s">
        <v>747</v>
      </c>
      <c r="B8" t="s">
        <v>781</v>
      </c>
      <c r="C8" t="s">
        <v>753</v>
      </c>
      <c r="D8" t="s">
        <v>754</v>
      </c>
      <c r="E8" t="s">
        <v>535</v>
      </c>
      <c r="F8">
        <v>1075</v>
      </c>
      <c r="G8">
        <v>1.5906129247941225</v>
      </c>
      <c r="H8">
        <v>1709.9088941536818</v>
      </c>
      <c r="I8" t="s">
        <v>541</v>
      </c>
      <c r="J8" s="225" t="s">
        <v>1911</v>
      </c>
      <c r="K8" s="1">
        <v>1861624.4510603629</v>
      </c>
      <c r="O8" s="1"/>
      <c r="Q8" s="1"/>
    </row>
    <row r="9" spans="1:17" x14ac:dyDescent="0.25">
      <c r="A9" t="s">
        <v>747</v>
      </c>
      <c r="B9" t="s">
        <v>781</v>
      </c>
      <c r="C9" t="s">
        <v>755</v>
      </c>
      <c r="D9" t="s">
        <v>756</v>
      </c>
      <c r="E9" t="s">
        <v>535</v>
      </c>
      <c r="F9">
        <v>1175</v>
      </c>
      <c r="G9">
        <v>4.5680374230465963</v>
      </c>
      <c r="H9">
        <v>5367.4439720797509</v>
      </c>
      <c r="I9" t="s">
        <v>541</v>
      </c>
      <c r="J9" s="225" t="s">
        <v>541</v>
      </c>
      <c r="K9" s="1">
        <v>9637292.5988916047</v>
      </c>
      <c r="O9" s="1"/>
      <c r="P9" s="225"/>
      <c r="Q9" s="1"/>
    </row>
    <row r="10" spans="1:17" x14ac:dyDescent="0.25">
      <c r="A10" t="s">
        <v>747</v>
      </c>
      <c r="B10" t="s">
        <v>781</v>
      </c>
      <c r="C10" t="s">
        <v>757</v>
      </c>
      <c r="D10" t="s">
        <v>758</v>
      </c>
      <c r="E10" t="s">
        <v>535</v>
      </c>
      <c r="F10">
        <v>6</v>
      </c>
      <c r="G10">
        <v>17.880161480494536</v>
      </c>
      <c r="H10">
        <v>107.28096888296722</v>
      </c>
      <c r="I10" t="s">
        <v>541</v>
      </c>
      <c r="J10" s="225" t="s">
        <v>2354</v>
      </c>
      <c r="K10" s="1">
        <v>623313.7244034349</v>
      </c>
      <c r="O10" s="1"/>
      <c r="P10" s="225"/>
      <c r="Q10" s="1"/>
    </row>
    <row r="11" spans="1:17" x14ac:dyDescent="0.25">
      <c r="A11" t="s">
        <v>747</v>
      </c>
      <c r="B11" t="s">
        <v>781</v>
      </c>
      <c r="C11" t="s">
        <v>759</v>
      </c>
      <c r="D11" t="s">
        <v>760</v>
      </c>
      <c r="E11" t="s">
        <v>535</v>
      </c>
      <c r="F11">
        <v>23.4</v>
      </c>
      <c r="G11">
        <v>197.21741898134346</v>
      </c>
      <c r="H11">
        <v>4614.8876041634367</v>
      </c>
      <c r="I11" t="s">
        <v>541</v>
      </c>
      <c r="J11" s="225" t="s">
        <v>536</v>
      </c>
      <c r="K11" s="1">
        <v>4554640.2659476073</v>
      </c>
      <c r="O11" s="1"/>
      <c r="P11" s="225"/>
      <c r="Q11" s="1"/>
    </row>
    <row r="12" spans="1:17" x14ac:dyDescent="0.25">
      <c r="A12" t="s">
        <v>747</v>
      </c>
      <c r="B12" t="s">
        <v>781</v>
      </c>
      <c r="C12" t="s">
        <v>705</v>
      </c>
      <c r="D12" t="s">
        <v>792</v>
      </c>
      <c r="E12" t="s">
        <v>535</v>
      </c>
      <c r="F12">
        <v>37</v>
      </c>
      <c r="G12">
        <v>3.0983137803156655</v>
      </c>
      <c r="H12">
        <v>114.63760987167963</v>
      </c>
      <c r="I12" t="s">
        <v>541</v>
      </c>
      <c r="J12" s="225" t="s">
        <v>7565</v>
      </c>
      <c r="K12" s="1">
        <v>16676871.04030301</v>
      </c>
    </row>
    <row r="13" spans="1:17" x14ac:dyDescent="0.25">
      <c r="A13" t="s">
        <v>747</v>
      </c>
      <c r="B13" t="s">
        <v>781</v>
      </c>
      <c r="C13" t="s">
        <v>775</v>
      </c>
      <c r="D13" t="s">
        <v>793</v>
      </c>
      <c r="E13" t="s">
        <v>535</v>
      </c>
      <c r="F13">
        <v>1325</v>
      </c>
      <c r="G13">
        <v>2.909274475249187</v>
      </c>
      <c r="H13">
        <v>3854.7886797051729</v>
      </c>
      <c r="I13" t="s">
        <v>541</v>
      </c>
      <c r="K13" s="1"/>
    </row>
    <row r="14" spans="1:17" x14ac:dyDescent="0.25">
      <c r="A14" t="s">
        <v>747</v>
      </c>
      <c r="B14" t="s">
        <v>781</v>
      </c>
      <c r="D14" t="s">
        <v>7441</v>
      </c>
      <c r="E14" t="s">
        <v>535</v>
      </c>
      <c r="F14">
        <v>2046</v>
      </c>
      <c r="G14">
        <v>5.5910135910634402</v>
      </c>
      <c r="H14">
        <v>11439.213807315798</v>
      </c>
      <c r="I14" t="s">
        <v>541</v>
      </c>
      <c r="K14" s="1"/>
    </row>
    <row r="15" spans="1:17" x14ac:dyDescent="0.25">
      <c r="A15" t="s">
        <v>747</v>
      </c>
      <c r="B15" t="s">
        <v>781</v>
      </c>
      <c r="C15" t="s">
        <v>799</v>
      </c>
      <c r="D15" t="s">
        <v>800</v>
      </c>
      <c r="E15" t="s">
        <v>535</v>
      </c>
      <c r="F15">
        <v>23046</v>
      </c>
      <c r="G15">
        <v>4.7901659677227233</v>
      </c>
      <c r="H15">
        <v>110394.16489213788</v>
      </c>
      <c r="I15" t="s">
        <v>541</v>
      </c>
      <c r="K15" s="1"/>
    </row>
    <row r="16" spans="1:17" x14ac:dyDescent="0.25">
      <c r="A16" t="s">
        <v>747</v>
      </c>
      <c r="B16" t="s">
        <v>781</v>
      </c>
      <c r="C16" t="s">
        <v>767</v>
      </c>
      <c r="D16" t="s">
        <v>768</v>
      </c>
      <c r="E16" t="s">
        <v>535</v>
      </c>
      <c r="F16">
        <v>1323</v>
      </c>
      <c r="G16">
        <v>1.4389677366727502</v>
      </c>
      <c r="H16">
        <v>1903.7543156180486</v>
      </c>
      <c r="I16" t="s">
        <v>541</v>
      </c>
    </row>
    <row r="17" spans="1:9" x14ac:dyDescent="0.25">
      <c r="A17" t="s">
        <v>747</v>
      </c>
      <c r="B17" t="s">
        <v>781</v>
      </c>
      <c r="C17" t="s">
        <v>773</v>
      </c>
      <c r="D17" t="s">
        <v>774</v>
      </c>
      <c r="E17" t="s">
        <v>535</v>
      </c>
      <c r="F17">
        <v>17</v>
      </c>
      <c r="G17">
        <v>46.331171230862196</v>
      </c>
      <c r="H17">
        <v>787.62991092465734</v>
      </c>
      <c r="I17" t="s">
        <v>541</v>
      </c>
    </row>
    <row r="18" spans="1:9" x14ac:dyDescent="0.25">
      <c r="A18" t="s">
        <v>747</v>
      </c>
      <c r="B18" t="s">
        <v>781</v>
      </c>
      <c r="D18" t="s">
        <v>7445</v>
      </c>
      <c r="E18" t="s">
        <v>535</v>
      </c>
      <c r="F18">
        <v>562716</v>
      </c>
      <c r="G18">
        <v>2.102172122784459</v>
      </c>
      <c r="H18">
        <v>1182925.8882447795</v>
      </c>
      <c r="I18" t="s">
        <v>541</v>
      </c>
    </row>
    <row r="19" spans="1:9" x14ac:dyDescent="0.25">
      <c r="A19" t="s">
        <v>747</v>
      </c>
      <c r="B19" t="s">
        <v>781</v>
      </c>
      <c r="C19" t="s">
        <v>7446</v>
      </c>
      <c r="D19" t="s">
        <v>787</v>
      </c>
      <c r="E19" t="s">
        <v>535</v>
      </c>
      <c r="F19">
        <v>3908058</v>
      </c>
      <c r="G19">
        <v>0.75636230247546588</v>
      </c>
      <c r="H19">
        <v>2955907.7470876644</v>
      </c>
      <c r="I19" t="s">
        <v>541</v>
      </c>
    </row>
    <row r="20" spans="1:9" x14ac:dyDescent="0.25">
      <c r="A20" t="s">
        <v>747</v>
      </c>
      <c r="B20" t="s">
        <v>748</v>
      </c>
      <c r="C20" t="s">
        <v>751</v>
      </c>
      <c r="D20" t="s">
        <v>7689</v>
      </c>
      <c r="E20" t="s">
        <v>535</v>
      </c>
      <c r="F20">
        <v>788</v>
      </c>
      <c r="G20">
        <v>35.323576696715627</v>
      </c>
      <c r="H20">
        <v>27834.978437011912</v>
      </c>
      <c r="I20" t="s">
        <v>541</v>
      </c>
    </row>
    <row r="21" spans="1:9" x14ac:dyDescent="0.25">
      <c r="A21" t="s">
        <v>747</v>
      </c>
      <c r="B21" t="s">
        <v>748</v>
      </c>
      <c r="C21" t="s">
        <v>751</v>
      </c>
      <c r="D21" t="s">
        <v>7690</v>
      </c>
      <c r="E21" t="s">
        <v>535</v>
      </c>
      <c r="F21">
        <v>400</v>
      </c>
      <c r="G21">
        <v>35.323576696715627</v>
      </c>
      <c r="H21">
        <v>14129.430678686251</v>
      </c>
      <c r="I21" t="s">
        <v>541</v>
      </c>
    </row>
    <row r="22" spans="1:9" x14ac:dyDescent="0.25">
      <c r="A22" t="s">
        <v>747</v>
      </c>
      <c r="B22" t="s">
        <v>748</v>
      </c>
      <c r="C22" t="s">
        <v>753</v>
      </c>
      <c r="D22" t="s">
        <v>754</v>
      </c>
      <c r="E22" t="s">
        <v>535</v>
      </c>
      <c r="F22">
        <v>2000</v>
      </c>
      <c r="G22">
        <v>1.5906129247941225</v>
      </c>
      <c r="H22">
        <v>3181.2258495882452</v>
      </c>
      <c r="I22" t="s">
        <v>541</v>
      </c>
    </row>
    <row r="23" spans="1:9" x14ac:dyDescent="0.25">
      <c r="A23" t="s">
        <v>747</v>
      </c>
      <c r="B23" t="s">
        <v>748</v>
      </c>
      <c r="C23" t="s">
        <v>755</v>
      </c>
      <c r="D23" t="s">
        <v>7691</v>
      </c>
      <c r="E23" t="s">
        <v>535</v>
      </c>
      <c r="F23">
        <v>9000</v>
      </c>
      <c r="G23">
        <v>4.5680374230465963</v>
      </c>
      <c r="H23">
        <v>41112.336807419364</v>
      </c>
      <c r="I23" t="s">
        <v>541</v>
      </c>
    </row>
    <row r="24" spans="1:9" x14ac:dyDescent="0.25">
      <c r="A24" t="s">
        <v>747</v>
      </c>
      <c r="B24" t="s">
        <v>748</v>
      </c>
      <c r="C24" t="s">
        <v>757</v>
      </c>
      <c r="D24" t="s">
        <v>758</v>
      </c>
      <c r="E24" t="s">
        <v>535</v>
      </c>
      <c r="F24">
        <v>200</v>
      </c>
      <c r="G24">
        <v>17.880161480494536</v>
      </c>
      <c r="H24">
        <v>3576.032296098907</v>
      </c>
      <c r="I24" t="s">
        <v>541</v>
      </c>
    </row>
    <row r="25" spans="1:9" x14ac:dyDescent="0.25">
      <c r="A25" t="s">
        <v>747</v>
      </c>
      <c r="B25" t="s">
        <v>748</v>
      </c>
      <c r="C25" t="s">
        <v>763</v>
      </c>
      <c r="D25" t="s">
        <v>764</v>
      </c>
      <c r="E25" t="s">
        <v>535</v>
      </c>
      <c r="F25">
        <v>457</v>
      </c>
      <c r="G25">
        <v>48.309022830384706</v>
      </c>
      <c r="H25">
        <v>22077.223433485811</v>
      </c>
      <c r="I25" t="s">
        <v>541</v>
      </c>
    </row>
    <row r="26" spans="1:9" x14ac:dyDescent="0.25">
      <c r="A26" t="s">
        <v>747</v>
      </c>
      <c r="B26" t="s">
        <v>748</v>
      </c>
      <c r="C26" t="s">
        <v>705</v>
      </c>
      <c r="D26" t="s">
        <v>7692</v>
      </c>
      <c r="E26" t="s">
        <v>535</v>
      </c>
      <c r="F26">
        <v>75</v>
      </c>
      <c r="G26">
        <v>3.0983137803156655</v>
      </c>
      <c r="H26">
        <v>232.37353352367492</v>
      </c>
      <c r="I26" t="s">
        <v>541</v>
      </c>
    </row>
    <row r="27" spans="1:9" x14ac:dyDescent="0.25">
      <c r="A27" t="s">
        <v>747</v>
      </c>
      <c r="B27" t="s">
        <v>748</v>
      </c>
      <c r="C27" t="s">
        <v>767</v>
      </c>
      <c r="D27" t="s">
        <v>768</v>
      </c>
      <c r="E27" t="s">
        <v>535</v>
      </c>
      <c r="F27">
        <v>92706</v>
      </c>
      <c r="G27">
        <v>1.4389677366727502</v>
      </c>
      <c r="H27">
        <v>133400.94299598399</v>
      </c>
      <c r="I27" t="s">
        <v>541</v>
      </c>
    </row>
    <row r="28" spans="1:9" x14ac:dyDescent="0.25">
      <c r="A28" t="s">
        <v>747</v>
      </c>
      <c r="B28" t="s">
        <v>748</v>
      </c>
      <c r="C28" t="s">
        <v>765</v>
      </c>
      <c r="D28" t="s">
        <v>766</v>
      </c>
      <c r="E28" t="s">
        <v>535</v>
      </c>
      <c r="F28">
        <v>122193</v>
      </c>
      <c r="G28">
        <v>0.10549792064343128</v>
      </c>
      <c r="H28">
        <v>12891.107417182799</v>
      </c>
      <c r="I28" t="s">
        <v>541</v>
      </c>
    </row>
    <row r="29" spans="1:9" x14ac:dyDescent="0.25">
      <c r="A29" t="s">
        <v>747</v>
      </c>
      <c r="B29" t="s">
        <v>748</v>
      </c>
      <c r="C29" t="s">
        <v>775</v>
      </c>
      <c r="D29" t="s">
        <v>7693</v>
      </c>
      <c r="E29" t="s">
        <v>535</v>
      </c>
      <c r="F29">
        <v>15550</v>
      </c>
      <c r="G29">
        <v>2.909274475249187</v>
      </c>
      <c r="H29">
        <v>45239.218090124858</v>
      </c>
      <c r="I29" t="s">
        <v>541</v>
      </c>
    </row>
    <row r="30" spans="1:9" x14ac:dyDescent="0.25">
      <c r="A30" t="s">
        <v>747</v>
      </c>
      <c r="B30" t="s">
        <v>748</v>
      </c>
      <c r="C30" t="s">
        <v>7694</v>
      </c>
      <c r="D30" t="s">
        <v>7695</v>
      </c>
      <c r="E30" t="s">
        <v>535</v>
      </c>
      <c r="F30">
        <v>57</v>
      </c>
      <c r="G30">
        <v>6.2705094960122238</v>
      </c>
      <c r="H30">
        <v>357.41904127269675</v>
      </c>
      <c r="I30" t="s">
        <v>541</v>
      </c>
    </row>
    <row r="31" spans="1:9" x14ac:dyDescent="0.25">
      <c r="A31" t="s">
        <v>747</v>
      </c>
      <c r="B31" t="s">
        <v>748</v>
      </c>
      <c r="C31" t="s">
        <v>7696</v>
      </c>
      <c r="D31" t="s">
        <v>7697</v>
      </c>
      <c r="E31" t="s">
        <v>535</v>
      </c>
      <c r="F31">
        <v>2416</v>
      </c>
      <c r="G31">
        <v>5.2283988913440469</v>
      </c>
      <c r="H31">
        <v>12631.811721487218</v>
      </c>
      <c r="I31" t="s">
        <v>541</v>
      </c>
    </row>
    <row r="32" spans="1:9" x14ac:dyDescent="0.25">
      <c r="A32" t="s">
        <v>747</v>
      </c>
      <c r="B32" t="s">
        <v>748</v>
      </c>
      <c r="C32" t="s">
        <v>675</v>
      </c>
      <c r="D32" t="s">
        <v>777</v>
      </c>
      <c r="E32" t="s">
        <v>535</v>
      </c>
      <c r="F32">
        <v>2564</v>
      </c>
      <c r="G32">
        <v>5.9456740344009305</v>
      </c>
      <c r="H32">
        <v>15244.708224203985</v>
      </c>
      <c r="I32" t="s">
        <v>541</v>
      </c>
    </row>
    <row r="33" spans="1:9" x14ac:dyDescent="0.25">
      <c r="A33" t="s">
        <v>747</v>
      </c>
      <c r="B33" t="s">
        <v>748</v>
      </c>
      <c r="C33" t="s">
        <v>823</v>
      </c>
      <c r="D33" t="s">
        <v>7698</v>
      </c>
      <c r="E33" t="s">
        <v>535</v>
      </c>
      <c r="F33">
        <v>415</v>
      </c>
      <c r="G33">
        <v>4.7901659677227233</v>
      </c>
      <c r="H33">
        <v>1987.9188766049301</v>
      </c>
      <c r="I33" t="s">
        <v>541</v>
      </c>
    </row>
    <row r="34" spans="1:9" x14ac:dyDescent="0.25">
      <c r="A34" t="s">
        <v>747</v>
      </c>
      <c r="B34" t="s">
        <v>748</v>
      </c>
      <c r="C34" t="s">
        <v>7699</v>
      </c>
      <c r="D34" t="s">
        <v>7700</v>
      </c>
      <c r="E34" t="s">
        <v>535</v>
      </c>
      <c r="F34">
        <v>311</v>
      </c>
      <c r="G34">
        <v>74.515419847328246</v>
      </c>
      <c r="H34">
        <v>23174.295572519084</v>
      </c>
      <c r="I34" t="s">
        <v>541</v>
      </c>
    </row>
    <row r="35" spans="1:9" x14ac:dyDescent="0.25">
      <c r="A35" t="s">
        <v>747</v>
      </c>
      <c r="B35" t="s">
        <v>748</v>
      </c>
      <c r="C35" t="s">
        <v>769</v>
      </c>
      <c r="D35" t="s">
        <v>7701</v>
      </c>
      <c r="E35" t="s">
        <v>535</v>
      </c>
      <c r="F35">
        <v>2232</v>
      </c>
      <c r="G35">
        <v>54.277015258012213</v>
      </c>
      <c r="H35">
        <v>121146.29805588326</v>
      </c>
      <c r="I35" t="s">
        <v>541</v>
      </c>
    </row>
    <row r="36" spans="1:9" x14ac:dyDescent="0.25">
      <c r="A36" t="s">
        <v>747</v>
      </c>
      <c r="B36" t="s">
        <v>748</v>
      </c>
      <c r="C36" t="s">
        <v>771</v>
      </c>
      <c r="D36" t="s">
        <v>7702</v>
      </c>
      <c r="E36" t="s">
        <v>535</v>
      </c>
      <c r="F36">
        <v>2999</v>
      </c>
      <c r="G36">
        <v>46.676453028263801</v>
      </c>
      <c r="H36">
        <v>139982.68263176313</v>
      </c>
      <c r="I36" t="s">
        <v>541</v>
      </c>
    </row>
    <row r="37" spans="1:9" x14ac:dyDescent="0.25">
      <c r="A37" t="s">
        <v>747</v>
      </c>
      <c r="B37" t="s">
        <v>748</v>
      </c>
      <c r="C37" t="s">
        <v>797</v>
      </c>
      <c r="D37" t="s">
        <v>7703</v>
      </c>
      <c r="E37" t="s">
        <v>535</v>
      </c>
      <c r="F37">
        <v>74</v>
      </c>
      <c r="G37">
        <v>46.676453028263801</v>
      </c>
      <c r="H37">
        <v>3454.0575240915214</v>
      </c>
      <c r="I37" t="s">
        <v>541</v>
      </c>
    </row>
    <row r="38" spans="1:9" x14ac:dyDescent="0.25">
      <c r="A38" t="s">
        <v>747</v>
      </c>
      <c r="B38" t="s">
        <v>748</v>
      </c>
      <c r="C38" t="s">
        <v>7704</v>
      </c>
      <c r="D38" t="s">
        <v>7705</v>
      </c>
      <c r="E38" t="s">
        <v>535</v>
      </c>
      <c r="F38">
        <v>342</v>
      </c>
      <c r="G38">
        <v>46.331171230862196</v>
      </c>
      <c r="H38">
        <v>15845.260560954872</v>
      </c>
      <c r="I38" t="s">
        <v>541</v>
      </c>
    </row>
    <row r="39" spans="1:9" x14ac:dyDescent="0.25">
      <c r="A39" t="s">
        <v>747</v>
      </c>
      <c r="B39" t="s">
        <v>748</v>
      </c>
      <c r="C39" t="s">
        <v>823</v>
      </c>
      <c r="D39" t="s">
        <v>7724</v>
      </c>
      <c r="E39" t="s">
        <v>535</v>
      </c>
      <c r="F39">
        <v>5076</v>
      </c>
      <c r="G39">
        <v>4.7901659677227233</v>
      </c>
      <c r="H39">
        <v>24314.882452160542</v>
      </c>
      <c r="I39" t="s">
        <v>541</v>
      </c>
    </row>
    <row r="40" spans="1:9" x14ac:dyDescent="0.25">
      <c r="A40" t="s">
        <v>747</v>
      </c>
      <c r="B40" t="s">
        <v>748</v>
      </c>
      <c r="D40" t="s">
        <v>7440</v>
      </c>
      <c r="E40" t="s">
        <v>535</v>
      </c>
      <c r="F40">
        <v>10481</v>
      </c>
      <c r="G40">
        <v>1.6</v>
      </c>
      <c r="H40">
        <v>16769.600000000002</v>
      </c>
      <c r="I40" t="s">
        <v>541</v>
      </c>
    </row>
    <row r="41" spans="1:9" x14ac:dyDescent="0.25">
      <c r="A41" t="s">
        <v>747</v>
      </c>
      <c r="B41" t="s">
        <v>748</v>
      </c>
      <c r="D41" t="s">
        <v>7725</v>
      </c>
      <c r="E41" t="s">
        <v>535</v>
      </c>
      <c r="F41">
        <v>1439</v>
      </c>
      <c r="G41">
        <v>2</v>
      </c>
      <c r="H41">
        <v>2878</v>
      </c>
      <c r="I41" t="s">
        <v>541</v>
      </c>
    </row>
    <row r="42" spans="1:9" x14ac:dyDescent="0.25">
      <c r="A42" t="s">
        <v>747</v>
      </c>
      <c r="B42" t="s">
        <v>748</v>
      </c>
      <c r="D42" t="s">
        <v>7706</v>
      </c>
      <c r="E42" t="s">
        <v>535</v>
      </c>
      <c r="F42">
        <v>1625</v>
      </c>
      <c r="G42">
        <v>4.5539280850507513</v>
      </c>
      <c r="H42">
        <v>7400.1331382074704</v>
      </c>
      <c r="I42" t="s">
        <v>541</v>
      </c>
    </row>
    <row r="43" spans="1:9" x14ac:dyDescent="0.25">
      <c r="A43" t="s">
        <v>747</v>
      </c>
      <c r="B43" t="s">
        <v>781</v>
      </c>
      <c r="C43" t="s">
        <v>7446</v>
      </c>
      <c r="D43" t="s">
        <v>7726</v>
      </c>
      <c r="E43" t="s">
        <v>535</v>
      </c>
      <c r="F43">
        <v>131</v>
      </c>
      <c r="G43">
        <v>0.75636230247546588</v>
      </c>
      <c r="H43">
        <v>99.083461624286031</v>
      </c>
      <c r="I43" t="s">
        <v>541</v>
      </c>
    </row>
    <row r="44" spans="1:9" x14ac:dyDescent="0.25">
      <c r="A44" t="s">
        <v>220</v>
      </c>
      <c r="B44" t="s">
        <v>588</v>
      </c>
      <c r="C44" t="s">
        <v>825</v>
      </c>
      <c r="D44" t="s">
        <v>826</v>
      </c>
      <c r="E44" t="s">
        <v>545</v>
      </c>
      <c r="F44">
        <v>861</v>
      </c>
      <c r="G44">
        <v>12.373890012648957</v>
      </c>
      <c r="H44">
        <v>10653.919300890751</v>
      </c>
      <c r="I44" t="s">
        <v>541</v>
      </c>
    </row>
    <row r="45" spans="1:9" x14ac:dyDescent="0.25">
      <c r="A45" t="s">
        <v>220</v>
      </c>
      <c r="B45" t="s">
        <v>588</v>
      </c>
      <c r="C45" t="s">
        <v>827</v>
      </c>
      <c r="D45" t="s">
        <v>828</v>
      </c>
      <c r="E45" t="s">
        <v>545</v>
      </c>
      <c r="F45">
        <v>325</v>
      </c>
      <c r="G45">
        <v>7.9457692462815732</v>
      </c>
      <c r="H45">
        <v>2582.3750050415115</v>
      </c>
      <c r="I45" t="s">
        <v>541</v>
      </c>
    </row>
    <row r="46" spans="1:9" x14ac:dyDescent="0.25">
      <c r="A46" t="s">
        <v>220</v>
      </c>
      <c r="B46" t="s">
        <v>588</v>
      </c>
      <c r="C46" t="s">
        <v>829</v>
      </c>
      <c r="D46" t="s">
        <v>830</v>
      </c>
      <c r="E46" t="s">
        <v>545</v>
      </c>
      <c r="F46">
        <v>1746</v>
      </c>
      <c r="G46">
        <v>7.9462486792276881</v>
      </c>
      <c r="H46">
        <v>13874.150193931544</v>
      </c>
      <c r="I46" t="s">
        <v>541</v>
      </c>
    </row>
    <row r="47" spans="1:9" x14ac:dyDescent="0.25">
      <c r="A47" t="s">
        <v>220</v>
      </c>
      <c r="B47" t="s">
        <v>588</v>
      </c>
      <c r="C47" t="s">
        <v>831</v>
      </c>
      <c r="D47" t="s">
        <v>832</v>
      </c>
      <c r="E47" t="s">
        <v>545</v>
      </c>
      <c r="F47">
        <v>4186</v>
      </c>
      <c r="G47">
        <v>5.3909308724328993</v>
      </c>
      <c r="H47">
        <v>22566.436632004115</v>
      </c>
      <c r="I47" t="s">
        <v>541</v>
      </c>
    </row>
    <row r="48" spans="1:9" x14ac:dyDescent="0.25">
      <c r="A48" t="s">
        <v>220</v>
      </c>
      <c r="B48" t="s">
        <v>588</v>
      </c>
      <c r="C48" t="s">
        <v>833</v>
      </c>
      <c r="D48" t="s">
        <v>834</v>
      </c>
      <c r="E48" t="s">
        <v>545</v>
      </c>
      <c r="F48">
        <v>178</v>
      </c>
      <c r="G48">
        <v>5.6977765025573426</v>
      </c>
      <c r="H48">
        <v>1014.204217455207</v>
      </c>
      <c r="I48" t="s">
        <v>541</v>
      </c>
    </row>
    <row r="49" spans="1:9" x14ac:dyDescent="0.25">
      <c r="A49" t="s">
        <v>220</v>
      </c>
      <c r="B49" t="s">
        <v>588</v>
      </c>
      <c r="C49" t="s">
        <v>835</v>
      </c>
      <c r="D49" t="s">
        <v>836</v>
      </c>
      <c r="E49" t="s">
        <v>545</v>
      </c>
      <c r="F49">
        <v>1120</v>
      </c>
      <c r="G49">
        <v>4.2500357223489855</v>
      </c>
      <c r="H49">
        <v>4760.040009030864</v>
      </c>
      <c r="I49" t="s">
        <v>541</v>
      </c>
    </row>
    <row r="50" spans="1:9" x14ac:dyDescent="0.25">
      <c r="A50" t="s">
        <v>220</v>
      </c>
      <c r="B50" t="s">
        <v>588</v>
      </c>
      <c r="C50" t="s">
        <v>837</v>
      </c>
      <c r="D50" t="s">
        <v>838</v>
      </c>
      <c r="E50" t="s">
        <v>545</v>
      </c>
      <c r="F50">
        <v>1418</v>
      </c>
      <c r="G50">
        <v>5.0052536852249778</v>
      </c>
      <c r="H50">
        <v>7097.4497256490185</v>
      </c>
      <c r="I50" t="s">
        <v>541</v>
      </c>
    </row>
    <row r="51" spans="1:9" x14ac:dyDescent="0.25">
      <c r="A51" t="s">
        <v>220</v>
      </c>
      <c r="B51" t="s">
        <v>588</v>
      </c>
      <c r="C51" t="s">
        <v>839</v>
      </c>
      <c r="D51" t="s">
        <v>840</v>
      </c>
      <c r="E51" t="s">
        <v>545</v>
      </c>
      <c r="F51">
        <v>7554</v>
      </c>
      <c r="G51">
        <v>5.2067155987624538</v>
      </c>
      <c r="H51">
        <v>39331.529633051578</v>
      </c>
      <c r="I51" t="s">
        <v>541</v>
      </c>
    </row>
    <row r="52" spans="1:9" x14ac:dyDescent="0.25">
      <c r="A52" t="s">
        <v>220</v>
      </c>
      <c r="B52" t="s">
        <v>588</v>
      </c>
      <c r="C52" t="s">
        <v>841</v>
      </c>
      <c r="D52" t="s">
        <v>842</v>
      </c>
      <c r="E52" t="s">
        <v>545</v>
      </c>
      <c r="F52">
        <v>2925</v>
      </c>
      <c r="G52">
        <v>4.1249721771996413</v>
      </c>
      <c r="H52">
        <v>12065.543618308951</v>
      </c>
      <c r="I52" t="s">
        <v>541</v>
      </c>
    </row>
    <row r="53" spans="1:9" x14ac:dyDescent="0.25">
      <c r="A53" t="s">
        <v>220</v>
      </c>
      <c r="B53" t="s">
        <v>588</v>
      </c>
      <c r="C53" t="s">
        <v>843</v>
      </c>
      <c r="D53" t="s">
        <v>844</v>
      </c>
      <c r="E53" t="s">
        <v>545</v>
      </c>
      <c r="F53">
        <v>5693</v>
      </c>
      <c r="G53">
        <v>5.9648175593552235</v>
      </c>
      <c r="H53">
        <v>33957.706365409285</v>
      </c>
      <c r="I53" t="s">
        <v>541</v>
      </c>
    </row>
    <row r="54" spans="1:9" x14ac:dyDescent="0.25">
      <c r="A54" t="s">
        <v>220</v>
      </c>
      <c r="B54" t="s">
        <v>588</v>
      </c>
      <c r="C54" t="s">
        <v>845</v>
      </c>
      <c r="D54" t="s">
        <v>846</v>
      </c>
      <c r="E54" t="s">
        <v>545</v>
      </c>
      <c r="F54">
        <v>2418</v>
      </c>
      <c r="G54">
        <v>5.5742715459599204</v>
      </c>
      <c r="H54">
        <v>13478.588598131088</v>
      </c>
      <c r="I54" t="s">
        <v>541</v>
      </c>
    </row>
    <row r="55" spans="1:9" x14ac:dyDescent="0.25">
      <c r="A55" t="s">
        <v>220</v>
      </c>
      <c r="B55" t="s">
        <v>588</v>
      </c>
      <c r="C55" t="s">
        <v>847</v>
      </c>
      <c r="D55" t="s">
        <v>848</v>
      </c>
      <c r="E55" t="s">
        <v>545</v>
      </c>
      <c r="F55">
        <v>2807</v>
      </c>
      <c r="G55">
        <v>5.7323337064227609</v>
      </c>
      <c r="H55">
        <v>16090.66071392869</v>
      </c>
      <c r="I55" t="s">
        <v>541</v>
      </c>
    </row>
    <row r="56" spans="1:9" x14ac:dyDescent="0.25">
      <c r="A56" t="s">
        <v>220</v>
      </c>
      <c r="B56" t="s">
        <v>588</v>
      </c>
      <c r="C56" t="s">
        <v>849</v>
      </c>
      <c r="D56" t="s">
        <v>850</v>
      </c>
      <c r="E56" t="s">
        <v>545</v>
      </c>
      <c r="F56">
        <v>288</v>
      </c>
      <c r="G56">
        <v>4.3059139447251029</v>
      </c>
      <c r="H56">
        <v>1240.1032160808297</v>
      </c>
      <c r="I56" t="s">
        <v>541</v>
      </c>
    </row>
    <row r="57" spans="1:9" x14ac:dyDescent="0.25">
      <c r="A57" t="s">
        <v>220</v>
      </c>
      <c r="B57" t="s">
        <v>588</v>
      </c>
      <c r="C57" t="s">
        <v>851</v>
      </c>
      <c r="D57" t="s">
        <v>852</v>
      </c>
      <c r="E57" t="s">
        <v>545</v>
      </c>
      <c r="F57">
        <v>17573</v>
      </c>
      <c r="G57">
        <v>5.4518576896623552</v>
      </c>
      <c r="H57">
        <v>95805.49518043657</v>
      </c>
      <c r="I57" t="s">
        <v>541</v>
      </c>
    </row>
    <row r="58" spans="1:9" x14ac:dyDescent="0.25">
      <c r="A58" t="s">
        <v>220</v>
      </c>
      <c r="B58" t="s">
        <v>588</v>
      </c>
      <c r="C58" t="s">
        <v>7533</v>
      </c>
      <c r="D58" t="s">
        <v>7534</v>
      </c>
      <c r="E58" t="s">
        <v>545</v>
      </c>
      <c r="F58">
        <v>8032</v>
      </c>
      <c r="G58">
        <v>5.3251178193699467</v>
      </c>
      <c r="H58">
        <v>42771.346325179409</v>
      </c>
      <c r="I58" t="s">
        <v>541</v>
      </c>
    </row>
    <row r="59" spans="1:9" x14ac:dyDescent="0.25">
      <c r="A59" t="s">
        <v>220</v>
      </c>
      <c r="B59" t="s">
        <v>588</v>
      </c>
      <c r="C59" t="s">
        <v>855</v>
      </c>
      <c r="D59" t="s">
        <v>856</v>
      </c>
      <c r="E59" t="s">
        <v>545</v>
      </c>
      <c r="F59">
        <v>2019</v>
      </c>
      <c r="G59">
        <v>3.5545831049279544</v>
      </c>
      <c r="H59">
        <v>7176.7032888495396</v>
      </c>
      <c r="I59" t="s">
        <v>541</v>
      </c>
    </row>
    <row r="60" spans="1:9" x14ac:dyDescent="0.25">
      <c r="A60" t="s">
        <v>220</v>
      </c>
      <c r="B60" t="s">
        <v>588</v>
      </c>
      <c r="C60" t="s">
        <v>857</v>
      </c>
      <c r="D60" t="s">
        <v>858</v>
      </c>
      <c r="E60" t="s">
        <v>545</v>
      </c>
      <c r="F60">
        <v>1895</v>
      </c>
      <c r="G60">
        <v>5.8814204624571929</v>
      </c>
      <c r="H60">
        <v>11145.29177635638</v>
      </c>
      <c r="I60" t="s">
        <v>541</v>
      </c>
    </row>
    <row r="61" spans="1:9" x14ac:dyDescent="0.25">
      <c r="A61" t="s">
        <v>220</v>
      </c>
      <c r="B61" t="s">
        <v>588</v>
      </c>
      <c r="C61" t="s">
        <v>859</v>
      </c>
      <c r="D61" t="s">
        <v>860</v>
      </c>
      <c r="E61" t="s">
        <v>545</v>
      </c>
      <c r="F61">
        <v>23188</v>
      </c>
      <c r="G61">
        <v>5.8015700679376279</v>
      </c>
      <c r="H61">
        <v>134526.80673533771</v>
      </c>
      <c r="I61" t="s">
        <v>541</v>
      </c>
    </row>
    <row r="62" spans="1:9" x14ac:dyDescent="0.25">
      <c r="A62" t="s">
        <v>220</v>
      </c>
      <c r="B62" t="s">
        <v>588</v>
      </c>
      <c r="C62" t="s">
        <v>861</v>
      </c>
      <c r="D62" t="s">
        <v>862</v>
      </c>
      <c r="E62" t="s">
        <v>545</v>
      </c>
      <c r="F62">
        <v>842</v>
      </c>
      <c r="G62">
        <v>5.9680923504620749</v>
      </c>
      <c r="H62">
        <v>5025.1337590890671</v>
      </c>
      <c r="I62" t="s">
        <v>541</v>
      </c>
    </row>
    <row r="63" spans="1:9" x14ac:dyDescent="0.25">
      <c r="A63" t="s">
        <v>220</v>
      </c>
      <c r="B63" t="s">
        <v>588</v>
      </c>
      <c r="C63" t="s">
        <v>863</v>
      </c>
      <c r="D63" t="s">
        <v>864</v>
      </c>
      <c r="E63" t="s">
        <v>545</v>
      </c>
      <c r="F63">
        <v>66</v>
      </c>
      <c r="G63">
        <v>3.4771593863103991</v>
      </c>
      <c r="H63">
        <v>229.49251949648635</v>
      </c>
      <c r="I63" t="s">
        <v>541</v>
      </c>
    </row>
    <row r="64" spans="1:9" x14ac:dyDescent="0.25">
      <c r="A64" t="s">
        <v>220</v>
      </c>
      <c r="B64" t="s">
        <v>588</v>
      </c>
      <c r="C64" t="s">
        <v>865</v>
      </c>
      <c r="D64" t="s">
        <v>866</v>
      </c>
      <c r="E64" t="s">
        <v>545</v>
      </c>
      <c r="F64">
        <v>3744</v>
      </c>
      <c r="G64">
        <v>6.3368180094906368</v>
      </c>
      <c r="H64">
        <v>23725.046627532945</v>
      </c>
      <c r="I64" t="s">
        <v>541</v>
      </c>
    </row>
    <row r="65" spans="1:9" x14ac:dyDescent="0.25">
      <c r="A65" t="s">
        <v>220</v>
      </c>
      <c r="B65" t="s">
        <v>588</v>
      </c>
      <c r="C65" t="s">
        <v>867</v>
      </c>
      <c r="D65" t="s">
        <v>868</v>
      </c>
      <c r="E65" t="s">
        <v>545</v>
      </c>
      <c r="F65">
        <v>122</v>
      </c>
      <c r="G65">
        <v>4.346584430574163</v>
      </c>
      <c r="H65">
        <v>530.28330053004788</v>
      </c>
      <c r="I65" t="s">
        <v>541</v>
      </c>
    </row>
    <row r="66" spans="1:9" x14ac:dyDescent="0.25">
      <c r="A66" t="s">
        <v>220</v>
      </c>
      <c r="B66" t="s">
        <v>588</v>
      </c>
      <c r="C66" t="s">
        <v>869</v>
      </c>
      <c r="D66" t="s">
        <v>870</v>
      </c>
      <c r="E66" t="s">
        <v>545</v>
      </c>
      <c r="F66">
        <v>812</v>
      </c>
      <c r="G66">
        <v>6.6778689728722656</v>
      </c>
      <c r="H66">
        <v>5422.4296059722792</v>
      </c>
      <c r="I66" t="s">
        <v>541</v>
      </c>
    </row>
    <row r="67" spans="1:9" x14ac:dyDescent="0.25">
      <c r="A67" t="s">
        <v>220</v>
      </c>
      <c r="B67" t="s">
        <v>588</v>
      </c>
      <c r="C67" t="s">
        <v>871</v>
      </c>
      <c r="D67" t="s">
        <v>872</v>
      </c>
      <c r="E67" t="s">
        <v>545</v>
      </c>
      <c r="F67">
        <v>7388</v>
      </c>
      <c r="G67">
        <v>6.1596948442750952</v>
      </c>
      <c r="H67">
        <v>45507.825509504401</v>
      </c>
      <c r="I67" t="s">
        <v>541</v>
      </c>
    </row>
    <row r="68" spans="1:9" x14ac:dyDescent="0.25">
      <c r="A68" t="s">
        <v>220</v>
      </c>
      <c r="B68" t="s">
        <v>588</v>
      </c>
      <c r="C68" t="s">
        <v>873</v>
      </c>
      <c r="D68" t="s">
        <v>874</v>
      </c>
      <c r="E68" t="s">
        <v>545</v>
      </c>
      <c r="F68">
        <v>33</v>
      </c>
      <c r="G68">
        <v>6.1596948442750952</v>
      </c>
      <c r="H68">
        <v>203.26992986107814</v>
      </c>
      <c r="I68" t="s">
        <v>541</v>
      </c>
    </row>
    <row r="69" spans="1:9" x14ac:dyDescent="0.25">
      <c r="A69" t="s">
        <v>220</v>
      </c>
      <c r="B69" t="s">
        <v>588</v>
      </c>
      <c r="C69" t="s">
        <v>817</v>
      </c>
      <c r="D69" t="s">
        <v>875</v>
      </c>
      <c r="E69" t="s">
        <v>545</v>
      </c>
      <c r="F69">
        <v>3768</v>
      </c>
      <c r="G69">
        <v>7.870570518304266</v>
      </c>
      <c r="H69">
        <v>29656.309712970473</v>
      </c>
      <c r="I69" t="s">
        <v>541</v>
      </c>
    </row>
    <row r="70" spans="1:9" x14ac:dyDescent="0.25">
      <c r="A70" t="s">
        <v>220</v>
      </c>
      <c r="B70" t="s">
        <v>588</v>
      </c>
      <c r="C70" t="s">
        <v>876</v>
      </c>
      <c r="D70" t="s">
        <v>877</v>
      </c>
      <c r="E70" t="s">
        <v>545</v>
      </c>
      <c r="F70">
        <v>684</v>
      </c>
      <c r="G70">
        <v>8.1097341290626304</v>
      </c>
      <c r="H70">
        <v>5547.0581442788389</v>
      </c>
      <c r="I70" t="s">
        <v>541</v>
      </c>
    </row>
    <row r="71" spans="1:9" x14ac:dyDescent="0.25">
      <c r="A71" t="s">
        <v>220</v>
      </c>
      <c r="B71" t="s">
        <v>588</v>
      </c>
      <c r="C71" t="s">
        <v>878</v>
      </c>
      <c r="D71" t="s">
        <v>879</v>
      </c>
      <c r="E71" t="s">
        <v>545</v>
      </c>
      <c r="F71">
        <v>1200</v>
      </c>
      <c r="G71">
        <v>10.024608813199761</v>
      </c>
      <c r="H71">
        <v>12029.530575839713</v>
      </c>
      <c r="I71" t="s">
        <v>541</v>
      </c>
    </row>
    <row r="72" spans="1:9" x14ac:dyDescent="0.25">
      <c r="A72" t="s">
        <v>220</v>
      </c>
      <c r="B72" t="s">
        <v>588</v>
      </c>
      <c r="C72" t="s">
        <v>882</v>
      </c>
      <c r="D72" t="s">
        <v>883</v>
      </c>
      <c r="E72" t="s">
        <v>545</v>
      </c>
      <c r="F72">
        <v>1307</v>
      </c>
      <c r="G72">
        <v>11.834600059067652</v>
      </c>
      <c r="H72">
        <v>15467.822277201421</v>
      </c>
      <c r="I72" t="s">
        <v>541</v>
      </c>
    </row>
    <row r="73" spans="1:9" x14ac:dyDescent="0.25">
      <c r="A73" t="s">
        <v>220</v>
      </c>
      <c r="B73" t="s">
        <v>588</v>
      </c>
      <c r="C73" t="s">
        <v>884</v>
      </c>
      <c r="D73" t="s">
        <v>885</v>
      </c>
      <c r="E73" t="s">
        <v>545</v>
      </c>
      <c r="F73">
        <v>140</v>
      </c>
      <c r="G73">
        <v>9.0982141647888408</v>
      </c>
      <c r="H73">
        <v>1273.7499830704378</v>
      </c>
      <c r="I73" t="s">
        <v>541</v>
      </c>
    </row>
    <row r="74" spans="1:9" x14ac:dyDescent="0.25">
      <c r="A74" t="s">
        <v>220</v>
      </c>
      <c r="B74" t="s">
        <v>588</v>
      </c>
      <c r="C74" t="s">
        <v>886</v>
      </c>
      <c r="D74" t="s">
        <v>887</v>
      </c>
      <c r="E74" t="s">
        <v>545</v>
      </c>
      <c r="F74">
        <v>465</v>
      </c>
      <c r="G74">
        <v>17.679775342645716</v>
      </c>
      <c r="H74">
        <v>8221.0955343302576</v>
      </c>
      <c r="I74" t="s">
        <v>541</v>
      </c>
    </row>
    <row r="75" spans="1:9" x14ac:dyDescent="0.25">
      <c r="A75" t="s">
        <v>220</v>
      </c>
      <c r="B75" t="s">
        <v>588</v>
      </c>
      <c r="C75" t="s">
        <v>7535</v>
      </c>
      <c r="D75" t="s">
        <v>889</v>
      </c>
      <c r="E75" t="s">
        <v>545</v>
      </c>
      <c r="F75">
        <v>1362</v>
      </c>
      <c r="G75">
        <v>11.353998807833781</v>
      </c>
      <c r="H75">
        <v>15464.146376269609</v>
      </c>
      <c r="I75" t="s">
        <v>541</v>
      </c>
    </row>
    <row r="76" spans="1:9" x14ac:dyDescent="0.25">
      <c r="A76" t="s">
        <v>220</v>
      </c>
      <c r="B76" t="s">
        <v>588</v>
      </c>
      <c r="C76" t="s">
        <v>890</v>
      </c>
      <c r="D76" t="s">
        <v>891</v>
      </c>
      <c r="E76" t="s">
        <v>545</v>
      </c>
      <c r="F76">
        <v>128</v>
      </c>
      <c r="G76">
        <v>16.100236678529633</v>
      </c>
      <c r="H76">
        <v>2060.830294851793</v>
      </c>
      <c r="I76" t="s">
        <v>541</v>
      </c>
    </row>
    <row r="77" spans="1:9" x14ac:dyDescent="0.25">
      <c r="A77" t="s">
        <v>220</v>
      </c>
      <c r="B77" t="s">
        <v>588</v>
      </c>
      <c r="C77" t="s">
        <v>892</v>
      </c>
      <c r="D77" t="s">
        <v>893</v>
      </c>
      <c r="E77" t="s">
        <v>545</v>
      </c>
      <c r="F77">
        <v>120</v>
      </c>
      <c r="G77">
        <v>9.478747837080391</v>
      </c>
      <c r="H77">
        <v>1137.4497404496469</v>
      </c>
      <c r="I77" t="s">
        <v>541</v>
      </c>
    </row>
    <row r="78" spans="1:9" x14ac:dyDescent="0.25">
      <c r="A78" t="s">
        <v>220</v>
      </c>
      <c r="B78" t="s">
        <v>588</v>
      </c>
      <c r="C78" t="s">
        <v>894</v>
      </c>
      <c r="D78" t="s">
        <v>895</v>
      </c>
      <c r="E78" t="s">
        <v>545</v>
      </c>
      <c r="F78">
        <v>607</v>
      </c>
      <c r="G78">
        <v>22.876271227232184</v>
      </c>
      <c r="H78">
        <v>13885.896634929935</v>
      </c>
      <c r="I78" t="s">
        <v>541</v>
      </c>
    </row>
    <row r="79" spans="1:9" x14ac:dyDescent="0.25">
      <c r="A79" t="s">
        <v>220</v>
      </c>
      <c r="B79" t="s">
        <v>588</v>
      </c>
      <c r="C79" t="s">
        <v>896</v>
      </c>
      <c r="D79" t="s">
        <v>897</v>
      </c>
      <c r="E79" t="s">
        <v>545</v>
      </c>
      <c r="F79">
        <v>712</v>
      </c>
      <c r="G79">
        <v>18.647961786293347</v>
      </c>
      <c r="H79">
        <v>13277.348791840863</v>
      </c>
      <c r="I79" t="s">
        <v>541</v>
      </c>
    </row>
    <row r="80" spans="1:9" x14ac:dyDescent="0.25">
      <c r="A80" t="s">
        <v>220</v>
      </c>
      <c r="B80" t="s">
        <v>588</v>
      </c>
      <c r="C80" t="s">
        <v>898</v>
      </c>
      <c r="D80" t="s">
        <v>899</v>
      </c>
      <c r="E80" t="s">
        <v>545</v>
      </c>
      <c r="F80">
        <v>60</v>
      </c>
      <c r="G80">
        <v>14.21146013360571</v>
      </c>
      <c r="H80">
        <v>852.68760801634266</v>
      </c>
      <c r="I80" t="s">
        <v>541</v>
      </c>
    </row>
    <row r="81" spans="1:9" x14ac:dyDescent="0.25">
      <c r="A81" t="s">
        <v>220</v>
      </c>
      <c r="B81" t="s">
        <v>588</v>
      </c>
      <c r="C81" t="s">
        <v>900</v>
      </c>
      <c r="D81" t="s">
        <v>901</v>
      </c>
      <c r="E81" t="s">
        <v>545</v>
      </c>
      <c r="F81">
        <v>100</v>
      </c>
      <c r="G81">
        <v>12.246265453746195</v>
      </c>
      <c r="H81">
        <v>1224.6265453746196</v>
      </c>
      <c r="I81" t="s">
        <v>541</v>
      </c>
    </row>
    <row r="82" spans="1:9" x14ac:dyDescent="0.25">
      <c r="A82" t="s">
        <v>220</v>
      </c>
      <c r="B82" t="s">
        <v>588</v>
      </c>
      <c r="C82" t="s">
        <v>902</v>
      </c>
      <c r="D82" t="s">
        <v>903</v>
      </c>
      <c r="E82" t="s">
        <v>545</v>
      </c>
      <c r="F82">
        <v>1755</v>
      </c>
      <c r="G82">
        <v>8.2255219304087159</v>
      </c>
      <c r="H82">
        <v>14435.790987867296</v>
      </c>
      <c r="I82" t="s">
        <v>541</v>
      </c>
    </row>
    <row r="83" spans="1:9" x14ac:dyDescent="0.25">
      <c r="A83" t="s">
        <v>220</v>
      </c>
      <c r="B83" t="s">
        <v>588</v>
      </c>
      <c r="C83" t="s">
        <v>813</v>
      </c>
      <c r="D83" t="s">
        <v>904</v>
      </c>
      <c r="E83" t="s">
        <v>545</v>
      </c>
      <c r="F83">
        <v>1462</v>
      </c>
      <c r="G83">
        <v>8.3328387556776438</v>
      </c>
      <c r="H83">
        <v>12182.610260800715</v>
      </c>
      <c r="I83" t="s">
        <v>541</v>
      </c>
    </row>
    <row r="84" spans="1:9" x14ac:dyDescent="0.25">
      <c r="A84" t="s">
        <v>220</v>
      </c>
      <c r="B84" t="s">
        <v>588</v>
      </c>
      <c r="C84" t="s">
        <v>905</v>
      </c>
      <c r="D84" t="s">
        <v>906</v>
      </c>
      <c r="E84" t="s">
        <v>545</v>
      </c>
      <c r="F84">
        <v>384</v>
      </c>
      <c r="G84">
        <v>6.8624613913190524</v>
      </c>
      <c r="H84">
        <v>2635.1851742665162</v>
      </c>
      <c r="I84" t="s">
        <v>541</v>
      </c>
    </row>
    <row r="85" spans="1:9" x14ac:dyDescent="0.25">
      <c r="A85" t="s">
        <v>220</v>
      </c>
      <c r="B85" t="s">
        <v>588</v>
      </c>
      <c r="C85" t="s">
        <v>907</v>
      </c>
      <c r="D85" t="s">
        <v>908</v>
      </c>
      <c r="E85" t="s">
        <v>545</v>
      </c>
      <c r="F85">
        <v>104</v>
      </c>
      <c r="G85">
        <v>36.09955101660929</v>
      </c>
      <c r="H85">
        <v>3754.3533057273662</v>
      </c>
      <c r="I85" t="s">
        <v>541</v>
      </c>
    </row>
    <row r="86" spans="1:9" x14ac:dyDescent="0.25">
      <c r="A86" t="s">
        <v>220</v>
      </c>
      <c r="B86" t="s">
        <v>588</v>
      </c>
      <c r="C86" t="s">
        <v>909</v>
      </c>
      <c r="D86" t="s">
        <v>910</v>
      </c>
      <c r="E86" t="s">
        <v>545</v>
      </c>
      <c r="F86">
        <v>800</v>
      </c>
      <c r="G86">
        <v>5.3465483171323109</v>
      </c>
      <c r="H86">
        <v>4277.2386537058492</v>
      </c>
      <c r="I86" t="s">
        <v>541</v>
      </c>
    </row>
    <row r="87" spans="1:9" x14ac:dyDescent="0.25">
      <c r="A87" t="s">
        <v>220</v>
      </c>
      <c r="B87" t="s">
        <v>588</v>
      </c>
      <c r="C87" t="s">
        <v>911</v>
      </c>
      <c r="D87" t="s">
        <v>912</v>
      </c>
      <c r="E87" t="s">
        <v>545</v>
      </c>
      <c r="F87">
        <v>444</v>
      </c>
      <c r="G87">
        <v>5.6279861703687351</v>
      </c>
      <c r="H87">
        <v>2498.8258596437186</v>
      </c>
      <c r="I87" t="s">
        <v>541</v>
      </c>
    </row>
    <row r="88" spans="1:9" x14ac:dyDescent="0.25">
      <c r="A88" t="s">
        <v>220</v>
      </c>
      <c r="B88" t="s">
        <v>588</v>
      </c>
      <c r="C88" t="s">
        <v>913</v>
      </c>
      <c r="D88" t="s">
        <v>914</v>
      </c>
      <c r="E88" t="s">
        <v>545</v>
      </c>
      <c r="F88">
        <v>714</v>
      </c>
      <c r="G88">
        <v>5.854190761007608</v>
      </c>
      <c r="H88">
        <v>4179.8922033594317</v>
      </c>
      <c r="I88" t="s">
        <v>541</v>
      </c>
    </row>
    <row r="89" spans="1:9" x14ac:dyDescent="0.25">
      <c r="A89" t="s">
        <v>220</v>
      </c>
      <c r="B89" t="s">
        <v>588</v>
      </c>
      <c r="C89" t="s">
        <v>915</v>
      </c>
      <c r="D89" t="s">
        <v>916</v>
      </c>
      <c r="E89" t="s">
        <v>545</v>
      </c>
      <c r="F89">
        <v>880</v>
      </c>
      <c r="G89">
        <v>7.4250694049188937</v>
      </c>
      <c r="H89">
        <v>6534.0610763286268</v>
      </c>
      <c r="I89" t="s">
        <v>541</v>
      </c>
    </row>
    <row r="90" spans="1:9" x14ac:dyDescent="0.25">
      <c r="A90" t="s">
        <v>220</v>
      </c>
      <c r="B90" t="s">
        <v>588</v>
      </c>
      <c r="C90" t="s">
        <v>917</v>
      </c>
      <c r="D90" t="s">
        <v>918</v>
      </c>
      <c r="E90" t="s">
        <v>545</v>
      </c>
      <c r="F90">
        <v>229</v>
      </c>
      <c r="G90">
        <v>4.5909629006197479</v>
      </c>
      <c r="H90">
        <v>1051.3305042419222</v>
      </c>
      <c r="I90" t="s">
        <v>541</v>
      </c>
    </row>
    <row r="91" spans="1:9" x14ac:dyDescent="0.25">
      <c r="A91" t="s">
        <v>220</v>
      </c>
      <c r="B91" t="s">
        <v>588</v>
      </c>
      <c r="C91" t="s">
        <v>919</v>
      </c>
      <c r="D91" t="s">
        <v>920</v>
      </c>
      <c r="E91" t="s">
        <v>545</v>
      </c>
      <c r="F91">
        <v>50</v>
      </c>
      <c r="G91">
        <v>4.4719410869346516</v>
      </c>
      <c r="H91">
        <v>223.59705434673259</v>
      </c>
      <c r="I91" t="s">
        <v>541</v>
      </c>
    </row>
    <row r="92" spans="1:9" x14ac:dyDescent="0.25">
      <c r="A92" t="s">
        <v>220</v>
      </c>
      <c r="B92" t="s">
        <v>588</v>
      </c>
      <c r="C92" t="s">
        <v>921</v>
      </c>
      <c r="D92" t="s">
        <v>922</v>
      </c>
      <c r="E92" t="s">
        <v>545</v>
      </c>
      <c r="F92">
        <v>2502</v>
      </c>
      <c r="G92">
        <v>4.4514939447333353</v>
      </c>
      <c r="H92">
        <v>11137.637849722805</v>
      </c>
      <c r="I92" t="s">
        <v>541</v>
      </c>
    </row>
    <row r="93" spans="1:9" x14ac:dyDescent="0.25">
      <c r="A93" t="s">
        <v>220</v>
      </c>
      <c r="B93" t="s">
        <v>588</v>
      </c>
      <c r="C93" t="s">
        <v>923</v>
      </c>
      <c r="D93" t="s">
        <v>924</v>
      </c>
      <c r="E93" t="s">
        <v>545</v>
      </c>
      <c r="F93">
        <v>33</v>
      </c>
      <c r="G93">
        <v>1.8058866423822733</v>
      </c>
      <c r="H93">
        <v>59.594259198615021</v>
      </c>
      <c r="I93" t="s">
        <v>541</v>
      </c>
    </row>
    <row r="94" spans="1:9" x14ac:dyDescent="0.25">
      <c r="A94" t="s">
        <v>220</v>
      </c>
      <c r="B94" t="s">
        <v>588</v>
      </c>
      <c r="C94" t="s">
        <v>925</v>
      </c>
      <c r="D94" t="s">
        <v>926</v>
      </c>
      <c r="E94" t="s">
        <v>545</v>
      </c>
      <c r="F94">
        <v>100</v>
      </c>
      <c r="G94">
        <v>1.6838572466932886</v>
      </c>
      <c r="H94">
        <v>168.38572466932885</v>
      </c>
      <c r="I94" t="s">
        <v>541</v>
      </c>
    </row>
    <row r="95" spans="1:9" x14ac:dyDescent="0.25">
      <c r="A95" t="s">
        <v>220</v>
      </c>
      <c r="B95" t="s">
        <v>588</v>
      </c>
      <c r="C95" t="s">
        <v>927</v>
      </c>
      <c r="D95" t="s">
        <v>928</v>
      </c>
      <c r="E95" t="s">
        <v>545</v>
      </c>
      <c r="F95">
        <v>166</v>
      </c>
      <c r="G95">
        <v>1.7375056995890412</v>
      </c>
      <c r="H95">
        <v>288.42594613178085</v>
      </c>
      <c r="I95" t="s">
        <v>541</v>
      </c>
    </row>
    <row r="96" spans="1:9" x14ac:dyDescent="0.25">
      <c r="A96" t="s">
        <v>220</v>
      </c>
      <c r="B96" t="s">
        <v>588</v>
      </c>
      <c r="C96" t="s">
        <v>929</v>
      </c>
      <c r="D96" t="s">
        <v>930</v>
      </c>
      <c r="E96" t="s">
        <v>545</v>
      </c>
      <c r="F96">
        <v>2400</v>
      </c>
      <c r="G96">
        <v>3.1509544104832674</v>
      </c>
      <c r="H96">
        <v>7562.2905851598416</v>
      </c>
      <c r="I96" t="s">
        <v>541</v>
      </c>
    </row>
    <row r="97" spans="1:9" x14ac:dyDescent="0.25">
      <c r="A97" t="s">
        <v>220</v>
      </c>
      <c r="B97" t="s">
        <v>588</v>
      </c>
      <c r="C97" t="s">
        <v>931</v>
      </c>
      <c r="D97" t="s">
        <v>932</v>
      </c>
      <c r="E97" t="s">
        <v>545</v>
      </c>
      <c r="F97">
        <v>600</v>
      </c>
      <c r="G97">
        <v>3.1509544104832674</v>
      </c>
      <c r="H97">
        <v>1890.5726462899604</v>
      </c>
      <c r="I97" t="s">
        <v>541</v>
      </c>
    </row>
    <row r="98" spans="1:9" x14ac:dyDescent="0.25">
      <c r="A98" t="s">
        <v>220</v>
      </c>
      <c r="B98" t="s">
        <v>588</v>
      </c>
      <c r="C98" t="s">
        <v>933</v>
      </c>
      <c r="D98" t="s">
        <v>934</v>
      </c>
      <c r="E98" t="s">
        <v>545</v>
      </c>
      <c r="F98">
        <v>126</v>
      </c>
      <c r="G98">
        <v>3.587914531954393</v>
      </c>
      <c r="H98">
        <v>452.07723102625351</v>
      </c>
      <c r="I98" t="s">
        <v>541</v>
      </c>
    </row>
    <row r="99" spans="1:9" x14ac:dyDescent="0.25">
      <c r="A99" t="s">
        <v>220</v>
      </c>
      <c r="B99" t="s">
        <v>588</v>
      </c>
      <c r="C99" t="s">
        <v>935</v>
      </c>
      <c r="D99" t="s">
        <v>936</v>
      </c>
      <c r="E99" t="s">
        <v>545</v>
      </c>
      <c r="F99">
        <v>112</v>
      </c>
      <c r="G99">
        <v>3.6576161250341985</v>
      </c>
      <c r="H99">
        <v>409.65300600383023</v>
      </c>
      <c r="I99" t="s">
        <v>541</v>
      </c>
    </row>
    <row r="100" spans="1:9" x14ac:dyDescent="0.25">
      <c r="A100" t="s">
        <v>220</v>
      </c>
      <c r="B100" t="s">
        <v>588</v>
      </c>
      <c r="C100" t="s">
        <v>937</v>
      </c>
      <c r="D100" t="s">
        <v>938</v>
      </c>
      <c r="E100" t="s">
        <v>545</v>
      </c>
      <c r="F100">
        <v>5300</v>
      </c>
      <c r="G100">
        <v>3.9807723446062244</v>
      </c>
      <c r="H100">
        <v>21098.09342641299</v>
      </c>
      <c r="I100" t="s">
        <v>541</v>
      </c>
    </row>
    <row r="101" spans="1:9" x14ac:dyDescent="0.25">
      <c r="A101" t="s">
        <v>220</v>
      </c>
      <c r="B101" t="s">
        <v>588</v>
      </c>
      <c r="C101" t="s">
        <v>939</v>
      </c>
      <c r="D101" t="s">
        <v>940</v>
      </c>
      <c r="E101" t="s">
        <v>545</v>
      </c>
      <c r="F101">
        <v>5208</v>
      </c>
      <c r="G101">
        <v>4.0455078400798747</v>
      </c>
      <c r="H101">
        <v>21069.004831135986</v>
      </c>
      <c r="I101" t="s">
        <v>541</v>
      </c>
    </row>
    <row r="102" spans="1:9" x14ac:dyDescent="0.25">
      <c r="A102" t="s">
        <v>220</v>
      </c>
      <c r="B102" t="s">
        <v>588</v>
      </c>
      <c r="C102" t="s">
        <v>941</v>
      </c>
      <c r="D102" t="s">
        <v>942</v>
      </c>
      <c r="E102" t="s">
        <v>545</v>
      </c>
      <c r="F102">
        <v>182</v>
      </c>
      <c r="G102">
        <v>0.24200000000000002</v>
      </c>
      <c r="H102">
        <v>44.044000000000004</v>
      </c>
      <c r="I102" t="s">
        <v>541</v>
      </c>
    </row>
    <row r="103" spans="1:9" x14ac:dyDescent="0.25">
      <c r="A103" t="s">
        <v>220</v>
      </c>
      <c r="B103" t="s">
        <v>588</v>
      </c>
      <c r="C103" t="s">
        <v>943</v>
      </c>
      <c r="D103" t="s">
        <v>944</v>
      </c>
      <c r="E103" t="s">
        <v>545</v>
      </c>
      <c r="F103">
        <v>414</v>
      </c>
      <c r="G103">
        <v>4.8445442390232882</v>
      </c>
      <c r="H103">
        <v>2005.6413149556413</v>
      </c>
      <c r="I103" t="s">
        <v>541</v>
      </c>
    </row>
    <row r="104" spans="1:9" x14ac:dyDescent="0.25">
      <c r="A104" t="s">
        <v>220</v>
      </c>
      <c r="B104" t="s">
        <v>588</v>
      </c>
      <c r="C104" t="s">
        <v>945</v>
      </c>
      <c r="D104" t="s">
        <v>946</v>
      </c>
      <c r="E104" t="s">
        <v>545</v>
      </c>
      <c r="F104">
        <v>774</v>
      </c>
      <c r="G104">
        <v>4.07</v>
      </c>
      <c r="H104">
        <v>3150.1800000000003</v>
      </c>
      <c r="I104" t="s">
        <v>541</v>
      </c>
    </row>
    <row r="105" spans="1:9" x14ac:dyDescent="0.25">
      <c r="A105" t="s">
        <v>220</v>
      </c>
      <c r="B105" t="s">
        <v>588</v>
      </c>
      <c r="C105" t="s">
        <v>947</v>
      </c>
      <c r="D105" t="s">
        <v>948</v>
      </c>
      <c r="E105" t="s">
        <v>545</v>
      </c>
      <c r="F105">
        <v>51</v>
      </c>
      <c r="G105">
        <v>5.2794782884201883</v>
      </c>
      <c r="H105">
        <v>269.25339270942959</v>
      </c>
      <c r="I105" t="s">
        <v>541</v>
      </c>
    </row>
    <row r="106" spans="1:9" x14ac:dyDescent="0.25">
      <c r="A106" t="s">
        <v>220</v>
      </c>
      <c r="B106" t="s">
        <v>588</v>
      </c>
      <c r="C106" t="s">
        <v>949</v>
      </c>
      <c r="D106" t="s">
        <v>950</v>
      </c>
      <c r="E106" t="s">
        <v>545</v>
      </c>
      <c r="F106">
        <v>2560</v>
      </c>
      <c r="G106">
        <v>4.6089807827158351</v>
      </c>
      <c r="H106">
        <v>11798.990803752538</v>
      </c>
      <c r="I106" t="s">
        <v>541</v>
      </c>
    </row>
    <row r="107" spans="1:9" x14ac:dyDescent="0.25">
      <c r="A107" t="s">
        <v>220</v>
      </c>
      <c r="B107" t="s">
        <v>588</v>
      </c>
      <c r="C107" t="s">
        <v>951</v>
      </c>
      <c r="D107" t="s">
        <v>952</v>
      </c>
      <c r="E107" t="s">
        <v>545</v>
      </c>
      <c r="F107">
        <v>449</v>
      </c>
      <c r="G107">
        <v>4.803858124576502</v>
      </c>
      <c r="H107">
        <v>2156.9322979348494</v>
      </c>
      <c r="I107" t="s">
        <v>541</v>
      </c>
    </row>
    <row r="108" spans="1:9" x14ac:dyDescent="0.25">
      <c r="A108" t="s">
        <v>220</v>
      </c>
      <c r="B108" t="s">
        <v>588</v>
      </c>
      <c r="C108" t="s">
        <v>953</v>
      </c>
      <c r="D108" t="s">
        <v>954</v>
      </c>
      <c r="E108" t="s">
        <v>545</v>
      </c>
      <c r="F108">
        <v>138</v>
      </c>
      <c r="G108">
        <v>4.4216736198325099</v>
      </c>
      <c r="H108">
        <v>610.19095953688634</v>
      </c>
      <c r="I108" t="s">
        <v>541</v>
      </c>
    </row>
    <row r="109" spans="1:9" x14ac:dyDescent="0.25">
      <c r="A109" t="s">
        <v>220</v>
      </c>
      <c r="B109" t="s">
        <v>588</v>
      </c>
      <c r="C109" t="s">
        <v>955</v>
      </c>
      <c r="D109" t="s">
        <v>956</v>
      </c>
      <c r="E109" t="s">
        <v>545</v>
      </c>
      <c r="F109">
        <v>6432</v>
      </c>
      <c r="G109">
        <v>4.3893574056383295</v>
      </c>
      <c r="H109">
        <v>28232.346833065734</v>
      </c>
      <c r="I109" t="s">
        <v>541</v>
      </c>
    </row>
    <row r="110" spans="1:9" x14ac:dyDescent="0.25">
      <c r="A110" t="s">
        <v>220</v>
      </c>
      <c r="B110" t="s">
        <v>588</v>
      </c>
      <c r="C110" t="s">
        <v>957</v>
      </c>
      <c r="D110" t="s">
        <v>958</v>
      </c>
      <c r="E110" t="s">
        <v>545</v>
      </c>
      <c r="F110">
        <v>2751</v>
      </c>
      <c r="G110">
        <v>4.3222877881831794</v>
      </c>
      <c r="H110">
        <v>11890.613705291926</v>
      </c>
      <c r="I110" t="s">
        <v>541</v>
      </c>
    </row>
    <row r="111" spans="1:9" x14ac:dyDescent="0.25">
      <c r="A111" t="s">
        <v>220</v>
      </c>
      <c r="B111" t="s">
        <v>588</v>
      </c>
      <c r="C111" t="s">
        <v>959</v>
      </c>
      <c r="D111" t="s">
        <v>960</v>
      </c>
      <c r="E111" t="s">
        <v>545</v>
      </c>
      <c r="F111">
        <v>6378</v>
      </c>
      <c r="G111">
        <v>4.4061320806702424</v>
      </c>
      <c r="H111">
        <v>28102.310410514805</v>
      </c>
      <c r="I111" t="s">
        <v>541</v>
      </c>
    </row>
    <row r="112" spans="1:9" x14ac:dyDescent="0.25">
      <c r="A112" t="s">
        <v>220</v>
      </c>
      <c r="B112" t="s">
        <v>588</v>
      </c>
      <c r="C112" t="s">
        <v>961</v>
      </c>
      <c r="D112" t="s">
        <v>962</v>
      </c>
      <c r="E112" t="s">
        <v>545</v>
      </c>
      <c r="F112">
        <v>271</v>
      </c>
      <c r="G112">
        <v>4.9036150838996004</v>
      </c>
      <c r="H112">
        <v>1328.8796877367918</v>
      </c>
      <c r="I112" t="s">
        <v>541</v>
      </c>
    </row>
    <row r="113" spans="1:9" x14ac:dyDescent="0.25">
      <c r="A113" t="s">
        <v>220</v>
      </c>
      <c r="B113" t="s">
        <v>588</v>
      </c>
      <c r="C113" t="s">
        <v>963</v>
      </c>
      <c r="D113" t="s">
        <v>964</v>
      </c>
      <c r="E113" t="s">
        <v>545</v>
      </c>
      <c r="F113">
        <v>1435</v>
      </c>
      <c r="G113">
        <v>3.2293108743729602</v>
      </c>
      <c r="H113">
        <v>4634.0611047251978</v>
      </c>
      <c r="I113" t="s">
        <v>541</v>
      </c>
    </row>
    <row r="114" spans="1:9" x14ac:dyDescent="0.25">
      <c r="A114" t="s">
        <v>220</v>
      </c>
      <c r="B114" t="s">
        <v>588</v>
      </c>
      <c r="C114" t="s">
        <v>965</v>
      </c>
      <c r="D114" t="s">
        <v>966</v>
      </c>
      <c r="E114" t="s">
        <v>545</v>
      </c>
      <c r="F114">
        <v>384</v>
      </c>
      <c r="G114">
        <v>5.5569070193330568</v>
      </c>
      <c r="H114">
        <v>2133.8522954238938</v>
      </c>
      <c r="I114" t="s">
        <v>541</v>
      </c>
    </row>
    <row r="115" spans="1:9" x14ac:dyDescent="0.25">
      <c r="A115" t="s">
        <v>220</v>
      </c>
      <c r="B115" t="s">
        <v>588</v>
      </c>
      <c r="C115" t="s">
        <v>967</v>
      </c>
      <c r="D115" t="s">
        <v>968</v>
      </c>
      <c r="E115" t="s">
        <v>545</v>
      </c>
      <c r="F115">
        <v>3500</v>
      </c>
      <c r="G115">
        <v>4.8250600596433681</v>
      </c>
      <c r="H115">
        <v>16887.710208751789</v>
      </c>
      <c r="I115" t="s">
        <v>541</v>
      </c>
    </row>
    <row r="116" spans="1:9" x14ac:dyDescent="0.25">
      <c r="A116" t="s">
        <v>220</v>
      </c>
      <c r="B116" t="s">
        <v>588</v>
      </c>
      <c r="C116" t="s">
        <v>969</v>
      </c>
      <c r="D116" t="s">
        <v>970</v>
      </c>
      <c r="E116" t="s">
        <v>545</v>
      </c>
      <c r="F116">
        <v>11928</v>
      </c>
      <c r="G116">
        <v>4.5515163947246835</v>
      </c>
      <c r="H116">
        <v>54290.487556276028</v>
      </c>
      <c r="I116" t="s">
        <v>541</v>
      </c>
    </row>
    <row r="117" spans="1:9" x14ac:dyDescent="0.25">
      <c r="A117" t="s">
        <v>220</v>
      </c>
      <c r="B117" t="s">
        <v>588</v>
      </c>
      <c r="C117" t="s">
        <v>971</v>
      </c>
      <c r="D117" t="s">
        <v>972</v>
      </c>
      <c r="E117" t="s">
        <v>545</v>
      </c>
      <c r="F117">
        <v>10325</v>
      </c>
      <c r="G117">
        <v>4.9675987977375646</v>
      </c>
      <c r="H117">
        <v>51290.457586640354</v>
      </c>
      <c r="I117" t="s">
        <v>541</v>
      </c>
    </row>
    <row r="118" spans="1:9" x14ac:dyDescent="0.25">
      <c r="A118" t="s">
        <v>220</v>
      </c>
      <c r="B118" t="s">
        <v>588</v>
      </c>
      <c r="C118" t="s">
        <v>973</v>
      </c>
      <c r="D118" t="s">
        <v>974</v>
      </c>
      <c r="E118" t="s">
        <v>545</v>
      </c>
      <c r="F118">
        <v>35</v>
      </c>
      <c r="G118">
        <v>6.2201157594826944</v>
      </c>
      <c r="H118">
        <v>217.7040515818943</v>
      </c>
      <c r="I118" t="s">
        <v>541</v>
      </c>
    </row>
    <row r="119" spans="1:9" x14ac:dyDescent="0.25">
      <c r="A119" t="s">
        <v>220</v>
      </c>
      <c r="B119" t="s">
        <v>588</v>
      </c>
      <c r="C119" t="s">
        <v>975</v>
      </c>
      <c r="D119" t="s">
        <v>976</v>
      </c>
      <c r="E119" t="s">
        <v>545</v>
      </c>
      <c r="F119">
        <v>29</v>
      </c>
      <c r="G119">
        <v>5.5717188019478296</v>
      </c>
      <c r="H119">
        <v>161.57984525648706</v>
      </c>
      <c r="I119" t="s">
        <v>541</v>
      </c>
    </row>
    <row r="120" spans="1:9" x14ac:dyDescent="0.25">
      <c r="A120" t="s">
        <v>220</v>
      </c>
      <c r="B120" t="s">
        <v>588</v>
      </c>
      <c r="C120" t="s">
        <v>977</v>
      </c>
      <c r="D120" t="s">
        <v>978</v>
      </c>
      <c r="E120" t="s">
        <v>545</v>
      </c>
      <c r="F120">
        <v>44</v>
      </c>
      <c r="G120">
        <v>6.8493448357360753</v>
      </c>
      <c r="H120">
        <v>301.3711727723873</v>
      </c>
      <c r="I120" t="s">
        <v>541</v>
      </c>
    </row>
    <row r="121" spans="1:9" x14ac:dyDescent="0.25">
      <c r="A121" t="s">
        <v>220</v>
      </c>
      <c r="B121" t="s">
        <v>588</v>
      </c>
      <c r="C121" t="s">
        <v>979</v>
      </c>
      <c r="D121" t="s">
        <v>980</v>
      </c>
      <c r="E121" t="s">
        <v>545</v>
      </c>
      <c r="F121">
        <v>2412</v>
      </c>
      <c r="G121">
        <v>5.0414773035907157</v>
      </c>
      <c r="H121">
        <v>12160.043256260806</v>
      </c>
      <c r="I121" t="s">
        <v>541</v>
      </c>
    </row>
    <row r="122" spans="1:9" x14ac:dyDescent="0.25">
      <c r="A122" t="s">
        <v>220</v>
      </c>
      <c r="B122" t="s">
        <v>588</v>
      </c>
      <c r="C122" t="s">
        <v>981</v>
      </c>
      <c r="D122" t="s">
        <v>982</v>
      </c>
      <c r="E122" t="s">
        <v>545</v>
      </c>
      <c r="F122">
        <v>17655</v>
      </c>
      <c r="G122">
        <v>4.6987424784527319</v>
      </c>
      <c r="H122">
        <v>82956.298457082987</v>
      </c>
      <c r="I122" t="s">
        <v>541</v>
      </c>
    </row>
    <row r="123" spans="1:9" x14ac:dyDescent="0.25">
      <c r="A123" t="s">
        <v>220</v>
      </c>
      <c r="B123" t="s">
        <v>588</v>
      </c>
      <c r="C123" t="s">
        <v>983</v>
      </c>
      <c r="D123" t="s">
        <v>984</v>
      </c>
      <c r="E123" t="s">
        <v>545</v>
      </c>
      <c r="F123">
        <v>1520</v>
      </c>
      <c r="G123">
        <v>5.9459098552887735</v>
      </c>
      <c r="H123">
        <v>9037.7829800389354</v>
      </c>
      <c r="I123" t="s">
        <v>541</v>
      </c>
    </row>
    <row r="124" spans="1:9" x14ac:dyDescent="0.25">
      <c r="A124" t="s">
        <v>220</v>
      </c>
      <c r="B124" t="s">
        <v>588</v>
      </c>
      <c r="C124" t="s">
        <v>985</v>
      </c>
      <c r="D124" t="s">
        <v>986</v>
      </c>
      <c r="E124" t="s">
        <v>545</v>
      </c>
      <c r="F124">
        <v>5289</v>
      </c>
      <c r="G124">
        <v>5.6759544776879727</v>
      </c>
      <c r="H124">
        <v>30020.123232491689</v>
      </c>
      <c r="I124" t="s">
        <v>541</v>
      </c>
    </row>
    <row r="125" spans="1:9" x14ac:dyDescent="0.25">
      <c r="A125" t="s">
        <v>220</v>
      </c>
      <c r="B125" t="s">
        <v>588</v>
      </c>
      <c r="C125" t="s">
        <v>987</v>
      </c>
      <c r="D125" t="s">
        <v>988</v>
      </c>
      <c r="E125" t="s">
        <v>545</v>
      </c>
      <c r="F125">
        <v>699</v>
      </c>
      <c r="G125">
        <v>0.45100000000000001</v>
      </c>
      <c r="H125">
        <v>315.24900000000002</v>
      </c>
      <c r="I125" t="s">
        <v>541</v>
      </c>
    </row>
    <row r="126" spans="1:9" x14ac:dyDescent="0.25">
      <c r="A126" t="s">
        <v>220</v>
      </c>
      <c r="B126" t="s">
        <v>588</v>
      </c>
      <c r="C126" t="s">
        <v>989</v>
      </c>
      <c r="D126" t="s">
        <v>990</v>
      </c>
      <c r="E126" t="s">
        <v>545</v>
      </c>
      <c r="F126">
        <v>27</v>
      </c>
      <c r="G126">
        <v>6.4735627942378278</v>
      </c>
      <c r="H126">
        <v>174.78619544442134</v>
      </c>
      <c r="I126" t="s">
        <v>541</v>
      </c>
    </row>
    <row r="127" spans="1:9" x14ac:dyDescent="0.25">
      <c r="A127" t="s">
        <v>220</v>
      </c>
      <c r="B127" t="s">
        <v>588</v>
      </c>
      <c r="C127" t="s">
        <v>991</v>
      </c>
      <c r="D127" t="s">
        <v>992</v>
      </c>
      <c r="E127" t="s">
        <v>545</v>
      </c>
      <c r="F127">
        <v>862</v>
      </c>
      <c r="G127">
        <v>4.2218079140908236</v>
      </c>
      <c r="H127">
        <v>3639.1984219462897</v>
      </c>
      <c r="I127" t="s">
        <v>541</v>
      </c>
    </row>
    <row r="128" spans="1:9" x14ac:dyDescent="0.25">
      <c r="A128" t="s">
        <v>220</v>
      </c>
      <c r="B128" t="s">
        <v>588</v>
      </c>
      <c r="C128" t="s">
        <v>993</v>
      </c>
      <c r="D128" t="s">
        <v>994</v>
      </c>
      <c r="E128" t="s">
        <v>545</v>
      </c>
      <c r="F128">
        <v>127</v>
      </c>
      <c r="G128">
        <v>3.6604320471050991</v>
      </c>
      <c r="H128">
        <v>464.8748699823476</v>
      </c>
      <c r="I128" t="s">
        <v>541</v>
      </c>
    </row>
    <row r="129" spans="1:9" x14ac:dyDescent="0.25">
      <c r="A129" t="s">
        <v>220</v>
      </c>
      <c r="B129" t="s">
        <v>588</v>
      </c>
      <c r="C129" t="s">
        <v>995</v>
      </c>
      <c r="D129" t="s">
        <v>996</v>
      </c>
      <c r="E129" t="s">
        <v>545</v>
      </c>
      <c r="F129">
        <v>918</v>
      </c>
      <c r="G129">
        <v>5.0516859086628108</v>
      </c>
      <c r="H129">
        <v>4637.4476641524607</v>
      </c>
      <c r="I129" t="s">
        <v>541</v>
      </c>
    </row>
    <row r="130" spans="1:9" x14ac:dyDescent="0.25">
      <c r="A130" t="s">
        <v>220</v>
      </c>
      <c r="B130" t="s">
        <v>588</v>
      </c>
      <c r="C130" t="s">
        <v>999</v>
      </c>
      <c r="D130" t="s">
        <v>1000</v>
      </c>
      <c r="E130" t="s">
        <v>545</v>
      </c>
      <c r="F130">
        <v>3052</v>
      </c>
      <c r="G130">
        <v>5.0447237448788744</v>
      </c>
      <c r="H130">
        <v>15396.496869370325</v>
      </c>
      <c r="I130" t="s">
        <v>541</v>
      </c>
    </row>
    <row r="131" spans="1:9" x14ac:dyDescent="0.25">
      <c r="A131" t="s">
        <v>220</v>
      </c>
      <c r="B131" t="s">
        <v>588</v>
      </c>
      <c r="C131" t="s">
        <v>1001</v>
      </c>
      <c r="D131" t="s">
        <v>1002</v>
      </c>
      <c r="E131" t="s">
        <v>545</v>
      </c>
      <c r="F131">
        <v>32</v>
      </c>
      <c r="G131">
        <v>9.0035729357088083</v>
      </c>
      <c r="H131">
        <v>288.11433394268187</v>
      </c>
      <c r="I131" t="s">
        <v>541</v>
      </c>
    </row>
    <row r="132" spans="1:9" x14ac:dyDescent="0.25">
      <c r="A132" t="s">
        <v>220</v>
      </c>
      <c r="B132" t="s">
        <v>588</v>
      </c>
      <c r="C132" t="s">
        <v>819</v>
      </c>
      <c r="D132" t="s">
        <v>820</v>
      </c>
      <c r="E132" t="s">
        <v>545</v>
      </c>
      <c r="F132">
        <v>4432</v>
      </c>
      <c r="G132">
        <v>3.1402019961046164</v>
      </c>
      <c r="H132">
        <v>13917.375246735659</v>
      </c>
      <c r="I132" t="s">
        <v>541</v>
      </c>
    </row>
    <row r="133" spans="1:9" x14ac:dyDescent="0.25">
      <c r="A133" t="s">
        <v>220</v>
      </c>
      <c r="B133" t="s">
        <v>588</v>
      </c>
      <c r="C133" t="s">
        <v>1003</v>
      </c>
      <c r="D133" t="s">
        <v>1004</v>
      </c>
      <c r="E133" t="s">
        <v>545</v>
      </c>
      <c r="F133">
        <v>241</v>
      </c>
      <c r="G133">
        <v>4.0065036896362285</v>
      </c>
      <c r="H133">
        <v>965.56738920233101</v>
      </c>
      <c r="I133" t="s">
        <v>541</v>
      </c>
    </row>
    <row r="134" spans="1:9" x14ac:dyDescent="0.25">
      <c r="A134" t="s">
        <v>220</v>
      </c>
      <c r="B134" t="s">
        <v>588</v>
      </c>
      <c r="C134" t="s">
        <v>1005</v>
      </c>
      <c r="D134" t="s">
        <v>1006</v>
      </c>
      <c r="E134" t="s">
        <v>545</v>
      </c>
      <c r="F134">
        <v>758</v>
      </c>
      <c r="G134">
        <v>3.0321303557388903</v>
      </c>
      <c r="H134">
        <v>2298.354809650079</v>
      </c>
      <c r="I134" t="s">
        <v>541</v>
      </c>
    </row>
    <row r="135" spans="1:9" x14ac:dyDescent="0.25">
      <c r="A135" t="s">
        <v>220</v>
      </c>
      <c r="B135" t="s">
        <v>588</v>
      </c>
      <c r="C135" t="s">
        <v>1011</v>
      </c>
      <c r="D135" t="s">
        <v>1012</v>
      </c>
      <c r="E135" t="s">
        <v>545</v>
      </c>
      <c r="F135">
        <v>1450</v>
      </c>
      <c r="G135">
        <v>3.760117911307387</v>
      </c>
      <c r="H135">
        <v>5452.1709713957116</v>
      </c>
      <c r="I135" t="s">
        <v>541</v>
      </c>
    </row>
    <row r="136" spans="1:9" x14ac:dyDescent="0.25">
      <c r="A136" t="s">
        <v>220</v>
      </c>
      <c r="B136" t="s">
        <v>588</v>
      </c>
      <c r="C136" t="s">
        <v>1013</v>
      </c>
      <c r="D136" t="s">
        <v>1014</v>
      </c>
      <c r="E136" t="s">
        <v>545</v>
      </c>
      <c r="F136">
        <v>550</v>
      </c>
      <c r="G136">
        <v>3.8291108592534551</v>
      </c>
      <c r="H136">
        <v>2106.0109725894004</v>
      </c>
      <c r="I136" t="s">
        <v>541</v>
      </c>
    </row>
    <row r="137" spans="1:9" x14ac:dyDescent="0.25">
      <c r="A137" t="s">
        <v>220</v>
      </c>
      <c r="B137" t="s">
        <v>588</v>
      </c>
      <c r="C137" t="s">
        <v>1015</v>
      </c>
      <c r="D137" t="s">
        <v>1016</v>
      </c>
      <c r="E137" t="s">
        <v>545</v>
      </c>
      <c r="F137">
        <v>394</v>
      </c>
      <c r="G137">
        <v>4.0292730848688931</v>
      </c>
      <c r="H137">
        <v>1587.5335954383438</v>
      </c>
      <c r="I137" t="s">
        <v>541</v>
      </c>
    </row>
    <row r="138" spans="1:9" x14ac:dyDescent="0.25">
      <c r="A138" t="s">
        <v>220</v>
      </c>
      <c r="B138" t="s">
        <v>588</v>
      </c>
      <c r="C138" t="s">
        <v>1017</v>
      </c>
      <c r="D138" t="s">
        <v>1018</v>
      </c>
      <c r="E138" t="s">
        <v>545</v>
      </c>
      <c r="F138">
        <v>361</v>
      </c>
      <c r="G138">
        <v>5.4119601166528746</v>
      </c>
      <c r="H138">
        <v>1953.7176021116877</v>
      </c>
      <c r="I138" t="s">
        <v>541</v>
      </c>
    </row>
    <row r="139" spans="1:9" x14ac:dyDescent="0.25">
      <c r="A139" t="s">
        <v>220</v>
      </c>
      <c r="B139" t="s">
        <v>588</v>
      </c>
      <c r="C139" t="s">
        <v>1019</v>
      </c>
      <c r="D139" t="s">
        <v>1020</v>
      </c>
      <c r="E139" t="s">
        <v>545</v>
      </c>
      <c r="F139">
        <v>61</v>
      </c>
      <c r="G139">
        <v>3.799210713387116</v>
      </c>
      <c r="H139">
        <v>231.75185351661409</v>
      </c>
      <c r="I139" t="s">
        <v>541</v>
      </c>
    </row>
    <row r="140" spans="1:9" x14ac:dyDescent="0.25">
      <c r="A140" t="s">
        <v>220</v>
      </c>
      <c r="B140" t="s">
        <v>588</v>
      </c>
      <c r="C140" t="s">
        <v>1021</v>
      </c>
      <c r="D140" t="s">
        <v>1022</v>
      </c>
      <c r="E140" t="s">
        <v>545</v>
      </c>
      <c r="F140">
        <v>139</v>
      </c>
      <c r="G140">
        <v>4.3210521017805297</v>
      </c>
      <c r="H140">
        <v>600.6262421474936</v>
      </c>
      <c r="I140" t="s">
        <v>541</v>
      </c>
    </row>
    <row r="141" spans="1:9" x14ac:dyDescent="0.25">
      <c r="A141" t="s">
        <v>220</v>
      </c>
      <c r="B141" t="s">
        <v>588</v>
      </c>
      <c r="C141" t="s">
        <v>1023</v>
      </c>
      <c r="D141" t="s">
        <v>1024</v>
      </c>
      <c r="E141" t="s">
        <v>545</v>
      </c>
      <c r="F141">
        <v>905</v>
      </c>
      <c r="G141">
        <v>5.5029647552872767</v>
      </c>
      <c r="H141">
        <v>4980.1831035349851</v>
      </c>
      <c r="I141" t="s">
        <v>541</v>
      </c>
    </row>
    <row r="142" spans="1:9" x14ac:dyDescent="0.25">
      <c r="A142" t="s">
        <v>220</v>
      </c>
      <c r="B142" t="s">
        <v>588</v>
      </c>
      <c r="C142" t="s">
        <v>1025</v>
      </c>
      <c r="D142" t="s">
        <v>1026</v>
      </c>
      <c r="E142" t="s">
        <v>545</v>
      </c>
      <c r="F142">
        <v>264</v>
      </c>
      <c r="G142">
        <v>7.0219269199166785</v>
      </c>
      <c r="H142">
        <v>1853.788706858003</v>
      </c>
      <c r="I142" t="s">
        <v>541</v>
      </c>
    </row>
    <row r="143" spans="1:9" x14ac:dyDescent="0.25">
      <c r="A143" t="s">
        <v>220</v>
      </c>
      <c r="B143" t="s">
        <v>588</v>
      </c>
      <c r="C143" t="s">
        <v>1027</v>
      </c>
      <c r="D143" t="s">
        <v>1028</v>
      </c>
      <c r="E143" t="s">
        <v>545</v>
      </c>
      <c r="F143">
        <v>877</v>
      </c>
      <c r="G143">
        <v>10.890478945301657</v>
      </c>
      <c r="H143">
        <v>9550.950035029553</v>
      </c>
      <c r="I143" t="s">
        <v>541</v>
      </c>
    </row>
    <row r="144" spans="1:9" x14ac:dyDescent="0.25">
      <c r="A144" t="s">
        <v>220</v>
      </c>
      <c r="B144" t="s">
        <v>588</v>
      </c>
      <c r="C144" t="s">
        <v>1029</v>
      </c>
      <c r="D144" t="s">
        <v>1030</v>
      </c>
      <c r="E144" t="s">
        <v>545</v>
      </c>
      <c r="F144">
        <v>140</v>
      </c>
      <c r="G144">
        <v>4.4280281866652915</v>
      </c>
      <c r="H144">
        <v>619.92394613314082</v>
      </c>
      <c r="I144" t="s">
        <v>541</v>
      </c>
    </row>
    <row r="145" spans="1:9" x14ac:dyDescent="0.25">
      <c r="A145" t="s">
        <v>220</v>
      </c>
      <c r="B145" t="s">
        <v>588</v>
      </c>
      <c r="C145" t="s">
        <v>1031</v>
      </c>
      <c r="D145" t="s">
        <v>1032</v>
      </c>
      <c r="E145" t="s">
        <v>545</v>
      </c>
      <c r="F145">
        <v>1992</v>
      </c>
      <c r="G145">
        <v>6.3177269143451698</v>
      </c>
      <c r="H145">
        <v>12584.912013375579</v>
      </c>
      <c r="I145" t="s">
        <v>541</v>
      </c>
    </row>
    <row r="146" spans="1:9" x14ac:dyDescent="0.25">
      <c r="A146" t="s">
        <v>220</v>
      </c>
      <c r="B146" t="s">
        <v>588</v>
      </c>
      <c r="C146" t="s">
        <v>1033</v>
      </c>
      <c r="D146" t="s">
        <v>1034</v>
      </c>
      <c r="E146" t="s">
        <v>545</v>
      </c>
      <c r="F146">
        <v>32</v>
      </c>
      <c r="G146">
        <v>3.4670000000000001</v>
      </c>
      <c r="H146">
        <v>110.944</v>
      </c>
      <c r="I146" t="s">
        <v>541</v>
      </c>
    </row>
    <row r="147" spans="1:9" x14ac:dyDescent="0.25">
      <c r="A147" t="s">
        <v>220</v>
      </c>
      <c r="B147" t="s">
        <v>588</v>
      </c>
      <c r="C147" t="s">
        <v>1035</v>
      </c>
      <c r="D147" t="s">
        <v>1036</v>
      </c>
      <c r="E147" t="s">
        <v>545</v>
      </c>
      <c r="F147">
        <v>258</v>
      </c>
      <c r="G147">
        <v>7.356091619884114</v>
      </c>
      <c r="H147">
        <v>1897.8716379301013</v>
      </c>
      <c r="I147" t="s">
        <v>541</v>
      </c>
    </row>
    <row r="148" spans="1:9" x14ac:dyDescent="0.25">
      <c r="A148" t="s">
        <v>220</v>
      </c>
      <c r="B148" t="s">
        <v>588</v>
      </c>
      <c r="C148" t="s">
        <v>1037</v>
      </c>
      <c r="D148" t="s">
        <v>1038</v>
      </c>
      <c r="E148" t="s">
        <v>545</v>
      </c>
      <c r="F148">
        <v>163</v>
      </c>
      <c r="G148">
        <v>8.9541844410378246</v>
      </c>
      <c r="H148">
        <v>1459.5320638891653</v>
      </c>
      <c r="I148" t="s">
        <v>541</v>
      </c>
    </row>
    <row r="149" spans="1:9" x14ac:dyDescent="0.25">
      <c r="A149" t="s">
        <v>220</v>
      </c>
      <c r="B149" t="s">
        <v>588</v>
      </c>
      <c r="C149" t="s">
        <v>1039</v>
      </c>
      <c r="D149" t="s">
        <v>1040</v>
      </c>
      <c r="E149" t="s">
        <v>545</v>
      </c>
      <c r="F149">
        <v>49</v>
      </c>
      <c r="G149">
        <v>12.199833565124555</v>
      </c>
      <c r="H149">
        <v>597.79184469110317</v>
      </c>
      <c r="I149" t="s">
        <v>541</v>
      </c>
    </row>
    <row r="150" spans="1:9" x14ac:dyDescent="0.25">
      <c r="A150" t="s">
        <v>220</v>
      </c>
      <c r="B150" t="s">
        <v>588</v>
      </c>
      <c r="C150" t="s">
        <v>1041</v>
      </c>
      <c r="D150" t="s">
        <v>1042</v>
      </c>
      <c r="E150" t="s">
        <v>545</v>
      </c>
      <c r="F150">
        <v>120</v>
      </c>
      <c r="G150">
        <v>4.8431558291651617</v>
      </c>
      <c r="H150">
        <v>581.17869949981946</v>
      </c>
      <c r="I150" t="s">
        <v>541</v>
      </c>
    </row>
    <row r="151" spans="1:9" x14ac:dyDescent="0.25">
      <c r="A151" t="s">
        <v>220</v>
      </c>
      <c r="B151" t="s">
        <v>588</v>
      </c>
      <c r="C151" t="s">
        <v>1043</v>
      </c>
      <c r="D151" t="s">
        <v>1044</v>
      </c>
      <c r="E151" t="s">
        <v>545</v>
      </c>
      <c r="F151">
        <v>1196</v>
      </c>
      <c r="G151">
        <v>7.4538456825029265</v>
      </c>
      <c r="H151">
        <v>8914.7994362735008</v>
      </c>
      <c r="I151" t="s">
        <v>541</v>
      </c>
    </row>
    <row r="152" spans="1:9" x14ac:dyDescent="0.25">
      <c r="A152" t="s">
        <v>220</v>
      </c>
      <c r="B152" t="s">
        <v>588</v>
      </c>
      <c r="C152" t="s">
        <v>1045</v>
      </c>
      <c r="D152" t="s">
        <v>1046</v>
      </c>
      <c r="E152" t="s">
        <v>545</v>
      </c>
      <c r="F152">
        <v>92</v>
      </c>
      <c r="G152">
        <v>4.8170351583590918</v>
      </c>
      <c r="H152">
        <v>443.16723456903645</v>
      </c>
      <c r="I152" t="s">
        <v>541</v>
      </c>
    </row>
    <row r="153" spans="1:9" x14ac:dyDescent="0.25">
      <c r="A153" t="s">
        <v>220</v>
      </c>
      <c r="B153" t="s">
        <v>588</v>
      </c>
      <c r="C153" t="s">
        <v>1047</v>
      </c>
      <c r="D153" t="s">
        <v>1048</v>
      </c>
      <c r="E153" t="s">
        <v>545</v>
      </c>
      <c r="F153">
        <v>570</v>
      </c>
      <c r="G153">
        <v>8.5418546470319363</v>
      </c>
      <c r="H153">
        <v>4868.8571488082034</v>
      </c>
      <c r="I153" t="s">
        <v>541</v>
      </c>
    </row>
    <row r="154" spans="1:9" x14ac:dyDescent="0.25">
      <c r="A154" t="s">
        <v>220</v>
      </c>
      <c r="B154" t="s">
        <v>588</v>
      </c>
      <c r="C154" t="s">
        <v>1049</v>
      </c>
      <c r="D154" t="s">
        <v>1050</v>
      </c>
      <c r="E154" t="s">
        <v>545</v>
      </c>
      <c r="F154">
        <v>326</v>
      </c>
      <c r="G154">
        <v>7.1065880653533515</v>
      </c>
      <c r="H154">
        <v>2316.7477093051925</v>
      </c>
      <c r="I154" t="s">
        <v>541</v>
      </c>
    </row>
    <row r="155" spans="1:9" x14ac:dyDescent="0.25">
      <c r="A155" t="s">
        <v>220</v>
      </c>
      <c r="B155" t="s">
        <v>588</v>
      </c>
      <c r="C155" t="s">
        <v>1051</v>
      </c>
      <c r="D155" t="s">
        <v>1052</v>
      </c>
      <c r="E155" t="s">
        <v>545</v>
      </c>
      <c r="F155">
        <v>752</v>
      </c>
      <c r="G155">
        <v>12.9869196015842</v>
      </c>
      <c r="H155">
        <v>9766.1635403913187</v>
      </c>
      <c r="I155" t="s">
        <v>541</v>
      </c>
    </row>
    <row r="156" spans="1:9" x14ac:dyDescent="0.25">
      <c r="A156" t="s">
        <v>220</v>
      </c>
      <c r="B156" t="s">
        <v>588</v>
      </c>
      <c r="C156" t="s">
        <v>1053</v>
      </c>
      <c r="D156" t="s">
        <v>1054</v>
      </c>
      <c r="E156" t="s">
        <v>545</v>
      </c>
      <c r="F156">
        <v>100</v>
      </c>
      <c r="G156">
        <v>5.5004412631232924</v>
      </c>
      <c r="H156">
        <v>550.04412631232924</v>
      </c>
      <c r="I156" t="s">
        <v>541</v>
      </c>
    </row>
    <row r="157" spans="1:9" x14ac:dyDescent="0.25">
      <c r="A157" t="s">
        <v>220</v>
      </c>
      <c r="B157" t="s">
        <v>588</v>
      </c>
      <c r="C157" t="s">
        <v>1055</v>
      </c>
      <c r="D157" t="s">
        <v>1056</v>
      </c>
      <c r="E157" t="s">
        <v>545</v>
      </c>
      <c r="F157">
        <v>134</v>
      </c>
      <c r="G157">
        <v>5.3951399315746089</v>
      </c>
      <c r="H157">
        <v>722.9487508309976</v>
      </c>
      <c r="I157" t="s">
        <v>541</v>
      </c>
    </row>
    <row r="158" spans="1:9" x14ac:dyDescent="0.25">
      <c r="A158" t="s">
        <v>220</v>
      </c>
      <c r="B158" t="s">
        <v>588</v>
      </c>
      <c r="C158" t="s">
        <v>1057</v>
      </c>
      <c r="D158" t="s">
        <v>1058</v>
      </c>
      <c r="E158" t="s">
        <v>545</v>
      </c>
      <c r="F158">
        <v>640</v>
      </c>
      <c r="G158">
        <v>6.390525900598095</v>
      </c>
      <c r="H158">
        <v>4089.9365763827809</v>
      </c>
      <c r="I158" t="s">
        <v>541</v>
      </c>
    </row>
    <row r="159" spans="1:9" x14ac:dyDescent="0.25">
      <c r="A159" t="s">
        <v>220</v>
      </c>
      <c r="B159" t="s">
        <v>588</v>
      </c>
      <c r="C159" t="s">
        <v>1059</v>
      </c>
      <c r="D159" t="s">
        <v>1060</v>
      </c>
      <c r="E159" t="s">
        <v>545</v>
      </c>
      <c r="F159">
        <v>484</v>
      </c>
      <c r="G159">
        <v>3.2336327000489491</v>
      </c>
      <c r="H159">
        <v>1565.0782268236915</v>
      </c>
      <c r="I159" t="s">
        <v>541</v>
      </c>
    </row>
    <row r="160" spans="1:9" x14ac:dyDescent="0.25">
      <c r="A160" t="s">
        <v>220</v>
      </c>
      <c r="B160" t="s">
        <v>588</v>
      </c>
      <c r="C160" t="s">
        <v>1061</v>
      </c>
      <c r="D160" t="s">
        <v>1062</v>
      </c>
      <c r="E160" t="s">
        <v>545</v>
      </c>
      <c r="F160">
        <v>169</v>
      </c>
      <c r="G160">
        <v>2.9343711995187785</v>
      </c>
      <c r="H160">
        <v>495.90873271867355</v>
      </c>
      <c r="I160" t="s">
        <v>541</v>
      </c>
    </row>
    <row r="161" spans="1:9" x14ac:dyDescent="0.25">
      <c r="A161" t="s">
        <v>220</v>
      </c>
      <c r="B161" t="s">
        <v>588</v>
      </c>
      <c r="C161" t="s">
        <v>1063</v>
      </c>
      <c r="D161" t="s">
        <v>1064</v>
      </c>
      <c r="E161" t="s">
        <v>545</v>
      </c>
      <c r="F161">
        <v>69</v>
      </c>
      <c r="G161">
        <v>2.934371199518778</v>
      </c>
      <c r="H161">
        <v>202.47161276679569</v>
      </c>
      <c r="I161" t="s">
        <v>541</v>
      </c>
    </row>
    <row r="162" spans="1:9" x14ac:dyDescent="0.25">
      <c r="A162" t="s">
        <v>220</v>
      </c>
      <c r="B162" t="s">
        <v>588</v>
      </c>
      <c r="C162" t="s">
        <v>1065</v>
      </c>
      <c r="D162" t="s">
        <v>1066</v>
      </c>
      <c r="E162" t="s">
        <v>545</v>
      </c>
      <c r="F162">
        <v>340</v>
      </c>
      <c r="G162">
        <v>4.7065467692809513</v>
      </c>
      <c r="H162">
        <v>1600.2259015555235</v>
      </c>
      <c r="I162" t="s">
        <v>541</v>
      </c>
    </row>
    <row r="163" spans="1:9" x14ac:dyDescent="0.25">
      <c r="A163" t="s">
        <v>220</v>
      </c>
      <c r="B163" t="s">
        <v>588</v>
      </c>
      <c r="C163" t="s">
        <v>1067</v>
      </c>
      <c r="D163" t="s">
        <v>1068</v>
      </c>
      <c r="E163" t="s">
        <v>545</v>
      </c>
      <c r="F163">
        <v>2491</v>
      </c>
      <c r="G163">
        <v>4.4630730216745906</v>
      </c>
      <c r="H163">
        <v>11117.514896991404</v>
      </c>
      <c r="I163" t="s">
        <v>541</v>
      </c>
    </row>
    <row r="164" spans="1:9" x14ac:dyDescent="0.25">
      <c r="A164" t="s">
        <v>220</v>
      </c>
      <c r="B164" t="s">
        <v>588</v>
      </c>
      <c r="C164" t="s">
        <v>1069</v>
      </c>
      <c r="D164" t="s">
        <v>1070</v>
      </c>
      <c r="E164" t="s">
        <v>545</v>
      </c>
      <c r="F164">
        <v>596</v>
      </c>
      <c r="G164">
        <v>4.4968846514170711</v>
      </c>
      <c r="H164">
        <v>2680.1432522445743</v>
      </c>
      <c r="I164" t="s">
        <v>541</v>
      </c>
    </row>
    <row r="165" spans="1:9" x14ac:dyDescent="0.25">
      <c r="A165" t="s">
        <v>220</v>
      </c>
      <c r="B165" t="s">
        <v>588</v>
      </c>
      <c r="C165" t="s">
        <v>1071</v>
      </c>
      <c r="D165" t="s">
        <v>1072</v>
      </c>
      <c r="E165" t="s">
        <v>545</v>
      </c>
      <c r="F165">
        <v>1080</v>
      </c>
      <c r="G165">
        <v>4.6824795990752524</v>
      </c>
      <c r="H165">
        <v>5057.0779670012726</v>
      </c>
      <c r="I165" t="s">
        <v>541</v>
      </c>
    </row>
    <row r="166" spans="1:9" x14ac:dyDescent="0.25">
      <c r="A166" t="s">
        <v>220</v>
      </c>
      <c r="B166" t="s">
        <v>588</v>
      </c>
      <c r="C166" t="s">
        <v>1073</v>
      </c>
      <c r="D166" t="s">
        <v>1074</v>
      </c>
      <c r="E166" t="s">
        <v>545</v>
      </c>
      <c r="F166">
        <v>468</v>
      </c>
      <c r="G166">
        <v>4.6826123881533972</v>
      </c>
      <c r="H166">
        <v>2191.46259765579</v>
      </c>
      <c r="I166" t="s">
        <v>541</v>
      </c>
    </row>
    <row r="167" spans="1:9" x14ac:dyDescent="0.25">
      <c r="A167" t="s">
        <v>220</v>
      </c>
      <c r="B167" t="s">
        <v>588</v>
      </c>
      <c r="C167" t="s">
        <v>1075</v>
      </c>
      <c r="D167" t="s">
        <v>1076</v>
      </c>
      <c r="E167" t="s">
        <v>545</v>
      </c>
      <c r="F167">
        <v>252</v>
      </c>
      <c r="G167">
        <v>3.7557741381350422</v>
      </c>
      <c r="H167">
        <v>946.4550828100306</v>
      </c>
      <c r="I167" t="s">
        <v>541</v>
      </c>
    </row>
    <row r="168" spans="1:9" x14ac:dyDescent="0.25">
      <c r="A168" t="s">
        <v>220</v>
      </c>
      <c r="B168" t="s">
        <v>588</v>
      </c>
      <c r="C168" t="s">
        <v>1077</v>
      </c>
      <c r="D168" t="s">
        <v>1078</v>
      </c>
      <c r="E168" t="s">
        <v>545</v>
      </c>
      <c r="F168">
        <v>220</v>
      </c>
      <c r="G168">
        <v>3.7910068628949665</v>
      </c>
      <c r="H168">
        <v>834.02150983689262</v>
      </c>
      <c r="I168" t="s">
        <v>541</v>
      </c>
    </row>
    <row r="169" spans="1:9" x14ac:dyDescent="0.25">
      <c r="A169" t="s">
        <v>220</v>
      </c>
      <c r="B169" t="s">
        <v>588</v>
      </c>
      <c r="C169" t="s">
        <v>1079</v>
      </c>
      <c r="D169" t="s">
        <v>1080</v>
      </c>
      <c r="E169" t="s">
        <v>545</v>
      </c>
      <c r="F169">
        <v>416</v>
      </c>
      <c r="G169">
        <v>3.5997570689072611</v>
      </c>
      <c r="H169">
        <v>1497.4989406654206</v>
      </c>
      <c r="I169" t="s">
        <v>541</v>
      </c>
    </row>
    <row r="170" spans="1:9" x14ac:dyDescent="0.25">
      <c r="A170" t="s">
        <v>220</v>
      </c>
      <c r="B170" t="s">
        <v>588</v>
      </c>
      <c r="C170" t="s">
        <v>1081</v>
      </c>
      <c r="D170" t="s">
        <v>1082</v>
      </c>
      <c r="E170" t="s">
        <v>545</v>
      </c>
      <c r="F170">
        <v>258</v>
      </c>
      <c r="G170">
        <v>3.6825427709029004</v>
      </c>
      <c r="H170">
        <v>950.0960348929483</v>
      </c>
      <c r="I170" t="s">
        <v>541</v>
      </c>
    </row>
    <row r="171" spans="1:9" x14ac:dyDescent="0.25">
      <c r="A171" t="s">
        <v>220</v>
      </c>
      <c r="B171" t="s">
        <v>588</v>
      </c>
      <c r="C171" t="s">
        <v>1083</v>
      </c>
      <c r="D171" t="s">
        <v>1084</v>
      </c>
      <c r="E171" t="s">
        <v>545</v>
      </c>
      <c r="F171">
        <v>110</v>
      </c>
      <c r="G171">
        <v>14.521924566237061</v>
      </c>
      <c r="H171">
        <v>1597.4117022860767</v>
      </c>
      <c r="I171" t="s">
        <v>541</v>
      </c>
    </row>
    <row r="172" spans="1:9" x14ac:dyDescent="0.25">
      <c r="A172" t="s">
        <v>220</v>
      </c>
      <c r="B172" t="s">
        <v>588</v>
      </c>
      <c r="C172" t="s">
        <v>1085</v>
      </c>
      <c r="D172" t="s">
        <v>1086</v>
      </c>
      <c r="E172" t="s">
        <v>545</v>
      </c>
      <c r="F172">
        <v>201</v>
      </c>
      <c r="G172">
        <v>5.5481160630178872</v>
      </c>
      <c r="H172">
        <v>1115.1713286665954</v>
      </c>
      <c r="I172" t="s">
        <v>541</v>
      </c>
    </row>
    <row r="173" spans="1:9" x14ac:dyDescent="0.25">
      <c r="A173" t="s">
        <v>220</v>
      </c>
      <c r="B173" t="s">
        <v>588</v>
      </c>
      <c r="C173" t="s">
        <v>1087</v>
      </c>
      <c r="D173" t="s">
        <v>1088</v>
      </c>
      <c r="E173" t="s">
        <v>545</v>
      </c>
      <c r="F173">
        <v>1208</v>
      </c>
      <c r="G173">
        <v>6.061147378368406</v>
      </c>
      <c r="H173">
        <v>7321.8660330690345</v>
      </c>
      <c r="I173" t="s">
        <v>541</v>
      </c>
    </row>
    <row r="174" spans="1:9" x14ac:dyDescent="0.25">
      <c r="A174" t="s">
        <v>220</v>
      </c>
      <c r="B174" t="s">
        <v>588</v>
      </c>
      <c r="C174" t="s">
        <v>1089</v>
      </c>
      <c r="D174" t="s">
        <v>1090</v>
      </c>
      <c r="E174" t="s">
        <v>545</v>
      </c>
      <c r="F174">
        <v>1497</v>
      </c>
      <c r="G174">
        <v>6.1706129697112155</v>
      </c>
      <c r="H174">
        <v>9237.4076156576903</v>
      </c>
      <c r="I174" t="s">
        <v>541</v>
      </c>
    </row>
    <row r="175" spans="1:9" x14ac:dyDescent="0.25">
      <c r="A175" t="s">
        <v>220</v>
      </c>
      <c r="B175" t="s">
        <v>588</v>
      </c>
      <c r="C175" t="s">
        <v>1091</v>
      </c>
      <c r="D175" t="s">
        <v>1092</v>
      </c>
      <c r="E175" t="s">
        <v>545</v>
      </c>
      <c r="F175">
        <v>112</v>
      </c>
      <c r="G175">
        <v>5.9537973873009085</v>
      </c>
      <c r="H175">
        <v>666.82530737770173</v>
      </c>
      <c r="I175" t="s">
        <v>541</v>
      </c>
    </row>
    <row r="176" spans="1:9" x14ac:dyDescent="0.25">
      <c r="A176" t="s">
        <v>220</v>
      </c>
      <c r="B176" t="s">
        <v>588</v>
      </c>
      <c r="C176" t="s">
        <v>1093</v>
      </c>
      <c r="D176" t="s">
        <v>1094</v>
      </c>
      <c r="E176" t="s">
        <v>545</v>
      </c>
      <c r="F176">
        <v>746</v>
      </c>
      <c r="G176">
        <v>3.7604213644548654</v>
      </c>
      <c r="H176">
        <v>2805.2743378833297</v>
      </c>
      <c r="I176" t="s">
        <v>541</v>
      </c>
    </row>
    <row r="177" spans="1:9" x14ac:dyDescent="0.25">
      <c r="A177" t="s">
        <v>220</v>
      </c>
      <c r="B177" t="s">
        <v>588</v>
      </c>
      <c r="C177" t="s">
        <v>1095</v>
      </c>
      <c r="D177" t="s">
        <v>1096</v>
      </c>
      <c r="E177" t="s">
        <v>545</v>
      </c>
      <c r="F177">
        <v>816</v>
      </c>
      <c r="G177">
        <v>3.7259121124582602</v>
      </c>
      <c r="H177">
        <v>3040.3442837659404</v>
      </c>
      <c r="I177" t="s">
        <v>541</v>
      </c>
    </row>
    <row r="178" spans="1:9" x14ac:dyDescent="0.25">
      <c r="A178" t="s">
        <v>220</v>
      </c>
      <c r="B178" t="s">
        <v>588</v>
      </c>
      <c r="C178" t="s">
        <v>1097</v>
      </c>
      <c r="D178" t="s">
        <v>1098</v>
      </c>
      <c r="E178" t="s">
        <v>545</v>
      </c>
      <c r="F178">
        <v>794</v>
      </c>
      <c r="G178">
        <v>6.4336815331759523</v>
      </c>
      <c r="H178">
        <v>5108.3431373417061</v>
      </c>
      <c r="I178" t="s">
        <v>541</v>
      </c>
    </row>
    <row r="179" spans="1:9" x14ac:dyDescent="0.25">
      <c r="A179" t="s">
        <v>220</v>
      </c>
      <c r="B179" t="s">
        <v>588</v>
      </c>
      <c r="C179" t="s">
        <v>1099</v>
      </c>
      <c r="D179" t="s">
        <v>1100</v>
      </c>
      <c r="E179" t="s">
        <v>545</v>
      </c>
      <c r="F179">
        <v>560</v>
      </c>
      <c r="G179">
        <v>6.5476639429128749</v>
      </c>
      <c r="H179">
        <v>3666.6918080312098</v>
      </c>
      <c r="I179" t="s">
        <v>541</v>
      </c>
    </row>
    <row r="180" spans="1:9" x14ac:dyDescent="0.25">
      <c r="A180" t="s">
        <v>220</v>
      </c>
      <c r="B180" t="s">
        <v>588</v>
      </c>
      <c r="C180" t="s">
        <v>1103</v>
      </c>
      <c r="D180" t="s">
        <v>1104</v>
      </c>
      <c r="E180" t="s">
        <v>545</v>
      </c>
      <c r="F180">
        <v>1092</v>
      </c>
      <c r="G180">
        <v>3.9785766482005323</v>
      </c>
      <c r="H180">
        <v>4344.6056998349814</v>
      </c>
      <c r="I180" t="s">
        <v>541</v>
      </c>
    </row>
    <row r="181" spans="1:9" x14ac:dyDescent="0.25">
      <c r="A181" t="s">
        <v>220</v>
      </c>
      <c r="B181" t="s">
        <v>588</v>
      </c>
      <c r="C181" t="s">
        <v>1105</v>
      </c>
      <c r="D181" t="s">
        <v>7674</v>
      </c>
      <c r="E181" t="s">
        <v>545</v>
      </c>
      <c r="F181">
        <v>980</v>
      </c>
      <c r="G181">
        <v>3.976761247413934</v>
      </c>
      <c r="H181">
        <v>3897.2260224656552</v>
      </c>
      <c r="I181" t="s">
        <v>541</v>
      </c>
    </row>
    <row r="182" spans="1:9" x14ac:dyDescent="0.25">
      <c r="A182" t="s">
        <v>220</v>
      </c>
      <c r="B182" t="s">
        <v>588</v>
      </c>
      <c r="C182" t="s">
        <v>1107</v>
      </c>
      <c r="D182" t="s">
        <v>1108</v>
      </c>
      <c r="E182" t="s">
        <v>639</v>
      </c>
      <c r="F182">
        <v>6122</v>
      </c>
      <c r="G182">
        <v>3.1653547978026206</v>
      </c>
      <c r="H182">
        <v>19378.302072147642</v>
      </c>
      <c r="I182" t="s">
        <v>541</v>
      </c>
    </row>
    <row r="183" spans="1:9" x14ac:dyDescent="0.25">
      <c r="A183" t="s">
        <v>220</v>
      </c>
      <c r="B183" t="s">
        <v>588</v>
      </c>
      <c r="C183" t="s">
        <v>1109</v>
      </c>
      <c r="D183" t="s">
        <v>1110</v>
      </c>
      <c r="E183" t="s">
        <v>639</v>
      </c>
      <c r="F183">
        <v>1631</v>
      </c>
      <c r="G183">
        <v>6.8234158705656993</v>
      </c>
      <c r="H183">
        <v>11128.991284892656</v>
      </c>
      <c r="I183" t="s">
        <v>541</v>
      </c>
    </row>
    <row r="184" spans="1:9" x14ac:dyDescent="0.25">
      <c r="A184" t="s">
        <v>220</v>
      </c>
      <c r="B184" t="s">
        <v>588</v>
      </c>
      <c r="C184" t="s">
        <v>1111</v>
      </c>
      <c r="D184" t="s">
        <v>1112</v>
      </c>
      <c r="E184" t="s">
        <v>639</v>
      </c>
      <c r="F184">
        <v>39670</v>
      </c>
      <c r="G184">
        <v>2.278810861619192</v>
      </c>
      <c r="H184">
        <v>90400.426880433341</v>
      </c>
      <c r="I184" t="s">
        <v>541</v>
      </c>
    </row>
    <row r="185" spans="1:9" x14ac:dyDescent="0.25">
      <c r="A185" t="s">
        <v>220</v>
      </c>
      <c r="B185" t="s">
        <v>588</v>
      </c>
      <c r="C185" t="s">
        <v>1113</v>
      </c>
      <c r="D185" t="s">
        <v>1114</v>
      </c>
      <c r="E185" t="s">
        <v>639</v>
      </c>
      <c r="F185">
        <v>43952</v>
      </c>
      <c r="G185">
        <v>2.4874163818627602</v>
      </c>
      <c r="H185">
        <v>109326.92481563204</v>
      </c>
      <c r="I185" t="s">
        <v>541</v>
      </c>
    </row>
    <row r="186" spans="1:9" x14ac:dyDescent="0.25">
      <c r="A186" t="s">
        <v>220</v>
      </c>
      <c r="B186" t="s">
        <v>588</v>
      </c>
      <c r="C186" t="s">
        <v>1115</v>
      </c>
      <c r="D186" t="s">
        <v>1116</v>
      </c>
      <c r="E186" t="s">
        <v>639</v>
      </c>
      <c r="F186">
        <v>13779</v>
      </c>
      <c r="G186">
        <v>3.0112839398343723</v>
      </c>
      <c r="H186">
        <v>41492.481406977815</v>
      </c>
      <c r="I186" t="s">
        <v>541</v>
      </c>
    </row>
    <row r="187" spans="1:9" x14ac:dyDescent="0.25">
      <c r="A187" t="s">
        <v>220</v>
      </c>
      <c r="B187" t="s">
        <v>588</v>
      </c>
      <c r="C187" t="s">
        <v>1122</v>
      </c>
      <c r="D187" t="s">
        <v>1123</v>
      </c>
      <c r="E187" t="s">
        <v>545</v>
      </c>
      <c r="F187">
        <v>1500</v>
      </c>
      <c r="G187">
        <v>0.74569773950216922</v>
      </c>
      <c r="H187">
        <v>1118.5466092532538</v>
      </c>
      <c r="I187" t="s">
        <v>541</v>
      </c>
    </row>
    <row r="188" spans="1:9" x14ac:dyDescent="0.25">
      <c r="A188" t="s">
        <v>220</v>
      </c>
      <c r="B188" t="s">
        <v>588</v>
      </c>
      <c r="C188" t="s">
        <v>1124</v>
      </c>
      <c r="D188" t="s">
        <v>1125</v>
      </c>
      <c r="E188" t="s">
        <v>545</v>
      </c>
      <c r="F188">
        <v>5000</v>
      </c>
      <c r="G188">
        <v>0.16800000000000001</v>
      </c>
      <c r="H188">
        <v>840</v>
      </c>
      <c r="I188" t="s">
        <v>541</v>
      </c>
    </row>
    <row r="189" spans="1:9" x14ac:dyDescent="0.25">
      <c r="A189" t="s">
        <v>220</v>
      </c>
      <c r="B189" t="s">
        <v>588</v>
      </c>
      <c r="C189" t="s">
        <v>1126</v>
      </c>
      <c r="D189" t="s">
        <v>1127</v>
      </c>
      <c r="E189" t="s">
        <v>545</v>
      </c>
      <c r="F189">
        <v>2800</v>
      </c>
      <c r="G189">
        <v>0.17177000000000001</v>
      </c>
      <c r="H189">
        <v>480.95600000000002</v>
      </c>
      <c r="I189" t="s">
        <v>541</v>
      </c>
    </row>
    <row r="190" spans="1:9" x14ac:dyDescent="0.25">
      <c r="A190" t="s">
        <v>220</v>
      </c>
      <c r="B190" t="s">
        <v>588</v>
      </c>
      <c r="C190" t="s">
        <v>1128</v>
      </c>
      <c r="D190" t="s">
        <v>1129</v>
      </c>
      <c r="E190" t="s">
        <v>545</v>
      </c>
      <c r="F190">
        <v>5800</v>
      </c>
      <c r="G190">
        <v>0.62759966280115353</v>
      </c>
      <c r="H190">
        <v>3640.0780442466903</v>
      </c>
      <c r="I190" t="s">
        <v>541</v>
      </c>
    </row>
    <row r="191" spans="1:9" x14ac:dyDescent="0.25">
      <c r="A191" t="s">
        <v>220</v>
      </c>
      <c r="B191" t="s">
        <v>588</v>
      </c>
      <c r="C191" t="s">
        <v>1130</v>
      </c>
      <c r="D191" t="s">
        <v>1131</v>
      </c>
      <c r="E191" t="s">
        <v>545</v>
      </c>
      <c r="F191">
        <v>14000</v>
      </c>
      <c r="G191">
        <v>4.2423225523259056E-2</v>
      </c>
      <c r="H191">
        <v>593.92515732562674</v>
      </c>
      <c r="I191" t="s">
        <v>541</v>
      </c>
    </row>
    <row r="192" spans="1:9" x14ac:dyDescent="0.25">
      <c r="A192" t="s">
        <v>220</v>
      </c>
      <c r="B192" t="s">
        <v>588</v>
      </c>
      <c r="C192" t="s">
        <v>1132</v>
      </c>
      <c r="D192" t="s">
        <v>1133</v>
      </c>
      <c r="E192" t="s">
        <v>545</v>
      </c>
      <c r="F192">
        <v>550</v>
      </c>
      <c r="G192">
        <v>0.26982530896707219</v>
      </c>
      <c r="H192">
        <v>148.4039199318897</v>
      </c>
      <c r="I192" t="s">
        <v>541</v>
      </c>
    </row>
    <row r="193" spans="1:9" x14ac:dyDescent="0.25">
      <c r="A193" t="s">
        <v>220</v>
      </c>
      <c r="B193" t="s">
        <v>588</v>
      </c>
      <c r="C193" t="s">
        <v>1134</v>
      </c>
      <c r="D193" t="s">
        <v>1135</v>
      </c>
      <c r="E193" t="s">
        <v>545</v>
      </c>
      <c r="F193">
        <v>8000</v>
      </c>
      <c r="G193">
        <v>7.2081642607498053E-2</v>
      </c>
      <c r="H193">
        <v>576.65314085998443</v>
      </c>
      <c r="I193" t="s">
        <v>541</v>
      </c>
    </row>
    <row r="194" spans="1:9" x14ac:dyDescent="0.25">
      <c r="A194" t="s">
        <v>220</v>
      </c>
      <c r="B194" t="s">
        <v>588</v>
      </c>
      <c r="C194" t="s">
        <v>1136</v>
      </c>
      <c r="D194" t="s">
        <v>1137</v>
      </c>
      <c r="E194" t="s">
        <v>545</v>
      </c>
      <c r="F194">
        <v>45500</v>
      </c>
      <c r="G194">
        <v>0.12586663453850466</v>
      </c>
      <c r="H194">
        <v>5726.9318715019617</v>
      </c>
      <c r="I194" t="s">
        <v>541</v>
      </c>
    </row>
    <row r="195" spans="1:9" x14ac:dyDescent="0.25">
      <c r="A195" t="s">
        <v>220</v>
      </c>
      <c r="B195" t="s">
        <v>588</v>
      </c>
      <c r="C195" t="s">
        <v>1138</v>
      </c>
      <c r="D195" t="s">
        <v>1139</v>
      </c>
      <c r="E195" t="s">
        <v>545</v>
      </c>
      <c r="F195">
        <v>126000</v>
      </c>
      <c r="G195">
        <v>0.12030651236000431</v>
      </c>
      <c r="H195">
        <v>15158.620557360542</v>
      </c>
      <c r="I195" t="s">
        <v>541</v>
      </c>
    </row>
    <row r="196" spans="1:9" x14ac:dyDescent="0.25">
      <c r="A196" t="s">
        <v>220</v>
      </c>
      <c r="B196" t="s">
        <v>588</v>
      </c>
      <c r="C196" t="s">
        <v>1140</v>
      </c>
      <c r="D196" t="s">
        <v>1141</v>
      </c>
      <c r="E196" t="s">
        <v>545</v>
      </c>
      <c r="F196">
        <v>36000</v>
      </c>
      <c r="G196">
        <v>9.9137774151080577E-2</v>
      </c>
      <c r="H196">
        <v>3568.9598694389006</v>
      </c>
      <c r="I196" t="s">
        <v>541</v>
      </c>
    </row>
    <row r="197" spans="1:9" x14ac:dyDescent="0.25">
      <c r="A197" t="s">
        <v>220</v>
      </c>
      <c r="B197" t="s">
        <v>588</v>
      </c>
      <c r="C197" t="s">
        <v>1142</v>
      </c>
      <c r="D197" t="s">
        <v>1143</v>
      </c>
      <c r="E197" t="s">
        <v>545</v>
      </c>
      <c r="F197">
        <v>32500</v>
      </c>
      <c r="G197">
        <v>0.11538675798219111</v>
      </c>
      <c r="H197">
        <v>3750.069634421211</v>
      </c>
      <c r="I197" t="s">
        <v>541</v>
      </c>
    </row>
    <row r="198" spans="1:9" x14ac:dyDescent="0.25">
      <c r="A198" t="s">
        <v>220</v>
      </c>
      <c r="B198" t="s">
        <v>588</v>
      </c>
      <c r="C198" t="s">
        <v>1144</v>
      </c>
      <c r="D198" t="s">
        <v>1145</v>
      </c>
      <c r="E198" t="s">
        <v>545</v>
      </c>
      <c r="F198">
        <v>8200</v>
      </c>
      <c r="G198">
        <v>6.2E-2</v>
      </c>
      <c r="H198">
        <v>508.4</v>
      </c>
      <c r="I198" t="s">
        <v>541</v>
      </c>
    </row>
    <row r="199" spans="1:9" x14ac:dyDescent="0.25">
      <c r="A199" t="s">
        <v>220</v>
      </c>
      <c r="B199" t="s">
        <v>588</v>
      </c>
      <c r="C199" t="s">
        <v>1146</v>
      </c>
      <c r="D199" t="s">
        <v>1147</v>
      </c>
      <c r="E199" t="s">
        <v>545</v>
      </c>
      <c r="F199">
        <v>1100</v>
      </c>
      <c r="G199">
        <v>0.04</v>
      </c>
      <c r="H199">
        <v>44</v>
      </c>
      <c r="I199" t="s">
        <v>541</v>
      </c>
    </row>
    <row r="200" spans="1:9" x14ac:dyDescent="0.25">
      <c r="A200" t="s">
        <v>220</v>
      </c>
      <c r="B200" t="s">
        <v>588</v>
      </c>
      <c r="C200" t="s">
        <v>1148</v>
      </c>
      <c r="D200" t="s">
        <v>1149</v>
      </c>
      <c r="E200" t="s">
        <v>545</v>
      </c>
      <c r="F200">
        <v>58500</v>
      </c>
      <c r="G200">
        <v>0.12182541520774003</v>
      </c>
      <c r="H200">
        <v>7126.7867896527914</v>
      </c>
      <c r="I200" t="s">
        <v>541</v>
      </c>
    </row>
    <row r="201" spans="1:9" x14ac:dyDescent="0.25">
      <c r="A201" t="s">
        <v>220</v>
      </c>
      <c r="B201" t="s">
        <v>588</v>
      </c>
      <c r="C201" t="s">
        <v>1150</v>
      </c>
      <c r="D201" t="s">
        <v>1151</v>
      </c>
      <c r="E201" t="s">
        <v>545</v>
      </c>
      <c r="F201">
        <v>39000</v>
      </c>
      <c r="G201">
        <v>9.294162627161931E-2</v>
      </c>
      <c r="H201">
        <v>3624.7234245931531</v>
      </c>
      <c r="I201" t="s">
        <v>541</v>
      </c>
    </row>
    <row r="202" spans="1:9" x14ac:dyDescent="0.25">
      <c r="A202" t="s">
        <v>220</v>
      </c>
      <c r="B202" t="s">
        <v>588</v>
      </c>
      <c r="C202" t="s">
        <v>1152</v>
      </c>
      <c r="D202" t="s">
        <v>1153</v>
      </c>
      <c r="E202" t="s">
        <v>545</v>
      </c>
      <c r="F202">
        <v>13000</v>
      </c>
      <c r="G202">
        <v>0.45058882505142306</v>
      </c>
      <c r="H202">
        <v>5857.6547256684999</v>
      </c>
      <c r="I202" t="s">
        <v>541</v>
      </c>
    </row>
    <row r="203" spans="1:9" x14ac:dyDescent="0.25">
      <c r="A203" t="s">
        <v>220</v>
      </c>
      <c r="B203" t="s">
        <v>588</v>
      </c>
      <c r="C203" t="s">
        <v>1154</v>
      </c>
      <c r="D203" t="s">
        <v>1155</v>
      </c>
      <c r="E203" t="s">
        <v>545</v>
      </c>
      <c r="F203">
        <v>4000</v>
      </c>
      <c r="G203">
        <v>0.45058882505142306</v>
      </c>
      <c r="H203">
        <v>1802.3553002056922</v>
      </c>
      <c r="I203" t="s">
        <v>541</v>
      </c>
    </row>
    <row r="204" spans="1:9" x14ac:dyDescent="0.25">
      <c r="A204" t="s">
        <v>220</v>
      </c>
      <c r="B204" t="s">
        <v>588</v>
      </c>
      <c r="C204" t="s">
        <v>1156</v>
      </c>
      <c r="D204" t="s">
        <v>1157</v>
      </c>
      <c r="E204" t="s">
        <v>545</v>
      </c>
      <c r="F204">
        <v>45500</v>
      </c>
      <c r="G204">
        <v>0.20857667735914859</v>
      </c>
      <c r="H204">
        <v>9490.2388198412609</v>
      </c>
      <c r="I204" t="s">
        <v>541</v>
      </c>
    </row>
    <row r="205" spans="1:9" x14ac:dyDescent="0.25">
      <c r="A205" t="s">
        <v>220</v>
      </c>
      <c r="B205" t="s">
        <v>588</v>
      </c>
      <c r="C205" t="s">
        <v>1158</v>
      </c>
      <c r="D205" t="s">
        <v>1159</v>
      </c>
      <c r="E205" t="s">
        <v>545</v>
      </c>
      <c r="F205">
        <v>36960</v>
      </c>
      <c r="G205">
        <v>1.0299507058430681</v>
      </c>
      <c r="H205">
        <v>38066.978087959797</v>
      </c>
      <c r="I205" t="s">
        <v>541</v>
      </c>
    </row>
    <row r="206" spans="1:9" x14ac:dyDescent="0.25">
      <c r="A206" t="s">
        <v>220</v>
      </c>
      <c r="B206" t="s">
        <v>588</v>
      </c>
      <c r="C206" t="s">
        <v>1160</v>
      </c>
      <c r="D206" t="s">
        <v>1161</v>
      </c>
      <c r="E206" t="s">
        <v>545</v>
      </c>
      <c r="F206">
        <v>6000</v>
      </c>
      <c r="G206">
        <v>7.2081642607498053E-2</v>
      </c>
      <c r="H206">
        <v>432.48985564498832</v>
      </c>
      <c r="I206" t="s">
        <v>541</v>
      </c>
    </row>
    <row r="207" spans="1:9" x14ac:dyDescent="0.25">
      <c r="A207" t="s">
        <v>220</v>
      </c>
      <c r="B207" t="s">
        <v>588</v>
      </c>
      <c r="C207" t="s">
        <v>1162</v>
      </c>
      <c r="D207" t="s">
        <v>1163</v>
      </c>
      <c r="E207" t="s">
        <v>545</v>
      </c>
      <c r="F207">
        <v>230500</v>
      </c>
      <c r="G207">
        <v>0.11979794529420783</v>
      </c>
      <c r="H207">
        <v>27613.426390314904</v>
      </c>
      <c r="I207" t="s">
        <v>541</v>
      </c>
    </row>
    <row r="208" spans="1:9" x14ac:dyDescent="0.25">
      <c r="A208" t="s">
        <v>220</v>
      </c>
      <c r="B208" t="s">
        <v>588</v>
      </c>
      <c r="C208" t="s">
        <v>1164</v>
      </c>
      <c r="D208" t="s">
        <v>1165</v>
      </c>
      <c r="E208" t="s">
        <v>545</v>
      </c>
      <c r="F208">
        <v>40000</v>
      </c>
      <c r="G208">
        <v>1.2058452589383868</v>
      </c>
      <c r="H208">
        <v>48233.810357535469</v>
      </c>
      <c r="I208" t="s">
        <v>541</v>
      </c>
    </row>
    <row r="209" spans="1:9" x14ac:dyDescent="0.25">
      <c r="A209" t="s">
        <v>220</v>
      </c>
      <c r="B209" t="s">
        <v>588</v>
      </c>
      <c r="C209" t="s">
        <v>1166</v>
      </c>
      <c r="D209" t="s">
        <v>1167</v>
      </c>
      <c r="E209" t="s">
        <v>545</v>
      </c>
      <c r="F209">
        <v>82500</v>
      </c>
      <c r="G209">
        <v>0.3353815087095105</v>
      </c>
      <c r="H209">
        <v>27668.974468534616</v>
      </c>
      <c r="I209" t="s">
        <v>541</v>
      </c>
    </row>
    <row r="210" spans="1:9" x14ac:dyDescent="0.25">
      <c r="A210" t="s">
        <v>220</v>
      </c>
      <c r="B210" t="s">
        <v>588</v>
      </c>
      <c r="C210" t="s">
        <v>1168</v>
      </c>
      <c r="D210" t="s">
        <v>1169</v>
      </c>
      <c r="E210" t="s">
        <v>545</v>
      </c>
      <c r="F210">
        <v>104000</v>
      </c>
      <c r="G210">
        <v>0.12701501758475559</v>
      </c>
      <c r="H210">
        <v>13209.561828814582</v>
      </c>
      <c r="I210" t="s">
        <v>541</v>
      </c>
    </row>
    <row r="211" spans="1:9" x14ac:dyDescent="0.25">
      <c r="A211" t="s">
        <v>220</v>
      </c>
      <c r="B211" t="s">
        <v>588</v>
      </c>
      <c r="C211" t="s">
        <v>1170</v>
      </c>
      <c r="D211" t="s">
        <v>1171</v>
      </c>
      <c r="E211" t="s">
        <v>545</v>
      </c>
      <c r="F211">
        <v>2300</v>
      </c>
      <c r="G211">
        <v>0.93449681548994601</v>
      </c>
      <c r="H211">
        <v>2149.3426756268759</v>
      </c>
      <c r="I211" t="s">
        <v>541</v>
      </c>
    </row>
    <row r="212" spans="1:9" x14ac:dyDescent="0.25">
      <c r="A212" t="s">
        <v>220</v>
      </c>
      <c r="B212" t="s">
        <v>588</v>
      </c>
      <c r="C212" t="s">
        <v>1172</v>
      </c>
      <c r="D212" t="s">
        <v>1173</v>
      </c>
      <c r="E212" t="s">
        <v>545</v>
      </c>
      <c r="F212">
        <v>17000</v>
      </c>
      <c r="G212">
        <v>0.45292966504642573</v>
      </c>
      <c r="H212">
        <v>7699.8043057892373</v>
      </c>
      <c r="I212" t="s">
        <v>541</v>
      </c>
    </row>
    <row r="213" spans="1:9" x14ac:dyDescent="0.25">
      <c r="A213" t="s">
        <v>220</v>
      </c>
      <c r="B213" t="s">
        <v>588</v>
      </c>
      <c r="C213" t="s">
        <v>1178</v>
      </c>
      <c r="D213" t="s">
        <v>1179</v>
      </c>
      <c r="E213" t="s">
        <v>545</v>
      </c>
      <c r="F213">
        <v>12500</v>
      </c>
      <c r="G213">
        <v>9.7537290075823582E-2</v>
      </c>
      <c r="H213">
        <v>1219.2161259477948</v>
      </c>
      <c r="I213" t="s">
        <v>541</v>
      </c>
    </row>
    <row r="214" spans="1:9" x14ac:dyDescent="0.25">
      <c r="A214" t="s">
        <v>220</v>
      </c>
      <c r="B214" t="s">
        <v>588</v>
      </c>
      <c r="C214" t="s">
        <v>7536</v>
      </c>
      <c r="D214" t="s">
        <v>7537</v>
      </c>
      <c r="E214" t="s">
        <v>545</v>
      </c>
      <c r="F214">
        <v>79500</v>
      </c>
      <c r="G214">
        <v>0.40744079999999994</v>
      </c>
      <c r="H214">
        <v>32391.543599999994</v>
      </c>
      <c r="I214" t="s">
        <v>541</v>
      </c>
    </row>
    <row r="215" spans="1:9" x14ac:dyDescent="0.25">
      <c r="A215" t="s">
        <v>220</v>
      </c>
      <c r="B215" t="s">
        <v>588</v>
      </c>
      <c r="C215" t="s">
        <v>1180</v>
      </c>
      <c r="D215" t="s">
        <v>1181</v>
      </c>
      <c r="E215" t="s">
        <v>545</v>
      </c>
      <c r="F215">
        <v>53000</v>
      </c>
      <c r="G215">
        <v>8.9777293041835862E-2</v>
      </c>
      <c r="H215">
        <v>4758.1965312173006</v>
      </c>
      <c r="I215" t="s">
        <v>541</v>
      </c>
    </row>
    <row r="216" spans="1:9" x14ac:dyDescent="0.25">
      <c r="A216" t="s">
        <v>220</v>
      </c>
      <c r="B216" t="s">
        <v>588</v>
      </c>
      <c r="C216" t="s">
        <v>1182</v>
      </c>
      <c r="D216" t="s">
        <v>1183</v>
      </c>
      <c r="E216" t="s">
        <v>545</v>
      </c>
      <c r="F216">
        <v>8000</v>
      </c>
      <c r="G216">
        <v>5.0160191444765453E-2</v>
      </c>
      <c r="H216">
        <v>401.28153155812362</v>
      </c>
      <c r="I216" t="s">
        <v>541</v>
      </c>
    </row>
    <row r="217" spans="1:9" x14ac:dyDescent="0.25">
      <c r="A217" t="s">
        <v>220</v>
      </c>
      <c r="B217" t="s">
        <v>588</v>
      </c>
      <c r="C217" t="s">
        <v>1184</v>
      </c>
      <c r="D217" t="s">
        <v>1185</v>
      </c>
      <c r="E217" t="s">
        <v>545</v>
      </c>
      <c r="F217">
        <v>9000</v>
      </c>
      <c r="G217">
        <v>5.8254564271935781E-2</v>
      </c>
      <c r="H217">
        <v>524.29107844742202</v>
      </c>
      <c r="I217" t="s">
        <v>541</v>
      </c>
    </row>
    <row r="218" spans="1:9" x14ac:dyDescent="0.25">
      <c r="A218" t="s">
        <v>220</v>
      </c>
      <c r="B218" t="s">
        <v>588</v>
      </c>
      <c r="C218" t="s">
        <v>1186</v>
      </c>
      <c r="D218" t="s">
        <v>1187</v>
      </c>
      <c r="E218" t="s">
        <v>545</v>
      </c>
      <c r="F218">
        <v>6000</v>
      </c>
      <c r="G218">
        <v>0.17441023280505299</v>
      </c>
      <c r="H218">
        <v>1046.4613968303179</v>
      </c>
      <c r="I218" t="s">
        <v>541</v>
      </c>
    </row>
    <row r="219" spans="1:9" x14ac:dyDescent="0.25">
      <c r="A219" t="s">
        <v>220</v>
      </c>
      <c r="B219" t="s">
        <v>588</v>
      </c>
      <c r="C219" t="s">
        <v>1188</v>
      </c>
      <c r="D219" t="s">
        <v>1189</v>
      </c>
      <c r="E219" t="s">
        <v>545</v>
      </c>
      <c r="F219">
        <v>51000</v>
      </c>
      <c r="G219">
        <v>0.11390237598642186</v>
      </c>
      <c r="H219">
        <v>5809.0211753075146</v>
      </c>
      <c r="I219" t="s">
        <v>541</v>
      </c>
    </row>
    <row r="220" spans="1:9" x14ac:dyDescent="0.25">
      <c r="A220" t="s">
        <v>220</v>
      </c>
      <c r="B220" t="s">
        <v>588</v>
      </c>
      <c r="C220" t="s">
        <v>1192</v>
      </c>
      <c r="D220" t="s">
        <v>1193</v>
      </c>
      <c r="E220" t="s">
        <v>545</v>
      </c>
      <c r="F220">
        <v>1400</v>
      </c>
      <c r="G220">
        <v>1.5958152173460487</v>
      </c>
      <c r="H220">
        <v>2234.1413042844683</v>
      </c>
      <c r="I220" t="s">
        <v>541</v>
      </c>
    </row>
    <row r="221" spans="1:9" x14ac:dyDescent="0.25">
      <c r="A221" t="s">
        <v>220</v>
      </c>
      <c r="B221" t="s">
        <v>588</v>
      </c>
      <c r="C221" t="s">
        <v>1194</v>
      </c>
      <c r="D221" t="s">
        <v>1195</v>
      </c>
      <c r="E221" t="s">
        <v>545</v>
      </c>
      <c r="F221">
        <v>1400</v>
      </c>
      <c r="G221">
        <v>1.5899074534561191</v>
      </c>
      <c r="H221">
        <v>2225.8704348385668</v>
      </c>
      <c r="I221" t="s">
        <v>541</v>
      </c>
    </row>
    <row r="222" spans="1:9" x14ac:dyDescent="0.25">
      <c r="A222" t="s">
        <v>220</v>
      </c>
      <c r="B222" t="s">
        <v>588</v>
      </c>
      <c r="C222" t="s">
        <v>1196</v>
      </c>
      <c r="D222" t="s">
        <v>1197</v>
      </c>
      <c r="E222" t="s">
        <v>545</v>
      </c>
      <c r="F222">
        <v>3850</v>
      </c>
      <c r="G222">
        <v>0.30656946187705758</v>
      </c>
      <c r="H222">
        <v>1180.2924282266717</v>
      </c>
      <c r="I222" t="s">
        <v>541</v>
      </c>
    </row>
    <row r="223" spans="1:9" x14ac:dyDescent="0.25">
      <c r="A223" t="s">
        <v>220</v>
      </c>
      <c r="B223" t="s">
        <v>588</v>
      </c>
      <c r="C223" t="s">
        <v>1198</v>
      </c>
      <c r="D223" t="s">
        <v>1199</v>
      </c>
      <c r="E223" t="s">
        <v>545</v>
      </c>
      <c r="F223">
        <v>4500</v>
      </c>
      <c r="G223">
        <v>0.31121829529102618</v>
      </c>
      <c r="H223">
        <v>1400.4823288096179</v>
      </c>
      <c r="I223" t="s">
        <v>541</v>
      </c>
    </row>
    <row r="224" spans="1:9" x14ac:dyDescent="0.25">
      <c r="A224" t="s">
        <v>220</v>
      </c>
      <c r="B224" t="s">
        <v>588</v>
      </c>
      <c r="C224" t="s">
        <v>1200</v>
      </c>
      <c r="D224" t="s">
        <v>1201</v>
      </c>
      <c r="E224" t="s">
        <v>545</v>
      </c>
      <c r="F224">
        <v>1650</v>
      </c>
      <c r="G224">
        <v>0.19247513901472693</v>
      </c>
      <c r="H224">
        <v>317.58397937429942</v>
      </c>
      <c r="I224" t="s">
        <v>541</v>
      </c>
    </row>
    <row r="225" spans="1:9" x14ac:dyDescent="0.25">
      <c r="A225" t="s">
        <v>220</v>
      </c>
      <c r="B225" t="s">
        <v>588</v>
      </c>
      <c r="C225" t="s">
        <v>1202</v>
      </c>
      <c r="D225" t="s">
        <v>1203</v>
      </c>
      <c r="E225" t="s">
        <v>545</v>
      </c>
      <c r="F225">
        <v>550</v>
      </c>
      <c r="G225">
        <v>0.19247513901472693</v>
      </c>
      <c r="H225">
        <v>105.86132645809981</v>
      </c>
      <c r="I225" t="s">
        <v>541</v>
      </c>
    </row>
    <row r="226" spans="1:9" x14ac:dyDescent="0.25">
      <c r="A226" t="s">
        <v>220</v>
      </c>
      <c r="B226" t="s">
        <v>588</v>
      </c>
      <c r="C226" t="s">
        <v>1204</v>
      </c>
      <c r="D226" t="s">
        <v>1205</v>
      </c>
      <c r="E226" t="s">
        <v>545</v>
      </c>
      <c r="F226">
        <v>31500</v>
      </c>
      <c r="G226">
        <v>3.8972888103065137E-2</v>
      </c>
      <c r="H226">
        <v>1227.6459752465519</v>
      </c>
      <c r="I226" t="s">
        <v>541</v>
      </c>
    </row>
    <row r="227" spans="1:9" x14ac:dyDescent="0.25">
      <c r="A227" t="s">
        <v>220</v>
      </c>
      <c r="B227" t="s">
        <v>588</v>
      </c>
      <c r="C227" t="s">
        <v>1206</v>
      </c>
      <c r="D227" t="s">
        <v>1207</v>
      </c>
      <c r="E227" t="s">
        <v>545</v>
      </c>
      <c r="F227">
        <v>28000</v>
      </c>
      <c r="G227">
        <v>2.9152998195158684E-2</v>
      </c>
      <c r="H227">
        <v>816.28394946444314</v>
      </c>
      <c r="I227" t="s">
        <v>541</v>
      </c>
    </row>
    <row r="228" spans="1:9" x14ac:dyDescent="0.25">
      <c r="A228" t="s">
        <v>220</v>
      </c>
      <c r="B228" t="s">
        <v>588</v>
      </c>
      <c r="C228" t="s">
        <v>1210</v>
      </c>
      <c r="D228" t="s">
        <v>1211</v>
      </c>
      <c r="E228" t="s">
        <v>545</v>
      </c>
      <c r="F228">
        <v>3500</v>
      </c>
      <c r="G228">
        <v>7.4069999999999997E-2</v>
      </c>
      <c r="H228">
        <v>259.245</v>
      </c>
      <c r="I228" t="s">
        <v>541</v>
      </c>
    </row>
    <row r="229" spans="1:9" x14ac:dyDescent="0.25">
      <c r="A229" t="s">
        <v>220</v>
      </c>
      <c r="B229" t="s">
        <v>588</v>
      </c>
      <c r="C229" t="s">
        <v>1212</v>
      </c>
      <c r="D229" t="s">
        <v>1213</v>
      </c>
      <c r="E229" t="s">
        <v>545</v>
      </c>
      <c r="F229">
        <v>31500</v>
      </c>
      <c r="G229">
        <v>0.02</v>
      </c>
      <c r="H229">
        <v>630</v>
      </c>
      <c r="I229" t="s">
        <v>541</v>
      </c>
    </row>
    <row r="230" spans="1:9" x14ac:dyDescent="0.25">
      <c r="A230" t="s">
        <v>220</v>
      </c>
      <c r="B230" t="s">
        <v>588</v>
      </c>
      <c r="C230" t="s">
        <v>1214</v>
      </c>
      <c r="D230" t="s">
        <v>1215</v>
      </c>
      <c r="E230" t="s">
        <v>545</v>
      </c>
      <c r="F230">
        <v>17500</v>
      </c>
      <c r="G230">
        <v>2.9537893209876546E-2</v>
      </c>
      <c r="H230">
        <v>516.9131311728396</v>
      </c>
      <c r="I230" t="s">
        <v>541</v>
      </c>
    </row>
    <row r="231" spans="1:9" x14ac:dyDescent="0.25">
      <c r="A231" t="s">
        <v>220</v>
      </c>
      <c r="B231" t="s">
        <v>588</v>
      </c>
      <c r="C231" t="s">
        <v>1216</v>
      </c>
      <c r="D231" t="s">
        <v>1217</v>
      </c>
      <c r="E231" t="s">
        <v>545</v>
      </c>
      <c r="F231">
        <v>10500</v>
      </c>
      <c r="G231">
        <v>0.22128918474031248</v>
      </c>
      <c r="H231">
        <v>2323.536439773281</v>
      </c>
      <c r="I231" t="s">
        <v>541</v>
      </c>
    </row>
    <row r="232" spans="1:9" x14ac:dyDescent="0.25">
      <c r="A232" t="s">
        <v>220</v>
      </c>
      <c r="B232" t="s">
        <v>588</v>
      </c>
      <c r="C232" t="s">
        <v>1218</v>
      </c>
      <c r="D232" t="s">
        <v>1219</v>
      </c>
      <c r="E232" t="s">
        <v>545</v>
      </c>
      <c r="F232">
        <v>10500</v>
      </c>
      <c r="G232">
        <v>0.22047314928227701</v>
      </c>
      <c r="H232">
        <v>2314.9680674639085</v>
      </c>
      <c r="I232" t="s">
        <v>541</v>
      </c>
    </row>
    <row r="233" spans="1:9" x14ac:dyDescent="0.25">
      <c r="A233" t="s">
        <v>220</v>
      </c>
      <c r="B233" t="s">
        <v>588</v>
      </c>
      <c r="C233" t="s">
        <v>1220</v>
      </c>
      <c r="D233" t="s">
        <v>1221</v>
      </c>
      <c r="E233" t="s">
        <v>545</v>
      </c>
      <c r="F233">
        <v>18500</v>
      </c>
      <c r="G233">
        <v>0.31069942089151237</v>
      </c>
      <c r="H233">
        <v>5747.9392864929787</v>
      </c>
      <c r="I233" t="s">
        <v>541</v>
      </c>
    </row>
    <row r="234" spans="1:9" x14ac:dyDescent="0.25">
      <c r="A234" t="s">
        <v>220</v>
      </c>
      <c r="B234" t="s">
        <v>588</v>
      </c>
      <c r="C234" t="s">
        <v>1222</v>
      </c>
      <c r="D234" t="s">
        <v>1223</v>
      </c>
      <c r="E234" t="s">
        <v>545</v>
      </c>
      <c r="F234">
        <v>20000</v>
      </c>
      <c r="G234">
        <v>0.32341733686187341</v>
      </c>
      <c r="H234">
        <v>6468.346737237468</v>
      </c>
      <c r="I234" t="s">
        <v>541</v>
      </c>
    </row>
    <row r="235" spans="1:9" x14ac:dyDescent="0.25">
      <c r="A235" t="s">
        <v>220</v>
      </c>
      <c r="B235" t="s">
        <v>588</v>
      </c>
      <c r="C235" t="s">
        <v>1224</v>
      </c>
      <c r="D235" t="s">
        <v>1225</v>
      </c>
      <c r="E235" t="s">
        <v>545</v>
      </c>
      <c r="F235">
        <v>1000</v>
      </c>
      <c r="G235">
        <v>0.7689095750960816</v>
      </c>
      <c r="H235">
        <v>768.90957509608165</v>
      </c>
      <c r="I235" t="s">
        <v>541</v>
      </c>
    </row>
    <row r="236" spans="1:9" x14ac:dyDescent="0.25">
      <c r="A236" t="s">
        <v>220</v>
      </c>
      <c r="B236" t="s">
        <v>588</v>
      </c>
      <c r="C236" t="s">
        <v>1226</v>
      </c>
      <c r="D236" t="s">
        <v>1227</v>
      </c>
      <c r="E236" t="s">
        <v>545</v>
      </c>
      <c r="F236">
        <v>1500</v>
      </c>
      <c r="G236">
        <v>0.7630457642971944</v>
      </c>
      <c r="H236">
        <v>1144.5686464457915</v>
      </c>
      <c r="I236" t="s">
        <v>541</v>
      </c>
    </row>
    <row r="237" spans="1:9" x14ac:dyDescent="0.25">
      <c r="A237" t="s">
        <v>220</v>
      </c>
      <c r="B237" t="s">
        <v>588</v>
      </c>
      <c r="C237" t="s">
        <v>1228</v>
      </c>
      <c r="D237" t="s">
        <v>1229</v>
      </c>
      <c r="E237" t="s">
        <v>545</v>
      </c>
      <c r="F237">
        <v>34000</v>
      </c>
      <c r="G237">
        <v>0.18541120651046297</v>
      </c>
      <c r="H237">
        <v>6303.9810213557412</v>
      </c>
      <c r="I237" t="s">
        <v>541</v>
      </c>
    </row>
    <row r="238" spans="1:9" x14ac:dyDescent="0.25">
      <c r="A238" t="s">
        <v>220</v>
      </c>
      <c r="B238" t="s">
        <v>588</v>
      </c>
      <c r="C238" t="s">
        <v>1230</v>
      </c>
      <c r="D238" t="s">
        <v>1231</v>
      </c>
      <c r="E238" t="s">
        <v>545</v>
      </c>
      <c r="F238">
        <v>33000</v>
      </c>
      <c r="G238">
        <v>0.21269732926361082</v>
      </c>
      <c r="H238">
        <v>7019.0118656991572</v>
      </c>
      <c r="I238" t="s">
        <v>541</v>
      </c>
    </row>
    <row r="239" spans="1:9" x14ac:dyDescent="0.25">
      <c r="A239" t="s">
        <v>220</v>
      </c>
      <c r="B239" t="s">
        <v>588</v>
      </c>
      <c r="C239" t="s">
        <v>1232</v>
      </c>
      <c r="D239" t="s">
        <v>1233</v>
      </c>
      <c r="E239" t="s">
        <v>545</v>
      </c>
      <c r="F239">
        <v>14500</v>
      </c>
      <c r="G239">
        <v>0.21719226924232746</v>
      </c>
      <c r="H239">
        <v>3149.2879040137482</v>
      </c>
      <c r="I239" t="s">
        <v>541</v>
      </c>
    </row>
    <row r="240" spans="1:9" x14ac:dyDescent="0.25">
      <c r="A240" t="s">
        <v>220</v>
      </c>
      <c r="B240" t="s">
        <v>588</v>
      </c>
      <c r="C240" t="s">
        <v>1234</v>
      </c>
      <c r="D240" t="s">
        <v>1235</v>
      </c>
      <c r="E240" t="s">
        <v>545</v>
      </c>
      <c r="F240">
        <v>17400</v>
      </c>
      <c r="G240">
        <v>6.8861855497382204E-2</v>
      </c>
      <c r="H240">
        <v>1198.1962856544503</v>
      </c>
      <c r="I240" t="s">
        <v>541</v>
      </c>
    </row>
    <row r="241" spans="1:9" x14ac:dyDescent="0.25">
      <c r="A241" t="s">
        <v>220</v>
      </c>
      <c r="B241" t="s">
        <v>588</v>
      </c>
      <c r="C241" t="s">
        <v>1236</v>
      </c>
      <c r="D241" t="s">
        <v>1237</v>
      </c>
      <c r="E241" t="s">
        <v>545</v>
      </c>
      <c r="F241">
        <v>700</v>
      </c>
      <c r="G241">
        <v>0.11899999999999998</v>
      </c>
      <c r="H241">
        <v>83.299999999999983</v>
      </c>
      <c r="I241" t="s">
        <v>541</v>
      </c>
    </row>
    <row r="242" spans="1:9" x14ac:dyDescent="0.25">
      <c r="A242" t="s">
        <v>220</v>
      </c>
      <c r="B242" t="s">
        <v>588</v>
      </c>
      <c r="C242" t="s">
        <v>1238</v>
      </c>
      <c r="D242" t="s">
        <v>1239</v>
      </c>
      <c r="E242" t="s">
        <v>545</v>
      </c>
      <c r="F242">
        <v>35700</v>
      </c>
      <c r="G242">
        <v>0.21616069729586479</v>
      </c>
      <c r="H242">
        <v>7716.9368934623726</v>
      </c>
      <c r="I242" t="s">
        <v>541</v>
      </c>
    </row>
    <row r="243" spans="1:9" x14ac:dyDescent="0.25">
      <c r="A243" t="s">
        <v>220</v>
      </c>
      <c r="B243" t="s">
        <v>588</v>
      </c>
      <c r="C243" t="s">
        <v>1240</v>
      </c>
      <c r="D243" t="s">
        <v>1241</v>
      </c>
      <c r="E243" t="s">
        <v>545</v>
      </c>
      <c r="F243">
        <v>9500</v>
      </c>
      <c r="G243">
        <v>0.24223191433974747</v>
      </c>
      <c r="H243">
        <v>2301.2031862276008</v>
      </c>
      <c r="I243" t="s">
        <v>541</v>
      </c>
    </row>
    <row r="244" spans="1:9" x14ac:dyDescent="0.25">
      <c r="A244" t="s">
        <v>220</v>
      </c>
      <c r="B244" t="s">
        <v>588</v>
      </c>
      <c r="C244" t="s">
        <v>1242</v>
      </c>
      <c r="D244" t="s">
        <v>1243</v>
      </c>
      <c r="E244" t="s">
        <v>545</v>
      </c>
      <c r="F244">
        <v>7750</v>
      </c>
      <c r="G244">
        <v>0.15</v>
      </c>
      <c r="H244">
        <v>1162.5</v>
      </c>
      <c r="I244" t="s">
        <v>541</v>
      </c>
    </row>
    <row r="245" spans="1:9" x14ac:dyDescent="0.25">
      <c r="A245" t="s">
        <v>220</v>
      </c>
      <c r="B245" t="s">
        <v>588</v>
      </c>
      <c r="C245" t="s">
        <v>1244</v>
      </c>
      <c r="D245" t="s">
        <v>1245</v>
      </c>
      <c r="E245" t="s">
        <v>545</v>
      </c>
      <c r="F245">
        <v>38300</v>
      </c>
      <c r="G245">
        <v>0.27298834526912963</v>
      </c>
      <c r="H245">
        <v>10455.453623807665</v>
      </c>
      <c r="I245" t="s">
        <v>541</v>
      </c>
    </row>
    <row r="246" spans="1:9" x14ac:dyDescent="0.25">
      <c r="A246" t="s">
        <v>220</v>
      </c>
      <c r="B246" t="s">
        <v>588</v>
      </c>
      <c r="C246" t="s">
        <v>1246</v>
      </c>
      <c r="D246" t="s">
        <v>1247</v>
      </c>
      <c r="E246" t="s">
        <v>545</v>
      </c>
      <c r="F246">
        <v>25000</v>
      </c>
      <c r="G246">
        <v>0.27468642448940533</v>
      </c>
      <c r="H246">
        <v>6867.1606122351332</v>
      </c>
      <c r="I246" t="s">
        <v>541</v>
      </c>
    </row>
    <row r="247" spans="1:9" x14ac:dyDescent="0.25">
      <c r="A247" t="s">
        <v>220</v>
      </c>
      <c r="B247" t="s">
        <v>588</v>
      </c>
      <c r="C247" t="s">
        <v>1248</v>
      </c>
      <c r="D247" t="s">
        <v>1249</v>
      </c>
      <c r="E247" t="s">
        <v>545</v>
      </c>
      <c r="F247">
        <v>300</v>
      </c>
      <c r="G247">
        <v>0.3805336722915485</v>
      </c>
      <c r="H247">
        <v>114.16010168746455</v>
      </c>
      <c r="I247" t="s">
        <v>541</v>
      </c>
    </row>
    <row r="248" spans="1:9" x14ac:dyDescent="0.25">
      <c r="A248" t="s">
        <v>220</v>
      </c>
      <c r="B248" t="s">
        <v>588</v>
      </c>
      <c r="C248" t="s">
        <v>1250</v>
      </c>
      <c r="D248" t="s">
        <v>1251</v>
      </c>
      <c r="E248" t="s">
        <v>545</v>
      </c>
      <c r="F248">
        <v>300</v>
      </c>
      <c r="G248">
        <v>0.44972161270819377</v>
      </c>
      <c r="H248">
        <v>134.91648381245813</v>
      </c>
      <c r="I248" t="s">
        <v>541</v>
      </c>
    </row>
    <row r="249" spans="1:9" x14ac:dyDescent="0.25">
      <c r="A249" t="s">
        <v>220</v>
      </c>
      <c r="B249" t="s">
        <v>588</v>
      </c>
      <c r="C249" t="s">
        <v>1252</v>
      </c>
      <c r="D249" t="s">
        <v>1253</v>
      </c>
      <c r="E249" t="s">
        <v>545</v>
      </c>
      <c r="F249">
        <v>300</v>
      </c>
      <c r="G249">
        <v>0.48431558291651633</v>
      </c>
      <c r="H249">
        <v>145.29467487495489</v>
      </c>
      <c r="I249" t="s">
        <v>541</v>
      </c>
    </row>
    <row r="250" spans="1:9" x14ac:dyDescent="0.25">
      <c r="A250" t="s">
        <v>220</v>
      </c>
      <c r="B250" t="s">
        <v>588</v>
      </c>
      <c r="C250" t="s">
        <v>1254</v>
      </c>
      <c r="D250" t="s">
        <v>1255</v>
      </c>
      <c r="E250" t="s">
        <v>545</v>
      </c>
      <c r="F250">
        <v>300</v>
      </c>
      <c r="G250">
        <v>0.51890955312483877</v>
      </c>
      <c r="H250">
        <v>155.67286593745163</v>
      </c>
      <c r="I250" t="s">
        <v>541</v>
      </c>
    </row>
    <row r="251" spans="1:9" x14ac:dyDescent="0.25">
      <c r="A251" t="s">
        <v>220</v>
      </c>
      <c r="B251" t="s">
        <v>588</v>
      </c>
      <c r="C251" t="s">
        <v>1256</v>
      </c>
      <c r="D251" t="s">
        <v>1257</v>
      </c>
      <c r="E251" t="s">
        <v>545</v>
      </c>
      <c r="F251">
        <v>300</v>
      </c>
      <c r="G251">
        <v>0.51890955312483877</v>
      </c>
      <c r="H251">
        <v>155.67286593745163</v>
      </c>
      <c r="I251" t="s">
        <v>541</v>
      </c>
    </row>
    <row r="252" spans="1:9" x14ac:dyDescent="0.25">
      <c r="A252" t="s">
        <v>220</v>
      </c>
      <c r="B252" t="s">
        <v>588</v>
      </c>
      <c r="C252" t="s">
        <v>1258</v>
      </c>
      <c r="D252" t="s">
        <v>1259</v>
      </c>
      <c r="E252" t="s">
        <v>545</v>
      </c>
      <c r="F252">
        <v>300</v>
      </c>
      <c r="G252">
        <v>0.41512764249987105</v>
      </c>
      <c r="H252">
        <v>124.53829274996131</v>
      </c>
      <c r="I252" t="s">
        <v>541</v>
      </c>
    </row>
    <row r="253" spans="1:9" x14ac:dyDescent="0.25">
      <c r="A253" t="s">
        <v>220</v>
      </c>
      <c r="B253" t="s">
        <v>588</v>
      </c>
      <c r="C253" t="s">
        <v>1260</v>
      </c>
      <c r="D253" t="s">
        <v>1261</v>
      </c>
      <c r="E253" t="s">
        <v>545</v>
      </c>
      <c r="F253">
        <v>300</v>
      </c>
      <c r="G253">
        <v>0.65728543395812911</v>
      </c>
      <c r="H253">
        <v>197.18563018743873</v>
      </c>
      <c r="I253" t="s">
        <v>541</v>
      </c>
    </row>
    <row r="254" spans="1:9" x14ac:dyDescent="0.25">
      <c r="A254" t="s">
        <v>220</v>
      </c>
      <c r="B254" t="s">
        <v>588</v>
      </c>
      <c r="C254" t="s">
        <v>1262</v>
      </c>
      <c r="D254" t="s">
        <v>1263</v>
      </c>
      <c r="E254" t="s">
        <v>545</v>
      </c>
      <c r="F254">
        <v>25000</v>
      </c>
      <c r="G254">
        <v>5.2999999999999999E-2</v>
      </c>
      <c r="H254">
        <v>1325</v>
      </c>
      <c r="I254" t="s">
        <v>541</v>
      </c>
    </row>
    <row r="255" spans="1:9" x14ac:dyDescent="0.25">
      <c r="A255" t="s">
        <v>220</v>
      </c>
      <c r="B255" t="s">
        <v>588</v>
      </c>
      <c r="C255" t="s">
        <v>1264</v>
      </c>
      <c r="D255" t="s">
        <v>1265</v>
      </c>
      <c r="E255" t="s">
        <v>545</v>
      </c>
      <c r="F255">
        <v>21000</v>
      </c>
      <c r="G255">
        <v>5.6416434286875206E-2</v>
      </c>
      <c r="H255">
        <v>1184.7451200243793</v>
      </c>
      <c r="I255" t="s">
        <v>541</v>
      </c>
    </row>
    <row r="256" spans="1:9" x14ac:dyDescent="0.25">
      <c r="A256" t="s">
        <v>220</v>
      </c>
      <c r="B256" t="s">
        <v>588</v>
      </c>
      <c r="C256" t="s">
        <v>1266</v>
      </c>
      <c r="D256" t="s">
        <v>1267</v>
      </c>
      <c r="E256" t="s">
        <v>545</v>
      </c>
      <c r="F256">
        <v>26800</v>
      </c>
      <c r="G256">
        <v>2.7019999999999995E-2</v>
      </c>
      <c r="H256">
        <v>724.13599999999985</v>
      </c>
      <c r="I256" t="s">
        <v>541</v>
      </c>
    </row>
    <row r="257" spans="1:9" x14ac:dyDescent="0.25">
      <c r="A257" t="s">
        <v>220</v>
      </c>
      <c r="B257" t="s">
        <v>588</v>
      </c>
      <c r="C257" t="s">
        <v>1268</v>
      </c>
      <c r="D257" t="s">
        <v>1269</v>
      </c>
      <c r="E257" t="s">
        <v>545</v>
      </c>
      <c r="F257">
        <v>22500</v>
      </c>
      <c r="G257">
        <v>2.7041560713295883E-2</v>
      </c>
      <c r="H257">
        <v>608.43511604915739</v>
      </c>
      <c r="I257" t="s">
        <v>541</v>
      </c>
    </row>
    <row r="258" spans="1:9" x14ac:dyDescent="0.25">
      <c r="A258" t="s">
        <v>220</v>
      </c>
      <c r="B258" t="s">
        <v>588</v>
      </c>
      <c r="C258" t="s">
        <v>1270</v>
      </c>
      <c r="D258" t="s">
        <v>1271</v>
      </c>
      <c r="E258" t="s">
        <v>545</v>
      </c>
      <c r="F258">
        <v>15000</v>
      </c>
      <c r="G258">
        <v>2.728495119508461E-2</v>
      </c>
      <c r="H258">
        <v>409.27426792626915</v>
      </c>
      <c r="I258" t="s">
        <v>541</v>
      </c>
    </row>
    <row r="259" spans="1:9" x14ac:dyDescent="0.25">
      <c r="A259" t="s">
        <v>220</v>
      </c>
      <c r="B259" t="s">
        <v>588</v>
      </c>
      <c r="C259" t="s">
        <v>1272</v>
      </c>
      <c r="D259" t="s">
        <v>1273</v>
      </c>
      <c r="E259" t="s">
        <v>545</v>
      </c>
      <c r="F259">
        <v>13500</v>
      </c>
      <c r="G259">
        <v>1.3510000000000001E-2</v>
      </c>
      <c r="H259">
        <v>182.38500000000002</v>
      </c>
      <c r="I259" t="s">
        <v>541</v>
      </c>
    </row>
    <row r="260" spans="1:9" x14ac:dyDescent="0.25">
      <c r="A260" t="s">
        <v>220</v>
      </c>
      <c r="B260" t="s">
        <v>588</v>
      </c>
      <c r="C260" t="s">
        <v>1274</v>
      </c>
      <c r="D260" t="s">
        <v>1275</v>
      </c>
      <c r="E260" t="s">
        <v>545</v>
      </c>
      <c r="F260">
        <v>7500</v>
      </c>
      <c r="G260">
        <v>7.3099999999999998E-2</v>
      </c>
      <c r="H260">
        <v>548.25</v>
      </c>
      <c r="I260" t="s">
        <v>541</v>
      </c>
    </row>
    <row r="261" spans="1:9" x14ac:dyDescent="0.25">
      <c r="A261" t="s">
        <v>220</v>
      </c>
      <c r="B261" t="s">
        <v>588</v>
      </c>
      <c r="C261" t="s">
        <v>1276</v>
      </c>
      <c r="D261" t="s">
        <v>1277</v>
      </c>
      <c r="E261" t="s">
        <v>545</v>
      </c>
      <c r="F261">
        <v>7500</v>
      </c>
      <c r="G261">
        <v>7.0514705882352938E-2</v>
      </c>
      <c r="H261">
        <v>528.86029411764707</v>
      </c>
      <c r="I261" t="s">
        <v>541</v>
      </c>
    </row>
    <row r="262" spans="1:9" x14ac:dyDescent="0.25">
      <c r="A262" t="s">
        <v>220</v>
      </c>
      <c r="B262" t="s">
        <v>588</v>
      </c>
      <c r="C262" t="s">
        <v>1278</v>
      </c>
      <c r="D262" t="s">
        <v>1279</v>
      </c>
      <c r="E262" t="s">
        <v>545</v>
      </c>
      <c r="F262">
        <v>4080</v>
      </c>
      <c r="G262">
        <v>1.7624734881306676</v>
      </c>
      <c r="H262">
        <v>7190.8918315731235</v>
      </c>
      <c r="I262" t="s">
        <v>541</v>
      </c>
    </row>
    <row r="263" spans="1:9" x14ac:dyDescent="0.25">
      <c r="A263" t="s">
        <v>220</v>
      </c>
      <c r="B263" t="s">
        <v>588</v>
      </c>
      <c r="C263" t="s">
        <v>1280</v>
      </c>
      <c r="D263" t="s">
        <v>1281</v>
      </c>
      <c r="E263" t="s">
        <v>545</v>
      </c>
      <c r="F263">
        <v>4800</v>
      </c>
      <c r="G263">
        <v>1.815099252541148</v>
      </c>
      <c r="H263">
        <v>8712.4764121975113</v>
      </c>
      <c r="I263" t="s">
        <v>541</v>
      </c>
    </row>
    <row r="264" spans="1:9" x14ac:dyDescent="0.25">
      <c r="A264" t="s">
        <v>220</v>
      </c>
      <c r="B264" t="s">
        <v>588</v>
      </c>
      <c r="C264" t="s">
        <v>1282</v>
      </c>
      <c r="D264" t="s">
        <v>1283</v>
      </c>
      <c r="E264" t="s">
        <v>545</v>
      </c>
      <c r="F264">
        <v>4032</v>
      </c>
      <c r="G264">
        <v>1.9190203489271773</v>
      </c>
      <c r="H264">
        <v>7737.490046874379</v>
      </c>
      <c r="I264" t="s">
        <v>541</v>
      </c>
    </row>
    <row r="265" spans="1:9" x14ac:dyDescent="0.25">
      <c r="A265" t="s">
        <v>220</v>
      </c>
      <c r="B265" t="s">
        <v>588</v>
      </c>
      <c r="C265" t="s">
        <v>1284</v>
      </c>
      <c r="D265" t="s">
        <v>1285</v>
      </c>
      <c r="E265" t="s">
        <v>545</v>
      </c>
      <c r="F265">
        <v>8712</v>
      </c>
      <c r="G265">
        <v>1.4256156393666339</v>
      </c>
      <c r="H265">
        <v>12419.963450162115</v>
      </c>
      <c r="I265" t="s">
        <v>541</v>
      </c>
    </row>
    <row r="266" spans="1:9" x14ac:dyDescent="0.25">
      <c r="A266" t="s">
        <v>220</v>
      </c>
      <c r="B266" t="s">
        <v>588</v>
      </c>
      <c r="C266" t="s">
        <v>1286</v>
      </c>
      <c r="D266" t="s">
        <v>1287</v>
      </c>
      <c r="E266" t="s">
        <v>545</v>
      </c>
      <c r="F266">
        <v>3264</v>
      </c>
      <c r="G266">
        <v>1.4450582455291476</v>
      </c>
      <c r="H266">
        <v>4716.6701134071382</v>
      </c>
      <c r="I266" t="s">
        <v>541</v>
      </c>
    </row>
    <row r="267" spans="1:9" x14ac:dyDescent="0.25">
      <c r="A267" t="s">
        <v>220</v>
      </c>
      <c r="B267" t="s">
        <v>588</v>
      </c>
      <c r="C267" t="s">
        <v>1288</v>
      </c>
      <c r="D267" t="s">
        <v>1289</v>
      </c>
      <c r="E267" t="s">
        <v>545</v>
      </c>
      <c r="F267">
        <v>17666</v>
      </c>
      <c r="G267">
        <v>1.5146686185580147</v>
      </c>
      <c r="H267">
        <v>26758.135815445887</v>
      </c>
      <c r="I267" t="s">
        <v>541</v>
      </c>
    </row>
    <row r="268" spans="1:9" x14ac:dyDescent="0.25">
      <c r="A268" t="s">
        <v>220</v>
      </c>
      <c r="B268" t="s">
        <v>588</v>
      </c>
      <c r="C268" t="s">
        <v>1290</v>
      </c>
      <c r="D268" t="s">
        <v>1291</v>
      </c>
      <c r="E268" t="s">
        <v>545</v>
      </c>
      <c r="F268">
        <v>2880</v>
      </c>
      <c r="G268">
        <v>1.5853425593048702</v>
      </c>
      <c r="H268">
        <v>4565.7865707980263</v>
      </c>
      <c r="I268" t="s">
        <v>541</v>
      </c>
    </row>
    <row r="269" spans="1:9" x14ac:dyDescent="0.25">
      <c r="A269" t="s">
        <v>220</v>
      </c>
      <c r="B269" t="s">
        <v>588</v>
      </c>
      <c r="C269" t="s">
        <v>1292</v>
      </c>
      <c r="D269" t="s">
        <v>1293</v>
      </c>
      <c r="E269" t="s">
        <v>545</v>
      </c>
      <c r="F269">
        <v>17380</v>
      </c>
      <c r="G269">
        <v>1.5617606032993145</v>
      </c>
      <c r="H269">
        <v>27143.399285342086</v>
      </c>
      <c r="I269" t="s">
        <v>541</v>
      </c>
    </row>
    <row r="270" spans="1:9" x14ac:dyDescent="0.25">
      <c r="A270" t="s">
        <v>220</v>
      </c>
      <c r="B270" t="s">
        <v>588</v>
      </c>
      <c r="C270" t="s">
        <v>1294</v>
      </c>
      <c r="D270" t="s">
        <v>1295</v>
      </c>
      <c r="E270" t="s">
        <v>545</v>
      </c>
      <c r="F270">
        <v>2736</v>
      </c>
      <c r="G270">
        <v>1.7999036584262238</v>
      </c>
      <c r="H270">
        <v>4924.5364094541483</v>
      </c>
      <c r="I270" t="s">
        <v>541</v>
      </c>
    </row>
    <row r="271" spans="1:9" x14ac:dyDescent="0.25">
      <c r="A271" t="s">
        <v>220</v>
      </c>
      <c r="B271" t="s">
        <v>588</v>
      </c>
      <c r="C271" t="s">
        <v>1296</v>
      </c>
      <c r="D271" t="s">
        <v>1297</v>
      </c>
      <c r="E271" t="s">
        <v>545</v>
      </c>
      <c r="F271">
        <v>3696</v>
      </c>
      <c r="G271">
        <v>1.7196972478999017</v>
      </c>
      <c r="H271">
        <v>6356.0010282380372</v>
      </c>
      <c r="I271" t="s">
        <v>541</v>
      </c>
    </row>
    <row r="272" spans="1:9" x14ac:dyDescent="0.25">
      <c r="A272" t="s">
        <v>220</v>
      </c>
      <c r="B272" t="s">
        <v>588</v>
      </c>
      <c r="C272" t="s">
        <v>1298</v>
      </c>
      <c r="D272" t="s">
        <v>1299</v>
      </c>
      <c r="E272" t="s">
        <v>545</v>
      </c>
      <c r="F272">
        <v>864</v>
      </c>
      <c r="G272">
        <v>1.905795172712855</v>
      </c>
      <c r="H272">
        <v>1646.6070292239067</v>
      </c>
      <c r="I272" t="s">
        <v>541</v>
      </c>
    </row>
    <row r="273" spans="1:9" x14ac:dyDescent="0.25">
      <c r="A273" t="s">
        <v>220</v>
      </c>
      <c r="B273" t="s">
        <v>588</v>
      </c>
      <c r="C273" t="s">
        <v>1300</v>
      </c>
      <c r="D273" t="s">
        <v>1301</v>
      </c>
      <c r="E273" t="s">
        <v>545</v>
      </c>
      <c r="F273">
        <v>1560</v>
      </c>
      <c r="G273">
        <v>1.546955414573195</v>
      </c>
      <c r="H273">
        <v>2413.2504467341842</v>
      </c>
      <c r="I273" t="s">
        <v>541</v>
      </c>
    </row>
    <row r="274" spans="1:9" x14ac:dyDescent="0.25">
      <c r="A274" t="s">
        <v>220</v>
      </c>
      <c r="B274" t="s">
        <v>588</v>
      </c>
      <c r="C274" t="s">
        <v>1302</v>
      </c>
      <c r="D274" t="s">
        <v>1303</v>
      </c>
      <c r="E274" t="s">
        <v>545</v>
      </c>
      <c r="F274">
        <v>2376</v>
      </c>
      <c r="G274">
        <v>1.667781071564256</v>
      </c>
      <c r="H274">
        <v>3962.6478260366725</v>
      </c>
      <c r="I274" t="s">
        <v>541</v>
      </c>
    </row>
    <row r="275" spans="1:9" x14ac:dyDescent="0.25">
      <c r="A275" t="s">
        <v>220</v>
      </c>
      <c r="B275" t="s">
        <v>588</v>
      </c>
      <c r="C275" t="s">
        <v>1306</v>
      </c>
      <c r="D275" t="s">
        <v>1307</v>
      </c>
      <c r="E275" t="s">
        <v>545</v>
      </c>
      <c r="F275">
        <v>1000</v>
      </c>
      <c r="G275">
        <v>0.30528988899645421</v>
      </c>
      <c r="H275">
        <v>305.28988899645418</v>
      </c>
      <c r="I275" t="s">
        <v>541</v>
      </c>
    </row>
    <row r="276" spans="1:9" x14ac:dyDescent="0.25">
      <c r="A276" t="s">
        <v>220</v>
      </c>
      <c r="B276" t="s">
        <v>588</v>
      </c>
      <c r="C276" t="s">
        <v>1308</v>
      </c>
      <c r="D276" t="s">
        <v>1309</v>
      </c>
      <c r="E276" t="s">
        <v>545</v>
      </c>
      <c r="F276">
        <v>2000</v>
      </c>
      <c r="G276">
        <v>0.54727052307402646</v>
      </c>
      <c r="H276">
        <v>1094.5410461480528</v>
      </c>
      <c r="I276" t="s">
        <v>541</v>
      </c>
    </row>
    <row r="277" spans="1:9" x14ac:dyDescent="0.25">
      <c r="A277" t="s">
        <v>220</v>
      </c>
      <c r="B277" t="s">
        <v>588</v>
      </c>
      <c r="C277" t="s">
        <v>1310</v>
      </c>
      <c r="D277" t="s">
        <v>1311</v>
      </c>
      <c r="E277" t="s">
        <v>545</v>
      </c>
      <c r="F277">
        <v>470</v>
      </c>
      <c r="G277">
        <v>1.3230641258607909</v>
      </c>
      <c r="H277">
        <v>621.84013915457172</v>
      </c>
      <c r="I277" t="s">
        <v>541</v>
      </c>
    </row>
    <row r="278" spans="1:9" x14ac:dyDescent="0.25">
      <c r="A278" t="s">
        <v>220</v>
      </c>
      <c r="B278" t="s">
        <v>588</v>
      </c>
      <c r="C278" t="s">
        <v>1312</v>
      </c>
      <c r="D278" t="s">
        <v>1313</v>
      </c>
      <c r="E278" t="s">
        <v>545</v>
      </c>
      <c r="F278">
        <v>500</v>
      </c>
      <c r="G278">
        <v>0.22800000000000001</v>
      </c>
      <c r="H278">
        <v>114</v>
      </c>
      <c r="I278" t="s">
        <v>541</v>
      </c>
    </row>
    <row r="279" spans="1:9" x14ac:dyDescent="0.25">
      <c r="A279" t="s">
        <v>220</v>
      </c>
      <c r="B279" t="s">
        <v>588</v>
      </c>
      <c r="C279" t="s">
        <v>1314</v>
      </c>
      <c r="D279" t="s">
        <v>1315</v>
      </c>
      <c r="E279" t="s">
        <v>545</v>
      </c>
      <c r="F279">
        <v>500</v>
      </c>
      <c r="G279">
        <v>0.28799999999999998</v>
      </c>
      <c r="H279">
        <v>144</v>
      </c>
      <c r="I279" t="s">
        <v>541</v>
      </c>
    </row>
    <row r="280" spans="1:9" x14ac:dyDescent="0.25">
      <c r="A280" t="s">
        <v>220</v>
      </c>
      <c r="B280" t="s">
        <v>588</v>
      </c>
      <c r="C280" t="s">
        <v>1316</v>
      </c>
      <c r="D280" t="s">
        <v>1317</v>
      </c>
      <c r="E280" t="s">
        <v>545</v>
      </c>
      <c r="F280">
        <v>2500</v>
      </c>
      <c r="G280">
        <v>0.55041091954022991</v>
      </c>
      <c r="H280">
        <v>1376.0272988505749</v>
      </c>
      <c r="I280" t="s">
        <v>541</v>
      </c>
    </row>
    <row r="281" spans="1:9" x14ac:dyDescent="0.25">
      <c r="A281" t="s">
        <v>220</v>
      </c>
      <c r="B281" t="s">
        <v>588</v>
      </c>
      <c r="C281" t="s">
        <v>1318</v>
      </c>
      <c r="D281" t="s">
        <v>1319</v>
      </c>
      <c r="E281" t="s">
        <v>545</v>
      </c>
      <c r="F281">
        <v>600</v>
      </c>
      <c r="G281">
        <v>0.60599999999999998</v>
      </c>
      <c r="H281">
        <v>363.59999999999997</v>
      </c>
      <c r="I281" t="s">
        <v>541</v>
      </c>
    </row>
    <row r="282" spans="1:9" x14ac:dyDescent="0.25">
      <c r="A282" t="s">
        <v>220</v>
      </c>
      <c r="B282" t="s">
        <v>588</v>
      </c>
      <c r="C282" t="s">
        <v>1320</v>
      </c>
      <c r="D282" t="s">
        <v>1321</v>
      </c>
      <c r="E282" t="s">
        <v>545</v>
      </c>
      <c r="F282">
        <v>1200</v>
      </c>
      <c r="G282">
        <v>0.37369999999999998</v>
      </c>
      <c r="H282">
        <v>448.44</v>
      </c>
      <c r="I282" t="s">
        <v>541</v>
      </c>
    </row>
    <row r="283" spans="1:9" x14ac:dyDescent="0.25">
      <c r="A283" t="s">
        <v>220</v>
      </c>
      <c r="B283" t="s">
        <v>588</v>
      </c>
      <c r="C283" t="s">
        <v>1322</v>
      </c>
      <c r="D283" t="s">
        <v>1323</v>
      </c>
      <c r="E283" t="s">
        <v>545</v>
      </c>
      <c r="F283">
        <v>2000</v>
      </c>
      <c r="G283">
        <v>0.62975590861764652</v>
      </c>
      <c r="H283">
        <v>1259.5118172352929</v>
      </c>
      <c r="I283" t="s">
        <v>541</v>
      </c>
    </row>
    <row r="284" spans="1:9" x14ac:dyDescent="0.25">
      <c r="A284" t="s">
        <v>220</v>
      </c>
      <c r="B284" t="s">
        <v>588</v>
      </c>
      <c r="C284" t="s">
        <v>1328</v>
      </c>
      <c r="D284" t="s">
        <v>1329</v>
      </c>
      <c r="E284" t="s">
        <v>545</v>
      </c>
      <c r="F284">
        <v>3000</v>
      </c>
      <c r="G284">
        <v>0.45070999999999994</v>
      </c>
      <c r="H284">
        <v>1352.1299999999999</v>
      </c>
      <c r="I284" t="s">
        <v>541</v>
      </c>
    </row>
    <row r="285" spans="1:9" x14ac:dyDescent="0.25">
      <c r="A285" t="s">
        <v>220</v>
      </c>
      <c r="B285" t="s">
        <v>588</v>
      </c>
      <c r="C285" t="s">
        <v>1330</v>
      </c>
      <c r="D285" t="s">
        <v>1331</v>
      </c>
      <c r="E285" t="s">
        <v>545</v>
      </c>
      <c r="F285">
        <v>1450</v>
      </c>
      <c r="G285">
        <v>0.34292948456921724</v>
      </c>
      <c r="H285">
        <v>497.24775262536497</v>
      </c>
      <c r="I285" t="s">
        <v>541</v>
      </c>
    </row>
    <row r="286" spans="1:9" x14ac:dyDescent="0.25">
      <c r="A286" t="s">
        <v>220</v>
      </c>
      <c r="B286" t="s">
        <v>588</v>
      </c>
      <c r="C286" t="s">
        <v>1332</v>
      </c>
      <c r="D286" t="s">
        <v>1333</v>
      </c>
      <c r="E286" t="s">
        <v>545</v>
      </c>
      <c r="F286">
        <v>3060</v>
      </c>
      <c r="G286">
        <v>0.33050791018468506</v>
      </c>
      <c r="H286">
        <v>1011.3542051651362</v>
      </c>
      <c r="I286" t="s">
        <v>541</v>
      </c>
    </row>
    <row r="287" spans="1:9" x14ac:dyDescent="0.25">
      <c r="A287" t="s">
        <v>220</v>
      </c>
      <c r="B287" t="s">
        <v>588</v>
      </c>
      <c r="C287" t="s">
        <v>1334</v>
      </c>
      <c r="D287" t="s">
        <v>1335</v>
      </c>
      <c r="E287" t="s">
        <v>545</v>
      </c>
      <c r="F287">
        <v>1400</v>
      </c>
      <c r="G287">
        <v>0.46855693910358942</v>
      </c>
      <c r="H287">
        <v>655.97971474502515</v>
      </c>
      <c r="I287" t="s">
        <v>541</v>
      </c>
    </row>
    <row r="288" spans="1:9" x14ac:dyDescent="0.25">
      <c r="A288" t="s">
        <v>220</v>
      </c>
      <c r="B288" t="s">
        <v>588</v>
      </c>
      <c r="C288" t="s">
        <v>1336</v>
      </c>
      <c r="D288" t="s">
        <v>1337</v>
      </c>
      <c r="E288" t="s">
        <v>545</v>
      </c>
      <c r="F288">
        <v>2000</v>
      </c>
      <c r="G288">
        <v>0.5909333333333332</v>
      </c>
      <c r="H288">
        <v>1181.8666666666663</v>
      </c>
      <c r="I288" t="s">
        <v>541</v>
      </c>
    </row>
    <row r="289" spans="1:9" x14ac:dyDescent="0.25">
      <c r="A289" t="s">
        <v>220</v>
      </c>
      <c r="B289" t="s">
        <v>588</v>
      </c>
      <c r="C289" t="s">
        <v>1338</v>
      </c>
      <c r="D289" t="s">
        <v>1339</v>
      </c>
      <c r="E289" t="s">
        <v>545</v>
      </c>
      <c r="F289">
        <v>5330</v>
      </c>
      <c r="G289">
        <v>0.58967420262664161</v>
      </c>
      <c r="H289">
        <v>3142.9634999999998</v>
      </c>
      <c r="I289" t="s">
        <v>541</v>
      </c>
    </row>
    <row r="290" spans="1:9" x14ac:dyDescent="0.25">
      <c r="A290" t="s">
        <v>220</v>
      </c>
      <c r="B290" t="s">
        <v>588</v>
      </c>
      <c r="C290" t="s">
        <v>1340</v>
      </c>
      <c r="D290" t="s">
        <v>1341</v>
      </c>
      <c r="E290" t="s">
        <v>545</v>
      </c>
      <c r="F290">
        <v>2500</v>
      </c>
      <c r="G290">
        <v>0.45421295335219619</v>
      </c>
      <c r="H290">
        <v>1135.5323833804905</v>
      </c>
      <c r="I290" t="s">
        <v>541</v>
      </c>
    </row>
    <row r="291" spans="1:9" x14ac:dyDescent="0.25">
      <c r="A291" t="s">
        <v>220</v>
      </c>
      <c r="B291" t="s">
        <v>588</v>
      </c>
      <c r="C291" t="s">
        <v>1342</v>
      </c>
      <c r="D291" t="s">
        <v>1343</v>
      </c>
      <c r="E291" t="s">
        <v>545</v>
      </c>
      <c r="F291">
        <v>2440</v>
      </c>
      <c r="G291">
        <v>0.45424517012687432</v>
      </c>
      <c r="H291">
        <v>1108.3582151095734</v>
      </c>
      <c r="I291" t="s">
        <v>541</v>
      </c>
    </row>
    <row r="292" spans="1:9" x14ac:dyDescent="0.25">
      <c r="A292" t="s">
        <v>220</v>
      </c>
      <c r="B292" t="s">
        <v>588</v>
      </c>
      <c r="C292" t="s">
        <v>1344</v>
      </c>
      <c r="D292" t="s">
        <v>1345</v>
      </c>
      <c r="E292" t="s">
        <v>545</v>
      </c>
      <c r="F292">
        <v>300</v>
      </c>
      <c r="G292">
        <v>0.57739326597962448</v>
      </c>
      <c r="H292">
        <v>173.21797979388734</v>
      </c>
      <c r="I292" t="s">
        <v>541</v>
      </c>
    </row>
    <row r="293" spans="1:9" x14ac:dyDescent="0.25">
      <c r="A293" t="s">
        <v>220</v>
      </c>
      <c r="B293" t="s">
        <v>588</v>
      </c>
      <c r="C293" t="s">
        <v>1346</v>
      </c>
      <c r="D293" t="s">
        <v>1347</v>
      </c>
      <c r="E293" t="s">
        <v>545</v>
      </c>
      <c r="F293">
        <v>6000</v>
      </c>
      <c r="G293">
        <v>0.48544954806954344</v>
      </c>
      <c r="H293">
        <v>2912.6972884172606</v>
      </c>
      <c r="I293" t="s">
        <v>541</v>
      </c>
    </row>
    <row r="294" spans="1:9" x14ac:dyDescent="0.25">
      <c r="A294" t="s">
        <v>220</v>
      </c>
      <c r="B294" t="s">
        <v>588</v>
      </c>
      <c r="C294" t="s">
        <v>1348</v>
      </c>
      <c r="D294" t="s">
        <v>1349</v>
      </c>
      <c r="E294" t="s">
        <v>545</v>
      </c>
      <c r="F294">
        <v>2500</v>
      </c>
      <c r="G294">
        <v>0.45685666666666674</v>
      </c>
      <c r="H294">
        <v>1142.1416666666669</v>
      </c>
      <c r="I294" t="s">
        <v>541</v>
      </c>
    </row>
    <row r="295" spans="1:9" x14ac:dyDescent="0.25">
      <c r="A295" t="s">
        <v>220</v>
      </c>
      <c r="B295" t="s">
        <v>588</v>
      </c>
      <c r="C295" t="s">
        <v>1350</v>
      </c>
      <c r="D295" t="s">
        <v>1351</v>
      </c>
      <c r="E295" t="s">
        <v>545</v>
      </c>
      <c r="F295">
        <v>1270</v>
      </c>
      <c r="G295">
        <v>0.64144036697247697</v>
      </c>
      <c r="H295">
        <v>814.62926605504572</v>
      </c>
      <c r="I295" t="s">
        <v>541</v>
      </c>
    </row>
    <row r="296" spans="1:9" x14ac:dyDescent="0.25">
      <c r="A296" t="s">
        <v>220</v>
      </c>
      <c r="B296" t="s">
        <v>588</v>
      </c>
      <c r="C296" t="s">
        <v>1352</v>
      </c>
      <c r="D296" t="s">
        <v>1353</v>
      </c>
      <c r="E296" t="s">
        <v>545</v>
      </c>
      <c r="F296">
        <v>2000</v>
      </c>
      <c r="G296">
        <v>0.31434954351592692</v>
      </c>
      <c r="H296">
        <v>628.69908703185388</v>
      </c>
      <c r="I296" t="s">
        <v>541</v>
      </c>
    </row>
    <row r="297" spans="1:9" x14ac:dyDescent="0.25">
      <c r="A297" t="s">
        <v>220</v>
      </c>
      <c r="B297" t="s">
        <v>588</v>
      </c>
      <c r="C297" t="s">
        <v>1356</v>
      </c>
      <c r="D297" t="s">
        <v>1357</v>
      </c>
      <c r="E297" t="s">
        <v>545</v>
      </c>
      <c r="F297">
        <v>500</v>
      </c>
      <c r="G297">
        <v>0.42912758854701843</v>
      </c>
      <c r="H297">
        <v>214.56379427350922</v>
      </c>
      <c r="I297" t="s">
        <v>541</v>
      </c>
    </row>
    <row r="298" spans="1:9" x14ac:dyDescent="0.25">
      <c r="A298" t="s">
        <v>220</v>
      </c>
      <c r="B298" t="s">
        <v>588</v>
      </c>
      <c r="C298" t="s">
        <v>1358</v>
      </c>
      <c r="D298" t="s">
        <v>1359</v>
      </c>
      <c r="E298" t="s">
        <v>545</v>
      </c>
      <c r="F298">
        <v>1030</v>
      </c>
      <c r="G298">
        <v>0.60015503738685561</v>
      </c>
      <c r="H298">
        <v>618.15968850846127</v>
      </c>
      <c r="I298" t="s">
        <v>541</v>
      </c>
    </row>
    <row r="299" spans="1:9" x14ac:dyDescent="0.25">
      <c r="A299" t="s">
        <v>220</v>
      </c>
      <c r="B299" t="s">
        <v>588</v>
      </c>
      <c r="C299" t="s">
        <v>7538</v>
      </c>
      <c r="D299" t="s">
        <v>7539</v>
      </c>
      <c r="E299" t="s">
        <v>545</v>
      </c>
      <c r="F299">
        <v>2000</v>
      </c>
      <c r="G299">
        <v>0.35349999999999998</v>
      </c>
      <c r="H299">
        <v>707</v>
      </c>
      <c r="I299" t="s">
        <v>541</v>
      </c>
    </row>
    <row r="300" spans="1:9" x14ac:dyDescent="0.25">
      <c r="A300" t="s">
        <v>220</v>
      </c>
      <c r="B300" t="s">
        <v>588</v>
      </c>
      <c r="C300" t="s">
        <v>1360</v>
      </c>
      <c r="D300" t="s">
        <v>1361</v>
      </c>
      <c r="E300" t="s">
        <v>545</v>
      </c>
      <c r="F300">
        <v>3900</v>
      </c>
      <c r="G300">
        <v>0.34496445386064029</v>
      </c>
      <c r="H300">
        <v>1345.3613700564972</v>
      </c>
      <c r="I300" t="s">
        <v>541</v>
      </c>
    </row>
    <row r="301" spans="1:9" x14ac:dyDescent="0.25">
      <c r="A301" t="s">
        <v>220</v>
      </c>
      <c r="B301" t="s">
        <v>588</v>
      </c>
      <c r="C301" t="s">
        <v>1362</v>
      </c>
      <c r="D301" t="s">
        <v>1363</v>
      </c>
      <c r="E301" t="s">
        <v>545</v>
      </c>
      <c r="F301">
        <v>4080</v>
      </c>
      <c r="G301">
        <v>0.38379999999999992</v>
      </c>
      <c r="H301">
        <v>1565.9039999999998</v>
      </c>
      <c r="I301" t="s">
        <v>541</v>
      </c>
    </row>
    <row r="302" spans="1:9" x14ac:dyDescent="0.25">
      <c r="A302" t="s">
        <v>220</v>
      </c>
      <c r="B302" t="s">
        <v>588</v>
      </c>
      <c r="C302" t="s">
        <v>1364</v>
      </c>
      <c r="D302" t="s">
        <v>1365</v>
      </c>
      <c r="E302" t="s">
        <v>545</v>
      </c>
      <c r="F302">
        <v>5070</v>
      </c>
      <c r="G302">
        <v>0.38379999999999997</v>
      </c>
      <c r="H302">
        <v>1945.8659999999998</v>
      </c>
      <c r="I302" t="s">
        <v>541</v>
      </c>
    </row>
    <row r="303" spans="1:9" x14ac:dyDescent="0.25">
      <c r="A303" t="s">
        <v>220</v>
      </c>
      <c r="B303" t="s">
        <v>588</v>
      </c>
      <c r="C303" t="s">
        <v>1366</v>
      </c>
      <c r="D303" t="s">
        <v>1367</v>
      </c>
      <c r="E303" t="s">
        <v>545</v>
      </c>
      <c r="F303">
        <v>2296</v>
      </c>
      <c r="G303">
        <v>0.45450000000000002</v>
      </c>
      <c r="H303">
        <v>1043.5319999999999</v>
      </c>
      <c r="I303" t="s">
        <v>541</v>
      </c>
    </row>
    <row r="304" spans="1:9" x14ac:dyDescent="0.25">
      <c r="A304" t="s">
        <v>220</v>
      </c>
      <c r="B304" t="s">
        <v>588</v>
      </c>
      <c r="C304" t="s">
        <v>1368</v>
      </c>
      <c r="D304" t="s">
        <v>1369</v>
      </c>
      <c r="E304" t="s">
        <v>545</v>
      </c>
      <c r="F304">
        <v>3730</v>
      </c>
      <c r="G304">
        <v>0.42420000000000002</v>
      </c>
      <c r="H304">
        <v>1582.2660000000001</v>
      </c>
      <c r="I304" t="s">
        <v>541</v>
      </c>
    </row>
    <row r="305" spans="1:9" x14ac:dyDescent="0.25">
      <c r="A305" t="s">
        <v>220</v>
      </c>
      <c r="B305" t="s">
        <v>588</v>
      </c>
      <c r="C305" t="s">
        <v>1370</v>
      </c>
      <c r="D305" t="s">
        <v>1371</v>
      </c>
      <c r="E305" t="s">
        <v>545</v>
      </c>
      <c r="F305">
        <v>2500</v>
      </c>
      <c r="G305">
        <v>0.37874999999999998</v>
      </c>
      <c r="H305">
        <v>946.87499999999989</v>
      </c>
      <c r="I305" t="s">
        <v>541</v>
      </c>
    </row>
    <row r="306" spans="1:9" x14ac:dyDescent="0.25">
      <c r="A306" t="s">
        <v>220</v>
      </c>
      <c r="B306" t="s">
        <v>588</v>
      </c>
      <c r="C306" t="s">
        <v>1372</v>
      </c>
      <c r="D306" t="s">
        <v>1373</v>
      </c>
      <c r="E306" t="s">
        <v>545</v>
      </c>
      <c r="F306">
        <v>5600</v>
      </c>
      <c r="G306">
        <v>0.37369999999999998</v>
      </c>
      <c r="H306">
        <v>2092.7199999999998</v>
      </c>
      <c r="I306" t="s">
        <v>541</v>
      </c>
    </row>
    <row r="307" spans="1:9" x14ac:dyDescent="0.25">
      <c r="A307" t="s">
        <v>220</v>
      </c>
      <c r="B307" t="s">
        <v>588</v>
      </c>
      <c r="C307" t="s">
        <v>1374</v>
      </c>
      <c r="D307" t="s">
        <v>1375</v>
      </c>
      <c r="E307" t="s">
        <v>545</v>
      </c>
      <c r="F307">
        <v>1000</v>
      </c>
      <c r="G307">
        <v>0.45400000000000001</v>
      </c>
      <c r="H307">
        <v>454</v>
      </c>
      <c r="I307" t="s">
        <v>541</v>
      </c>
    </row>
    <row r="308" spans="1:9" x14ac:dyDescent="0.25">
      <c r="A308" t="s">
        <v>220</v>
      </c>
      <c r="B308" t="s">
        <v>588</v>
      </c>
      <c r="C308" t="s">
        <v>1376</v>
      </c>
      <c r="D308" t="s">
        <v>1377</v>
      </c>
      <c r="E308" t="s">
        <v>545</v>
      </c>
      <c r="F308">
        <v>1720</v>
      </c>
      <c r="G308">
        <v>0.42420000000000002</v>
      </c>
      <c r="H308">
        <v>729.62400000000002</v>
      </c>
      <c r="I308" t="s">
        <v>541</v>
      </c>
    </row>
    <row r="309" spans="1:9" x14ac:dyDescent="0.25">
      <c r="A309" t="s">
        <v>220</v>
      </c>
      <c r="B309" t="s">
        <v>588</v>
      </c>
      <c r="C309" t="s">
        <v>1378</v>
      </c>
      <c r="D309" t="s">
        <v>1379</v>
      </c>
      <c r="E309" t="s">
        <v>545</v>
      </c>
      <c r="F309">
        <v>3000</v>
      </c>
      <c r="G309">
        <v>0.37369999999999992</v>
      </c>
      <c r="H309">
        <v>1121.0999999999997</v>
      </c>
      <c r="I309" t="s">
        <v>541</v>
      </c>
    </row>
    <row r="310" spans="1:9" x14ac:dyDescent="0.25">
      <c r="A310" t="s">
        <v>220</v>
      </c>
      <c r="B310" t="s">
        <v>588</v>
      </c>
      <c r="C310" t="s">
        <v>1380</v>
      </c>
      <c r="D310" t="s">
        <v>1381</v>
      </c>
      <c r="E310" t="s">
        <v>545</v>
      </c>
      <c r="F310">
        <v>3600</v>
      </c>
      <c r="G310">
        <v>0.47470000000000001</v>
      </c>
      <c r="H310">
        <v>1708.92</v>
      </c>
      <c r="I310" t="s">
        <v>541</v>
      </c>
    </row>
    <row r="311" spans="1:9" x14ac:dyDescent="0.25">
      <c r="A311" t="s">
        <v>220</v>
      </c>
      <c r="B311" t="s">
        <v>588</v>
      </c>
      <c r="C311" t="s">
        <v>1382</v>
      </c>
      <c r="D311" t="s">
        <v>1383</v>
      </c>
      <c r="E311" t="s">
        <v>545</v>
      </c>
      <c r="F311">
        <v>1100</v>
      </c>
      <c r="G311">
        <v>0.70699999999999985</v>
      </c>
      <c r="H311">
        <v>777.69999999999982</v>
      </c>
      <c r="I311" t="s">
        <v>541</v>
      </c>
    </row>
    <row r="312" spans="1:9" x14ac:dyDescent="0.25">
      <c r="A312" t="s">
        <v>220</v>
      </c>
      <c r="B312" t="s">
        <v>588</v>
      </c>
      <c r="C312" t="s">
        <v>1384</v>
      </c>
      <c r="D312" t="s">
        <v>1385</v>
      </c>
      <c r="F312">
        <v>900</v>
      </c>
      <c r="G312">
        <v>0.79285000000000005</v>
      </c>
      <c r="H312">
        <v>713.56500000000005</v>
      </c>
      <c r="I312" t="s">
        <v>541</v>
      </c>
    </row>
    <row r="313" spans="1:9" x14ac:dyDescent="0.25">
      <c r="A313" t="s">
        <v>220</v>
      </c>
      <c r="B313" t="s">
        <v>588</v>
      </c>
      <c r="C313" t="s">
        <v>1386</v>
      </c>
      <c r="D313" t="s">
        <v>1387</v>
      </c>
      <c r="F313">
        <v>700</v>
      </c>
      <c r="G313">
        <v>0.79285000000000005</v>
      </c>
      <c r="H313">
        <v>554.995</v>
      </c>
      <c r="I313" t="s">
        <v>541</v>
      </c>
    </row>
    <row r="314" spans="1:9" x14ac:dyDescent="0.25">
      <c r="A314" t="s">
        <v>220</v>
      </c>
      <c r="B314" t="s">
        <v>588</v>
      </c>
      <c r="C314" t="s">
        <v>1388</v>
      </c>
      <c r="D314" t="s">
        <v>1389</v>
      </c>
      <c r="E314" t="s">
        <v>545</v>
      </c>
      <c r="F314">
        <v>3500</v>
      </c>
      <c r="G314">
        <v>9.1999999999999998E-2</v>
      </c>
      <c r="H314">
        <v>322</v>
      </c>
      <c r="I314" t="s">
        <v>541</v>
      </c>
    </row>
    <row r="315" spans="1:9" x14ac:dyDescent="0.25">
      <c r="A315" t="s">
        <v>220</v>
      </c>
      <c r="B315" t="s">
        <v>588</v>
      </c>
      <c r="C315" t="s">
        <v>1390</v>
      </c>
      <c r="D315" t="s">
        <v>1391</v>
      </c>
      <c r="E315" t="s">
        <v>545</v>
      </c>
      <c r="F315">
        <v>1400</v>
      </c>
      <c r="G315">
        <v>9.2000000000000012E-2</v>
      </c>
      <c r="H315">
        <v>128.80000000000001</v>
      </c>
      <c r="I315" t="s">
        <v>541</v>
      </c>
    </row>
    <row r="316" spans="1:9" x14ac:dyDescent="0.25">
      <c r="A316" t="s">
        <v>220</v>
      </c>
      <c r="B316" t="s">
        <v>588</v>
      </c>
      <c r="C316" t="s">
        <v>1392</v>
      </c>
      <c r="D316" t="s">
        <v>1393</v>
      </c>
      <c r="E316" t="s">
        <v>545</v>
      </c>
      <c r="F316">
        <v>9500</v>
      </c>
      <c r="G316">
        <v>0.30073257356344602</v>
      </c>
      <c r="H316">
        <v>2856.9594488527373</v>
      </c>
      <c r="I316" t="s">
        <v>541</v>
      </c>
    </row>
    <row r="317" spans="1:9" x14ac:dyDescent="0.25">
      <c r="A317" t="s">
        <v>220</v>
      </c>
      <c r="B317" t="s">
        <v>588</v>
      </c>
      <c r="C317" t="s">
        <v>1394</v>
      </c>
      <c r="D317" t="s">
        <v>1395</v>
      </c>
      <c r="E317" t="s">
        <v>545</v>
      </c>
      <c r="F317">
        <v>1400</v>
      </c>
      <c r="G317">
        <v>0.27</v>
      </c>
      <c r="H317">
        <v>378</v>
      </c>
      <c r="I317" t="s">
        <v>541</v>
      </c>
    </row>
    <row r="318" spans="1:9" x14ac:dyDescent="0.25">
      <c r="A318" t="s">
        <v>220</v>
      </c>
      <c r="B318" t="s">
        <v>588</v>
      </c>
      <c r="C318" t="s">
        <v>1396</v>
      </c>
      <c r="D318" t="s">
        <v>1397</v>
      </c>
      <c r="E318" t="s">
        <v>545</v>
      </c>
      <c r="F318">
        <v>2600</v>
      </c>
      <c r="G318">
        <v>0.42</v>
      </c>
      <c r="H318">
        <v>1092</v>
      </c>
      <c r="I318" t="s">
        <v>541</v>
      </c>
    </row>
    <row r="319" spans="1:9" x14ac:dyDescent="0.25">
      <c r="A319" t="s">
        <v>220</v>
      </c>
      <c r="B319" t="s">
        <v>588</v>
      </c>
      <c r="C319" t="s">
        <v>1398</v>
      </c>
      <c r="D319" t="s">
        <v>1399</v>
      </c>
      <c r="E319" t="s">
        <v>545</v>
      </c>
      <c r="F319">
        <v>1500</v>
      </c>
      <c r="G319">
        <v>0.23643</v>
      </c>
      <c r="H319">
        <v>354.64499999999998</v>
      </c>
      <c r="I319" t="s">
        <v>541</v>
      </c>
    </row>
    <row r="320" spans="1:9" x14ac:dyDescent="0.25">
      <c r="A320" t="s">
        <v>220</v>
      </c>
      <c r="B320" t="s">
        <v>588</v>
      </c>
      <c r="C320" t="s">
        <v>1400</v>
      </c>
      <c r="D320" t="s">
        <v>1401</v>
      </c>
      <c r="E320" t="s">
        <v>545</v>
      </c>
      <c r="F320">
        <v>8700</v>
      </c>
      <c r="G320">
        <v>0.30131539823084258</v>
      </c>
      <c r="H320">
        <v>2621.4439646083306</v>
      </c>
      <c r="I320" t="s">
        <v>541</v>
      </c>
    </row>
    <row r="321" spans="1:9" x14ac:dyDescent="0.25">
      <c r="A321" t="s">
        <v>220</v>
      </c>
      <c r="B321" t="s">
        <v>588</v>
      </c>
      <c r="C321" t="s">
        <v>1402</v>
      </c>
      <c r="D321" t="s">
        <v>1403</v>
      </c>
      <c r="E321" t="s">
        <v>545</v>
      </c>
      <c r="F321">
        <v>2500</v>
      </c>
      <c r="G321">
        <v>0.28905333333333333</v>
      </c>
      <c r="H321">
        <v>722.63333333333333</v>
      </c>
      <c r="I321" t="s">
        <v>541</v>
      </c>
    </row>
    <row r="322" spans="1:9" x14ac:dyDescent="0.25">
      <c r="A322" t="s">
        <v>220</v>
      </c>
      <c r="B322" t="s">
        <v>588</v>
      </c>
      <c r="C322" t="s">
        <v>1404</v>
      </c>
      <c r="D322" t="s">
        <v>1405</v>
      </c>
      <c r="E322" t="s">
        <v>545</v>
      </c>
      <c r="F322">
        <v>2500</v>
      </c>
      <c r="G322">
        <v>0.42</v>
      </c>
      <c r="H322">
        <v>1050</v>
      </c>
      <c r="I322" t="s">
        <v>541</v>
      </c>
    </row>
    <row r="323" spans="1:9" x14ac:dyDescent="0.25">
      <c r="A323" t="s">
        <v>220</v>
      </c>
      <c r="B323" t="s">
        <v>588</v>
      </c>
      <c r="C323" t="s">
        <v>1406</v>
      </c>
      <c r="D323" t="s">
        <v>1407</v>
      </c>
      <c r="E323" t="s">
        <v>545</v>
      </c>
      <c r="F323">
        <v>1500</v>
      </c>
      <c r="G323">
        <v>0.2727</v>
      </c>
      <c r="H323">
        <v>409.05</v>
      </c>
      <c r="I323" t="s">
        <v>541</v>
      </c>
    </row>
    <row r="324" spans="1:9" x14ac:dyDescent="0.25">
      <c r="A324" t="s">
        <v>220</v>
      </c>
      <c r="B324" t="s">
        <v>588</v>
      </c>
      <c r="C324" t="s">
        <v>1408</v>
      </c>
      <c r="D324" t="s">
        <v>1409</v>
      </c>
      <c r="E324" t="s">
        <v>545</v>
      </c>
      <c r="F324">
        <v>3000</v>
      </c>
      <c r="G324">
        <v>0.29794999999999999</v>
      </c>
      <c r="H324">
        <v>893.85</v>
      </c>
      <c r="I324" t="s">
        <v>541</v>
      </c>
    </row>
    <row r="325" spans="1:9" x14ac:dyDescent="0.25">
      <c r="A325" t="s">
        <v>220</v>
      </c>
      <c r="B325" t="s">
        <v>588</v>
      </c>
      <c r="C325" t="s">
        <v>1410</v>
      </c>
      <c r="D325" t="s">
        <v>1411</v>
      </c>
      <c r="E325" t="s">
        <v>545</v>
      </c>
      <c r="F325">
        <v>2300</v>
      </c>
      <c r="G325">
        <v>0.2727</v>
      </c>
      <c r="H325">
        <v>627.21</v>
      </c>
      <c r="I325" t="s">
        <v>541</v>
      </c>
    </row>
    <row r="326" spans="1:9" x14ac:dyDescent="0.25">
      <c r="A326" t="s">
        <v>220</v>
      </c>
      <c r="B326" t="s">
        <v>588</v>
      </c>
      <c r="C326" t="s">
        <v>1412</v>
      </c>
      <c r="D326" t="s">
        <v>1413</v>
      </c>
      <c r="E326" t="s">
        <v>545</v>
      </c>
      <c r="F326">
        <v>2500</v>
      </c>
      <c r="G326">
        <v>0.29794999999999999</v>
      </c>
      <c r="H326">
        <v>744.875</v>
      </c>
      <c r="I326" t="s">
        <v>541</v>
      </c>
    </row>
    <row r="327" spans="1:9" x14ac:dyDescent="0.25">
      <c r="A327" t="s">
        <v>220</v>
      </c>
      <c r="B327" t="s">
        <v>588</v>
      </c>
      <c r="C327" t="s">
        <v>1414</v>
      </c>
      <c r="D327" t="s">
        <v>1415</v>
      </c>
      <c r="E327" t="s">
        <v>545</v>
      </c>
      <c r="F327">
        <v>5000</v>
      </c>
      <c r="G327">
        <v>0.33835000000000004</v>
      </c>
      <c r="H327">
        <v>1691.7500000000002</v>
      </c>
      <c r="I327" t="s">
        <v>541</v>
      </c>
    </row>
    <row r="328" spans="1:9" x14ac:dyDescent="0.25">
      <c r="A328" t="s">
        <v>220</v>
      </c>
      <c r="B328" t="s">
        <v>588</v>
      </c>
      <c r="C328" t="s">
        <v>1416</v>
      </c>
      <c r="D328" t="s">
        <v>1417</v>
      </c>
      <c r="E328" t="s">
        <v>545</v>
      </c>
      <c r="F328">
        <v>5100</v>
      </c>
      <c r="G328">
        <v>0.5252</v>
      </c>
      <c r="H328">
        <v>2678.52</v>
      </c>
      <c r="I328" t="s">
        <v>541</v>
      </c>
    </row>
    <row r="329" spans="1:9" x14ac:dyDescent="0.25">
      <c r="A329" t="s">
        <v>220</v>
      </c>
      <c r="B329" t="s">
        <v>588</v>
      </c>
      <c r="C329" t="s">
        <v>1418</v>
      </c>
      <c r="D329" t="s">
        <v>1419</v>
      </c>
      <c r="E329" t="s">
        <v>545</v>
      </c>
      <c r="F329">
        <v>5000</v>
      </c>
      <c r="G329">
        <v>0.18179999999999999</v>
      </c>
      <c r="H329">
        <v>909</v>
      </c>
      <c r="I329" t="s">
        <v>541</v>
      </c>
    </row>
    <row r="330" spans="1:9" x14ac:dyDescent="0.25">
      <c r="A330" t="s">
        <v>220</v>
      </c>
      <c r="B330" t="s">
        <v>588</v>
      </c>
      <c r="C330" t="s">
        <v>1420</v>
      </c>
      <c r="D330" t="s">
        <v>1421</v>
      </c>
      <c r="E330" t="s">
        <v>545</v>
      </c>
      <c r="F330">
        <v>80</v>
      </c>
      <c r="G330">
        <v>0.37874999999999998</v>
      </c>
      <c r="H330">
        <v>30.299999999999997</v>
      </c>
      <c r="I330" t="s">
        <v>541</v>
      </c>
    </row>
    <row r="331" spans="1:9" x14ac:dyDescent="0.25">
      <c r="A331" t="s">
        <v>220</v>
      </c>
      <c r="B331" t="s">
        <v>588</v>
      </c>
      <c r="C331" t="s">
        <v>1422</v>
      </c>
      <c r="D331" t="s">
        <v>1423</v>
      </c>
      <c r="E331" t="s">
        <v>545</v>
      </c>
      <c r="F331">
        <v>1500</v>
      </c>
      <c r="G331">
        <v>0.45450000000000002</v>
      </c>
      <c r="H331">
        <v>681.75</v>
      </c>
      <c r="I331" t="s">
        <v>541</v>
      </c>
    </row>
    <row r="332" spans="1:9" x14ac:dyDescent="0.25">
      <c r="A332" t="s">
        <v>220</v>
      </c>
      <c r="B332" t="s">
        <v>588</v>
      </c>
      <c r="C332" t="s">
        <v>1424</v>
      </c>
      <c r="D332" t="s">
        <v>1425</v>
      </c>
      <c r="E332" t="s">
        <v>545</v>
      </c>
      <c r="F332">
        <v>2000</v>
      </c>
      <c r="G332">
        <v>0.46925649350649351</v>
      </c>
      <c r="H332">
        <v>938.51298701298697</v>
      </c>
      <c r="I332" t="s">
        <v>541</v>
      </c>
    </row>
    <row r="333" spans="1:9" x14ac:dyDescent="0.25">
      <c r="A333" t="s">
        <v>220</v>
      </c>
      <c r="B333" t="s">
        <v>588</v>
      </c>
      <c r="C333" t="s">
        <v>1426</v>
      </c>
      <c r="D333" t="s">
        <v>1427</v>
      </c>
      <c r="E333" t="s">
        <v>545</v>
      </c>
      <c r="F333">
        <v>2500</v>
      </c>
      <c r="G333">
        <v>0.65649999999999997</v>
      </c>
      <c r="H333">
        <v>1641.25</v>
      </c>
      <c r="I333" t="s">
        <v>541</v>
      </c>
    </row>
    <row r="334" spans="1:9" x14ac:dyDescent="0.25">
      <c r="A334" t="s">
        <v>220</v>
      </c>
      <c r="B334" t="s">
        <v>588</v>
      </c>
      <c r="C334" t="s">
        <v>2233</v>
      </c>
      <c r="D334" t="s">
        <v>2234</v>
      </c>
      <c r="E334" t="s">
        <v>545</v>
      </c>
      <c r="F334">
        <v>6500</v>
      </c>
      <c r="G334">
        <v>0.36707888008272732</v>
      </c>
      <c r="H334">
        <v>2386.0127205377275</v>
      </c>
      <c r="I334" t="s">
        <v>541</v>
      </c>
    </row>
    <row r="335" spans="1:9" x14ac:dyDescent="0.25">
      <c r="A335" t="s">
        <v>220</v>
      </c>
      <c r="B335" t="s">
        <v>588</v>
      </c>
      <c r="C335" t="s">
        <v>1428</v>
      </c>
      <c r="D335" t="s">
        <v>1429</v>
      </c>
      <c r="E335" t="s">
        <v>545</v>
      </c>
      <c r="F335">
        <v>10100</v>
      </c>
      <c r="G335">
        <v>0.39836501182033096</v>
      </c>
      <c r="H335">
        <v>4023.4866193853427</v>
      </c>
      <c r="I335" t="s">
        <v>541</v>
      </c>
    </row>
    <row r="336" spans="1:9" x14ac:dyDescent="0.25">
      <c r="A336" t="s">
        <v>220</v>
      </c>
      <c r="B336" t="s">
        <v>588</v>
      </c>
      <c r="C336" t="s">
        <v>1430</v>
      </c>
      <c r="D336" t="s">
        <v>1431</v>
      </c>
      <c r="E336" t="s">
        <v>545</v>
      </c>
      <c r="F336">
        <v>7750</v>
      </c>
      <c r="G336">
        <v>0.37232259247954186</v>
      </c>
      <c r="H336">
        <v>2885.5000917164493</v>
      </c>
      <c r="I336" t="s">
        <v>541</v>
      </c>
    </row>
    <row r="337" spans="1:9" x14ac:dyDescent="0.25">
      <c r="A337" t="s">
        <v>220</v>
      </c>
      <c r="B337" t="s">
        <v>588</v>
      </c>
      <c r="C337" t="s">
        <v>1432</v>
      </c>
      <c r="D337" t="s">
        <v>1433</v>
      </c>
      <c r="E337" t="s">
        <v>545</v>
      </c>
      <c r="F337">
        <v>9250</v>
      </c>
      <c r="G337">
        <v>0.47470000000000007</v>
      </c>
      <c r="H337">
        <v>4390.9750000000004</v>
      </c>
      <c r="I337" t="s">
        <v>541</v>
      </c>
    </row>
    <row r="338" spans="1:9" x14ac:dyDescent="0.25">
      <c r="A338" t="s">
        <v>220</v>
      </c>
      <c r="B338" t="s">
        <v>588</v>
      </c>
      <c r="C338" t="s">
        <v>1434</v>
      </c>
      <c r="D338" t="s">
        <v>1435</v>
      </c>
      <c r="E338" t="s">
        <v>545</v>
      </c>
      <c r="F338">
        <v>7500</v>
      </c>
      <c r="G338">
        <v>0.48984999999999995</v>
      </c>
      <c r="H338">
        <v>3673.8749999999995</v>
      </c>
      <c r="I338" t="s">
        <v>541</v>
      </c>
    </row>
    <row r="339" spans="1:9" x14ac:dyDescent="0.25">
      <c r="A339" t="s">
        <v>220</v>
      </c>
      <c r="B339" t="s">
        <v>588</v>
      </c>
      <c r="C339" t="s">
        <v>1436</v>
      </c>
      <c r="D339" t="s">
        <v>1437</v>
      </c>
      <c r="E339" t="s">
        <v>545</v>
      </c>
      <c r="F339">
        <v>9090</v>
      </c>
      <c r="G339">
        <v>0.63629999999999998</v>
      </c>
      <c r="H339">
        <v>5783.9669999999996</v>
      </c>
      <c r="I339" t="s">
        <v>541</v>
      </c>
    </row>
    <row r="340" spans="1:9" x14ac:dyDescent="0.25">
      <c r="A340" t="s">
        <v>220</v>
      </c>
      <c r="B340" t="s">
        <v>588</v>
      </c>
      <c r="C340" t="s">
        <v>7540</v>
      </c>
      <c r="D340" t="s">
        <v>7541</v>
      </c>
      <c r="E340" t="s">
        <v>545</v>
      </c>
      <c r="F340">
        <v>1000</v>
      </c>
      <c r="G340">
        <v>0.35349999999999998</v>
      </c>
      <c r="H340">
        <v>353.5</v>
      </c>
      <c r="I340" t="s">
        <v>541</v>
      </c>
    </row>
    <row r="341" spans="1:9" x14ac:dyDescent="0.25">
      <c r="A341" t="s">
        <v>220</v>
      </c>
      <c r="B341" t="s">
        <v>588</v>
      </c>
      <c r="C341" t="s">
        <v>1438</v>
      </c>
      <c r="D341" t="s">
        <v>1439</v>
      </c>
      <c r="E341" t="s">
        <v>545</v>
      </c>
      <c r="F341">
        <v>2050</v>
      </c>
      <c r="G341">
        <v>0.35349999999999998</v>
      </c>
      <c r="H341">
        <v>724.67499999999995</v>
      </c>
      <c r="I341" t="s">
        <v>541</v>
      </c>
    </row>
    <row r="342" spans="1:9" x14ac:dyDescent="0.25">
      <c r="A342" t="s">
        <v>220</v>
      </c>
      <c r="B342" t="s">
        <v>588</v>
      </c>
      <c r="C342" t="s">
        <v>1440</v>
      </c>
      <c r="D342" t="s">
        <v>1441</v>
      </c>
      <c r="F342">
        <v>870</v>
      </c>
      <c r="G342">
        <v>0.89385000000000003</v>
      </c>
      <c r="H342">
        <v>777.64949999999999</v>
      </c>
      <c r="I342" t="s">
        <v>541</v>
      </c>
    </row>
    <row r="343" spans="1:9" x14ac:dyDescent="0.25">
      <c r="A343" t="s">
        <v>220</v>
      </c>
      <c r="B343" t="s">
        <v>588</v>
      </c>
      <c r="C343" t="s">
        <v>1442</v>
      </c>
      <c r="D343" t="s">
        <v>1443</v>
      </c>
      <c r="E343" t="s">
        <v>545</v>
      </c>
      <c r="F343">
        <v>2240</v>
      </c>
      <c r="G343">
        <v>0.36098745437956203</v>
      </c>
      <c r="H343">
        <v>808.61189781021892</v>
      </c>
      <c r="I343" t="s">
        <v>541</v>
      </c>
    </row>
    <row r="344" spans="1:9" x14ac:dyDescent="0.25">
      <c r="A344" t="s">
        <v>220</v>
      </c>
      <c r="B344" t="s">
        <v>588</v>
      </c>
      <c r="C344" t="s">
        <v>7542</v>
      </c>
      <c r="D344" t="s">
        <v>7543</v>
      </c>
      <c r="E344" t="s">
        <v>545</v>
      </c>
      <c r="F344">
        <v>3500</v>
      </c>
      <c r="G344">
        <v>0.38609011697217932</v>
      </c>
      <c r="H344">
        <v>1351.3154094026277</v>
      </c>
      <c r="I344" t="s">
        <v>541</v>
      </c>
    </row>
    <row r="345" spans="1:9" x14ac:dyDescent="0.25">
      <c r="A345" t="s">
        <v>220</v>
      </c>
      <c r="B345" t="s">
        <v>588</v>
      </c>
      <c r="C345" t="s">
        <v>7544</v>
      </c>
      <c r="D345" t="s">
        <v>7545</v>
      </c>
      <c r="E345" t="s">
        <v>545</v>
      </c>
      <c r="F345">
        <v>3500</v>
      </c>
      <c r="G345">
        <v>0.35349999999999998</v>
      </c>
      <c r="H345">
        <v>1237.25</v>
      </c>
      <c r="I345" t="s">
        <v>541</v>
      </c>
    </row>
    <row r="346" spans="1:9" x14ac:dyDescent="0.25">
      <c r="A346" t="s">
        <v>220</v>
      </c>
      <c r="B346" t="s">
        <v>588</v>
      </c>
      <c r="C346" t="s">
        <v>1444</v>
      </c>
      <c r="D346" t="s">
        <v>1445</v>
      </c>
      <c r="F346">
        <v>810</v>
      </c>
      <c r="G346">
        <v>0.2</v>
      </c>
      <c r="H346">
        <v>162</v>
      </c>
      <c r="I346" t="s">
        <v>541</v>
      </c>
    </row>
    <row r="347" spans="1:9" x14ac:dyDescent="0.25">
      <c r="A347" t="s">
        <v>220</v>
      </c>
      <c r="B347" t="s">
        <v>588</v>
      </c>
      <c r="C347" t="s">
        <v>1446</v>
      </c>
      <c r="D347" t="s">
        <v>1447</v>
      </c>
      <c r="E347" t="s">
        <v>545</v>
      </c>
      <c r="F347">
        <v>850</v>
      </c>
      <c r="G347">
        <v>0.70699999999999985</v>
      </c>
      <c r="H347">
        <v>600.94999999999982</v>
      </c>
      <c r="I347" t="s">
        <v>541</v>
      </c>
    </row>
    <row r="348" spans="1:9" x14ac:dyDescent="0.25">
      <c r="A348" t="s">
        <v>220</v>
      </c>
      <c r="B348" t="s">
        <v>588</v>
      </c>
      <c r="C348" t="s">
        <v>1448</v>
      </c>
      <c r="D348" t="s">
        <v>1449</v>
      </c>
      <c r="E348" t="s">
        <v>545</v>
      </c>
      <c r="F348">
        <v>1000</v>
      </c>
      <c r="G348">
        <v>8.0985849056603762E-2</v>
      </c>
      <c r="H348">
        <v>80.985849056603769</v>
      </c>
      <c r="I348" t="s">
        <v>541</v>
      </c>
    </row>
    <row r="349" spans="1:9" x14ac:dyDescent="0.25">
      <c r="A349" t="s">
        <v>220</v>
      </c>
      <c r="B349" t="s">
        <v>588</v>
      </c>
      <c r="C349" t="s">
        <v>1450</v>
      </c>
      <c r="D349" t="s">
        <v>1451</v>
      </c>
      <c r="E349" t="s">
        <v>545</v>
      </c>
      <c r="F349">
        <v>2280</v>
      </c>
      <c r="G349">
        <v>0.16139539099174807</v>
      </c>
      <c r="H349">
        <v>367.98149146118561</v>
      </c>
      <c r="I349" t="s">
        <v>541</v>
      </c>
    </row>
    <row r="350" spans="1:9" x14ac:dyDescent="0.25">
      <c r="A350" t="s">
        <v>220</v>
      </c>
      <c r="B350" t="s">
        <v>588</v>
      </c>
      <c r="C350" t="s">
        <v>1452</v>
      </c>
      <c r="D350" t="s">
        <v>1453</v>
      </c>
      <c r="E350" t="s">
        <v>545</v>
      </c>
      <c r="F350">
        <v>300</v>
      </c>
      <c r="G350">
        <v>0.16159999999999999</v>
      </c>
      <c r="H350">
        <v>48.48</v>
      </c>
      <c r="I350" t="s">
        <v>541</v>
      </c>
    </row>
    <row r="351" spans="1:9" x14ac:dyDescent="0.25">
      <c r="A351" t="s">
        <v>220</v>
      </c>
      <c r="B351" t="s">
        <v>588</v>
      </c>
      <c r="C351" t="s">
        <v>1454</v>
      </c>
      <c r="D351" t="s">
        <v>1455</v>
      </c>
      <c r="E351" t="s">
        <v>545</v>
      </c>
      <c r="F351">
        <v>1000</v>
      </c>
      <c r="G351">
        <v>7.5999999999999998E-2</v>
      </c>
      <c r="H351">
        <v>76</v>
      </c>
      <c r="I351" t="s">
        <v>541</v>
      </c>
    </row>
    <row r="352" spans="1:9" x14ac:dyDescent="0.25">
      <c r="A352" t="s">
        <v>220</v>
      </c>
      <c r="B352" t="s">
        <v>588</v>
      </c>
      <c r="C352" t="s">
        <v>1456</v>
      </c>
      <c r="D352" t="s">
        <v>1457</v>
      </c>
      <c r="E352" t="s">
        <v>545</v>
      </c>
      <c r="F352">
        <v>2040</v>
      </c>
      <c r="G352">
        <v>0.16137312971566267</v>
      </c>
      <c r="H352">
        <v>329.20118461995185</v>
      </c>
      <c r="I352" t="s">
        <v>541</v>
      </c>
    </row>
    <row r="353" spans="1:9" x14ac:dyDescent="0.25">
      <c r="A353" t="s">
        <v>220</v>
      </c>
      <c r="B353" t="s">
        <v>588</v>
      </c>
      <c r="C353" t="s">
        <v>1458</v>
      </c>
      <c r="D353" t="s">
        <v>1459</v>
      </c>
      <c r="E353" t="s">
        <v>545</v>
      </c>
      <c r="F353">
        <v>3320</v>
      </c>
      <c r="G353">
        <v>0.16159999999999999</v>
      </c>
      <c r="H353">
        <v>536.51199999999994</v>
      </c>
      <c r="I353" t="s">
        <v>541</v>
      </c>
    </row>
    <row r="354" spans="1:9" x14ac:dyDescent="0.25">
      <c r="A354" t="s">
        <v>220</v>
      </c>
      <c r="B354" t="s">
        <v>588</v>
      </c>
      <c r="C354" t="s">
        <v>1460</v>
      </c>
      <c r="D354" t="s">
        <v>1461</v>
      </c>
      <c r="E354" t="s">
        <v>545</v>
      </c>
      <c r="F354">
        <v>3400</v>
      </c>
      <c r="G354">
        <v>0.27448235294117646</v>
      </c>
      <c r="H354">
        <v>933.2399999999999</v>
      </c>
      <c r="I354" t="s">
        <v>541</v>
      </c>
    </row>
    <row r="355" spans="1:9" x14ac:dyDescent="0.25">
      <c r="A355" t="s">
        <v>220</v>
      </c>
      <c r="B355" t="s">
        <v>588</v>
      </c>
      <c r="C355" t="s">
        <v>1462</v>
      </c>
      <c r="D355" t="s">
        <v>1463</v>
      </c>
      <c r="E355" t="s">
        <v>545</v>
      </c>
      <c r="F355">
        <v>1330</v>
      </c>
      <c r="G355">
        <v>0.27430750750750749</v>
      </c>
      <c r="H355">
        <v>364.82898498498497</v>
      </c>
      <c r="I355" t="s">
        <v>541</v>
      </c>
    </row>
    <row r="356" spans="1:9" x14ac:dyDescent="0.25">
      <c r="A356" t="s">
        <v>220</v>
      </c>
      <c r="B356" t="s">
        <v>588</v>
      </c>
      <c r="C356" t="s">
        <v>1464</v>
      </c>
      <c r="D356" t="s">
        <v>1465</v>
      </c>
      <c r="E356" t="s">
        <v>545</v>
      </c>
      <c r="F356">
        <v>4740</v>
      </c>
      <c r="G356">
        <v>0.35313696769654612</v>
      </c>
      <c r="H356">
        <v>1673.8692268816287</v>
      </c>
      <c r="I356" t="s">
        <v>541</v>
      </c>
    </row>
    <row r="357" spans="1:9" x14ac:dyDescent="0.25">
      <c r="A357" t="s">
        <v>220</v>
      </c>
      <c r="B357" t="s">
        <v>588</v>
      </c>
      <c r="C357" t="s">
        <v>1466</v>
      </c>
      <c r="D357" t="s">
        <v>1467</v>
      </c>
      <c r="E357" t="s">
        <v>545</v>
      </c>
      <c r="F357">
        <v>2500</v>
      </c>
      <c r="G357">
        <v>0.35207445392388215</v>
      </c>
      <c r="H357">
        <v>880.18613480970532</v>
      </c>
      <c r="I357" t="s">
        <v>541</v>
      </c>
    </row>
    <row r="358" spans="1:9" x14ac:dyDescent="0.25">
      <c r="A358" t="s">
        <v>220</v>
      </c>
      <c r="B358" t="s">
        <v>588</v>
      </c>
      <c r="C358" t="s">
        <v>1468</v>
      </c>
      <c r="D358" t="s">
        <v>1469</v>
      </c>
      <c r="E358" t="s">
        <v>545</v>
      </c>
      <c r="F358">
        <v>2800</v>
      </c>
      <c r="G358">
        <v>0.26841498652291107</v>
      </c>
      <c r="H358">
        <v>751.56196226415102</v>
      </c>
      <c r="I358" t="s">
        <v>541</v>
      </c>
    </row>
    <row r="359" spans="1:9" x14ac:dyDescent="0.25">
      <c r="A359" t="s">
        <v>220</v>
      </c>
      <c r="B359" t="s">
        <v>588</v>
      </c>
      <c r="C359" t="s">
        <v>1470</v>
      </c>
      <c r="D359" t="s">
        <v>1471</v>
      </c>
      <c r="E359" t="s">
        <v>545</v>
      </c>
      <c r="F359">
        <v>3880</v>
      </c>
      <c r="G359">
        <v>0.32753402061855674</v>
      </c>
      <c r="H359">
        <v>1270.8320000000001</v>
      </c>
      <c r="I359" t="s">
        <v>541</v>
      </c>
    </row>
    <row r="360" spans="1:9" x14ac:dyDescent="0.25">
      <c r="A360" t="s">
        <v>220</v>
      </c>
      <c r="B360" t="s">
        <v>588</v>
      </c>
      <c r="C360" t="s">
        <v>1472</v>
      </c>
      <c r="D360" t="s">
        <v>1473</v>
      </c>
      <c r="E360" t="s">
        <v>545</v>
      </c>
      <c r="F360">
        <v>3300</v>
      </c>
      <c r="G360">
        <v>0.35254885463933233</v>
      </c>
      <c r="H360">
        <v>1163.4112203097966</v>
      </c>
      <c r="I360" t="s">
        <v>541</v>
      </c>
    </row>
    <row r="361" spans="1:9" x14ac:dyDescent="0.25">
      <c r="A361" t="s">
        <v>220</v>
      </c>
      <c r="B361" t="s">
        <v>588</v>
      </c>
      <c r="C361" t="s">
        <v>1474</v>
      </c>
      <c r="D361" t="s">
        <v>1475</v>
      </c>
      <c r="E361" t="s">
        <v>545</v>
      </c>
      <c r="F361">
        <v>3000</v>
      </c>
      <c r="G361">
        <v>0.35350000000000004</v>
      </c>
      <c r="H361">
        <v>1060.5</v>
      </c>
      <c r="I361" t="s">
        <v>541</v>
      </c>
    </row>
    <row r="362" spans="1:9" x14ac:dyDescent="0.25">
      <c r="A362" t="s">
        <v>220</v>
      </c>
      <c r="B362" t="s">
        <v>588</v>
      </c>
      <c r="C362" t="s">
        <v>1476</v>
      </c>
      <c r="D362" t="s">
        <v>1477</v>
      </c>
      <c r="E362" t="s">
        <v>545</v>
      </c>
      <c r="F362">
        <v>4930</v>
      </c>
      <c r="G362">
        <v>0.35803067599660765</v>
      </c>
      <c r="H362">
        <v>1765.0912326632756</v>
      </c>
      <c r="I362" t="s">
        <v>541</v>
      </c>
    </row>
    <row r="363" spans="1:9" x14ac:dyDescent="0.25">
      <c r="A363" t="s">
        <v>220</v>
      </c>
      <c r="B363" t="s">
        <v>588</v>
      </c>
      <c r="C363" t="s">
        <v>2264</v>
      </c>
      <c r="D363" t="s">
        <v>2265</v>
      </c>
      <c r="E363" t="s">
        <v>545</v>
      </c>
      <c r="F363">
        <v>3500</v>
      </c>
      <c r="G363">
        <v>0.35046659474671671</v>
      </c>
      <c r="H363">
        <v>1226.6330816135085</v>
      </c>
      <c r="I363" t="s">
        <v>541</v>
      </c>
    </row>
    <row r="364" spans="1:9" x14ac:dyDescent="0.25">
      <c r="A364" t="s">
        <v>220</v>
      </c>
      <c r="B364" t="s">
        <v>588</v>
      </c>
      <c r="C364" t="s">
        <v>1478</v>
      </c>
      <c r="D364" t="s">
        <v>1479</v>
      </c>
      <c r="E364" t="s">
        <v>545</v>
      </c>
      <c r="F364">
        <v>2600</v>
      </c>
      <c r="G364">
        <v>0.25755</v>
      </c>
      <c r="H364">
        <v>669.63</v>
      </c>
      <c r="I364" t="s">
        <v>541</v>
      </c>
    </row>
    <row r="365" spans="1:9" x14ac:dyDescent="0.25">
      <c r="A365" t="s">
        <v>220</v>
      </c>
      <c r="B365" t="s">
        <v>588</v>
      </c>
      <c r="C365" t="s">
        <v>1480</v>
      </c>
      <c r="D365" t="s">
        <v>1481</v>
      </c>
      <c r="E365" t="s">
        <v>545</v>
      </c>
      <c r="F365">
        <v>3000</v>
      </c>
      <c r="G365">
        <v>0.30804999999999999</v>
      </c>
      <c r="H365">
        <v>924.15</v>
      </c>
      <c r="I365" t="s">
        <v>541</v>
      </c>
    </row>
    <row r="366" spans="1:9" x14ac:dyDescent="0.25">
      <c r="A366" t="s">
        <v>220</v>
      </c>
      <c r="B366" t="s">
        <v>588</v>
      </c>
      <c r="C366" t="s">
        <v>1482</v>
      </c>
      <c r="D366" t="s">
        <v>1483</v>
      </c>
      <c r="E366" t="s">
        <v>545</v>
      </c>
      <c r="F366">
        <v>1220</v>
      </c>
      <c r="G366">
        <v>0.42419999999999997</v>
      </c>
      <c r="H366">
        <v>517.524</v>
      </c>
      <c r="I366" t="s">
        <v>541</v>
      </c>
    </row>
    <row r="367" spans="1:9" x14ac:dyDescent="0.25">
      <c r="A367" t="s">
        <v>220</v>
      </c>
      <c r="B367" t="s">
        <v>588</v>
      </c>
      <c r="C367" t="s">
        <v>7675</v>
      </c>
      <c r="D367" t="s">
        <v>7676</v>
      </c>
      <c r="E367" t="s">
        <v>545</v>
      </c>
      <c r="F367">
        <v>3500</v>
      </c>
      <c r="G367">
        <v>0.45450000000000002</v>
      </c>
      <c r="H367">
        <v>1590.75</v>
      </c>
      <c r="I367" t="s">
        <v>541</v>
      </c>
    </row>
    <row r="368" spans="1:9" x14ac:dyDescent="0.25">
      <c r="A368" t="s">
        <v>220</v>
      </c>
      <c r="B368" t="s">
        <v>588</v>
      </c>
      <c r="C368" t="s">
        <v>1484</v>
      </c>
      <c r="D368" t="s">
        <v>1485</v>
      </c>
      <c r="E368" t="s">
        <v>545</v>
      </c>
      <c r="F368">
        <v>3000</v>
      </c>
      <c r="G368">
        <v>0.2828</v>
      </c>
      <c r="H368">
        <v>848.4</v>
      </c>
      <c r="I368" t="s">
        <v>541</v>
      </c>
    </row>
    <row r="369" spans="1:9" x14ac:dyDescent="0.25">
      <c r="A369" t="s">
        <v>220</v>
      </c>
      <c r="B369" t="s">
        <v>588</v>
      </c>
      <c r="C369" t="s">
        <v>1486</v>
      </c>
      <c r="D369" t="s">
        <v>1487</v>
      </c>
      <c r="E369" t="s">
        <v>545</v>
      </c>
      <c r="F369">
        <v>8100</v>
      </c>
      <c r="G369">
        <v>0.2828</v>
      </c>
      <c r="H369">
        <v>2290.6799999999998</v>
      </c>
      <c r="I369" t="s">
        <v>541</v>
      </c>
    </row>
    <row r="370" spans="1:9" x14ac:dyDescent="0.25">
      <c r="A370" t="s">
        <v>220</v>
      </c>
      <c r="B370" t="s">
        <v>588</v>
      </c>
      <c r="C370" t="s">
        <v>1488</v>
      </c>
      <c r="D370" t="s">
        <v>1489</v>
      </c>
      <c r="E370" t="s">
        <v>545</v>
      </c>
      <c r="F370">
        <v>4000</v>
      </c>
      <c r="G370">
        <v>0.35349999999999998</v>
      </c>
      <c r="H370">
        <v>1414</v>
      </c>
      <c r="I370" t="s">
        <v>541</v>
      </c>
    </row>
    <row r="371" spans="1:9" x14ac:dyDescent="0.25">
      <c r="A371" t="s">
        <v>220</v>
      </c>
      <c r="B371" t="s">
        <v>588</v>
      </c>
      <c r="C371" t="s">
        <v>1490</v>
      </c>
      <c r="D371" t="s">
        <v>1491</v>
      </c>
      <c r="E371" t="s">
        <v>545</v>
      </c>
      <c r="F371">
        <v>5000</v>
      </c>
      <c r="G371">
        <v>0.35349999999999998</v>
      </c>
      <c r="H371">
        <v>1767.5</v>
      </c>
      <c r="I371" t="s">
        <v>541</v>
      </c>
    </row>
    <row r="372" spans="1:9" x14ac:dyDescent="0.25">
      <c r="A372" t="s">
        <v>220</v>
      </c>
      <c r="B372" t="s">
        <v>588</v>
      </c>
      <c r="C372" t="s">
        <v>1492</v>
      </c>
      <c r="D372" t="s">
        <v>1493</v>
      </c>
      <c r="E372" t="s">
        <v>545</v>
      </c>
      <c r="F372">
        <v>7100</v>
      </c>
      <c r="G372">
        <v>0.38380000000000003</v>
      </c>
      <c r="H372">
        <v>2724.98</v>
      </c>
      <c r="I372" t="s">
        <v>541</v>
      </c>
    </row>
    <row r="373" spans="1:9" x14ac:dyDescent="0.25">
      <c r="A373" t="s">
        <v>220</v>
      </c>
      <c r="B373" t="s">
        <v>588</v>
      </c>
      <c r="C373" t="s">
        <v>1494</v>
      </c>
      <c r="D373" t="s">
        <v>1495</v>
      </c>
      <c r="E373" t="s">
        <v>545</v>
      </c>
      <c r="F373">
        <v>6080</v>
      </c>
      <c r="G373">
        <v>0.38379999999999997</v>
      </c>
      <c r="H373">
        <v>2333.5039999999999</v>
      </c>
      <c r="I373" t="s">
        <v>541</v>
      </c>
    </row>
    <row r="374" spans="1:9" x14ac:dyDescent="0.25">
      <c r="A374" t="s">
        <v>220</v>
      </c>
      <c r="B374" t="s">
        <v>588</v>
      </c>
      <c r="C374" t="s">
        <v>7677</v>
      </c>
      <c r="D374" t="s">
        <v>7678</v>
      </c>
      <c r="E374" t="s">
        <v>545</v>
      </c>
      <c r="F374">
        <v>1200</v>
      </c>
      <c r="G374">
        <v>0.29794999999999999</v>
      </c>
      <c r="H374">
        <v>357.53999999999996</v>
      </c>
      <c r="I374" t="s">
        <v>541</v>
      </c>
    </row>
    <row r="375" spans="1:9" x14ac:dyDescent="0.25">
      <c r="A375" t="s">
        <v>220</v>
      </c>
      <c r="B375" t="s">
        <v>588</v>
      </c>
      <c r="C375" t="s">
        <v>1496</v>
      </c>
      <c r="D375" t="s">
        <v>1497</v>
      </c>
      <c r="E375" t="s">
        <v>545</v>
      </c>
      <c r="F375">
        <v>2080</v>
      </c>
      <c r="G375">
        <v>0.42420000000000002</v>
      </c>
      <c r="H375">
        <v>882.33600000000001</v>
      </c>
      <c r="I375" t="s">
        <v>541</v>
      </c>
    </row>
    <row r="376" spans="1:9" x14ac:dyDescent="0.25">
      <c r="A376" t="s">
        <v>220</v>
      </c>
      <c r="B376" t="s">
        <v>588</v>
      </c>
      <c r="C376" t="s">
        <v>1498</v>
      </c>
      <c r="D376" t="s">
        <v>1499</v>
      </c>
      <c r="E376" t="s">
        <v>545</v>
      </c>
      <c r="F376">
        <v>1000</v>
      </c>
      <c r="G376">
        <v>0.30299999999999999</v>
      </c>
      <c r="H376">
        <v>303</v>
      </c>
      <c r="I376" t="s">
        <v>541</v>
      </c>
    </row>
    <row r="377" spans="1:9" x14ac:dyDescent="0.25">
      <c r="A377" t="s">
        <v>220</v>
      </c>
      <c r="B377" t="s">
        <v>588</v>
      </c>
      <c r="C377" t="s">
        <v>1500</v>
      </c>
      <c r="D377" t="s">
        <v>1501</v>
      </c>
      <c r="E377" t="s">
        <v>545</v>
      </c>
      <c r="F377">
        <v>1000</v>
      </c>
      <c r="G377">
        <v>0.32319999999999999</v>
      </c>
      <c r="H377">
        <v>323.2</v>
      </c>
      <c r="I377" t="s">
        <v>541</v>
      </c>
    </row>
    <row r="378" spans="1:9" x14ac:dyDescent="0.25">
      <c r="A378" t="s">
        <v>220</v>
      </c>
      <c r="B378" t="s">
        <v>588</v>
      </c>
      <c r="C378" t="s">
        <v>1502</v>
      </c>
      <c r="D378" t="s">
        <v>1503</v>
      </c>
      <c r="E378" t="s">
        <v>545</v>
      </c>
      <c r="F378">
        <v>2100</v>
      </c>
      <c r="G378">
        <v>0.29259393939393935</v>
      </c>
      <c r="H378">
        <v>614.44727272727266</v>
      </c>
      <c r="I378" t="s">
        <v>541</v>
      </c>
    </row>
    <row r="379" spans="1:9" x14ac:dyDescent="0.25">
      <c r="A379" t="s">
        <v>220</v>
      </c>
      <c r="B379" t="s">
        <v>588</v>
      </c>
      <c r="C379" t="s">
        <v>1504</v>
      </c>
      <c r="D379" t="s">
        <v>1505</v>
      </c>
      <c r="E379" t="s">
        <v>545</v>
      </c>
      <c r="F379">
        <v>200</v>
      </c>
      <c r="G379">
        <v>0.30071575047882365</v>
      </c>
      <c r="H379">
        <v>60.143150095764732</v>
      </c>
      <c r="I379" t="s">
        <v>541</v>
      </c>
    </row>
    <row r="380" spans="1:9" x14ac:dyDescent="0.25">
      <c r="A380" t="s">
        <v>220</v>
      </c>
      <c r="B380" t="s">
        <v>588</v>
      </c>
      <c r="C380" t="s">
        <v>1506</v>
      </c>
      <c r="D380" t="s">
        <v>1507</v>
      </c>
      <c r="E380" t="s">
        <v>545</v>
      </c>
      <c r="F380">
        <v>4000</v>
      </c>
      <c r="G380">
        <v>0.33811545234426588</v>
      </c>
      <c r="H380">
        <v>1352.4618093770634</v>
      </c>
      <c r="I380" t="s">
        <v>541</v>
      </c>
    </row>
    <row r="381" spans="1:9" x14ac:dyDescent="0.25">
      <c r="A381" t="s">
        <v>220</v>
      </c>
      <c r="B381" t="s">
        <v>588</v>
      </c>
      <c r="C381" t="s">
        <v>1508</v>
      </c>
      <c r="D381" t="s">
        <v>1509</v>
      </c>
      <c r="E381" t="s">
        <v>545</v>
      </c>
      <c r="F381">
        <v>2600</v>
      </c>
      <c r="G381">
        <v>0.59084999999999999</v>
      </c>
      <c r="H381">
        <v>1536.21</v>
      </c>
      <c r="I381" t="s">
        <v>541</v>
      </c>
    </row>
    <row r="382" spans="1:9" x14ac:dyDescent="0.25">
      <c r="A382" t="s">
        <v>220</v>
      </c>
      <c r="B382" t="s">
        <v>588</v>
      </c>
      <c r="C382" t="s">
        <v>1512</v>
      </c>
      <c r="D382" t="s">
        <v>1513</v>
      </c>
      <c r="E382" t="s">
        <v>545</v>
      </c>
      <c r="F382">
        <v>2000</v>
      </c>
      <c r="G382">
        <v>0.26480555555555563</v>
      </c>
      <c r="H382">
        <v>529.6111111111112</v>
      </c>
      <c r="I382" t="s">
        <v>541</v>
      </c>
    </row>
    <row r="383" spans="1:9" x14ac:dyDescent="0.25">
      <c r="A383" t="s">
        <v>220</v>
      </c>
      <c r="B383" t="s">
        <v>588</v>
      </c>
      <c r="C383" t="s">
        <v>1514</v>
      </c>
      <c r="D383" t="s">
        <v>1515</v>
      </c>
      <c r="E383" t="s">
        <v>545</v>
      </c>
      <c r="F383">
        <v>1400</v>
      </c>
      <c r="G383">
        <v>0.32319999999999999</v>
      </c>
      <c r="H383">
        <v>452.47999999999996</v>
      </c>
      <c r="I383" t="s">
        <v>541</v>
      </c>
    </row>
    <row r="384" spans="1:9" x14ac:dyDescent="0.25">
      <c r="A384" t="s">
        <v>220</v>
      </c>
      <c r="B384" t="s">
        <v>588</v>
      </c>
      <c r="C384" t="s">
        <v>1516</v>
      </c>
      <c r="D384" t="s">
        <v>1517</v>
      </c>
      <c r="E384" t="s">
        <v>545</v>
      </c>
      <c r="F384">
        <v>2250</v>
      </c>
      <c r="G384">
        <v>0.35295722527875129</v>
      </c>
      <c r="H384">
        <v>794.1537568771904</v>
      </c>
      <c r="I384" t="s">
        <v>541</v>
      </c>
    </row>
    <row r="385" spans="1:9" x14ac:dyDescent="0.25">
      <c r="A385" t="s">
        <v>220</v>
      </c>
      <c r="B385" t="s">
        <v>588</v>
      </c>
      <c r="C385" t="s">
        <v>1518</v>
      </c>
      <c r="D385" t="s">
        <v>1519</v>
      </c>
      <c r="E385" t="s">
        <v>545</v>
      </c>
      <c r="F385">
        <v>2000</v>
      </c>
      <c r="G385">
        <v>0.23626010935804323</v>
      </c>
      <c r="H385">
        <v>472.52021871608645</v>
      </c>
      <c r="I385" t="s">
        <v>541</v>
      </c>
    </row>
    <row r="386" spans="1:9" x14ac:dyDescent="0.25">
      <c r="A386" t="s">
        <v>220</v>
      </c>
      <c r="B386" t="s">
        <v>588</v>
      </c>
      <c r="C386" t="s">
        <v>1520</v>
      </c>
      <c r="D386" t="s">
        <v>1521</v>
      </c>
      <c r="E386" t="s">
        <v>545</v>
      </c>
      <c r="F386">
        <v>73</v>
      </c>
      <c r="G386">
        <v>19.545627237733026</v>
      </c>
      <c r="H386">
        <v>1426.8307883545108</v>
      </c>
      <c r="I386" t="s">
        <v>541</v>
      </c>
    </row>
    <row r="387" spans="1:9" x14ac:dyDescent="0.25">
      <c r="A387" t="s">
        <v>220</v>
      </c>
      <c r="B387" t="s">
        <v>588</v>
      </c>
      <c r="C387" t="s">
        <v>1522</v>
      </c>
      <c r="D387" t="s">
        <v>1523</v>
      </c>
      <c r="E387" t="s">
        <v>545</v>
      </c>
      <c r="F387">
        <v>43000</v>
      </c>
      <c r="G387">
        <v>9.3566623832702436E-2</v>
      </c>
      <c r="H387">
        <v>4023.364824806205</v>
      </c>
      <c r="I387" t="s">
        <v>541</v>
      </c>
    </row>
    <row r="388" spans="1:9" x14ac:dyDescent="0.25">
      <c r="A388" t="s">
        <v>220</v>
      </c>
      <c r="B388" t="s">
        <v>588</v>
      </c>
      <c r="C388" t="s">
        <v>7546</v>
      </c>
      <c r="D388" t="s">
        <v>7547</v>
      </c>
      <c r="E388" t="s">
        <v>545</v>
      </c>
      <c r="F388">
        <v>57</v>
      </c>
      <c r="G388">
        <v>3.6201159420289857</v>
      </c>
      <c r="H388">
        <v>206.34660869565218</v>
      </c>
      <c r="I388" t="s">
        <v>541</v>
      </c>
    </row>
    <row r="389" spans="1:9" x14ac:dyDescent="0.25">
      <c r="A389" t="s">
        <v>220</v>
      </c>
      <c r="B389" t="s">
        <v>588</v>
      </c>
      <c r="C389" t="s">
        <v>1524</v>
      </c>
      <c r="D389" t="s">
        <v>1525</v>
      </c>
      <c r="E389" t="s">
        <v>545</v>
      </c>
      <c r="F389">
        <v>1250</v>
      </c>
      <c r="G389">
        <v>0.20200000000000001</v>
      </c>
      <c r="H389">
        <v>252.50000000000003</v>
      </c>
      <c r="I389" t="s">
        <v>541</v>
      </c>
    </row>
    <row r="390" spans="1:9" x14ac:dyDescent="0.25">
      <c r="A390" t="s">
        <v>220</v>
      </c>
      <c r="B390" t="s">
        <v>588</v>
      </c>
      <c r="C390" t="s">
        <v>1526</v>
      </c>
      <c r="D390" t="s">
        <v>1527</v>
      </c>
      <c r="E390" t="s">
        <v>545</v>
      </c>
      <c r="F390">
        <v>2500</v>
      </c>
      <c r="G390">
        <v>0.45450000000000002</v>
      </c>
      <c r="H390">
        <v>1136.25</v>
      </c>
      <c r="I390" t="s">
        <v>541</v>
      </c>
    </row>
    <row r="391" spans="1:9" x14ac:dyDescent="0.25">
      <c r="A391" t="s">
        <v>220</v>
      </c>
      <c r="B391" t="s">
        <v>588</v>
      </c>
      <c r="C391" t="s">
        <v>1528</v>
      </c>
      <c r="D391" t="s">
        <v>1529</v>
      </c>
      <c r="E391" t="s">
        <v>545</v>
      </c>
      <c r="F391">
        <v>5000</v>
      </c>
      <c r="G391">
        <v>8.0799999999999997E-2</v>
      </c>
      <c r="H391">
        <v>404</v>
      </c>
      <c r="I391" t="s">
        <v>541</v>
      </c>
    </row>
    <row r="392" spans="1:9" x14ac:dyDescent="0.25">
      <c r="A392" t="s">
        <v>220</v>
      </c>
      <c r="B392" t="s">
        <v>588</v>
      </c>
      <c r="C392" t="s">
        <v>1530</v>
      </c>
      <c r="D392" t="s">
        <v>1531</v>
      </c>
      <c r="E392" t="s">
        <v>545</v>
      </c>
      <c r="F392">
        <v>16500</v>
      </c>
      <c r="G392">
        <v>8.9890000000000012E-2</v>
      </c>
      <c r="H392">
        <v>1483.1850000000002</v>
      </c>
      <c r="I392" t="s">
        <v>541</v>
      </c>
    </row>
    <row r="393" spans="1:9" x14ac:dyDescent="0.25">
      <c r="A393" t="s">
        <v>220</v>
      </c>
      <c r="B393" t="s">
        <v>588</v>
      </c>
      <c r="C393" t="s">
        <v>658</v>
      </c>
      <c r="D393" t="s">
        <v>1532</v>
      </c>
      <c r="E393" t="s">
        <v>545</v>
      </c>
      <c r="F393">
        <v>1000</v>
      </c>
      <c r="G393">
        <v>0.16930875675675675</v>
      </c>
      <c r="H393">
        <v>169.30875675675674</v>
      </c>
      <c r="I393" t="s">
        <v>541</v>
      </c>
    </row>
    <row r="394" spans="1:9" x14ac:dyDescent="0.25">
      <c r="A394" t="s">
        <v>220</v>
      </c>
      <c r="B394" t="s">
        <v>588</v>
      </c>
      <c r="C394" t="s">
        <v>682</v>
      </c>
      <c r="D394" t="s">
        <v>683</v>
      </c>
      <c r="E394" t="s">
        <v>545</v>
      </c>
      <c r="F394">
        <v>1500</v>
      </c>
      <c r="G394">
        <v>0.20200000000000001</v>
      </c>
      <c r="H394">
        <v>303</v>
      </c>
      <c r="I394" t="s">
        <v>541</v>
      </c>
    </row>
    <row r="395" spans="1:9" x14ac:dyDescent="0.25">
      <c r="A395" t="s">
        <v>220</v>
      </c>
      <c r="B395" t="s">
        <v>588</v>
      </c>
      <c r="C395" t="s">
        <v>660</v>
      </c>
      <c r="D395" t="s">
        <v>661</v>
      </c>
      <c r="E395" t="s">
        <v>545</v>
      </c>
      <c r="F395">
        <v>2000</v>
      </c>
      <c r="G395">
        <v>0.20156250000000001</v>
      </c>
      <c r="H395">
        <v>403.125</v>
      </c>
      <c r="I395" t="s">
        <v>541</v>
      </c>
    </row>
    <row r="396" spans="1:9" x14ac:dyDescent="0.25">
      <c r="A396" t="s">
        <v>220</v>
      </c>
      <c r="B396" t="s">
        <v>588</v>
      </c>
      <c r="C396" t="s">
        <v>684</v>
      </c>
      <c r="D396" t="s">
        <v>685</v>
      </c>
      <c r="E396" t="s">
        <v>545</v>
      </c>
      <c r="F396">
        <v>500</v>
      </c>
      <c r="G396">
        <v>0.35349999999999998</v>
      </c>
      <c r="H396">
        <v>176.75</v>
      </c>
      <c r="I396" t="s">
        <v>541</v>
      </c>
    </row>
    <row r="397" spans="1:9" x14ac:dyDescent="0.25">
      <c r="A397" t="s">
        <v>220</v>
      </c>
      <c r="B397" t="s">
        <v>588</v>
      </c>
      <c r="C397" t="s">
        <v>686</v>
      </c>
      <c r="D397" t="s">
        <v>687</v>
      </c>
      <c r="E397" t="s">
        <v>545</v>
      </c>
      <c r="F397">
        <v>500</v>
      </c>
      <c r="G397">
        <v>0.35349999999999998</v>
      </c>
      <c r="H397">
        <v>176.75</v>
      </c>
      <c r="I397" t="s">
        <v>541</v>
      </c>
    </row>
    <row r="398" spans="1:9" x14ac:dyDescent="0.25">
      <c r="A398" t="s">
        <v>220</v>
      </c>
      <c r="B398" t="s">
        <v>588</v>
      </c>
      <c r="C398" t="s">
        <v>1533</v>
      </c>
      <c r="D398" t="s">
        <v>1534</v>
      </c>
      <c r="E398" t="s">
        <v>545</v>
      </c>
      <c r="F398">
        <v>1000</v>
      </c>
      <c r="G398">
        <v>0.20100000000000001</v>
      </c>
      <c r="H398">
        <v>201</v>
      </c>
      <c r="I398" t="s">
        <v>541</v>
      </c>
    </row>
    <row r="399" spans="1:9" x14ac:dyDescent="0.25">
      <c r="A399" t="s">
        <v>220</v>
      </c>
      <c r="B399" t="s">
        <v>588</v>
      </c>
      <c r="C399" t="s">
        <v>1535</v>
      </c>
      <c r="D399" t="s">
        <v>1536</v>
      </c>
      <c r="E399" t="s">
        <v>545</v>
      </c>
      <c r="F399">
        <v>4000</v>
      </c>
      <c r="G399">
        <v>7.8508288043478272E-2</v>
      </c>
      <c r="H399">
        <v>314.03315217391309</v>
      </c>
      <c r="I399" t="s">
        <v>541</v>
      </c>
    </row>
    <row r="400" spans="1:9" x14ac:dyDescent="0.25">
      <c r="A400" t="s">
        <v>220</v>
      </c>
      <c r="B400" t="s">
        <v>588</v>
      </c>
      <c r="C400" t="s">
        <v>1537</v>
      </c>
      <c r="D400" t="s">
        <v>1538</v>
      </c>
      <c r="E400" t="s">
        <v>545</v>
      </c>
      <c r="F400">
        <v>42000</v>
      </c>
      <c r="G400">
        <v>0.19704696486513607</v>
      </c>
      <c r="H400">
        <v>8275.9725243357152</v>
      </c>
      <c r="I400" t="s">
        <v>541</v>
      </c>
    </row>
    <row r="401" spans="1:9" x14ac:dyDescent="0.25">
      <c r="A401" t="s">
        <v>220</v>
      </c>
      <c r="B401" t="s">
        <v>588</v>
      </c>
      <c r="C401" t="s">
        <v>1539</v>
      </c>
      <c r="D401" t="s">
        <v>1540</v>
      </c>
      <c r="E401" t="s">
        <v>545</v>
      </c>
      <c r="F401">
        <v>5000</v>
      </c>
      <c r="G401">
        <v>0.1110987727761701</v>
      </c>
      <c r="H401">
        <v>555.49386388085054</v>
      </c>
      <c r="I401" t="s">
        <v>541</v>
      </c>
    </row>
    <row r="402" spans="1:9" x14ac:dyDescent="0.25">
      <c r="A402" t="s">
        <v>220</v>
      </c>
      <c r="B402" t="s">
        <v>588</v>
      </c>
      <c r="C402" t="s">
        <v>1541</v>
      </c>
      <c r="D402" t="s">
        <v>1542</v>
      </c>
      <c r="E402" t="s">
        <v>545</v>
      </c>
      <c r="F402">
        <v>5400</v>
      </c>
      <c r="G402">
        <v>0.1311089941180448</v>
      </c>
      <c r="H402">
        <v>707.98856823744188</v>
      </c>
      <c r="I402" t="s">
        <v>541</v>
      </c>
    </row>
    <row r="403" spans="1:9" x14ac:dyDescent="0.25">
      <c r="A403" t="s">
        <v>220</v>
      </c>
      <c r="B403" t="s">
        <v>588</v>
      </c>
      <c r="C403" t="s">
        <v>1543</v>
      </c>
      <c r="D403" t="s">
        <v>1544</v>
      </c>
      <c r="E403" t="s">
        <v>545</v>
      </c>
      <c r="F403">
        <v>37000</v>
      </c>
      <c r="G403">
        <v>2.5748804833685576E-2</v>
      </c>
      <c r="H403">
        <v>952.70577884636634</v>
      </c>
      <c r="I403" t="s">
        <v>541</v>
      </c>
    </row>
    <row r="404" spans="1:9" x14ac:dyDescent="0.25">
      <c r="A404" t="s">
        <v>220</v>
      </c>
      <c r="B404" t="s">
        <v>588</v>
      </c>
      <c r="C404" t="s">
        <v>1545</v>
      </c>
      <c r="D404" t="s">
        <v>1546</v>
      </c>
      <c r="E404" t="s">
        <v>545</v>
      </c>
      <c r="F404">
        <v>4000</v>
      </c>
      <c r="G404">
        <v>0.10309115209053761</v>
      </c>
      <c r="H404">
        <v>412.36460836215042</v>
      </c>
      <c r="I404" t="s">
        <v>541</v>
      </c>
    </row>
    <row r="405" spans="1:9" x14ac:dyDescent="0.25">
      <c r="A405" t="s">
        <v>220</v>
      </c>
      <c r="B405" t="s">
        <v>588</v>
      </c>
      <c r="C405" t="s">
        <v>1547</v>
      </c>
      <c r="D405" t="s">
        <v>1548</v>
      </c>
      <c r="E405" t="s">
        <v>545</v>
      </c>
      <c r="F405">
        <v>2000</v>
      </c>
      <c r="G405">
        <v>0.22</v>
      </c>
      <c r="H405">
        <v>440</v>
      </c>
      <c r="I405" t="s">
        <v>541</v>
      </c>
    </row>
    <row r="406" spans="1:9" x14ac:dyDescent="0.25">
      <c r="A406" t="s">
        <v>220</v>
      </c>
      <c r="B406" t="s">
        <v>588</v>
      </c>
      <c r="C406" t="s">
        <v>1549</v>
      </c>
      <c r="D406" t="s">
        <v>1550</v>
      </c>
      <c r="E406" t="s">
        <v>545</v>
      </c>
      <c r="F406">
        <v>1000</v>
      </c>
      <c r="G406">
        <v>0.22</v>
      </c>
      <c r="H406">
        <v>220</v>
      </c>
      <c r="I406" t="s">
        <v>541</v>
      </c>
    </row>
    <row r="407" spans="1:9" x14ac:dyDescent="0.25">
      <c r="A407" t="s">
        <v>220</v>
      </c>
      <c r="B407" t="s">
        <v>588</v>
      </c>
      <c r="C407" t="s">
        <v>1551</v>
      </c>
      <c r="D407" t="s">
        <v>1552</v>
      </c>
      <c r="E407" t="s">
        <v>545</v>
      </c>
      <c r="F407">
        <v>8000</v>
      </c>
      <c r="G407">
        <v>0.22</v>
      </c>
      <c r="H407">
        <v>1760</v>
      </c>
      <c r="I407" t="s">
        <v>541</v>
      </c>
    </row>
    <row r="408" spans="1:9" x14ac:dyDescent="0.25">
      <c r="A408" t="s">
        <v>220</v>
      </c>
      <c r="B408" t="s">
        <v>588</v>
      </c>
      <c r="C408" t="s">
        <v>1553</v>
      </c>
      <c r="D408" t="s">
        <v>1554</v>
      </c>
      <c r="E408" t="s">
        <v>545</v>
      </c>
      <c r="F408">
        <v>13000</v>
      </c>
      <c r="G408">
        <v>0.18271721810827424</v>
      </c>
      <c r="H408">
        <v>2375.3238354075652</v>
      </c>
      <c r="I408" t="s">
        <v>541</v>
      </c>
    </row>
    <row r="409" spans="1:9" x14ac:dyDescent="0.25">
      <c r="A409" t="s">
        <v>220</v>
      </c>
      <c r="B409" t="s">
        <v>588</v>
      </c>
      <c r="C409" t="s">
        <v>1555</v>
      </c>
      <c r="D409" t="s">
        <v>1556</v>
      </c>
      <c r="E409" t="s">
        <v>545</v>
      </c>
      <c r="F409">
        <v>1000</v>
      </c>
      <c r="G409">
        <v>4.632E-2</v>
      </c>
      <c r="H409">
        <v>46.32</v>
      </c>
      <c r="I409" t="s">
        <v>541</v>
      </c>
    </row>
    <row r="410" spans="1:9" x14ac:dyDescent="0.25">
      <c r="A410" t="s">
        <v>220</v>
      </c>
      <c r="B410" t="s">
        <v>588</v>
      </c>
      <c r="C410" t="s">
        <v>1557</v>
      </c>
      <c r="D410" t="s">
        <v>1558</v>
      </c>
      <c r="E410" t="s">
        <v>545</v>
      </c>
      <c r="F410">
        <v>3800</v>
      </c>
      <c r="G410">
        <v>0.04</v>
      </c>
      <c r="H410">
        <v>152</v>
      </c>
      <c r="I410" t="s">
        <v>541</v>
      </c>
    </row>
    <row r="411" spans="1:9" x14ac:dyDescent="0.25">
      <c r="A411" t="s">
        <v>220</v>
      </c>
      <c r="B411" t="s">
        <v>588</v>
      </c>
      <c r="C411" t="s">
        <v>1559</v>
      </c>
      <c r="D411" t="s">
        <v>1560</v>
      </c>
      <c r="E411" t="s">
        <v>545</v>
      </c>
      <c r="F411">
        <v>4000</v>
      </c>
      <c r="G411">
        <v>9.6970161290322585E-2</v>
      </c>
      <c r="H411">
        <v>387.88064516129032</v>
      </c>
      <c r="I411" t="s">
        <v>541</v>
      </c>
    </row>
    <row r="412" spans="1:9" x14ac:dyDescent="0.25">
      <c r="A412" t="s">
        <v>220</v>
      </c>
      <c r="B412" t="s">
        <v>588</v>
      </c>
      <c r="C412" t="s">
        <v>1561</v>
      </c>
      <c r="D412" t="s">
        <v>1562</v>
      </c>
      <c r="E412" t="s">
        <v>545</v>
      </c>
      <c r="F412">
        <v>6000</v>
      </c>
      <c r="G412">
        <v>0.04</v>
      </c>
      <c r="H412">
        <v>240</v>
      </c>
      <c r="I412" t="s">
        <v>541</v>
      </c>
    </row>
    <row r="413" spans="1:9" x14ac:dyDescent="0.25">
      <c r="A413" t="s">
        <v>220</v>
      </c>
      <c r="B413" t="s">
        <v>588</v>
      </c>
      <c r="C413" t="s">
        <v>1563</v>
      </c>
      <c r="D413" t="s">
        <v>1564</v>
      </c>
      <c r="E413" t="s">
        <v>545</v>
      </c>
      <c r="F413">
        <v>3000</v>
      </c>
      <c r="G413">
        <v>3.7999999999999999E-2</v>
      </c>
      <c r="H413">
        <v>114</v>
      </c>
      <c r="I413" t="s">
        <v>541</v>
      </c>
    </row>
    <row r="414" spans="1:9" x14ac:dyDescent="0.25">
      <c r="A414" t="s">
        <v>220</v>
      </c>
      <c r="B414" t="s">
        <v>588</v>
      </c>
      <c r="C414" t="s">
        <v>1565</v>
      </c>
      <c r="D414" t="s">
        <v>1566</v>
      </c>
      <c r="E414" t="s">
        <v>545</v>
      </c>
      <c r="F414">
        <v>2800</v>
      </c>
      <c r="G414">
        <v>0.04</v>
      </c>
      <c r="H414">
        <v>112</v>
      </c>
      <c r="I414" t="s">
        <v>541</v>
      </c>
    </row>
    <row r="415" spans="1:9" x14ac:dyDescent="0.25">
      <c r="A415" t="s">
        <v>220</v>
      </c>
      <c r="B415" t="s">
        <v>588</v>
      </c>
      <c r="C415" t="s">
        <v>1567</v>
      </c>
      <c r="D415" t="s">
        <v>1568</v>
      </c>
      <c r="E415" t="s">
        <v>545</v>
      </c>
      <c r="F415">
        <v>2200</v>
      </c>
      <c r="G415">
        <v>8.5849999999999996E-2</v>
      </c>
      <c r="H415">
        <v>188.87</v>
      </c>
      <c r="I415" t="s">
        <v>541</v>
      </c>
    </row>
    <row r="416" spans="1:9" x14ac:dyDescent="0.25">
      <c r="A416" t="s">
        <v>220</v>
      </c>
      <c r="B416" t="s">
        <v>588</v>
      </c>
      <c r="C416" t="s">
        <v>1569</v>
      </c>
      <c r="D416" t="s">
        <v>1570</v>
      </c>
      <c r="E416" t="s">
        <v>545</v>
      </c>
      <c r="F416">
        <v>3500</v>
      </c>
      <c r="G416">
        <v>4.632E-2</v>
      </c>
      <c r="H416">
        <v>162.12</v>
      </c>
      <c r="I416" t="s">
        <v>541</v>
      </c>
    </row>
    <row r="417" spans="1:9" x14ac:dyDescent="0.25">
      <c r="A417" t="s">
        <v>220</v>
      </c>
      <c r="B417" t="s">
        <v>588</v>
      </c>
      <c r="C417" t="s">
        <v>1571</v>
      </c>
      <c r="D417" t="s">
        <v>1572</v>
      </c>
      <c r="E417" t="s">
        <v>545</v>
      </c>
      <c r="F417">
        <v>1500</v>
      </c>
      <c r="G417">
        <v>0.1</v>
      </c>
      <c r="H417">
        <v>150</v>
      </c>
      <c r="I417" t="s">
        <v>541</v>
      </c>
    </row>
    <row r="418" spans="1:9" x14ac:dyDescent="0.25">
      <c r="A418" t="s">
        <v>220</v>
      </c>
      <c r="B418" t="s">
        <v>588</v>
      </c>
      <c r="C418" t="s">
        <v>1573</v>
      </c>
      <c r="D418" t="s">
        <v>1574</v>
      </c>
      <c r="E418" t="s">
        <v>545</v>
      </c>
      <c r="F418">
        <v>2000</v>
      </c>
      <c r="G418">
        <v>0.04</v>
      </c>
      <c r="H418">
        <v>80</v>
      </c>
      <c r="I418" t="s">
        <v>541</v>
      </c>
    </row>
    <row r="419" spans="1:9" x14ac:dyDescent="0.25">
      <c r="A419" t="s">
        <v>220</v>
      </c>
      <c r="B419" t="s">
        <v>588</v>
      </c>
      <c r="C419" t="s">
        <v>1575</v>
      </c>
      <c r="D419" t="s">
        <v>1576</v>
      </c>
      <c r="E419" t="s">
        <v>545</v>
      </c>
      <c r="F419">
        <v>2000</v>
      </c>
      <c r="G419">
        <v>0.04</v>
      </c>
      <c r="H419">
        <v>80</v>
      </c>
      <c r="I419" t="s">
        <v>541</v>
      </c>
    </row>
    <row r="420" spans="1:9" x14ac:dyDescent="0.25">
      <c r="A420" t="s">
        <v>220</v>
      </c>
      <c r="B420" t="s">
        <v>588</v>
      </c>
      <c r="C420" t="s">
        <v>1577</v>
      </c>
      <c r="D420" t="s">
        <v>1578</v>
      </c>
      <c r="E420" t="s">
        <v>545</v>
      </c>
      <c r="F420">
        <v>475</v>
      </c>
      <c r="G420">
        <v>0.02</v>
      </c>
      <c r="H420">
        <v>9.5</v>
      </c>
      <c r="I420" t="s">
        <v>541</v>
      </c>
    </row>
    <row r="421" spans="1:9" x14ac:dyDescent="0.25">
      <c r="A421" t="s">
        <v>220</v>
      </c>
      <c r="B421" t="s">
        <v>588</v>
      </c>
      <c r="C421" t="s">
        <v>1579</v>
      </c>
      <c r="D421" t="s">
        <v>1580</v>
      </c>
      <c r="E421" t="s">
        <v>545</v>
      </c>
      <c r="F421">
        <v>700</v>
      </c>
      <c r="G421">
        <v>0.02</v>
      </c>
      <c r="H421">
        <v>14</v>
      </c>
      <c r="I421" t="s">
        <v>541</v>
      </c>
    </row>
    <row r="422" spans="1:9" x14ac:dyDescent="0.25">
      <c r="A422" t="s">
        <v>220</v>
      </c>
      <c r="B422" t="s">
        <v>588</v>
      </c>
      <c r="C422" t="s">
        <v>1581</v>
      </c>
      <c r="D422" t="s">
        <v>1582</v>
      </c>
      <c r="E422" t="s">
        <v>545</v>
      </c>
      <c r="F422">
        <v>1500</v>
      </c>
      <c r="G422">
        <v>0.1</v>
      </c>
      <c r="H422">
        <v>150</v>
      </c>
      <c r="I422" t="s">
        <v>541</v>
      </c>
    </row>
    <row r="423" spans="1:9" x14ac:dyDescent="0.25">
      <c r="A423" t="s">
        <v>220</v>
      </c>
      <c r="B423" t="s">
        <v>588</v>
      </c>
      <c r="C423" t="s">
        <v>1583</v>
      </c>
      <c r="D423" t="s">
        <v>1584</v>
      </c>
      <c r="E423" t="s">
        <v>545</v>
      </c>
      <c r="F423">
        <v>800</v>
      </c>
      <c r="G423">
        <v>0.5</v>
      </c>
      <c r="H423">
        <v>400</v>
      </c>
      <c r="I423" t="s">
        <v>541</v>
      </c>
    </row>
    <row r="424" spans="1:9" x14ac:dyDescent="0.25">
      <c r="A424" t="s">
        <v>220</v>
      </c>
      <c r="B424" t="s">
        <v>588</v>
      </c>
      <c r="C424" t="s">
        <v>1585</v>
      </c>
      <c r="D424" t="s">
        <v>1586</v>
      </c>
      <c r="E424" t="s">
        <v>545</v>
      </c>
      <c r="F424">
        <v>500</v>
      </c>
      <c r="G424">
        <v>7.3804819277108427E-2</v>
      </c>
      <c r="H424">
        <v>36.902409638554211</v>
      </c>
      <c r="I424" t="s">
        <v>541</v>
      </c>
    </row>
    <row r="425" spans="1:9" x14ac:dyDescent="0.25">
      <c r="A425" t="s">
        <v>220</v>
      </c>
      <c r="B425" t="s">
        <v>588</v>
      </c>
      <c r="C425" t="s">
        <v>1587</v>
      </c>
      <c r="D425" t="s">
        <v>1588</v>
      </c>
      <c r="E425" t="s">
        <v>545</v>
      </c>
      <c r="F425">
        <v>2000</v>
      </c>
      <c r="G425">
        <v>0.19261557329462989</v>
      </c>
      <c r="H425">
        <v>385.23114658925977</v>
      </c>
      <c r="I425" t="s">
        <v>541</v>
      </c>
    </row>
    <row r="426" spans="1:9" x14ac:dyDescent="0.25">
      <c r="A426" t="s">
        <v>220</v>
      </c>
      <c r="B426" t="s">
        <v>588</v>
      </c>
      <c r="C426" t="s">
        <v>1589</v>
      </c>
      <c r="D426" t="s">
        <v>1590</v>
      </c>
      <c r="E426" t="s">
        <v>545</v>
      </c>
      <c r="F426">
        <v>3700</v>
      </c>
      <c r="G426">
        <v>0.16409220779220779</v>
      </c>
      <c r="H426">
        <v>607.14116883116878</v>
      </c>
      <c r="I426" t="s">
        <v>541</v>
      </c>
    </row>
    <row r="427" spans="1:9" x14ac:dyDescent="0.25">
      <c r="A427" t="s">
        <v>220</v>
      </c>
      <c r="B427" t="s">
        <v>588</v>
      </c>
      <c r="C427" t="s">
        <v>1591</v>
      </c>
      <c r="D427" t="s">
        <v>1592</v>
      </c>
      <c r="E427" t="s">
        <v>545</v>
      </c>
      <c r="F427">
        <v>2500</v>
      </c>
      <c r="G427">
        <v>6.239999999999999E-2</v>
      </c>
      <c r="H427">
        <v>155.99999999999997</v>
      </c>
      <c r="I427" t="s">
        <v>541</v>
      </c>
    </row>
    <row r="428" spans="1:9" x14ac:dyDescent="0.25">
      <c r="A428" t="s">
        <v>220</v>
      </c>
      <c r="B428" t="s">
        <v>588</v>
      </c>
      <c r="C428" t="s">
        <v>1593</v>
      </c>
      <c r="D428" t="s">
        <v>1594</v>
      </c>
      <c r="E428" t="s">
        <v>545</v>
      </c>
      <c r="F428">
        <v>7700</v>
      </c>
      <c r="G428">
        <v>0.14368813320825516</v>
      </c>
      <c r="H428">
        <v>1106.3986257035647</v>
      </c>
      <c r="I428" t="s">
        <v>541</v>
      </c>
    </row>
    <row r="429" spans="1:9" x14ac:dyDescent="0.25">
      <c r="A429" t="s">
        <v>220</v>
      </c>
      <c r="B429" t="s">
        <v>588</v>
      </c>
      <c r="C429" t="s">
        <v>1595</v>
      </c>
      <c r="D429" t="s">
        <v>1596</v>
      </c>
      <c r="E429" t="s">
        <v>545</v>
      </c>
      <c r="F429">
        <v>2000</v>
      </c>
      <c r="G429">
        <v>0.18179999999999999</v>
      </c>
      <c r="H429">
        <v>363.59999999999997</v>
      </c>
      <c r="I429" t="s">
        <v>541</v>
      </c>
    </row>
    <row r="430" spans="1:9" x14ac:dyDescent="0.25">
      <c r="A430" t="s">
        <v>220</v>
      </c>
      <c r="B430" t="s">
        <v>588</v>
      </c>
      <c r="C430" t="s">
        <v>1597</v>
      </c>
      <c r="D430" t="s">
        <v>1598</v>
      </c>
      <c r="E430" t="s">
        <v>545</v>
      </c>
      <c r="F430">
        <v>2000</v>
      </c>
      <c r="G430">
        <v>7.648421052631578E-2</v>
      </c>
      <c r="H430">
        <v>152.96842105263156</v>
      </c>
      <c r="I430" t="s">
        <v>541</v>
      </c>
    </row>
    <row r="431" spans="1:9" x14ac:dyDescent="0.25">
      <c r="A431" t="s">
        <v>220</v>
      </c>
      <c r="B431" t="s">
        <v>588</v>
      </c>
      <c r="C431" t="s">
        <v>1599</v>
      </c>
      <c r="D431" t="s">
        <v>1600</v>
      </c>
      <c r="E431" t="s">
        <v>545</v>
      </c>
      <c r="F431">
        <v>1000</v>
      </c>
      <c r="G431">
        <v>3.6799999999999999E-2</v>
      </c>
      <c r="H431">
        <v>36.799999999999997</v>
      </c>
      <c r="I431" t="s">
        <v>541</v>
      </c>
    </row>
    <row r="432" spans="1:9" x14ac:dyDescent="0.25">
      <c r="A432" t="s">
        <v>220</v>
      </c>
      <c r="B432" t="s">
        <v>588</v>
      </c>
      <c r="C432" t="s">
        <v>1601</v>
      </c>
      <c r="D432" t="s">
        <v>1602</v>
      </c>
      <c r="E432" t="s">
        <v>545</v>
      </c>
      <c r="F432">
        <v>3000</v>
      </c>
      <c r="G432">
        <v>0.24112265193370169</v>
      </c>
      <c r="H432">
        <v>723.36795580110504</v>
      </c>
      <c r="I432" t="s">
        <v>541</v>
      </c>
    </row>
    <row r="433" spans="1:9" x14ac:dyDescent="0.25">
      <c r="A433" t="s">
        <v>220</v>
      </c>
      <c r="B433" t="s">
        <v>588</v>
      </c>
      <c r="C433" t="s">
        <v>1603</v>
      </c>
      <c r="D433" t="s">
        <v>1604</v>
      </c>
      <c r="E433" t="s">
        <v>545</v>
      </c>
      <c r="F433">
        <v>1500</v>
      </c>
      <c r="G433">
        <v>0.217</v>
      </c>
      <c r="H433">
        <v>325.5</v>
      </c>
      <c r="I433" t="s">
        <v>541</v>
      </c>
    </row>
    <row r="434" spans="1:9" x14ac:dyDescent="0.25">
      <c r="A434" t="s">
        <v>220</v>
      </c>
      <c r="B434" t="s">
        <v>588</v>
      </c>
      <c r="C434" t="s">
        <v>1605</v>
      </c>
      <c r="D434" t="s">
        <v>1606</v>
      </c>
      <c r="E434" t="s">
        <v>545</v>
      </c>
      <c r="F434">
        <v>3700</v>
      </c>
      <c r="G434">
        <v>0.24612894736842103</v>
      </c>
      <c r="H434">
        <v>910.67710526315784</v>
      </c>
      <c r="I434" t="s">
        <v>541</v>
      </c>
    </row>
    <row r="435" spans="1:9" x14ac:dyDescent="0.25">
      <c r="A435" t="s">
        <v>220</v>
      </c>
      <c r="B435" t="s">
        <v>588</v>
      </c>
      <c r="C435" t="s">
        <v>1607</v>
      </c>
      <c r="D435" t="s">
        <v>1608</v>
      </c>
      <c r="E435" t="s">
        <v>545</v>
      </c>
      <c r="F435">
        <v>500</v>
      </c>
      <c r="G435">
        <v>0.221</v>
      </c>
      <c r="H435">
        <v>110.5</v>
      </c>
      <c r="I435" t="s">
        <v>541</v>
      </c>
    </row>
    <row r="436" spans="1:9" x14ac:dyDescent="0.25">
      <c r="A436" t="s">
        <v>220</v>
      </c>
      <c r="B436" t="s">
        <v>588</v>
      </c>
      <c r="C436" t="s">
        <v>1609</v>
      </c>
      <c r="D436" t="s">
        <v>1610</v>
      </c>
      <c r="E436" t="s">
        <v>545</v>
      </c>
      <c r="F436">
        <v>3000</v>
      </c>
      <c r="G436">
        <v>0.15185128205128204</v>
      </c>
      <c r="H436">
        <v>455.55384615384611</v>
      </c>
      <c r="I436" t="s">
        <v>541</v>
      </c>
    </row>
    <row r="437" spans="1:9" x14ac:dyDescent="0.25">
      <c r="A437" t="s">
        <v>220</v>
      </c>
      <c r="B437" t="s">
        <v>588</v>
      </c>
      <c r="C437" t="s">
        <v>1611</v>
      </c>
      <c r="D437" t="s">
        <v>1612</v>
      </c>
      <c r="E437" t="s">
        <v>545</v>
      </c>
      <c r="F437">
        <v>1000</v>
      </c>
      <c r="G437">
        <v>0.5</v>
      </c>
      <c r="H437">
        <v>500</v>
      </c>
      <c r="I437" t="s">
        <v>541</v>
      </c>
    </row>
    <row r="438" spans="1:9" x14ac:dyDescent="0.25">
      <c r="A438" t="s">
        <v>220</v>
      </c>
      <c r="B438" t="s">
        <v>588</v>
      </c>
      <c r="C438" t="s">
        <v>1613</v>
      </c>
      <c r="D438" t="s">
        <v>1614</v>
      </c>
      <c r="E438" t="s">
        <v>545</v>
      </c>
      <c r="F438">
        <v>5200</v>
      </c>
      <c r="G438">
        <v>0.15802043257091608</v>
      </c>
      <c r="H438">
        <v>821.70624936876357</v>
      </c>
      <c r="I438" t="s">
        <v>541</v>
      </c>
    </row>
    <row r="439" spans="1:9" x14ac:dyDescent="0.25">
      <c r="A439" t="s">
        <v>220</v>
      </c>
      <c r="B439" t="s">
        <v>588</v>
      </c>
      <c r="C439" t="s">
        <v>1615</v>
      </c>
      <c r="D439" t="s">
        <v>1616</v>
      </c>
      <c r="E439" t="s">
        <v>545</v>
      </c>
      <c r="F439">
        <v>9600</v>
      </c>
      <c r="G439">
        <v>0.159</v>
      </c>
      <c r="H439">
        <v>1526.4</v>
      </c>
      <c r="I439" t="s">
        <v>541</v>
      </c>
    </row>
    <row r="440" spans="1:9" x14ac:dyDescent="0.25">
      <c r="A440" t="s">
        <v>220</v>
      </c>
      <c r="B440" t="s">
        <v>588</v>
      </c>
      <c r="C440" t="s">
        <v>1617</v>
      </c>
      <c r="D440" t="s">
        <v>1618</v>
      </c>
      <c r="E440" t="s">
        <v>545</v>
      </c>
      <c r="F440">
        <v>3200</v>
      </c>
      <c r="G440">
        <v>0.18179999999999999</v>
      </c>
      <c r="H440">
        <v>581.76</v>
      </c>
      <c r="I440" t="s">
        <v>541</v>
      </c>
    </row>
    <row r="441" spans="1:9" x14ac:dyDescent="0.25">
      <c r="A441" t="s">
        <v>220</v>
      </c>
      <c r="B441" t="s">
        <v>588</v>
      </c>
      <c r="C441" t="s">
        <v>1619</v>
      </c>
      <c r="D441" t="s">
        <v>1620</v>
      </c>
      <c r="E441" t="s">
        <v>545</v>
      </c>
      <c r="F441">
        <v>7000</v>
      </c>
      <c r="G441">
        <v>6.565E-2</v>
      </c>
      <c r="H441">
        <v>459.55</v>
      </c>
      <c r="I441" t="s">
        <v>541</v>
      </c>
    </row>
    <row r="442" spans="1:9" x14ac:dyDescent="0.25">
      <c r="A442" t="s">
        <v>220</v>
      </c>
      <c r="B442" t="s">
        <v>588</v>
      </c>
      <c r="C442" t="s">
        <v>1621</v>
      </c>
      <c r="D442" t="s">
        <v>1622</v>
      </c>
      <c r="E442" t="s">
        <v>545</v>
      </c>
      <c r="F442">
        <v>1000</v>
      </c>
      <c r="G442">
        <v>0.2224008620689655</v>
      </c>
      <c r="H442">
        <v>222.40086206896549</v>
      </c>
      <c r="I442" t="s">
        <v>541</v>
      </c>
    </row>
    <row r="443" spans="1:9" x14ac:dyDescent="0.25">
      <c r="A443" t="s">
        <v>220</v>
      </c>
      <c r="B443" t="s">
        <v>588</v>
      </c>
      <c r="C443" t="s">
        <v>1623</v>
      </c>
      <c r="D443" t="s">
        <v>1624</v>
      </c>
      <c r="E443" t="s">
        <v>545</v>
      </c>
      <c r="F443">
        <v>1000</v>
      </c>
      <c r="G443">
        <v>0.221</v>
      </c>
      <c r="H443">
        <v>221</v>
      </c>
      <c r="I443" t="s">
        <v>541</v>
      </c>
    </row>
    <row r="444" spans="1:9" x14ac:dyDescent="0.25">
      <c r="A444" t="s">
        <v>220</v>
      </c>
      <c r="B444" t="s">
        <v>588</v>
      </c>
      <c r="C444" t="s">
        <v>1625</v>
      </c>
      <c r="D444" t="s">
        <v>1626</v>
      </c>
      <c r="E444" t="s">
        <v>545</v>
      </c>
      <c r="F444">
        <v>2100</v>
      </c>
      <c r="G444">
        <v>0.22500000000000001</v>
      </c>
      <c r="H444">
        <v>472.5</v>
      </c>
      <c r="I444" t="s">
        <v>541</v>
      </c>
    </row>
    <row r="445" spans="1:9" x14ac:dyDescent="0.25">
      <c r="A445" t="s">
        <v>220</v>
      </c>
      <c r="B445" t="s">
        <v>588</v>
      </c>
      <c r="C445" t="s">
        <v>1627</v>
      </c>
      <c r="D445" t="s">
        <v>1628</v>
      </c>
      <c r="E445" t="s">
        <v>545</v>
      </c>
      <c r="F445">
        <v>3500</v>
      </c>
      <c r="G445">
        <v>0.24947</v>
      </c>
      <c r="H445">
        <v>873.14499999999998</v>
      </c>
      <c r="I445" t="s">
        <v>541</v>
      </c>
    </row>
    <row r="446" spans="1:9" x14ac:dyDescent="0.25">
      <c r="A446" t="s">
        <v>220</v>
      </c>
      <c r="B446" t="s">
        <v>588</v>
      </c>
      <c r="C446" t="s">
        <v>1629</v>
      </c>
      <c r="D446" t="s">
        <v>1630</v>
      </c>
      <c r="E446" t="s">
        <v>545</v>
      </c>
      <c r="F446">
        <v>500</v>
      </c>
      <c r="G446">
        <v>5.8000000000000003E-2</v>
      </c>
      <c r="H446">
        <v>29</v>
      </c>
      <c r="I446" t="s">
        <v>541</v>
      </c>
    </row>
    <row r="447" spans="1:9" x14ac:dyDescent="0.25">
      <c r="A447" t="s">
        <v>220</v>
      </c>
      <c r="B447" t="s">
        <v>588</v>
      </c>
      <c r="C447" t="s">
        <v>1631</v>
      </c>
      <c r="D447" t="s">
        <v>1632</v>
      </c>
      <c r="E447" t="s">
        <v>545</v>
      </c>
      <c r="F447">
        <v>2200</v>
      </c>
      <c r="G447">
        <v>9.6559444444444448E-2</v>
      </c>
      <c r="H447">
        <v>212.43077777777779</v>
      </c>
      <c r="I447" t="s">
        <v>541</v>
      </c>
    </row>
    <row r="448" spans="1:9" x14ac:dyDescent="0.25">
      <c r="A448" t="s">
        <v>220</v>
      </c>
      <c r="B448" t="s">
        <v>588</v>
      </c>
      <c r="C448" t="s">
        <v>1633</v>
      </c>
      <c r="D448" t="s">
        <v>1634</v>
      </c>
      <c r="E448" t="s">
        <v>545</v>
      </c>
      <c r="F448">
        <v>2000</v>
      </c>
      <c r="G448">
        <v>0.18596489361702126</v>
      </c>
      <c r="H448">
        <v>371.92978723404252</v>
      </c>
      <c r="I448" t="s">
        <v>541</v>
      </c>
    </row>
    <row r="449" spans="1:9" x14ac:dyDescent="0.25">
      <c r="A449" t="s">
        <v>220</v>
      </c>
      <c r="B449" t="s">
        <v>588</v>
      </c>
      <c r="C449" t="s">
        <v>1635</v>
      </c>
      <c r="D449" t="s">
        <v>1636</v>
      </c>
      <c r="E449" t="s">
        <v>545</v>
      </c>
      <c r="F449">
        <v>2000</v>
      </c>
      <c r="G449">
        <v>0.22049999999999997</v>
      </c>
      <c r="H449">
        <v>440.99999999999994</v>
      </c>
      <c r="I449" t="s">
        <v>541</v>
      </c>
    </row>
    <row r="450" spans="1:9" x14ac:dyDescent="0.25">
      <c r="A450" t="s">
        <v>220</v>
      </c>
      <c r="B450" t="s">
        <v>588</v>
      </c>
      <c r="C450" t="s">
        <v>1637</v>
      </c>
      <c r="D450" t="s">
        <v>1638</v>
      </c>
      <c r="E450" t="s">
        <v>545</v>
      </c>
      <c r="F450">
        <v>3500</v>
      </c>
      <c r="G450">
        <v>0.21712999999999993</v>
      </c>
      <c r="H450">
        <v>759.95499999999981</v>
      </c>
      <c r="I450" t="s">
        <v>541</v>
      </c>
    </row>
    <row r="451" spans="1:9" x14ac:dyDescent="0.25">
      <c r="A451" t="s">
        <v>220</v>
      </c>
      <c r="B451" t="s">
        <v>588</v>
      </c>
      <c r="C451" t="s">
        <v>1639</v>
      </c>
      <c r="D451" t="s">
        <v>1640</v>
      </c>
      <c r="E451" t="s">
        <v>545</v>
      </c>
      <c r="F451">
        <v>2000</v>
      </c>
      <c r="G451">
        <v>0.10500000000000001</v>
      </c>
      <c r="H451">
        <v>210.00000000000003</v>
      </c>
      <c r="I451" t="s">
        <v>541</v>
      </c>
    </row>
    <row r="452" spans="1:9" x14ac:dyDescent="0.25">
      <c r="A452" t="s">
        <v>220</v>
      </c>
      <c r="B452" t="s">
        <v>588</v>
      </c>
      <c r="C452" t="s">
        <v>1641</v>
      </c>
      <c r="D452" t="s">
        <v>1642</v>
      </c>
      <c r="E452" t="s">
        <v>545</v>
      </c>
      <c r="F452">
        <v>2500</v>
      </c>
      <c r="G452">
        <v>0.21358551020408162</v>
      </c>
      <c r="H452">
        <v>533.96377551020407</v>
      </c>
      <c r="I452" t="s">
        <v>541</v>
      </c>
    </row>
    <row r="453" spans="1:9" x14ac:dyDescent="0.25">
      <c r="A453" t="s">
        <v>220</v>
      </c>
      <c r="B453" t="s">
        <v>588</v>
      </c>
      <c r="C453" t="s">
        <v>1643</v>
      </c>
      <c r="D453" t="s">
        <v>1644</v>
      </c>
      <c r="E453" t="s">
        <v>545</v>
      </c>
      <c r="F453">
        <v>2000</v>
      </c>
      <c r="G453">
        <v>0.155</v>
      </c>
      <c r="H453">
        <v>310</v>
      </c>
      <c r="I453" t="s">
        <v>541</v>
      </c>
    </row>
    <row r="454" spans="1:9" x14ac:dyDescent="0.25">
      <c r="A454" t="s">
        <v>220</v>
      </c>
      <c r="B454" t="s">
        <v>588</v>
      </c>
      <c r="C454" t="s">
        <v>1645</v>
      </c>
      <c r="D454" t="s">
        <v>1646</v>
      </c>
      <c r="E454" t="s">
        <v>545</v>
      </c>
      <c r="F454">
        <v>500</v>
      </c>
      <c r="G454">
        <v>6.720000000000001E-2</v>
      </c>
      <c r="H454">
        <v>33.6</v>
      </c>
      <c r="I454" t="s">
        <v>541</v>
      </c>
    </row>
    <row r="455" spans="1:9" x14ac:dyDescent="0.25">
      <c r="A455" t="s">
        <v>220</v>
      </c>
      <c r="B455" t="s">
        <v>588</v>
      </c>
      <c r="C455" t="s">
        <v>1647</v>
      </c>
      <c r="D455" t="s">
        <v>1648</v>
      </c>
      <c r="E455" t="s">
        <v>545</v>
      </c>
      <c r="F455">
        <v>3000</v>
      </c>
      <c r="G455">
        <v>3.0720000000000004E-2</v>
      </c>
      <c r="H455">
        <v>92.160000000000011</v>
      </c>
      <c r="I455" t="s">
        <v>541</v>
      </c>
    </row>
    <row r="456" spans="1:9" x14ac:dyDescent="0.25">
      <c r="A456" t="s">
        <v>220</v>
      </c>
      <c r="B456" t="s">
        <v>588</v>
      </c>
      <c r="C456" t="s">
        <v>1649</v>
      </c>
      <c r="D456" t="s">
        <v>1650</v>
      </c>
      <c r="E456" t="s">
        <v>545</v>
      </c>
      <c r="F456">
        <v>1000</v>
      </c>
      <c r="G456">
        <v>3.5000000000000003E-2</v>
      </c>
      <c r="H456">
        <v>35</v>
      </c>
      <c r="I456" t="s">
        <v>541</v>
      </c>
    </row>
    <row r="457" spans="1:9" x14ac:dyDescent="0.25">
      <c r="A457" t="s">
        <v>220</v>
      </c>
      <c r="B457" t="s">
        <v>588</v>
      </c>
      <c r="C457" t="s">
        <v>1651</v>
      </c>
      <c r="D457" t="s">
        <v>1652</v>
      </c>
      <c r="E457" t="s">
        <v>545</v>
      </c>
      <c r="F457">
        <v>3000</v>
      </c>
      <c r="G457">
        <v>6.720000000000001E-2</v>
      </c>
      <c r="H457">
        <v>201.60000000000002</v>
      </c>
      <c r="I457" t="s">
        <v>541</v>
      </c>
    </row>
    <row r="458" spans="1:9" x14ac:dyDescent="0.25">
      <c r="A458" t="s">
        <v>220</v>
      </c>
      <c r="B458" t="s">
        <v>588</v>
      </c>
      <c r="C458" t="s">
        <v>1653</v>
      </c>
      <c r="D458" t="s">
        <v>1654</v>
      </c>
      <c r="E458" t="s">
        <v>545</v>
      </c>
      <c r="F458">
        <v>4000</v>
      </c>
      <c r="G458">
        <v>0.228495</v>
      </c>
      <c r="H458">
        <v>913.98</v>
      </c>
      <c r="I458" t="s">
        <v>541</v>
      </c>
    </row>
    <row r="459" spans="1:9" x14ac:dyDescent="0.25">
      <c r="A459" t="s">
        <v>220</v>
      </c>
      <c r="B459" t="s">
        <v>588</v>
      </c>
      <c r="C459" t="s">
        <v>1655</v>
      </c>
      <c r="D459" t="s">
        <v>1656</v>
      </c>
      <c r="E459" t="s">
        <v>545</v>
      </c>
      <c r="F459">
        <v>1000</v>
      </c>
      <c r="G459">
        <v>0.14879999999999999</v>
      </c>
      <c r="H459">
        <v>148.79999999999998</v>
      </c>
      <c r="I459" t="s">
        <v>541</v>
      </c>
    </row>
    <row r="460" spans="1:9" x14ac:dyDescent="0.25">
      <c r="A460" t="s">
        <v>220</v>
      </c>
      <c r="B460" t="s">
        <v>588</v>
      </c>
      <c r="C460" t="s">
        <v>1657</v>
      </c>
      <c r="D460" t="s">
        <v>1658</v>
      </c>
      <c r="E460" t="s">
        <v>545</v>
      </c>
      <c r="F460">
        <v>3300</v>
      </c>
      <c r="G460">
        <v>0.1515</v>
      </c>
      <c r="H460">
        <v>499.95</v>
      </c>
      <c r="I460" t="s">
        <v>541</v>
      </c>
    </row>
    <row r="461" spans="1:9" x14ac:dyDescent="0.25">
      <c r="A461" t="s">
        <v>220</v>
      </c>
      <c r="B461" t="s">
        <v>588</v>
      </c>
      <c r="C461" t="s">
        <v>1659</v>
      </c>
      <c r="D461" t="s">
        <v>1660</v>
      </c>
      <c r="E461" t="s">
        <v>545</v>
      </c>
      <c r="F461">
        <v>1500</v>
      </c>
      <c r="G461">
        <v>3.3600000000000005E-2</v>
      </c>
      <c r="H461">
        <v>50.400000000000006</v>
      </c>
      <c r="I461" t="s">
        <v>541</v>
      </c>
    </row>
    <row r="462" spans="1:9" x14ac:dyDescent="0.25">
      <c r="A462" t="s">
        <v>220</v>
      </c>
      <c r="B462" t="s">
        <v>588</v>
      </c>
      <c r="C462" t="s">
        <v>1661</v>
      </c>
      <c r="D462" t="s">
        <v>1662</v>
      </c>
      <c r="E462" t="s">
        <v>545</v>
      </c>
      <c r="F462">
        <v>1000</v>
      </c>
      <c r="G462">
        <v>0.20316491228070174</v>
      </c>
      <c r="H462">
        <v>203.16491228070174</v>
      </c>
      <c r="I462" t="s">
        <v>541</v>
      </c>
    </row>
    <row r="463" spans="1:9" x14ac:dyDescent="0.25">
      <c r="A463" t="s">
        <v>220</v>
      </c>
      <c r="B463" t="s">
        <v>588</v>
      </c>
      <c r="C463" t="s">
        <v>1663</v>
      </c>
      <c r="D463" t="s">
        <v>1664</v>
      </c>
      <c r="E463" t="s">
        <v>545</v>
      </c>
      <c r="F463">
        <v>3400</v>
      </c>
      <c r="G463">
        <v>9.6687558107738575E-2</v>
      </c>
      <c r="H463">
        <v>328.73769756631117</v>
      </c>
      <c r="I463" t="s">
        <v>541</v>
      </c>
    </row>
    <row r="464" spans="1:9" x14ac:dyDescent="0.25">
      <c r="A464" t="s">
        <v>220</v>
      </c>
      <c r="B464" t="s">
        <v>588</v>
      </c>
      <c r="C464" t="s">
        <v>1665</v>
      </c>
      <c r="D464" t="s">
        <v>1666</v>
      </c>
      <c r="E464" t="s">
        <v>545</v>
      </c>
      <c r="F464">
        <v>2500</v>
      </c>
      <c r="G464">
        <v>0.216</v>
      </c>
      <c r="H464">
        <v>540</v>
      </c>
      <c r="I464" t="s">
        <v>541</v>
      </c>
    </row>
    <row r="465" spans="1:9" x14ac:dyDescent="0.25">
      <c r="A465" t="s">
        <v>220</v>
      </c>
      <c r="B465" t="s">
        <v>588</v>
      </c>
      <c r="C465" t="s">
        <v>1667</v>
      </c>
      <c r="D465" t="s">
        <v>1668</v>
      </c>
      <c r="E465" t="s">
        <v>545</v>
      </c>
      <c r="F465">
        <v>3500</v>
      </c>
      <c r="G465">
        <v>0.25755</v>
      </c>
      <c r="H465">
        <v>901.42499999999995</v>
      </c>
      <c r="I465" t="s">
        <v>541</v>
      </c>
    </row>
    <row r="466" spans="1:9" x14ac:dyDescent="0.25">
      <c r="A466" t="s">
        <v>220</v>
      </c>
      <c r="B466" t="s">
        <v>588</v>
      </c>
      <c r="C466" t="s">
        <v>1669</v>
      </c>
      <c r="D466" t="s">
        <v>1670</v>
      </c>
      <c r="E466" t="s">
        <v>545</v>
      </c>
      <c r="F466">
        <v>3300</v>
      </c>
      <c r="G466">
        <v>0.29289999999999999</v>
      </c>
      <c r="H466">
        <v>966.56999999999994</v>
      </c>
      <c r="I466" t="s">
        <v>541</v>
      </c>
    </row>
    <row r="467" spans="1:9" x14ac:dyDescent="0.25">
      <c r="A467" t="s">
        <v>220</v>
      </c>
      <c r="B467" t="s">
        <v>588</v>
      </c>
      <c r="C467" t="s">
        <v>1671</v>
      </c>
      <c r="D467" t="s">
        <v>1672</v>
      </c>
      <c r="E467" t="s">
        <v>545</v>
      </c>
      <c r="F467">
        <v>2500</v>
      </c>
      <c r="G467">
        <v>0.25755</v>
      </c>
      <c r="H467">
        <v>643.875</v>
      </c>
      <c r="I467" t="s">
        <v>541</v>
      </c>
    </row>
    <row r="468" spans="1:9" x14ac:dyDescent="0.25">
      <c r="A468" t="s">
        <v>220</v>
      </c>
      <c r="B468" t="s">
        <v>588</v>
      </c>
      <c r="C468" t="s">
        <v>1673</v>
      </c>
      <c r="D468" t="s">
        <v>1674</v>
      </c>
      <c r="E468" t="s">
        <v>545</v>
      </c>
      <c r="F468">
        <v>3000</v>
      </c>
      <c r="G468">
        <v>0.29289999999999999</v>
      </c>
      <c r="H468">
        <v>878.69999999999993</v>
      </c>
      <c r="I468" t="s">
        <v>541</v>
      </c>
    </row>
    <row r="469" spans="1:9" x14ac:dyDescent="0.25">
      <c r="A469" t="s">
        <v>220</v>
      </c>
      <c r="B469" t="s">
        <v>588</v>
      </c>
      <c r="C469" t="s">
        <v>1675</v>
      </c>
      <c r="D469" t="s">
        <v>1676</v>
      </c>
      <c r="E469" t="s">
        <v>545</v>
      </c>
      <c r="F469">
        <v>2000</v>
      </c>
      <c r="G469">
        <v>0.20705000000000004</v>
      </c>
      <c r="H469">
        <v>414.10000000000008</v>
      </c>
      <c r="I469" t="s">
        <v>541</v>
      </c>
    </row>
    <row r="470" spans="1:9" x14ac:dyDescent="0.25">
      <c r="A470" t="s">
        <v>220</v>
      </c>
      <c r="B470" t="s">
        <v>588</v>
      </c>
      <c r="C470" t="s">
        <v>1677</v>
      </c>
      <c r="D470" t="s">
        <v>1678</v>
      </c>
      <c r="E470" t="s">
        <v>545</v>
      </c>
      <c r="F470">
        <v>3000</v>
      </c>
      <c r="G470">
        <v>0.21210000000000001</v>
      </c>
      <c r="H470">
        <v>636.30000000000007</v>
      </c>
      <c r="I470" t="s">
        <v>541</v>
      </c>
    </row>
    <row r="471" spans="1:9" x14ac:dyDescent="0.25">
      <c r="A471" t="s">
        <v>220</v>
      </c>
      <c r="B471" t="s">
        <v>588</v>
      </c>
      <c r="C471" t="s">
        <v>1679</v>
      </c>
      <c r="D471" t="s">
        <v>1680</v>
      </c>
      <c r="E471" t="s">
        <v>545</v>
      </c>
      <c r="F471">
        <v>3700</v>
      </c>
      <c r="G471">
        <v>0.20891192341166234</v>
      </c>
      <c r="H471">
        <v>772.97411662315062</v>
      </c>
      <c r="I471" t="s">
        <v>541</v>
      </c>
    </row>
    <row r="472" spans="1:9" x14ac:dyDescent="0.25">
      <c r="A472" t="s">
        <v>220</v>
      </c>
      <c r="B472" t="s">
        <v>588</v>
      </c>
      <c r="C472" t="s">
        <v>1681</v>
      </c>
      <c r="D472" t="s">
        <v>1682</v>
      </c>
      <c r="E472" t="s">
        <v>545</v>
      </c>
      <c r="F472">
        <v>2220</v>
      </c>
      <c r="G472">
        <v>0.20388062827225134</v>
      </c>
      <c r="H472">
        <v>452.61499476439798</v>
      </c>
      <c r="I472" t="s">
        <v>541</v>
      </c>
    </row>
    <row r="473" spans="1:9" x14ac:dyDescent="0.25">
      <c r="A473" t="s">
        <v>220</v>
      </c>
      <c r="B473" t="s">
        <v>588</v>
      </c>
      <c r="C473" t="s">
        <v>1683</v>
      </c>
      <c r="D473" t="s">
        <v>1684</v>
      </c>
      <c r="E473" t="s">
        <v>545</v>
      </c>
      <c r="F473">
        <v>3820</v>
      </c>
      <c r="G473">
        <v>0.18387219917012451</v>
      </c>
      <c r="H473">
        <v>702.39180082987559</v>
      </c>
      <c r="I473" t="s">
        <v>541</v>
      </c>
    </row>
    <row r="474" spans="1:9" x14ac:dyDescent="0.25">
      <c r="A474" t="s">
        <v>220</v>
      </c>
      <c r="B474" t="s">
        <v>588</v>
      </c>
      <c r="C474" t="s">
        <v>1685</v>
      </c>
      <c r="D474" t="s">
        <v>1686</v>
      </c>
      <c r="E474" t="s">
        <v>545</v>
      </c>
      <c r="F474">
        <v>19000</v>
      </c>
      <c r="G474">
        <v>0.1816888681204569</v>
      </c>
      <c r="H474">
        <v>3452.088494288681</v>
      </c>
      <c r="I474" t="s">
        <v>541</v>
      </c>
    </row>
    <row r="475" spans="1:9" x14ac:dyDescent="0.25">
      <c r="A475" t="s">
        <v>220</v>
      </c>
      <c r="B475" t="s">
        <v>588</v>
      </c>
      <c r="C475" t="s">
        <v>1687</v>
      </c>
      <c r="D475" t="s">
        <v>1688</v>
      </c>
      <c r="E475" t="s">
        <v>545</v>
      </c>
      <c r="F475">
        <v>2850</v>
      </c>
      <c r="G475">
        <v>0.21210000000000001</v>
      </c>
      <c r="H475">
        <v>604.48500000000001</v>
      </c>
      <c r="I475" t="s">
        <v>541</v>
      </c>
    </row>
    <row r="476" spans="1:9" x14ac:dyDescent="0.25">
      <c r="A476" t="s">
        <v>220</v>
      </c>
      <c r="B476" t="s">
        <v>588</v>
      </c>
      <c r="C476" t="s">
        <v>1689</v>
      </c>
      <c r="D476" t="s">
        <v>1690</v>
      </c>
      <c r="E476" t="s">
        <v>545</v>
      </c>
      <c r="F476">
        <v>2850</v>
      </c>
      <c r="G476">
        <v>0.2828</v>
      </c>
      <c r="H476">
        <v>805.98</v>
      </c>
      <c r="I476" t="s">
        <v>541</v>
      </c>
    </row>
    <row r="477" spans="1:9" x14ac:dyDescent="0.25">
      <c r="A477" t="s">
        <v>220</v>
      </c>
      <c r="B477" t="s">
        <v>588</v>
      </c>
      <c r="C477" t="s">
        <v>1691</v>
      </c>
      <c r="D477" t="s">
        <v>1692</v>
      </c>
      <c r="E477" t="s">
        <v>545</v>
      </c>
      <c r="F477">
        <v>2850</v>
      </c>
      <c r="G477">
        <v>0.21210000000000001</v>
      </c>
      <c r="H477">
        <v>604.48500000000001</v>
      </c>
      <c r="I477" t="s">
        <v>541</v>
      </c>
    </row>
    <row r="478" spans="1:9" x14ac:dyDescent="0.25">
      <c r="A478" t="s">
        <v>220</v>
      </c>
      <c r="B478" t="s">
        <v>588</v>
      </c>
      <c r="C478" t="s">
        <v>1693</v>
      </c>
      <c r="D478" t="s">
        <v>1694</v>
      </c>
      <c r="E478" t="s">
        <v>545</v>
      </c>
      <c r="F478">
        <v>2850</v>
      </c>
      <c r="G478">
        <v>0.30299999999999999</v>
      </c>
      <c r="H478">
        <v>863.55</v>
      </c>
      <c r="I478" t="s">
        <v>541</v>
      </c>
    </row>
    <row r="479" spans="1:9" x14ac:dyDescent="0.25">
      <c r="A479" t="s">
        <v>220</v>
      </c>
      <c r="B479" t="s">
        <v>588</v>
      </c>
      <c r="C479" t="s">
        <v>1695</v>
      </c>
      <c r="D479" t="s">
        <v>1696</v>
      </c>
      <c r="E479" t="s">
        <v>545</v>
      </c>
      <c r="F479">
        <v>2850</v>
      </c>
      <c r="G479">
        <v>0.21210000000000001</v>
      </c>
      <c r="H479">
        <v>604.48500000000001</v>
      </c>
      <c r="I479" t="s">
        <v>541</v>
      </c>
    </row>
    <row r="480" spans="1:9" x14ac:dyDescent="0.25">
      <c r="A480" t="s">
        <v>220</v>
      </c>
      <c r="B480" t="s">
        <v>588</v>
      </c>
      <c r="C480" t="s">
        <v>1697</v>
      </c>
      <c r="D480" t="s">
        <v>1698</v>
      </c>
      <c r="E480" t="s">
        <v>545</v>
      </c>
      <c r="F480">
        <v>2850</v>
      </c>
      <c r="G480">
        <v>0.30299999999999999</v>
      </c>
      <c r="H480">
        <v>863.55</v>
      </c>
      <c r="I480" t="s">
        <v>541</v>
      </c>
    </row>
    <row r="481" spans="1:9" x14ac:dyDescent="0.25">
      <c r="A481" t="s">
        <v>220</v>
      </c>
      <c r="B481" t="s">
        <v>588</v>
      </c>
      <c r="C481" t="s">
        <v>1699</v>
      </c>
      <c r="D481" t="s">
        <v>1700</v>
      </c>
      <c r="E481" t="s">
        <v>545</v>
      </c>
      <c r="F481">
        <v>2200</v>
      </c>
      <c r="G481">
        <v>0.2828</v>
      </c>
      <c r="H481">
        <v>622.16</v>
      </c>
      <c r="I481" t="s">
        <v>541</v>
      </c>
    </row>
    <row r="482" spans="1:9" x14ac:dyDescent="0.25">
      <c r="A482" t="s">
        <v>220</v>
      </c>
      <c r="B482" t="s">
        <v>588</v>
      </c>
      <c r="C482" t="s">
        <v>1701</v>
      </c>
      <c r="D482" t="s">
        <v>1702</v>
      </c>
      <c r="E482" t="s">
        <v>545</v>
      </c>
      <c r="F482">
        <v>2200</v>
      </c>
      <c r="G482">
        <v>0.2828</v>
      </c>
      <c r="H482">
        <v>622.16</v>
      </c>
      <c r="I482" t="s">
        <v>541</v>
      </c>
    </row>
    <row r="483" spans="1:9" x14ac:dyDescent="0.25">
      <c r="A483" t="s">
        <v>220</v>
      </c>
      <c r="B483" t="s">
        <v>588</v>
      </c>
      <c r="C483" t="s">
        <v>1703</v>
      </c>
      <c r="D483" t="s">
        <v>1704</v>
      </c>
      <c r="E483" t="s">
        <v>545</v>
      </c>
      <c r="F483">
        <v>2500</v>
      </c>
      <c r="G483">
        <v>0.34945999999999999</v>
      </c>
      <c r="H483">
        <v>873.65</v>
      </c>
      <c r="I483" t="s">
        <v>541</v>
      </c>
    </row>
    <row r="484" spans="1:9" x14ac:dyDescent="0.25">
      <c r="A484" t="s">
        <v>220</v>
      </c>
      <c r="B484" t="s">
        <v>588</v>
      </c>
      <c r="C484" t="s">
        <v>1705</v>
      </c>
      <c r="D484" t="s">
        <v>1706</v>
      </c>
      <c r="E484" t="s">
        <v>545</v>
      </c>
      <c r="F484">
        <v>2500</v>
      </c>
      <c r="G484">
        <v>0.34945999999999999</v>
      </c>
      <c r="H484">
        <v>873.65</v>
      </c>
      <c r="I484" t="s">
        <v>541</v>
      </c>
    </row>
    <row r="485" spans="1:9" x14ac:dyDescent="0.25">
      <c r="A485" t="s">
        <v>220</v>
      </c>
      <c r="B485" t="s">
        <v>588</v>
      </c>
      <c r="C485" t="s">
        <v>1707</v>
      </c>
      <c r="D485" t="s">
        <v>1708</v>
      </c>
      <c r="E485" t="s">
        <v>545</v>
      </c>
      <c r="F485">
        <v>2250</v>
      </c>
      <c r="G485">
        <v>0.40400000000000003</v>
      </c>
      <c r="H485">
        <v>909.00000000000011</v>
      </c>
      <c r="I485" t="s">
        <v>541</v>
      </c>
    </row>
    <row r="486" spans="1:9" x14ac:dyDescent="0.25">
      <c r="A486" t="s">
        <v>220</v>
      </c>
      <c r="B486" t="s">
        <v>588</v>
      </c>
      <c r="C486" t="s">
        <v>1709</v>
      </c>
      <c r="D486" t="s">
        <v>1710</v>
      </c>
      <c r="E486" t="s">
        <v>545</v>
      </c>
      <c r="F486">
        <v>2370</v>
      </c>
      <c r="G486">
        <v>0.40400000000000003</v>
      </c>
      <c r="H486">
        <v>957.48</v>
      </c>
      <c r="I486" t="s">
        <v>541</v>
      </c>
    </row>
    <row r="487" spans="1:9" x14ac:dyDescent="0.25">
      <c r="A487" t="s">
        <v>220</v>
      </c>
      <c r="B487" t="s">
        <v>588</v>
      </c>
      <c r="C487" t="s">
        <v>1711</v>
      </c>
      <c r="D487" t="s">
        <v>1712</v>
      </c>
      <c r="E487" t="s">
        <v>545</v>
      </c>
      <c r="F487">
        <v>1870</v>
      </c>
      <c r="G487">
        <v>0.45449999999999996</v>
      </c>
      <c r="H487">
        <v>849.91499999999996</v>
      </c>
      <c r="I487" t="s">
        <v>541</v>
      </c>
    </row>
    <row r="488" spans="1:9" x14ac:dyDescent="0.25">
      <c r="A488" t="s">
        <v>220</v>
      </c>
      <c r="B488" t="s">
        <v>588</v>
      </c>
      <c r="C488" t="s">
        <v>1713</v>
      </c>
      <c r="D488" t="s">
        <v>1714</v>
      </c>
      <c r="E488" t="s">
        <v>545</v>
      </c>
      <c r="F488">
        <v>2370</v>
      </c>
      <c r="G488">
        <v>0.55549999999999999</v>
      </c>
      <c r="H488">
        <v>1316.5350000000001</v>
      </c>
      <c r="I488" t="s">
        <v>541</v>
      </c>
    </row>
    <row r="489" spans="1:9" x14ac:dyDescent="0.25">
      <c r="A489" t="s">
        <v>220</v>
      </c>
      <c r="B489" t="s">
        <v>588</v>
      </c>
      <c r="C489" t="s">
        <v>1715</v>
      </c>
      <c r="D489" t="s">
        <v>1716</v>
      </c>
      <c r="E489" t="s">
        <v>545</v>
      </c>
      <c r="F489">
        <v>1000</v>
      </c>
      <c r="G489">
        <v>0.21210000000000001</v>
      </c>
      <c r="H489">
        <v>212.10000000000002</v>
      </c>
      <c r="I489" t="s">
        <v>541</v>
      </c>
    </row>
    <row r="490" spans="1:9" x14ac:dyDescent="0.25">
      <c r="A490" t="s">
        <v>220</v>
      </c>
      <c r="B490" t="s">
        <v>588</v>
      </c>
      <c r="C490" t="s">
        <v>1717</v>
      </c>
      <c r="D490" t="s">
        <v>1718</v>
      </c>
      <c r="E490" t="s">
        <v>545</v>
      </c>
      <c r="F490">
        <v>1000</v>
      </c>
      <c r="G490">
        <v>0.35349999999999998</v>
      </c>
      <c r="H490">
        <v>353.5</v>
      </c>
      <c r="I490" t="s">
        <v>541</v>
      </c>
    </row>
    <row r="491" spans="1:9" x14ac:dyDescent="0.25">
      <c r="A491" t="s">
        <v>220</v>
      </c>
      <c r="B491" t="s">
        <v>588</v>
      </c>
      <c r="C491" t="s">
        <v>1719</v>
      </c>
      <c r="D491" t="s">
        <v>1720</v>
      </c>
      <c r="E491" t="s">
        <v>545</v>
      </c>
      <c r="F491">
        <v>1250</v>
      </c>
      <c r="G491">
        <v>0.2525</v>
      </c>
      <c r="H491">
        <v>315.625</v>
      </c>
      <c r="I491" t="s">
        <v>541</v>
      </c>
    </row>
    <row r="492" spans="1:9" x14ac:dyDescent="0.25">
      <c r="A492" t="s">
        <v>220</v>
      </c>
      <c r="B492" t="s">
        <v>588</v>
      </c>
      <c r="C492" t="s">
        <v>1721</v>
      </c>
      <c r="D492" t="s">
        <v>1722</v>
      </c>
      <c r="E492" t="s">
        <v>545</v>
      </c>
      <c r="F492">
        <v>1250</v>
      </c>
      <c r="G492">
        <v>0.43935000000000002</v>
      </c>
      <c r="H492">
        <v>549.1875</v>
      </c>
      <c r="I492" t="s">
        <v>541</v>
      </c>
    </row>
    <row r="493" spans="1:9" x14ac:dyDescent="0.25">
      <c r="A493" t="s">
        <v>220</v>
      </c>
      <c r="B493" t="s">
        <v>588</v>
      </c>
      <c r="C493" t="s">
        <v>1723</v>
      </c>
      <c r="D493" t="s">
        <v>1724</v>
      </c>
      <c r="E493" t="s">
        <v>545</v>
      </c>
      <c r="F493">
        <v>1500</v>
      </c>
      <c r="G493">
        <v>0.2525</v>
      </c>
      <c r="H493">
        <v>378.75</v>
      </c>
      <c r="I493" t="s">
        <v>541</v>
      </c>
    </row>
    <row r="494" spans="1:9" x14ac:dyDescent="0.25">
      <c r="A494" t="s">
        <v>220</v>
      </c>
      <c r="B494" t="s">
        <v>588</v>
      </c>
      <c r="C494" t="s">
        <v>1725</v>
      </c>
      <c r="D494" t="s">
        <v>1726</v>
      </c>
      <c r="E494" t="s">
        <v>545</v>
      </c>
      <c r="F494">
        <v>1500</v>
      </c>
      <c r="G494">
        <v>0.43934999999999996</v>
      </c>
      <c r="H494">
        <v>659.02499999999998</v>
      </c>
      <c r="I494" t="s">
        <v>541</v>
      </c>
    </row>
    <row r="495" spans="1:9" x14ac:dyDescent="0.25">
      <c r="A495" t="s">
        <v>220</v>
      </c>
      <c r="B495" t="s">
        <v>588</v>
      </c>
      <c r="C495" t="s">
        <v>1727</v>
      </c>
      <c r="D495" t="s">
        <v>1728</v>
      </c>
      <c r="E495" t="s">
        <v>545</v>
      </c>
      <c r="F495">
        <v>2000</v>
      </c>
      <c r="G495">
        <v>0.42925000000000002</v>
      </c>
      <c r="H495">
        <v>858.5</v>
      </c>
      <c r="I495" t="s">
        <v>541</v>
      </c>
    </row>
    <row r="496" spans="1:9" x14ac:dyDescent="0.25">
      <c r="A496" t="s">
        <v>220</v>
      </c>
      <c r="B496" t="s">
        <v>588</v>
      </c>
      <c r="C496" t="s">
        <v>1729</v>
      </c>
      <c r="D496" t="s">
        <v>1730</v>
      </c>
      <c r="E496" t="s">
        <v>545</v>
      </c>
      <c r="F496">
        <v>2000</v>
      </c>
      <c r="G496">
        <v>0.42925000000000002</v>
      </c>
      <c r="H496">
        <v>858.5</v>
      </c>
      <c r="I496" t="s">
        <v>541</v>
      </c>
    </row>
    <row r="497" spans="1:9" x14ac:dyDescent="0.25">
      <c r="A497" t="s">
        <v>220</v>
      </c>
      <c r="B497" t="s">
        <v>588</v>
      </c>
      <c r="C497" t="s">
        <v>1731</v>
      </c>
      <c r="D497" t="s">
        <v>1732</v>
      </c>
      <c r="E497" t="s">
        <v>545</v>
      </c>
      <c r="F497">
        <v>1550</v>
      </c>
      <c r="G497">
        <v>0.42499999999999999</v>
      </c>
      <c r="H497">
        <v>658.75</v>
      </c>
      <c r="I497" t="s">
        <v>541</v>
      </c>
    </row>
    <row r="498" spans="1:9" x14ac:dyDescent="0.25">
      <c r="A498" t="s">
        <v>220</v>
      </c>
      <c r="B498" t="s">
        <v>588</v>
      </c>
      <c r="C498" t="s">
        <v>1733</v>
      </c>
      <c r="D498" t="s">
        <v>1734</v>
      </c>
      <c r="E498" t="s">
        <v>545</v>
      </c>
      <c r="F498">
        <v>1550</v>
      </c>
      <c r="G498">
        <v>0.42924999999999996</v>
      </c>
      <c r="H498">
        <v>665.33749999999998</v>
      </c>
      <c r="I498" t="s">
        <v>541</v>
      </c>
    </row>
    <row r="499" spans="1:9" x14ac:dyDescent="0.25">
      <c r="A499" t="s">
        <v>220</v>
      </c>
      <c r="B499" t="s">
        <v>588</v>
      </c>
      <c r="C499" t="s">
        <v>1735</v>
      </c>
      <c r="D499" t="s">
        <v>1736</v>
      </c>
      <c r="E499" t="s">
        <v>545</v>
      </c>
      <c r="F499">
        <v>1750</v>
      </c>
      <c r="G499">
        <v>0.47975000000000001</v>
      </c>
      <c r="H499">
        <v>839.5625</v>
      </c>
      <c r="I499" t="s">
        <v>541</v>
      </c>
    </row>
    <row r="500" spans="1:9" x14ac:dyDescent="0.25">
      <c r="A500" t="s">
        <v>220</v>
      </c>
      <c r="B500" t="s">
        <v>588</v>
      </c>
      <c r="C500" t="s">
        <v>1737</v>
      </c>
      <c r="D500" t="s">
        <v>1738</v>
      </c>
      <c r="E500" t="s">
        <v>545</v>
      </c>
      <c r="F500">
        <v>1500</v>
      </c>
      <c r="G500">
        <v>0.47975000000000001</v>
      </c>
      <c r="H500">
        <v>719.625</v>
      </c>
      <c r="I500" t="s">
        <v>541</v>
      </c>
    </row>
    <row r="501" spans="1:9" x14ac:dyDescent="0.25">
      <c r="A501" t="s">
        <v>220</v>
      </c>
      <c r="B501" t="s">
        <v>588</v>
      </c>
      <c r="C501" t="s">
        <v>1739</v>
      </c>
      <c r="D501" t="s">
        <v>1740</v>
      </c>
      <c r="E501" t="s">
        <v>545</v>
      </c>
      <c r="F501">
        <v>2250</v>
      </c>
      <c r="G501">
        <v>0.47975000000000001</v>
      </c>
      <c r="H501">
        <v>1079.4375</v>
      </c>
      <c r="I501" t="s">
        <v>541</v>
      </c>
    </row>
    <row r="502" spans="1:9" x14ac:dyDescent="0.25">
      <c r="A502" t="s">
        <v>220</v>
      </c>
      <c r="B502" t="s">
        <v>588</v>
      </c>
      <c r="C502" t="s">
        <v>1741</v>
      </c>
      <c r="D502" t="s">
        <v>1742</v>
      </c>
      <c r="E502" t="s">
        <v>545</v>
      </c>
      <c r="F502">
        <v>2000</v>
      </c>
      <c r="G502">
        <v>0.47975000000000001</v>
      </c>
      <c r="H502">
        <v>959.5</v>
      </c>
      <c r="I502" t="s">
        <v>541</v>
      </c>
    </row>
    <row r="503" spans="1:9" x14ac:dyDescent="0.25">
      <c r="A503" t="s">
        <v>220</v>
      </c>
      <c r="B503" t="s">
        <v>588</v>
      </c>
      <c r="C503" t="s">
        <v>1743</v>
      </c>
      <c r="D503" t="s">
        <v>1744</v>
      </c>
      <c r="E503" t="s">
        <v>545</v>
      </c>
      <c r="F503">
        <v>3500</v>
      </c>
      <c r="G503">
        <v>0.60398000000000007</v>
      </c>
      <c r="H503">
        <v>2113.9300000000003</v>
      </c>
      <c r="I503" t="s">
        <v>541</v>
      </c>
    </row>
    <row r="504" spans="1:9" x14ac:dyDescent="0.25">
      <c r="A504" t="s">
        <v>220</v>
      </c>
      <c r="B504" t="s">
        <v>588</v>
      </c>
      <c r="C504" t="s">
        <v>1745</v>
      </c>
      <c r="D504" t="s">
        <v>1746</v>
      </c>
      <c r="E504" t="s">
        <v>545</v>
      </c>
      <c r="F504">
        <v>3500</v>
      </c>
      <c r="G504">
        <v>0.61609999999999998</v>
      </c>
      <c r="H504">
        <v>2156.35</v>
      </c>
      <c r="I504" t="s">
        <v>541</v>
      </c>
    </row>
    <row r="505" spans="1:9" x14ac:dyDescent="0.25">
      <c r="A505" t="s">
        <v>220</v>
      </c>
      <c r="B505" t="s">
        <v>588</v>
      </c>
      <c r="C505" t="s">
        <v>1747</v>
      </c>
      <c r="D505" t="s">
        <v>1748</v>
      </c>
      <c r="E505" t="s">
        <v>545</v>
      </c>
      <c r="F505">
        <v>1500</v>
      </c>
      <c r="G505">
        <v>0.61609999999999998</v>
      </c>
      <c r="H505">
        <v>924.15</v>
      </c>
      <c r="I505" t="s">
        <v>541</v>
      </c>
    </row>
    <row r="506" spans="1:9" x14ac:dyDescent="0.25">
      <c r="A506" t="s">
        <v>220</v>
      </c>
      <c r="B506" t="s">
        <v>588</v>
      </c>
      <c r="C506" t="s">
        <v>1749</v>
      </c>
      <c r="D506" t="s">
        <v>1750</v>
      </c>
      <c r="E506" t="s">
        <v>545</v>
      </c>
      <c r="F506">
        <v>2000</v>
      </c>
      <c r="G506">
        <v>0.66154999999999997</v>
      </c>
      <c r="H506">
        <v>1323.1</v>
      </c>
      <c r="I506" t="s">
        <v>541</v>
      </c>
    </row>
    <row r="507" spans="1:9" x14ac:dyDescent="0.25">
      <c r="A507" t="s">
        <v>220</v>
      </c>
      <c r="B507" t="s">
        <v>588</v>
      </c>
      <c r="C507" t="s">
        <v>1751</v>
      </c>
      <c r="D507" t="s">
        <v>1752</v>
      </c>
      <c r="E507" t="s">
        <v>545</v>
      </c>
      <c r="F507">
        <v>500</v>
      </c>
      <c r="G507">
        <v>0.66155000000000008</v>
      </c>
      <c r="H507">
        <v>330.77500000000003</v>
      </c>
      <c r="I507" t="s">
        <v>541</v>
      </c>
    </row>
    <row r="508" spans="1:9" x14ac:dyDescent="0.25">
      <c r="A508" t="s">
        <v>220</v>
      </c>
      <c r="B508" t="s">
        <v>588</v>
      </c>
      <c r="C508" t="s">
        <v>1753</v>
      </c>
      <c r="D508" t="s">
        <v>1754</v>
      </c>
      <c r="E508" t="s">
        <v>545</v>
      </c>
      <c r="F508">
        <v>1500</v>
      </c>
      <c r="G508">
        <v>0.70194999999999996</v>
      </c>
      <c r="H508">
        <v>1052.925</v>
      </c>
      <c r="I508" t="s">
        <v>541</v>
      </c>
    </row>
    <row r="509" spans="1:9" x14ac:dyDescent="0.25">
      <c r="A509" t="s">
        <v>220</v>
      </c>
      <c r="B509" t="s">
        <v>588</v>
      </c>
      <c r="C509" t="s">
        <v>1755</v>
      </c>
      <c r="D509" t="s">
        <v>1756</v>
      </c>
      <c r="E509" t="s">
        <v>545</v>
      </c>
      <c r="F509">
        <v>1500</v>
      </c>
      <c r="G509">
        <v>0.70194999999999996</v>
      </c>
      <c r="H509">
        <v>1052.925</v>
      </c>
      <c r="I509" t="s">
        <v>541</v>
      </c>
    </row>
    <row r="510" spans="1:9" x14ac:dyDescent="0.25">
      <c r="A510" t="s">
        <v>220</v>
      </c>
      <c r="B510" t="s">
        <v>588</v>
      </c>
      <c r="C510" t="s">
        <v>1757</v>
      </c>
      <c r="D510" t="s">
        <v>1758</v>
      </c>
      <c r="E510" t="s">
        <v>545</v>
      </c>
      <c r="F510">
        <v>1500</v>
      </c>
      <c r="G510">
        <v>0.70194999999999996</v>
      </c>
      <c r="H510">
        <v>1052.925</v>
      </c>
      <c r="I510" t="s">
        <v>541</v>
      </c>
    </row>
    <row r="511" spans="1:9" x14ac:dyDescent="0.25">
      <c r="A511" t="s">
        <v>220</v>
      </c>
      <c r="B511" t="s">
        <v>588</v>
      </c>
      <c r="C511" t="s">
        <v>1759</v>
      </c>
      <c r="D511" t="s">
        <v>1760</v>
      </c>
      <c r="E511" t="s">
        <v>545</v>
      </c>
      <c r="F511">
        <v>8500</v>
      </c>
      <c r="G511">
        <v>0.32886467784179196</v>
      </c>
      <c r="H511">
        <v>2795.3497616552318</v>
      </c>
      <c r="I511" t="s">
        <v>541</v>
      </c>
    </row>
    <row r="512" spans="1:9" x14ac:dyDescent="0.25">
      <c r="A512" t="s">
        <v>220</v>
      </c>
      <c r="B512" t="s">
        <v>588</v>
      </c>
      <c r="C512" t="s">
        <v>1761</v>
      </c>
      <c r="D512" t="s">
        <v>1762</v>
      </c>
      <c r="E512" t="s">
        <v>545</v>
      </c>
      <c r="F512">
        <v>10500</v>
      </c>
      <c r="G512">
        <v>0.480290245331912</v>
      </c>
      <c r="H512">
        <v>5043.047575985076</v>
      </c>
      <c r="I512" t="s">
        <v>541</v>
      </c>
    </row>
    <row r="513" spans="1:9" x14ac:dyDescent="0.25">
      <c r="A513" t="s">
        <v>220</v>
      </c>
      <c r="B513" t="s">
        <v>588</v>
      </c>
      <c r="C513" t="s">
        <v>1763</v>
      </c>
      <c r="D513" t="s">
        <v>1764</v>
      </c>
      <c r="E513" t="s">
        <v>545</v>
      </c>
      <c r="F513">
        <v>8250</v>
      </c>
      <c r="G513">
        <v>0.48134959417034645</v>
      </c>
      <c r="H513">
        <v>3971.1341519053581</v>
      </c>
      <c r="I513" t="s">
        <v>541</v>
      </c>
    </row>
    <row r="514" spans="1:9" x14ac:dyDescent="0.25">
      <c r="A514" t="s">
        <v>220</v>
      </c>
      <c r="B514" t="s">
        <v>588</v>
      </c>
      <c r="C514" t="s">
        <v>1765</v>
      </c>
      <c r="D514" t="s">
        <v>1766</v>
      </c>
      <c r="E514" t="s">
        <v>545</v>
      </c>
      <c r="F514">
        <v>9000</v>
      </c>
      <c r="G514">
        <v>0.5252</v>
      </c>
      <c r="H514">
        <v>4726.8</v>
      </c>
      <c r="I514" t="s">
        <v>541</v>
      </c>
    </row>
    <row r="515" spans="1:9" x14ac:dyDescent="0.25">
      <c r="A515" t="s">
        <v>220</v>
      </c>
      <c r="B515" t="s">
        <v>588</v>
      </c>
      <c r="C515" t="s">
        <v>1767</v>
      </c>
      <c r="D515" t="s">
        <v>1768</v>
      </c>
      <c r="E515" t="s">
        <v>545</v>
      </c>
      <c r="F515">
        <v>8300</v>
      </c>
      <c r="G515">
        <v>0.51541355407119638</v>
      </c>
      <c r="H515">
        <v>4277.9324987909304</v>
      </c>
      <c r="I515" t="s">
        <v>541</v>
      </c>
    </row>
    <row r="516" spans="1:9" x14ac:dyDescent="0.25">
      <c r="A516" t="s">
        <v>220</v>
      </c>
      <c r="B516" t="s">
        <v>588</v>
      </c>
      <c r="C516" t="s">
        <v>1769</v>
      </c>
      <c r="D516" t="s">
        <v>1770</v>
      </c>
      <c r="E516" t="s">
        <v>545</v>
      </c>
      <c r="F516">
        <v>9200</v>
      </c>
      <c r="G516">
        <v>0.68175000000000008</v>
      </c>
      <c r="H516">
        <v>6272.1</v>
      </c>
      <c r="I516" t="s">
        <v>541</v>
      </c>
    </row>
    <row r="517" spans="1:9" x14ac:dyDescent="0.25">
      <c r="A517" t="s">
        <v>220</v>
      </c>
      <c r="B517" t="s">
        <v>588</v>
      </c>
      <c r="C517" t="s">
        <v>1771</v>
      </c>
      <c r="D517" t="s">
        <v>1772</v>
      </c>
      <c r="E517" t="s">
        <v>545</v>
      </c>
      <c r="F517">
        <v>7500</v>
      </c>
      <c r="G517">
        <v>0.39895000000000003</v>
      </c>
      <c r="H517">
        <v>2992.125</v>
      </c>
      <c r="I517" t="s">
        <v>541</v>
      </c>
    </row>
    <row r="518" spans="1:9" x14ac:dyDescent="0.25">
      <c r="A518" t="s">
        <v>220</v>
      </c>
      <c r="B518" t="s">
        <v>588</v>
      </c>
      <c r="C518" t="s">
        <v>1773</v>
      </c>
      <c r="D518" t="s">
        <v>1774</v>
      </c>
      <c r="E518" t="s">
        <v>545</v>
      </c>
      <c r="F518">
        <v>7498</v>
      </c>
      <c r="G518">
        <v>0.47469999999999996</v>
      </c>
      <c r="H518">
        <v>3559.3005999999996</v>
      </c>
      <c r="I518" t="s">
        <v>541</v>
      </c>
    </row>
    <row r="519" spans="1:9" x14ac:dyDescent="0.25">
      <c r="A519" t="s">
        <v>220</v>
      </c>
      <c r="B519" t="s">
        <v>588</v>
      </c>
      <c r="C519" t="s">
        <v>1775</v>
      </c>
      <c r="D519" t="s">
        <v>1776</v>
      </c>
      <c r="E519" t="s">
        <v>545</v>
      </c>
      <c r="F519">
        <v>3730</v>
      </c>
      <c r="G519">
        <v>0.505</v>
      </c>
      <c r="H519">
        <v>1883.65</v>
      </c>
      <c r="I519" t="s">
        <v>541</v>
      </c>
    </row>
    <row r="520" spans="1:9" x14ac:dyDescent="0.25">
      <c r="A520" t="s">
        <v>220</v>
      </c>
      <c r="B520" t="s">
        <v>588</v>
      </c>
      <c r="C520" t="s">
        <v>1777</v>
      </c>
      <c r="D520" t="s">
        <v>1778</v>
      </c>
      <c r="E520" t="s">
        <v>545</v>
      </c>
      <c r="F520">
        <v>6930</v>
      </c>
      <c r="G520">
        <v>0.57569999999999999</v>
      </c>
      <c r="H520">
        <v>3989.6010000000001</v>
      </c>
      <c r="I520" t="s">
        <v>541</v>
      </c>
    </row>
    <row r="521" spans="1:9" x14ac:dyDescent="0.25">
      <c r="A521" t="s">
        <v>220</v>
      </c>
      <c r="B521" t="s">
        <v>588</v>
      </c>
      <c r="C521" t="s">
        <v>1779</v>
      </c>
      <c r="D521" t="s">
        <v>1780</v>
      </c>
      <c r="E521" t="s">
        <v>545</v>
      </c>
      <c r="F521">
        <v>3145</v>
      </c>
      <c r="G521">
        <v>0.55044999999999999</v>
      </c>
      <c r="H521">
        <v>1731.16525</v>
      </c>
      <c r="I521" t="s">
        <v>541</v>
      </c>
    </row>
    <row r="522" spans="1:9" x14ac:dyDescent="0.25">
      <c r="A522" t="s">
        <v>220</v>
      </c>
      <c r="B522" t="s">
        <v>588</v>
      </c>
      <c r="C522" t="s">
        <v>1781</v>
      </c>
      <c r="D522" t="s">
        <v>1782</v>
      </c>
      <c r="E522" t="s">
        <v>545</v>
      </c>
      <c r="F522">
        <v>3835</v>
      </c>
      <c r="G522">
        <v>0.68679999999999997</v>
      </c>
      <c r="H522">
        <v>2633.8779999999997</v>
      </c>
      <c r="I522" t="s">
        <v>541</v>
      </c>
    </row>
    <row r="523" spans="1:9" x14ac:dyDescent="0.25">
      <c r="A523" t="s">
        <v>220</v>
      </c>
      <c r="B523" t="s">
        <v>588</v>
      </c>
      <c r="C523" t="s">
        <v>1783</v>
      </c>
      <c r="D523" t="s">
        <v>1784</v>
      </c>
      <c r="E523" t="s">
        <v>545</v>
      </c>
      <c r="F523">
        <v>2080</v>
      </c>
      <c r="G523">
        <v>0.22219999999999998</v>
      </c>
      <c r="H523">
        <v>462.17599999999999</v>
      </c>
      <c r="I523" t="s">
        <v>541</v>
      </c>
    </row>
    <row r="524" spans="1:9" x14ac:dyDescent="0.25">
      <c r="A524" t="s">
        <v>220</v>
      </c>
      <c r="B524" t="s">
        <v>588</v>
      </c>
      <c r="C524" t="s">
        <v>1785</v>
      </c>
      <c r="D524" t="s">
        <v>1786</v>
      </c>
      <c r="E524" t="s">
        <v>545</v>
      </c>
      <c r="F524">
        <v>2860</v>
      </c>
      <c r="G524">
        <v>0.38380000000000003</v>
      </c>
      <c r="H524">
        <v>1097.6680000000001</v>
      </c>
      <c r="I524" t="s">
        <v>541</v>
      </c>
    </row>
    <row r="525" spans="1:9" x14ac:dyDescent="0.25">
      <c r="A525" t="s">
        <v>220</v>
      </c>
      <c r="B525" t="s">
        <v>588</v>
      </c>
      <c r="C525" t="s">
        <v>1787</v>
      </c>
      <c r="D525" t="s">
        <v>1788</v>
      </c>
      <c r="E525" t="s">
        <v>545</v>
      </c>
      <c r="F525">
        <v>3480</v>
      </c>
      <c r="G525">
        <v>0.38379999999999992</v>
      </c>
      <c r="H525">
        <v>1335.6239999999998</v>
      </c>
      <c r="I525" t="s">
        <v>541</v>
      </c>
    </row>
    <row r="526" spans="1:9" x14ac:dyDescent="0.25">
      <c r="A526" t="s">
        <v>220</v>
      </c>
      <c r="B526" t="s">
        <v>588</v>
      </c>
      <c r="C526" t="s">
        <v>1789</v>
      </c>
      <c r="D526" t="s">
        <v>1790</v>
      </c>
      <c r="E526" t="s">
        <v>545</v>
      </c>
      <c r="F526">
        <v>9700</v>
      </c>
      <c r="G526">
        <v>0.11614409797688732</v>
      </c>
      <c r="H526">
        <v>1126.597750375807</v>
      </c>
      <c r="I526" t="s">
        <v>541</v>
      </c>
    </row>
    <row r="527" spans="1:9" x14ac:dyDescent="0.25">
      <c r="A527" t="s">
        <v>220</v>
      </c>
      <c r="B527" t="s">
        <v>588</v>
      </c>
      <c r="C527" t="s">
        <v>1791</v>
      </c>
      <c r="D527" t="s">
        <v>1792</v>
      </c>
      <c r="E527" t="s">
        <v>545</v>
      </c>
      <c r="F527">
        <v>8600</v>
      </c>
      <c r="G527">
        <v>0.11615</v>
      </c>
      <c r="H527">
        <v>998.89</v>
      </c>
      <c r="I527" t="s">
        <v>541</v>
      </c>
    </row>
    <row r="528" spans="1:9" x14ac:dyDescent="0.25">
      <c r="A528" t="s">
        <v>220</v>
      </c>
      <c r="B528" t="s">
        <v>588</v>
      </c>
      <c r="C528" t="s">
        <v>1793</v>
      </c>
      <c r="D528" t="s">
        <v>1794</v>
      </c>
      <c r="E528" t="s">
        <v>545</v>
      </c>
      <c r="F528">
        <v>7500</v>
      </c>
      <c r="G528">
        <v>0.1313</v>
      </c>
      <c r="H528">
        <v>984.75</v>
      </c>
      <c r="I528" t="s">
        <v>541</v>
      </c>
    </row>
    <row r="529" spans="1:9" x14ac:dyDescent="0.25">
      <c r="A529" t="s">
        <v>220</v>
      </c>
      <c r="B529" t="s">
        <v>588</v>
      </c>
      <c r="C529" t="s">
        <v>1795</v>
      </c>
      <c r="D529" t="s">
        <v>1796</v>
      </c>
      <c r="E529" t="s">
        <v>545</v>
      </c>
      <c r="F529">
        <v>900</v>
      </c>
      <c r="G529">
        <v>0.1212</v>
      </c>
      <c r="H529">
        <v>109.08</v>
      </c>
      <c r="I529" t="s">
        <v>541</v>
      </c>
    </row>
    <row r="530" spans="1:9" x14ac:dyDescent="0.25">
      <c r="A530" t="s">
        <v>220</v>
      </c>
      <c r="B530" t="s">
        <v>588</v>
      </c>
      <c r="C530" t="s">
        <v>1799</v>
      </c>
      <c r="D530" t="s">
        <v>1800</v>
      </c>
      <c r="E530" t="s">
        <v>545</v>
      </c>
      <c r="F530">
        <v>1075</v>
      </c>
      <c r="G530">
        <v>0.51746304364598239</v>
      </c>
      <c r="H530">
        <v>556.27277191943108</v>
      </c>
      <c r="I530" t="s">
        <v>541</v>
      </c>
    </row>
    <row r="531" spans="1:9" x14ac:dyDescent="0.25">
      <c r="A531" t="s">
        <v>220</v>
      </c>
      <c r="B531" t="s">
        <v>588</v>
      </c>
      <c r="C531" t="s">
        <v>1801</v>
      </c>
      <c r="D531" t="s">
        <v>1802</v>
      </c>
      <c r="E531" t="s">
        <v>545</v>
      </c>
      <c r="F531">
        <v>57</v>
      </c>
      <c r="G531">
        <v>0.22000000000000003</v>
      </c>
      <c r="H531">
        <v>12.540000000000001</v>
      </c>
      <c r="I531" t="s">
        <v>541</v>
      </c>
    </row>
    <row r="532" spans="1:9" x14ac:dyDescent="0.25">
      <c r="A532" t="s">
        <v>220</v>
      </c>
      <c r="B532" t="s">
        <v>588</v>
      </c>
      <c r="C532" t="s">
        <v>1803</v>
      </c>
      <c r="D532" t="s">
        <v>1804</v>
      </c>
      <c r="E532" t="s">
        <v>545</v>
      </c>
      <c r="F532">
        <v>230</v>
      </c>
      <c r="G532">
        <v>0.253</v>
      </c>
      <c r="H532">
        <v>58.19</v>
      </c>
      <c r="I532" t="s">
        <v>541</v>
      </c>
    </row>
    <row r="533" spans="1:9" x14ac:dyDescent="0.25">
      <c r="A533" t="s">
        <v>220</v>
      </c>
      <c r="B533" t="s">
        <v>588</v>
      </c>
      <c r="C533" t="s">
        <v>1805</v>
      </c>
      <c r="D533" t="s">
        <v>1806</v>
      </c>
      <c r="E533" t="s">
        <v>545</v>
      </c>
      <c r="F533">
        <v>35</v>
      </c>
      <c r="G533">
        <v>0.29099999999999998</v>
      </c>
      <c r="H533">
        <v>10.184999999999999</v>
      </c>
      <c r="I533" t="s">
        <v>541</v>
      </c>
    </row>
    <row r="534" spans="1:9" x14ac:dyDescent="0.25">
      <c r="A534" t="s">
        <v>220</v>
      </c>
      <c r="B534" t="s">
        <v>588</v>
      </c>
      <c r="C534" t="s">
        <v>1807</v>
      </c>
      <c r="D534" t="s">
        <v>1808</v>
      </c>
      <c r="E534" t="s">
        <v>545</v>
      </c>
      <c r="F534">
        <v>168</v>
      </c>
      <c r="G534">
        <v>0.10925000000000001</v>
      </c>
      <c r="H534">
        <v>18.354000000000003</v>
      </c>
      <c r="I534" t="s">
        <v>541</v>
      </c>
    </row>
    <row r="535" spans="1:9" x14ac:dyDescent="0.25">
      <c r="A535" t="s">
        <v>220</v>
      </c>
      <c r="B535" t="s">
        <v>588</v>
      </c>
      <c r="C535" t="s">
        <v>1809</v>
      </c>
      <c r="D535" t="s">
        <v>1810</v>
      </c>
      <c r="E535" t="s">
        <v>545</v>
      </c>
      <c r="F535">
        <v>340</v>
      </c>
      <c r="G535">
        <v>0.13355081967213117</v>
      </c>
      <c r="H535">
        <v>45.407278688524599</v>
      </c>
      <c r="I535" t="s">
        <v>541</v>
      </c>
    </row>
    <row r="536" spans="1:9" x14ac:dyDescent="0.25">
      <c r="A536" t="s">
        <v>220</v>
      </c>
      <c r="B536" t="s">
        <v>588</v>
      </c>
      <c r="C536" t="s">
        <v>1811</v>
      </c>
      <c r="D536" t="s">
        <v>1812</v>
      </c>
      <c r="E536" t="s">
        <v>545</v>
      </c>
      <c r="F536">
        <v>103</v>
      </c>
      <c r="G536">
        <v>0.152</v>
      </c>
      <c r="H536">
        <v>15.655999999999999</v>
      </c>
      <c r="I536" t="s">
        <v>541</v>
      </c>
    </row>
    <row r="537" spans="1:9" x14ac:dyDescent="0.25">
      <c r="A537" t="s">
        <v>220</v>
      </c>
      <c r="B537" t="s">
        <v>588</v>
      </c>
      <c r="C537" t="s">
        <v>1813</v>
      </c>
      <c r="D537" t="s">
        <v>1814</v>
      </c>
      <c r="E537" t="s">
        <v>545</v>
      </c>
      <c r="F537">
        <v>653</v>
      </c>
      <c r="G537">
        <v>0.19</v>
      </c>
      <c r="H537">
        <v>124.07000000000001</v>
      </c>
      <c r="I537" t="s">
        <v>541</v>
      </c>
    </row>
    <row r="538" spans="1:9" x14ac:dyDescent="0.25">
      <c r="A538" t="s">
        <v>220</v>
      </c>
      <c r="B538" t="s">
        <v>588</v>
      </c>
      <c r="C538" t="s">
        <v>1815</v>
      </c>
      <c r="D538" t="s">
        <v>1816</v>
      </c>
      <c r="E538" t="s">
        <v>545</v>
      </c>
      <c r="F538">
        <v>14</v>
      </c>
      <c r="G538">
        <v>0.11</v>
      </c>
      <c r="H538">
        <v>1.54</v>
      </c>
      <c r="I538" t="s">
        <v>541</v>
      </c>
    </row>
    <row r="539" spans="1:9" x14ac:dyDescent="0.25">
      <c r="A539" t="s">
        <v>220</v>
      </c>
      <c r="B539" t="s">
        <v>588</v>
      </c>
      <c r="C539" t="s">
        <v>1817</v>
      </c>
      <c r="D539" t="s">
        <v>1818</v>
      </c>
      <c r="E539" t="s">
        <v>545</v>
      </c>
      <c r="F539">
        <v>267</v>
      </c>
      <c r="G539">
        <v>0.12654081632653061</v>
      </c>
      <c r="H539">
        <v>33.786397959183674</v>
      </c>
      <c r="I539" t="s">
        <v>541</v>
      </c>
    </row>
    <row r="540" spans="1:9" x14ac:dyDescent="0.25">
      <c r="A540" t="s">
        <v>220</v>
      </c>
      <c r="B540" t="s">
        <v>588</v>
      </c>
      <c r="C540" t="s">
        <v>1819</v>
      </c>
      <c r="D540" t="s">
        <v>1820</v>
      </c>
      <c r="E540" t="s">
        <v>545</v>
      </c>
      <c r="F540">
        <v>1000</v>
      </c>
      <c r="G540">
        <v>0.14552119499394428</v>
      </c>
      <c r="H540">
        <v>145.52119499394428</v>
      </c>
      <c r="I540" t="s">
        <v>541</v>
      </c>
    </row>
    <row r="541" spans="1:9" x14ac:dyDescent="0.25">
      <c r="A541" t="s">
        <v>220</v>
      </c>
      <c r="B541" t="s">
        <v>588</v>
      </c>
      <c r="C541" t="s">
        <v>1821</v>
      </c>
      <c r="D541" t="s">
        <v>1822</v>
      </c>
      <c r="E541" t="s">
        <v>545</v>
      </c>
      <c r="F541">
        <v>780</v>
      </c>
      <c r="G541">
        <v>5.3529999999999998</v>
      </c>
      <c r="H541">
        <v>4175.34</v>
      </c>
      <c r="I541" t="s">
        <v>541</v>
      </c>
    </row>
    <row r="542" spans="1:9" x14ac:dyDescent="0.25">
      <c r="A542" t="s">
        <v>220</v>
      </c>
      <c r="B542" t="s">
        <v>588</v>
      </c>
      <c r="C542" t="s">
        <v>1823</v>
      </c>
      <c r="D542" t="s">
        <v>1824</v>
      </c>
      <c r="E542" t="s">
        <v>545</v>
      </c>
      <c r="F542">
        <v>520</v>
      </c>
      <c r="G542">
        <v>5.5549999999999997</v>
      </c>
      <c r="H542">
        <v>2888.6</v>
      </c>
      <c r="I542" t="s">
        <v>541</v>
      </c>
    </row>
    <row r="543" spans="1:9" x14ac:dyDescent="0.25">
      <c r="A543" t="s">
        <v>220</v>
      </c>
      <c r="B543" t="s">
        <v>588</v>
      </c>
      <c r="C543" t="s">
        <v>1825</v>
      </c>
      <c r="D543" t="s">
        <v>1826</v>
      </c>
      <c r="E543" t="s">
        <v>545</v>
      </c>
      <c r="F543">
        <v>895</v>
      </c>
      <c r="G543">
        <v>4.8479999999999999</v>
      </c>
      <c r="H543">
        <v>4338.96</v>
      </c>
      <c r="I543" t="s">
        <v>541</v>
      </c>
    </row>
    <row r="544" spans="1:9" x14ac:dyDescent="0.25">
      <c r="A544" t="s">
        <v>220</v>
      </c>
      <c r="B544" t="s">
        <v>588</v>
      </c>
      <c r="C544" t="s">
        <v>1827</v>
      </c>
      <c r="D544" t="s">
        <v>1828</v>
      </c>
      <c r="E544" t="s">
        <v>545</v>
      </c>
      <c r="F544">
        <v>1000</v>
      </c>
      <c r="G544">
        <v>7.3730000000000002</v>
      </c>
      <c r="H544">
        <v>7373</v>
      </c>
      <c r="I544" t="s">
        <v>541</v>
      </c>
    </row>
    <row r="545" spans="1:9" x14ac:dyDescent="0.25">
      <c r="A545" t="s">
        <v>220</v>
      </c>
      <c r="B545" t="s">
        <v>588</v>
      </c>
      <c r="C545" t="s">
        <v>1829</v>
      </c>
      <c r="D545" t="s">
        <v>1830</v>
      </c>
      <c r="E545" t="s">
        <v>545</v>
      </c>
      <c r="F545">
        <v>866</v>
      </c>
      <c r="G545">
        <v>5.05</v>
      </c>
      <c r="H545">
        <v>4373.3</v>
      </c>
      <c r="I545" t="s">
        <v>541</v>
      </c>
    </row>
    <row r="546" spans="1:9" x14ac:dyDescent="0.25">
      <c r="A546" t="s">
        <v>220</v>
      </c>
      <c r="B546" t="s">
        <v>588</v>
      </c>
      <c r="C546" t="s">
        <v>1831</v>
      </c>
      <c r="D546" t="s">
        <v>1832</v>
      </c>
      <c r="E546" t="s">
        <v>545</v>
      </c>
      <c r="F546">
        <v>660</v>
      </c>
      <c r="G546">
        <v>5.9589999999999996</v>
      </c>
      <c r="H546">
        <v>3932.9399999999996</v>
      </c>
      <c r="I546" t="s">
        <v>541</v>
      </c>
    </row>
    <row r="547" spans="1:9" x14ac:dyDescent="0.25">
      <c r="A547" t="s">
        <v>220</v>
      </c>
      <c r="B547" t="s">
        <v>588</v>
      </c>
      <c r="C547" t="s">
        <v>1833</v>
      </c>
      <c r="D547" t="s">
        <v>1834</v>
      </c>
      <c r="E547" t="s">
        <v>545</v>
      </c>
      <c r="F547">
        <v>750</v>
      </c>
      <c r="G547">
        <v>6.3630000000000004</v>
      </c>
      <c r="H547">
        <v>4772.25</v>
      </c>
      <c r="I547" t="s">
        <v>541</v>
      </c>
    </row>
    <row r="548" spans="1:9" x14ac:dyDescent="0.25">
      <c r="A548" t="s">
        <v>220</v>
      </c>
      <c r="B548" t="s">
        <v>588</v>
      </c>
      <c r="C548" t="s">
        <v>1835</v>
      </c>
      <c r="D548" t="s">
        <v>1836</v>
      </c>
      <c r="E548" t="s">
        <v>545</v>
      </c>
      <c r="F548">
        <v>909</v>
      </c>
      <c r="G548">
        <v>7.676000000000001</v>
      </c>
      <c r="H548">
        <v>6977.4840000000013</v>
      </c>
      <c r="I548" t="s">
        <v>541</v>
      </c>
    </row>
    <row r="549" spans="1:9" x14ac:dyDescent="0.25">
      <c r="A549" t="s">
        <v>220</v>
      </c>
      <c r="B549" t="s">
        <v>588</v>
      </c>
      <c r="C549" t="s">
        <v>7548</v>
      </c>
      <c r="D549" t="s">
        <v>7549</v>
      </c>
      <c r="E549" t="s">
        <v>545</v>
      </c>
      <c r="F549">
        <v>300</v>
      </c>
      <c r="G549">
        <v>5.2519999999999998</v>
      </c>
      <c r="H549">
        <v>1575.6</v>
      </c>
      <c r="I549" t="s">
        <v>541</v>
      </c>
    </row>
    <row r="550" spans="1:9" x14ac:dyDescent="0.25">
      <c r="A550" t="s">
        <v>220</v>
      </c>
      <c r="B550" t="s">
        <v>588</v>
      </c>
      <c r="C550" t="s">
        <v>1837</v>
      </c>
      <c r="D550" t="s">
        <v>1838</v>
      </c>
      <c r="E550" t="s">
        <v>545</v>
      </c>
      <c r="F550">
        <v>1100</v>
      </c>
      <c r="G550">
        <v>5.3529999999999998</v>
      </c>
      <c r="H550">
        <v>5888.3</v>
      </c>
      <c r="I550" t="s">
        <v>541</v>
      </c>
    </row>
    <row r="551" spans="1:9" x14ac:dyDescent="0.25">
      <c r="A551" t="s">
        <v>220</v>
      </c>
      <c r="B551" t="s">
        <v>588</v>
      </c>
      <c r="C551" t="s">
        <v>1839</v>
      </c>
      <c r="D551" t="s">
        <v>1840</v>
      </c>
      <c r="E551" t="s">
        <v>545</v>
      </c>
      <c r="F551">
        <v>464</v>
      </c>
      <c r="G551">
        <v>5.5549999999999997</v>
      </c>
      <c r="H551">
        <v>2577.52</v>
      </c>
      <c r="I551" t="s">
        <v>541</v>
      </c>
    </row>
    <row r="552" spans="1:9" x14ac:dyDescent="0.25">
      <c r="A552" t="s">
        <v>220</v>
      </c>
      <c r="B552" t="s">
        <v>588</v>
      </c>
      <c r="C552" t="s">
        <v>7550</v>
      </c>
      <c r="D552" t="s">
        <v>7551</v>
      </c>
      <c r="E552" t="s">
        <v>545</v>
      </c>
      <c r="F552">
        <v>175</v>
      </c>
      <c r="G552">
        <v>4.8479999999999999</v>
      </c>
      <c r="H552">
        <v>848.4</v>
      </c>
      <c r="I552" t="s">
        <v>541</v>
      </c>
    </row>
    <row r="553" spans="1:9" x14ac:dyDescent="0.25">
      <c r="A553" t="s">
        <v>220</v>
      </c>
      <c r="B553" t="s">
        <v>588</v>
      </c>
      <c r="C553" t="s">
        <v>7552</v>
      </c>
      <c r="D553" t="s">
        <v>7553</v>
      </c>
      <c r="E553" t="s">
        <v>545</v>
      </c>
      <c r="F553">
        <v>90</v>
      </c>
      <c r="G553">
        <v>4.8479999999999999</v>
      </c>
      <c r="H553">
        <v>436.32</v>
      </c>
      <c r="I553" t="s">
        <v>541</v>
      </c>
    </row>
    <row r="554" spans="1:9" x14ac:dyDescent="0.25">
      <c r="A554" t="s">
        <v>220</v>
      </c>
      <c r="B554" t="s">
        <v>588</v>
      </c>
      <c r="C554" t="s">
        <v>1841</v>
      </c>
      <c r="D554" t="s">
        <v>1842</v>
      </c>
      <c r="E554" t="s">
        <v>545</v>
      </c>
      <c r="F554">
        <v>769</v>
      </c>
      <c r="G554">
        <v>7.3730000000000002</v>
      </c>
      <c r="H554">
        <v>5669.8370000000004</v>
      </c>
      <c r="I554" t="s">
        <v>541</v>
      </c>
    </row>
    <row r="555" spans="1:9" x14ac:dyDescent="0.25">
      <c r="A555" t="s">
        <v>220</v>
      </c>
      <c r="B555" t="s">
        <v>588</v>
      </c>
      <c r="C555" t="s">
        <v>1843</v>
      </c>
      <c r="D555" t="s">
        <v>1844</v>
      </c>
      <c r="E555" t="s">
        <v>545</v>
      </c>
      <c r="F555">
        <v>975</v>
      </c>
      <c r="G555">
        <v>7.3730000000000002</v>
      </c>
      <c r="H555">
        <v>7188.6750000000002</v>
      </c>
      <c r="I555" t="s">
        <v>541</v>
      </c>
    </row>
    <row r="556" spans="1:9" x14ac:dyDescent="0.25">
      <c r="A556" t="s">
        <v>220</v>
      </c>
      <c r="B556" t="s">
        <v>588</v>
      </c>
      <c r="C556" t="s">
        <v>1845</v>
      </c>
      <c r="D556" t="s">
        <v>1846</v>
      </c>
      <c r="E556" t="s">
        <v>545</v>
      </c>
      <c r="F556">
        <v>1083</v>
      </c>
      <c r="G556">
        <v>4.8985000000000003</v>
      </c>
      <c r="H556">
        <v>5305.0754999999999</v>
      </c>
      <c r="I556" t="s">
        <v>541</v>
      </c>
    </row>
    <row r="557" spans="1:9" x14ac:dyDescent="0.25">
      <c r="A557" t="s">
        <v>220</v>
      </c>
      <c r="B557" t="s">
        <v>588</v>
      </c>
      <c r="C557" t="s">
        <v>1847</v>
      </c>
      <c r="D557" t="s">
        <v>1846</v>
      </c>
      <c r="E557" t="s">
        <v>545</v>
      </c>
      <c r="F557">
        <v>948</v>
      </c>
      <c r="G557">
        <v>4.964672413793104</v>
      </c>
      <c r="H557">
        <v>4706.5094482758623</v>
      </c>
      <c r="I557" t="s">
        <v>541</v>
      </c>
    </row>
    <row r="558" spans="1:9" x14ac:dyDescent="0.25">
      <c r="A558" t="s">
        <v>220</v>
      </c>
      <c r="B558" t="s">
        <v>588</v>
      </c>
      <c r="C558" t="s">
        <v>1848</v>
      </c>
      <c r="D558" t="s">
        <v>1849</v>
      </c>
      <c r="E558" t="s">
        <v>545</v>
      </c>
      <c r="F558">
        <v>89</v>
      </c>
      <c r="G558">
        <v>5.7569999999999997</v>
      </c>
      <c r="H558">
        <v>512.37299999999993</v>
      </c>
      <c r="I558" t="s">
        <v>541</v>
      </c>
    </row>
    <row r="559" spans="1:9" x14ac:dyDescent="0.25">
      <c r="A559" t="s">
        <v>220</v>
      </c>
      <c r="B559" t="s">
        <v>588</v>
      </c>
      <c r="C559" t="s">
        <v>1850</v>
      </c>
      <c r="D559" t="s">
        <v>1851</v>
      </c>
      <c r="E559" t="s">
        <v>545</v>
      </c>
      <c r="F559">
        <v>665</v>
      </c>
      <c r="G559">
        <v>5.9589999999999996</v>
      </c>
      <c r="H559">
        <v>3962.7349999999997</v>
      </c>
      <c r="I559" t="s">
        <v>541</v>
      </c>
    </row>
    <row r="560" spans="1:9" x14ac:dyDescent="0.25">
      <c r="A560" t="s">
        <v>220</v>
      </c>
      <c r="B560" t="s">
        <v>588</v>
      </c>
      <c r="C560" t="s">
        <v>1852</v>
      </c>
      <c r="D560" t="s">
        <v>1853</v>
      </c>
      <c r="E560" t="s">
        <v>545</v>
      </c>
      <c r="F560">
        <v>40</v>
      </c>
      <c r="G560">
        <v>6.1609999999999996</v>
      </c>
      <c r="H560">
        <v>246.44</v>
      </c>
      <c r="I560" t="s">
        <v>541</v>
      </c>
    </row>
    <row r="561" spans="1:9" x14ac:dyDescent="0.25">
      <c r="A561" t="s">
        <v>220</v>
      </c>
      <c r="B561" t="s">
        <v>588</v>
      </c>
      <c r="C561" t="s">
        <v>7554</v>
      </c>
      <c r="D561" t="s">
        <v>7555</v>
      </c>
      <c r="E561" t="s">
        <v>545</v>
      </c>
      <c r="F561">
        <v>39</v>
      </c>
      <c r="G561">
        <v>6.1609999999999996</v>
      </c>
      <c r="H561">
        <v>240.279</v>
      </c>
      <c r="I561" t="s">
        <v>541</v>
      </c>
    </row>
    <row r="562" spans="1:9" x14ac:dyDescent="0.25">
      <c r="A562" t="s">
        <v>220</v>
      </c>
      <c r="B562" t="s">
        <v>588</v>
      </c>
      <c r="C562" t="s">
        <v>1854</v>
      </c>
      <c r="D562" t="s">
        <v>1855</v>
      </c>
      <c r="E562" t="s">
        <v>545</v>
      </c>
      <c r="F562">
        <v>825</v>
      </c>
      <c r="G562">
        <v>6.3630000000000004</v>
      </c>
      <c r="H562">
        <v>5249.4750000000004</v>
      </c>
      <c r="I562" t="s">
        <v>541</v>
      </c>
    </row>
    <row r="563" spans="1:9" x14ac:dyDescent="0.25">
      <c r="A563" t="s">
        <v>220</v>
      </c>
      <c r="B563" t="s">
        <v>588</v>
      </c>
      <c r="C563" t="s">
        <v>1856</v>
      </c>
      <c r="D563" t="s">
        <v>1857</v>
      </c>
      <c r="E563" t="s">
        <v>545</v>
      </c>
      <c r="F563">
        <v>550</v>
      </c>
      <c r="G563">
        <v>6.3630000000000004</v>
      </c>
      <c r="H563">
        <v>3499.65</v>
      </c>
      <c r="I563" t="s">
        <v>541</v>
      </c>
    </row>
    <row r="564" spans="1:9" x14ac:dyDescent="0.25">
      <c r="A564" t="s">
        <v>220</v>
      </c>
      <c r="B564" t="s">
        <v>588</v>
      </c>
      <c r="C564" t="s">
        <v>1858</v>
      </c>
      <c r="D564" t="s">
        <v>1859</v>
      </c>
      <c r="E564" t="s">
        <v>545</v>
      </c>
      <c r="F564">
        <v>600</v>
      </c>
      <c r="G564">
        <v>7.6760000000000019</v>
      </c>
      <c r="H564">
        <v>4605.6000000000013</v>
      </c>
      <c r="I564" t="s">
        <v>541</v>
      </c>
    </row>
    <row r="565" spans="1:9" x14ac:dyDescent="0.25">
      <c r="A565" t="s">
        <v>220</v>
      </c>
      <c r="B565" t="s">
        <v>588</v>
      </c>
      <c r="C565" t="s">
        <v>1860</v>
      </c>
      <c r="D565" t="s">
        <v>1861</v>
      </c>
      <c r="E565" t="s">
        <v>545</v>
      </c>
      <c r="F565">
        <v>300</v>
      </c>
      <c r="G565">
        <v>7.6760000000000002</v>
      </c>
      <c r="H565">
        <v>2302.8000000000002</v>
      </c>
      <c r="I565" t="s">
        <v>541</v>
      </c>
    </row>
    <row r="566" spans="1:9" x14ac:dyDescent="0.25">
      <c r="A566" t="s">
        <v>220</v>
      </c>
      <c r="B566" t="s">
        <v>588</v>
      </c>
      <c r="C566" t="s">
        <v>1862</v>
      </c>
      <c r="D566" t="s">
        <v>1863</v>
      </c>
      <c r="E566" t="s">
        <v>545</v>
      </c>
      <c r="F566">
        <v>420</v>
      </c>
      <c r="G566">
        <v>7.6760000000000002</v>
      </c>
      <c r="H566">
        <v>3223.92</v>
      </c>
      <c r="I566" t="s">
        <v>541</v>
      </c>
    </row>
    <row r="567" spans="1:9" x14ac:dyDescent="0.25">
      <c r="A567" t="s">
        <v>220</v>
      </c>
      <c r="B567" t="s">
        <v>588</v>
      </c>
      <c r="C567" t="s">
        <v>1864</v>
      </c>
      <c r="D567" t="s">
        <v>1865</v>
      </c>
      <c r="E567" t="s">
        <v>545</v>
      </c>
      <c r="F567">
        <v>80</v>
      </c>
      <c r="G567">
        <v>0.52629617977528087</v>
      </c>
      <c r="H567">
        <v>42.103694382022468</v>
      </c>
      <c r="I567" t="s">
        <v>541</v>
      </c>
    </row>
    <row r="568" spans="1:9" x14ac:dyDescent="0.25">
      <c r="A568" t="s">
        <v>220</v>
      </c>
      <c r="B568" t="s">
        <v>588</v>
      </c>
      <c r="C568" t="s">
        <v>7556</v>
      </c>
      <c r="D568" t="s">
        <v>7557</v>
      </c>
      <c r="E568" t="s">
        <v>545</v>
      </c>
      <c r="F568">
        <v>852</v>
      </c>
      <c r="G568">
        <v>0.39389999999999997</v>
      </c>
      <c r="H568">
        <v>335.6028</v>
      </c>
      <c r="I568" t="s">
        <v>541</v>
      </c>
    </row>
    <row r="569" spans="1:9" x14ac:dyDescent="0.25">
      <c r="A569" t="s">
        <v>220</v>
      </c>
      <c r="B569" t="s">
        <v>588</v>
      </c>
      <c r="C569" t="s">
        <v>7727</v>
      </c>
      <c r="D569" t="s">
        <v>7728</v>
      </c>
      <c r="E569" t="s">
        <v>545</v>
      </c>
      <c r="F569">
        <v>490</v>
      </c>
      <c r="G569">
        <v>0.35349999999999998</v>
      </c>
      <c r="H569">
        <v>173.215</v>
      </c>
      <c r="I569" t="s">
        <v>541</v>
      </c>
    </row>
    <row r="570" spans="1:9" x14ac:dyDescent="0.25">
      <c r="A570" t="s">
        <v>220</v>
      </c>
      <c r="B570" t="s">
        <v>588</v>
      </c>
      <c r="C570" t="s">
        <v>7729</v>
      </c>
      <c r="D570" t="s">
        <v>7730</v>
      </c>
      <c r="E570" t="s">
        <v>545</v>
      </c>
      <c r="F570">
        <v>515</v>
      </c>
      <c r="G570">
        <v>0.2525</v>
      </c>
      <c r="H570">
        <v>130.03749999999999</v>
      </c>
      <c r="I570" t="s">
        <v>541</v>
      </c>
    </row>
    <row r="571" spans="1:9" x14ac:dyDescent="0.25">
      <c r="A571" t="s">
        <v>220</v>
      </c>
      <c r="B571" t="s">
        <v>588</v>
      </c>
      <c r="C571" t="s">
        <v>662</v>
      </c>
      <c r="D571" t="s">
        <v>1866</v>
      </c>
      <c r="E571" t="s">
        <v>535</v>
      </c>
      <c r="F571">
        <v>288</v>
      </c>
      <c r="G571">
        <v>4.7564261532206524</v>
      </c>
      <c r="H571">
        <v>1369.8507321275479</v>
      </c>
      <c r="I571" t="s">
        <v>541</v>
      </c>
    </row>
    <row r="572" spans="1:9" x14ac:dyDescent="0.25">
      <c r="A572" t="s">
        <v>220</v>
      </c>
      <c r="B572" t="s">
        <v>588</v>
      </c>
      <c r="C572" t="s">
        <v>1867</v>
      </c>
      <c r="D572" t="s">
        <v>1868</v>
      </c>
      <c r="E572" t="s">
        <v>535</v>
      </c>
      <c r="F572">
        <v>1315.2</v>
      </c>
      <c r="G572">
        <v>5.1157191885622915</v>
      </c>
      <c r="H572">
        <v>6728.193876797126</v>
      </c>
      <c r="I572" t="s">
        <v>541</v>
      </c>
    </row>
    <row r="573" spans="1:9" x14ac:dyDescent="0.25">
      <c r="A573" t="s">
        <v>220</v>
      </c>
      <c r="B573" t="s">
        <v>588</v>
      </c>
      <c r="C573" t="s">
        <v>1869</v>
      </c>
      <c r="D573" t="s">
        <v>1870</v>
      </c>
      <c r="E573" t="s">
        <v>535</v>
      </c>
      <c r="F573">
        <v>193</v>
      </c>
      <c r="G573">
        <v>7.0476825405579326</v>
      </c>
      <c r="H573">
        <v>1360.2027303276809</v>
      </c>
      <c r="I573" t="s">
        <v>541</v>
      </c>
    </row>
    <row r="574" spans="1:9" x14ac:dyDescent="0.25">
      <c r="A574" t="s">
        <v>220</v>
      </c>
      <c r="B574" t="s">
        <v>588</v>
      </c>
      <c r="C574" t="s">
        <v>1871</v>
      </c>
      <c r="D574" t="s">
        <v>1872</v>
      </c>
      <c r="E574" t="s">
        <v>535</v>
      </c>
      <c r="F574">
        <v>297.2</v>
      </c>
      <c r="G574">
        <v>6.9762636401470353</v>
      </c>
      <c r="H574">
        <v>2073.3455538516987</v>
      </c>
      <c r="I574" t="s">
        <v>541</v>
      </c>
    </row>
    <row r="575" spans="1:9" x14ac:dyDescent="0.25">
      <c r="A575" t="s">
        <v>220</v>
      </c>
      <c r="B575" t="s">
        <v>588</v>
      </c>
      <c r="C575" t="s">
        <v>1873</v>
      </c>
      <c r="D575" t="s">
        <v>1874</v>
      </c>
      <c r="E575" t="s">
        <v>535</v>
      </c>
      <c r="F575">
        <v>923.4</v>
      </c>
      <c r="G575">
        <v>4.8500000000000005</v>
      </c>
      <c r="H575">
        <v>4478.4900000000007</v>
      </c>
      <c r="I575" t="s">
        <v>541</v>
      </c>
    </row>
    <row r="576" spans="1:9" x14ac:dyDescent="0.25">
      <c r="A576" t="s">
        <v>220</v>
      </c>
      <c r="B576" t="s">
        <v>588</v>
      </c>
      <c r="C576" t="s">
        <v>1875</v>
      </c>
      <c r="D576" t="s">
        <v>1876</v>
      </c>
      <c r="E576" t="s">
        <v>535</v>
      </c>
      <c r="F576">
        <v>287.39999999999998</v>
      </c>
      <c r="G576">
        <v>6.9886879616954651</v>
      </c>
      <c r="H576">
        <v>2008.5489201912765</v>
      </c>
      <c r="I576" t="s">
        <v>541</v>
      </c>
    </row>
    <row r="577" spans="1:9" x14ac:dyDescent="0.25">
      <c r="A577" t="s">
        <v>220</v>
      </c>
      <c r="B577" t="s">
        <v>588</v>
      </c>
      <c r="C577" t="s">
        <v>1877</v>
      </c>
      <c r="D577" t="s">
        <v>1878</v>
      </c>
      <c r="E577" t="s">
        <v>535</v>
      </c>
      <c r="F577">
        <v>710</v>
      </c>
      <c r="G577">
        <v>7.0987832461235545</v>
      </c>
      <c r="H577">
        <v>5040.1361047477239</v>
      </c>
      <c r="I577" t="s">
        <v>541</v>
      </c>
    </row>
    <row r="578" spans="1:9" x14ac:dyDescent="0.25">
      <c r="A578" t="s">
        <v>220</v>
      </c>
      <c r="B578" t="s">
        <v>588</v>
      </c>
      <c r="C578" t="s">
        <v>1879</v>
      </c>
      <c r="D578" t="s">
        <v>1880</v>
      </c>
      <c r="E578" t="s">
        <v>545</v>
      </c>
      <c r="F578">
        <v>378</v>
      </c>
      <c r="G578">
        <v>6.0045750259176343</v>
      </c>
      <c r="H578">
        <v>2269.7293597968655</v>
      </c>
      <c r="I578" t="s">
        <v>541</v>
      </c>
    </row>
    <row r="579" spans="1:9" x14ac:dyDescent="0.25">
      <c r="A579" t="s">
        <v>220</v>
      </c>
      <c r="B579" t="s">
        <v>588</v>
      </c>
      <c r="C579" t="s">
        <v>1881</v>
      </c>
      <c r="D579" t="s">
        <v>1882</v>
      </c>
      <c r="E579" t="s">
        <v>545</v>
      </c>
      <c r="F579">
        <v>398</v>
      </c>
      <c r="G579">
        <v>31.227690029395145</v>
      </c>
      <c r="H579">
        <v>12428.620631699268</v>
      </c>
      <c r="I579" t="s">
        <v>541</v>
      </c>
    </row>
    <row r="580" spans="1:9" x14ac:dyDescent="0.25">
      <c r="A580" t="s">
        <v>220</v>
      </c>
      <c r="B580" t="s">
        <v>588</v>
      </c>
      <c r="C580" t="s">
        <v>1883</v>
      </c>
      <c r="D580" t="s">
        <v>1884</v>
      </c>
      <c r="E580" t="s">
        <v>545</v>
      </c>
      <c r="F580">
        <v>44</v>
      </c>
      <c r="G580">
        <v>17.112072879693891</v>
      </c>
      <c r="H580">
        <v>752.93120670653116</v>
      </c>
      <c r="I580" t="s">
        <v>541</v>
      </c>
    </row>
    <row r="581" spans="1:9" x14ac:dyDescent="0.25">
      <c r="A581" t="s">
        <v>220</v>
      </c>
      <c r="B581" t="s">
        <v>588</v>
      </c>
      <c r="C581" t="s">
        <v>1885</v>
      </c>
      <c r="D581" t="s">
        <v>1886</v>
      </c>
      <c r="E581" t="s">
        <v>545</v>
      </c>
      <c r="F581">
        <v>17</v>
      </c>
      <c r="G581">
        <v>17</v>
      </c>
      <c r="H581">
        <v>289</v>
      </c>
      <c r="I581" t="s">
        <v>541</v>
      </c>
    </row>
    <row r="582" spans="1:9" x14ac:dyDescent="0.25">
      <c r="A582" t="s">
        <v>220</v>
      </c>
      <c r="B582" t="s">
        <v>588</v>
      </c>
      <c r="C582" t="s">
        <v>1887</v>
      </c>
      <c r="D582" t="s">
        <v>1888</v>
      </c>
      <c r="E582" t="s">
        <v>545</v>
      </c>
      <c r="F582">
        <v>119</v>
      </c>
      <c r="G582">
        <v>27</v>
      </c>
      <c r="H582">
        <v>3213</v>
      </c>
      <c r="I582" t="s">
        <v>541</v>
      </c>
    </row>
    <row r="583" spans="1:9" x14ac:dyDescent="0.25">
      <c r="A583" t="s">
        <v>220</v>
      </c>
      <c r="B583" t="s">
        <v>588</v>
      </c>
      <c r="C583" t="s">
        <v>1889</v>
      </c>
      <c r="D583" t="s">
        <v>1890</v>
      </c>
      <c r="E583" t="s">
        <v>545</v>
      </c>
      <c r="F583">
        <v>1350</v>
      </c>
      <c r="G583">
        <v>28</v>
      </c>
      <c r="H583">
        <v>37800</v>
      </c>
      <c r="I583" t="s">
        <v>541</v>
      </c>
    </row>
    <row r="584" spans="1:9" x14ac:dyDescent="0.25">
      <c r="A584" t="s">
        <v>220</v>
      </c>
      <c r="B584" t="s">
        <v>588</v>
      </c>
      <c r="C584" t="s">
        <v>664</v>
      </c>
      <c r="D584" t="s">
        <v>1891</v>
      </c>
      <c r="E584" t="s">
        <v>545</v>
      </c>
      <c r="F584">
        <v>1090</v>
      </c>
      <c r="G584">
        <v>2.5378020036896118</v>
      </c>
      <c r="H584">
        <v>2766.2041840216771</v>
      </c>
      <c r="I584" t="s">
        <v>541</v>
      </c>
    </row>
    <row r="585" spans="1:9" x14ac:dyDescent="0.25">
      <c r="A585" t="s">
        <v>220</v>
      </c>
      <c r="B585" t="s">
        <v>588</v>
      </c>
      <c r="C585" t="s">
        <v>539</v>
      </c>
      <c r="D585" t="s">
        <v>540</v>
      </c>
      <c r="E585" t="s">
        <v>535</v>
      </c>
      <c r="F585">
        <v>19302</v>
      </c>
      <c r="G585">
        <v>5.2283988913440451</v>
      </c>
      <c r="H585">
        <v>100918.55540072276</v>
      </c>
      <c r="I585" t="s">
        <v>541</v>
      </c>
    </row>
    <row r="586" spans="1:9" x14ac:dyDescent="0.25">
      <c r="A586" t="s">
        <v>220</v>
      </c>
      <c r="B586" t="s">
        <v>588</v>
      </c>
      <c r="C586" t="s">
        <v>1897</v>
      </c>
      <c r="D586" t="s">
        <v>1898</v>
      </c>
      <c r="E586" t="s">
        <v>535</v>
      </c>
      <c r="F586">
        <v>40</v>
      </c>
      <c r="G586">
        <v>55.001795704000003</v>
      </c>
      <c r="H586">
        <v>2200.0718281600002</v>
      </c>
      <c r="I586" t="s">
        <v>541</v>
      </c>
    </row>
    <row r="587" spans="1:9" x14ac:dyDescent="0.25">
      <c r="A587" t="s">
        <v>220</v>
      </c>
      <c r="B587" t="s">
        <v>588</v>
      </c>
      <c r="C587" t="s">
        <v>707</v>
      </c>
      <c r="D587" t="s">
        <v>373</v>
      </c>
      <c r="E587" t="s">
        <v>535</v>
      </c>
      <c r="F587">
        <v>1000</v>
      </c>
      <c r="G587">
        <v>1.35</v>
      </c>
      <c r="H587">
        <v>1350</v>
      </c>
      <c r="I587" t="s">
        <v>541</v>
      </c>
    </row>
    <row r="588" spans="1:9" x14ac:dyDescent="0.25">
      <c r="A588" t="s">
        <v>220</v>
      </c>
      <c r="B588" t="s">
        <v>588</v>
      </c>
      <c r="C588" t="s">
        <v>700</v>
      </c>
      <c r="D588" t="s">
        <v>701</v>
      </c>
      <c r="E588" t="s">
        <v>545</v>
      </c>
      <c r="F588">
        <v>90</v>
      </c>
      <c r="G588">
        <v>30.505706430295458</v>
      </c>
      <c r="H588">
        <v>2745.5135787265913</v>
      </c>
      <c r="I588" t="s">
        <v>541</v>
      </c>
    </row>
    <row r="589" spans="1:9" x14ac:dyDescent="0.25">
      <c r="A589" t="s">
        <v>220</v>
      </c>
      <c r="B589" t="s">
        <v>588</v>
      </c>
      <c r="C589" t="s">
        <v>1899</v>
      </c>
      <c r="D589" t="s">
        <v>1900</v>
      </c>
      <c r="E589" t="s">
        <v>535</v>
      </c>
      <c r="F589">
        <v>315</v>
      </c>
      <c r="G589">
        <v>19.719606724089633</v>
      </c>
      <c r="H589">
        <v>6211.6761180882349</v>
      </c>
      <c r="I589" t="s">
        <v>541</v>
      </c>
    </row>
    <row r="590" spans="1:9" x14ac:dyDescent="0.25">
      <c r="A590" t="s">
        <v>220</v>
      </c>
      <c r="B590" t="s">
        <v>588</v>
      </c>
      <c r="C590" t="s">
        <v>1901</v>
      </c>
      <c r="D590" t="s">
        <v>1902</v>
      </c>
      <c r="E590" t="s">
        <v>1894</v>
      </c>
      <c r="F590">
        <v>120</v>
      </c>
      <c r="G590">
        <v>36</v>
      </c>
      <c r="H590">
        <v>4320</v>
      </c>
      <c r="I590" t="s">
        <v>541</v>
      </c>
    </row>
    <row r="591" spans="1:9" x14ac:dyDescent="0.25">
      <c r="A591" t="s">
        <v>220</v>
      </c>
      <c r="B591" t="s">
        <v>588</v>
      </c>
      <c r="C591" t="s">
        <v>731</v>
      </c>
      <c r="D591" t="s">
        <v>1903</v>
      </c>
      <c r="E591" t="s">
        <v>545</v>
      </c>
      <c r="F591">
        <v>5</v>
      </c>
      <c r="G591">
        <v>146.44999999999999</v>
      </c>
      <c r="H591">
        <v>732.25</v>
      </c>
      <c r="I591" t="s">
        <v>541</v>
      </c>
    </row>
    <row r="592" spans="1:9" x14ac:dyDescent="0.25">
      <c r="A592" t="s">
        <v>220</v>
      </c>
      <c r="B592" t="s">
        <v>588</v>
      </c>
      <c r="C592" t="s">
        <v>1904</v>
      </c>
      <c r="D592" t="s">
        <v>1905</v>
      </c>
      <c r="E592" t="s">
        <v>545</v>
      </c>
      <c r="F592">
        <v>4</v>
      </c>
      <c r="G592">
        <v>49.1</v>
      </c>
      <c r="H592">
        <v>196.4</v>
      </c>
      <c r="I592" t="s">
        <v>541</v>
      </c>
    </row>
    <row r="593" spans="1:9" x14ac:dyDescent="0.25">
      <c r="A593" t="s">
        <v>220</v>
      </c>
      <c r="B593" t="s">
        <v>588</v>
      </c>
      <c r="C593" t="s">
        <v>1906</v>
      </c>
      <c r="D593" t="s">
        <v>1907</v>
      </c>
      <c r="E593" t="s">
        <v>545</v>
      </c>
      <c r="F593">
        <v>16</v>
      </c>
      <c r="G593">
        <v>0</v>
      </c>
      <c r="H593">
        <v>0</v>
      </c>
      <c r="I593" t="s">
        <v>541</v>
      </c>
    </row>
    <row r="594" spans="1:9" x14ac:dyDescent="0.25">
      <c r="A594" t="s">
        <v>220</v>
      </c>
      <c r="B594" t="s">
        <v>2152</v>
      </c>
      <c r="C594" t="s">
        <v>827</v>
      </c>
      <c r="D594" t="s">
        <v>828</v>
      </c>
      <c r="E594" t="s">
        <v>545</v>
      </c>
      <c r="F594">
        <v>283</v>
      </c>
      <c r="G594">
        <v>7.9457692462815732</v>
      </c>
      <c r="H594">
        <v>2248.6526966976853</v>
      </c>
      <c r="I594" t="s">
        <v>541</v>
      </c>
    </row>
    <row r="595" spans="1:9" x14ac:dyDescent="0.25">
      <c r="A595" t="s">
        <v>220</v>
      </c>
      <c r="B595" t="s">
        <v>2152</v>
      </c>
      <c r="C595" t="s">
        <v>849</v>
      </c>
      <c r="D595" t="s">
        <v>850</v>
      </c>
      <c r="E595" t="s">
        <v>545</v>
      </c>
      <c r="F595">
        <v>144</v>
      </c>
      <c r="G595">
        <v>4.3059139447251029</v>
      </c>
      <c r="H595">
        <v>620.05160804041486</v>
      </c>
      <c r="I595" t="s">
        <v>541</v>
      </c>
    </row>
    <row r="596" spans="1:9" x14ac:dyDescent="0.25">
      <c r="A596" t="s">
        <v>220</v>
      </c>
      <c r="B596" t="s">
        <v>2152</v>
      </c>
      <c r="C596" t="s">
        <v>851</v>
      </c>
      <c r="D596" t="s">
        <v>852</v>
      </c>
      <c r="E596" t="s">
        <v>545</v>
      </c>
      <c r="F596">
        <v>216</v>
      </c>
      <c r="G596">
        <v>5.4518576896623552</v>
      </c>
      <c r="H596">
        <v>1177.6012609670688</v>
      </c>
      <c r="I596" t="s">
        <v>541</v>
      </c>
    </row>
    <row r="597" spans="1:9" x14ac:dyDescent="0.25">
      <c r="A597" t="s">
        <v>220</v>
      </c>
      <c r="B597" t="s">
        <v>2152</v>
      </c>
      <c r="C597" t="s">
        <v>857</v>
      </c>
      <c r="D597" t="s">
        <v>858</v>
      </c>
      <c r="E597" t="s">
        <v>545</v>
      </c>
      <c r="F597">
        <v>123</v>
      </c>
      <c r="G597">
        <v>5.8814204624571929</v>
      </c>
      <c r="H597">
        <v>723.41471688223476</v>
      </c>
      <c r="I597" t="s">
        <v>541</v>
      </c>
    </row>
    <row r="598" spans="1:9" x14ac:dyDescent="0.25">
      <c r="A598" t="s">
        <v>220</v>
      </c>
      <c r="B598" t="s">
        <v>2152</v>
      </c>
      <c r="C598" t="s">
        <v>2153</v>
      </c>
      <c r="D598" t="s">
        <v>2154</v>
      </c>
      <c r="E598" t="s">
        <v>545</v>
      </c>
      <c r="F598">
        <v>211</v>
      </c>
      <c r="G598">
        <v>9.7258153946003176</v>
      </c>
      <c r="H598">
        <v>2052.1470482606669</v>
      </c>
      <c r="I598" t="s">
        <v>541</v>
      </c>
    </row>
    <row r="599" spans="1:9" x14ac:dyDescent="0.25">
      <c r="A599" t="s">
        <v>220</v>
      </c>
      <c r="B599" t="s">
        <v>2152</v>
      </c>
      <c r="C599" t="s">
        <v>876</v>
      </c>
      <c r="D599" t="s">
        <v>877</v>
      </c>
      <c r="E599" t="s">
        <v>545</v>
      </c>
      <c r="F599">
        <v>103</v>
      </c>
      <c r="G599">
        <v>8.1097341290626304</v>
      </c>
      <c r="H599">
        <v>835.30261529345091</v>
      </c>
      <c r="I599" t="s">
        <v>541</v>
      </c>
    </row>
    <row r="600" spans="1:9" x14ac:dyDescent="0.25">
      <c r="A600" t="s">
        <v>220</v>
      </c>
      <c r="B600" t="s">
        <v>2152</v>
      </c>
      <c r="C600" t="s">
        <v>894</v>
      </c>
      <c r="D600" t="s">
        <v>895</v>
      </c>
      <c r="E600" t="s">
        <v>545</v>
      </c>
      <c r="F600">
        <v>19</v>
      </c>
      <c r="G600">
        <v>22.876271227232184</v>
      </c>
      <c r="H600">
        <v>434.6491533174115</v>
      </c>
      <c r="I600" t="s">
        <v>541</v>
      </c>
    </row>
    <row r="601" spans="1:9" x14ac:dyDescent="0.25">
      <c r="A601" t="s">
        <v>220</v>
      </c>
      <c r="B601" t="s">
        <v>2152</v>
      </c>
      <c r="C601" t="s">
        <v>902</v>
      </c>
      <c r="D601" t="s">
        <v>903</v>
      </c>
      <c r="E601" t="s">
        <v>545</v>
      </c>
      <c r="F601">
        <v>131</v>
      </c>
      <c r="G601">
        <v>8.2255219304087159</v>
      </c>
      <c r="H601">
        <v>1077.5433728835417</v>
      </c>
      <c r="I601" t="s">
        <v>541</v>
      </c>
    </row>
    <row r="602" spans="1:9" x14ac:dyDescent="0.25">
      <c r="A602" t="s">
        <v>220</v>
      </c>
      <c r="B602" t="s">
        <v>2152</v>
      </c>
      <c r="C602" t="s">
        <v>813</v>
      </c>
      <c r="D602" t="s">
        <v>904</v>
      </c>
      <c r="E602" t="s">
        <v>545</v>
      </c>
      <c r="F602">
        <v>111</v>
      </c>
      <c r="G602">
        <v>8.3328387556776438</v>
      </c>
      <c r="H602">
        <v>924.94510188021843</v>
      </c>
      <c r="I602" t="s">
        <v>541</v>
      </c>
    </row>
    <row r="603" spans="1:9" x14ac:dyDescent="0.25">
      <c r="A603" t="s">
        <v>220</v>
      </c>
      <c r="B603" t="s">
        <v>2152</v>
      </c>
      <c r="C603" t="s">
        <v>2155</v>
      </c>
      <c r="D603" t="s">
        <v>2156</v>
      </c>
      <c r="E603" t="s">
        <v>545</v>
      </c>
      <c r="F603">
        <v>736</v>
      </c>
      <c r="G603">
        <v>7.5318441523671078</v>
      </c>
      <c r="H603">
        <v>5543.4372961421914</v>
      </c>
      <c r="I603" t="s">
        <v>541</v>
      </c>
    </row>
    <row r="604" spans="1:9" x14ac:dyDescent="0.25">
      <c r="A604" t="s">
        <v>220</v>
      </c>
      <c r="B604" t="s">
        <v>2152</v>
      </c>
      <c r="C604" t="s">
        <v>909</v>
      </c>
      <c r="D604" t="s">
        <v>2157</v>
      </c>
      <c r="E604" t="s">
        <v>545</v>
      </c>
      <c r="F604">
        <v>360</v>
      </c>
      <c r="G604">
        <v>5.3465483171323109</v>
      </c>
      <c r="H604">
        <v>1924.7573941676319</v>
      </c>
      <c r="I604" t="s">
        <v>541</v>
      </c>
    </row>
    <row r="605" spans="1:9" x14ac:dyDescent="0.25">
      <c r="A605" t="s">
        <v>220</v>
      </c>
      <c r="B605" t="s">
        <v>2152</v>
      </c>
      <c r="C605" t="s">
        <v>911</v>
      </c>
      <c r="D605" t="s">
        <v>2158</v>
      </c>
      <c r="E605" t="s">
        <v>545</v>
      </c>
      <c r="F605">
        <v>770</v>
      </c>
      <c r="G605">
        <v>5.6279861703687351</v>
      </c>
      <c r="H605">
        <v>4333.5493511839259</v>
      </c>
      <c r="I605" t="s">
        <v>541</v>
      </c>
    </row>
    <row r="606" spans="1:9" x14ac:dyDescent="0.25">
      <c r="A606" t="s">
        <v>220</v>
      </c>
      <c r="B606" t="s">
        <v>2152</v>
      </c>
      <c r="C606" t="s">
        <v>913</v>
      </c>
      <c r="D606" t="s">
        <v>2159</v>
      </c>
      <c r="E606" t="s">
        <v>545</v>
      </c>
      <c r="F606">
        <v>1320</v>
      </c>
      <c r="G606">
        <v>5.854190761007608</v>
      </c>
      <c r="H606">
        <v>7727.5318045300428</v>
      </c>
      <c r="I606" t="s">
        <v>541</v>
      </c>
    </row>
    <row r="607" spans="1:9" x14ac:dyDescent="0.25">
      <c r="A607" t="s">
        <v>220</v>
      </c>
      <c r="B607" t="s">
        <v>2152</v>
      </c>
      <c r="C607" t="s">
        <v>937</v>
      </c>
      <c r="D607" t="s">
        <v>2160</v>
      </c>
      <c r="E607" t="s">
        <v>545</v>
      </c>
      <c r="F607">
        <v>1908</v>
      </c>
      <c r="G607">
        <v>3.9807723446062244</v>
      </c>
      <c r="H607">
        <v>7595.3136335086765</v>
      </c>
      <c r="I607" t="s">
        <v>541</v>
      </c>
    </row>
    <row r="608" spans="1:9" x14ac:dyDescent="0.25">
      <c r="A608" t="s">
        <v>220</v>
      </c>
      <c r="B608" t="s">
        <v>2152</v>
      </c>
      <c r="C608" t="s">
        <v>957</v>
      </c>
      <c r="D608" t="s">
        <v>958</v>
      </c>
      <c r="E608" t="s">
        <v>545</v>
      </c>
      <c r="F608">
        <v>650</v>
      </c>
      <c r="G608">
        <v>4.3222877881831794</v>
      </c>
      <c r="H608">
        <v>2809.4870623190668</v>
      </c>
      <c r="I608" t="s">
        <v>541</v>
      </c>
    </row>
    <row r="609" spans="1:9" x14ac:dyDescent="0.25">
      <c r="A609" t="s">
        <v>220</v>
      </c>
      <c r="B609" t="s">
        <v>2152</v>
      </c>
      <c r="C609" t="s">
        <v>959</v>
      </c>
      <c r="D609" t="s">
        <v>2161</v>
      </c>
      <c r="E609" t="s">
        <v>545</v>
      </c>
      <c r="F609">
        <v>3941</v>
      </c>
      <c r="G609">
        <v>4.4061320806702424</v>
      </c>
      <c r="H609">
        <v>17364.566529921427</v>
      </c>
      <c r="I609" t="s">
        <v>541</v>
      </c>
    </row>
    <row r="610" spans="1:9" x14ac:dyDescent="0.25">
      <c r="A610" t="s">
        <v>220</v>
      </c>
      <c r="B610" t="s">
        <v>2152</v>
      </c>
      <c r="C610" t="s">
        <v>971</v>
      </c>
      <c r="D610" t="s">
        <v>2162</v>
      </c>
      <c r="E610" t="s">
        <v>545</v>
      </c>
      <c r="F610">
        <v>2199</v>
      </c>
      <c r="G610">
        <v>4.9675987977375646</v>
      </c>
      <c r="H610">
        <v>10923.749756224905</v>
      </c>
      <c r="I610" t="s">
        <v>541</v>
      </c>
    </row>
    <row r="611" spans="1:9" x14ac:dyDescent="0.25">
      <c r="A611" t="s">
        <v>220</v>
      </c>
      <c r="B611" t="s">
        <v>2152</v>
      </c>
      <c r="C611" t="s">
        <v>985</v>
      </c>
      <c r="D611" t="s">
        <v>2163</v>
      </c>
      <c r="E611" t="s">
        <v>545</v>
      </c>
      <c r="F611">
        <v>5746</v>
      </c>
      <c r="G611">
        <v>5.6759544776879727</v>
      </c>
      <c r="H611">
        <v>32614.03442879509</v>
      </c>
      <c r="I611" t="s">
        <v>541</v>
      </c>
    </row>
    <row r="612" spans="1:9" x14ac:dyDescent="0.25">
      <c r="A612" t="s">
        <v>220</v>
      </c>
      <c r="B612" t="s">
        <v>2152</v>
      </c>
      <c r="C612" t="s">
        <v>1007</v>
      </c>
      <c r="D612" t="s">
        <v>2164</v>
      </c>
      <c r="E612" t="s">
        <v>545</v>
      </c>
      <c r="F612">
        <v>661</v>
      </c>
      <c r="G612">
        <v>7.0411855665611025</v>
      </c>
      <c r="H612">
        <v>4654.223659496889</v>
      </c>
      <c r="I612" t="s">
        <v>541</v>
      </c>
    </row>
    <row r="613" spans="1:9" x14ac:dyDescent="0.25">
      <c r="A613" t="s">
        <v>220</v>
      </c>
      <c r="B613" t="s">
        <v>2152</v>
      </c>
      <c r="C613" t="s">
        <v>1009</v>
      </c>
      <c r="D613" t="s">
        <v>2165</v>
      </c>
      <c r="E613" t="s">
        <v>545</v>
      </c>
      <c r="F613">
        <v>210</v>
      </c>
      <c r="G613">
        <v>7.1245275922579561</v>
      </c>
      <c r="H613">
        <v>1496.1507943741708</v>
      </c>
      <c r="I613" t="s">
        <v>541</v>
      </c>
    </row>
    <row r="614" spans="1:9" x14ac:dyDescent="0.25">
      <c r="A614" t="s">
        <v>220</v>
      </c>
      <c r="B614" t="s">
        <v>2152</v>
      </c>
      <c r="C614" t="s">
        <v>2166</v>
      </c>
      <c r="D614" t="s">
        <v>2167</v>
      </c>
      <c r="E614" t="s">
        <v>545</v>
      </c>
      <c r="F614">
        <v>1164</v>
      </c>
      <c r="G614">
        <v>7.6764845528992485</v>
      </c>
      <c r="H614">
        <v>8935.4280195747251</v>
      </c>
      <c r="I614" t="s">
        <v>541</v>
      </c>
    </row>
    <row r="615" spans="1:9" x14ac:dyDescent="0.25">
      <c r="A615" t="s">
        <v>220</v>
      </c>
      <c r="B615" t="s">
        <v>2152</v>
      </c>
      <c r="C615" t="s">
        <v>2168</v>
      </c>
      <c r="D615" t="s">
        <v>2169</v>
      </c>
      <c r="E615" t="s">
        <v>545</v>
      </c>
      <c r="F615">
        <v>455</v>
      </c>
      <c r="G615">
        <v>7.560044501699501</v>
      </c>
      <c r="H615">
        <v>3439.8202482732731</v>
      </c>
      <c r="I615" t="s">
        <v>541</v>
      </c>
    </row>
    <row r="616" spans="1:9" x14ac:dyDescent="0.25">
      <c r="A616" t="s">
        <v>220</v>
      </c>
      <c r="B616" t="s">
        <v>2152</v>
      </c>
      <c r="C616" t="s">
        <v>1146</v>
      </c>
      <c r="D616" t="s">
        <v>2170</v>
      </c>
      <c r="E616" t="s">
        <v>545</v>
      </c>
      <c r="F616">
        <v>1400</v>
      </c>
      <c r="G616">
        <v>0.04</v>
      </c>
      <c r="H616">
        <v>56</v>
      </c>
      <c r="I616" t="s">
        <v>541</v>
      </c>
    </row>
    <row r="617" spans="1:9" x14ac:dyDescent="0.25">
      <c r="A617" t="s">
        <v>220</v>
      </c>
      <c r="B617" t="s">
        <v>2152</v>
      </c>
      <c r="C617" t="s">
        <v>2171</v>
      </c>
      <c r="D617" t="s">
        <v>2172</v>
      </c>
      <c r="E617" t="s">
        <v>545</v>
      </c>
      <c r="F617">
        <v>2670</v>
      </c>
      <c r="G617">
        <v>0.27994328621908127</v>
      </c>
      <c r="H617">
        <v>747.44857420494702</v>
      </c>
      <c r="I617" t="s">
        <v>541</v>
      </c>
    </row>
    <row r="618" spans="1:9" x14ac:dyDescent="0.25">
      <c r="A618" t="s">
        <v>220</v>
      </c>
      <c r="B618" t="s">
        <v>2152</v>
      </c>
      <c r="C618" t="s">
        <v>2173</v>
      </c>
      <c r="D618" t="s">
        <v>2174</v>
      </c>
      <c r="E618" t="s">
        <v>545</v>
      </c>
      <c r="F618">
        <v>1500</v>
      </c>
      <c r="G618">
        <v>0.21687358490566039</v>
      </c>
      <c r="H618">
        <v>325.3103773584906</v>
      </c>
      <c r="I618" t="s">
        <v>541</v>
      </c>
    </row>
    <row r="619" spans="1:9" x14ac:dyDescent="0.25">
      <c r="A619" t="s">
        <v>220</v>
      </c>
      <c r="B619" t="s">
        <v>2152</v>
      </c>
      <c r="C619" t="s">
        <v>2175</v>
      </c>
      <c r="D619" t="s">
        <v>2176</v>
      </c>
      <c r="E619" t="s">
        <v>545</v>
      </c>
      <c r="F619">
        <v>400</v>
      </c>
      <c r="G619">
        <v>0.13</v>
      </c>
      <c r="H619">
        <v>52</v>
      </c>
      <c r="I619" t="s">
        <v>541</v>
      </c>
    </row>
    <row r="620" spans="1:9" x14ac:dyDescent="0.25">
      <c r="A620" t="s">
        <v>220</v>
      </c>
      <c r="B620" t="s">
        <v>2152</v>
      </c>
      <c r="C620" t="s">
        <v>2177</v>
      </c>
      <c r="D620" t="s">
        <v>2178</v>
      </c>
      <c r="E620" t="s">
        <v>545</v>
      </c>
      <c r="F620">
        <v>150</v>
      </c>
      <c r="G620">
        <v>2.9794999999999998</v>
      </c>
      <c r="H620">
        <v>446.92499999999995</v>
      </c>
      <c r="I620" t="s">
        <v>541</v>
      </c>
    </row>
    <row r="621" spans="1:9" x14ac:dyDescent="0.25">
      <c r="A621" t="s">
        <v>220</v>
      </c>
      <c r="B621" t="s">
        <v>2152</v>
      </c>
      <c r="C621" t="s">
        <v>2179</v>
      </c>
      <c r="D621" t="s">
        <v>2180</v>
      </c>
      <c r="E621" t="s">
        <v>545</v>
      </c>
      <c r="F621">
        <v>1500</v>
      </c>
      <c r="G621">
        <v>0.25755</v>
      </c>
      <c r="H621">
        <v>386.32499999999999</v>
      </c>
      <c r="I621" t="s">
        <v>541</v>
      </c>
    </row>
    <row r="622" spans="1:9" x14ac:dyDescent="0.25">
      <c r="A622" t="s">
        <v>220</v>
      </c>
      <c r="B622" t="s">
        <v>2152</v>
      </c>
      <c r="C622" t="s">
        <v>2181</v>
      </c>
      <c r="D622" t="s">
        <v>2182</v>
      </c>
      <c r="E622" t="s">
        <v>545</v>
      </c>
      <c r="F622">
        <v>1500</v>
      </c>
      <c r="G622">
        <v>0.31655998148353298</v>
      </c>
      <c r="H622">
        <v>474.83997222529945</v>
      </c>
      <c r="I622" t="s">
        <v>541</v>
      </c>
    </row>
    <row r="623" spans="1:9" x14ac:dyDescent="0.25">
      <c r="A623" t="s">
        <v>220</v>
      </c>
      <c r="B623" t="s">
        <v>2152</v>
      </c>
      <c r="C623" t="s">
        <v>2183</v>
      </c>
      <c r="D623" t="s">
        <v>2184</v>
      </c>
      <c r="E623" t="s">
        <v>545</v>
      </c>
      <c r="F623">
        <v>1000</v>
      </c>
      <c r="G623">
        <v>0.24745</v>
      </c>
      <c r="H623">
        <v>247.45000000000002</v>
      </c>
      <c r="I623" t="s">
        <v>541</v>
      </c>
    </row>
    <row r="624" spans="1:9" x14ac:dyDescent="0.25">
      <c r="A624" t="s">
        <v>220</v>
      </c>
      <c r="B624" t="s">
        <v>2152</v>
      </c>
      <c r="C624" t="s">
        <v>2185</v>
      </c>
      <c r="D624" t="s">
        <v>2186</v>
      </c>
      <c r="E624" t="s">
        <v>545</v>
      </c>
      <c r="F624">
        <v>1000</v>
      </c>
      <c r="G624">
        <v>0.38031635542247016</v>
      </c>
      <c r="H624">
        <v>380.31635542247017</v>
      </c>
      <c r="I624" t="s">
        <v>541</v>
      </c>
    </row>
    <row r="625" spans="1:9" x14ac:dyDescent="0.25">
      <c r="A625" t="s">
        <v>220</v>
      </c>
      <c r="B625" t="s">
        <v>2152</v>
      </c>
      <c r="C625" t="s">
        <v>2187</v>
      </c>
      <c r="D625" t="s">
        <v>2188</v>
      </c>
      <c r="E625" t="s">
        <v>545</v>
      </c>
      <c r="F625">
        <v>2500</v>
      </c>
      <c r="G625">
        <v>0.34593227430373091</v>
      </c>
      <c r="H625">
        <v>864.83068575932725</v>
      </c>
      <c r="I625" t="s">
        <v>541</v>
      </c>
    </row>
    <row r="626" spans="1:9" x14ac:dyDescent="0.25">
      <c r="A626" t="s">
        <v>220</v>
      </c>
      <c r="B626" t="s">
        <v>2152</v>
      </c>
      <c r="C626" t="s">
        <v>2189</v>
      </c>
      <c r="D626" t="s">
        <v>2190</v>
      </c>
      <c r="E626" t="s">
        <v>545</v>
      </c>
      <c r="F626">
        <v>3000</v>
      </c>
      <c r="G626">
        <v>0.52613787528868361</v>
      </c>
      <c r="H626">
        <v>1578.4136258660508</v>
      </c>
      <c r="I626" t="s">
        <v>541</v>
      </c>
    </row>
    <row r="627" spans="1:9" x14ac:dyDescent="0.25">
      <c r="A627" t="s">
        <v>220</v>
      </c>
      <c r="B627" t="s">
        <v>2152</v>
      </c>
      <c r="C627" t="s">
        <v>2191</v>
      </c>
      <c r="D627" t="s">
        <v>2192</v>
      </c>
      <c r="E627" t="s">
        <v>545</v>
      </c>
      <c r="F627">
        <v>2000</v>
      </c>
      <c r="G627">
        <v>0.25755</v>
      </c>
      <c r="H627">
        <v>515.1</v>
      </c>
      <c r="I627" t="s">
        <v>541</v>
      </c>
    </row>
    <row r="628" spans="1:9" x14ac:dyDescent="0.25">
      <c r="A628" t="s">
        <v>220</v>
      </c>
      <c r="B628" t="s">
        <v>2152</v>
      </c>
      <c r="C628" t="s">
        <v>2193</v>
      </c>
      <c r="D628" t="s">
        <v>2194</v>
      </c>
      <c r="E628" t="s">
        <v>545</v>
      </c>
      <c r="F628">
        <v>3000</v>
      </c>
      <c r="G628">
        <v>0.23520000000000002</v>
      </c>
      <c r="H628">
        <v>705.6</v>
      </c>
      <c r="I628" t="s">
        <v>541</v>
      </c>
    </row>
    <row r="629" spans="1:9" x14ac:dyDescent="0.25">
      <c r="A629" t="s">
        <v>220</v>
      </c>
      <c r="B629" t="s">
        <v>2152</v>
      </c>
      <c r="C629" t="s">
        <v>2195</v>
      </c>
      <c r="D629" t="s">
        <v>2196</v>
      </c>
      <c r="E629" t="s">
        <v>545</v>
      </c>
      <c r="F629">
        <v>500</v>
      </c>
      <c r="G629">
        <v>0.24</v>
      </c>
      <c r="H629">
        <v>120</v>
      </c>
      <c r="I629" t="s">
        <v>541</v>
      </c>
    </row>
    <row r="630" spans="1:9" x14ac:dyDescent="0.25">
      <c r="A630" t="s">
        <v>220</v>
      </c>
      <c r="B630" t="s">
        <v>2152</v>
      </c>
      <c r="C630" t="s">
        <v>2197</v>
      </c>
      <c r="D630" t="s">
        <v>2198</v>
      </c>
      <c r="E630" t="s">
        <v>545</v>
      </c>
      <c r="F630">
        <v>3100</v>
      </c>
      <c r="G630">
        <v>0.27929999999999999</v>
      </c>
      <c r="H630">
        <v>865.82999999999993</v>
      </c>
      <c r="I630" t="s">
        <v>541</v>
      </c>
    </row>
    <row r="631" spans="1:9" x14ac:dyDescent="0.25">
      <c r="A631" t="s">
        <v>220</v>
      </c>
      <c r="B631" t="s">
        <v>2152</v>
      </c>
      <c r="C631" t="s">
        <v>1306</v>
      </c>
      <c r="D631" t="s">
        <v>1307</v>
      </c>
      <c r="E631" t="s">
        <v>545</v>
      </c>
      <c r="F631">
        <v>1500</v>
      </c>
      <c r="G631">
        <v>0.30528988899645421</v>
      </c>
      <c r="H631">
        <v>457.9348334946813</v>
      </c>
      <c r="I631" t="s">
        <v>541</v>
      </c>
    </row>
    <row r="632" spans="1:9" x14ac:dyDescent="0.25">
      <c r="A632" t="s">
        <v>220</v>
      </c>
      <c r="B632" t="s">
        <v>2152</v>
      </c>
      <c r="C632" t="s">
        <v>1308</v>
      </c>
      <c r="D632" t="s">
        <v>1309</v>
      </c>
      <c r="E632" t="s">
        <v>545</v>
      </c>
      <c r="F632">
        <v>2500</v>
      </c>
      <c r="G632">
        <v>0.54727052307402646</v>
      </c>
      <c r="H632">
        <v>1368.1763076850661</v>
      </c>
      <c r="I632" t="s">
        <v>541</v>
      </c>
    </row>
    <row r="633" spans="1:9" x14ac:dyDescent="0.25">
      <c r="A633" t="s">
        <v>220</v>
      </c>
      <c r="B633" t="s">
        <v>2152</v>
      </c>
      <c r="C633" t="s">
        <v>2199</v>
      </c>
      <c r="D633" t="s">
        <v>2200</v>
      </c>
      <c r="E633" t="s">
        <v>545</v>
      </c>
      <c r="F633">
        <v>4512</v>
      </c>
      <c r="G633">
        <v>0.5179883361683012</v>
      </c>
      <c r="H633">
        <v>2337.163372791375</v>
      </c>
      <c r="I633" t="s">
        <v>541</v>
      </c>
    </row>
    <row r="634" spans="1:9" x14ac:dyDescent="0.25">
      <c r="A634" t="s">
        <v>220</v>
      </c>
      <c r="B634" t="s">
        <v>2152</v>
      </c>
      <c r="C634" t="s">
        <v>1310</v>
      </c>
      <c r="D634" t="s">
        <v>1311</v>
      </c>
      <c r="E634" t="s">
        <v>545</v>
      </c>
      <c r="F634">
        <v>400</v>
      </c>
      <c r="G634">
        <v>1.3230641258607909</v>
      </c>
      <c r="H634">
        <v>529.22565034431636</v>
      </c>
      <c r="I634" t="s">
        <v>541</v>
      </c>
    </row>
    <row r="635" spans="1:9" x14ac:dyDescent="0.25">
      <c r="A635" t="s">
        <v>220</v>
      </c>
      <c r="B635" t="s">
        <v>2152</v>
      </c>
      <c r="C635" t="s">
        <v>2201</v>
      </c>
      <c r="D635" t="s">
        <v>2202</v>
      </c>
      <c r="E635" t="s">
        <v>545</v>
      </c>
      <c r="F635">
        <v>1700</v>
      </c>
      <c r="G635">
        <v>0.5252</v>
      </c>
      <c r="H635">
        <v>892.84</v>
      </c>
      <c r="I635" t="s">
        <v>541</v>
      </c>
    </row>
    <row r="636" spans="1:9" x14ac:dyDescent="0.25">
      <c r="A636" t="s">
        <v>220</v>
      </c>
      <c r="B636" t="s">
        <v>2152</v>
      </c>
      <c r="C636" t="s">
        <v>2203</v>
      </c>
      <c r="D636" t="s">
        <v>2204</v>
      </c>
      <c r="E636" t="s">
        <v>545</v>
      </c>
      <c r="F636">
        <v>2922</v>
      </c>
      <c r="G636">
        <v>0.43394054054054054</v>
      </c>
      <c r="H636">
        <v>1267.9742594594595</v>
      </c>
      <c r="I636" t="s">
        <v>541</v>
      </c>
    </row>
    <row r="637" spans="1:9" x14ac:dyDescent="0.25">
      <c r="A637" t="s">
        <v>220</v>
      </c>
      <c r="B637" t="s">
        <v>2152</v>
      </c>
      <c r="C637" t="s">
        <v>2205</v>
      </c>
      <c r="D637" t="s">
        <v>2206</v>
      </c>
      <c r="E637" t="s">
        <v>545</v>
      </c>
      <c r="F637">
        <v>500</v>
      </c>
      <c r="G637">
        <v>0.30804999999999999</v>
      </c>
      <c r="H637">
        <v>154.02500000000001</v>
      </c>
      <c r="I637" t="s">
        <v>541</v>
      </c>
    </row>
    <row r="638" spans="1:9" x14ac:dyDescent="0.25">
      <c r="A638" t="s">
        <v>220</v>
      </c>
      <c r="B638" t="s">
        <v>2152</v>
      </c>
      <c r="C638" t="s">
        <v>2207</v>
      </c>
      <c r="D638" t="s">
        <v>2208</v>
      </c>
      <c r="E638" t="s">
        <v>545</v>
      </c>
      <c r="F638">
        <v>1000</v>
      </c>
      <c r="G638">
        <v>0.38887059473350172</v>
      </c>
      <c r="H638">
        <v>388.87059473350172</v>
      </c>
      <c r="I638" t="s">
        <v>541</v>
      </c>
    </row>
    <row r="639" spans="1:9" x14ac:dyDescent="0.25">
      <c r="A639" t="s">
        <v>220</v>
      </c>
      <c r="B639" t="s">
        <v>2152</v>
      </c>
      <c r="C639" t="s">
        <v>2209</v>
      </c>
      <c r="D639" t="s">
        <v>2210</v>
      </c>
      <c r="E639" t="s">
        <v>545</v>
      </c>
      <c r="F639">
        <v>1500</v>
      </c>
      <c r="G639">
        <v>0.27777639182522906</v>
      </c>
      <c r="H639">
        <v>416.66458773784359</v>
      </c>
      <c r="I639" t="s">
        <v>541</v>
      </c>
    </row>
    <row r="640" spans="1:9" x14ac:dyDescent="0.25">
      <c r="A640" t="s">
        <v>220</v>
      </c>
      <c r="B640" t="s">
        <v>2152</v>
      </c>
      <c r="C640" t="s">
        <v>2211</v>
      </c>
      <c r="D640" t="s">
        <v>2212</v>
      </c>
      <c r="E640" t="s">
        <v>545</v>
      </c>
      <c r="F640">
        <v>2000</v>
      </c>
      <c r="G640">
        <v>0.5252</v>
      </c>
      <c r="H640">
        <v>1050.4000000000001</v>
      </c>
      <c r="I640" t="s">
        <v>541</v>
      </c>
    </row>
    <row r="641" spans="1:9" x14ac:dyDescent="0.25">
      <c r="A641" t="s">
        <v>220</v>
      </c>
      <c r="B641" t="s">
        <v>2152</v>
      </c>
      <c r="C641" t="s">
        <v>2213</v>
      </c>
      <c r="D641" t="s">
        <v>2214</v>
      </c>
      <c r="E641" t="s">
        <v>545</v>
      </c>
      <c r="F641">
        <v>1000</v>
      </c>
      <c r="G641">
        <v>0.17728474576271186</v>
      </c>
      <c r="H641">
        <v>177.28474576271185</v>
      </c>
      <c r="I641" t="s">
        <v>541</v>
      </c>
    </row>
    <row r="642" spans="1:9" x14ac:dyDescent="0.25">
      <c r="A642" t="s">
        <v>220</v>
      </c>
      <c r="B642" t="s">
        <v>2152</v>
      </c>
      <c r="C642" t="s">
        <v>2215</v>
      </c>
      <c r="D642" t="s">
        <v>2216</v>
      </c>
      <c r="E642" t="s">
        <v>545</v>
      </c>
      <c r="F642">
        <v>2600</v>
      </c>
      <c r="G642">
        <v>0.2643177602198557</v>
      </c>
      <c r="H642">
        <v>687.22617657162482</v>
      </c>
      <c r="I642" t="s">
        <v>541</v>
      </c>
    </row>
    <row r="643" spans="1:9" x14ac:dyDescent="0.25">
      <c r="A643" t="s">
        <v>220</v>
      </c>
      <c r="B643" t="s">
        <v>2152</v>
      </c>
      <c r="C643" t="s">
        <v>2217</v>
      </c>
      <c r="D643" t="s">
        <v>2218</v>
      </c>
      <c r="E643" t="s">
        <v>545</v>
      </c>
      <c r="F643">
        <v>2000</v>
      </c>
      <c r="G643">
        <v>0.21210000000000001</v>
      </c>
      <c r="H643">
        <v>424.20000000000005</v>
      </c>
      <c r="I643" t="s">
        <v>541</v>
      </c>
    </row>
    <row r="644" spans="1:9" x14ac:dyDescent="0.25">
      <c r="A644" t="s">
        <v>220</v>
      </c>
      <c r="B644" t="s">
        <v>2152</v>
      </c>
      <c r="C644" t="s">
        <v>2219</v>
      </c>
      <c r="D644" t="s">
        <v>2220</v>
      </c>
      <c r="E644" t="s">
        <v>545</v>
      </c>
      <c r="F644">
        <v>1100</v>
      </c>
      <c r="G644">
        <v>0.31303508531644125</v>
      </c>
      <c r="H644">
        <v>344.3385938480854</v>
      </c>
      <c r="I644" t="s">
        <v>541</v>
      </c>
    </row>
    <row r="645" spans="1:9" x14ac:dyDescent="0.25">
      <c r="A645" t="s">
        <v>220</v>
      </c>
      <c r="B645" t="s">
        <v>2152</v>
      </c>
      <c r="C645" t="s">
        <v>2221</v>
      </c>
      <c r="D645" t="s">
        <v>2222</v>
      </c>
      <c r="E645" t="s">
        <v>545</v>
      </c>
      <c r="F645">
        <v>2100</v>
      </c>
      <c r="G645">
        <v>0.36359999999999998</v>
      </c>
      <c r="H645">
        <v>763.56</v>
      </c>
      <c r="I645" t="s">
        <v>541</v>
      </c>
    </row>
    <row r="646" spans="1:9" x14ac:dyDescent="0.25">
      <c r="A646" t="s">
        <v>220</v>
      </c>
      <c r="B646" t="s">
        <v>2152</v>
      </c>
      <c r="C646" t="s">
        <v>2223</v>
      </c>
      <c r="D646" t="s">
        <v>2224</v>
      </c>
      <c r="E646" t="s">
        <v>545</v>
      </c>
      <c r="F646">
        <v>1000</v>
      </c>
      <c r="G646">
        <v>0.2727</v>
      </c>
      <c r="H646">
        <v>272.7</v>
      </c>
      <c r="I646" t="s">
        <v>541</v>
      </c>
    </row>
    <row r="647" spans="1:9" x14ac:dyDescent="0.25">
      <c r="A647" t="s">
        <v>220</v>
      </c>
      <c r="B647" t="s">
        <v>2152</v>
      </c>
      <c r="C647" t="s">
        <v>2225</v>
      </c>
      <c r="D647" t="s">
        <v>2226</v>
      </c>
      <c r="E647" t="s">
        <v>545</v>
      </c>
      <c r="F647">
        <v>500</v>
      </c>
      <c r="G647">
        <v>0.30804999999999999</v>
      </c>
      <c r="H647">
        <v>154.02500000000001</v>
      </c>
      <c r="I647" t="s">
        <v>541</v>
      </c>
    </row>
    <row r="648" spans="1:9" x14ac:dyDescent="0.25">
      <c r="A648" t="s">
        <v>220</v>
      </c>
      <c r="B648" t="s">
        <v>2152</v>
      </c>
      <c r="C648" t="s">
        <v>2227</v>
      </c>
      <c r="D648" t="s">
        <v>2228</v>
      </c>
      <c r="E648" t="s">
        <v>545</v>
      </c>
      <c r="F648">
        <v>1000</v>
      </c>
      <c r="G648">
        <v>0.60599999999999998</v>
      </c>
      <c r="H648">
        <v>606</v>
      </c>
      <c r="I648" t="s">
        <v>541</v>
      </c>
    </row>
    <row r="649" spans="1:9" x14ac:dyDescent="0.25">
      <c r="A649" t="s">
        <v>220</v>
      </c>
      <c r="B649" t="s">
        <v>2152</v>
      </c>
      <c r="C649" t="s">
        <v>2229</v>
      </c>
      <c r="D649" t="s">
        <v>2230</v>
      </c>
      <c r="E649" t="s">
        <v>545</v>
      </c>
      <c r="F649">
        <v>2000</v>
      </c>
      <c r="G649">
        <v>0.23786557377049181</v>
      </c>
      <c r="H649">
        <v>475.73114754098361</v>
      </c>
      <c r="I649" t="s">
        <v>541</v>
      </c>
    </row>
    <row r="650" spans="1:9" x14ac:dyDescent="0.25">
      <c r="A650" t="s">
        <v>220</v>
      </c>
      <c r="B650" t="s">
        <v>2152</v>
      </c>
      <c r="C650" t="s">
        <v>2231</v>
      </c>
      <c r="D650" t="s">
        <v>2232</v>
      </c>
      <c r="E650" t="s">
        <v>545</v>
      </c>
      <c r="F650">
        <v>2000</v>
      </c>
      <c r="G650">
        <v>0.29795000000000005</v>
      </c>
      <c r="H650">
        <v>595.90000000000009</v>
      </c>
      <c r="I650" t="s">
        <v>541</v>
      </c>
    </row>
    <row r="651" spans="1:9" x14ac:dyDescent="0.25">
      <c r="A651" t="s">
        <v>220</v>
      </c>
      <c r="B651" t="s">
        <v>2152</v>
      </c>
      <c r="C651" t="s">
        <v>2233</v>
      </c>
      <c r="D651" t="s">
        <v>2234</v>
      </c>
      <c r="E651" t="s">
        <v>545</v>
      </c>
      <c r="F651">
        <v>4130</v>
      </c>
      <c r="G651">
        <v>0.36707888008272732</v>
      </c>
      <c r="H651">
        <v>1516.0357747416638</v>
      </c>
      <c r="I651" t="s">
        <v>541</v>
      </c>
    </row>
    <row r="652" spans="1:9" x14ac:dyDescent="0.25">
      <c r="A652" t="s">
        <v>220</v>
      </c>
      <c r="B652" t="s">
        <v>2152</v>
      </c>
      <c r="C652" t="s">
        <v>1428</v>
      </c>
      <c r="D652" t="s">
        <v>1429</v>
      </c>
      <c r="E652" t="s">
        <v>545</v>
      </c>
      <c r="F652">
        <v>3000</v>
      </c>
      <c r="G652">
        <v>0.39836501182033096</v>
      </c>
      <c r="H652">
        <v>1195.0950354609929</v>
      </c>
      <c r="I652" t="s">
        <v>541</v>
      </c>
    </row>
    <row r="653" spans="1:9" x14ac:dyDescent="0.25">
      <c r="A653" t="s">
        <v>220</v>
      </c>
      <c r="B653" t="s">
        <v>2152</v>
      </c>
      <c r="C653" t="s">
        <v>1430</v>
      </c>
      <c r="D653" t="s">
        <v>1431</v>
      </c>
      <c r="E653" t="s">
        <v>545</v>
      </c>
      <c r="F653">
        <v>5000</v>
      </c>
      <c r="G653">
        <v>0.37232259247954186</v>
      </c>
      <c r="H653">
        <v>1861.6129623977092</v>
      </c>
      <c r="I653" t="s">
        <v>541</v>
      </c>
    </row>
    <row r="654" spans="1:9" x14ac:dyDescent="0.25">
      <c r="A654" t="s">
        <v>220</v>
      </c>
      <c r="B654" t="s">
        <v>2152</v>
      </c>
      <c r="C654" t="s">
        <v>1432</v>
      </c>
      <c r="D654" t="s">
        <v>1433</v>
      </c>
      <c r="E654" t="s">
        <v>545</v>
      </c>
      <c r="F654">
        <v>3050</v>
      </c>
      <c r="G654">
        <v>0.47470000000000007</v>
      </c>
      <c r="H654">
        <v>1447.8350000000003</v>
      </c>
      <c r="I654" t="s">
        <v>541</v>
      </c>
    </row>
    <row r="655" spans="1:9" x14ac:dyDescent="0.25">
      <c r="A655" t="s">
        <v>220</v>
      </c>
      <c r="B655" t="s">
        <v>2152</v>
      </c>
      <c r="C655" t="s">
        <v>1434</v>
      </c>
      <c r="D655" t="s">
        <v>1435</v>
      </c>
      <c r="E655" t="s">
        <v>545</v>
      </c>
      <c r="F655">
        <v>3096</v>
      </c>
      <c r="G655">
        <v>0.48984999999999995</v>
      </c>
      <c r="H655">
        <v>1516.5755999999999</v>
      </c>
      <c r="I655" t="s">
        <v>541</v>
      </c>
    </row>
    <row r="656" spans="1:9" x14ac:dyDescent="0.25">
      <c r="A656" t="s">
        <v>220</v>
      </c>
      <c r="B656" t="s">
        <v>2152</v>
      </c>
      <c r="C656" t="s">
        <v>2235</v>
      </c>
      <c r="D656" t="s">
        <v>1437</v>
      </c>
      <c r="E656" t="s">
        <v>545</v>
      </c>
      <c r="F656">
        <v>1000</v>
      </c>
      <c r="G656">
        <v>0.63629999999999998</v>
      </c>
      <c r="H656">
        <v>636.29999999999995</v>
      </c>
      <c r="I656" t="s">
        <v>541</v>
      </c>
    </row>
    <row r="657" spans="1:9" x14ac:dyDescent="0.25">
      <c r="A657" t="s">
        <v>220</v>
      </c>
      <c r="B657" t="s">
        <v>2152</v>
      </c>
      <c r="C657" t="s">
        <v>2236</v>
      </c>
      <c r="D657" t="s">
        <v>2237</v>
      </c>
      <c r="E657" t="s">
        <v>545</v>
      </c>
      <c r="F657">
        <v>3000</v>
      </c>
      <c r="G657">
        <v>0.1</v>
      </c>
      <c r="H657">
        <v>300</v>
      </c>
      <c r="I657" t="s">
        <v>541</v>
      </c>
    </row>
    <row r="658" spans="1:9" x14ac:dyDescent="0.25">
      <c r="A658" t="s">
        <v>220</v>
      </c>
      <c r="B658" t="s">
        <v>2152</v>
      </c>
      <c r="C658" t="s">
        <v>2238</v>
      </c>
      <c r="D658" t="s">
        <v>2239</v>
      </c>
      <c r="E658" t="s">
        <v>545</v>
      </c>
      <c r="F658">
        <v>2500</v>
      </c>
      <c r="G658">
        <v>0.06</v>
      </c>
      <c r="H658">
        <v>150</v>
      </c>
      <c r="I658" t="s">
        <v>541</v>
      </c>
    </row>
    <row r="659" spans="1:9" x14ac:dyDescent="0.25">
      <c r="A659" t="s">
        <v>220</v>
      </c>
      <c r="B659" t="s">
        <v>2152</v>
      </c>
      <c r="C659" t="s">
        <v>2240</v>
      </c>
      <c r="D659" t="s">
        <v>2241</v>
      </c>
      <c r="E659" t="s">
        <v>545</v>
      </c>
      <c r="F659">
        <v>2500</v>
      </c>
      <c r="G659">
        <v>0.2518296529968454</v>
      </c>
      <c r="H659">
        <v>629.57413249211345</v>
      </c>
      <c r="I659" t="s">
        <v>541</v>
      </c>
    </row>
    <row r="660" spans="1:9" x14ac:dyDescent="0.25">
      <c r="A660" t="s">
        <v>220</v>
      </c>
      <c r="B660" t="s">
        <v>2152</v>
      </c>
      <c r="C660" t="s">
        <v>2242</v>
      </c>
      <c r="D660" t="s">
        <v>2243</v>
      </c>
      <c r="E660" t="s">
        <v>545</v>
      </c>
      <c r="F660">
        <v>2000</v>
      </c>
      <c r="G660">
        <v>0.22724999999999995</v>
      </c>
      <c r="H660">
        <v>454.49999999999989</v>
      </c>
      <c r="I660" t="s">
        <v>541</v>
      </c>
    </row>
    <row r="661" spans="1:9" x14ac:dyDescent="0.25">
      <c r="A661" t="s">
        <v>220</v>
      </c>
      <c r="B661" t="s">
        <v>2152</v>
      </c>
      <c r="C661" t="s">
        <v>2244</v>
      </c>
      <c r="D661" t="s">
        <v>2245</v>
      </c>
      <c r="E661" t="s">
        <v>545</v>
      </c>
      <c r="F661">
        <v>1500</v>
      </c>
      <c r="G661">
        <v>0.27659480063693587</v>
      </c>
      <c r="H661">
        <v>414.89220095540378</v>
      </c>
      <c r="I661" t="s">
        <v>541</v>
      </c>
    </row>
    <row r="662" spans="1:9" x14ac:dyDescent="0.25">
      <c r="A662" t="s">
        <v>220</v>
      </c>
      <c r="B662" t="s">
        <v>2152</v>
      </c>
      <c r="C662" t="s">
        <v>2246</v>
      </c>
      <c r="D662" t="s">
        <v>2247</v>
      </c>
      <c r="E662" t="s">
        <v>545</v>
      </c>
      <c r="F662">
        <v>2200</v>
      </c>
      <c r="G662">
        <v>0.30299999999999999</v>
      </c>
      <c r="H662">
        <v>666.6</v>
      </c>
      <c r="I662" t="s">
        <v>541</v>
      </c>
    </row>
    <row r="663" spans="1:9" x14ac:dyDescent="0.25">
      <c r="A663" t="s">
        <v>220</v>
      </c>
      <c r="B663" t="s">
        <v>2152</v>
      </c>
      <c r="C663" t="s">
        <v>2248</v>
      </c>
      <c r="D663" t="s">
        <v>2249</v>
      </c>
      <c r="E663" t="s">
        <v>545</v>
      </c>
      <c r="F663">
        <v>2200</v>
      </c>
      <c r="G663">
        <v>0.30299999999999999</v>
      </c>
      <c r="H663">
        <v>666.6</v>
      </c>
      <c r="I663" t="s">
        <v>541</v>
      </c>
    </row>
    <row r="664" spans="1:9" x14ac:dyDescent="0.25">
      <c r="A664" t="s">
        <v>220</v>
      </c>
      <c r="B664" t="s">
        <v>2152</v>
      </c>
      <c r="C664" t="s">
        <v>2250</v>
      </c>
      <c r="D664" t="s">
        <v>2251</v>
      </c>
      <c r="E664" t="s">
        <v>545</v>
      </c>
      <c r="F664">
        <v>3000</v>
      </c>
      <c r="G664">
        <v>0.37010515374331554</v>
      </c>
      <c r="H664">
        <v>1110.3154612299465</v>
      </c>
      <c r="I664" t="s">
        <v>541</v>
      </c>
    </row>
    <row r="665" spans="1:9" x14ac:dyDescent="0.25">
      <c r="A665" t="s">
        <v>220</v>
      </c>
      <c r="B665" t="s">
        <v>2152</v>
      </c>
      <c r="C665" t="s">
        <v>2252</v>
      </c>
      <c r="D665" t="s">
        <v>2253</v>
      </c>
      <c r="E665" t="s">
        <v>545</v>
      </c>
      <c r="F665">
        <v>1000</v>
      </c>
      <c r="G665">
        <v>0.82820000000000005</v>
      </c>
      <c r="H665">
        <v>828.2</v>
      </c>
      <c r="I665" t="s">
        <v>541</v>
      </c>
    </row>
    <row r="666" spans="1:9" x14ac:dyDescent="0.25">
      <c r="A666" t="s">
        <v>220</v>
      </c>
      <c r="B666" t="s">
        <v>2152</v>
      </c>
      <c r="C666" t="s">
        <v>2254</v>
      </c>
      <c r="D666" t="s">
        <v>2255</v>
      </c>
      <c r="E666" t="s">
        <v>545</v>
      </c>
      <c r="F666">
        <v>2300</v>
      </c>
      <c r="G666">
        <v>0.1340995507705729</v>
      </c>
      <c r="H666">
        <v>308.42896677231766</v>
      </c>
      <c r="I666" t="s">
        <v>541</v>
      </c>
    </row>
    <row r="667" spans="1:9" x14ac:dyDescent="0.25">
      <c r="A667" t="s">
        <v>220</v>
      </c>
      <c r="B667" t="s">
        <v>2152</v>
      </c>
      <c r="C667" t="s">
        <v>2256</v>
      </c>
      <c r="D667" t="s">
        <v>2257</v>
      </c>
      <c r="E667" t="s">
        <v>545</v>
      </c>
      <c r="F667">
        <v>500</v>
      </c>
      <c r="G667">
        <v>7.5999999999999998E-2</v>
      </c>
      <c r="H667">
        <v>38</v>
      </c>
      <c r="I667" t="s">
        <v>541</v>
      </c>
    </row>
    <row r="668" spans="1:9" x14ac:dyDescent="0.25">
      <c r="A668" t="s">
        <v>220</v>
      </c>
      <c r="B668" t="s">
        <v>2152</v>
      </c>
      <c r="C668" t="s">
        <v>2258</v>
      </c>
      <c r="D668" t="s">
        <v>2259</v>
      </c>
      <c r="E668" t="s">
        <v>545</v>
      </c>
      <c r="F668">
        <v>1000</v>
      </c>
      <c r="G668">
        <v>0.10545201249132548</v>
      </c>
      <c r="H668">
        <v>105.45201249132548</v>
      </c>
      <c r="I668" t="s">
        <v>541</v>
      </c>
    </row>
    <row r="669" spans="1:9" x14ac:dyDescent="0.25">
      <c r="A669" t="s">
        <v>220</v>
      </c>
      <c r="B669" t="s">
        <v>2152</v>
      </c>
      <c r="C669" t="s">
        <v>2260</v>
      </c>
      <c r="D669" t="s">
        <v>2261</v>
      </c>
      <c r="E669" t="s">
        <v>545</v>
      </c>
      <c r="F669">
        <v>2400</v>
      </c>
      <c r="G669">
        <v>0.30299999999999999</v>
      </c>
      <c r="H669">
        <v>727.19999999999993</v>
      </c>
      <c r="I669" t="s">
        <v>541</v>
      </c>
    </row>
    <row r="670" spans="1:9" x14ac:dyDescent="0.25">
      <c r="A670" t="s">
        <v>220</v>
      </c>
      <c r="B670" t="s">
        <v>2152</v>
      </c>
      <c r="C670" t="s">
        <v>2262</v>
      </c>
      <c r="D670" t="s">
        <v>2263</v>
      </c>
      <c r="E670" t="s">
        <v>545</v>
      </c>
      <c r="F670">
        <v>2000</v>
      </c>
      <c r="G670">
        <v>0.26722962706336201</v>
      </c>
      <c r="H670">
        <v>534.45925412672398</v>
      </c>
      <c r="I670" t="s">
        <v>541</v>
      </c>
    </row>
    <row r="671" spans="1:9" x14ac:dyDescent="0.25">
      <c r="A671" t="s">
        <v>220</v>
      </c>
      <c r="B671" t="s">
        <v>2152</v>
      </c>
      <c r="C671" t="s">
        <v>1476</v>
      </c>
      <c r="D671" t="s">
        <v>1477</v>
      </c>
      <c r="E671" t="s">
        <v>545</v>
      </c>
      <c r="F671">
        <v>1500</v>
      </c>
      <c r="G671">
        <v>0.35803067599660765</v>
      </c>
      <c r="H671">
        <v>537.0460139949115</v>
      </c>
      <c r="I671" t="s">
        <v>541</v>
      </c>
    </row>
    <row r="672" spans="1:9" x14ac:dyDescent="0.25">
      <c r="A672" t="s">
        <v>220</v>
      </c>
      <c r="B672" t="s">
        <v>2152</v>
      </c>
      <c r="C672" t="s">
        <v>2264</v>
      </c>
      <c r="D672" t="s">
        <v>2265</v>
      </c>
      <c r="E672" t="s">
        <v>545</v>
      </c>
      <c r="F672">
        <v>1830</v>
      </c>
      <c r="G672">
        <v>0.35046659474671671</v>
      </c>
      <c r="H672">
        <v>641.35386838649163</v>
      </c>
      <c r="I672" t="s">
        <v>541</v>
      </c>
    </row>
    <row r="673" spans="1:9" x14ac:dyDescent="0.25">
      <c r="A673" t="s">
        <v>220</v>
      </c>
      <c r="B673" t="s">
        <v>2152</v>
      </c>
      <c r="C673" t="s">
        <v>2266</v>
      </c>
      <c r="D673" t="s">
        <v>2267</v>
      </c>
      <c r="E673" t="s">
        <v>545</v>
      </c>
      <c r="F673">
        <v>2000</v>
      </c>
      <c r="G673">
        <v>0.29289999999999999</v>
      </c>
      <c r="H673">
        <v>585.79999999999995</v>
      </c>
      <c r="I673" t="s">
        <v>541</v>
      </c>
    </row>
    <row r="674" spans="1:9" x14ac:dyDescent="0.25">
      <c r="A674" t="s">
        <v>220</v>
      </c>
      <c r="B674" t="s">
        <v>2152</v>
      </c>
      <c r="C674" t="s">
        <v>2268</v>
      </c>
      <c r="D674" t="s">
        <v>2269</v>
      </c>
      <c r="E674" t="s">
        <v>545</v>
      </c>
      <c r="F674">
        <v>2500</v>
      </c>
      <c r="G674">
        <v>0.14661583064481437</v>
      </c>
      <c r="H674">
        <v>366.53957661203594</v>
      </c>
      <c r="I674" t="s">
        <v>541</v>
      </c>
    </row>
    <row r="675" spans="1:9" x14ac:dyDescent="0.25">
      <c r="A675" t="s">
        <v>220</v>
      </c>
      <c r="B675" t="s">
        <v>2152</v>
      </c>
      <c r="C675" t="s">
        <v>2270</v>
      </c>
      <c r="D675" t="s">
        <v>2271</v>
      </c>
      <c r="E675" t="s">
        <v>545</v>
      </c>
      <c r="F675">
        <v>1000</v>
      </c>
      <c r="G675">
        <v>0.18640952380952377</v>
      </c>
      <c r="H675">
        <v>186.40952380952376</v>
      </c>
      <c r="I675" t="s">
        <v>541</v>
      </c>
    </row>
    <row r="676" spans="1:9" x14ac:dyDescent="0.25">
      <c r="A676" t="s">
        <v>220</v>
      </c>
      <c r="B676" t="s">
        <v>2152</v>
      </c>
      <c r="C676" t="s">
        <v>2272</v>
      </c>
      <c r="D676" t="s">
        <v>2273</v>
      </c>
      <c r="E676" t="s">
        <v>545</v>
      </c>
      <c r="F676">
        <v>1000</v>
      </c>
      <c r="G676">
        <v>0.20049655340859748</v>
      </c>
      <c r="H676">
        <v>200.49655340859749</v>
      </c>
      <c r="I676" t="s">
        <v>541</v>
      </c>
    </row>
    <row r="677" spans="1:9" x14ac:dyDescent="0.25">
      <c r="A677" t="s">
        <v>220</v>
      </c>
      <c r="B677" t="s">
        <v>2152</v>
      </c>
      <c r="C677" t="s">
        <v>2274</v>
      </c>
      <c r="D677" t="s">
        <v>2275</v>
      </c>
      <c r="E677" t="s">
        <v>545</v>
      </c>
      <c r="F677">
        <v>2000</v>
      </c>
      <c r="G677">
        <v>8.0799999999999997E-2</v>
      </c>
      <c r="H677">
        <v>161.6</v>
      </c>
      <c r="I677" t="s">
        <v>541</v>
      </c>
    </row>
    <row r="678" spans="1:9" x14ac:dyDescent="0.25">
      <c r="A678" t="s">
        <v>220</v>
      </c>
      <c r="B678" t="s">
        <v>2152</v>
      </c>
      <c r="C678" t="s">
        <v>2276</v>
      </c>
      <c r="D678" t="s">
        <v>2277</v>
      </c>
      <c r="E678" t="s">
        <v>545</v>
      </c>
      <c r="F678">
        <v>700</v>
      </c>
      <c r="G678">
        <v>0.22219999999999998</v>
      </c>
      <c r="H678">
        <v>155.54</v>
      </c>
      <c r="I678" t="s">
        <v>541</v>
      </c>
    </row>
    <row r="679" spans="1:9" x14ac:dyDescent="0.25">
      <c r="A679" t="s">
        <v>220</v>
      </c>
      <c r="B679" t="s">
        <v>2152</v>
      </c>
      <c r="C679" t="s">
        <v>2278</v>
      </c>
      <c r="D679" t="s">
        <v>2279</v>
      </c>
      <c r="E679" t="s">
        <v>545</v>
      </c>
      <c r="F679">
        <v>1000</v>
      </c>
      <c r="G679">
        <v>0.27158617327144191</v>
      </c>
      <c r="H679">
        <v>271.58617327144191</v>
      </c>
      <c r="I679" t="s">
        <v>541</v>
      </c>
    </row>
    <row r="680" spans="1:9" x14ac:dyDescent="0.25">
      <c r="A680" t="s">
        <v>220</v>
      </c>
      <c r="B680" t="s">
        <v>2152</v>
      </c>
      <c r="C680" t="s">
        <v>2280</v>
      </c>
      <c r="D680" t="s">
        <v>2281</v>
      </c>
      <c r="E680" t="s">
        <v>545</v>
      </c>
      <c r="F680">
        <v>1700</v>
      </c>
      <c r="G680">
        <v>0.25646241902594008</v>
      </c>
      <c r="H680">
        <v>435.98611234409816</v>
      </c>
      <c r="I680" t="s">
        <v>541</v>
      </c>
    </row>
    <row r="681" spans="1:9" x14ac:dyDescent="0.25">
      <c r="A681" t="s">
        <v>220</v>
      </c>
      <c r="B681" t="s">
        <v>2152</v>
      </c>
      <c r="C681" t="s">
        <v>2282</v>
      </c>
      <c r="D681" t="s">
        <v>2283</v>
      </c>
      <c r="E681" t="s">
        <v>545</v>
      </c>
      <c r="F681">
        <v>1000</v>
      </c>
      <c r="G681">
        <v>0.24569383034335271</v>
      </c>
      <c r="H681">
        <v>245.69383034335272</v>
      </c>
      <c r="I681" t="s">
        <v>541</v>
      </c>
    </row>
    <row r="682" spans="1:9" x14ac:dyDescent="0.25">
      <c r="A682" t="s">
        <v>220</v>
      </c>
      <c r="B682" t="s">
        <v>2152</v>
      </c>
      <c r="C682" t="s">
        <v>2284</v>
      </c>
      <c r="D682" t="s">
        <v>2285</v>
      </c>
      <c r="E682" t="s">
        <v>545</v>
      </c>
      <c r="F682">
        <v>2000</v>
      </c>
      <c r="G682">
        <v>0.17410476190476185</v>
      </c>
      <c r="H682">
        <v>348.20952380952372</v>
      </c>
      <c r="I682" t="s">
        <v>541</v>
      </c>
    </row>
    <row r="683" spans="1:9" x14ac:dyDescent="0.25">
      <c r="A683" t="s">
        <v>220</v>
      </c>
      <c r="B683" t="s">
        <v>2152</v>
      </c>
      <c r="C683" t="s">
        <v>2286</v>
      </c>
      <c r="D683" t="s">
        <v>2287</v>
      </c>
      <c r="E683" t="s">
        <v>545</v>
      </c>
      <c r="F683">
        <v>2000</v>
      </c>
      <c r="G683">
        <v>0.2525</v>
      </c>
      <c r="H683">
        <v>505</v>
      </c>
      <c r="I683" t="s">
        <v>541</v>
      </c>
    </row>
    <row r="684" spans="1:9" x14ac:dyDescent="0.25">
      <c r="A684" t="s">
        <v>220</v>
      </c>
      <c r="B684" t="s">
        <v>2152</v>
      </c>
      <c r="C684" t="s">
        <v>2288</v>
      </c>
      <c r="D684" t="s">
        <v>2289</v>
      </c>
      <c r="E684" t="s">
        <v>545</v>
      </c>
      <c r="F684">
        <v>2000</v>
      </c>
      <c r="G684">
        <v>0.26352316456834513</v>
      </c>
      <c r="H684">
        <v>527.04632913669025</v>
      </c>
      <c r="I684" t="s">
        <v>541</v>
      </c>
    </row>
    <row r="685" spans="1:9" x14ac:dyDescent="0.25">
      <c r="A685" t="s">
        <v>220</v>
      </c>
      <c r="B685" t="s">
        <v>2152</v>
      </c>
      <c r="C685" t="s">
        <v>2290</v>
      </c>
      <c r="D685" t="s">
        <v>2291</v>
      </c>
      <c r="E685" t="s">
        <v>545</v>
      </c>
      <c r="F685">
        <v>1900</v>
      </c>
      <c r="G685">
        <v>0.10610834090417477</v>
      </c>
      <c r="H685">
        <v>201.60584771793208</v>
      </c>
      <c r="I685" t="s">
        <v>541</v>
      </c>
    </row>
    <row r="686" spans="1:9" x14ac:dyDescent="0.25">
      <c r="A686" t="s">
        <v>220</v>
      </c>
      <c r="B686" t="s">
        <v>2152</v>
      </c>
      <c r="C686" t="s">
        <v>1504</v>
      </c>
      <c r="D686" t="s">
        <v>1505</v>
      </c>
      <c r="E686" t="s">
        <v>545</v>
      </c>
      <c r="F686">
        <v>460</v>
      </c>
      <c r="G686">
        <v>0.30071575047882365</v>
      </c>
      <c r="H686">
        <v>138.32924522025888</v>
      </c>
      <c r="I686" t="s">
        <v>541</v>
      </c>
    </row>
    <row r="687" spans="1:9" x14ac:dyDescent="0.25">
      <c r="A687" t="s">
        <v>220</v>
      </c>
      <c r="B687" t="s">
        <v>2152</v>
      </c>
      <c r="C687" t="s">
        <v>2292</v>
      </c>
      <c r="D687" t="s">
        <v>2293</v>
      </c>
      <c r="E687" t="s">
        <v>545</v>
      </c>
      <c r="F687">
        <v>3500</v>
      </c>
      <c r="G687">
        <v>0.125</v>
      </c>
      <c r="H687">
        <v>437.5</v>
      </c>
      <c r="I687" t="s">
        <v>541</v>
      </c>
    </row>
    <row r="688" spans="1:9" x14ac:dyDescent="0.25">
      <c r="A688" t="s">
        <v>220</v>
      </c>
      <c r="B688" t="s">
        <v>2152</v>
      </c>
      <c r="C688" t="s">
        <v>2294</v>
      </c>
      <c r="D688" t="s">
        <v>2295</v>
      </c>
      <c r="E688" t="s">
        <v>545</v>
      </c>
      <c r="F688">
        <v>1000</v>
      </c>
      <c r="G688">
        <v>3.3489166387679951E-2</v>
      </c>
      <c r="H688">
        <v>33.489166387679951</v>
      </c>
      <c r="I688" t="s">
        <v>541</v>
      </c>
    </row>
    <row r="689" spans="1:9" x14ac:dyDescent="0.25">
      <c r="A689" t="s">
        <v>220</v>
      </c>
      <c r="B689" t="s">
        <v>2152</v>
      </c>
      <c r="C689" t="s">
        <v>2296</v>
      </c>
      <c r="D689" t="s">
        <v>2297</v>
      </c>
      <c r="E689" t="s">
        <v>545</v>
      </c>
      <c r="F689">
        <v>1000</v>
      </c>
      <c r="G689">
        <v>0.15866131221719457</v>
      </c>
      <c r="H689">
        <v>158.66131221719456</v>
      </c>
      <c r="I689" t="s">
        <v>541</v>
      </c>
    </row>
    <row r="690" spans="1:9" x14ac:dyDescent="0.25">
      <c r="A690" t="s">
        <v>220</v>
      </c>
      <c r="B690" t="s">
        <v>2152</v>
      </c>
      <c r="C690" t="s">
        <v>2298</v>
      </c>
      <c r="D690" t="s">
        <v>2299</v>
      </c>
      <c r="E690" t="s">
        <v>545</v>
      </c>
      <c r="F690">
        <v>3400</v>
      </c>
      <c r="G690">
        <v>0.17169999999999999</v>
      </c>
      <c r="H690">
        <v>583.78</v>
      </c>
      <c r="I690" t="s">
        <v>541</v>
      </c>
    </row>
    <row r="691" spans="1:9" x14ac:dyDescent="0.25">
      <c r="A691" t="s">
        <v>220</v>
      </c>
      <c r="B691" t="s">
        <v>2152</v>
      </c>
      <c r="C691" t="s">
        <v>2300</v>
      </c>
      <c r="D691" t="s">
        <v>2301</v>
      </c>
      <c r="E691" t="s">
        <v>545</v>
      </c>
      <c r="F691">
        <v>5000</v>
      </c>
      <c r="G691">
        <v>0.17729165545879538</v>
      </c>
      <c r="H691">
        <v>886.45827729397695</v>
      </c>
      <c r="I691" t="s">
        <v>541</v>
      </c>
    </row>
    <row r="692" spans="1:9" x14ac:dyDescent="0.25">
      <c r="A692" t="s">
        <v>220</v>
      </c>
      <c r="B692" t="s">
        <v>2152</v>
      </c>
      <c r="C692" t="s">
        <v>2302</v>
      </c>
      <c r="D692" t="s">
        <v>2303</v>
      </c>
      <c r="E692" t="s">
        <v>545</v>
      </c>
      <c r="F692">
        <v>3463</v>
      </c>
      <c r="G692">
        <v>0.20228623237993706</v>
      </c>
      <c r="H692">
        <v>700.51722273172209</v>
      </c>
      <c r="I692" t="s">
        <v>541</v>
      </c>
    </row>
    <row r="693" spans="1:9" x14ac:dyDescent="0.25">
      <c r="A693" t="s">
        <v>220</v>
      </c>
      <c r="B693" t="s">
        <v>2152</v>
      </c>
      <c r="C693" t="s">
        <v>1516</v>
      </c>
      <c r="D693" t="s">
        <v>1517</v>
      </c>
      <c r="E693" t="s">
        <v>545</v>
      </c>
      <c r="F693">
        <v>2600</v>
      </c>
      <c r="G693">
        <v>0.35295722527875129</v>
      </c>
      <c r="H693">
        <v>917.6887857247533</v>
      </c>
      <c r="I693" t="s">
        <v>541</v>
      </c>
    </row>
    <row r="694" spans="1:9" x14ac:dyDescent="0.25">
      <c r="A694" t="s">
        <v>220</v>
      </c>
      <c r="B694" t="s">
        <v>2152</v>
      </c>
      <c r="C694" t="s">
        <v>2304</v>
      </c>
      <c r="D694" t="s">
        <v>2305</v>
      </c>
      <c r="E694" t="s">
        <v>545</v>
      </c>
      <c r="F694">
        <v>2000</v>
      </c>
      <c r="G694">
        <v>0.12548780487804878</v>
      </c>
      <c r="H694">
        <v>250.97560975609755</v>
      </c>
      <c r="I694" t="s">
        <v>541</v>
      </c>
    </row>
    <row r="695" spans="1:9" x14ac:dyDescent="0.25">
      <c r="A695" t="s">
        <v>220</v>
      </c>
      <c r="B695" t="s">
        <v>2152</v>
      </c>
      <c r="C695" t="s">
        <v>2306</v>
      </c>
      <c r="D695" t="s">
        <v>2307</v>
      </c>
      <c r="E695" t="s">
        <v>545</v>
      </c>
      <c r="F695">
        <v>6400</v>
      </c>
      <c r="G695">
        <v>0.24233607594936707</v>
      </c>
      <c r="H695">
        <v>1550.9508860759493</v>
      </c>
      <c r="I695" t="s">
        <v>541</v>
      </c>
    </row>
    <row r="696" spans="1:9" x14ac:dyDescent="0.25">
      <c r="A696" t="s">
        <v>220</v>
      </c>
      <c r="B696" t="s">
        <v>2152</v>
      </c>
      <c r="C696" t="s">
        <v>1518</v>
      </c>
      <c r="D696" t="s">
        <v>1519</v>
      </c>
      <c r="E696" t="s">
        <v>545</v>
      </c>
      <c r="F696">
        <v>3100</v>
      </c>
      <c r="G696">
        <v>0.23626010935804323</v>
      </c>
      <c r="H696">
        <v>732.40633900993396</v>
      </c>
      <c r="I696" t="s">
        <v>541</v>
      </c>
    </row>
    <row r="697" spans="1:9" x14ac:dyDescent="0.25">
      <c r="A697" t="s">
        <v>220</v>
      </c>
      <c r="B697" t="s">
        <v>2152</v>
      </c>
      <c r="C697" t="s">
        <v>2308</v>
      </c>
      <c r="D697" t="s">
        <v>2309</v>
      </c>
      <c r="E697" t="s">
        <v>545</v>
      </c>
      <c r="F697">
        <v>6000</v>
      </c>
      <c r="G697">
        <v>7.0699999999999999E-2</v>
      </c>
      <c r="H697">
        <v>424.2</v>
      </c>
      <c r="I697" t="s">
        <v>541</v>
      </c>
    </row>
    <row r="698" spans="1:9" x14ac:dyDescent="0.25">
      <c r="A698" t="s">
        <v>220</v>
      </c>
      <c r="B698" t="s">
        <v>2152</v>
      </c>
      <c r="C698" t="s">
        <v>1553</v>
      </c>
      <c r="D698" t="s">
        <v>1554</v>
      </c>
      <c r="E698" t="s">
        <v>545</v>
      </c>
      <c r="F698">
        <v>32600</v>
      </c>
      <c r="G698">
        <v>0.18271721810827424</v>
      </c>
      <c r="H698">
        <v>5956.5813103297405</v>
      </c>
      <c r="I698" t="s">
        <v>541</v>
      </c>
    </row>
    <row r="699" spans="1:9" x14ac:dyDescent="0.25">
      <c r="A699" t="s">
        <v>220</v>
      </c>
      <c r="B699" t="s">
        <v>2152</v>
      </c>
      <c r="C699" t="s">
        <v>2310</v>
      </c>
      <c r="D699" t="s">
        <v>2311</v>
      </c>
      <c r="E699" t="s">
        <v>545</v>
      </c>
      <c r="F699">
        <v>1000</v>
      </c>
      <c r="G699">
        <v>0.25987967479674801</v>
      </c>
      <c r="H699">
        <v>259.87967479674802</v>
      </c>
      <c r="I699" t="s">
        <v>541</v>
      </c>
    </row>
    <row r="700" spans="1:9" x14ac:dyDescent="0.25">
      <c r="A700" t="s">
        <v>220</v>
      </c>
      <c r="B700" t="s">
        <v>2152</v>
      </c>
      <c r="C700" t="s">
        <v>2312</v>
      </c>
      <c r="D700" t="s">
        <v>2313</v>
      </c>
      <c r="E700" t="s">
        <v>545</v>
      </c>
      <c r="F700">
        <v>2500</v>
      </c>
      <c r="G700">
        <v>0.33096666666666663</v>
      </c>
      <c r="H700">
        <v>827.41666666666663</v>
      </c>
      <c r="I700" t="s">
        <v>541</v>
      </c>
    </row>
    <row r="701" spans="1:9" x14ac:dyDescent="0.25">
      <c r="A701" t="s">
        <v>220</v>
      </c>
      <c r="B701" t="s">
        <v>2152</v>
      </c>
      <c r="C701" t="s">
        <v>2314</v>
      </c>
      <c r="D701" t="s">
        <v>2315</v>
      </c>
      <c r="E701" t="s">
        <v>545</v>
      </c>
      <c r="F701">
        <v>3500</v>
      </c>
      <c r="G701">
        <v>0.13561250000000002</v>
      </c>
      <c r="H701">
        <v>474.64375000000007</v>
      </c>
      <c r="I701" t="s">
        <v>541</v>
      </c>
    </row>
    <row r="702" spans="1:9" x14ac:dyDescent="0.25">
      <c r="A702" t="s">
        <v>220</v>
      </c>
      <c r="B702" t="s">
        <v>2152</v>
      </c>
      <c r="C702" t="s">
        <v>2316</v>
      </c>
      <c r="D702" t="s">
        <v>2317</v>
      </c>
      <c r="E702" t="s">
        <v>545</v>
      </c>
      <c r="F702">
        <v>2000</v>
      </c>
      <c r="G702">
        <v>0.22847999999999999</v>
      </c>
      <c r="H702">
        <v>456.96</v>
      </c>
      <c r="I702" t="s">
        <v>541</v>
      </c>
    </row>
    <row r="703" spans="1:9" x14ac:dyDescent="0.25">
      <c r="A703" t="s">
        <v>220</v>
      </c>
      <c r="B703" t="s">
        <v>2152</v>
      </c>
      <c r="C703" t="s">
        <v>2318</v>
      </c>
      <c r="D703" t="s">
        <v>2319</v>
      </c>
      <c r="E703" t="s">
        <v>545</v>
      </c>
      <c r="F703">
        <v>2500</v>
      </c>
      <c r="G703">
        <v>6.4000000000000001E-2</v>
      </c>
      <c r="H703">
        <v>160</v>
      </c>
      <c r="I703" t="s">
        <v>541</v>
      </c>
    </row>
    <row r="704" spans="1:9" x14ac:dyDescent="0.25">
      <c r="A704" t="s">
        <v>220</v>
      </c>
      <c r="B704" t="s">
        <v>2152</v>
      </c>
      <c r="C704" t="s">
        <v>1663</v>
      </c>
      <c r="D704" t="s">
        <v>1664</v>
      </c>
      <c r="E704" t="s">
        <v>545</v>
      </c>
      <c r="F704">
        <v>3500</v>
      </c>
      <c r="G704">
        <v>9.6687558107738575E-2</v>
      </c>
      <c r="H704">
        <v>338.40645337708503</v>
      </c>
      <c r="I704" t="s">
        <v>541</v>
      </c>
    </row>
    <row r="705" spans="1:9" x14ac:dyDescent="0.25">
      <c r="A705" t="s">
        <v>220</v>
      </c>
      <c r="B705" t="s">
        <v>2152</v>
      </c>
      <c r="C705" t="s">
        <v>2320</v>
      </c>
      <c r="D705" t="s">
        <v>2321</v>
      </c>
      <c r="E705" t="s">
        <v>545</v>
      </c>
      <c r="F705">
        <v>3000</v>
      </c>
      <c r="G705">
        <v>0.185</v>
      </c>
      <c r="H705">
        <v>555</v>
      </c>
      <c r="I705" t="s">
        <v>541</v>
      </c>
    </row>
    <row r="706" spans="1:9" x14ac:dyDescent="0.25">
      <c r="A706" t="s">
        <v>220</v>
      </c>
      <c r="B706" t="s">
        <v>2152</v>
      </c>
      <c r="C706" t="s">
        <v>2322</v>
      </c>
      <c r="D706" t="s">
        <v>2323</v>
      </c>
      <c r="E706" t="s">
        <v>545</v>
      </c>
      <c r="F706">
        <v>2500</v>
      </c>
      <c r="G706">
        <v>0.185</v>
      </c>
      <c r="H706">
        <v>462.5</v>
      </c>
      <c r="I706" t="s">
        <v>541</v>
      </c>
    </row>
    <row r="707" spans="1:9" x14ac:dyDescent="0.25">
      <c r="A707" t="s">
        <v>220</v>
      </c>
      <c r="B707" t="s">
        <v>2152</v>
      </c>
      <c r="C707" t="s">
        <v>2324</v>
      </c>
      <c r="D707" t="s">
        <v>2325</v>
      </c>
      <c r="E707" t="s">
        <v>545</v>
      </c>
      <c r="F707">
        <v>3000</v>
      </c>
      <c r="G707">
        <v>0.16160000000000002</v>
      </c>
      <c r="H707">
        <v>484.80000000000007</v>
      </c>
      <c r="I707" t="s">
        <v>541</v>
      </c>
    </row>
    <row r="708" spans="1:9" x14ac:dyDescent="0.25">
      <c r="A708" t="s">
        <v>220</v>
      </c>
      <c r="B708" t="s">
        <v>2152</v>
      </c>
      <c r="C708" t="s">
        <v>2326</v>
      </c>
      <c r="D708" t="s">
        <v>2327</v>
      </c>
      <c r="E708" t="s">
        <v>545</v>
      </c>
      <c r="F708">
        <v>1000</v>
      </c>
      <c r="G708">
        <v>0.16159999999999999</v>
      </c>
      <c r="H708">
        <v>161.6</v>
      </c>
      <c r="I708" t="s">
        <v>541</v>
      </c>
    </row>
    <row r="709" spans="1:9" x14ac:dyDescent="0.25">
      <c r="A709" t="s">
        <v>220</v>
      </c>
      <c r="B709" t="s">
        <v>2152</v>
      </c>
      <c r="C709" t="s">
        <v>2328</v>
      </c>
      <c r="D709" t="s">
        <v>1760</v>
      </c>
      <c r="E709" t="s">
        <v>545</v>
      </c>
      <c r="F709">
        <v>5130</v>
      </c>
      <c r="G709">
        <v>0.32886467784179196</v>
      </c>
      <c r="H709">
        <v>1687.0757973283928</v>
      </c>
      <c r="I709" t="s">
        <v>541</v>
      </c>
    </row>
    <row r="710" spans="1:9" x14ac:dyDescent="0.25">
      <c r="A710" t="s">
        <v>220</v>
      </c>
      <c r="B710" t="s">
        <v>2152</v>
      </c>
      <c r="C710" t="s">
        <v>2329</v>
      </c>
      <c r="D710" t="s">
        <v>1762</v>
      </c>
      <c r="E710" t="s">
        <v>545</v>
      </c>
      <c r="F710">
        <v>3900</v>
      </c>
      <c r="G710">
        <v>0.480290245331912</v>
      </c>
      <c r="H710">
        <v>1873.1319567944568</v>
      </c>
      <c r="I710" t="s">
        <v>541</v>
      </c>
    </row>
    <row r="711" spans="1:9" x14ac:dyDescent="0.25">
      <c r="A711" t="s">
        <v>220</v>
      </c>
      <c r="B711" t="s">
        <v>2152</v>
      </c>
      <c r="C711" t="s">
        <v>2330</v>
      </c>
      <c r="D711" t="s">
        <v>1764</v>
      </c>
      <c r="E711" t="s">
        <v>545</v>
      </c>
      <c r="F711">
        <v>6750</v>
      </c>
      <c r="G711">
        <v>0.48134959417034645</v>
      </c>
      <c r="H711">
        <v>3249.1097606498383</v>
      </c>
      <c r="I711" t="s">
        <v>541</v>
      </c>
    </row>
    <row r="712" spans="1:9" x14ac:dyDescent="0.25">
      <c r="A712" t="s">
        <v>220</v>
      </c>
      <c r="B712" t="s">
        <v>2152</v>
      </c>
      <c r="C712" t="s">
        <v>2331</v>
      </c>
      <c r="D712" t="s">
        <v>1766</v>
      </c>
      <c r="E712" t="s">
        <v>545</v>
      </c>
      <c r="F712">
        <v>2370</v>
      </c>
      <c r="G712">
        <v>0.5252</v>
      </c>
      <c r="H712">
        <v>1244.7239999999999</v>
      </c>
      <c r="I712" t="s">
        <v>541</v>
      </c>
    </row>
    <row r="713" spans="1:9" x14ac:dyDescent="0.25">
      <c r="A713" t="s">
        <v>220</v>
      </c>
      <c r="B713" t="s">
        <v>2152</v>
      </c>
      <c r="C713" t="s">
        <v>1767</v>
      </c>
      <c r="D713" t="s">
        <v>1768</v>
      </c>
      <c r="E713" t="s">
        <v>545</v>
      </c>
      <c r="F713">
        <v>2596</v>
      </c>
      <c r="G713">
        <v>0.51541355407119638</v>
      </c>
      <c r="H713">
        <v>1338.0135863688258</v>
      </c>
      <c r="I713" t="s">
        <v>541</v>
      </c>
    </row>
    <row r="714" spans="1:9" x14ac:dyDescent="0.25">
      <c r="A714" t="s">
        <v>220</v>
      </c>
      <c r="B714" t="s">
        <v>2152</v>
      </c>
      <c r="C714" t="s">
        <v>1769</v>
      </c>
      <c r="D714" t="s">
        <v>1770</v>
      </c>
      <c r="E714" t="s">
        <v>545</v>
      </c>
      <c r="F714">
        <v>2500</v>
      </c>
      <c r="G714">
        <v>0.68175000000000008</v>
      </c>
      <c r="H714">
        <v>1704.3750000000002</v>
      </c>
      <c r="I714" t="s">
        <v>541</v>
      </c>
    </row>
    <row r="715" spans="1:9" x14ac:dyDescent="0.25">
      <c r="A715" t="s">
        <v>220</v>
      </c>
      <c r="B715" t="s">
        <v>2152</v>
      </c>
      <c r="C715" t="s">
        <v>2332</v>
      </c>
      <c r="D715" t="s">
        <v>2333</v>
      </c>
      <c r="E715" t="s">
        <v>545</v>
      </c>
      <c r="F715">
        <v>1397</v>
      </c>
      <c r="G715">
        <v>3.0804999999999998</v>
      </c>
      <c r="H715">
        <v>4303.4584999999997</v>
      </c>
      <c r="I715" t="s">
        <v>541</v>
      </c>
    </row>
    <row r="716" spans="1:9" x14ac:dyDescent="0.25">
      <c r="A716" t="s">
        <v>220</v>
      </c>
      <c r="B716" t="s">
        <v>2152</v>
      </c>
      <c r="C716" t="s">
        <v>2334</v>
      </c>
      <c r="D716" t="s">
        <v>2335</v>
      </c>
      <c r="E716" t="s">
        <v>545</v>
      </c>
      <c r="F716">
        <v>1255</v>
      </c>
      <c r="G716">
        <v>3.0804999999999998</v>
      </c>
      <c r="H716">
        <v>3866.0274999999997</v>
      </c>
      <c r="I716" t="s">
        <v>541</v>
      </c>
    </row>
    <row r="717" spans="1:9" x14ac:dyDescent="0.25">
      <c r="A717" t="s">
        <v>220</v>
      </c>
      <c r="B717" t="s">
        <v>2152</v>
      </c>
      <c r="C717" t="s">
        <v>1899</v>
      </c>
      <c r="D717" t="s">
        <v>1900</v>
      </c>
      <c r="E717" t="s">
        <v>535</v>
      </c>
      <c r="F717">
        <v>2260</v>
      </c>
      <c r="G717">
        <v>19.719606724089633</v>
      </c>
      <c r="H717">
        <v>44566.31119644257</v>
      </c>
      <c r="I717" t="s">
        <v>541</v>
      </c>
    </row>
    <row r="718" spans="1:9" x14ac:dyDescent="0.25">
      <c r="A718" t="s">
        <v>747</v>
      </c>
      <c r="B718" t="s">
        <v>748</v>
      </c>
      <c r="D718" t="s">
        <v>7731</v>
      </c>
      <c r="E718" t="s">
        <v>7560</v>
      </c>
      <c r="F718">
        <v>1020</v>
      </c>
      <c r="G718">
        <v>3</v>
      </c>
      <c r="H718">
        <v>3060</v>
      </c>
      <c r="I718" t="s">
        <v>541</v>
      </c>
    </row>
    <row r="719" spans="1:9" x14ac:dyDescent="0.25">
      <c r="A719" t="s">
        <v>587</v>
      </c>
      <c r="B719" t="s">
        <v>591</v>
      </c>
      <c r="C719" t="s">
        <v>598</v>
      </c>
      <c r="D719" t="s">
        <v>599</v>
      </c>
      <c r="E719" t="s">
        <v>535</v>
      </c>
      <c r="F719">
        <v>4234</v>
      </c>
      <c r="G719">
        <v>7.253952221188797</v>
      </c>
      <c r="H719">
        <v>30713.233704513368</v>
      </c>
      <c r="I719" t="s">
        <v>536</v>
      </c>
    </row>
    <row r="720" spans="1:9" x14ac:dyDescent="0.25">
      <c r="A720" t="s">
        <v>587</v>
      </c>
      <c r="B720" t="s">
        <v>591</v>
      </c>
      <c r="C720" t="s">
        <v>7424</v>
      </c>
      <c r="D720" t="s">
        <v>7425</v>
      </c>
      <c r="E720" t="s">
        <v>535</v>
      </c>
      <c r="F720">
        <v>9352</v>
      </c>
      <c r="G720">
        <v>7.3183871015663744</v>
      </c>
      <c r="H720">
        <v>68441.55617384873</v>
      </c>
      <c r="I720" t="s">
        <v>536</v>
      </c>
    </row>
    <row r="721" spans="1:9" x14ac:dyDescent="0.25">
      <c r="A721" t="s">
        <v>587</v>
      </c>
      <c r="B721" t="s">
        <v>591</v>
      </c>
      <c r="C721" t="s">
        <v>7580</v>
      </c>
      <c r="D721" t="s">
        <v>7581</v>
      </c>
      <c r="E721" t="s">
        <v>535</v>
      </c>
      <c r="F721">
        <v>2946</v>
      </c>
      <c r="G721">
        <v>6.9625545437716401</v>
      </c>
      <c r="H721">
        <v>20511.685685951252</v>
      </c>
      <c r="I721" t="s">
        <v>536</v>
      </c>
    </row>
    <row r="722" spans="1:9" x14ac:dyDescent="0.25">
      <c r="A722" t="s">
        <v>587</v>
      </c>
      <c r="B722" t="s">
        <v>591</v>
      </c>
      <c r="C722" t="s">
        <v>672</v>
      </c>
      <c r="D722" t="s">
        <v>673</v>
      </c>
      <c r="E722" t="s">
        <v>535</v>
      </c>
      <c r="F722">
        <v>4800</v>
      </c>
      <c r="G722">
        <v>6.1093118766339956</v>
      </c>
      <c r="H722">
        <v>29324.697007843177</v>
      </c>
      <c r="I722" t="s">
        <v>541</v>
      </c>
    </row>
    <row r="723" spans="1:9" x14ac:dyDescent="0.25">
      <c r="A723" t="s">
        <v>587</v>
      </c>
      <c r="B723" t="s">
        <v>591</v>
      </c>
      <c r="C723" t="s">
        <v>675</v>
      </c>
      <c r="D723" t="s">
        <v>7426</v>
      </c>
      <c r="E723" t="s">
        <v>535</v>
      </c>
      <c r="F723">
        <v>19488</v>
      </c>
      <c r="G723">
        <v>5.9456740344009305</v>
      </c>
      <c r="H723">
        <v>115869.29558240534</v>
      </c>
      <c r="I723" t="s">
        <v>541</v>
      </c>
    </row>
    <row r="724" spans="1:9" x14ac:dyDescent="0.25">
      <c r="A724" t="s">
        <v>587</v>
      </c>
      <c r="B724" t="s">
        <v>591</v>
      </c>
      <c r="C724" t="s">
        <v>677</v>
      </c>
      <c r="D724" t="s">
        <v>7427</v>
      </c>
      <c r="E724" t="s">
        <v>535</v>
      </c>
      <c r="F724">
        <v>29578</v>
      </c>
      <c r="G724">
        <v>6.0075646583043891</v>
      </c>
      <c r="H724">
        <v>177691.74746332722</v>
      </c>
      <c r="I724" t="s">
        <v>541</v>
      </c>
    </row>
    <row r="725" spans="1:9" x14ac:dyDescent="0.25">
      <c r="A725" t="s">
        <v>587</v>
      </c>
      <c r="B725" t="s">
        <v>591</v>
      </c>
      <c r="C725" t="s">
        <v>677</v>
      </c>
      <c r="D725" t="s">
        <v>679</v>
      </c>
      <c r="E725" t="s">
        <v>535</v>
      </c>
      <c r="F725">
        <v>2682</v>
      </c>
      <c r="G725">
        <v>6.0075646583043891</v>
      </c>
      <c r="H725">
        <v>16112.288413572373</v>
      </c>
      <c r="I725" t="s">
        <v>541</v>
      </c>
    </row>
    <row r="726" spans="1:9" x14ac:dyDescent="0.25">
      <c r="A726" t="s">
        <v>587</v>
      </c>
      <c r="B726" t="s">
        <v>591</v>
      </c>
      <c r="C726" t="s">
        <v>7582</v>
      </c>
      <c r="D726" t="s">
        <v>2342</v>
      </c>
      <c r="E726" t="s">
        <v>535</v>
      </c>
      <c r="F726">
        <v>224</v>
      </c>
      <c r="G726">
        <v>6.7012502953691691</v>
      </c>
      <c r="H726">
        <v>1501.0800661626938</v>
      </c>
      <c r="I726" t="s">
        <v>536</v>
      </c>
    </row>
    <row r="727" spans="1:9" x14ac:dyDescent="0.25">
      <c r="A727" t="s">
        <v>587</v>
      </c>
      <c r="B727" t="s">
        <v>591</v>
      </c>
      <c r="C727" t="s">
        <v>7583</v>
      </c>
      <c r="D727" t="s">
        <v>2343</v>
      </c>
      <c r="E727" t="s">
        <v>535</v>
      </c>
      <c r="F727">
        <v>223</v>
      </c>
      <c r="G727">
        <v>6.1015978951966767</v>
      </c>
      <c r="H727">
        <v>1360.656330628859</v>
      </c>
      <c r="I727" t="s">
        <v>536</v>
      </c>
    </row>
    <row r="728" spans="1:9" x14ac:dyDescent="0.25">
      <c r="A728" t="s">
        <v>587</v>
      </c>
      <c r="B728" t="s">
        <v>591</v>
      </c>
      <c r="C728" t="s">
        <v>7582</v>
      </c>
      <c r="D728" t="s">
        <v>2344</v>
      </c>
      <c r="E728" t="s">
        <v>535</v>
      </c>
      <c r="F728">
        <v>341</v>
      </c>
      <c r="G728">
        <v>6.7012502953691691</v>
      </c>
      <c r="H728">
        <v>2285.1263507208864</v>
      </c>
      <c r="I728" t="s">
        <v>536</v>
      </c>
    </row>
    <row r="729" spans="1:9" x14ac:dyDescent="0.25">
      <c r="A729" t="s">
        <v>587</v>
      </c>
      <c r="B729" t="s">
        <v>591</v>
      </c>
      <c r="C729" t="s">
        <v>7408</v>
      </c>
      <c r="D729" t="s">
        <v>7429</v>
      </c>
      <c r="E729" t="s">
        <v>535</v>
      </c>
      <c r="F729">
        <v>43591.199999999997</v>
      </c>
      <c r="G729">
        <v>6.8240114899672228</v>
      </c>
      <c r="H729">
        <v>297466.84966145916</v>
      </c>
      <c r="I729" t="s">
        <v>536</v>
      </c>
    </row>
    <row r="730" spans="1:9" x14ac:dyDescent="0.25">
      <c r="A730" t="s">
        <v>587</v>
      </c>
      <c r="B730" t="s">
        <v>591</v>
      </c>
      <c r="C730" t="s">
        <v>7422</v>
      </c>
      <c r="D730" t="s">
        <v>7430</v>
      </c>
      <c r="E730" t="s">
        <v>535</v>
      </c>
      <c r="F730">
        <v>51452.2</v>
      </c>
      <c r="G730">
        <v>6.9091851252135434</v>
      </c>
      <c r="H730">
        <v>355492.77489951224</v>
      </c>
      <c r="I730" t="s">
        <v>536</v>
      </c>
    </row>
    <row r="731" spans="1:9" x14ac:dyDescent="0.25">
      <c r="A731" t="s">
        <v>587</v>
      </c>
      <c r="B731" t="s">
        <v>591</v>
      </c>
      <c r="C731" t="s">
        <v>7431</v>
      </c>
      <c r="D731" t="s">
        <v>7432</v>
      </c>
      <c r="E731" t="s">
        <v>535</v>
      </c>
      <c r="F731">
        <v>42000</v>
      </c>
      <c r="G731">
        <v>5.9611738048109606</v>
      </c>
      <c r="H731">
        <v>250369.29980206036</v>
      </c>
      <c r="I731" t="s">
        <v>536</v>
      </c>
    </row>
    <row r="732" spans="1:9" x14ac:dyDescent="0.25">
      <c r="A732" t="s">
        <v>587</v>
      </c>
      <c r="B732" t="s">
        <v>591</v>
      </c>
      <c r="C732" t="s">
        <v>596</v>
      </c>
      <c r="D732" t="s">
        <v>7585</v>
      </c>
      <c r="E732" t="s">
        <v>535</v>
      </c>
      <c r="F732">
        <v>580</v>
      </c>
      <c r="G732">
        <v>7.0286889224747169</v>
      </c>
      <c r="H732">
        <v>4076.6395750353358</v>
      </c>
      <c r="I732" t="s">
        <v>536</v>
      </c>
    </row>
    <row r="733" spans="1:9" x14ac:dyDescent="0.25">
      <c r="A733" t="s">
        <v>587</v>
      </c>
      <c r="B733" t="s">
        <v>591</v>
      </c>
      <c r="C733" t="s">
        <v>7586</v>
      </c>
      <c r="D733" t="s">
        <v>7587</v>
      </c>
      <c r="E733" t="s">
        <v>535</v>
      </c>
      <c r="F733">
        <v>136.5</v>
      </c>
      <c r="G733">
        <v>6.1015978951966749</v>
      </c>
      <c r="H733">
        <v>832.86811269434611</v>
      </c>
      <c r="I733" t="s">
        <v>536</v>
      </c>
    </row>
    <row r="734" spans="1:9" x14ac:dyDescent="0.25">
      <c r="A734" t="s">
        <v>587</v>
      </c>
      <c r="B734" t="s">
        <v>591</v>
      </c>
      <c r="C734" t="s">
        <v>7588</v>
      </c>
      <c r="D734" t="s">
        <v>7589</v>
      </c>
      <c r="E734" t="s">
        <v>535</v>
      </c>
      <c r="F734">
        <v>335.72</v>
      </c>
      <c r="G734">
        <v>7.0073950564729328</v>
      </c>
      <c r="H734">
        <v>2352.5226683590931</v>
      </c>
      <c r="I734" t="s">
        <v>536</v>
      </c>
    </row>
    <row r="735" spans="1:9" x14ac:dyDescent="0.25">
      <c r="A735" t="s">
        <v>587</v>
      </c>
      <c r="B735" t="s">
        <v>591</v>
      </c>
      <c r="C735" t="s">
        <v>7590</v>
      </c>
      <c r="D735" t="s">
        <v>695</v>
      </c>
      <c r="E735" t="s">
        <v>535</v>
      </c>
      <c r="F735">
        <v>10.17</v>
      </c>
      <c r="G735">
        <v>6.1015978951966749</v>
      </c>
      <c r="H735">
        <v>62.053250594150185</v>
      </c>
      <c r="I735" t="s">
        <v>536</v>
      </c>
    </row>
    <row r="736" spans="1:9" x14ac:dyDescent="0.25">
      <c r="A736" t="s">
        <v>587</v>
      </c>
      <c r="B736" t="s">
        <v>591</v>
      </c>
      <c r="C736" t="s">
        <v>698</v>
      </c>
      <c r="D736" t="s">
        <v>699</v>
      </c>
      <c r="E736" t="s">
        <v>535</v>
      </c>
      <c r="F736">
        <v>212.10000000000002</v>
      </c>
      <c r="G736">
        <v>6.2091069401640269</v>
      </c>
      <c r="H736">
        <v>1316.9515820087902</v>
      </c>
      <c r="I736" t="s">
        <v>536</v>
      </c>
    </row>
    <row r="737" spans="1:9" x14ac:dyDescent="0.25">
      <c r="A737" t="s">
        <v>587</v>
      </c>
      <c r="B737" t="s">
        <v>591</v>
      </c>
      <c r="C737" t="s">
        <v>7591</v>
      </c>
      <c r="D737" t="s">
        <v>7592</v>
      </c>
      <c r="E737" t="s">
        <v>535</v>
      </c>
      <c r="F737">
        <v>132.47999999999999</v>
      </c>
      <c r="G737">
        <v>6.9313281354440477</v>
      </c>
      <c r="H737">
        <v>918.26235138362733</v>
      </c>
      <c r="I737" t="s">
        <v>536</v>
      </c>
    </row>
    <row r="738" spans="1:9" x14ac:dyDescent="0.25">
      <c r="A738" t="s">
        <v>587</v>
      </c>
      <c r="B738" t="s">
        <v>591</v>
      </c>
      <c r="C738" t="s">
        <v>539</v>
      </c>
      <c r="D738" t="s">
        <v>749</v>
      </c>
      <c r="E738" t="s">
        <v>535</v>
      </c>
      <c r="F738">
        <v>4800</v>
      </c>
      <c r="G738">
        <v>5.2283988913440451</v>
      </c>
      <c r="H738">
        <v>25096.314678451417</v>
      </c>
      <c r="I738" t="s">
        <v>541</v>
      </c>
    </row>
    <row r="739" spans="1:9" x14ac:dyDescent="0.25">
      <c r="A739" t="s">
        <v>587</v>
      </c>
      <c r="B739" t="s">
        <v>591</v>
      </c>
      <c r="C739" t="s">
        <v>600</v>
      </c>
      <c r="D739" t="s">
        <v>601</v>
      </c>
      <c r="E739" t="s">
        <v>535</v>
      </c>
      <c r="F739">
        <v>478.73999999999995</v>
      </c>
      <c r="G739">
        <v>6.8911461805765386</v>
      </c>
      <c r="H739">
        <v>3299.0673224892116</v>
      </c>
      <c r="I739" t="s">
        <v>536</v>
      </c>
    </row>
    <row r="740" spans="1:9" x14ac:dyDescent="0.25">
      <c r="A740" t="s">
        <v>587</v>
      </c>
      <c r="B740" t="s">
        <v>591</v>
      </c>
      <c r="C740" t="s">
        <v>602</v>
      </c>
      <c r="D740" t="s">
        <v>603</v>
      </c>
      <c r="E740" t="s">
        <v>535</v>
      </c>
      <c r="F740">
        <v>556.6</v>
      </c>
      <c r="G740">
        <v>7.0485055291013108</v>
      </c>
      <c r="H740">
        <v>3923.1981774977899</v>
      </c>
      <c r="I740" t="s">
        <v>536</v>
      </c>
    </row>
    <row r="741" spans="1:9" x14ac:dyDescent="0.25">
      <c r="A741" t="s">
        <v>587</v>
      </c>
      <c r="B741" t="s">
        <v>591</v>
      </c>
      <c r="C741" t="s">
        <v>604</v>
      </c>
      <c r="D741" t="s">
        <v>605</v>
      </c>
      <c r="E741" t="s">
        <v>535</v>
      </c>
      <c r="F741">
        <v>135.29999999999998</v>
      </c>
      <c r="G741">
        <v>7.4361530964440723</v>
      </c>
      <c r="H741">
        <v>1006.1115139488828</v>
      </c>
      <c r="I741" t="s">
        <v>536</v>
      </c>
    </row>
    <row r="742" spans="1:9" x14ac:dyDescent="0.25">
      <c r="A742" t="s">
        <v>587</v>
      </c>
      <c r="B742" t="s">
        <v>591</v>
      </c>
      <c r="C742" t="s">
        <v>606</v>
      </c>
      <c r="D742" t="s">
        <v>607</v>
      </c>
      <c r="E742" t="s">
        <v>535</v>
      </c>
      <c r="F742">
        <v>849.904</v>
      </c>
      <c r="G742">
        <v>7.7544167830568647</v>
      </c>
      <c r="H742">
        <v>6590.5098415871616</v>
      </c>
      <c r="I742" t="s">
        <v>536</v>
      </c>
    </row>
    <row r="743" spans="1:9" x14ac:dyDescent="0.25">
      <c r="A743" t="s">
        <v>587</v>
      </c>
      <c r="B743" t="s">
        <v>591</v>
      </c>
      <c r="C743" t="s">
        <v>608</v>
      </c>
      <c r="D743" t="s">
        <v>609</v>
      </c>
      <c r="E743" t="s">
        <v>535</v>
      </c>
      <c r="F743">
        <v>121.2</v>
      </c>
      <c r="G743">
        <v>8.4769598691220054</v>
      </c>
      <c r="H743">
        <v>1027.4075361375872</v>
      </c>
      <c r="I743" t="s">
        <v>536</v>
      </c>
    </row>
    <row r="744" spans="1:9" x14ac:dyDescent="0.25">
      <c r="A744" t="s">
        <v>587</v>
      </c>
      <c r="B744" t="s">
        <v>591</v>
      </c>
      <c r="C744" t="s">
        <v>610</v>
      </c>
      <c r="D744" t="s">
        <v>611</v>
      </c>
      <c r="E744" t="s">
        <v>535</v>
      </c>
      <c r="F744">
        <v>709.23599999999999</v>
      </c>
      <c r="G744">
        <v>7.028479616511369</v>
      </c>
      <c r="H744">
        <v>4984.8507692960575</v>
      </c>
      <c r="I744" t="s">
        <v>536</v>
      </c>
    </row>
    <row r="745" spans="1:9" x14ac:dyDescent="0.25">
      <c r="A745" t="s">
        <v>587</v>
      </c>
      <c r="B745" t="s">
        <v>591</v>
      </c>
      <c r="C745" t="s">
        <v>612</v>
      </c>
      <c r="D745" t="s">
        <v>613</v>
      </c>
      <c r="E745" t="s">
        <v>535</v>
      </c>
      <c r="F745">
        <v>41.408000000000001</v>
      </c>
      <c r="G745">
        <v>7.2346773919839906</v>
      </c>
      <c r="H745">
        <v>299.57352144727309</v>
      </c>
      <c r="I745" t="s">
        <v>536</v>
      </c>
    </row>
    <row r="746" spans="1:9" x14ac:dyDescent="0.25">
      <c r="A746" t="s">
        <v>587</v>
      </c>
      <c r="B746" t="s">
        <v>591</v>
      </c>
      <c r="C746" t="s">
        <v>614</v>
      </c>
      <c r="D746" t="s">
        <v>615</v>
      </c>
      <c r="E746" t="s">
        <v>535</v>
      </c>
      <c r="F746">
        <v>833.56</v>
      </c>
      <c r="G746">
        <v>8.8391259371829669</v>
      </c>
      <c r="H746">
        <v>7367.941816198233</v>
      </c>
      <c r="I746" t="s">
        <v>536</v>
      </c>
    </row>
    <row r="747" spans="1:9" x14ac:dyDescent="0.25">
      <c r="A747" t="s">
        <v>587</v>
      </c>
      <c r="B747" t="s">
        <v>591</v>
      </c>
      <c r="C747" t="s">
        <v>616</v>
      </c>
      <c r="D747" t="s">
        <v>617</v>
      </c>
      <c r="E747" t="s">
        <v>535</v>
      </c>
      <c r="F747">
        <v>33.6</v>
      </c>
      <c r="G747">
        <v>8.0921512644837961</v>
      </c>
      <c r="H747">
        <v>271.89628248665554</v>
      </c>
      <c r="I747" t="s">
        <v>536</v>
      </c>
    </row>
    <row r="748" spans="1:9" x14ac:dyDescent="0.25">
      <c r="A748" t="s">
        <v>587</v>
      </c>
      <c r="B748" t="s">
        <v>591</v>
      </c>
      <c r="C748" t="s">
        <v>618</v>
      </c>
      <c r="D748" t="s">
        <v>619</v>
      </c>
      <c r="E748" t="s">
        <v>535</v>
      </c>
      <c r="F748">
        <v>187.96</v>
      </c>
      <c r="G748">
        <v>7.4283869622155629</v>
      </c>
      <c r="H748">
        <v>1396.2396134180374</v>
      </c>
      <c r="I748" t="s">
        <v>536</v>
      </c>
    </row>
    <row r="749" spans="1:9" x14ac:dyDescent="0.25">
      <c r="A749" t="s">
        <v>587</v>
      </c>
      <c r="B749" t="s">
        <v>591</v>
      </c>
      <c r="C749" t="s">
        <v>622</v>
      </c>
      <c r="D749" t="s">
        <v>623</v>
      </c>
      <c r="E749" t="s">
        <v>535</v>
      </c>
      <c r="F749">
        <v>468</v>
      </c>
      <c r="G749">
        <v>6.9753454657018183</v>
      </c>
      <c r="H749">
        <v>3264.4616779484509</v>
      </c>
      <c r="I749" t="s">
        <v>536</v>
      </c>
    </row>
    <row r="750" spans="1:9" x14ac:dyDescent="0.25">
      <c r="A750" t="s">
        <v>587</v>
      </c>
      <c r="B750" t="s">
        <v>591</v>
      </c>
      <c r="C750" t="s">
        <v>624</v>
      </c>
      <c r="D750" t="s">
        <v>625</v>
      </c>
      <c r="E750" t="s">
        <v>535</v>
      </c>
      <c r="F750">
        <v>188.1</v>
      </c>
      <c r="G750">
        <v>8.6555364234979386</v>
      </c>
      <c r="H750">
        <v>1628.1064012599622</v>
      </c>
      <c r="I750" t="s">
        <v>536</v>
      </c>
    </row>
    <row r="751" spans="1:9" x14ac:dyDescent="0.25">
      <c r="A751" t="s">
        <v>587</v>
      </c>
      <c r="B751" t="s">
        <v>591</v>
      </c>
      <c r="C751" t="s">
        <v>626</v>
      </c>
      <c r="D751" t="s">
        <v>627</v>
      </c>
      <c r="E751" t="s">
        <v>535</v>
      </c>
      <c r="F751">
        <v>60.375</v>
      </c>
      <c r="G751">
        <v>7.4935420431253537</v>
      </c>
      <c r="H751">
        <v>452.42260085369321</v>
      </c>
      <c r="I751" t="s">
        <v>536</v>
      </c>
    </row>
    <row r="752" spans="1:9" x14ac:dyDescent="0.25">
      <c r="A752" t="s">
        <v>587</v>
      </c>
      <c r="B752" t="s">
        <v>591</v>
      </c>
      <c r="C752" t="s">
        <v>628</v>
      </c>
      <c r="D752" t="s">
        <v>629</v>
      </c>
      <c r="E752" t="s">
        <v>535</v>
      </c>
      <c r="F752">
        <v>26.82</v>
      </c>
      <c r="G752">
        <v>7.4309356402751998</v>
      </c>
      <c r="H752">
        <v>199.29769387218087</v>
      </c>
      <c r="I752" t="s">
        <v>536</v>
      </c>
    </row>
    <row r="753" spans="1:9" x14ac:dyDescent="0.25">
      <c r="A753" t="s">
        <v>587</v>
      </c>
      <c r="B753" t="s">
        <v>591</v>
      </c>
      <c r="C753" t="s">
        <v>630</v>
      </c>
      <c r="D753" t="s">
        <v>631</v>
      </c>
      <c r="E753" t="s">
        <v>535</v>
      </c>
      <c r="F753">
        <v>40.020000000000003</v>
      </c>
      <c r="G753">
        <v>7.1336770756969887</v>
      </c>
      <c r="H753">
        <v>285.48975656939353</v>
      </c>
      <c r="I753" t="s">
        <v>536</v>
      </c>
    </row>
    <row r="754" spans="1:9" x14ac:dyDescent="0.25">
      <c r="A754" t="s">
        <v>587</v>
      </c>
      <c r="B754" t="s">
        <v>591</v>
      </c>
      <c r="C754" t="s">
        <v>632</v>
      </c>
      <c r="D754" t="s">
        <v>633</v>
      </c>
      <c r="E754" t="s">
        <v>535</v>
      </c>
      <c r="F754">
        <v>35.392000000000003</v>
      </c>
      <c r="G754">
        <v>7.6239119609528672</v>
      </c>
      <c r="H754">
        <v>269.8254921220439</v>
      </c>
      <c r="I754" t="s">
        <v>536</v>
      </c>
    </row>
    <row r="755" spans="1:9" x14ac:dyDescent="0.25">
      <c r="A755" t="s">
        <v>587</v>
      </c>
      <c r="B755" t="s">
        <v>591</v>
      </c>
      <c r="C755" t="s">
        <v>634</v>
      </c>
      <c r="D755" t="s">
        <v>635</v>
      </c>
      <c r="E755" t="s">
        <v>535</v>
      </c>
      <c r="F755">
        <v>157.18</v>
      </c>
      <c r="G755">
        <v>7.6918693550487474</v>
      </c>
      <c r="H755">
        <v>1209.0080252265623</v>
      </c>
      <c r="I755" t="s">
        <v>536</v>
      </c>
    </row>
    <row r="756" spans="1:9" x14ac:dyDescent="0.25">
      <c r="A756" t="s">
        <v>587</v>
      </c>
      <c r="B756" t="s">
        <v>591</v>
      </c>
      <c r="C756" t="s">
        <v>690</v>
      </c>
      <c r="D756" t="s">
        <v>691</v>
      </c>
      <c r="E756" t="s">
        <v>535</v>
      </c>
      <c r="F756">
        <v>106.92</v>
      </c>
      <c r="G756">
        <v>6.3979047810123637</v>
      </c>
      <c r="H756">
        <v>684.06397918584196</v>
      </c>
      <c r="I756" t="s">
        <v>536</v>
      </c>
    </row>
    <row r="757" spans="1:9" x14ac:dyDescent="0.25">
      <c r="A757" t="s">
        <v>587</v>
      </c>
      <c r="B757" t="s">
        <v>591</v>
      </c>
      <c r="C757" t="s">
        <v>7462</v>
      </c>
      <c r="D757" t="s">
        <v>7732</v>
      </c>
      <c r="E757" t="s">
        <v>535</v>
      </c>
      <c r="F757">
        <v>22.324999999999999</v>
      </c>
      <c r="G757">
        <v>7.7037627471332772</v>
      </c>
      <c r="H757">
        <v>171.98650332975041</v>
      </c>
      <c r="I757" t="s">
        <v>536</v>
      </c>
    </row>
    <row r="758" spans="1:9" x14ac:dyDescent="0.25">
      <c r="A758" t="s">
        <v>587</v>
      </c>
      <c r="B758" t="s">
        <v>591</v>
      </c>
      <c r="C758" t="s">
        <v>7464</v>
      </c>
      <c r="D758" t="s">
        <v>7465</v>
      </c>
      <c r="E758" t="s">
        <v>535</v>
      </c>
      <c r="F758">
        <v>610.9</v>
      </c>
      <c r="G758">
        <v>8.4029636771717744</v>
      </c>
      <c r="H758">
        <v>5133.3705103842367</v>
      </c>
      <c r="I758" t="s">
        <v>536</v>
      </c>
    </row>
    <row r="759" spans="1:9" x14ac:dyDescent="0.25">
      <c r="A759" t="s">
        <v>587</v>
      </c>
      <c r="B759" t="s">
        <v>591</v>
      </c>
      <c r="C759" t="s">
        <v>7733</v>
      </c>
      <c r="D759" t="s">
        <v>7734</v>
      </c>
      <c r="E759" t="s">
        <v>535</v>
      </c>
      <c r="F759">
        <v>2466</v>
      </c>
      <c r="G759">
        <v>5.9456740344009305</v>
      </c>
      <c r="H759">
        <v>14662.032168832695</v>
      </c>
      <c r="I759" t="s">
        <v>536</v>
      </c>
    </row>
    <row r="760" spans="1:9" x14ac:dyDescent="0.25">
      <c r="A760" t="s">
        <v>587</v>
      </c>
      <c r="B760" t="s">
        <v>591</v>
      </c>
      <c r="C760" t="s">
        <v>2340</v>
      </c>
      <c r="D760" t="s">
        <v>7735</v>
      </c>
      <c r="E760" t="s">
        <v>535</v>
      </c>
      <c r="F760">
        <v>6700</v>
      </c>
      <c r="G760">
        <v>7.3202738486734091</v>
      </c>
      <c r="H760">
        <v>49045.834786111838</v>
      </c>
      <c r="I760" t="s">
        <v>536</v>
      </c>
    </row>
    <row r="761" spans="1:9" x14ac:dyDescent="0.25">
      <c r="A761" t="s">
        <v>587</v>
      </c>
      <c r="B761" t="s">
        <v>591</v>
      </c>
      <c r="C761" t="s">
        <v>7736</v>
      </c>
      <c r="D761" t="s">
        <v>7737</v>
      </c>
      <c r="E761" t="s">
        <v>535</v>
      </c>
      <c r="F761">
        <v>81</v>
      </c>
      <c r="G761">
        <v>7.0286889224747169</v>
      </c>
      <c r="H761">
        <v>569.32380272045202</v>
      </c>
      <c r="I761" t="s">
        <v>536</v>
      </c>
    </row>
    <row r="762" spans="1:9" x14ac:dyDescent="0.25">
      <c r="A762" t="s">
        <v>587</v>
      </c>
      <c r="B762" t="s">
        <v>591</v>
      </c>
      <c r="C762" t="s">
        <v>7738</v>
      </c>
      <c r="D762" t="s">
        <v>7739</v>
      </c>
      <c r="E762" t="s">
        <v>535</v>
      </c>
      <c r="F762">
        <v>7.6999999999999993</v>
      </c>
      <c r="G762">
        <v>7.4129535823143655</v>
      </c>
      <c r="H762">
        <v>57.079742583820611</v>
      </c>
      <c r="I762" t="s">
        <v>536</v>
      </c>
    </row>
    <row r="763" spans="1:9" x14ac:dyDescent="0.25">
      <c r="A763" t="s">
        <v>587</v>
      </c>
      <c r="B763" t="s">
        <v>591</v>
      </c>
      <c r="C763" t="s">
        <v>620</v>
      </c>
      <c r="D763" t="s">
        <v>7740</v>
      </c>
      <c r="E763" t="s">
        <v>535</v>
      </c>
      <c r="F763">
        <v>10.574999999999999</v>
      </c>
      <c r="G763">
        <v>7.7544167830568638</v>
      </c>
      <c r="H763">
        <v>82.002957480826325</v>
      </c>
      <c r="I763" t="s">
        <v>536</v>
      </c>
    </row>
    <row r="764" spans="1:9" x14ac:dyDescent="0.25">
      <c r="A764" t="s">
        <v>220</v>
      </c>
      <c r="B764" t="s">
        <v>702</v>
      </c>
      <c r="C764" t="s">
        <v>703</v>
      </c>
      <c r="D764" t="s">
        <v>704</v>
      </c>
      <c r="E764" t="s">
        <v>535</v>
      </c>
      <c r="F764">
        <v>34770</v>
      </c>
      <c r="G764">
        <v>0.60033117643563405</v>
      </c>
      <c r="H764">
        <v>20873.515004666995</v>
      </c>
      <c r="I764" t="s">
        <v>541</v>
      </c>
    </row>
    <row r="765" spans="1:9" x14ac:dyDescent="0.25">
      <c r="A765" t="s">
        <v>220</v>
      </c>
      <c r="B765" t="s">
        <v>702</v>
      </c>
      <c r="C765" t="s">
        <v>705</v>
      </c>
      <c r="D765" t="s">
        <v>706</v>
      </c>
      <c r="E765" t="s">
        <v>535</v>
      </c>
      <c r="F765">
        <v>2200</v>
      </c>
      <c r="G765">
        <v>3.0983137803156655</v>
      </c>
      <c r="H765">
        <v>6816.2903166944643</v>
      </c>
      <c r="I765" t="s">
        <v>541</v>
      </c>
    </row>
    <row r="766" spans="1:9" x14ac:dyDescent="0.25">
      <c r="A766" t="s">
        <v>220</v>
      </c>
      <c r="B766" t="s">
        <v>702</v>
      </c>
      <c r="C766" t="s">
        <v>707</v>
      </c>
      <c r="D766" t="s">
        <v>373</v>
      </c>
      <c r="E766" t="s">
        <v>535</v>
      </c>
      <c r="F766">
        <v>750</v>
      </c>
      <c r="G766">
        <v>1.35</v>
      </c>
      <c r="H766">
        <v>1012.5000000000001</v>
      </c>
      <c r="I766" t="s">
        <v>541</v>
      </c>
    </row>
    <row r="767" spans="1:9" x14ac:dyDescent="0.25">
      <c r="A767" t="s">
        <v>220</v>
      </c>
      <c r="B767" t="s">
        <v>702</v>
      </c>
      <c r="D767" t="s">
        <v>708</v>
      </c>
      <c r="E767" t="s">
        <v>535</v>
      </c>
      <c r="F767">
        <v>11250</v>
      </c>
      <c r="G767">
        <v>0.19500000000000001</v>
      </c>
      <c r="H767">
        <v>2193.75</v>
      </c>
      <c r="I767" t="s">
        <v>541</v>
      </c>
    </row>
    <row r="768" spans="1:9" x14ac:dyDescent="0.25">
      <c r="A768" t="s">
        <v>220</v>
      </c>
      <c r="B768" t="s">
        <v>702</v>
      </c>
      <c r="D768" t="s">
        <v>709</v>
      </c>
      <c r="E768" t="s">
        <v>535</v>
      </c>
      <c r="F768">
        <v>5439</v>
      </c>
      <c r="G768">
        <v>0.19500000000000001</v>
      </c>
      <c r="H768">
        <v>1060.605</v>
      </c>
      <c r="I768" t="s">
        <v>541</v>
      </c>
    </row>
    <row r="769" spans="1:9" x14ac:dyDescent="0.25">
      <c r="A769" t="s">
        <v>220</v>
      </c>
      <c r="B769" t="s">
        <v>702</v>
      </c>
      <c r="D769" t="s">
        <v>710</v>
      </c>
      <c r="E769" t="s">
        <v>535</v>
      </c>
      <c r="F769">
        <v>1400</v>
      </c>
      <c r="G769">
        <v>0.19500000000000001</v>
      </c>
      <c r="H769">
        <v>273</v>
      </c>
      <c r="I769" t="s">
        <v>541</v>
      </c>
    </row>
    <row r="770" spans="1:9" x14ac:dyDescent="0.25">
      <c r="A770" t="s">
        <v>220</v>
      </c>
      <c r="B770" t="s">
        <v>702</v>
      </c>
      <c r="C770" t="s">
        <v>7584</v>
      </c>
      <c r="D770" t="s">
        <v>711</v>
      </c>
      <c r="E770" t="s">
        <v>535</v>
      </c>
      <c r="F770">
        <v>16000</v>
      </c>
      <c r="G770">
        <v>0.02</v>
      </c>
      <c r="H770">
        <v>320</v>
      </c>
      <c r="I770" t="s">
        <v>541</v>
      </c>
    </row>
    <row r="771" spans="1:9" x14ac:dyDescent="0.25">
      <c r="A771" t="s">
        <v>220</v>
      </c>
      <c r="B771" t="s">
        <v>702</v>
      </c>
      <c r="D771" t="s">
        <v>712</v>
      </c>
      <c r="E771" t="s">
        <v>535</v>
      </c>
      <c r="F771">
        <v>775</v>
      </c>
      <c r="G771">
        <v>1.25</v>
      </c>
      <c r="H771">
        <v>968.75</v>
      </c>
      <c r="I771" t="s">
        <v>541</v>
      </c>
    </row>
    <row r="772" spans="1:9" x14ac:dyDescent="0.25">
      <c r="A772" t="s">
        <v>220</v>
      </c>
      <c r="B772" t="s">
        <v>582</v>
      </c>
      <c r="C772" t="s">
        <v>7475</v>
      </c>
      <c r="D772" t="s">
        <v>7476</v>
      </c>
      <c r="E772" t="s">
        <v>528</v>
      </c>
      <c r="F772">
        <v>10</v>
      </c>
      <c r="G772">
        <v>78.130574402605504</v>
      </c>
      <c r="H772">
        <v>781.30574402605498</v>
      </c>
      <c r="I772" t="s">
        <v>1911</v>
      </c>
    </row>
    <row r="773" spans="1:9" x14ac:dyDescent="0.25">
      <c r="A773" t="s">
        <v>220</v>
      </c>
      <c r="B773" t="s">
        <v>582</v>
      </c>
      <c r="C773" t="s">
        <v>1914</v>
      </c>
      <c r="D773" t="s">
        <v>7479</v>
      </c>
      <c r="E773" t="s">
        <v>528</v>
      </c>
      <c r="F773">
        <v>2</v>
      </c>
      <c r="G773">
        <v>103.97212598990772</v>
      </c>
      <c r="H773">
        <v>207.94425197981545</v>
      </c>
      <c r="I773" t="s">
        <v>1911</v>
      </c>
    </row>
    <row r="774" spans="1:9" x14ac:dyDescent="0.25">
      <c r="A774" t="s">
        <v>220</v>
      </c>
      <c r="B774" t="s">
        <v>582</v>
      </c>
      <c r="C774" t="s">
        <v>7480</v>
      </c>
      <c r="D774" t="s">
        <v>7481</v>
      </c>
      <c r="E774" t="s">
        <v>528</v>
      </c>
      <c r="F774">
        <v>2</v>
      </c>
      <c r="G774">
        <v>99.693775288948473</v>
      </c>
      <c r="H774">
        <v>199.38755057789695</v>
      </c>
      <c r="I774" t="s">
        <v>1911</v>
      </c>
    </row>
    <row r="775" spans="1:9" x14ac:dyDescent="0.25">
      <c r="A775" t="s">
        <v>220</v>
      </c>
      <c r="B775" t="s">
        <v>582</v>
      </c>
      <c r="C775" t="s">
        <v>1912</v>
      </c>
      <c r="D775" t="s">
        <v>7604</v>
      </c>
      <c r="E775" t="s">
        <v>528</v>
      </c>
      <c r="F775">
        <v>2</v>
      </c>
      <c r="G775">
        <v>90.951989233597018</v>
      </c>
      <c r="H775">
        <v>181.90397846719404</v>
      </c>
      <c r="I775" t="s">
        <v>1911</v>
      </c>
    </row>
    <row r="776" spans="1:9" x14ac:dyDescent="0.25">
      <c r="A776" t="s">
        <v>220</v>
      </c>
      <c r="B776" t="s">
        <v>582</v>
      </c>
      <c r="C776" t="s">
        <v>1926</v>
      </c>
      <c r="D776" t="s">
        <v>7658</v>
      </c>
      <c r="E776" t="s">
        <v>528</v>
      </c>
      <c r="F776">
        <v>2</v>
      </c>
      <c r="G776">
        <v>83.861327409172745</v>
      </c>
      <c r="H776">
        <v>167.72265481834549</v>
      </c>
      <c r="I776" t="s">
        <v>1911</v>
      </c>
    </row>
    <row r="777" spans="1:9" x14ac:dyDescent="0.25">
      <c r="A777" t="s">
        <v>220</v>
      </c>
      <c r="B777" t="s">
        <v>532</v>
      </c>
      <c r="C777" t="s">
        <v>7408</v>
      </c>
      <c r="D777" t="s">
        <v>7685</v>
      </c>
      <c r="E777" t="s">
        <v>535</v>
      </c>
      <c r="F777">
        <v>1632.0999317406149</v>
      </c>
      <c r="G777">
        <v>6.8240114899672228</v>
      </c>
      <c r="H777">
        <v>11137.468686972676</v>
      </c>
      <c r="I777" t="s">
        <v>536</v>
      </c>
    </row>
    <row r="778" spans="1:9" x14ac:dyDescent="0.25">
      <c r="A778" t="s">
        <v>220</v>
      </c>
      <c r="B778" t="s">
        <v>532</v>
      </c>
      <c r="C778" t="s">
        <v>7422</v>
      </c>
      <c r="D778" t="s">
        <v>7686</v>
      </c>
      <c r="E778" t="s">
        <v>535</v>
      </c>
      <c r="F778">
        <v>20.892068259385269</v>
      </c>
      <c r="G778">
        <v>6.9091851252135434</v>
      </c>
      <c r="H778">
        <v>144.3471672526907</v>
      </c>
      <c r="I778" t="s">
        <v>536</v>
      </c>
    </row>
    <row r="779" spans="1:9" x14ac:dyDescent="0.25">
      <c r="A779" t="s">
        <v>220</v>
      </c>
      <c r="B779" t="s">
        <v>532</v>
      </c>
      <c r="C779" t="s">
        <v>7413</v>
      </c>
      <c r="D779" t="s">
        <v>7687</v>
      </c>
      <c r="E779" t="s">
        <v>535</v>
      </c>
      <c r="F779">
        <v>3802.5839999999998</v>
      </c>
      <c r="G779">
        <v>7.0606592205289838</v>
      </c>
      <c r="H779">
        <v>26848.749781435985</v>
      </c>
      <c r="I779" t="s">
        <v>536</v>
      </c>
    </row>
    <row r="780" spans="1:9" x14ac:dyDescent="0.25">
      <c r="A780" t="s">
        <v>220</v>
      </c>
      <c r="B780" t="s">
        <v>532</v>
      </c>
      <c r="C780" t="s">
        <v>896</v>
      </c>
      <c r="D780" t="s">
        <v>897</v>
      </c>
      <c r="E780" t="s">
        <v>545</v>
      </c>
      <c r="F780">
        <v>148</v>
      </c>
      <c r="G780">
        <v>18.647961786293347</v>
      </c>
      <c r="H780">
        <v>2759.8983443714155</v>
      </c>
      <c r="I780" t="s">
        <v>541</v>
      </c>
    </row>
    <row r="781" spans="1:9" x14ac:dyDescent="0.25">
      <c r="A781" t="s">
        <v>220</v>
      </c>
      <c r="B781" t="s">
        <v>532</v>
      </c>
      <c r="C781" t="s">
        <v>1051</v>
      </c>
      <c r="D781" t="s">
        <v>1052</v>
      </c>
      <c r="E781" t="s">
        <v>545</v>
      </c>
      <c r="F781">
        <v>258</v>
      </c>
      <c r="G781">
        <v>12.9869196015842</v>
      </c>
      <c r="H781">
        <v>3350.6252572087237</v>
      </c>
      <c r="I781" t="s">
        <v>541</v>
      </c>
    </row>
    <row r="782" spans="1:9" x14ac:dyDescent="0.25">
      <c r="A782" t="s">
        <v>220</v>
      </c>
      <c r="B782" t="s">
        <v>532</v>
      </c>
      <c r="C782" t="s">
        <v>959</v>
      </c>
      <c r="D782" t="s">
        <v>7688</v>
      </c>
      <c r="E782" t="s">
        <v>545</v>
      </c>
      <c r="F782">
        <v>1916</v>
      </c>
      <c r="G782">
        <v>4.4061320806702424</v>
      </c>
      <c r="H782">
        <v>8442.149066564185</v>
      </c>
      <c r="I782" t="s">
        <v>541</v>
      </c>
    </row>
    <row r="783" spans="1:9" x14ac:dyDescent="0.25">
      <c r="A783" t="s">
        <v>220</v>
      </c>
      <c r="B783" t="s">
        <v>7593</v>
      </c>
      <c r="C783" t="s">
        <v>7594</v>
      </c>
      <c r="D783" t="s">
        <v>7594</v>
      </c>
      <c r="E783" t="s">
        <v>535</v>
      </c>
      <c r="F783">
        <v>205.85999999999999</v>
      </c>
      <c r="G783">
        <v>6.8598891720418864</v>
      </c>
      <c r="H783">
        <v>1412.1767849565426</v>
      </c>
      <c r="I783" t="s">
        <v>536</v>
      </c>
    </row>
    <row r="784" spans="1:9" x14ac:dyDescent="0.25">
      <c r="A784" t="s">
        <v>220</v>
      </c>
      <c r="B784" t="s">
        <v>7593</v>
      </c>
      <c r="C784" t="s">
        <v>7595</v>
      </c>
      <c r="D784" t="s">
        <v>7595</v>
      </c>
      <c r="E784" t="s">
        <v>535</v>
      </c>
      <c r="F784">
        <v>226.84800000000001</v>
      </c>
      <c r="G784">
        <v>6.9367651543620648</v>
      </c>
      <c r="H784">
        <v>1573.5913017367257</v>
      </c>
      <c r="I784" t="s">
        <v>536</v>
      </c>
    </row>
    <row r="785" spans="1:9" x14ac:dyDescent="0.25">
      <c r="A785" t="s">
        <v>220</v>
      </c>
      <c r="B785" t="s">
        <v>7593</v>
      </c>
      <c r="C785" t="s">
        <v>902</v>
      </c>
      <c r="D785" t="s">
        <v>7596</v>
      </c>
      <c r="E785" t="s">
        <v>545</v>
      </c>
      <c r="F785">
        <v>26</v>
      </c>
      <c r="G785">
        <v>8.2255219304087159</v>
      </c>
      <c r="H785">
        <v>213.8635701906266</v>
      </c>
      <c r="I785" t="s">
        <v>541</v>
      </c>
    </row>
    <row r="786" spans="1:9" x14ac:dyDescent="0.25">
      <c r="A786" t="s">
        <v>220</v>
      </c>
      <c r="B786" t="s">
        <v>7593</v>
      </c>
      <c r="C786" t="s">
        <v>539</v>
      </c>
      <c r="D786" t="s">
        <v>539</v>
      </c>
      <c r="E786" t="s">
        <v>535</v>
      </c>
      <c r="F786">
        <v>45.381</v>
      </c>
      <c r="G786">
        <v>5.2283988913440451</v>
      </c>
      <c r="H786">
        <v>237.26997008808411</v>
      </c>
      <c r="I786" t="s">
        <v>541</v>
      </c>
    </row>
    <row r="787" spans="1:9" x14ac:dyDescent="0.25">
      <c r="A787" t="s">
        <v>220</v>
      </c>
      <c r="B787" t="s">
        <v>7593</v>
      </c>
      <c r="C787" t="s">
        <v>902</v>
      </c>
      <c r="D787" t="s">
        <v>7596</v>
      </c>
      <c r="E787" t="s">
        <v>545</v>
      </c>
      <c r="F787">
        <v>13</v>
      </c>
      <c r="G787">
        <v>8.2255219304087159</v>
      </c>
      <c r="H787">
        <v>106.9317850953133</v>
      </c>
      <c r="I787" t="s">
        <v>541</v>
      </c>
    </row>
    <row r="788" spans="1:9" x14ac:dyDescent="0.25">
      <c r="A788" t="s">
        <v>220</v>
      </c>
      <c r="B788" t="s">
        <v>7593</v>
      </c>
      <c r="C788" t="s">
        <v>7408</v>
      </c>
      <c r="D788" t="s">
        <v>7408</v>
      </c>
      <c r="E788" t="s">
        <v>535</v>
      </c>
      <c r="F788">
        <v>38.64</v>
      </c>
      <c r="G788">
        <v>6.8240114899672228</v>
      </c>
      <c r="H788">
        <v>263.6798039723335</v>
      </c>
      <c r="I788" t="s">
        <v>536</v>
      </c>
    </row>
    <row r="789" spans="1:9" x14ac:dyDescent="0.25">
      <c r="A789" t="s">
        <v>220</v>
      </c>
      <c r="B789" t="s">
        <v>7593</v>
      </c>
      <c r="C789" t="s">
        <v>7422</v>
      </c>
      <c r="D789" t="s">
        <v>7422</v>
      </c>
      <c r="E789" t="s">
        <v>535</v>
      </c>
      <c r="F789">
        <v>33.659999999999997</v>
      </c>
      <c r="G789">
        <v>6.9091851252135434</v>
      </c>
      <c r="H789">
        <v>232.56317131468785</v>
      </c>
      <c r="I789" t="s">
        <v>536</v>
      </c>
    </row>
    <row r="790" spans="1:9" x14ac:dyDescent="0.25">
      <c r="A790" t="s">
        <v>220</v>
      </c>
      <c r="B790" t="s">
        <v>7593</v>
      </c>
      <c r="C790" t="s">
        <v>871</v>
      </c>
      <c r="D790" t="s">
        <v>871</v>
      </c>
      <c r="E790" t="s">
        <v>545</v>
      </c>
      <c r="F790">
        <v>1</v>
      </c>
      <c r="G790">
        <v>6.1596948442750952</v>
      </c>
      <c r="H790">
        <v>6.1596948442750952</v>
      </c>
      <c r="I790" t="s">
        <v>541</v>
      </c>
    </row>
    <row r="791" spans="1:9" x14ac:dyDescent="0.25">
      <c r="A791" t="s">
        <v>220</v>
      </c>
      <c r="B791" t="s">
        <v>7593</v>
      </c>
      <c r="C791" t="s">
        <v>859</v>
      </c>
      <c r="D791" t="s">
        <v>859</v>
      </c>
      <c r="E791" t="s">
        <v>545</v>
      </c>
      <c r="F791">
        <v>7</v>
      </c>
      <c r="G791">
        <v>5.8015700679376279</v>
      </c>
      <c r="H791">
        <v>40.610990475563398</v>
      </c>
      <c r="I791" t="s">
        <v>541</v>
      </c>
    </row>
    <row r="792" spans="1:9" x14ac:dyDescent="0.25">
      <c r="A792" t="s">
        <v>220</v>
      </c>
      <c r="B792" t="s">
        <v>7593</v>
      </c>
      <c r="C792" t="s">
        <v>886</v>
      </c>
      <c r="D792" t="s">
        <v>886</v>
      </c>
      <c r="E792" t="s">
        <v>545</v>
      </c>
      <c r="F792">
        <v>4</v>
      </c>
      <c r="G792">
        <v>17.679775342645716</v>
      </c>
      <c r="H792">
        <v>70.719101370582862</v>
      </c>
      <c r="I792" t="s">
        <v>541</v>
      </c>
    </row>
    <row r="793" spans="1:9" x14ac:dyDescent="0.25">
      <c r="A793" t="s">
        <v>220</v>
      </c>
      <c r="B793" t="s">
        <v>7593</v>
      </c>
      <c r="C793" t="s">
        <v>2071</v>
      </c>
      <c r="D793" t="s">
        <v>7495</v>
      </c>
      <c r="E793" t="s">
        <v>545</v>
      </c>
      <c r="F793">
        <v>18</v>
      </c>
      <c r="G793">
        <v>72.942698439261108</v>
      </c>
      <c r="H793">
        <v>1312.9685719066999</v>
      </c>
      <c r="I793" t="s">
        <v>536</v>
      </c>
    </row>
    <row r="794" spans="1:9" x14ac:dyDescent="0.25">
      <c r="A794" t="s">
        <v>220</v>
      </c>
      <c r="B794" t="s">
        <v>7593</v>
      </c>
      <c r="C794" t="s">
        <v>7597</v>
      </c>
      <c r="D794" t="s">
        <v>7497</v>
      </c>
      <c r="E794" t="s">
        <v>545</v>
      </c>
      <c r="F794">
        <v>26</v>
      </c>
      <c r="G794">
        <v>122.01405510908974</v>
      </c>
      <c r="H794">
        <v>3172.3654328363332</v>
      </c>
      <c r="I794" t="s">
        <v>536</v>
      </c>
    </row>
    <row r="795" spans="1:9" x14ac:dyDescent="0.25">
      <c r="A795" t="s">
        <v>220</v>
      </c>
      <c r="B795" t="s">
        <v>7593</v>
      </c>
      <c r="C795" t="s">
        <v>7598</v>
      </c>
      <c r="D795" t="s">
        <v>7499</v>
      </c>
      <c r="E795" t="s">
        <v>545</v>
      </c>
      <c r="F795">
        <v>5</v>
      </c>
      <c r="G795">
        <v>88.953202641804936</v>
      </c>
      <c r="H795">
        <v>444.76601320902466</v>
      </c>
      <c r="I795" t="s">
        <v>536</v>
      </c>
    </row>
    <row r="796" spans="1:9" x14ac:dyDescent="0.25">
      <c r="A796" t="s">
        <v>220</v>
      </c>
      <c r="B796" t="s">
        <v>7593</v>
      </c>
      <c r="C796" t="s">
        <v>2075</v>
      </c>
      <c r="D796" t="s">
        <v>7500</v>
      </c>
      <c r="E796" t="s">
        <v>545</v>
      </c>
      <c r="F796">
        <v>4</v>
      </c>
      <c r="G796">
        <v>60.597108982258398</v>
      </c>
      <c r="H796">
        <v>242.38843592903359</v>
      </c>
      <c r="I796" t="s">
        <v>536</v>
      </c>
    </row>
    <row r="797" spans="1:9" x14ac:dyDescent="0.25">
      <c r="A797" t="s">
        <v>220</v>
      </c>
      <c r="B797" t="s">
        <v>7593</v>
      </c>
      <c r="C797" t="s">
        <v>2086</v>
      </c>
      <c r="D797" t="s">
        <v>7501</v>
      </c>
      <c r="E797" t="s">
        <v>545</v>
      </c>
      <c r="F797">
        <v>2</v>
      </c>
      <c r="G797">
        <v>101.37697967109</v>
      </c>
      <c r="H797">
        <v>202.75395934218</v>
      </c>
      <c r="I797" t="s">
        <v>536</v>
      </c>
    </row>
    <row r="798" spans="1:9" x14ac:dyDescent="0.25">
      <c r="A798" t="s">
        <v>220</v>
      </c>
      <c r="B798" t="s">
        <v>7593</v>
      </c>
      <c r="C798" t="s">
        <v>2082</v>
      </c>
      <c r="D798" t="s">
        <v>7502</v>
      </c>
      <c r="E798" t="s">
        <v>545</v>
      </c>
      <c r="F798">
        <v>1</v>
      </c>
      <c r="G798">
        <v>67.570280619707361</v>
      </c>
      <c r="H798">
        <v>67.570280619707361</v>
      </c>
      <c r="I798" t="s">
        <v>536</v>
      </c>
    </row>
    <row r="799" spans="1:9" x14ac:dyDescent="0.25">
      <c r="A799" t="s">
        <v>220</v>
      </c>
      <c r="B799" t="s">
        <v>7593</v>
      </c>
      <c r="C799" t="s">
        <v>2098</v>
      </c>
      <c r="D799" t="s">
        <v>7503</v>
      </c>
      <c r="E799" t="s">
        <v>545</v>
      </c>
      <c r="F799">
        <v>3</v>
      </c>
      <c r="G799">
        <v>222.78609705119433</v>
      </c>
      <c r="H799">
        <v>668.35829115358297</v>
      </c>
      <c r="I799" t="s">
        <v>536</v>
      </c>
    </row>
    <row r="800" spans="1:9" x14ac:dyDescent="0.25">
      <c r="A800" t="s">
        <v>220</v>
      </c>
      <c r="B800" t="s">
        <v>7593</v>
      </c>
      <c r="C800" t="s">
        <v>2088</v>
      </c>
      <c r="D800" t="s">
        <v>7504</v>
      </c>
      <c r="E800" t="s">
        <v>545</v>
      </c>
      <c r="F800">
        <v>5</v>
      </c>
      <c r="G800">
        <v>85.056398957235345</v>
      </c>
      <c r="H800">
        <v>425.28199478617671</v>
      </c>
      <c r="I800" t="s">
        <v>536</v>
      </c>
    </row>
    <row r="801" spans="1:9" x14ac:dyDescent="0.25">
      <c r="A801" t="s">
        <v>220</v>
      </c>
      <c r="B801" t="s">
        <v>7593</v>
      </c>
      <c r="C801" t="s">
        <v>7531</v>
      </c>
      <c r="D801" t="s">
        <v>7506</v>
      </c>
      <c r="E801" t="s">
        <v>545</v>
      </c>
      <c r="F801">
        <v>7</v>
      </c>
      <c r="G801">
        <v>102.65399824172911</v>
      </c>
      <c r="H801">
        <v>718.57798769210376</v>
      </c>
      <c r="I801" t="s">
        <v>536</v>
      </c>
    </row>
    <row r="802" spans="1:9" x14ac:dyDescent="0.25">
      <c r="A802" t="s">
        <v>220</v>
      </c>
      <c r="B802" t="s">
        <v>7593</v>
      </c>
      <c r="C802" t="s">
        <v>2092</v>
      </c>
      <c r="D802" t="s">
        <v>7507</v>
      </c>
      <c r="E802" t="s">
        <v>545</v>
      </c>
      <c r="F802">
        <v>1</v>
      </c>
      <c r="G802">
        <v>118.60667668055065</v>
      </c>
      <c r="H802">
        <v>118.60667668055065</v>
      </c>
      <c r="I802" t="s">
        <v>536</v>
      </c>
    </row>
    <row r="803" spans="1:9" x14ac:dyDescent="0.25">
      <c r="A803" t="s">
        <v>220</v>
      </c>
      <c r="B803" t="s">
        <v>7593</v>
      </c>
      <c r="C803" t="s">
        <v>2065</v>
      </c>
      <c r="D803" t="s">
        <v>1913</v>
      </c>
      <c r="E803" t="s">
        <v>545</v>
      </c>
      <c r="F803">
        <v>4</v>
      </c>
      <c r="G803">
        <v>77.696758246620803</v>
      </c>
      <c r="H803">
        <v>310.78703298648321</v>
      </c>
      <c r="I803" t="s">
        <v>536</v>
      </c>
    </row>
    <row r="804" spans="1:9" x14ac:dyDescent="0.25">
      <c r="A804" t="s">
        <v>220</v>
      </c>
      <c r="B804" t="s">
        <v>7593</v>
      </c>
      <c r="C804" t="s">
        <v>2086</v>
      </c>
      <c r="D804" t="s">
        <v>1917</v>
      </c>
      <c r="E804" t="s">
        <v>545</v>
      </c>
      <c r="F804">
        <v>5</v>
      </c>
      <c r="G804">
        <v>101.37697967109</v>
      </c>
      <c r="H804">
        <v>506.88489835544999</v>
      </c>
      <c r="I804" t="s">
        <v>536</v>
      </c>
    </row>
    <row r="805" spans="1:9" x14ac:dyDescent="0.25">
      <c r="A805" t="s">
        <v>220</v>
      </c>
      <c r="B805" t="s">
        <v>7593</v>
      </c>
      <c r="C805" t="s">
        <v>2098</v>
      </c>
      <c r="D805" t="s">
        <v>7503</v>
      </c>
      <c r="E805" t="s">
        <v>545</v>
      </c>
      <c r="F805">
        <v>1</v>
      </c>
      <c r="G805">
        <v>222.78609705119433</v>
      </c>
      <c r="H805">
        <v>222.78609705119433</v>
      </c>
      <c r="I805" t="s">
        <v>536</v>
      </c>
    </row>
    <row r="806" spans="1:9" x14ac:dyDescent="0.25">
      <c r="A806" t="s">
        <v>220</v>
      </c>
      <c r="B806" t="s">
        <v>7593</v>
      </c>
      <c r="C806" t="s">
        <v>7599</v>
      </c>
      <c r="D806" t="s">
        <v>7511</v>
      </c>
      <c r="E806" t="s">
        <v>545</v>
      </c>
      <c r="F806">
        <v>1</v>
      </c>
      <c r="G806">
        <v>243.91998914564709</v>
      </c>
      <c r="H806">
        <v>243.91998914564709</v>
      </c>
      <c r="I806" t="s">
        <v>536</v>
      </c>
    </row>
    <row r="807" spans="1:9" x14ac:dyDescent="0.25">
      <c r="A807" t="s">
        <v>220</v>
      </c>
      <c r="B807" t="s">
        <v>7593</v>
      </c>
      <c r="C807" t="s">
        <v>2074</v>
      </c>
      <c r="D807" t="s">
        <v>7513</v>
      </c>
      <c r="E807" t="s">
        <v>545</v>
      </c>
      <c r="F807">
        <v>6</v>
      </c>
      <c r="G807">
        <v>57.605556537142405</v>
      </c>
      <c r="H807">
        <v>345.63333922285443</v>
      </c>
      <c r="I807" t="s">
        <v>536</v>
      </c>
    </row>
    <row r="808" spans="1:9" x14ac:dyDescent="0.25">
      <c r="A808" t="s">
        <v>220</v>
      </c>
      <c r="B808" t="s">
        <v>7593</v>
      </c>
      <c r="C808" t="s">
        <v>2079</v>
      </c>
      <c r="D808" t="s">
        <v>7514</v>
      </c>
      <c r="E808" t="s">
        <v>545</v>
      </c>
      <c r="F808">
        <v>2</v>
      </c>
      <c r="G808">
        <v>57.899800096545384</v>
      </c>
      <c r="H808">
        <v>115.79960019309077</v>
      </c>
      <c r="I808" t="s">
        <v>536</v>
      </c>
    </row>
    <row r="809" spans="1:9" x14ac:dyDescent="0.25">
      <c r="A809" t="s">
        <v>220</v>
      </c>
      <c r="B809" t="s">
        <v>7593</v>
      </c>
      <c r="C809" t="s">
        <v>7598</v>
      </c>
      <c r="D809" t="s">
        <v>7515</v>
      </c>
      <c r="E809" t="s">
        <v>545</v>
      </c>
      <c r="F809">
        <v>2</v>
      </c>
      <c r="G809">
        <v>88.953202641804936</v>
      </c>
      <c r="H809">
        <v>177.90640528360987</v>
      </c>
      <c r="I809" t="s">
        <v>536</v>
      </c>
    </row>
    <row r="810" spans="1:9" x14ac:dyDescent="0.25">
      <c r="A810" t="s">
        <v>220</v>
      </c>
      <c r="B810" t="s">
        <v>7593</v>
      </c>
      <c r="C810" t="s">
        <v>2082</v>
      </c>
      <c r="D810" t="s">
        <v>7502</v>
      </c>
      <c r="E810" t="s">
        <v>545</v>
      </c>
      <c r="F810">
        <v>3</v>
      </c>
      <c r="G810">
        <v>67.570280619707361</v>
      </c>
      <c r="H810">
        <v>202.71084185912207</v>
      </c>
      <c r="I810" t="s">
        <v>536</v>
      </c>
    </row>
    <row r="811" spans="1:9" x14ac:dyDescent="0.25">
      <c r="A811" t="s">
        <v>220</v>
      </c>
      <c r="B811" t="s">
        <v>7593</v>
      </c>
      <c r="C811" t="s">
        <v>2071</v>
      </c>
      <c r="D811" t="s">
        <v>7495</v>
      </c>
      <c r="E811" t="s">
        <v>545</v>
      </c>
      <c r="F811">
        <v>1</v>
      </c>
      <c r="G811">
        <v>72.942698439261108</v>
      </c>
      <c r="H811">
        <v>72.942698439261108</v>
      </c>
      <c r="I811" t="s">
        <v>536</v>
      </c>
    </row>
    <row r="812" spans="1:9" x14ac:dyDescent="0.25">
      <c r="A812" t="s">
        <v>220</v>
      </c>
      <c r="B812" t="s">
        <v>7593</v>
      </c>
      <c r="C812" t="s">
        <v>2072</v>
      </c>
      <c r="D812" t="s">
        <v>7517</v>
      </c>
      <c r="E812" t="s">
        <v>545</v>
      </c>
      <c r="F812">
        <v>1</v>
      </c>
      <c r="G812">
        <v>84.027608285873455</v>
      </c>
      <c r="H812">
        <v>84.027608285873455</v>
      </c>
      <c r="I812" t="s">
        <v>536</v>
      </c>
    </row>
    <row r="813" spans="1:9" x14ac:dyDescent="0.25">
      <c r="A813" t="s">
        <v>220</v>
      </c>
      <c r="B813" t="s">
        <v>7593</v>
      </c>
      <c r="C813" t="s">
        <v>2077</v>
      </c>
      <c r="D813" t="s">
        <v>7518</v>
      </c>
      <c r="E813" t="s">
        <v>545</v>
      </c>
      <c r="F813">
        <v>1</v>
      </c>
      <c r="G813">
        <v>96.938008737320715</v>
      </c>
      <c r="H813">
        <v>96.938008737320715</v>
      </c>
      <c r="I813" t="s">
        <v>536</v>
      </c>
    </row>
    <row r="814" spans="1:9" x14ac:dyDescent="0.25">
      <c r="A814" t="s">
        <v>220</v>
      </c>
      <c r="B814" t="s">
        <v>7593</v>
      </c>
      <c r="C814" t="s">
        <v>2076</v>
      </c>
      <c r="D814" t="s">
        <v>7520</v>
      </c>
      <c r="E814" t="s">
        <v>545</v>
      </c>
      <c r="F814">
        <v>3</v>
      </c>
      <c r="G814">
        <v>91.295004755193162</v>
      </c>
      <c r="H814">
        <v>273.88501426557946</v>
      </c>
      <c r="I814" t="s">
        <v>536</v>
      </c>
    </row>
    <row r="815" spans="1:9" x14ac:dyDescent="0.25">
      <c r="A815" t="s">
        <v>220</v>
      </c>
      <c r="B815" t="s">
        <v>7593</v>
      </c>
      <c r="C815" t="s">
        <v>2074</v>
      </c>
      <c r="D815" t="s">
        <v>7521</v>
      </c>
      <c r="E815" t="s">
        <v>545</v>
      </c>
      <c r="F815">
        <v>2</v>
      </c>
      <c r="G815">
        <v>57.605556537142405</v>
      </c>
      <c r="H815">
        <v>115.21111307428481</v>
      </c>
      <c r="I815" t="s">
        <v>536</v>
      </c>
    </row>
    <row r="816" spans="1:9" x14ac:dyDescent="0.25">
      <c r="A816" t="s">
        <v>220</v>
      </c>
      <c r="B816" t="s">
        <v>7593</v>
      </c>
      <c r="C816" t="s">
        <v>2092</v>
      </c>
      <c r="D816" t="s">
        <v>7507</v>
      </c>
      <c r="E816" t="s">
        <v>545</v>
      </c>
      <c r="F816">
        <v>3</v>
      </c>
      <c r="G816">
        <v>118.60667668055065</v>
      </c>
      <c r="H816">
        <v>355.82003004165193</v>
      </c>
      <c r="I816" t="s">
        <v>536</v>
      </c>
    </row>
    <row r="817" spans="1:9" x14ac:dyDescent="0.25">
      <c r="A817" t="s">
        <v>220</v>
      </c>
      <c r="B817" t="s">
        <v>7593</v>
      </c>
      <c r="C817" t="s">
        <v>2112</v>
      </c>
      <c r="D817" t="s">
        <v>7522</v>
      </c>
      <c r="E817" t="s">
        <v>545</v>
      </c>
      <c r="F817">
        <v>3</v>
      </c>
      <c r="G817">
        <v>113.42010531317611</v>
      </c>
      <c r="H817">
        <v>340.26031593952831</v>
      </c>
      <c r="I817" t="s">
        <v>536</v>
      </c>
    </row>
    <row r="818" spans="1:9" x14ac:dyDescent="0.25">
      <c r="A818" t="s">
        <v>220</v>
      </c>
      <c r="B818" t="s">
        <v>7593</v>
      </c>
      <c r="C818" t="s">
        <v>2138</v>
      </c>
      <c r="D818" t="s">
        <v>7523</v>
      </c>
      <c r="E818" t="s">
        <v>545</v>
      </c>
      <c r="F818">
        <v>4</v>
      </c>
      <c r="G818">
        <v>57.272298442163006</v>
      </c>
      <c r="H818">
        <v>229.08919376865202</v>
      </c>
      <c r="I818" t="s">
        <v>536</v>
      </c>
    </row>
    <row r="819" spans="1:9" x14ac:dyDescent="0.25">
      <c r="A819" t="s">
        <v>220</v>
      </c>
      <c r="B819" t="s">
        <v>7593</v>
      </c>
      <c r="C819" t="s">
        <v>7598</v>
      </c>
      <c r="D819" t="s">
        <v>7515</v>
      </c>
      <c r="E819" t="s">
        <v>545</v>
      </c>
      <c r="F819">
        <v>3</v>
      </c>
      <c r="G819">
        <v>88.953202641804936</v>
      </c>
      <c r="H819">
        <v>266.85960792541482</v>
      </c>
      <c r="I819" t="s">
        <v>536</v>
      </c>
    </row>
    <row r="820" spans="1:9" x14ac:dyDescent="0.25">
      <c r="A820" t="s">
        <v>220</v>
      </c>
      <c r="B820" t="s">
        <v>7593</v>
      </c>
      <c r="C820" t="s">
        <v>2079</v>
      </c>
      <c r="D820" t="s">
        <v>7524</v>
      </c>
      <c r="E820" t="s">
        <v>545</v>
      </c>
      <c r="F820">
        <v>3</v>
      </c>
      <c r="G820">
        <v>57.899800096545384</v>
      </c>
      <c r="H820">
        <v>173.69940028963615</v>
      </c>
      <c r="I820" t="s">
        <v>536</v>
      </c>
    </row>
    <row r="821" spans="1:9" x14ac:dyDescent="0.25">
      <c r="A821" t="s">
        <v>220</v>
      </c>
      <c r="B821" t="s">
        <v>7593</v>
      </c>
      <c r="C821" t="s">
        <v>2079</v>
      </c>
      <c r="D821" t="s">
        <v>7526</v>
      </c>
      <c r="E821" t="s">
        <v>545</v>
      </c>
      <c r="F821">
        <v>3</v>
      </c>
      <c r="G821">
        <v>57.899800096545384</v>
      </c>
      <c r="H821">
        <v>173.69940028963615</v>
      </c>
      <c r="I821" t="s">
        <v>536</v>
      </c>
    </row>
    <row r="822" spans="1:9" x14ac:dyDescent="0.25">
      <c r="A822" t="s">
        <v>220</v>
      </c>
      <c r="B822" t="s">
        <v>7593</v>
      </c>
      <c r="C822" t="s">
        <v>2086</v>
      </c>
      <c r="D822" t="s">
        <v>7527</v>
      </c>
      <c r="E822" t="s">
        <v>545</v>
      </c>
      <c r="F822">
        <v>1</v>
      </c>
      <c r="G822">
        <v>101.37697967109</v>
      </c>
      <c r="H822">
        <v>101.37697967109</v>
      </c>
      <c r="I822" t="s">
        <v>536</v>
      </c>
    </row>
    <row r="823" spans="1:9" x14ac:dyDescent="0.25">
      <c r="A823" t="s">
        <v>220</v>
      </c>
      <c r="B823" t="s">
        <v>7593</v>
      </c>
      <c r="C823" t="s">
        <v>2066</v>
      </c>
      <c r="D823" t="s">
        <v>7528</v>
      </c>
      <c r="E823" t="s">
        <v>545</v>
      </c>
      <c r="F823">
        <v>3</v>
      </c>
      <c r="G823">
        <v>88.821300716551775</v>
      </c>
      <c r="H823">
        <v>266.46390214965533</v>
      </c>
      <c r="I823" t="s">
        <v>536</v>
      </c>
    </row>
    <row r="824" spans="1:9" x14ac:dyDescent="0.25">
      <c r="A824" t="s">
        <v>220</v>
      </c>
      <c r="B824" t="s">
        <v>7593</v>
      </c>
      <c r="C824" t="s">
        <v>2082</v>
      </c>
      <c r="D824" t="s">
        <v>7502</v>
      </c>
      <c r="E824" t="s">
        <v>545</v>
      </c>
      <c r="F824">
        <v>3</v>
      </c>
      <c r="G824">
        <v>67.570280619707361</v>
      </c>
      <c r="H824">
        <v>202.71084185912207</v>
      </c>
      <c r="I824" t="s">
        <v>536</v>
      </c>
    </row>
    <row r="825" spans="1:9" x14ac:dyDescent="0.25">
      <c r="A825" t="s">
        <v>220</v>
      </c>
      <c r="B825" t="s">
        <v>7593</v>
      </c>
      <c r="C825" t="s">
        <v>2086</v>
      </c>
      <c r="D825" t="s">
        <v>7501</v>
      </c>
      <c r="E825" t="s">
        <v>545</v>
      </c>
      <c r="F825">
        <v>3</v>
      </c>
      <c r="G825">
        <v>101.37697967109</v>
      </c>
      <c r="H825">
        <v>304.13093901326999</v>
      </c>
      <c r="I825" t="s">
        <v>536</v>
      </c>
    </row>
    <row r="826" spans="1:9" x14ac:dyDescent="0.25">
      <c r="A826" t="s">
        <v>220</v>
      </c>
      <c r="B826" t="s">
        <v>7593</v>
      </c>
      <c r="C826" t="s">
        <v>2088</v>
      </c>
      <c r="D826" t="s">
        <v>7504</v>
      </c>
      <c r="E826" t="s">
        <v>545</v>
      </c>
      <c r="F826">
        <v>3</v>
      </c>
      <c r="G826">
        <v>85.056398957235345</v>
      </c>
      <c r="H826">
        <v>255.16919687170605</v>
      </c>
      <c r="I826" t="s">
        <v>536</v>
      </c>
    </row>
    <row r="827" spans="1:9" x14ac:dyDescent="0.25">
      <c r="A827" t="s">
        <v>220</v>
      </c>
      <c r="B827" t="s">
        <v>7593</v>
      </c>
      <c r="C827" t="s">
        <v>2082</v>
      </c>
      <c r="D827" t="s">
        <v>7502</v>
      </c>
      <c r="E827" t="s">
        <v>545</v>
      </c>
      <c r="F827">
        <v>3</v>
      </c>
      <c r="G827">
        <v>67.570280619707361</v>
      </c>
      <c r="H827">
        <v>202.71084185912207</v>
      </c>
      <c r="I827" t="s">
        <v>536</v>
      </c>
    </row>
    <row r="828" spans="1:9" x14ac:dyDescent="0.25">
      <c r="A828" t="s">
        <v>220</v>
      </c>
      <c r="B828" t="s">
        <v>7593</v>
      </c>
      <c r="C828" t="s">
        <v>2097</v>
      </c>
      <c r="D828" t="s">
        <v>7494</v>
      </c>
      <c r="E828" t="s">
        <v>545</v>
      </c>
      <c r="F828">
        <v>3</v>
      </c>
      <c r="G828">
        <v>181.12790574920857</v>
      </c>
      <c r="H828">
        <v>543.38371724762567</v>
      </c>
      <c r="I828" t="s">
        <v>536</v>
      </c>
    </row>
    <row r="829" spans="1:9" x14ac:dyDescent="0.25">
      <c r="A829" t="s">
        <v>220</v>
      </c>
      <c r="B829" t="s">
        <v>7593</v>
      </c>
      <c r="C829" t="s">
        <v>2087</v>
      </c>
      <c r="D829" t="s">
        <v>7529</v>
      </c>
      <c r="E829" t="s">
        <v>545</v>
      </c>
      <c r="F829">
        <v>2</v>
      </c>
      <c r="G829">
        <v>130.48334584556275</v>
      </c>
      <c r="H829">
        <v>260.9666916911255</v>
      </c>
      <c r="I829" t="s">
        <v>536</v>
      </c>
    </row>
    <row r="830" spans="1:9" x14ac:dyDescent="0.25">
      <c r="A830" t="s">
        <v>220</v>
      </c>
      <c r="B830" t="s">
        <v>7593</v>
      </c>
      <c r="C830" t="s">
        <v>2079</v>
      </c>
      <c r="D830" t="s">
        <v>7514</v>
      </c>
      <c r="E830" t="s">
        <v>545</v>
      </c>
      <c r="F830">
        <v>1</v>
      </c>
      <c r="G830">
        <v>57.899800096545384</v>
      </c>
      <c r="H830">
        <v>57.899800096545384</v>
      </c>
      <c r="I830" t="s">
        <v>536</v>
      </c>
    </row>
    <row r="831" spans="1:9" x14ac:dyDescent="0.25">
      <c r="A831" t="s">
        <v>220</v>
      </c>
      <c r="B831" t="s">
        <v>7593</v>
      </c>
      <c r="C831" t="s">
        <v>7531</v>
      </c>
      <c r="D831" t="s">
        <v>7532</v>
      </c>
      <c r="E831" t="s">
        <v>545</v>
      </c>
      <c r="F831">
        <v>1</v>
      </c>
      <c r="G831">
        <v>102.65399824172911</v>
      </c>
      <c r="H831">
        <v>102.65399824172911</v>
      </c>
      <c r="I831" t="s">
        <v>536</v>
      </c>
    </row>
    <row r="832" spans="1:9" x14ac:dyDescent="0.25">
      <c r="A832" t="s">
        <v>220</v>
      </c>
      <c r="B832" t="s">
        <v>7593</v>
      </c>
      <c r="C832" t="s">
        <v>2074</v>
      </c>
      <c r="D832" t="s">
        <v>7513</v>
      </c>
      <c r="E832" t="s">
        <v>545</v>
      </c>
      <c r="F832">
        <v>1</v>
      </c>
      <c r="G832">
        <v>57.605556537142405</v>
      </c>
      <c r="H832">
        <v>57.605556537142405</v>
      </c>
      <c r="I832" t="s">
        <v>536</v>
      </c>
    </row>
    <row r="833" spans="1:9" x14ac:dyDescent="0.25">
      <c r="A833" t="s">
        <v>220</v>
      </c>
      <c r="B833" t="s">
        <v>802</v>
      </c>
      <c r="C833" t="s">
        <v>7408</v>
      </c>
      <c r="D833" t="s">
        <v>7741</v>
      </c>
      <c r="E833" t="s">
        <v>535</v>
      </c>
      <c r="F833">
        <v>4320</v>
      </c>
      <c r="G833">
        <v>6.8240114899672228</v>
      </c>
      <c r="H833">
        <v>29479.729636658401</v>
      </c>
      <c r="I833" t="s">
        <v>536</v>
      </c>
    </row>
    <row r="834" spans="1:9" x14ac:dyDescent="0.25">
      <c r="A834" t="s">
        <v>220</v>
      </c>
      <c r="B834" t="s">
        <v>802</v>
      </c>
      <c r="C834" t="s">
        <v>7410</v>
      </c>
      <c r="D834" t="s">
        <v>7742</v>
      </c>
      <c r="E834" t="s">
        <v>535</v>
      </c>
      <c r="F834">
        <v>1364</v>
      </c>
      <c r="G834">
        <v>6.9139022662116352</v>
      </c>
      <c r="H834">
        <v>9430.562691112671</v>
      </c>
      <c r="I834" t="s">
        <v>536</v>
      </c>
    </row>
    <row r="835" spans="1:9" x14ac:dyDescent="0.25">
      <c r="A835" t="s">
        <v>220</v>
      </c>
      <c r="B835" t="s">
        <v>802</v>
      </c>
      <c r="C835" t="s">
        <v>7411</v>
      </c>
      <c r="D835" t="s">
        <v>7743</v>
      </c>
      <c r="E835" t="s">
        <v>535</v>
      </c>
      <c r="F835">
        <v>484.8</v>
      </c>
      <c r="G835">
        <v>7.0070652927610722</v>
      </c>
      <c r="H835">
        <v>3397.0252539305679</v>
      </c>
      <c r="I835" t="s">
        <v>536</v>
      </c>
    </row>
    <row r="836" spans="1:9" x14ac:dyDescent="0.25">
      <c r="A836" t="s">
        <v>220</v>
      </c>
      <c r="B836" t="s">
        <v>802</v>
      </c>
      <c r="C836" t="s">
        <v>7413</v>
      </c>
      <c r="D836" t="s">
        <v>7744</v>
      </c>
      <c r="E836" t="s">
        <v>535</v>
      </c>
      <c r="F836">
        <v>2048</v>
      </c>
      <c r="G836">
        <v>7.0606592205289838</v>
      </c>
      <c r="H836">
        <v>14460.230083643359</v>
      </c>
      <c r="I836" t="s">
        <v>536</v>
      </c>
    </row>
    <row r="837" spans="1:9" x14ac:dyDescent="0.25">
      <c r="A837" t="s">
        <v>220</v>
      </c>
      <c r="B837" t="s">
        <v>802</v>
      </c>
      <c r="C837" t="s">
        <v>7414</v>
      </c>
      <c r="D837" t="s">
        <v>7745</v>
      </c>
      <c r="E837" t="s">
        <v>535</v>
      </c>
      <c r="F837">
        <v>2240</v>
      </c>
      <c r="G837">
        <v>6.8540369588491936</v>
      </c>
      <c r="H837">
        <v>15353.042787822194</v>
      </c>
      <c r="I837" t="s">
        <v>536</v>
      </c>
    </row>
    <row r="838" spans="1:9" x14ac:dyDescent="0.25">
      <c r="A838" t="s">
        <v>220</v>
      </c>
      <c r="B838" t="s">
        <v>802</v>
      </c>
      <c r="C838" t="s">
        <v>7422</v>
      </c>
      <c r="D838" t="s">
        <v>7746</v>
      </c>
      <c r="E838" t="s">
        <v>535</v>
      </c>
      <c r="F838">
        <v>1032</v>
      </c>
      <c r="G838">
        <v>6.9091851252135434</v>
      </c>
      <c r="H838">
        <v>7130.2790492203767</v>
      </c>
      <c r="I838" t="s">
        <v>536</v>
      </c>
    </row>
    <row r="839" spans="1:9" x14ac:dyDescent="0.25">
      <c r="A839" t="s">
        <v>587</v>
      </c>
      <c r="B839" t="s">
        <v>588</v>
      </c>
      <c r="C839" t="s">
        <v>642</v>
      </c>
      <c r="D839" t="s">
        <v>643</v>
      </c>
      <c r="E839" t="s">
        <v>639</v>
      </c>
      <c r="F839">
        <v>30940</v>
      </c>
      <c r="G839">
        <v>0.17960028418424487</v>
      </c>
      <c r="H839">
        <v>5556.8327926605361</v>
      </c>
      <c r="I839" t="s">
        <v>541</v>
      </c>
    </row>
    <row r="840" spans="1:9" x14ac:dyDescent="0.25">
      <c r="A840" t="s">
        <v>587</v>
      </c>
      <c r="B840" t="s">
        <v>588</v>
      </c>
      <c r="C840" t="s">
        <v>637</v>
      </c>
      <c r="D840" t="s">
        <v>638</v>
      </c>
      <c r="E840" t="s">
        <v>639</v>
      </c>
      <c r="F840">
        <v>136080</v>
      </c>
      <c r="G840">
        <v>0.16639234377934117</v>
      </c>
      <c r="H840">
        <v>22642.670141492748</v>
      </c>
      <c r="I840" t="s">
        <v>541</v>
      </c>
    </row>
    <row r="841" spans="1:9" x14ac:dyDescent="0.25">
      <c r="A841" t="s">
        <v>587</v>
      </c>
      <c r="B841" t="s">
        <v>588</v>
      </c>
      <c r="C841" t="s">
        <v>713</v>
      </c>
      <c r="D841" t="s">
        <v>714</v>
      </c>
      <c r="E841" t="s">
        <v>639</v>
      </c>
      <c r="F841">
        <v>52320</v>
      </c>
      <c r="G841">
        <v>0.15580064491637435</v>
      </c>
      <c r="H841">
        <v>8151.4897420247062</v>
      </c>
      <c r="I841" t="s">
        <v>541</v>
      </c>
    </row>
    <row r="842" spans="1:9" x14ac:dyDescent="0.25">
      <c r="A842" t="s">
        <v>587</v>
      </c>
      <c r="B842" t="s">
        <v>588</v>
      </c>
      <c r="C842" t="s">
        <v>640</v>
      </c>
      <c r="D842" t="s">
        <v>641</v>
      </c>
      <c r="E842" t="s">
        <v>639</v>
      </c>
      <c r="F842">
        <v>133600</v>
      </c>
      <c r="G842">
        <v>0.17487530736052098</v>
      </c>
      <c r="H842">
        <v>23363.341063365602</v>
      </c>
      <c r="I842" t="s">
        <v>541</v>
      </c>
    </row>
    <row r="843" spans="1:9" x14ac:dyDescent="0.25">
      <c r="A843" t="s">
        <v>587</v>
      </c>
      <c r="B843" t="s">
        <v>588</v>
      </c>
      <c r="C843" t="s">
        <v>736</v>
      </c>
      <c r="D843" t="s">
        <v>7447</v>
      </c>
      <c r="E843" t="s">
        <v>639</v>
      </c>
      <c r="F843">
        <v>251544</v>
      </c>
      <c r="G843">
        <v>0.13900000000000001</v>
      </c>
      <c r="H843">
        <v>34964.616000000002</v>
      </c>
      <c r="I843" t="s">
        <v>541</v>
      </c>
    </row>
    <row r="844" spans="1:9" x14ac:dyDescent="0.25">
      <c r="A844" t="s">
        <v>587</v>
      </c>
      <c r="B844" t="s">
        <v>588</v>
      </c>
      <c r="C844" t="s">
        <v>715</v>
      </c>
      <c r="D844" t="s">
        <v>716</v>
      </c>
      <c r="E844" t="s">
        <v>639</v>
      </c>
      <c r="F844">
        <v>23968</v>
      </c>
      <c r="G844">
        <v>1.1673196483156583</v>
      </c>
      <c r="H844">
        <v>27978.317330829697</v>
      </c>
      <c r="I844" t="s">
        <v>541</v>
      </c>
    </row>
    <row r="845" spans="1:9" x14ac:dyDescent="0.25">
      <c r="A845" t="s">
        <v>587</v>
      </c>
      <c r="B845" t="s">
        <v>588</v>
      </c>
      <c r="C845" t="s">
        <v>717</v>
      </c>
      <c r="D845" t="s">
        <v>718</v>
      </c>
      <c r="E845" t="s">
        <v>639</v>
      </c>
      <c r="F845">
        <v>36948</v>
      </c>
      <c r="G845">
        <v>1.1673196483156583</v>
      </c>
      <c r="H845">
        <v>43130.126365966942</v>
      </c>
      <c r="I845" t="s">
        <v>541</v>
      </c>
    </row>
    <row r="846" spans="1:9" x14ac:dyDescent="0.25">
      <c r="A846" t="s">
        <v>587</v>
      </c>
      <c r="B846" t="s">
        <v>588</v>
      </c>
      <c r="C846" t="s">
        <v>666</v>
      </c>
      <c r="D846" t="s">
        <v>667</v>
      </c>
      <c r="E846" t="s">
        <v>535</v>
      </c>
      <c r="F846">
        <v>160</v>
      </c>
      <c r="G846">
        <v>14.447026627672727</v>
      </c>
      <c r="H846">
        <v>2311.5242604276364</v>
      </c>
      <c r="I846" t="s">
        <v>541</v>
      </c>
    </row>
    <row r="847" spans="1:9" x14ac:dyDescent="0.25">
      <c r="A847" t="s">
        <v>587</v>
      </c>
      <c r="B847" t="s">
        <v>588</v>
      </c>
      <c r="C847" t="s">
        <v>668</v>
      </c>
      <c r="D847" t="s">
        <v>669</v>
      </c>
      <c r="E847" t="s">
        <v>535</v>
      </c>
      <c r="F847">
        <v>640</v>
      </c>
      <c r="G847">
        <v>13.541652250000004</v>
      </c>
      <c r="H847">
        <v>8666.6574400000027</v>
      </c>
      <c r="I847" t="s">
        <v>541</v>
      </c>
    </row>
    <row r="848" spans="1:9" x14ac:dyDescent="0.25">
      <c r="A848" t="s">
        <v>587</v>
      </c>
      <c r="B848" t="s">
        <v>588</v>
      </c>
      <c r="C848" t="s">
        <v>721</v>
      </c>
      <c r="D848" t="s">
        <v>722</v>
      </c>
      <c r="E848" t="s">
        <v>535</v>
      </c>
      <c r="F848">
        <v>2220</v>
      </c>
      <c r="G848">
        <v>15.883358338060944</v>
      </c>
      <c r="H848">
        <v>35261.055510495295</v>
      </c>
      <c r="I848" t="s">
        <v>541</v>
      </c>
    </row>
    <row r="849" spans="1:9" x14ac:dyDescent="0.25">
      <c r="A849" t="s">
        <v>587</v>
      </c>
      <c r="B849" t="s">
        <v>588</v>
      </c>
      <c r="C849" t="s">
        <v>725</v>
      </c>
      <c r="D849" t="s">
        <v>726</v>
      </c>
      <c r="E849" t="s">
        <v>535</v>
      </c>
      <c r="F849">
        <v>5352</v>
      </c>
      <c r="G849">
        <v>14.477203179506267</v>
      </c>
      <c r="H849">
        <v>77481.991416717545</v>
      </c>
      <c r="I849" t="s">
        <v>541</v>
      </c>
    </row>
    <row r="850" spans="1:9" x14ac:dyDescent="0.25">
      <c r="A850" t="s">
        <v>587</v>
      </c>
      <c r="B850" t="s">
        <v>588</v>
      </c>
      <c r="D850" t="s">
        <v>738</v>
      </c>
      <c r="F850">
        <v>2087</v>
      </c>
      <c r="G850">
        <v>14.477203179506267</v>
      </c>
      <c r="H850">
        <v>30213.923035629577</v>
      </c>
      <c r="I850" t="s">
        <v>541</v>
      </c>
    </row>
    <row r="851" spans="1:9" x14ac:dyDescent="0.25">
      <c r="A851" t="s">
        <v>587</v>
      </c>
      <c r="B851" t="s">
        <v>588</v>
      </c>
      <c r="C851" t="s">
        <v>727</v>
      </c>
      <c r="D851" t="s">
        <v>728</v>
      </c>
      <c r="E851" t="s">
        <v>535</v>
      </c>
      <c r="F851">
        <v>3100</v>
      </c>
      <c r="G851">
        <v>13.827783737305175</v>
      </c>
      <c r="H851">
        <v>42866.129585646042</v>
      </c>
      <c r="I851" t="s">
        <v>541</v>
      </c>
    </row>
    <row r="852" spans="1:9" x14ac:dyDescent="0.25">
      <c r="A852" t="s">
        <v>587</v>
      </c>
      <c r="B852" t="s">
        <v>588</v>
      </c>
      <c r="C852" t="s">
        <v>589</v>
      </c>
      <c r="D852" t="s">
        <v>590</v>
      </c>
      <c r="E852" t="s">
        <v>535</v>
      </c>
      <c r="F852">
        <v>125</v>
      </c>
      <c r="G852">
        <v>12.59525825408878</v>
      </c>
      <c r="H852">
        <v>1574.4072817610975</v>
      </c>
      <c r="I852" t="s">
        <v>541</v>
      </c>
    </row>
    <row r="853" spans="1:9" x14ac:dyDescent="0.25">
      <c r="A853" t="s">
        <v>587</v>
      </c>
      <c r="B853" t="s">
        <v>588</v>
      </c>
      <c r="C853" t="s">
        <v>707</v>
      </c>
      <c r="D853" t="s">
        <v>7747</v>
      </c>
      <c r="E853" t="s">
        <v>535</v>
      </c>
      <c r="F853">
        <v>0</v>
      </c>
      <c r="G853">
        <v>1.35</v>
      </c>
      <c r="H853">
        <v>0</v>
      </c>
      <c r="I853" t="s">
        <v>541</v>
      </c>
    </row>
    <row r="854" spans="1:9" x14ac:dyDescent="0.25">
      <c r="A854" t="s">
        <v>587</v>
      </c>
      <c r="B854" t="s">
        <v>588</v>
      </c>
      <c r="D854" t="s">
        <v>645</v>
      </c>
      <c r="E854" t="s">
        <v>545</v>
      </c>
      <c r="F854">
        <v>4254</v>
      </c>
      <c r="G854">
        <v>0.9110590188837957</v>
      </c>
      <c r="H854">
        <v>3875.6450663316668</v>
      </c>
      <c r="I854" t="s">
        <v>541</v>
      </c>
    </row>
    <row r="855" spans="1:9" x14ac:dyDescent="0.25">
      <c r="A855" t="s">
        <v>587</v>
      </c>
      <c r="B855" t="s">
        <v>588</v>
      </c>
      <c r="C855" t="s">
        <v>646</v>
      </c>
      <c r="D855" t="s">
        <v>647</v>
      </c>
      <c r="E855" t="s">
        <v>545</v>
      </c>
      <c r="F855">
        <v>2620</v>
      </c>
      <c r="G855">
        <v>1.2732299853104208</v>
      </c>
      <c r="H855">
        <v>3335.8625615133024</v>
      </c>
      <c r="I855" t="s">
        <v>541</v>
      </c>
    </row>
    <row r="856" spans="1:9" x14ac:dyDescent="0.25">
      <c r="A856" t="s">
        <v>587</v>
      </c>
      <c r="B856" t="s">
        <v>588</v>
      </c>
      <c r="C856" t="s">
        <v>648</v>
      </c>
      <c r="D856" t="s">
        <v>649</v>
      </c>
      <c r="E856" t="s">
        <v>545</v>
      </c>
      <c r="F856">
        <v>5342</v>
      </c>
      <c r="G856">
        <v>1.1599999999999999</v>
      </c>
      <c r="H856">
        <v>6196.7199999999993</v>
      </c>
      <c r="I856" t="s">
        <v>541</v>
      </c>
    </row>
    <row r="857" spans="1:9" x14ac:dyDescent="0.25">
      <c r="A857" t="s">
        <v>587</v>
      </c>
      <c r="B857" t="s">
        <v>588</v>
      </c>
      <c r="C857" t="s">
        <v>650</v>
      </c>
      <c r="D857" t="s">
        <v>651</v>
      </c>
      <c r="E857" t="s">
        <v>545</v>
      </c>
      <c r="F857">
        <v>4073</v>
      </c>
      <c r="G857">
        <v>1.5528073028453109</v>
      </c>
      <c r="H857">
        <v>6324.5841444889511</v>
      </c>
      <c r="I857" t="s">
        <v>541</v>
      </c>
    </row>
    <row r="858" spans="1:9" x14ac:dyDescent="0.25">
      <c r="A858" t="s">
        <v>587</v>
      </c>
      <c r="B858" t="s">
        <v>588</v>
      </c>
      <c r="C858" t="s">
        <v>652</v>
      </c>
      <c r="D858" t="s">
        <v>653</v>
      </c>
      <c r="E858" t="s">
        <v>545</v>
      </c>
      <c r="F858">
        <v>11843</v>
      </c>
      <c r="G858">
        <v>1.9902010856751384</v>
      </c>
      <c r="H858">
        <v>23569.951457650663</v>
      </c>
      <c r="I858" t="s">
        <v>541</v>
      </c>
    </row>
    <row r="859" spans="1:9" x14ac:dyDescent="0.25">
      <c r="A859" t="s">
        <v>587</v>
      </c>
      <c r="B859" t="s">
        <v>588</v>
      </c>
      <c r="C859" t="s">
        <v>654</v>
      </c>
      <c r="D859" t="s">
        <v>655</v>
      </c>
      <c r="E859" t="s">
        <v>545</v>
      </c>
      <c r="F859">
        <v>5987</v>
      </c>
      <c r="G859">
        <v>2.0631118638677806</v>
      </c>
      <c r="H859">
        <v>12351.850728976402</v>
      </c>
      <c r="I859" t="s">
        <v>541</v>
      </c>
    </row>
    <row r="860" spans="1:9" x14ac:dyDescent="0.25">
      <c r="A860" t="s">
        <v>587</v>
      </c>
      <c r="B860" t="s">
        <v>588</v>
      </c>
      <c r="C860" t="s">
        <v>656</v>
      </c>
      <c r="D860" t="s">
        <v>657</v>
      </c>
      <c r="E860" t="s">
        <v>545</v>
      </c>
      <c r="F860">
        <v>5662</v>
      </c>
      <c r="G860">
        <v>2.5473276361234856</v>
      </c>
      <c r="H860">
        <v>14422.969075731175</v>
      </c>
      <c r="I860" t="s">
        <v>541</v>
      </c>
    </row>
    <row r="861" spans="1:9" x14ac:dyDescent="0.25">
      <c r="A861" t="s">
        <v>587</v>
      </c>
      <c r="B861" t="s">
        <v>588</v>
      </c>
      <c r="D861" t="s">
        <v>671</v>
      </c>
      <c r="E861" t="s">
        <v>535</v>
      </c>
      <c r="F861">
        <v>100</v>
      </c>
      <c r="G861">
        <v>0</v>
      </c>
      <c r="H861">
        <v>0</v>
      </c>
      <c r="I861" t="s">
        <v>541</v>
      </c>
    </row>
    <row r="862" spans="1:9" x14ac:dyDescent="0.25">
      <c r="A862" t="s">
        <v>587</v>
      </c>
      <c r="B862" t="s">
        <v>588</v>
      </c>
      <c r="C862" t="s">
        <v>723</v>
      </c>
      <c r="D862" t="s">
        <v>724</v>
      </c>
      <c r="E862" t="s">
        <v>535</v>
      </c>
      <c r="F862">
        <v>140</v>
      </c>
      <c r="G862">
        <v>26.512264150943395</v>
      </c>
      <c r="H862">
        <v>3711.7169811320755</v>
      </c>
      <c r="I862" t="s">
        <v>541</v>
      </c>
    </row>
    <row r="863" spans="1:9" x14ac:dyDescent="0.25">
      <c r="A863" t="s">
        <v>587</v>
      </c>
      <c r="B863" t="s">
        <v>588</v>
      </c>
      <c r="C863" t="s">
        <v>662</v>
      </c>
      <c r="D863" t="s">
        <v>663</v>
      </c>
      <c r="E863" t="s">
        <v>535</v>
      </c>
      <c r="F863">
        <v>43.2</v>
      </c>
      <c r="G863">
        <v>4.7564261532206524</v>
      </c>
      <c r="H863">
        <v>205.4776098191322</v>
      </c>
      <c r="I863" t="s">
        <v>541</v>
      </c>
    </row>
    <row r="864" spans="1:9" x14ac:dyDescent="0.25">
      <c r="A864" t="s">
        <v>587</v>
      </c>
      <c r="B864" t="s">
        <v>588</v>
      </c>
      <c r="C864" t="s">
        <v>734</v>
      </c>
      <c r="D864" t="s">
        <v>735</v>
      </c>
      <c r="E864" t="s">
        <v>545</v>
      </c>
      <c r="F864">
        <v>200</v>
      </c>
      <c r="G864">
        <v>0.2525</v>
      </c>
      <c r="H864">
        <v>50.5</v>
      </c>
      <c r="I864" t="s">
        <v>541</v>
      </c>
    </row>
    <row r="865" spans="1:9" x14ac:dyDescent="0.25">
      <c r="A865" t="s">
        <v>587</v>
      </c>
      <c r="B865" t="s">
        <v>588</v>
      </c>
      <c r="D865" t="s">
        <v>7679</v>
      </c>
      <c r="E865" t="s">
        <v>545</v>
      </c>
      <c r="F865">
        <v>1000</v>
      </c>
      <c r="G865">
        <v>0</v>
      </c>
      <c r="H865">
        <v>0</v>
      </c>
      <c r="I865" t="s">
        <v>541</v>
      </c>
    </row>
    <row r="866" spans="1:9" x14ac:dyDescent="0.25">
      <c r="A866" t="s">
        <v>587</v>
      </c>
      <c r="B866" t="s">
        <v>588</v>
      </c>
      <c r="C866" t="s">
        <v>658</v>
      </c>
      <c r="D866" t="s">
        <v>7748</v>
      </c>
      <c r="E866" t="s">
        <v>545</v>
      </c>
      <c r="F866">
        <v>0</v>
      </c>
      <c r="G866">
        <v>0.16930875675675675</v>
      </c>
      <c r="H866">
        <v>0</v>
      </c>
      <c r="I866" t="s">
        <v>541</v>
      </c>
    </row>
    <row r="867" spans="1:9" x14ac:dyDescent="0.25">
      <c r="A867" t="s">
        <v>587</v>
      </c>
      <c r="B867" t="s">
        <v>588</v>
      </c>
      <c r="C867" t="s">
        <v>682</v>
      </c>
      <c r="D867" t="s">
        <v>683</v>
      </c>
      <c r="E867" t="s">
        <v>545</v>
      </c>
      <c r="F867">
        <v>1500</v>
      </c>
      <c r="G867">
        <v>0.20200000000000001</v>
      </c>
      <c r="H867">
        <v>303</v>
      </c>
      <c r="I867" t="s">
        <v>541</v>
      </c>
    </row>
    <row r="868" spans="1:9" x14ac:dyDescent="0.25">
      <c r="A868" t="s">
        <v>587</v>
      </c>
      <c r="B868" t="s">
        <v>588</v>
      </c>
      <c r="C868" t="s">
        <v>660</v>
      </c>
      <c r="D868" t="s">
        <v>661</v>
      </c>
      <c r="E868" t="s">
        <v>545</v>
      </c>
      <c r="F868">
        <v>1500</v>
      </c>
      <c r="G868">
        <v>0.20156250000000001</v>
      </c>
      <c r="H868">
        <v>302.34375</v>
      </c>
      <c r="I868" t="s">
        <v>541</v>
      </c>
    </row>
    <row r="869" spans="1:9" x14ac:dyDescent="0.25">
      <c r="A869" t="s">
        <v>587</v>
      </c>
      <c r="B869" t="s">
        <v>588</v>
      </c>
      <c r="C869" t="s">
        <v>684</v>
      </c>
      <c r="D869" t="s">
        <v>685</v>
      </c>
      <c r="E869" t="s">
        <v>545</v>
      </c>
      <c r="F869">
        <v>500</v>
      </c>
      <c r="G869">
        <v>0.35349999999999998</v>
      </c>
      <c r="H869">
        <v>176.75</v>
      </c>
      <c r="I869" t="s">
        <v>541</v>
      </c>
    </row>
    <row r="870" spans="1:9" x14ac:dyDescent="0.25">
      <c r="A870" t="s">
        <v>587</v>
      </c>
      <c r="B870" t="s">
        <v>588</v>
      </c>
      <c r="C870" t="s">
        <v>686</v>
      </c>
      <c r="D870" t="s">
        <v>687</v>
      </c>
      <c r="E870" t="s">
        <v>545</v>
      </c>
      <c r="F870">
        <v>500</v>
      </c>
      <c r="G870">
        <v>0.35349999999999998</v>
      </c>
      <c r="H870">
        <v>176.75</v>
      </c>
      <c r="I870" t="s">
        <v>541</v>
      </c>
    </row>
    <row r="871" spans="1:9" x14ac:dyDescent="0.25">
      <c r="A871" t="s">
        <v>587</v>
      </c>
      <c r="B871" t="s">
        <v>588</v>
      </c>
      <c r="C871" t="s">
        <v>664</v>
      </c>
      <c r="D871" t="s">
        <v>665</v>
      </c>
      <c r="E871" t="s">
        <v>545</v>
      </c>
      <c r="F871">
        <v>60</v>
      </c>
      <c r="G871">
        <v>2.5378020036896118</v>
      </c>
      <c r="H871">
        <v>152.26812022137671</v>
      </c>
      <c r="I871" t="s">
        <v>541</v>
      </c>
    </row>
    <row r="872" spans="1:9" x14ac:dyDescent="0.25">
      <c r="A872" t="s">
        <v>587</v>
      </c>
      <c r="B872" t="s">
        <v>588</v>
      </c>
      <c r="C872" t="s">
        <v>688</v>
      </c>
      <c r="D872" t="s">
        <v>689</v>
      </c>
      <c r="E872" t="s">
        <v>545</v>
      </c>
      <c r="F872">
        <v>9</v>
      </c>
      <c r="G872">
        <v>352.43900000000002</v>
      </c>
      <c r="H872">
        <v>3171.951</v>
      </c>
      <c r="I872" t="s">
        <v>541</v>
      </c>
    </row>
    <row r="873" spans="1:9" x14ac:dyDescent="0.25">
      <c r="A873" t="s">
        <v>587</v>
      </c>
      <c r="B873" t="s">
        <v>588</v>
      </c>
      <c r="C873" t="s">
        <v>680</v>
      </c>
      <c r="D873" t="s">
        <v>681</v>
      </c>
      <c r="E873" t="s">
        <v>545</v>
      </c>
      <c r="F873">
        <v>33</v>
      </c>
      <c r="G873">
        <v>5.4087843099460295</v>
      </c>
      <c r="H873">
        <v>178.48988222821899</v>
      </c>
      <c r="I873" t="s">
        <v>541</v>
      </c>
    </row>
    <row r="874" spans="1:9" x14ac:dyDescent="0.25">
      <c r="A874" t="s">
        <v>587</v>
      </c>
      <c r="B874" t="s">
        <v>588</v>
      </c>
      <c r="C874" t="s">
        <v>700</v>
      </c>
      <c r="D874" t="s">
        <v>701</v>
      </c>
      <c r="E874" t="s">
        <v>545</v>
      </c>
      <c r="F874">
        <v>2</v>
      </c>
      <c r="G874">
        <v>30.505706430295458</v>
      </c>
      <c r="H874">
        <v>61.011412860590916</v>
      </c>
      <c r="I874" t="s">
        <v>541</v>
      </c>
    </row>
    <row r="875" spans="1:9" x14ac:dyDescent="0.25">
      <c r="A875" t="s">
        <v>587</v>
      </c>
      <c r="B875" t="s">
        <v>588</v>
      </c>
      <c r="C875" t="s">
        <v>729</v>
      </c>
      <c r="D875" t="s">
        <v>730</v>
      </c>
      <c r="E875" t="s">
        <v>545</v>
      </c>
      <c r="F875">
        <v>100</v>
      </c>
      <c r="G875">
        <v>109.33333333333331</v>
      </c>
      <c r="H875">
        <v>10933.333333333332</v>
      </c>
      <c r="I875" t="s">
        <v>541</v>
      </c>
    </row>
    <row r="876" spans="1:9" x14ac:dyDescent="0.25">
      <c r="A876" t="s">
        <v>587</v>
      </c>
      <c r="B876" t="s">
        <v>588</v>
      </c>
      <c r="C876" t="s">
        <v>731</v>
      </c>
      <c r="D876" t="s">
        <v>732</v>
      </c>
      <c r="E876" t="s">
        <v>545</v>
      </c>
      <c r="F876">
        <v>1</v>
      </c>
      <c r="G876">
        <v>146.44999999999999</v>
      </c>
      <c r="H876">
        <v>146.44999999999999</v>
      </c>
      <c r="I876" t="s">
        <v>541</v>
      </c>
    </row>
    <row r="877" spans="1:9" x14ac:dyDescent="0.25">
      <c r="A877" t="s">
        <v>587</v>
      </c>
      <c r="B877" t="s">
        <v>588</v>
      </c>
      <c r="D877" t="s">
        <v>733</v>
      </c>
      <c r="E877" t="s">
        <v>535</v>
      </c>
      <c r="F877">
        <v>150</v>
      </c>
      <c r="G877">
        <v>55.001795704000003</v>
      </c>
      <c r="H877">
        <v>8250.2693556000013</v>
      </c>
      <c r="I877" t="s">
        <v>541</v>
      </c>
    </row>
    <row r="878" spans="1:9" x14ac:dyDescent="0.25">
      <c r="A878" t="s">
        <v>587</v>
      </c>
      <c r="B878" t="s">
        <v>588</v>
      </c>
      <c r="D878" t="s">
        <v>7680</v>
      </c>
      <c r="E878" t="s">
        <v>535</v>
      </c>
      <c r="F878">
        <v>225</v>
      </c>
      <c r="G878">
        <v>0</v>
      </c>
      <c r="H878">
        <v>0</v>
      </c>
      <c r="I878" t="s">
        <v>541</v>
      </c>
    </row>
    <row r="879" spans="1:9" x14ac:dyDescent="0.25">
      <c r="A879" t="s">
        <v>587</v>
      </c>
      <c r="B879" t="s">
        <v>588</v>
      </c>
      <c r="C879" t="s">
        <v>719</v>
      </c>
      <c r="D879" t="s">
        <v>720</v>
      </c>
      <c r="E879" t="s">
        <v>545</v>
      </c>
      <c r="F879">
        <v>164000</v>
      </c>
      <c r="G879">
        <v>0.21457018061935432</v>
      </c>
      <c r="H879">
        <v>35189.509621574107</v>
      </c>
      <c r="I879" t="s">
        <v>541</v>
      </c>
    </row>
    <row r="880" spans="1:9" x14ac:dyDescent="0.25">
      <c r="A880" t="s">
        <v>587</v>
      </c>
      <c r="B880" t="s">
        <v>588</v>
      </c>
      <c r="C880" t="s">
        <v>736</v>
      </c>
      <c r="D880" t="s">
        <v>737</v>
      </c>
      <c r="E880" t="s">
        <v>639</v>
      </c>
      <c r="F880">
        <v>79296</v>
      </c>
      <c r="G880">
        <v>0.13900000000000001</v>
      </c>
      <c r="H880">
        <v>11022.144</v>
      </c>
      <c r="I880" t="s">
        <v>541</v>
      </c>
    </row>
    <row r="881" spans="1:9" x14ac:dyDescent="0.25">
      <c r="A881" t="s">
        <v>587</v>
      </c>
      <c r="B881" t="s">
        <v>588</v>
      </c>
      <c r="C881" t="s">
        <v>1117</v>
      </c>
      <c r="D881" t="s">
        <v>7681</v>
      </c>
      <c r="E881" t="s">
        <v>545</v>
      </c>
      <c r="F881">
        <v>1608</v>
      </c>
      <c r="G881">
        <v>0.65004816140349075</v>
      </c>
      <c r="H881">
        <v>1045.2774435368131</v>
      </c>
      <c r="I881" t="s">
        <v>541</v>
      </c>
    </row>
    <row r="882" spans="1:9" x14ac:dyDescent="0.25">
      <c r="A882" t="s">
        <v>587</v>
      </c>
      <c r="B882" t="s">
        <v>588</v>
      </c>
      <c r="C882" t="s">
        <v>739</v>
      </c>
      <c r="D882" t="s">
        <v>7682</v>
      </c>
      <c r="E882" t="s">
        <v>545</v>
      </c>
      <c r="F882">
        <v>4872</v>
      </c>
      <c r="G882">
        <v>1.0414720120690593</v>
      </c>
      <c r="H882">
        <v>5074.0516428004566</v>
      </c>
      <c r="I882" t="s">
        <v>541</v>
      </c>
    </row>
    <row r="883" spans="1:9" x14ac:dyDescent="0.25">
      <c r="A883" t="s">
        <v>587</v>
      </c>
      <c r="B883" t="s">
        <v>588</v>
      </c>
      <c r="C883" t="s">
        <v>741</v>
      </c>
      <c r="D883" t="s">
        <v>7683</v>
      </c>
      <c r="E883" t="s">
        <v>545</v>
      </c>
      <c r="F883">
        <v>5295</v>
      </c>
      <c r="G883">
        <v>1.2732299853104208</v>
      </c>
      <c r="H883">
        <v>6741.7527722186778</v>
      </c>
      <c r="I883" t="s">
        <v>541</v>
      </c>
    </row>
    <row r="884" spans="1:9" x14ac:dyDescent="0.25">
      <c r="A884" t="s">
        <v>587</v>
      </c>
      <c r="B884" t="s">
        <v>588</v>
      </c>
      <c r="C884" t="s">
        <v>743</v>
      </c>
      <c r="D884" t="s">
        <v>7749</v>
      </c>
      <c r="E884" t="s">
        <v>545</v>
      </c>
      <c r="F884">
        <v>13300</v>
      </c>
      <c r="G884">
        <v>0.56883332117009466</v>
      </c>
      <c r="H884">
        <v>7565.4831715622586</v>
      </c>
      <c r="I884" t="s">
        <v>541</v>
      </c>
    </row>
    <row r="885" spans="1:9" x14ac:dyDescent="0.25">
      <c r="A885" t="s">
        <v>587</v>
      </c>
      <c r="B885" t="s">
        <v>588</v>
      </c>
      <c r="C885" t="s">
        <v>745</v>
      </c>
      <c r="D885" t="s">
        <v>7684</v>
      </c>
      <c r="E885" t="s">
        <v>545</v>
      </c>
      <c r="F885">
        <v>17113</v>
      </c>
      <c r="G885">
        <v>0.64329877412327052</v>
      </c>
      <c r="H885">
        <v>11008.771921571528</v>
      </c>
      <c r="I885" t="s">
        <v>541</v>
      </c>
    </row>
    <row r="886" spans="1:9" x14ac:dyDescent="0.25">
      <c r="A886" t="s">
        <v>220</v>
      </c>
      <c r="B886" t="s">
        <v>588</v>
      </c>
      <c r="C886" t="s">
        <v>672</v>
      </c>
      <c r="D886" t="s">
        <v>7750</v>
      </c>
      <c r="E886" t="s">
        <v>535</v>
      </c>
      <c r="F886">
        <v>71212</v>
      </c>
      <c r="G886">
        <v>6.1093118766339956</v>
      </c>
      <c r="H886">
        <v>435056.31735886011</v>
      </c>
      <c r="I886" t="s">
        <v>541</v>
      </c>
    </row>
    <row r="887" spans="1:9" x14ac:dyDescent="0.25">
      <c r="A887" t="s">
        <v>220</v>
      </c>
      <c r="B887" t="s">
        <v>802</v>
      </c>
      <c r="C887" t="s">
        <v>7422</v>
      </c>
      <c r="D887" t="s">
        <v>804</v>
      </c>
      <c r="E887">
        <v>6966</v>
      </c>
      <c r="F887">
        <v>6966</v>
      </c>
      <c r="G887">
        <v>6.9091851252135434</v>
      </c>
      <c r="H887">
        <v>48129.38358223754</v>
      </c>
      <c r="I887" t="s">
        <v>536</v>
      </c>
    </row>
    <row r="888" spans="1:9" x14ac:dyDescent="0.25">
      <c r="A888" t="s">
        <v>220</v>
      </c>
      <c r="B888" t="s">
        <v>802</v>
      </c>
      <c r="C888" t="s">
        <v>7408</v>
      </c>
      <c r="D888" t="s">
        <v>7751</v>
      </c>
      <c r="E888">
        <v>5366</v>
      </c>
      <c r="F888">
        <v>5366</v>
      </c>
      <c r="G888">
        <v>6.8240114899672228</v>
      </c>
      <c r="H888">
        <v>36617.645655164117</v>
      </c>
      <c r="I888" t="s">
        <v>536</v>
      </c>
    </row>
    <row r="889" spans="1:9" x14ac:dyDescent="0.25">
      <c r="A889" t="s">
        <v>220</v>
      </c>
      <c r="B889" t="s">
        <v>7448</v>
      </c>
      <c r="C889" t="s">
        <v>7600</v>
      </c>
      <c r="D889" t="s">
        <v>1998</v>
      </c>
      <c r="E889" t="s">
        <v>545</v>
      </c>
      <c r="F889">
        <v>25</v>
      </c>
      <c r="G889">
        <v>70.520665564620202</v>
      </c>
      <c r="H889">
        <v>1763.0166391155051</v>
      </c>
      <c r="I889" t="s">
        <v>1911</v>
      </c>
    </row>
    <row r="890" spans="1:9" x14ac:dyDescent="0.25">
      <c r="A890" t="s">
        <v>220</v>
      </c>
      <c r="B890" t="s">
        <v>7448</v>
      </c>
      <c r="C890" t="s">
        <v>2007</v>
      </c>
      <c r="D890" t="s">
        <v>2007</v>
      </c>
      <c r="E890" t="s">
        <v>545</v>
      </c>
      <c r="F890">
        <v>84</v>
      </c>
      <c r="G890">
        <v>120.1</v>
      </c>
      <c r="H890">
        <v>10088.4</v>
      </c>
      <c r="I890" t="s">
        <v>1911</v>
      </c>
    </row>
    <row r="891" spans="1:9" x14ac:dyDescent="0.25">
      <c r="A891" t="s">
        <v>220</v>
      </c>
      <c r="B891" t="s">
        <v>7448</v>
      </c>
      <c r="C891" t="s">
        <v>2008</v>
      </c>
      <c r="D891" t="s">
        <v>2008</v>
      </c>
      <c r="E891" t="s">
        <v>545</v>
      </c>
      <c r="F891">
        <v>71</v>
      </c>
      <c r="G891">
        <v>120.10000000000001</v>
      </c>
      <c r="H891">
        <v>8527.1</v>
      </c>
      <c r="I891" t="s">
        <v>1911</v>
      </c>
    </row>
    <row r="892" spans="1:9" x14ac:dyDescent="0.25">
      <c r="A892" t="s">
        <v>220</v>
      </c>
      <c r="B892" t="s">
        <v>7448</v>
      </c>
      <c r="C892" t="s">
        <v>1936</v>
      </c>
      <c r="D892" t="s">
        <v>2052</v>
      </c>
      <c r="E892" t="s">
        <v>545</v>
      </c>
      <c r="F892">
        <v>106</v>
      </c>
      <c r="G892">
        <v>71.019884794170252</v>
      </c>
      <c r="H892">
        <v>7528.1077881820465</v>
      </c>
      <c r="I892" t="s">
        <v>1911</v>
      </c>
    </row>
    <row r="893" spans="1:9" x14ac:dyDescent="0.25">
      <c r="A893" t="s">
        <v>220</v>
      </c>
      <c r="B893" t="s">
        <v>7448</v>
      </c>
      <c r="C893" t="s">
        <v>7601</v>
      </c>
      <c r="D893" t="s">
        <v>2054</v>
      </c>
      <c r="E893" t="s">
        <v>545</v>
      </c>
      <c r="F893">
        <v>42</v>
      </c>
      <c r="G893">
        <v>107.19954031499476</v>
      </c>
      <c r="H893">
        <v>4502.3806932297803</v>
      </c>
      <c r="I893" t="s">
        <v>1911</v>
      </c>
    </row>
    <row r="894" spans="1:9" x14ac:dyDescent="0.25">
      <c r="A894" t="s">
        <v>220</v>
      </c>
      <c r="B894" t="s">
        <v>7448</v>
      </c>
      <c r="C894" t="s">
        <v>7602</v>
      </c>
      <c r="D894" t="s">
        <v>2056</v>
      </c>
      <c r="E894" t="s">
        <v>545</v>
      </c>
      <c r="F894">
        <v>191</v>
      </c>
      <c r="G894">
        <v>106.99129289231436</v>
      </c>
      <c r="H894">
        <v>20435.336942432044</v>
      </c>
      <c r="I894" t="s">
        <v>1911</v>
      </c>
    </row>
    <row r="895" spans="1:9" x14ac:dyDescent="0.25">
      <c r="A895" t="s">
        <v>220</v>
      </c>
      <c r="B895" t="s">
        <v>7448</v>
      </c>
      <c r="C895" t="s">
        <v>7460</v>
      </c>
      <c r="D895" t="s">
        <v>2058</v>
      </c>
      <c r="E895" t="s">
        <v>545</v>
      </c>
      <c r="F895">
        <v>4</v>
      </c>
      <c r="G895">
        <v>124.83982623702563</v>
      </c>
      <c r="H895">
        <v>499.35930494810253</v>
      </c>
      <c r="I895" t="s">
        <v>1911</v>
      </c>
    </row>
    <row r="896" spans="1:9" x14ac:dyDescent="0.25">
      <c r="A896" t="s">
        <v>220</v>
      </c>
      <c r="B896" t="s">
        <v>7448</v>
      </c>
      <c r="C896" t="s">
        <v>7461</v>
      </c>
      <c r="D896" t="s">
        <v>2060</v>
      </c>
      <c r="E896" t="s">
        <v>545</v>
      </c>
      <c r="F896">
        <v>5</v>
      </c>
      <c r="G896">
        <v>124.2488008092042</v>
      </c>
      <c r="H896">
        <v>621.24400404602102</v>
      </c>
      <c r="I896" t="s">
        <v>1911</v>
      </c>
    </row>
    <row r="897" spans="1:9" x14ac:dyDescent="0.25">
      <c r="A897" t="s">
        <v>220</v>
      </c>
      <c r="B897" t="s">
        <v>7448</v>
      </c>
      <c r="C897" t="s">
        <v>1938</v>
      </c>
      <c r="D897" t="s">
        <v>2062</v>
      </c>
      <c r="E897" t="s">
        <v>545</v>
      </c>
      <c r="F897">
        <v>132</v>
      </c>
      <c r="G897">
        <v>104.85478458153609</v>
      </c>
      <c r="H897">
        <v>13840.831564762764</v>
      </c>
      <c r="I897" t="s">
        <v>1911</v>
      </c>
    </row>
    <row r="898" spans="1:9" x14ac:dyDescent="0.25">
      <c r="A898" t="s">
        <v>220</v>
      </c>
      <c r="B898" t="s">
        <v>2063</v>
      </c>
      <c r="C898" t="s">
        <v>2064</v>
      </c>
      <c r="D898" t="s">
        <v>7603</v>
      </c>
      <c r="E898" t="s">
        <v>545</v>
      </c>
      <c r="F898">
        <v>2781</v>
      </c>
      <c r="G898">
        <v>66.134554018222957</v>
      </c>
      <c r="H898">
        <v>183920.19472467803</v>
      </c>
      <c r="I898" t="s">
        <v>536</v>
      </c>
    </row>
    <row r="899" spans="1:9" x14ac:dyDescent="0.25">
      <c r="A899" t="s">
        <v>220</v>
      </c>
      <c r="B899" t="s">
        <v>2063</v>
      </c>
      <c r="C899" t="s">
        <v>2065</v>
      </c>
      <c r="D899" t="s">
        <v>7604</v>
      </c>
      <c r="E899" t="s">
        <v>545</v>
      </c>
      <c r="F899">
        <v>174</v>
      </c>
      <c r="G899">
        <v>77.668112428044694</v>
      </c>
      <c r="H899">
        <v>13514.251562479776</v>
      </c>
      <c r="I899" t="s">
        <v>536</v>
      </c>
    </row>
    <row r="900" spans="1:9" x14ac:dyDescent="0.25">
      <c r="A900" t="s">
        <v>220</v>
      </c>
      <c r="B900" t="s">
        <v>2063</v>
      </c>
      <c r="C900" t="s">
        <v>2066</v>
      </c>
      <c r="D900" t="s">
        <v>7479</v>
      </c>
      <c r="E900" t="s">
        <v>545</v>
      </c>
      <c r="F900">
        <v>11</v>
      </c>
      <c r="G900">
        <v>88.786114409220119</v>
      </c>
      <c r="H900">
        <v>976.64725850142133</v>
      </c>
      <c r="I900" t="s">
        <v>536</v>
      </c>
    </row>
    <row r="901" spans="1:9" x14ac:dyDescent="0.25">
      <c r="A901" t="s">
        <v>220</v>
      </c>
      <c r="B901" t="s">
        <v>2063</v>
      </c>
      <c r="C901" t="s">
        <v>2067</v>
      </c>
      <c r="D901" t="s">
        <v>7488</v>
      </c>
      <c r="E901" t="s">
        <v>545</v>
      </c>
      <c r="F901">
        <v>314</v>
      </c>
      <c r="G901">
        <v>116.44781685371146</v>
      </c>
      <c r="H901">
        <v>36564.614492065397</v>
      </c>
      <c r="I901" t="s">
        <v>536</v>
      </c>
    </row>
    <row r="902" spans="1:9" x14ac:dyDescent="0.25">
      <c r="A902" t="s">
        <v>220</v>
      </c>
      <c r="B902" t="s">
        <v>2063</v>
      </c>
      <c r="C902" t="s">
        <v>2068</v>
      </c>
      <c r="D902" t="s">
        <v>7605</v>
      </c>
      <c r="E902" t="s">
        <v>545</v>
      </c>
      <c r="F902">
        <v>244</v>
      </c>
      <c r="G902">
        <v>60.033893899112869</v>
      </c>
      <c r="H902">
        <v>14648.270111383539</v>
      </c>
      <c r="I902" t="s">
        <v>536</v>
      </c>
    </row>
    <row r="903" spans="1:9" x14ac:dyDescent="0.25">
      <c r="A903" t="s">
        <v>220</v>
      </c>
      <c r="B903" t="s">
        <v>2063</v>
      </c>
      <c r="C903" t="s">
        <v>2069</v>
      </c>
      <c r="D903" t="s">
        <v>7606</v>
      </c>
      <c r="E903" t="s">
        <v>545</v>
      </c>
      <c r="F903">
        <v>151</v>
      </c>
      <c r="G903">
        <v>62.421388981082885</v>
      </c>
      <c r="H903">
        <v>9425.6297361435154</v>
      </c>
      <c r="I903" t="s">
        <v>536</v>
      </c>
    </row>
    <row r="904" spans="1:9" x14ac:dyDescent="0.25">
      <c r="A904" t="s">
        <v>220</v>
      </c>
      <c r="B904" t="s">
        <v>2063</v>
      </c>
      <c r="C904" t="s">
        <v>2070</v>
      </c>
      <c r="D904" t="s">
        <v>7606</v>
      </c>
      <c r="E904" t="s">
        <v>545</v>
      </c>
      <c r="F904">
        <v>420</v>
      </c>
      <c r="G904">
        <v>58.612017708410733</v>
      </c>
      <c r="H904">
        <v>24617.047437532507</v>
      </c>
      <c r="I904" t="s">
        <v>536</v>
      </c>
    </row>
    <row r="905" spans="1:9" x14ac:dyDescent="0.25">
      <c r="A905" t="s">
        <v>220</v>
      </c>
      <c r="B905" t="s">
        <v>2063</v>
      </c>
      <c r="C905" t="s">
        <v>2071</v>
      </c>
      <c r="D905" t="s">
        <v>1927</v>
      </c>
      <c r="E905" t="s">
        <v>545</v>
      </c>
      <c r="F905">
        <v>20</v>
      </c>
      <c r="G905">
        <v>72.905392212776761</v>
      </c>
      <c r="H905">
        <v>1458.1078442555352</v>
      </c>
      <c r="I905" t="s">
        <v>536</v>
      </c>
    </row>
    <row r="906" spans="1:9" x14ac:dyDescent="0.25">
      <c r="A906" t="s">
        <v>220</v>
      </c>
      <c r="B906" t="s">
        <v>2063</v>
      </c>
      <c r="C906" t="s">
        <v>2073</v>
      </c>
      <c r="D906" t="s">
        <v>7607</v>
      </c>
      <c r="E906" t="s">
        <v>545</v>
      </c>
      <c r="F906">
        <v>1149</v>
      </c>
      <c r="G906">
        <v>54.545566858228497</v>
      </c>
      <c r="H906">
        <v>62672.85632010454</v>
      </c>
      <c r="I906" t="s">
        <v>536</v>
      </c>
    </row>
    <row r="907" spans="1:9" x14ac:dyDescent="0.25">
      <c r="A907" t="s">
        <v>220</v>
      </c>
      <c r="B907" t="s">
        <v>2063</v>
      </c>
      <c r="C907" t="s">
        <v>2074</v>
      </c>
      <c r="D907" t="s">
        <v>7608</v>
      </c>
      <c r="E907" t="s">
        <v>545</v>
      </c>
      <c r="F907">
        <v>171</v>
      </c>
      <c r="G907">
        <v>57.605556537142405</v>
      </c>
      <c r="H907">
        <v>9850.5501678513519</v>
      </c>
      <c r="I907" t="s">
        <v>536</v>
      </c>
    </row>
    <row r="908" spans="1:9" x14ac:dyDescent="0.25">
      <c r="A908" t="s">
        <v>220</v>
      </c>
      <c r="B908" t="s">
        <v>2063</v>
      </c>
      <c r="C908" t="s">
        <v>2075</v>
      </c>
      <c r="D908" t="s">
        <v>1937</v>
      </c>
      <c r="E908" t="s">
        <v>545</v>
      </c>
      <c r="F908">
        <v>1193</v>
      </c>
      <c r="G908">
        <v>60.569232391823341</v>
      </c>
      <c r="H908">
        <v>72259.094243445245</v>
      </c>
      <c r="I908" t="s">
        <v>536</v>
      </c>
    </row>
    <row r="909" spans="1:9" x14ac:dyDescent="0.25">
      <c r="A909" t="s">
        <v>220</v>
      </c>
      <c r="B909" t="s">
        <v>2063</v>
      </c>
      <c r="C909" t="s">
        <v>2076</v>
      </c>
      <c r="D909" t="s">
        <v>7609</v>
      </c>
      <c r="E909" t="s">
        <v>545</v>
      </c>
      <c r="F909">
        <v>84</v>
      </c>
      <c r="G909">
        <v>91.295004755193162</v>
      </c>
      <c r="H909">
        <v>7668.7803994362257</v>
      </c>
      <c r="I909" t="s">
        <v>536</v>
      </c>
    </row>
    <row r="910" spans="1:9" x14ac:dyDescent="0.25">
      <c r="A910" t="s">
        <v>220</v>
      </c>
      <c r="B910" t="s">
        <v>2063</v>
      </c>
      <c r="C910" t="s">
        <v>2077</v>
      </c>
      <c r="D910" t="s">
        <v>7610</v>
      </c>
      <c r="E910" t="s">
        <v>545</v>
      </c>
      <c r="F910">
        <v>328</v>
      </c>
      <c r="G910">
        <v>96.938008737320715</v>
      </c>
      <c r="H910">
        <v>31795.666865841195</v>
      </c>
      <c r="I910" t="s">
        <v>536</v>
      </c>
    </row>
    <row r="911" spans="1:9" x14ac:dyDescent="0.25">
      <c r="A911" t="s">
        <v>220</v>
      </c>
      <c r="B911" t="s">
        <v>2063</v>
      </c>
      <c r="C911" t="s">
        <v>2078</v>
      </c>
      <c r="D911" t="s">
        <v>7478</v>
      </c>
      <c r="E911" t="s">
        <v>545</v>
      </c>
      <c r="F911">
        <v>664</v>
      </c>
      <c r="G911">
        <v>94.81600377363182</v>
      </c>
      <c r="H911">
        <v>62957.826505691526</v>
      </c>
      <c r="I911" t="s">
        <v>536</v>
      </c>
    </row>
    <row r="912" spans="1:9" x14ac:dyDescent="0.25">
      <c r="A912" t="s">
        <v>220</v>
      </c>
      <c r="B912" t="s">
        <v>2063</v>
      </c>
      <c r="C912" t="s">
        <v>7597</v>
      </c>
      <c r="D912" t="s">
        <v>7456</v>
      </c>
      <c r="E912" t="s">
        <v>545</v>
      </c>
      <c r="F912">
        <v>490</v>
      </c>
      <c r="G912">
        <v>121.95159534244713</v>
      </c>
      <c r="H912">
        <v>59756.281717799095</v>
      </c>
      <c r="I912" t="s">
        <v>536</v>
      </c>
    </row>
    <row r="913" spans="1:9" x14ac:dyDescent="0.25">
      <c r="A913" t="s">
        <v>220</v>
      </c>
      <c r="B913" t="s">
        <v>2063</v>
      </c>
      <c r="C913" t="s">
        <v>7611</v>
      </c>
      <c r="D913" t="s">
        <v>7612</v>
      </c>
      <c r="E913" t="s">
        <v>545</v>
      </c>
      <c r="F913">
        <v>311</v>
      </c>
      <c r="G913">
        <v>129.13387861005873</v>
      </c>
      <c r="H913">
        <v>40160.636247728267</v>
      </c>
      <c r="I913" t="s">
        <v>536</v>
      </c>
    </row>
    <row r="914" spans="1:9" x14ac:dyDescent="0.25">
      <c r="A914" t="s">
        <v>220</v>
      </c>
      <c r="B914" t="s">
        <v>2063</v>
      </c>
      <c r="C914" t="s">
        <v>2079</v>
      </c>
      <c r="D914" t="s">
        <v>7613</v>
      </c>
      <c r="E914" t="s">
        <v>545</v>
      </c>
      <c r="F914">
        <v>1185</v>
      </c>
      <c r="G914">
        <v>57.874576542838582</v>
      </c>
      <c r="H914">
        <v>68581.37320326372</v>
      </c>
      <c r="I914" t="s">
        <v>536</v>
      </c>
    </row>
    <row r="915" spans="1:9" x14ac:dyDescent="0.25">
      <c r="A915" t="s">
        <v>220</v>
      </c>
      <c r="B915" t="s">
        <v>2063</v>
      </c>
      <c r="C915" t="s">
        <v>2079</v>
      </c>
      <c r="D915" t="s">
        <v>7613</v>
      </c>
      <c r="E915" t="s">
        <v>545</v>
      </c>
      <c r="F915">
        <v>78</v>
      </c>
      <c r="G915">
        <v>57.874576542838582</v>
      </c>
      <c r="H915">
        <v>4514.2169703414093</v>
      </c>
      <c r="I915" t="s">
        <v>536</v>
      </c>
    </row>
    <row r="916" spans="1:9" x14ac:dyDescent="0.25">
      <c r="A916" t="s">
        <v>220</v>
      </c>
      <c r="B916" t="s">
        <v>2063</v>
      </c>
      <c r="C916" t="s">
        <v>2082</v>
      </c>
      <c r="D916" t="s">
        <v>7476</v>
      </c>
      <c r="E916" t="s">
        <v>545</v>
      </c>
      <c r="F916">
        <v>647</v>
      </c>
      <c r="G916">
        <v>67.546473439126459</v>
      </c>
      <c r="H916">
        <v>43702.568315114819</v>
      </c>
      <c r="I916" t="s">
        <v>536</v>
      </c>
    </row>
    <row r="917" spans="1:9" x14ac:dyDescent="0.25">
      <c r="A917" t="s">
        <v>220</v>
      </c>
      <c r="B917" t="s">
        <v>2063</v>
      </c>
      <c r="C917" t="s">
        <v>2082</v>
      </c>
      <c r="D917" t="s">
        <v>7476</v>
      </c>
      <c r="E917" t="s">
        <v>545</v>
      </c>
      <c r="F917">
        <v>35</v>
      </c>
      <c r="G917">
        <v>67.546473439126459</v>
      </c>
      <c r="H917">
        <v>2364.1265703694262</v>
      </c>
      <c r="I917" t="s">
        <v>536</v>
      </c>
    </row>
    <row r="918" spans="1:9" x14ac:dyDescent="0.25">
      <c r="A918" t="s">
        <v>220</v>
      </c>
      <c r="B918" t="s">
        <v>2063</v>
      </c>
      <c r="C918" t="s">
        <v>2085</v>
      </c>
      <c r="D918" t="s">
        <v>7614</v>
      </c>
      <c r="E918" t="s">
        <v>545</v>
      </c>
      <c r="F918">
        <v>387</v>
      </c>
      <c r="G918">
        <v>80.135892377185229</v>
      </c>
      <c r="H918">
        <v>31012.590349970684</v>
      </c>
      <c r="I918" t="s">
        <v>536</v>
      </c>
    </row>
    <row r="919" spans="1:9" x14ac:dyDescent="0.25">
      <c r="A919" t="s">
        <v>220</v>
      </c>
      <c r="B919" t="s">
        <v>2063</v>
      </c>
      <c r="C919" t="s">
        <v>2086</v>
      </c>
      <c r="D919" t="s">
        <v>7615</v>
      </c>
      <c r="E919" t="s">
        <v>545</v>
      </c>
      <c r="F919">
        <v>1</v>
      </c>
      <c r="G919">
        <v>101.36187132688065</v>
      </c>
      <c r="H919">
        <v>101.36187132688065</v>
      </c>
      <c r="I919" t="s">
        <v>536</v>
      </c>
    </row>
    <row r="920" spans="1:9" x14ac:dyDescent="0.25">
      <c r="A920" t="s">
        <v>220</v>
      </c>
      <c r="B920" t="s">
        <v>2063</v>
      </c>
      <c r="C920" t="s">
        <v>2087</v>
      </c>
      <c r="D920" t="s">
        <v>7490</v>
      </c>
      <c r="E920" t="s">
        <v>545</v>
      </c>
      <c r="F920">
        <v>520</v>
      </c>
      <c r="G920">
        <v>130.41879494547138</v>
      </c>
      <c r="H920">
        <v>67817.773371645118</v>
      </c>
      <c r="I920" t="s">
        <v>536</v>
      </c>
    </row>
    <row r="921" spans="1:9" x14ac:dyDescent="0.25">
      <c r="A921" t="s">
        <v>220</v>
      </c>
      <c r="B921" t="s">
        <v>2063</v>
      </c>
      <c r="C921" t="s">
        <v>2088</v>
      </c>
      <c r="D921" t="s">
        <v>7486</v>
      </c>
      <c r="E921" t="s">
        <v>545</v>
      </c>
      <c r="F921">
        <v>1392</v>
      </c>
      <c r="G921">
        <v>85.016574109026052</v>
      </c>
      <c r="H921">
        <v>118343.07115976427</v>
      </c>
      <c r="I921" t="s">
        <v>536</v>
      </c>
    </row>
    <row r="922" spans="1:9" x14ac:dyDescent="0.25">
      <c r="A922" t="s">
        <v>220</v>
      </c>
      <c r="B922" t="s">
        <v>2063</v>
      </c>
      <c r="C922" t="s">
        <v>821</v>
      </c>
      <c r="D922" t="s">
        <v>822</v>
      </c>
      <c r="E922" t="s">
        <v>545</v>
      </c>
      <c r="F922">
        <v>479</v>
      </c>
      <c r="G922">
        <v>89.663372009123634</v>
      </c>
      <c r="H922">
        <v>42948.755192370219</v>
      </c>
      <c r="I922" t="s">
        <v>536</v>
      </c>
    </row>
    <row r="923" spans="1:9" x14ac:dyDescent="0.25">
      <c r="A923" t="s">
        <v>220</v>
      </c>
      <c r="B923" t="s">
        <v>2063</v>
      </c>
      <c r="C923" t="s">
        <v>2089</v>
      </c>
      <c r="D923" t="s">
        <v>7616</v>
      </c>
      <c r="E923" t="s">
        <v>545</v>
      </c>
      <c r="F923">
        <v>90</v>
      </c>
      <c r="G923">
        <v>115.47342806882486</v>
      </c>
      <c r="H923">
        <v>10392.608526194237</v>
      </c>
      <c r="I923" t="s">
        <v>536</v>
      </c>
    </row>
    <row r="924" spans="1:9" x14ac:dyDescent="0.25">
      <c r="A924" t="s">
        <v>220</v>
      </c>
      <c r="B924" t="s">
        <v>2063</v>
      </c>
      <c r="C924" t="s">
        <v>2090</v>
      </c>
      <c r="D924" t="s">
        <v>7484</v>
      </c>
      <c r="E924" t="s">
        <v>545</v>
      </c>
      <c r="F924">
        <v>434</v>
      </c>
      <c r="G924">
        <v>119.25267938760872</v>
      </c>
      <c r="H924">
        <v>51755.662854222188</v>
      </c>
      <c r="I924" t="s">
        <v>536</v>
      </c>
    </row>
    <row r="925" spans="1:9" x14ac:dyDescent="0.25">
      <c r="A925" t="s">
        <v>220</v>
      </c>
      <c r="B925" t="s">
        <v>2063</v>
      </c>
      <c r="C925" t="s">
        <v>2091</v>
      </c>
      <c r="D925" t="s">
        <v>7484</v>
      </c>
      <c r="E925" t="s">
        <v>545</v>
      </c>
      <c r="F925">
        <v>193</v>
      </c>
      <c r="G925">
        <v>121.98068568477488</v>
      </c>
      <c r="H925">
        <v>23542.272337161554</v>
      </c>
      <c r="I925" t="s">
        <v>536</v>
      </c>
    </row>
    <row r="926" spans="1:9" x14ac:dyDescent="0.25">
      <c r="A926" t="s">
        <v>220</v>
      </c>
      <c r="B926" t="s">
        <v>2063</v>
      </c>
      <c r="C926" t="s">
        <v>2092</v>
      </c>
      <c r="D926" t="s">
        <v>7491</v>
      </c>
      <c r="E926" t="s">
        <v>545</v>
      </c>
      <c r="F926">
        <v>250</v>
      </c>
      <c r="G926">
        <v>118.55538768205275</v>
      </c>
      <c r="H926">
        <v>29638.846920513188</v>
      </c>
      <c r="I926" t="s">
        <v>536</v>
      </c>
    </row>
    <row r="927" spans="1:9" x14ac:dyDescent="0.25">
      <c r="A927" t="s">
        <v>220</v>
      </c>
      <c r="B927" t="s">
        <v>2063</v>
      </c>
      <c r="C927" t="s">
        <v>2093</v>
      </c>
      <c r="D927" t="s">
        <v>7617</v>
      </c>
      <c r="E927" t="s">
        <v>545</v>
      </c>
      <c r="F927">
        <v>80</v>
      </c>
      <c r="G927">
        <v>131.70345682387529</v>
      </c>
      <c r="H927">
        <v>10536.276545910023</v>
      </c>
      <c r="I927" t="s">
        <v>536</v>
      </c>
    </row>
    <row r="928" spans="1:9" x14ac:dyDescent="0.25">
      <c r="A928" t="s">
        <v>220</v>
      </c>
      <c r="B928" t="s">
        <v>2063</v>
      </c>
      <c r="C928" t="s">
        <v>2094</v>
      </c>
      <c r="D928" t="s">
        <v>7487</v>
      </c>
      <c r="E928" t="s">
        <v>545</v>
      </c>
      <c r="F928">
        <v>167</v>
      </c>
      <c r="G928">
        <v>148.47895189180289</v>
      </c>
      <c r="H928">
        <v>24795.984965931082</v>
      </c>
      <c r="I928" t="s">
        <v>536</v>
      </c>
    </row>
    <row r="929" spans="1:9" x14ac:dyDescent="0.25">
      <c r="A929" t="s">
        <v>220</v>
      </c>
      <c r="B929" t="s">
        <v>2063</v>
      </c>
      <c r="C929" t="s">
        <v>2096</v>
      </c>
      <c r="D929" t="s">
        <v>7618</v>
      </c>
      <c r="E929" t="s">
        <v>545</v>
      </c>
      <c r="F929">
        <v>622</v>
      </c>
      <c r="G929">
        <v>158.87450171417277</v>
      </c>
      <c r="H929">
        <v>98819.940066215466</v>
      </c>
      <c r="I929" t="s">
        <v>536</v>
      </c>
    </row>
    <row r="930" spans="1:9" x14ac:dyDescent="0.25">
      <c r="A930" t="s">
        <v>220</v>
      </c>
      <c r="B930" t="s">
        <v>2063</v>
      </c>
      <c r="C930" t="s">
        <v>2097</v>
      </c>
      <c r="D930" t="s">
        <v>7619</v>
      </c>
      <c r="E930" t="s">
        <v>545</v>
      </c>
      <c r="F930">
        <v>420</v>
      </c>
      <c r="G930">
        <v>181.07234488056872</v>
      </c>
      <c r="H930">
        <v>76050.384849838869</v>
      </c>
      <c r="I930" t="s">
        <v>536</v>
      </c>
    </row>
    <row r="931" spans="1:9" x14ac:dyDescent="0.25">
      <c r="A931" t="s">
        <v>220</v>
      </c>
      <c r="B931" t="s">
        <v>2063</v>
      </c>
      <c r="C931" t="s">
        <v>7620</v>
      </c>
      <c r="D931" t="s">
        <v>7457</v>
      </c>
      <c r="E931" t="s">
        <v>545</v>
      </c>
      <c r="F931">
        <v>218</v>
      </c>
      <c r="G931">
        <v>206.81090022760446</v>
      </c>
      <c r="H931">
        <v>45084.776249617775</v>
      </c>
      <c r="I931" t="s">
        <v>536</v>
      </c>
    </row>
    <row r="932" spans="1:9" x14ac:dyDescent="0.25">
      <c r="A932" t="s">
        <v>220</v>
      </c>
      <c r="B932" t="s">
        <v>2063</v>
      </c>
      <c r="C932" t="s">
        <v>2098</v>
      </c>
      <c r="D932" t="s">
        <v>7459</v>
      </c>
      <c r="E932" t="s">
        <v>545</v>
      </c>
      <c r="F932">
        <v>100</v>
      </c>
      <c r="G932">
        <v>222.67449659714558</v>
      </c>
      <c r="H932">
        <v>22267.449659714559</v>
      </c>
      <c r="I932" t="s">
        <v>536</v>
      </c>
    </row>
    <row r="933" spans="1:9" x14ac:dyDescent="0.25">
      <c r="A933" t="s">
        <v>220</v>
      </c>
      <c r="B933" t="s">
        <v>2063</v>
      </c>
      <c r="C933" t="s">
        <v>7450</v>
      </c>
      <c r="D933" t="s">
        <v>7621</v>
      </c>
      <c r="E933" t="s">
        <v>545</v>
      </c>
      <c r="F933">
        <v>8</v>
      </c>
      <c r="G933">
        <v>230.60036039067808</v>
      </c>
      <c r="H933">
        <v>1844.8028831254246</v>
      </c>
      <c r="I933" t="s">
        <v>536</v>
      </c>
    </row>
    <row r="934" spans="1:9" x14ac:dyDescent="0.25">
      <c r="A934" t="s">
        <v>220</v>
      </c>
      <c r="B934" t="s">
        <v>2063</v>
      </c>
      <c r="C934" t="s">
        <v>2088</v>
      </c>
      <c r="D934" t="s">
        <v>7486</v>
      </c>
      <c r="E934" t="s">
        <v>545</v>
      </c>
      <c r="F934">
        <v>44</v>
      </c>
      <c r="G934">
        <v>85.016574109026052</v>
      </c>
      <c r="H934">
        <v>3740.7292607971463</v>
      </c>
      <c r="I934" t="s">
        <v>536</v>
      </c>
    </row>
    <row r="935" spans="1:9" x14ac:dyDescent="0.25">
      <c r="A935" t="s">
        <v>220</v>
      </c>
      <c r="B935" t="s">
        <v>2063</v>
      </c>
      <c r="C935" t="s">
        <v>821</v>
      </c>
      <c r="D935" t="s">
        <v>822</v>
      </c>
      <c r="E935" t="s">
        <v>545</v>
      </c>
      <c r="F935">
        <v>100</v>
      </c>
      <c r="G935">
        <v>89.663372009123634</v>
      </c>
      <c r="H935">
        <v>8966.3372009123632</v>
      </c>
      <c r="I935" t="s">
        <v>536</v>
      </c>
    </row>
    <row r="936" spans="1:9" x14ac:dyDescent="0.25">
      <c r="A936" t="s">
        <v>220</v>
      </c>
      <c r="B936" t="s">
        <v>2063</v>
      </c>
      <c r="C936" t="s">
        <v>7622</v>
      </c>
      <c r="D936" t="s">
        <v>7623</v>
      </c>
      <c r="E936" t="s">
        <v>545</v>
      </c>
      <c r="F936">
        <v>128</v>
      </c>
      <c r="G936">
        <v>95.707268276369589</v>
      </c>
      <c r="H936">
        <v>12250.530339375307</v>
      </c>
      <c r="I936" t="s">
        <v>536</v>
      </c>
    </row>
    <row r="937" spans="1:9" x14ac:dyDescent="0.25">
      <c r="A937" t="s">
        <v>220</v>
      </c>
      <c r="B937" t="s">
        <v>2063</v>
      </c>
      <c r="C937" t="s">
        <v>7624</v>
      </c>
      <c r="D937" t="s">
        <v>7488</v>
      </c>
      <c r="E937" t="s">
        <v>545</v>
      </c>
      <c r="F937">
        <v>229</v>
      </c>
      <c r="G937">
        <v>125.77371637212568</v>
      </c>
      <c r="H937">
        <v>28802.181049216779</v>
      </c>
      <c r="I937" t="s">
        <v>536</v>
      </c>
    </row>
    <row r="938" spans="1:9" x14ac:dyDescent="0.25">
      <c r="A938" t="s">
        <v>220</v>
      </c>
      <c r="B938" t="s">
        <v>2063</v>
      </c>
      <c r="C938" t="s">
        <v>7620</v>
      </c>
      <c r="D938" t="s">
        <v>7625</v>
      </c>
      <c r="E938" t="s">
        <v>545</v>
      </c>
      <c r="F938">
        <v>64</v>
      </c>
      <c r="G938">
        <v>206.81090022760446</v>
      </c>
      <c r="H938">
        <v>13235.897614566686</v>
      </c>
      <c r="I938" t="s">
        <v>536</v>
      </c>
    </row>
    <row r="939" spans="1:9" x14ac:dyDescent="0.25">
      <c r="A939" t="s">
        <v>220</v>
      </c>
      <c r="B939" t="s">
        <v>2063</v>
      </c>
      <c r="C939" t="s">
        <v>7627</v>
      </c>
      <c r="D939" t="s">
        <v>7628</v>
      </c>
      <c r="E939" t="s">
        <v>545</v>
      </c>
      <c r="F939">
        <v>66</v>
      </c>
      <c r="G939">
        <v>96.8183545413969</v>
      </c>
      <c r="H939">
        <v>6390.0113997321951</v>
      </c>
      <c r="I939" t="s">
        <v>536</v>
      </c>
    </row>
    <row r="940" spans="1:9" x14ac:dyDescent="0.25">
      <c r="A940" t="s">
        <v>220</v>
      </c>
      <c r="B940" t="s">
        <v>2063</v>
      </c>
      <c r="C940" t="s">
        <v>7631</v>
      </c>
      <c r="D940" t="s">
        <v>7752</v>
      </c>
      <c r="E940" t="s">
        <v>545</v>
      </c>
      <c r="F940">
        <v>67</v>
      </c>
      <c r="G940">
        <v>53.361335118244675</v>
      </c>
      <c r="H940">
        <v>3575.2094529223932</v>
      </c>
      <c r="I940" t="s">
        <v>536</v>
      </c>
    </row>
    <row r="941" spans="1:9" x14ac:dyDescent="0.25">
      <c r="A941" t="s">
        <v>220</v>
      </c>
      <c r="B941" t="s">
        <v>2063</v>
      </c>
      <c r="C941" t="s">
        <v>2079</v>
      </c>
      <c r="D941" t="s">
        <v>7613</v>
      </c>
      <c r="E941" t="s">
        <v>545</v>
      </c>
      <c r="F941">
        <v>8</v>
      </c>
      <c r="G941">
        <v>57.874576542838582</v>
      </c>
      <c r="H941">
        <v>462.99661234270866</v>
      </c>
      <c r="I941" t="s">
        <v>536</v>
      </c>
    </row>
    <row r="942" spans="1:9" x14ac:dyDescent="0.25">
      <c r="A942" t="s">
        <v>220</v>
      </c>
      <c r="B942" t="s">
        <v>2063</v>
      </c>
      <c r="C942" t="s">
        <v>2116</v>
      </c>
      <c r="D942" t="s">
        <v>7633</v>
      </c>
      <c r="E942" t="s">
        <v>545</v>
      </c>
      <c r="F942">
        <v>76</v>
      </c>
      <c r="G942">
        <v>65.466482910695433</v>
      </c>
      <c r="H942">
        <v>4975.4527012128528</v>
      </c>
      <c r="I942" t="s">
        <v>536</v>
      </c>
    </row>
    <row r="943" spans="1:9" x14ac:dyDescent="0.25">
      <c r="A943" t="s">
        <v>220</v>
      </c>
      <c r="B943" t="s">
        <v>2063</v>
      </c>
      <c r="C943" t="s">
        <v>7634</v>
      </c>
      <c r="D943" t="s">
        <v>7635</v>
      </c>
      <c r="E943" t="s">
        <v>545</v>
      </c>
      <c r="F943">
        <v>68</v>
      </c>
      <c r="G943">
        <v>59.140007179103414</v>
      </c>
      <c r="H943">
        <v>4021.5204881790323</v>
      </c>
      <c r="I943" t="s">
        <v>536</v>
      </c>
    </row>
    <row r="944" spans="1:9" x14ac:dyDescent="0.25">
      <c r="A944" t="s">
        <v>220</v>
      </c>
      <c r="B944" t="s">
        <v>2063</v>
      </c>
      <c r="C944" t="s">
        <v>2123</v>
      </c>
      <c r="D944" t="s">
        <v>7636</v>
      </c>
      <c r="E944" t="s">
        <v>545</v>
      </c>
      <c r="F944">
        <v>27</v>
      </c>
      <c r="G944">
        <v>87.635225844616713</v>
      </c>
      <c r="H944">
        <v>2366.1510978046513</v>
      </c>
      <c r="I944" t="s">
        <v>536</v>
      </c>
    </row>
    <row r="945" spans="1:9" x14ac:dyDescent="0.25">
      <c r="A945" t="s">
        <v>220</v>
      </c>
      <c r="B945" t="s">
        <v>2063</v>
      </c>
      <c r="C945" t="s">
        <v>7637</v>
      </c>
      <c r="D945" t="s">
        <v>7638</v>
      </c>
      <c r="E945" t="s">
        <v>545</v>
      </c>
      <c r="F945">
        <v>27</v>
      </c>
      <c r="G945">
        <v>163.73729882871601</v>
      </c>
      <c r="H945">
        <v>4420.9070683753325</v>
      </c>
      <c r="I945" t="s">
        <v>536</v>
      </c>
    </row>
    <row r="946" spans="1:9" x14ac:dyDescent="0.25">
      <c r="A946" t="s">
        <v>220</v>
      </c>
      <c r="B946" t="s">
        <v>2063</v>
      </c>
      <c r="C946" t="s">
        <v>2077</v>
      </c>
      <c r="D946" t="s">
        <v>7610</v>
      </c>
      <c r="E946" t="s">
        <v>545</v>
      </c>
      <c r="F946">
        <v>35</v>
      </c>
      <c r="G946">
        <v>96.938008737320715</v>
      </c>
      <c r="H946">
        <v>3392.8303058062252</v>
      </c>
      <c r="I946" t="s">
        <v>536</v>
      </c>
    </row>
    <row r="947" spans="1:9" x14ac:dyDescent="0.25">
      <c r="A947" t="s">
        <v>220</v>
      </c>
      <c r="B947" t="s">
        <v>2063</v>
      </c>
      <c r="C947" t="s">
        <v>7639</v>
      </c>
      <c r="D947" t="s">
        <v>7640</v>
      </c>
      <c r="E947" t="s">
        <v>545</v>
      </c>
      <c r="F947">
        <v>42</v>
      </c>
      <c r="G947">
        <v>49.133017753918672</v>
      </c>
      <c r="H947">
        <v>2063.5867456645842</v>
      </c>
      <c r="I947" t="s">
        <v>536</v>
      </c>
    </row>
    <row r="948" spans="1:9" x14ac:dyDescent="0.25">
      <c r="A948" t="s">
        <v>220</v>
      </c>
      <c r="B948" t="s">
        <v>2063</v>
      </c>
      <c r="C948" t="s">
        <v>7641</v>
      </c>
      <c r="D948" t="s">
        <v>7642</v>
      </c>
      <c r="E948" t="s">
        <v>545</v>
      </c>
      <c r="F948">
        <v>96</v>
      </c>
      <c r="G948">
        <v>61.597563352671095</v>
      </c>
      <c r="H948">
        <v>5913.3660818564249</v>
      </c>
      <c r="I948" t="s">
        <v>536</v>
      </c>
    </row>
    <row r="949" spans="1:9" x14ac:dyDescent="0.25">
      <c r="A949" t="s">
        <v>220</v>
      </c>
      <c r="B949" t="s">
        <v>2063</v>
      </c>
      <c r="C949" t="s">
        <v>2064</v>
      </c>
      <c r="D949" t="s">
        <v>7603</v>
      </c>
      <c r="E949" t="s">
        <v>545</v>
      </c>
      <c r="F949">
        <v>572</v>
      </c>
      <c r="G949">
        <v>66.134554018222957</v>
      </c>
      <c r="H949">
        <v>37828.964898423532</v>
      </c>
      <c r="I949" t="s">
        <v>536</v>
      </c>
    </row>
    <row r="950" spans="1:9" x14ac:dyDescent="0.25">
      <c r="A950" t="s">
        <v>220</v>
      </c>
      <c r="B950" t="s">
        <v>2063</v>
      </c>
      <c r="C950" t="s">
        <v>2132</v>
      </c>
      <c r="D950" t="s">
        <v>7603</v>
      </c>
      <c r="E950" t="s">
        <v>545</v>
      </c>
      <c r="F950">
        <v>401</v>
      </c>
      <c r="G950">
        <v>68.683787869084114</v>
      </c>
      <c r="H950">
        <v>27542.198935502729</v>
      </c>
      <c r="I950" t="s">
        <v>536</v>
      </c>
    </row>
    <row r="951" spans="1:9" x14ac:dyDescent="0.25">
      <c r="A951" t="s">
        <v>220</v>
      </c>
      <c r="B951" t="s">
        <v>2063</v>
      </c>
      <c r="C951" t="s">
        <v>2133</v>
      </c>
      <c r="D951" t="s">
        <v>7643</v>
      </c>
      <c r="E951" t="s">
        <v>545</v>
      </c>
      <c r="F951">
        <v>361</v>
      </c>
      <c r="G951">
        <v>78.768241453531104</v>
      </c>
      <c r="H951">
        <v>28435.335164724729</v>
      </c>
      <c r="I951" t="s">
        <v>536</v>
      </c>
    </row>
    <row r="952" spans="1:9" x14ac:dyDescent="0.25">
      <c r="A952" t="s">
        <v>220</v>
      </c>
      <c r="B952" t="s">
        <v>2063</v>
      </c>
      <c r="C952" t="s">
        <v>2066</v>
      </c>
      <c r="D952" t="s">
        <v>7479</v>
      </c>
      <c r="E952" t="s">
        <v>545</v>
      </c>
      <c r="F952">
        <v>220</v>
      </c>
      <c r="G952">
        <v>88.786114409220119</v>
      </c>
      <c r="H952">
        <v>19532.945170028426</v>
      </c>
      <c r="I952" t="s">
        <v>536</v>
      </c>
    </row>
    <row r="953" spans="1:9" x14ac:dyDescent="0.25">
      <c r="A953" t="s">
        <v>220</v>
      </c>
      <c r="B953" t="s">
        <v>2063</v>
      </c>
      <c r="C953" t="s">
        <v>2068</v>
      </c>
      <c r="D953" t="s">
        <v>7605</v>
      </c>
      <c r="E953" t="s">
        <v>545</v>
      </c>
      <c r="F953">
        <v>1493</v>
      </c>
      <c r="G953">
        <v>60.033893899112869</v>
      </c>
      <c r="H953">
        <v>89630.603591375519</v>
      </c>
      <c r="I953" t="s">
        <v>536</v>
      </c>
    </row>
    <row r="954" spans="1:9" x14ac:dyDescent="0.25">
      <c r="A954" t="s">
        <v>220</v>
      </c>
      <c r="B954" t="s">
        <v>2063</v>
      </c>
      <c r="C954" t="s">
        <v>2069</v>
      </c>
      <c r="D954" t="s">
        <v>7606</v>
      </c>
      <c r="E954" t="s">
        <v>545</v>
      </c>
      <c r="F954">
        <v>1003</v>
      </c>
      <c r="G954">
        <v>62.421388981082885</v>
      </c>
      <c r="H954">
        <v>62608.653148026133</v>
      </c>
      <c r="I954" t="s">
        <v>536</v>
      </c>
    </row>
    <row r="955" spans="1:9" x14ac:dyDescent="0.25">
      <c r="A955" t="s">
        <v>220</v>
      </c>
      <c r="B955" t="s">
        <v>2063</v>
      </c>
      <c r="C955" t="s">
        <v>2134</v>
      </c>
      <c r="D955" t="s">
        <v>1925</v>
      </c>
      <c r="E955" t="s">
        <v>545</v>
      </c>
      <c r="F955">
        <v>496</v>
      </c>
      <c r="G955">
        <v>72.674627737283515</v>
      </c>
      <c r="H955">
        <v>36046.615357692623</v>
      </c>
      <c r="I955" t="s">
        <v>536</v>
      </c>
    </row>
    <row r="956" spans="1:9" x14ac:dyDescent="0.25">
      <c r="A956" t="s">
        <v>220</v>
      </c>
      <c r="B956" t="s">
        <v>2063</v>
      </c>
      <c r="C956" t="s">
        <v>2071</v>
      </c>
      <c r="D956" t="s">
        <v>1927</v>
      </c>
      <c r="E956" t="s">
        <v>545</v>
      </c>
      <c r="F956">
        <v>5798</v>
      </c>
      <c r="G956">
        <v>72.905392212776761</v>
      </c>
      <c r="H956">
        <v>422705.46404967963</v>
      </c>
      <c r="I956" t="s">
        <v>536</v>
      </c>
    </row>
    <row r="957" spans="1:9" x14ac:dyDescent="0.25">
      <c r="A957" t="s">
        <v>220</v>
      </c>
      <c r="B957" t="s">
        <v>2063</v>
      </c>
      <c r="C957" t="s">
        <v>2136</v>
      </c>
      <c r="D957" t="s">
        <v>7645</v>
      </c>
      <c r="E957" t="s">
        <v>545</v>
      </c>
      <c r="F957">
        <v>287</v>
      </c>
      <c r="G957">
        <v>105.88215654001286</v>
      </c>
      <c r="H957">
        <v>30388.178926983692</v>
      </c>
      <c r="I957" t="s">
        <v>536</v>
      </c>
    </row>
    <row r="958" spans="1:9" x14ac:dyDescent="0.25">
      <c r="A958" t="s">
        <v>220</v>
      </c>
      <c r="B958" t="s">
        <v>2063</v>
      </c>
      <c r="C958" t="s">
        <v>2075</v>
      </c>
      <c r="D958" t="s">
        <v>1937</v>
      </c>
      <c r="E958" t="s">
        <v>545</v>
      </c>
      <c r="F958">
        <v>30</v>
      </c>
      <c r="G958">
        <v>60.569232391823341</v>
      </c>
      <c r="H958">
        <v>1817.0769717547003</v>
      </c>
      <c r="I958" t="s">
        <v>536</v>
      </c>
    </row>
    <row r="959" spans="1:9" x14ac:dyDescent="0.25">
      <c r="A959" t="s">
        <v>220</v>
      </c>
      <c r="B959" t="s">
        <v>2063</v>
      </c>
      <c r="C959" t="s">
        <v>2076</v>
      </c>
      <c r="D959" t="s">
        <v>7609</v>
      </c>
      <c r="E959" t="s">
        <v>545</v>
      </c>
      <c r="F959">
        <v>99</v>
      </c>
      <c r="G959">
        <v>91.295004755193162</v>
      </c>
      <c r="H959">
        <v>9038.2054707641237</v>
      </c>
      <c r="I959" t="s">
        <v>536</v>
      </c>
    </row>
    <row r="960" spans="1:9" x14ac:dyDescent="0.25">
      <c r="A960" t="s">
        <v>220</v>
      </c>
      <c r="B960" t="s">
        <v>2063</v>
      </c>
      <c r="C960" t="s">
        <v>2078</v>
      </c>
      <c r="D960" t="s">
        <v>7478</v>
      </c>
      <c r="E960" t="s">
        <v>545</v>
      </c>
      <c r="F960">
        <v>6</v>
      </c>
      <c r="G960">
        <v>94.81600377363182</v>
      </c>
      <c r="H960">
        <v>568.89602264179098</v>
      </c>
      <c r="I960" t="s">
        <v>536</v>
      </c>
    </row>
    <row r="961" spans="1:9" x14ac:dyDescent="0.25">
      <c r="A961" t="s">
        <v>220</v>
      </c>
      <c r="B961" t="s">
        <v>2063</v>
      </c>
      <c r="C961" t="s">
        <v>2151</v>
      </c>
      <c r="D961" t="s">
        <v>7626</v>
      </c>
      <c r="E961" t="s">
        <v>545</v>
      </c>
      <c r="F961">
        <v>152</v>
      </c>
      <c r="G961">
        <v>108.50455003875165</v>
      </c>
      <c r="H961">
        <v>16492.69160589025</v>
      </c>
      <c r="I961" t="s">
        <v>536</v>
      </c>
    </row>
    <row r="962" spans="1:9" x14ac:dyDescent="0.25">
      <c r="A962" t="s">
        <v>220</v>
      </c>
      <c r="B962" t="s">
        <v>2063</v>
      </c>
      <c r="C962" t="s">
        <v>2151</v>
      </c>
      <c r="D962" t="s">
        <v>7626</v>
      </c>
      <c r="E962" t="s">
        <v>545</v>
      </c>
      <c r="F962">
        <v>268</v>
      </c>
      <c r="G962">
        <v>108.50455003875165</v>
      </c>
      <c r="H962">
        <v>29079.219410385442</v>
      </c>
      <c r="I962" t="s">
        <v>536</v>
      </c>
    </row>
    <row r="963" spans="1:9" x14ac:dyDescent="0.25">
      <c r="A963" t="s">
        <v>220</v>
      </c>
      <c r="B963" t="s">
        <v>2063</v>
      </c>
      <c r="C963" t="s">
        <v>7611</v>
      </c>
      <c r="D963" t="s">
        <v>7612</v>
      </c>
      <c r="E963" t="s">
        <v>545</v>
      </c>
      <c r="F963">
        <v>535</v>
      </c>
      <c r="G963">
        <v>129.13387861005873</v>
      </c>
      <c r="H963">
        <v>69086.625056381425</v>
      </c>
      <c r="I963" t="s">
        <v>536</v>
      </c>
    </row>
    <row r="964" spans="1:9" x14ac:dyDescent="0.25">
      <c r="A964" t="s">
        <v>220</v>
      </c>
      <c r="B964" t="s">
        <v>2063</v>
      </c>
      <c r="C964" t="s">
        <v>7646</v>
      </c>
      <c r="D964" t="s">
        <v>7647</v>
      </c>
      <c r="E964" t="s">
        <v>545</v>
      </c>
      <c r="F964">
        <v>21</v>
      </c>
      <c r="G964">
        <v>62.300607933286557</v>
      </c>
      <c r="H964">
        <v>1308.3127665990178</v>
      </c>
      <c r="I964" t="s">
        <v>536</v>
      </c>
    </row>
    <row r="965" spans="1:9" x14ac:dyDescent="0.25">
      <c r="A965" t="s">
        <v>220</v>
      </c>
      <c r="B965" t="s">
        <v>2063</v>
      </c>
      <c r="C965" t="s">
        <v>2138</v>
      </c>
      <c r="D965" t="s">
        <v>7648</v>
      </c>
      <c r="E965" t="s">
        <v>545</v>
      </c>
      <c r="F965">
        <v>65</v>
      </c>
      <c r="G965">
        <v>57.2454126996262</v>
      </c>
      <c r="H965">
        <v>3720.9518254757031</v>
      </c>
      <c r="I965" t="s">
        <v>536</v>
      </c>
    </row>
    <row r="966" spans="1:9" x14ac:dyDescent="0.25">
      <c r="A966" t="s">
        <v>220</v>
      </c>
      <c r="B966" t="s">
        <v>2063</v>
      </c>
      <c r="C966" t="s">
        <v>2082</v>
      </c>
      <c r="D966" t="s">
        <v>7476</v>
      </c>
      <c r="E966" t="s">
        <v>545</v>
      </c>
      <c r="F966">
        <v>207</v>
      </c>
      <c r="G966">
        <v>67.546473439126459</v>
      </c>
      <c r="H966">
        <v>13982.120001899177</v>
      </c>
      <c r="I966" t="s">
        <v>536</v>
      </c>
    </row>
    <row r="967" spans="1:9" x14ac:dyDescent="0.25">
      <c r="A967" t="s">
        <v>220</v>
      </c>
      <c r="B967" t="s">
        <v>2063</v>
      </c>
      <c r="C967" t="s">
        <v>2141</v>
      </c>
      <c r="D967" t="s">
        <v>7649</v>
      </c>
      <c r="E967" t="s">
        <v>545</v>
      </c>
      <c r="F967">
        <v>72</v>
      </c>
      <c r="G967">
        <v>72.654725613210047</v>
      </c>
      <c r="H967">
        <v>5231.1402441511236</v>
      </c>
      <c r="I967" t="s">
        <v>536</v>
      </c>
    </row>
    <row r="968" spans="1:9" x14ac:dyDescent="0.25">
      <c r="A968" t="s">
        <v>220</v>
      </c>
      <c r="B968" t="s">
        <v>2063</v>
      </c>
      <c r="C968" t="s">
        <v>2141</v>
      </c>
      <c r="D968" t="s">
        <v>7649</v>
      </c>
      <c r="E968" t="s">
        <v>545</v>
      </c>
      <c r="F968">
        <v>63</v>
      </c>
      <c r="G968">
        <v>72.654725613210047</v>
      </c>
      <c r="H968">
        <v>4577.2477136322332</v>
      </c>
      <c r="I968" t="s">
        <v>536</v>
      </c>
    </row>
    <row r="969" spans="1:9" x14ac:dyDescent="0.25">
      <c r="A969" t="s">
        <v>220</v>
      </c>
      <c r="B969" t="s">
        <v>2063</v>
      </c>
      <c r="C969" t="s">
        <v>7508</v>
      </c>
      <c r="D969" t="s">
        <v>7604</v>
      </c>
      <c r="E969" t="s">
        <v>545</v>
      </c>
      <c r="F969">
        <v>20</v>
      </c>
      <c r="G969">
        <v>73.907105357728199</v>
      </c>
      <c r="H969">
        <v>1478.142107154564</v>
      </c>
      <c r="I969" t="s">
        <v>536</v>
      </c>
    </row>
    <row r="970" spans="1:9" x14ac:dyDescent="0.25">
      <c r="A970" t="s">
        <v>220</v>
      </c>
      <c r="B970" t="s">
        <v>2063</v>
      </c>
      <c r="C970" t="s">
        <v>2142</v>
      </c>
      <c r="D970" t="s">
        <v>7650</v>
      </c>
      <c r="E970" t="s">
        <v>545</v>
      </c>
      <c r="F970">
        <v>20</v>
      </c>
      <c r="G970">
        <v>79.801652974276905</v>
      </c>
      <c r="H970">
        <v>1596.0330594855382</v>
      </c>
      <c r="I970" t="s">
        <v>536</v>
      </c>
    </row>
    <row r="971" spans="1:9" x14ac:dyDescent="0.25">
      <c r="A971" t="s">
        <v>220</v>
      </c>
      <c r="B971" t="s">
        <v>2063</v>
      </c>
      <c r="C971" t="s">
        <v>7598</v>
      </c>
      <c r="D971" t="s">
        <v>7651</v>
      </c>
      <c r="E971" t="s">
        <v>545</v>
      </c>
      <c r="F971">
        <v>507</v>
      </c>
      <c r="G971">
        <v>88.953202641804936</v>
      </c>
      <c r="H971">
        <v>45099.273739395103</v>
      </c>
      <c r="I971" t="s">
        <v>536</v>
      </c>
    </row>
    <row r="972" spans="1:9" x14ac:dyDescent="0.25">
      <c r="A972" t="s">
        <v>220</v>
      </c>
      <c r="B972" t="s">
        <v>2063</v>
      </c>
      <c r="C972" t="s">
        <v>2066</v>
      </c>
      <c r="D972" t="s">
        <v>7479</v>
      </c>
      <c r="E972" t="s">
        <v>545</v>
      </c>
      <c r="F972">
        <v>31</v>
      </c>
      <c r="G972">
        <v>88.786114409220119</v>
      </c>
      <c r="H972">
        <v>2752.3695466858235</v>
      </c>
      <c r="I972" t="s">
        <v>536</v>
      </c>
    </row>
    <row r="973" spans="1:9" x14ac:dyDescent="0.25">
      <c r="A973" t="s">
        <v>220</v>
      </c>
      <c r="B973" t="s">
        <v>2063</v>
      </c>
      <c r="C973" t="s">
        <v>7652</v>
      </c>
      <c r="D973" t="s">
        <v>7653</v>
      </c>
      <c r="E973" t="s">
        <v>545</v>
      </c>
      <c r="F973">
        <v>432</v>
      </c>
      <c r="G973">
        <v>84.608779650761917</v>
      </c>
      <c r="H973">
        <v>36550.992809129151</v>
      </c>
      <c r="I973" t="s">
        <v>536</v>
      </c>
    </row>
    <row r="974" spans="1:9" x14ac:dyDescent="0.25">
      <c r="A974" t="s">
        <v>220</v>
      </c>
      <c r="B974" t="s">
        <v>2063</v>
      </c>
      <c r="C974" t="s">
        <v>7654</v>
      </c>
      <c r="D974" t="s">
        <v>7655</v>
      </c>
      <c r="E974" t="s">
        <v>545</v>
      </c>
      <c r="F974">
        <v>1023</v>
      </c>
      <c r="G974">
        <v>93.006158414542284</v>
      </c>
      <c r="H974">
        <v>95145.300058076755</v>
      </c>
      <c r="I974" t="s">
        <v>536</v>
      </c>
    </row>
    <row r="975" spans="1:9" x14ac:dyDescent="0.25">
      <c r="A975" t="s">
        <v>220</v>
      </c>
      <c r="B975" t="s">
        <v>2063</v>
      </c>
      <c r="C975" t="s">
        <v>2086</v>
      </c>
      <c r="D975" t="s">
        <v>7615</v>
      </c>
      <c r="E975" t="s">
        <v>545</v>
      </c>
      <c r="F975">
        <v>1</v>
      </c>
      <c r="G975">
        <v>101.36187132688065</v>
      </c>
      <c r="H975">
        <v>101.36187132688065</v>
      </c>
      <c r="I975" t="s">
        <v>536</v>
      </c>
    </row>
    <row r="976" spans="1:9" x14ac:dyDescent="0.25">
      <c r="A976" t="s">
        <v>220</v>
      </c>
      <c r="B976" t="s">
        <v>2063</v>
      </c>
      <c r="C976" t="s">
        <v>2136</v>
      </c>
      <c r="D976" t="s">
        <v>7645</v>
      </c>
      <c r="E976" t="s">
        <v>545</v>
      </c>
      <c r="F976">
        <v>121</v>
      </c>
      <c r="G976">
        <v>105.88215654001286</v>
      </c>
      <c r="H976">
        <v>12811.740941341555</v>
      </c>
      <c r="I976" t="s">
        <v>536</v>
      </c>
    </row>
    <row r="977" spans="1:9" x14ac:dyDescent="0.25">
      <c r="A977" t="s">
        <v>220</v>
      </c>
      <c r="B977" t="s">
        <v>2063</v>
      </c>
      <c r="C977" t="s">
        <v>2075</v>
      </c>
      <c r="D977" t="s">
        <v>7656</v>
      </c>
      <c r="E977" t="s">
        <v>545</v>
      </c>
      <c r="F977">
        <v>60</v>
      </c>
      <c r="G977">
        <v>60.569232391823341</v>
      </c>
      <c r="H977">
        <v>3634.1539435094005</v>
      </c>
      <c r="I977" t="s">
        <v>536</v>
      </c>
    </row>
    <row r="978" spans="1:9" x14ac:dyDescent="0.25">
      <c r="A978" t="s">
        <v>220</v>
      </c>
      <c r="B978" t="s">
        <v>7455</v>
      </c>
      <c r="C978" t="s">
        <v>2064</v>
      </c>
      <c r="D978" t="s">
        <v>7603</v>
      </c>
      <c r="E978" t="s">
        <v>545</v>
      </c>
      <c r="F978">
        <v>34</v>
      </c>
      <c r="G978">
        <v>66.134554018222957</v>
      </c>
      <c r="H978">
        <v>2248.5748366195803</v>
      </c>
      <c r="I978" t="s">
        <v>536</v>
      </c>
    </row>
    <row r="979" spans="1:9" x14ac:dyDescent="0.25">
      <c r="A979" t="s">
        <v>220</v>
      </c>
      <c r="B979" t="s">
        <v>7455</v>
      </c>
      <c r="C979" t="s">
        <v>2066</v>
      </c>
      <c r="D979" t="s">
        <v>7479</v>
      </c>
      <c r="E979" t="s">
        <v>545</v>
      </c>
      <c r="F979">
        <v>277</v>
      </c>
      <c r="G979">
        <v>88.786114409220119</v>
      </c>
      <c r="H979">
        <v>24593.753691353973</v>
      </c>
      <c r="I979" t="s">
        <v>536</v>
      </c>
    </row>
    <row r="980" spans="1:9" x14ac:dyDescent="0.25">
      <c r="A980" t="s">
        <v>220</v>
      </c>
      <c r="B980" t="s">
        <v>7455</v>
      </c>
      <c r="C980" t="s">
        <v>2067</v>
      </c>
      <c r="D980" t="s">
        <v>7488</v>
      </c>
      <c r="E980" t="s">
        <v>545</v>
      </c>
      <c r="F980">
        <v>22</v>
      </c>
      <c r="G980">
        <v>116.44781685371146</v>
      </c>
      <c r="H980">
        <v>2561.8519707816522</v>
      </c>
      <c r="I980" t="s">
        <v>536</v>
      </c>
    </row>
    <row r="981" spans="1:9" x14ac:dyDescent="0.25">
      <c r="A981" t="s">
        <v>220</v>
      </c>
      <c r="B981" t="s">
        <v>7455</v>
      </c>
      <c r="C981" t="s">
        <v>2069</v>
      </c>
      <c r="D981" t="s">
        <v>7606</v>
      </c>
      <c r="E981" t="s">
        <v>545</v>
      </c>
      <c r="F981">
        <v>24</v>
      </c>
      <c r="G981">
        <v>62.421388981082885</v>
      </c>
      <c r="H981">
        <v>1498.1133355459892</v>
      </c>
      <c r="I981" t="s">
        <v>536</v>
      </c>
    </row>
    <row r="982" spans="1:9" x14ac:dyDescent="0.25">
      <c r="A982" t="s">
        <v>220</v>
      </c>
      <c r="B982" t="s">
        <v>7455</v>
      </c>
      <c r="C982" t="s">
        <v>2073</v>
      </c>
      <c r="D982" t="s">
        <v>7607</v>
      </c>
      <c r="E982" t="s">
        <v>545</v>
      </c>
      <c r="F982">
        <v>15</v>
      </c>
      <c r="G982">
        <v>54.545566858228497</v>
      </c>
      <c r="H982">
        <v>818.18350287342741</v>
      </c>
      <c r="I982" t="s">
        <v>536</v>
      </c>
    </row>
    <row r="983" spans="1:9" x14ac:dyDescent="0.25">
      <c r="A983" t="s">
        <v>220</v>
      </c>
      <c r="B983" t="s">
        <v>7455</v>
      </c>
      <c r="C983" t="s">
        <v>2078</v>
      </c>
      <c r="D983" t="s">
        <v>7478</v>
      </c>
      <c r="E983" t="s">
        <v>545</v>
      </c>
      <c r="F983">
        <v>9</v>
      </c>
      <c r="G983">
        <v>94.81600377363182</v>
      </c>
      <c r="H983">
        <v>853.34403396268635</v>
      </c>
      <c r="I983" t="s">
        <v>536</v>
      </c>
    </row>
    <row r="984" spans="1:9" x14ac:dyDescent="0.25">
      <c r="A984" t="s">
        <v>220</v>
      </c>
      <c r="B984" t="s">
        <v>7455</v>
      </c>
      <c r="C984" t="s">
        <v>7597</v>
      </c>
      <c r="D984" t="s">
        <v>7456</v>
      </c>
      <c r="E984" t="s">
        <v>545</v>
      </c>
      <c r="F984">
        <v>103</v>
      </c>
      <c r="G984">
        <v>121.95159534244713</v>
      </c>
      <c r="H984">
        <v>12561.014320272056</v>
      </c>
      <c r="I984" t="s">
        <v>536</v>
      </c>
    </row>
    <row r="985" spans="1:9" x14ac:dyDescent="0.25">
      <c r="A985" t="s">
        <v>220</v>
      </c>
      <c r="B985" t="s">
        <v>7455</v>
      </c>
      <c r="C985" t="s">
        <v>7611</v>
      </c>
      <c r="D985" t="s">
        <v>7612</v>
      </c>
      <c r="E985" t="s">
        <v>545</v>
      </c>
      <c r="F985">
        <v>54</v>
      </c>
      <c r="G985">
        <v>129.13387861005873</v>
      </c>
      <c r="H985">
        <v>6973.2294449431711</v>
      </c>
      <c r="I985" t="s">
        <v>536</v>
      </c>
    </row>
    <row r="986" spans="1:9" x14ac:dyDescent="0.25">
      <c r="A986" t="s">
        <v>220</v>
      </c>
      <c r="B986" t="s">
        <v>7455</v>
      </c>
      <c r="C986" t="s">
        <v>2079</v>
      </c>
      <c r="D986" t="s">
        <v>7613</v>
      </c>
      <c r="E986" t="s">
        <v>545</v>
      </c>
      <c r="F986">
        <v>75</v>
      </c>
      <c r="G986">
        <v>57.874576542838582</v>
      </c>
      <c r="H986">
        <v>4340.5932407128939</v>
      </c>
      <c r="I986" t="s">
        <v>536</v>
      </c>
    </row>
    <row r="987" spans="1:9" x14ac:dyDescent="0.25">
      <c r="A987" t="s">
        <v>220</v>
      </c>
      <c r="B987" t="s">
        <v>7455</v>
      </c>
      <c r="C987" t="s">
        <v>2085</v>
      </c>
      <c r="D987" t="s">
        <v>7614</v>
      </c>
      <c r="E987" t="s">
        <v>545</v>
      </c>
      <c r="F987">
        <v>184</v>
      </c>
      <c r="G987">
        <v>80.135892377185229</v>
      </c>
      <c r="H987">
        <v>14745.004197402082</v>
      </c>
      <c r="I987" t="s">
        <v>536</v>
      </c>
    </row>
    <row r="988" spans="1:9" x14ac:dyDescent="0.25">
      <c r="A988" t="s">
        <v>220</v>
      </c>
      <c r="B988" t="s">
        <v>7455</v>
      </c>
      <c r="C988" t="s">
        <v>2087</v>
      </c>
      <c r="D988" t="s">
        <v>7490</v>
      </c>
      <c r="E988" t="s">
        <v>545</v>
      </c>
      <c r="F988">
        <v>49</v>
      </c>
      <c r="G988">
        <v>130.41879494547138</v>
      </c>
      <c r="H988">
        <v>6390.5209523280973</v>
      </c>
      <c r="I988" t="s">
        <v>536</v>
      </c>
    </row>
    <row r="989" spans="1:9" x14ac:dyDescent="0.25">
      <c r="A989" t="s">
        <v>220</v>
      </c>
      <c r="B989" t="s">
        <v>7455</v>
      </c>
      <c r="C989" t="s">
        <v>2088</v>
      </c>
      <c r="D989" t="s">
        <v>7486</v>
      </c>
      <c r="E989" t="s">
        <v>545</v>
      </c>
      <c r="F989">
        <v>599</v>
      </c>
      <c r="G989">
        <v>85.016574109026052</v>
      </c>
      <c r="H989">
        <v>50924.927891306608</v>
      </c>
      <c r="I989" t="s">
        <v>536</v>
      </c>
    </row>
    <row r="990" spans="1:9" x14ac:dyDescent="0.25">
      <c r="A990" t="s">
        <v>220</v>
      </c>
      <c r="B990" t="s">
        <v>7455</v>
      </c>
      <c r="C990" t="s">
        <v>821</v>
      </c>
      <c r="D990" t="s">
        <v>822</v>
      </c>
      <c r="E990" t="s">
        <v>545</v>
      </c>
      <c r="F990">
        <v>108</v>
      </c>
      <c r="G990">
        <v>89.663372009123634</v>
      </c>
      <c r="H990">
        <v>9683.6441769853518</v>
      </c>
      <c r="I990" t="s">
        <v>536</v>
      </c>
    </row>
    <row r="991" spans="1:9" x14ac:dyDescent="0.25">
      <c r="A991" t="s">
        <v>220</v>
      </c>
      <c r="B991" t="s">
        <v>7455</v>
      </c>
      <c r="C991" t="s">
        <v>2089</v>
      </c>
      <c r="D991" t="s">
        <v>7616</v>
      </c>
      <c r="E991" t="s">
        <v>545</v>
      </c>
      <c r="F991">
        <v>306</v>
      </c>
      <c r="G991">
        <v>115.47342806882486</v>
      </c>
      <c r="H991">
        <v>35334.868989060407</v>
      </c>
      <c r="I991" t="s">
        <v>536</v>
      </c>
    </row>
    <row r="992" spans="1:9" x14ac:dyDescent="0.25">
      <c r="A992" t="s">
        <v>220</v>
      </c>
      <c r="B992" t="s">
        <v>7455</v>
      </c>
      <c r="C992" t="s">
        <v>2090</v>
      </c>
      <c r="D992" t="s">
        <v>7484</v>
      </c>
      <c r="E992" t="s">
        <v>545</v>
      </c>
      <c r="F992">
        <v>82</v>
      </c>
      <c r="G992">
        <v>119.25267938760872</v>
      </c>
      <c r="H992">
        <v>9778.7197097839144</v>
      </c>
      <c r="I992" t="s">
        <v>536</v>
      </c>
    </row>
    <row r="993" spans="1:9" x14ac:dyDescent="0.25">
      <c r="A993" t="s">
        <v>220</v>
      </c>
      <c r="B993" t="s">
        <v>7455</v>
      </c>
      <c r="C993" t="s">
        <v>2095</v>
      </c>
      <c r="D993" t="s">
        <v>7753</v>
      </c>
      <c r="E993" t="s">
        <v>545</v>
      </c>
      <c r="F993">
        <v>1</v>
      </c>
      <c r="G993">
        <v>251.99361215502745</v>
      </c>
      <c r="H993">
        <v>251.99361215502745</v>
      </c>
      <c r="I993" t="s">
        <v>536</v>
      </c>
    </row>
    <row r="994" spans="1:9" x14ac:dyDescent="0.25">
      <c r="A994" t="s">
        <v>220</v>
      </c>
      <c r="B994" t="s">
        <v>7455</v>
      </c>
      <c r="C994" t="s">
        <v>821</v>
      </c>
      <c r="D994" t="s">
        <v>822</v>
      </c>
      <c r="E994" t="s">
        <v>545</v>
      </c>
      <c r="F994">
        <v>1</v>
      </c>
      <c r="G994">
        <v>89.663372009123634</v>
      </c>
      <c r="H994">
        <v>89.663372009123634</v>
      </c>
      <c r="I994" t="s">
        <v>536</v>
      </c>
    </row>
    <row r="995" spans="1:9" x14ac:dyDescent="0.25">
      <c r="A995" t="s">
        <v>220</v>
      </c>
      <c r="B995" t="s">
        <v>7455</v>
      </c>
      <c r="C995" t="s">
        <v>2133</v>
      </c>
      <c r="D995" t="s">
        <v>7643</v>
      </c>
      <c r="E995" t="s">
        <v>545</v>
      </c>
      <c r="F995">
        <v>1</v>
      </c>
      <c r="G995">
        <v>78.768241453531104</v>
      </c>
      <c r="H995">
        <v>78.768241453531104</v>
      </c>
      <c r="I995" t="s">
        <v>536</v>
      </c>
    </row>
    <row r="996" spans="1:9" x14ac:dyDescent="0.25">
      <c r="A996" t="s">
        <v>220</v>
      </c>
      <c r="B996" t="s">
        <v>7455</v>
      </c>
      <c r="C996" t="s">
        <v>2066</v>
      </c>
      <c r="D996" t="s">
        <v>7479</v>
      </c>
      <c r="E996" t="s">
        <v>545</v>
      </c>
      <c r="F996">
        <v>4</v>
      </c>
      <c r="G996">
        <v>88.786114409220119</v>
      </c>
      <c r="H996">
        <v>355.14445763688047</v>
      </c>
      <c r="I996" t="s">
        <v>536</v>
      </c>
    </row>
    <row r="997" spans="1:9" x14ac:dyDescent="0.25">
      <c r="A997" t="s">
        <v>220</v>
      </c>
      <c r="B997" t="s">
        <v>7455</v>
      </c>
      <c r="C997" t="s">
        <v>2071</v>
      </c>
      <c r="D997" t="s">
        <v>7658</v>
      </c>
      <c r="E997" t="s">
        <v>545</v>
      </c>
      <c r="F997">
        <v>2</v>
      </c>
      <c r="G997">
        <v>72.905392212776761</v>
      </c>
      <c r="H997">
        <v>145.81078442555352</v>
      </c>
      <c r="I997" t="s">
        <v>536</v>
      </c>
    </row>
    <row r="998" spans="1:9" x14ac:dyDescent="0.25">
      <c r="A998" t="s">
        <v>220</v>
      </c>
      <c r="B998" t="s">
        <v>7455</v>
      </c>
      <c r="C998" t="s">
        <v>2135</v>
      </c>
      <c r="D998" t="s">
        <v>7644</v>
      </c>
      <c r="E998" t="s">
        <v>545</v>
      </c>
      <c r="F998">
        <v>24</v>
      </c>
      <c r="G998">
        <v>82.308181245176058</v>
      </c>
      <c r="H998">
        <v>1975.3963498842254</v>
      </c>
      <c r="I998" t="s">
        <v>536</v>
      </c>
    </row>
    <row r="999" spans="1:9" x14ac:dyDescent="0.25">
      <c r="A999" t="s">
        <v>220</v>
      </c>
      <c r="B999" t="s">
        <v>7455</v>
      </c>
      <c r="C999" t="s">
        <v>2136</v>
      </c>
      <c r="D999" t="s">
        <v>7645</v>
      </c>
      <c r="E999" t="s">
        <v>545</v>
      </c>
      <c r="F999">
        <v>17</v>
      </c>
      <c r="G999">
        <v>105.88215654001286</v>
      </c>
      <c r="H999">
        <v>1799.9966611802186</v>
      </c>
      <c r="I999" t="s">
        <v>536</v>
      </c>
    </row>
    <row r="1000" spans="1:9" x14ac:dyDescent="0.25">
      <c r="A1000" t="s">
        <v>220</v>
      </c>
      <c r="B1000" t="s">
        <v>7455</v>
      </c>
      <c r="C1000" t="s">
        <v>2151</v>
      </c>
      <c r="D1000" t="s">
        <v>7626</v>
      </c>
      <c r="E1000" t="s">
        <v>545</v>
      </c>
      <c r="F1000">
        <v>217</v>
      </c>
      <c r="G1000">
        <v>108.50455003875165</v>
      </c>
      <c r="H1000">
        <v>23545.487358409107</v>
      </c>
      <c r="I1000" t="s">
        <v>536</v>
      </c>
    </row>
    <row r="1001" spans="1:9" x14ac:dyDescent="0.25">
      <c r="A1001" t="s">
        <v>220</v>
      </c>
      <c r="B1001" t="s">
        <v>2063</v>
      </c>
      <c r="C1001" t="s">
        <v>2106</v>
      </c>
      <c r="D1001" t="s">
        <v>2106</v>
      </c>
      <c r="E1001" t="s">
        <v>545</v>
      </c>
      <c r="F1001">
        <v>302</v>
      </c>
      <c r="G1001">
        <v>159.59694941386559</v>
      </c>
      <c r="H1001">
        <v>48198.278722987408</v>
      </c>
      <c r="I1001" t="s">
        <v>536</v>
      </c>
    </row>
    <row r="1002" spans="1:9" x14ac:dyDescent="0.25">
      <c r="A1002" t="s">
        <v>220</v>
      </c>
      <c r="B1002" t="s">
        <v>2063</v>
      </c>
      <c r="C1002" t="s">
        <v>2107</v>
      </c>
      <c r="D1002" t="s">
        <v>2107</v>
      </c>
      <c r="E1002" t="s">
        <v>545</v>
      </c>
      <c r="F1002">
        <v>197</v>
      </c>
      <c r="G1002">
        <v>160.10382203415</v>
      </c>
      <c r="H1002">
        <v>31540.452940727551</v>
      </c>
      <c r="I1002" t="s">
        <v>536</v>
      </c>
    </row>
    <row r="1003" spans="1:9" x14ac:dyDescent="0.25">
      <c r="A1003" t="s">
        <v>220</v>
      </c>
      <c r="B1003" t="s">
        <v>2063</v>
      </c>
      <c r="C1003" t="s">
        <v>2116</v>
      </c>
      <c r="D1003" t="s">
        <v>2127</v>
      </c>
      <c r="E1003" t="s">
        <v>545</v>
      </c>
      <c r="F1003">
        <v>3</v>
      </c>
      <c r="G1003">
        <v>65.466482910695433</v>
      </c>
      <c r="H1003">
        <v>196.39944873208628</v>
      </c>
      <c r="I1003" t="s">
        <v>536</v>
      </c>
    </row>
    <row r="1004" spans="1:9" x14ac:dyDescent="0.25">
      <c r="A1004" t="s">
        <v>220</v>
      </c>
      <c r="B1004" t="s">
        <v>2063</v>
      </c>
      <c r="C1004" t="s">
        <v>2075</v>
      </c>
      <c r="D1004" t="s">
        <v>2052</v>
      </c>
      <c r="E1004" t="s">
        <v>545</v>
      </c>
      <c r="F1004">
        <v>39</v>
      </c>
      <c r="G1004">
        <v>60.569232391823341</v>
      </c>
      <c r="H1004">
        <v>2362.2000632811105</v>
      </c>
      <c r="I1004" t="s">
        <v>536</v>
      </c>
    </row>
    <row r="1005" spans="1:9" x14ac:dyDescent="0.25">
      <c r="A1005" t="s">
        <v>220</v>
      </c>
      <c r="B1005" t="s">
        <v>2063</v>
      </c>
      <c r="C1005" t="s">
        <v>2150</v>
      </c>
      <c r="D1005" t="s">
        <v>2054</v>
      </c>
      <c r="E1005" t="s">
        <v>545</v>
      </c>
      <c r="F1005">
        <v>106</v>
      </c>
      <c r="G1005">
        <v>86.56512100181402</v>
      </c>
      <c r="H1005">
        <v>9175.9028261922867</v>
      </c>
      <c r="I1005" t="s">
        <v>536</v>
      </c>
    </row>
    <row r="1006" spans="1:9" x14ac:dyDescent="0.25">
      <c r="A1006" t="s">
        <v>220</v>
      </c>
      <c r="B1006" t="s">
        <v>2063</v>
      </c>
      <c r="C1006" t="s">
        <v>2150</v>
      </c>
      <c r="D1006" t="s">
        <v>2054</v>
      </c>
      <c r="E1006" t="s">
        <v>545</v>
      </c>
      <c r="F1006">
        <v>114</v>
      </c>
      <c r="G1006">
        <v>86.56512100181402</v>
      </c>
      <c r="H1006">
        <v>9868.4237942067975</v>
      </c>
      <c r="I1006" t="s">
        <v>536</v>
      </c>
    </row>
    <row r="1007" spans="1:9" x14ac:dyDescent="0.25">
      <c r="A1007" t="s">
        <v>220</v>
      </c>
      <c r="B1007" t="s">
        <v>2063</v>
      </c>
      <c r="C1007" t="s">
        <v>2151</v>
      </c>
      <c r="D1007" t="s">
        <v>2058</v>
      </c>
      <c r="E1007" t="s">
        <v>545</v>
      </c>
      <c r="F1007">
        <v>101</v>
      </c>
      <c r="G1007">
        <v>108.50455003875165</v>
      </c>
      <c r="H1007">
        <v>10958.959553913915</v>
      </c>
      <c r="I1007" t="s">
        <v>536</v>
      </c>
    </row>
    <row r="1008" spans="1:9" x14ac:dyDescent="0.25">
      <c r="A1008" t="s">
        <v>220</v>
      </c>
      <c r="B1008" t="s">
        <v>2063</v>
      </c>
      <c r="C1008" t="s">
        <v>2151</v>
      </c>
      <c r="D1008" t="s">
        <v>2060</v>
      </c>
      <c r="E1008" t="s">
        <v>545</v>
      </c>
      <c r="F1008">
        <v>75</v>
      </c>
      <c r="G1008">
        <v>108.50455003875165</v>
      </c>
      <c r="H1008">
        <v>8137.8412529063735</v>
      </c>
      <c r="I1008" t="s">
        <v>536</v>
      </c>
    </row>
    <row r="1009" spans="1:9" x14ac:dyDescent="0.25">
      <c r="A1009" t="s">
        <v>220</v>
      </c>
      <c r="B1009" t="s">
        <v>7448</v>
      </c>
      <c r="C1009" t="s">
        <v>1909</v>
      </c>
      <c r="D1009" t="s">
        <v>7603</v>
      </c>
      <c r="E1009" t="s">
        <v>545</v>
      </c>
      <c r="F1009">
        <v>998</v>
      </c>
      <c r="G1009">
        <v>76.138969250735855</v>
      </c>
      <c r="H1009">
        <v>75986.691312234383</v>
      </c>
      <c r="I1009" t="s">
        <v>1911</v>
      </c>
    </row>
    <row r="1010" spans="1:9" x14ac:dyDescent="0.25">
      <c r="A1010" t="s">
        <v>220</v>
      </c>
      <c r="B1010" t="s">
        <v>7448</v>
      </c>
      <c r="C1010" t="s">
        <v>1912</v>
      </c>
      <c r="D1010" t="s">
        <v>7604</v>
      </c>
      <c r="E1010" t="s">
        <v>545</v>
      </c>
      <c r="F1010">
        <v>1050</v>
      </c>
      <c r="G1010">
        <v>90.027000462696279</v>
      </c>
      <c r="H1010">
        <v>94528.350485831092</v>
      </c>
      <c r="I1010" t="s">
        <v>1911</v>
      </c>
    </row>
    <row r="1011" spans="1:9" x14ac:dyDescent="0.25">
      <c r="A1011" t="s">
        <v>220</v>
      </c>
      <c r="B1011" t="s">
        <v>7448</v>
      </c>
      <c r="C1011" t="s">
        <v>1914</v>
      </c>
      <c r="D1011" t="s">
        <v>7479</v>
      </c>
      <c r="E1011" t="s">
        <v>545</v>
      </c>
      <c r="F1011">
        <v>1416</v>
      </c>
      <c r="G1011">
        <v>99.224504230460497</v>
      </c>
      <c r="H1011">
        <v>140501.89799033207</v>
      </c>
      <c r="I1011" t="s">
        <v>1911</v>
      </c>
    </row>
    <row r="1012" spans="1:9" x14ac:dyDescent="0.25">
      <c r="A1012" t="s">
        <v>220</v>
      </c>
      <c r="B1012" t="s">
        <v>7448</v>
      </c>
      <c r="C1012" t="s">
        <v>1916</v>
      </c>
      <c r="D1012" t="s">
        <v>7488</v>
      </c>
      <c r="E1012" t="s">
        <v>545</v>
      </c>
      <c r="F1012">
        <v>156</v>
      </c>
      <c r="G1012">
        <v>134.68834863458721</v>
      </c>
      <c r="H1012">
        <v>21011.382386995607</v>
      </c>
      <c r="I1012" t="s">
        <v>1911</v>
      </c>
    </row>
    <row r="1013" spans="1:9" x14ac:dyDescent="0.25">
      <c r="A1013" t="s">
        <v>220</v>
      </c>
      <c r="B1013" t="s">
        <v>7448</v>
      </c>
      <c r="C1013" t="s">
        <v>1920</v>
      </c>
      <c r="D1013" t="s">
        <v>7606</v>
      </c>
      <c r="E1013" t="s">
        <v>545</v>
      </c>
      <c r="F1013">
        <v>514</v>
      </c>
      <c r="G1013">
        <v>72.371320046106035</v>
      </c>
      <c r="H1013">
        <v>37198.858503698502</v>
      </c>
      <c r="I1013" t="s">
        <v>1911</v>
      </c>
    </row>
    <row r="1014" spans="1:9" x14ac:dyDescent="0.25">
      <c r="A1014" t="s">
        <v>220</v>
      </c>
      <c r="B1014" t="s">
        <v>7448</v>
      </c>
      <c r="C1014" t="s">
        <v>1922</v>
      </c>
      <c r="D1014" t="s">
        <v>7606</v>
      </c>
      <c r="E1014" t="s">
        <v>545</v>
      </c>
      <c r="F1014">
        <v>68</v>
      </c>
      <c r="G1014">
        <v>68.945135950380745</v>
      </c>
      <c r="H1014">
        <v>4688.2692446258907</v>
      </c>
      <c r="I1014" t="s">
        <v>1911</v>
      </c>
    </row>
    <row r="1015" spans="1:9" x14ac:dyDescent="0.25">
      <c r="A1015" t="s">
        <v>220</v>
      </c>
      <c r="B1015" t="s">
        <v>7448</v>
      </c>
      <c r="C1015" t="s">
        <v>1924</v>
      </c>
      <c r="D1015" t="s">
        <v>1925</v>
      </c>
      <c r="E1015" t="s">
        <v>545</v>
      </c>
      <c r="F1015">
        <v>252</v>
      </c>
      <c r="G1015">
        <v>80.57279625723514</v>
      </c>
      <c r="H1015">
        <v>20304.344656823254</v>
      </c>
      <c r="I1015" t="s">
        <v>1911</v>
      </c>
    </row>
    <row r="1016" spans="1:9" x14ac:dyDescent="0.25">
      <c r="A1016" t="s">
        <v>220</v>
      </c>
      <c r="B1016" t="s">
        <v>7448</v>
      </c>
      <c r="C1016" t="s">
        <v>1926</v>
      </c>
      <c r="D1016" t="s">
        <v>1927</v>
      </c>
      <c r="E1016" t="s">
        <v>545</v>
      </c>
      <c r="F1016">
        <v>1117</v>
      </c>
      <c r="G1016">
        <v>83.170044815107232</v>
      </c>
      <c r="H1016">
        <v>92900.940058474778</v>
      </c>
      <c r="I1016" t="s">
        <v>1911</v>
      </c>
    </row>
    <row r="1017" spans="1:9" x14ac:dyDescent="0.25">
      <c r="A1017" t="s">
        <v>220</v>
      </c>
      <c r="B1017" t="s">
        <v>7448</v>
      </c>
      <c r="C1017" t="s">
        <v>1930</v>
      </c>
      <c r="D1017" t="s">
        <v>7481</v>
      </c>
      <c r="E1017" t="s">
        <v>545</v>
      </c>
      <c r="F1017">
        <v>796</v>
      </c>
      <c r="G1017">
        <v>96.042954345784111</v>
      </c>
      <c r="H1017">
        <v>76450.191659244156</v>
      </c>
      <c r="I1017" t="s">
        <v>1911</v>
      </c>
    </row>
    <row r="1018" spans="1:9" x14ac:dyDescent="0.25">
      <c r="A1018" t="s">
        <v>220</v>
      </c>
      <c r="B1018" t="s">
        <v>7448</v>
      </c>
      <c r="C1018" t="s">
        <v>1932</v>
      </c>
      <c r="D1018" t="s">
        <v>7659</v>
      </c>
      <c r="E1018" t="s">
        <v>545</v>
      </c>
      <c r="F1018">
        <v>264</v>
      </c>
      <c r="G1018">
        <v>62.413271259234648</v>
      </c>
      <c r="H1018">
        <v>16477.103612437946</v>
      </c>
      <c r="I1018" t="s">
        <v>1911</v>
      </c>
    </row>
    <row r="1019" spans="1:9" x14ac:dyDescent="0.25">
      <c r="A1019" t="s">
        <v>220</v>
      </c>
      <c r="B1019" t="s">
        <v>7448</v>
      </c>
      <c r="C1019" t="s">
        <v>1940</v>
      </c>
      <c r="D1019" t="s">
        <v>7660</v>
      </c>
      <c r="E1019" t="s">
        <v>545</v>
      </c>
      <c r="F1019">
        <v>272</v>
      </c>
      <c r="G1019">
        <v>111.56109235633713</v>
      </c>
      <c r="H1019">
        <v>30344.6171209237</v>
      </c>
      <c r="I1019" t="s">
        <v>1911</v>
      </c>
    </row>
    <row r="1020" spans="1:9" x14ac:dyDescent="0.25">
      <c r="A1020" t="s">
        <v>220</v>
      </c>
      <c r="B1020" t="s">
        <v>7448</v>
      </c>
      <c r="C1020" t="s">
        <v>7661</v>
      </c>
      <c r="E1020" t="s">
        <v>545</v>
      </c>
      <c r="F1020">
        <v>55</v>
      </c>
      <c r="G1020">
        <v>142.55500077751367</v>
      </c>
      <c r="H1020">
        <v>7840.5250427632518</v>
      </c>
      <c r="I1020" t="s">
        <v>1911</v>
      </c>
    </row>
    <row r="1021" spans="1:9" x14ac:dyDescent="0.25">
      <c r="A1021" t="s">
        <v>220</v>
      </c>
      <c r="B1021" t="s">
        <v>7448</v>
      </c>
      <c r="C1021" t="s">
        <v>7662</v>
      </c>
      <c r="E1021" t="s">
        <v>545</v>
      </c>
      <c r="F1021">
        <v>58</v>
      </c>
      <c r="G1021">
        <v>149.20431195389796</v>
      </c>
      <c r="H1021">
        <v>8653.8500933260821</v>
      </c>
      <c r="I1021" t="s">
        <v>1911</v>
      </c>
    </row>
    <row r="1022" spans="1:9" x14ac:dyDescent="0.25">
      <c r="A1022" t="s">
        <v>220</v>
      </c>
      <c r="B1022" t="s">
        <v>7448</v>
      </c>
      <c r="C1022" t="s">
        <v>1950</v>
      </c>
      <c r="D1022" t="s">
        <v>7476</v>
      </c>
      <c r="E1022" t="s">
        <v>545</v>
      </c>
      <c r="F1022">
        <v>327</v>
      </c>
      <c r="G1022">
        <v>77.502934019783126</v>
      </c>
      <c r="H1022">
        <v>25343.459424469082</v>
      </c>
      <c r="I1022" t="s">
        <v>1911</v>
      </c>
    </row>
    <row r="1023" spans="1:9" x14ac:dyDescent="0.25">
      <c r="A1023" t="s">
        <v>220</v>
      </c>
      <c r="B1023" t="s">
        <v>7448</v>
      </c>
      <c r="C1023" t="s">
        <v>1952</v>
      </c>
      <c r="D1023" t="s">
        <v>7614</v>
      </c>
      <c r="E1023" t="s">
        <v>545</v>
      </c>
      <c r="F1023">
        <v>922</v>
      </c>
      <c r="G1023">
        <v>91.946562163878127</v>
      </c>
      <c r="H1023">
        <v>84774.730315095629</v>
      </c>
      <c r="I1023" t="s">
        <v>1911</v>
      </c>
    </row>
    <row r="1024" spans="1:9" x14ac:dyDescent="0.25">
      <c r="A1024" t="s">
        <v>220</v>
      </c>
      <c r="B1024" t="s">
        <v>7448</v>
      </c>
      <c r="C1024" t="s">
        <v>1954</v>
      </c>
      <c r="D1024" t="s">
        <v>7650</v>
      </c>
      <c r="E1024" t="s">
        <v>545</v>
      </c>
      <c r="F1024">
        <v>1</v>
      </c>
      <c r="G1024">
        <v>91.005173912420247</v>
      </c>
      <c r="H1024">
        <v>91.005173912420247</v>
      </c>
      <c r="I1024" t="s">
        <v>1911</v>
      </c>
    </row>
    <row r="1025" spans="1:9" x14ac:dyDescent="0.25">
      <c r="A1025" t="s">
        <v>220</v>
      </c>
      <c r="B1025" t="s">
        <v>7448</v>
      </c>
      <c r="C1025" t="s">
        <v>1956</v>
      </c>
      <c r="D1025" t="s">
        <v>7615</v>
      </c>
      <c r="E1025" t="s">
        <v>545</v>
      </c>
      <c r="F1025">
        <v>174</v>
      </c>
      <c r="G1025">
        <v>115.00621027073701</v>
      </c>
      <c r="H1025">
        <v>20011.080587108241</v>
      </c>
      <c r="I1025" t="s">
        <v>1911</v>
      </c>
    </row>
    <row r="1026" spans="1:9" x14ac:dyDescent="0.25">
      <c r="A1026" t="s">
        <v>220</v>
      </c>
      <c r="B1026" t="s">
        <v>7448</v>
      </c>
      <c r="C1026" t="s">
        <v>1962</v>
      </c>
      <c r="D1026" t="s">
        <v>822</v>
      </c>
      <c r="E1026" t="s">
        <v>545</v>
      </c>
      <c r="F1026">
        <v>79</v>
      </c>
      <c r="G1026">
        <v>103.03149496883887</v>
      </c>
      <c r="H1026">
        <v>8139.4881025382711</v>
      </c>
      <c r="I1026" t="s">
        <v>1911</v>
      </c>
    </row>
    <row r="1027" spans="1:9" x14ac:dyDescent="0.25">
      <c r="A1027" t="s">
        <v>220</v>
      </c>
      <c r="B1027" t="s">
        <v>7448</v>
      </c>
      <c r="C1027" t="s">
        <v>1964</v>
      </c>
      <c r="D1027" t="s">
        <v>7616</v>
      </c>
      <c r="E1027" t="s">
        <v>545</v>
      </c>
      <c r="F1027">
        <v>304</v>
      </c>
      <c r="G1027">
        <v>135.17160208904789</v>
      </c>
      <c r="H1027">
        <v>41092.167035070561</v>
      </c>
      <c r="I1027" t="s">
        <v>1911</v>
      </c>
    </row>
    <row r="1028" spans="1:9" x14ac:dyDescent="0.25">
      <c r="A1028" t="s">
        <v>220</v>
      </c>
      <c r="B1028" t="s">
        <v>7448</v>
      </c>
      <c r="C1028" t="s">
        <v>1966</v>
      </c>
      <c r="D1028" t="s">
        <v>7484</v>
      </c>
      <c r="E1028" t="s">
        <v>545</v>
      </c>
      <c r="F1028">
        <v>124</v>
      </c>
      <c r="G1028">
        <v>137.09575339533427</v>
      </c>
      <c r="H1028">
        <v>16999.87342102145</v>
      </c>
      <c r="I1028" t="s">
        <v>1911</v>
      </c>
    </row>
    <row r="1029" spans="1:9" x14ac:dyDescent="0.25">
      <c r="A1029" t="s">
        <v>220</v>
      </c>
      <c r="B1029" t="s">
        <v>7448</v>
      </c>
      <c r="C1029" t="s">
        <v>1970</v>
      </c>
      <c r="D1029" t="s">
        <v>7491</v>
      </c>
      <c r="E1029" t="s">
        <v>545</v>
      </c>
      <c r="F1029">
        <v>329</v>
      </c>
      <c r="G1029">
        <v>136.45652883880814</v>
      </c>
      <c r="H1029">
        <v>44894.197987967877</v>
      </c>
      <c r="I1029" t="s">
        <v>1911</v>
      </c>
    </row>
    <row r="1030" spans="1:9" x14ac:dyDescent="0.25">
      <c r="A1030" t="s">
        <v>220</v>
      </c>
      <c r="B1030" t="s">
        <v>7448</v>
      </c>
      <c r="C1030" t="s">
        <v>1972</v>
      </c>
      <c r="D1030" t="s">
        <v>7754</v>
      </c>
      <c r="E1030" t="s">
        <v>545</v>
      </c>
      <c r="F1030">
        <v>97</v>
      </c>
      <c r="G1030">
        <v>152.77615299148908</v>
      </c>
      <c r="H1030">
        <v>14819.286840174442</v>
      </c>
      <c r="I1030" t="s">
        <v>1911</v>
      </c>
    </row>
    <row r="1031" spans="1:9" x14ac:dyDescent="0.25">
      <c r="A1031" t="s">
        <v>220</v>
      </c>
      <c r="B1031" t="s">
        <v>7448</v>
      </c>
      <c r="C1031" t="s">
        <v>1974</v>
      </c>
      <c r="D1031" t="s">
        <v>7487</v>
      </c>
      <c r="E1031" t="s">
        <v>545</v>
      </c>
      <c r="F1031">
        <v>33</v>
      </c>
      <c r="G1031">
        <v>168.00904393728325</v>
      </c>
      <c r="H1031">
        <v>5544.2984499303475</v>
      </c>
      <c r="I1031" t="s">
        <v>1911</v>
      </c>
    </row>
    <row r="1032" spans="1:9" x14ac:dyDescent="0.25">
      <c r="A1032" t="s">
        <v>220</v>
      </c>
      <c r="B1032" t="s">
        <v>7448</v>
      </c>
      <c r="C1032" t="s">
        <v>1978</v>
      </c>
      <c r="D1032" t="s">
        <v>7618</v>
      </c>
      <c r="E1032" t="s">
        <v>545</v>
      </c>
      <c r="F1032">
        <v>175</v>
      </c>
      <c r="G1032">
        <v>183.70714386272269</v>
      </c>
      <c r="H1032">
        <v>32148.750175976471</v>
      </c>
      <c r="I1032" t="s">
        <v>1911</v>
      </c>
    </row>
    <row r="1033" spans="1:9" x14ac:dyDescent="0.25">
      <c r="A1033" t="s">
        <v>220</v>
      </c>
      <c r="B1033" t="s">
        <v>7448</v>
      </c>
      <c r="C1033" t="s">
        <v>1980</v>
      </c>
      <c r="D1033" t="s">
        <v>7619</v>
      </c>
      <c r="E1033" t="s">
        <v>545</v>
      </c>
      <c r="F1033">
        <v>139</v>
      </c>
      <c r="G1033">
        <v>208.44477857423712</v>
      </c>
      <c r="H1033">
        <v>28973.824221818959</v>
      </c>
      <c r="I1033" t="s">
        <v>1911</v>
      </c>
    </row>
    <row r="1034" spans="1:9" x14ac:dyDescent="0.25">
      <c r="A1034" t="s">
        <v>220</v>
      </c>
      <c r="B1034" t="s">
        <v>7448</v>
      </c>
      <c r="C1034" t="s">
        <v>1984</v>
      </c>
      <c r="D1034" t="s">
        <v>1985</v>
      </c>
      <c r="E1034" t="s">
        <v>545</v>
      </c>
      <c r="F1034">
        <v>68</v>
      </c>
      <c r="G1034">
        <v>254.80771522072865</v>
      </c>
      <c r="H1034">
        <v>17326.924635009549</v>
      </c>
      <c r="I1034" t="s">
        <v>1911</v>
      </c>
    </row>
    <row r="1035" spans="1:9" x14ac:dyDescent="0.25">
      <c r="A1035" t="s">
        <v>220</v>
      </c>
      <c r="B1035" t="s">
        <v>7448</v>
      </c>
      <c r="C1035" t="s">
        <v>1962</v>
      </c>
      <c r="D1035" t="s">
        <v>1963</v>
      </c>
      <c r="E1035" t="s">
        <v>545</v>
      </c>
      <c r="F1035">
        <v>216</v>
      </c>
      <c r="G1035">
        <v>103.03149496883887</v>
      </c>
      <c r="H1035">
        <v>22254.802913269195</v>
      </c>
      <c r="I1035" t="s">
        <v>1911</v>
      </c>
    </row>
    <row r="1036" spans="1:9" x14ac:dyDescent="0.25">
      <c r="A1036" t="s">
        <v>220</v>
      </c>
      <c r="B1036" t="s">
        <v>7448</v>
      </c>
      <c r="C1036" t="s">
        <v>7663</v>
      </c>
      <c r="D1036" t="s">
        <v>7664</v>
      </c>
      <c r="E1036" t="s">
        <v>545</v>
      </c>
      <c r="F1036">
        <v>440</v>
      </c>
      <c r="G1036">
        <v>103.38320446006901</v>
      </c>
      <c r="H1036">
        <v>45488.609962430361</v>
      </c>
      <c r="I1036" t="s">
        <v>1911</v>
      </c>
    </row>
    <row r="1037" spans="1:9" x14ac:dyDescent="0.25">
      <c r="A1037" t="s">
        <v>220</v>
      </c>
      <c r="B1037" t="s">
        <v>7448</v>
      </c>
      <c r="C1037" t="s">
        <v>7663</v>
      </c>
      <c r="D1037" t="s">
        <v>7630</v>
      </c>
      <c r="E1037" t="s">
        <v>545</v>
      </c>
      <c r="F1037">
        <v>19</v>
      </c>
      <c r="G1037">
        <v>103.38320446006901</v>
      </c>
      <c r="H1037">
        <v>1964.2808847413112</v>
      </c>
      <c r="I1037" t="s">
        <v>1911</v>
      </c>
    </row>
    <row r="1038" spans="1:9" x14ac:dyDescent="0.25">
      <c r="A1038" t="s">
        <v>220</v>
      </c>
      <c r="B1038" t="s">
        <v>7448</v>
      </c>
      <c r="C1038" t="s">
        <v>2011</v>
      </c>
      <c r="D1038" t="s">
        <v>7632</v>
      </c>
      <c r="E1038" t="s">
        <v>545</v>
      </c>
      <c r="F1038">
        <v>5</v>
      </c>
      <c r="G1038">
        <v>55.742218378629929</v>
      </c>
      <c r="H1038">
        <v>278.71109189314961</v>
      </c>
      <c r="I1038" t="s">
        <v>1911</v>
      </c>
    </row>
    <row r="1039" spans="1:9" x14ac:dyDescent="0.25">
      <c r="A1039" t="s">
        <v>220</v>
      </c>
      <c r="B1039" t="s">
        <v>7448</v>
      </c>
      <c r="C1039" t="s">
        <v>1999</v>
      </c>
      <c r="D1039" t="s">
        <v>7665</v>
      </c>
      <c r="E1039" t="s">
        <v>545</v>
      </c>
      <c r="F1039">
        <v>1</v>
      </c>
      <c r="G1039">
        <v>77.821653094955408</v>
      </c>
      <c r="H1039">
        <v>77.821653094955408</v>
      </c>
      <c r="I1039" t="s">
        <v>1911</v>
      </c>
    </row>
    <row r="1040" spans="1:9" x14ac:dyDescent="0.25">
      <c r="A1040" t="s">
        <v>220</v>
      </c>
      <c r="B1040" t="s">
        <v>7448</v>
      </c>
      <c r="C1040" t="s">
        <v>2001</v>
      </c>
      <c r="D1040" t="s">
        <v>7636</v>
      </c>
      <c r="E1040" t="s">
        <v>545</v>
      </c>
      <c r="F1040">
        <v>121</v>
      </c>
      <c r="G1040">
        <v>95.590047136637295</v>
      </c>
      <c r="H1040">
        <v>11566.395703533113</v>
      </c>
      <c r="I1040" t="s">
        <v>1911</v>
      </c>
    </row>
    <row r="1041" spans="1:9" x14ac:dyDescent="0.25">
      <c r="A1041" t="s">
        <v>220</v>
      </c>
      <c r="B1041" t="s">
        <v>7448</v>
      </c>
      <c r="C1041" t="s">
        <v>7666</v>
      </c>
      <c r="D1041" t="s">
        <v>7638</v>
      </c>
      <c r="E1041" t="s">
        <v>545</v>
      </c>
      <c r="F1041">
        <v>5</v>
      </c>
      <c r="G1041">
        <v>188.99321469619136</v>
      </c>
      <c r="H1041">
        <v>944.96607348095677</v>
      </c>
      <c r="I1041" t="s">
        <v>1911</v>
      </c>
    </row>
    <row r="1042" spans="1:9" x14ac:dyDescent="0.25">
      <c r="A1042" t="s">
        <v>220</v>
      </c>
      <c r="B1042" t="s">
        <v>7448</v>
      </c>
      <c r="C1042" t="s">
        <v>2005</v>
      </c>
      <c r="D1042" t="s">
        <v>7485</v>
      </c>
      <c r="E1042" t="s">
        <v>545</v>
      </c>
      <c r="F1042">
        <v>8</v>
      </c>
      <c r="G1042">
        <v>213.446854510154</v>
      </c>
      <c r="H1042">
        <v>1707.574836081232</v>
      </c>
      <c r="I1042" t="s">
        <v>1911</v>
      </c>
    </row>
    <row r="1043" spans="1:9" x14ac:dyDescent="0.25">
      <c r="A1043" t="s">
        <v>220</v>
      </c>
      <c r="B1043" t="s">
        <v>7448</v>
      </c>
      <c r="C1043" t="s">
        <v>7667</v>
      </c>
      <c r="D1043" t="s">
        <v>7668</v>
      </c>
      <c r="E1043" t="s">
        <v>545</v>
      </c>
      <c r="F1043">
        <v>791</v>
      </c>
      <c r="G1043">
        <v>53.658473607411302</v>
      </c>
      <c r="H1043">
        <v>42443.852623462342</v>
      </c>
      <c r="I1043" t="s">
        <v>1911</v>
      </c>
    </row>
    <row r="1044" spans="1:9" x14ac:dyDescent="0.25">
      <c r="A1044" t="s">
        <v>220</v>
      </c>
      <c r="B1044" t="s">
        <v>7448</v>
      </c>
      <c r="C1044" t="s">
        <v>2011</v>
      </c>
      <c r="D1044" t="s">
        <v>2012</v>
      </c>
      <c r="E1044" t="s">
        <v>545</v>
      </c>
      <c r="F1044">
        <v>1327</v>
      </c>
      <c r="G1044">
        <v>55.742218378629929</v>
      </c>
      <c r="H1044">
        <v>73969.923788441913</v>
      </c>
      <c r="I1044" t="s">
        <v>1911</v>
      </c>
    </row>
    <row r="1045" spans="1:9" x14ac:dyDescent="0.25">
      <c r="A1045" t="s">
        <v>220</v>
      </c>
      <c r="B1045" t="s">
        <v>7448</v>
      </c>
      <c r="C1045" t="s">
        <v>2011</v>
      </c>
      <c r="D1045" t="s">
        <v>2014</v>
      </c>
      <c r="E1045" t="s">
        <v>545</v>
      </c>
      <c r="F1045">
        <v>26</v>
      </c>
      <c r="G1045">
        <v>55.742218378629929</v>
      </c>
      <c r="H1045">
        <v>1449.2976778443781</v>
      </c>
      <c r="I1045" t="s">
        <v>1911</v>
      </c>
    </row>
    <row r="1046" spans="1:9" x14ac:dyDescent="0.25">
      <c r="A1046" t="s">
        <v>220</v>
      </c>
      <c r="B1046" t="s">
        <v>7448</v>
      </c>
      <c r="C1046" t="s">
        <v>2015</v>
      </c>
      <c r="D1046" t="s">
        <v>2016</v>
      </c>
      <c r="E1046" t="s">
        <v>545</v>
      </c>
      <c r="F1046">
        <v>190</v>
      </c>
      <c r="G1046">
        <v>76.070316723394455</v>
      </c>
      <c r="H1046">
        <v>14453.360177444947</v>
      </c>
      <c r="I1046" t="s">
        <v>1911</v>
      </c>
    </row>
    <row r="1047" spans="1:9" x14ac:dyDescent="0.25">
      <c r="A1047" t="s">
        <v>220</v>
      </c>
      <c r="B1047" t="s">
        <v>7448</v>
      </c>
      <c r="C1047" t="s">
        <v>2019</v>
      </c>
      <c r="D1047" t="s">
        <v>7643</v>
      </c>
      <c r="E1047" t="s">
        <v>545</v>
      </c>
      <c r="F1047">
        <v>30</v>
      </c>
      <c r="G1047">
        <v>90.79229458095412</v>
      </c>
      <c r="H1047">
        <v>2723.7688374286236</v>
      </c>
      <c r="I1047" t="s">
        <v>1911</v>
      </c>
    </row>
    <row r="1048" spans="1:9" x14ac:dyDescent="0.25">
      <c r="A1048" t="s">
        <v>220</v>
      </c>
      <c r="B1048" t="s">
        <v>7448</v>
      </c>
      <c r="C1048" t="s">
        <v>2021</v>
      </c>
      <c r="D1048" t="s">
        <v>7479</v>
      </c>
      <c r="E1048" t="s">
        <v>545</v>
      </c>
      <c r="F1048">
        <v>61</v>
      </c>
      <c r="G1048">
        <v>104.09777817220575</v>
      </c>
      <c r="H1048">
        <v>6349.9644685045505</v>
      </c>
      <c r="I1048" t="s">
        <v>1911</v>
      </c>
    </row>
    <row r="1049" spans="1:9" x14ac:dyDescent="0.25">
      <c r="A1049" t="s">
        <v>220</v>
      </c>
      <c r="B1049" t="s">
        <v>7448</v>
      </c>
      <c r="C1049" t="s">
        <v>1920</v>
      </c>
      <c r="D1049" t="s">
        <v>7606</v>
      </c>
      <c r="E1049" t="s">
        <v>545</v>
      </c>
      <c r="F1049">
        <v>545</v>
      </c>
      <c r="G1049">
        <v>72.371320046106035</v>
      </c>
      <c r="H1049">
        <v>39442.369425127792</v>
      </c>
      <c r="I1049" t="s">
        <v>1911</v>
      </c>
    </row>
    <row r="1050" spans="1:9" x14ac:dyDescent="0.25">
      <c r="A1050" t="s">
        <v>220</v>
      </c>
      <c r="B1050" t="s">
        <v>7448</v>
      </c>
      <c r="C1050" t="s">
        <v>1928</v>
      </c>
      <c r="D1050" t="s">
        <v>7644</v>
      </c>
      <c r="E1050" t="s">
        <v>545</v>
      </c>
      <c r="F1050">
        <v>585</v>
      </c>
      <c r="G1050">
        <v>95.805307367287483</v>
      </c>
      <c r="H1050">
        <v>56046.10480986318</v>
      </c>
      <c r="I1050" t="s">
        <v>1911</v>
      </c>
    </row>
    <row r="1051" spans="1:9" x14ac:dyDescent="0.25">
      <c r="A1051" t="s">
        <v>220</v>
      </c>
      <c r="B1051" t="s">
        <v>7448</v>
      </c>
      <c r="C1051" t="s">
        <v>2024</v>
      </c>
      <c r="D1051" t="s">
        <v>7645</v>
      </c>
      <c r="E1051" t="s">
        <v>545</v>
      </c>
      <c r="F1051">
        <v>206</v>
      </c>
      <c r="G1051">
        <v>124.11873870506079</v>
      </c>
      <c r="H1051">
        <v>25568.460173242522</v>
      </c>
      <c r="I1051" t="s">
        <v>1911</v>
      </c>
    </row>
    <row r="1052" spans="1:9" x14ac:dyDescent="0.25">
      <c r="A1052" t="s">
        <v>220</v>
      </c>
      <c r="B1052" t="s">
        <v>7448</v>
      </c>
      <c r="C1052" t="s">
        <v>7460</v>
      </c>
      <c r="D1052" t="s">
        <v>7669</v>
      </c>
      <c r="E1052" t="s">
        <v>545</v>
      </c>
      <c r="F1052">
        <v>36</v>
      </c>
      <c r="G1052">
        <v>124.83982623702563</v>
      </c>
      <c r="H1052">
        <v>4494.2337445329231</v>
      </c>
      <c r="I1052" t="s">
        <v>1911</v>
      </c>
    </row>
    <row r="1053" spans="1:9" x14ac:dyDescent="0.25">
      <c r="A1053" t="s">
        <v>220</v>
      </c>
      <c r="B1053" t="s">
        <v>7448</v>
      </c>
      <c r="C1053" t="s">
        <v>7461</v>
      </c>
      <c r="D1053" t="s">
        <v>7670</v>
      </c>
      <c r="E1053" t="s">
        <v>545</v>
      </c>
      <c r="F1053">
        <v>156</v>
      </c>
      <c r="G1053">
        <v>124.2488008092042</v>
      </c>
      <c r="H1053">
        <v>19382.812926235856</v>
      </c>
      <c r="I1053" t="s">
        <v>1911</v>
      </c>
    </row>
    <row r="1054" spans="1:9" x14ac:dyDescent="0.25">
      <c r="A1054" t="s">
        <v>220</v>
      </c>
      <c r="B1054" t="s">
        <v>7448</v>
      </c>
      <c r="C1054" t="s">
        <v>7671</v>
      </c>
      <c r="D1054" t="s">
        <v>7647</v>
      </c>
      <c r="E1054" t="s">
        <v>545</v>
      </c>
      <c r="F1054">
        <v>88</v>
      </c>
      <c r="G1054">
        <v>77.634972064570192</v>
      </c>
      <c r="H1054">
        <v>6831.8775416821773</v>
      </c>
      <c r="I1054" t="s">
        <v>1911</v>
      </c>
    </row>
    <row r="1055" spans="1:9" x14ac:dyDescent="0.25">
      <c r="A1055" t="s">
        <v>220</v>
      </c>
      <c r="B1055" t="s">
        <v>7448</v>
      </c>
      <c r="C1055" t="s">
        <v>2031</v>
      </c>
      <c r="D1055" t="s">
        <v>7648</v>
      </c>
      <c r="E1055" t="s">
        <v>545</v>
      </c>
      <c r="F1055">
        <v>1829</v>
      </c>
      <c r="G1055">
        <v>66.960379734822865</v>
      </c>
      <c r="H1055">
        <v>122470.53453499102</v>
      </c>
      <c r="I1055" t="s">
        <v>1911</v>
      </c>
    </row>
    <row r="1056" spans="1:9" x14ac:dyDescent="0.25">
      <c r="A1056" t="s">
        <v>220</v>
      </c>
      <c r="B1056" t="s">
        <v>7448</v>
      </c>
      <c r="C1056" t="s">
        <v>1920</v>
      </c>
      <c r="D1056" t="s">
        <v>2036</v>
      </c>
      <c r="E1056" t="s">
        <v>545</v>
      </c>
      <c r="F1056">
        <v>34</v>
      </c>
      <c r="G1056">
        <v>72.371320046106035</v>
      </c>
      <c r="H1056">
        <v>2460.6248815676054</v>
      </c>
      <c r="I1056" t="s">
        <v>1911</v>
      </c>
    </row>
    <row r="1057" spans="1:9" x14ac:dyDescent="0.25">
      <c r="A1057" t="s">
        <v>220</v>
      </c>
      <c r="B1057" t="s">
        <v>7448</v>
      </c>
      <c r="C1057" t="s">
        <v>2040</v>
      </c>
      <c r="D1057" t="s">
        <v>2041</v>
      </c>
      <c r="E1057" t="s">
        <v>545</v>
      </c>
      <c r="F1057">
        <v>43</v>
      </c>
      <c r="G1057">
        <v>83.964983871699957</v>
      </c>
      <c r="H1057">
        <v>3610.4943064830982</v>
      </c>
      <c r="I1057" t="s">
        <v>1911</v>
      </c>
    </row>
    <row r="1058" spans="1:9" x14ac:dyDescent="0.25">
      <c r="A1058" t="s">
        <v>220</v>
      </c>
      <c r="B1058" t="s">
        <v>7448</v>
      </c>
      <c r="C1058" t="s">
        <v>7672</v>
      </c>
      <c r="D1058" t="s">
        <v>2043</v>
      </c>
      <c r="E1058" t="s">
        <v>545</v>
      </c>
      <c r="F1058">
        <v>15</v>
      </c>
      <c r="G1058">
        <v>87.268429628174474</v>
      </c>
      <c r="H1058">
        <v>1309.026444422617</v>
      </c>
      <c r="I1058" t="s">
        <v>1911</v>
      </c>
    </row>
    <row r="1059" spans="1:9" x14ac:dyDescent="0.25">
      <c r="A1059" t="s">
        <v>220</v>
      </c>
      <c r="B1059" t="s">
        <v>7448</v>
      </c>
      <c r="C1059" t="s">
        <v>1928</v>
      </c>
      <c r="D1059" t="s">
        <v>2045</v>
      </c>
      <c r="E1059" t="s">
        <v>545</v>
      </c>
      <c r="F1059">
        <v>24</v>
      </c>
      <c r="G1059">
        <v>95.805307367287483</v>
      </c>
      <c r="H1059">
        <v>2299.3273768148997</v>
      </c>
      <c r="I1059" t="s">
        <v>1911</v>
      </c>
    </row>
    <row r="1060" spans="1:9" x14ac:dyDescent="0.25">
      <c r="A1060" t="s">
        <v>220</v>
      </c>
      <c r="B1060" t="s">
        <v>7448</v>
      </c>
      <c r="C1060" t="s">
        <v>7480</v>
      </c>
      <c r="D1060" t="s">
        <v>2047</v>
      </c>
      <c r="E1060" t="s">
        <v>545</v>
      </c>
      <c r="F1060">
        <v>75</v>
      </c>
      <c r="G1060">
        <v>98.534600395550569</v>
      </c>
      <c r="H1060">
        <v>7390.0950296662922</v>
      </c>
      <c r="I1060" t="s">
        <v>1911</v>
      </c>
    </row>
    <row r="1061" spans="1:9" x14ac:dyDescent="0.25">
      <c r="A1061" t="s">
        <v>220</v>
      </c>
      <c r="B1061" t="s">
        <v>7448</v>
      </c>
      <c r="C1061" t="s">
        <v>7673</v>
      </c>
      <c r="D1061" t="s">
        <v>2050</v>
      </c>
      <c r="E1061" t="s">
        <v>545</v>
      </c>
      <c r="F1061">
        <v>29</v>
      </c>
      <c r="G1061">
        <v>110.81983415862551</v>
      </c>
      <c r="H1061">
        <v>3213.7751906001399</v>
      </c>
      <c r="I1061" t="s">
        <v>1911</v>
      </c>
    </row>
    <row r="1062" spans="1:9" x14ac:dyDescent="0.25">
      <c r="A1062" t="s">
        <v>220</v>
      </c>
      <c r="B1062" t="s">
        <v>2063</v>
      </c>
      <c r="C1062" t="s">
        <v>7755</v>
      </c>
      <c r="D1062" t="s">
        <v>7756</v>
      </c>
      <c r="E1062" t="s">
        <v>545</v>
      </c>
      <c r="F1062">
        <v>183</v>
      </c>
      <c r="G1062">
        <v>73.374657569529916</v>
      </c>
      <c r="H1062">
        <v>13427.562335223975</v>
      </c>
      <c r="I1062" t="s">
        <v>536</v>
      </c>
    </row>
    <row r="1063" spans="1:9" x14ac:dyDescent="0.25">
      <c r="A1063" t="s">
        <v>220</v>
      </c>
      <c r="B1063" t="s">
        <v>2063</v>
      </c>
      <c r="C1063" t="s">
        <v>7755</v>
      </c>
      <c r="D1063" t="s">
        <v>7757</v>
      </c>
      <c r="E1063" t="s">
        <v>545</v>
      </c>
      <c r="F1063">
        <v>80</v>
      </c>
      <c r="G1063">
        <v>73.374657569529916</v>
      </c>
      <c r="H1063">
        <v>5869.9726055623933</v>
      </c>
      <c r="I1063" t="s">
        <v>536</v>
      </c>
    </row>
    <row r="1064" spans="1:9" x14ac:dyDescent="0.25">
      <c r="A1064" t="s">
        <v>220</v>
      </c>
      <c r="B1064" t="s">
        <v>2063</v>
      </c>
      <c r="C1064" t="s">
        <v>7758</v>
      </c>
      <c r="D1064" t="s">
        <v>7759</v>
      </c>
      <c r="E1064" t="s">
        <v>545</v>
      </c>
      <c r="F1064">
        <v>70</v>
      </c>
      <c r="G1064">
        <v>103.85469710449829</v>
      </c>
      <c r="H1064">
        <v>7269.8287973148799</v>
      </c>
      <c r="I1064" t="s">
        <v>536</v>
      </c>
    </row>
    <row r="1065" spans="1:9" x14ac:dyDescent="0.25">
      <c r="A1065" t="s">
        <v>220</v>
      </c>
      <c r="B1065" t="s">
        <v>2063</v>
      </c>
      <c r="C1065" t="s">
        <v>7760</v>
      </c>
      <c r="D1065" t="s">
        <v>7761</v>
      </c>
      <c r="E1065" t="s">
        <v>545</v>
      </c>
      <c r="F1065">
        <v>51</v>
      </c>
      <c r="G1065">
        <v>98.8183545413969</v>
      </c>
      <c r="H1065">
        <v>5039.7360816112423</v>
      </c>
      <c r="I1065" t="s">
        <v>536</v>
      </c>
    </row>
    <row r="1066" spans="1:9" x14ac:dyDescent="0.25">
      <c r="A1066" t="s">
        <v>220</v>
      </c>
      <c r="B1066" t="s">
        <v>2063</v>
      </c>
      <c r="C1066" t="s">
        <v>7629</v>
      </c>
      <c r="D1066" t="s">
        <v>7762</v>
      </c>
      <c r="E1066" t="s">
        <v>545</v>
      </c>
      <c r="F1066">
        <v>559</v>
      </c>
      <c r="G1066">
        <v>101.90877373251232</v>
      </c>
      <c r="H1066">
        <v>56967.004516474386</v>
      </c>
      <c r="I1066" t="s">
        <v>536</v>
      </c>
    </row>
    <row r="1067" spans="1:9" x14ac:dyDescent="0.25">
      <c r="A1067" t="s">
        <v>220</v>
      </c>
      <c r="B1067" t="s">
        <v>2063</v>
      </c>
      <c r="C1067" t="s">
        <v>7763</v>
      </c>
      <c r="D1067" t="s">
        <v>7764</v>
      </c>
      <c r="E1067" t="s">
        <v>545</v>
      </c>
      <c r="F1067">
        <v>54</v>
      </c>
      <c r="G1067">
        <v>60.546473439126501</v>
      </c>
      <c r="H1067">
        <v>3269.5095657128309</v>
      </c>
      <c r="I1067" t="s">
        <v>536</v>
      </c>
    </row>
    <row r="1068" spans="1:9" x14ac:dyDescent="0.25">
      <c r="A1068" t="s">
        <v>220</v>
      </c>
      <c r="B1068" t="s">
        <v>2063</v>
      </c>
      <c r="C1068" t="s">
        <v>2129</v>
      </c>
      <c r="D1068" t="s">
        <v>7765</v>
      </c>
      <c r="E1068" t="s">
        <v>545</v>
      </c>
      <c r="F1068">
        <v>45</v>
      </c>
      <c r="G1068">
        <v>72.44792068894715</v>
      </c>
      <c r="H1068">
        <v>3260.156431002622</v>
      </c>
      <c r="I1068" t="s">
        <v>536</v>
      </c>
    </row>
    <row r="1069" spans="1:9" x14ac:dyDescent="0.25">
      <c r="A1069" t="s">
        <v>220</v>
      </c>
      <c r="B1069" t="s">
        <v>2063</v>
      </c>
      <c r="C1069" t="s">
        <v>7766</v>
      </c>
      <c r="D1069" t="s">
        <v>7636</v>
      </c>
      <c r="E1069" t="s">
        <v>545</v>
      </c>
      <c r="F1069">
        <v>90</v>
      </c>
      <c r="G1069">
        <v>90.938786397858465</v>
      </c>
      <c r="H1069">
        <v>8184.4907758072623</v>
      </c>
      <c r="I1069" t="s">
        <v>536</v>
      </c>
    </row>
    <row r="1070" spans="1:9" x14ac:dyDescent="0.25">
      <c r="A1070" t="s">
        <v>220</v>
      </c>
      <c r="B1070" t="s">
        <v>2063</v>
      </c>
      <c r="C1070" t="s">
        <v>7767</v>
      </c>
      <c r="D1070" t="s">
        <v>7768</v>
      </c>
      <c r="E1070" t="s">
        <v>545</v>
      </c>
      <c r="F1070">
        <v>27</v>
      </c>
      <c r="G1070">
        <v>60.456000000000003</v>
      </c>
      <c r="H1070">
        <v>1632.3120000000001</v>
      </c>
      <c r="I1070" t="s">
        <v>536</v>
      </c>
    </row>
    <row r="1071" spans="1:9" x14ac:dyDescent="0.25">
      <c r="A1071" t="s">
        <v>220</v>
      </c>
      <c r="B1071" t="s">
        <v>2063</v>
      </c>
      <c r="C1071" t="s">
        <v>2121</v>
      </c>
      <c r="D1071" t="s">
        <v>7485</v>
      </c>
      <c r="E1071" t="s">
        <v>545</v>
      </c>
      <c r="F1071">
        <v>328</v>
      </c>
      <c r="G1071">
        <v>179.68311023063637</v>
      </c>
      <c r="H1071">
        <v>58936.060155648731</v>
      </c>
      <c r="I1071" t="s">
        <v>536</v>
      </c>
    </row>
    <row r="1072" spans="1:9" x14ac:dyDescent="0.25">
      <c r="A1072" t="s">
        <v>220</v>
      </c>
      <c r="B1072" t="s">
        <v>2063</v>
      </c>
      <c r="C1072" t="s">
        <v>7769</v>
      </c>
      <c r="D1072" t="s">
        <v>7770</v>
      </c>
      <c r="E1072" t="s">
        <v>545</v>
      </c>
      <c r="F1072">
        <v>88</v>
      </c>
      <c r="G1072">
        <v>176.50572979654942</v>
      </c>
      <c r="H1072">
        <v>15532.504222096348</v>
      </c>
      <c r="I1072" t="s">
        <v>536</v>
      </c>
    </row>
    <row r="1073" spans="1:9" x14ac:dyDescent="0.25">
      <c r="A1073" t="s">
        <v>220</v>
      </c>
      <c r="B1073" t="s">
        <v>7455</v>
      </c>
      <c r="C1073" t="s">
        <v>2072</v>
      </c>
      <c r="D1073" t="s">
        <v>7481</v>
      </c>
      <c r="E1073" t="s">
        <v>545</v>
      </c>
      <c r="F1073">
        <v>11</v>
      </c>
      <c r="G1073">
        <v>83.98840093035578</v>
      </c>
      <c r="H1073">
        <v>923.87241023391357</v>
      </c>
      <c r="I1073" t="s">
        <v>536</v>
      </c>
    </row>
    <row r="1074" spans="1:9" x14ac:dyDescent="0.25">
      <c r="A1074" t="s">
        <v>220</v>
      </c>
      <c r="B1074" t="s">
        <v>7455</v>
      </c>
      <c r="C1074" t="s">
        <v>2082</v>
      </c>
      <c r="D1074" t="s">
        <v>7476</v>
      </c>
      <c r="E1074" t="s">
        <v>545</v>
      </c>
      <c r="F1074">
        <v>211</v>
      </c>
      <c r="G1074">
        <v>67.546473439126459</v>
      </c>
      <c r="H1074">
        <v>14252.305895655683</v>
      </c>
      <c r="I1074" t="s">
        <v>536</v>
      </c>
    </row>
    <row r="1075" spans="1:9" x14ac:dyDescent="0.25">
      <c r="A1075" t="s">
        <v>220</v>
      </c>
      <c r="B1075" t="s">
        <v>7455</v>
      </c>
      <c r="C1075" t="s">
        <v>2086</v>
      </c>
      <c r="D1075" t="s">
        <v>7615</v>
      </c>
      <c r="E1075" t="s">
        <v>545</v>
      </c>
      <c r="F1075">
        <v>10</v>
      </c>
      <c r="G1075">
        <v>101.36187132688065</v>
      </c>
      <c r="H1075">
        <v>1013.6187132688065</v>
      </c>
      <c r="I1075" t="s">
        <v>536</v>
      </c>
    </row>
    <row r="1076" spans="1:9" x14ac:dyDescent="0.25">
      <c r="A1076" t="s">
        <v>220</v>
      </c>
      <c r="B1076" t="s">
        <v>7455</v>
      </c>
      <c r="C1076" t="s">
        <v>2092</v>
      </c>
      <c r="D1076" t="s">
        <v>7491</v>
      </c>
      <c r="E1076" t="s">
        <v>545</v>
      </c>
      <c r="F1076">
        <v>9</v>
      </c>
      <c r="G1076">
        <v>118.55538768205275</v>
      </c>
      <c r="H1076">
        <v>1066.9984891384747</v>
      </c>
      <c r="I1076" t="s">
        <v>536</v>
      </c>
    </row>
    <row r="1077" spans="1:9" x14ac:dyDescent="0.25">
      <c r="A1077" t="s">
        <v>220</v>
      </c>
      <c r="B1077" t="s">
        <v>7455</v>
      </c>
      <c r="C1077" t="s">
        <v>7766</v>
      </c>
      <c r="D1077" t="s">
        <v>7636</v>
      </c>
      <c r="E1077" t="s">
        <v>545</v>
      </c>
      <c r="F1077">
        <v>15</v>
      </c>
      <c r="G1077">
        <v>90.938786397858465</v>
      </c>
      <c r="H1077">
        <v>1364.081795967877</v>
      </c>
      <c r="I1077" t="s">
        <v>536</v>
      </c>
    </row>
    <row r="1078" spans="1:9" x14ac:dyDescent="0.25">
      <c r="A1078" t="s">
        <v>220</v>
      </c>
      <c r="B1078" t="s">
        <v>7455</v>
      </c>
      <c r="C1078" t="s">
        <v>2065</v>
      </c>
      <c r="D1078" t="s">
        <v>7604</v>
      </c>
      <c r="E1078" t="s">
        <v>7771</v>
      </c>
      <c r="F1078">
        <v>126</v>
      </c>
      <c r="G1078">
        <v>77.668112428044694</v>
      </c>
      <c r="H1078">
        <v>9786.182165933631</v>
      </c>
      <c r="I1078" t="s">
        <v>536</v>
      </c>
    </row>
    <row r="1079" spans="1:9" x14ac:dyDescent="0.25">
      <c r="A1079" t="s">
        <v>220</v>
      </c>
      <c r="B1079" t="s">
        <v>7455</v>
      </c>
      <c r="C1079" t="s">
        <v>2151</v>
      </c>
      <c r="D1079" t="s">
        <v>7626</v>
      </c>
      <c r="E1079" t="s">
        <v>7771</v>
      </c>
      <c r="F1079">
        <v>4</v>
      </c>
      <c r="G1079">
        <v>108.50455003875165</v>
      </c>
      <c r="H1079">
        <v>434.01820015500658</v>
      </c>
      <c r="I1079" t="s">
        <v>536</v>
      </c>
    </row>
    <row r="1080" spans="1:9" x14ac:dyDescent="0.25">
      <c r="A1080" t="s">
        <v>220</v>
      </c>
      <c r="B1080" t="s">
        <v>7455</v>
      </c>
      <c r="C1080" t="s">
        <v>2067</v>
      </c>
      <c r="D1080" t="s">
        <v>7488</v>
      </c>
      <c r="E1080" t="s">
        <v>7771</v>
      </c>
      <c r="F1080">
        <v>10</v>
      </c>
      <c r="G1080">
        <v>116.44781685371146</v>
      </c>
      <c r="H1080">
        <v>1164.4781685371145</v>
      </c>
      <c r="I1080" t="s">
        <v>536</v>
      </c>
    </row>
    <row r="1081" spans="1:9" x14ac:dyDescent="0.25">
      <c r="A1081" t="s">
        <v>220</v>
      </c>
      <c r="B1081" t="s">
        <v>7455</v>
      </c>
      <c r="C1081" t="s">
        <v>2129</v>
      </c>
      <c r="D1081" t="s">
        <v>7765</v>
      </c>
      <c r="E1081" t="s">
        <v>7771</v>
      </c>
      <c r="F1081">
        <v>7</v>
      </c>
      <c r="G1081">
        <v>72.44792068894715</v>
      </c>
      <c r="H1081">
        <v>507.13544482263006</v>
      </c>
      <c r="I1081" t="s">
        <v>536</v>
      </c>
    </row>
    <row r="1082" spans="1:9" x14ac:dyDescent="0.25">
      <c r="A1082" t="s">
        <v>220</v>
      </c>
      <c r="B1082" t="s">
        <v>7455</v>
      </c>
      <c r="C1082" t="s">
        <v>7639</v>
      </c>
      <c r="D1082" t="s">
        <v>7772</v>
      </c>
      <c r="E1082" t="s">
        <v>7771</v>
      </c>
      <c r="F1082">
        <v>31</v>
      </c>
      <c r="G1082">
        <v>49.133017753918672</v>
      </c>
      <c r="H1082">
        <v>1523.1235503714788</v>
      </c>
      <c r="I1082" t="s">
        <v>536</v>
      </c>
    </row>
    <row r="1083" spans="1:9" x14ac:dyDescent="0.25">
      <c r="A1083" t="s">
        <v>220</v>
      </c>
      <c r="B1083" t="s">
        <v>7455</v>
      </c>
      <c r="C1083" t="s">
        <v>2123</v>
      </c>
      <c r="D1083" t="s">
        <v>7636</v>
      </c>
      <c r="E1083" t="s">
        <v>7771</v>
      </c>
      <c r="F1083">
        <v>30</v>
      </c>
      <c r="G1083">
        <v>87.635225844616713</v>
      </c>
      <c r="H1083">
        <v>2629.0567753385012</v>
      </c>
      <c r="I1083" t="s">
        <v>536</v>
      </c>
    </row>
    <row r="1084" spans="1:9" x14ac:dyDescent="0.25">
      <c r="A1084" t="s">
        <v>220</v>
      </c>
      <c r="B1084" t="s">
        <v>7455</v>
      </c>
      <c r="C1084" t="s">
        <v>2129</v>
      </c>
      <c r="D1084" t="s">
        <v>7765</v>
      </c>
      <c r="E1084" t="s">
        <v>7771</v>
      </c>
      <c r="F1084">
        <v>54</v>
      </c>
      <c r="G1084">
        <v>72.44792068894715</v>
      </c>
      <c r="H1084">
        <v>3912.1877172031459</v>
      </c>
      <c r="I1084" t="s">
        <v>536</v>
      </c>
    </row>
    <row r="1085" spans="1:9" x14ac:dyDescent="0.25">
      <c r="A1085" t="s">
        <v>220</v>
      </c>
      <c r="B1085" t="s">
        <v>7455</v>
      </c>
      <c r="C1085" t="s">
        <v>2128</v>
      </c>
      <c r="D1085" t="s">
        <v>7764</v>
      </c>
      <c r="E1085" t="s">
        <v>7771</v>
      </c>
      <c r="F1085">
        <v>62</v>
      </c>
      <c r="G1085">
        <v>50.343119318817088</v>
      </c>
      <c r="H1085">
        <v>3121.2733977666594</v>
      </c>
      <c r="I1085" t="s">
        <v>536</v>
      </c>
    </row>
    <row r="1086" spans="1:9" x14ac:dyDescent="0.25">
      <c r="A1086" t="s">
        <v>220</v>
      </c>
      <c r="B1086" t="s">
        <v>7455</v>
      </c>
      <c r="C1086" t="s">
        <v>7629</v>
      </c>
      <c r="D1086" t="s">
        <v>7762</v>
      </c>
      <c r="E1086" t="s">
        <v>7771</v>
      </c>
      <c r="F1086">
        <v>128</v>
      </c>
      <c r="G1086">
        <v>101.90877373251232</v>
      </c>
      <c r="H1086">
        <v>13044.323037761576</v>
      </c>
      <c r="I1086" t="s">
        <v>536</v>
      </c>
    </row>
    <row r="1087" spans="1:9" x14ac:dyDescent="0.25">
      <c r="A1087" t="s">
        <v>220</v>
      </c>
      <c r="B1087" t="s">
        <v>7455</v>
      </c>
      <c r="C1087" t="s">
        <v>7773</v>
      </c>
      <c r="D1087" t="s">
        <v>7609</v>
      </c>
      <c r="E1087" t="s">
        <v>7771</v>
      </c>
      <c r="F1087">
        <v>10</v>
      </c>
      <c r="G1087">
        <v>70.375</v>
      </c>
      <c r="H1087">
        <v>703.75</v>
      </c>
      <c r="I1087" t="s">
        <v>536</v>
      </c>
    </row>
    <row r="1088" spans="1:9" x14ac:dyDescent="0.25">
      <c r="A1088" t="s">
        <v>220</v>
      </c>
      <c r="B1088" t="s">
        <v>7455</v>
      </c>
      <c r="C1088" t="s">
        <v>7755</v>
      </c>
      <c r="D1088" t="s">
        <v>7756</v>
      </c>
      <c r="E1088" t="s">
        <v>7771</v>
      </c>
      <c r="F1088">
        <v>22</v>
      </c>
      <c r="G1088">
        <v>73.374657569529916</v>
      </c>
      <c r="H1088">
        <v>1614.242466529658</v>
      </c>
      <c r="I1088" t="s">
        <v>536</v>
      </c>
    </row>
    <row r="1089" spans="1:9" x14ac:dyDescent="0.25">
      <c r="A1089" t="s">
        <v>220</v>
      </c>
      <c r="B1089" t="s">
        <v>7455</v>
      </c>
      <c r="C1089" t="s">
        <v>2098</v>
      </c>
      <c r="D1089" t="s">
        <v>7459</v>
      </c>
      <c r="E1089" t="s">
        <v>7771</v>
      </c>
      <c r="F1089">
        <v>1</v>
      </c>
      <c r="G1089">
        <v>222.67449659714558</v>
      </c>
      <c r="H1089">
        <v>222.67449659714558</v>
      </c>
      <c r="I1089" t="s">
        <v>536</v>
      </c>
    </row>
    <row r="1090" spans="1:9" x14ac:dyDescent="0.25">
      <c r="A1090" t="s">
        <v>220</v>
      </c>
      <c r="B1090" t="s">
        <v>7455</v>
      </c>
      <c r="C1090" t="s">
        <v>2096</v>
      </c>
      <c r="D1090" t="s">
        <v>7618</v>
      </c>
      <c r="E1090" t="s">
        <v>7771</v>
      </c>
      <c r="F1090">
        <v>3</v>
      </c>
      <c r="G1090">
        <v>158.87450171417277</v>
      </c>
      <c r="H1090">
        <v>476.6235051425183</v>
      </c>
      <c r="I1090" t="s">
        <v>536</v>
      </c>
    </row>
    <row r="1091" spans="1:9" x14ac:dyDescent="0.25">
      <c r="A1091" t="s">
        <v>220</v>
      </c>
      <c r="B1091" t="s">
        <v>7455</v>
      </c>
      <c r="C1091" t="s">
        <v>2094</v>
      </c>
      <c r="D1091" t="s">
        <v>7487</v>
      </c>
      <c r="E1091" t="s">
        <v>7771</v>
      </c>
      <c r="F1091">
        <v>1</v>
      </c>
      <c r="G1091">
        <v>148.47895189180289</v>
      </c>
      <c r="H1091">
        <v>148.47895189180289</v>
      </c>
      <c r="I1091" t="s">
        <v>536</v>
      </c>
    </row>
    <row r="1092" spans="1:9" x14ac:dyDescent="0.25">
      <c r="A1092" t="s">
        <v>220</v>
      </c>
      <c r="B1092" t="s">
        <v>7455</v>
      </c>
      <c r="C1092" t="s">
        <v>2093</v>
      </c>
      <c r="D1092" t="s">
        <v>7754</v>
      </c>
      <c r="E1092" t="s">
        <v>7771</v>
      </c>
      <c r="F1092">
        <v>3</v>
      </c>
      <c r="G1092">
        <v>131.70345682387529</v>
      </c>
      <c r="H1092">
        <v>395.11037047162586</v>
      </c>
      <c r="I1092" t="s">
        <v>536</v>
      </c>
    </row>
    <row r="1093" spans="1:9" x14ac:dyDescent="0.25">
      <c r="A1093" t="s">
        <v>220</v>
      </c>
      <c r="B1093" t="s">
        <v>7448</v>
      </c>
      <c r="C1093" t="s">
        <v>7774</v>
      </c>
      <c r="D1093" t="s">
        <v>7775</v>
      </c>
      <c r="E1093" t="s">
        <v>7771</v>
      </c>
      <c r="F1093">
        <v>105</v>
      </c>
      <c r="G1093">
        <v>66.841033218968363</v>
      </c>
      <c r="H1093">
        <v>7018.3084879916778</v>
      </c>
      <c r="I1093" t="s">
        <v>1911</v>
      </c>
    </row>
    <row r="1094" spans="1:9" x14ac:dyDescent="0.25">
      <c r="A1094" t="s">
        <v>220</v>
      </c>
      <c r="B1094" t="s">
        <v>7448</v>
      </c>
      <c r="C1094" t="s">
        <v>7776</v>
      </c>
      <c r="D1094" t="s">
        <v>7768</v>
      </c>
      <c r="E1094" t="s">
        <v>7771</v>
      </c>
      <c r="F1094">
        <v>241</v>
      </c>
      <c r="G1094">
        <v>65.432597872445896</v>
      </c>
      <c r="H1094">
        <v>15769.25608725946</v>
      </c>
      <c r="I1094" t="s">
        <v>1911</v>
      </c>
    </row>
    <row r="1095" spans="1:9" x14ac:dyDescent="0.25">
      <c r="A1095" t="s">
        <v>220</v>
      </c>
      <c r="B1095" t="s">
        <v>7448</v>
      </c>
      <c r="C1095" t="s">
        <v>7777</v>
      </c>
      <c r="D1095" t="s">
        <v>7778</v>
      </c>
      <c r="E1095" t="s">
        <v>7771</v>
      </c>
      <c r="F1095">
        <v>55</v>
      </c>
      <c r="G1095">
        <v>70.095158345774294</v>
      </c>
      <c r="H1095">
        <v>3855.2337090175861</v>
      </c>
      <c r="I1095" t="s">
        <v>1911</v>
      </c>
    </row>
    <row r="1096" spans="1:9" x14ac:dyDescent="0.25">
      <c r="A1096" t="s">
        <v>220</v>
      </c>
      <c r="B1096" t="s">
        <v>7448</v>
      </c>
      <c r="C1096" t="s">
        <v>7779</v>
      </c>
      <c r="D1096" t="s">
        <v>7780</v>
      </c>
      <c r="E1096" t="s">
        <v>7771</v>
      </c>
      <c r="F1096">
        <v>135</v>
      </c>
      <c r="G1096">
        <v>90.938786397858465</v>
      </c>
      <c r="H1096">
        <v>12276.736163710893</v>
      </c>
      <c r="I1096" t="s">
        <v>1911</v>
      </c>
    </row>
    <row r="1097" spans="1:9" x14ac:dyDescent="0.25">
      <c r="A1097" t="s">
        <v>220</v>
      </c>
      <c r="B1097" t="s">
        <v>7448</v>
      </c>
      <c r="C1097" t="s">
        <v>7657</v>
      </c>
      <c r="D1097" t="s">
        <v>7457</v>
      </c>
      <c r="E1097" t="s">
        <v>7771</v>
      </c>
      <c r="F1097">
        <v>44</v>
      </c>
      <c r="G1097">
        <v>241.31371756099827</v>
      </c>
      <c r="H1097">
        <v>10617.803572683924</v>
      </c>
      <c r="I1097" t="s">
        <v>1911</v>
      </c>
    </row>
    <row r="1098" spans="1:9" x14ac:dyDescent="0.25">
      <c r="A1098" t="s">
        <v>220</v>
      </c>
      <c r="B1098" t="s">
        <v>7448</v>
      </c>
      <c r="C1098" t="s">
        <v>7781</v>
      </c>
      <c r="D1098" t="s">
        <v>7757</v>
      </c>
      <c r="E1098" t="s">
        <v>7771</v>
      </c>
      <c r="F1098">
        <v>1612</v>
      </c>
      <c r="G1098">
        <v>75.037624144679299</v>
      </c>
      <c r="H1098">
        <v>120960.65012122304</v>
      </c>
      <c r="I1098" t="s">
        <v>1911</v>
      </c>
    </row>
    <row r="1099" spans="1:9" x14ac:dyDescent="0.25">
      <c r="A1099" t="s">
        <v>220</v>
      </c>
      <c r="B1099" t="s">
        <v>7448</v>
      </c>
      <c r="C1099" t="s">
        <v>7782</v>
      </c>
      <c r="D1099" t="s">
        <v>7756</v>
      </c>
      <c r="E1099" t="s">
        <v>545</v>
      </c>
      <c r="F1099">
        <v>1681</v>
      </c>
      <c r="G1099">
        <v>80.037624144679341</v>
      </c>
      <c r="H1099">
        <v>134543.24618720598</v>
      </c>
      <c r="I1099" t="s">
        <v>1911</v>
      </c>
    </row>
    <row r="1100" spans="1:9" x14ac:dyDescent="0.25">
      <c r="A1100" t="s">
        <v>220</v>
      </c>
      <c r="B1100" t="s">
        <v>5430</v>
      </c>
      <c r="C1100" t="s">
        <v>1901</v>
      </c>
      <c r="D1100" t="s">
        <v>7783</v>
      </c>
      <c r="F1100">
        <v>50</v>
      </c>
      <c r="G1100">
        <v>36</v>
      </c>
      <c r="H1100">
        <v>1800</v>
      </c>
      <c r="I1100" t="s">
        <v>541</v>
      </c>
    </row>
    <row r="1101" spans="1:9" x14ac:dyDescent="0.25">
      <c r="A1101" t="s">
        <v>220</v>
      </c>
      <c r="B1101" t="s">
        <v>5430</v>
      </c>
      <c r="C1101" t="s">
        <v>5489</v>
      </c>
      <c r="D1101" t="s">
        <v>7784</v>
      </c>
      <c r="F1101">
        <v>1</v>
      </c>
      <c r="G1101">
        <v>464.49900000000002</v>
      </c>
      <c r="H1101">
        <v>464.49900000000002</v>
      </c>
      <c r="I1101" t="s">
        <v>2354</v>
      </c>
    </row>
    <row r="1102" spans="1:9" x14ac:dyDescent="0.25">
      <c r="A1102" t="s">
        <v>220</v>
      </c>
      <c r="B1102" t="s">
        <v>5430</v>
      </c>
      <c r="C1102" t="s">
        <v>5491</v>
      </c>
      <c r="D1102" t="s">
        <v>7785</v>
      </c>
      <c r="F1102">
        <v>6</v>
      </c>
      <c r="G1102">
        <v>30.778500000000001</v>
      </c>
      <c r="H1102">
        <v>184.67099999999999</v>
      </c>
      <c r="I1102" t="s">
        <v>2354</v>
      </c>
    </row>
    <row r="1103" spans="1:9" x14ac:dyDescent="0.25">
      <c r="A1103" t="s">
        <v>220</v>
      </c>
      <c r="B1103" t="s">
        <v>5430</v>
      </c>
      <c r="C1103" t="s">
        <v>5494</v>
      </c>
      <c r="D1103" t="s">
        <v>7786</v>
      </c>
      <c r="F1103">
        <v>1</v>
      </c>
      <c r="G1103">
        <v>1618.162</v>
      </c>
      <c r="H1103">
        <v>1618.162</v>
      </c>
      <c r="I1103" t="s">
        <v>2354</v>
      </c>
    </row>
    <row r="1104" spans="1:9" x14ac:dyDescent="0.25">
      <c r="A1104" t="s">
        <v>220</v>
      </c>
      <c r="B1104" t="s">
        <v>5430</v>
      </c>
      <c r="C1104" t="s">
        <v>5496</v>
      </c>
      <c r="D1104" t="s">
        <v>7787</v>
      </c>
      <c r="F1104">
        <v>1</v>
      </c>
      <c r="G1104">
        <v>1763.58</v>
      </c>
      <c r="H1104">
        <v>1763.58</v>
      </c>
      <c r="I1104" t="s">
        <v>2354</v>
      </c>
    </row>
    <row r="1105" spans="1:9" x14ac:dyDescent="0.25">
      <c r="A1105" t="s">
        <v>220</v>
      </c>
      <c r="B1105" t="s">
        <v>5430</v>
      </c>
      <c r="C1105" t="s">
        <v>7788</v>
      </c>
      <c r="D1105" t="s">
        <v>5499</v>
      </c>
      <c r="F1105">
        <v>2</v>
      </c>
      <c r="G1105">
        <v>258.3</v>
      </c>
      <c r="H1105">
        <v>516.6</v>
      </c>
      <c r="I1105" t="s">
        <v>2354</v>
      </c>
    </row>
    <row r="1106" spans="1:9" x14ac:dyDescent="0.25">
      <c r="A1106" t="s">
        <v>220</v>
      </c>
      <c r="B1106" t="s">
        <v>5430</v>
      </c>
      <c r="C1106" t="s">
        <v>5502</v>
      </c>
      <c r="D1106" t="s">
        <v>7789</v>
      </c>
      <c r="F1106">
        <v>5</v>
      </c>
      <c r="G1106">
        <v>177.255</v>
      </c>
      <c r="H1106">
        <v>886.27499999999998</v>
      </c>
      <c r="I1106" t="s">
        <v>2354</v>
      </c>
    </row>
    <row r="1107" spans="1:9" x14ac:dyDescent="0.25">
      <c r="A1107" t="s">
        <v>220</v>
      </c>
      <c r="B1107" t="s">
        <v>5430</v>
      </c>
      <c r="C1107" t="s">
        <v>5504</v>
      </c>
      <c r="D1107" t="s">
        <v>7790</v>
      </c>
      <c r="F1107">
        <v>2</v>
      </c>
      <c r="G1107">
        <v>149.98500000000001</v>
      </c>
      <c r="H1107">
        <v>299.97000000000003</v>
      </c>
      <c r="I1107" t="s">
        <v>2354</v>
      </c>
    </row>
    <row r="1108" spans="1:9" x14ac:dyDescent="0.25">
      <c r="A1108" t="s">
        <v>220</v>
      </c>
      <c r="B1108" t="s">
        <v>5430</v>
      </c>
      <c r="C1108" t="s">
        <v>5506</v>
      </c>
      <c r="D1108" t="s">
        <v>7791</v>
      </c>
      <c r="F1108">
        <v>5</v>
      </c>
      <c r="G1108">
        <v>162.51405</v>
      </c>
      <c r="H1108">
        <v>812.57024999999999</v>
      </c>
      <c r="I1108" t="s">
        <v>2354</v>
      </c>
    </row>
    <row r="1109" spans="1:9" x14ac:dyDescent="0.25">
      <c r="A1109" t="s">
        <v>220</v>
      </c>
      <c r="B1109" t="s">
        <v>5430</v>
      </c>
      <c r="C1109" t="s">
        <v>5508</v>
      </c>
      <c r="D1109" t="s">
        <v>7792</v>
      </c>
      <c r="F1109">
        <v>4</v>
      </c>
      <c r="G1109">
        <v>51.516010000000001</v>
      </c>
      <c r="H1109">
        <v>206.06404000000001</v>
      </c>
      <c r="I1109" t="s">
        <v>2354</v>
      </c>
    </row>
    <row r="1110" spans="1:9" x14ac:dyDescent="0.25">
      <c r="A1110" t="s">
        <v>220</v>
      </c>
      <c r="B1110" t="s">
        <v>5430</v>
      </c>
      <c r="C1110" t="s">
        <v>5510</v>
      </c>
      <c r="D1110" t="s">
        <v>7793</v>
      </c>
      <c r="F1110">
        <v>1</v>
      </c>
      <c r="G1110">
        <v>109.11535000000001</v>
      </c>
      <c r="H1110">
        <v>109.11535000000001</v>
      </c>
      <c r="I1110" t="s">
        <v>2354</v>
      </c>
    </row>
    <row r="1111" spans="1:9" x14ac:dyDescent="0.25">
      <c r="A1111" t="s">
        <v>220</v>
      </c>
      <c r="B1111" t="s">
        <v>5430</v>
      </c>
      <c r="C1111" t="s">
        <v>5512</v>
      </c>
      <c r="D1111" t="s">
        <v>7794</v>
      </c>
      <c r="F1111">
        <v>4</v>
      </c>
      <c r="G1111">
        <v>157.405</v>
      </c>
      <c r="H1111">
        <v>629.62</v>
      </c>
      <c r="I1111" t="s">
        <v>2354</v>
      </c>
    </row>
    <row r="1112" spans="1:9" x14ac:dyDescent="0.25">
      <c r="A1112" t="s">
        <v>220</v>
      </c>
      <c r="B1112" t="s">
        <v>5430</v>
      </c>
      <c r="C1112" t="s">
        <v>5514</v>
      </c>
      <c r="D1112" t="s">
        <v>7795</v>
      </c>
      <c r="F1112">
        <v>1</v>
      </c>
      <c r="G1112">
        <v>0</v>
      </c>
      <c r="H1112">
        <v>0</v>
      </c>
      <c r="I1112" t="s">
        <v>2354</v>
      </c>
    </row>
    <row r="1113" spans="1:9" x14ac:dyDescent="0.25">
      <c r="A1113" t="s">
        <v>220</v>
      </c>
      <c r="B1113" t="s">
        <v>5430</v>
      </c>
      <c r="C1113" t="s">
        <v>5516</v>
      </c>
      <c r="D1113" t="s">
        <v>7796</v>
      </c>
      <c r="F1113">
        <v>2</v>
      </c>
      <c r="G1113">
        <v>0</v>
      </c>
      <c r="H1113">
        <v>0</v>
      </c>
      <c r="I1113" t="s">
        <v>2354</v>
      </c>
    </row>
    <row r="1114" spans="1:9" x14ac:dyDescent="0.25">
      <c r="A1114" t="s">
        <v>220</v>
      </c>
      <c r="B1114" t="s">
        <v>5430</v>
      </c>
      <c r="C1114" t="s">
        <v>5518</v>
      </c>
      <c r="D1114" t="s">
        <v>7797</v>
      </c>
      <c r="F1114">
        <v>4</v>
      </c>
      <c r="G1114">
        <v>0</v>
      </c>
      <c r="H1114">
        <v>0</v>
      </c>
      <c r="I1114" t="s">
        <v>2354</v>
      </c>
    </row>
    <row r="1115" spans="1:9" x14ac:dyDescent="0.25">
      <c r="A1115" t="s">
        <v>220</v>
      </c>
      <c r="B1115" t="s">
        <v>5430</v>
      </c>
      <c r="C1115" t="s">
        <v>5520</v>
      </c>
      <c r="D1115" t="s">
        <v>7798</v>
      </c>
      <c r="F1115">
        <v>1</v>
      </c>
      <c r="G1115">
        <v>0</v>
      </c>
      <c r="H1115">
        <v>0</v>
      </c>
      <c r="I1115" t="s">
        <v>2354</v>
      </c>
    </row>
    <row r="1116" spans="1:9" x14ac:dyDescent="0.25">
      <c r="A1116" t="s">
        <v>220</v>
      </c>
      <c r="B1116" t="s">
        <v>5430</v>
      </c>
      <c r="C1116" t="s">
        <v>5522</v>
      </c>
      <c r="D1116" t="s">
        <v>7799</v>
      </c>
      <c r="F1116">
        <v>2</v>
      </c>
      <c r="G1116">
        <v>93.740625000000009</v>
      </c>
      <c r="H1116">
        <v>187.48125000000002</v>
      </c>
      <c r="I1116" t="s">
        <v>2354</v>
      </c>
    </row>
    <row r="1117" spans="1:9" x14ac:dyDescent="0.25">
      <c r="A1117" t="s">
        <v>220</v>
      </c>
      <c r="B1117" t="s">
        <v>5430</v>
      </c>
      <c r="C1117" t="s">
        <v>5524</v>
      </c>
      <c r="D1117" t="s">
        <v>7800</v>
      </c>
      <c r="F1117">
        <v>2</v>
      </c>
      <c r="G1117">
        <v>357.96015999999997</v>
      </c>
      <c r="H1117">
        <v>715.92031999999995</v>
      </c>
      <c r="I1117" t="s">
        <v>2354</v>
      </c>
    </row>
    <row r="1118" spans="1:9" x14ac:dyDescent="0.25">
      <c r="A1118" t="s">
        <v>220</v>
      </c>
      <c r="B1118" t="s">
        <v>5430</v>
      </c>
      <c r="C1118" t="s">
        <v>7801</v>
      </c>
      <c r="D1118" t="s">
        <v>7802</v>
      </c>
      <c r="F1118">
        <v>2</v>
      </c>
      <c r="G1118">
        <v>76.664050000000003</v>
      </c>
      <c r="H1118">
        <v>153.32810000000001</v>
      </c>
      <c r="I1118" t="s">
        <v>2354</v>
      </c>
    </row>
    <row r="1119" spans="1:9" x14ac:dyDescent="0.25">
      <c r="A1119" t="s">
        <v>220</v>
      </c>
      <c r="B1119" t="s">
        <v>5430</v>
      </c>
      <c r="C1119" t="s">
        <v>7803</v>
      </c>
      <c r="D1119" t="s">
        <v>7804</v>
      </c>
      <c r="F1119">
        <v>1</v>
      </c>
      <c r="G1119">
        <v>42.724110000000003</v>
      </c>
      <c r="H1119">
        <v>42.724110000000003</v>
      </c>
      <c r="I1119" t="s">
        <v>2354</v>
      </c>
    </row>
    <row r="1120" spans="1:9" x14ac:dyDescent="0.25">
      <c r="A1120" t="s">
        <v>220</v>
      </c>
      <c r="B1120" t="s">
        <v>5430</v>
      </c>
      <c r="C1120" t="s">
        <v>5530</v>
      </c>
      <c r="D1120" t="s">
        <v>7805</v>
      </c>
      <c r="F1120">
        <v>1</v>
      </c>
      <c r="G1120">
        <v>66.018649999999994</v>
      </c>
      <c r="H1120">
        <v>66.018649999999994</v>
      </c>
      <c r="I1120" t="s">
        <v>2354</v>
      </c>
    </row>
    <row r="1121" spans="1:9" x14ac:dyDescent="0.25">
      <c r="A1121" t="s">
        <v>220</v>
      </c>
      <c r="B1121" t="s">
        <v>5430</v>
      </c>
      <c r="C1121" t="s">
        <v>7806</v>
      </c>
      <c r="D1121" t="s">
        <v>7807</v>
      </c>
      <c r="F1121">
        <v>4</v>
      </c>
      <c r="G1121">
        <v>42.722999999999999</v>
      </c>
      <c r="H1121">
        <v>170.892</v>
      </c>
      <c r="I1121" t="s">
        <v>2354</v>
      </c>
    </row>
    <row r="1122" spans="1:9" x14ac:dyDescent="0.25">
      <c r="A1122" t="s">
        <v>220</v>
      </c>
      <c r="B1122" t="s">
        <v>5430</v>
      </c>
      <c r="C1122" t="s">
        <v>7808</v>
      </c>
      <c r="D1122" t="s">
        <v>7809</v>
      </c>
      <c r="F1122">
        <v>1</v>
      </c>
      <c r="G1122">
        <v>0</v>
      </c>
      <c r="H1122">
        <v>0</v>
      </c>
      <c r="I1122" t="s">
        <v>2354</v>
      </c>
    </row>
    <row r="1123" spans="1:9" x14ac:dyDescent="0.25">
      <c r="A1123" t="s">
        <v>220</v>
      </c>
      <c r="B1123" t="s">
        <v>5430</v>
      </c>
      <c r="C1123" t="s">
        <v>5536</v>
      </c>
      <c r="D1123" t="s">
        <v>7810</v>
      </c>
      <c r="F1123">
        <v>1</v>
      </c>
      <c r="G1123">
        <v>0</v>
      </c>
      <c r="H1123">
        <v>0</v>
      </c>
      <c r="I1123" t="s">
        <v>2354</v>
      </c>
    </row>
    <row r="1124" spans="1:9" x14ac:dyDescent="0.25">
      <c r="A1124" t="s">
        <v>220</v>
      </c>
      <c r="B1124" t="s">
        <v>5430</v>
      </c>
      <c r="C1124" t="s">
        <v>5538</v>
      </c>
      <c r="D1124" t="s">
        <v>7811</v>
      </c>
      <c r="F1124">
        <v>5</v>
      </c>
      <c r="G1124">
        <v>136.35</v>
      </c>
      <c r="H1124">
        <v>681.75</v>
      </c>
      <c r="I1124" t="s">
        <v>2354</v>
      </c>
    </row>
    <row r="1125" spans="1:9" x14ac:dyDescent="0.25">
      <c r="A1125" t="s">
        <v>220</v>
      </c>
      <c r="B1125" t="s">
        <v>5430</v>
      </c>
      <c r="C1125" t="s">
        <v>7812</v>
      </c>
      <c r="D1125" t="s">
        <v>7813</v>
      </c>
      <c r="F1125">
        <v>1</v>
      </c>
      <c r="G1125">
        <v>1208.9567500000001</v>
      </c>
      <c r="H1125">
        <v>1208.9567500000001</v>
      </c>
      <c r="I1125" t="s">
        <v>2354</v>
      </c>
    </row>
    <row r="1126" spans="1:9" x14ac:dyDescent="0.25">
      <c r="A1126" t="s">
        <v>220</v>
      </c>
      <c r="B1126" t="s">
        <v>5430</v>
      </c>
      <c r="C1126" t="s">
        <v>5542</v>
      </c>
      <c r="D1126" t="s">
        <v>7814</v>
      </c>
      <c r="F1126">
        <v>1</v>
      </c>
      <c r="G1126">
        <v>292.69799999999998</v>
      </c>
      <c r="H1126">
        <v>292.69799999999998</v>
      </c>
      <c r="I1126" t="s">
        <v>2354</v>
      </c>
    </row>
    <row r="1127" spans="1:9" x14ac:dyDescent="0.25">
      <c r="A1127" t="s">
        <v>220</v>
      </c>
      <c r="B1127" t="s">
        <v>5430</v>
      </c>
      <c r="C1127" t="s">
        <v>5546</v>
      </c>
      <c r="D1127" t="s">
        <v>7815</v>
      </c>
      <c r="F1127">
        <v>3</v>
      </c>
      <c r="G1127">
        <v>724.51649999999995</v>
      </c>
      <c r="H1127">
        <v>2173.5495000000001</v>
      </c>
      <c r="I1127" t="s">
        <v>2354</v>
      </c>
    </row>
    <row r="1128" spans="1:9" x14ac:dyDescent="0.25">
      <c r="A1128" t="s">
        <v>220</v>
      </c>
      <c r="B1128" t="s">
        <v>5430</v>
      </c>
      <c r="C1128" t="s">
        <v>5548</v>
      </c>
      <c r="D1128" t="s">
        <v>7816</v>
      </c>
      <c r="F1128">
        <v>2</v>
      </c>
      <c r="G1128">
        <v>20.55725</v>
      </c>
      <c r="H1128">
        <v>41.1145</v>
      </c>
      <c r="I1128" t="s">
        <v>2354</v>
      </c>
    </row>
    <row r="1129" spans="1:9" x14ac:dyDescent="0.25">
      <c r="A1129" t="s">
        <v>220</v>
      </c>
      <c r="B1129" t="s">
        <v>5430</v>
      </c>
      <c r="C1129" t="s">
        <v>7817</v>
      </c>
      <c r="D1129" t="s">
        <v>7818</v>
      </c>
      <c r="F1129">
        <v>2</v>
      </c>
      <c r="G1129">
        <v>0</v>
      </c>
      <c r="H1129">
        <v>0</v>
      </c>
      <c r="I1129" t="s">
        <v>2354</v>
      </c>
    </row>
    <row r="1130" spans="1:9" x14ac:dyDescent="0.25">
      <c r="A1130" t="s">
        <v>220</v>
      </c>
      <c r="B1130" t="s">
        <v>5430</v>
      </c>
      <c r="C1130" t="s">
        <v>5552</v>
      </c>
      <c r="D1130" t="s">
        <v>7819</v>
      </c>
      <c r="F1130">
        <v>4</v>
      </c>
      <c r="G1130">
        <v>430.26</v>
      </c>
      <c r="H1130">
        <v>1721.04</v>
      </c>
      <c r="I1130" t="s">
        <v>2354</v>
      </c>
    </row>
    <row r="1131" spans="1:9" x14ac:dyDescent="0.25">
      <c r="A1131" t="s">
        <v>220</v>
      </c>
      <c r="B1131" t="s">
        <v>5430</v>
      </c>
      <c r="C1131" t="s">
        <v>5554</v>
      </c>
      <c r="D1131" t="s">
        <v>5555</v>
      </c>
      <c r="F1131">
        <v>4</v>
      </c>
      <c r="G1131">
        <v>101.85850000000001</v>
      </c>
      <c r="H1131">
        <v>407.43400000000003</v>
      </c>
      <c r="I1131" t="s">
        <v>2354</v>
      </c>
    </row>
    <row r="1132" spans="1:9" x14ac:dyDescent="0.25">
      <c r="A1132" t="s">
        <v>220</v>
      </c>
      <c r="B1132" t="s">
        <v>5430</v>
      </c>
      <c r="C1132" t="s">
        <v>5556</v>
      </c>
      <c r="D1132" t="s">
        <v>7820</v>
      </c>
      <c r="F1132">
        <v>14</v>
      </c>
      <c r="G1132">
        <v>24.24</v>
      </c>
      <c r="H1132">
        <v>339.35999999999996</v>
      </c>
      <c r="I1132" t="s">
        <v>2354</v>
      </c>
    </row>
    <row r="1133" spans="1:9" x14ac:dyDescent="0.25">
      <c r="A1133" t="s">
        <v>220</v>
      </c>
      <c r="B1133" t="s">
        <v>5430</v>
      </c>
      <c r="C1133" t="s">
        <v>5558</v>
      </c>
      <c r="D1133" t="s">
        <v>7821</v>
      </c>
      <c r="F1133">
        <v>16</v>
      </c>
      <c r="G1133">
        <v>27.774999999999999</v>
      </c>
      <c r="H1133">
        <v>444.4</v>
      </c>
      <c r="I1133" t="s">
        <v>2354</v>
      </c>
    </row>
    <row r="1134" spans="1:9" x14ac:dyDescent="0.25">
      <c r="A1134" t="s">
        <v>220</v>
      </c>
      <c r="B1134" t="s">
        <v>5430</v>
      </c>
      <c r="C1134" t="s">
        <v>5560</v>
      </c>
      <c r="D1134" t="s">
        <v>7822</v>
      </c>
      <c r="F1134">
        <v>15</v>
      </c>
      <c r="G1134">
        <v>589.88173333333327</v>
      </c>
      <c r="H1134">
        <v>8848.2259999999987</v>
      </c>
      <c r="I1134" t="s">
        <v>2354</v>
      </c>
    </row>
    <row r="1135" spans="1:9" x14ac:dyDescent="0.25">
      <c r="A1135" t="s">
        <v>220</v>
      </c>
      <c r="B1135" t="s">
        <v>5430</v>
      </c>
      <c r="C1135" t="s">
        <v>5562</v>
      </c>
      <c r="D1135" t="s">
        <v>7823</v>
      </c>
      <c r="F1135">
        <v>100</v>
      </c>
      <c r="G1135">
        <v>111.1</v>
      </c>
      <c r="H1135">
        <v>11110</v>
      </c>
      <c r="I1135" t="s">
        <v>2354</v>
      </c>
    </row>
    <row r="1136" spans="1:9" x14ac:dyDescent="0.25">
      <c r="A1136" t="s">
        <v>220</v>
      </c>
      <c r="B1136" t="s">
        <v>5430</v>
      </c>
      <c r="C1136" t="s">
        <v>5564</v>
      </c>
      <c r="D1136" t="s">
        <v>7824</v>
      </c>
      <c r="F1136">
        <v>25</v>
      </c>
      <c r="G1136">
        <v>50.5</v>
      </c>
      <c r="H1136">
        <v>1262.5</v>
      </c>
      <c r="I1136" t="s">
        <v>2354</v>
      </c>
    </row>
    <row r="1137" spans="1:9" x14ac:dyDescent="0.25">
      <c r="A1137" t="s">
        <v>220</v>
      </c>
      <c r="B1137" t="s">
        <v>5430</v>
      </c>
      <c r="C1137" t="s">
        <v>5566</v>
      </c>
      <c r="D1137" t="s">
        <v>7825</v>
      </c>
      <c r="F1137">
        <v>5</v>
      </c>
      <c r="G1137">
        <v>360.34687318846187</v>
      </c>
      <c r="H1137">
        <v>1801.7343659423093</v>
      </c>
      <c r="I1137" t="s">
        <v>2354</v>
      </c>
    </row>
    <row r="1138" spans="1:9" x14ac:dyDescent="0.25">
      <c r="A1138" t="s">
        <v>220</v>
      </c>
      <c r="B1138" t="s">
        <v>5430</v>
      </c>
      <c r="C1138" t="s">
        <v>7826</v>
      </c>
      <c r="D1138" t="s">
        <v>7827</v>
      </c>
      <c r="F1138">
        <v>1</v>
      </c>
      <c r="G1138">
        <v>7550.1865399999997</v>
      </c>
      <c r="H1138">
        <v>7550.1865399999997</v>
      </c>
      <c r="I1138" t="s">
        <v>2354</v>
      </c>
    </row>
    <row r="1139" spans="1:9" x14ac:dyDescent="0.25">
      <c r="A1139" t="s">
        <v>220</v>
      </c>
      <c r="B1139" t="s">
        <v>5430</v>
      </c>
      <c r="C1139" t="s">
        <v>5576</v>
      </c>
      <c r="D1139" t="s">
        <v>7828</v>
      </c>
      <c r="F1139">
        <v>1</v>
      </c>
      <c r="G1139">
        <v>919.81967999999995</v>
      </c>
      <c r="H1139">
        <v>919.81967999999995</v>
      </c>
      <c r="I1139" t="s">
        <v>2354</v>
      </c>
    </row>
    <row r="1140" spans="1:9" x14ac:dyDescent="0.25">
      <c r="A1140" t="s">
        <v>220</v>
      </c>
      <c r="B1140" t="s">
        <v>5430</v>
      </c>
      <c r="C1140" t="s">
        <v>5578</v>
      </c>
      <c r="D1140" t="s">
        <v>7829</v>
      </c>
      <c r="F1140">
        <v>1</v>
      </c>
      <c r="G1140">
        <v>478.08156500000001</v>
      </c>
      <c r="H1140">
        <v>478.08156500000001</v>
      </c>
      <c r="I1140" t="s">
        <v>2354</v>
      </c>
    </row>
    <row r="1141" spans="1:9" x14ac:dyDescent="0.25">
      <c r="A1141" t="s">
        <v>220</v>
      </c>
      <c r="B1141" t="s">
        <v>5430</v>
      </c>
      <c r="C1141" t="s">
        <v>5580</v>
      </c>
      <c r="D1141" t="s">
        <v>7830</v>
      </c>
      <c r="F1141">
        <v>1</v>
      </c>
      <c r="G1141">
        <v>365.74726500000003</v>
      </c>
      <c r="H1141">
        <v>365.74726500000003</v>
      </c>
      <c r="I1141" t="s">
        <v>2354</v>
      </c>
    </row>
    <row r="1142" spans="1:9" x14ac:dyDescent="0.25">
      <c r="A1142" t="s">
        <v>220</v>
      </c>
      <c r="B1142" t="s">
        <v>5430</v>
      </c>
      <c r="C1142" t="s">
        <v>5582</v>
      </c>
      <c r="D1142" t="s">
        <v>7831</v>
      </c>
      <c r="F1142">
        <v>1</v>
      </c>
      <c r="G1142">
        <v>651.53894000000003</v>
      </c>
      <c r="H1142">
        <v>651.53894000000003</v>
      </c>
      <c r="I1142" t="s">
        <v>2354</v>
      </c>
    </row>
    <row r="1143" spans="1:9" x14ac:dyDescent="0.25">
      <c r="A1143" t="s">
        <v>220</v>
      </c>
      <c r="B1143" t="s">
        <v>5430</v>
      </c>
      <c r="C1143" t="s">
        <v>5584</v>
      </c>
      <c r="D1143" t="s">
        <v>7832</v>
      </c>
      <c r="F1143">
        <v>1</v>
      </c>
      <c r="G1143">
        <v>63.435839999999999</v>
      </c>
      <c r="H1143">
        <v>63.435839999999999</v>
      </c>
      <c r="I1143" t="s">
        <v>2354</v>
      </c>
    </row>
    <row r="1144" spans="1:9" x14ac:dyDescent="0.25">
      <c r="A1144" t="s">
        <v>220</v>
      </c>
      <c r="B1144" t="s">
        <v>5430</v>
      </c>
      <c r="C1144" t="s">
        <v>5586</v>
      </c>
      <c r="D1144" t="s">
        <v>7833</v>
      </c>
      <c r="F1144">
        <v>1</v>
      </c>
      <c r="G1144">
        <v>1791.7320850000001</v>
      </c>
      <c r="H1144">
        <v>1791.7320850000001</v>
      </c>
      <c r="I1144" t="s">
        <v>2354</v>
      </c>
    </row>
    <row r="1145" spans="1:9" x14ac:dyDescent="0.25">
      <c r="A1145" t="s">
        <v>220</v>
      </c>
      <c r="B1145" t="s">
        <v>5430</v>
      </c>
      <c r="C1145" t="s">
        <v>5588</v>
      </c>
      <c r="D1145" t="s">
        <v>7834</v>
      </c>
      <c r="F1145">
        <v>6</v>
      </c>
      <c r="G1145">
        <v>0</v>
      </c>
      <c r="H1145">
        <v>0</v>
      </c>
      <c r="I1145" t="s">
        <v>2354</v>
      </c>
    </row>
    <row r="1146" spans="1:9" x14ac:dyDescent="0.25">
      <c r="A1146" t="s">
        <v>220</v>
      </c>
      <c r="B1146" t="s">
        <v>5430</v>
      </c>
      <c r="C1146" t="s">
        <v>5590</v>
      </c>
      <c r="D1146" t="s">
        <v>7835</v>
      </c>
      <c r="F1146">
        <v>1</v>
      </c>
      <c r="G1146">
        <v>0</v>
      </c>
      <c r="H1146">
        <v>0</v>
      </c>
      <c r="I1146" t="s">
        <v>2354</v>
      </c>
    </row>
    <row r="1147" spans="1:9" x14ac:dyDescent="0.25">
      <c r="A1147" t="s">
        <v>220</v>
      </c>
      <c r="B1147" t="s">
        <v>5430</v>
      </c>
      <c r="C1147" t="s">
        <v>5592</v>
      </c>
      <c r="D1147" t="s">
        <v>7836</v>
      </c>
      <c r="F1147">
        <v>2</v>
      </c>
      <c r="G1147">
        <v>0</v>
      </c>
      <c r="H1147">
        <v>0</v>
      </c>
      <c r="I1147" t="s">
        <v>2354</v>
      </c>
    </row>
    <row r="1148" spans="1:9" x14ac:dyDescent="0.25">
      <c r="A1148" t="s">
        <v>220</v>
      </c>
      <c r="B1148" t="s">
        <v>5430</v>
      </c>
      <c r="C1148" t="s">
        <v>5594</v>
      </c>
      <c r="D1148" t="s">
        <v>7837</v>
      </c>
      <c r="F1148">
        <v>1</v>
      </c>
      <c r="G1148">
        <v>0</v>
      </c>
      <c r="H1148">
        <v>0</v>
      </c>
      <c r="I1148" t="s">
        <v>2354</v>
      </c>
    </row>
    <row r="1149" spans="1:9" x14ac:dyDescent="0.25">
      <c r="A1149" t="s">
        <v>220</v>
      </c>
      <c r="B1149" t="s">
        <v>5430</v>
      </c>
      <c r="C1149" t="s">
        <v>5596</v>
      </c>
      <c r="D1149" t="s">
        <v>7838</v>
      </c>
      <c r="F1149">
        <v>2</v>
      </c>
      <c r="G1149">
        <v>0</v>
      </c>
      <c r="H1149">
        <v>0</v>
      </c>
      <c r="I1149" t="s">
        <v>2354</v>
      </c>
    </row>
    <row r="1150" spans="1:9" x14ac:dyDescent="0.25">
      <c r="A1150" t="s">
        <v>220</v>
      </c>
      <c r="B1150" t="s">
        <v>5430</v>
      </c>
      <c r="C1150" t="s">
        <v>5598</v>
      </c>
      <c r="D1150" t="s">
        <v>7839</v>
      </c>
      <c r="F1150">
        <v>1</v>
      </c>
      <c r="G1150">
        <v>0</v>
      </c>
      <c r="H1150">
        <v>0</v>
      </c>
      <c r="I1150" t="s">
        <v>2354</v>
      </c>
    </row>
    <row r="1151" spans="1:9" x14ac:dyDescent="0.25">
      <c r="A1151" t="s">
        <v>220</v>
      </c>
      <c r="B1151" t="s">
        <v>5430</v>
      </c>
      <c r="C1151" t="s">
        <v>5600</v>
      </c>
      <c r="D1151" t="e">
        <v>#N/A</v>
      </c>
      <c r="F1151">
        <v>1</v>
      </c>
      <c r="G1151">
        <v>0</v>
      </c>
      <c r="H1151">
        <v>0</v>
      </c>
      <c r="I1151" t="s">
        <v>2354</v>
      </c>
    </row>
    <row r="1152" spans="1:9" x14ac:dyDescent="0.25">
      <c r="A1152" t="s">
        <v>220</v>
      </c>
      <c r="B1152" t="s">
        <v>5430</v>
      </c>
      <c r="C1152" t="s">
        <v>5601</v>
      </c>
      <c r="D1152" t="s">
        <v>7840</v>
      </c>
      <c r="F1152">
        <v>2</v>
      </c>
      <c r="G1152">
        <v>0</v>
      </c>
      <c r="H1152">
        <v>0</v>
      </c>
      <c r="I1152" t="s">
        <v>2354</v>
      </c>
    </row>
    <row r="1153" spans="1:9" x14ac:dyDescent="0.25">
      <c r="A1153" t="s">
        <v>220</v>
      </c>
      <c r="B1153" t="s">
        <v>5430</v>
      </c>
      <c r="C1153" t="s">
        <v>5603</v>
      </c>
      <c r="D1153" t="s">
        <v>7841</v>
      </c>
      <c r="F1153">
        <v>3</v>
      </c>
      <c r="G1153">
        <v>0</v>
      </c>
      <c r="H1153">
        <v>0</v>
      </c>
      <c r="I1153" t="s">
        <v>2354</v>
      </c>
    </row>
    <row r="1154" spans="1:9" x14ac:dyDescent="0.25">
      <c r="A1154" t="s">
        <v>220</v>
      </c>
      <c r="B1154" t="s">
        <v>5430</v>
      </c>
      <c r="C1154" t="s">
        <v>5605</v>
      </c>
      <c r="D1154" t="s">
        <v>7842</v>
      </c>
      <c r="F1154">
        <v>2</v>
      </c>
      <c r="G1154">
        <v>0</v>
      </c>
      <c r="H1154">
        <v>0</v>
      </c>
      <c r="I1154" t="s">
        <v>2354</v>
      </c>
    </row>
    <row r="1155" spans="1:9" x14ac:dyDescent="0.25">
      <c r="A1155" t="s">
        <v>220</v>
      </c>
      <c r="B1155" t="s">
        <v>5430</v>
      </c>
      <c r="C1155" t="s">
        <v>5607</v>
      </c>
      <c r="D1155" t="s">
        <v>7843</v>
      </c>
      <c r="F1155">
        <v>1</v>
      </c>
      <c r="G1155">
        <v>0</v>
      </c>
      <c r="H1155">
        <v>0</v>
      </c>
      <c r="I1155" t="s">
        <v>2354</v>
      </c>
    </row>
    <row r="1156" spans="1:9" x14ac:dyDescent="0.25">
      <c r="A1156" t="s">
        <v>220</v>
      </c>
      <c r="B1156" t="s">
        <v>5430</v>
      </c>
      <c r="C1156" t="s">
        <v>5609</v>
      </c>
      <c r="D1156" t="s">
        <v>7844</v>
      </c>
      <c r="F1156">
        <v>1</v>
      </c>
      <c r="G1156">
        <v>0</v>
      </c>
      <c r="H1156">
        <v>0</v>
      </c>
      <c r="I1156" t="s">
        <v>2354</v>
      </c>
    </row>
    <row r="1157" spans="1:9" x14ac:dyDescent="0.25">
      <c r="A1157" t="s">
        <v>220</v>
      </c>
      <c r="B1157" t="s">
        <v>5430</v>
      </c>
      <c r="C1157" t="s">
        <v>5611</v>
      </c>
      <c r="D1157" t="s">
        <v>7845</v>
      </c>
      <c r="F1157">
        <v>1</v>
      </c>
      <c r="G1157">
        <v>0</v>
      </c>
      <c r="H1157">
        <v>0</v>
      </c>
      <c r="I1157" t="s">
        <v>2354</v>
      </c>
    </row>
    <row r="1158" spans="1:9" x14ac:dyDescent="0.25">
      <c r="A1158" t="s">
        <v>220</v>
      </c>
      <c r="B1158" t="s">
        <v>5430</v>
      </c>
      <c r="C1158" t="s">
        <v>5613</v>
      </c>
      <c r="D1158" t="s">
        <v>7846</v>
      </c>
      <c r="F1158">
        <v>1</v>
      </c>
      <c r="G1158">
        <v>0</v>
      </c>
      <c r="H1158">
        <v>0</v>
      </c>
      <c r="I1158" t="s">
        <v>2354</v>
      </c>
    </row>
    <row r="1159" spans="1:9" x14ac:dyDescent="0.25">
      <c r="A1159" t="s">
        <v>220</v>
      </c>
      <c r="B1159" t="s">
        <v>5430</v>
      </c>
      <c r="C1159" t="s">
        <v>5615</v>
      </c>
      <c r="D1159" t="s">
        <v>7847</v>
      </c>
      <c r="F1159">
        <v>2</v>
      </c>
      <c r="G1159">
        <v>0</v>
      </c>
      <c r="H1159">
        <v>0</v>
      </c>
      <c r="I1159" t="s">
        <v>2354</v>
      </c>
    </row>
    <row r="1160" spans="1:9" x14ac:dyDescent="0.25">
      <c r="A1160" t="s">
        <v>220</v>
      </c>
      <c r="B1160" t="s">
        <v>5430</v>
      </c>
      <c r="C1160" t="s">
        <v>5617</v>
      </c>
      <c r="D1160" t="s">
        <v>7848</v>
      </c>
      <c r="F1160">
        <v>1</v>
      </c>
      <c r="G1160">
        <v>0</v>
      </c>
      <c r="H1160">
        <v>0</v>
      </c>
      <c r="I1160" t="s">
        <v>2354</v>
      </c>
    </row>
    <row r="1161" spans="1:9" x14ac:dyDescent="0.25">
      <c r="A1161" t="s">
        <v>220</v>
      </c>
      <c r="B1161" t="s">
        <v>5430</v>
      </c>
      <c r="C1161" t="s">
        <v>5619</v>
      </c>
      <c r="D1161" t="s">
        <v>7849</v>
      </c>
      <c r="F1161">
        <v>1</v>
      </c>
      <c r="G1161">
        <v>0</v>
      </c>
      <c r="H1161">
        <v>0</v>
      </c>
      <c r="I1161" t="s">
        <v>2354</v>
      </c>
    </row>
    <row r="1162" spans="1:9" x14ac:dyDescent="0.25">
      <c r="A1162" t="s">
        <v>220</v>
      </c>
      <c r="B1162" t="s">
        <v>5430</v>
      </c>
      <c r="C1162" t="s">
        <v>7850</v>
      </c>
      <c r="D1162" t="s">
        <v>7851</v>
      </c>
      <c r="F1162">
        <v>1</v>
      </c>
      <c r="G1162">
        <v>0</v>
      </c>
      <c r="H1162">
        <v>0</v>
      </c>
      <c r="I1162" t="s">
        <v>2354</v>
      </c>
    </row>
    <row r="1163" spans="1:9" x14ac:dyDescent="0.25">
      <c r="A1163" t="s">
        <v>220</v>
      </c>
      <c r="B1163" t="s">
        <v>5430</v>
      </c>
      <c r="C1163" t="s">
        <v>7852</v>
      </c>
      <c r="D1163" t="s">
        <v>7853</v>
      </c>
      <c r="F1163">
        <v>1</v>
      </c>
      <c r="G1163">
        <v>0</v>
      </c>
      <c r="H1163">
        <v>0</v>
      </c>
      <c r="I1163" t="s">
        <v>2354</v>
      </c>
    </row>
    <row r="1164" spans="1:9" x14ac:dyDescent="0.25">
      <c r="A1164" t="s">
        <v>220</v>
      </c>
      <c r="B1164" t="s">
        <v>5430</v>
      </c>
      <c r="C1164" t="s">
        <v>7854</v>
      </c>
      <c r="D1164" t="s">
        <v>7855</v>
      </c>
      <c r="F1164">
        <v>1</v>
      </c>
      <c r="G1164">
        <v>0</v>
      </c>
      <c r="H1164">
        <v>0</v>
      </c>
      <c r="I1164" t="s">
        <v>2354</v>
      </c>
    </row>
    <row r="1165" spans="1:9" x14ac:dyDescent="0.25">
      <c r="A1165" t="s">
        <v>220</v>
      </c>
      <c r="B1165" t="s">
        <v>5430</v>
      </c>
      <c r="C1165" t="s">
        <v>5627</v>
      </c>
      <c r="D1165" t="s">
        <v>7856</v>
      </c>
      <c r="F1165">
        <v>2</v>
      </c>
      <c r="G1165">
        <v>0</v>
      </c>
      <c r="H1165">
        <v>0</v>
      </c>
      <c r="I1165" t="s">
        <v>2354</v>
      </c>
    </row>
    <row r="1166" spans="1:9" x14ac:dyDescent="0.25">
      <c r="A1166" t="s">
        <v>220</v>
      </c>
      <c r="B1166" t="s">
        <v>5430</v>
      </c>
      <c r="C1166" t="s">
        <v>5629</v>
      </c>
      <c r="D1166" t="s">
        <v>7857</v>
      </c>
      <c r="F1166">
        <v>1</v>
      </c>
      <c r="G1166">
        <v>1834.2945475713532</v>
      </c>
      <c r="H1166">
        <v>1834.2945475713532</v>
      </c>
      <c r="I1166" t="s">
        <v>2354</v>
      </c>
    </row>
    <row r="1167" spans="1:9" x14ac:dyDescent="0.25">
      <c r="A1167" t="s">
        <v>220</v>
      </c>
      <c r="B1167" t="s">
        <v>5430</v>
      </c>
      <c r="C1167" t="s">
        <v>5631</v>
      </c>
      <c r="D1167" t="s">
        <v>5632</v>
      </c>
      <c r="F1167">
        <v>7</v>
      </c>
      <c r="G1167">
        <v>600</v>
      </c>
      <c r="H1167">
        <v>4200</v>
      </c>
      <c r="I1167" t="s">
        <v>2354</v>
      </c>
    </row>
    <row r="1168" spans="1:9" x14ac:dyDescent="0.25">
      <c r="A1168" t="s">
        <v>220</v>
      </c>
      <c r="B1168" t="s">
        <v>5430</v>
      </c>
      <c r="C1168" t="s">
        <v>5633</v>
      </c>
      <c r="D1168" t="s">
        <v>7858</v>
      </c>
      <c r="F1168">
        <v>3</v>
      </c>
      <c r="G1168">
        <v>0</v>
      </c>
      <c r="H1168">
        <v>0</v>
      </c>
      <c r="I1168" t="s">
        <v>2354</v>
      </c>
    </row>
    <row r="1169" spans="1:9" x14ac:dyDescent="0.25">
      <c r="A1169" t="s">
        <v>220</v>
      </c>
      <c r="B1169" t="s">
        <v>5430</v>
      </c>
      <c r="C1169" t="s">
        <v>5635</v>
      </c>
      <c r="D1169" t="s">
        <v>7859</v>
      </c>
      <c r="F1169">
        <v>4</v>
      </c>
      <c r="G1169">
        <v>0</v>
      </c>
      <c r="H1169">
        <v>0</v>
      </c>
      <c r="I1169" t="s">
        <v>2354</v>
      </c>
    </row>
    <row r="1170" spans="1:9" x14ac:dyDescent="0.25">
      <c r="A1170" t="s">
        <v>220</v>
      </c>
      <c r="B1170" t="s">
        <v>5430</v>
      </c>
      <c r="C1170" t="s">
        <v>5637</v>
      </c>
      <c r="D1170" t="s">
        <v>7860</v>
      </c>
      <c r="F1170">
        <v>5</v>
      </c>
      <c r="G1170">
        <v>120.39981269751891</v>
      </c>
      <c r="H1170">
        <v>601.99906348759453</v>
      </c>
      <c r="I1170" t="s">
        <v>2354</v>
      </c>
    </row>
    <row r="1171" spans="1:9" x14ac:dyDescent="0.25">
      <c r="A1171" t="s">
        <v>220</v>
      </c>
      <c r="B1171" t="s">
        <v>5430</v>
      </c>
      <c r="C1171" t="s">
        <v>5639</v>
      </c>
      <c r="D1171" t="s">
        <v>7861</v>
      </c>
      <c r="F1171">
        <v>2</v>
      </c>
      <c r="G1171">
        <v>1028.194</v>
      </c>
      <c r="H1171">
        <v>2056.3879999999999</v>
      </c>
      <c r="I1171" t="s">
        <v>2354</v>
      </c>
    </row>
    <row r="1172" spans="1:9" x14ac:dyDescent="0.25">
      <c r="A1172" t="s">
        <v>220</v>
      </c>
      <c r="B1172" t="s">
        <v>5430</v>
      </c>
      <c r="C1172" t="s">
        <v>7862</v>
      </c>
      <c r="D1172" t="s">
        <v>7863</v>
      </c>
      <c r="F1172">
        <v>2</v>
      </c>
      <c r="G1172">
        <v>0</v>
      </c>
      <c r="H1172">
        <v>0</v>
      </c>
      <c r="I1172" t="s">
        <v>2354</v>
      </c>
    </row>
    <row r="1173" spans="1:9" x14ac:dyDescent="0.25">
      <c r="A1173" t="s">
        <v>220</v>
      </c>
      <c r="B1173" t="s">
        <v>5430</v>
      </c>
      <c r="C1173" t="s">
        <v>5643</v>
      </c>
      <c r="D1173" t="s">
        <v>7864</v>
      </c>
      <c r="F1173">
        <v>24</v>
      </c>
      <c r="G1173">
        <v>29.393000000000001</v>
      </c>
      <c r="H1173">
        <v>705.43200000000002</v>
      </c>
      <c r="I1173" t="s">
        <v>2354</v>
      </c>
    </row>
    <row r="1174" spans="1:9" x14ac:dyDescent="0.25">
      <c r="A1174" t="s">
        <v>220</v>
      </c>
      <c r="B1174" t="s">
        <v>5430</v>
      </c>
      <c r="C1174" t="s">
        <v>5645</v>
      </c>
      <c r="D1174" t="s">
        <v>7865</v>
      </c>
      <c r="F1174">
        <v>12</v>
      </c>
      <c r="G1174">
        <v>41.150199999999998</v>
      </c>
      <c r="H1174">
        <v>493.80239999999998</v>
      </c>
      <c r="I1174" t="s">
        <v>2354</v>
      </c>
    </row>
    <row r="1175" spans="1:9" x14ac:dyDescent="0.25">
      <c r="A1175" t="s">
        <v>220</v>
      </c>
      <c r="B1175" t="s">
        <v>5430</v>
      </c>
      <c r="C1175" t="s">
        <v>5647</v>
      </c>
      <c r="D1175" t="s">
        <v>7866</v>
      </c>
      <c r="F1175">
        <v>8</v>
      </c>
      <c r="G1175">
        <v>49.9681</v>
      </c>
      <c r="H1175">
        <v>399.7448</v>
      </c>
      <c r="I1175" t="s">
        <v>2354</v>
      </c>
    </row>
    <row r="1176" spans="1:9" x14ac:dyDescent="0.25">
      <c r="A1176" t="s">
        <v>220</v>
      </c>
      <c r="B1176" t="s">
        <v>5430</v>
      </c>
      <c r="C1176" t="s">
        <v>5649</v>
      </c>
      <c r="D1176" t="s">
        <v>7867</v>
      </c>
      <c r="F1176">
        <v>24</v>
      </c>
      <c r="G1176">
        <v>29.393000000000001</v>
      </c>
      <c r="H1176">
        <v>705.43200000000002</v>
      </c>
      <c r="I1176" t="s">
        <v>2354</v>
      </c>
    </row>
    <row r="1177" spans="1:9" x14ac:dyDescent="0.25">
      <c r="A1177" t="s">
        <v>220</v>
      </c>
      <c r="B1177" t="s">
        <v>5430</v>
      </c>
      <c r="C1177" t="s">
        <v>5651</v>
      </c>
      <c r="D1177" t="s">
        <v>7868</v>
      </c>
      <c r="F1177">
        <v>4</v>
      </c>
      <c r="G1177">
        <v>38.210900000000002</v>
      </c>
      <c r="H1177">
        <v>152.84360000000001</v>
      </c>
      <c r="I1177" t="s">
        <v>2354</v>
      </c>
    </row>
    <row r="1178" spans="1:9" x14ac:dyDescent="0.25">
      <c r="A1178" t="s">
        <v>220</v>
      </c>
      <c r="B1178" t="s">
        <v>5430</v>
      </c>
      <c r="C1178" t="s">
        <v>5653</v>
      </c>
      <c r="D1178" t="s">
        <v>7869</v>
      </c>
      <c r="F1178">
        <v>16</v>
      </c>
      <c r="G1178">
        <v>44.089500000000001</v>
      </c>
      <c r="H1178">
        <v>705.43200000000002</v>
      </c>
      <c r="I1178" t="s">
        <v>2354</v>
      </c>
    </row>
    <row r="1179" spans="1:9" x14ac:dyDescent="0.25">
      <c r="A1179" t="s">
        <v>220</v>
      </c>
      <c r="B1179" t="s">
        <v>5430</v>
      </c>
      <c r="C1179" t="s">
        <v>5655</v>
      </c>
      <c r="D1179" t="s">
        <v>7870</v>
      </c>
      <c r="F1179">
        <v>1</v>
      </c>
      <c r="G1179">
        <v>277.1277</v>
      </c>
      <c r="H1179">
        <v>277.1277</v>
      </c>
      <c r="I1179" t="s">
        <v>2354</v>
      </c>
    </row>
    <row r="1180" spans="1:9" x14ac:dyDescent="0.25">
      <c r="A1180" t="s">
        <v>220</v>
      </c>
      <c r="B1180" t="s">
        <v>5430</v>
      </c>
      <c r="C1180" t="s">
        <v>7871</v>
      </c>
      <c r="D1180" t="s">
        <v>7872</v>
      </c>
      <c r="F1180">
        <v>1</v>
      </c>
      <c r="G1180">
        <v>294.72045000000003</v>
      </c>
      <c r="H1180">
        <v>294.72045000000003</v>
      </c>
      <c r="I1180" t="s">
        <v>2354</v>
      </c>
    </row>
    <row r="1181" spans="1:9" x14ac:dyDescent="0.25">
      <c r="A1181" t="s">
        <v>220</v>
      </c>
      <c r="B1181" t="s">
        <v>5430</v>
      </c>
      <c r="C1181" t="s">
        <v>2638</v>
      </c>
      <c r="D1181" t="s">
        <v>7873</v>
      </c>
      <c r="F1181">
        <v>1</v>
      </c>
      <c r="G1181">
        <v>40</v>
      </c>
      <c r="H1181">
        <v>40</v>
      </c>
      <c r="I1181" t="s">
        <v>2354</v>
      </c>
    </row>
    <row r="1182" spans="1:9" x14ac:dyDescent="0.25">
      <c r="A1182" t="s">
        <v>220</v>
      </c>
      <c r="B1182" t="s">
        <v>5430</v>
      </c>
      <c r="C1182" t="s">
        <v>5658</v>
      </c>
      <c r="D1182" t="s">
        <v>7874</v>
      </c>
      <c r="F1182">
        <v>3</v>
      </c>
      <c r="G1182">
        <v>61.205999999999996</v>
      </c>
      <c r="H1182">
        <v>183.61799999999999</v>
      </c>
      <c r="I1182" t="s">
        <v>2354</v>
      </c>
    </row>
    <row r="1183" spans="1:9" x14ac:dyDescent="0.25">
      <c r="A1183" t="s">
        <v>220</v>
      </c>
      <c r="B1183" t="s">
        <v>5430</v>
      </c>
      <c r="C1183" t="s">
        <v>5662</v>
      </c>
      <c r="D1183" t="s">
        <v>7875</v>
      </c>
      <c r="F1183">
        <v>1</v>
      </c>
      <c r="G1183">
        <v>230.4</v>
      </c>
      <c r="H1183">
        <v>230.4</v>
      </c>
      <c r="I1183" t="s">
        <v>2354</v>
      </c>
    </row>
    <row r="1184" spans="1:9" x14ac:dyDescent="0.25">
      <c r="A1184" t="s">
        <v>220</v>
      </c>
      <c r="B1184" t="s">
        <v>5430</v>
      </c>
      <c r="C1184" t="s">
        <v>5664</v>
      </c>
      <c r="D1184" t="s">
        <v>7876</v>
      </c>
      <c r="F1184">
        <v>20</v>
      </c>
      <c r="G1184">
        <v>36</v>
      </c>
      <c r="H1184">
        <v>720</v>
      </c>
      <c r="I1184" t="s">
        <v>2354</v>
      </c>
    </row>
    <row r="1185" spans="1:9" x14ac:dyDescent="0.25">
      <c r="A1185" t="s">
        <v>220</v>
      </c>
      <c r="B1185" t="s">
        <v>5430</v>
      </c>
      <c r="C1185" t="s">
        <v>5666</v>
      </c>
      <c r="D1185" t="s">
        <v>7877</v>
      </c>
      <c r="F1185">
        <v>1</v>
      </c>
      <c r="G1185">
        <v>7068.2111999999997</v>
      </c>
      <c r="H1185">
        <v>7068.2111999999997</v>
      </c>
      <c r="I1185" t="s">
        <v>2354</v>
      </c>
    </row>
    <row r="1186" spans="1:9" x14ac:dyDescent="0.25">
      <c r="A1186" t="s">
        <v>220</v>
      </c>
      <c r="B1186" t="s">
        <v>5430</v>
      </c>
      <c r="C1186" t="s">
        <v>7878</v>
      </c>
      <c r="D1186" t="s">
        <v>7879</v>
      </c>
      <c r="F1186">
        <v>1</v>
      </c>
      <c r="G1186">
        <v>1077.481675</v>
      </c>
      <c r="H1186">
        <v>1077.481675</v>
      </c>
      <c r="I1186" t="s">
        <v>2354</v>
      </c>
    </row>
    <row r="1187" spans="1:9" x14ac:dyDescent="0.25">
      <c r="A1187" t="s">
        <v>220</v>
      </c>
      <c r="B1187" t="s">
        <v>5430</v>
      </c>
      <c r="C1187" t="s">
        <v>5670</v>
      </c>
      <c r="D1187" t="s">
        <v>7880</v>
      </c>
      <c r="F1187">
        <v>1</v>
      </c>
      <c r="G1187">
        <v>179.48175000000001</v>
      </c>
      <c r="H1187">
        <v>179.48175000000001</v>
      </c>
      <c r="I1187" t="s">
        <v>2354</v>
      </c>
    </row>
    <row r="1188" spans="1:9" x14ac:dyDescent="0.25">
      <c r="A1188" t="s">
        <v>220</v>
      </c>
      <c r="B1188" t="s">
        <v>5430</v>
      </c>
      <c r="C1188" t="s">
        <v>5674</v>
      </c>
      <c r="D1188" t="s">
        <v>7881</v>
      </c>
      <c r="F1188">
        <v>1</v>
      </c>
      <c r="G1188">
        <v>327.63240000000002</v>
      </c>
      <c r="H1188">
        <v>327.63240000000002</v>
      </c>
      <c r="I1188" t="s">
        <v>2354</v>
      </c>
    </row>
    <row r="1189" spans="1:9" x14ac:dyDescent="0.25">
      <c r="A1189" t="s">
        <v>220</v>
      </c>
      <c r="B1189" t="s">
        <v>5430</v>
      </c>
      <c r="C1189" t="s">
        <v>5676</v>
      </c>
      <c r="D1189" t="s">
        <v>7882</v>
      </c>
      <c r="F1189">
        <v>8</v>
      </c>
      <c r="G1189">
        <v>79.11</v>
      </c>
      <c r="H1189">
        <v>632.88</v>
      </c>
      <c r="I1189" t="s">
        <v>2354</v>
      </c>
    </row>
    <row r="1190" spans="1:9" x14ac:dyDescent="0.25">
      <c r="A1190" t="s">
        <v>220</v>
      </c>
      <c r="B1190" t="s">
        <v>5430</v>
      </c>
      <c r="C1190" t="s">
        <v>2740</v>
      </c>
      <c r="D1190" t="s">
        <v>7883</v>
      </c>
      <c r="F1190">
        <v>3</v>
      </c>
      <c r="G1190">
        <v>10.101692307692307</v>
      </c>
      <c r="H1190">
        <v>30.305076923076921</v>
      </c>
      <c r="I1190" t="s">
        <v>2354</v>
      </c>
    </row>
    <row r="1191" spans="1:9" x14ac:dyDescent="0.25">
      <c r="A1191" t="s">
        <v>220</v>
      </c>
      <c r="B1191" t="s">
        <v>5430</v>
      </c>
      <c r="C1191" t="s">
        <v>5687</v>
      </c>
      <c r="D1191" t="s">
        <v>7884</v>
      </c>
      <c r="F1191">
        <v>6</v>
      </c>
      <c r="G1191">
        <v>28.229260000000004</v>
      </c>
      <c r="H1191">
        <v>169.37556000000001</v>
      </c>
      <c r="I1191" t="s">
        <v>2354</v>
      </c>
    </row>
    <row r="1192" spans="1:9" x14ac:dyDescent="0.25">
      <c r="A1192" t="s">
        <v>220</v>
      </c>
      <c r="B1192" t="s">
        <v>5430</v>
      </c>
      <c r="C1192" t="s">
        <v>5689</v>
      </c>
      <c r="D1192" t="s">
        <v>7885</v>
      </c>
      <c r="F1192">
        <v>5</v>
      </c>
      <c r="G1192">
        <v>26.079000000000001</v>
      </c>
      <c r="H1192">
        <v>130.39500000000001</v>
      </c>
      <c r="I1192" t="s">
        <v>2354</v>
      </c>
    </row>
    <row r="1193" spans="1:9" x14ac:dyDescent="0.25">
      <c r="A1193" t="s">
        <v>220</v>
      </c>
      <c r="B1193" t="s">
        <v>5430</v>
      </c>
      <c r="C1193" t="s">
        <v>5691</v>
      </c>
      <c r="D1193" t="s">
        <v>7886</v>
      </c>
      <c r="F1193">
        <v>3</v>
      </c>
      <c r="G1193">
        <v>46.35</v>
      </c>
      <c r="H1193">
        <v>139.05000000000001</v>
      </c>
      <c r="I1193" t="s">
        <v>2354</v>
      </c>
    </row>
    <row r="1194" spans="1:9" x14ac:dyDescent="0.25">
      <c r="A1194" t="s">
        <v>220</v>
      </c>
      <c r="B1194" t="s">
        <v>5430</v>
      </c>
      <c r="C1194" t="s">
        <v>5693</v>
      </c>
      <c r="D1194" t="s">
        <v>7887</v>
      </c>
      <c r="F1194">
        <v>9</v>
      </c>
      <c r="G1194">
        <v>18.3933</v>
      </c>
      <c r="H1194">
        <v>165.53970000000001</v>
      </c>
      <c r="I1194" t="s">
        <v>2354</v>
      </c>
    </row>
    <row r="1195" spans="1:9" x14ac:dyDescent="0.25">
      <c r="A1195" t="s">
        <v>220</v>
      </c>
      <c r="B1195" t="s">
        <v>5430</v>
      </c>
      <c r="C1195" t="s">
        <v>5695</v>
      </c>
      <c r="D1195" t="s">
        <v>7888</v>
      </c>
      <c r="F1195">
        <v>1</v>
      </c>
      <c r="G1195">
        <v>275.67</v>
      </c>
      <c r="H1195">
        <v>275.67</v>
      </c>
      <c r="I1195" t="s">
        <v>2354</v>
      </c>
    </row>
    <row r="1196" spans="1:9" x14ac:dyDescent="0.25">
      <c r="A1196" t="s">
        <v>220</v>
      </c>
      <c r="B1196" t="s">
        <v>5430</v>
      </c>
      <c r="C1196" t="s">
        <v>5697</v>
      </c>
      <c r="D1196" t="s">
        <v>7889</v>
      </c>
      <c r="F1196">
        <v>1</v>
      </c>
      <c r="G1196">
        <v>93.42</v>
      </c>
      <c r="H1196">
        <v>93.42</v>
      </c>
      <c r="I1196" t="s">
        <v>2354</v>
      </c>
    </row>
    <row r="1197" spans="1:9" x14ac:dyDescent="0.25">
      <c r="A1197" t="s">
        <v>220</v>
      </c>
      <c r="B1197" t="s">
        <v>5430</v>
      </c>
      <c r="C1197" t="s">
        <v>5699</v>
      </c>
      <c r="D1197" t="s">
        <v>7890</v>
      </c>
      <c r="F1197">
        <v>7</v>
      </c>
      <c r="G1197">
        <v>45.747749999999996</v>
      </c>
      <c r="H1197">
        <v>320.23424999999997</v>
      </c>
      <c r="I1197" t="s">
        <v>2354</v>
      </c>
    </row>
    <row r="1198" spans="1:9" x14ac:dyDescent="0.25">
      <c r="A1198" t="s">
        <v>220</v>
      </c>
      <c r="B1198" t="s">
        <v>5430</v>
      </c>
      <c r="C1198" t="s">
        <v>5701</v>
      </c>
      <c r="D1198" t="s">
        <v>7891</v>
      </c>
      <c r="F1198">
        <v>4</v>
      </c>
      <c r="G1198">
        <v>6.7949999999999999</v>
      </c>
      <c r="H1198">
        <v>27.18</v>
      </c>
      <c r="I1198" t="s">
        <v>2354</v>
      </c>
    </row>
    <row r="1199" spans="1:9" x14ac:dyDescent="0.25">
      <c r="A1199" t="s">
        <v>220</v>
      </c>
      <c r="B1199" t="s">
        <v>5430</v>
      </c>
      <c r="C1199" t="s">
        <v>5703</v>
      </c>
      <c r="D1199" t="s">
        <v>7892</v>
      </c>
      <c r="F1199">
        <v>2</v>
      </c>
      <c r="G1199">
        <v>0</v>
      </c>
      <c r="H1199">
        <v>0</v>
      </c>
      <c r="I1199" t="s">
        <v>2354</v>
      </c>
    </row>
    <row r="1200" spans="1:9" x14ac:dyDescent="0.25">
      <c r="A1200" t="s">
        <v>220</v>
      </c>
      <c r="B1200" t="s">
        <v>5430</v>
      </c>
      <c r="C1200" t="s">
        <v>5705</v>
      </c>
      <c r="D1200" t="s">
        <v>7893</v>
      </c>
      <c r="F1200">
        <v>2</v>
      </c>
      <c r="G1200">
        <v>0</v>
      </c>
      <c r="H1200">
        <v>0</v>
      </c>
      <c r="I1200" t="s">
        <v>2354</v>
      </c>
    </row>
    <row r="1201" spans="1:9" x14ac:dyDescent="0.25">
      <c r="A1201" t="s">
        <v>220</v>
      </c>
      <c r="B1201" t="s">
        <v>5430</v>
      </c>
      <c r="C1201" t="s">
        <v>5707</v>
      </c>
      <c r="D1201" t="s">
        <v>7894</v>
      </c>
      <c r="F1201">
        <v>1</v>
      </c>
      <c r="G1201">
        <v>0</v>
      </c>
      <c r="H1201">
        <v>0</v>
      </c>
      <c r="I1201" t="s">
        <v>2354</v>
      </c>
    </row>
    <row r="1202" spans="1:9" x14ac:dyDescent="0.25">
      <c r="A1202" t="s">
        <v>220</v>
      </c>
      <c r="B1202" t="s">
        <v>5430</v>
      </c>
      <c r="C1202" t="s">
        <v>5709</v>
      </c>
      <c r="D1202" t="s">
        <v>7895</v>
      </c>
      <c r="F1202">
        <v>2</v>
      </c>
      <c r="G1202">
        <v>0</v>
      </c>
      <c r="H1202">
        <v>0</v>
      </c>
      <c r="I1202" t="s">
        <v>2354</v>
      </c>
    </row>
    <row r="1203" spans="1:9" x14ac:dyDescent="0.25">
      <c r="A1203" t="s">
        <v>220</v>
      </c>
      <c r="B1203" t="s">
        <v>5430</v>
      </c>
      <c r="C1203" t="s">
        <v>5711</v>
      </c>
      <c r="D1203" t="s">
        <v>7896</v>
      </c>
      <c r="F1203">
        <v>5</v>
      </c>
      <c r="G1203">
        <v>31.806000000000001</v>
      </c>
      <c r="H1203">
        <v>159.03</v>
      </c>
      <c r="I1203" t="s">
        <v>2354</v>
      </c>
    </row>
    <row r="1204" spans="1:9" x14ac:dyDescent="0.25">
      <c r="A1204" t="s">
        <v>220</v>
      </c>
      <c r="B1204" t="s">
        <v>5430</v>
      </c>
      <c r="C1204" t="s">
        <v>5713</v>
      </c>
      <c r="D1204" t="s">
        <v>7897</v>
      </c>
      <c r="F1204">
        <v>5</v>
      </c>
      <c r="G1204">
        <v>39.33</v>
      </c>
      <c r="H1204">
        <v>196.64999999999998</v>
      </c>
      <c r="I1204" t="s">
        <v>2354</v>
      </c>
    </row>
    <row r="1205" spans="1:9" x14ac:dyDescent="0.25">
      <c r="A1205" t="s">
        <v>220</v>
      </c>
      <c r="B1205" t="s">
        <v>5430</v>
      </c>
      <c r="C1205" t="s">
        <v>5715</v>
      </c>
      <c r="D1205" t="s">
        <v>7898</v>
      </c>
      <c r="F1205">
        <v>1</v>
      </c>
      <c r="G1205">
        <v>37.08</v>
      </c>
      <c r="H1205">
        <v>37.08</v>
      </c>
      <c r="I1205" t="s">
        <v>2354</v>
      </c>
    </row>
    <row r="1206" spans="1:9" x14ac:dyDescent="0.25">
      <c r="A1206" t="s">
        <v>220</v>
      </c>
      <c r="B1206" t="s">
        <v>5430</v>
      </c>
      <c r="C1206" t="s">
        <v>5717</v>
      </c>
      <c r="D1206" t="s">
        <v>5718</v>
      </c>
      <c r="F1206">
        <v>4</v>
      </c>
      <c r="G1206">
        <v>19.8</v>
      </c>
      <c r="H1206">
        <v>79.2</v>
      </c>
      <c r="I1206" t="s">
        <v>2354</v>
      </c>
    </row>
    <row r="1207" spans="1:9" x14ac:dyDescent="0.25">
      <c r="A1207" t="s">
        <v>220</v>
      </c>
      <c r="B1207" t="s">
        <v>5430</v>
      </c>
      <c r="C1207" t="s">
        <v>5719</v>
      </c>
      <c r="D1207" t="s">
        <v>7899</v>
      </c>
      <c r="F1207">
        <v>1</v>
      </c>
      <c r="G1207">
        <v>29.7</v>
      </c>
      <c r="H1207">
        <v>29.7</v>
      </c>
      <c r="I1207" t="s">
        <v>2354</v>
      </c>
    </row>
    <row r="1208" spans="1:9" x14ac:dyDescent="0.25">
      <c r="A1208" t="s">
        <v>220</v>
      </c>
      <c r="B1208" t="s">
        <v>5430</v>
      </c>
      <c r="C1208" t="s">
        <v>5721</v>
      </c>
      <c r="D1208" t="s">
        <v>7900</v>
      </c>
      <c r="F1208">
        <v>1</v>
      </c>
      <c r="G1208">
        <v>29.7</v>
      </c>
      <c r="H1208">
        <v>29.7</v>
      </c>
      <c r="I1208" t="s">
        <v>2354</v>
      </c>
    </row>
    <row r="1209" spans="1:9" x14ac:dyDescent="0.25">
      <c r="A1209" t="s">
        <v>220</v>
      </c>
      <c r="B1209" t="s">
        <v>5430</v>
      </c>
      <c r="C1209" t="s">
        <v>5723</v>
      </c>
      <c r="D1209" t="s">
        <v>7901</v>
      </c>
      <c r="F1209">
        <v>1</v>
      </c>
      <c r="G1209">
        <v>29.7</v>
      </c>
      <c r="H1209">
        <v>29.7</v>
      </c>
      <c r="I1209" t="s">
        <v>2354</v>
      </c>
    </row>
    <row r="1210" spans="1:9" x14ac:dyDescent="0.25">
      <c r="A1210" t="s">
        <v>220</v>
      </c>
      <c r="B1210" t="s">
        <v>5430</v>
      </c>
      <c r="C1210" t="s">
        <v>5725</v>
      </c>
      <c r="D1210" t="s">
        <v>7902</v>
      </c>
      <c r="F1210">
        <v>6</v>
      </c>
      <c r="G1210">
        <v>29.7</v>
      </c>
      <c r="H1210">
        <v>178.2</v>
      </c>
      <c r="I1210" t="s">
        <v>2354</v>
      </c>
    </row>
    <row r="1211" spans="1:9" x14ac:dyDescent="0.25">
      <c r="A1211" t="s">
        <v>220</v>
      </c>
      <c r="B1211" t="s">
        <v>5430</v>
      </c>
      <c r="C1211" t="s">
        <v>5727</v>
      </c>
      <c r="D1211" t="s">
        <v>7903</v>
      </c>
      <c r="F1211">
        <v>4</v>
      </c>
      <c r="G1211">
        <v>19.8</v>
      </c>
      <c r="H1211">
        <v>79.2</v>
      </c>
      <c r="I1211" t="s">
        <v>2354</v>
      </c>
    </row>
    <row r="1212" spans="1:9" x14ac:dyDescent="0.25">
      <c r="A1212" t="s">
        <v>220</v>
      </c>
      <c r="B1212" t="s">
        <v>5430</v>
      </c>
      <c r="C1212" t="s">
        <v>5729</v>
      </c>
      <c r="D1212" t="s">
        <v>7904</v>
      </c>
      <c r="F1212">
        <v>9</v>
      </c>
      <c r="G1212">
        <v>45.21</v>
      </c>
      <c r="H1212">
        <v>406.89</v>
      </c>
      <c r="I1212" t="s">
        <v>2354</v>
      </c>
    </row>
    <row r="1213" spans="1:9" x14ac:dyDescent="0.25">
      <c r="A1213" t="s">
        <v>220</v>
      </c>
      <c r="B1213" t="s">
        <v>5430</v>
      </c>
      <c r="C1213" t="s">
        <v>5731</v>
      </c>
      <c r="D1213" t="s">
        <v>7905</v>
      </c>
      <c r="F1213">
        <v>1</v>
      </c>
      <c r="G1213">
        <v>21.790800000000001</v>
      </c>
      <c r="H1213">
        <v>21.790800000000001</v>
      </c>
      <c r="I1213" t="s">
        <v>2354</v>
      </c>
    </row>
    <row r="1214" spans="1:9" x14ac:dyDescent="0.25">
      <c r="A1214" t="s">
        <v>220</v>
      </c>
      <c r="B1214" t="s">
        <v>5430</v>
      </c>
      <c r="C1214" t="s">
        <v>5733</v>
      </c>
      <c r="D1214" t="s">
        <v>7906</v>
      </c>
      <c r="F1214">
        <v>1</v>
      </c>
      <c r="G1214">
        <v>12.4992</v>
      </c>
      <c r="H1214">
        <v>12.4992</v>
      </c>
      <c r="I1214" t="s">
        <v>2354</v>
      </c>
    </row>
    <row r="1215" spans="1:9" x14ac:dyDescent="0.25">
      <c r="A1215" t="s">
        <v>220</v>
      </c>
      <c r="B1215" t="s">
        <v>5430</v>
      </c>
      <c r="C1215" t="s">
        <v>5735</v>
      </c>
      <c r="D1215" t="s">
        <v>7907</v>
      </c>
      <c r="F1215">
        <v>6</v>
      </c>
      <c r="G1215">
        <v>135.33029999999999</v>
      </c>
      <c r="H1215">
        <v>811.98180000000002</v>
      </c>
      <c r="I1215" t="s">
        <v>2354</v>
      </c>
    </row>
    <row r="1216" spans="1:9" x14ac:dyDescent="0.25">
      <c r="A1216" t="s">
        <v>220</v>
      </c>
      <c r="B1216" t="s">
        <v>5430</v>
      </c>
      <c r="C1216" t="s">
        <v>5737</v>
      </c>
      <c r="D1216" t="s">
        <v>7908</v>
      </c>
      <c r="F1216">
        <v>6</v>
      </c>
      <c r="G1216">
        <v>85.32</v>
      </c>
      <c r="H1216">
        <v>511.91999999999996</v>
      </c>
      <c r="I1216" t="s">
        <v>2354</v>
      </c>
    </row>
    <row r="1217" spans="1:9" x14ac:dyDescent="0.25">
      <c r="A1217" t="s">
        <v>220</v>
      </c>
      <c r="B1217" t="s">
        <v>5430</v>
      </c>
      <c r="C1217" t="s">
        <v>7909</v>
      </c>
      <c r="D1217" t="s">
        <v>7910</v>
      </c>
      <c r="F1217">
        <v>4</v>
      </c>
      <c r="G1217">
        <v>19.170000000000002</v>
      </c>
      <c r="H1217">
        <v>76.680000000000007</v>
      </c>
      <c r="I1217" t="s">
        <v>2354</v>
      </c>
    </row>
    <row r="1218" spans="1:9" x14ac:dyDescent="0.25">
      <c r="A1218" t="s">
        <v>220</v>
      </c>
      <c r="B1218" t="s">
        <v>5430</v>
      </c>
      <c r="C1218" t="s">
        <v>5741</v>
      </c>
      <c r="D1218" t="s">
        <v>7911</v>
      </c>
      <c r="F1218">
        <v>2</v>
      </c>
      <c r="G1218">
        <v>14.327999999999999</v>
      </c>
      <c r="H1218">
        <v>28.655999999999999</v>
      </c>
      <c r="I1218" t="s">
        <v>2354</v>
      </c>
    </row>
    <row r="1219" spans="1:9" x14ac:dyDescent="0.25">
      <c r="A1219" t="s">
        <v>220</v>
      </c>
      <c r="B1219" t="s">
        <v>5430</v>
      </c>
      <c r="C1219" t="s">
        <v>5743</v>
      </c>
      <c r="D1219" t="s">
        <v>7912</v>
      </c>
      <c r="F1219">
        <v>4</v>
      </c>
      <c r="G1219">
        <v>42.3</v>
      </c>
      <c r="H1219">
        <v>169.2</v>
      </c>
      <c r="I1219" t="s">
        <v>2354</v>
      </c>
    </row>
    <row r="1220" spans="1:9" x14ac:dyDescent="0.25">
      <c r="A1220" t="s">
        <v>220</v>
      </c>
      <c r="B1220" t="s">
        <v>5430</v>
      </c>
      <c r="C1220" t="s">
        <v>5745</v>
      </c>
      <c r="D1220" t="s">
        <v>7913</v>
      </c>
      <c r="F1220">
        <v>10</v>
      </c>
      <c r="G1220">
        <v>53.241300000000003</v>
      </c>
      <c r="H1220">
        <v>532.41300000000001</v>
      </c>
      <c r="I1220" t="s">
        <v>2354</v>
      </c>
    </row>
    <row r="1221" spans="1:9" x14ac:dyDescent="0.25">
      <c r="A1221" t="s">
        <v>220</v>
      </c>
      <c r="B1221" t="s">
        <v>5430</v>
      </c>
      <c r="C1221" t="s">
        <v>5747</v>
      </c>
      <c r="D1221" t="s">
        <v>7914</v>
      </c>
      <c r="F1221">
        <v>1</v>
      </c>
      <c r="G1221">
        <v>130.05000000000001</v>
      </c>
      <c r="H1221">
        <v>130.05000000000001</v>
      </c>
      <c r="I1221" t="s">
        <v>2354</v>
      </c>
    </row>
    <row r="1222" spans="1:9" x14ac:dyDescent="0.25">
      <c r="A1222" t="s">
        <v>220</v>
      </c>
      <c r="B1222" t="s">
        <v>5430</v>
      </c>
      <c r="C1222" t="s">
        <v>5749</v>
      </c>
      <c r="D1222" t="s">
        <v>7915</v>
      </c>
      <c r="F1222">
        <v>5</v>
      </c>
      <c r="G1222">
        <v>38.130400000000002</v>
      </c>
      <c r="H1222">
        <v>190.65200000000002</v>
      </c>
      <c r="I1222" t="s">
        <v>2354</v>
      </c>
    </row>
    <row r="1223" spans="1:9" x14ac:dyDescent="0.25">
      <c r="A1223" t="s">
        <v>220</v>
      </c>
      <c r="B1223" t="s">
        <v>5430</v>
      </c>
      <c r="C1223" t="s">
        <v>5751</v>
      </c>
      <c r="D1223" t="s">
        <v>7916</v>
      </c>
      <c r="F1223">
        <v>3</v>
      </c>
      <c r="G1223">
        <v>28.116879999999998</v>
      </c>
      <c r="H1223">
        <v>84.350639999999999</v>
      </c>
      <c r="I1223" t="s">
        <v>2354</v>
      </c>
    </row>
    <row r="1224" spans="1:9" x14ac:dyDescent="0.25">
      <c r="A1224" t="s">
        <v>220</v>
      </c>
      <c r="B1224" t="s">
        <v>5430</v>
      </c>
      <c r="C1224" t="s">
        <v>5753</v>
      </c>
      <c r="D1224" t="s">
        <v>7917</v>
      </c>
      <c r="F1224">
        <v>5</v>
      </c>
      <c r="G1224">
        <v>0</v>
      </c>
      <c r="H1224">
        <v>0</v>
      </c>
      <c r="I1224" t="s">
        <v>2354</v>
      </c>
    </row>
    <row r="1225" spans="1:9" x14ac:dyDescent="0.25">
      <c r="A1225" t="s">
        <v>220</v>
      </c>
      <c r="B1225" t="s">
        <v>5430</v>
      </c>
      <c r="C1225" t="s">
        <v>2774</v>
      </c>
      <c r="D1225" t="s">
        <v>7918</v>
      </c>
      <c r="F1225">
        <v>2</v>
      </c>
      <c r="G1225">
        <v>13.4361</v>
      </c>
      <c r="H1225">
        <v>26.872199999999999</v>
      </c>
      <c r="I1225" t="s">
        <v>2354</v>
      </c>
    </row>
    <row r="1226" spans="1:9" x14ac:dyDescent="0.25">
      <c r="A1226" t="s">
        <v>220</v>
      </c>
      <c r="B1226" t="s">
        <v>5430</v>
      </c>
      <c r="C1226" t="s">
        <v>5755</v>
      </c>
      <c r="D1226" t="s">
        <v>7919</v>
      </c>
      <c r="F1226">
        <v>1</v>
      </c>
      <c r="G1226">
        <v>47.0565</v>
      </c>
      <c r="H1226">
        <v>47.0565</v>
      </c>
      <c r="I1226" t="s">
        <v>2354</v>
      </c>
    </row>
    <row r="1227" spans="1:9" x14ac:dyDescent="0.25">
      <c r="A1227" t="s">
        <v>220</v>
      </c>
      <c r="B1227" t="s">
        <v>5430</v>
      </c>
      <c r="C1227" t="s">
        <v>5757</v>
      </c>
      <c r="D1227" t="s">
        <v>7920</v>
      </c>
      <c r="F1227">
        <v>5</v>
      </c>
      <c r="G1227">
        <v>20.771999999999998</v>
      </c>
      <c r="H1227">
        <v>103.85999999999999</v>
      </c>
      <c r="I1227" t="s">
        <v>2354</v>
      </c>
    </row>
    <row r="1228" spans="1:9" x14ac:dyDescent="0.25">
      <c r="A1228" t="s">
        <v>220</v>
      </c>
      <c r="B1228" t="s">
        <v>5430</v>
      </c>
      <c r="C1228" t="s">
        <v>5759</v>
      </c>
      <c r="D1228" t="s">
        <v>7921</v>
      </c>
      <c r="F1228">
        <v>3</v>
      </c>
      <c r="G1228">
        <v>31.5</v>
      </c>
      <c r="H1228">
        <v>94.5</v>
      </c>
      <c r="I1228" t="s">
        <v>2354</v>
      </c>
    </row>
    <row r="1229" spans="1:9" x14ac:dyDescent="0.25">
      <c r="A1229" t="s">
        <v>220</v>
      </c>
      <c r="B1229" t="s">
        <v>5430</v>
      </c>
      <c r="C1229" t="s">
        <v>5761</v>
      </c>
      <c r="D1229" t="s">
        <v>7922</v>
      </c>
      <c r="F1229">
        <v>1</v>
      </c>
      <c r="G1229">
        <v>122.31</v>
      </c>
      <c r="H1229">
        <v>122.31</v>
      </c>
      <c r="I1229" t="s">
        <v>2354</v>
      </c>
    </row>
    <row r="1230" spans="1:9" x14ac:dyDescent="0.25">
      <c r="A1230" t="s">
        <v>220</v>
      </c>
      <c r="B1230" t="s">
        <v>5430</v>
      </c>
      <c r="C1230" t="s">
        <v>5763</v>
      </c>
      <c r="D1230" t="s">
        <v>7923</v>
      </c>
      <c r="F1230">
        <v>3</v>
      </c>
      <c r="G1230">
        <v>22.105</v>
      </c>
      <c r="H1230">
        <v>66.314999999999998</v>
      </c>
      <c r="I1230" t="s">
        <v>2354</v>
      </c>
    </row>
    <row r="1231" spans="1:9" x14ac:dyDescent="0.25">
      <c r="A1231" t="s">
        <v>220</v>
      </c>
      <c r="B1231" t="s">
        <v>5430</v>
      </c>
      <c r="C1231" t="s">
        <v>5765</v>
      </c>
      <c r="D1231" t="s">
        <v>7924</v>
      </c>
      <c r="F1231">
        <v>1</v>
      </c>
      <c r="G1231">
        <v>10.35</v>
      </c>
      <c r="H1231">
        <v>10.35</v>
      </c>
      <c r="I1231" t="s">
        <v>2354</v>
      </c>
    </row>
    <row r="1232" spans="1:9" x14ac:dyDescent="0.25">
      <c r="A1232" t="s">
        <v>220</v>
      </c>
      <c r="B1232" t="s">
        <v>5430</v>
      </c>
      <c r="C1232" t="s">
        <v>5767</v>
      </c>
      <c r="D1232" t="s">
        <v>7925</v>
      </c>
      <c r="F1232">
        <v>1</v>
      </c>
      <c r="G1232">
        <v>10.35</v>
      </c>
      <c r="H1232">
        <v>10.35</v>
      </c>
      <c r="I1232" t="s">
        <v>2354</v>
      </c>
    </row>
    <row r="1233" spans="1:9" x14ac:dyDescent="0.25">
      <c r="A1233" t="s">
        <v>220</v>
      </c>
      <c r="B1233" t="s">
        <v>5430</v>
      </c>
      <c r="C1233" t="s">
        <v>5769</v>
      </c>
      <c r="D1233" t="s">
        <v>7926</v>
      </c>
      <c r="F1233">
        <v>1</v>
      </c>
      <c r="G1233">
        <v>10.35</v>
      </c>
      <c r="H1233">
        <v>10.35</v>
      </c>
      <c r="I1233" t="s">
        <v>2354</v>
      </c>
    </row>
    <row r="1234" spans="1:9" x14ac:dyDescent="0.25">
      <c r="A1234" t="s">
        <v>220</v>
      </c>
      <c r="B1234" t="s">
        <v>5430</v>
      </c>
      <c r="C1234" t="s">
        <v>2796</v>
      </c>
      <c r="D1234" t="s">
        <v>7927</v>
      </c>
      <c r="F1234">
        <v>2</v>
      </c>
      <c r="G1234">
        <v>10.35</v>
      </c>
      <c r="H1234">
        <v>20.7</v>
      </c>
      <c r="I1234" t="s">
        <v>2354</v>
      </c>
    </row>
    <row r="1235" spans="1:9" x14ac:dyDescent="0.25">
      <c r="A1235" t="s">
        <v>220</v>
      </c>
      <c r="B1235" t="s">
        <v>5430</v>
      </c>
      <c r="C1235" t="s">
        <v>5771</v>
      </c>
      <c r="D1235" t="s">
        <v>7928</v>
      </c>
      <c r="F1235">
        <v>2</v>
      </c>
      <c r="G1235">
        <v>114.4008</v>
      </c>
      <c r="H1235">
        <v>228.80160000000001</v>
      </c>
      <c r="I1235" t="s">
        <v>2354</v>
      </c>
    </row>
    <row r="1236" spans="1:9" x14ac:dyDescent="0.25">
      <c r="A1236" t="s">
        <v>220</v>
      </c>
      <c r="B1236" t="s">
        <v>5430</v>
      </c>
      <c r="C1236" t="s">
        <v>5773</v>
      </c>
      <c r="D1236" t="s">
        <v>7929</v>
      </c>
      <c r="F1236">
        <v>2</v>
      </c>
      <c r="G1236">
        <v>114.4008</v>
      </c>
      <c r="H1236">
        <v>228.80160000000001</v>
      </c>
      <c r="I1236" t="s">
        <v>2354</v>
      </c>
    </row>
    <row r="1237" spans="1:9" x14ac:dyDescent="0.25">
      <c r="A1237" t="s">
        <v>220</v>
      </c>
      <c r="B1237" t="s">
        <v>5430</v>
      </c>
      <c r="C1237" t="s">
        <v>5775</v>
      </c>
      <c r="D1237" t="s">
        <v>7930</v>
      </c>
      <c r="F1237">
        <v>2</v>
      </c>
      <c r="G1237">
        <v>19.8</v>
      </c>
      <c r="H1237">
        <v>39.6</v>
      </c>
      <c r="I1237" t="s">
        <v>2354</v>
      </c>
    </row>
    <row r="1238" spans="1:9" x14ac:dyDescent="0.25">
      <c r="A1238" t="s">
        <v>220</v>
      </c>
      <c r="B1238" t="s">
        <v>5430</v>
      </c>
      <c r="C1238" t="s">
        <v>5777</v>
      </c>
      <c r="D1238" t="s">
        <v>7931</v>
      </c>
      <c r="F1238">
        <v>2</v>
      </c>
      <c r="G1238">
        <v>19.8</v>
      </c>
      <c r="H1238">
        <v>39.6</v>
      </c>
      <c r="I1238" t="s">
        <v>2354</v>
      </c>
    </row>
    <row r="1239" spans="1:9" x14ac:dyDescent="0.25">
      <c r="A1239" t="s">
        <v>220</v>
      </c>
      <c r="B1239" t="s">
        <v>5430</v>
      </c>
      <c r="C1239" t="s">
        <v>5779</v>
      </c>
      <c r="D1239" t="s">
        <v>7932</v>
      </c>
      <c r="F1239">
        <v>2</v>
      </c>
      <c r="G1239">
        <v>81.62</v>
      </c>
      <c r="H1239">
        <v>163.24</v>
      </c>
      <c r="I1239" t="s">
        <v>2354</v>
      </c>
    </row>
    <row r="1240" spans="1:9" x14ac:dyDescent="0.25">
      <c r="A1240" t="s">
        <v>220</v>
      </c>
      <c r="B1240" t="s">
        <v>5430</v>
      </c>
      <c r="C1240" t="s">
        <v>5781</v>
      </c>
      <c r="D1240" t="s">
        <v>7933</v>
      </c>
      <c r="F1240">
        <v>2</v>
      </c>
      <c r="G1240">
        <v>91.003500000000003</v>
      </c>
      <c r="H1240">
        <v>182.00700000000001</v>
      </c>
      <c r="I1240" t="s">
        <v>2354</v>
      </c>
    </row>
    <row r="1241" spans="1:9" x14ac:dyDescent="0.25">
      <c r="A1241" t="s">
        <v>220</v>
      </c>
      <c r="B1241" t="s">
        <v>5430</v>
      </c>
      <c r="C1241" t="s">
        <v>5783</v>
      </c>
      <c r="D1241" t="s">
        <v>7934</v>
      </c>
      <c r="F1241">
        <v>2</v>
      </c>
      <c r="G1241">
        <v>53.739899999999999</v>
      </c>
      <c r="H1241">
        <v>107.4798</v>
      </c>
      <c r="I1241" t="s">
        <v>2354</v>
      </c>
    </row>
    <row r="1242" spans="1:9" x14ac:dyDescent="0.25">
      <c r="A1242" t="s">
        <v>220</v>
      </c>
      <c r="B1242" t="s">
        <v>5430</v>
      </c>
      <c r="C1242" t="s">
        <v>5785</v>
      </c>
      <c r="D1242" t="s">
        <v>7935</v>
      </c>
      <c r="F1242">
        <v>5</v>
      </c>
      <c r="G1242">
        <v>124.32869999999998</v>
      </c>
      <c r="H1242">
        <v>621.6434999999999</v>
      </c>
      <c r="I1242" t="s">
        <v>2354</v>
      </c>
    </row>
    <row r="1243" spans="1:9" x14ac:dyDescent="0.25">
      <c r="A1243" t="s">
        <v>220</v>
      </c>
      <c r="B1243" t="s">
        <v>5430</v>
      </c>
      <c r="C1243" t="s">
        <v>5789</v>
      </c>
      <c r="D1243" t="s">
        <v>7936</v>
      </c>
      <c r="F1243">
        <v>1</v>
      </c>
      <c r="G1243">
        <v>23.5</v>
      </c>
      <c r="H1243">
        <v>23.5</v>
      </c>
      <c r="I1243" t="s">
        <v>2354</v>
      </c>
    </row>
    <row r="1244" spans="1:9" x14ac:dyDescent="0.25">
      <c r="A1244" t="s">
        <v>220</v>
      </c>
      <c r="B1244" t="s">
        <v>5430</v>
      </c>
      <c r="C1244" t="s">
        <v>2824</v>
      </c>
      <c r="D1244" t="s">
        <v>7937</v>
      </c>
      <c r="F1244">
        <v>1</v>
      </c>
      <c r="G1244">
        <v>144.92500000000001</v>
      </c>
      <c r="H1244">
        <v>144.92500000000001</v>
      </c>
      <c r="I1244" t="s">
        <v>2354</v>
      </c>
    </row>
    <row r="1245" spans="1:9" x14ac:dyDescent="0.25">
      <c r="A1245" t="s">
        <v>220</v>
      </c>
      <c r="B1245" t="s">
        <v>5430</v>
      </c>
      <c r="C1245" t="s">
        <v>5792</v>
      </c>
      <c r="D1245" t="s">
        <v>7938</v>
      </c>
      <c r="F1245">
        <v>1</v>
      </c>
      <c r="G1245">
        <v>149.43</v>
      </c>
      <c r="H1245">
        <v>149.43</v>
      </c>
      <c r="I1245" t="s">
        <v>2354</v>
      </c>
    </row>
    <row r="1246" spans="1:9" x14ac:dyDescent="0.25">
      <c r="A1246" t="s">
        <v>220</v>
      </c>
      <c r="B1246" t="s">
        <v>5430</v>
      </c>
      <c r="C1246" t="s">
        <v>2830</v>
      </c>
      <c r="D1246" t="s">
        <v>7939</v>
      </c>
      <c r="F1246">
        <v>1</v>
      </c>
      <c r="G1246">
        <v>214.98965000000001</v>
      </c>
      <c r="H1246">
        <v>214.98965000000001</v>
      </c>
      <c r="I1246" t="s">
        <v>2354</v>
      </c>
    </row>
    <row r="1247" spans="1:9" x14ac:dyDescent="0.25">
      <c r="A1247" t="s">
        <v>220</v>
      </c>
      <c r="B1247" t="s">
        <v>5430</v>
      </c>
      <c r="C1247" t="s">
        <v>2842</v>
      </c>
      <c r="D1247" t="s">
        <v>7940</v>
      </c>
      <c r="F1247">
        <v>3</v>
      </c>
      <c r="G1247">
        <v>21.59</v>
      </c>
      <c r="H1247">
        <v>64.77</v>
      </c>
      <c r="I1247" t="s">
        <v>2354</v>
      </c>
    </row>
    <row r="1248" spans="1:9" x14ac:dyDescent="0.25">
      <c r="A1248" t="s">
        <v>220</v>
      </c>
      <c r="B1248" t="s">
        <v>5430</v>
      </c>
      <c r="C1248" t="s">
        <v>5795</v>
      </c>
      <c r="D1248" t="s">
        <v>7941</v>
      </c>
      <c r="F1248">
        <v>4</v>
      </c>
      <c r="G1248">
        <v>46.194749999999999</v>
      </c>
      <c r="H1248">
        <v>184.779</v>
      </c>
      <c r="I1248" t="s">
        <v>2354</v>
      </c>
    </row>
    <row r="1249" spans="1:9" x14ac:dyDescent="0.25">
      <c r="A1249" t="s">
        <v>220</v>
      </c>
      <c r="B1249" t="s">
        <v>5430</v>
      </c>
      <c r="C1249" t="s">
        <v>5431</v>
      </c>
      <c r="D1249" t="s">
        <v>7942</v>
      </c>
      <c r="F1249">
        <v>3</v>
      </c>
      <c r="G1249">
        <v>0</v>
      </c>
      <c r="H1249">
        <v>0</v>
      </c>
      <c r="I1249" t="s">
        <v>2354</v>
      </c>
    </row>
    <row r="1250" spans="1:9" x14ac:dyDescent="0.25">
      <c r="A1250" t="s">
        <v>220</v>
      </c>
      <c r="B1250" t="s">
        <v>5430</v>
      </c>
      <c r="C1250" t="s">
        <v>7943</v>
      </c>
      <c r="D1250" t="s">
        <v>7944</v>
      </c>
      <c r="F1250">
        <v>3</v>
      </c>
      <c r="G1250">
        <v>0</v>
      </c>
      <c r="H1250">
        <v>0</v>
      </c>
      <c r="I1250" t="s">
        <v>2354</v>
      </c>
    </row>
    <row r="1251" spans="1:9" x14ac:dyDescent="0.25">
      <c r="A1251" t="s">
        <v>220</v>
      </c>
      <c r="B1251" t="s">
        <v>5430</v>
      </c>
      <c r="C1251" t="s">
        <v>7945</v>
      </c>
      <c r="D1251" t="s">
        <v>5800</v>
      </c>
      <c r="F1251">
        <v>1</v>
      </c>
      <c r="G1251">
        <v>0</v>
      </c>
      <c r="H1251">
        <v>0</v>
      </c>
      <c r="I1251" t="s">
        <v>2354</v>
      </c>
    </row>
    <row r="1252" spans="1:9" x14ac:dyDescent="0.25">
      <c r="A1252" t="s">
        <v>220</v>
      </c>
      <c r="B1252" t="s">
        <v>5430</v>
      </c>
      <c r="C1252" t="s">
        <v>5801</v>
      </c>
      <c r="D1252" t="s">
        <v>5802</v>
      </c>
      <c r="F1252">
        <v>3</v>
      </c>
      <c r="G1252">
        <v>60.75</v>
      </c>
      <c r="H1252">
        <v>182.25</v>
      </c>
      <c r="I1252" t="s">
        <v>2354</v>
      </c>
    </row>
    <row r="1253" spans="1:9" x14ac:dyDescent="0.25">
      <c r="A1253" t="s">
        <v>220</v>
      </c>
      <c r="B1253" t="s">
        <v>5430</v>
      </c>
      <c r="C1253" t="s">
        <v>5803</v>
      </c>
      <c r="D1253" t="s">
        <v>5804</v>
      </c>
      <c r="F1253">
        <v>3</v>
      </c>
      <c r="G1253">
        <v>51.75</v>
      </c>
      <c r="H1253">
        <v>155.25</v>
      </c>
      <c r="I1253" t="s">
        <v>2354</v>
      </c>
    </row>
    <row r="1254" spans="1:9" x14ac:dyDescent="0.25">
      <c r="A1254" t="s">
        <v>220</v>
      </c>
      <c r="B1254" t="s">
        <v>5430</v>
      </c>
      <c r="C1254" t="s">
        <v>7946</v>
      </c>
      <c r="D1254" t="s">
        <v>7947</v>
      </c>
      <c r="F1254">
        <v>1</v>
      </c>
      <c r="G1254">
        <v>0</v>
      </c>
      <c r="H1254">
        <v>0</v>
      </c>
      <c r="I1254" t="s">
        <v>2354</v>
      </c>
    </row>
    <row r="1255" spans="1:9" x14ac:dyDescent="0.25">
      <c r="A1255" t="s">
        <v>220</v>
      </c>
      <c r="B1255" t="s">
        <v>5430</v>
      </c>
      <c r="C1255" t="s">
        <v>5805</v>
      </c>
      <c r="D1255" t="s">
        <v>7948</v>
      </c>
      <c r="F1255">
        <v>3</v>
      </c>
      <c r="G1255">
        <v>150.33840000000001</v>
      </c>
      <c r="H1255">
        <v>451.01520000000005</v>
      </c>
      <c r="I1255" t="s">
        <v>2354</v>
      </c>
    </row>
    <row r="1256" spans="1:9" x14ac:dyDescent="0.25">
      <c r="A1256" t="s">
        <v>220</v>
      </c>
      <c r="B1256" t="s">
        <v>5430</v>
      </c>
      <c r="C1256" t="s">
        <v>5807</v>
      </c>
      <c r="D1256" t="s">
        <v>7949</v>
      </c>
      <c r="F1256">
        <v>2</v>
      </c>
      <c r="G1256">
        <v>114.1674</v>
      </c>
      <c r="H1256">
        <v>228.3348</v>
      </c>
      <c r="I1256" t="s">
        <v>2354</v>
      </c>
    </row>
    <row r="1257" spans="1:9" x14ac:dyDescent="0.25">
      <c r="A1257" t="s">
        <v>220</v>
      </c>
      <c r="B1257" t="s">
        <v>5430</v>
      </c>
      <c r="C1257" t="s">
        <v>7950</v>
      </c>
      <c r="D1257" t="s">
        <v>7951</v>
      </c>
      <c r="F1257">
        <v>2</v>
      </c>
      <c r="G1257">
        <v>55.7622</v>
      </c>
      <c r="H1257">
        <v>111.5244</v>
      </c>
      <c r="I1257" t="s">
        <v>2354</v>
      </c>
    </row>
    <row r="1258" spans="1:9" x14ac:dyDescent="0.25">
      <c r="A1258" t="s">
        <v>220</v>
      </c>
      <c r="B1258" t="s">
        <v>5430</v>
      </c>
      <c r="C1258" t="s">
        <v>5811</v>
      </c>
      <c r="D1258" t="s">
        <v>7952</v>
      </c>
      <c r="F1258">
        <v>1</v>
      </c>
      <c r="G1258">
        <v>36.459000000000003</v>
      </c>
      <c r="H1258">
        <v>36.459000000000003</v>
      </c>
      <c r="I1258" t="s">
        <v>2354</v>
      </c>
    </row>
    <row r="1259" spans="1:9" x14ac:dyDescent="0.25">
      <c r="A1259" t="s">
        <v>220</v>
      </c>
      <c r="B1259" t="s">
        <v>5430</v>
      </c>
      <c r="C1259" t="s">
        <v>5813</v>
      </c>
      <c r="D1259" t="s">
        <v>7953</v>
      </c>
      <c r="F1259">
        <v>3</v>
      </c>
      <c r="G1259">
        <v>49.68</v>
      </c>
      <c r="H1259">
        <v>149.04</v>
      </c>
      <c r="I1259" t="s">
        <v>2354</v>
      </c>
    </row>
    <row r="1260" spans="1:9" x14ac:dyDescent="0.25">
      <c r="A1260" t="s">
        <v>220</v>
      </c>
      <c r="B1260" t="s">
        <v>5430</v>
      </c>
      <c r="C1260" t="s">
        <v>5815</v>
      </c>
      <c r="D1260" t="s">
        <v>7954</v>
      </c>
      <c r="F1260">
        <v>1</v>
      </c>
      <c r="G1260">
        <v>33.125</v>
      </c>
      <c r="H1260">
        <v>33.125</v>
      </c>
      <c r="I1260" t="s">
        <v>2354</v>
      </c>
    </row>
    <row r="1261" spans="1:9" x14ac:dyDescent="0.25">
      <c r="A1261" t="s">
        <v>220</v>
      </c>
      <c r="B1261" t="s">
        <v>5430</v>
      </c>
      <c r="C1261" t="s">
        <v>5817</v>
      </c>
      <c r="D1261" t="s">
        <v>7955</v>
      </c>
      <c r="F1261">
        <v>2</v>
      </c>
      <c r="G1261">
        <v>144</v>
      </c>
      <c r="H1261">
        <v>288</v>
      </c>
      <c r="I1261" t="s">
        <v>2354</v>
      </c>
    </row>
    <row r="1262" spans="1:9" x14ac:dyDescent="0.25">
      <c r="A1262" t="s">
        <v>220</v>
      </c>
      <c r="B1262" t="s">
        <v>5430</v>
      </c>
      <c r="C1262" t="s">
        <v>5819</v>
      </c>
      <c r="D1262" t="s">
        <v>5820</v>
      </c>
      <c r="F1262">
        <v>4</v>
      </c>
      <c r="G1262">
        <v>121.18680000000001</v>
      </c>
      <c r="H1262">
        <v>484.74720000000002</v>
      </c>
      <c r="I1262" t="s">
        <v>2354</v>
      </c>
    </row>
    <row r="1263" spans="1:9" x14ac:dyDescent="0.25">
      <c r="A1263" t="s">
        <v>220</v>
      </c>
      <c r="B1263" t="s">
        <v>5430</v>
      </c>
      <c r="C1263" t="s">
        <v>5821</v>
      </c>
      <c r="D1263" t="s">
        <v>7956</v>
      </c>
      <c r="F1263">
        <v>1</v>
      </c>
      <c r="G1263">
        <v>33.125</v>
      </c>
      <c r="H1263">
        <v>33.125</v>
      </c>
      <c r="I1263" t="s">
        <v>2354</v>
      </c>
    </row>
    <row r="1264" spans="1:9" x14ac:dyDescent="0.25">
      <c r="A1264" t="s">
        <v>220</v>
      </c>
      <c r="B1264" t="s">
        <v>5430</v>
      </c>
      <c r="C1264" t="s">
        <v>5823</v>
      </c>
      <c r="D1264" t="s">
        <v>5824</v>
      </c>
      <c r="F1264">
        <v>3</v>
      </c>
      <c r="G1264">
        <v>73.2834</v>
      </c>
      <c r="H1264">
        <v>219.8502</v>
      </c>
      <c r="I1264" t="s">
        <v>2354</v>
      </c>
    </row>
    <row r="1265" spans="1:9" x14ac:dyDescent="0.25">
      <c r="A1265" t="s">
        <v>220</v>
      </c>
      <c r="B1265" t="s">
        <v>5430</v>
      </c>
      <c r="C1265" t="s">
        <v>7957</v>
      </c>
      <c r="D1265" t="s">
        <v>5826</v>
      </c>
      <c r="F1265">
        <v>2</v>
      </c>
      <c r="G1265">
        <v>105.58799999999999</v>
      </c>
      <c r="H1265">
        <v>211.17599999999999</v>
      </c>
      <c r="I1265" t="s">
        <v>2354</v>
      </c>
    </row>
    <row r="1266" spans="1:9" x14ac:dyDescent="0.25">
      <c r="A1266" t="s">
        <v>220</v>
      </c>
      <c r="B1266" t="s">
        <v>5430</v>
      </c>
      <c r="C1266" t="s">
        <v>5827</v>
      </c>
      <c r="D1266" t="s">
        <v>7958</v>
      </c>
      <c r="F1266">
        <v>2</v>
      </c>
      <c r="G1266">
        <v>32.4</v>
      </c>
      <c r="H1266">
        <v>64.8</v>
      </c>
      <c r="I1266" t="s">
        <v>2354</v>
      </c>
    </row>
    <row r="1267" spans="1:9" x14ac:dyDescent="0.25">
      <c r="A1267" t="s">
        <v>220</v>
      </c>
      <c r="B1267" t="s">
        <v>5430</v>
      </c>
      <c r="C1267" t="s">
        <v>5829</v>
      </c>
      <c r="D1267" t="s">
        <v>7959</v>
      </c>
      <c r="F1267">
        <v>4</v>
      </c>
      <c r="G1267">
        <v>70.148700000000005</v>
      </c>
      <c r="H1267">
        <v>280.59480000000002</v>
      </c>
      <c r="I1267" t="s">
        <v>2354</v>
      </c>
    </row>
    <row r="1268" spans="1:9" x14ac:dyDescent="0.25">
      <c r="A1268" t="s">
        <v>220</v>
      </c>
      <c r="B1268" t="s">
        <v>5430</v>
      </c>
      <c r="C1268" t="s">
        <v>5831</v>
      </c>
      <c r="D1268" t="s">
        <v>5832</v>
      </c>
      <c r="F1268">
        <v>2</v>
      </c>
      <c r="G1268">
        <v>63.991</v>
      </c>
      <c r="H1268">
        <v>127.982</v>
      </c>
      <c r="I1268" t="s">
        <v>2354</v>
      </c>
    </row>
    <row r="1269" spans="1:9" x14ac:dyDescent="0.25">
      <c r="A1269" t="s">
        <v>220</v>
      </c>
      <c r="B1269" t="s">
        <v>5430</v>
      </c>
      <c r="C1269" t="s">
        <v>2854</v>
      </c>
      <c r="D1269" t="s">
        <v>7960</v>
      </c>
      <c r="F1269">
        <v>2</v>
      </c>
      <c r="G1269">
        <v>34.961849999999998</v>
      </c>
      <c r="H1269">
        <v>69.923699999999997</v>
      </c>
      <c r="I1269" t="s">
        <v>2354</v>
      </c>
    </row>
    <row r="1270" spans="1:9" x14ac:dyDescent="0.25">
      <c r="A1270" t="s">
        <v>220</v>
      </c>
      <c r="B1270" t="s">
        <v>5430</v>
      </c>
      <c r="C1270" t="s">
        <v>5834</v>
      </c>
      <c r="D1270" t="s">
        <v>7961</v>
      </c>
      <c r="F1270">
        <v>3</v>
      </c>
      <c r="G1270">
        <v>86.208299999999994</v>
      </c>
      <c r="H1270">
        <v>258.62489999999997</v>
      </c>
      <c r="I1270" t="s">
        <v>2354</v>
      </c>
    </row>
    <row r="1271" spans="1:9" x14ac:dyDescent="0.25">
      <c r="A1271" t="s">
        <v>220</v>
      </c>
      <c r="B1271" t="s">
        <v>5430</v>
      </c>
      <c r="C1271" t="s">
        <v>5836</v>
      </c>
      <c r="D1271" t="s">
        <v>7962</v>
      </c>
      <c r="F1271">
        <v>2</v>
      </c>
      <c r="G1271">
        <v>164.8143</v>
      </c>
      <c r="H1271">
        <v>329.62860000000001</v>
      </c>
      <c r="I1271" t="s">
        <v>2354</v>
      </c>
    </row>
    <row r="1272" spans="1:9" x14ac:dyDescent="0.25">
      <c r="A1272" t="s">
        <v>220</v>
      </c>
      <c r="B1272" t="s">
        <v>5430</v>
      </c>
      <c r="C1272" t="s">
        <v>5838</v>
      </c>
      <c r="D1272" t="s">
        <v>7963</v>
      </c>
      <c r="F1272">
        <v>5</v>
      </c>
      <c r="G1272">
        <v>0</v>
      </c>
      <c r="H1272">
        <v>0</v>
      </c>
      <c r="I1272" t="s">
        <v>2354</v>
      </c>
    </row>
    <row r="1273" spans="1:9" x14ac:dyDescent="0.25">
      <c r="A1273" t="s">
        <v>220</v>
      </c>
      <c r="B1273" t="s">
        <v>5430</v>
      </c>
      <c r="C1273" t="s">
        <v>5840</v>
      </c>
      <c r="D1273" t="s">
        <v>7964</v>
      </c>
      <c r="F1273">
        <v>4</v>
      </c>
      <c r="G1273">
        <v>4.1580000000000004</v>
      </c>
      <c r="H1273">
        <v>16.632000000000001</v>
      </c>
      <c r="I1273" t="s">
        <v>2354</v>
      </c>
    </row>
    <row r="1274" spans="1:9" x14ac:dyDescent="0.25">
      <c r="A1274" t="s">
        <v>220</v>
      </c>
      <c r="B1274" t="s">
        <v>5430</v>
      </c>
      <c r="C1274" t="s">
        <v>5842</v>
      </c>
      <c r="D1274" t="s">
        <v>7965</v>
      </c>
      <c r="F1274">
        <v>9</v>
      </c>
      <c r="G1274">
        <v>21.231987428571426</v>
      </c>
      <c r="H1274">
        <v>191.08788685714282</v>
      </c>
      <c r="I1274" t="s">
        <v>2354</v>
      </c>
    </row>
    <row r="1275" spans="1:9" x14ac:dyDescent="0.25">
      <c r="A1275" t="s">
        <v>220</v>
      </c>
      <c r="B1275" t="s">
        <v>5430</v>
      </c>
      <c r="C1275" t="s">
        <v>5844</v>
      </c>
      <c r="D1275" t="s">
        <v>5845</v>
      </c>
      <c r="F1275">
        <v>1</v>
      </c>
      <c r="G1275">
        <v>9.0347249999999999</v>
      </c>
      <c r="H1275">
        <v>9.0347249999999999</v>
      </c>
      <c r="I1275" t="s">
        <v>2354</v>
      </c>
    </row>
    <row r="1276" spans="1:9" x14ac:dyDescent="0.25">
      <c r="A1276" t="s">
        <v>220</v>
      </c>
      <c r="B1276" t="s">
        <v>5430</v>
      </c>
      <c r="C1276" t="s">
        <v>5846</v>
      </c>
      <c r="D1276" t="s">
        <v>5847</v>
      </c>
      <c r="F1276">
        <v>4</v>
      </c>
      <c r="G1276">
        <v>10.143000000000001</v>
      </c>
      <c r="H1276">
        <v>40.572000000000003</v>
      </c>
      <c r="I1276" t="s">
        <v>2354</v>
      </c>
    </row>
    <row r="1277" spans="1:9" x14ac:dyDescent="0.25">
      <c r="A1277" t="s">
        <v>220</v>
      </c>
      <c r="B1277" t="s">
        <v>5430</v>
      </c>
      <c r="C1277" t="s">
        <v>5848</v>
      </c>
      <c r="D1277" t="s">
        <v>5849</v>
      </c>
      <c r="F1277">
        <v>3</v>
      </c>
      <c r="G1277">
        <v>10.143000000000001</v>
      </c>
      <c r="H1277">
        <v>30.429000000000002</v>
      </c>
      <c r="I1277" t="s">
        <v>2354</v>
      </c>
    </row>
    <row r="1278" spans="1:9" x14ac:dyDescent="0.25">
      <c r="A1278" t="s">
        <v>220</v>
      </c>
      <c r="B1278" t="s">
        <v>5430</v>
      </c>
      <c r="C1278" t="s">
        <v>5850</v>
      </c>
      <c r="D1278" t="s">
        <v>5851</v>
      </c>
      <c r="F1278">
        <v>4</v>
      </c>
      <c r="G1278">
        <v>9.3437999999999999</v>
      </c>
      <c r="H1278">
        <v>37.3752</v>
      </c>
      <c r="I1278" t="s">
        <v>2354</v>
      </c>
    </row>
    <row r="1279" spans="1:9" x14ac:dyDescent="0.25">
      <c r="A1279" t="s">
        <v>220</v>
      </c>
      <c r="B1279" t="s">
        <v>5430</v>
      </c>
      <c r="C1279" t="s">
        <v>5852</v>
      </c>
      <c r="D1279" t="s">
        <v>5853</v>
      </c>
      <c r="F1279">
        <v>12</v>
      </c>
      <c r="G1279">
        <v>4.0095000000000001</v>
      </c>
      <c r="H1279">
        <v>48.114000000000004</v>
      </c>
      <c r="I1279" t="s">
        <v>2354</v>
      </c>
    </row>
    <row r="1280" spans="1:9" x14ac:dyDescent="0.25">
      <c r="A1280" t="s">
        <v>220</v>
      </c>
      <c r="B1280" t="s">
        <v>5430</v>
      </c>
      <c r="C1280" t="s">
        <v>5854</v>
      </c>
      <c r="D1280" t="s">
        <v>7966</v>
      </c>
      <c r="F1280">
        <v>8</v>
      </c>
      <c r="G1280">
        <v>24.5016</v>
      </c>
      <c r="H1280">
        <v>196.0128</v>
      </c>
      <c r="I1280" t="s">
        <v>2354</v>
      </c>
    </row>
    <row r="1281" spans="1:9" x14ac:dyDescent="0.25">
      <c r="A1281" t="s">
        <v>220</v>
      </c>
      <c r="B1281" t="s">
        <v>5430</v>
      </c>
      <c r="C1281" t="s">
        <v>5856</v>
      </c>
      <c r="D1281" t="s">
        <v>5857</v>
      </c>
      <c r="F1281">
        <v>1</v>
      </c>
      <c r="G1281">
        <v>10.143000000000001</v>
      </c>
      <c r="H1281">
        <v>10.143000000000001</v>
      </c>
      <c r="I1281" t="s">
        <v>2354</v>
      </c>
    </row>
    <row r="1282" spans="1:9" x14ac:dyDescent="0.25">
      <c r="A1282" t="s">
        <v>220</v>
      </c>
      <c r="B1282" t="s">
        <v>5430</v>
      </c>
      <c r="C1282" t="s">
        <v>5858</v>
      </c>
      <c r="D1282" t="s">
        <v>5859</v>
      </c>
      <c r="F1282">
        <v>2</v>
      </c>
      <c r="G1282">
        <v>10.143000000000001</v>
      </c>
      <c r="H1282">
        <v>20.286000000000001</v>
      </c>
      <c r="I1282" t="s">
        <v>2354</v>
      </c>
    </row>
    <row r="1283" spans="1:9" x14ac:dyDescent="0.25">
      <c r="A1283" t="s">
        <v>220</v>
      </c>
      <c r="B1283" t="s">
        <v>5430</v>
      </c>
      <c r="C1283" t="s">
        <v>5860</v>
      </c>
      <c r="D1283" t="s">
        <v>5861</v>
      </c>
      <c r="F1283">
        <v>4</v>
      </c>
      <c r="G1283">
        <v>7.3349999999999991</v>
      </c>
      <c r="H1283">
        <v>29.339999999999996</v>
      </c>
      <c r="I1283" t="s">
        <v>2354</v>
      </c>
    </row>
    <row r="1284" spans="1:9" x14ac:dyDescent="0.25">
      <c r="A1284" t="s">
        <v>220</v>
      </c>
      <c r="B1284" t="s">
        <v>5430</v>
      </c>
      <c r="C1284" t="s">
        <v>5862</v>
      </c>
      <c r="D1284" t="s">
        <v>7967</v>
      </c>
      <c r="F1284">
        <v>1</v>
      </c>
      <c r="G1284">
        <v>0</v>
      </c>
      <c r="H1284">
        <v>0</v>
      </c>
      <c r="I1284" t="s">
        <v>2354</v>
      </c>
    </row>
    <row r="1285" spans="1:9" x14ac:dyDescent="0.25">
      <c r="A1285" t="s">
        <v>220</v>
      </c>
      <c r="B1285" t="s">
        <v>5430</v>
      </c>
      <c r="C1285" t="s">
        <v>2379</v>
      </c>
      <c r="D1285" t="s">
        <v>5864</v>
      </c>
      <c r="F1285">
        <v>5</v>
      </c>
      <c r="G1285">
        <v>10.143000000000001</v>
      </c>
      <c r="H1285">
        <v>50.715000000000003</v>
      </c>
      <c r="I1285" t="s">
        <v>2354</v>
      </c>
    </row>
    <row r="1286" spans="1:9" x14ac:dyDescent="0.25">
      <c r="A1286" t="s">
        <v>220</v>
      </c>
      <c r="B1286" t="s">
        <v>5430</v>
      </c>
      <c r="C1286" t="s">
        <v>5865</v>
      </c>
      <c r="D1286" t="s">
        <v>5866</v>
      </c>
      <c r="F1286">
        <v>5</v>
      </c>
      <c r="G1286">
        <v>10.143000000000001</v>
      </c>
      <c r="H1286">
        <v>50.715000000000003</v>
      </c>
      <c r="I1286" t="s">
        <v>2354</v>
      </c>
    </row>
    <row r="1287" spans="1:9" x14ac:dyDescent="0.25">
      <c r="A1287" t="s">
        <v>220</v>
      </c>
      <c r="B1287" t="s">
        <v>5430</v>
      </c>
      <c r="C1287" t="s">
        <v>2872</v>
      </c>
      <c r="D1287" t="s">
        <v>2873</v>
      </c>
      <c r="F1287">
        <v>3</v>
      </c>
      <c r="G1287">
        <v>10.143000000000001</v>
      </c>
      <c r="H1287">
        <v>30.429000000000002</v>
      </c>
      <c r="I1287" t="s">
        <v>2354</v>
      </c>
    </row>
    <row r="1288" spans="1:9" x14ac:dyDescent="0.25">
      <c r="A1288" t="s">
        <v>220</v>
      </c>
      <c r="B1288" t="s">
        <v>5430</v>
      </c>
      <c r="C1288" t="s">
        <v>5867</v>
      </c>
      <c r="D1288" t="s">
        <v>7968</v>
      </c>
      <c r="F1288">
        <v>5</v>
      </c>
      <c r="G1288">
        <v>3.4289999999999998</v>
      </c>
      <c r="H1288">
        <v>17.145</v>
      </c>
      <c r="I1288" t="s">
        <v>2354</v>
      </c>
    </row>
    <row r="1289" spans="1:9" x14ac:dyDescent="0.25">
      <c r="A1289" t="s">
        <v>220</v>
      </c>
      <c r="B1289" t="s">
        <v>5430</v>
      </c>
      <c r="C1289" t="s">
        <v>5869</v>
      </c>
      <c r="D1289" t="s">
        <v>5870</v>
      </c>
      <c r="F1289">
        <v>3</v>
      </c>
      <c r="G1289">
        <v>4.9490999999999996</v>
      </c>
      <c r="H1289">
        <v>14.847299999999999</v>
      </c>
      <c r="I1289" t="s">
        <v>2354</v>
      </c>
    </row>
    <row r="1290" spans="1:9" x14ac:dyDescent="0.25">
      <c r="A1290" t="s">
        <v>220</v>
      </c>
      <c r="B1290" t="s">
        <v>5430</v>
      </c>
      <c r="C1290" t="s">
        <v>5871</v>
      </c>
      <c r="D1290" t="s">
        <v>7969</v>
      </c>
      <c r="F1290">
        <v>2</v>
      </c>
      <c r="G1290">
        <v>4.3019999999999996</v>
      </c>
      <c r="H1290">
        <v>8.6039999999999992</v>
      </c>
      <c r="I1290" t="s">
        <v>2354</v>
      </c>
    </row>
    <row r="1291" spans="1:9" x14ac:dyDescent="0.25">
      <c r="A1291" t="s">
        <v>220</v>
      </c>
      <c r="B1291" t="s">
        <v>5430</v>
      </c>
      <c r="C1291" t="s">
        <v>5873</v>
      </c>
      <c r="D1291" t="s">
        <v>7970</v>
      </c>
      <c r="F1291">
        <v>8</v>
      </c>
      <c r="G1291">
        <v>30.2148</v>
      </c>
      <c r="H1291">
        <v>241.7184</v>
      </c>
      <c r="I1291" t="s">
        <v>2354</v>
      </c>
    </row>
    <row r="1292" spans="1:9" x14ac:dyDescent="0.25">
      <c r="A1292" t="s">
        <v>220</v>
      </c>
      <c r="B1292" t="s">
        <v>5430</v>
      </c>
      <c r="C1292" t="s">
        <v>5875</v>
      </c>
      <c r="D1292" t="s">
        <v>7971</v>
      </c>
      <c r="F1292">
        <v>4</v>
      </c>
      <c r="G1292">
        <v>4.0823999999999998</v>
      </c>
      <c r="H1292">
        <v>16.329599999999999</v>
      </c>
      <c r="I1292" t="s">
        <v>2354</v>
      </c>
    </row>
    <row r="1293" spans="1:9" x14ac:dyDescent="0.25">
      <c r="A1293" t="s">
        <v>220</v>
      </c>
      <c r="B1293" t="s">
        <v>5430</v>
      </c>
      <c r="C1293" t="s">
        <v>7972</v>
      </c>
      <c r="D1293" t="s">
        <v>7973</v>
      </c>
      <c r="F1293">
        <v>4</v>
      </c>
      <c r="G1293">
        <v>3.06</v>
      </c>
      <c r="H1293">
        <v>12.24</v>
      </c>
      <c r="I1293" t="s">
        <v>2354</v>
      </c>
    </row>
    <row r="1294" spans="1:9" x14ac:dyDescent="0.25">
      <c r="A1294" t="s">
        <v>220</v>
      </c>
      <c r="B1294" t="s">
        <v>5430</v>
      </c>
      <c r="C1294" t="s">
        <v>5879</v>
      </c>
      <c r="D1294" t="s">
        <v>7974</v>
      </c>
      <c r="F1294">
        <v>2</v>
      </c>
      <c r="G1294">
        <v>3.4695</v>
      </c>
      <c r="H1294">
        <v>6.9390000000000001</v>
      </c>
      <c r="I1294" t="s">
        <v>2354</v>
      </c>
    </row>
    <row r="1295" spans="1:9" x14ac:dyDescent="0.25">
      <c r="A1295" t="s">
        <v>220</v>
      </c>
      <c r="B1295" t="s">
        <v>5430</v>
      </c>
      <c r="C1295" t="s">
        <v>5881</v>
      </c>
      <c r="D1295" t="s">
        <v>7975</v>
      </c>
      <c r="F1295">
        <v>3</v>
      </c>
      <c r="G1295">
        <v>2.1429</v>
      </c>
      <c r="H1295">
        <v>6.4287000000000001</v>
      </c>
      <c r="I1295" t="s">
        <v>2354</v>
      </c>
    </row>
    <row r="1296" spans="1:9" x14ac:dyDescent="0.25">
      <c r="A1296" t="s">
        <v>220</v>
      </c>
      <c r="B1296" t="s">
        <v>5430</v>
      </c>
      <c r="C1296" t="s">
        <v>5883</v>
      </c>
      <c r="D1296" t="s">
        <v>7976</v>
      </c>
      <c r="F1296">
        <v>3</v>
      </c>
      <c r="G1296">
        <v>117.227</v>
      </c>
      <c r="H1296">
        <v>351.68100000000004</v>
      </c>
      <c r="I1296" t="s">
        <v>2354</v>
      </c>
    </row>
    <row r="1297" spans="1:9" x14ac:dyDescent="0.25">
      <c r="A1297" t="s">
        <v>220</v>
      </c>
      <c r="B1297" t="s">
        <v>5430</v>
      </c>
      <c r="C1297" t="s">
        <v>5885</v>
      </c>
      <c r="D1297" t="s">
        <v>7977</v>
      </c>
      <c r="F1297">
        <v>6</v>
      </c>
      <c r="G1297">
        <v>7.2</v>
      </c>
      <c r="H1297">
        <v>43.2</v>
      </c>
      <c r="I1297" t="s">
        <v>2354</v>
      </c>
    </row>
    <row r="1298" spans="1:9" x14ac:dyDescent="0.25">
      <c r="A1298" t="s">
        <v>220</v>
      </c>
      <c r="B1298" t="s">
        <v>5430</v>
      </c>
      <c r="C1298" t="s">
        <v>5887</v>
      </c>
      <c r="D1298" t="s">
        <v>5888</v>
      </c>
      <c r="F1298">
        <v>2</v>
      </c>
      <c r="G1298">
        <v>3.2309999999999999</v>
      </c>
      <c r="H1298">
        <v>6.4619999999999997</v>
      </c>
      <c r="I1298" t="s">
        <v>2354</v>
      </c>
    </row>
    <row r="1299" spans="1:9" x14ac:dyDescent="0.25">
      <c r="A1299" t="s">
        <v>220</v>
      </c>
      <c r="B1299" t="s">
        <v>5430</v>
      </c>
      <c r="C1299" t="s">
        <v>5889</v>
      </c>
      <c r="D1299" t="s">
        <v>7978</v>
      </c>
      <c r="F1299">
        <v>5</v>
      </c>
      <c r="G1299">
        <v>8.1647999999999996</v>
      </c>
      <c r="H1299">
        <v>40.823999999999998</v>
      </c>
      <c r="I1299" t="s">
        <v>2354</v>
      </c>
    </row>
    <row r="1300" spans="1:9" x14ac:dyDescent="0.25">
      <c r="A1300" t="s">
        <v>220</v>
      </c>
      <c r="B1300" t="s">
        <v>5430</v>
      </c>
      <c r="C1300" t="s">
        <v>2896</v>
      </c>
      <c r="D1300" t="s">
        <v>2897</v>
      </c>
      <c r="F1300">
        <v>3</v>
      </c>
      <c r="G1300">
        <v>10.143000000000001</v>
      </c>
      <c r="H1300">
        <v>30.429000000000002</v>
      </c>
      <c r="I1300" t="s">
        <v>2354</v>
      </c>
    </row>
    <row r="1301" spans="1:9" x14ac:dyDescent="0.25">
      <c r="A1301" t="s">
        <v>220</v>
      </c>
      <c r="B1301" t="s">
        <v>5430</v>
      </c>
      <c r="C1301" t="s">
        <v>2900</v>
      </c>
      <c r="D1301" t="s">
        <v>2901</v>
      </c>
      <c r="F1301">
        <v>4</v>
      </c>
      <c r="G1301">
        <v>10.143000000000001</v>
      </c>
      <c r="H1301">
        <v>40.572000000000003</v>
      </c>
      <c r="I1301" t="s">
        <v>2354</v>
      </c>
    </row>
    <row r="1302" spans="1:9" x14ac:dyDescent="0.25">
      <c r="A1302" t="s">
        <v>220</v>
      </c>
      <c r="B1302" t="s">
        <v>5430</v>
      </c>
      <c r="C1302" t="s">
        <v>5891</v>
      </c>
      <c r="D1302" t="s">
        <v>5892</v>
      </c>
      <c r="F1302">
        <v>5</v>
      </c>
      <c r="G1302">
        <v>13.4262</v>
      </c>
      <c r="H1302">
        <v>67.131</v>
      </c>
      <c r="I1302" t="s">
        <v>2354</v>
      </c>
    </row>
    <row r="1303" spans="1:9" x14ac:dyDescent="0.25">
      <c r="A1303" t="s">
        <v>220</v>
      </c>
      <c r="B1303" t="s">
        <v>5430</v>
      </c>
      <c r="C1303" t="s">
        <v>5893</v>
      </c>
      <c r="D1303" t="s">
        <v>7979</v>
      </c>
      <c r="F1303">
        <v>7</v>
      </c>
      <c r="G1303">
        <v>15.36651</v>
      </c>
      <c r="H1303">
        <v>107.56556999999999</v>
      </c>
      <c r="I1303" t="s">
        <v>2354</v>
      </c>
    </row>
    <row r="1304" spans="1:9" x14ac:dyDescent="0.25">
      <c r="A1304" t="s">
        <v>220</v>
      </c>
      <c r="B1304" t="s">
        <v>5430</v>
      </c>
      <c r="C1304" t="s">
        <v>2906</v>
      </c>
      <c r="D1304" t="s">
        <v>2907</v>
      </c>
      <c r="F1304">
        <v>6</v>
      </c>
      <c r="G1304">
        <v>7.1639999999999988</v>
      </c>
      <c r="H1304">
        <v>42.983999999999995</v>
      </c>
      <c r="I1304" t="s">
        <v>2354</v>
      </c>
    </row>
    <row r="1305" spans="1:9" x14ac:dyDescent="0.25">
      <c r="A1305" t="s">
        <v>220</v>
      </c>
      <c r="B1305" t="s">
        <v>5430</v>
      </c>
      <c r="C1305" t="s">
        <v>5895</v>
      </c>
      <c r="D1305" t="s">
        <v>5896</v>
      </c>
      <c r="F1305">
        <v>5</v>
      </c>
      <c r="G1305">
        <v>3.1560000000000001</v>
      </c>
      <c r="H1305">
        <v>15.780000000000001</v>
      </c>
      <c r="I1305" t="s">
        <v>2354</v>
      </c>
    </row>
    <row r="1306" spans="1:9" x14ac:dyDescent="0.25">
      <c r="A1306" t="s">
        <v>220</v>
      </c>
      <c r="B1306" t="s">
        <v>5430</v>
      </c>
      <c r="C1306" t="s">
        <v>5897</v>
      </c>
      <c r="D1306" t="s">
        <v>5898</v>
      </c>
      <c r="F1306">
        <v>6</v>
      </c>
      <c r="G1306">
        <v>10.143000000000001</v>
      </c>
      <c r="H1306">
        <v>60.858000000000004</v>
      </c>
      <c r="I1306" t="s">
        <v>2354</v>
      </c>
    </row>
    <row r="1307" spans="1:9" x14ac:dyDescent="0.25">
      <c r="A1307" t="s">
        <v>220</v>
      </c>
      <c r="B1307" t="s">
        <v>5430</v>
      </c>
      <c r="C1307" t="s">
        <v>5899</v>
      </c>
      <c r="D1307" t="s">
        <v>5900</v>
      </c>
      <c r="F1307">
        <v>5</v>
      </c>
      <c r="G1307">
        <v>6.75</v>
      </c>
      <c r="H1307">
        <v>33.75</v>
      </c>
      <c r="I1307" t="s">
        <v>2354</v>
      </c>
    </row>
    <row r="1308" spans="1:9" x14ac:dyDescent="0.25">
      <c r="A1308" t="s">
        <v>220</v>
      </c>
      <c r="B1308" t="s">
        <v>5430</v>
      </c>
      <c r="C1308" t="s">
        <v>7980</v>
      </c>
      <c r="D1308" t="s">
        <v>7981</v>
      </c>
      <c r="F1308">
        <v>4</v>
      </c>
      <c r="G1308">
        <v>15.587999999999999</v>
      </c>
      <c r="H1308">
        <v>62.351999999999997</v>
      </c>
      <c r="I1308" t="s">
        <v>2354</v>
      </c>
    </row>
    <row r="1309" spans="1:9" x14ac:dyDescent="0.25">
      <c r="A1309" t="s">
        <v>220</v>
      </c>
      <c r="B1309" t="s">
        <v>5430</v>
      </c>
      <c r="C1309" t="s">
        <v>5903</v>
      </c>
      <c r="D1309" t="s">
        <v>5904</v>
      </c>
      <c r="F1309">
        <v>22</v>
      </c>
      <c r="G1309">
        <v>10.143000000000001</v>
      </c>
      <c r="H1309">
        <v>223.14600000000002</v>
      </c>
      <c r="I1309" t="s">
        <v>2354</v>
      </c>
    </row>
    <row r="1310" spans="1:9" x14ac:dyDescent="0.25">
      <c r="A1310" t="s">
        <v>220</v>
      </c>
      <c r="B1310" t="s">
        <v>5430</v>
      </c>
      <c r="C1310" t="s">
        <v>2926</v>
      </c>
      <c r="D1310" t="s">
        <v>2927</v>
      </c>
      <c r="F1310">
        <v>1</v>
      </c>
      <c r="G1310">
        <v>7.9001999999999999</v>
      </c>
      <c r="H1310">
        <v>7.9001999999999999</v>
      </c>
      <c r="I1310" t="s">
        <v>2354</v>
      </c>
    </row>
    <row r="1311" spans="1:9" x14ac:dyDescent="0.25">
      <c r="A1311" t="s">
        <v>220</v>
      </c>
      <c r="B1311" t="s">
        <v>5430</v>
      </c>
      <c r="C1311" t="s">
        <v>5905</v>
      </c>
      <c r="D1311" t="s">
        <v>5906</v>
      </c>
      <c r="F1311">
        <v>5</v>
      </c>
      <c r="G1311">
        <v>6.4124999999999996</v>
      </c>
      <c r="H1311">
        <v>32.0625</v>
      </c>
      <c r="I1311" t="s">
        <v>2354</v>
      </c>
    </row>
    <row r="1312" spans="1:9" x14ac:dyDescent="0.25">
      <c r="A1312" t="s">
        <v>220</v>
      </c>
      <c r="B1312" t="s">
        <v>5430</v>
      </c>
      <c r="C1312" t="s">
        <v>2934</v>
      </c>
      <c r="D1312" t="s">
        <v>2935</v>
      </c>
      <c r="F1312">
        <v>2</v>
      </c>
      <c r="G1312">
        <v>38.568600000000004</v>
      </c>
      <c r="H1312">
        <v>77.137200000000007</v>
      </c>
      <c r="I1312" t="s">
        <v>2354</v>
      </c>
    </row>
    <row r="1313" spans="1:9" x14ac:dyDescent="0.25">
      <c r="A1313" t="s">
        <v>220</v>
      </c>
      <c r="B1313" t="s">
        <v>5430</v>
      </c>
      <c r="C1313" t="s">
        <v>5907</v>
      </c>
      <c r="D1313" t="s">
        <v>5908</v>
      </c>
      <c r="F1313">
        <v>3</v>
      </c>
      <c r="G1313">
        <v>10.143000000000001</v>
      </c>
      <c r="H1313">
        <v>30.429000000000002</v>
      </c>
      <c r="I1313" t="s">
        <v>2354</v>
      </c>
    </row>
    <row r="1314" spans="1:9" x14ac:dyDescent="0.25">
      <c r="A1314" t="s">
        <v>220</v>
      </c>
      <c r="B1314" t="s">
        <v>5430</v>
      </c>
      <c r="C1314" t="s">
        <v>5909</v>
      </c>
      <c r="D1314" t="s">
        <v>5910</v>
      </c>
      <c r="F1314">
        <v>2</v>
      </c>
      <c r="G1314">
        <v>10.143000000000001</v>
      </c>
      <c r="H1314">
        <v>20.286000000000001</v>
      </c>
      <c r="I1314" t="s">
        <v>2354</v>
      </c>
    </row>
    <row r="1315" spans="1:9" x14ac:dyDescent="0.25">
      <c r="A1315" t="s">
        <v>220</v>
      </c>
      <c r="B1315" t="s">
        <v>5430</v>
      </c>
      <c r="C1315" t="s">
        <v>5911</v>
      </c>
      <c r="D1315" t="s">
        <v>7982</v>
      </c>
      <c r="F1315">
        <v>4</v>
      </c>
      <c r="G1315">
        <v>29.336232857142853</v>
      </c>
      <c r="H1315">
        <v>117.34493142857141</v>
      </c>
      <c r="I1315" t="s">
        <v>2354</v>
      </c>
    </row>
    <row r="1316" spans="1:9" x14ac:dyDescent="0.25">
      <c r="A1316" t="s">
        <v>220</v>
      </c>
      <c r="B1316" t="s">
        <v>5430</v>
      </c>
      <c r="C1316" t="s">
        <v>5913</v>
      </c>
      <c r="D1316" t="s">
        <v>7983</v>
      </c>
      <c r="F1316">
        <v>10</v>
      </c>
      <c r="G1316">
        <v>26.959499999999998</v>
      </c>
      <c r="H1316">
        <v>269.59499999999997</v>
      </c>
      <c r="I1316" t="s">
        <v>2354</v>
      </c>
    </row>
    <row r="1317" spans="1:9" x14ac:dyDescent="0.25">
      <c r="A1317" t="s">
        <v>220</v>
      </c>
      <c r="B1317" t="s">
        <v>5430</v>
      </c>
      <c r="C1317" t="s">
        <v>5915</v>
      </c>
      <c r="D1317" t="s">
        <v>7984</v>
      </c>
      <c r="F1317">
        <v>4</v>
      </c>
      <c r="G1317">
        <v>5.7366000000000001</v>
      </c>
      <c r="H1317">
        <v>22.946400000000001</v>
      </c>
      <c r="I1317" t="s">
        <v>2354</v>
      </c>
    </row>
    <row r="1318" spans="1:9" x14ac:dyDescent="0.25">
      <c r="A1318" t="s">
        <v>220</v>
      </c>
      <c r="B1318" t="s">
        <v>5430</v>
      </c>
      <c r="C1318" t="s">
        <v>5917</v>
      </c>
      <c r="D1318" t="s">
        <v>7985</v>
      </c>
      <c r="F1318">
        <v>1</v>
      </c>
      <c r="G1318">
        <v>5.58</v>
      </c>
      <c r="H1318">
        <v>5.58</v>
      </c>
      <c r="I1318" t="s">
        <v>2354</v>
      </c>
    </row>
    <row r="1319" spans="1:9" x14ac:dyDescent="0.25">
      <c r="A1319" t="s">
        <v>220</v>
      </c>
      <c r="B1319" t="s">
        <v>5430</v>
      </c>
      <c r="C1319" t="s">
        <v>5919</v>
      </c>
      <c r="D1319" t="s">
        <v>7986</v>
      </c>
      <c r="F1319">
        <v>3</v>
      </c>
      <c r="G1319">
        <v>9.4499999999999993</v>
      </c>
      <c r="H1319">
        <v>28.349999999999998</v>
      </c>
      <c r="I1319" t="s">
        <v>2354</v>
      </c>
    </row>
    <row r="1320" spans="1:9" x14ac:dyDescent="0.25">
      <c r="A1320" t="s">
        <v>220</v>
      </c>
      <c r="B1320" t="s">
        <v>5430</v>
      </c>
      <c r="C1320" t="s">
        <v>5921</v>
      </c>
      <c r="D1320" t="s">
        <v>7987</v>
      </c>
      <c r="F1320">
        <v>1</v>
      </c>
      <c r="G1320">
        <v>0</v>
      </c>
      <c r="H1320">
        <v>0</v>
      </c>
      <c r="I1320" t="s">
        <v>2354</v>
      </c>
    </row>
    <row r="1321" spans="1:9" x14ac:dyDescent="0.25">
      <c r="A1321" t="s">
        <v>220</v>
      </c>
      <c r="B1321" t="s">
        <v>5430</v>
      </c>
      <c r="C1321" t="s">
        <v>5923</v>
      </c>
      <c r="D1321" t="s">
        <v>7988</v>
      </c>
      <c r="F1321">
        <v>4</v>
      </c>
      <c r="G1321">
        <v>4.1040000000000001</v>
      </c>
      <c r="H1321">
        <v>16.416</v>
      </c>
      <c r="I1321" t="s">
        <v>2354</v>
      </c>
    </row>
    <row r="1322" spans="1:9" x14ac:dyDescent="0.25">
      <c r="A1322" t="s">
        <v>220</v>
      </c>
      <c r="B1322" t="s">
        <v>5430</v>
      </c>
      <c r="C1322" t="s">
        <v>5925</v>
      </c>
      <c r="D1322" t="s">
        <v>7989</v>
      </c>
      <c r="F1322">
        <v>3</v>
      </c>
      <c r="G1322">
        <v>6.9992999999999999</v>
      </c>
      <c r="H1322">
        <v>20.997900000000001</v>
      </c>
      <c r="I1322" t="s">
        <v>2354</v>
      </c>
    </row>
    <row r="1323" spans="1:9" x14ac:dyDescent="0.25">
      <c r="A1323" t="s">
        <v>220</v>
      </c>
      <c r="B1323" t="s">
        <v>5430</v>
      </c>
      <c r="C1323" t="s">
        <v>5927</v>
      </c>
      <c r="D1323" t="s">
        <v>7990</v>
      </c>
      <c r="F1323">
        <v>1</v>
      </c>
      <c r="G1323">
        <v>51.232500000000002</v>
      </c>
      <c r="H1323">
        <v>51.232500000000002</v>
      </c>
      <c r="I1323" t="s">
        <v>2354</v>
      </c>
    </row>
    <row r="1324" spans="1:9" x14ac:dyDescent="0.25">
      <c r="A1324" t="s">
        <v>220</v>
      </c>
      <c r="B1324" t="s">
        <v>5430</v>
      </c>
      <c r="C1324" t="s">
        <v>5929</v>
      </c>
      <c r="D1324" t="s">
        <v>5930</v>
      </c>
      <c r="F1324">
        <v>4</v>
      </c>
      <c r="G1324">
        <v>3.7530000000000001</v>
      </c>
      <c r="H1324">
        <v>15.012</v>
      </c>
      <c r="I1324" t="s">
        <v>2354</v>
      </c>
    </row>
    <row r="1325" spans="1:9" x14ac:dyDescent="0.25">
      <c r="A1325" t="s">
        <v>220</v>
      </c>
      <c r="B1325" t="s">
        <v>5430</v>
      </c>
      <c r="C1325" t="s">
        <v>5931</v>
      </c>
      <c r="D1325" t="s">
        <v>7991</v>
      </c>
      <c r="F1325">
        <v>5</v>
      </c>
      <c r="G1325">
        <v>14.265000000000001</v>
      </c>
      <c r="H1325">
        <v>71.325000000000003</v>
      </c>
      <c r="I1325" t="s">
        <v>2354</v>
      </c>
    </row>
    <row r="1326" spans="1:9" x14ac:dyDescent="0.25">
      <c r="A1326" t="s">
        <v>220</v>
      </c>
      <c r="B1326" t="s">
        <v>5430</v>
      </c>
      <c r="C1326" t="s">
        <v>5933</v>
      </c>
      <c r="D1326" t="s">
        <v>7992</v>
      </c>
      <c r="F1326">
        <v>5</v>
      </c>
      <c r="G1326">
        <v>11.79</v>
      </c>
      <c r="H1326">
        <v>58.949999999999996</v>
      </c>
      <c r="I1326" t="s">
        <v>2354</v>
      </c>
    </row>
    <row r="1327" spans="1:9" x14ac:dyDescent="0.25">
      <c r="A1327" t="s">
        <v>220</v>
      </c>
      <c r="B1327" t="s">
        <v>5430</v>
      </c>
      <c r="C1327" t="s">
        <v>5935</v>
      </c>
      <c r="D1327" t="s">
        <v>7993</v>
      </c>
      <c r="F1327">
        <v>3</v>
      </c>
      <c r="G1327">
        <v>7.8840000000000003</v>
      </c>
      <c r="H1327">
        <v>23.652000000000001</v>
      </c>
      <c r="I1327" t="s">
        <v>2354</v>
      </c>
    </row>
    <row r="1328" spans="1:9" x14ac:dyDescent="0.25">
      <c r="A1328" t="s">
        <v>220</v>
      </c>
      <c r="B1328" t="s">
        <v>5430</v>
      </c>
      <c r="C1328" t="s">
        <v>5937</v>
      </c>
      <c r="D1328" t="s">
        <v>7994</v>
      </c>
      <c r="F1328">
        <v>1</v>
      </c>
      <c r="G1328">
        <v>4.05</v>
      </c>
      <c r="H1328">
        <v>4.05</v>
      </c>
      <c r="I1328" t="s">
        <v>2354</v>
      </c>
    </row>
    <row r="1329" spans="1:9" x14ac:dyDescent="0.25">
      <c r="A1329" t="s">
        <v>220</v>
      </c>
      <c r="B1329" t="s">
        <v>5430</v>
      </c>
      <c r="C1329" t="s">
        <v>5939</v>
      </c>
      <c r="D1329" t="s">
        <v>7995</v>
      </c>
      <c r="F1329">
        <v>1</v>
      </c>
      <c r="G1329">
        <v>20.411999999999999</v>
      </c>
      <c r="H1329">
        <v>20.411999999999999</v>
      </c>
      <c r="I1329" t="s">
        <v>2354</v>
      </c>
    </row>
    <row r="1330" spans="1:9" x14ac:dyDescent="0.25">
      <c r="A1330" t="s">
        <v>220</v>
      </c>
      <c r="B1330" t="s">
        <v>5430</v>
      </c>
      <c r="C1330" t="s">
        <v>5941</v>
      </c>
      <c r="D1330" t="s">
        <v>7996</v>
      </c>
      <c r="F1330">
        <v>6</v>
      </c>
      <c r="G1330">
        <v>3.9266999999999994</v>
      </c>
      <c r="H1330">
        <v>23.560199999999995</v>
      </c>
      <c r="I1330" t="s">
        <v>2354</v>
      </c>
    </row>
    <row r="1331" spans="1:9" x14ac:dyDescent="0.25">
      <c r="A1331" t="s">
        <v>220</v>
      </c>
      <c r="B1331" t="s">
        <v>5430</v>
      </c>
      <c r="C1331" t="s">
        <v>5943</v>
      </c>
      <c r="D1331" t="s">
        <v>7997</v>
      </c>
      <c r="F1331">
        <v>12</v>
      </c>
      <c r="G1331">
        <v>15.1434</v>
      </c>
      <c r="H1331">
        <v>181.7208</v>
      </c>
      <c r="I1331" t="s">
        <v>2354</v>
      </c>
    </row>
    <row r="1332" spans="1:9" x14ac:dyDescent="0.25">
      <c r="A1332" t="s">
        <v>220</v>
      </c>
      <c r="B1332" t="s">
        <v>5430</v>
      </c>
      <c r="C1332" t="s">
        <v>5945</v>
      </c>
      <c r="D1332" t="s">
        <v>5946</v>
      </c>
      <c r="F1332">
        <v>6</v>
      </c>
      <c r="G1332">
        <v>31.013999999999999</v>
      </c>
      <c r="H1332">
        <v>186.084</v>
      </c>
      <c r="I1332" t="s">
        <v>2354</v>
      </c>
    </row>
    <row r="1333" spans="1:9" x14ac:dyDescent="0.25">
      <c r="A1333" t="s">
        <v>220</v>
      </c>
      <c r="B1333" t="s">
        <v>5430</v>
      </c>
      <c r="C1333" t="s">
        <v>2956</v>
      </c>
      <c r="D1333" t="s">
        <v>2957</v>
      </c>
      <c r="F1333">
        <v>1</v>
      </c>
      <c r="G1333">
        <v>33.344999999999999</v>
      </c>
      <c r="H1333">
        <v>33.344999999999999</v>
      </c>
      <c r="I1333" t="s">
        <v>2354</v>
      </c>
    </row>
    <row r="1334" spans="1:9" x14ac:dyDescent="0.25">
      <c r="A1334" t="s">
        <v>220</v>
      </c>
      <c r="B1334" t="s">
        <v>5430</v>
      </c>
      <c r="C1334" t="s">
        <v>5947</v>
      </c>
      <c r="D1334" t="s">
        <v>7998</v>
      </c>
      <c r="F1334">
        <v>2</v>
      </c>
      <c r="G1334">
        <v>59.1648</v>
      </c>
      <c r="H1334">
        <v>118.3296</v>
      </c>
      <c r="I1334" t="s">
        <v>2354</v>
      </c>
    </row>
    <row r="1335" spans="1:9" x14ac:dyDescent="0.25">
      <c r="A1335" t="s">
        <v>220</v>
      </c>
      <c r="B1335" t="s">
        <v>5430</v>
      </c>
      <c r="C1335" t="s">
        <v>5949</v>
      </c>
      <c r="D1335" t="s">
        <v>7999</v>
      </c>
      <c r="F1335">
        <v>11</v>
      </c>
      <c r="G1335">
        <v>23.895</v>
      </c>
      <c r="H1335">
        <v>262.84499999999997</v>
      </c>
      <c r="I1335" t="s">
        <v>2354</v>
      </c>
    </row>
    <row r="1336" spans="1:9" x14ac:dyDescent="0.25">
      <c r="A1336" t="s">
        <v>220</v>
      </c>
      <c r="B1336" t="s">
        <v>5430</v>
      </c>
      <c r="C1336" t="s">
        <v>5951</v>
      </c>
      <c r="D1336" t="s">
        <v>5952</v>
      </c>
      <c r="F1336">
        <v>1</v>
      </c>
      <c r="G1336">
        <v>13.86</v>
      </c>
      <c r="H1336">
        <v>13.86</v>
      </c>
      <c r="I1336" t="s">
        <v>2354</v>
      </c>
    </row>
    <row r="1337" spans="1:9" x14ac:dyDescent="0.25">
      <c r="A1337" t="s">
        <v>220</v>
      </c>
      <c r="B1337" t="s">
        <v>5430</v>
      </c>
      <c r="C1337" t="s">
        <v>5953</v>
      </c>
      <c r="D1337" t="s">
        <v>5954</v>
      </c>
      <c r="F1337">
        <v>2</v>
      </c>
      <c r="G1337">
        <v>13.379200000000001</v>
      </c>
      <c r="H1337">
        <v>26.758400000000002</v>
      </c>
      <c r="I1337" t="s">
        <v>2354</v>
      </c>
    </row>
    <row r="1338" spans="1:9" x14ac:dyDescent="0.25">
      <c r="A1338" t="s">
        <v>220</v>
      </c>
      <c r="B1338" t="s">
        <v>5430</v>
      </c>
      <c r="C1338" t="s">
        <v>5955</v>
      </c>
      <c r="D1338" t="s">
        <v>8000</v>
      </c>
      <c r="F1338">
        <v>4</v>
      </c>
      <c r="G1338">
        <v>0</v>
      </c>
      <c r="H1338">
        <v>0</v>
      </c>
      <c r="I1338" t="s">
        <v>2354</v>
      </c>
    </row>
    <row r="1339" spans="1:9" x14ac:dyDescent="0.25">
      <c r="A1339" t="s">
        <v>220</v>
      </c>
      <c r="B1339" t="s">
        <v>5430</v>
      </c>
      <c r="C1339" t="s">
        <v>5957</v>
      </c>
      <c r="D1339" t="s">
        <v>8001</v>
      </c>
      <c r="F1339">
        <v>3</v>
      </c>
      <c r="G1339">
        <v>0</v>
      </c>
      <c r="H1339">
        <v>0</v>
      </c>
      <c r="I1339" t="s">
        <v>2354</v>
      </c>
    </row>
    <row r="1340" spans="1:9" x14ac:dyDescent="0.25">
      <c r="A1340" t="s">
        <v>220</v>
      </c>
      <c r="B1340" t="s">
        <v>5430</v>
      </c>
      <c r="C1340" t="s">
        <v>5959</v>
      </c>
      <c r="D1340" t="s">
        <v>8002</v>
      </c>
      <c r="F1340">
        <v>6</v>
      </c>
      <c r="G1340">
        <v>0</v>
      </c>
      <c r="H1340">
        <v>0</v>
      </c>
      <c r="I1340" t="s">
        <v>2354</v>
      </c>
    </row>
    <row r="1341" spans="1:9" x14ac:dyDescent="0.25">
      <c r="A1341" t="s">
        <v>220</v>
      </c>
      <c r="B1341" t="s">
        <v>5430</v>
      </c>
      <c r="C1341" t="s">
        <v>5961</v>
      </c>
      <c r="D1341" t="s">
        <v>8003</v>
      </c>
      <c r="F1341">
        <v>6</v>
      </c>
      <c r="G1341">
        <v>0</v>
      </c>
      <c r="H1341">
        <v>0</v>
      </c>
      <c r="I1341" t="s">
        <v>2354</v>
      </c>
    </row>
    <row r="1342" spans="1:9" x14ac:dyDescent="0.25">
      <c r="A1342" t="s">
        <v>220</v>
      </c>
      <c r="B1342" t="s">
        <v>5430</v>
      </c>
      <c r="C1342" t="s">
        <v>8004</v>
      </c>
      <c r="D1342" t="s">
        <v>8005</v>
      </c>
      <c r="F1342">
        <v>10</v>
      </c>
      <c r="G1342">
        <v>95</v>
      </c>
      <c r="H1342">
        <v>950</v>
      </c>
      <c r="I1342" t="s">
        <v>2354</v>
      </c>
    </row>
    <row r="1343" spans="1:9" x14ac:dyDescent="0.25">
      <c r="A1343" t="s">
        <v>220</v>
      </c>
      <c r="B1343" t="s">
        <v>5430</v>
      </c>
      <c r="C1343" t="s">
        <v>5963</v>
      </c>
      <c r="D1343" t="s">
        <v>8006</v>
      </c>
      <c r="F1343">
        <v>3</v>
      </c>
      <c r="G1343">
        <v>25.974</v>
      </c>
      <c r="H1343">
        <v>77.921999999999997</v>
      </c>
      <c r="I1343" t="s">
        <v>2354</v>
      </c>
    </row>
    <row r="1344" spans="1:9" x14ac:dyDescent="0.25">
      <c r="A1344" t="s">
        <v>220</v>
      </c>
      <c r="B1344" t="s">
        <v>5430</v>
      </c>
      <c r="C1344" t="s">
        <v>5965</v>
      </c>
      <c r="D1344" t="s">
        <v>8007</v>
      </c>
      <c r="F1344">
        <v>4</v>
      </c>
      <c r="G1344">
        <v>36.090000000000003</v>
      </c>
      <c r="H1344">
        <v>144.36000000000001</v>
      </c>
      <c r="I1344" t="s">
        <v>2354</v>
      </c>
    </row>
    <row r="1345" spans="1:9" x14ac:dyDescent="0.25">
      <c r="A1345" t="s">
        <v>220</v>
      </c>
      <c r="B1345" t="s">
        <v>5430</v>
      </c>
      <c r="C1345" t="s">
        <v>5967</v>
      </c>
      <c r="D1345" t="s">
        <v>8008</v>
      </c>
      <c r="F1345">
        <v>2</v>
      </c>
      <c r="G1345">
        <v>0</v>
      </c>
      <c r="H1345">
        <v>0</v>
      </c>
      <c r="I1345" t="s">
        <v>2354</v>
      </c>
    </row>
    <row r="1346" spans="1:9" x14ac:dyDescent="0.25">
      <c r="A1346" t="s">
        <v>220</v>
      </c>
      <c r="B1346" t="s">
        <v>5430</v>
      </c>
      <c r="C1346" t="s">
        <v>8009</v>
      </c>
      <c r="D1346" t="s">
        <v>8010</v>
      </c>
      <c r="F1346">
        <v>8</v>
      </c>
      <c r="G1346">
        <v>0</v>
      </c>
      <c r="H1346">
        <v>0</v>
      </c>
      <c r="I1346" t="s">
        <v>2354</v>
      </c>
    </row>
    <row r="1347" spans="1:9" x14ac:dyDescent="0.25">
      <c r="A1347" t="s">
        <v>220</v>
      </c>
      <c r="B1347" t="s">
        <v>5430</v>
      </c>
      <c r="C1347" t="s">
        <v>8011</v>
      </c>
      <c r="D1347" t="s">
        <v>8012</v>
      </c>
      <c r="F1347">
        <v>3</v>
      </c>
      <c r="G1347">
        <v>0</v>
      </c>
      <c r="H1347">
        <v>0</v>
      </c>
      <c r="I1347" t="s">
        <v>2354</v>
      </c>
    </row>
    <row r="1348" spans="1:9" x14ac:dyDescent="0.25">
      <c r="A1348" t="s">
        <v>220</v>
      </c>
      <c r="B1348" t="s">
        <v>5430</v>
      </c>
      <c r="C1348" t="s">
        <v>8013</v>
      </c>
      <c r="D1348" t="s">
        <v>8014</v>
      </c>
      <c r="F1348">
        <v>1</v>
      </c>
      <c r="G1348">
        <v>0</v>
      </c>
      <c r="H1348">
        <v>0</v>
      </c>
      <c r="I1348" t="s">
        <v>2354</v>
      </c>
    </row>
    <row r="1349" spans="1:9" x14ac:dyDescent="0.25">
      <c r="A1349" t="s">
        <v>220</v>
      </c>
      <c r="B1349" t="s">
        <v>5430</v>
      </c>
      <c r="C1349" t="s">
        <v>5969</v>
      </c>
      <c r="D1349" t="s">
        <v>8015</v>
      </c>
      <c r="F1349">
        <v>4</v>
      </c>
      <c r="G1349">
        <v>27.607500000000002</v>
      </c>
      <c r="H1349">
        <v>110.43</v>
      </c>
      <c r="I1349" t="s">
        <v>2354</v>
      </c>
    </row>
    <row r="1350" spans="1:9" x14ac:dyDescent="0.25">
      <c r="A1350" t="s">
        <v>220</v>
      </c>
      <c r="B1350" t="s">
        <v>5430</v>
      </c>
      <c r="C1350" t="s">
        <v>5971</v>
      </c>
      <c r="D1350" t="s">
        <v>8016</v>
      </c>
      <c r="F1350">
        <v>3</v>
      </c>
      <c r="G1350">
        <v>16.086600000000001</v>
      </c>
      <c r="H1350">
        <v>48.259799999999998</v>
      </c>
      <c r="I1350" t="s">
        <v>2354</v>
      </c>
    </row>
    <row r="1351" spans="1:9" x14ac:dyDescent="0.25">
      <c r="A1351" t="s">
        <v>220</v>
      </c>
      <c r="B1351" t="s">
        <v>5430</v>
      </c>
      <c r="C1351" t="s">
        <v>5973</v>
      </c>
      <c r="D1351" t="s">
        <v>8017</v>
      </c>
      <c r="F1351">
        <v>3</v>
      </c>
      <c r="G1351">
        <v>43.100099999999998</v>
      </c>
      <c r="H1351">
        <v>129.30029999999999</v>
      </c>
      <c r="I1351" t="s">
        <v>2354</v>
      </c>
    </row>
    <row r="1352" spans="1:9" x14ac:dyDescent="0.25">
      <c r="A1352" t="s">
        <v>220</v>
      </c>
      <c r="B1352" t="s">
        <v>5430</v>
      </c>
      <c r="C1352" t="s">
        <v>5975</v>
      </c>
      <c r="D1352" t="s">
        <v>8018</v>
      </c>
      <c r="F1352">
        <v>6</v>
      </c>
      <c r="G1352">
        <v>38.300400000000003</v>
      </c>
      <c r="H1352">
        <v>229.80240000000003</v>
      </c>
      <c r="I1352" t="s">
        <v>2354</v>
      </c>
    </row>
    <row r="1353" spans="1:9" x14ac:dyDescent="0.25">
      <c r="A1353" t="s">
        <v>220</v>
      </c>
      <c r="B1353" t="s">
        <v>5430</v>
      </c>
      <c r="C1353" t="s">
        <v>5977</v>
      </c>
      <c r="D1353" t="s">
        <v>8019</v>
      </c>
      <c r="F1353">
        <v>2</v>
      </c>
      <c r="G1353">
        <v>42.730200000000004</v>
      </c>
      <c r="H1353">
        <v>85.460400000000007</v>
      </c>
      <c r="I1353" t="s">
        <v>2354</v>
      </c>
    </row>
    <row r="1354" spans="1:9" x14ac:dyDescent="0.25">
      <c r="A1354" t="s">
        <v>220</v>
      </c>
      <c r="B1354" t="s">
        <v>5430</v>
      </c>
      <c r="C1354" t="s">
        <v>5979</v>
      </c>
      <c r="D1354" t="s">
        <v>5980</v>
      </c>
      <c r="F1354">
        <v>2</v>
      </c>
      <c r="G1354">
        <v>54.818100000000001</v>
      </c>
      <c r="H1354">
        <v>109.6362</v>
      </c>
      <c r="I1354" t="s">
        <v>2354</v>
      </c>
    </row>
    <row r="1355" spans="1:9" x14ac:dyDescent="0.25">
      <c r="A1355" t="s">
        <v>220</v>
      </c>
      <c r="B1355" t="s">
        <v>5430</v>
      </c>
      <c r="C1355" t="s">
        <v>5981</v>
      </c>
      <c r="D1355" t="s">
        <v>8020</v>
      </c>
      <c r="F1355">
        <v>4</v>
      </c>
      <c r="G1355">
        <v>64.062899999999999</v>
      </c>
      <c r="H1355">
        <v>256.2516</v>
      </c>
      <c r="I1355" t="s">
        <v>2354</v>
      </c>
    </row>
    <row r="1356" spans="1:9" x14ac:dyDescent="0.25">
      <c r="A1356" t="s">
        <v>220</v>
      </c>
      <c r="B1356" t="s">
        <v>5430</v>
      </c>
      <c r="C1356" t="s">
        <v>5983</v>
      </c>
      <c r="D1356" t="s">
        <v>8021</v>
      </c>
      <c r="F1356">
        <v>1</v>
      </c>
      <c r="G1356">
        <v>26.139600000000002</v>
      </c>
      <c r="H1356">
        <v>26.139600000000002</v>
      </c>
      <c r="I1356" t="s">
        <v>2354</v>
      </c>
    </row>
    <row r="1357" spans="1:9" x14ac:dyDescent="0.25">
      <c r="A1357" t="s">
        <v>220</v>
      </c>
      <c r="B1357" t="s">
        <v>5430</v>
      </c>
      <c r="C1357" t="s">
        <v>5985</v>
      </c>
      <c r="D1357" t="s">
        <v>8022</v>
      </c>
      <c r="F1357">
        <v>4</v>
      </c>
      <c r="G1357">
        <v>23.4</v>
      </c>
      <c r="H1357">
        <v>93.6</v>
      </c>
      <c r="I1357" t="s">
        <v>2354</v>
      </c>
    </row>
    <row r="1358" spans="1:9" x14ac:dyDescent="0.25">
      <c r="A1358" t="s">
        <v>220</v>
      </c>
      <c r="B1358" t="s">
        <v>5430</v>
      </c>
      <c r="C1358" t="s">
        <v>5987</v>
      </c>
      <c r="D1358" t="s">
        <v>8023</v>
      </c>
      <c r="F1358">
        <v>2</v>
      </c>
      <c r="G1358">
        <v>37.4283</v>
      </c>
      <c r="H1358">
        <v>74.8566</v>
      </c>
      <c r="I1358" t="s">
        <v>2354</v>
      </c>
    </row>
    <row r="1359" spans="1:9" x14ac:dyDescent="0.25">
      <c r="A1359" t="s">
        <v>220</v>
      </c>
      <c r="B1359" t="s">
        <v>5430</v>
      </c>
      <c r="C1359" t="s">
        <v>5989</v>
      </c>
      <c r="D1359" t="s">
        <v>8024</v>
      </c>
      <c r="F1359">
        <v>2</v>
      </c>
      <c r="G1359">
        <v>0</v>
      </c>
      <c r="H1359">
        <v>0</v>
      </c>
      <c r="I1359" t="s">
        <v>2354</v>
      </c>
    </row>
    <row r="1360" spans="1:9" x14ac:dyDescent="0.25">
      <c r="A1360" t="s">
        <v>220</v>
      </c>
      <c r="B1360" t="s">
        <v>5430</v>
      </c>
      <c r="C1360" t="s">
        <v>2996</v>
      </c>
      <c r="D1360" t="s">
        <v>8025</v>
      </c>
      <c r="F1360">
        <v>2</v>
      </c>
      <c r="G1360">
        <v>9.4616999999999987</v>
      </c>
      <c r="H1360">
        <v>18.923399999999997</v>
      </c>
      <c r="I1360" t="s">
        <v>2354</v>
      </c>
    </row>
    <row r="1361" spans="1:9" x14ac:dyDescent="0.25">
      <c r="A1361" t="s">
        <v>220</v>
      </c>
      <c r="B1361" t="s">
        <v>5430</v>
      </c>
      <c r="C1361" t="s">
        <v>2383</v>
      </c>
      <c r="D1361" t="s">
        <v>8026</v>
      </c>
      <c r="F1361">
        <v>5</v>
      </c>
      <c r="G1361">
        <v>21.7224</v>
      </c>
      <c r="H1361">
        <v>108.61199999999999</v>
      </c>
      <c r="I1361" t="s">
        <v>2354</v>
      </c>
    </row>
    <row r="1362" spans="1:9" x14ac:dyDescent="0.25">
      <c r="A1362" t="s">
        <v>220</v>
      </c>
      <c r="B1362" t="s">
        <v>5430</v>
      </c>
      <c r="C1362" t="s">
        <v>2998</v>
      </c>
      <c r="D1362" t="s">
        <v>8027</v>
      </c>
      <c r="F1362">
        <v>6</v>
      </c>
      <c r="G1362">
        <v>39.055500000000002</v>
      </c>
      <c r="H1362">
        <v>234.33300000000003</v>
      </c>
      <c r="I1362" t="s">
        <v>2354</v>
      </c>
    </row>
    <row r="1363" spans="1:9" x14ac:dyDescent="0.25">
      <c r="A1363" t="s">
        <v>220</v>
      </c>
      <c r="B1363" t="s">
        <v>5430</v>
      </c>
      <c r="C1363" t="s">
        <v>5992</v>
      </c>
      <c r="D1363" t="s">
        <v>5993</v>
      </c>
      <c r="F1363">
        <v>5</v>
      </c>
      <c r="G1363">
        <v>78.422399999999996</v>
      </c>
      <c r="H1363">
        <v>392.11199999999997</v>
      </c>
      <c r="I1363" t="s">
        <v>2354</v>
      </c>
    </row>
    <row r="1364" spans="1:9" x14ac:dyDescent="0.25">
      <c r="A1364" t="s">
        <v>220</v>
      </c>
      <c r="B1364" t="s">
        <v>5430</v>
      </c>
      <c r="C1364" t="s">
        <v>5994</v>
      </c>
      <c r="D1364" t="s">
        <v>5995</v>
      </c>
      <c r="F1364">
        <v>4</v>
      </c>
      <c r="G1364">
        <v>82.891800000000003</v>
      </c>
      <c r="H1364">
        <v>331.56720000000001</v>
      </c>
      <c r="I1364" t="s">
        <v>2354</v>
      </c>
    </row>
    <row r="1365" spans="1:9" x14ac:dyDescent="0.25">
      <c r="A1365" t="s">
        <v>220</v>
      </c>
      <c r="B1365" t="s">
        <v>5430</v>
      </c>
      <c r="C1365" t="s">
        <v>8028</v>
      </c>
      <c r="D1365" t="s">
        <v>8029</v>
      </c>
      <c r="F1365">
        <v>6</v>
      </c>
      <c r="G1365">
        <v>0</v>
      </c>
      <c r="H1365">
        <v>0</v>
      </c>
      <c r="I1365" t="s">
        <v>2354</v>
      </c>
    </row>
    <row r="1366" spans="1:9" x14ac:dyDescent="0.25">
      <c r="A1366" t="s">
        <v>220</v>
      </c>
      <c r="B1366" t="s">
        <v>5430</v>
      </c>
      <c r="C1366" t="s">
        <v>5996</v>
      </c>
      <c r="D1366" t="s">
        <v>5997</v>
      </c>
      <c r="F1366">
        <v>6</v>
      </c>
      <c r="G1366">
        <v>113.58198000000002</v>
      </c>
      <c r="H1366">
        <v>681.49188000000004</v>
      </c>
      <c r="I1366" t="s">
        <v>2354</v>
      </c>
    </row>
    <row r="1367" spans="1:9" x14ac:dyDescent="0.25">
      <c r="A1367" t="s">
        <v>220</v>
      </c>
      <c r="B1367" t="s">
        <v>5430</v>
      </c>
      <c r="C1367" t="s">
        <v>5998</v>
      </c>
      <c r="D1367" t="s">
        <v>8030</v>
      </c>
      <c r="F1367">
        <v>1</v>
      </c>
      <c r="G1367">
        <v>16.11</v>
      </c>
      <c r="H1367">
        <v>16.11</v>
      </c>
      <c r="I1367" t="s">
        <v>2354</v>
      </c>
    </row>
    <row r="1368" spans="1:9" x14ac:dyDescent="0.25">
      <c r="A1368" t="s">
        <v>220</v>
      </c>
      <c r="B1368" t="s">
        <v>5430</v>
      </c>
      <c r="C1368" t="s">
        <v>3006</v>
      </c>
      <c r="D1368" t="s">
        <v>8031</v>
      </c>
      <c r="F1368">
        <v>8</v>
      </c>
      <c r="G1368">
        <v>7.92</v>
      </c>
      <c r="H1368">
        <v>63.36</v>
      </c>
      <c r="I1368" t="s">
        <v>2354</v>
      </c>
    </row>
    <row r="1369" spans="1:9" x14ac:dyDescent="0.25">
      <c r="A1369" t="s">
        <v>220</v>
      </c>
      <c r="B1369" t="s">
        <v>5430</v>
      </c>
      <c r="C1369" t="s">
        <v>3010</v>
      </c>
      <c r="D1369" t="s">
        <v>8032</v>
      </c>
      <c r="F1369">
        <v>16</v>
      </c>
      <c r="G1369">
        <v>12.5</v>
      </c>
      <c r="H1369">
        <v>200</v>
      </c>
      <c r="I1369" t="s">
        <v>2354</v>
      </c>
    </row>
    <row r="1370" spans="1:9" x14ac:dyDescent="0.25">
      <c r="A1370" t="s">
        <v>220</v>
      </c>
      <c r="B1370" t="s">
        <v>5430</v>
      </c>
      <c r="C1370" t="s">
        <v>6000</v>
      </c>
      <c r="D1370" t="s">
        <v>8033</v>
      </c>
      <c r="F1370">
        <v>8</v>
      </c>
      <c r="G1370">
        <v>10.71671911764706</v>
      </c>
      <c r="H1370">
        <v>85.733752941176476</v>
      </c>
      <c r="I1370" t="s">
        <v>2354</v>
      </c>
    </row>
    <row r="1371" spans="1:9" x14ac:dyDescent="0.25">
      <c r="A1371" t="s">
        <v>220</v>
      </c>
      <c r="B1371" t="s">
        <v>5430</v>
      </c>
      <c r="C1371" t="s">
        <v>6002</v>
      </c>
      <c r="D1371" t="s">
        <v>8034</v>
      </c>
      <c r="F1371">
        <v>5</v>
      </c>
      <c r="G1371">
        <v>106.70399999999999</v>
      </c>
      <c r="H1371">
        <v>533.52</v>
      </c>
      <c r="I1371" t="s">
        <v>2354</v>
      </c>
    </row>
    <row r="1372" spans="1:9" x14ac:dyDescent="0.25">
      <c r="A1372" t="s">
        <v>220</v>
      </c>
      <c r="B1372" t="s">
        <v>5430</v>
      </c>
      <c r="C1372" t="s">
        <v>3012</v>
      </c>
      <c r="D1372" t="s">
        <v>3013</v>
      </c>
      <c r="F1372">
        <v>10</v>
      </c>
      <c r="G1372">
        <v>14.4</v>
      </c>
      <c r="H1372">
        <v>144</v>
      </c>
      <c r="I1372" t="s">
        <v>2354</v>
      </c>
    </row>
    <row r="1373" spans="1:9" x14ac:dyDescent="0.25">
      <c r="A1373" t="s">
        <v>220</v>
      </c>
      <c r="B1373" t="s">
        <v>5430</v>
      </c>
      <c r="C1373" t="s">
        <v>6004</v>
      </c>
      <c r="D1373" t="s">
        <v>8035</v>
      </c>
      <c r="F1373">
        <v>5</v>
      </c>
      <c r="G1373">
        <v>21.613129646697388</v>
      </c>
      <c r="H1373">
        <v>108.06564823348694</v>
      </c>
      <c r="I1373" t="s">
        <v>2354</v>
      </c>
    </row>
    <row r="1374" spans="1:9" x14ac:dyDescent="0.25">
      <c r="A1374" t="s">
        <v>220</v>
      </c>
      <c r="B1374" t="s">
        <v>5430</v>
      </c>
      <c r="C1374" t="s">
        <v>3014</v>
      </c>
      <c r="D1374" t="s">
        <v>8036</v>
      </c>
      <c r="F1374">
        <v>7</v>
      </c>
      <c r="G1374">
        <v>8.1</v>
      </c>
      <c r="H1374">
        <v>56.699999999999996</v>
      </c>
      <c r="I1374" t="s">
        <v>2354</v>
      </c>
    </row>
    <row r="1375" spans="1:9" x14ac:dyDescent="0.25">
      <c r="A1375" t="s">
        <v>220</v>
      </c>
      <c r="B1375" t="s">
        <v>5430</v>
      </c>
      <c r="C1375" t="s">
        <v>2381</v>
      </c>
      <c r="D1375" t="s">
        <v>6006</v>
      </c>
      <c r="F1375">
        <v>4</v>
      </c>
      <c r="G1375">
        <v>6.8110285714285723</v>
      </c>
      <c r="H1375">
        <v>27.244114285714289</v>
      </c>
      <c r="I1375" t="s">
        <v>2354</v>
      </c>
    </row>
    <row r="1376" spans="1:9" x14ac:dyDescent="0.25">
      <c r="A1376" t="s">
        <v>220</v>
      </c>
      <c r="B1376" t="s">
        <v>5430</v>
      </c>
      <c r="C1376" t="s">
        <v>3016</v>
      </c>
      <c r="D1376" t="s">
        <v>8037</v>
      </c>
      <c r="F1376">
        <v>4</v>
      </c>
      <c r="G1376">
        <v>10.744199999999999</v>
      </c>
      <c r="H1376">
        <v>42.976799999999997</v>
      </c>
      <c r="I1376" t="s">
        <v>2354</v>
      </c>
    </row>
    <row r="1377" spans="1:9" x14ac:dyDescent="0.25">
      <c r="A1377" t="s">
        <v>220</v>
      </c>
      <c r="B1377" t="s">
        <v>5430</v>
      </c>
      <c r="C1377" t="s">
        <v>3018</v>
      </c>
      <c r="D1377" t="s">
        <v>8038</v>
      </c>
      <c r="F1377">
        <v>2</v>
      </c>
      <c r="G1377">
        <v>11.7</v>
      </c>
      <c r="H1377">
        <v>23.4</v>
      </c>
      <c r="I1377" t="s">
        <v>2354</v>
      </c>
    </row>
    <row r="1378" spans="1:9" x14ac:dyDescent="0.25">
      <c r="A1378" t="s">
        <v>220</v>
      </c>
      <c r="B1378" t="s">
        <v>5430</v>
      </c>
      <c r="C1378" t="s">
        <v>3020</v>
      </c>
      <c r="D1378" t="s">
        <v>3021</v>
      </c>
      <c r="F1378">
        <v>5</v>
      </c>
      <c r="G1378">
        <v>10.8</v>
      </c>
      <c r="H1378">
        <v>54</v>
      </c>
      <c r="I1378" t="s">
        <v>2354</v>
      </c>
    </row>
    <row r="1379" spans="1:9" x14ac:dyDescent="0.25">
      <c r="A1379" t="s">
        <v>220</v>
      </c>
      <c r="B1379" t="s">
        <v>5430</v>
      </c>
      <c r="C1379" t="s">
        <v>3022</v>
      </c>
      <c r="D1379" t="s">
        <v>8039</v>
      </c>
      <c r="F1379">
        <v>4</v>
      </c>
      <c r="G1379">
        <v>16.02</v>
      </c>
      <c r="H1379">
        <v>64.08</v>
      </c>
      <c r="I1379" t="s">
        <v>2354</v>
      </c>
    </row>
    <row r="1380" spans="1:9" x14ac:dyDescent="0.25">
      <c r="A1380" t="s">
        <v>220</v>
      </c>
      <c r="B1380" t="s">
        <v>5430</v>
      </c>
      <c r="C1380" t="s">
        <v>3024</v>
      </c>
      <c r="D1380" t="s">
        <v>8040</v>
      </c>
      <c r="F1380">
        <v>6</v>
      </c>
      <c r="G1380">
        <v>21.105126666666667</v>
      </c>
      <c r="H1380">
        <v>126.63076000000001</v>
      </c>
      <c r="I1380" t="s">
        <v>2354</v>
      </c>
    </row>
    <row r="1381" spans="1:9" x14ac:dyDescent="0.25">
      <c r="A1381" t="s">
        <v>220</v>
      </c>
      <c r="B1381" t="s">
        <v>5430</v>
      </c>
      <c r="C1381" t="s">
        <v>6007</v>
      </c>
      <c r="D1381" t="s">
        <v>8041</v>
      </c>
      <c r="F1381">
        <v>4</v>
      </c>
      <c r="G1381">
        <v>49.515300000000003</v>
      </c>
      <c r="H1381">
        <v>198.06120000000001</v>
      </c>
      <c r="I1381" t="s">
        <v>2354</v>
      </c>
    </row>
    <row r="1382" spans="1:9" x14ac:dyDescent="0.25">
      <c r="A1382" t="s">
        <v>220</v>
      </c>
      <c r="B1382" t="s">
        <v>5430</v>
      </c>
      <c r="C1382" t="s">
        <v>3026</v>
      </c>
      <c r="D1382" t="s">
        <v>8042</v>
      </c>
      <c r="F1382">
        <v>5</v>
      </c>
      <c r="G1382">
        <v>10.098000000000001</v>
      </c>
      <c r="H1382">
        <v>50.49</v>
      </c>
      <c r="I1382" t="s">
        <v>2354</v>
      </c>
    </row>
    <row r="1383" spans="1:9" x14ac:dyDescent="0.25">
      <c r="A1383" t="s">
        <v>220</v>
      </c>
      <c r="B1383" t="s">
        <v>5430</v>
      </c>
      <c r="C1383" t="s">
        <v>3030</v>
      </c>
      <c r="D1383" t="s">
        <v>8043</v>
      </c>
      <c r="F1383">
        <v>9</v>
      </c>
      <c r="G1383">
        <v>15.205641046831957</v>
      </c>
      <c r="H1383">
        <v>136.8507694214876</v>
      </c>
      <c r="I1383" t="s">
        <v>2354</v>
      </c>
    </row>
    <row r="1384" spans="1:9" x14ac:dyDescent="0.25">
      <c r="A1384" t="s">
        <v>220</v>
      </c>
      <c r="B1384" t="s">
        <v>5430</v>
      </c>
      <c r="C1384" t="s">
        <v>3032</v>
      </c>
      <c r="D1384" t="s">
        <v>3033</v>
      </c>
      <c r="F1384">
        <v>7</v>
      </c>
      <c r="G1384">
        <v>41.399099999999997</v>
      </c>
      <c r="H1384">
        <v>289.7937</v>
      </c>
      <c r="I1384" t="s">
        <v>2354</v>
      </c>
    </row>
    <row r="1385" spans="1:9" x14ac:dyDescent="0.25">
      <c r="A1385" t="s">
        <v>220</v>
      </c>
      <c r="B1385" t="s">
        <v>5430</v>
      </c>
      <c r="C1385" t="s">
        <v>6009</v>
      </c>
      <c r="D1385" t="s">
        <v>6010</v>
      </c>
      <c r="F1385">
        <v>6</v>
      </c>
      <c r="G1385">
        <v>94.973100000000002</v>
      </c>
      <c r="H1385">
        <v>569.83860000000004</v>
      </c>
      <c r="I1385" t="s">
        <v>2354</v>
      </c>
    </row>
    <row r="1386" spans="1:9" x14ac:dyDescent="0.25">
      <c r="A1386" t="s">
        <v>220</v>
      </c>
      <c r="B1386" t="s">
        <v>5430</v>
      </c>
      <c r="C1386" t="s">
        <v>6011</v>
      </c>
      <c r="D1386" t="s">
        <v>8044</v>
      </c>
      <c r="F1386">
        <v>2</v>
      </c>
      <c r="G1386">
        <v>145.80000000000001</v>
      </c>
      <c r="H1386">
        <v>291.60000000000002</v>
      </c>
      <c r="I1386" t="s">
        <v>2354</v>
      </c>
    </row>
    <row r="1387" spans="1:9" x14ac:dyDescent="0.25">
      <c r="A1387" t="s">
        <v>220</v>
      </c>
      <c r="B1387" t="s">
        <v>5430</v>
      </c>
      <c r="C1387" t="s">
        <v>6013</v>
      </c>
      <c r="D1387" t="s">
        <v>6014</v>
      </c>
      <c r="F1387">
        <v>4</v>
      </c>
      <c r="G1387">
        <v>115.3467</v>
      </c>
      <c r="H1387">
        <v>461.38679999999999</v>
      </c>
      <c r="I1387" t="s">
        <v>2354</v>
      </c>
    </row>
    <row r="1388" spans="1:9" x14ac:dyDescent="0.25">
      <c r="A1388" t="s">
        <v>220</v>
      </c>
      <c r="B1388" t="s">
        <v>5430</v>
      </c>
      <c r="C1388" t="s">
        <v>6015</v>
      </c>
      <c r="D1388" t="s">
        <v>8045</v>
      </c>
      <c r="F1388">
        <v>13</v>
      </c>
      <c r="G1388">
        <v>23.712299999999999</v>
      </c>
      <c r="H1388">
        <v>308.25990000000002</v>
      </c>
      <c r="I1388" t="s">
        <v>2354</v>
      </c>
    </row>
    <row r="1389" spans="1:9" x14ac:dyDescent="0.25">
      <c r="A1389" t="s">
        <v>220</v>
      </c>
      <c r="B1389" t="s">
        <v>5430</v>
      </c>
      <c r="C1389" t="s">
        <v>6017</v>
      </c>
      <c r="D1389" t="s">
        <v>6018</v>
      </c>
      <c r="F1389">
        <v>12</v>
      </c>
      <c r="G1389">
        <v>18.027000000000001</v>
      </c>
      <c r="H1389">
        <v>216.32400000000001</v>
      </c>
      <c r="I1389" t="s">
        <v>2354</v>
      </c>
    </row>
    <row r="1390" spans="1:9" x14ac:dyDescent="0.25">
      <c r="A1390" t="s">
        <v>220</v>
      </c>
      <c r="B1390" t="s">
        <v>5430</v>
      </c>
      <c r="C1390" t="s">
        <v>6019</v>
      </c>
      <c r="D1390" t="s">
        <v>8046</v>
      </c>
      <c r="F1390">
        <v>6</v>
      </c>
      <c r="G1390">
        <v>115.12095652173913</v>
      </c>
      <c r="H1390">
        <v>690.72573913043482</v>
      </c>
      <c r="I1390" t="s">
        <v>2354</v>
      </c>
    </row>
    <row r="1391" spans="1:9" x14ac:dyDescent="0.25">
      <c r="A1391" t="s">
        <v>220</v>
      </c>
      <c r="B1391" t="s">
        <v>5430</v>
      </c>
      <c r="C1391" t="s">
        <v>6021</v>
      </c>
      <c r="D1391" t="s">
        <v>8047</v>
      </c>
      <c r="F1391">
        <v>6</v>
      </c>
      <c r="G1391">
        <v>28.763999999999999</v>
      </c>
      <c r="H1391">
        <v>172.584</v>
      </c>
      <c r="I1391" t="s">
        <v>2354</v>
      </c>
    </row>
    <row r="1392" spans="1:9" x14ac:dyDescent="0.25">
      <c r="A1392" t="s">
        <v>220</v>
      </c>
      <c r="B1392" t="s">
        <v>5430</v>
      </c>
      <c r="C1392" t="s">
        <v>6023</v>
      </c>
      <c r="D1392" t="s">
        <v>8048</v>
      </c>
      <c r="F1392">
        <v>2</v>
      </c>
      <c r="G1392">
        <v>10.7127</v>
      </c>
      <c r="H1392">
        <v>21.4254</v>
      </c>
      <c r="I1392" t="s">
        <v>2354</v>
      </c>
    </row>
    <row r="1393" spans="1:9" x14ac:dyDescent="0.25">
      <c r="A1393" t="s">
        <v>220</v>
      </c>
      <c r="B1393" t="s">
        <v>5430</v>
      </c>
      <c r="C1393" t="s">
        <v>3044</v>
      </c>
      <c r="D1393" t="s">
        <v>8049</v>
      </c>
      <c r="F1393">
        <v>11</v>
      </c>
      <c r="G1393">
        <v>48.572099999999999</v>
      </c>
      <c r="H1393">
        <v>534.29309999999998</v>
      </c>
      <c r="I1393" t="s">
        <v>2354</v>
      </c>
    </row>
    <row r="1394" spans="1:9" x14ac:dyDescent="0.25">
      <c r="A1394" t="s">
        <v>220</v>
      </c>
      <c r="B1394" t="s">
        <v>5430</v>
      </c>
      <c r="C1394" t="s">
        <v>8050</v>
      </c>
      <c r="D1394" t="s">
        <v>8051</v>
      </c>
      <c r="F1394">
        <v>2</v>
      </c>
      <c r="G1394">
        <v>69.505200000000002</v>
      </c>
      <c r="H1394">
        <v>139.0104</v>
      </c>
      <c r="I1394" t="s">
        <v>2354</v>
      </c>
    </row>
    <row r="1395" spans="1:9" x14ac:dyDescent="0.25">
      <c r="A1395" t="s">
        <v>220</v>
      </c>
      <c r="B1395" t="s">
        <v>5430</v>
      </c>
      <c r="C1395" t="s">
        <v>3046</v>
      </c>
      <c r="D1395" t="s">
        <v>8052</v>
      </c>
      <c r="F1395">
        <v>5</v>
      </c>
      <c r="G1395">
        <v>50.233499999999999</v>
      </c>
      <c r="H1395">
        <v>251.16749999999999</v>
      </c>
      <c r="I1395" t="s">
        <v>2354</v>
      </c>
    </row>
    <row r="1396" spans="1:9" x14ac:dyDescent="0.25">
      <c r="A1396" t="s">
        <v>220</v>
      </c>
      <c r="B1396" t="s">
        <v>5430</v>
      </c>
      <c r="C1396" t="s">
        <v>6026</v>
      </c>
      <c r="D1396" t="s">
        <v>8053</v>
      </c>
      <c r="F1396">
        <v>4</v>
      </c>
      <c r="G1396">
        <v>87.66</v>
      </c>
      <c r="H1396">
        <v>350.64</v>
      </c>
      <c r="I1396" t="s">
        <v>2354</v>
      </c>
    </row>
    <row r="1397" spans="1:9" x14ac:dyDescent="0.25">
      <c r="A1397" t="s">
        <v>220</v>
      </c>
      <c r="B1397" t="s">
        <v>5430</v>
      </c>
      <c r="C1397" t="s">
        <v>6028</v>
      </c>
      <c r="D1397" t="s">
        <v>8054</v>
      </c>
      <c r="F1397">
        <v>13</v>
      </c>
      <c r="G1397">
        <v>62.972099999999998</v>
      </c>
      <c r="H1397">
        <v>818.63729999999998</v>
      </c>
      <c r="I1397" t="s">
        <v>2354</v>
      </c>
    </row>
    <row r="1398" spans="1:9" x14ac:dyDescent="0.25">
      <c r="A1398" t="s">
        <v>220</v>
      </c>
      <c r="B1398" t="s">
        <v>5430</v>
      </c>
      <c r="C1398" t="s">
        <v>6030</v>
      </c>
      <c r="D1398" t="s">
        <v>8055</v>
      </c>
      <c r="F1398">
        <v>8</v>
      </c>
      <c r="G1398">
        <v>11.691000000000001</v>
      </c>
      <c r="H1398">
        <v>93.528000000000006</v>
      </c>
      <c r="I1398" t="s">
        <v>2354</v>
      </c>
    </row>
    <row r="1399" spans="1:9" x14ac:dyDescent="0.25">
      <c r="A1399" t="s">
        <v>220</v>
      </c>
      <c r="B1399" t="s">
        <v>5430</v>
      </c>
      <c r="C1399" t="s">
        <v>6032</v>
      </c>
      <c r="D1399" t="s">
        <v>6033</v>
      </c>
      <c r="F1399">
        <v>11</v>
      </c>
      <c r="G1399">
        <v>18.153449999999999</v>
      </c>
      <c r="H1399">
        <v>199.68795</v>
      </c>
      <c r="I1399" t="s">
        <v>2354</v>
      </c>
    </row>
    <row r="1400" spans="1:9" x14ac:dyDescent="0.25">
      <c r="A1400" t="s">
        <v>220</v>
      </c>
      <c r="B1400" t="s">
        <v>5430</v>
      </c>
      <c r="C1400" t="s">
        <v>3050</v>
      </c>
      <c r="D1400" t="s">
        <v>3051</v>
      </c>
      <c r="F1400">
        <v>3</v>
      </c>
      <c r="G1400">
        <v>9.2178000000000004</v>
      </c>
      <c r="H1400">
        <v>27.653400000000001</v>
      </c>
      <c r="I1400" t="s">
        <v>2354</v>
      </c>
    </row>
    <row r="1401" spans="1:9" x14ac:dyDescent="0.25">
      <c r="A1401" t="s">
        <v>220</v>
      </c>
      <c r="B1401" t="s">
        <v>5430</v>
      </c>
      <c r="C1401" t="s">
        <v>6036</v>
      </c>
      <c r="D1401" t="s">
        <v>8056</v>
      </c>
      <c r="F1401">
        <v>3</v>
      </c>
      <c r="G1401">
        <v>65.412000000000006</v>
      </c>
      <c r="H1401">
        <v>196.23600000000002</v>
      </c>
      <c r="I1401" t="s">
        <v>2354</v>
      </c>
    </row>
    <row r="1402" spans="1:9" x14ac:dyDescent="0.25">
      <c r="A1402" t="s">
        <v>220</v>
      </c>
      <c r="B1402" t="s">
        <v>5430</v>
      </c>
      <c r="C1402" t="s">
        <v>6038</v>
      </c>
      <c r="D1402" t="s">
        <v>8057</v>
      </c>
      <c r="F1402">
        <v>5</v>
      </c>
      <c r="G1402">
        <v>27.622640000000001</v>
      </c>
      <c r="H1402">
        <v>138.11320000000001</v>
      </c>
      <c r="I1402" t="s">
        <v>2354</v>
      </c>
    </row>
    <row r="1403" spans="1:9" x14ac:dyDescent="0.25">
      <c r="A1403" t="s">
        <v>220</v>
      </c>
      <c r="B1403" t="s">
        <v>5430</v>
      </c>
      <c r="C1403" t="s">
        <v>6040</v>
      </c>
      <c r="D1403" t="s">
        <v>8058</v>
      </c>
      <c r="F1403">
        <v>3</v>
      </c>
      <c r="G1403">
        <v>66.6126</v>
      </c>
      <c r="H1403">
        <v>199.83780000000002</v>
      </c>
      <c r="I1403" t="s">
        <v>2354</v>
      </c>
    </row>
    <row r="1404" spans="1:9" x14ac:dyDescent="0.25">
      <c r="A1404" t="s">
        <v>220</v>
      </c>
      <c r="B1404" t="s">
        <v>5430</v>
      </c>
      <c r="C1404" t="s">
        <v>5433</v>
      </c>
      <c r="D1404" t="s">
        <v>8059</v>
      </c>
      <c r="F1404">
        <v>7</v>
      </c>
      <c r="G1404">
        <v>54.09</v>
      </c>
      <c r="H1404">
        <v>378.63</v>
      </c>
      <c r="I1404" t="s">
        <v>2354</v>
      </c>
    </row>
    <row r="1405" spans="1:9" x14ac:dyDescent="0.25">
      <c r="A1405" t="s">
        <v>220</v>
      </c>
      <c r="B1405" t="s">
        <v>5430</v>
      </c>
      <c r="C1405" t="s">
        <v>6042</v>
      </c>
      <c r="D1405" t="s">
        <v>8060</v>
      </c>
      <c r="F1405">
        <v>7</v>
      </c>
      <c r="G1405">
        <v>27.728000000000002</v>
      </c>
      <c r="H1405">
        <v>194.096</v>
      </c>
      <c r="I1405" t="s">
        <v>2354</v>
      </c>
    </row>
    <row r="1406" spans="1:9" x14ac:dyDescent="0.25">
      <c r="A1406" t="s">
        <v>220</v>
      </c>
      <c r="B1406" t="s">
        <v>5430</v>
      </c>
      <c r="C1406" t="s">
        <v>6043</v>
      </c>
      <c r="D1406" t="s">
        <v>6044</v>
      </c>
      <c r="F1406">
        <v>2</v>
      </c>
      <c r="G1406">
        <v>141.73997142857144</v>
      </c>
      <c r="H1406">
        <v>283.47994285714287</v>
      </c>
      <c r="I1406" t="s">
        <v>2354</v>
      </c>
    </row>
    <row r="1407" spans="1:9" x14ac:dyDescent="0.25">
      <c r="A1407" t="s">
        <v>220</v>
      </c>
      <c r="B1407" t="s">
        <v>5430</v>
      </c>
      <c r="C1407" t="s">
        <v>8061</v>
      </c>
      <c r="D1407" t="s">
        <v>8062</v>
      </c>
      <c r="F1407">
        <v>4</v>
      </c>
      <c r="G1407">
        <v>89.622</v>
      </c>
      <c r="H1407">
        <v>358.488</v>
      </c>
      <c r="I1407" t="s">
        <v>2354</v>
      </c>
    </row>
    <row r="1408" spans="1:9" x14ac:dyDescent="0.25">
      <c r="A1408" t="s">
        <v>220</v>
      </c>
      <c r="B1408" t="s">
        <v>5430</v>
      </c>
      <c r="C1408" t="s">
        <v>6046</v>
      </c>
      <c r="D1408" t="s">
        <v>8063</v>
      </c>
      <c r="F1408">
        <v>4</v>
      </c>
      <c r="G1408">
        <v>57.6</v>
      </c>
      <c r="H1408">
        <v>230.4</v>
      </c>
      <c r="I1408" t="s">
        <v>2354</v>
      </c>
    </row>
    <row r="1409" spans="1:9" x14ac:dyDescent="0.25">
      <c r="A1409" t="s">
        <v>220</v>
      </c>
      <c r="B1409" t="s">
        <v>5430</v>
      </c>
      <c r="C1409" t="s">
        <v>5447</v>
      </c>
      <c r="D1409" t="s">
        <v>8064</v>
      </c>
      <c r="F1409">
        <v>3</v>
      </c>
      <c r="G1409">
        <v>173.93219999999999</v>
      </c>
      <c r="H1409">
        <v>521.79660000000001</v>
      </c>
      <c r="I1409" t="s">
        <v>2354</v>
      </c>
    </row>
    <row r="1410" spans="1:9" x14ac:dyDescent="0.25">
      <c r="A1410" t="s">
        <v>220</v>
      </c>
      <c r="B1410" t="s">
        <v>5430</v>
      </c>
      <c r="C1410" t="s">
        <v>5400</v>
      </c>
      <c r="D1410" t="s">
        <v>5401</v>
      </c>
      <c r="F1410">
        <v>8</v>
      </c>
      <c r="G1410">
        <v>8.0970707070707064</v>
      </c>
      <c r="H1410">
        <v>64.776565656565651</v>
      </c>
      <c r="I1410" t="s">
        <v>2354</v>
      </c>
    </row>
    <row r="1411" spans="1:9" x14ac:dyDescent="0.25">
      <c r="A1411" t="s">
        <v>220</v>
      </c>
      <c r="B1411" t="s">
        <v>5430</v>
      </c>
      <c r="C1411" t="s">
        <v>6047</v>
      </c>
      <c r="D1411" t="s">
        <v>6048</v>
      </c>
      <c r="F1411">
        <v>3</v>
      </c>
      <c r="G1411">
        <v>194.59440000000004</v>
      </c>
      <c r="H1411">
        <v>583.78320000000008</v>
      </c>
      <c r="I1411" t="s">
        <v>2354</v>
      </c>
    </row>
    <row r="1412" spans="1:9" x14ac:dyDescent="0.25">
      <c r="A1412" t="s">
        <v>220</v>
      </c>
      <c r="B1412" t="s">
        <v>5430</v>
      </c>
      <c r="C1412" t="s">
        <v>3065</v>
      </c>
      <c r="D1412" t="s">
        <v>3066</v>
      </c>
      <c r="F1412">
        <v>1</v>
      </c>
      <c r="G1412">
        <v>115.65</v>
      </c>
      <c r="H1412">
        <v>115.65</v>
      </c>
      <c r="I1412" t="s">
        <v>2354</v>
      </c>
    </row>
    <row r="1413" spans="1:9" x14ac:dyDescent="0.25">
      <c r="A1413" t="s">
        <v>220</v>
      </c>
      <c r="B1413" t="s">
        <v>5430</v>
      </c>
      <c r="C1413" t="s">
        <v>6049</v>
      </c>
      <c r="D1413" t="s">
        <v>8065</v>
      </c>
      <c r="F1413">
        <v>3</v>
      </c>
      <c r="G1413">
        <v>332.36160000000001</v>
      </c>
      <c r="H1413">
        <v>997.08480000000009</v>
      </c>
      <c r="I1413" t="s">
        <v>2354</v>
      </c>
    </row>
    <row r="1414" spans="1:9" x14ac:dyDescent="0.25">
      <c r="A1414" t="s">
        <v>220</v>
      </c>
      <c r="B1414" t="s">
        <v>5430</v>
      </c>
      <c r="C1414" t="s">
        <v>6051</v>
      </c>
      <c r="D1414" t="s">
        <v>8066</v>
      </c>
      <c r="F1414">
        <v>4</v>
      </c>
      <c r="G1414">
        <v>59.015699999999995</v>
      </c>
      <c r="H1414">
        <v>236.06279999999998</v>
      </c>
      <c r="I1414" t="s">
        <v>2354</v>
      </c>
    </row>
    <row r="1415" spans="1:9" x14ac:dyDescent="0.25">
      <c r="A1415" t="s">
        <v>220</v>
      </c>
      <c r="B1415" t="s">
        <v>5430</v>
      </c>
      <c r="C1415" t="s">
        <v>3069</v>
      </c>
      <c r="D1415" t="s">
        <v>3070</v>
      </c>
      <c r="F1415">
        <v>5</v>
      </c>
      <c r="G1415">
        <v>68.31</v>
      </c>
      <c r="H1415">
        <v>341.55</v>
      </c>
      <c r="I1415" t="s">
        <v>2354</v>
      </c>
    </row>
    <row r="1416" spans="1:9" x14ac:dyDescent="0.25">
      <c r="A1416" t="s">
        <v>220</v>
      </c>
      <c r="B1416" t="s">
        <v>5430</v>
      </c>
      <c r="C1416" t="s">
        <v>6053</v>
      </c>
      <c r="D1416" t="s">
        <v>8067</v>
      </c>
      <c r="F1416">
        <v>4</v>
      </c>
      <c r="G1416">
        <v>67.100399999999993</v>
      </c>
      <c r="H1416">
        <v>268.40159999999997</v>
      </c>
      <c r="I1416" t="s">
        <v>2354</v>
      </c>
    </row>
    <row r="1417" spans="1:9" x14ac:dyDescent="0.25">
      <c r="A1417" t="s">
        <v>220</v>
      </c>
      <c r="B1417" t="s">
        <v>5430</v>
      </c>
      <c r="C1417" t="s">
        <v>6055</v>
      </c>
      <c r="D1417" t="s">
        <v>8068</v>
      </c>
      <c r="F1417">
        <v>3</v>
      </c>
      <c r="G1417">
        <v>52.306199999999997</v>
      </c>
      <c r="H1417">
        <v>156.9186</v>
      </c>
      <c r="I1417" t="s">
        <v>2354</v>
      </c>
    </row>
    <row r="1418" spans="1:9" x14ac:dyDescent="0.25">
      <c r="A1418" t="s">
        <v>220</v>
      </c>
      <c r="B1418" t="s">
        <v>5430</v>
      </c>
      <c r="C1418" t="s">
        <v>6057</v>
      </c>
      <c r="D1418" t="s">
        <v>8069</v>
      </c>
      <c r="F1418">
        <v>3</v>
      </c>
      <c r="G1418">
        <v>73.981800000000007</v>
      </c>
      <c r="H1418">
        <v>221.94540000000001</v>
      </c>
      <c r="I1418" t="s">
        <v>2354</v>
      </c>
    </row>
    <row r="1419" spans="1:9" x14ac:dyDescent="0.25">
      <c r="A1419" t="s">
        <v>220</v>
      </c>
      <c r="B1419" t="s">
        <v>5430</v>
      </c>
      <c r="C1419" t="s">
        <v>6061</v>
      </c>
      <c r="D1419" t="s">
        <v>8070</v>
      </c>
      <c r="F1419">
        <v>6</v>
      </c>
      <c r="G1419">
        <v>33.57</v>
      </c>
      <c r="H1419">
        <v>201.42000000000002</v>
      </c>
      <c r="I1419" t="s">
        <v>2354</v>
      </c>
    </row>
    <row r="1420" spans="1:9" x14ac:dyDescent="0.25">
      <c r="A1420" t="s">
        <v>220</v>
      </c>
      <c r="B1420" t="s">
        <v>5430</v>
      </c>
      <c r="C1420" t="s">
        <v>6063</v>
      </c>
      <c r="D1420" t="s">
        <v>6064</v>
      </c>
      <c r="F1420">
        <v>4</v>
      </c>
      <c r="G1420">
        <v>33.57</v>
      </c>
      <c r="H1420">
        <v>134.28</v>
      </c>
      <c r="I1420" t="s">
        <v>2354</v>
      </c>
    </row>
    <row r="1421" spans="1:9" x14ac:dyDescent="0.25">
      <c r="A1421" t="s">
        <v>220</v>
      </c>
      <c r="B1421" t="s">
        <v>5430</v>
      </c>
      <c r="C1421" t="s">
        <v>6065</v>
      </c>
      <c r="D1421" t="s">
        <v>6066</v>
      </c>
      <c r="F1421">
        <v>2</v>
      </c>
      <c r="G1421">
        <v>33.57</v>
      </c>
      <c r="H1421">
        <v>67.14</v>
      </c>
      <c r="I1421" t="s">
        <v>2354</v>
      </c>
    </row>
    <row r="1422" spans="1:9" x14ac:dyDescent="0.25">
      <c r="A1422" t="s">
        <v>220</v>
      </c>
      <c r="B1422" t="s">
        <v>5430</v>
      </c>
      <c r="C1422" t="s">
        <v>6067</v>
      </c>
      <c r="D1422" t="s">
        <v>6068</v>
      </c>
      <c r="F1422">
        <v>2</v>
      </c>
      <c r="G1422">
        <v>59.853000000000002</v>
      </c>
      <c r="H1422">
        <v>119.706</v>
      </c>
      <c r="I1422" t="s">
        <v>2354</v>
      </c>
    </row>
    <row r="1423" spans="1:9" x14ac:dyDescent="0.25">
      <c r="A1423" t="s">
        <v>220</v>
      </c>
      <c r="B1423" t="s">
        <v>5430</v>
      </c>
      <c r="C1423" t="s">
        <v>6069</v>
      </c>
      <c r="D1423" t="s">
        <v>6070</v>
      </c>
      <c r="F1423">
        <v>1</v>
      </c>
      <c r="G1423">
        <v>33.57</v>
      </c>
      <c r="H1423">
        <v>33.57</v>
      </c>
      <c r="I1423" t="s">
        <v>2354</v>
      </c>
    </row>
    <row r="1424" spans="1:9" x14ac:dyDescent="0.25">
      <c r="A1424" t="s">
        <v>220</v>
      </c>
      <c r="B1424" t="s">
        <v>5430</v>
      </c>
      <c r="C1424" t="s">
        <v>6071</v>
      </c>
      <c r="D1424" t="s">
        <v>6072</v>
      </c>
      <c r="F1424">
        <v>4</v>
      </c>
      <c r="G1424">
        <v>33.57</v>
      </c>
      <c r="H1424">
        <v>134.28</v>
      </c>
      <c r="I1424" t="s">
        <v>2354</v>
      </c>
    </row>
    <row r="1425" spans="1:9" x14ac:dyDescent="0.25">
      <c r="A1425" t="s">
        <v>220</v>
      </c>
      <c r="B1425" t="s">
        <v>5430</v>
      </c>
      <c r="C1425" t="s">
        <v>6073</v>
      </c>
      <c r="D1425" t="s">
        <v>6074</v>
      </c>
      <c r="F1425">
        <v>1</v>
      </c>
      <c r="G1425">
        <v>33.57</v>
      </c>
      <c r="H1425">
        <v>33.57</v>
      </c>
      <c r="I1425" t="s">
        <v>2354</v>
      </c>
    </row>
    <row r="1426" spans="1:9" x14ac:dyDescent="0.25">
      <c r="A1426" t="s">
        <v>220</v>
      </c>
      <c r="B1426" t="s">
        <v>5430</v>
      </c>
      <c r="C1426" t="s">
        <v>6075</v>
      </c>
      <c r="D1426" t="s">
        <v>6076</v>
      </c>
      <c r="F1426">
        <v>2</v>
      </c>
      <c r="G1426">
        <v>37.979999999999997</v>
      </c>
      <c r="H1426">
        <v>75.959999999999994</v>
      </c>
      <c r="I1426" t="s">
        <v>2354</v>
      </c>
    </row>
    <row r="1427" spans="1:9" x14ac:dyDescent="0.25">
      <c r="A1427" t="s">
        <v>220</v>
      </c>
      <c r="B1427" t="s">
        <v>5430</v>
      </c>
      <c r="C1427" t="s">
        <v>6077</v>
      </c>
      <c r="D1427" t="s">
        <v>6078</v>
      </c>
      <c r="F1427">
        <v>4</v>
      </c>
      <c r="G1427">
        <v>33.57</v>
      </c>
      <c r="H1427">
        <v>134.28</v>
      </c>
      <c r="I1427" t="s">
        <v>2354</v>
      </c>
    </row>
    <row r="1428" spans="1:9" x14ac:dyDescent="0.25">
      <c r="A1428" t="s">
        <v>220</v>
      </c>
      <c r="B1428" t="s">
        <v>5430</v>
      </c>
      <c r="C1428" t="s">
        <v>5440</v>
      </c>
      <c r="D1428" t="s">
        <v>8071</v>
      </c>
      <c r="F1428">
        <v>25</v>
      </c>
      <c r="G1428">
        <v>1.7869999999999999</v>
      </c>
      <c r="H1428">
        <v>44.674999999999997</v>
      </c>
      <c r="I1428" t="s">
        <v>2354</v>
      </c>
    </row>
    <row r="1429" spans="1:9" x14ac:dyDescent="0.25">
      <c r="A1429" t="s">
        <v>220</v>
      </c>
      <c r="B1429" t="s">
        <v>5430</v>
      </c>
      <c r="C1429" t="s">
        <v>6079</v>
      </c>
      <c r="D1429" t="s">
        <v>8072</v>
      </c>
      <c r="F1429">
        <v>12</v>
      </c>
      <c r="G1429">
        <v>20.476800000000001</v>
      </c>
      <c r="H1429">
        <v>245.72160000000002</v>
      </c>
      <c r="I1429" t="s">
        <v>2354</v>
      </c>
    </row>
    <row r="1430" spans="1:9" x14ac:dyDescent="0.25">
      <c r="A1430" t="s">
        <v>220</v>
      </c>
      <c r="B1430" t="s">
        <v>5430</v>
      </c>
      <c r="C1430" t="s">
        <v>6081</v>
      </c>
      <c r="D1430" t="s">
        <v>8073</v>
      </c>
      <c r="F1430">
        <v>4</v>
      </c>
      <c r="G1430">
        <v>23.085999999999999</v>
      </c>
      <c r="H1430">
        <v>92.343999999999994</v>
      </c>
      <c r="I1430" t="s">
        <v>2354</v>
      </c>
    </row>
    <row r="1431" spans="1:9" x14ac:dyDescent="0.25">
      <c r="A1431" t="s">
        <v>220</v>
      </c>
      <c r="B1431" t="s">
        <v>5430</v>
      </c>
      <c r="C1431" t="s">
        <v>8074</v>
      </c>
      <c r="D1431" t="s">
        <v>8075</v>
      </c>
      <c r="F1431">
        <v>3</v>
      </c>
      <c r="G1431">
        <v>0</v>
      </c>
      <c r="H1431">
        <v>0</v>
      </c>
      <c r="I1431" t="s">
        <v>2354</v>
      </c>
    </row>
    <row r="1432" spans="1:9" x14ac:dyDescent="0.25">
      <c r="A1432" t="s">
        <v>220</v>
      </c>
      <c r="B1432" t="s">
        <v>5430</v>
      </c>
      <c r="C1432" t="s">
        <v>6083</v>
      </c>
      <c r="D1432" t="s">
        <v>8076</v>
      </c>
      <c r="F1432">
        <v>3</v>
      </c>
      <c r="G1432">
        <v>169.56</v>
      </c>
      <c r="H1432">
        <v>508.68</v>
      </c>
      <c r="I1432" t="s">
        <v>2354</v>
      </c>
    </row>
    <row r="1433" spans="1:9" x14ac:dyDescent="0.25">
      <c r="A1433" t="s">
        <v>220</v>
      </c>
      <c r="B1433" t="s">
        <v>5430</v>
      </c>
      <c r="C1433" t="s">
        <v>8077</v>
      </c>
      <c r="D1433" t="s">
        <v>3076</v>
      </c>
      <c r="F1433">
        <v>2</v>
      </c>
      <c r="G1433">
        <v>14.2668</v>
      </c>
      <c r="H1433">
        <v>28.5336</v>
      </c>
      <c r="I1433" t="s">
        <v>2354</v>
      </c>
    </row>
    <row r="1434" spans="1:9" x14ac:dyDescent="0.25">
      <c r="A1434" t="s">
        <v>220</v>
      </c>
      <c r="B1434" t="s">
        <v>5430</v>
      </c>
      <c r="C1434" t="s">
        <v>8078</v>
      </c>
      <c r="D1434" t="s">
        <v>3078</v>
      </c>
      <c r="F1434">
        <v>8</v>
      </c>
      <c r="G1434">
        <v>18.998248275862071</v>
      </c>
      <c r="H1434">
        <v>151.98598620689657</v>
      </c>
      <c r="I1434" t="s">
        <v>2354</v>
      </c>
    </row>
    <row r="1435" spans="1:9" x14ac:dyDescent="0.25">
      <c r="A1435" t="s">
        <v>220</v>
      </c>
      <c r="B1435" t="s">
        <v>5430</v>
      </c>
      <c r="C1435" t="s">
        <v>8079</v>
      </c>
      <c r="D1435" t="s">
        <v>8080</v>
      </c>
      <c r="F1435">
        <v>2</v>
      </c>
      <c r="G1435">
        <v>216.6885</v>
      </c>
      <c r="H1435">
        <v>433.37700000000001</v>
      </c>
      <c r="I1435" t="s">
        <v>2354</v>
      </c>
    </row>
    <row r="1436" spans="1:9" x14ac:dyDescent="0.25">
      <c r="A1436" t="s">
        <v>220</v>
      </c>
      <c r="B1436" t="s">
        <v>5430</v>
      </c>
      <c r="C1436" t="s">
        <v>8081</v>
      </c>
      <c r="D1436" t="s">
        <v>6090</v>
      </c>
      <c r="F1436">
        <v>4</v>
      </c>
      <c r="G1436">
        <v>107.28</v>
      </c>
      <c r="H1436">
        <v>429.12</v>
      </c>
      <c r="I1436" t="s">
        <v>2354</v>
      </c>
    </row>
    <row r="1437" spans="1:9" x14ac:dyDescent="0.25">
      <c r="A1437" t="s">
        <v>220</v>
      </c>
      <c r="B1437" t="s">
        <v>5430</v>
      </c>
      <c r="C1437" t="s">
        <v>6091</v>
      </c>
      <c r="D1437" t="s">
        <v>6092</v>
      </c>
      <c r="F1437">
        <v>14</v>
      </c>
      <c r="G1437">
        <v>20.923200000000001</v>
      </c>
      <c r="H1437">
        <v>292.9248</v>
      </c>
      <c r="I1437" t="s">
        <v>2354</v>
      </c>
    </row>
    <row r="1438" spans="1:9" x14ac:dyDescent="0.25">
      <c r="A1438" t="s">
        <v>220</v>
      </c>
      <c r="B1438" t="s">
        <v>5430</v>
      </c>
      <c r="C1438" t="s">
        <v>6093</v>
      </c>
      <c r="D1438" t="s">
        <v>6094</v>
      </c>
      <c r="F1438">
        <v>3</v>
      </c>
      <c r="G1438">
        <v>21.696000000000002</v>
      </c>
      <c r="H1438">
        <v>65.088000000000008</v>
      </c>
      <c r="I1438" t="s">
        <v>2354</v>
      </c>
    </row>
    <row r="1439" spans="1:9" x14ac:dyDescent="0.25">
      <c r="A1439" t="s">
        <v>220</v>
      </c>
      <c r="B1439" t="s">
        <v>5430</v>
      </c>
      <c r="C1439" t="s">
        <v>6095</v>
      </c>
      <c r="D1439" t="s">
        <v>6096</v>
      </c>
      <c r="F1439">
        <v>2</v>
      </c>
      <c r="G1439">
        <v>71.455200000000005</v>
      </c>
      <c r="H1439">
        <v>142.91040000000001</v>
      </c>
      <c r="I1439" t="s">
        <v>2354</v>
      </c>
    </row>
    <row r="1440" spans="1:9" x14ac:dyDescent="0.25">
      <c r="A1440" t="s">
        <v>220</v>
      </c>
      <c r="B1440" t="s">
        <v>5430</v>
      </c>
      <c r="C1440" t="s">
        <v>6097</v>
      </c>
      <c r="D1440" t="s">
        <v>8082</v>
      </c>
      <c r="F1440">
        <v>4</v>
      </c>
      <c r="G1440">
        <v>0.47770000000000001</v>
      </c>
      <c r="H1440">
        <v>1.9108000000000001</v>
      </c>
      <c r="I1440" t="s">
        <v>2354</v>
      </c>
    </row>
    <row r="1441" spans="1:9" x14ac:dyDescent="0.25">
      <c r="A1441" t="s">
        <v>220</v>
      </c>
      <c r="B1441" t="s">
        <v>5430</v>
      </c>
      <c r="C1441" t="s">
        <v>6099</v>
      </c>
      <c r="D1441" t="s">
        <v>8083</v>
      </c>
      <c r="F1441">
        <v>4</v>
      </c>
      <c r="G1441">
        <v>116.01</v>
      </c>
      <c r="H1441">
        <v>464.04</v>
      </c>
      <c r="I1441" t="s">
        <v>2354</v>
      </c>
    </row>
    <row r="1442" spans="1:9" x14ac:dyDescent="0.25">
      <c r="A1442" t="s">
        <v>220</v>
      </c>
      <c r="B1442" t="s">
        <v>5430</v>
      </c>
      <c r="C1442" t="s">
        <v>6101</v>
      </c>
      <c r="D1442" t="s">
        <v>8084</v>
      </c>
      <c r="F1442">
        <v>5</v>
      </c>
      <c r="G1442">
        <v>166.77</v>
      </c>
      <c r="H1442">
        <v>833.85</v>
      </c>
      <c r="I1442" t="s">
        <v>2354</v>
      </c>
    </row>
    <row r="1443" spans="1:9" x14ac:dyDescent="0.25">
      <c r="A1443" t="s">
        <v>220</v>
      </c>
      <c r="B1443" t="s">
        <v>5430</v>
      </c>
      <c r="C1443" t="s">
        <v>6103</v>
      </c>
      <c r="D1443" t="s">
        <v>8085</v>
      </c>
      <c r="F1443">
        <v>8</v>
      </c>
      <c r="G1443">
        <v>136.55520000000001</v>
      </c>
      <c r="H1443">
        <v>1092.4416000000001</v>
      </c>
      <c r="I1443" t="s">
        <v>2354</v>
      </c>
    </row>
    <row r="1444" spans="1:9" x14ac:dyDescent="0.25">
      <c r="A1444" t="s">
        <v>220</v>
      </c>
      <c r="B1444" t="s">
        <v>5430</v>
      </c>
      <c r="C1444" t="s">
        <v>6105</v>
      </c>
      <c r="D1444" t="s">
        <v>8086</v>
      </c>
      <c r="F1444">
        <v>4</v>
      </c>
      <c r="G1444">
        <v>115.9983</v>
      </c>
      <c r="H1444">
        <v>463.9932</v>
      </c>
      <c r="I1444" t="s">
        <v>2354</v>
      </c>
    </row>
    <row r="1445" spans="1:9" x14ac:dyDescent="0.25">
      <c r="A1445" t="s">
        <v>220</v>
      </c>
      <c r="B1445" t="s">
        <v>5430</v>
      </c>
      <c r="C1445" t="s">
        <v>6107</v>
      </c>
      <c r="D1445" t="s">
        <v>8087</v>
      </c>
      <c r="F1445">
        <v>4</v>
      </c>
      <c r="G1445">
        <v>53.849699999999999</v>
      </c>
      <c r="H1445">
        <v>215.39879999999999</v>
      </c>
      <c r="I1445" t="s">
        <v>2354</v>
      </c>
    </row>
    <row r="1446" spans="1:9" x14ac:dyDescent="0.25">
      <c r="A1446" t="s">
        <v>220</v>
      </c>
      <c r="B1446" t="s">
        <v>5430</v>
      </c>
      <c r="C1446" t="s">
        <v>6109</v>
      </c>
      <c r="D1446" t="s">
        <v>8088</v>
      </c>
      <c r="F1446">
        <v>1</v>
      </c>
      <c r="G1446">
        <v>192.5136</v>
      </c>
      <c r="H1446">
        <v>192.5136</v>
      </c>
      <c r="I1446" t="s">
        <v>2354</v>
      </c>
    </row>
    <row r="1447" spans="1:9" x14ac:dyDescent="0.25">
      <c r="A1447" t="s">
        <v>220</v>
      </c>
      <c r="B1447" t="s">
        <v>5430</v>
      </c>
      <c r="C1447" t="s">
        <v>8089</v>
      </c>
      <c r="D1447" t="s">
        <v>8090</v>
      </c>
      <c r="F1447">
        <v>7</v>
      </c>
      <c r="G1447">
        <v>37.896999999999998</v>
      </c>
      <c r="H1447">
        <v>265.279</v>
      </c>
      <c r="I1447" t="s">
        <v>2354</v>
      </c>
    </row>
    <row r="1448" spans="1:9" x14ac:dyDescent="0.25">
      <c r="A1448" t="s">
        <v>220</v>
      </c>
      <c r="B1448" t="s">
        <v>5430</v>
      </c>
      <c r="C1448" t="s">
        <v>6113</v>
      </c>
      <c r="D1448" t="s">
        <v>8091</v>
      </c>
      <c r="F1448">
        <v>2</v>
      </c>
      <c r="G1448">
        <v>102.24</v>
      </c>
      <c r="H1448">
        <v>204.48</v>
      </c>
      <c r="I1448" t="s">
        <v>2354</v>
      </c>
    </row>
    <row r="1449" spans="1:9" x14ac:dyDescent="0.25">
      <c r="A1449" t="s">
        <v>220</v>
      </c>
      <c r="B1449" t="s">
        <v>5430</v>
      </c>
      <c r="C1449" t="s">
        <v>3079</v>
      </c>
      <c r="D1449" t="s">
        <v>3080</v>
      </c>
      <c r="F1449">
        <v>7</v>
      </c>
      <c r="G1449">
        <v>24.1128</v>
      </c>
      <c r="H1449">
        <v>168.78960000000001</v>
      </c>
      <c r="I1449" t="s">
        <v>2354</v>
      </c>
    </row>
    <row r="1450" spans="1:9" x14ac:dyDescent="0.25">
      <c r="A1450" t="s">
        <v>220</v>
      </c>
      <c r="B1450" t="s">
        <v>5430</v>
      </c>
      <c r="C1450" t="s">
        <v>6115</v>
      </c>
      <c r="D1450" t="s">
        <v>8092</v>
      </c>
      <c r="F1450">
        <v>1</v>
      </c>
      <c r="G1450">
        <v>1.2949999999999999</v>
      </c>
      <c r="H1450">
        <v>1.2949999999999999</v>
      </c>
      <c r="I1450" t="s">
        <v>2354</v>
      </c>
    </row>
    <row r="1451" spans="1:9" x14ac:dyDescent="0.25">
      <c r="A1451" t="s">
        <v>220</v>
      </c>
      <c r="B1451" t="s">
        <v>5430</v>
      </c>
      <c r="C1451" t="s">
        <v>6117</v>
      </c>
      <c r="D1451" t="s">
        <v>8093</v>
      </c>
      <c r="F1451">
        <v>1</v>
      </c>
      <c r="G1451">
        <v>0</v>
      </c>
      <c r="H1451">
        <v>0</v>
      </c>
      <c r="I1451" t="s">
        <v>2354</v>
      </c>
    </row>
    <row r="1452" spans="1:9" x14ac:dyDescent="0.25">
      <c r="A1452" t="s">
        <v>220</v>
      </c>
      <c r="B1452" t="s">
        <v>5430</v>
      </c>
      <c r="C1452" t="s">
        <v>8094</v>
      </c>
      <c r="D1452" t="s">
        <v>8095</v>
      </c>
      <c r="F1452">
        <v>1</v>
      </c>
      <c r="G1452">
        <v>0</v>
      </c>
      <c r="H1452">
        <v>0</v>
      </c>
      <c r="I1452" t="s">
        <v>2354</v>
      </c>
    </row>
    <row r="1453" spans="1:9" x14ac:dyDescent="0.25">
      <c r="A1453" t="s">
        <v>220</v>
      </c>
      <c r="B1453" t="s">
        <v>5430</v>
      </c>
      <c r="C1453" t="s">
        <v>6119</v>
      </c>
      <c r="D1453" t="s">
        <v>8096</v>
      </c>
      <c r="F1453">
        <v>2</v>
      </c>
      <c r="G1453">
        <v>0</v>
      </c>
      <c r="H1453">
        <v>0</v>
      </c>
      <c r="I1453" t="s">
        <v>2354</v>
      </c>
    </row>
    <row r="1454" spans="1:9" x14ac:dyDescent="0.25">
      <c r="A1454" t="s">
        <v>220</v>
      </c>
      <c r="B1454" t="s">
        <v>5430</v>
      </c>
      <c r="C1454" t="s">
        <v>6121</v>
      </c>
      <c r="D1454" t="s">
        <v>6122</v>
      </c>
      <c r="F1454">
        <v>5</v>
      </c>
      <c r="G1454">
        <v>61.728299999999997</v>
      </c>
      <c r="H1454">
        <v>308.64150000000001</v>
      </c>
      <c r="I1454" t="s">
        <v>2354</v>
      </c>
    </row>
    <row r="1455" spans="1:9" x14ac:dyDescent="0.25">
      <c r="A1455" t="s">
        <v>220</v>
      </c>
      <c r="B1455" t="s">
        <v>5430</v>
      </c>
      <c r="C1455" t="s">
        <v>6123</v>
      </c>
      <c r="D1455" t="s">
        <v>8097</v>
      </c>
      <c r="F1455">
        <v>6</v>
      </c>
      <c r="G1455">
        <v>186.74549999999999</v>
      </c>
      <c r="H1455">
        <v>1120.473</v>
      </c>
      <c r="I1455" t="s">
        <v>2354</v>
      </c>
    </row>
    <row r="1456" spans="1:9" x14ac:dyDescent="0.25">
      <c r="A1456" t="s">
        <v>220</v>
      </c>
      <c r="B1456" t="s">
        <v>5430</v>
      </c>
      <c r="C1456" t="s">
        <v>8098</v>
      </c>
      <c r="D1456" t="s">
        <v>8099</v>
      </c>
      <c r="F1456">
        <v>2</v>
      </c>
      <c r="G1456">
        <v>59.4</v>
      </c>
      <c r="H1456">
        <v>118.8</v>
      </c>
      <c r="I1456" t="s">
        <v>2354</v>
      </c>
    </row>
    <row r="1457" spans="1:9" x14ac:dyDescent="0.25">
      <c r="A1457" t="s">
        <v>220</v>
      </c>
      <c r="B1457" t="s">
        <v>5430</v>
      </c>
      <c r="C1457" t="s">
        <v>6127</v>
      </c>
      <c r="D1457" t="s">
        <v>8100</v>
      </c>
      <c r="F1457">
        <v>5</v>
      </c>
      <c r="G1457">
        <v>72.900000000000006</v>
      </c>
      <c r="H1457">
        <v>364.5</v>
      </c>
      <c r="I1457" t="s">
        <v>2354</v>
      </c>
    </row>
    <row r="1458" spans="1:9" x14ac:dyDescent="0.25">
      <c r="A1458" t="s">
        <v>220</v>
      </c>
      <c r="B1458" t="s">
        <v>5430</v>
      </c>
      <c r="C1458" t="s">
        <v>8101</v>
      </c>
      <c r="D1458" t="s">
        <v>8102</v>
      </c>
      <c r="F1458">
        <v>12</v>
      </c>
      <c r="G1458">
        <v>7.6292999999999989</v>
      </c>
      <c r="H1458">
        <v>91.551599999999979</v>
      </c>
      <c r="I1458" t="s">
        <v>2354</v>
      </c>
    </row>
    <row r="1459" spans="1:9" x14ac:dyDescent="0.25">
      <c r="A1459" t="s">
        <v>220</v>
      </c>
      <c r="B1459" t="s">
        <v>5430</v>
      </c>
      <c r="C1459" t="s">
        <v>6131</v>
      </c>
      <c r="D1459" t="s">
        <v>8103</v>
      </c>
      <c r="F1459">
        <v>3</v>
      </c>
      <c r="G1459">
        <v>41.58</v>
      </c>
      <c r="H1459">
        <v>124.74</v>
      </c>
      <c r="I1459" t="s">
        <v>2354</v>
      </c>
    </row>
    <row r="1460" spans="1:9" x14ac:dyDescent="0.25">
      <c r="A1460" t="s">
        <v>220</v>
      </c>
      <c r="B1460" t="s">
        <v>5430</v>
      </c>
      <c r="C1460" t="s">
        <v>8104</v>
      </c>
      <c r="D1460" t="s">
        <v>8105</v>
      </c>
      <c r="F1460">
        <v>4</v>
      </c>
      <c r="G1460">
        <v>43.556399999999996</v>
      </c>
      <c r="H1460">
        <v>174.22559999999999</v>
      </c>
      <c r="I1460" t="s">
        <v>2354</v>
      </c>
    </row>
    <row r="1461" spans="1:9" x14ac:dyDescent="0.25">
      <c r="A1461" t="s">
        <v>220</v>
      </c>
      <c r="B1461" t="s">
        <v>5430</v>
      </c>
      <c r="C1461" t="s">
        <v>5454</v>
      </c>
      <c r="D1461" t="s">
        <v>8106</v>
      </c>
      <c r="F1461">
        <v>1</v>
      </c>
      <c r="G1461">
        <v>11.2104</v>
      </c>
      <c r="H1461">
        <v>11.2104</v>
      </c>
      <c r="I1461" t="s">
        <v>2354</v>
      </c>
    </row>
    <row r="1462" spans="1:9" x14ac:dyDescent="0.25">
      <c r="A1462" t="s">
        <v>220</v>
      </c>
      <c r="B1462" t="s">
        <v>5430</v>
      </c>
      <c r="C1462" t="s">
        <v>6135</v>
      </c>
      <c r="D1462" t="s">
        <v>8107</v>
      </c>
      <c r="F1462">
        <v>1</v>
      </c>
      <c r="G1462">
        <v>89.5428</v>
      </c>
      <c r="H1462">
        <v>89.5428</v>
      </c>
      <c r="I1462" t="s">
        <v>2354</v>
      </c>
    </row>
    <row r="1463" spans="1:9" x14ac:dyDescent="0.25">
      <c r="A1463" t="s">
        <v>220</v>
      </c>
      <c r="B1463" t="s">
        <v>5430</v>
      </c>
      <c r="C1463" t="s">
        <v>6137</v>
      </c>
      <c r="D1463" t="s">
        <v>8108</v>
      </c>
      <c r="F1463">
        <v>6</v>
      </c>
      <c r="G1463">
        <v>138.08099999999999</v>
      </c>
      <c r="H1463">
        <v>828.48599999999988</v>
      </c>
      <c r="I1463" t="s">
        <v>2354</v>
      </c>
    </row>
    <row r="1464" spans="1:9" x14ac:dyDescent="0.25">
      <c r="A1464" t="s">
        <v>220</v>
      </c>
      <c r="B1464" t="s">
        <v>5430</v>
      </c>
      <c r="C1464" t="s">
        <v>6139</v>
      </c>
      <c r="D1464" t="s">
        <v>8109</v>
      </c>
      <c r="F1464">
        <v>6</v>
      </c>
      <c r="G1464">
        <v>28.08</v>
      </c>
      <c r="H1464">
        <v>168.48</v>
      </c>
      <c r="I1464" t="s">
        <v>2354</v>
      </c>
    </row>
    <row r="1465" spans="1:9" x14ac:dyDescent="0.25">
      <c r="A1465" t="s">
        <v>220</v>
      </c>
      <c r="B1465" t="s">
        <v>5430</v>
      </c>
      <c r="C1465" t="s">
        <v>6141</v>
      </c>
      <c r="D1465" t="s">
        <v>8110</v>
      </c>
      <c r="F1465">
        <v>6</v>
      </c>
      <c r="G1465">
        <v>38.700000000000003</v>
      </c>
      <c r="H1465">
        <v>232.20000000000002</v>
      </c>
      <c r="I1465" t="s">
        <v>2354</v>
      </c>
    </row>
    <row r="1466" spans="1:9" x14ac:dyDescent="0.25">
      <c r="A1466" t="s">
        <v>220</v>
      </c>
      <c r="B1466" t="s">
        <v>5430</v>
      </c>
      <c r="C1466" t="s">
        <v>6143</v>
      </c>
      <c r="D1466" t="s">
        <v>8111</v>
      </c>
      <c r="F1466">
        <v>2</v>
      </c>
      <c r="G1466">
        <v>19.642499999999998</v>
      </c>
      <c r="H1466">
        <v>39.284999999999997</v>
      </c>
      <c r="I1466" t="s">
        <v>2354</v>
      </c>
    </row>
    <row r="1467" spans="1:9" x14ac:dyDescent="0.25">
      <c r="A1467" t="s">
        <v>220</v>
      </c>
      <c r="B1467" t="s">
        <v>5430</v>
      </c>
      <c r="C1467" t="s">
        <v>5370</v>
      </c>
      <c r="D1467" t="s">
        <v>5371</v>
      </c>
      <c r="F1467">
        <v>5</v>
      </c>
      <c r="G1467">
        <v>11.25</v>
      </c>
      <c r="H1467">
        <v>56.25</v>
      </c>
      <c r="I1467" t="s">
        <v>2354</v>
      </c>
    </row>
    <row r="1468" spans="1:9" x14ac:dyDescent="0.25">
      <c r="A1468" t="s">
        <v>220</v>
      </c>
      <c r="B1468" t="s">
        <v>5430</v>
      </c>
      <c r="C1468" t="s">
        <v>6146</v>
      </c>
      <c r="D1468" t="s">
        <v>8112</v>
      </c>
      <c r="F1468">
        <v>42</v>
      </c>
      <c r="G1468">
        <v>21.6</v>
      </c>
      <c r="H1468">
        <v>907.2</v>
      </c>
      <c r="I1468" t="s">
        <v>2354</v>
      </c>
    </row>
    <row r="1469" spans="1:9" x14ac:dyDescent="0.25">
      <c r="A1469" t="s">
        <v>220</v>
      </c>
      <c r="B1469" t="s">
        <v>5430</v>
      </c>
      <c r="C1469" t="s">
        <v>6148</v>
      </c>
      <c r="D1469" t="s">
        <v>8113</v>
      </c>
      <c r="F1469">
        <v>3</v>
      </c>
      <c r="G1469">
        <v>23.105999999999998</v>
      </c>
      <c r="H1469">
        <v>69.317999999999998</v>
      </c>
      <c r="I1469" t="s">
        <v>2354</v>
      </c>
    </row>
    <row r="1470" spans="1:9" x14ac:dyDescent="0.25">
      <c r="A1470" t="s">
        <v>220</v>
      </c>
      <c r="B1470" t="s">
        <v>5430</v>
      </c>
      <c r="C1470" t="s">
        <v>6150</v>
      </c>
      <c r="D1470" t="s">
        <v>8114</v>
      </c>
      <c r="F1470">
        <v>2</v>
      </c>
      <c r="G1470">
        <v>75.098699999999994</v>
      </c>
      <c r="H1470">
        <v>150.19739999999999</v>
      </c>
      <c r="I1470" t="s">
        <v>2354</v>
      </c>
    </row>
    <row r="1471" spans="1:9" x14ac:dyDescent="0.25">
      <c r="A1471" t="s">
        <v>220</v>
      </c>
      <c r="B1471" t="s">
        <v>5430</v>
      </c>
      <c r="C1471" t="s">
        <v>6152</v>
      </c>
      <c r="D1471" t="s">
        <v>6153</v>
      </c>
      <c r="F1471">
        <v>2</v>
      </c>
      <c r="G1471">
        <v>37.705500000000001</v>
      </c>
      <c r="H1471">
        <v>75.411000000000001</v>
      </c>
      <c r="I1471" t="s">
        <v>2354</v>
      </c>
    </row>
    <row r="1472" spans="1:9" x14ac:dyDescent="0.25">
      <c r="A1472" t="s">
        <v>220</v>
      </c>
      <c r="B1472" t="s">
        <v>5430</v>
      </c>
      <c r="C1472" t="s">
        <v>6154</v>
      </c>
      <c r="D1472" t="s">
        <v>8115</v>
      </c>
      <c r="F1472">
        <v>2</v>
      </c>
      <c r="G1472">
        <v>24.623999999999999</v>
      </c>
      <c r="H1472">
        <v>49.247999999999998</v>
      </c>
      <c r="I1472" t="s">
        <v>2354</v>
      </c>
    </row>
    <row r="1473" spans="1:9" x14ac:dyDescent="0.25">
      <c r="A1473" t="s">
        <v>220</v>
      </c>
      <c r="B1473" t="s">
        <v>5430</v>
      </c>
      <c r="C1473" t="s">
        <v>6156</v>
      </c>
      <c r="D1473" t="s">
        <v>8116</v>
      </c>
      <c r="F1473">
        <v>3</v>
      </c>
      <c r="G1473">
        <v>42.995699999999999</v>
      </c>
      <c r="H1473">
        <v>128.9871</v>
      </c>
      <c r="I1473" t="s">
        <v>2354</v>
      </c>
    </row>
    <row r="1474" spans="1:9" x14ac:dyDescent="0.25">
      <c r="A1474" t="s">
        <v>220</v>
      </c>
      <c r="B1474" t="s">
        <v>5430</v>
      </c>
      <c r="C1474" t="s">
        <v>6158</v>
      </c>
      <c r="D1474" t="s">
        <v>8117</v>
      </c>
      <c r="F1474">
        <v>2</v>
      </c>
      <c r="G1474">
        <v>0</v>
      </c>
      <c r="H1474">
        <v>0</v>
      </c>
      <c r="I1474" t="s">
        <v>2354</v>
      </c>
    </row>
    <row r="1475" spans="1:9" x14ac:dyDescent="0.25">
      <c r="A1475" t="s">
        <v>220</v>
      </c>
      <c r="B1475" t="s">
        <v>5430</v>
      </c>
      <c r="C1475" t="s">
        <v>6160</v>
      </c>
      <c r="D1475" t="s">
        <v>8118</v>
      </c>
      <c r="F1475">
        <v>2</v>
      </c>
      <c r="G1475">
        <v>67.177800000000005</v>
      </c>
      <c r="H1475">
        <v>134.35560000000001</v>
      </c>
      <c r="I1475" t="s">
        <v>2354</v>
      </c>
    </row>
    <row r="1476" spans="1:9" x14ac:dyDescent="0.25">
      <c r="A1476" t="s">
        <v>220</v>
      </c>
      <c r="B1476" t="s">
        <v>5430</v>
      </c>
      <c r="C1476" t="s">
        <v>6162</v>
      </c>
      <c r="D1476" t="s">
        <v>8119</v>
      </c>
      <c r="F1476">
        <v>2</v>
      </c>
      <c r="G1476">
        <v>113.4</v>
      </c>
      <c r="H1476">
        <v>226.8</v>
      </c>
      <c r="I1476" t="s">
        <v>2354</v>
      </c>
    </row>
    <row r="1477" spans="1:9" x14ac:dyDescent="0.25">
      <c r="A1477" t="s">
        <v>220</v>
      </c>
      <c r="B1477" t="s">
        <v>5430</v>
      </c>
      <c r="C1477" t="s">
        <v>6164</v>
      </c>
      <c r="D1477" t="s">
        <v>8120</v>
      </c>
      <c r="F1477">
        <v>2</v>
      </c>
      <c r="G1477">
        <v>104.9967</v>
      </c>
      <c r="H1477">
        <v>209.99340000000001</v>
      </c>
      <c r="I1477" t="s">
        <v>2354</v>
      </c>
    </row>
    <row r="1478" spans="1:9" x14ac:dyDescent="0.25">
      <c r="A1478" t="s">
        <v>220</v>
      </c>
      <c r="B1478" t="s">
        <v>5430</v>
      </c>
      <c r="C1478" t="s">
        <v>6166</v>
      </c>
      <c r="D1478" t="s">
        <v>8121</v>
      </c>
      <c r="F1478">
        <v>6</v>
      </c>
      <c r="G1478">
        <v>177.3</v>
      </c>
      <c r="H1478">
        <v>1063.8000000000002</v>
      </c>
      <c r="I1478" t="s">
        <v>2354</v>
      </c>
    </row>
    <row r="1479" spans="1:9" x14ac:dyDescent="0.25">
      <c r="A1479" t="s">
        <v>220</v>
      </c>
      <c r="B1479" t="s">
        <v>5430</v>
      </c>
      <c r="C1479" t="s">
        <v>6168</v>
      </c>
      <c r="D1479" t="s">
        <v>8122</v>
      </c>
      <c r="F1479">
        <v>7</v>
      </c>
      <c r="G1479">
        <v>10.9062</v>
      </c>
      <c r="H1479">
        <v>76.343400000000003</v>
      </c>
      <c r="I1479" t="s">
        <v>2354</v>
      </c>
    </row>
    <row r="1480" spans="1:9" x14ac:dyDescent="0.25">
      <c r="A1480" t="s">
        <v>220</v>
      </c>
      <c r="B1480" t="s">
        <v>5430</v>
      </c>
      <c r="C1480" t="s">
        <v>6170</v>
      </c>
      <c r="D1480" t="s">
        <v>8123</v>
      </c>
      <c r="F1480">
        <v>2</v>
      </c>
      <c r="G1480">
        <v>239.04</v>
      </c>
      <c r="H1480">
        <v>478.08</v>
      </c>
      <c r="I1480" t="s">
        <v>2354</v>
      </c>
    </row>
    <row r="1481" spans="1:9" x14ac:dyDescent="0.25">
      <c r="A1481" t="s">
        <v>220</v>
      </c>
      <c r="B1481" t="s">
        <v>5430</v>
      </c>
      <c r="C1481" t="s">
        <v>6172</v>
      </c>
      <c r="D1481" t="s">
        <v>8124</v>
      </c>
      <c r="F1481">
        <v>2</v>
      </c>
      <c r="G1481">
        <v>47.34</v>
      </c>
      <c r="H1481">
        <v>94.68</v>
      </c>
      <c r="I1481" t="s">
        <v>2354</v>
      </c>
    </row>
    <row r="1482" spans="1:9" x14ac:dyDescent="0.25">
      <c r="A1482" t="s">
        <v>220</v>
      </c>
      <c r="B1482" t="s">
        <v>5430</v>
      </c>
      <c r="C1482" t="s">
        <v>6174</v>
      </c>
      <c r="D1482" t="s">
        <v>8125</v>
      </c>
      <c r="F1482">
        <v>2</v>
      </c>
      <c r="G1482">
        <v>131.12100000000001</v>
      </c>
      <c r="H1482">
        <v>262.24200000000002</v>
      </c>
      <c r="I1482" t="s">
        <v>2354</v>
      </c>
    </row>
    <row r="1483" spans="1:9" x14ac:dyDescent="0.25">
      <c r="A1483" t="s">
        <v>220</v>
      </c>
      <c r="B1483" t="s">
        <v>5430</v>
      </c>
      <c r="C1483" t="s">
        <v>6176</v>
      </c>
      <c r="D1483" t="s">
        <v>8126</v>
      </c>
      <c r="F1483">
        <v>6</v>
      </c>
      <c r="G1483">
        <v>61.875</v>
      </c>
      <c r="H1483">
        <v>371.25</v>
      </c>
      <c r="I1483" t="s">
        <v>2354</v>
      </c>
    </row>
    <row r="1484" spans="1:9" x14ac:dyDescent="0.25">
      <c r="A1484" t="s">
        <v>220</v>
      </c>
      <c r="B1484" t="s">
        <v>5430</v>
      </c>
      <c r="C1484" t="s">
        <v>6178</v>
      </c>
      <c r="D1484" t="s">
        <v>8127</v>
      </c>
      <c r="F1484">
        <v>1</v>
      </c>
      <c r="G1484">
        <v>52.758000000000003</v>
      </c>
      <c r="H1484">
        <v>52.758000000000003</v>
      </c>
      <c r="I1484" t="s">
        <v>2354</v>
      </c>
    </row>
    <row r="1485" spans="1:9" x14ac:dyDescent="0.25">
      <c r="A1485" t="s">
        <v>220</v>
      </c>
      <c r="B1485" t="s">
        <v>5430</v>
      </c>
      <c r="C1485" t="s">
        <v>6180</v>
      </c>
      <c r="D1485" t="s">
        <v>8128</v>
      </c>
      <c r="F1485">
        <v>1</v>
      </c>
      <c r="G1485">
        <v>278.32679999999999</v>
      </c>
      <c r="H1485">
        <v>278.32679999999999</v>
      </c>
      <c r="I1485" t="s">
        <v>2354</v>
      </c>
    </row>
    <row r="1486" spans="1:9" x14ac:dyDescent="0.25">
      <c r="A1486" t="s">
        <v>220</v>
      </c>
      <c r="B1486" t="s">
        <v>5430</v>
      </c>
      <c r="C1486" t="s">
        <v>6182</v>
      </c>
      <c r="D1486" t="s">
        <v>8129</v>
      </c>
      <c r="F1486">
        <v>3</v>
      </c>
      <c r="G1486">
        <v>21.666599999999999</v>
      </c>
      <c r="H1486">
        <v>64.999799999999993</v>
      </c>
      <c r="I1486" t="s">
        <v>2354</v>
      </c>
    </row>
    <row r="1487" spans="1:9" x14ac:dyDescent="0.25">
      <c r="A1487" t="s">
        <v>220</v>
      </c>
      <c r="B1487" t="s">
        <v>5430</v>
      </c>
      <c r="C1487" t="s">
        <v>8130</v>
      </c>
      <c r="D1487" t="s">
        <v>8131</v>
      </c>
      <c r="F1487">
        <v>1</v>
      </c>
      <c r="G1487">
        <v>0</v>
      </c>
      <c r="H1487">
        <v>0</v>
      </c>
      <c r="I1487" t="s">
        <v>2354</v>
      </c>
    </row>
    <row r="1488" spans="1:9" x14ac:dyDescent="0.25">
      <c r="A1488" t="s">
        <v>220</v>
      </c>
      <c r="B1488" t="s">
        <v>5430</v>
      </c>
      <c r="C1488" t="s">
        <v>6186</v>
      </c>
      <c r="D1488" t="s">
        <v>8132</v>
      </c>
      <c r="F1488">
        <v>9</v>
      </c>
      <c r="G1488">
        <v>99.830249999999992</v>
      </c>
      <c r="H1488">
        <v>898.47224999999992</v>
      </c>
      <c r="I1488" t="s">
        <v>2354</v>
      </c>
    </row>
    <row r="1489" spans="1:9" x14ac:dyDescent="0.25">
      <c r="A1489" t="s">
        <v>220</v>
      </c>
      <c r="B1489" t="s">
        <v>5430</v>
      </c>
      <c r="C1489" t="s">
        <v>6188</v>
      </c>
      <c r="D1489" t="s">
        <v>8133</v>
      </c>
      <c r="F1489">
        <v>1</v>
      </c>
      <c r="G1489">
        <v>12.441599999999999</v>
      </c>
      <c r="H1489">
        <v>12.441599999999999</v>
      </c>
      <c r="I1489" t="s">
        <v>2354</v>
      </c>
    </row>
    <row r="1490" spans="1:9" x14ac:dyDescent="0.25">
      <c r="A1490" t="s">
        <v>220</v>
      </c>
      <c r="B1490" t="s">
        <v>5430</v>
      </c>
      <c r="C1490" t="s">
        <v>8134</v>
      </c>
      <c r="D1490" t="s">
        <v>8135</v>
      </c>
      <c r="F1490">
        <v>1</v>
      </c>
      <c r="G1490">
        <v>72.275999999999996</v>
      </c>
      <c r="H1490">
        <v>72.275999999999996</v>
      </c>
      <c r="I1490" t="s">
        <v>2354</v>
      </c>
    </row>
    <row r="1491" spans="1:9" x14ac:dyDescent="0.25">
      <c r="A1491" t="s">
        <v>220</v>
      </c>
      <c r="B1491" t="s">
        <v>5430</v>
      </c>
      <c r="C1491" t="s">
        <v>6192</v>
      </c>
      <c r="D1491" t="s">
        <v>8136</v>
      </c>
      <c r="F1491">
        <v>2</v>
      </c>
      <c r="G1491">
        <v>64.346999999999994</v>
      </c>
      <c r="H1491">
        <v>128.69399999999999</v>
      </c>
      <c r="I1491" t="s">
        <v>2354</v>
      </c>
    </row>
    <row r="1492" spans="1:9" x14ac:dyDescent="0.25">
      <c r="A1492" t="s">
        <v>220</v>
      </c>
      <c r="B1492" t="s">
        <v>5430</v>
      </c>
      <c r="C1492" t="s">
        <v>8137</v>
      </c>
      <c r="D1492" t="s">
        <v>8138</v>
      </c>
      <c r="F1492">
        <v>1</v>
      </c>
      <c r="G1492">
        <v>17.91</v>
      </c>
      <c r="H1492">
        <v>17.91</v>
      </c>
      <c r="I1492" t="s">
        <v>2354</v>
      </c>
    </row>
    <row r="1493" spans="1:9" x14ac:dyDescent="0.25">
      <c r="A1493" t="s">
        <v>220</v>
      </c>
      <c r="B1493" t="s">
        <v>5430</v>
      </c>
      <c r="C1493" t="s">
        <v>6196</v>
      </c>
      <c r="D1493" t="s">
        <v>8139</v>
      </c>
      <c r="F1493">
        <v>4</v>
      </c>
      <c r="G1493">
        <v>226.58849999999998</v>
      </c>
      <c r="H1493">
        <v>906.35399999999993</v>
      </c>
      <c r="I1493" t="s">
        <v>2354</v>
      </c>
    </row>
    <row r="1494" spans="1:9" x14ac:dyDescent="0.25">
      <c r="A1494" t="s">
        <v>220</v>
      </c>
      <c r="B1494" t="s">
        <v>5430</v>
      </c>
      <c r="C1494" t="s">
        <v>6198</v>
      </c>
      <c r="D1494" t="s">
        <v>8140</v>
      </c>
      <c r="F1494">
        <v>2</v>
      </c>
      <c r="G1494">
        <v>73.260000000000005</v>
      </c>
      <c r="H1494">
        <v>146.52000000000001</v>
      </c>
      <c r="I1494" t="s">
        <v>2354</v>
      </c>
    </row>
    <row r="1495" spans="1:9" x14ac:dyDescent="0.25">
      <c r="A1495" t="s">
        <v>220</v>
      </c>
      <c r="B1495" t="s">
        <v>5430</v>
      </c>
      <c r="C1495" t="s">
        <v>8141</v>
      </c>
      <c r="D1495" t="s">
        <v>8142</v>
      </c>
      <c r="F1495">
        <v>5</v>
      </c>
      <c r="G1495">
        <v>0</v>
      </c>
      <c r="H1495">
        <v>0</v>
      </c>
      <c r="I1495" t="s">
        <v>2354</v>
      </c>
    </row>
    <row r="1496" spans="1:9" x14ac:dyDescent="0.25">
      <c r="A1496" t="s">
        <v>220</v>
      </c>
      <c r="B1496" t="s">
        <v>5430</v>
      </c>
      <c r="C1496" t="s">
        <v>6200</v>
      </c>
      <c r="D1496" t="s">
        <v>8143</v>
      </c>
      <c r="F1496">
        <v>7</v>
      </c>
      <c r="G1496">
        <v>22.859999999999996</v>
      </c>
      <c r="H1496">
        <v>160.01999999999998</v>
      </c>
      <c r="I1496" t="s">
        <v>2354</v>
      </c>
    </row>
    <row r="1497" spans="1:9" x14ac:dyDescent="0.25">
      <c r="A1497" t="s">
        <v>220</v>
      </c>
      <c r="B1497" t="s">
        <v>5430</v>
      </c>
      <c r="C1497" t="s">
        <v>6202</v>
      </c>
      <c r="D1497" t="s">
        <v>6203</v>
      </c>
      <c r="F1497">
        <v>2</v>
      </c>
      <c r="G1497">
        <v>64.346999999999994</v>
      </c>
      <c r="H1497">
        <v>128.69399999999999</v>
      </c>
      <c r="I1497" t="s">
        <v>2354</v>
      </c>
    </row>
    <row r="1498" spans="1:9" x14ac:dyDescent="0.25">
      <c r="A1498" t="s">
        <v>220</v>
      </c>
      <c r="B1498" t="s">
        <v>5430</v>
      </c>
      <c r="C1498" t="s">
        <v>6204</v>
      </c>
      <c r="D1498" t="s">
        <v>8144</v>
      </c>
      <c r="F1498">
        <v>1</v>
      </c>
      <c r="G1498">
        <v>0</v>
      </c>
      <c r="H1498">
        <v>0</v>
      </c>
      <c r="I1498" t="s">
        <v>2354</v>
      </c>
    </row>
    <row r="1499" spans="1:9" x14ac:dyDescent="0.25">
      <c r="A1499" t="s">
        <v>220</v>
      </c>
      <c r="B1499" t="s">
        <v>5430</v>
      </c>
      <c r="C1499" t="s">
        <v>6206</v>
      </c>
      <c r="D1499" t="s">
        <v>6207</v>
      </c>
      <c r="F1499">
        <v>2</v>
      </c>
      <c r="G1499">
        <v>0</v>
      </c>
      <c r="H1499">
        <v>0</v>
      </c>
      <c r="I1499" t="s">
        <v>2354</v>
      </c>
    </row>
    <row r="1500" spans="1:9" x14ac:dyDescent="0.25">
      <c r="A1500" t="s">
        <v>220</v>
      </c>
      <c r="B1500" t="s">
        <v>5430</v>
      </c>
      <c r="C1500" t="s">
        <v>6208</v>
      </c>
      <c r="D1500" t="s">
        <v>8145</v>
      </c>
      <c r="F1500">
        <v>2</v>
      </c>
      <c r="G1500">
        <v>0</v>
      </c>
      <c r="H1500">
        <v>0</v>
      </c>
      <c r="I1500" t="s">
        <v>2354</v>
      </c>
    </row>
    <row r="1501" spans="1:9" x14ac:dyDescent="0.25">
      <c r="A1501" t="s">
        <v>220</v>
      </c>
      <c r="B1501" t="s">
        <v>5430</v>
      </c>
      <c r="C1501" t="s">
        <v>6210</v>
      </c>
      <c r="D1501" t="s">
        <v>8146</v>
      </c>
      <c r="F1501">
        <v>9</v>
      </c>
      <c r="G1501">
        <v>77.400000000000006</v>
      </c>
      <c r="H1501">
        <v>696.6</v>
      </c>
      <c r="I1501" t="s">
        <v>2354</v>
      </c>
    </row>
    <row r="1502" spans="1:9" x14ac:dyDescent="0.25">
      <c r="A1502" t="s">
        <v>220</v>
      </c>
      <c r="B1502" t="s">
        <v>5430</v>
      </c>
      <c r="C1502" t="s">
        <v>6212</v>
      </c>
      <c r="D1502" t="s">
        <v>8147</v>
      </c>
      <c r="F1502">
        <v>1</v>
      </c>
      <c r="G1502">
        <v>405.87799999999999</v>
      </c>
      <c r="H1502">
        <v>405.87799999999999</v>
      </c>
      <c r="I1502" t="s">
        <v>2354</v>
      </c>
    </row>
    <row r="1503" spans="1:9" x14ac:dyDescent="0.25">
      <c r="A1503" t="s">
        <v>220</v>
      </c>
      <c r="B1503" t="s">
        <v>5430</v>
      </c>
      <c r="C1503" t="s">
        <v>6214</v>
      </c>
      <c r="D1503" t="s">
        <v>8148</v>
      </c>
      <c r="F1503">
        <v>4</v>
      </c>
      <c r="G1503">
        <v>621.45309599999996</v>
      </c>
      <c r="H1503">
        <v>2485.8123839999998</v>
      </c>
      <c r="I1503" t="s">
        <v>2354</v>
      </c>
    </row>
    <row r="1504" spans="1:9" x14ac:dyDescent="0.25">
      <c r="A1504" t="s">
        <v>220</v>
      </c>
      <c r="B1504" t="s">
        <v>5430</v>
      </c>
      <c r="C1504" t="s">
        <v>8149</v>
      </c>
      <c r="D1504" t="s">
        <v>8150</v>
      </c>
      <c r="F1504">
        <v>1</v>
      </c>
      <c r="G1504">
        <v>0</v>
      </c>
      <c r="H1504">
        <v>0</v>
      </c>
      <c r="I1504" t="s">
        <v>2354</v>
      </c>
    </row>
    <row r="1505" spans="1:9" x14ac:dyDescent="0.25">
      <c r="A1505" t="s">
        <v>220</v>
      </c>
      <c r="B1505" t="s">
        <v>5430</v>
      </c>
      <c r="C1505" t="s">
        <v>6216</v>
      </c>
      <c r="D1505" t="s">
        <v>8151</v>
      </c>
      <c r="F1505">
        <v>1</v>
      </c>
      <c r="G1505">
        <v>414</v>
      </c>
      <c r="H1505">
        <v>414</v>
      </c>
      <c r="I1505" t="s">
        <v>2354</v>
      </c>
    </row>
    <row r="1506" spans="1:9" x14ac:dyDescent="0.25">
      <c r="A1506" t="s">
        <v>220</v>
      </c>
      <c r="B1506" t="s">
        <v>5430</v>
      </c>
      <c r="C1506" t="s">
        <v>8152</v>
      </c>
      <c r="D1506" t="s">
        <v>8153</v>
      </c>
      <c r="F1506">
        <v>9</v>
      </c>
      <c r="G1506">
        <v>80.099999999999994</v>
      </c>
      <c r="H1506">
        <v>720.9</v>
      </c>
      <c r="I1506" t="s">
        <v>2354</v>
      </c>
    </row>
    <row r="1507" spans="1:9" x14ac:dyDescent="0.25">
      <c r="A1507" t="s">
        <v>220</v>
      </c>
      <c r="B1507" t="s">
        <v>5430</v>
      </c>
      <c r="C1507" t="s">
        <v>6222</v>
      </c>
      <c r="D1507" t="s">
        <v>8154</v>
      </c>
      <c r="F1507">
        <v>2</v>
      </c>
      <c r="G1507">
        <v>124.58159999999999</v>
      </c>
      <c r="H1507">
        <v>249.16319999999999</v>
      </c>
      <c r="I1507" t="s">
        <v>2354</v>
      </c>
    </row>
    <row r="1508" spans="1:9" x14ac:dyDescent="0.25">
      <c r="A1508" t="s">
        <v>220</v>
      </c>
      <c r="B1508" t="s">
        <v>5430</v>
      </c>
      <c r="C1508" t="s">
        <v>6224</v>
      </c>
      <c r="D1508" t="s">
        <v>6225</v>
      </c>
      <c r="F1508">
        <v>7</v>
      </c>
      <c r="G1508">
        <v>51.3</v>
      </c>
      <c r="H1508">
        <v>359.09999999999997</v>
      </c>
      <c r="I1508" t="s">
        <v>2354</v>
      </c>
    </row>
    <row r="1509" spans="1:9" x14ac:dyDescent="0.25">
      <c r="A1509" t="s">
        <v>220</v>
      </c>
      <c r="B1509" t="s">
        <v>5430</v>
      </c>
      <c r="C1509" t="s">
        <v>6226</v>
      </c>
      <c r="D1509" t="s">
        <v>8155</v>
      </c>
      <c r="F1509">
        <v>7</v>
      </c>
      <c r="G1509">
        <v>183.6</v>
      </c>
      <c r="H1509">
        <v>1285.2</v>
      </c>
      <c r="I1509" t="s">
        <v>2354</v>
      </c>
    </row>
    <row r="1510" spans="1:9" x14ac:dyDescent="0.25">
      <c r="A1510" t="s">
        <v>220</v>
      </c>
      <c r="B1510" t="s">
        <v>5430</v>
      </c>
      <c r="C1510" t="s">
        <v>6228</v>
      </c>
      <c r="D1510" t="s">
        <v>6229</v>
      </c>
      <c r="F1510">
        <v>8</v>
      </c>
      <c r="G1510">
        <v>42.772500000000001</v>
      </c>
      <c r="H1510">
        <v>342.18</v>
      </c>
      <c r="I1510" t="s">
        <v>2354</v>
      </c>
    </row>
    <row r="1511" spans="1:9" x14ac:dyDescent="0.25">
      <c r="A1511" t="s">
        <v>220</v>
      </c>
      <c r="B1511" t="s">
        <v>5430</v>
      </c>
      <c r="C1511" t="s">
        <v>6230</v>
      </c>
      <c r="D1511" t="s">
        <v>6231</v>
      </c>
      <c r="F1511">
        <v>4</v>
      </c>
      <c r="G1511">
        <v>81.088499999999996</v>
      </c>
      <c r="H1511">
        <v>324.35399999999998</v>
      </c>
      <c r="I1511" t="s">
        <v>2354</v>
      </c>
    </row>
    <row r="1512" spans="1:9" x14ac:dyDescent="0.25">
      <c r="A1512" t="s">
        <v>220</v>
      </c>
      <c r="B1512" t="s">
        <v>5430</v>
      </c>
      <c r="C1512" t="s">
        <v>5456</v>
      </c>
      <c r="D1512" t="s">
        <v>8156</v>
      </c>
      <c r="F1512">
        <v>9</v>
      </c>
      <c r="G1512">
        <v>3.6225000000000001</v>
      </c>
      <c r="H1512">
        <v>32.602499999999999</v>
      </c>
      <c r="I1512" t="s">
        <v>2354</v>
      </c>
    </row>
    <row r="1513" spans="1:9" x14ac:dyDescent="0.25">
      <c r="A1513" t="s">
        <v>220</v>
      </c>
      <c r="B1513" t="s">
        <v>5430</v>
      </c>
      <c r="C1513" t="s">
        <v>8157</v>
      </c>
      <c r="D1513" t="s">
        <v>8158</v>
      </c>
      <c r="F1513">
        <v>1</v>
      </c>
      <c r="G1513">
        <v>515.70000000000005</v>
      </c>
      <c r="H1513">
        <v>515.70000000000005</v>
      </c>
      <c r="I1513" t="s">
        <v>2354</v>
      </c>
    </row>
    <row r="1514" spans="1:9" x14ac:dyDescent="0.25">
      <c r="A1514" t="s">
        <v>220</v>
      </c>
      <c r="B1514" t="s">
        <v>5430</v>
      </c>
      <c r="C1514" t="s">
        <v>6251</v>
      </c>
      <c r="D1514" t="s">
        <v>6252</v>
      </c>
      <c r="F1514">
        <v>96</v>
      </c>
      <c r="G1514">
        <v>27.597635400000001</v>
      </c>
      <c r="H1514">
        <v>2649.3729984000001</v>
      </c>
      <c r="I1514" t="s">
        <v>2354</v>
      </c>
    </row>
    <row r="1515" spans="1:9" x14ac:dyDescent="0.25">
      <c r="A1515" t="s">
        <v>220</v>
      </c>
      <c r="B1515" t="s">
        <v>5430</v>
      </c>
      <c r="C1515" t="s">
        <v>8159</v>
      </c>
      <c r="D1515" t="s">
        <v>8160</v>
      </c>
      <c r="F1515">
        <v>0.5</v>
      </c>
      <c r="G1515">
        <v>7.8650000000000002</v>
      </c>
      <c r="H1515">
        <v>3.9325000000000001</v>
      </c>
      <c r="I1515" t="s">
        <v>2354</v>
      </c>
    </row>
    <row r="1516" spans="1:9" x14ac:dyDescent="0.25">
      <c r="A1516" t="s">
        <v>220</v>
      </c>
      <c r="B1516" t="s">
        <v>5430</v>
      </c>
      <c r="C1516" t="s">
        <v>6373</v>
      </c>
      <c r="D1516" t="s">
        <v>8161</v>
      </c>
      <c r="F1516">
        <v>1</v>
      </c>
      <c r="G1516">
        <v>125.15600000000001</v>
      </c>
      <c r="H1516">
        <v>125.15600000000001</v>
      </c>
      <c r="I1516" t="s">
        <v>2354</v>
      </c>
    </row>
    <row r="1517" spans="1:9" x14ac:dyDescent="0.25">
      <c r="A1517" t="s">
        <v>220</v>
      </c>
      <c r="B1517" t="s">
        <v>5430</v>
      </c>
      <c r="C1517" t="s">
        <v>3417</v>
      </c>
      <c r="D1517" t="s">
        <v>8162</v>
      </c>
      <c r="F1517">
        <v>1</v>
      </c>
      <c r="G1517">
        <v>489.53530000000001</v>
      </c>
      <c r="H1517">
        <v>489.53530000000001</v>
      </c>
      <c r="I1517" t="s">
        <v>2354</v>
      </c>
    </row>
    <row r="1518" spans="1:9" x14ac:dyDescent="0.25">
      <c r="A1518" t="s">
        <v>220</v>
      </c>
      <c r="B1518" t="s">
        <v>5430</v>
      </c>
      <c r="C1518" t="s">
        <v>6375</v>
      </c>
      <c r="D1518" t="s">
        <v>6376</v>
      </c>
      <c r="F1518">
        <v>4</v>
      </c>
      <c r="G1518">
        <v>6.1845499999999989</v>
      </c>
      <c r="H1518">
        <v>24.738199999999996</v>
      </c>
      <c r="I1518" t="s">
        <v>2354</v>
      </c>
    </row>
    <row r="1519" spans="1:9" x14ac:dyDescent="0.25">
      <c r="A1519" t="s">
        <v>220</v>
      </c>
      <c r="B1519" t="s">
        <v>5430</v>
      </c>
      <c r="C1519" t="s">
        <v>8163</v>
      </c>
      <c r="D1519" t="s">
        <v>8164</v>
      </c>
      <c r="F1519">
        <v>3</v>
      </c>
      <c r="G1519">
        <v>3.3893999999999997</v>
      </c>
      <c r="H1519">
        <v>10.168199999999999</v>
      </c>
      <c r="I1519" t="s">
        <v>2354</v>
      </c>
    </row>
    <row r="1520" spans="1:9" x14ac:dyDescent="0.25">
      <c r="A1520" t="s">
        <v>220</v>
      </c>
      <c r="B1520" t="s">
        <v>5430</v>
      </c>
      <c r="C1520" t="s">
        <v>8165</v>
      </c>
      <c r="D1520" t="s">
        <v>8166</v>
      </c>
      <c r="F1520">
        <v>28</v>
      </c>
      <c r="G1520">
        <v>2.5865999999999998</v>
      </c>
      <c r="H1520">
        <v>72.424799999999991</v>
      </c>
      <c r="I1520" t="s">
        <v>2354</v>
      </c>
    </row>
    <row r="1521" spans="1:9" x14ac:dyDescent="0.25">
      <c r="A1521" t="s">
        <v>220</v>
      </c>
      <c r="B1521" t="s">
        <v>5430</v>
      </c>
      <c r="C1521" t="s">
        <v>6377</v>
      </c>
      <c r="D1521" t="s">
        <v>8167</v>
      </c>
      <c r="F1521">
        <v>5</v>
      </c>
      <c r="G1521">
        <v>3.4497</v>
      </c>
      <c r="H1521">
        <v>17.2485</v>
      </c>
      <c r="I1521" t="s">
        <v>2354</v>
      </c>
    </row>
    <row r="1522" spans="1:9" x14ac:dyDescent="0.25">
      <c r="A1522" t="s">
        <v>220</v>
      </c>
      <c r="B1522" t="s">
        <v>5430</v>
      </c>
      <c r="C1522" t="s">
        <v>6379</v>
      </c>
      <c r="D1522" t="s">
        <v>8168</v>
      </c>
      <c r="F1522">
        <v>1</v>
      </c>
      <c r="G1522">
        <v>39.974400000000003</v>
      </c>
      <c r="H1522">
        <v>39.974400000000003</v>
      </c>
      <c r="I1522" t="s">
        <v>2354</v>
      </c>
    </row>
    <row r="1523" spans="1:9" x14ac:dyDescent="0.25">
      <c r="A1523" t="s">
        <v>220</v>
      </c>
      <c r="B1523" t="s">
        <v>5430</v>
      </c>
      <c r="C1523" t="s">
        <v>6381</v>
      </c>
      <c r="D1523" t="s">
        <v>8169</v>
      </c>
      <c r="F1523">
        <v>6</v>
      </c>
      <c r="G1523">
        <v>5.94</v>
      </c>
      <c r="H1523">
        <v>35.64</v>
      </c>
      <c r="I1523" t="s">
        <v>2354</v>
      </c>
    </row>
    <row r="1524" spans="1:9" x14ac:dyDescent="0.25">
      <c r="A1524" t="s">
        <v>220</v>
      </c>
      <c r="B1524" t="s">
        <v>5430</v>
      </c>
      <c r="C1524" t="s">
        <v>6383</v>
      </c>
      <c r="D1524" t="s">
        <v>8170</v>
      </c>
      <c r="F1524">
        <v>10</v>
      </c>
      <c r="G1524">
        <v>2.5451999999999999</v>
      </c>
      <c r="H1524">
        <v>25.451999999999998</v>
      </c>
      <c r="I1524" t="s">
        <v>2354</v>
      </c>
    </row>
    <row r="1525" spans="1:9" x14ac:dyDescent="0.25">
      <c r="A1525" t="s">
        <v>220</v>
      </c>
      <c r="B1525" t="s">
        <v>5430</v>
      </c>
      <c r="C1525" t="s">
        <v>6385</v>
      </c>
      <c r="D1525" t="s">
        <v>8171</v>
      </c>
      <c r="F1525">
        <v>4</v>
      </c>
      <c r="G1525">
        <v>54.843000000000004</v>
      </c>
      <c r="H1525">
        <v>219.37200000000001</v>
      </c>
      <c r="I1525" t="s">
        <v>2354</v>
      </c>
    </row>
    <row r="1526" spans="1:9" x14ac:dyDescent="0.25">
      <c r="A1526" t="s">
        <v>220</v>
      </c>
      <c r="B1526" t="s">
        <v>5430</v>
      </c>
      <c r="C1526" t="s">
        <v>6387</v>
      </c>
      <c r="D1526" t="s">
        <v>8172</v>
      </c>
      <c r="F1526">
        <v>1</v>
      </c>
      <c r="G1526">
        <v>37.799999999999997</v>
      </c>
      <c r="H1526">
        <v>37.799999999999997</v>
      </c>
      <c r="I1526" t="s">
        <v>2354</v>
      </c>
    </row>
    <row r="1527" spans="1:9" x14ac:dyDescent="0.25">
      <c r="A1527" t="s">
        <v>220</v>
      </c>
      <c r="B1527" t="s">
        <v>5430</v>
      </c>
      <c r="C1527" t="s">
        <v>6389</v>
      </c>
      <c r="D1527" t="s">
        <v>8173</v>
      </c>
      <c r="F1527">
        <v>1</v>
      </c>
      <c r="G1527">
        <v>43.271999999999998</v>
      </c>
      <c r="H1527">
        <v>43.271999999999998</v>
      </c>
      <c r="I1527" t="s">
        <v>2354</v>
      </c>
    </row>
    <row r="1528" spans="1:9" x14ac:dyDescent="0.25">
      <c r="A1528" t="s">
        <v>220</v>
      </c>
      <c r="B1528" t="s">
        <v>5430</v>
      </c>
      <c r="C1528" t="s">
        <v>6391</v>
      </c>
      <c r="D1528" t="s">
        <v>8174</v>
      </c>
      <c r="F1528">
        <v>30</v>
      </c>
      <c r="G1528">
        <v>3.056</v>
      </c>
      <c r="H1528">
        <v>91.68</v>
      </c>
      <c r="I1528" t="s">
        <v>2354</v>
      </c>
    </row>
    <row r="1529" spans="1:9" x14ac:dyDescent="0.25">
      <c r="A1529" t="s">
        <v>220</v>
      </c>
      <c r="B1529" t="s">
        <v>5430</v>
      </c>
      <c r="C1529" t="s">
        <v>6393</v>
      </c>
      <c r="D1529" t="s">
        <v>8175</v>
      </c>
      <c r="F1529">
        <v>4</v>
      </c>
      <c r="G1529">
        <v>5.1765000000000008</v>
      </c>
      <c r="H1529">
        <v>20.706000000000003</v>
      </c>
      <c r="I1529" t="s">
        <v>2354</v>
      </c>
    </row>
    <row r="1530" spans="1:9" x14ac:dyDescent="0.25">
      <c r="A1530" t="s">
        <v>220</v>
      </c>
      <c r="B1530" t="s">
        <v>5430</v>
      </c>
      <c r="C1530" t="s">
        <v>6395</v>
      </c>
      <c r="D1530" t="s">
        <v>8176</v>
      </c>
      <c r="F1530">
        <v>1</v>
      </c>
      <c r="G1530">
        <v>3.4722499999999998</v>
      </c>
      <c r="H1530">
        <v>3.4722499999999998</v>
      </c>
      <c r="I1530" t="s">
        <v>2354</v>
      </c>
    </row>
    <row r="1531" spans="1:9" x14ac:dyDescent="0.25">
      <c r="A1531" t="s">
        <v>220</v>
      </c>
      <c r="B1531" t="s">
        <v>5430</v>
      </c>
      <c r="C1531" t="s">
        <v>6397</v>
      </c>
      <c r="D1531" t="s">
        <v>8177</v>
      </c>
      <c r="F1531">
        <v>2</v>
      </c>
      <c r="G1531">
        <v>28.116</v>
      </c>
      <c r="H1531">
        <v>56.231999999999999</v>
      </c>
      <c r="I1531" t="s">
        <v>2354</v>
      </c>
    </row>
    <row r="1532" spans="1:9" x14ac:dyDescent="0.25">
      <c r="A1532" t="s">
        <v>220</v>
      </c>
      <c r="B1532" t="s">
        <v>5430</v>
      </c>
      <c r="C1532" t="s">
        <v>6399</v>
      </c>
      <c r="D1532" t="s">
        <v>8178</v>
      </c>
      <c r="F1532">
        <v>25</v>
      </c>
      <c r="G1532">
        <v>4.32</v>
      </c>
      <c r="H1532">
        <v>108</v>
      </c>
      <c r="I1532" t="s">
        <v>2354</v>
      </c>
    </row>
    <row r="1533" spans="1:9" x14ac:dyDescent="0.25">
      <c r="A1533" t="s">
        <v>220</v>
      </c>
      <c r="B1533" t="s">
        <v>5430</v>
      </c>
      <c r="C1533" t="s">
        <v>8179</v>
      </c>
      <c r="D1533" t="s">
        <v>8180</v>
      </c>
      <c r="F1533">
        <v>1</v>
      </c>
      <c r="G1533">
        <v>50.58</v>
      </c>
      <c r="H1533">
        <v>50.58</v>
      </c>
      <c r="I1533" t="s">
        <v>2354</v>
      </c>
    </row>
    <row r="1534" spans="1:9" x14ac:dyDescent="0.25">
      <c r="A1534" t="s">
        <v>220</v>
      </c>
      <c r="B1534" t="s">
        <v>5430</v>
      </c>
      <c r="C1534" t="s">
        <v>8181</v>
      </c>
      <c r="D1534" t="s">
        <v>8182</v>
      </c>
      <c r="F1534">
        <v>2</v>
      </c>
      <c r="G1534">
        <v>40.701599999999999</v>
      </c>
      <c r="H1534">
        <v>81.403199999999998</v>
      </c>
      <c r="I1534" t="s">
        <v>2354</v>
      </c>
    </row>
    <row r="1535" spans="1:9" x14ac:dyDescent="0.25">
      <c r="A1535" t="s">
        <v>220</v>
      </c>
      <c r="B1535" t="s">
        <v>5430</v>
      </c>
      <c r="C1535" t="s">
        <v>8183</v>
      </c>
      <c r="D1535" t="s">
        <v>8184</v>
      </c>
      <c r="F1535">
        <v>1</v>
      </c>
      <c r="G1535">
        <v>35.085599999999999</v>
      </c>
      <c r="H1535">
        <v>35.085599999999999</v>
      </c>
      <c r="I1535" t="s">
        <v>2354</v>
      </c>
    </row>
    <row r="1536" spans="1:9" x14ac:dyDescent="0.25">
      <c r="A1536" t="s">
        <v>220</v>
      </c>
      <c r="B1536" t="s">
        <v>5430</v>
      </c>
      <c r="C1536" t="s">
        <v>8185</v>
      </c>
      <c r="D1536" t="s">
        <v>8186</v>
      </c>
      <c r="F1536">
        <v>1</v>
      </c>
      <c r="G1536">
        <v>42.160499999999999</v>
      </c>
      <c r="H1536">
        <v>42.160499999999999</v>
      </c>
      <c r="I1536" t="s">
        <v>2354</v>
      </c>
    </row>
    <row r="1537" spans="1:9" x14ac:dyDescent="0.25">
      <c r="A1537" t="s">
        <v>220</v>
      </c>
      <c r="B1537" t="s">
        <v>5430</v>
      </c>
      <c r="C1537" t="s">
        <v>6409</v>
      </c>
      <c r="D1537" t="s">
        <v>8187</v>
      </c>
      <c r="F1537">
        <v>5</v>
      </c>
      <c r="G1537">
        <v>20.7</v>
      </c>
      <c r="H1537">
        <v>103.5</v>
      </c>
      <c r="I1537" t="s">
        <v>2354</v>
      </c>
    </row>
    <row r="1538" spans="1:9" x14ac:dyDescent="0.25">
      <c r="A1538" t="s">
        <v>220</v>
      </c>
      <c r="B1538" t="s">
        <v>5430</v>
      </c>
      <c r="C1538" t="s">
        <v>6411</v>
      </c>
      <c r="D1538" t="s">
        <v>8188</v>
      </c>
      <c r="F1538">
        <v>5</v>
      </c>
      <c r="G1538">
        <v>25.2</v>
      </c>
      <c r="H1538">
        <v>126</v>
      </c>
      <c r="I1538" t="s">
        <v>2354</v>
      </c>
    </row>
    <row r="1539" spans="1:9" x14ac:dyDescent="0.25">
      <c r="A1539" t="s">
        <v>220</v>
      </c>
      <c r="B1539" t="s">
        <v>5430</v>
      </c>
      <c r="C1539" t="s">
        <v>6413</v>
      </c>
      <c r="D1539" t="s">
        <v>8189</v>
      </c>
      <c r="F1539">
        <v>1</v>
      </c>
      <c r="G1539">
        <v>120.6</v>
      </c>
      <c r="H1539">
        <v>120.6</v>
      </c>
      <c r="I1539" t="s">
        <v>2354</v>
      </c>
    </row>
    <row r="1540" spans="1:9" x14ac:dyDescent="0.25">
      <c r="A1540" t="s">
        <v>220</v>
      </c>
      <c r="B1540" t="s">
        <v>5430</v>
      </c>
      <c r="C1540" t="s">
        <v>6415</v>
      </c>
      <c r="D1540" t="s">
        <v>8190</v>
      </c>
      <c r="F1540">
        <v>11</v>
      </c>
      <c r="G1540">
        <v>199.80000000000004</v>
      </c>
      <c r="H1540">
        <v>2197.8000000000006</v>
      </c>
      <c r="I1540" t="s">
        <v>2354</v>
      </c>
    </row>
    <row r="1541" spans="1:9" x14ac:dyDescent="0.25">
      <c r="A1541" t="s">
        <v>220</v>
      </c>
      <c r="B1541" t="s">
        <v>5430</v>
      </c>
      <c r="C1541" t="s">
        <v>6417</v>
      </c>
      <c r="D1541" t="s">
        <v>8191</v>
      </c>
      <c r="F1541">
        <v>2</v>
      </c>
      <c r="G1541">
        <v>37.646999999999998</v>
      </c>
      <c r="H1541">
        <v>75.293999999999997</v>
      </c>
      <c r="I1541" t="s">
        <v>2354</v>
      </c>
    </row>
    <row r="1542" spans="1:9" x14ac:dyDescent="0.25">
      <c r="A1542" t="s">
        <v>220</v>
      </c>
      <c r="B1542" t="s">
        <v>5430</v>
      </c>
      <c r="C1542" t="s">
        <v>6419</v>
      </c>
      <c r="D1542" t="s">
        <v>8192</v>
      </c>
      <c r="F1542">
        <v>2</v>
      </c>
      <c r="G1542">
        <v>33.75</v>
      </c>
      <c r="H1542">
        <v>67.5</v>
      </c>
      <c r="I1542" t="s">
        <v>2354</v>
      </c>
    </row>
    <row r="1543" spans="1:9" x14ac:dyDescent="0.25">
      <c r="A1543" t="s">
        <v>220</v>
      </c>
      <c r="B1543" t="s">
        <v>5430</v>
      </c>
      <c r="C1543" t="s">
        <v>6421</v>
      </c>
      <c r="D1543" t="s">
        <v>8193</v>
      </c>
      <c r="F1543">
        <v>4</v>
      </c>
      <c r="G1543">
        <v>102.06432</v>
      </c>
      <c r="H1543">
        <v>408.25727999999998</v>
      </c>
      <c r="I1543" t="s">
        <v>2354</v>
      </c>
    </row>
    <row r="1544" spans="1:9" x14ac:dyDescent="0.25">
      <c r="A1544" t="s">
        <v>220</v>
      </c>
      <c r="B1544" t="s">
        <v>5430</v>
      </c>
      <c r="C1544" t="s">
        <v>6423</v>
      </c>
      <c r="D1544" t="s">
        <v>6424</v>
      </c>
      <c r="F1544">
        <v>2</v>
      </c>
      <c r="G1544">
        <v>28.116</v>
      </c>
      <c r="H1544">
        <v>56.231999999999999</v>
      </c>
      <c r="I1544" t="s">
        <v>2354</v>
      </c>
    </row>
    <row r="1545" spans="1:9" x14ac:dyDescent="0.25">
      <c r="A1545" t="s">
        <v>220</v>
      </c>
      <c r="B1545" t="s">
        <v>5430</v>
      </c>
      <c r="C1545" t="s">
        <v>6425</v>
      </c>
      <c r="D1545" t="s">
        <v>8194</v>
      </c>
      <c r="F1545">
        <v>2</v>
      </c>
      <c r="G1545">
        <v>83.16</v>
      </c>
      <c r="H1545">
        <v>166.32</v>
      </c>
      <c r="I1545" t="s">
        <v>2354</v>
      </c>
    </row>
    <row r="1546" spans="1:9" x14ac:dyDescent="0.25">
      <c r="A1546" t="s">
        <v>220</v>
      </c>
      <c r="B1546" t="s">
        <v>5430</v>
      </c>
      <c r="C1546" t="s">
        <v>6427</v>
      </c>
      <c r="D1546" t="s">
        <v>8195</v>
      </c>
      <c r="F1546">
        <v>2</v>
      </c>
      <c r="G1546">
        <v>24.803999999999998</v>
      </c>
      <c r="H1546">
        <v>49.607999999999997</v>
      </c>
      <c r="I1546" t="s">
        <v>2354</v>
      </c>
    </row>
    <row r="1547" spans="1:9" x14ac:dyDescent="0.25">
      <c r="A1547" t="s">
        <v>220</v>
      </c>
      <c r="B1547" t="s">
        <v>5430</v>
      </c>
      <c r="C1547" t="s">
        <v>6429</v>
      </c>
      <c r="D1547" t="s">
        <v>8196</v>
      </c>
      <c r="F1547">
        <v>2</v>
      </c>
      <c r="G1547">
        <v>33.542099999999998</v>
      </c>
      <c r="H1547">
        <v>67.084199999999996</v>
      </c>
      <c r="I1547" t="s">
        <v>2354</v>
      </c>
    </row>
    <row r="1548" spans="1:9" x14ac:dyDescent="0.25">
      <c r="A1548" t="s">
        <v>220</v>
      </c>
      <c r="B1548" t="s">
        <v>5430</v>
      </c>
      <c r="C1548" t="s">
        <v>6431</v>
      </c>
      <c r="D1548" t="s">
        <v>8197</v>
      </c>
      <c r="F1548">
        <v>1</v>
      </c>
      <c r="G1548">
        <v>58.968000000000004</v>
      </c>
      <c r="H1548">
        <v>58.968000000000004</v>
      </c>
      <c r="I1548" t="s">
        <v>2354</v>
      </c>
    </row>
    <row r="1549" spans="1:9" x14ac:dyDescent="0.25">
      <c r="A1549" t="s">
        <v>220</v>
      </c>
      <c r="B1549" t="s">
        <v>5430</v>
      </c>
      <c r="C1549" t="s">
        <v>6433</v>
      </c>
      <c r="D1549" t="s">
        <v>8198</v>
      </c>
      <c r="F1549">
        <v>3</v>
      </c>
      <c r="G1549">
        <v>227.97375</v>
      </c>
      <c r="H1549">
        <v>683.92124999999999</v>
      </c>
      <c r="I1549" t="s">
        <v>2354</v>
      </c>
    </row>
    <row r="1550" spans="1:9" x14ac:dyDescent="0.25">
      <c r="A1550" t="s">
        <v>220</v>
      </c>
      <c r="B1550" t="s">
        <v>5430</v>
      </c>
      <c r="C1550" t="s">
        <v>6435</v>
      </c>
      <c r="D1550" t="s">
        <v>8199</v>
      </c>
      <c r="F1550">
        <v>2</v>
      </c>
      <c r="G1550">
        <v>77.004000000000005</v>
      </c>
      <c r="H1550">
        <v>154.00800000000001</v>
      </c>
      <c r="I1550" t="s">
        <v>2354</v>
      </c>
    </row>
    <row r="1551" spans="1:9" x14ac:dyDescent="0.25">
      <c r="A1551" t="s">
        <v>220</v>
      </c>
      <c r="B1551" t="s">
        <v>5430</v>
      </c>
      <c r="C1551" t="s">
        <v>6437</v>
      </c>
      <c r="D1551" t="s">
        <v>8200</v>
      </c>
      <c r="F1551">
        <v>2</v>
      </c>
      <c r="G1551">
        <v>76.105800000000002</v>
      </c>
      <c r="H1551">
        <v>152.2116</v>
      </c>
      <c r="I1551" t="s">
        <v>2354</v>
      </c>
    </row>
    <row r="1552" spans="1:9" x14ac:dyDescent="0.25">
      <c r="A1552" t="s">
        <v>220</v>
      </c>
      <c r="B1552" t="s">
        <v>5430</v>
      </c>
      <c r="C1552" t="s">
        <v>6439</v>
      </c>
      <c r="D1552" t="s">
        <v>8201</v>
      </c>
      <c r="F1552">
        <v>2</v>
      </c>
      <c r="G1552">
        <v>78.525000000000006</v>
      </c>
      <c r="H1552">
        <v>157.05000000000001</v>
      </c>
      <c r="I1552" t="s">
        <v>2354</v>
      </c>
    </row>
    <row r="1553" spans="1:9" x14ac:dyDescent="0.25">
      <c r="A1553" t="s">
        <v>220</v>
      </c>
      <c r="B1553" t="s">
        <v>5430</v>
      </c>
      <c r="C1553" t="s">
        <v>6441</v>
      </c>
      <c r="D1553" t="s">
        <v>8202</v>
      </c>
      <c r="F1553">
        <v>2</v>
      </c>
      <c r="G1553">
        <v>131.00579999999999</v>
      </c>
      <c r="H1553">
        <v>262.01159999999999</v>
      </c>
      <c r="I1553" t="s">
        <v>2354</v>
      </c>
    </row>
    <row r="1554" spans="1:9" x14ac:dyDescent="0.25">
      <c r="A1554" t="s">
        <v>220</v>
      </c>
      <c r="B1554" t="s">
        <v>5430</v>
      </c>
      <c r="C1554" t="s">
        <v>6443</v>
      </c>
      <c r="D1554" t="s">
        <v>8203</v>
      </c>
      <c r="F1554">
        <v>2</v>
      </c>
      <c r="G1554">
        <v>131.0076</v>
      </c>
      <c r="H1554">
        <v>262.01519999999999</v>
      </c>
      <c r="I1554" t="s">
        <v>2354</v>
      </c>
    </row>
    <row r="1555" spans="1:9" x14ac:dyDescent="0.25">
      <c r="A1555" t="s">
        <v>220</v>
      </c>
      <c r="B1555" t="s">
        <v>5430</v>
      </c>
      <c r="C1555" t="s">
        <v>8204</v>
      </c>
      <c r="D1555" t="s">
        <v>8205</v>
      </c>
      <c r="F1555">
        <v>2</v>
      </c>
      <c r="G1555">
        <v>617.00580000000002</v>
      </c>
      <c r="H1555">
        <v>1234.0116</v>
      </c>
      <c r="I1555" t="s">
        <v>2354</v>
      </c>
    </row>
    <row r="1556" spans="1:9" x14ac:dyDescent="0.25">
      <c r="A1556" t="s">
        <v>220</v>
      </c>
      <c r="B1556" t="s">
        <v>5430</v>
      </c>
      <c r="C1556" t="s">
        <v>6447</v>
      </c>
      <c r="D1556" t="s">
        <v>8206</v>
      </c>
      <c r="F1556">
        <v>4</v>
      </c>
      <c r="G1556">
        <v>177.80600000000001</v>
      </c>
      <c r="H1556">
        <v>711.22400000000005</v>
      </c>
      <c r="I1556" t="s">
        <v>2354</v>
      </c>
    </row>
    <row r="1557" spans="1:9" x14ac:dyDescent="0.25">
      <c r="A1557" t="s">
        <v>220</v>
      </c>
      <c r="B1557" t="s">
        <v>5430</v>
      </c>
      <c r="C1557" t="s">
        <v>6449</v>
      </c>
      <c r="D1557" t="s">
        <v>8207</v>
      </c>
      <c r="F1557">
        <v>3</v>
      </c>
      <c r="G1557">
        <v>178.88</v>
      </c>
      <c r="H1557">
        <v>536.64</v>
      </c>
      <c r="I1557" t="s">
        <v>2354</v>
      </c>
    </row>
    <row r="1558" spans="1:9" x14ac:dyDescent="0.25">
      <c r="A1558" t="s">
        <v>220</v>
      </c>
      <c r="B1558" t="s">
        <v>5430</v>
      </c>
      <c r="C1558" t="s">
        <v>6451</v>
      </c>
      <c r="D1558" t="s">
        <v>8208</v>
      </c>
      <c r="F1558">
        <v>3</v>
      </c>
      <c r="G1558">
        <v>17.510000000000002</v>
      </c>
      <c r="H1558">
        <v>52.53</v>
      </c>
      <c r="I1558" t="s">
        <v>2354</v>
      </c>
    </row>
    <row r="1559" spans="1:9" x14ac:dyDescent="0.25">
      <c r="A1559" t="s">
        <v>220</v>
      </c>
      <c r="B1559" t="s">
        <v>5430</v>
      </c>
      <c r="C1559" t="s">
        <v>3453</v>
      </c>
      <c r="D1559" t="s">
        <v>3454</v>
      </c>
      <c r="F1559">
        <v>100</v>
      </c>
      <c r="G1559">
        <v>1.1475</v>
      </c>
      <c r="H1559">
        <v>114.75</v>
      </c>
      <c r="I1559" t="s">
        <v>2354</v>
      </c>
    </row>
    <row r="1560" spans="1:9" x14ac:dyDescent="0.25">
      <c r="A1560" t="s">
        <v>220</v>
      </c>
      <c r="B1560" t="s">
        <v>5430</v>
      </c>
      <c r="C1560" t="s">
        <v>6636</v>
      </c>
      <c r="D1560" t="s">
        <v>8209</v>
      </c>
      <c r="F1560">
        <v>2</v>
      </c>
      <c r="G1560">
        <v>0</v>
      </c>
      <c r="H1560">
        <v>0</v>
      </c>
      <c r="I1560" t="s">
        <v>2354</v>
      </c>
    </row>
    <row r="1561" spans="1:9" x14ac:dyDescent="0.25">
      <c r="A1561" t="s">
        <v>220</v>
      </c>
      <c r="B1561" t="s">
        <v>5430</v>
      </c>
      <c r="C1561" t="s">
        <v>6638</v>
      </c>
      <c r="D1561" t="s">
        <v>8210</v>
      </c>
      <c r="F1561">
        <v>1</v>
      </c>
      <c r="G1561">
        <v>0</v>
      </c>
      <c r="H1561">
        <v>0</v>
      </c>
      <c r="I1561" t="s">
        <v>2354</v>
      </c>
    </row>
    <row r="1562" spans="1:9" x14ac:dyDescent="0.25">
      <c r="A1562" t="s">
        <v>220</v>
      </c>
      <c r="B1562" t="s">
        <v>5430</v>
      </c>
      <c r="C1562" t="s">
        <v>6640</v>
      </c>
      <c r="D1562" t="s">
        <v>6641</v>
      </c>
      <c r="F1562">
        <v>1</v>
      </c>
      <c r="G1562">
        <v>376.77949999999998</v>
      </c>
      <c r="H1562">
        <v>376.77949999999998</v>
      </c>
      <c r="I1562" t="s">
        <v>2354</v>
      </c>
    </row>
    <row r="1563" spans="1:9" x14ac:dyDescent="0.25">
      <c r="A1563" t="s">
        <v>220</v>
      </c>
      <c r="B1563" t="s">
        <v>5430</v>
      </c>
      <c r="C1563" t="s">
        <v>6642</v>
      </c>
      <c r="D1563" t="s">
        <v>6643</v>
      </c>
      <c r="F1563">
        <v>1</v>
      </c>
      <c r="G1563">
        <v>193.80199999999999</v>
      </c>
      <c r="H1563">
        <v>193.80199999999999</v>
      </c>
      <c r="I1563" t="s">
        <v>2354</v>
      </c>
    </row>
    <row r="1564" spans="1:9" x14ac:dyDescent="0.25">
      <c r="A1564" t="s">
        <v>220</v>
      </c>
      <c r="B1564" t="s">
        <v>5430</v>
      </c>
      <c r="C1564" t="s">
        <v>6644</v>
      </c>
      <c r="D1564" t="s">
        <v>6645</v>
      </c>
      <c r="F1564">
        <v>1</v>
      </c>
      <c r="G1564">
        <v>0</v>
      </c>
      <c r="H1564">
        <v>0</v>
      </c>
      <c r="I1564" t="s">
        <v>2354</v>
      </c>
    </row>
    <row r="1565" spans="1:9" x14ac:dyDescent="0.25">
      <c r="A1565" t="s">
        <v>220</v>
      </c>
      <c r="B1565" t="s">
        <v>5430</v>
      </c>
      <c r="C1565" t="s">
        <v>6646</v>
      </c>
      <c r="D1565" t="s">
        <v>6647</v>
      </c>
      <c r="F1565">
        <v>1</v>
      </c>
      <c r="G1565">
        <v>0</v>
      </c>
      <c r="H1565">
        <v>0</v>
      </c>
      <c r="I1565" t="s">
        <v>2354</v>
      </c>
    </row>
    <row r="1566" spans="1:9" x14ac:dyDescent="0.25">
      <c r="A1566" t="s">
        <v>220</v>
      </c>
      <c r="B1566" t="s">
        <v>5430</v>
      </c>
      <c r="C1566" t="s">
        <v>6648</v>
      </c>
      <c r="D1566" t="s">
        <v>8211</v>
      </c>
      <c r="F1566">
        <v>1</v>
      </c>
      <c r="G1566">
        <v>0</v>
      </c>
      <c r="H1566">
        <v>0</v>
      </c>
      <c r="I1566" t="s">
        <v>2354</v>
      </c>
    </row>
    <row r="1567" spans="1:9" x14ac:dyDescent="0.25">
      <c r="A1567" t="s">
        <v>220</v>
      </c>
      <c r="B1567" t="s">
        <v>5430</v>
      </c>
      <c r="C1567" t="s">
        <v>6650</v>
      </c>
      <c r="D1567" t="s">
        <v>6651</v>
      </c>
      <c r="F1567">
        <v>1</v>
      </c>
      <c r="G1567">
        <v>0</v>
      </c>
      <c r="H1567">
        <v>0</v>
      </c>
      <c r="I1567" t="s">
        <v>2354</v>
      </c>
    </row>
    <row r="1568" spans="1:9" x14ac:dyDescent="0.25">
      <c r="A1568" t="s">
        <v>220</v>
      </c>
      <c r="B1568" t="s">
        <v>5430</v>
      </c>
      <c r="C1568" t="s">
        <v>6652</v>
      </c>
      <c r="D1568" t="s">
        <v>6653</v>
      </c>
      <c r="F1568">
        <v>1</v>
      </c>
      <c r="G1568">
        <v>0</v>
      </c>
      <c r="H1568">
        <v>0</v>
      </c>
      <c r="I1568" t="s">
        <v>2354</v>
      </c>
    </row>
    <row r="1569" spans="1:9" x14ac:dyDescent="0.25">
      <c r="A1569" t="s">
        <v>220</v>
      </c>
      <c r="B1569" t="s">
        <v>5430</v>
      </c>
      <c r="C1569" t="s">
        <v>6654</v>
      </c>
      <c r="D1569" t="s">
        <v>6655</v>
      </c>
      <c r="F1569">
        <v>1</v>
      </c>
      <c r="G1569">
        <v>0</v>
      </c>
      <c r="H1569">
        <v>0</v>
      </c>
      <c r="I1569" t="s">
        <v>2354</v>
      </c>
    </row>
    <row r="1570" spans="1:9" x14ac:dyDescent="0.25">
      <c r="A1570" t="s">
        <v>220</v>
      </c>
      <c r="B1570" t="s">
        <v>5430</v>
      </c>
      <c r="C1570" t="s">
        <v>6656</v>
      </c>
      <c r="D1570" t="s">
        <v>8212</v>
      </c>
      <c r="F1570">
        <v>1</v>
      </c>
      <c r="G1570">
        <v>0</v>
      </c>
      <c r="H1570">
        <v>0</v>
      </c>
      <c r="I1570" t="s">
        <v>2354</v>
      </c>
    </row>
    <row r="1571" spans="1:9" x14ac:dyDescent="0.25">
      <c r="A1571" t="s">
        <v>220</v>
      </c>
      <c r="B1571" t="s">
        <v>5430</v>
      </c>
      <c r="C1571" t="s">
        <v>6658</v>
      </c>
      <c r="D1571" t="s">
        <v>8213</v>
      </c>
      <c r="F1571">
        <v>2</v>
      </c>
      <c r="G1571">
        <v>0</v>
      </c>
      <c r="H1571">
        <v>0</v>
      </c>
      <c r="I1571" t="s">
        <v>2354</v>
      </c>
    </row>
    <row r="1572" spans="1:9" x14ac:dyDescent="0.25">
      <c r="A1572" t="s">
        <v>220</v>
      </c>
      <c r="B1572" t="s">
        <v>5430</v>
      </c>
      <c r="C1572" t="s">
        <v>6660</v>
      </c>
      <c r="D1572" t="s">
        <v>8214</v>
      </c>
      <c r="F1572">
        <v>1</v>
      </c>
      <c r="G1572">
        <v>0</v>
      </c>
      <c r="H1572">
        <v>0</v>
      </c>
      <c r="I1572" t="s">
        <v>2354</v>
      </c>
    </row>
    <row r="1573" spans="1:9" x14ac:dyDescent="0.25">
      <c r="A1573" t="s">
        <v>220</v>
      </c>
      <c r="B1573" t="s">
        <v>5430</v>
      </c>
      <c r="C1573" t="s">
        <v>6662</v>
      </c>
      <c r="D1573" t="s">
        <v>8215</v>
      </c>
      <c r="F1573">
        <v>1</v>
      </c>
      <c r="G1573">
        <v>0</v>
      </c>
      <c r="H1573">
        <v>0</v>
      </c>
      <c r="I1573" t="s">
        <v>2354</v>
      </c>
    </row>
    <row r="1574" spans="1:9" x14ac:dyDescent="0.25">
      <c r="A1574" t="s">
        <v>220</v>
      </c>
      <c r="B1574" t="s">
        <v>5430</v>
      </c>
      <c r="C1574" t="s">
        <v>6664</v>
      </c>
      <c r="D1574" t="s">
        <v>8216</v>
      </c>
      <c r="F1574">
        <v>1</v>
      </c>
      <c r="G1574">
        <v>0</v>
      </c>
      <c r="H1574">
        <v>0</v>
      </c>
      <c r="I1574" t="s">
        <v>2354</v>
      </c>
    </row>
    <row r="1575" spans="1:9" x14ac:dyDescent="0.25">
      <c r="A1575" t="s">
        <v>220</v>
      </c>
      <c r="B1575" t="s">
        <v>5430</v>
      </c>
      <c r="C1575" t="s">
        <v>6666</v>
      </c>
      <c r="D1575" t="s">
        <v>8217</v>
      </c>
      <c r="F1575">
        <v>1</v>
      </c>
      <c r="G1575">
        <v>0</v>
      </c>
      <c r="H1575">
        <v>0</v>
      </c>
      <c r="I1575" t="s">
        <v>2354</v>
      </c>
    </row>
    <row r="1576" spans="1:9" x14ac:dyDescent="0.25">
      <c r="A1576" t="s">
        <v>220</v>
      </c>
      <c r="B1576" t="s">
        <v>5430</v>
      </c>
      <c r="C1576" t="s">
        <v>6668</v>
      </c>
      <c r="D1576" t="s">
        <v>8218</v>
      </c>
      <c r="F1576">
        <v>5</v>
      </c>
      <c r="G1576">
        <v>0</v>
      </c>
      <c r="H1576">
        <v>0</v>
      </c>
      <c r="I1576" t="s">
        <v>2354</v>
      </c>
    </row>
    <row r="1577" spans="1:9" x14ac:dyDescent="0.25">
      <c r="A1577" t="s">
        <v>220</v>
      </c>
      <c r="B1577" t="s">
        <v>5430</v>
      </c>
      <c r="C1577" t="s">
        <v>6670</v>
      </c>
      <c r="D1577" t="s">
        <v>8219</v>
      </c>
      <c r="F1577">
        <v>3</v>
      </c>
      <c r="G1577">
        <v>413.48160000000001</v>
      </c>
      <c r="H1577">
        <v>1240.4448</v>
      </c>
      <c r="I1577" t="s">
        <v>2354</v>
      </c>
    </row>
    <row r="1578" spans="1:9" x14ac:dyDescent="0.25">
      <c r="A1578" t="s">
        <v>220</v>
      </c>
      <c r="B1578" t="s">
        <v>5430</v>
      </c>
      <c r="C1578" t="s">
        <v>6672</v>
      </c>
      <c r="D1578" t="s">
        <v>8220</v>
      </c>
      <c r="F1578">
        <v>4</v>
      </c>
      <c r="G1578">
        <v>0</v>
      </c>
      <c r="H1578">
        <v>0</v>
      </c>
      <c r="I1578" t="s">
        <v>2354</v>
      </c>
    </row>
    <row r="1579" spans="1:9" x14ac:dyDescent="0.25">
      <c r="A1579" t="s">
        <v>220</v>
      </c>
      <c r="B1579" t="s">
        <v>5430</v>
      </c>
      <c r="C1579" t="s">
        <v>6674</v>
      </c>
      <c r="D1579" t="s">
        <v>8221</v>
      </c>
      <c r="F1579">
        <v>2</v>
      </c>
      <c r="G1579">
        <v>0</v>
      </c>
      <c r="H1579">
        <v>0</v>
      </c>
      <c r="I1579" t="s">
        <v>2354</v>
      </c>
    </row>
    <row r="1580" spans="1:9" x14ac:dyDescent="0.25">
      <c r="A1580" t="s">
        <v>220</v>
      </c>
      <c r="B1580" t="s">
        <v>5430</v>
      </c>
      <c r="C1580" t="s">
        <v>6676</v>
      </c>
      <c r="D1580" t="s">
        <v>8222</v>
      </c>
      <c r="F1580">
        <v>1</v>
      </c>
      <c r="G1580">
        <v>0</v>
      </c>
      <c r="H1580">
        <v>0</v>
      </c>
      <c r="I1580" t="s">
        <v>2354</v>
      </c>
    </row>
    <row r="1581" spans="1:9" x14ac:dyDescent="0.25">
      <c r="A1581" t="s">
        <v>220</v>
      </c>
      <c r="B1581" t="s">
        <v>5430</v>
      </c>
      <c r="C1581" t="s">
        <v>6678</v>
      </c>
      <c r="D1581" t="s">
        <v>8223</v>
      </c>
      <c r="F1581">
        <v>2</v>
      </c>
      <c r="G1581">
        <v>0</v>
      </c>
      <c r="H1581">
        <v>0</v>
      </c>
      <c r="I1581" t="s">
        <v>2354</v>
      </c>
    </row>
    <row r="1582" spans="1:9" x14ac:dyDescent="0.25">
      <c r="A1582" t="s">
        <v>220</v>
      </c>
      <c r="B1582" t="s">
        <v>5430</v>
      </c>
      <c r="C1582" t="s">
        <v>6680</v>
      </c>
      <c r="D1582" t="s">
        <v>8224</v>
      </c>
      <c r="F1582">
        <v>1</v>
      </c>
      <c r="G1582">
        <v>0</v>
      </c>
      <c r="H1582">
        <v>0</v>
      </c>
      <c r="I1582" t="s">
        <v>2354</v>
      </c>
    </row>
    <row r="1583" spans="1:9" x14ac:dyDescent="0.25">
      <c r="A1583" t="s">
        <v>220</v>
      </c>
      <c r="B1583" t="s">
        <v>5430</v>
      </c>
      <c r="C1583" t="s">
        <v>3823</v>
      </c>
      <c r="D1583" t="s">
        <v>8225</v>
      </c>
      <c r="F1583">
        <v>5</v>
      </c>
      <c r="G1583">
        <v>0</v>
      </c>
      <c r="H1583">
        <v>0</v>
      </c>
      <c r="I1583" t="s">
        <v>2354</v>
      </c>
    </row>
    <row r="1584" spans="1:9" x14ac:dyDescent="0.25">
      <c r="A1584" t="s">
        <v>220</v>
      </c>
      <c r="B1584" t="s">
        <v>5430</v>
      </c>
      <c r="C1584" t="s">
        <v>6682</v>
      </c>
      <c r="D1584" t="s">
        <v>8226</v>
      </c>
      <c r="F1584">
        <v>1</v>
      </c>
      <c r="G1584">
        <v>0</v>
      </c>
      <c r="H1584">
        <v>0</v>
      </c>
      <c r="I1584" t="s">
        <v>2354</v>
      </c>
    </row>
    <row r="1585" spans="1:9" x14ac:dyDescent="0.25">
      <c r="A1585" t="s">
        <v>220</v>
      </c>
      <c r="B1585" t="s">
        <v>5430</v>
      </c>
      <c r="C1585" t="s">
        <v>6684</v>
      </c>
      <c r="D1585" t="s">
        <v>8227</v>
      </c>
      <c r="F1585">
        <v>1</v>
      </c>
      <c r="G1585">
        <v>0</v>
      </c>
      <c r="H1585">
        <v>0</v>
      </c>
      <c r="I1585" t="s">
        <v>2354</v>
      </c>
    </row>
    <row r="1586" spans="1:9" x14ac:dyDescent="0.25">
      <c r="A1586" t="s">
        <v>220</v>
      </c>
      <c r="B1586" t="s">
        <v>5430</v>
      </c>
      <c r="C1586" t="s">
        <v>6686</v>
      </c>
      <c r="D1586" t="s">
        <v>8228</v>
      </c>
      <c r="F1586">
        <v>6</v>
      </c>
      <c r="G1586">
        <v>0</v>
      </c>
      <c r="H1586">
        <v>0</v>
      </c>
      <c r="I1586" t="s">
        <v>2354</v>
      </c>
    </row>
    <row r="1587" spans="1:9" x14ac:dyDescent="0.25">
      <c r="A1587" t="s">
        <v>220</v>
      </c>
      <c r="B1587" t="s">
        <v>5430</v>
      </c>
      <c r="D1587" t="s">
        <v>8229</v>
      </c>
      <c r="F1587">
        <v>1</v>
      </c>
      <c r="G1587">
        <v>302.19600000000003</v>
      </c>
      <c r="H1587">
        <v>302.19600000000003</v>
      </c>
      <c r="I1587" t="s">
        <v>2354</v>
      </c>
    </row>
    <row r="1588" spans="1:9" x14ac:dyDescent="0.25">
      <c r="A1588" t="s">
        <v>220</v>
      </c>
      <c r="B1588" t="s">
        <v>5430</v>
      </c>
      <c r="C1588" t="s">
        <v>6688</v>
      </c>
      <c r="D1588" t="s">
        <v>8230</v>
      </c>
      <c r="F1588">
        <v>2</v>
      </c>
      <c r="G1588">
        <v>0</v>
      </c>
      <c r="H1588">
        <v>0</v>
      </c>
      <c r="I1588" t="s">
        <v>2354</v>
      </c>
    </row>
    <row r="1589" spans="1:9" x14ac:dyDescent="0.25">
      <c r="A1589" t="s">
        <v>220</v>
      </c>
      <c r="B1589" t="s">
        <v>5430</v>
      </c>
      <c r="C1589" t="s">
        <v>6690</v>
      </c>
      <c r="D1589" t="s">
        <v>8231</v>
      </c>
      <c r="F1589">
        <v>2</v>
      </c>
      <c r="G1589">
        <v>193.64699999999999</v>
      </c>
      <c r="H1589">
        <v>387.29399999999998</v>
      </c>
      <c r="I1589" t="s">
        <v>2354</v>
      </c>
    </row>
    <row r="1590" spans="1:9" x14ac:dyDescent="0.25">
      <c r="A1590" t="s">
        <v>220</v>
      </c>
      <c r="B1590" t="s">
        <v>5430</v>
      </c>
      <c r="C1590" t="s">
        <v>6692</v>
      </c>
      <c r="D1590" t="s">
        <v>8232</v>
      </c>
      <c r="F1590">
        <v>1</v>
      </c>
      <c r="G1590">
        <v>114.7698</v>
      </c>
      <c r="H1590">
        <v>114.7698</v>
      </c>
      <c r="I1590" t="s">
        <v>2354</v>
      </c>
    </row>
    <row r="1591" spans="1:9" x14ac:dyDescent="0.25">
      <c r="A1591" t="s">
        <v>220</v>
      </c>
      <c r="B1591" t="s">
        <v>5430</v>
      </c>
      <c r="C1591" t="s">
        <v>6694</v>
      </c>
      <c r="D1591" t="s">
        <v>8233</v>
      </c>
      <c r="F1591">
        <v>50</v>
      </c>
      <c r="G1591">
        <v>3.0419999999999998</v>
      </c>
      <c r="H1591">
        <v>152.1</v>
      </c>
      <c r="I1591" t="s">
        <v>2354</v>
      </c>
    </row>
    <row r="1592" spans="1:9" x14ac:dyDescent="0.25">
      <c r="A1592" t="s">
        <v>220</v>
      </c>
      <c r="B1592" t="s">
        <v>5430</v>
      </c>
      <c r="C1592" t="s">
        <v>8234</v>
      </c>
      <c r="D1592" t="s">
        <v>8235</v>
      </c>
      <c r="F1592">
        <v>180</v>
      </c>
      <c r="G1592">
        <v>0.127</v>
      </c>
      <c r="H1592">
        <v>22.86</v>
      </c>
      <c r="I1592" t="s">
        <v>2354</v>
      </c>
    </row>
    <row r="1593" spans="1:9" x14ac:dyDescent="0.25">
      <c r="A1593" t="s">
        <v>220</v>
      </c>
      <c r="B1593" t="s">
        <v>5430</v>
      </c>
      <c r="C1593" t="s">
        <v>6720</v>
      </c>
      <c r="D1593" t="s">
        <v>6721</v>
      </c>
      <c r="F1593">
        <v>1</v>
      </c>
      <c r="G1593">
        <v>66.020624999999995</v>
      </c>
      <c r="H1593">
        <v>66.020624999999995</v>
      </c>
      <c r="I1593" t="s">
        <v>2354</v>
      </c>
    </row>
    <row r="1594" spans="1:9" x14ac:dyDescent="0.25">
      <c r="A1594" t="s">
        <v>220</v>
      </c>
      <c r="B1594" t="s">
        <v>5430</v>
      </c>
      <c r="C1594" t="s">
        <v>6724</v>
      </c>
      <c r="D1594" t="s">
        <v>6725</v>
      </c>
      <c r="F1594">
        <v>4</v>
      </c>
      <c r="G1594">
        <v>55.368000000000002</v>
      </c>
      <c r="H1594">
        <v>221.47200000000001</v>
      </c>
      <c r="I1594" t="s">
        <v>2354</v>
      </c>
    </row>
    <row r="1595" spans="1:9" x14ac:dyDescent="0.25">
      <c r="A1595" t="s">
        <v>220</v>
      </c>
      <c r="B1595" t="s">
        <v>5430</v>
      </c>
      <c r="C1595" t="s">
        <v>6726</v>
      </c>
      <c r="D1595" t="s">
        <v>8236</v>
      </c>
      <c r="F1595">
        <v>1</v>
      </c>
      <c r="G1595">
        <v>34.297499999999999</v>
      </c>
      <c r="H1595">
        <v>34.297499999999999</v>
      </c>
      <c r="I1595" t="s">
        <v>2354</v>
      </c>
    </row>
    <row r="1596" spans="1:9" x14ac:dyDescent="0.25">
      <c r="A1596" t="s">
        <v>220</v>
      </c>
      <c r="B1596" t="s">
        <v>5430</v>
      </c>
      <c r="C1596" t="s">
        <v>6728</v>
      </c>
      <c r="D1596" t="s">
        <v>8237</v>
      </c>
      <c r="F1596">
        <v>7</v>
      </c>
      <c r="G1596">
        <v>21.5154</v>
      </c>
      <c r="H1596">
        <v>150.6078</v>
      </c>
      <c r="I1596" t="s">
        <v>2354</v>
      </c>
    </row>
    <row r="1597" spans="1:9" x14ac:dyDescent="0.25">
      <c r="A1597" t="s">
        <v>220</v>
      </c>
      <c r="B1597" t="s">
        <v>5430</v>
      </c>
      <c r="C1597" t="s">
        <v>3955</v>
      </c>
      <c r="D1597" t="s">
        <v>8238</v>
      </c>
      <c r="F1597">
        <v>2</v>
      </c>
      <c r="G1597">
        <v>83.718000000000004</v>
      </c>
      <c r="H1597">
        <v>167.43600000000001</v>
      </c>
      <c r="I1597" t="s">
        <v>2354</v>
      </c>
    </row>
    <row r="1598" spans="1:9" x14ac:dyDescent="0.25">
      <c r="A1598" t="s">
        <v>220</v>
      </c>
      <c r="B1598" t="s">
        <v>5430</v>
      </c>
      <c r="C1598" t="s">
        <v>3995</v>
      </c>
      <c r="D1598" t="s">
        <v>8239</v>
      </c>
      <c r="F1598">
        <v>5</v>
      </c>
      <c r="G1598">
        <v>70.52</v>
      </c>
      <c r="H1598">
        <v>352.59999999999997</v>
      </c>
      <c r="I1598" t="s">
        <v>2354</v>
      </c>
    </row>
    <row r="1599" spans="1:9" x14ac:dyDescent="0.25">
      <c r="A1599" t="s">
        <v>220</v>
      </c>
      <c r="B1599" t="s">
        <v>5430</v>
      </c>
      <c r="C1599" t="s">
        <v>6743</v>
      </c>
      <c r="D1599" t="s">
        <v>6744</v>
      </c>
      <c r="F1599">
        <v>1</v>
      </c>
      <c r="G1599">
        <v>82.65</v>
      </c>
      <c r="H1599">
        <v>82.65</v>
      </c>
      <c r="I1599" t="s">
        <v>2354</v>
      </c>
    </row>
    <row r="1600" spans="1:9" x14ac:dyDescent="0.25">
      <c r="A1600" t="s">
        <v>220</v>
      </c>
      <c r="B1600" t="s">
        <v>5430</v>
      </c>
      <c r="C1600" t="s">
        <v>6745</v>
      </c>
      <c r="D1600" t="s">
        <v>8240</v>
      </c>
      <c r="F1600">
        <v>1</v>
      </c>
      <c r="G1600">
        <v>74.048000000000002</v>
      </c>
      <c r="H1600">
        <v>74.048000000000002</v>
      </c>
      <c r="I1600" t="s">
        <v>2354</v>
      </c>
    </row>
    <row r="1601" spans="1:9" x14ac:dyDescent="0.25">
      <c r="A1601" t="s">
        <v>220</v>
      </c>
      <c r="B1601" t="s">
        <v>5430</v>
      </c>
      <c r="C1601" t="s">
        <v>6747</v>
      </c>
      <c r="D1601" t="s">
        <v>8241</v>
      </c>
      <c r="F1601">
        <v>5</v>
      </c>
      <c r="G1601">
        <v>0</v>
      </c>
      <c r="H1601">
        <v>0</v>
      </c>
      <c r="I1601" t="s">
        <v>2354</v>
      </c>
    </row>
    <row r="1602" spans="1:9" x14ac:dyDescent="0.25">
      <c r="A1602" t="s">
        <v>220</v>
      </c>
      <c r="B1602" t="s">
        <v>5430</v>
      </c>
      <c r="C1602" t="s">
        <v>6749</v>
      </c>
      <c r="D1602" t="s">
        <v>8242</v>
      </c>
      <c r="F1602">
        <v>1</v>
      </c>
      <c r="G1602">
        <v>1168.6383000000001</v>
      </c>
      <c r="H1602">
        <v>1168.6383000000001</v>
      </c>
      <c r="I1602" t="s">
        <v>2354</v>
      </c>
    </row>
    <row r="1603" spans="1:9" x14ac:dyDescent="0.25">
      <c r="A1603" t="s">
        <v>220</v>
      </c>
      <c r="B1603" t="s">
        <v>5430</v>
      </c>
      <c r="C1603" t="s">
        <v>6751</v>
      </c>
      <c r="D1603" t="s">
        <v>8243</v>
      </c>
      <c r="F1603">
        <v>9</v>
      </c>
      <c r="G1603">
        <v>14.903100000000002</v>
      </c>
      <c r="H1603">
        <v>134.12790000000001</v>
      </c>
      <c r="I1603" t="s">
        <v>2354</v>
      </c>
    </row>
    <row r="1604" spans="1:9" x14ac:dyDescent="0.25">
      <c r="A1604" t="s">
        <v>220</v>
      </c>
      <c r="B1604" t="s">
        <v>5430</v>
      </c>
      <c r="C1604" t="s">
        <v>6753</v>
      </c>
      <c r="D1604" t="s">
        <v>8244</v>
      </c>
      <c r="F1604">
        <v>2</v>
      </c>
      <c r="G1604">
        <v>0</v>
      </c>
      <c r="H1604">
        <v>0</v>
      </c>
      <c r="I1604" t="s">
        <v>2354</v>
      </c>
    </row>
    <row r="1605" spans="1:9" x14ac:dyDescent="0.25">
      <c r="A1605" t="s">
        <v>220</v>
      </c>
      <c r="B1605" t="s">
        <v>5430</v>
      </c>
      <c r="C1605" t="s">
        <v>6755</v>
      </c>
      <c r="D1605" t="s">
        <v>8245</v>
      </c>
      <c r="F1605">
        <v>1</v>
      </c>
      <c r="G1605">
        <v>0</v>
      </c>
      <c r="H1605">
        <v>0</v>
      </c>
      <c r="I1605" t="s">
        <v>2354</v>
      </c>
    </row>
    <row r="1606" spans="1:9" x14ac:dyDescent="0.25">
      <c r="A1606" t="s">
        <v>220</v>
      </c>
      <c r="B1606" t="s">
        <v>5430</v>
      </c>
      <c r="C1606" t="s">
        <v>6757</v>
      </c>
      <c r="D1606" t="s">
        <v>8246</v>
      </c>
      <c r="F1606">
        <v>1</v>
      </c>
      <c r="G1606">
        <v>0</v>
      </c>
      <c r="H1606">
        <v>0</v>
      </c>
      <c r="I1606" t="s">
        <v>2354</v>
      </c>
    </row>
    <row r="1607" spans="1:9" x14ac:dyDescent="0.25">
      <c r="A1607" t="s">
        <v>220</v>
      </c>
      <c r="B1607" t="s">
        <v>5430</v>
      </c>
      <c r="C1607" t="s">
        <v>6759</v>
      </c>
      <c r="D1607" t="s">
        <v>8247</v>
      </c>
      <c r="F1607">
        <v>2</v>
      </c>
      <c r="G1607">
        <v>0</v>
      </c>
      <c r="H1607">
        <v>0</v>
      </c>
      <c r="I1607" t="s">
        <v>2354</v>
      </c>
    </row>
    <row r="1608" spans="1:9" x14ac:dyDescent="0.25">
      <c r="A1608" t="s">
        <v>220</v>
      </c>
      <c r="B1608" t="s">
        <v>5430</v>
      </c>
      <c r="C1608" t="s">
        <v>6761</v>
      </c>
      <c r="D1608" t="s">
        <v>8248</v>
      </c>
      <c r="F1608">
        <v>2</v>
      </c>
      <c r="G1608">
        <v>0</v>
      </c>
      <c r="H1608">
        <v>0</v>
      </c>
      <c r="I1608" t="s">
        <v>2354</v>
      </c>
    </row>
    <row r="1609" spans="1:9" x14ac:dyDescent="0.25">
      <c r="A1609" t="s">
        <v>220</v>
      </c>
      <c r="B1609" t="s">
        <v>5430</v>
      </c>
      <c r="C1609" t="s">
        <v>6763</v>
      </c>
      <c r="D1609" t="s">
        <v>8249</v>
      </c>
      <c r="F1609">
        <v>2</v>
      </c>
      <c r="G1609">
        <v>70.090999999999994</v>
      </c>
      <c r="H1609">
        <v>140.18199999999999</v>
      </c>
      <c r="I1609" t="s">
        <v>2354</v>
      </c>
    </row>
    <row r="1610" spans="1:9" x14ac:dyDescent="0.25">
      <c r="A1610" t="s">
        <v>220</v>
      </c>
      <c r="B1610" t="s">
        <v>5430</v>
      </c>
      <c r="C1610" t="s">
        <v>6765</v>
      </c>
      <c r="D1610" t="s">
        <v>8250</v>
      </c>
      <c r="F1610">
        <v>3</v>
      </c>
      <c r="G1610">
        <v>40.674599999999998</v>
      </c>
      <c r="H1610">
        <v>122.02379999999999</v>
      </c>
      <c r="I1610" t="s">
        <v>2354</v>
      </c>
    </row>
    <row r="1611" spans="1:9" x14ac:dyDescent="0.25">
      <c r="A1611" t="s">
        <v>220</v>
      </c>
      <c r="B1611" t="s">
        <v>5430</v>
      </c>
      <c r="C1611" t="s">
        <v>6767</v>
      </c>
      <c r="D1611" t="s">
        <v>8251</v>
      </c>
      <c r="F1611">
        <v>1</v>
      </c>
      <c r="G1611">
        <v>1056.4279999999999</v>
      </c>
      <c r="H1611">
        <v>1056.4279999999999</v>
      </c>
      <c r="I1611" t="s">
        <v>2354</v>
      </c>
    </row>
    <row r="1612" spans="1:9" x14ac:dyDescent="0.25">
      <c r="A1612" t="s">
        <v>220</v>
      </c>
      <c r="B1612" t="s">
        <v>5430</v>
      </c>
      <c r="C1612" t="s">
        <v>6769</v>
      </c>
      <c r="D1612" t="s">
        <v>6770</v>
      </c>
      <c r="F1612">
        <v>2</v>
      </c>
      <c r="G1612">
        <v>132.84350000000001</v>
      </c>
      <c r="H1612">
        <v>265.68700000000001</v>
      </c>
      <c r="I1612" t="s">
        <v>2354</v>
      </c>
    </row>
    <row r="1613" spans="1:9" x14ac:dyDescent="0.25">
      <c r="A1613" t="s">
        <v>220</v>
      </c>
      <c r="B1613" t="s">
        <v>5430</v>
      </c>
      <c r="C1613" t="s">
        <v>6771</v>
      </c>
      <c r="D1613" t="s">
        <v>8252</v>
      </c>
      <c r="F1613">
        <v>1</v>
      </c>
      <c r="G1613">
        <v>166.86</v>
      </c>
      <c r="H1613">
        <v>166.86</v>
      </c>
      <c r="I1613" t="s">
        <v>2354</v>
      </c>
    </row>
    <row r="1614" spans="1:9" x14ac:dyDescent="0.25">
      <c r="A1614" t="s">
        <v>220</v>
      </c>
      <c r="B1614" t="s">
        <v>5430</v>
      </c>
      <c r="C1614" t="s">
        <v>4031</v>
      </c>
      <c r="D1614" t="s">
        <v>8253</v>
      </c>
      <c r="F1614">
        <v>1</v>
      </c>
      <c r="G1614">
        <v>141.928</v>
      </c>
      <c r="H1614">
        <v>141.928</v>
      </c>
      <c r="I1614" t="s">
        <v>2354</v>
      </c>
    </row>
    <row r="1615" spans="1:9" x14ac:dyDescent="0.25">
      <c r="A1615" t="s">
        <v>220</v>
      </c>
      <c r="B1615" t="s">
        <v>5430</v>
      </c>
      <c r="C1615" t="s">
        <v>4033</v>
      </c>
      <c r="D1615" t="s">
        <v>8254</v>
      </c>
      <c r="F1615">
        <v>1</v>
      </c>
      <c r="G1615">
        <v>157.5</v>
      </c>
      <c r="H1615">
        <v>157.5</v>
      </c>
      <c r="I1615" t="s">
        <v>2354</v>
      </c>
    </row>
    <row r="1616" spans="1:9" x14ac:dyDescent="0.25">
      <c r="A1616" t="s">
        <v>220</v>
      </c>
      <c r="B1616" t="s">
        <v>5430</v>
      </c>
      <c r="C1616" t="s">
        <v>6773</v>
      </c>
      <c r="D1616" t="s">
        <v>8255</v>
      </c>
      <c r="F1616">
        <v>9</v>
      </c>
      <c r="G1616">
        <v>17.920000000000002</v>
      </c>
      <c r="H1616">
        <v>161.28000000000003</v>
      </c>
      <c r="I1616" t="s">
        <v>2354</v>
      </c>
    </row>
    <row r="1617" spans="1:9" x14ac:dyDescent="0.25">
      <c r="A1617" t="s">
        <v>220</v>
      </c>
      <c r="B1617" t="s">
        <v>5430</v>
      </c>
      <c r="C1617" t="s">
        <v>6775</v>
      </c>
      <c r="D1617" t="s">
        <v>8256</v>
      </c>
      <c r="F1617">
        <v>10</v>
      </c>
      <c r="G1617">
        <v>23.035</v>
      </c>
      <c r="H1617">
        <v>230.35</v>
      </c>
      <c r="I1617" t="s">
        <v>2354</v>
      </c>
    </row>
    <row r="1618" spans="1:9" x14ac:dyDescent="0.25">
      <c r="A1618" t="s">
        <v>220</v>
      </c>
      <c r="B1618" t="s">
        <v>5430</v>
      </c>
      <c r="C1618" t="s">
        <v>6777</v>
      </c>
      <c r="D1618" t="s">
        <v>6778</v>
      </c>
      <c r="F1618">
        <v>2</v>
      </c>
      <c r="G1618">
        <v>256.18720000000002</v>
      </c>
      <c r="H1618">
        <v>512.37440000000004</v>
      </c>
      <c r="I1618" t="s">
        <v>2354</v>
      </c>
    </row>
    <row r="1619" spans="1:9" x14ac:dyDescent="0.25">
      <c r="A1619" t="s">
        <v>220</v>
      </c>
      <c r="B1619" t="s">
        <v>5430</v>
      </c>
      <c r="C1619" t="s">
        <v>4039</v>
      </c>
      <c r="D1619" t="s">
        <v>8257</v>
      </c>
      <c r="F1619">
        <v>1</v>
      </c>
      <c r="G1619">
        <v>69.92</v>
      </c>
      <c r="H1619">
        <v>69.92</v>
      </c>
      <c r="I1619" t="s">
        <v>2354</v>
      </c>
    </row>
    <row r="1620" spans="1:9" x14ac:dyDescent="0.25">
      <c r="A1620" t="s">
        <v>220</v>
      </c>
      <c r="B1620" t="s">
        <v>5430</v>
      </c>
      <c r="C1620" t="s">
        <v>4045</v>
      </c>
      <c r="D1620" t="s">
        <v>8258</v>
      </c>
      <c r="F1620">
        <v>1</v>
      </c>
      <c r="G1620">
        <v>141.928</v>
      </c>
      <c r="H1620">
        <v>141.928</v>
      </c>
      <c r="I1620" t="s">
        <v>2354</v>
      </c>
    </row>
    <row r="1621" spans="1:9" x14ac:dyDescent="0.25">
      <c r="A1621" t="s">
        <v>220</v>
      </c>
      <c r="B1621" t="s">
        <v>5430</v>
      </c>
      <c r="C1621" t="s">
        <v>6779</v>
      </c>
      <c r="D1621" t="s">
        <v>6780</v>
      </c>
      <c r="F1621">
        <v>2</v>
      </c>
      <c r="G1621">
        <v>0</v>
      </c>
      <c r="H1621">
        <v>0</v>
      </c>
      <c r="I1621" t="s">
        <v>2354</v>
      </c>
    </row>
    <row r="1622" spans="1:9" x14ac:dyDescent="0.25">
      <c r="A1622" t="s">
        <v>220</v>
      </c>
      <c r="B1622" t="s">
        <v>5430</v>
      </c>
      <c r="C1622" t="s">
        <v>4079</v>
      </c>
      <c r="D1622" t="s">
        <v>8259</v>
      </c>
      <c r="F1622">
        <v>3</v>
      </c>
      <c r="G1622">
        <v>87.93</v>
      </c>
      <c r="H1622">
        <v>263.79000000000002</v>
      </c>
      <c r="I1622" t="s">
        <v>2354</v>
      </c>
    </row>
    <row r="1623" spans="1:9" x14ac:dyDescent="0.25">
      <c r="A1623" t="s">
        <v>220</v>
      </c>
      <c r="B1623" t="s">
        <v>5430</v>
      </c>
      <c r="C1623" t="s">
        <v>6791</v>
      </c>
      <c r="D1623" t="s">
        <v>6792</v>
      </c>
      <c r="F1623">
        <v>1</v>
      </c>
      <c r="G1623">
        <v>446.6</v>
      </c>
      <c r="H1623">
        <v>446.6</v>
      </c>
      <c r="I1623" t="s">
        <v>2354</v>
      </c>
    </row>
    <row r="1624" spans="1:9" x14ac:dyDescent="0.25">
      <c r="A1624" t="s">
        <v>220</v>
      </c>
      <c r="B1624" t="s">
        <v>5430</v>
      </c>
      <c r="C1624" t="s">
        <v>6793</v>
      </c>
      <c r="D1624" t="s">
        <v>8260</v>
      </c>
      <c r="F1624">
        <v>1</v>
      </c>
      <c r="G1624">
        <v>0</v>
      </c>
      <c r="H1624">
        <v>0</v>
      </c>
      <c r="I1624" t="s">
        <v>2354</v>
      </c>
    </row>
    <row r="1625" spans="1:9" x14ac:dyDescent="0.25">
      <c r="A1625" t="s">
        <v>220</v>
      </c>
      <c r="B1625" t="s">
        <v>5430</v>
      </c>
      <c r="C1625" t="s">
        <v>6795</v>
      </c>
      <c r="D1625" t="s">
        <v>6796</v>
      </c>
      <c r="F1625">
        <v>1</v>
      </c>
      <c r="G1625">
        <v>0</v>
      </c>
      <c r="H1625">
        <v>0</v>
      </c>
      <c r="I1625" t="s">
        <v>2354</v>
      </c>
    </row>
    <row r="1626" spans="1:9" x14ac:dyDescent="0.25">
      <c r="A1626" t="s">
        <v>220</v>
      </c>
      <c r="B1626" t="s">
        <v>5430</v>
      </c>
      <c r="C1626" t="s">
        <v>4089</v>
      </c>
      <c r="D1626" t="s">
        <v>4090</v>
      </c>
      <c r="F1626">
        <v>1</v>
      </c>
      <c r="G1626">
        <v>20.211300000000001</v>
      </c>
      <c r="H1626">
        <v>20.211300000000001</v>
      </c>
      <c r="I1626" t="s">
        <v>2354</v>
      </c>
    </row>
    <row r="1627" spans="1:9" x14ac:dyDescent="0.25">
      <c r="A1627" t="s">
        <v>220</v>
      </c>
      <c r="B1627" t="s">
        <v>5430</v>
      </c>
      <c r="C1627" t="s">
        <v>4093</v>
      </c>
      <c r="D1627" t="s">
        <v>8261</v>
      </c>
      <c r="F1627">
        <v>3</v>
      </c>
      <c r="G1627">
        <v>20.862400000000001</v>
      </c>
      <c r="H1627">
        <v>62.587200000000003</v>
      </c>
      <c r="I1627" t="s">
        <v>2354</v>
      </c>
    </row>
    <row r="1628" spans="1:9" x14ac:dyDescent="0.25">
      <c r="A1628" t="s">
        <v>220</v>
      </c>
      <c r="B1628" t="s">
        <v>5430</v>
      </c>
      <c r="C1628" t="s">
        <v>6797</v>
      </c>
      <c r="D1628" t="s">
        <v>8262</v>
      </c>
      <c r="F1628">
        <v>3</v>
      </c>
      <c r="G1628">
        <v>40.43535</v>
      </c>
      <c r="H1628">
        <v>121.30605</v>
      </c>
      <c r="I1628" t="s">
        <v>2354</v>
      </c>
    </row>
    <row r="1629" spans="1:9" x14ac:dyDescent="0.25">
      <c r="A1629" t="s">
        <v>220</v>
      </c>
      <c r="B1629" t="s">
        <v>5430</v>
      </c>
      <c r="C1629" t="s">
        <v>6799</v>
      </c>
      <c r="D1629" t="s">
        <v>8263</v>
      </c>
      <c r="F1629">
        <v>2</v>
      </c>
      <c r="G1629">
        <v>49.363750000000003</v>
      </c>
      <c r="H1629">
        <v>98.727500000000006</v>
      </c>
      <c r="I1629" t="s">
        <v>2354</v>
      </c>
    </row>
    <row r="1630" spans="1:9" x14ac:dyDescent="0.25">
      <c r="A1630" t="s">
        <v>220</v>
      </c>
      <c r="B1630" t="s">
        <v>5430</v>
      </c>
      <c r="C1630" t="s">
        <v>4099</v>
      </c>
      <c r="D1630" t="s">
        <v>8264</v>
      </c>
      <c r="F1630">
        <v>3</v>
      </c>
      <c r="G1630">
        <v>34.598399999999998</v>
      </c>
      <c r="H1630">
        <v>103.79519999999999</v>
      </c>
      <c r="I1630" t="s">
        <v>2354</v>
      </c>
    </row>
    <row r="1631" spans="1:9" x14ac:dyDescent="0.25">
      <c r="A1631" t="s">
        <v>220</v>
      </c>
      <c r="B1631" t="s">
        <v>5430</v>
      </c>
      <c r="C1631" t="s">
        <v>6801</v>
      </c>
      <c r="D1631" t="s">
        <v>8265</v>
      </c>
      <c r="F1631">
        <v>1</v>
      </c>
      <c r="G1631">
        <v>0</v>
      </c>
      <c r="H1631">
        <v>0</v>
      </c>
      <c r="I1631" t="s">
        <v>2354</v>
      </c>
    </row>
    <row r="1632" spans="1:9" x14ac:dyDescent="0.25">
      <c r="A1632" t="s">
        <v>220</v>
      </c>
      <c r="B1632" t="s">
        <v>5430</v>
      </c>
      <c r="C1632" t="s">
        <v>6803</v>
      </c>
      <c r="D1632" t="s">
        <v>8266</v>
      </c>
      <c r="F1632">
        <v>3</v>
      </c>
      <c r="G1632">
        <v>40.953000000000003</v>
      </c>
      <c r="H1632">
        <v>122.85900000000001</v>
      </c>
      <c r="I1632" t="s">
        <v>2354</v>
      </c>
    </row>
    <row r="1633" spans="1:9" x14ac:dyDescent="0.25">
      <c r="A1633" t="s">
        <v>220</v>
      </c>
      <c r="B1633" t="s">
        <v>5430</v>
      </c>
      <c r="C1633" t="s">
        <v>4105</v>
      </c>
      <c r="D1633" t="s">
        <v>8267</v>
      </c>
      <c r="F1633">
        <v>3</v>
      </c>
      <c r="G1633">
        <v>137.6</v>
      </c>
      <c r="H1633">
        <v>412.79999999999995</v>
      </c>
      <c r="I1633" t="s">
        <v>2354</v>
      </c>
    </row>
    <row r="1634" spans="1:9" x14ac:dyDescent="0.25">
      <c r="A1634" t="s">
        <v>220</v>
      </c>
      <c r="B1634" t="s">
        <v>5430</v>
      </c>
      <c r="C1634" t="s">
        <v>8268</v>
      </c>
      <c r="D1634" t="s">
        <v>8269</v>
      </c>
      <c r="F1634">
        <v>1</v>
      </c>
      <c r="G1634">
        <v>102.87</v>
      </c>
      <c r="H1634">
        <v>102.87</v>
      </c>
      <c r="I1634" t="s">
        <v>2354</v>
      </c>
    </row>
    <row r="1635" spans="1:9" x14ac:dyDescent="0.25">
      <c r="A1635" t="s">
        <v>220</v>
      </c>
      <c r="B1635" t="s">
        <v>5430</v>
      </c>
      <c r="C1635" t="s">
        <v>6807</v>
      </c>
      <c r="D1635" t="s">
        <v>8270</v>
      </c>
      <c r="F1635">
        <v>1</v>
      </c>
      <c r="G1635">
        <v>30.52</v>
      </c>
      <c r="H1635">
        <v>30.52</v>
      </c>
      <c r="I1635" t="s">
        <v>2354</v>
      </c>
    </row>
    <row r="1636" spans="1:9" x14ac:dyDescent="0.25">
      <c r="A1636" t="s">
        <v>220</v>
      </c>
      <c r="B1636" t="s">
        <v>5430</v>
      </c>
      <c r="C1636" t="s">
        <v>6809</v>
      </c>
      <c r="D1636" t="s">
        <v>8271</v>
      </c>
      <c r="F1636">
        <v>2</v>
      </c>
      <c r="G1636">
        <v>125.46</v>
      </c>
      <c r="H1636">
        <v>250.92</v>
      </c>
      <c r="I1636" t="s">
        <v>2354</v>
      </c>
    </row>
    <row r="1637" spans="1:9" x14ac:dyDescent="0.25">
      <c r="A1637" t="s">
        <v>220</v>
      </c>
      <c r="B1637" t="s">
        <v>5430</v>
      </c>
      <c r="C1637" t="s">
        <v>6811</v>
      </c>
      <c r="D1637" t="s">
        <v>6812</v>
      </c>
      <c r="F1637">
        <v>1</v>
      </c>
      <c r="G1637">
        <v>158.32149999999999</v>
      </c>
      <c r="H1637">
        <v>158.32149999999999</v>
      </c>
      <c r="I1637" t="s">
        <v>2354</v>
      </c>
    </row>
    <row r="1638" spans="1:9" x14ac:dyDescent="0.25">
      <c r="A1638" t="s">
        <v>220</v>
      </c>
      <c r="B1638" t="s">
        <v>5430</v>
      </c>
      <c r="C1638" t="s">
        <v>6813</v>
      </c>
      <c r="D1638" t="s">
        <v>8272</v>
      </c>
      <c r="F1638">
        <v>2</v>
      </c>
      <c r="G1638">
        <v>36.358750000000001</v>
      </c>
      <c r="H1638">
        <v>72.717500000000001</v>
      </c>
      <c r="I1638" t="s">
        <v>2354</v>
      </c>
    </row>
    <row r="1639" spans="1:9" x14ac:dyDescent="0.25">
      <c r="A1639" t="s">
        <v>220</v>
      </c>
      <c r="B1639" t="s">
        <v>5430</v>
      </c>
      <c r="C1639" t="s">
        <v>6815</v>
      </c>
      <c r="D1639" t="s">
        <v>8273</v>
      </c>
      <c r="F1639">
        <v>1</v>
      </c>
      <c r="G1639">
        <v>157.5</v>
      </c>
      <c r="H1639">
        <v>157.5</v>
      </c>
      <c r="I1639" t="s">
        <v>2354</v>
      </c>
    </row>
    <row r="1640" spans="1:9" x14ac:dyDescent="0.25">
      <c r="A1640" t="s">
        <v>220</v>
      </c>
      <c r="B1640" t="s">
        <v>5430</v>
      </c>
      <c r="C1640" t="s">
        <v>6817</v>
      </c>
      <c r="D1640" t="s">
        <v>8274</v>
      </c>
      <c r="F1640">
        <v>2</v>
      </c>
      <c r="G1640">
        <v>23.648</v>
      </c>
      <c r="H1640">
        <v>47.295999999999999</v>
      </c>
      <c r="I1640" t="s">
        <v>2354</v>
      </c>
    </row>
    <row r="1641" spans="1:9" x14ac:dyDescent="0.25">
      <c r="A1641" t="s">
        <v>220</v>
      </c>
      <c r="B1641" t="s">
        <v>5430</v>
      </c>
      <c r="C1641" t="s">
        <v>6819</v>
      </c>
      <c r="D1641" t="s">
        <v>8275</v>
      </c>
      <c r="F1641">
        <v>1</v>
      </c>
      <c r="G1641">
        <v>167.148</v>
      </c>
      <c r="H1641">
        <v>167.148</v>
      </c>
      <c r="I1641" t="s">
        <v>2354</v>
      </c>
    </row>
    <row r="1642" spans="1:9" x14ac:dyDescent="0.25">
      <c r="A1642" t="s">
        <v>220</v>
      </c>
      <c r="B1642" t="s">
        <v>5430</v>
      </c>
      <c r="C1642" t="s">
        <v>6821</v>
      </c>
      <c r="D1642" t="s">
        <v>8276</v>
      </c>
      <c r="F1642">
        <v>1</v>
      </c>
      <c r="G1642">
        <v>25.139600000000002</v>
      </c>
      <c r="H1642">
        <v>25.139600000000002</v>
      </c>
      <c r="I1642" t="s">
        <v>2354</v>
      </c>
    </row>
    <row r="1643" spans="1:9" x14ac:dyDescent="0.25">
      <c r="A1643" t="s">
        <v>220</v>
      </c>
      <c r="B1643" t="s">
        <v>5430</v>
      </c>
      <c r="C1643" t="s">
        <v>8277</v>
      </c>
      <c r="D1643" t="s">
        <v>8278</v>
      </c>
      <c r="F1643">
        <v>1</v>
      </c>
      <c r="G1643">
        <v>0</v>
      </c>
      <c r="H1643">
        <v>0</v>
      </c>
      <c r="I1643" t="s">
        <v>2354</v>
      </c>
    </row>
    <row r="1644" spans="1:9" x14ac:dyDescent="0.25">
      <c r="A1644" t="s">
        <v>220</v>
      </c>
      <c r="B1644" t="s">
        <v>5430</v>
      </c>
      <c r="C1644" t="s">
        <v>8279</v>
      </c>
      <c r="D1644" t="s">
        <v>8280</v>
      </c>
      <c r="F1644">
        <v>1</v>
      </c>
      <c r="G1644">
        <v>0</v>
      </c>
      <c r="H1644">
        <v>0</v>
      </c>
      <c r="I1644" t="s">
        <v>2354</v>
      </c>
    </row>
    <row r="1645" spans="1:9" x14ac:dyDescent="0.25">
      <c r="A1645" t="s">
        <v>220</v>
      </c>
      <c r="B1645" t="s">
        <v>5430</v>
      </c>
      <c r="C1645" t="s">
        <v>8281</v>
      </c>
      <c r="D1645" t="s">
        <v>8282</v>
      </c>
      <c r="F1645">
        <v>1</v>
      </c>
      <c r="G1645">
        <v>0</v>
      </c>
      <c r="H1645">
        <v>0</v>
      </c>
      <c r="I1645" t="s">
        <v>2354</v>
      </c>
    </row>
    <row r="1646" spans="1:9" x14ac:dyDescent="0.25">
      <c r="A1646" t="s">
        <v>220</v>
      </c>
      <c r="B1646" t="s">
        <v>5430</v>
      </c>
      <c r="C1646" t="s">
        <v>6829</v>
      </c>
      <c r="D1646" t="s">
        <v>8283</v>
      </c>
      <c r="F1646">
        <v>2</v>
      </c>
      <c r="G1646">
        <v>0</v>
      </c>
      <c r="H1646">
        <v>0</v>
      </c>
      <c r="I1646" t="s">
        <v>2354</v>
      </c>
    </row>
    <row r="1647" spans="1:9" x14ac:dyDescent="0.25">
      <c r="A1647" t="s">
        <v>220</v>
      </c>
      <c r="B1647" t="s">
        <v>5430</v>
      </c>
      <c r="C1647" t="s">
        <v>4133</v>
      </c>
      <c r="D1647" t="s">
        <v>8284</v>
      </c>
      <c r="F1647">
        <v>4</v>
      </c>
      <c r="G1647">
        <v>125.46</v>
      </c>
      <c r="H1647">
        <v>501.84</v>
      </c>
      <c r="I1647" t="s">
        <v>2354</v>
      </c>
    </row>
    <row r="1648" spans="1:9" x14ac:dyDescent="0.25">
      <c r="A1648" t="s">
        <v>220</v>
      </c>
      <c r="B1648" t="s">
        <v>5430</v>
      </c>
      <c r="C1648" t="s">
        <v>8285</v>
      </c>
      <c r="D1648" t="s">
        <v>8286</v>
      </c>
      <c r="F1648">
        <v>2</v>
      </c>
      <c r="G1648">
        <v>0</v>
      </c>
      <c r="H1648">
        <v>0</v>
      </c>
      <c r="I1648" t="s">
        <v>2354</v>
      </c>
    </row>
    <row r="1649" spans="1:9" x14ac:dyDescent="0.25">
      <c r="A1649" t="s">
        <v>220</v>
      </c>
      <c r="B1649" t="s">
        <v>5430</v>
      </c>
      <c r="C1649" t="s">
        <v>6833</v>
      </c>
      <c r="D1649" t="s">
        <v>8287</v>
      </c>
      <c r="F1649">
        <v>8</v>
      </c>
      <c r="G1649">
        <v>6.3</v>
      </c>
      <c r="H1649">
        <v>50.4</v>
      </c>
      <c r="I1649" t="s">
        <v>2354</v>
      </c>
    </row>
    <row r="1650" spans="1:9" x14ac:dyDescent="0.25">
      <c r="A1650" t="s">
        <v>220</v>
      </c>
      <c r="B1650" t="s">
        <v>5430</v>
      </c>
      <c r="C1650" t="s">
        <v>6835</v>
      </c>
      <c r="D1650" t="s">
        <v>8288</v>
      </c>
      <c r="F1650">
        <v>1</v>
      </c>
      <c r="G1650">
        <v>9.4499999999999993</v>
      </c>
      <c r="H1650">
        <v>9.4499999999999993</v>
      </c>
      <c r="I1650" t="s">
        <v>2354</v>
      </c>
    </row>
    <row r="1651" spans="1:9" x14ac:dyDescent="0.25">
      <c r="A1651" t="s">
        <v>220</v>
      </c>
      <c r="B1651" t="s">
        <v>5430</v>
      </c>
      <c r="C1651" t="s">
        <v>6837</v>
      </c>
      <c r="D1651" t="s">
        <v>8289</v>
      </c>
      <c r="F1651">
        <v>1</v>
      </c>
      <c r="G1651">
        <v>12.6</v>
      </c>
      <c r="H1651">
        <v>12.6</v>
      </c>
      <c r="I1651" t="s">
        <v>2354</v>
      </c>
    </row>
    <row r="1652" spans="1:9" x14ac:dyDescent="0.25">
      <c r="A1652" t="s">
        <v>220</v>
      </c>
      <c r="B1652" t="s">
        <v>5430</v>
      </c>
      <c r="C1652" t="s">
        <v>6839</v>
      </c>
      <c r="D1652" t="s">
        <v>8290</v>
      </c>
      <c r="F1652">
        <v>1</v>
      </c>
      <c r="G1652">
        <v>14.4</v>
      </c>
      <c r="H1652">
        <v>14.4</v>
      </c>
      <c r="I1652" t="s">
        <v>2354</v>
      </c>
    </row>
    <row r="1653" spans="1:9" x14ac:dyDescent="0.25">
      <c r="A1653" t="s">
        <v>220</v>
      </c>
      <c r="B1653" t="s">
        <v>5430</v>
      </c>
      <c r="C1653" t="s">
        <v>6841</v>
      </c>
      <c r="D1653" t="s">
        <v>8291</v>
      </c>
      <c r="F1653">
        <v>10</v>
      </c>
      <c r="G1653">
        <v>7.3048610526315789</v>
      </c>
      <c r="H1653">
        <v>73.048610526315784</v>
      </c>
      <c r="I1653" t="s">
        <v>2354</v>
      </c>
    </row>
    <row r="1654" spans="1:9" x14ac:dyDescent="0.25">
      <c r="A1654" t="s">
        <v>220</v>
      </c>
      <c r="B1654" t="s">
        <v>5430</v>
      </c>
      <c r="C1654" t="s">
        <v>6843</v>
      </c>
      <c r="D1654" t="s">
        <v>8292</v>
      </c>
      <c r="F1654">
        <v>7</v>
      </c>
      <c r="G1654">
        <v>6.3433333333333337</v>
      </c>
      <c r="H1654">
        <v>44.403333333333336</v>
      </c>
      <c r="I1654" t="s">
        <v>2354</v>
      </c>
    </row>
    <row r="1655" spans="1:9" x14ac:dyDescent="0.25">
      <c r="A1655" t="s">
        <v>220</v>
      </c>
      <c r="B1655" t="s">
        <v>5430</v>
      </c>
      <c r="C1655" t="s">
        <v>4141</v>
      </c>
      <c r="D1655" t="s">
        <v>8293</v>
      </c>
      <c r="F1655">
        <v>6</v>
      </c>
      <c r="G1655">
        <v>0.47970000000000007</v>
      </c>
      <c r="H1655">
        <v>2.8782000000000005</v>
      </c>
      <c r="I1655" t="s">
        <v>2354</v>
      </c>
    </row>
    <row r="1656" spans="1:9" x14ac:dyDescent="0.25">
      <c r="A1656" t="s">
        <v>220</v>
      </c>
      <c r="B1656" t="s">
        <v>5430</v>
      </c>
      <c r="C1656" t="s">
        <v>4143</v>
      </c>
      <c r="D1656" t="s">
        <v>8294</v>
      </c>
      <c r="F1656">
        <v>2</v>
      </c>
      <c r="G1656">
        <v>5</v>
      </c>
      <c r="H1656">
        <v>10</v>
      </c>
      <c r="I1656" t="s">
        <v>2354</v>
      </c>
    </row>
    <row r="1657" spans="1:9" x14ac:dyDescent="0.25">
      <c r="A1657" t="s">
        <v>220</v>
      </c>
      <c r="B1657" t="s">
        <v>5430</v>
      </c>
      <c r="C1657" t="s">
        <v>4145</v>
      </c>
      <c r="D1657" t="s">
        <v>8295</v>
      </c>
      <c r="F1657">
        <v>9</v>
      </c>
      <c r="G1657">
        <v>0.26371428571428573</v>
      </c>
      <c r="H1657">
        <v>2.3734285714285717</v>
      </c>
      <c r="I1657" t="s">
        <v>2354</v>
      </c>
    </row>
    <row r="1658" spans="1:9" x14ac:dyDescent="0.25">
      <c r="A1658" t="s">
        <v>220</v>
      </c>
      <c r="B1658" t="s">
        <v>5430</v>
      </c>
      <c r="C1658" t="s">
        <v>4147</v>
      </c>
      <c r="D1658" t="s">
        <v>8296</v>
      </c>
      <c r="F1658">
        <v>6</v>
      </c>
      <c r="G1658">
        <v>1.067278911564626</v>
      </c>
      <c r="H1658">
        <v>6.4036734693877557</v>
      </c>
      <c r="I1658" t="s">
        <v>2354</v>
      </c>
    </row>
    <row r="1659" spans="1:9" x14ac:dyDescent="0.25">
      <c r="A1659" t="s">
        <v>220</v>
      </c>
      <c r="B1659" t="s">
        <v>5430</v>
      </c>
      <c r="C1659" t="s">
        <v>6845</v>
      </c>
      <c r="D1659" t="s">
        <v>8297</v>
      </c>
      <c r="F1659">
        <v>18</v>
      </c>
      <c r="G1659">
        <v>1.116077922077922</v>
      </c>
      <c r="H1659">
        <v>20.089402597402596</v>
      </c>
      <c r="I1659" t="s">
        <v>2354</v>
      </c>
    </row>
    <row r="1660" spans="1:9" x14ac:dyDescent="0.25">
      <c r="A1660" t="s">
        <v>220</v>
      </c>
      <c r="B1660" t="s">
        <v>5430</v>
      </c>
      <c r="C1660" t="s">
        <v>6846</v>
      </c>
      <c r="D1660" t="s">
        <v>8298</v>
      </c>
      <c r="F1660">
        <v>1</v>
      </c>
      <c r="G1660">
        <v>15.270860000000003</v>
      </c>
      <c r="H1660">
        <v>15.270860000000003</v>
      </c>
      <c r="I1660" t="s">
        <v>2354</v>
      </c>
    </row>
    <row r="1661" spans="1:9" x14ac:dyDescent="0.25">
      <c r="A1661" t="s">
        <v>220</v>
      </c>
      <c r="B1661" t="s">
        <v>5430</v>
      </c>
      <c r="C1661" t="s">
        <v>6847</v>
      </c>
      <c r="D1661" t="s">
        <v>8299</v>
      </c>
      <c r="F1661">
        <v>4</v>
      </c>
      <c r="G1661">
        <v>1.72</v>
      </c>
      <c r="H1661">
        <v>6.88</v>
      </c>
      <c r="I1661" t="s">
        <v>2354</v>
      </c>
    </row>
    <row r="1662" spans="1:9" x14ac:dyDescent="0.25">
      <c r="A1662" t="s">
        <v>220</v>
      </c>
      <c r="B1662" t="s">
        <v>5430</v>
      </c>
      <c r="C1662" t="s">
        <v>6849</v>
      </c>
      <c r="D1662" t="s">
        <v>8300</v>
      </c>
      <c r="F1662">
        <v>36</v>
      </c>
      <c r="G1662">
        <v>0.98199999999999998</v>
      </c>
      <c r="H1662">
        <v>35.351999999999997</v>
      </c>
      <c r="I1662" t="s">
        <v>2354</v>
      </c>
    </row>
    <row r="1663" spans="1:9" x14ac:dyDescent="0.25">
      <c r="A1663" t="s">
        <v>220</v>
      </c>
      <c r="B1663" t="s">
        <v>5430</v>
      </c>
      <c r="C1663" t="s">
        <v>6851</v>
      </c>
      <c r="D1663" t="s">
        <v>8301</v>
      </c>
      <c r="F1663">
        <v>5</v>
      </c>
      <c r="G1663">
        <v>0.75</v>
      </c>
      <c r="H1663">
        <v>3.75</v>
      </c>
      <c r="I1663" t="s">
        <v>2354</v>
      </c>
    </row>
    <row r="1664" spans="1:9" x14ac:dyDescent="0.25">
      <c r="A1664" t="s">
        <v>220</v>
      </c>
      <c r="B1664" t="s">
        <v>5430</v>
      </c>
      <c r="C1664" t="s">
        <v>4155</v>
      </c>
      <c r="D1664" t="s">
        <v>8302</v>
      </c>
      <c r="F1664">
        <v>18</v>
      </c>
      <c r="G1664">
        <v>1.2300627272727274</v>
      </c>
      <c r="H1664">
        <v>22.141129090909093</v>
      </c>
      <c r="I1664" t="s">
        <v>2354</v>
      </c>
    </row>
    <row r="1665" spans="1:9" x14ac:dyDescent="0.25">
      <c r="A1665" t="s">
        <v>220</v>
      </c>
      <c r="B1665" t="s">
        <v>5430</v>
      </c>
      <c r="C1665" t="s">
        <v>6853</v>
      </c>
      <c r="D1665" t="s">
        <v>6854</v>
      </c>
      <c r="F1665">
        <v>59</v>
      </c>
      <c r="G1665">
        <v>1.72</v>
      </c>
      <c r="H1665">
        <v>101.48</v>
      </c>
      <c r="I1665" t="s">
        <v>2354</v>
      </c>
    </row>
    <row r="1666" spans="1:9" x14ac:dyDescent="0.25">
      <c r="A1666" t="s">
        <v>220</v>
      </c>
      <c r="B1666" t="s">
        <v>5430</v>
      </c>
      <c r="C1666" t="s">
        <v>6855</v>
      </c>
      <c r="D1666" t="s">
        <v>6856</v>
      </c>
      <c r="F1666">
        <v>18</v>
      </c>
      <c r="G1666">
        <v>0.75</v>
      </c>
      <c r="H1666">
        <v>13.5</v>
      </c>
      <c r="I1666" t="s">
        <v>2354</v>
      </c>
    </row>
    <row r="1667" spans="1:9" x14ac:dyDescent="0.25">
      <c r="A1667" t="s">
        <v>220</v>
      </c>
      <c r="B1667" t="s">
        <v>5430</v>
      </c>
      <c r="C1667" t="s">
        <v>6857</v>
      </c>
      <c r="D1667" t="s">
        <v>6858</v>
      </c>
      <c r="F1667">
        <v>29</v>
      </c>
      <c r="G1667">
        <v>1.72</v>
      </c>
      <c r="H1667">
        <v>49.88</v>
      </c>
      <c r="I1667" t="s">
        <v>2354</v>
      </c>
    </row>
    <row r="1668" spans="1:9" x14ac:dyDescent="0.25">
      <c r="A1668" t="s">
        <v>220</v>
      </c>
      <c r="B1668" t="s">
        <v>5430</v>
      </c>
      <c r="C1668" t="s">
        <v>6859</v>
      </c>
      <c r="D1668" t="s">
        <v>6860</v>
      </c>
      <c r="F1668">
        <v>5</v>
      </c>
      <c r="G1668">
        <v>0.19800000000000001</v>
      </c>
      <c r="H1668">
        <v>0.99</v>
      </c>
      <c r="I1668" t="s">
        <v>2354</v>
      </c>
    </row>
    <row r="1669" spans="1:9" x14ac:dyDescent="0.25">
      <c r="A1669" t="s">
        <v>220</v>
      </c>
      <c r="B1669" t="s">
        <v>5430</v>
      </c>
      <c r="C1669" t="s">
        <v>6861</v>
      </c>
      <c r="D1669" t="s">
        <v>6862</v>
      </c>
      <c r="F1669">
        <v>1</v>
      </c>
      <c r="G1669">
        <v>4.9793000000000003</v>
      </c>
      <c r="H1669">
        <v>4.9793000000000003</v>
      </c>
      <c r="I1669" t="s">
        <v>2354</v>
      </c>
    </row>
    <row r="1670" spans="1:9" x14ac:dyDescent="0.25">
      <c r="A1670" t="s">
        <v>220</v>
      </c>
      <c r="B1670" t="s">
        <v>5430</v>
      </c>
      <c r="C1670" t="s">
        <v>8303</v>
      </c>
      <c r="D1670" t="s">
        <v>8304</v>
      </c>
      <c r="F1670">
        <v>3</v>
      </c>
      <c r="G1670">
        <v>8.5500000000000007</v>
      </c>
      <c r="H1670">
        <v>25.650000000000002</v>
      </c>
      <c r="I1670" t="s">
        <v>2354</v>
      </c>
    </row>
    <row r="1671" spans="1:9" x14ac:dyDescent="0.25">
      <c r="A1671" t="s">
        <v>220</v>
      </c>
      <c r="B1671" t="s">
        <v>5430</v>
      </c>
      <c r="C1671" t="s">
        <v>4175</v>
      </c>
      <c r="D1671" t="s">
        <v>4176</v>
      </c>
      <c r="F1671">
        <v>1</v>
      </c>
      <c r="G1671">
        <v>1.9125000000000001</v>
      </c>
      <c r="H1671">
        <v>1.9125000000000001</v>
      </c>
      <c r="I1671" t="s">
        <v>2354</v>
      </c>
    </row>
    <row r="1672" spans="1:9" x14ac:dyDescent="0.25">
      <c r="A1672" t="s">
        <v>220</v>
      </c>
      <c r="B1672" t="s">
        <v>5430</v>
      </c>
      <c r="C1672" t="s">
        <v>4179</v>
      </c>
      <c r="D1672" t="s">
        <v>8305</v>
      </c>
      <c r="F1672">
        <v>18</v>
      </c>
      <c r="G1672">
        <v>0.2475</v>
      </c>
      <c r="H1672">
        <v>4.4550000000000001</v>
      </c>
      <c r="I1672" t="s">
        <v>2354</v>
      </c>
    </row>
    <row r="1673" spans="1:9" x14ac:dyDescent="0.25">
      <c r="A1673" t="s">
        <v>220</v>
      </c>
      <c r="B1673" t="s">
        <v>5430</v>
      </c>
      <c r="C1673" t="s">
        <v>4181</v>
      </c>
      <c r="D1673" t="s">
        <v>8306</v>
      </c>
      <c r="F1673">
        <v>13</v>
      </c>
      <c r="G1673">
        <v>0.5214545454545455</v>
      </c>
      <c r="H1673">
        <v>6.7789090909090914</v>
      </c>
      <c r="I1673" t="s">
        <v>2354</v>
      </c>
    </row>
    <row r="1674" spans="1:9" x14ac:dyDescent="0.25">
      <c r="A1674" t="s">
        <v>220</v>
      </c>
      <c r="B1674" t="s">
        <v>5430</v>
      </c>
      <c r="C1674" t="s">
        <v>4185</v>
      </c>
      <c r="D1674" t="s">
        <v>8307</v>
      </c>
      <c r="F1674">
        <v>8</v>
      </c>
      <c r="G1674">
        <v>0.63749999999999996</v>
      </c>
      <c r="H1674">
        <v>5.0999999999999996</v>
      </c>
      <c r="I1674" t="s">
        <v>2354</v>
      </c>
    </row>
    <row r="1675" spans="1:9" x14ac:dyDescent="0.25">
      <c r="A1675" t="s">
        <v>220</v>
      </c>
      <c r="B1675" t="s">
        <v>5430</v>
      </c>
      <c r="C1675" t="s">
        <v>4187</v>
      </c>
      <c r="D1675" t="s">
        <v>8308</v>
      </c>
      <c r="F1675">
        <v>30</v>
      </c>
      <c r="G1675">
        <v>0.52025434782608682</v>
      </c>
      <c r="H1675">
        <v>15.607630434782605</v>
      </c>
      <c r="I1675" t="s">
        <v>2354</v>
      </c>
    </row>
    <row r="1676" spans="1:9" x14ac:dyDescent="0.25">
      <c r="A1676" t="s">
        <v>220</v>
      </c>
      <c r="B1676" t="s">
        <v>5430</v>
      </c>
      <c r="C1676" t="s">
        <v>4189</v>
      </c>
      <c r="D1676" t="s">
        <v>4190</v>
      </c>
      <c r="F1676">
        <v>79</v>
      </c>
      <c r="G1676">
        <v>0.184</v>
      </c>
      <c r="H1676">
        <v>14.536</v>
      </c>
      <c r="I1676" t="s">
        <v>2354</v>
      </c>
    </row>
    <row r="1677" spans="1:9" x14ac:dyDescent="0.25">
      <c r="A1677" t="s">
        <v>220</v>
      </c>
      <c r="B1677" t="s">
        <v>5430</v>
      </c>
      <c r="C1677" t="s">
        <v>6870</v>
      </c>
      <c r="D1677" t="s">
        <v>8309</v>
      </c>
      <c r="F1677">
        <v>2</v>
      </c>
      <c r="G1677">
        <v>42.56</v>
      </c>
      <c r="H1677">
        <v>85.12</v>
      </c>
      <c r="I1677" t="s">
        <v>2354</v>
      </c>
    </row>
    <row r="1678" spans="1:9" x14ac:dyDescent="0.25">
      <c r="A1678" t="s">
        <v>220</v>
      </c>
      <c r="B1678" t="s">
        <v>5430</v>
      </c>
      <c r="C1678" t="s">
        <v>8310</v>
      </c>
      <c r="D1678" t="s">
        <v>8311</v>
      </c>
      <c r="F1678">
        <v>2</v>
      </c>
      <c r="G1678">
        <v>421.01519999999999</v>
      </c>
      <c r="H1678">
        <v>842.03039999999999</v>
      </c>
      <c r="I1678" t="s">
        <v>2354</v>
      </c>
    </row>
    <row r="1679" spans="1:9" x14ac:dyDescent="0.25">
      <c r="A1679" t="s">
        <v>220</v>
      </c>
      <c r="B1679" t="s">
        <v>5430</v>
      </c>
      <c r="C1679" t="s">
        <v>6874</v>
      </c>
      <c r="D1679" t="s">
        <v>6875</v>
      </c>
      <c r="F1679">
        <v>1</v>
      </c>
      <c r="G1679">
        <v>450.45</v>
      </c>
      <c r="H1679">
        <v>450.45</v>
      </c>
      <c r="I1679" t="s">
        <v>2354</v>
      </c>
    </row>
    <row r="1680" spans="1:9" x14ac:dyDescent="0.25">
      <c r="A1680" t="s">
        <v>220</v>
      </c>
      <c r="B1680" t="s">
        <v>5430</v>
      </c>
      <c r="C1680" t="s">
        <v>8312</v>
      </c>
      <c r="D1680" t="s">
        <v>6877</v>
      </c>
      <c r="F1680">
        <v>8</v>
      </c>
      <c r="G1680">
        <v>450.45</v>
      </c>
      <c r="H1680">
        <v>3603.6</v>
      </c>
      <c r="I1680" t="s">
        <v>2354</v>
      </c>
    </row>
    <row r="1681" spans="1:9" x14ac:dyDescent="0.25">
      <c r="A1681" t="s">
        <v>220</v>
      </c>
      <c r="B1681" t="s">
        <v>5430</v>
      </c>
      <c r="C1681" t="s">
        <v>6878</v>
      </c>
      <c r="D1681" t="s">
        <v>6879</v>
      </c>
      <c r="F1681">
        <v>3</v>
      </c>
      <c r="G1681">
        <v>157.5</v>
      </c>
      <c r="H1681">
        <v>472.5</v>
      </c>
      <c r="I1681" t="s">
        <v>2354</v>
      </c>
    </row>
    <row r="1682" spans="1:9" x14ac:dyDescent="0.25">
      <c r="A1682" t="s">
        <v>220</v>
      </c>
      <c r="B1682" t="s">
        <v>5430</v>
      </c>
      <c r="C1682" t="s">
        <v>4241</v>
      </c>
      <c r="D1682" t="s">
        <v>8313</v>
      </c>
      <c r="F1682">
        <v>2</v>
      </c>
      <c r="G1682">
        <v>140.69019</v>
      </c>
      <c r="H1682">
        <v>281.38038</v>
      </c>
      <c r="I1682" t="s">
        <v>2354</v>
      </c>
    </row>
    <row r="1683" spans="1:9" x14ac:dyDescent="0.25">
      <c r="A1683" t="s">
        <v>220</v>
      </c>
      <c r="B1683" t="s">
        <v>5430</v>
      </c>
      <c r="C1683" t="s">
        <v>4243</v>
      </c>
      <c r="D1683" t="s">
        <v>8314</v>
      </c>
      <c r="F1683">
        <v>5</v>
      </c>
      <c r="G1683">
        <v>87.75</v>
      </c>
      <c r="H1683">
        <v>438.75</v>
      </c>
      <c r="I1683" t="s">
        <v>2354</v>
      </c>
    </row>
    <row r="1684" spans="1:9" x14ac:dyDescent="0.25">
      <c r="A1684" t="s">
        <v>220</v>
      </c>
      <c r="B1684" t="s">
        <v>5430</v>
      </c>
      <c r="C1684" t="s">
        <v>4245</v>
      </c>
      <c r="D1684" t="s">
        <v>8315</v>
      </c>
      <c r="F1684">
        <v>6</v>
      </c>
      <c r="G1684">
        <v>17.094903703703704</v>
      </c>
      <c r="H1684">
        <v>102.56942222222222</v>
      </c>
      <c r="I1684" t="s">
        <v>2354</v>
      </c>
    </row>
    <row r="1685" spans="1:9" x14ac:dyDescent="0.25">
      <c r="A1685" t="s">
        <v>220</v>
      </c>
      <c r="B1685" t="s">
        <v>5430</v>
      </c>
      <c r="C1685" t="s">
        <v>4247</v>
      </c>
      <c r="D1685" t="s">
        <v>8316</v>
      </c>
      <c r="F1685">
        <v>1</v>
      </c>
      <c r="G1685">
        <v>82.8</v>
      </c>
      <c r="H1685">
        <v>82.8</v>
      </c>
      <c r="I1685" t="s">
        <v>2354</v>
      </c>
    </row>
    <row r="1686" spans="1:9" x14ac:dyDescent="0.25">
      <c r="A1686" t="s">
        <v>220</v>
      </c>
      <c r="B1686" t="s">
        <v>5430</v>
      </c>
      <c r="C1686" t="s">
        <v>8317</v>
      </c>
      <c r="D1686" t="s">
        <v>8318</v>
      </c>
      <c r="F1686">
        <v>1</v>
      </c>
      <c r="G1686">
        <v>76.388249999999999</v>
      </c>
      <c r="H1686">
        <v>76.388249999999999</v>
      </c>
      <c r="I1686" t="s">
        <v>2354</v>
      </c>
    </row>
    <row r="1687" spans="1:9" x14ac:dyDescent="0.25">
      <c r="A1687" t="s">
        <v>220</v>
      </c>
      <c r="B1687" t="s">
        <v>5430</v>
      </c>
      <c r="C1687" t="s">
        <v>6881</v>
      </c>
      <c r="D1687" t="s">
        <v>8319</v>
      </c>
      <c r="F1687">
        <v>6</v>
      </c>
      <c r="G1687">
        <v>0</v>
      </c>
      <c r="H1687">
        <v>0</v>
      </c>
      <c r="I1687" t="s">
        <v>2354</v>
      </c>
    </row>
    <row r="1688" spans="1:9" x14ac:dyDescent="0.25">
      <c r="A1688" t="s">
        <v>220</v>
      </c>
      <c r="B1688" t="s">
        <v>5430</v>
      </c>
      <c r="C1688" t="s">
        <v>6883</v>
      </c>
      <c r="D1688" t="s">
        <v>8320</v>
      </c>
      <c r="F1688">
        <v>2</v>
      </c>
      <c r="G1688">
        <v>0</v>
      </c>
      <c r="H1688">
        <v>0</v>
      </c>
      <c r="I1688" t="s">
        <v>2354</v>
      </c>
    </row>
    <row r="1689" spans="1:9" x14ac:dyDescent="0.25">
      <c r="A1689" t="s">
        <v>220</v>
      </c>
      <c r="B1689" t="s">
        <v>5430</v>
      </c>
      <c r="C1689" t="s">
        <v>6885</v>
      </c>
      <c r="D1689" t="s">
        <v>6886</v>
      </c>
      <c r="F1689">
        <v>2</v>
      </c>
      <c r="G1689">
        <v>157.5</v>
      </c>
      <c r="H1689">
        <v>315</v>
      </c>
      <c r="I1689" t="s">
        <v>2354</v>
      </c>
    </row>
    <row r="1690" spans="1:9" x14ac:dyDescent="0.25">
      <c r="A1690" t="s">
        <v>220</v>
      </c>
      <c r="B1690" t="s">
        <v>5430</v>
      </c>
      <c r="C1690" t="s">
        <v>6887</v>
      </c>
      <c r="D1690" t="s">
        <v>8321</v>
      </c>
      <c r="F1690">
        <v>3</v>
      </c>
      <c r="G1690">
        <v>181.5617</v>
      </c>
      <c r="H1690">
        <v>544.68510000000003</v>
      </c>
      <c r="I1690" t="s">
        <v>2354</v>
      </c>
    </row>
    <row r="1691" spans="1:9" x14ac:dyDescent="0.25">
      <c r="A1691" t="s">
        <v>220</v>
      </c>
      <c r="B1691" t="s">
        <v>5430</v>
      </c>
      <c r="C1691" t="s">
        <v>6889</v>
      </c>
      <c r="D1691" t="s">
        <v>8322</v>
      </c>
      <c r="F1691">
        <v>2</v>
      </c>
      <c r="G1691">
        <v>89.1</v>
      </c>
      <c r="H1691">
        <v>178.2</v>
      </c>
      <c r="I1691" t="s">
        <v>2354</v>
      </c>
    </row>
    <row r="1692" spans="1:9" x14ac:dyDescent="0.25">
      <c r="A1692" t="s">
        <v>220</v>
      </c>
      <c r="B1692" t="s">
        <v>5430</v>
      </c>
      <c r="C1692" t="s">
        <v>6891</v>
      </c>
      <c r="D1692" t="s">
        <v>8323</v>
      </c>
      <c r="F1692">
        <v>1</v>
      </c>
      <c r="G1692">
        <v>50.32</v>
      </c>
      <c r="H1692">
        <v>50.32</v>
      </c>
      <c r="I1692" t="s">
        <v>2354</v>
      </c>
    </row>
    <row r="1693" spans="1:9" x14ac:dyDescent="0.25">
      <c r="A1693" t="s">
        <v>220</v>
      </c>
      <c r="B1693" t="s">
        <v>5430</v>
      </c>
      <c r="C1693" t="s">
        <v>6893</v>
      </c>
      <c r="D1693" t="s">
        <v>8324</v>
      </c>
      <c r="F1693">
        <v>5</v>
      </c>
      <c r="G1693">
        <v>87.465000000000003</v>
      </c>
      <c r="H1693">
        <v>437.32500000000005</v>
      </c>
      <c r="I1693" t="s">
        <v>2354</v>
      </c>
    </row>
    <row r="1694" spans="1:9" x14ac:dyDescent="0.25">
      <c r="A1694" t="s">
        <v>220</v>
      </c>
      <c r="B1694" t="s">
        <v>5430</v>
      </c>
      <c r="C1694" t="s">
        <v>6895</v>
      </c>
      <c r="D1694" t="s">
        <v>8325</v>
      </c>
      <c r="F1694">
        <v>5</v>
      </c>
      <c r="G1694">
        <v>21.433599999999998</v>
      </c>
      <c r="H1694">
        <v>107.16799999999999</v>
      </c>
      <c r="I1694" t="s">
        <v>2354</v>
      </c>
    </row>
    <row r="1695" spans="1:9" x14ac:dyDescent="0.25">
      <c r="A1695" t="s">
        <v>220</v>
      </c>
      <c r="B1695" t="s">
        <v>5430</v>
      </c>
      <c r="C1695" t="s">
        <v>6897</v>
      </c>
      <c r="D1695" t="s">
        <v>8326</v>
      </c>
      <c r="F1695">
        <v>1</v>
      </c>
      <c r="G1695">
        <v>10.391999999999999</v>
      </c>
      <c r="H1695">
        <v>10.391999999999999</v>
      </c>
      <c r="I1695" t="s">
        <v>2354</v>
      </c>
    </row>
    <row r="1696" spans="1:9" x14ac:dyDescent="0.25">
      <c r="A1696" t="s">
        <v>220</v>
      </c>
      <c r="B1696" t="s">
        <v>5430</v>
      </c>
      <c r="C1696" t="s">
        <v>6899</v>
      </c>
      <c r="D1696" t="s">
        <v>8327</v>
      </c>
      <c r="F1696">
        <v>1</v>
      </c>
      <c r="G1696">
        <v>114.7483</v>
      </c>
      <c r="H1696">
        <v>114.7483</v>
      </c>
      <c r="I1696" t="s">
        <v>2354</v>
      </c>
    </row>
    <row r="1697" spans="1:9" x14ac:dyDescent="0.25">
      <c r="A1697" t="s">
        <v>220</v>
      </c>
      <c r="B1697" t="s">
        <v>5430</v>
      </c>
      <c r="C1697" t="s">
        <v>6901</v>
      </c>
      <c r="D1697" t="s">
        <v>8328</v>
      </c>
      <c r="F1697">
        <v>4</v>
      </c>
      <c r="G1697">
        <v>238.3398</v>
      </c>
      <c r="H1697">
        <v>953.35919999999999</v>
      </c>
      <c r="I1697" t="s">
        <v>2354</v>
      </c>
    </row>
    <row r="1698" spans="1:9" x14ac:dyDescent="0.25">
      <c r="A1698" t="s">
        <v>220</v>
      </c>
      <c r="B1698" t="s">
        <v>5430</v>
      </c>
      <c r="C1698" t="s">
        <v>4295</v>
      </c>
      <c r="D1698" t="s">
        <v>8329</v>
      </c>
      <c r="F1698">
        <v>6</v>
      </c>
      <c r="G1698">
        <v>85.5</v>
      </c>
      <c r="H1698">
        <v>513</v>
      </c>
      <c r="I1698" t="s">
        <v>2354</v>
      </c>
    </row>
    <row r="1699" spans="1:9" x14ac:dyDescent="0.25">
      <c r="A1699" t="s">
        <v>220</v>
      </c>
      <c r="B1699" t="s">
        <v>5430</v>
      </c>
      <c r="C1699" t="s">
        <v>6903</v>
      </c>
      <c r="D1699" t="s">
        <v>8330</v>
      </c>
      <c r="F1699">
        <v>1</v>
      </c>
      <c r="G1699">
        <v>85.5</v>
      </c>
      <c r="H1699">
        <v>85.5</v>
      </c>
      <c r="I1699" t="s">
        <v>2354</v>
      </c>
    </row>
    <row r="1700" spans="1:9" x14ac:dyDescent="0.25">
      <c r="A1700" t="s">
        <v>220</v>
      </c>
      <c r="B1700" t="s">
        <v>5430</v>
      </c>
      <c r="C1700" t="s">
        <v>4301</v>
      </c>
      <c r="D1700" t="s">
        <v>8331</v>
      </c>
      <c r="F1700">
        <v>6</v>
      </c>
      <c r="G1700">
        <v>162.44999999999999</v>
      </c>
      <c r="H1700">
        <v>974.69999999999993</v>
      </c>
      <c r="I1700" t="s">
        <v>2354</v>
      </c>
    </row>
    <row r="1701" spans="1:9" x14ac:dyDescent="0.25">
      <c r="A1701" t="s">
        <v>220</v>
      </c>
      <c r="B1701" t="s">
        <v>5430</v>
      </c>
      <c r="C1701" t="s">
        <v>4303</v>
      </c>
      <c r="D1701" t="s">
        <v>8332</v>
      </c>
      <c r="F1701">
        <v>14</v>
      </c>
      <c r="G1701">
        <v>85.5</v>
      </c>
      <c r="H1701">
        <v>1197</v>
      </c>
      <c r="I1701" t="s">
        <v>2354</v>
      </c>
    </row>
    <row r="1702" spans="1:9" x14ac:dyDescent="0.25">
      <c r="A1702" t="s">
        <v>220</v>
      </c>
      <c r="B1702" t="s">
        <v>5430</v>
      </c>
      <c r="C1702" t="s">
        <v>8333</v>
      </c>
      <c r="D1702" t="s">
        <v>8334</v>
      </c>
      <c r="F1702">
        <v>4</v>
      </c>
      <c r="G1702">
        <v>138.33869000000001</v>
      </c>
      <c r="H1702">
        <v>553.35476000000006</v>
      </c>
      <c r="I1702" t="s">
        <v>2354</v>
      </c>
    </row>
    <row r="1703" spans="1:9" x14ac:dyDescent="0.25">
      <c r="A1703" t="s">
        <v>220</v>
      </c>
      <c r="B1703" t="s">
        <v>5430</v>
      </c>
      <c r="C1703" t="s">
        <v>6907</v>
      </c>
      <c r="D1703" t="s">
        <v>8335</v>
      </c>
      <c r="F1703">
        <v>4</v>
      </c>
      <c r="G1703">
        <v>203.05889999999999</v>
      </c>
      <c r="H1703">
        <v>812.23559999999998</v>
      </c>
      <c r="I1703" t="s">
        <v>2354</v>
      </c>
    </row>
    <row r="1704" spans="1:9" x14ac:dyDescent="0.25">
      <c r="A1704" t="s">
        <v>220</v>
      </c>
      <c r="B1704" t="s">
        <v>5430</v>
      </c>
      <c r="C1704" t="s">
        <v>8336</v>
      </c>
      <c r="D1704" t="s">
        <v>8337</v>
      </c>
      <c r="F1704">
        <v>1</v>
      </c>
      <c r="G1704">
        <v>113.22</v>
      </c>
      <c r="H1704">
        <v>113.22</v>
      </c>
      <c r="I1704" t="s">
        <v>2354</v>
      </c>
    </row>
    <row r="1705" spans="1:9" x14ac:dyDescent="0.25">
      <c r="A1705" t="s">
        <v>220</v>
      </c>
      <c r="B1705" t="s">
        <v>5430</v>
      </c>
      <c r="C1705" t="s">
        <v>6911</v>
      </c>
      <c r="D1705" t="s">
        <v>8338</v>
      </c>
      <c r="F1705">
        <v>5</v>
      </c>
      <c r="G1705">
        <v>108.461375</v>
      </c>
      <c r="H1705">
        <v>542.30687499999999</v>
      </c>
      <c r="I1705" t="s">
        <v>2354</v>
      </c>
    </row>
    <row r="1706" spans="1:9" x14ac:dyDescent="0.25">
      <c r="A1706" t="s">
        <v>220</v>
      </c>
      <c r="B1706" t="s">
        <v>5430</v>
      </c>
      <c r="C1706" t="s">
        <v>6913</v>
      </c>
      <c r="D1706" t="s">
        <v>8339</v>
      </c>
      <c r="F1706">
        <v>1</v>
      </c>
      <c r="G1706">
        <v>0</v>
      </c>
      <c r="H1706">
        <v>0</v>
      </c>
      <c r="I1706" t="s">
        <v>2354</v>
      </c>
    </row>
    <row r="1707" spans="1:9" x14ac:dyDescent="0.25">
      <c r="A1707" t="s">
        <v>220</v>
      </c>
      <c r="B1707" t="s">
        <v>5430</v>
      </c>
      <c r="C1707" t="s">
        <v>6915</v>
      </c>
      <c r="D1707" t="s">
        <v>8340</v>
      </c>
      <c r="F1707">
        <v>1</v>
      </c>
      <c r="G1707">
        <v>0</v>
      </c>
      <c r="H1707">
        <v>0</v>
      </c>
      <c r="I1707" t="s">
        <v>2354</v>
      </c>
    </row>
    <row r="1708" spans="1:9" x14ac:dyDescent="0.25">
      <c r="A1708" t="s">
        <v>220</v>
      </c>
      <c r="B1708" t="s">
        <v>5430</v>
      </c>
      <c r="C1708" t="s">
        <v>6917</v>
      </c>
      <c r="D1708" t="s">
        <v>8341</v>
      </c>
      <c r="F1708">
        <v>7</v>
      </c>
      <c r="G1708">
        <v>227.03032999999999</v>
      </c>
      <c r="H1708">
        <v>1589.2123099999999</v>
      </c>
      <c r="I1708" t="s">
        <v>2354</v>
      </c>
    </row>
    <row r="1709" spans="1:9" x14ac:dyDescent="0.25">
      <c r="A1709" t="s">
        <v>220</v>
      </c>
      <c r="B1709" t="s">
        <v>5430</v>
      </c>
      <c r="C1709" t="s">
        <v>6919</v>
      </c>
      <c r="D1709" t="s">
        <v>8342</v>
      </c>
      <c r="F1709">
        <v>1</v>
      </c>
      <c r="G1709">
        <v>124.07850000000001</v>
      </c>
      <c r="H1709">
        <v>124.07850000000001</v>
      </c>
      <c r="I1709" t="s">
        <v>2354</v>
      </c>
    </row>
    <row r="1710" spans="1:9" x14ac:dyDescent="0.25">
      <c r="A1710" t="s">
        <v>220</v>
      </c>
      <c r="B1710" t="s">
        <v>5430</v>
      </c>
      <c r="C1710" t="s">
        <v>6921</v>
      </c>
      <c r="D1710" t="s">
        <v>8343</v>
      </c>
      <c r="F1710">
        <v>1</v>
      </c>
      <c r="G1710">
        <v>89.900099999999995</v>
      </c>
      <c r="H1710">
        <v>89.900099999999995</v>
      </c>
      <c r="I1710" t="s">
        <v>2354</v>
      </c>
    </row>
    <row r="1711" spans="1:9" x14ac:dyDescent="0.25">
      <c r="A1711" t="s">
        <v>220</v>
      </c>
      <c r="B1711" t="s">
        <v>5430</v>
      </c>
      <c r="C1711" t="s">
        <v>6923</v>
      </c>
      <c r="D1711" t="s">
        <v>8344</v>
      </c>
      <c r="F1711">
        <v>1</v>
      </c>
      <c r="G1711">
        <v>174.29204333333331</v>
      </c>
      <c r="H1711">
        <v>174.29204333333331</v>
      </c>
      <c r="I1711" t="s">
        <v>2354</v>
      </c>
    </row>
    <row r="1712" spans="1:9" x14ac:dyDescent="0.25">
      <c r="A1712" t="s">
        <v>220</v>
      </c>
      <c r="B1712" t="s">
        <v>5430</v>
      </c>
      <c r="C1712" t="s">
        <v>6925</v>
      </c>
      <c r="D1712" t="s">
        <v>8345</v>
      </c>
      <c r="F1712">
        <v>8</v>
      </c>
      <c r="G1712">
        <v>113.4</v>
      </c>
      <c r="H1712">
        <v>907.2</v>
      </c>
      <c r="I1712" t="s">
        <v>2354</v>
      </c>
    </row>
    <row r="1713" spans="1:9" x14ac:dyDescent="0.25">
      <c r="A1713" t="s">
        <v>220</v>
      </c>
      <c r="B1713" t="s">
        <v>5430</v>
      </c>
      <c r="C1713" t="s">
        <v>6927</v>
      </c>
      <c r="D1713" t="s">
        <v>8346</v>
      </c>
      <c r="F1713">
        <v>4</v>
      </c>
      <c r="G1713">
        <v>284.69270999999998</v>
      </c>
      <c r="H1713">
        <v>1138.7708399999999</v>
      </c>
      <c r="I1713" t="s">
        <v>2354</v>
      </c>
    </row>
    <row r="1714" spans="1:9" x14ac:dyDescent="0.25">
      <c r="A1714" t="s">
        <v>220</v>
      </c>
      <c r="B1714" t="s">
        <v>5430</v>
      </c>
      <c r="C1714" t="s">
        <v>6929</v>
      </c>
      <c r="D1714" t="s">
        <v>8347</v>
      </c>
      <c r="F1714">
        <v>3</v>
      </c>
      <c r="G1714">
        <v>107.42400000000001</v>
      </c>
      <c r="H1714">
        <v>322.27200000000005</v>
      </c>
      <c r="I1714" t="s">
        <v>2354</v>
      </c>
    </row>
    <row r="1715" spans="1:9" x14ac:dyDescent="0.25">
      <c r="A1715" t="s">
        <v>220</v>
      </c>
      <c r="B1715" t="s">
        <v>5430</v>
      </c>
      <c r="C1715" t="s">
        <v>6931</v>
      </c>
      <c r="D1715" t="s">
        <v>8348</v>
      </c>
      <c r="F1715">
        <v>4</v>
      </c>
      <c r="G1715">
        <v>78.825450000000004</v>
      </c>
      <c r="H1715">
        <v>315.30180000000001</v>
      </c>
      <c r="I1715" t="s">
        <v>2354</v>
      </c>
    </row>
    <row r="1716" spans="1:9" x14ac:dyDescent="0.25">
      <c r="A1716" t="s">
        <v>220</v>
      </c>
      <c r="B1716" t="s">
        <v>5430</v>
      </c>
      <c r="C1716" t="s">
        <v>6933</v>
      </c>
      <c r="D1716" t="s">
        <v>8349</v>
      </c>
      <c r="F1716">
        <v>4</v>
      </c>
      <c r="G1716">
        <v>274.63414999999998</v>
      </c>
      <c r="H1716">
        <v>1098.5365999999999</v>
      </c>
      <c r="I1716" t="s">
        <v>2354</v>
      </c>
    </row>
    <row r="1717" spans="1:9" x14ac:dyDescent="0.25">
      <c r="A1717" t="s">
        <v>220</v>
      </c>
      <c r="B1717" t="s">
        <v>5430</v>
      </c>
      <c r="C1717" t="s">
        <v>6935</v>
      </c>
      <c r="D1717" t="s">
        <v>8350</v>
      </c>
      <c r="F1717">
        <v>5</v>
      </c>
      <c r="G1717">
        <v>287.29703000000001</v>
      </c>
      <c r="H1717">
        <v>1436.48515</v>
      </c>
      <c r="I1717" t="s">
        <v>2354</v>
      </c>
    </row>
    <row r="1718" spans="1:9" x14ac:dyDescent="0.25">
      <c r="A1718" t="s">
        <v>220</v>
      </c>
      <c r="B1718" t="s">
        <v>5430</v>
      </c>
      <c r="C1718" t="s">
        <v>6937</v>
      </c>
      <c r="D1718" t="s">
        <v>8351</v>
      </c>
      <c r="F1718">
        <v>6</v>
      </c>
      <c r="G1718">
        <v>122.715</v>
      </c>
      <c r="H1718">
        <v>736.29</v>
      </c>
      <c r="I1718" t="s">
        <v>2354</v>
      </c>
    </row>
    <row r="1719" spans="1:9" x14ac:dyDescent="0.25">
      <c r="A1719" t="s">
        <v>220</v>
      </c>
      <c r="B1719" t="s">
        <v>5430</v>
      </c>
      <c r="C1719" t="s">
        <v>6939</v>
      </c>
      <c r="D1719" t="s">
        <v>8352</v>
      </c>
      <c r="F1719">
        <v>4</v>
      </c>
      <c r="G1719">
        <v>172.71011578947369</v>
      </c>
      <c r="H1719">
        <v>690.84046315789476</v>
      </c>
      <c r="I1719" t="s">
        <v>2354</v>
      </c>
    </row>
    <row r="1720" spans="1:9" x14ac:dyDescent="0.25">
      <c r="A1720" t="s">
        <v>220</v>
      </c>
      <c r="B1720" t="s">
        <v>5430</v>
      </c>
      <c r="C1720" t="s">
        <v>6941</v>
      </c>
      <c r="D1720" t="s">
        <v>8353</v>
      </c>
      <c r="F1720">
        <v>3</v>
      </c>
      <c r="G1720">
        <v>221.25059999999996</v>
      </c>
      <c r="H1720">
        <v>663.75179999999989</v>
      </c>
      <c r="I1720" t="s">
        <v>2354</v>
      </c>
    </row>
    <row r="1721" spans="1:9" x14ac:dyDescent="0.25">
      <c r="A1721" t="s">
        <v>220</v>
      </c>
      <c r="B1721" t="s">
        <v>5430</v>
      </c>
      <c r="C1721" t="s">
        <v>4339</v>
      </c>
      <c r="D1721" t="s">
        <v>4340</v>
      </c>
      <c r="F1721">
        <v>4</v>
      </c>
      <c r="G1721">
        <v>22.395800000000001</v>
      </c>
      <c r="H1721">
        <v>89.583200000000005</v>
      </c>
      <c r="I1721" t="s">
        <v>2354</v>
      </c>
    </row>
    <row r="1722" spans="1:9" x14ac:dyDescent="0.25">
      <c r="A1722" t="s">
        <v>220</v>
      </c>
      <c r="B1722" t="s">
        <v>5430</v>
      </c>
      <c r="C1722" t="s">
        <v>6944</v>
      </c>
      <c r="D1722" t="s">
        <v>8354</v>
      </c>
      <c r="F1722">
        <v>1</v>
      </c>
      <c r="G1722">
        <v>0</v>
      </c>
      <c r="H1722">
        <v>0</v>
      </c>
      <c r="I1722" t="s">
        <v>2354</v>
      </c>
    </row>
    <row r="1723" spans="1:9" x14ac:dyDescent="0.25">
      <c r="A1723" t="s">
        <v>220</v>
      </c>
      <c r="B1723" t="s">
        <v>5430</v>
      </c>
      <c r="C1723" t="s">
        <v>6946</v>
      </c>
      <c r="D1723" t="s">
        <v>8355</v>
      </c>
      <c r="F1723">
        <v>1</v>
      </c>
      <c r="G1723">
        <v>0</v>
      </c>
      <c r="H1723">
        <v>0</v>
      </c>
      <c r="I1723" t="s">
        <v>2354</v>
      </c>
    </row>
    <row r="1724" spans="1:9" x14ac:dyDescent="0.25">
      <c r="A1724" t="s">
        <v>220</v>
      </c>
      <c r="B1724" t="s">
        <v>5430</v>
      </c>
      <c r="C1724" t="s">
        <v>6948</v>
      </c>
      <c r="D1724" t="s">
        <v>8356</v>
      </c>
      <c r="F1724">
        <v>1</v>
      </c>
      <c r="G1724">
        <v>0</v>
      </c>
      <c r="H1724">
        <v>0</v>
      </c>
      <c r="I1724" t="s">
        <v>2354</v>
      </c>
    </row>
    <row r="1725" spans="1:9" x14ac:dyDescent="0.25">
      <c r="A1725" t="s">
        <v>220</v>
      </c>
      <c r="B1725" t="s">
        <v>5430</v>
      </c>
      <c r="C1725" t="s">
        <v>6950</v>
      </c>
      <c r="D1725" t="s">
        <v>8357</v>
      </c>
      <c r="F1725">
        <v>1</v>
      </c>
      <c r="G1725">
        <v>0</v>
      </c>
      <c r="H1725">
        <v>0</v>
      </c>
      <c r="I1725" t="s">
        <v>2354</v>
      </c>
    </row>
    <row r="1726" spans="1:9" x14ac:dyDescent="0.25">
      <c r="A1726" t="s">
        <v>220</v>
      </c>
      <c r="B1726" t="s">
        <v>5430</v>
      </c>
      <c r="C1726" t="s">
        <v>6952</v>
      </c>
      <c r="D1726" t="s">
        <v>8358</v>
      </c>
      <c r="F1726">
        <v>1</v>
      </c>
      <c r="G1726">
        <v>0</v>
      </c>
      <c r="H1726">
        <v>0</v>
      </c>
      <c r="I1726" t="s">
        <v>2354</v>
      </c>
    </row>
    <row r="1727" spans="1:9" x14ac:dyDescent="0.25">
      <c r="A1727" t="s">
        <v>220</v>
      </c>
      <c r="B1727" t="s">
        <v>5430</v>
      </c>
      <c r="C1727" t="s">
        <v>4355</v>
      </c>
      <c r="D1727" t="s">
        <v>4356</v>
      </c>
      <c r="F1727">
        <v>7</v>
      </c>
      <c r="G1727">
        <v>3.8250000000000002</v>
      </c>
      <c r="H1727">
        <v>26.775000000000002</v>
      </c>
      <c r="I1727" t="s">
        <v>2354</v>
      </c>
    </row>
    <row r="1728" spans="1:9" x14ac:dyDescent="0.25">
      <c r="A1728" t="s">
        <v>220</v>
      </c>
      <c r="B1728" t="s">
        <v>5430</v>
      </c>
      <c r="C1728" t="s">
        <v>8359</v>
      </c>
      <c r="D1728" t="s">
        <v>8360</v>
      </c>
      <c r="F1728">
        <v>4</v>
      </c>
      <c r="G1728">
        <v>0</v>
      </c>
      <c r="H1728">
        <v>0</v>
      </c>
      <c r="I1728" t="s">
        <v>2354</v>
      </c>
    </row>
    <row r="1729" spans="1:9" x14ac:dyDescent="0.25">
      <c r="A1729" t="s">
        <v>220</v>
      </c>
      <c r="B1729" t="s">
        <v>5430</v>
      </c>
      <c r="C1729" t="s">
        <v>4391</v>
      </c>
      <c r="D1729" t="s">
        <v>8361</v>
      </c>
      <c r="F1729">
        <v>2</v>
      </c>
      <c r="G1729">
        <v>104.83199999999999</v>
      </c>
      <c r="H1729">
        <v>209.66399999999999</v>
      </c>
      <c r="I1729" t="s">
        <v>2354</v>
      </c>
    </row>
    <row r="1730" spans="1:9" x14ac:dyDescent="0.25">
      <c r="A1730" t="s">
        <v>220</v>
      </c>
      <c r="B1730" t="s">
        <v>5430</v>
      </c>
      <c r="C1730" t="s">
        <v>8362</v>
      </c>
      <c r="D1730" t="s">
        <v>8363</v>
      </c>
      <c r="F1730">
        <v>4</v>
      </c>
      <c r="G1730">
        <v>0</v>
      </c>
      <c r="H1730">
        <v>0</v>
      </c>
      <c r="I1730" t="s">
        <v>2354</v>
      </c>
    </row>
    <row r="1731" spans="1:9" x14ac:dyDescent="0.25">
      <c r="A1731" t="s">
        <v>220</v>
      </c>
      <c r="B1731" t="s">
        <v>5430</v>
      </c>
      <c r="C1731" t="s">
        <v>4401</v>
      </c>
      <c r="D1731" t="s">
        <v>8364</v>
      </c>
      <c r="F1731">
        <v>4</v>
      </c>
      <c r="G1731">
        <v>36</v>
      </c>
      <c r="H1731">
        <v>144</v>
      </c>
      <c r="I1731" t="s">
        <v>2354</v>
      </c>
    </row>
    <row r="1732" spans="1:9" x14ac:dyDescent="0.25">
      <c r="A1732" t="s">
        <v>220</v>
      </c>
      <c r="B1732" t="s">
        <v>5430</v>
      </c>
      <c r="C1732" t="s">
        <v>4407</v>
      </c>
      <c r="D1732" t="s">
        <v>4408</v>
      </c>
      <c r="F1732">
        <v>4</v>
      </c>
      <c r="G1732">
        <v>45.45</v>
      </c>
      <c r="H1732">
        <v>181.8</v>
      </c>
      <c r="I1732" t="s">
        <v>2354</v>
      </c>
    </row>
    <row r="1733" spans="1:9" x14ac:dyDescent="0.25">
      <c r="A1733" t="s">
        <v>220</v>
      </c>
      <c r="B1733" t="s">
        <v>5430</v>
      </c>
      <c r="C1733" t="s">
        <v>4415</v>
      </c>
      <c r="D1733" t="s">
        <v>4416</v>
      </c>
      <c r="F1733">
        <v>4</v>
      </c>
      <c r="G1733">
        <v>2.3380714285714284</v>
      </c>
      <c r="H1733">
        <v>9.3522857142857134</v>
      </c>
      <c r="I1733" t="s">
        <v>2354</v>
      </c>
    </row>
    <row r="1734" spans="1:9" x14ac:dyDescent="0.25">
      <c r="A1734" t="s">
        <v>220</v>
      </c>
      <c r="B1734" t="s">
        <v>5430</v>
      </c>
      <c r="C1734" t="s">
        <v>4421</v>
      </c>
      <c r="D1734" t="s">
        <v>4422</v>
      </c>
      <c r="F1734">
        <v>3</v>
      </c>
      <c r="G1734">
        <v>33.919199999999996</v>
      </c>
      <c r="H1734">
        <v>101.7576</v>
      </c>
      <c r="I1734" t="s">
        <v>2354</v>
      </c>
    </row>
    <row r="1735" spans="1:9" x14ac:dyDescent="0.25">
      <c r="A1735" t="s">
        <v>220</v>
      </c>
      <c r="B1735" t="s">
        <v>5430</v>
      </c>
      <c r="C1735" t="s">
        <v>6965</v>
      </c>
      <c r="D1735" t="s">
        <v>8365</v>
      </c>
      <c r="F1735">
        <v>1</v>
      </c>
      <c r="G1735">
        <v>0</v>
      </c>
      <c r="H1735">
        <v>0</v>
      </c>
      <c r="I1735" t="s">
        <v>2354</v>
      </c>
    </row>
    <row r="1736" spans="1:9" x14ac:dyDescent="0.25">
      <c r="A1736" t="s">
        <v>220</v>
      </c>
      <c r="B1736" t="s">
        <v>5430</v>
      </c>
      <c r="C1736" t="s">
        <v>6967</v>
      </c>
      <c r="D1736" t="s">
        <v>8366</v>
      </c>
      <c r="F1736">
        <v>2</v>
      </c>
      <c r="G1736">
        <v>0</v>
      </c>
      <c r="H1736">
        <v>0</v>
      </c>
      <c r="I1736" t="s">
        <v>2354</v>
      </c>
    </row>
    <row r="1737" spans="1:9" x14ac:dyDescent="0.25">
      <c r="A1737" t="s">
        <v>220</v>
      </c>
      <c r="B1737" t="s">
        <v>5430</v>
      </c>
      <c r="C1737" t="s">
        <v>6969</v>
      </c>
      <c r="D1737" t="s">
        <v>8367</v>
      </c>
      <c r="F1737">
        <v>1</v>
      </c>
      <c r="G1737">
        <v>0</v>
      </c>
      <c r="H1737">
        <v>0</v>
      </c>
      <c r="I1737" t="s">
        <v>2354</v>
      </c>
    </row>
    <row r="1738" spans="1:9" x14ac:dyDescent="0.25">
      <c r="A1738" t="s">
        <v>220</v>
      </c>
      <c r="B1738" t="s">
        <v>5430</v>
      </c>
      <c r="C1738" t="s">
        <v>6971</v>
      </c>
      <c r="D1738" t="s">
        <v>8368</v>
      </c>
      <c r="F1738">
        <v>10</v>
      </c>
      <c r="G1738">
        <v>7.021221052631577</v>
      </c>
      <c r="H1738">
        <v>70.212210526315772</v>
      </c>
      <c r="I1738" t="s">
        <v>2354</v>
      </c>
    </row>
    <row r="1739" spans="1:9" x14ac:dyDescent="0.25">
      <c r="A1739" t="s">
        <v>220</v>
      </c>
      <c r="B1739" t="s">
        <v>5430</v>
      </c>
      <c r="C1739" t="s">
        <v>8369</v>
      </c>
      <c r="D1739" t="s">
        <v>8370</v>
      </c>
      <c r="F1739">
        <v>29</v>
      </c>
      <c r="G1739">
        <v>1.1025</v>
      </c>
      <c r="H1739">
        <v>31.9725</v>
      </c>
      <c r="I1739" t="s">
        <v>2354</v>
      </c>
    </row>
    <row r="1740" spans="1:9" x14ac:dyDescent="0.25">
      <c r="A1740" t="s">
        <v>220</v>
      </c>
      <c r="B1740" t="s">
        <v>5430</v>
      </c>
      <c r="C1740" t="s">
        <v>4434</v>
      </c>
      <c r="D1740" t="s">
        <v>8371</v>
      </c>
      <c r="F1740">
        <v>4</v>
      </c>
      <c r="G1740">
        <v>49.5</v>
      </c>
      <c r="H1740">
        <v>198</v>
      </c>
      <c r="I1740" t="s">
        <v>2354</v>
      </c>
    </row>
    <row r="1741" spans="1:9" x14ac:dyDescent="0.25">
      <c r="A1741" t="s">
        <v>220</v>
      </c>
      <c r="B1741" t="s">
        <v>5430</v>
      </c>
      <c r="C1741" t="s">
        <v>6974</v>
      </c>
      <c r="D1741" t="s">
        <v>8372</v>
      </c>
      <c r="F1741">
        <v>1</v>
      </c>
      <c r="G1741">
        <v>20.257575757575758</v>
      </c>
      <c r="H1741">
        <v>20.257575757575758</v>
      </c>
      <c r="I1741" t="s">
        <v>2354</v>
      </c>
    </row>
    <row r="1742" spans="1:9" x14ac:dyDescent="0.25">
      <c r="A1742" t="s">
        <v>220</v>
      </c>
      <c r="B1742" t="s">
        <v>5430</v>
      </c>
      <c r="C1742" t="s">
        <v>8373</v>
      </c>
      <c r="D1742" t="s">
        <v>8374</v>
      </c>
      <c r="F1742">
        <v>1</v>
      </c>
      <c r="G1742">
        <v>157.45500000000001</v>
      </c>
      <c r="H1742">
        <v>157.45500000000001</v>
      </c>
      <c r="I1742" t="s">
        <v>2354</v>
      </c>
    </row>
    <row r="1743" spans="1:9" x14ac:dyDescent="0.25">
      <c r="A1743" t="s">
        <v>220</v>
      </c>
      <c r="B1743" t="s">
        <v>5430</v>
      </c>
      <c r="C1743" t="s">
        <v>6977</v>
      </c>
      <c r="D1743" t="s">
        <v>8375</v>
      </c>
      <c r="F1743">
        <v>1</v>
      </c>
      <c r="G1743">
        <v>6.806</v>
      </c>
      <c r="H1743">
        <v>6.806</v>
      </c>
      <c r="I1743" t="s">
        <v>2354</v>
      </c>
    </row>
    <row r="1744" spans="1:9" x14ac:dyDescent="0.25">
      <c r="A1744" t="s">
        <v>220</v>
      </c>
      <c r="B1744" t="s">
        <v>5430</v>
      </c>
      <c r="C1744" t="s">
        <v>6979</v>
      </c>
      <c r="D1744" t="s">
        <v>8376</v>
      </c>
      <c r="F1744">
        <v>1</v>
      </c>
      <c r="G1744">
        <v>171</v>
      </c>
      <c r="H1744">
        <v>171</v>
      </c>
      <c r="I1744" t="s">
        <v>2354</v>
      </c>
    </row>
    <row r="1745" spans="1:9" x14ac:dyDescent="0.25">
      <c r="A1745" t="s">
        <v>220</v>
      </c>
      <c r="B1745" t="s">
        <v>5430</v>
      </c>
      <c r="C1745" t="s">
        <v>6981</v>
      </c>
      <c r="D1745" t="s">
        <v>8377</v>
      </c>
      <c r="F1745">
        <v>2</v>
      </c>
      <c r="G1745">
        <v>133.6387</v>
      </c>
      <c r="H1745">
        <v>267.2774</v>
      </c>
      <c r="I1745" t="s">
        <v>2354</v>
      </c>
    </row>
    <row r="1746" spans="1:9" x14ac:dyDescent="0.25">
      <c r="A1746" t="s">
        <v>220</v>
      </c>
      <c r="B1746" t="s">
        <v>5430</v>
      </c>
      <c r="C1746" t="s">
        <v>4379</v>
      </c>
      <c r="D1746" t="s">
        <v>8378</v>
      </c>
      <c r="F1746">
        <v>16</v>
      </c>
      <c r="G1746">
        <v>8.2176739999999988</v>
      </c>
      <c r="H1746">
        <v>131.48278399999998</v>
      </c>
      <c r="I1746" t="s">
        <v>2354</v>
      </c>
    </row>
    <row r="1747" spans="1:9" x14ac:dyDescent="0.25">
      <c r="A1747" t="s">
        <v>220</v>
      </c>
      <c r="B1747" t="s">
        <v>5430</v>
      </c>
      <c r="C1747" t="s">
        <v>6983</v>
      </c>
      <c r="D1747" t="s">
        <v>8379</v>
      </c>
      <c r="F1747">
        <v>2</v>
      </c>
      <c r="G1747">
        <v>124.97295</v>
      </c>
      <c r="H1747">
        <v>249.94589999999999</v>
      </c>
      <c r="I1747" t="s">
        <v>2354</v>
      </c>
    </row>
    <row r="1748" spans="1:9" x14ac:dyDescent="0.25">
      <c r="A1748" t="s">
        <v>220</v>
      </c>
      <c r="B1748" t="s">
        <v>5430</v>
      </c>
      <c r="C1748" t="s">
        <v>8380</v>
      </c>
      <c r="D1748" t="s">
        <v>8381</v>
      </c>
      <c r="F1748">
        <v>1</v>
      </c>
      <c r="G1748">
        <v>0</v>
      </c>
      <c r="H1748">
        <v>0</v>
      </c>
      <c r="I1748" t="s">
        <v>2354</v>
      </c>
    </row>
    <row r="1749" spans="1:9" x14ac:dyDescent="0.25">
      <c r="A1749" t="s">
        <v>220</v>
      </c>
      <c r="B1749" t="s">
        <v>5430</v>
      </c>
      <c r="C1749" t="s">
        <v>4492</v>
      </c>
      <c r="D1749" t="s">
        <v>8382</v>
      </c>
      <c r="F1749">
        <v>1</v>
      </c>
      <c r="G1749">
        <v>12.4</v>
      </c>
      <c r="H1749">
        <v>12.4</v>
      </c>
      <c r="I1749" t="s">
        <v>2354</v>
      </c>
    </row>
    <row r="1750" spans="1:9" x14ac:dyDescent="0.25">
      <c r="A1750" t="s">
        <v>220</v>
      </c>
      <c r="B1750" t="s">
        <v>5430</v>
      </c>
      <c r="C1750" t="s">
        <v>4494</v>
      </c>
      <c r="D1750" t="s">
        <v>8383</v>
      </c>
      <c r="F1750">
        <v>20</v>
      </c>
      <c r="G1750">
        <v>12.4</v>
      </c>
      <c r="H1750">
        <v>248</v>
      </c>
      <c r="I1750" t="s">
        <v>2354</v>
      </c>
    </row>
    <row r="1751" spans="1:9" x14ac:dyDescent="0.25">
      <c r="A1751" t="s">
        <v>220</v>
      </c>
      <c r="B1751" t="s">
        <v>5430</v>
      </c>
      <c r="C1751" t="s">
        <v>6988</v>
      </c>
      <c r="D1751" t="s">
        <v>6989</v>
      </c>
      <c r="F1751">
        <v>2</v>
      </c>
      <c r="G1751">
        <v>10.03888888888889</v>
      </c>
      <c r="H1751">
        <v>20.077777777777779</v>
      </c>
      <c r="I1751" t="s">
        <v>2354</v>
      </c>
    </row>
    <row r="1752" spans="1:9" x14ac:dyDescent="0.25">
      <c r="A1752" t="s">
        <v>220</v>
      </c>
      <c r="B1752" t="s">
        <v>5430</v>
      </c>
      <c r="C1752" t="s">
        <v>4001</v>
      </c>
      <c r="D1752" t="s">
        <v>8384</v>
      </c>
      <c r="F1752">
        <v>8</v>
      </c>
      <c r="G1752">
        <v>13.5</v>
      </c>
      <c r="H1752">
        <v>108</v>
      </c>
      <c r="I1752" t="s">
        <v>2354</v>
      </c>
    </row>
    <row r="1753" spans="1:9" x14ac:dyDescent="0.25">
      <c r="A1753" t="s">
        <v>220</v>
      </c>
      <c r="B1753" t="s">
        <v>5430</v>
      </c>
      <c r="C1753" t="s">
        <v>6990</v>
      </c>
      <c r="D1753" t="s">
        <v>8385</v>
      </c>
      <c r="F1753">
        <v>1</v>
      </c>
      <c r="G1753">
        <v>32.340000000000003</v>
      </c>
      <c r="H1753">
        <v>32.340000000000003</v>
      </c>
      <c r="I1753" t="s">
        <v>2354</v>
      </c>
    </row>
    <row r="1754" spans="1:9" x14ac:dyDescent="0.25">
      <c r="A1754" t="s">
        <v>220</v>
      </c>
      <c r="B1754" t="s">
        <v>5430</v>
      </c>
      <c r="C1754" t="s">
        <v>8386</v>
      </c>
      <c r="D1754" t="s">
        <v>6993</v>
      </c>
      <c r="F1754">
        <v>20</v>
      </c>
      <c r="G1754">
        <v>0</v>
      </c>
      <c r="H1754">
        <v>0</v>
      </c>
      <c r="I1754" t="s">
        <v>2354</v>
      </c>
    </row>
    <row r="1755" spans="1:9" x14ac:dyDescent="0.25">
      <c r="A1755" t="s">
        <v>220</v>
      </c>
      <c r="B1755" t="s">
        <v>5430</v>
      </c>
      <c r="C1755" t="s">
        <v>4508</v>
      </c>
      <c r="D1755" t="s">
        <v>8387</v>
      </c>
      <c r="F1755">
        <v>10</v>
      </c>
      <c r="G1755">
        <v>18.416368421052635</v>
      </c>
      <c r="H1755">
        <v>184.16368421052636</v>
      </c>
      <c r="I1755" t="s">
        <v>2354</v>
      </c>
    </row>
    <row r="1756" spans="1:9" x14ac:dyDescent="0.25">
      <c r="A1756" t="s">
        <v>220</v>
      </c>
      <c r="B1756" t="s">
        <v>5430</v>
      </c>
      <c r="C1756" t="s">
        <v>6994</v>
      </c>
      <c r="D1756" t="s">
        <v>8388</v>
      </c>
      <c r="F1756">
        <v>1</v>
      </c>
      <c r="G1756">
        <v>86.95</v>
      </c>
      <c r="H1756">
        <v>86.95</v>
      </c>
      <c r="I1756" t="s">
        <v>2354</v>
      </c>
    </row>
    <row r="1757" spans="1:9" x14ac:dyDescent="0.25">
      <c r="A1757" t="s">
        <v>220</v>
      </c>
      <c r="B1757" t="s">
        <v>5430</v>
      </c>
      <c r="C1757" t="s">
        <v>6996</v>
      </c>
      <c r="D1757" t="s">
        <v>6997</v>
      </c>
      <c r="F1757">
        <v>7</v>
      </c>
      <c r="G1757">
        <v>55.321599999999997</v>
      </c>
      <c r="H1757">
        <v>387.25119999999998</v>
      </c>
      <c r="I1757" t="s">
        <v>2354</v>
      </c>
    </row>
    <row r="1758" spans="1:9" x14ac:dyDescent="0.25">
      <c r="A1758" t="s">
        <v>220</v>
      </c>
      <c r="B1758" t="s">
        <v>5430</v>
      </c>
      <c r="C1758" t="s">
        <v>6998</v>
      </c>
      <c r="D1758" t="s">
        <v>6999</v>
      </c>
      <c r="F1758">
        <v>4</v>
      </c>
      <c r="G1758">
        <v>102</v>
      </c>
      <c r="H1758">
        <v>408</v>
      </c>
      <c r="I1758" t="s">
        <v>2354</v>
      </c>
    </row>
    <row r="1759" spans="1:9" x14ac:dyDescent="0.25">
      <c r="A1759" t="s">
        <v>220</v>
      </c>
      <c r="B1759" t="s">
        <v>5430</v>
      </c>
      <c r="C1759" t="s">
        <v>7000</v>
      </c>
      <c r="D1759" t="s">
        <v>8389</v>
      </c>
      <c r="F1759">
        <v>10</v>
      </c>
      <c r="G1759">
        <v>41.704999999999998</v>
      </c>
      <c r="H1759">
        <v>417.04999999999995</v>
      </c>
      <c r="I1759" t="s">
        <v>2354</v>
      </c>
    </row>
    <row r="1760" spans="1:9" x14ac:dyDescent="0.25">
      <c r="A1760" t="s">
        <v>220</v>
      </c>
      <c r="B1760" t="s">
        <v>5430</v>
      </c>
      <c r="C1760" t="s">
        <v>7006</v>
      </c>
      <c r="D1760" t="s">
        <v>8390</v>
      </c>
      <c r="F1760">
        <v>2</v>
      </c>
      <c r="G1760">
        <v>41.814</v>
      </c>
      <c r="H1760">
        <v>83.628</v>
      </c>
      <c r="I1760" t="s">
        <v>2354</v>
      </c>
    </row>
    <row r="1761" spans="1:9" x14ac:dyDescent="0.25">
      <c r="A1761" t="s">
        <v>220</v>
      </c>
      <c r="B1761" t="s">
        <v>5430</v>
      </c>
      <c r="C1761" t="s">
        <v>7014</v>
      </c>
      <c r="D1761" t="s">
        <v>8391</v>
      </c>
      <c r="F1761">
        <v>2</v>
      </c>
      <c r="G1761">
        <v>3.85</v>
      </c>
      <c r="H1761">
        <v>7.7</v>
      </c>
      <c r="I1761" t="s">
        <v>2354</v>
      </c>
    </row>
    <row r="1762" spans="1:9" x14ac:dyDescent="0.25">
      <c r="A1762" t="s">
        <v>220</v>
      </c>
      <c r="B1762" t="s">
        <v>5430</v>
      </c>
      <c r="C1762" t="s">
        <v>8392</v>
      </c>
      <c r="D1762" t="s">
        <v>4529</v>
      </c>
      <c r="F1762">
        <v>3</v>
      </c>
      <c r="G1762">
        <v>92.860799999999998</v>
      </c>
      <c r="H1762">
        <v>278.58240000000001</v>
      </c>
      <c r="I1762" t="s">
        <v>2354</v>
      </c>
    </row>
    <row r="1763" spans="1:9" x14ac:dyDescent="0.25">
      <c r="A1763" t="s">
        <v>220</v>
      </c>
      <c r="B1763" t="s">
        <v>5430</v>
      </c>
      <c r="C1763" t="s">
        <v>8393</v>
      </c>
      <c r="D1763" t="s">
        <v>4531</v>
      </c>
      <c r="F1763">
        <v>14</v>
      </c>
      <c r="G1763">
        <v>11.583</v>
      </c>
      <c r="H1763">
        <v>162.16200000000001</v>
      </c>
      <c r="I1763" t="s">
        <v>2354</v>
      </c>
    </row>
    <row r="1764" spans="1:9" x14ac:dyDescent="0.25">
      <c r="A1764" t="s">
        <v>220</v>
      </c>
      <c r="B1764" t="s">
        <v>5430</v>
      </c>
      <c r="C1764" t="s">
        <v>8394</v>
      </c>
      <c r="D1764" t="s">
        <v>4533</v>
      </c>
      <c r="F1764">
        <v>4</v>
      </c>
      <c r="G1764">
        <v>51.488999999999997</v>
      </c>
      <c r="H1764">
        <v>205.95599999999999</v>
      </c>
      <c r="I1764" t="s">
        <v>2354</v>
      </c>
    </row>
    <row r="1765" spans="1:9" x14ac:dyDescent="0.25">
      <c r="A1765" t="s">
        <v>220</v>
      </c>
      <c r="B1765" t="s">
        <v>5430</v>
      </c>
      <c r="C1765" t="s">
        <v>7020</v>
      </c>
      <c r="D1765" t="s">
        <v>8395</v>
      </c>
      <c r="F1765">
        <v>22</v>
      </c>
      <c r="G1765">
        <v>9.8103999999999996</v>
      </c>
      <c r="H1765">
        <v>215.8288</v>
      </c>
      <c r="I1765" t="s">
        <v>2354</v>
      </c>
    </row>
    <row r="1766" spans="1:9" x14ac:dyDescent="0.25">
      <c r="A1766" t="s">
        <v>220</v>
      </c>
      <c r="B1766" t="s">
        <v>5430</v>
      </c>
      <c r="C1766" t="s">
        <v>4550</v>
      </c>
      <c r="D1766" t="s">
        <v>8396</v>
      </c>
      <c r="F1766">
        <v>8</v>
      </c>
      <c r="G1766">
        <v>11.237</v>
      </c>
      <c r="H1766">
        <v>89.896000000000001</v>
      </c>
      <c r="I1766" t="s">
        <v>2354</v>
      </c>
    </row>
    <row r="1767" spans="1:9" x14ac:dyDescent="0.25">
      <c r="A1767" t="s">
        <v>220</v>
      </c>
      <c r="B1767" t="s">
        <v>5430</v>
      </c>
      <c r="C1767" t="s">
        <v>4552</v>
      </c>
      <c r="D1767" t="s">
        <v>4553</v>
      </c>
      <c r="F1767">
        <v>19</v>
      </c>
      <c r="G1767">
        <v>1.165</v>
      </c>
      <c r="H1767">
        <v>22.135000000000002</v>
      </c>
      <c r="I1767" t="s">
        <v>2354</v>
      </c>
    </row>
    <row r="1768" spans="1:9" x14ac:dyDescent="0.25">
      <c r="A1768" t="s">
        <v>220</v>
      </c>
      <c r="B1768" t="s">
        <v>5430</v>
      </c>
      <c r="C1768" t="s">
        <v>4554</v>
      </c>
      <c r="D1768" t="s">
        <v>8397</v>
      </c>
      <c r="F1768">
        <v>10</v>
      </c>
      <c r="G1768">
        <v>11.423999999999999</v>
      </c>
      <c r="H1768">
        <v>114.24</v>
      </c>
      <c r="I1768" t="s">
        <v>2354</v>
      </c>
    </row>
    <row r="1769" spans="1:9" x14ac:dyDescent="0.25">
      <c r="A1769" t="s">
        <v>220</v>
      </c>
      <c r="B1769" t="s">
        <v>5430</v>
      </c>
      <c r="C1769" t="s">
        <v>4556</v>
      </c>
      <c r="D1769" t="s">
        <v>4557</v>
      </c>
      <c r="F1769">
        <v>2</v>
      </c>
      <c r="G1769">
        <v>22.429345098039217</v>
      </c>
      <c r="H1769">
        <v>44.858690196078435</v>
      </c>
      <c r="I1769" t="s">
        <v>2354</v>
      </c>
    </row>
    <row r="1770" spans="1:9" x14ac:dyDescent="0.25">
      <c r="A1770" t="s">
        <v>220</v>
      </c>
      <c r="B1770" t="s">
        <v>5430</v>
      </c>
      <c r="C1770" t="s">
        <v>7051</v>
      </c>
      <c r="D1770" t="s">
        <v>8398</v>
      </c>
      <c r="F1770">
        <v>3</v>
      </c>
      <c r="G1770">
        <v>34.305660000000003</v>
      </c>
      <c r="H1770">
        <v>102.91698000000001</v>
      </c>
      <c r="I1770" t="s">
        <v>2354</v>
      </c>
    </row>
    <row r="1771" spans="1:9" x14ac:dyDescent="0.25">
      <c r="A1771" t="s">
        <v>220</v>
      </c>
      <c r="B1771" t="s">
        <v>5430</v>
      </c>
      <c r="C1771" t="s">
        <v>7053</v>
      </c>
      <c r="D1771" t="s">
        <v>8399</v>
      </c>
      <c r="F1771">
        <v>5</v>
      </c>
      <c r="G1771">
        <v>34.305660000000003</v>
      </c>
      <c r="H1771">
        <v>171.5283</v>
      </c>
      <c r="I1771" t="s">
        <v>2354</v>
      </c>
    </row>
    <row r="1772" spans="1:9" x14ac:dyDescent="0.25">
      <c r="A1772" t="s">
        <v>220</v>
      </c>
      <c r="B1772" t="s">
        <v>5430</v>
      </c>
      <c r="C1772" t="s">
        <v>4560</v>
      </c>
      <c r="D1772" t="s">
        <v>8400</v>
      </c>
      <c r="F1772">
        <v>6</v>
      </c>
      <c r="G1772">
        <v>7.3049999999999997</v>
      </c>
      <c r="H1772">
        <v>43.83</v>
      </c>
      <c r="I1772" t="s">
        <v>2354</v>
      </c>
    </row>
    <row r="1773" spans="1:9" x14ac:dyDescent="0.25">
      <c r="A1773" t="s">
        <v>220</v>
      </c>
      <c r="B1773" t="s">
        <v>5430</v>
      </c>
      <c r="C1773" t="s">
        <v>7021</v>
      </c>
      <c r="D1773" t="s">
        <v>8401</v>
      </c>
      <c r="F1773">
        <v>2</v>
      </c>
      <c r="G1773">
        <v>19.085989999999999</v>
      </c>
      <c r="H1773">
        <v>38.171979999999998</v>
      </c>
      <c r="I1773" t="s">
        <v>2354</v>
      </c>
    </row>
    <row r="1774" spans="1:9" x14ac:dyDescent="0.25">
      <c r="A1774" t="s">
        <v>220</v>
      </c>
      <c r="B1774" t="s">
        <v>5430</v>
      </c>
      <c r="C1774" t="s">
        <v>8402</v>
      </c>
      <c r="D1774" t="s">
        <v>8403</v>
      </c>
      <c r="F1774">
        <v>2</v>
      </c>
      <c r="G1774">
        <v>11.183999999999999</v>
      </c>
      <c r="H1774">
        <v>22.367999999999999</v>
      </c>
      <c r="I1774" t="s">
        <v>2354</v>
      </c>
    </row>
    <row r="1775" spans="1:9" x14ac:dyDescent="0.25">
      <c r="A1775" t="s">
        <v>220</v>
      </c>
      <c r="B1775" t="s">
        <v>5430</v>
      </c>
      <c r="C1775" t="s">
        <v>7025</v>
      </c>
      <c r="D1775" t="s">
        <v>8404</v>
      </c>
      <c r="F1775">
        <v>1</v>
      </c>
      <c r="G1775">
        <v>39.695999999999998</v>
      </c>
      <c r="H1775">
        <v>39.695999999999998</v>
      </c>
      <c r="I1775" t="s">
        <v>2354</v>
      </c>
    </row>
    <row r="1776" spans="1:9" x14ac:dyDescent="0.25">
      <c r="A1776" t="s">
        <v>220</v>
      </c>
      <c r="B1776" t="s">
        <v>5430</v>
      </c>
      <c r="C1776" t="s">
        <v>7027</v>
      </c>
      <c r="D1776" t="s">
        <v>8405</v>
      </c>
      <c r="F1776">
        <v>1</v>
      </c>
      <c r="G1776">
        <v>33.25</v>
      </c>
      <c r="H1776">
        <v>33.25</v>
      </c>
      <c r="I1776" t="s">
        <v>2354</v>
      </c>
    </row>
    <row r="1777" spans="1:9" x14ac:dyDescent="0.25">
      <c r="A1777" t="s">
        <v>220</v>
      </c>
      <c r="B1777" t="s">
        <v>5430</v>
      </c>
      <c r="C1777" t="s">
        <v>7029</v>
      </c>
      <c r="D1777" t="s">
        <v>8406</v>
      </c>
      <c r="F1777">
        <v>50</v>
      </c>
      <c r="G1777">
        <v>1.2</v>
      </c>
      <c r="H1777">
        <v>60</v>
      </c>
      <c r="I1777" t="s">
        <v>2354</v>
      </c>
    </row>
    <row r="1778" spans="1:9" x14ac:dyDescent="0.25">
      <c r="A1778" t="s">
        <v>220</v>
      </c>
      <c r="B1778" t="s">
        <v>5430</v>
      </c>
      <c r="C1778" t="s">
        <v>7031</v>
      </c>
      <c r="D1778" t="s">
        <v>8407</v>
      </c>
      <c r="F1778">
        <v>3</v>
      </c>
      <c r="G1778">
        <v>20.16</v>
      </c>
      <c r="H1778">
        <v>60.480000000000004</v>
      </c>
      <c r="I1778" t="s">
        <v>2354</v>
      </c>
    </row>
    <row r="1779" spans="1:9" x14ac:dyDescent="0.25">
      <c r="A1779" t="s">
        <v>220</v>
      </c>
      <c r="B1779" t="s">
        <v>5430</v>
      </c>
      <c r="C1779" t="s">
        <v>7033</v>
      </c>
      <c r="D1779" t="s">
        <v>8408</v>
      </c>
      <c r="F1779">
        <v>3</v>
      </c>
      <c r="G1779">
        <v>20.16</v>
      </c>
      <c r="H1779">
        <v>60.480000000000004</v>
      </c>
      <c r="I1779" t="s">
        <v>2354</v>
      </c>
    </row>
    <row r="1780" spans="1:9" x14ac:dyDescent="0.25">
      <c r="A1780" t="s">
        <v>220</v>
      </c>
      <c r="B1780" t="s">
        <v>5430</v>
      </c>
      <c r="C1780" t="s">
        <v>7043</v>
      </c>
      <c r="D1780" t="s">
        <v>8409</v>
      </c>
      <c r="F1780">
        <v>1</v>
      </c>
      <c r="G1780">
        <v>93.05</v>
      </c>
      <c r="H1780">
        <v>93.05</v>
      </c>
      <c r="I1780" t="s">
        <v>2354</v>
      </c>
    </row>
    <row r="1781" spans="1:9" x14ac:dyDescent="0.25">
      <c r="A1781" t="s">
        <v>220</v>
      </c>
      <c r="B1781" t="s">
        <v>5430</v>
      </c>
      <c r="C1781" t="s">
        <v>7045</v>
      </c>
      <c r="D1781" t="s">
        <v>8410</v>
      </c>
      <c r="F1781">
        <v>1</v>
      </c>
      <c r="G1781">
        <v>233.381</v>
      </c>
      <c r="H1781">
        <v>233.381</v>
      </c>
      <c r="I1781" t="s">
        <v>2354</v>
      </c>
    </row>
    <row r="1782" spans="1:9" x14ac:dyDescent="0.25">
      <c r="A1782" t="s">
        <v>220</v>
      </c>
      <c r="B1782" t="s">
        <v>5430</v>
      </c>
      <c r="C1782" t="s">
        <v>7047</v>
      </c>
      <c r="D1782" t="s">
        <v>8411</v>
      </c>
      <c r="F1782">
        <v>10</v>
      </c>
      <c r="G1782">
        <v>9.7656500000000008</v>
      </c>
      <c r="H1782">
        <v>97.656500000000008</v>
      </c>
      <c r="I1782" t="s">
        <v>2354</v>
      </c>
    </row>
    <row r="1783" spans="1:9" x14ac:dyDescent="0.25">
      <c r="A1783" t="s">
        <v>220</v>
      </c>
      <c r="B1783" t="s">
        <v>5430</v>
      </c>
      <c r="C1783" t="s">
        <v>7051</v>
      </c>
      <c r="D1783" t="s">
        <v>8412</v>
      </c>
      <c r="F1783">
        <v>5</v>
      </c>
      <c r="G1783">
        <v>34.305660000000003</v>
      </c>
      <c r="H1783">
        <v>171.5283</v>
      </c>
      <c r="I1783" t="s">
        <v>2354</v>
      </c>
    </row>
    <row r="1784" spans="1:9" x14ac:dyDescent="0.25">
      <c r="A1784" t="s">
        <v>220</v>
      </c>
      <c r="B1784" t="s">
        <v>5430</v>
      </c>
      <c r="C1784" t="s">
        <v>7053</v>
      </c>
      <c r="D1784" t="s">
        <v>8413</v>
      </c>
      <c r="F1784">
        <v>7</v>
      </c>
      <c r="G1784">
        <v>34.305660000000003</v>
      </c>
      <c r="H1784">
        <v>240.13962000000004</v>
      </c>
      <c r="I1784" t="s">
        <v>2354</v>
      </c>
    </row>
    <row r="1785" spans="1:9" x14ac:dyDescent="0.25">
      <c r="A1785" t="s">
        <v>220</v>
      </c>
      <c r="B1785" t="s">
        <v>5430</v>
      </c>
      <c r="C1785" t="s">
        <v>7055</v>
      </c>
      <c r="D1785" t="s">
        <v>8414</v>
      </c>
      <c r="F1785">
        <v>1</v>
      </c>
      <c r="G1785">
        <v>284</v>
      </c>
      <c r="H1785">
        <v>284</v>
      </c>
      <c r="I1785" t="s">
        <v>2354</v>
      </c>
    </row>
    <row r="1786" spans="1:9" x14ac:dyDescent="0.25">
      <c r="A1786" t="s">
        <v>220</v>
      </c>
      <c r="B1786" t="s">
        <v>5430</v>
      </c>
      <c r="C1786" t="s">
        <v>7057</v>
      </c>
      <c r="D1786" t="s">
        <v>8415</v>
      </c>
      <c r="F1786">
        <v>15</v>
      </c>
      <c r="G1786">
        <v>9.0818999999999992</v>
      </c>
      <c r="H1786">
        <v>136.2285</v>
      </c>
      <c r="I1786" t="s">
        <v>2354</v>
      </c>
    </row>
    <row r="1787" spans="1:9" x14ac:dyDescent="0.25">
      <c r="A1787" t="s">
        <v>220</v>
      </c>
      <c r="B1787" t="s">
        <v>5430</v>
      </c>
      <c r="C1787" t="s">
        <v>7067</v>
      </c>
      <c r="D1787" t="s">
        <v>8416</v>
      </c>
      <c r="F1787">
        <v>1</v>
      </c>
      <c r="G1787">
        <v>1089.5</v>
      </c>
      <c r="H1787">
        <v>1089.5</v>
      </c>
      <c r="I1787" t="s">
        <v>2354</v>
      </c>
    </row>
    <row r="1788" spans="1:9" x14ac:dyDescent="0.25">
      <c r="A1788" t="s">
        <v>220</v>
      </c>
      <c r="B1788" t="s">
        <v>5430</v>
      </c>
      <c r="C1788" t="s">
        <v>7069</v>
      </c>
      <c r="D1788" t="s">
        <v>8417</v>
      </c>
      <c r="F1788">
        <v>1</v>
      </c>
      <c r="G1788">
        <v>365.5</v>
      </c>
      <c r="H1788">
        <v>365.5</v>
      </c>
      <c r="I1788" t="s">
        <v>2354</v>
      </c>
    </row>
    <row r="1789" spans="1:9" x14ac:dyDescent="0.25">
      <c r="A1789" t="s">
        <v>220</v>
      </c>
      <c r="B1789" t="s">
        <v>5430</v>
      </c>
      <c r="C1789" t="s">
        <v>7071</v>
      </c>
      <c r="D1789" t="s">
        <v>8418</v>
      </c>
      <c r="F1789">
        <v>1</v>
      </c>
      <c r="G1789">
        <v>833.5</v>
      </c>
      <c r="H1789">
        <v>833.5</v>
      </c>
      <c r="I1789" t="s">
        <v>2354</v>
      </c>
    </row>
    <row r="1790" spans="1:9" x14ac:dyDescent="0.25">
      <c r="A1790" t="s">
        <v>220</v>
      </c>
      <c r="B1790" t="s">
        <v>5430</v>
      </c>
      <c r="C1790" t="s">
        <v>7073</v>
      </c>
      <c r="D1790" t="s">
        <v>8419</v>
      </c>
      <c r="F1790">
        <v>1</v>
      </c>
      <c r="G1790">
        <v>667.68</v>
      </c>
      <c r="H1790">
        <v>667.68</v>
      </c>
      <c r="I1790" t="s">
        <v>2354</v>
      </c>
    </row>
    <row r="1791" spans="1:9" x14ac:dyDescent="0.25">
      <c r="A1791" t="s">
        <v>220</v>
      </c>
      <c r="B1791" t="s">
        <v>5430</v>
      </c>
      <c r="C1791" t="s">
        <v>7075</v>
      </c>
      <c r="D1791" t="s">
        <v>7076</v>
      </c>
      <c r="F1791">
        <v>4</v>
      </c>
      <c r="G1791">
        <v>24.48</v>
      </c>
      <c r="H1791">
        <v>97.92</v>
      </c>
      <c r="I1791" t="s">
        <v>2354</v>
      </c>
    </row>
    <row r="1792" spans="1:9" x14ac:dyDescent="0.25">
      <c r="A1792" t="s">
        <v>220</v>
      </c>
      <c r="B1792" t="s">
        <v>5430</v>
      </c>
      <c r="C1792" t="s">
        <v>8420</v>
      </c>
      <c r="D1792" t="s">
        <v>8421</v>
      </c>
      <c r="F1792">
        <v>4</v>
      </c>
      <c r="G1792">
        <v>0</v>
      </c>
      <c r="H1792">
        <v>0</v>
      </c>
      <c r="I1792" t="s">
        <v>2354</v>
      </c>
    </row>
    <row r="1793" spans="1:9" x14ac:dyDescent="0.25">
      <c r="A1793" t="s">
        <v>220</v>
      </c>
      <c r="B1793" t="s">
        <v>5430</v>
      </c>
      <c r="C1793" t="s">
        <v>7079</v>
      </c>
      <c r="D1793" t="s">
        <v>8422</v>
      </c>
      <c r="F1793">
        <v>3</v>
      </c>
      <c r="G1793">
        <v>24.40062857142857</v>
      </c>
      <c r="H1793">
        <v>73.201885714285709</v>
      </c>
      <c r="I1793" t="s">
        <v>2354</v>
      </c>
    </row>
    <row r="1794" spans="1:9" x14ac:dyDescent="0.25">
      <c r="A1794" t="s">
        <v>220</v>
      </c>
      <c r="B1794" t="s">
        <v>5430</v>
      </c>
      <c r="C1794" t="s">
        <v>7083</v>
      </c>
      <c r="D1794" t="s">
        <v>8423</v>
      </c>
      <c r="F1794">
        <v>16</v>
      </c>
      <c r="G1794">
        <v>16.664999999999999</v>
      </c>
      <c r="H1794">
        <v>266.64</v>
      </c>
      <c r="I1794" t="s">
        <v>2354</v>
      </c>
    </row>
    <row r="1795" spans="1:9" x14ac:dyDescent="0.25">
      <c r="A1795" t="s">
        <v>220</v>
      </c>
      <c r="B1795" t="s">
        <v>5430</v>
      </c>
      <c r="C1795" t="s">
        <v>7091</v>
      </c>
      <c r="D1795" t="s">
        <v>8424</v>
      </c>
      <c r="F1795">
        <v>2</v>
      </c>
      <c r="G1795">
        <v>27.785699999999999</v>
      </c>
      <c r="H1795">
        <v>55.571399999999997</v>
      </c>
      <c r="I1795" t="s">
        <v>2354</v>
      </c>
    </row>
    <row r="1796" spans="1:9" x14ac:dyDescent="0.25">
      <c r="A1796" t="s">
        <v>220</v>
      </c>
      <c r="B1796" t="s">
        <v>5430</v>
      </c>
      <c r="C1796" t="s">
        <v>7093</v>
      </c>
      <c r="D1796" t="s">
        <v>7094</v>
      </c>
      <c r="F1796">
        <v>1</v>
      </c>
      <c r="G1796">
        <v>7.6959</v>
      </c>
      <c r="H1796">
        <v>7.6959</v>
      </c>
      <c r="I1796" t="s">
        <v>2354</v>
      </c>
    </row>
    <row r="1797" spans="1:9" x14ac:dyDescent="0.25">
      <c r="A1797" t="s">
        <v>220</v>
      </c>
      <c r="B1797" t="s">
        <v>5430</v>
      </c>
      <c r="C1797" t="s">
        <v>8425</v>
      </c>
      <c r="D1797" t="s">
        <v>8426</v>
      </c>
      <c r="F1797">
        <v>0.5</v>
      </c>
      <c r="G1797">
        <v>0</v>
      </c>
      <c r="H1797">
        <v>0</v>
      </c>
      <c r="I1797" t="s">
        <v>2354</v>
      </c>
    </row>
    <row r="1798" spans="1:9" x14ac:dyDescent="0.25">
      <c r="A1798" t="s">
        <v>220</v>
      </c>
      <c r="B1798" t="s">
        <v>5430</v>
      </c>
      <c r="C1798" t="s">
        <v>7129</v>
      </c>
      <c r="D1798" t="s">
        <v>8427</v>
      </c>
      <c r="F1798">
        <v>44</v>
      </c>
      <c r="G1798">
        <v>6.2620000000000005</v>
      </c>
      <c r="H1798">
        <v>275.52800000000002</v>
      </c>
      <c r="I1798" t="s">
        <v>2354</v>
      </c>
    </row>
    <row r="1799" spans="1:9" x14ac:dyDescent="0.25">
      <c r="A1799" t="s">
        <v>220</v>
      </c>
      <c r="B1799" t="s">
        <v>5430</v>
      </c>
      <c r="C1799" t="s">
        <v>7131</v>
      </c>
      <c r="D1799" t="s">
        <v>8428</v>
      </c>
      <c r="F1799">
        <v>8</v>
      </c>
      <c r="G1799">
        <v>20.2</v>
      </c>
      <c r="H1799">
        <v>161.6</v>
      </c>
      <c r="I1799" t="s">
        <v>2354</v>
      </c>
    </row>
    <row r="1800" spans="1:9" x14ac:dyDescent="0.25">
      <c r="A1800" t="s">
        <v>220</v>
      </c>
      <c r="B1800" t="s">
        <v>5430</v>
      </c>
      <c r="C1800" t="s">
        <v>7142</v>
      </c>
      <c r="D1800" t="s">
        <v>8429</v>
      </c>
      <c r="F1800">
        <v>1</v>
      </c>
      <c r="G1800">
        <v>0</v>
      </c>
      <c r="H1800">
        <v>0</v>
      </c>
      <c r="I1800" t="s">
        <v>2354</v>
      </c>
    </row>
    <row r="1801" spans="1:9" x14ac:dyDescent="0.25">
      <c r="A1801" t="s">
        <v>220</v>
      </c>
      <c r="B1801" t="s">
        <v>5430</v>
      </c>
      <c r="C1801" t="s">
        <v>7144</v>
      </c>
      <c r="D1801" t="s">
        <v>8430</v>
      </c>
      <c r="F1801">
        <v>1</v>
      </c>
      <c r="G1801">
        <v>38.46</v>
      </c>
      <c r="H1801">
        <v>38.46</v>
      </c>
      <c r="I1801" t="s">
        <v>2354</v>
      </c>
    </row>
    <row r="1802" spans="1:9" x14ac:dyDescent="0.25">
      <c r="A1802" t="s">
        <v>220</v>
      </c>
      <c r="B1802" t="s">
        <v>5430</v>
      </c>
      <c r="C1802" t="s">
        <v>7146</v>
      </c>
      <c r="D1802" t="s">
        <v>8431</v>
      </c>
      <c r="F1802">
        <v>2</v>
      </c>
      <c r="G1802">
        <v>32.965000000000003</v>
      </c>
      <c r="H1802">
        <v>65.930000000000007</v>
      </c>
      <c r="I1802" t="s">
        <v>2354</v>
      </c>
    </row>
    <row r="1803" spans="1:9" x14ac:dyDescent="0.25">
      <c r="A1803" t="s">
        <v>220</v>
      </c>
      <c r="B1803" t="s">
        <v>5430</v>
      </c>
      <c r="C1803" t="s">
        <v>7148</v>
      </c>
      <c r="D1803" t="s">
        <v>8432</v>
      </c>
      <c r="F1803">
        <v>2</v>
      </c>
      <c r="G1803">
        <v>16.483000000000001</v>
      </c>
      <c r="H1803">
        <v>32.966000000000001</v>
      </c>
      <c r="I1803" t="s">
        <v>2354</v>
      </c>
    </row>
    <row r="1804" spans="1:9" x14ac:dyDescent="0.25">
      <c r="A1804" t="s">
        <v>220</v>
      </c>
      <c r="B1804" t="s">
        <v>5430</v>
      </c>
      <c r="C1804" t="s">
        <v>7150</v>
      </c>
      <c r="D1804" t="s">
        <v>8433</v>
      </c>
      <c r="F1804">
        <v>1</v>
      </c>
      <c r="G1804">
        <v>21.978000000000002</v>
      </c>
      <c r="H1804">
        <v>21.978000000000002</v>
      </c>
      <c r="I1804" t="s">
        <v>2354</v>
      </c>
    </row>
    <row r="1805" spans="1:9" x14ac:dyDescent="0.25">
      <c r="A1805" t="s">
        <v>220</v>
      </c>
      <c r="B1805" t="s">
        <v>5430</v>
      </c>
      <c r="C1805" t="s">
        <v>7155</v>
      </c>
      <c r="D1805" t="s">
        <v>8434</v>
      </c>
      <c r="F1805">
        <v>8</v>
      </c>
      <c r="G1805">
        <v>18</v>
      </c>
      <c r="H1805">
        <v>144</v>
      </c>
      <c r="I1805" t="s">
        <v>2354</v>
      </c>
    </row>
    <row r="1806" spans="1:9" x14ac:dyDescent="0.25">
      <c r="A1806" t="s">
        <v>220</v>
      </c>
      <c r="B1806" t="s">
        <v>5430</v>
      </c>
      <c r="C1806" t="s">
        <v>7157</v>
      </c>
      <c r="D1806" t="s">
        <v>8435</v>
      </c>
      <c r="F1806">
        <v>1</v>
      </c>
      <c r="G1806">
        <v>350</v>
      </c>
      <c r="H1806">
        <v>350</v>
      </c>
      <c r="I1806" t="s">
        <v>2354</v>
      </c>
    </row>
    <row r="1807" spans="1:9" x14ac:dyDescent="0.25">
      <c r="A1807" t="s">
        <v>220</v>
      </c>
      <c r="B1807" t="s">
        <v>5430</v>
      </c>
      <c r="C1807" t="s">
        <v>7159</v>
      </c>
      <c r="D1807" t="s">
        <v>8436</v>
      </c>
      <c r="F1807">
        <v>7</v>
      </c>
      <c r="G1807">
        <v>52.52</v>
      </c>
      <c r="H1807">
        <v>367.64000000000004</v>
      </c>
      <c r="I1807" t="s">
        <v>2354</v>
      </c>
    </row>
    <row r="1808" spans="1:9" x14ac:dyDescent="0.25">
      <c r="A1808" t="s">
        <v>220</v>
      </c>
      <c r="B1808" t="s">
        <v>5430</v>
      </c>
      <c r="C1808" t="s">
        <v>7190</v>
      </c>
      <c r="D1808" t="s">
        <v>8437</v>
      </c>
      <c r="F1808">
        <v>10</v>
      </c>
      <c r="G1808">
        <v>3.1172142857142862</v>
      </c>
      <c r="H1808">
        <v>31.172142857142862</v>
      </c>
      <c r="I1808" t="s">
        <v>2354</v>
      </c>
    </row>
    <row r="1809" spans="1:9" x14ac:dyDescent="0.25">
      <c r="A1809" t="s">
        <v>220</v>
      </c>
      <c r="B1809" t="s">
        <v>5430</v>
      </c>
      <c r="C1809" t="s">
        <v>8438</v>
      </c>
      <c r="D1809" t="s">
        <v>8439</v>
      </c>
      <c r="F1809">
        <v>4</v>
      </c>
      <c r="G1809">
        <v>2.5362</v>
      </c>
      <c r="H1809">
        <v>10.1448</v>
      </c>
      <c r="I1809" t="s">
        <v>2354</v>
      </c>
    </row>
    <row r="1810" spans="1:9" x14ac:dyDescent="0.25">
      <c r="A1810" t="s">
        <v>220</v>
      </c>
      <c r="B1810" t="s">
        <v>5430</v>
      </c>
      <c r="C1810" t="s">
        <v>8440</v>
      </c>
      <c r="D1810" t="s">
        <v>8441</v>
      </c>
      <c r="F1810">
        <v>8</v>
      </c>
      <c r="G1810">
        <v>0</v>
      </c>
      <c r="H1810">
        <v>0</v>
      </c>
      <c r="I1810" t="s">
        <v>2354</v>
      </c>
    </row>
    <row r="1811" spans="1:9" x14ac:dyDescent="0.25">
      <c r="A1811" t="s">
        <v>220</v>
      </c>
      <c r="B1811" t="s">
        <v>5430</v>
      </c>
      <c r="C1811" t="s">
        <v>8442</v>
      </c>
      <c r="D1811" t="s">
        <v>8443</v>
      </c>
      <c r="F1811">
        <v>1</v>
      </c>
      <c r="G1811">
        <v>0</v>
      </c>
      <c r="H1811">
        <v>0</v>
      </c>
      <c r="I1811" t="s">
        <v>2354</v>
      </c>
    </row>
    <row r="1812" spans="1:9" x14ac:dyDescent="0.25">
      <c r="A1812" t="s">
        <v>220</v>
      </c>
      <c r="B1812" t="s">
        <v>5430</v>
      </c>
      <c r="C1812" t="s">
        <v>7214</v>
      </c>
      <c r="D1812" t="s">
        <v>8444</v>
      </c>
      <c r="F1812">
        <v>12</v>
      </c>
      <c r="G1812">
        <v>22.725000000000001</v>
      </c>
      <c r="H1812">
        <v>272.70000000000005</v>
      </c>
      <c r="I1812" t="s">
        <v>2354</v>
      </c>
    </row>
    <row r="1813" spans="1:9" x14ac:dyDescent="0.25">
      <c r="A1813" t="s">
        <v>220</v>
      </c>
      <c r="B1813" t="s">
        <v>5430</v>
      </c>
      <c r="C1813" t="s">
        <v>7225</v>
      </c>
      <c r="D1813" t="s">
        <v>8445</v>
      </c>
      <c r="F1813">
        <v>1</v>
      </c>
      <c r="G1813">
        <v>54.99</v>
      </c>
      <c r="H1813">
        <v>54.99</v>
      </c>
      <c r="I1813" t="s">
        <v>2354</v>
      </c>
    </row>
    <row r="1814" spans="1:9" x14ac:dyDescent="0.25">
      <c r="A1814" t="s">
        <v>220</v>
      </c>
      <c r="B1814" t="s">
        <v>5430</v>
      </c>
      <c r="C1814" t="s">
        <v>7227</v>
      </c>
      <c r="D1814" t="s">
        <v>8446</v>
      </c>
      <c r="F1814">
        <v>1</v>
      </c>
      <c r="G1814">
        <v>6.4349999999999996</v>
      </c>
      <c r="H1814">
        <v>6.4349999999999996</v>
      </c>
      <c r="I1814" t="s">
        <v>2354</v>
      </c>
    </row>
    <row r="1815" spans="1:9" x14ac:dyDescent="0.25">
      <c r="A1815" t="s">
        <v>220</v>
      </c>
      <c r="B1815" t="s">
        <v>5430</v>
      </c>
      <c r="C1815" t="s">
        <v>7229</v>
      </c>
      <c r="D1815" t="s">
        <v>8447</v>
      </c>
      <c r="F1815">
        <v>8</v>
      </c>
      <c r="G1815">
        <v>0</v>
      </c>
      <c r="H1815">
        <v>0</v>
      </c>
      <c r="I1815" t="s">
        <v>2354</v>
      </c>
    </row>
    <row r="1816" spans="1:9" x14ac:dyDescent="0.25">
      <c r="A1816" t="s">
        <v>220</v>
      </c>
      <c r="B1816" t="s">
        <v>5430</v>
      </c>
      <c r="C1816" t="s">
        <v>7231</v>
      </c>
      <c r="D1816" t="s">
        <v>8448</v>
      </c>
      <c r="F1816">
        <v>10</v>
      </c>
      <c r="G1816">
        <v>25.65</v>
      </c>
      <c r="H1816">
        <v>256.5</v>
      </c>
      <c r="I1816" t="s">
        <v>2354</v>
      </c>
    </row>
    <row r="1817" spans="1:9" x14ac:dyDescent="0.25">
      <c r="A1817" t="s">
        <v>220</v>
      </c>
      <c r="B1817" t="s">
        <v>5430</v>
      </c>
      <c r="C1817" t="s">
        <v>7235</v>
      </c>
      <c r="D1817" t="s">
        <v>8449</v>
      </c>
      <c r="F1817">
        <v>100</v>
      </c>
      <c r="G1817">
        <v>13.736000000000001</v>
      </c>
      <c r="H1817">
        <v>1373.6000000000001</v>
      </c>
      <c r="I1817" t="s">
        <v>2354</v>
      </c>
    </row>
    <row r="1818" spans="1:9" x14ac:dyDescent="0.25">
      <c r="A1818" t="s">
        <v>220</v>
      </c>
      <c r="B1818" t="s">
        <v>5430</v>
      </c>
      <c r="C1818" t="s">
        <v>7254</v>
      </c>
      <c r="D1818" t="s">
        <v>8450</v>
      </c>
      <c r="F1818">
        <v>6</v>
      </c>
      <c r="G1818">
        <v>8.4204000000000008</v>
      </c>
      <c r="H1818">
        <v>50.522400000000005</v>
      </c>
      <c r="I1818" t="s">
        <v>2354</v>
      </c>
    </row>
    <row r="1819" spans="1:9" x14ac:dyDescent="0.25">
      <c r="A1819" t="s">
        <v>220</v>
      </c>
      <c r="B1819" t="s">
        <v>5430</v>
      </c>
      <c r="C1819" t="s">
        <v>7256</v>
      </c>
      <c r="D1819" t="s">
        <v>7257</v>
      </c>
      <c r="F1819">
        <v>1</v>
      </c>
      <c r="G1819">
        <v>4.6749999999999998</v>
      </c>
      <c r="H1819">
        <v>4.6749999999999998</v>
      </c>
      <c r="I1819" t="s">
        <v>2354</v>
      </c>
    </row>
    <row r="1820" spans="1:9" x14ac:dyDescent="0.25">
      <c r="A1820" t="s">
        <v>220</v>
      </c>
      <c r="B1820" t="s">
        <v>5430</v>
      </c>
      <c r="C1820" t="s">
        <v>7260</v>
      </c>
      <c r="D1820" t="s">
        <v>8451</v>
      </c>
      <c r="F1820">
        <v>11</v>
      </c>
      <c r="G1820">
        <v>3.5223300000000002</v>
      </c>
      <c r="H1820">
        <v>38.745630000000006</v>
      </c>
      <c r="I1820" t="s">
        <v>2354</v>
      </c>
    </row>
    <row r="1821" spans="1:9" x14ac:dyDescent="0.25">
      <c r="A1821" t="s">
        <v>220</v>
      </c>
      <c r="B1821" t="s">
        <v>5430</v>
      </c>
      <c r="C1821" t="s">
        <v>7262</v>
      </c>
      <c r="D1821" t="s">
        <v>8452</v>
      </c>
      <c r="F1821">
        <v>9</v>
      </c>
      <c r="G1821">
        <v>0</v>
      </c>
      <c r="H1821">
        <v>0</v>
      </c>
      <c r="I1821" t="s">
        <v>2354</v>
      </c>
    </row>
    <row r="1822" spans="1:9" x14ac:dyDescent="0.25">
      <c r="A1822" t="s">
        <v>220</v>
      </c>
      <c r="B1822" t="s">
        <v>5430</v>
      </c>
      <c r="C1822" t="s">
        <v>7268</v>
      </c>
      <c r="D1822" t="s">
        <v>8453</v>
      </c>
      <c r="F1822">
        <v>2</v>
      </c>
      <c r="G1822">
        <v>28.763000000000002</v>
      </c>
      <c r="H1822">
        <v>57.526000000000003</v>
      </c>
      <c r="I1822" t="s">
        <v>2354</v>
      </c>
    </row>
    <row r="1823" spans="1:9" x14ac:dyDescent="0.25">
      <c r="A1823" t="s">
        <v>220</v>
      </c>
      <c r="B1823" t="s">
        <v>5430</v>
      </c>
      <c r="C1823" t="s">
        <v>8454</v>
      </c>
      <c r="D1823" t="s">
        <v>8455</v>
      </c>
      <c r="F1823">
        <v>10</v>
      </c>
      <c r="G1823">
        <v>21.45</v>
      </c>
      <c r="H1823">
        <v>214.5</v>
      </c>
      <c r="I1823" t="s">
        <v>2354</v>
      </c>
    </row>
    <row r="1824" spans="1:9" x14ac:dyDescent="0.25">
      <c r="A1824" t="s">
        <v>220</v>
      </c>
      <c r="B1824" t="s">
        <v>5430</v>
      </c>
      <c r="C1824" t="s">
        <v>7270</v>
      </c>
      <c r="D1824" t="s">
        <v>8456</v>
      </c>
      <c r="F1824">
        <v>1</v>
      </c>
      <c r="G1824">
        <v>16.350999999999999</v>
      </c>
      <c r="H1824">
        <v>16.350999999999999</v>
      </c>
      <c r="I1824" t="s">
        <v>2354</v>
      </c>
    </row>
    <row r="1825" spans="1:9" x14ac:dyDescent="0.25">
      <c r="A1825" t="s">
        <v>220</v>
      </c>
      <c r="B1825" t="s">
        <v>5430</v>
      </c>
      <c r="C1825" t="s">
        <v>7272</v>
      </c>
      <c r="D1825" t="s">
        <v>7273</v>
      </c>
      <c r="F1825">
        <v>1</v>
      </c>
      <c r="G1825">
        <v>145.6</v>
      </c>
      <c r="H1825">
        <v>145.6</v>
      </c>
      <c r="I1825" t="s">
        <v>2354</v>
      </c>
    </row>
    <row r="1826" spans="1:9" x14ac:dyDescent="0.25">
      <c r="A1826" t="s">
        <v>220</v>
      </c>
      <c r="B1826" t="s">
        <v>5430</v>
      </c>
      <c r="C1826" t="s">
        <v>7274</v>
      </c>
      <c r="D1826" t="s">
        <v>7275</v>
      </c>
      <c r="F1826">
        <v>1</v>
      </c>
      <c r="G1826">
        <v>143.97999999999999</v>
      </c>
      <c r="H1826">
        <v>143.97999999999999</v>
      </c>
      <c r="I1826" t="s">
        <v>2354</v>
      </c>
    </row>
    <row r="1827" spans="1:9" x14ac:dyDescent="0.25">
      <c r="A1827" t="s">
        <v>220</v>
      </c>
      <c r="B1827" t="s">
        <v>5430</v>
      </c>
      <c r="C1827" t="s">
        <v>7276</v>
      </c>
      <c r="D1827" t="s">
        <v>8457</v>
      </c>
      <c r="F1827">
        <v>3</v>
      </c>
      <c r="G1827">
        <v>80</v>
      </c>
      <c r="H1827">
        <v>240</v>
      </c>
      <c r="I1827" t="s">
        <v>2354</v>
      </c>
    </row>
    <row r="1828" spans="1:9" x14ac:dyDescent="0.25">
      <c r="A1828" t="s">
        <v>220</v>
      </c>
      <c r="B1828" t="s">
        <v>5430</v>
      </c>
      <c r="C1828" t="s">
        <v>7278</v>
      </c>
      <c r="D1828" t="s">
        <v>8458</v>
      </c>
      <c r="F1828">
        <v>1</v>
      </c>
      <c r="G1828">
        <v>100.80952666666667</v>
      </c>
      <c r="H1828">
        <v>100.80952666666667</v>
      </c>
      <c r="I1828" t="s">
        <v>2354</v>
      </c>
    </row>
    <row r="1829" spans="1:9" x14ac:dyDescent="0.25">
      <c r="A1829" t="s">
        <v>220</v>
      </c>
      <c r="B1829" t="s">
        <v>5430</v>
      </c>
      <c r="C1829" t="s">
        <v>8459</v>
      </c>
      <c r="D1829" t="s">
        <v>8460</v>
      </c>
      <c r="F1829">
        <v>8</v>
      </c>
      <c r="G1829">
        <v>0</v>
      </c>
      <c r="H1829">
        <v>0</v>
      </c>
      <c r="I1829" t="s">
        <v>2354</v>
      </c>
    </row>
    <row r="1830" spans="1:9" x14ac:dyDescent="0.25">
      <c r="A1830" t="s">
        <v>220</v>
      </c>
      <c r="B1830" t="s">
        <v>5430</v>
      </c>
      <c r="C1830" t="s">
        <v>7280</v>
      </c>
      <c r="D1830" t="s">
        <v>7281</v>
      </c>
      <c r="F1830">
        <v>1</v>
      </c>
      <c r="G1830">
        <v>19.125</v>
      </c>
      <c r="H1830">
        <v>19.125</v>
      </c>
      <c r="I1830" t="s">
        <v>2354</v>
      </c>
    </row>
    <row r="1831" spans="1:9" x14ac:dyDescent="0.25">
      <c r="A1831" t="s">
        <v>220</v>
      </c>
      <c r="B1831" t="s">
        <v>5430</v>
      </c>
      <c r="C1831" t="s">
        <v>8461</v>
      </c>
      <c r="D1831" t="s">
        <v>7283</v>
      </c>
      <c r="F1831">
        <v>20</v>
      </c>
      <c r="G1831">
        <v>5.4690000000000003</v>
      </c>
      <c r="H1831">
        <v>109.38000000000001</v>
      </c>
      <c r="I1831" t="s">
        <v>2354</v>
      </c>
    </row>
    <row r="1832" spans="1:9" x14ac:dyDescent="0.25">
      <c r="A1832" t="s">
        <v>220</v>
      </c>
      <c r="B1832" t="s">
        <v>5430</v>
      </c>
      <c r="C1832" t="s">
        <v>8462</v>
      </c>
      <c r="D1832" t="s">
        <v>8463</v>
      </c>
      <c r="F1832">
        <v>1</v>
      </c>
      <c r="G1832">
        <v>40.372199999999999</v>
      </c>
      <c r="H1832">
        <v>40.372199999999999</v>
      </c>
      <c r="I1832" t="s">
        <v>2354</v>
      </c>
    </row>
    <row r="1833" spans="1:9" x14ac:dyDescent="0.25">
      <c r="A1833" t="s">
        <v>220</v>
      </c>
      <c r="B1833" t="s">
        <v>5430</v>
      </c>
      <c r="C1833" t="s">
        <v>7286</v>
      </c>
      <c r="D1833" t="s">
        <v>8464</v>
      </c>
      <c r="F1833">
        <v>1</v>
      </c>
      <c r="G1833">
        <v>97.703000000000003</v>
      </c>
      <c r="H1833">
        <v>97.703000000000003</v>
      </c>
      <c r="I1833" t="s">
        <v>2354</v>
      </c>
    </row>
    <row r="1834" spans="1:9" x14ac:dyDescent="0.25">
      <c r="A1834" t="s">
        <v>220</v>
      </c>
      <c r="B1834" t="s">
        <v>5430</v>
      </c>
      <c r="C1834" t="s">
        <v>7292</v>
      </c>
      <c r="D1834" t="s">
        <v>8465</v>
      </c>
      <c r="F1834">
        <v>1</v>
      </c>
      <c r="G1834">
        <v>71.822699999999998</v>
      </c>
      <c r="H1834">
        <v>71.822699999999998</v>
      </c>
      <c r="I1834" t="s">
        <v>2354</v>
      </c>
    </row>
    <row r="1835" spans="1:9" x14ac:dyDescent="0.25">
      <c r="A1835" t="s">
        <v>220</v>
      </c>
      <c r="B1835" t="s">
        <v>5430</v>
      </c>
      <c r="C1835" t="s">
        <v>7294</v>
      </c>
      <c r="D1835" t="s">
        <v>8466</v>
      </c>
      <c r="F1835">
        <v>9</v>
      </c>
      <c r="G1835">
        <v>20.966000000000001</v>
      </c>
      <c r="H1835">
        <v>188.69400000000002</v>
      </c>
      <c r="I1835" t="s">
        <v>2354</v>
      </c>
    </row>
    <row r="1836" spans="1:9" x14ac:dyDescent="0.25">
      <c r="A1836" t="s">
        <v>220</v>
      </c>
      <c r="B1836" t="s">
        <v>5430</v>
      </c>
      <c r="C1836" t="s">
        <v>7296</v>
      </c>
      <c r="D1836" t="s">
        <v>8467</v>
      </c>
      <c r="F1836">
        <v>4</v>
      </c>
      <c r="G1836">
        <v>36.125</v>
      </c>
      <c r="H1836">
        <v>144.5</v>
      </c>
      <c r="I1836" t="s">
        <v>2354</v>
      </c>
    </row>
    <row r="1837" spans="1:9" x14ac:dyDescent="0.25">
      <c r="A1837" t="s">
        <v>220</v>
      </c>
      <c r="B1837" t="s">
        <v>5430</v>
      </c>
      <c r="C1837" t="s">
        <v>7300</v>
      </c>
      <c r="D1837" t="s">
        <v>8468</v>
      </c>
      <c r="F1837">
        <v>10</v>
      </c>
      <c r="G1837">
        <v>9.9371666666666663</v>
      </c>
      <c r="H1837">
        <v>99.37166666666667</v>
      </c>
      <c r="I1837" t="s">
        <v>2354</v>
      </c>
    </row>
    <row r="1838" spans="1:9" x14ac:dyDescent="0.25">
      <c r="A1838" t="s">
        <v>220</v>
      </c>
      <c r="B1838" t="s">
        <v>5430</v>
      </c>
      <c r="C1838" t="s">
        <v>7302</v>
      </c>
      <c r="D1838" t="s">
        <v>8469</v>
      </c>
      <c r="F1838">
        <v>5</v>
      </c>
      <c r="G1838">
        <v>19.975000000000001</v>
      </c>
      <c r="H1838">
        <v>99.875</v>
      </c>
      <c r="I1838" t="s">
        <v>2354</v>
      </c>
    </row>
    <row r="1839" spans="1:9" x14ac:dyDescent="0.25">
      <c r="A1839" t="s">
        <v>220</v>
      </c>
      <c r="B1839" t="s">
        <v>5430</v>
      </c>
      <c r="C1839" t="s">
        <v>7304</v>
      </c>
      <c r="D1839" t="s">
        <v>8470</v>
      </c>
      <c r="F1839">
        <v>5</v>
      </c>
      <c r="G1839">
        <v>12.7</v>
      </c>
      <c r="H1839">
        <v>63.5</v>
      </c>
      <c r="I1839" t="s">
        <v>2354</v>
      </c>
    </row>
    <row r="1840" spans="1:9" x14ac:dyDescent="0.25">
      <c r="A1840" t="s">
        <v>220</v>
      </c>
      <c r="B1840" t="s">
        <v>5430</v>
      </c>
      <c r="C1840" t="s">
        <v>7306</v>
      </c>
      <c r="D1840" t="s">
        <v>8471</v>
      </c>
      <c r="F1840">
        <v>3</v>
      </c>
      <c r="G1840">
        <v>75</v>
      </c>
      <c r="H1840">
        <v>225</v>
      </c>
      <c r="I1840" t="s">
        <v>2354</v>
      </c>
    </row>
    <row r="1841" spans="1:9" x14ac:dyDescent="0.25">
      <c r="A1841" t="s">
        <v>220</v>
      </c>
      <c r="B1841" t="s">
        <v>5430</v>
      </c>
      <c r="C1841" t="s">
        <v>7308</v>
      </c>
      <c r="D1841" t="s">
        <v>8472</v>
      </c>
      <c r="F1841">
        <v>2</v>
      </c>
      <c r="G1841">
        <v>70</v>
      </c>
      <c r="H1841">
        <v>140</v>
      </c>
      <c r="I1841" t="s">
        <v>2354</v>
      </c>
    </row>
    <row r="1842" spans="1:9" x14ac:dyDescent="0.25">
      <c r="A1842" t="s">
        <v>220</v>
      </c>
      <c r="B1842" t="s">
        <v>5430</v>
      </c>
      <c r="C1842" t="s">
        <v>7312</v>
      </c>
      <c r="D1842" t="s">
        <v>8473</v>
      </c>
      <c r="F1842">
        <v>1</v>
      </c>
      <c r="G1842">
        <v>377.78399999999999</v>
      </c>
      <c r="H1842">
        <v>377.78399999999999</v>
      </c>
      <c r="I1842" t="s">
        <v>2354</v>
      </c>
    </row>
    <row r="1843" spans="1:9" x14ac:dyDescent="0.25">
      <c r="A1843" t="s">
        <v>220</v>
      </c>
      <c r="B1843" t="s">
        <v>5430</v>
      </c>
      <c r="C1843" t="s">
        <v>7314</v>
      </c>
      <c r="D1843" t="s">
        <v>7315</v>
      </c>
      <c r="F1843">
        <v>2</v>
      </c>
      <c r="G1843">
        <v>28.763000000000002</v>
      </c>
      <c r="H1843">
        <v>57.526000000000003</v>
      </c>
      <c r="I1843" t="s">
        <v>2354</v>
      </c>
    </row>
    <row r="1844" spans="1:9" x14ac:dyDescent="0.25">
      <c r="A1844" t="s">
        <v>220</v>
      </c>
      <c r="B1844" t="s">
        <v>5430</v>
      </c>
      <c r="C1844" t="s">
        <v>7318</v>
      </c>
      <c r="D1844" t="s">
        <v>8474</v>
      </c>
      <c r="F1844">
        <v>60</v>
      </c>
      <c r="G1844">
        <v>20.5351</v>
      </c>
      <c r="H1844">
        <v>1232.106</v>
      </c>
      <c r="I1844" t="s">
        <v>2354</v>
      </c>
    </row>
    <row r="1845" spans="1:9" x14ac:dyDescent="0.25">
      <c r="A1845" t="s">
        <v>220</v>
      </c>
      <c r="B1845" t="s">
        <v>5430</v>
      </c>
      <c r="C1845" t="s">
        <v>5303</v>
      </c>
      <c r="D1845" t="s">
        <v>8475</v>
      </c>
      <c r="F1845">
        <v>2</v>
      </c>
      <c r="G1845">
        <v>429.23430000000002</v>
      </c>
      <c r="H1845">
        <v>858.46860000000004</v>
      </c>
      <c r="I1845" t="s">
        <v>2354</v>
      </c>
    </row>
    <row r="1846" spans="1:9" x14ac:dyDescent="0.25">
      <c r="A1846" t="s">
        <v>220</v>
      </c>
      <c r="B1846" t="s">
        <v>5430</v>
      </c>
      <c r="C1846" t="s">
        <v>7334</v>
      </c>
      <c r="D1846" t="s">
        <v>8476</v>
      </c>
      <c r="F1846">
        <v>3</v>
      </c>
      <c r="G1846">
        <v>446.18540000000002</v>
      </c>
      <c r="H1846">
        <v>1338.5562</v>
      </c>
      <c r="I1846" t="s">
        <v>2354</v>
      </c>
    </row>
    <row r="1847" spans="1:9" x14ac:dyDescent="0.25">
      <c r="A1847" t="s">
        <v>220</v>
      </c>
      <c r="B1847" t="s">
        <v>5430</v>
      </c>
      <c r="C1847" t="s">
        <v>5305</v>
      </c>
      <c r="D1847" t="s">
        <v>8477</v>
      </c>
      <c r="F1847">
        <v>1</v>
      </c>
      <c r="G1847">
        <v>529.20000000000005</v>
      </c>
      <c r="H1847">
        <v>529.20000000000005</v>
      </c>
      <c r="I1847" t="s">
        <v>2354</v>
      </c>
    </row>
    <row r="1848" spans="1:9" x14ac:dyDescent="0.25">
      <c r="A1848" t="s">
        <v>220</v>
      </c>
      <c r="B1848" t="s">
        <v>5430</v>
      </c>
      <c r="C1848" t="s">
        <v>7336</v>
      </c>
      <c r="D1848" t="s">
        <v>8478</v>
      </c>
      <c r="F1848">
        <v>1</v>
      </c>
      <c r="G1848">
        <v>542.71479999999997</v>
      </c>
      <c r="H1848">
        <v>542.71479999999997</v>
      </c>
      <c r="I1848" t="s">
        <v>2354</v>
      </c>
    </row>
    <row r="1849" spans="1:9" x14ac:dyDescent="0.25">
      <c r="A1849" t="s">
        <v>220</v>
      </c>
      <c r="B1849" t="s">
        <v>5430</v>
      </c>
      <c r="C1849" t="s">
        <v>5307</v>
      </c>
      <c r="D1849" t="s">
        <v>8479</v>
      </c>
      <c r="F1849">
        <v>1</v>
      </c>
      <c r="G1849">
        <v>38.48715</v>
      </c>
      <c r="H1849">
        <v>38.48715</v>
      </c>
      <c r="I1849" t="s">
        <v>2354</v>
      </c>
    </row>
    <row r="1850" spans="1:9" x14ac:dyDescent="0.25">
      <c r="A1850" t="s">
        <v>220</v>
      </c>
      <c r="B1850" t="s">
        <v>5430</v>
      </c>
      <c r="C1850" t="s">
        <v>7338</v>
      </c>
      <c r="D1850" t="s">
        <v>8480</v>
      </c>
      <c r="F1850">
        <v>1</v>
      </c>
      <c r="G1850">
        <v>372.10500000000002</v>
      </c>
      <c r="H1850">
        <v>372.10500000000002</v>
      </c>
      <c r="I1850" t="s">
        <v>2354</v>
      </c>
    </row>
    <row r="1851" spans="1:9" x14ac:dyDescent="0.25">
      <c r="A1851" t="s">
        <v>220</v>
      </c>
      <c r="B1851" t="s">
        <v>5430</v>
      </c>
      <c r="C1851" t="s">
        <v>7340</v>
      </c>
      <c r="D1851" t="s">
        <v>8481</v>
      </c>
      <c r="F1851">
        <v>1</v>
      </c>
      <c r="G1851">
        <v>1681.6320000000001</v>
      </c>
      <c r="H1851">
        <v>1681.6320000000001</v>
      </c>
      <c r="I1851" t="s">
        <v>2354</v>
      </c>
    </row>
    <row r="1852" spans="1:9" x14ac:dyDescent="0.25">
      <c r="A1852" t="s">
        <v>220</v>
      </c>
      <c r="B1852" t="s">
        <v>5430</v>
      </c>
      <c r="C1852" t="s">
        <v>7342</v>
      </c>
      <c r="D1852" t="s">
        <v>7343</v>
      </c>
      <c r="F1852">
        <v>1</v>
      </c>
      <c r="G1852">
        <v>12</v>
      </c>
      <c r="H1852">
        <v>12</v>
      </c>
      <c r="I1852" t="s">
        <v>2354</v>
      </c>
    </row>
    <row r="1853" spans="1:9" x14ac:dyDescent="0.25">
      <c r="A1853" t="s">
        <v>220</v>
      </c>
      <c r="B1853" t="s">
        <v>5430</v>
      </c>
      <c r="C1853" t="s">
        <v>8482</v>
      </c>
      <c r="D1853" t="s">
        <v>8483</v>
      </c>
      <c r="F1853">
        <v>27</v>
      </c>
      <c r="G1853">
        <v>4.7</v>
      </c>
      <c r="H1853">
        <v>126.9</v>
      </c>
      <c r="I1853" t="s">
        <v>2354</v>
      </c>
    </row>
    <row r="1854" spans="1:9" x14ac:dyDescent="0.25">
      <c r="A1854" t="s">
        <v>220</v>
      </c>
      <c r="B1854" t="s">
        <v>5430</v>
      </c>
      <c r="C1854" t="s">
        <v>7346</v>
      </c>
      <c r="D1854" t="s">
        <v>8484</v>
      </c>
      <c r="F1854">
        <v>4</v>
      </c>
      <c r="G1854">
        <v>14.1</v>
      </c>
      <c r="H1854">
        <v>56.4</v>
      </c>
      <c r="I1854" t="s">
        <v>2354</v>
      </c>
    </row>
    <row r="1855" spans="1:9" x14ac:dyDescent="0.25">
      <c r="A1855" t="s">
        <v>220</v>
      </c>
      <c r="B1855" t="s">
        <v>5430</v>
      </c>
      <c r="C1855" t="s">
        <v>8485</v>
      </c>
      <c r="D1855" t="s">
        <v>8486</v>
      </c>
      <c r="F1855">
        <v>1</v>
      </c>
      <c r="G1855">
        <v>0</v>
      </c>
      <c r="H1855">
        <v>0</v>
      </c>
      <c r="I1855" t="s">
        <v>2354</v>
      </c>
    </row>
    <row r="1856" spans="1:9" x14ac:dyDescent="0.25">
      <c r="A1856" t="s">
        <v>220</v>
      </c>
      <c r="B1856" t="s">
        <v>5430</v>
      </c>
      <c r="C1856" t="s">
        <v>8487</v>
      </c>
      <c r="D1856" t="s">
        <v>8488</v>
      </c>
      <c r="F1856">
        <v>19</v>
      </c>
      <c r="G1856">
        <v>13.166</v>
      </c>
      <c r="H1856">
        <v>250.154</v>
      </c>
      <c r="I1856" t="s">
        <v>2354</v>
      </c>
    </row>
    <row r="1857" spans="1:9" x14ac:dyDescent="0.25">
      <c r="A1857" t="s">
        <v>220</v>
      </c>
      <c r="B1857" t="s">
        <v>5430</v>
      </c>
      <c r="C1857" t="s">
        <v>5544</v>
      </c>
      <c r="D1857" t="s">
        <v>8489</v>
      </c>
      <c r="F1857">
        <v>5</v>
      </c>
      <c r="G1857">
        <v>0</v>
      </c>
      <c r="H1857">
        <v>0</v>
      </c>
      <c r="I1857" t="s">
        <v>2354</v>
      </c>
    </row>
    <row r="1858" spans="1:9" x14ac:dyDescent="0.25">
      <c r="A1858" t="s">
        <v>220</v>
      </c>
      <c r="B1858" t="s">
        <v>5430</v>
      </c>
      <c r="C1858" t="s">
        <v>5678</v>
      </c>
      <c r="D1858" t="s">
        <v>8490</v>
      </c>
      <c r="F1858">
        <v>2</v>
      </c>
      <c r="G1858">
        <v>117.19889999999999</v>
      </c>
      <c r="H1858">
        <v>234.39779999999999</v>
      </c>
      <c r="I1858" t="s">
        <v>2354</v>
      </c>
    </row>
    <row r="1859" spans="1:9" x14ac:dyDescent="0.25">
      <c r="A1859" t="s">
        <v>220</v>
      </c>
      <c r="B1859" t="s">
        <v>5430</v>
      </c>
      <c r="C1859" t="s">
        <v>5680</v>
      </c>
      <c r="D1859" t="s">
        <v>8491</v>
      </c>
      <c r="F1859">
        <v>16</v>
      </c>
      <c r="G1859">
        <v>8.8109999999999999</v>
      </c>
      <c r="H1859">
        <v>140.976</v>
      </c>
      <c r="I1859" t="s">
        <v>2354</v>
      </c>
    </row>
    <row r="1860" spans="1:9" x14ac:dyDescent="0.25">
      <c r="A1860" t="s">
        <v>220</v>
      </c>
      <c r="B1860" t="s">
        <v>5430</v>
      </c>
      <c r="C1860" t="s">
        <v>2706</v>
      </c>
      <c r="D1860" t="s">
        <v>8492</v>
      </c>
      <c r="F1860">
        <v>14</v>
      </c>
      <c r="G1860">
        <v>46.8</v>
      </c>
      <c r="H1860">
        <v>655.19999999999993</v>
      </c>
      <c r="I1860" t="s">
        <v>2354</v>
      </c>
    </row>
    <row r="1861" spans="1:9" x14ac:dyDescent="0.25">
      <c r="A1861" t="s">
        <v>220</v>
      </c>
      <c r="B1861" t="s">
        <v>5430</v>
      </c>
      <c r="C1861" t="s">
        <v>5682</v>
      </c>
      <c r="D1861" t="s">
        <v>5683</v>
      </c>
      <c r="F1861">
        <v>10</v>
      </c>
      <c r="G1861">
        <v>34.887184615384612</v>
      </c>
      <c r="H1861">
        <v>348.87184615384615</v>
      </c>
      <c r="I1861" t="s">
        <v>2354</v>
      </c>
    </row>
    <row r="1862" spans="1:9" x14ac:dyDescent="0.25">
      <c r="A1862" t="s">
        <v>220</v>
      </c>
      <c r="B1862" t="s">
        <v>5430</v>
      </c>
      <c r="C1862" t="s">
        <v>2712</v>
      </c>
      <c r="D1862" t="s">
        <v>8493</v>
      </c>
      <c r="F1862">
        <v>7</v>
      </c>
      <c r="G1862">
        <v>30.113999999999997</v>
      </c>
      <c r="H1862">
        <v>210.79799999999997</v>
      </c>
      <c r="I1862" t="s">
        <v>2354</v>
      </c>
    </row>
    <row r="1863" spans="1:9" x14ac:dyDescent="0.25">
      <c r="A1863" t="s">
        <v>220</v>
      </c>
      <c r="B1863" t="s">
        <v>5430</v>
      </c>
      <c r="C1863" t="s">
        <v>8494</v>
      </c>
      <c r="D1863" t="s">
        <v>5685</v>
      </c>
      <c r="F1863">
        <v>15</v>
      </c>
      <c r="G1863">
        <v>26.1</v>
      </c>
      <c r="H1863">
        <v>391.5</v>
      </c>
      <c r="I1863" t="s">
        <v>2354</v>
      </c>
    </row>
    <row r="1864" spans="1:9" x14ac:dyDescent="0.25">
      <c r="A1864" t="s">
        <v>220</v>
      </c>
      <c r="B1864" t="s">
        <v>5430</v>
      </c>
      <c r="C1864" t="s">
        <v>2716</v>
      </c>
      <c r="D1864" t="s">
        <v>2717</v>
      </c>
      <c r="F1864">
        <v>18</v>
      </c>
      <c r="G1864">
        <v>18.18</v>
      </c>
      <c r="H1864">
        <v>327.24</v>
      </c>
      <c r="I1864" t="s">
        <v>2354</v>
      </c>
    </row>
    <row r="1865" spans="1:9" x14ac:dyDescent="0.25">
      <c r="A1865" t="s">
        <v>220</v>
      </c>
      <c r="B1865" t="s">
        <v>5430</v>
      </c>
      <c r="C1865" t="s">
        <v>2718</v>
      </c>
      <c r="D1865" t="s">
        <v>2719</v>
      </c>
      <c r="F1865">
        <v>15</v>
      </c>
      <c r="G1865">
        <v>21.285</v>
      </c>
      <c r="H1865">
        <v>319.27499999999998</v>
      </c>
      <c r="I1865" t="s">
        <v>2354</v>
      </c>
    </row>
    <row r="1866" spans="1:9" x14ac:dyDescent="0.25">
      <c r="A1866" t="s">
        <v>220</v>
      </c>
      <c r="B1866" t="s">
        <v>5430</v>
      </c>
      <c r="C1866" t="s">
        <v>2720</v>
      </c>
      <c r="D1866" t="s">
        <v>2721</v>
      </c>
      <c r="F1866">
        <v>15</v>
      </c>
      <c r="G1866">
        <v>27</v>
      </c>
      <c r="H1866">
        <v>405</v>
      </c>
      <c r="I1866" t="s">
        <v>2354</v>
      </c>
    </row>
    <row r="1867" spans="1:9" x14ac:dyDescent="0.25">
      <c r="A1867" t="s">
        <v>220</v>
      </c>
      <c r="B1867" t="s">
        <v>5430</v>
      </c>
      <c r="C1867" t="s">
        <v>2722</v>
      </c>
      <c r="D1867" t="s">
        <v>2723</v>
      </c>
      <c r="F1867">
        <v>15</v>
      </c>
      <c r="G1867">
        <v>15.222000000000001</v>
      </c>
      <c r="H1867">
        <v>228.33</v>
      </c>
      <c r="I1867" t="s">
        <v>2354</v>
      </c>
    </row>
    <row r="1868" spans="1:9" x14ac:dyDescent="0.25">
      <c r="A1868" t="s">
        <v>220</v>
      </c>
      <c r="B1868" t="s">
        <v>5430</v>
      </c>
      <c r="C1868" t="s">
        <v>2724</v>
      </c>
      <c r="D1868" t="s">
        <v>2725</v>
      </c>
      <c r="F1868">
        <v>9</v>
      </c>
      <c r="G1868">
        <v>25.861049999999999</v>
      </c>
      <c r="H1868">
        <v>232.74945</v>
      </c>
      <c r="I1868" t="s">
        <v>2354</v>
      </c>
    </row>
    <row r="1869" spans="1:9" x14ac:dyDescent="0.25">
      <c r="A1869" t="s">
        <v>220</v>
      </c>
      <c r="B1869" t="s">
        <v>5430</v>
      </c>
      <c r="C1869" t="s">
        <v>2726</v>
      </c>
      <c r="D1869" t="s">
        <v>2727</v>
      </c>
      <c r="F1869">
        <v>3.7</v>
      </c>
      <c r="G1869">
        <v>42.3</v>
      </c>
      <c r="H1869">
        <v>156.51</v>
      </c>
      <c r="I1869" t="s">
        <v>2354</v>
      </c>
    </row>
    <row r="1870" spans="1:9" x14ac:dyDescent="0.25">
      <c r="A1870" t="s">
        <v>220</v>
      </c>
      <c r="B1870" t="s">
        <v>5430</v>
      </c>
      <c r="C1870" t="s">
        <v>5787</v>
      </c>
      <c r="D1870" t="s">
        <v>5788</v>
      </c>
      <c r="F1870">
        <v>100</v>
      </c>
      <c r="G1870">
        <v>2.0499999999999998</v>
      </c>
      <c r="H1870">
        <v>204.99999999999997</v>
      </c>
      <c r="I1870" t="s">
        <v>2354</v>
      </c>
    </row>
    <row r="1871" spans="1:9" x14ac:dyDescent="0.25">
      <c r="A1871" t="s">
        <v>220</v>
      </c>
      <c r="B1871" t="s">
        <v>5430</v>
      </c>
      <c r="C1871" t="s">
        <v>3145</v>
      </c>
      <c r="D1871" t="s">
        <v>8495</v>
      </c>
      <c r="F1871">
        <v>48</v>
      </c>
      <c r="G1871">
        <v>3.3993000000000002</v>
      </c>
      <c r="H1871">
        <v>163.16640000000001</v>
      </c>
      <c r="I1871" t="s">
        <v>2354</v>
      </c>
    </row>
    <row r="1872" spans="1:9" x14ac:dyDescent="0.25">
      <c r="A1872" t="s">
        <v>220</v>
      </c>
      <c r="B1872" t="s">
        <v>5430</v>
      </c>
      <c r="C1872" t="s">
        <v>6234</v>
      </c>
      <c r="D1872" t="s">
        <v>8496</v>
      </c>
      <c r="F1872">
        <v>30</v>
      </c>
      <c r="G1872">
        <v>2.6747999999999998</v>
      </c>
      <c r="H1872">
        <v>80.244</v>
      </c>
      <c r="I1872" t="s">
        <v>2354</v>
      </c>
    </row>
    <row r="1873" spans="1:9" x14ac:dyDescent="0.25">
      <c r="A1873" t="s">
        <v>220</v>
      </c>
      <c r="B1873" t="s">
        <v>5430</v>
      </c>
      <c r="C1873" t="s">
        <v>3149</v>
      </c>
      <c r="D1873" t="s">
        <v>8497</v>
      </c>
      <c r="F1873">
        <v>52</v>
      </c>
      <c r="G1873">
        <v>1.1348999999999998</v>
      </c>
      <c r="H1873">
        <v>59.014799999999987</v>
      </c>
      <c r="I1873" t="s">
        <v>2354</v>
      </c>
    </row>
    <row r="1874" spans="1:9" x14ac:dyDescent="0.25">
      <c r="A1874" t="s">
        <v>220</v>
      </c>
      <c r="B1874" t="s">
        <v>5430</v>
      </c>
      <c r="C1874" t="s">
        <v>3153</v>
      </c>
      <c r="D1874" t="s">
        <v>8498</v>
      </c>
      <c r="F1874">
        <v>20</v>
      </c>
      <c r="G1874">
        <v>3.5459999999999998</v>
      </c>
      <c r="H1874">
        <v>70.92</v>
      </c>
      <c r="I1874" t="s">
        <v>2354</v>
      </c>
    </row>
    <row r="1875" spans="1:9" x14ac:dyDescent="0.25">
      <c r="A1875" t="s">
        <v>220</v>
      </c>
      <c r="B1875" t="s">
        <v>5430</v>
      </c>
      <c r="C1875" t="s">
        <v>6235</v>
      </c>
      <c r="D1875" t="s">
        <v>8499</v>
      </c>
      <c r="F1875">
        <v>1</v>
      </c>
      <c r="G1875">
        <v>8.5248000000000008</v>
      </c>
      <c r="H1875">
        <v>8.5248000000000008</v>
      </c>
      <c r="I1875" t="s">
        <v>2354</v>
      </c>
    </row>
    <row r="1876" spans="1:9" x14ac:dyDescent="0.25">
      <c r="A1876" t="s">
        <v>220</v>
      </c>
      <c r="B1876" t="s">
        <v>5430</v>
      </c>
      <c r="C1876" t="s">
        <v>6237</v>
      </c>
      <c r="D1876" t="s">
        <v>8500</v>
      </c>
      <c r="F1876">
        <v>23</v>
      </c>
      <c r="G1876">
        <v>9.4841999999999995</v>
      </c>
      <c r="H1876">
        <v>218.13659999999999</v>
      </c>
      <c r="I1876" t="s">
        <v>2354</v>
      </c>
    </row>
    <row r="1877" spans="1:9" x14ac:dyDescent="0.25">
      <c r="A1877" t="s">
        <v>220</v>
      </c>
      <c r="B1877" t="s">
        <v>5430</v>
      </c>
      <c r="C1877" t="s">
        <v>6239</v>
      </c>
      <c r="D1877" t="s">
        <v>8501</v>
      </c>
      <c r="F1877">
        <v>10</v>
      </c>
      <c r="G1877">
        <v>13.973400000000002</v>
      </c>
      <c r="H1877">
        <v>139.73400000000001</v>
      </c>
      <c r="I1877" t="s">
        <v>2354</v>
      </c>
    </row>
    <row r="1878" spans="1:9" x14ac:dyDescent="0.25">
      <c r="A1878" t="s">
        <v>220</v>
      </c>
      <c r="B1878" t="s">
        <v>5430</v>
      </c>
      <c r="C1878" t="s">
        <v>6241</v>
      </c>
      <c r="D1878" t="s">
        <v>8502</v>
      </c>
      <c r="F1878">
        <v>16</v>
      </c>
      <c r="G1878">
        <v>5.1722380952380949</v>
      </c>
      <c r="H1878">
        <v>82.755809523809518</v>
      </c>
      <c r="I1878" t="s">
        <v>2354</v>
      </c>
    </row>
    <row r="1879" spans="1:9" x14ac:dyDescent="0.25">
      <c r="A1879" t="s">
        <v>220</v>
      </c>
      <c r="B1879" t="s">
        <v>5430</v>
      </c>
      <c r="C1879" t="s">
        <v>6243</v>
      </c>
      <c r="D1879" t="s">
        <v>8503</v>
      </c>
      <c r="F1879">
        <v>3</v>
      </c>
      <c r="G1879">
        <v>1.89</v>
      </c>
      <c r="H1879">
        <v>5.67</v>
      </c>
      <c r="I1879" t="s">
        <v>2354</v>
      </c>
    </row>
    <row r="1880" spans="1:9" x14ac:dyDescent="0.25">
      <c r="A1880" t="s">
        <v>220</v>
      </c>
      <c r="B1880" t="s">
        <v>5430</v>
      </c>
      <c r="C1880" t="s">
        <v>6245</v>
      </c>
      <c r="D1880" t="s">
        <v>8504</v>
      </c>
      <c r="F1880">
        <v>7</v>
      </c>
      <c r="G1880">
        <v>28.015999999999998</v>
      </c>
      <c r="H1880">
        <v>196.11199999999999</v>
      </c>
      <c r="I1880" t="s">
        <v>2354</v>
      </c>
    </row>
    <row r="1881" spans="1:9" x14ac:dyDescent="0.25">
      <c r="A1881" t="s">
        <v>220</v>
      </c>
      <c r="B1881" t="s">
        <v>5430</v>
      </c>
      <c r="C1881" t="s">
        <v>6247</v>
      </c>
      <c r="D1881" t="s">
        <v>8505</v>
      </c>
      <c r="F1881">
        <v>22</v>
      </c>
      <c r="G1881">
        <v>7.8668181818181813</v>
      </c>
      <c r="H1881">
        <v>173.07</v>
      </c>
      <c r="I1881" t="s">
        <v>2354</v>
      </c>
    </row>
    <row r="1882" spans="1:9" x14ac:dyDescent="0.25">
      <c r="A1882" t="s">
        <v>220</v>
      </c>
      <c r="B1882" t="s">
        <v>5430</v>
      </c>
      <c r="C1882" t="s">
        <v>8506</v>
      </c>
      <c r="D1882" t="s">
        <v>8507</v>
      </c>
      <c r="F1882">
        <v>1</v>
      </c>
      <c r="G1882">
        <v>23.745000000000001</v>
      </c>
      <c r="H1882">
        <v>23.745000000000001</v>
      </c>
      <c r="I1882" t="s">
        <v>2354</v>
      </c>
    </row>
    <row r="1883" spans="1:9" x14ac:dyDescent="0.25">
      <c r="A1883" t="s">
        <v>220</v>
      </c>
      <c r="B1883" t="s">
        <v>5430</v>
      </c>
      <c r="C1883" t="s">
        <v>6249</v>
      </c>
      <c r="D1883" t="s">
        <v>8508</v>
      </c>
      <c r="F1883">
        <v>35</v>
      </c>
      <c r="G1883">
        <v>2.8565999999999998</v>
      </c>
      <c r="H1883">
        <v>99.980999999999995</v>
      </c>
      <c r="I1883" t="s">
        <v>2354</v>
      </c>
    </row>
    <row r="1884" spans="1:9" x14ac:dyDescent="0.25">
      <c r="A1884" t="s">
        <v>220</v>
      </c>
      <c r="B1884" t="s">
        <v>5430</v>
      </c>
      <c r="C1884" t="s">
        <v>3165</v>
      </c>
      <c r="D1884" t="s">
        <v>8509</v>
      </c>
      <c r="F1884">
        <v>40</v>
      </c>
      <c r="G1884">
        <v>0.67500000000000004</v>
      </c>
      <c r="H1884">
        <v>27</v>
      </c>
      <c r="I1884" t="s">
        <v>2354</v>
      </c>
    </row>
    <row r="1885" spans="1:9" x14ac:dyDescent="0.25">
      <c r="A1885" t="s">
        <v>220</v>
      </c>
      <c r="B1885" t="s">
        <v>5430</v>
      </c>
      <c r="C1885" t="s">
        <v>6253</v>
      </c>
      <c r="D1885" t="s">
        <v>8510</v>
      </c>
      <c r="F1885">
        <v>1</v>
      </c>
      <c r="G1885">
        <v>35.167949999999998</v>
      </c>
      <c r="H1885">
        <v>35.167949999999998</v>
      </c>
      <c r="I1885" t="s">
        <v>2354</v>
      </c>
    </row>
    <row r="1886" spans="1:9" x14ac:dyDescent="0.25">
      <c r="A1886" t="s">
        <v>220</v>
      </c>
      <c r="B1886" t="s">
        <v>5430</v>
      </c>
      <c r="C1886" t="s">
        <v>3167</v>
      </c>
      <c r="D1886" t="s">
        <v>8511</v>
      </c>
      <c r="F1886">
        <v>1</v>
      </c>
      <c r="G1886">
        <v>35.167949999999998</v>
      </c>
      <c r="H1886">
        <v>35.167949999999998</v>
      </c>
      <c r="I1886" t="s">
        <v>2354</v>
      </c>
    </row>
    <row r="1887" spans="1:9" x14ac:dyDescent="0.25">
      <c r="A1887" t="s">
        <v>220</v>
      </c>
      <c r="B1887" t="s">
        <v>5430</v>
      </c>
      <c r="C1887" t="s">
        <v>6255</v>
      </c>
      <c r="D1887" t="s">
        <v>8512</v>
      </c>
      <c r="F1887">
        <v>1</v>
      </c>
      <c r="G1887">
        <v>35.167949999999998</v>
      </c>
      <c r="H1887">
        <v>35.167949999999998</v>
      </c>
      <c r="I1887" t="s">
        <v>2354</v>
      </c>
    </row>
    <row r="1888" spans="1:9" x14ac:dyDescent="0.25">
      <c r="A1888" t="s">
        <v>220</v>
      </c>
      <c r="B1888" t="s">
        <v>5430</v>
      </c>
      <c r="C1888" t="s">
        <v>6257</v>
      </c>
      <c r="D1888" t="s">
        <v>8513</v>
      </c>
      <c r="F1888">
        <v>2</v>
      </c>
      <c r="G1888">
        <v>48.454000000000001</v>
      </c>
      <c r="H1888">
        <v>96.908000000000001</v>
      </c>
      <c r="I1888" t="s">
        <v>2354</v>
      </c>
    </row>
    <row r="1889" spans="1:9" x14ac:dyDescent="0.25">
      <c r="A1889" t="s">
        <v>220</v>
      </c>
      <c r="B1889" t="s">
        <v>5430</v>
      </c>
      <c r="C1889" t="s">
        <v>6259</v>
      </c>
      <c r="D1889" t="s">
        <v>8514</v>
      </c>
      <c r="F1889">
        <v>2</v>
      </c>
      <c r="G1889">
        <v>48.454000000000001</v>
      </c>
      <c r="H1889">
        <v>96.908000000000001</v>
      </c>
      <c r="I1889" t="s">
        <v>2354</v>
      </c>
    </row>
    <row r="1890" spans="1:9" x14ac:dyDescent="0.25">
      <c r="A1890" t="s">
        <v>220</v>
      </c>
      <c r="B1890" t="s">
        <v>5430</v>
      </c>
      <c r="C1890" t="s">
        <v>6261</v>
      </c>
      <c r="D1890" t="s">
        <v>8515</v>
      </c>
      <c r="F1890">
        <v>2</v>
      </c>
      <c r="G1890">
        <v>58.637</v>
      </c>
      <c r="H1890">
        <v>117.274</v>
      </c>
      <c r="I1890" t="s">
        <v>2354</v>
      </c>
    </row>
    <row r="1891" spans="1:9" x14ac:dyDescent="0.25">
      <c r="A1891" t="s">
        <v>220</v>
      </c>
      <c r="B1891" t="s">
        <v>5430</v>
      </c>
      <c r="C1891" t="s">
        <v>5452</v>
      </c>
      <c r="D1891" t="s">
        <v>8516</v>
      </c>
      <c r="F1891">
        <v>1</v>
      </c>
      <c r="G1891">
        <v>1.3355999999999999</v>
      </c>
      <c r="H1891">
        <v>1.3355999999999999</v>
      </c>
      <c r="I1891" t="s">
        <v>2354</v>
      </c>
    </row>
    <row r="1892" spans="1:9" x14ac:dyDescent="0.25">
      <c r="A1892" t="s">
        <v>220</v>
      </c>
      <c r="B1892" t="s">
        <v>5430</v>
      </c>
      <c r="C1892" t="s">
        <v>6263</v>
      </c>
      <c r="D1892" t="s">
        <v>8517</v>
      </c>
      <c r="F1892">
        <v>3</v>
      </c>
      <c r="G1892">
        <v>113.3991</v>
      </c>
      <c r="H1892">
        <v>340.19730000000004</v>
      </c>
      <c r="I1892" t="s">
        <v>2354</v>
      </c>
    </row>
    <row r="1893" spans="1:9" x14ac:dyDescent="0.25">
      <c r="A1893" t="s">
        <v>220</v>
      </c>
      <c r="B1893" t="s">
        <v>5430</v>
      </c>
      <c r="C1893" t="s">
        <v>3203</v>
      </c>
      <c r="D1893" t="s">
        <v>8518</v>
      </c>
      <c r="F1893">
        <v>37</v>
      </c>
      <c r="G1893">
        <v>0.58096363636363624</v>
      </c>
      <c r="H1893">
        <v>21.495654545454542</v>
      </c>
      <c r="I1893" t="s">
        <v>2354</v>
      </c>
    </row>
    <row r="1894" spans="1:9" x14ac:dyDescent="0.25">
      <c r="A1894" t="s">
        <v>220</v>
      </c>
      <c r="B1894" t="s">
        <v>5430</v>
      </c>
      <c r="C1894" t="s">
        <v>5372</v>
      </c>
      <c r="D1894" t="s">
        <v>8519</v>
      </c>
      <c r="F1894">
        <v>82</v>
      </c>
      <c r="G1894">
        <v>0.69479999999999997</v>
      </c>
      <c r="H1894">
        <v>56.973599999999998</v>
      </c>
      <c r="I1894" t="s">
        <v>2354</v>
      </c>
    </row>
    <row r="1895" spans="1:9" x14ac:dyDescent="0.25">
      <c r="A1895" t="s">
        <v>220</v>
      </c>
      <c r="B1895" t="s">
        <v>5430</v>
      </c>
      <c r="C1895" t="s">
        <v>6265</v>
      </c>
      <c r="D1895" t="s">
        <v>8520</v>
      </c>
      <c r="F1895">
        <v>34</v>
      </c>
      <c r="G1895">
        <v>0.77400000000000002</v>
      </c>
      <c r="H1895">
        <v>26.316000000000003</v>
      </c>
      <c r="I1895" t="s">
        <v>2354</v>
      </c>
    </row>
    <row r="1896" spans="1:9" x14ac:dyDescent="0.25">
      <c r="A1896" t="s">
        <v>220</v>
      </c>
      <c r="B1896" t="s">
        <v>5430</v>
      </c>
      <c r="C1896" t="s">
        <v>3205</v>
      </c>
      <c r="D1896" t="s">
        <v>8521</v>
      </c>
      <c r="F1896">
        <v>43</v>
      </c>
      <c r="G1896">
        <v>1.08</v>
      </c>
      <c r="H1896">
        <v>46.440000000000005</v>
      </c>
      <c r="I1896" t="s">
        <v>2354</v>
      </c>
    </row>
    <row r="1897" spans="1:9" x14ac:dyDescent="0.25">
      <c r="A1897" t="s">
        <v>220</v>
      </c>
      <c r="B1897" t="s">
        <v>5430</v>
      </c>
      <c r="C1897" t="s">
        <v>3207</v>
      </c>
      <c r="D1897" t="s">
        <v>8522</v>
      </c>
      <c r="F1897">
        <v>48</v>
      </c>
      <c r="G1897">
        <v>1.9525128964059197</v>
      </c>
      <c r="H1897">
        <v>93.720619027484148</v>
      </c>
      <c r="I1897" t="s">
        <v>2354</v>
      </c>
    </row>
    <row r="1898" spans="1:9" x14ac:dyDescent="0.25">
      <c r="A1898" t="s">
        <v>220</v>
      </c>
      <c r="B1898" t="s">
        <v>5430</v>
      </c>
      <c r="C1898" t="s">
        <v>6268</v>
      </c>
      <c r="D1898" t="s">
        <v>6269</v>
      </c>
      <c r="F1898">
        <v>5</v>
      </c>
      <c r="G1898">
        <v>9.2929999999999993</v>
      </c>
      <c r="H1898">
        <v>46.464999999999996</v>
      </c>
      <c r="I1898" t="s">
        <v>2354</v>
      </c>
    </row>
    <row r="1899" spans="1:9" x14ac:dyDescent="0.25">
      <c r="A1899" t="s">
        <v>220</v>
      </c>
      <c r="B1899" t="s">
        <v>5430</v>
      </c>
      <c r="C1899" t="s">
        <v>6270</v>
      </c>
      <c r="D1899" t="s">
        <v>6271</v>
      </c>
      <c r="F1899">
        <v>35</v>
      </c>
      <c r="G1899">
        <v>8.5922999999999998</v>
      </c>
      <c r="H1899">
        <v>300.73050000000001</v>
      </c>
      <c r="I1899" t="s">
        <v>2354</v>
      </c>
    </row>
    <row r="1900" spans="1:9" x14ac:dyDescent="0.25">
      <c r="A1900" t="s">
        <v>220</v>
      </c>
      <c r="B1900" t="s">
        <v>5430</v>
      </c>
      <c r="C1900" t="s">
        <v>6272</v>
      </c>
      <c r="D1900" t="s">
        <v>6273</v>
      </c>
      <c r="F1900">
        <v>20</v>
      </c>
      <c r="G1900">
        <v>0.48166715686274514</v>
      </c>
      <c r="H1900">
        <v>9.6333431372549025</v>
      </c>
      <c r="I1900" t="s">
        <v>2354</v>
      </c>
    </row>
    <row r="1901" spans="1:9" x14ac:dyDescent="0.25">
      <c r="A1901" t="s">
        <v>220</v>
      </c>
      <c r="B1901" t="s">
        <v>5430</v>
      </c>
      <c r="C1901" t="s">
        <v>3211</v>
      </c>
      <c r="D1901" t="s">
        <v>3212</v>
      </c>
      <c r="F1901">
        <v>28</v>
      </c>
      <c r="G1901">
        <v>0.41129999999999994</v>
      </c>
      <c r="H1901">
        <v>11.516399999999999</v>
      </c>
      <c r="I1901" t="s">
        <v>2354</v>
      </c>
    </row>
    <row r="1902" spans="1:9" x14ac:dyDescent="0.25">
      <c r="A1902" t="s">
        <v>220</v>
      </c>
      <c r="B1902" t="s">
        <v>5430</v>
      </c>
      <c r="C1902" t="s">
        <v>3219</v>
      </c>
      <c r="D1902" t="s">
        <v>3220</v>
      </c>
      <c r="F1902">
        <v>24</v>
      </c>
      <c r="G1902">
        <v>0.89190000000000003</v>
      </c>
      <c r="H1902">
        <v>21.4056</v>
      </c>
      <c r="I1902" t="s">
        <v>2354</v>
      </c>
    </row>
    <row r="1903" spans="1:9" x14ac:dyDescent="0.25">
      <c r="A1903" t="s">
        <v>220</v>
      </c>
      <c r="B1903" t="s">
        <v>5430</v>
      </c>
      <c r="C1903" t="s">
        <v>3455</v>
      </c>
      <c r="D1903" t="s">
        <v>3456</v>
      </c>
      <c r="F1903">
        <v>128.5</v>
      </c>
      <c r="G1903">
        <v>1.6575</v>
      </c>
      <c r="H1903">
        <v>212.98875000000001</v>
      </c>
      <c r="I1903" t="s">
        <v>2354</v>
      </c>
    </row>
    <row r="1904" spans="1:9" x14ac:dyDescent="0.25">
      <c r="A1904" t="s">
        <v>220</v>
      </c>
      <c r="B1904" t="s">
        <v>5430</v>
      </c>
      <c r="C1904" t="s">
        <v>3457</v>
      </c>
      <c r="D1904" t="s">
        <v>3458</v>
      </c>
      <c r="F1904">
        <v>78</v>
      </c>
      <c r="G1904">
        <v>1.1511</v>
      </c>
      <c r="H1904">
        <v>89.785799999999995</v>
      </c>
      <c r="I1904" t="s">
        <v>2354</v>
      </c>
    </row>
    <row r="1905" spans="1:9" x14ac:dyDescent="0.25">
      <c r="A1905" t="s">
        <v>220</v>
      </c>
      <c r="B1905" t="s">
        <v>5430</v>
      </c>
      <c r="D1905" t="s">
        <v>3460</v>
      </c>
      <c r="F1905">
        <v>95</v>
      </c>
      <c r="G1905">
        <v>4.0759999999999996</v>
      </c>
      <c r="H1905">
        <v>387.21999999999997</v>
      </c>
      <c r="I1905" t="s">
        <v>2354</v>
      </c>
    </row>
    <row r="1906" spans="1:9" x14ac:dyDescent="0.25">
      <c r="A1906" t="s">
        <v>220</v>
      </c>
      <c r="B1906" t="s">
        <v>5430</v>
      </c>
      <c r="C1906" t="s">
        <v>3461</v>
      </c>
      <c r="D1906" t="s">
        <v>3462</v>
      </c>
      <c r="F1906">
        <v>95</v>
      </c>
      <c r="G1906">
        <v>3.33</v>
      </c>
      <c r="H1906">
        <v>316.35000000000002</v>
      </c>
      <c r="I1906" t="s">
        <v>2354</v>
      </c>
    </row>
    <row r="1907" spans="1:9" x14ac:dyDescent="0.25">
      <c r="A1907" t="s">
        <v>220</v>
      </c>
      <c r="B1907" t="s">
        <v>5430</v>
      </c>
      <c r="C1907" t="s">
        <v>3545</v>
      </c>
      <c r="D1907" t="s">
        <v>3546</v>
      </c>
      <c r="F1907">
        <v>14</v>
      </c>
      <c r="G1907">
        <v>2.7899999999999996</v>
      </c>
      <c r="H1907">
        <v>39.059999999999995</v>
      </c>
      <c r="I1907" t="s">
        <v>2354</v>
      </c>
    </row>
    <row r="1908" spans="1:9" x14ac:dyDescent="0.25">
      <c r="A1908" t="s">
        <v>220</v>
      </c>
      <c r="B1908" t="s">
        <v>5430</v>
      </c>
      <c r="C1908" t="s">
        <v>3547</v>
      </c>
      <c r="D1908" t="s">
        <v>3548</v>
      </c>
      <c r="F1908">
        <v>32</v>
      </c>
      <c r="G1908">
        <v>3.8079999999999998</v>
      </c>
      <c r="H1908">
        <v>121.85599999999999</v>
      </c>
      <c r="I1908" t="s">
        <v>2354</v>
      </c>
    </row>
    <row r="1909" spans="1:9" x14ac:dyDescent="0.25">
      <c r="A1909" t="s">
        <v>220</v>
      </c>
      <c r="B1909" t="s">
        <v>5430</v>
      </c>
      <c r="C1909" t="s">
        <v>3549</v>
      </c>
      <c r="D1909" t="s">
        <v>3550</v>
      </c>
      <c r="F1909">
        <v>19</v>
      </c>
      <c r="G1909">
        <v>8.264325358851675</v>
      </c>
      <c r="H1909">
        <v>157.02218181818182</v>
      </c>
      <c r="I1909" t="s">
        <v>2354</v>
      </c>
    </row>
    <row r="1910" spans="1:9" x14ac:dyDescent="0.25">
      <c r="A1910" t="s">
        <v>220</v>
      </c>
      <c r="B1910" t="s">
        <v>5430</v>
      </c>
      <c r="C1910" t="s">
        <v>3551</v>
      </c>
      <c r="D1910" t="s">
        <v>8523</v>
      </c>
      <c r="F1910">
        <v>24</v>
      </c>
      <c r="G1910">
        <v>3.3299999999999996</v>
      </c>
      <c r="H1910">
        <v>79.919999999999987</v>
      </c>
      <c r="I1910" t="s">
        <v>2354</v>
      </c>
    </row>
    <row r="1911" spans="1:9" x14ac:dyDescent="0.25">
      <c r="A1911" t="s">
        <v>220</v>
      </c>
      <c r="B1911" t="s">
        <v>5430</v>
      </c>
      <c r="C1911" t="s">
        <v>3553</v>
      </c>
      <c r="D1911" t="s">
        <v>3554</v>
      </c>
      <c r="F1911">
        <v>28</v>
      </c>
      <c r="G1911">
        <v>3.298</v>
      </c>
      <c r="H1911">
        <v>92.343999999999994</v>
      </c>
      <c r="I1911" t="s">
        <v>2354</v>
      </c>
    </row>
    <row r="1912" spans="1:9" x14ac:dyDescent="0.25">
      <c r="A1912" t="s">
        <v>220</v>
      </c>
      <c r="B1912" t="s">
        <v>5430</v>
      </c>
      <c r="C1912" t="s">
        <v>3555</v>
      </c>
      <c r="D1912" t="s">
        <v>3556</v>
      </c>
      <c r="F1912">
        <v>37</v>
      </c>
      <c r="G1912">
        <v>4.0205000000000002</v>
      </c>
      <c r="H1912">
        <v>148.7585</v>
      </c>
      <c r="I1912" t="s">
        <v>2354</v>
      </c>
    </row>
    <row r="1913" spans="1:9" x14ac:dyDescent="0.25">
      <c r="A1913" t="s">
        <v>220</v>
      </c>
      <c r="B1913" t="s">
        <v>5430</v>
      </c>
      <c r="C1913" t="s">
        <v>3561</v>
      </c>
      <c r="D1913" t="s">
        <v>8524</v>
      </c>
      <c r="F1913">
        <v>30</v>
      </c>
      <c r="G1913">
        <v>1.7100000000000002</v>
      </c>
      <c r="H1913">
        <v>51.300000000000004</v>
      </c>
      <c r="I1913" t="s">
        <v>2354</v>
      </c>
    </row>
    <row r="1914" spans="1:9" x14ac:dyDescent="0.25">
      <c r="A1914" t="s">
        <v>220</v>
      </c>
      <c r="B1914" t="s">
        <v>5430</v>
      </c>
      <c r="C1914" t="s">
        <v>3563</v>
      </c>
      <c r="D1914" t="s">
        <v>3564</v>
      </c>
      <c r="F1914">
        <v>23</v>
      </c>
      <c r="G1914">
        <v>1.7100000000000002</v>
      </c>
      <c r="H1914">
        <v>39.330000000000005</v>
      </c>
      <c r="I1914" t="s">
        <v>2354</v>
      </c>
    </row>
    <row r="1915" spans="1:9" x14ac:dyDescent="0.25">
      <c r="A1915" t="s">
        <v>220</v>
      </c>
      <c r="B1915" t="s">
        <v>5430</v>
      </c>
      <c r="C1915" t="s">
        <v>3565</v>
      </c>
      <c r="D1915" t="s">
        <v>8525</v>
      </c>
      <c r="F1915">
        <v>34</v>
      </c>
      <c r="G1915">
        <v>2.7879999999999998</v>
      </c>
      <c r="H1915">
        <v>94.791999999999987</v>
      </c>
      <c r="I1915" t="s">
        <v>2354</v>
      </c>
    </row>
    <row r="1916" spans="1:9" x14ac:dyDescent="0.25">
      <c r="A1916" t="s">
        <v>220</v>
      </c>
      <c r="B1916" t="s">
        <v>5430</v>
      </c>
      <c r="C1916" t="s">
        <v>3567</v>
      </c>
      <c r="D1916" t="s">
        <v>3568</v>
      </c>
      <c r="F1916">
        <v>8</v>
      </c>
      <c r="G1916">
        <v>7.2479626957759846</v>
      </c>
      <c r="H1916">
        <v>57.983701566207877</v>
      </c>
      <c r="I1916" t="s">
        <v>2354</v>
      </c>
    </row>
    <row r="1917" spans="1:9" x14ac:dyDescent="0.25">
      <c r="A1917" t="s">
        <v>220</v>
      </c>
      <c r="B1917" t="s">
        <v>5430</v>
      </c>
      <c r="C1917" t="s">
        <v>3571</v>
      </c>
      <c r="D1917" t="s">
        <v>3572</v>
      </c>
      <c r="F1917">
        <v>11</v>
      </c>
      <c r="G1917">
        <v>13.428499999999998</v>
      </c>
      <c r="H1917">
        <v>147.71349999999998</v>
      </c>
      <c r="I1917" t="s">
        <v>2354</v>
      </c>
    </row>
    <row r="1918" spans="1:9" x14ac:dyDescent="0.25">
      <c r="A1918" t="s">
        <v>220</v>
      </c>
      <c r="B1918" t="s">
        <v>5430</v>
      </c>
      <c r="C1918" t="s">
        <v>6479</v>
      </c>
      <c r="D1918" t="s">
        <v>8526</v>
      </c>
      <c r="F1918">
        <v>1</v>
      </c>
      <c r="G1918">
        <v>31.427100000000003</v>
      </c>
      <c r="H1918">
        <v>31.427100000000003</v>
      </c>
      <c r="I1918" t="s">
        <v>2354</v>
      </c>
    </row>
    <row r="1919" spans="1:9" x14ac:dyDescent="0.25">
      <c r="A1919" t="s">
        <v>220</v>
      </c>
      <c r="B1919" t="s">
        <v>5430</v>
      </c>
      <c r="C1919" t="s">
        <v>2411</v>
      </c>
      <c r="D1919" t="s">
        <v>6481</v>
      </c>
      <c r="F1919">
        <v>54</v>
      </c>
      <c r="G1919">
        <v>2.88</v>
      </c>
      <c r="H1919">
        <v>155.51999999999998</v>
      </c>
      <c r="I1919" t="s">
        <v>2354</v>
      </c>
    </row>
    <row r="1920" spans="1:9" x14ac:dyDescent="0.25">
      <c r="A1920" t="s">
        <v>220</v>
      </c>
      <c r="B1920" t="s">
        <v>5430</v>
      </c>
      <c r="C1920" t="s">
        <v>3575</v>
      </c>
      <c r="D1920" t="s">
        <v>3576</v>
      </c>
      <c r="F1920">
        <v>3</v>
      </c>
      <c r="G1920">
        <v>2.3111666666666668</v>
      </c>
      <c r="H1920">
        <v>6.9335000000000004</v>
      </c>
      <c r="I1920" t="s">
        <v>2354</v>
      </c>
    </row>
    <row r="1921" spans="1:9" x14ac:dyDescent="0.25">
      <c r="A1921" t="s">
        <v>220</v>
      </c>
      <c r="B1921" t="s">
        <v>5430</v>
      </c>
      <c r="C1921" t="s">
        <v>3577</v>
      </c>
      <c r="D1921" t="s">
        <v>8527</v>
      </c>
      <c r="F1921">
        <v>15</v>
      </c>
      <c r="G1921">
        <v>11.475</v>
      </c>
      <c r="H1921">
        <v>172.125</v>
      </c>
      <c r="I1921" t="s">
        <v>2354</v>
      </c>
    </row>
    <row r="1922" spans="1:9" x14ac:dyDescent="0.25">
      <c r="A1922" t="s">
        <v>220</v>
      </c>
      <c r="B1922" t="s">
        <v>5430</v>
      </c>
      <c r="C1922" t="s">
        <v>3579</v>
      </c>
      <c r="D1922" t="s">
        <v>3580</v>
      </c>
      <c r="F1922">
        <v>54</v>
      </c>
      <c r="G1922">
        <v>2.7454999999999998</v>
      </c>
      <c r="H1922">
        <v>148.25700000000001</v>
      </c>
      <c r="I1922" t="s">
        <v>2354</v>
      </c>
    </row>
    <row r="1923" spans="1:9" x14ac:dyDescent="0.25">
      <c r="A1923" t="s">
        <v>220</v>
      </c>
      <c r="B1923" t="s">
        <v>5430</v>
      </c>
      <c r="C1923" t="s">
        <v>8528</v>
      </c>
      <c r="D1923" t="s">
        <v>6493</v>
      </c>
      <c r="F1923">
        <v>2</v>
      </c>
      <c r="G1923">
        <v>4.2</v>
      </c>
      <c r="H1923">
        <v>8.4</v>
      </c>
      <c r="I1923" t="s">
        <v>2354</v>
      </c>
    </row>
    <row r="1924" spans="1:9" x14ac:dyDescent="0.25">
      <c r="A1924" t="s">
        <v>220</v>
      </c>
      <c r="B1924" t="s">
        <v>5430</v>
      </c>
      <c r="C1924" t="s">
        <v>3583</v>
      </c>
      <c r="D1924" t="s">
        <v>3584</v>
      </c>
      <c r="F1924">
        <v>59</v>
      </c>
      <c r="G1924">
        <v>2.7</v>
      </c>
      <c r="H1924">
        <v>159.30000000000001</v>
      </c>
      <c r="I1924" t="s">
        <v>2354</v>
      </c>
    </row>
    <row r="1925" spans="1:9" x14ac:dyDescent="0.25">
      <c r="A1925" t="s">
        <v>220</v>
      </c>
      <c r="B1925" t="s">
        <v>5430</v>
      </c>
      <c r="C1925" t="s">
        <v>3585</v>
      </c>
      <c r="D1925" t="s">
        <v>3586</v>
      </c>
      <c r="F1925">
        <v>29</v>
      </c>
      <c r="G1925">
        <v>2.8220000000000001</v>
      </c>
      <c r="H1925">
        <v>81.838000000000008</v>
      </c>
      <c r="I1925" t="s">
        <v>2354</v>
      </c>
    </row>
    <row r="1926" spans="1:9" x14ac:dyDescent="0.25">
      <c r="A1926" t="s">
        <v>220</v>
      </c>
      <c r="B1926" t="s">
        <v>5430</v>
      </c>
      <c r="C1926" t="s">
        <v>3591</v>
      </c>
      <c r="D1926" t="s">
        <v>3592</v>
      </c>
      <c r="F1926">
        <v>32</v>
      </c>
      <c r="G1926">
        <v>2.7029999999999998</v>
      </c>
      <c r="H1926">
        <v>86.495999999999995</v>
      </c>
      <c r="I1926" t="s">
        <v>2354</v>
      </c>
    </row>
    <row r="1927" spans="1:9" x14ac:dyDescent="0.25">
      <c r="A1927" t="s">
        <v>220</v>
      </c>
      <c r="B1927" t="s">
        <v>5430</v>
      </c>
      <c r="C1927" t="s">
        <v>3593</v>
      </c>
      <c r="D1927" t="s">
        <v>3594</v>
      </c>
      <c r="F1927">
        <v>1</v>
      </c>
      <c r="G1927">
        <v>3.383</v>
      </c>
      <c r="H1927">
        <v>3.383</v>
      </c>
      <c r="I1927" t="s">
        <v>2354</v>
      </c>
    </row>
    <row r="1928" spans="1:9" x14ac:dyDescent="0.25">
      <c r="A1928" t="s">
        <v>220</v>
      </c>
      <c r="B1928" t="s">
        <v>5430</v>
      </c>
      <c r="C1928" t="s">
        <v>6497</v>
      </c>
      <c r="D1928" t="s">
        <v>6498</v>
      </c>
      <c r="F1928">
        <v>35</v>
      </c>
      <c r="G1928">
        <v>3.2639999999999998</v>
      </c>
      <c r="H1928">
        <v>114.24</v>
      </c>
      <c r="I1928" t="s">
        <v>2354</v>
      </c>
    </row>
    <row r="1929" spans="1:9" x14ac:dyDescent="0.25">
      <c r="A1929" t="s">
        <v>220</v>
      </c>
      <c r="B1929" t="s">
        <v>5430</v>
      </c>
      <c r="C1929" t="s">
        <v>3727</v>
      </c>
      <c r="D1929" t="s">
        <v>3728</v>
      </c>
      <c r="F1929">
        <v>35</v>
      </c>
      <c r="G1929">
        <v>5.1802306451612896</v>
      </c>
      <c r="H1929">
        <v>181.30807258064513</v>
      </c>
      <c r="I1929" t="s">
        <v>2354</v>
      </c>
    </row>
    <row r="1930" spans="1:9" x14ac:dyDescent="0.25">
      <c r="A1930" t="s">
        <v>220</v>
      </c>
      <c r="B1930" t="s">
        <v>5430</v>
      </c>
      <c r="C1930" t="s">
        <v>3729</v>
      </c>
      <c r="D1930" t="s">
        <v>3730</v>
      </c>
      <c r="F1930">
        <v>15</v>
      </c>
      <c r="G1930">
        <v>2.7116999999999996</v>
      </c>
      <c r="H1930">
        <v>40.675499999999992</v>
      </c>
      <c r="I1930" t="s">
        <v>2354</v>
      </c>
    </row>
    <row r="1931" spans="1:9" x14ac:dyDescent="0.25">
      <c r="A1931" t="s">
        <v>220</v>
      </c>
      <c r="B1931" t="s">
        <v>5430</v>
      </c>
      <c r="C1931" t="s">
        <v>3731</v>
      </c>
      <c r="D1931" t="s">
        <v>3732</v>
      </c>
      <c r="F1931">
        <v>14</v>
      </c>
      <c r="G1931">
        <v>2.3933750000000003</v>
      </c>
      <c r="H1931">
        <v>33.507250000000006</v>
      </c>
      <c r="I1931" t="s">
        <v>2354</v>
      </c>
    </row>
    <row r="1932" spans="1:9" x14ac:dyDescent="0.25">
      <c r="A1932" t="s">
        <v>220</v>
      </c>
      <c r="B1932" t="s">
        <v>5430</v>
      </c>
      <c r="C1932" t="s">
        <v>3733</v>
      </c>
      <c r="D1932" t="s">
        <v>3734</v>
      </c>
      <c r="F1932">
        <v>10</v>
      </c>
      <c r="G1932">
        <v>5.2429499999999996</v>
      </c>
      <c r="H1932">
        <v>52.429499999999997</v>
      </c>
      <c r="I1932" t="s">
        <v>2354</v>
      </c>
    </row>
    <row r="1933" spans="1:9" x14ac:dyDescent="0.25">
      <c r="A1933" t="s">
        <v>220</v>
      </c>
      <c r="B1933" t="s">
        <v>5430</v>
      </c>
      <c r="C1933" t="s">
        <v>3735</v>
      </c>
      <c r="D1933" t="s">
        <v>3736</v>
      </c>
      <c r="F1933">
        <v>7</v>
      </c>
      <c r="G1933">
        <v>8.2799999999999994</v>
      </c>
      <c r="H1933">
        <v>57.959999999999994</v>
      </c>
      <c r="I1933" t="s">
        <v>2354</v>
      </c>
    </row>
    <row r="1934" spans="1:9" x14ac:dyDescent="0.25">
      <c r="A1934" t="s">
        <v>220</v>
      </c>
      <c r="B1934" t="s">
        <v>5430</v>
      </c>
      <c r="C1934" t="s">
        <v>5374</v>
      </c>
      <c r="D1934" t="s">
        <v>5375</v>
      </c>
      <c r="F1934">
        <v>2</v>
      </c>
      <c r="G1934">
        <v>2.8799999999999999E-2</v>
      </c>
      <c r="H1934">
        <v>5.7599999999999998E-2</v>
      </c>
      <c r="I1934" t="s">
        <v>2354</v>
      </c>
    </row>
    <row r="1935" spans="1:9" x14ac:dyDescent="0.25">
      <c r="A1935" t="s">
        <v>220</v>
      </c>
      <c r="B1935" t="s">
        <v>5430</v>
      </c>
      <c r="C1935" t="s">
        <v>6702</v>
      </c>
      <c r="D1935" t="s">
        <v>8529</v>
      </c>
      <c r="F1935">
        <v>2</v>
      </c>
      <c r="G1935">
        <v>33.039499999999997</v>
      </c>
      <c r="H1935">
        <v>66.078999999999994</v>
      </c>
      <c r="I1935" t="s">
        <v>2354</v>
      </c>
    </row>
    <row r="1936" spans="1:9" x14ac:dyDescent="0.25">
      <c r="A1936" t="s">
        <v>220</v>
      </c>
      <c r="B1936" t="s">
        <v>5430</v>
      </c>
      <c r="C1936" t="s">
        <v>3941</v>
      </c>
      <c r="D1936" t="s">
        <v>3942</v>
      </c>
      <c r="F1936">
        <v>1</v>
      </c>
      <c r="G1936">
        <v>4.5789999999999997</v>
      </c>
      <c r="H1936">
        <v>4.5789999999999997</v>
      </c>
      <c r="I1936" t="s">
        <v>2354</v>
      </c>
    </row>
    <row r="1937" spans="1:9" x14ac:dyDescent="0.25">
      <c r="A1937" t="s">
        <v>220</v>
      </c>
      <c r="B1937" t="s">
        <v>5430</v>
      </c>
      <c r="C1937" t="s">
        <v>6722</v>
      </c>
      <c r="D1937" t="s">
        <v>8530</v>
      </c>
      <c r="F1937">
        <v>4</v>
      </c>
      <c r="G1937">
        <v>1.8</v>
      </c>
      <c r="H1937">
        <v>7.2</v>
      </c>
      <c r="I1937" t="s">
        <v>2354</v>
      </c>
    </row>
    <row r="1938" spans="1:9" x14ac:dyDescent="0.25">
      <c r="A1938" t="s">
        <v>220</v>
      </c>
      <c r="B1938" t="s">
        <v>5430</v>
      </c>
      <c r="C1938" t="s">
        <v>5444</v>
      </c>
      <c r="D1938" t="s">
        <v>8531</v>
      </c>
      <c r="F1938">
        <v>82</v>
      </c>
      <c r="G1938">
        <v>4.0895999999999999</v>
      </c>
      <c r="H1938">
        <v>335.34719999999999</v>
      </c>
      <c r="I1938" t="s">
        <v>2354</v>
      </c>
    </row>
    <row r="1939" spans="1:9" x14ac:dyDescent="0.25">
      <c r="A1939" t="s">
        <v>220</v>
      </c>
      <c r="B1939" t="s">
        <v>5430</v>
      </c>
      <c r="C1939" t="s">
        <v>8532</v>
      </c>
      <c r="D1939" t="s">
        <v>6731</v>
      </c>
      <c r="F1939">
        <v>20</v>
      </c>
      <c r="G1939">
        <v>0.86219999999999997</v>
      </c>
      <c r="H1939">
        <v>17.244</v>
      </c>
      <c r="I1939" t="s">
        <v>2354</v>
      </c>
    </row>
    <row r="1940" spans="1:9" x14ac:dyDescent="0.25">
      <c r="A1940" t="s">
        <v>220</v>
      </c>
      <c r="B1940" t="s">
        <v>5430</v>
      </c>
      <c r="C1940" t="s">
        <v>5376</v>
      </c>
      <c r="D1940" t="s">
        <v>5377</v>
      </c>
      <c r="F1940">
        <v>50</v>
      </c>
      <c r="G1940">
        <v>1.3653</v>
      </c>
      <c r="H1940">
        <v>68.265000000000001</v>
      </c>
      <c r="I1940" t="s">
        <v>2354</v>
      </c>
    </row>
    <row r="1941" spans="1:9" x14ac:dyDescent="0.25">
      <c r="A1941" t="s">
        <v>220</v>
      </c>
      <c r="B1941" t="s">
        <v>5430</v>
      </c>
      <c r="C1941" t="s">
        <v>3961</v>
      </c>
      <c r="D1941" t="s">
        <v>8533</v>
      </c>
      <c r="F1941">
        <v>100</v>
      </c>
      <c r="G1941">
        <v>0.96513000000000004</v>
      </c>
      <c r="H1941">
        <v>96.513000000000005</v>
      </c>
      <c r="I1941" t="s">
        <v>2354</v>
      </c>
    </row>
    <row r="1942" spans="1:9" x14ac:dyDescent="0.25">
      <c r="A1942" t="s">
        <v>220</v>
      </c>
      <c r="B1942" t="s">
        <v>5430</v>
      </c>
      <c r="C1942" t="s">
        <v>6732</v>
      </c>
      <c r="D1942" t="s">
        <v>8534</v>
      </c>
      <c r="F1942">
        <v>100</v>
      </c>
      <c r="G1942">
        <v>0.96460000000000012</v>
      </c>
      <c r="H1942">
        <v>96.460000000000008</v>
      </c>
      <c r="I1942" t="s">
        <v>2354</v>
      </c>
    </row>
    <row r="1943" spans="1:9" x14ac:dyDescent="0.25">
      <c r="A1943" t="s">
        <v>220</v>
      </c>
      <c r="B1943" t="s">
        <v>5430</v>
      </c>
      <c r="C1943" t="s">
        <v>3969</v>
      </c>
      <c r="D1943" t="s">
        <v>8535</v>
      </c>
      <c r="F1943">
        <v>50</v>
      </c>
      <c r="G1943">
        <v>2.85615</v>
      </c>
      <c r="H1943">
        <v>142.8075</v>
      </c>
      <c r="I1943" t="s">
        <v>2354</v>
      </c>
    </row>
    <row r="1944" spans="1:9" x14ac:dyDescent="0.25">
      <c r="A1944" t="s">
        <v>220</v>
      </c>
      <c r="B1944" t="s">
        <v>5430</v>
      </c>
      <c r="C1944" t="s">
        <v>8536</v>
      </c>
      <c r="D1944" t="s">
        <v>8537</v>
      </c>
      <c r="F1944">
        <v>50</v>
      </c>
      <c r="G1944">
        <v>0</v>
      </c>
      <c r="H1944">
        <v>0</v>
      </c>
      <c r="I1944" t="s">
        <v>2354</v>
      </c>
    </row>
    <row r="1945" spans="1:9" x14ac:dyDescent="0.25">
      <c r="A1945" t="s">
        <v>220</v>
      </c>
      <c r="B1945" t="s">
        <v>5430</v>
      </c>
      <c r="C1945" t="s">
        <v>6734</v>
      </c>
      <c r="D1945" t="s">
        <v>8538</v>
      </c>
      <c r="F1945">
        <v>30</v>
      </c>
      <c r="G1945">
        <v>14.5176</v>
      </c>
      <c r="H1945">
        <v>435.52800000000002</v>
      </c>
      <c r="I1945" t="s">
        <v>2354</v>
      </c>
    </row>
    <row r="1946" spans="1:9" x14ac:dyDescent="0.25">
      <c r="A1946" t="s">
        <v>220</v>
      </c>
      <c r="B1946" t="s">
        <v>5430</v>
      </c>
      <c r="C1946" t="s">
        <v>8539</v>
      </c>
      <c r="D1946" t="s">
        <v>8540</v>
      </c>
      <c r="F1946">
        <v>2</v>
      </c>
      <c r="G1946">
        <v>0</v>
      </c>
      <c r="H1946">
        <v>0</v>
      </c>
      <c r="I1946" t="s">
        <v>2354</v>
      </c>
    </row>
    <row r="1947" spans="1:9" x14ac:dyDescent="0.25">
      <c r="A1947" t="s">
        <v>220</v>
      </c>
      <c r="B1947" t="s">
        <v>5430</v>
      </c>
      <c r="C1947" t="s">
        <v>3977</v>
      </c>
      <c r="D1947" t="s">
        <v>3978</v>
      </c>
      <c r="F1947">
        <v>35</v>
      </c>
      <c r="G1947">
        <v>3.0068999999999999</v>
      </c>
      <c r="H1947">
        <v>105.2415</v>
      </c>
      <c r="I1947" t="s">
        <v>2354</v>
      </c>
    </row>
    <row r="1948" spans="1:9" x14ac:dyDescent="0.25">
      <c r="A1948" t="s">
        <v>220</v>
      </c>
      <c r="B1948" t="s">
        <v>5430</v>
      </c>
      <c r="C1948" t="s">
        <v>3979</v>
      </c>
      <c r="D1948" t="s">
        <v>3980</v>
      </c>
      <c r="F1948">
        <v>21</v>
      </c>
      <c r="G1948">
        <v>4.0301999999999998</v>
      </c>
      <c r="H1948">
        <v>84.634199999999993</v>
      </c>
      <c r="I1948" t="s">
        <v>2354</v>
      </c>
    </row>
    <row r="1949" spans="1:9" x14ac:dyDescent="0.25">
      <c r="A1949" t="s">
        <v>220</v>
      </c>
      <c r="B1949" t="s">
        <v>5430</v>
      </c>
      <c r="C1949" t="s">
        <v>3981</v>
      </c>
      <c r="D1949" t="s">
        <v>3982</v>
      </c>
      <c r="F1949">
        <v>80</v>
      </c>
      <c r="G1949">
        <v>5.67</v>
      </c>
      <c r="H1949">
        <v>453.6</v>
      </c>
      <c r="I1949" t="s">
        <v>2354</v>
      </c>
    </row>
    <row r="1950" spans="1:9" x14ac:dyDescent="0.25">
      <c r="A1950" t="s">
        <v>220</v>
      </c>
      <c r="B1950" t="s">
        <v>5430</v>
      </c>
      <c r="C1950" t="s">
        <v>3983</v>
      </c>
      <c r="D1950" t="s">
        <v>8541</v>
      </c>
      <c r="F1950">
        <v>10</v>
      </c>
      <c r="G1950">
        <v>0.61426999999999998</v>
      </c>
      <c r="H1950">
        <v>6.1426999999999996</v>
      </c>
      <c r="I1950" t="s">
        <v>2354</v>
      </c>
    </row>
    <row r="1951" spans="1:9" x14ac:dyDescent="0.25">
      <c r="A1951" t="s">
        <v>220</v>
      </c>
      <c r="B1951" t="s">
        <v>5430</v>
      </c>
      <c r="C1951" t="s">
        <v>6737</v>
      </c>
      <c r="D1951" t="s">
        <v>6738</v>
      </c>
      <c r="F1951">
        <v>20</v>
      </c>
      <c r="G1951">
        <v>2.2185800000000002</v>
      </c>
      <c r="H1951">
        <v>44.371600000000001</v>
      </c>
      <c r="I1951" t="s">
        <v>2354</v>
      </c>
    </row>
    <row r="1952" spans="1:9" x14ac:dyDescent="0.25">
      <c r="A1952" t="s">
        <v>220</v>
      </c>
      <c r="B1952" t="s">
        <v>5430</v>
      </c>
      <c r="C1952" t="s">
        <v>8542</v>
      </c>
      <c r="D1952" t="s">
        <v>8543</v>
      </c>
      <c r="F1952">
        <v>4</v>
      </c>
      <c r="G1952">
        <v>0</v>
      </c>
      <c r="H1952">
        <v>0</v>
      </c>
      <c r="I1952" t="s">
        <v>2354</v>
      </c>
    </row>
    <row r="1953" spans="1:9" x14ac:dyDescent="0.25">
      <c r="A1953" t="s">
        <v>220</v>
      </c>
      <c r="B1953" t="s">
        <v>5430</v>
      </c>
      <c r="C1953" t="s">
        <v>3987</v>
      </c>
      <c r="D1953" t="s">
        <v>3988</v>
      </c>
      <c r="F1953">
        <v>120</v>
      </c>
      <c r="G1953">
        <v>4.0857700000000001</v>
      </c>
      <c r="H1953">
        <v>490.29240000000004</v>
      </c>
      <c r="I1953" t="s">
        <v>2354</v>
      </c>
    </row>
    <row r="1954" spans="1:9" x14ac:dyDescent="0.25">
      <c r="A1954" t="s">
        <v>220</v>
      </c>
      <c r="B1954" t="s">
        <v>5430</v>
      </c>
      <c r="C1954" t="s">
        <v>6739</v>
      </c>
      <c r="D1954" t="s">
        <v>6740</v>
      </c>
      <c r="F1954">
        <v>25</v>
      </c>
      <c r="G1954">
        <v>0</v>
      </c>
      <c r="H1954">
        <v>0</v>
      </c>
      <c r="I1954" t="s">
        <v>2354</v>
      </c>
    </row>
    <row r="1955" spans="1:9" x14ac:dyDescent="0.25">
      <c r="A1955" t="s">
        <v>220</v>
      </c>
      <c r="B1955" t="s">
        <v>5430</v>
      </c>
      <c r="C1955" t="s">
        <v>6741</v>
      </c>
      <c r="D1955" t="s">
        <v>6742</v>
      </c>
      <c r="F1955">
        <v>20</v>
      </c>
      <c r="G1955">
        <v>6.3679800000000002</v>
      </c>
      <c r="H1955">
        <v>127.3596</v>
      </c>
      <c r="I1955" t="s">
        <v>2354</v>
      </c>
    </row>
    <row r="1956" spans="1:9" x14ac:dyDescent="0.25">
      <c r="A1956" t="s">
        <v>220</v>
      </c>
      <c r="B1956" t="s">
        <v>5430</v>
      </c>
      <c r="C1956" t="s">
        <v>8544</v>
      </c>
      <c r="D1956" t="s">
        <v>8545</v>
      </c>
      <c r="F1956">
        <v>45</v>
      </c>
      <c r="G1956">
        <v>0</v>
      </c>
      <c r="H1956">
        <v>0</v>
      </c>
      <c r="I1956" t="s">
        <v>2354</v>
      </c>
    </row>
    <row r="1957" spans="1:9" x14ac:dyDescent="0.25">
      <c r="A1957" t="s">
        <v>220</v>
      </c>
      <c r="B1957" t="s">
        <v>5430</v>
      </c>
      <c r="C1957" t="s">
        <v>4049</v>
      </c>
      <c r="D1957" t="s">
        <v>8546</v>
      </c>
      <c r="F1957">
        <v>189</v>
      </c>
      <c r="G1957">
        <v>0.68720000000000003</v>
      </c>
      <c r="H1957">
        <v>129.88079999999999</v>
      </c>
      <c r="I1957" t="s">
        <v>2354</v>
      </c>
    </row>
    <row r="1958" spans="1:9" x14ac:dyDescent="0.25">
      <c r="A1958" t="s">
        <v>220</v>
      </c>
      <c r="B1958" t="s">
        <v>5430</v>
      </c>
      <c r="C1958" t="s">
        <v>6781</v>
      </c>
      <c r="D1958" t="s">
        <v>8547</v>
      </c>
      <c r="F1958">
        <v>55</v>
      </c>
      <c r="G1958">
        <v>1.9024714285714286</v>
      </c>
      <c r="H1958">
        <v>104.63592857142858</v>
      </c>
      <c r="I1958" t="s">
        <v>2354</v>
      </c>
    </row>
    <row r="1959" spans="1:9" x14ac:dyDescent="0.25">
      <c r="A1959" t="s">
        <v>220</v>
      </c>
      <c r="B1959" t="s">
        <v>5430</v>
      </c>
      <c r="C1959" t="s">
        <v>4051</v>
      </c>
      <c r="D1959" t="s">
        <v>8548</v>
      </c>
      <c r="F1959">
        <v>47</v>
      </c>
      <c r="G1959">
        <v>1.3051500000000003</v>
      </c>
      <c r="H1959">
        <v>61.342050000000015</v>
      </c>
      <c r="I1959" t="s">
        <v>2354</v>
      </c>
    </row>
    <row r="1960" spans="1:9" x14ac:dyDescent="0.25">
      <c r="A1960" t="s">
        <v>220</v>
      </c>
      <c r="B1960" t="s">
        <v>5430</v>
      </c>
      <c r="C1960" t="s">
        <v>6783</v>
      </c>
      <c r="D1960" t="s">
        <v>6784</v>
      </c>
      <c r="F1960">
        <v>200</v>
      </c>
      <c r="G1960">
        <v>8.5500000000000007E-2</v>
      </c>
      <c r="H1960">
        <v>17.100000000000001</v>
      </c>
      <c r="I1960" t="s">
        <v>2354</v>
      </c>
    </row>
    <row r="1961" spans="1:9" x14ac:dyDescent="0.25">
      <c r="A1961" t="s">
        <v>220</v>
      </c>
      <c r="B1961" t="s">
        <v>5430</v>
      </c>
      <c r="C1961" t="s">
        <v>6785</v>
      </c>
      <c r="D1961" t="s">
        <v>6786</v>
      </c>
      <c r="F1961">
        <v>200</v>
      </c>
      <c r="G1961">
        <v>0.11700000000000001</v>
      </c>
      <c r="H1961">
        <v>23.400000000000002</v>
      </c>
      <c r="I1961" t="s">
        <v>2354</v>
      </c>
    </row>
    <row r="1962" spans="1:9" x14ac:dyDescent="0.25">
      <c r="A1962" t="s">
        <v>220</v>
      </c>
      <c r="B1962" t="s">
        <v>5430</v>
      </c>
      <c r="C1962" t="s">
        <v>8549</v>
      </c>
      <c r="D1962" t="s">
        <v>6788</v>
      </c>
      <c r="F1962">
        <v>20</v>
      </c>
      <c r="G1962">
        <v>1.2172000000000001</v>
      </c>
      <c r="H1962">
        <v>24.344000000000001</v>
      </c>
      <c r="I1962" t="s">
        <v>2354</v>
      </c>
    </row>
    <row r="1963" spans="1:9" x14ac:dyDescent="0.25">
      <c r="A1963" t="s">
        <v>220</v>
      </c>
      <c r="B1963" t="s">
        <v>5430</v>
      </c>
      <c r="C1963" t="s">
        <v>4061</v>
      </c>
      <c r="D1963" t="s">
        <v>4062</v>
      </c>
      <c r="F1963">
        <v>150</v>
      </c>
      <c r="G1963">
        <v>7.4999999999999997E-2</v>
      </c>
      <c r="H1963">
        <v>11.25</v>
      </c>
      <c r="I1963" t="s">
        <v>2354</v>
      </c>
    </row>
    <row r="1964" spans="1:9" x14ac:dyDescent="0.25">
      <c r="A1964" t="s">
        <v>220</v>
      </c>
      <c r="B1964" t="s">
        <v>5430</v>
      </c>
      <c r="C1964" t="s">
        <v>4063</v>
      </c>
      <c r="D1964" t="s">
        <v>4064</v>
      </c>
      <c r="F1964">
        <v>156</v>
      </c>
      <c r="G1964">
        <v>7.4999999999999997E-2</v>
      </c>
      <c r="H1964">
        <v>11.7</v>
      </c>
      <c r="I1964" t="s">
        <v>2354</v>
      </c>
    </row>
    <row r="1965" spans="1:9" x14ac:dyDescent="0.25">
      <c r="A1965" t="s">
        <v>220</v>
      </c>
      <c r="B1965" t="s">
        <v>5430</v>
      </c>
      <c r="C1965" t="s">
        <v>4065</v>
      </c>
      <c r="D1965" t="s">
        <v>4066</v>
      </c>
      <c r="F1965">
        <v>45</v>
      </c>
      <c r="G1965">
        <v>0.22196666666666667</v>
      </c>
      <c r="H1965">
        <v>9.9885000000000002</v>
      </c>
      <c r="I1965" t="s">
        <v>2354</v>
      </c>
    </row>
    <row r="1966" spans="1:9" x14ac:dyDescent="0.25">
      <c r="A1966" t="s">
        <v>220</v>
      </c>
      <c r="B1966" t="s">
        <v>5430</v>
      </c>
      <c r="C1966" t="s">
        <v>4067</v>
      </c>
      <c r="D1966" t="s">
        <v>4068</v>
      </c>
      <c r="F1966">
        <v>50</v>
      </c>
      <c r="G1966">
        <v>0.19326999999999997</v>
      </c>
      <c r="H1966">
        <v>9.6634999999999991</v>
      </c>
      <c r="I1966" t="s">
        <v>2354</v>
      </c>
    </row>
    <row r="1967" spans="1:9" x14ac:dyDescent="0.25">
      <c r="A1967" t="s">
        <v>220</v>
      </c>
      <c r="B1967" t="s">
        <v>5430</v>
      </c>
      <c r="C1967" t="s">
        <v>4069</v>
      </c>
      <c r="D1967" t="s">
        <v>4070</v>
      </c>
      <c r="F1967">
        <v>190</v>
      </c>
      <c r="G1967">
        <v>7.2999999999999995E-2</v>
      </c>
      <c r="H1967">
        <v>13.87</v>
      </c>
      <c r="I1967" t="s">
        <v>2354</v>
      </c>
    </row>
    <row r="1968" spans="1:9" x14ac:dyDescent="0.25">
      <c r="A1968" t="s">
        <v>220</v>
      </c>
      <c r="B1968" t="s">
        <v>5430</v>
      </c>
      <c r="C1968" t="s">
        <v>4071</v>
      </c>
      <c r="D1968" t="s">
        <v>8550</v>
      </c>
      <c r="F1968">
        <v>81</v>
      </c>
      <c r="G1968">
        <v>0.11814</v>
      </c>
      <c r="H1968">
        <v>9.5693400000000004</v>
      </c>
      <c r="I1968" t="s">
        <v>2354</v>
      </c>
    </row>
    <row r="1969" spans="1:9" x14ac:dyDescent="0.25">
      <c r="A1969" t="s">
        <v>220</v>
      </c>
      <c r="B1969" t="s">
        <v>5430</v>
      </c>
      <c r="C1969" t="s">
        <v>4073</v>
      </c>
      <c r="D1969" t="s">
        <v>4074</v>
      </c>
      <c r="F1969">
        <v>210</v>
      </c>
      <c r="G1969">
        <v>0.87570000000000003</v>
      </c>
      <c r="H1969">
        <v>183.89700000000002</v>
      </c>
      <c r="I1969" t="s">
        <v>2354</v>
      </c>
    </row>
    <row r="1970" spans="1:9" x14ac:dyDescent="0.25">
      <c r="A1970" t="s">
        <v>220</v>
      </c>
      <c r="B1970" t="s">
        <v>5430</v>
      </c>
      <c r="C1970" t="s">
        <v>8551</v>
      </c>
      <c r="D1970" t="s">
        <v>8552</v>
      </c>
      <c r="F1970">
        <v>100</v>
      </c>
      <c r="G1970">
        <v>0</v>
      </c>
      <c r="H1970">
        <v>0</v>
      </c>
      <c r="I1970" t="s">
        <v>2354</v>
      </c>
    </row>
    <row r="1971" spans="1:9" x14ac:dyDescent="0.25">
      <c r="A1971" t="s">
        <v>220</v>
      </c>
      <c r="B1971" t="s">
        <v>5430</v>
      </c>
      <c r="C1971" t="s">
        <v>6789</v>
      </c>
      <c r="D1971" t="s">
        <v>8553</v>
      </c>
      <c r="F1971">
        <v>192</v>
      </c>
      <c r="G1971">
        <v>0.39600000000000002</v>
      </c>
      <c r="H1971">
        <v>76.032000000000011</v>
      </c>
      <c r="I1971" t="s">
        <v>2354</v>
      </c>
    </row>
    <row r="1972" spans="1:9" x14ac:dyDescent="0.25">
      <c r="A1972" t="s">
        <v>220</v>
      </c>
      <c r="B1972" t="s">
        <v>5430</v>
      </c>
      <c r="C1972" t="s">
        <v>8554</v>
      </c>
      <c r="D1972" t="s">
        <v>8555</v>
      </c>
      <c r="F1972">
        <v>50</v>
      </c>
      <c r="G1972">
        <v>0</v>
      </c>
      <c r="H1972">
        <v>0</v>
      </c>
      <c r="I1972" t="s">
        <v>2354</v>
      </c>
    </row>
    <row r="1973" spans="1:9" x14ac:dyDescent="0.25">
      <c r="A1973" t="s">
        <v>220</v>
      </c>
      <c r="B1973" t="s">
        <v>5430</v>
      </c>
      <c r="C1973" t="s">
        <v>6865</v>
      </c>
      <c r="D1973" t="s">
        <v>8556</v>
      </c>
      <c r="F1973">
        <v>58</v>
      </c>
      <c r="G1973">
        <v>5.3904857142857141</v>
      </c>
      <c r="H1973">
        <v>312.6481714285714</v>
      </c>
      <c r="I1973" t="s">
        <v>2354</v>
      </c>
    </row>
    <row r="1974" spans="1:9" x14ac:dyDescent="0.25">
      <c r="A1974" t="s">
        <v>220</v>
      </c>
      <c r="B1974" t="s">
        <v>5430</v>
      </c>
      <c r="C1974" t="s">
        <v>4199</v>
      </c>
      <c r="D1974" t="s">
        <v>8557</v>
      </c>
      <c r="F1974">
        <v>2</v>
      </c>
      <c r="G1974">
        <v>5.2329999999999997</v>
      </c>
      <c r="H1974">
        <v>10.465999999999999</v>
      </c>
      <c r="I1974" t="s">
        <v>2354</v>
      </c>
    </row>
    <row r="1975" spans="1:9" x14ac:dyDescent="0.25">
      <c r="A1975" t="s">
        <v>220</v>
      </c>
      <c r="B1975" t="s">
        <v>5430</v>
      </c>
      <c r="C1975" t="s">
        <v>4201</v>
      </c>
      <c r="D1975" t="s">
        <v>8558</v>
      </c>
      <c r="F1975">
        <v>44</v>
      </c>
      <c r="G1975">
        <v>3.4649999999999999</v>
      </c>
      <c r="H1975">
        <v>152.45999999999998</v>
      </c>
      <c r="I1975" t="s">
        <v>2354</v>
      </c>
    </row>
    <row r="1976" spans="1:9" x14ac:dyDescent="0.25">
      <c r="A1976" t="s">
        <v>220</v>
      </c>
      <c r="B1976" t="s">
        <v>5430</v>
      </c>
      <c r="C1976" t="s">
        <v>4203</v>
      </c>
      <c r="D1976" t="s">
        <v>8559</v>
      </c>
      <c r="F1976">
        <v>4</v>
      </c>
      <c r="G1976">
        <v>5.4135</v>
      </c>
      <c r="H1976">
        <v>21.654</v>
      </c>
      <c r="I1976" t="s">
        <v>2354</v>
      </c>
    </row>
    <row r="1977" spans="1:9" x14ac:dyDescent="0.25">
      <c r="A1977" t="s">
        <v>220</v>
      </c>
      <c r="B1977" t="s">
        <v>5430</v>
      </c>
      <c r="C1977" t="s">
        <v>6866</v>
      </c>
      <c r="D1977" t="s">
        <v>8560</v>
      </c>
      <c r="F1977">
        <v>15</v>
      </c>
      <c r="G1977">
        <v>9.512100000000002</v>
      </c>
      <c r="H1977">
        <v>142.68150000000003</v>
      </c>
      <c r="I1977" t="s">
        <v>2354</v>
      </c>
    </row>
    <row r="1978" spans="1:9" x14ac:dyDescent="0.25">
      <c r="A1978" t="s">
        <v>220</v>
      </c>
      <c r="B1978" t="s">
        <v>5430</v>
      </c>
      <c r="C1978" t="s">
        <v>4205</v>
      </c>
      <c r="D1978" t="s">
        <v>8561</v>
      </c>
      <c r="F1978">
        <v>7</v>
      </c>
      <c r="G1978">
        <v>2.0790000000000002</v>
      </c>
      <c r="H1978">
        <v>14.553000000000001</v>
      </c>
      <c r="I1978" t="s">
        <v>2354</v>
      </c>
    </row>
    <row r="1979" spans="1:9" x14ac:dyDescent="0.25">
      <c r="A1979" t="s">
        <v>220</v>
      </c>
      <c r="B1979" t="s">
        <v>5430</v>
      </c>
      <c r="C1979" t="s">
        <v>4207</v>
      </c>
      <c r="D1979" t="s">
        <v>8562</v>
      </c>
      <c r="F1979">
        <v>44</v>
      </c>
      <c r="G1979">
        <v>2.7423000000000002</v>
      </c>
      <c r="H1979">
        <v>120.66120000000001</v>
      </c>
      <c r="I1979" t="s">
        <v>2354</v>
      </c>
    </row>
    <row r="1980" spans="1:9" x14ac:dyDescent="0.25">
      <c r="A1980" t="s">
        <v>220</v>
      </c>
      <c r="B1980" t="s">
        <v>5430</v>
      </c>
      <c r="C1980" t="s">
        <v>4209</v>
      </c>
      <c r="D1980" t="s">
        <v>8563</v>
      </c>
      <c r="F1980">
        <v>29</v>
      </c>
      <c r="G1980">
        <v>4.5233999999999996</v>
      </c>
      <c r="H1980">
        <v>131.17859999999999</v>
      </c>
      <c r="I1980" t="s">
        <v>2354</v>
      </c>
    </row>
    <row r="1981" spans="1:9" x14ac:dyDescent="0.25">
      <c r="A1981" t="s">
        <v>220</v>
      </c>
      <c r="B1981" t="s">
        <v>5430</v>
      </c>
      <c r="C1981" t="s">
        <v>4217</v>
      </c>
      <c r="D1981" t="s">
        <v>4218</v>
      </c>
      <c r="F1981">
        <v>102</v>
      </c>
      <c r="G1981">
        <v>0.28150974025974029</v>
      </c>
      <c r="H1981">
        <v>28.713993506493509</v>
      </c>
      <c r="I1981" t="s">
        <v>2354</v>
      </c>
    </row>
    <row r="1982" spans="1:9" x14ac:dyDescent="0.25">
      <c r="A1982" t="s">
        <v>220</v>
      </c>
      <c r="B1982" t="s">
        <v>5430</v>
      </c>
      <c r="C1982" t="s">
        <v>6868</v>
      </c>
      <c r="D1982" t="s">
        <v>8564</v>
      </c>
      <c r="F1982">
        <v>3</v>
      </c>
      <c r="G1982">
        <v>3.15</v>
      </c>
      <c r="H1982">
        <v>9.4499999999999993</v>
      </c>
      <c r="I1982" t="s">
        <v>2354</v>
      </c>
    </row>
    <row r="1983" spans="1:9" x14ac:dyDescent="0.25">
      <c r="A1983" t="s">
        <v>220</v>
      </c>
      <c r="B1983" t="s">
        <v>5430</v>
      </c>
      <c r="C1983" t="s">
        <v>4343</v>
      </c>
      <c r="D1983" t="s">
        <v>8565</v>
      </c>
      <c r="F1983">
        <v>23</v>
      </c>
      <c r="G1983">
        <v>1.615</v>
      </c>
      <c r="H1983">
        <v>37.145000000000003</v>
      </c>
      <c r="I1983" t="s">
        <v>2354</v>
      </c>
    </row>
    <row r="1984" spans="1:9" x14ac:dyDescent="0.25">
      <c r="A1984" t="s">
        <v>220</v>
      </c>
      <c r="B1984" t="s">
        <v>5430</v>
      </c>
      <c r="C1984" t="s">
        <v>6954</v>
      </c>
      <c r="D1984" t="s">
        <v>6955</v>
      </c>
      <c r="F1984">
        <v>1</v>
      </c>
      <c r="G1984">
        <v>2.7233999999999998</v>
      </c>
      <c r="H1984">
        <v>2.7233999999999998</v>
      </c>
      <c r="I1984" t="s">
        <v>2354</v>
      </c>
    </row>
    <row r="1985" spans="1:9" x14ac:dyDescent="0.25">
      <c r="A1985" t="s">
        <v>220</v>
      </c>
      <c r="B1985" t="s">
        <v>5430</v>
      </c>
      <c r="C1985" t="s">
        <v>4371</v>
      </c>
      <c r="D1985" t="s">
        <v>4372</v>
      </c>
      <c r="F1985">
        <v>12</v>
      </c>
      <c r="G1985">
        <v>2.15</v>
      </c>
      <c r="H1985">
        <v>25.799999999999997</v>
      </c>
      <c r="I1985" t="s">
        <v>2354</v>
      </c>
    </row>
    <row r="1986" spans="1:9" x14ac:dyDescent="0.25">
      <c r="A1986" t="s">
        <v>220</v>
      </c>
      <c r="B1986" t="s">
        <v>5430</v>
      </c>
      <c r="C1986" t="s">
        <v>4375</v>
      </c>
      <c r="D1986" t="s">
        <v>4376</v>
      </c>
      <c r="F1986">
        <v>76</v>
      </c>
      <c r="G1986">
        <v>0.66420000000000001</v>
      </c>
      <c r="H1986">
        <v>50.479199999999999</v>
      </c>
      <c r="I1986" t="s">
        <v>2354</v>
      </c>
    </row>
    <row r="1987" spans="1:9" x14ac:dyDescent="0.25">
      <c r="A1987" t="s">
        <v>220</v>
      </c>
      <c r="B1987" t="s">
        <v>5430</v>
      </c>
      <c r="C1987" t="s">
        <v>6957</v>
      </c>
      <c r="D1987" t="s">
        <v>6958</v>
      </c>
      <c r="F1987">
        <v>1</v>
      </c>
      <c r="G1987">
        <v>2.8313999999999999</v>
      </c>
      <c r="H1987">
        <v>2.8313999999999999</v>
      </c>
      <c r="I1987" t="s">
        <v>2354</v>
      </c>
    </row>
    <row r="1988" spans="1:9" x14ac:dyDescent="0.25">
      <c r="A1988" t="s">
        <v>220</v>
      </c>
      <c r="B1988" t="s">
        <v>5430</v>
      </c>
      <c r="C1988" t="s">
        <v>6959</v>
      </c>
      <c r="D1988" t="s">
        <v>6960</v>
      </c>
      <c r="F1988">
        <v>2</v>
      </c>
      <c r="G1988">
        <v>2.8313999999999999</v>
      </c>
      <c r="H1988">
        <v>5.6627999999999998</v>
      </c>
      <c r="I1988" t="s">
        <v>2354</v>
      </c>
    </row>
    <row r="1989" spans="1:9" x14ac:dyDescent="0.25">
      <c r="A1989" t="s">
        <v>220</v>
      </c>
      <c r="B1989" t="s">
        <v>5430</v>
      </c>
      <c r="C1989" t="s">
        <v>4377</v>
      </c>
      <c r="D1989" t="s">
        <v>4378</v>
      </c>
      <c r="F1989">
        <v>27</v>
      </c>
      <c r="G1989">
        <v>2.2103999999999999</v>
      </c>
      <c r="H1989">
        <v>59.680799999999998</v>
      </c>
      <c r="I1989" t="s">
        <v>2354</v>
      </c>
    </row>
    <row r="1990" spans="1:9" x14ac:dyDescent="0.25">
      <c r="A1990" t="s">
        <v>220</v>
      </c>
      <c r="B1990" t="s">
        <v>5430</v>
      </c>
      <c r="C1990" t="s">
        <v>6961</v>
      </c>
      <c r="D1990" t="s">
        <v>8566</v>
      </c>
      <c r="F1990">
        <v>1</v>
      </c>
      <c r="G1990">
        <v>17.213999999999999</v>
      </c>
      <c r="H1990">
        <v>17.213999999999999</v>
      </c>
      <c r="I1990" t="s">
        <v>2354</v>
      </c>
    </row>
    <row r="1991" spans="1:9" x14ac:dyDescent="0.25">
      <c r="A1991" t="s">
        <v>220</v>
      </c>
      <c r="B1991" t="s">
        <v>5430</v>
      </c>
      <c r="C1991" t="s">
        <v>4381</v>
      </c>
      <c r="D1991" t="s">
        <v>4382</v>
      </c>
      <c r="F1991">
        <v>1</v>
      </c>
      <c r="G1991">
        <v>11.684100000000001</v>
      </c>
      <c r="H1991">
        <v>11.684100000000001</v>
      </c>
      <c r="I1991" t="s">
        <v>2354</v>
      </c>
    </row>
    <row r="1992" spans="1:9" x14ac:dyDescent="0.25">
      <c r="A1992" t="s">
        <v>220</v>
      </c>
      <c r="B1992" t="s">
        <v>5430</v>
      </c>
      <c r="C1992" t="s">
        <v>4395</v>
      </c>
      <c r="D1992" t="s">
        <v>4396</v>
      </c>
      <c r="F1992">
        <v>17</v>
      </c>
      <c r="G1992">
        <v>6.8080000000000007</v>
      </c>
      <c r="H1992">
        <v>115.73600000000002</v>
      </c>
      <c r="I1992" t="s">
        <v>2354</v>
      </c>
    </row>
    <row r="1993" spans="1:9" x14ac:dyDescent="0.25">
      <c r="A1993" t="s">
        <v>220</v>
      </c>
      <c r="B1993" t="s">
        <v>5430</v>
      </c>
      <c r="C1993" t="s">
        <v>8567</v>
      </c>
      <c r="D1993" t="s">
        <v>8568</v>
      </c>
      <c r="F1993">
        <v>3</v>
      </c>
      <c r="G1993">
        <v>0</v>
      </c>
      <c r="H1993">
        <v>0</v>
      </c>
      <c r="I1993" t="s">
        <v>2354</v>
      </c>
    </row>
    <row r="1994" spans="1:9" x14ac:dyDescent="0.25">
      <c r="A1994" t="s">
        <v>220</v>
      </c>
      <c r="B1994" t="s">
        <v>5430</v>
      </c>
      <c r="C1994" t="s">
        <v>4403</v>
      </c>
      <c r="D1994" t="s">
        <v>8569</v>
      </c>
      <c r="F1994">
        <v>20</v>
      </c>
      <c r="G1994">
        <v>0.91877982456140361</v>
      </c>
      <c r="H1994">
        <v>18.375596491228073</v>
      </c>
      <c r="I1994" t="s">
        <v>2354</v>
      </c>
    </row>
    <row r="1995" spans="1:9" x14ac:dyDescent="0.25">
      <c r="A1995" t="s">
        <v>220</v>
      </c>
      <c r="B1995" t="s">
        <v>5430</v>
      </c>
      <c r="C1995" t="s">
        <v>6963</v>
      </c>
      <c r="D1995" t="s">
        <v>8570</v>
      </c>
      <c r="F1995">
        <v>5</v>
      </c>
      <c r="G1995">
        <v>6.1582499999999998</v>
      </c>
      <c r="H1995">
        <v>30.791249999999998</v>
      </c>
      <c r="I1995" t="s">
        <v>2354</v>
      </c>
    </row>
    <row r="1996" spans="1:9" x14ac:dyDescent="0.25">
      <c r="A1996" t="s">
        <v>220</v>
      </c>
      <c r="B1996" t="s">
        <v>5430</v>
      </c>
      <c r="C1996" t="s">
        <v>5410</v>
      </c>
      <c r="D1996" t="s">
        <v>8571</v>
      </c>
      <c r="F1996">
        <v>1</v>
      </c>
      <c r="G1996">
        <v>0</v>
      </c>
      <c r="H1996">
        <v>0</v>
      </c>
      <c r="I1996" t="s">
        <v>2354</v>
      </c>
    </row>
    <row r="1997" spans="1:9" x14ac:dyDescent="0.25">
      <c r="A1997" t="s">
        <v>220</v>
      </c>
      <c r="B1997" t="s">
        <v>5430</v>
      </c>
      <c r="C1997" t="s">
        <v>4442</v>
      </c>
      <c r="D1997" t="s">
        <v>8572</v>
      </c>
      <c r="F1997">
        <v>10</v>
      </c>
      <c r="G1997">
        <v>0.23452000000000001</v>
      </c>
      <c r="H1997">
        <v>2.3452000000000002</v>
      </c>
      <c r="I1997" t="s">
        <v>2354</v>
      </c>
    </row>
    <row r="1998" spans="1:9" x14ac:dyDescent="0.25">
      <c r="A1998" t="s">
        <v>220</v>
      </c>
      <c r="B1998" t="s">
        <v>5430</v>
      </c>
      <c r="C1998" t="s">
        <v>4444</v>
      </c>
      <c r="D1998" t="s">
        <v>8573</v>
      </c>
      <c r="F1998">
        <v>2</v>
      </c>
      <c r="G1998">
        <v>0.252</v>
      </c>
      <c r="H1998">
        <v>0.504</v>
      </c>
      <c r="I1998" t="s">
        <v>2354</v>
      </c>
    </row>
    <row r="1999" spans="1:9" x14ac:dyDescent="0.25">
      <c r="A1999" t="s">
        <v>220</v>
      </c>
      <c r="B1999" t="s">
        <v>5430</v>
      </c>
      <c r="C1999" t="s">
        <v>4446</v>
      </c>
      <c r="D1999" t="s">
        <v>8574</v>
      </c>
      <c r="F1999">
        <v>7</v>
      </c>
      <c r="G1999">
        <v>0.37309999999999999</v>
      </c>
      <c r="H1999">
        <v>2.6116999999999999</v>
      </c>
      <c r="I1999" t="s">
        <v>2354</v>
      </c>
    </row>
    <row r="2000" spans="1:9" x14ac:dyDescent="0.25">
      <c r="A2000" t="s">
        <v>220</v>
      </c>
      <c r="B2000" t="s">
        <v>5430</v>
      </c>
      <c r="C2000" t="s">
        <v>8575</v>
      </c>
      <c r="D2000" t="s">
        <v>8576</v>
      </c>
      <c r="F2000">
        <v>3</v>
      </c>
      <c r="G2000">
        <v>0.4128</v>
      </c>
      <c r="H2000">
        <v>1.2383999999999999</v>
      </c>
      <c r="I2000" t="s">
        <v>2354</v>
      </c>
    </row>
    <row r="2001" spans="1:9" x14ac:dyDescent="0.25">
      <c r="A2001" t="s">
        <v>220</v>
      </c>
      <c r="B2001" t="s">
        <v>5430</v>
      </c>
      <c r="C2001" t="s">
        <v>4464</v>
      </c>
      <c r="D2001" t="s">
        <v>4465</v>
      </c>
      <c r="F2001">
        <v>300</v>
      </c>
      <c r="G2001">
        <v>6.3960000000000003E-2</v>
      </c>
      <c r="H2001">
        <v>19.188000000000002</v>
      </c>
      <c r="I2001" t="s">
        <v>2354</v>
      </c>
    </row>
    <row r="2002" spans="1:9" x14ac:dyDescent="0.25">
      <c r="A2002" t="s">
        <v>220</v>
      </c>
      <c r="B2002" t="s">
        <v>5430</v>
      </c>
      <c r="C2002" t="s">
        <v>4490</v>
      </c>
      <c r="D2002" t="s">
        <v>4491</v>
      </c>
      <c r="F2002">
        <v>29</v>
      </c>
      <c r="G2002">
        <v>0.75768000000000002</v>
      </c>
      <c r="H2002">
        <v>21.972719999999999</v>
      </c>
      <c r="I2002" t="s">
        <v>2354</v>
      </c>
    </row>
    <row r="2003" spans="1:9" x14ac:dyDescent="0.25">
      <c r="A2003" t="s">
        <v>220</v>
      </c>
      <c r="B2003" t="s">
        <v>5430</v>
      </c>
      <c r="C2003" t="s">
        <v>4514</v>
      </c>
      <c r="D2003" t="s">
        <v>8577</v>
      </c>
      <c r="F2003">
        <v>5</v>
      </c>
      <c r="G2003">
        <v>2.4390000000000001</v>
      </c>
      <c r="H2003">
        <v>12.195</v>
      </c>
      <c r="I2003" t="s">
        <v>2354</v>
      </c>
    </row>
    <row r="2004" spans="1:9" x14ac:dyDescent="0.25">
      <c r="A2004" t="s">
        <v>220</v>
      </c>
      <c r="B2004" t="s">
        <v>5430</v>
      </c>
      <c r="C2004" t="s">
        <v>4516</v>
      </c>
      <c r="D2004" t="s">
        <v>8578</v>
      </c>
      <c r="F2004">
        <v>23</v>
      </c>
      <c r="G2004">
        <v>3.4286498632010942</v>
      </c>
      <c r="H2004">
        <v>78.85894685362517</v>
      </c>
      <c r="I2004" t="s">
        <v>2354</v>
      </c>
    </row>
    <row r="2005" spans="1:9" x14ac:dyDescent="0.25">
      <c r="A2005" t="s">
        <v>220</v>
      </c>
      <c r="B2005" t="s">
        <v>5430</v>
      </c>
      <c r="C2005" t="s">
        <v>4518</v>
      </c>
      <c r="D2005" t="s">
        <v>8579</v>
      </c>
      <c r="F2005">
        <v>32</v>
      </c>
      <c r="G2005">
        <v>6.48</v>
      </c>
      <c r="H2005">
        <v>207.36</v>
      </c>
      <c r="I2005" t="s">
        <v>2354</v>
      </c>
    </row>
    <row r="2006" spans="1:9" x14ac:dyDescent="0.25">
      <c r="A2006" t="s">
        <v>220</v>
      </c>
      <c r="B2006" t="s">
        <v>5430</v>
      </c>
      <c r="C2006" t="s">
        <v>7002</v>
      </c>
      <c r="D2006" t="s">
        <v>8580</v>
      </c>
      <c r="F2006">
        <v>4</v>
      </c>
      <c r="G2006">
        <v>6.8676245714285704</v>
      </c>
      <c r="H2006">
        <v>27.470498285714282</v>
      </c>
      <c r="I2006" t="s">
        <v>2354</v>
      </c>
    </row>
    <row r="2007" spans="1:9" x14ac:dyDescent="0.25">
      <c r="A2007" t="s">
        <v>220</v>
      </c>
      <c r="B2007" t="s">
        <v>5430</v>
      </c>
      <c r="C2007" t="s">
        <v>7004</v>
      </c>
      <c r="D2007" t="s">
        <v>8581</v>
      </c>
      <c r="F2007">
        <v>10</v>
      </c>
      <c r="G2007">
        <v>4.6980000000000004</v>
      </c>
      <c r="H2007">
        <v>46.980000000000004</v>
      </c>
      <c r="I2007" t="s">
        <v>2354</v>
      </c>
    </row>
    <row r="2008" spans="1:9" x14ac:dyDescent="0.25">
      <c r="A2008" t="s">
        <v>220</v>
      </c>
      <c r="B2008" t="s">
        <v>5430</v>
      </c>
      <c r="C2008" t="s">
        <v>7008</v>
      </c>
      <c r="D2008" t="s">
        <v>8582</v>
      </c>
      <c r="F2008">
        <v>200</v>
      </c>
      <c r="G2008">
        <v>1.8597999999999999</v>
      </c>
      <c r="H2008">
        <v>371.96</v>
      </c>
      <c r="I2008" t="s">
        <v>2354</v>
      </c>
    </row>
    <row r="2009" spans="1:9" x14ac:dyDescent="0.25">
      <c r="A2009" t="s">
        <v>220</v>
      </c>
      <c r="B2009" t="s">
        <v>5430</v>
      </c>
      <c r="C2009" t="s">
        <v>7010</v>
      </c>
      <c r="D2009" t="s">
        <v>8583</v>
      </c>
      <c r="F2009">
        <v>200</v>
      </c>
      <c r="G2009">
        <v>2.8559999999999999</v>
      </c>
      <c r="H2009">
        <v>571.19999999999993</v>
      </c>
      <c r="I2009" t="s">
        <v>2354</v>
      </c>
    </row>
    <row r="2010" spans="1:9" x14ac:dyDescent="0.25">
      <c r="A2010" t="s">
        <v>220</v>
      </c>
      <c r="B2010" t="s">
        <v>5430</v>
      </c>
      <c r="C2010" t="s">
        <v>7012</v>
      </c>
      <c r="D2010" t="s">
        <v>8584</v>
      </c>
      <c r="F2010">
        <v>300</v>
      </c>
      <c r="G2010">
        <v>4.4640000000000006E-2</v>
      </c>
      <c r="H2010">
        <v>13.392000000000001</v>
      </c>
      <c r="I2010" t="s">
        <v>2354</v>
      </c>
    </row>
    <row r="2011" spans="1:9" x14ac:dyDescent="0.25">
      <c r="A2011" t="s">
        <v>220</v>
      </c>
      <c r="B2011" t="s">
        <v>5430</v>
      </c>
      <c r="C2011" t="s">
        <v>8585</v>
      </c>
      <c r="D2011" t="s">
        <v>8586</v>
      </c>
      <c r="F2011">
        <v>1</v>
      </c>
      <c r="G2011">
        <v>0</v>
      </c>
      <c r="H2011">
        <v>0</v>
      </c>
      <c r="I2011" t="s">
        <v>2354</v>
      </c>
    </row>
    <row r="2012" spans="1:9" x14ac:dyDescent="0.25">
      <c r="A2012" t="s">
        <v>220</v>
      </c>
      <c r="B2012" t="s">
        <v>5430</v>
      </c>
      <c r="C2012" t="s">
        <v>7016</v>
      </c>
      <c r="D2012" t="s">
        <v>7017</v>
      </c>
      <c r="F2012">
        <v>1</v>
      </c>
      <c r="G2012">
        <v>3.903</v>
      </c>
      <c r="H2012">
        <v>3.903</v>
      </c>
      <c r="I2012" t="s">
        <v>2354</v>
      </c>
    </row>
    <row r="2013" spans="1:9" x14ac:dyDescent="0.25">
      <c r="A2013" t="s">
        <v>220</v>
      </c>
      <c r="B2013" t="s">
        <v>5430</v>
      </c>
      <c r="C2013" t="s">
        <v>7018</v>
      </c>
      <c r="D2013" t="s">
        <v>8587</v>
      </c>
      <c r="F2013">
        <v>2</v>
      </c>
      <c r="G2013">
        <v>4.9581</v>
      </c>
      <c r="H2013">
        <v>9.9161999999999999</v>
      </c>
      <c r="I2013" t="s">
        <v>2354</v>
      </c>
    </row>
    <row r="2014" spans="1:9" x14ac:dyDescent="0.25">
      <c r="A2014" t="s">
        <v>220</v>
      </c>
      <c r="B2014" t="s">
        <v>5430</v>
      </c>
      <c r="C2014" t="s">
        <v>4548</v>
      </c>
      <c r="D2014" t="s">
        <v>4549</v>
      </c>
      <c r="F2014">
        <v>19</v>
      </c>
      <c r="G2014">
        <v>1.1833238095238097</v>
      </c>
      <c r="H2014">
        <v>22.483152380952383</v>
      </c>
      <c r="I2014" t="s">
        <v>2354</v>
      </c>
    </row>
    <row r="2015" spans="1:9" x14ac:dyDescent="0.25">
      <c r="A2015" t="s">
        <v>220</v>
      </c>
      <c r="B2015" t="s">
        <v>5430</v>
      </c>
      <c r="C2015" t="s">
        <v>8588</v>
      </c>
      <c r="D2015" t="s">
        <v>8589</v>
      </c>
      <c r="F2015">
        <v>9</v>
      </c>
      <c r="G2015">
        <v>0.45760000000000006</v>
      </c>
      <c r="H2015">
        <v>4.1184000000000003</v>
      </c>
      <c r="I2015" t="s">
        <v>2354</v>
      </c>
    </row>
    <row r="2016" spans="1:9" x14ac:dyDescent="0.25">
      <c r="A2016" t="s">
        <v>220</v>
      </c>
      <c r="B2016" t="s">
        <v>5430</v>
      </c>
      <c r="C2016" t="s">
        <v>8590</v>
      </c>
      <c r="D2016" t="s">
        <v>8591</v>
      </c>
      <c r="F2016">
        <v>10</v>
      </c>
      <c r="G2016">
        <v>1.2316499999999999</v>
      </c>
      <c r="H2016">
        <v>12.3165</v>
      </c>
      <c r="I2016" t="s">
        <v>2354</v>
      </c>
    </row>
    <row r="2017" spans="1:9" x14ac:dyDescent="0.25">
      <c r="A2017" t="s">
        <v>220</v>
      </c>
      <c r="B2017" t="s">
        <v>5430</v>
      </c>
      <c r="C2017" t="s">
        <v>8592</v>
      </c>
      <c r="D2017" t="s">
        <v>8593</v>
      </c>
      <c r="F2017">
        <v>7</v>
      </c>
      <c r="G2017">
        <v>1.48</v>
      </c>
      <c r="H2017">
        <v>10.36</v>
      </c>
      <c r="I2017" t="s">
        <v>2354</v>
      </c>
    </row>
    <row r="2018" spans="1:9" x14ac:dyDescent="0.25">
      <c r="A2018" t="s">
        <v>220</v>
      </c>
      <c r="B2018" t="s">
        <v>5430</v>
      </c>
      <c r="C2018" t="s">
        <v>8594</v>
      </c>
      <c r="D2018" t="s">
        <v>8595</v>
      </c>
      <c r="F2018">
        <v>10</v>
      </c>
      <c r="G2018">
        <v>3.4119999999999999</v>
      </c>
      <c r="H2018">
        <v>34.119999999999997</v>
      </c>
      <c r="I2018" t="s">
        <v>2354</v>
      </c>
    </row>
    <row r="2019" spans="1:9" x14ac:dyDescent="0.25">
      <c r="A2019" t="s">
        <v>220</v>
      </c>
      <c r="B2019" t="s">
        <v>5430</v>
      </c>
      <c r="C2019" t="s">
        <v>8596</v>
      </c>
      <c r="D2019" t="s">
        <v>7050</v>
      </c>
      <c r="F2019">
        <v>1</v>
      </c>
      <c r="G2019">
        <v>10.659000000000001</v>
      </c>
      <c r="H2019">
        <v>10.659000000000001</v>
      </c>
      <c r="I2019" t="s">
        <v>2354</v>
      </c>
    </row>
    <row r="2020" spans="1:9" x14ac:dyDescent="0.25">
      <c r="A2020" t="s">
        <v>220</v>
      </c>
      <c r="B2020" t="s">
        <v>5430</v>
      </c>
      <c r="C2020" t="s">
        <v>4588</v>
      </c>
      <c r="D2020" t="s">
        <v>4589</v>
      </c>
      <c r="F2020">
        <v>105</v>
      </c>
      <c r="G2020">
        <v>0.58499999999999996</v>
      </c>
      <c r="H2020">
        <v>61.424999999999997</v>
      </c>
      <c r="I2020" t="s">
        <v>2354</v>
      </c>
    </row>
    <row r="2021" spans="1:9" x14ac:dyDescent="0.25">
      <c r="A2021" t="s">
        <v>220</v>
      </c>
      <c r="B2021" t="s">
        <v>5430</v>
      </c>
      <c r="C2021" t="s">
        <v>4590</v>
      </c>
      <c r="D2021" t="s">
        <v>4591</v>
      </c>
      <c r="F2021">
        <v>78</v>
      </c>
      <c r="G2021">
        <v>0.56200000000000006</v>
      </c>
      <c r="H2021">
        <v>43.836000000000006</v>
      </c>
      <c r="I2021" t="s">
        <v>2354</v>
      </c>
    </row>
    <row r="2022" spans="1:9" x14ac:dyDescent="0.25">
      <c r="A2022" t="s">
        <v>220</v>
      </c>
      <c r="B2022" t="s">
        <v>5430</v>
      </c>
      <c r="C2022" t="s">
        <v>4594</v>
      </c>
      <c r="D2022" t="s">
        <v>4595</v>
      </c>
      <c r="F2022">
        <v>1.5</v>
      </c>
      <c r="G2022">
        <v>21.941099999999999</v>
      </c>
      <c r="H2022">
        <v>32.911649999999995</v>
      </c>
      <c r="I2022" t="s">
        <v>2354</v>
      </c>
    </row>
    <row r="2023" spans="1:9" x14ac:dyDescent="0.25">
      <c r="A2023" t="s">
        <v>220</v>
      </c>
      <c r="B2023" t="s">
        <v>5430</v>
      </c>
      <c r="C2023" t="s">
        <v>8597</v>
      </c>
      <c r="D2023" t="s">
        <v>8598</v>
      </c>
      <c r="F2023">
        <v>100</v>
      </c>
      <c r="G2023">
        <v>1.7091977186311789</v>
      </c>
      <c r="H2023">
        <v>170.91977186311789</v>
      </c>
      <c r="I2023" t="s">
        <v>2354</v>
      </c>
    </row>
    <row r="2024" spans="1:9" x14ac:dyDescent="0.25">
      <c r="A2024" t="s">
        <v>220</v>
      </c>
      <c r="B2024" t="s">
        <v>5430</v>
      </c>
      <c r="C2024" t="s">
        <v>7059</v>
      </c>
      <c r="D2024" t="s">
        <v>4607</v>
      </c>
      <c r="F2024">
        <v>69</v>
      </c>
      <c r="G2024">
        <v>6.8979999999999997</v>
      </c>
      <c r="H2024">
        <v>475.96199999999999</v>
      </c>
      <c r="I2024" t="s">
        <v>2354</v>
      </c>
    </row>
    <row r="2025" spans="1:9" x14ac:dyDescent="0.25">
      <c r="A2025" t="s">
        <v>220</v>
      </c>
      <c r="B2025" t="s">
        <v>5430</v>
      </c>
      <c r="C2025" t="s">
        <v>4608</v>
      </c>
      <c r="D2025" t="s">
        <v>4609</v>
      </c>
      <c r="F2025">
        <v>38</v>
      </c>
      <c r="G2025">
        <v>3.024</v>
      </c>
      <c r="H2025">
        <v>114.91200000000001</v>
      </c>
      <c r="I2025" t="s">
        <v>2354</v>
      </c>
    </row>
    <row r="2026" spans="1:9" x14ac:dyDescent="0.25">
      <c r="A2026" t="s">
        <v>220</v>
      </c>
      <c r="B2026" t="s">
        <v>5430</v>
      </c>
      <c r="C2026" t="s">
        <v>8599</v>
      </c>
      <c r="D2026" t="s">
        <v>4609</v>
      </c>
      <c r="F2026">
        <v>47</v>
      </c>
      <c r="G2026">
        <v>2.5550000000000002</v>
      </c>
      <c r="H2026">
        <v>120.08500000000001</v>
      </c>
      <c r="I2026" t="s">
        <v>2354</v>
      </c>
    </row>
    <row r="2027" spans="1:9" x14ac:dyDescent="0.25">
      <c r="A2027" t="s">
        <v>220</v>
      </c>
      <c r="B2027" t="s">
        <v>5430</v>
      </c>
      <c r="C2027" t="s">
        <v>4614</v>
      </c>
      <c r="D2027" t="s">
        <v>8600</v>
      </c>
      <c r="F2027">
        <v>105</v>
      </c>
      <c r="G2027">
        <v>3.3929999999999998</v>
      </c>
      <c r="H2027">
        <v>356.26499999999999</v>
      </c>
      <c r="I2027" t="s">
        <v>2354</v>
      </c>
    </row>
    <row r="2028" spans="1:9" x14ac:dyDescent="0.25">
      <c r="A2028" t="s">
        <v>220</v>
      </c>
      <c r="B2028" t="s">
        <v>5430</v>
      </c>
      <c r="C2028" t="s">
        <v>4616</v>
      </c>
      <c r="D2028" t="s">
        <v>8601</v>
      </c>
      <c r="F2028">
        <v>168</v>
      </c>
      <c r="G2028">
        <v>1.4990000000000001</v>
      </c>
      <c r="H2028">
        <v>251.83200000000002</v>
      </c>
      <c r="I2028" t="s">
        <v>2354</v>
      </c>
    </row>
    <row r="2029" spans="1:9" x14ac:dyDescent="0.25">
      <c r="A2029" t="s">
        <v>220</v>
      </c>
      <c r="B2029" t="s">
        <v>5430</v>
      </c>
      <c r="C2029" t="s">
        <v>7060</v>
      </c>
      <c r="D2029" t="s">
        <v>8602</v>
      </c>
      <c r="F2029">
        <v>7</v>
      </c>
      <c r="G2029">
        <v>0.95625000000000004</v>
      </c>
      <c r="H2029">
        <v>6.6937500000000005</v>
      </c>
      <c r="I2029" t="s">
        <v>2354</v>
      </c>
    </row>
    <row r="2030" spans="1:9" x14ac:dyDescent="0.25">
      <c r="A2030" t="s">
        <v>220</v>
      </c>
      <c r="B2030" t="s">
        <v>5430</v>
      </c>
      <c r="C2030" t="s">
        <v>4618</v>
      </c>
      <c r="D2030" t="s">
        <v>4619</v>
      </c>
      <c r="F2030">
        <v>3</v>
      </c>
      <c r="G2030">
        <v>22.452000000000002</v>
      </c>
      <c r="H2030">
        <v>67.356000000000009</v>
      </c>
      <c r="I2030" t="s">
        <v>2354</v>
      </c>
    </row>
    <row r="2031" spans="1:9" x14ac:dyDescent="0.25">
      <c r="A2031" t="s">
        <v>220</v>
      </c>
      <c r="B2031" t="s">
        <v>5430</v>
      </c>
      <c r="C2031" t="s">
        <v>7063</v>
      </c>
      <c r="D2031" t="s">
        <v>8603</v>
      </c>
      <c r="F2031">
        <v>200</v>
      </c>
      <c r="G2031">
        <v>0.13625000000000001</v>
      </c>
      <c r="H2031">
        <v>27.250000000000004</v>
      </c>
      <c r="I2031" t="s">
        <v>2354</v>
      </c>
    </row>
    <row r="2032" spans="1:9" x14ac:dyDescent="0.25">
      <c r="A2032" t="s">
        <v>220</v>
      </c>
      <c r="B2032" t="s">
        <v>5430</v>
      </c>
      <c r="C2032" t="s">
        <v>7065</v>
      </c>
      <c r="D2032" t="s">
        <v>7066</v>
      </c>
      <c r="F2032">
        <v>99</v>
      </c>
      <c r="G2032">
        <v>2.5339999999999998</v>
      </c>
      <c r="H2032">
        <v>250.86599999999999</v>
      </c>
      <c r="I2032" t="s">
        <v>2354</v>
      </c>
    </row>
    <row r="2033" spans="1:9" x14ac:dyDescent="0.25">
      <c r="A2033" t="s">
        <v>220</v>
      </c>
      <c r="B2033" t="s">
        <v>5430</v>
      </c>
      <c r="C2033" t="s">
        <v>4636</v>
      </c>
      <c r="D2033" t="s">
        <v>4637</v>
      </c>
      <c r="F2033">
        <v>20</v>
      </c>
      <c r="G2033">
        <v>0.19656000000000001</v>
      </c>
      <c r="H2033">
        <v>3.9312000000000005</v>
      </c>
      <c r="I2033" t="s">
        <v>2354</v>
      </c>
    </row>
    <row r="2034" spans="1:9" x14ac:dyDescent="0.25">
      <c r="A2034" t="s">
        <v>220</v>
      </c>
      <c r="B2034" t="s">
        <v>5430</v>
      </c>
      <c r="C2034" t="s">
        <v>4640</v>
      </c>
      <c r="D2034" t="s">
        <v>4641</v>
      </c>
      <c r="F2034">
        <v>23</v>
      </c>
      <c r="G2034">
        <v>0.82499999999999996</v>
      </c>
      <c r="H2034">
        <v>18.974999999999998</v>
      </c>
      <c r="I2034" t="s">
        <v>2354</v>
      </c>
    </row>
    <row r="2035" spans="1:9" x14ac:dyDescent="0.25">
      <c r="A2035" t="s">
        <v>220</v>
      </c>
      <c r="B2035" t="s">
        <v>5430</v>
      </c>
      <c r="C2035" t="s">
        <v>7081</v>
      </c>
      <c r="D2035" t="s">
        <v>8604</v>
      </c>
      <c r="F2035">
        <v>161</v>
      </c>
      <c r="G2035">
        <v>0.60599999999999998</v>
      </c>
      <c r="H2035">
        <v>97.566000000000003</v>
      </c>
      <c r="I2035" t="s">
        <v>2354</v>
      </c>
    </row>
    <row r="2036" spans="1:9" x14ac:dyDescent="0.25">
      <c r="A2036" t="s">
        <v>220</v>
      </c>
      <c r="B2036" t="s">
        <v>5430</v>
      </c>
      <c r="C2036" t="s">
        <v>4642</v>
      </c>
      <c r="D2036" t="s">
        <v>8605</v>
      </c>
      <c r="F2036">
        <v>393</v>
      </c>
      <c r="G2036">
        <v>0.46500000000000002</v>
      </c>
      <c r="H2036">
        <v>182.745</v>
      </c>
      <c r="I2036" t="s">
        <v>2354</v>
      </c>
    </row>
    <row r="2037" spans="1:9" x14ac:dyDescent="0.25">
      <c r="A2037" t="s">
        <v>220</v>
      </c>
      <c r="B2037" t="s">
        <v>5430</v>
      </c>
      <c r="C2037" t="s">
        <v>4644</v>
      </c>
      <c r="D2037" t="s">
        <v>8606</v>
      </c>
      <c r="F2037">
        <v>2</v>
      </c>
      <c r="G2037">
        <v>0.37094660194174761</v>
      </c>
      <c r="H2037">
        <v>0.74189320388349522</v>
      </c>
      <c r="I2037" t="s">
        <v>2354</v>
      </c>
    </row>
    <row r="2038" spans="1:9" x14ac:dyDescent="0.25">
      <c r="A2038" t="s">
        <v>220</v>
      </c>
      <c r="B2038" t="s">
        <v>5430</v>
      </c>
      <c r="C2038" t="s">
        <v>4648</v>
      </c>
      <c r="D2038" t="s">
        <v>8607</v>
      </c>
      <c r="F2038">
        <v>334</v>
      </c>
      <c r="G2038">
        <v>0.125</v>
      </c>
      <c r="H2038">
        <v>41.75</v>
      </c>
      <c r="I2038" t="s">
        <v>2354</v>
      </c>
    </row>
    <row r="2039" spans="1:9" x14ac:dyDescent="0.25">
      <c r="A2039" t="s">
        <v>220</v>
      </c>
      <c r="B2039" t="s">
        <v>5430</v>
      </c>
      <c r="C2039" t="s">
        <v>4650</v>
      </c>
      <c r="D2039" t="s">
        <v>4651</v>
      </c>
      <c r="F2039">
        <v>33</v>
      </c>
      <c r="G2039">
        <v>0.31014000000000003</v>
      </c>
      <c r="H2039">
        <v>10.234620000000001</v>
      </c>
      <c r="I2039" t="s">
        <v>2354</v>
      </c>
    </row>
    <row r="2040" spans="1:9" x14ac:dyDescent="0.25">
      <c r="A2040" t="s">
        <v>220</v>
      </c>
      <c r="B2040" t="s">
        <v>5430</v>
      </c>
      <c r="C2040" t="s">
        <v>4658</v>
      </c>
      <c r="D2040" t="s">
        <v>8608</v>
      </c>
      <c r="F2040">
        <v>69</v>
      </c>
      <c r="G2040">
        <v>0.21568278894472359</v>
      </c>
      <c r="H2040">
        <v>14.882112437185928</v>
      </c>
      <c r="I2040" t="s">
        <v>2354</v>
      </c>
    </row>
    <row r="2041" spans="1:9" x14ac:dyDescent="0.25">
      <c r="A2041" t="s">
        <v>220</v>
      </c>
      <c r="B2041" t="s">
        <v>5430</v>
      </c>
      <c r="C2041" t="s">
        <v>4662</v>
      </c>
      <c r="D2041" t="s">
        <v>8609</v>
      </c>
      <c r="F2041">
        <v>343</v>
      </c>
      <c r="G2041">
        <v>0.21</v>
      </c>
      <c r="H2041">
        <v>72.03</v>
      </c>
      <c r="I2041" t="s">
        <v>2354</v>
      </c>
    </row>
    <row r="2042" spans="1:9" x14ac:dyDescent="0.25">
      <c r="A2042" t="s">
        <v>220</v>
      </c>
      <c r="B2042" t="s">
        <v>5430</v>
      </c>
      <c r="C2042" t="s">
        <v>4664</v>
      </c>
      <c r="D2042" t="s">
        <v>8610</v>
      </c>
      <c r="F2042">
        <v>112</v>
      </c>
      <c r="G2042">
        <v>0.28599999999999998</v>
      </c>
      <c r="H2042">
        <v>32.031999999999996</v>
      </c>
      <c r="I2042" t="s">
        <v>2354</v>
      </c>
    </row>
    <row r="2043" spans="1:9" x14ac:dyDescent="0.25">
      <c r="A2043" t="s">
        <v>220</v>
      </c>
      <c r="B2043" t="s">
        <v>5430</v>
      </c>
      <c r="C2043" t="s">
        <v>4666</v>
      </c>
      <c r="D2043" t="s">
        <v>8611</v>
      </c>
      <c r="F2043">
        <v>365</v>
      </c>
      <c r="G2043">
        <v>0.315</v>
      </c>
      <c r="H2043">
        <v>114.97499999999999</v>
      </c>
      <c r="I2043" t="s">
        <v>2354</v>
      </c>
    </row>
    <row r="2044" spans="1:9" x14ac:dyDescent="0.25">
      <c r="A2044" t="s">
        <v>220</v>
      </c>
      <c r="B2044" t="s">
        <v>5430</v>
      </c>
      <c r="C2044" t="s">
        <v>4668</v>
      </c>
      <c r="D2044" t="s">
        <v>8612</v>
      </c>
      <c r="F2044">
        <v>90</v>
      </c>
      <c r="G2044">
        <v>1.0674870607734805</v>
      </c>
      <c r="H2044">
        <v>96.073835469613243</v>
      </c>
      <c r="I2044" t="s">
        <v>2354</v>
      </c>
    </row>
    <row r="2045" spans="1:9" x14ac:dyDescent="0.25">
      <c r="A2045" t="s">
        <v>220</v>
      </c>
      <c r="B2045" t="s">
        <v>5430</v>
      </c>
      <c r="C2045" t="s">
        <v>4670</v>
      </c>
      <c r="D2045" t="s">
        <v>8613</v>
      </c>
      <c r="F2045">
        <v>93</v>
      </c>
      <c r="G2045">
        <v>0.48299999999999998</v>
      </c>
      <c r="H2045">
        <v>44.918999999999997</v>
      </c>
      <c r="I2045" t="s">
        <v>2354</v>
      </c>
    </row>
    <row r="2046" spans="1:9" x14ac:dyDescent="0.25">
      <c r="A2046" t="s">
        <v>220</v>
      </c>
      <c r="B2046" t="s">
        <v>5430</v>
      </c>
      <c r="C2046" t="s">
        <v>4672</v>
      </c>
      <c r="D2046" t="s">
        <v>8614</v>
      </c>
      <c r="F2046">
        <v>55</v>
      </c>
      <c r="G2046">
        <v>1.1539999999999999</v>
      </c>
      <c r="H2046">
        <v>63.47</v>
      </c>
      <c r="I2046" t="s">
        <v>2354</v>
      </c>
    </row>
    <row r="2047" spans="1:9" x14ac:dyDescent="0.25">
      <c r="A2047" t="s">
        <v>220</v>
      </c>
      <c r="B2047" t="s">
        <v>5430</v>
      </c>
      <c r="C2047" t="s">
        <v>4674</v>
      </c>
      <c r="D2047" t="s">
        <v>8615</v>
      </c>
      <c r="F2047">
        <v>105</v>
      </c>
      <c r="G2047">
        <v>1.5189999999999999</v>
      </c>
      <c r="H2047">
        <v>159.49499999999998</v>
      </c>
      <c r="I2047" t="s">
        <v>2354</v>
      </c>
    </row>
    <row r="2048" spans="1:9" x14ac:dyDescent="0.25">
      <c r="A2048" t="s">
        <v>220</v>
      </c>
      <c r="B2048" t="s">
        <v>5430</v>
      </c>
      <c r="C2048" t="s">
        <v>4676</v>
      </c>
      <c r="D2048" t="s">
        <v>8616</v>
      </c>
      <c r="F2048">
        <v>297</v>
      </c>
      <c r="G2048">
        <v>1.8360000000000001</v>
      </c>
      <c r="H2048">
        <v>545.29200000000003</v>
      </c>
      <c r="I2048" t="s">
        <v>2354</v>
      </c>
    </row>
    <row r="2049" spans="1:9" x14ac:dyDescent="0.25">
      <c r="A2049" t="s">
        <v>220</v>
      </c>
      <c r="B2049" t="s">
        <v>5430</v>
      </c>
      <c r="C2049" t="s">
        <v>7085</v>
      </c>
      <c r="D2049" t="s">
        <v>8617</v>
      </c>
      <c r="F2049">
        <v>10</v>
      </c>
      <c r="G2049">
        <v>1.6758299999999999</v>
      </c>
      <c r="H2049">
        <v>16.758299999999998</v>
      </c>
      <c r="I2049" t="s">
        <v>2354</v>
      </c>
    </row>
    <row r="2050" spans="1:9" x14ac:dyDescent="0.25">
      <c r="A2050" t="s">
        <v>220</v>
      </c>
      <c r="B2050" t="s">
        <v>5430</v>
      </c>
      <c r="C2050" t="s">
        <v>4678</v>
      </c>
      <c r="D2050" t="s">
        <v>8618</v>
      </c>
      <c r="F2050">
        <v>2</v>
      </c>
      <c r="G2050">
        <v>0.48481246339775336</v>
      </c>
      <c r="H2050">
        <v>0.96962492679550671</v>
      </c>
      <c r="I2050" t="s">
        <v>2354</v>
      </c>
    </row>
    <row r="2051" spans="1:9" x14ac:dyDescent="0.25">
      <c r="A2051" t="s">
        <v>220</v>
      </c>
      <c r="B2051" t="s">
        <v>5430</v>
      </c>
      <c r="C2051" t="s">
        <v>4680</v>
      </c>
      <c r="D2051" t="s">
        <v>8619</v>
      </c>
      <c r="F2051">
        <v>178</v>
      </c>
      <c r="G2051">
        <v>0.46</v>
      </c>
      <c r="H2051">
        <v>81.88000000000001</v>
      </c>
      <c r="I2051" t="s">
        <v>2354</v>
      </c>
    </row>
    <row r="2052" spans="1:9" x14ac:dyDescent="0.25">
      <c r="A2052" t="s">
        <v>220</v>
      </c>
      <c r="B2052" t="s">
        <v>5430</v>
      </c>
      <c r="C2052" t="s">
        <v>5382</v>
      </c>
      <c r="D2052" t="s">
        <v>8620</v>
      </c>
      <c r="F2052">
        <v>276</v>
      </c>
      <c r="G2052">
        <v>0.45100000000000001</v>
      </c>
      <c r="H2052">
        <v>124.476</v>
      </c>
      <c r="I2052" t="s">
        <v>2354</v>
      </c>
    </row>
    <row r="2053" spans="1:9" x14ac:dyDescent="0.25">
      <c r="A2053" t="s">
        <v>220</v>
      </c>
      <c r="B2053" t="s">
        <v>5430</v>
      </c>
      <c r="C2053" t="s">
        <v>4682</v>
      </c>
      <c r="D2053" t="s">
        <v>8621</v>
      </c>
      <c r="F2053">
        <v>186</v>
      </c>
      <c r="G2053">
        <v>0.90400000000000003</v>
      </c>
      <c r="H2053">
        <v>168.14400000000001</v>
      </c>
      <c r="I2053" t="s">
        <v>2354</v>
      </c>
    </row>
    <row r="2054" spans="1:9" x14ac:dyDescent="0.25">
      <c r="A2054" t="s">
        <v>220</v>
      </c>
      <c r="B2054" t="s">
        <v>5430</v>
      </c>
      <c r="C2054" t="s">
        <v>4684</v>
      </c>
      <c r="D2054" t="s">
        <v>8622</v>
      </c>
      <c r="F2054">
        <v>6</v>
      </c>
      <c r="G2054">
        <v>11.813000000000001</v>
      </c>
      <c r="H2054">
        <v>70.878</v>
      </c>
      <c r="I2054" t="s">
        <v>2354</v>
      </c>
    </row>
    <row r="2055" spans="1:9" x14ac:dyDescent="0.25">
      <c r="A2055" t="s">
        <v>220</v>
      </c>
      <c r="B2055" t="s">
        <v>5430</v>
      </c>
      <c r="C2055" t="s">
        <v>7087</v>
      </c>
      <c r="D2055" t="s">
        <v>7088</v>
      </c>
      <c r="F2055">
        <v>1</v>
      </c>
      <c r="G2055">
        <v>31.827850000000002</v>
      </c>
      <c r="H2055">
        <v>31.827850000000002</v>
      </c>
      <c r="I2055" t="s">
        <v>2354</v>
      </c>
    </row>
    <row r="2056" spans="1:9" x14ac:dyDescent="0.25">
      <c r="A2056" t="s">
        <v>220</v>
      </c>
      <c r="B2056" t="s">
        <v>5430</v>
      </c>
      <c r="C2056" t="s">
        <v>4690</v>
      </c>
      <c r="D2056" t="s">
        <v>8623</v>
      </c>
      <c r="F2056">
        <v>200</v>
      </c>
      <c r="G2056">
        <v>0.62900999999999996</v>
      </c>
      <c r="H2056">
        <v>125.80199999999999</v>
      </c>
      <c r="I2056" t="s">
        <v>2354</v>
      </c>
    </row>
    <row r="2057" spans="1:9" x14ac:dyDescent="0.25">
      <c r="A2057" t="s">
        <v>220</v>
      </c>
      <c r="B2057" t="s">
        <v>5430</v>
      </c>
      <c r="C2057" t="s">
        <v>4696</v>
      </c>
      <c r="D2057" t="s">
        <v>8624</v>
      </c>
      <c r="F2057">
        <v>224</v>
      </c>
      <c r="G2057">
        <v>1.0529999999999999</v>
      </c>
      <c r="H2057">
        <v>235.87199999999999</v>
      </c>
      <c r="I2057" t="s">
        <v>2354</v>
      </c>
    </row>
    <row r="2058" spans="1:9" x14ac:dyDescent="0.25">
      <c r="A2058" t="s">
        <v>220</v>
      </c>
      <c r="B2058" t="s">
        <v>5430</v>
      </c>
      <c r="C2058" t="s">
        <v>7089</v>
      </c>
      <c r="D2058" t="s">
        <v>8625</v>
      </c>
      <c r="F2058">
        <v>187</v>
      </c>
      <c r="G2058">
        <v>0.35899999999999999</v>
      </c>
      <c r="H2058">
        <v>67.132999999999996</v>
      </c>
      <c r="I2058" t="s">
        <v>2354</v>
      </c>
    </row>
    <row r="2059" spans="1:9" x14ac:dyDescent="0.25">
      <c r="A2059" t="s">
        <v>220</v>
      </c>
      <c r="B2059" t="s">
        <v>5430</v>
      </c>
      <c r="C2059" t="s">
        <v>4698</v>
      </c>
      <c r="D2059" t="s">
        <v>8626</v>
      </c>
      <c r="F2059">
        <v>232</v>
      </c>
      <c r="G2059">
        <v>0.998</v>
      </c>
      <c r="H2059">
        <v>231.536</v>
      </c>
      <c r="I2059" t="s">
        <v>2354</v>
      </c>
    </row>
    <row r="2060" spans="1:9" x14ac:dyDescent="0.25">
      <c r="A2060" t="s">
        <v>220</v>
      </c>
      <c r="B2060" t="s">
        <v>5430</v>
      </c>
      <c r="C2060" t="s">
        <v>4702</v>
      </c>
      <c r="D2060" t="s">
        <v>8627</v>
      </c>
      <c r="F2060">
        <v>220</v>
      </c>
      <c r="G2060">
        <v>0.12065255813953489</v>
      </c>
      <c r="H2060">
        <v>26.543562790697678</v>
      </c>
      <c r="I2060" t="s">
        <v>2354</v>
      </c>
    </row>
    <row r="2061" spans="1:9" x14ac:dyDescent="0.25">
      <c r="A2061" t="s">
        <v>220</v>
      </c>
      <c r="B2061" t="s">
        <v>5430</v>
      </c>
      <c r="C2061" t="s">
        <v>7095</v>
      </c>
      <c r="D2061" t="s">
        <v>8628</v>
      </c>
      <c r="F2061">
        <v>196</v>
      </c>
      <c r="G2061">
        <v>0.626</v>
      </c>
      <c r="H2061">
        <v>122.696</v>
      </c>
      <c r="I2061" t="s">
        <v>2354</v>
      </c>
    </row>
    <row r="2062" spans="1:9" x14ac:dyDescent="0.25">
      <c r="A2062" t="s">
        <v>220</v>
      </c>
      <c r="B2062" t="s">
        <v>5430</v>
      </c>
      <c r="C2062" t="s">
        <v>7097</v>
      </c>
      <c r="D2062" t="s">
        <v>8629</v>
      </c>
      <c r="F2062">
        <v>160</v>
      </c>
      <c r="G2062">
        <v>1.4379999999999999</v>
      </c>
      <c r="H2062">
        <v>230.07999999999998</v>
      </c>
      <c r="I2062" t="s">
        <v>2354</v>
      </c>
    </row>
    <row r="2063" spans="1:9" x14ac:dyDescent="0.25">
      <c r="A2063" t="s">
        <v>220</v>
      </c>
      <c r="B2063" t="s">
        <v>5430</v>
      </c>
      <c r="C2063" t="s">
        <v>4706</v>
      </c>
      <c r="D2063" t="s">
        <v>4707</v>
      </c>
      <c r="F2063">
        <v>1</v>
      </c>
      <c r="G2063">
        <v>30.809699999999999</v>
      </c>
      <c r="H2063">
        <v>30.809699999999999</v>
      </c>
      <c r="I2063" t="s">
        <v>2354</v>
      </c>
    </row>
    <row r="2064" spans="1:9" x14ac:dyDescent="0.25">
      <c r="A2064" t="s">
        <v>220</v>
      </c>
      <c r="B2064" t="s">
        <v>5430</v>
      </c>
      <c r="C2064" t="s">
        <v>7099</v>
      </c>
      <c r="D2064" t="s">
        <v>7100</v>
      </c>
      <c r="F2064">
        <v>35</v>
      </c>
      <c r="G2064">
        <v>1.7415</v>
      </c>
      <c r="H2064">
        <v>60.952500000000001</v>
      </c>
      <c r="I2064" t="s">
        <v>2354</v>
      </c>
    </row>
    <row r="2065" spans="1:9" x14ac:dyDescent="0.25">
      <c r="A2065" t="s">
        <v>220</v>
      </c>
      <c r="B2065" t="s">
        <v>5430</v>
      </c>
      <c r="C2065" t="s">
        <v>8630</v>
      </c>
      <c r="D2065" t="s">
        <v>8631</v>
      </c>
      <c r="F2065">
        <v>1</v>
      </c>
      <c r="G2065">
        <v>0</v>
      </c>
      <c r="H2065">
        <v>0</v>
      </c>
      <c r="I2065" t="s">
        <v>2354</v>
      </c>
    </row>
    <row r="2066" spans="1:9" x14ac:dyDescent="0.25">
      <c r="A2066" t="s">
        <v>220</v>
      </c>
      <c r="B2066" t="s">
        <v>5430</v>
      </c>
      <c r="C2066" t="s">
        <v>7101</v>
      </c>
      <c r="D2066" t="s">
        <v>8632</v>
      </c>
      <c r="F2066">
        <v>83</v>
      </c>
      <c r="G2066">
        <v>0.41777999999999998</v>
      </c>
      <c r="H2066">
        <v>34.675739999999998</v>
      </c>
      <c r="I2066" t="s">
        <v>2354</v>
      </c>
    </row>
    <row r="2067" spans="1:9" x14ac:dyDescent="0.25">
      <c r="A2067" t="s">
        <v>220</v>
      </c>
      <c r="B2067" t="s">
        <v>5430</v>
      </c>
      <c r="C2067" t="s">
        <v>8633</v>
      </c>
      <c r="D2067" t="s">
        <v>8634</v>
      </c>
      <c r="F2067">
        <v>1</v>
      </c>
      <c r="G2067">
        <v>0</v>
      </c>
      <c r="H2067">
        <v>0</v>
      </c>
      <c r="I2067" t="s">
        <v>2354</v>
      </c>
    </row>
    <row r="2068" spans="1:9" x14ac:dyDescent="0.25">
      <c r="A2068" t="s">
        <v>220</v>
      </c>
      <c r="B2068" t="s">
        <v>5430</v>
      </c>
      <c r="C2068" t="s">
        <v>7103</v>
      </c>
      <c r="D2068" t="s">
        <v>8635</v>
      </c>
      <c r="F2068">
        <v>6</v>
      </c>
      <c r="G2068">
        <v>24.087599999999998</v>
      </c>
      <c r="H2068">
        <v>144.5256</v>
      </c>
      <c r="I2068" t="s">
        <v>2354</v>
      </c>
    </row>
    <row r="2069" spans="1:9" x14ac:dyDescent="0.25">
      <c r="A2069" t="s">
        <v>220</v>
      </c>
      <c r="B2069" t="s">
        <v>5430</v>
      </c>
      <c r="C2069" t="s">
        <v>7105</v>
      </c>
      <c r="D2069" t="s">
        <v>7106</v>
      </c>
      <c r="F2069">
        <v>25</v>
      </c>
      <c r="G2069">
        <v>0</v>
      </c>
      <c r="H2069">
        <v>0</v>
      </c>
      <c r="I2069" t="s">
        <v>2354</v>
      </c>
    </row>
    <row r="2070" spans="1:9" x14ac:dyDescent="0.25">
      <c r="A2070" t="s">
        <v>220</v>
      </c>
      <c r="B2070" t="s">
        <v>5430</v>
      </c>
      <c r="C2070" t="s">
        <v>7107</v>
      </c>
      <c r="D2070" t="s">
        <v>8636</v>
      </c>
      <c r="F2070">
        <v>222</v>
      </c>
      <c r="G2070">
        <v>0.22184999999999999</v>
      </c>
      <c r="H2070">
        <v>49.250699999999995</v>
      </c>
      <c r="I2070" t="s">
        <v>2354</v>
      </c>
    </row>
    <row r="2071" spans="1:9" x14ac:dyDescent="0.25">
      <c r="A2071" t="s">
        <v>220</v>
      </c>
      <c r="B2071" t="s">
        <v>5430</v>
      </c>
      <c r="C2071" t="s">
        <v>7109</v>
      </c>
      <c r="D2071" t="s">
        <v>8637</v>
      </c>
      <c r="F2071">
        <v>100</v>
      </c>
      <c r="G2071">
        <v>0.29325000000000001</v>
      </c>
      <c r="H2071">
        <v>29.325000000000003</v>
      </c>
      <c r="I2071" t="s">
        <v>2354</v>
      </c>
    </row>
    <row r="2072" spans="1:9" x14ac:dyDescent="0.25">
      <c r="A2072" t="s">
        <v>220</v>
      </c>
      <c r="B2072" t="s">
        <v>5430</v>
      </c>
      <c r="C2072" t="s">
        <v>7111</v>
      </c>
      <c r="D2072" t="s">
        <v>8638</v>
      </c>
      <c r="F2072">
        <v>46</v>
      </c>
      <c r="G2072">
        <v>8.9249999999999996E-2</v>
      </c>
      <c r="H2072">
        <v>4.1055000000000001</v>
      </c>
      <c r="I2072" t="s">
        <v>2354</v>
      </c>
    </row>
    <row r="2073" spans="1:9" x14ac:dyDescent="0.25">
      <c r="A2073" t="s">
        <v>220</v>
      </c>
      <c r="B2073" t="s">
        <v>5430</v>
      </c>
      <c r="C2073" t="s">
        <v>4714</v>
      </c>
      <c r="D2073" t="s">
        <v>8639</v>
      </c>
      <c r="F2073">
        <v>68</v>
      </c>
      <c r="G2073">
        <v>0.32140750000000007</v>
      </c>
      <c r="H2073">
        <v>21.855710000000006</v>
      </c>
      <c r="I2073" t="s">
        <v>2354</v>
      </c>
    </row>
    <row r="2074" spans="1:9" x14ac:dyDescent="0.25">
      <c r="A2074" t="s">
        <v>220</v>
      </c>
      <c r="B2074" t="s">
        <v>5430</v>
      </c>
      <c r="C2074" t="s">
        <v>4716</v>
      </c>
      <c r="D2074" t="s">
        <v>8640</v>
      </c>
      <c r="F2074">
        <v>136</v>
      </c>
      <c r="G2074">
        <v>0.25700000000000001</v>
      </c>
      <c r="H2074">
        <v>34.951999999999998</v>
      </c>
      <c r="I2074" t="s">
        <v>2354</v>
      </c>
    </row>
    <row r="2075" spans="1:9" x14ac:dyDescent="0.25">
      <c r="A2075" t="s">
        <v>220</v>
      </c>
      <c r="B2075" t="s">
        <v>5430</v>
      </c>
      <c r="C2075" t="s">
        <v>7113</v>
      </c>
      <c r="D2075" t="s">
        <v>8641</v>
      </c>
      <c r="F2075">
        <v>100</v>
      </c>
      <c r="G2075">
        <v>0.16392999999999999</v>
      </c>
      <c r="H2075">
        <v>16.393000000000001</v>
      </c>
      <c r="I2075" t="s">
        <v>2354</v>
      </c>
    </row>
    <row r="2076" spans="1:9" x14ac:dyDescent="0.25">
      <c r="A2076" t="s">
        <v>220</v>
      </c>
      <c r="B2076" t="s">
        <v>5430</v>
      </c>
      <c r="C2076" t="s">
        <v>4718</v>
      </c>
      <c r="D2076" t="s">
        <v>8642</v>
      </c>
      <c r="F2076">
        <v>80</v>
      </c>
      <c r="G2076">
        <v>0.51200000000000001</v>
      </c>
      <c r="H2076">
        <v>40.96</v>
      </c>
      <c r="I2076" t="s">
        <v>2354</v>
      </c>
    </row>
    <row r="2077" spans="1:9" x14ac:dyDescent="0.25">
      <c r="A2077" t="s">
        <v>220</v>
      </c>
      <c r="B2077" t="s">
        <v>5430</v>
      </c>
      <c r="C2077" t="s">
        <v>7115</v>
      </c>
      <c r="D2077" t="s">
        <v>8643</v>
      </c>
      <c r="F2077">
        <v>556</v>
      </c>
      <c r="G2077">
        <v>0.54154999999999998</v>
      </c>
      <c r="H2077">
        <v>301.10179999999997</v>
      </c>
      <c r="I2077" t="s">
        <v>2354</v>
      </c>
    </row>
    <row r="2078" spans="1:9" x14ac:dyDescent="0.25">
      <c r="A2078" t="s">
        <v>220</v>
      </c>
      <c r="B2078" t="s">
        <v>5430</v>
      </c>
      <c r="C2078" t="s">
        <v>4738</v>
      </c>
      <c r="D2078" t="s">
        <v>4739</v>
      </c>
      <c r="F2078">
        <v>111</v>
      </c>
      <c r="G2078">
        <v>0.2328625924314919</v>
      </c>
      <c r="H2078">
        <v>25.847747759895601</v>
      </c>
      <c r="I2078" t="s">
        <v>2354</v>
      </c>
    </row>
    <row r="2079" spans="1:9" x14ac:dyDescent="0.25">
      <c r="A2079" t="s">
        <v>220</v>
      </c>
      <c r="B2079" t="s">
        <v>5430</v>
      </c>
      <c r="C2079" t="s">
        <v>7117</v>
      </c>
      <c r="D2079" t="s">
        <v>7118</v>
      </c>
      <c r="F2079">
        <v>0.5</v>
      </c>
      <c r="G2079">
        <v>5.3379000000000003</v>
      </c>
      <c r="H2079">
        <v>2.6689500000000002</v>
      </c>
      <c r="I2079" t="s">
        <v>2354</v>
      </c>
    </row>
    <row r="2080" spans="1:9" x14ac:dyDescent="0.25">
      <c r="A2080" t="s">
        <v>220</v>
      </c>
      <c r="B2080" t="s">
        <v>5430</v>
      </c>
      <c r="C2080" t="s">
        <v>7119</v>
      </c>
      <c r="D2080" t="s">
        <v>7120</v>
      </c>
      <c r="F2080">
        <v>4</v>
      </c>
      <c r="G2080">
        <v>53.29</v>
      </c>
      <c r="H2080">
        <v>213.16</v>
      </c>
      <c r="I2080" t="s">
        <v>2354</v>
      </c>
    </row>
    <row r="2081" spans="1:9" x14ac:dyDescent="0.25">
      <c r="A2081" t="s">
        <v>220</v>
      </c>
      <c r="B2081" t="s">
        <v>5430</v>
      </c>
      <c r="C2081" t="s">
        <v>7121</v>
      </c>
      <c r="D2081" t="s">
        <v>8644</v>
      </c>
      <c r="F2081">
        <v>4</v>
      </c>
      <c r="G2081">
        <v>23.007999999999999</v>
      </c>
      <c r="H2081">
        <v>92.031999999999996</v>
      </c>
      <c r="I2081" t="s">
        <v>2354</v>
      </c>
    </row>
    <row r="2082" spans="1:9" x14ac:dyDescent="0.25">
      <c r="A2082" t="s">
        <v>220</v>
      </c>
      <c r="B2082" t="s">
        <v>5430</v>
      </c>
      <c r="C2082" t="s">
        <v>7122</v>
      </c>
      <c r="D2082" t="s">
        <v>8645</v>
      </c>
      <c r="F2082">
        <v>5</v>
      </c>
      <c r="G2082">
        <v>36.194000000000003</v>
      </c>
      <c r="H2082">
        <v>180.97000000000003</v>
      </c>
      <c r="I2082" t="s">
        <v>2354</v>
      </c>
    </row>
    <row r="2083" spans="1:9" x14ac:dyDescent="0.25">
      <c r="A2083" t="s">
        <v>220</v>
      </c>
      <c r="B2083" t="s">
        <v>5430</v>
      </c>
      <c r="C2083" t="s">
        <v>7123</v>
      </c>
      <c r="D2083" t="s">
        <v>8646</v>
      </c>
      <c r="F2083">
        <v>1</v>
      </c>
      <c r="G2083">
        <v>69</v>
      </c>
      <c r="H2083">
        <v>69</v>
      </c>
      <c r="I2083" t="s">
        <v>2354</v>
      </c>
    </row>
    <row r="2084" spans="1:9" x14ac:dyDescent="0.25">
      <c r="A2084" t="s">
        <v>220</v>
      </c>
      <c r="B2084" t="s">
        <v>5430</v>
      </c>
      <c r="C2084" t="s">
        <v>4752</v>
      </c>
      <c r="D2084" t="s">
        <v>8647</v>
      </c>
      <c r="F2084">
        <v>50</v>
      </c>
      <c r="G2084">
        <v>5.5488</v>
      </c>
      <c r="H2084">
        <v>277.44</v>
      </c>
      <c r="I2084" t="s">
        <v>2354</v>
      </c>
    </row>
    <row r="2085" spans="1:9" x14ac:dyDescent="0.25">
      <c r="A2085" t="s">
        <v>220</v>
      </c>
      <c r="B2085" t="s">
        <v>5430</v>
      </c>
      <c r="C2085" t="s">
        <v>7125</v>
      </c>
      <c r="D2085" t="s">
        <v>7126</v>
      </c>
      <c r="F2085">
        <v>4</v>
      </c>
      <c r="G2085">
        <v>36.801642857142852</v>
      </c>
      <c r="H2085">
        <v>147.20657142857141</v>
      </c>
      <c r="I2085" t="s">
        <v>2354</v>
      </c>
    </row>
    <row r="2086" spans="1:9" x14ac:dyDescent="0.25">
      <c r="A2086" t="s">
        <v>220</v>
      </c>
      <c r="B2086" t="s">
        <v>5430</v>
      </c>
      <c r="C2086" t="s">
        <v>7127</v>
      </c>
      <c r="D2086" t="s">
        <v>8648</v>
      </c>
      <c r="F2086">
        <v>96</v>
      </c>
      <c r="G2086">
        <v>0.55342000000000002</v>
      </c>
      <c r="H2086">
        <v>53.128320000000002</v>
      </c>
      <c r="I2086" t="s">
        <v>2354</v>
      </c>
    </row>
    <row r="2087" spans="1:9" x14ac:dyDescent="0.25">
      <c r="A2087" t="s">
        <v>220</v>
      </c>
      <c r="B2087" t="s">
        <v>5430</v>
      </c>
      <c r="C2087" t="s">
        <v>4760</v>
      </c>
      <c r="D2087" t="s">
        <v>8649</v>
      </c>
      <c r="F2087">
        <v>100</v>
      </c>
      <c r="G2087">
        <v>0.127</v>
      </c>
      <c r="H2087">
        <v>12.7</v>
      </c>
      <c r="I2087" t="s">
        <v>2354</v>
      </c>
    </row>
    <row r="2088" spans="1:9" x14ac:dyDescent="0.25">
      <c r="A2088" t="s">
        <v>220</v>
      </c>
      <c r="B2088" t="s">
        <v>5430</v>
      </c>
      <c r="C2088" t="s">
        <v>7133</v>
      </c>
      <c r="D2088" t="s">
        <v>8650</v>
      </c>
      <c r="F2088">
        <v>14</v>
      </c>
      <c r="G2088">
        <v>2.1184599999999998</v>
      </c>
      <c r="H2088">
        <v>29.658439999999999</v>
      </c>
      <c r="I2088" t="s">
        <v>2354</v>
      </c>
    </row>
    <row r="2089" spans="1:9" x14ac:dyDescent="0.25">
      <c r="A2089" t="s">
        <v>220</v>
      </c>
      <c r="B2089" t="s">
        <v>5430</v>
      </c>
      <c r="C2089" t="s">
        <v>7135</v>
      </c>
      <c r="D2089" t="s">
        <v>7136</v>
      </c>
      <c r="F2089">
        <v>4</v>
      </c>
      <c r="G2089">
        <v>37.643999999999998</v>
      </c>
      <c r="H2089">
        <v>150.57599999999999</v>
      </c>
      <c r="I2089" t="s">
        <v>2354</v>
      </c>
    </row>
    <row r="2090" spans="1:9" x14ac:dyDescent="0.25">
      <c r="A2090" t="s">
        <v>220</v>
      </c>
      <c r="B2090" t="s">
        <v>5430</v>
      </c>
      <c r="C2090" t="s">
        <v>7137</v>
      </c>
      <c r="D2090" t="s">
        <v>8651</v>
      </c>
      <c r="F2090">
        <v>85</v>
      </c>
      <c r="G2090">
        <v>1.5966</v>
      </c>
      <c r="H2090">
        <v>135.71100000000001</v>
      </c>
      <c r="I2090" t="s">
        <v>2354</v>
      </c>
    </row>
    <row r="2091" spans="1:9" x14ac:dyDescent="0.25">
      <c r="A2091" t="s">
        <v>220</v>
      </c>
      <c r="B2091" t="s">
        <v>5430</v>
      </c>
      <c r="C2091" t="s">
        <v>7139</v>
      </c>
      <c r="D2091" t="s">
        <v>8652</v>
      </c>
      <c r="F2091">
        <v>94</v>
      </c>
      <c r="G2091">
        <v>1.3158000000000001</v>
      </c>
      <c r="H2091">
        <v>123.68520000000001</v>
      </c>
      <c r="I2091" t="s">
        <v>2354</v>
      </c>
    </row>
    <row r="2092" spans="1:9" x14ac:dyDescent="0.25">
      <c r="A2092" t="s">
        <v>220</v>
      </c>
      <c r="B2092" t="s">
        <v>5430</v>
      </c>
      <c r="C2092" t="s">
        <v>7141</v>
      </c>
      <c r="D2092" t="s">
        <v>8653</v>
      </c>
      <c r="F2092">
        <v>208</v>
      </c>
      <c r="G2092">
        <v>3.3000000000000002E-2</v>
      </c>
      <c r="H2092">
        <v>6.8640000000000008</v>
      </c>
      <c r="I2092" t="s">
        <v>2354</v>
      </c>
    </row>
    <row r="2093" spans="1:9" x14ac:dyDescent="0.25">
      <c r="A2093" t="s">
        <v>220</v>
      </c>
      <c r="B2093" t="s">
        <v>5430</v>
      </c>
      <c r="C2093" t="s">
        <v>7152</v>
      </c>
      <c r="D2093" t="s">
        <v>8654</v>
      </c>
      <c r="F2093">
        <v>194</v>
      </c>
      <c r="G2093">
        <v>0.17196</v>
      </c>
      <c r="H2093">
        <v>33.360239999999997</v>
      </c>
      <c r="I2093" t="s">
        <v>2354</v>
      </c>
    </row>
    <row r="2094" spans="1:9" x14ac:dyDescent="0.25">
      <c r="A2094" t="s">
        <v>220</v>
      </c>
      <c r="B2094" t="s">
        <v>5430</v>
      </c>
      <c r="C2094" t="s">
        <v>4772</v>
      </c>
      <c r="D2094" t="s">
        <v>4773</v>
      </c>
      <c r="F2094">
        <v>140</v>
      </c>
      <c r="G2094">
        <v>0.26774999999999999</v>
      </c>
      <c r="H2094">
        <v>37.484999999999999</v>
      </c>
      <c r="I2094" t="s">
        <v>2354</v>
      </c>
    </row>
    <row r="2095" spans="1:9" x14ac:dyDescent="0.25">
      <c r="A2095" t="s">
        <v>220</v>
      </c>
      <c r="B2095" t="s">
        <v>5430</v>
      </c>
      <c r="C2095" t="s">
        <v>4788</v>
      </c>
      <c r="D2095" t="s">
        <v>8655</v>
      </c>
      <c r="F2095">
        <v>47</v>
      </c>
      <c r="G2095">
        <v>0.12</v>
      </c>
      <c r="H2095">
        <v>5.64</v>
      </c>
      <c r="I2095" t="s">
        <v>2354</v>
      </c>
    </row>
    <row r="2096" spans="1:9" x14ac:dyDescent="0.25">
      <c r="A2096" t="s">
        <v>220</v>
      </c>
      <c r="B2096" t="s">
        <v>5430</v>
      </c>
      <c r="C2096" t="s">
        <v>4796</v>
      </c>
      <c r="D2096" t="s">
        <v>8656</v>
      </c>
      <c r="F2096">
        <v>23</v>
      </c>
      <c r="G2096">
        <v>0</v>
      </c>
      <c r="H2096">
        <v>0</v>
      </c>
      <c r="I2096" t="s">
        <v>2354</v>
      </c>
    </row>
    <row r="2097" spans="1:9" x14ac:dyDescent="0.25">
      <c r="A2097" t="s">
        <v>220</v>
      </c>
      <c r="B2097" t="s">
        <v>5430</v>
      </c>
      <c r="C2097" t="s">
        <v>4798</v>
      </c>
      <c r="D2097" t="s">
        <v>8657</v>
      </c>
      <c r="F2097">
        <v>210</v>
      </c>
      <c r="G2097">
        <v>3.78E-2</v>
      </c>
      <c r="H2097">
        <v>7.9379999999999997</v>
      </c>
      <c r="I2097" t="s">
        <v>2354</v>
      </c>
    </row>
    <row r="2098" spans="1:9" x14ac:dyDescent="0.25">
      <c r="A2098" t="s">
        <v>220</v>
      </c>
      <c r="B2098" t="s">
        <v>5430</v>
      </c>
      <c r="C2098" t="s">
        <v>8658</v>
      </c>
      <c r="D2098" t="s">
        <v>8656</v>
      </c>
      <c r="F2098">
        <v>220</v>
      </c>
      <c r="G2098">
        <v>5.3550000000000007E-2</v>
      </c>
      <c r="H2098">
        <v>11.781000000000002</v>
      </c>
      <c r="I2098" t="s">
        <v>2354</v>
      </c>
    </row>
    <row r="2099" spans="1:9" x14ac:dyDescent="0.25">
      <c r="A2099" t="s">
        <v>220</v>
      </c>
      <c r="B2099" t="s">
        <v>5430</v>
      </c>
      <c r="C2099" t="s">
        <v>7162</v>
      </c>
      <c r="D2099" t="s">
        <v>8659</v>
      </c>
      <c r="F2099">
        <v>100</v>
      </c>
      <c r="G2099">
        <v>1.5129999999999999</v>
      </c>
      <c r="H2099">
        <v>151.29999999999998</v>
      </c>
      <c r="I2099" t="s">
        <v>2354</v>
      </c>
    </row>
    <row r="2100" spans="1:9" x14ac:dyDescent="0.25">
      <c r="A2100" t="s">
        <v>220</v>
      </c>
      <c r="B2100" t="s">
        <v>5430</v>
      </c>
      <c r="C2100" t="s">
        <v>7164</v>
      </c>
      <c r="D2100" t="s">
        <v>8660</v>
      </c>
      <c r="F2100">
        <v>320</v>
      </c>
      <c r="G2100">
        <v>7.0999999999999994E-2</v>
      </c>
      <c r="H2100">
        <v>22.72</v>
      </c>
      <c r="I2100" t="s">
        <v>2354</v>
      </c>
    </row>
    <row r="2101" spans="1:9" x14ac:dyDescent="0.25">
      <c r="A2101" t="s">
        <v>220</v>
      </c>
      <c r="B2101" t="s">
        <v>5430</v>
      </c>
      <c r="C2101" t="s">
        <v>4802</v>
      </c>
      <c r="D2101" t="s">
        <v>8661</v>
      </c>
      <c r="F2101">
        <v>272</v>
      </c>
      <c r="G2101">
        <v>0.05</v>
      </c>
      <c r="H2101">
        <v>13.600000000000001</v>
      </c>
      <c r="I2101" t="s">
        <v>2354</v>
      </c>
    </row>
    <row r="2102" spans="1:9" x14ac:dyDescent="0.25">
      <c r="A2102" t="s">
        <v>220</v>
      </c>
      <c r="B2102" t="s">
        <v>5430</v>
      </c>
      <c r="C2102" t="s">
        <v>4804</v>
      </c>
      <c r="D2102" t="s">
        <v>8662</v>
      </c>
      <c r="F2102">
        <v>204</v>
      </c>
      <c r="G2102">
        <v>0.10620000000000002</v>
      </c>
      <c r="H2102">
        <v>21.664800000000003</v>
      </c>
      <c r="I2102" t="s">
        <v>2354</v>
      </c>
    </row>
    <row r="2103" spans="1:9" x14ac:dyDescent="0.25">
      <c r="A2103" t="s">
        <v>220</v>
      </c>
      <c r="B2103" t="s">
        <v>5430</v>
      </c>
      <c r="C2103" t="s">
        <v>4808</v>
      </c>
      <c r="D2103" t="s">
        <v>8663</v>
      </c>
      <c r="F2103">
        <v>333</v>
      </c>
      <c r="G2103">
        <v>0.183</v>
      </c>
      <c r="H2103">
        <v>60.939</v>
      </c>
      <c r="I2103" t="s">
        <v>2354</v>
      </c>
    </row>
    <row r="2104" spans="1:9" x14ac:dyDescent="0.25">
      <c r="A2104" t="s">
        <v>220</v>
      </c>
      <c r="B2104" t="s">
        <v>5430</v>
      </c>
      <c r="C2104" t="s">
        <v>4810</v>
      </c>
      <c r="D2104" t="s">
        <v>8664</v>
      </c>
      <c r="F2104">
        <v>230</v>
      </c>
      <c r="G2104">
        <v>0.19</v>
      </c>
      <c r="H2104">
        <v>43.7</v>
      </c>
      <c r="I2104" t="s">
        <v>2354</v>
      </c>
    </row>
    <row r="2105" spans="1:9" x14ac:dyDescent="0.25">
      <c r="A2105" t="s">
        <v>220</v>
      </c>
      <c r="B2105" t="s">
        <v>5430</v>
      </c>
      <c r="C2105" t="s">
        <v>4812</v>
      </c>
      <c r="D2105" t="s">
        <v>8665</v>
      </c>
      <c r="F2105">
        <v>92</v>
      </c>
      <c r="G2105">
        <v>0.49</v>
      </c>
      <c r="H2105">
        <v>45.08</v>
      </c>
      <c r="I2105" t="s">
        <v>2354</v>
      </c>
    </row>
    <row r="2106" spans="1:9" x14ac:dyDescent="0.25">
      <c r="A2106" t="s">
        <v>220</v>
      </c>
      <c r="B2106" t="s">
        <v>5430</v>
      </c>
      <c r="C2106" t="s">
        <v>4814</v>
      </c>
      <c r="D2106" t="s">
        <v>8666</v>
      </c>
      <c r="F2106">
        <v>517</v>
      </c>
      <c r="G2106">
        <v>0.16076999999999997</v>
      </c>
      <c r="H2106">
        <v>83.118089999999981</v>
      </c>
      <c r="I2106" t="s">
        <v>2354</v>
      </c>
    </row>
    <row r="2107" spans="1:9" x14ac:dyDescent="0.25">
      <c r="A2107" t="s">
        <v>220</v>
      </c>
      <c r="B2107" t="s">
        <v>5430</v>
      </c>
      <c r="C2107" t="s">
        <v>4816</v>
      </c>
      <c r="D2107" t="s">
        <v>8667</v>
      </c>
      <c r="F2107">
        <v>322</v>
      </c>
      <c r="G2107">
        <v>0.28799999999999998</v>
      </c>
      <c r="H2107">
        <v>92.73599999999999</v>
      </c>
      <c r="I2107" t="s">
        <v>2354</v>
      </c>
    </row>
    <row r="2108" spans="1:9" x14ac:dyDescent="0.25">
      <c r="A2108" t="s">
        <v>220</v>
      </c>
      <c r="B2108" t="s">
        <v>5430</v>
      </c>
      <c r="C2108" t="s">
        <v>7166</v>
      </c>
      <c r="D2108" t="s">
        <v>8668</v>
      </c>
      <c r="F2108">
        <v>26</v>
      </c>
      <c r="G2108">
        <v>0.6175781818181818</v>
      </c>
      <c r="H2108">
        <v>16.057032727272727</v>
      </c>
      <c r="I2108" t="s">
        <v>2354</v>
      </c>
    </row>
    <row r="2109" spans="1:9" x14ac:dyDescent="0.25">
      <c r="A2109" t="s">
        <v>220</v>
      </c>
      <c r="B2109" t="s">
        <v>5430</v>
      </c>
      <c r="C2109" t="s">
        <v>7168</v>
      </c>
      <c r="D2109" t="s">
        <v>8669</v>
      </c>
      <c r="F2109">
        <v>45</v>
      </c>
      <c r="G2109">
        <v>0.62390000000000001</v>
      </c>
      <c r="H2109">
        <v>28.075500000000002</v>
      </c>
      <c r="I2109" t="s">
        <v>2354</v>
      </c>
    </row>
    <row r="2110" spans="1:9" x14ac:dyDescent="0.25">
      <c r="A2110" t="s">
        <v>220</v>
      </c>
      <c r="B2110" t="s">
        <v>5430</v>
      </c>
      <c r="C2110" t="s">
        <v>4820</v>
      </c>
      <c r="D2110" t="s">
        <v>8670</v>
      </c>
      <c r="F2110">
        <v>161</v>
      </c>
      <c r="G2110">
        <v>0.29199999999999998</v>
      </c>
      <c r="H2110">
        <v>47.012</v>
      </c>
      <c r="I2110" t="s">
        <v>2354</v>
      </c>
    </row>
    <row r="2111" spans="1:9" x14ac:dyDescent="0.25">
      <c r="A2111" t="s">
        <v>220</v>
      </c>
      <c r="B2111" t="s">
        <v>5430</v>
      </c>
      <c r="C2111" t="s">
        <v>4822</v>
      </c>
      <c r="D2111" t="s">
        <v>8671</v>
      </c>
      <c r="F2111">
        <v>249</v>
      </c>
      <c r="G2111">
        <v>0.44600000000000001</v>
      </c>
      <c r="H2111">
        <v>111.054</v>
      </c>
      <c r="I2111" t="s">
        <v>2354</v>
      </c>
    </row>
    <row r="2112" spans="1:9" x14ac:dyDescent="0.25">
      <c r="A2112" t="s">
        <v>220</v>
      </c>
      <c r="B2112" t="s">
        <v>5430</v>
      </c>
      <c r="C2112" t="s">
        <v>4824</v>
      </c>
      <c r="D2112" t="s">
        <v>8672</v>
      </c>
      <c r="F2112">
        <v>170</v>
      </c>
      <c r="G2112">
        <v>0.59</v>
      </c>
      <c r="H2112">
        <v>100.3</v>
      </c>
      <c r="I2112" t="s">
        <v>2354</v>
      </c>
    </row>
    <row r="2113" spans="1:9" x14ac:dyDescent="0.25">
      <c r="A2113" t="s">
        <v>220</v>
      </c>
      <c r="B2113" t="s">
        <v>5430</v>
      </c>
      <c r="C2113" t="s">
        <v>7170</v>
      </c>
      <c r="D2113" t="s">
        <v>8673</v>
      </c>
      <c r="F2113">
        <v>42</v>
      </c>
      <c r="G2113">
        <v>0.26179999999999998</v>
      </c>
      <c r="H2113">
        <v>10.9956</v>
      </c>
      <c r="I2113" t="s">
        <v>2354</v>
      </c>
    </row>
    <row r="2114" spans="1:9" x14ac:dyDescent="0.25">
      <c r="A2114" t="s">
        <v>220</v>
      </c>
      <c r="B2114" t="s">
        <v>5430</v>
      </c>
      <c r="C2114" t="s">
        <v>4826</v>
      </c>
      <c r="D2114" t="s">
        <v>8674</v>
      </c>
      <c r="F2114">
        <v>192</v>
      </c>
      <c r="G2114">
        <v>1.1100000000000001</v>
      </c>
      <c r="H2114">
        <v>213.12</v>
      </c>
      <c r="I2114" t="s">
        <v>2354</v>
      </c>
    </row>
    <row r="2115" spans="1:9" x14ac:dyDescent="0.25">
      <c r="A2115" t="s">
        <v>220</v>
      </c>
      <c r="B2115" t="s">
        <v>5430</v>
      </c>
      <c r="C2115" t="s">
        <v>7172</v>
      </c>
      <c r="D2115" t="s">
        <v>8675</v>
      </c>
      <c r="F2115">
        <v>37</v>
      </c>
      <c r="G2115">
        <v>1.145</v>
      </c>
      <c r="H2115">
        <v>42.365000000000002</v>
      </c>
      <c r="I2115" t="s">
        <v>2354</v>
      </c>
    </row>
    <row r="2116" spans="1:9" x14ac:dyDescent="0.25">
      <c r="A2116" t="s">
        <v>220</v>
      </c>
      <c r="B2116" t="s">
        <v>5430</v>
      </c>
      <c r="C2116" t="s">
        <v>4830</v>
      </c>
      <c r="D2116" t="s">
        <v>8676</v>
      </c>
      <c r="F2116">
        <v>210</v>
      </c>
      <c r="G2116">
        <v>9.799999999999999E-2</v>
      </c>
      <c r="H2116">
        <v>20.58</v>
      </c>
      <c r="I2116" t="s">
        <v>2354</v>
      </c>
    </row>
    <row r="2117" spans="1:9" x14ac:dyDescent="0.25">
      <c r="A2117" t="s">
        <v>220</v>
      </c>
      <c r="B2117" t="s">
        <v>5430</v>
      </c>
      <c r="C2117" t="s">
        <v>4832</v>
      </c>
      <c r="D2117" t="s">
        <v>8677</v>
      </c>
      <c r="F2117">
        <v>67</v>
      </c>
      <c r="G2117">
        <v>5.9033281409406252E-2</v>
      </c>
      <c r="H2117">
        <v>3.9552298544302187</v>
      </c>
      <c r="I2117" t="s">
        <v>2354</v>
      </c>
    </row>
    <row r="2118" spans="1:9" x14ac:dyDescent="0.25">
      <c r="A2118" t="s">
        <v>220</v>
      </c>
      <c r="B2118" t="s">
        <v>5430</v>
      </c>
      <c r="C2118" t="s">
        <v>4834</v>
      </c>
      <c r="D2118" t="s">
        <v>8678</v>
      </c>
      <c r="F2118">
        <v>584</v>
      </c>
      <c r="G2118">
        <v>0.06</v>
      </c>
      <c r="H2118">
        <v>35.04</v>
      </c>
      <c r="I2118" t="s">
        <v>2354</v>
      </c>
    </row>
    <row r="2119" spans="1:9" x14ac:dyDescent="0.25">
      <c r="A2119" t="s">
        <v>220</v>
      </c>
      <c r="B2119" t="s">
        <v>5430</v>
      </c>
      <c r="C2119" t="s">
        <v>4836</v>
      </c>
      <c r="D2119" t="s">
        <v>8679</v>
      </c>
      <c r="F2119">
        <v>49</v>
      </c>
      <c r="G2119">
        <v>0.58602392565597661</v>
      </c>
      <c r="H2119">
        <v>28.715172357142855</v>
      </c>
      <c r="I2119" t="s">
        <v>2354</v>
      </c>
    </row>
    <row r="2120" spans="1:9" x14ac:dyDescent="0.25">
      <c r="A2120" t="s">
        <v>220</v>
      </c>
      <c r="B2120" t="s">
        <v>5430</v>
      </c>
      <c r="C2120" t="s">
        <v>4838</v>
      </c>
      <c r="D2120" t="s">
        <v>8680</v>
      </c>
      <c r="F2120">
        <v>10</v>
      </c>
      <c r="G2120">
        <v>0.68090066225165569</v>
      </c>
      <c r="H2120">
        <v>6.8090066225165566</v>
      </c>
      <c r="I2120" t="s">
        <v>2354</v>
      </c>
    </row>
    <row r="2121" spans="1:9" x14ac:dyDescent="0.25">
      <c r="A2121" t="s">
        <v>220</v>
      </c>
      <c r="B2121" t="s">
        <v>5430</v>
      </c>
      <c r="C2121" t="s">
        <v>4840</v>
      </c>
      <c r="D2121" t="s">
        <v>8681</v>
      </c>
      <c r="F2121">
        <v>89</v>
      </c>
      <c r="G2121">
        <v>0.40460000000000002</v>
      </c>
      <c r="H2121">
        <v>36.009399999999999</v>
      </c>
      <c r="I2121" t="s">
        <v>2354</v>
      </c>
    </row>
    <row r="2122" spans="1:9" x14ac:dyDescent="0.25">
      <c r="A2122" t="s">
        <v>220</v>
      </c>
      <c r="B2122" t="s">
        <v>5430</v>
      </c>
      <c r="C2122" t="s">
        <v>4842</v>
      </c>
      <c r="D2122" t="s">
        <v>8682</v>
      </c>
      <c r="F2122">
        <v>160</v>
      </c>
      <c r="G2122">
        <v>0.10833</v>
      </c>
      <c r="H2122">
        <v>17.332799999999999</v>
      </c>
      <c r="I2122" t="s">
        <v>2354</v>
      </c>
    </row>
    <row r="2123" spans="1:9" x14ac:dyDescent="0.25">
      <c r="A2123" t="s">
        <v>220</v>
      </c>
      <c r="B2123" t="s">
        <v>5430</v>
      </c>
      <c r="C2123" t="s">
        <v>4846</v>
      </c>
      <c r="D2123" t="s">
        <v>8683</v>
      </c>
      <c r="F2123">
        <v>186</v>
      </c>
      <c r="G2123">
        <v>6.8000000000000005E-2</v>
      </c>
      <c r="H2123">
        <v>12.648000000000001</v>
      </c>
      <c r="I2123" t="s">
        <v>2354</v>
      </c>
    </row>
    <row r="2124" spans="1:9" x14ac:dyDescent="0.25">
      <c r="A2124" t="s">
        <v>220</v>
      </c>
      <c r="B2124" t="s">
        <v>5430</v>
      </c>
      <c r="C2124" t="s">
        <v>4848</v>
      </c>
      <c r="D2124" t="s">
        <v>8684</v>
      </c>
      <c r="F2124">
        <v>382</v>
      </c>
      <c r="G2124">
        <v>8.6999999999999994E-2</v>
      </c>
      <c r="H2124">
        <v>33.233999999999995</v>
      </c>
      <c r="I2124" t="s">
        <v>2354</v>
      </c>
    </row>
    <row r="2125" spans="1:9" x14ac:dyDescent="0.25">
      <c r="A2125" t="s">
        <v>220</v>
      </c>
      <c r="B2125" t="s">
        <v>5430</v>
      </c>
      <c r="C2125" t="s">
        <v>4854</v>
      </c>
      <c r="D2125" t="s">
        <v>8685</v>
      </c>
      <c r="F2125">
        <v>110</v>
      </c>
      <c r="G2125">
        <v>0.186</v>
      </c>
      <c r="H2125">
        <v>20.46</v>
      </c>
      <c r="I2125" t="s">
        <v>2354</v>
      </c>
    </row>
    <row r="2126" spans="1:9" x14ac:dyDescent="0.25">
      <c r="A2126" t="s">
        <v>220</v>
      </c>
      <c r="B2126" t="s">
        <v>5430</v>
      </c>
      <c r="C2126" t="s">
        <v>4856</v>
      </c>
      <c r="D2126" t="s">
        <v>8686</v>
      </c>
      <c r="F2126">
        <v>187</v>
      </c>
      <c r="G2126">
        <v>0.29599999999999999</v>
      </c>
      <c r="H2126">
        <v>55.351999999999997</v>
      </c>
      <c r="I2126" t="s">
        <v>2354</v>
      </c>
    </row>
    <row r="2127" spans="1:9" x14ac:dyDescent="0.25">
      <c r="A2127" t="s">
        <v>220</v>
      </c>
      <c r="B2127" t="s">
        <v>5430</v>
      </c>
      <c r="C2127" t="s">
        <v>4858</v>
      </c>
      <c r="D2127" t="s">
        <v>8687</v>
      </c>
      <c r="F2127">
        <v>94</v>
      </c>
      <c r="G2127">
        <v>0.442</v>
      </c>
      <c r="H2127">
        <v>41.548000000000002</v>
      </c>
      <c r="I2127" t="s">
        <v>2354</v>
      </c>
    </row>
    <row r="2128" spans="1:9" x14ac:dyDescent="0.25">
      <c r="A2128" t="s">
        <v>220</v>
      </c>
      <c r="B2128" t="s">
        <v>5430</v>
      </c>
      <c r="C2128" t="s">
        <v>4860</v>
      </c>
      <c r="D2128" t="s">
        <v>8688</v>
      </c>
      <c r="F2128">
        <v>100</v>
      </c>
      <c r="G2128">
        <v>0.44700000000000001</v>
      </c>
      <c r="H2128">
        <v>44.7</v>
      </c>
      <c r="I2128" t="s">
        <v>2354</v>
      </c>
    </row>
    <row r="2129" spans="1:9" x14ac:dyDescent="0.25">
      <c r="A2129" t="s">
        <v>220</v>
      </c>
      <c r="B2129" t="s">
        <v>5430</v>
      </c>
      <c r="C2129" t="s">
        <v>4867</v>
      </c>
      <c r="D2129" t="s">
        <v>8689</v>
      </c>
      <c r="F2129">
        <v>138</v>
      </c>
      <c r="G2129">
        <v>0.69750999999999985</v>
      </c>
      <c r="H2129">
        <v>96.256379999999979</v>
      </c>
      <c r="I2129" t="s">
        <v>2354</v>
      </c>
    </row>
    <row r="2130" spans="1:9" x14ac:dyDescent="0.25">
      <c r="A2130" t="s">
        <v>220</v>
      </c>
      <c r="B2130" t="s">
        <v>5430</v>
      </c>
      <c r="C2130" t="s">
        <v>4869</v>
      </c>
      <c r="D2130" t="s">
        <v>8690</v>
      </c>
      <c r="F2130">
        <v>8</v>
      </c>
      <c r="G2130">
        <v>0.83717239130434784</v>
      </c>
      <c r="H2130">
        <v>6.6973791304347827</v>
      </c>
      <c r="I2130" t="s">
        <v>2354</v>
      </c>
    </row>
    <row r="2131" spans="1:9" x14ac:dyDescent="0.25">
      <c r="A2131" t="s">
        <v>220</v>
      </c>
      <c r="B2131" t="s">
        <v>5430</v>
      </c>
      <c r="C2131" t="s">
        <v>4873</v>
      </c>
      <c r="D2131" t="s">
        <v>8691</v>
      </c>
      <c r="F2131">
        <v>400</v>
      </c>
      <c r="G2131">
        <v>0.63500000000000001</v>
      </c>
      <c r="H2131">
        <v>254</v>
      </c>
      <c r="I2131" t="s">
        <v>2354</v>
      </c>
    </row>
    <row r="2132" spans="1:9" x14ac:dyDescent="0.25">
      <c r="A2132" t="s">
        <v>220</v>
      </c>
      <c r="B2132" t="s">
        <v>5430</v>
      </c>
      <c r="C2132" t="s">
        <v>4901</v>
      </c>
      <c r="D2132" t="s">
        <v>8692</v>
      </c>
      <c r="F2132">
        <v>100</v>
      </c>
      <c r="G2132">
        <v>0.21</v>
      </c>
      <c r="H2132">
        <v>21</v>
      </c>
      <c r="I2132" t="s">
        <v>2354</v>
      </c>
    </row>
    <row r="2133" spans="1:9" x14ac:dyDescent="0.25">
      <c r="A2133" t="s">
        <v>220</v>
      </c>
      <c r="B2133" t="s">
        <v>5430</v>
      </c>
      <c r="C2133" t="s">
        <v>7175</v>
      </c>
      <c r="D2133" t="s">
        <v>8693</v>
      </c>
      <c r="F2133">
        <v>210</v>
      </c>
      <c r="G2133">
        <v>0.28299999999999997</v>
      </c>
      <c r="H2133">
        <v>59.429999999999993</v>
      </c>
      <c r="I2133" t="s">
        <v>2354</v>
      </c>
    </row>
    <row r="2134" spans="1:9" x14ac:dyDescent="0.25">
      <c r="A2134" t="s">
        <v>220</v>
      </c>
      <c r="B2134" t="s">
        <v>5430</v>
      </c>
      <c r="C2134" t="s">
        <v>4905</v>
      </c>
      <c r="D2134" t="s">
        <v>8694</v>
      </c>
      <c r="F2134">
        <v>10</v>
      </c>
      <c r="G2134">
        <v>0.44500000000000001</v>
      </c>
      <c r="H2134">
        <v>4.45</v>
      </c>
      <c r="I2134" t="s">
        <v>2354</v>
      </c>
    </row>
    <row r="2135" spans="1:9" x14ac:dyDescent="0.25">
      <c r="A2135" t="s">
        <v>220</v>
      </c>
      <c r="B2135" t="s">
        <v>5430</v>
      </c>
      <c r="C2135" t="s">
        <v>8695</v>
      </c>
      <c r="D2135" t="s">
        <v>8696</v>
      </c>
      <c r="F2135">
        <v>100</v>
      </c>
      <c r="G2135">
        <v>0.49299999999999999</v>
      </c>
      <c r="H2135">
        <v>49.3</v>
      </c>
      <c r="I2135" t="s">
        <v>2354</v>
      </c>
    </row>
    <row r="2136" spans="1:9" x14ac:dyDescent="0.25">
      <c r="A2136" t="s">
        <v>220</v>
      </c>
      <c r="B2136" t="s">
        <v>5430</v>
      </c>
      <c r="C2136" t="s">
        <v>4909</v>
      </c>
      <c r="D2136" t="s">
        <v>8697</v>
      </c>
      <c r="F2136">
        <v>245</v>
      </c>
      <c r="G2136">
        <v>0.67300000000000004</v>
      </c>
      <c r="H2136">
        <v>164.88500000000002</v>
      </c>
      <c r="I2136" t="s">
        <v>2354</v>
      </c>
    </row>
    <row r="2137" spans="1:9" x14ac:dyDescent="0.25">
      <c r="A2137" t="s">
        <v>220</v>
      </c>
      <c r="B2137" t="s">
        <v>5430</v>
      </c>
      <c r="C2137" t="s">
        <v>7180</v>
      </c>
      <c r="D2137" t="s">
        <v>8698</v>
      </c>
      <c r="F2137">
        <v>122</v>
      </c>
      <c r="G2137">
        <v>1.121</v>
      </c>
      <c r="H2137">
        <v>136.762</v>
      </c>
      <c r="I2137" t="s">
        <v>2354</v>
      </c>
    </row>
    <row r="2138" spans="1:9" x14ac:dyDescent="0.25">
      <c r="A2138" t="s">
        <v>220</v>
      </c>
      <c r="B2138" t="s">
        <v>5430</v>
      </c>
      <c r="C2138" t="s">
        <v>7182</v>
      </c>
      <c r="D2138" t="s">
        <v>8699</v>
      </c>
      <c r="F2138">
        <v>163</v>
      </c>
      <c r="G2138">
        <v>1.3460000000000001</v>
      </c>
      <c r="H2138">
        <v>219.39800000000002</v>
      </c>
      <c r="I2138" t="s">
        <v>2354</v>
      </c>
    </row>
    <row r="2139" spans="1:9" x14ac:dyDescent="0.25">
      <c r="A2139" t="s">
        <v>220</v>
      </c>
      <c r="B2139" t="s">
        <v>5430</v>
      </c>
      <c r="C2139" t="s">
        <v>4919</v>
      </c>
      <c r="D2139" t="s">
        <v>8700</v>
      </c>
      <c r="F2139">
        <v>84</v>
      </c>
      <c r="G2139">
        <v>1.4279999999999999E-2</v>
      </c>
      <c r="H2139">
        <v>1.1995199999999999</v>
      </c>
      <c r="I2139" t="s">
        <v>2354</v>
      </c>
    </row>
    <row r="2140" spans="1:9" x14ac:dyDescent="0.25">
      <c r="A2140" t="s">
        <v>220</v>
      </c>
      <c r="B2140" t="s">
        <v>5430</v>
      </c>
      <c r="C2140" t="s">
        <v>4921</v>
      </c>
      <c r="D2140" t="s">
        <v>4922</v>
      </c>
      <c r="F2140">
        <v>580</v>
      </c>
      <c r="G2140">
        <v>2.3E-2</v>
      </c>
      <c r="H2140">
        <v>13.34</v>
      </c>
      <c r="I2140" t="s">
        <v>2354</v>
      </c>
    </row>
    <row r="2141" spans="1:9" x14ac:dyDescent="0.25">
      <c r="A2141" t="s">
        <v>220</v>
      </c>
      <c r="B2141" t="s">
        <v>5430</v>
      </c>
      <c r="C2141" t="s">
        <v>4923</v>
      </c>
      <c r="D2141" t="s">
        <v>4924</v>
      </c>
      <c r="F2141">
        <v>463</v>
      </c>
      <c r="G2141">
        <v>5.6169999999999998E-2</v>
      </c>
      <c r="H2141">
        <v>26.006709999999998</v>
      </c>
      <c r="I2141" t="s">
        <v>2354</v>
      </c>
    </row>
    <row r="2142" spans="1:9" x14ac:dyDescent="0.25">
      <c r="A2142" t="s">
        <v>220</v>
      </c>
      <c r="B2142" t="s">
        <v>5430</v>
      </c>
      <c r="C2142" t="s">
        <v>4925</v>
      </c>
      <c r="D2142" t="s">
        <v>4926</v>
      </c>
      <c r="F2142">
        <v>260</v>
      </c>
      <c r="G2142">
        <v>0.11</v>
      </c>
      <c r="H2142">
        <v>28.6</v>
      </c>
      <c r="I2142" t="s">
        <v>2354</v>
      </c>
    </row>
    <row r="2143" spans="1:9" x14ac:dyDescent="0.25">
      <c r="A2143" t="s">
        <v>220</v>
      </c>
      <c r="B2143" t="s">
        <v>5430</v>
      </c>
      <c r="C2143" t="s">
        <v>4927</v>
      </c>
      <c r="D2143" t="s">
        <v>8701</v>
      </c>
      <c r="F2143">
        <v>190</v>
      </c>
      <c r="G2143">
        <v>0.127</v>
      </c>
      <c r="H2143">
        <v>24.13</v>
      </c>
      <c r="I2143" t="s">
        <v>2354</v>
      </c>
    </row>
    <row r="2144" spans="1:9" x14ac:dyDescent="0.25">
      <c r="A2144" t="s">
        <v>220</v>
      </c>
      <c r="B2144" t="s">
        <v>5430</v>
      </c>
      <c r="C2144" t="s">
        <v>4929</v>
      </c>
      <c r="D2144" t="s">
        <v>8702</v>
      </c>
      <c r="F2144">
        <v>192</v>
      </c>
      <c r="G2144">
        <v>0.30299999999999999</v>
      </c>
      <c r="H2144">
        <v>58.176000000000002</v>
      </c>
      <c r="I2144" t="s">
        <v>2354</v>
      </c>
    </row>
    <row r="2145" spans="1:9" x14ac:dyDescent="0.25">
      <c r="A2145" t="s">
        <v>220</v>
      </c>
      <c r="B2145" t="s">
        <v>5430</v>
      </c>
      <c r="C2145" t="s">
        <v>4937</v>
      </c>
      <c r="D2145" t="s">
        <v>8703</v>
      </c>
      <c r="F2145">
        <v>10</v>
      </c>
      <c r="G2145">
        <v>0.15327726708074535</v>
      </c>
      <c r="H2145">
        <v>1.5327726708074536</v>
      </c>
      <c r="I2145" t="s">
        <v>2354</v>
      </c>
    </row>
    <row r="2146" spans="1:9" x14ac:dyDescent="0.25">
      <c r="A2146" t="s">
        <v>220</v>
      </c>
      <c r="B2146" t="s">
        <v>5430</v>
      </c>
      <c r="C2146" t="s">
        <v>4939</v>
      </c>
      <c r="D2146" t="s">
        <v>8704</v>
      </c>
      <c r="F2146">
        <v>68</v>
      </c>
      <c r="G2146">
        <v>0.27565000000000001</v>
      </c>
      <c r="H2146">
        <v>18.744199999999999</v>
      </c>
      <c r="I2146" t="s">
        <v>2354</v>
      </c>
    </row>
    <row r="2147" spans="1:9" x14ac:dyDescent="0.25">
      <c r="A2147" t="s">
        <v>220</v>
      </c>
      <c r="B2147" t="s">
        <v>5430</v>
      </c>
      <c r="C2147" t="s">
        <v>4943</v>
      </c>
      <c r="D2147" t="s">
        <v>8705</v>
      </c>
      <c r="F2147">
        <v>20</v>
      </c>
      <c r="G2147">
        <v>3.7376999999999998</v>
      </c>
      <c r="H2147">
        <v>74.753999999999991</v>
      </c>
      <c r="I2147" t="s">
        <v>2354</v>
      </c>
    </row>
    <row r="2148" spans="1:9" x14ac:dyDescent="0.25">
      <c r="A2148" t="s">
        <v>220</v>
      </c>
      <c r="B2148" t="s">
        <v>5430</v>
      </c>
      <c r="C2148" t="s">
        <v>4945</v>
      </c>
      <c r="D2148" t="s">
        <v>8706</v>
      </c>
      <c r="F2148">
        <v>4</v>
      </c>
      <c r="G2148">
        <v>0.16788</v>
      </c>
      <c r="H2148">
        <v>0.67152000000000001</v>
      </c>
      <c r="I2148" t="s">
        <v>2354</v>
      </c>
    </row>
    <row r="2149" spans="1:9" x14ac:dyDescent="0.25">
      <c r="A2149" t="s">
        <v>220</v>
      </c>
      <c r="B2149" t="s">
        <v>5430</v>
      </c>
      <c r="C2149" t="s">
        <v>4959</v>
      </c>
      <c r="D2149" t="s">
        <v>8707</v>
      </c>
      <c r="F2149">
        <v>33</v>
      </c>
      <c r="G2149">
        <v>0.28334745762711866</v>
      </c>
      <c r="H2149">
        <v>9.3504661016949164</v>
      </c>
      <c r="I2149" t="s">
        <v>2354</v>
      </c>
    </row>
    <row r="2150" spans="1:9" x14ac:dyDescent="0.25">
      <c r="A2150" t="s">
        <v>220</v>
      </c>
      <c r="B2150" t="s">
        <v>5430</v>
      </c>
      <c r="C2150" t="s">
        <v>4961</v>
      </c>
      <c r="D2150" t="s">
        <v>8708</v>
      </c>
      <c r="F2150">
        <v>21</v>
      </c>
      <c r="G2150">
        <v>1.3260000000000001</v>
      </c>
      <c r="H2150">
        <v>27.846</v>
      </c>
      <c r="I2150" t="s">
        <v>2354</v>
      </c>
    </row>
    <row r="2151" spans="1:9" x14ac:dyDescent="0.25">
      <c r="A2151" t="s">
        <v>220</v>
      </c>
      <c r="B2151" t="s">
        <v>5430</v>
      </c>
      <c r="C2151" t="s">
        <v>4963</v>
      </c>
      <c r="D2151" t="s">
        <v>8709</v>
      </c>
      <c r="F2151">
        <v>16</v>
      </c>
      <c r="G2151">
        <v>2.2429999999999999</v>
      </c>
      <c r="H2151">
        <v>35.887999999999998</v>
      </c>
      <c r="I2151" t="s">
        <v>2354</v>
      </c>
    </row>
    <row r="2152" spans="1:9" x14ac:dyDescent="0.25">
      <c r="A2152" t="s">
        <v>220</v>
      </c>
      <c r="B2152" t="s">
        <v>5430</v>
      </c>
      <c r="C2152" t="s">
        <v>4965</v>
      </c>
      <c r="D2152" t="s">
        <v>8710</v>
      </c>
      <c r="F2152">
        <v>19</v>
      </c>
      <c r="G2152">
        <v>3.2429999999999999</v>
      </c>
      <c r="H2152">
        <v>61.616999999999997</v>
      </c>
      <c r="I2152" t="s">
        <v>2354</v>
      </c>
    </row>
    <row r="2153" spans="1:9" x14ac:dyDescent="0.25">
      <c r="A2153" t="s">
        <v>220</v>
      </c>
      <c r="B2153" t="s">
        <v>5430</v>
      </c>
      <c r="C2153" t="s">
        <v>4967</v>
      </c>
      <c r="D2153" t="s">
        <v>8711</v>
      </c>
      <c r="F2153">
        <v>11</v>
      </c>
      <c r="G2153">
        <v>4.4850000000000003</v>
      </c>
      <c r="H2153">
        <v>49.335000000000001</v>
      </c>
      <c r="I2153" t="s">
        <v>2354</v>
      </c>
    </row>
    <row r="2154" spans="1:9" x14ac:dyDescent="0.25">
      <c r="A2154" t="s">
        <v>220</v>
      </c>
      <c r="B2154" t="s">
        <v>5430</v>
      </c>
      <c r="C2154" t="s">
        <v>4969</v>
      </c>
      <c r="D2154" t="s">
        <v>8712</v>
      </c>
      <c r="F2154">
        <v>15</v>
      </c>
      <c r="G2154">
        <v>4.3360000000000003</v>
      </c>
      <c r="H2154">
        <v>65.040000000000006</v>
      </c>
      <c r="I2154" t="s">
        <v>2354</v>
      </c>
    </row>
    <row r="2155" spans="1:9" x14ac:dyDescent="0.25">
      <c r="A2155" t="s">
        <v>220</v>
      </c>
      <c r="B2155" t="s">
        <v>5430</v>
      </c>
      <c r="C2155" t="s">
        <v>4971</v>
      </c>
      <c r="D2155" t="s">
        <v>8713</v>
      </c>
      <c r="F2155">
        <v>12</v>
      </c>
      <c r="G2155">
        <v>8.4700000000000006</v>
      </c>
      <c r="H2155">
        <v>101.64000000000001</v>
      </c>
      <c r="I2155" t="s">
        <v>2354</v>
      </c>
    </row>
    <row r="2156" spans="1:9" x14ac:dyDescent="0.25">
      <c r="A2156" t="s">
        <v>220</v>
      </c>
      <c r="B2156" t="s">
        <v>5430</v>
      </c>
      <c r="C2156" t="s">
        <v>4973</v>
      </c>
      <c r="D2156" t="s">
        <v>8714</v>
      </c>
      <c r="F2156">
        <v>190</v>
      </c>
      <c r="G2156">
        <v>6.1900000000000002E-3</v>
      </c>
      <c r="H2156">
        <v>1.1761000000000001</v>
      </c>
      <c r="I2156" t="s">
        <v>2354</v>
      </c>
    </row>
    <row r="2157" spans="1:9" x14ac:dyDescent="0.25">
      <c r="A2157" t="s">
        <v>220</v>
      </c>
      <c r="B2157" t="s">
        <v>5430</v>
      </c>
      <c r="C2157" t="s">
        <v>4975</v>
      </c>
      <c r="D2157" t="s">
        <v>8715</v>
      </c>
      <c r="F2157">
        <v>670</v>
      </c>
      <c r="G2157">
        <v>7.6499999999999999E-2</v>
      </c>
      <c r="H2157">
        <v>51.255000000000003</v>
      </c>
      <c r="I2157" t="s">
        <v>2354</v>
      </c>
    </row>
    <row r="2158" spans="1:9" x14ac:dyDescent="0.25">
      <c r="A2158" t="s">
        <v>220</v>
      </c>
      <c r="B2158" t="s">
        <v>5430</v>
      </c>
      <c r="C2158" t="s">
        <v>4977</v>
      </c>
      <c r="D2158" t="s">
        <v>8716</v>
      </c>
      <c r="F2158">
        <v>536</v>
      </c>
      <c r="G2158">
        <v>4.2750000000000003E-2</v>
      </c>
      <c r="H2158">
        <v>22.914000000000001</v>
      </c>
      <c r="I2158" t="s">
        <v>2354</v>
      </c>
    </row>
    <row r="2159" spans="1:9" x14ac:dyDescent="0.25">
      <c r="A2159" t="s">
        <v>220</v>
      </c>
      <c r="B2159" t="s">
        <v>5430</v>
      </c>
      <c r="C2159" t="s">
        <v>4979</v>
      </c>
      <c r="D2159" t="s">
        <v>8717</v>
      </c>
      <c r="F2159">
        <v>701</v>
      </c>
      <c r="G2159">
        <v>2.826E-2</v>
      </c>
      <c r="H2159">
        <v>19.81026</v>
      </c>
      <c r="I2159" t="s">
        <v>2354</v>
      </c>
    </row>
    <row r="2160" spans="1:9" x14ac:dyDescent="0.25">
      <c r="A2160" t="s">
        <v>220</v>
      </c>
      <c r="B2160" t="s">
        <v>5430</v>
      </c>
      <c r="C2160" t="s">
        <v>4981</v>
      </c>
      <c r="D2160" t="s">
        <v>8718</v>
      </c>
      <c r="F2160">
        <v>584</v>
      </c>
      <c r="G2160">
        <v>8.1000000000000003E-2</v>
      </c>
      <c r="H2160">
        <v>47.304000000000002</v>
      </c>
      <c r="I2160" t="s">
        <v>2354</v>
      </c>
    </row>
    <row r="2161" spans="1:9" x14ac:dyDescent="0.25">
      <c r="A2161" t="s">
        <v>220</v>
      </c>
      <c r="B2161" t="s">
        <v>5430</v>
      </c>
      <c r="C2161" t="s">
        <v>4983</v>
      </c>
      <c r="D2161" t="s">
        <v>8719</v>
      </c>
      <c r="F2161">
        <v>400</v>
      </c>
      <c r="G2161">
        <v>0.14147000000000001</v>
      </c>
      <c r="H2161">
        <v>56.588000000000008</v>
      </c>
      <c r="I2161" t="s">
        <v>2354</v>
      </c>
    </row>
    <row r="2162" spans="1:9" x14ac:dyDescent="0.25">
      <c r="A2162" t="s">
        <v>220</v>
      </c>
      <c r="B2162" t="s">
        <v>5430</v>
      </c>
      <c r="C2162" t="s">
        <v>4985</v>
      </c>
      <c r="D2162" t="s">
        <v>8720</v>
      </c>
      <c r="F2162">
        <v>534</v>
      </c>
      <c r="G2162">
        <v>0.26100000000000001</v>
      </c>
      <c r="H2162">
        <v>139.374</v>
      </c>
      <c r="I2162" t="s">
        <v>2354</v>
      </c>
    </row>
    <row r="2163" spans="1:9" x14ac:dyDescent="0.25">
      <c r="A2163" t="s">
        <v>220</v>
      </c>
      <c r="B2163" t="s">
        <v>5430</v>
      </c>
      <c r="C2163" t="s">
        <v>7185</v>
      </c>
      <c r="D2163" t="s">
        <v>8721</v>
      </c>
      <c r="F2163">
        <v>100</v>
      </c>
      <c r="G2163">
        <v>0.17327000000000001</v>
      </c>
      <c r="H2163">
        <v>17.327000000000002</v>
      </c>
      <c r="I2163" t="s">
        <v>2354</v>
      </c>
    </row>
    <row r="2164" spans="1:9" x14ac:dyDescent="0.25">
      <c r="A2164" t="s">
        <v>220</v>
      </c>
      <c r="B2164" t="s">
        <v>5430</v>
      </c>
      <c r="C2164" t="s">
        <v>5012</v>
      </c>
      <c r="D2164" t="s">
        <v>5013</v>
      </c>
      <c r="F2164">
        <v>110</v>
      </c>
      <c r="G2164">
        <v>5.04E-2</v>
      </c>
      <c r="H2164">
        <v>5.5440000000000005</v>
      </c>
      <c r="I2164" t="s">
        <v>2354</v>
      </c>
    </row>
    <row r="2165" spans="1:9" x14ac:dyDescent="0.25">
      <c r="A2165" t="s">
        <v>220</v>
      </c>
      <c r="B2165" t="s">
        <v>5430</v>
      </c>
      <c r="C2165" t="s">
        <v>5014</v>
      </c>
      <c r="D2165" t="s">
        <v>8722</v>
      </c>
      <c r="F2165">
        <v>131</v>
      </c>
      <c r="G2165">
        <v>3.9600000000000003E-2</v>
      </c>
      <c r="H2165">
        <v>5.1876000000000007</v>
      </c>
      <c r="I2165" t="s">
        <v>2354</v>
      </c>
    </row>
    <row r="2166" spans="1:9" x14ac:dyDescent="0.25">
      <c r="A2166" t="s">
        <v>220</v>
      </c>
      <c r="B2166" t="s">
        <v>5430</v>
      </c>
      <c r="C2166" t="s">
        <v>8723</v>
      </c>
      <c r="D2166" t="s">
        <v>8724</v>
      </c>
      <c r="F2166">
        <v>100</v>
      </c>
      <c r="G2166">
        <v>0</v>
      </c>
      <c r="H2166">
        <v>0</v>
      </c>
      <c r="I2166" t="s">
        <v>2354</v>
      </c>
    </row>
    <row r="2167" spans="1:9" x14ac:dyDescent="0.25">
      <c r="A2167" t="s">
        <v>220</v>
      </c>
      <c r="B2167" t="s">
        <v>5430</v>
      </c>
      <c r="C2167" t="s">
        <v>5050</v>
      </c>
      <c r="D2167" t="s">
        <v>8725</v>
      </c>
      <c r="F2167">
        <v>10</v>
      </c>
      <c r="G2167">
        <v>1.35</v>
      </c>
      <c r="H2167">
        <v>13.5</v>
      </c>
      <c r="I2167" t="s">
        <v>2354</v>
      </c>
    </row>
    <row r="2168" spans="1:9" x14ac:dyDescent="0.25">
      <c r="A2168" t="s">
        <v>220</v>
      </c>
      <c r="B2168" t="s">
        <v>5430</v>
      </c>
      <c r="C2168" t="s">
        <v>5054</v>
      </c>
      <c r="D2168" t="s">
        <v>8726</v>
      </c>
      <c r="F2168">
        <v>4</v>
      </c>
      <c r="G2168">
        <v>0.16800000000000001</v>
      </c>
      <c r="H2168">
        <v>0.67200000000000004</v>
      </c>
      <c r="I2168" t="s">
        <v>2354</v>
      </c>
    </row>
    <row r="2169" spans="1:9" x14ac:dyDescent="0.25">
      <c r="A2169" t="s">
        <v>220</v>
      </c>
      <c r="B2169" t="s">
        <v>5430</v>
      </c>
      <c r="C2169" t="s">
        <v>8727</v>
      </c>
      <c r="D2169" t="s">
        <v>8728</v>
      </c>
      <c r="F2169">
        <v>61</v>
      </c>
      <c r="G2169">
        <v>1.8180000000000001</v>
      </c>
      <c r="H2169">
        <v>110.89800000000001</v>
      </c>
      <c r="I2169" t="s">
        <v>2354</v>
      </c>
    </row>
    <row r="2170" spans="1:9" x14ac:dyDescent="0.25">
      <c r="A2170" t="s">
        <v>220</v>
      </c>
      <c r="B2170" t="s">
        <v>5430</v>
      </c>
      <c r="C2170" t="s">
        <v>7189</v>
      </c>
      <c r="D2170" t="s">
        <v>8729</v>
      </c>
      <c r="F2170">
        <v>4</v>
      </c>
      <c r="G2170">
        <v>2.1949999999999998</v>
      </c>
      <c r="H2170">
        <v>8.7799999999999994</v>
      </c>
      <c r="I2170" t="s">
        <v>2354</v>
      </c>
    </row>
    <row r="2171" spans="1:9" x14ac:dyDescent="0.25">
      <c r="A2171" t="s">
        <v>220</v>
      </c>
      <c r="B2171" t="s">
        <v>5430</v>
      </c>
      <c r="C2171" t="s">
        <v>5066</v>
      </c>
      <c r="D2171" t="s">
        <v>8730</v>
      </c>
      <c r="F2171">
        <v>83</v>
      </c>
      <c r="G2171">
        <v>0.32200000000000001</v>
      </c>
      <c r="H2171">
        <v>26.725999999999999</v>
      </c>
      <c r="I2171" t="s">
        <v>2354</v>
      </c>
    </row>
    <row r="2172" spans="1:9" x14ac:dyDescent="0.25">
      <c r="A2172" t="s">
        <v>220</v>
      </c>
      <c r="B2172" t="s">
        <v>5430</v>
      </c>
      <c r="C2172" t="s">
        <v>7194</v>
      </c>
      <c r="D2172" t="s">
        <v>8731</v>
      </c>
      <c r="F2172">
        <v>62</v>
      </c>
      <c r="G2172">
        <v>0.3468</v>
      </c>
      <c r="H2172">
        <v>21.5016</v>
      </c>
      <c r="I2172" t="s">
        <v>2354</v>
      </c>
    </row>
    <row r="2173" spans="1:9" x14ac:dyDescent="0.25">
      <c r="A2173" t="s">
        <v>220</v>
      </c>
      <c r="B2173" t="s">
        <v>5430</v>
      </c>
      <c r="C2173" t="s">
        <v>7196</v>
      </c>
      <c r="D2173" t="s">
        <v>8732</v>
      </c>
      <c r="F2173">
        <v>11</v>
      </c>
      <c r="G2173">
        <v>0.25797999999999999</v>
      </c>
      <c r="H2173">
        <v>2.83778</v>
      </c>
      <c r="I2173" t="s">
        <v>2354</v>
      </c>
    </row>
    <row r="2174" spans="1:9" x14ac:dyDescent="0.25">
      <c r="A2174" t="s">
        <v>220</v>
      </c>
      <c r="B2174" t="s">
        <v>5430</v>
      </c>
      <c r="C2174" t="s">
        <v>7198</v>
      </c>
      <c r="D2174" t="s">
        <v>8733</v>
      </c>
      <c r="F2174">
        <v>100</v>
      </c>
      <c r="G2174">
        <v>0.18</v>
      </c>
      <c r="H2174">
        <v>18</v>
      </c>
      <c r="I2174" t="s">
        <v>2354</v>
      </c>
    </row>
    <row r="2175" spans="1:9" x14ac:dyDescent="0.25">
      <c r="A2175" t="s">
        <v>220</v>
      </c>
      <c r="B2175" t="s">
        <v>5430</v>
      </c>
      <c r="C2175" t="s">
        <v>5080</v>
      </c>
      <c r="D2175" t="s">
        <v>8734</v>
      </c>
      <c r="F2175">
        <v>8</v>
      </c>
      <c r="G2175">
        <v>17.193000000000001</v>
      </c>
      <c r="H2175">
        <v>137.54400000000001</v>
      </c>
      <c r="I2175" t="s">
        <v>2354</v>
      </c>
    </row>
    <row r="2176" spans="1:9" x14ac:dyDescent="0.25">
      <c r="A2176" t="s">
        <v>220</v>
      </c>
      <c r="B2176" t="s">
        <v>5430</v>
      </c>
      <c r="C2176" t="s">
        <v>5082</v>
      </c>
      <c r="D2176" t="s">
        <v>8735</v>
      </c>
      <c r="F2176">
        <v>6</v>
      </c>
      <c r="G2176">
        <v>22.925000000000001</v>
      </c>
      <c r="H2176">
        <v>137.55000000000001</v>
      </c>
      <c r="I2176" t="s">
        <v>2354</v>
      </c>
    </row>
    <row r="2177" spans="1:9" x14ac:dyDescent="0.25">
      <c r="A2177" t="s">
        <v>220</v>
      </c>
      <c r="B2177" t="s">
        <v>5430</v>
      </c>
      <c r="C2177" t="s">
        <v>7200</v>
      </c>
      <c r="D2177" t="s">
        <v>8736</v>
      </c>
      <c r="F2177">
        <v>40</v>
      </c>
      <c r="G2177">
        <v>0.29799999999999999</v>
      </c>
      <c r="H2177">
        <v>11.92</v>
      </c>
      <c r="I2177" t="s">
        <v>2354</v>
      </c>
    </row>
    <row r="2178" spans="1:9" x14ac:dyDescent="0.25">
      <c r="A2178" t="s">
        <v>220</v>
      </c>
      <c r="B2178" t="s">
        <v>5430</v>
      </c>
      <c r="C2178" t="s">
        <v>7202</v>
      </c>
      <c r="D2178" t="s">
        <v>8737</v>
      </c>
      <c r="F2178">
        <v>71</v>
      </c>
      <c r="G2178">
        <v>1.3390899999999999</v>
      </c>
      <c r="H2178">
        <v>95.075389999999999</v>
      </c>
      <c r="I2178" t="s">
        <v>2354</v>
      </c>
    </row>
    <row r="2179" spans="1:9" x14ac:dyDescent="0.25">
      <c r="A2179" t="s">
        <v>220</v>
      </c>
      <c r="B2179" t="s">
        <v>5430</v>
      </c>
      <c r="C2179" t="s">
        <v>7204</v>
      </c>
      <c r="D2179" t="s">
        <v>8738</v>
      </c>
      <c r="F2179">
        <v>39</v>
      </c>
      <c r="G2179">
        <v>0.42626999999999998</v>
      </c>
      <c r="H2179">
        <v>16.62453</v>
      </c>
      <c r="I2179" t="s">
        <v>2354</v>
      </c>
    </row>
    <row r="2180" spans="1:9" x14ac:dyDescent="0.25">
      <c r="A2180" t="s">
        <v>220</v>
      </c>
      <c r="B2180" t="s">
        <v>5430</v>
      </c>
      <c r="C2180" t="s">
        <v>7206</v>
      </c>
      <c r="D2180" t="s">
        <v>8739</v>
      </c>
      <c r="F2180">
        <v>37</v>
      </c>
      <c r="G2180">
        <v>2.8079999999999998</v>
      </c>
      <c r="H2180">
        <v>103.89599999999999</v>
      </c>
      <c r="I2180" t="s">
        <v>2354</v>
      </c>
    </row>
    <row r="2181" spans="1:9" x14ac:dyDescent="0.25">
      <c r="A2181" t="s">
        <v>220</v>
      </c>
      <c r="B2181" t="s">
        <v>5430</v>
      </c>
      <c r="C2181" t="s">
        <v>5092</v>
      </c>
      <c r="D2181" t="s">
        <v>8740</v>
      </c>
      <c r="F2181">
        <v>8</v>
      </c>
      <c r="G2181">
        <v>6.63</v>
      </c>
      <c r="H2181">
        <v>53.04</v>
      </c>
      <c r="I2181" t="s">
        <v>2354</v>
      </c>
    </row>
    <row r="2182" spans="1:9" x14ac:dyDescent="0.25">
      <c r="A2182" t="s">
        <v>220</v>
      </c>
      <c r="B2182" t="s">
        <v>5430</v>
      </c>
      <c r="C2182" t="s">
        <v>5116</v>
      </c>
      <c r="D2182" t="s">
        <v>8741</v>
      </c>
      <c r="F2182">
        <v>100</v>
      </c>
      <c r="G2182">
        <v>5.1999999999999998E-2</v>
      </c>
      <c r="H2182">
        <v>5.2</v>
      </c>
      <c r="I2182" t="s">
        <v>2354</v>
      </c>
    </row>
    <row r="2183" spans="1:9" x14ac:dyDescent="0.25">
      <c r="A2183" t="s">
        <v>220</v>
      </c>
      <c r="B2183" t="s">
        <v>5430</v>
      </c>
      <c r="C2183" t="s">
        <v>5118</v>
      </c>
      <c r="D2183" t="s">
        <v>8742</v>
      </c>
      <c r="F2183">
        <v>6</v>
      </c>
      <c r="G2183">
        <v>34.384999999999998</v>
      </c>
      <c r="H2183">
        <v>206.31</v>
      </c>
      <c r="I2183" t="s">
        <v>2354</v>
      </c>
    </row>
    <row r="2184" spans="1:9" x14ac:dyDescent="0.25">
      <c r="A2184" t="s">
        <v>220</v>
      </c>
      <c r="B2184" t="s">
        <v>5430</v>
      </c>
      <c r="C2184" t="s">
        <v>5120</v>
      </c>
      <c r="D2184" t="s">
        <v>8743</v>
      </c>
      <c r="F2184">
        <v>100</v>
      </c>
      <c r="G2184">
        <v>0.19800000000000001</v>
      </c>
      <c r="H2184">
        <v>19.8</v>
      </c>
      <c r="I2184" t="s">
        <v>2354</v>
      </c>
    </row>
    <row r="2185" spans="1:9" x14ac:dyDescent="0.25">
      <c r="A2185" t="s">
        <v>220</v>
      </c>
      <c r="B2185" t="s">
        <v>5430</v>
      </c>
      <c r="C2185" t="s">
        <v>8744</v>
      </c>
      <c r="D2185" t="s">
        <v>8745</v>
      </c>
      <c r="F2185">
        <v>20</v>
      </c>
      <c r="G2185">
        <v>0</v>
      </c>
      <c r="H2185">
        <v>0</v>
      </c>
      <c r="I2185" t="s">
        <v>2354</v>
      </c>
    </row>
    <row r="2186" spans="1:9" x14ac:dyDescent="0.25">
      <c r="A2186" t="s">
        <v>220</v>
      </c>
      <c r="B2186" t="s">
        <v>5430</v>
      </c>
      <c r="C2186" t="s">
        <v>8746</v>
      </c>
      <c r="D2186" t="s">
        <v>8747</v>
      </c>
      <c r="F2186">
        <v>49</v>
      </c>
      <c r="G2186">
        <v>3.7</v>
      </c>
      <c r="H2186">
        <v>181.3</v>
      </c>
      <c r="I2186" t="s">
        <v>2354</v>
      </c>
    </row>
    <row r="2187" spans="1:9" x14ac:dyDescent="0.25">
      <c r="A2187" t="s">
        <v>220</v>
      </c>
      <c r="B2187" t="s">
        <v>5430</v>
      </c>
      <c r="C2187" t="s">
        <v>5138</v>
      </c>
      <c r="D2187" t="s">
        <v>8748</v>
      </c>
      <c r="F2187">
        <v>15</v>
      </c>
      <c r="G2187">
        <v>0.10878985088138404</v>
      </c>
      <c r="H2187">
        <v>1.6318477632207606</v>
      </c>
      <c r="I2187" t="s">
        <v>2354</v>
      </c>
    </row>
    <row r="2188" spans="1:9" x14ac:dyDescent="0.25">
      <c r="A2188" t="s">
        <v>220</v>
      </c>
      <c r="B2188" t="s">
        <v>5430</v>
      </c>
      <c r="C2188" t="s">
        <v>5142</v>
      </c>
      <c r="D2188" t="s">
        <v>8749</v>
      </c>
      <c r="F2188">
        <v>191</v>
      </c>
      <c r="G2188">
        <v>0.46400000000000002</v>
      </c>
      <c r="H2188">
        <v>88.624000000000009</v>
      </c>
      <c r="I2188" t="s">
        <v>2354</v>
      </c>
    </row>
    <row r="2189" spans="1:9" x14ac:dyDescent="0.25">
      <c r="A2189" t="s">
        <v>220</v>
      </c>
      <c r="B2189" t="s">
        <v>5430</v>
      </c>
      <c r="C2189" t="s">
        <v>8750</v>
      </c>
      <c r="D2189" t="s">
        <v>8751</v>
      </c>
      <c r="F2189">
        <v>10</v>
      </c>
      <c r="G2189">
        <v>14.278</v>
      </c>
      <c r="H2189">
        <v>142.78</v>
      </c>
      <c r="I2189" t="s">
        <v>2354</v>
      </c>
    </row>
    <row r="2190" spans="1:9" x14ac:dyDescent="0.25">
      <c r="A2190" t="s">
        <v>220</v>
      </c>
      <c r="B2190" t="s">
        <v>5430</v>
      </c>
      <c r="C2190" t="s">
        <v>7210</v>
      </c>
      <c r="D2190" t="s">
        <v>8752</v>
      </c>
      <c r="F2190">
        <v>200</v>
      </c>
      <c r="G2190">
        <v>2.4729999999999999</v>
      </c>
      <c r="H2190">
        <v>494.59999999999997</v>
      </c>
      <c r="I2190" t="s">
        <v>2354</v>
      </c>
    </row>
    <row r="2191" spans="1:9" x14ac:dyDescent="0.25">
      <c r="A2191" t="s">
        <v>220</v>
      </c>
      <c r="B2191" t="s">
        <v>5430</v>
      </c>
      <c r="C2191" t="s">
        <v>7212</v>
      </c>
      <c r="D2191" t="s">
        <v>8753</v>
      </c>
      <c r="F2191">
        <v>650</v>
      </c>
      <c r="G2191">
        <v>0.92800000000000005</v>
      </c>
      <c r="H2191">
        <v>603.20000000000005</v>
      </c>
      <c r="I2191" t="s">
        <v>2354</v>
      </c>
    </row>
    <row r="2192" spans="1:9" x14ac:dyDescent="0.25">
      <c r="A2192" t="s">
        <v>220</v>
      </c>
      <c r="B2192" t="s">
        <v>5430</v>
      </c>
      <c r="C2192" t="s">
        <v>5146</v>
      </c>
      <c r="D2192" t="s">
        <v>8754</v>
      </c>
      <c r="F2192">
        <v>60</v>
      </c>
      <c r="G2192">
        <v>1.0395066666666666</v>
      </c>
      <c r="H2192">
        <v>62.370399999999997</v>
      </c>
      <c r="I2192" t="s">
        <v>2354</v>
      </c>
    </row>
    <row r="2193" spans="1:9" x14ac:dyDescent="0.25">
      <c r="A2193" t="s">
        <v>220</v>
      </c>
      <c r="B2193" t="s">
        <v>5430</v>
      </c>
      <c r="C2193" t="s">
        <v>5156</v>
      </c>
      <c r="D2193" t="s">
        <v>8755</v>
      </c>
      <c r="F2193">
        <v>6</v>
      </c>
      <c r="G2193">
        <v>47.84</v>
      </c>
      <c r="H2193">
        <v>287.04000000000002</v>
      </c>
      <c r="I2193" t="s">
        <v>2354</v>
      </c>
    </row>
    <row r="2194" spans="1:9" x14ac:dyDescent="0.25">
      <c r="A2194" t="s">
        <v>220</v>
      </c>
      <c r="B2194" t="s">
        <v>5430</v>
      </c>
      <c r="C2194" t="s">
        <v>7216</v>
      </c>
      <c r="D2194" t="s">
        <v>8756</v>
      </c>
      <c r="F2194">
        <v>100</v>
      </c>
      <c r="G2194">
        <v>0.28999999999999998</v>
      </c>
      <c r="H2194">
        <v>28.999999999999996</v>
      </c>
      <c r="I2194" t="s">
        <v>2354</v>
      </c>
    </row>
    <row r="2195" spans="1:9" x14ac:dyDescent="0.25">
      <c r="A2195" t="s">
        <v>220</v>
      </c>
      <c r="B2195" t="s">
        <v>5430</v>
      </c>
      <c r="C2195" t="s">
        <v>7218</v>
      </c>
      <c r="D2195" t="s">
        <v>8620</v>
      </c>
      <c r="F2195">
        <v>100</v>
      </c>
      <c r="G2195">
        <v>0.28999999999999998</v>
      </c>
      <c r="H2195">
        <v>28.999999999999996</v>
      </c>
      <c r="I2195" t="s">
        <v>2354</v>
      </c>
    </row>
    <row r="2196" spans="1:9" x14ac:dyDescent="0.25">
      <c r="A2196" t="s">
        <v>220</v>
      </c>
      <c r="B2196" t="s">
        <v>5430</v>
      </c>
      <c r="C2196" t="s">
        <v>7219</v>
      </c>
      <c r="D2196" t="s">
        <v>8757</v>
      </c>
      <c r="F2196">
        <v>50</v>
      </c>
      <c r="G2196">
        <v>2.65</v>
      </c>
      <c r="H2196">
        <v>132.5</v>
      </c>
      <c r="I2196" t="s">
        <v>2354</v>
      </c>
    </row>
    <row r="2197" spans="1:9" x14ac:dyDescent="0.25">
      <c r="A2197" t="s">
        <v>220</v>
      </c>
      <c r="B2197" t="s">
        <v>5430</v>
      </c>
      <c r="C2197" t="s">
        <v>7221</v>
      </c>
      <c r="D2197" t="s">
        <v>8758</v>
      </c>
      <c r="F2197">
        <v>48</v>
      </c>
      <c r="G2197">
        <v>2.15</v>
      </c>
      <c r="H2197">
        <v>103.19999999999999</v>
      </c>
      <c r="I2197" t="s">
        <v>2354</v>
      </c>
    </row>
    <row r="2198" spans="1:9" x14ac:dyDescent="0.25">
      <c r="A2198" t="s">
        <v>220</v>
      </c>
      <c r="B2198" t="s">
        <v>5430</v>
      </c>
      <c r="C2198" t="s">
        <v>7223</v>
      </c>
      <c r="D2198" t="s">
        <v>8759</v>
      </c>
      <c r="F2198">
        <v>50</v>
      </c>
      <c r="G2198">
        <v>2.95</v>
      </c>
      <c r="H2198">
        <v>147.5</v>
      </c>
      <c r="I2198" t="s">
        <v>2354</v>
      </c>
    </row>
    <row r="2199" spans="1:9" x14ac:dyDescent="0.25">
      <c r="A2199" t="s">
        <v>220</v>
      </c>
      <c r="B2199" t="s">
        <v>5430</v>
      </c>
      <c r="C2199" t="s">
        <v>7233</v>
      </c>
      <c r="D2199" t="s">
        <v>8760</v>
      </c>
      <c r="F2199">
        <v>1</v>
      </c>
      <c r="G2199">
        <v>0.54900000000000004</v>
      </c>
      <c r="H2199">
        <v>0.54900000000000004</v>
      </c>
      <c r="I2199" t="s">
        <v>2354</v>
      </c>
    </row>
    <row r="2200" spans="1:9" x14ac:dyDescent="0.25">
      <c r="A2200" t="s">
        <v>220</v>
      </c>
      <c r="B2200" t="s">
        <v>5430</v>
      </c>
      <c r="C2200" t="s">
        <v>7237</v>
      </c>
      <c r="D2200" t="s">
        <v>8761</v>
      </c>
      <c r="F2200">
        <v>83</v>
      </c>
      <c r="G2200">
        <v>1.972</v>
      </c>
      <c r="H2200">
        <v>163.67599999999999</v>
      </c>
      <c r="I2200" t="s">
        <v>2354</v>
      </c>
    </row>
    <row r="2201" spans="1:9" x14ac:dyDescent="0.25">
      <c r="A2201" t="s">
        <v>220</v>
      </c>
      <c r="B2201" t="s">
        <v>5430</v>
      </c>
      <c r="C2201" t="s">
        <v>8762</v>
      </c>
      <c r="D2201" t="s">
        <v>8763</v>
      </c>
      <c r="F2201">
        <v>1</v>
      </c>
      <c r="G2201">
        <v>0</v>
      </c>
      <c r="H2201">
        <v>0</v>
      </c>
      <c r="I2201" t="s">
        <v>2354</v>
      </c>
    </row>
    <row r="2202" spans="1:9" x14ac:dyDescent="0.25">
      <c r="A2202" t="s">
        <v>220</v>
      </c>
      <c r="B2202" t="s">
        <v>5430</v>
      </c>
      <c r="C2202" t="s">
        <v>7239</v>
      </c>
      <c r="D2202" t="s">
        <v>8764</v>
      </c>
      <c r="F2202">
        <v>5</v>
      </c>
      <c r="G2202">
        <v>15.698</v>
      </c>
      <c r="H2202">
        <v>78.490000000000009</v>
      </c>
      <c r="I2202" t="s">
        <v>2354</v>
      </c>
    </row>
    <row r="2203" spans="1:9" x14ac:dyDescent="0.25">
      <c r="A2203" t="s">
        <v>220</v>
      </c>
      <c r="B2203" t="s">
        <v>5430</v>
      </c>
      <c r="C2203" t="s">
        <v>5160</v>
      </c>
      <c r="D2203" t="s">
        <v>5161</v>
      </c>
      <c r="F2203">
        <v>2.7</v>
      </c>
      <c r="G2203">
        <v>6.7910000000000004</v>
      </c>
      <c r="H2203">
        <v>18.335700000000003</v>
      </c>
      <c r="I2203" t="s">
        <v>2354</v>
      </c>
    </row>
    <row r="2204" spans="1:9" x14ac:dyDescent="0.25">
      <c r="A2204" t="s">
        <v>220</v>
      </c>
      <c r="B2204" t="s">
        <v>5430</v>
      </c>
      <c r="C2204" t="s">
        <v>7242</v>
      </c>
      <c r="D2204" t="s">
        <v>8765</v>
      </c>
      <c r="F2204">
        <v>5.7</v>
      </c>
      <c r="G2204">
        <v>10.92</v>
      </c>
      <c r="H2204">
        <v>62.244</v>
      </c>
      <c r="I2204" t="s">
        <v>2354</v>
      </c>
    </row>
    <row r="2205" spans="1:9" x14ac:dyDescent="0.25">
      <c r="A2205" t="s">
        <v>220</v>
      </c>
      <c r="B2205" t="s">
        <v>5430</v>
      </c>
      <c r="C2205" t="s">
        <v>5166</v>
      </c>
      <c r="D2205" t="s">
        <v>5167</v>
      </c>
      <c r="F2205">
        <v>2</v>
      </c>
      <c r="G2205">
        <v>6.593</v>
      </c>
      <c r="H2205">
        <v>13.186</v>
      </c>
      <c r="I2205" t="s">
        <v>2354</v>
      </c>
    </row>
    <row r="2206" spans="1:9" x14ac:dyDescent="0.25">
      <c r="A2206" t="s">
        <v>220</v>
      </c>
      <c r="B2206" t="s">
        <v>5430</v>
      </c>
      <c r="D2206" t="s">
        <v>8766</v>
      </c>
      <c r="F2206">
        <v>100</v>
      </c>
      <c r="G2206">
        <v>0.11600000000000001</v>
      </c>
      <c r="H2206">
        <v>11.600000000000001</v>
      </c>
      <c r="I2206" t="s">
        <v>2354</v>
      </c>
    </row>
    <row r="2207" spans="1:9" x14ac:dyDescent="0.25">
      <c r="A2207" t="s">
        <v>220</v>
      </c>
      <c r="B2207" t="s">
        <v>5430</v>
      </c>
      <c r="C2207" t="s">
        <v>5172</v>
      </c>
      <c r="D2207" t="s">
        <v>5173</v>
      </c>
      <c r="F2207">
        <v>1</v>
      </c>
      <c r="G2207">
        <v>1.63</v>
      </c>
      <c r="H2207">
        <v>1.63</v>
      </c>
      <c r="I2207" t="s">
        <v>2354</v>
      </c>
    </row>
    <row r="2208" spans="1:9" x14ac:dyDescent="0.25">
      <c r="A2208" t="s">
        <v>220</v>
      </c>
      <c r="B2208" t="s">
        <v>5430</v>
      </c>
      <c r="C2208" t="s">
        <v>5174</v>
      </c>
      <c r="D2208" t="s">
        <v>8767</v>
      </c>
      <c r="F2208">
        <v>1</v>
      </c>
      <c r="G2208">
        <v>2.512</v>
      </c>
      <c r="H2208">
        <v>2.512</v>
      </c>
      <c r="I2208" t="s">
        <v>2354</v>
      </c>
    </row>
    <row r="2209" spans="1:9" x14ac:dyDescent="0.25">
      <c r="A2209" t="s">
        <v>220</v>
      </c>
      <c r="B2209" t="s">
        <v>5430</v>
      </c>
      <c r="C2209" t="s">
        <v>5176</v>
      </c>
      <c r="D2209" t="s">
        <v>8768</v>
      </c>
      <c r="F2209">
        <v>1</v>
      </c>
      <c r="G2209">
        <v>3.0259999999999998</v>
      </c>
      <c r="H2209">
        <v>3.0259999999999998</v>
      </c>
      <c r="I2209" t="s">
        <v>2354</v>
      </c>
    </row>
    <row r="2210" spans="1:9" x14ac:dyDescent="0.25">
      <c r="A2210" t="s">
        <v>220</v>
      </c>
      <c r="B2210" t="s">
        <v>5430</v>
      </c>
      <c r="C2210" t="s">
        <v>5178</v>
      </c>
      <c r="D2210" t="s">
        <v>8769</v>
      </c>
      <c r="F2210">
        <v>2</v>
      </c>
      <c r="G2210">
        <v>4.5625526315789475</v>
      </c>
      <c r="H2210">
        <v>9.1251052631578951</v>
      </c>
      <c r="I2210" t="s">
        <v>2354</v>
      </c>
    </row>
    <row r="2211" spans="1:9" x14ac:dyDescent="0.25">
      <c r="A2211" t="s">
        <v>220</v>
      </c>
      <c r="B2211" t="s">
        <v>5430</v>
      </c>
      <c r="C2211" t="s">
        <v>5182</v>
      </c>
      <c r="D2211" t="s">
        <v>8770</v>
      </c>
      <c r="F2211">
        <v>2</v>
      </c>
      <c r="G2211">
        <v>13.026249999999999</v>
      </c>
      <c r="H2211">
        <v>26.052499999999998</v>
      </c>
      <c r="I2211" t="s">
        <v>2354</v>
      </c>
    </row>
    <row r="2212" spans="1:9" x14ac:dyDescent="0.25">
      <c r="A2212" t="s">
        <v>220</v>
      </c>
      <c r="B2212" t="s">
        <v>5430</v>
      </c>
      <c r="C2212" t="s">
        <v>5184</v>
      </c>
      <c r="D2212" t="s">
        <v>8771</v>
      </c>
      <c r="F2212">
        <v>3</v>
      </c>
      <c r="G2212">
        <v>8.6880000000000006</v>
      </c>
      <c r="H2212">
        <v>26.064</v>
      </c>
      <c r="I2212" t="s">
        <v>2354</v>
      </c>
    </row>
    <row r="2213" spans="1:9" x14ac:dyDescent="0.25">
      <c r="A2213" t="s">
        <v>220</v>
      </c>
      <c r="B2213" t="s">
        <v>5430</v>
      </c>
      <c r="C2213" t="s">
        <v>7248</v>
      </c>
      <c r="D2213" t="s">
        <v>7249</v>
      </c>
      <c r="F2213">
        <v>1</v>
      </c>
      <c r="G2213">
        <v>29.51</v>
      </c>
      <c r="H2213">
        <v>29.51</v>
      </c>
      <c r="I2213" t="s">
        <v>2354</v>
      </c>
    </row>
    <row r="2214" spans="1:9" x14ac:dyDescent="0.25">
      <c r="A2214" t="s">
        <v>220</v>
      </c>
      <c r="B2214" t="s">
        <v>5430</v>
      </c>
      <c r="C2214" t="s">
        <v>5186</v>
      </c>
      <c r="D2214" t="s">
        <v>8772</v>
      </c>
      <c r="F2214">
        <v>4</v>
      </c>
      <c r="G2214">
        <v>1.1559999999999999</v>
      </c>
      <c r="H2214">
        <v>4.6239999999999997</v>
      </c>
      <c r="I2214" t="s">
        <v>2354</v>
      </c>
    </row>
    <row r="2215" spans="1:9" x14ac:dyDescent="0.25">
      <c r="A2215" t="s">
        <v>220</v>
      </c>
      <c r="B2215" t="s">
        <v>5430</v>
      </c>
      <c r="C2215" t="s">
        <v>8773</v>
      </c>
      <c r="D2215" t="s">
        <v>8774</v>
      </c>
      <c r="F2215">
        <v>1</v>
      </c>
      <c r="G2215">
        <v>0</v>
      </c>
      <c r="H2215">
        <v>0</v>
      </c>
      <c r="I2215" t="s">
        <v>2354</v>
      </c>
    </row>
    <row r="2216" spans="1:9" x14ac:dyDescent="0.25">
      <c r="A2216" t="s">
        <v>220</v>
      </c>
      <c r="B2216" t="s">
        <v>5430</v>
      </c>
      <c r="C2216" t="s">
        <v>8775</v>
      </c>
      <c r="D2216" t="s">
        <v>8776</v>
      </c>
      <c r="F2216">
        <v>1</v>
      </c>
      <c r="G2216">
        <v>0</v>
      </c>
      <c r="H2216">
        <v>0</v>
      </c>
      <c r="I2216" t="s">
        <v>2354</v>
      </c>
    </row>
    <row r="2217" spans="1:9" x14ac:dyDescent="0.25">
      <c r="A2217" t="s">
        <v>220</v>
      </c>
      <c r="B2217" t="s">
        <v>5430</v>
      </c>
      <c r="C2217" t="s">
        <v>7250</v>
      </c>
      <c r="D2217" t="s">
        <v>8777</v>
      </c>
      <c r="F2217">
        <v>1</v>
      </c>
      <c r="G2217">
        <v>129.80250000000001</v>
      </c>
      <c r="H2217">
        <v>129.80250000000001</v>
      </c>
      <c r="I2217" t="s">
        <v>2354</v>
      </c>
    </row>
    <row r="2218" spans="1:9" x14ac:dyDescent="0.25">
      <c r="A2218" t="s">
        <v>220</v>
      </c>
      <c r="B2218" t="s">
        <v>5430</v>
      </c>
      <c r="C2218" t="s">
        <v>5198</v>
      </c>
      <c r="D2218" t="s">
        <v>8778</v>
      </c>
      <c r="F2218">
        <v>1</v>
      </c>
      <c r="G2218">
        <v>1.0025999999999999</v>
      </c>
      <c r="H2218">
        <v>1.0025999999999999</v>
      </c>
      <c r="I2218" t="s">
        <v>2354</v>
      </c>
    </row>
    <row r="2219" spans="1:9" x14ac:dyDescent="0.25">
      <c r="A2219" t="s">
        <v>220</v>
      </c>
      <c r="B2219" t="s">
        <v>5430</v>
      </c>
      <c r="C2219" t="s">
        <v>5200</v>
      </c>
      <c r="D2219" t="s">
        <v>8779</v>
      </c>
      <c r="F2219">
        <v>20</v>
      </c>
      <c r="G2219">
        <v>0.33700000000000002</v>
      </c>
      <c r="H2219">
        <v>6.74</v>
      </c>
      <c r="I2219" t="s">
        <v>2354</v>
      </c>
    </row>
    <row r="2220" spans="1:9" x14ac:dyDescent="0.25">
      <c r="A2220" t="s">
        <v>220</v>
      </c>
      <c r="B2220" t="s">
        <v>5430</v>
      </c>
      <c r="C2220" t="s">
        <v>5204</v>
      </c>
      <c r="D2220" t="s">
        <v>8780</v>
      </c>
      <c r="F2220">
        <v>1</v>
      </c>
      <c r="G2220">
        <v>1.1952</v>
      </c>
      <c r="H2220">
        <v>1.1952</v>
      </c>
      <c r="I2220" t="s">
        <v>2354</v>
      </c>
    </row>
    <row r="2221" spans="1:9" x14ac:dyDescent="0.25">
      <c r="A2221" t="s">
        <v>220</v>
      </c>
      <c r="B2221" t="s">
        <v>5430</v>
      </c>
      <c r="C2221" t="s">
        <v>5208</v>
      </c>
      <c r="D2221" t="s">
        <v>5209</v>
      </c>
      <c r="F2221">
        <v>1</v>
      </c>
      <c r="G2221">
        <v>1.304</v>
      </c>
      <c r="H2221">
        <v>1.304</v>
      </c>
      <c r="I2221" t="s">
        <v>2354</v>
      </c>
    </row>
    <row r="2222" spans="1:9" x14ac:dyDescent="0.25">
      <c r="A2222" t="s">
        <v>220</v>
      </c>
      <c r="B2222" t="s">
        <v>5430</v>
      </c>
      <c r="C2222" t="s">
        <v>5210</v>
      </c>
      <c r="D2222" t="s">
        <v>5211</v>
      </c>
      <c r="F2222">
        <v>1</v>
      </c>
      <c r="G2222">
        <v>1.4</v>
      </c>
      <c r="H2222">
        <v>1.4</v>
      </c>
      <c r="I2222" t="s">
        <v>2354</v>
      </c>
    </row>
    <row r="2223" spans="1:9" x14ac:dyDescent="0.25">
      <c r="A2223" t="s">
        <v>220</v>
      </c>
      <c r="B2223" t="s">
        <v>5430</v>
      </c>
      <c r="C2223" t="s">
        <v>5212</v>
      </c>
      <c r="D2223" t="s">
        <v>5213</v>
      </c>
      <c r="F2223">
        <v>1</v>
      </c>
      <c r="G2223">
        <v>2.6070000000000002</v>
      </c>
      <c r="H2223">
        <v>2.6070000000000002</v>
      </c>
      <c r="I2223" t="s">
        <v>2354</v>
      </c>
    </row>
    <row r="2224" spans="1:9" x14ac:dyDescent="0.25">
      <c r="A2224" t="s">
        <v>220</v>
      </c>
      <c r="B2224" t="s">
        <v>5430</v>
      </c>
      <c r="C2224" t="s">
        <v>5216</v>
      </c>
      <c r="D2224" t="s">
        <v>5217</v>
      </c>
      <c r="F2224">
        <v>4</v>
      </c>
      <c r="G2224">
        <v>3.71</v>
      </c>
      <c r="H2224">
        <v>14.84</v>
      </c>
      <c r="I2224" t="s">
        <v>2354</v>
      </c>
    </row>
    <row r="2225" spans="1:9" x14ac:dyDescent="0.25">
      <c r="A2225" t="s">
        <v>220</v>
      </c>
      <c r="B2225" t="s">
        <v>5430</v>
      </c>
      <c r="C2225" t="s">
        <v>5218</v>
      </c>
      <c r="D2225" t="s">
        <v>5219</v>
      </c>
      <c r="F2225">
        <v>2</v>
      </c>
      <c r="G2225">
        <v>6.718</v>
      </c>
      <c r="H2225">
        <v>13.436</v>
      </c>
      <c r="I2225" t="s">
        <v>2354</v>
      </c>
    </row>
    <row r="2226" spans="1:9" x14ac:dyDescent="0.25">
      <c r="A2226" t="s">
        <v>220</v>
      </c>
      <c r="B2226" t="s">
        <v>5430</v>
      </c>
      <c r="C2226" t="s">
        <v>5392</v>
      </c>
      <c r="D2226" t="s">
        <v>8781</v>
      </c>
      <c r="F2226">
        <v>2</v>
      </c>
      <c r="G2226">
        <v>3.2562000000000002</v>
      </c>
      <c r="H2226">
        <v>6.5124000000000004</v>
      </c>
      <c r="I2226" t="s">
        <v>2354</v>
      </c>
    </row>
    <row r="2227" spans="1:9" x14ac:dyDescent="0.25">
      <c r="A2227" t="s">
        <v>220</v>
      </c>
      <c r="B2227" t="s">
        <v>5430</v>
      </c>
      <c r="C2227" t="s">
        <v>8782</v>
      </c>
      <c r="D2227" t="s">
        <v>8783</v>
      </c>
      <c r="F2227">
        <v>40</v>
      </c>
      <c r="G2227">
        <v>2.1569999999999999E-2</v>
      </c>
      <c r="H2227">
        <v>0.86280000000000001</v>
      </c>
      <c r="I2227" t="s">
        <v>2354</v>
      </c>
    </row>
    <row r="2228" spans="1:9" x14ac:dyDescent="0.25">
      <c r="A2228" t="s">
        <v>220</v>
      </c>
      <c r="B2228" t="s">
        <v>5430</v>
      </c>
      <c r="C2228" t="s">
        <v>7258</v>
      </c>
      <c r="D2228" t="s">
        <v>8784</v>
      </c>
      <c r="F2228">
        <v>5</v>
      </c>
      <c r="G2228">
        <v>3.7214999999999998</v>
      </c>
      <c r="H2228">
        <v>18.607499999999998</v>
      </c>
      <c r="I2228" t="s">
        <v>2354</v>
      </c>
    </row>
    <row r="2229" spans="1:9" x14ac:dyDescent="0.25">
      <c r="A2229" t="s">
        <v>220</v>
      </c>
      <c r="B2229" t="s">
        <v>5430</v>
      </c>
      <c r="C2229" t="s">
        <v>7264</v>
      </c>
      <c r="D2229" t="s">
        <v>7265</v>
      </c>
      <c r="F2229">
        <v>1</v>
      </c>
      <c r="G2229">
        <v>6.9121500000000005</v>
      </c>
      <c r="H2229">
        <v>6.9121500000000005</v>
      </c>
      <c r="I2229" t="s">
        <v>2354</v>
      </c>
    </row>
    <row r="2230" spans="1:9" x14ac:dyDescent="0.25">
      <c r="A2230" t="s">
        <v>220</v>
      </c>
      <c r="B2230" t="s">
        <v>5430</v>
      </c>
      <c r="C2230" t="s">
        <v>8785</v>
      </c>
      <c r="D2230" t="s">
        <v>8786</v>
      </c>
      <c r="F2230">
        <v>2</v>
      </c>
      <c r="G2230">
        <v>0</v>
      </c>
      <c r="H2230">
        <v>0</v>
      </c>
      <c r="I2230" t="s">
        <v>2354</v>
      </c>
    </row>
    <row r="2231" spans="1:9" x14ac:dyDescent="0.25">
      <c r="A2231" t="s">
        <v>220</v>
      </c>
      <c r="B2231" t="s">
        <v>5430</v>
      </c>
      <c r="C2231" t="s">
        <v>8787</v>
      </c>
      <c r="D2231" t="s">
        <v>8788</v>
      </c>
      <c r="F2231">
        <v>4</v>
      </c>
      <c r="G2231">
        <v>0</v>
      </c>
      <c r="H2231">
        <v>0</v>
      </c>
      <c r="I2231" t="s">
        <v>2354</v>
      </c>
    </row>
    <row r="2232" spans="1:9" x14ac:dyDescent="0.25">
      <c r="A2232" t="s">
        <v>220</v>
      </c>
      <c r="B2232" t="s">
        <v>5430</v>
      </c>
      <c r="C2232" t="s">
        <v>7298</v>
      </c>
      <c r="D2232" t="s">
        <v>7299</v>
      </c>
      <c r="F2232">
        <v>20</v>
      </c>
      <c r="G2232">
        <v>0.4824</v>
      </c>
      <c r="H2232">
        <v>9.6479999999999997</v>
      </c>
      <c r="I2232" t="s">
        <v>2354</v>
      </c>
    </row>
    <row r="2233" spans="1:9" x14ac:dyDescent="0.25">
      <c r="A2233" t="s">
        <v>220</v>
      </c>
      <c r="B2233" t="s">
        <v>5430</v>
      </c>
      <c r="C2233" t="s">
        <v>7310</v>
      </c>
      <c r="D2233" t="s">
        <v>8789</v>
      </c>
      <c r="F2233">
        <v>1</v>
      </c>
      <c r="G2233">
        <v>287.02600000000001</v>
      </c>
      <c r="H2233">
        <v>287.02600000000001</v>
      </c>
      <c r="I2233" t="s">
        <v>2354</v>
      </c>
    </row>
    <row r="2234" spans="1:9" x14ac:dyDescent="0.25">
      <c r="A2234" t="s">
        <v>220</v>
      </c>
      <c r="B2234" t="s">
        <v>5430</v>
      </c>
      <c r="C2234" t="s">
        <v>7316</v>
      </c>
      <c r="D2234" t="s">
        <v>7317</v>
      </c>
      <c r="F2234">
        <v>3</v>
      </c>
      <c r="G2234">
        <v>5.0220000000000002</v>
      </c>
      <c r="H2234">
        <v>15.066000000000001</v>
      </c>
      <c r="I2234" t="s">
        <v>2354</v>
      </c>
    </row>
    <row r="2235" spans="1:9" x14ac:dyDescent="0.25">
      <c r="A2235" t="s">
        <v>220</v>
      </c>
      <c r="B2235" t="s">
        <v>5430</v>
      </c>
      <c r="C2235" t="s">
        <v>5463</v>
      </c>
      <c r="D2235" t="s">
        <v>5464</v>
      </c>
      <c r="F2235">
        <v>159</v>
      </c>
      <c r="G2235">
        <v>0.9</v>
      </c>
      <c r="H2235">
        <v>143.1</v>
      </c>
      <c r="I2235" t="s">
        <v>2354</v>
      </c>
    </row>
    <row r="2236" spans="1:9" x14ac:dyDescent="0.25">
      <c r="A2236" t="s">
        <v>220</v>
      </c>
      <c r="B2236" t="s">
        <v>5430</v>
      </c>
      <c r="C2236" t="s">
        <v>7320</v>
      </c>
      <c r="D2236" t="s">
        <v>8790</v>
      </c>
      <c r="F2236">
        <v>9</v>
      </c>
      <c r="G2236">
        <v>26.042455</v>
      </c>
      <c r="H2236">
        <v>234.38209499999999</v>
      </c>
      <c r="I2236" t="s">
        <v>2354</v>
      </c>
    </row>
    <row r="2237" spans="1:9" x14ac:dyDescent="0.25">
      <c r="A2237" t="s">
        <v>220</v>
      </c>
      <c r="B2237" t="s">
        <v>5430</v>
      </c>
      <c r="C2237" t="s">
        <v>8791</v>
      </c>
      <c r="D2237" t="s">
        <v>8792</v>
      </c>
      <c r="F2237">
        <v>23</v>
      </c>
      <c r="G2237">
        <v>1.3454999999999999</v>
      </c>
      <c r="H2237">
        <v>30.946499999999997</v>
      </c>
      <c r="I2237" t="s">
        <v>2354</v>
      </c>
    </row>
    <row r="2238" spans="1:9" x14ac:dyDescent="0.25">
      <c r="A2238" t="s">
        <v>220</v>
      </c>
      <c r="B2238" t="s">
        <v>5430</v>
      </c>
      <c r="C2238" t="s">
        <v>5296</v>
      </c>
      <c r="D2238" t="s">
        <v>2392</v>
      </c>
      <c r="F2238">
        <v>3</v>
      </c>
      <c r="G2238">
        <v>0.59940000000000004</v>
      </c>
      <c r="H2238">
        <v>1.7982</v>
      </c>
      <c r="I2238" t="s">
        <v>2354</v>
      </c>
    </row>
    <row r="2239" spans="1:9" x14ac:dyDescent="0.25">
      <c r="A2239" t="s">
        <v>220</v>
      </c>
      <c r="B2239" t="s">
        <v>5430</v>
      </c>
      <c r="C2239" t="s">
        <v>5297</v>
      </c>
      <c r="D2239" t="s">
        <v>5298</v>
      </c>
      <c r="F2239">
        <v>15</v>
      </c>
      <c r="G2239">
        <v>1.5021</v>
      </c>
      <c r="H2239">
        <v>22.531500000000001</v>
      </c>
      <c r="I2239" t="s">
        <v>2354</v>
      </c>
    </row>
    <row r="2240" spans="1:9" x14ac:dyDescent="0.25">
      <c r="A2240" t="s">
        <v>220</v>
      </c>
      <c r="B2240" t="s">
        <v>5430</v>
      </c>
      <c r="C2240" t="s">
        <v>8793</v>
      </c>
      <c r="D2240" t="s">
        <v>7323</v>
      </c>
      <c r="F2240">
        <v>2</v>
      </c>
      <c r="G2240">
        <v>51.368400000000001</v>
      </c>
      <c r="H2240">
        <v>102.7368</v>
      </c>
      <c r="I2240" t="s">
        <v>2354</v>
      </c>
    </row>
    <row r="2241" spans="1:9" x14ac:dyDescent="0.25">
      <c r="A2241" t="s">
        <v>220</v>
      </c>
      <c r="B2241" t="s">
        <v>5430</v>
      </c>
      <c r="C2241" t="s">
        <v>7324</v>
      </c>
      <c r="D2241" t="s">
        <v>7325</v>
      </c>
      <c r="F2241">
        <v>2</v>
      </c>
      <c r="G2241">
        <v>51.619500000000002</v>
      </c>
      <c r="H2241">
        <v>103.239</v>
      </c>
      <c r="I2241" t="s">
        <v>2354</v>
      </c>
    </row>
    <row r="2242" spans="1:9" x14ac:dyDescent="0.25">
      <c r="A2242" t="s">
        <v>220</v>
      </c>
      <c r="B2242" t="s">
        <v>5430</v>
      </c>
      <c r="C2242" t="s">
        <v>5301</v>
      </c>
      <c r="D2242" t="s">
        <v>5302</v>
      </c>
      <c r="F2242">
        <v>2</v>
      </c>
      <c r="G2242">
        <v>8.7498000000000005</v>
      </c>
      <c r="H2242">
        <v>17.499600000000001</v>
      </c>
      <c r="I2242" t="s">
        <v>2354</v>
      </c>
    </row>
    <row r="2243" spans="1:9" x14ac:dyDescent="0.25">
      <c r="A2243" t="s">
        <v>220</v>
      </c>
      <c r="B2243" t="s">
        <v>5430</v>
      </c>
      <c r="C2243" t="s">
        <v>7326</v>
      </c>
      <c r="D2243" t="s">
        <v>7327</v>
      </c>
      <c r="F2243">
        <v>10</v>
      </c>
      <c r="G2243">
        <v>5.0419999999999998</v>
      </c>
      <c r="H2243">
        <v>50.42</v>
      </c>
      <c r="I2243" t="s">
        <v>2354</v>
      </c>
    </row>
    <row r="2244" spans="1:9" x14ac:dyDescent="0.25">
      <c r="A2244" t="s">
        <v>220</v>
      </c>
      <c r="B2244" t="s">
        <v>5430</v>
      </c>
      <c r="C2244" t="s">
        <v>7328</v>
      </c>
      <c r="D2244" t="s">
        <v>8794</v>
      </c>
      <c r="F2244">
        <v>1</v>
      </c>
      <c r="G2244">
        <v>85.280499999999989</v>
      </c>
      <c r="H2244">
        <v>85.280499999999989</v>
      </c>
      <c r="I2244" t="s">
        <v>2354</v>
      </c>
    </row>
    <row r="2245" spans="1:9" x14ac:dyDescent="0.25">
      <c r="A2245" t="s">
        <v>220</v>
      </c>
      <c r="B2245" t="s">
        <v>5430</v>
      </c>
      <c r="C2245" t="s">
        <v>7330</v>
      </c>
      <c r="D2245" t="s">
        <v>7331</v>
      </c>
      <c r="F2245">
        <v>6</v>
      </c>
      <c r="G2245">
        <v>1.802</v>
      </c>
      <c r="H2245">
        <v>10.812000000000001</v>
      </c>
      <c r="I2245" t="s">
        <v>2354</v>
      </c>
    </row>
    <row r="2246" spans="1:9" x14ac:dyDescent="0.25">
      <c r="A2246" t="s">
        <v>220</v>
      </c>
      <c r="B2246" t="s">
        <v>5430</v>
      </c>
      <c r="C2246" t="s">
        <v>7332</v>
      </c>
      <c r="D2246" t="s">
        <v>7333</v>
      </c>
      <c r="F2246">
        <v>1</v>
      </c>
      <c r="G2246">
        <v>107.6688</v>
      </c>
      <c r="H2246">
        <v>107.6688</v>
      </c>
      <c r="I2246" t="s">
        <v>2354</v>
      </c>
    </row>
    <row r="2247" spans="1:9" x14ac:dyDescent="0.25">
      <c r="A2247" t="s">
        <v>220</v>
      </c>
      <c r="B2247" t="s">
        <v>5430</v>
      </c>
      <c r="C2247" t="s">
        <v>8795</v>
      </c>
      <c r="D2247" t="s">
        <v>8796</v>
      </c>
      <c r="F2247">
        <v>2</v>
      </c>
      <c r="G2247">
        <v>0</v>
      </c>
      <c r="H2247">
        <v>0</v>
      </c>
      <c r="I2247" t="s">
        <v>2354</v>
      </c>
    </row>
    <row r="2248" spans="1:9" x14ac:dyDescent="0.25">
      <c r="A2248" t="s">
        <v>220</v>
      </c>
      <c r="B2248" t="s">
        <v>5430</v>
      </c>
      <c r="C2248" t="s">
        <v>8797</v>
      </c>
      <c r="D2248" t="s">
        <v>8798</v>
      </c>
      <c r="F2248">
        <v>1</v>
      </c>
      <c r="G2248">
        <v>0</v>
      </c>
      <c r="H2248">
        <v>0</v>
      </c>
      <c r="I2248" t="s">
        <v>2354</v>
      </c>
    </row>
    <row r="2249" spans="1:9" x14ac:dyDescent="0.25">
      <c r="A2249" t="s">
        <v>220</v>
      </c>
      <c r="B2249" t="s">
        <v>5430</v>
      </c>
      <c r="C2249" t="s">
        <v>3229</v>
      </c>
      <c r="D2249" t="s">
        <v>3230</v>
      </c>
      <c r="F2249">
        <v>7</v>
      </c>
      <c r="G2249">
        <v>0.88700000000000001</v>
      </c>
      <c r="H2249">
        <v>6.2089999999999996</v>
      </c>
      <c r="I2249" t="s">
        <v>2354</v>
      </c>
    </row>
    <row r="2250" spans="1:9" x14ac:dyDescent="0.25">
      <c r="A2250" t="s">
        <v>220</v>
      </c>
      <c r="B2250" t="s">
        <v>5430</v>
      </c>
      <c r="C2250" t="s">
        <v>8799</v>
      </c>
      <c r="D2250" t="s">
        <v>6277</v>
      </c>
      <c r="F2250">
        <v>3</v>
      </c>
      <c r="G2250">
        <v>2.25</v>
      </c>
      <c r="H2250">
        <v>6.75</v>
      </c>
      <c r="I2250" t="s">
        <v>2354</v>
      </c>
    </row>
    <row r="2251" spans="1:9" x14ac:dyDescent="0.25">
      <c r="A2251" t="s">
        <v>220</v>
      </c>
      <c r="B2251" t="s">
        <v>5430</v>
      </c>
      <c r="C2251" t="s">
        <v>6278</v>
      </c>
      <c r="D2251" t="s">
        <v>6279</v>
      </c>
      <c r="F2251">
        <v>10</v>
      </c>
      <c r="G2251">
        <v>1.21</v>
      </c>
      <c r="H2251">
        <v>12.1</v>
      </c>
      <c r="I2251" t="s">
        <v>2354</v>
      </c>
    </row>
    <row r="2252" spans="1:9" x14ac:dyDescent="0.25">
      <c r="A2252" t="s">
        <v>220</v>
      </c>
      <c r="B2252" t="s">
        <v>5430</v>
      </c>
      <c r="C2252" t="s">
        <v>6280</v>
      </c>
      <c r="D2252" t="s">
        <v>6281</v>
      </c>
      <c r="F2252">
        <v>1</v>
      </c>
      <c r="G2252">
        <v>3.8149999999999999</v>
      </c>
      <c r="H2252">
        <v>3.8149999999999999</v>
      </c>
      <c r="I2252" t="s">
        <v>2354</v>
      </c>
    </row>
    <row r="2253" spans="1:9" x14ac:dyDescent="0.25">
      <c r="A2253" t="s">
        <v>220</v>
      </c>
      <c r="B2253" t="s">
        <v>5430</v>
      </c>
      <c r="C2253" t="s">
        <v>3249</v>
      </c>
      <c r="D2253" t="s">
        <v>3250</v>
      </c>
      <c r="F2253">
        <v>8</v>
      </c>
      <c r="G2253">
        <v>5.4981</v>
      </c>
      <c r="H2253">
        <v>43.9848</v>
      </c>
      <c r="I2253" t="s">
        <v>2354</v>
      </c>
    </row>
    <row r="2254" spans="1:9" x14ac:dyDescent="0.25">
      <c r="A2254" t="s">
        <v>220</v>
      </c>
      <c r="B2254" t="s">
        <v>5430</v>
      </c>
      <c r="C2254" t="s">
        <v>8800</v>
      </c>
      <c r="D2254" t="s">
        <v>6283</v>
      </c>
      <c r="F2254">
        <v>6</v>
      </c>
      <c r="G2254">
        <v>0.84</v>
      </c>
      <c r="H2254">
        <v>5.04</v>
      </c>
      <c r="I2254" t="s">
        <v>2354</v>
      </c>
    </row>
    <row r="2255" spans="1:9" x14ac:dyDescent="0.25">
      <c r="A2255" t="s">
        <v>220</v>
      </c>
      <c r="B2255" t="s">
        <v>5430</v>
      </c>
      <c r="C2255" t="s">
        <v>3251</v>
      </c>
      <c r="D2255" t="s">
        <v>3252</v>
      </c>
      <c r="F2255">
        <v>5</v>
      </c>
      <c r="G2255">
        <v>3.3184</v>
      </c>
      <c r="H2255">
        <v>16.591999999999999</v>
      </c>
      <c r="I2255" t="s">
        <v>2354</v>
      </c>
    </row>
    <row r="2256" spans="1:9" x14ac:dyDescent="0.25">
      <c r="A2256" t="s">
        <v>220</v>
      </c>
      <c r="B2256" t="s">
        <v>5430</v>
      </c>
      <c r="C2256" t="s">
        <v>6284</v>
      </c>
      <c r="D2256" t="s">
        <v>6285</v>
      </c>
      <c r="F2256">
        <v>8</v>
      </c>
      <c r="G2256">
        <v>0.51</v>
      </c>
      <c r="H2256">
        <v>4.08</v>
      </c>
      <c r="I2256" t="s">
        <v>2354</v>
      </c>
    </row>
    <row r="2257" spans="1:9" x14ac:dyDescent="0.25">
      <c r="A2257" t="s">
        <v>220</v>
      </c>
      <c r="B2257" t="s">
        <v>5430</v>
      </c>
      <c r="C2257" t="s">
        <v>6286</v>
      </c>
      <c r="D2257" t="s">
        <v>6287</v>
      </c>
      <c r="F2257">
        <v>4</v>
      </c>
      <c r="G2257">
        <v>7.3860000000000001</v>
      </c>
      <c r="H2257">
        <v>29.544</v>
      </c>
      <c r="I2257" t="s">
        <v>2354</v>
      </c>
    </row>
    <row r="2258" spans="1:9" x14ac:dyDescent="0.25">
      <c r="A2258" t="s">
        <v>220</v>
      </c>
      <c r="B2258" t="s">
        <v>5430</v>
      </c>
      <c r="C2258" t="s">
        <v>6288</v>
      </c>
      <c r="D2258" t="s">
        <v>6289</v>
      </c>
      <c r="F2258">
        <v>10</v>
      </c>
      <c r="G2258">
        <v>1.9550000000000001</v>
      </c>
      <c r="H2258">
        <v>19.55</v>
      </c>
      <c r="I2258" t="s">
        <v>2354</v>
      </c>
    </row>
    <row r="2259" spans="1:9" x14ac:dyDescent="0.25">
      <c r="A2259" t="s">
        <v>220</v>
      </c>
      <c r="B2259" t="s">
        <v>5430</v>
      </c>
      <c r="C2259" t="s">
        <v>6290</v>
      </c>
      <c r="D2259" t="s">
        <v>6291</v>
      </c>
      <c r="F2259">
        <v>13</v>
      </c>
      <c r="G2259">
        <v>3.2725</v>
      </c>
      <c r="H2259">
        <v>42.542499999999997</v>
      </c>
      <c r="I2259" t="s">
        <v>2354</v>
      </c>
    </row>
    <row r="2260" spans="1:9" x14ac:dyDescent="0.25">
      <c r="A2260" t="s">
        <v>220</v>
      </c>
      <c r="B2260" t="s">
        <v>5430</v>
      </c>
      <c r="C2260" t="s">
        <v>6292</v>
      </c>
      <c r="D2260" t="s">
        <v>6293</v>
      </c>
      <c r="F2260">
        <v>11</v>
      </c>
      <c r="G2260">
        <v>1.04</v>
      </c>
      <c r="H2260">
        <v>11.440000000000001</v>
      </c>
      <c r="I2260" t="s">
        <v>2354</v>
      </c>
    </row>
    <row r="2261" spans="1:9" x14ac:dyDescent="0.25">
      <c r="A2261" t="s">
        <v>220</v>
      </c>
      <c r="B2261" t="s">
        <v>5430</v>
      </c>
      <c r="C2261" t="s">
        <v>6294</v>
      </c>
      <c r="D2261" t="s">
        <v>6295</v>
      </c>
      <c r="F2261">
        <v>1</v>
      </c>
      <c r="G2261">
        <v>12.3386</v>
      </c>
      <c r="H2261">
        <v>12.3386</v>
      </c>
      <c r="I2261" t="s">
        <v>2354</v>
      </c>
    </row>
    <row r="2262" spans="1:9" x14ac:dyDescent="0.25">
      <c r="A2262" t="s">
        <v>220</v>
      </c>
      <c r="B2262" t="s">
        <v>5430</v>
      </c>
      <c r="C2262" t="s">
        <v>6296</v>
      </c>
      <c r="D2262" t="s">
        <v>6297</v>
      </c>
      <c r="F2262">
        <v>1</v>
      </c>
      <c r="G2262">
        <v>14.28</v>
      </c>
      <c r="H2262">
        <v>14.28</v>
      </c>
      <c r="I2262" t="s">
        <v>2354</v>
      </c>
    </row>
    <row r="2263" spans="1:9" x14ac:dyDescent="0.25">
      <c r="A2263" t="s">
        <v>220</v>
      </c>
      <c r="B2263" t="s">
        <v>5430</v>
      </c>
      <c r="C2263" t="s">
        <v>6298</v>
      </c>
      <c r="D2263" t="s">
        <v>6299</v>
      </c>
      <c r="F2263">
        <v>3</v>
      </c>
      <c r="G2263">
        <v>3.5</v>
      </c>
      <c r="H2263">
        <v>10.5</v>
      </c>
      <c r="I2263" t="s">
        <v>2354</v>
      </c>
    </row>
    <row r="2264" spans="1:9" x14ac:dyDescent="0.25">
      <c r="A2264" t="s">
        <v>220</v>
      </c>
      <c r="B2264" t="s">
        <v>5430</v>
      </c>
      <c r="C2264" t="s">
        <v>3257</v>
      </c>
      <c r="D2264" t="s">
        <v>3258</v>
      </c>
      <c r="F2264">
        <v>6</v>
      </c>
      <c r="G2264">
        <v>13.855</v>
      </c>
      <c r="H2264">
        <v>83.13</v>
      </c>
      <c r="I2264" t="s">
        <v>2354</v>
      </c>
    </row>
    <row r="2265" spans="1:9" x14ac:dyDescent="0.25">
      <c r="A2265" t="s">
        <v>220</v>
      </c>
      <c r="B2265" t="s">
        <v>5430</v>
      </c>
      <c r="C2265" t="s">
        <v>6300</v>
      </c>
      <c r="D2265" t="s">
        <v>6301</v>
      </c>
      <c r="F2265">
        <v>5</v>
      </c>
      <c r="G2265">
        <v>16.734000000000002</v>
      </c>
      <c r="H2265">
        <v>83.670000000000016</v>
      </c>
      <c r="I2265" t="s">
        <v>2354</v>
      </c>
    </row>
    <row r="2266" spans="1:9" x14ac:dyDescent="0.25">
      <c r="A2266" t="s">
        <v>220</v>
      </c>
      <c r="B2266" t="s">
        <v>5430</v>
      </c>
      <c r="C2266" t="s">
        <v>6302</v>
      </c>
      <c r="D2266" t="s">
        <v>6303</v>
      </c>
      <c r="F2266">
        <v>6</v>
      </c>
      <c r="G2266">
        <v>6.64</v>
      </c>
      <c r="H2266">
        <v>39.839999999999996</v>
      </c>
      <c r="I2266" t="s">
        <v>2354</v>
      </c>
    </row>
    <row r="2267" spans="1:9" x14ac:dyDescent="0.25">
      <c r="A2267" t="s">
        <v>220</v>
      </c>
      <c r="B2267" t="s">
        <v>5430</v>
      </c>
      <c r="C2267" t="s">
        <v>6304</v>
      </c>
      <c r="D2267" t="s">
        <v>6305</v>
      </c>
      <c r="F2267">
        <v>10</v>
      </c>
      <c r="G2267">
        <v>19.2</v>
      </c>
      <c r="H2267">
        <v>192</v>
      </c>
      <c r="I2267" t="s">
        <v>2354</v>
      </c>
    </row>
    <row r="2268" spans="1:9" x14ac:dyDescent="0.25">
      <c r="A2268" t="s">
        <v>220</v>
      </c>
      <c r="B2268" t="s">
        <v>5430</v>
      </c>
      <c r="C2268" t="s">
        <v>8801</v>
      </c>
      <c r="D2268" t="s">
        <v>6307</v>
      </c>
      <c r="F2268">
        <v>8</v>
      </c>
      <c r="G2268">
        <v>7.56</v>
      </c>
      <c r="H2268">
        <v>60.48</v>
      </c>
      <c r="I2268" t="s">
        <v>2354</v>
      </c>
    </row>
    <row r="2269" spans="1:9" x14ac:dyDescent="0.25">
      <c r="A2269" t="s">
        <v>220</v>
      </c>
      <c r="B2269" t="s">
        <v>5430</v>
      </c>
      <c r="C2269" t="s">
        <v>8802</v>
      </c>
      <c r="D2269" t="s">
        <v>3266</v>
      </c>
      <c r="F2269">
        <v>3</v>
      </c>
      <c r="G2269">
        <v>44.594999999999999</v>
      </c>
      <c r="H2269">
        <v>133.785</v>
      </c>
      <c r="I2269" t="s">
        <v>2354</v>
      </c>
    </row>
    <row r="2270" spans="1:9" x14ac:dyDescent="0.25">
      <c r="A2270" t="s">
        <v>220</v>
      </c>
      <c r="B2270" t="s">
        <v>5430</v>
      </c>
      <c r="C2270" t="s">
        <v>6308</v>
      </c>
      <c r="D2270" t="s">
        <v>6309</v>
      </c>
      <c r="F2270">
        <v>2</v>
      </c>
      <c r="G2270">
        <v>6.1227</v>
      </c>
      <c r="H2270">
        <v>12.2454</v>
      </c>
      <c r="I2270" t="s">
        <v>2354</v>
      </c>
    </row>
    <row r="2271" spans="1:9" x14ac:dyDescent="0.25">
      <c r="A2271" t="s">
        <v>220</v>
      </c>
      <c r="B2271" t="s">
        <v>5430</v>
      </c>
      <c r="C2271" t="s">
        <v>6310</v>
      </c>
      <c r="D2271" t="s">
        <v>6311</v>
      </c>
      <c r="F2271">
        <v>5</v>
      </c>
      <c r="G2271">
        <v>22.92</v>
      </c>
      <c r="H2271">
        <v>114.60000000000001</v>
      </c>
      <c r="I2271" t="s">
        <v>2354</v>
      </c>
    </row>
    <row r="2272" spans="1:9" x14ac:dyDescent="0.25">
      <c r="A2272" t="s">
        <v>220</v>
      </c>
      <c r="B2272" t="s">
        <v>5430</v>
      </c>
      <c r="C2272" t="s">
        <v>6312</v>
      </c>
      <c r="D2272" t="s">
        <v>6313</v>
      </c>
      <c r="F2272">
        <v>4</v>
      </c>
      <c r="G2272">
        <v>20.780999999999999</v>
      </c>
      <c r="H2272">
        <v>83.123999999999995</v>
      </c>
      <c r="I2272" t="s">
        <v>2354</v>
      </c>
    </row>
    <row r="2273" spans="1:9" x14ac:dyDescent="0.25">
      <c r="A2273" t="s">
        <v>220</v>
      </c>
      <c r="B2273" t="s">
        <v>5430</v>
      </c>
      <c r="C2273" t="s">
        <v>3273</v>
      </c>
      <c r="D2273" t="s">
        <v>3274</v>
      </c>
      <c r="F2273">
        <v>17</v>
      </c>
      <c r="G2273">
        <v>5.9912121212121212</v>
      </c>
      <c r="H2273">
        <v>101.85060606060605</v>
      </c>
      <c r="I2273" t="s">
        <v>2354</v>
      </c>
    </row>
    <row r="2274" spans="1:9" x14ac:dyDescent="0.25">
      <c r="A2274" t="s">
        <v>220</v>
      </c>
      <c r="B2274" t="s">
        <v>5430</v>
      </c>
      <c r="C2274" t="s">
        <v>3277</v>
      </c>
      <c r="D2274" t="s">
        <v>3278</v>
      </c>
      <c r="F2274">
        <v>10</v>
      </c>
      <c r="G2274">
        <v>1.048</v>
      </c>
      <c r="H2274">
        <v>10.48</v>
      </c>
      <c r="I2274" t="s">
        <v>2354</v>
      </c>
    </row>
    <row r="2275" spans="1:9" x14ac:dyDescent="0.25">
      <c r="A2275" t="s">
        <v>220</v>
      </c>
      <c r="B2275" t="s">
        <v>5430</v>
      </c>
      <c r="C2275" t="s">
        <v>3279</v>
      </c>
      <c r="D2275" t="s">
        <v>3280</v>
      </c>
      <c r="F2275">
        <v>10</v>
      </c>
      <c r="G2275">
        <v>2.6389999999999998</v>
      </c>
      <c r="H2275">
        <v>26.389999999999997</v>
      </c>
      <c r="I2275" t="s">
        <v>2354</v>
      </c>
    </row>
    <row r="2276" spans="1:9" x14ac:dyDescent="0.25">
      <c r="A2276" t="s">
        <v>220</v>
      </c>
      <c r="B2276" t="s">
        <v>5430</v>
      </c>
      <c r="C2276" t="s">
        <v>3287</v>
      </c>
      <c r="D2276" t="s">
        <v>3288</v>
      </c>
      <c r="F2276">
        <v>12</v>
      </c>
      <c r="G2276">
        <v>9.2750000000000004</v>
      </c>
      <c r="H2276">
        <v>111.30000000000001</v>
      </c>
      <c r="I2276" t="s">
        <v>2354</v>
      </c>
    </row>
    <row r="2277" spans="1:9" x14ac:dyDescent="0.25">
      <c r="A2277" t="s">
        <v>220</v>
      </c>
      <c r="B2277" t="s">
        <v>5430</v>
      </c>
      <c r="C2277" t="s">
        <v>6315</v>
      </c>
      <c r="D2277" t="s">
        <v>6316</v>
      </c>
      <c r="F2277">
        <v>5</v>
      </c>
      <c r="G2277">
        <v>16</v>
      </c>
      <c r="H2277">
        <v>80</v>
      </c>
      <c r="I2277" t="s">
        <v>2354</v>
      </c>
    </row>
    <row r="2278" spans="1:9" x14ac:dyDescent="0.25">
      <c r="A2278" t="s">
        <v>220</v>
      </c>
      <c r="B2278" t="s">
        <v>5430</v>
      </c>
      <c r="C2278" t="s">
        <v>3293</v>
      </c>
      <c r="D2278" t="s">
        <v>3294</v>
      </c>
      <c r="F2278">
        <v>4</v>
      </c>
      <c r="G2278">
        <v>1.105</v>
      </c>
      <c r="H2278">
        <v>4.42</v>
      </c>
      <c r="I2278" t="s">
        <v>2354</v>
      </c>
    </row>
    <row r="2279" spans="1:9" x14ac:dyDescent="0.25">
      <c r="A2279" t="s">
        <v>220</v>
      </c>
      <c r="B2279" t="s">
        <v>5430</v>
      </c>
      <c r="C2279" t="s">
        <v>3295</v>
      </c>
      <c r="D2279" t="s">
        <v>3296</v>
      </c>
      <c r="F2279">
        <v>2</v>
      </c>
      <c r="G2279">
        <v>3.3797142857142854</v>
      </c>
      <c r="H2279">
        <v>6.7594285714285709</v>
      </c>
      <c r="I2279" t="s">
        <v>2354</v>
      </c>
    </row>
    <row r="2280" spans="1:9" x14ac:dyDescent="0.25">
      <c r="A2280" t="s">
        <v>220</v>
      </c>
      <c r="B2280" t="s">
        <v>5430</v>
      </c>
      <c r="C2280" t="s">
        <v>6317</v>
      </c>
      <c r="D2280" t="s">
        <v>6318</v>
      </c>
      <c r="F2280">
        <v>3</v>
      </c>
      <c r="G2280">
        <v>4.7805080000000002</v>
      </c>
      <c r="H2280">
        <v>14.341524</v>
      </c>
      <c r="I2280" t="s">
        <v>2354</v>
      </c>
    </row>
    <row r="2281" spans="1:9" x14ac:dyDescent="0.25">
      <c r="A2281" t="s">
        <v>220</v>
      </c>
      <c r="B2281" t="s">
        <v>5430</v>
      </c>
      <c r="C2281" t="s">
        <v>3303</v>
      </c>
      <c r="D2281" t="s">
        <v>3304</v>
      </c>
      <c r="F2281">
        <v>11</v>
      </c>
      <c r="G2281">
        <v>6.5119999999999996</v>
      </c>
      <c r="H2281">
        <v>71.631999999999991</v>
      </c>
      <c r="I2281" t="s">
        <v>2354</v>
      </c>
    </row>
    <row r="2282" spans="1:9" x14ac:dyDescent="0.25">
      <c r="A2282" t="s">
        <v>220</v>
      </c>
      <c r="B2282" t="s">
        <v>5430</v>
      </c>
      <c r="C2282" t="s">
        <v>6320</v>
      </c>
      <c r="D2282" t="s">
        <v>6321</v>
      </c>
      <c r="F2282">
        <v>24</v>
      </c>
      <c r="G2282">
        <v>2.31</v>
      </c>
      <c r="H2282">
        <v>55.44</v>
      </c>
      <c r="I2282" t="s">
        <v>2354</v>
      </c>
    </row>
    <row r="2283" spans="1:9" x14ac:dyDescent="0.25">
      <c r="A2283" t="s">
        <v>220</v>
      </c>
      <c r="B2283" t="s">
        <v>5430</v>
      </c>
      <c r="C2283" t="s">
        <v>6322</v>
      </c>
      <c r="D2283" t="s">
        <v>3308</v>
      </c>
      <c r="F2283">
        <v>7</v>
      </c>
      <c r="G2283">
        <v>4.6580000000000004</v>
      </c>
      <c r="H2283">
        <v>32.606000000000002</v>
      </c>
      <c r="I2283" t="s">
        <v>2354</v>
      </c>
    </row>
    <row r="2284" spans="1:9" x14ac:dyDescent="0.25">
      <c r="A2284" t="s">
        <v>220</v>
      </c>
      <c r="B2284" t="s">
        <v>5430</v>
      </c>
      <c r="C2284" t="s">
        <v>6323</v>
      </c>
      <c r="D2284" t="s">
        <v>6324</v>
      </c>
      <c r="F2284">
        <v>1</v>
      </c>
      <c r="G2284">
        <v>9.9815500000000004</v>
      </c>
      <c r="H2284">
        <v>9.9815500000000004</v>
      </c>
      <c r="I2284" t="s">
        <v>2354</v>
      </c>
    </row>
    <row r="2285" spans="1:9" x14ac:dyDescent="0.25">
      <c r="A2285" t="s">
        <v>220</v>
      </c>
      <c r="B2285" t="s">
        <v>5430</v>
      </c>
      <c r="C2285" t="s">
        <v>3317</v>
      </c>
      <c r="D2285" t="s">
        <v>3318</v>
      </c>
      <c r="F2285">
        <v>10</v>
      </c>
      <c r="G2285">
        <v>1.464</v>
      </c>
      <c r="H2285">
        <v>14.64</v>
      </c>
      <c r="I2285" t="s">
        <v>2354</v>
      </c>
    </row>
    <row r="2286" spans="1:9" x14ac:dyDescent="0.25">
      <c r="A2286" t="s">
        <v>220</v>
      </c>
      <c r="B2286" t="s">
        <v>5430</v>
      </c>
      <c r="C2286" t="s">
        <v>3319</v>
      </c>
      <c r="D2286" t="s">
        <v>3320</v>
      </c>
      <c r="F2286">
        <v>10</v>
      </c>
      <c r="G2286">
        <v>1.171</v>
      </c>
      <c r="H2286">
        <v>11.71</v>
      </c>
      <c r="I2286" t="s">
        <v>2354</v>
      </c>
    </row>
    <row r="2287" spans="1:9" x14ac:dyDescent="0.25">
      <c r="A2287" t="s">
        <v>220</v>
      </c>
      <c r="B2287" t="s">
        <v>5430</v>
      </c>
      <c r="C2287" t="s">
        <v>6325</v>
      </c>
      <c r="D2287" t="s">
        <v>6326</v>
      </c>
      <c r="F2287">
        <v>2</v>
      </c>
      <c r="G2287">
        <v>5.0022000000000002</v>
      </c>
      <c r="H2287">
        <v>10.0044</v>
      </c>
      <c r="I2287" t="s">
        <v>2354</v>
      </c>
    </row>
    <row r="2288" spans="1:9" x14ac:dyDescent="0.25">
      <c r="A2288" t="s">
        <v>220</v>
      </c>
      <c r="B2288" t="s">
        <v>5430</v>
      </c>
      <c r="C2288" t="s">
        <v>3321</v>
      </c>
      <c r="D2288" t="s">
        <v>3322</v>
      </c>
      <c r="F2288">
        <v>18</v>
      </c>
      <c r="G2288">
        <v>0.18990909090909092</v>
      </c>
      <c r="H2288">
        <v>3.4183636363636367</v>
      </c>
      <c r="I2288" t="s">
        <v>2354</v>
      </c>
    </row>
    <row r="2289" spans="1:9" x14ac:dyDescent="0.25">
      <c r="A2289" t="s">
        <v>220</v>
      </c>
      <c r="B2289" t="s">
        <v>5430</v>
      </c>
      <c r="C2289" t="s">
        <v>3323</v>
      </c>
      <c r="D2289" t="s">
        <v>3324</v>
      </c>
      <c r="F2289">
        <v>51</v>
      </c>
      <c r="G2289">
        <v>0.53843333333333332</v>
      </c>
      <c r="H2289">
        <v>27.460100000000001</v>
      </c>
      <c r="I2289" t="s">
        <v>2354</v>
      </c>
    </row>
    <row r="2290" spans="1:9" x14ac:dyDescent="0.25">
      <c r="A2290" t="s">
        <v>220</v>
      </c>
      <c r="B2290" t="s">
        <v>5430</v>
      </c>
      <c r="C2290" t="s">
        <v>6327</v>
      </c>
      <c r="D2290" t="s">
        <v>6328</v>
      </c>
      <c r="F2290">
        <v>50</v>
      </c>
      <c r="G2290">
        <v>1.0880000000000001</v>
      </c>
      <c r="H2290">
        <v>54.400000000000006</v>
      </c>
      <c r="I2290" t="s">
        <v>2354</v>
      </c>
    </row>
    <row r="2291" spans="1:9" x14ac:dyDescent="0.25">
      <c r="A2291" t="s">
        <v>220</v>
      </c>
      <c r="B2291" t="s">
        <v>5430</v>
      </c>
      <c r="C2291" t="s">
        <v>3325</v>
      </c>
      <c r="D2291" t="s">
        <v>3326</v>
      </c>
      <c r="F2291">
        <v>50</v>
      </c>
      <c r="G2291">
        <v>0.28736</v>
      </c>
      <c r="H2291">
        <v>14.368</v>
      </c>
      <c r="I2291" t="s">
        <v>2354</v>
      </c>
    </row>
    <row r="2292" spans="1:9" x14ac:dyDescent="0.25">
      <c r="A2292" t="s">
        <v>220</v>
      </c>
      <c r="B2292" t="s">
        <v>5430</v>
      </c>
      <c r="C2292" t="s">
        <v>6329</v>
      </c>
      <c r="D2292" t="s">
        <v>6330</v>
      </c>
      <c r="F2292">
        <v>37</v>
      </c>
      <c r="G2292">
        <v>0.61241999999999996</v>
      </c>
      <c r="H2292">
        <v>22.65954</v>
      </c>
      <c r="I2292" t="s">
        <v>2354</v>
      </c>
    </row>
    <row r="2293" spans="1:9" x14ac:dyDescent="0.25">
      <c r="A2293" t="s">
        <v>220</v>
      </c>
      <c r="B2293" t="s">
        <v>5430</v>
      </c>
      <c r="C2293" t="s">
        <v>8803</v>
      </c>
      <c r="D2293" t="s">
        <v>6332</v>
      </c>
      <c r="F2293">
        <v>4</v>
      </c>
      <c r="G2293">
        <v>0.73307</v>
      </c>
      <c r="H2293">
        <v>2.93228</v>
      </c>
      <c r="I2293" t="s">
        <v>2354</v>
      </c>
    </row>
    <row r="2294" spans="1:9" x14ac:dyDescent="0.25">
      <c r="A2294" t="s">
        <v>220</v>
      </c>
      <c r="B2294" t="s">
        <v>5430</v>
      </c>
      <c r="C2294" t="s">
        <v>6333</v>
      </c>
      <c r="D2294" t="s">
        <v>6334</v>
      </c>
      <c r="F2294">
        <v>10</v>
      </c>
      <c r="G2294">
        <v>1.6160000000000001</v>
      </c>
      <c r="H2294">
        <v>16.16</v>
      </c>
      <c r="I2294" t="s">
        <v>2354</v>
      </c>
    </row>
    <row r="2295" spans="1:9" x14ac:dyDescent="0.25">
      <c r="A2295" t="s">
        <v>220</v>
      </c>
      <c r="B2295" t="s">
        <v>5430</v>
      </c>
      <c r="C2295" t="s">
        <v>3329</v>
      </c>
      <c r="D2295" t="s">
        <v>3330</v>
      </c>
      <c r="F2295">
        <v>25</v>
      </c>
      <c r="G2295">
        <v>0.65705000000000002</v>
      </c>
      <c r="H2295">
        <v>16.42625</v>
      </c>
      <c r="I2295" t="s">
        <v>2354</v>
      </c>
    </row>
    <row r="2296" spans="1:9" x14ac:dyDescent="0.25">
      <c r="A2296" t="s">
        <v>220</v>
      </c>
      <c r="B2296" t="s">
        <v>5430</v>
      </c>
      <c r="C2296" t="s">
        <v>6335</v>
      </c>
      <c r="D2296" t="s">
        <v>6336</v>
      </c>
      <c r="F2296">
        <v>54</v>
      </c>
      <c r="G2296">
        <v>0.38250000000000001</v>
      </c>
      <c r="H2296">
        <v>20.655000000000001</v>
      </c>
      <c r="I2296" t="s">
        <v>2354</v>
      </c>
    </row>
    <row r="2297" spans="1:9" x14ac:dyDescent="0.25">
      <c r="A2297" t="s">
        <v>220</v>
      </c>
      <c r="B2297" t="s">
        <v>5430</v>
      </c>
      <c r="C2297" t="s">
        <v>6337</v>
      </c>
      <c r="D2297" t="s">
        <v>6338</v>
      </c>
      <c r="F2297">
        <v>42</v>
      </c>
      <c r="G2297">
        <v>3.6720000000000002</v>
      </c>
      <c r="H2297">
        <v>154.22400000000002</v>
      </c>
      <c r="I2297" t="s">
        <v>2354</v>
      </c>
    </row>
    <row r="2298" spans="1:9" x14ac:dyDescent="0.25">
      <c r="A2298" t="s">
        <v>220</v>
      </c>
      <c r="B2298" t="s">
        <v>5430</v>
      </c>
      <c r="C2298" t="s">
        <v>6339</v>
      </c>
      <c r="D2298" t="s">
        <v>6340</v>
      </c>
      <c r="F2298">
        <v>51</v>
      </c>
      <c r="G2298">
        <v>0.98299999999999998</v>
      </c>
      <c r="H2298">
        <v>50.133000000000003</v>
      </c>
      <c r="I2298" t="s">
        <v>2354</v>
      </c>
    </row>
    <row r="2299" spans="1:9" x14ac:dyDescent="0.25">
      <c r="A2299" t="s">
        <v>220</v>
      </c>
      <c r="B2299" t="s">
        <v>5430</v>
      </c>
      <c r="C2299" t="s">
        <v>3337</v>
      </c>
      <c r="D2299" t="s">
        <v>3338</v>
      </c>
      <c r="F2299">
        <v>19</v>
      </c>
      <c r="G2299">
        <v>1.4450000000000001</v>
      </c>
      <c r="H2299">
        <v>27.455000000000002</v>
      </c>
      <c r="I2299" t="s">
        <v>2354</v>
      </c>
    </row>
    <row r="2300" spans="1:9" x14ac:dyDescent="0.25">
      <c r="A2300" t="s">
        <v>220</v>
      </c>
      <c r="B2300" t="s">
        <v>5430</v>
      </c>
      <c r="C2300" t="s">
        <v>3339</v>
      </c>
      <c r="D2300" t="s">
        <v>3340</v>
      </c>
      <c r="F2300">
        <v>20</v>
      </c>
      <c r="G2300">
        <v>1.5419375000000002</v>
      </c>
      <c r="H2300">
        <v>30.838750000000005</v>
      </c>
      <c r="I2300" t="s">
        <v>2354</v>
      </c>
    </row>
    <row r="2301" spans="1:9" x14ac:dyDescent="0.25">
      <c r="A2301" t="s">
        <v>220</v>
      </c>
      <c r="B2301" t="s">
        <v>5430</v>
      </c>
      <c r="C2301" t="s">
        <v>6341</v>
      </c>
      <c r="D2301" t="s">
        <v>6342</v>
      </c>
      <c r="F2301">
        <v>4</v>
      </c>
      <c r="G2301">
        <v>5.7290000000000001</v>
      </c>
      <c r="H2301">
        <v>22.916</v>
      </c>
      <c r="I2301" t="s">
        <v>2354</v>
      </c>
    </row>
    <row r="2302" spans="1:9" x14ac:dyDescent="0.25">
      <c r="A2302" t="s">
        <v>220</v>
      </c>
      <c r="B2302" t="s">
        <v>5430</v>
      </c>
      <c r="C2302" t="s">
        <v>6343</v>
      </c>
      <c r="D2302" t="s">
        <v>6344</v>
      </c>
      <c r="F2302">
        <v>1</v>
      </c>
      <c r="G2302">
        <v>7.9390000000000001</v>
      </c>
      <c r="H2302">
        <v>7.9390000000000001</v>
      </c>
      <c r="I2302" t="s">
        <v>2354</v>
      </c>
    </row>
    <row r="2303" spans="1:9" x14ac:dyDescent="0.25">
      <c r="A2303" t="s">
        <v>220</v>
      </c>
      <c r="B2303" t="s">
        <v>5430</v>
      </c>
      <c r="C2303" t="s">
        <v>3349</v>
      </c>
      <c r="D2303" t="s">
        <v>3350</v>
      </c>
      <c r="F2303">
        <v>29</v>
      </c>
      <c r="G2303">
        <v>1.7324999999999997</v>
      </c>
      <c r="H2303">
        <v>50.242499999999993</v>
      </c>
      <c r="I2303" t="s">
        <v>2354</v>
      </c>
    </row>
    <row r="2304" spans="1:9" x14ac:dyDescent="0.25">
      <c r="A2304" t="s">
        <v>220</v>
      </c>
      <c r="B2304" t="s">
        <v>5430</v>
      </c>
      <c r="C2304" t="s">
        <v>6345</v>
      </c>
      <c r="D2304" t="s">
        <v>6346</v>
      </c>
      <c r="F2304">
        <v>8</v>
      </c>
      <c r="G2304">
        <v>7.0730000000000004</v>
      </c>
      <c r="H2304">
        <v>56.584000000000003</v>
      </c>
      <c r="I2304" t="s">
        <v>2354</v>
      </c>
    </row>
    <row r="2305" spans="1:9" x14ac:dyDescent="0.25">
      <c r="A2305" t="s">
        <v>220</v>
      </c>
      <c r="B2305" t="s">
        <v>5430</v>
      </c>
      <c r="C2305" t="s">
        <v>6347</v>
      </c>
      <c r="D2305" t="s">
        <v>6348</v>
      </c>
      <c r="F2305">
        <v>10</v>
      </c>
      <c r="G2305">
        <v>19.4922</v>
      </c>
      <c r="H2305">
        <v>194.922</v>
      </c>
      <c r="I2305" t="s">
        <v>2354</v>
      </c>
    </row>
    <row r="2306" spans="1:9" x14ac:dyDescent="0.25">
      <c r="A2306" t="s">
        <v>220</v>
      </c>
      <c r="B2306" t="s">
        <v>5430</v>
      </c>
      <c r="C2306" t="s">
        <v>6349</v>
      </c>
      <c r="D2306" t="s">
        <v>6350</v>
      </c>
      <c r="F2306">
        <v>30</v>
      </c>
      <c r="G2306">
        <v>0</v>
      </c>
      <c r="H2306">
        <v>0</v>
      </c>
      <c r="I2306" t="s">
        <v>2354</v>
      </c>
    </row>
    <row r="2307" spans="1:9" x14ac:dyDescent="0.25">
      <c r="A2307" t="s">
        <v>220</v>
      </c>
      <c r="B2307" t="s">
        <v>5430</v>
      </c>
      <c r="C2307" t="s">
        <v>3361</v>
      </c>
      <c r="D2307" t="s">
        <v>3362</v>
      </c>
      <c r="F2307">
        <v>21</v>
      </c>
      <c r="G2307">
        <v>6.2471578947368425</v>
      </c>
      <c r="H2307">
        <v>131.19031578947369</v>
      </c>
      <c r="I2307" t="s">
        <v>2354</v>
      </c>
    </row>
    <row r="2308" spans="1:9" x14ac:dyDescent="0.25">
      <c r="A2308" t="s">
        <v>220</v>
      </c>
      <c r="B2308" t="s">
        <v>5430</v>
      </c>
      <c r="C2308" t="s">
        <v>3363</v>
      </c>
      <c r="D2308" t="s">
        <v>3364</v>
      </c>
      <c r="F2308">
        <v>36</v>
      </c>
      <c r="G2308">
        <v>1.8508579999999999</v>
      </c>
      <c r="H2308">
        <v>66.630887999999999</v>
      </c>
      <c r="I2308" t="s">
        <v>2354</v>
      </c>
    </row>
    <row r="2309" spans="1:9" x14ac:dyDescent="0.25">
      <c r="A2309" t="s">
        <v>220</v>
      </c>
      <c r="B2309" t="s">
        <v>5430</v>
      </c>
      <c r="C2309" t="s">
        <v>3399</v>
      </c>
      <c r="D2309" t="s">
        <v>8804</v>
      </c>
      <c r="F2309">
        <v>16</v>
      </c>
      <c r="G2309">
        <v>1.4670000000000001</v>
      </c>
      <c r="H2309">
        <v>23.472000000000001</v>
      </c>
      <c r="I2309" t="s">
        <v>2354</v>
      </c>
    </row>
    <row r="2310" spans="1:9" x14ac:dyDescent="0.25">
      <c r="A2310" t="s">
        <v>220</v>
      </c>
      <c r="B2310" t="s">
        <v>5430</v>
      </c>
      <c r="C2310" t="s">
        <v>6371</v>
      </c>
      <c r="D2310" t="s">
        <v>8805</v>
      </c>
      <c r="F2310">
        <v>10</v>
      </c>
      <c r="G2310">
        <v>0.95299999999999996</v>
      </c>
      <c r="H2310">
        <v>9.5299999999999994</v>
      </c>
      <c r="I2310" t="s">
        <v>2354</v>
      </c>
    </row>
    <row r="2311" spans="1:9" x14ac:dyDescent="0.25">
      <c r="A2311" t="s">
        <v>220</v>
      </c>
      <c r="B2311" t="s">
        <v>5430</v>
      </c>
      <c r="C2311" t="s">
        <v>3465</v>
      </c>
      <c r="D2311" t="s">
        <v>8806</v>
      </c>
      <c r="F2311">
        <v>2</v>
      </c>
      <c r="G2311">
        <v>8.0640000000000001</v>
      </c>
      <c r="H2311">
        <v>16.128</v>
      </c>
      <c r="I2311" t="s">
        <v>2354</v>
      </c>
    </row>
    <row r="2312" spans="1:9" x14ac:dyDescent="0.25">
      <c r="A2312" t="s">
        <v>220</v>
      </c>
      <c r="B2312" t="s">
        <v>5430</v>
      </c>
      <c r="C2312" t="s">
        <v>6453</v>
      </c>
      <c r="D2312" t="s">
        <v>6454</v>
      </c>
      <c r="F2312">
        <v>7</v>
      </c>
      <c r="G2312">
        <v>11.196</v>
      </c>
      <c r="H2312">
        <v>78.372</v>
      </c>
      <c r="I2312" t="s">
        <v>2354</v>
      </c>
    </row>
    <row r="2313" spans="1:9" x14ac:dyDescent="0.25">
      <c r="A2313" t="s">
        <v>220</v>
      </c>
      <c r="B2313" t="s">
        <v>5430</v>
      </c>
      <c r="C2313" t="s">
        <v>6455</v>
      </c>
      <c r="D2313" t="s">
        <v>8807</v>
      </c>
      <c r="F2313">
        <v>4</v>
      </c>
      <c r="G2313">
        <v>0</v>
      </c>
      <c r="H2313">
        <v>0</v>
      </c>
      <c r="I2313" t="s">
        <v>2354</v>
      </c>
    </row>
    <row r="2314" spans="1:9" x14ac:dyDescent="0.25">
      <c r="A2314" t="s">
        <v>220</v>
      </c>
      <c r="B2314" t="s">
        <v>5430</v>
      </c>
      <c r="C2314" t="s">
        <v>6457</v>
      </c>
      <c r="D2314" t="s">
        <v>6458</v>
      </c>
      <c r="F2314">
        <v>21</v>
      </c>
      <c r="G2314">
        <v>1.5428333333333333</v>
      </c>
      <c r="H2314">
        <v>32.399499999999996</v>
      </c>
      <c r="I2314" t="s">
        <v>2354</v>
      </c>
    </row>
    <row r="2315" spans="1:9" x14ac:dyDescent="0.25">
      <c r="A2315" t="s">
        <v>220</v>
      </c>
      <c r="B2315" t="s">
        <v>5430</v>
      </c>
      <c r="C2315" t="s">
        <v>3501</v>
      </c>
      <c r="D2315" t="s">
        <v>3502</v>
      </c>
      <c r="F2315">
        <v>5</v>
      </c>
      <c r="G2315">
        <v>2.9015151515151514</v>
      </c>
      <c r="H2315">
        <v>14.507575757575758</v>
      </c>
      <c r="I2315" t="s">
        <v>2354</v>
      </c>
    </row>
    <row r="2316" spans="1:9" x14ac:dyDescent="0.25">
      <c r="A2316" t="s">
        <v>220</v>
      </c>
      <c r="B2316" t="s">
        <v>5430</v>
      </c>
      <c r="C2316" t="s">
        <v>6459</v>
      </c>
      <c r="D2316" t="s">
        <v>6460</v>
      </c>
      <c r="F2316">
        <v>10</v>
      </c>
      <c r="G2316">
        <v>0.77</v>
      </c>
      <c r="H2316">
        <v>7.7</v>
      </c>
      <c r="I2316" t="s">
        <v>2354</v>
      </c>
    </row>
    <row r="2317" spans="1:9" x14ac:dyDescent="0.25">
      <c r="A2317" t="s">
        <v>220</v>
      </c>
      <c r="B2317" t="s">
        <v>5430</v>
      </c>
      <c r="C2317" t="s">
        <v>3503</v>
      </c>
      <c r="D2317" t="s">
        <v>3504</v>
      </c>
      <c r="F2317">
        <v>29</v>
      </c>
      <c r="G2317">
        <v>2.448</v>
      </c>
      <c r="H2317">
        <v>70.992000000000004</v>
      </c>
      <c r="I2317" t="s">
        <v>2354</v>
      </c>
    </row>
    <row r="2318" spans="1:9" x14ac:dyDescent="0.25">
      <c r="A2318" t="s">
        <v>220</v>
      </c>
      <c r="B2318" t="s">
        <v>5430</v>
      </c>
      <c r="C2318" t="s">
        <v>6461</v>
      </c>
      <c r="D2318" t="s">
        <v>6462</v>
      </c>
      <c r="F2318">
        <v>4</v>
      </c>
      <c r="G2318">
        <v>0</v>
      </c>
      <c r="H2318">
        <v>0</v>
      </c>
      <c r="I2318" t="s">
        <v>2354</v>
      </c>
    </row>
    <row r="2319" spans="1:9" x14ac:dyDescent="0.25">
      <c r="A2319" t="s">
        <v>220</v>
      </c>
      <c r="B2319" t="s">
        <v>5430</v>
      </c>
      <c r="C2319" t="s">
        <v>6463</v>
      </c>
      <c r="D2319" t="s">
        <v>6464</v>
      </c>
      <c r="F2319">
        <v>19</v>
      </c>
      <c r="G2319">
        <v>1.0608</v>
      </c>
      <c r="H2319">
        <v>20.155200000000001</v>
      </c>
      <c r="I2319" t="s">
        <v>2354</v>
      </c>
    </row>
    <row r="2320" spans="1:9" x14ac:dyDescent="0.25">
      <c r="A2320" t="s">
        <v>220</v>
      </c>
      <c r="B2320" t="s">
        <v>5430</v>
      </c>
      <c r="C2320" t="s">
        <v>3505</v>
      </c>
      <c r="D2320" t="s">
        <v>3506</v>
      </c>
      <c r="F2320">
        <v>3</v>
      </c>
      <c r="G2320">
        <v>11.22</v>
      </c>
      <c r="H2320">
        <v>33.660000000000004</v>
      </c>
      <c r="I2320" t="s">
        <v>2354</v>
      </c>
    </row>
    <row r="2321" spans="1:9" x14ac:dyDescent="0.25">
      <c r="A2321" t="s">
        <v>220</v>
      </c>
      <c r="B2321" t="s">
        <v>5430</v>
      </c>
      <c r="C2321" t="s">
        <v>6465</v>
      </c>
      <c r="D2321" t="s">
        <v>3536</v>
      </c>
      <c r="F2321">
        <v>5</v>
      </c>
      <c r="G2321">
        <v>8.67</v>
      </c>
      <c r="H2321">
        <v>43.35</v>
      </c>
      <c r="I2321" t="s">
        <v>2354</v>
      </c>
    </row>
    <row r="2322" spans="1:9" x14ac:dyDescent="0.25">
      <c r="A2322" t="s">
        <v>220</v>
      </c>
      <c r="B2322" t="s">
        <v>5430</v>
      </c>
      <c r="C2322" t="s">
        <v>6466</v>
      </c>
      <c r="D2322" t="s">
        <v>6467</v>
      </c>
      <c r="F2322">
        <v>12</v>
      </c>
      <c r="G2322">
        <v>2.6775000000000002</v>
      </c>
      <c r="H2322">
        <v>32.130000000000003</v>
      </c>
      <c r="I2322" t="s">
        <v>2354</v>
      </c>
    </row>
    <row r="2323" spans="1:9" x14ac:dyDescent="0.25">
      <c r="A2323" t="s">
        <v>220</v>
      </c>
      <c r="B2323" t="s">
        <v>5430</v>
      </c>
      <c r="C2323" t="s">
        <v>6468</v>
      </c>
      <c r="D2323" t="s">
        <v>8808</v>
      </c>
      <c r="F2323">
        <v>1</v>
      </c>
      <c r="G2323">
        <v>4.8140999999999998</v>
      </c>
      <c r="H2323">
        <v>4.8140999999999998</v>
      </c>
      <c r="I2323" t="s">
        <v>2354</v>
      </c>
    </row>
    <row r="2324" spans="1:9" x14ac:dyDescent="0.25">
      <c r="A2324" t="s">
        <v>220</v>
      </c>
      <c r="B2324" t="s">
        <v>5430</v>
      </c>
      <c r="C2324" t="s">
        <v>6470</v>
      </c>
      <c r="D2324" t="s">
        <v>6471</v>
      </c>
      <c r="F2324">
        <v>14</v>
      </c>
      <c r="G2324">
        <v>6.3074999999999992</v>
      </c>
      <c r="H2324">
        <v>88.304999999999993</v>
      </c>
      <c r="I2324" t="s">
        <v>2354</v>
      </c>
    </row>
    <row r="2325" spans="1:9" x14ac:dyDescent="0.25">
      <c r="A2325" t="s">
        <v>220</v>
      </c>
      <c r="B2325" t="s">
        <v>5430</v>
      </c>
      <c r="C2325" t="s">
        <v>6472</v>
      </c>
      <c r="D2325" t="s">
        <v>6473</v>
      </c>
      <c r="F2325">
        <v>9</v>
      </c>
      <c r="G2325">
        <v>4.6749999999999998</v>
      </c>
      <c r="H2325">
        <v>42.074999999999996</v>
      </c>
      <c r="I2325" t="s">
        <v>2354</v>
      </c>
    </row>
    <row r="2326" spans="1:9" x14ac:dyDescent="0.25">
      <c r="A2326" t="s">
        <v>220</v>
      </c>
      <c r="B2326" t="s">
        <v>5430</v>
      </c>
      <c r="C2326" t="s">
        <v>3521</v>
      </c>
      <c r="D2326" t="s">
        <v>3522</v>
      </c>
      <c r="F2326">
        <v>1</v>
      </c>
      <c r="G2326">
        <v>4.0460000000000003</v>
      </c>
      <c r="H2326">
        <v>4.0460000000000003</v>
      </c>
      <c r="I2326" t="s">
        <v>2354</v>
      </c>
    </row>
    <row r="2327" spans="1:9" x14ac:dyDescent="0.25">
      <c r="A2327" t="s">
        <v>220</v>
      </c>
      <c r="B2327" t="s">
        <v>5430</v>
      </c>
      <c r="C2327" t="s">
        <v>3523</v>
      </c>
      <c r="D2327" t="s">
        <v>3524</v>
      </c>
      <c r="F2327">
        <v>10</v>
      </c>
      <c r="G2327">
        <v>1.153</v>
      </c>
      <c r="H2327">
        <v>11.530000000000001</v>
      </c>
      <c r="I2327" t="s">
        <v>2354</v>
      </c>
    </row>
    <row r="2328" spans="1:9" x14ac:dyDescent="0.25">
      <c r="A2328" t="s">
        <v>220</v>
      </c>
      <c r="B2328" t="s">
        <v>5430</v>
      </c>
      <c r="C2328" t="s">
        <v>3525</v>
      </c>
      <c r="D2328" t="s">
        <v>3526</v>
      </c>
      <c r="F2328">
        <v>9</v>
      </c>
      <c r="G2328">
        <v>0.8075</v>
      </c>
      <c r="H2328">
        <v>7.2675000000000001</v>
      </c>
      <c r="I2328" t="s">
        <v>2354</v>
      </c>
    </row>
    <row r="2329" spans="1:9" x14ac:dyDescent="0.25">
      <c r="A2329" t="s">
        <v>220</v>
      </c>
      <c r="B2329" t="s">
        <v>5430</v>
      </c>
      <c r="C2329" t="s">
        <v>3527</v>
      </c>
      <c r="D2329" t="s">
        <v>3528</v>
      </c>
      <c r="F2329">
        <v>5</v>
      </c>
      <c r="G2329">
        <v>1.0250999999999999</v>
      </c>
      <c r="H2329">
        <v>5.1254999999999997</v>
      </c>
      <c r="I2329" t="s">
        <v>2354</v>
      </c>
    </row>
    <row r="2330" spans="1:9" x14ac:dyDescent="0.25">
      <c r="A2330" t="s">
        <v>220</v>
      </c>
      <c r="B2330" t="s">
        <v>5430</v>
      </c>
      <c r="C2330" t="s">
        <v>3529</v>
      </c>
      <c r="D2330" t="s">
        <v>8809</v>
      </c>
      <c r="F2330">
        <v>6</v>
      </c>
      <c r="G2330">
        <v>3.103017857142857</v>
      </c>
      <c r="H2330">
        <v>18.618107142857141</v>
      </c>
      <c r="I2330" t="s">
        <v>2354</v>
      </c>
    </row>
    <row r="2331" spans="1:9" x14ac:dyDescent="0.25">
      <c r="A2331" t="s">
        <v>220</v>
      </c>
      <c r="B2331" t="s">
        <v>5430</v>
      </c>
      <c r="C2331" t="s">
        <v>3533</v>
      </c>
      <c r="D2331" t="s">
        <v>3534</v>
      </c>
      <c r="F2331">
        <v>10</v>
      </c>
      <c r="G2331">
        <v>2.3913333333333338</v>
      </c>
      <c r="H2331">
        <v>23.913333333333338</v>
      </c>
      <c r="I2331" t="s">
        <v>2354</v>
      </c>
    </row>
    <row r="2332" spans="1:9" x14ac:dyDescent="0.25">
      <c r="A2332" t="s">
        <v>220</v>
      </c>
      <c r="B2332" t="s">
        <v>5430</v>
      </c>
      <c r="C2332" t="s">
        <v>8810</v>
      </c>
      <c r="D2332" t="s">
        <v>8811</v>
      </c>
      <c r="F2332">
        <v>2</v>
      </c>
      <c r="G2332">
        <v>1.9519066666666667</v>
      </c>
      <c r="H2332">
        <v>3.9038133333333334</v>
      </c>
      <c r="I2332" t="s">
        <v>2354</v>
      </c>
    </row>
    <row r="2333" spans="1:9" x14ac:dyDescent="0.25">
      <c r="A2333" t="s">
        <v>220</v>
      </c>
      <c r="B2333" t="s">
        <v>5430</v>
      </c>
      <c r="C2333" t="s">
        <v>3537</v>
      </c>
      <c r="D2333" t="s">
        <v>8812</v>
      </c>
      <c r="F2333">
        <v>5</v>
      </c>
      <c r="G2333">
        <v>9.9719999999999995</v>
      </c>
      <c r="H2333">
        <v>49.86</v>
      </c>
      <c r="I2333" t="s">
        <v>2354</v>
      </c>
    </row>
    <row r="2334" spans="1:9" x14ac:dyDescent="0.25">
      <c r="A2334" t="s">
        <v>220</v>
      </c>
      <c r="B2334" t="s">
        <v>5430</v>
      </c>
      <c r="C2334" t="s">
        <v>6482</v>
      </c>
      <c r="D2334" t="s">
        <v>6483</v>
      </c>
      <c r="F2334">
        <v>3</v>
      </c>
      <c r="G2334">
        <v>28.141200000000001</v>
      </c>
      <c r="H2334">
        <v>84.423600000000008</v>
      </c>
      <c r="I2334" t="s">
        <v>2354</v>
      </c>
    </row>
    <row r="2335" spans="1:9" x14ac:dyDescent="0.25">
      <c r="A2335" t="s">
        <v>220</v>
      </c>
      <c r="B2335" t="s">
        <v>5430</v>
      </c>
      <c r="C2335" t="s">
        <v>6484</v>
      </c>
      <c r="D2335" t="s">
        <v>6485</v>
      </c>
      <c r="F2335">
        <v>14</v>
      </c>
      <c r="G2335">
        <v>6.687954545454545</v>
      </c>
      <c r="H2335">
        <v>93.631363636363631</v>
      </c>
      <c r="I2335" t="s">
        <v>2354</v>
      </c>
    </row>
    <row r="2336" spans="1:9" x14ac:dyDescent="0.25">
      <c r="A2336" t="s">
        <v>220</v>
      </c>
      <c r="B2336" t="s">
        <v>5430</v>
      </c>
      <c r="C2336" t="s">
        <v>6486</v>
      </c>
      <c r="D2336" t="s">
        <v>6487</v>
      </c>
      <c r="F2336">
        <v>1</v>
      </c>
      <c r="G2336">
        <v>13.897500000000001</v>
      </c>
      <c r="H2336">
        <v>13.897500000000001</v>
      </c>
      <c r="I2336" t="s">
        <v>2354</v>
      </c>
    </row>
    <row r="2337" spans="1:9" x14ac:dyDescent="0.25">
      <c r="A2337" t="s">
        <v>220</v>
      </c>
      <c r="B2337" t="s">
        <v>5430</v>
      </c>
      <c r="C2337" t="s">
        <v>6488</v>
      </c>
      <c r="D2337" t="s">
        <v>8813</v>
      </c>
      <c r="F2337">
        <v>4</v>
      </c>
      <c r="G2337">
        <v>7.9141538461538472</v>
      </c>
      <c r="H2337">
        <v>31.656615384615389</v>
      </c>
      <c r="I2337" t="s">
        <v>2354</v>
      </c>
    </row>
    <row r="2338" spans="1:9" x14ac:dyDescent="0.25">
      <c r="A2338" t="s">
        <v>220</v>
      </c>
      <c r="B2338" t="s">
        <v>5430</v>
      </c>
      <c r="C2338" t="s">
        <v>6490</v>
      </c>
      <c r="D2338" t="s">
        <v>8814</v>
      </c>
      <c r="F2338">
        <v>9</v>
      </c>
      <c r="G2338">
        <v>6.1624999999999996</v>
      </c>
      <c r="H2338">
        <v>55.462499999999999</v>
      </c>
      <c r="I2338" t="s">
        <v>2354</v>
      </c>
    </row>
    <row r="2339" spans="1:9" x14ac:dyDescent="0.25">
      <c r="A2339" t="s">
        <v>220</v>
      </c>
      <c r="B2339" t="s">
        <v>5430</v>
      </c>
      <c r="C2339" t="s">
        <v>6495</v>
      </c>
      <c r="D2339" t="s">
        <v>8815</v>
      </c>
      <c r="F2339">
        <v>1</v>
      </c>
      <c r="G2339">
        <v>7.0054222222222222</v>
      </c>
      <c r="H2339">
        <v>7.0054222222222222</v>
      </c>
      <c r="I2339" t="s">
        <v>2354</v>
      </c>
    </row>
    <row r="2340" spans="1:9" x14ac:dyDescent="0.25">
      <c r="A2340" t="s">
        <v>220</v>
      </c>
      <c r="B2340" t="s">
        <v>5430</v>
      </c>
      <c r="C2340" t="s">
        <v>6499</v>
      </c>
      <c r="D2340" t="s">
        <v>6500</v>
      </c>
      <c r="F2340">
        <v>2</v>
      </c>
      <c r="G2340">
        <v>48.705000000000005</v>
      </c>
      <c r="H2340">
        <v>97.410000000000011</v>
      </c>
      <c r="I2340" t="s">
        <v>2354</v>
      </c>
    </row>
    <row r="2341" spans="1:9" x14ac:dyDescent="0.25">
      <c r="A2341" t="s">
        <v>220</v>
      </c>
      <c r="B2341" t="s">
        <v>5430</v>
      </c>
      <c r="C2341" t="s">
        <v>6501</v>
      </c>
      <c r="D2341" t="s">
        <v>6502</v>
      </c>
      <c r="F2341">
        <v>1</v>
      </c>
      <c r="G2341">
        <v>23.387</v>
      </c>
      <c r="H2341">
        <v>23.387</v>
      </c>
      <c r="I2341" t="s">
        <v>2354</v>
      </c>
    </row>
    <row r="2342" spans="1:9" x14ac:dyDescent="0.25">
      <c r="A2342" t="s">
        <v>220</v>
      </c>
      <c r="B2342" t="s">
        <v>5430</v>
      </c>
      <c r="C2342" t="s">
        <v>8816</v>
      </c>
      <c r="D2342" t="s">
        <v>8817</v>
      </c>
      <c r="F2342">
        <v>7</v>
      </c>
      <c r="G2342">
        <v>2.125</v>
      </c>
      <c r="H2342">
        <v>14.875</v>
      </c>
      <c r="I2342" t="s">
        <v>2354</v>
      </c>
    </row>
    <row r="2343" spans="1:9" x14ac:dyDescent="0.25">
      <c r="A2343" t="s">
        <v>220</v>
      </c>
      <c r="B2343" t="s">
        <v>5430</v>
      </c>
      <c r="C2343" t="s">
        <v>6505</v>
      </c>
      <c r="D2343" t="s">
        <v>6506</v>
      </c>
      <c r="F2343">
        <v>1</v>
      </c>
      <c r="G2343">
        <v>14.16</v>
      </c>
      <c r="H2343">
        <v>14.16</v>
      </c>
      <c r="I2343" t="s">
        <v>2354</v>
      </c>
    </row>
    <row r="2344" spans="1:9" x14ac:dyDescent="0.25">
      <c r="A2344" t="s">
        <v>220</v>
      </c>
      <c r="B2344" t="s">
        <v>5430</v>
      </c>
      <c r="C2344" t="s">
        <v>6507</v>
      </c>
      <c r="D2344" t="s">
        <v>6508</v>
      </c>
      <c r="F2344">
        <v>5</v>
      </c>
      <c r="G2344">
        <v>15.05</v>
      </c>
      <c r="H2344">
        <v>75.25</v>
      </c>
      <c r="I2344" t="s">
        <v>2354</v>
      </c>
    </row>
    <row r="2345" spans="1:9" x14ac:dyDescent="0.25">
      <c r="A2345" t="s">
        <v>220</v>
      </c>
      <c r="B2345" t="s">
        <v>5430</v>
      </c>
      <c r="C2345" t="s">
        <v>6509</v>
      </c>
      <c r="D2345" t="s">
        <v>8818</v>
      </c>
      <c r="F2345">
        <v>4</v>
      </c>
      <c r="G2345">
        <v>0</v>
      </c>
      <c r="H2345">
        <v>0</v>
      </c>
      <c r="I2345" t="s">
        <v>2354</v>
      </c>
    </row>
    <row r="2346" spans="1:9" x14ac:dyDescent="0.25">
      <c r="A2346" t="s">
        <v>220</v>
      </c>
      <c r="B2346" t="s">
        <v>5430</v>
      </c>
      <c r="C2346" t="s">
        <v>6511</v>
      </c>
      <c r="D2346" t="s">
        <v>8819</v>
      </c>
      <c r="F2346">
        <v>9</v>
      </c>
      <c r="G2346">
        <v>17.102</v>
      </c>
      <c r="H2346">
        <v>153.91800000000001</v>
      </c>
      <c r="I2346" t="s">
        <v>2354</v>
      </c>
    </row>
    <row r="2347" spans="1:9" x14ac:dyDescent="0.25">
      <c r="A2347" t="s">
        <v>220</v>
      </c>
      <c r="B2347" t="s">
        <v>5430</v>
      </c>
      <c r="C2347" t="s">
        <v>6513</v>
      </c>
      <c r="D2347" t="s">
        <v>6514</v>
      </c>
      <c r="F2347">
        <v>2</v>
      </c>
      <c r="G2347">
        <v>24.225000000000001</v>
      </c>
      <c r="H2347">
        <v>48.45</v>
      </c>
      <c r="I2347" t="s">
        <v>2354</v>
      </c>
    </row>
    <row r="2348" spans="1:9" x14ac:dyDescent="0.25">
      <c r="A2348" t="s">
        <v>220</v>
      </c>
      <c r="B2348" t="s">
        <v>5430</v>
      </c>
      <c r="C2348" t="s">
        <v>6515</v>
      </c>
      <c r="D2348" t="s">
        <v>6516</v>
      </c>
      <c r="F2348">
        <v>12</v>
      </c>
      <c r="G2348">
        <v>9.34</v>
      </c>
      <c r="H2348">
        <v>112.08</v>
      </c>
      <c r="I2348" t="s">
        <v>2354</v>
      </c>
    </row>
    <row r="2349" spans="1:9" x14ac:dyDescent="0.25">
      <c r="A2349" t="s">
        <v>220</v>
      </c>
      <c r="B2349" t="s">
        <v>5430</v>
      </c>
      <c r="C2349" t="s">
        <v>3595</v>
      </c>
      <c r="D2349" t="s">
        <v>3596</v>
      </c>
      <c r="F2349">
        <v>51</v>
      </c>
      <c r="G2349">
        <v>3.2980000000000005</v>
      </c>
      <c r="H2349">
        <v>168.19800000000004</v>
      </c>
      <c r="I2349" t="s">
        <v>2354</v>
      </c>
    </row>
    <row r="2350" spans="1:9" x14ac:dyDescent="0.25">
      <c r="A2350" t="s">
        <v>220</v>
      </c>
      <c r="B2350" t="s">
        <v>5430</v>
      </c>
      <c r="C2350" t="s">
        <v>3597</v>
      </c>
      <c r="D2350" t="s">
        <v>3598</v>
      </c>
      <c r="F2350">
        <v>72</v>
      </c>
      <c r="G2350">
        <v>3.077</v>
      </c>
      <c r="H2350">
        <v>221.54399999999998</v>
      </c>
      <c r="I2350" t="s">
        <v>2354</v>
      </c>
    </row>
    <row r="2351" spans="1:9" x14ac:dyDescent="0.25">
      <c r="A2351" t="s">
        <v>220</v>
      </c>
      <c r="B2351" t="s">
        <v>5430</v>
      </c>
      <c r="C2351" t="s">
        <v>3599</v>
      </c>
      <c r="D2351" t="s">
        <v>3600</v>
      </c>
      <c r="F2351">
        <v>41</v>
      </c>
      <c r="G2351">
        <v>3.57</v>
      </c>
      <c r="H2351">
        <v>146.37</v>
      </c>
      <c r="I2351" t="s">
        <v>2354</v>
      </c>
    </row>
    <row r="2352" spans="1:9" x14ac:dyDescent="0.25">
      <c r="A2352" t="s">
        <v>220</v>
      </c>
      <c r="B2352" t="s">
        <v>5430</v>
      </c>
      <c r="C2352" t="s">
        <v>6519</v>
      </c>
      <c r="D2352" t="s">
        <v>8820</v>
      </c>
      <c r="F2352">
        <v>4</v>
      </c>
      <c r="G2352">
        <v>0</v>
      </c>
      <c r="H2352">
        <v>0</v>
      </c>
      <c r="I2352" t="s">
        <v>2354</v>
      </c>
    </row>
    <row r="2353" spans="1:9" x14ac:dyDescent="0.25">
      <c r="A2353" t="s">
        <v>220</v>
      </c>
      <c r="B2353" t="s">
        <v>5430</v>
      </c>
      <c r="C2353" t="s">
        <v>2440</v>
      </c>
      <c r="D2353" t="s">
        <v>6521</v>
      </c>
      <c r="F2353">
        <v>32</v>
      </c>
      <c r="G2353">
        <v>2.6179999999999999</v>
      </c>
      <c r="H2353">
        <v>83.775999999999996</v>
      </c>
      <c r="I2353" t="s">
        <v>2354</v>
      </c>
    </row>
    <row r="2354" spans="1:9" x14ac:dyDescent="0.25">
      <c r="A2354" t="s">
        <v>220</v>
      </c>
      <c r="B2354" t="s">
        <v>5430</v>
      </c>
      <c r="C2354" t="s">
        <v>6522</v>
      </c>
      <c r="D2354" t="s">
        <v>8821</v>
      </c>
      <c r="F2354">
        <v>2</v>
      </c>
      <c r="G2354">
        <v>5.2279999999999998</v>
      </c>
      <c r="H2354">
        <v>10.456</v>
      </c>
      <c r="I2354" t="s">
        <v>2354</v>
      </c>
    </row>
    <row r="2355" spans="1:9" x14ac:dyDescent="0.25">
      <c r="A2355" t="s">
        <v>220</v>
      </c>
      <c r="B2355" t="s">
        <v>5430</v>
      </c>
      <c r="C2355" t="s">
        <v>6524</v>
      </c>
      <c r="D2355" t="s">
        <v>6525</v>
      </c>
      <c r="F2355">
        <v>1</v>
      </c>
      <c r="G2355">
        <v>31.875</v>
      </c>
      <c r="H2355">
        <v>31.875</v>
      </c>
      <c r="I2355" t="s">
        <v>2354</v>
      </c>
    </row>
    <row r="2356" spans="1:9" x14ac:dyDescent="0.25">
      <c r="A2356" t="s">
        <v>220</v>
      </c>
      <c r="B2356" t="s">
        <v>5430</v>
      </c>
      <c r="C2356" t="s">
        <v>6526</v>
      </c>
      <c r="D2356" t="s">
        <v>6527</v>
      </c>
      <c r="F2356">
        <v>9</v>
      </c>
      <c r="G2356">
        <v>4.25</v>
      </c>
      <c r="H2356">
        <v>38.25</v>
      </c>
      <c r="I2356" t="s">
        <v>2354</v>
      </c>
    </row>
    <row r="2357" spans="1:9" x14ac:dyDescent="0.25">
      <c r="A2357" t="s">
        <v>220</v>
      </c>
      <c r="B2357" t="s">
        <v>5430</v>
      </c>
      <c r="C2357" t="s">
        <v>6528</v>
      </c>
      <c r="D2357" t="s">
        <v>8822</v>
      </c>
      <c r="F2357">
        <v>10</v>
      </c>
      <c r="G2357">
        <v>0</v>
      </c>
      <c r="H2357">
        <v>0</v>
      </c>
      <c r="I2357" t="s">
        <v>2354</v>
      </c>
    </row>
    <row r="2358" spans="1:9" x14ac:dyDescent="0.25">
      <c r="A2358" t="s">
        <v>220</v>
      </c>
      <c r="B2358" t="s">
        <v>5430</v>
      </c>
      <c r="C2358" t="s">
        <v>6530</v>
      </c>
      <c r="D2358" t="s">
        <v>8823</v>
      </c>
      <c r="F2358">
        <v>7</v>
      </c>
      <c r="G2358">
        <v>0</v>
      </c>
      <c r="H2358">
        <v>0</v>
      </c>
      <c r="I2358" t="s">
        <v>2354</v>
      </c>
    </row>
    <row r="2359" spans="1:9" x14ac:dyDescent="0.25">
      <c r="A2359" t="s">
        <v>220</v>
      </c>
      <c r="B2359" t="s">
        <v>5430</v>
      </c>
      <c r="C2359" t="s">
        <v>8824</v>
      </c>
      <c r="D2359" t="s">
        <v>8825</v>
      </c>
      <c r="F2359">
        <v>30</v>
      </c>
      <c r="G2359">
        <v>5.3125</v>
      </c>
      <c r="H2359">
        <v>159.375</v>
      </c>
      <c r="I2359" t="s">
        <v>2354</v>
      </c>
    </row>
    <row r="2360" spans="1:9" x14ac:dyDescent="0.25">
      <c r="A2360" t="s">
        <v>220</v>
      </c>
      <c r="B2360" t="s">
        <v>5430</v>
      </c>
      <c r="C2360" t="s">
        <v>6534</v>
      </c>
      <c r="D2360" t="s">
        <v>6535</v>
      </c>
      <c r="F2360">
        <v>1</v>
      </c>
      <c r="G2360">
        <v>0</v>
      </c>
      <c r="H2360">
        <v>0</v>
      </c>
      <c r="I2360" t="s">
        <v>2354</v>
      </c>
    </row>
    <row r="2361" spans="1:9" x14ac:dyDescent="0.25">
      <c r="A2361" t="s">
        <v>220</v>
      </c>
      <c r="B2361" t="s">
        <v>5430</v>
      </c>
      <c r="C2361" t="s">
        <v>2433</v>
      </c>
      <c r="D2361" t="s">
        <v>8826</v>
      </c>
      <c r="F2361">
        <v>48</v>
      </c>
      <c r="G2361">
        <v>5.5419999999999998</v>
      </c>
      <c r="H2361">
        <v>266.01599999999996</v>
      </c>
      <c r="I2361" t="s">
        <v>2354</v>
      </c>
    </row>
    <row r="2362" spans="1:9" x14ac:dyDescent="0.25">
      <c r="A2362" t="s">
        <v>220</v>
      </c>
      <c r="B2362" t="s">
        <v>5430</v>
      </c>
      <c r="C2362" t="s">
        <v>8827</v>
      </c>
      <c r="D2362" t="s">
        <v>8828</v>
      </c>
      <c r="F2362">
        <v>22</v>
      </c>
      <c r="G2362">
        <v>5.52</v>
      </c>
      <c r="H2362">
        <v>121.44</v>
      </c>
      <c r="I2362" t="s">
        <v>2354</v>
      </c>
    </row>
    <row r="2363" spans="1:9" x14ac:dyDescent="0.25">
      <c r="A2363" t="s">
        <v>220</v>
      </c>
      <c r="B2363" t="s">
        <v>5430</v>
      </c>
      <c r="C2363" t="s">
        <v>8829</v>
      </c>
      <c r="D2363" t="s">
        <v>6540</v>
      </c>
      <c r="F2363">
        <v>6</v>
      </c>
      <c r="G2363">
        <v>12.8</v>
      </c>
      <c r="H2363">
        <v>76.800000000000011</v>
      </c>
      <c r="I2363" t="s">
        <v>2354</v>
      </c>
    </row>
    <row r="2364" spans="1:9" x14ac:dyDescent="0.25">
      <c r="A2364" t="s">
        <v>220</v>
      </c>
      <c r="B2364" t="s">
        <v>5430</v>
      </c>
      <c r="C2364" t="s">
        <v>8830</v>
      </c>
      <c r="D2364" t="s">
        <v>8831</v>
      </c>
      <c r="F2364">
        <v>4</v>
      </c>
      <c r="G2364">
        <v>25.6</v>
      </c>
      <c r="H2364">
        <v>102.4</v>
      </c>
      <c r="I2364" t="s">
        <v>2354</v>
      </c>
    </row>
    <row r="2365" spans="1:9" x14ac:dyDescent="0.25">
      <c r="A2365" t="s">
        <v>220</v>
      </c>
      <c r="B2365" t="s">
        <v>5430</v>
      </c>
      <c r="C2365" t="s">
        <v>8832</v>
      </c>
      <c r="D2365" t="s">
        <v>8833</v>
      </c>
      <c r="F2365">
        <v>10</v>
      </c>
      <c r="G2365">
        <v>22.4</v>
      </c>
      <c r="H2365">
        <v>224</v>
      </c>
      <c r="I2365" t="s">
        <v>2354</v>
      </c>
    </row>
    <row r="2366" spans="1:9" x14ac:dyDescent="0.25">
      <c r="A2366" t="s">
        <v>220</v>
      </c>
      <c r="B2366" t="s">
        <v>5430</v>
      </c>
      <c r="C2366" t="s">
        <v>8834</v>
      </c>
      <c r="D2366" t="s">
        <v>6546</v>
      </c>
      <c r="F2366">
        <v>10</v>
      </c>
      <c r="G2366">
        <v>11.2</v>
      </c>
      <c r="H2366">
        <v>112</v>
      </c>
      <c r="I2366" t="s">
        <v>2354</v>
      </c>
    </row>
    <row r="2367" spans="1:9" x14ac:dyDescent="0.25">
      <c r="A2367" t="s">
        <v>220</v>
      </c>
      <c r="B2367" t="s">
        <v>5430</v>
      </c>
      <c r="C2367" t="s">
        <v>6547</v>
      </c>
      <c r="D2367" t="s">
        <v>8835</v>
      </c>
      <c r="F2367">
        <v>3</v>
      </c>
      <c r="G2367">
        <v>21.8</v>
      </c>
      <c r="H2367">
        <v>65.400000000000006</v>
      </c>
      <c r="I2367" t="s">
        <v>2354</v>
      </c>
    </row>
    <row r="2368" spans="1:9" x14ac:dyDescent="0.25">
      <c r="A2368" t="s">
        <v>220</v>
      </c>
      <c r="B2368" t="s">
        <v>5430</v>
      </c>
      <c r="C2368" t="s">
        <v>8836</v>
      </c>
      <c r="D2368" t="s">
        <v>8837</v>
      </c>
      <c r="F2368">
        <v>2</v>
      </c>
      <c r="G2368">
        <v>0</v>
      </c>
      <c r="H2368">
        <v>0</v>
      </c>
      <c r="I2368" t="s">
        <v>2354</v>
      </c>
    </row>
    <row r="2369" spans="1:9" x14ac:dyDescent="0.25">
      <c r="A2369" t="s">
        <v>220</v>
      </c>
      <c r="B2369" t="s">
        <v>5430</v>
      </c>
      <c r="C2369" t="s">
        <v>6549</v>
      </c>
      <c r="D2369" t="s">
        <v>6550</v>
      </c>
      <c r="F2369">
        <v>10</v>
      </c>
      <c r="G2369">
        <v>1.8</v>
      </c>
      <c r="H2369">
        <v>18</v>
      </c>
      <c r="I2369" t="s">
        <v>2354</v>
      </c>
    </row>
    <row r="2370" spans="1:9" x14ac:dyDescent="0.25">
      <c r="A2370" t="s">
        <v>220</v>
      </c>
      <c r="B2370" t="s">
        <v>5430</v>
      </c>
      <c r="C2370" t="s">
        <v>6551</v>
      </c>
      <c r="D2370" t="s">
        <v>8838</v>
      </c>
      <c r="F2370">
        <v>4</v>
      </c>
      <c r="G2370">
        <v>7.65</v>
      </c>
      <c r="H2370">
        <v>30.6</v>
      </c>
      <c r="I2370" t="s">
        <v>2354</v>
      </c>
    </row>
    <row r="2371" spans="1:9" x14ac:dyDescent="0.25">
      <c r="A2371" t="s">
        <v>220</v>
      </c>
      <c r="B2371" t="s">
        <v>5430</v>
      </c>
      <c r="C2371" t="s">
        <v>6553</v>
      </c>
      <c r="D2371" t="s">
        <v>8839</v>
      </c>
      <c r="F2371">
        <v>10</v>
      </c>
      <c r="G2371">
        <v>8.6265000000000001</v>
      </c>
      <c r="H2371">
        <v>86.265000000000001</v>
      </c>
      <c r="I2371" t="s">
        <v>2354</v>
      </c>
    </row>
    <row r="2372" spans="1:9" x14ac:dyDescent="0.25">
      <c r="A2372" t="s">
        <v>220</v>
      </c>
      <c r="B2372" t="s">
        <v>5430</v>
      </c>
      <c r="C2372" t="s">
        <v>6555</v>
      </c>
      <c r="D2372" t="s">
        <v>8840</v>
      </c>
      <c r="F2372">
        <v>4</v>
      </c>
      <c r="G2372">
        <v>36.269500000000001</v>
      </c>
      <c r="H2372">
        <v>145.078</v>
      </c>
      <c r="I2372" t="s">
        <v>2354</v>
      </c>
    </row>
    <row r="2373" spans="1:9" x14ac:dyDescent="0.25">
      <c r="A2373" t="s">
        <v>220</v>
      </c>
      <c r="B2373" t="s">
        <v>5430</v>
      </c>
      <c r="C2373" t="s">
        <v>6557</v>
      </c>
      <c r="D2373" t="s">
        <v>8841</v>
      </c>
      <c r="F2373">
        <v>4</v>
      </c>
      <c r="G2373">
        <v>0</v>
      </c>
      <c r="H2373">
        <v>0</v>
      </c>
      <c r="I2373" t="s">
        <v>2354</v>
      </c>
    </row>
    <row r="2374" spans="1:9" x14ac:dyDescent="0.25">
      <c r="A2374" t="s">
        <v>220</v>
      </c>
      <c r="B2374" t="s">
        <v>5430</v>
      </c>
      <c r="C2374" t="s">
        <v>2407</v>
      </c>
      <c r="D2374" t="s">
        <v>8842</v>
      </c>
      <c r="F2374">
        <v>1</v>
      </c>
      <c r="G2374">
        <v>19.8</v>
      </c>
      <c r="H2374">
        <v>19.8</v>
      </c>
      <c r="I2374" t="s">
        <v>2354</v>
      </c>
    </row>
    <row r="2375" spans="1:9" x14ac:dyDescent="0.25">
      <c r="A2375" t="s">
        <v>220</v>
      </c>
      <c r="B2375" t="s">
        <v>5430</v>
      </c>
      <c r="C2375" t="s">
        <v>6559</v>
      </c>
      <c r="D2375" t="s">
        <v>8843</v>
      </c>
      <c r="F2375">
        <v>2</v>
      </c>
      <c r="G2375">
        <v>13.387499999999999</v>
      </c>
      <c r="H2375">
        <v>26.774999999999999</v>
      </c>
      <c r="I2375" t="s">
        <v>2354</v>
      </c>
    </row>
    <row r="2376" spans="1:9" x14ac:dyDescent="0.25">
      <c r="A2376" t="s">
        <v>220</v>
      </c>
      <c r="B2376" t="s">
        <v>5430</v>
      </c>
      <c r="C2376" t="s">
        <v>3637</v>
      </c>
      <c r="D2376" t="s">
        <v>8844</v>
      </c>
      <c r="F2376">
        <v>13</v>
      </c>
      <c r="G2376">
        <v>1.6830000000000001</v>
      </c>
      <c r="H2376">
        <v>21.879000000000001</v>
      </c>
      <c r="I2376" t="s">
        <v>2354</v>
      </c>
    </row>
    <row r="2377" spans="1:9" x14ac:dyDescent="0.25">
      <c r="A2377" t="s">
        <v>220</v>
      </c>
      <c r="B2377" t="s">
        <v>5430</v>
      </c>
      <c r="C2377" t="s">
        <v>3639</v>
      </c>
      <c r="D2377" t="s">
        <v>3640</v>
      </c>
      <c r="F2377">
        <v>5</v>
      </c>
      <c r="G2377">
        <v>1.9935000000000003</v>
      </c>
      <c r="H2377">
        <v>9.9675000000000011</v>
      </c>
      <c r="I2377" t="s">
        <v>2354</v>
      </c>
    </row>
    <row r="2378" spans="1:9" x14ac:dyDescent="0.25">
      <c r="A2378" t="s">
        <v>220</v>
      </c>
      <c r="B2378" t="s">
        <v>5430</v>
      </c>
      <c r="C2378" t="s">
        <v>3641</v>
      </c>
      <c r="D2378" t="s">
        <v>3642</v>
      </c>
      <c r="F2378">
        <v>7</v>
      </c>
      <c r="G2378">
        <v>2.8834363636363638</v>
      </c>
      <c r="H2378">
        <v>20.184054545454547</v>
      </c>
      <c r="I2378" t="s">
        <v>2354</v>
      </c>
    </row>
    <row r="2379" spans="1:9" x14ac:dyDescent="0.25">
      <c r="A2379" t="s">
        <v>220</v>
      </c>
      <c r="B2379" t="s">
        <v>5430</v>
      </c>
      <c r="C2379" t="s">
        <v>3645</v>
      </c>
      <c r="D2379" t="s">
        <v>8845</v>
      </c>
      <c r="F2379">
        <v>11</v>
      </c>
      <c r="G2379">
        <v>4.5022500000000001</v>
      </c>
      <c r="H2379">
        <v>49.524749999999997</v>
      </c>
      <c r="I2379" t="s">
        <v>2354</v>
      </c>
    </row>
    <row r="2380" spans="1:9" x14ac:dyDescent="0.25">
      <c r="A2380" t="s">
        <v>220</v>
      </c>
      <c r="B2380" t="s">
        <v>5430</v>
      </c>
      <c r="C2380" t="s">
        <v>3647</v>
      </c>
      <c r="D2380" t="s">
        <v>8846</v>
      </c>
      <c r="F2380">
        <v>5</v>
      </c>
      <c r="G2380">
        <v>9.7188999999999997</v>
      </c>
      <c r="H2380">
        <v>48.594499999999996</v>
      </c>
      <c r="I2380" t="s">
        <v>2354</v>
      </c>
    </row>
    <row r="2381" spans="1:9" x14ac:dyDescent="0.25">
      <c r="A2381" t="s">
        <v>220</v>
      </c>
      <c r="B2381" t="s">
        <v>5430</v>
      </c>
      <c r="C2381" t="s">
        <v>3649</v>
      </c>
      <c r="D2381" t="s">
        <v>3650</v>
      </c>
      <c r="F2381">
        <v>8</v>
      </c>
      <c r="G2381">
        <v>4.93</v>
      </c>
      <c r="H2381">
        <v>39.44</v>
      </c>
      <c r="I2381" t="s">
        <v>2354</v>
      </c>
    </row>
    <row r="2382" spans="1:9" x14ac:dyDescent="0.25">
      <c r="A2382" t="s">
        <v>220</v>
      </c>
      <c r="B2382" t="s">
        <v>5430</v>
      </c>
      <c r="C2382" t="s">
        <v>3655</v>
      </c>
      <c r="D2382" t="s">
        <v>3656</v>
      </c>
      <c r="F2382">
        <v>48</v>
      </c>
      <c r="G2382">
        <v>3.6</v>
      </c>
      <c r="H2382">
        <v>172.8</v>
      </c>
      <c r="I2382" t="s">
        <v>2354</v>
      </c>
    </row>
    <row r="2383" spans="1:9" x14ac:dyDescent="0.25">
      <c r="A2383" t="s">
        <v>220</v>
      </c>
      <c r="B2383" t="s">
        <v>5430</v>
      </c>
      <c r="C2383" t="s">
        <v>8847</v>
      </c>
      <c r="D2383" t="s">
        <v>8848</v>
      </c>
      <c r="F2383">
        <v>2</v>
      </c>
      <c r="G2383">
        <v>1.0922499999999999</v>
      </c>
      <c r="H2383">
        <v>2.1844999999999999</v>
      </c>
      <c r="I2383" t="s">
        <v>2354</v>
      </c>
    </row>
    <row r="2384" spans="1:9" x14ac:dyDescent="0.25">
      <c r="A2384" t="s">
        <v>220</v>
      </c>
      <c r="B2384" t="s">
        <v>5430</v>
      </c>
      <c r="C2384" t="s">
        <v>8849</v>
      </c>
      <c r="D2384" t="s">
        <v>8850</v>
      </c>
      <c r="F2384">
        <v>2</v>
      </c>
      <c r="G2384">
        <v>0</v>
      </c>
      <c r="H2384">
        <v>0</v>
      </c>
      <c r="I2384" t="s">
        <v>2354</v>
      </c>
    </row>
    <row r="2385" spans="1:9" x14ac:dyDescent="0.25">
      <c r="A2385" t="s">
        <v>220</v>
      </c>
      <c r="B2385" t="s">
        <v>5430</v>
      </c>
      <c r="C2385" t="s">
        <v>3657</v>
      </c>
      <c r="D2385" t="s">
        <v>8851</v>
      </c>
      <c r="F2385">
        <v>5</v>
      </c>
      <c r="G2385">
        <v>6.2409999999999997</v>
      </c>
      <c r="H2385">
        <v>31.204999999999998</v>
      </c>
      <c r="I2385" t="s">
        <v>2354</v>
      </c>
    </row>
    <row r="2386" spans="1:9" x14ac:dyDescent="0.25">
      <c r="A2386" t="s">
        <v>220</v>
      </c>
      <c r="B2386" t="s">
        <v>5430</v>
      </c>
      <c r="C2386" t="s">
        <v>3663</v>
      </c>
      <c r="D2386" t="s">
        <v>8852</v>
      </c>
      <c r="F2386">
        <v>12</v>
      </c>
      <c r="G2386">
        <v>2.17</v>
      </c>
      <c r="H2386">
        <v>26.04</v>
      </c>
      <c r="I2386" t="s">
        <v>2354</v>
      </c>
    </row>
    <row r="2387" spans="1:9" x14ac:dyDescent="0.25">
      <c r="A2387" t="s">
        <v>220</v>
      </c>
      <c r="B2387" t="s">
        <v>5430</v>
      </c>
      <c r="C2387" t="s">
        <v>6563</v>
      </c>
      <c r="D2387" t="s">
        <v>8853</v>
      </c>
      <c r="F2387">
        <v>1</v>
      </c>
      <c r="G2387">
        <v>1.0922499999999999</v>
      </c>
      <c r="H2387">
        <v>1.0922499999999999</v>
      </c>
      <c r="I2387" t="s">
        <v>2354</v>
      </c>
    </row>
    <row r="2388" spans="1:9" x14ac:dyDescent="0.25">
      <c r="A2388" t="s">
        <v>220</v>
      </c>
      <c r="B2388" t="s">
        <v>5430</v>
      </c>
      <c r="C2388" t="s">
        <v>3667</v>
      </c>
      <c r="D2388" t="s">
        <v>8854</v>
      </c>
      <c r="F2388">
        <v>10</v>
      </c>
      <c r="G2388">
        <v>1.472</v>
      </c>
      <c r="H2388">
        <v>14.719999999999999</v>
      </c>
      <c r="I2388" t="s">
        <v>2354</v>
      </c>
    </row>
    <row r="2389" spans="1:9" x14ac:dyDescent="0.25">
      <c r="A2389" t="s">
        <v>220</v>
      </c>
      <c r="B2389" t="s">
        <v>5430</v>
      </c>
      <c r="C2389" t="s">
        <v>6565</v>
      </c>
      <c r="D2389" t="s">
        <v>6566</v>
      </c>
      <c r="F2389">
        <v>2</v>
      </c>
      <c r="G2389">
        <v>7.6159999999999997</v>
      </c>
      <c r="H2389">
        <v>15.231999999999999</v>
      </c>
      <c r="I2389" t="s">
        <v>2354</v>
      </c>
    </row>
    <row r="2390" spans="1:9" x14ac:dyDescent="0.25">
      <c r="A2390" t="s">
        <v>220</v>
      </c>
      <c r="B2390" t="s">
        <v>5430</v>
      </c>
      <c r="C2390" t="s">
        <v>6567</v>
      </c>
      <c r="D2390" t="s">
        <v>8855</v>
      </c>
      <c r="F2390">
        <v>8</v>
      </c>
      <c r="G2390">
        <v>1.863</v>
      </c>
      <c r="H2390">
        <v>14.904</v>
      </c>
      <c r="I2390" t="s">
        <v>2354</v>
      </c>
    </row>
    <row r="2391" spans="1:9" x14ac:dyDescent="0.25">
      <c r="A2391" t="s">
        <v>220</v>
      </c>
      <c r="B2391" t="s">
        <v>5430</v>
      </c>
      <c r="C2391" t="s">
        <v>6569</v>
      </c>
      <c r="D2391" t="s">
        <v>8856</v>
      </c>
      <c r="F2391">
        <v>9</v>
      </c>
      <c r="G2391">
        <v>3.2274000000000003</v>
      </c>
      <c r="H2391">
        <v>29.046600000000002</v>
      </c>
      <c r="I2391" t="s">
        <v>2354</v>
      </c>
    </row>
    <row r="2392" spans="1:9" x14ac:dyDescent="0.25">
      <c r="A2392" t="s">
        <v>220</v>
      </c>
      <c r="B2392" t="s">
        <v>5430</v>
      </c>
      <c r="C2392" t="s">
        <v>6571</v>
      </c>
      <c r="D2392" t="s">
        <v>6572</v>
      </c>
      <c r="F2392">
        <v>3</v>
      </c>
      <c r="G2392">
        <v>1.26</v>
      </c>
      <c r="H2392">
        <v>3.7800000000000002</v>
      </c>
      <c r="I2392" t="s">
        <v>2354</v>
      </c>
    </row>
    <row r="2393" spans="1:9" x14ac:dyDescent="0.25">
      <c r="A2393" t="s">
        <v>220</v>
      </c>
      <c r="B2393" t="s">
        <v>5430</v>
      </c>
      <c r="C2393" t="s">
        <v>6573</v>
      </c>
      <c r="D2393" t="s">
        <v>6574</v>
      </c>
      <c r="F2393">
        <v>30</v>
      </c>
      <c r="G2393">
        <v>0.38250000000000006</v>
      </c>
      <c r="H2393">
        <v>11.475000000000001</v>
      </c>
      <c r="I2393" t="s">
        <v>2354</v>
      </c>
    </row>
    <row r="2394" spans="1:9" x14ac:dyDescent="0.25">
      <c r="A2394" t="s">
        <v>220</v>
      </c>
      <c r="B2394" t="s">
        <v>5430</v>
      </c>
      <c r="C2394" t="s">
        <v>6575</v>
      </c>
      <c r="D2394" t="s">
        <v>8857</v>
      </c>
      <c r="F2394">
        <v>2</v>
      </c>
      <c r="G2394">
        <v>2.6433</v>
      </c>
      <c r="H2394">
        <v>5.2866</v>
      </c>
      <c r="I2394" t="s">
        <v>2354</v>
      </c>
    </row>
    <row r="2395" spans="1:9" x14ac:dyDescent="0.25">
      <c r="A2395" t="s">
        <v>220</v>
      </c>
      <c r="B2395" t="s">
        <v>5430</v>
      </c>
      <c r="C2395" t="s">
        <v>3683</v>
      </c>
      <c r="D2395" t="s">
        <v>3684</v>
      </c>
      <c r="F2395">
        <v>6</v>
      </c>
      <c r="G2395">
        <v>2.0278500000000004</v>
      </c>
      <c r="H2395">
        <v>12.167100000000001</v>
      </c>
      <c r="I2395" t="s">
        <v>2354</v>
      </c>
    </row>
    <row r="2396" spans="1:9" x14ac:dyDescent="0.25">
      <c r="A2396" t="s">
        <v>220</v>
      </c>
      <c r="B2396" t="s">
        <v>5430</v>
      </c>
      <c r="C2396" t="s">
        <v>3687</v>
      </c>
      <c r="D2396" t="s">
        <v>8858</v>
      </c>
      <c r="F2396">
        <v>2</v>
      </c>
      <c r="G2396">
        <v>1.852153846153846</v>
      </c>
      <c r="H2396">
        <v>3.7043076923076921</v>
      </c>
      <c r="I2396" t="s">
        <v>2354</v>
      </c>
    </row>
    <row r="2397" spans="1:9" x14ac:dyDescent="0.25">
      <c r="A2397" t="s">
        <v>220</v>
      </c>
      <c r="B2397" t="s">
        <v>5430</v>
      </c>
      <c r="C2397" t="s">
        <v>3689</v>
      </c>
      <c r="D2397" t="s">
        <v>8859</v>
      </c>
      <c r="F2397">
        <v>5</v>
      </c>
      <c r="G2397">
        <v>1.4553636363636364</v>
      </c>
      <c r="H2397">
        <v>7.2768181818181823</v>
      </c>
      <c r="I2397" t="s">
        <v>2354</v>
      </c>
    </row>
    <row r="2398" spans="1:9" x14ac:dyDescent="0.25">
      <c r="A2398" t="s">
        <v>220</v>
      </c>
      <c r="B2398" t="s">
        <v>5430</v>
      </c>
      <c r="C2398" t="s">
        <v>3691</v>
      </c>
      <c r="D2398" t="s">
        <v>3692</v>
      </c>
      <c r="F2398">
        <v>2</v>
      </c>
      <c r="G2398">
        <v>0.97240000000000004</v>
      </c>
      <c r="H2398">
        <v>1.9448000000000001</v>
      </c>
      <c r="I2398" t="s">
        <v>2354</v>
      </c>
    </row>
    <row r="2399" spans="1:9" x14ac:dyDescent="0.25">
      <c r="A2399" t="s">
        <v>220</v>
      </c>
      <c r="B2399" t="s">
        <v>5430</v>
      </c>
      <c r="C2399" t="s">
        <v>3693</v>
      </c>
      <c r="D2399" t="s">
        <v>8860</v>
      </c>
      <c r="F2399">
        <v>9</v>
      </c>
      <c r="G2399">
        <v>2.7130000000000001</v>
      </c>
      <c r="H2399">
        <v>24.417000000000002</v>
      </c>
      <c r="I2399" t="s">
        <v>2354</v>
      </c>
    </row>
    <row r="2400" spans="1:9" x14ac:dyDescent="0.25">
      <c r="A2400" t="s">
        <v>220</v>
      </c>
      <c r="B2400" t="s">
        <v>5430</v>
      </c>
      <c r="C2400" t="s">
        <v>6577</v>
      </c>
      <c r="D2400" t="s">
        <v>8861</v>
      </c>
      <c r="F2400">
        <v>1</v>
      </c>
      <c r="G2400">
        <v>1.70825</v>
      </c>
      <c r="H2400">
        <v>1.70825</v>
      </c>
      <c r="I2400" t="s">
        <v>2354</v>
      </c>
    </row>
    <row r="2401" spans="1:9" x14ac:dyDescent="0.25">
      <c r="A2401" t="s">
        <v>220</v>
      </c>
      <c r="B2401" t="s">
        <v>5430</v>
      </c>
      <c r="C2401" t="s">
        <v>6579</v>
      </c>
      <c r="D2401" t="s">
        <v>8862</v>
      </c>
      <c r="F2401">
        <v>2</v>
      </c>
      <c r="G2401">
        <v>4.0964999999999998</v>
      </c>
      <c r="H2401">
        <v>8.1929999999999996</v>
      </c>
      <c r="I2401" t="s">
        <v>2354</v>
      </c>
    </row>
    <row r="2402" spans="1:9" x14ac:dyDescent="0.25">
      <c r="A2402" t="s">
        <v>220</v>
      </c>
      <c r="B2402" t="s">
        <v>5430</v>
      </c>
      <c r="C2402" t="s">
        <v>6581</v>
      </c>
      <c r="D2402" t="s">
        <v>6582</v>
      </c>
      <c r="F2402">
        <v>8</v>
      </c>
      <c r="G2402">
        <v>15.486149999999999</v>
      </c>
      <c r="H2402">
        <v>123.88919999999999</v>
      </c>
      <c r="I2402" t="s">
        <v>2354</v>
      </c>
    </row>
    <row r="2403" spans="1:9" x14ac:dyDescent="0.25">
      <c r="A2403" t="s">
        <v>220</v>
      </c>
      <c r="B2403" t="s">
        <v>5430</v>
      </c>
      <c r="C2403" t="s">
        <v>6583</v>
      </c>
      <c r="D2403" t="s">
        <v>6584</v>
      </c>
      <c r="F2403">
        <v>10</v>
      </c>
      <c r="G2403">
        <v>3.5274999999999999</v>
      </c>
      <c r="H2403">
        <v>35.274999999999999</v>
      </c>
      <c r="I2403" t="s">
        <v>2354</v>
      </c>
    </row>
    <row r="2404" spans="1:9" x14ac:dyDescent="0.25">
      <c r="A2404" t="s">
        <v>220</v>
      </c>
      <c r="B2404" t="s">
        <v>5430</v>
      </c>
      <c r="C2404" t="s">
        <v>6585</v>
      </c>
      <c r="D2404" t="s">
        <v>6586</v>
      </c>
      <c r="F2404">
        <v>3</v>
      </c>
      <c r="G2404">
        <v>0.86699999999999999</v>
      </c>
      <c r="H2404">
        <v>2.601</v>
      </c>
      <c r="I2404" t="s">
        <v>2354</v>
      </c>
    </row>
    <row r="2405" spans="1:9" x14ac:dyDescent="0.25">
      <c r="A2405" t="s">
        <v>220</v>
      </c>
      <c r="B2405" t="s">
        <v>5430</v>
      </c>
      <c r="C2405" t="s">
        <v>6587</v>
      </c>
      <c r="D2405" t="s">
        <v>6588</v>
      </c>
      <c r="F2405">
        <v>32</v>
      </c>
      <c r="G2405">
        <v>0.51</v>
      </c>
      <c r="H2405">
        <v>16.32</v>
      </c>
      <c r="I2405" t="s">
        <v>2354</v>
      </c>
    </row>
    <row r="2406" spans="1:9" x14ac:dyDescent="0.25">
      <c r="A2406" t="s">
        <v>220</v>
      </c>
      <c r="B2406" t="s">
        <v>5430</v>
      </c>
      <c r="C2406" t="s">
        <v>6589</v>
      </c>
      <c r="D2406" t="s">
        <v>6590</v>
      </c>
      <c r="F2406">
        <v>5</v>
      </c>
      <c r="G2406">
        <v>1.75</v>
      </c>
      <c r="H2406">
        <v>8.75</v>
      </c>
      <c r="I2406" t="s">
        <v>2354</v>
      </c>
    </row>
    <row r="2407" spans="1:9" x14ac:dyDescent="0.25">
      <c r="A2407" t="s">
        <v>220</v>
      </c>
      <c r="B2407" t="s">
        <v>5430</v>
      </c>
      <c r="C2407" t="s">
        <v>3709</v>
      </c>
      <c r="D2407" t="s">
        <v>8863</v>
      </c>
      <c r="F2407">
        <v>9</v>
      </c>
      <c r="G2407">
        <v>4.6154999999999999</v>
      </c>
      <c r="H2407">
        <v>41.539499999999997</v>
      </c>
      <c r="I2407" t="s">
        <v>2354</v>
      </c>
    </row>
    <row r="2408" spans="1:9" x14ac:dyDescent="0.25">
      <c r="A2408" t="s">
        <v>220</v>
      </c>
      <c r="B2408" t="s">
        <v>5430</v>
      </c>
      <c r="C2408" t="s">
        <v>6591</v>
      </c>
      <c r="D2408" t="s">
        <v>8864</v>
      </c>
      <c r="F2408">
        <v>9</v>
      </c>
      <c r="G2408">
        <v>7.6470000000000002</v>
      </c>
      <c r="H2408">
        <v>68.823000000000008</v>
      </c>
      <c r="I2408" t="s">
        <v>2354</v>
      </c>
    </row>
    <row r="2409" spans="1:9" x14ac:dyDescent="0.25">
      <c r="A2409" t="s">
        <v>220</v>
      </c>
      <c r="B2409" t="s">
        <v>5430</v>
      </c>
      <c r="C2409" t="s">
        <v>6593</v>
      </c>
      <c r="D2409" t="s">
        <v>6594</v>
      </c>
      <c r="F2409">
        <v>1</v>
      </c>
      <c r="G2409">
        <v>7.8860000000000001</v>
      </c>
      <c r="H2409">
        <v>7.8860000000000001</v>
      </c>
      <c r="I2409" t="s">
        <v>2354</v>
      </c>
    </row>
    <row r="2410" spans="1:9" x14ac:dyDescent="0.25">
      <c r="A2410" t="s">
        <v>220</v>
      </c>
      <c r="B2410" t="s">
        <v>5430</v>
      </c>
      <c r="C2410" t="s">
        <v>6595</v>
      </c>
      <c r="D2410" t="s">
        <v>6596</v>
      </c>
      <c r="F2410">
        <v>2</v>
      </c>
      <c r="G2410">
        <v>0</v>
      </c>
      <c r="H2410">
        <v>0</v>
      </c>
      <c r="I2410" t="s">
        <v>2354</v>
      </c>
    </row>
    <row r="2411" spans="1:9" x14ac:dyDescent="0.25">
      <c r="A2411" t="s">
        <v>220</v>
      </c>
      <c r="B2411" t="s">
        <v>5430</v>
      </c>
      <c r="C2411" t="s">
        <v>6597</v>
      </c>
      <c r="D2411" t="s">
        <v>8865</v>
      </c>
      <c r="F2411">
        <v>2</v>
      </c>
      <c r="G2411">
        <v>5.4476500000000003</v>
      </c>
      <c r="H2411">
        <v>10.895300000000001</v>
      </c>
      <c r="I2411" t="s">
        <v>2354</v>
      </c>
    </row>
    <row r="2412" spans="1:9" x14ac:dyDescent="0.25">
      <c r="A2412" t="s">
        <v>220</v>
      </c>
      <c r="B2412" t="s">
        <v>5430</v>
      </c>
      <c r="C2412" t="s">
        <v>3739</v>
      </c>
      <c r="D2412" t="s">
        <v>8866</v>
      </c>
      <c r="F2412">
        <v>7</v>
      </c>
      <c r="G2412">
        <v>3.044</v>
      </c>
      <c r="H2412">
        <v>21.308</v>
      </c>
      <c r="I2412" t="s">
        <v>2354</v>
      </c>
    </row>
    <row r="2413" spans="1:9" x14ac:dyDescent="0.25">
      <c r="A2413" t="s">
        <v>220</v>
      </c>
      <c r="B2413" t="s">
        <v>5430</v>
      </c>
      <c r="C2413" t="s">
        <v>3741</v>
      </c>
      <c r="D2413" t="s">
        <v>3742</v>
      </c>
      <c r="F2413">
        <v>8</v>
      </c>
      <c r="G2413">
        <v>2.4782999999999999</v>
      </c>
      <c r="H2413">
        <v>19.8264</v>
      </c>
      <c r="I2413" t="s">
        <v>2354</v>
      </c>
    </row>
    <row r="2414" spans="1:9" x14ac:dyDescent="0.25">
      <c r="A2414" t="s">
        <v>220</v>
      </c>
      <c r="B2414" t="s">
        <v>5430</v>
      </c>
      <c r="C2414" t="s">
        <v>3745</v>
      </c>
      <c r="D2414" t="s">
        <v>8867</v>
      </c>
      <c r="F2414">
        <v>10</v>
      </c>
      <c r="G2414">
        <v>4.2410595238095237</v>
      </c>
      <c r="H2414">
        <v>42.41059523809524</v>
      </c>
      <c r="I2414" t="s">
        <v>2354</v>
      </c>
    </row>
    <row r="2415" spans="1:9" x14ac:dyDescent="0.25">
      <c r="A2415" t="s">
        <v>220</v>
      </c>
      <c r="B2415" t="s">
        <v>5430</v>
      </c>
      <c r="C2415" t="s">
        <v>6603</v>
      </c>
      <c r="D2415" t="s">
        <v>6604</v>
      </c>
      <c r="F2415">
        <v>8</v>
      </c>
      <c r="G2415">
        <v>11.88</v>
      </c>
      <c r="H2415">
        <v>95.04</v>
      </c>
      <c r="I2415" t="s">
        <v>2354</v>
      </c>
    </row>
    <row r="2416" spans="1:9" x14ac:dyDescent="0.25">
      <c r="A2416" t="s">
        <v>220</v>
      </c>
      <c r="B2416" t="s">
        <v>5430</v>
      </c>
      <c r="C2416" t="s">
        <v>6605</v>
      </c>
      <c r="D2416" t="s">
        <v>8868</v>
      </c>
      <c r="F2416">
        <v>18.13</v>
      </c>
      <c r="G2416">
        <v>40.442999999999998</v>
      </c>
      <c r="H2416">
        <v>733.23158999999987</v>
      </c>
      <c r="I2416" t="s">
        <v>2354</v>
      </c>
    </row>
    <row r="2417" spans="1:9" x14ac:dyDescent="0.25">
      <c r="A2417" t="s">
        <v>220</v>
      </c>
      <c r="B2417" t="s">
        <v>5430</v>
      </c>
      <c r="C2417" t="s">
        <v>6607</v>
      </c>
      <c r="D2417" t="s">
        <v>6608</v>
      </c>
      <c r="F2417">
        <v>3</v>
      </c>
      <c r="G2417">
        <v>2.2949999999999999</v>
      </c>
      <c r="H2417">
        <v>6.8849999999999998</v>
      </c>
      <c r="I2417" t="s">
        <v>2354</v>
      </c>
    </row>
    <row r="2418" spans="1:9" x14ac:dyDescent="0.25">
      <c r="A2418" t="s">
        <v>220</v>
      </c>
      <c r="B2418" t="s">
        <v>5430</v>
      </c>
      <c r="C2418" t="s">
        <v>6609</v>
      </c>
      <c r="D2418" t="s">
        <v>8869</v>
      </c>
      <c r="F2418">
        <v>6</v>
      </c>
      <c r="G2418">
        <v>19.467633042096907</v>
      </c>
      <c r="H2418">
        <v>116.80579825258144</v>
      </c>
      <c r="I2418" t="s">
        <v>2354</v>
      </c>
    </row>
    <row r="2419" spans="1:9" x14ac:dyDescent="0.25">
      <c r="A2419" t="s">
        <v>220</v>
      </c>
      <c r="B2419" t="s">
        <v>5430</v>
      </c>
      <c r="C2419" t="s">
        <v>6611</v>
      </c>
      <c r="D2419" t="s">
        <v>6612</v>
      </c>
      <c r="F2419">
        <v>20</v>
      </c>
      <c r="G2419">
        <v>2.7134999999999998</v>
      </c>
      <c r="H2419">
        <v>54.269999999999996</v>
      </c>
      <c r="I2419" t="s">
        <v>2354</v>
      </c>
    </row>
    <row r="2420" spans="1:9" x14ac:dyDescent="0.25">
      <c r="A2420" t="s">
        <v>220</v>
      </c>
      <c r="B2420" t="s">
        <v>5430</v>
      </c>
      <c r="C2420" t="s">
        <v>6613</v>
      </c>
      <c r="D2420" t="s">
        <v>8870</v>
      </c>
      <c r="F2420">
        <v>18</v>
      </c>
      <c r="G2420">
        <v>38.347000000000001</v>
      </c>
      <c r="H2420">
        <v>690.24599999999998</v>
      </c>
      <c r="I2420" t="s">
        <v>2354</v>
      </c>
    </row>
    <row r="2421" spans="1:9" x14ac:dyDescent="0.25">
      <c r="A2421" t="s">
        <v>220</v>
      </c>
      <c r="B2421" t="s">
        <v>5430</v>
      </c>
      <c r="C2421" t="s">
        <v>8871</v>
      </c>
      <c r="D2421" t="s">
        <v>8872</v>
      </c>
      <c r="F2421">
        <v>8</v>
      </c>
      <c r="G2421">
        <v>0</v>
      </c>
      <c r="H2421">
        <v>0</v>
      </c>
      <c r="I2421" t="s">
        <v>2354</v>
      </c>
    </row>
    <row r="2422" spans="1:9" x14ac:dyDescent="0.25">
      <c r="A2422" t="s">
        <v>220</v>
      </c>
      <c r="B2422" t="s">
        <v>5430</v>
      </c>
      <c r="C2422" t="s">
        <v>8873</v>
      </c>
      <c r="D2422" t="s">
        <v>8874</v>
      </c>
      <c r="F2422">
        <v>18</v>
      </c>
      <c r="G2422">
        <v>0</v>
      </c>
      <c r="H2422">
        <v>0</v>
      </c>
      <c r="I2422" t="s">
        <v>2354</v>
      </c>
    </row>
    <row r="2423" spans="1:9" x14ac:dyDescent="0.25">
      <c r="A2423" t="s">
        <v>220</v>
      </c>
      <c r="B2423" t="s">
        <v>5430</v>
      </c>
      <c r="C2423" t="s">
        <v>8875</v>
      </c>
      <c r="D2423" t="s">
        <v>8876</v>
      </c>
      <c r="F2423">
        <v>12</v>
      </c>
      <c r="G2423">
        <v>0</v>
      </c>
      <c r="H2423">
        <v>0</v>
      </c>
      <c r="I2423" t="s">
        <v>2354</v>
      </c>
    </row>
    <row r="2424" spans="1:9" x14ac:dyDescent="0.25">
      <c r="A2424" t="s">
        <v>220</v>
      </c>
      <c r="B2424" t="s">
        <v>5430</v>
      </c>
      <c r="C2424" t="s">
        <v>8877</v>
      </c>
      <c r="D2424" t="s">
        <v>8878</v>
      </c>
      <c r="F2424">
        <v>20</v>
      </c>
      <c r="G2424">
        <v>0</v>
      </c>
      <c r="H2424">
        <v>0</v>
      </c>
      <c r="I2424" t="s">
        <v>2354</v>
      </c>
    </row>
    <row r="2425" spans="1:9" x14ac:dyDescent="0.25">
      <c r="A2425" t="s">
        <v>220</v>
      </c>
      <c r="B2425" t="s">
        <v>5430</v>
      </c>
      <c r="C2425" t="s">
        <v>8879</v>
      </c>
      <c r="D2425" t="s">
        <v>6616</v>
      </c>
      <c r="F2425">
        <v>8</v>
      </c>
      <c r="G2425">
        <v>4.41</v>
      </c>
      <c r="H2425">
        <v>35.28</v>
      </c>
      <c r="I2425" t="s">
        <v>2354</v>
      </c>
    </row>
    <row r="2426" spans="1:9" x14ac:dyDescent="0.25">
      <c r="A2426" t="s">
        <v>220</v>
      </c>
      <c r="B2426" t="s">
        <v>5430</v>
      </c>
      <c r="C2426" t="s">
        <v>6617</v>
      </c>
      <c r="D2426" t="s">
        <v>8880</v>
      </c>
      <c r="F2426">
        <v>6</v>
      </c>
      <c r="G2426">
        <v>21.675000000000001</v>
      </c>
      <c r="H2426">
        <v>130.05000000000001</v>
      </c>
      <c r="I2426" t="s">
        <v>2354</v>
      </c>
    </row>
    <row r="2427" spans="1:9" x14ac:dyDescent="0.25">
      <c r="A2427" t="s">
        <v>220</v>
      </c>
      <c r="B2427" t="s">
        <v>5430</v>
      </c>
      <c r="C2427" t="s">
        <v>6619</v>
      </c>
      <c r="D2427" t="s">
        <v>6620</v>
      </c>
      <c r="F2427">
        <v>1</v>
      </c>
      <c r="G2427">
        <v>20.8611</v>
      </c>
      <c r="H2427">
        <v>20.8611</v>
      </c>
      <c r="I2427" t="s">
        <v>2354</v>
      </c>
    </row>
    <row r="2428" spans="1:9" x14ac:dyDescent="0.25">
      <c r="A2428" t="s">
        <v>220</v>
      </c>
      <c r="B2428" t="s">
        <v>5430</v>
      </c>
      <c r="C2428" t="s">
        <v>8881</v>
      </c>
      <c r="D2428" t="s">
        <v>8882</v>
      </c>
      <c r="F2428">
        <v>2</v>
      </c>
      <c r="G2428">
        <v>0</v>
      </c>
      <c r="H2428">
        <v>0</v>
      </c>
      <c r="I2428" t="s">
        <v>2354</v>
      </c>
    </row>
    <row r="2429" spans="1:9" x14ac:dyDescent="0.25">
      <c r="A2429" t="s">
        <v>220</v>
      </c>
      <c r="B2429" t="s">
        <v>5430</v>
      </c>
      <c r="C2429" t="s">
        <v>6621</v>
      </c>
      <c r="D2429" t="s">
        <v>6622</v>
      </c>
      <c r="F2429">
        <v>1</v>
      </c>
      <c r="G2429">
        <v>147.21100000000001</v>
      </c>
      <c r="H2429">
        <v>147.21100000000001</v>
      </c>
      <c r="I2429" t="s">
        <v>2354</v>
      </c>
    </row>
    <row r="2430" spans="1:9" x14ac:dyDescent="0.25">
      <c r="A2430" t="s">
        <v>220</v>
      </c>
      <c r="B2430" t="s">
        <v>5430</v>
      </c>
      <c r="C2430" t="s">
        <v>3783</v>
      </c>
      <c r="D2430" t="s">
        <v>3784</v>
      </c>
      <c r="F2430">
        <v>1</v>
      </c>
      <c r="G2430">
        <v>72.319342105263146</v>
      </c>
      <c r="H2430">
        <v>72.319342105263146</v>
      </c>
      <c r="I2430" t="s">
        <v>2354</v>
      </c>
    </row>
    <row r="2431" spans="1:9" x14ac:dyDescent="0.25">
      <c r="A2431" t="s">
        <v>220</v>
      </c>
      <c r="B2431" t="s">
        <v>5430</v>
      </c>
      <c r="C2431" t="s">
        <v>6623</v>
      </c>
      <c r="D2431" t="s">
        <v>6624</v>
      </c>
      <c r="F2431">
        <v>3</v>
      </c>
      <c r="G2431">
        <v>46.176200000000001</v>
      </c>
      <c r="H2431">
        <v>138.52860000000001</v>
      </c>
      <c r="I2431" t="s">
        <v>2354</v>
      </c>
    </row>
    <row r="2432" spans="1:9" x14ac:dyDescent="0.25">
      <c r="A2432" t="s">
        <v>220</v>
      </c>
      <c r="B2432" t="s">
        <v>5430</v>
      </c>
      <c r="C2432" t="s">
        <v>6625</v>
      </c>
      <c r="D2432" t="s">
        <v>6626</v>
      </c>
      <c r="F2432">
        <v>2</v>
      </c>
      <c r="G2432">
        <v>90.241</v>
      </c>
      <c r="H2432">
        <v>180.482</v>
      </c>
      <c r="I2432" t="s">
        <v>2354</v>
      </c>
    </row>
    <row r="2433" spans="1:9" x14ac:dyDescent="0.25">
      <c r="A2433" t="s">
        <v>220</v>
      </c>
      <c r="B2433" t="s">
        <v>5430</v>
      </c>
      <c r="C2433" t="s">
        <v>3785</v>
      </c>
      <c r="D2433" t="s">
        <v>3786</v>
      </c>
      <c r="F2433">
        <v>4</v>
      </c>
      <c r="G2433">
        <v>6.1020500000000002</v>
      </c>
      <c r="H2433">
        <v>24.408200000000001</v>
      </c>
      <c r="I2433" t="s">
        <v>2354</v>
      </c>
    </row>
    <row r="2434" spans="1:9" x14ac:dyDescent="0.25">
      <c r="A2434" t="s">
        <v>220</v>
      </c>
      <c r="B2434" t="s">
        <v>5430</v>
      </c>
      <c r="C2434" t="s">
        <v>6628</v>
      </c>
      <c r="D2434" t="s">
        <v>6629</v>
      </c>
      <c r="F2434">
        <v>2</v>
      </c>
      <c r="G2434">
        <v>0</v>
      </c>
      <c r="H2434">
        <v>0</v>
      </c>
      <c r="I2434" t="s">
        <v>2354</v>
      </c>
    </row>
    <row r="2435" spans="1:9" x14ac:dyDescent="0.25">
      <c r="A2435" t="s">
        <v>220</v>
      </c>
      <c r="B2435" t="s">
        <v>5430</v>
      </c>
      <c r="C2435" t="s">
        <v>6630</v>
      </c>
      <c r="D2435" t="s">
        <v>6631</v>
      </c>
      <c r="F2435">
        <v>8</v>
      </c>
      <c r="G2435">
        <v>23.603999999999999</v>
      </c>
      <c r="H2435">
        <v>188.83199999999999</v>
      </c>
      <c r="I2435" t="s">
        <v>2354</v>
      </c>
    </row>
    <row r="2436" spans="1:9" x14ac:dyDescent="0.25">
      <c r="A2436" t="s">
        <v>220</v>
      </c>
      <c r="B2436" t="s">
        <v>5430</v>
      </c>
      <c r="C2436" t="s">
        <v>6632</v>
      </c>
      <c r="D2436" t="s">
        <v>6633</v>
      </c>
      <c r="F2436">
        <v>8</v>
      </c>
      <c r="G2436">
        <v>25.83</v>
      </c>
      <c r="H2436">
        <v>206.64</v>
      </c>
      <c r="I2436" t="s">
        <v>2354</v>
      </c>
    </row>
    <row r="2437" spans="1:9" x14ac:dyDescent="0.25">
      <c r="A2437" t="s">
        <v>220</v>
      </c>
      <c r="B2437" t="s">
        <v>5430</v>
      </c>
      <c r="C2437" t="s">
        <v>3791</v>
      </c>
      <c r="D2437" t="s">
        <v>3792</v>
      </c>
      <c r="F2437">
        <v>5</v>
      </c>
      <c r="G2437">
        <v>35.191000000000003</v>
      </c>
      <c r="H2437">
        <v>175.95500000000001</v>
      </c>
      <c r="I2437" t="s">
        <v>2354</v>
      </c>
    </row>
    <row r="2438" spans="1:9" x14ac:dyDescent="0.25">
      <c r="A2438" t="s">
        <v>220</v>
      </c>
      <c r="B2438" t="s">
        <v>5430</v>
      </c>
      <c r="C2438" t="s">
        <v>6634</v>
      </c>
      <c r="D2438" t="s">
        <v>8883</v>
      </c>
      <c r="F2438">
        <v>2</v>
      </c>
      <c r="G2438">
        <v>11.6478</v>
      </c>
      <c r="H2438">
        <v>23.2956</v>
      </c>
      <c r="I2438" t="s">
        <v>2354</v>
      </c>
    </row>
    <row r="2439" spans="1:9" x14ac:dyDescent="0.25">
      <c r="A2439" t="s">
        <v>220</v>
      </c>
      <c r="B2439" t="s">
        <v>5430</v>
      </c>
      <c r="C2439" t="s">
        <v>6696</v>
      </c>
      <c r="D2439" t="s">
        <v>6697</v>
      </c>
      <c r="F2439">
        <v>110</v>
      </c>
      <c r="G2439">
        <v>0.87839999999999996</v>
      </c>
      <c r="H2439">
        <v>96.623999999999995</v>
      </c>
      <c r="I2439" t="s">
        <v>2354</v>
      </c>
    </row>
    <row r="2440" spans="1:9" x14ac:dyDescent="0.25">
      <c r="A2440" t="s">
        <v>220</v>
      </c>
      <c r="B2440" t="s">
        <v>5430</v>
      </c>
      <c r="C2440" t="s">
        <v>6698</v>
      </c>
      <c r="D2440" t="s">
        <v>6699</v>
      </c>
      <c r="F2440">
        <v>2</v>
      </c>
      <c r="G2440">
        <v>18.105</v>
      </c>
      <c r="H2440">
        <v>36.21</v>
      </c>
      <c r="I2440" t="s">
        <v>2354</v>
      </c>
    </row>
    <row r="2441" spans="1:9" x14ac:dyDescent="0.25">
      <c r="A2441" t="s">
        <v>220</v>
      </c>
      <c r="B2441" t="s">
        <v>5430</v>
      </c>
      <c r="C2441" t="s">
        <v>6700</v>
      </c>
      <c r="D2441" t="s">
        <v>6701</v>
      </c>
      <c r="F2441">
        <v>1</v>
      </c>
      <c r="G2441">
        <v>11.24</v>
      </c>
      <c r="H2441">
        <v>11.24</v>
      </c>
      <c r="I2441" t="s">
        <v>2354</v>
      </c>
    </row>
    <row r="2442" spans="1:9" x14ac:dyDescent="0.25">
      <c r="A2442" t="s">
        <v>220</v>
      </c>
      <c r="B2442" t="s">
        <v>5430</v>
      </c>
      <c r="C2442" t="s">
        <v>6704</v>
      </c>
      <c r="D2442" t="s">
        <v>8884</v>
      </c>
      <c r="F2442">
        <v>1</v>
      </c>
      <c r="G2442">
        <v>271.39999999999998</v>
      </c>
      <c r="H2442">
        <v>271.39999999999998</v>
      </c>
      <c r="I2442" t="s">
        <v>2354</v>
      </c>
    </row>
    <row r="2443" spans="1:9" x14ac:dyDescent="0.25">
      <c r="A2443" t="s">
        <v>220</v>
      </c>
      <c r="B2443" t="s">
        <v>5430</v>
      </c>
      <c r="C2443" t="s">
        <v>6706</v>
      </c>
      <c r="D2443" t="s">
        <v>6707</v>
      </c>
      <c r="F2443">
        <v>3</v>
      </c>
      <c r="G2443">
        <v>7.6049499999999997</v>
      </c>
      <c r="H2443">
        <v>22.81485</v>
      </c>
      <c r="I2443" t="s">
        <v>2354</v>
      </c>
    </row>
    <row r="2444" spans="1:9" x14ac:dyDescent="0.25">
      <c r="A2444" t="s">
        <v>220</v>
      </c>
      <c r="B2444" t="s">
        <v>5430</v>
      </c>
      <c r="C2444" t="s">
        <v>6708</v>
      </c>
      <c r="D2444" t="s">
        <v>6709</v>
      </c>
      <c r="F2444">
        <v>2</v>
      </c>
      <c r="G2444">
        <v>4.8166666666666664</v>
      </c>
      <c r="H2444">
        <v>9.6333333333333329</v>
      </c>
      <c r="I2444" t="s">
        <v>2354</v>
      </c>
    </row>
    <row r="2445" spans="1:9" x14ac:dyDescent="0.25">
      <c r="A2445" t="s">
        <v>220</v>
      </c>
      <c r="B2445" t="s">
        <v>5430</v>
      </c>
      <c r="C2445" t="s">
        <v>6710</v>
      </c>
      <c r="D2445" t="s">
        <v>6711</v>
      </c>
      <c r="F2445">
        <v>1</v>
      </c>
      <c r="G2445">
        <v>3.1652999999999998</v>
      </c>
      <c r="H2445">
        <v>3.1652999999999998</v>
      </c>
      <c r="I2445" t="s">
        <v>2354</v>
      </c>
    </row>
    <row r="2446" spans="1:9" x14ac:dyDescent="0.25">
      <c r="A2446" t="s">
        <v>220</v>
      </c>
      <c r="B2446" t="s">
        <v>5430</v>
      </c>
      <c r="C2446" t="s">
        <v>8885</v>
      </c>
      <c r="D2446" t="s">
        <v>8886</v>
      </c>
      <c r="F2446">
        <v>1</v>
      </c>
      <c r="G2446">
        <v>0</v>
      </c>
      <c r="H2446">
        <v>0</v>
      </c>
      <c r="I2446" t="s">
        <v>2354</v>
      </c>
    </row>
    <row r="2447" spans="1:9" x14ac:dyDescent="0.25">
      <c r="A2447" t="s">
        <v>220</v>
      </c>
      <c r="B2447" t="s">
        <v>5430</v>
      </c>
      <c r="C2447" t="s">
        <v>6714</v>
      </c>
      <c r="D2447" t="s">
        <v>6715</v>
      </c>
      <c r="F2447">
        <v>46</v>
      </c>
      <c r="G2447">
        <v>8.0100000000000005E-2</v>
      </c>
      <c r="H2447">
        <v>3.6846000000000001</v>
      </c>
      <c r="I2447" t="s">
        <v>2354</v>
      </c>
    </row>
    <row r="2448" spans="1:9" x14ac:dyDescent="0.25">
      <c r="A2448" t="s">
        <v>220</v>
      </c>
      <c r="B2448" t="s">
        <v>5430</v>
      </c>
      <c r="C2448" t="s">
        <v>6716</v>
      </c>
      <c r="D2448" t="s">
        <v>8887</v>
      </c>
      <c r="F2448">
        <v>2</v>
      </c>
      <c r="G2448">
        <v>5.8641999999999994</v>
      </c>
      <c r="H2448">
        <v>11.728399999999999</v>
      </c>
      <c r="I2448" t="s">
        <v>2354</v>
      </c>
    </row>
    <row r="2449" spans="1:9" x14ac:dyDescent="0.25">
      <c r="A2449" t="s">
        <v>220</v>
      </c>
      <c r="B2449" t="s">
        <v>5430</v>
      </c>
      <c r="C2449" t="s">
        <v>8888</v>
      </c>
      <c r="D2449" t="s">
        <v>8889</v>
      </c>
      <c r="F2449">
        <v>2</v>
      </c>
      <c r="G2449">
        <v>200</v>
      </c>
      <c r="H2449">
        <v>400</v>
      </c>
      <c r="I2449" t="s">
        <v>2354</v>
      </c>
    </row>
    <row r="2450" spans="1:9" x14ac:dyDescent="0.25">
      <c r="A2450" t="s">
        <v>220</v>
      </c>
      <c r="B2450" t="s">
        <v>5430</v>
      </c>
      <c r="C2450" t="s">
        <v>3939</v>
      </c>
      <c r="D2450" t="s">
        <v>3940</v>
      </c>
      <c r="F2450">
        <v>1</v>
      </c>
      <c r="G2450">
        <v>25.228000000000002</v>
      </c>
      <c r="H2450">
        <v>25.228000000000002</v>
      </c>
      <c r="I2450" t="s">
        <v>2354</v>
      </c>
    </row>
    <row r="2451" spans="1:9" x14ac:dyDescent="0.25">
      <c r="A2451" t="s">
        <v>220</v>
      </c>
      <c r="B2451" t="s">
        <v>5430</v>
      </c>
      <c r="C2451" t="s">
        <v>7077</v>
      </c>
      <c r="D2451" t="s">
        <v>7078</v>
      </c>
      <c r="F2451">
        <v>17</v>
      </c>
      <c r="G2451">
        <v>2.4300000000000002</v>
      </c>
      <c r="H2451">
        <v>41.31</v>
      </c>
      <c r="I2451" t="s">
        <v>2354</v>
      </c>
    </row>
    <row r="2452" spans="1:9" x14ac:dyDescent="0.25">
      <c r="A2452" t="s">
        <v>220</v>
      </c>
      <c r="B2452" t="s">
        <v>5430</v>
      </c>
      <c r="D2452" t="s">
        <v>8890</v>
      </c>
      <c r="F2452">
        <v>2</v>
      </c>
      <c r="G2452">
        <v>39.615000000000002</v>
      </c>
      <c r="H2452">
        <v>79.23</v>
      </c>
      <c r="I2452" t="s">
        <v>2354</v>
      </c>
    </row>
    <row r="2453" spans="1:9" x14ac:dyDescent="0.25">
      <c r="A2453" t="s">
        <v>220</v>
      </c>
      <c r="B2453" t="s">
        <v>5430</v>
      </c>
      <c r="C2453" t="s">
        <v>8891</v>
      </c>
      <c r="D2453" t="s">
        <v>8892</v>
      </c>
      <c r="F2453">
        <v>5</v>
      </c>
      <c r="G2453">
        <v>0</v>
      </c>
      <c r="H2453">
        <v>0</v>
      </c>
      <c r="I2453" t="s">
        <v>2354</v>
      </c>
    </row>
    <row r="2454" spans="1:9" x14ac:dyDescent="0.25">
      <c r="A2454" t="s">
        <v>220</v>
      </c>
      <c r="B2454" t="s">
        <v>5430</v>
      </c>
      <c r="C2454" t="s">
        <v>7348</v>
      </c>
      <c r="D2454" t="s">
        <v>7349</v>
      </c>
      <c r="F2454">
        <v>2</v>
      </c>
      <c r="G2454">
        <v>2.7861500000000001</v>
      </c>
      <c r="H2454">
        <v>5.5723000000000003</v>
      </c>
      <c r="I2454" t="s">
        <v>2354</v>
      </c>
    </row>
    <row r="2455" spans="1:9" x14ac:dyDescent="0.25">
      <c r="A2455" t="s">
        <v>220</v>
      </c>
      <c r="B2455" t="s">
        <v>5430</v>
      </c>
      <c r="C2455" t="s">
        <v>7350</v>
      </c>
      <c r="D2455" t="s">
        <v>7351</v>
      </c>
      <c r="F2455">
        <v>9</v>
      </c>
      <c r="G2455">
        <v>6.0876000000000001</v>
      </c>
      <c r="H2455">
        <v>54.788400000000003</v>
      </c>
      <c r="I2455" t="s">
        <v>2354</v>
      </c>
    </row>
    <row r="2456" spans="1:9" x14ac:dyDescent="0.25">
      <c r="A2456" t="s">
        <v>220</v>
      </c>
      <c r="B2456" t="s">
        <v>5430</v>
      </c>
      <c r="D2456" t="s">
        <v>8893</v>
      </c>
      <c r="F2456">
        <v>1</v>
      </c>
      <c r="G2456">
        <v>2461.308</v>
      </c>
      <c r="H2456">
        <v>2461.308</v>
      </c>
      <c r="I2456" t="s">
        <v>2354</v>
      </c>
    </row>
    <row r="2457" spans="1:9" x14ac:dyDescent="0.25">
      <c r="A2457" t="s">
        <v>220</v>
      </c>
      <c r="B2457" t="s">
        <v>5430</v>
      </c>
      <c r="D2457" t="s">
        <v>8894</v>
      </c>
      <c r="F2457">
        <v>1</v>
      </c>
      <c r="G2457">
        <v>1868.001</v>
      </c>
      <c r="H2457">
        <v>1868.001</v>
      </c>
      <c r="I2457" t="s">
        <v>2354</v>
      </c>
    </row>
    <row r="2458" spans="1:9" x14ac:dyDescent="0.25">
      <c r="A2458" t="s">
        <v>220</v>
      </c>
      <c r="B2458" t="s">
        <v>2351</v>
      </c>
      <c r="C2458" t="s">
        <v>2417</v>
      </c>
      <c r="D2458" t="s">
        <v>2418</v>
      </c>
      <c r="F2458">
        <v>10</v>
      </c>
      <c r="G2458">
        <v>29.63</v>
      </c>
      <c r="H2458">
        <v>296.3</v>
      </c>
      <c r="I2458" t="s">
        <v>2354</v>
      </c>
    </row>
    <row r="2459" spans="1:9" x14ac:dyDescent="0.25">
      <c r="A2459" t="s">
        <v>220</v>
      </c>
      <c r="B2459" t="s">
        <v>2351</v>
      </c>
      <c r="C2459" t="s">
        <v>2417</v>
      </c>
      <c r="D2459" t="s">
        <v>2429</v>
      </c>
      <c r="F2459">
        <v>10</v>
      </c>
      <c r="G2459">
        <v>18.16</v>
      </c>
      <c r="H2459">
        <v>181.6</v>
      </c>
      <c r="I2459" t="s">
        <v>2354</v>
      </c>
    </row>
    <row r="2460" spans="1:9" x14ac:dyDescent="0.25">
      <c r="A2460" t="s">
        <v>220</v>
      </c>
      <c r="B2460" t="s">
        <v>2351</v>
      </c>
      <c r="C2460" t="s">
        <v>2417</v>
      </c>
      <c r="D2460" t="s">
        <v>2430</v>
      </c>
      <c r="F2460">
        <v>10</v>
      </c>
      <c r="G2460">
        <v>16.22</v>
      </c>
      <c r="H2460">
        <v>162.19999999999999</v>
      </c>
      <c r="I2460" t="s">
        <v>2354</v>
      </c>
    </row>
    <row r="2461" spans="1:9" x14ac:dyDescent="0.25">
      <c r="A2461" t="s">
        <v>220</v>
      </c>
      <c r="B2461" t="s">
        <v>2351</v>
      </c>
      <c r="C2461" t="s">
        <v>2423</v>
      </c>
      <c r="D2461" t="s">
        <v>2424</v>
      </c>
      <c r="F2461">
        <v>20</v>
      </c>
      <c r="G2461">
        <v>24.63</v>
      </c>
      <c r="H2461">
        <v>492.59999999999997</v>
      </c>
      <c r="I2461" t="s">
        <v>2354</v>
      </c>
    </row>
    <row r="2462" spans="1:9" x14ac:dyDescent="0.25">
      <c r="A2462" t="s">
        <v>220</v>
      </c>
      <c r="B2462" t="s">
        <v>2351</v>
      </c>
      <c r="C2462" t="s">
        <v>5232</v>
      </c>
      <c r="D2462" t="s">
        <v>5233</v>
      </c>
      <c r="F2462">
        <v>4</v>
      </c>
      <c r="G2462">
        <v>28.95882352941177</v>
      </c>
      <c r="H2462">
        <v>115.83529411764708</v>
      </c>
      <c r="I2462" t="s">
        <v>2354</v>
      </c>
    </row>
    <row r="2463" spans="1:9" x14ac:dyDescent="0.25">
      <c r="A2463" t="s">
        <v>220</v>
      </c>
      <c r="B2463" t="s">
        <v>2351</v>
      </c>
      <c r="C2463" t="s">
        <v>2413</v>
      </c>
      <c r="D2463" t="s">
        <v>2414</v>
      </c>
      <c r="F2463">
        <v>20</v>
      </c>
      <c r="G2463">
        <v>5.85</v>
      </c>
      <c r="H2463">
        <v>117</v>
      </c>
      <c r="I2463" t="s">
        <v>2354</v>
      </c>
    </row>
    <row r="2464" spans="1:9" x14ac:dyDescent="0.25">
      <c r="A2464" t="s">
        <v>220</v>
      </c>
      <c r="B2464" t="s">
        <v>2351</v>
      </c>
      <c r="C2464" t="s">
        <v>2445</v>
      </c>
      <c r="D2464" t="s">
        <v>2446</v>
      </c>
      <c r="F2464">
        <v>4</v>
      </c>
      <c r="G2464">
        <v>687.14539500000001</v>
      </c>
      <c r="H2464">
        <v>2748.58158</v>
      </c>
      <c r="I2464" t="s">
        <v>2354</v>
      </c>
    </row>
    <row r="2465" spans="1:9" x14ac:dyDescent="0.25">
      <c r="A2465" t="s">
        <v>220</v>
      </c>
      <c r="B2465" t="s">
        <v>2351</v>
      </c>
      <c r="C2465" t="s">
        <v>2447</v>
      </c>
      <c r="D2465" t="s">
        <v>2448</v>
      </c>
      <c r="F2465">
        <v>6</v>
      </c>
      <c r="G2465">
        <v>30.778500000000001</v>
      </c>
      <c r="H2465">
        <v>184.67099999999999</v>
      </c>
      <c r="I2465" t="s">
        <v>2354</v>
      </c>
    </row>
    <row r="2466" spans="1:9" x14ac:dyDescent="0.25">
      <c r="A2466" t="s">
        <v>220</v>
      </c>
      <c r="B2466" t="s">
        <v>2351</v>
      </c>
      <c r="C2466" t="s">
        <v>2449</v>
      </c>
      <c r="D2466" t="s">
        <v>2450</v>
      </c>
      <c r="F2466">
        <v>2</v>
      </c>
      <c r="G2466">
        <v>71.400999999999996</v>
      </c>
      <c r="H2466">
        <v>142.80199999999999</v>
      </c>
      <c r="I2466" t="s">
        <v>2354</v>
      </c>
    </row>
    <row r="2467" spans="1:9" x14ac:dyDescent="0.25">
      <c r="A2467" t="s">
        <v>220</v>
      </c>
      <c r="B2467" t="s">
        <v>2351</v>
      </c>
      <c r="C2467" t="s">
        <v>2453</v>
      </c>
      <c r="D2467" t="s">
        <v>2454</v>
      </c>
      <c r="F2467">
        <v>3</v>
      </c>
      <c r="G2467">
        <v>270.31871000000001</v>
      </c>
      <c r="H2467">
        <v>810.95613000000003</v>
      </c>
      <c r="I2467" t="s">
        <v>2354</v>
      </c>
    </row>
    <row r="2468" spans="1:9" x14ac:dyDescent="0.25">
      <c r="A2468" t="s">
        <v>220</v>
      </c>
      <c r="B2468" t="s">
        <v>2351</v>
      </c>
      <c r="C2468" t="s">
        <v>2455</v>
      </c>
      <c r="D2468" t="s">
        <v>2456</v>
      </c>
      <c r="F2468">
        <v>2</v>
      </c>
      <c r="G2468">
        <v>111.956</v>
      </c>
      <c r="H2468">
        <v>223.91200000000001</v>
      </c>
      <c r="I2468" t="s">
        <v>2354</v>
      </c>
    </row>
    <row r="2469" spans="1:9" x14ac:dyDescent="0.25">
      <c r="A2469" t="s">
        <v>220</v>
      </c>
      <c r="B2469" t="s">
        <v>2351</v>
      </c>
      <c r="C2469" t="s">
        <v>2457</v>
      </c>
      <c r="D2469" t="s">
        <v>2458</v>
      </c>
      <c r="F2469">
        <v>4</v>
      </c>
      <c r="G2469">
        <v>10</v>
      </c>
      <c r="H2469">
        <v>40</v>
      </c>
      <c r="I2469" t="s">
        <v>2354</v>
      </c>
    </row>
    <row r="2470" spans="1:9" x14ac:dyDescent="0.25">
      <c r="A2470" t="s">
        <v>220</v>
      </c>
      <c r="B2470" t="s">
        <v>2351</v>
      </c>
      <c r="C2470" t="s">
        <v>2459</v>
      </c>
      <c r="D2470" t="s">
        <v>2460</v>
      </c>
      <c r="F2470">
        <v>4</v>
      </c>
      <c r="G2470">
        <v>143.422346</v>
      </c>
      <c r="H2470">
        <v>573.68938400000002</v>
      </c>
      <c r="I2470" t="s">
        <v>2354</v>
      </c>
    </row>
    <row r="2471" spans="1:9" x14ac:dyDescent="0.25">
      <c r="A2471" t="s">
        <v>220</v>
      </c>
      <c r="B2471" t="s">
        <v>2351</v>
      </c>
      <c r="C2471" t="s">
        <v>2461</v>
      </c>
      <c r="D2471" t="s">
        <v>2462</v>
      </c>
      <c r="F2471">
        <v>8</v>
      </c>
      <c r="G2471">
        <v>193.55086499999999</v>
      </c>
      <c r="H2471">
        <v>1548.4069199999999</v>
      </c>
      <c r="I2471" t="s">
        <v>2354</v>
      </c>
    </row>
    <row r="2472" spans="1:9" x14ac:dyDescent="0.25">
      <c r="A2472" t="s">
        <v>220</v>
      </c>
      <c r="B2472" t="s">
        <v>2351</v>
      </c>
      <c r="C2472" t="s">
        <v>2463</v>
      </c>
      <c r="D2472" t="s">
        <v>2464</v>
      </c>
      <c r="F2472">
        <v>5</v>
      </c>
      <c r="G2472">
        <v>1997.393</v>
      </c>
      <c r="H2472">
        <v>9986.9650000000001</v>
      </c>
      <c r="I2472" t="s">
        <v>2354</v>
      </c>
    </row>
    <row r="2473" spans="1:9" x14ac:dyDescent="0.25">
      <c r="A2473" t="s">
        <v>220</v>
      </c>
      <c r="B2473" t="s">
        <v>2351</v>
      </c>
      <c r="C2473" t="s">
        <v>2465</v>
      </c>
      <c r="D2473" t="s">
        <v>2466</v>
      </c>
      <c r="F2473">
        <v>5</v>
      </c>
      <c r="G2473">
        <v>59.334000000000003</v>
      </c>
      <c r="H2473">
        <v>296.67</v>
      </c>
      <c r="I2473" t="s">
        <v>2354</v>
      </c>
    </row>
    <row r="2474" spans="1:9" x14ac:dyDescent="0.25">
      <c r="A2474" t="s">
        <v>220</v>
      </c>
      <c r="B2474" t="s">
        <v>2351</v>
      </c>
      <c r="C2474" t="s">
        <v>2467</v>
      </c>
      <c r="D2474" t="s">
        <v>2468</v>
      </c>
      <c r="F2474">
        <v>2</v>
      </c>
      <c r="G2474">
        <v>201.67599999999999</v>
      </c>
      <c r="H2474">
        <v>403.35199999999998</v>
      </c>
      <c r="I2474" t="s">
        <v>2354</v>
      </c>
    </row>
    <row r="2475" spans="1:9" x14ac:dyDescent="0.25">
      <c r="A2475" t="s">
        <v>220</v>
      </c>
      <c r="B2475" t="s">
        <v>2351</v>
      </c>
      <c r="C2475" t="s">
        <v>2471</v>
      </c>
      <c r="D2475" t="s">
        <v>2472</v>
      </c>
      <c r="F2475">
        <v>8</v>
      </c>
      <c r="G2475">
        <v>168.00120000000001</v>
      </c>
      <c r="H2475">
        <v>1344.0096000000001</v>
      </c>
      <c r="I2475" t="s">
        <v>2354</v>
      </c>
    </row>
    <row r="2476" spans="1:9" x14ac:dyDescent="0.25">
      <c r="A2476" t="s">
        <v>220</v>
      </c>
      <c r="B2476" t="s">
        <v>2351</v>
      </c>
      <c r="C2476" t="s">
        <v>2474</v>
      </c>
      <c r="D2476" t="s">
        <v>2475</v>
      </c>
      <c r="F2476">
        <v>3</v>
      </c>
      <c r="G2476">
        <v>189.6858</v>
      </c>
      <c r="H2476">
        <v>569.05740000000003</v>
      </c>
      <c r="I2476" t="s">
        <v>2354</v>
      </c>
    </row>
    <row r="2477" spans="1:9" x14ac:dyDescent="0.25">
      <c r="A2477" t="s">
        <v>220</v>
      </c>
      <c r="B2477" t="s">
        <v>2351</v>
      </c>
      <c r="C2477" t="s">
        <v>2476</v>
      </c>
      <c r="D2477" t="s">
        <v>2477</v>
      </c>
      <c r="F2477">
        <v>6</v>
      </c>
      <c r="G2477">
        <v>258.3</v>
      </c>
      <c r="H2477">
        <v>1549.8000000000002</v>
      </c>
      <c r="I2477" t="s">
        <v>2354</v>
      </c>
    </row>
    <row r="2478" spans="1:9" x14ac:dyDescent="0.25">
      <c r="A2478" t="s">
        <v>220</v>
      </c>
      <c r="B2478" t="s">
        <v>2351</v>
      </c>
      <c r="C2478" t="s">
        <v>2478</v>
      </c>
      <c r="D2478" t="s">
        <v>2479</v>
      </c>
      <c r="F2478">
        <v>6</v>
      </c>
      <c r="G2478">
        <v>42.722999999999999</v>
      </c>
      <c r="H2478">
        <v>256.33799999999997</v>
      </c>
      <c r="I2478" t="s">
        <v>2354</v>
      </c>
    </row>
    <row r="2479" spans="1:9" x14ac:dyDescent="0.25">
      <c r="A2479" t="s">
        <v>220</v>
      </c>
      <c r="B2479" t="s">
        <v>2351</v>
      </c>
      <c r="C2479" t="s">
        <v>2480</v>
      </c>
      <c r="D2479" t="s">
        <v>2481</v>
      </c>
      <c r="F2479">
        <v>4</v>
      </c>
      <c r="G2479">
        <v>42</v>
      </c>
      <c r="H2479">
        <v>168</v>
      </c>
      <c r="I2479" t="s">
        <v>2354</v>
      </c>
    </row>
    <row r="2480" spans="1:9" x14ac:dyDescent="0.25">
      <c r="A2480" t="s">
        <v>220</v>
      </c>
      <c r="B2480" t="s">
        <v>2351</v>
      </c>
      <c r="C2480" t="s">
        <v>2482</v>
      </c>
      <c r="D2480" t="s">
        <v>2483</v>
      </c>
      <c r="F2480">
        <v>1</v>
      </c>
      <c r="G2480">
        <v>209.34899999999999</v>
      </c>
      <c r="H2480">
        <v>209.34899999999999</v>
      </c>
      <c r="I2480" t="s">
        <v>2354</v>
      </c>
    </row>
    <row r="2481" spans="1:9" x14ac:dyDescent="0.25">
      <c r="A2481" t="s">
        <v>220</v>
      </c>
      <c r="B2481" t="s">
        <v>2351</v>
      </c>
      <c r="C2481" t="s">
        <v>2484</v>
      </c>
      <c r="D2481" t="s">
        <v>2485</v>
      </c>
      <c r="F2481">
        <v>3</v>
      </c>
      <c r="G2481">
        <v>68.174999999999997</v>
      </c>
      <c r="H2481">
        <v>204.52499999999998</v>
      </c>
      <c r="I2481" t="s">
        <v>2354</v>
      </c>
    </row>
    <row r="2482" spans="1:9" x14ac:dyDescent="0.25">
      <c r="A2482" t="s">
        <v>220</v>
      </c>
      <c r="B2482" t="s">
        <v>2351</v>
      </c>
      <c r="C2482" t="s">
        <v>2486</v>
      </c>
      <c r="D2482" t="s">
        <v>2487</v>
      </c>
      <c r="F2482">
        <v>1</v>
      </c>
      <c r="G2482">
        <v>100.8</v>
      </c>
      <c r="H2482">
        <v>100.8</v>
      </c>
      <c r="I2482" t="s">
        <v>2354</v>
      </c>
    </row>
    <row r="2483" spans="1:9" x14ac:dyDescent="0.25">
      <c r="A2483" t="s">
        <v>220</v>
      </c>
      <c r="B2483" t="s">
        <v>2351</v>
      </c>
      <c r="C2483" t="s">
        <v>2488</v>
      </c>
      <c r="D2483" t="s">
        <v>2489</v>
      </c>
      <c r="F2483">
        <v>1</v>
      </c>
      <c r="G2483">
        <v>80.519000000000005</v>
      </c>
      <c r="H2483">
        <v>80.519000000000005</v>
      </c>
      <c r="I2483" t="s">
        <v>2354</v>
      </c>
    </row>
    <row r="2484" spans="1:9" x14ac:dyDescent="0.25">
      <c r="A2484" t="s">
        <v>220</v>
      </c>
      <c r="B2484" t="s">
        <v>2351</v>
      </c>
      <c r="C2484" t="s">
        <v>5366</v>
      </c>
      <c r="D2484" t="s">
        <v>5367</v>
      </c>
      <c r="F2484">
        <v>2</v>
      </c>
      <c r="G2484">
        <v>0</v>
      </c>
      <c r="H2484">
        <v>0</v>
      </c>
      <c r="I2484" t="s">
        <v>2354</v>
      </c>
    </row>
    <row r="2485" spans="1:9" x14ac:dyDescent="0.25">
      <c r="A2485" t="s">
        <v>220</v>
      </c>
      <c r="B2485" t="s">
        <v>2351</v>
      </c>
      <c r="C2485" t="s">
        <v>5368</v>
      </c>
      <c r="D2485" t="s">
        <v>5369</v>
      </c>
      <c r="F2485">
        <v>2</v>
      </c>
      <c r="G2485">
        <v>0</v>
      </c>
      <c r="H2485">
        <v>0</v>
      </c>
      <c r="I2485" t="s">
        <v>2354</v>
      </c>
    </row>
    <row r="2486" spans="1:9" x14ac:dyDescent="0.25">
      <c r="A2486" t="s">
        <v>220</v>
      </c>
      <c r="B2486" t="s">
        <v>2351</v>
      </c>
      <c r="C2486" t="s">
        <v>2490</v>
      </c>
      <c r="D2486" t="s">
        <v>2491</v>
      </c>
      <c r="F2486">
        <v>42</v>
      </c>
      <c r="G2486">
        <v>46.293731220461453</v>
      </c>
      <c r="H2486">
        <v>1944.336711259381</v>
      </c>
      <c r="I2486" t="s">
        <v>2354</v>
      </c>
    </row>
    <row r="2487" spans="1:9" x14ac:dyDescent="0.25">
      <c r="A2487" t="s">
        <v>220</v>
      </c>
      <c r="B2487" t="s">
        <v>2351</v>
      </c>
      <c r="C2487" t="s">
        <v>2492</v>
      </c>
      <c r="D2487" t="s">
        <v>2493</v>
      </c>
      <c r="F2487">
        <v>1</v>
      </c>
      <c r="G2487">
        <v>1016.727809</v>
      </c>
      <c r="H2487">
        <v>1016.727809</v>
      </c>
      <c r="I2487" t="s">
        <v>2354</v>
      </c>
    </row>
    <row r="2488" spans="1:9" x14ac:dyDescent="0.25">
      <c r="A2488" t="s">
        <v>220</v>
      </c>
      <c r="B2488" t="s">
        <v>2351</v>
      </c>
      <c r="C2488" t="s">
        <v>2494</v>
      </c>
      <c r="D2488" t="s">
        <v>2495</v>
      </c>
      <c r="F2488">
        <v>6</v>
      </c>
      <c r="G2488">
        <v>389.41789859126379</v>
      </c>
      <c r="H2488">
        <v>2336.5073915475828</v>
      </c>
      <c r="I2488" t="s">
        <v>2354</v>
      </c>
    </row>
    <row r="2489" spans="1:9" x14ac:dyDescent="0.25">
      <c r="A2489" t="s">
        <v>220</v>
      </c>
      <c r="B2489" t="s">
        <v>2351</v>
      </c>
      <c r="C2489" t="s">
        <v>2502</v>
      </c>
      <c r="D2489" t="s">
        <v>2503</v>
      </c>
      <c r="F2489">
        <v>3</v>
      </c>
      <c r="G2489">
        <v>95.95</v>
      </c>
      <c r="H2489">
        <v>287.85000000000002</v>
      </c>
      <c r="I2489" t="s">
        <v>2354</v>
      </c>
    </row>
    <row r="2490" spans="1:9" x14ac:dyDescent="0.25">
      <c r="A2490" t="s">
        <v>220</v>
      </c>
      <c r="B2490" t="s">
        <v>2351</v>
      </c>
      <c r="C2490" t="s">
        <v>2504</v>
      </c>
      <c r="D2490" t="s">
        <v>2505</v>
      </c>
      <c r="F2490">
        <v>1</v>
      </c>
      <c r="G2490">
        <v>90.9</v>
      </c>
      <c r="H2490">
        <v>90.9</v>
      </c>
      <c r="I2490" t="s">
        <v>2354</v>
      </c>
    </row>
    <row r="2491" spans="1:9" x14ac:dyDescent="0.25">
      <c r="A2491" t="s">
        <v>220</v>
      </c>
      <c r="B2491" t="s">
        <v>2351</v>
      </c>
      <c r="C2491" t="s">
        <v>2506</v>
      </c>
      <c r="D2491" t="s">
        <v>2507</v>
      </c>
      <c r="F2491">
        <v>142</v>
      </c>
      <c r="G2491">
        <v>27.400289999999998</v>
      </c>
      <c r="H2491">
        <v>3890.8411799999999</v>
      </c>
      <c r="I2491" t="s">
        <v>2354</v>
      </c>
    </row>
    <row r="2492" spans="1:9" x14ac:dyDescent="0.25">
      <c r="A2492" t="s">
        <v>220</v>
      </c>
      <c r="B2492" t="s">
        <v>2351</v>
      </c>
      <c r="C2492" t="s">
        <v>2508</v>
      </c>
      <c r="D2492" t="s">
        <v>2509</v>
      </c>
      <c r="F2492">
        <v>3</v>
      </c>
      <c r="G2492">
        <v>383.8</v>
      </c>
      <c r="H2492">
        <v>1151.4000000000001</v>
      </c>
      <c r="I2492" t="s">
        <v>2354</v>
      </c>
    </row>
    <row r="2493" spans="1:9" x14ac:dyDescent="0.25">
      <c r="A2493" t="s">
        <v>220</v>
      </c>
      <c r="B2493" t="s">
        <v>2351</v>
      </c>
      <c r="C2493" t="s">
        <v>2510</v>
      </c>
      <c r="D2493" t="s">
        <v>2511</v>
      </c>
      <c r="F2493">
        <v>263</v>
      </c>
      <c r="G2493">
        <v>27.400289999999998</v>
      </c>
      <c r="H2493">
        <v>7206.2762699999994</v>
      </c>
      <c r="I2493" t="s">
        <v>2354</v>
      </c>
    </row>
    <row r="2494" spans="1:9" x14ac:dyDescent="0.25">
      <c r="A2494" t="s">
        <v>220</v>
      </c>
      <c r="B2494" t="s">
        <v>2351</v>
      </c>
      <c r="C2494" t="s">
        <v>2512</v>
      </c>
      <c r="D2494" t="s">
        <v>2513</v>
      </c>
      <c r="F2494">
        <v>2</v>
      </c>
      <c r="G2494">
        <v>50</v>
      </c>
      <c r="H2494">
        <v>100</v>
      </c>
      <c r="I2494" t="s">
        <v>2354</v>
      </c>
    </row>
    <row r="2495" spans="1:9" x14ac:dyDescent="0.25">
      <c r="A2495" t="s">
        <v>220</v>
      </c>
      <c r="B2495" t="s">
        <v>2351</v>
      </c>
      <c r="C2495" t="s">
        <v>2514</v>
      </c>
      <c r="D2495" t="s">
        <v>2515</v>
      </c>
      <c r="F2495">
        <v>1</v>
      </c>
      <c r="G2495">
        <v>1203.9933554960826</v>
      </c>
      <c r="H2495">
        <v>1203.9933554960826</v>
      </c>
      <c r="I2495" t="s">
        <v>2354</v>
      </c>
    </row>
    <row r="2496" spans="1:9" x14ac:dyDescent="0.25">
      <c r="A2496" t="s">
        <v>220</v>
      </c>
      <c r="B2496" t="s">
        <v>2351</v>
      </c>
      <c r="C2496" t="s">
        <v>2518</v>
      </c>
      <c r="D2496" t="s">
        <v>2519</v>
      </c>
      <c r="F2496">
        <v>1</v>
      </c>
      <c r="G2496">
        <v>4.59</v>
      </c>
      <c r="H2496">
        <v>4.59</v>
      </c>
      <c r="I2496" t="s">
        <v>2354</v>
      </c>
    </row>
    <row r="2497" spans="1:9" x14ac:dyDescent="0.25">
      <c r="A2497" t="s">
        <v>220</v>
      </c>
      <c r="B2497" t="s">
        <v>2351</v>
      </c>
      <c r="C2497" t="s">
        <v>2520</v>
      </c>
      <c r="D2497" t="s">
        <v>2521</v>
      </c>
      <c r="F2497">
        <v>3</v>
      </c>
      <c r="G2497">
        <v>20.2761</v>
      </c>
      <c r="H2497">
        <v>60.828299999999999</v>
      </c>
      <c r="I2497" t="s">
        <v>2354</v>
      </c>
    </row>
    <row r="2498" spans="1:9" x14ac:dyDescent="0.25">
      <c r="A2498" t="s">
        <v>220</v>
      </c>
      <c r="B2498" t="s">
        <v>2351</v>
      </c>
      <c r="C2498" t="s">
        <v>2522</v>
      </c>
      <c r="D2498" t="s">
        <v>2523</v>
      </c>
      <c r="F2498">
        <v>7</v>
      </c>
      <c r="G2498">
        <v>40.910499999999999</v>
      </c>
      <c r="H2498">
        <v>286.37349999999998</v>
      </c>
      <c r="I2498" t="s">
        <v>2354</v>
      </c>
    </row>
    <row r="2499" spans="1:9" x14ac:dyDescent="0.25">
      <c r="A2499" t="s">
        <v>220</v>
      </c>
      <c r="B2499" t="s">
        <v>2351</v>
      </c>
      <c r="C2499" t="s">
        <v>2524</v>
      </c>
      <c r="D2499" t="s">
        <v>2525</v>
      </c>
      <c r="F2499">
        <v>6</v>
      </c>
      <c r="G2499">
        <v>245.34055181576011</v>
      </c>
      <c r="H2499">
        <v>1472.0433108945606</v>
      </c>
      <c r="I2499" t="s">
        <v>2354</v>
      </c>
    </row>
    <row r="2500" spans="1:9" x14ac:dyDescent="0.25">
      <c r="A2500" t="s">
        <v>220</v>
      </c>
      <c r="B2500" t="s">
        <v>2351</v>
      </c>
      <c r="C2500" t="s">
        <v>2526</v>
      </c>
      <c r="D2500" t="s">
        <v>2527</v>
      </c>
      <c r="F2500">
        <v>6</v>
      </c>
      <c r="G2500">
        <v>330.52017303815018</v>
      </c>
      <c r="H2500">
        <v>1983.1210382289009</v>
      </c>
      <c r="I2500" t="s">
        <v>2354</v>
      </c>
    </row>
    <row r="2501" spans="1:9" x14ac:dyDescent="0.25">
      <c r="A2501" t="s">
        <v>220</v>
      </c>
      <c r="B2501" t="s">
        <v>2351</v>
      </c>
      <c r="C2501" t="s">
        <v>2528</v>
      </c>
      <c r="D2501" t="s">
        <v>2529</v>
      </c>
      <c r="F2501">
        <v>8</v>
      </c>
      <c r="G2501">
        <v>17.052</v>
      </c>
      <c r="H2501">
        <v>136.416</v>
      </c>
      <c r="I2501" t="s">
        <v>2354</v>
      </c>
    </row>
    <row r="2502" spans="1:9" x14ac:dyDescent="0.25">
      <c r="A2502" t="s">
        <v>220</v>
      </c>
      <c r="B2502" t="s">
        <v>2351</v>
      </c>
      <c r="C2502" t="s">
        <v>2534</v>
      </c>
      <c r="D2502" t="s">
        <v>2535</v>
      </c>
      <c r="F2502">
        <v>1</v>
      </c>
      <c r="G2502">
        <v>44.625</v>
      </c>
      <c r="H2502">
        <v>44.625</v>
      </c>
      <c r="I2502" t="s">
        <v>2354</v>
      </c>
    </row>
    <row r="2503" spans="1:9" x14ac:dyDescent="0.25">
      <c r="A2503" t="s">
        <v>220</v>
      </c>
      <c r="B2503" t="s">
        <v>2351</v>
      </c>
      <c r="C2503" t="s">
        <v>2536</v>
      </c>
      <c r="D2503" t="s">
        <v>2537</v>
      </c>
      <c r="F2503">
        <v>8</v>
      </c>
      <c r="G2503">
        <v>35</v>
      </c>
      <c r="H2503">
        <v>280</v>
      </c>
      <c r="I2503" t="s">
        <v>2354</v>
      </c>
    </row>
    <row r="2504" spans="1:9" x14ac:dyDescent="0.25">
      <c r="A2504" t="s">
        <v>220</v>
      </c>
      <c r="B2504" t="s">
        <v>2351</v>
      </c>
      <c r="C2504" t="s">
        <v>2538</v>
      </c>
      <c r="D2504" t="s">
        <v>2539</v>
      </c>
      <c r="F2504">
        <v>1</v>
      </c>
      <c r="G2504">
        <v>1025.271</v>
      </c>
      <c r="H2504">
        <v>1025.271</v>
      </c>
      <c r="I2504" t="s">
        <v>2354</v>
      </c>
    </row>
    <row r="2505" spans="1:9" x14ac:dyDescent="0.25">
      <c r="A2505" t="s">
        <v>220</v>
      </c>
      <c r="B2505" t="s">
        <v>2351</v>
      </c>
      <c r="C2505" t="s">
        <v>2540</v>
      </c>
      <c r="D2505" t="s">
        <v>2541</v>
      </c>
      <c r="F2505">
        <v>2</v>
      </c>
      <c r="G2505">
        <v>41.491050000000001</v>
      </c>
      <c r="H2505">
        <v>82.982100000000003</v>
      </c>
      <c r="I2505" t="s">
        <v>2354</v>
      </c>
    </row>
    <row r="2506" spans="1:9" x14ac:dyDescent="0.25">
      <c r="A2506" t="s">
        <v>220</v>
      </c>
      <c r="B2506" t="s">
        <v>2351</v>
      </c>
      <c r="C2506" t="s">
        <v>2542</v>
      </c>
      <c r="D2506" t="s">
        <v>2543</v>
      </c>
      <c r="F2506">
        <v>6</v>
      </c>
      <c r="G2506">
        <v>199.49700000000001</v>
      </c>
      <c r="H2506">
        <v>1196.982</v>
      </c>
      <c r="I2506" t="s">
        <v>2354</v>
      </c>
    </row>
    <row r="2507" spans="1:9" x14ac:dyDescent="0.25">
      <c r="A2507" t="s">
        <v>220</v>
      </c>
      <c r="B2507" t="s">
        <v>2351</v>
      </c>
      <c r="C2507" t="s">
        <v>2544</v>
      </c>
      <c r="D2507" t="s">
        <v>2545</v>
      </c>
      <c r="F2507">
        <v>4</v>
      </c>
      <c r="G2507">
        <v>554.62175999999999</v>
      </c>
      <c r="H2507">
        <v>2218.48704</v>
      </c>
      <c r="I2507" t="s">
        <v>2354</v>
      </c>
    </row>
    <row r="2508" spans="1:9" x14ac:dyDescent="0.25">
      <c r="A2508" t="s">
        <v>220</v>
      </c>
      <c r="B2508" t="s">
        <v>2351</v>
      </c>
      <c r="C2508" t="s">
        <v>2546</v>
      </c>
      <c r="D2508" t="s">
        <v>2547</v>
      </c>
      <c r="F2508">
        <v>21</v>
      </c>
      <c r="G2508">
        <v>12.441599999999999</v>
      </c>
      <c r="H2508">
        <v>261.27359999999999</v>
      </c>
      <c r="I2508" t="s">
        <v>2354</v>
      </c>
    </row>
    <row r="2509" spans="1:9" x14ac:dyDescent="0.25">
      <c r="A2509" t="s">
        <v>220</v>
      </c>
      <c r="B2509" t="s">
        <v>2351</v>
      </c>
      <c r="C2509" t="s">
        <v>2548</v>
      </c>
      <c r="D2509" t="s">
        <v>2549</v>
      </c>
      <c r="F2509">
        <v>51</v>
      </c>
      <c r="G2509">
        <v>70.7</v>
      </c>
      <c r="H2509">
        <v>3605.7000000000003</v>
      </c>
      <c r="I2509" t="s">
        <v>2354</v>
      </c>
    </row>
    <row r="2510" spans="1:9" x14ac:dyDescent="0.25">
      <c r="A2510" t="s">
        <v>220</v>
      </c>
      <c r="B2510" t="s">
        <v>2351</v>
      </c>
      <c r="C2510" t="s">
        <v>2550</v>
      </c>
      <c r="D2510" t="s">
        <v>2551</v>
      </c>
      <c r="F2510">
        <v>1</v>
      </c>
      <c r="G2510">
        <v>80.75</v>
      </c>
      <c r="H2510">
        <v>80.75</v>
      </c>
      <c r="I2510" t="s">
        <v>2354</v>
      </c>
    </row>
    <row r="2511" spans="1:9" x14ac:dyDescent="0.25">
      <c r="A2511" t="s">
        <v>220</v>
      </c>
      <c r="B2511" t="s">
        <v>2351</v>
      </c>
      <c r="C2511" t="s">
        <v>2552</v>
      </c>
      <c r="D2511" t="s">
        <v>2553</v>
      </c>
      <c r="F2511">
        <v>1</v>
      </c>
      <c r="G2511">
        <v>80.75</v>
      </c>
      <c r="H2511">
        <v>80.75</v>
      </c>
      <c r="I2511" t="s">
        <v>2354</v>
      </c>
    </row>
    <row r="2512" spans="1:9" x14ac:dyDescent="0.25">
      <c r="A2512" t="s">
        <v>220</v>
      </c>
      <c r="B2512" t="s">
        <v>2351</v>
      </c>
      <c r="C2512" t="s">
        <v>2554</v>
      </c>
      <c r="D2512" t="s">
        <v>2555</v>
      </c>
      <c r="F2512">
        <v>2</v>
      </c>
      <c r="G2512">
        <v>52</v>
      </c>
      <c r="H2512">
        <v>104</v>
      </c>
      <c r="I2512" t="s">
        <v>2354</v>
      </c>
    </row>
    <row r="2513" spans="1:9" x14ac:dyDescent="0.25">
      <c r="A2513" t="s">
        <v>220</v>
      </c>
      <c r="B2513" t="s">
        <v>2351</v>
      </c>
      <c r="C2513" t="s">
        <v>2556</v>
      </c>
      <c r="D2513" t="s">
        <v>2557</v>
      </c>
      <c r="F2513">
        <v>6</v>
      </c>
      <c r="G2513">
        <v>60</v>
      </c>
      <c r="H2513">
        <v>360</v>
      </c>
      <c r="I2513" t="s">
        <v>2354</v>
      </c>
    </row>
    <row r="2514" spans="1:9" x14ac:dyDescent="0.25">
      <c r="A2514" t="s">
        <v>220</v>
      </c>
      <c r="B2514" t="s">
        <v>2351</v>
      </c>
      <c r="C2514" t="s">
        <v>2558</v>
      </c>
      <c r="D2514" t="s">
        <v>2559</v>
      </c>
      <c r="F2514">
        <v>650</v>
      </c>
      <c r="G2514">
        <v>14.6965</v>
      </c>
      <c r="H2514">
        <v>9552.7250000000004</v>
      </c>
      <c r="I2514" t="s">
        <v>2354</v>
      </c>
    </row>
    <row r="2515" spans="1:9" x14ac:dyDescent="0.25">
      <c r="A2515" t="s">
        <v>220</v>
      </c>
      <c r="B2515" t="s">
        <v>2351</v>
      </c>
      <c r="C2515" t="s">
        <v>2560</v>
      </c>
      <c r="D2515" t="s">
        <v>2561</v>
      </c>
      <c r="F2515">
        <v>80</v>
      </c>
      <c r="G2515">
        <v>24.99952</v>
      </c>
      <c r="H2515">
        <v>1999.9616000000001</v>
      </c>
      <c r="I2515" t="s">
        <v>2354</v>
      </c>
    </row>
    <row r="2516" spans="1:9" x14ac:dyDescent="0.25">
      <c r="A2516" t="s">
        <v>220</v>
      </c>
      <c r="B2516" t="s">
        <v>2351</v>
      </c>
      <c r="C2516" t="s">
        <v>2562</v>
      </c>
      <c r="D2516" t="s">
        <v>2563</v>
      </c>
      <c r="F2516">
        <v>42</v>
      </c>
      <c r="G2516">
        <v>2.6299000000000001</v>
      </c>
      <c r="H2516">
        <v>110.45580000000001</v>
      </c>
      <c r="I2516" t="s">
        <v>2354</v>
      </c>
    </row>
    <row r="2517" spans="1:9" x14ac:dyDescent="0.25">
      <c r="A2517" t="s">
        <v>220</v>
      </c>
      <c r="B2517" t="s">
        <v>2351</v>
      </c>
      <c r="C2517" t="s">
        <v>2564</v>
      </c>
      <c r="D2517" t="s">
        <v>2565</v>
      </c>
      <c r="F2517">
        <v>1</v>
      </c>
      <c r="G2517">
        <v>233.07</v>
      </c>
      <c r="H2517">
        <v>233.07</v>
      </c>
      <c r="I2517" t="s">
        <v>2354</v>
      </c>
    </row>
    <row r="2518" spans="1:9" x14ac:dyDescent="0.25">
      <c r="A2518" t="s">
        <v>220</v>
      </c>
      <c r="B2518" t="s">
        <v>2351</v>
      </c>
      <c r="C2518" t="s">
        <v>2566</v>
      </c>
      <c r="D2518" t="s">
        <v>2567</v>
      </c>
      <c r="F2518">
        <v>1</v>
      </c>
      <c r="G2518">
        <v>110.17700000000001</v>
      </c>
      <c r="H2518">
        <v>110.17700000000001</v>
      </c>
      <c r="I2518" t="s">
        <v>2354</v>
      </c>
    </row>
    <row r="2519" spans="1:9" x14ac:dyDescent="0.25">
      <c r="A2519" t="s">
        <v>220</v>
      </c>
      <c r="B2519" t="s">
        <v>2351</v>
      </c>
      <c r="C2519" t="s">
        <v>2568</v>
      </c>
      <c r="D2519" t="s">
        <v>2569</v>
      </c>
      <c r="F2519">
        <v>1</v>
      </c>
      <c r="G2519">
        <v>0</v>
      </c>
      <c r="H2519">
        <v>0</v>
      </c>
      <c r="I2519" t="s">
        <v>2354</v>
      </c>
    </row>
    <row r="2520" spans="1:9" x14ac:dyDescent="0.25">
      <c r="A2520" t="s">
        <v>220</v>
      </c>
      <c r="B2520" t="s">
        <v>2351</v>
      </c>
      <c r="C2520" t="s">
        <v>2570</v>
      </c>
      <c r="D2520" t="s">
        <v>2571</v>
      </c>
      <c r="F2520">
        <v>1</v>
      </c>
      <c r="G2520">
        <v>104.61317</v>
      </c>
      <c r="H2520">
        <v>104.61317</v>
      </c>
      <c r="I2520" t="s">
        <v>2354</v>
      </c>
    </row>
    <row r="2521" spans="1:9" x14ac:dyDescent="0.25">
      <c r="A2521" t="s">
        <v>220</v>
      </c>
      <c r="B2521" t="s">
        <v>2351</v>
      </c>
      <c r="C2521" t="s">
        <v>2572</v>
      </c>
      <c r="D2521" t="s">
        <v>2573</v>
      </c>
      <c r="F2521">
        <v>1</v>
      </c>
      <c r="G2521">
        <v>125.27179599999999</v>
      </c>
      <c r="H2521">
        <v>125.27179599999999</v>
      </c>
      <c r="I2521" t="s">
        <v>2354</v>
      </c>
    </row>
    <row r="2522" spans="1:9" x14ac:dyDescent="0.25">
      <c r="A2522" t="s">
        <v>220</v>
      </c>
      <c r="B2522" t="s">
        <v>2351</v>
      </c>
      <c r="C2522" t="s">
        <v>2574</v>
      </c>
      <c r="D2522" t="s">
        <v>2575</v>
      </c>
      <c r="F2522">
        <v>5</v>
      </c>
      <c r="G2522">
        <v>323.07979</v>
      </c>
      <c r="H2522">
        <v>1615.39895</v>
      </c>
      <c r="I2522" t="s">
        <v>2354</v>
      </c>
    </row>
    <row r="2523" spans="1:9" x14ac:dyDescent="0.25">
      <c r="A2523" t="s">
        <v>220</v>
      </c>
      <c r="B2523" t="s">
        <v>2351</v>
      </c>
      <c r="C2523" t="s">
        <v>2576</v>
      </c>
      <c r="D2523" t="s">
        <v>2577</v>
      </c>
      <c r="F2523">
        <v>10</v>
      </c>
      <c r="G2523">
        <v>489.173</v>
      </c>
      <c r="H2523">
        <v>4891.7299999999996</v>
      </c>
      <c r="I2523" t="s">
        <v>2354</v>
      </c>
    </row>
    <row r="2524" spans="1:9" x14ac:dyDescent="0.25">
      <c r="A2524" t="s">
        <v>220</v>
      </c>
      <c r="B2524" t="s">
        <v>2351</v>
      </c>
      <c r="C2524" t="s">
        <v>2578</v>
      </c>
      <c r="D2524" t="s">
        <v>2579</v>
      </c>
      <c r="F2524">
        <v>1</v>
      </c>
      <c r="G2524">
        <v>6687.1639999999998</v>
      </c>
      <c r="H2524">
        <v>6687.1639999999998</v>
      </c>
      <c r="I2524" t="s">
        <v>2354</v>
      </c>
    </row>
    <row r="2525" spans="1:9" x14ac:dyDescent="0.25">
      <c r="A2525" t="s">
        <v>220</v>
      </c>
      <c r="B2525" t="s">
        <v>2351</v>
      </c>
      <c r="C2525" t="s">
        <v>2580</v>
      </c>
      <c r="D2525" t="s">
        <v>2581</v>
      </c>
      <c r="F2525">
        <v>1</v>
      </c>
      <c r="G2525">
        <v>936.24</v>
      </c>
      <c r="H2525">
        <v>936.24</v>
      </c>
      <c r="I2525" t="s">
        <v>2354</v>
      </c>
    </row>
    <row r="2526" spans="1:9" x14ac:dyDescent="0.25">
      <c r="A2526" t="s">
        <v>220</v>
      </c>
      <c r="B2526" t="s">
        <v>2351</v>
      </c>
      <c r="C2526" t="s">
        <v>2582</v>
      </c>
      <c r="D2526" t="s">
        <v>2583</v>
      </c>
      <c r="F2526">
        <v>6</v>
      </c>
      <c r="G2526">
        <v>282.38877000000002</v>
      </c>
      <c r="H2526">
        <v>1694.3326200000001</v>
      </c>
      <c r="I2526" t="s">
        <v>2354</v>
      </c>
    </row>
    <row r="2527" spans="1:9" x14ac:dyDescent="0.25">
      <c r="A2527" t="s">
        <v>220</v>
      </c>
      <c r="B2527" t="s">
        <v>2351</v>
      </c>
      <c r="C2527" t="s">
        <v>2584</v>
      </c>
      <c r="D2527" t="s">
        <v>2585</v>
      </c>
      <c r="F2527">
        <v>1</v>
      </c>
      <c r="G2527">
        <v>4433.3729999999996</v>
      </c>
      <c r="H2527">
        <v>4433.3729999999996</v>
      </c>
      <c r="I2527" t="s">
        <v>2354</v>
      </c>
    </row>
    <row r="2528" spans="1:9" x14ac:dyDescent="0.25">
      <c r="A2528" t="s">
        <v>220</v>
      </c>
      <c r="B2528" t="s">
        <v>2351</v>
      </c>
      <c r="C2528" t="s">
        <v>2586</v>
      </c>
      <c r="D2528" t="s">
        <v>2587</v>
      </c>
      <c r="F2528">
        <v>3</v>
      </c>
      <c r="G2528">
        <v>277.1277</v>
      </c>
      <c r="H2528">
        <v>831.38310000000001</v>
      </c>
      <c r="I2528" t="s">
        <v>2354</v>
      </c>
    </row>
    <row r="2529" spans="1:9" x14ac:dyDescent="0.25">
      <c r="A2529" t="s">
        <v>220</v>
      </c>
      <c r="B2529" t="s">
        <v>2351</v>
      </c>
      <c r="C2529" t="s">
        <v>2588</v>
      </c>
      <c r="D2529" t="s">
        <v>2589</v>
      </c>
      <c r="F2529">
        <v>3</v>
      </c>
      <c r="G2529">
        <v>277.1277</v>
      </c>
      <c r="H2529">
        <v>831.38310000000001</v>
      </c>
      <c r="I2529" t="s">
        <v>2354</v>
      </c>
    </row>
    <row r="2530" spans="1:9" x14ac:dyDescent="0.25">
      <c r="A2530" t="s">
        <v>220</v>
      </c>
      <c r="B2530" t="s">
        <v>2351</v>
      </c>
      <c r="C2530" t="s">
        <v>2590</v>
      </c>
      <c r="D2530" t="s">
        <v>2591</v>
      </c>
      <c r="F2530">
        <v>6</v>
      </c>
      <c r="G2530">
        <v>283.80860000000001</v>
      </c>
      <c r="H2530">
        <v>1702.8516</v>
      </c>
      <c r="I2530" t="s">
        <v>2354</v>
      </c>
    </row>
    <row r="2531" spans="1:9" x14ac:dyDescent="0.25">
      <c r="A2531" t="s">
        <v>220</v>
      </c>
      <c r="B2531" t="s">
        <v>2351</v>
      </c>
      <c r="C2531" t="s">
        <v>2592</v>
      </c>
      <c r="D2531" t="s">
        <v>2593</v>
      </c>
      <c r="F2531">
        <v>6</v>
      </c>
      <c r="G2531">
        <v>589.06785000000002</v>
      </c>
      <c r="H2531">
        <v>3534.4071000000004</v>
      </c>
      <c r="I2531" t="s">
        <v>2354</v>
      </c>
    </row>
    <row r="2532" spans="1:9" x14ac:dyDescent="0.25">
      <c r="A2532" t="s">
        <v>220</v>
      </c>
      <c r="B2532" t="s">
        <v>2351</v>
      </c>
      <c r="C2532" t="s">
        <v>2596</v>
      </c>
      <c r="D2532" t="s">
        <v>2597</v>
      </c>
      <c r="F2532">
        <v>4</v>
      </c>
      <c r="G2532">
        <v>29.407765445340271</v>
      </c>
      <c r="H2532">
        <v>117.63106178136108</v>
      </c>
      <c r="I2532" t="s">
        <v>2354</v>
      </c>
    </row>
    <row r="2533" spans="1:9" x14ac:dyDescent="0.25">
      <c r="A2533" t="s">
        <v>220</v>
      </c>
      <c r="B2533" t="s">
        <v>2351</v>
      </c>
      <c r="C2533" t="s">
        <v>2598</v>
      </c>
      <c r="D2533" t="s">
        <v>2599</v>
      </c>
      <c r="F2533">
        <v>4</v>
      </c>
      <c r="G2533">
        <v>30.045605106825956</v>
      </c>
      <c r="H2533">
        <v>120.18242042730382</v>
      </c>
      <c r="I2533" t="s">
        <v>2354</v>
      </c>
    </row>
    <row r="2534" spans="1:9" x14ac:dyDescent="0.25">
      <c r="A2534" t="s">
        <v>220</v>
      </c>
      <c r="B2534" t="s">
        <v>2351</v>
      </c>
      <c r="C2534" t="s">
        <v>2600</v>
      </c>
      <c r="D2534" t="s">
        <v>2601</v>
      </c>
      <c r="F2534">
        <v>2</v>
      </c>
      <c r="G2534">
        <v>90.438949896971096</v>
      </c>
      <c r="H2534">
        <v>180.87789979394219</v>
      </c>
      <c r="I2534" t="s">
        <v>2354</v>
      </c>
    </row>
    <row r="2535" spans="1:9" x14ac:dyDescent="0.25">
      <c r="A2535" t="s">
        <v>220</v>
      </c>
      <c r="B2535" t="s">
        <v>2351</v>
      </c>
      <c r="C2535" t="s">
        <v>2602</v>
      </c>
      <c r="D2535" t="s">
        <v>2603</v>
      </c>
      <c r="F2535">
        <v>2</v>
      </c>
      <c r="G2535">
        <v>94.803116001873192</v>
      </c>
      <c r="H2535">
        <v>189.60623200374638</v>
      </c>
      <c r="I2535" t="s">
        <v>2354</v>
      </c>
    </row>
    <row r="2536" spans="1:9" x14ac:dyDescent="0.25">
      <c r="A2536" t="s">
        <v>220</v>
      </c>
      <c r="B2536" t="s">
        <v>2351</v>
      </c>
      <c r="C2536" t="s">
        <v>2604</v>
      </c>
      <c r="D2536" t="s">
        <v>2605</v>
      </c>
      <c r="F2536">
        <v>2</v>
      </c>
      <c r="G2536">
        <v>246.74323746946459</v>
      </c>
      <c r="H2536">
        <v>493.48647493892918</v>
      </c>
      <c r="I2536" t="s">
        <v>2354</v>
      </c>
    </row>
    <row r="2537" spans="1:9" x14ac:dyDescent="0.25">
      <c r="A2537" t="s">
        <v>220</v>
      </c>
      <c r="B2537" t="s">
        <v>2351</v>
      </c>
      <c r="C2537" t="s">
        <v>2606</v>
      </c>
      <c r="D2537" t="s">
        <v>2607</v>
      </c>
      <c r="F2537">
        <v>2</v>
      </c>
      <c r="G2537">
        <v>352.49033924209226</v>
      </c>
      <c r="H2537">
        <v>704.98067848418452</v>
      </c>
      <c r="I2537" t="s">
        <v>2354</v>
      </c>
    </row>
    <row r="2538" spans="1:9" x14ac:dyDescent="0.25">
      <c r="A2538" t="s">
        <v>220</v>
      </c>
      <c r="B2538" t="s">
        <v>2351</v>
      </c>
      <c r="C2538" t="s">
        <v>2608</v>
      </c>
      <c r="D2538" t="s">
        <v>2609</v>
      </c>
      <c r="F2538">
        <v>2</v>
      </c>
      <c r="G2538">
        <v>276.65456054229355</v>
      </c>
      <c r="H2538">
        <v>553.3091210845871</v>
      </c>
      <c r="I2538" t="s">
        <v>2354</v>
      </c>
    </row>
    <row r="2539" spans="1:9" x14ac:dyDescent="0.25">
      <c r="A2539" t="s">
        <v>220</v>
      </c>
      <c r="B2539" t="s">
        <v>2351</v>
      </c>
      <c r="C2539" t="s">
        <v>2610</v>
      </c>
      <c r="D2539" t="s">
        <v>2611</v>
      </c>
      <c r="F2539">
        <v>12</v>
      </c>
      <c r="G2539">
        <v>276.28528494880186</v>
      </c>
      <c r="H2539">
        <v>3315.4234193856223</v>
      </c>
      <c r="I2539" t="s">
        <v>2354</v>
      </c>
    </row>
    <row r="2540" spans="1:9" x14ac:dyDescent="0.25">
      <c r="A2540" t="s">
        <v>220</v>
      </c>
      <c r="B2540" t="s">
        <v>2351</v>
      </c>
      <c r="C2540" t="s">
        <v>2612</v>
      </c>
      <c r="D2540" t="s">
        <v>2613</v>
      </c>
      <c r="F2540">
        <v>1</v>
      </c>
      <c r="G2540">
        <v>220.79249999999999</v>
      </c>
      <c r="H2540">
        <v>220.79249999999999</v>
      </c>
      <c r="I2540" t="s">
        <v>2354</v>
      </c>
    </row>
    <row r="2541" spans="1:9" x14ac:dyDescent="0.25">
      <c r="A2541" t="s">
        <v>220</v>
      </c>
      <c r="B2541" t="s">
        <v>2351</v>
      </c>
      <c r="C2541" t="s">
        <v>2614</v>
      </c>
      <c r="D2541" t="s">
        <v>2615</v>
      </c>
      <c r="F2541">
        <v>1</v>
      </c>
      <c r="G2541">
        <v>270</v>
      </c>
      <c r="H2541">
        <v>270</v>
      </c>
      <c r="I2541" t="s">
        <v>2354</v>
      </c>
    </row>
    <row r="2542" spans="1:9" x14ac:dyDescent="0.25">
      <c r="A2542" t="s">
        <v>220</v>
      </c>
      <c r="B2542" t="s">
        <v>2351</v>
      </c>
      <c r="C2542" t="s">
        <v>2616</v>
      </c>
      <c r="D2542" t="s">
        <v>2617</v>
      </c>
      <c r="F2542">
        <v>4</v>
      </c>
      <c r="G2542">
        <v>145.90799999999999</v>
      </c>
      <c r="H2542">
        <v>583.63199999999995</v>
      </c>
      <c r="I2542" t="s">
        <v>2354</v>
      </c>
    </row>
    <row r="2543" spans="1:9" x14ac:dyDescent="0.25">
      <c r="A2543" t="s">
        <v>220</v>
      </c>
      <c r="B2543" t="s">
        <v>2351</v>
      </c>
      <c r="C2543" t="s">
        <v>2618</v>
      </c>
      <c r="D2543" t="s">
        <v>2619</v>
      </c>
      <c r="F2543">
        <v>2</v>
      </c>
      <c r="G2543">
        <v>871.07100000000003</v>
      </c>
      <c r="H2543">
        <v>1742.1420000000001</v>
      </c>
      <c r="I2543" t="s">
        <v>2354</v>
      </c>
    </row>
    <row r="2544" spans="1:9" x14ac:dyDescent="0.25">
      <c r="A2544" t="s">
        <v>220</v>
      </c>
      <c r="B2544" t="s">
        <v>2351</v>
      </c>
      <c r="C2544" t="s">
        <v>2620</v>
      </c>
      <c r="D2544" t="s">
        <v>2621</v>
      </c>
      <c r="F2544">
        <v>4</v>
      </c>
      <c r="G2544">
        <v>831.07399999999996</v>
      </c>
      <c r="H2544">
        <v>3324.2959999999998</v>
      </c>
      <c r="I2544" t="s">
        <v>2354</v>
      </c>
    </row>
    <row r="2545" spans="1:9" x14ac:dyDescent="0.25">
      <c r="A2545" t="s">
        <v>220</v>
      </c>
      <c r="B2545" t="s">
        <v>2351</v>
      </c>
      <c r="C2545" t="s">
        <v>2622</v>
      </c>
      <c r="D2545" t="s">
        <v>2623</v>
      </c>
      <c r="F2545">
        <v>4</v>
      </c>
      <c r="G2545">
        <v>619.70500000000004</v>
      </c>
      <c r="H2545">
        <v>2478.8200000000002</v>
      </c>
      <c r="I2545" t="s">
        <v>2354</v>
      </c>
    </row>
    <row r="2546" spans="1:9" x14ac:dyDescent="0.25">
      <c r="A2546" t="s">
        <v>220</v>
      </c>
      <c r="B2546" t="s">
        <v>2351</v>
      </c>
      <c r="C2546" t="s">
        <v>2624</v>
      </c>
      <c r="D2546" t="s">
        <v>2625</v>
      </c>
      <c r="F2546">
        <v>2</v>
      </c>
      <c r="G2546">
        <v>463.22199999999998</v>
      </c>
      <c r="H2546">
        <v>926.44399999999996</v>
      </c>
      <c r="I2546" t="s">
        <v>2354</v>
      </c>
    </row>
    <row r="2547" spans="1:9" x14ac:dyDescent="0.25">
      <c r="A2547" t="s">
        <v>220</v>
      </c>
      <c r="B2547" t="s">
        <v>2351</v>
      </c>
      <c r="C2547" t="s">
        <v>2626</v>
      </c>
      <c r="D2547" t="s">
        <v>2627</v>
      </c>
      <c r="F2547">
        <v>6</v>
      </c>
      <c r="G2547">
        <v>178.626</v>
      </c>
      <c r="H2547">
        <v>1071.7560000000001</v>
      </c>
      <c r="I2547" t="s">
        <v>2354</v>
      </c>
    </row>
    <row r="2548" spans="1:9" x14ac:dyDescent="0.25">
      <c r="A2548" t="s">
        <v>220</v>
      </c>
      <c r="B2548" t="s">
        <v>2351</v>
      </c>
      <c r="C2548" t="s">
        <v>2628</v>
      </c>
      <c r="D2548" t="s">
        <v>2629</v>
      </c>
      <c r="F2548">
        <v>1</v>
      </c>
      <c r="G2548">
        <v>310</v>
      </c>
      <c r="H2548">
        <v>310</v>
      </c>
      <c r="I2548" t="s">
        <v>2354</v>
      </c>
    </row>
    <row r="2549" spans="1:9" x14ac:dyDescent="0.25">
      <c r="A2549" t="s">
        <v>220</v>
      </c>
      <c r="B2549" t="s">
        <v>2351</v>
      </c>
      <c r="C2549" t="s">
        <v>2630</v>
      </c>
      <c r="D2549" t="s">
        <v>2631</v>
      </c>
      <c r="F2549">
        <v>5</v>
      </c>
      <c r="G2549">
        <v>95.142960000000002</v>
      </c>
      <c r="H2549">
        <v>475.71480000000003</v>
      </c>
      <c r="I2549" t="s">
        <v>2354</v>
      </c>
    </row>
    <row r="2550" spans="1:9" x14ac:dyDescent="0.25">
      <c r="A2550" t="s">
        <v>220</v>
      </c>
      <c r="B2550" t="s">
        <v>2351</v>
      </c>
      <c r="C2550" t="s">
        <v>2632</v>
      </c>
      <c r="D2550" t="s">
        <v>2633</v>
      </c>
      <c r="F2550">
        <v>25</v>
      </c>
      <c r="G2550">
        <v>19.234739999999999</v>
      </c>
      <c r="H2550">
        <v>480.86849999999998</v>
      </c>
      <c r="I2550" t="s">
        <v>2354</v>
      </c>
    </row>
    <row r="2551" spans="1:9" x14ac:dyDescent="0.25">
      <c r="A2551" t="s">
        <v>220</v>
      </c>
      <c r="B2551" t="s">
        <v>2351</v>
      </c>
      <c r="C2551" t="s">
        <v>2634</v>
      </c>
      <c r="D2551" t="s">
        <v>2635</v>
      </c>
      <c r="F2551">
        <v>1</v>
      </c>
      <c r="G2551">
        <v>26.443999999999999</v>
      </c>
      <c r="H2551">
        <v>26.443999999999999</v>
      </c>
      <c r="I2551" t="s">
        <v>2354</v>
      </c>
    </row>
    <row r="2552" spans="1:9" x14ac:dyDescent="0.25">
      <c r="A2552" t="s">
        <v>220</v>
      </c>
      <c r="B2552" t="s">
        <v>2351</v>
      </c>
      <c r="C2552" t="s">
        <v>2636</v>
      </c>
      <c r="D2552" t="s">
        <v>2637</v>
      </c>
      <c r="F2552">
        <v>8</v>
      </c>
      <c r="G2552">
        <v>6.5</v>
      </c>
      <c r="H2552">
        <v>52</v>
      </c>
      <c r="I2552" t="s">
        <v>2354</v>
      </c>
    </row>
    <row r="2553" spans="1:9" x14ac:dyDescent="0.25">
      <c r="A2553" t="s">
        <v>220</v>
      </c>
      <c r="B2553" t="s">
        <v>2351</v>
      </c>
      <c r="C2553" t="s">
        <v>2638</v>
      </c>
      <c r="D2553" t="s">
        <v>2639</v>
      </c>
      <c r="F2553">
        <v>11</v>
      </c>
      <c r="G2553">
        <v>40</v>
      </c>
      <c r="H2553">
        <v>440</v>
      </c>
      <c r="I2553" t="s">
        <v>2354</v>
      </c>
    </row>
    <row r="2554" spans="1:9" x14ac:dyDescent="0.25">
      <c r="A2554" t="s">
        <v>220</v>
      </c>
      <c r="B2554" t="s">
        <v>2351</v>
      </c>
      <c r="C2554" t="s">
        <v>2640</v>
      </c>
      <c r="D2554" t="s">
        <v>2641</v>
      </c>
      <c r="F2554">
        <v>71</v>
      </c>
      <c r="G2554">
        <v>36.671672408360124</v>
      </c>
      <c r="H2554">
        <v>2603.6887409935689</v>
      </c>
      <c r="I2554" t="s">
        <v>2354</v>
      </c>
    </row>
    <row r="2555" spans="1:9" x14ac:dyDescent="0.25">
      <c r="A2555" t="s">
        <v>220</v>
      </c>
      <c r="B2555" t="s">
        <v>2351</v>
      </c>
      <c r="C2555" t="s">
        <v>2642</v>
      </c>
      <c r="D2555" t="s">
        <v>2643</v>
      </c>
      <c r="F2555">
        <v>2</v>
      </c>
      <c r="G2555">
        <v>4184.5267999999996</v>
      </c>
      <c r="H2555">
        <v>8369.0535999999993</v>
      </c>
      <c r="I2555" t="s">
        <v>2354</v>
      </c>
    </row>
    <row r="2556" spans="1:9" x14ac:dyDescent="0.25">
      <c r="A2556" t="s">
        <v>220</v>
      </c>
      <c r="B2556" t="s">
        <v>2351</v>
      </c>
      <c r="C2556" t="s">
        <v>2644</v>
      </c>
      <c r="D2556" t="s">
        <v>2645</v>
      </c>
      <c r="F2556">
        <v>1</v>
      </c>
      <c r="G2556">
        <v>1815.0550000000001</v>
      </c>
      <c r="H2556">
        <v>1815.0550000000001</v>
      </c>
      <c r="I2556" t="s">
        <v>2354</v>
      </c>
    </row>
    <row r="2557" spans="1:9" x14ac:dyDescent="0.25">
      <c r="A2557" t="s">
        <v>220</v>
      </c>
      <c r="B2557" t="s">
        <v>2351</v>
      </c>
      <c r="C2557" t="s">
        <v>2646</v>
      </c>
      <c r="D2557" t="s">
        <v>2647</v>
      </c>
      <c r="F2557">
        <v>1</v>
      </c>
      <c r="G2557">
        <v>0</v>
      </c>
      <c r="H2557">
        <v>0</v>
      </c>
      <c r="I2557" t="s">
        <v>2354</v>
      </c>
    </row>
    <row r="2558" spans="1:9" x14ac:dyDescent="0.25">
      <c r="A2558" t="s">
        <v>220</v>
      </c>
      <c r="B2558" t="s">
        <v>2351</v>
      </c>
      <c r="C2558" t="s">
        <v>2648</v>
      </c>
      <c r="D2558" t="s">
        <v>2649</v>
      </c>
      <c r="F2558">
        <v>11</v>
      </c>
      <c r="G2558">
        <v>109.60791918399352</v>
      </c>
      <c r="H2558">
        <v>1205.6871110239288</v>
      </c>
      <c r="I2558" t="s">
        <v>2354</v>
      </c>
    </row>
    <row r="2559" spans="1:9" x14ac:dyDescent="0.25">
      <c r="A2559" t="s">
        <v>220</v>
      </c>
      <c r="B2559" t="s">
        <v>2351</v>
      </c>
      <c r="C2559" t="s">
        <v>2650</v>
      </c>
      <c r="D2559" t="s">
        <v>2651</v>
      </c>
      <c r="F2559">
        <v>4</v>
      </c>
      <c r="G2559">
        <v>1531.5229705830191</v>
      </c>
      <c r="H2559">
        <v>6126.0918823320762</v>
      </c>
      <c r="I2559" t="s">
        <v>2354</v>
      </c>
    </row>
    <row r="2560" spans="1:9" x14ac:dyDescent="0.25">
      <c r="A2560" t="s">
        <v>220</v>
      </c>
      <c r="B2560" t="s">
        <v>2351</v>
      </c>
      <c r="C2560" t="s">
        <v>2652</v>
      </c>
      <c r="D2560" t="s">
        <v>2653</v>
      </c>
      <c r="F2560">
        <v>6</v>
      </c>
      <c r="G2560">
        <v>53.511945895962043</v>
      </c>
      <c r="H2560">
        <v>321.07167537577226</v>
      </c>
      <c r="I2560" t="s">
        <v>2354</v>
      </c>
    </row>
    <row r="2561" spans="1:9" x14ac:dyDescent="0.25">
      <c r="A2561" t="s">
        <v>220</v>
      </c>
      <c r="B2561" t="s">
        <v>2351</v>
      </c>
      <c r="C2561" t="s">
        <v>2654</v>
      </c>
      <c r="D2561" t="s">
        <v>2655</v>
      </c>
      <c r="F2561">
        <v>2</v>
      </c>
      <c r="G2561">
        <v>1681.9459999999999</v>
      </c>
      <c r="H2561">
        <v>3363.8919999999998</v>
      </c>
      <c r="I2561" t="s">
        <v>2354</v>
      </c>
    </row>
    <row r="2562" spans="1:9" x14ac:dyDescent="0.25">
      <c r="A2562" t="s">
        <v>220</v>
      </c>
      <c r="B2562" t="s">
        <v>2351</v>
      </c>
      <c r="C2562" t="s">
        <v>2656</v>
      </c>
      <c r="D2562" t="s">
        <v>2657</v>
      </c>
      <c r="F2562">
        <v>6</v>
      </c>
      <c r="G2562">
        <v>518.80799999999999</v>
      </c>
      <c r="H2562">
        <v>3112.848</v>
      </c>
      <c r="I2562" t="s">
        <v>2354</v>
      </c>
    </row>
    <row r="2563" spans="1:9" x14ac:dyDescent="0.25">
      <c r="A2563" t="s">
        <v>220</v>
      </c>
      <c r="B2563" t="s">
        <v>2351</v>
      </c>
      <c r="C2563" t="s">
        <v>2658</v>
      </c>
      <c r="D2563" t="s">
        <v>2659</v>
      </c>
      <c r="F2563">
        <v>1</v>
      </c>
      <c r="G2563">
        <v>345.00528830814346</v>
      </c>
      <c r="H2563">
        <v>345.00528830814346</v>
      </c>
      <c r="I2563" t="s">
        <v>2354</v>
      </c>
    </row>
    <row r="2564" spans="1:9" x14ac:dyDescent="0.25">
      <c r="A2564" t="s">
        <v>220</v>
      </c>
      <c r="B2564" t="s">
        <v>2351</v>
      </c>
      <c r="C2564" t="s">
        <v>2660</v>
      </c>
      <c r="D2564" t="s">
        <v>2661</v>
      </c>
      <c r="F2564">
        <v>19</v>
      </c>
      <c r="G2564">
        <v>237.4927355969989</v>
      </c>
      <c r="H2564">
        <v>4512.3619763429788</v>
      </c>
      <c r="I2564" t="s">
        <v>2354</v>
      </c>
    </row>
    <row r="2565" spans="1:9" x14ac:dyDescent="0.25">
      <c r="A2565" t="s">
        <v>220</v>
      </c>
      <c r="B2565" t="s">
        <v>2351</v>
      </c>
      <c r="C2565" t="s">
        <v>2662</v>
      </c>
      <c r="D2565" t="s">
        <v>2663</v>
      </c>
      <c r="F2565">
        <v>1</v>
      </c>
      <c r="G2565">
        <v>245.23500000000001</v>
      </c>
      <c r="H2565">
        <v>245.23500000000001</v>
      </c>
      <c r="I2565" t="s">
        <v>2354</v>
      </c>
    </row>
    <row r="2566" spans="1:9" x14ac:dyDescent="0.25">
      <c r="A2566" t="s">
        <v>220</v>
      </c>
      <c r="B2566" t="s">
        <v>2351</v>
      </c>
      <c r="C2566" t="s">
        <v>2664</v>
      </c>
      <c r="D2566" t="s">
        <v>2665</v>
      </c>
      <c r="F2566">
        <v>1</v>
      </c>
      <c r="G2566">
        <v>8.8000000000000007</v>
      </c>
      <c r="H2566">
        <v>8.8000000000000007</v>
      </c>
      <c r="I2566" t="s">
        <v>2354</v>
      </c>
    </row>
    <row r="2567" spans="1:9" x14ac:dyDescent="0.25">
      <c r="A2567" t="s">
        <v>220</v>
      </c>
      <c r="B2567" t="s">
        <v>2351</v>
      </c>
      <c r="C2567" t="s">
        <v>2666</v>
      </c>
      <c r="D2567" t="s">
        <v>2667</v>
      </c>
      <c r="F2567">
        <v>4</v>
      </c>
      <c r="G2567">
        <v>7.1189999999999998</v>
      </c>
      <c r="H2567">
        <v>28.475999999999999</v>
      </c>
      <c r="I2567" t="s">
        <v>2354</v>
      </c>
    </row>
    <row r="2568" spans="1:9" x14ac:dyDescent="0.25">
      <c r="A2568" t="s">
        <v>220</v>
      </c>
      <c r="B2568" t="s">
        <v>2351</v>
      </c>
      <c r="C2568" t="s">
        <v>2668</v>
      </c>
      <c r="D2568" t="s">
        <v>2669</v>
      </c>
      <c r="F2568">
        <v>4</v>
      </c>
      <c r="G2568">
        <v>7.1189999999999998</v>
      </c>
      <c r="H2568">
        <v>28.475999999999999</v>
      </c>
      <c r="I2568" t="s">
        <v>2354</v>
      </c>
    </row>
    <row r="2569" spans="1:9" x14ac:dyDescent="0.25">
      <c r="A2569" t="s">
        <v>220</v>
      </c>
      <c r="B2569" t="s">
        <v>2351</v>
      </c>
      <c r="C2569" t="s">
        <v>2670</v>
      </c>
      <c r="D2569" t="s">
        <v>2671</v>
      </c>
      <c r="F2569">
        <v>1</v>
      </c>
      <c r="G2569">
        <v>0</v>
      </c>
      <c r="H2569">
        <v>0</v>
      </c>
      <c r="I2569" t="s">
        <v>2354</v>
      </c>
    </row>
    <row r="2570" spans="1:9" x14ac:dyDescent="0.25">
      <c r="A2570" t="s">
        <v>220</v>
      </c>
      <c r="B2570" t="s">
        <v>2351</v>
      </c>
      <c r="C2570" t="s">
        <v>2672</v>
      </c>
      <c r="D2570" t="s">
        <v>2673</v>
      </c>
      <c r="F2570">
        <v>5</v>
      </c>
      <c r="G2570">
        <v>155.71190461741426</v>
      </c>
      <c r="H2570">
        <v>778.55952308707128</v>
      </c>
      <c r="I2570" t="s">
        <v>2354</v>
      </c>
    </row>
    <row r="2571" spans="1:9" x14ac:dyDescent="0.25">
      <c r="A2571" t="s">
        <v>220</v>
      </c>
      <c r="B2571" t="s">
        <v>2351</v>
      </c>
      <c r="C2571" t="s">
        <v>2674</v>
      </c>
      <c r="D2571" t="s">
        <v>2675</v>
      </c>
      <c r="F2571">
        <v>1</v>
      </c>
      <c r="G2571">
        <v>30.3</v>
      </c>
      <c r="H2571">
        <v>30.3</v>
      </c>
      <c r="I2571" t="s">
        <v>2354</v>
      </c>
    </row>
    <row r="2572" spans="1:9" x14ac:dyDescent="0.25">
      <c r="A2572" t="s">
        <v>220</v>
      </c>
      <c r="B2572" t="s">
        <v>2351</v>
      </c>
      <c r="C2572" t="s">
        <v>2676</v>
      </c>
      <c r="D2572" t="s">
        <v>2677</v>
      </c>
      <c r="F2572">
        <v>4</v>
      </c>
      <c r="G2572">
        <v>87.26812402038496</v>
      </c>
      <c r="H2572">
        <v>349.07249608153984</v>
      </c>
      <c r="I2572" t="s">
        <v>2354</v>
      </c>
    </row>
    <row r="2573" spans="1:9" x14ac:dyDescent="0.25">
      <c r="A2573" t="s">
        <v>220</v>
      </c>
      <c r="B2573" t="s">
        <v>2351</v>
      </c>
      <c r="C2573" t="s">
        <v>2678</v>
      </c>
      <c r="D2573" t="s">
        <v>2679</v>
      </c>
      <c r="F2573">
        <v>2</v>
      </c>
      <c r="G2573">
        <v>138.80796000000001</v>
      </c>
      <c r="H2573">
        <v>277.61592000000002</v>
      </c>
      <c r="I2573" t="s">
        <v>2354</v>
      </c>
    </row>
    <row r="2574" spans="1:9" x14ac:dyDescent="0.25">
      <c r="A2574" t="s">
        <v>220</v>
      </c>
      <c r="B2574" t="s">
        <v>2351</v>
      </c>
      <c r="C2574" t="s">
        <v>2680</v>
      </c>
      <c r="D2574" t="s">
        <v>2681</v>
      </c>
      <c r="F2574">
        <v>1</v>
      </c>
      <c r="G2574">
        <v>110</v>
      </c>
      <c r="H2574">
        <v>110</v>
      </c>
      <c r="I2574" t="s">
        <v>2354</v>
      </c>
    </row>
    <row r="2575" spans="1:9" x14ac:dyDescent="0.25">
      <c r="A2575" t="s">
        <v>220</v>
      </c>
      <c r="B2575" t="s">
        <v>2351</v>
      </c>
      <c r="C2575" t="s">
        <v>2682</v>
      </c>
      <c r="D2575" t="s">
        <v>2683</v>
      </c>
      <c r="F2575">
        <v>4</v>
      </c>
      <c r="G2575">
        <v>124.7</v>
      </c>
      <c r="H2575">
        <v>498.8</v>
      </c>
      <c r="I2575" t="s">
        <v>2354</v>
      </c>
    </row>
    <row r="2576" spans="1:9" x14ac:dyDescent="0.25">
      <c r="A2576" t="s">
        <v>220</v>
      </c>
      <c r="B2576" t="s">
        <v>2351</v>
      </c>
      <c r="C2576" t="s">
        <v>2684</v>
      </c>
      <c r="D2576" t="s">
        <v>2685</v>
      </c>
      <c r="F2576">
        <v>1</v>
      </c>
      <c r="G2576">
        <v>520</v>
      </c>
      <c r="H2576">
        <v>520</v>
      </c>
      <c r="I2576" t="s">
        <v>2354</v>
      </c>
    </row>
    <row r="2577" spans="1:9" x14ac:dyDescent="0.25">
      <c r="A2577" t="s">
        <v>220</v>
      </c>
      <c r="B2577" t="s">
        <v>2351</v>
      </c>
      <c r="C2577" t="s">
        <v>2688</v>
      </c>
      <c r="D2577" t="s">
        <v>2689</v>
      </c>
      <c r="F2577">
        <v>1</v>
      </c>
      <c r="G2577">
        <v>520</v>
      </c>
      <c r="H2577">
        <v>520</v>
      </c>
      <c r="I2577" t="s">
        <v>2354</v>
      </c>
    </row>
    <row r="2578" spans="1:9" x14ac:dyDescent="0.25">
      <c r="A2578" t="s">
        <v>220</v>
      </c>
      <c r="B2578" t="s">
        <v>2351</v>
      </c>
      <c r="C2578" t="s">
        <v>2690</v>
      </c>
      <c r="D2578" t="s">
        <v>2691</v>
      </c>
      <c r="F2578">
        <v>1</v>
      </c>
      <c r="G2578">
        <v>411</v>
      </c>
      <c r="H2578">
        <v>411</v>
      </c>
      <c r="I2578" t="s">
        <v>2354</v>
      </c>
    </row>
    <row r="2579" spans="1:9" x14ac:dyDescent="0.25">
      <c r="A2579" t="s">
        <v>220</v>
      </c>
      <c r="B2579" t="s">
        <v>2351</v>
      </c>
      <c r="C2579" t="s">
        <v>2692</v>
      </c>
      <c r="D2579" t="s">
        <v>2693</v>
      </c>
      <c r="F2579">
        <v>1</v>
      </c>
      <c r="G2579">
        <v>40</v>
      </c>
      <c r="H2579">
        <v>40</v>
      </c>
      <c r="I2579" t="s">
        <v>2354</v>
      </c>
    </row>
    <row r="2580" spans="1:9" x14ac:dyDescent="0.25">
      <c r="A2580" t="s">
        <v>220</v>
      </c>
      <c r="B2580" t="s">
        <v>2351</v>
      </c>
      <c r="C2580" t="s">
        <v>2694</v>
      </c>
      <c r="D2580" t="s">
        <v>2695</v>
      </c>
      <c r="F2580">
        <v>1</v>
      </c>
      <c r="G2580">
        <v>217</v>
      </c>
      <c r="H2580">
        <v>217</v>
      </c>
      <c r="I2580" t="s">
        <v>2354</v>
      </c>
    </row>
    <row r="2581" spans="1:9" x14ac:dyDescent="0.25">
      <c r="A2581" t="s">
        <v>220</v>
      </c>
      <c r="B2581" t="s">
        <v>2351</v>
      </c>
      <c r="C2581" t="s">
        <v>2698</v>
      </c>
      <c r="D2581" t="s">
        <v>2699</v>
      </c>
      <c r="F2581">
        <v>1</v>
      </c>
      <c r="G2581">
        <v>194.99600000000001</v>
      </c>
      <c r="H2581">
        <v>194.99600000000001</v>
      </c>
      <c r="I2581" t="s">
        <v>2354</v>
      </c>
    </row>
    <row r="2582" spans="1:9" x14ac:dyDescent="0.25">
      <c r="A2582" t="s">
        <v>220</v>
      </c>
      <c r="B2582" t="s">
        <v>2351</v>
      </c>
      <c r="C2582" t="s">
        <v>2702</v>
      </c>
      <c r="D2582" t="s">
        <v>2703</v>
      </c>
      <c r="F2582">
        <v>1</v>
      </c>
      <c r="G2582">
        <v>316.17720000000003</v>
      </c>
      <c r="H2582">
        <v>316.17720000000003</v>
      </c>
      <c r="I2582" t="s">
        <v>2354</v>
      </c>
    </row>
    <row r="2583" spans="1:9" x14ac:dyDescent="0.25">
      <c r="A2583" t="s">
        <v>220</v>
      </c>
      <c r="B2583" t="s">
        <v>2351</v>
      </c>
      <c r="C2583" t="s">
        <v>2704</v>
      </c>
      <c r="D2583" t="s">
        <v>2705</v>
      </c>
      <c r="F2583">
        <v>1</v>
      </c>
      <c r="G2583">
        <v>492.89</v>
      </c>
      <c r="H2583">
        <v>492.89</v>
      </c>
      <c r="I2583" t="s">
        <v>2354</v>
      </c>
    </row>
    <row r="2584" spans="1:9" x14ac:dyDescent="0.25">
      <c r="A2584" t="s">
        <v>220</v>
      </c>
      <c r="B2584" t="s">
        <v>2351</v>
      </c>
      <c r="C2584" t="s">
        <v>2706</v>
      </c>
      <c r="D2584" t="s">
        <v>2707</v>
      </c>
      <c r="F2584">
        <v>5</v>
      </c>
      <c r="G2584">
        <v>46.8</v>
      </c>
      <c r="H2584">
        <v>234</v>
      </c>
      <c r="I2584" t="s">
        <v>2354</v>
      </c>
    </row>
    <row r="2585" spans="1:9" x14ac:dyDescent="0.25">
      <c r="A2585" t="s">
        <v>220</v>
      </c>
      <c r="B2585" t="s">
        <v>2351</v>
      </c>
      <c r="C2585" t="s">
        <v>2708</v>
      </c>
      <c r="D2585" t="s">
        <v>2709</v>
      </c>
      <c r="F2585">
        <v>5</v>
      </c>
      <c r="G2585">
        <v>11.939399999999999</v>
      </c>
      <c r="H2585">
        <v>59.696999999999996</v>
      </c>
      <c r="I2585" t="s">
        <v>2354</v>
      </c>
    </row>
    <row r="2586" spans="1:9" x14ac:dyDescent="0.25">
      <c r="A2586" t="s">
        <v>220</v>
      </c>
      <c r="B2586" t="s">
        <v>2351</v>
      </c>
      <c r="C2586" t="s">
        <v>2710</v>
      </c>
      <c r="D2586" t="s">
        <v>2711</v>
      </c>
      <c r="F2586">
        <v>5</v>
      </c>
      <c r="G2586">
        <v>31.05</v>
      </c>
      <c r="H2586">
        <v>155.25</v>
      </c>
      <c r="I2586" t="s">
        <v>2354</v>
      </c>
    </row>
    <row r="2587" spans="1:9" x14ac:dyDescent="0.25">
      <c r="A2587" t="s">
        <v>220</v>
      </c>
      <c r="B2587" t="s">
        <v>2351</v>
      </c>
      <c r="C2587" t="s">
        <v>2712</v>
      </c>
      <c r="D2587" t="s">
        <v>2713</v>
      </c>
      <c r="F2587">
        <v>4</v>
      </c>
      <c r="G2587">
        <v>30.113999999999997</v>
      </c>
      <c r="H2587">
        <v>120.45599999999999</v>
      </c>
      <c r="I2587" t="s">
        <v>2354</v>
      </c>
    </row>
    <row r="2588" spans="1:9" x14ac:dyDescent="0.25">
      <c r="A2588" t="s">
        <v>220</v>
      </c>
      <c r="B2588" t="s">
        <v>2351</v>
      </c>
      <c r="C2588" t="s">
        <v>2714</v>
      </c>
      <c r="D2588" t="s">
        <v>2715</v>
      </c>
      <c r="F2588">
        <v>5</v>
      </c>
      <c r="G2588">
        <v>20.655000000000001</v>
      </c>
      <c r="H2588">
        <v>103.27500000000001</v>
      </c>
      <c r="I2588" t="s">
        <v>2354</v>
      </c>
    </row>
    <row r="2589" spans="1:9" x14ac:dyDescent="0.25">
      <c r="A2589" t="s">
        <v>220</v>
      </c>
      <c r="B2589" t="s">
        <v>2351</v>
      </c>
      <c r="C2589" t="s">
        <v>2716</v>
      </c>
      <c r="D2589" t="s">
        <v>2717</v>
      </c>
      <c r="F2589">
        <v>10</v>
      </c>
      <c r="G2589">
        <v>18.18</v>
      </c>
      <c r="H2589">
        <v>181.8</v>
      </c>
      <c r="I2589" t="s">
        <v>2354</v>
      </c>
    </row>
    <row r="2590" spans="1:9" x14ac:dyDescent="0.25">
      <c r="A2590" t="s">
        <v>220</v>
      </c>
      <c r="B2590" t="s">
        <v>2351</v>
      </c>
      <c r="C2590" t="s">
        <v>2718</v>
      </c>
      <c r="D2590" t="s">
        <v>2719</v>
      </c>
      <c r="F2590">
        <v>3</v>
      </c>
      <c r="G2590">
        <v>21.285</v>
      </c>
      <c r="H2590">
        <v>63.855000000000004</v>
      </c>
      <c r="I2590" t="s">
        <v>2354</v>
      </c>
    </row>
    <row r="2591" spans="1:9" x14ac:dyDescent="0.25">
      <c r="A2591" t="s">
        <v>220</v>
      </c>
      <c r="B2591" t="s">
        <v>2351</v>
      </c>
      <c r="C2591" t="s">
        <v>2720</v>
      </c>
      <c r="D2591" t="s">
        <v>2721</v>
      </c>
      <c r="F2591">
        <v>5</v>
      </c>
      <c r="G2591">
        <v>27</v>
      </c>
      <c r="H2591">
        <v>135</v>
      </c>
      <c r="I2591" t="s">
        <v>2354</v>
      </c>
    </row>
    <row r="2592" spans="1:9" x14ac:dyDescent="0.25">
      <c r="A2592" t="s">
        <v>220</v>
      </c>
      <c r="B2592" t="s">
        <v>2351</v>
      </c>
      <c r="C2592" t="s">
        <v>2722</v>
      </c>
      <c r="D2592" t="s">
        <v>2723</v>
      </c>
      <c r="F2592">
        <v>6</v>
      </c>
      <c r="G2592">
        <v>15.222000000000001</v>
      </c>
      <c r="H2592">
        <v>91.332000000000008</v>
      </c>
      <c r="I2592" t="s">
        <v>2354</v>
      </c>
    </row>
    <row r="2593" spans="1:9" x14ac:dyDescent="0.25">
      <c r="A2593" t="s">
        <v>220</v>
      </c>
      <c r="B2593" t="s">
        <v>2351</v>
      </c>
      <c r="C2593" t="s">
        <v>2724</v>
      </c>
      <c r="D2593" t="s">
        <v>2725</v>
      </c>
      <c r="F2593">
        <v>10</v>
      </c>
      <c r="G2593">
        <v>25.861049999999999</v>
      </c>
      <c r="H2593">
        <v>258.6105</v>
      </c>
      <c r="I2593" t="s">
        <v>2354</v>
      </c>
    </row>
    <row r="2594" spans="1:9" x14ac:dyDescent="0.25">
      <c r="A2594" t="s">
        <v>220</v>
      </c>
      <c r="B2594" t="s">
        <v>2351</v>
      </c>
      <c r="C2594" t="s">
        <v>2726</v>
      </c>
      <c r="D2594" t="s">
        <v>2727</v>
      </c>
      <c r="F2594">
        <v>5</v>
      </c>
      <c r="G2594">
        <v>42.3</v>
      </c>
      <c r="H2594">
        <v>211.5</v>
      </c>
      <c r="I2594" t="s">
        <v>2354</v>
      </c>
    </row>
    <row r="2595" spans="1:9" x14ac:dyDescent="0.25">
      <c r="A2595" t="s">
        <v>220</v>
      </c>
      <c r="B2595" t="s">
        <v>2351</v>
      </c>
      <c r="C2595" t="s">
        <v>2728</v>
      </c>
      <c r="D2595" t="s">
        <v>2729</v>
      </c>
      <c r="F2595">
        <v>2</v>
      </c>
      <c r="G2595">
        <v>5.1738</v>
      </c>
      <c r="H2595">
        <v>10.3476</v>
      </c>
      <c r="I2595" t="s">
        <v>2354</v>
      </c>
    </row>
    <row r="2596" spans="1:9" x14ac:dyDescent="0.25">
      <c r="A2596" t="s">
        <v>220</v>
      </c>
      <c r="B2596" t="s">
        <v>2351</v>
      </c>
      <c r="C2596" t="s">
        <v>2730</v>
      </c>
      <c r="D2596" t="s">
        <v>2731</v>
      </c>
      <c r="F2596">
        <v>6</v>
      </c>
      <c r="G2596">
        <v>7.7606999999999999</v>
      </c>
      <c r="H2596">
        <v>46.5642</v>
      </c>
      <c r="I2596" t="s">
        <v>2354</v>
      </c>
    </row>
    <row r="2597" spans="1:9" x14ac:dyDescent="0.25">
      <c r="A2597" t="s">
        <v>220</v>
      </c>
      <c r="B2597" t="s">
        <v>2351</v>
      </c>
      <c r="C2597" t="s">
        <v>2732</v>
      </c>
      <c r="D2597" t="s">
        <v>2733</v>
      </c>
      <c r="F2597">
        <v>1</v>
      </c>
      <c r="G2597">
        <v>7.7606999999999999</v>
      </c>
      <c r="H2597">
        <v>7.7606999999999999</v>
      </c>
      <c r="I2597" t="s">
        <v>2354</v>
      </c>
    </row>
    <row r="2598" spans="1:9" x14ac:dyDescent="0.25">
      <c r="A2598" t="s">
        <v>220</v>
      </c>
      <c r="B2598" t="s">
        <v>2351</v>
      </c>
      <c r="C2598" t="s">
        <v>2734</v>
      </c>
      <c r="D2598" t="s">
        <v>2735</v>
      </c>
      <c r="F2598">
        <v>1</v>
      </c>
      <c r="G2598">
        <v>2656.2089999999998</v>
      </c>
      <c r="H2598">
        <v>2656.2089999999998</v>
      </c>
      <c r="I2598" t="s">
        <v>2354</v>
      </c>
    </row>
    <row r="2599" spans="1:9" x14ac:dyDescent="0.25">
      <c r="A2599" t="s">
        <v>220</v>
      </c>
      <c r="B2599" t="s">
        <v>2351</v>
      </c>
      <c r="C2599" t="s">
        <v>2736</v>
      </c>
      <c r="D2599" t="s">
        <v>2737</v>
      </c>
      <c r="F2599">
        <v>2</v>
      </c>
      <c r="G2599">
        <v>339.3</v>
      </c>
      <c r="H2599">
        <v>678.6</v>
      </c>
      <c r="I2599" t="s">
        <v>2354</v>
      </c>
    </row>
    <row r="2600" spans="1:9" x14ac:dyDescent="0.25">
      <c r="A2600" t="s">
        <v>220</v>
      </c>
      <c r="B2600" t="s">
        <v>2351</v>
      </c>
      <c r="C2600" t="s">
        <v>2738</v>
      </c>
      <c r="D2600" t="s">
        <v>2739</v>
      </c>
      <c r="F2600">
        <v>1</v>
      </c>
      <c r="G2600">
        <v>26.3916</v>
      </c>
      <c r="H2600">
        <v>26.3916</v>
      </c>
      <c r="I2600" t="s">
        <v>2354</v>
      </c>
    </row>
    <row r="2601" spans="1:9" x14ac:dyDescent="0.25">
      <c r="A2601" t="s">
        <v>220</v>
      </c>
      <c r="B2601" t="s">
        <v>2351</v>
      </c>
      <c r="C2601" t="s">
        <v>2740</v>
      </c>
      <c r="D2601" t="s">
        <v>2741</v>
      </c>
      <c r="F2601">
        <v>5</v>
      </c>
      <c r="G2601">
        <v>10.101692307692307</v>
      </c>
      <c r="H2601">
        <v>50.508461538461532</v>
      </c>
      <c r="I2601" t="s">
        <v>2354</v>
      </c>
    </row>
    <row r="2602" spans="1:9" x14ac:dyDescent="0.25">
      <c r="A2602" t="s">
        <v>220</v>
      </c>
      <c r="B2602" t="s">
        <v>2351</v>
      </c>
      <c r="C2602" t="s">
        <v>2742</v>
      </c>
      <c r="D2602" t="s">
        <v>2743</v>
      </c>
      <c r="F2602">
        <v>5</v>
      </c>
      <c r="G2602">
        <v>12.044</v>
      </c>
      <c r="H2602">
        <v>60.22</v>
      </c>
      <c r="I2602" t="s">
        <v>2354</v>
      </c>
    </row>
    <row r="2603" spans="1:9" x14ac:dyDescent="0.25">
      <c r="A2603" t="s">
        <v>220</v>
      </c>
      <c r="B2603" t="s">
        <v>2351</v>
      </c>
      <c r="C2603" t="s">
        <v>2744</v>
      </c>
      <c r="D2603" t="s">
        <v>2745</v>
      </c>
      <c r="F2603">
        <v>3</v>
      </c>
      <c r="G2603">
        <v>24.9255</v>
      </c>
      <c r="H2603">
        <v>74.776499999999999</v>
      </c>
      <c r="I2603" t="s">
        <v>2354</v>
      </c>
    </row>
    <row r="2604" spans="1:9" x14ac:dyDescent="0.25">
      <c r="A2604" t="s">
        <v>220</v>
      </c>
      <c r="B2604" t="s">
        <v>2351</v>
      </c>
      <c r="C2604" t="s">
        <v>2746</v>
      </c>
      <c r="D2604" t="s">
        <v>2747</v>
      </c>
      <c r="F2604">
        <v>3</v>
      </c>
      <c r="G2604">
        <v>18.611999999999998</v>
      </c>
      <c r="H2604">
        <v>55.835999999999999</v>
      </c>
      <c r="I2604" t="s">
        <v>2354</v>
      </c>
    </row>
    <row r="2605" spans="1:9" x14ac:dyDescent="0.25">
      <c r="A2605" t="s">
        <v>220</v>
      </c>
      <c r="B2605" t="s">
        <v>2351</v>
      </c>
      <c r="C2605" t="s">
        <v>2748</v>
      </c>
      <c r="D2605" t="s">
        <v>2749</v>
      </c>
      <c r="F2605">
        <v>3</v>
      </c>
      <c r="G2605">
        <v>16.72</v>
      </c>
      <c r="H2605">
        <v>50.16</v>
      </c>
      <c r="I2605" t="s">
        <v>2354</v>
      </c>
    </row>
    <row r="2606" spans="1:9" x14ac:dyDescent="0.25">
      <c r="A2606" t="s">
        <v>220</v>
      </c>
      <c r="B2606" t="s">
        <v>2351</v>
      </c>
      <c r="C2606" t="s">
        <v>2750</v>
      </c>
      <c r="D2606" t="s">
        <v>2751</v>
      </c>
      <c r="F2606">
        <v>7</v>
      </c>
      <c r="G2606">
        <v>0</v>
      </c>
      <c r="H2606">
        <v>0</v>
      </c>
      <c r="I2606" t="s">
        <v>2354</v>
      </c>
    </row>
    <row r="2607" spans="1:9" x14ac:dyDescent="0.25">
      <c r="A2607" t="s">
        <v>220</v>
      </c>
      <c r="B2607" t="s">
        <v>2351</v>
      </c>
      <c r="C2607" t="s">
        <v>2752</v>
      </c>
      <c r="D2607" t="s">
        <v>2753</v>
      </c>
      <c r="F2607">
        <v>1</v>
      </c>
      <c r="G2607">
        <v>0</v>
      </c>
      <c r="H2607">
        <v>0</v>
      </c>
      <c r="I2607" t="s">
        <v>2354</v>
      </c>
    </row>
    <row r="2608" spans="1:9" x14ac:dyDescent="0.25">
      <c r="A2608" t="s">
        <v>220</v>
      </c>
      <c r="B2608" t="s">
        <v>2351</v>
      </c>
      <c r="C2608" t="s">
        <v>2754</v>
      </c>
      <c r="D2608" t="s">
        <v>2755</v>
      </c>
      <c r="F2608">
        <v>1</v>
      </c>
      <c r="G2608">
        <v>0</v>
      </c>
      <c r="H2608">
        <v>0</v>
      </c>
      <c r="I2608" t="s">
        <v>2354</v>
      </c>
    </row>
    <row r="2609" spans="1:9" x14ac:dyDescent="0.25">
      <c r="A2609" t="s">
        <v>220</v>
      </c>
      <c r="B2609" t="s">
        <v>2351</v>
      </c>
      <c r="C2609" t="s">
        <v>2756</v>
      </c>
      <c r="D2609" t="s">
        <v>2757</v>
      </c>
      <c r="F2609">
        <v>1</v>
      </c>
      <c r="G2609">
        <v>0</v>
      </c>
      <c r="H2609">
        <v>0</v>
      </c>
      <c r="I2609" t="s">
        <v>2354</v>
      </c>
    </row>
    <row r="2610" spans="1:9" x14ac:dyDescent="0.25">
      <c r="A2610" t="s">
        <v>220</v>
      </c>
      <c r="B2610" t="s">
        <v>2351</v>
      </c>
      <c r="C2610" t="s">
        <v>2758</v>
      </c>
      <c r="D2610" t="s">
        <v>2759</v>
      </c>
      <c r="F2610">
        <v>2</v>
      </c>
      <c r="G2610">
        <v>0</v>
      </c>
      <c r="H2610">
        <v>0</v>
      </c>
      <c r="I2610" t="s">
        <v>2354</v>
      </c>
    </row>
    <row r="2611" spans="1:9" x14ac:dyDescent="0.25">
      <c r="A2611" t="s">
        <v>220</v>
      </c>
      <c r="B2611" t="s">
        <v>2351</v>
      </c>
      <c r="C2611" t="s">
        <v>2760</v>
      </c>
      <c r="D2611" t="s">
        <v>2761</v>
      </c>
      <c r="F2611">
        <v>1</v>
      </c>
      <c r="G2611">
        <v>0</v>
      </c>
      <c r="H2611">
        <v>0</v>
      </c>
      <c r="I2611" t="s">
        <v>2354</v>
      </c>
    </row>
    <row r="2612" spans="1:9" x14ac:dyDescent="0.25">
      <c r="A2612" t="s">
        <v>220</v>
      </c>
      <c r="B2612" t="s">
        <v>2351</v>
      </c>
      <c r="C2612" t="s">
        <v>2762</v>
      </c>
      <c r="D2612" t="s">
        <v>2763</v>
      </c>
      <c r="F2612">
        <v>5</v>
      </c>
      <c r="G2612">
        <v>11.16</v>
      </c>
      <c r="H2612">
        <v>55.8</v>
      </c>
      <c r="I2612" t="s">
        <v>2354</v>
      </c>
    </row>
    <row r="2613" spans="1:9" x14ac:dyDescent="0.25">
      <c r="A2613" t="s">
        <v>220</v>
      </c>
      <c r="B2613" t="s">
        <v>2351</v>
      </c>
      <c r="C2613" t="s">
        <v>2764</v>
      </c>
      <c r="D2613" t="s">
        <v>2765</v>
      </c>
      <c r="F2613">
        <v>4</v>
      </c>
      <c r="G2613">
        <v>0</v>
      </c>
      <c r="H2613">
        <v>0</v>
      </c>
      <c r="I2613" t="s">
        <v>2354</v>
      </c>
    </row>
    <row r="2614" spans="1:9" x14ac:dyDescent="0.25">
      <c r="A2614" t="s">
        <v>220</v>
      </c>
      <c r="B2614" t="s">
        <v>2351</v>
      </c>
      <c r="C2614" t="s">
        <v>2766</v>
      </c>
      <c r="D2614" t="s">
        <v>2767</v>
      </c>
      <c r="F2614">
        <v>8</v>
      </c>
      <c r="G2614">
        <v>14.476000000000001</v>
      </c>
      <c r="H2614">
        <v>115.80800000000001</v>
      </c>
      <c r="I2614" t="s">
        <v>2354</v>
      </c>
    </row>
    <row r="2615" spans="1:9" x14ac:dyDescent="0.25">
      <c r="A2615" t="s">
        <v>220</v>
      </c>
      <c r="B2615" t="s">
        <v>2351</v>
      </c>
      <c r="C2615" t="s">
        <v>2768</v>
      </c>
      <c r="D2615" t="s">
        <v>2769</v>
      </c>
      <c r="F2615">
        <v>2</v>
      </c>
      <c r="G2615">
        <v>46.54936</v>
      </c>
      <c r="H2615">
        <v>93.09872</v>
      </c>
      <c r="I2615" t="s">
        <v>2354</v>
      </c>
    </row>
    <row r="2616" spans="1:9" x14ac:dyDescent="0.25">
      <c r="A2616" t="s">
        <v>220</v>
      </c>
      <c r="B2616" t="s">
        <v>2351</v>
      </c>
      <c r="C2616" t="s">
        <v>2770</v>
      </c>
      <c r="D2616" t="s">
        <v>2771</v>
      </c>
      <c r="F2616">
        <v>4</v>
      </c>
      <c r="G2616">
        <v>4.5530999999999997</v>
      </c>
      <c r="H2616">
        <v>18.212399999999999</v>
      </c>
      <c r="I2616" t="s">
        <v>2354</v>
      </c>
    </row>
    <row r="2617" spans="1:9" x14ac:dyDescent="0.25">
      <c r="A2617" t="s">
        <v>220</v>
      </c>
      <c r="B2617" t="s">
        <v>2351</v>
      </c>
      <c r="C2617" t="s">
        <v>2772</v>
      </c>
      <c r="D2617" t="s">
        <v>2773</v>
      </c>
      <c r="F2617">
        <v>2</v>
      </c>
      <c r="G2617">
        <v>0</v>
      </c>
      <c r="H2617">
        <v>0</v>
      </c>
      <c r="I2617" t="s">
        <v>2354</v>
      </c>
    </row>
    <row r="2618" spans="1:9" x14ac:dyDescent="0.25">
      <c r="A2618" t="s">
        <v>220</v>
      </c>
      <c r="B2618" t="s">
        <v>2351</v>
      </c>
      <c r="C2618" t="s">
        <v>2774</v>
      </c>
      <c r="D2618" t="s">
        <v>2775</v>
      </c>
      <c r="F2618">
        <v>2</v>
      </c>
      <c r="G2618">
        <v>13.4361</v>
      </c>
      <c r="H2618">
        <v>26.872199999999999</v>
      </c>
      <c r="I2618" t="s">
        <v>2354</v>
      </c>
    </row>
    <row r="2619" spans="1:9" x14ac:dyDescent="0.25">
      <c r="A2619" t="s">
        <v>220</v>
      </c>
      <c r="B2619" t="s">
        <v>2351</v>
      </c>
      <c r="C2619" t="s">
        <v>2776</v>
      </c>
      <c r="D2619" t="s">
        <v>2777</v>
      </c>
      <c r="F2619">
        <v>16</v>
      </c>
      <c r="G2619">
        <v>8.5500000000000007</v>
      </c>
      <c r="H2619">
        <v>136.80000000000001</v>
      </c>
      <c r="I2619" t="s">
        <v>2354</v>
      </c>
    </row>
    <row r="2620" spans="1:9" x14ac:dyDescent="0.25">
      <c r="A2620" t="s">
        <v>220</v>
      </c>
      <c r="B2620" t="s">
        <v>2351</v>
      </c>
      <c r="C2620" t="s">
        <v>2778</v>
      </c>
      <c r="D2620" t="s">
        <v>2779</v>
      </c>
      <c r="F2620">
        <v>5</v>
      </c>
      <c r="G2620">
        <v>10.35</v>
      </c>
      <c r="H2620">
        <v>51.75</v>
      </c>
      <c r="I2620" t="s">
        <v>2354</v>
      </c>
    </row>
    <row r="2621" spans="1:9" x14ac:dyDescent="0.25">
      <c r="A2621" t="s">
        <v>220</v>
      </c>
      <c r="B2621" t="s">
        <v>2351</v>
      </c>
      <c r="C2621" t="s">
        <v>2780</v>
      </c>
      <c r="D2621" t="s">
        <v>2781</v>
      </c>
      <c r="F2621">
        <v>1</v>
      </c>
      <c r="G2621">
        <v>31.95</v>
      </c>
      <c r="H2621">
        <v>31.95</v>
      </c>
      <c r="I2621" t="s">
        <v>2354</v>
      </c>
    </row>
    <row r="2622" spans="1:9" x14ac:dyDescent="0.25">
      <c r="A2622" t="s">
        <v>220</v>
      </c>
      <c r="B2622" t="s">
        <v>2351</v>
      </c>
      <c r="C2622" t="s">
        <v>2782</v>
      </c>
      <c r="D2622" t="s">
        <v>2783</v>
      </c>
      <c r="F2622">
        <v>8</v>
      </c>
      <c r="G2622">
        <v>9.9930000000000003</v>
      </c>
      <c r="H2622">
        <v>79.944000000000003</v>
      </c>
      <c r="I2622" t="s">
        <v>2354</v>
      </c>
    </row>
    <row r="2623" spans="1:9" x14ac:dyDescent="0.25">
      <c r="A2623" t="s">
        <v>220</v>
      </c>
      <c r="B2623" t="s">
        <v>2351</v>
      </c>
      <c r="C2623" t="s">
        <v>2784</v>
      </c>
      <c r="D2623" t="s">
        <v>2785</v>
      </c>
      <c r="F2623">
        <v>2</v>
      </c>
      <c r="G2623">
        <v>36.359099999999998</v>
      </c>
      <c r="H2623">
        <v>72.718199999999996</v>
      </c>
      <c r="I2623" t="s">
        <v>2354</v>
      </c>
    </row>
    <row r="2624" spans="1:9" x14ac:dyDescent="0.25">
      <c r="A2624" t="s">
        <v>220</v>
      </c>
      <c r="B2624" t="s">
        <v>2351</v>
      </c>
      <c r="C2624" t="s">
        <v>2786</v>
      </c>
      <c r="D2624" t="s">
        <v>2787</v>
      </c>
      <c r="F2624">
        <v>2</v>
      </c>
      <c r="G2624">
        <v>19.299600000000002</v>
      </c>
      <c r="H2624">
        <v>38.599200000000003</v>
      </c>
      <c r="I2624" t="s">
        <v>2354</v>
      </c>
    </row>
    <row r="2625" spans="1:9" x14ac:dyDescent="0.25">
      <c r="A2625" t="s">
        <v>220</v>
      </c>
      <c r="B2625" t="s">
        <v>2351</v>
      </c>
      <c r="C2625" t="s">
        <v>2788</v>
      </c>
      <c r="D2625" t="s">
        <v>2789</v>
      </c>
      <c r="F2625">
        <v>4</v>
      </c>
      <c r="G2625">
        <v>49.68</v>
      </c>
      <c r="H2625">
        <v>198.72</v>
      </c>
      <c r="I2625" t="s">
        <v>2354</v>
      </c>
    </row>
    <row r="2626" spans="1:9" x14ac:dyDescent="0.25">
      <c r="A2626" t="s">
        <v>220</v>
      </c>
      <c r="B2626" t="s">
        <v>2351</v>
      </c>
      <c r="C2626" t="s">
        <v>2790</v>
      </c>
      <c r="D2626" t="s">
        <v>2791</v>
      </c>
      <c r="F2626">
        <v>3</v>
      </c>
      <c r="G2626">
        <v>11.0115</v>
      </c>
      <c r="H2626">
        <v>33.034500000000001</v>
      </c>
      <c r="I2626" t="s">
        <v>2354</v>
      </c>
    </row>
    <row r="2627" spans="1:9" x14ac:dyDescent="0.25">
      <c r="A2627" t="s">
        <v>220</v>
      </c>
      <c r="B2627" t="s">
        <v>2351</v>
      </c>
      <c r="C2627" t="s">
        <v>2794</v>
      </c>
      <c r="D2627" t="s">
        <v>2795</v>
      </c>
      <c r="F2627">
        <v>1</v>
      </c>
      <c r="G2627">
        <v>10.35</v>
      </c>
      <c r="H2627">
        <v>10.35</v>
      </c>
      <c r="I2627" t="s">
        <v>2354</v>
      </c>
    </row>
    <row r="2628" spans="1:9" x14ac:dyDescent="0.25">
      <c r="A2628" t="s">
        <v>220</v>
      </c>
      <c r="B2628" t="s">
        <v>2351</v>
      </c>
      <c r="C2628" t="s">
        <v>2796</v>
      </c>
      <c r="D2628" t="s">
        <v>2797</v>
      </c>
      <c r="F2628">
        <v>1</v>
      </c>
      <c r="G2628">
        <v>10.35</v>
      </c>
      <c r="H2628">
        <v>10.35</v>
      </c>
      <c r="I2628" t="s">
        <v>2354</v>
      </c>
    </row>
    <row r="2629" spans="1:9" x14ac:dyDescent="0.25">
      <c r="A2629" t="s">
        <v>220</v>
      </c>
      <c r="B2629" t="s">
        <v>2351</v>
      </c>
      <c r="C2629" t="s">
        <v>2798</v>
      </c>
      <c r="D2629" t="s">
        <v>2799</v>
      </c>
      <c r="F2629">
        <v>9</v>
      </c>
      <c r="G2629">
        <v>10.35</v>
      </c>
      <c r="H2629">
        <v>93.149999999999991</v>
      </c>
      <c r="I2629" t="s">
        <v>2354</v>
      </c>
    </row>
    <row r="2630" spans="1:9" x14ac:dyDescent="0.25">
      <c r="A2630" t="s">
        <v>220</v>
      </c>
      <c r="B2630" t="s">
        <v>2351</v>
      </c>
      <c r="C2630" t="s">
        <v>2800</v>
      </c>
      <c r="D2630" t="s">
        <v>2801</v>
      </c>
      <c r="F2630">
        <v>1</v>
      </c>
      <c r="G2630">
        <v>10.35</v>
      </c>
      <c r="H2630">
        <v>10.35</v>
      </c>
      <c r="I2630" t="s">
        <v>2354</v>
      </c>
    </row>
    <row r="2631" spans="1:9" x14ac:dyDescent="0.25">
      <c r="A2631" t="s">
        <v>220</v>
      </c>
      <c r="B2631" t="s">
        <v>2351</v>
      </c>
      <c r="C2631" t="s">
        <v>2802</v>
      </c>
      <c r="D2631" t="s">
        <v>2803</v>
      </c>
      <c r="F2631">
        <v>9</v>
      </c>
      <c r="G2631">
        <v>22.5</v>
      </c>
      <c r="H2631">
        <v>202.5</v>
      </c>
      <c r="I2631" t="s">
        <v>2354</v>
      </c>
    </row>
    <row r="2632" spans="1:9" x14ac:dyDescent="0.25">
      <c r="A2632" t="s">
        <v>220</v>
      </c>
      <c r="B2632" t="s">
        <v>2351</v>
      </c>
      <c r="C2632" t="s">
        <v>2804</v>
      </c>
      <c r="D2632" t="s">
        <v>2805</v>
      </c>
      <c r="F2632">
        <v>2</v>
      </c>
      <c r="G2632">
        <v>29.7</v>
      </c>
      <c r="H2632">
        <v>59.4</v>
      </c>
      <c r="I2632" t="s">
        <v>2354</v>
      </c>
    </row>
    <row r="2633" spans="1:9" x14ac:dyDescent="0.25">
      <c r="A2633" t="s">
        <v>220</v>
      </c>
      <c r="B2633" t="s">
        <v>2351</v>
      </c>
      <c r="C2633" t="s">
        <v>2806</v>
      </c>
      <c r="D2633" t="s">
        <v>2807</v>
      </c>
      <c r="F2633">
        <v>6</v>
      </c>
      <c r="G2633">
        <v>10.35</v>
      </c>
      <c r="H2633">
        <v>62.099999999999994</v>
      </c>
      <c r="I2633" t="s">
        <v>2354</v>
      </c>
    </row>
    <row r="2634" spans="1:9" x14ac:dyDescent="0.25">
      <c r="A2634" t="s">
        <v>220</v>
      </c>
      <c r="B2634" t="s">
        <v>2351</v>
      </c>
      <c r="C2634" t="s">
        <v>2808</v>
      </c>
      <c r="D2634" t="s">
        <v>2809</v>
      </c>
      <c r="F2634">
        <v>3</v>
      </c>
      <c r="G2634">
        <v>10.35</v>
      </c>
      <c r="H2634">
        <v>31.049999999999997</v>
      </c>
      <c r="I2634" t="s">
        <v>2354</v>
      </c>
    </row>
    <row r="2635" spans="1:9" x14ac:dyDescent="0.25">
      <c r="A2635" t="s">
        <v>220</v>
      </c>
      <c r="B2635" t="s">
        <v>2351</v>
      </c>
      <c r="C2635" t="s">
        <v>2814</v>
      </c>
      <c r="D2635" t="s">
        <v>2815</v>
      </c>
      <c r="F2635">
        <v>4</v>
      </c>
      <c r="G2635">
        <v>144.81</v>
      </c>
      <c r="H2635">
        <v>579.24</v>
      </c>
      <c r="I2635" t="s">
        <v>2354</v>
      </c>
    </row>
    <row r="2636" spans="1:9" x14ac:dyDescent="0.25">
      <c r="A2636" t="s">
        <v>220</v>
      </c>
      <c r="B2636" t="s">
        <v>2351</v>
      </c>
      <c r="C2636" t="s">
        <v>2820</v>
      </c>
      <c r="D2636" t="s">
        <v>2821</v>
      </c>
      <c r="F2636">
        <v>2</v>
      </c>
      <c r="G2636">
        <v>21.08</v>
      </c>
      <c r="H2636">
        <v>42.16</v>
      </c>
      <c r="I2636" t="s">
        <v>2354</v>
      </c>
    </row>
    <row r="2637" spans="1:9" x14ac:dyDescent="0.25">
      <c r="A2637" t="s">
        <v>220</v>
      </c>
      <c r="B2637" t="s">
        <v>2351</v>
      </c>
      <c r="C2637" t="s">
        <v>2822</v>
      </c>
      <c r="D2637" t="s">
        <v>2823</v>
      </c>
      <c r="F2637">
        <v>2</v>
      </c>
      <c r="G2637">
        <v>21.08</v>
      </c>
      <c r="H2637">
        <v>42.16</v>
      </c>
      <c r="I2637" t="s">
        <v>2354</v>
      </c>
    </row>
    <row r="2638" spans="1:9" x14ac:dyDescent="0.25">
      <c r="A2638" t="s">
        <v>220</v>
      </c>
      <c r="B2638" t="s">
        <v>2351</v>
      </c>
      <c r="C2638" t="s">
        <v>2826</v>
      </c>
      <c r="D2638" t="s">
        <v>2827</v>
      </c>
      <c r="F2638">
        <v>1</v>
      </c>
      <c r="G2638">
        <v>153.595</v>
      </c>
      <c r="H2638">
        <v>153.595</v>
      </c>
      <c r="I2638" t="s">
        <v>2354</v>
      </c>
    </row>
    <row r="2639" spans="1:9" x14ac:dyDescent="0.25">
      <c r="A2639" t="s">
        <v>220</v>
      </c>
      <c r="B2639" t="s">
        <v>2351</v>
      </c>
      <c r="C2639" t="s">
        <v>2834</v>
      </c>
      <c r="D2639" t="s">
        <v>2835</v>
      </c>
      <c r="F2639">
        <v>4</v>
      </c>
      <c r="G2639">
        <v>16.881</v>
      </c>
      <c r="H2639">
        <v>67.524000000000001</v>
      </c>
      <c r="I2639" t="s">
        <v>2354</v>
      </c>
    </row>
    <row r="2640" spans="1:9" x14ac:dyDescent="0.25">
      <c r="A2640" t="s">
        <v>220</v>
      </c>
      <c r="B2640" t="s">
        <v>2351</v>
      </c>
      <c r="C2640" t="s">
        <v>2836</v>
      </c>
      <c r="D2640" t="s">
        <v>2837</v>
      </c>
      <c r="F2640">
        <v>1</v>
      </c>
      <c r="G2640">
        <v>19.5</v>
      </c>
      <c r="H2640">
        <v>19.5</v>
      </c>
      <c r="I2640" t="s">
        <v>2354</v>
      </c>
    </row>
    <row r="2641" spans="1:9" x14ac:dyDescent="0.25">
      <c r="A2641" t="s">
        <v>220</v>
      </c>
      <c r="B2641" t="s">
        <v>2351</v>
      </c>
      <c r="C2641" t="s">
        <v>2840</v>
      </c>
      <c r="D2641" t="s">
        <v>2841</v>
      </c>
      <c r="F2641">
        <v>1</v>
      </c>
      <c r="G2641">
        <v>63.444000000000003</v>
      </c>
      <c r="H2641">
        <v>63.444000000000003</v>
      </c>
      <c r="I2641" t="s">
        <v>2354</v>
      </c>
    </row>
    <row r="2642" spans="1:9" x14ac:dyDescent="0.25">
      <c r="A2642" t="s">
        <v>220</v>
      </c>
      <c r="B2642" t="s">
        <v>2351</v>
      </c>
      <c r="C2642" t="s">
        <v>2842</v>
      </c>
      <c r="D2642" t="s">
        <v>2843</v>
      </c>
      <c r="F2642">
        <v>3</v>
      </c>
      <c r="G2642">
        <v>21.59</v>
      </c>
      <c r="H2642">
        <v>64.77</v>
      </c>
      <c r="I2642" t="s">
        <v>2354</v>
      </c>
    </row>
    <row r="2643" spans="1:9" x14ac:dyDescent="0.25">
      <c r="A2643" t="s">
        <v>220</v>
      </c>
      <c r="B2643" t="s">
        <v>2351</v>
      </c>
      <c r="C2643" t="s">
        <v>2846</v>
      </c>
      <c r="D2643" t="s">
        <v>2847</v>
      </c>
      <c r="F2643">
        <v>2</v>
      </c>
      <c r="G2643">
        <v>42.953400000000002</v>
      </c>
      <c r="H2643">
        <v>85.906800000000004</v>
      </c>
      <c r="I2643" t="s">
        <v>2354</v>
      </c>
    </row>
    <row r="2644" spans="1:9" x14ac:dyDescent="0.25">
      <c r="A2644" t="s">
        <v>220</v>
      </c>
      <c r="B2644" t="s">
        <v>2351</v>
      </c>
      <c r="C2644" t="s">
        <v>2848</v>
      </c>
      <c r="D2644" t="s">
        <v>2849</v>
      </c>
      <c r="F2644">
        <v>6</v>
      </c>
      <c r="G2644">
        <v>49.3596</v>
      </c>
      <c r="H2644">
        <v>296.1576</v>
      </c>
      <c r="I2644" t="s">
        <v>2354</v>
      </c>
    </row>
    <row r="2645" spans="1:9" x14ac:dyDescent="0.25">
      <c r="A2645" t="s">
        <v>220</v>
      </c>
      <c r="B2645" t="s">
        <v>2351</v>
      </c>
      <c r="C2645" t="s">
        <v>2850</v>
      </c>
      <c r="D2645" t="s">
        <v>2851</v>
      </c>
      <c r="F2645">
        <v>2</v>
      </c>
      <c r="G2645">
        <v>92.7</v>
      </c>
      <c r="H2645">
        <v>185.4</v>
      </c>
      <c r="I2645" t="s">
        <v>2354</v>
      </c>
    </row>
    <row r="2646" spans="1:9" x14ac:dyDescent="0.25">
      <c r="A2646" t="s">
        <v>220</v>
      </c>
      <c r="B2646" t="s">
        <v>2351</v>
      </c>
      <c r="C2646" t="s">
        <v>2852</v>
      </c>
      <c r="D2646" t="s">
        <v>2853</v>
      </c>
      <c r="F2646">
        <v>4</v>
      </c>
      <c r="G2646">
        <v>55.125</v>
      </c>
      <c r="H2646">
        <v>220.5</v>
      </c>
      <c r="I2646" t="s">
        <v>2354</v>
      </c>
    </row>
    <row r="2647" spans="1:9" x14ac:dyDescent="0.25">
      <c r="A2647" t="s">
        <v>220</v>
      </c>
      <c r="B2647" t="s">
        <v>2351</v>
      </c>
      <c r="C2647" t="s">
        <v>2854</v>
      </c>
      <c r="D2647" t="s">
        <v>2855</v>
      </c>
      <c r="F2647">
        <v>1</v>
      </c>
      <c r="G2647">
        <v>34.961849999999998</v>
      </c>
      <c r="H2647">
        <v>34.961849999999998</v>
      </c>
      <c r="I2647" t="s">
        <v>2354</v>
      </c>
    </row>
    <row r="2648" spans="1:9" x14ac:dyDescent="0.25">
      <c r="A2648" t="s">
        <v>220</v>
      </c>
      <c r="B2648" t="s">
        <v>2351</v>
      </c>
      <c r="C2648" t="s">
        <v>2856</v>
      </c>
      <c r="D2648" t="s">
        <v>2857</v>
      </c>
      <c r="F2648">
        <v>3</v>
      </c>
      <c r="G2648">
        <v>33.125</v>
      </c>
      <c r="H2648">
        <v>99.375</v>
      </c>
      <c r="I2648" t="s">
        <v>2354</v>
      </c>
    </row>
    <row r="2649" spans="1:9" x14ac:dyDescent="0.25">
      <c r="A2649" t="s">
        <v>220</v>
      </c>
      <c r="B2649" t="s">
        <v>2351</v>
      </c>
      <c r="C2649" t="s">
        <v>2858</v>
      </c>
      <c r="D2649" t="s">
        <v>2859</v>
      </c>
      <c r="F2649">
        <v>1</v>
      </c>
      <c r="G2649">
        <v>18.982800000000001</v>
      </c>
      <c r="H2649">
        <v>18.982800000000001</v>
      </c>
      <c r="I2649" t="s">
        <v>2354</v>
      </c>
    </row>
    <row r="2650" spans="1:9" x14ac:dyDescent="0.25">
      <c r="A2650" t="s">
        <v>220</v>
      </c>
      <c r="B2650" t="s">
        <v>2351</v>
      </c>
      <c r="C2650" t="s">
        <v>2860</v>
      </c>
      <c r="D2650" t="s">
        <v>2861</v>
      </c>
      <c r="F2650">
        <v>5</v>
      </c>
      <c r="G2650">
        <v>39.761099999999999</v>
      </c>
      <c r="H2650">
        <v>198.80549999999999</v>
      </c>
      <c r="I2650" t="s">
        <v>2354</v>
      </c>
    </row>
    <row r="2651" spans="1:9" x14ac:dyDescent="0.25">
      <c r="A2651" t="s">
        <v>220</v>
      </c>
      <c r="B2651" t="s">
        <v>2351</v>
      </c>
      <c r="C2651" t="s">
        <v>2862</v>
      </c>
      <c r="D2651" t="s">
        <v>2863</v>
      </c>
      <c r="F2651">
        <v>5</v>
      </c>
      <c r="G2651">
        <v>38.228760000000001</v>
      </c>
      <c r="H2651">
        <v>191.1438</v>
      </c>
      <c r="I2651" t="s">
        <v>2354</v>
      </c>
    </row>
    <row r="2652" spans="1:9" x14ac:dyDescent="0.25">
      <c r="A2652" t="s">
        <v>220</v>
      </c>
      <c r="B2652" t="s">
        <v>2351</v>
      </c>
      <c r="C2652" t="s">
        <v>2864</v>
      </c>
      <c r="D2652" t="s">
        <v>2865</v>
      </c>
      <c r="F2652">
        <v>2</v>
      </c>
      <c r="G2652">
        <v>22.929201680672268</v>
      </c>
      <c r="H2652">
        <v>45.858403361344536</v>
      </c>
      <c r="I2652" t="s">
        <v>2354</v>
      </c>
    </row>
    <row r="2653" spans="1:9" x14ac:dyDescent="0.25">
      <c r="A2653" t="s">
        <v>220</v>
      </c>
      <c r="B2653" t="s">
        <v>2351</v>
      </c>
      <c r="C2653" t="s">
        <v>2866</v>
      </c>
      <c r="D2653" t="s">
        <v>2867</v>
      </c>
      <c r="F2653">
        <v>2</v>
      </c>
      <c r="G2653">
        <v>56.713500000000003</v>
      </c>
      <c r="H2653">
        <v>113.42700000000001</v>
      </c>
      <c r="I2653" t="s">
        <v>2354</v>
      </c>
    </row>
    <row r="2654" spans="1:9" x14ac:dyDescent="0.25">
      <c r="A2654" t="s">
        <v>220</v>
      </c>
      <c r="B2654" t="s">
        <v>2351</v>
      </c>
      <c r="C2654" t="s">
        <v>2379</v>
      </c>
      <c r="D2654" t="s">
        <v>2380</v>
      </c>
      <c r="F2654">
        <v>5</v>
      </c>
      <c r="G2654">
        <v>10.143000000000001</v>
      </c>
      <c r="H2654">
        <v>50.715000000000003</v>
      </c>
      <c r="I2654" t="s">
        <v>2354</v>
      </c>
    </row>
    <row r="2655" spans="1:9" x14ac:dyDescent="0.25">
      <c r="A2655" t="s">
        <v>220</v>
      </c>
      <c r="B2655" t="s">
        <v>2351</v>
      </c>
      <c r="C2655" t="s">
        <v>2874</v>
      </c>
      <c r="D2655" t="s">
        <v>2875</v>
      </c>
      <c r="F2655">
        <v>3</v>
      </c>
      <c r="G2655">
        <v>0</v>
      </c>
      <c r="H2655">
        <v>0</v>
      </c>
      <c r="I2655" t="s">
        <v>2354</v>
      </c>
    </row>
    <row r="2656" spans="1:9" x14ac:dyDescent="0.25">
      <c r="A2656" t="s">
        <v>220</v>
      </c>
      <c r="B2656" t="s">
        <v>2351</v>
      </c>
      <c r="C2656" t="s">
        <v>2876</v>
      </c>
      <c r="D2656" t="s">
        <v>2877</v>
      </c>
      <c r="F2656">
        <v>2</v>
      </c>
      <c r="G2656">
        <v>32.4</v>
      </c>
      <c r="H2656">
        <v>64.8</v>
      </c>
      <c r="I2656" t="s">
        <v>2354</v>
      </c>
    </row>
    <row r="2657" spans="1:9" x14ac:dyDescent="0.25">
      <c r="A2657" t="s">
        <v>220</v>
      </c>
      <c r="B2657" t="s">
        <v>2351</v>
      </c>
      <c r="C2657" t="s">
        <v>2886</v>
      </c>
      <c r="D2657" t="s">
        <v>2887</v>
      </c>
      <c r="F2657">
        <v>3</v>
      </c>
      <c r="G2657">
        <v>4.6890000000000001</v>
      </c>
      <c r="H2657">
        <v>14.067</v>
      </c>
      <c r="I2657" t="s">
        <v>2354</v>
      </c>
    </row>
    <row r="2658" spans="1:9" x14ac:dyDescent="0.25">
      <c r="A2658" t="s">
        <v>220</v>
      </c>
      <c r="B2658" t="s">
        <v>2351</v>
      </c>
      <c r="C2658" t="s">
        <v>2888</v>
      </c>
      <c r="D2658" t="s">
        <v>2889</v>
      </c>
      <c r="F2658">
        <v>5</v>
      </c>
      <c r="G2658">
        <v>10.941000000000001</v>
      </c>
      <c r="H2658">
        <v>54.705000000000005</v>
      </c>
      <c r="I2658" t="s">
        <v>2354</v>
      </c>
    </row>
    <row r="2659" spans="1:9" x14ac:dyDescent="0.25">
      <c r="A2659" t="s">
        <v>220</v>
      </c>
      <c r="B2659" t="s">
        <v>2351</v>
      </c>
      <c r="C2659" t="s">
        <v>2894</v>
      </c>
      <c r="D2659" t="s">
        <v>2895</v>
      </c>
      <c r="F2659">
        <v>3</v>
      </c>
      <c r="G2659">
        <v>10.143000000000001</v>
      </c>
      <c r="H2659">
        <v>30.429000000000002</v>
      </c>
      <c r="I2659" t="s">
        <v>2354</v>
      </c>
    </row>
    <row r="2660" spans="1:9" x14ac:dyDescent="0.25">
      <c r="A2660" t="s">
        <v>220</v>
      </c>
      <c r="B2660" t="s">
        <v>2351</v>
      </c>
      <c r="C2660" t="s">
        <v>2898</v>
      </c>
      <c r="D2660" t="s">
        <v>2899</v>
      </c>
      <c r="F2660">
        <v>4</v>
      </c>
      <c r="G2660">
        <v>10.143000000000001</v>
      </c>
      <c r="H2660">
        <v>40.572000000000003</v>
      </c>
      <c r="I2660" t="s">
        <v>2354</v>
      </c>
    </row>
    <row r="2661" spans="1:9" x14ac:dyDescent="0.25">
      <c r="A2661" t="s">
        <v>220</v>
      </c>
      <c r="B2661" t="s">
        <v>2351</v>
      </c>
      <c r="C2661" t="s">
        <v>2900</v>
      </c>
      <c r="D2661" t="s">
        <v>2901</v>
      </c>
      <c r="F2661">
        <v>6</v>
      </c>
      <c r="G2661">
        <v>10.143000000000001</v>
      </c>
      <c r="H2661">
        <v>60.858000000000004</v>
      </c>
      <c r="I2661" t="s">
        <v>2354</v>
      </c>
    </row>
    <row r="2662" spans="1:9" x14ac:dyDescent="0.25">
      <c r="A2662" t="s">
        <v>220</v>
      </c>
      <c r="B2662" t="s">
        <v>2351</v>
      </c>
      <c r="C2662" t="s">
        <v>2902</v>
      </c>
      <c r="D2662" t="s">
        <v>2903</v>
      </c>
      <c r="F2662">
        <v>6</v>
      </c>
      <c r="G2662">
        <v>5.4503999999999992</v>
      </c>
      <c r="H2662">
        <v>32.702399999999997</v>
      </c>
      <c r="I2662" t="s">
        <v>2354</v>
      </c>
    </row>
    <row r="2663" spans="1:9" x14ac:dyDescent="0.25">
      <c r="A2663" t="s">
        <v>220</v>
      </c>
      <c r="B2663" t="s">
        <v>2351</v>
      </c>
      <c r="C2663" t="s">
        <v>2906</v>
      </c>
      <c r="D2663" t="s">
        <v>2907</v>
      </c>
      <c r="F2663">
        <v>2</v>
      </c>
      <c r="G2663">
        <v>7.1639999999999988</v>
      </c>
      <c r="H2663">
        <v>14.327999999999998</v>
      </c>
      <c r="I2663" t="s">
        <v>2354</v>
      </c>
    </row>
    <row r="2664" spans="1:9" x14ac:dyDescent="0.25">
      <c r="A2664" t="s">
        <v>220</v>
      </c>
      <c r="B2664" t="s">
        <v>2351</v>
      </c>
      <c r="C2664" t="s">
        <v>2908</v>
      </c>
      <c r="D2664" t="s">
        <v>2909</v>
      </c>
      <c r="F2664">
        <v>9</v>
      </c>
      <c r="G2664">
        <v>10.143000000000001</v>
      </c>
      <c r="H2664">
        <v>91.287000000000006</v>
      </c>
      <c r="I2664" t="s">
        <v>2354</v>
      </c>
    </row>
    <row r="2665" spans="1:9" x14ac:dyDescent="0.25">
      <c r="A2665" t="s">
        <v>220</v>
      </c>
      <c r="B2665" t="s">
        <v>2351</v>
      </c>
      <c r="C2665" t="s">
        <v>2910</v>
      </c>
      <c r="D2665" t="s">
        <v>2911</v>
      </c>
      <c r="F2665">
        <v>1</v>
      </c>
      <c r="G2665">
        <v>10.143000000000001</v>
      </c>
      <c r="H2665">
        <v>10.143000000000001</v>
      </c>
      <c r="I2665" t="s">
        <v>2354</v>
      </c>
    </row>
    <row r="2666" spans="1:9" x14ac:dyDescent="0.25">
      <c r="A2666" t="s">
        <v>220</v>
      </c>
      <c r="B2666" t="s">
        <v>2351</v>
      </c>
      <c r="C2666" t="s">
        <v>2912</v>
      </c>
      <c r="D2666" t="s">
        <v>2913</v>
      </c>
      <c r="F2666">
        <v>10</v>
      </c>
      <c r="G2666">
        <v>10.143000000000001</v>
      </c>
      <c r="H2666">
        <v>101.43</v>
      </c>
      <c r="I2666" t="s">
        <v>2354</v>
      </c>
    </row>
    <row r="2667" spans="1:9" x14ac:dyDescent="0.25">
      <c r="A2667" t="s">
        <v>220</v>
      </c>
      <c r="B2667" t="s">
        <v>2351</v>
      </c>
      <c r="C2667" t="s">
        <v>2914</v>
      </c>
      <c r="D2667" t="s">
        <v>2915</v>
      </c>
      <c r="F2667">
        <v>4</v>
      </c>
      <c r="G2667">
        <v>10.143000000000001</v>
      </c>
      <c r="H2667">
        <v>40.572000000000003</v>
      </c>
      <c r="I2667" t="s">
        <v>2354</v>
      </c>
    </row>
    <row r="2668" spans="1:9" x14ac:dyDescent="0.25">
      <c r="A2668" t="s">
        <v>220</v>
      </c>
      <c r="B2668" t="s">
        <v>2351</v>
      </c>
      <c r="C2668" t="s">
        <v>2916</v>
      </c>
      <c r="D2668" t="s">
        <v>2917</v>
      </c>
      <c r="F2668">
        <v>2</v>
      </c>
      <c r="G2668">
        <v>12.473999999999998</v>
      </c>
      <c r="H2668">
        <v>24.947999999999997</v>
      </c>
      <c r="I2668" t="s">
        <v>2354</v>
      </c>
    </row>
    <row r="2669" spans="1:9" x14ac:dyDescent="0.25">
      <c r="A2669" t="s">
        <v>220</v>
      </c>
      <c r="B2669" t="s">
        <v>2351</v>
      </c>
      <c r="C2669" t="s">
        <v>2918</v>
      </c>
      <c r="D2669" t="s">
        <v>2919</v>
      </c>
      <c r="F2669">
        <v>5</v>
      </c>
      <c r="G2669">
        <v>10.143000000000001</v>
      </c>
      <c r="H2669">
        <v>50.715000000000003</v>
      </c>
      <c r="I2669" t="s">
        <v>2354</v>
      </c>
    </row>
    <row r="2670" spans="1:9" x14ac:dyDescent="0.25">
      <c r="A2670" t="s">
        <v>220</v>
      </c>
      <c r="B2670" t="s">
        <v>2351</v>
      </c>
      <c r="C2670" t="s">
        <v>2920</v>
      </c>
      <c r="D2670" t="s">
        <v>2921</v>
      </c>
      <c r="F2670">
        <v>3</v>
      </c>
      <c r="G2670">
        <v>10.143000000000001</v>
      </c>
      <c r="H2670">
        <v>30.429000000000002</v>
      </c>
      <c r="I2670" t="s">
        <v>2354</v>
      </c>
    </row>
    <row r="2671" spans="1:9" x14ac:dyDescent="0.25">
      <c r="A2671" t="s">
        <v>220</v>
      </c>
      <c r="B2671" t="s">
        <v>2351</v>
      </c>
      <c r="C2671" t="s">
        <v>2922</v>
      </c>
      <c r="D2671" t="s">
        <v>2923</v>
      </c>
      <c r="F2671">
        <v>8</v>
      </c>
      <c r="G2671">
        <v>10.143000000000001</v>
      </c>
      <c r="H2671">
        <v>81.144000000000005</v>
      </c>
      <c r="I2671" t="s">
        <v>2354</v>
      </c>
    </row>
    <row r="2672" spans="1:9" x14ac:dyDescent="0.25">
      <c r="A2672" t="s">
        <v>220</v>
      </c>
      <c r="B2672" t="s">
        <v>2351</v>
      </c>
      <c r="C2672" t="s">
        <v>2926</v>
      </c>
      <c r="D2672" t="s">
        <v>2927</v>
      </c>
      <c r="F2672">
        <v>2</v>
      </c>
      <c r="G2672">
        <v>7.9001999999999999</v>
      </c>
      <c r="H2672">
        <v>15.8004</v>
      </c>
      <c r="I2672" t="s">
        <v>2354</v>
      </c>
    </row>
    <row r="2673" spans="1:9" x14ac:dyDescent="0.25">
      <c r="A2673" t="s">
        <v>220</v>
      </c>
      <c r="B2673" t="s">
        <v>2351</v>
      </c>
      <c r="C2673" t="s">
        <v>2928</v>
      </c>
      <c r="D2673" t="s">
        <v>2929</v>
      </c>
      <c r="F2673">
        <v>1</v>
      </c>
      <c r="G2673">
        <v>10.143000000000001</v>
      </c>
      <c r="H2673">
        <v>10.143000000000001</v>
      </c>
      <c r="I2673" t="s">
        <v>2354</v>
      </c>
    </row>
    <row r="2674" spans="1:9" x14ac:dyDescent="0.25">
      <c r="A2674" t="s">
        <v>220</v>
      </c>
      <c r="B2674" t="s">
        <v>2351</v>
      </c>
      <c r="C2674" t="s">
        <v>2930</v>
      </c>
      <c r="D2674" t="s">
        <v>2931</v>
      </c>
      <c r="F2674">
        <v>5</v>
      </c>
      <c r="G2674">
        <v>10.143000000000001</v>
      </c>
      <c r="H2674">
        <v>50.715000000000003</v>
      </c>
      <c r="I2674" t="s">
        <v>2354</v>
      </c>
    </row>
    <row r="2675" spans="1:9" x14ac:dyDescent="0.25">
      <c r="A2675" t="s">
        <v>220</v>
      </c>
      <c r="B2675" t="s">
        <v>2351</v>
      </c>
      <c r="C2675" t="s">
        <v>2932</v>
      </c>
      <c r="D2675" t="s">
        <v>2933</v>
      </c>
      <c r="F2675">
        <v>6</v>
      </c>
      <c r="G2675">
        <v>7.1459999999999999</v>
      </c>
      <c r="H2675">
        <v>42.875999999999998</v>
      </c>
      <c r="I2675" t="s">
        <v>2354</v>
      </c>
    </row>
    <row r="2676" spans="1:9" x14ac:dyDescent="0.25">
      <c r="A2676" t="s">
        <v>220</v>
      </c>
      <c r="B2676" t="s">
        <v>2351</v>
      </c>
      <c r="C2676" t="s">
        <v>2934</v>
      </c>
      <c r="D2676" t="s">
        <v>2935</v>
      </c>
      <c r="F2676">
        <v>12</v>
      </c>
      <c r="G2676">
        <v>38.568600000000004</v>
      </c>
      <c r="H2676">
        <v>462.82320000000004</v>
      </c>
      <c r="I2676" t="s">
        <v>2354</v>
      </c>
    </row>
    <row r="2677" spans="1:9" x14ac:dyDescent="0.25">
      <c r="A2677" t="s">
        <v>220</v>
      </c>
      <c r="B2677" t="s">
        <v>2351</v>
      </c>
      <c r="C2677" t="s">
        <v>2938</v>
      </c>
      <c r="D2677" t="s">
        <v>2939</v>
      </c>
      <c r="F2677">
        <v>3</v>
      </c>
      <c r="G2677">
        <v>1.9431</v>
      </c>
      <c r="H2677">
        <v>5.8292999999999999</v>
      </c>
      <c r="I2677" t="s">
        <v>2354</v>
      </c>
    </row>
    <row r="2678" spans="1:9" x14ac:dyDescent="0.25">
      <c r="A2678" t="s">
        <v>220</v>
      </c>
      <c r="B2678" t="s">
        <v>2351</v>
      </c>
      <c r="C2678" t="s">
        <v>2940</v>
      </c>
      <c r="D2678" t="s">
        <v>2941</v>
      </c>
      <c r="F2678">
        <v>3</v>
      </c>
      <c r="G2678">
        <v>10.143000000000001</v>
      </c>
      <c r="H2678">
        <v>30.429000000000002</v>
      </c>
      <c r="I2678" t="s">
        <v>2354</v>
      </c>
    </row>
    <row r="2679" spans="1:9" x14ac:dyDescent="0.25">
      <c r="A2679" t="s">
        <v>220</v>
      </c>
      <c r="B2679" t="s">
        <v>2351</v>
      </c>
      <c r="C2679" t="s">
        <v>2942</v>
      </c>
      <c r="D2679" t="s">
        <v>2943</v>
      </c>
      <c r="F2679">
        <v>4</v>
      </c>
      <c r="G2679">
        <v>10.6488</v>
      </c>
      <c r="H2679">
        <v>42.595199999999998</v>
      </c>
      <c r="I2679" t="s">
        <v>2354</v>
      </c>
    </row>
    <row r="2680" spans="1:9" x14ac:dyDescent="0.25">
      <c r="A2680" t="s">
        <v>220</v>
      </c>
      <c r="B2680" t="s">
        <v>2351</v>
      </c>
      <c r="C2680" t="s">
        <v>2946</v>
      </c>
      <c r="D2680" t="s">
        <v>2947</v>
      </c>
      <c r="F2680">
        <v>4</v>
      </c>
      <c r="G2680">
        <v>10.6488</v>
      </c>
      <c r="H2680">
        <v>42.595199999999998</v>
      </c>
      <c r="I2680" t="s">
        <v>2354</v>
      </c>
    </row>
    <row r="2681" spans="1:9" x14ac:dyDescent="0.25">
      <c r="A2681" t="s">
        <v>220</v>
      </c>
      <c r="B2681" t="s">
        <v>2351</v>
      </c>
      <c r="C2681" t="s">
        <v>2948</v>
      </c>
      <c r="D2681" t="s">
        <v>2949</v>
      </c>
      <c r="F2681">
        <v>2</v>
      </c>
      <c r="G2681">
        <v>45.642600000000002</v>
      </c>
      <c r="H2681">
        <v>91.285200000000003</v>
      </c>
      <c r="I2681" t="s">
        <v>2354</v>
      </c>
    </row>
    <row r="2682" spans="1:9" x14ac:dyDescent="0.25">
      <c r="A2682" t="s">
        <v>220</v>
      </c>
      <c r="B2682" t="s">
        <v>2351</v>
      </c>
      <c r="C2682" t="s">
        <v>2950</v>
      </c>
      <c r="D2682" t="s">
        <v>2951</v>
      </c>
      <c r="F2682">
        <v>5</v>
      </c>
      <c r="G2682">
        <v>31.013999999999999</v>
      </c>
      <c r="H2682">
        <v>155.07</v>
      </c>
      <c r="I2682" t="s">
        <v>2354</v>
      </c>
    </row>
    <row r="2683" spans="1:9" x14ac:dyDescent="0.25">
      <c r="A2683" t="s">
        <v>220</v>
      </c>
      <c r="B2683" t="s">
        <v>2351</v>
      </c>
      <c r="C2683" t="s">
        <v>2958</v>
      </c>
      <c r="D2683" t="s">
        <v>2959</v>
      </c>
      <c r="F2683">
        <v>3</v>
      </c>
      <c r="G2683">
        <v>25.794</v>
      </c>
      <c r="H2683">
        <v>77.382000000000005</v>
      </c>
      <c r="I2683" t="s">
        <v>2354</v>
      </c>
    </row>
    <row r="2684" spans="1:9" x14ac:dyDescent="0.25">
      <c r="A2684" t="s">
        <v>220</v>
      </c>
      <c r="B2684" t="s">
        <v>2351</v>
      </c>
      <c r="C2684" t="s">
        <v>2960</v>
      </c>
      <c r="D2684" t="s">
        <v>2961</v>
      </c>
      <c r="F2684">
        <v>5</v>
      </c>
      <c r="G2684">
        <v>22.878</v>
      </c>
      <c r="H2684">
        <v>114.39</v>
      </c>
      <c r="I2684" t="s">
        <v>2354</v>
      </c>
    </row>
    <row r="2685" spans="1:9" x14ac:dyDescent="0.25">
      <c r="A2685" t="s">
        <v>220</v>
      </c>
      <c r="B2685" t="s">
        <v>2351</v>
      </c>
      <c r="C2685" t="s">
        <v>2962</v>
      </c>
      <c r="D2685" t="s">
        <v>2963</v>
      </c>
      <c r="F2685">
        <v>2</v>
      </c>
      <c r="G2685">
        <v>22.878</v>
      </c>
      <c r="H2685">
        <v>45.756</v>
      </c>
      <c r="I2685" t="s">
        <v>2354</v>
      </c>
    </row>
    <row r="2686" spans="1:9" x14ac:dyDescent="0.25">
      <c r="A2686" t="s">
        <v>220</v>
      </c>
      <c r="B2686" t="s">
        <v>2351</v>
      </c>
      <c r="C2686" t="s">
        <v>2964</v>
      </c>
      <c r="D2686" t="s">
        <v>2965</v>
      </c>
      <c r="F2686">
        <v>8</v>
      </c>
      <c r="G2686">
        <v>10.89</v>
      </c>
      <c r="H2686">
        <v>87.12</v>
      </c>
      <c r="I2686" t="s">
        <v>2354</v>
      </c>
    </row>
    <row r="2687" spans="1:9" x14ac:dyDescent="0.25">
      <c r="A2687" t="s">
        <v>220</v>
      </c>
      <c r="B2687" t="s">
        <v>2351</v>
      </c>
      <c r="C2687" t="s">
        <v>2966</v>
      </c>
      <c r="D2687" t="s">
        <v>2967</v>
      </c>
      <c r="F2687">
        <v>3</v>
      </c>
      <c r="G2687">
        <v>20.930399999999999</v>
      </c>
      <c r="H2687">
        <v>62.791199999999996</v>
      </c>
      <c r="I2687" t="s">
        <v>2354</v>
      </c>
    </row>
    <row r="2688" spans="1:9" x14ac:dyDescent="0.25">
      <c r="A2688" t="s">
        <v>220</v>
      </c>
      <c r="B2688" t="s">
        <v>2351</v>
      </c>
      <c r="C2688" t="s">
        <v>2968</v>
      </c>
      <c r="D2688" t="s">
        <v>2969</v>
      </c>
      <c r="F2688">
        <v>1</v>
      </c>
      <c r="G2688">
        <v>13.855049999999999</v>
      </c>
      <c r="H2688">
        <v>13.855049999999999</v>
      </c>
      <c r="I2688" t="s">
        <v>2354</v>
      </c>
    </row>
    <row r="2689" spans="1:9" x14ac:dyDescent="0.25">
      <c r="A2689" t="s">
        <v>220</v>
      </c>
      <c r="B2689" t="s">
        <v>2351</v>
      </c>
      <c r="C2689" t="s">
        <v>2970</v>
      </c>
      <c r="D2689" t="s">
        <v>2971</v>
      </c>
      <c r="F2689">
        <v>9</v>
      </c>
      <c r="G2689">
        <v>14.31</v>
      </c>
      <c r="H2689">
        <v>128.79</v>
      </c>
      <c r="I2689" t="s">
        <v>2354</v>
      </c>
    </row>
    <row r="2690" spans="1:9" x14ac:dyDescent="0.25">
      <c r="A2690" t="s">
        <v>220</v>
      </c>
      <c r="B2690" t="s">
        <v>2351</v>
      </c>
      <c r="C2690" t="s">
        <v>2976</v>
      </c>
      <c r="D2690" t="s">
        <v>2977</v>
      </c>
      <c r="F2690">
        <v>2</v>
      </c>
      <c r="G2690">
        <v>115</v>
      </c>
      <c r="H2690">
        <v>230</v>
      </c>
      <c r="I2690" t="s">
        <v>2354</v>
      </c>
    </row>
    <row r="2691" spans="1:9" x14ac:dyDescent="0.25">
      <c r="A2691" t="s">
        <v>220</v>
      </c>
      <c r="B2691" t="s">
        <v>2351</v>
      </c>
      <c r="C2691" t="s">
        <v>2978</v>
      </c>
      <c r="D2691" t="s">
        <v>2979</v>
      </c>
      <c r="F2691">
        <v>2</v>
      </c>
      <c r="G2691">
        <v>0</v>
      </c>
      <c r="H2691">
        <v>0</v>
      </c>
      <c r="I2691" t="s">
        <v>2354</v>
      </c>
    </row>
    <row r="2692" spans="1:9" x14ac:dyDescent="0.25">
      <c r="A2692" t="s">
        <v>220</v>
      </c>
      <c r="B2692" t="s">
        <v>2351</v>
      </c>
      <c r="C2692" t="s">
        <v>2980</v>
      </c>
      <c r="D2692" t="s">
        <v>2981</v>
      </c>
      <c r="F2692">
        <v>22</v>
      </c>
      <c r="G2692">
        <v>0</v>
      </c>
      <c r="H2692">
        <v>0</v>
      </c>
      <c r="I2692" t="s">
        <v>2354</v>
      </c>
    </row>
    <row r="2693" spans="1:9" x14ac:dyDescent="0.25">
      <c r="A2693" t="s">
        <v>220</v>
      </c>
      <c r="B2693" t="s">
        <v>2351</v>
      </c>
      <c r="C2693" t="s">
        <v>2982</v>
      </c>
      <c r="D2693" t="s">
        <v>2983</v>
      </c>
      <c r="F2693">
        <v>2</v>
      </c>
      <c r="G2693">
        <v>0</v>
      </c>
      <c r="H2693">
        <v>0</v>
      </c>
      <c r="I2693" t="s">
        <v>2354</v>
      </c>
    </row>
    <row r="2694" spans="1:9" x14ac:dyDescent="0.25">
      <c r="A2694" t="s">
        <v>220</v>
      </c>
      <c r="B2694" t="s">
        <v>2351</v>
      </c>
      <c r="C2694" t="s">
        <v>2984</v>
      </c>
      <c r="D2694" t="s">
        <v>2985</v>
      </c>
      <c r="F2694">
        <v>6</v>
      </c>
      <c r="G2694">
        <v>14.706</v>
      </c>
      <c r="H2694">
        <v>88.23599999999999</v>
      </c>
      <c r="I2694" t="s">
        <v>2354</v>
      </c>
    </row>
    <row r="2695" spans="1:9" x14ac:dyDescent="0.25">
      <c r="A2695" t="s">
        <v>220</v>
      </c>
      <c r="B2695" t="s">
        <v>2351</v>
      </c>
      <c r="C2695" t="s">
        <v>2986</v>
      </c>
      <c r="D2695" t="s">
        <v>2987</v>
      </c>
      <c r="F2695">
        <v>1</v>
      </c>
      <c r="G2695">
        <v>487.8</v>
      </c>
      <c r="H2695">
        <v>487.8</v>
      </c>
      <c r="I2695" t="s">
        <v>2354</v>
      </c>
    </row>
    <row r="2696" spans="1:9" x14ac:dyDescent="0.25">
      <c r="A2696" t="s">
        <v>220</v>
      </c>
      <c r="B2696" t="s">
        <v>2351</v>
      </c>
      <c r="C2696" t="s">
        <v>2988</v>
      </c>
      <c r="D2696" t="s">
        <v>2989</v>
      </c>
      <c r="F2696">
        <v>1</v>
      </c>
      <c r="G2696">
        <v>158.904</v>
      </c>
      <c r="H2696">
        <v>158.904</v>
      </c>
      <c r="I2696" t="s">
        <v>2354</v>
      </c>
    </row>
    <row r="2697" spans="1:9" x14ac:dyDescent="0.25">
      <c r="A2697" t="s">
        <v>220</v>
      </c>
      <c r="B2697" t="s">
        <v>2351</v>
      </c>
      <c r="C2697" t="s">
        <v>2990</v>
      </c>
      <c r="D2697" t="s">
        <v>2991</v>
      </c>
      <c r="F2697">
        <v>1</v>
      </c>
      <c r="G2697">
        <v>203.67</v>
      </c>
      <c r="H2697">
        <v>203.67</v>
      </c>
      <c r="I2697" t="s">
        <v>2354</v>
      </c>
    </row>
    <row r="2698" spans="1:9" x14ac:dyDescent="0.25">
      <c r="A2698" t="s">
        <v>220</v>
      </c>
      <c r="B2698" t="s">
        <v>2351</v>
      </c>
      <c r="C2698" t="s">
        <v>2992</v>
      </c>
      <c r="D2698" t="s">
        <v>2993</v>
      </c>
      <c r="F2698">
        <v>1</v>
      </c>
      <c r="G2698">
        <v>254.67189999999999</v>
      </c>
      <c r="H2698">
        <v>254.67189999999999</v>
      </c>
      <c r="I2698" t="s">
        <v>2354</v>
      </c>
    </row>
    <row r="2699" spans="1:9" x14ac:dyDescent="0.25">
      <c r="A2699" t="s">
        <v>220</v>
      </c>
      <c r="B2699" t="s">
        <v>2351</v>
      </c>
      <c r="C2699" t="s">
        <v>2994</v>
      </c>
      <c r="D2699" t="s">
        <v>2995</v>
      </c>
      <c r="F2699">
        <v>8</v>
      </c>
      <c r="G2699">
        <v>79.137</v>
      </c>
      <c r="H2699">
        <v>633.096</v>
      </c>
      <c r="I2699" t="s">
        <v>2354</v>
      </c>
    </row>
    <row r="2700" spans="1:9" x14ac:dyDescent="0.25">
      <c r="A2700" t="s">
        <v>220</v>
      </c>
      <c r="B2700" t="s">
        <v>2351</v>
      </c>
      <c r="C2700" t="s">
        <v>2996</v>
      </c>
      <c r="D2700" t="s">
        <v>2997</v>
      </c>
      <c r="F2700">
        <v>11</v>
      </c>
      <c r="G2700">
        <v>9.4616999999999987</v>
      </c>
      <c r="H2700">
        <v>104.07869999999998</v>
      </c>
      <c r="I2700" t="s">
        <v>2354</v>
      </c>
    </row>
    <row r="2701" spans="1:9" x14ac:dyDescent="0.25">
      <c r="A2701" t="s">
        <v>220</v>
      </c>
      <c r="B2701" t="s">
        <v>2351</v>
      </c>
      <c r="C2701" t="s">
        <v>2383</v>
      </c>
      <c r="D2701" t="s">
        <v>2384</v>
      </c>
      <c r="F2701">
        <v>15</v>
      </c>
      <c r="G2701">
        <v>21.7224</v>
      </c>
      <c r="H2701">
        <v>325.83600000000001</v>
      </c>
      <c r="I2701" t="s">
        <v>2354</v>
      </c>
    </row>
    <row r="2702" spans="1:9" x14ac:dyDescent="0.25">
      <c r="A2702" t="s">
        <v>220</v>
      </c>
      <c r="B2702" t="s">
        <v>2351</v>
      </c>
      <c r="C2702" t="s">
        <v>2998</v>
      </c>
      <c r="D2702" t="s">
        <v>2999</v>
      </c>
      <c r="F2702">
        <v>4</v>
      </c>
      <c r="G2702">
        <v>39.055500000000002</v>
      </c>
      <c r="H2702">
        <v>156.22200000000001</v>
      </c>
      <c r="I2702" t="s">
        <v>2354</v>
      </c>
    </row>
    <row r="2703" spans="1:9" x14ac:dyDescent="0.25">
      <c r="A2703" t="s">
        <v>220</v>
      </c>
      <c r="B2703" t="s">
        <v>2351</v>
      </c>
      <c r="C2703" t="s">
        <v>3000</v>
      </c>
      <c r="D2703" t="s">
        <v>3001</v>
      </c>
      <c r="F2703">
        <v>4</v>
      </c>
      <c r="G2703">
        <v>96.079499999999996</v>
      </c>
      <c r="H2703">
        <v>384.31799999999998</v>
      </c>
      <c r="I2703" t="s">
        <v>2354</v>
      </c>
    </row>
    <row r="2704" spans="1:9" x14ac:dyDescent="0.25">
      <c r="A2704" t="s">
        <v>220</v>
      </c>
      <c r="B2704" t="s">
        <v>2351</v>
      </c>
      <c r="C2704" t="s">
        <v>3002</v>
      </c>
      <c r="D2704" t="s">
        <v>3003</v>
      </c>
      <c r="F2704">
        <v>10</v>
      </c>
      <c r="G2704">
        <v>47.56</v>
      </c>
      <c r="H2704">
        <v>475.6</v>
      </c>
      <c r="I2704" t="s">
        <v>2354</v>
      </c>
    </row>
    <row r="2705" spans="1:9" x14ac:dyDescent="0.25">
      <c r="A2705" t="s">
        <v>220</v>
      </c>
      <c r="B2705" t="s">
        <v>2351</v>
      </c>
      <c r="C2705" t="s">
        <v>3006</v>
      </c>
      <c r="D2705" t="s">
        <v>3007</v>
      </c>
      <c r="F2705">
        <v>10</v>
      </c>
      <c r="G2705">
        <v>7.92</v>
      </c>
      <c r="H2705">
        <v>79.2</v>
      </c>
      <c r="I2705" t="s">
        <v>2354</v>
      </c>
    </row>
    <row r="2706" spans="1:9" x14ac:dyDescent="0.25">
      <c r="A2706" t="s">
        <v>220</v>
      </c>
      <c r="B2706" t="s">
        <v>2351</v>
      </c>
      <c r="C2706" t="s">
        <v>3008</v>
      </c>
      <c r="D2706" t="s">
        <v>3009</v>
      </c>
      <c r="F2706">
        <v>15</v>
      </c>
      <c r="G2706">
        <v>12.2445</v>
      </c>
      <c r="H2706">
        <v>183.66750000000002</v>
      </c>
      <c r="I2706" t="s">
        <v>2354</v>
      </c>
    </row>
    <row r="2707" spans="1:9" x14ac:dyDescent="0.25">
      <c r="A2707" t="s">
        <v>220</v>
      </c>
      <c r="B2707" t="s">
        <v>2351</v>
      </c>
      <c r="C2707" t="s">
        <v>3010</v>
      </c>
      <c r="D2707" t="s">
        <v>3011</v>
      </c>
      <c r="F2707">
        <v>6</v>
      </c>
      <c r="G2707">
        <v>12.5</v>
      </c>
      <c r="H2707">
        <v>75</v>
      </c>
      <c r="I2707" t="s">
        <v>2354</v>
      </c>
    </row>
    <row r="2708" spans="1:9" x14ac:dyDescent="0.25">
      <c r="A2708" t="s">
        <v>220</v>
      </c>
      <c r="B2708" t="s">
        <v>2351</v>
      </c>
      <c r="C2708" t="s">
        <v>3012</v>
      </c>
      <c r="D2708" t="s">
        <v>3013</v>
      </c>
      <c r="F2708">
        <v>6</v>
      </c>
      <c r="G2708">
        <v>14.4</v>
      </c>
      <c r="H2708">
        <v>86.4</v>
      </c>
      <c r="I2708" t="s">
        <v>2354</v>
      </c>
    </row>
    <row r="2709" spans="1:9" x14ac:dyDescent="0.25">
      <c r="A2709" t="s">
        <v>220</v>
      </c>
      <c r="B2709" t="s">
        <v>2351</v>
      </c>
      <c r="C2709" t="s">
        <v>3014</v>
      </c>
      <c r="D2709" t="s">
        <v>3015</v>
      </c>
      <c r="F2709">
        <v>10</v>
      </c>
      <c r="G2709">
        <v>8.1</v>
      </c>
      <c r="H2709">
        <v>81</v>
      </c>
      <c r="I2709" t="s">
        <v>2354</v>
      </c>
    </row>
    <row r="2710" spans="1:9" x14ac:dyDescent="0.25">
      <c r="A2710" t="s">
        <v>220</v>
      </c>
      <c r="B2710" t="s">
        <v>2351</v>
      </c>
      <c r="C2710" t="s">
        <v>2381</v>
      </c>
      <c r="D2710" t="s">
        <v>2382</v>
      </c>
      <c r="F2710">
        <v>10</v>
      </c>
      <c r="G2710">
        <v>6.8110285714285723</v>
      </c>
      <c r="H2710">
        <v>68.110285714285723</v>
      </c>
      <c r="I2710" t="s">
        <v>2354</v>
      </c>
    </row>
    <row r="2711" spans="1:9" x14ac:dyDescent="0.25">
      <c r="A2711" t="s">
        <v>220</v>
      </c>
      <c r="B2711" t="s">
        <v>2351</v>
      </c>
      <c r="C2711" t="s">
        <v>3016</v>
      </c>
      <c r="D2711" t="s">
        <v>3017</v>
      </c>
      <c r="F2711">
        <v>7</v>
      </c>
      <c r="G2711">
        <v>10.744199999999999</v>
      </c>
      <c r="H2711">
        <v>75.209399999999988</v>
      </c>
      <c r="I2711" t="s">
        <v>2354</v>
      </c>
    </row>
    <row r="2712" spans="1:9" x14ac:dyDescent="0.25">
      <c r="A2712" t="s">
        <v>220</v>
      </c>
      <c r="B2712" t="s">
        <v>2351</v>
      </c>
      <c r="C2712" t="s">
        <v>3018</v>
      </c>
      <c r="D2712" t="s">
        <v>3019</v>
      </c>
      <c r="F2712">
        <v>9</v>
      </c>
      <c r="G2712">
        <v>11.7</v>
      </c>
      <c r="H2712">
        <v>105.3</v>
      </c>
      <c r="I2712" t="s">
        <v>2354</v>
      </c>
    </row>
    <row r="2713" spans="1:9" x14ac:dyDescent="0.25">
      <c r="A2713" t="s">
        <v>220</v>
      </c>
      <c r="B2713" t="s">
        <v>2351</v>
      </c>
      <c r="C2713" t="s">
        <v>3020</v>
      </c>
      <c r="D2713" t="s">
        <v>3021</v>
      </c>
      <c r="F2713">
        <v>1</v>
      </c>
      <c r="G2713">
        <v>10.8</v>
      </c>
      <c r="H2713">
        <v>10.8</v>
      </c>
      <c r="I2713" t="s">
        <v>2354</v>
      </c>
    </row>
    <row r="2714" spans="1:9" x14ac:dyDescent="0.25">
      <c r="A2714" t="s">
        <v>220</v>
      </c>
      <c r="B2714" t="s">
        <v>2351</v>
      </c>
      <c r="C2714" t="s">
        <v>3022</v>
      </c>
      <c r="D2714" t="s">
        <v>3023</v>
      </c>
      <c r="F2714">
        <v>4</v>
      </c>
      <c r="G2714">
        <v>16.02</v>
      </c>
      <c r="H2714">
        <v>64.08</v>
      </c>
      <c r="I2714" t="s">
        <v>2354</v>
      </c>
    </row>
    <row r="2715" spans="1:9" x14ac:dyDescent="0.25">
      <c r="A2715" t="s">
        <v>220</v>
      </c>
      <c r="B2715" t="s">
        <v>2351</v>
      </c>
      <c r="C2715" t="s">
        <v>3024</v>
      </c>
      <c r="D2715" t="s">
        <v>3025</v>
      </c>
      <c r="F2715">
        <v>5</v>
      </c>
      <c r="G2715">
        <v>21.105126666666667</v>
      </c>
      <c r="H2715">
        <v>105.52563333333333</v>
      </c>
      <c r="I2715" t="s">
        <v>2354</v>
      </c>
    </row>
    <row r="2716" spans="1:9" x14ac:dyDescent="0.25">
      <c r="A2716" t="s">
        <v>220</v>
      </c>
      <c r="B2716" t="s">
        <v>2351</v>
      </c>
      <c r="C2716" t="s">
        <v>5398</v>
      </c>
      <c r="D2716" t="s">
        <v>5399</v>
      </c>
      <c r="F2716">
        <v>12</v>
      </c>
      <c r="G2716">
        <v>32.843699999999998</v>
      </c>
      <c r="H2716">
        <v>394.12439999999998</v>
      </c>
      <c r="I2716" t="s">
        <v>2354</v>
      </c>
    </row>
    <row r="2717" spans="1:9" x14ac:dyDescent="0.25">
      <c r="A2717" t="s">
        <v>220</v>
      </c>
      <c r="B2717" t="s">
        <v>2351</v>
      </c>
      <c r="C2717" t="s">
        <v>3026</v>
      </c>
      <c r="D2717" t="s">
        <v>3027</v>
      </c>
      <c r="F2717">
        <v>12</v>
      </c>
      <c r="G2717">
        <v>10.098000000000001</v>
      </c>
      <c r="H2717">
        <v>121.17600000000002</v>
      </c>
      <c r="I2717" t="s">
        <v>2354</v>
      </c>
    </row>
    <row r="2718" spans="1:9" x14ac:dyDescent="0.25">
      <c r="A2718" t="s">
        <v>220</v>
      </c>
      <c r="B2718" t="s">
        <v>2351</v>
      </c>
      <c r="C2718" t="s">
        <v>3028</v>
      </c>
      <c r="D2718" t="s">
        <v>3029</v>
      </c>
      <c r="F2718">
        <v>6</v>
      </c>
      <c r="G2718">
        <v>11.944315384615383</v>
      </c>
      <c r="H2718">
        <v>71.665892307692303</v>
      </c>
      <c r="I2718" t="s">
        <v>2354</v>
      </c>
    </row>
    <row r="2719" spans="1:9" x14ac:dyDescent="0.25">
      <c r="A2719" t="s">
        <v>220</v>
      </c>
      <c r="B2719" t="s">
        <v>2351</v>
      </c>
      <c r="C2719" t="s">
        <v>3030</v>
      </c>
      <c r="D2719" t="s">
        <v>3031</v>
      </c>
      <c r="F2719">
        <v>7</v>
      </c>
      <c r="G2719">
        <v>15.205641046831957</v>
      </c>
      <c r="H2719">
        <v>106.4394873278237</v>
      </c>
      <c r="I2719" t="s">
        <v>2354</v>
      </c>
    </row>
    <row r="2720" spans="1:9" x14ac:dyDescent="0.25">
      <c r="A2720" t="s">
        <v>220</v>
      </c>
      <c r="B2720" t="s">
        <v>2351</v>
      </c>
      <c r="C2720" t="s">
        <v>3032</v>
      </c>
      <c r="D2720" t="s">
        <v>3033</v>
      </c>
      <c r="F2720">
        <v>8</v>
      </c>
      <c r="G2720">
        <v>41.399099999999997</v>
      </c>
      <c r="H2720">
        <v>331.19279999999998</v>
      </c>
      <c r="I2720" t="s">
        <v>2354</v>
      </c>
    </row>
    <row r="2721" spans="1:9" x14ac:dyDescent="0.25">
      <c r="A2721" t="s">
        <v>220</v>
      </c>
      <c r="B2721" t="s">
        <v>2351</v>
      </c>
      <c r="C2721" t="s">
        <v>3034</v>
      </c>
      <c r="D2721" t="s">
        <v>3035</v>
      </c>
      <c r="F2721">
        <v>9</v>
      </c>
      <c r="G2721">
        <v>18.839700000000001</v>
      </c>
      <c r="H2721">
        <v>169.5573</v>
      </c>
      <c r="I2721" t="s">
        <v>2354</v>
      </c>
    </row>
    <row r="2722" spans="1:9" x14ac:dyDescent="0.25">
      <c r="A2722" t="s">
        <v>220</v>
      </c>
      <c r="B2722" t="s">
        <v>2351</v>
      </c>
      <c r="C2722" t="s">
        <v>3036</v>
      </c>
      <c r="D2722" t="s">
        <v>3037</v>
      </c>
      <c r="F2722">
        <v>4</v>
      </c>
      <c r="G2722">
        <v>0</v>
      </c>
      <c r="H2722">
        <v>0</v>
      </c>
      <c r="I2722" t="s">
        <v>2354</v>
      </c>
    </row>
    <row r="2723" spans="1:9" x14ac:dyDescent="0.25">
      <c r="A2723" t="s">
        <v>220</v>
      </c>
      <c r="B2723" t="s">
        <v>2351</v>
      </c>
      <c r="C2723" t="s">
        <v>3038</v>
      </c>
      <c r="D2723" t="s">
        <v>3039</v>
      </c>
      <c r="F2723">
        <v>2</v>
      </c>
      <c r="G2723">
        <v>19.727550000000001</v>
      </c>
      <c r="H2723">
        <v>39.455100000000002</v>
      </c>
      <c r="I2723" t="s">
        <v>2354</v>
      </c>
    </row>
    <row r="2724" spans="1:9" x14ac:dyDescent="0.25">
      <c r="A2724" t="s">
        <v>220</v>
      </c>
      <c r="B2724" t="s">
        <v>2351</v>
      </c>
      <c r="C2724" t="s">
        <v>3040</v>
      </c>
      <c r="D2724" t="s">
        <v>3041</v>
      </c>
      <c r="F2724">
        <v>8</v>
      </c>
      <c r="G2724">
        <v>3.7953000000000001</v>
      </c>
      <c r="H2724">
        <v>30.362400000000001</v>
      </c>
      <c r="I2724" t="s">
        <v>2354</v>
      </c>
    </row>
    <row r="2725" spans="1:9" x14ac:dyDescent="0.25">
      <c r="A2725" t="s">
        <v>220</v>
      </c>
      <c r="B2725" t="s">
        <v>2351</v>
      </c>
      <c r="C2725" t="s">
        <v>3042</v>
      </c>
      <c r="D2725" t="s">
        <v>3043</v>
      </c>
      <c r="F2725">
        <v>14</v>
      </c>
      <c r="G2725">
        <v>40.950000000000003</v>
      </c>
      <c r="H2725">
        <v>573.30000000000007</v>
      </c>
      <c r="I2725" t="s">
        <v>2354</v>
      </c>
    </row>
    <row r="2726" spans="1:9" x14ac:dyDescent="0.25">
      <c r="A2726" t="s">
        <v>220</v>
      </c>
      <c r="B2726" t="s">
        <v>2351</v>
      </c>
      <c r="C2726" t="s">
        <v>3044</v>
      </c>
      <c r="D2726" t="s">
        <v>3045</v>
      </c>
      <c r="F2726">
        <v>8</v>
      </c>
      <c r="G2726">
        <v>48.572099999999999</v>
      </c>
      <c r="H2726">
        <v>388.57679999999999</v>
      </c>
      <c r="I2726" t="s">
        <v>2354</v>
      </c>
    </row>
    <row r="2727" spans="1:9" x14ac:dyDescent="0.25">
      <c r="A2727" t="s">
        <v>220</v>
      </c>
      <c r="B2727" t="s">
        <v>2351</v>
      </c>
      <c r="C2727" t="s">
        <v>3046</v>
      </c>
      <c r="D2727" t="s">
        <v>3047</v>
      </c>
      <c r="F2727">
        <v>9</v>
      </c>
      <c r="G2727">
        <v>50.233499999999999</v>
      </c>
      <c r="H2727">
        <v>452.10149999999999</v>
      </c>
      <c r="I2727" t="s">
        <v>2354</v>
      </c>
    </row>
    <row r="2728" spans="1:9" x14ac:dyDescent="0.25">
      <c r="A2728" t="s">
        <v>220</v>
      </c>
      <c r="B2728" t="s">
        <v>2351</v>
      </c>
      <c r="C2728" t="s">
        <v>3048</v>
      </c>
      <c r="D2728" t="s">
        <v>3049</v>
      </c>
      <c r="F2728">
        <v>17</v>
      </c>
      <c r="G2728">
        <v>9</v>
      </c>
      <c r="H2728">
        <v>153</v>
      </c>
      <c r="I2728" t="s">
        <v>2354</v>
      </c>
    </row>
    <row r="2729" spans="1:9" x14ac:dyDescent="0.25">
      <c r="A2729" t="s">
        <v>220</v>
      </c>
      <c r="B2729" t="s">
        <v>2351</v>
      </c>
      <c r="C2729" t="s">
        <v>3050</v>
      </c>
      <c r="D2729" t="s">
        <v>3051</v>
      </c>
      <c r="F2729">
        <v>6</v>
      </c>
      <c r="G2729">
        <v>9.2178000000000004</v>
      </c>
      <c r="H2729">
        <v>55.306800000000003</v>
      </c>
      <c r="I2729" t="s">
        <v>2354</v>
      </c>
    </row>
    <row r="2730" spans="1:9" x14ac:dyDescent="0.25">
      <c r="A2730" t="s">
        <v>220</v>
      </c>
      <c r="B2730" t="s">
        <v>2351</v>
      </c>
      <c r="C2730" t="s">
        <v>3052</v>
      </c>
      <c r="D2730" t="s">
        <v>3053</v>
      </c>
      <c r="F2730">
        <v>8</v>
      </c>
      <c r="G2730">
        <v>8.2926000000000002</v>
      </c>
      <c r="H2730">
        <v>66.340800000000002</v>
      </c>
      <c r="I2730" t="s">
        <v>2354</v>
      </c>
    </row>
    <row r="2731" spans="1:9" x14ac:dyDescent="0.25">
      <c r="A2731" t="s">
        <v>220</v>
      </c>
      <c r="B2731" t="s">
        <v>2351</v>
      </c>
      <c r="C2731" t="s">
        <v>3054</v>
      </c>
      <c r="D2731" t="s">
        <v>3055</v>
      </c>
      <c r="F2731">
        <v>4</v>
      </c>
      <c r="G2731">
        <v>32.31</v>
      </c>
      <c r="H2731">
        <v>129.24</v>
      </c>
      <c r="I2731" t="s">
        <v>2354</v>
      </c>
    </row>
    <row r="2732" spans="1:9" x14ac:dyDescent="0.25">
      <c r="A2732" t="s">
        <v>220</v>
      </c>
      <c r="B2732" t="s">
        <v>2351</v>
      </c>
      <c r="C2732" t="s">
        <v>3056</v>
      </c>
      <c r="D2732" t="s">
        <v>7559</v>
      </c>
      <c r="F2732">
        <v>2</v>
      </c>
      <c r="G2732">
        <v>32.58</v>
      </c>
      <c r="H2732">
        <v>65.16</v>
      </c>
      <c r="I2732" t="s">
        <v>2354</v>
      </c>
    </row>
    <row r="2733" spans="1:9" x14ac:dyDescent="0.25">
      <c r="A2733" t="s">
        <v>220</v>
      </c>
      <c r="B2733" t="s">
        <v>2351</v>
      </c>
      <c r="C2733" t="s">
        <v>3058</v>
      </c>
      <c r="D2733" t="s">
        <v>7561</v>
      </c>
      <c r="F2733">
        <v>4</v>
      </c>
      <c r="G2733">
        <v>61.728299999999997</v>
      </c>
      <c r="H2733">
        <v>246.91319999999999</v>
      </c>
      <c r="I2733" t="s">
        <v>2354</v>
      </c>
    </row>
    <row r="2734" spans="1:9" x14ac:dyDescent="0.25">
      <c r="A2734" t="s">
        <v>220</v>
      </c>
      <c r="B2734" t="s">
        <v>2351</v>
      </c>
      <c r="C2734" t="s">
        <v>5400</v>
      </c>
      <c r="D2734" t="s">
        <v>5401</v>
      </c>
      <c r="F2734">
        <v>12</v>
      </c>
      <c r="G2734">
        <v>8.0970707070707064</v>
      </c>
      <c r="H2734">
        <v>97.164848484848477</v>
      </c>
      <c r="I2734" t="s">
        <v>2354</v>
      </c>
    </row>
    <row r="2735" spans="1:9" x14ac:dyDescent="0.25">
      <c r="A2735" t="s">
        <v>220</v>
      </c>
      <c r="B2735" t="s">
        <v>2351</v>
      </c>
      <c r="C2735" t="s">
        <v>3059</v>
      </c>
      <c r="D2735" t="s">
        <v>3060</v>
      </c>
      <c r="F2735">
        <v>1</v>
      </c>
      <c r="G2735">
        <v>284.39999999999998</v>
      </c>
      <c r="H2735">
        <v>284.39999999999998</v>
      </c>
      <c r="I2735" t="s">
        <v>2354</v>
      </c>
    </row>
    <row r="2736" spans="1:9" x14ac:dyDescent="0.25">
      <c r="A2736" t="s">
        <v>220</v>
      </c>
      <c r="B2736" t="s">
        <v>2351</v>
      </c>
      <c r="C2736" t="s">
        <v>3061</v>
      </c>
      <c r="D2736" t="s">
        <v>3062</v>
      </c>
      <c r="F2736">
        <v>1</v>
      </c>
      <c r="G2736">
        <v>10.7127</v>
      </c>
      <c r="H2736">
        <v>10.7127</v>
      </c>
      <c r="I2736" t="s">
        <v>2354</v>
      </c>
    </row>
    <row r="2737" spans="1:9" x14ac:dyDescent="0.25">
      <c r="A2737" t="s">
        <v>220</v>
      </c>
      <c r="B2737" t="s">
        <v>2351</v>
      </c>
      <c r="C2737" t="s">
        <v>3063</v>
      </c>
      <c r="D2737" t="s">
        <v>3064</v>
      </c>
      <c r="F2737">
        <v>1</v>
      </c>
      <c r="G2737">
        <v>697.5</v>
      </c>
      <c r="H2737">
        <v>697.5</v>
      </c>
      <c r="I2737" t="s">
        <v>2354</v>
      </c>
    </row>
    <row r="2738" spans="1:9" x14ac:dyDescent="0.25">
      <c r="A2738" t="s">
        <v>220</v>
      </c>
      <c r="B2738" t="s">
        <v>2351</v>
      </c>
      <c r="C2738" t="s">
        <v>3065</v>
      </c>
      <c r="D2738" t="s">
        <v>3066</v>
      </c>
      <c r="F2738">
        <v>2</v>
      </c>
      <c r="G2738">
        <v>115.65</v>
      </c>
      <c r="H2738">
        <v>231.3</v>
      </c>
      <c r="I2738" t="s">
        <v>2354</v>
      </c>
    </row>
    <row r="2739" spans="1:9" x14ac:dyDescent="0.25">
      <c r="A2739" t="s">
        <v>220</v>
      </c>
      <c r="B2739" t="s">
        <v>2351</v>
      </c>
      <c r="C2739" t="s">
        <v>3069</v>
      </c>
      <c r="D2739" t="s">
        <v>3070</v>
      </c>
      <c r="F2739">
        <v>2</v>
      </c>
      <c r="G2739">
        <v>68.31</v>
      </c>
      <c r="H2739">
        <v>136.62</v>
      </c>
      <c r="I2739" t="s">
        <v>2354</v>
      </c>
    </row>
    <row r="2740" spans="1:9" x14ac:dyDescent="0.25">
      <c r="A2740" t="s">
        <v>220</v>
      </c>
      <c r="B2740" t="s">
        <v>2351</v>
      </c>
      <c r="C2740" t="s">
        <v>3071</v>
      </c>
      <c r="D2740" t="s">
        <v>3072</v>
      </c>
      <c r="F2740">
        <v>2</v>
      </c>
      <c r="G2740">
        <v>10.17</v>
      </c>
      <c r="H2740">
        <v>20.34</v>
      </c>
      <c r="I2740" t="s">
        <v>2354</v>
      </c>
    </row>
    <row r="2741" spans="1:9" x14ac:dyDescent="0.25">
      <c r="A2741" t="s">
        <v>220</v>
      </c>
      <c r="B2741" t="s">
        <v>2351</v>
      </c>
      <c r="C2741" t="s">
        <v>3073</v>
      </c>
      <c r="D2741" t="s">
        <v>3074</v>
      </c>
      <c r="F2741">
        <v>6</v>
      </c>
      <c r="G2741">
        <v>35.276062499999995</v>
      </c>
      <c r="H2741">
        <v>211.65637499999997</v>
      </c>
      <c r="I2741" t="s">
        <v>2354</v>
      </c>
    </row>
    <row r="2742" spans="1:9" x14ac:dyDescent="0.25">
      <c r="A2742" t="s">
        <v>220</v>
      </c>
      <c r="B2742" t="s">
        <v>2351</v>
      </c>
      <c r="C2742" t="s">
        <v>3075</v>
      </c>
      <c r="D2742" t="s">
        <v>3076</v>
      </c>
      <c r="F2742">
        <v>5</v>
      </c>
      <c r="G2742">
        <v>14.2668</v>
      </c>
      <c r="H2742">
        <v>71.334000000000003</v>
      </c>
      <c r="I2742" t="s">
        <v>2354</v>
      </c>
    </row>
    <row r="2743" spans="1:9" x14ac:dyDescent="0.25">
      <c r="A2743" t="s">
        <v>220</v>
      </c>
      <c r="B2743" t="s">
        <v>2351</v>
      </c>
      <c r="C2743" t="s">
        <v>3077</v>
      </c>
      <c r="D2743" t="s">
        <v>3078</v>
      </c>
      <c r="F2743">
        <v>10</v>
      </c>
      <c r="G2743">
        <v>18.998248275862071</v>
      </c>
      <c r="H2743">
        <v>189.9824827586207</v>
      </c>
      <c r="I2743" t="s">
        <v>2354</v>
      </c>
    </row>
    <row r="2744" spans="1:9" x14ac:dyDescent="0.25">
      <c r="A2744" t="s">
        <v>220</v>
      </c>
      <c r="B2744" t="s">
        <v>2351</v>
      </c>
      <c r="C2744" t="s">
        <v>3079</v>
      </c>
      <c r="D2744" t="s">
        <v>3080</v>
      </c>
      <c r="F2744">
        <v>13</v>
      </c>
      <c r="G2744">
        <v>24.1128</v>
      </c>
      <c r="H2744">
        <v>313.46640000000002</v>
      </c>
      <c r="I2744" t="s">
        <v>2354</v>
      </c>
    </row>
    <row r="2745" spans="1:9" x14ac:dyDescent="0.25">
      <c r="A2745" t="s">
        <v>220</v>
      </c>
      <c r="B2745" t="s">
        <v>2351</v>
      </c>
      <c r="C2745" t="s">
        <v>3081</v>
      </c>
      <c r="D2745" t="s">
        <v>3082</v>
      </c>
      <c r="F2745">
        <v>5</v>
      </c>
      <c r="G2745">
        <v>9.9668571428571422</v>
      </c>
      <c r="H2745">
        <v>49.834285714285713</v>
      </c>
      <c r="I2745" t="s">
        <v>2354</v>
      </c>
    </row>
    <row r="2746" spans="1:9" x14ac:dyDescent="0.25">
      <c r="A2746" t="s">
        <v>220</v>
      </c>
      <c r="B2746" t="s">
        <v>2351</v>
      </c>
      <c r="C2746" t="s">
        <v>3083</v>
      </c>
      <c r="D2746" t="s">
        <v>3084</v>
      </c>
      <c r="F2746">
        <v>4</v>
      </c>
      <c r="G2746">
        <v>27</v>
      </c>
      <c r="H2746">
        <v>108</v>
      </c>
      <c r="I2746" t="s">
        <v>2354</v>
      </c>
    </row>
    <row r="2747" spans="1:9" x14ac:dyDescent="0.25">
      <c r="A2747" t="s">
        <v>220</v>
      </c>
      <c r="B2747" t="s">
        <v>2351</v>
      </c>
      <c r="C2747" t="s">
        <v>5370</v>
      </c>
      <c r="D2747" t="s">
        <v>5371</v>
      </c>
      <c r="F2747">
        <v>8</v>
      </c>
      <c r="G2747">
        <v>11.25</v>
      </c>
      <c r="H2747">
        <v>90</v>
      </c>
      <c r="I2747" t="s">
        <v>2354</v>
      </c>
    </row>
    <row r="2748" spans="1:9" x14ac:dyDescent="0.25">
      <c r="A2748" t="s">
        <v>220</v>
      </c>
      <c r="B2748" t="s">
        <v>2351</v>
      </c>
      <c r="C2748" t="s">
        <v>3085</v>
      </c>
      <c r="D2748" t="s">
        <v>3086</v>
      </c>
      <c r="F2748">
        <v>6</v>
      </c>
      <c r="G2748">
        <v>43.400700000000001</v>
      </c>
      <c r="H2748">
        <v>260.4042</v>
      </c>
      <c r="I2748" t="s">
        <v>2354</v>
      </c>
    </row>
    <row r="2749" spans="1:9" x14ac:dyDescent="0.25">
      <c r="A2749" t="s">
        <v>220</v>
      </c>
      <c r="B2749" t="s">
        <v>2351</v>
      </c>
      <c r="C2749" t="s">
        <v>3087</v>
      </c>
      <c r="D2749" t="s">
        <v>3088</v>
      </c>
      <c r="F2749">
        <v>6</v>
      </c>
      <c r="G2749">
        <v>31.5945</v>
      </c>
      <c r="H2749">
        <v>189.56700000000001</v>
      </c>
      <c r="I2749" t="s">
        <v>2354</v>
      </c>
    </row>
    <row r="2750" spans="1:9" x14ac:dyDescent="0.25">
      <c r="A2750" t="s">
        <v>220</v>
      </c>
      <c r="B2750" t="s">
        <v>2351</v>
      </c>
      <c r="C2750" t="s">
        <v>3089</v>
      </c>
      <c r="D2750" t="s">
        <v>3090</v>
      </c>
      <c r="F2750">
        <v>8</v>
      </c>
      <c r="G2750">
        <v>10.829699999999999</v>
      </c>
      <c r="H2750">
        <v>86.637599999999992</v>
      </c>
      <c r="I2750" t="s">
        <v>2354</v>
      </c>
    </row>
    <row r="2751" spans="1:9" x14ac:dyDescent="0.25">
      <c r="A2751" t="s">
        <v>220</v>
      </c>
      <c r="B2751" t="s">
        <v>2351</v>
      </c>
      <c r="C2751" t="s">
        <v>3091</v>
      </c>
      <c r="D2751" t="s">
        <v>3092</v>
      </c>
      <c r="F2751">
        <v>2</v>
      </c>
      <c r="G2751">
        <v>95.915700000000001</v>
      </c>
      <c r="H2751">
        <v>191.8314</v>
      </c>
      <c r="I2751" t="s">
        <v>2354</v>
      </c>
    </row>
    <row r="2752" spans="1:9" x14ac:dyDescent="0.25">
      <c r="A2752" t="s">
        <v>220</v>
      </c>
      <c r="B2752" t="s">
        <v>2351</v>
      </c>
      <c r="C2752" t="s">
        <v>3093</v>
      </c>
      <c r="D2752" t="s">
        <v>3094</v>
      </c>
      <c r="F2752">
        <v>1</v>
      </c>
      <c r="G2752">
        <v>94.6845</v>
      </c>
      <c r="H2752">
        <v>94.6845</v>
      </c>
      <c r="I2752" t="s">
        <v>2354</v>
      </c>
    </row>
    <row r="2753" spans="1:9" x14ac:dyDescent="0.25">
      <c r="A2753" t="s">
        <v>220</v>
      </c>
      <c r="B2753" t="s">
        <v>2351</v>
      </c>
      <c r="C2753" t="s">
        <v>3095</v>
      </c>
      <c r="D2753" t="s">
        <v>3096</v>
      </c>
      <c r="F2753">
        <v>1</v>
      </c>
      <c r="G2753">
        <v>230.4855</v>
      </c>
      <c r="H2753">
        <v>230.4855</v>
      </c>
      <c r="I2753" t="s">
        <v>2354</v>
      </c>
    </row>
    <row r="2754" spans="1:9" x14ac:dyDescent="0.25">
      <c r="A2754" t="s">
        <v>220</v>
      </c>
      <c r="B2754" t="s">
        <v>2351</v>
      </c>
      <c r="C2754" t="s">
        <v>3097</v>
      </c>
      <c r="D2754" t="s">
        <v>3098</v>
      </c>
      <c r="F2754">
        <v>1</v>
      </c>
      <c r="G2754">
        <v>0</v>
      </c>
      <c r="H2754">
        <v>0</v>
      </c>
      <c r="I2754" t="s">
        <v>2354</v>
      </c>
    </row>
    <row r="2755" spans="1:9" x14ac:dyDescent="0.25">
      <c r="A2755" t="s">
        <v>220</v>
      </c>
      <c r="B2755" t="s">
        <v>2351</v>
      </c>
      <c r="C2755" t="s">
        <v>3099</v>
      </c>
      <c r="D2755" t="s">
        <v>3100</v>
      </c>
      <c r="F2755">
        <v>7</v>
      </c>
      <c r="G2755">
        <v>113.2002</v>
      </c>
      <c r="H2755">
        <v>792.40139999999997</v>
      </c>
      <c r="I2755" t="s">
        <v>2354</v>
      </c>
    </row>
    <row r="2756" spans="1:9" x14ac:dyDescent="0.25">
      <c r="A2756" t="s">
        <v>220</v>
      </c>
      <c r="B2756" t="s">
        <v>2351</v>
      </c>
      <c r="C2756" t="s">
        <v>3101</v>
      </c>
      <c r="D2756" t="s">
        <v>3102</v>
      </c>
      <c r="F2756">
        <v>8</v>
      </c>
      <c r="G2756">
        <v>12.132</v>
      </c>
      <c r="H2756">
        <v>97.055999999999997</v>
      </c>
      <c r="I2756" t="s">
        <v>2354</v>
      </c>
    </row>
    <row r="2757" spans="1:9" x14ac:dyDescent="0.25">
      <c r="A2757" t="s">
        <v>220</v>
      </c>
      <c r="B2757" t="s">
        <v>2351</v>
      </c>
      <c r="C2757" t="s">
        <v>3105</v>
      </c>
      <c r="D2757" t="s">
        <v>3106</v>
      </c>
      <c r="F2757">
        <v>1</v>
      </c>
      <c r="G2757">
        <v>0</v>
      </c>
      <c r="H2757">
        <v>0</v>
      </c>
      <c r="I2757" t="s">
        <v>2354</v>
      </c>
    </row>
    <row r="2758" spans="1:9" x14ac:dyDescent="0.25">
      <c r="A2758" t="s">
        <v>220</v>
      </c>
      <c r="B2758" t="s">
        <v>2351</v>
      </c>
      <c r="C2758" t="s">
        <v>3107</v>
      </c>
      <c r="D2758" t="s">
        <v>3108</v>
      </c>
      <c r="F2758">
        <v>2</v>
      </c>
      <c r="G2758">
        <v>0</v>
      </c>
      <c r="H2758">
        <v>0</v>
      </c>
      <c r="I2758" t="s">
        <v>2354</v>
      </c>
    </row>
    <row r="2759" spans="1:9" x14ac:dyDescent="0.25">
      <c r="A2759" t="s">
        <v>220</v>
      </c>
      <c r="B2759" t="s">
        <v>2351</v>
      </c>
      <c r="C2759" t="s">
        <v>3109</v>
      </c>
      <c r="D2759" t="s">
        <v>3110</v>
      </c>
      <c r="F2759">
        <v>1</v>
      </c>
      <c r="G2759">
        <v>0</v>
      </c>
      <c r="H2759">
        <v>0</v>
      </c>
      <c r="I2759" t="s">
        <v>2354</v>
      </c>
    </row>
    <row r="2760" spans="1:9" x14ac:dyDescent="0.25">
      <c r="A2760" t="s">
        <v>220</v>
      </c>
      <c r="B2760" t="s">
        <v>2351</v>
      </c>
      <c r="C2760" t="s">
        <v>3111</v>
      </c>
      <c r="D2760" t="s">
        <v>3112</v>
      </c>
      <c r="F2760">
        <v>1</v>
      </c>
      <c r="G2760">
        <v>71.819999999999993</v>
      </c>
      <c r="H2760">
        <v>71.819999999999993</v>
      </c>
      <c r="I2760" t="s">
        <v>2354</v>
      </c>
    </row>
    <row r="2761" spans="1:9" x14ac:dyDescent="0.25">
      <c r="A2761" t="s">
        <v>220</v>
      </c>
      <c r="B2761" t="s">
        <v>2351</v>
      </c>
      <c r="C2761" t="s">
        <v>3113</v>
      </c>
      <c r="D2761" t="s">
        <v>3114</v>
      </c>
      <c r="F2761">
        <v>1</v>
      </c>
      <c r="G2761">
        <v>174.6</v>
      </c>
      <c r="H2761">
        <v>174.6</v>
      </c>
      <c r="I2761" t="s">
        <v>2354</v>
      </c>
    </row>
    <row r="2762" spans="1:9" x14ac:dyDescent="0.25">
      <c r="A2762" t="s">
        <v>220</v>
      </c>
      <c r="B2762" t="s">
        <v>2351</v>
      </c>
      <c r="C2762" t="s">
        <v>3115</v>
      </c>
      <c r="D2762" t="s">
        <v>3116</v>
      </c>
      <c r="F2762">
        <v>2</v>
      </c>
      <c r="G2762">
        <v>161.76424</v>
      </c>
      <c r="H2762">
        <v>323.52848</v>
      </c>
      <c r="I2762" t="s">
        <v>2354</v>
      </c>
    </row>
    <row r="2763" spans="1:9" x14ac:dyDescent="0.25">
      <c r="A2763" t="s">
        <v>220</v>
      </c>
      <c r="B2763" t="s">
        <v>2351</v>
      </c>
      <c r="C2763" t="s">
        <v>3117</v>
      </c>
      <c r="D2763" t="s">
        <v>3118</v>
      </c>
      <c r="F2763">
        <v>1</v>
      </c>
      <c r="G2763">
        <v>0</v>
      </c>
      <c r="H2763">
        <v>0</v>
      </c>
      <c r="I2763" t="s">
        <v>2354</v>
      </c>
    </row>
    <row r="2764" spans="1:9" x14ac:dyDescent="0.25">
      <c r="A2764" t="s">
        <v>220</v>
      </c>
      <c r="B2764" t="s">
        <v>2351</v>
      </c>
      <c r="C2764" t="s">
        <v>3119</v>
      </c>
      <c r="D2764" t="s">
        <v>3120</v>
      </c>
      <c r="F2764">
        <v>1</v>
      </c>
      <c r="G2764">
        <v>0</v>
      </c>
      <c r="H2764">
        <v>0</v>
      </c>
      <c r="I2764" t="s">
        <v>2354</v>
      </c>
    </row>
    <row r="2765" spans="1:9" x14ac:dyDescent="0.25">
      <c r="A2765" t="s">
        <v>220</v>
      </c>
      <c r="B2765" t="s">
        <v>2351</v>
      </c>
      <c r="C2765" t="s">
        <v>3121</v>
      </c>
      <c r="D2765" t="s">
        <v>3122</v>
      </c>
      <c r="F2765">
        <v>2</v>
      </c>
      <c r="G2765">
        <v>71.7</v>
      </c>
      <c r="H2765">
        <v>143.4</v>
      </c>
      <c r="I2765" t="s">
        <v>2354</v>
      </c>
    </row>
    <row r="2766" spans="1:9" x14ac:dyDescent="0.25">
      <c r="A2766" t="s">
        <v>220</v>
      </c>
      <c r="B2766" t="s">
        <v>2351</v>
      </c>
      <c r="C2766" t="s">
        <v>3123</v>
      </c>
      <c r="D2766" t="s">
        <v>3124</v>
      </c>
      <c r="F2766">
        <v>2</v>
      </c>
      <c r="G2766">
        <v>153.9</v>
      </c>
      <c r="H2766">
        <v>307.8</v>
      </c>
      <c r="I2766" t="s">
        <v>2354</v>
      </c>
    </row>
    <row r="2767" spans="1:9" x14ac:dyDescent="0.25">
      <c r="A2767" t="s">
        <v>220</v>
      </c>
      <c r="B2767" t="s">
        <v>2351</v>
      </c>
      <c r="C2767" t="s">
        <v>3125</v>
      </c>
      <c r="D2767" t="s">
        <v>3126</v>
      </c>
      <c r="F2767">
        <v>1</v>
      </c>
      <c r="G2767">
        <v>77.400000000000006</v>
      </c>
      <c r="H2767">
        <v>77.400000000000006</v>
      </c>
      <c r="I2767" t="s">
        <v>2354</v>
      </c>
    </row>
    <row r="2768" spans="1:9" x14ac:dyDescent="0.25">
      <c r="A2768" t="s">
        <v>220</v>
      </c>
      <c r="B2768" t="s">
        <v>2351</v>
      </c>
      <c r="C2768" t="s">
        <v>3127</v>
      </c>
      <c r="D2768" t="s">
        <v>3128</v>
      </c>
      <c r="F2768">
        <v>1</v>
      </c>
      <c r="G2768">
        <v>311.39800000000002</v>
      </c>
      <c r="H2768">
        <v>311.39800000000002</v>
      </c>
      <c r="I2768" t="s">
        <v>2354</v>
      </c>
    </row>
    <row r="2769" spans="1:9" x14ac:dyDescent="0.25">
      <c r="A2769" t="s">
        <v>220</v>
      </c>
      <c r="B2769" t="s">
        <v>2351</v>
      </c>
      <c r="C2769" t="s">
        <v>3127</v>
      </c>
      <c r="D2769" t="s">
        <v>5313</v>
      </c>
      <c r="F2769">
        <v>2</v>
      </c>
      <c r="G2769">
        <v>311.39800000000002</v>
      </c>
      <c r="H2769">
        <v>622.79600000000005</v>
      </c>
      <c r="I2769" t="s">
        <v>2354</v>
      </c>
    </row>
    <row r="2770" spans="1:9" x14ac:dyDescent="0.25">
      <c r="A2770" t="s">
        <v>220</v>
      </c>
      <c r="B2770" t="s">
        <v>2351</v>
      </c>
      <c r="C2770" t="s">
        <v>3129</v>
      </c>
      <c r="D2770" t="s">
        <v>3130</v>
      </c>
      <c r="F2770">
        <v>3</v>
      </c>
      <c r="G2770">
        <v>95.421000000000006</v>
      </c>
      <c r="H2770">
        <v>286.26300000000003</v>
      </c>
      <c r="I2770" t="s">
        <v>2354</v>
      </c>
    </row>
    <row r="2771" spans="1:9" x14ac:dyDescent="0.25">
      <c r="A2771" t="s">
        <v>220</v>
      </c>
      <c r="B2771" t="s">
        <v>2351</v>
      </c>
      <c r="C2771" t="s">
        <v>3131</v>
      </c>
      <c r="D2771" t="s">
        <v>3132</v>
      </c>
      <c r="F2771">
        <v>4</v>
      </c>
      <c r="G2771">
        <v>102.55249999999999</v>
      </c>
      <c r="H2771">
        <v>410.21</v>
      </c>
      <c r="I2771" t="s">
        <v>2354</v>
      </c>
    </row>
    <row r="2772" spans="1:9" x14ac:dyDescent="0.25">
      <c r="A2772" t="s">
        <v>220</v>
      </c>
      <c r="B2772" t="s">
        <v>2351</v>
      </c>
      <c r="C2772" t="s">
        <v>5315</v>
      </c>
      <c r="D2772" t="s">
        <v>5316</v>
      </c>
      <c r="F2772">
        <v>4</v>
      </c>
      <c r="G2772">
        <v>102.55249999999999</v>
      </c>
      <c r="H2772">
        <v>410.21</v>
      </c>
      <c r="I2772" t="s">
        <v>2354</v>
      </c>
    </row>
    <row r="2773" spans="1:9" x14ac:dyDescent="0.25">
      <c r="A2773" t="s">
        <v>220</v>
      </c>
      <c r="B2773" t="s">
        <v>2351</v>
      </c>
      <c r="C2773" t="s">
        <v>3133</v>
      </c>
      <c r="D2773" t="s">
        <v>3134</v>
      </c>
      <c r="F2773">
        <v>8</v>
      </c>
      <c r="G2773">
        <v>31.801500000000001</v>
      </c>
      <c r="H2773">
        <v>254.41200000000001</v>
      </c>
      <c r="I2773" t="s">
        <v>2354</v>
      </c>
    </row>
    <row r="2774" spans="1:9" x14ac:dyDescent="0.25">
      <c r="A2774" t="s">
        <v>220</v>
      </c>
      <c r="B2774" t="s">
        <v>2351</v>
      </c>
      <c r="C2774" t="s">
        <v>3135</v>
      </c>
      <c r="D2774" t="s">
        <v>3136</v>
      </c>
      <c r="F2774">
        <v>50</v>
      </c>
      <c r="G2774">
        <v>21.45</v>
      </c>
      <c r="H2774">
        <v>1072.5</v>
      </c>
      <c r="I2774" t="s">
        <v>2354</v>
      </c>
    </row>
    <row r="2775" spans="1:9" x14ac:dyDescent="0.25">
      <c r="A2775" t="s">
        <v>220</v>
      </c>
      <c r="B2775" t="s">
        <v>2351</v>
      </c>
      <c r="C2775" t="s">
        <v>3137</v>
      </c>
      <c r="D2775" t="s">
        <v>3138</v>
      </c>
      <c r="F2775">
        <v>7</v>
      </c>
      <c r="G2775">
        <v>0.52715999999999996</v>
      </c>
      <c r="H2775">
        <v>3.6901199999999998</v>
      </c>
      <c r="I2775" t="s">
        <v>2354</v>
      </c>
    </row>
    <row r="2776" spans="1:9" x14ac:dyDescent="0.25">
      <c r="A2776" t="s">
        <v>220</v>
      </c>
      <c r="B2776" t="s">
        <v>2351</v>
      </c>
      <c r="C2776" t="s">
        <v>3141</v>
      </c>
      <c r="D2776" t="s">
        <v>3142</v>
      </c>
      <c r="F2776">
        <v>28</v>
      </c>
      <c r="G2776">
        <v>14.612</v>
      </c>
      <c r="H2776">
        <v>409.13600000000002</v>
      </c>
      <c r="I2776" t="s">
        <v>2354</v>
      </c>
    </row>
    <row r="2777" spans="1:9" x14ac:dyDescent="0.25">
      <c r="A2777" t="s">
        <v>220</v>
      </c>
      <c r="B2777" t="s">
        <v>2351</v>
      </c>
      <c r="C2777" t="s">
        <v>3143</v>
      </c>
      <c r="D2777" t="s">
        <v>3144</v>
      </c>
      <c r="F2777">
        <v>45</v>
      </c>
      <c r="G2777">
        <v>2.0583</v>
      </c>
      <c r="H2777">
        <v>92.623500000000007</v>
      </c>
      <c r="I2777" t="s">
        <v>2354</v>
      </c>
    </row>
    <row r="2778" spans="1:9" x14ac:dyDescent="0.25">
      <c r="A2778" t="s">
        <v>220</v>
      </c>
      <c r="B2778" t="s">
        <v>2351</v>
      </c>
      <c r="C2778" t="s">
        <v>3145</v>
      </c>
      <c r="D2778" t="s">
        <v>3146</v>
      </c>
      <c r="F2778">
        <v>26</v>
      </c>
      <c r="G2778">
        <v>3.3993000000000002</v>
      </c>
      <c r="H2778">
        <v>88.381799999999998</v>
      </c>
      <c r="I2778" t="s">
        <v>2354</v>
      </c>
    </row>
    <row r="2779" spans="1:9" x14ac:dyDescent="0.25">
      <c r="A2779" t="s">
        <v>220</v>
      </c>
      <c r="B2779" t="s">
        <v>2351</v>
      </c>
      <c r="C2779" t="s">
        <v>3147</v>
      </c>
      <c r="D2779" t="s">
        <v>3148</v>
      </c>
      <c r="F2779">
        <v>24</v>
      </c>
      <c r="G2779">
        <v>2.6747999999999998</v>
      </c>
      <c r="H2779">
        <v>64.1952</v>
      </c>
      <c r="I2779" t="s">
        <v>2354</v>
      </c>
    </row>
    <row r="2780" spans="1:9" x14ac:dyDescent="0.25">
      <c r="A2780" t="s">
        <v>220</v>
      </c>
      <c r="B2780" t="s">
        <v>2351</v>
      </c>
      <c r="C2780" t="s">
        <v>3149</v>
      </c>
      <c r="D2780" t="s">
        <v>3150</v>
      </c>
      <c r="F2780">
        <v>15</v>
      </c>
      <c r="G2780">
        <v>1.1348999999999998</v>
      </c>
      <c r="H2780">
        <v>17.023499999999999</v>
      </c>
      <c r="I2780" t="s">
        <v>2354</v>
      </c>
    </row>
    <row r="2781" spans="1:9" x14ac:dyDescent="0.25">
      <c r="A2781" t="s">
        <v>220</v>
      </c>
      <c r="B2781" t="s">
        <v>2351</v>
      </c>
      <c r="C2781" t="s">
        <v>3151</v>
      </c>
      <c r="D2781" t="s">
        <v>3152</v>
      </c>
      <c r="F2781">
        <v>2</v>
      </c>
      <c r="G2781">
        <v>162</v>
      </c>
      <c r="H2781">
        <v>324</v>
      </c>
      <c r="I2781" t="s">
        <v>2354</v>
      </c>
    </row>
    <row r="2782" spans="1:9" x14ac:dyDescent="0.25">
      <c r="A2782" t="s">
        <v>220</v>
      </c>
      <c r="B2782" t="s">
        <v>2351</v>
      </c>
      <c r="C2782" t="s">
        <v>3155</v>
      </c>
      <c r="D2782" t="s">
        <v>3156</v>
      </c>
      <c r="F2782">
        <v>8</v>
      </c>
      <c r="G2782">
        <v>226.54079999999999</v>
      </c>
      <c r="H2782">
        <v>1812.3263999999999</v>
      </c>
      <c r="I2782" t="s">
        <v>2354</v>
      </c>
    </row>
    <row r="2783" spans="1:9" x14ac:dyDescent="0.25">
      <c r="A2783" t="s">
        <v>220</v>
      </c>
      <c r="B2783" t="s">
        <v>2351</v>
      </c>
      <c r="C2783" t="s">
        <v>3159</v>
      </c>
      <c r="D2783" t="s">
        <v>3160</v>
      </c>
      <c r="F2783">
        <v>1</v>
      </c>
      <c r="G2783">
        <v>284.26499999999999</v>
      </c>
      <c r="H2783">
        <v>284.26499999999999</v>
      </c>
      <c r="I2783" t="s">
        <v>2354</v>
      </c>
    </row>
    <row r="2784" spans="1:9" x14ac:dyDescent="0.25">
      <c r="A2784" t="s">
        <v>220</v>
      </c>
      <c r="B2784" t="s">
        <v>2351</v>
      </c>
      <c r="C2784" t="s">
        <v>3161</v>
      </c>
      <c r="D2784" t="s">
        <v>3162</v>
      </c>
      <c r="F2784">
        <v>14</v>
      </c>
      <c r="G2784">
        <v>0</v>
      </c>
      <c r="H2784">
        <v>0</v>
      </c>
      <c r="I2784" t="s">
        <v>2354</v>
      </c>
    </row>
    <row r="2785" spans="1:9" x14ac:dyDescent="0.25">
      <c r="A2785" t="s">
        <v>220</v>
      </c>
      <c r="B2785" t="s">
        <v>2351</v>
      </c>
      <c r="C2785" t="s">
        <v>3163</v>
      </c>
      <c r="D2785" t="s">
        <v>3164</v>
      </c>
      <c r="F2785">
        <v>9</v>
      </c>
      <c r="G2785">
        <v>11.16</v>
      </c>
      <c r="H2785">
        <v>100.44</v>
      </c>
      <c r="I2785" t="s">
        <v>2354</v>
      </c>
    </row>
    <row r="2786" spans="1:9" x14ac:dyDescent="0.25">
      <c r="A2786" t="s">
        <v>220</v>
      </c>
      <c r="B2786" t="s">
        <v>2351</v>
      </c>
      <c r="C2786" t="s">
        <v>3165</v>
      </c>
      <c r="D2786" t="s">
        <v>3166</v>
      </c>
      <c r="F2786">
        <v>4</v>
      </c>
      <c r="G2786">
        <v>0.67500000000000004</v>
      </c>
      <c r="H2786">
        <v>2.7</v>
      </c>
      <c r="I2786" t="s">
        <v>2354</v>
      </c>
    </row>
    <row r="2787" spans="1:9" x14ac:dyDescent="0.25">
      <c r="A2787" t="s">
        <v>220</v>
      </c>
      <c r="B2787" t="s">
        <v>2351</v>
      </c>
      <c r="C2787" t="s">
        <v>3169</v>
      </c>
      <c r="D2787" t="s">
        <v>3170</v>
      </c>
      <c r="F2787">
        <v>2</v>
      </c>
      <c r="G2787">
        <v>0</v>
      </c>
      <c r="H2787">
        <v>0</v>
      </c>
      <c r="I2787" t="s">
        <v>2354</v>
      </c>
    </row>
    <row r="2788" spans="1:9" x14ac:dyDescent="0.25">
      <c r="A2788" t="s">
        <v>220</v>
      </c>
      <c r="B2788" t="s">
        <v>2351</v>
      </c>
      <c r="C2788" t="s">
        <v>3171</v>
      </c>
      <c r="D2788" t="s">
        <v>3172</v>
      </c>
      <c r="F2788">
        <v>382</v>
      </c>
      <c r="G2788">
        <v>4.4244199999999996</v>
      </c>
      <c r="H2788">
        <v>1690.1284399999997</v>
      </c>
      <c r="I2788" t="s">
        <v>2354</v>
      </c>
    </row>
    <row r="2789" spans="1:9" x14ac:dyDescent="0.25">
      <c r="A2789" t="s">
        <v>220</v>
      </c>
      <c r="B2789" t="s">
        <v>2351</v>
      </c>
      <c r="C2789" t="s">
        <v>3173</v>
      </c>
      <c r="D2789" t="s">
        <v>3174</v>
      </c>
      <c r="F2789">
        <v>159</v>
      </c>
      <c r="G2789">
        <v>13.242319999999999</v>
      </c>
      <c r="H2789">
        <v>2105.5288799999998</v>
      </c>
      <c r="I2789" t="s">
        <v>2354</v>
      </c>
    </row>
    <row r="2790" spans="1:9" x14ac:dyDescent="0.25">
      <c r="A2790" t="s">
        <v>220</v>
      </c>
      <c r="B2790" t="s">
        <v>2351</v>
      </c>
      <c r="C2790" t="s">
        <v>3175</v>
      </c>
      <c r="D2790" t="s">
        <v>3176</v>
      </c>
      <c r="F2790">
        <v>4</v>
      </c>
      <c r="G2790">
        <v>0</v>
      </c>
      <c r="H2790">
        <v>0</v>
      </c>
      <c r="I2790" t="s">
        <v>2354</v>
      </c>
    </row>
    <row r="2791" spans="1:9" x14ac:dyDescent="0.25">
      <c r="A2791" t="s">
        <v>220</v>
      </c>
      <c r="B2791" t="s">
        <v>2351</v>
      </c>
      <c r="C2791" t="s">
        <v>3177</v>
      </c>
      <c r="D2791" t="s">
        <v>3178</v>
      </c>
      <c r="F2791">
        <v>3</v>
      </c>
      <c r="G2791">
        <v>0</v>
      </c>
      <c r="H2791">
        <v>0</v>
      </c>
      <c r="I2791" t="s">
        <v>2354</v>
      </c>
    </row>
    <row r="2792" spans="1:9" x14ac:dyDescent="0.25">
      <c r="A2792" t="s">
        <v>220</v>
      </c>
      <c r="B2792" t="s">
        <v>2351</v>
      </c>
      <c r="C2792" t="s">
        <v>3179</v>
      </c>
      <c r="D2792" t="s">
        <v>3180</v>
      </c>
      <c r="F2792">
        <v>4</v>
      </c>
      <c r="G2792">
        <v>0</v>
      </c>
      <c r="H2792">
        <v>0</v>
      </c>
      <c r="I2792" t="s">
        <v>2354</v>
      </c>
    </row>
    <row r="2793" spans="1:9" x14ac:dyDescent="0.25">
      <c r="A2793" t="s">
        <v>220</v>
      </c>
      <c r="B2793" t="s">
        <v>2351</v>
      </c>
      <c r="C2793" t="s">
        <v>3181</v>
      </c>
      <c r="D2793" t="s">
        <v>3182</v>
      </c>
      <c r="F2793">
        <v>8</v>
      </c>
      <c r="G2793">
        <v>0</v>
      </c>
      <c r="H2793">
        <v>0</v>
      </c>
      <c r="I2793" t="s">
        <v>2354</v>
      </c>
    </row>
    <row r="2794" spans="1:9" x14ac:dyDescent="0.25">
      <c r="A2794" t="s">
        <v>220</v>
      </c>
      <c r="B2794" t="s">
        <v>2351</v>
      </c>
      <c r="C2794" t="s">
        <v>3199</v>
      </c>
      <c r="D2794" t="s">
        <v>3200</v>
      </c>
      <c r="F2794">
        <v>25</v>
      </c>
      <c r="G2794">
        <v>1.89</v>
      </c>
      <c r="H2794">
        <v>47.25</v>
      </c>
      <c r="I2794" t="s">
        <v>2354</v>
      </c>
    </row>
    <row r="2795" spans="1:9" x14ac:dyDescent="0.25">
      <c r="A2795" t="s">
        <v>220</v>
      </c>
      <c r="B2795" t="s">
        <v>2351</v>
      </c>
      <c r="C2795" t="s">
        <v>3201</v>
      </c>
      <c r="D2795" t="s">
        <v>3202</v>
      </c>
      <c r="F2795">
        <v>15</v>
      </c>
      <c r="G2795">
        <v>0.93149999999999999</v>
      </c>
      <c r="H2795">
        <v>13.9725</v>
      </c>
      <c r="I2795" t="s">
        <v>2354</v>
      </c>
    </row>
    <row r="2796" spans="1:9" x14ac:dyDescent="0.25">
      <c r="A2796" t="s">
        <v>220</v>
      </c>
      <c r="B2796" t="s">
        <v>2351</v>
      </c>
      <c r="C2796" t="s">
        <v>3203</v>
      </c>
      <c r="D2796" t="s">
        <v>3204</v>
      </c>
      <c r="F2796">
        <v>26</v>
      </c>
      <c r="G2796">
        <v>0.58096363636363624</v>
      </c>
      <c r="H2796">
        <v>15.105054545454543</v>
      </c>
      <c r="I2796" t="s">
        <v>2354</v>
      </c>
    </row>
    <row r="2797" spans="1:9" x14ac:dyDescent="0.25">
      <c r="A2797" t="s">
        <v>220</v>
      </c>
      <c r="B2797" t="s">
        <v>2351</v>
      </c>
      <c r="C2797" t="s">
        <v>5372</v>
      </c>
      <c r="D2797" t="s">
        <v>5373</v>
      </c>
      <c r="F2797">
        <v>40</v>
      </c>
      <c r="G2797">
        <v>0.69479999999999997</v>
      </c>
      <c r="H2797">
        <v>27.791999999999998</v>
      </c>
      <c r="I2797" t="s">
        <v>2354</v>
      </c>
    </row>
    <row r="2798" spans="1:9" x14ac:dyDescent="0.25">
      <c r="A2798" t="s">
        <v>220</v>
      </c>
      <c r="B2798" t="s">
        <v>2351</v>
      </c>
      <c r="C2798" t="s">
        <v>3205</v>
      </c>
      <c r="D2798" t="s">
        <v>3206</v>
      </c>
      <c r="F2798">
        <v>25</v>
      </c>
      <c r="G2798">
        <v>1.08</v>
      </c>
      <c r="H2798">
        <v>27</v>
      </c>
      <c r="I2798" t="s">
        <v>2354</v>
      </c>
    </row>
    <row r="2799" spans="1:9" x14ac:dyDescent="0.25">
      <c r="A2799" t="s">
        <v>220</v>
      </c>
      <c r="B2799" t="s">
        <v>2351</v>
      </c>
      <c r="C2799" t="s">
        <v>3207</v>
      </c>
      <c r="D2799" t="s">
        <v>3208</v>
      </c>
      <c r="F2799">
        <v>21</v>
      </c>
      <c r="G2799">
        <v>1.9525128964059197</v>
      </c>
      <c r="H2799">
        <v>41.002770824524312</v>
      </c>
      <c r="I2799" t="s">
        <v>2354</v>
      </c>
    </row>
    <row r="2800" spans="1:9" x14ac:dyDescent="0.25">
      <c r="A2800" t="s">
        <v>220</v>
      </c>
      <c r="B2800" t="s">
        <v>2351</v>
      </c>
      <c r="C2800" t="s">
        <v>3221</v>
      </c>
      <c r="D2800" t="s">
        <v>3222</v>
      </c>
      <c r="F2800">
        <v>2</v>
      </c>
      <c r="G2800">
        <v>0</v>
      </c>
      <c r="H2800">
        <v>0</v>
      </c>
      <c r="I2800" t="s">
        <v>2354</v>
      </c>
    </row>
    <row r="2801" spans="1:9" x14ac:dyDescent="0.25">
      <c r="A2801" t="s">
        <v>220</v>
      </c>
      <c r="B2801" t="s">
        <v>2351</v>
      </c>
      <c r="C2801" t="s">
        <v>3225</v>
      </c>
      <c r="D2801" t="s">
        <v>3226</v>
      </c>
      <c r="F2801">
        <v>17</v>
      </c>
      <c r="G2801">
        <v>1.3130999999999999</v>
      </c>
      <c r="H2801">
        <v>22.322699999999998</v>
      </c>
      <c r="I2801" t="s">
        <v>2354</v>
      </c>
    </row>
    <row r="2802" spans="1:9" x14ac:dyDescent="0.25">
      <c r="A2802" t="s">
        <v>220</v>
      </c>
      <c r="B2802" t="s">
        <v>2351</v>
      </c>
      <c r="C2802" t="s">
        <v>3227</v>
      </c>
      <c r="D2802" t="s">
        <v>3228</v>
      </c>
      <c r="F2802">
        <v>4</v>
      </c>
      <c r="G2802">
        <v>2.3380000000000001</v>
      </c>
      <c r="H2802">
        <v>9.3520000000000003</v>
      </c>
      <c r="I2802" t="s">
        <v>2354</v>
      </c>
    </row>
    <row r="2803" spans="1:9" x14ac:dyDescent="0.25">
      <c r="A2803" t="s">
        <v>220</v>
      </c>
      <c r="B2803" t="s">
        <v>2351</v>
      </c>
      <c r="C2803" t="s">
        <v>3369</v>
      </c>
      <c r="D2803" t="s">
        <v>3370</v>
      </c>
      <c r="F2803">
        <v>4</v>
      </c>
      <c r="G2803">
        <v>100.2546</v>
      </c>
      <c r="H2803">
        <v>401.01839999999999</v>
      </c>
      <c r="I2803" t="s">
        <v>2354</v>
      </c>
    </row>
    <row r="2804" spans="1:9" x14ac:dyDescent="0.25">
      <c r="A2804" t="s">
        <v>220</v>
      </c>
      <c r="B2804" t="s">
        <v>2351</v>
      </c>
      <c r="C2804" t="s">
        <v>3371</v>
      </c>
      <c r="D2804" t="s">
        <v>3372</v>
      </c>
      <c r="F2804">
        <v>8</v>
      </c>
      <c r="G2804">
        <v>166.08</v>
      </c>
      <c r="H2804">
        <v>1328.64</v>
      </c>
      <c r="I2804" t="s">
        <v>2354</v>
      </c>
    </row>
    <row r="2805" spans="1:9" x14ac:dyDescent="0.25">
      <c r="A2805" t="s">
        <v>220</v>
      </c>
      <c r="B2805" t="s">
        <v>2351</v>
      </c>
      <c r="C2805" t="s">
        <v>3373</v>
      </c>
      <c r="D2805" t="s">
        <v>3374</v>
      </c>
      <c r="F2805">
        <v>1</v>
      </c>
      <c r="G2805">
        <v>625.05600000000004</v>
      </c>
      <c r="H2805">
        <v>625.05600000000004</v>
      </c>
      <c r="I2805" t="s">
        <v>2354</v>
      </c>
    </row>
    <row r="2806" spans="1:9" x14ac:dyDescent="0.25">
      <c r="A2806" t="s">
        <v>220</v>
      </c>
      <c r="B2806" t="s">
        <v>2351</v>
      </c>
      <c r="C2806" t="s">
        <v>3375</v>
      </c>
      <c r="D2806" t="s">
        <v>3376</v>
      </c>
      <c r="F2806">
        <v>3</v>
      </c>
      <c r="G2806">
        <v>172.39200000000002</v>
      </c>
      <c r="H2806">
        <v>517.17600000000004</v>
      </c>
      <c r="I2806" t="s">
        <v>2354</v>
      </c>
    </row>
    <row r="2807" spans="1:9" x14ac:dyDescent="0.25">
      <c r="A2807" t="s">
        <v>220</v>
      </c>
      <c r="B2807" t="s">
        <v>2351</v>
      </c>
      <c r="C2807" t="s">
        <v>3377</v>
      </c>
      <c r="D2807" t="s">
        <v>3378</v>
      </c>
      <c r="F2807">
        <v>5</v>
      </c>
      <c r="G2807">
        <v>177.88499999999999</v>
      </c>
      <c r="H2807">
        <v>889.42499999999995</v>
      </c>
      <c r="I2807" t="s">
        <v>2354</v>
      </c>
    </row>
    <row r="2808" spans="1:9" x14ac:dyDescent="0.25">
      <c r="A2808" t="s">
        <v>220</v>
      </c>
      <c r="B2808" t="s">
        <v>2351</v>
      </c>
      <c r="C2808" t="s">
        <v>3379</v>
      </c>
      <c r="D2808" t="s">
        <v>3380</v>
      </c>
      <c r="F2808">
        <v>4</v>
      </c>
      <c r="G2808">
        <v>198</v>
      </c>
      <c r="H2808">
        <v>792</v>
      </c>
      <c r="I2808" t="s">
        <v>2354</v>
      </c>
    </row>
    <row r="2809" spans="1:9" x14ac:dyDescent="0.25">
      <c r="A2809" t="s">
        <v>220</v>
      </c>
      <c r="B2809" t="s">
        <v>2351</v>
      </c>
      <c r="C2809" t="s">
        <v>3407</v>
      </c>
      <c r="D2809" t="s">
        <v>3408</v>
      </c>
      <c r="F2809">
        <v>39</v>
      </c>
      <c r="G2809">
        <v>5.0084999999999997</v>
      </c>
      <c r="H2809">
        <v>195.33149999999998</v>
      </c>
      <c r="I2809" t="s">
        <v>2354</v>
      </c>
    </row>
    <row r="2810" spans="1:9" x14ac:dyDescent="0.25">
      <c r="A2810" t="s">
        <v>220</v>
      </c>
      <c r="B2810" t="s">
        <v>2351</v>
      </c>
      <c r="C2810" t="s">
        <v>3409</v>
      </c>
      <c r="D2810" t="s">
        <v>3410</v>
      </c>
      <c r="F2810">
        <v>4</v>
      </c>
      <c r="G2810">
        <v>165.3</v>
      </c>
      <c r="H2810">
        <v>661.2</v>
      </c>
      <c r="I2810" t="s">
        <v>2354</v>
      </c>
    </row>
    <row r="2811" spans="1:9" x14ac:dyDescent="0.25">
      <c r="A2811" t="s">
        <v>220</v>
      </c>
      <c r="B2811" t="s">
        <v>2351</v>
      </c>
      <c r="C2811" t="s">
        <v>3411</v>
      </c>
      <c r="D2811" t="s">
        <v>3412</v>
      </c>
      <c r="F2811">
        <v>2</v>
      </c>
      <c r="G2811">
        <v>14.178599999999999</v>
      </c>
      <c r="H2811">
        <v>28.357199999999999</v>
      </c>
      <c r="I2811" t="s">
        <v>2354</v>
      </c>
    </row>
    <row r="2812" spans="1:9" x14ac:dyDescent="0.25">
      <c r="A2812" t="s">
        <v>220</v>
      </c>
      <c r="B2812" t="s">
        <v>2351</v>
      </c>
      <c r="C2812" t="s">
        <v>3413</v>
      </c>
      <c r="D2812" t="s">
        <v>3414</v>
      </c>
      <c r="F2812">
        <v>4</v>
      </c>
      <c r="G2812">
        <v>12.701700000000001</v>
      </c>
      <c r="H2812">
        <v>50.806800000000003</v>
      </c>
      <c r="I2812" t="s">
        <v>2354</v>
      </c>
    </row>
    <row r="2813" spans="1:9" x14ac:dyDescent="0.25">
      <c r="A2813" t="s">
        <v>220</v>
      </c>
      <c r="B2813" t="s">
        <v>2351</v>
      </c>
      <c r="C2813" t="s">
        <v>3415</v>
      </c>
      <c r="D2813" t="s">
        <v>3416</v>
      </c>
      <c r="F2813">
        <v>2</v>
      </c>
      <c r="G2813">
        <v>119.6001</v>
      </c>
      <c r="H2813">
        <v>239.2002</v>
      </c>
      <c r="I2813" t="s">
        <v>2354</v>
      </c>
    </row>
    <row r="2814" spans="1:9" x14ac:dyDescent="0.25">
      <c r="A2814" t="s">
        <v>220</v>
      </c>
      <c r="B2814" t="s">
        <v>2351</v>
      </c>
      <c r="C2814" t="s">
        <v>3417</v>
      </c>
      <c r="D2814" t="s">
        <v>3418</v>
      </c>
      <c r="F2814">
        <v>1</v>
      </c>
      <c r="G2814">
        <v>489.53530000000001</v>
      </c>
      <c r="H2814">
        <v>489.53530000000001</v>
      </c>
      <c r="I2814" t="s">
        <v>2354</v>
      </c>
    </row>
    <row r="2815" spans="1:9" x14ac:dyDescent="0.25">
      <c r="A2815" t="s">
        <v>220</v>
      </c>
      <c r="B2815" t="s">
        <v>2351</v>
      </c>
      <c r="C2815" t="s">
        <v>3419</v>
      </c>
      <c r="D2815" t="s">
        <v>3420</v>
      </c>
      <c r="F2815">
        <v>4</v>
      </c>
      <c r="G2815">
        <v>138</v>
      </c>
      <c r="H2815">
        <v>552</v>
      </c>
      <c r="I2815" t="s">
        <v>2354</v>
      </c>
    </row>
    <row r="2816" spans="1:9" x14ac:dyDescent="0.25">
      <c r="A2816" t="s">
        <v>220</v>
      </c>
      <c r="B2816" t="s">
        <v>2351</v>
      </c>
      <c r="C2816" t="s">
        <v>3421</v>
      </c>
      <c r="D2816" t="s">
        <v>3422</v>
      </c>
      <c r="F2816">
        <v>31</v>
      </c>
      <c r="G2816">
        <v>14</v>
      </c>
      <c r="H2816">
        <v>434</v>
      </c>
      <c r="I2816" t="s">
        <v>2354</v>
      </c>
    </row>
    <row r="2817" spans="1:9" x14ac:dyDescent="0.25">
      <c r="A2817" t="s">
        <v>220</v>
      </c>
      <c r="B2817" t="s">
        <v>2351</v>
      </c>
      <c r="C2817" t="s">
        <v>3423</v>
      </c>
      <c r="D2817" t="s">
        <v>3424</v>
      </c>
      <c r="F2817">
        <v>3</v>
      </c>
      <c r="G2817">
        <v>589.88173333333327</v>
      </c>
      <c r="H2817">
        <v>1769.6451999999999</v>
      </c>
      <c r="I2817" t="s">
        <v>2354</v>
      </c>
    </row>
    <row r="2818" spans="1:9" x14ac:dyDescent="0.25">
      <c r="A2818" t="s">
        <v>220</v>
      </c>
      <c r="B2818" t="s">
        <v>2351</v>
      </c>
      <c r="C2818" t="s">
        <v>3425</v>
      </c>
      <c r="D2818" t="s">
        <v>3426</v>
      </c>
      <c r="F2818">
        <v>1</v>
      </c>
      <c r="G2818">
        <v>133.62</v>
      </c>
      <c r="H2818">
        <v>133.62</v>
      </c>
      <c r="I2818" t="s">
        <v>2354</v>
      </c>
    </row>
    <row r="2819" spans="1:9" x14ac:dyDescent="0.25">
      <c r="A2819" t="s">
        <v>220</v>
      </c>
      <c r="B2819" t="s">
        <v>2351</v>
      </c>
      <c r="C2819" t="s">
        <v>3429</v>
      </c>
      <c r="D2819" t="s">
        <v>3430</v>
      </c>
      <c r="F2819">
        <v>3</v>
      </c>
      <c r="G2819">
        <v>2.7591000000000001</v>
      </c>
      <c r="H2819">
        <v>8.2773000000000003</v>
      </c>
      <c r="I2819" t="s">
        <v>2354</v>
      </c>
    </row>
    <row r="2820" spans="1:9" x14ac:dyDescent="0.25">
      <c r="A2820" t="s">
        <v>220</v>
      </c>
      <c r="B2820" t="s">
        <v>2351</v>
      </c>
      <c r="C2820" t="s">
        <v>3431</v>
      </c>
      <c r="D2820" t="s">
        <v>3432</v>
      </c>
      <c r="F2820">
        <v>3</v>
      </c>
      <c r="G2820">
        <v>50.4</v>
      </c>
      <c r="H2820">
        <v>151.19999999999999</v>
      </c>
      <c r="I2820" t="s">
        <v>2354</v>
      </c>
    </row>
    <row r="2821" spans="1:9" x14ac:dyDescent="0.25">
      <c r="A2821" t="s">
        <v>220</v>
      </c>
      <c r="B2821" t="s">
        <v>2351</v>
      </c>
      <c r="C2821" t="s">
        <v>3433</v>
      </c>
      <c r="D2821" t="s">
        <v>3434</v>
      </c>
      <c r="F2821">
        <v>10</v>
      </c>
      <c r="G2821">
        <v>3.7944000000000004</v>
      </c>
      <c r="H2821">
        <v>37.944000000000003</v>
      </c>
      <c r="I2821" t="s">
        <v>2354</v>
      </c>
    </row>
    <row r="2822" spans="1:9" x14ac:dyDescent="0.25">
      <c r="A2822" t="s">
        <v>220</v>
      </c>
      <c r="B2822" t="s">
        <v>2351</v>
      </c>
      <c r="C2822" t="s">
        <v>3435</v>
      </c>
      <c r="D2822" t="s">
        <v>3436</v>
      </c>
      <c r="F2822">
        <v>16</v>
      </c>
      <c r="G2822">
        <v>3.4856285714285713</v>
      </c>
      <c r="H2822">
        <v>55.770057142857141</v>
      </c>
      <c r="I2822" t="s">
        <v>2354</v>
      </c>
    </row>
    <row r="2823" spans="1:9" x14ac:dyDescent="0.25">
      <c r="A2823" t="s">
        <v>220</v>
      </c>
      <c r="B2823" t="s">
        <v>2351</v>
      </c>
      <c r="C2823" t="s">
        <v>3437</v>
      </c>
      <c r="D2823" t="s">
        <v>3438</v>
      </c>
      <c r="F2823">
        <v>36</v>
      </c>
      <c r="G2823">
        <v>4.5476999999999999</v>
      </c>
      <c r="H2823">
        <v>163.71719999999999</v>
      </c>
      <c r="I2823" t="s">
        <v>2354</v>
      </c>
    </row>
    <row r="2824" spans="1:9" x14ac:dyDescent="0.25">
      <c r="A2824" t="s">
        <v>220</v>
      </c>
      <c r="B2824" t="s">
        <v>2351</v>
      </c>
      <c r="C2824" t="s">
        <v>3439</v>
      </c>
      <c r="D2824" t="s">
        <v>3440</v>
      </c>
      <c r="F2824">
        <v>13</v>
      </c>
      <c r="G2824">
        <v>34.704000000000001</v>
      </c>
      <c r="H2824">
        <v>451.15199999999999</v>
      </c>
      <c r="I2824" t="s">
        <v>2354</v>
      </c>
    </row>
    <row r="2825" spans="1:9" x14ac:dyDescent="0.25">
      <c r="A2825" t="s">
        <v>220</v>
      </c>
      <c r="B2825" t="s">
        <v>2351</v>
      </c>
      <c r="C2825" t="s">
        <v>3441</v>
      </c>
      <c r="D2825" t="s">
        <v>3442</v>
      </c>
      <c r="F2825">
        <v>1</v>
      </c>
      <c r="G2825">
        <v>53.76</v>
      </c>
      <c r="H2825">
        <v>53.76</v>
      </c>
      <c r="I2825" t="s">
        <v>2354</v>
      </c>
    </row>
    <row r="2826" spans="1:9" x14ac:dyDescent="0.25">
      <c r="A2826" t="s">
        <v>220</v>
      </c>
      <c r="B2826" t="s">
        <v>2351</v>
      </c>
      <c r="C2826" t="s">
        <v>3443</v>
      </c>
      <c r="D2826" t="s">
        <v>3444</v>
      </c>
      <c r="F2826">
        <v>2</v>
      </c>
      <c r="G2826">
        <v>24.678000000000001</v>
      </c>
      <c r="H2826">
        <v>49.356000000000002</v>
      </c>
      <c r="I2826" t="s">
        <v>2354</v>
      </c>
    </row>
    <row r="2827" spans="1:9" x14ac:dyDescent="0.25">
      <c r="A2827" t="s">
        <v>220</v>
      </c>
      <c r="B2827" t="s">
        <v>2351</v>
      </c>
      <c r="C2827" t="s">
        <v>3445</v>
      </c>
      <c r="D2827" t="s">
        <v>3446</v>
      </c>
      <c r="F2827">
        <v>1</v>
      </c>
      <c r="G2827">
        <v>62.092799999999997</v>
      </c>
      <c r="H2827">
        <v>62.092799999999997</v>
      </c>
      <c r="I2827" t="s">
        <v>2354</v>
      </c>
    </row>
    <row r="2828" spans="1:9" x14ac:dyDescent="0.25">
      <c r="A2828" t="s">
        <v>220</v>
      </c>
      <c r="B2828" t="s">
        <v>2351</v>
      </c>
      <c r="C2828" t="s">
        <v>3447</v>
      </c>
      <c r="D2828" t="s">
        <v>3448</v>
      </c>
      <c r="F2828">
        <v>1</v>
      </c>
      <c r="G2828">
        <v>46.98</v>
      </c>
      <c r="H2828">
        <v>46.98</v>
      </c>
      <c r="I2828" t="s">
        <v>2354</v>
      </c>
    </row>
    <row r="2829" spans="1:9" x14ac:dyDescent="0.25">
      <c r="A2829" t="s">
        <v>220</v>
      </c>
      <c r="B2829" t="s">
        <v>2351</v>
      </c>
      <c r="C2829" t="s">
        <v>3449</v>
      </c>
      <c r="D2829" t="s">
        <v>3450</v>
      </c>
      <c r="F2829">
        <v>8</v>
      </c>
      <c r="G2829">
        <v>3.0779999999999998</v>
      </c>
      <c r="H2829">
        <v>24.623999999999999</v>
      </c>
      <c r="I2829" t="s">
        <v>2354</v>
      </c>
    </row>
    <row r="2830" spans="1:9" x14ac:dyDescent="0.25">
      <c r="A2830" t="s">
        <v>220</v>
      </c>
      <c r="B2830" t="s">
        <v>2351</v>
      </c>
      <c r="C2830" t="s">
        <v>3451</v>
      </c>
      <c r="D2830" t="s">
        <v>3452</v>
      </c>
      <c r="F2830">
        <v>9</v>
      </c>
      <c r="G2830">
        <v>14.076000000000001</v>
      </c>
      <c r="H2830">
        <v>126.684</v>
      </c>
      <c r="I2830" t="s">
        <v>2354</v>
      </c>
    </row>
    <row r="2831" spans="1:9" x14ac:dyDescent="0.25">
      <c r="A2831" t="s">
        <v>220</v>
      </c>
      <c r="B2831" t="s">
        <v>2351</v>
      </c>
      <c r="C2831" t="s">
        <v>3577</v>
      </c>
      <c r="D2831" t="s">
        <v>3578</v>
      </c>
      <c r="F2831">
        <v>3</v>
      </c>
      <c r="G2831">
        <v>11.475</v>
      </c>
      <c r="H2831">
        <v>34.424999999999997</v>
      </c>
      <c r="I2831" t="s">
        <v>2354</v>
      </c>
    </row>
    <row r="2832" spans="1:9" x14ac:dyDescent="0.25">
      <c r="A2832" t="s">
        <v>220</v>
      </c>
      <c r="B2832" t="s">
        <v>2351</v>
      </c>
      <c r="C2832" t="s">
        <v>3619</v>
      </c>
      <c r="D2832" t="s">
        <v>3620</v>
      </c>
      <c r="F2832">
        <v>4</v>
      </c>
      <c r="G2832">
        <v>11.699999999999998</v>
      </c>
      <c r="H2832">
        <v>46.79999999999999</v>
      </c>
      <c r="I2832" t="s">
        <v>2354</v>
      </c>
    </row>
    <row r="2833" spans="1:9" x14ac:dyDescent="0.25">
      <c r="A2833" t="s">
        <v>220</v>
      </c>
      <c r="B2833" t="s">
        <v>2351</v>
      </c>
      <c r="C2833" t="s">
        <v>3625</v>
      </c>
      <c r="D2833" t="s">
        <v>3626</v>
      </c>
      <c r="F2833">
        <v>1</v>
      </c>
      <c r="G2833">
        <v>7.2249999999999996</v>
      </c>
      <c r="H2833">
        <v>7.2249999999999996</v>
      </c>
      <c r="I2833" t="s">
        <v>2354</v>
      </c>
    </row>
    <row r="2834" spans="1:9" x14ac:dyDescent="0.25">
      <c r="A2834" t="s">
        <v>220</v>
      </c>
      <c r="B2834" t="s">
        <v>2351</v>
      </c>
      <c r="C2834" t="s">
        <v>2419</v>
      </c>
      <c r="D2834" t="s">
        <v>2420</v>
      </c>
      <c r="F2834">
        <v>13</v>
      </c>
      <c r="G2834">
        <v>12.07</v>
      </c>
      <c r="H2834">
        <v>156.91</v>
      </c>
      <c r="I2834" t="s">
        <v>2354</v>
      </c>
    </row>
    <row r="2835" spans="1:9" x14ac:dyDescent="0.25">
      <c r="A2835" t="s">
        <v>220</v>
      </c>
      <c r="B2835" t="s">
        <v>2351</v>
      </c>
      <c r="C2835" t="s">
        <v>3793</v>
      </c>
      <c r="D2835" t="s">
        <v>3794</v>
      </c>
      <c r="F2835">
        <v>3</v>
      </c>
      <c r="G2835">
        <v>110.37883333333333</v>
      </c>
      <c r="H2835">
        <v>331.13650000000001</v>
      </c>
      <c r="I2835" t="s">
        <v>2354</v>
      </c>
    </row>
    <row r="2836" spans="1:9" x14ac:dyDescent="0.25">
      <c r="A2836" t="s">
        <v>220</v>
      </c>
      <c r="B2836" t="s">
        <v>2351</v>
      </c>
      <c r="C2836" t="s">
        <v>3795</v>
      </c>
      <c r="D2836" t="s">
        <v>3796</v>
      </c>
      <c r="F2836">
        <v>5</v>
      </c>
      <c r="G2836">
        <v>141.57864000000001</v>
      </c>
      <c r="H2836">
        <v>707.89319999999998</v>
      </c>
      <c r="I2836" t="s">
        <v>2354</v>
      </c>
    </row>
    <row r="2837" spans="1:9" x14ac:dyDescent="0.25">
      <c r="A2837" t="s">
        <v>220</v>
      </c>
      <c r="B2837" t="s">
        <v>2351</v>
      </c>
      <c r="C2837" t="s">
        <v>3797</v>
      </c>
      <c r="D2837" t="s">
        <v>3798</v>
      </c>
      <c r="F2837">
        <v>10</v>
      </c>
      <c r="G2837">
        <v>102.2805</v>
      </c>
      <c r="H2837">
        <v>1022.8050000000001</v>
      </c>
      <c r="I2837" t="s">
        <v>2354</v>
      </c>
    </row>
    <row r="2838" spans="1:9" x14ac:dyDescent="0.25">
      <c r="A2838" t="s">
        <v>220</v>
      </c>
      <c r="B2838" t="s">
        <v>2351</v>
      </c>
      <c r="C2838" t="s">
        <v>3799</v>
      </c>
      <c r="D2838" t="s">
        <v>3800</v>
      </c>
      <c r="F2838">
        <v>6</v>
      </c>
      <c r="G2838">
        <v>346.16480000000001</v>
      </c>
      <c r="H2838">
        <v>2076.9888000000001</v>
      </c>
      <c r="I2838" t="s">
        <v>2354</v>
      </c>
    </row>
    <row r="2839" spans="1:9" x14ac:dyDescent="0.25">
      <c r="A2839" t="s">
        <v>220</v>
      </c>
      <c r="B2839" t="s">
        <v>2351</v>
      </c>
      <c r="C2839" t="s">
        <v>3801</v>
      </c>
      <c r="D2839" t="s">
        <v>3802</v>
      </c>
      <c r="F2839">
        <v>4</v>
      </c>
      <c r="G2839">
        <v>145</v>
      </c>
      <c r="H2839">
        <v>580</v>
      </c>
      <c r="I2839" t="s">
        <v>2354</v>
      </c>
    </row>
    <row r="2840" spans="1:9" x14ac:dyDescent="0.25">
      <c r="A2840" t="s">
        <v>220</v>
      </c>
      <c r="B2840" t="s">
        <v>2351</v>
      </c>
      <c r="C2840" t="s">
        <v>3803</v>
      </c>
      <c r="D2840" t="s">
        <v>3804</v>
      </c>
      <c r="F2840">
        <v>2</v>
      </c>
      <c r="G2840">
        <v>181.62799999999999</v>
      </c>
      <c r="H2840">
        <v>363.25599999999997</v>
      </c>
      <c r="I2840" t="s">
        <v>2354</v>
      </c>
    </row>
    <row r="2841" spans="1:9" x14ac:dyDescent="0.25">
      <c r="A2841" t="s">
        <v>220</v>
      </c>
      <c r="B2841" t="s">
        <v>2351</v>
      </c>
      <c r="C2841" t="s">
        <v>3805</v>
      </c>
      <c r="D2841" t="s">
        <v>3806</v>
      </c>
      <c r="F2841">
        <v>2</v>
      </c>
      <c r="G2841">
        <v>127.00620000000001</v>
      </c>
      <c r="H2841">
        <v>254.01240000000001</v>
      </c>
      <c r="I2841" t="s">
        <v>2354</v>
      </c>
    </row>
    <row r="2842" spans="1:9" x14ac:dyDescent="0.25">
      <c r="A2842" t="s">
        <v>220</v>
      </c>
      <c r="B2842" t="s">
        <v>2351</v>
      </c>
      <c r="C2842" t="s">
        <v>3807</v>
      </c>
      <c r="D2842" t="s">
        <v>3808</v>
      </c>
      <c r="F2842">
        <v>3</v>
      </c>
      <c r="G2842">
        <v>93.975999999999999</v>
      </c>
      <c r="H2842">
        <v>281.928</v>
      </c>
      <c r="I2842" t="s">
        <v>2354</v>
      </c>
    </row>
    <row r="2843" spans="1:9" x14ac:dyDescent="0.25">
      <c r="A2843" t="s">
        <v>220</v>
      </c>
      <c r="B2843" t="s">
        <v>2351</v>
      </c>
      <c r="C2843" t="s">
        <v>3809</v>
      </c>
      <c r="D2843" t="s">
        <v>3810</v>
      </c>
      <c r="F2843">
        <v>6</v>
      </c>
      <c r="G2843">
        <v>64.261530000000008</v>
      </c>
      <c r="H2843">
        <v>385.56918000000007</v>
      </c>
      <c r="I2843" t="s">
        <v>2354</v>
      </c>
    </row>
    <row r="2844" spans="1:9" x14ac:dyDescent="0.25">
      <c r="A2844" t="s">
        <v>220</v>
      </c>
      <c r="B2844" t="s">
        <v>2351</v>
      </c>
      <c r="C2844" t="s">
        <v>3811</v>
      </c>
      <c r="D2844" t="s">
        <v>3812</v>
      </c>
      <c r="F2844">
        <v>2</v>
      </c>
      <c r="G2844">
        <v>89.798400000000001</v>
      </c>
      <c r="H2844">
        <v>179.5968</v>
      </c>
      <c r="I2844" t="s">
        <v>2354</v>
      </c>
    </row>
    <row r="2845" spans="1:9" x14ac:dyDescent="0.25">
      <c r="A2845" t="s">
        <v>220</v>
      </c>
      <c r="B2845" t="s">
        <v>2351</v>
      </c>
      <c r="C2845" t="s">
        <v>3813</v>
      </c>
      <c r="D2845" t="s">
        <v>3814</v>
      </c>
      <c r="F2845">
        <v>2</v>
      </c>
      <c r="G2845">
        <v>176.84310000000002</v>
      </c>
      <c r="H2845">
        <v>353.68620000000004</v>
      </c>
      <c r="I2845" t="s">
        <v>2354</v>
      </c>
    </row>
    <row r="2846" spans="1:9" x14ac:dyDescent="0.25">
      <c r="A2846" t="s">
        <v>220</v>
      </c>
      <c r="B2846" t="s">
        <v>2351</v>
      </c>
      <c r="C2846" t="s">
        <v>3817</v>
      </c>
      <c r="D2846" t="s">
        <v>3818</v>
      </c>
      <c r="F2846">
        <v>1</v>
      </c>
      <c r="G2846">
        <v>1330.4114999999999</v>
      </c>
      <c r="H2846">
        <v>1330.4114999999999</v>
      </c>
      <c r="I2846" t="s">
        <v>2354</v>
      </c>
    </row>
    <row r="2847" spans="1:9" x14ac:dyDescent="0.25">
      <c r="A2847" t="s">
        <v>220</v>
      </c>
      <c r="B2847" t="s">
        <v>2351</v>
      </c>
      <c r="C2847" t="s">
        <v>3819</v>
      </c>
      <c r="D2847" t="s">
        <v>3820</v>
      </c>
      <c r="F2847">
        <v>1</v>
      </c>
      <c r="G2847">
        <v>129.67784999999998</v>
      </c>
      <c r="H2847">
        <v>129.67784999999998</v>
      </c>
      <c r="I2847" t="s">
        <v>2354</v>
      </c>
    </row>
    <row r="2848" spans="1:9" x14ac:dyDescent="0.25">
      <c r="A2848" t="s">
        <v>220</v>
      </c>
      <c r="B2848" t="s">
        <v>2351</v>
      </c>
      <c r="C2848" t="s">
        <v>5311</v>
      </c>
      <c r="D2848" t="s">
        <v>5312</v>
      </c>
      <c r="F2848">
        <v>1</v>
      </c>
      <c r="G2848">
        <v>0</v>
      </c>
      <c r="H2848">
        <v>0</v>
      </c>
      <c r="I2848" t="s">
        <v>2354</v>
      </c>
    </row>
    <row r="2849" spans="1:9" x14ac:dyDescent="0.25">
      <c r="A2849" t="s">
        <v>220</v>
      </c>
      <c r="B2849" t="s">
        <v>2351</v>
      </c>
      <c r="C2849" t="s">
        <v>3821</v>
      </c>
      <c r="D2849" t="s">
        <v>3822</v>
      </c>
      <c r="F2849">
        <v>1</v>
      </c>
      <c r="G2849">
        <v>382.89949999999999</v>
      </c>
      <c r="H2849">
        <v>382.89949999999999</v>
      </c>
      <c r="I2849" t="s">
        <v>2354</v>
      </c>
    </row>
    <row r="2850" spans="1:9" x14ac:dyDescent="0.25">
      <c r="A2850" t="s">
        <v>220</v>
      </c>
      <c r="B2850" t="s">
        <v>2351</v>
      </c>
      <c r="C2850" t="s">
        <v>3823</v>
      </c>
      <c r="D2850" t="s">
        <v>3824</v>
      </c>
      <c r="F2850">
        <v>5</v>
      </c>
      <c r="G2850">
        <v>0</v>
      </c>
      <c r="H2850">
        <v>0</v>
      </c>
      <c r="I2850" t="s">
        <v>2354</v>
      </c>
    </row>
    <row r="2851" spans="1:9" x14ac:dyDescent="0.25">
      <c r="A2851" t="s">
        <v>220</v>
      </c>
      <c r="B2851" t="s">
        <v>2351</v>
      </c>
      <c r="C2851" t="s">
        <v>3825</v>
      </c>
      <c r="D2851" t="s">
        <v>3826</v>
      </c>
      <c r="F2851">
        <v>2</v>
      </c>
      <c r="G2851">
        <v>150.75</v>
      </c>
      <c r="H2851">
        <v>301.5</v>
      </c>
      <c r="I2851" t="s">
        <v>2354</v>
      </c>
    </row>
    <row r="2852" spans="1:9" x14ac:dyDescent="0.25">
      <c r="A2852" t="s">
        <v>220</v>
      </c>
      <c r="B2852" t="s">
        <v>2351</v>
      </c>
      <c r="C2852" t="s">
        <v>3827</v>
      </c>
      <c r="D2852" t="s">
        <v>3828</v>
      </c>
      <c r="F2852">
        <v>2</v>
      </c>
      <c r="G2852">
        <v>100.2</v>
      </c>
      <c r="H2852">
        <v>200.4</v>
      </c>
      <c r="I2852" t="s">
        <v>2354</v>
      </c>
    </row>
    <row r="2853" spans="1:9" x14ac:dyDescent="0.25">
      <c r="A2853" t="s">
        <v>220</v>
      </c>
      <c r="B2853" t="s">
        <v>2351</v>
      </c>
      <c r="C2853" t="s">
        <v>3829</v>
      </c>
      <c r="D2853" t="s">
        <v>3830</v>
      </c>
      <c r="F2853">
        <v>4</v>
      </c>
      <c r="G2853">
        <v>6.9550000000000001</v>
      </c>
      <c r="H2853">
        <v>27.82</v>
      </c>
      <c r="I2853" t="s">
        <v>2354</v>
      </c>
    </row>
    <row r="2854" spans="1:9" x14ac:dyDescent="0.25">
      <c r="A2854" t="s">
        <v>220</v>
      </c>
      <c r="B2854" t="s">
        <v>2351</v>
      </c>
      <c r="C2854" t="s">
        <v>3837</v>
      </c>
      <c r="D2854" t="s">
        <v>3838</v>
      </c>
      <c r="F2854">
        <v>4</v>
      </c>
      <c r="G2854">
        <v>0.17199999999999999</v>
      </c>
      <c r="H2854">
        <v>0.68799999999999994</v>
      </c>
      <c r="I2854" t="s">
        <v>2354</v>
      </c>
    </row>
    <row r="2855" spans="1:9" x14ac:dyDescent="0.25">
      <c r="A2855" t="s">
        <v>220</v>
      </c>
      <c r="B2855" t="s">
        <v>2351</v>
      </c>
      <c r="C2855" t="s">
        <v>3841</v>
      </c>
      <c r="D2855" t="s">
        <v>3842</v>
      </c>
      <c r="F2855">
        <v>2</v>
      </c>
      <c r="G2855">
        <v>27.27</v>
      </c>
      <c r="H2855">
        <v>54.54</v>
      </c>
      <c r="I2855" t="s">
        <v>2354</v>
      </c>
    </row>
    <row r="2856" spans="1:9" x14ac:dyDescent="0.25">
      <c r="A2856" t="s">
        <v>220</v>
      </c>
      <c r="B2856" t="s">
        <v>2351</v>
      </c>
      <c r="C2856" t="s">
        <v>3843</v>
      </c>
      <c r="D2856" t="s">
        <v>3844</v>
      </c>
      <c r="F2856">
        <v>2</v>
      </c>
      <c r="G2856">
        <v>364.49275</v>
      </c>
      <c r="H2856">
        <v>728.9855</v>
      </c>
      <c r="I2856" t="s">
        <v>2354</v>
      </c>
    </row>
    <row r="2857" spans="1:9" x14ac:dyDescent="0.25">
      <c r="A2857" t="s">
        <v>220</v>
      </c>
      <c r="B2857" t="s">
        <v>2351</v>
      </c>
      <c r="C2857" t="s">
        <v>3845</v>
      </c>
      <c r="D2857" t="s">
        <v>3846</v>
      </c>
      <c r="F2857">
        <v>12</v>
      </c>
      <c r="G2857">
        <v>133.94300000000001</v>
      </c>
      <c r="H2857">
        <v>1607.3160000000003</v>
      </c>
      <c r="I2857" t="s">
        <v>2354</v>
      </c>
    </row>
    <row r="2858" spans="1:9" x14ac:dyDescent="0.25">
      <c r="A2858" t="s">
        <v>220</v>
      </c>
      <c r="B2858" t="s">
        <v>2351</v>
      </c>
      <c r="C2858" t="s">
        <v>3847</v>
      </c>
      <c r="D2858" t="s">
        <v>3848</v>
      </c>
      <c r="F2858">
        <v>2</v>
      </c>
      <c r="G2858">
        <v>19.800999999999998</v>
      </c>
      <c r="H2858">
        <v>39.601999999999997</v>
      </c>
      <c r="I2858" t="s">
        <v>2354</v>
      </c>
    </row>
    <row r="2859" spans="1:9" x14ac:dyDescent="0.25">
      <c r="A2859" t="s">
        <v>220</v>
      </c>
      <c r="B2859" t="s">
        <v>2351</v>
      </c>
      <c r="C2859" t="s">
        <v>3849</v>
      </c>
      <c r="D2859" t="s">
        <v>3850</v>
      </c>
      <c r="F2859">
        <v>7</v>
      </c>
      <c r="G2859">
        <v>9.9990000000000006</v>
      </c>
      <c r="H2859">
        <v>69.993000000000009</v>
      </c>
      <c r="I2859" t="s">
        <v>2354</v>
      </c>
    </row>
    <row r="2860" spans="1:9" x14ac:dyDescent="0.25">
      <c r="A2860" t="s">
        <v>220</v>
      </c>
      <c r="B2860" t="s">
        <v>2351</v>
      </c>
      <c r="C2860" t="s">
        <v>3851</v>
      </c>
      <c r="D2860" t="s">
        <v>3852</v>
      </c>
      <c r="F2860">
        <v>6</v>
      </c>
      <c r="G2860">
        <v>1.7955000000000001</v>
      </c>
      <c r="H2860">
        <v>10.773</v>
      </c>
      <c r="I2860" t="s">
        <v>2354</v>
      </c>
    </row>
    <row r="2861" spans="1:9" x14ac:dyDescent="0.25">
      <c r="A2861" t="s">
        <v>220</v>
      </c>
      <c r="B2861" t="s">
        <v>2351</v>
      </c>
      <c r="C2861" t="s">
        <v>3853</v>
      </c>
      <c r="D2861" t="s">
        <v>3854</v>
      </c>
      <c r="F2861">
        <v>8</v>
      </c>
      <c r="G2861">
        <v>1.5498000000000001</v>
      </c>
      <c r="H2861">
        <v>12.398400000000001</v>
      </c>
      <c r="I2861" t="s">
        <v>2354</v>
      </c>
    </row>
    <row r="2862" spans="1:9" x14ac:dyDescent="0.25">
      <c r="A2862" t="s">
        <v>220</v>
      </c>
      <c r="B2862" t="s">
        <v>2351</v>
      </c>
      <c r="C2862" t="s">
        <v>3855</v>
      </c>
      <c r="D2862" t="s">
        <v>7562</v>
      </c>
      <c r="F2862">
        <v>2</v>
      </c>
      <c r="G2862">
        <v>327.488</v>
      </c>
      <c r="H2862">
        <v>654.976</v>
      </c>
      <c r="I2862" t="s">
        <v>2354</v>
      </c>
    </row>
    <row r="2863" spans="1:9" x14ac:dyDescent="0.25">
      <c r="A2863" t="s">
        <v>220</v>
      </c>
      <c r="B2863" t="s">
        <v>2351</v>
      </c>
      <c r="C2863" t="s">
        <v>3857</v>
      </c>
      <c r="D2863" t="s">
        <v>3858</v>
      </c>
      <c r="F2863">
        <v>2</v>
      </c>
      <c r="G2863">
        <v>407.12400000000002</v>
      </c>
      <c r="H2863">
        <v>814.24800000000005</v>
      </c>
      <c r="I2863" t="s">
        <v>2354</v>
      </c>
    </row>
    <row r="2864" spans="1:9" x14ac:dyDescent="0.25">
      <c r="A2864" t="s">
        <v>220</v>
      </c>
      <c r="B2864" t="s">
        <v>2351</v>
      </c>
      <c r="C2864" t="s">
        <v>3859</v>
      </c>
      <c r="D2864" t="s">
        <v>3860</v>
      </c>
      <c r="F2864">
        <v>2</v>
      </c>
      <c r="G2864">
        <v>248.01400000000001</v>
      </c>
      <c r="H2864">
        <v>496.02800000000002</v>
      </c>
      <c r="I2864" t="s">
        <v>2354</v>
      </c>
    </row>
    <row r="2865" spans="1:9" x14ac:dyDescent="0.25">
      <c r="A2865" t="s">
        <v>220</v>
      </c>
      <c r="B2865" t="s">
        <v>2351</v>
      </c>
      <c r="C2865" t="s">
        <v>3861</v>
      </c>
      <c r="D2865" t="s">
        <v>3862</v>
      </c>
      <c r="F2865">
        <v>1</v>
      </c>
      <c r="G2865">
        <v>588.6</v>
      </c>
      <c r="H2865">
        <v>588.6</v>
      </c>
      <c r="I2865" t="s">
        <v>2354</v>
      </c>
    </row>
    <row r="2866" spans="1:9" x14ac:dyDescent="0.25">
      <c r="A2866" t="s">
        <v>220</v>
      </c>
      <c r="B2866" t="s">
        <v>2351</v>
      </c>
      <c r="C2866" t="s">
        <v>3863</v>
      </c>
      <c r="D2866" t="s">
        <v>3864</v>
      </c>
      <c r="F2866">
        <v>2</v>
      </c>
      <c r="G2866">
        <v>281.60500000000002</v>
      </c>
      <c r="H2866">
        <v>563.21</v>
      </c>
      <c r="I2866" t="s">
        <v>2354</v>
      </c>
    </row>
    <row r="2867" spans="1:9" x14ac:dyDescent="0.25">
      <c r="A2867" t="s">
        <v>220</v>
      </c>
      <c r="B2867" t="s">
        <v>2351</v>
      </c>
      <c r="C2867" t="s">
        <v>3865</v>
      </c>
      <c r="D2867" t="s">
        <v>3866</v>
      </c>
      <c r="F2867">
        <v>25</v>
      </c>
      <c r="G2867">
        <v>12</v>
      </c>
      <c r="H2867">
        <v>300</v>
      </c>
      <c r="I2867" t="s">
        <v>2354</v>
      </c>
    </row>
    <row r="2868" spans="1:9" x14ac:dyDescent="0.25">
      <c r="A2868" t="s">
        <v>220</v>
      </c>
      <c r="B2868" t="s">
        <v>2351</v>
      </c>
      <c r="C2868" t="s">
        <v>3869</v>
      </c>
      <c r="D2868" t="s">
        <v>3870</v>
      </c>
      <c r="F2868">
        <v>1</v>
      </c>
      <c r="G2868">
        <v>193.8015</v>
      </c>
      <c r="H2868">
        <v>193.8015</v>
      </c>
      <c r="I2868" t="s">
        <v>2354</v>
      </c>
    </row>
    <row r="2869" spans="1:9" x14ac:dyDescent="0.25">
      <c r="A2869" t="s">
        <v>220</v>
      </c>
      <c r="B2869" t="s">
        <v>2351</v>
      </c>
      <c r="C2869" t="s">
        <v>3873</v>
      </c>
      <c r="D2869" t="s">
        <v>3874</v>
      </c>
      <c r="F2869">
        <v>2</v>
      </c>
      <c r="G2869">
        <v>24.84</v>
      </c>
      <c r="H2869">
        <v>49.68</v>
      </c>
      <c r="I2869" t="s">
        <v>2354</v>
      </c>
    </row>
    <row r="2870" spans="1:9" x14ac:dyDescent="0.25">
      <c r="A2870" t="s">
        <v>220</v>
      </c>
      <c r="B2870" t="s">
        <v>2351</v>
      </c>
      <c r="C2870" t="s">
        <v>3875</v>
      </c>
      <c r="D2870" t="s">
        <v>3876</v>
      </c>
      <c r="F2870">
        <v>5</v>
      </c>
      <c r="G2870">
        <v>11</v>
      </c>
      <c r="H2870">
        <v>55</v>
      </c>
      <c r="I2870" t="s">
        <v>2354</v>
      </c>
    </row>
    <row r="2871" spans="1:9" x14ac:dyDescent="0.25">
      <c r="A2871" t="s">
        <v>220</v>
      </c>
      <c r="B2871" t="s">
        <v>2351</v>
      </c>
      <c r="C2871" t="s">
        <v>3877</v>
      </c>
      <c r="D2871" t="s">
        <v>3878</v>
      </c>
      <c r="F2871">
        <v>4</v>
      </c>
      <c r="G2871">
        <v>126.23679999999999</v>
      </c>
      <c r="H2871">
        <v>504.94719999999995</v>
      </c>
      <c r="I2871" t="s">
        <v>2354</v>
      </c>
    </row>
    <row r="2872" spans="1:9" x14ac:dyDescent="0.25">
      <c r="A2872" t="s">
        <v>220</v>
      </c>
      <c r="B2872" t="s">
        <v>2351</v>
      </c>
      <c r="C2872" t="s">
        <v>3883</v>
      </c>
      <c r="D2872" t="s">
        <v>3884</v>
      </c>
      <c r="F2872">
        <v>4</v>
      </c>
      <c r="G2872">
        <v>293.471</v>
      </c>
      <c r="H2872">
        <v>1173.884</v>
      </c>
      <c r="I2872" t="s">
        <v>2354</v>
      </c>
    </row>
    <row r="2873" spans="1:9" x14ac:dyDescent="0.25">
      <c r="A2873" t="s">
        <v>220</v>
      </c>
      <c r="B2873" t="s">
        <v>2351</v>
      </c>
      <c r="C2873" t="s">
        <v>3885</v>
      </c>
      <c r="D2873" t="s">
        <v>3886</v>
      </c>
      <c r="F2873">
        <v>10</v>
      </c>
      <c r="G2873">
        <v>146.642</v>
      </c>
      <c r="H2873">
        <v>1466.42</v>
      </c>
      <c r="I2873" t="s">
        <v>2354</v>
      </c>
    </row>
    <row r="2874" spans="1:9" x14ac:dyDescent="0.25">
      <c r="A2874" t="s">
        <v>220</v>
      </c>
      <c r="B2874" t="s">
        <v>2351</v>
      </c>
      <c r="C2874" t="s">
        <v>3887</v>
      </c>
      <c r="D2874" t="s">
        <v>3888</v>
      </c>
      <c r="F2874">
        <v>4</v>
      </c>
      <c r="G2874">
        <v>277.35500000000002</v>
      </c>
      <c r="H2874">
        <v>1109.42</v>
      </c>
      <c r="I2874" t="s">
        <v>2354</v>
      </c>
    </row>
    <row r="2875" spans="1:9" x14ac:dyDescent="0.25">
      <c r="A2875" t="s">
        <v>220</v>
      </c>
      <c r="B2875" t="s">
        <v>2351</v>
      </c>
      <c r="C2875" t="s">
        <v>5321</v>
      </c>
      <c r="D2875" t="s">
        <v>5322</v>
      </c>
      <c r="F2875">
        <v>1</v>
      </c>
      <c r="G2875">
        <v>0</v>
      </c>
      <c r="H2875">
        <v>0</v>
      </c>
      <c r="I2875" t="s">
        <v>2354</v>
      </c>
    </row>
    <row r="2876" spans="1:9" x14ac:dyDescent="0.25">
      <c r="A2876" t="s">
        <v>220</v>
      </c>
      <c r="B2876" t="s">
        <v>2351</v>
      </c>
      <c r="C2876" t="s">
        <v>3889</v>
      </c>
      <c r="D2876" t="s">
        <v>3890</v>
      </c>
      <c r="F2876">
        <v>3</v>
      </c>
      <c r="G2876">
        <v>168.19800000000001</v>
      </c>
      <c r="H2876">
        <v>504.59400000000005</v>
      </c>
      <c r="I2876" t="s">
        <v>2354</v>
      </c>
    </row>
    <row r="2877" spans="1:9" x14ac:dyDescent="0.25">
      <c r="A2877" t="s">
        <v>220</v>
      </c>
      <c r="B2877" t="s">
        <v>2351</v>
      </c>
      <c r="C2877" t="s">
        <v>3891</v>
      </c>
      <c r="D2877" t="s">
        <v>3892</v>
      </c>
      <c r="F2877">
        <v>3</v>
      </c>
      <c r="G2877">
        <v>378.55599999999998</v>
      </c>
      <c r="H2877">
        <v>1135.6679999999999</v>
      </c>
      <c r="I2877" t="s">
        <v>2354</v>
      </c>
    </row>
    <row r="2878" spans="1:9" x14ac:dyDescent="0.25">
      <c r="A2878" t="s">
        <v>220</v>
      </c>
      <c r="B2878" t="s">
        <v>2351</v>
      </c>
      <c r="C2878" t="s">
        <v>3893</v>
      </c>
      <c r="D2878" t="s">
        <v>3894</v>
      </c>
      <c r="F2878">
        <v>8</v>
      </c>
      <c r="G2878">
        <v>140.06299999999999</v>
      </c>
      <c r="H2878">
        <v>1120.5039999999999</v>
      </c>
      <c r="I2878" t="s">
        <v>2354</v>
      </c>
    </row>
    <row r="2879" spans="1:9" x14ac:dyDescent="0.25">
      <c r="A2879" t="s">
        <v>220</v>
      </c>
      <c r="B2879" t="s">
        <v>2351</v>
      </c>
      <c r="C2879" t="s">
        <v>3895</v>
      </c>
      <c r="D2879" t="s">
        <v>3896</v>
      </c>
      <c r="F2879">
        <v>1</v>
      </c>
      <c r="G2879">
        <v>75.921300000000002</v>
      </c>
      <c r="H2879">
        <v>75.921300000000002</v>
      </c>
      <c r="I2879" t="s">
        <v>2354</v>
      </c>
    </row>
    <row r="2880" spans="1:9" x14ac:dyDescent="0.25">
      <c r="A2880" t="s">
        <v>220</v>
      </c>
      <c r="B2880" t="s">
        <v>2351</v>
      </c>
      <c r="C2880" t="s">
        <v>5317</v>
      </c>
      <c r="D2880" t="s">
        <v>5318</v>
      </c>
      <c r="F2880">
        <v>1</v>
      </c>
      <c r="G2880">
        <v>0</v>
      </c>
      <c r="H2880">
        <v>0</v>
      </c>
      <c r="I2880" t="s">
        <v>2354</v>
      </c>
    </row>
    <row r="2881" spans="1:9" x14ac:dyDescent="0.25">
      <c r="A2881" t="s">
        <v>220</v>
      </c>
      <c r="B2881" t="s">
        <v>2351</v>
      </c>
      <c r="C2881" t="s">
        <v>5319</v>
      </c>
      <c r="D2881" t="s">
        <v>5320</v>
      </c>
      <c r="F2881">
        <v>2</v>
      </c>
      <c r="G2881">
        <v>0</v>
      </c>
      <c r="H2881">
        <v>0</v>
      </c>
      <c r="I2881" t="s">
        <v>2354</v>
      </c>
    </row>
    <row r="2882" spans="1:9" x14ac:dyDescent="0.25">
      <c r="A2882" t="s">
        <v>220</v>
      </c>
      <c r="B2882" t="s">
        <v>2351</v>
      </c>
      <c r="C2882" t="s">
        <v>3943</v>
      </c>
      <c r="D2882" t="s">
        <v>3944</v>
      </c>
      <c r="F2882">
        <v>3</v>
      </c>
      <c r="G2882">
        <v>1.7869999999999999</v>
      </c>
      <c r="H2882">
        <v>5.3609999999999998</v>
      </c>
      <c r="I2882" t="s">
        <v>2354</v>
      </c>
    </row>
    <row r="2883" spans="1:9" x14ac:dyDescent="0.25">
      <c r="A2883" t="s">
        <v>220</v>
      </c>
      <c r="B2883" t="s">
        <v>2351</v>
      </c>
      <c r="C2883" t="s">
        <v>3945</v>
      </c>
      <c r="D2883" t="s">
        <v>3946</v>
      </c>
      <c r="F2883">
        <v>2</v>
      </c>
      <c r="G2883">
        <v>181.35</v>
      </c>
      <c r="H2883">
        <v>362.7</v>
      </c>
      <c r="I2883" t="s">
        <v>2354</v>
      </c>
    </row>
    <row r="2884" spans="1:9" x14ac:dyDescent="0.25">
      <c r="A2884" t="s">
        <v>220</v>
      </c>
      <c r="B2884" t="s">
        <v>2351</v>
      </c>
      <c r="C2884" t="s">
        <v>3947</v>
      </c>
      <c r="D2884" t="s">
        <v>3948</v>
      </c>
      <c r="F2884">
        <v>7</v>
      </c>
      <c r="G2884">
        <v>17.599772727272729</v>
      </c>
      <c r="H2884">
        <v>123.19840909090911</v>
      </c>
      <c r="I2884" t="s">
        <v>2354</v>
      </c>
    </row>
    <row r="2885" spans="1:9" x14ac:dyDescent="0.25">
      <c r="A2885" t="s">
        <v>220</v>
      </c>
      <c r="B2885" t="s">
        <v>2351</v>
      </c>
      <c r="C2885" t="s">
        <v>3949</v>
      </c>
      <c r="D2885" t="s">
        <v>3950</v>
      </c>
      <c r="F2885">
        <v>5</v>
      </c>
      <c r="G2885">
        <v>21.861000000000001</v>
      </c>
      <c r="H2885">
        <v>109.30500000000001</v>
      </c>
      <c r="I2885" t="s">
        <v>2354</v>
      </c>
    </row>
    <row r="2886" spans="1:9" x14ac:dyDescent="0.25">
      <c r="A2886" t="s">
        <v>220</v>
      </c>
      <c r="B2886" t="s">
        <v>2351</v>
      </c>
      <c r="C2886" t="s">
        <v>3951</v>
      </c>
      <c r="D2886" t="s">
        <v>3952</v>
      </c>
      <c r="F2886">
        <v>10</v>
      </c>
      <c r="G2886">
        <v>21.861000000000001</v>
      </c>
      <c r="H2886">
        <v>218.61</v>
      </c>
      <c r="I2886" t="s">
        <v>2354</v>
      </c>
    </row>
    <row r="2887" spans="1:9" x14ac:dyDescent="0.25">
      <c r="A2887" t="s">
        <v>220</v>
      </c>
      <c r="B2887" t="s">
        <v>2351</v>
      </c>
      <c r="C2887" t="s">
        <v>3953</v>
      </c>
      <c r="D2887" t="s">
        <v>3954</v>
      </c>
      <c r="F2887">
        <v>2</v>
      </c>
      <c r="G2887">
        <v>14.273999999999999</v>
      </c>
      <c r="H2887">
        <v>28.547999999999998</v>
      </c>
      <c r="I2887" t="s">
        <v>2354</v>
      </c>
    </row>
    <row r="2888" spans="1:9" x14ac:dyDescent="0.25">
      <c r="A2888" t="s">
        <v>220</v>
      </c>
      <c r="B2888" t="s">
        <v>2351</v>
      </c>
      <c r="C2888" t="s">
        <v>3955</v>
      </c>
      <c r="D2888" t="s">
        <v>3956</v>
      </c>
      <c r="F2888">
        <v>3</v>
      </c>
      <c r="G2888">
        <v>83.718000000000004</v>
      </c>
      <c r="H2888">
        <v>251.154</v>
      </c>
      <c r="I2888" t="s">
        <v>2354</v>
      </c>
    </row>
    <row r="2889" spans="1:9" x14ac:dyDescent="0.25">
      <c r="A2889" t="s">
        <v>220</v>
      </c>
      <c r="B2889" t="s">
        <v>2351</v>
      </c>
      <c r="C2889" t="s">
        <v>3957</v>
      </c>
      <c r="D2889" t="s">
        <v>3958</v>
      </c>
      <c r="F2889">
        <v>16</v>
      </c>
      <c r="G2889">
        <v>80.75</v>
      </c>
      <c r="H2889">
        <v>1292</v>
      </c>
      <c r="I2889" t="s">
        <v>2354</v>
      </c>
    </row>
    <row r="2890" spans="1:9" x14ac:dyDescent="0.25">
      <c r="A2890" t="s">
        <v>220</v>
      </c>
      <c r="B2890" t="s">
        <v>2351</v>
      </c>
      <c r="C2890" t="s">
        <v>3989</v>
      </c>
      <c r="D2890" t="s">
        <v>3990</v>
      </c>
      <c r="F2890">
        <v>4</v>
      </c>
      <c r="G2890">
        <v>80.531999999999996</v>
      </c>
      <c r="H2890">
        <v>322.12799999999999</v>
      </c>
      <c r="I2890" t="s">
        <v>2354</v>
      </c>
    </row>
    <row r="2891" spans="1:9" x14ac:dyDescent="0.25">
      <c r="A2891" t="s">
        <v>220</v>
      </c>
      <c r="B2891" t="s">
        <v>2351</v>
      </c>
      <c r="C2891" t="s">
        <v>3991</v>
      </c>
      <c r="D2891" t="s">
        <v>3992</v>
      </c>
      <c r="F2891">
        <v>1</v>
      </c>
      <c r="G2891">
        <v>109.34143583333334</v>
      </c>
      <c r="H2891">
        <v>109.34143583333334</v>
      </c>
      <c r="I2891" t="s">
        <v>2354</v>
      </c>
    </row>
    <row r="2892" spans="1:9" x14ac:dyDescent="0.25">
      <c r="A2892" t="s">
        <v>220</v>
      </c>
      <c r="B2892" t="s">
        <v>2351</v>
      </c>
      <c r="C2892" t="s">
        <v>3993</v>
      </c>
      <c r="D2892" t="s">
        <v>3994</v>
      </c>
      <c r="F2892">
        <v>2</v>
      </c>
      <c r="G2892">
        <v>83.674999999999997</v>
      </c>
      <c r="H2892">
        <v>167.35</v>
      </c>
      <c r="I2892" t="s">
        <v>2354</v>
      </c>
    </row>
    <row r="2893" spans="1:9" x14ac:dyDescent="0.25">
      <c r="A2893" t="s">
        <v>220</v>
      </c>
      <c r="B2893" t="s">
        <v>2351</v>
      </c>
      <c r="C2893" t="s">
        <v>3995</v>
      </c>
      <c r="D2893" t="s">
        <v>3996</v>
      </c>
      <c r="F2893">
        <v>1</v>
      </c>
      <c r="G2893">
        <v>70.52</v>
      </c>
      <c r="H2893">
        <v>70.52</v>
      </c>
      <c r="I2893" t="s">
        <v>2354</v>
      </c>
    </row>
    <row r="2894" spans="1:9" x14ac:dyDescent="0.25">
      <c r="A2894" t="s">
        <v>220</v>
      </c>
      <c r="B2894" t="s">
        <v>2351</v>
      </c>
      <c r="C2894" t="s">
        <v>3997</v>
      </c>
      <c r="D2894" t="s">
        <v>3998</v>
      </c>
      <c r="F2894">
        <v>1</v>
      </c>
      <c r="G2894">
        <v>84.272999999999996</v>
      </c>
      <c r="H2894">
        <v>84.272999999999996</v>
      </c>
      <c r="I2894" t="s">
        <v>2354</v>
      </c>
    </row>
    <row r="2895" spans="1:9" x14ac:dyDescent="0.25">
      <c r="A2895" t="s">
        <v>220</v>
      </c>
      <c r="B2895" t="s">
        <v>2351</v>
      </c>
      <c r="C2895" t="s">
        <v>3999</v>
      </c>
      <c r="D2895" t="s">
        <v>4000</v>
      </c>
      <c r="F2895">
        <v>10</v>
      </c>
      <c r="G2895">
        <v>8</v>
      </c>
      <c r="H2895">
        <v>80</v>
      </c>
      <c r="I2895" t="s">
        <v>2354</v>
      </c>
    </row>
    <row r="2896" spans="1:9" x14ac:dyDescent="0.25">
      <c r="A2896" t="s">
        <v>220</v>
      </c>
      <c r="B2896" t="s">
        <v>2351</v>
      </c>
      <c r="C2896" t="s">
        <v>4001</v>
      </c>
      <c r="D2896" t="s">
        <v>4002</v>
      </c>
      <c r="F2896">
        <v>4</v>
      </c>
      <c r="G2896">
        <v>13.5</v>
      </c>
      <c r="H2896">
        <v>54</v>
      </c>
      <c r="I2896" t="s">
        <v>2354</v>
      </c>
    </row>
    <row r="2897" spans="1:9" x14ac:dyDescent="0.25">
      <c r="A2897" t="s">
        <v>220</v>
      </c>
      <c r="B2897" t="s">
        <v>2351</v>
      </c>
      <c r="C2897" t="s">
        <v>4003</v>
      </c>
      <c r="D2897" t="s">
        <v>4004</v>
      </c>
      <c r="F2897">
        <v>1</v>
      </c>
      <c r="G2897">
        <v>0</v>
      </c>
      <c r="H2897">
        <v>0</v>
      </c>
      <c r="I2897" t="s">
        <v>2354</v>
      </c>
    </row>
    <row r="2898" spans="1:9" x14ac:dyDescent="0.25">
      <c r="A2898" t="s">
        <v>220</v>
      </c>
      <c r="B2898" t="s">
        <v>2351</v>
      </c>
      <c r="C2898" t="s">
        <v>4005</v>
      </c>
      <c r="D2898" t="s">
        <v>4006</v>
      </c>
      <c r="F2898">
        <v>4</v>
      </c>
      <c r="G2898">
        <v>0</v>
      </c>
      <c r="H2898">
        <v>0</v>
      </c>
      <c r="I2898" t="s">
        <v>2354</v>
      </c>
    </row>
    <row r="2899" spans="1:9" x14ac:dyDescent="0.25">
      <c r="A2899" t="s">
        <v>220</v>
      </c>
      <c r="B2899" t="s">
        <v>2351</v>
      </c>
      <c r="C2899" t="s">
        <v>4007</v>
      </c>
      <c r="D2899" t="s">
        <v>4008</v>
      </c>
      <c r="F2899">
        <v>7</v>
      </c>
      <c r="G2899">
        <v>0</v>
      </c>
      <c r="H2899">
        <v>0</v>
      </c>
      <c r="I2899" t="s">
        <v>2354</v>
      </c>
    </row>
    <row r="2900" spans="1:9" x14ac:dyDescent="0.25">
      <c r="A2900" t="s">
        <v>220</v>
      </c>
      <c r="B2900" t="s">
        <v>2351</v>
      </c>
      <c r="C2900" t="s">
        <v>4009</v>
      </c>
      <c r="D2900" t="s">
        <v>4010</v>
      </c>
      <c r="F2900">
        <v>10</v>
      </c>
      <c r="G2900">
        <v>10.089499999999999</v>
      </c>
      <c r="H2900">
        <v>100.895</v>
      </c>
      <c r="I2900" t="s">
        <v>2354</v>
      </c>
    </row>
    <row r="2901" spans="1:9" x14ac:dyDescent="0.25">
      <c r="A2901" t="s">
        <v>220</v>
      </c>
      <c r="B2901" t="s">
        <v>2351</v>
      </c>
      <c r="C2901" t="s">
        <v>4011</v>
      </c>
      <c r="D2901" t="s">
        <v>4012</v>
      </c>
      <c r="F2901">
        <v>9</v>
      </c>
      <c r="G2901">
        <v>10.3955</v>
      </c>
      <c r="H2901">
        <v>93.5595</v>
      </c>
      <c r="I2901" t="s">
        <v>2354</v>
      </c>
    </row>
    <row r="2902" spans="1:9" x14ac:dyDescent="0.25">
      <c r="A2902" t="s">
        <v>220</v>
      </c>
      <c r="B2902" t="s">
        <v>2351</v>
      </c>
      <c r="C2902" t="s">
        <v>4013</v>
      </c>
      <c r="D2902" t="s">
        <v>4014</v>
      </c>
      <c r="F2902">
        <v>4</v>
      </c>
      <c r="G2902">
        <v>0</v>
      </c>
      <c r="H2902">
        <v>0</v>
      </c>
      <c r="I2902" t="s">
        <v>2354</v>
      </c>
    </row>
    <row r="2903" spans="1:9" x14ac:dyDescent="0.25">
      <c r="A2903" t="s">
        <v>220</v>
      </c>
      <c r="B2903" t="s">
        <v>2351</v>
      </c>
      <c r="C2903" t="s">
        <v>4015</v>
      </c>
      <c r="D2903" t="s">
        <v>4016</v>
      </c>
      <c r="F2903">
        <v>8</v>
      </c>
      <c r="G2903">
        <v>37</v>
      </c>
      <c r="H2903">
        <v>296</v>
      </c>
      <c r="I2903" t="s">
        <v>2354</v>
      </c>
    </row>
    <row r="2904" spans="1:9" x14ac:dyDescent="0.25">
      <c r="A2904" t="s">
        <v>220</v>
      </c>
      <c r="B2904" t="s">
        <v>2351</v>
      </c>
      <c r="C2904" t="s">
        <v>4017</v>
      </c>
      <c r="D2904" t="s">
        <v>4018</v>
      </c>
      <c r="F2904">
        <v>8</v>
      </c>
      <c r="G2904">
        <v>59.5</v>
      </c>
      <c r="H2904">
        <v>476</v>
      </c>
      <c r="I2904" t="s">
        <v>2354</v>
      </c>
    </row>
    <row r="2905" spans="1:9" x14ac:dyDescent="0.25">
      <c r="A2905" t="s">
        <v>220</v>
      </c>
      <c r="B2905" t="s">
        <v>2351</v>
      </c>
      <c r="C2905" t="s">
        <v>4019</v>
      </c>
      <c r="D2905" t="s">
        <v>4020</v>
      </c>
      <c r="F2905">
        <v>1</v>
      </c>
      <c r="G2905">
        <v>213.28200000000001</v>
      </c>
      <c r="H2905">
        <v>213.28200000000001</v>
      </c>
      <c r="I2905" t="s">
        <v>2354</v>
      </c>
    </row>
    <row r="2906" spans="1:9" x14ac:dyDescent="0.25">
      <c r="A2906" t="s">
        <v>220</v>
      </c>
      <c r="B2906" t="s">
        <v>2351</v>
      </c>
      <c r="C2906" t="s">
        <v>4021</v>
      </c>
      <c r="D2906" t="s">
        <v>4022</v>
      </c>
      <c r="F2906">
        <v>6</v>
      </c>
      <c r="G2906">
        <v>115</v>
      </c>
      <c r="H2906">
        <v>690</v>
      </c>
      <c r="I2906" t="s">
        <v>2354</v>
      </c>
    </row>
    <row r="2907" spans="1:9" x14ac:dyDescent="0.25">
      <c r="A2907" t="s">
        <v>220</v>
      </c>
      <c r="B2907" t="s">
        <v>2351</v>
      </c>
      <c r="C2907" t="s">
        <v>4023</v>
      </c>
      <c r="D2907" t="s">
        <v>4024</v>
      </c>
      <c r="F2907">
        <v>22</v>
      </c>
      <c r="G2907">
        <v>25</v>
      </c>
      <c r="H2907">
        <v>550</v>
      </c>
      <c r="I2907" t="s">
        <v>2354</v>
      </c>
    </row>
    <row r="2908" spans="1:9" x14ac:dyDescent="0.25">
      <c r="A2908" t="s">
        <v>220</v>
      </c>
      <c r="B2908" t="s">
        <v>2351</v>
      </c>
      <c r="C2908" t="s">
        <v>5329</v>
      </c>
      <c r="D2908" t="s">
        <v>5330</v>
      </c>
      <c r="F2908">
        <v>20</v>
      </c>
      <c r="G2908">
        <v>0</v>
      </c>
      <c r="H2908">
        <v>0</v>
      </c>
      <c r="I2908" t="s">
        <v>2354</v>
      </c>
    </row>
    <row r="2909" spans="1:9" x14ac:dyDescent="0.25">
      <c r="A2909" t="s">
        <v>220</v>
      </c>
      <c r="B2909" t="s">
        <v>2351</v>
      </c>
      <c r="C2909" t="s">
        <v>4025</v>
      </c>
      <c r="D2909" t="s">
        <v>4026</v>
      </c>
      <c r="F2909">
        <v>1</v>
      </c>
      <c r="G2909">
        <v>841.5</v>
      </c>
      <c r="H2909">
        <v>841.5</v>
      </c>
      <c r="I2909" t="s">
        <v>2354</v>
      </c>
    </row>
    <row r="2910" spans="1:9" x14ac:dyDescent="0.25">
      <c r="A2910" t="s">
        <v>220</v>
      </c>
      <c r="B2910" t="s">
        <v>2351</v>
      </c>
      <c r="C2910" t="s">
        <v>4027</v>
      </c>
      <c r="D2910" t="s">
        <v>4028</v>
      </c>
      <c r="F2910">
        <v>1</v>
      </c>
      <c r="G2910">
        <v>52.543959999999998</v>
      </c>
      <c r="H2910">
        <v>52.543959999999998</v>
      </c>
      <c r="I2910" t="s">
        <v>2354</v>
      </c>
    </row>
    <row r="2911" spans="1:9" x14ac:dyDescent="0.25">
      <c r="A2911" t="s">
        <v>220</v>
      </c>
      <c r="B2911" t="s">
        <v>2351</v>
      </c>
      <c r="C2911" t="s">
        <v>4029</v>
      </c>
      <c r="D2911" t="s">
        <v>4030</v>
      </c>
      <c r="F2911">
        <v>3</v>
      </c>
      <c r="G2911">
        <v>20.962800000000001</v>
      </c>
      <c r="H2911">
        <v>62.888400000000004</v>
      </c>
      <c r="I2911" t="s">
        <v>2354</v>
      </c>
    </row>
    <row r="2912" spans="1:9" x14ac:dyDescent="0.25">
      <c r="A2912" t="s">
        <v>220</v>
      </c>
      <c r="B2912" t="s">
        <v>2351</v>
      </c>
      <c r="C2912" t="s">
        <v>4031</v>
      </c>
      <c r="D2912" t="s">
        <v>4032</v>
      </c>
      <c r="F2912">
        <v>2</v>
      </c>
      <c r="G2912">
        <v>141.928</v>
      </c>
      <c r="H2912">
        <v>283.85599999999999</v>
      </c>
      <c r="I2912" t="s">
        <v>2354</v>
      </c>
    </row>
    <row r="2913" spans="1:9" x14ac:dyDescent="0.25">
      <c r="A2913" t="s">
        <v>220</v>
      </c>
      <c r="B2913" t="s">
        <v>2351</v>
      </c>
      <c r="C2913" t="s">
        <v>4033</v>
      </c>
      <c r="D2913" t="s">
        <v>4034</v>
      </c>
      <c r="F2913">
        <v>3</v>
      </c>
      <c r="G2913">
        <v>157.5</v>
      </c>
      <c r="H2913">
        <v>472.5</v>
      </c>
      <c r="I2913" t="s">
        <v>2354</v>
      </c>
    </row>
    <row r="2914" spans="1:9" x14ac:dyDescent="0.25">
      <c r="A2914" t="s">
        <v>220</v>
      </c>
      <c r="B2914" t="s">
        <v>2351</v>
      </c>
      <c r="C2914" t="s">
        <v>4035</v>
      </c>
      <c r="D2914" t="s">
        <v>4036</v>
      </c>
      <c r="F2914">
        <v>1</v>
      </c>
      <c r="G2914">
        <v>49.832999999999998</v>
      </c>
      <c r="H2914">
        <v>49.832999999999998</v>
      </c>
      <c r="I2914" t="s">
        <v>2354</v>
      </c>
    </row>
    <row r="2915" spans="1:9" x14ac:dyDescent="0.25">
      <c r="A2915" t="s">
        <v>220</v>
      </c>
      <c r="B2915" t="s">
        <v>2351</v>
      </c>
      <c r="C2915" t="s">
        <v>4037</v>
      </c>
      <c r="D2915" t="s">
        <v>4038</v>
      </c>
      <c r="F2915">
        <v>4</v>
      </c>
      <c r="G2915">
        <v>22.55</v>
      </c>
      <c r="H2915">
        <v>90.2</v>
      </c>
      <c r="I2915" t="s">
        <v>2354</v>
      </c>
    </row>
    <row r="2916" spans="1:9" x14ac:dyDescent="0.25">
      <c r="A2916" t="s">
        <v>220</v>
      </c>
      <c r="B2916" t="s">
        <v>2351</v>
      </c>
      <c r="C2916" t="s">
        <v>4039</v>
      </c>
      <c r="D2916" t="s">
        <v>4040</v>
      </c>
      <c r="F2916">
        <v>1</v>
      </c>
      <c r="G2916">
        <v>69.92</v>
      </c>
      <c r="H2916">
        <v>69.92</v>
      </c>
      <c r="I2916" t="s">
        <v>2354</v>
      </c>
    </row>
    <row r="2917" spans="1:9" x14ac:dyDescent="0.25">
      <c r="A2917" t="s">
        <v>220</v>
      </c>
      <c r="B2917" t="s">
        <v>2351</v>
      </c>
      <c r="C2917" t="s">
        <v>4041</v>
      </c>
      <c r="D2917" t="s">
        <v>4042</v>
      </c>
      <c r="F2917">
        <v>2</v>
      </c>
      <c r="G2917">
        <v>90.56</v>
      </c>
      <c r="H2917">
        <v>181.12</v>
      </c>
      <c r="I2917" t="s">
        <v>2354</v>
      </c>
    </row>
    <row r="2918" spans="1:9" x14ac:dyDescent="0.25">
      <c r="A2918" t="s">
        <v>220</v>
      </c>
      <c r="B2918" t="s">
        <v>2351</v>
      </c>
      <c r="C2918" t="s">
        <v>4043</v>
      </c>
      <c r="D2918" t="s">
        <v>4044</v>
      </c>
      <c r="F2918">
        <v>3</v>
      </c>
      <c r="G2918">
        <v>90.4</v>
      </c>
      <c r="H2918">
        <v>271.20000000000005</v>
      </c>
      <c r="I2918" t="s">
        <v>2354</v>
      </c>
    </row>
    <row r="2919" spans="1:9" x14ac:dyDescent="0.25">
      <c r="A2919" t="s">
        <v>220</v>
      </c>
      <c r="B2919" t="s">
        <v>2351</v>
      </c>
      <c r="C2919" t="s">
        <v>4045</v>
      </c>
      <c r="D2919" t="s">
        <v>4046</v>
      </c>
      <c r="F2919">
        <v>1</v>
      </c>
      <c r="G2919">
        <v>141.928</v>
      </c>
      <c r="H2919">
        <v>141.928</v>
      </c>
      <c r="I2919" t="s">
        <v>2354</v>
      </c>
    </row>
    <row r="2920" spans="1:9" x14ac:dyDescent="0.25">
      <c r="A2920" t="s">
        <v>220</v>
      </c>
      <c r="B2920" t="s">
        <v>2351</v>
      </c>
      <c r="C2920" t="s">
        <v>4047</v>
      </c>
      <c r="D2920" t="s">
        <v>4048</v>
      </c>
      <c r="F2920">
        <v>1</v>
      </c>
      <c r="G2920">
        <v>181.9</v>
      </c>
      <c r="H2920">
        <v>181.9</v>
      </c>
      <c r="I2920" t="s">
        <v>2354</v>
      </c>
    </row>
    <row r="2921" spans="1:9" x14ac:dyDescent="0.25">
      <c r="A2921" t="s">
        <v>220</v>
      </c>
      <c r="B2921" t="s">
        <v>2351</v>
      </c>
      <c r="C2921" t="s">
        <v>4077</v>
      </c>
      <c r="D2921" t="s">
        <v>4078</v>
      </c>
      <c r="F2921">
        <v>2</v>
      </c>
      <c r="G2921">
        <v>89.503</v>
      </c>
      <c r="H2921">
        <v>179.006</v>
      </c>
      <c r="I2921" t="s">
        <v>2354</v>
      </c>
    </row>
    <row r="2922" spans="1:9" x14ac:dyDescent="0.25">
      <c r="A2922" t="s">
        <v>220</v>
      </c>
      <c r="B2922" t="s">
        <v>2351</v>
      </c>
      <c r="C2922" t="s">
        <v>4079</v>
      </c>
      <c r="D2922" t="s">
        <v>4080</v>
      </c>
      <c r="F2922">
        <v>2</v>
      </c>
      <c r="G2922">
        <v>87.93</v>
      </c>
      <c r="H2922">
        <v>175.86</v>
      </c>
      <c r="I2922" t="s">
        <v>2354</v>
      </c>
    </row>
    <row r="2923" spans="1:9" x14ac:dyDescent="0.25">
      <c r="A2923" t="s">
        <v>220</v>
      </c>
      <c r="B2923" t="s">
        <v>2351</v>
      </c>
      <c r="C2923" t="s">
        <v>4079</v>
      </c>
      <c r="D2923" t="s">
        <v>5331</v>
      </c>
      <c r="F2923">
        <v>20</v>
      </c>
      <c r="G2923">
        <v>87.93</v>
      </c>
      <c r="H2923">
        <v>1758.6000000000001</v>
      </c>
      <c r="I2923" t="s">
        <v>2354</v>
      </c>
    </row>
    <row r="2924" spans="1:9" x14ac:dyDescent="0.25">
      <c r="A2924" t="s">
        <v>220</v>
      </c>
      <c r="B2924" t="s">
        <v>2351</v>
      </c>
      <c r="C2924" t="s">
        <v>4081</v>
      </c>
      <c r="D2924" t="s">
        <v>4082</v>
      </c>
      <c r="F2924">
        <v>3</v>
      </c>
      <c r="G2924">
        <v>82.48</v>
      </c>
      <c r="H2924">
        <v>247.44</v>
      </c>
      <c r="I2924" t="s">
        <v>2354</v>
      </c>
    </row>
    <row r="2925" spans="1:9" x14ac:dyDescent="0.25">
      <c r="A2925" t="s">
        <v>220</v>
      </c>
      <c r="B2925" t="s">
        <v>2351</v>
      </c>
      <c r="C2925" t="s">
        <v>4083</v>
      </c>
      <c r="D2925" t="s">
        <v>4084</v>
      </c>
      <c r="F2925">
        <v>2</v>
      </c>
      <c r="G2925">
        <v>67.41</v>
      </c>
      <c r="H2925">
        <v>134.82</v>
      </c>
      <c r="I2925" t="s">
        <v>2354</v>
      </c>
    </row>
    <row r="2926" spans="1:9" x14ac:dyDescent="0.25">
      <c r="A2926" t="s">
        <v>220</v>
      </c>
      <c r="B2926" t="s">
        <v>2351</v>
      </c>
      <c r="C2926" t="s">
        <v>4085</v>
      </c>
      <c r="D2926" t="s">
        <v>4086</v>
      </c>
      <c r="F2926">
        <v>1</v>
      </c>
      <c r="G2926">
        <v>142.03710000000001</v>
      </c>
      <c r="H2926">
        <v>142.03710000000001</v>
      </c>
      <c r="I2926" t="s">
        <v>2354</v>
      </c>
    </row>
    <row r="2927" spans="1:9" x14ac:dyDescent="0.25">
      <c r="A2927" t="s">
        <v>220</v>
      </c>
      <c r="B2927" t="s">
        <v>2351</v>
      </c>
      <c r="C2927" t="s">
        <v>4087</v>
      </c>
      <c r="D2927" t="s">
        <v>4088</v>
      </c>
      <c r="F2927">
        <v>2</v>
      </c>
      <c r="G2927">
        <v>18.45</v>
      </c>
      <c r="H2927">
        <v>36.9</v>
      </c>
      <c r="I2927" t="s">
        <v>2354</v>
      </c>
    </row>
    <row r="2928" spans="1:9" x14ac:dyDescent="0.25">
      <c r="A2928" t="s">
        <v>220</v>
      </c>
      <c r="B2928" t="s">
        <v>2351</v>
      </c>
      <c r="C2928" t="s">
        <v>4089</v>
      </c>
      <c r="D2928" t="s">
        <v>4090</v>
      </c>
      <c r="F2928">
        <v>3</v>
      </c>
      <c r="G2928">
        <v>20.211300000000001</v>
      </c>
      <c r="H2928">
        <v>60.633900000000004</v>
      </c>
      <c r="I2928" t="s">
        <v>2354</v>
      </c>
    </row>
    <row r="2929" spans="1:9" x14ac:dyDescent="0.25">
      <c r="A2929" t="s">
        <v>220</v>
      </c>
      <c r="B2929" t="s">
        <v>2351</v>
      </c>
      <c r="C2929" t="s">
        <v>4091</v>
      </c>
      <c r="D2929" t="s">
        <v>4092</v>
      </c>
      <c r="F2929">
        <v>2</v>
      </c>
      <c r="G2929">
        <v>52.5</v>
      </c>
      <c r="H2929">
        <v>105</v>
      </c>
      <c r="I2929" t="s">
        <v>2354</v>
      </c>
    </row>
    <row r="2930" spans="1:9" x14ac:dyDescent="0.25">
      <c r="A2930" t="s">
        <v>220</v>
      </c>
      <c r="B2930" t="s">
        <v>2351</v>
      </c>
      <c r="C2930" t="s">
        <v>4093</v>
      </c>
      <c r="D2930" t="s">
        <v>4094</v>
      </c>
      <c r="F2930">
        <v>4</v>
      </c>
      <c r="G2930">
        <v>20.862400000000001</v>
      </c>
      <c r="H2930">
        <v>83.449600000000004</v>
      </c>
      <c r="I2930" t="s">
        <v>2354</v>
      </c>
    </row>
    <row r="2931" spans="1:9" x14ac:dyDescent="0.25">
      <c r="A2931" t="s">
        <v>220</v>
      </c>
      <c r="B2931" t="s">
        <v>2351</v>
      </c>
      <c r="C2931" t="s">
        <v>4097</v>
      </c>
      <c r="D2931" t="s">
        <v>4098</v>
      </c>
      <c r="F2931">
        <v>2</v>
      </c>
      <c r="G2931">
        <v>8.7240000000000002</v>
      </c>
      <c r="H2931">
        <v>17.448</v>
      </c>
      <c r="I2931" t="s">
        <v>2354</v>
      </c>
    </row>
    <row r="2932" spans="1:9" x14ac:dyDescent="0.25">
      <c r="A2932" t="s">
        <v>220</v>
      </c>
      <c r="B2932" t="s">
        <v>2351</v>
      </c>
      <c r="C2932" t="s">
        <v>4099</v>
      </c>
      <c r="D2932" t="s">
        <v>4100</v>
      </c>
      <c r="F2932">
        <v>2</v>
      </c>
      <c r="G2932">
        <v>34.598399999999998</v>
      </c>
      <c r="H2932">
        <v>69.196799999999996</v>
      </c>
      <c r="I2932" t="s">
        <v>2354</v>
      </c>
    </row>
    <row r="2933" spans="1:9" x14ac:dyDescent="0.25">
      <c r="A2933" t="s">
        <v>220</v>
      </c>
      <c r="B2933" t="s">
        <v>2351</v>
      </c>
      <c r="C2933" t="s">
        <v>4101</v>
      </c>
      <c r="D2933" t="s">
        <v>4102</v>
      </c>
      <c r="F2933">
        <v>2</v>
      </c>
      <c r="G2933">
        <v>95.715333333333319</v>
      </c>
      <c r="H2933">
        <v>191.43066666666664</v>
      </c>
      <c r="I2933" t="s">
        <v>2354</v>
      </c>
    </row>
    <row r="2934" spans="1:9" x14ac:dyDescent="0.25">
      <c r="A2934" t="s">
        <v>220</v>
      </c>
      <c r="B2934" t="s">
        <v>2351</v>
      </c>
      <c r="C2934" t="s">
        <v>4103</v>
      </c>
      <c r="D2934" t="s">
        <v>4104</v>
      </c>
      <c r="F2934">
        <v>2</v>
      </c>
      <c r="G2934">
        <v>11.548999999999999</v>
      </c>
      <c r="H2934">
        <v>23.097999999999999</v>
      </c>
      <c r="I2934" t="s">
        <v>2354</v>
      </c>
    </row>
    <row r="2935" spans="1:9" x14ac:dyDescent="0.25">
      <c r="A2935" t="s">
        <v>220</v>
      </c>
      <c r="B2935" t="s">
        <v>2351</v>
      </c>
      <c r="C2935" t="s">
        <v>4105</v>
      </c>
      <c r="D2935" t="s">
        <v>4106</v>
      </c>
      <c r="F2935">
        <v>1</v>
      </c>
      <c r="G2935">
        <v>137.6</v>
      </c>
      <c r="H2935">
        <v>137.6</v>
      </c>
      <c r="I2935" t="s">
        <v>2354</v>
      </c>
    </row>
    <row r="2936" spans="1:9" x14ac:dyDescent="0.25">
      <c r="A2936" t="s">
        <v>220</v>
      </c>
      <c r="B2936" t="s">
        <v>2351</v>
      </c>
      <c r="C2936" t="s">
        <v>5332</v>
      </c>
      <c r="D2936" t="s">
        <v>5333</v>
      </c>
      <c r="F2936">
        <v>3</v>
      </c>
      <c r="G2936">
        <v>0</v>
      </c>
      <c r="H2936">
        <v>0</v>
      </c>
      <c r="I2936" t="s">
        <v>2354</v>
      </c>
    </row>
    <row r="2937" spans="1:9" x14ac:dyDescent="0.25">
      <c r="A2937" t="s">
        <v>220</v>
      </c>
      <c r="B2937" t="s">
        <v>2351</v>
      </c>
      <c r="C2937" t="s">
        <v>4107</v>
      </c>
      <c r="D2937" t="s">
        <v>4108</v>
      </c>
      <c r="F2937">
        <v>2</v>
      </c>
      <c r="G2937">
        <v>104.83199999999999</v>
      </c>
      <c r="H2937">
        <v>209.66399999999999</v>
      </c>
      <c r="I2937" t="s">
        <v>2354</v>
      </c>
    </row>
    <row r="2938" spans="1:9" x14ac:dyDescent="0.25">
      <c r="A2938" t="s">
        <v>220</v>
      </c>
      <c r="B2938" t="s">
        <v>2351</v>
      </c>
      <c r="C2938" t="s">
        <v>4109</v>
      </c>
      <c r="D2938" t="s">
        <v>4110</v>
      </c>
      <c r="F2938">
        <v>2</v>
      </c>
      <c r="G2938">
        <v>80.91</v>
      </c>
      <c r="H2938">
        <v>161.82</v>
      </c>
      <c r="I2938" t="s">
        <v>2354</v>
      </c>
    </row>
    <row r="2939" spans="1:9" x14ac:dyDescent="0.25">
      <c r="A2939" t="s">
        <v>220</v>
      </c>
      <c r="B2939" t="s">
        <v>2351</v>
      </c>
      <c r="C2939" t="s">
        <v>4111</v>
      </c>
      <c r="D2939" t="s">
        <v>4112</v>
      </c>
      <c r="F2939">
        <v>1</v>
      </c>
      <c r="G2939">
        <v>0</v>
      </c>
      <c r="H2939">
        <v>0</v>
      </c>
      <c r="I2939" t="s">
        <v>2354</v>
      </c>
    </row>
    <row r="2940" spans="1:9" x14ac:dyDescent="0.25">
      <c r="A2940" t="s">
        <v>220</v>
      </c>
      <c r="B2940" t="s">
        <v>2351</v>
      </c>
      <c r="C2940" t="s">
        <v>4113</v>
      </c>
      <c r="D2940" t="s">
        <v>4114</v>
      </c>
      <c r="F2940">
        <v>1</v>
      </c>
      <c r="G2940">
        <v>0</v>
      </c>
      <c r="H2940">
        <v>0</v>
      </c>
      <c r="I2940" t="s">
        <v>2354</v>
      </c>
    </row>
    <row r="2941" spans="1:9" x14ac:dyDescent="0.25">
      <c r="A2941" t="s">
        <v>220</v>
      </c>
      <c r="B2941" t="s">
        <v>2351</v>
      </c>
      <c r="C2941" t="s">
        <v>4115</v>
      </c>
      <c r="D2941" t="s">
        <v>4116</v>
      </c>
      <c r="F2941">
        <v>2</v>
      </c>
      <c r="G2941">
        <v>273.79950000000002</v>
      </c>
      <c r="H2941">
        <v>547.59900000000005</v>
      </c>
      <c r="I2941" t="s">
        <v>2354</v>
      </c>
    </row>
    <row r="2942" spans="1:9" x14ac:dyDescent="0.25">
      <c r="A2942" t="s">
        <v>220</v>
      </c>
      <c r="B2942" t="s">
        <v>2351</v>
      </c>
      <c r="C2942" t="s">
        <v>4117</v>
      </c>
      <c r="D2942" t="s">
        <v>4118</v>
      </c>
      <c r="F2942">
        <v>1</v>
      </c>
      <c r="G2942">
        <v>439.7835</v>
      </c>
      <c r="H2942">
        <v>439.7835</v>
      </c>
      <c r="I2942" t="s">
        <v>2354</v>
      </c>
    </row>
    <row r="2943" spans="1:9" x14ac:dyDescent="0.25">
      <c r="A2943" t="s">
        <v>220</v>
      </c>
      <c r="B2943" t="s">
        <v>2351</v>
      </c>
      <c r="C2943" t="s">
        <v>4119</v>
      </c>
      <c r="D2943" t="s">
        <v>4120</v>
      </c>
      <c r="F2943">
        <v>1</v>
      </c>
      <c r="G2943">
        <v>656.72973000000002</v>
      </c>
      <c r="H2943">
        <v>656.72973000000002</v>
      </c>
      <c r="I2943" t="s">
        <v>2354</v>
      </c>
    </row>
    <row r="2944" spans="1:9" x14ac:dyDescent="0.25">
      <c r="A2944" t="s">
        <v>220</v>
      </c>
      <c r="B2944" t="s">
        <v>2351</v>
      </c>
      <c r="C2944" t="s">
        <v>4121</v>
      </c>
      <c r="D2944" t="s">
        <v>4122</v>
      </c>
      <c r="F2944">
        <v>1</v>
      </c>
      <c r="G2944">
        <v>137.33535000000001</v>
      </c>
      <c r="H2944">
        <v>137.33535000000001</v>
      </c>
      <c r="I2944" t="s">
        <v>2354</v>
      </c>
    </row>
    <row r="2945" spans="1:9" x14ac:dyDescent="0.25">
      <c r="A2945" t="s">
        <v>220</v>
      </c>
      <c r="B2945" t="s">
        <v>2351</v>
      </c>
      <c r="C2945" t="s">
        <v>4123</v>
      </c>
      <c r="D2945" t="s">
        <v>4124</v>
      </c>
      <c r="F2945">
        <v>1</v>
      </c>
      <c r="G2945">
        <v>204.05269999999999</v>
      </c>
      <c r="H2945">
        <v>204.05269999999999</v>
      </c>
      <c r="I2945" t="s">
        <v>2354</v>
      </c>
    </row>
    <row r="2946" spans="1:9" x14ac:dyDescent="0.25">
      <c r="A2946" t="s">
        <v>220</v>
      </c>
      <c r="B2946" t="s">
        <v>2351</v>
      </c>
      <c r="C2946" t="s">
        <v>4125</v>
      </c>
      <c r="D2946" t="s">
        <v>4126</v>
      </c>
      <c r="F2946">
        <v>1</v>
      </c>
      <c r="G2946">
        <v>0</v>
      </c>
      <c r="H2946">
        <v>0</v>
      </c>
      <c r="I2946" t="s">
        <v>2354</v>
      </c>
    </row>
    <row r="2947" spans="1:9" x14ac:dyDescent="0.25">
      <c r="A2947" t="s">
        <v>220</v>
      </c>
      <c r="B2947" t="s">
        <v>2351</v>
      </c>
      <c r="C2947" t="s">
        <v>4129</v>
      </c>
      <c r="D2947" t="s">
        <v>4130</v>
      </c>
      <c r="F2947">
        <v>1</v>
      </c>
      <c r="G2947">
        <v>152.15</v>
      </c>
      <c r="H2947">
        <v>152.15</v>
      </c>
      <c r="I2947" t="s">
        <v>2354</v>
      </c>
    </row>
    <row r="2948" spans="1:9" x14ac:dyDescent="0.25">
      <c r="A2948" t="s">
        <v>220</v>
      </c>
      <c r="B2948" t="s">
        <v>2351</v>
      </c>
      <c r="C2948" t="s">
        <v>4131</v>
      </c>
      <c r="D2948" t="s">
        <v>4132</v>
      </c>
      <c r="F2948">
        <v>1</v>
      </c>
      <c r="G2948">
        <v>45.05</v>
      </c>
      <c r="H2948">
        <v>45.05</v>
      </c>
      <c r="I2948" t="s">
        <v>2354</v>
      </c>
    </row>
    <row r="2949" spans="1:9" x14ac:dyDescent="0.25">
      <c r="A2949" t="s">
        <v>220</v>
      </c>
      <c r="B2949" t="s">
        <v>2351</v>
      </c>
      <c r="C2949" t="s">
        <v>4133</v>
      </c>
      <c r="D2949" t="s">
        <v>4134</v>
      </c>
      <c r="F2949">
        <v>1</v>
      </c>
      <c r="G2949">
        <v>125.46</v>
      </c>
      <c r="H2949">
        <v>125.46</v>
      </c>
      <c r="I2949" t="s">
        <v>2354</v>
      </c>
    </row>
    <row r="2950" spans="1:9" x14ac:dyDescent="0.25">
      <c r="A2950" t="s">
        <v>220</v>
      </c>
      <c r="B2950" t="s">
        <v>2351</v>
      </c>
      <c r="C2950" t="s">
        <v>4135</v>
      </c>
      <c r="D2950" t="s">
        <v>4136</v>
      </c>
      <c r="F2950">
        <v>14</v>
      </c>
      <c r="G2950">
        <v>0.92300000000000004</v>
      </c>
      <c r="H2950">
        <v>12.922000000000001</v>
      </c>
      <c r="I2950" t="s">
        <v>2354</v>
      </c>
    </row>
    <row r="2951" spans="1:9" x14ac:dyDescent="0.25">
      <c r="A2951" t="s">
        <v>220</v>
      </c>
      <c r="B2951" t="s">
        <v>2351</v>
      </c>
      <c r="C2951" t="s">
        <v>4137</v>
      </c>
      <c r="D2951" t="s">
        <v>4138</v>
      </c>
      <c r="F2951">
        <v>22</v>
      </c>
      <c r="G2951">
        <v>0.96711999999999987</v>
      </c>
      <c r="H2951">
        <v>21.276639999999997</v>
      </c>
      <c r="I2951" t="s">
        <v>2354</v>
      </c>
    </row>
    <row r="2952" spans="1:9" x14ac:dyDescent="0.25">
      <c r="A2952" t="s">
        <v>220</v>
      </c>
      <c r="B2952" t="s">
        <v>2351</v>
      </c>
      <c r="C2952" t="s">
        <v>4139</v>
      </c>
      <c r="D2952" t="s">
        <v>4140</v>
      </c>
      <c r="F2952">
        <v>17</v>
      </c>
      <c r="G2952">
        <v>1.4933333333333334</v>
      </c>
      <c r="H2952">
        <v>25.386666666666667</v>
      </c>
      <c r="I2952" t="s">
        <v>2354</v>
      </c>
    </row>
    <row r="2953" spans="1:9" x14ac:dyDescent="0.25">
      <c r="A2953" t="s">
        <v>220</v>
      </c>
      <c r="B2953" t="s">
        <v>2351</v>
      </c>
      <c r="C2953" t="s">
        <v>4141</v>
      </c>
      <c r="D2953" t="s">
        <v>4142</v>
      </c>
      <c r="F2953">
        <v>18</v>
      </c>
      <c r="G2953">
        <v>0.47970000000000007</v>
      </c>
      <c r="H2953">
        <v>8.6346000000000007</v>
      </c>
      <c r="I2953" t="s">
        <v>2354</v>
      </c>
    </row>
    <row r="2954" spans="1:9" x14ac:dyDescent="0.25">
      <c r="A2954" t="s">
        <v>220</v>
      </c>
      <c r="B2954" t="s">
        <v>2351</v>
      </c>
      <c r="C2954" t="s">
        <v>4143</v>
      </c>
      <c r="D2954" t="s">
        <v>4144</v>
      </c>
      <c r="F2954">
        <v>23</v>
      </c>
      <c r="G2954">
        <v>5</v>
      </c>
      <c r="H2954">
        <v>115</v>
      </c>
      <c r="I2954" t="s">
        <v>2354</v>
      </c>
    </row>
    <row r="2955" spans="1:9" x14ac:dyDescent="0.25">
      <c r="A2955" t="s">
        <v>220</v>
      </c>
      <c r="B2955" t="s">
        <v>2351</v>
      </c>
      <c r="C2955" t="s">
        <v>4145</v>
      </c>
      <c r="D2955" t="s">
        <v>4146</v>
      </c>
      <c r="F2955">
        <v>22</v>
      </c>
      <c r="G2955">
        <v>0.26371428571428573</v>
      </c>
      <c r="H2955">
        <v>5.8017142857142865</v>
      </c>
      <c r="I2955" t="s">
        <v>2354</v>
      </c>
    </row>
    <row r="2956" spans="1:9" x14ac:dyDescent="0.25">
      <c r="A2956" t="s">
        <v>220</v>
      </c>
      <c r="B2956" t="s">
        <v>2351</v>
      </c>
      <c r="C2956" t="s">
        <v>4147</v>
      </c>
      <c r="D2956" t="s">
        <v>4148</v>
      </c>
      <c r="F2956">
        <v>28</v>
      </c>
      <c r="G2956">
        <v>1.067278911564626</v>
      </c>
      <c r="H2956">
        <v>29.883809523809525</v>
      </c>
      <c r="I2956" t="s">
        <v>2354</v>
      </c>
    </row>
    <row r="2957" spans="1:9" x14ac:dyDescent="0.25">
      <c r="A2957" t="s">
        <v>220</v>
      </c>
      <c r="B2957" t="s">
        <v>2351</v>
      </c>
      <c r="C2957" t="s">
        <v>4149</v>
      </c>
      <c r="D2957" t="s">
        <v>4150</v>
      </c>
      <c r="F2957">
        <v>22</v>
      </c>
      <c r="G2957">
        <v>1.116077922077922</v>
      </c>
      <c r="H2957">
        <v>24.553714285714285</v>
      </c>
      <c r="I2957" t="s">
        <v>2354</v>
      </c>
    </row>
    <row r="2958" spans="1:9" x14ac:dyDescent="0.25">
      <c r="A2958" t="s">
        <v>220</v>
      </c>
      <c r="B2958" t="s">
        <v>2351</v>
      </c>
      <c r="C2958" t="s">
        <v>4151</v>
      </c>
      <c r="D2958" t="s">
        <v>4152</v>
      </c>
      <c r="F2958">
        <v>48</v>
      </c>
      <c r="G2958">
        <v>1.72</v>
      </c>
      <c r="H2958">
        <v>82.56</v>
      </c>
      <c r="I2958" t="s">
        <v>2354</v>
      </c>
    </row>
    <row r="2959" spans="1:9" x14ac:dyDescent="0.25">
      <c r="A2959" t="s">
        <v>220</v>
      </c>
      <c r="B2959" t="s">
        <v>2351</v>
      </c>
      <c r="C2959" t="s">
        <v>4155</v>
      </c>
      <c r="D2959" t="s">
        <v>4156</v>
      </c>
      <c r="F2959">
        <v>15</v>
      </c>
      <c r="G2959">
        <v>1.2300627272727274</v>
      </c>
      <c r="H2959">
        <v>18.45094090909091</v>
      </c>
      <c r="I2959" t="s">
        <v>2354</v>
      </c>
    </row>
    <row r="2960" spans="1:9" x14ac:dyDescent="0.25">
      <c r="A2960" t="s">
        <v>220</v>
      </c>
      <c r="B2960" t="s">
        <v>2351</v>
      </c>
      <c r="C2960" t="s">
        <v>4157</v>
      </c>
      <c r="D2960" t="s">
        <v>4158</v>
      </c>
      <c r="F2960">
        <v>8</v>
      </c>
      <c r="G2960">
        <v>1.69939</v>
      </c>
      <c r="H2960">
        <v>13.59512</v>
      </c>
      <c r="I2960" t="s">
        <v>2354</v>
      </c>
    </row>
    <row r="2961" spans="1:9" x14ac:dyDescent="0.25">
      <c r="A2961" t="s">
        <v>220</v>
      </c>
      <c r="B2961" t="s">
        <v>2351</v>
      </c>
      <c r="C2961" t="s">
        <v>4159</v>
      </c>
      <c r="D2961" t="s">
        <v>4160</v>
      </c>
      <c r="F2961">
        <v>32</v>
      </c>
      <c r="G2961">
        <v>0.24224999999999997</v>
      </c>
      <c r="H2961">
        <v>7.7519999999999989</v>
      </c>
      <c r="I2961" t="s">
        <v>2354</v>
      </c>
    </row>
    <row r="2962" spans="1:9" x14ac:dyDescent="0.25">
      <c r="A2962" t="s">
        <v>220</v>
      </c>
      <c r="B2962" t="s">
        <v>2351</v>
      </c>
      <c r="C2962" t="s">
        <v>4161</v>
      </c>
      <c r="D2962" t="s">
        <v>4162</v>
      </c>
      <c r="F2962">
        <v>15</v>
      </c>
      <c r="G2962">
        <v>1.0888</v>
      </c>
      <c r="H2962">
        <v>16.332000000000001</v>
      </c>
      <c r="I2962" t="s">
        <v>2354</v>
      </c>
    </row>
    <row r="2963" spans="1:9" x14ac:dyDescent="0.25">
      <c r="A2963" t="s">
        <v>220</v>
      </c>
      <c r="B2963" t="s">
        <v>2351</v>
      </c>
      <c r="C2963" t="s">
        <v>4163</v>
      </c>
      <c r="D2963" t="s">
        <v>4164</v>
      </c>
      <c r="F2963">
        <v>2</v>
      </c>
      <c r="G2963">
        <v>50.750999999999998</v>
      </c>
      <c r="H2963">
        <v>101.502</v>
      </c>
      <c r="I2963" t="s">
        <v>2354</v>
      </c>
    </row>
    <row r="2964" spans="1:9" x14ac:dyDescent="0.25">
      <c r="A2964" t="s">
        <v>220</v>
      </c>
      <c r="B2964" t="s">
        <v>2351</v>
      </c>
      <c r="C2964" t="s">
        <v>4165</v>
      </c>
      <c r="D2964" t="s">
        <v>4166</v>
      </c>
      <c r="F2964">
        <v>1</v>
      </c>
      <c r="G2964">
        <v>77.048000000000002</v>
      </c>
      <c r="H2964">
        <v>77.048000000000002</v>
      </c>
      <c r="I2964" t="s">
        <v>2354</v>
      </c>
    </row>
    <row r="2965" spans="1:9" x14ac:dyDescent="0.25">
      <c r="A2965" t="s">
        <v>220</v>
      </c>
      <c r="B2965" t="s">
        <v>2351</v>
      </c>
      <c r="C2965" t="s">
        <v>4167</v>
      </c>
      <c r="D2965" t="s">
        <v>4168</v>
      </c>
      <c r="F2965">
        <v>4</v>
      </c>
      <c r="G2965">
        <v>83.283000000000001</v>
      </c>
      <c r="H2965">
        <v>333.13200000000001</v>
      </c>
      <c r="I2965" t="s">
        <v>2354</v>
      </c>
    </row>
    <row r="2966" spans="1:9" x14ac:dyDescent="0.25">
      <c r="A2966" t="s">
        <v>220</v>
      </c>
      <c r="B2966" t="s">
        <v>2351</v>
      </c>
      <c r="C2966" t="s">
        <v>4169</v>
      </c>
      <c r="D2966" t="s">
        <v>4170</v>
      </c>
      <c r="F2966">
        <v>12</v>
      </c>
      <c r="G2966">
        <v>2.2328999999999999</v>
      </c>
      <c r="H2966">
        <v>26.794799999999999</v>
      </c>
      <c r="I2966" t="s">
        <v>2354</v>
      </c>
    </row>
    <row r="2967" spans="1:9" x14ac:dyDescent="0.25">
      <c r="A2967" t="s">
        <v>220</v>
      </c>
      <c r="B2967" t="s">
        <v>2351</v>
      </c>
      <c r="C2967" t="s">
        <v>4171</v>
      </c>
      <c r="D2967" t="s">
        <v>4172</v>
      </c>
      <c r="F2967">
        <v>1</v>
      </c>
      <c r="G2967">
        <v>0</v>
      </c>
      <c r="H2967">
        <v>0</v>
      </c>
      <c r="I2967" t="s">
        <v>2354</v>
      </c>
    </row>
    <row r="2968" spans="1:9" x14ac:dyDescent="0.25">
      <c r="A2968" t="s">
        <v>220</v>
      </c>
      <c r="B2968" t="s">
        <v>2351</v>
      </c>
      <c r="C2968" t="s">
        <v>4173</v>
      </c>
      <c r="D2968" t="s">
        <v>4174</v>
      </c>
      <c r="F2968">
        <v>4</v>
      </c>
      <c r="G2968">
        <v>13</v>
      </c>
      <c r="H2968">
        <v>52</v>
      </c>
      <c r="I2968" t="s">
        <v>2354</v>
      </c>
    </row>
    <row r="2969" spans="1:9" x14ac:dyDescent="0.25">
      <c r="A2969" t="s">
        <v>220</v>
      </c>
      <c r="B2969" t="s">
        <v>2351</v>
      </c>
      <c r="C2969" t="s">
        <v>4175</v>
      </c>
      <c r="D2969" t="s">
        <v>4176</v>
      </c>
      <c r="F2969">
        <v>8</v>
      </c>
      <c r="G2969">
        <v>1.9125000000000001</v>
      </c>
      <c r="H2969">
        <v>15.3</v>
      </c>
      <c r="I2969" t="s">
        <v>2354</v>
      </c>
    </row>
    <row r="2970" spans="1:9" x14ac:dyDescent="0.25">
      <c r="A2970" t="s">
        <v>220</v>
      </c>
      <c r="B2970" t="s">
        <v>2351</v>
      </c>
      <c r="C2970" t="s">
        <v>4177</v>
      </c>
      <c r="D2970" t="s">
        <v>4178</v>
      </c>
      <c r="F2970">
        <v>2</v>
      </c>
      <c r="G2970">
        <v>9.6</v>
      </c>
      <c r="H2970">
        <v>19.2</v>
      </c>
      <c r="I2970" t="s">
        <v>2354</v>
      </c>
    </row>
    <row r="2971" spans="1:9" x14ac:dyDescent="0.25">
      <c r="A2971" t="s">
        <v>220</v>
      </c>
      <c r="B2971" t="s">
        <v>2351</v>
      </c>
      <c r="C2971" t="s">
        <v>4179</v>
      </c>
      <c r="D2971" t="s">
        <v>4180</v>
      </c>
      <c r="F2971">
        <v>14</v>
      </c>
      <c r="G2971">
        <v>0.2475</v>
      </c>
      <c r="H2971">
        <v>3.4649999999999999</v>
      </c>
      <c r="I2971" t="s">
        <v>2354</v>
      </c>
    </row>
    <row r="2972" spans="1:9" x14ac:dyDescent="0.25">
      <c r="A2972" t="s">
        <v>220</v>
      </c>
      <c r="B2972" t="s">
        <v>2351</v>
      </c>
      <c r="C2972" t="s">
        <v>4181</v>
      </c>
      <c r="D2972" t="s">
        <v>4182</v>
      </c>
      <c r="F2972">
        <v>32</v>
      </c>
      <c r="G2972">
        <v>0.5214545454545455</v>
      </c>
      <c r="H2972">
        <v>16.686545454545456</v>
      </c>
      <c r="I2972" t="s">
        <v>2354</v>
      </c>
    </row>
    <row r="2973" spans="1:9" x14ac:dyDescent="0.25">
      <c r="A2973" t="s">
        <v>220</v>
      </c>
      <c r="B2973" t="s">
        <v>2351</v>
      </c>
      <c r="C2973" t="s">
        <v>4183</v>
      </c>
      <c r="D2973" t="s">
        <v>4184</v>
      </c>
      <c r="F2973">
        <v>30</v>
      </c>
      <c r="G2973">
        <v>1.0245283018867923</v>
      </c>
      <c r="H2973">
        <v>30.735849056603769</v>
      </c>
      <c r="I2973" t="s">
        <v>2354</v>
      </c>
    </row>
    <row r="2974" spans="1:9" x14ac:dyDescent="0.25">
      <c r="A2974" t="s">
        <v>220</v>
      </c>
      <c r="B2974" t="s">
        <v>2351</v>
      </c>
      <c r="C2974" t="s">
        <v>4185</v>
      </c>
      <c r="D2974" t="s">
        <v>4186</v>
      </c>
      <c r="F2974">
        <v>2</v>
      </c>
      <c r="G2974">
        <v>0.63749999999999996</v>
      </c>
      <c r="H2974">
        <v>1.2749999999999999</v>
      </c>
      <c r="I2974" t="s">
        <v>2354</v>
      </c>
    </row>
    <row r="2975" spans="1:9" x14ac:dyDescent="0.25">
      <c r="A2975" t="s">
        <v>220</v>
      </c>
      <c r="B2975" t="s">
        <v>2351</v>
      </c>
      <c r="C2975" t="s">
        <v>4187</v>
      </c>
      <c r="D2975" t="s">
        <v>4188</v>
      </c>
      <c r="F2975">
        <v>5</v>
      </c>
      <c r="G2975">
        <v>0.52025434782608682</v>
      </c>
      <c r="H2975">
        <v>2.6012717391304339</v>
      </c>
      <c r="I2975" t="s">
        <v>2354</v>
      </c>
    </row>
    <row r="2976" spans="1:9" x14ac:dyDescent="0.25">
      <c r="A2976" t="s">
        <v>220</v>
      </c>
      <c r="B2976" t="s">
        <v>2351</v>
      </c>
      <c r="C2976" t="s">
        <v>4189</v>
      </c>
      <c r="D2976" t="s">
        <v>4190</v>
      </c>
      <c r="F2976">
        <v>12</v>
      </c>
      <c r="G2976">
        <v>0.184</v>
      </c>
      <c r="H2976">
        <v>2.2080000000000002</v>
      </c>
      <c r="I2976" t="s">
        <v>2354</v>
      </c>
    </row>
    <row r="2977" spans="1:9" x14ac:dyDescent="0.25">
      <c r="A2977" t="s">
        <v>220</v>
      </c>
      <c r="B2977" t="s">
        <v>2351</v>
      </c>
      <c r="C2977" t="s">
        <v>4191</v>
      </c>
      <c r="D2977" t="s">
        <v>4192</v>
      </c>
      <c r="F2977">
        <v>14</v>
      </c>
      <c r="G2977">
        <v>0.42415254237288136</v>
      </c>
      <c r="H2977">
        <v>5.9381355932203395</v>
      </c>
      <c r="I2977" t="s">
        <v>2354</v>
      </c>
    </row>
    <row r="2978" spans="1:9" x14ac:dyDescent="0.25">
      <c r="A2978" t="s">
        <v>220</v>
      </c>
      <c r="B2978" t="s">
        <v>2351</v>
      </c>
      <c r="C2978" t="s">
        <v>4221</v>
      </c>
      <c r="D2978" t="s">
        <v>4222</v>
      </c>
      <c r="F2978">
        <v>1</v>
      </c>
      <c r="G2978">
        <v>785.86199999999997</v>
      </c>
      <c r="H2978">
        <v>785.86199999999997</v>
      </c>
      <c r="I2978" t="s">
        <v>2354</v>
      </c>
    </row>
    <row r="2979" spans="1:9" x14ac:dyDescent="0.25">
      <c r="A2979" t="s">
        <v>220</v>
      </c>
      <c r="B2979" t="s">
        <v>2351</v>
      </c>
      <c r="C2979" t="s">
        <v>4223</v>
      </c>
      <c r="D2979" t="s">
        <v>4224</v>
      </c>
      <c r="F2979">
        <v>2</v>
      </c>
      <c r="G2979">
        <v>277.66694999999999</v>
      </c>
      <c r="H2979">
        <v>555.33389999999997</v>
      </c>
      <c r="I2979" t="s">
        <v>2354</v>
      </c>
    </row>
    <row r="2980" spans="1:9" x14ac:dyDescent="0.25">
      <c r="A2980" t="s">
        <v>220</v>
      </c>
      <c r="B2980" t="s">
        <v>2351</v>
      </c>
      <c r="C2980" t="s">
        <v>4225</v>
      </c>
      <c r="D2980" t="s">
        <v>4226</v>
      </c>
      <c r="F2980">
        <v>1</v>
      </c>
      <c r="G2980">
        <v>261.63</v>
      </c>
      <c r="H2980">
        <v>261.63</v>
      </c>
      <c r="I2980" t="s">
        <v>2354</v>
      </c>
    </row>
    <row r="2981" spans="1:9" x14ac:dyDescent="0.25">
      <c r="A2981" t="s">
        <v>220</v>
      </c>
      <c r="B2981" t="s">
        <v>2351</v>
      </c>
      <c r="C2981" t="s">
        <v>4227</v>
      </c>
      <c r="D2981" t="s">
        <v>4228</v>
      </c>
      <c r="F2981">
        <v>2</v>
      </c>
      <c r="G2981">
        <v>280</v>
      </c>
      <c r="H2981">
        <v>560</v>
      </c>
      <c r="I2981" t="s">
        <v>2354</v>
      </c>
    </row>
    <row r="2982" spans="1:9" x14ac:dyDescent="0.25">
      <c r="A2982" t="s">
        <v>220</v>
      </c>
      <c r="B2982" t="s">
        <v>2351</v>
      </c>
      <c r="C2982" t="s">
        <v>4229</v>
      </c>
      <c r="D2982" t="s">
        <v>4230</v>
      </c>
      <c r="F2982">
        <v>3</v>
      </c>
      <c r="G2982">
        <v>596.73599999999999</v>
      </c>
      <c r="H2982">
        <v>1790.2080000000001</v>
      </c>
      <c r="I2982" t="s">
        <v>2354</v>
      </c>
    </row>
    <row r="2983" spans="1:9" x14ac:dyDescent="0.25">
      <c r="A2983" t="s">
        <v>220</v>
      </c>
      <c r="B2983" t="s">
        <v>2351</v>
      </c>
      <c r="C2983" t="s">
        <v>4231</v>
      </c>
      <c r="D2983" t="s">
        <v>4232</v>
      </c>
      <c r="F2983">
        <v>1</v>
      </c>
      <c r="G2983">
        <v>596.73599999999999</v>
      </c>
      <c r="H2983">
        <v>596.73599999999999</v>
      </c>
      <c r="I2983" t="s">
        <v>2354</v>
      </c>
    </row>
    <row r="2984" spans="1:9" x14ac:dyDescent="0.25">
      <c r="A2984" t="s">
        <v>220</v>
      </c>
      <c r="B2984" t="s">
        <v>2351</v>
      </c>
      <c r="C2984" t="s">
        <v>4233</v>
      </c>
      <c r="D2984" t="s">
        <v>4234</v>
      </c>
      <c r="F2984">
        <v>2</v>
      </c>
      <c r="G2984">
        <v>54.978000000000002</v>
      </c>
      <c r="H2984">
        <v>109.956</v>
      </c>
      <c r="I2984" t="s">
        <v>2354</v>
      </c>
    </row>
    <row r="2985" spans="1:9" x14ac:dyDescent="0.25">
      <c r="A2985" t="s">
        <v>220</v>
      </c>
      <c r="B2985" t="s">
        <v>2351</v>
      </c>
      <c r="C2985" t="s">
        <v>4235</v>
      </c>
      <c r="D2985" t="s">
        <v>4236</v>
      </c>
      <c r="F2985">
        <v>2</v>
      </c>
      <c r="G2985">
        <v>7.0107999999999997</v>
      </c>
      <c r="H2985">
        <v>14.021599999999999</v>
      </c>
      <c r="I2985" t="s">
        <v>2354</v>
      </c>
    </row>
    <row r="2986" spans="1:9" x14ac:dyDescent="0.25">
      <c r="A2986" t="s">
        <v>220</v>
      </c>
      <c r="B2986" t="s">
        <v>2351</v>
      </c>
      <c r="C2986" t="s">
        <v>4237</v>
      </c>
      <c r="D2986" t="s">
        <v>4238</v>
      </c>
      <c r="F2986">
        <v>4</v>
      </c>
      <c r="G2986">
        <v>181.5617</v>
      </c>
      <c r="H2986">
        <v>726.24680000000001</v>
      </c>
      <c r="I2986" t="s">
        <v>2354</v>
      </c>
    </row>
    <row r="2987" spans="1:9" x14ac:dyDescent="0.25">
      <c r="A2987" t="s">
        <v>220</v>
      </c>
      <c r="B2987" t="s">
        <v>2351</v>
      </c>
      <c r="C2987" t="s">
        <v>4239</v>
      </c>
      <c r="D2987" t="s">
        <v>4240</v>
      </c>
      <c r="F2987">
        <v>1</v>
      </c>
      <c r="G2987">
        <v>22.1464</v>
      </c>
      <c r="H2987">
        <v>22.1464</v>
      </c>
      <c r="I2987" t="s">
        <v>2354</v>
      </c>
    </row>
    <row r="2988" spans="1:9" x14ac:dyDescent="0.25">
      <c r="A2988" t="s">
        <v>220</v>
      </c>
      <c r="B2988" t="s">
        <v>2351</v>
      </c>
      <c r="C2988" t="s">
        <v>4241</v>
      </c>
      <c r="D2988" t="s">
        <v>4242</v>
      </c>
      <c r="F2988">
        <v>1</v>
      </c>
      <c r="G2988">
        <v>140.69019</v>
      </c>
      <c r="H2988">
        <v>140.69019</v>
      </c>
      <c r="I2988" t="s">
        <v>2354</v>
      </c>
    </row>
    <row r="2989" spans="1:9" x14ac:dyDescent="0.25">
      <c r="A2989" t="s">
        <v>220</v>
      </c>
      <c r="B2989" t="s">
        <v>2351</v>
      </c>
      <c r="C2989" t="s">
        <v>4243</v>
      </c>
      <c r="D2989" t="s">
        <v>4244</v>
      </c>
      <c r="F2989">
        <v>3</v>
      </c>
      <c r="G2989">
        <v>87.75</v>
      </c>
      <c r="H2989">
        <v>263.25</v>
      </c>
      <c r="I2989" t="s">
        <v>2354</v>
      </c>
    </row>
    <row r="2990" spans="1:9" x14ac:dyDescent="0.25">
      <c r="A2990" t="s">
        <v>220</v>
      </c>
      <c r="B2990" t="s">
        <v>2351</v>
      </c>
      <c r="C2990" t="s">
        <v>4245</v>
      </c>
      <c r="D2990" t="s">
        <v>4246</v>
      </c>
      <c r="F2990">
        <v>9</v>
      </c>
      <c r="G2990">
        <v>17.094903703703704</v>
      </c>
      <c r="H2990">
        <v>153.85413333333332</v>
      </c>
      <c r="I2990" t="s">
        <v>2354</v>
      </c>
    </row>
    <row r="2991" spans="1:9" x14ac:dyDescent="0.25">
      <c r="A2991" t="s">
        <v>220</v>
      </c>
      <c r="B2991" t="s">
        <v>2351</v>
      </c>
      <c r="C2991" t="s">
        <v>4247</v>
      </c>
      <c r="D2991" t="s">
        <v>4248</v>
      </c>
      <c r="F2991">
        <v>1</v>
      </c>
      <c r="G2991">
        <v>82.8</v>
      </c>
      <c r="H2991">
        <v>82.8</v>
      </c>
      <c r="I2991" t="s">
        <v>2354</v>
      </c>
    </row>
    <row r="2992" spans="1:9" x14ac:dyDescent="0.25">
      <c r="A2992" t="s">
        <v>220</v>
      </c>
      <c r="B2992" t="s">
        <v>2351</v>
      </c>
      <c r="C2992" t="s">
        <v>4249</v>
      </c>
      <c r="D2992" t="s">
        <v>4250</v>
      </c>
      <c r="F2992">
        <v>4</v>
      </c>
      <c r="G2992">
        <v>76.388249999999999</v>
      </c>
      <c r="H2992">
        <v>305.553</v>
      </c>
      <c r="I2992" t="s">
        <v>2354</v>
      </c>
    </row>
    <row r="2993" spans="1:9" x14ac:dyDescent="0.25">
      <c r="A2993" t="s">
        <v>220</v>
      </c>
      <c r="B2993" t="s">
        <v>2351</v>
      </c>
      <c r="C2993" t="s">
        <v>4251</v>
      </c>
      <c r="D2993" t="s">
        <v>4252</v>
      </c>
      <c r="F2993">
        <v>12</v>
      </c>
      <c r="G2993">
        <v>10.78735</v>
      </c>
      <c r="H2993">
        <v>129.44819999999999</v>
      </c>
      <c r="I2993" t="s">
        <v>2354</v>
      </c>
    </row>
    <row r="2994" spans="1:9" x14ac:dyDescent="0.25">
      <c r="A2994" t="s">
        <v>220</v>
      </c>
      <c r="B2994" t="s">
        <v>2351</v>
      </c>
      <c r="C2994" t="s">
        <v>4253</v>
      </c>
      <c r="D2994" t="s">
        <v>4254</v>
      </c>
      <c r="F2994">
        <v>10</v>
      </c>
      <c r="G2994">
        <v>10.228899999999999</v>
      </c>
      <c r="H2994">
        <v>102.28899999999999</v>
      </c>
      <c r="I2994" t="s">
        <v>2354</v>
      </c>
    </row>
    <row r="2995" spans="1:9" x14ac:dyDescent="0.25">
      <c r="A2995" t="s">
        <v>220</v>
      </c>
      <c r="B2995" t="s">
        <v>2351</v>
      </c>
      <c r="C2995" t="s">
        <v>4257</v>
      </c>
      <c r="D2995" t="s">
        <v>4258</v>
      </c>
      <c r="F2995">
        <v>1</v>
      </c>
      <c r="G2995">
        <v>60.252000000000002</v>
      </c>
      <c r="H2995">
        <v>60.252000000000002</v>
      </c>
      <c r="I2995" t="s">
        <v>2354</v>
      </c>
    </row>
    <row r="2996" spans="1:9" x14ac:dyDescent="0.25">
      <c r="A2996" t="s">
        <v>220</v>
      </c>
      <c r="B2996" t="s">
        <v>2351</v>
      </c>
      <c r="C2996" t="s">
        <v>4259</v>
      </c>
      <c r="D2996" t="s">
        <v>4260</v>
      </c>
      <c r="F2996">
        <v>9</v>
      </c>
      <c r="G2996">
        <v>10.932</v>
      </c>
      <c r="H2996">
        <v>98.388000000000005</v>
      </c>
      <c r="I2996" t="s">
        <v>2354</v>
      </c>
    </row>
    <row r="2997" spans="1:9" x14ac:dyDescent="0.25">
      <c r="A2997" t="s">
        <v>220</v>
      </c>
      <c r="B2997" t="s">
        <v>2351</v>
      </c>
      <c r="C2997" t="s">
        <v>4261</v>
      </c>
      <c r="D2997" t="s">
        <v>4262</v>
      </c>
      <c r="F2997">
        <v>2</v>
      </c>
      <c r="G2997">
        <v>90</v>
      </c>
      <c r="H2997">
        <v>180</v>
      </c>
      <c r="I2997" t="s">
        <v>2354</v>
      </c>
    </row>
    <row r="2998" spans="1:9" x14ac:dyDescent="0.25">
      <c r="A2998" t="s">
        <v>220</v>
      </c>
      <c r="B2998" t="s">
        <v>2351</v>
      </c>
      <c r="C2998" t="s">
        <v>4263</v>
      </c>
      <c r="D2998" t="s">
        <v>4264</v>
      </c>
      <c r="F2998">
        <v>5</v>
      </c>
      <c r="G2998">
        <v>16.715250000000001</v>
      </c>
      <c r="H2998">
        <v>83.576250000000002</v>
      </c>
      <c r="I2998" t="s">
        <v>2354</v>
      </c>
    </row>
    <row r="2999" spans="1:9" x14ac:dyDescent="0.25">
      <c r="A2999" t="s">
        <v>220</v>
      </c>
      <c r="B2999" t="s">
        <v>2351</v>
      </c>
      <c r="C2999" t="s">
        <v>4265</v>
      </c>
      <c r="D2999" t="s">
        <v>4266</v>
      </c>
      <c r="F2999">
        <v>9</v>
      </c>
      <c r="G2999">
        <v>16.091349999999998</v>
      </c>
      <c r="H2999">
        <v>144.82214999999999</v>
      </c>
      <c r="I2999" t="s">
        <v>2354</v>
      </c>
    </row>
    <row r="3000" spans="1:9" x14ac:dyDescent="0.25">
      <c r="A3000" t="s">
        <v>220</v>
      </c>
      <c r="B3000" t="s">
        <v>2351</v>
      </c>
      <c r="C3000" t="s">
        <v>4267</v>
      </c>
      <c r="D3000" t="s">
        <v>4268</v>
      </c>
      <c r="F3000">
        <v>1</v>
      </c>
      <c r="G3000">
        <v>30.50395</v>
      </c>
      <c r="H3000">
        <v>30.50395</v>
      </c>
      <c r="I3000" t="s">
        <v>2354</v>
      </c>
    </row>
    <row r="3001" spans="1:9" x14ac:dyDescent="0.25">
      <c r="A3001" t="s">
        <v>220</v>
      </c>
      <c r="B3001" t="s">
        <v>2351</v>
      </c>
      <c r="C3001" t="s">
        <v>4269</v>
      </c>
      <c r="D3001" t="s">
        <v>4270</v>
      </c>
      <c r="F3001">
        <v>3</v>
      </c>
      <c r="G3001">
        <v>12.166</v>
      </c>
      <c r="H3001">
        <v>36.498000000000005</v>
      </c>
      <c r="I3001" t="s">
        <v>2354</v>
      </c>
    </row>
    <row r="3002" spans="1:9" x14ac:dyDescent="0.25">
      <c r="A3002" t="s">
        <v>220</v>
      </c>
      <c r="B3002" t="s">
        <v>2351</v>
      </c>
      <c r="C3002" t="s">
        <v>4271</v>
      </c>
      <c r="D3002" t="s">
        <v>4272</v>
      </c>
      <c r="F3002">
        <v>9</v>
      </c>
      <c r="G3002">
        <v>7.5906599999999997</v>
      </c>
      <c r="H3002">
        <v>68.315939999999998</v>
      </c>
      <c r="I3002" t="s">
        <v>2354</v>
      </c>
    </row>
    <row r="3003" spans="1:9" x14ac:dyDescent="0.25">
      <c r="A3003" t="s">
        <v>220</v>
      </c>
      <c r="B3003" t="s">
        <v>2351</v>
      </c>
      <c r="C3003" t="s">
        <v>4273</v>
      </c>
      <c r="D3003" t="s">
        <v>4274</v>
      </c>
      <c r="F3003">
        <v>2</v>
      </c>
      <c r="G3003">
        <v>12.6</v>
      </c>
      <c r="H3003">
        <v>25.2</v>
      </c>
      <c r="I3003" t="s">
        <v>2354</v>
      </c>
    </row>
    <row r="3004" spans="1:9" x14ac:dyDescent="0.25">
      <c r="A3004" t="s">
        <v>220</v>
      </c>
      <c r="B3004" t="s">
        <v>2351</v>
      </c>
      <c r="C3004" t="s">
        <v>4275</v>
      </c>
      <c r="D3004" t="s">
        <v>4276</v>
      </c>
      <c r="F3004">
        <v>3</v>
      </c>
      <c r="G3004">
        <v>85.5</v>
      </c>
      <c r="H3004">
        <v>256.5</v>
      </c>
      <c r="I3004" t="s">
        <v>2354</v>
      </c>
    </row>
    <row r="3005" spans="1:9" x14ac:dyDescent="0.25">
      <c r="A3005" t="s">
        <v>220</v>
      </c>
      <c r="B3005" t="s">
        <v>2351</v>
      </c>
      <c r="C3005" t="s">
        <v>4277</v>
      </c>
      <c r="D3005" t="s">
        <v>4278</v>
      </c>
      <c r="F3005">
        <v>1</v>
      </c>
      <c r="G3005">
        <v>87.75</v>
      </c>
      <c r="H3005">
        <v>87.75</v>
      </c>
      <c r="I3005" t="s">
        <v>2354</v>
      </c>
    </row>
    <row r="3006" spans="1:9" x14ac:dyDescent="0.25">
      <c r="A3006" t="s">
        <v>220</v>
      </c>
      <c r="B3006" t="s">
        <v>2351</v>
      </c>
      <c r="C3006" t="s">
        <v>4279</v>
      </c>
      <c r="D3006" t="s">
        <v>4280</v>
      </c>
      <c r="F3006">
        <v>3</v>
      </c>
      <c r="G3006">
        <v>92.377600000000001</v>
      </c>
      <c r="H3006">
        <v>277.13279999999997</v>
      </c>
      <c r="I3006" t="s">
        <v>2354</v>
      </c>
    </row>
    <row r="3007" spans="1:9" x14ac:dyDescent="0.25">
      <c r="A3007" t="s">
        <v>220</v>
      </c>
      <c r="B3007" t="s">
        <v>2351</v>
      </c>
      <c r="C3007" t="s">
        <v>5406</v>
      </c>
      <c r="D3007" t="s">
        <v>5407</v>
      </c>
      <c r="F3007">
        <v>2</v>
      </c>
      <c r="G3007">
        <v>166.898</v>
      </c>
      <c r="H3007">
        <v>333.79599999999999</v>
      </c>
      <c r="I3007" t="s">
        <v>2354</v>
      </c>
    </row>
    <row r="3008" spans="1:9" x14ac:dyDescent="0.25">
      <c r="A3008" t="s">
        <v>220</v>
      </c>
      <c r="B3008" t="s">
        <v>2351</v>
      </c>
      <c r="C3008" t="s">
        <v>4281</v>
      </c>
      <c r="D3008" t="s">
        <v>4282</v>
      </c>
      <c r="F3008">
        <v>4</v>
      </c>
      <c r="G3008">
        <v>129</v>
      </c>
      <c r="H3008">
        <v>516</v>
      </c>
      <c r="I3008" t="s">
        <v>2354</v>
      </c>
    </row>
    <row r="3009" spans="1:9" x14ac:dyDescent="0.25">
      <c r="A3009" t="s">
        <v>220</v>
      </c>
      <c r="B3009" t="s">
        <v>2351</v>
      </c>
      <c r="C3009" t="s">
        <v>4285</v>
      </c>
      <c r="D3009" t="s">
        <v>4286</v>
      </c>
      <c r="F3009">
        <v>1</v>
      </c>
      <c r="G3009">
        <v>77.400000000000006</v>
      </c>
      <c r="H3009">
        <v>77.400000000000006</v>
      </c>
      <c r="I3009" t="s">
        <v>2354</v>
      </c>
    </row>
    <row r="3010" spans="1:9" x14ac:dyDescent="0.25">
      <c r="A3010" t="s">
        <v>220</v>
      </c>
      <c r="B3010" t="s">
        <v>2351</v>
      </c>
      <c r="C3010" t="s">
        <v>4287</v>
      </c>
      <c r="D3010" t="s">
        <v>4288</v>
      </c>
      <c r="F3010">
        <v>10</v>
      </c>
      <c r="G3010">
        <v>81.575175000000002</v>
      </c>
      <c r="H3010">
        <v>815.75175000000002</v>
      </c>
      <c r="I3010" t="s">
        <v>2354</v>
      </c>
    </row>
    <row r="3011" spans="1:9" x14ac:dyDescent="0.25">
      <c r="A3011" t="s">
        <v>220</v>
      </c>
      <c r="B3011" t="s">
        <v>2351</v>
      </c>
      <c r="C3011" t="s">
        <v>4289</v>
      </c>
      <c r="D3011" t="s">
        <v>4290</v>
      </c>
      <c r="F3011">
        <v>3</v>
      </c>
      <c r="G3011">
        <v>130.5</v>
      </c>
      <c r="H3011">
        <v>391.5</v>
      </c>
      <c r="I3011" t="s">
        <v>2354</v>
      </c>
    </row>
    <row r="3012" spans="1:9" x14ac:dyDescent="0.25">
      <c r="A3012" t="s">
        <v>220</v>
      </c>
      <c r="B3012" t="s">
        <v>2351</v>
      </c>
      <c r="C3012" t="s">
        <v>4291</v>
      </c>
      <c r="D3012" t="s">
        <v>4292</v>
      </c>
      <c r="F3012">
        <v>6</v>
      </c>
      <c r="G3012">
        <v>127.7907</v>
      </c>
      <c r="H3012">
        <v>766.74419999999998</v>
      </c>
      <c r="I3012" t="s">
        <v>2354</v>
      </c>
    </row>
    <row r="3013" spans="1:9" x14ac:dyDescent="0.25">
      <c r="A3013" t="s">
        <v>220</v>
      </c>
      <c r="B3013" t="s">
        <v>2351</v>
      </c>
      <c r="C3013" t="s">
        <v>4295</v>
      </c>
      <c r="D3013" t="s">
        <v>4296</v>
      </c>
      <c r="F3013">
        <v>6</v>
      </c>
      <c r="G3013">
        <v>85.5</v>
      </c>
      <c r="H3013">
        <v>513</v>
      </c>
      <c r="I3013" t="s">
        <v>2354</v>
      </c>
    </row>
    <row r="3014" spans="1:9" x14ac:dyDescent="0.25">
      <c r="A3014" t="s">
        <v>220</v>
      </c>
      <c r="B3014" t="s">
        <v>2351</v>
      </c>
      <c r="C3014" t="s">
        <v>4297</v>
      </c>
      <c r="D3014" t="s">
        <v>4298</v>
      </c>
      <c r="F3014">
        <v>1</v>
      </c>
      <c r="G3014">
        <v>113.22</v>
      </c>
      <c r="H3014">
        <v>113.22</v>
      </c>
      <c r="I3014" t="s">
        <v>2354</v>
      </c>
    </row>
    <row r="3015" spans="1:9" x14ac:dyDescent="0.25">
      <c r="A3015" t="s">
        <v>220</v>
      </c>
      <c r="B3015" t="s">
        <v>2351</v>
      </c>
      <c r="C3015" t="s">
        <v>4299</v>
      </c>
      <c r="D3015" t="s">
        <v>4300</v>
      </c>
      <c r="F3015">
        <v>7</v>
      </c>
      <c r="G3015">
        <v>128.89876666666666</v>
      </c>
      <c r="H3015">
        <v>902.29136666666659</v>
      </c>
      <c r="I3015" t="s">
        <v>2354</v>
      </c>
    </row>
    <row r="3016" spans="1:9" x14ac:dyDescent="0.25">
      <c r="A3016" t="s">
        <v>220</v>
      </c>
      <c r="B3016" t="s">
        <v>2351</v>
      </c>
      <c r="C3016" t="s">
        <v>4301</v>
      </c>
      <c r="D3016" t="s">
        <v>4302</v>
      </c>
      <c r="F3016">
        <v>3</v>
      </c>
      <c r="G3016">
        <v>162.44999999999999</v>
      </c>
      <c r="H3016">
        <v>487.34999999999997</v>
      </c>
      <c r="I3016" t="s">
        <v>2354</v>
      </c>
    </row>
    <row r="3017" spans="1:9" x14ac:dyDescent="0.25">
      <c r="A3017" t="s">
        <v>220</v>
      </c>
      <c r="B3017" t="s">
        <v>2351</v>
      </c>
      <c r="C3017" t="s">
        <v>4303</v>
      </c>
      <c r="D3017" t="s">
        <v>4304</v>
      </c>
      <c r="F3017">
        <v>2</v>
      </c>
      <c r="G3017">
        <v>85.5</v>
      </c>
      <c r="H3017">
        <v>171</v>
      </c>
      <c r="I3017" t="s">
        <v>2354</v>
      </c>
    </row>
    <row r="3018" spans="1:9" x14ac:dyDescent="0.25">
      <c r="A3018" t="s">
        <v>220</v>
      </c>
      <c r="B3018" t="s">
        <v>2351</v>
      </c>
      <c r="C3018" t="s">
        <v>4305</v>
      </c>
      <c r="D3018" t="s">
        <v>4306</v>
      </c>
      <c r="F3018">
        <v>2</v>
      </c>
      <c r="G3018">
        <v>52.7624</v>
      </c>
      <c r="H3018">
        <v>105.5248</v>
      </c>
      <c r="I3018" t="s">
        <v>2354</v>
      </c>
    </row>
    <row r="3019" spans="1:9" x14ac:dyDescent="0.25">
      <c r="A3019" t="s">
        <v>220</v>
      </c>
      <c r="B3019" t="s">
        <v>2351</v>
      </c>
      <c r="C3019" t="s">
        <v>4309</v>
      </c>
      <c r="D3019" t="s">
        <v>4310</v>
      </c>
      <c r="F3019">
        <v>10</v>
      </c>
      <c r="G3019">
        <v>202.61458000000002</v>
      </c>
      <c r="H3019">
        <v>2026.1458000000002</v>
      </c>
      <c r="I3019" t="s">
        <v>2354</v>
      </c>
    </row>
    <row r="3020" spans="1:9" x14ac:dyDescent="0.25">
      <c r="A3020" t="s">
        <v>220</v>
      </c>
      <c r="B3020" t="s">
        <v>2351</v>
      </c>
      <c r="C3020" t="s">
        <v>4311</v>
      </c>
      <c r="D3020" t="s">
        <v>4312</v>
      </c>
      <c r="F3020">
        <v>8</v>
      </c>
      <c r="G3020">
        <v>0</v>
      </c>
      <c r="H3020">
        <v>0</v>
      </c>
      <c r="I3020" t="s">
        <v>2354</v>
      </c>
    </row>
    <row r="3021" spans="1:9" x14ac:dyDescent="0.25">
      <c r="A3021" t="s">
        <v>220</v>
      </c>
      <c r="B3021" t="s">
        <v>2351</v>
      </c>
      <c r="C3021" t="s">
        <v>4313</v>
      </c>
      <c r="D3021" t="s">
        <v>4314</v>
      </c>
      <c r="F3021">
        <v>28</v>
      </c>
      <c r="G3021">
        <v>193.09365</v>
      </c>
      <c r="H3021">
        <v>5406.6221999999998</v>
      </c>
      <c r="I3021" t="s">
        <v>2354</v>
      </c>
    </row>
    <row r="3022" spans="1:9" x14ac:dyDescent="0.25">
      <c r="A3022" t="s">
        <v>220</v>
      </c>
      <c r="B3022" t="s">
        <v>2351</v>
      </c>
      <c r="C3022" t="s">
        <v>4315</v>
      </c>
      <c r="D3022" t="s">
        <v>4316</v>
      </c>
      <c r="F3022">
        <v>3</v>
      </c>
      <c r="G3022">
        <v>78.825450000000004</v>
      </c>
      <c r="H3022">
        <v>236.47635000000002</v>
      </c>
      <c r="I3022" t="s">
        <v>2354</v>
      </c>
    </row>
    <row r="3023" spans="1:9" x14ac:dyDescent="0.25">
      <c r="A3023" t="s">
        <v>220</v>
      </c>
      <c r="B3023" t="s">
        <v>2351</v>
      </c>
      <c r="C3023" t="s">
        <v>4317</v>
      </c>
      <c r="D3023" t="s">
        <v>4318</v>
      </c>
      <c r="F3023">
        <v>22</v>
      </c>
      <c r="G3023">
        <v>195.41329999999999</v>
      </c>
      <c r="H3023">
        <v>4299.0925999999999</v>
      </c>
      <c r="I3023" t="s">
        <v>2354</v>
      </c>
    </row>
    <row r="3024" spans="1:9" x14ac:dyDescent="0.25">
      <c r="A3024" t="s">
        <v>220</v>
      </c>
      <c r="B3024" t="s">
        <v>2351</v>
      </c>
      <c r="C3024" t="s">
        <v>4319</v>
      </c>
      <c r="D3024" t="s">
        <v>4320</v>
      </c>
      <c r="F3024">
        <v>4</v>
      </c>
      <c r="G3024">
        <v>241.45999</v>
      </c>
      <c r="H3024">
        <v>965.83996000000002</v>
      </c>
      <c r="I3024" t="s">
        <v>2354</v>
      </c>
    </row>
    <row r="3025" spans="1:9" x14ac:dyDescent="0.25">
      <c r="A3025" t="s">
        <v>220</v>
      </c>
      <c r="B3025" t="s">
        <v>2351</v>
      </c>
      <c r="C3025" t="s">
        <v>4321</v>
      </c>
      <c r="D3025" t="s">
        <v>4322</v>
      </c>
      <c r="F3025">
        <v>9</v>
      </c>
      <c r="G3025">
        <v>95.04</v>
      </c>
      <c r="H3025">
        <v>855.36</v>
      </c>
      <c r="I3025" t="s">
        <v>2354</v>
      </c>
    </row>
    <row r="3026" spans="1:9" x14ac:dyDescent="0.25">
      <c r="A3026" t="s">
        <v>220</v>
      </c>
      <c r="B3026" t="s">
        <v>2351</v>
      </c>
      <c r="C3026" t="s">
        <v>4323</v>
      </c>
      <c r="D3026" t="s">
        <v>4324</v>
      </c>
      <c r="F3026">
        <v>5</v>
      </c>
      <c r="G3026">
        <v>75.246250000000003</v>
      </c>
      <c r="H3026">
        <v>376.23125000000005</v>
      </c>
      <c r="I3026" t="s">
        <v>2354</v>
      </c>
    </row>
    <row r="3027" spans="1:9" x14ac:dyDescent="0.25">
      <c r="A3027" t="s">
        <v>220</v>
      </c>
      <c r="B3027" t="s">
        <v>2351</v>
      </c>
      <c r="C3027" t="s">
        <v>4329</v>
      </c>
      <c r="D3027" t="s">
        <v>4330</v>
      </c>
      <c r="F3027">
        <v>2</v>
      </c>
      <c r="G3027">
        <v>75.246250000000003</v>
      </c>
      <c r="H3027">
        <v>150.49250000000001</v>
      </c>
      <c r="I3027" t="s">
        <v>2354</v>
      </c>
    </row>
    <row r="3028" spans="1:9" x14ac:dyDescent="0.25">
      <c r="A3028" t="s">
        <v>220</v>
      </c>
      <c r="B3028" t="s">
        <v>2351</v>
      </c>
      <c r="C3028" t="s">
        <v>4331</v>
      </c>
      <c r="D3028" t="s">
        <v>4332</v>
      </c>
      <c r="F3028">
        <v>8</v>
      </c>
      <c r="G3028">
        <v>97.2</v>
      </c>
      <c r="H3028">
        <v>777.6</v>
      </c>
      <c r="I3028" t="s">
        <v>2354</v>
      </c>
    </row>
    <row r="3029" spans="1:9" x14ac:dyDescent="0.25">
      <c r="A3029" t="s">
        <v>220</v>
      </c>
      <c r="B3029" t="s">
        <v>2351</v>
      </c>
      <c r="C3029" t="s">
        <v>4333</v>
      </c>
      <c r="D3029" t="s">
        <v>4334</v>
      </c>
      <c r="F3029">
        <v>2</v>
      </c>
      <c r="G3029">
        <v>399.42399</v>
      </c>
      <c r="H3029">
        <v>798.84798000000001</v>
      </c>
      <c r="I3029" t="s">
        <v>2354</v>
      </c>
    </row>
    <row r="3030" spans="1:9" x14ac:dyDescent="0.25">
      <c r="A3030" t="s">
        <v>220</v>
      </c>
      <c r="B3030" t="s">
        <v>2351</v>
      </c>
      <c r="C3030" t="s">
        <v>4335</v>
      </c>
      <c r="D3030" t="s">
        <v>4336</v>
      </c>
      <c r="F3030">
        <v>18</v>
      </c>
      <c r="G3030">
        <v>107.1</v>
      </c>
      <c r="H3030">
        <v>1927.8</v>
      </c>
      <c r="I3030" t="s">
        <v>2354</v>
      </c>
    </row>
    <row r="3031" spans="1:9" x14ac:dyDescent="0.25">
      <c r="A3031" t="s">
        <v>220</v>
      </c>
      <c r="B3031" t="s">
        <v>2351</v>
      </c>
      <c r="C3031" t="s">
        <v>4339</v>
      </c>
      <c r="D3031" t="s">
        <v>4340</v>
      </c>
      <c r="F3031">
        <v>6</v>
      </c>
      <c r="G3031">
        <v>22.395800000000001</v>
      </c>
      <c r="H3031">
        <v>134.37479999999999</v>
      </c>
      <c r="I3031" t="s">
        <v>2354</v>
      </c>
    </row>
    <row r="3032" spans="1:9" x14ac:dyDescent="0.25">
      <c r="A3032" t="s">
        <v>220</v>
      </c>
      <c r="B3032" t="s">
        <v>2351</v>
      </c>
      <c r="C3032" t="s">
        <v>4341</v>
      </c>
      <c r="D3032" t="s">
        <v>4342</v>
      </c>
      <c r="F3032">
        <v>4</v>
      </c>
      <c r="G3032">
        <v>17.2958</v>
      </c>
      <c r="H3032">
        <v>69.183199999999999</v>
      </c>
      <c r="I3032" t="s">
        <v>2354</v>
      </c>
    </row>
    <row r="3033" spans="1:9" x14ac:dyDescent="0.25">
      <c r="A3033" t="s">
        <v>220</v>
      </c>
      <c r="B3033" t="s">
        <v>2351</v>
      </c>
      <c r="C3033" t="s">
        <v>4343</v>
      </c>
      <c r="D3033" t="s">
        <v>4344</v>
      </c>
      <c r="F3033">
        <v>20</v>
      </c>
      <c r="G3033">
        <v>1.615</v>
      </c>
      <c r="H3033">
        <v>32.299999999999997</v>
      </c>
      <c r="I3033" t="s">
        <v>2354</v>
      </c>
    </row>
    <row r="3034" spans="1:9" x14ac:dyDescent="0.25">
      <c r="A3034" t="s">
        <v>220</v>
      </c>
      <c r="B3034" t="s">
        <v>2351</v>
      </c>
      <c r="C3034" t="s">
        <v>4345</v>
      </c>
      <c r="D3034" t="s">
        <v>4346</v>
      </c>
      <c r="F3034">
        <v>3</v>
      </c>
      <c r="G3034">
        <v>381.78</v>
      </c>
      <c r="H3034">
        <v>1145.3399999999999</v>
      </c>
      <c r="I3034" t="s">
        <v>2354</v>
      </c>
    </row>
    <row r="3035" spans="1:9" x14ac:dyDescent="0.25">
      <c r="A3035" t="s">
        <v>220</v>
      </c>
      <c r="B3035" t="s">
        <v>2351</v>
      </c>
      <c r="C3035" t="s">
        <v>4347</v>
      </c>
      <c r="D3035" t="s">
        <v>4348</v>
      </c>
      <c r="F3035">
        <v>2</v>
      </c>
      <c r="G3035">
        <v>1510.4934000000001</v>
      </c>
      <c r="H3035">
        <v>3020.9868000000001</v>
      </c>
      <c r="I3035" t="s">
        <v>2354</v>
      </c>
    </row>
    <row r="3036" spans="1:9" x14ac:dyDescent="0.25">
      <c r="A3036" t="s">
        <v>220</v>
      </c>
      <c r="B3036" t="s">
        <v>2351</v>
      </c>
      <c r="C3036" t="s">
        <v>4349</v>
      </c>
      <c r="D3036" t="s">
        <v>4350</v>
      </c>
      <c r="F3036">
        <v>5</v>
      </c>
      <c r="G3036">
        <v>3.8250000000000002</v>
      </c>
      <c r="H3036">
        <v>19.125</v>
      </c>
      <c r="I3036" t="s">
        <v>2354</v>
      </c>
    </row>
    <row r="3037" spans="1:9" x14ac:dyDescent="0.25">
      <c r="A3037" t="s">
        <v>220</v>
      </c>
      <c r="B3037" t="s">
        <v>2351</v>
      </c>
      <c r="C3037" t="s">
        <v>4351</v>
      </c>
      <c r="D3037" t="s">
        <v>4352</v>
      </c>
      <c r="F3037">
        <v>4</v>
      </c>
      <c r="G3037">
        <v>2.6530475206611572</v>
      </c>
      <c r="H3037">
        <v>10.612190082644629</v>
      </c>
      <c r="I3037" t="s">
        <v>2354</v>
      </c>
    </row>
    <row r="3038" spans="1:9" x14ac:dyDescent="0.25">
      <c r="A3038" t="s">
        <v>220</v>
      </c>
      <c r="B3038" t="s">
        <v>2351</v>
      </c>
      <c r="C3038" t="s">
        <v>4355</v>
      </c>
      <c r="D3038" t="s">
        <v>4356</v>
      </c>
      <c r="F3038">
        <v>3</v>
      </c>
      <c r="G3038">
        <v>3.8250000000000002</v>
      </c>
      <c r="H3038">
        <v>11.475000000000001</v>
      </c>
      <c r="I3038" t="s">
        <v>2354</v>
      </c>
    </row>
    <row r="3039" spans="1:9" x14ac:dyDescent="0.25">
      <c r="A3039" t="s">
        <v>220</v>
      </c>
      <c r="B3039" t="s">
        <v>2351</v>
      </c>
      <c r="C3039" t="s">
        <v>4357</v>
      </c>
      <c r="D3039" t="s">
        <v>4358</v>
      </c>
      <c r="F3039">
        <v>6</v>
      </c>
      <c r="G3039">
        <v>3.8250000000000002</v>
      </c>
      <c r="H3039">
        <v>22.950000000000003</v>
      </c>
      <c r="I3039" t="s">
        <v>2354</v>
      </c>
    </row>
    <row r="3040" spans="1:9" x14ac:dyDescent="0.25">
      <c r="A3040" t="s">
        <v>220</v>
      </c>
      <c r="B3040" t="s">
        <v>2351</v>
      </c>
      <c r="C3040" t="s">
        <v>4359</v>
      </c>
      <c r="D3040" t="s">
        <v>4360</v>
      </c>
      <c r="F3040">
        <v>4</v>
      </c>
      <c r="G3040">
        <v>2.6100000000000003</v>
      </c>
      <c r="H3040">
        <v>10.440000000000001</v>
      </c>
      <c r="I3040" t="s">
        <v>2354</v>
      </c>
    </row>
    <row r="3041" spans="1:9" x14ac:dyDescent="0.25">
      <c r="A3041" t="s">
        <v>220</v>
      </c>
      <c r="B3041" t="s">
        <v>2351</v>
      </c>
      <c r="C3041" t="s">
        <v>4361</v>
      </c>
      <c r="D3041" t="s">
        <v>4362</v>
      </c>
      <c r="F3041">
        <v>4</v>
      </c>
      <c r="G3041">
        <v>74</v>
      </c>
      <c r="H3041">
        <v>296</v>
      </c>
      <c r="I3041" t="s">
        <v>2354</v>
      </c>
    </row>
    <row r="3042" spans="1:9" x14ac:dyDescent="0.25">
      <c r="A3042" t="s">
        <v>220</v>
      </c>
      <c r="B3042" t="s">
        <v>2351</v>
      </c>
      <c r="C3042" t="s">
        <v>4363</v>
      </c>
      <c r="D3042" t="s">
        <v>4364</v>
      </c>
      <c r="F3042">
        <v>4</v>
      </c>
      <c r="G3042">
        <v>94</v>
      </c>
      <c r="H3042">
        <v>376</v>
      </c>
      <c r="I3042" t="s">
        <v>2354</v>
      </c>
    </row>
    <row r="3043" spans="1:9" x14ac:dyDescent="0.25">
      <c r="A3043" t="s">
        <v>220</v>
      </c>
      <c r="B3043" t="s">
        <v>2351</v>
      </c>
      <c r="C3043" t="s">
        <v>4365</v>
      </c>
      <c r="D3043" t="s">
        <v>4366</v>
      </c>
      <c r="F3043">
        <v>17</v>
      </c>
      <c r="G3043">
        <v>18</v>
      </c>
      <c r="H3043">
        <v>306</v>
      </c>
      <c r="I3043" t="s">
        <v>2354</v>
      </c>
    </row>
    <row r="3044" spans="1:9" x14ac:dyDescent="0.25">
      <c r="A3044" t="s">
        <v>220</v>
      </c>
      <c r="B3044" t="s">
        <v>2351</v>
      </c>
      <c r="C3044" t="s">
        <v>4367</v>
      </c>
      <c r="D3044" t="s">
        <v>4368</v>
      </c>
      <c r="F3044">
        <v>4</v>
      </c>
      <c r="G3044">
        <v>80</v>
      </c>
      <c r="H3044">
        <v>320</v>
      </c>
      <c r="I3044" t="s">
        <v>2354</v>
      </c>
    </row>
    <row r="3045" spans="1:9" x14ac:dyDescent="0.25">
      <c r="A3045" t="s">
        <v>220</v>
      </c>
      <c r="B3045" t="s">
        <v>2351</v>
      </c>
      <c r="C3045" t="s">
        <v>4369</v>
      </c>
      <c r="D3045" t="s">
        <v>4370</v>
      </c>
      <c r="F3045">
        <v>6</v>
      </c>
      <c r="G3045">
        <v>8.9827999999999992</v>
      </c>
      <c r="H3045">
        <v>53.896799999999999</v>
      </c>
      <c r="I3045" t="s">
        <v>2354</v>
      </c>
    </row>
    <row r="3046" spans="1:9" x14ac:dyDescent="0.25">
      <c r="A3046" t="s">
        <v>220</v>
      </c>
      <c r="B3046" t="s">
        <v>2351</v>
      </c>
      <c r="C3046" t="s">
        <v>4371</v>
      </c>
      <c r="D3046" t="s">
        <v>4372</v>
      </c>
      <c r="F3046">
        <v>52</v>
      </c>
      <c r="G3046">
        <v>2.15</v>
      </c>
      <c r="H3046">
        <v>111.8</v>
      </c>
      <c r="I3046" t="s">
        <v>2354</v>
      </c>
    </row>
    <row r="3047" spans="1:9" x14ac:dyDescent="0.25">
      <c r="A3047" t="s">
        <v>220</v>
      </c>
      <c r="B3047" t="s">
        <v>2351</v>
      </c>
      <c r="C3047" t="s">
        <v>4373</v>
      </c>
      <c r="D3047" t="s">
        <v>4374</v>
      </c>
      <c r="F3047">
        <v>2</v>
      </c>
      <c r="G3047">
        <v>0</v>
      </c>
      <c r="H3047">
        <v>0</v>
      </c>
      <c r="I3047" t="s">
        <v>2354</v>
      </c>
    </row>
    <row r="3048" spans="1:9" x14ac:dyDescent="0.25">
      <c r="A3048" t="s">
        <v>220</v>
      </c>
      <c r="B3048" t="s">
        <v>2351</v>
      </c>
      <c r="C3048" t="s">
        <v>4379</v>
      </c>
      <c r="D3048" t="s">
        <v>4380</v>
      </c>
      <c r="F3048">
        <v>3</v>
      </c>
      <c r="G3048">
        <v>8.2176739999999988</v>
      </c>
      <c r="H3048">
        <v>24.653021999999996</v>
      </c>
      <c r="I3048" t="s">
        <v>2354</v>
      </c>
    </row>
    <row r="3049" spans="1:9" x14ac:dyDescent="0.25">
      <c r="A3049" t="s">
        <v>220</v>
      </c>
      <c r="B3049" t="s">
        <v>2351</v>
      </c>
      <c r="C3049" t="s">
        <v>4387</v>
      </c>
      <c r="D3049" t="s">
        <v>4388</v>
      </c>
      <c r="F3049">
        <v>1</v>
      </c>
      <c r="G3049">
        <v>375.78199999999998</v>
      </c>
      <c r="H3049">
        <v>375.78199999999998</v>
      </c>
      <c r="I3049" t="s">
        <v>2354</v>
      </c>
    </row>
    <row r="3050" spans="1:9" x14ac:dyDescent="0.25">
      <c r="A3050" t="s">
        <v>220</v>
      </c>
      <c r="B3050" t="s">
        <v>2351</v>
      </c>
      <c r="C3050" t="s">
        <v>4389</v>
      </c>
      <c r="D3050" t="s">
        <v>4390</v>
      </c>
      <c r="F3050">
        <v>4</v>
      </c>
      <c r="G3050">
        <v>43.74</v>
      </c>
      <c r="H3050">
        <v>174.96</v>
      </c>
      <c r="I3050" t="s">
        <v>2354</v>
      </c>
    </row>
    <row r="3051" spans="1:9" x14ac:dyDescent="0.25">
      <c r="A3051" t="s">
        <v>220</v>
      </c>
      <c r="B3051" t="s">
        <v>2351</v>
      </c>
      <c r="C3051" t="s">
        <v>4391</v>
      </c>
      <c r="D3051" t="s">
        <v>4392</v>
      </c>
      <c r="F3051">
        <v>4</v>
      </c>
      <c r="G3051">
        <v>104.83199999999999</v>
      </c>
      <c r="H3051">
        <v>419.32799999999997</v>
      </c>
      <c r="I3051" t="s">
        <v>2354</v>
      </c>
    </row>
    <row r="3052" spans="1:9" x14ac:dyDescent="0.25">
      <c r="A3052" t="s">
        <v>220</v>
      </c>
      <c r="B3052" t="s">
        <v>2351</v>
      </c>
      <c r="C3052" t="s">
        <v>4397</v>
      </c>
      <c r="D3052" t="s">
        <v>4398</v>
      </c>
      <c r="F3052">
        <v>35</v>
      </c>
      <c r="G3052">
        <v>10.78735</v>
      </c>
      <c r="H3052">
        <v>377.55725000000001</v>
      </c>
      <c r="I3052" t="s">
        <v>2354</v>
      </c>
    </row>
    <row r="3053" spans="1:9" x14ac:dyDescent="0.25">
      <c r="A3053" t="s">
        <v>220</v>
      </c>
      <c r="B3053" t="s">
        <v>2351</v>
      </c>
      <c r="C3053" t="s">
        <v>4399</v>
      </c>
      <c r="D3053" t="s">
        <v>4400</v>
      </c>
      <c r="F3053">
        <v>20</v>
      </c>
      <c r="G3053">
        <v>21.9725</v>
      </c>
      <c r="H3053">
        <v>439.45</v>
      </c>
      <c r="I3053" t="s">
        <v>2354</v>
      </c>
    </row>
    <row r="3054" spans="1:9" x14ac:dyDescent="0.25">
      <c r="A3054" t="s">
        <v>220</v>
      </c>
      <c r="B3054" t="s">
        <v>2351</v>
      </c>
      <c r="C3054" t="s">
        <v>4401</v>
      </c>
      <c r="D3054" t="s">
        <v>4402</v>
      </c>
      <c r="F3054">
        <v>1</v>
      </c>
      <c r="G3054">
        <v>36</v>
      </c>
      <c r="H3054">
        <v>36</v>
      </c>
      <c r="I3054" t="s">
        <v>2354</v>
      </c>
    </row>
    <row r="3055" spans="1:9" x14ac:dyDescent="0.25">
      <c r="A3055" t="s">
        <v>220</v>
      </c>
      <c r="B3055" t="s">
        <v>2351</v>
      </c>
      <c r="C3055" t="s">
        <v>4407</v>
      </c>
      <c r="D3055" t="s">
        <v>4408</v>
      </c>
      <c r="F3055">
        <v>13</v>
      </c>
      <c r="G3055">
        <v>45.45</v>
      </c>
      <c r="H3055">
        <v>590.85</v>
      </c>
      <c r="I3055" t="s">
        <v>2354</v>
      </c>
    </row>
    <row r="3056" spans="1:9" x14ac:dyDescent="0.25">
      <c r="A3056" t="s">
        <v>220</v>
      </c>
      <c r="B3056" t="s">
        <v>2351</v>
      </c>
      <c r="C3056" t="s">
        <v>4415</v>
      </c>
      <c r="D3056" t="s">
        <v>4416</v>
      </c>
      <c r="F3056">
        <v>9</v>
      </c>
      <c r="G3056">
        <v>2.3380714285714284</v>
      </c>
      <c r="H3056">
        <v>21.042642857142855</v>
      </c>
      <c r="I3056" t="s">
        <v>2354</v>
      </c>
    </row>
    <row r="3057" spans="1:9" x14ac:dyDescent="0.25">
      <c r="A3057" t="s">
        <v>220</v>
      </c>
      <c r="B3057" t="s">
        <v>2351</v>
      </c>
      <c r="C3057" t="s">
        <v>4419</v>
      </c>
      <c r="D3057" t="s">
        <v>4420</v>
      </c>
      <c r="F3057">
        <v>6</v>
      </c>
      <c r="G3057">
        <v>3.5</v>
      </c>
      <c r="H3057">
        <v>21</v>
      </c>
      <c r="I3057" t="s">
        <v>2354</v>
      </c>
    </row>
    <row r="3058" spans="1:9" x14ac:dyDescent="0.25">
      <c r="A3058" t="s">
        <v>220</v>
      </c>
      <c r="B3058" t="s">
        <v>2351</v>
      </c>
      <c r="C3058" t="s">
        <v>4421</v>
      </c>
      <c r="D3058" t="s">
        <v>4422</v>
      </c>
      <c r="F3058">
        <v>3</v>
      </c>
      <c r="G3058">
        <v>33.919199999999996</v>
      </c>
      <c r="H3058">
        <v>101.7576</v>
      </c>
      <c r="I3058" t="s">
        <v>2354</v>
      </c>
    </row>
    <row r="3059" spans="1:9" x14ac:dyDescent="0.25">
      <c r="A3059" t="s">
        <v>220</v>
      </c>
      <c r="B3059" t="s">
        <v>2351</v>
      </c>
      <c r="C3059" t="s">
        <v>4423</v>
      </c>
      <c r="D3059" t="s">
        <v>4424</v>
      </c>
      <c r="F3059">
        <v>45</v>
      </c>
      <c r="G3059">
        <v>10.614599999999999</v>
      </c>
      <c r="H3059">
        <v>477.65699999999998</v>
      </c>
      <c r="I3059" t="s">
        <v>2354</v>
      </c>
    </row>
    <row r="3060" spans="1:9" x14ac:dyDescent="0.25">
      <c r="A3060" t="s">
        <v>220</v>
      </c>
      <c r="B3060" t="s">
        <v>2351</v>
      </c>
      <c r="C3060" t="s">
        <v>4426</v>
      </c>
      <c r="D3060" t="s">
        <v>4427</v>
      </c>
      <c r="F3060">
        <v>6</v>
      </c>
      <c r="G3060">
        <v>7.021221052631577</v>
      </c>
      <c r="H3060">
        <v>42.12732631578946</v>
      </c>
      <c r="I3060" t="s">
        <v>2354</v>
      </c>
    </row>
    <row r="3061" spans="1:9" x14ac:dyDescent="0.25">
      <c r="A3061" t="s">
        <v>220</v>
      </c>
      <c r="B3061" t="s">
        <v>2351</v>
      </c>
      <c r="C3061" t="s">
        <v>4430</v>
      </c>
      <c r="D3061" t="s">
        <v>4431</v>
      </c>
      <c r="F3061">
        <v>18</v>
      </c>
      <c r="G3061">
        <v>0.81200000000000006</v>
      </c>
      <c r="H3061">
        <v>14.616000000000001</v>
      </c>
      <c r="I3061" t="s">
        <v>2354</v>
      </c>
    </row>
    <row r="3062" spans="1:9" x14ac:dyDescent="0.25">
      <c r="A3062" t="s">
        <v>220</v>
      </c>
      <c r="B3062" t="s">
        <v>2351</v>
      </c>
      <c r="C3062" t="s">
        <v>4432</v>
      </c>
      <c r="D3062" t="s">
        <v>4433</v>
      </c>
      <c r="F3062">
        <v>18</v>
      </c>
      <c r="G3062">
        <v>4.8</v>
      </c>
      <c r="H3062">
        <v>86.399999999999991</v>
      </c>
      <c r="I3062" t="s">
        <v>2354</v>
      </c>
    </row>
    <row r="3063" spans="1:9" x14ac:dyDescent="0.25">
      <c r="A3063" t="s">
        <v>220</v>
      </c>
      <c r="B3063" t="s">
        <v>2351</v>
      </c>
      <c r="C3063" t="s">
        <v>4434</v>
      </c>
      <c r="D3063" t="s">
        <v>4435</v>
      </c>
      <c r="F3063">
        <v>5</v>
      </c>
      <c r="G3063">
        <v>49.5</v>
      </c>
      <c r="H3063">
        <v>247.5</v>
      </c>
      <c r="I3063" t="s">
        <v>2354</v>
      </c>
    </row>
    <row r="3064" spans="1:9" x14ac:dyDescent="0.25">
      <c r="A3064" t="s">
        <v>220</v>
      </c>
      <c r="B3064" t="s">
        <v>2351</v>
      </c>
      <c r="C3064" t="s">
        <v>4436</v>
      </c>
      <c r="D3064" t="s">
        <v>4437</v>
      </c>
      <c r="F3064">
        <v>5</v>
      </c>
      <c r="G3064">
        <v>20.257575757575758</v>
      </c>
      <c r="H3064">
        <v>101.28787878787878</v>
      </c>
      <c r="I3064" t="s">
        <v>2354</v>
      </c>
    </row>
    <row r="3065" spans="1:9" x14ac:dyDescent="0.25">
      <c r="A3065" t="s">
        <v>220</v>
      </c>
      <c r="B3065" t="s">
        <v>2351</v>
      </c>
      <c r="C3065" t="s">
        <v>4438</v>
      </c>
      <c r="D3065" t="s">
        <v>4439</v>
      </c>
      <c r="F3065">
        <v>7</v>
      </c>
      <c r="G3065">
        <v>8.1437333333333335</v>
      </c>
      <c r="H3065">
        <v>57.006133333333338</v>
      </c>
      <c r="I3065" t="s">
        <v>2354</v>
      </c>
    </row>
    <row r="3066" spans="1:9" x14ac:dyDescent="0.25">
      <c r="A3066" t="s">
        <v>220</v>
      </c>
      <c r="B3066" t="s">
        <v>2351</v>
      </c>
      <c r="C3066" t="s">
        <v>4488</v>
      </c>
      <c r="D3066" t="s">
        <v>4489</v>
      </c>
      <c r="F3066">
        <v>1</v>
      </c>
      <c r="G3066">
        <v>19.065777777777775</v>
      </c>
      <c r="H3066">
        <v>19.065777777777775</v>
      </c>
      <c r="I3066" t="s">
        <v>2354</v>
      </c>
    </row>
    <row r="3067" spans="1:9" x14ac:dyDescent="0.25">
      <c r="A3067" t="s">
        <v>220</v>
      </c>
      <c r="B3067" t="s">
        <v>2351</v>
      </c>
      <c r="C3067" t="s">
        <v>4492</v>
      </c>
      <c r="D3067" t="s">
        <v>4493</v>
      </c>
      <c r="F3067">
        <v>9</v>
      </c>
      <c r="G3067">
        <v>12.4</v>
      </c>
      <c r="H3067">
        <v>111.60000000000001</v>
      </c>
      <c r="I3067" t="s">
        <v>2354</v>
      </c>
    </row>
    <row r="3068" spans="1:9" x14ac:dyDescent="0.25">
      <c r="A3068" t="s">
        <v>220</v>
      </c>
      <c r="B3068" t="s">
        <v>2351</v>
      </c>
      <c r="C3068" t="s">
        <v>4494</v>
      </c>
      <c r="D3068" t="s">
        <v>4495</v>
      </c>
      <c r="F3068">
        <v>15</v>
      </c>
      <c r="G3068">
        <v>12.4</v>
      </c>
      <c r="H3068">
        <v>186</v>
      </c>
      <c r="I3068" t="s">
        <v>2354</v>
      </c>
    </row>
    <row r="3069" spans="1:9" x14ac:dyDescent="0.25">
      <c r="A3069" t="s">
        <v>220</v>
      </c>
      <c r="B3069" t="s">
        <v>2351</v>
      </c>
      <c r="C3069" t="s">
        <v>4498</v>
      </c>
      <c r="D3069" t="s">
        <v>4499</v>
      </c>
      <c r="F3069">
        <v>1</v>
      </c>
      <c r="G3069">
        <v>3.2899526066350711</v>
      </c>
      <c r="H3069">
        <v>3.2899526066350711</v>
      </c>
      <c r="I3069" t="s">
        <v>2354</v>
      </c>
    </row>
    <row r="3070" spans="1:9" x14ac:dyDescent="0.25">
      <c r="A3070" t="s">
        <v>220</v>
      </c>
      <c r="B3070" t="s">
        <v>2351</v>
      </c>
      <c r="C3070" t="s">
        <v>4500</v>
      </c>
      <c r="D3070" t="s">
        <v>4501</v>
      </c>
      <c r="F3070">
        <v>5</v>
      </c>
      <c r="G3070">
        <v>4.0911764705882359</v>
      </c>
      <c r="H3070">
        <v>20.455882352941181</v>
      </c>
      <c r="I3070" t="s">
        <v>2354</v>
      </c>
    </row>
    <row r="3071" spans="1:9" x14ac:dyDescent="0.25">
      <c r="A3071" t="s">
        <v>220</v>
      </c>
      <c r="B3071" t="s">
        <v>2351</v>
      </c>
      <c r="C3071" t="s">
        <v>4504</v>
      </c>
      <c r="D3071" t="s">
        <v>4505</v>
      </c>
      <c r="F3071">
        <v>1</v>
      </c>
      <c r="G3071">
        <v>12.260434210526316</v>
      </c>
      <c r="H3071">
        <v>12.260434210526316</v>
      </c>
      <c r="I3071" t="s">
        <v>2354</v>
      </c>
    </row>
    <row r="3072" spans="1:9" x14ac:dyDescent="0.25">
      <c r="A3072" t="s">
        <v>220</v>
      </c>
      <c r="B3072" t="s">
        <v>2351</v>
      </c>
      <c r="C3072" t="s">
        <v>4506</v>
      </c>
      <c r="D3072" t="s">
        <v>4507</v>
      </c>
      <c r="F3072">
        <v>2</v>
      </c>
      <c r="G3072">
        <v>55.295999999999999</v>
      </c>
      <c r="H3072">
        <v>110.592</v>
      </c>
      <c r="I3072" t="s">
        <v>2354</v>
      </c>
    </row>
    <row r="3073" spans="1:9" x14ac:dyDescent="0.25">
      <c r="A3073" t="s">
        <v>220</v>
      </c>
      <c r="B3073" t="s">
        <v>2351</v>
      </c>
      <c r="C3073" t="s">
        <v>4508</v>
      </c>
      <c r="D3073" t="s">
        <v>4509</v>
      </c>
      <c r="F3073">
        <v>3</v>
      </c>
      <c r="G3073">
        <v>18.416368421052635</v>
      </c>
      <c r="H3073">
        <v>55.249105263157901</v>
      </c>
      <c r="I3073" t="s">
        <v>2354</v>
      </c>
    </row>
    <row r="3074" spans="1:9" x14ac:dyDescent="0.25">
      <c r="A3074" t="s">
        <v>220</v>
      </c>
      <c r="B3074" t="s">
        <v>2351</v>
      </c>
      <c r="C3074" t="s">
        <v>4510</v>
      </c>
      <c r="D3074" t="s">
        <v>4511</v>
      </c>
      <c r="F3074">
        <v>10</v>
      </c>
      <c r="G3074">
        <v>7.541785714285715</v>
      </c>
      <c r="H3074">
        <v>75.417857142857144</v>
      </c>
      <c r="I3074" t="s">
        <v>2354</v>
      </c>
    </row>
    <row r="3075" spans="1:9" x14ac:dyDescent="0.25">
      <c r="A3075" t="s">
        <v>220</v>
      </c>
      <c r="B3075" t="s">
        <v>2351</v>
      </c>
      <c r="C3075" t="s">
        <v>4512</v>
      </c>
      <c r="D3075" t="s">
        <v>4513</v>
      </c>
      <c r="F3075">
        <v>10</v>
      </c>
      <c r="G3075">
        <v>9.8819999999999997</v>
      </c>
      <c r="H3075">
        <v>98.82</v>
      </c>
      <c r="I3075" t="s">
        <v>2354</v>
      </c>
    </row>
    <row r="3076" spans="1:9" x14ac:dyDescent="0.25">
      <c r="A3076" t="s">
        <v>220</v>
      </c>
      <c r="B3076" t="s">
        <v>2351</v>
      </c>
      <c r="C3076" t="s">
        <v>4522</v>
      </c>
      <c r="D3076" t="s">
        <v>4523</v>
      </c>
      <c r="F3076">
        <v>8</v>
      </c>
      <c r="G3076">
        <v>10.9215</v>
      </c>
      <c r="H3076">
        <v>87.372</v>
      </c>
      <c r="I3076" t="s">
        <v>2354</v>
      </c>
    </row>
    <row r="3077" spans="1:9" x14ac:dyDescent="0.25">
      <c r="A3077" t="s">
        <v>220</v>
      </c>
      <c r="B3077" t="s">
        <v>2351</v>
      </c>
      <c r="C3077" t="s">
        <v>4526</v>
      </c>
      <c r="D3077" t="s">
        <v>4527</v>
      </c>
      <c r="F3077">
        <v>7</v>
      </c>
      <c r="G3077">
        <v>28.6</v>
      </c>
      <c r="H3077">
        <v>200.20000000000002</v>
      </c>
      <c r="I3077" t="s">
        <v>2354</v>
      </c>
    </row>
    <row r="3078" spans="1:9" x14ac:dyDescent="0.25">
      <c r="A3078" t="s">
        <v>220</v>
      </c>
      <c r="B3078" t="s">
        <v>2351</v>
      </c>
      <c r="C3078" t="s">
        <v>4528</v>
      </c>
      <c r="D3078" t="s">
        <v>4529</v>
      </c>
      <c r="F3078">
        <v>6</v>
      </c>
      <c r="G3078">
        <v>92.860799999999998</v>
      </c>
      <c r="H3078">
        <v>557.16480000000001</v>
      </c>
      <c r="I3078" t="s">
        <v>2354</v>
      </c>
    </row>
    <row r="3079" spans="1:9" x14ac:dyDescent="0.25">
      <c r="A3079" t="s">
        <v>220</v>
      </c>
      <c r="B3079" t="s">
        <v>2351</v>
      </c>
      <c r="C3079" t="s">
        <v>4530</v>
      </c>
      <c r="D3079" t="s">
        <v>4531</v>
      </c>
      <c r="F3079">
        <v>7</v>
      </c>
      <c r="G3079">
        <v>11.583</v>
      </c>
      <c r="H3079">
        <v>81.081000000000003</v>
      </c>
      <c r="I3079" t="s">
        <v>2354</v>
      </c>
    </row>
    <row r="3080" spans="1:9" x14ac:dyDescent="0.25">
      <c r="A3080" t="s">
        <v>220</v>
      </c>
      <c r="B3080" t="s">
        <v>2351</v>
      </c>
      <c r="C3080" t="s">
        <v>4532</v>
      </c>
      <c r="D3080" t="s">
        <v>4533</v>
      </c>
      <c r="F3080">
        <v>2</v>
      </c>
      <c r="G3080">
        <v>51.488999999999997</v>
      </c>
      <c r="H3080">
        <v>102.97799999999999</v>
      </c>
      <c r="I3080" t="s">
        <v>2354</v>
      </c>
    </row>
    <row r="3081" spans="1:9" x14ac:dyDescent="0.25">
      <c r="A3081" t="s">
        <v>220</v>
      </c>
      <c r="B3081" t="s">
        <v>2351</v>
      </c>
      <c r="C3081" t="s">
        <v>4534</v>
      </c>
      <c r="D3081" t="s">
        <v>4535</v>
      </c>
      <c r="F3081">
        <v>38</v>
      </c>
      <c r="G3081">
        <v>5.85</v>
      </c>
      <c r="H3081">
        <v>222.29999999999998</v>
      </c>
      <c r="I3081" t="s">
        <v>2354</v>
      </c>
    </row>
    <row r="3082" spans="1:9" x14ac:dyDescent="0.25">
      <c r="A3082" t="s">
        <v>220</v>
      </c>
      <c r="B3082" t="s">
        <v>2351</v>
      </c>
      <c r="C3082" t="s">
        <v>4536</v>
      </c>
      <c r="D3082" t="s">
        <v>4537</v>
      </c>
      <c r="F3082">
        <v>20</v>
      </c>
      <c r="G3082">
        <v>9.8103999999999996</v>
      </c>
      <c r="H3082">
        <v>196.208</v>
      </c>
      <c r="I3082" t="s">
        <v>2354</v>
      </c>
    </row>
    <row r="3083" spans="1:9" x14ac:dyDescent="0.25">
      <c r="A3083" t="s">
        <v>220</v>
      </c>
      <c r="B3083" t="s">
        <v>2351</v>
      </c>
      <c r="C3083" t="s">
        <v>4546</v>
      </c>
      <c r="D3083" t="s">
        <v>4547</v>
      </c>
      <c r="F3083">
        <v>15</v>
      </c>
      <c r="G3083">
        <v>10.228899999999999</v>
      </c>
      <c r="H3083">
        <v>153.43349999999998</v>
      </c>
      <c r="I3083" t="s">
        <v>2354</v>
      </c>
    </row>
    <row r="3084" spans="1:9" x14ac:dyDescent="0.25">
      <c r="A3084" t="s">
        <v>220</v>
      </c>
      <c r="B3084" t="s">
        <v>2351</v>
      </c>
      <c r="C3084" t="s">
        <v>4550</v>
      </c>
      <c r="D3084" t="s">
        <v>4551</v>
      </c>
      <c r="F3084">
        <v>12</v>
      </c>
      <c r="G3084">
        <v>11.237</v>
      </c>
      <c r="H3084">
        <v>134.84399999999999</v>
      </c>
      <c r="I3084" t="s">
        <v>2354</v>
      </c>
    </row>
    <row r="3085" spans="1:9" x14ac:dyDescent="0.25">
      <c r="A3085" t="s">
        <v>220</v>
      </c>
      <c r="B3085" t="s">
        <v>2351</v>
      </c>
      <c r="C3085" t="s">
        <v>4554</v>
      </c>
      <c r="D3085" t="s">
        <v>4555</v>
      </c>
      <c r="F3085">
        <v>4</v>
      </c>
      <c r="G3085">
        <v>11.423999999999999</v>
      </c>
      <c r="H3085">
        <v>45.695999999999998</v>
      </c>
      <c r="I3085" t="s">
        <v>2354</v>
      </c>
    </row>
    <row r="3086" spans="1:9" x14ac:dyDescent="0.25">
      <c r="A3086" t="s">
        <v>220</v>
      </c>
      <c r="B3086" t="s">
        <v>2351</v>
      </c>
      <c r="C3086" t="s">
        <v>4556</v>
      </c>
      <c r="D3086" t="s">
        <v>4557</v>
      </c>
      <c r="F3086">
        <v>9</v>
      </c>
      <c r="G3086">
        <v>22.429345098039217</v>
      </c>
      <c r="H3086">
        <v>201.86410588235296</v>
      </c>
      <c r="I3086" t="s">
        <v>2354</v>
      </c>
    </row>
    <row r="3087" spans="1:9" x14ac:dyDescent="0.25">
      <c r="A3087" t="s">
        <v>220</v>
      </c>
      <c r="B3087" t="s">
        <v>2351</v>
      </c>
      <c r="C3087" t="s">
        <v>4558</v>
      </c>
      <c r="D3087" t="s">
        <v>4559</v>
      </c>
      <c r="F3087">
        <v>24</v>
      </c>
      <c r="G3087">
        <v>0.435</v>
      </c>
      <c r="H3087">
        <v>10.44</v>
      </c>
      <c r="I3087" t="s">
        <v>2354</v>
      </c>
    </row>
    <row r="3088" spans="1:9" x14ac:dyDescent="0.25">
      <c r="A3088" t="s">
        <v>220</v>
      </c>
      <c r="B3088" t="s">
        <v>2351</v>
      </c>
      <c r="C3088" t="s">
        <v>4560</v>
      </c>
      <c r="D3088" t="s">
        <v>4561</v>
      </c>
      <c r="F3088">
        <v>5</v>
      </c>
      <c r="G3088">
        <v>7.3049999999999997</v>
      </c>
      <c r="H3088">
        <v>36.524999999999999</v>
      </c>
      <c r="I3088" t="s">
        <v>2354</v>
      </c>
    </row>
    <row r="3089" spans="1:9" x14ac:dyDescent="0.25">
      <c r="A3089" t="s">
        <v>220</v>
      </c>
      <c r="B3089" t="s">
        <v>2351</v>
      </c>
      <c r="C3089" t="s">
        <v>4562</v>
      </c>
      <c r="D3089" t="s">
        <v>4563</v>
      </c>
      <c r="F3089">
        <v>2</v>
      </c>
      <c r="G3089">
        <v>8.0749999999999993</v>
      </c>
      <c r="H3089">
        <v>16.149999999999999</v>
      </c>
      <c r="I3089" t="s">
        <v>2354</v>
      </c>
    </row>
    <row r="3090" spans="1:9" x14ac:dyDescent="0.25">
      <c r="A3090" t="s">
        <v>220</v>
      </c>
      <c r="B3090" t="s">
        <v>2351</v>
      </c>
      <c r="C3090" t="s">
        <v>4564</v>
      </c>
      <c r="D3090" t="s">
        <v>4565</v>
      </c>
      <c r="F3090">
        <v>5</v>
      </c>
      <c r="G3090">
        <v>23.204999999999998</v>
      </c>
      <c r="H3090">
        <v>116.02499999999999</v>
      </c>
      <c r="I3090" t="s">
        <v>2354</v>
      </c>
    </row>
    <row r="3091" spans="1:9" x14ac:dyDescent="0.25">
      <c r="A3091" t="s">
        <v>220</v>
      </c>
      <c r="B3091" t="s">
        <v>2351</v>
      </c>
      <c r="C3091" t="s">
        <v>4566</v>
      </c>
      <c r="D3091" t="s">
        <v>4567</v>
      </c>
      <c r="F3091">
        <v>2</v>
      </c>
      <c r="G3091">
        <v>17.434999999999999</v>
      </c>
      <c r="H3091">
        <v>34.869999999999997</v>
      </c>
      <c r="I3091" t="s">
        <v>2354</v>
      </c>
    </row>
    <row r="3092" spans="1:9" x14ac:dyDescent="0.25">
      <c r="A3092" t="s">
        <v>220</v>
      </c>
      <c r="B3092" t="s">
        <v>2351</v>
      </c>
      <c r="C3092" t="s">
        <v>4570</v>
      </c>
      <c r="D3092" t="s">
        <v>4571</v>
      </c>
      <c r="F3092">
        <v>2</v>
      </c>
      <c r="G3092">
        <v>12.852</v>
      </c>
      <c r="H3092">
        <v>25.704000000000001</v>
      </c>
      <c r="I3092" t="s">
        <v>2354</v>
      </c>
    </row>
    <row r="3093" spans="1:9" x14ac:dyDescent="0.25">
      <c r="A3093" t="s">
        <v>220</v>
      </c>
      <c r="B3093" t="s">
        <v>2351</v>
      </c>
      <c r="C3093" t="s">
        <v>4572</v>
      </c>
      <c r="D3093" t="s">
        <v>4573</v>
      </c>
      <c r="F3093">
        <v>45</v>
      </c>
      <c r="G3093">
        <v>9.9314999999999998</v>
      </c>
      <c r="H3093">
        <v>446.91750000000002</v>
      </c>
      <c r="I3093" t="s">
        <v>2354</v>
      </c>
    </row>
    <row r="3094" spans="1:9" x14ac:dyDescent="0.25">
      <c r="A3094" t="s">
        <v>220</v>
      </c>
      <c r="B3094" t="s">
        <v>2351</v>
      </c>
      <c r="C3094" t="s">
        <v>4574</v>
      </c>
      <c r="D3094" t="s">
        <v>4575</v>
      </c>
      <c r="F3094">
        <v>6</v>
      </c>
      <c r="G3094">
        <v>1.3748181818181817</v>
      </c>
      <c r="H3094">
        <v>8.2489090909090912</v>
      </c>
      <c r="I3094" t="s">
        <v>2354</v>
      </c>
    </row>
    <row r="3095" spans="1:9" x14ac:dyDescent="0.25">
      <c r="A3095" t="s">
        <v>220</v>
      </c>
      <c r="B3095" t="s">
        <v>2351</v>
      </c>
      <c r="C3095" t="s">
        <v>4576</v>
      </c>
      <c r="D3095" t="s">
        <v>4577</v>
      </c>
      <c r="F3095">
        <v>2</v>
      </c>
      <c r="G3095">
        <v>0</v>
      </c>
      <c r="H3095">
        <v>0</v>
      </c>
      <c r="I3095" t="s">
        <v>2354</v>
      </c>
    </row>
    <row r="3096" spans="1:9" x14ac:dyDescent="0.25">
      <c r="A3096" t="s">
        <v>220</v>
      </c>
      <c r="B3096" t="s">
        <v>2351</v>
      </c>
      <c r="C3096" t="s">
        <v>4578</v>
      </c>
      <c r="D3096" t="s">
        <v>4579</v>
      </c>
      <c r="F3096">
        <v>2</v>
      </c>
      <c r="G3096">
        <v>0</v>
      </c>
      <c r="H3096">
        <v>0</v>
      </c>
      <c r="I3096" t="s">
        <v>2354</v>
      </c>
    </row>
    <row r="3097" spans="1:9" x14ac:dyDescent="0.25">
      <c r="A3097" t="s">
        <v>220</v>
      </c>
      <c r="B3097" t="s">
        <v>2351</v>
      </c>
      <c r="C3097" t="s">
        <v>4580</v>
      </c>
      <c r="D3097" t="s">
        <v>4581</v>
      </c>
      <c r="F3097">
        <v>4</v>
      </c>
      <c r="G3097">
        <v>46.904000000000003</v>
      </c>
      <c r="H3097">
        <v>187.61600000000001</v>
      </c>
      <c r="I3097" t="s">
        <v>2354</v>
      </c>
    </row>
    <row r="3098" spans="1:9" x14ac:dyDescent="0.25">
      <c r="A3098" t="s">
        <v>220</v>
      </c>
      <c r="B3098" t="s">
        <v>2351</v>
      </c>
      <c r="C3098" t="s">
        <v>4582</v>
      </c>
      <c r="D3098" t="s">
        <v>4583</v>
      </c>
      <c r="F3098">
        <v>2</v>
      </c>
      <c r="G3098">
        <v>4.8380000000000001</v>
      </c>
      <c r="H3098">
        <v>9.6760000000000002</v>
      </c>
      <c r="I3098" t="s">
        <v>2354</v>
      </c>
    </row>
    <row r="3099" spans="1:9" x14ac:dyDescent="0.25">
      <c r="A3099" t="s">
        <v>220</v>
      </c>
      <c r="B3099" t="s">
        <v>2351</v>
      </c>
      <c r="C3099" t="s">
        <v>4628</v>
      </c>
      <c r="D3099" t="s">
        <v>4629</v>
      </c>
      <c r="F3099">
        <v>1</v>
      </c>
      <c r="G3099">
        <v>122.95</v>
      </c>
      <c r="H3099">
        <v>122.95</v>
      </c>
      <c r="I3099" t="s">
        <v>2354</v>
      </c>
    </row>
    <row r="3100" spans="1:9" x14ac:dyDescent="0.25">
      <c r="A3100" t="s">
        <v>220</v>
      </c>
      <c r="B3100" t="s">
        <v>2351</v>
      </c>
      <c r="C3100" t="s">
        <v>4630</v>
      </c>
      <c r="D3100" t="s">
        <v>4631</v>
      </c>
      <c r="F3100">
        <v>2</v>
      </c>
      <c r="G3100">
        <v>47.65</v>
      </c>
      <c r="H3100">
        <v>95.3</v>
      </c>
      <c r="I3100" t="s">
        <v>2354</v>
      </c>
    </row>
    <row r="3101" spans="1:9" x14ac:dyDescent="0.25">
      <c r="A3101" t="s">
        <v>220</v>
      </c>
      <c r="B3101" t="s">
        <v>2351</v>
      </c>
      <c r="C3101" t="s">
        <v>4632</v>
      </c>
      <c r="D3101" t="s">
        <v>4633</v>
      </c>
      <c r="F3101">
        <v>1</v>
      </c>
      <c r="G3101">
        <v>0</v>
      </c>
      <c r="H3101">
        <v>0</v>
      </c>
      <c r="I3101" t="s">
        <v>2354</v>
      </c>
    </row>
    <row r="3102" spans="1:9" x14ac:dyDescent="0.25">
      <c r="A3102" t="s">
        <v>220</v>
      </c>
      <c r="B3102" t="s">
        <v>2351</v>
      </c>
      <c r="C3102" t="s">
        <v>4634</v>
      </c>
      <c r="D3102" t="s">
        <v>4635</v>
      </c>
      <c r="F3102">
        <v>2</v>
      </c>
      <c r="G3102">
        <v>396.15</v>
      </c>
      <c r="H3102">
        <v>792.3</v>
      </c>
      <c r="I3102" t="s">
        <v>2354</v>
      </c>
    </row>
    <row r="3103" spans="1:9" x14ac:dyDescent="0.25">
      <c r="A3103" t="s">
        <v>220</v>
      </c>
      <c r="B3103" t="s">
        <v>2351</v>
      </c>
      <c r="C3103" t="s">
        <v>4746</v>
      </c>
      <c r="D3103" t="s">
        <v>4747</v>
      </c>
      <c r="F3103">
        <v>1</v>
      </c>
      <c r="G3103">
        <v>8.3166666666666664</v>
      </c>
      <c r="H3103">
        <v>8.3166666666666664</v>
      </c>
      <c r="I3103" t="s">
        <v>2354</v>
      </c>
    </row>
    <row r="3104" spans="1:9" x14ac:dyDescent="0.25">
      <c r="A3104" t="s">
        <v>220</v>
      </c>
      <c r="B3104" t="s">
        <v>2351</v>
      </c>
      <c r="C3104" t="s">
        <v>4750</v>
      </c>
      <c r="D3104" t="s">
        <v>4751</v>
      </c>
      <c r="F3104">
        <v>8</v>
      </c>
      <c r="G3104">
        <v>7.6760000000000002</v>
      </c>
      <c r="H3104">
        <v>61.408000000000001</v>
      </c>
      <c r="I3104" t="s">
        <v>2354</v>
      </c>
    </row>
    <row r="3105" spans="1:9" x14ac:dyDescent="0.25">
      <c r="A3105" t="s">
        <v>220</v>
      </c>
      <c r="B3105" t="s">
        <v>2351</v>
      </c>
      <c r="C3105" t="s">
        <v>4770</v>
      </c>
      <c r="D3105" t="s">
        <v>4771</v>
      </c>
      <c r="F3105">
        <v>25</v>
      </c>
      <c r="G3105">
        <v>3.6360000000000001</v>
      </c>
      <c r="H3105">
        <v>90.9</v>
      </c>
      <c r="I3105" t="s">
        <v>2354</v>
      </c>
    </row>
    <row r="3106" spans="1:9" x14ac:dyDescent="0.25">
      <c r="A3106" t="s">
        <v>220</v>
      </c>
      <c r="B3106" t="s">
        <v>2351</v>
      </c>
      <c r="C3106" t="s">
        <v>4778</v>
      </c>
      <c r="D3106" t="s">
        <v>4779</v>
      </c>
      <c r="F3106">
        <v>45</v>
      </c>
      <c r="G3106">
        <v>6.06</v>
      </c>
      <c r="H3106">
        <v>272.7</v>
      </c>
      <c r="I3106" t="s">
        <v>2354</v>
      </c>
    </row>
    <row r="3107" spans="1:9" x14ac:dyDescent="0.25">
      <c r="A3107" t="s">
        <v>220</v>
      </c>
      <c r="B3107" t="s">
        <v>2351</v>
      </c>
      <c r="C3107" t="s">
        <v>4790</v>
      </c>
      <c r="D3107" t="s">
        <v>4791</v>
      </c>
      <c r="F3107">
        <v>7</v>
      </c>
      <c r="G3107">
        <v>5.7065000000000001</v>
      </c>
      <c r="H3107">
        <v>39.945500000000003</v>
      </c>
      <c r="I3107" t="s">
        <v>2354</v>
      </c>
    </row>
    <row r="3108" spans="1:9" x14ac:dyDescent="0.25">
      <c r="A3108" t="s">
        <v>220</v>
      </c>
      <c r="B3108" t="s">
        <v>2351</v>
      </c>
      <c r="C3108" t="s">
        <v>5058</v>
      </c>
      <c r="D3108" t="s">
        <v>5059</v>
      </c>
      <c r="F3108">
        <v>780</v>
      </c>
      <c r="G3108">
        <v>2.282</v>
      </c>
      <c r="H3108">
        <v>1779.96</v>
      </c>
      <c r="I3108" t="s">
        <v>2354</v>
      </c>
    </row>
    <row r="3109" spans="1:9" x14ac:dyDescent="0.25">
      <c r="A3109" t="s">
        <v>220</v>
      </c>
      <c r="B3109" t="s">
        <v>2351</v>
      </c>
      <c r="C3109" t="s">
        <v>5096</v>
      </c>
      <c r="D3109" t="s">
        <v>5097</v>
      </c>
      <c r="F3109">
        <v>153</v>
      </c>
      <c r="G3109">
        <v>5.9085000000000001</v>
      </c>
      <c r="H3109">
        <v>904.00049999999999</v>
      </c>
      <c r="I3109" t="s">
        <v>2354</v>
      </c>
    </row>
    <row r="3110" spans="1:9" x14ac:dyDescent="0.25">
      <c r="A3110" t="s">
        <v>220</v>
      </c>
      <c r="B3110" t="s">
        <v>2351</v>
      </c>
      <c r="C3110" t="s">
        <v>5108</v>
      </c>
      <c r="D3110" t="s">
        <v>5109</v>
      </c>
      <c r="F3110">
        <v>35</v>
      </c>
      <c r="G3110">
        <v>0</v>
      </c>
      <c r="H3110">
        <v>0</v>
      </c>
      <c r="I3110" t="s">
        <v>2354</v>
      </c>
    </row>
    <row r="3111" spans="1:9" x14ac:dyDescent="0.25">
      <c r="A3111" t="s">
        <v>220</v>
      </c>
      <c r="B3111" t="s">
        <v>2351</v>
      </c>
      <c r="C3111" t="s">
        <v>5134</v>
      </c>
      <c r="D3111" t="s">
        <v>5135</v>
      </c>
      <c r="F3111">
        <v>93</v>
      </c>
      <c r="G3111">
        <v>0</v>
      </c>
      <c r="H3111">
        <v>0</v>
      </c>
      <c r="I3111" t="s">
        <v>2354</v>
      </c>
    </row>
    <row r="3112" spans="1:9" x14ac:dyDescent="0.25">
      <c r="A3112" t="s">
        <v>220</v>
      </c>
      <c r="B3112" t="s">
        <v>2351</v>
      </c>
      <c r="C3112" t="s">
        <v>5154</v>
      </c>
      <c r="D3112" t="s">
        <v>5155</v>
      </c>
      <c r="F3112">
        <v>34</v>
      </c>
      <c r="G3112">
        <v>6.2240000000000002</v>
      </c>
      <c r="H3112">
        <v>211.61600000000001</v>
      </c>
      <c r="I3112" t="s">
        <v>2354</v>
      </c>
    </row>
    <row r="3113" spans="1:9" x14ac:dyDescent="0.25">
      <c r="A3113" t="s">
        <v>220</v>
      </c>
      <c r="B3113" t="s">
        <v>2351</v>
      </c>
      <c r="C3113" t="s">
        <v>5170</v>
      </c>
      <c r="D3113" t="s">
        <v>5171</v>
      </c>
      <c r="F3113">
        <v>3</v>
      </c>
      <c r="G3113">
        <v>8.6292000000000009</v>
      </c>
      <c r="H3113">
        <v>25.887600000000003</v>
      </c>
      <c r="I3113" t="s">
        <v>2354</v>
      </c>
    </row>
    <row r="3114" spans="1:9" x14ac:dyDescent="0.25">
      <c r="A3114" t="s">
        <v>220</v>
      </c>
      <c r="B3114" t="s">
        <v>2351</v>
      </c>
      <c r="C3114" t="s">
        <v>5228</v>
      </c>
      <c r="D3114" t="s">
        <v>5229</v>
      </c>
      <c r="F3114">
        <v>12</v>
      </c>
      <c r="G3114">
        <v>11.5</v>
      </c>
      <c r="H3114">
        <v>138</v>
      </c>
      <c r="I3114" t="s">
        <v>2354</v>
      </c>
    </row>
    <row r="3115" spans="1:9" x14ac:dyDescent="0.25">
      <c r="A3115" t="s">
        <v>220</v>
      </c>
      <c r="B3115" t="s">
        <v>2351</v>
      </c>
      <c r="C3115" t="s">
        <v>5234</v>
      </c>
      <c r="D3115" t="s">
        <v>5235</v>
      </c>
      <c r="F3115">
        <v>1</v>
      </c>
      <c r="G3115">
        <v>17.940000000000001</v>
      </c>
      <c r="H3115">
        <v>17.940000000000001</v>
      </c>
      <c r="I3115" t="s">
        <v>2354</v>
      </c>
    </row>
    <row r="3116" spans="1:9" x14ac:dyDescent="0.25">
      <c r="A3116" t="s">
        <v>220</v>
      </c>
      <c r="B3116" t="s">
        <v>2351</v>
      </c>
      <c r="C3116" t="s">
        <v>5236</v>
      </c>
      <c r="D3116" t="s">
        <v>5237</v>
      </c>
      <c r="F3116">
        <v>1</v>
      </c>
      <c r="G3116">
        <v>158.625</v>
      </c>
      <c r="H3116">
        <v>158.625</v>
      </c>
      <c r="I3116" t="s">
        <v>2354</v>
      </c>
    </row>
    <row r="3117" spans="1:9" x14ac:dyDescent="0.25">
      <c r="A3117" t="s">
        <v>220</v>
      </c>
      <c r="B3117" t="s">
        <v>2351</v>
      </c>
      <c r="C3117" t="s">
        <v>5238</v>
      </c>
      <c r="D3117" t="s">
        <v>5239</v>
      </c>
      <c r="F3117">
        <v>8</v>
      </c>
      <c r="G3117">
        <v>1.6893</v>
      </c>
      <c r="H3117">
        <v>13.5144</v>
      </c>
      <c r="I3117" t="s">
        <v>2354</v>
      </c>
    </row>
    <row r="3118" spans="1:9" x14ac:dyDescent="0.25">
      <c r="A3118" t="s">
        <v>220</v>
      </c>
      <c r="B3118" t="s">
        <v>2351</v>
      </c>
      <c r="C3118" t="s">
        <v>5242</v>
      </c>
      <c r="D3118" t="s">
        <v>5243</v>
      </c>
      <c r="F3118">
        <v>2</v>
      </c>
      <c r="G3118">
        <v>25.6464</v>
      </c>
      <c r="H3118">
        <v>51.2928</v>
      </c>
      <c r="I3118" t="s">
        <v>2354</v>
      </c>
    </row>
    <row r="3119" spans="1:9" x14ac:dyDescent="0.25">
      <c r="A3119" t="s">
        <v>220</v>
      </c>
      <c r="B3119" t="s">
        <v>2351</v>
      </c>
      <c r="C3119" t="s">
        <v>5244</v>
      </c>
      <c r="D3119" t="s">
        <v>5245</v>
      </c>
      <c r="F3119">
        <v>12</v>
      </c>
      <c r="G3119">
        <v>11.8512</v>
      </c>
      <c r="H3119">
        <v>142.21440000000001</v>
      </c>
      <c r="I3119" t="s">
        <v>2354</v>
      </c>
    </row>
    <row r="3120" spans="1:9" x14ac:dyDescent="0.25">
      <c r="A3120" t="s">
        <v>220</v>
      </c>
      <c r="B3120" t="s">
        <v>2351</v>
      </c>
      <c r="C3120" t="s">
        <v>5252</v>
      </c>
      <c r="D3120" t="s">
        <v>5253</v>
      </c>
      <c r="F3120">
        <v>1</v>
      </c>
      <c r="G3120">
        <v>75.494450000000001</v>
      </c>
      <c r="H3120">
        <v>75.494450000000001</v>
      </c>
      <c r="I3120" t="s">
        <v>2354</v>
      </c>
    </row>
    <row r="3121" spans="1:9" x14ac:dyDescent="0.25">
      <c r="A3121" t="s">
        <v>220</v>
      </c>
      <c r="B3121" t="s">
        <v>2351</v>
      </c>
      <c r="C3121" t="s">
        <v>5262</v>
      </c>
      <c r="D3121" t="s">
        <v>5263</v>
      </c>
      <c r="F3121">
        <v>1</v>
      </c>
      <c r="G3121">
        <v>687.38800000000003</v>
      </c>
      <c r="H3121">
        <v>687.38800000000003</v>
      </c>
      <c r="I3121" t="s">
        <v>2354</v>
      </c>
    </row>
    <row r="3122" spans="1:9" x14ac:dyDescent="0.25">
      <c r="A3122" t="s">
        <v>220</v>
      </c>
      <c r="B3122" t="s">
        <v>2351</v>
      </c>
      <c r="C3122" t="s">
        <v>5264</v>
      </c>
      <c r="D3122" t="s">
        <v>5265</v>
      </c>
      <c r="F3122">
        <v>1</v>
      </c>
      <c r="G3122">
        <v>2788</v>
      </c>
      <c r="H3122">
        <v>2788</v>
      </c>
      <c r="I3122" t="s">
        <v>2354</v>
      </c>
    </row>
    <row r="3123" spans="1:9" x14ac:dyDescent="0.25">
      <c r="A3123" t="s">
        <v>220</v>
      </c>
      <c r="B3123" t="s">
        <v>2351</v>
      </c>
      <c r="C3123" t="s">
        <v>5266</v>
      </c>
      <c r="D3123" t="s">
        <v>5267</v>
      </c>
      <c r="F3123">
        <v>4</v>
      </c>
      <c r="G3123">
        <v>12.478999999999999</v>
      </c>
      <c r="H3123">
        <v>49.915999999999997</v>
      </c>
      <c r="I3123" t="s">
        <v>2354</v>
      </c>
    </row>
    <row r="3124" spans="1:9" x14ac:dyDescent="0.25">
      <c r="A3124" t="s">
        <v>220</v>
      </c>
      <c r="B3124" t="s">
        <v>2351</v>
      </c>
      <c r="C3124" t="s">
        <v>5268</v>
      </c>
      <c r="D3124" t="s">
        <v>5269</v>
      </c>
      <c r="F3124">
        <v>2</v>
      </c>
      <c r="G3124">
        <v>120</v>
      </c>
      <c r="H3124">
        <v>240</v>
      </c>
      <c r="I3124" t="s">
        <v>2354</v>
      </c>
    </row>
    <row r="3125" spans="1:9" x14ac:dyDescent="0.25">
      <c r="A3125" t="s">
        <v>220</v>
      </c>
      <c r="B3125" t="s">
        <v>2351</v>
      </c>
      <c r="C3125" t="s">
        <v>5270</v>
      </c>
      <c r="D3125" t="s">
        <v>5271</v>
      </c>
      <c r="F3125">
        <v>1</v>
      </c>
      <c r="G3125">
        <v>59.975999999999999</v>
      </c>
      <c r="H3125">
        <v>59.975999999999999</v>
      </c>
      <c r="I3125" t="s">
        <v>2354</v>
      </c>
    </row>
    <row r="3126" spans="1:9" x14ac:dyDescent="0.25">
      <c r="A3126" t="s">
        <v>220</v>
      </c>
      <c r="B3126" t="s">
        <v>2351</v>
      </c>
      <c r="C3126" t="s">
        <v>5303</v>
      </c>
      <c r="D3126" t="s">
        <v>5304</v>
      </c>
      <c r="F3126">
        <v>2</v>
      </c>
      <c r="G3126">
        <v>429.23430000000002</v>
      </c>
      <c r="H3126">
        <v>858.46860000000004</v>
      </c>
      <c r="I3126" t="s">
        <v>2354</v>
      </c>
    </row>
    <row r="3127" spans="1:9" x14ac:dyDescent="0.25">
      <c r="A3127" t="s">
        <v>220</v>
      </c>
      <c r="B3127" t="s">
        <v>2351</v>
      </c>
      <c r="C3127" t="s">
        <v>5305</v>
      </c>
      <c r="D3127" t="s">
        <v>8895</v>
      </c>
      <c r="F3127">
        <v>1</v>
      </c>
      <c r="G3127">
        <v>529.20000000000005</v>
      </c>
      <c r="H3127">
        <v>529.20000000000005</v>
      </c>
      <c r="I3127" t="s">
        <v>2354</v>
      </c>
    </row>
    <row r="3128" spans="1:9" x14ac:dyDescent="0.25">
      <c r="A3128" t="s">
        <v>220</v>
      </c>
      <c r="B3128" t="s">
        <v>2351</v>
      </c>
      <c r="C3128" t="s">
        <v>5307</v>
      </c>
      <c r="D3128" t="s">
        <v>5308</v>
      </c>
      <c r="F3128">
        <v>1</v>
      </c>
      <c r="G3128">
        <v>38.48715</v>
      </c>
      <c r="H3128">
        <v>38.48715</v>
      </c>
      <c r="I3128" t="s">
        <v>2354</v>
      </c>
    </row>
    <row r="3129" spans="1:9" x14ac:dyDescent="0.25">
      <c r="A3129" t="s">
        <v>220</v>
      </c>
      <c r="B3129" t="s">
        <v>2351</v>
      </c>
      <c r="C3129" t="s">
        <v>5396</v>
      </c>
      <c r="D3129" t="s">
        <v>5397</v>
      </c>
      <c r="F3129">
        <v>11</v>
      </c>
      <c r="G3129">
        <v>59.585000000000001</v>
      </c>
      <c r="H3129">
        <v>655.43500000000006</v>
      </c>
      <c r="I3129" t="s">
        <v>2354</v>
      </c>
    </row>
    <row r="3130" spans="1:9" x14ac:dyDescent="0.25">
      <c r="A3130" t="s">
        <v>220</v>
      </c>
      <c r="B3130" t="s">
        <v>2351</v>
      </c>
      <c r="D3130" t="s">
        <v>2443</v>
      </c>
      <c r="F3130">
        <v>2</v>
      </c>
      <c r="G3130">
        <v>215.5</v>
      </c>
      <c r="H3130">
        <v>431</v>
      </c>
      <c r="I3130" t="s">
        <v>2354</v>
      </c>
    </row>
    <row r="3131" spans="1:9" x14ac:dyDescent="0.25">
      <c r="A3131" t="s">
        <v>220</v>
      </c>
      <c r="B3131" t="s">
        <v>2351</v>
      </c>
      <c r="D3131" t="s">
        <v>2443</v>
      </c>
      <c r="F3131">
        <v>1</v>
      </c>
      <c r="G3131">
        <v>215.5</v>
      </c>
      <c r="H3131">
        <v>215.5</v>
      </c>
      <c r="I3131" t="s">
        <v>2354</v>
      </c>
    </row>
    <row r="3132" spans="1:9" x14ac:dyDescent="0.25">
      <c r="A3132" t="s">
        <v>220</v>
      </c>
      <c r="B3132" t="s">
        <v>2351</v>
      </c>
      <c r="C3132" t="s">
        <v>2417</v>
      </c>
      <c r="D3132" t="s">
        <v>2439</v>
      </c>
      <c r="F3132">
        <v>10</v>
      </c>
      <c r="G3132">
        <v>29.63</v>
      </c>
      <c r="H3132">
        <v>296.3</v>
      </c>
      <c r="I3132" t="s">
        <v>2354</v>
      </c>
    </row>
    <row r="3133" spans="1:9" x14ac:dyDescent="0.25">
      <c r="A3133" t="s">
        <v>220</v>
      </c>
      <c r="B3133" t="s">
        <v>2351</v>
      </c>
      <c r="C3133" t="s">
        <v>3229</v>
      </c>
      <c r="D3133" t="s">
        <v>3230</v>
      </c>
      <c r="F3133">
        <v>5</v>
      </c>
      <c r="G3133">
        <v>0.88700000000000001</v>
      </c>
      <c r="H3133">
        <v>4.4350000000000005</v>
      </c>
      <c r="I3133" t="s">
        <v>2354</v>
      </c>
    </row>
    <row r="3134" spans="1:9" x14ac:dyDescent="0.25">
      <c r="A3134" t="s">
        <v>220</v>
      </c>
      <c r="B3134" t="s">
        <v>2351</v>
      </c>
      <c r="C3134" t="s">
        <v>3231</v>
      </c>
      <c r="D3134" t="s">
        <v>3232</v>
      </c>
      <c r="F3134">
        <v>8</v>
      </c>
      <c r="G3134">
        <v>2.1303000000000001</v>
      </c>
      <c r="H3134">
        <v>17.042400000000001</v>
      </c>
      <c r="I3134" t="s">
        <v>2354</v>
      </c>
    </row>
    <row r="3135" spans="1:9" x14ac:dyDescent="0.25">
      <c r="A3135" t="s">
        <v>220</v>
      </c>
      <c r="B3135" t="s">
        <v>2351</v>
      </c>
      <c r="C3135" t="s">
        <v>3233</v>
      </c>
      <c r="D3135" t="s">
        <v>3234</v>
      </c>
      <c r="F3135">
        <v>3</v>
      </c>
      <c r="G3135">
        <v>3.5009999999999999</v>
      </c>
      <c r="H3135">
        <v>10.503</v>
      </c>
      <c r="I3135" t="s">
        <v>2354</v>
      </c>
    </row>
    <row r="3136" spans="1:9" x14ac:dyDescent="0.25">
      <c r="A3136" t="s">
        <v>220</v>
      </c>
      <c r="B3136" t="s">
        <v>2351</v>
      </c>
      <c r="C3136" t="s">
        <v>3235</v>
      </c>
      <c r="D3136" t="s">
        <v>3236</v>
      </c>
      <c r="F3136">
        <v>2</v>
      </c>
      <c r="G3136">
        <v>8.9250000000000007</v>
      </c>
      <c r="H3136">
        <v>17.850000000000001</v>
      </c>
      <c r="I3136" t="s">
        <v>2354</v>
      </c>
    </row>
    <row r="3137" spans="1:9" x14ac:dyDescent="0.25">
      <c r="A3137" t="s">
        <v>220</v>
      </c>
      <c r="B3137" t="s">
        <v>2351</v>
      </c>
      <c r="C3137" t="s">
        <v>3237</v>
      </c>
      <c r="D3137" t="s">
        <v>3238</v>
      </c>
      <c r="F3137">
        <v>6</v>
      </c>
      <c r="G3137">
        <v>45.576999999999998</v>
      </c>
      <c r="H3137">
        <v>273.46199999999999</v>
      </c>
      <c r="I3137" t="s">
        <v>2354</v>
      </c>
    </row>
    <row r="3138" spans="1:9" x14ac:dyDescent="0.25">
      <c r="A3138" t="s">
        <v>220</v>
      </c>
      <c r="B3138" t="s">
        <v>2351</v>
      </c>
      <c r="C3138" t="s">
        <v>3239</v>
      </c>
      <c r="D3138" t="s">
        <v>3240</v>
      </c>
      <c r="F3138">
        <v>1</v>
      </c>
      <c r="G3138">
        <v>88.346874999999983</v>
      </c>
      <c r="H3138">
        <v>88.346874999999983</v>
      </c>
      <c r="I3138" t="s">
        <v>2354</v>
      </c>
    </row>
    <row r="3139" spans="1:9" x14ac:dyDescent="0.25">
      <c r="A3139" t="s">
        <v>220</v>
      </c>
      <c r="B3139" t="s">
        <v>2351</v>
      </c>
      <c r="C3139" t="s">
        <v>3241</v>
      </c>
      <c r="D3139" t="s">
        <v>3242</v>
      </c>
      <c r="F3139">
        <v>2</v>
      </c>
      <c r="G3139">
        <v>84.96</v>
      </c>
      <c r="H3139">
        <v>169.92</v>
      </c>
      <c r="I3139" t="s">
        <v>2354</v>
      </c>
    </row>
    <row r="3140" spans="1:9" x14ac:dyDescent="0.25">
      <c r="A3140" t="s">
        <v>220</v>
      </c>
      <c r="B3140" t="s">
        <v>2351</v>
      </c>
      <c r="C3140" t="s">
        <v>3243</v>
      </c>
      <c r="D3140" t="s">
        <v>3244</v>
      </c>
      <c r="F3140">
        <v>1</v>
      </c>
      <c r="G3140">
        <v>38.771999999999998</v>
      </c>
      <c r="H3140">
        <v>38.771999999999998</v>
      </c>
      <c r="I3140" t="s">
        <v>2354</v>
      </c>
    </row>
    <row r="3141" spans="1:9" x14ac:dyDescent="0.25">
      <c r="A3141" t="s">
        <v>220</v>
      </c>
      <c r="B3141" t="s">
        <v>2351</v>
      </c>
      <c r="C3141" t="s">
        <v>3243</v>
      </c>
      <c r="D3141" t="s">
        <v>5334</v>
      </c>
      <c r="F3141">
        <v>2</v>
      </c>
      <c r="G3141">
        <v>38.771999999999998</v>
      </c>
      <c r="H3141">
        <v>77.543999999999997</v>
      </c>
      <c r="I3141" t="s">
        <v>2354</v>
      </c>
    </row>
    <row r="3142" spans="1:9" x14ac:dyDescent="0.25">
      <c r="A3142" t="s">
        <v>220</v>
      </c>
      <c r="B3142" t="s">
        <v>2351</v>
      </c>
      <c r="C3142" t="s">
        <v>3245</v>
      </c>
      <c r="D3142" t="s">
        <v>3246</v>
      </c>
      <c r="F3142">
        <v>6</v>
      </c>
      <c r="G3142">
        <v>15.0642</v>
      </c>
      <c r="H3142">
        <v>90.385199999999998</v>
      </c>
      <c r="I3142" t="s">
        <v>2354</v>
      </c>
    </row>
    <row r="3143" spans="1:9" x14ac:dyDescent="0.25">
      <c r="A3143" t="s">
        <v>220</v>
      </c>
      <c r="B3143" t="s">
        <v>2351</v>
      </c>
      <c r="C3143" t="s">
        <v>3247</v>
      </c>
      <c r="D3143" t="s">
        <v>3248</v>
      </c>
      <c r="F3143">
        <v>2</v>
      </c>
      <c r="G3143">
        <v>23.836500000000001</v>
      </c>
      <c r="H3143">
        <v>47.673000000000002</v>
      </c>
      <c r="I3143" t="s">
        <v>2354</v>
      </c>
    </row>
    <row r="3144" spans="1:9" x14ac:dyDescent="0.25">
      <c r="A3144" t="s">
        <v>220</v>
      </c>
      <c r="B3144" t="s">
        <v>2351</v>
      </c>
      <c r="C3144" t="s">
        <v>3249</v>
      </c>
      <c r="D3144" t="s">
        <v>3250</v>
      </c>
      <c r="F3144">
        <v>5</v>
      </c>
      <c r="G3144">
        <v>5.4981</v>
      </c>
      <c r="H3144">
        <v>27.490500000000001</v>
      </c>
      <c r="I3144" t="s">
        <v>2354</v>
      </c>
    </row>
    <row r="3145" spans="1:9" x14ac:dyDescent="0.25">
      <c r="A3145" t="s">
        <v>220</v>
      </c>
      <c r="B3145" t="s">
        <v>2351</v>
      </c>
      <c r="C3145" t="s">
        <v>3251</v>
      </c>
      <c r="D3145" t="s">
        <v>3252</v>
      </c>
      <c r="F3145">
        <v>7</v>
      </c>
      <c r="G3145">
        <v>3.3184</v>
      </c>
      <c r="H3145">
        <v>23.2288</v>
      </c>
      <c r="I3145" t="s">
        <v>2354</v>
      </c>
    </row>
    <row r="3146" spans="1:9" x14ac:dyDescent="0.25">
      <c r="A3146" t="s">
        <v>220</v>
      </c>
      <c r="B3146" t="s">
        <v>2351</v>
      </c>
      <c r="C3146" t="s">
        <v>3253</v>
      </c>
      <c r="D3146" t="s">
        <v>3254</v>
      </c>
      <c r="F3146">
        <v>40</v>
      </c>
      <c r="G3146">
        <v>0.58650000000000002</v>
      </c>
      <c r="H3146">
        <v>23.46</v>
      </c>
      <c r="I3146" t="s">
        <v>2354</v>
      </c>
    </row>
    <row r="3147" spans="1:9" x14ac:dyDescent="0.25">
      <c r="A3147" t="s">
        <v>220</v>
      </c>
      <c r="B3147" t="s">
        <v>2351</v>
      </c>
      <c r="C3147" t="s">
        <v>3255</v>
      </c>
      <c r="D3147" t="s">
        <v>3256</v>
      </c>
      <c r="F3147">
        <v>2</v>
      </c>
      <c r="G3147">
        <v>6.6790000000000003</v>
      </c>
      <c r="H3147">
        <v>13.358000000000001</v>
      </c>
      <c r="I3147" t="s">
        <v>2354</v>
      </c>
    </row>
    <row r="3148" spans="1:9" x14ac:dyDescent="0.25">
      <c r="A3148" t="s">
        <v>220</v>
      </c>
      <c r="B3148" t="s">
        <v>2351</v>
      </c>
      <c r="C3148" t="s">
        <v>5356</v>
      </c>
      <c r="D3148" t="s">
        <v>5357</v>
      </c>
      <c r="F3148">
        <v>1</v>
      </c>
      <c r="G3148">
        <v>13.747</v>
      </c>
      <c r="H3148">
        <v>13.747</v>
      </c>
      <c r="I3148" t="s">
        <v>2354</v>
      </c>
    </row>
    <row r="3149" spans="1:9" x14ac:dyDescent="0.25">
      <c r="A3149" t="s">
        <v>220</v>
      </c>
      <c r="B3149" t="s">
        <v>2351</v>
      </c>
      <c r="C3149" t="s">
        <v>3257</v>
      </c>
      <c r="D3149" t="s">
        <v>3258</v>
      </c>
      <c r="F3149">
        <v>2</v>
      </c>
      <c r="G3149">
        <v>13.855</v>
      </c>
      <c r="H3149">
        <v>27.71</v>
      </c>
      <c r="I3149" t="s">
        <v>2354</v>
      </c>
    </row>
    <row r="3150" spans="1:9" x14ac:dyDescent="0.25">
      <c r="A3150" t="s">
        <v>220</v>
      </c>
      <c r="B3150" t="s">
        <v>2351</v>
      </c>
      <c r="C3150" t="s">
        <v>3259</v>
      </c>
      <c r="D3150" t="s">
        <v>3260</v>
      </c>
      <c r="F3150">
        <v>2</v>
      </c>
      <c r="G3150">
        <v>22.513499999999997</v>
      </c>
      <c r="H3150">
        <v>45.026999999999994</v>
      </c>
      <c r="I3150" t="s">
        <v>2354</v>
      </c>
    </row>
    <row r="3151" spans="1:9" x14ac:dyDescent="0.25">
      <c r="A3151" t="s">
        <v>220</v>
      </c>
      <c r="B3151" t="s">
        <v>2351</v>
      </c>
      <c r="C3151" t="s">
        <v>3261</v>
      </c>
      <c r="D3151" t="s">
        <v>3262</v>
      </c>
      <c r="F3151">
        <v>11</v>
      </c>
      <c r="G3151">
        <v>3.7618799999999997</v>
      </c>
      <c r="H3151">
        <v>41.380679999999998</v>
      </c>
      <c r="I3151" t="s">
        <v>2354</v>
      </c>
    </row>
    <row r="3152" spans="1:9" x14ac:dyDescent="0.25">
      <c r="A3152" t="s">
        <v>220</v>
      </c>
      <c r="B3152" t="s">
        <v>2351</v>
      </c>
      <c r="C3152" t="s">
        <v>3263</v>
      </c>
      <c r="D3152" t="s">
        <v>3264</v>
      </c>
      <c r="F3152">
        <v>1</v>
      </c>
      <c r="G3152">
        <v>26.308</v>
      </c>
      <c r="H3152">
        <v>26.308</v>
      </c>
      <c r="I3152" t="s">
        <v>2354</v>
      </c>
    </row>
    <row r="3153" spans="1:9" x14ac:dyDescent="0.25">
      <c r="A3153" t="s">
        <v>220</v>
      </c>
      <c r="B3153" t="s">
        <v>2351</v>
      </c>
      <c r="C3153" t="s">
        <v>3265</v>
      </c>
      <c r="D3153" t="s">
        <v>3266</v>
      </c>
      <c r="F3153">
        <v>5</v>
      </c>
      <c r="G3153">
        <v>44.594999999999999</v>
      </c>
      <c r="H3153">
        <v>222.97499999999999</v>
      </c>
      <c r="I3153" t="s">
        <v>2354</v>
      </c>
    </row>
    <row r="3154" spans="1:9" x14ac:dyDescent="0.25">
      <c r="A3154" t="s">
        <v>220</v>
      </c>
      <c r="B3154" t="s">
        <v>2351</v>
      </c>
      <c r="C3154" t="s">
        <v>3267</v>
      </c>
      <c r="D3154" t="s">
        <v>3268</v>
      </c>
      <c r="F3154">
        <v>2</v>
      </c>
      <c r="G3154">
        <v>16.214741666666665</v>
      </c>
      <c r="H3154">
        <v>32.42948333333333</v>
      </c>
      <c r="I3154" t="s">
        <v>2354</v>
      </c>
    </row>
    <row r="3155" spans="1:9" x14ac:dyDescent="0.25">
      <c r="A3155" t="s">
        <v>220</v>
      </c>
      <c r="B3155" t="s">
        <v>2351</v>
      </c>
      <c r="C3155" t="s">
        <v>3269</v>
      </c>
      <c r="D3155" t="s">
        <v>3270</v>
      </c>
      <c r="F3155">
        <v>7</v>
      </c>
      <c r="G3155">
        <v>12.332700000000001</v>
      </c>
      <c r="H3155">
        <v>86.328900000000004</v>
      </c>
      <c r="I3155" t="s">
        <v>2354</v>
      </c>
    </row>
    <row r="3156" spans="1:9" x14ac:dyDescent="0.25">
      <c r="A3156" t="s">
        <v>220</v>
      </c>
      <c r="B3156" t="s">
        <v>2351</v>
      </c>
      <c r="C3156" t="s">
        <v>3273</v>
      </c>
      <c r="D3156" t="s">
        <v>3274</v>
      </c>
      <c r="F3156">
        <v>20</v>
      </c>
      <c r="G3156">
        <v>5.9912121212121212</v>
      </c>
      <c r="H3156">
        <v>119.82424242424243</v>
      </c>
      <c r="I3156" t="s">
        <v>2354</v>
      </c>
    </row>
    <row r="3157" spans="1:9" x14ac:dyDescent="0.25">
      <c r="A3157" t="s">
        <v>220</v>
      </c>
      <c r="B3157" t="s">
        <v>2351</v>
      </c>
      <c r="C3157" t="s">
        <v>3275</v>
      </c>
      <c r="D3157" t="s">
        <v>3276</v>
      </c>
      <c r="F3157">
        <v>15</v>
      </c>
      <c r="G3157">
        <v>0.83979999999999999</v>
      </c>
      <c r="H3157">
        <v>12.597</v>
      </c>
      <c r="I3157" t="s">
        <v>2354</v>
      </c>
    </row>
    <row r="3158" spans="1:9" x14ac:dyDescent="0.25">
      <c r="A3158" t="s">
        <v>220</v>
      </c>
      <c r="B3158" t="s">
        <v>2351</v>
      </c>
      <c r="C3158" t="s">
        <v>3277</v>
      </c>
      <c r="D3158" t="s">
        <v>3278</v>
      </c>
      <c r="F3158">
        <v>5</v>
      </c>
      <c r="G3158">
        <v>1.048</v>
      </c>
      <c r="H3158">
        <v>5.24</v>
      </c>
      <c r="I3158" t="s">
        <v>2354</v>
      </c>
    </row>
    <row r="3159" spans="1:9" x14ac:dyDescent="0.25">
      <c r="A3159" t="s">
        <v>220</v>
      </c>
      <c r="B3159" t="s">
        <v>2351</v>
      </c>
      <c r="C3159" t="s">
        <v>3279</v>
      </c>
      <c r="D3159" t="s">
        <v>3280</v>
      </c>
      <c r="F3159">
        <v>5</v>
      </c>
      <c r="G3159">
        <v>2.6389999999999998</v>
      </c>
      <c r="H3159">
        <v>13.194999999999999</v>
      </c>
      <c r="I3159" t="s">
        <v>2354</v>
      </c>
    </row>
    <row r="3160" spans="1:9" x14ac:dyDescent="0.25">
      <c r="A3160" t="s">
        <v>220</v>
      </c>
      <c r="B3160" t="s">
        <v>2351</v>
      </c>
      <c r="C3160" t="s">
        <v>3281</v>
      </c>
      <c r="D3160" t="s">
        <v>3282</v>
      </c>
      <c r="F3160">
        <v>2</v>
      </c>
      <c r="G3160">
        <v>4.6609999999999996</v>
      </c>
      <c r="H3160">
        <v>9.3219999999999992</v>
      </c>
      <c r="I3160" t="s">
        <v>2354</v>
      </c>
    </row>
    <row r="3161" spans="1:9" x14ac:dyDescent="0.25">
      <c r="A3161" t="s">
        <v>220</v>
      </c>
      <c r="B3161" t="s">
        <v>2351</v>
      </c>
      <c r="C3161" t="s">
        <v>3283</v>
      </c>
      <c r="D3161" t="s">
        <v>3284</v>
      </c>
      <c r="F3161">
        <v>4</v>
      </c>
      <c r="G3161">
        <v>4.1541066666666673</v>
      </c>
      <c r="H3161">
        <v>16.616426666666669</v>
      </c>
      <c r="I3161" t="s">
        <v>2354</v>
      </c>
    </row>
    <row r="3162" spans="1:9" x14ac:dyDescent="0.25">
      <c r="A3162" t="s">
        <v>220</v>
      </c>
      <c r="B3162" t="s">
        <v>2351</v>
      </c>
      <c r="C3162" t="s">
        <v>3285</v>
      </c>
      <c r="D3162" t="s">
        <v>3286</v>
      </c>
      <c r="F3162">
        <v>15</v>
      </c>
      <c r="G3162">
        <v>11.2506</v>
      </c>
      <c r="H3162">
        <v>168.75900000000001</v>
      </c>
      <c r="I3162" t="s">
        <v>2354</v>
      </c>
    </row>
    <row r="3163" spans="1:9" x14ac:dyDescent="0.25">
      <c r="A3163" t="s">
        <v>220</v>
      </c>
      <c r="B3163" t="s">
        <v>2351</v>
      </c>
      <c r="C3163" t="s">
        <v>3287</v>
      </c>
      <c r="D3163" t="s">
        <v>3288</v>
      </c>
      <c r="F3163">
        <v>5</v>
      </c>
      <c r="G3163">
        <v>9.2750000000000004</v>
      </c>
      <c r="H3163">
        <v>46.375</v>
      </c>
      <c r="I3163" t="s">
        <v>2354</v>
      </c>
    </row>
    <row r="3164" spans="1:9" x14ac:dyDescent="0.25">
      <c r="A3164" t="s">
        <v>220</v>
      </c>
      <c r="B3164" t="s">
        <v>2351</v>
      </c>
      <c r="C3164" t="s">
        <v>3289</v>
      </c>
      <c r="D3164" t="s">
        <v>3290</v>
      </c>
      <c r="F3164">
        <v>20</v>
      </c>
      <c r="G3164">
        <v>2.0020000000000002</v>
      </c>
      <c r="H3164">
        <v>40.040000000000006</v>
      </c>
      <c r="I3164" t="s">
        <v>2354</v>
      </c>
    </row>
    <row r="3165" spans="1:9" x14ac:dyDescent="0.25">
      <c r="A3165" t="s">
        <v>220</v>
      </c>
      <c r="B3165" t="s">
        <v>2351</v>
      </c>
      <c r="C3165" t="s">
        <v>3291</v>
      </c>
      <c r="D3165" t="s">
        <v>3292</v>
      </c>
      <c r="F3165">
        <v>1</v>
      </c>
      <c r="G3165">
        <v>4.2069999999999999</v>
      </c>
      <c r="H3165">
        <v>4.2069999999999999</v>
      </c>
      <c r="I3165" t="s">
        <v>2354</v>
      </c>
    </row>
    <row r="3166" spans="1:9" x14ac:dyDescent="0.25">
      <c r="A3166" t="s">
        <v>220</v>
      </c>
      <c r="B3166" t="s">
        <v>2351</v>
      </c>
      <c r="C3166" t="s">
        <v>3293</v>
      </c>
      <c r="D3166" t="s">
        <v>3294</v>
      </c>
      <c r="F3166">
        <v>13</v>
      </c>
      <c r="G3166">
        <v>1.105</v>
      </c>
      <c r="H3166">
        <v>14.365</v>
      </c>
      <c r="I3166" t="s">
        <v>2354</v>
      </c>
    </row>
    <row r="3167" spans="1:9" x14ac:dyDescent="0.25">
      <c r="A3167" t="s">
        <v>220</v>
      </c>
      <c r="B3167" t="s">
        <v>2351</v>
      </c>
      <c r="C3167" t="s">
        <v>3295</v>
      </c>
      <c r="D3167" t="s">
        <v>3296</v>
      </c>
      <c r="F3167">
        <v>5</v>
      </c>
      <c r="G3167">
        <v>3.3797142857142854</v>
      </c>
      <c r="H3167">
        <v>16.898571428571426</v>
      </c>
      <c r="I3167" t="s">
        <v>2354</v>
      </c>
    </row>
    <row r="3168" spans="1:9" x14ac:dyDescent="0.25">
      <c r="A3168" t="s">
        <v>220</v>
      </c>
      <c r="B3168" t="s">
        <v>2351</v>
      </c>
      <c r="C3168" t="s">
        <v>3297</v>
      </c>
      <c r="D3168" t="s">
        <v>3298</v>
      </c>
      <c r="F3168">
        <v>4</v>
      </c>
      <c r="G3168">
        <v>2.3119999999999998</v>
      </c>
      <c r="H3168">
        <v>9.2479999999999993</v>
      </c>
      <c r="I3168" t="s">
        <v>2354</v>
      </c>
    </row>
    <row r="3169" spans="1:9" x14ac:dyDescent="0.25">
      <c r="A3169" t="s">
        <v>220</v>
      </c>
      <c r="B3169" t="s">
        <v>2351</v>
      </c>
      <c r="C3169" t="s">
        <v>3299</v>
      </c>
      <c r="D3169" t="s">
        <v>3300</v>
      </c>
      <c r="F3169">
        <v>3</v>
      </c>
      <c r="G3169">
        <v>14.5512</v>
      </c>
      <c r="H3169">
        <v>43.653599999999997</v>
      </c>
      <c r="I3169" t="s">
        <v>2354</v>
      </c>
    </row>
    <row r="3170" spans="1:9" x14ac:dyDescent="0.25">
      <c r="A3170" t="s">
        <v>220</v>
      </c>
      <c r="B3170" t="s">
        <v>2351</v>
      </c>
      <c r="C3170" t="s">
        <v>3301</v>
      </c>
      <c r="D3170" t="s">
        <v>3302</v>
      </c>
      <c r="F3170">
        <v>3</v>
      </c>
      <c r="G3170">
        <v>20.162183333333335</v>
      </c>
      <c r="H3170">
        <v>60.486550000000008</v>
      </c>
      <c r="I3170" t="s">
        <v>2354</v>
      </c>
    </row>
    <row r="3171" spans="1:9" x14ac:dyDescent="0.25">
      <c r="A3171" t="s">
        <v>220</v>
      </c>
      <c r="B3171" t="s">
        <v>2351</v>
      </c>
      <c r="C3171" t="s">
        <v>3303</v>
      </c>
      <c r="D3171" t="s">
        <v>3304</v>
      </c>
      <c r="F3171">
        <v>5</v>
      </c>
      <c r="G3171">
        <v>6.5119999999999996</v>
      </c>
      <c r="H3171">
        <v>32.559999999999995</v>
      </c>
      <c r="I3171" t="s">
        <v>2354</v>
      </c>
    </row>
    <row r="3172" spans="1:9" x14ac:dyDescent="0.25">
      <c r="A3172" t="s">
        <v>220</v>
      </c>
      <c r="B3172" t="s">
        <v>2351</v>
      </c>
      <c r="C3172" t="s">
        <v>3305</v>
      </c>
      <c r="D3172" t="s">
        <v>3306</v>
      </c>
      <c r="F3172">
        <v>4</v>
      </c>
      <c r="G3172">
        <v>4.9580000000000002</v>
      </c>
      <c r="H3172">
        <v>19.832000000000001</v>
      </c>
      <c r="I3172" t="s">
        <v>2354</v>
      </c>
    </row>
    <row r="3173" spans="1:9" x14ac:dyDescent="0.25">
      <c r="A3173" t="s">
        <v>220</v>
      </c>
      <c r="B3173" t="s">
        <v>2351</v>
      </c>
      <c r="C3173" t="s">
        <v>3307</v>
      </c>
      <c r="D3173" t="s">
        <v>3308</v>
      </c>
      <c r="F3173">
        <v>1</v>
      </c>
      <c r="G3173">
        <v>4.6580000000000004</v>
      </c>
      <c r="H3173">
        <v>4.6580000000000004</v>
      </c>
      <c r="I3173" t="s">
        <v>2354</v>
      </c>
    </row>
    <row r="3174" spans="1:9" x14ac:dyDescent="0.25">
      <c r="A3174" t="s">
        <v>220</v>
      </c>
      <c r="B3174" t="s">
        <v>2351</v>
      </c>
      <c r="C3174" t="s">
        <v>3309</v>
      </c>
      <c r="D3174" t="s">
        <v>3310</v>
      </c>
      <c r="F3174">
        <v>4</v>
      </c>
      <c r="G3174">
        <v>31.043700000000001</v>
      </c>
      <c r="H3174">
        <v>124.1748</v>
      </c>
      <c r="I3174" t="s">
        <v>2354</v>
      </c>
    </row>
    <row r="3175" spans="1:9" x14ac:dyDescent="0.25">
      <c r="A3175" t="s">
        <v>220</v>
      </c>
      <c r="B3175" t="s">
        <v>2351</v>
      </c>
      <c r="C3175" t="s">
        <v>3311</v>
      </c>
      <c r="D3175" t="s">
        <v>3312</v>
      </c>
      <c r="F3175">
        <v>2</v>
      </c>
      <c r="G3175">
        <v>19.089300000000001</v>
      </c>
      <c r="H3175">
        <v>38.178600000000003</v>
      </c>
      <c r="I3175" t="s">
        <v>2354</v>
      </c>
    </row>
    <row r="3176" spans="1:9" x14ac:dyDescent="0.25">
      <c r="A3176" t="s">
        <v>220</v>
      </c>
      <c r="B3176" t="s">
        <v>2351</v>
      </c>
      <c r="C3176" t="s">
        <v>3313</v>
      </c>
      <c r="D3176" t="s">
        <v>3314</v>
      </c>
      <c r="F3176">
        <v>3</v>
      </c>
      <c r="G3176">
        <v>2.75</v>
      </c>
      <c r="H3176">
        <v>8.25</v>
      </c>
      <c r="I3176" t="s">
        <v>2354</v>
      </c>
    </row>
    <row r="3177" spans="1:9" x14ac:dyDescent="0.25">
      <c r="A3177" t="s">
        <v>220</v>
      </c>
      <c r="B3177" t="s">
        <v>2351</v>
      </c>
      <c r="C3177" t="s">
        <v>5337</v>
      </c>
      <c r="D3177" t="s">
        <v>5338</v>
      </c>
      <c r="F3177">
        <v>6</v>
      </c>
      <c r="G3177">
        <v>2.75</v>
      </c>
      <c r="H3177">
        <v>16.5</v>
      </c>
      <c r="I3177" t="s">
        <v>2354</v>
      </c>
    </row>
    <row r="3178" spans="1:9" x14ac:dyDescent="0.25">
      <c r="A3178" t="s">
        <v>220</v>
      </c>
      <c r="B3178" t="s">
        <v>2351</v>
      </c>
      <c r="C3178" t="s">
        <v>3315</v>
      </c>
      <c r="D3178" t="s">
        <v>3316</v>
      </c>
      <c r="F3178">
        <v>5</v>
      </c>
      <c r="G3178">
        <v>4.1684000000000001</v>
      </c>
      <c r="H3178">
        <v>20.841999999999999</v>
      </c>
      <c r="I3178" t="s">
        <v>2354</v>
      </c>
    </row>
    <row r="3179" spans="1:9" x14ac:dyDescent="0.25">
      <c r="A3179" t="s">
        <v>220</v>
      </c>
      <c r="B3179" t="s">
        <v>2351</v>
      </c>
      <c r="C3179" t="s">
        <v>3317</v>
      </c>
      <c r="D3179" t="s">
        <v>3318</v>
      </c>
      <c r="F3179">
        <v>3</v>
      </c>
      <c r="G3179">
        <v>1.464</v>
      </c>
      <c r="H3179">
        <v>4.3919999999999995</v>
      </c>
      <c r="I3179" t="s">
        <v>2354</v>
      </c>
    </row>
    <row r="3180" spans="1:9" x14ac:dyDescent="0.25">
      <c r="A3180" t="s">
        <v>220</v>
      </c>
      <c r="B3180" t="s">
        <v>2351</v>
      </c>
      <c r="C3180" t="s">
        <v>5339</v>
      </c>
      <c r="D3180" t="s">
        <v>5340</v>
      </c>
      <c r="F3180">
        <v>2</v>
      </c>
      <c r="G3180">
        <v>1.464</v>
      </c>
      <c r="H3180">
        <v>2.9279999999999999</v>
      </c>
      <c r="I3180" t="s">
        <v>2354</v>
      </c>
    </row>
    <row r="3181" spans="1:9" x14ac:dyDescent="0.25">
      <c r="A3181" t="s">
        <v>220</v>
      </c>
      <c r="B3181" t="s">
        <v>2351</v>
      </c>
      <c r="C3181" t="s">
        <v>3319</v>
      </c>
      <c r="D3181" t="s">
        <v>3320</v>
      </c>
      <c r="F3181">
        <v>8</v>
      </c>
      <c r="G3181">
        <v>1.171</v>
      </c>
      <c r="H3181">
        <v>9.3680000000000003</v>
      </c>
      <c r="I3181" t="s">
        <v>2354</v>
      </c>
    </row>
    <row r="3182" spans="1:9" x14ac:dyDescent="0.25">
      <c r="A3182" t="s">
        <v>220</v>
      </c>
      <c r="B3182" t="s">
        <v>2351</v>
      </c>
      <c r="C3182" t="s">
        <v>5309</v>
      </c>
      <c r="D3182" t="s">
        <v>5310</v>
      </c>
      <c r="F3182">
        <v>1</v>
      </c>
      <c r="G3182">
        <v>0.75700000000000001</v>
      </c>
      <c r="H3182">
        <v>0.75700000000000001</v>
      </c>
      <c r="I3182" t="s">
        <v>2354</v>
      </c>
    </row>
    <row r="3183" spans="1:9" x14ac:dyDescent="0.25">
      <c r="A3183" t="s">
        <v>220</v>
      </c>
      <c r="B3183" t="s">
        <v>2351</v>
      </c>
      <c r="C3183" t="s">
        <v>5335</v>
      </c>
      <c r="D3183" t="s">
        <v>5336</v>
      </c>
      <c r="F3183">
        <v>2</v>
      </c>
      <c r="G3183">
        <v>1.02</v>
      </c>
      <c r="H3183">
        <v>2.04</v>
      </c>
      <c r="I3183" t="s">
        <v>2354</v>
      </c>
    </row>
    <row r="3184" spans="1:9" x14ac:dyDescent="0.25">
      <c r="A3184" t="s">
        <v>220</v>
      </c>
      <c r="B3184" t="s">
        <v>2351</v>
      </c>
      <c r="C3184" t="s">
        <v>5358</v>
      </c>
      <c r="D3184" t="s">
        <v>5359</v>
      </c>
      <c r="F3184">
        <v>2</v>
      </c>
      <c r="G3184">
        <v>5.7290000000000001</v>
      </c>
      <c r="H3184">
        <v>11.458</v>
      </c>
      <c r="I3184" t="s">
        <v>2354</v>
      </c>
    </row>
    <row r="3185" spans="1:9" x14ac:dyDescent="0.25">
      <c r="A3185" t="s">
        <v>220</v>
      </c>
      <c r="B3185" t="s">
        <v>2351</v>
      </c>
      <c r="C3185" t="s">
        <v>3321</v>
      </c>
      <c r="D3185" t="s">
        <v>3322</v>
      </c>
      <c r="F3185">
        <v>53</v>
      </c>
      <c r="G3185">
        <v>0.18990909090909092</v>
      </c>
      <c r="H3185">
        <v>10.065181818181818</v>
      </c>
      <c r="I3185" t="s">
        <v>2354</v>
      </c>
    </row>
    <row r="3186" spans="1:9" x14ac:dyDescent="0.25">
      <c r="A3186" t="s">
        <v>220</v>
      </c>
      <c r="B3186" t="s">
        <v>2351</v>
      </c>
      <c r="C3186" t="s">
        <v>3323</v>
      </c>
      <c r="D3186" t="s">
        <v>3324</v>
      </c>
      <c r="F3186">
        <v>22</v>
      </c>
      <c r="G3186">
        <v>0.53843333333333332</v>
      </c>
      <c r="H3186">
        <v>11.845533333333332</v>
      </c>
      <c r="I3186" t="s">
        <v>2354</v>
      </c>
    </row>
    <row r="3187" spans="1:9" x14ac:dyDescent="0.25">
      <c r="A3187" t="s">
        <v>220</v>
      </c>
      <c r="B3187" t="s">
        <v>2351</v>
      </c>
      <c r="C3187" t="s">
        <v>3325</v>
      </c>
      <c r="D3187" t="s">
        <v>3326</v>
      </c>
      <c r="F3187">
        <v>56</v>
      </c>
      <c r="G3187">
        <v>0.28736</v>
      </c>
      <c r="H3187">
        <v>16.09216</v>
      </c>
      <c r="I3187" t="s">
        <v>2354</v>
      </c>
    </row>
    <row r="3188" spans="1:9" x14ac:dyDescent="0.25">
      <c r="A3188" t="s">
        <v>220</v>
      </c>
      <c r="B3188" t="s">
        <v>2351</v>
      </c>
      <c r="C3188" t="s">
        <v>3329</v>
      </c>
      <c r="D3188" t="s">
        <v>3330</v>
      </c>
      <c r="F3188">
        <v>15</v>
      </c>
      <c r="G3188">
        <v>0.65705000000000002</v>
      </c>
      <c r="H3188">
        <v>9.8557500000000005</v>
      </c>
      <c r="I3188" t="s">
        <v>2354</v>
      </c>
    </row>
    <row r="3189" spans="1:9" x14ac:dyDescent="0.25">
      <c r="A3189" t="s">
        <v>220</v>
      </c>
      <c r="B3189" t="s">
        <v>2351</v>
      </c>
      <c r="C3189" t="s">
        <v>3331</v>
      </c>
      <c r="D3189" t="s">
        <v>3332</v>
      </c>
      <c r="F3189">
        <v>3</v>
      </c>
      <c r="G3189">
        <v>3.9</v>
      </c>
      <c r="H3189">
        <v>11.7</v>
      </c>
      <c r="I3189" t="s">
        <v>2354</v>
      </c>
    </row>
    <row r="3190" spans="1:9" x14ac:dyDescent="0.25">
      <c r="A3190" t="s">
        <v>220</v>
      </c>
      <c r="B3190" t="s">
        <v>2351</v>
      </c>
      <c r="C3190" t="s">
        <v>3335</v>
      </c>
      <c r="D3190" t="s">
        <v>3336</v>
      </c>
      <c r="F3190">
        <v>16</v>
      </c>
      <c r="G3190">
        <v>0.30199999999999999</v>
      </c>
      <c r="H3190">
        <v>4.8319999999999999</v>
      </c>
      <c r="I3190" t="s">
        <v>2354</v>
      </c>
    </row>
    <row r="3191" spans="1:9" x14ac:dyDescent="0.25">
      <c r="A3191" t="s">
        <v>220</v>
      </c>
      <c r="B3191" t="s">
        <v>2351</v>
      </c>
      <c r="C3191" t="s">
        <v>3337</v>
      </c>
      <c r="D3191" t="s">
        <v>3338</v>
      </c>
      <c r="F3191">
        <v>25</v>
      </c>
      <c r="G3191">
        <v>1.4450000000000001</v>
      </c>
      <c r="H3191">
        <v>36.125</v>
      </c>
      <c r="I3191" t="s">
        <v>2354</v>
      </c>
    </row>
    <row r="3192" spans="1:9" x14ac:dyDescent="0.25">
      <c r="A3192" t="s">
        <v>220</v>
      </c>
      <c r="B3192" t="s">
        <v>2351</v>
      </c>
      <c r="C3192" t="s">
        <v>3339</v>
      </c>
      <c r="D3192" t="s">
        <v>3340</v>
      </c>
      <c r="F3192">
        <v>50</v>
      </c>
      <c r="G3192">
        <v>1.5419375000000002</v>
      </c>
      <c r="H3192">
        <v>77.096875000000011</v>
      </c>
      <c r="I3192" t="s">
        <v>2354</v>
      </c>
    </row>
    <row r="3193" spans="1:9" x14ac:dyDescent="0.25">
      <c r="A3193" t="s">
        <v>220</v>
      </c>
      <c r="B3193" t="s">
        <v>2351</v>
      </c>
      <c r="C3193" t="s">
        <v>3341</v>
      </c>
      <c r="D3193" t="s">
        <v>3342</v>
      </c>
      <c r="F3193">
        <v>20</v>
      </c>
      <c r="G3193">
        <v>1.5614499999999998</v>
      </c>
      <c r="H3193">
        <v>31.228999999999996</v>
      </c>
      <c r="I3193" t="s">
        <v>2354</v>
      </c>
    </row>
    <row r="3194" spans="1:9" x14ac:dyDescent="0.25">
      <c r="A3194" t="s">
        <v>220</v>
      </c>
      <c r="B3194" t="s">
        <v>2351</v>
      </c>
      <c r="C3194" t="s">
        <v>3343</v>
      </c>
      <c r="D3194" t="s">
        <v>3344</v>
      </c>
      <c r="F3194">
        <v>95</v>
      </c>
      <c r="G3194">
        <v>0.13932</v>
      </c>
      <c r="H3194">
        <v>13.2354</v>
      </c>
      <c r="I3194" t="s">
        <v>2354</v>
      </c>
    </row>
    <row r="3195" spans="1:9" x14ac:dyDescent="0.25">
      <c r="A3195" t="s">
        <v>220</v>
      </c>
      <c r="B3195" t="s">
        <v>2351</v>
      </c>
      <c r="C3195" t="s">
        <v>3345</v>
      </c>
      <c r="D3195" t="s">
        <v>3346</v>
      </c>
      <c r="F3195">
        <v>120</v>
      </c>
      <c r="G3195">
        <v>1.2929999999999999</v>
      </c>
      <c r="H3195">
        <v>155.16</v>
      </c>
      <c r="I3195" t="s">
        <v>2354</v>
      </c>
    </row>
    <row r="3196" spans="1:9" x14ac:dyDescent="0.25">
      <c r="A3196" t="s">
        <v>220</v>
      </c>
      <c r="B3196" t="s">
        <v>2351</v>
      </c>
      <c r="C3196" t="s">
        <v>3347</v>
      </c>
      <c r="D3196" t="s">
        <v>3348</v>
      </c>
      <c r="F3196">
        <v>5</v>
      </c>
      <c r="G3196">
        <v>4.0986000000000002</v>
      </c>
      <c r="H3196">
        <v>20.493000000000002</v>
      </c>
      <c r="I3196" t="s">
        <v>2354</v>
      </c>
    </row>
    <row r="3197" spans="1:9" x14ac:dyDescent="0.25">
      <c r="A3197" t="s">
        <v>220</v>
      </c>
      <c r="B3197" t="s">
        <v>2351</v>
      </c>
      <c r="C3197" t="s">
        <v>3349</v>
      </c>
      <c r="D3197" t="s">
        <v>3350</v>
      </c>
      <c r="F3197">
        <v>29</v>
      </c>
      <c r="G3197">
        <v>1.7324999999999997</v>
      </c>
      <c r="H3197">
        <v>50.242499999999993</v>
      </c>
      <c r="I3197" t="s">
        <v>2354</v>
      </c>
    </row>
    <row r="3198" spans="1:9" x14ac:dyDescent="0.25">
      <c r="A3198" t="s">
        <v>220</v>
      </c>
      <c r="B3198" t="s">
        <v>2351</v>
      </c>
      <c r="C3198" t="s">
        <v>3351</v>
      </c>
      <c r="D3198" t="s">
        <v>3352</v>
      </c>
      <c r="F3198">
        <v>10</v>
      </c>
      <c r="G3198">
        <v>10.1304</v>
      </c>
      <c r="H3198">
        <v>101.304</v>
      </c>
      <c r="I3198" t="s">
        <v>2354</v>
      </c>
    </row>
    <row r="3199" spans="1:9" x14ac:dyDescent="0.25">
      <c r="A3199" t="s">
        <v>220</v>
      </c>
      <c r="B3199" t="s">
        <v>2351</v>
      </c>
      <c r="C3199" t="s">
        <v>3353</v>
      </c>
      <c r="D3199" t="s">
        <v>3354</v>
      </c>
      <c r="F3199">
        <v>12</v>
      </c>
      <c r="G3199">
        <v>10.134</v>
      </c>
      <c r="H3199">
        <v>121.608</v>
      </c>
      <c r="I3199" t="s">
        <v>2354</v>
      </c>
    </row>
    <row r="3200" spans="1:9" x14ac:dyDescent="0.25">
      <c r="A3200" t="s">
        <v>220</v>
      </c>
      <c r="B3200" t="s">
        <v>2351</v>
      </c>
      <c r="C3200" t="s">
        <v>3355</v>
      </c>
      <c r="D3200" t="s">
        <v>3356</v>
      </c>
      <c r="F3200">
        <v>25</v>
      </c>
      <c r="G3200">
        <v>3.6414</v>
      </c>
      <c r="H3200">
        <v>91.034999999999997</v>
      </c>
      <c r="I3200" t="s">
        <v>2354</v>
      </c>
    </row>
    <row r="3201" spans="1:9" x14ac:dyDescent="0.25">
      <c r="A3201" t="s">
        <v>220</v>
      </c>
      <c r="B3201" t="s">
        <v>2351</v>
      </c>
      <c r="C3201" t="s">
        <v>3361</v>
      </c>
      <c r="D3201" t="s">
        <v>3362</v>
      </c>
      <c r="F3201">
        <v>52</v>
      </c>
      <c r="G3201">
        <v>6.2471578947368425</v>
      </c>
      <c r="H3201">
        <v>324.85221052631579</v>
      </c>
      <c r="I3201" t="s">
        <v>2354</v>
      </c>
    </row>
    <row r="3202" spans="1:9" x14ac:dyDescent="0.25">
      <c r="A3202" t="s">
        <v>220</v>
      </c>
      <c r="B3202" t="s">
        <v>2351</v>
      </c>
      <c r="C3202" t="s">
        <v>3363</v>
      </c>
      <c r="D3202" t="s">
        <v>3364</v>
      </c>
      <c r="F3202">
        <v>89</v>
      </c>
      <c r="G3202">
        <v>1.8508579999999999</v>
      </c>
      <c r="H3202">
        <v>164.72636199999999</v>
      </c>
      <c r="I3202" t="s">
        <v>2354</v>
      </c>
    </row>
    <row r="3203" spans="1:9" x14ac:dyDescent="0.25">
      <c r="A3203" t="s">
        <v>220</v>
      </c>
      <c r="B3203" t="s">
        <v>2351</v>
      </c>
      <c r="C3203" t="s">
        <v>3367</v>
      </c>
      <c r="D3203" t="s">
        <v>3368</v>
      </c>
      <c r="F3203">
        <v>6</v>
      </c>
      <c r="G3203">
        <v>7.95</v>
      </c>
      <c r="H3203">
        <v>47.7</v>
      </c>
      <c r="I3203" t="s">
        <v>2354</v>
      </c>
    </row>
    <row r="3204" spans="1:9" x14ac:dyDescent="0.25">
      <c r="A3204" t="s">
        <v>220</v>
      </c>
      <c r="B3204" t="s">
        <v>2351</v>
      </c>
      <c r="C3204" t="s">
        <v>3381</v>
      </c>
      <c r="D3204" t="s">
        <v>3382</v>
      </c>
      <c r="F3204">
        <v>6</v>
      </c>
      <c r="G3204">
        <v>2.3374999999999999</v>
      </c>
      <c r="H3204">
        <v>14.024999999999999</v>
      </c>
      <c r="I3204" t="s">
        <v>2354</v>
      </c>
    </row>
    <row r="3205" spans="1:9" x14ac:dyDescent="0.25">
      <c r="A3205" t="s">
        <v>220</v>
      </c>
      <c r="B3205" t="s">
        <v>2351</v>
      </c>
      <c r="C3205" t="s">
        <v>3383</v>
      </c>
      <c r="D3205" t="s">
        <v>3384</v>
      </c>
      <c r="F3205">
        <v>1</v>
      </c>
      <c r="G3205">
        <v>4.8330000000000002</v>
      </c>
      <c r="H3205">
        <v>4.8330000000000002</v>
      </c>
      <c r="I3205" t="s">
        <v>2354</v>
      </c>
    </row>
    <row r="3206" spans="1:9" x14ac:dyDescent="0.25">
      <c r="A3206" t="s">
        <v>220</v>
      </c>
      <c r="B3206" t="s">
        <v>2351</v>
      </c>
      <c r="C3206" t="s">
        <v>3385</v>
      </c>
      <c r="D3206" t="s">
        <v>3386</v>
      </c>
      <c r="F3206">
        <v>10</v>
      </c>
      <c r="G3206">
        <v>6.3577166666666658</v>
      </c>
      <c r="H3206">
        <v>63.577166666666656</v>
      </c>
      <c r="I3206" t="s">
        <v>2354</v>
      </c>
    </row>
    <row r="3207" spans="1:9" x14ac:dyDescent="0.25">
      <c r="A3207" t="s">
        <v>220</v>
      </c>
      <c r="B3207" t="s">
        <v>2351</v>
      </c>
      <c r="C3207" t="s">
        <v>3387</v>
      </c>
      <c r="D3207" t="s">
        <v>3388</v>
      </c>
      <c r="F3207">
        <v>5</v>
      </c>
      <c r="G3207">
        <v>8.1259999999999994</v>
      </c>
      <c r="H3207">
        <v>40.629999999999995</v>
      </c>
      <c r="I3207" t="s">
        <v>2354</v>
      </c>
    </row>
    <row r="3208" spans="1:9" x14ac:dyDescent="0.25">
      <c r="A3208" t="s">
        <v>220</v>
      </c>
      <c r="B3208" t="s">
        <v>2351</v>
      </c>
      <c r="C3208" t="s">
        <v>2365</v>
      </c>
      <c r="D3208" t="s">
        <v>2366</v>
      </c>
      <c r="F3208">
        <v>2</v>
      </c>
      <c r="G3208">
        <v>16.256</v>
      </c>
      <c r="H3208">
        <v>32.512</v>
      </c>
      <c r="I3208" t="s">
        <v>2354</v>
      </c>
    </row>
    <row r="3209" spans="1:9" x14ac:dyDescent="0.25">
      <c r="A3209" t="s">
        <v>220</v>
      </c>
      <c r="B3209" t="s">
        <v>2351</v>
      </c>
      <c r="C3209" t="s">
        <v>3389</v>
      </c>
      <c r="D3209" t="s">
        <v>3390</v>
      </c>
      <c r="F3209">
        <v>2</v>
      </c>
      <c r="G3209">
        <v>68.424999999999997</v>
      </c>
      <c r="H3209">
        <v>136.85</v>
      </c>
      <c r="I3209" t="s">
        <v>2354</v>
      </c>
    </row>
    <row r="3210" spans="1:9" x14ac:dyDescent="0.25">
      <c r="A3210" t="s">
        <v>220</v>
      </c>
      <c r="B3210" t="s">
        <v>2351</v>
      </c>
      <c r="C3210" t="s">
        <v>3391</v>
      </c>
      <c r="D3210" t="s">
        <v>3392</v>
      </c>
      <c r="F3210">
        <v>2</v>
      </c>
      <c r="G3210">
        <v>72.25</v>
      </c>
      <c r="H3210">
        <v>144.5</v>
      </c>
      <c r="I3210" t="s">
        <v>2354</v>
      </c>
    </row>
    <row r="3211" spans="1:9" x14ac:dyDescent="0.25">
      <c r="A3211" t="s">
        <v>220</v>
      </c>
      <c r="B3211" t="s">
        <v>2351</v>
      </c>
      <c r="C3211" t="s">
        <v>3393</v>
      </c>
      <c r="D3211" t="s">
        <v>3394</v>
      </c>
      <c r="F3211">
        <v>2</v>
      </c>
      <c r="G3211">
        <v>3.3359999999999999</v>
      </c>
      <c r="H3211">
        <v>6.6719999999999997</v>
      </c>
      <c r="I3211" t="s">
        <v>2354</v>
      </c>
    </row>
    <row r="3212" spans="1:9" x14ac:dyDescent="0.25">
      <c r="A3212" t="s">
        <v>220</v>
      </c>
      <c r="B3212" t="s">
        <v>2351</v>
      </c>
      <c r="C3212" t="s">
        <v>3395</v>
      </c>
      <c r="D3212" t="s">
        <v>3396</v>
      </c>
      <c r="F3212">
        <v>8</v>
      </c>
      <c r="G3212">
        <v>3.2725</v>
      </c>
      <c r="H3212">
        <v>26.18</v>
      </c>
      <c r="I3212" t="s">
        <v>2354</v>
      </c>
    </row>
    <row r="3213" spans="1:9" x14ac:dyDescent="0.25">
      <c r="A3213" t="s">
        <v>220</v>
      </c>
      <c r="B3213" t="s">
        <v>2351</v>
      </c>
      <c r="C3213" t="s">
        <v>3397</v>
      </c>
      <c r="D3213" t="s">
        <v>3398</v>
      </c>
      <c r="F3213">
        <v>4</v>
      </c>
      <c r="G3213">
        <v>2.6760000000000002</v>
      </c>
      <c r="H3213">
        <v>10.704000000000001</v>
      </c>
      <c r="I3213" t="s">
        <v>2354</v>
      </c>
    </row>
    <row r="3214" spans="1:9" x14ac:dyDescent="0.25">
      <c r="A3214" t="s">
        <v>220</v>
      </c>
      <c r="B3214" t="s">
        <v>2351</v>
      </c>
      <c r="C3214" t="s">
        <v>3399</v>
      </c>
      <c r="D3214" t="s">
        <v>3400</v>
      </c>
      <c r="F3214">
        <v>7</v>
      </c>
      <c r="G3214">
        <v>1.4670000000000001</v>
      </c>
      <c r="H3214">
        <v>10.269</v>
      </c>
      <c r="I3214" t="s">
        <v>2354</v>
      </c>
    </row>
    <row r="3215" spans="1:9" x14ac:dyDescent="0.25">
      <c r="A3215" t="s">
        <v>220</v>
      </c>
      <c r="B3215" t="s">
        <v>2351</v>
      </c>
      <c r="C3215" t="s">
        <v>3401</v>
      </c>
      <c r="D3215" t="s">
        <v>3402</v>
      </c>
      <c r="F3215">
        <v>6</v>
      </c>
      <c r="G3215">
        <v>2.7233999999999998</v>
      </c>
      <c r="H3215">
        <v>16.340399999999999</v>
      </c>
      <c r="I3215" t="s">
        <v>2354</v>
      </c>
    </row>
    <row r="3216" spans="1:9" x14ac:dyDescent="0.25">
      <c r="A3216" t="s">
        <v>220</v>
      </c>
      <c r="B3216" t="s">
        <v>2351</v>
      </c>
      <c r="C3216" t="s">
        <v>3465</v>
      </c>
      <c r="D3216" t="s">
        <v>3466</v>
      </c>
      <c r="F3216">
        <v>6</v>
      </c>
      <c r="G3216">
        <v>8.0640000000000001</v>
      </c>
      <c r="H3216">
        <v>48.384</v>
      </c>
      <c r="I3216" t="s">
        <v>2354</v>
      </c>
    </row>
    <row r="3217" spans="1:9" x14ac:dyDescent="0.25">
      <c r="A3217" t="s">
        <v>220</v>
      </c>
      <c r="B3217" t="s">
        <v>2351</v>
      </c>
      <c r="C3217" t="s">
        <v>3467</v>
      </c>
      <c r="D3217" t="s">
        <v>3468</v>
      </c>
      <c r="F3217">
        <v>15</v>
      </c>
      <c r="G3217">
        <v>2.0994999999999999</v>
      </c>
      <c r="H3217">
        <v>31.4925</v>
      </c>
      <c r="I3217" t="s">
        <v>2354</v>
      </c>
    </row>
    <row r="3218" spans="1:9" x14ac:dyDescent="0.25">
      <c r="A3218" t="s">
        <v>220</v>
      </c>
      <c r="B3218" t="s">
        <v>2351</v>
      </c>
      <c r="C3218" t="s">
        <v>3469</v>
      </c>
      <c r="D3218" t="s">
        <v>3470</v>
      </c>
      <c r="F3218">
        <v>5</v>
      </c>
      <c r="G3218">
        <v>3.2949999999999999</v>
      </c>
      <c r="H3218">
        <v>16.475000000000001</v>
      </c>
      <c r="I3218" t="s">
        <v>2354</v>
      </c>
    </row>
    <row r="3219" spans="1:9" x14ac:dyDescent="0.25">
      <c r="A3219" t="s">
        <v>220</v>
      </c>
      <c r="B3219" t="s">
        <v>2351</v>
      </c>
      <c r="C3219" t="s">
        <v>3471</v>
      </c>
      <c r="D3219" t="s">
        <v>3472</v>
      </c>
      <c r="F3219">
        <v>2</v>
      </c>
      <c r="G3219">
        <v>6.8440500000000002</v>
      </c>
      <c r="H3219">
        <v>13.6881</v>
      </c>
      <c r="I3219" t="s">
        <v>2354</v>
      </c>
    </row>
    <row r="3220" spans="1:9" x14ac:dyDescent="0.25">
      <c r="A3220" t="s">
        <v>220</v>
      </c>
      <c r="B3220" t="s">
        <v>2351</v>
      </c>
      <c r="C3220" t="s">
        <v>3473</v>
      </c>
      <c r="D3220" t="s">
        <v>3474</v>
      </c>
      <c r="F3220">
        <v>5</v>
      </c>
      <c r="G3220">
        <v>8.8757999999999999</v>
      </c>
      <c r="H3220">
        <v>44.378999999999998</v>
      </c>
      <c r="I3220" t="s">
        <v>2354</v>
      </c>
    </row>
    <row r="3221" spans="1:9" x14ac:dyDescent="0.25">
      <c r="A3221" t="s">
        <v>220</v>
      </c>
      <c r="B3221" t="s">
        <v>2351</v>
      </c>
      <c r="C3221" t="s">
        <v>3475</v>
      </c>
      <c r="D3221" t="s">
        <v>3476</v>
      </c>
      <c r="F3221">
        <v>9</v>
      </c>
      <c r="G3221">
        <v>1.9379999999999999</v>
      </c>
      <c r="H3221">
        <v>17.442</v>
      </c>
      <c r="I3221" t="s">
        <v>2354</v>
      </c>
    </row>
    <row r="3222" spans="1:9" x14ac:dyDescent="0.25">
      <c r="A3222" t="s">
        <v>220</v>
      </c>
      <c r="B3222" t="s">
        <v>2351</v>
      </c>
      <c r="C3222" t="s">
        <v>3477</v>
      </c>
      <c r="D3222" t="s">
        <v>3478</v>
      </c>
      <c r="F3222">
        <v>1</v>
      </c>
      <c r="G3222">
        <v>9.4499999999999993</v>
      </c>
      <c r="H3222">
        <v>9.4499999999999993</v>
      </c>
      <c r="I3222" t="s">
        <v>2354</v>
      </c>
    </row>
    <row r="3223" spans="1:9" x14ac:dyDescent="0.25">
      <c r="A3223" t="s">
        <v>220</v>
      </c>
      <c r="B3223" t="s">
        <v>2351</v>
      </c>
      <c r="C3223" t="s">
        <v>3479</v>
      </c>
      <c r="D3223" t="s">
        <v>3480</v>
      </c>
      <c r="F3223">
        <v>9</v>
      </c>
      <c r="G3223">
        <v>2.5865999999999998</v>
      </c>
      <c r="H3223">
        <v>23.279399999999999</v>
      </c>
      <c r="I3223" t="s">
        <v>2354</v>
      </c>
    </row>
    <row r="3224" spans="1:9" x14ac:dyDescent="0.25">
      <c r="A3224" t="s">
        <v>220</v>
      </c>
      <c r="B3224" t="s">
        <v>2351</v>
      </c>
      <c r="C3224" t="s">
        <v>3481</v>
      </c>
      <c r="D3224" t="s">
        <v>3482</v>
      </c>
      <c r="F3224">
        <v>3</v>
      </c>
      <c r="G3224">
        <v>16.520399999999999</v>
      </c>
      <c r="H3224">
        <v>49.561199999999999</v>
      </c>
      <c r="I3224" t="s">
        <v>2354</v>
      </c>
    </row>
    <row r="3225" spans="1:9" x14ac:dyDescent="0.25">
      <c r="A3225" t="s">
        <v>220</v>
      </c>
      <c r="B3225" t="s">
        <v>2351</v>
      </c>
      <c r="C3225" t="s">
        <v>3483</v>
      </c>
      <c r="D3225" t="s">
        <v>3484</v>
      </c>
      <c r="F3225">
        <v>3</v>
      </c>
      <c r="G3225">
        <v>4.3019999999999996</v>
      </c>
      <c r="H3225">
        <v>12.905999999999999</v>
      </c>
      <c r="I3225" t="s">
        <v>2354</v>
      </c>
    </row>
    <row r="3226" spans="1:9" x14ac:dyDescent="0.25">
      <c r="A3226" t="s">
        <v>220</v>
      </c>
      <c r="B3226" t="s">
        <v>2351</v>
      </c>
      <c r="C3226" t="s">
        <v>3485</v>
      </c>
      <c r="D3226" t="s">
        <v>3486</v>
      </c>
      <c r="F3226">
        <v>4</v>
      </c>
      <c r="G3226">
        <v>16.832000000000001</v>
      </c>
      <c r="H3226">
        <v>67.328000000000003</v>
      </c>
      <c r="I3226" t="s">
        <v>2354</v>
      </c>
    </row>
    <row r="3227" spans="1:9" x14ac:dyDescent="0.25">
      <c r="A3227" t="s">
        <v>220</v>
      </c>
      <c r="B3227" t="s">
        <v>2351</v>
      </c>
      <c r="C3227" t="s">
        <v>3487</v>
      </c>
      <c r="D3227" t="s">
        <v>3488</v>
      </c>
      <c r="F3227">
        <v>1</v>
      </c>
      <c r="G3227">
        <v>15.4819</v>
      </c>
      <c r="H3227">
        <v>15.4819</v>
      </c>
      <c r="I3227" t="s">
        <v>2354</v>
      </c>
    </row>
    <row r="3228" spans="1:9" x14ac:dyDescent="0.25">
      <c r="A3228" t="s">
        <v>220</v>
      </c>
      <c r="B3228" t="s">
        <v>2351</v>
      </c>
      <c r="C3228" t="s">
        <v>3489</v>
      </c>
      <c r="D3228" t="s">
        <v>3490</v>
      </c>
      <c r="F3228">
        <v>2</v>
      </c>
      <c r="G3228">
        <v>0.81430000000000002</v>
      </c>
      <c r="H3228">
        <v>1.6286</v>
      </c>
      <c r="I3228" t="s">
        <v>2354</v>
      </c>
    </row>
    <row r="3229" spans="1:9" x14ac:dyDescent="0.25">
      <c r="A3229" t="s">
        <v>220</v>
      </c>
      <c r="B3229" t="s">
        <v>2351</v>
      </c>
      <c r="C3229" t="s">
        <v>3491</v>
      </c>
      <c r="D3229" t="s">
        <v>3492</v>
      </c>
      <c r="F3229">
        <v>2</v>
      </c>
      <c r="G3229">
        <v>11.490237762237765</v>
      </c>
      <c r="H3229">
        <v>22.98047552447553</v>
      </c>
      <c r="I3229" t="s">
        <v>2354</v>
      </c>
    </row>
    <row r="3230" spans="1:9" x14ac:dyDescent="0.25">
      <c r="A3230" t="s">
        <v>220</v>
      </c>
      <c r="B3230" t="s">
        <v>2351</v>
      </c>
      <c r="C3230" t="s">
        <v>3491</v>
      </c>
      <c r="D3230" t="s">
        <v>5354</v>
      </c>
      <c r="F3230">
        <v>3</v>
      </c>
      <c r="G3230">
        <v>11.490237762237765</v>
      </c>
      <c r="H3230">
        <v>34.470713286713291</v>
      </c>
      <c r="I3230" t="s">
        <v>2354</v>
      </c>
    </row>
    <row r="3231" spans="1:9" x14ac:dyDescent="0.25">
      <c r="A3231" t="s">
        <v>220</v>
      </c>
      <c r="B3231" t="s">
        <v>2351</v>
      </c>
      <c r="C3231" t="s">
        <v>3493</v>
      </c>
      <c r="D3231" t="s">
        <v>3494</v>
      </c>
      <c r="F3231">
        <v>1</v>
      </c>
      <c r="G3231">
        <v>24.4375</v>
      </c>
      <c r="H3231">
        <v>24.4375</v>
      </c>
      <c r="I3231" t="s">
        <v>2354</v>
      </c>
    </row>
    <row r="3232" spans="1:9" x14ac:dyDescent="0.25">
      <c r="A3232" t="s">
        <v>220</v>
      </c>
      <c r="B3232" t="s">
        <v>2351</v>
      </c>
      <c r="C3232" t="s">
        <v>3495</v>
      </c>
      <c r="D3232" t="s">
        <v>3496</v>
      </c>
      <c r="F3232">
        <v>15</v>
      </c>
      <c r="G3232">
        <v>2.3460000000000001</v>
      </c>
      <c r="H3232">
        <v>35.19</v>
      </c>
      <c r="I3232" t="s">
        <v>2354</v>
      </c>
    </row>
    <row r="3233" spans="1:9" x14ac:dyDescent="0.25">
      <c r="A3233" t="s">
        <v>220</v>
      </c>
      <c r="B3233" t="s">
        <v>2351</v>
      </c>
      <c r="C3233" t="s">
        <v>3497</v>
      </c>
      <c r="D3233" t="s">
        <v>3498</v>
      </c>
      <c r="F3233">
        <v>2</v>
      </c>
      <c r="G3233">
        <v>8.5</v>
      </c>
      <c r="H3233">
        <v>17</v>
      </c>
      <c r="I3233" t="s">
        <v>2354</v>
      </c>
    </row>
    <row r="3234" spans="1:9" x14ac:dyDescent="0.25">
      <c r="A3234" t="s">
        <v>220</v>
      </c>
      <c r="B3234" t="s">
        <v>2351</v>
      </c>
      <c r="C3234" t="s">
        <v>3499</v>
      </c>
      <c r="D3234" t="s">
        <v>3500</v>
      </c>
      <c r="F3234">
        <v>5</v>
      </c>
      <c r="G3234">
        <v>3.7376999999999998</v>
      </c>
      <c r="H3234">
        <v>18.688499999999998</v>
      </c>
      <c r="I3234" t="s">
        <v>2354</v>
      </c>
    </row>
    <row r="3235" spans="1:9" x14ac:dyDescent="0.25">
      <c r="A3235" t="s">
        <v>220</v>
      </c>
      <c r="B3235" t="s">
        <v>2351</v>
      </c>
      <c r="C3235" t="s">
        <v>3501</v>
      </c>
      <c r="D3235" t="s">
        <v>3502</v>
      </c>
      <c r="F3235">
        <v>3</v>
      </c>
      <c r="G3235">
        <v>2.9015151515151514</v>
      </c>
      <c r="H3235">
        <v>8.7045454545454533</v>
      </c>
      <c r="I3235" t="s">
        <v>2354</v>
      </c>
    </row>
    <row r="3236" spans="1:9" x14ac:dyDescent="0.25">
      <c r="A3236" t="s">
        <v>220</v>
      </c>
      <c r="B3236" t="s">
        <v>2351</v>
      </c>
      <c r="C3236" t="s">
        <v>3503</v>
      </c>
      <c r="D3236" t="s">
        <v>3504</v>
      </c>
      <c r="F3236">
        <v>9</v>
      </c>
      <c r="G3236">
        <v>2.448</v>
      </c>
      <c r="H3236">
        <v>22.032</v>
      </c>
      <c r="I3236" t="s">
        <v>2354</v>
      </c>
    </row>
    <row r="3237" spans="1:9" x14ac:dyDescent="0.25">
      <c r="A3237" t="s">
        <v>220</v>
      </c>
      <c r="B3237" t="s">
        <v>2351</v>
      </c>
      <c r="C3237" t="s">
        <v>3505</v>
      </c>
      <c r="D3237" t="s">
        <v>3506</v>
      </c>
      <c r="F3237">
        <v>1</v>
      </c>
      <c r="G3237">
        <v>11.22</v>
      </c>
      <c r="H3237">
        <v>11.22</v>
      </c>
      <c r="I3237" t="s">
        <v>2354</v>
      </c>
    </row>
    <row r="3238" spans="1:9" x14ac:dyDescent="0.25">
      <c r="A3238" t="s">
        <v>220</v>
      </c>
      <c r="B3238" t="s">
        <v>2351</v>
      </c>
      <c r="C3238" t="s">
        <v>3507</v>
      </c>
      <c r="D3238" t="s">
        <v>3508</v>
      </c>
      <c r="F3238">
        <v>2</v>
      </c>
      <c r="G3238">
        <v>8.8308</v>
      </c>
      <c r="H3238">
        <v>17.6616</v>
      </c>
      <c r="I3238" t="s">
        <v>2354</v>
      </c>
    </row>
    <row r="3239" spans="1:9" x14ac:dyDescent="0.25">
      <c r="A3239" t="s">
        <v>220</v>
      </c>
      <c r="B3239" t="s">
        <v>2351</v>
      </c>
      <c r="C3239" t="s">
        <v>3509</v>
      </c>
      <c r="D3239" t="s">
        <v>3510</v>
      </c>
      <c r="F3239">
        <v>1</v>
      </c>
      <c r="G3239">
        <v>37.822742857142863</v>
      </c>
      <c r="H3239">
        <v>37.822742857142863</v>
      </c>
      <c r="I3239" t="s">
        <v>2354</v>
      </c>
    </row>
    <row r="3240" spans="1:9" x14ac:dyDescent="0.25">
      <c r="A3240" t="s">
        <v>220</v>
      </c>
      <c r="B3240" t="s">
        <v>2351</v>
      </c>
      <c r="C3240" t="s">
        <v>3511</v>
      </c>
      <c r="D3240" t="s">
        <v>3512</v>
      </c>
      <c r="F3240">
        <v>1</v>
      </c>
      <c r="G3240">
        <v>40.950000000000003</v>
      </c>
      <c r="H3240">
        <v>40.950000000000003</v>
      </c>
      <c r="I3240" t="s">
        <v>2354</v>
      </c>
    </row>
    <row r="3241" spans="1:9" x14ac:dyDescent="0.25">
      <c r="A3241" t="s">
        <v>220</v>
      </c>
      <c r="B3241" t="s">
        <v>2351</v>
      </c>
      <c r="C3241" t="s">
        <v>3513</v>
      </c>
      <c r="D3241" t="s">
        <v>3514</v>
      </c>
      <c r="F3241">
        <v>2</v>
      </c>
      <c r="G3241">
        <v>2.7709999999999999</v>
      </c>
      <c r="H3241">
        <v>5.5419999999999998</v>
      </c>
      <c r="I3241" t="s">
        <v>2354</v>
      </c>
    </row>
    <row r="3242" spans="1:9" x14ac:dyDescent="0.25">
      <c r="A3242" t="s">
        <v>220</v>
      </c>
      <c r="B3242" t="s">
        <v>2351</v>
      </c>
      <c r="C3242" t="s">
        <v>3515</v>
      </c>
      <c r="D3242" t="s">
        <v>3516</v>
      </c>
      <c r="F3242">
        <v>2</v>
      </c>
      <c r="G3242">
        <v>16.531649999999999</v>
      </c>
      <c r="H3242">
        <v>33.063299999999998</v>
      </c>
      <c r="I3242" t="s">
        <v>2354</v>
      </c>
    </row>
    <row r="3243" spans="1:9" x14ac:dyDescent="0.25">
      <c r="A3243" t="s">
        <v>220</v>
      </c>
      <c r="B3243" t="s">
        <v>2351</v>
      </c>
      <c r="C3243" t="s">
        <v>3517</v>
      </c>
      <c r="D3243" t="s">
        <v>3518</v>
      </c>
      <c r="F3243">
        <v>12</v>
      </c>
      <c r="G3243">
        <v>2.0655000000000001</v>
      </c>
      <c r="H3243">
        <v>24.786000000000001</v>
      </c>
      <c r="I3243" t="s">
        <v>2354</v>
      </c>
    </row>
    <row r="3244" spans="1:9" x14ac:dyDescent="0.25">
      <c r="A3244" t="s">
        <v>220</v>
      </c>
      <c r="B3244" t="s">
        <v>2351</v>
      </c>
      <c r="C3244" t="s">
        <v>3519</v>
      </c>
      <c r="D3244" t="s">
        <v>3520</v>
      </c>
      <c r="F3244">
        <v>2</v>
      </c>
      <c r="G3244">
        <v>2.1383999999999999</v>
      </c>
      <c r="H3244">
        <v>4.2767999999999997</v>
      </c>
      <c r="I3244" t="s">
        <v>2354</v>
      </c>
    </row>
    <row r="3245" spans="1:9" x14ac:dyDescent="0.25">
      <c r="A3245" t="s">
        <v>220</v>
      </c>
      <c r="B3245" t="s">
        <v>2351</v>
      </c>
      <c r="C3245" t="s">
        <v>3521</v>
      </c>
      <c r="D3245" t="s">
        <v>3522</v>
      </c>
      <c r="F3245">
        <v>7</v>
      </c>
      <c r="G3245">
        <v>4.0460000000000003</v>
      </c>
      <c r="H3245">
        <v>28.322000000000003</v>
      </c>
      <c r="I3245" t="s">
        <v>2354</v>
      </c>
    </row>
    <row r="3246" spans="1:9" x14ac:dyDescent="0.25">
      <c r="A3246" t="s">
        <v>220</v>
      </c>
      <c r="B3246" t="s">
        <v>2351</v>
      </c>
      <c r="C3246" t="s">
        <v>3523</v>
      </c>
      <c r="D3246" t="s">
        <v>3524</v>
      </c>
      <c r="F3246">
        <v>12</v>
      </c>
      <c r="G3246">
        <v>1.153</v>
      </c>
      <c r="H3246">
        <v>13.836</v>
      </c>
      <c r="I3246" t="s">
        <v>2354</v>
      </c>
    </row>
    <row r="3247" spans="1:9" x14ac:dyDescent="0.25">
      <c r="A3247" t="s">
        <v>220</v>
      </c>
      <c r="B3247" t="s">
        <v>2351</v>
      </c>
      <c r="C3247" t="s">
        <v>3525</v>
      </c>
      <c r="D3247" t="s">
        <v>3526</v>
      </c>
      <c r="F3247">
        <v>7</v>
      </c>
      <c r="G3247">
        <v>0.8075</v>
      </c>
      <c r="H3247">
        <v>5.6524999999999999</v>
      </c>
      <c r="I3247" t="s">
        <v>2354</v>
      </c>
    </row>
    <row r="3248" spans="1:9" x14ac:dyDescent="0.25">
      <c r="A3248" t="s">
        <v>220</v>
      </c>
      <c r="B3248" t="s">
        <v>2351</v>
      </c>
      <c r="C3248" t="s">
        <v>3527</v>
      </c>
      <c r="D3248" t="s">
        <v>3528</v>
      </c>
      <c r="F3248">
        <v>2</v>
      </c>
      <c r="G3248">
        <v>1.0250999999999999</v>
      </c>
      <c r="H3248">
        <v>2.0501999999999998</v>
      </c>
      <c r="I3248" t="s">
        <v>2354</v>
      </c>
    </row>
    <row r="3249" spans="1:9" x14ac:dyDescent="0.25">
      <c r="A3249" t="s">
        <v>220</v>
      </c>
      <c r="B3249" t="s">
        <v>2351</v>
      </c>
      <c r="C3249" t="s">
        <v>2367</v>
      </c>
      <c r="D3249" t="s">
        <v>2368</v>
      </c>
      <c r="F3249">
        <v>6</v>
      </c>
      <c r="G3249">
        <v>1.78</v>
      </c>
      <c r="H3249">
        <v>10.68</v>
      </c>
      <c r="I3249" t="s">
        <v>2354</v>
      </c>
    </row>
    <row r="3250" spans="1:9" x14ac:dyDescent="0.25">
      <c r="A3250" t="s">
        <v>220</v>
      </c>
      <c r="B3250" t="s">
        <v>2351</v>
      </c>
      <c r="C3250" t="s">
        <v>3529</v>
      </c>
      <c r="D3250" t="s">
        <v>3530</v>
      </c>
      <c r="F3250">
        <v>6</v>
      </c>
      <c r="G3250">
        <v>3.103017857142857</v>
      </c>
      <c r="H3250">
        <v>18.618107142857141</v>
      </c>
      <c r="I3250" t="s">
        <v>2354</v>
      </c>
    </row>
    <row r="3251" spans="1:9" x14ac:dyDescent="0.25">
      <c r="A3251" t="s">
        <v>220</v>
      </c>
      <c r="B3251" t="s">
        <v>2351</v>
      </c>
      <c r="C3251" t="s">
        <v>3531</v>
      </c>
      <c r="D3251" t="s">
        <v>3532</v>
      </c>
      <c r="F3251">
        <v>39</v>
      </c>
      <c r="G3251">
        <v>0.63154999999999994</v>
      </c>
      <c r="H3251">
        <v>24.630449999999996</v>
      </c>
      <c r="I3251" t="s">
        <v>2354</v>
      </c>
    </row>
    <row r="3252" spans="1:9" x14ac:dyDescent="0.25">
      <c r="A3252" t="s">
        <v>220</v>
      </c>
      <c r="B3252" t="s">
        <v>2351</v>
      </c>
      <c r="C3252" t="s">
        <v>3533</v>
      </c>
      <c r="D3252" t="s">
        <v>3534</v>
      </c>
      <c r="F3252">
        <v>1</v>
      </c>
      <c r="G3252">
        <v>2.3913333333333338</v>
      </c>
      <c r="H3252">
        <v>2.3913333333333338</v>
      </c>
      <c r="I3252" t="s">
        <v>2354</v>
      </c>
    </row>
    <row r="3253" spans="1:9" x14ac:dyDescent="0.25">
      <c r="A3253" t="s">
        <v>220</v>
      </c>
      <c r="B3253" t="s">
        <v>2351</v>
      </c>
      <c r="C3253" t="s">
        <v>3535</v>
      </c>
      <c r="D3253" t="s">
        <v>3536</v>
      </c>
      <c r="F3253">
        <v>34</v>
      </c>
      <c r="G3253">
        <v>6.7829999999999995</v>
      </c>
      <c r="H3253">
        <v>230.62199999999999</v>
      </c>
      <c r="I3253" t="s">
        <v>2354</v>
      </c>
    </row>
    <row r="3254" spans="1:9" x14ac:dyDescent="0.25">
      <c r="A3254" t="s">
        <v>220</v>
      </c>
      <c r="B3254" t="s">
        <v>2351</v>
      </c>
      <c r="C3254" t="s">
        <v>5323</v>
      </c>
      <c r="D3254" t="s">
        <v>5324</v>
      </c>
      <c r="F3254">
        <v>2</v>
      </c>
      <c r="G3254">
        <v>19.437000000000001</v>
      </c>
      <c r="H3254">
        <v>38.874000000000002</v>
      </c>
      <c r="I3254" t="s">
        <v>2354</v>
      </c>
    </row>
    <row r="3255" spans="1:9" x14ac:dyDescent="0.25">
      <c r="A3255" t="s">
        <v>220</v>
      </c>
      <c r="B3255" t="s">
        <v>2351</v>
      </c>
      <c r="C3255" t="s">
        <v>3537</v>
      </c>
      <c r="D3255" t="s">
        <v>3538</v>
      </c>
      <c r="F3255">
        <v>2</v>
      </c>
      <c r="G3255">
        <v>9.9719999999999995</v>
      </c>
      <c r="H3255">
        <v>19.943999999999999</v>
      </c>
      <c r="I3255" t="s">
        <v>2354</v>
      </c>
    </row>
    <row r="3256" spans="1:9" x14ac:dyDescent="0.25">
      <c r="A3256" t="s">
        <v>220</v>
      </c>
      <c r="B3256" t="s">
        <v>2351</v>
      </c>
      <c r="C3256" t="s">
        <v>3539</v>
      </c>
      <c r="D3256" t="s">
        <v>3540</v>
      </c>
      <c r="F3256">
        <v>5</v>
      </c>
      <c r="G3256">
        <v>11.917</v>
      </c>
      <c r="H3256">
        <v>59.585000000000001</v>
      </c>
      <c r="I3256" t="s">
        <v>2354</v>
      </c>
    </row>
    <row r="3257" spans="1:9" x14ac:dyDescent="0.25">
      <c r="A3257" t="s">
        <v>220</v>
      </c>
      <c r="B3257" t="s">
        <v>2351</v>
      </c>
      <c r="C3257" t="s">
        <v>3541</v>
      </c>
      <c r="D3257" t="s">
        <v>3542</v>
      </c>
      <c r="F3257">
        <v>4</v>
      </c>
      <c r="G3257">
        <v>3.2937500000000002</v>
      </c>
      <c r="H3257">
        <v>13.175000000000001</v>
      </c>
      <c r="I3257" t="s">
        <v>2354</v>
      </c>
    </row>
    <row r="3258" spans="1:9" x14ac:dyDescent="0.25">
      <c r="A3258" t="s">
        <v>220</v>
      </c>
      <c r="B3258" t="s">
        <v>2351</v>
      </c>
      <c r="C3258" t="s">
        <v>3601</v>
      </c>
      <c r="D3258" t="s">
        <v>3602</v>
      </c>
      <c r="F3258">
        <v>2</v>
      </c>
      <c r="G3258">
        <v>8.75</v>
      </c>
      <c r="H3258">
        <v>17.5</v>
      </c>
      <c r="I3258" t="s">
        <v>2354</v>
      </c>
    </row>
    <row r="3259" spans="1:9" x14ac:dyDescent="0.25">
      <c r="A3259" t="s">
        <v>220</v>
      </c>
      <c r="B3259" t="s">
        <v>2351</v>
      </c>
      <c r="C3259" t="s">
        <v>3607</v>
      </c>
      <c r="D3259" t="s">
        <v>3608</v>
      </c>
      <c r="F3259">
        <v>6</v>
      </c>
      <c r="G3259">
        <v>14.757300000000001</v>
      </c>
      <c r="H3259">
        <v>88.543800000000005</v>
      </c>
      <c r="I3259" t="s">
        <v>2354</v>
      </c>
    </row>
    <row r="3260" spans="1:9" x14ac:dyDescent="0.25">
      <c r="A3260" t="s">
        <v>220</v>
      </c>
      <c r="B3260" t="s">
        <v>2351</v>
      </c>
      <c r="C3260" t="s">
        <v>5327</v>
      </c>
      <c r="D3260" t="s">
        <v>5328</v>
      </c>
      <c r="F3260">
        <v>3</v>
      </c>
      <c r="G3260">
        <v>3.8759999999999999</v>
      </c>
      <c r="H3260">
        <v>11.628</v>
      </c>
      <c r="I3260" t="s">
        <v>2354</v>
      </c>
    </row>
    <row r="3261" spans="1:9" x14ac:dyDescent="0.25">
      <c r="A3261" t="s">
        <v>220</v>
      </c>
      <c r="B3261" t="s">
        <v>2351</v>
      </c>
      <c r="C3261" t="s">
        <v>5325</v>
      </c>
      <c r="D3261" t="s">
        <v>5326</v>
      </c>
      <c r="F3261">
        <v>4</v>
      </c>
      <c r="G3261">
        <v>5.0270000000000001</v>
      </c>
      <c r="H3261">
        <v>20.108000000000001</v>
      </c>
      <c r="I3261" t="s">
        <v>2354</v>
      </c>
    </row>
    <row r="3262" spans="1:9" x14ac:dyDescent="0.25">
      <c r="A3262" t="s">
        <v>220</v>
      </c>
      <c r="B3262" t="s">
        <v>2351</v>
      </c>
      <c r="C3262" t="s">
        <v>5364</v>
      </c>
      <c r="D3262" t="s">
        <v>5365</v>
      </c>
      <c r="F3262">
        <v>1</v>
      </c>
      <c r="G3262">
        <v>3.774</v>
      </c>
      <c r="H3262">
        <v>3.774</v>
      </c>
      <c r="I3262" t="s">
        <v>2354</v>
      </c>
    </row>
    <row r="3263" spans="1:9" x14ac:dyDescent="0.25">
      <c r="A3263" t="s">
        <v>220</v>
      </c>
      <c r="B3263" t="s">
        <v>2351</v>
      </c>
      <c r="C3263" t="s">
        <v>3657</v>
      </c>
      <c r="D3263" t="s">
        <v>3658</v>
      </c>
      <c r="F3263">
        <v>1</v>
      </c>
      <c r="G3263">
        <v>6.2409999999999997</v>
      </c>
      <c r="H3263">
        <v>6.2409999999999997</v>
      </c>
      <c r="I3263" t="s">
        <v>2354</v>
      </c>
    </row>
    <row r="3264" spans="1:9" x14ac:dyDescent="0.25">
      <c r="A3264" t="s">
        <v>220</v>
      </c>
      <c r="B3264" t="s">
        <v>2351</v>
      </c>
      <c r="C3264" t="s">
        <v>3659</v>
      </c>
      <c r="D3264" t="s">
        <v>3660</v>
      </c>
      <c r="F3264">
        <v>6</v>
      </c>
      <c r="G3264">
        <v>3.032</v>
      </c>
      <c r="H3264">
        <v>18.192</v>
      </c>
      <c r="I3264" t="s">
        <v>2354</v>
      </c>
    </row>
    <row r="3265" spans="1:9" x14ac:dyDescent="0.25">
      <c r="A3265" t="s">
        <v>220</v>
      </c>
      <c r="B3265" t="s">
        <v>2351</v>
      </c>
      <c r="C3265" t="s">
        <v>3661</v>
      </c>
      <c r="D3265" t="s">
        <v>3662</v>
      </c>
      <c r="F3265">
        <v>1</v>
      </c>
      <c r="G3265">
        <v>2.9</v>
      </c>
      <c r="H3265">
        <v>2.9</v>
      </c>
      <c r="I3265" t="s">
        <v>2354</v>
      </c>
    </row>
    <row r="3266" spans="1:9" x14ac:dyDescent="0.25">
      <c r="A3266" t="s">
        <v>220</v>
      </c>
      <c r="B3266" t="s">
        <v>2351</v>
      </c>
      <c r="C3266" t="s">
        <v>3663</v>
      </c>
      <c r="D3266" t="s">
        <v>3664</v>
      </c>
      <c r="F3266">
        <v>1</v>
      </c>
      <c r="G3266">
        <v>2.17</v>
      </c>
      <c r="H3266">
        <v>2.17</v>
      </c>
      <c r="I3266" t="s">
        <v>2354</v>
      </c>
    </row>
    <row r="3267" spans="1:9" x14ac:dyDescent="0.25">
      <c r="A3267" t="s">
        <v>220</v>
      </c>
      <c r="B3267" t="s">
        <v>2351</v>
      </c>
      <c r="C3267" t="s">
        <v>5360</v>
      </c>
      <c r="D3267" t="s">
        <v>5361</v>
      </c>
      <c r="F3267">
        <v>5</v>
      </c>
      <c r="G3267">
        <v>1.0920000000000001</v>
      </c>
      <c r="H3267">
        <v>5.4600000000000009</v>
      </c>
      <c r="I3267" t="s">
        <v>2354</v>
      </c>
    </row>
    <row r="3268" spans="1:9" x14ac:dyDescent="0.25">
      <c r="A3268" t="s">
        <v>220</v>
      </c>
      <c r="B3268" t="s">
        <v>2351</v>
      </c>
      <c r="C3268" t="s">
        <v>3665</v>
      </c>
      <c r="D3268" t="s">
        <v>3666</v>
      </c>
      <c r="F3268">
        <v>5</v>
      </c>
      <c r="G3268">
        <v>1.83</v>
      </c>
      <c r="H3268">
        <v>9.15</v>
      </c>
      <c r="I3268" t="s">
        <v>2354</v>
      </c>
    </row>
    <row r="3269" spans="1:9" x14ac:dyDescent="0.25">
      <c r="A3269" t="s">
        <v>220</v>
      </c>
      <c r="B3269" t="s">
        <v>2351</v>
      </c>
      <c r="C3269" t="s">
        <v>3667</v>
      </c>
      <c r="D3269" t="s">
        <v>3668</v>
      </c>
      <c r="F3269">
        <v>9</v>
      </c>
      <c r="G3269">
        <v>1.472</v>
      </c>
      <c r="H3269">
        <v>13.247999999999999</v>
      </c>
      <c r="I3269" t="s">
        <v>2354</v>
      </c>
    </row>
    <row r="3270" spans="1:9" x14ac:dyDescent="0.25">
      <c r="A3270" t="s">
        <v>220</v>
      </c>
      <c r="B3270" t="s">
        <v>2351</v>
      </c>
      <c r="C3270" t="s">
        <v>3669</v>
      </c>
      <c r="D3270" t="s">
        <v>3670</v>
      </c>
      <c r="F3270">
        <v>8</v>
      </c>
      <c r="G3270">
        <v>1.2078500000000001</v>
      </c>
      <c r="H3270">
        <v>9.6628000000000007</v>
      </c>
      <c r="I3270" t="s">
        <v>2354</v>
      </c>
    </row>
    <row r="3271" spans="1:9" x14ac:dyDescent="0.25">
      <c r="A3271" t="s">
        <v>220</v>
      </c>
      <c r="B3271" t="s">
        <v>2351</v>
      </c>
      <c r="C3271" t="s">
        <v>3671</v>
      </c>
      <c r="D3271" t="s">
        <v>3672</v>
      </c>
      <c r="F3271">
        <v>2</v>
      </c>
      <c r="G3271">
        <v>10.659000000000001</v>
      </c>
      <c r="H3271">
        <v>21.318000000000001</v>
      </c>
      <c r="I3271" t="s">
        <v>2354</v>
      </c>
    </row>
    <row r="3272" spans="1:9" x14ac:dyDescent="0.25">
      <c r="A3272" t="s">
        <v>220</v>
      </c>
      <c r="B3272" t="s">
        <v>2351</v>
      </c>
      <c r="C3272" t="s">
        <v>3673</v>
      </c>
      <c r="D3272" t="s">
        <v>3674</v>
      </c>
      <c r="F3272">
        <v>12</v>
      </c>
      <c r="G3272">
        <v>11.33095</v>
      </c>
      <c r="H3272">
        <v>135.97139999999999</v>
      </c>
      <c r="I3272" t="s">
        <v>2354</v>
      </c>
    </row>
    <row r="3273" spans="1:9" x14ac:dyDescent="0.25">
      <c r="A3273" t="s">
        <v>220</v>
      </c>
      <c r="B3273" t="s">
        <v>2351</v>
      </c>
      <c r="C3273" t="s">
        <v>3675</v>
      </c>
      <c r="D3273" t="s">
        <v>3676</v>
      </c>
      <c r="F3273">
        <v>1</v>
      </c>
      <c r="G3273">
        <v>8.9250000000000007</v>
      </c>
      <c r="H3273">
        <v>8.9250000000000007</v>
      </c>
      <c r="I3273" t="s">
        <v>2354</v>
      </c>
    </row>
    <row r="3274" spans="1:9" x14ac:dyDescent="0.25">
      <c r="A3274" t="s">
        <v>220</v>
      </c>
      <c r="B3274" t="s">
        <v>2351</v>
      </c>
      <c r="C3274" t="s">
        <v>3677</v>
      </c>
      <c r="D3274" t="s">
        <v>3678</v>
      </c>
      <c r="F3274">
        <v>52</v>
      </c>
      <c r="G3274">
        <v>2.2440000000000002</v>
      </c>
      <c r="H3274">
        <v>116.68800000000002</v>
      </c>
      <c r="I3274" t="s">
        <v>2354</v>
      </c>
    </row>
    <row r="3275" spans="1:9" x14ac:dyDescent="0.25">
      <c r="A3275" t="s">
        <v>220</v>
      </c>
      <c r="B3275" t="s">
        <v>2351</v>
      </c>
      <c r="C3275" t="s">
        <v>3683</v>
      </c>
      <c r="D3275" t="s">
        <v>3684</v>
      </c>
      <c r="F3275">
        <v>2</v>
      </c>
      <c r="G3275">
        <v>2.0278500000000004</v>
      </c>
      <c r="H3275">
        <v>4.0557000000000007</v>
      </c>
      <c r="I3275" t="s">
        <v>2354</v>
      </c>
    </row>
    <row r="3276" spans="1:9" x14ac:dyDescent="0.25">
      <c r="A3276" t="s">
        <v>220</v>
      </c>
      <c r="B3276" t="s">
        <v>2351</v>
      </c>
      <c r="C3276" t="s">
        <v>3685</v>
      </c>
      <c r="D3276" t="s">
        <v>3686</v>
      </c>
      <c r="F3276">
        <v>5</v>
      </c>
      <c r="G3276">
        <v>0.42499999999999999</v>
      </c>
      <c r="H3276">
        <v>2.125</v>
      </c>
      <c r="I3276" t="s">
        <v>2354</v>
      </c>
    </row>
    <row r="3277" spans="1:9" x14ac:dyDescent="0.25">
      <c r="A3277" t="s">
        <v>220</v>
      </c>
      <c r="B3277" t="s">
        <v>2351</v>
      </c>
      <c r="C3277" t="s">
        <v>3687</v>
      </c>
      <c r="D3277" t="s">
        <v>3688</v>
      </c>
      <c r="F3277">
        <v>8</v>
      </c>
      <c r="G3277">
        <v>1.852153846153846</v>
      </c>
      <c r="H3277">
        <v>14.817230769230768</v>
      </c>
      <c r="I3277" t="s">
        <v>2354</v>
      </c>
    </row>
    <row r="3278" spans="1:9" x14ac:dyDescent="0.25">
      <c r="A3278" t="s">
        <v>220</v>
      </c>
      <c r="B3278" t="s">
        <v>2351</v>
      </c>
      <c r="C3278" t="s">
        <v>3689</v>
      </c>
      <c r="D3278" t="s">
        <v>3690</v>
      </c>
      <c r="F3278">
        <v>7</v>
      </c>
      <c r="G3278">
        <v>1.4553636363636364</v>
      </c>
      <c r="H3278">
        <v>10.187545454545456</v>
      </c>
      <c r="I3278" t="s">
        <v>2354</v>
      </c>
    </row>
    <row r="3279" spans="1:9" x14ac:dyDescent="0.25">
      <c r="A3279" t="s">
        <v>220</v>
      </c>
      <c r="B3279" t="s">
        <v>2351</v>
      </c>
      <c r="C3279" t="s">
        <v>3691</v>
      </c>
      <c r="D3279" t="s">
        <v>3692</v>
      </c>
      <c r="F3279">
        <v>7</v>
      </c>
      <c r="G3279">
        <v>0.97240000000000004</v>
      </c>
      <c r="H3279">
        <v>6.8068</v>
      </c>
      <c r="I3279" t="s">
        <v>2354</v>
      </c>
    </row>
    <row r="3280" spans="1:9" x14ac:dyDescent="0.25">
      <c r="A3280" t="s">
        <v>220</v>
      </c>
      <c r="B3280" t="s">
        <v>2351</v>
      </c>
      <c r="C3280" t="s">
        <v>3693</v>
      </c>
      <c r="D3280" t="s">
        <v>3694</v>
      </c>
      <c r="F3280">
        <v>8</v>
      </c>
      <c r="G3280">
        <v>2.7130000000000001</v>
      </c>
      <c r="H3280">
        <v>21.704000000000001</v>
      </c>
      <c r="I3280" t="s">
        <v>2354</v>
      </c>
    </row>
    <row r="3281" spans="1:9" x14ac:dyDescent="0.25">
      <c r="A3281" t="s">
        <v>220</v>
      </c>
      <c r="B3281" t="s">
        <v>2351</v>
      </c>
      <c r="C3281" t="s">
        <v>3695</v>
      </c>
      <c r="D3281" t="s">
        <v>3696</v>
      </c>
      <c r="F3281">
        <v>3</v>
      </c>
      <c r="G3281">
        <v>0.42499999999999999</v>
      </c>
      <c r="H3281">
        <v>1.2749999999999999</v>
      </c>
      <c r="I3281" t="s">
        <v>2354</v>
      </c>
    </row>
    <row r="3282" spans="1:9" x14ac:dyDescent="0.25">
      <c r="A3282" t="s">
        <v>220</v>
      </c>
      <c r="B3282" t="s">
        <v>2351</v>
      </c>
      <c r="C3282" t="s">
        <v>5348</v>
      </c>
      <c r="D3282" t="s">
        <v>5349</v>
      </c>
      <c r="F3282">
        <v>2</v>
      </c>
      <c r="G3282">
        <v>13.279</v>
      </c>
      <c r="H3282">
        <v>26.558</v>
      </c>
      <c r="I3282" t="s">
        <v>2354</v>
      </c>
    </row>
    <row r="3283" spans="1:9" x14ac:dyDescent="0.25">
      <c r="A3283" t="s">
        <v>220</v>
      </c>
      <c r="B3283" t="s">
        <v>2351</v>
      </c>
      <c r="C3283" t="s">
        <v>5362</v>
      </c>
      <c r="D3283" t="s">
        <v>5363</v>
      </c>
      <c r="F3283">
        <v>2</v>
      </c>
      <c r="G3283">
        <v>3.7829999999999999</v>
      </c>
      <c r="H3283">
        <v>7.5659999999999998</v>
      </c>
      <c r="I3283" t="s">
        <v>2354</v>
      </c>
    </row>
    <row r="3284" spans="1:9" x14ac:dyDescent="0.25">
      <c r="A3284" t="s">
        <v>220</v>
      </c>
      <c r="B3284" t="s">
        <v>2351</v>
      </c>
      <c r="C3284" t="s">
        <v>3697</v>
      </c>
      <c r="D3284" t="s">
        <v>3698</v>
      </c>
      <c r="F3284">
        <v>3</v>
      </c>
      <c r="G3284">
        <v>4.0999999999999996</v>
      </c>
      <c r="H3284">
        <v>12.299999999999999</v>
      </c>
      <c r="I3284" t="s">
        <v>2354</v>
      </c>
    </row>
    <row r="3285" spans="1:9" x14ac:dyDescent="0.25">
      <c r="A3285" t="s">
        <v>220</v>
      </c>
      <c r="B3285" t="s">
        <v>2351</v>
      </c>
      <c r="C3285" t="s">
        <v>3699</v>
      </c>
      <c r="D3285" t="s">
        <v>3700</v>
      </c>
      <c r="F3285">
        <v>15</v>
      </c>
      <c r="G3285">
        <v>3.5</v>
      </c>
      <c r="H3285">
        <v>52.5</v>
      </c>
      <c r="I3285" t="s">
        <v>2354</v>
      </c>
    </row>
    <row r="3286" spans="1:9" x14ac:dyDescent="0.25">
      <c r="A3286" t="s">
        <v>220</v>
      </c>
      <c r="B3286" t="s">
        <v>2351</v>
      </c>
      <c r="C3286" t="s">
        <v>3701</v>
      </c>
      <c r="D3286" t="s">
        <v>3702</v>
      </c>
      <c r="F3286">
        <v>4</v>
      </c>
      <c r="G3286">
        <v>3.0479482142857139</v>
      </c>
      <c r="H3286">
        <v>12.191792857142856</v>
      </c>
      <c r="I3286" t="s">
        <v>2354</v>
      </c>
    </row>
    <row r="3287" spans="1:9" x14ac:dyDescent="0.25">
      <c r="A3287" t="s">
        <v>220</v>
      </c>
      <c r="B3287" t="s">
        <v>2351</v>
      </c>
      <c r="C3287" t="s">
        <v>3703</v>
      </c>
      <c r="D3287" t="s">
        <v>3704</v>
      </c>
      <c r="F3287">
        <v>7</v>
      </c>
      <c r="G3287">
        <v>1.6575</v>
      </c>
      <c r="H3287">
        <v>11.602499999999999</v>
      </c>
      <c r="I3287" t="s">
        <v>2354</v>
      </c>
    </row>
    <row r="3288" spans="1:9" x14ac:dyDescent="0.25">
      <c r="A3288" t="s">
        <v>220</v>
      </c>
      <c r="B3288" t="s">
        <v>2351</v>
      </c>
      <c r="C3288" t="s">
        <v>3705</v>
      </c>
      <c r="D3288" t="s">
        <v>3706</v>
      </c>
      <c r="F3288">
        <v>6</v>
      </c>
      <c r="G3288">
        <v>4.375</v>
      </c>
      <c r="H3288">
        <v>26.25</v>
      </c>
      <c r="I3288" t="s">
        <v>2354</v>
      </c>
    </row>
    <row r="3289" spans="1:9" x14ac:dyDescent="0.25">
      <c r="A3289" t="s">
        <v>220</v>
      </c>
      <c r="B3289" t="s">
        <v>2351</v>
      </c>
      <c r="C3289" t="s">
        <v>5343</v>
      </c>
      <c r="D3289" t="s">
        <v>5344</v>
      </c>
      <c r="F3289">
        <v>1</v>
      </c>
      <c r="G3289">
        <v>7.7549999999999999</v>
      </c>
      <c r="H3289">
        <v>7.7549999999999999</v>
      </c>
      <c r="I3289" t="s">
        <v>2354</v>
      </c>
    </row>
    <row r="3290" spans="1:9" x14ac:dyDescent="0.25">
      <c r="A3290" t="s">
        <v>220</v>
      </c>
      <c r="B3290" t="s">
        <v>2351</v>
      </c>
      <c r="C3290" t="s">
        <v>5341</v>
      </c>
      <c r="D3290" t="s">
        <v>5342</v>
      </c>
      <c r="F3290">
        <v>7</v>
      </c>
      <c r="G3290">
        <v>0.86699999999999999</v>
      </c>
      <c r="H3290">
        <v>6.069</v>
      </c>
      <c r="I3290" t="s">
        <v>2354</v>
      </c>
    </row>
    <row r="3291" spans="1:9" x14ac:dyDescent="0.25">
      <c r="A3291" t="s">
        <v>220</v>
      </c>
      <c r="B3291" t="s">
        <v>2351</v>
      </c>
      <c r="C3291" t="s">
        <v>3707</v>
      </c>
      <c r="D3291" t="s">
        <v>3708</v>
      </c>
      <c r="F3291">
        <v>4</v>
      </c>
      <c r="G3291">
        <v>15.5799</v>
      </c>
      <c r="H3291">
        <v>62.319600000000001</v>
      </c>
      <c r="I3291" t="s">
        <v>2354</v>
      </c>
    </row>
    <row r="3292" spans="1:9" x14ac:dyDescent="0.25">
      <c r="A3292" t="s">
        <v>220</v>
      </c>
      <c r="B3292" t="s">
        <v>2351</v>
      </c>
      <c r="C3292" t="s">
        <v>3709</v>
      </c>
      <c r="D3292" t="s">
        <v>3710</v>
      </c>
      <c r="F3292">
        <v>1</v>
      </c>
      <c r="G3292">
        <v>4.6154999999999999</v>
      </c>
      <c r="H3292">
        <v>4.6154999999999999</v>
      </c>
      <c r="I3292" t="s">
        <v>2354</v>
      </c>
    </row>
    <row r="3293" spans="1:9" x14ac:dyDescent="0.25">
      <c r="A3293" t="s">
        <v>220</v>
      </c>
      <c r="B3293" t="s">
        <v>2351</v>
      </c>
      <c r="C3293" t="s">
        <v>3711</v>
      </c>
      <c r="D3293" t="s">
        <v>3712</v>
      </c>
      <c r="F3293">
        <v>1</v>
      </c>
      <c r="G3293">
        <v>1.6575</v>
      </c>
      <c r="H3293">
        <v>1.6575</v>
      </c>
      <c r="I3293" t="s">
        <v>2354</v>
      </c>
    </row>
    <row r="3294" spans="1:9" x14ac:dyDescent="0.25">
      <c r="A3294" t="s">
        <v>220</v>
      </c>
      <c r="B3294" t="s">
        <v>2351</v>
      </c>
      <c r="C3294" t="s">
        <v>3713</v>
      </c>
      <c r="D3294" t="s">
        <v>3714</v>
      </c>
      <c r="F3294">
        <v>14</v>
      </c>
      <c r="G3294">
        <v>33.090700000000005</v>
      </c>
      <c r="H3294">
        <v>463.26980000000009</v>
      </c>
      <c r="I3294" t="s">
        <v>2354</v>
      </c>
    </row>
    <row r="3295" spans="1:9" x14ac:dyDescent="0.25">
      <c r="A3295" t="s">
        <v>220</v>
      </c>
      <c r="B3295" t="s">
        <v>2351</v>
      </c>
      <c r="C3295" t="s">
        <v>3715</v>
      </c>
      <c r="D3295" t="s">
        <v>3716</v>
      </c>
      <c r="F3295">
        <v>8</v>
      </c>
      <c r="G3295">
        <v>1.742</v>
      </c>
      <c r="H3295">
        <v>13.936</v>
      </c>
      <c r="I3295" t="s">
        <v>2354</v>
      </c>
    </row>
    <row r="3296" spans="1:9" x14ac:dyDescent="0.25">
      <c r="A3296" t="s">
        <v>220</v>
      </c>
      <c r="B3296" t="s">
        <v>2351</v>
      </c>
      <c r="C3296" t="s">
        <v>3717</v>
      </c>
      <c r="D3296" t="s">
        <v>3718</v>
      </c>
      <c r="F3296">
        <v>1</v>
      </c>
      <c r="G3296">
        <v>15.028</v>
      </c>
      <c r="H3296">
        <v>15.028</v>
      </c>
      <c r="I3296" t="s">
        <v>2354</v>
      </c>
    </row>
    <row r="3297" spans="1:9" x14ac:dyDescent="0.25">
      <c r="A3297" t="s">
        <v>220</v>
      </c>
      <c r="B3297" t="s">
        <v>2351</v>
      </c>
      <c r="C3297" t="s">
        <v>3719</v>
      </c>
      <c r="D3297" t="s">
        <v>3720</v>
      </c>
      <c r="F3297">
        <v>4</v>
      </c>
      <c r="G3297">
        <v>24.788016666666664</v>
      </c>
      <c r="H3297">
        <v>99.152066666666656</v>
      </c>
      <c r="I3297" t="s">
        <v>2354</v>
      </c>
    </row>
    <row r="3298" spans="1:9" x14ac:dyDescent="0.25">
      <c r="A3298" t="s">
        <v>220</v>
      </c>
      <c r="B3298" t="s">
        <v>2351</v>
      </c>
      <c r="C3298" t="s">
        <v>3721</v>
      </c>
      <c r="D3298" t="s">
        <v>3722</v>
      </c>
      <c r="F3298">
        <v>1</v>
      </c>
      <c r="G3298">
        <v>68.781999999999996</v>
      </c>
      <c r="H3298">
        <v>68.781999999999996</v>
      </c>
      <c r="I3298" t="s">
        <v>2354</v>
      </c>
    </row>
    <row r="3299" spans="1:9" x14ac:dyDescent="0.25">
      <c r="A3299" t="s">
        <v>220</v>
      </c>
      <c r="B3299" t="s">
        <v>2351</v>
      </c>
      <c r="C3299" t="s">
        <v>3725</v>
      </c>
      <c r="D3299" t="s">
        <v>5347</v>
      </c>
      <c r="F3299">
        <v>2</v>
      </c>
      <c r="G3299">
        <v>8.9250000000000007</v>
      </c>
      <c r="H3299">
        <v>17.850000000000001</v>
      </c>
      <c r="I3299" t="s">
        <v>2354</v>
      </c>
    </row>
    <row r="3300" spans="1:9" x14ac:dyDescent="0.25">
      <c r="A3300" t="s">
        <v>220</v>
      </c>
      <c r="B3300" t="s">
        <v>2351</v>
      </c>
      <c r="C3300" t="s">
        <v>3737</v>
      </c>
      <c r="D3300" t="s">
        <v>3738</v>
      </c>
      <c r="F3300">
        <v>2</v>
      </c>
      <c r="G3300">
        <v>4.8340857142857141</v>
      </c>
      <c r="H3300">
        <v>9.6681714285714282</v>
      </c>
      <c r="I3300" t="s">
        <v>2354</v>
      </c>
    </row>
    <row r="3301" spans="1:9" x14ac:dyDescent="0.25">
      <c r="A3301" t="s">
        <v>220</v>
      </c>
      <c r="B3301" t="s">
        <v>2351</v>
      </c>
      <c r="C3301" t="s">
        <v>5345</v>
      </c>
      <c r="D3301" t="s">
        <v>5346</v>
      </c>
      <c r="F3301">
        <v>4</v>
      </c>
      <c r="G3301">
        <v>1.2050000000000001</v>
      </c>
      <c r="H3301">
        <v>4.82</v>
      </c>
      <c r="I3301" t="s">
        <v>2354</v>
      </c>
    </row>
    <row r="3302" spans="1:9" x14ac:dyDescent="0.25">
      <c r="A3302" t="s">
        <v>220</v>
      </c>
      <c r="B3302" t="s">
        <v>2351</v>
      </c>
      <c r="C3302" t="s">
        <v>3739</v>
      </c>
      <c r="D3302" t="s">
        <v>3740</v>
      </c>
      <c r="F3302">
        <v>3</v>
      </c>
      <c r="G3302">
        <v>3.044</v>
      </c>
      <c r="H3302">
        <v>9.1319999999999997</v>
      </c>
      <c r="I3302" t="s">
        <v>2354</v>
      </c>
    </row>
    <row r="3303" spans="1:9" x14ac:dyDescent="0.25">
      <c r="A3303" t="s">
        <v>220</v>
      </c>
      <c r="B3303" t="s">
        <v>2351</v>
      </c>
      <c r="C3303" t="s">
        <v>3741</v>
      </c>
      <c r="D3303" t="s">
        <v>3742</v>
      </c>
      <c r="F3303">
        <v>9</v>
      </c>
      <c r="G3303">
        <v>2.4782999999999999</v>
      </c>
      <c r="H3303">
        <v>22.3047</v>
      </c>
      <c r="I3303" t="s">
        <v>2354</v>
      </c>
    </row>
    <row r="3304" spans="1:9" x14ac:dyDescent="0.25">
      <c r="A3304" t="s">
        <v>220</v>
      </c>
      <c r="B3304" t="s">
        <v>2351</v>
      </c>
      <c r="C3304" t="s">
        <v>3743</v>
      </c>
      <c r="D3304" t="s">
        <v>3744</v>
      </c>
      <c r="F3304">
        <v>38</v>
      </c>
      <c r="G3304">
        <v>11.231999999999999</v>
      </c>
      <c r="H3304">
        <v>426.81599999999997</v>
      </c>
      <c r="I3304" t="s">
        <v>2354</v>
      </c>
    </row>
    <row r="3305" spans="1:9" x14ac:dyDescent="0.25">
      <c r="A3305" t="s">
        <v>220</v>
      </c>
      <c r="B3305" t="s">
        <v>2351</v>
      </c>
      <c r="C3305" t="s">
        <v>5350</v>
      </c>
      <c r="D3305" t="s">
        <v>5351</v>
      </c>
      <c r="F3305">
        <v>2</v>
      </c>
      <c r="G3305">
        <v>4.41</v>
      </c>
      <c r="H3305">
        <v>8.82</v>
      </c>
      <c r="I3305" t="s">
        <v>2354</v>
      </c>
    </row>
    <row r="3306" spans="1:9" x14ac:dyDescent="0.25">
      <c r="A3306" t="s">
        <v>220</v>
      </c>
      <c r="B3306" t="s">
        <v>2351</v>
      </c>
      <c r="C3306" t="s">
        <v>5352</v>
      </c>
      <c r="D3306" t="s">
        <v>5353</v>
      </c>
      <c r="F3306">
        <v>2</v>
      </c>
      <c r="G3306">
        <v>23.122</v>
      </c>
      <c r="H3306">
        <v>46.244</v>
      </c>
      <c r="I3306" t="s">
        <v>2354</v>
      </c>
    </row>
    <row r="3307" spans="1:9" x14ac:dyDescent="0.25">
      <c r="A3307" t="s">
        <v>220</v>
      </c>
      <c r="B3307" t="s">
        <v>2351</v>
      </c>
      <c r="C3307" t="s">
        <v>3745</v>
      </c>
      <c r="D3307" t="s">
        <v>3746</v>
      </c>
      <c r="F3307">
        <v>40</v>
      </c>
      <c r="G3307">
        <v>4.2410595238095237</v>
      </c>
      <c r="H3307">
        <v>169.64238095238096</v>
      </c>
      <c r="I3307" t="s">
        <v>2354</v>
      </c>
    </row>
    <row r="3308" spans="1:9" x14ac:dyDescent="0.25">
      <c r="A3308" t="s">
        <v>220</v>
      </c>
      <c r="B3308" t="s">
        <v>2351</v>
      </c>
      <c r="C3308" t="s">
        <v>3747</v>
      </c>
      <c r="D3308" t="s">
        <v>3748</v>
      </c>
      <c r="F3308">
        <v>22</v>
      </c>
      <c r="G3308">
        <v>6.8849999999999998</v>
      </c>
      <c r="H3308">
        <v>151.47</v>
      </c>
      <c r="I3308" t="s">
        <v>2354</v>
      </c>
    </row>
    <row r="3309" spans="1:9" x14ac:dyDescent="0.25">
      <c r="A3309" t="s">
        <v>220</v>
      </c>
      <c r="B3309" t="s">
        <v>2351</v>
      </c>
      <c r="C3309" t="s">
        <v>3749</v>
      </c>
      <c r="D3309" t="s">
        <v>3750</v>
      </c>
      <c r="F3309">
        <v>100</v>
      </c>
      <c r="G3309">
        <v>0.91969999999999996</v>
      </c>
      <c r="H3309">
        <v>91.97</v>
      </c>
      <c r="I3309" t="s">
        <v>2354</v>
      </c>
    </row>
    <row r="3310" spans="1:9" x14ac:dyDescent="0.25">
      <c r="A3310" t="s">
        <v>220</v>
      </c>
      <c r="B3310" t="s">
        <v>2351</v>
      </c>
      <c r="C3310" t="s">
        <v>3755</v>
      </c>
      <c r="D3310" t="s">
        <v>3756</v>
      </c>
      <c r="F3310">
        <v>5</v>
      </c>
      <c r="G3310">
        <v>112.5</v>
      </c>
      <c r="H3310">
        <v>562.5</v>
      </c>
      <c r="I3310" t="s">
        <v>2354</v>
      </c>
    </row>
    <row r="3311" spans="1:9" x14ac:dyDescent="0.25">
      <c r="A3311" t="s">
        <v>220</v>
      </c>
      <c r="B3311" t="s">
        <v>2351</v>
      </c>
      <c r="C3311" t="s">
        <v>3757</v>
      </c>
      <c r="D3311" t="s">
        <v>3758</v>
      </c>
      <c r="F3311">
        <v>100</v>
      </c>
      <c r="G3311">
        <v>31.024999999999999</v>
      </c>
      <c r="H3311">
        <v>3102.5</v>
      </c>
      <c r="I3311" t="s">
        <v>2354</v>
      </c>
    </row>
    <row r="3312" spans="1:9" x14ac:dyDescent="0.25">
      <c r="A3312" t="s">
        <v>220</v>
      </c>
      <c r="B3312" t="s">
        <v>2351</v>
      </c>
      <c r="C3312" t="s">
        <v>3759</v>
      </c>
      <c r="D3312" t="s">
        <v>3760</v>
      </c>
      <c r="F3312">
        <v>120</v>
      </c>
      <c r="G3312">
        <v>0.32900000000000001</v>
      </c>
      <c r="H3312">
        <v>39.480000000000004</v>
      </c>
      <c r="I3312" t="s">
        <v>2354</v>
      </c>
    </row>
    <row r="3313" spans="1:9" x14ac:dyDescent="0.25">
      <c r="A3313" t="s">
        <v>220</v>
      </c>
      <c r="B3313" t="s">
        <v>2351</v>
      </c>
      <c r="C3313" t="s">
        <v>3761</v>
      </c>
      <c r="D3313" t="s">
        <v>3762</v>
      </c>
      <c r="F3313">
        <v>100</v>
      </c>
      <c r="G3313">
        <v>0.74250000000000005</v>
      </c>
      <c r="H3313">
        <v>74.25</v>
      </c>
      <c r="I3313" t="s">
        <v>2354</v>
      </c>
    </row>
    <row r="3314" spans="1:9" x14ac:dyDescent="0.25">
      <c r="A3314" t="s">
        <v>220</v>
      </c>
      <c r="B3314" t="s">
        <v>2351</v>
      </c>
      <c r="C3314" t="s">
        <v>3769</v>
      </c>
      <c r="D3314" t="s">
        <v>3770</v>
      </c>
      <c r="F3314">
        <v>4</v>
      </c>
      <c r="G3314">
        <v>16.4358</v>
      </c>
      <c r="H3314">
        <v>65.743200000000002</v>
      </c>
      <c r="I3314" t="s">
        <v>2354</v>
      </c>
    </row>
    <row r="3315" spans="1:9" x14ac:dyDescent="0.25">
      <c r="A3315" t="s">
        <v>220</v>
      </c>
      <c r="B3315" t="s">
        <v>2351</v>
      </c>
      <c r="C3315" t="s">
        <v>3771</v>
      </c>
      <c r="D3315" t="s">
        <v>3772</v>
      </c>
      <c r="F3315">
        <v>5</v>
      </c>
      <c r="G3315">
        <v>10.246</v>
      </c>
      <c r="H3315">
        <v>51.230000000000004</v>
      </c>
      <c r="I3315" t="s">
        <v>2354</v>
      </c>
    </row>
    <row r="3316" spans="1:9" x14ac:dyDescent="0.25">
      <c r="A3316" t="s">
        <v>220</v>
      </c>
      <c r="B3316" t="s">
        <v>2351</v>
      </c>
      <c r="C3316" t="s">
        <v>3773</v>
      </c>
      <c r="D3316" t="s">
        <v>3774</v>
      </c>
      <c r="F3316">
        <v>6</v>
      </c>
      <c r="G3316">
        <v>12.023999999999999</v>
      </c>
      <c r="H3316">
        <v>72.143999999999991</v>
      </c>
      <c r="I3316" t="s">
        <v>2354</v>
      </c>
    </row>
    <row r="3317" spans="1:9" x14ac:dyDescent="0.25">
      <c r="A3317" t="s">
        <v>220</v>
      </c>
      <c r="B3317" t="s">
        <v>2351</v>
      </c>
      <c r="C3317" t="s">
        <v>3775</v>
      </c>
      <c r="D3317" t="s">
        <v>3776</v>
      </c>
      <c r="F3317">
        <v>5</v>
      </c>
      <c r="G3317">
        <v>42.075000000000003</v>
      </c>
      <c r="H3317">
        <v>210.375</v>
      </c>
      <c r="I3317" t="s">
        <v>2354</v>
      </c>
    </row>
    <row r="3318" spans="1:9" x14ac:dyDescent="0.25">
      <c r="A3318" t="s">
        <v>220</v>
      </c>
      <c r="B3318" t="s">
        <v>2351</v>
      </c>
      <c r="C3318" t="s">
        <v>3777</v>
      </c>
      <c r="D3318" t="s">
        <v>3778</v>
      </c>
      <c r="F3318">
        <v>10</v>
      </c>
      <c r="G3318">
        <v>13.922000000000001</v>
      </c>
      <c r="H3318">
        <v>139.22</v>
      </c>
      <c r="I3318" t="s">
        <v>2354</v>
      </c>
    </row>
    <row r="3319" spans="1:9" x14ac:dyDescent="0.25">
      <c r="A3319" t="s">
        <v>220</v>
      </c>
      <c r="B3319" t="s">
        <v>2351</v>
      </c>
      <c r="C3319" t="s">
        <v>3779</v>
      </c>
      <c r="D3319" t="s">
        <v>3780</v>
      </c>
      <c r="F3319">
        <v>3</v>
      </c>
      <c r="G3319">
        <v>30.245999999999999</v>
      </c>
      <c r="H3319">
        <v>90.738</v>
      </c>
      <c r="I3319" t="s">
        <v>2354</v>
      </c>
    </row>
    <row r="3320" spans="1:9" x14ac:dyDescent="0.25">
      <c r="A3320" t="s">
        <v>220</v>
      </c>
      <c r="B3320" t="s">
        <v>2351</v>
      </c>
      <c r="C3320" t="s">
        <v>3781</v>
      </c>
      <c r="D3320" t="s">
        <v>3782</v>
      </c>
      <c r="F3320">
        <v>5</v>
      </c>
      <c r="G3320">
        <v>31.045999999999999</v>
      </c>
      <c r="H3320">
        <v>155.22999999999999</v>
      </c>
      <c r="I3320" t="s">
        <v>2354</v>
      </c>
    </row>
    <row r="3321" spans="1:9" x14ac:dyDescent="0.25">
      <c r="A3321" t="s">
        <v>220</v>
      </c>
      <c r="B3321" t="s">
        <v>2351</v>
      </c>
      <c r="C3321" t="s">
        <v>3783</v>
      </c>
      <c r="D3321" t="s">
        <v>3784</v>
      </c>
      <c r="F3321">
        <v>5</v>
      </c>
      <c r="G3321">
        <v>72.319342105263146</v>
      </c>
      <c r="H3321">
        <v>361.59671052631575</v>
      </c>
      <c r="I3321" t="s">
        <v>2354</v>
      </c>
    </row>
    <row r="3322" spans="1:9" x14ac:dyDescent="0.25">
      <c r="A3322" t="s">
        <v>220</v>
      </c>
      <c r="B3322" t="s">
        <v>2351</v>
      </c>
      <c r="C3322" t="s">
        <v>3785</v>
      </c>
      <c r="D3322" t="s">
        <v>3786</v>
      </c>
      <c r="F3322">
        <v>1</v>
      </c>
      <c r="G3322">
        <v>6.1020500000000002</v>
      </c>
      <c r="H3322">
        <v>6.1020500000000002</v>
      </c>
      <c r="I3322" t="s">
        <v>2354</v>
      </c>
    </row>
    <row r="3323" spans="1:9" x14ac:dyDescent="0.25">
      <c r="A3323" t="s">
        <v>220</v>
      </c>
      <c r="B3323" t="s">
        <v>2351</v>
      </c>
      <c r="C3323" t="s">
        <v>3787</v>
      </c>
      <c r="D3323" t="s">
        <v>3788</v>
      </c>
      <c r="F3323">
        <v>6</v>
      </c>
      <c r="G3323">
        <v>27.2</v>
      </c>
      <c r="H3323">
        <v>163.19999999999999</v>
      </c>
      <c r="I3323" t="s">
        <v>2354</v>
      </c>
    </row>
    <row r="3324" spans="1:9" x14ac:dyDescent="0.25">
      <c r="A3324" t="s">
        <v>220</v>
      </c>
      <c r="B3324" t="s">
        <v>2351</v>
      </c>
      <c r="C3324" t="s">
        <v>3789</v>
      </c>
      <c r="D3324" t="s">
        <v>3790</v>
      </c>
      <c r="F3324">
        <v>3</v>
      </c>
      <c r="G3324">
        <v>28.732500000000005</v>
      </c>
      <c r="H3324">
        <v>86.197500000000019</v>
      </c>
      <c r="I3324" t="s">
        <v>2354</v>
      </c>
    </row>
    <row r="3325" spans="1:9" x14ac:dyDescent="0.25">
      <c r="A3325" t="s">
        <v>220</v>
      </c>
      <c r="B3325" t="s">
        <v>2351</v>
      </c>
      <c r="C3325" t="s">
        <v>3791</v>
      </c>
      <c r="D3325" t="s">
        <v>3792</v>
      </c>
      <c r="F3325">
        <v>6</v>
      </c>
      <c r="G3325">
        <v>35.191000000000003</v>
      </c>
      <c r="H3325">
        <v>211.14600000000002</v>
      </c>
      <c r="I3325" t="s">
        <v>2354</v>
      </c>
    </row>
    <row r="3326" spans="1:9" x14ac:dyDescent="0.25">
      <c r="A3326" t="s">
        <v>220</v>
      </c>
      <c r="B3326" t="s">
        <v>2351</v>
      </c>
      <c r="C3326" t="s">
        <v>3927</v>
      </c>
      <c r="D3326" t="s">
        <v>3928</v>
      </c>
      <c r="F3326">
        <v>2</v>
      </c>
      <c r="G3326">
        <v>63.58</v>
      </c>
      <c r="H3326">
        <v>127.16</v>
      </c>
      <c r="I3326" t="s">
        <v>2354</v>
      </c>
    </row>
    <row r="3327" spans="1:9" x14ac:dyDescent="0.25">
      <c r="A3327" t="s">
        <v>220</v>
      </c>
      <c r="B3327" t="s">
        <v>2351</v>
      </c>
      <c r="C3327" t="s">
        <v>3929</v>
      </c>
      <c r="D3327" t="s">
        <v>3930</v>
      </c>
      <c r="F3327">
        <v>2</v>
      </c>
      <c r="G3327">
        <v>15</v>
      </c>
      <c r="H3327">
        <v>30</v>
      </c>
      <c r="I3327" t="s">
        <v>2354</v>
      </c>
    </row>
    <row r="3328" spans="1:9" x14ac:dyDescent="0.25">
      <c r="A3328" t="s">
        <v>220</v>
      </c>
      <c r="B3328" t="s">
        <v>2351</v>
      </c>
      <c r="C3328" t="s">
        <v>3931</v>
      </c>
      <c r="D3328" t="s">
        <v>3932</v>
      </c>
      <c r="F3328">
        <v>2</v>
      </c>
      <c r="G3328">
        <v>16</v>
      </c>
      <c r="H3328">
        <v>32</v>
      </c>
      <c r="I3328" t="s">
        <v>2354</v>
      </c>
    </row>
    <row r="3329" spans="1:9" x14ac:dyDescent="0.25">
      <c r="A3329" t="s">
        <v>220</v>
      </c>
      <c r="B3329" t="s">
        <v>2351</v>
      </c>
      <c r="C3329" t="s">
        <v>3933</v>
      </c>
      <c r="D3329" t="s">
        <v>3934</v>
      </c>
      <c r="F3329">
        <v>2</v>
      </c>
      <c r="G3329">
        <v>200</v>
      </c>
      <c r="H3329">
        <v>400</v>
      </c>
      <c r="I3329" t="s">
        <v>2354</v>
      </c>
    </row>
    <row r="3330" spans="1:9" x14ac:dyDescent="0.25">
      <c r="A3330" t="s">
        <v>220</v>
      </c>
      <c r="B3330" t="s">
        <v>2351</v>
      </c>
      <c r="C3330" t="s">
        <v>3935</v>
      </c>
      <c r="D3330" t="s">
        <v>3936</v>
      </c>
      <c r="F3330">
        <v>2</v>
      </c>
      <c r="G3330">
        <v>21.29194</v>
      </c>
      <c r="H3330">
        <v>42.583880000000001</v>
      </c>
      <c r="I3330" t="s">
        <v>2354</v>
      </c>
    </row>
    <row r="3331" spans="1:9" x14ac:dyDescent="0.25">
      <c r="A3331" t="s">
        <v>220</v>
      </c>
      <c r="B3331" t="s">
        <v>2351</v>
      </c>
      <c r="C3331" t="s">
        <v>3937</v>
      </c>
      <c r="D3331" t="s">
        <v>3938</v>
      </c>
      <c r="F3331">
        <v>40</v>
      </c>
      <c r="G3331">
        <v>2.3929999999999998</v>
      </c>
      <c r="H3331">
        <v>95.72</v>
      </c>
      <c r="I3331" t="s">
        <v>2354</v>
      </c>
    </row>
    <row r="3332" spans="1:9" x14ac:dyDescent="0.25">
      <c r="A3332" t="s">
        <v>220</v>
      </c>
      <c r="B3332" t="s">
        <v>2351</v>
      </c>
      <c r="C3332" t="s">
        <v>3939</v>
      </c>
      <c r="D3332" t="s">
        <v>3940</v>
      </c>
      <c r="F3332">
        <v>2</v>
      </c>
      <c r="G3332">
        <v>25.228000000000002</v>
      </c>
      <c r="H3332">
        <v>50.456000000000003</v>
      </c>
      <c r="I3332" t="s">
        <v>2354</v>
      </c>
    </row>
    <row r="3333" spans="1:9" x14ac:dyDescent="0.25">
      <c r="A3333" t="s">
        <v>220</v>
      </c>
      <c r="B3333" t="s">
        <v>2351</v>
      </c>
      <c r="C3333" t="s">
        <v>4413</v>
      </c>
      <c r="D3333" t="s">
        <v>4414</v>
      </c>
      <c r="F3333">
        <v>1</v>
      </c>
      <c r="G3333">
        <v>3.6972</v>
      </c>
      <c r="H3333">
        <v>3.6972</v>
      </c>
      <c r="I3333" t="s">
        <v>2354</v>
      </c>
    </row>
    <row r="3334" spans="1:9" x14ac:dyDescent="0.25">
      <c r="A3334" t="s">
        <v>220</v>
      </c>
      <c r="B3334" t="s">
        <v>2351</v>
      </c>
      <c r="C3334" t="s">
        <v>4417</v>
      </c>
      <c r="D3334" t="s">
        <v>4418</v>
      </c>
      <c r="F3334">
        <v>5</v>
      </c>
      <c r="G3334">
        <v>8</v>
      </c>
      <c r="H3334">
        <v>40</v>
      </c>
      <c r="I3334" t="s">
        <v>2354</v>
      </c>
    </row>
    <row r="3335" spans="1:9" x14ac:dyDescent="0.25">
      <c r="A3335" t="s">
        <v>220</v>
      </c>
      <c r="B3335" t="s">
        <v>2351</v>
      </c>
      <c r="C3335" t="s">
        <v>2385</v>
      </c>
      <c r="D3335" t="s">
        <v>2386</v>
      </c>
      <c r="F3335">
        <v>8</v>
      </c>
      <c r="G3335">
        <v>56.1</v>
      </c>
      <c r="H3335">
        <v>448.8</v>
      </c>
      <c r="I3335" t="s">
        <v>2354</v>
      </c>
    </row>
    <row r="3336" spans="1:9" x14ac:dyDescent="0.25">
      <c r="A3336" t="s">
        <v>220</v>
      </c>
      <c r="B3336" t="s">
        <v>2351</v>
      </c>
      <c r="D3336" t="s">
        <v>2355</v>
      </c>
      <c r="F3336">
        <v>8</v>
      </c>
      <c r="G3336">
        <v>6.0869999999999997</v>
      </c>
      <c r="H3336">
        <v>48.695999999999998</v>
      </c>
      <c r="I3336" t="s">
        <v>2354</v>
      </c>
    </row>
    <row r="3337" spans="1:9" x14ac:dyDescent="0.25">
      <c r="A3337" t="s">
        <v>220</v>
      </c>
      <c r="B3337" t="s">
        <v>2351</v>
      </c>
      <c r="D3337" t="s">
        <v>2359</v>
      </c>
      <c r="F3337">
        <v>4</v>
      </c>
      <c r="G3337">
        <v>6.0869999999999997</v>
      </c>
      <c r="H3337">
        <v>24.347999999999999</v>
      </c>
      <c r="I3337" t="s">
        <v>2354</v>
      </c>
    </row>
    <row r="3338" spans="1:9" x14ac:dyDescent="0.25">
      <c r="A3338" t="s">
        <v>220</v>
      </c>
      <c r="B3338" t="s">
        <v>2351</v>
      </c>
      <c r="D3338" t="s">
        <v>2358</v>
      </c>
      <c r="F3338">
        <v>1</v>
      </c>
      <c r="G3338">
        <v>6.0869999999999997</v>
      </c>
      <c r="H3338">
        <v>6.0869999999999997</v>
      </c>
      <c r="I3338" t="s">
        <v>2354</v>
      </c>
    </row>
    <row r="3339" spans="1:9" x14ac:dyDescent="0.25">
      <c r="A3339" t="s">
        <v>220</v>
      </c>
      <c r="B3339" t="s">
        <v>2351</v>
      </c>
      <c r="D3339" t="s">
        <v>2356</v>
      </c>
      <c r="F3339">
        <v>8</v>
      </c>
      <c r="G3339">
        <v>6.0869999999999997</v>
      </c>
      <c r="H3339">
        <v>48.695999999999998</v>
      </c>
      <c r="I3339" t="s">
        <v>2354</v>
      </c>
    </row>
    <row r="3340" spans="1:9" x14ac:dyDescent="0.25">
      <c r="A3340" t="s">
        <v>220</v>
      </c>
      <c r="B3340" t="s">
        <v>2351</v>
      </c>
      <c r="D3340" t="s">
        <v>5355</v>
      </c>
      <c r="F3340">
        <v>1</v>
      </c>
      <c r="G3340">
        <v>6.0869999999999997</v>
      </c>
      <c r="H3340">
        <v>6.0869999999999997</v>
      </c>
      <c r="I3340" t="s">
        <v>2354</v>
      </c>
    </row>
    <row r="3341" spans="1:9" x14ac:dyDescent="0.25">
      <c r="A3341" t="s">
        <v>220</v>
      </c>
      <c r="B3341" t="s">
        <v>2351</v>
      </c>
      <c r="C3341" t="s">
        <v>7350</v>
      </c>
      <c r="D3341" t="s">
        <v>7351</v>
      </c>
      <c r="F3341">
        <v>9</v>
      </c>
      <c r="G3341">
        <v>6.0869999999999997</v>
      </c>
      <c r="H3341">
        <v>54.783000000000001</v>
      </c>
      <c r="I3341" t="s">
        <v>2354</v>
      </c>
    </row>
    <row r="3342" spans="1:9" x14ac:dyDescent="0.25">
      <c r="A3342" t="s">
        <v>220</v>
      </c>
      <c r="B3342" t="s">
        <v>2351</v>
      </c>
      <c r="C3342" t="s">
        <v>4409</v>
      </c>
      <c r="D3342" t="s">
        <v>4410</v>
      </c>
      <c r="F3342">
        <v>1</v>
      </c>
      <c r="G3342">
        <v>8.2170000000000005</v>
      </c>
      <c r="H3342">
        <v>8.2170000000000005</v>
      </c>
      <c r="I3342" t="s">
        <v>2354</v>
      </c>
    </row>
    <row r="3343" spans="1:9" x14ac:dyDescent="0.25">
      <c r="A3343" t="s">
        <v>220</v>
      </c>
      <c r="B3343" t="s">
        <v>2351</v>
      </c>
      <c r="C3343" t="s">
        <v>5098</v>
      </c>
      <c r="D3343" t="s">
        <v>5099</v>
      </c>
      <c r="F3343">
        <v>2</v>
      </c>
      <c r="G3343">
        <v>163.8657</v>
      </c>
      <c r="H3343">
        <v>327.73140000000001</v>
      </c>
      <c r="I3343" t="s">
        <v>2354</v>
      </c>
    </row>
    <row r="3344" spans="1:9" x14ac:dyDescent="0.25">
      <c r="A3344" t="s">
        <v>220</v>
      </c>
      <c r="B3344" t="s">
        <v>2351</v>
      </c>
      <c r="C3344" t="s">
        <v>5168</v>
      </c>
      <c r="D3344" t="s">
        <v>5169</v>
      </c>
      <c r="F3344">
        <v>1</v>
      </c>
      <c r="G3344">
        <v>20.259</v>
      </c>
      <c r="H3344">
        <v>20.259</v>
      </c>
      <c r="I3344" t="s">
        <v>2354</v>
      </c>
    </row>
    <row r="3345" spans="1:9" x14ac:dyDescent="0.25">
      <c r="A3345" t="s">
        <v>220</v>
      </c>
      <c r="B3345" t="s">
        <v>2351</v>
      </c>
      <c r="C3345" t="s">
        <v>2369</v>
      </c>
      <c r="D3345" t="s">
        <v>2370</v>
      </c>
      <c r="F3345">
        <v>1</v>
      </c>
      <c r="G3345">
        <v>671.37300000000005</v>
      </c>
      <c r="H3345">
        <v>671.37300000000005</v>
      </c>
      <c r="I3345" t="s">
        <v>2354</v>
      </c>
    </row>
    <row r="3346" spans="1:9" x14ac:dyDescent="0.25">
      <c r="A3346" t="s">
        <v>220</v>
      </c>
      <c r="B3346" t="s">
        <v>2351</v>
      </c>
      <c r="C3346" t="s">
        <v>4409</v>
      </c>
      <c r="D3346" t="s">
        <v>4410</v>
      </c>
      <c r="F3346">
        <v>1</v>
      </c>
      <c r="G3346">
        <v>8.2170000000000005</v>
      </c>
      <c r="H3346">
        <v>8.2170000000000005</v>
      </c>
      <c r="I3346" t="s">
        <v>2354</v>
      </c>
    </row>
    <row r="3347" spans="1:9" x14ac:dyDescent="0.25">
      <c r="A3347" t="s">
        <v>220</v>
      </c>
      <c r="B3347" t="s">
        <v>2351</v>
      </c>
      <c r="C3347" t="s">
        <v>5098</v>
      </c>
      <c r="D3347" t="s">
        <v>5099</v>
      </c>
      <c r="F3347">
        <v>2</v>
      </c>
      <c r="G3347">
        <v>163.8657</v>
      </c>
      <c r="H3347">
        <v>327.73140000000001</v>
      </c>
      <c r="I3347" t="s">
        <v>2354</v>
      </c>
    </row>
    <row r="3348" spans="1:9" x14ac:dyDescent="0.25">
      <c r="A3348" t="s">
        <v>220</v>
      </c>
      <c r="B3348" t="s">
        <v>2351</v>
      </c>
      <c r="C3348" t="s">
        <v>5168</v>
      </c>
      <c r="D3348" t="s">
        <v>5169</v>
      </c>
      <c r="F3348">
        <v>1</v>
      </c>
      <c r="G3348">
        <v>20.259</v>
      </c>
      <c r="H3348">
        <v>20.259</v>
      </c>
      <c r="I3348" t="s">
        <v>2354</v>
      </c>
    </row>
    <row r="3349" spans="1:9" x14ac:dyDescent="0.25">
      <c r="A3349" t="s">
        <v>220</v>
      </c>
      <c r="B3349" t="s">
        <v>2351</v>
      </c>
      <c r="C3349" t="s">
        <v>2369</v>
      </c>
      <c r="D3349" t="s">
        <v>2370</v>
      </c>
      <c r="F3349">
        <v>1</v>
      </c>
      <c r="G3349">
        <v>671.37300000000005</v>
      </c>
      <c r="H3349">
        <v>671.37300000000005</v>
      </c>
      <c r="I3349" t="s">
        <v>2354</v>
      </c>
    </row>
    <row r="3350" spans="1:9" x14ac:dyDescent="0.25">
      <c r="A3350" t="s">
        <v>220</v>
      </c>
      <c r="B3350" t="s">
        <v>2351</v>
      </c>
      <c r="C3350" t="s">
        <v>2417</v>
      </c>
      <c r="D3350" t="s">
        <v>2438</v>
      </c>
      <c r="F3350">
        <v>10</v>
      </c>
      <c r="G3350">
        <v>7.23</v>
      </c>
      <c r="H3350">
        <v>72.300000000000011</v>
      </c>
      <c r="I3350" t="s">
        <v>2354</v>
      </c>
    </row>
    <row r="3351" spans="1:9" x14ac:dyDescent="0.25">
      <c r="A3351" t="s">
        <v>220</v>
      </c>
      <c r="B3351" t="s">
        <v>2351</v>
      </c>
      <c r="C3351" t="s">
        <v>2417</v>
      </c>
      <c r="D3351" t="s">
        <v>2437</v>
      </c>
      <c r="F3351">
        <v>10</v>
      </c>
      <c r="G3351">
        <v>6.78</v>
      </c>
      <c r="H3351">
        <v>67.8</v>
      </c>
      <c r="I3351" t="s">
        <v>2354</v>
      </c>
    </row>
    <row r="3352" spans="1:9" x14ac:dyDescent="0.25">
      <c r="A3352" t="s">
        <v>220</v>
      </c>
      <c r="B3352" t="s">
        <v>2351</v>
      </c>
      <c r="C3352" t="s">
        <v>2417</v>
      </c>
      <c r="D3352" t="s">
        <v>2442</v>
      </c>
      <c r="F3352">
        <v>10</v>
      </c>
      <c r="G3352">
        <v>4.8</v>
      </c>
      <c r="H3352">
        <v>48</v>
      </c>
      <c r="I3352" t="s">
        <v>2354</v>
      </c>
    </row>
    <row r="3353" spans="1:9" x14ac:dyDescent="0.25">
      <c r="A3353" t="s">
        <v>220</v>
      </c>
      <c r="B3353" t="s">
        <v>2351</v>
      </c>
      <c r="C3353" t="s">
        <v>2496</v>
      </c>
      <c r="D3353" t="s">
        <v>2497</v>
      </c>
      <c r="F3353">
        <v>262</v>
      </c>
      <c r="G3353">
        <v>2.5506016440962149</v>
      </c>
      <c r="H3353">
        <v>668.25763075320833</v>
      </c>
      <c r="I3353" t="s">
        <v>2354</v>
      </c>
    </row>
    <row r="3354" spans="1:9" x14ac:dyDescent="0.25">
      <c r="A3354" t="s">
        <v>220</v>
      </c>
      <c r="B3354" t="s">
        <v>2351</v>
      </c>
      <c r="C3354" t="s">
        <v>2498</v>
      </c>
      <c r="D3354" t="s">
        <v>2499</v>
      </c>
      <c r="F3354">
        <v>145</v>
      </c>
      <c r="G3354">
        <v>30.827600000000004</v>
      </c>
      <c r="H3354">
        <v>4470.0020000000004</v>
      </c>
      <c r="I3354" t="s">
        <v>2354</v>
      </c>
    </row>
    <row r="3355" spans="1:9" x14ac:dyDescent="0.25">
      <c r="A3355" t="s">
        <v>220</v>
      </c>
      <c r="B3355" t="s">
        <v>2351</v>
      </c>
      <c r="C3355" t="s">
        <v>2530</v>
      </c>
      <c r="D3355" t="s">
        <v>2531</v>
      </c>
      <c r="F3355">
        <v>35</v>
      </c>
      <c r="G3355">
        <v>33.313431199999997</v>
      </c>
      <c r="H3355">
        <v>1165.9700919999998</v>
      </c>
      <c r="I3355" t="s">
        <v>2354</v>
      </c>
    </row>
    <row r="3356" spans="1:9" x14ac:dyDescent="0.25">
      <c r="A3356" t="s">
        <v>220</v>
      </c>
      <c r="B3356" t="s">
        <v>2351</v>
      </c>
      <c r="C3356" t="s">
        <v>2816</v>
      </c>
      <c r="D3356" t="s">
        <v>2817</v>
      </c>
      <c r="F3356">
        <v>8</v>
      </c>
      <c r="G3356">
        <v>3.7124999999999999</v>
      </c>
      <c r="H3356">
        <v>29.7</v>
      </c>
      <c r="I3356" t="s">
        <v>2354</v>
      </c>
    </row>
    <row r="3357" spans="1:9" x14ac:dyDescent="0.25">
      <c r="A3357" t="s">
        <v>220</v>
      </c>
      <c r="B3357" t="s">
        <v>2351</v>
      </c>
      <c r="C3357" t="s">
        <v>2818</v>
      </c>
      <c r="D3357" t="s">
        <v>2819</v>
      </c>
      <c r="F3357">
        <v>9</v>
      </c>
      <c r="G3357">
        <v>3.7124999999999999</v>
      </c>
      <c r="H3357">
        <v>33.412500000000001</v>
      </c>
      <c r="I3357" t="s">
        <v>2354</v>
      </c>
    </row>
    <row r="3358" spans="1:9" x14ac:dyDescent="0.25">
      <c r="A3358" t="s">
        <v>220</v>
      </c>
      <c r="B3358" t="s">
        <v>2351</v>
      </c>
      <c r="C3358" t="s">
        <v>3157</v>
      </c>
      <c r="D3358" t="s">
        <v>3158</v>
      </c>
      <c r="F3358">
        <v>1</v>
      </c>
      <c r="G3358">
        <v>44.155799999999999</v>
      </c>
      <c r="H3358">
        <v>44.155799999999999</v>
      </c>
      <c r="I3358" t="s">
        <v>2354</v>
      </c>
    </row>
    <row r="3359" spans="1:9" x14ac:dyDescent="0.25">
      <c r="A3359" t="s">
        <v>220</v>
      </c>
      <c r="B3359" t="s">
        <v>2351</v>
      </c>
      <c r="C3359" t="s">
        <v>3167</v>
      </c>
      <c r="D3359" t="s">
        <v>3168</v>
      </c>
      <c r="F3359">
        <v>1</v>
      </c>
      <c r="G3359">
        <v>35.167949999999998</v>
      </c>
      <c r="H3359">
        <v>35.167949999999998</v>
      </c>
      <c r="I3359" t="s">
        <v>2354</v>
      </c>
    </row>
    <row r="3360" spans="1:9" x14ac:dyDescent="0.25">
      <c r="A3360" t="s">
        <v>220</v>
      </c>
      <c r="B3360" t="s">
        <v>2351</v>
      </c>
      <c r="C3360" t="s">
        <v>3183</v>
      </c>
      <c r="D3360" t="s">
        <v>3184</v>
      </c>
      <c r="F3360">
        <v>11</v>
      </c>
      <c r="G3360">
        <v>0.38900000000000001</v>
      </c>
      <c r="H3360">
        <v>4.2789999999999999</v>
      </c>
      <c r="I3360" t="s">
        <v>2354</v>
      </c>
    </row>
    <row r="3361" spans="1:9" x14ac:dyDescent="0.25">
      <c r="A3361" t="s">
        <v>220</v>
      </c>
      <c r="B3361" t="s">
        <v>2351</v>
      </c>
      <c r="C3361" t="s">
        <v>3185</v>
      </c>
      <c r="D3361" t="s">
        <v>3186</v>
      </c>
      <c r="F3361">
        <v>11</v>
      </c>
      <c r="G3361">
        <v>0.22900000000000001</v>
      </c>
      <c r="H3361">
        <v>2.5190000000000001</v>
      </c>
      <c r="I3361" t="s">
        <v>2354</v>
      </c>
    </row>
    <row r="3362" spans="1:9" x14ac:dyDescent="0.25">
      <c r="A3362" t="s">
        <v>220</v>
      </c>
      <c r="B3362" t="s">
        <v>2351</v>
      </c>
      <c r="C3362" t="s">
        <v>3187</v>
      </c>
      <c r="D3362" t="s">
        <v>3188</v>
      </c>
      <c r="F3362">
        <v>15</v>
      </c>
      <c r="G3362">
        <v>0.114</v>
      </c>
      <c r="H3362">
        <v>1.71</v>
      </c>
      <c r="I3362" t="s">
        <v>2354</v>
      </c>
    </row>
    <row r="3363" spans="1:9" x14ac:dyDescent="0.25">
      <c r="A3363" t="s">
        <v>220</v>
      </c>
      <c r="B3363" t="s">
        <v>2351</v>
      </c>
      <c r="C3363" t="s">
        <v>3189</v>
      </c>
      <c r="D3363" t="s">
        <v>3190</v>
      </c>
      <c r="F3363">
        <v>10</v>
      </c>
      <c r="G3363">
        <v>1.681</v>
      </c>
      <c r="H3363">
        <v>16.810000000000002</v>
      </c>
      <c r="I3363" t="s">
        <v>2354</v>
      </c>
    </row>
    <row r="3364" spans="1:9" x14ac:dyDescent="0.25">
      <c r="A3364" t="s">
        <v>220</v>
      </c>
      <c r="B3364" t="s">
        <v>2351</v>
      </c>
      <c r="C3364" t="s">
        <v>3191</v>
      </c>
      <c r="D3364" t="s">
        <v>3192</v>
      </c>
      <c r="F3364">
        <v>10</v>
      </c>
      <c r="G3364">
        <v>2.2610000000000001</v>
      </c>
      <c r="H3364">
        <v>22.61</v>
      </c>
      <c r="I3364" t="s">
        <v>2354</v>
      </c>
    </row>
    <row r="3365" spans="1:9" x14ac:dyDescent="0.25">
      <c r="A3365" t="s">
        <v>220</v>
      </c>
      <c r="B3365" t="s">
        <v>2351</v>
      </c>
      <c r="C3365" t="s">
        <v>3193</v>
      </c>
      <c r="D3365" t="s">
        <v>3194</v>
      </c>
      <c r="F3365">
        <v>10</v>
      </c>
      <c r="G3365">
        <v>0.42</v>
      </c>
      <c r="H3365">
        <v>4.2</v>
      </c>
      <c r="I3365" t="s">
        <v>2354</v>
      </c>
    </row>
    <row r="3366" spans="1:9" x14ac:dyDescent="0.25">
      <c r="A3366" t="s">
        <v>220</v>
      </c>
      <c r="B3366" t="s">
        <v>2351</v>
      </c>
      <c r="C3366" t="s">
        <v>3195</v>
      </c>
      <c r="D3366" t="s">
        <v>3196</v>
      </c>
      <c r="F3366">
        <v>1</v>
      </c>
      <c r="G3366">
        <v>13.99</v>
      </c>
      <c r="H3366">
        <v>13.99</v>
      </c>
      <c r="I3366" t="s">
        <v>2354</v>
      </c>
    </row>
    <row r="3367" spans="1:9" x14ac:dyDescent="0.25">
      <c r="A3367" t="s">
        <v>220</v>
      </c>
      <c r="B3367" t="s">
        <v>2351</v>
      </c>
      <c r="C3367" t="s">
        <v>3197</v>
      </c>
      <c r="D3367" t="s">
        <v>3198</v>
      </c>
      <c r="F3367">
        <v>1</v>
      </c>
      <c r="G3367">
        <v>16.638999999999999</v>
      </c>
      <c r="H3367">
        <v>16.638999999999999</v>
      </c>
      <c r="I3367" t="s">
        <v>2354</v>
      </c>
    </row>
    <row r="3368" spans="1:9" x14ac:dyDescent="0.25">
      <c r="A3368" t="s">
        <v>220</v>
      </c>
      <c r="B3368" t="s">
        <v>2351</v>
      </c>
      <c r="C3368" t="s">
        <v>3209</v>
      </c>
      <c r="D3368" t="s">
        <v>3210</v>
      </c>
      <c r="F3368">
        <v>1</v>
      </c>
      <c r="G3368">
        <v>3.5928</v>
      </c>
      <c r="H3368">
        <v>3.5928</v>
      </c>
      <c r="I3368" t="s">
        <v>2354</v>
      </c>
    </row>
    <row r="3369" spans="1:9" x14ac:dyDescent="0.25">
      <c r="A3369" t="s">
        <v>220</v>
      </c>
      <c r="B3369" t="s">
        <v>2351</v>
      </c>
      <c r="C3369" t="s">
        <v>3211</v>
      </c>
      <c r="D3369" t="s">
        <v>3212</v>
      </c>
      <c r="F3369">
        <v>36</v>
      </c>
      <c r="G3369">
        <v>0.41129999999999994</v>
      </c>
      <c r="H3369">
        <v>14.806799999999997</v>
      </c>
      <c r="I3369" t="s">
        <v>2354</v>
      </c>
    </row>
    <row r="3370" spans="1:9" x14ac:dyDescent="0.25">
      <c r="A3370" t="s">
        <v>220</v>
      </c>
      <c r="B3370" t="s">
        <v>2351</v>
      </c>
      <c r="C3370" t="s">
        <v>3213</v>
      </c>
      <c r="D3370" t="s">
        <v>3214</v>
      </c>
      <c r="F3370">
        <v>31</v>
      </c>
      <c r="G3370">
        <v>0.70656967213114763</v>
      </c>
      <c r="H3370">
        <v>21.903659836065575</v>
      </c>
      <c r="I3370" t="s">
        <v>2354</v>
      </c>
    </row>
    <row r="3371" spans="1:9" x14ac:dyDescent="0.25">
      <c r="A3371" t="s">
        <v>220</v>
      </c>
      <c r="B3371" t="s">
        <v>2351</v>
      </c>
      <c r="C3371" t="s">
        <v>3215</v>
      </c>
      <c r="D3371" t="s">
        <v>3216</v>
      </c>
      <c r="F3371">
        <v>20</v>
      </c>
      <c r="G3371">
        <v>0.89190000000000003</v>
      </c>
      <c r="H3371">
        <v>17.838000000000001</v>
      </c>
      <c r="I3371" t="s">
        <v>2354</v>
      </c>
    </row>
    <row r="3372" spans="1:9" x14ac:dyDescent="0.25">
      <c r="A3372" t="s">
        <v>220</v>
      </c>
      <c r="B3372" t="s">
        <v>2351</v>
      </c>
      <c r="C3372" t="s">
        <v>3217</v>
      </c>
      <c r="D3372" t="s">
        <v>3218</v>
      </c>
      <c r="F3372">
        <v>29</v>
      </c>
      <c r="G3372">
        <v>0.89190000000000003</v>
      </c>
      <c r="H3372">
        <v>25.865100000000002</v>
      </c>
      <c r="I3372" t="s">
        <v>2354</v>
      </c>
    </row>
    <row r="3373" spans="1:9" x14ac:dyDescent="0.25">
      <c r="A3373" t="s">
        <v>220</v>
      </c>
      <c r="B3373" t="s">
        <v>2351</v>
      </c>
      <c r="C3373" t="s">
        <v>3219</v>
      </c>
      <c r="D3373" t="s">
        <v>3220</v>
      </c>
      <c r="F3373">
        <v>20</v>
      </c>
      <c r="G3373">
        <v>0.89190000000000003</v>
      </c>
      <c r="H3373">
        <v>17.838000000000001</v>
      </c>
      <c r="I3373" t="s">
        <v>2354</v>
      </c>
    </row>
    <row r="3374" spans="1:9" x14ac:dyDescent="0.25">
      <c r="A3374" t="s">
        <v>220</v>
      </c>
      <c r="B3374" t="s">
        <v>2351</v>
      </c>
      <c r="C3374" t="s">
        <v>3223</v>
      </c>
      <c r="D3374" t="s">
        <v>3224</v>
      </c>
      <c r="F3374">
        <v>7</v>
      </c>
      <c r="G3374">
        <v>1.5</v>
      </c>
      <c r="H3374">
        <v>10.5</v>
      </c>
      <c r="I3374" t="s">
        <v>2354</v>
      </c>
    </row>
    <row r="3375" spans="1:9" x14ac:dyDescent="0.25">
      <c r="A3375" t="s">
        <v>220</v>
      </c>
      <c r="B3375" t="s">
        <v>2351</v>
      </c>
      <c r="C3375" t="s">
        <v>3357</v>
      </c>
      <c r="D3375" t="s">
        <v>3358</v>
      </c>
      <c r="F3375">
        <v>28</v>
      </c>
      <c r="G3375">
        <v>0.36099999999999999</v>
      </c>
      <c r="H3375">
        <v>10.108000000000001</v>
      </c>
      <c r="I3375" t="s">
        <v>2354</v>
      </c>
    </row>
    <row r="3376" spans="1:9" x14ac:dyDescent="0.25">
      <c r="A3376" t="s">
        <v>220</v>
      </c>
      <c r="B3376" t="s">
        <v>2351</v>
      </c>
      <c r="C3376" t="s">
        <v>3359</v>
      </c>
      <c r="D3376" t="s">
        <v>3360</v>
      </c>
      <c r="F3376">
        <v>90</v>
      </c>
      <c r="G3376">
        <v>0.10199999999999999</v>
      </c>
      <c r="H3376">
        <v>9.18</v>
      </c>
      <c r="I3376" t="s">
        <v>2354</v>
      </c>
    </row>
    <row r="3377" spans="1:9" x14ac:dyDescent="0.25">
      <c r="A3377" t="s">
        <v>220</v>
      </c>
      <c r="B3377" t="s">
        <v>2351</v>
      </c>
      <c r="C3377" t="s">
        <v>3453</v>
      </c>
      <c r="D3377" t="s">
        <v>3454</v>
      </c>
      <c r="F3377">
        <v>170</v>
      </c>
      <c r="G3377">
        <v>1.1475</v>
      </c>
      <c r="H3377">
        <v>195.07499999999999</v>
      </c>
      <c r="I3377" t="s">
        <v>2354</v>
      </c>
    </row>
    <row r="3378" spans="1:9" x14ac:dyDescent="0.25">
      <c r="A3378" t="s">
        <v>220</v>
      </c>
      <c r="B3378" t="s">
        <v>2351</v>
      </c>
      <c r="C3378" t="s">
        <v>3455</v>
      </c>
      <c r="D3378" t="s">
        <v>3456</v>
      </c>
      <c r="F3378">
        <v>194</v>
      </c>
      <c r="G3378">
        <v>1.6575</v>
      </c>
      <c r="H3378">
        <v>321.55500000000001</v>
      </c>
      <c r="I3378" t="s">
        <v>2354</v>
      </c>
    </row>
    <row r="3379" spans="1:9" x14ac:dyDescent="0.25">
      <c r="A3379" t="s">
        <v>220</v>
      </c>
      <c r="B3379" t="s">
        <v>2351</v>
      </c>
      <c r="C3379" t="s">
        <v>3457</v>
      </c>
      <c r="D3379" t="s">
        <v>3458</v>
      </c>
      <c r="F3379">
        <v>173</v>
      </c>
      <c r="G3379">
        <v>1.1511</v>
      </c>
      <c r="H3379">
        <v>199.1403</v>
      </c>
      <c r="I3379" t="s">
        <v>2354</v>
      </c>
    </row>
    <row r="3380" spans="1:9" x14ac:dyDescent="0.25">
      <c r="A3380" t="s">
        <v>220</v>
      </c>
      <c r="B3380" t="s">
        <v>2351</v>
      </c>
      <c r="C3380" t="s">
        <v>3459</v>
      </c>
      <c r="D3380" t="s">
        <v>3460</v>
      </c>
      <c r="F3380">
        <v>150</v>
      </c>
      <c r="G3380">
        <v>2.5245000000000002</v>
      </c>
      <c r="H3380">
        <v>378.67500000000001</v>
      </c>
      <c r="I3380" t="s">
        <v>2354</v>
      </c>
    </row>
    <row r="3381" spans="1:9" x14ac:dyDescent="0.25">
      <c r="A3381" t="s">
        <v>220</v>
      </c>
      <c r="B3381" t="s">
        <v>2351</v>
      </c>
      <c r="C3381" t="s">
        <v>3461</v>
      </c>
      <c r="D3381" t="s">
        <v>3462</v>
      </c>
      <c r="F3381">
        <v>50</v>
      </c>
      <c r="G3381">
        <v>3.33</v>
      </c>
      <c r="H3381">
        <v>166.5</v>
      </c>
      <c r="I3381" t="s">
        <v>2354</v>
      </c>
    </row>
    <row r="3382" spans="1:9" x14ac:dyDescent="0.25">
      <c r="A3382" t="s">
        <v>220</v>
      </c>
      <c r="B3382" t="s">
        <v>2351</v>
      </c>
      <c r="C3382" t="s">
        <v>3463</v>
      </c>
      <c r="D3382" t="s">
        <v>3464</v>
      </c>
      <c r="F3382">
        <v>16</v>
      </c>
      <c r="G3382">
        <v>2.2701799999999999</v>
      </c>
      <c r="H3382">
        <v>36.322879999999998</v>
      </c>
      <c r="I3382" t="s">
        <v>2354</v>
      </c>
    </row>
    <row r="3383" spans="1:9" x14ac:dyDescent="0.25">
      <c r="A3383" t="s">
        <v>220</v>
      </c>
      <c r="B3383" t="s">
        <v>2351</v>
      </c>
      <c r="C3383" t="s">
        <v>3543</v>
      </c>
      <c r="D3383" t="s">
        <v>3544</v>
      </c>
      <c r="F3383">
        <v>25</v>
      </c>
      <c r="G3383">
        <v>6.85</v>
      </c>
      <c r="H3383">
        <v>171.25</v>
      </c>
      <c r="I3383" t="s">
        <v>2354</v>
      </c>
    </row>
    <row r="3384" spans="1:9" x14ac:dyDescent="0.25">
      <c r="A3384" t="s">
        <v>220</v>
      </c>
      <c r="B3384" t="s">
        <v>2351</v>
      </c>
      <c r="C3384" t="s">
        <v>3545</v>
      </c>
      <c r="D3384" t="s">
        <v>3546</v>
      </c>
      <c r="F3384">
        <v>7</v>
      </c>
      <c r="G3384">
        <v>2.7899999999999996</v>
      </c>
      <c r="H3384">
        <v>19.529999999999998</v>
      </c>
      <c r="I3384" t="s">
        <v>2354</v>
      </c>
    </row>
    <row r="3385" spans="1:9" x14ac:dyDescent="0.25">
      <c r="A3385" t="s">
        <v>220</v>
      </c>
      <c r="B3385" t="s">
        <v>2351</v>
      </c>
      <c r="C3385" t="s">
        <v>2425</v>
      </c>
      <c r="D3385" t="s">
        <v>2426</v>
      </c>
      <c r="F3385">
        <v>10</v>
      </c>
      <c r="G3385">
        <v>3.92</v>
      </c>
      <c r="H3385">
        <v>39.200000000000003</v>
      </c>
      <c r="I3385" t="s">
        <v>2354</v>
      </c>
    </row>
    <row r="3386" spans="1:9" x14ac:dyDescent="0.25">
      <c r="A3386" t="s">
        <v>220</v>
      </c>
      <c r="B3386" t="s">
        <v>2351</v>
      </c>
      <c r="C3386" t="s">
        <v>3547</v>
      </c>
      <c r="D3386" t="s">
        <v>3548</v>
      </c>
      <c r="F3386">
        <v>37</v>
      </c>
      <c r="G3386">
        <v>3.8079999999999998</v>
      </c>
      <c r="H3386">
        <v>140.89599999999999</v>
      </c>
      <c r="I3386" t="s">
        <v>2354</v>
      </c>
    </row>
    <row r="3387" spans="1:9" x14ac:dyDescent="0.25">
      <c r="A3387" t="s">
        <v>220</v>
      </c>
      <c r="B3387" t="s">
        <v>2351</v>
      </c>
      <c r="C3387" t="s">
        <v>3549</v>
      </c>
      <c r="D3387" t="s">
        <v>3550</v>
      </c>
      <c r="F3387">
        <v>5</v>
      </c>
      <c r="G3387">
        <v>8.264325358851675</v>
      </c>
      <c r="H3387">
        <v>41.321626794258378</v>
      </c>
      <c r="I3387" t="s">
        <v>2354</v>
      </c>
    </row>
    <row r="3388" spans="1:9" x14ac:dyDescent="0.25">
      <c r="A3388" t="s">
        <v>220</v>
      </c>
      <c r="B3388" t="s">
        <v>2351</v>
      </c>
      <c r="C3388" t="s">
        <v>3551</v>
      </c>
      <c r="D3388" t="s">
        <v>3552</v>
      </c>
      <c r="F3388">
        <v>25</v>
      </c>
      <c r="G3388">
        <v>3.3299999999999996</v>
      </c>
      <c r="H3388">
        <v>83.249999999999986</v>
      </c>
      <c r="I3388" t="s">
        <v>2354</v>
      </c>
    </row>
    <row r="3389" spans="1:9" x14ac:dyDescent="0.25">
      <c r="A3389" t="s">
        <v>220</v>
      </c>
      <c r="B3389" t="s">
        <v>2351</v>
      </c>
      <c r="C3389" t="s">
        <v>3553</v>
      </c>
      <c r="D3389" t="s">
        <v>3554</v>
      </c>
      <c r="F3389">
        <v>40</v>
      </c>
      <c r="G3389">
        <v>3.298</v>
      </c>
      <c r="H3389">
        <v>131.92000000000002</v>
      </c>
      <c r="I3389" t="s">
        <v>2354</v>
      </c>
    </row>
    <row r="3390" spans="1:9" x14ac:dyDescent="0.25">
      <c r="A3390" t="s">
        <v>220</v>
      </c>
      <c r="B3390" t="s">
        <v>2351</v>
      </c>
      <c r="C3390" t="s">
        <v>3555</v>
      </c>
      <c r="D3390" t="s">
        <v>3556</v>
      </c>
      <c r="F3390">
        <v>43</v>
      </c>
      <c r="G3390">
        <v>4.0205000000000002</v>
      </c>
      <c r="H3390">
        <v>172.88150000000002</v>
      </c>
      <c r="I3390" t="s">
        <v>2354</v>
      </c>
    </row>
    <row r="3391" spans="1:9" x14ac:dyDescent="0.25">
      <c r="A3391" t="s">
        <v>220</v>
      </c>
      <c r="B3391" t="s">
        <v>2351</v>
      </c>
      <c r="C3391" t="s">
        <v>3557</v>
      </c>
      <c r="D3391" t="s">
        <v>3558</v>
      </c>
      <c r="F3391">
        <v>27</v>
      </c>
      <c r="G3391">
        <v>2.6549999999999998</v>
      </c>
      <c r="H3391">
        <v>71.684999999999988</v>
      </c>
      <c r="I3391" t="s">
        <v>2354</v>
      </c>
    </row>
    <row r="3392" spans="1:9" x14ac:dyDescent="0.25">
      <c r="A3392" t="s">
        <v>220</v>
      </c>
      <c r="B3392" t="s">
        <v>2351</v>
      </c>
      <c r="C3392" t="s">
        <v>3559</v>
      </c>
      <c r="D3392" t="s">
        <v>3560</v>
      </c>
      <c r="F3392">
        <v>70</v>
      </c>
      <c r="G3392">
        <v>4.8150000000000004</v>
      </c>
      <c r="H3392">
        <v>337.05</v>
      </c>
      <c r="I3392" t="s">
        <v>2354</v>
      </c>
    </row>
    <row r="3393" spans="1:9" x14ac:dyDescent="0.25">
      <c r="A3393" t="s">
        <v>220</v>
      </c>
      <c r="B3393" t="s">
        <v>2351</v>
      </c>
      <c r="C3393" t="s">
        <v>3561</v>
      </c>
      <c r="D3393" t="s">
        <v>3562</v>
      </c>
      <c r="F3393">
        <v>51</v>
      </c>
      <c r="G3393">
        <v>1.7100000000000002</v>
      </c>
      <c r="H3393">
        <v>87.210000000000008</v>
      </c>
      <c r="I3393" t="s">
        <v>2354</v>
      </c>
    </row>
    <row r="3394" spans="1:9" x14ac:dyDescent="0.25">
      <c r="A3394" t="s">
        <v>220</v>
      </c>
      <c r="B3394" t="s">
        <v>2351</v>
      </c>
      <c r="C3394" t="s">
        <v>3563</v>
      </c>
      <c r="D3394" t="s">
        <v>3564</v>
      </c>
      <c r="F3394">
        <v>28</v>
      </c>
      <c r="G3394">
        <v>1.7100000000000002</v>
      </c>
      <c r="H3394">
        <v>47.88</v>
      </c>
      <c r="I3394" t="s">
        <v>2354</v>
      </c>
    </row>
    <row r="3395" spans="1:9" x14ac:dyDescent="0.25">
      <c r="A3395" t="s">
        <v>220</v>
      </c>
      <c r="B3395" t="s">
        <v>2351</v>
      </c>
      <c r="C3395" t="s">
        <v>3565</v>
      </c>
      <c r="D3395" t="s">
        <v>3566</v>
      </c>
      <c r="F3395">
        <v>55</v>
      </c>
      <c r="G3395">
        <v>2.7879999999999998</v>
      </c>
      <c r="H3395">
        <v>153.34</v>
      </c>
      <c r="I3395" t="s">
        <v>2354</v>
      </c>
    </row>
    <row r="3396" spans="1:9" x14ac:dyDescent="0.25">
      <c r="A3396" t="s">
        <v>220</v>
      </c>
      <c r="B3396" t="s">
        <v>2351</v>
      </c>
      <c r="C3396" t="s">
        <v>3567</v>
      </c>
      <c r="D3396" t="s">
        <v>3568</v>
      </c>
      <c r="F3396">
        <v>10</v>
      </c>
      <c r="G3396">
        <v>7.2479626957759846</v>
      </c>
      <c r="H3396">
        <v>72.479626957759848</v>
      </c>
      <c r="I3396" t="s">
        <v>2354</v>
      </c>
    </row>
    <row r="3397" spans="1:9" x14ac:dyDescent="0.25">
      <c r="A3397" t="s">
        <v>220</v>
      </c>
      <c r="B3397" t="s">
        <v>2351</v>
      </c>
      <c r="C3397" t="s">
        <v>3569</v>
      </c>
      <c r="D3397" t="s">
        <v>3570</v>
      </c>
      <c r="F3397">
        <v>12</v>
      </c>
      <c r="G3397">
        <v>1.5299999999999998</v>
      </c>
      <c r="H3397">
        <v>18.36</v>
      </c>
      <c r="I3397" t="s">
        <v>2354</v>
      </c>
    </row>
    <row r="3398" spans="1:9" x14ac:dyDescent="0.25">
      <c r="A3398" t="s">
        <v>220</v>
      </c>
      <c r="B3398" t="s">
        <v>2351</v>
      </c>
      <c r="C3398" t="s">
        <v>3571</v>
      </c>
      <c r="D3398" t="s">
        <v>3572</v>
      </c>
      <c r="F3398">
        <v>7</v>
      </c>
      <c r="G3398">
        <v>13.428499999999998</v>
      </c>
      <c r="H3398">
        <v>93.999499999999983</v>
      </c>
      <c r="I3398" t="s">
        <v>2354</v>
      </c>
    </row>
    <row r="3399" spans="1:9" x14ac:dyDescent="0.25">
      <c r="A3399" t="s">
        <v>220</v>
      </c>
      <c r="B3399" t="s">
        <v>2351</v>
      </c>
      <c r="C3399" t="s">
        <v>3573</v>
      </c>
      <c r="D3399" t="s">
        <v>3574</v>
      </c>
      <c r="F3399">
        <v>17</v>
      </c>
      <c r="G3399">
        <v>5.5250000000000004</v>
      </c>
      <c r="H3399">
        <v>93.925000000000011</v>
      </c>
      <c r="I3399" t="s">
        <v>2354</v>
      </c>
    </row>
    <row r="3400" spans="1:9" x14ac:dyDescent="0.25">
      <c r="A3400" t="s">
        <v>220</v>
      </c>
      <c r="B3400" t="s">
        <v>2351</v>
      </c>
      <c r="C3400" t="s">
        <v>2411</v>
      </c>
      <c r="D3400" t="s">
        <v>2412</v>
      </c>
      <c r="F3400">
        <v>9</v>
      </c>
      <c r="G3400">
        <v>2.88</v>
      </c>
      <c r="H3400">
        <v>25.919999999999998</v>
      </c>
      <c r="I3400" t="s">
        <v>2354</v>
      </c>
    </row>
    <row r="3401" spans="1:9" x14ac:dyDescent="0.25">
      <c r="A3401" t="s">
        <v>220</v>
      </c>
      <c r="B3401" t="s">
        <v>2351</v>
      </c>
      <c r="C3401" t="s">
        <v>3575</v>
      </c>
      <c r="D3401" t="s">
        <v>3576</v>
      </c>
      <c r="F3401">
        <v>29</v>
      </c>
      <c r="G3401">
        <v>2.3111666666666668</v>
      </c>
      <c r="H3401">
        <v>67.023833333333343</v>
      </c>
      <c r="I3401" t="s">
        <v>2354</v>
      </c>
    </row>
    <row r="3402" spans="1:9" x14ac:dyDescent="0.25">
      <c r="A3402" t="s">
        <v>220</v>
      </c>
      <c r="B3402" t="s">
        <v>2351</v>
      </c>
      <c r="C3402" t="s">
        <v>3579</v>
      </c>
      <c r="D3402" t="s">
        <v>3580</v>
      </c>
      <c r="F3402">
        <v>36</v>
      </c>
      <c r="G3402">
        <v>2.7454999999999998</v>
      </c>
      <c r="H3402">
        <v>98.837999999999994</v>
      </c>
      <c r="I3402" t="s">
        <v>2354</v>
      </c>
    </row>
    <row r="3403" spans="1:9" x14ac:dyDescent="0.25">
      <c r="A3403" t="s">
        <v>220</v>
      </c>
      <c r="B3403" t="s">
        <v>2351</v>
      </c>
      <c r="C3403" t="s">
        <v>3581</v>
      </c>
      <c r="D3403" t="s">
        <v>3582</v>
      </c>
      <c r="F3403">
        <v>44</v>
      </c>
      <c r="G3403">
        <v>2.7879999999999998</v>
      </c>
      <c r="H3403">
        <v>122.672</v>
      </c>
      <c r="I3403" t="s">
        <v>2354</v>
      </c>
    </row>
    <row r="3404" spans="1:9" x14ac:dyDescent="0.25">
      <c r="A3404" t="s">
        <v>220</v>
      </c>
      <c r="B3404" t="s">
        <v>2351</v>
      </c>
      <c r="C3404" t="s">
        <v>3583</v>
      </c>
      <c r="D3404" t="s">
        <v>3584</v>
      </c>
      <c r="F3404">
        <v>38</v>
      </c>
      <c r="G3404">
        <v>2.7</v>
      </c>
      <c r="H3404">
        <v>102.60000000000001</v>
      </c>
      <c r="I3404" t="s">
        <v>2354</v>
      </c>
    </row>
    <row r="3405" spans="1:9" x14ac:dyDescent="0.25">
      <c r="A3405" t="s">
        <v>220</v>
      </c>
      <c r="B3405" t="s">
        <v>2351</v>
      </c>
      <c r="C3405" t="s">
        <v>3585</v>
      </c>
      <c r="D3405" t="s">
        <v>3586</v>
      </c>
      <c r="F3405">
        <v>44</v>
      </c>
      <c r="G3405">
        <v>2.8220000000000001</v>
      </c>
      <c r="H3405">
        <v>124.16800000000001</v>
      </c>
      <c r="I3405" t="s">
        <v>2354</v>
      </c>
    </row>
    <row r="3406" spans="1:9" x14ac:dyDescent="0.25">
      <c r="A3406" t="s">
        <v>220</v>
      </c>
      <c r="B3406" t="s">
        <v>2351</v>
      </c>
      <c r="C3406" t="s">
        <v>3587</v>
      </c>
      <c r="D3406" t="s">
        <v>3588</v>
      </c>
      <c r="F3406">
        <v>38</v>
      </c>
      <c r="G3406">
        <v>2.61</v>
      </c>
      <c r="H3406">
        <v>99.179999999999993</v>
      </c>
      <c r="I3406" t="s">
        <v>2354</v>
      </c>
    </row>
    <row r="3407" spans="1:9" x14ac:dyDescent="0.25">
      <c r="A3407" t="s">
        <v>220</v>
      </c>
      <c r="B3407" t="s">
        <v>2351</v>
      </c>
      <c r="C3407" t="s">
        <v>3589</v>
      </c>
      <c r="D3407" t="s">
        <v>3590</v>
      </c>
      <c r="F3407">
        <v>5</v>
      </c>
      <c r="G3407">
        <v>3.0855000000000001</v>
      </c>
      <c r="H3407">
        <v>15.4275</v>
      </c>
      <c r="I3407" t="s">
        <v>2354</v>
      </c>
    </row>
    <row r="3408" spans="1:9" x14ac:dyDescent="0.25">
      <c r="A3408" t="s">
        <v>220</v>
      </c>
      <c r="B3408" t="s">
        <v>2351</v>
      </c>
      <c r="C3408" t="s">
        <v>3591</v>
      </c>
      <c r="D3408" t="s">
        <v>3592</v>
      </c>
      <c r="F3408">
        <v>32</v>
      </c>
      <c r="G3408">
        <v>2.7029999999999998</v>
      </c>
      <c r="H3408">
        <v>86.495999999999995</v>
      </c>
      <c r="I3408" t="s">
        <v>2354</v>
      </c>
    </row>
    <row r="3409" spans="1:9" x14ac:dyDescent="0.25">
      <c r="A3409" t="s">
        <v>220</v>
      </c>
      <c r="B3409" t="s">
        <v>2351</v>
      </c>
      <c r="C3409" t="s">
        <v>3593</v>
      </c>
      <c r="D3409" t="s">
        <v>3594</v>
      </c>
      <c r="F3409">
        <v>20</v>
      </c>
      <c r="G3409">
        <v>3.383</v>
      </c>
      <c r="H3409">
        <v>67.66</v>
      </c>
      <c r="I3409" t="s">
        <v>2354</v>
      </c>
    </row>
    <row r="3410" spans="1:9" x14ac:dyDescent="0.25">
      <c r="A3410" t="s">
        <v>220</v>
      </c>
      <c r="B3410" t="s">
        <v>2351</v>
      </c>
      <c r="C3410" t="s">
        <v>2415</v>
      </c>
      <c r="D3410" t="s">
        <v>2416</v>
      </c>
      <c r="F3410">
        <v>10</v>
      </c>
      <c r="G3410">
        <v>3.84</v>
      </c>
      <c r="H3410">
        <v>38.4</v>
      </c>
      <c r="I3410" t="s">
        <v>2354</v>
      </c>
    </row>
    <row r="3411" spans="1:9" x14ac:dyDescent="0.25">
      <c r="A3411" t="s">
        <v>220</v>
      </c>
      <c r="B3411" t="s">
        <v>2351</v>
      </c>
      <c r="C3411" t="s">
        <v>3595</v>
      </c>
      <c r="D3411" t="s">
        <v>3596</v>
      </c>
      <c r="F3411">
        <v>34</v>
      </c>
      <c r="G3411">
        <v>3.2980000000000005</v>
      </c>
      <c r="H3411">
        <v>112.13200000000002</v>
      </c>
      <c r="I3411" t="s">
        <v>2354</v>
      </c>
    </row>
    <row r="3412" spans="1:9" x14ac:dyDescent="0.25">
      <c r="A3412" t="s">
        <v>220</v>
      </c>
      <c r="B3412" t="s">
        <v>2351</v>
      </c>
      <c r="C3412" t="s">
        <v>3597</v>
      </c>
      <c r="D3412" t="s">
        <v>3598</v>
      </c>
      <c r="F3412">
        <v>54</v>
      </c>
      <c r="G3412">
        <v>3.077</v>
      </c>
      <c r="H3412">
        <v>166.15799999999999</v>
      </c>
      <c r="I3412" t="s">
        <v>2354</v>
      </c>
    </row>
    <row r="3413" spans="1:9" x14ac:dyDescent="0.25">
      <c r="A3413" t="s">
        <v>220</v>
      </c>
      <c r="B3413" t="s">
        <v>2351</v>
      </c>
      <c r="C3413" t="s">
        <v>3599</v>
      </c>
      <c r="D3413" t="s">
        <v>3600</v>
      </c>
      <c r="F3413">
        <v>2</v>
      </c>
      <c r="G3413">
        <v>3.57</v>
      </c>
      <c r="H3413">
        <v>7.14</v>
      </c>
      <c r="I3413" t="s">
        <v>2354</v>
      </c>
    </row>
    <row r="3414" spans="1:9" x14ac:dyDescent="0.25">
      <c r="A3414" t="s">
        <v>220</v>
      </c>
      <c r="B3414" t="s">
        <v>2351</v>
      </c>
      <c r="C3414" t="s">
        <v>2431</v>
      </c>
      <c r="D3414" t="s">
        <v>2432</v>
      </c>
      <c r="F3414">
        <v>10</v>
      </c>
      <c r="G3414">
        <v>4.5599999999999996</v>
      </c>
      <c r="H3414">
        <v>45.599999999999994</v>
      </c>
      <c r="I3414" t="s">
        <v>2354</v>
      </c>
    </row>
    <row r="3415" spans="1:9" x14ac:dyDescent="0.25">
      <c r="A3415" t="s">
        <v>220</v>
      </c>
      <c r="B3415" t="s">
        <v>2351</v>
      </c>
      <c r="C3415" t="s">
        <v>3603</v>
      </c>
      <c r="D3415" t="s">
        <v>3604</v>
      </c>
      <c r="F3415">
        <v>5</v>
      </c>
      <c r="G3415">
        <v>0</v>
      </c>
      <c r="H3415">
        <v>0</v>
      </c>
      <c r="I3415" t="s">
        <v>2354</v>
      </c>
    </row>
    <row r="3416" spans="1:9" x14ac:dyDescent="0.25">
      <c r="A3416" t="s">
        <v>220</v>
      </c>
      <c r="B3416" t="s">
        <v>2351</v>
      </c>
      <c r="C3416" t="s">
        <v>2440</v>
      </c>
      <c r="D3416" t="s">
        <v>2441</v>
      </c>
      <c r="F3416">
        <v>12</v>
      </c>
      <c r="G3416">
        <v>2.6179999999999999</v>
      </c>
      <c r="H3416">
        <v>31.415999999999997</v>
      </c>
      <c r="I3416" t="s">
        <v>2354</v>
      </c>
    </row>
    <row r="3417" spans="1:9" x14ac:dyDescent="0.25">
      <c r="A3417" t="s">
        <v>220</v>
      </c>
      <c r="B3417" t="s">
        <v>2351</v>
      </c>
      <c r="C3417" t="s">
        <v>3605</v>
      </c>
      <c r="D3417" t="s">
        <v>3606</v>
      </c>
      <c r="F3417">
        <v>43</v>
      </c>
      <c r="G3417">
        <v>4.5</v>
      </c>
      <c r="H3417">
        <v>193.5</v>
      </c>
      <c r="I3417" t="s">
        <v>2354</v>
      </c>
    </row>
    <row r="3418" spans="1:9" x14ac:dyDescent="0.25">
      <c r="A3418" t="s">
        <v>220</v>
      </c>
      <c r="B3418" t="s">
        <v>2351</v>
      </c>
      <c r="C3418" t="s">
        <v>3609</v>
      </c>
      <c r="D3418" t="s">
        <v>3610</v>
      </c>
      <c r="F3418">
        <v>18</v>
      </c>
      <c r="G3418">
        <v>7.4969999999999999</v>
      </c>
      <c r="H3418">
        <v>134.946</v>
      </c>
      <c r="I3418" t="s">
        <v>2354</v>
      </c>
    </row>
    <row r="3419" spans="1:9" x14ac:dyDescent="0.25">
      <c r="A3419" t="s">
        <v>220</v>
      </c>
      <c r="B3419" t="s">
        <v>2351</v>
      </c>
      <c r="C3419" t="s">
        <v>2433</v>
      </c>
      <c r="D3419" t="s">
        <v>2434</v>
      </c>
      <c r="F3419">
        <v>23</v>
      </c>
      <c r="G3419">
        <v>5.5419999999999998</v>
      </c>
      <c r="H3419">
        <v>127.46599999999999</v>
      </c>
      <c r="I3419" t="s">
        <v>2354</v>
      </c>
    </row>
    <row r="3420" spans="1:9" x14ac:dyDescent="0.25">
      <c r="A3420" t="s">
        <v>220</v>
      </c>
      <c r="B3420" t="s">
        <v>2351</v>
      </c>
      <c r="C3420" t="s">
        <v>3611</v>
      </c>
      <c r="D3420" t="s">
        <v>3612</v>
      </c>
      <c r="F3420">
        <v>5</v>
      </c>
      <c r="G3420">
        <v>15.581</v>
      </c>
      <c r="H3420">
        <v>77.905000000000001</v>
      </c>
      <c r="I3420" t="s">
        <v>2354</v>
      </c>
    </row>
    <row r="3421" spans="1:9" x14ac:dyDescent="0.25">
      <c r="A3421" t="s">
        <v>220</v>
      </c>
      <c r="B3421" t="s">
        <v>2351</v>
      </c>
      <c r="C3421" t="s">
        <v>3613</v>
      </c>
      <c r="D3421" t="s">
        <v>3614</v>
      </c>
      <c r="F3421">
        <v>21</v>
      </c>
      <c r="G3421">
        <v>2.61</v>
      </c>
      <c r="H3421">
        <v>54.809999999999995</v>
      </c>
      <c r="I3421" t="s">
        <v>2354</v>
      </c>
    </row>
    <row r="3422" spans="1:9" x14ac:dyDescent="0.25">
      <c r="A3422" t="s">
        <v>220</v>
      </c>
      <c r="B3422" t="s">
        <v>2351</v>
      </c>
      <c r="C3422" t="s">
        <v>3615</v>
      </c>
      <c r="D3422" t="s">
        <v>3616</v>
      </c>
      <c r="F3422">
        <v>23</v>
      </c>
      <c r="G3422">
        <v>8.2278000000000002</v>
      </c>
      <c r="H3422">
        <v>189.23940000000002</v>
      </c>
      <c r="I3422" t="s">
        <v>2354</v>
      </c>
    </row>
    <row r="3423" spans="1:9" x14ac:dyDescent="0.25">
      <c r="A3423" t="s">
        <v>220</v>
      </c>
      <c r="B3423" t="s">
        <v>2351</v>
      </c>
      <c r="C3423" t="s">
        <v>3617</v>
      </c>
      <c r="D3423" t="s">
        <v>3618</v>
      </c>
      <c r="F3423">
        <v>18</v>
      </c>
      <c r="G3423">
        <v>2.7040000000000002</v>
      </c>
      <c r="H3423">
        <v>48.672000000000004</v>
      </c>
      <c r="I3423" t="s">
        <v>2354</v>
      </c>
    </row>
    <row r="3424" spans="1:9" x14ac:dyDescent="0.25">
      <c r="A3424" t="s">
        <v>220</v>
      </c>
      <c r="B3424" t="s">
        <v>2351</v>
      </c>
      <c r="C3424" t="s">
        <v>3621</v>
      </c>
      <c r="D3424" t="s">
        <v>3622</v>
      </c>
      <c r="F3424">
        <v>26</v>
      </c>
      <c r="G3424">
        <v>3.0179999999999998</v>
      </c>
      <c r="H3424">
        <v>78.467999999999989</v>
      </c>
      <c r="I3424" t="s">
        <v>2354</v>
      </c>
    </row>
    <row r="3425" spans="1:9" x14ac:dyDescent="0.25">
      <c r="A3425" t="s">
        <v>220</v>
      </c>
      <c r="B3425" t="s">
        <v>2351</v>
      </c>
      <c r="C3425" t="s">
        <v>3623</v>
      </c>
      <c r="D3425" t="s">
        <v>3624</v>
      </c>
      <c r="F3425">
        <v>15</v>
      </c>
      <c r="G3425">
        <v>4.08</v>
      </c>
      <c r="H3425">
        <v>61.2</v>
      </c>
      <c r="I3425" t="s">
        <v>2354</v>
      </c>
    </row>
    <row r="3426" spans="1:9" x14ac:dyDescent="0.25">
      <c r="A3426" t="s">
        <v>220</v>
      </c>
      <c r="B3426" t="s">
        <v>2351</v>
      </c>
      <c r="C3426" t="s">
        <v>2435</v>
      </c>
      <c r="D3426" t="s">
        <v>2436</v>
      </c>
      <c r="F3426">
        <v>10</v>
      </c>
      <c r="G3426">
        <v>6.4550000000000001</v>
      </c>
      <c r="H3426">
        <v>64.55</v>
      </c>
      <c r="I3426" t="s">
        <v>2354</v>
      </c>
    </row>
    <row r="3427" spans="1:9" x14ac:dyDescent="0.25">
      <c r="A3427" t="s">
        <v>220</v>
      </c>
      <c r="B3427" t="s">
        <v>2351</v>
      </c>
      <c r="C3427" t="s">
        <v>3627</v>
      </c>
      <c r="D3427" t="s">
        <v>3628</v>
      </c>
      <c r="F3427">
        <v>17</v>
      </c>
      <c r="G3427">
        <v>1.679</v>
      </c>
      <c r="H3427">
        <v>28.542999999999999</v>
      </c>
      <c r="I3427" t="s">
        <v>2354</v>
      </c>
    </row>
    <row r="3428" spans="1:9" x14ac:dyDescent="0.25">
      <c r="A3428" t="s">
        <v>220</v>
      </c>
      <c r="B3428" t="s">
        <v>2351</v>
      </c>
      <c r="C3428" t="s">
        <v>2421</v>
      </c>
      <c r="D3428" t="s">
        <v>2422</v>
      </c>
      <c r="F3428">
        <v>15</v>
      </c>
      <c r="G3428">
        <v>21.785499999999999</v>
      </c>
      <c r="H3428">
        <v>326.78249999999997</v>
      </c>
      <c r="I3428" t="s">
        <v>2354</v>
      </c>
    </row>
    <row r="3429" spans="1:9" x14ac:dyDescent="0.25">
      <c r="A3429" t="s">
        <v>220</v>
      </c>
      <c r="B3429" t="s">
        <v>2351</v>
      </c>
      <c r="C3429" t="s">
        <v>3629</v>
      </c>
      <c r="D3429" t="s">
        <v>3630</v>
      </c>
      <c r="F3429">
        <v>29</v>
      </c>
      <c r="G3429">
        <v>1.1729999999999998</v>
      </c>
      <c r="H3429">
        <v>34.016999999999996</v>
      </c>
      <c r="I3429" t="s">
        <v>2354</v>
      </c>
    </row>
    <row r="3430" spans="1:9" x14ac:dyDescent="0.25">
      <c r="A3430" t="s">
        <v>220</v>
      </c>
      <c r="B3430" t="s">
        <v>2351</v>
      </c>
      <c r="C3430" t="s">
        <v>3631</v>
      </c>
      <c r="D3430" t="s">
        <v>3632</v>
      </c>
      <c r="F3430">
        <v>30</v>
      </c>
      <c r="G3430">
        <v>1.6872499999999999</v>
      </c>
      <c r="H3430">
        <v>50.6175</v>
      </c>
      <c r="I3430" t="s">
        <v>2354</v>
      </c>
    </row>
    <row r="3431" spans="1:9" x14ac:dyDescent="0.25">
      <c r="A3431" t="s">
        <v>220</v>
      </c>
      <c r="B3431" t="s">
        <v>2351</v>
      </c>
      <c r="C3431" t="s">
        <v>2407</v>
      </c>
      <c r="D3431" t="s">
        <v>2408</v>
      </c>
      <c r="F3431">
        <v>17</v>
      </c>
      <c r="G3431">
        <v>19.8</v>
      </c>
      <c r="H3431">
        <v>336.6</v>
      </c>
      <c r="I3431" t="s">
        <v>2354</v>
      </c>
    </row>
    <row r="3432" spans="1:9" x14ac:dyDescent="0.25">
      <c r="A3432" t="s">
        <v>220</v>
      </c>
      <c r="B3432" t="s">
        <v>2351</v>
      </c>
      <c r="C3432" t="s">
        <v>3633</v>
      </c>
      <c r="D3432" t="s">
        <v>3634</v>
      </c>
      <c r="F3432">
        <v>15</v>
      </c>
      <c r="G3432">
        <v>14.025</v>
      </c>
      <c r="H3432">
        <v>210.375</v>
      </c>
      <c r="I3432" t="s">
        <v>2354</v>
      </c>
    </row>
    <row r="3433" spans="1:9" x14ac:dyDescent="0.25">
      <c r="A3433" t="s">
        <v>220</v>
      </c>
      <c r="B3433" t="s">
        <v>2351</v>
      </c>
      <c r="C3433" t="s">
        <v>3635</v>
      </c>
      <c r="D3433" t="s">
        <v>3636</v>
      </c>
      <c r="F3433">
        <v>6</v>
      </c>
      <c r="G3433">
        <v>15.3</v>
      </c>
      <c r="H3433">
        <v>91.800000000000011</v>
      </c>
      <c r="I3433" t="s">
        <v>2354</v>
      </c>
    </row>
    <row r="3434" spans="1:9" x14ac:dyDescent="0.25">
      <c r="A3434" t="s">
        <v>220</v>
      </c>
      <c r="B3434" t="s">
        <v>2351</v>
      </c>
      <c r="C3434" t="s">
        <v>2404</v>
      </c>
      <c r="D3434" t="s">
        <v>2405</v>
      </c>
      <c r="F3434">
        <v>10</v>
      </c>
      <c r="G3434">
        <v>13.53</v>
      </c>
      <c r="H3434">
        <v>135.29999999999998</v>
      </c>
      <c r="I3434" t="s">
        <v>2354</v>
      </c>
    </row>
    <row r="3435" spans="1:9" x14ac:dyDescent="0.25">
      <c r="A3435" t="s">
        <v>220</v>
      </c>
      <c r="B3435" t="s">
        <v>2351</v>
      </c>
      <c r="C3435" t="s">
        <v>3637</v>
      </c>
      <c r="D3435" t="s">
        <v>3638</v>
      </c>
      <c r="F3435">
        <v>34</v>
      </c>
      <c r="G3435">
        <v>1.6830000000000001</v>
      </c>
      <c r="H3435">
        <v>57.222000000000001</v>
      </c>
      <c r="I3435" t="s">
        <v>2354</v>
      </c>
    </row>
    <row r="3436" spans="1:9" x14ac:dyDescent="0.25">
      <c r="A3436" t="s">
        <v>220</v>
      </c>
      <c r="B3436" t="s">
        <v>2351</v>
      </c>
      <c r="C3436" t="s">
        <v>3639</v>
      </c>
      <c r="D3436" t="s">
        <v>3640</v>
      </c>
      <c r="F3436">
        <v>87</v>
      </c>
      <c r="G3436">
        <v>1.9935000000000003</v>
      </c>
      <c r="H3436">
        <v>173.43450000000001</v>
      </c>
      <c r="I3436" t="s">
        <v>2354</v>
      </c>
    </row>
    <row r="3437" spans="1:9" x14ac:dyDescent="0.25">
      <c r="A3437" t="s">
        <v>220</v>
      </c>
      <c r="B3437" t="s">
        <v>2351</v>
      </c>
      <c r="C3437" t="s">
        <v>3641</v>
      </c>
      <c r="D3437" t="s">
        <v>3642</v>
      </c>
      <c r="F3437">
        <v>27</v>
      </c>
      <c r="G3437">
        <v>2.8834363636363638</v>
      </c>
      <c r="H3437">
        <v>77.852781818181825</v>
      </c>
      <c r="I3437" t="s">
        <v>2354</v>
      </c>
    </row>
    <row r="3438" spans="1:9" x14ac:dyDescent="0.25">
      <c r="A3438" t="s">
        <v>220</v>
      </c>
      <c r="B3438" t="s">
        <v>2351</v>
      </c>
      <c r="C3438" t="s">
        <v>3643</v>
      </c>
      <c r="D3438" t="s">
        <v>3644</v>
      </c>
      <c r="F3438">
        <v>17</v>
      </c>
      <c r="G3438">
        <v>5.4660000000000002</v>
      </c>
      <c r="H3438">
        <v>92.921999999999997</v>
      </c>
      <c r="I3438" t="s">
        <v>2354</v>
      </c>
    </row>
    <row r="3439" spans="1:9" x14ac:dyDescent="0.25">
      <c r="A3439" t="s">
        <v>220</v>
      </c>
      <c r="B3439" t="s">
        <v>2351</v>
      </c>
      <c r="C3439" t="s">
        <v>3645</v>
      </c>
      <c r="D3439" t="s">
        <v>3646</v>
      </c>
      <c r="F3439">
        <v>5</v>
      </c>
      <c r="G3439">
        <v>4.5022500000000001</v>
      </c>
      <c r="H3439">
        <v>22.51125</v>
      </c>
      <c r="I3439" t="s">
        <v>2354</v>
      </c>
    </row>
    <row r="3440" spans="1:9" x14ac:dyDescent="0.25">
      <c r="A3440" t="s">
        <v>220</v>
      </c>
      <c r="B3440" t="s">
        <v>2351</v>
      </c>
      <c r="C3440" t="s">
        <v>3647</v>
      </c>
      <c r="D3440" t="s">
        <v>3648</v>
      </c>
      <c r="F3440">
        <v>4</v>
      </c>
      <c r="G3440">
        <v>9.7188999999999997</v>
      </c>
      <c r="H3440">
        <v>38.875599999999999</v>
      </c>
      <c r="I3440" t="s">
        <v>2354</v>
      </c>
    </row>
    <row r="3441" spans="1:9" x14ac:dyDescent="0.25">
      <c r="A3441" t="s">
        <v>220</v>
      </c>
      <c r="B3441" t="s">
        <v>2351</v>
      </c>
      <c r="C3441" t="s">
        <v>3649</v>
      </c>
      <c r="D3441" t="s">
        <v>3650</v>
      </c>
      <c r="F3441">
        <v>24</v>
      </c>
      <c r="G3441">
        <v>4.93</v>
      </c>
      <c r="H3441">
        <v>118.32</v>
      </c>
      <c r="I3441" t="s">
        <v>2354</v>
      </c>
    </row>
    <row r="3442" spans="1:9" x14ac:dyDescent="0.25">
      <c r="A3442" t="s">
        <v>220</v>
      </c>
      <c r="B3442" t="s">
        <v>2351</v>
      </c>
      <c r="C3442" t="s">
        <v>3651</v>
      </c>
      <c r="D3442" t="s">
        <v>3652</v>
      </c>
      <c r="F3442">
        <v>39</v>
      </c>
      <c r="G3442">
        <v>1.848857142857143</v>
      </c>
      <c r="H3442">
        <v>72.105428571428575</v>
      </c>
      <c r="I3442" t="s">
        <v>2354</v>
      </c>
    </row>
    <row r="3443" spans="1:9" x14ac:dyDescent="0.25">
      <c r="A3443" t="s">
        <v>220</v>
      </c>
      <c r="B3443" t="s">
        <v>2351</v>
      </c>
      <c r="C3443" t="s">
        <v>3653</v>
      </c>
      <c r="D3443" t="s">
        <v>3654</v>
      </c>
      <c r="F3443">
        <v>19</v>
      </c>
      <c r="G3443">
        <v>2.2440000000000002</v>
      </c>
      <c r="H3443">
        <v>42.636000000000003</v>
      </c>
      <c r="I3443" t="s">
        <v>2354</v>
      </c>
    </row>
    <row r="3444" spans="1:9" x14ac:dyDescent="0.25">
      <c r="A3444" t="s">
        <v>220</v>
      </c>
      <c r="B3444" t="s">
        <v>2351</v>
      </c>
      <c r="C3444" t="s">
        <v>3655</v>
      </c>
      <c r="D3444" t="s">
        <v>3656</v>
      </c>
      <c r="F3444">
        <v>39</v>
      </c>
      <c r="G3444">
        <v>3.6</v>
      </c>
      <c r="H3444">
        <v>140.4</v>
      </c>
      <c r="I3444" t="s">
        <v>2354</v>
      </c>
    </row>
    <row r="3445" spans="1:9" x14ac:dyDescent="0.25">
      <c r="A3445" t="s">
        <v>220</v>
      </c>
      <c r="B3445" t="s">
        <v>2351</v>
      </c>
      <c r="C3445" t="s">
        <v>2409</v>
      </c>
      <c r="D3445" t="s">
        <v>2410</v>
      </c>
      <c r="F3445">
        <v>24</v>
      </c>
      <c r="G3445">
        <v>1.802</v>
      </c>
      <c r="H3445">
        <v>43.248000000000005</v>
      </c>
      <c r="I3445" t="s">
        <v>2354</v>
      </c>
    </row>
    <row r="3446" spans="1:9" x14ac:dyDescent="0.25">
      <c r="A3446" t="s">
        <v>220</v>
      </c>
      <c r="B3446" t="s">
        <v>2351</v>
      </c>
      <c r="C3446" t="s">
        <v>5402</v>
      </c>
      <c r="D3446" t="s">
        <v>5403</v>
      </c>
      <c r="F3446">
        <v>10</v>
      </c>
      <c r="G3446">
        <v>3.8759999999999999</v>
      </c>
      <c r="H3446">
        <v>38.76</v>
      </c>
      <c r="I3446" t="s">
        <v>2354</v>
      </c>
    </row>
    <row r="3447" spans="1:9" x14ac:dyDescent="0.25">
      <c r="A3447" t="s">
        <v>220</v>
      </c>
      <c r="B3447" t="s">
        <v>2351</v>
      </c>
      <c r="C3447" t="s">
        <v>3679</v>
      </c>
      <c r="D3447" t="s">
        <v>3680</v>
      </c>
      <c r="F3447">
        <v>9</v>
      </c>
      <c r="G3447">
        <v>3.927</v>
      </c>
      <c r="H3447">
        <v>35.343000000000004</v>
      </c>
      <c r="I3447" t="s">
        <v>2354</v>
      </c>
    </row>
    <row r="3448" spans="1:9" x14ac:dyDescent="0.25">
      <c r="A3448" t="s">
        <v>220</v>
      </c>
      <c r="B3448" t="s">
        <v>2351</v>
      </c>
      <c r="C3448" t="s">
        <v>3681</v>
      </c>
      <c r="D3448" t="s">
        <v>3682</v>
      </c>
      <c r="F3448">
        <v>16</v>
      </c>
      <c r="G3448">
        <v>3.5829</v>
      </c>
      <c r="H3448">
        <v>57.3264</v>
      </c>
      <c r="I3448" t="s">
        <v>2354</v>
      </c>
    </row>
    <row r="3449" spans="1:9" x14ac:dyDescent="0.25">
      <c r="A3449" t="s">
        <v>220</v>
      </c>
      <c r="B3449" t="s">
        <v>2351</v>
      </c>
      <c r="C3449" t="s">
        <v>3727</v>
      </c>
      <c r="D3449" t="s">
        <v>3728</v>
      </c>
      <c r="F3449">
        <v>13</v>
      </c>
      <c r="G3449">
        <v>5.1802306451612896</v>
      </c>
      <c r="H3449">
        <v>67.34299838709677</v>
      </c>
      <c r="I3449" t="s">
        <v>2354</v>
      </c>
    </row>
    <row r="3450" spans="1:9" x14ac:dyDescent="0.25">
      <c r="A3450" t="s">
        <v>220</v>
      </c>
      <c r="B3450" t="s">
        <v>2351</v>
      </c>
      <c r="C3450" t="s">
        <v>3729</v>
      </c>
      <c r="D3450" t="s">
        <v>3730</v>
      </c>
      <c r="F3450">
        <v>95</v>
      </c>
      <c r="G3450">
        <v>2.7116999999999996</v>
      </c>
      <c r="H3450">
        <v>257.61149999999998</v>
      </c>
      <c r="I3450" t="s">
        <v>2354</v>
      </c>
    </row>
    <row r="3451" spans="1:9" x14ac:dyDescent="0.25">
      <c r="A3451" t="s">
        <v>220</v>
      </c>
      <c r="B3451" t="s">
        <v>2351</v>
      </c>
      <c r="C3451" t="s">
        <v>3731</v>
      </c>
      <c r="D3451" t="s">
        <v>3732</v>
      </c>
      <c r="F3451">
        <v>50</v>
      </c>
      <c r="G3451">
        <v>2.3933750000000003</v>
      </c>
      <c r="H3451">
        <v>119.66875000000002</v>
      </c>
      <c r="I3451" t="s">
        <v>2354</v>
      </c>
    </row>
    <row r="3452" spans="1:9" x14ac:dyDescent="0.25">
      <c r="A3452" t="s">
        <v>220</v>
      </c>
      <c r="B3452" t="s">
        <v>2351</v>
      </c>
      <c r="C3452" t="s">
        <v>3733</v>
      </c>
      <c r="D3452" t="s">
        <v>3734</v>
      </c>
      <c r="F3452">
        <v>12</v>
      </c>
      <c r="G3452">
        <v>5.2429499999999996</v>
      </c>
      <c r="H3452">
        <v>62.915399999999991</v>
      </c>
      <c r="I3452" t="s">
        <v>2354</v>
      </c>
    </row>
    <row r="3453" spans="1:9" x14ac:dyDescent="0.25">
      <c r="A3453" t="s">
        <v>220</v>
      </c>
      <c r="B3453" t="s">
        <v>2351</v>
      </c>
      <c r="C3453" t="s">
        <v>2427</v>
      </c>
      <c r="D3453" t="s">
        <v>2428</v>
      </c>
      <c r="F3453">
        <v>10</v>
      </c>
      <c r="G3453">
        <v>5.37</v>
      </c>
      <c r="H3453">
        <v>53.7</v>
      </c>
      <c r="I3453" t="s">
        <v>2354</v>
      </c>
    </row>
    <row r="3454" spans="1:9" x14ac:dyDescent="0.25">
      <c r="A3454" t="s">
        <v>220</v>
      </c>
      <c r="B3454" t="s">
        <v>2351</v>
      </c>
      <c r="C3454" t="s">
        <v>3735</v>
      </c>
      <c r="D3454" t="s">
        <v>3736</v>
      </c>
      <c r="F3454">
        <v>12</v>
      </c>
      <c r="G3454">
        <v>8.2799999999999994</v>
      </c>
      <c r="H3454">
        <v>99.359999999999985</v>
      </c>
      <c r="I3454" t="s">
        <v>2354</v>
      </c>
    </row>
    <row r="3455" spans="1:9" x14ac:dyDescent="0.25">
      <c r="A3455" t="s">
        <v>220</v>
      </c>
      <c r="B3455" t="s">
        <v>2351</v>
      </c>
      <c r="C3455" t="s">
        <v>3833</v>
      </c>
      <c r="D3455" t="s">
        <v>3834</v>
      </c>
      <c r="F3455">
        <v>8</v>
      </c>
      <c r="G3455">
        <v>1.173</v>
      </c>
      <c r="H3455">
        <v>9.3840000000000003</v>
      </c>
      <c r="I3455" t="s">
        <v>2354</v>
      </c>
    </row>
    <row r="3456" spans="1:9" x14ac:dyDescent="0.25">
      <c r="A3456" t="s">
        <v>220</v>
      </c>
      <c r="B3456" t="s">
        <v>2351</v>
      </c>
      <c r="C3456" t="s">
        <v>3835</v>
      </c>
      <c r="D3456" t="s">
        <v>3836</v>
      </c>
      <c r="F3456">
        <v>4</v>
      </c>
      <c r="G3456">
        <v>25.009</v>
      </c>
      <c r="H3456">
        <v>100.036</v>
      </c>
      <c r="I3456" t="s">
        <v>2354</v>
      </c>
    </row>
    <row r="3457" spans="1:9" x14ac:dyDescent="0.25">
      <c r="A3457" t="s">
        <v>220</v>
      </c>
      <c r="B3457" t="s">
        <v>2351</v>
      </c>
      <c r="C3457" t="s">
        <v>3897</v>
      </c>
      <c r="D3457" t="s">
        <v>3898</v>
      </c>
      <c r="F3457">
        <v>138</v>
      </c>
      <c r="G3457">
        <v>6.8629499999999997</v>
      </c>
      <c r="H3457">
        <v>947.08709999999996</v>
      </c>
      <c r="I3457" t="s">
        <v>2354</v>
      </c>
    </row>
    <row r="3458" spans="1:9" x14ac:dyDescent="0.25">
      <c r="A3458" t="s">
        <v>220</v>
      </c>
      <c r="B3458" t="s">
        <v>2351</v>
      </c>
      <c r="C3458" t="s">
        <v>3899</v>
      </c>
      <c r="D3458" t="s">
        <v>3900</v>
      </c>
      <c r="F3458">
        <v>30</v>
      </c>
      <c r="G3458">
        <v>5.7948750000000002</v>
      </c>
      <c r="H3458">
        <v>173.84625</v>
      </c>
      <c r="I3458" t="s">
        <v>2354</v>
      </c>
    </row>
    <row r="3459" spans="1:9" x14ac:dyDescent="0.25">
      <c r="A3459" t="s">
        <v>220</v>
      </c>
      <c r="B3459" t="s">
        <v>2351</v>
      </c>
      <c r="C3459" t="s">
        <v>3901</v>
      </c>
      <c r="D3459" t="s">
        <v>3902</v>
      </c>
      <c r="F3459">
        <v>177</v>
      </c>
      <c r="G3459">
        <v>7.5750000000000002</v>
      </c>
      <c r="H3459">
        <v>1340.7750000000001</v>
      </c>
      <c r="I3459" t="s">
        <v>2354</v>
      </c>
    </row>
    <row r="3460" spans="1:9" x14ac:dyDescent="0.25">
      <c r="A3460" t="s">
        <v>220</v>
      </c>
      <c r="B3460" t="s">
        <v>2351</v>
      </c>
      <c r="C3460" t="s">
        <v>3903</v>
      </c>
      <c r="D3460" t="s">
        <v>3904</v>
      </c>
      <c r="F3460">
        <v>21</v>
      </c>
      <c r="G3460">
        <v>6.1554726368159205</v>
      </c>
      <c r="H3460">
        <v>129.26492537313433</v>
      </c>
      <c r="I3460" t="s">
        <v>2354</v>
      </c>
    </row>
    <row r="3461" spans="1:9" x14ac:dyDescent="0.25">
      <c r="A3461" t="s">
        <v>220</v>
      </c>
      <c r="B3461" t="s">
        <v>2351</v>
      </c>
      <c r="C3461" t="s">
        <v>3905</v>
      </c>
      <c r="D3461" t="s">
        <v>3906</v>
      </c>
      <c r="F3461">
        <v>7</v>
      </c>
      <c r="G3461">
        <v>24.5</v>
      </c>
      <c r="H3461">
        <v>171.5</v>
      </c>
      <c r="I3461" t="s">
        <v>2354</v>
      </c>
    </row>
    <row r="3462" spans="1:9" x14ac:dyDescent="0.25">
      <c r="A3462" t="s">
        <v>220</v>
      </c>
      <c r="B3462" t="s">
        <v>2351</v>
      </c>
      <c r="C3462" t="s">
        <v>3907</v>
      </c>
      <c r="D3462" t="s">
        <v>3908</v>
      </c>
      <c r="F3462">
        <v>3</v>
      </c>
      <c r="G3462">
        <v>5.4678875000000007</v>
      </c>
      <c r="H3462">
        <v>16.403662500000003</v>
      </c>
      <c r="I3462" t="s">
        <v>2354</v>
      </c>
    </row>
    <row r="3463" spans="1:9" x14ac:dyDescent="0.25">
      <c r="A3463" t="s">
        <v>220</v>
      </c>
      <c r="B3463" t="s">
        <v>2351</v>
      </c>
      <c r="C3463" t="s">
        <v>3909</v>
      </c>
      <c r="D3463" t="s">
        <v>3910</v>
      </c>
      <c r="F3463">
        <v>1375</v>
      </c>
      <c r="G3463">
        <v>4.103131067961165</v>
      </c>
      <c r="H3463">
        <v>5641.8052184466014</v>
      </c>
      <c r="I3463" t="s">
        <v>2354</v>
      </c>
    </row>
    <row r="3464" spans="1:9" x14ac:dyDescent="0.25">
      <c r="A3464" t="s">
        <v>220</v>
      </c>
      <c r="B3464" t="s">
        <v>2351</v>
      </c>
      <c r="C3464" t="s">
        <v>3911</v>
      </c>
      <c r="D3464" t="s">
        <v>3912</v>
      </c>
      <c r="F3464">
        <v>85</v>
      </c>
      <c r="G3464">
        <v>3.7033333333333331</v>
      </c>
      <c r="H3464">
        <v>314.7833333333333</v>
      </c>
      <c r="I3464" t="s">
        <v>2354</v>
      </c>
    </row>
    <row r="3465" spans="1:9" x14ac:dyDescent="0.25">
      <c r="A3465" t="s">
        <v>220</v>
      </c>
      <c r="B3465" t="s">
        <v>2351</v>
      </c>
      <c r="C3465" t="s">
        <v>3913</v>
      </c>
      <c r="D3465" t="s">
        <v>3914</v>
      </c>
      <c r="F3465">
        <v>96</v>
      </c>
      <c r="G3465">
        <v>6.6429900000000002</v>
      </c>
      <c r="H3465">
        <v>637.72703999999999</v>
      </c>
      <c r="I3465" t="s">
        <v>2354</v>
      </c>
    </row>
    <row r="3466" spans="1:9" x14ac:dyDescent="0.25">
      <c r="A3466" t="s">
        <v>220</v>
      </c>
      <c r="B3466" t="s">
        <v>2351</v>
      </c>
      <c r="C3466" t="s">
        <v>3915</v>
      </c>
      <c r="D3466" t="s">
        <v>3916</v>
      </c>
      <c r="F3466">
        <v>6</v>
      </c>
      <c r="G3466">
        <v>0</v>
      </c>
      <c r="H3466">
        <v>0</v>
      </c>
      <c r="I3466" t="s">
        <v>2354</v>
      </c>
    </row>
    <row r="3467" spans="1:9" x14ac:dyDescent="0.25">
      <c r="A3467" t="s">
        <v>220</v>
      </c>
      <c r="B3467" t="s">
        <v>2351</v>
      </c>
      <c r="C3467" t="s">
        <v>3917</v>
      </c>
      <c r="D3467" t="s">
        <v>3918</v>
      </c>
      <c r="F3467">
        <v>10</v>
      </c>
      <c r="G3467">
        <v>0</v>
      </c>
      <c r="H3467">
        <v>0</v>
      </c>
      <c r="I3467" t="s">
        <v>2354</v>
      </c>
    </row>
    <row r="3468" spans="1:9" x14ac:dyDescent="0.25">
      <c r="A3468" t="s">
        <v>220</v>
      </c>
      <c r="B3468" t="s">
        <v>2351</v>
      </c>
      <c r="C3468" t="s">
        <v>3919</v>
      </c>
      <c r="D3468" t="s">
        <v>3920</v>
      </c>
      <c r="F3468">
        <v>12</v>
      </c>
      <c r="G3468">
        <v>0</v>
      </c>
      <c r="H3468">
        <v>0</v>
      </c>
      <c r="I3468" t="s">
        <v>2354</v>
      </c>
    </row>
    <row r="3469" spans="1:9" x14ac:dyDescent="0.25">
      <c r="A3469" t="s">
        <v>220</v>
      </c>
      <c r="B3469" t="s">
        <v>2351</v>
      </c>
      <c r="C3469" t="s">
        <v>3921</v>
      </c>
      <c r="D3469" t="s">
        <v>3922</v>
      </c>
      <c r="F3469">
        <v>12</v>
      </c>
      <c r="G3469">
        <v>0.127</v>
      </c>
      <c r="H3469">
        <v>1.524</v>
      </c>
      <c r="I3469" t="s">
        <v>2354</v>
      </c>
    </row>
    <row r="3470" spans="1:9" x14ac:dyDescent="0.25">
      <c r="A3470" t="s">
        <v>220</v>
      </c>
      <c r="B3470" t="s">
        <v>2351</v>
      </c>
      <c r="C3470" t="s">
        <v>3923</v>
      </c>
      <c r="D3470" t="s">
        <v>3924</v>
      </c>
      <c r="F3470">
        <v>90</v>
      </c>
      <c r="G3470">
        <v>6.7904999999999998</v>
      </c>
      <c r="H3470">
        <v>611.14499999999998</v>
      </c>
      <c r="I3470" t="s">
        <v>2354</v>
      </c>
    </row>
    <row r="3471" spans="1:9" x14ac:dyDescent="0.25">
      <c r="A3471" t="s">
        <v>220</v>
      </c>
      <c r="B3471" t="s">
        <v>2351</v>
      </c>
      <c r="C3471" t="s">
        <v>3925</v>
      </c>
      <c r="D3471" t="s">
        <v>3926</v>
      </c>
      <c r="F3471">
        <v>40</v>
      </c>
      <c r="G3471">
        <v>19.908000000000001</v>
      </c>
      <c r="H3471">
        <v>796.32</v>
      </c>
      <c r="I3471" t="s">
        <v>2354</v>
      </c>
    </row>
    <row r="3472" spans="1:9" x14ac:dyDescent="0.25">
      <c r="A3472" t="s">
        <v>220</v>
      </c>
      <c r="B3472" t="s">
        <v>2351</v>
      </c>
      <c r="C3472" t="s">
        <v>5374</v>
      </c>
      <c r="D3472" t="s">
        <v>5375</v>
      </c>
      <c r="F3472">
        <v>222</v>
      </c>
      <c r="G3472">
        <v>2.8799999999999999E-2</v>
      </c>
      <c r="H3472">
        <v>6.3936000000000002</v>
      </c>
      <c r="I3472" t="s">
        <v>2354</v>
      </c>
    </row>
    <row r="3473" spans="1:9" x14ac:dyDescent="0.25">
      <c r="A3473" t="s">
        <v>220</v>
      </c>
      <c r="B3473" t="s">
        <v>2351</v>
      </c>
      <c r="C3473" t="s">
        <v>3941</v>
      </c>
      <c r="D3473" t="s">
        <v>3942</v>
      </c>
      <c r="F3473">
        <v>7</v>
      </c>
      <c r="G3473">
        <v>4.5789999999999997</v>
      </c>
      <c r="H3473">
        <v>32.052999999999997</v>
      </c>
      <c r="I3473" t="s">
        <v>2354</v>
      </c>
    </row>
    <row r="3474" spans="1:9" x14ac:dyDescent="0.25">
      <c r="A3474" t="s">
        <v>220</v>
      </c>
      <c r="B3474" t="s">
        <v>2351</v>
      </c>
      <c r="C3474" t="s">
        <v>3959</v>
      </c>
      <c r="D3474" t="s">
        <v>3960</v>
      </c>
      <c r="F3474">
        <v>60</v>
      </c>
      <c r="G3474">
        <v>0.31363636363636366</v>
      </c>
      <c r="H3474">
        <v>18.81818181818182</v>
      </c>
      <c r="I3474" t="s">
        <v>2354</v>
      </c>
    </row>
    <row r="3475" spans="1:9" x14ac:dyDescent="0.25">
      <c r="A3475" t="s">
        <v>220</v>
      </c>
      <c r="B3475" t="s">
        <v>2351</v>
      </c>
      <c r="C3475" t="s">
        <v>5376</v>
      </c>
      <c r="D3475" t="s">
        <v>5377</v>
      </c>
      <c r="F3475">
        <v>34</v>
      </c>
      <c r="G3475">
        <v>1.3653</v>
      </c>
      <c r="H3475">
        <v>46.420200000000001</v>
      </c>
      <c r="I3475" t="s">
        <v>2354</v>
      </c>
    </row>
    <row r="3476" spans="1:9" x14ac:dyDescent="0.25">
      <c r="A3476" t="s">
        <v>220</v>
      </c>
      <c r="B3476" t="s">
        <v>2351</v>
      </c>
      <c r="C3476" t="s">
        <v>3961</v>
      </c>
      <c r="D3476" t="s">
        <v>3962</v>
      </c>
      <c r="F3476">
        <v>110</v>
      </c>
      <c r="G3476">
        <v>0.96513000000000004</v>
      </c>
      <c r="H3476">
        <v>106.16430000000001</v>
      </c>
      <c r="I3476" t="s">
        <v>2354</v>
      </c>
    </row>
    <row r="3477" spans="1:9" x14ac:dyDescent="0.25">
      <c r="A3477" t="s">
        <v>220</v>
      </c>
      <c r="B3477" t="s">
        <v>2351</v>
      </c>
      <c r="C3477" t="s">
        <v>3963</v>
      </c>
      <c r="D3477" t="s">
        <v>3964</v>
      </c>
      <c r="F3477">
        <v>130</v>
      </c>
      <c r="G3477">
        <v>1.1257200000000001</v>
      </c>
      <c r="H3477">
        <v>146.34360000000001</v>
      </c>
      <c r="I3477" t="s">
        <v>2354</v>
      </c>
    </row>
    <row r="3478" spans="1:9" x14ac:dyDescent="0.25">
      <c r="A3478" t="s">
        <v>220</v>
      </c>
      <c r="B3478" t="s">
        <v>2351</v>
      </c>
      <c r="C3478" t="s">
        <v>3965</v>
      </c>
      <c r="D3478" t="s">
        <v>3966</v>
      </c>
      <c r="F3478">
        <v>180</v>
      </c>
      <c r="G3478">
        <v>0.34026000000000001</v>
      </c>
      <c r="H3478">
        <v>61.2468</v>
      </c>
      <c r="I3478" t="s">
        <v>2354</v>
      </c>
    </row>
    <row r="3479" spans="1:9" x14ac:dyDescent="0.25">
      <c r="A3479" t="s">
        <v>220</v>
      </c>
      <c r="B3479" t="s">
        <v>2351</v>
      </c>
      <c r="C3479" t="s">
        <v>3967</v>
      </c>
      <c r="D3479" t="s">
        <v>3968</v>
      </c>
      <c r="F3479">
        <v>140</v>
      </c>
      <c r="G3479">
        <v>0.61002999999999996</v>
      </c>
      <c r="H3479">
        <v>85.404199999999989</v>
      </c>
      <c r="I3479" t="s">
        <v>2354</v>
      </c>
    </row>
    <row r="3480" spans="1:9" x14ac:dyDescent="0.25">
      <c r="A3480" t="s">
        <v>220</v>
      </c>
      <c r="B3480" t="s">
        <v>2351</v>
      </c>
      <c r="C3480" t="s">
        <v>3969</v>
      </c>
      <c r="D3480" t="s">
        <v>3970</v>
      </c>
      <c r="F3480">
        <v>45</v>
      </c>
      <c r="G3480">
        <v>2.85615</v>
      </c>
      <c r="H3480">
        <v>128.52674999999999</v>
      </c>
      <c r="I3480" t="s">
        <v>2354</v>
      </c>
    </row>
    <row r="3481" spans="1:9" x14ac:dyDescent="0.25">
      <c r="A3481" t="s">
        <v>220</v>
      </c>
      <c r="B3481" t="s">
        <v>2351</v>
      </c>
      <c r="C3481" t="s">
        <v>3971</v>
      </c>
      <c r="D3481" t="s">
        <v>3972</v>
      </c>
      <c r="F3481">
        <v>55</v>
      </c>
      <c r="G3481">
        <v>8.6093200000000003</v>
      </c>
      <c r="H3481">
        <v>473.51260000000002</v>
      </c>
      <c r="I3481" t="s">
        <v>2354</v>
      </c>
    </row>
    <row r="3482" spans="1:9" x14ac:dyDescent="0.25">
      <c r="A3482" t="s">
        <v>220</v>
      </c>
      <c r="B3482" t="s">
        <v>2351</v>
      </c>
      <c r="C3482" t="s">
        <v>3973</v>
      </c>
      <c r="D3482" t="s">
        <v>3974</v>
      </c>
      <c r="F3482">
        <v>20</v>
      </c>
      <c r="G3482">
        <v>19.754000000000001</v>
      </c>
      <c r="H3482">
        <v>395.08000000000004</v>
      </c>
      <c r="I3482" t="s">
        <v>2354</v>
      </c>
    </row>
    <row r="3483" spans="1:9" x14ac:dyDescent="0.25">
      <c r="A3483" t="s">
        <v>220</v>
      </c>
      <c r="B3483" t="s">
        <v>2351</v>
      </c>
      <c r="C3483" t="s">
        <v>3975</v>
      </c>
      <c r="D3483" t="s">
        <v>3976</v>
      </c>
      <c r="F3483">
        <v>65</v>
      </c>
      <c r="G3483">
        <v>1.6037999999999999</v>
      </c>
      <c r="H3483">
        <v>104.247</v>
      </c>
      <c r="I3483" t="s">
        <v>2354</v>
      </c>
    </row>
    <row r="3484" spans="1:9" x14ac:dyDescent="0.25">
      <c r="A3484" t="s">
        <v>220</v>
      </c>
      <c r="B3484" t="s">
        <v>2351</v>
      </c>
      <c r="C3484" t="s">
        <v>3977</v>
      </c>
      <c r="D3484" t="s">
        <v>3978</v>
      </c>
      <c r="F3484">
        <v>85</v>
      </c>
      <c r="G3484">
        <v>3.0068999999999999</v>
      </c>
      <c r="H3484">
        <v>255.5865</v>
      </c>
      <c r="I3484" t="s">
        <v>2354</v>
      </c>
    </row>
    <row r="3485" spans="1:9" x14ac:dyDescent="0.25">
      <c r="A3485" t="s">
        <v>220</v>
      </c>
      <c r="B3485" t="s">
        <v>2351</v>
      </c>
      <c r="C3485" t="s">
        <v>3979</v>
      </c>
      <c r="D3485" t="s">
        <v>3980</v>
      </c>
      <c r="F3485">
        <v>4</v>
      </c>
      <c r="G3485">
        <v>4.0301999999999998</v>
      </c>
      <c r="H3485">
        <v>16.120799999999999</v>
      </c>
      <c r="I3485" t="s">
        <v>2354</v>
      </c>
    </row>
    <row r="3486" spans="1:9" x14ac:dyDescent="0.25">
      <c r="A3486" t="s">
        <v>220</v>
      </c>
      <c r="B3486" t="s">
        <v>2351</v>
      </c>
      <c r="C3486" t="s">
        <v>3981</v>
      </c>
      <c r="D3486" t="s">
        <v>3982</v>
      </c>
      <c r="F3486">
        <v>80</v>
      </c>
      <c r="G3486">
        <v>5.67</v>
      </c>
      <c r="H3486">
        <v>453.6</v>
      </c>
      <c r="I3486" t="s">
        <v>2354</v>
      </c>
    </row>
    <row r="3487" spans="1:9" x14ac:dyDescent="0.25">
      <c r="A3487" t="s">
        <v>220</v>
      </c>
      <c r="B3487" t="s">
        <v>2351</v>
      </c>
      <c r="C3487" t="s">
        <v>3983</v>
      </c>
      <c r="D3487" t="s">
        <v>3984</v>
      </c>
      <c r="F3487">
        <v>40</v>
      </c>
      <c r="G3487">
        <v>0.61426999999999998</v>
      </c>
      <c r="H3487">
        <v>24.570799999999998</v>
      </c>
      <c r="I3487" t="s">
        <v>2354</v>
      </c>
    </row>
    <row r="3488" spans="1:9" x14ac:dyDescent="0.25">
      <c r="A3488" t="s">
        <v>220</v>
      </c>
      <c r="B3488" t="s">
        <v>2351</v>
      </c>
      <c r="C3488" t="s">
        <v>3985</v>
      </c>
      <c r="D3488" t="s">
        <v>3986</v>
      </c>
      <c r="F3488">
        <v>160</v>
      </c>
      <c r="G3488">
        <v>2.782</v>
      </c>
      <c r="H3488">
        <v>445.12</v>
      </c>
      <c r="I3488" t="s">
        <v>2354</v>
      </c>
    </row>
    <row r="3489" spans="1:9" x14ac:dyDescent="0.25">
      <c r="A3489" t="s">
        <v>220</v>
      </c>
      <c r="B3489" t="s">
        <v>2351</v>
      </c>
      <c r="C3489" t="s">
        <v>3987</v>
      </c>
      <c r="D3489" t="s">
        <v>3988</v>
      </c>
      <c r="F3489">
        <v>37</v>
      </c>
      <c r="G3489">
        <v>4.0857700000000001</v>
      </c>
      <c r="H3489">
        <v>151.17349000000002</v>
      </c>
      <c r="I3489" t="s">
        <v>2354</v>
      </c>
    </row>
    <row r="3490" spans="1:9" x14ac:dyDescent="0.25">
      <c r="A3490" t="s">
        <v>220</v>
      </c>
      <c r="B3490" t="s">
        <v>2351</v>
      </c>
      <c r="C3490" t="s">
        <v>4049</v>
      </c>
      <c r="D3490" t="s">
        <v>4050</v>
      </c>
      <c r="F3490">
        <v>200</v>
      </c>
      <c r="G3490">
        <v>0.68720000000000003</v>
      </c>
      <c r="H3490">
        <v>137.44</v>
      </c>
      <c r="I3490" t="s">
        <v>2354</v>
      </c>
    </row>
    <row r="3491" spans="1:9" x14ac:dyDescent="0.25">
      <c r="A3491" t="s">
        <v>220</v>
      </c>
      <c r="B3491" t="s">
        <v>2351</v>
      </c>
      <c r="C3491" t="s">
        <v>4051</v>
      </c>
      <c r="D3491" t="s">
        <v>4052</v>
      </c>
      <c r="F3491">
        <v>7</v>
      </c>
      <c r="G3491">
        <v>1.3051500000000003</v>
      </c>
      <c r="H3491">
        <v>9.1360500000000009</v>
      </c>
      <c r="I3491" t="s">
        <v>2354</v>
      </c>
    </row>
    <row r="3492" spans="1:9" x14ac:dyDescent="0.25">
      <c r="A3492" t="s">
        <v>220</v>
      </c>
      <c r="B3492" t="s">
        <v>2351</v>
      </c>
      <c r="C3492" t="s">
        <v>4053</v>
      </c>
      <c r="D3492" t="s">
        <v>4054</v>
      </c>
      <c r="F3492">
        <v>12</v>
      </c>
      <c r="G3492">
        <v>1.6960000000000002</v>
      </c>
      <c r="H3492">
        <v>20.352000000000004</v>
      </c>
      <c r="I3492" t="s">
        <v>2354</v>
      </c>
    </row>
    <row r="3493" spans="1:9" x14ac:dyDescent="0.25">
      <c r="A3493" t="s">
        <v>220</v>
      </c>
      <c r="B3493" t="s">
        <v>2351</v>
      </c>
      <c r="C3493" t="s">
        <v>4055</v>
      </c>
      <c r="D3493" t="s">
        <v>4056</v>
      </c>
      <c r="F3493">
        <v>15</v>
      </c>
      <c r="G3493">
        <v>3.9119999999999999</v>
      </c>
      <c r="H3493">
        <v>58.68</v>
      </c>
      <c r="I3493" t="s">
        <v>2354</v>
      </c>
    </row>
    <row r="3494" spans="1:9" x14ac:dyDescent="0.25">
      <c r="A3494" t="s">
        <v>220</v>
      </c>
      <c r="B3494" t="s">
        <v>2351</v>
      </c>
      <c r="C3494" t="s">
        <v>4057</v>
      </c>
      <c r="D3494" t="s">
        <v>4058</v>
      </c>
      <c r="F3494">
        <v>16</v>
      </c>
      <c r="G3494">
        <v>15.1264</v>
      </c>
      <c r="H3494">
        <v>242.0224</v>
      </c>
      <c r="I3494" t="s">
        <v>2354</v>
      </c>
    </row>
    <row r="3495" spans="1:9" x14ac:dyDescent="0.25">
      <c r="A3495" t="s">
        <v>220</v>
      </c>
      <c r="B3495" t="s">
        <v>2351</v>
      </c>
      <c r="C3495" t="s">
        <v>4059</v>
      </c>
      <c r="D3495" t="s">
        <v>4060</v>
      </c>
      <c r="F3495">
        <v>50</v>
      </c>
      <c r="G3495">
        <v>0.59075</v>
      </c>
      <c r="H3495">
        <v>29.537500000000001</v>
      </c>
      <c r="I3495" t="s">
        <v>2354</v>
      </c>
    </row>
    <row r="3496" spans="1:9" x14ac:dyDescent="0.25">
      <c r="A3496" t="s">
        <v>220</v>
      </c>
      <c r="B3496" t="s">
        <v>2351</v>
      </c>
      <c r="C3496" t="s">
        <v>4061</v>
      </c>
      <c r="D3496" t="s">
        <v>4062</v>
      </c>
      <c r="F3496">
        <v>150</v>
      </c>
      <c r="G3496">
        <v>7.4999999999999997E-2</v>
      </c>
      <c r="H3496">
        <v>11.25</v>
      </c>
      <c r="I3496" t="s">
        <v>2354</v>
      </c>
    </row>
    <row r="3497" spans="1:9" x14ac:dyDescent="0.25">
      <c r="A3497" t="s">
        <v>220</v>
      </c>
      <c r="B3497" t="s">
        <v>2351</v>
      </c>
      <c r="C3497" t="s">
        <v>4063</v>
      </c>
      <c r="D3497" t="s">
        <v>4064</v>
      </c>
      <c r="F3497">
        <v>92</v>
      </c>
      <c r="G3497">
        <v>7.4999999999999997E-2</v>
      </c>
      <c r="H3497">
        <v>6.8999999999999995</v>
      </c>
      <c r="I3497" t="s">
        <v>2354</v>
      </c>
    </row>
    <row r="3498" spans="1:9" x14ac:dyDescent="0.25">
      <c r="A3498" t="s">
        <v>220</v>
      </c>
      <c r="B3498" t="s">
        <v>2351</v>
      </c>
      <c r="C3498" t="s">
        <v>4065</v>
      </c>
      <c r="D3498" t="s">
        <v>4066</v>
      </c>
      <c r="F3498">
        <v>71</v>
      </c>
      <c r="G3498">
        <v>0.22196666666666667</v>
      </c>
      <c r="H3498">
        <v>15.759633333333333</v>
      </c>
      <c r="I3498" t="s">
        <v>2354</v>
      </c>
    </row>
    <row r="3499" spans="1:9" x14ac:dyDescent="0.25">
      <c r="A3499" t="s">
        <v>220</v>
      </c>
      <c r="B3499" t="s">
        <v>2351</v>
      </c>
      <c r="C3499" t="s">
        <v>4067</v>
      </c>
      <c r="D3499" t="s">
        <v>4068</v>
      </c>
      <c r="F3499">
        <v>56</v>
      </c>
      <c r="G3499">
        <v>0.19326999999999997</v>
      </c>
      <c r="H3499">
        <v>10.823119999999998</v>
      </c>
      <c r="I3499" t="s">
        <v>2354</v>
      </c>
    </row>
    <row r="3500" spans="1:9" x14ac:dyDescent="0.25">
      <c r="A3500" t="s">
        <v>220</v>
      </c>
      <c r="B3500" t="s">
        <v>2351</v>
      </c>
      <c r="C3500" t="s">
        <v>4069</v>
      </c>
      <c r="D3500" t="s">
        <v>4070</v>
      </c>
      <c r="F3500">
        <v>45</v>
      </c>
      <c r="G3500">
        <v>7.2999999999999995E-2</v>
      </c>
      <c r="H3500">
        <v>3.2849999999999997</v>
      </c>
      <c r="I3500" t="s">
        <v>2354</v>
      </c>
    </row>
    <row r="3501" spans="1:9" x14ac:dyDescent="0.25">
      <c r="A3501" t="s">
        <v>220</v>
      </c>
      <c r="B3501" t="s">
        <v>2351</v>
      </c>
      <c r="C3501" t="s">
        <v>4071</v>
      </c>
      <c r="D3501" t="s">
        <v>4072</v>
      </c>
      <c r="F3501">
        <v>78</v>
      </c>
      <c r="G3501">
        <v>0.11814</v>
      </c>
      <c r="H3501">
        <v>9.2149199999999993</v>
      </c>
      <c r="I3501" t="s">
        <v>2354</v>
      </c>
    </row>
    <row r="3502" spans="1:9" x14ac:dyDescent="0.25">
      <c r="A3502" t="s">
        <v>220</v>
      </c>
      <c r="B3502" t="s">
        <v>2351</v>
      </c>
      <c r="C3502" t="s">
        <v>4073</v>
      </c>
      <c r="D3502" t="s">
        <v>4074</v>
      </c>
      <c r="F3502">
        <v>500</v>
      </c>
      <c r="G3502">
        <v>0.87570000000000003</v>
      </c>
      <c r="H3502">
        <v>437.85</v>
      </c>
      <c r="I3502" t="s">
        <v>2354</v>
      </c>
    </row>
    <row r="3503" spans="1:9" x14ac:dyDescent="0.25">
      <c r="A3503" t="s">
        <v>220</v>
      </c>
      <c r="B3503" t="s">
        <v>2351</v>
      </c>
      <c r="C3503" t="s">
        <v>4075</v>
      </c>
      <c r="D3503" t="s">
        <v>4076</v>
      </c>
      <c r="F3503">
        <v>23</v>
      </c>
      <c r="G3503">
        <v>0.77371794871794874</v>
      </c>
      <c r="H3503">
        <v>17.795512820512823</v>
      </c>
      <c r="I3503" t="s">
        <v>2354</v>
      </c>
    </row>
    <row r="3504" spans="1:9" x14ac:dyDescent="0.25">
      <c r="A3504" t="s">
        <v>220</v>
      </c>
      <c r="B3504" t="s">
        <v>2351</v>
      </c>
      <c r="C3504" t="s">
        <v>4193</v>
      </c>
      <c r="D3504" t="s">
        <v>4194</v>
      </c>
      <c r="F3504">
        <v>15</v>
      </c>
      <c r="G3504">
        <v>20.988800000000001</v>
      </c>
      <c r="H3504">
        <v>314.83199999999999</v>
      </c>
      <c r="I3504" t="s">
        <v>2354</v>
      </c>
    </row>
    <row r="3505" spans="1:9" x14ac:dyDescent="0.25">
      <c r="A3505" t="s">
        <v>220</v>
      </c>
      <c r="B3505" t="s">
        <v>2351</v>
      </c>
      <c r="C3505" t="s">
        <v>4195</v>
      </c>
      <c r="D3505" t="s">
        <v>4196</v>
      </c>
      <c r="F3505">
        <v>8</v>
      </c>
      <c r="G3505">
        <v>5.3904857142857141</v>
      </c>
      <c r="H3505">
        <v>43.123885714285713</v>
      </c>
      <c r="I3505" t="s">
        <v>2354</v>
      </c>
    </row>
    <row r="3506" spans="1:9" x14ac:dyDescent="0.25">
      <c r="A3506" t="s">
        <v>220</v>
      </c>
      <c r="B3506" t="s">
        <v>2351</v>
      </c>
      <c r="C3506" t="s">
        <v>4197</v>
      </c>
      <c r="D3506" t="s">
        <v>4198</v>
      </c>
      <c r="F3506">
        <v>9</v>
      </c>
      <c r="G3506">
        <v>1.2709999999999999</v>
      </c>
      <c r="H3506">
        <v>11.439</v>
      </c>
      <c r="I3506" t="s">
        <v>2354</v>
      </c>
    </row>
    <row r="3507" spans="1:9" x14ac:dyDescent="0.25">
      <c r="A3507" t="s">
        <v>220</v>
      </c>
      <c r="B3507" t="s">
        <v>2351</v>
      </c>
      <c r="C3507" t="s">
        <v>4199</v>
      </c>
      <c r="D3507" t="s">
        <v>4200</v>
      </c>
      <c r="F3507">
        <v>12</v>
      </c>
      <c r="G3507">
        <v>5.2329999999999997</v>
      </c>
      <c r="H3507">
        <v>62.795999999999992</v>
      </c>
      <c r="I3507" t="s">
        <v>2354</v>
      </c>
    </row>
    <row r="3508" spans="1:9" x14ac:dyDescent="0.25">
      <c r="A3508" t="s">
        <v>220</v>
      </c>
      <c r="B3508" t="s">
        <v>2351</v>
      </c>
      <c r="C3508" t="s">
        <v>4201</v>
      </c>
      <c r="D3508" t="s">
        <v>4202</v>
      </c>
      <c r="F3508">
        <v>30</v>
      </c>
      <c r="G3508">
        <v>3.4649999999999999</v>
      </c>
      <c r="H3508">
        <v>103.94999999999999</v>
      </c>
      <c r="I3508" t="s">
        <v>2354</v>
      </c>
    </row>
    <row r="3509" spans="1:9" x14ac:dyDescent="0.25">
      <c r="A3509" t="s">
        <v>220</v>
      </c>
      <c r="B3509" t="s">
        <v>2351</v>
      </c>
      <c r="C3509" t="s">
        <v>4203</v>
      </c>
      <c r="D3509" t="s">
        <v>4204</v>
      </c>
      <c r="F3509">
        <v>205</v>
      </c>
      <c r="G3509">
        <v>5.4135</v>
      </c>
      <c r="H3509">
        <v>1109.7674999999999</v>
      </c>
      <c r="I3509" t="s">
        <v>2354</v>
      </c>
    </row>
    <row r="3510" spans="1:9" x14ac:dyDescent="0.25">
      <c r="A3510" t="s">
        <v>220</v>
      </c>
      <c r="B3510" t="s">
        <v>2351</v>
      </c>
      <c r="C3510" t="s">
        <v>4205</v>
      </c>
      <c r="D3510" t="s">
        <v>4206</v>
      </c>
      <c r="F3510">
        <v>2</v>
      </c>
      <c r="G3510">
        <v>2.0790000000000002</v>
      </c>
      <c r="H3510">
        <v>4.1580000000000004</v>
      </c>
      <c r="I3510" t="s">
        <v>2354</v>
      </c>
    </row>
    <row r="3511" spans="1:9" x14ac:dyDescent="0.25">
      <c r="A3511" t="s">
        <v>220</v>
      </c>
      <c r="B3511" t="s">
        <v>2351</v>
      </c>
      <c r="C3511" t="s">
        <v>4207</v>
      </c>
      <c r="D3511" t="s">
        <v>4208</v>
      </c>
      <c r="F3511">
        <v>12</v>
      </c>
      <c r="G3511">
        <v>2.7423000000000002</v>
      </c>
      <c r="H3511">
        <v>32.907600000000002</v>
      </c>
      <c r="I3511" t="s">
        <v>2354</v>
      </c>
    </row>
    <row r="3512" spans="1:9" x14ac:dyDescent="0.25">
      <c r="A3512" t="s">
        <v>220</v>
      </c>
      <c r="B3512" t="s">
        <v>2351</v>
      </c>
      <c r="C3512" t="s">
        <v>4209</v>
      </c>
      <c r="D3512" t="s">
        <v>4210</v>
      </c>
      <c r="F3512">
        <v>20</v>
      </c>
      <c r="G3512">
        <v>4.5233999999999996</v>
      </c>
      <c r="H3512">
        <v>90.467999999999989</v>
      </c>
      <c r="I3512" t="s">
        <v>2354</v>
      </c>
    </row>
    <row r="3513" spans="1:9" x14ac:dyDescent="0.25">
      <c r="A3513" t="s">
        <v>220</v>
      </c>
      <c r="B3513" t="s">
        <v>2351</v>
      </c>
      <c r="C3513" t="s">
        <v>4211</v>
      </c>
      <c r="D3513" t="s">
        <v>4212</v>
      </c>
      <c r="F3513">
        <v>38</v>
      </c>
      <c r="G3513">
        <v>0.47260000000000002</v>
      </c>
      <c r="H3513">
        <v>17.9588</v>
      </c>
      <c r="I3513" t="s">
        <v>2354</v>
      </c>
    </row>
    <row r="3514" spans="1:9" x14ac:dyDescent="0.25">
      <c r="A3514" t="s">
        <v>220</v>
      </c>
      <c r="B3514" t="s">
        <v>2351</v>
      </c>
      <c r="C3514" t="s">
        <v>4213</v>
      </c>
      <c r="D3514" t="s">
        <v>4214</v>
      </c>
      <c r="F3514">
        <v>58</v>
      </c>
      <c r="G3514">
        <v>1.1661585365853659</v>
      </c>
      <c r="H3514">
        <v>67.637195121951223</v>
      </c>
      <c r="I3514" t="s">
        <v>2354</v>
      </c>
    </row>
    <row r="3515" spans="1:9" x14ac:dyDescent="0.25">
      <c r="A3515" t="s">
        <v>220</v>
      </c>
      <c r="B3515" t="s">
        <v>2351</v>
      </c>
      <c r="C3515" t="s">
        <v>4215</v>
      </c>
      <c r="D3515" t="s">
        <v>4216</v>
      </c>
      <c r="F3515">
        <v>40</v>
      </c>
      <c r="G3515">
        <v>1.0157499999999999</v>
      </c>
      <c r="H3515">
        <v>40.629999999999995</v>
      </c>
      <c r="I3515" t="s">
        <v>2354</v>
      </c>
    </row>
    <row r="3516" spans="1:9" x14ac:dyDescent="0.25">
      <c r="A3516" t="s">
        <v>220</v>
      </c>
      <c r="B3516" t="s">
        <v>2351</v>
      </c>
      <c r="C3516" t="s">
        <v>4217</v>
      </c>
      <c r="D3516" t="s">
        <v>4218</v>
      </c>
      <c r="F3516">
        <v>38</v>
      </c>
      <c r="G3516">
        <v>0.28150974025974029</v>
      </c>
      <c r="H3516">
        <v>10.697370129870132</v>
      </c>
      <c r="I3516" t="s">
        <v>2354</v>
      </c>
    </row>
    <row r="3517" spans="1:9" x14ac:dyDescent="0.25">
      <c r="A3517" t="s">
        <v>220</v>
      </c>
      <c r="B3517" t="s">
        <v>2351</v>
      </c>
      <c r="C3517" t="s">
        <v>4219</v>
      </c>
      <c r="D3517" t="s">
        <v>4220</v>
      </c>
      <c r="F3517">
        <v>100</v>
      </c>
      <c r="G3517">
        <v>47.956999999999994</v>
      </c>
      <c r="H3517">
        <v>4795.6999999999989</v>
      </c>
      <c r="I3517" t="s">
        <v>2354</v>
      </c>
    </row>
    <row r="3518" spans="1:9" x14ac:dyDescent="0.25">
      <c r="A3518" t="s">
        <v>220</v>
      </c>
      <c r="B3518" t="s">
        <v>2351</v>
      </c>
      <c r="C3518" t="s">
        <v>4375</v>
      </c>
      <c r="D3518" t="s">
        <v>4376</v>
      </c>
      <c r="F3518">
        <v>150</v>
      </c>
      <c r="G3518">
        <v>0.66420000000000001</v>
      </c>
      <c r="H3518">
        <v>99.63</v>
      </c>
      <c r="I3518" t="s">
        <v>2354</v>
      </c>
    </row>
    <row r="3519" spans="1:9" x14ac:dyDescent="0.25">
      <c r="A3519" t="s">
        <v>220</v>
      </c>
      <c r="B3519" t="s">
        <v>2351</v>
      </c>
      <c r="C3519" t="s">
        <v>4377</v>
      </c>
      <c r="D3519" t="s">
        <v>4378</v>
      </c>
      <c r="F3519">
        <v>12</v>
      </c>
      <c r="G3519">
        <v>2.2103999999999999</v>
      </c>
      <c r="H3519">
        <v>26.524799999999999</v>
      </c>
      <c r="I3519" t="s">
        <v>2354</v>
      </c>
    </row>
    <row r="3520" spans="1:9" x14ac:dyDescent="0.25">
      <c r="A3520" t="s">
        <v>220</v>
      </c>
      <c r="B3520" t="s">
        <v>2351</v>
      </c>
      <c r="C3520" t="s">
        <v>4381</v>
      </c>
      <c r="D3520" t="s">
        <v>4382</v>
      </c>
      <c r="F3520">
        <v>2</v>
      </c>
      <c r="G3520">
        <v>11.684100000000001</v>
      </c>
      <c r="H3520">
        <v>23.368200000000002</v>
      </c>
      <c r="I3520" t="s">
        <v>2354</v>
      </c>
    </row>
    <row r="3521" spans="1:9" x14ac:dyDescent="0.25">
      <c r="A3521" t="s">
        <v>220</v>
      </c>
      <c r="B3521" t="s">
        <v>2351</v>
      </c>
      <c r="C3521" t="s">
        <v>4395</v>
      </c>
      <c r="D3521" t="s">
        <v>4396</v>
      </c>
      <c r="F3521">
        <v>10</v>
      </c>
      <c r="G3521">
        <v>6.8080000000000007</v>
      </c>
      <c r="H3521">
        <v>68.080000000000013</v>
      </c>
      <c r="I3521" t="s">
        <v>2354</v>
      </c>
    </row>
    <row r="3522" spans="1:9" x14ac:dyDescent="0.25">
      <c r="A3522" t="s">
        <v>220</v>
      </c>
      <c r="B3522" t="s">
        <v>2351</v>
      </c>
      <c r="C3522" t="s">
        <v>4403</v>
      </c>
      <c r="D3522" t="s">
        <v>4404</v>
      </c>
      <c r="F3522">
        <v>15</v>
      </c>
      <c r="G3522">
        <v>0.91877982456140361</v>
      </c>
      <c r="H3522">
        <v>13.781697368421055</v>
      </c>
      <c r="I3522" t="s">
        <v>2354</v>
      </c>
    </row>
    <row r="3523" spans="1:9" x14ac:dyDescent="0.25">
      <c r="A3523" t="s">
        <v>220</v>
      </c>
      <c r="B3523" t="s">
        <v>2351</v>
      </c>
      <c r="C3523" t="s">
        <v>4405</v>
      </c>
      <c r="D3523" t="s">
        <v>4406</v>
      </c>
      <c r="F3523">
        <v>10</v>
      </c>
      <c r="G3523">
        <v>1.1486666666666665</v>
      </c>
      <c r="H3523">
        <v>11.486666666666665</v>
      </c>
      <c r="I3523" t="s">
        <v>2354</v>
      </c>
    </row>
    <row r="3524" spans="1:9" x14ac:dyDescent="0.25">
      <c r="A3524" t="s">
        <v>220</v>
      </c>
      <c r="B3524" t="s">
        <v>2351</v>
      </c>
      <c r="C3524" t="s">
        <v>5410</v>
      </c>
      <c r="D3524" t="s">
        <v>5411</v>
      </c>
      <c r="F3524">
        <v>10</v>
      </c>
      <c r="G3524">
        <v>0</v>
      </c>
      <c r="H3524">
        <v>0</v>
      </c>
      <c r="I3524" t="s">
        <v>2354</v>
      </c>
    </row>
    <row r="3525" spans="1:9" x14ac:dyDescent="0.25">
      <c r="A3525" t="s">
        <v>220</v>
      </c>
      <c r="B3525" t="s">
        <v>2351</v>
      </c>
      <c r="C3525" t="s">
        <v>4411</v>
      </c>
      <c r="D3525" t="s">
        <v>4412</v>
      </c>
      <c r="F3525">
        <v>1</v>
      </c>
      <c r="G3525">
        <v>10.6236</v>
      </c>
      <c r="H3525">
        <v>10.6236</v>
      </c>
      <c r="I3525" t="s">
        <v>2354</v>
      </c>
    </row>
    <row r="3526" spans="1:9" x14ac:dyDescent="0.25">
      <c r="A3526" t="s">
        <v>220</v>
      </c>
      <c r="B3526" t="s">
        <v>2351</v>
      </c>
      <c r="C3526" t="s">
        <v>4425</v>
      </c>
      <c r="D3526" t="s">
        <v>2402</v>
      </c>
      <c r="F3526">
        <v>118</v>
      </c>
      <c r="G3526">
        <v>2.2999999999999998</v>
      </c>
      <c r="H3526">
        <v>271.39999999999998</v>
      </c>
      <c r="I3526" t="s">
        <v>2354</v>
      </c>
    </row>
    <row r="3527" spans="1:9" x14ac:dyDescent="0.25">
      <c r="A3527" t="s">
        <v>220</v>
      </c>
      <c r="B3527" t="s">
        <v>2351</v>
      </c>
      <c r="C3527" t="s">
        <v>4428</v>
      </c>
      <c r="D3527" t="s">
        <v>4429</v>
      </c>
      <c r="F3527">
        <v>22</v>
      </c>
      <c r="G3527">
        <v>29.7</v>
      </c>
      <c r="H3527">
        <v>653.4</v>
      </c>
      <c r="I3527" t="s">
        <v>2354</v>
      </c>
    </row>
    <row r="3528" spans="1:9" x14ac:dyDescent="0.25">
      <c r="A3528" t="s">
        <v>220</v>
      </c>
      <c r="B3528" t="s">
        <v>2351</v>
      </c>
      <c r="C3528" t="s">
        <v>4440</v>
      </c>
      <c r="D3528" t="s">
        <v>4441</v>
      </c>
      <c r="F3528">
        <v>150</v>
      </c>
      <c r="G3528">
        <v>1.439E-2</v>
      </c>
      <c r="H3528">
        <v>2.1585000000000001</v>
      </c>
      <c r="I3528" t="s">
        <v>2354</v>
      </c>
    </row>
    <row r="3529" spans="1:9" x14ac:dyDescent="0.25">
      <c r="A3529" t="s">
        <v>220</v>
      </c>
      <c r="B3529" t="s">
        <v>2351</v>
      </c>
      <c r="C3529" t="s">
        <v>4442</v>
      </c>
      <c r="D3529" t="s">
        <v>4443</v>
      </c>
      <c r="F3529">
        <v>25</v>
      </c>
      <c r="G3529">
        <v>0.23452000000000001</v>
      </c>
      <c r="H3529">
        <v>5.8630000000000004</v>
      </c>
      <c r="I3529" t="s">
        <v>2354</v>
      </c>
    </row>
    <row r="3530" spans="1:9" x14ac:dyDescent="0.25">
      <c r="A3530" t="s">
        <v>220</v>
      </c>
      <c r="B3530" t="s">
        <v>2351</v>
      </c>
      <c r="C3530" t="s">
        <v>4444</v>
      </c>
      <c r="D3530" t="s">
        <v>4445</v>
      </c>
      <c r="F3530">
        <v>25</v>
      </c>
      <c r="G3530">
        <v>0.252</v>
      </c>
      <c r="H3530">
        <v>6.3</v>
      </c>
      <c r="I3530" t="s">
        <v>2354</v>
      </c>
    </row>
    <row r="3531" spans="1:9" x14ac:dyDescent="0.25">
      <c r="A3531" t="s">
        <v>220</v>
      </c>
      <c r="B3531" t="s">
        <v>2351</v>
      </c>
      <c r="C3531" t="s">
        <v>4446</v>
      </c>
      <c r="D3531" t="s">
        <v>4447</v>
      </c>
      <c r="F3531">
        <v>14</v>
      </c>
      <c r="G3531">
        <v>0.37309999999999999</v>
      </c>
      <c r="H3531">
        <v>5.2233999999999998</v>
      </c>
      <c r="I3531" t="s">
        <v>2354</v>
      </c>
    </row>
    <row r="3532" spans="1:9" x14ac:dyDescent="0.25">
      <c r="A3532" t="s">
        <v>220</v>
      </c>
      <c r="B3532" t="s">
        <v>2351</v>
      </c>
      <c r="C3532" t="s">
        <v>4448</v>
      </c>
      <c r="D3532" t="s">
        <v>4449</v>
      </c>
      <c r="F3532">
        <v>38</v>
      </c>
      <c r="G3532">
        <v>0.79300000000000004</v>
      </c>
      <c r="H3532">
        <v>30.134</v>
      </c>
      <c r="I3532" t="s">
        <v>2354</v>
      </c>
    </row>
    <row r="3533" spans="1:9" x14ac:dyDescent="0.25">
      <c r="A3533" t="s">
        <v>220</v>
      </c>
      <c r="B3533" t="s">
        <v>2351</v>
      </c>
      <c r="C3533" t="s">
        <v>4450</v>
      </c>
      <c r="D3533" t="s">
        <v>4451</v>
      </c>
      <c r="F3533">
        <v>5</v>
      </c>
      <c r="G3533">
        <v>1.0857000000000001</v>
      </c>
      <c r="H3533">
        <v>5.4285000000000005</v>
      </c>
      <c r="I3533" t="s">
        <v>2354</v>
      </c>
    </row>
    <row r="3534" spans="1:9" x14ac:dyDescent="0.25">
      <c r="A3534" t="s">
        <v>220</v>
      </c>
      <c r="B3534" t="s">
        <v>2351</v>
      </c>
      <c r="C3534" t="s">
        <v>4452</v>
      </c>
      <c r="D3534" t="s">
        <v>4453</v>
      </c>
      <c r="F3534">
        <v>44</v>
      </c>
      <c r="G3534">
        <v>0.73072999999999999</v>
      </c>
      <c r="H3534">
        <v>32.152119999999996</v>
      </c>
      <c r="I3534" t="s">
        <v>2354</v>
      </c>
    </row>
    <row r="3535" spans="1:9" x14ac:dyDescent="0.25">
      <c r="A3535" t="s">
        <v>220</v>
      </c>
      <c r="B3535" t="s">
        <v>2351</v>
      </c>
      <c r="C3535" t="s">
        <v>4454</v>
      </c>
      <c r="D3535" t="s">
        <v>4455</v>
      </c>
      <c r="F3535">
        <v>90</v>
      </c>
      <c r="G3535">
        <v>0.40589999999999998</v>
      </c>
      <c r="H3535">
        <v>36.530999999999999</v>
      </c>
      <c r="I3535" t="s">
        <v>2354</v>
      </c>
    </row>
    <row r="3536" spans="1:9" x14ac:dyDescent="0.25">
      <c r="A3536" t="s">
        <v>220</v>
      </c>
      <c r="B3536" t="s">
        <v>2351</v>
      </c>
      <c r="C3536" t="s">
        <v>4456</v>
      </c>
      <c r="D3536" t="s">
        <v>4457</v>
      </c>
      <c r="F3536">
        <v>190</v>
      </c>
      <c r="G3536">
        <v>6.3960000000000003E-2</v>
      </c>
      <c r="H3536">
        <v>12.1524</v>
      </c>
      <c r="I3536" t="s">
        <v>2354</v>
      </c>
    </row>
    <row r="3537" spans="1:9" x14ac:dyDescent="0.25">
      <c r="A3537" t="s">
        <v>220</v>
      </c>
      <c r="B3537" t="s">
        <v>2351</v>
      </c>
      <c r="C3537" t="s">
        <v>4458</v>
      </c>
      <c r="D3537" t="s">
        <v>4459</v>
      </c>
      <c r="F3537">
        <v>98</v>
      </c>
      <c r="G3537">
        <v>6.3960000000000003E-2</v>
      </c>
      <c r="H3537">
        <v>6.2680800000000003</v>
      </c>
      <c r="I3537" t="s">
        <v>2354</v>
      </c>
    </row>
    <row r="3538" spans="1:9" x14ac:dyDescent="0.25">
      <c r="A3538" t="s">
        <v>220</v>
      </c>
      <c r="B3538" t="s">
        <v>2351</v>
      </c>
      <c r="C3538" t="s">
        <v>4460</v>
      </c>
      <c r="D3538" t="s">
        <v>4461</v>
      </c>
      <c r="F3538">
        <v>88</v>
      </c>
      <c r="G3538">
        <v>6.3960000000000003E-2</v>
      </c>
      <c r="H3538">
        <v>5.6284800000000006</v>
      </c>
      <c r="I3538" t="s">
        <v>2354</v>
      </c>
    </row>
    <row r="3539" spans="1:9" x14ac:dyDescent="0.25">
      <c r="A3539" t="s">
        <v>220</v>
      </c>
      <c r="B3539" t="s">
        <v>2351</v>
      </c>
      <c r="C3539" t="s">
        <v>4462</v>
      </c>
      <c r="D3539" t="s">
        <v>4463</v>
      </c>
      <c r="F3539">
        <v>98</v>
      </c>
      <c r="G3539">
        <v>6.3960000000000003E-2</v>
      </c>
      <c r="H3539">
        <v>6.2680800000000003</v>
      </c>
      <c r="I3539" t="s">
        <v>2354</v>
      </c>
    </row>
    <row r="3540" spans="1:9" x14ac:dyDescent="0.25">
      <c r="A3540" t="s">
        <v>220</v>
      </c>
      <c r="B3540" t="s">
        <v>2351</v>
      </c>
      <c r="C3540" t="s">
        <v>4464</v>
      </c>
      <c r="D3540" t="s">
        <v>4465</v>
      </c>
      <c r="F3540">
        <v>86</v>
      </c>
      <c r="G3540">
        <v>6.3960000000000003E-2</v>
      </c>
      <c r="H3540">
        <v>5.5005600000000001</v>
      </c>
      <c r="I3540" t="s">
        <v>2354</v>
      </c>
    </row>
    <row r="3541" spans="1:9" x14ac:dyDescent="0.25">
      <c r="A3541" t="s">
        <v>220</v>
      </c>
      <c r="B3541" t="s">
        <v>2351</v>
      </c>
      <c r="C3541" t="s">
        <v>4466</v>
      </c>
      <c r="D3541" t="s">
        <v>4467</v>
      </c>
      <c r="F3541">
        <v>100</v>
      </c>
      <c r="G3541">
        <v>6.3960000000000003E-2</v>
      </c>
      <c r="H3541">
        <v>6.3959999999999999</v>
      </c>
      <c r="I3541" t="s">
        <v>2354</v>
      </c>
    </row>
    <row r="3542" spans="1:9" x14ac:dyDescent="0.25">
      <c r="A3542" t="s">
        <v>220</v>
      </c>
      <c r="B3542" t="s">
        <v>2351</v>
      </c>
      <c r="C3542" t="s">
        <v>4468</v>
      </c>
      <c r="D3542" t="s">
        <v>4469</v>
      </c>
      <c r="F3542">
        <v>100</v>
      </c>
      <c r="G3542">
        <v>6.3960000000000003E-2</v>
      </c>
      <c r="H3542">
        <v>6.3959999999999999</v>
      </c>
      <c r="I3542" t="s">
        <v>2354</v>
      </c>
    </row>
    <row r="3543" spans="1:9" x14ac:dyDescent="0.25">
      <c r="A3543" t="s">
        <v>220</v>
      </c>
      <c r="B3543" t="s">
        <v>2351</v>
      </c>
      <c r="C3543" t="s">
        <v>4470</v>
      </c>
      <c r="D3543" t="s">
        <v>4471</v>
      </c>
      <c r="F3543">
        <v>100</v>
      </c>
      <c r="G3543">
        <v>6.3960000000000003E-2</v>
      </c>
      <c r="H3543">
        <v>6.3959999999999999</v>
      </c>
      <c r="I3543" t="s">
        <v>2354</v>
      </c>
    </row>
    <row r="3544" spans="1:9" x14ac:dyDescent="0.25">
      <c r="A3544" t="s">
        <v>220</v>
      </c>
      <c r="B3544" t="s">
        <v>2351</v>
      </c>
      <c r="C3544" t="s">
        <v>4472</v>
      </c>
      <c r="D3544" t="s">
        <v>4473</v>
      </c>
      <c r="F3544">
        <v>50</v>
      </c>
      <c r="G3544">
        <v>7.4620000000000006E-2</v>
      </c>
      <c r="H3544">
        <v>3.7310000000000003</v>
      </c>
      <c r="I3544" t="s">
        <v>2354</v>
      </c>
    </row>
    <row r="3545" spans="1:9" x14ac:dyDescent="0.25">
      <c r="A3545" t="s">
        <v>220</v>
      </c>
      <c r="B3545" t="s">
        <v>2351</v>
      </c>
      <c r="C3545" t="s">
        <v>4474</v>
      </c>
      <c r="D3545" t="s">
        <v>4475</v>
      </c>
      <c r="F3545">
        <v>50</v>
      </c>
      <c r="G3545">
        <v>7.4620000000000006E-2</v>
      </c>
      <c r="H3545">
        <v>3.7310000000000003</v>
      </c>
      <c r="I3545" t="s">
        <v>2354</v>
      </c>
    </row>
    <row r="3546" spans="1:9" x14ac:dyDescent="0.25">
      <c r="A3546" t="s">
        <v>220</v>
      </c>
      <c r="B3546" t="s">
        <v>2351</v>
      </c>
      <c r="C3546" t="s">
        <v>4476</v>
      </c>
      <c r="D3546" t="s">
        <v>4477</v>
      </c>
      <c r="F3546">
        <v>50</v>
      </c>
      <c r="G3546">
        <v>7.4620000000000006E-2</v>
      </c>
      <c r="H3546">
        <v>3.7310000000000003</v>
      </c>
      <c r="I3546" t="s">
        <v>2354</v>
      </c>
    </row>
    <row r="3547" spans="1:9" x14ac:dyDescent="0.25">
      <c r="A3547" t="s">
        <v>220</v>
      </c>
      <c r="B3547" t="s">
        <v>2351</v>
      </c>
      <c r="C3547" t="s">
        <v>4478</v>
      </c>
      <c r="D3547" t="s">
        <v>4479</v>
      </c>
      <c r="F3547">
        <v>50</v>
      </c>
      <c r="G3547">
        <v>7.4620000000000006E-2</v>
      </c>
      <c r="H3547">
        <v>3.7310000000000003</v>
      </c>
      <c r="I3547" t="s">
        <v>2354</v>
      </c>
    </row>
    <row r="3548" spans="1:9" x14ac:dyDescent="0.25">
      <c r="A3548" t="s">
        <v>220</v>
      </c>
      <c r="B3548" t="s">
        <v>2351</v>
      </c>
      <c r="C3548" t="s">
        <v>4480</v>
      </c>
      <c r="D3548" t="s">
        <v>4481</v>
      </c>
      <c r="F3548">
        <v>50</v>
      </c>
      <c r="G3548">
        <v>7.4620000000000006E-2</v>
      </c>
      <c r="H3548">
        <v>3.7310000000000003</v>
      </c>
      <c r="I3548" t="s">
        <v>2354</v>
      </c>
    </row>
    <row r="3549" spans="1:9" x14ac:dyDescent="0.25">
      <c r="A3549" t="s">
        <v>220</v>
      </c>
      <c r="B3549" t="s">
        <v>2351</v>
      </c>
      <c r="C3549" t="s">
        <v>4482</v>
      </c>
      <c r="D3549" t="s">
        <v>4483</v>
      </c>
      <c r="F3549">
        <v>50</v>
      </c>
      <c r="G3549">
        <v>7.4620000000000006E-2</v>
      </c>
      <c r="H3549">
        <v>3.7310000000000003</v>
      </c>
      <c r="I3549" t="s">
        <v>2354</v>
      </c>
    </row>
    <row r="3550" spans="1:9" x14ac:dyDescent="0.25">
      <c r="A3550" t="s">
        <v>220</v>
      </c>
      <c r="B3550" t="s">
        <v>2351</v>
      </c>
      <c r="C3550" t="s">
        <v>4484</v>
      </c>
      <c r="D3550" t="s">
        <v>4485</v>
      </c>
      <c r="F3550">
        <v>50</v>
      </c>
      <c r="G3550">
        <v>7.4620000000000006E-2</v>
      </c>
      <c r="H3550">
        <v>3.7310000000000003</v>
      </c>
      <c r="I3550" t="s">
        <v>2354</v>
      </c>
    </row>
    <row r="3551" spans="1:9" x14ac:dyDescent="0.25">
      <c r="A3551" t="s">
        <v>220</v>
      </c>
      <c r="B3551" t="s">
        <v>2351</v>
      </c>
      <c r="C3551" t="s">
        <v>4486</v>
      </c>
      <c r="D3551" t="s">
        <v>4487</v>
      </c>
      <c r="F3551">
        <v>50</v>
      </c>
      <c r="G3551">
        <v>7.4620000000000006E-2</v>
      </c>
      <c r="H3551">
        <v>3.7310000000000003</v>
      </c>
      <c r="I3551" t="s">
        <v>2354</v>
      </c>
    </row>
    <row r="3552" spans="1:9" x14ac:dyDescent="0.25">
      <c r="A3552" t="s">
        <v>220</v>
      </c>
      <c r="B3552" t="s">
        <v>2351</v>
      </c>
      <c r="C3552" t="s">
        <v>4490</v>
      </c>
      <c r="D3552" t="s">
        <v>4491</v>
      </c>
      <c r="F3552">
        <v>110</v>
      </c>
      <c r="G3552">
        <v>0.75768000000000002</v>
      </c>
      <c r="H3552">
        <v>83.344800000000006</v>
      </c>
      <c r="I3552" t="s">
        <v>2354</v>
      </c>
    </row>
    <row r="3553" spans="1:9" x14ac:dyDescent="0.25">
      <c r="A3553" t="s">
        <v>220</v>
      </c>
      <c r="B3553" t="s">
        <v>2351</v>
      </c>
      <c r="C3553" t="s">
        <v>4502</v>
      </c>
      <c r="D3553" t="s">
        <v>4503</v>
      </c>
      <c r="F3553">
        <v>5</v>
      </c>
      <c r="G3553">
        <v>16.380179999999999</v>
      </c>
      <c r="H3553">
        <v>81.900899999999993</v>
      </c>
      <c r="I3553" t="s">
        <v>2354</v>
      </c>
    </row>
    <row r="3554" spans="1:9" x14ac:dyDescent="0.25">
      <c r="A3554" t="s">
        <v>220</v>
      </c>
      <c r="B3554" t="s">
        <v>2351</v>
      </c>
      <c r="C3554" t="s">
        <v>4514</v>
      </c>
      <c r="D3554" t="s">
        <v>4515</v>
      </c>
      <c r="F3554">
        <v>47</v>
      </c>
      <c r="G3554">
        <v>2.4390000000000001</v>
      </c>
      <c r="H3554">
        <v>114.63300000000001</v>
      </c>
      <c r="I3554" t="s">
        <v>2354</v>
      </c>
    </row>
    <row r="3555" spans="1:9" x14ac:dyDescent="0.25">
      <c r="A3555" t="s">
        <v>220</v>
      </c>
      <c r="B3555" t="s">
        <v>2351</v>
      </c>
      <c r="C3555" t="s">
        <v>4516</v>
      </c>
      <c r="D3555" t="s">
        <v>4517</v>
      </c>
      <c r="F3555">
        <v>28</v>
      </c>
      <c r="G3555">
        <v>3.4286498632010942</v>
      </c>
      <c r="H3555">
        <v>96.002196169630636</v>
      </c>
      <c r="I3555" t="s">
        <v>2354</v>
      </c>
    </row>
    <row r="3556" spans="1:9" x14ac:dyDescent="0.25">
      <c r="A3556" t="s">
        <v>220</v>
      </c>
      <c r="B3556" t="s">
        <v>2351</v>
      </c>
      <c r="C3556" t="s">
        <v>4518</v>
      </c>
      <c r="D3556" t="s">
        <v>4519</v>
      </c>
      <c r="F3556">
        <v>88</v>
      </c>
      <c r="G3556">
        <v>6.48</v>
      </c>
      <c r="H3556">
        <v>570.24</v>
      </c>
      <c r="I3556" t="s">
        <v>2354</v>
      </c>
    </row>
    <row r="3557" spans="1:9" x14ac:dyDescent="0.25">
      <c r="A3557" t="s">
        <v>220</v>
      </c>
      <c r="B3557" t="s">
        <v>2351</v>
      </c>
      <c r="C3557" t="s">
        <v>4520</v>
      </c>
      <c r="D3557" t="s">
        <v>4521</v>
      </c>
      <c r="F3557">
        <v>40</v>
      </c>
      <c r="G3557">
        <v>8.1062130909090904</v>
      </c>
      <c r="H3557">
        <v>324.24852363636364</v>
      </c>
      <c r="I3557" t="s">
        <v>2354</v>
      </c>
    </row>
    <row r="3558" spans="1:9" x14ac:dyDescent="0.25">
      <c r="A3558" t="s">
        <v>220</v>
      </c>
      <c r="B3558" t="s">
        <v>2351</v>
      </c>
      <c r="C3558" t="s">
        <v>4524</v>
      </c>
      <c r="D3558" t="s">
        <v>4525</v>
      </c>
      <c r="F3558">
        <v>1</v>
      </c>
      <c r="G3558">
        <v>296.73200000000003</v>
      </c>
      <c r="H3558">
        <v>296.73200000000003</v>
      </c>
      <c r="I3558" t="s">
        <v>2354</v>
      </c>
    </row>
    <row r="3559" spans="1:9" x14ac:dyDescent="0.25">
      <c r="A3559" t="s">
        <v>220</v>
      </c>
      <c r="B3559" t="s">
        <v>2351</v>
      </c>
      <c r="C3559" t="s">
        <v>4538</v>
      </c>
      <c r="D3559" t="s">
        <v>4539</v>
      </c>
      <c r="F3559">
        <v>5</v>
      </c>
      <c r="G3559">
        <v>3.4620000000000002</v>
      </c>
      <c r="H3559">
        <v>17.310000000000002</v>
      </c>
      <c r="I3559" t="s">
        <v>2354</v>
      </c>
    </row>
    <row r="3560" spans="1:9" x14ac:dyDescent="0.25">
      <c r="A3560" t="s">
        <v>220</v>
      </c>
      <c r="B3560" t="s">
        <v>2351</v>
      </c>
      <c r="C3560" t="s">
        <v>4540</v>
      </c>
      <c r="D3560" t="s">
        <v>4541</v>
      </c>
      <c r="F3560">
        <v>1</v>
      </c>
      <c r="G3560">
        <v>5.49</v>
      </c>
      <c r="H3560">
        <v>5.49</v>
      </c>
      <c r="I3560" t="s">
        <v>2354</v>
      </c>
    </row>
    <row r="3561" spans="1:9" x14ac:dyDescent="0.25">
      <c r="A3561" t="s">
        <v>220</v>
      </c>
      <c r="B3561" t="s">
        <v>2351</v>
      </c>
      <c r="C3561" t="s">
        <v>4542</v>
      </c>
      <c r="D3561" t="s">
        <v>4543</v>
      </c>
      <c r="F3561">
        <v>8</v>
      </c>
      <c r="G3561">
        <v>23.315999999999999</v>
      </c>
      <c r="H3561">
        <v>186.52799999999999</v>
      </c>
      <c r="I3561" t="s">
        <v>2354</v>
      </c>
    </row>
    <row r="3562" spans="1:9" x14ac:dyDescent="0.25">
      <c r="A3562" t="s">
        <v>220</v>
      </c>
      <c r="B3562" t="s">
        <v>2351</v>
      </c>
      <c r="C3562" t="s">
        <v>4544</v>
      </c>
      <c r="D3562" t="s">
        <v>4545</v>
      </c>
      <c r="F3562">
        <v>5</v>
      </c>
      <c r="G3562">
        <v>34.799999999999997</v>
      </c>
      <c r="H3562">
        <v>174</v>
      </c>
      <c r="I3562" t="s">
        <v>2354</v>
      </c>
    </row>
    <row r="3563" spans="1:9" x14ac:dyDescent="0.25">
      <c r="A3563" t="s">
        <v>220</v>
      </c>
      <c r="B3563" t="s">
        <v>2351</v>
      </c>
      <c r="C3563" t="s">
        <v>4548</v>
      </c>
      <c r="D3563" t="s">
        <v>4549</v>
      </c>
      <c r="F3563">
        <v>11</v>
      </c>
      <c r="G3563">
        <v>1.1833238095238097</v>
      </c>
      <c r="H3563">
        <v>13.016561904761906</v>
      </c>
      <c r="I3563" t="s">
        <v>2354</v>
      </c>
    </row>
    <row r="3564" spans="1:9" x14ac:dyDescent="0.25">
      <c r="A3564" t="s">
        <v>220</v>
      </c>
      <c r="B3564" t="s">
        <v>2351</v>
      </c>
      <c r="C3564" t="s">
        <v>4552</v>
      </c>
      <c r="D3564" t="s">
        <v>4553</v>
      </c>
      <c r="F3564">
        <v>26</v>
      </c>
      <c r="G3564">
        <v>1.165</v>
      </c>
      <c r="H3564">
        <v>30.29</v>
      </c>
      <c r="I3564" t="s">
        <v>2354</v>
      </c>
    </row>
    <row r="3565" spans="1:9" x14ac:dyDescent="0.25">
      <c r="A3565" t="s">
        <v>220</v>
      </c>
      <c r="B3565" t="s">
        <v>2351</v>
      </c>
      <c r="C3565" t="s">
        <v>4568</v>
      </c>
      <c r="D3565" t="s">
        <v>4569</v>
      </c>
      <c r="F3565">
        <v>4</v>
      </c>
      <c r="G3565">
        <v>4.5599999999999996</v>
      </c>
      <c r="H3565">
        <v>18.239999999999998</v>
      </c>
      <c r="I3565" t="s">
        <v>2354</v>
      </c>
    </row>
    <row r="3566" spans="1:9" x14ac:dyDescent="0.25">
      <c r="A3566" t="s">
        <v>220</v>
      </c>
      <c r="B3566" t="s">
        <v>2351</v>
      </c>
      <c r="C3566" t="s">
        <v>4588</v>
      </c>
      <c r="D3566" t="s">
        <v>4589</v>
      </c>
      <c r="F3566">
        <v>30</v>
      </c>
      <c r="G3566">
        <v>0.58499999999999996</v>
      </c>
      <c r="H3566">
        <v>17.549999999999997</v>
      </c>
      <c r="I3566" t="s">
        <v>2354</v>
      </c>
    </row>
    <row r="3567" spans="1:9" x14ac:dyDescent="0.25">
      <c r="A3567" t="s">
        <v>220</v>
      </c>
      <c r="B3567" t="s">
        <v>2351</v>
      </c>
      <c r="C3567" t="s">
        <v>4590</v>
      </c>
      <c r="D3567" t="s">
        <v>4591</v>
      </c>
      <c r="F3567">
        <v>43</v>
      </c>
      <c r="G3567">
        <v>0.56200000000000006</v>
      </c>
      <c r="H3567">
        <v>24.166000000000004</v>
      </c>
      <c r="I3567" t="s">
        <v>2354</v>
      </c>
    </row>
    <row r="3568" spans="1:9" x14ac:dyDescent="0.25">
      <c r="A3568" t="s">
        <v>220</v>
      </c>
      <c r="B3568" t="s">
        <v>2351</v>
      </c>
      <c r="C3568" t="s">
        <v>4592</v>
      </c>
      <c r="D3568" t="s">
        <v>4593</v>
      </c>
      <c r="F3568">
        <v>63</v>
      </c>
      <c r="G3568">
        <v>0.68579999999999997</v>
      </c>
      <c r="H3568">
        <v>43.205399999999997</v>
      </c>
      <c r="I3568" t="s">
        <v>2354</v>
      </c>
    </row>
    <row r="3569" spans="1:9" x14ac:dyDescent="0.25">
      <c r="A3569" t="s">
        <v>220</v>
      </c>
      <c r="B3569" t="s">
        <v>2351</v>
      </c>
      <c r="C3569" t="s">
        <v>4594</v>
      </c>
      <c r="D3569" t="s">
        <v>4595</v>
      </c>
      <c r="F3569">
        <v>2</v>
      </c>
      <c r="G3569">
        <v>21.941099999999999</v>
      </c>
      <c r="H3569">
        <v>43.882199999999997</v>
      </c>
      <c r="I3569" t="s">
        <v>2354</v>
      </c>
    </row>
    <row r="3570" spans="1:9" x14ac:dyDescent="0.25">
      <c r="A3570" t="s">
        <v>220</v>
      </c>
      <c r="B3570" t="s">
        <v>2351</v>
      </c>
      <c r="C3570" t="s">
        <v>4596</v>
      </c>
      <c r="D3570" t="s">
        <v>4597</v>
      </c>
      <c r="F3570">
        <v>2</v>
      </c>
      <c r="G3570">
        <v>2.5151500000000002</v>
      </c>
      <c r="H3570">
        <v>5.0303000000000004</v>
      </c>
      <c r="I3570" t="s">
        <v>2354</v>
      </c>
    </row>
    <row r="3571" spans="1:9" x14ac:dyDescent="0.25">
      <c r="A3571" t="s">
        <v>220</v>
      </c>
      <c r="B3571" t="s">
        <v>2351</v>
      </c>
      <c r="C3571" t="s">
        <v>4598</v>
      </c>
      <c r="D3571" t="s">
        <v>4599</v>
      </c>
      <c r="F3571">
        <v>2</v>
      </c>
      <c r="G3571">
        <v>3.3580000000000001</v>
      </c>
      <c r="H3571">
        <v>6.7160000000000002</v>
      </c>
      <c r="I3571" t="s">
        <v>2354</v>
      </c>
    </row>
    <row r="3572" spans="1:9" x14ac:dyDescent="0.25">
      <c r="A3572" t="s">
        <v>220</v>
      </c>
      <c r="B3572" t="s">
        <v>2351</v>
      </c>
      <c r="C3572" t="s">
        <v>4600</v>
      </c>
      <c r="D3572" t="s">
        <v>4601</v>
      </c>
      <c r="F3572">
        <v>1</v>
      </c>
      <c r="G3572">
        <v>58.65</v>
      </c>
      <c r="H3572">
        <v>58.65</v>
      </c>
      <c r="I3572" t="s">
        <v>2354</v>
      </c>
    </row>
    <row r="3573" spans="1:9" x14ac:dyDescent="0.25">
      <c r="A3573" t="s">
        <v>220</v>
      </c>
      <c r="B3573" t="s">
        <v>2351</v>
      </c>
      <c r="C3573" t="s">
        <v>4602</v>
      </c>
      <c r="D3573" t="s">
        <v>4603</v>
      </c>
      <c r="F3573">
        <v>60</v>
      </c>
      <c r="G3573">
        <v>4.9809999999999999</v>
      </c>
      <c r="H3573">
        <v>298.86</v>
      </c>
      <c r="I3573" t="s">
        <v>2354</v>
      </c>
    </row>
    <row r="3574" spans="1:9" x14ac:dyDescent="0.25">
      <c r="A3574" t="s">
        <v>220</v>
      </c>
      <c r="B3574" t="s">
        <v>2351</v>
      </c>
      <c r="C3574" t="s">
        <v>4604</v>
      </c>
      <c r="D3574" t="s">
        <v>4605</v>
      </c>
      <c r="F3574">
        <v>42</v>
      </c>
      <c r="G3574">
        <v>2.1</v>
      </c>
      <c r="H3574">
        <v>88.2</v>
      </c>
      <c r="I3574" t="s">
        <v>2354</v>
      </c>
    </row>
    <row r="3575" spans="1:9" x14ac:dyDescent="0.25">
      <c r="A3575" t="s">
        <v>220</v>
      </c>
      <c r="B3575" t="s">
        <v>2351</v>
      </c>
      <c r="C3575" t="s">
        <v>4606</v>
      </c>
      <c r="D3575" t="s">
        <v>4607</v>
      </c>
      <c r="F3575">
        <v>33</v>
      </c>
      <c r="G3575">
        <v>6.8979999999999997</v>
      </c>
      <c r="H3575">
        <v>227.63399999999999</v>
      </c>
      <c r="I3575" t="s">
        <v>2354</v>
      </c>
    </row>
    <row r="3576" spans="1:9" x14ac:dyDescent="0.25">
      <c r="A3576" t="s">
        <v>220</v>
      </c>
      <c r="B3576" t="s">
        <v>2351</v>
      </c>
      <c r="C3576" t="s">
        <v>4608</v>
      </c>
      <c r="D3576" t="s">
        <v>4609</v>
      </c>
      <c r="F3576">
        <v>14</v>
      </c>
      <c r="G3576">
        <v>3.024</v>
      </c>
      <c r="H3576">
        <v>42.335999999999999</v>
      </c>
      <c r="I3576" t="s">
        <v>2354</v>
      </c>
    </row>
    <row r="3577" spans="1:9" x14ac:dyDescent="0.25">
      <c r="A3577" t="s">
        <v>220</v>
      </c>
      <c r="B3577" t="s">
        <v>2351</v>
      </c>
      <c r="C3577" t="s">
        <v>4610</v>
      </c>
      <c r="D3577" t="s">
        <v>4611</v>
      </c>
      <c r="F3577">
        <v>18</v>
      </c>
      <c r="G3577">
        <v>2.9224888888888887</v>
      </c>
      <c r="H3577">
        <v>52.604799999999997</v>
      </c>
      <c r="I3577" t="s">
        <v>2354</v>
      </c>
    </row>
    <row r="3578" spans="1:9" x14ac:dyDescent="0.25">
      <c r="A3578" t="s">
        <v>220</v>
      </c>
      <c r="B3578" t="s">
        <v>2351</v>
      </c>
      <c r="C3578" t="s">
        <v>4612</v>
      </c>
      <c r="D3578" t="s">
        <v>4613</v>
      </c>
      <c r="F3578">
        <v>17</v>
      </c>
      <c r="G3578">
        <v>1.173</v>
      </c>
      <c r="H3578">
        <v>19.941000000000003</v>
      </c>
      <c r="I3578" t="s">
        <v>2354</v>
      </c>
    </row>
    <row r="3579" spans="1:9" x14ac:dyDescent="0.25">
      <c r="A3579" t="s">
        <v>220</v>
      </c>
      <c r="B3579" t="s">
        <v>2351</v>
      </c>
      <c r="C3579" t="s">
        <v>4614</v>
      </c>
      <c r="D3579" t="s">
        <v>4615</v>
      </c>
      <c r="F3579">
        <v>9</v>
      </c>
      <c r="G3579">
        <v>3.3929999999999998</v>
      </c>
      <c r="H3579">
        <v>30.536999999999999</v>
      </c>
      <c r="I3579" t="s">
        <v>2354</v>
      </c>
    </row>
    <row r="3580" spans="1:9" x14ac:dyDescent="0.25">
      <c r="A3580" t="s">
        <v>220</v>
      </c>
      <c r="B3580" t="s">
        <v>2351</v>
      </c>
      <c r="C3580" t="s">
        <v>4616</v>
      </c>
      <c r="D3580" t="s">
        <v>4617</v>
      </c>
      <c r="F3580">
        <v>50</v>
      </c>
      <c r="G3580">
        <v>1.4990000000000001</v>
      </c>
      <c r="H3580">
        <v>74.95</v>
      </c>
      <c r="I3580" t="s">
        <v>2354</v>
      </c>
    </row>
    <row r="3581" spans="1:9" x14ac:dyDescent="0.25">
      <c r="A3581" t="s">
        <v>220</v>
      </c>
      <c r="B3581" t="s">
        <v>2351</v>
      </c>
      <c r="C3581" t="s">
        <v>5378</v>
      </c>
      <c r="D3581" t="s">
        <v>5379</v>
      </c>
      <c r="F3581">
        <v>32</v>
      </c>
      <c r="G3581">
        <v>0</v>
      </c>
      <c r="H3581">
        <v>0</v>
      </c>
      <c r="I3581" t="s">
        <v>2354</v>
      </c>
    </row>
    <row r="3582" spans="1:9" x14ac:dyDescent="0.25">
      <c r="A3582" t="s">
        <v>220</v>
      </c>
      <c r="B3582" t="s">
        <v>2351</v>
      </c>
      <c r="C3582" t="s">
        <v>4618</v>
      </c>
      <c r="D3582" t="s">
        <v>4619</v>
      </c>
      <c r="F3582">
        <v>4</v>
      </c>
      <c r="G3582">
        <v>22.452000000000002</v>
      </c>
      <c r="H3582">
        <v>89.808000000000007</v>
      </c>
      <c r="I3582" t="s">
        <v>2354</v>
      </c>
    </row>
    <row r="3583" spans="1:9" x14ac:dyDescent="0.25">
      <c r="A3583" t="s">
        <v>220</v>
      </c>
      <c r="B3583" t="s">
        <v>2351</v>
      </c>
      <c r="C3583" t="s">
        <v>4620</v>
      </c>
      <c r="D3583" t="s">
        <v>4621</v>
      </c>
      <c r="F3583">
        <v>95</v>
      </c>
      <c r="G3583">
        <v>0.39600000000000002</v>
      </c>
      <c r="H3583">
        <v>37.620000000000005</v>
      </c>
      <c r="I3583" t="s">
        <v>2354</v>
      </c>
    </row>
    <row r="3584" spans="1:9" x14ac:dyDescent="0.25">
      <c r="A3584" t="s">
        <v>220</v>
      </c>
      <c r="B3584" t="s">
        <v>2351</v>
      </c>
      <c r="C3584" t="s">
        <v>4622</v>
      </c>
      <c r="D3584" t="s">
        <v>4623</v>
      </c>
      <c r="F3584">
        <v>15</v>
      </c>
      <c r="G3584">
        <v>2.3290000000000002</v>
      </c>
      <c r="H3584">
        <v>34.935000000000002</v>
      </c>
      <c r="I3584" t="s">
        <v>2354</v>
      </c>
    </row>
    <row r="3585" spans="1:9" x14ac:dyDescent="0.25">
      <c r="A3585" t="s">
        <v>220</v>
      </c>
      <c r="B3585" t="s">
        <v>2351</v>
      </c>
      <c r="C3585" t="s">
        <v>4636</v>
      </c>
      <c r="D3585" t="s">
        <v>4637</v>
      </c>
      <c r="F3585">
        <v>20</v>
      </c>
      <c r="G3585">
        <v>0.19656000000000001</v>
      </c>
      <c r="H3585">
        <v>3.9312000000000005</v>
      </c>
      <c r="I3585" t="s">
        <v>2354</v>
      </c>
    </row>
    <row r="3586" spans="1:9" x14ac:dyDescent="0.25">
      <c r="A3586" t="s">
        <v>220</v>
      </c>
      <c r="B3586" t="s">
        <v>2351</v>
      </c>
      <c r="C3586" t="s">
        <v>4640</v>
      </c>
      <c r="D3586" t="s">
        <v>4641</v>
      </c>
      <c r="F3586">
        <v>13</v>
      </c>
      <c r="G3586">
        <v>0.82499999999999996</v>
      </c>
      <c r="H3586">
        <v>10.725</v>
      </c>
      <c r="I3586" t="s">
        <v>2354</v>
      </c>
    </row>
    <row r="3587" spans="1:9" x14ac:dyDescent="0.25">
      <c r="A3587" t="s">
        <v>220</v>
      </c>
      <c r="B3587" t="s">
        <v>2351</v>
      </c>
      <c r="C3587" t="s">
        <v>4642</v>
      </c>
      <c r="D3587" t="s">
        <v>4643</v>
      </c>
      <c r="F3587">
        <v>129</v>
      </c>
      <c r="G3587">
        <v>0.46500000000000002</v>
      </c>
      <c r="H3587">
        <v>59.985000000000007</v>
      </c>
      <c r="I3587" t="s">
        <v>2354</v>
      </c>
    </row>
    <row r="3588" spans="1:9" x14ac:dyDescent="0.25">
      <c r="A3588" t="s">
        <v>220</v>
      </c>
      <c r="B3588" t="s">
        <v>2351</v>
      </c>
      <c r="C3588" t="s">
        <v>4644</v>
      </c>
      <c r="D3588" t="s">
        <v>4645</v>
      </c>
      <c r="F3588">
        <v>22</v>
      </c>
      <c r="G3588">
        <v>0.37094660194174761</v>
      </c>
      <c r="H3588">
        <v>8.1608252427184471</v>
      </c>
      <c r="I3588" t="s">
        <v>2354</v>
      </c>
    </row>
    <row r="3589" spans="1:9" x14ac:dyDescent="0.25">
      <c r="A3589" t="s">
        <v>220</v>
      </c>
      <c r="B3589" t="s">
        <v>2351</v>
      </c>
      <c r="C3589" t="s">
        <v>4646</v>
      </c>
      <c r="D3589" t="s">
        <v>4647</v>
      </c>
      <c r="F3589">
        <v>316</v>
      </c>
      <c r="G3589">
        <v>0.16726573619631901</v>
      </c>
      <c r="H3589">
        <v>52.85597263803681</v>
      </c>
      <c r="I3589" t="s">
        <v>2354</v>
      </c>
    </row>
    <row r="3590" spans="1:9" x14ac:dyDescent="0.25">
      <c r="A3590" t="s">
        <v>220</v>
      </c>
      <c r="B3590" t="s">
        <v>2351</v>
      </c>
      <c r="C3590" t="s">
        <v>4648</v>
      </c>
      <c r="D3590" t="s">
        <v>4649</v>
      </c>
      <c r="F3590">
        <v>180</v>
      </c>
      <c r="G3590">
        <v>0.125</v>
      </c>
      <c r="H3590">
        <v>22.5</v>
      </c>
      <c r="I3590" t="s">
        <v>2354</v>
      </c>
    </row>
    <row r="3591" spans="1:9" x14ac:dyDescent="0.25">
      <c r="A3591" t="s">
        <v>220</v>
      </c>
      <c r="B3591" t="s">
        <v>2351</v>
      </c>
      <c r="C3591" t="s">
        <v>4650</v>
      </c>
      <c r="D3591" t="s">
        <v>4651</v>
      </c>
      <c r="F3591">
        <v>95</v>
      </c>
      <c r="G3591">
        <v>0.31014000000000003</v>
      </c>
      <c r="H3591">
        <v>29.463300000000004</v>
      </c>
      <c r="I3591" t="s">
        <v>2354</v>
      </c>
    </row>
    <row r="3592" spans="1:9" x14ac:dyDescent="0.25">
      <c r="A3592" t="s">
        <v>220</v>
      </c>
      <c r="B3592" t="s">
        <v>2351</v>
      </c>
      <c r="C3592" t="s">
        <v>4652</v>
      </c>
      <c r="D3592" t="s">
        <v>4653</v>
      </c>
      <c r="F3592">
        <v>15</v>
      </c>
      <c r="G3592">
        <v>1.8105</v>
      </c>
      <c r="H3592">
        <v>27.157499999999999</v>
      </c>
      <c r="I3592" t="s">
        <v>2354</v>
      </c>
    </row>
    <row r="3593" spans="1:9" x14ac:dyDescent="0.25">
      <c r="A3593" t="s">
        <v>220</v>
      </c>
      <c r="B3593" t="s">
        <v>2351</v>
      </c>
      <c r="C3593" t="s">
        <v>4656</v>
      </c>
      <c r="D3593" t="s">
        <v>4657</v>
      </c>
      <c r="F3593">
        <v>302</v>
      </c>
      <c r="G3593">
        <v>0.19486187845303865</v>
      </c>
      <c r="H3593">
        <v>58.848287292817673</v>
      </c>
      <c r="I3593" t="s">
        <v>2354</v>
      </c>
    </row>
    <row r="3594" spans="1:9" x14ac:dyDescent="0.25">
      <c r="A3594" t="s">
        <v>220</v>
      </c>
      <c r="B3594" t="s">
        <v>2351</v>
      </c>
      <c r="C3594" t="s">
        <v>4658</v>
      </c>
      <c r="D3594" t="s">
        <v>4659</v>
      </c>
      <c r="F3594">
        <v>318</v>
      </c>
      <c r="G3594">
        <v>0.21568278894472359</v>
      </c>
      <c r="H3594">
        <v>68.587126884422105</v>
      </c>
      <c r="I3594" t="s">
        <v>2354</v>
      </c>
    </row>
    <row r="3595" spans="1:9" x14ac:dyDescent="0.25">
      <c r="A3595" t="s">
        <v>220</v>
      </c>
      <c r="B3595" t="s">
        <v>2351</v>
      </c>
      <c r="C3595" t="s">
        <v>4660</v>
      </c>
      <c r="D3595" t="s">
        <v>4661</v>
      </c>
      <c r="F3595">
        <v>558</v>
      </c>
      <c r="G3595">
        <v>9.35E-2</v>
      </c>
      <c r="H3595">
        <v>52.173000000000002</v>
      </c>
      <c r="I3595" t="s">
        <v>2354</v>
      </c>
    </row>
    <row r="3596" spans="1:9" x14ac:dyDescent="0.25">
      <c r="A3596" t="s">
        <v>220</v>
      </c>
      <c r="B3596" t="s">
        <v>2351</v>
      </c>
      <c r="C3596" t="s">
        <v>4662</v>
      </c>
      <c r="D3596" t="s">
        <v>4663</v>
      </c>
      <c r="F3596">
        <v>532</v>
      </c>
      <c r="G3596">
        <v>0.21</v>
      </c>
      <c r="H3596">
        <v>111.72</v>
      </c>
      <c r="I3596" t="s">
        <v>2354</v>
      </c>
    </row>
    <row r="3597" spans="1:9" x14ac:dyDescent="0.25">
      <c r="A3597" t="s">
        <v>220</v>
      </c>
      <c r="B3597" t="s">
        <v>2351</v>
      </c>
      <c r="C3597" t="s">
        <v>4664</v>
      </c>
      <c r="D3597" t="s">
        <v>4665</v>
      </c>
      <c r="F3597">
        <v>230</v>
      </c>
      <c r="G3597">
        <v>0.28599999999999998</v>
      </c>
      <c r="H3597">
        <v>65.78</v>
      </c>
      <c r="I3597" t="s">
        <v>2354</v>
      </c>
    </row>
    <row r="3598" spans="1:9" x14ac:dyDescent="0.25">
      <c r="A3598" t="s">
        <v>220</v>
      </c>
      <c r="B3598" t="s">
        <v>2351</v>
      </c>
      <c r="C3598" t="s">
        <v>4666</v>
      </c>
      <c r="D3598" t="s">
        <v>4667</v>
      </c>
      <c r="F3598">
        <v>49</v>
      </c>
      <c r="G3598">
        <v>0.315</v>
      </c>
      <c r="H3598">
        <v>15.435</v>
      </c>
      <c r="I3598" t="s">
        <v>2354</v>
      </c>
    </row>
    <row r="3599" spans="1:9" x14ac:dyDescent="0.25">
      <c r="A3599" t="s">
        <v>220</v>
      </c>
      <c r="B3599" t="s">
        <v>2351</v>
      </c>
      <c r="C3599" t="s">
        <v>4668</v>
      </c>
      <c r="D3599" t="s">
        <v>4669</v>
      </c>
      <c r="F3599">
        <v>50</v>
      </c>
      <c r="G3599">
        <v>1.0674870607734805</v>
      </c>
      <c r="H3599">
        <v>53.37435303867403</v>
      </c>
      <c r="I3599" t="s">
        <v>2354</v>
      </c>
    </row>
    <row r="3600" spans="1:9" x14ac:dyDescent="0.25">
      <c r="A3600" t="s">
        <v>220</v>
      </c>
      <c r="B3600" t="s">
        <v>2351</v>
      </c>
      <c r="C3600" t="s">
        <v>4670</v>
      </c>
      <c r="D3600" t="s">
        <v>4671</v>
      </c>
      <c r="F3600">
        <v>208</v>
      </c>
      <c r="G3600">
        <v>0.48299999999999998</v>
      </c>
      <c r="H3600">
        <v>100.464</v>
      </c>
      <c r="I3600" t="s">
        <v>2354</v>
      </c>
    </row>
    <row r="3601" spans="1:9" x14ac:dyDescent="0.25">
      <c r="A3601" t="s">
        <v>220</v>
      </c>
      <c r="B3601" t="s">
        <v>2351</v>
      </c>
      <c r="C3601" t="s">
        <v>4672</v>
      </c>
      <c r="D3601" t="s">
        <v>4673</v>
      </c>
      <c r="F3601">
        <v>45</v>
      </c>
      <c r="G3601">
        <v>1.1539999999999999</v>
      </c>
      <c r="H3601">
        <v>51.929999999999993</v>
      </c>
      <c r="I3601" t="s">
        <v>2354</v>
      </c>
    </row>
    <row r="3602" spans="1:9" x14ac:dyDescent="0.25">
      <c r="A3602" t="s">
        <v>220</v>
      </c>
      <c r="B3602" t="s">
        <v>2351</v>
      </c>
      <c r="C3602" t="s">
        <v>4674</v>
      </c>
      <c r="D3602" t="s">
        <v>4675</v>
      </c>
      <c r="F3602">
        <v>89</v>
      </c>
      <c r="G3602">
        <v>1.5189999999999999</v>
      </c>
      <c r="H3602">
        <v>135.191</v>
      </c>
      <c r="I3602" t="s">
        <v>2354</v>
      </c>
    </row>
    <row r="3603" spans="1:9" x14ac:dyDescent="0.25">
      <c r="A3603" t="s">
        <v>220</v>
      </c>
      <c r="B3603" t="s">
        <v>2351</v>
      </c>
      <c r="C3603" t="s">
        <v>4676</v>
      </c>
      <c r="D3603" t="s">
        <v>4677</v>
      </c>
      <c r="F3603">
        <v>15</v>
      </c>
      <c r="G3603">
        <v>1.8360000000000001</v>
      </c>
      <c r="H3603">
        <v>27.540000000000003</v>
      </c>
      <c r="I3603" t="s">
        <v>2354</v>
      </c>
    </row>
    <row r="3604" spans="1:9" x14ac:dyDescent="0.25">
      <c r="A3604" t="s">
        <v>220</v>
      </c>
      <c r="B3604" t="s">
        <v>2351</v>
      </c>
      <c r="C3604" t="s">
        <v>4678</v>
      </c>
      <c r="D3604" t="s">
        <v>4679</v>
      </c>
      <c r="F3604">
        <v>250</v>
      </c>
      <c r="G3604">
        <v>0.48481246339775336</v>
      </c>
      <c r="H3604">
        <v>121.20311584943833</v>
      </c>
      <c r="I3604" t="s">
        <v>2354</v>
      </c>
    </row>
    <row r="3605" spans="1:9" x14ac:dyDescent="0.25">
      <c r="A3605" t="s">
        <v>220</v>
      </c>
      <c r="B3605" t="s">
        <v>2351</v>
      </c>
      <c r="C3605" t="s">
        <v>4680</v>
      </c>
      <c r="D3605" t="s">
        <v>4681</v>
      </c>
      <c r="F3605">
        <v>41</v>
      </c>
      <c r="G3605">
        <v>0.46</v>
      </c>
      <c r="H3605">
        <v>18.86</v>
      </c>
      <c r="I3605" t="s">
        <v>2354</v>
      </c>
    </row>
    <row r="3606" spans="1:9" x14ac:dyDescent="0.25">
      <c r="A3606" t="s">
        <v>220</v>
      </c>
      <c r="B3606" t="s">
        <v>2351</v>
      </c>
      <c r="C3606" t="s">
        <v>5382</v>
      </c>
      <c r="D3606" t="s">
        <v>5383</v>
      </c>
      <c r="F3606">
        <v>5</v>
      </c>
      <c r="G3606">
        <v>0.45100000000000001</v>
      </c>
      <c r="H3606">
        <v>2.2549999999999999</v>
      </c>
      <c r="I3606" t="s">
        <v>2354</v>
      </c>
    </row>
    <row r="3607" spans="1:9" x14ac:dyDescent="0.25">
      <c r="A3607" t="s">
        <v>220</v>
      </c>
      <c r="B3607" t="s">
        <v>2351</v>
      </c>
      <c r="C3607" t="s">
        <v>4682</v>
      </c>
      <c r="D3607" t="s">
        <v>4683</v>
      </c>
      <c r="F3607">
        <v>15</v>
      </c>
      <c r="G3607">
        <v>0.90400000000000003</v>
      </c>
      <c r="H3607">
        <v>13.56</v>
      </c>
      <c r="I3607" t="s">
        <v>2354</v>
      </c>
    </row>
    <row r="3608" spans="1:9" x14ac:dyDescent="0.25">
      <c r="A3608" t="s">
        <v>220</v>
      </c>
      <c r="B3608" t="s">
        <v>2351</v>
      </c>
      <c r="C3608" t="s">
        <v>4684</v>
      </c>
      <c r="D3608" t="s">
        <v>4685</v>
      </c>
      <c r="F3608">
        <v>8.25</v>
      </c>
      <c r="G3608">
        <v>11.813000000000001</v>
      </c>
      <c r="H3608">
        <v>97.457250000000002</v>
      </c>
      <c r="I3608" t="s">
        <v>2354</v>
      </c>
    </row>
    <row r="3609" spans="1:9" x14ac:dyDescent="0.25">
      <c r="A3609" t="s">
        <v>220</v>
      </c>
      <c r="B3609" t="s">
        <v>2351</v>
      </c>
      <c r="C3609" t="s">
        <v>4686</v>
      </c>
      <c r="D3609" t="s">
        <v>4687</v>
      </c>
      <c r="F3609">
        <v>144</v>
      </c>
      <c r="G3609">
        <v>0.33638000000000001</v>
      </c>
      <c r="H3609">
        <v>48.438720000000004</v>
      </c>
      <c r="I3609" t="s">
        <v>2354</v>
      </c>
    </row>
    <row r="3610" spans="1:9" x14ac:dyDescent="0.25">
      <c r="A3610" t="s">
        <v>220</v>
      </c>
      <c r="B3610" t="s">
        <v>2351</v>
      </c>
      <c r="C3610" t="s">
        <v>4688</v>
      </c>
      <c r="D3610" t="s">
        <v>4689</v>
      </c>
      <c r="F3610">
        <v>78</v>
      </c>
      <c r="G3610">
        <v>0.84150000000000003</v>
      </c>
      <c r="H3610">
        <v>65.637</v>
      </c>
      <c r="I3610" t="s">
        <v>2354</v>
      </c>
    </row>
    <row r="3611" spans="1:9" x14ac:dyDescent="0.25">
      <c r="A3611" t="s">
        <v>220</v>
      </c>
      <c r="B3611" t="s">
        <v>2351</v>
      </c>
      <c r="C3611" t="s">
        <v>4690</v>
      </c>
      <c r="D3611" t="s">
        <v>4691</v>
      </c>
      <c r="F3611">
        <v>25</v>
      </c>
      <c r="G3611">
        <v>0.62900999999999996</v>
      </c>
      <c r="H3611">
        <v>15.725249999999999</v>
      </c>
      <c r="I3611" t="s">
        <v>2354</v>
      </c>
    </row>
    <row r="3612" spans="1:9" x14ac:dyDescent="0.25">
      <c r="A3612" t="s">
        <v>220</v>
      </c>
      <c r="B3612" t="s">
        <v>2351</v>
      </c>
      <c r="C3612" t="s">
        <v>4692</v>
      </c>
      <c r="D3612" t="s">
        <v>4693</v>
      </c>
      <c r="F3612">
        <v>25</v>
      </c>
      <c r="G3612">
        <v>0.2465</v>
      </c>
      <c r="H3612">
        <v>6.1624999999999996</v>
      </c>
      <c r="I3612" t="s">
        <v>2354</v>
      </c>
    </row>
    <row r="3613" spans="1:9" x14ac:dyDescent="0.25">
      <c r="A3613" t="s">
        <v>220</v>
      </c>
      <c r="B3613" t="s">
        <v>2351</v>
      </c>
      <c r="C3613" t="s">
        <v>4694</v>
      </c>
      <c r="D3613" t="s">
        <v>4695</v>
      </c>
      <c r="F3613">
        <v>5</v>
      </c>
      <c r="G3613">
        <v>3.4</v>
      </c>
      <c r="H3613">
        <v>17</v>
      </c>
      <c r="I3613" t="s">
        <v>2354</v>
      </c>
    </row>
    <row r="3614" spans="1:9" x14ac:dyDescent="0.25">
      <c r="A3614" t="s">
        <v>220</v>
      </c>
      <c r="B3614" t="s">
        <v>2351</v>
      </c>
      <c r="C3614" t="s">
        <v>4696</v>
      </c>
      <c r="D3614" t="s">
        <v>4697</v>
      </c>
      <c r="F3614">
        <v>136</v>
      </c>
      <c r="G3614">
        <v>1.0529999999999999</v>
      </c>
      <c r="H3614">
        <v>143.208</v>
      </c>
      <c r="I3614" t="s">
        <v>2354</v>
      </c>
    </row>
    <row r="3615" spans="1:9" x14ac:dyDescent="0.25">
      <c r="A3615" t="s">
        <v>220</v>
      </c>
      <c r="B3615" t="s">
        <v>2351</v>
      </c>
      <c r="C3615" t="s">
        <v>4698</v>
      </c>
      <c r="D3615" t="s">
        <v>4699</v>
      </c>
      <c r="F3615">
        <v>140</v>
      </c>
      <c r="G3615">
        <v>0.998</v>
      </c>
      <c r="H3615">
        <v>139.72</v>
      </c>
      <c r="I3615" t="s">
        <v>2354</v>
      </c>
    </row>
    <row r="3616" spans="1:9" x14ac:dyDescent="0.25">
      <c r="A3616" t="s">
        <v>220</v>
      </c>
      <c r="B3616" t="s">
        <v>2351</v>
      </c>
      <c r="C3616" t="s">
        <v>4700</v>
      </c>
      <c r="D3616" t="s">
        <v>4701</v>
      </c>
      <c r="F3616">
        <v>133</v>
      </c>
      <c r="G3616">
        <v>2.5437308868501526E-2</v>
      </c>
      <c r="H3616">
        <v>3.3831620795107029</v>
      </c>
      <c r="I3616" t="s">
        <v>2354</v>
      </c>
    </row>
    <row r="3617" spans="1:9" x14ac:dyDescent="0.25">
      <c r="A3617" t="s">
        <v>220</v>
      </c>
      <c r="B3617" t="s">
        <v>2351</v>
      </c>
      <c r="C3617" t="s">
        <v>4702</v>
      </c>
      <c r="D3617" t="s">
        <v>4703</v>
      </c>
      <c r="F3617">
        <v>140</v>
      </c>
      <c r="G3617">
        <v>0.12065255813953489</v>
      </c>
      <c r="H3617">
        <v>16.891358139534884</v>
      </c>
      <c r="I3617" t="s">
        <v>2354</v>
      </c>
    </row>
    <row r="3618" spans="1:9" x14ac:dyDescent="0.25">
      <c r="A3618" t="s">
        <v>220</v>
      </c>
      <c r="B3618" t="s">
        <v>2351</v>
      </c>
      <c r="C3618" t="s">
        <v>4704</v>
      </c>
      <c r="D3618" t="s">
        <v>4705</v>
      </c>
      <c r="F3618">
        <v>3</v>
      </c>
      <c r="G3618">
        <v>0.94299999999999995</v>
      </c>
      <c r="H3618">
        <v>2.8289999999999997</v>
      </c>
      <c r="I3618" t="s">
        <v>2354</v>
      </c>
    </row>
    <row r="3619" spans="1:9" x14ac:dyDescent="0.25">
      <c r="A3619" t="s">
        <v>220</v>
      </c>
      <c r="B3619" t="s">
        <v>2351</v>
      </c>
      <c r="C3619" t="s">
        <v>4706</v>
      </c>
      <c r="D3619" t="s">
        <v>4707</v>
      </c>
      <c r="F3619">
        <v>1</v>
      </c>
      <c r="G3619">
        <v>30.809699999999999</v>
      </c>
      <c r="H3619">
        <v>30.809699999999999</v>
      </c>
      <c r="I3619" t="s">
        <v>2354</v>
      </c>
    </row>
    <row r="3620" spans="1:9" x14ac:dyDescent="0.25">
      <c r="A3620" t="s">
        <v>220</v>
      </c>
      <c r="B3620" t="s">
        <v>2351</v>
      </c>
      <c r="C3620" t="s">
        <v>4708</v>
      </c>
      <c r="D3620" t="s">
        <v>4709</v>
      </c>
      <c r="F3620">
        <v>104</v>
      </c>
      <c r="G3620">
        <v>0.30499999999999999</v>
      </c>
      <c r="H3620">
        <v>31.72</v>
      </c>
      <c r="I3620" t="s">
        <v>2354</v>
      </c>
    </row>
    <row r="3621" spans="1:9" x14ac:dyDescent="0.25">
      <c r="A3621" t="s">
        <v>220</v>
      </c>
      <c r="B3621" t="s">
        <v>2351</v>
      </c>
      <c r="C3621" t="s">
        <v>4710</v>
      </c>
      <c r="D3621" t="s">
        <v>4711</v>
      </c>
      <c r="F3621">
        <v>40</v>
      </c>
      <c r="G3621">
        <v>0.38613999999999998</v>
      </c>
      <c r="H3621">
        <v>15.445599999999999</v>
      </c>
      <c r="I3621" t="s">
        <v>2354</v>
      </c>
    </row>
    <row r="3622" spans="1:9" x14ac:dyDescent="0.25">
      <c r="A3622" t="s">
        <v>220</v>
      </c>
      <c r="B3622" t="s">
        <v>2351</v>
      </c>
      <c r="C3622" t="s">
        <v>4712</v>
      </c>
      <c r="D3622" t="s">
        <v>4713</v>
      </c>
      <c r="F3622">
        <v>28</v>
      </c>
      <c r="G3622">
        <v>1.0506</v>
      </c>
      <c r="H3622">
        <v>29.416799999999999</v>
      </c>
      <c r="I3622" t="s">
        <v>2354</v>
      </c>
    </row>
    <row r="3623" spans="1:9" x14ac:dyDescent="0.25">
      <c r="A3623" t="s">
        <v>220</v>
      </c>
      <c r="B3623" t="s">
        <v>2351</v>
      </c>
      <c r="C3623" t="s">
        <v>4714</v>
      </c>
      <c r="D3623" t="s">
        <v>4715</v>
      </c>
      <c r="F3623">
        <v>320</v>
      </c>
      <c r="G3623">
        <v>0.32140750000000007</v>
      </c>
      <c r="H3623">
        <v>102.85040000000002</v>
      </c>
      <c r="I3623" t="s">
        <v>2354</v>
      </c>
    </row>
    <row r="3624" spans="1:9" x14ac:dyDescent="0.25">
      <c r="A3624" t="s">
        <v>220</v>
      </c>
      <c r="B3624" t="s">
        <v>2351</v>
      </c>
      <c r="C3624" t="s">
        <v>4716</v>
      </c>
      <c r="D3624" t="s">
        <v>4717</v>
      </c>
      <c r="F3624">
        <v>25</v>
      </c>
      <c r="G3624">
        <v>0.25700000000000001</v>
      </c>
      <c r="H3624">
        <v>6.4249999999999998</v>
      </c>
      <c r="I3624" t="s">
        <v>2354</v>
      </c>
    </row>
    <row r="3625" spans="1:9" x14ac:dyDescent="0.25">
      <c r="A3625" t="s">
        <v>220</v>
      </c>
      <c r="B3625" t="s">
        <v>2351</v>
      </c>
      <c r="C3625" t="s">
        <v>4718</v>
      </c>
      <c r="D3625" t="s">
        <v>4719</v>
      </c>
      <c r="F3625">
        <v>24</v>
      </c>
      <c r="G3625">
        <v>0.51200000000000001</v>
      </c>
      <c r="H3625">
        <v>12.288</v>
      </c>
      <c r="I3625" t="s">
        <v>2354</v>
      </c>
    </row>
    <row r="3626" spans="1:9" x14ac:dyDescent="0.25">
      <c r="A3626" t="s">
        <v>220</v>
      </c>
      <c r="B3626" t="s">
        <v>2351</v>
      </c>
      <c r="C3626" t="s">
        <v>4720</v>
      </c>
      <c r="D3626" t="s">
        <v>4721</v>
      </c>
      <c r="F3626">
        <v>27</v>
      </c>
      <c r="G3626">
        <v>0.44900000000000007</v>
      </c>
      <c r="H3626">
        <v>12.123000000000001</v>
      </c>
      <c r="I3626" t="s">
        <v>2354</v>
      </c>
    </row>
    <row r="3627" spans="1:9" x14ac:dyDescent="0.25">
      <c r="A3627" t="s">
        <v>220</v>
      </c>
      <c r="B3627" t="s">
        <v>2351</v>
      </c>
      <c r="C3627" t="s">
        <v>4722</v>
      </c>
      <c r="D3627" t="s">
        <v>4723</v>
      </c>
      <c r="F3627">
        <v>260</v>
      </c>
      <c r="G3627">
        <v>9.5399999999999985E-2</v>
      </c>
      <c r="H3627">
        <v>24.803999999999995</v>
      </c>
      <c r="I3627" t="s">
        <v>2354</v>
      </c>
    </row>
    <row r="3628" spans="1:9" x14ac:dyDescent="0.25">
      <c r="A3628" t="s">
        <v>220</v>
      </c>
      <c r="B3628" t="s">
        <v>2351</v>
      </c>
      <c r="C3628" t="s">
        <v>4724</v>
      </c>
      <c r="D3628" t="s">
        <v>4725</v>
      </c>
      <c r="F3628">
        <v>40</v>
      </c>
      <c r="G3628">
        <v>0.42159999999999997</v>
      </c>
      <c r="H3628">
        <v>16.863999999999997</v>
      </c>
      <c r="I3628" t="s">
        <v>2354</v>
      </c>
    </row>
    <row r="3629" spans="1:9" x14ac:dyDescent="0.25">
      <c r="A3629" t="s">
        <v>220</v>
      </c>
      <c r="B3629" t="s">
        <v>2351</v>
      </c>
      <c r="C3629" t="s">
        <v>4726</v>
      </c>
      <c r="D3629" t="s">
        <v>4727</v>
      </c>
      <c r="F3629">
        <v>140</v>
      </c>
      <c r="G3629">
        <v>0.65800000000000003</v>
      </c>
      <c r="H3629">
        <v>92.12</v>
      </c>
      <c r="I3629" t="s">
        <v>2354</v>
      </c>
    </row>
    <row r="3630" spans="1:9" x14ac:dyDescent="0.25">
      <c r="A3630" t="s">
        <v>220</v>
      </c>
      <c r="B3630" t="s">
        <v>2351</v>
      </c>
      <c r="C3630" t="s">
        <v>4728</v>
      </c>
      <c r="D3630" t="s">
        <v>4729</v>
      </c>
      <c r="F3630">
        <v>120</v>
      </c>
      <c r="G3630">
        <v>4.6519578313253014</v>
      </c>
      <c r="H3630">
        <v>558.23493975903614</v>
      </c>
      <c r="I3630" t="s">
        <v>2354</v>
      </c>
    </row>
    <row r="3631" spans="1:9" x14ac:dyDescent="0.25">
      <c r="A3631" t="s">
        <v>220</v>
      </c>
      <c r="B3631" t="s">
        <v>2351</v>
      </c>
      <c r="C3631" t="s">
        <v>4730</v>
      </c>
      <c r="D3631" t="s">
        <v>4731</v>
      </c>
      <c r="F3631">
        <v>10</v>
      </c>
      <c r="G3631">
        <v>3.15</v>
      </c>
      <c r="H3631">
        <v>31.5</v>
      </c>
      <c r="I3631" t="s">
        <v>2354</v>
      </c>
    </row>
    <row r="3632" spans="1:9" x14ac:dyDescent="0.25">
      <c r="A3632" t="s">
        <v>220</v>
      </c>
      <c r="B3632" t="s">
        <v>2351</v>
      </c>
      <c r="C3632" t="s">
        <v>4732</v>
      </c>
      <c r="D3632" t="s">
        <v>4733</v>
      </c>
      <c r="F3632">
        <v>162</v>
      </c>
      <c r="G3632">
        <v>0.13600000000000001</v>
      </c>
      <c r="H3632">
        <v>22.032</v>
      </c>
      <c r="I3632" t="s">
        <v>2354</v>
      </c>
    </row>
    <row r="3633" spans="1:9" x14ac:dyDescent="0.25">
      <c r="A3633" t="s">
        <v>220</v>
      </c>
      <c r="B3633" t="s">
        <v>2351</v>
      </c>
      <c r="C3633" t="s">
        <v>4734</v>
      </c>
      <c r="D3633" t="s">
        <v>4735</v>
      </c>
      <c r="F3633">
        <v>133</v>
      </c>
      <c r="G3633">
        <v>5.317887086092715</v>
      </c>
      <c r="H3633">
        <v>707.27898245033111</v>
      </c>
      <c r="I3633" t="s">
        <v>2354</v>
      </c>
    </row>
    <row r="3634" spans="1:9" x14ac:dyDescent="0.25">
      <c r="A3634" t="s">
        <v>220</v>
      </c>
      <c r="B3634" t="s">
        <v>2351</v>
      </c>
      <c r="C3634" t="s">
        <v>4736</v>
      </c>
      <c r="D3634" t="s">
        <v>4737</v>
      </c>
      <c r="F3634">
        <v>79</v>
      </c>
      <c r="G3634">
        <v>24.328700000000001</v>
      </c>
      <c r="H3634">
        <v>1921.9673</v>
      </c>
      <c r="I3634" t="s">
        <v>2354</v>
      </c>
    </row>
    <row r="3635" spans="1:9" x14ac:dyDescent="0.25">
      <c r="A3635" t="s">
        <v>220</v>
      </c>
      <c r="B3635" t="s">
        <v>2351</v>
      </c>
      <c r="C3635" t="s">
        <v>4738</v>
      </c>
      <c r="D3635" t="s">
        <v>4739</v>
      </c>
      <c r="F3635">
        <v>102</v>
      </c>
      <c r="G3635">
        <v>0.2328625924314919</v>
      </c>
      <c r="H3635">
        <v>23.751984428012175</v>
      </c>
      <c r="I3635" t="s">
        <v>2354</v>
      </c>
    </row>
    <row r="3636" spans="1:9" x14ac:dyDescent="0.25">
      <c r="A3636" t="s">
        <v>220</v>
      </c>
      <c r="B3636" t="s">
        <v>2351</v>
      </c>
      <c r="C3636" t="s">
        <v>4740</v>
      </c>
      <c r="D3636" t="s">
        <v>4741</v>
      </c>
      <c r="F3636">
        <v>3</v>
      </c>
      <c r="G3636">
        <v>23.007999999999999</v>
      </c>
      <c r="H3636">
        <v>69.024000000000001</v>
      </c>
      <c r="I3636" t="s">
        <v>2354</v>
      </c>
    </row>
    <row r="3637" spans="1:9" x14ac:dyDescent="0.25">
      <c r="A3637" t="s">
        <v>220</v>
      </c>
      <c r="B3637" t="s">
        <v>2351</v>
      </c>
      <c r="C3637" t="s">
        <v>4742</v>
      </c>
      <c r="D3637" t="s">
        <v>4743</v>
      </c>
      <c r="F3637">
        <v>2</v>
      </c>
      <c r="G3637">
        <v>36.194000000000003</v>
      </c>
      <c r="H3637">
        <v>72.388000000000005</v>
      </c>
      <c r="I3637" t="s">
        <v>2354</v>
      </c>
    </row>
    <row r="3638" spans="1:9" x14ac:dyDescent="0.25">
      <c r="A3638" t="s">
        <v>220</v>
      </c>
      <c r="B3638" t="s">
        <v>2351</v>
      </c>
      <c r="C3638" t="s">
        <v>4744</v>
      </c>
      <c r="D3638" t="s">
        <v>4745</v>
      </c>
      <c r="F3638">
        <v>120</v>
      </c>
      <c r="G3638">
        <v>30.584700000000002</v>
      </c>
      <c r="H3638">
        <v>3670.1640000000002</v>
      </c>
      <c r="I3638" t="s">
        <v>2354</v>
      </c>
    </row>
    <row r="3639" spans="1:9" x14ac:dyDescent="0.25">
      <c r="A3639" t="s">
        <v>220</v>
      </c>
      <c r="B3639" t="s">
        <v>2351</v>
      </c>
      <c r="C3639" t="s">
        <v>4748</v>
      </c>
      <c r="D3639" t="s">
        <v>4749</v>
      </c>
      <c r="F3639">
        <v>18</v>
      </c>
      <c r="G3639">
        <v>0.39</v>
      </c>
      <c r="H3639">
        <v>7.0200000000000005</v>
      </c>
      <c r="I3639" t="s">
        <v>2354</v>
      </c>
    </row>
    <row r="3640" spans="1:9" x14ac:dyDescent="0.25">
      <c r="A3640" t="s">
        <v>220</v>
      </c>
      <c r="B3640" t="s">
        <v>2351</v>
      </c>
      <c r="C3640" t="s">
        <v>4752</v>
      </c>
      <c r="D3640" t="s">
        <v>4753</v>
      </c>
      <c r="F3640">
        <v>36</v>
      </c>
      <c r="G3640">
        <v>5.5488</v>
      </c>
      <c r="H3640">
        <v>199.7568</v>
      </c>
      <c r="I3640" t="s">
        <v>2354</v>
      </c>
    </row>
    <row r="3641" spans="1:9" x14ac:dyDescent="0.25">
      <c r="A3641" t="s">
        <v>220</v>
      </c>
      <c r="B3641" t="s">
        <v>2351</v>
      </c>
      <c r="C3641" t="s">
        <v>4754</v>
      </c>
      <c r="D3641" t="s">
        <v>4755</v>
      </c>
      <c r="F3641">
        <v>203</v>
      </c>
      <c r="G3641">
        <v>9.3700000000000006E-2</v>
      </c>
      <c r="H3641">
        <v>19.021100000000001</v>
      </c>
      <c r="I3641" t="s">
        <v>2354</v>
      </c>
    </row>
    <row r="3642" spans="1:9" x14ac:dyDescent="0.25">
      <c r="A3642" t="s">
        <v>220</v>
      </c>
      <c r="B3642" t="s">
        <v>2351</v>
      </c>
      <c r="C3642" t="s">
        <v>4756</v>
      </c>
      <c r="D3642" t="s">
        <v>4757</v>
      </c>
      <c r="F3642">
        <v>328</v>
      </c>
      <c r="G3642">
        <v>8.4000000000000005E-2</v>
      </c>
      <c r="H3642">
        <v>27.552000000000003</v>
      </c>
      <c r="I3642" t="s">
        <v>2354</v>
      </c>
    </row>
    <row r="3643" spans="1:9" x14ac:dyDescent="0.25">
      <c r="A3643" t="s">
        <v>220</v>
      </c>
      <c r="B3643" t="s">
        <v>2351</v>
      </c>
      <c r="C3643" t="s">
        <v>4758</v>
      </c>
      <c r="D3643" t="s">
        <v>4759</v>
      </c>
      <c r="F3643">
        <v>102</v>
      </c>
      <c r="G3643">
        <v>5.8009999999999999E-2</v>
      </c>
      <c r="H3643">
        <v>5.9170199999999999</v>
      </c>
      <c r="I3643" t="s">
        <v>2354</v>
      </c>
    </row>
    <row r="3644" spans="1:9" x14ac:dyDescent="0.25">
      <c r="A3644" t="s">
        <v>220</v>
      </c>
      <c r="B3644" t="s">
        <v>2351</v>
      </c>
      <c r="C3644" t="s">
        <v>4760</v>
      </c>
      <c r="D3644" t="s">
        <v>4761</v>
      </c>
      <c r="F3644">
        <v>348</v>
      </c>
      <c r="G3644">
        <v>0.127</v>
      </c>
      <c r="H3644">
        <v>44.195999999999998</v>
      </c>
      <c r="I3644" t="s">
        <v>2354</v>
      </c>
    </row>
    <row r="3645" spans="1:9" x14ac:dyDescent="0.25">
      <c r="A3645" t="s">
        <v>220</v>
      </c>
      <c r="B3645" t="s">
        <v>2351</v>
      </c>
      <c r="C3645" t="s">
        <v>4762</v>
      </c>
      <c r="D3645" t="s">
        <v>4763</v>
      </c>
      <c r="F3645">
        <v>30</v>
      </c>
      <c r="G3645">
        <v>0.96389999999999998</v>
      </c>
      <c r="H3645">
        <v>28.916999999999998</v>
      </c>
      <c r="I3645" t="s">
        <v>2354</v>
      </c>
    </row>
    <row r="3646" spans="1:9" x14ac:dyDescent="0.25">
      <c r="A3646" t="s">
        <v>220</v>
      </c>
      <c r="B3646" t="s">
        <v>2351</v>
      </c>
      <c r="C3646" t="s">
        <v>4764</v>
      </c>
      <c r="D3646" t="s">
        <v>4765</v>
      </c>
      <c r="F3646">
        <v>501</v>
      </c>
      <c r="G3646">
        <v>3.3000000000000002E-2</v>
      </c>
      <c r="H3646">
        <v>16.533000000000001</v>
      </c>
      <c r="I3646" t="s">
        <v>2354</v>
      </c>
    </row>
    <row r="3647" spans="1:9" x14ac:dyDescent="0.25">
      <c r="A3647" t="s">
        <v>220</v>
      </c>
      <c r="B3647" t="s">
        <v>2351</v>
      </c>
      <c r="C3647" t="s">
        <v>4766</v>
      </c>
      <c r="D3647" t="s">
        <v>4767</v>
      </c>
      <c r="F3647">
        <v>30</v>
      </c>
      <c r="G3647">
        <v>0.05</v>
      </c>
      <c r="H3647">
        <v>1.5</v>
      </c>
      <c r="I3647" t="s">
        <v>2354</v>
      </c>
    </row>
    <row r="3648" spans="1:9" x14ac:dyDescent="0.25">
      <c r="A3648" t="s">
        <v>220</v>
      </c>
      <c r="B3648" t="s">
        <v>2351</v>
      </c>
      <c r="C3648" t="s">
        <v>4768</v>
      </c>
      <c r="D3648" t="s">
        <v>4769</v>
      </c>
      <c r="F3648">
        <v>13</v>
      </c>
      <c r="G3648">
        <v>0.89280000000000004</v>
      </c>
      <c r="H3648">
        <v>11.606400000000001</v>
      </c>
      <c r="I3648" t="s">
        <v>2354</v>
      </c>
    </row>
    <row r="3649" spans="1:9" x14ac:dyDescent="0.25">
      <c r="A3649" t="s">
        <v>220</v>
      </c>
      <c r="B3649" t="s">
        <v>2351</v>
      </c>
      <c r="C3649" t="s">
        <v>4772</v>
      </c>
      <c r="D3649" t="s">
        <v>4773</v>
      </c>
      <c r="F3649">
        <v>140</v>
      </c>
      <c r="G3649">
        <v>0.26774999999999999</v>
      </c>
      <c r="H3649">
        <v>37.484999999999999</v>
      </c>
      <c r="I3649" t="s">
        <v>2354</v>
      </c>
    </row>
    <row r="3650" spans="1:9" x14ac:dyDescent="0.25">
      <c r="A3650" t="s">
        <v>220</v>
      </c>
      <c r="B3650" t="s">
        <v>2351</v>
      </c>
      <c r="C3650" t="s">
        <v>4774</v>
      </c>
      <c r="D3650" t="s">
        <v>4775</v>
      </c>
      <c r="F3650">
        <v>260</v>
      </c>
      <c r="G3650">
        <v>1.1559999999999999</v>
      </c>
      <c r="H3650">
        <v>300.56</v>
      </c>
      <c r="I3650" t="s">
        <v>2354</v>
      </c>
    </row>
    <row r="3651" spans="1:9" x14ac:dyDescent="0.25">
      <c r="A3651" t="s">
        <v>220</v>
      </c>
      <c r="B3651" t="s">
        <v>2351</v>
      </c>
      <c r="C3651" t="s">
        <v>4776</v>
      </c>
      <c r="D3651" t="s">
        <v>4777</v>
      </c>
      <c r="F3651">
        <v>15</v>
      </c>
      <c r="G3651">
        <v>7.5666666666666664</v>
      </c>
      <c r="H3651">
        <v>113.5</v>
      </c>
      <c r="I3651" t="s">
        <v>2354</v>
      </c>
    </row>
    <row r="3652" spans="1:9" x14ac:dyDescent="0.25">
      <c r="A3652" t="s">
        <v>220</v>
      </c>
      <c r="B3652" t="s">
        <v>2351</v>
      </c>
      <c r="C3652" t="s">
        <v>4780</v>
      </c>
      <c r="D3652" t="s">
        <v>4781</v>
      </c>
      <c r="F3652">
        <v>102</v>
      </c>
      <c r="G3652">
        <v>0.122</v>
      </c>
      <c r="H3652">
        <v>12.443999999999999</v>
      </c>
      <c r="I3652" t="s">
        <v>2354</v>
      </c>
    </row>
    <row r="3653" spans="1:9" x14ac:dyDescent="0.25">
      <c r="A3653" t="s">
        <v>220</v>
      </c>
      <c r="B3653" t="s">
        <v>2351</v>
      </c>
      <c r="C3653" t="s">
        <v>4782</v>
      </c>
      <c r="D3653" t="s">
        <v>4783</v>
      </c>
      <c r="F3653">
        <v>38</v>
      </c>
      <c r="G3653">
        <v>0.17199999999999999</v>
      </c>
      <c r="H3653">
        <v>6.5359999999999996</v>
      </c>
      <c r="I3653" t="s">
        <v>2354</v>
      </c>
    </row>
    <row r="3654" spans="1:9" x14ac:dyDescent="0.25">
      <c r="A3654" t="s">
        <v>220</v>
      </c>
      <c r="B3654" t="s">
        <v>2351</v>
      </c>
      <c r="C3654" t="s">
        <v>4784</v>
      </c>
      <c r="D3654" t="s">
        <v>4785</v>
      </c>
      <c r="F3654">
        <v>35</v>
      </c>
      <c r="G3654">
        <v>0.20699999999999999</v>
      </c>
      <c r="H3654">
        <v>7.2449999999999992</v>
      </c>
      <c r="I3654" t="s">
        <v>2354</v>
      </c>
    </row>
    <row r="3655" spans="1:9" x14ac:dyDescent="0.25">
      <c r="A3655" t="s">
        <v>220</v>
      </c>
      <c r="B3655" t="s">
        <v>2351</v>
      </c>
      <c r="C3655" t="s">
        <v>4786</v>
      </c>
      <c r="D3655" t="s">
        <v>4787</v>
      </c>
      <c r="F3655">
        <v>55</v>
      </c>
      <c r="G3655">
        <v>0.23599999999999999</v>
      </c>
      <c r="H3655">
        <v>12.979999999999999</v>
      </c>
      <c r="I3655" t="s">
        <v>2354</v>
      </c>
    </row>
    <row r="3656" spans="1:9" x14ac:dyDescent="0.25">
      <c r="A3656" t="s">
        <v>220</v>
      </c>
      <c r="B3656" t="s">
        <v>2351</v>
      </c>
      <c r="C3656" t="s">
        <v>4788</v>
      </c>
      <c r="D3656" t="s">
        <v>4789</v>
      </c>
      <c r="F3656">
        <v>378</v>
      </c>
      <c r="G3656">
        <v>0.12</v>
      </c>
      <c r="H3656">
        <v>45.36</v>
      </c>
      <c r="I3656" t="s">
        <v>2354</v>
      </c>
    </row>
    <row r="3657" spans="1:9" x14ac:dyDescent="0.25">
      <c r="A3657" t="s">
        <v>220</v>
      </c>
      <c r="B3657" t="s">
        <v>2351</v>
      </c>
      <c r="C3657" t="s">
        <v>4792</v>
      </c>
      <c r="D3657" t="s">
        <v>4793</v>
      </c>
      <c r="F3657">
        <v>2</v>
      </c>
      <c r="G3657">
        <v>9.5030999999999999</v>
      </c>
      <c r="H3657">
        <v>19.0062</v>
      </c>
      <c r="I3657" t="s">
        <v>2354</v>
      </c>
    </row>
    <row r="3658" spans="1:9" x14ac:dyDescent="0.25">
      <c r="A3658" t="s">
        <v>220</v>
      </c>
      <c r="B3658" t="s">
        <v>2351</v>
      </c>
      <c r="C3658" t="s">
        <v>4794</v>
      </c>
      <c r="D3658" t="s">
        <v>4795</v>
      </c>
      <c r="F3658">
        <v>104</v>
      </c>
      <c r="G3658">
        <v>5.058E-2</v>
      </c>
      <c r="H3658">
        <v>5.2603200000000001</v>
      </c>
      <c r="I3658" t="s">
        <v>2354</v>
      </c>
    </row>
    <row r="3659" spans="1:9" x14ac:dyDescent="0.25">
      <c r="A3659" t="s">
        <v>220</v>
      </c>
      <c r="B3659" t="s">
        <v>2351</v>
      </c>
      <c r="C3659" t="s">
        <v>4796</v>
      </c>
      <c r="D3659" t="s">
        <v>4797</v>
      </c>
      <c r="F3659">
        <v>387</v>
      </c>
      <c r="G3659">
        <v>0</v>
      </c>
      <c r="H3659">
        <v>0</v>
      </c>
      <c r="I3659" t="s">
        <v>2354</v>
      </c>
    </row>
    <row r="3660" spans="1:9" x14ac:dyDescent="0.25">
      <c r="A3660" t="s">
        <v>220</v>
      </c>
      <c r="B3660" t="s">
        <v>2351</v>
      </c>
      <c r="C3660" t="s">
        <v>4798</v>
      </c>
      <c r="D3660" t="s">
        <v>4799</v>
      </c>
      <c r="F3660">
        <v>654</v>
      </c>
      <c r="G3660">
        <v>3.78E-2</v>
      </c>
      <c r="H3660">
        <v>24.7212</v>
      </c>
      <c r="I3660" t="s">
        <v>2354</v>
      </c>
    </row>
    <row r="3661" spans="1:9" x14ac:dyDescent="0.25">
      <c r="A3661" t="s">
        <v>220</v>
      </c>
      <c r="B3661" t="s">
        <v>2351</v>
      </c>
      <c r="C3661" t="s">
        <v>4800</v>
      </c>
      <c r="D3661" t="s">
        <v>4801</v>
      </c>
      <c r="F3661">
        <v>334</v>
      </c>
      <c r="G3661">
        <v>0.13755999999999999</v>
      </c>
      <c r="H3661">
        <v>45.945039999999999</v>
      </c>
      <c r="I3661" t="s">
        <v>2354</v>
      </c>
    </row>
    <row r="3662" spans="1:9" x14ac:dyDescent="0.25">
      <c r="A3662" t="s">
        <v>220</v>
      </c>
      <c r="B3662" t="s">
        <v>2351</v>
      </c>
      <c r="C3662" t="s">
        <v>4802</v>
      </c>
      <c r="D3662" t="s">
        <v>4803</v>
      </c>
      <c r="F3662">
        <v>507</v>
      </c>
      <c r="G3662">
        <v>0.05</v>
      </c>
      <c r="H3662">
        <v>25.35</v>
      </c>
      <c r="I3662" t="s">
        <v>2354</v>
      </c>
    </row>
    <row r="3663" spans="1:9" x14ac:dyDescent="0.25">
      <c r="A3663" t="s">
        <v>220</v>
      </c>
      <c r="B3663" t="s">
        <v>2351</v>
      </c>
      <c r="C3663" t="s">
        <v>4804</v>
      </c>
      <c r="D3663" t="s">
        <v>4805</v>
      </c>
      <c r="F3663">
        <v>450</v>
      </c>
      <c r="G3663">
        <v>0.10620000000000002</v>
      </c>
      <c r="H3663">
        <v>47.790000000000006</v>
      </c>
      <c r="I3663" t="s">
        <v>2354</v>
      </c>
    </row>
    <row r="3664" spans="1:9" x14ac:dyDescent="0.25">
      <c r="A3664" t="s">
        <v>220</v>
      </c>
      <c r="B3664" t="s">
        <v>2351</v>
      </c>
      <c r="C3664" t="s">
        <v>4806</v>
      </c>
      <c r="D3664" t="s">
        <v>4807</v>
      </c>
      <c r="F3664">
        <v>352</v>
      </c>
      <c r="G3664">
        <v>9.1999999999999998E-2</v>
      </c>
      <c r="H3664">
        <v>32.384</v>
      </c>
      <c r="I3664" t="s">
        <v>2354</v>
      </c>
    </row>
    <row r="3665" spans="1:9" x14ac:dyDescent="0.25">
      <c r="A3665" t="s">
        <v>220</v>
      </c>
      <c r="B3665" t="s">
        <v>2351</v>
      </c>
      <c r="C3665" t="s">
        <v>4808</v>
      </c>
      <c r="D3665" t="s">
        <v>4809</v>
      </c>
      <c r="F3665">
        <v>136</v>
      </c>
      <c r="G3665">
        <v>0.183</v>
      </c>
      <c r="H3665">
        <v>24.887999999999998</v>
      </c>
      <c r="I3665" t="s">
        <v>2354</v>
      </c>
    </row>
    <row r="3666" spans="1:9" x14ac:dyDescent="0.25">
      <c r="A3666" t="s">
        <v>220</v>
      </c>
      <c r="B3666" t="s">
        <v>2351</v>
      </c>
      <c r="C3666" t="s">
        <v>4810</v>
      </c>
      <c r="D3666" t="s">
        <v>4811</v>
      </c>
      <c r="F3666">
        <v>63</v>
      </c>
      <c r="G3666">
        <v>0.19</v>
      </c>
      <c r="H3666">
        <v>11.97</v>
      </c>
      <c r="I3666" t="s">
        <v>2354</v>
      </c>
    </row>
    <row r="3667" spans="1:9" x14ac:dyDescent="0.25">
      <c r="A3667" t="s">
        <v>220</v>
      </c>
      <c r="B3667" t="s">
        <v>2351</v>
      </c>
      <c r="C3667" t="s">
        <v>4812</v>
      </c>
      <c r="D3667" t="s">
        <v>4813</v>
      </c>
      <c r="F3667">
        <v>364</v>
      </c>
      <c r="G3667">
        <v>0.49</v>
      </c>
      <c r="H3667">
        <v>178.35999999999999</v>
      </c>
      <c r="I3667" t="s">
        <v>2354</v>
      </c>
    </row>
    <row r="3668" spans="1:9" x14ac:dyDescent="0.25">
      <c r="A3668" t="s">
        <v>220</v>
      </c>
      <c r="B3668" t="s">
        <v>2351</v>
      </c>
      <c r="C3668" t="s">
        <v>4814</v>
      </c>
      <c r="D3668" t="s">
        <v>4815</v>
      </c>
      <c r="F3668">
        <v>146</v>
      </c>
      <c r="G3668">
        <v>0.16076999999999997</v>
      </c>
      <c r="H3668">
        <v>23.472419999999996</v>
      </c>
      <c r="I3668" t="s">
        <v>2354</v>
      </c>
    </row>
    <row r="3669" spans="1:9" x14ac:dyDescent="0.25">
      <c r="A3669" t="s">
        <v>220</v>
      </c>
      <c r="B3669" t="s">
        <v>2351</v>
      </c>
      <c r="C3669" t="s">
        <v>4816</v>
      </c>
      <c r="D3669" t="s">
        <v>4817</v>
      </c>
      <c r="F3669">
        <v>147</v>
      </c>
      <c r="G3669">
        <v>0.28799999999999998</v>
      </c>
      <c r="H3669">
        <v>42.335999999999999</v>
      </c>
      <c r="I3669" t="s">
        <v>2354</v>
      </c>
    </row>
    <row r="3670" spans="1:9" x14ac:dyDescent="0.25">
      <c r="A3670" t="s">
        <v>220</v>
      </c>
      <c r="B3670" t="s">
        <v>2351</v>
      </c>
      <c r="C3670" t="s">
        <v>4818</v>
      </c>
      <c r="D3670" t="s">
        <v>4819</v>
      </c>
      <c r="F3670">
        <v>527</v>
      </c>
      <c r="G3670">
        <v>0.46300000000000002</v>
      </c>
      <c r="H3670">
        <v>244.001</v>
      </c>
      <c r="I3670" t="s">
        <v>2354</v>
      </c>
    </row>
    <row r="3671" spans="1:9" x14ac:dyDescent="0.25">
      <c r="A3671" t="s">
        <v>220</v>
      </c>
      <c r="B3671" t="s">
        <v>2351</v>
      </c>
      <c r="C3671" t="s">
        <v>4820</v>
      </c>
      <c r="D3671" t="s">
        <v>4821</v>
      </c>
      <c r="F3671">
        <v>96</v>
      </c>
      <c r="G3671">
        <v>0.29199999999999998</v>
      </c>
      <c r="H3671">
        <v>28.031999999999996</v>
      </c>
      <c r="I3671" t="s">
        <v>2354</v>
      </c>
    </row>
    <row r="3672" spans="1:9" x14ac:dyDescent="0.25">
      <c r="A3672" t="s">
        <v>220</v>
      </c>
      <c r="B3672" t="s">
        <v>2351</v>
      </c>
      <c r="C3672" t="s">
        <v>4822</v>
      </c>
      <c r="D3672" t="s">
        <v>4823</v>
      </c>
      <c r="F3672">
        <v>350</v>
      </c>
      <c r="G3672">
        <v>0.44600000000000001</v>
      </c>
      <c r="H3672">
        <v>156.1</v>
      </c>
      <c r="I3672" t="s">
        <v>2354</v>
      </c>
    </row>
    <row r="3673" spans="1:9" x14ac:dyDescent="0.25">
      <c r="A3673" t="s">
        <v>220</v>
      </c>
      <c r="B3673" t="s">
        <v>2351</v>
      </c>
      <c r="C3673" t="s">
        <v>4824</v>
      </c>
      <c r="D3673" t="s">
        <v>4825</v>
      </c>
      <c r="F3673">
        <v>284</v>
      </c>
      <c r="G3673">
        <v>0.59</v>
      </c>
      <c r="H3673">
        <v>167.56</v>
      </c>
      <c r="I3673" t="s">
        <v>2354</v>
      </c>
    </row>
    <row r="3674" spans="1:9" x14ac:dyDescent="0.25">
      <c r="A3674" t="s">
        <v>220</v>
      </c>
      <c r="B3674" t="s">
        <v>2351</v>
      </c>
      <c r="C3674" t="s">
        <v>4826</v>
      </c>
      <c r="D3674" t="s">
        <v>4827</v>
      </c>
      <c r="F3674">
        <v>9</v>
      </c>
      <c r="G3674">
        <v>1.1100000000000001</v>
      </c>
      <c r="H3674">
        <v>9.99</v>
      </c>
      <c r="I3674" t="s">
        <v>2354</v>
      </c>
    </row>
    <row r="3675" spans="1:9" x14ac:dyDescent="0.25">
      <c r="A3675" t="s">
        <v>220</v>
      </c>
      <c r="B3675" t="s">
        <v>2351</v>
      </c>
      <c r="C3675" t="s">
        <v>4828</v>
      </c>
      <c r="D3675" t="s">
        <v>4829</v>
      </c>
      <c r="F3675">
        <v>39</v>
      </c>
      <c r="G3675">
        <v>0.16116</v>
      </c>
      <c r="H3675">
        <v>6.2852399999999999</v>
      </c>
      <c r="I3675" t="s">
        <v>2354</v>
      </c>
    </row>
    <row r="3676" spans="1:9" x14ac:dyDescent="0.25">
      <c r="A3676" t="s">
        <v>220</v>
      </c>
      <c r="B3676" t="s">
        <v>2351</v>
      </c>
      <c r="C3676" t="s">
        <v>4830</v>
      </c>
      <c r="D3676" t="s">
        <v>4831</v>
      </c>
      <c r="F3676">
        <v>158</v>
      </c>
      <c r="G3676">
        <v>9.799999999999999E-2</v>
      </c>
      <c r="H3676">
        <v>15.483999999999998</v>
      </c>
      <c r="I3676" t="s">
        <v>2354</v>
      </c>
    </row>
    <row r="3677" spans="1:9" x14ac:dyDescent="0.25">
      <c r="A3677" t="s">
        <v>220</v>
      </c>
      <c r="B3677" t="s">
        <v>2351</v>
      </c>
      <c r="C3677" t="s">
        <v>4832</v>
      </c>
      <c r="D3677" t="s">
        <v>4833</v>
      </c>
      <c r="F3677">
        <v>236</v>
      </c>
      <c r="G3677">
        <v>5.9033281409406252E-2</v>
      </c>
      <c r="H3677">
        <v>13.931854412619876</v>
      </c>
      <c r="I3677" t="s">
        <v>2354</v>
      </c>
    </row>
    <row r="3678" spans="1:9" x14ac:dyDescent="0.25">
      <c r="A3678" t="s">
        <v>220</v>
      </c>
      <c r="B3678" t="s">
        <v>2351</v>
      </c>
      <c r="C3678" t="s">
        <v>4834</v>
      </c>
      <c r="D3678" t="s">
        <v>4835</v>
      </c>
      <c r="F3678">
        <v>228</v>
      </c>
      <c r="G3678">
        <v>0.06</v>
      </c>
      <c r="H3678">
        <v>13.68</v>
      </c>
      <c r="I3678" t="s">
        <v>2354</v>
      </c>
    </row>
    <row r="3679" spans="1:9" x14ac:dyDescent="0.25">
      <c r="A3679" t="s">
        <v>220</v>
      </c>
      <c r="B3679" t="s">
        <v>2351</v>
      </c>
      <c r="C3679" t="s">
        <v>4836</v>
      </c>
      <c r="D3679" t="s">
        <v>4837</v>
      </c>
      <c r="F3679">
        <v>120</v>
      </c>
      <c r="G3679">
        <v>0.58602392565597661</v>
      </c>
      <c r="H3679">
        <v>70.322871078717199</v>
      </c>
      <c r="I3679" t="s">
        <v>2354</v>
      </c>
    </row>
    <row r="3680" spans="1:9" x14ac:dyDescent="0.25">
      <c r="A3680" t="s">
        <v>220</v>
      </c>
      <c r="B3680" t="s">
        <v>2351</v>
      </c>
      <c r="C3680" t="s">
        <v>4838</v>
      </c>
      <c r="D3680" t="s">
        <v>4839</v>
      </c>
      <c r="F3680">
        <v>35</v>
      </c>
      <c r="G3680">
        <v>0.68090066225165569</v>
      </c>
      <c r="H3680">
        <v>23.831523178807949</v>
      </c>
      <c r="I3680" t="s">
        <v>2354</v>
      </c>
    </row>
    <row r="3681" spans="1:9" x14ac:dyDescent="0.25">
      <c r="A3681" t="s">
        <v>220</v>
      </c>
      <c r="B3681" t="s">
        <v>2351</v>
      </c>
      <c r="C3681" t="s">
        <v>4840</v>
      </c>
      <c r="D3681" t="s">
        <v>4841</v>
      </c>
      <c r="F3681">
        <v>325</v>
      </c>
      <c r="G3681">
        <v>0.40460000000000002</v>
      </c>
      <c r="H3681">
        <v>131.495</v>
      </c>
      <c r="I3681" t="s">
        <v>2354</v>
      </c>
    </row>
    <row r="3682" spans="1:9" x14ac:dyDescent="0.25">
      <c r="A3682" t="s">
        <v>220</v>
      </c>
      <c r="B3682" t="s">
        <v>2351</v>
      </c>
      <c r="C3682" t="s">
        <v>4842</v>
      </c>
      <c r="D3682" t="s">
        <v>4843</v>
      </c>
      <c r="F3682">
        <v>361</v>
      </c>
      <c r="G3682">
        <v>0.10833</v>
      </c>
      <c r="H3682">
        <v>39.107129999999998</v>
      </c>
      <c r="I3682" t="s">
        <v>2354</v>
      </c>
    </row>
    <row r="3683" spans="1:9" x14ac:dyDescent="0.25">
      <c r="A3683" t="s">
        <v>220</v>
      </c>
      <c r="B3683" t="s">
        <v>2351</v>
      </c>
      <c r="C3683" t="s">
        <v>4844</v>
      </c>
      <c r="D3683" t="s">
        <v>4845</v>
      </c>
      <c r="F3683">
        <v>394</v>
      </c>
      <c r="G3683">
        <v>7.2249999999999995E-2</v>
      </c>
      <c r="H3683">
        <v>28.466499999999996</v>
      </c>
      <c r="I3683" t="s">
        <v>2354</v>
      </c>
    </row>
    <row r="3684" spans="1:9" x14ac:dyDescent="0.25">
      <c r="A3684" t="s">
        <v>220</v>
      </c>
      <c r="B3684" t="s">
        <v>2351</v>
      </c>
      <c r="C3684" t="s">
        <v>4846</v>
      </c>
      <c r="D3684" t="s">
        <v>4847</v>
      </c>
      <c r="F3684">
        <v>310</v>
      </c>
      <c r="G3684">
        <v>6.8000000000000005E-2</v>
      </c>
      <c r="H3684">
        <v>21.080000000000002</v>
      </c>
      <c r="I3684" t="s">
        <v>2354</v>
      </c>
    </row>
    <row r="3685" spans="1:9" x14ac:dyDescent="0.25">
      <c r="A3685" t="s">
        <v>220</v>
      </c>
      <c r="B3685" t="s">
        <v>2351</v>
      </c>
      <c r="C3685" t="s">
        <v>4848</v>
      </c>
      <c r="D3685" t="s">
        <v>4849</v>
      </c>
      <c r="F3685">
        <v>538</v>
      </c>
      <c r="G3685">
        <v>8.6999999999999994E-2</v>
      </c>
      <c r="H3685">
        <v>46.805999999999997</v>
      </c>
      <c r="I3685" t="s">
        <v>2354</v>
      </c>
    </row>
    <row r="3686" spans="1:9" x14ac:dyDescent="0.25">
      <c r="A3686" t="s">
        <v>220</v>
      </c>
      <c r="B3686" t="s">
        <v>2351</v>
      </c>
      <c r="C3686" t="s">
        <v>4850</v>
      </c>
      <c r="D3686" t="s">
        <v>4851</v>
      </c>
      <c r="F3686">
        <v>105</v>
      </c>
      <c r="G3686">
        <v>0.12358</v>
      </c>
      <c r="H3686">
        <v>12.975899999999999</v>
      </c>
      <c r="I3686" t="s">
        <v>2354</v>
      </c>
    </row>
    <row r="3687" spans="1:9" x14ac:dyDescent="0.25">
      <c r="A3687" t="s">
        <v>220</v>
      </c>
      <c r="B3687" t="s">
        <v>2351</v>
      </c>
      <c r="C3687" t="s">
        <v>4852</v>
      </c>
      <c r="D3687" t="s">
        <v>4853</v>
      </c>
      <c r="F3687">
        <v>414</v>
      </c>
      <c r="G3687">
        <v>0.19259000000000001</v>
      </c>
      <c r="H3687">
        <v>79.732260000000011</v>
      </c>
      <c r="I3687" t="s">
        <v>2354</v>
      </c>
    </row>
    <row r="3688" spans="1:9" x14ac:dyDescent="0.25">
      <c r="A3688" t="s">
        <v>220</v>
      </c>
      <c r="B3688" t="s">
        <v>2351</v>
      </c>
      <c r="C3688" t="s">
        <v>4854</v>
      </c>
      <c r="D3688" t="s">
        <v>4855</v>
      </c>
      <c r="F3688">
        <v>536</v>
      </c>
      <c r="G3688">
        <v>0.186</v>
      </c>
      <c r="H3688">
        <v>99.695999999999998</v>
      </c>
      <c r="I3688" t="s">
        <v>2354</v>
      </c>
    </row>
    <row r="3689" spans="1:9" x14ac:dyDescent="0.25">
      <c r="A3689" t="s">
        <v>220</v>
      </c>
      <c r="B3689" t="s">
        <v>2351</v>
      </c>
      <c r="C3689" t="s">
        <v>4856</v>
      </c>
      <c r="D3689" t="s">
        <v>4857</v>
      </c>
      <c r="F3689">
        <v>176</v>
      </c>
      <c r="G3689">
        <v>0.29599999999999999</v>
      </c>
      <c r="H3689">
        <v>52.095999999999997</v>
      </c>
      <c r="I3689" t="s">
        <v>2354</v>
      </c>
    </row>
    <row r="3690" spans="1:9" x14ac:dyDescent="0.25">
      <c r="A3690" t="s">
        <v>220</v>
      </c>
      <c r="B3690" t="s">
        <v>2351</v>
      </c>
      <c r="C3690" t="s">
        <v>4858</v>
      </c>
      <c r="D3690" t="s">
        <v>4859</v>
      </c>
      <c r="F3690">
        <v>365</v>
      </c>
      <c r="G3690">
        <v>0.442</v>
      </c>
      <c r="H3690">
        <v>161.33000000000001</v>
      </c>
      <c r="I3690" t="s">
        <v>2354</v>
      </c>
    </row>
    <row r="3691" spans="1:9" x14ac:dyDescent="0.25">
      <c r="A3691" t="s">
        <v>220</v>
      </c>
      <c r="B3691" t="s">
        <v>2351</v>
      </c>
      <c r="C3691" t="s">
        <v>4860</v>
      </c>
      <c r="D3691" t="s">
        <v>4861</v>
      </c>
      <c r="F3691">
        <v>345</v>
      </c>
      <c r="G3691">
        <v>0.44700000000000001</v>
      </c>
      <c r="H3691">
        <v>154.215</v>
      </c>
      <c r="I3691" t="s">
        <v>2354</v>
      </c>
    </row>
    <row r="3692" spans="1:9" x14ac:dyDescent="0.25">
      <c r="A3692" t="s">
        <v>220</v>
      </c>
      <c r="B3692" t="s">
        <v>2351</v>
      </c>
      <c r="C3692" t="s">
        <v>4862</v>
      </c>
      <c r="D3692" t="s">
        <v>4841</v>
      </c>
      <c r="F3692">
        <v>168</v>
      </c>
      <c r="G3692">
        <v>0.19515999999999997</v>
      </c>
      <c r="H3692">
        <v>32.786879999999996</v>
      </c>
      <c r="I3692" t="s">
        <v>2354</v>
      </c>
    </row>
    <row r="3693" spans="1:9" x14ac:dyDescent="0.25">
      <c r="A3693" t="s">
        <v>220</v>
      </c>
      <c r="B3693" t="s">
        <v>2351</v>
      </c>
      <c r="C3693" t="s">
        <v>4863</v>
      </c>
      <c r="D3693" t="s">
        <v>4864</v>
      </c>
      <c r="F3693">
        <v>93</v>
      </c>
      <c r="G3693">
        <v>0.43010585751978891</v>
      </c>
      <c r="H3693">
        <v>39.999844749340369</v>
      </c>
      <c r="I3693" t="s">
        <v>2354</v>
      </c>
    </row>
    <row r="3694" spans="1:9" x14ac:dyDescent="0.25">
      <c r="A3694" t="s">
        <v>220</v>
      </c>
      <c r="B3694" t="s">
        <v>2351</v>
      </c>
      <c r="C3694" t="s">
        <v>4865</v>
      </c>
      <c r="D3694" t="s">
        <v>4866</v>
      </c>
      <c r="F3694">
        <v>336</v>
      </c>
      <c r="G3694">
        <v>0.51533571428571434</v>
      </c>
      <c r="H3694">
        <v>173.15280000000001</v>
      </c>
      <c r="I3694" t="s">
        <v>2354</v>
      </c>
    </row>
    <row r="3695" spans="1:9" x14ac:dyDescent="0.25">
      <c r="A3695" t="s">
        <v>220</v>
      </c>
      <c r="B3695" t="s">
        <v>2351</v>
      </c>
      <c r="C3695" t="s">
        <v>4867</v>
      </c>
      <c r="D3695" t="s">
        <v>4868</v>
      </c>
      <c r="F3695">
        <v>181</v>
      </c>
      <c r="G3695">
        <v>0.69750999999999985</v>
      </c>
      <c r="H3695">
        <v>126.24930999999998</v>
      </c>
      <c r="I3695" t="s">
        <v>2354</v>
      </c>
    </row>
    <row r="3696" spans="1:9" x14ac:dyDescent="0.25">
      <c r="A3696" t="s">
        <v>220</v>
      </c>
      <c r="B3696" t="s">
        <v>2351</v>
      </c>
      <c r="C3696" t="s">
        <v>4869</v>
      </c>
      <c r="D3696" t="s">
        <v>4870</v>
      </c>
      <c r="F3696">
        <v>72</v>
      </c>
      <c r="G3696">
        <v>0.83717239130434784</v>
      </c>
      <c r="H3696">
        <v>60.276412173913045</v>
      </c>
      <c r="I3696" t="s">
        <v>2354</v>
      </c>
    </row>
    <row r="3697" spans="1:9" x14ac:dyDescent="0.25">
      <c r="A3697" t="s">
        <v>220</v>
      </c>
      <c r="B3697" t="s">
        <v>2351</v>
      </c>
      <c r="C3697" t="s">
        <v>4871</v>
      </c>
      <c r="D3697" t="s">
        <v>4872</v>
      </c>
      <c r="F3697">
        <v>104</v>
      </c>
      <c r="G3697">
        <v>1.0309999999999999</v>
      </c>
      <c r="H3697">
        <v>107.22399999999999</v>
      </c>
      <c r="I3697" t="s">
        <v>2354</v>
      </c>
    </row>
    <row r="3698" spans="1:9" x14ac:dyDescent="0.25">
      <c r="A3698" t="s">
        <v>220</v>
      </c>
      <c r="B3698" t="s">
        <v>2351</v>
      </c>
      <c r="C3698" t="s">
        <v>4873</v>
      </c>
      <c r="D3698" t="s">
        <v>4874</v>
      </c>
      <c r="F3698">
        <v>70</v>
      </c>
      <c r="G3698">
        <v>0.63500000000000001</v>
      </c>
      <c r="H3698">
        <v>44.45</v>
      </c>
      <c r="I3698" t="s">
        <v>2354</v>
      </c>
    </row>
    <row r="3699" spans="1:9" x14ac:dyDescent="0.25">
      <c r="A3699" t="s">
        <v>220</v>
      </c>
      <c r="B3699" t="s">
        <v>2351</v>
      </c>
      <c r="C3699" t="s">
        <v>4875</v>
      </c>
      <c r="D3699" t="s">
        <v>4876</v>
      </c>
      <c r="F3699">
        <v>104</v>
      </c>
      <c r="G3699">
        <v>1.078997948051948</v>
      </c>
      <c r="H3699">
        <v>112.2157865974026</v>
      </c>
      <c r="I3699" t="s">
        <v>2354</v>
      </c>
    </row>
    <row r="3700" spans="1:9" x14ac:dyDescent="0.25">
      <c r="A3700" t="s">
        <v>220</v>
      </c>
      <c r="B3700" t="s">
        <v>2351</v>
      </c>
      <c r="C3700" t="s">
        <v>4877</v>
      </c>
      <c r="D3700" t="s">
        <v>4878</v>
      </c>
      <c r="F3700">
        <v>123</v>
      </c>
      <c r="G3700">
        <v>1.0269999999999999</v>
      </c>
      <c r="H3700">
        <v>126.32099999999998</v>
      </c>
      <c r="I3700" t="s">
        <v>2354</v>
      </c>
    </row>
    <row r="3701" spans="1:9" x14ac:dyDescent="0.25">
      <c r="A3701" t="s">
        <v>220</v>
      </c>
      <c r="B3701" t="s">
        <v>2351</v>
      </c>
      <c r="C3701" t="s">
        <v>4879</v>
      </c>
      <c r="D3701" t="s">
        <v>4880</v>
      </c>
      <c r="F3701">
        <v>180</v>
      </c>
      <c r="G3701">
        <v>0</v>
      </c>
      <c r="H3701">
        <v>0</v>
      </c>
      <c r="I3701" t="s">
        <v>2354</v>
      </c>
    </row>
    <row r="3702" spans="1:9" x14ac:dyDescent="0.25">
      <c r="A3702" t="s">
        <v>220</v>
      </c>
      <c r="B3702" t="s">
        <v>2351</v>
      </c>
      <c r="C3702" t="s">
        <v>4881</v>
      </c>
      <c r="D3702" t="s">
        <v>4882</v>
      </c>
      <c r="F3702">
        <v>140</v>
      </c>
      <c r="G3702">
        <v>0.224</v>
      </c>
      <c r="H3702">
        <v>31.36</v>
      </c>
      <c r="I3702" t="s">
        <v>2354</v>
      </c>
    </row>
    <row r="3703" spans="1:9" x14ac:dyDescent="0.25">
      <c r="A3703" t="s">
        <v>220</v>
      </c>
      <c r="B3703" t="s">
        <v>2351</v>
      </c>
      <c r="C3703" t="s">
        <v>4883</v>
      </c>
      <c r="D3703" t="s">
        <v>4884</v>
      </c>
      <c r="F3703">
        <v>200</v>
      </c>
      <c r="G3703">
        <v>0.29299999999999998</v>
      </c>
      <c r="H3703">
        <v>58.599999999999994</v>
      </c>
      <c r="I3703" t="s">
        <v>2354</v>
      </c>
    </row>
    <row r="3704" spans="1:9" x14ac:dyDescent="0.25">
      <c r="A3704" t="s">
        <v>220</v>
      </c>
      <c r="B3704" t="s">
        <v>2351</v>
      </c>
      <c r="C3704" t="s">
        <v>4885</v>
      </c>
      <c r="D3704" t="s">
        <v>4886</v>
      </c>
      <c r="F3704">
        <v>120</v>
      </c>
      <c r="G3704">
        <v>0.49233774696707111</v>
      </c>
      <c r="H3704">
        <v>59.080529636048531</v>
      </c>
      <c r="I3704" t="s">
        <v>2354</v>
      </c>
    </row>
    <row r="3705" spans="1:9" x14ac:dyDescent="0.25">
      <c r="A3705" t="s">
        <v>220</v>
      </c>
      <c r="B3705" t="s">
        <v>2351</v>
      </c>
      <c r="C3705" t="s">
        <v>4887</v>
      </c>
      <c r="D3705" t="s">
        <v>4888</v>
      </c>
      <c r="F3705">
        <v>140</v>
      </c>
      <c r="G3705">
        <v>0.71399999999999997</v>
      </c>
      <c r="H3705">
        <v>99.96</v>
      </c>
      <c r="I3705" t="s">
        <v>2354</v>
      </c>
    </row>
    <row r="3706" spans="1:9" x14ac:dyDescent="0.25">
      <c r="A3706" t="s">
        <v>220</v>
      </c>
      <c r="B3706" t="s">
        <v>2351</v>
      </c>
      <c r="C3706" t="s">
        <v>4889</v>
      </c>
      <c r="D3706" t="s">
        <v>4890</v>
      </c>
      <c r="F3706">
        <v>20</v>
      </c>
      <c r="G3706">
        <v>0.78539999999999988</v>
      </c>
      <c r="H3706">
        <v>15.707999999999998</v>
      </c>
      <c r="I3706" t="s">
        <v>2354</v>
      </c>
    </row>
    <row r="3707" spans="1:9" x14ac:dyDescent="0.25">
      <c r="A3707" t="s">
        <v>220</v>
      </c>
      <c r="B3707" t="s">
        <v>2351</v>
      </c>
      <c r="C3707" t="s">
        <v>4891</v>
      </c>
      <c r="D3707" t="s">
        <v>4892</v>
      </c>
      <c r="F3707">
        <v>100</v>
      </c>
      <c r="G3707">
        <v>0.82448999999999995</v>
      </c>
      <c r="H3707">
        <v>82.448999999999998</v>
      </c>
      <c r="I3707" t="s">
        <v>2354</v>
      </c>
    </row>
    <row r="3708" spans="1:9" x14ac:dyDescent="0.25">
      <c r="A3708" t="s">
        <v>220</v>
      </c>
      <c r="B3708" t="s">
        <v>2351</v>
      </c>
      <c r="C3708" t="s">
        <v>4893</v>
      </c>
      <c r="D3708" t="s">
        <v>4894</v>
      </c>
      <c r="F3708">
        <v>150</v>
      </c>
      <c r="G3708">
        <v>1.3174999999999999</v>
      </c>
      <c r="H3708">
        <v>197.62499999999997</v>
      </c>
      <c r="I3708" t="s">
        <v>2354</v>
      </c>
    </row>
    <row r="3709" spans="1:9" x14ac:dyDescent="0.25">
      <c r="A3709" t="s">
        <v>220</v>
      </c>
      <c r="B3709" t="s">
        <v>2351</v>
      </c>
      <c r="C3709" t="s">
        <v>4895</v>
      </c>
      <c r="D3709" t="s">
        <v>4896</v>
      </c>
      <c r="F3709">
        <v>85</v>
      </c>
      <c r="G3709">
        <v>0.82450000000000001</v>
      </c>
      <c r="H3709">
        <v>70.082499999999996</v>
      </c>
      <c r="I3709" t="s">
        <v>2354</v>
      </c>
    </row>
    <row r="3710" spans="1:9" x14ac:dyDescent="0.25">
      <c r="A3710" t="s">
        <v>220</v>
      </c>
      <c r="B3710" t="s">
        <v>2351</v>
      </c>
      <c r="C3710" t="s">
        <v>4897</v>
      </c>
      <c r="D3710" t="s">
        <v>4898</v>
      </c>
      <c r="F3710">
        <v>130</v>
      </c>
      <c r="G3710">
        <v>1.9635</v>
      </c>
      <c r="H3710">
        <v>255.255</v>
      </c>
      <c r="I3710" t="s">
        <v>2354</v>
      </c>
    </row>
    <row r="3711" spans="1:9" x14ac:dyDescent="0.25">
      <c r="A3711" t="s">
        <v>220</v>
      </c>
      <c r="B3711" t="s">
        <v>2351</v>
      </c>
      <c r="C3711" t="s">
        <v>4899</v>
      </c>
      <c r="D3711" t="s">
        <v>4900</v>
      </c>
      <c r="F3711">
        <v>60</v>
      </c>
      <c r="G3711">
        <v>2.2949999999999999</v>
      </c>
      <c r="H3711">
        <v>137.69999999999999</v>
      </c>
      <c r="I3711" t="s">
        <v>2354</v>
      </c>
    </row>
    <row r="3712" spans="1:9" x14ac:dyDescent="0.25">
      <c r="A3712" t="s">
        <v>220</v>
      </c>
      <c r="B3712" t="s">
        <v>2351</v>
      </c>
      <c r="C3712" t="s">
        <v>4901</v>
      </c>
      <c r="D3712" t="s">
        <v>4902</v>
      </c>
      <c r="F3712">
        <v>20</v>
      </c>
      <c r="G3712">
        <v>0.21</v>
      </c>
      <c r="H3712">
        <v>4.2</v>
      </c>
      <c r="I3712" t="s">
        <v>2354</v>
      </c>
    </row>
    <row r="3713" spans="1:9" x14ac:dyDescent="0.25">
      <c r="A3713" t="s">
        <v>220</v>
      </c>
      <c r="B3713" t="s">
        <v>2351</v>
      </c>
      <c r="C3713" t="s">
        <v>4903</v>
      </c>
      <c r="D3713" t="s">
        <v>4904</v>
      </c>
      <c r="F3713">
        <v>88</v>
      </c>
      <c r="G3713">
        <v>0.31818000000000002</v>
      </c>
      <c r="H3713">
        <v>27.999840000000003</v>
      </c>
      <c r="I3713" t="s">
        <v>2354</v>
      </c>
    </row>
    <row r="3714" spans="1:9" x14ac:dyDescent="0.25">
      <c r="A3714" t="s">
        <v>220</v>
      </c>
      <c r="B3714" t="s">
        <v>2351</v>
      </c>
      <c r="C3714" t="s">
        <v>4905</v>
      </c>
      <c r="D3714" t="s">
        <v>4906</v>
      </c>
      <c r="F3714">
        <v>170</v>
      </c>
      <c r="G3714">
        <v>0.44500000000000001</v>
      </c>
      <c r="H3714">
        <v>75.650000000000006</v>
      </c>
      <c r="I3714" t="s">
        <v>2354</v>
      </c>
    </row>
    <row r="3715" spans="1:9" x14ac:dyDescent="0.25">
      <c r="A3715" t="s">
        <v>220</v>
      </c>
      <c r="B3715" t="s">
        <v>2351</v>
      </c>
      <c r="C3715" t="s">
        <v>4907</v>
      </c>
      <c r="D3715" t="s">
        <v>4908</v>
      </c>
      <c r="F3715">
        <v>32</v>
      </c>
      <c r="G3715">
        <v>0.58799999999999997</v>
      </c>
      <c r="H3715">
        <v>18.815999999999999</v>
      </c>
      <c r="I3715" t="s">
        <v>2354</v>
      </c>
    </row>
    <row r="3716" spans="1:9" x14ac:dyDescent="0.25">
      <c r="A3716" t="s">
        <v>220</v>
      </c>
      <c r="B3716" t="s">
        <v>2351</v>
      </c>
      <c r="C3716" t="s">
        <v>4909</v>
      </c>
      <c r="D3716" t="s">
        <v>4910</v>
      </c>
      <c r="F3716">
        <v>91</v>
      </c>
      <c r="G3716">
        <v>0.67300000000000004</v>
      </c>
      <c r="H3716">
        <v>61.243000000000002</v>
      </c>
      <c r="I3716" t="s">
        <v>2354</v>
      </c>
    </row>
    <row r="3717" spans="1:9" x14ac:dyDescent="0.25">
      <c r="A3717" t="s">
        <v>220</v>
      </c>
      <c r="B3717" t="s">
        <v>2351</v>
      </c>
      <c r="C3717" t="s">
        <v>4911</v>
      </c>
      <c r="D3717" t="s">
        <v>4912</v>
      </c>
      <c r="F3717">
        <v>40</v>
      </c>
      <c r="G3717">
        <v>0.69615000000000005</v>
      </c>
      <c r="H3717">
        <v>27.846000000000004</v>
      </c>
      <c r="I3717" t="s">
        <v>2354</v>
      </c>
    </row>
    <row r="3718" spans="1:9" x14ac:dyDescent="0.25">
      <c r="A3718" t="s">
        <v>220</v>
      </c>
      <c r="B3718" t="s">
        <v>2351</v>
      </c>
      <c r="C3718" t="s">
        <v>4913</v>
      </c>
      <c r="D3718" t="s">
        <v>4914</v>
      </c>
      <c r="F3718">
        <v>100</v>
      </c>
      <c r="G3718">
        <v>1.071</v>
      </c>
      <c r="H3718">
        <v>107.1</v>
      </c>
      <c r="I3718" t="s">
        <v>2354</v>
      </c>
    </row>
    <row r="3719" spans="1:9" x14ac:dyDescent="0.25">
      <c r="A3719" t="s">
        <v>220</v>
      </c>
      <c r="B3719" t="s">
        <v>2351</v>
      </c>
      <c r="C3719" t="s">
        <v>4915</v>
      </c>
      <c r="D3719" t="s">
        <v>4916</v>
      </c>
      <c r="F3719">
        <v>80</v>
      </c>
      <c r="G3719">
        <v>1.5776000000000001</v>
      </c>
      <c r="H3719">
        <v>126.20800000000001</v>
      </c>
      <c r="I3719" t="s">
        <v>2354</v>
      </c>
    </row>
    <row r="3720" spans="1:9" x14ac:dyDescent="0.25">
      <c r="A3720" t="s">
        <v>220</v>
      </c>
      <c r="B3720" t="s">
        <v>2351</v>
      </c>
      <c r="C3720" t="s">
        <v>4917</v>
      </c>
      <c r="D3720" t="s">
        <v>4918</v>
      </c>
      <c r="F3720">
        <v>51</v>
      </c>
      <c r="G3720">
        <v>1.069E-2</v>
      </c>
      <c r="H3720">
        <v>0.54518999999999995</v>
      </c>
      <c r="I3720" t="s">
        <v>2354</v>
      </c>
    </row>
    <row r="3721" spans="1:9" x14ac:dyDescent="0.25">
      <c r="A3721" t="s">
        <v>220</v>
      </c>
      <c r="B3721" t="s">
        <v>2351</v>
      </c>
      <c r="C3721" t="s">
        <v>4919</v>
      </c>
      <c r="D3721" t="s">
        <v>4920</v>
      </c>
      <c r="F3721">
        <v>603</v>
      </c>
      <c r="G3721">
        <v>1.4279999999999999E-2</v>
      </c>
      <c r="H3721">
        <v>8.6108399999999996</v>
      </c>
      <c r="I3721" t="s">
        <v>2354</v>
      </c>
    </row>
    <row r="3722" spans="1:9" x14ac:dyDescent="0.25">
      <c r="A3722" t="s">
        <v>220</v>
      </c>
      <c r="B3722" t="s">
        <v>2351</v>
      </c>
      <c r="C3722" t="s">
        <v>4921</v>
      </c>
      <c r="D3722" t="s">
        <v>4922</v>
      </c>
      <c r="F3722">
        <v>423</v>
      </c>
      <c r="G3722">
        <v>2.3E-2</v>
      </c>
      <c r="H3722">
        <v>9.7289999999999992</v>
      </c>
      <c r="I3722" t="s">
        <v>2354</v>
      </c>
    </row>
    <row r="3723" spans="1:9" x14ac:dyDescent="0.25">
      <c r="A3723" t="s">
        <v>220</v>
      </c>
      <c r="B3723" t="s">
        <v>2351</v>
      </c>
      <c r="C3723" t="s">
        <v>4923</v>
      </c>
      <c r="D3723" t="s">
        <v>4924</v>
      </c>
      <c r="F3723">
        <v>649</v>
      </c>
      <c r="G3723">
        <v>5.6169999999999998E-2</v>
      </c>
      <c r="H3723">
        <v>36.454329999999999</v>
      </c>
      <c r="I3723" t="s">
        <v>2354</v>
      </c>
    </row>
    <row r="3724" spans="1:9" x14ac:dyDescent="0.25">
      <c r="A3724" t="s">
        <v>220</v>
      </c>
      <c r="B3724" t="s">
        <v>2351</v>
      </c>
      <c r="C3724" t="s">
        <v>4925</v>
      </c>
      <c r="D3724" t="s">
        <v>4926</v>
      </c>
      <c r="F3724">
        <v>742</v>
      </c>
      <c r="G3724">
        <v>0.11</v>
      </c>
      <c r="H3724">
        <v>81.62</v>
      </c>
      <c r="I3724" t="s">
        <v>2354</v>
      </c>
    </row>
    <row r="3725" spans="1:9" x14ac:dyDescent="0.25">
      <c r="A3725" t="s">
        <v>220</v>
      </c>
      <c r="B3725" t="s">
        <v>2351</v>
      </c>
      <c r="C3725" t="s">
        <v>4927</v>
      </c>
      <c r="D3725" t="s">
        <v>4928</v>
      </c>
      <c r="F3725">
        <v>380</v>
      </c>
      <c r="G3725">
        <v>0.127</v>
      </c>
      <c r="H3725">
        <v>48.26</v>
      </c>
      <c r="I3725" t="s">
        <v>2354</v>
      </c>
    </row>
    <row r="3726" spans="1:9" x14ac:dyDescent="0.25">
      <c r="A3726" t="s">
        <v>220</v>
      </c>
      <c r="B3726" t="s">
        <v>2351</v>
      </c>
      <c r="C3726" t="s">
        <v>4929</v>
      </c>
      <c r="D3726" t="s">
        <v>4930</v>
      </c>
      <c r="F3726">
        <v>534</v>
      </c>
      <c r="G3726">
        <v>0.30299999999999999</v>
      </c>
      <c r="H3726">
        <v>161.80199999999999</v>
      </c>
      <c r="I3726" t="s">
        <v>2354</v>
      </c>
    </row>
    <row r="3727" spans="1:9" x14ac:dyDescent="0.25">
      <c r="A3727" t="s">
        <v>220</v>
      </c>
      <c r="B3727" t="s">
        <v>2351</v>
      </c>
      <c r="C3727" t="s">
        <v>4931</v>
      </c>
      <c r="D3727" t="s">
        <v>4932</v>
      </c>
      <c r="F3727">
        <v>210</v>
      </c>
      <c r="G3727">
        <v>7.8E-2</v>
      </c>
      <c r="H3727">
        <v>16.38</v>
      </c>
      <c r="I3727" t="s">
        <v>2354</v>
      </c>
    </row>
    <row r="3728" spans="1:9" x14ac:dyDescent="0.25">
      <c r="A3728" t="s">
        <v>220</v>
      </c>
      <c r="B3728" t="s">
        <v>2351</v>
      </c>
      <c r="C3728" t="s">
        <v>4933</v>
      </c>
      <c r="D3728" t="s">
        <v>4934</v>
      </c>
      <c r="F3728">
        <v>369</v>
      </c>
      <c r="G3728">
        <v>7.1999999999999995E-2</v>
      </c>
      <c r="H3728">
        <v>26.567999999999998</v>
      </c>
      <c r="I3728" t="s">
        <v>2354</v>
      </c>
    </row>
    <row r="3729" spans="1:9" x14ac:dyDescent="0.25">
      <c r="A3729" t="s">
        <v>220</v>
      </c>
      <c r="B3729" t="s">
        <v>2351</v>
      </c>
      <c r="C3729" t="s">
        <v>4935</v>
      </c>
      <c r="D3729" t="s">
        <v>4936</v>
      </c>
      <c r="F3729">
        <v>500</v>
      </c>
      <c r="G3729">
        <v>8.2000000000000003E-2</v>
      </c>
      <c r="H3729">
        <v>41</v>
      </c>
      <c r="I3729" t="s">
        <v>2354</v>
      </c>
    </row>
    <row r="3730" spans="1:9" x14ac:dyDescent="0.25">
      <c r="A3730" t="s">
        <v>220</v>
      </c>
      <c r="B3730" t="s">
        <v>2351</v>
      </c>
      <c r="C3730" t="s">
        <v>4937</v>
      </c>
      <c r="D3730" t="s">
        <v>4938</v>
      </c>
      <c r="F3730">
        <v>428</v>
      </c>
      <c r="G3730">
        <v>0.15327726708074535</v>
      </c>
      <c r="H3730">
        <v>65.602670310559006</v>
      </c>
      <c r="I3730" t="s">
        <v>2354</v>
      </c>
    </row>
    <row r="3731" spans="1:9" x14ac:dyDescent="0.25">
      <c r="A3731" t="s">
        <v>220</v>
      </c>
      <c r="B3731" t="s">
        <v>2351</v>
      </c>
      <c r="C3731" t="s">
        <v>4939</v>
      </c>
      <c r="D3731" t="s">
        <v>4940</v>
      </c>
      <c r="F3731">
        <v>208</v>
      </c>
      <c r="G3731">
        <v>0.27565000000000001</v>
      </c>
      <c r="H3731">
        <v>57.3352</v>
      </c>
      <c r="I3731" t="s">
        <v>2354</v>
      </c>
    </row>
    <row r="3732" spans="1:9" x14ac:dyDescent="0.25">
      <c r="A3732" t="s">
        <v>220</v>
      </c>
      <c r="B3732" t="s">
        <v>2351</v>
      </c>
      <c r="C3732" t="s">
        <v>4941</v>
      </c>
      <c r="D3732" t="s">
        <v>4942</v>
      </c>
      <c r="F3732">
        <v>408</v>
      </c>
      <c r="G3732">
        <v>0.41649999999999998</v>
      </c>
      <c r="H3732">
        <v>169.93199999999999</v>
      </c>
      <c r="I3732" t="s">
        <v>2354</v>
      </c>
    </row>
    <row r="3733" spans="1:9" x14ac:dyDescent="0.25">
      <c r="A3733" t="s">
        <v>220</v>
      </c>
      <c r="B3733" t="s">
        <v>2351</v>
      </c>
      <c r="C3733" t="s">
        <v>4943</v>
      </c>
      <c r="D3733" t="s">
        <v>4944</v>
      </c>
      <c r="F3733">
        <v>101</v>
      </c>
      <c r="G3733">
        <v>3.7376999999999998</v>
      </c>
      <c r="H3733">
        <v>377.5077</v>
      </c>
      <c r="I3733" t="s">
        <v>2354</v>
      </c>
    </row>
    <row r="3734" spans="1:9" x14ac:dyDescent="0.25">
      <c r="A3734" t="s">
        <v>220</v>
      </c>
      <c r="B3734" t="s">
        <v>2351</v>
      </c>
      <c r="C3734" t="s">
        <v>4945</v>
      </c>
      <c r="D3734" t="s">
        <v>4946</v>
      </c>
      <c r="F3734">
        <v>170</v>
      </c>
      <c r="G3734">
        <v>0.16788</v>
      </c>
      <c r="H3734">
        <v>28.5396</v>
      </c>
      <c r="I3734" t="s">
        <v>2354</v>
      </c>
    </row>
    <row r="3735" spans="1:9" x14ac:dyDescent="0.25">
      <c r="A3735" t="s">
        <v>220</v>
      </c>
      <c r="B3735" t="s">
        <v>2351</v>
      </c>
      <c r="C3735" t="s">
        <v>4947</v>
      </c>
      <c r="D3735" t="s">
        <v>4948</v>
      </c>
      <c r="F3735">
        <v>285</v>
      </c>
      <c r="G3735">
        <v>0.08</v>
      </c>
      <c r="H3735">
        <v>22.8</v>
      </c>
      <c r="I3735" t="s">
        <v>2354</v>
      </c>
    </row>
    <row r="3736" spans="1:9" x14ac:dyDescent="0.25">
      <c r="A3736" t="s">
        <v>220</v>
      </c>
      <c r="B3736" t="s">
        <v>2351</v>
      </c>
      <c r="C3736" t="s">
        <v>4949</v>
      </c>
      <c r="D3736" t="s">
        <v>4950</v>
      </c>
      <c r="F3736">
        <v>365</v>
      </c>
      <c r="G3736">
        <v>0.18895999999999999</v>
      </c>
      <c r="H3736">
        <v>68.970399999999998</v>
      </c>
      <c r="I3736" t="s">
        <v>2354</v>
      </c>
    </row>
    <row r="3737" spans="1:9" x14ac:dyDescent="0.25">
      <c r="A3737" t="s">
        <v>220</v>
      </c>
      <c r="B3737" t="s">
        <v>2351</v>
      </c>
      <c r="C3737" t="s">
        <v>4951</v>
      </c>
      <c r="D3737" t="s">
        <v>4952</v>
      </c>
      <c r="F3737">
        <v>48</v>
      </c>
      <c r="G3737">
        <v>0.189</v>
      </c>
      <c r="H3737">
        <v>9.0719999999999992</v>
      </c>
      <c r="I3737" t="s">
        <v>2354</v>
      </c>
    </row>
    <row r="3738" spans="1:9" x14ac:dyDescent="0.25">
      <c r="A3738" t="s">
        <v>220</v>
      </c>
      <c r="B3738" t="s">
        <v>2351</v>
      </c>
      <c r="C3738" t="s">
        <v>4953</v>
      </c>
      <c r="D3738" t="s">
        <v>4954</v>
      </c>
      <c r="F3738">
        <v>58</v>
      </c>
      <c r="G3738">
        <v>0.124</v>
      </c>
      <c r="H3738">
        <v>7.1920000000000002</v>
      </c>
      <c r="I3738" t="s">
        <v>2354</v>
      </c>
    </row>
    <row r="3739" spans="1:9" x14ac:dyDescent="0.25">
      <c r="A3739" t="s">
        <v>220</v>
      </c>
      <c r="B3739" t="s">
        <v>2351</v>
      </c>
      <c r="C3739" t="s">
        <v>4955</v>
      </c>
      <c r="D3739" t="s">
        <v>4956</v>
      </c>
      <c r="F3739">
        <v>200</v>
      </c>
      <c r="G3739">
        <v>0.128</v>
      </c>
      <c r="H3739">
        <v>25.6</v>
      </c>
      <c r="I3739" t="s">
        <v>2354</v>
      </c>
    </row>
    <row r="3740" spans="1:9" x14ac:dyDescent="0.25">
      <c r="A3740" t="s">
        <v>220</v>
      </c>
      <c r="B3740" t="s">
        <v>2351</v>
      </c>
      <c r="C3740" t="s">
        <v>4957</v>
      </c>
      <c r="D3740" t="s">
        <v>4958</v>
      </c>
      <c r="F3740">
        <v>65</v>
      </c>
      <c r="G3740">
        <v>0.152</v>
      </c>
      <c r="H3740">
        <v>9.879999999999999</v>
      </c>
      <c r="I3740" t="s">
        <v>2354</v>
      </c>
    </row>
    <row r="3741" spans="1:9" x14ac:dyDescent="0.25">
      <c r="A3741" t="s">
        <v>220</v>
      </c>
      <c r="B3741" t="s">
        <v>2351</v>
      </c>
      <c r="C3741" t="s">
        <v>4959</v>
      </c>
      <c r="D3741" t="s">
        <v>4960</v>
      </c>
      <c r="F3741">
        <v>72</v>
      </c>
      <c r="G3741">
        <v>0.28334745762711866</v>
      </c>
      <c r="H3741">
        <v>20.401016949152542</v>
      </c>
      <c r="I3741" t="s">
        <v>2354</v>
      </c>
    </row>
    <row r="3742" spans="1:9" x14ac:dyDescent="0.25">
      <c r="A3742" t="s">
        <v>220</v>
      </c>
      <c r="B3742" t="s">
        <v>2351</v>
      </c>
      <c r="C3742" t="s">
        <v>4961</v>
      </c>
      <c r="D3742" t="s">
        <v>4962</v>
      </c>
      <c r="F3742">
        <v>6</v>
      </c>
      <c r="G3742">
        <v>1.3260000000000001</v>
      </c>
      <c r="H3742">
        <v>7.9560000000000004</v>
      </c>
      <c r="I3742" t="s">
        <v>2354</v>
      </c>
    </row>
    <row r="3743" spans="1:9" x14ac:dyDescent="0.25">
      <c r="A3743" t="s">
        <v>220</v>
      </c>
      <c r="B3743" t="s">
        <v>2351</v>
      </c>
      <c r="C3743" t="s">
        <v>4963</v>
      </c>
      <c r="D3743" t="s">
        <v>4964</v>
      </c>
      <c r="F3743">
        <v>5.25</v>
      </c>
      <c r="G3743">
        <v>2.2429999999999999</v>
      </c>
      <c r="H3743">
        <v>11.775749999999999</v>
      </c>
      <c r="I3743" t="s">
        <v>2354</v>
      </c>
    </row>
    <row r="3744" spans="1:9" x14ac:dyDescent="0.25">
      <c r="A3744" t="s">
        <v>220</v>
      </c>
      <c r="B3744" t="s">
        <v>2351</v>
      </c>
      <c r="C3744" t="s">
        <v>4965</v>
      </c>
      <c r="D3744" t="s">
        <v>4966</v>
      </c>
      <c r="F3744">
        <v>5</v>
      </c>
      <c r="G3744">
        <v>3.2429999999999999</v>
      </c>
      <c r="H3744">
        <v>16.215</v>
      </c>
      <c r="I3744" t="s">
        <v>2354</v>
      </c>
    </row>
    <row r="3745" spans="1:9" x14ac:dyDescent="0.25">
      <c r="A3745" t="s">
        <v>220</v>
      </c>
      <c r="B3745" t="s">
        <v>2351</v>
      </c>
      <c r="C3745" t="s">
        <v>4967</v>
      </c>
      <c r="D3745" t="s">
        <v>4968</v>
      </c>
      <c r="F3745">
        <v>2</v>
      </c>
      <c r="G3745">
        <v>4.4850000000000003</v>
      </c>
      <c r="H3745">
        <v>8.9700000000000006</v>
      </c>
      <c r="I3745" t="s">
        <v>2354</v>
      </c>
    </row>
    <row r="3746" spans="1:9" x14ac:dyDescent="0.25">
      <c r="A3746" t="s">
        <v>220</v>
      </c>
      <c r="B3746" t="s">
        <v>2351</v>
      </c>
      <c r="C3746" t="s">
        <v>4969</v>
      </c>
      <c r="D3746" t="s">
        <v>4970</v>
      </c>
      <c r="F3746">
        <v>4</v>
      </c>
      <c r="G3746">
        <v>4.3360000000000003</v>
      </c>
      <c r="H3746">
        <v>17.344000000000001</v>
      </c>
      <c r="I3746" t="s">
        <v>2354</v>
      </c>
    </row>
    <row r="3747" spans="1:9" x14ac:dyDescent="0.25">
      <c r="A3747" t="s">
        <v>220</v>
      </c>
      <c r="B3747" t="s">
        <v>2351</v>
      </c>
      <c r="C3747" t="s">
        <v>4971</v>
      </c>
      <c r="D3747" t="s">
        <v>4972</v>
      </c>
      <c r="F3747">
        <v>4</v>
      </c>
      <c r="G3747">
        <v>8.4700000000000006</v>
      </c>
      <c r="H3747">
        <v>33.880000000000003</v>
      </c>
      <c r="I3747" t="s">
        <v>2354</v>
      </c>
    </row>
    <row r="3748" spans="1:9" x14ac:dyDescent="0.25">
      <c r="A3748" t="s">
        <v>220</v>
      </c>
      <c r="B3748" t="s">
        <v>2351</v>
      </c>
      <c r="C3748" t="s">
        <v>4973</v>
      </c>
      <c r="D3748" t="s">
        <v>4974</v>
      </c>
      <c r="F3748">
        <v>317</v>
      </c>
      <c r="G3748">
        <v>6.1900000000000002E-3</v>
      </c>
      <c r="H3748">
        <v>1.9622300000000001</v>
      </c>
      <c r="I3748" t="s">
        <v>2354</v>
      </c>
    </row>
    <row r="3749" spans="1:9" x14ac:dyDescent="0.25">
      <c r="A3749" t="s">
        <v>220</v>
      </c>
      <c r="B3749" t="s">
        <v>2351</v>
      </c>
      <c r="C3749" t="s">
        <v>4975</v>
      </c>
      <c r="D3749" t="s">
        <v>4976</v>
      </c>
      <c r="F3749">
        <v>214</v>
      </c>
      <c r="G3749">
        <v>7.6499999999999999E-2</v>
      </c>
      <c r="H3749">
        <v>16.370999999999999</v>
      </c>
      <c r="I3749" t="s">
        <v>2354</v>
      </c>
    </row>
    <row r="3750" spans="1:9" x14ac:dyDescent="0.25">
      <c r="A3750" t="s">
        <v>220</v>
      </c>
      <c r="B3750" t="s">
        <v>2351</v>
      </c>
      <c r="C3750" t="s">
        <v>4977</v>
      </c>
      <c r="D3750" t="s">
        <v>4978</v>
      </c>
      <c r="F3750">
        <v>637</v>
      </c>
      <c r="G3750">
        <v>4.2750000000000003E-2</v>
      </c>
      <c r="H3750">
        <v>27.231750000000002</v>
      </c>
      <c r="I3750" t="s">
        <v>2354</v>
      </c>
    </row>
    <row r="3751" spans="1:9" x14ac:dyDescent="0.25">
      <c r="A3751" t="s">
        <v>220</v>
      </c>
      <c r="B3751" t="s">
        <v>2351</v>
      </c>
      <c r="C3751" t="s">
        <v>4979</v>
      </c>
      <c r="D3751" t="s">
        <v>4980</v>
      </c>
      <c r="F3751">
        <v>480</v>
      </c>
      <c r="G3751">
        <v>2.826E-2</v>
      </c>
      <c r="H3751">
        <v>13.5648</v>
      </c>
      <c r="I3751" t="s">
        <v>2354</v>
      </c>
    </row>
    <row r="3752" spans="1:9" x14ac:dyDescent="0.25">
      <c r="A3752" t="s">
        <v>220</v>
      </c>
      <c r="B3752" t="s">
        <v>2351</v>
      </c>
      <c r="C3752" t="s">
        <v>4981</v>
      </c>
      <c r="D3752" t="s">
        <v>4982</v>
      </c>
      <c r="F3752">
        <v>238</v>
      </c>
      <c r="G3752">
        <v>8.1000000000000003E-2</v>
      </c>
      <c r="H3752">
        <v>19.278000000000002</v>
      </c>
      <c r="I3752" t="s">
        <v>2354</v>
      </c>
    </row>
    <row r="3753" spans="1:9" x14ac:dyDescent="0.25">
      <c r="A3753" t="s">
        <v>220</v>
      </c>
      <c r="B3753" t="s">
        <v>2351</v>
      </c>
      <c r="C3753" t="s">
        <v>4983</v>
      </c>
      <c r="D3753" t="s">
        <v>4984</v>
      </c>
      <c r="F3753">
        <v>400</v>
      </c>
      <c r="G3753">
        <v>0.14147000000000001</v>
      </c>
      <c r="H3753">
        <v>56.588000000000008</v>
      </c>
      <c r="I3753" t="s">
        <v>2354</v>
      </c>
    </row>
    <row r="3754" spans="1:9" x14ac:dyDescent="0.25">
      <c r="A3754" t="s">
        <v>220</v>
      </c>
      <c r="B3754" t="s">
        <v>2351</v>
      </c>
      <c r="C3754" t="s">
        <v>4985</v>
      </c>
      <c r="D3754" t="s">
        <v>4986</v>
      </c>
      <c r="F3754">
        <v>302</v>
      </c>
      <c r="G3754">
        <v>0.26100000000000001</v>
      </c>
      <c r="H3754">
        <v>78.822000000000003</v>
      </c>
      <c r="I3754" t="s">
        <v>2354</v>
      </c>
    </row>
    <row r="3755" spans="1:9" x14ac:dyDescent="0.25">
      <c r="A3755" t="s">
        <v>220</v>
      </c>
      <c r="B3755" t="s">
        <v>2351</v>
      </c>
      <c r="C3755" t="s">
        <v>4987</v>
      </c>
      <c r="D3755" t="s">
        <v>4988</v>
      </c>
      <c r="F3755">
        <v>215</v>
      </c>
      <c r="G3755">
        <v>5.1999999999999998E-2</v>
      </c>
      <c r="H3755">
        <v>11.18</v>
      </c>
      <c r="I3755" t="s">
        <v>2354</v>
      </c>
    </row>
    <row r="3756" spans="1:9" x14ac:dyDescent="0.25">
      <c r="A3756" t="s">
        <v>220</v>
      </c>
      <c r="B3756" t="s">
        <v>2351</v>
      </c>
      <c r="C3756" t="s">
        <v>4989</v>
      </c>
      <c r="D3756" t="s">
        <v>4990</v>
      </c>
      <c r="F3756">
        <v>312</v>
      </c>
      <c r="G3756">
        <v>0.16500000000000001</v>
      </c>
      <c r="H3756">
        <v>51.480000000000004</v>
      </c>
      <c r="I3756" t="s">
        <v>2354</v>
      </c>
    </row>
    <row r="3757" spans="1:9" x14ac:dyDescent="0.25">
      <c r="A3757" t="s">
        <v>220</v>
      </c>
      <c r="B3757" t="s">
        <v>2351</v>
      </c>
      <c r="C3757" t="s">
        <v>4991</v>
      </c>
      <c r="D3757" t="s">
        <v>4992</v>
      </c>
      <c r="F3757">
        <v>325</v>
      </c>
      <c r="G3757">
        <v>0.01</v>
      </c>
      <c r="H3757">
        <v>3.25</v>
      </c>
      <c r="I3757" t="s">
        <v>2354</v>
      </c>
    </row>
    <row r="3758" spans="1:9" x14ac:dyDescent="0.25">
      <c r="A3758" t="s">
        <v>220</v>
      </c>
      <c r="B3758" t="s">
        <v>2351</v>
      </c>
      <c r="C3758" t="s">
        <v>4993</v>
      </c>
      <c r="D3758" t="s">
        <v>4994</v>
      </c>
      <c r="F3758">
        <v>53</v>
      </c>
      <c r="G3758">
        <v>1.9E-2</v>
      </c>
      <c r="H3758">
        <v>1.0069999999999999</v>
      </c>
      <c r="I3758" t="s">
        <v>2354</v>
      </c>
    </row>
    <row r="3759" spans="1:9" x14ac:dyDescent="0.25">
      <c r="A3759" t="s">
        <v>220</v>
      </c>
      <c r="B3759" t="s">
        <v>2351</v>
      </c>
      <c r="C3759" t="s">
        <v>4995</v>
      </c>
      <c r="D3759" t="s">
        <v>4996</v>
      </c>
      <c r="F3759">
        <v>78</v>
      </c>
      <c r="G3759">
        <v>3.04725</v>
      </c>
      <c r="H3759">
        <v>237.68549999999999</v>
      </c>
      <c r="I3759" t="s">
        <v>2354</v>
      </c>
    </row>
    <row r="3760" spans="1:9" x14ac:dyDescent="0.25">
      <c r="A3760" t="s">
        <v>220</v>
      </c>
      <c r="B3760" t="s">
        <v>2351</v>
      </c>
      <c r="C3760" t="s">
        <v>4997</v>
      </c>
      <c r="D3760" t="s">
        <v>4998</v>
      </c>
      <c r="F3760">
        <v>102</v>
      </c>
      <c r="G3760">
        <v>4.6214500000000003</v>
      </c>
      <c r="H3760">
        <v>471.3879</v>
      </c>
      <c r="I3760" t="s">
        <v>2354</v>
      </c>
    </row>
    <row r="3761" spans="1:9" x14ac:dyDescent="0.25">
      <c r="A3761" t="s">
        <v>220</v>
      </c>
      <c r="B3761" t="s">
        <v>2351</v>
      </c>
      <c r="C3761" t="s">
        <v>4999</v>
      </c>
      <c r="D3761" t="s">
        <v>5000</v>
      </c>
      <c r="F3761">
        <v>54</v>
      </c>
      <c r="G3761">
        <v>6.0000000000000001E-3</v>
      </c>
      <c r="H3761">
        <v>0.32400000000000001</v>
      </c>
      <c r="I3761" t="s">
        <v>2354</v>
      </c>
    </row>
    <row r="3762" spans="1:9" x14ac:dyDescent="0.25">
      <c r="A3762" t="s">
        <v>220</v>
      </c>
      <c r="B3762" t="s">
        <v>2351</v>
      </c>
      <c r="C3762" t="s">
        <v>5001</v>
      </c>
      <c r="D3762" t="s">
        <v>4994</v>
      </c>
      <c r="F3762">
        <v>78</v>
      </c>
      <c r="G3762">
        <v>2.1999999999999999E-2</v>
      </c>
      <c r="H3762">
        <v>1.716</v>
      </c>
      <c r="I3762" t="s">
        <v>2354</v>
      </c>
    </row>
    <row r="3763" spans="1:9" x14ac:dyDescent="0.25">
      <c r="A3763" t="s">
        <v>220</v>
      </c>
      <c r="B3763" t="s">
        <v>2351</v>
      </c>
      <c r="C3763" t="s">
        <v>5002</v>
      </c>
      <c r="D3763" t="s">
        <v>5003</v>
      </c>
      <c r="F3763">
        <v>102</v>
      </c>
      <c r="G3763">
        <v>0.17</v>
      </c>
      <c r="H3763">
        <v>17.34</v>
      </c>
      <c r="I3763" t="s">
        <v>2354</v>
      </c>
    </row>
    <row r="3764" spans="1:9" x14ac:dyDescent="0.25">
      <c r="A3764" t="s">
        <v>220</v>
      </c>
      <c r="B3764" t="s">
        <v>2351</v>
      </c>
      <c r="C3764" t="s">
        <v>5004</v>
      </c>
      <c r="D3764" t="s">
        <v>5005</v>
      </c>
      <c r="F3764">
        <v>222</v>
      </c>
      <c r="G3764">
        <v>0.12189999999999999</v>
      </c>
      <c r="H3764">
        <v>27.061799999999998</v>
      </c>
      <c r="I3764" t="s">
        <v>2354</v>
      </c>
    </row>
    <row r="3765" spans="1:9" x14ac:dyDescent="0.25">
      <c r="A3765" t="s">
        <v>220</v>
      </c>
      <c r="B3765" t="s">
        <v>2351</v>
      </c>
      <c r="C3765" t="s">
        <v>5006</v>
      </c>
      <c r="D3765" t="s">
        <v>5007</v>
      </c>
      <c r="F3765">
        <v>38</v>
      </c>
      <c r="G3765">
        <v>0.25141999999999998</v>
      </c>
      <c r="H3765">
        <v>9.55396</v>
      </c>
      <c r="I3765" t="s">
        <v>2354</v>
      </c>
    </row>
    <row r="3766" spans="1:9" x14ac:dyDescent="0.25">
      <c r="A3766" t="s">
        <v>220</v>
      </c>
      <c r="B3766" t="s">
        <v>2351</v>
      </c>
      <c r="C3766" t="s">
        <v>5008</v>
      </c>
      <c r="D3766" t="s">
        <v>5009</v>
      </c>
      <c r="F3766">
        <v>65</v>
      </c>
      <c r="G3766">
        <v>0.34588000000000002</v>
      </c>
      <c r="H3766">
        <v>22.482200000000002</v>
      </c>
      <c r="I3766" t="s">
        <v>2354</v>
      </c>
    </row>
    <row r="3767" spans="1:9" x14ac:dyDescent="0.25">
      <c r="A3767" t="s">
        <v>220</v>
      </c>
      <c r="B3767" t="s">
        <v>2351</v>
      </c>
      <c r="C3767" t="s">
        <v>5010</v>
      </c>
      <c r="D3767" t="s">
        <v>5011</v>
      </c>
      <c r="F3767">
        <v>230</v>
      </c>
      <c r="G3767">
        <v>0.39360000000000001</v>
      </c>
      <c r="H3767">
        <v>90.528000000000006</v>
      </c>
      <c r="I3767" t="s">
        <v>2354</v>
      </c>
    </row>
    <row r="3768" spans="1:9" x14ac:dyDescent="0.25">
      <c r="A3768" t="s">
        <v>220</v>
      </c>
      <c r="B3768" t="s">
        <v>2351</v>
      </c>
      <c r="C3768" t="s">
        <v>5012</v>
      </c>
      <c r="D3768" t="s">
        <v>5013</v>
      </c>
      <c r="F3768">
        <v>70</v>
      </c>
      <c r="G3768">
        <v>5.04E-2</v>
      </c>
      <c r="H3768">
        <v>3.528</v>
      </c>
      <c r="I3768" t="s">
        <v>2354</v>
      </c>
    </row>
    <row r="3769" spans="1:9" x14ac:dyDescent="0.25">
      <c r="A3769" t="s">
        <v>220</v>
      </c>
      <c r="B3769" t="s">
        <v>2351</v>
      </c>
      <c r="C3769" t="s">
        <v>5014</v>
      </c>
      <c r="D3769" t="s">
        <v>5015</v>
      </c>
      <c r="F3769">
        <v>239</v>
      </c>
      <c r="G3769">
        <v>3.9600000000000003E-2</v>
      </c>
      <c r="H3769">
        <v>9.4644000000000013</v>
      </c>
      <c r="I3769" t="s">
        <v>2354</v>
      </c>
    </row>
    <row r="3770" spans="1:9" x14ac:dyDescent="0.25">
      <c r="A3770" t="s">
        <v>220</v>
      </c>
      <c r="B3770" t="s">
        <v>2351</v>
      </c>
      <c r="C3770" t="s">
        <v>5016</v>
      </c>
      <c r="D3770" t="s">
        <v>5017</v>
      </c>
      <c r="F3770">
        <v>106</v>
      </c>
      <c r="G3770">
        <v>2.6100000000000002E-2</v>
      </c>
      <c r="H3770">
        <v>2.7666000000000004</v>
      </c>
      <c r="I3770" t="s">
        <v>2354</v>
      </c>
    </row>
    <row r="3771" spans="1:9" x14ac:dyDescent="0.25">
      <c r="A3771" t="s">
        <v>220</v>
      </c>
      <c r="B3771" t="s">
        <v>2351</v>
      </c>
      <c r="C3771" t="s">
        <v>5018</v>
      </c>
      <c r="D3771" t="s">
        <v>5019</v>
      </c>
      <c r="F3771">
        <v>425</v>
      </c>
      <c r="G3771">
        <v>0.16</v>
      </c>
      <c r="H3771">
        <v>68</v>
      </c>
      <c r="I3771" t="s">
        <v>2354</v>
      </c>
    </row>
    <row r="3772" spans="1:9" x14ac:dyDescent="0.25">
      <c r="A3772" t="s">
        <v>220</v>
      </c>
      <c r="B3772" t="s">
        <v>2351</v>
      </c>
      <c r="C3772" t="s">
        <v>5020</v>
      </c>
      <c r="D3772" t="s">
        <v>5021</v>
      </c>
      <c r="F3772">
        <v>358</v>
      </c>
      <c r="G3772">
        <v>9.5479999999999995E-2</v>
      </c>
      <c r="H3772">
        <v>34.181840000000001</v>
      </c>
      <c r="I3772" t="s">
        <v>2354</v>
      </c>
    </row>
    <row r="3773" spans="1:9" x14ac:dyDescent="0.25">
      <c r="A3773" t="s">
        <v>220</v>
      </c>
      <c r="B3773" t="s">
        <v>2351</v>
      </c>
      <c r="C3773" t="s">
        <v>5022</v>
      </c>
      <c r="D3773" t="s">
        <v>5023</v>
      </c>
      <c r="F3773">
        <v>217</v>
      </c>
      <c r="G3773">
        <v>0.12583357142857141</v>
      </c>
      <c r="H3773">
        <v>27.305884999999996</v>
      </c>
      <c r="I3773" t="s">
        <v>2354</v>
      </c>
    </row>
    <row r="3774" spans="1:9" x14ac:dyDescent="0.25">
      <c r="A3774" t="s">
        <v>220</v>
      </c>
      <c r="B3774" t="s">
        <v>2351</v>
      </c>
      <c r="C3774" t="s">
        <v>5024</v>
      </c>
      <c r="D3774" t="s">
        <v>5025</v>
      </c>
      <c r="F3774">
        <v>750</v>
      </c>
      <c r="G3774">
        <v>0.16415917431192659</v>
      </c>
      <c r="H3774">
        <v>123.11938073394494</v>
      </c>
      <c r="I3774" t="s">
        <v>2354</v>
      </c>
    </row>
    <row r="3775" spans="1:9" x14ac:dyDescent="0.25">
      <c r="A3775" t="s">
        <v>220</v>
      </c>
      <c r="B3775" t="s">
        <v>2351</v>
      </c>
      <c r="C3775" t="s">
        <v>5026</v>
      </c>
      <c r="D3775" t="s">
        <v>5027</v>
      </c>
      <c r="F3775">
        <v>231</v>
      </c>
      <c r="G3775">
        <v>0.12038892950391644</v>
      </c>
      <c r="H3775">
        <v>27.809842715404699</v>
      </c>
      <c r="I3775" t="s">
        <v>2354</v>
      </c>
    </row>
    <row r="3776" spans="1:9" x14ac:dyDescent="0.25">
      <c r="A3776" t="s">
        <v>220</v>
      </c>
      <c r="B3776" t="s">
        <v>2351</v>
      </c>
      <c r="C3776" t="s">
        <v>5028</v>
      </c>
      <c r="D3776" t="s">
        <v>5029</v>
      </c>
      <c r="F3776">
        <v>352</v>
      </c>
      <c r="G3776">
        <v>0.20159195979899497</v>
      </c>
      <c r="H3776">
        <v>70.960369849246234</v>
      </c>
      <c r="I3776" t="s">
        <v>2354</v>
      </c>
    </row>
    <row r="3777" spans="1:9" x14ac:dyDescent="0.25">
      <c r="A3777" t="s">
        <v>220</v>
      </c>
      <c r="B3777" t="s">
        <v>2351</v>
      </c>
      <c r="C3777" t="s">
        <v>5030</v>
      </c>
      <c r="D3777" t="s">
        <v>5031</v>
      </c>
      <c r="F3777">
        <v>148</v>
      </c>
      <c r="G3777">
        <v>0.22642666666666666</v>
      </c>
      <c r="H3777">
        <v>33.511146666666669</v>
      </c>
      <c r="I3777" t="s">
        <v>2354</v>
      </c>
    </row>
    <row r="3778" spans="1:9" x14ac:dyDescent="0.25">
      <c r="A3778" t="s">
        <v>220</v>
      </c>
      <c r="B3778" t="s">
        <v>2351</v>
      </c>
      <c r="C3778" t="s">
        <v>5032</v>
      </c>
      <c r="D3778" t="s">
        <v>5033</v>
      </c>
      <c r="F3778">
        <v>320</v>
      </c>
      <c r="G3778">
        <v>0.22222028985507247</v>
      </c>
      <c r="H3778">
        <v>71.110492753623191</v>
      </c>
      <c r="I3778" t="s">
        <v>2354</v>
      </c>
    </row>
    <row r="3779" spans="1:9" x14ac:dyDescent="0.25">
      <c r="A3779" t="s">
        <v>220</v>
      </c>
      <c r="B3779" t="s">
        <v>2351</v>
      </c>
      <c r="C3779" t="s">
        <v>5034</v>
      </c>
      <c r="D3779" t="s">
        <v>5035</v>
      </c>
      <c r="F3779">
        <v>248</v>
      </c>
      <c r="G3779">
        <v>0.42921793885552634</v>
      </c>
      <c r="H3779">
        <v>106.44604883617053</v>
      </c>
      <c r="I3779" t="s">
        <v>2354</v>
      </c>
    </row>
    <row r="3780" spans="1:9" x14ac:dyDescent="0.25">
      <c r="A3780" t="s">
        <v>220</v>
      </c>
      <c r="B3780" t="s">
        <v>2351</v>
      </c>
      <c r="C3780" t="s">
        <v>5036</v>
      </c>
      <c r="D3780" t="s">
        <v>5037</v>
      </c>
      <c r="F3780">
        <v>250</v>
      </c>
      <c r="G3780">
        <v>0.37153573650785487</v>
      </c>
      <c r="H3780">
        <v>92.883934126963723</v>
      </c>
      <c r="I3780" t="s">
        <v>2354</v>
      </c>
    </row>
    <row r="3781" spans="1:9" x14ac:dyDescent="0.25">
      <c r="A3781" t="s">
        <v>220</v>
      </c>
      <c r="B3781" t="s">
        <v>2351</v>
      </c>
      <c r="C3781" t="s">
        <v>5038</v>
      </c>
      <c r="D3781" t="s">
        <v>5039</v>
      </c>
      <c r="F3781">
        <v>351</v>
      </c>
      <c r="G3781">
        <v>0.224</v>
      </c>
      <c r="H3781">
        <v>78.623999999999995</v>
      </c>
      <c r="I3781" t="s">
        <v>2354</v>
      </c>
    </row>
    <row r="3782" spans="1:9" x14ac:dyDescent="0.25">
      <c r="A3782" t="s">
        <v>220</v>
      </c>
      <c r="B3782" t="s">
        <v>2351</v>
      </c>
      <c r="C3782" t="s">
        <v>5040</v>
      </c>
      <c r="D3782" t="s">
        <v>5041</v>
      </c>
      <c r="F3782">
        <v>268</v>
      </c>
      <c r="G3782">
        <v>0.28100000000000003</v>
      </c>
      <c r="H3782">
        <v>75.308000000000007</v>
      </c>
      <c r="I3782" t="s">
        <v>2354</v>
      </c>
    </row>
    <row r="3783" spans="1:9" x14ac:dyDescent="0.25">
      <c r="A3783" t="s">
        <v>220</v>
      </c>
      <c r="B3783" t="s">
        <v>2351</v>
      </c>
      <c r="C3783" t="s">
        <v>5042</v>
      </c>
      <c r="D3783" t="s">
        <v>5043</v>
      </c>
      <c r="F3783">
        <v>150</v>
      </c>
      <c r="G3783">
        <v>0.20992</v>
      </c>
      <c r="H3783">
        <v>31.488</v>
      </c>
      <c r="I3783" t="s">
        <v>2354</v>
      </c>
    </row>
    <row r="3784" spans="1:9" x14ac:dyDescent="0.25">
      <c r="A3784" t="s">
        <v>220</v>
      </c>
      <c r="B3784" t="s">
        <v>2351</v>
      </c>
      <c r="C3784" t="s">
        <v>5044</v>
      </c>
      <c r="D3784" t="s">
        <v>5045</v>
      </c>
      <c r="F3784">
        <v>48</v>
      </c>
      <c r="G3784">
        <v>0</v>
      </c>
      <c r="H3784">
        <v>0</v>
      </c>
      <c r="I3784" t="s">
        <v>2354</v>
      </c>
    </row>
    <row r="3785" spans="1:9" x14ac:dyDescent="0.25">
      <c r="A3785" t="s">
        <v>220</v>
      </c>
      <c r="B3785" t="s">
        <v>2351</v>
      </c>
      <c r="C3785" t="s">
        <v>5046</v>
      </c>
      <c r="D3785" t="s">
        <v>5047</v>
      </c>
      <c r="F3785">
        <v>781</v>
      </c>
      <c r="G3785">
        <v>0.23749999999999999</v>
      </c>
      <c r="H3785">
        <v>185.48749999999998</v>
      </c>
      <c r="I3785" t="s">
        <v>2354</v>
      </c>
    </row>
    <row r="3786" spans="1:9" x14ac:dyDescent="0.25">
      <c r="A3786" t="s">
        <v>220</v>
      </c>
      <c r="B3786" t="s">
        <v>2351</v>
      </c>
      <c r="C3786" t="s">
        <v>5048</v>
      </c>
      <c r="D3786" t="s">
        <v>5049</v>
      </c>
      <c r="F3786">
        <v>20</v>
      </c>
      <c r="G3786">
        <v>0.50349999999999995</v>
      </c>
      <c r="H3786">
        <v>10.069999999999999</v>
      </c>
      <c r="I3786" t="s">
        <v>2354</v>
      </c>
    </row>
    <row r="3787" spans="1:9" x14ac:dyDescent="0.25">
      <c r="A3787" t="s">
        <v>220</v>
      </c>
      <c r="B3787" t="s">
        <v>2351</v>
      </c>
      <c r="C3787" t="s">
        <v>5050</v>
      </c>
      <c r="D3787" t="s">
        <v>5051</v>
      </c>
      <c r="F3787">
        <v>14.5</v>
      </c>
      <c r="G3787">
        <v>1.35</v>
      </c>
      <c r="H3787">
        <v>19.575000000000003</v>
      </c>
      <c r="I3787" t="s">
        <v>2354</v>
      </c>
    </row>
    <row r="3788" spans="1:9" x14ac:dyDescent="0.25">
      <c r="A3788" t="s">
        <v>220</v>
      </c>
      <c r="B3788" t="s">
        <v>2351</v>
      </c>
      <c r="C3788" t="s">
        <v>5052</v>
      </c>
      <c r="D3788" t="s">
        <v>5053</v>
      </c>
      <c r="F3788">
        <v>38</v>
      </c>
      <c r="G3788">
        <v>0.50349999999999995</v>
      </c>
      <c r="H3788">
        <v>19.132999999999999</v>
      </c>
      <c r="I3788" t="s">
        <v>2354</v>
      </c>
    </row>
    <row r="3789" spans="1:9" x14ac:dyDescent="0.25">
      <c r="A3789" t="s">
        <v>220</v>
      </c>
      <c r="B3789" t="s">
        <v>2351</v>
      </c>
      <c r="C3789" t="s">
        <v>5054</v>
      </c>
      <c r="D3789" t="s">
        <v>5055</v>
      </c>
      <c r="F3789">
        <v>15</v>
      </c>
      <c r="G3789">
        <v>0.16800000000000001</v>
      </c>
      <c r="H3789">
        <v>2.52</v>
      </c>
      <c r="I3789" t="s">
        <v>2354</v>
      </c>
    </row>
    <row r="3790" spans="1:9" x14ac:dyDescent="0.25">
      <c r="A3790" t="s">
        <v>220</v>
      </c>
      <c r="B3790" t="s">
        <v>2351</v>
      </c>
      <c r="C3790" t="s">
        <v>5056</v>
      </c>
      <c r="D3790" t="s">
        <v>5057</v>
      </c>
      <c r="F3790">
        <v>9</v>
      </c>
      <c r="G3790">
        <v>1.1126499999999999</v>
      </c>
      <c r="H3790">
        <v>10.01385</v>
      </c>
      <c r="I3790" t="s">
        <v>2354</v>
      </c>
    </row>
    <row r="3791" spans="1:9" x14ac:dyDescent="0.25">
      <c r="A3791" t="s">
        <v>220</v>
      </c>
      <c r="B3791" t="s">
        <v>2351</v>
      </c>
      <c r="C3791" t="s">
        <v>5060</v>
      </c>
      <c r="D3791" t="s">
        <v>5061</v>
      </c>
      <c r="F3791">
        <v>18</v>
      </c>
      <c r="G3791">
        <v>2.1949999999999998</v>
      </c>
      <c r="H3791">
        <v>39.51</v>
      </c>
      <c r="I3791" t="s">
        <v>2354</v>
      </c>
    </row>
    <row r="3792" spans="1:9" x14ac:dyDescent="0.25">
      <c r="A3792" t="s">
        <v>220</v>
      </c>
      <c r="B3792" t="s">
        <v>2351</v>
      </c>
      <c r="C3792" t="s">
        <v>5062</v>
      </c>
      <c r="D3792" t="s">
        <v>5063</v>
      </c>
      <c r="F3792">
        <v>150</v>
      </c>
      <c r="G3792">
        <v>3.8250000000000002</v>
      </c>
      <c r="H3792">
        <v>573.75</v>
      </c>
      <c r="I3792" t="s">
        <v>2354</v>
      </c>
    </row>
    <row r="3793" spans="1:9" x14ac:dyDescent="0.25">
      <c r="A3793" t="s">
        <v>220</v>
      </c>
      <c r="B3793" t="s">
        <v>2351</v>
      </c>
      <c r="C3793" t="s">
        <v>5064</v>
      </c>
      <c r="D3793" t="s">
        <v>5065</v>
      </c>
      <c r="F3793">
        <v>9</v>
      </c>
      <c r="G3793">
        <v>0.15972500000000001</v>
      </c>
      <c r="H3793">
        <v>1.4375249999999999</v>
      </c>
      <c r="I3793" t="s">
        <v>2354</v>
      </c>
    </row>
    <row r="3794" spans="1:9" x14ac:dyDescent="0.25">
      <c r="A3794" t="s">
        <v>220</v>
      </c>
      <c r="B3794" t="s">
        <v>2351</v>
      </c>
      <c r="C3794" t="s">
        <v>5066</v>
      </c>
      <c r="D3794" t="s">
        <v>5067</v>
      </c>
      <c r="F3794">
        <v>43</v>
      </c>
      <c r="G3794">
        <v>0.32200000000000001</v>
      </c>
      <c r="H3794">
        <v>13.846</v>
      </c>
      <c r="I3794" t="s">
        <v>2354</v>
      </c>
    </row>
    <row r="3795" spans="1:9" x14ac:dyDescent="0.25">
      <c r="A3795" t="s">
        <v>220</v>
      </c>
      <c r="B3795" t="s">
        <v>2351</v>
      </c>
      <c r="C3795" t="s">
        <v>5068</v>
      </c>
      <c r="D3795" t="s">
        <v>5069</v>
      </c>
      <c r="F3795">
        <v>6</v>
      </c>
      <c r="G3795">
        <v>0.13950000000000001</v>
      </c>
      <c r="H3795">
        <v>0.83700000000000008</v>
      </c>
      <c r="I3795" t="s">
        <v>2354</v>
      </c>
    </row>
    <row r="3796" spans="1:9" x14ac:dyDescent="0.25">
      <c r="A3796" t="s">
        <v>220</v>
      </c>
      <c r="B3796" t="s">
        <v>2351</v>
      </c>
      <c r="C3796" t="s">
        <v>5070</v>
      </c>
      <c r="D3796" t="s">
        <v>5071</v>
      </c>
      <c r="F3796">
        <v>14</v>
      </c>
      <c r="G3796">
        <v>0.18</v>
      </c>
      <c r="H3796">
        <v>2.52</v>
      </c>
      <c r="I3796" t="s">
        <v>2354</v>
      </c>
    </row>
    <row r="3797" spans="1:9" x14ac:dyDescent="0.25">
      <c r="A3797" t="s">
        <v>220</v>
      </c>
      <c r="B3797" t="s">
        <v>2351</v>
      </c>
      <c r="C3797" t="s">
        <v>5072</v>
      </c>
      <c r="D3797" t="s">
        <v>5073</v>
      </c>
      <c r="F3797">
        <v>32</v>
      </c>
      <c r="G3797">
        <v>0.19800000000000001</v>
      </c>
      <c r="H3797">
        <v>6.3360000000000003</v>
      </c>
      <c r="I3797" t="s">
        <v>2354</v>
      </c>
    </row>
    <row r="3798" spans="1:9" x14ac:dyDescent="0.25">
      <c r="A3798" t="s">
        <v>220</v>
      </c>
      <c r="B3798" t="s">
        <v>2351</v>
      </c>
      <c r="C3798" t="s">
        <v>5074</v>
      </c>
      <c r="D3798" t="s">
        <v>5075</v>
      </c>
      <c r="F3798">
        <v>5</v>
      </c>
      <c r="G3798">
        <v>0.25740000000000002</v>
      </c>
      <c r="H3798">
        <v>1.2870000000000001</v>
      </c>
      <c r="I3798" t="s">
        <v>2354</v>
      </c>
    </row>
    <row r="3799" spans="1:9" x14ac:dyDescent="0.25">
      <c r="A3799" t="s">
        <v>220</v>
      </c>
      <c r="B3799" t="s">
        <v>2351</v>
      </c>
      <c r="C3799" t="s">
        <v>5076</v>
      </c>
      <c r="D3799" t="s">
        <v>5077</v>
      </c>
      <c r="F3799">
        <v>23</v>
      </c>
      <c r="G3799">
        <v>0.38159999999999999</v>
      </c>
      <c r="H3799">
        <v>8.7767999999999997</v>
      </c>
      <c r="I3799" t="s">
        <v>2354</v>
      </c>
    </row>
    <row r="3800" spans="1:9" x14ac:dyDescent="0.25">
      <c r="A3800" t="s">
        <v>220</v>
      </c>
      <c r="B3800" t="s">
        <v>2351</v>
      </c>
      <c r="C3800" t="s">
        <v>5078</v>
      </c>
      <c r="D3800" t="s">
        <v>5079</v>
      </c>
      <c r="F3800">
        <v>12</v>
      </c>
      <c r="G3800">
        <v>0.33750000000000002</v>
      </c>
      <c r="H3800">
        <v>4.0500000000000007</v>
      </c>
      <c r="I3800" t="s">
        <v>2354</v>
      </c>
    </row>
    <row r="3801" spans="1:9" x14ac:dyDescent="0.25">
      <c r="A3801" t="s">
        <v>220</v>
      </c>
      <c r="B3801" t="s">
        <v>2351</v>
      </c>
      <c r="C3801" t="s">
        <v>5080</v>
      </c>
      <c r="D3801" t="s">
        <v>5081</v>
      </c>
      <c r="F3801">
        <v>69</v>
      </c>
      <c r="G3801">
        <v>17.193000000000001</v>
      </c>
      <c r="H3801">
        <v>1186.317</v>
      </c>
      <c r="I3801" t="s">
        <v>2354</v>
      </c>
    </row>
    <row r="3802" spans="1:9" x14ac:dyDescent="0.25">
      <c r="A3802" t="s">
        <v>220</v>
      </c>
      <c r="B3802" t="s">
        <v>2351</v>
      </c>
      <c r="C3802" t="s">
        <v>5082</v>
      </c>
      <c r="D3802" t="s">
        <v>5083</v>
      </c>
      <c r="F3802">
        <v>5</v>
      </c>
      <c r="G3802">
        <v>22.925000000000001</v>
      </c>
      <c r="H3802">
        <v>114.625</v>
      </c>
      <c r="I3802" t="s">
        <v>2354</v>
      </c>
    </row>
    <row r="3803" spans="1:9" x14ac:dyDescent="0.25">
      <c r="A3803" t="s">
        <v>220</v>
      </c>
      <c r="B3803" t="s">
        <v>2351</v>
      </c>
      <c r="C3803" t="s">
        <v>5384</v>
      </c>
      <c r="D3803" t="s">
        <v>5385</v>
      </c>
      <c r="F3803">
        <v>92</v>
      </c>
      <c r="G3803">
        <v>0.53974999999999995</v>
      </c>
      <c r="H3803">
        <v>49.656999999999996</v>
      </c>
      <c r="I3803" t="s">
        <v>2354</v>
      </c>
    </row>
    <row r="3804" spans="1:9" x14ac:dyDescent="0.25">
      <c r="A3804" t="s">
        <v>220</v>
      </c>
      <c r="B3804" t="s">
        <v>2351</v>
      </c>
      <c r="C3804" t="s">
        <v>5084</v>
      </c>
      <c r="D3804" t="s">
        <v>5085</v>
      </c>
      <c r="F3804">
        <v>145</v>
      </c>
      <c r="G3804">
        <v>0.57757000000000003</v>
      </c>
      <c r="H3804">
        <v>83.747650000000007</v>
      </c>
      <c r="I3804" t="s">
        <v>2354</v>
      </c>
    </row>
    <row r="3805" spans="1:9" x14ac:dyDescent="0.25">
      <c r="A3805" t="s">
        <v>220</v>
      </c>
      <c r="B3805" t="s">
        <v>2351</v>
      </c>
      <c r="C3805" t="s">
        <v>5086</v>
      </c>
      <c r="D3805" t="s">
        <v>5087</v>
      </c>
      <c r="F3805">
        <v>59</v>
      </c>
      <c r="G3805">
        <v>8.5980000000000001E-2</v>
      </c>
      <c r="H3805">
        <v>5.0728200000000001</v>
      </c>
      <c r="I3805" t="s">
        <v>2354</v>
      </c>
    </row>
    <row r="3806" spans="1:9" x14ac:dyDescent="0.25">
      <c r="A3806" t="s">
        <v>220</v>
      </c>
      <c r="B3806" t="s">
        <v>2351</v>
      </c>
      <c r="C3806" t="s">
        <v>5088</v>
      </c>
      <c r="D3806" t="s">
        <v>5089</v>
      </c>
      <c r="F3806">
        <v>84</v>
      </c>
      <c r="G3806">
        <v>4.7600000000000003E-2</v>
      </c>
      <c r="H3806">
        <v>3.9984000000000002</v>
      </c>
      <c r="I3806" t="s">
        <v>2354</v>
      </c>
    </row>
    <row r="3807" spans="1:9" x14ac:dyDescent="0.25">
      <c r="A3807" t="s">
        <v>220</v>
      </c>
      <c r="B3807" t="s">
        <v>2351</v>
      </c>
      <c r="C3807" t="s">
        <v>5090</v>
      </c>
      <c r="D3807" t="s">
        <v>5091</v>
      </c>
      <c r="F3807">
        <v>1</v>
      </c>
      <c r="G3807">
        <v>31.395</v>
      </c>
      <c r="H3807">
        <v>31.395</v>
      </c>
      <c r="I3807" t="s">
        <v>2354</v>
      </c>
    </row>
    <row r="3808" spans="1:9" x14ac:dyDescent="0.25">
      <c r="A3808" t="s">
        <v>220</v>
      </c>
      <c r="B3808" t="s">
        <v>2351</v>
      </c>
      <c r="C3808" t="s">
        <v>5386</v>
      </c>
      <c r="D3808" t="s">
        <v>5387</v>
      </c>
      <c r="F3808">
        <v>173</v>
      </c>
      <c r="G3808">
        <v>4.505E-2</v>
      </c>
      <c r="H3808">
        <v>7.7936499999999995</v>
      </c>
      <c r="I3808" t="s">
        <v>2354</v>
      </c>
    </row>
    <row r="3809" spans="1:9" x14ac:dyDescent="0.25">
      <c r="A3809" t="s">
        <v>220</v>
      </c>
      <c r="B3809" t="s">
        <v>2351</v>
      </c>
      <c r="C3809" t="s">
        <v>5388</v>
      </c>
      <c r="D3809" t="s">
        <v>5389</v>
      </c>
      <c r="F3809">
        <v>323</v>
      </c>
      <c r="G3809">
        <v>4.8576666666666671E-2</v>
      </c>
      <c r="H3809">
        <v>15.690263333333334</v>
      </c>
      <c r="I3809" t="s">
        <v>2354</v>
      </c>
    </row>
    <row r="3810" spans="1:9" x14ac:dyDescent="0.25">
      <c r="A3810" t="s">
        <v>220</v>
      </c>
      <c r="B3810" t="s">
        <v>2351</v>
      </c>
      <c r="C3810" t="s">
        <v>5092</v>
      </c>
      <c r="D3810" t="s">
        <v>5093</v>
      </c>
      <c r="F3810">
        <v>6</v>
      </c>
      <c r="G3810">
        <v>6.63</v>
      </c>
      <c r="H3810">
        <v>39.78</v>
      </c>
      <c r="I3810" t="s">
        <v>2354</v>
      </c>
    </row>
    <row r="3811" spans="1:9" x14ac:dyDescent="0.25">
      <c r="A3811" t="s">
        <v>220</v>
      </c>
      <c r="B3811" t="s">
        <v>2351</v>
      </c>
      <c r="C3811" t="s">
        <v>5094</v>
      </c>
      <c r="D3811" t="s">
        <v>5095</v>
      </c>
      <c r="F3811">
        <v>14</v>
      </c>
      <c r="G3811">
        <v>0.85746000000000011</v>
      </c>
      <c r="H3811">
        <v>12.004440000000002</v>
      </c>
      <c r="I3811" t="s">
        <v>2354</v>
      </c>
    </row>
    <row r="3812" spans="1:9" x14ac:dyDescent="0.25">
      <c r="A3812" t="s">
        <v>220</v>
      </c>
      <c r="B3812" t="s">
        <v>2351</v>
      </c>
      <c r="C3812" t="s">
        <v>5100</v>
      </c>
      <c r="D3812" t="s">
        <v>5101</v>
      </c>
      <c r="F3812">
        <v>1</v>
      </c>
      <c r="G3812">
        <v>0.51600000000000001</v>
      </c>
      <c r="H3812">
        <v>0.51600000000000001</v>
      </c>
      <c r="I3812" t="s">
        <v>2354</v>
      </c>
    </row>
    <row r="3813" spans="1:9" x14ac:dyDescent="0.25">
      <c r="A3813" t="s">
        <v>220</v>
      </c>
      <c r="B3813" t="s">
        <v>2351</v>
      </c>
      <c r="C3813" t="s">
        <v>5102</v>
      </c>
      <c r="D3813" t="s">
        <v>5103</v>
      </c>
      <c r="F3813">
        <v>24</v>
      </c>
      <c r="G3813">
        <v>0.26656000000000002</v>
      </c>
      <c r="H3813">
        <v>6.3974400000000005</v>
      </c>
      <c r="I3813" t="s">
        <v>2354</v>
      </c>
    </row>
    <row r="3814" spans="1:9" x14ac:dyDescent="0.25">
      <c r="A3814" t="s">
        <v>220</v>
      </c>
      <c r="B3814" t="s">
        <v>2351</v>
      </c>
      <c r="C3814" t="s">
        <v>5104</v>
      </c>
      <c r="D3814" t="s">
        <v>5105</v>
      </c>
      <c r="F3814">
        <v>1</v>
      </c>
      <c r="G3814">
        <v>0.72352000000000005</v>
      </c>
      <c r="H3814">
        <v>0.72352000000000005</v>
      </c>
      <c r="I3814" t="s">
        <v>2354</v>
      </c>
    </row>
    <row r="3815" spans="1:9" x14ac:dyDescent="0.25">
      <c r="A3815" t="s">
        <v>220</v>
      </c>
      <c r="B3815" t="s">
        <v>2351</v>
      </c>
      <c r="C3815" t="s">
        <v>5106</v>
      </c>
      <c r="D3815" t="s">
        <v>5107</v>
      </c>
      <c r="F3815">
        <v>139</v>
      </c>
      <c r="G3815">
        <v>1.00674</v>
      </c>
      <c r="H3815">
        <v>139.93686</v>
      </c>
      <c r="I3815" t="s">
        <v>2354</v>
      </c>
    </row>
    <row r="3816" spans="1:9" x14ac:dyDescent="0.25">
      <c r="A3816" t="s">
        <v>220</v>
      </c>
      <c r="B3816" t="s">
        <v>2351</v>
      </c>
      <c r="C3816" t="s">
        <v>5110</v>
      </c>
      <c r="D3816" t="s">
        <v>5111</v>
      </c>
      <c r="F3816">
        <v>16</v>
      </c>
      <c r="G3816">
        <v>0.4</v>
      </c>
      <c r="H3816">
        <v>6.4</v>
      </c>
      <c r="I3816" t="s">
        <v>2354</v>
      </c>
    </row>
    <row r="3817" spans="1:9" x14ac:dyDescent="0.25">
      <c r="A3817" t="s">
        <v>220</v>
      </c>
      <c r="B3817" t="s">
        <v>2351</v>
      </c>
      <c r="C3817" t="s">
        <v>5112</v>
      </c>
      <c r="D3817" t="s">
        <v>5113</v>
      </c>
      <c r="F3817">
        <v>4</v>
      </c>
      <c r="G3817">
        <v>0</v>
      </c>
      <c r="H3817">
        <v>0</v>
      </c>
      <c r="I3817" t="s">
        <v>2354</v>
      </c>
    </row>
    <row r="3818" spans="1:9" x14ac:dyDescent="0.25">
      <c r="A3818" t="s">
        <v>220</v>
      </c>
      <c r="B3818" t="s">
        <v>2351</v>
      </c>
      <c r="C3818" t="s">
        <v>5114</v>
      </c>
      <c r="D3818" t="s">
        <v>5115</v>
      </c>
      <c r="F3818">
        <v>400</v>
      </c>
      <c r="G3818">
        <v>0</v>
      </c>
      <c r="H3818">
        <v>0</v>
      </c>
      <c r="I3818" t="s">
        <v>2354</v>
      </c>
    </row>
    <row r="3819" spans="1:9" x14ac:dyDescent="0.25">
      <c r="A3819" t="s">
        <v>220</v>
      </c>
      <c r="B3819" t="s">
        <v>2351</v>
      </c>
      <c r="C3819" t="s">
        <v>5116</v>
      </c>
      <c r="D3819" t="s">
        <v>5117</v>
      </c>
      <c r="F3819">
        <v>31</v>
      </c>
      <c r="G3819">
        <v>5.1999999999999998E-2</v>
      </c>
      <c r="H3819">
        <v>1.6119999999999999</v>
      </c>
      <c r="I3819" t="s">
        <v>2354</v>
      </c>
    </row>
    <row r="3820" spans="1:9" x14ac:dyDescent="0.25">
      <c r="A3820" t="s">
        <v>220</v>
      </c>
      <c r="B3820" t="s">
        <v>2351</v>
      </c>
      <c r="C3820" t="s">
        <v>5118</v>
      </c>
      <c r="D3820" t="s">
        <v>5119</v>
      </c>
      <c r="F3820">
        <v>3</v>
      </c>
      <c r="G3820">
        <v>34.384999999999998</v>
      </c>
      <c r="H3820">
        <v>103.155</v>
      </c>
      <c r="I3820" t="s">
        <v>2354</v>
      </c>
    </row>
    <row r="3821" spans="1:9" x14ac:dyDescent="0.25">
      <c r="A3821" t="s">
        <v>220</v>
      </c>
      <c r="B3821" t="s">
        <v>2351</v>
      </c>
      <c r="C3821" t="s">
        <v>5120</v>
      </c>
      <c r="D3821" t="s">
        <v>5121</v>
      </c>
      <c r="F3821">
        <v>480</v>
      </c>
      <c r="G3821">
        <v>0.19800000000000001</v>
      </c>
      <c r="H3821">
        <v>95.04</v>
      </c>
      <c r="I3821" t="s">
        <v>2354</v>
      </c>
    </row>
    <row r="3822" spans="1:9" x14ac:dyDescent="0.25">
      <c r="A3822" t="s">
        <v>220</v>
      </c>
      <c r="B3822" t="s">
        <v>2351</v>
      </c>
      <c r="C3822" t="s">
        <v>5122</v>
      </c>
      <c r="D3822" t="s">
        <v>5123</v>
      </c>
      <c r="F3822">
        <v>2</v>
      </c>
      <c r="G3822">
        <v>0.63200000000000001</v>
      </c>
      <c r="H3822">
        <v>1.264</v>
      </c>
      <c r="I3822" t="s">
        <v>2354</v>
      </c>
    </row>
    <row r="3823" spans="1:9" x14ac:dyDescent="0.25">
      <c r="A3823" t="s">
        <v>220</v>
      </c>
      <c r="B3823" t="s">
        <v>2351</v>
      </c>
      <c r="C3823" t="s">
        <v>5124</v>
      </c>
      <c r="D3823" t="s">
        <v>5125</v>
      </c>
      <c r="F3823">
        <v>81</v>
      </c>
      <c r="G3823">
        <v>0.40799999999999997</v>
      </c>
      <c r="H3823">
        <v>33.047999999999995</v>
      </c>
      <c r="I3823" t="s">
        <v>2354</v>
      </c>
    </row>
    <row r="3824" spans="1:9" x14ac:dyDescent="0.25">
      <c r="A3824" t="s">
        <v>220</v>
      </c>
      <c r="B3824" t="s">
        <v>2351</v>
      </c>
      <c r="C3824" t="s">
        <v>5126</v>
      </c>
      <c r="D3824" t="s">
        <v>5127</v>
      </c>
      <c r="F3824">
        <v>83</v>
      </c>
      <c r="G3824">
        <v>1.633</v>
      </c>
      <c r="H3824">
        <v>135.53899999999999</v>
      </c>
      <c r="I3824" t="s">
        <v>2354</v>
      </c>
    </row>
    <row r="3825" spans="1:9" x14ac:dyDescent="0.25">
      <c r="A3825" t="s">
        <v>220</v>
      </c>
      <c r="B3825" t="s">
        <v>2351</v>
      </c>
      <c r="C3825" t="s">
        <v>5128</v>
      </c>
      <c r="D3825" t="s">
        <v>5129</v>
      </c>
      <c r="F3825">
        <v>87</v>
      </c>
      <c r="G3825">
        <v>0.61599999999999999</v>
      </c>
      <c r="H3825">
        <v>53.591999999999999</v>
      </c>
      <c r="I3825" t="s">
        <v>2354</v>
      </c>
    </row>
    <row r="3826" spans="1:9" x14ac:dyDescent="0.25">
      <c r="A3826" t="s">
        <v>220</v>
      </c>
      <c r="B3826" t="s">
        <v>2351</v>
      </c>
      <c r="C3826" t="s">
        <v>5130</v>
      </c>
      <c r="D3826" t="s">
        <v>5131</v>
      </c>
      <c r="F3826">
        <v>93</v>
      </c>
      <c r="G3826">
        <v>1.0429999999999999</v>
      </c>
      <c r="H3826">
        <v>96.998999999999995</v>
      </c>
      <c r="I3826" t="s">
        <v>2354</v>
      </c>
    </row>
    <row r="3827" spans="1:9" x14ac:dyDescent="0.25">
      <c r="A3827" t="s">
        <v>220</v>
      </c>
      <c r="B3827" t="s">
        <v>2351</v>
      </c>
      <c r="C3827" t="s">
        <v>5132</v>
      </c>
      <c r="D3827" t="s">
        <v>5133</v>
      </c>
      <c r="F3827">
        <v>4</v>
      </c>
      <c r="G3827">
        <v>0.13600000000000001</v>
      </c>
      <c r="H3827">
        <v>0.54400000000000004</v>
      </c>
      <c r="I3827" t="s">
        <v>2354</v>
      </c>
    </row>
    <row r="3828" spans="1:9" x14ac:dyDescent="0.25">
      <c r="A3828" t="s">
        <v>220</v>
      </c>
      <c r="B3828" t="s">
        <v>2351</v>
      </c>
      <c r="C3828" t="s">
        <v>5136</v>
      </c>
      <c r="D3828" t="s">
        <v>5137</v>
      </c>
      <c r="F3828">
        <v>82</v>
      </c>
      <c r="G3828">
        <v>0.96084849999999999</v>
      </c>
      <c r="H3828">
        <v>78.789576999999994</v>
      </c>
      <c r="I3828" t="s">
        <v>2354</v>
      </c>
    </row>
    <row r="3829" spans="1:9" x14ac:dyDescent="0.25">
      <c r="A3829" t="s">
        <v>220</v>
      </c>
      <c r="B3829" t="s">
        <v>2351</v>
      </c>
      <c r="C3829" t="s">
        <v>5138</v>
      </c>
      <c r="D3829" t="s">
        <v>5139</v>
      </c>
      <c r="F3829">
        <v>179</v>
      </c>
      <c r="G3829">
        <v>0.10878985088138404</v>
      </c>
      <c r="H3829">
        <v>19.473383307767744</v>
      </c>
      <c r="I3829" t="s">
        <v>2354</v>
      </c>
    </row>
    <row r="3830" spans="1:9" x14ac:dyDescent="0.25">
      <c r="A3830" t="s">
        <v>220</v>
      </c>
      <c r="B3830" t="s">
        <v>2351</v>
      </c>
      <c r="C3830" t="s">
        <v>5140</v>
      </c>
      <c r="D3830" t="s">
        <v>5141</v>
      </c>
      <c r="F3830">
        <v>314</v>
      </c>
      <c r="G3830">
        <v>0.34900939226519334</v>
      </c>
      <c r="H3830">
        <v>109.58894917127071</v>
      </c>
      <c r="I3830" t="s">
        <v>2354</v>
      </c>
    </row>
    <row r="3831" spans="1:9" x14ac:dyDescent="0.25">
      <c r="A3831" t="s">
        <v>220</v>
      </c>
      <c r="B3831" t="s">
        <v>2351</v>
      </c>
      <c r="C3831" t="s">
        <v>5142</v>
      </c>
      <c r="D3831" t="s">
        <v>5143</v>
      </c>
      <c r="F3831">
        <v>202</v>
      </c>
      <c r="G3831">
        <v>0.46400000000000002</v>
      </c>
      <c r="H3831">
        <v>93.728000000000009</v>
      </c>
      <c r="I3831" t="s">
        <v>2354</v>
      </c>
    </row>
    <row r="3832" spans="1:9" x14ac:dyDescent="0.25">
      <c r="A3832" t="s">
        <v>220</v>
      </c>
      <c r="B3832" t="s">
        <v>2351</v>
      </c>
      <c r="C3832" t="s">
        <v>5144</v>
      </c>
      <c r="D3832" t="s">
        <v>5145</v>
      </c>
      <c r="F3832">
        <v>14</v>
      </c>
      <c r="G3832">
        <v>0.77500000000000002</v>
      </c>
      <c r="H3832">
        <v>10.85</v>
      </c>
      <c r="I3832" t="s">
        <v>2354</v>
      </c>
    </row>
    <row r="3833" spans="1:9" x14ac:dyDescent="0.25">
      <c r="A3833" t="s">
        <v>220</v>
      </c>
      <c r="B3833" t="s">
        <v>2351</v>
      </c>
      <c r="C3833" t="s">
        <v>5146</v>
      </c>
      <c r="D3833" t="s">
        <v>5147</v>
      </c>
      <c r="F3833">
        <v>50</v>
      </c>
      <c r="G3833">
        <v>1.0395066666666666</v>
      </c>
      <c r="H3833">
        <v>51.975333333333332</v>
      </c>
      <c r="I3833" t="s">
        <v>2354</v>
      </c>
    </row>
    <row r="3834" spans="1:9" x14ac:dyDescent="0.25">
      <c r="A3834" t="s">
        <v>220</v>
      </c>
      <c r="B3834" t="s">
        <v>2351</v>
      </c>
      <c r="C3834" t="s">
        <v>5148</v>
      </c>
      <c r="D3834" t="s">
        <v>5149</v>
      </c>
      <c r="F3834">
        <v>4</v>
      </c>
      <c r="G3834">
        <v>0.129</v>
      </c>
      <c r="H3834">
        <v>0.51600000000000001</v>
      </c>
      <c r="I3834" t="s">
        <v>2354</v>
      </c>
    </row>
    <row r="3835" spans="1:9" x14ac:dyDescent="0.25">
      <c r="A3835" t="s">
        <v>220</v>
      </c>
      <c r="B3835" t="s">
        <v>2351</v>
      </c>
      <c r="C3835" t="s">
        <v>5150</v>
      </c>
      <c r="D3835" t="s">
        <v>5151</v>
      </c>
      <c r="F3835">
        <v>2</v>
      </c>
      <c r="G3835">
        <v>0.57779999999999998</v>
      </c>
      <c r="H3835">
        <v>1.1556</v>
      </c>
      <c r="I3835" t="s">
        <v>2354</v>
      </c>
    </row>
    <row r="3836" spans="1:9" x14ac:dyDescent="0.25">
      <c r="A3836" t="s">
        <v>220</v>
      </c>
      <c r="B3836" t="s">
        <v>2351</v>
      </c>
      <c r="C3836" t="s">
        <v>5152</v>
      </c>
      <c r="D3836" t="s">
        <v>5153</v>
      </c>
      <c r="F3836">
        <v>14</v>
      </c>
      <c r="G3836">
        <v>0.39100000000000001</v>
      </c>
      <c r="H3836">
        <v>5.4740000000000002</v>
      </c>
      <c r="I3836" t="s">
        <v>2354</v>
      </c>
    </row>
    <row r="3837" spans="1:9" x14ac:dyDescent="0.25">
      <c r="A3837" t="s">
        <v>220</v>
      </c>
      <c r="B3837" t="s">
        <v>2351</v>
      </c>
      <c r="C3837" t="s">
        <v>5156</v>
      </c>
      <c r="D3837" t="s">
        <v>5157</v>
      </c>
      <c r="F3837">
        <v>5</v>
      </c>
      <c r="G3837">
        <v>47.84</v>
      </c>
      <c r="H3837">
        <v>239.20000000000002</v>
      </c>
      <c r="I3837" t="s">
        <v>2354</v>
      </c>
    </row>
    <row r="3838" spans="1:9" x14ac:dyDescent="0.25">
      <c r="A3838" t="s">
        <v>220</v>
      </c>
      <c r="B3838" t="s">
        <v>2351</v>
      </c>
      <c r="C3838" t="s">
        <v>5158</v>
      </c>
      <c r="D3838" t="s">
        <v>5159</v>
      </c>
      <c r="F3838">
        <v>101</v>
      </c>
      <c r="G3838">
        <v>0.54700000000000004</v>
      </c>
      <c r="H3838">
        <v>55.247000000000007</v>
      </c>
      <c r="I3838" t="s">
        <v>2354</v>
      </c>
    </row>
    <row r="3839" spans="1:9" x14ac:dyDescent="0.25">
      <c r="A3839" t="s">
        <v>220</v>
      </c>
      <c r="B3839" t="s">
        <v>2351</v>
      </c>
      <c r="C3839" t="s">
        <v>5160</v>
      </c>
      <c r="D3839" t="s">
        <v>5161</v>
      </c>
      <c r="F3839">
        <v>4</v>
      </c>
      <c r="G3839">
        <v>6.7910000000000004</v>
      </c>
      <c r="H3839">
        <v>27.164000000000001</v>
      </c>
      <c r="I3839" t="s">
        <v>2354</v>
      </c>
    </row>
    <row r="3840" spans="1:9" x14ac:dyDescent="0.25">
      <c r="A3840" t="s">
        <v>220</v>
      </c>
      <c r="B3840" t="s">
        <v>2351</v>
      </c>
      <c r="C3840" t="s">
        <v>5162</v>
      </c>
      <c r="D3840" t="s">
        <v>5163</v>
      </c>
      <c r="F3840">
        <v>5</v>
      </c>
      <c r="G3840">
        <v>10.92</v>
      </c>
      <c r="H3840">
        <v>54.6</v>
      </c>
      <c r="I3840" t="s">
        <v>2354</v>
      </c>
    </row>
    <row r="3841" spans="1:9" x14ac:dyDescent="0.25">
      <c r="A3841" t="s">
        <v>220</v>
      </c>
      <c r="B3841" t="s">
        <v>2351</v>
      </c>
      <c r="C3841" t="s">
        <v>5164</v>
      </c>
      <c r="D3841" t="s">
        <v>5165</v>
      </c>
      <c r="F3841">
        <v>6</v>
      </c>
      <c r="G3841">
        <v>15.81</v>
      </c>
      <c r="H3841">
        <v>94.86</v>
      </c>
      <c r="I3841" t="s">
        <v>2354</v>
      </c>
    </row>
    <row r="3842" spans="1:9" x14ac:dyDescent="0.25">
      <c r="A3842" t="s">
        <v>220</v>
      </c>
      <c r="B3842" t="s">
        <v>2351</v>
      </c>
      <c r="C3842" t="s">
        <v>5166</v>
      </c>
      <c r="D3842" t="s">
        <v>5167</v>
      </c>
      <c r="F3842">
        <v>4</v>
      </c>
      <c r="G3842">
        <v>6.593</v>
      </c>
      <c r="H3842">
        <v>26.372</v>
      </c>
      <c r="I3842" t="s">
        <v>2354</v>
      </c>
    </row>
    <row r="3843" spans="1:9" x14ac:dyDescent="0.25">
      <c r="A3843" t="s">
        <v>220</v>
      </c>
      <c r="B3843" t="s">
        <v>2351</v>
      </c>
      <c r="C3843" t="s">
        <v>5172</v>
      </c>
      <c r="D3843" t="s">
        <v>5173</v>
      </c>
      <c r="F3843">
        <v>1</v>
      </c>
      <c r="G3843">
        <v>1.63</v>
      </c>
      <c r="H3843">
        <v>1.63</v>
      </c>
      <c r="I3843" t="s">
        <v>2354</v>
      </c>
    </row>
    <row r="3844" spans="1:9" x14ac:dyDescent="0.25">
      <c r="A3844" t="s">
        <v>220</v>
      </c>
      <c r="B3844" t="s">
        <v>2351</v>
      </c>
      <c r="C3844" t="s">
        <v>5174</v>
      </c>
      <c r="D3844" t="s">
        <v>5175</v>
      </c>
      <c r="F3844">
        <v>1</v>
      </c>
      <c r="G3844">
        <v>2.512</v>
      </c>
      <c r="H3844">
        <v>2.512</v>
      </c>
      <c r="I3844" t="s">
        <v>2354</v>
      </c>
    </row>
    <row r="3845" spans="1:9" x14ac:dyDescent="0.25">
      <c r="A3845" t="s">
        <v>220</v>
      </c>
      <c r="B3845" t="s">
        <v>2351</v>
      </c>
      <c r="C3845" t="s">
        <v>5176</v>
      </c>
      <c r="D3845" t="s">
        <v>5177</v>
      </c>
      <c r="F3845">
        <v>3</v>
      </c>
      <c r="G3845">
        <v>3.0259999999999998</v>
      </c>
      <c r="H3845">
        <v>9.0779999999999994</v>
      </c>
      <c r="I3845" t="s">
        <v>2354</v>
      </c>
    </row>
    <row r="3846" spans="1:9" x14ac:dyDescent="0.25">
      <c r="A3846" t="s">
        <v>220</v>
      </c>
      <c r="B3846" t="s">
        <v>2351</v>
      </c>
      <c r="C3846" t="s">
        <v>5178</v>
      </c>
      <c r="D3846" t="s">
        <v>5179</v>
      </c>
      <c r="F3846">
        <v>2</v>
      </c>
      <c r="G3846">
        <v>4.5625526315789475</v>
      </c>
      <c r="H3846">
        <v>9.1251052631578951</v>
      </c>
      <c r="I3846" t="s">
        <v>2354</v>
      </c>
    </row>
    <row r="3847" spans="1:9" x14ac:dyDescent="0.25">
      <c r="A3847" t="s">
        <v>220</v>
      </c>
      <c r="B3847" t="s">
        <v>2351</v>
      </c>
      <c r="C3847" t="s">
        <v>5180</v>
      </c>
      <c r="D3847" t="s">
        <v>5181</v>
      </c>
      <c r="F3847">
        <v>4</v>
      </c>
      <c r="G3847">
        <v>14.04</v>
      </c>
      <c r="H3847">
        <v>56.16</v>
      </c>
      <c r="I3847" t="s">
        <v>2354</v>
      </c>
    </row>
    <row r="3848" spans="1:9" x14ac:dyDescent="0.25">
      <c r="A3848" t="s">
        <v>220</v>
      </c>
      <c r="B3848" t="s">
        <v>2351</v>
      </c>
      <c r="C3848" t="s">
        <v>5182</v>
      </c>
      <c r="D3848" t="s">
        <v>5183</v>
      </c>
      <c r="F3848">
        <v>8</v>
      </c>
      <c r="G3848">
        <v>13.026249999999999</v>
      </c>
      <c r="H3848">
        <v>104.21</v>
      </c>
      <c r="I3848" t="s">
        <v>2354</v>
      </c>
    </row>
    <row r="3849" spans="1:9" x14ac:dyDescent="0.25">
      <c r="A3849" t="s">
        <v>220</v>
      </c>
      <c r="B3849" t="s">
        <v>2351</v>
      </c>
      <c r="C3849" t="s">
        <v>5184</v>
      </c>
      <c r="D3849" t="s">
        <v>5185</v>
      </c>
      <c r="F3849">
        <v>10</v>
      </c>
      <c r="G3849">
        <v>8.6880000000000006</v>
      </c>
      <c r="H3849">
        <v>86.88000000000001</v>
      </c>
      <c r="I3849" t="s">
        <v>2354</v>
      </c>
    </row>
    <row r="3850" spans="1:9" x14ac:dyDescent="0.25">
      <c r="A3850" t="s">
        <v>220</v>
      </c>
      <c r="B3850" t="s">
        <v>2351</v>
      </c>
      <c r="C3850" t="s">
        <v>5186</v>
      </c>
      <c r="D3850" t="s">
        <v>5187</v>
      </c>
      <c r="F3850">
        <v>4</v>
      </c>
      <c r="G3850">
        <v>1.1559999999999999</v>
      </c>
      <c r="H3850">
        <v>4.6239999999999997</v>
      </c>
      <c r="I3850" t="s">
        <v>2354</v>
      </c>
    </row>
    <row r="3851" spans="1:9" x14ac:dyDescent="0.25">
      <c r="A3851" t="s">
        <v>220</v>
      </c>
      <c r="B3851" t="s">
        <v>2351</v>
      </c>
      <c r="C3851" t="s">
        <v>5188</v>
      </c>
      <c r="D3851" t="s">
        <v>5189</v>
      </c>
      <c r="F3851">
        <v>2</v>
      </c>
      <c r="G3851">
        <v>4.6139999999999999</v>
      </c>
      <c r="H3851">
        <v>9.2279999999999998</v>
      </c>
      <c r="I3851" t="s">
        <v>2354</v>
      </c>
    </row>
    <row r="3852" spans="1:9" x14ac:dyDescent="0.25">
      <c r="A3852" t="s">
        <v>220</v>
      </c>
      <c r="B3852" t="s">
        <v>2351</v>
      </c>
      <c r="C3852" t="s">
        <v>5190</v>
      </c>
      <c r="D3852" t="s">
        <v>5191</v>
      </c>
      <c r="F3852">
        <v>5</v>
      </c>
      <c r="G3852">
        <v>0.33700000000000002</v>
      </c>
      <c r="H3852">
        <v>1.6850000000000001</v>
      </c>
      <c r="I3852" t="s">
        <v>2354</v>
      </c>
    </row>
    <row r="3853" spans="1:9" x14ac:dyDescent="0.25">
      <c r="A3853" t="s">
        <v>220</v>
      </c>
      <c r="B3853" t="s">
        <v>2351</v>
      </c>
      <c r="C3853" t="s">
        <v>5192</v>
      </c>
      <c r="D3853" t="s">
        <v>5193</v>
      </c>
      <c r="F3853">
        <v>6</v>
      </c>
      <c r="G3853">
        <v>5.3070000000000004</v>
      </c>
      <c r="H3853">
        <v>31.842000000000002</v>
      </c>
      <c r="I3853" t="s">
        <v>2354</v>
      </c>
    </row>
    <row r="3854" spans="1:9" x14ac:dyDescent="0.25">
      <c r="A3854" t="s">
        <v>220</v>
      </c>
      <c r="B3854" t="s">
        <v>2351</v>
      </c>
      <c r="C3854" t="s">
        <v>5194</v>
      </c>
      <c r="D3854" t="s">
        <v>5195</v>
      </c>
      <c r="F3854">
        <v>4</v>
      </c>
      <c r="G3854">
        <v>0.46500000000000002</v>
      </c>
      <c r="H3854">
        <v>1.86</v>
      </c>
      <c r="I3854" t="s">
        <v>2354</v>
      </c>
    </row>
    <row r="3855" spans="1:9" x14ac:dyDescent="0.25">
      <c r="A3855" t="s">
        <v>220</v>
      </c>
      <c r="B3855" t="s">
        <v>2351</v>
      </c>
      <c r="C3855" t="s">
        <v>5196</v>
      </c>
      <c r="D3855" t="s">
        <v>5197</v>
      </c>
      <c r="F3855">
        <v>9</v>
      </c>
      <c r="G3855">
        <v>0.112</v>
      </c>
      <c r="H3855">
        <v>1.008</v>
      </c>
      <c r="I3855" t="s">
        <v>2354</v>
      </c>
    </row>
    <row r="3856" spans="1:9" x14ac:dyDescent="0.25">
      <c r="A3856" t="s">
        <v>220</v>
      </c>
      <c r="B3856" t="s">
        <v>2351</v>
      </c>
      <c r="C3856" t="s">
        <v>5198</v>
      </c>
      <c r="D3856" t="s">
        <v>5199</v>
      </c>
      <c r="F3856">
        <v>6</v>
      </c>
      <c r="G3856">
        <v>1.0025999999999999</v>
      </c>
      <c r="H3856">
        <v>6.0155999999999992</v>
      </c>
      <c r="I3856" t="s">
        <v>2354</v>
      </c>
    </row>
    <row r="3857" spans="1:9" x14ac:dyDescent="0.25">
      <c r="A3857" t="s">
        <v>220</v>
      </c>
      <c r="B3857" t="s">
        <v>2351</v>
      </c>
      <c r="C3857" t="s">
        <v>5200</v>
      </c>
      <c r="D3857" t="s">
        <v>5201</v>
      </c>
      <c r="F3857">
        <v>6</v>
      </c>
      <c r="G3857">
        <v>0.33700000000000002</v>
      </c>
      <c r="H3857">
        <v>2.0220000000000002</v>
      </c>
      <c r="I3857" t="s">
        <v>2354</v>
      </c>
    </row>
    <row r="3858" spans="1:9" x14ac:dyDescent="0.25">
      <c r="A3858" t="s">
        <v>220</v>
      </c>
      <c r="B3858" t="s">
        <v>2351</v>
      </c>
      <c r="C3858" t="s">
        <v>5202</v>
      </c>
      <c r="D3858" t="s">
        <v>5203</v>
      </c>
      <c r="F3858">
        <v>8</v>
      </c>
      <c r="G3858">
        <v>0.75700000000000001</v>
      </c>
      <c r="H3858">
        <v>6.056</v>
      </c>
      <c r="I3858" t="s">
        <v>2354</v>
      </c>
    </row>
    <row r="3859" spans="1:9" x14ac:dyDescent="0.25">
      <c r="A3859" t="s">
        <v>220</v>
      </c>
      <c r="B3859" t="s">
        <v>2351</v>
      </c>
      <c r="C3859" t="s">
        <v>5204</v>
      </c>
      <c r="D3859" t="s">
        <v>5205</v>
      </c>
      <c r="F3859">
        <v>8</v>
      </c>
      <c r="G3859">
        <v>1.1952</v>
      </c>
      <c r="H3859">
        <v>9.5616000000000003</v>
      </c>
      <c r="I3859" t="s">
        <v>2354</v>
      </c>
    </row>
    <row r="3860" spans="1:9" x14ac:dyDescent="0.25">
      <c r="A3860" t="s">
        <v>220</v>
      </c>
      <c r="B3860" t="s">
        <v>2351</v>
      </c>
      <c r="C3860" t="s">
        <v>5206</v>
      </c>
      <c r="D3860" t="s">
        <v>5207</v>
      </c>
      <c r="F3860">
        <v>10</v>
      </c>
      <c r="G3860">
        <v>1.0109999999999999</v>
      </c>
      <c r="H3860">
        <v>10.11</v>
      </c>
      <c r="I3860" t="s">
        <v>2354</v>
      </c>
    </row>
    <row r="3861" spans="1:9" x14ac:dyDescent="0.25">
      <c r="A3861" t="s">
        <v>220</v>
      </c>
      <c r="B3861" t="s">
        <v>2351</v>
      </c>
      <c r="C3861" t="s">
        <v>5208</v>
      </c>
      <c r="D3861" t="s">
        <v>5209</v>
      </c>
      <c r="F3861">
        <v>3</v>
      </c>
      <c r="G3861">
        <v>1.304</v>
      </c>
      <c r="H3861">
        <v>3.9119999999999999</v>
      </c>
      <c r="I3861" t="s">
        <v>2354</v>
      </c>
    </row>
    <row r="3862" spans="1:9" x14ac:dyDescent="0.25">
      <c r="A3862" t="s">
        <v>220</v>
      </c>
      <c r="B3862" t="s">
        <v>2351</v>
      </c>
      <c r="C3862" t="s">
        <v>5210</v>
      </c>
      <c r="D3862" t="s">
        <v>5211</v>
      </c>
      <c r="F3862">
        <v>3</v>
      </c>
      <c r="G3862">
        <v>1.4</v>
      </c>
      <c r="H3862">
        <v>4.1999999999999993</v>
      </c>
      <c r="I3862" t="s">
        <v>2354</v>
      </c>
    </row>
    <row r="3863" spans="1:9" x14ac:dyDescent="0.25">
      <c r="A3863" t="s">
        <v>220</v>
      </c>
      <c r="B3863" t="s">
        <v>2351</v>
      </c>
      <c r="C3863" t="s">
        <v>5212</v>
      </c>
      <c r="D3863" t="s">
        <v>5213</v>
      </c>
      <c r="F3863">
        <v>1</v>
      </c>
      <c r="G3863">
        <v>2.6070000000000002</v>
      </c>
      <c r="H3863">
        <v>2.6070000000000002</v>
      </c>
      <c r="I3863" t="s">
        <v>2354</v>
      </c>
    </row>
    <row r="3864" spans="1:9" x14ac:dyDescent="0.25">
      <c r="A3864" t="s">
        <v>220</v>
      </c>
      <c r="B3864" t="s">
        <v>2351</v>
      </c>
      <c r="C3864" t="s">
        <v>5214</v>
      </c>
      <c r="D3864" t="s">
        <v>5215</v>
      </c>
      <c r="F3864">
        <v>5</v>
      </c>
      <c r="G3864">
        <v>2.1909999999999998</v>
      </c>
      <c r="H3864">
        <v>10.954999999999998</v>
      </c>
      <c r="I3864" t="s">
        <v>2354</v>
      </c>
    </row>
    <row r="3865" spans="1:9" x14ac:dyDescent="0.25">
      <c r="A3865" t="s">
        <v>220</v>
      </c>
      <c r="B3865" t="s">
        <v>2351</v>
      </c>
      <c r="C3865" t="s">
        <v>5216</v>
      </c>
      <c r="D3865" t="s">
        <v>5217</v>
      </c>
      <c r="F3865">
        <v>7</v>
      </c>
      <c r="G3865">
        <v>3.71</v>
      </c>
      <c r="H3865">
        <v>25.97</v>
      </c>
      <c r="I3865" t="s">
        <v>2354</v>
      </c>
    </row>
    <row r="3866" spans="1:9" x14ac:dyDescent="0.25">
      <c r="A3866" t="s">
        <v>220</v>
      </c>
      <c r="B3866" t="s">
        <v>2351</v>
      </c>
      <c r="C3866" t="s">
        <v>5218</v>
      </c>
      <c r="D3866" t="s">
        <v>5219</v>
      </c>
      <c r="F3866">
        <v>1</v>
      </c>
      <c r="G3866">
        <v>6.718</v>
      </c>
      <c r="H3866">
        <v>6.718</v>
      </c>
      <c r="I3866" t="s">
        <v>2354</v>
      </c>
    </row>
    <row r="3867" spans="1:9" x14ac:dyDescent="0.25">
      <c r="A3867" t="s">
        <v>220</v>
      </c>
      <c r="B3867" t="s">
        <v>2351</v>
      </c>
      <c r="C3867" t="s">
        <v>5392</v>
      </c>
      <c r="D3867" t="s">
        <v>5393</v>
      </c>
      <c r="F3867">
        <v>6</v>
      </c>
      <c r="G3867">
        <v>3.2562000000000002</v>
      </c>
      <c r="H3867">
        <v>19.537200000000002</v>
      </c>
      <c r="I3867" t="s">
        <v>2354</v>
      </c>
    </row>
    <row r="3868" spans="1:9" x14ac:dyDescent="0.25">
      <c r="A3868" t="s">
        <v>220</v>
      </c>
      <c r="B3868" t="s">
        <v>2351</v>
      </c>
      <c r="C3868" t="s">
        <v>5220</v>
      </c>
      <c r="D3868" t="s">
        <v>5221</v>
      </c>
      <c r="F3868">
        <v>1</v>
      </c>
      <c r="G3868">
        <v>9.0962999999999994</v>
      </c>
      <c r="H3868">
        <v>9.0962999999999994</v>
      </c>
      <c r="I3868" t="s">
        <v>2354</v>
      </c>
    </row>
    <row r="3869" spans="1:9" x14ac:dyDescent="0.25">
      <c r="A3869" t="s">
        <v>220</v>
      </c>
      <c r="B3869" t="s">
        <v>2351</v>
      </c>
      <c r="C3869" t="s">
        <v>5222</v>
      </c>
      <c r="D3869" t="s">
        <v>5223</v>
      </c>
      <c r="F3869">
        <v>1</v>
      </c>
      <c r="G3869">
        <v>11.511900000000001</v>
      </c>
      <c r="H3869">
        <v>11.511900000000001</v>
      </c>
      <c r="I3869" t="s">
        <v>2354</v>
      </c>
    </row>
    <row r="3870" spans="1:9" x14ac:dyDescent="0.25">
      <c r="A3870" t="s">
        <v>220</v>
      </c>
      <c r="B3870" t="s">
        <v>2351</v>
      </c>
      <c r="C3870" t="s">
        <v>5224</v>
      </c>
      <c r="D3870" t="s">
        <v>5225</v>
      </c>
      <c r="F3870">
        <v>1</v>
      </c>
      <c r="G3870">
        <v>71.757000000000005</v>
      </c>
      <c r="H3870">
        <v>71.757000000000005</v>
      </c>
      <c r="I3870" t="s">
        <v>2354</v>
      </c>
    </row>
    <row r="3871" spans="1:9" x14ac:dyDescent="0.25">
      <c r="A3871" t="s">
        <v>220</v>
      </c>
      <c r="B3871" t="s">
        <v>2351</v>
      </c>
      <c r="C3871" t="s">
        <v>5226</v>
      </c>
      <c r="D3871" t="s">
        <v>5227</v>
      </c>
      <c r="F3871">
        <v>2</v>
      </c>
      <c r="G3871">
        <v>9.0953999999999997</v>
      </c>
      <c r="H3871">
        <v>18.190799999999999</v>
      </c>
      <c r="I3871" t="s">
        <v>2354</v>
      </c>
    </row>
    <row r="3872" spans="1:9" x14ac:dyDescent="0.25">
      <c r="A3872" t="s">
        <v>220</v>
      </c>
      <c r="B3872" t="s">
        <v>2351</v>
      </c>
      <c r="C3872" t="s">
        <v>5230</v>
      </c>
      <c r="D3872" t="s">
        <v>5231</v>
      </c>
      <c r="F3872">
        <v>2</v>
      </c>
      <c r="G3872">
        <v>4.5199999999999996</v>
      </c>
      <c r="H3872">
        <v>9.0399999999999991</v>
      </c>
      <c r="I3872" t="s">
        <v>2354</v>
      </c>
    </row>
    <row r="3873" spans="1:9" x14ac:dyDescent="0.25">
      <c r="A3873" t="s">
        <v>220</v>
      </c>
      <c r="B3873" t="s">
        <v>2351</v>
      </c>
      <c r="C3873" t="s">
        <v>5240</v>
      </c>
      <c r="D3873" t="s">
        <v>5241</v>
      </c>
      <c r="F3873">
        <v>180</v>
      </c>
      <c r="G3873">
        <v>0.14899999999999999</v>
      </c>
      <c r="H3873">
        <v>26.82</v>
      </c>
      <c r="I3873" t="s">
        <v>2354</v>
      </c>
    </row>
    <row r="3874" spans="1:9" x14ac:dyDescent="0.25">
      <c r="A3874" t="s">
        <v>220</v>
      </c>
      <c r="B3874" t="s">
        <v>2351</v>
      </c>
      <c r="C3874" t="s">
        <v>5246</v>
      </c>
      <c r="D3874" t="s">
        <v>5247</v>
      </c>
      <c r="F3874">
        <v>20</v>
      </c>
      <c r="G3874">
        <v>0.1953</v>
      </c>
      <c r="H3874">
        <v>3.9060000000000001</v>
      </c>
      <c r="I3874" t="s">
        <v>2354</v>
      </c>
    </row>
    <row r="3875" spans="1:9" x14ac:dyDescent="0.25">
      <c r="A3875" t="s">
        <v>220</v>
      </c>
      <c r="B3875" t="s">
        <v>2351</v>
      </c>
      <c r="C3875" t="s">
        <v>5248</v>
      </c>
      <c r="D3875" t="s">
        <v>5249</v>
      </c>
      <c r="F3875">
        <v>17</v>
      </c>
      <c r="G3875">
        <v>0.4788</v>
      </c>
      <c r="H3875">
        <v>8.1395999999999997</v>
      </c>
      <c r="I3875" t="s">
        <v>2354</v>
      </c>
    </row>
    <row r="3876" spans="1:9" x14ac:dyDescent="0.25">
      <c r="A3876" t="s">
        <v>220</v>
      </c>
      <c r="B3876" t="s">
        <v>2351</v>
      </c>
      <c r="C3876" t="s">
        <v>5250</v>
      </c>
      <c r="D3876" t="s">
        <v>5251</v>
      </c>
      <c r="F3876">
        <v>4</v>
      </c>
      <c r="G3876">
        <v>23.079599999999999</v>
      </c>
      <c r="H3876">
        <v>92.318399999999997</v>
      </c>
      <c r="I3876" t="s">
        <v>2354</v>
      </c>
    </row>
    <row r="3877" spans="1:9" x14ac:dyDescent="0.25">
      <c r="A3877" t="s">
        <v>220</v>
      </c>
      <c r="B3877" t="s">
        <v>2351</v>
      </c>
      <c r="C3877" t="s">
        <v>5254</v>
      </c>
      <c r="D3877" t="s">
        <v>5255</v>
      </c>
      <c r="F3877">
        <v>10</v>
      </c>
      <c r="G3877">
        <v>4.6749999999999998</v>
      </c>
      <c r="H3877">
        <v>46.75</v>
      </c>
      <c r="I3877" t="s">
        <v>2354</v>
      </c>
    </row>
    <row r="3878" spans="1:9" x14ac:dyDescent="0.25">
      <c r="A3878" t="s">
        <v>220</v>
      </c>
      <c r="B3878" t="s">
        <v>2351</v>
      </c>
      <c r="C3878" t="s">
        <v>5272</v>
      </c>
      <c r="D3878" t="s">
        <v>5273</v>
      </c>
      <c r="F3878">
        <v>2</v>
      </c>
      <c r="G3878">
        <v>1.619</v>
      </c>
      <c r="H3878">
        <v>3.238</v>
      </c>
      <c r="I3878" t="s">
        <v>2354</v>
      </c>
    </row>
    <row r="3879" spans="1:9" x14ac:dyDescent="0.25">
      <c r="A3879" t="s">
        <v>220</v>
      </c>
      <c r="B3879" t="s">
        <v>2351</v>
      </c>
      <c r="C3879" t="s">
        <v>5394</v>
      </c>
      <c r="D3879" t="s">
        <v>5395</v>
      </c>
      <c r="F3879">
        <v>16</v>
      </c>
      <c r="G3879">
        <v>4.2229999999999999</v>
      </c>
      <c r="H3879">
        <v>67.567999999999998</v>
      </c>
      <c r="I3879" t="s">
        <v>2354</v>
      </c>
    </row>
    <row r="3880" spans="1:9" x14ac:dyDescent="0.25">
      <c r="A3880" t="s">
        <v>220</v>
      </c>
      <c r="B3880" t="s">
        <v>2351</v>
      </c>
      <c r="C3880" t="s">
        <v>5274</v>
      </c>
      <c r="D3880" t="s">
        <v>5275</v>
      </c>
      <c r="F3880">
        <v>4</v>
      </c>
      <c r="G3880">
        <v>7.5750000000000002</v>
      </c>
      <c r="H3880">
        <v>30.3</v>
      </c>
      <c r="I3880" t="s">
        <v>2354</v>
      </c>
    </row>
    <row r="3881" spans="1:9" x14ac:dyDescent="0.25">
      <c r="A3881" t="s">
        <v>220</v>
      </c>
      <c r="B3881" t="s">
        <v>2351</v>
      </c>
      <c r="C3881" t="s">
        <v>5276</v>
      </c>
      <c r="D3881" t="s">
        <v>5277</v>
      </c>
      <c r="F3881">
        <v>3</v>
      </c>
      <c r="G3881">
        <v>6.5650000000000004</v>
      </c>
      <c r="H3881">
        <v>19.695</v>
      </c>
      <c r="I3881" t="s">
        <v>2354</v>
      </c>
    </row>
    <row r="3882" spans="1:9" x14ac:dyDescent="0.25">
      <c r="A3882" t="s">
        <v>220</v>
      </c>
      <c r="B3882" t="s">
        <v>2351</v>
      </c>
      <c r="C3882" t="s">
        <v>5278</v>
      </c>
      <c r="D3882" t="s">
        <v>5279</v>
      </c>
      <c r="F3882">
        <v>25</v>
      </c>
      <c r="G3882">
        <v>7.7345831325301209</v>
      </c>
      <c r="H3882">
        <v>193.36457831325302</v>
      </c>
      <c r="I3882" t="s">
        <v>2354</v>
      </c>
    </row>
    <row r="3883" spans="1:9" x14ac:dyDescent="0.25">
      <c r="A3883" t="s">
        <v>220</v>
      </c>
      <c r="B3883" t="s">
        <v>2351</v>
      </c>
      <c r="C3883" t="s">
        <v>5280</v>
      </c>
      <c r="D3883" t="s">
        <v>5281</v>
      </c>
      <c r="F3883">
        <v>20</v>
      </c>
      <c r="G3883">
        <v>7</v>
      </c>
      <c r="H3883">
        <v>140</v>
      </c>
      <c r="I3883" t="s">
        <v>2354</v>
      </c>
    </row>
    <row r="3884" spans="1:9" x14ac:dyDescent="0.25">
      <c r="A3884" t="s">
        <v>220</v>
      </c>
      <c r="B3884" t="s">
        <v>2351</v>
      </c>
      <c r="C3884" t="s">
        <v>5282</v>
      </c>
      <c r="D3884" t="s">
        <v>5283</v>
      </c>
      <c r="F3884">
        <v>2</v>
      </c>
      <c r="G3884">
        <v>35.293999999999997</v>
      </c>
      <c r="H3884">
        <v>70.587999999999994</v>
      </c>
      <c r="I3884" t="s">
        <v>2354</v>
      </c>
    </row>
    <row r="3885" spans="1:9" x14ac:dyDescent="0.25">
      <c r="A3885" t="s">
        <v>220</v>
      </c>
      <c r="B3885" t="s">
        <v>2351</v>
      </c>
      <c r="C3885" t="s">
        <v>5284</v>
      </c>
      <c r="D3885" t="s">
        <v>5285</v>
      </c>
      <c r="F3885">
        <v>2</v>
      </c>
      <c r="G3885">
        <v>35.561700000000002</v>
      </c>
      <c r="H3885">
        <v>71.123400000000004</v>
      </c>
      <c r="I3885" t="s">
        <v>2354</v>
      </c>
    </row>
    <row r="3886" spans="1:9" x14ac:dyDescent="0.25">
      <c r="A3886" t="s">
        <v>220</v>
      </c>
      <c r="B3886" t="s">
        <v>2351</v>
      </c>
      <c r="C3886" t="s">
        <v>5288</v>
      </c>
      <c r="D3886" t="s">
        <v>5289</v>
      </c>
      <c r="F3886">
        <v>2</v>
      </c>
      <c r="G3886">
        <v>8.1310333333333329</v>
      </c>
      <c r="H3886">
        <v>16.262066666666666</v>
      </c>
      <c r="I3886" t="s">
        <v>2354</v>
      </c>
    </row>
    <row r="3887" spans="1:9" x14ac:dyDescent="0.25">
      <c r="A3887" t="s">
        <v>220</v>
      </c>
      <c r="B3887" t="s">
        <v>2351</v>
      </c>
      <c r="C3887" t="s">
        <v>5290</v>
      </c>
      <c r="D3887" t="s">
        <v>5291</v>
      </c>
      <c r="F3887">
        <v>1</v>
      </c>
      <c r="G3887">
        <v>9.8927999999999994</v>
      </c>
      <c r="H3887">
        <v>9.8927999999999994</v>
      </c>
      <c r="I3887" t="s">
        <v>2354</v>
      </c>
    </row>
    <row r="3888" spans="1:9" x14ac:dyDescent="0.25">
      <c r="A3888" t="s">
        <v>220</v>
      </c>
      <c r="B3888" t="s">
        <v>2351</v>
      </c>
      <c r="C3888" t="s">
        <v>5292</v>
      </c>
      <c r="D3888" t="s">
        <v>5293</v>
      </c>
      <c r="F3888">
        <v>2</v>
      </c>
      <c r="G3888">
        <v>204.1592</v>
      </c>
      <c r="H3888">
        <v>408.3184</v>
      </c>
      <c r="I3888" t="s">
        <v>2354</v>
      </c>
    </row>
    <row r="3889" spans="1:9" x14ac:dyDescent="0.25">
      <c r="A3889" t="s">
        <v>220</v>
      </c>
      <c r="B3889" t="s">
        <v>2351</v>
      </c>
      <c r="C3889" t="s">
        <v>5294</v>
      </c>
      <c r="D3889" t="s">
        <v>5295</v>
      </c>
      <c r="F3889">
        <v>1</v>
      </c>
      <c r="G3889">
        <v>10.160780000000001</v>
      </c>
      <c r="H3889">
        <v>10.160780000000001</v>
      </c>
      <c r="I3889" t="s">
        <v>2354</v>
      </c>
    </row>
    <row r="3890" spans="1:9" x14ac:dyDescent="0.25">
      <c r="A3890" t="s">
        <v>220</v>
      </c>
      <c r="B3890" t="s">
        <v>2351</v>
      </c>
      <c r="C3890" t="s">
        <v>5296</v>
      </c>
      <c r="D3890" t="s">
        <v>2392</v>
      </c>
      <c r="F3890">
        <v>2</v>
      </c>
      <c r="G3890">
        <v>0.59940000000000004</v>
      </c>
      <c r="H3890">
        <v>1.1988000000000001</v>
      </c>
      <c r="I3890" t="s">
        <v>2354</v>
      </c>
    </row>
    <row r="3891" spans="1:9" x14ac:dyDescent="0.25">
      <c r="A3891" t="s">
        <v>220</v>
      </c>
      <c r="B3891" t="s">
        <v>2351</v>
      </c>
      <c r="C3891" t="s">
        <v>5297</v>
      </c>
      <c r="D3891" t="s">
        <v>5298</v>
      </c>
      <c r="F3891">
        <v>4</v>
      </c>
      <c r="G3891">
        <v>1.5021</v>
      </c>
      <c r="H3891">
        <v>6.0084</v>
      </c>
      <c r="I3891" t="s">
        <v>2354</v>
      </c>
    </row>
    <row r="3892" spans="1:9" x14ac:dyDescent="0.25">
      <c r="A3892" t="s">
        <v>220</v>
      </c>
      <c r="B3892" t="s">
        <v>2351</v>
      </c>
      <c r="C3892" t="s">
        <v>5300</v>
      </c>
      <c r="D3892" t="s">
        <v>2393</v>
      </c>
      <c r="F3892">
        <v>2</v>
      </c>
      <c r="G3892">
        <v>2.7349999999999999</v>
      </c>
      <c r="H3892">
        <v>5.47</v>
      </c>
      <c r="I3892" t="s">
        <v>2354</v>
      </c>
    </row>
    <row r="3893" spans="1:9" x14ac:dyDescent="0.25">
      <c r="A3893" t="s">
        <v>220</v>
      </c>
      <c r="B3893" t="s">
        <v>2351</v>
      </c>
      <c r="C3893" t="s">
        <v>5301</v>
      </c>
      <c r="D3893" t="s">
        <v>5302</v>
      </c>
      <c r="F3893">
        <v>3</v>
      </c>
      <c r="G3893">
        <v>8.7498000000000005</v>
      </c>
      <c r="H3893">
        <v>26.249400000000001</v>
      </c>
      <c r="I3893" t="s">
        <v>2354</v>
      </c>
    </row>
    <row r="3894" spans="1:9" x14ac:dyDescent="0.25">
      <c r="A3894" t="s">
        <v>220</v>
      </c>
      <c r="B3894" t="s">
        <v>2351</v>
      </c>
      <c r="D3894" t="s">
        <v>2364</v>
      </c>
      <c r="F3894">
        <v>1</v>
      </c>
      <c r="G3894">
        <v>47.624000000000002</v>
      </c>
      <c r="H3894">
        <v>47.624000000000002</v>
      </c>
      <c r="I3894" t="s">
        <v>2354</v>
      </c>
    </row>
    <row r="3895" spans="1:9" x14ac:dyDescent="0.25">
      <c r="A3895" t="s">
        <v>220</v>
      </c>
      <c r="B3895" t="s">
        <v>2351</v>
      </c>
      <c r="D3895" t="s">
        <v>2360</v>
      </c>
      <c r="F3895">
        <v>2</v>
      </c>
      <c r="G3895">
        <v>15.882</v>
      </c>
      <c r="H3895">
        <v>31.763999999999999</v>
      </c>
      <c r="I3895" t="s">
        <v>2354</v>
      </c>
    </row>
    <row r="3896" spans="1:9" x14ac:dyDescent="0.25">
      <c r="A3896" t="s">
        <v>220</v>
      </c>
      <c r="B3896" t="s">
        <v>2351</v>
      </c>
      <c r="D3896" t="s">
        <v>2406</v>
      </c>
      <c r="F3896">
        <v>10</v>
      </c>
      <c r="G3896">
        <v>14.94</v>
      </c>
      <c r="H3896">
        <v>149.4</v>
      </c>
      <c r="I3896" t="s">
        <v>2354</v>
      </c>
    </row>
    <row r="3897" spans="1:9" x14ac:dyDescent="0.25">
      <c r="A3897" t="s">
        <v>220</v>
      </c>
      <c r="B3897" t="s">
        <v>2351</v>
      </c>
      <c r="D3897" t="s">
        <v>2398</v>
      </c>
      <c r="F3897">
        <v>36</v>
      </c>
      <c r="G3897">
        <v>11.939</v>
      </c>
      <c r="H3897">
        <v>429.80399999999997</v>
      </c>
      <c r="I3897" t="s">
        <v>2354</v>
      </c>
    </row>
    <row r="3898" spans="1:9" x14ac:dyDescent="0.25">
      <c r="A3898" t="s">
        <v>220</v>
      </c>
      <c r="B3898" t="s">
        <v>2351</v>
      </c>
      <c r="D3898" t="s">
        <v>2403</v>
      </c>
      <c r="F3898">
        <v>3</v>
      </c>
      <c r="G3898">
        <v>7.5110000000000001</v>
      </c>
      <c r="H3898">
        <v>22.533000000000001</v>
      </c>
      <c r="I3898" t="s">
        <v>2354</v>
      </c>
    </row>
    <row r="3899" spans="1:9" x14ac:dyDescent="0.25">
      <c r="A3899" t="s">
        <v>220</v>
      </c>
      <c r="B3899" t="s">
        <v>2351</v>
      </c>
      <c r="D3899" t="s">
        <v>2395</v>
      </c>
      <c r="F3899">
        <v>5</v>
      </c>
      <c r="G3899">
        <v>4.5789999999999997</v>
      </c>
      <c r="H3899">
        <v>22.895</v>
      </c>
      <c r="I3899" t="s">
        <v>2354</v>
      </c>
    </row>
    <row r="3900" spans="1:9" x14ac:dyDescent="0.25">
      <c r="A3900" t="s">
        <v>220</v>
      </c>
      <c r="B3900" t="s">
        <v>2351</v>
      </c>
      <c r="D3900" t="s">
        <v>2357</v>
      </c>
      <c r="F3900">
        <v>10</v>
      </c>
      <c r="G3900">
        <v>3.9660000000000002</v>
      </c>
      <c r="H3900">
        <v>39.660000000000004</v>
      </c>
      <c r="I3900" t="s">
        <v>2354</v>
      </c>
    </row>
    <row r="3901" spans="1:9" x14ac:dyDescent="0.25">
      <c r="A3901" t="s">
        <v>220</v>
      </c>
      <c r="B3901" t="s">
        <v>2351</v>
      </c>
      <c r="D3901" t="s">
        <v>2397</v>
      </c>
      <c r="F3901">
        <v>20</v>
      </c>
      <c r="G3901">
        <v>2.5550000000000002</v>
      </c>
      <c r="H3901">
        <v>51.1</v>
      </c>
      <c r="I3901" t="s">
        <v>2354</v>
      </c>
    </row>
    <row r="3902" spans="1:9" x14ac:dyDescent="0.25">
      <c r="A3902" t="s">
        <v>220</v>
      </c>
      <c r="B3902" t="s">
        <v>2351</v>
      </c>
      <c r="D3902" t="s">
        <v>2394</v>
      </c>
      <c r="F3902">
        <v>20</v>
      </c>
      <c r="G3902">
        <v>1.8917999999999999</v>
      </c>
      <c r="H3902">
        <v>37.835999999999999</v>
      </c>
      <c r="I3902" t="s">
        <v>2354</v>
      </c>
    </row>
    <row r="3903" spans="1:9" x14ac:dyDescent="0.25">
      <c r="A3903" t="s">
        <v>220</v>
      </c>
      <c r="B3903" t="s">
        <v>2351</v>
      </c>
      <c r="D3903" t="s">
        <v>2401</v>
      </c>
      <c r="F3903">
        <v>20</v>
      </c>
      <c r="G3903">
        <v>1.619</v>
      </c>
      <c r="H3903">
        <v>32.380000000000003</v>
      </c>
      <c r="I3903" t="s">
        <v>2354</v>
      </c>
    </row>
    <row r="3904" spans="1:9" x14ac:dyDescent="0.25">
      <c r="A3904" t="s">
        <v>220</v>
      </c>
      <c r="B3904" t="s">
        <v>2351</v>
      </c>
      <c r="D3904" t="s">
        <v>2396</v>
      </c>
      <c r="F3904">
        <v>5</v>
      </c>
      <c r="G3904">
        <v>1.4990000000000001</v>
      </c>
      <c r="H3904">
        <v>7.495000000000001</v>
      </c>
      <c r="I3904" t="s">
        <v>2354</v>
      </c>
    </row>
    <row r="3905" spans="1:9" x14ac:dyDescent="0.25">
      <c r="A3905" t="s">
        <v>220</v>
      </c>
      <c r="B3905" t="s">
        <v>2351</v>
      </c>
      <c r="D3905" t="s">
        <v>2393</v>
      </c>
      <c r="F3905">
        <v>50</v>
      </c>
      <c r="G3905">
        <v>2.7349999999999999</v>
      </c>
      <c r="H3905">
        <v>136.75</v>
      </c>
      <c r="I3905" t="s">
        <v>2354</v>
      </c>
    </row>
    <row r="3906" spans="1:9" x14ac:dyDescent="0.25">
      <c r="A3906" t="s">
        <v>220</v>
      </c>
      <c r="B3906" t="s">
        <v>2351</v>
      </c>
      <c r="D3906" t="s">
        <v>2399</v>
      </c>
      <c r="F3906">
        <v>20</v>
      </c>
      <c r="G3906">
        <v>0.85499999999999998</v>
      </c>
      <c r="H3906">
        <v>17.100000000000001</v>
      </c>
      <c r="I3906" t="s">
        <v>2354</v>
      </c>
    </row>
    <row r="3907" spans="1:9" x14ac:dyDescent="0.25">
      <c r="A3907" t="s">
        <v>220</v>
      </c>
      <c r="B3907" t="s">
        <v>2351</v>
      </c>
      <c r="D3907" t="s">
        <v>2392</v>
      </c>
      <c r="F3907">
        <v>5</v>
      </c>
      <c r="G3907">
        <v>0.59940000000000004</v>
      </c>
      <c r="H3907">
        <v>2.9970000000000003</v>
      </c>
      <c r="I3907" t="s">
        <v>2354</v>
      </c>
    </row>
    <row r="3908" spans="1:9" x14ac:dyDescent="0.25">
      <c r="A3908" t="s">
        <v>220</v>
      </c>
      <c r="B3908" t="s">
        <v>2351</v>
      </c>
      <c r="D3908" t="s">
        <v>2400</v>
      </c>
      <c r="F3908">
        <v>20</v>
      </c>
      <c r="G3908">
        <v>0.48</v>
      </c>
      <c r="H3908">
        <v>9.6</v>
      </c>
      <c r="I3908" t="s">
        <v>2354</v>
      </c>
    </row>
    <row r="3909" spans="1:9" x14ac:dyDescent="0.25">
      <c r="A3909" t="s">
        <v>220</v>
      </c>
      <c r="B3909" t="s">
        <v>2351</v>
      </c>
      <c r="D3909" t="s">
        <v>2390</v>
      </c>
      <c r="F3909">
        <v>50</v>
      </c>
      <c r="G3909">
        <v>0.1061</v>
      </c>
      <c r="H3909">
        <v>5.3049999999999997</v>
      </c>
      <c r="I3909" t="s">
        <v>2354</v>
      </c>
    </row>
    <row r="3910" spans="1:9" x14ac:dyDescent="0.25">
      <c r="A3910" t="s">
        <v>220</v>
      </c>
      <c r="B3910" t="s">
        <v>2351</v>
      </c>
      <c r="D3910" t="s">
        <v>2389</v>
      </c>
      <c r="F3910">
        <v>100</v>
      </c>
      <c r="G3910">
        <v>9.5459999999999989E-2</v>
      </c>
      <c r="H3910">
        <v>9.5459999999999994</v>
      </c>
      <c r="I3910" t="s">
        <v>2354</v>
      </c>
    </row>
    <row r="3911" spans="1:9" x14ac:dyDescent="0.25">
      <c r="A3911" t="s">
        <v>220</v>
      </c>
      <c r="B3911" t="s">
        <v>2351</v>
      </c>
      <c r="D3911" t="s">
        <v>2388</v>
      </c>
      <c r="F3911">
        <v>100</v>
      </c>
      <c r="G3911">
        <v>7.739E-2</v>
      </c>
      <c r="H3911">
        <v>7.7389999999999999</v>
      </c>
      <c r="I3911" t="s">
        <v>2354</v>
      </c>
    </row>
    <row r="3912" spans="1:9" x14ac:dyDescent="0.25">
      <c r="A3912" t="s">
        <v>220</v>
      </c>
      <c r="B3912" t="s">
        <v>2351</v>
      </c>
      <c r="D3912" t="s">
        <v>2391</v>
      </c>
      <c r="F3912">
        <v>100</v>
      </c>
      <c r="G3912">
        <v>7.4270000000000003E-2</v>
      </c>
      <c r="H3912">
        <v>7.4270000000000005</v>
      </c>
      <c r="I3912" t="s">
        <v>2354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00B050"/>
  </sheetPr>
  <dimension ref="A2:L4152"/>
  <sheetViews>
    <sheetView zoomScale="70" zoomScaleNormal="70" workbookViewId="0">
      <selection activeCell="H27" sqref="H27"/>
    </sheetView>
  </sheetViews>
  <sheetFormatPr baseColWidth="10" defaultRowHeight="15" x14ac:dyDescent="0.25"/>
  <cols>
    <col min="1" max="1" width="4.5703125" style="468" bestFit="1" customWidth="1"/>
    <col min="2" max="2" width="18.7109375" style="468" bestFit="1" customWidth="1"/>
    <col min="3" max="3" width="21.42578125" style="468" customWidth="1"/>
    <col min="4" max="4" width="33.85546875" style="468" customWidth="1"/>
    <col min="5" max="5" width="5.5703125" style="468" bestFit="1" customWidth="1"/>
    <col min="6" max="6" width="20.85546875" style="470" customWidth="1"/>
    <col min="7" max="7" width="12" style="468" customWidth="1"/>
    <col min="8" max="8" width="35.28515625" style="468" customWidth="1"/>
    <col min="9" max="9" width="16.140625" style="468" customWidth="1"/>
    <col min="10" max="10" width="25.42578125" style="468" bestFit="1" customWidth="1"/>
    <col min="11" max="11" width="22.7109375" style="468" customWidth="1"/>
    <col min="12" max="16384" width="11.42578125" style="468"/>
  </cols>
  <sheetData>
    <row r="2" spans="1:12" x14ac:dyDescent="0.25">
      <c r="B2" t="s">
        <v>9482</v>
      </c>
      <c r="C2" s="1"/>
      <c r="D2"/>
    </row>
    <row r="3" spans="1:12" x14ac:dyDescent="0.25">
      <c r="B3" s="486" t="s">
        <v>7563</v>
      </c>
      <c r="C3" s="487" t="s">
        <v>7564</v>
      </c>
      <c r="D3"/>
    </row>
    <row r="4" spans="1:12" x14ac:dyDescent="0.25">
      <c r="B4" s="488" t="s">
        <v>1911</v>
      </c>
      <c r="C4" s="490">
        <v>449064.13861460722</v>
      </c>
      <c r="D4"/>
    </row>
    <row r="5" spans="1:12" x14ac:dyDescent="0.25">
      <c r="B5" s="488" t="s">
        <v>541</v>
      </c>
      <c r="C5" s="490">
        <v>10569545.59685158</v>
      </c>
      <c r="D5"/>
    </row>
    <row r="6" spans="1:12" x14ac:dyDescent="0.25">
      <c r="B6" s="488" t="s">
        <v>2354</v>
      </c>
      <c r="C6" s="490">
        <v>719913.00685420865</v>
      </c>
      <c r="D6"/>
    </row>
    <row r="7" spans="1:12" x14ac:dyDescent="0.25">
      <c r="B7" s="488" t="s">
        <v>536</v>
      </c>
      <c r="C7" s="490">
        <v>3657746.9333599582</v>
      </c>
      <c r="D7"/>
    </row>
    <row r="8" spans="1:12" x14ac:dyDescent="0.25">
      <c r="B8" s="488" t="s">
        <v>7565</v>
      </c>
      <c r="C8" s="490">
        <v>15396269.675680354</v>
      </c>
      <c r="D8"/>
    </row>
    <row r="9" spans="1:12" x14ac:dyDescent="0.25">
      <c r="B9"/>
      <c r="C9" s="1"/>
      <c r="D9"/>
    </row>
    <row r="10" spans="1:12" ht="15.75" thickBot="1" x14ac:dyDescent="0.3">
      <c r="B10"/>
      <c r="C10" s="1"/>
      <c r="D10"/>
    </row>
    <row r="11" spans="1:12" ht="16.5" thickBot="1" x14ac:dyDescent="0.3">
      <c r="D11" s="469" t="s">
        <v>8987</v>
      </c>
      <c r="H11" s="489">
        <v>15396269.675680425</v>
      </c>
      <c r="I11" s="471">
        <v>15392838.533927498</v>
      </c>
      <c r="J11" s="468">
        <v>3431.1417529266328</v>
      </c>
      <c r="K11" s="472"/>
    </row>
    <row r="13" spans="1:12" x14ac:dyDescent="0.25">
      <c r="A13" s="473" t="s">
        <v>524</v>
      </c>
      <c r="B13" s="473" t="s">
        <v>525</v>
      </c>
      <c r="C13" s="473" t="s">
        <v>526</v>
      </c>
      <c r="D13" s="473" t="s">
        <v>527</v>
      </c>
      <c r="E13" s="473" t="s">
        <v>528</v>
      </c>
      <c r="F13" s="474" t="s">
        <v>8988</v>
      </c>
      <c r="G13" s="473" t="s">
        <v>7406</v>
      </c>
      <c r="H13" s="473" t="s">
        <v>7407</v>
      </c>
      <c r="I13" s="475" t="s">
        <v>8989</v>
      </c>
      <c r="J13" s="475" t="s">
        <v>8990</v>
      </c>
      <c r="K13" s="468" t="s">
        <v>8991</v>
      </c>
      <c r="L13" s="475" t="s">
        <v>9483</v>
      </c>
    </row>
    <row r="14" spans="1:12" x14ac:dyDescent="0.25">
      <c r="A14" s="476" t="s">
        <v>747</v>
      </c>
      <c r="B14" s="476" t="s">
        <v>781</v>
      </c>
      <c r="C14" s="476" t="s">
        <v>782</v>
      </c>
      <c r="D14" s="476" t="s">
        <v>783</v>
      </c>
      <c r="E14" s="476" t="s">
        <v>535</v>
      </c>
      <c r="F14" s="477">
        <v>84960</v>
      </c>
      <c r="G14" s="478">
        <v>2.1937261647956099</v>
      </c>
      <c r="H14" s="479">
        <v>186378.97496103501</v>
      </c>
      <c r="I14" s="480" t="s">
        <v>8992</v>
      </c>
      <c r="J14" s="468" t="s">
        <v>8993</v>
      </c>
      <c r="K14" s="468" t="s">
        <v>8994</v>
      </c>
      <c r="L14" s="468" t="s">
        <v>541</v>
      </c>
    </row>
    <row r="15" spans="1:12" x14ac:dyDescent="0.25">
      <c r="A15" s="476" t="s">
        <v>747</v>
      </c>
      <c r="B15" s="476" t="s">
        <v>781</v>
      </c>
      <c r="C15" s="476" t="s">
        <v>784</v>
      </c>
      <c r="D15" s="476" t="s">
        <v>785</v>
      </c>
      <c r="E15" s="476" t="s">
        <v>535</v>
      </c>
      <c r="F15" s="477">
        <v>89527</v>
      </c>
      <c r="G15" s="478">
        <v>3.2268057706265343</v>
      </c>
      <c r="H15" s="479">
        <v>288886.24022688175</v>
      </c>
      <c r="I15" s="480" t="s">
        <v>8992</v>
      </c>
      <c r="J15" s="468" t="s">
        <v>8993</v>
      </c>
      <c r="K15" s="468" t="s">
        <v>8994</v>
      </c>
      <c r="L15" s="468" t="s">
        <v>541</v>
      </c>
    </row>
    <row r="16" spans="1:12" x14ac:dyDescent="0.25">
      <c r="A16" s="476" t="s">
        <v>747</v>
      </c>
      <c r="B16" s="476" t="s">
        <v>781</v>
      </c>
      <c r="C16" s="476" t="s">
        <v>790</v>
      </c>
      <c r="D16" s="476" t="s">
        <v>791</v>
      </c>
      <c r="E16" s="476" t="s">
        <v>535</v>
      </c>
      <c r="F16" s="477">
        <v>5500</v>
      </c>
      <c r="G16" s="478">
        <v>2.6029441871061696</v>
      </c>
      <c r="H16" s="479">
        <v>14316.193029083934</v>
      </c>
      <c r="I16" s="480" t="s">
        <v>8992</v>
      </c>
      <c r="J16" s="468" t="s">
        <v>8993</v>
      </c>
      <c r="K16" s="468" t="s">
        <v>8994</v>
      </c>
      <c r="L16" s="468" t="s">
        <v>541</v>
      </c>
    </row>
    <row r="17" spans="1:12" x14ac:dyDescent="0.25">
      <c r="A17" s="476" t="s">
        <v>747</v>
      </c>
      <c r="B17" s="476" t="s">
        <v>781</v>
      </c>
      <c r="C17" s="476" t="s">
        <v>788</v>
      </c>
      <c r="D17" s="476" t="s">
        <v>8995</v>
      </c>
      <c r="E17" s="476"/>
      <c r="F17" s="477">
        <v>17600</v>
      </c>
      <c r="G17" s="478">
        <v>3.7270552598179685</v>
      </c>
      <c r="H17" s="479">
        <v>65596.172572796248</v>
      </c>
      <c r="I17" s="480" t="s">
        <v>8992</v>
      </c>
      <c r="J17" s="468" t="s">
        <v>8993</v>
      </c>
      <c r="K17" s="468" t="s">
        <v>8994</v>
      </c>
      <c r="L17" s="468" t="s">
        <v>541</v>
      </c>
    </row>
    <row r="18" spans="1:12" x14ac:dyDescent="0.25">
      <c r="A18" s="476" t="s">
        <v>747</v>
      </c>
      <c r="B18" s="476" t="s">
        <v>781</v>
      </c>
      <c r="C18" s="476" t="s">
        <v>753</v>
      </c>
      <c r="D18" s="476" t="s">
        <v>754</v>
      </c>
      <c r="E18" s="476" t="s">
        <v>535</v>
      </c>
      <c r="F18" s="477">
        <v>1150</v>
      </c>
      <c r="G18" s="478">
        <v>1.4955574987911482</v>
      </c>
      <c r="H18" s="479">
        <v>1719.8911236098204</v>
      </c>
      <c r="I18" s="480" t="s">
        <v>8992</v>
      </c>
      <c r="J18" s="468" t="s">
        <v>541</v>
      </c>
      <c r="K18" s="468" t="s">
        <v>8996</v>
      </c>
      <c r="L18" s="468" t="s">
        <v>541</v>
      </c>
    </row>
    <row r="19" spans="1:12" x14ac:dyDescent="0.25">
      <c r="A19" s="476" t="s">
        <v>747</v>
      </c>
      <c r="B19" s="476" t="s">
        <v>781</v>
      </c>
      <c r="C19" s="476" t="s">
        <v>755</v>
      </c>
      <c r="D19" s="476" t="s">
        <v>756</v>
      </c>
      <c r="E19" s="476" t="s">
        <v>535</v>
      </c>
      <c r="F19" s="477">
        <v>800</v>
      </c>
      <c r="G19" s="478">
        <v>4.6102952500472769</v>
      </c>
      <c r="H19" s="479">
        <v>3688.2362000378216</v>
      </c>
      <c r="I19" s="480" t="s">
        <v>8992</v>
      </c>
      <c r="J19" s="468" t="s">
        <v>541</v>
      </c>
      <c r="K19" s="468" t="s">
        <v>8996</v>
      </c>
      <c r="L19" s="468" t="s">
        <v>541</v>
      </c>
    </row>
    <row r="20" spans="1:12" x14ac:dyDescent="0.25">
      <c r="A20" s="476" t="s">
        <v>747</v>
      </c>
      <c r="B20" s="476" t="s">
        <v>781</v>
      </c>
      <c r="C20" s="476" t="s">
        <v>757</v>
      </c>
      <c r="D20" s="476" t="s">
        <v>758</v>
      </c>
      <c r="E20" s="476" t="s">
        <v>535</v>
      </c>
      <c r="F20" s="477">
        <v>14</v>
      </c>
      <c r="G20" s="478">
        <v>18.295329273500254</v>
      </c>
      <c r="H20" s="479">
        <v>256.13460982900358</v>
      </c>
      <c r="I20" s="480" t="s">
        <v>8992</v>
      </c>
      <c r="J20" s="468" t="s">
        <v>541</v>
      </c>
      <c r="K20" s="468" t="s">
        <v>8996</v>
      </c>
      <c r="L20" s="468" t="s">
        <v>541</v>
      </c>
    </row>
    <row r="21" spans="1:12" x14ac:dyDescent="0.25">
      <c r="A21" s="476" t="s">
        <v>747</v>
      </c>
      <c r="B21" s="476" t="s">
        <v>781</v>
      </c>
      <c r="C21" s="476" t="s">
        <v>759</v>
      </c>
      <c r="D21" s="476" t="s">
        <v>760</v>
      </c>
      <c r="E21" s="476" t="s">
        <v>535</v>
      </c>
      <c r="F21" s="477">
        <v>23</v>
      </c>
      <c r="G21" s="478">
        <v>214.09332923336098</v>
      </c>
      <c r="H21" s="479">
        <v>4924.1465723673027</v>
      </c>
      <c r="I21" s="480" t="s">
        <v>8992</v>
      </c>
      <c r="J21" s="468" t="s">
        <v>541</v>
      </c>
      <c r="K21" s="468" t="s">
        <v>8996</v>
      </c>
      <c r="L21" s="468" t="s">
        <v>541</v>
      </c>
    </row>
    <row r="22" spans="1:12" x14ac:dyDescent="0.25">
      <c r="A22" s="476" t="s">
        <v>747</v>
      </c>
      <c r="B22" s="476" t="s">
        <v>781</v>
      </c>
      <c r="C22" s="476" t="s">
        <v>705</v>
      </c>
      <c r="D22" s="476" t="s">
        <v>792</v>
      </c>
      <c r="E22" s="476" t="s">
        <v>535</v>
      </c>
      <c r="F22" s="477">
        <v>25</v>
      </c>
      <c r="G22" s="478">
        <v>3.1348770077786101</v>
      </c>
      <c r="H22" s="479">
        <v>78.371925194465248</v>
      </c>
      <c r="I22" s="480" t="s">
        <v>8992</v>
      </c>
      <c r="J22" s="468" t="s">
        <v>541</v>
      </c>
      <c r="K22" s="468" t="s">
        <v>8996</v>
      </c>
      <c r="L22" s="468" t="s">
        <v>541</v>
      </c>
    </row>
    <row r="23" spans="1:12" x14ac:dyDescent="0.25">
      <c r="A23" s="476" t="s">
        <v>747</v>
      </c>
      <c r="B23" s="476" t="s">
        <v>781</v>
      </c>
      <c r="C23" s="476" t="s">
        <v>775</v>
      </c>
      <c r="D23" s="476" t="s">
        <v>793</v>
      </c>
      <c r="E23" s="476" t="s">
        <v>535</v>
      </c>
      <c r="F23" s="477">
        <v>1075</v>
      </c>
      <c r="G23" s="478">
        <v>2.7142732054286474</v>
      </c>
      <c r="H23" s="479">
        <v>2917.8436958357961</v>
      </c>
      <c r="I23" s="480" t="s">
        <v>8992</v>
      </c>
      <c r="J23" s="468" t="s">
        <v>541</v>
      </c>
      <c r="K23" s="468" t="s">
        <v>8996</v>
      </c>
      <c r="L23" s="468" t="s">
        <v>541</v>
      </c>
    </row>
    <row r="24" spans="1:12" x14ac:dyDescent="0.25">
      <c r="A24" s="476" t="s">
        <v>747</v>
      </c>
      <c r="B24" s="476" t="s">
        <v>781</v>
      </c>
      <c r="C24" s="476" t="s">
        <v>799</v>
      </c>
      <c r="D24" s="476" t="s">
        <v>800</v>
      </c>
      <c r="E24" s="476" t="s">
        <v>535</v>
      </c>
      <c r="F24" s="477">
        <v>20971</v>
      </c>
      <c r="G24" s="481">
        <v>5.003994495928489</v>
      </c>
      <c r="H24" s="479">
        <v>104938.76857411634</v>
      </c>
      <c r="I24" s="480" t="s">
        <v>8992</v>
      </c>
      <c r="J24" s="468" t="s">
        <v>8993</v>
      </c>
      <c r="K24" s="468" t="s">
        <v>8994</v>
      </c>
      <c r="L24" s="468" t="s">
        <v>541</v>
      </c>
    </row>
    <row r="25" spans="1:12" x14ac:dyDescent="0.25">
      <c r="A25" s="476" t="s">
        <v>747</v>
      </c>
      <c r="B25" s="476" t="s">
        <v>781</v>
      </c>
      <c r="C25" s="476" t="s">
        <v>767</v>
      </c>
      <c r="D25" s="476" t="s">
        <v>768</v>
      </c>
      <c r="E25" s="476" t="s">
        <v>535</v>
      </c>
      <c r="F25" s="477">
        <v>700</v>
      </c>
      <c r="G25" s="478">
        <v>1.3063477063447397</v>
      </c>
      <c r="H25" s="479">
        <v>914.44339444131776</v>
      </c>
      <c r="I25" s="480" t="s">
        <v>8992</v>
      </c>
      <c r="J25" s="468" t="s">
        <v>541</v>
      </c>
      <c r="K25" s="468" t="s">
        <v>8996</v>
      </c>
      <c r="L25" s="468" t="s">
        <v>541</v>
      </c>
    </row>
    <row r="26" spans="1:12" x14ac:dyDescent="0.25">
      <c r="A26" s="476" t="s">
        <v>747</v>
      </c>
      <c r="B26" s="476" t="s">
        <v>781</v>
      </c>
      <c r="C26" s="476" t="s">
        <v>8997</v>
      </c>
      <c r="D26" s="476" t="s">
        <v>8998</v>
      </c>
      <c r="E26" s="476" t="s">
        <v>535</v>
      </c>
      <c r="F26" s="477">
        <v>76</v>
      </c>
      <c r="G26" s="478">
        <v>5.8275862068965516</v>
      </c>
      <c r="H26" s="479">
        <v>442.89655172413791</v>
      </c>
      <c r="I26" s="480" t="s">
        <v>8992</v>
      </c>
      <c r="J26" s="468" t="s">
        <v>541</v>
      </c>
      <c r="K26" s="468" t="s">
        <v>8996</v>
      </c>
      <c r="L26" s="468" t="s">
        <v>541</v>
      </c>
    </row>
    <row r="27" spans="1:12" x14ac:dyDescent="0.25">
      <c r="A27" s="476" t="s">
        <v>747</v>
      </c>
      <c r="B27" s="476" t="s">
        <v>748</v>
      </c>
      <c r="C27" s="476" t="s">
        <v>751</v>
      </c>
      <c r="D27" s="476" t="s">
        <v>7689</v>
      </c>
      <c r="E27" s="476" t="s">
        <v>535</v>
      </c>
      <c r="F27" s="477">
        <v>757</v>
      </c>
      <c r="G27" s="481">
        <v>33.640619722298368</v>
      </c>
      <c r="H27" s="479">
        <v>25465.949129779863</v>
      </c>
      <c r="I27" s="480" t="s">
        <v>8992</v>
      </c>
      <c r="J27" s="468" t="s">
        <v>8993</v>
      </c>
      <c r="K27" s="468" t="s">
        <v>8996</v>
      </c>
      <c r="L27" s="468" t="s">
        <v>541</v>
      </c>
    </row>
    <row r="28" spans="1:12" x14ac:dyDescent="0.25">
      <c r="A28" s="476" t="s">
        <v>747</v>
      </c>
      <c r="B28" s="476" t="s">
        <v>748</v>
      </c>
      <c r="C28" s="476" t="s">
        <v>751</v>
      </c>
      <c r="D28" s="476" t="s">
        <v>7690</v>
      </c>
      <c r="E28" s="476" t="s">
        <v>535</v>
      </c>
      <c r="F28" s="477">
        <v>450</v>
      </c>
      <c r="G28" s="481">
        <v>33.640619722298368</v>
      </c>
      <c r="H28" s="479">
        <v>15138.278875034266</v>
      </c>
      <c r="I28" s="480" t="s">
        <v>8992</v>
      </c>
      <c r="J28" s="468" t="s">
        <v>8993</v>
      </c>
      <c r="K28" s="468" t="s">
        <v>8996</v>
      </c>
      <c r="L28" s="468" t="s">
        <v>541</v>
      </c>
    </row>
    <row r="29" spans="1:12" x14ac:dyDescent="0.25">
      <c r="A29" s="476" t="s">
        <v>747</v>
      </c>
      <c r="B29" s="476" t="s">
        <v>748</v>
      </c>
      <c r="C29" s="476" t="s">
        <v>753</v>
      </c>
      <c r="D29" s="476" t="s">
        <v>754</v>
      </c>
      <c r="E29" s="476" t="s">
        <v>535</v>
      </c>
      <c r="F29" s="477">
        <v>8000</v>
      </c>
      <c r="G29" s="478">
        <v>1.4955574987911482</v>
      </c>
      <c r="H29" s="479">
        <v>11964.459990329186</v>
      </c>
      <c r="I29" s="480" t="s">
        <v>8992</v>
      </c>
      <c r="J29" s="468" t="s">
        <v>541</v>
      </c>
      <c r="K29" s="468" t="s">
        <v>8996</v>
      </c>
      <c r="L29" s="468" t="s">
        <v>541</v>
      </c>
    </row>
    <row r="30" spans="1:12" x14ac:dyDescent="0.25">
      <c r="A30" s="476" t="s">
        <v>747</v>
      </c>
      <c r="B30" s="476" t="s">
        <v>748</v>
      </c>
      <c r="C30" s="476" t="s">
        <v>755</v>
      </c>
      <c r="D30" s="476" t="s">
        <v>7691</v>
      </c>
      <c r="E30" s="476" t="s">
        <v>535</v>
      </c>
      <c r="F30" s="477">
        <v>18800</v>
      </c>
      <c r="G30" s="478">
        <v>4.6102952500472769</v>
      </c>
      <c r="H30" s="479">
        <v>86673.550700888809</v>
      </c>
      <c r="I30" s="480" t="s">
        <v>8992</v>
      </c>
      <c r="J30" s="468" t="s">
        <v>541</v>
      </c>
      <c r="K30" s="468" t="s">
        <v>8996</v>
      </c>
      <c r="L30" s="468" t="s">
        <v>541</v>
      </c>
    </row>
    <row r="31" spans="1:12" x14ac:dyDescent="0.25">
      <c r="A31" s="476" t="s">
        <v>747</v>
      </c>
      <c r="B31" s="476" t="s">
        <v>748</v>
      </c>
      <c r="C31" s="476" t="s">
        <v>757</v>
      </c>
      <c r="D31" s="476" t="s">
        <v>758</v>
      </c>
      <c r="E31" s="476" t="s">
        <v>535</v>
      </c>
      <c r="F31" s="477">
        <v>400</v>
      </c>
      <c r="G31" s="478">
        <v>18.295329273500254</v>
      </c>
      <c r="H31" s="479">
        <v>7318.1317094001015</v>
      </c>
      <c r="I31" s="480" t="s">
        <v>8992</v>
      </c>
      <c r="J31" s="468" t="s">
        <v>541</v>
      </c>
      <c r="K31" s="468" t="s">
        <v>8996</v>
      </c>
      <c r="L31" s="468" t="s">
        <v>541</v>
      </c>
    </row>
    <row r="32" spans="1:12" x14ac:dyDescent="0.25">
      <c r="A32" s="476" t="s">
        <v>747</v>
      </c>
      <c r="B32" s="476" t="s">
        <v>748</v>
      </c>
      <c r="C32" s="476" t="s">
        <v>763</v>
      </c>
      <c r="D32" s="476" t="s">
        <v>764</v>
      </c>
      <c r="E32" s="476" t="s">
        <v>535</v>
      </c>
      <c r="F32" s="477">
        <v>753</v>
      </c>
      <c r="G32" s="478">
        <v>52.620531216794689</v>
      </c>
      <c r="H32" s="479">
        <v>39623.260006246397</v>
      </c>
      <c r="I32" s="480" t="s">
        <v>8992</v>
      </c>
      <c r="J32" s="468" t="s">
        <v>541</v>
      </c>
      <c r="K32" s="468" t="s">
        <v>8996</v>
      </c>
      <c r="L32" s="468" t="s">
        <v>541</v>
      </c>
    </row>
    <row r="33" spans="1:12" x14ac:dyDescent="0.25">
      <c r="A33" s="476" t="s">
        <v>747</v>
      </c>
      <c r="B33" s="476" t="s">
        <v>748</v>
      </c>
      <c r="C33" s="476" t="s">
        <v>705</v>
      </c>
      <c r="D33" s="476" t="s">
        <v>7692</v>
      </c>
      <c r="E33" s="476" t="s">
        <v>535</v>
      </c>
      <c r="F33" s="477">
        <v>75</v>
      </c>
      <c r="G33" s="478">
        <v>3.1348770077786101</v>
      </c>
      <c r="H33" s="479">
        <v>235.11577558339576</v>
      </c>
      <c r="I33" s="480" t="s">
        <v>8992</v>
      </c>
      <c r="J33" s="468" t="s">
        <v>541</v>
      </c>
      <c r="K33" s="468" t="s">
        <v>8996</v>
      </c>
      <c r="L33" s="468" t="s">
        <v>541</v>
      </c>
    </row>
    <row r="34" spans="1:12" x14ac:dyDescent="0.25">
      <c r="A34" s="476" t="s">
        <v>747</v>
      </c>
      <c r="B34" s="476" t="s">
        <v>748</v>
      </c>
      <c r="C34" s="476" t="s">
        <v>767</v>
      </c>
      <c r="D34" s="476" t="s">
        <v>768</v>
      </c>
      <c r="E34" s="476" t="s">
        <v>535</v>
      </c>
      <c r="F34" s="477">
        <v>142532</v>
      </c>
      <c r="G34" s="478">
        <v>1.3063477063447397</v>
      </c>
      <c r="H34" s="479">
        <v>186196.35128072844</v>
      </c>
      <c r="I34" s="480" t="s">
        <v>8992</v>
      </c>
      <c r="J34" s="468" t="s">
        <v>541</v>
      </c>
      <c r="K34" s="468" t="s">
        <v>8996</v>
      </c>
      <c r="L34" s="468" t="s">
        <v>541</v>
      </c>
    </row>
    <row r="35" spans="1:12" x14ac:dyDescent="0.25">
      <c r="A35" s="476" t="s">
        <v>747</v>
      </c>
      <c r="B35" s="476" t="s">
        <v>748</v>
      </c>
      <c r="C35" s="476" t="s">
        <v>765</v>
      </c>
      <c r="D35" s="476" t="s">
        <v>766</v>
      </c>
      <c r="E35" s="476" t="s">
        <v>535</v>
      </c>
      <c r="F35" s="477">
        <v>144779</v>
      </c>
      <c r="G35" s="478">
        <v>0.1243315607746641</v>
      </c>
      <c r="H35" s="479">
        <v>18000.599037395095</v>
      </c>
      <c r="I35" s="480" t="s">
        <v>8992</v>
      </c>
      <c r="J35" s="468" t="s">
        <v>541</v>
      </c>
      <c r="K35" s="468" t="s">
        <v>8996</v>
      </c>
      <c r="L35" s="468" t="s">
        <v>541</v>
      </c>
    </row>
    <row r="36" spans="1:12" x14ac:dyDescent="0.25">
      <c r="A36" s="476" t="s">
        <v>747</v>
      </c>
      <c r="B36" s="476" t="s">
        <v>748</v>
      </c>
      <c r="C36" s="476" t="s">
        <v>775</v>
      </c>
      <c r="D36" s="476" t="s">
        <v>7693</v>
      </c>
      <c r="E36" s="476" t="s">
        <v>535</v>
      </c>
      <c r="F36" s="477">
        <v>11900</v>
      </c>
      <c r="G36" s="478">
        <v>2.7142732054286474</v>
      </c>
      <c r="H36" s="479">
        <v>32299.851144600903</v>
      </c>
      <c r="I36" s="480" t="s">
        <v>8992</v>
      </c>
      <c r="J36" s="468" t="s">
        <v>541</v>
      </c>
      <c r="K36" s="468" t="s">
        <v>8996</v>
      </c>
      <c r="L36" s="468" t="s">
        <v>541</v>
      </c>
    </row>
    <row r="37" spans="1:12" x14ac:dyDescent="0.25">
      <c r="A37" s="476" t="s">
        <v>747</v>
      </c>
      <c r="B37" s="476" t="s">
        <v>748</v>
      </c>
      <c r="C37" s="476" t="s">
        <v>7694</v>
      </c>
      <c r="D37" s="476" t="s">
        <v>7695</v>
      </c>
      <c r="E37" s="476" t="s">
        <v>535</v>
      </c>
      <c r="F37" s="477">
        <v>1042</v>
      </c>
      <c r="G37" s="481">
        <v>6.3141038910597755</v>
      </c>
      <c r="H37" s="479">
        <v>6579.2962544842858</v>
      </c>
      <c r="I37" s="480" t="s">
        <v>8992</v>
      </c>
      <c r="J37" s="468" t="s">
        <v>8993</v>
      </c>
      <c r="K37" s="468" t="s">
        <v>8994</v>
      </c>
      <c r="L37" s="468" t="s">
        <v>541</v>
      </c>
    </row>
    <row r="38" spans="1:12" x14ac:dyDescent="0.25">
      <c r="A38" s="476" t="s">
        <v>747</v>
      </c>
      <c r="B38" s="476" t="s">
        <v>748</v>
      </c>
      <c r="C38" s="476" t="s">
        <v>7696</v>
      </c>
      <c r="D38" s="476" t="s">
        <v>7697</v>
      </c>
      <c r="E38" s="476" t="s">
        <v>535</v>
      </c>
      <c r="F38" s="477">
        <v>1104</v>
      </c>
      <c r="G38" s="481">
        <v>5.639100619708219</v>
      </c>
      <c r="H38" s="479">
        <v>6225.567084157874</v>
      </c>
      <c r="I38" s="480" t="s">
        <v>8992</v>
      </c>
      <c r="J38" s="468" t="s">
        <v>8993</v>
      </c>
      <c r="K38" s="468" t="s">
        <v>8994</v>
      </c>
      <c r="L38" s="468" t="s">
        <v>541</v>
      </c>
    </row>
    <row r="39" spans="1:12" x14ac:dyDescent="0.25">
      <c r="A39" s="476" t="s">
        <v>747</v>
      </c>
      <c r="B39" s="476" t="s">
        <v>748</v>
      </c>
      <c r="C39" s="476" t="s">
        <v>675</v>
      </c>
      <c r="D39" s="476" t="s">
        <v>777</v>
      </c>
      <c r="E39" s="476" t="s">
        <v>535</v>
      </c>
      <c r="F39" s="477">
        <v>2726</v>
      </c>
      <c r="G39" s="481">
        <v>6.1099127858658475</v>
      </c>
      <c r="H39" s="479">
        <v>16655.6222542703</v>
      </c>
      <c r="I39" s="480" t="s">
        <v>8992</v>
      </c>
      <c r="J39" s="468" t="s">
        <v>8993</v>
      </c>
      <c r="K39" s="468" t="s">
        <v>8994</v>
      </c>
      <c r="L39" s="468" t="s">
        <v>541</v>
      </c>
    </row>
    <row r="40" spans="1:12" x14ac:dyDescent="0.25">
      <c r="A40" s="476" t="s">
        <v>747</v>
      </c>
      <c r="B40" s="476" t="s">
        <v>748</v>
      </c>
      <c r="C40" s="476" t="s">
        <v>677</v>
      </c>
      <c r="D40" s="476" t="s">
        <v>8999</v>
      </c>
      <c r="E40" s="476" t="s">
        <v>535</v>
      </c>
      <c r="F40" s="477">
        <v>22274</v>
      </c>
      <c r="G40" s="481">
        <v>6.0948458178326259</v>
      </c>
      <c r="H40" s="479">
        <v>135756.59574640391</v>
      </c>
      <c r="I40" s="480" t="s">
        <v>8992</v>
      </c>
      <c r="J40" s="468" t="s">
        <v>8993</v>
      </c>
      <c r="K40" s="468" t="s">
        <v>8994</v>
      </c>
      <c r="L40" s="468" t="s">
        <v>541</v>
      </c>
    </row>
    <row r="41" spans="1:12" x14ac:dyDescent="0.25">
      <c r="A41" s="476" t="s">
        <v>747</v>
      </c>
      <c r="B41" s="476" t="s">
        <v>748</v>
      </c>
      <c r="C41" s="476" t="s">
        <v>823</v>
      </c>
      <c r="D41" s="476" t="s">
        <v>7698</v>
      </c>
      <c r="E41" s="476" t="s">
        <v>535</v>
      </c>
      <c r="F41" s="477">
        <v>16880</v>
      </c>
      <c r="G41" s="481">
        <v>5.003994495928489</v>
      </c>
      <c r="H41" s="479">
        <v>84467.427091272897</v>
      </c>
      <c r="I41" s="480" t="s">
        <v>8992</v>
      </c>
      <c r="J41" s="468" t="s">
        <v>8993</v>
      </c>
      <c r="K41" s="468" t="s">
        <v>8994</v>
      </c>
      <c r="L41" s="468" t="s">
        <v>541</v>
      </c>
    </row>
    <row r="42" spans="1:12" x14ac:dyDescent="0.25">
      <c r="A42" s="476" t="s">
        <v>747</v>
      </c>
      <c r="B42" s="476" t="s">
        <v>748</v>
      </c>
      <c r="C42" s="476" t="s">
        <v>769</v>
      </c>
      <c r="D42" s="476" t="s">
        <v>9000</v>
      </c>
      <c r="E42" s="476" t="s">
        <v>535</v>
      </c>
      <c r="F42" s="477">
        <v>513</v>
      </c>
      <c r="G42" s="478">
        <v>54.277015258012213</v>
      </c>
      <c r="H42" s="479">
        <v>27844.108827360265</v>
      </c>
      <c r="I42" s="480" t="s">
        <v>8992</v>
      </c>
      <c r="J42" s="468" t="s">
        <v>8993</v>
      </c>
      <c r="K42" s="468" t="s">
        <v>9001</v>
      </c>
      <c r="L42" s="468" t="s">
        <v>541</v>
      </c>
    </row>
    <row r="43" spans="1:12" x14ac:dyDescent="0.25">
      <c r="A43" s="476" t="s">
        <v>747</v>
      </c>
      <c r="B43" s="476" t="s">
        <v>748</v>
      </c>
      <c r="C43" s="476" t="s">
        <v>769</v>
      </c>
      <c r="D43" s="476" t="s">
        <v>7701</v>
      </c>
      <c r="E43" s="476" t="s">
        <v>535</v>
      </c>
      <c r="F43" s="477">
        <v>831</v>
      </c>
      <c r="G43" s="478">
        <v>54.277015258012213</v>
      </c>
      <c r="H43" s="479">
        <v>45104.19967940815</v>
      </c>
      <c r="I43" s="480" t="s">
        <v>8992</v>
      </c>
      <c r="J43" s="468" t="s">
        <v>8993</v>
      </c>
      <c r="K43" s="468" t="s">
        <v>9001</v>
      </c>
      <c r="L43" s="468" t="s">
        <v>541</v>
      </c>
    </row>
    <row r="44" spans="1:12" x14ac:dyDescent="0.25">
      <c r="A44" s="476" t="s">
        <v>747</v>
      </c>
      <c r="B44" s="476" t="s">
        <v>748</v>
      </c>
      <c r="C44" s="476" t="s">
        <v>771</v>
      </c>
      <c r="D44" s="476" t="s">
        <v>7702</v>
      </c>
      <c r="E44" s="476" t="s">
        <v>535</v>
      </c>
      <c r="F44" s="477">
        <v>2626</v>
      </c>
      <c r="G44" s="478">
        <v>42.639605245741372</v>
      </c>
      <c r="H44" s="479">
        <v>111971.60337531684</v>
      </c>
      <c r="I44" s="480" t="s">
        <v>8992</v>
      </c>
      <c r="J44" s="468" t="s">
        <v>8993</v>
      </c>
      <c r="K44" s="468" t="s">
        <v>9001</v>
      </c>
      <c r="L44" s="468" t="s">
        <v>541</v>
      </c>
    </row>
    <row r="45" spans="1:12" x14ac:dyDescent="0.25">
      <c r="A45" s="476" t="s">
        <v>747</v>
      </c>
      <c r="B45" s="476" t="s">
        <v>748</v>
      </c>
      <c r="C45" s="476" t="s">
        <v>9002</v>
      </c>
      <c r="D45" s="476" t="s">
        <v>7703</v>
      </c>
      <c r="E45" s="476" t="s">
        <v>535</v>
      </c>
      <c r="F45" s="477">
        <v>41</v>
      </c>
      <c r="G45" s="478">
        <v>42.639605245741372</v>
      </c>
      <c r="H45" s="479">
        <v>1748.2238150753963</v>
      </c>
      <c r="I45" s="480" t="s">
        <v>8992</v>
      </c>
      <c r="J45" s="468" t="s">
        <v>8993</v>
      </c>
      <c r="K45" s="468" t="s">
        <v>9001</v>
      </c>
      <c r="L45" s="468" t="s">
        <v>541</v>
      </c>
    </row>
    <row r="46" spans="1:12" x14ac:dyDescent="0.25">
      <c r="A46" s="476" t="s">
        <v>747</v>
      </c>
      <c r="B46" s="476" t="s">
        <v>781</v>
      </c>
      <c r="C46" s="476" t="s">
        <v>751</v>
      </c>
      <c r="D46" s="476" t="s">
        <v>7690</v>
      </c>
      <c r="E46" s="476" t="s">
        <v>535</v>
      </c>
      <c r="F46" s="477">
        <v>115</v>
      </c>
      <c r="G46" s="481">
        <v>33.640619722298368</v>
      </c>
      <c r="H46" s="479">
        <v>3868.6712680643122</v>
      </c>
      <c r="I46" s="480" t="s">
        <v>8992</v>
      </c>
      <c r="J46" s="468" t="s">
        <v>8993</v>
      </c>
      <c r="K46" s="468" t="s">
        <v>8996</v>
      </c>
      <c r="L46" s="468" t="s">
        <v>541</v>
      </c>
    </row>
    <row r="47" spans="1:12" x14ac:dyDescent="0.25">
      <c r="A47" s="476" t="s">
        <v>747</v>
      </c>
      <c r="B47" s="476" t="s">
        <v>781</v>
      </c>
      <c r="C47" s="476" t="s">
        <v>7699</v>
      </c>
      <c r="D47" s="476" t="s">
        <v>9003</v>
      </c>
      <c r="E47" s="476" t="s">
        <v>535</v>
      </c>
      <c r="F47" s="477">
        <v>94</v>
      </c>
      <c r="G47" s="478">
        <v>72.074803882763177</v>
      </c>
      <c r="H47" s="479">
        <v>6775.0315649797385</v>
      </c>
      <c r="I47" s="480" t="s">
        <v>8992</v>
      </c>
      <c r="J47" s="468" t="s">
        <v>8993</v>
      </c>
      <c r="K47" s="468" t="s">
        <v>9001</v>
      </c>
      <c r="L47" s="468" t="s">
        <v>541</v>
      </c>
    </row>
    <row r="48" spans="1:12" x14ac:dyDescent="0.25">
      <c r="A48" s="476" t="s">
        <v>747</v>
      </c>
      <c r="B48" s="476" t="s">
        <v>781</v>
      </c>
      <c r="C48" s="476" t="s">
        <v>763</v>
      </c>
      <c r="D48" s="476" t="s">
        <v>764</v>
      </c>
      <c r="E48" s="476" t="s">
        <v>535</v>
      </c>
      <c r="F48" s="477">
        <v>17</v>
      </c>
      <c r="G48" s="478">
        <v>52.620531216794689</v>
      </c>
      <c r="H48" s="479">
        <v>894.54903068550971</v>
      </c>
      <c r="I48" s="480" t="s">
        <v>8992</v>
      </c>
      <c r="J48" s="468" t="s">
        <v>541</v>
      </c>
      <c r="K48" s="468" t="s">
        <v>8996</v>
      </c>
      <c r="L48" s="468" t="s">
        <v>541</v>
      </c>
    </row>
    <row r="49" spans="1:12" x14ac:dyDescent="0.25">
      <c r="A49" s="476" t="s">
        <v>747</v>
      </c>
      <c r="B49" s="476" t="s">
        <v>781</v>
      </c>
      <c r="C49" s="476"/>
      <c r="D49" s="476" t="s">
        <v>9004</v>
      </c>
      <c r="E49" s="476" t="s">
        <v>535</v>
      </c>
      <c r="F49" s="477">
        <v>1235</v>
      </c>
      <c r="G49" s="478">
        <v>4.2888151613722041</v>
      </c>
      <c r="H49" s="479">
        <v>5296.6867242946719</v>
      </c>
      <c r="I49" s="480" t="s">
        <v>8992</v>
      </c>
      <c r="J49" s="468" t="s">
        <v>8993</v>
      </c>
      <c r="K49" s="468" t="s">
        <v>8994</v>
      </c>
      <c r="L49" s="468" t="s">
        <v>541</v>
      </c>
    </row>
    <row r="50" spans="1:12" x14ac:dyDescent="0.25">
      <c r="A50" s="476" t="s">
        <v>747</v>
      </c>
      <c r="B50" s="476" t="s">
        <v>748</v>
      </c>
      <c r="C50" s="476" t="s">
        <v>759</v>
      </c>
      <c r="D50" s="476" t="s">
        <v>760</v>
      </c>
      <c r="E50" s="476" t="s">
        <v>535</v>
      </c>
      <c r="F50" s="477">
        <v>50</v>
      </c>
      <c r="G50" s="478">
        <v>214.09332923336098</v>
      </c>
      <c r="H50" s="479">
        <v>10704.666461668048</v>
      </c>
      <c r="I50" s="480" t="s">
        <v>8992</v>
      </c>
      <c r="J50" s="468" t="s">
        <v>541</v>
      </c>
      <c r="K50" s="468" t="s">
        <v>8996</v>
      </c>
      <c r="L50" s="468" t="s">
        <v>541</v>
      </c>
    </row>
    <row r="51" spans="1:12" x14ac:dyDescent="0.25">
      <c r="A51" s="476" t="s">
        <v>747</v>
      </c>
      <c r="B51" s="476" t="s">
        <v>748</v>
      </c>
      <c r="C51" s="476" t="s">
        <v>9005</v>
      </c>
      <c r="D51" s="476" t="s">
        <v>9006</v>
      </c>
      <c r="E51" s="476" t="s">
        <v>535</v>
      </c>
      <c r="F51" s="477">
        <v>406</v>
      </c>
      <c r="G51" s="478">
        <v>64</v>
      </c>
      <c r="H51" s="479">
        <v>25984</v>
      </c>
      <c r="I51" s="480" t="s">
        <v>8992</v>
      </c>
      <c r="J51" s="468" t="s">
        <v>8993</v>
      </c>
      <c r="K51" s="468" t="s">
        <v>9001</v>
      </c>
      <c r="L51" s="468" t="s">
        <v>541</v>
      </c>
    </row>
    <row r="52" spans="1:12" x14ac:dyDescent="0.25">
      <c r="A52" s="476" t="s">
        <v>747</v>
      </c>
      <c r="B52" s="476" t="s">
        <v>781</v>
      </c>
      <c r="C52" s="476" t="s">
        <v>7446</v>
      </c>
      <c r="D52" s="476" t="s">
        <v>787</v>
      </c>
      <c r="E52" s="476" t="s">
        <v>535</v>
      </c>
      <c r="F52" s="482">
        <v>4126057</v>
      </c>
      <c r="G52" s="478">
        <v>0.76558214793113066</v>
      </c>
      <c r="H52" s="483">
        <v>3158835.5805462771</v>
      </c>
      <c r="I52" s="480" t="s">
        <v>8992</v>
      </c>
      <c r="J52" s="468" t="s">
        <v>8993</v>
      </c>
      <c r="K52" s="468" t="s">
        <v>8994</v>
      </c>
      <c r="L52" s="468" t="s">
        <v>541</v>
      </c>
    </row>
    <row r="53" spans="1:12" x14ac:dyDescent="0.25">
      <c r="A53" s="484" t="s">
        <v>747</v>
      </c>
      <c r="B53" s="485" t="s">
        <v>781</v>
      </c>
      <c r="C53" s="485"/>
      <c r="D53" s="485" t="s">
        <v>786</v>
      </c>
      <c r="E53" s="485" t="s">
        <v>535</v>
      </c>
      <c r="F53" s="482">
        <v>571739</v>
      </c>
      <c r="G53" s="478">
        <v>2.1002750182898819</v>
      </c>
      <c r="H53" s="483">
        <v>1200809.1386820388</v>
      </c>
      <c r="I53" s="480" t="s">
        <v>8992</v>
      </c>
      <c r="J53" s="468" t="s">
        <v>8993</v>
      </c>
      <c r="K53" s="468" t="s">
        <v>8994</v>
      </c>
      <c r="L53" s="468" t="s">
        <v>541</v>
      </c>
    </row>
    <row r="54" spans="1:12" x14ac:dyDescent="0.25">
      <c r="A54" s="476" t="s">
        <v>747</v>
      </c>
      <c r="B54" s="476" t="s">
        <v>748</v>
      </c>
      <c r="C54" s="476" t="s">
        <v>773</v>
      </c>
      <c r="D54" s="476" t="s">
        <v>9007</v>
      </c>
      <c r="E54" s="476" t="s">
        <v>535</v>
      </c>
      <c r="F54" s="477">
        <v>838</v>
      </c>
      <c r="G54" s="478">
        <v>56.262946993212871</v>
      </c>
      <c r="H54" s="479">
        <v>47148.349580312388</v>
      </c>
      <c r="I54" s="480" t="s">
        <v>8992</v>
      </c>
      <c r="J54" s="468" t="s">
        <v>8993</v>
      </c>
      <c r="K54" s="468" t="s">
        <v>9001</v>
      </c>
      <c r="L54" s="468" t="s">
        <v>541</v>
      </c>
    </row>
    <row r="55" spans="1:12" x14ac:dyDescent="0.25">
      <c r="A55" s="476" t="s">
        <v>747</v>
      </c>
      <c r="B55" s="476" t="s">
        <v>748</v>
      </c>
      <c r="C55" s="476" t="s">
        <v>773</v>
      </c>
      <c r="D55" s="476" t="s">
        <v>9008</v>
      </c>
      <c r="E55" s="476" t="s">
        <v>535</v>
      </c>
      <c r="F55" s="477">
        <v>756</v>
      </c>
      <c r="G55" s="478">
        <v>56.262946993212871</v>
      </c>
      <c r="H55" s="479">
        <v>42534.787926868928</v>
      </c>
      <c r="I55" s="480" t="s">
        <v>8992</v>
      </c>
      <c r="J55" s="468" t="s">
        <v>8993</v>
      </c>
      <c r="K55" s="468" t="s">
        <v>9001</v>
      </c>
      <c r="L55" s="468" t="s">
        <v>541</v>
      </c>
    </row>
    <row r="56" spans="1:12" x14ac:dyDescent="0.25">
      <c r="A56" s="485" t="s">
        <v>587</v>
      </c>
      <c r="B56" s="485" t="s">
        <v>591</v>
      </c>
      <c r="C56" s="485" t="s">
        <v>598</v>
      </c>
      <c r="D56" s="485" t="s">
        <v>599</v>
      </c>
      <c r="E56" s="485" t="s">
        <v>535</v>
      </c>
      <c r="F56" s="482">
        <v>3161.6</v>
      </c>
      <c r="G56" s="468">
        <v>7.449205280821972</v>
      </c>
      <c r="H56" s="479">
        <v>23551.407415846745</v>
      </c>
      <c r="I56" s="480" t="s">
        <v>9009</v>
      </c>
      <c r="J56" s="468" t="s">
        <v>536</v>
      </c>
      <c r="K56" s="468" t="s">
        <v>9010</v>
      </c>
      <c r="L56" s="468" t="s">
        <v>536</v>
      </c>
    </row>
    <row r="57" spans="1:12" x14ac:dyDescent="0.25">
      <c r="A57" s="485" t="s">
        <v>587</v>
      </c>
      <c r="B57" s="485" t="s">
        <v>591</v>
      </c>
      <c r="C57" s="485" t="s">
        <v>7424</v>
      </c>
      <c r="D57" s="485" t="s">
        <v>7425</v>
      </c>
      <c r="E57" s="485" t="s">
        <v>535</v>
      </c>
      <c r="F57" s="482">
        <v>8517</v>
      </c>
      <c r="G57" s="468">
        <v>7.3408803923012265</v>
      </c>
      <c r="H57" s="479">
        <v>62522.278301229548</v>
      </c>
      <c r="I57" s="480" t="s">
        <v>9009</v>
      </c>
      <c r="J57" s="468" t="s">
        <v>536</v>
      </c>
      <c r="K57" s="468" t="s">
        <v>9010</v>
      </c>
      <c r="L57" s="468" t="s">
        <v>536</v>
      </c>
    </row>
    <row r="58" spans="1:12" x14ac:dyDescent="0.25">
      <c r="A58" s="485" t="s">
        <v>587</v>
      </c>
      <c r="B58" s="485" t="s">
        <v>591</v>
      </c>
      <c r="C58" s="485" t="s">
        <v>7580</v>
      </c>
      <c r="D58" s="485" t="s">
        <v>7581</v>
      </c>
      <c r="E58" s="485" t="s">
        <v>535</v>
      </c>
      <c r="F58" s="482">
        <v>5064</v>
      </c>
      <c r="G58" s="468">
        <v>6.0948458178326259</v>
      </c>
      <c r="H58" s="479">
        <v>30864.299221504418</v>
      </c>
      <c r="I58" s="480" t="s">
        <v>9009</v>
      </c>
      <c r="J58" s="468" t="s">
        <v>536</v>
      </c>
      <c r="K58" s="468" t="s">
        <v>9010</v>
      </c>
      <c r="L58" s="468" t="s">
        <v>536</v>
      </c>
    </row>
    <row r="59" spans="1:12" x14ac:dyDescent="0.25">
      <c r="A59" s="485" t="s">
        <v>587</v>
      </c>
      <c r="B59" s="485" t="s">
        <v>591</v>
      </c>
      <c r="C59" s="485" t="s">
        <v>672</v>
      </c>
      <c r="D59" s="485" t="s">
        <v>673</v>
      </c>
      <c r="E59" s="485" t="s">
        <v>535</v>
      </c>
      <c r="F59" s="482">
        <v>4800</v>
      </c>
      <c r="G59" s="468">
        <v>6.4940517579050558</v>
      </c>
      <c r="H59" s="479">
        <v>31171.448437944269</v>
      </c>
      <c r="I59" s="480" t="s">
        <v>9009</v>
      </c>
      <c r="J59" s="468" t="s">
        <v>9011</v>
      </c>
      <c r="K59" s="468" t="s">
        <v>8994</v>
      </c>
      <c r="L59" s="468" t="s">
        <v>541</v>
      </c>
    </row>
    <row r="60" spans="1:12" x14ac:dyDescent="0.25">
      <c r="A60" s="485" t="s">
        <v>587</v>
      </c>
      <c r="B60" s="485" t="s">
        <v>591</v>
      </c>
      <c r="C60" s="485" t="s">
        <v>675</v>
      </c>
      <c r="D60" s="485" t="s">
        <v>7426</v>
      </c>
      <c r="E60" s="485" t="s">
        <v>535</v>
      </c>
      <c r="F60" s="482">
        <v>14800</v>
      </c>
      <c r="G60" s="468">
        <v>6.1947233793024967</v>
      </c>
      <c r="H60" s="479">
        <v>91681.906013676955</v>
      </c>
      <c r="I60" s="480" t="s">
        <v>9009</v>
      </c>
      <c r="J60" s="468" t="s">
        <v>9011</v>
      </c>
      <c r="K60" s="468" t="s">
        <v>8994</v>
      </c>
      <c r="L60" s="468" t="s">
        <v>541</v>
      </c>
    </row>
    <row r="61" spans="1:12" x14ac:dyDescent="0.25">
      <c r="A61" s="485" t="s">
        <v>587</v>
      </c>
      <c r="B61" s="485" t="s">
        <v>591</v>
      </c>
      <c r="C61" s="485" t="s">
        <v>677</v>
      </c>
      <c r="D61" s="485" t="s">
        <v>7427</v>
      </c>
      <c r="E61" s="485" t="s">
        <v>535</v>
      </c>
      <c r="F61" s="482">
        <v>13800</v>
      </c>
      <c r="G61" s="468">
        <v>6.0948458178326259</v>
      </c>
      <c r="H61" s="479">
        <v>84108.872286090234</v>
      </c>
      <c r="I61" s="480" t="s">
        <v>9009</v>
      </c>
      <c r="J61" s="468" t="s">
        <v>9011</v>
      </c>
      <c r="K61" s="468" t="s">
        <v>8994</v>
      </c>
      <c r="L61" s="468" t="s">
        <v>541</v>
      </c>
    </row>
    <row r="62" spans="1:12" x14ac:dyDescent="0.25">
      <c r="A62" s="485" t="s">
        <v>587</v>
      </c>
      <c r="B62" s="485" t="s">
        <v>591</v>
      </c>
      <c r="C62" s="485" t="s">
        <v>7582</v>
      </c>
      <c r="D62" s="485" t="s">
        <v>2342</v>
      </c>
      <c r="E62" s="485" t="s">
        <v>535</v>
      </c>
      <c r="F62" s="482">
        <v>35</v>
      </c>
      <c r="G62" s="468">
        <v>6.6856652180368723</v>
      </c>
      <c r="H62" s="479">
        <v>233.99828263129052</v>
      </c>
      <c r="I62" s="480" t="s">
        <v>9009</v>
      </c>
      <c r="J62" s="468" t="s">
        <v>536</v>
      </c>
      <c r="K62" s="468" t="s">
        <v>9010</v>
      </c>
      <c r="L62" s="468" t="s">
        <v>536</v>
      </c>
    </row>
    <row r="63" spans="1:12" x14ac:dyDescent="0.25">
      <c r="A63" s="485" t="s">
        <v>587</v>
      </c>
      <c r="B63" s="485" t="s">
        <v>591</v>
      </c>
      <c r="C63" s="485" t="s">
        <v>7583</v>
      </c>
      <c r="D63" s="485" t="s">
        <v>2343</v>
      </c>
      <c r="E63" s="485" t="s">
        <v>535</v>
      </c>
      <c r="F63" s="482">
        <v>157.47999999999999</v>
      </c>
      <c r="G63" s="468">
        <v>6.1015978951966767</v>
      </c>
      <c r="H63" s="479">
        <v>960.87963653557256</v>
      </c>
      <c r="I63" s="480" t="s">
        <v>9009</v>
      </c>
      <c r="J63" s="468" t="s">
        <v>536</v>
      </c>
      <c r="K63" s="468" t="s">
        <v>9010</v>
      </c>
      <c r="L63" s="468" t="s">
        <v>536</v>
      </c>
    </row>
    <row r="64" spans="1:12" x14ac:dyDescent="0.25">
      <c r="A64" s="485" t="s">
        <v>587</v>
      </c>
      <c r="B64" s="485" t="s">
        <v>591</v>
      </c>
      <c r="C64" s="485" t="s">
        <v>7582</v>
      </c>
      <c r="D64" s="485" t="s">
        <v>2344</v>
      </c>
      <c r="E64" s="485" t="s">
        <v>535</v>
      </c>
      <c r="F64" s="482">
        <v>58.83</v>
      </c>
      <c r="G64" s="468">
        <v>6.6856652180368723</v>
      </c>
      <c r="H64" s="479">
        <v>393.31768477710921</v>
      </c>
      <c r="I64" s="480" t="s">
        <v>9009</v>
      </c>
      <c r="J64" s="468" t="s">
        <v>536</v>
      </c>
      <c r="K64" s="468" t="s">
        <v>9010</v>
      </c>
      <c r="L64" s="468" t="s">
        <v>536</v>
      </c>
    </row>
    <row r="65" spans="1:12" x14ac:dyDescent="0.25">
      <c r="A65" s="485" t="s">
        <v>587</v>
      </c>
      <c r="B65" s="485" t="s">
        <v>591</v>
      </c>
      <c r="C65" s="485" t="s">
        <v>7408</v>
      </c>
      <c r="D65" s="485" t="s">
        <v>7429</v>
      </c>
      <c r="E65" s="485" t="s">
        <v>535</v>
      </c>
      <c r="F65" s="482">
        <v>35190.400000000001</v>
      </c>
      <c r="G65" s="468">
        <v>7.4127739116593805</v>
      </c>
      <c r="H65" s="479">
        <v>260858.47906085828</v>
      </c>
      <c r="I65" s="480" t="s">
        <v>9009</v>
      </c>
      <c r="J65" s="468" t="s">
        <v>536</v>
      </c>
      <c r="K65" s="468" t="s">
        <v>9010</v>
      </c>
      <c r="L65" s="468" t="s">
        <v>536</v>
      </c>
    </row>
    <row r="66" spans="1:12" x14ac:dyDescent="0.25">
      <c r="A66" s="485" t="s">
        <v>587</v>
      </c>
      <c r="B66" s="485" t="s">
        <v>591</v>
      </c>
      <c r="C66" s="485" t="s">
        <v>7422</v>
      </c>
      <c r="D66" s="485" t="s">
        <v>7430</v>
      </c>
      <c r="E66" s="485" t="s">
        <v>535</v>
      </c>
      <c r="F66" s="482">
        <v>58787.199999999997</v>
      </c>
      <c r="G66" s="468">
        <v>7.4420407775387227</v>
      </c>
      <c r="H66" s="479">
        <v>437496.7395973244</v>
      </c>
      <c r="I66" s="480" t="s">
        <v>9009</v>
      </c>
      <c r="J66" s="468" t="s">
        <v>536</v>
      </c>
      <c r="K66" s="468" t="s">
        <v>9010</v>
      </c>
      <c r="L66" s="468" t="s">
        <v>536</v>
      </c>
    </row>
    <row r="67" spans="1:12" x14ac:dyDescent="0.25">
      <c r="A67" s="485" t="s">
        <v>587</v>
      </c>
      <c r="B67" s="485" t="s">
        <v>591</v>
      </c>
      <c r="C67" s="485" t="s">
        <v>7431</v>
      </c>
      <c r="D67" s="485" t="s">
        <v>7432</v>
      </c>
      <c r="E67" s="485" t="s">
        <v>535</v>
      </c>
      <c r="F67" s="482">
        <v>10000</v>
      </c>
      <c r="G67" s="468">
        <v>6.8292631106061528</v>
      </c>
      <c r="H67" s="479">
        <v>68292.631106061526</v>
      </c>
      <c r="I67" s="480" t="s">
        <v>9009</v>
      </c>
      <c r="J67" s="468" t="s">
        <v>536</v>
      </c>
      <c r="K67" s="468" t="s">
        <v>9010</v>
      </c>
      <c r="L67" s="468" t="s">
        <v>536</v>
      </c>
    </row>
    <row r="68" spans="1:12" x14ac:dyDescent="0.25">
      <c r="A68" s="485" t="s">
        <v>587</v>
      </c>
      <c r="B68" s="485" t="s">
        <v>591</v>
      </c>
      <c r="C68" s="485" t="s">
        <v>596</v>
      </c>
      <c r="D68" s="485" t="s">
        <v>7585</v>
      </c>
      <c r="E68" s="485" t="s">
        <v>535</v>
      </c>
      <c r="F68" s="482">
        <v>580</v>
      </c>
      <c r="G68" s="468">
        <v>6.8132700962529764</v>
      </c>
      <c r="H68" s="479">
        <v>3951.6966558267263</v>
      </c>
      <c r="I68" s="480" t="s">
        <v>9009</v>
      </c>
      <c r="J68" s="468" t="s">
        <v>536</v>
      </c>
      <c r="K68" s="468" t="s">
        <v>9010</v>
      </c>
      <c r="L68" s="468" t="s">
        <v>536</v>
      </c>
    </row>
    <row r="69" spans="1:12" x14ac:dyDescent="0.25">
      <c r="A69" s="485" t="s">
        <v>587</v>
      </c>
      <c r="B69" s="485" t="s">
        <v>591</v>
      </c>
      <c r="C69" s="485" t="s">
        <v>7588</v>
      </c>
      <c r="D69" s="485" t="s">
        <v>7589</v>
      </c>
      <c r="E69" s="485" t="s">
        <v>535</v>
      </c>
      <c r="F69" s="482">
        <v>200.56</v>
      </c>
      <c r="G69" s="468">
        <v>6.5179401000797847</v>
      </c>
      <c r="H69" s="479">
        <v>1307.2380664720017</v>
      </c>
      <c r="I69" s="480" t="s">
        <v>9009</v>
      </c>
      <c r="J69" s="468" t="s">
        <v>536</v>
      </c>
      <c r="K69" s="468" t="s">
        <v>9010</v>
      </c>
      <c r="L69" s="468" t="s">
        <v>536</v>
      </c>
    </row>
    <row r="70" spans="1:12" x14ac:dyDescent="0.25">
      <c r="A70" s="485" t="s">
        <v>587</v>
      </c>
      <c r="B70" s="485" t="s">
        <v>591</v>
      </c>
      <c r="C70" s="485" t="s">
        <v>7590</v>
      </c>
      <c r="D70" s="485" t="s">
        <v>695</v>
      </c>
      <c r="E70" s="485" t="s">
        <v>535</v>
      </c>
      <c r="F70" s="482">
        <v>138.99</v>
      </c>
      <c r="G70" s="468">
        <v>6.5179401000797839</v>
      </c>
      <c r="H70" s="479">
        <v>905.92849451008919</v>
      </c>
      <c r="I70" s="480" t="s">
        <v>9009</v>
      </c>
      <c r="J70" s="468" t="s">
        <v>536</v>
      </c>
      <c r="K70" s="468" t="s">
        <v>9010</v>
      </c>
      <c r="L70" s="468" t="s">
        <v>536</v>
      </c>
    </row>
    <row r="71" spans="1:12" x14ac:dyDescent="0.25">
      <c r="A71" s="485" t="s">
        <v>587</v>
      </c>
      <c r="B71" s="485" t="s">
        <v>591</v>
      </c>
      <c r="C71" s="485" t="s">
        <v>698</v>
      </c>
      <c r="D71" s="485" t="s">
        <v>699</v>
      </c>
      <c r="E71" s="485" t="s">
        <v>535</v>
      </c>
      <c r="F71" s="482">
        <v>60.6</v>
      </c>
      <c r="G71" s="468">
        <v>6.2091069401640269</v>
      </c>
      <c r="H71" s="479">
        <v>376.27188057394005</v>
      </c>
      <c r="I71" s="480" t="s">
        <v>9009</v>
      </c>
      <c r="J71" s="468" t="s">
        <v>536</v>
      </c>
      <c r="K71" s="468" t="s">
        <v>9010</v>
      </c>
      <c r="L71" s="468" t="s">
        <v>536</v>
      </c>
    </row>
    <row r="72" spans="1:12" x14ac:dyDescent="0.25">
      <c r="A72" s="485" t="s">
        <v>587</v>
      </c>
      <c r="B72" s="485" t="s">
        <v>591</v>
      </c>
      <c r="C72" s="485" t="s">
        <v>9012</v>
      </c>
      <c r="D72" s="485" t="s">
        <v>7592</v>
      </c>
      <c r="E72" s="485" t="s">
        <v>535</v>
      </c>
      <c r="F72" s="482">
        <v>72</v>
      </c>
      <c r="G72" s="468">
        <v>6.6892540606811917</v>
      </c>
      <c r="H72" s="479">
        <v>481.62629236904581</v>
      </c>
      <c r="I72" s="480" t="s">
        <v>9009</v>
      </c>
      <c r="J72" s="468" t="s">
        <v>536</v>
      </c>
      <c r="K72" s="468" t="s">
        <v>9010</v>
      </c>
      <c r="L72" s="468" t="s">
        <v>536</v>
      </c>
    </row>
    <row r="73" spans="1:12" x14ac:dyDescent="0.25">
      <c r="A73" s="485" t="s">
        <v>587</v>
      </c>
      <c r="B73" s="485" t="s">
        <v>591</v>
      </c>
      <c r="C73" s="485" t="s">
        <v>539</v>
      </c>
      <c r="D73" s="485" t="s">
        <v>749</v>
      </c>
      <c r="E73" s="485" t="s">
        <v>535</v>
      </c>
      <c r="F73" s="482">
        <v>4800</v>
      </c>
      <c r="G73" s="468">
        <v>6.3141038910597755</v>
      </c>
      <c r="H73" s="479">
        <v>30307.698677086923</v>
      </c>
      <c r="I73" s="480" t="s">
        <v>9009</v>
      </c>
      <c r="J73" s="468" t="s">
        <v>9011</v>
      </c>
      <c r="K73" s="468" t="s">
        <v>8994</v>
      </c>
      <c r="L73" s="468" t="s">
        <v>541</v>
      </c>
    </row>
    <row r="74" spans="1:12" x14ac:dyDescent="0.25">
      <c r="A74" s="485" t="s">
        <v>587</v>
      </c>
      <c r="B74" s="485" t="s">
        <v>591</v>
      </c>
      <c r="C74" s="485" t="s">
        <v>600</v>
      </c>
      <c r="D74" s="485" t="s">
        <v>601</v>
      </c>
      <c r="E74" s="485" t="s">
        <v>535</v>
      </c>
      <c r="F74" s="482">
        <v>37.92</v>
      </c>
      <c r="G74" s="468">
        <v>7.4710374702688611</v>
      </c>
      <c r="H74" s="479">
        <v>283.30174087259525</v>
      </c>
      <c r="I74" s="480" t="s">
        <v>9009</v>
      </c>
      <c r="J74" s="468" t="s">
        <v>9013</v>
      </c>
      <c r="K74" s="468" t="s">
        <v>9014</v>
      </c>
      <c r="L74" s="468" t="s">
        <v>536</v>
      </c>
    </row>
    <row r="75" spans="1:12" x14ac:dyDescent="0.25">
      <c r="A75" s="485" t="s">
        <v>587</v>
      </c>
      <c r="B75" s="485" t="s">
        <v>591</v>
      </c>
      <c r="C75" s="485" t="s">
        <v>622</v>
      </c>
      <c r="D75" s="485" t="s">
        <v>623</v>
      </c>
      <c r="E75" s="485" t="s">
        <v>535</v>
      </c>
      <c r="F75" s="482">
        <v>104.4</v>
      </c>
      <c r="G75" s="468">
        <v>7.421391560100254</v>
      </c>
      <c r="H75" s="479">
        <v>774.79327887446652</v>
      </c>
      <c r="I75" s="480" t="s">
        <v>9009</v>
      </c>
      <c r="J75" s="468" t="s">
        <v>9013</v>
      </c>
      <c r="K75" s="468" t="s">
        <v>9014</v>
      </c>
      <c r="L75" s="468" t="s">
        <v>536</v>
      </c>
    </row>
    <row r="76" spans="1:12" x14ac:dyDescent="0.25">
      <c r="A76" s="485" t="s">
        <v>587</v>
      </c>
      <c r="B76" s="485" t="s">
        <v>591</v>
      </c>
      <c r="C76" s="485" t="s">
        <v>7464</v>
      </c>
      <c r="D76" s="485" t="s">
        <v>7465</v>
      </c>
      <c r="E76" s="485" t="s">
        <v>535</v>
      </c>
      <c r="F76" s="482">
        <v>372.5</v>
      </c>
      <c r="G76" s="468">
        <v>8.4029636771717744</v>
      </c>
      <c r="H76" s="479">
        <v>3130.1039697464857</v>
      </c>
      <c r="I76" s="480" t="s">
        <v>9009</v>
      </c>
      <c r="J76" s="468" t="s">
        <v>9013</v>
      </c>
      <c r="K76" s="468" t="s">
        <v>9014</v>
      </c>
      <c r="L76" s="468" t="s">
        <v>536</v>
      </c>
    </row>
    <row r="77" spans="1:12" x14ac:dyDescent="0.25">
      <c r="A77" s="485" t="s">
        <v>587</v>
      </c>
      <c r="B77" s="485" t="s">
        <v>591</v>
      </c>
      <c r="C77" s="485" t="s">
        <v>596</v>
      </c>
      <c r="D77" s="485" t="s">
        <v>7737</v>
      </c>
      <c r="E77" s="485" t="s">
        <v>535</v>
      </c>
      <c r="F77" s="482">
        <v>75.600000000000009</v>
      </c>
      <c r="G77" s="468">
        <v>6.8132700962529764</v>
      </c>
      <c r="H77" s="479">
        <v>515.08321927672512</v>
      </c>
      <c r="I77" s="480" t="s">
        <v>9009</v>
      </c>
      <c r="J77" s="468" t="s">
        <v>536</v>
      </c>
      <c r="K77" s="468" t="s">
        <v>9010</v>
      </c>
      <c r="L77" s="468" t="s">
        <v>536</v>
      </c>
    </row>
    <row r="78" spans="1:12" x14ac:dyDescent="0.25">
      <c r="A78" s="485" t="s">
        <v>220</v>
      </c>
      <c r="B78" s="485" t="s">
        <v>702</v>
      </c>
      <c r="C78" s="485" t="s">
        <v>703</v>
      </c>
      <c r="D78" s="485" t="s">
        <v>704</v>
      </c>
      <c r="E78" s="485" t="s">
        <v>535</v>
      </c>
      <c r="F78" s="482">
        <v>69540</v>
      </c>
      <c r="G78" s="468">
        <v>0.60004535706660311</v>
      </c>
      <c r="H78" s="479">
        <v>41727.154130411582</v>
      </c>
      <c r="I78" s="480" t="s">
        <v>9009</v>
      </c>
      <c r="J78" s="468" t="s">
        <v>9015</v>
      </c>
      <c r="K78" s="468" t="s">
        <v>8996</v>
      </c>
      <c r="L78" s="468" t="s">
        <v>541</v>
      </c>
    </row>
    <row r="79" spans="1:12" x14ac:dyDescent="0.25">
      <c r="A79" s="485" t="s">
        <v>220</v>
      </c>
      <c r="B79" s="485" t="s">
        <v>702</v>
      </c>
      <c r="C79" s="485" t="s">
        <v>705</v>
      </c>
      <c r="D79" s="485" t="s">
        <v>706</v>
      </c>
      <c r="E79" s="485" t="s">
        <v>535</v>
      </c>
      <c r="F79" s="482">
        <v>1700</v>
      </c>
      <c r="G79" s="468">
        <v>3.0983137803156655</v>
      </c>
      <c r="H79" s="479">
        <v>5267.1334265366313</v>
      </c>
      <c r="I79" s="480" t="s">
        <v>9009</v>
      </c>
      <c r="J79" s="468" t="s">
        <v>9015</v>
      </c>
      <c r="K79" s="468" t="s">
        <v>8996</v>
      </c>
      <c r="L79" s="468" t="s">
        <v>541</v>
      </c>
    </row>
    <row r="80" spans="1:12" x14ac:dyDescent="0.25">
      <c r="A80" s="485" t="s">
        <v>220</v>
      </c>
      <c r="B80" s="485" t="s">
        <v>702</v>
      </c>
      <c r="C80" s="485" t="s">
        <v>707</v>
      </c>
      <c r="D80" s="485" t="s">
        <v>373</v>
      </c>
      <c r="E80" s="485" t="s">
        <v>535</v>
      </c>
      <c r="F80" s="482">
        <v>125</v>
      </c>
      <c r="G80" s="468">
        <v>1.35</v>
      </c>
      <c r="H80" s="479">
        <v>168.75</v>
      </c>
      <c r="I80" s="480" t="s">
        <v>9009</v>
      </c>
      <c r="J80" s="468" t="s">
        <v>9015</v>
      </c>
      <c r="K80" s="468" t="s">
        <v>8996</v>
      </c>
      <c r="L80" s="468" t="s">
        <v>541</v>
      </c>
    </row>
    <row r="81" spans="1:12" x14ac:dyDescent="0.25">
      <c r="A81" s="485" t="s">
        <v>220</v>
      </c>
      <c r="B81" s="485" t="s">
        <v>702</v>
      </c>
      <c r="C81" s="485"/>
      <c r="D81" s="485" t="s">
        <v>709</v>
      </c>
      <c r="E81" s="485" t="s">
        <v>535</v>
      </c>
      <c r="F81" s="482">
        <v>5439</v>
      </c>
      <c r="G81" s="468">
        <v>0.20851474104664602</v>
      </c>
      <c r="H81" s="479">
        <v>1134.1116765527076</v>
      </c>
      <c r="I81" s="480" t="s">
        <v>9009</v>
      </c>
      <c r="J81" s="468" t="s">
        <v>9016</v>
      </c>
      <c r="K81" s="468" t="s">
        <v>8996</v>
      </c>
      <c r="L81" s="468" t="s">
        <v>536</v>
      </c>
    </row>
    <row r="82" spans="1:12" x14ac:dyDescent="0.25">
      <c r="A82" s="485" t="s">
        <v>220</v>
      </c>
      <c r="B82" s="485" t="s">
        <v>702</v>
      </c>
      <c r="C82" s="485"/>
      <c r="D82" s="485" t="s">
        <v>710</v>
      </c>
      <c r="E82" s="485" t="s">
        <v>535</v>
      </c>
      <c r="F82" s="482">
        <v>4200</v>
      </c>
      <c r="G82" s="468">
        <v>0.20851474104664602</v>
      </c>
      <c r="H82" s="479">
        <v>875.76191239591333</v>
      </c>
      <c r="I82" s="480" t="s">
        <v>9009</v>
      </c>
      <c r="J82" s="468" t="s">
        <v>9016</v>
      </c>
      <c r="K82" s="468" t="s">
        <v>8996</v>
      </c>
      <c r="L82" s="468" t="s">
        <v>536</v>
      </c>
    </row>
    <row r="83" spans="1:12" x14ac:dyDescent="0.25">
      <c r="A83" s="485" t="s">
        <v>220</v>
      </c>
      <c r="B83" s="485" t="s">
        <v>702</v>
      </c>
      <c r="C83" s="485" t="s">
        <v>7584</v>
      </c>
      <c r="D83" s="485" t="s">
        <v>711</v>
      </c>
      <c r="E83" s="485" t="s">
        <v>535</v>
      </c>
      <c r="F83" s="482">
        <v>18000</v>
      </c>
      <c r="G83" s="468">
        <v>0.02</v>
      </c>
      <c r="H83" s="479">
        <v>360</v>
      </c>
      <c r="I83" s="480" t="s">
        <v>9009</v>
      </c>
      <c r="J83" s="468" t="s">
        <v>9015</v>
      </c>
      <c r="K83" s="468" t="s">
        <v>8996</v>
      </c>
      <c r="L83" s="468" t="s">
        <v>541</v>
      </c>
    </row>
    <row r="84" spans="1:12" x14ac:dyDescent="0.25">
      <c r="A84" s="485" t="s">
        <v>220</v>
      </c>
      <c r="B84" s="485" t="s">
        <v>702</v>
      </c>
      <c r="C84" s="485"/>
      <c r="D84" s="485" t="s">
        <v>712</v>
      </c>
      <c r="E84" s="485" t="s">
        <v>535</v>
      </c>
      <c r="F84" s="482">
        <v>775</v>
      </c>
      <c r="G84" s="468">
        <v>1.25</v>
      </c>
      <c r="H84" s="479">
        <v>968.75</v>
      </c>
      <c r="I84" s="480" t="s">
        <v>9009</v>
      </c>
      <c r="J84" s="468" t="s">
        <v>9015</v>
      </c>
      <c r="K84" s="468" t="s">
        <v>8996</v>
      </c>
      <c r="L84" s="468" t="s">
        <v>541</v>
      </c>
    </row>
    <row r="85" spans="1:12" x14ac:dyDescent="0.25">
      <c r="A85" s="485" t="s">
        <v>220</v>
      </c>
      <c r="B85" s="485" t="s">
        <v>532</v>
      </c>
      <c r="C85" s="485" t="s">
        <v>7408</v>
      </c>
      <c r="D85" s="485" t="s">
        <v>7685</v>
      </c>
      <c r="E85" s="485" t="s">
        <v>535</v>
      </c>
      <c r="F85" s="482">
        <v>6988.8</v>
      </c>
      <c r="G85" s="468">
        <v>7.4127739116593805</v>
      </c>
      <c r="H85" s="479">
        <v>51806.394313805082</v>
      </c>
      <c r="I85" s="480" t="s">
        <v>9009</v>
      </c>
      <c r="J85" s="468" t="s">
        <v>536</v>
      </c>
      <c r="K85" s="468" t="s">
        <v>9010</v>
      </c>
      <c r="L85" s="468" t="s">
        <v>536</v>
      </c>
    </row>
    <row r="86" spans="1:12" x14ac:dyDescent="0.25">
      <c r="A86" s="485" t="s">
        <v>220</v>
      </c>
      <c r="B86" s="485" t="s">
        <v>532</v>
      </c>
      <c r="C86" s="485" t="s">
        <v>7408</v>
      </c>
      <c r="D86" s="485" t="s">
        <v>9017</v>
      </c>
      <c r="E86" s="485" t="s">
        <v>535</v>
      </c>
      <c r="F86" s="482">
        <v>1319.136</v>
      </c>
      <c r="G86" s="468">
        <v>7.4127739116593805</v>
      </c>
      <c r="H86" s="479">
        <v>9778.4569267307088</v>
      </c>
      <c r="I86" s="480" t="s">
        <v>9009</v>
      </c>
      <c r="J86" s="468" t="s">
        <v>536</v>
      </c>
      <c r="K86" s="468" t="s">
        <v>9010</v>
      </c>
      <c r="L86" s="468" t="s">
        <v>536</v>
      </c>
    </row>
    <row r="87" spans="1:12" x14ac:dyDescent="0.25">
      <c r="A87" s="485" t="s">
        <v>220</v>
      </c>
      <c r="B87" s="485" t="s">
        <v>532</v>
      </c>
      <c r="C87" s="485" t="s">
        <v>7422</v>
      </c>
      <c r="D87" s="485" t="s">
        <v>7686</v>
      </c>
      <c r="E87" s="485" t="s">
        <v>535</v>
      </c>
      <c r="F87" s="482">
        <v>10526.4</v>
      </c>
      <c r="G87" s="468">
        <v>7.4420407775387227</v>
      </c>
      <c r="H87" s="479">
        <v>78337.898040683605</v>
      </c>
      <c r="I87" s="480" t="s">
        <v>9009</v>
      </c>
      <c r="J87" s="468" t="s">
        <v>536</v>
      </c>
      <c r="K87" s="468" t="s">
        <v>9010</v>
      </c>
      <c r="L87" s="468" t="s">
        <v>536</v>
      </c>
    </row>
    <row r="88" spans="1:12" x14ac:dyDescent="0.25">
      <c r="A88" s="485" t="s">
        <v>220</v>
      </c>
      <c r="B88" s="485" t="s">
        <v>532</v>
      </c>
      <c r="C88" s="485" t="s">
        <v>7422</v>
      </c>
      <c r="D88" s="485" t="s">
        <v>9018</v>
      </c>
      <c r="E88" s="485" t="s">
        <v>535</v>
      </c>
      <c r="F88" s="482">
        <v>1206.252</v>
      </c>
      <c r="G88" s="468">
        <v>7.4420407775387227</v>
      </c>
      <c r="H88" s="479">
        <v>8976.9765719876395</v>
      </c>
      <c r="I88" s="480" t="s">
        <v>9009</v>
      </c>
      <c r="J88" s="468" t="s">
        <v>536</v>
      </c>
      <c r="K88" s="468" t="s">
        <v>9010</v>
      </c>
      <c r="L88" s="468" t="s">
        <v>536</v>
      </c>
    </row>
    <row r="89" spans="1:12" x14ac:dyDescent="0.25">
      <c r="A89" s="485" t="s">
        <v>220</v>
      </c>
      <c r="B89" s="485" t="s">
        <v>802</v>
      </c>
      <c r="C89" s="485" t="s">
        <v>7410</v>
      </c>
      <c r="D89" s="485" t="s">
        <v>7742</v>
      </c>
      <c r="E89" s="485" t="s">
        <v>535</v>
      </c>
      <c r="F89" s="482">
        <v>2396</v>
      </c>
      <c r="G89" s="468">
        <v>7.3617335712088465</v>
      </c>
      <c r="H89" s="479">
        <v>17638.713636616398</v>
      </c>
      <c r="I89" s="480" t="s">
        <v>9009</v>
      </c>
      <c r="J89" s="468" t="s">
        <v>536</v>
      </c>
      <c r="K89" s="468" t="s">
        <v>9010</v>
      </c>
      <c r="L89" s="468" t="s">
        <v>536</v>
      </c>
    </row>
    <row r="90" spans="1:12" x14ac:dyDescent="0.25">
      <c r="A90" s="485" t="s">
        <v>220</v>
      </c>
      <c r="B90" s="485" t="s">
        <v>802</v>
      </c>
      <c r="C90" s="485" t="s">
        <v>7413</v>
      </c>
      <c r="D90" s="485" t="s">
        <v>7744</v>
      </c>
      <c r="E90" s="485" t="s">
        <v>535</v>
      </c>
      <c r="F90" s="482">
        <v>522</v>
      </c>
      <c r="G90" s="468">
        <v>7.4518087643638884</v>
      </c>
      <c r="H90" s="479">
        <v>3889.8441749979497</v>
      </c>
      <c r="I90" s="480" t="s">
        <v>9009</v>
      </c>
      <c r="J90" s="468" t="s">
        <v>536</v>
      </c>
      <c r="K90" s="468" t="s">
        <v>9010</v>
      </c>
      <c r="L90" s="468" t="s">
        <v>536</v>
      </c>
    </row>
    <row r="91" spans="1:12" x14ac:dyDescent="0.25">
      <c r="A91" s="485" t="s">
        <v>220</v>
      </c>
      <c r="B91" s="485" t="s">
        <v>7448</v>
      </c>
      <c r="C91" s="485" t="s">
        <v>7600</v>
      </c>
      <c r="D91" s="485" t="s">
        <v>1998</v>
      </c>
      <c r="E91" s="485" t="s">
        <v>545</v>
      </c>
      <c r="F91" s="482">
        <v>38</v>
      </c>
      <c r="G91" s="468">
        <v>70.520665564620202</v>
      </c>
      <c r="H91" s="479">
        <v>2679.7852914555679</v>
      </c>
      <c r="I91" s="480" t="s">
        <v>9009</v>
      </c>
      <c r="J91" s="468" t="s">
        <v>9019</v>
      </c>
      <c r="K91" s="468" t="s">
        <v>9020</v>
      </c>
      <c r="L91" s="468" t="s">
        <v>1911</v>
      </c>
    </row>
    <row r="92" spans="1:12" x14ac:dyDescent="0.25">
      <c r="A92" s="485" t="s">
        <v>220</v>
      </c>
      <c r="B92" s="485" t="s">
        <v>7448</v>
      </c>
      <c r="C92" s="485" t="s">
        <v>2007</v>
      </c>
      <c r="D92" s="485" t="s">
        <v>2007</v>
      </c>
      <c r="E92" s="485" t="s">
        <v>545</v>
      </c>
      <c r="F92" s="482">
        <v>84</v>
      </c>
      <c r="G92" s="468">
        <v>120.1</v>
      </c>
      <c r="H92" s="479">
        <v>10088.4</v>
      </c>
      <c r="I92" s="480" t="s">
        <v>9009</v>
      </c>
      <c r="J92" s="468" t="s">
        <v>9019</v>
      </c>
      <c r="K92" s="468" t="s">
        <v>9020</v>
      </c>
      <c r="L92" s="468" t="s">
        <v>1911</v>
      </c>
    </row>
    <row r="93" spans="1:12" x14ac:dyDescent="0.25">
      <c r="A93" s="485" t="s">
        <v>220</v>
      </c>
      <c r="B93" s="485" t="s">
        <v>7448</v>
      </c>
      <c r="C93" s="485" t="s">
        <v>2008</v>
      </c>
      <c r="D93" s="485" t="s">
        <v>2008</v>
      </c>
      <c r="E93" s="485" t="s">
        <v>545</v>
      </c>
      <c r="F93" s="482">
        <v>71</v>
      </c>
      <c r="G93" s="468">
        <v>120.10000000000001</v>
      </c>
      <c r="H93" s="479">
        <v>8527.1</v>
      </c>
      <c r="I93" s="480" t="s">
        <v>9009</v>
      </c>
      <c r="J93" s="468" t="s">
        <v>9019</v>
      </c>
      <c r="K93" s="468" t="s">
        <v>9020</v>
      </c>
      <c r="L93" s="468" t="s">
        <v>1911</v>
      </c>
    </row>
    <row r="94" spans="1:12" x14ac:dyDescent="0.25">
      <c r="A94" s="485" t="s">
        <v>220</v>
      </c>
      <c r="B94" s="485" t="s">
        <v>7448</v>
      </c>
      <c r="C94" s="485" t="s">
        <v>1936</v>
      </c>
      <c r="D94" s="485" t="s">
        <v>2052</v>
      </c>
      <c r="E94" s="485" t="s">
        <v>545</v>
      </c>
      <c r="F94" s="482">
        <v>26</v>
      </c>
      <c r="G94" s="468">
        <v>67.614958005157533</v>
      </c>
      <c r="H94" s="479">
        <v>1757.9889081340959</v>
      </c>
      <c r="I94" s="480" t="s">
        <v>9009</v>
      </c>
      <c r="J94" s="468" t="s">
        <v>9019</v>
      </c>
      <c r="K94" s="468" t="s">
        <v>9020</v>
      </c>
      <c r="L94" s="468" t="s">
        <v>1911</v>
      </c>
    </row>
    <row r="95" spans="1:12" x14ac:dyDescent="0.25">
      <c r="A95" s="485" t="s">
        <v>220</v>
      </c>
      <c r="B95" s="485" t="s">
        <v>7448</v>
      </c>
      <c r="C95" s="485" t="s">
        <v>7601</v>
      </c>
      <c r="D95" s="485" t="s">
        <v>9021</v>
      </c>
      <c r="E95" s="485" t="s">
        <v>545</v>
      </c>
      <c r="F95" s="482">
        <v>42</v>
      </c>
      <c r="G95" s="468">
        <v>107.19954031499476</v>
      </c>
      <c r="H95" s="479">
        <v>4502.3806932297803</v>
      </c>
      <c r="I95" s="480" t="s">
        <v>9009</v>
      </c>
      <c r="J95" s="468" t="s">
        <v>9019</v>
      </c>
      <c r="K95" s="468" t="s">
        <v>9020</v>
      </c>
      <c r="L95" s="468" t="s">
        <v>1911</v>
      </c>
    </row>
    <row r="96" spans="1:12" x14ac:dyDescent="0.25">
      <c r="A96" s="485" t="s">
        <v>220</v>
      </c>
      <c r="B96" s="485" t="s">
        <v>7448</v>
      </c>
      <c r="C96" s="485" t="s">
        <v>7602</v>
      </c>
      <c r="D96" s="485" t="s">
        <v>9022</v>
      </c>
      <c r="E96" s="485" t="s">
        <v>545</v>
      </c>
      <c r="F96" s="482">
        <v>191</v>
      </c>
      <c r="G96" s="468">
        <v>106.99129289231436</v>
      </c>
      <c r="H96" s="479">
        <v>20435.336942432044</v>
      </c>
      <c r="I96" s="480" t="s">
        <v>9009</v>
      </c>
      <c r="J96" s="468" t="s">
        <v>9019</v>
      </c>
      <c r="K96" s="468" t="s">
        <v>9020</v>
      </c>
      <c r="L96" s="468" t="s">
        <v>1911</v>
      </c>
    </row>
    <row r="97" spans="1:12" x14ac:dyDescent="0.25">
      <c r="A97" s="485" t="s">
        <v>220</v>
      </c>
      <c r="B97" s="485" t="s">
        <v>7448</v>
      </c>
      <c r="C97" s="485" t="s">
        <v>7461</v>
      </c>
      <c r="D97" s="485" t="s">
        <v>2060</v>
      </c>
      <c r="E97" s="485" t="s">
        <v>545</v>
      </c>
      <c r="F97" s="482">
        <v>12</v>
      </c>
      <c r="G97" s="468">
        <v>117.71201190019173</v>
      </c>
      <c r="H97" s="479">
        <v>1412.5441428023007</v>
      </c>
      <c r="I97" s="480" t="s">
        <v>9009</v>
      </c>
      <c r="J97" s="468" t="s">
        <v>9019</v>
      </c>
      <c r="K97" s="468" t="s">
        <v>9020</v>
      </c>
      <c r="L97" s="468" t="s">
        <v>1911</v>
      </c>
    </row>
    <row r="98" spans="1:12" x14ac:dyDescent="0.25">
      <c r="A98" s="485" t="s">
        <v>220</v>
      </c>
      <c r="B98" s="485" t="s">
        <v>7448</v>
      </c>
      <c r="C98" s="485" t="s">
        <v>1938</v>
      </c>
      <c r="D98" s="485" t="s">
        <v>2062</v>
      </c>
      <c r="E98" s="485" t="s">
        <v>545</v>
      </c>
      <c r="F98" s="482">
        <v>44</v>
      </c>
      <c r="G98" s="468">
        <v>102.93403396390786</v>
      </c>
      <c r="H98" s="479">
        <v>4529.0974944119462</v>
      </c>
      <c r="I98" s="480" t="s">
        <v>9009</v>
      </c>
      <c r="J98" s="468" t="s">
        <v>9019</v>
      </c>
      <c r="K98" s="468" t="s">
        <v>9020</v>
      </c>
      <c r="L98" s="468" t="s">
        <v>1911</v>
      </c>
    </row>
    <row r="99" spans="1:12" x14ac:dyDescent="0.25">
      <c r="A99" s="485" t="s">
        <v>220</v>
      </c>
      <c r="B99" s="485" t="s">
        <v>2063</v>
      </c>
      <c r="C99" s="485" t="s">
        <v>2065</v>
      </c>
      <c r="D99" s="485" t="s">
        <v>7604</v>
      </c>
      <c r="E99" s="485" t="s">
        <v>545</v>
      </c>
      <c r="F99" s="482">
        <v>2</v>
      </c>
      <c r="G99" s="468">
        <v>79.008884752092499</v>
      </c>
      <c r="H99" s="479">
        <v>158.017769504185</v>
      </c>
      <c r="I99" s="480" t="s">
        <v>9009</v>
      </c>
      <c r="J99" s="468" t="s">
        <v>9023</v>
      </c>
      <c r="K99" s="468" t="s">
        <v>9024</v>
      </c>
      <c r="L99" s="468" t="s">
        <v>536</v>
      </c>
    </row>
    <row r="100" spans="1:12" x14ac:dyDescent="0.25">
      <c r="A100" s="485" t="s">
        <v>220</v>
      </c>
      <c r="B100" s="485" t="s">
        <v>2063</v>
      </c>
      <c r="C100" s="485" t="s">
        <v>2066</v>
      </c>
      <c r="D100" s="485" t="s">
        <v>7479</v>
      </c>
      <c r="E100" s="485" t="s">
        <v>545</v>
      </c>
      <c r="F100" s="482">
        <v>68</v>
      </c>
      <c r="G100" s="468">
        <v>91.193467462990142</v>
      </c>
      <c r="H100" s="479">
        <v>6201.1557874833297</v>
      </c>
      <c r="I100" s="480" t="s">
        <v>9009</v>
      </c>
      <c r="J100" s="468" t="s">
        <v>9023</v>
      </c>
      <c r="K100" s="468" t="s">
        <v>9024</v>
      </c>
      <c r="L100" s="468" t="s">
        <v>536</v>
      </c>
    </row>
    <row r="101" spans="1:12" x14ac:dyDescent="0.25">
      <c r="A101" s="485" t="s">
        <v>220</v>
      </c>
      <c r="B101" s="485" t="s">
        <v>2063</v>
      </c>
      <c r="C101" s="485" t="s">
        <v>2067</v>
      </c>
      <c r="D101" s="485" t="s">
        <v>7488</v>
      </c>
      <c r="E101" s="485" t="s">
        <v>545</v>
      </c>
      <c r="F101" s="482">
        <v>304</v>
      </c>
      <c r="G101" s="468">
        <v>118.05740899636066</v>
      </c>
      <c r="H101" s="479">
        <v>35889.452334893642</v>
      </c>
      <c r="I101" s="480" t="s">
        <v>9009</v>
      </c>
      <c r="J101" s="468" t="s">
        <v>9023</v>
      </c>
      <c r="K101" s="468" t="s">
        <v>9024</v>
      </c>
      <c r="L101" s="468" t="s">
        <v>536</v>
      </c>
    </row>
    <row r="102" spans="1:12" x14ac:dyDescent="0.25">
      <c r="A102" s="485" t="s">
        <v>220</v>
      </c>
      <c r="B102" s="485" t="s">
        <v>2063</v>
      </c>
      <c r="C102" s="485" t="s">
        <v>2068</v>
      </c>
      <c r="D102" s="485" t="s">
        <v>7605</v>
      </c>
      <c r="E102" s="485" t="s">
        <v>545</v>
      </c>
      <c r="F102" s="482">
        <v>120</v>
      </c>
      <c r="G102" s="468">
        <v>62.017837610952384</v>
      </c>
      <c r="H102" s="479">
        <v>7442.1405133142862</v>
      </c>
      <c r="I102" s="480" t="s">
        <v>9009</v>
      </c>
      <c r="J102" s="468" t="s">
        <v>9023</v>
      </c>
      <c r="K102" s="468" t="s">
        <v>9024</v>
      </c>
      <c r="L102" s="468" t="s">
        <v>536</v>
      </c>
    </row>
    <row r="103" spans="1:12" x14ac:dyDescent="0.25">
      <c r="A103" s="485" t="s">
        <v>220</v>
      </c>
      <c r="B103" s="485" t="s">
        <v>2063</v>
      </c>
      <c r="C103" s="485" t="s">
        <v>2069</v>
      </c>
      <c r="D103" s="485" t="s">
        <v>7606</v>
      </c>
      <c r="E103" s="485" t="s">
        <v>545</v>
      </c>
      <c r="F103" s="482">
        <v>160</v>
      </c>
      <c r="G103" s="468">
        <v>62.453044942328575</v>
      </c>
      <c r="H103" s="479">
        <v>9992.4871907725719</v>
      </c>
      <c r="I103" s="480" t="s">
        <v>9009</v>
      </c>
      <c r="J103" s="468" t="s">
        <v>9023</v>
      </c>
      <c r="K103" s="468" t="s">
        <v>9024</v>
      </c>
      <c r="L103" s="468" t="s">
        <v>536</v>
      </c>
    </row>
    <row r="104" spans="1:12" x14ac:dyDescent="0.25">
      <c r="A104" s="485" t="s">
        <v>220</v>
      </c>
      <c r="B104" s="485" t="s">
        <v>2063</v>
      </c>
      <c r="C104" s="485" t="s">
        <v>2070</v>
      </c>
      <c r="D104" s="485" t="s">
        <v>7606</v>
      </c>
      <c r="E104" s="485" t="s">
        <v>545</v>
      </c>
      <c r="F104" s="482">
        <v>362</v>
      </c>
      <c r="G104" s="468">
        <v>58.628104339135277</v>
      </c>
      <c r="H104" s="479">
        <v>21223.373770766972</v>
      </c>
      <c r="I104" s="480" t="s">
        <v>9009</v>
      </c>
      <c r="J104" s="468" t="s">
        <v>9023</v>
      </c>
      <c r="K104" s="468" t="s">
        <v>9024</v>
      </c>
      <c r="L104" s="468" t="s">
        <v>536</v>
      </c>
    </row>
    <row r="105" spans="1:12" x14ac:dyDescent="0.25">
      <c r="A105" s="485" t="s">
        <v>220</v>
      </c>
      <c r="B105" s="485" t="s">
        <v>2063</v>
      </c>
      <c r="C105" s="485" t="s">
        <v>2071</v>
      </c>
      <c r="D105" s="485" t="s">
        <v>1927</v>
      </c>
      <c r="E105" s="485" t="s">
        <v>545</v>
      </c>
      <c r="F105" s="482">
        <v>137</v>
      </c>
      <c r="G105" s="468">
        <v>73.340594033614138</v>
      </c>
      <c r="H105" s="479">
        <v>10047.661382605136</v>
      </c>
      <c r="I105" s="480" t="s">
        <v>9009</v>
      </c>
      <c r="J105" s="468" t="s">
        <v>9023</v>
      </c>
      <c r="K105" s="468" t="s">
        <v>9024</v>
      </c>
      <c r="L105" s="468" t="s">
        <v>536</v>
      </c>
    </row>
    <row r="106" spans="1:12" x14ac:dyDescent="0.25">
      <c r="A106" s="485" t="s">
        <v>220</v>
      </c>
      <c r="B106" s="485" t="s">
        <v>2063</v>
      </c>
      <c r="C106" s="485" t="s">
        <v>2073</v>
      </c>
      <c r="D106" s="485" t="s">
        <v>7607</v>
      </c>
      <c r="E106" s="485" t="s">
        <v>545</v>
      </c>
      <c r="F106" s="482">
        <v>581</v>
      </c>
      <c r="G106" s="468">
        <v>54.569500774404673</v>
      </c>
      <c r="H106" s="479">
        <v>31704.879949929116</v>
      </c>
      <c r="I106" s="480" t="s">
        <v>9009</v>
      </c>
      <c r="J106" s="468" t="s">
        <v>9023</v>
      </c>
      <c r="K106" s="468" t="s">
        <v>9024</v>
      </c>
      <c r="L106" s="468" t="s">
        <v>536</v>
      </c>
    </row>
    <row r="107" spans="1:12" x14ac:dyDescent="0.25">
      <c r="A107" s="485" t="s">
        <v>220</v>
      </c>
      <c r="B107" s="485" t="s">
        <v>2063</v>
      </c>
      <c r="C107" s="485" t="s">
        <v>2074</v>
      </c>
      <c r="D107" s="485" t="s">
        <v>7608</v>
      </c>
      <c r="E107" s="485" t="s">
        <v>545</v>
      </c>
      <c r="F107" s="482">
        <v>130</v>
      </c>
      <c r="G107" s="468">
        <v>57.605556537142405</v>
      </c>
      <c r="H107" s="479">
        <v>7488.722349828513</v>
      </c>
      <c r="I107" s="480" t="s">
        <v>9009</v>
      </c>
      <c r="J107" s="468" t="s">
        <v>9023</v>
      </c>
      <c r="K107" s="468" t="s">
        <v>9024</v>
      </c>
      <c r="L107" s="468" t="s">
        <v>536</v>
      </c>
    </row>
    <row r="108" spans="1:12" x14ac:dyDescent="0.25">
      <c r="A108" s="485" t="s">
        <v>220</v>
      </c>
      <c r="B108" s="485" t="s">
        <v>2063</v>
      </c>
      <c r="C108" s="485" t="s">
        <v>2075</v>
      </c>
      <c r="D108" s="485" t="s">
        <v>1937</v>
      </c>
      <c r="E108" s="485" t="s">
        <v>545</v>
      </c>
      <c r="F108" s="482">
        <v>1049</v>
      </c>
      <c r="G108" s="468">
        <v>60.597108982258398</v>
      </c>
      <c r="H108" s="479">
        <v>63566.367322389058</v>
      </c>
      <c r="I108" s="480" t="s">
        <v>9009</v>
      </c>
      <c r="J108" s="468" t="s">
        <v>9023</v>
      </c>
      <c r="K108" s="468" t="s">
        <v>9024</v>
      </c>
      <c r="L108" s="468" t="s">
        <v>536</v>
      </c>
    </row>
    <row r="109" spans="1:12" x14ac:dyDescent="0.25">
      <c r="A109" s="485" t="s">
        <v>220</v>
      </c>
      <c r="B109" s="485" t="s">
        <v>2063</v>
      </c>
      <c r="C109" s="485" t="s">
        <v>2076</v>
      </c>
      <c r="D109" s="485" t="s">
        <v>7609</v>
      </c>
      <c r="E109" s="485" t="s">
        <v>545</v>
      </c>
      <c r="F109" s="482">
        <v>1</v>
      </c>
      <c r="G109" s="468">
        <v>91.295004755193162</v>
      </c>
      <c r="H109" s="479">
        <v>91.295004755193162</v>
      </c>
      <c r="I109" s="480" t="s">
        <v>9009</v>
      </c>
      <c r="J109" s="468" t="s">
        <v>9023</v>
      </c>
      <c r="K109" s="468" t="s">
        <v>9024</v>
      </c>
      <c r="L109" s="468" t="s">
        <v>536</v>
      </c>
    </row>
    <row r="110" spans="1:12" x14ac:dyDescent="0.25">
      <c r="A110" s="485" t="s">
        <v>220</v>
      </c>
      <c r="B110" s="485" t="s">
        <v>2063</v>
      </c>
      <c r="C110" s="485" t="s">
        <v>2077</v>
      </c>
      <c r="D110" s="485" t="s">
        <v>7610</v>
      </c>
      <c r="E110" s="485" t="s">
        <v>545</v>
      </c>
      <c r="F110" s="482">
        <v>150</v>
      </c>
      <c r="G110" s="468">
        <v>96.938008737320715</v>
      </c>
      <c r="H110" s="479">
        <v>14540.701310598108</v>
      </c>
      <c r="I110" s="480" t="s">
        <v>9009</v>
      </c>
      <c r="J110" s="468" t="s">
        <v>9023</v>
      </c>
      <c r="K110" s="468" t="s">
        <v>9024</v>
      </c>
      <c r="L110" s="468" t="s">
        <v>536</v>
      </c>
    </row>
    <row r="111" spans="1:12" x14ac:dyDescent="0.25">
      <c r="A111" s="485" t="s">
        <v>220</v>
      </c>
      <c r="B111" s="485" t="s">
        <v>2063</v>
      </c>
      <c r="C111" s="485" t="s">
        <v>2078</v>
      </c>
      <c r="D111" s="485" t="s">
        <v>7478</v>
      </c>
      <c r="E111" s="485" t="s">
        <v>545</v>
      </c>
      <c r="F111" s="482">
        <v>744</v>
      </c>
      <c r="G111" s="468">
        <v>94.855421780273829</v>
      </c>
      <c r="H111" s="479">
        <v>70572.433804523724</v>
      </c>
      <c r="I111" s="480" t="s">
        <v>9009</v>
      </c>
      <c r="J111" s="468" t="s">
        <v>9023</v>
      </c>
      <c r="K111" s="468" t="s">
        <v>9024</v>
      </c>
      <c r="L111" s="468" t="s">
        <v>536</v>
      </c>
    </row>
    <row r="112" spans="1:12" x14ac:dyDescent="0.25">
      <c r="A112" s="485" t="s">
        <v>220</v>
      </c>
      <c r="B112" s="485" t="s">
        <v>2063</v>
      </c>
      <c r="C112" s="485" t="s">
        <v>7597</v>
      </c>
      <c r="D112" s="485" t="s">
        <v>7456</v>
      </c>
      <c r="E112" s="485" t="s">
        <v>545</v>
      </c>
      <c r="F112" s="482">
        <v>85</v>
      </c>
      <c r="G112" s="468">
        <v>122.01405510908974</v>
      </c>
      <c r="H112" s="479">
        <v>10371.194684272628</v>
      </c>
      <c r="I112" s="480" t="s">
        <v>9009</v>
      </c>
      <c r="J112" s="468" t="s">
        <v>9023</v>
      </c>
      <c r="K112" s="468" t="s">
        <v>9024</v>
      </c>
      <c r="L112" s="468" t="s">
        <v>536</v>
      </c>
    </row>
    <row r="113" spans="1:12" x14ac:dyDescent="0.25">
      <c r="A113" s="485" t="s">
        <v>220</v>
      </c>
      <c r="B113" s="485" t="s">
        <v>2063</v>
      </c>
      <c r="C113" s="485" t="s">
        <v>7611</v>
      </c>
      <c r="D113" s="485" t="s">
        <v>7612</v>
      </c>
      <c r="E113" s="485" t="s">
        <v>545</v>
      </c>
      <c r="F113" s="482">
        <v>101</v>
      </c>
      <c r="G113" s="468">
        <v>129.13387861005873</v>
      </c>
      <c r="H113" s="479">
        <v>13042.521739615931</v>
      </c>
      <c r="I113" s="480" t="s">
        <v>9009</v>
      </c>
      <c r="J113" s="468" t="s">
        <v>9023</v>
      </c>
      <c r="K113" s="468" t="s">
        <v>9024</v>
      </c>
      <c r="L113" s="468" t="s">
        <v>536</v>
      </c>
    </row>
    <row r="114" spans="1:12" x14ac:dyDescent="0.25">
      <c r="A114" s="485" t="s">
        <v>220</v>
      </c>
      <c r="B114" s="485" t="s">
        <v>2063</v>
      </c>
      <c r="C114" s="485" t="s">
        <v>2079</v>
      </c>
      <c r="D114" s="485" t="s">
        <v>9025</v>
      </c>
      <c r="E114" s="485" t="s">
        <v>545</v>
      </c>
      <c r="F114" s="482">
        <v>13</v>
      </c>
      <c r="G114" s="468">
        <v>58.024124209097899</v>
      </c>
      <c r="H114" s="479">
        <v>754.31361471827267</v>
      </c>
      <c r="I114" s="480" t="s">
        <v>9009</v>
      </c>
      <c r="J114" s="468" t="s">
        <v>9023</v>
      </c>
      <c r="K114" s="468" t="s">
        <v>9024</v>
      </c>
      <c r="L114" s="468" t="s">
        <v>536</v>
      </c>
    </row>
    <row r="115" spans="1:12" x14ac:dyDescent="0.25">
      <c r="A115" s="485" t="s">
        <v>220</v>
      </c>
      <c r="B115" s="485" t="s">
        <v>2063</v>
      </c>
      <c r="C115" s="485" t="s">
        <v>2079</v>
      </c>
      <c r="D115" s="485" t="s">
        <v>9026</v>
      </c>
      <c r="E115" s="485" t="s">
        <v>545</v>
      </c>
      <c r="F115" s="482">
        <v>78</v>
      </c>
      <c r="G115" s="468">
        <v>58.024124209097899</v>
      </c>
      <c r="H115" s="479">
        <v>4525.881688309636</v>
      </c>
      <c r="I115" s="480" t="s">
        <v>9009</v>
      </c>
      <c r="J115" s="468" t="s">
        <v>9023</v>
      </c>
      <c r="K115" s="468" t="s">
        <v>9024</v>
      </c>
      <c r="L115" s="468" t="s">
        <v>536</v>
      </c>
    </row>
    <row r="116" spans="1:12" x14ac:dyDescent="0.25">
      <c r="A116" s="485" t="s">
        <v>220</v>
      </c>
      <c r="B116" s="485" t="s">
        <v>2063</v>
      </c>
      <c r="C116" s="485" t="s">
        <v>2082</v>
      </c>
      <c r="D116" s="485" t="s">
        <v>9025</v>
      </c>
      <c r="E116" s="485" t="s">
        <v>545</v>
      </c>
      <c r="F116" s="482">
        <v>96</v>
      </c>
      <c r="G116" s="468">
        <v>68.724629957053821</v>
      </c>
      <c r="H116" s="479">
        <v>6597.5644758771668</v>
      </c>
      <c r="I116" s="480" t="s">
        <v>9009</v>
      </c>
      <c r="J116" s="468" t="s">
        <v>9023</v>
      </c>
      <c r="K116" s="468" t="s">
        <v>9024</v>
      </c>
      <c r="L116" s="468" t="s">
        <v>536</v>
      </c>
    </row>
    <row r="117" spans="1:12" x14ac:dyDescent="0.25">
      <c r="A117" s="485" t="s">
        <v>220</v>
      </c>
      <c r="B117" s="485" t="s">
        <v>2063</v>
      </c>
      <c r="C117" s="485" t="s">
        <v>2082</v>
      </c>
      <c r="D117" s="485" t="s">
        <v>9026</v>
      </c>
      <c r="E117" s="485" t="s">
        <v>545</v>
      </c>
      <c r="F117" s="482">
        <v>35</v>
      </c>
      <c r="G117" s="468">
        <v>68.724629957053821</v>
      </c>
      <c r="H117" s="479">
        <v>2405.3620484968837</v>
      </c>
      <c r="I117" s="480" t="s">
        <v>9009</v>
      </c>
      <c r="J117" s="468" t="s">
        <v>9023</v>
      </c>
      <c r="K117" s="468" t="s">
        <v>9024</v>
      </c>
      <c r="L117" s="468" t="s">
        <v>536</v>
      </c>
    </row>
    <row r="118" spans="1:12" x14ac:dyDescent="0.25">
      <c r="A118" s="485" t="s">
        <v>220</v>
      </c>
      <c r="B118" s="485" t="s">
        <v>2063</v>
      </c>
      <c r="C118" s="485" t="s">
        <v>2085</v>
      </c>
      <c r="D118" s="485" t="s">
        <v>7614</v>
      </c>
      <c r="E118" s="485" t="s">
        <v>545</v>
      </c>
      <c r="F118" s="482">
        <v>428</v>
      </c>
      <c r="G118" s="468">
        <v>80.74849803839713</v>
      </c>
      <c r="H118" s="479">
        <v>34560.357160433974</v>
      </c>
      <c r="I118" s="480" t="s">
        <v>9009</v>
      </c>
      <c r="J118" s="468" t="s">
        <v>9023</v>
      </c>
      <c r="K118" s="468" t="s">
        <v>9024</v>
      </c>
      <c r="L118" s="468" t="s">
        <v>536</v>
      </c>
    </row>
    <row r="119" spans="1:12" x14ac:dyDescent="0.25">
      <c r="A119" s="485" t="s">
        <v>220</v>
      </c>
      <c r="B119" s="485" t="s">
        <v>2063</v>
      </c>
      <c r="C119" s="485" t="s">
        <v>2087</v>
      </c>
      <c r="D119" s="485" t="s">
        <v>7490</v>
      </c>
      <c r="E119" s="485" t="s">
        <v>545</v>
      </c>
      <c r="F119" s="482">
        <v>468</v>
      </c>
      <c r="G119" s="468">
        <v>130.48334584556275</v>
      </c>
      <c r="H119" s="479">
        <v>61066.205855723369</v>
      </c>
      <c r="I119" s="480" t="s">
        <v>9009</v>
      </c>
      <c r="J119" s="468" t="s">
        <v>9023</v>
      </c>
      <c r="K119" s="468" t="s">
        <v>9024</v>
      </c>
      <c r="L119" s="468" t="s">
        <v>536</v>
      </c>
    </row>
    <row r="120" spans="1:12" x14ac:dyDescent="0.25">
      <c r="A120" s="485" t="s">
        <v>220</v>
      </c>
      <c r="B120" s="485" t="s">
        <v>2063</v>
      </c>
      <c r="C120" s="485" t="s">
        <v>2088</v>
      </c>
      <c r="D120" s="485" t="s">
        <v>7486</v>
      </c>
      <c r="E120" s="485" t="s">
        <v>545</v>
      </c>
      <c r="F120" s="482">
        <v>2355</v>
      </c>
      <c r="G120" s="468">
        <v>86.213221732088158</v>
      </c>
      <c r="H120" s="479">
        <v>203032.13717906762</v>
      </c>
      <c r="I120" s="480" t="s">
        <v>9009</v>
      </c>
      <c r="J120" s="468" t="s">
        <v>9023</v>
      </c>
      <c r="K120" s="468" t="s">
        <v>9024</v>
      </c>
      <c r="L120" s="468" t="s">
        <v>536</v>
      </c>
    </row>
    <row r="121" spans="1:12" x14ac:dyDescent="0.25">
      <c r="A121" s="485" t="s">
        <v>220</v>
      </c>
      <c r="B121" s="485" t="s">
        <v>2063</v>
      </c>
      <c r="C121" s="485" t="s">
        <v>821</v>
      </c>
      <c r="D121" s="485" t="s">
        <v>822</v>
      </c>
      <c r="E121" s="485" t="s">
        <v>545</v>
      </c>
      <c r="F121" s="482">
        <v>997</v>
      </c>
      <c r="G121" s="468">
        <v>89.112669576956108</v>
      </c>
      <c r="H121" s="479">
        <v>88845.331568225243</v>
      </c>
      <c r="I121" s="480" t="s">
        <v>9009</v>
      </c>
      <c r="J121" s="468" t="s">
        <v>9023</v>
      </c>
      <c r="K121" s="468" t="s">
        <v>9024</v>
      </c>
      <c r="L121" s="468" t="s">
        <v>536</v>
      </c>
    </row>
    <row r="122" spans="1:12" x14ac:dyDescent="0.25">
      <c r="A122" s="485" t="s">
        <v>220</v>
      </c>
      <c r="B122" s="485" t="s">
        <v>2063</v>
      </c>
      <c r="C122" s="485" t="s">
        <v>2091</v>
      </c>
      <c r="D122" s="485" t="s">
        <v>7484</v>
      </c>
      <c r="E122" s="485" t="s">
        <v>545</v>
      </c>
      <c r="F122" s="482">
        <v>43</v>
      </c>
      <c r="G122" s="468">
        <v>121.9715777999086</v>
      </c>
      <c r="H122" s="479">
        <v>5244.77784539607</v>
      </c>
      <c r="I122" s="480" t="s">
        <v>9009</v>
      </c>
      <c r="J122" s="468" t="s">
        <v>9023</v>
      </c>
      <c r="K122" s="468" t="s">
        <v>9024</v>
      </c>
      <c r="L122" s="468" t="s">
        <v>536</v>
      </c>
    </row>
    <row r="123" spans="1:12" x14ac:dyDescent="0.25">
      <c r="A123" s="485" t="s">
        <v>220</v>
      </c>
      <c r="B123" s="485" t="s">
        <v>2063</v>
      </c>
      <c r="C123" s="485" t="s">
        <v>2092</v>
      </c>
      <c r="D123" s="485" t="s">
        <v>7491</v>
      </c>
      <c r="E123" s="485" t="s">
        <v>545</v>
      </c>
      <c r="F123" s="482">
        <v>643</v>
      </c>
      <c r="G123" s="468">
        <v>119.75196790760265</v>
      </c>
      <c r="H123" s="479">
        <v>77000.5153645885</v>
      </c>
      <c r="I123" s="480" t="s">
        <v>9009</v>
      </c>
      <c r="J123" s="468" t="s">
        <v>9023</v>
      </c>
      <c r="K123" s="468" t="s">
        <v>9024</v>
      </c>
      <c r="L123" s="468" t="s">
        <v>536</v>
      </c>
    </row>
    <row r="124" spans="1:12" x14ac:dyDescent="0.25">
      <c r="A124" s="485" t="s">
        <v>220</v>
      </c>
      <c r="B124" s="485" t="s">
        <v>2063</v>
      </c>
      <c r="C124" s="485" t="s">
        <v>2094</v>
      </c>
      <c r="D124" s="485" t="s">
        <v>7487</v>
      </c>
      <c r="E124" s="485" t="s">
        <v>545</v>
      </c>
      <c r="F124" s="482">
        <v>81</v>
      </c>
      <c r="G124" s="468">
        <v>148.47895189180289</v>
      </c>
      <c r="H124" s="479">
        <v>12026.795103236034</v>
      </c>
      <c r="I124" s="480" t="s">
        <v>9009</v>
      </c>
      <c r="J124" s="468" t="s">
        <v>9023</v>
      </c>
      <c r="K124" s="468" t="s">
        <v>9024</v>
      </c>
      <c r="L124" s="468" t="s">
        <v>536</v>
      </c>
    </row>
    <row r="125" spans="1:12" x14ac:dyDescent="0.25">
      <c r="A125" s="485" t="s">
        <v>220</v>
      </c>
      <c r="B125" s="485" t="s">
        <v>2063</v>
      </c>
      <c r="C125" s="485" t="s">
        <v>2096</v>
      </c>
      <c r="D125" s="485" t="s">
        <v>7618</v>
      </c>
      <c r="E125" s="485" t="s">
        <v>545</v>
      </c>
      <c r="F125" s="482">
        <v>9</v>
      </c>
      <c r="G125" s="468">
        <v>159.41117284642456</v>
      </c>
      <c r="H125" s="479">
        <v>1434.700555617821</v>
      </c>
      <c r="I125" s="480" t="s">
        <v>9009</v>
      </c>
      <c r="J125" s="468" t="s">
        <v>9023</v>
      </c>
      <c r="K125" s="468" t="s">
        <v>9024</v>
      </c>
      <c r="L125" s="468" t="s">
        <v>536</v>
      </c>
    </row>
    <row r="126" spans="1:12" x14ac:dyDescent="0.25">
      <c r="A126" s="485" t="s">
        <v>220</v>
      </c>
      <c r="B126" s="485" t="s">
        <v>2063</v>
      </c>
      <c r="C126" s="485" t="s">
        <v>7620</v>
      </c>
      <c r="D126" s="485" t="s">
        <v>7457</v>
      </c>
      <c r="E126" s="485" t="s">
        <v>545</v>
      </c>
      <c r="F126" s="482">
        <v>56</v>
      </c>
      <c r="G126" s="468">
        <v>207.19813862212391</v>
      </c>
      <c r="H126" s="479">
        <v>11603.095762838939</v>
      </c>
      <c r="I126" s="480" t="s">
        <v>9009</v>
      </c>
      <c r="J126" s="468" t="s">
        <v>9023</v>
      </c>
      <c r="K126" s="468" t="s">
        <v>9024</v>
      </c>
      <c r="L126" s="468" t="s">
        <v>536</v>
      </c>
    </row>
    <row r="127" spans="1:12" x14ac:dyDescent="0.25">
      <c r="A127" s="485" t="s">
        <v>220</v>
      </c>
      <c r="B127" s="485" t="s">
        <v>2063</v>
      </c>
      <c r="C127" s="485" t="s">
        <v>7450</v>
      </c>
      <c r="D127" s="485" t="s">
        <v>7621</v>
      </c>
      <c r="E127" s="485" t="s">
        <v>545</v>
      </c>
      <c r="F127" s="482">
        <v>9</v>
      </c>
      <c r="G127" s="468">
        <v>230.6956480839454</v>
      </c>
      <c r="H127" s="479">
        <v>2076.2608327555085</v>
      </c>
      <c r="I127" s="480" t="s">
        <v>9009</v>
      </c>
      <c r="J127" s="468" t="s">
        <v>9023</v>
      </c>
      <c r="K127" s="468" t="s">
        <v>9024</v>
      </c>
      <c r="L127" s="468" t="s">
        <v>536</v>
      </c>
    </row>
    <row r="128" spans="1:12" x14ac:dyDescent="0.25">
      <c r="A128" s="485" t="s">
        <v>220</v>
      </c>
      <c r="B128" s="485" t="s">
        <v>2063</v>
      </c>
      <c r="C128" s="485" t="s">
        <v>2088</v>
      </c>
      <c r="D128" s="485" t="s">
        <v>7486</v>
      </c>
      <c r="E128" s="485" t="s">
        <v>545</v>
      </c>
      <c r="F128" s="482">
        <v>44</v>
      </c>
      <c r="G128" s="468">
        <v>86.213221732088158</v>
      </c>
      <c r="H128" s="479">
        <v>3793.3817562118788</v>
      </c>
      <c r="I128" s="480" t="s">
        <v>9009</v>
      </c>
      <c r="J128" s="468" t="s">
        <v>9023</v>
      </c>
      <c r="K128" s="468" t="s">
        <v>9024</v>
      </c>
      <c r="L128" s="468" t="s">
        <v>536</v>
      </c>
    </row>
    <row r="129" spans="1:12" x14ac:dyDescent="0.25">
      <c r="A129" s="485" t="s">
        <v>220</v>
      </c>
      <c r="B129" s="485" t="s">
        <v>2063</v>
      </c>
      <c r="C129" s="485" t="s">
        <v>821</v>
      </c>
      <c r="D129" s="485" t="s">
        <v>822</v>
      </c>
      <c r="E129" s="485" t="s">
        <v>545</v>
      </c>
      <c r="F129" s="482">
        <v>100</v>
      </c>
      <c r="G129" s="468">
        <v>89.112669576956108</v>
      </c>
      <c r="H129" s="479">
        <v>8911.2669576956105</v>
      </c>
      <c r="I129" s="480" t="s">
        <v>9009</v>
      </c>
      <c r="J129" s="468" t="s">
        <v>9023</v>
      </c>
      <c r="K129" s="468" t="s">
        <v>9024</v>
      </c>
      <c r="L129" s="468" t="s">
        <v>536</v>
      </c>
    </row>
    <row r="130" spans="1:12" x14ac:dyDescent="0.25">
      <c r="A130" s="485" t="s">
        <v>220</v>
      </c>
      <c r="B130" s="485" t="s">
        <v>2063</v>
      </c>
      <c r="C130" s="485" t="s">
        <v>7622</v>
      </c>
      <c r="D130" s="485" t="s">
        <v>7623</v>
      </c>
      <c r="E130" s="485" t="s">
        <v>545</v>
      </c>
      <c r="F130" s="482">
        <v>88</v>
      </c>
      <c r="G130" s="468">
        <v>95.707268276369589</v>
      </c>
      <c r="H130" s="479">
        <v>8422.239608320524</v>
      </c>
      <c r="I130" s="480" t="s">
        <v>9009</v>
      </c>
      <c r="J130" s="468" t="s">
        <v>9023</v>
      </c>
      <c r="K130" s="468" t="s">
        <v>9024</v>
      </c>
      <c r="L130" s="468" t="s">
        <v>536</v>
      </c>
    </row>
    <row r="131" spans="1:12" x14ac:dyDescent="0.25">
      <c r="A131" s="485" t="s">
        <v>220</v>
      </c>
      <c r="B131" s="485" t="s">
        <v>2063</v>
      </c>
      <c r="C131" s="485" t="s">
        <v>7631</v>
      </c>
      <c r="D131" s="485" t="s">
        <v>7752</v>
      </c>
      <c r="E131" s="485" t="s">
        <v>545</v>
      </c>
      <c r="F131" s="482">
        <v>312</v>
      </c>
      <c r="G131" s="468">
        <v>53.361335118244675</v>
      </c>
      <c r="H131" s="479">
        <v>16648.736556892338</v>
      </c>
      <c r="I131" s="480" t="s">
        <v>9009</v>
      </c>
      <c r="J131" s="468" t="s">
        <v>9023</v>
      </c>
      <c r="K131" s="468" t="s">
        <v>9024</v>
      </c>
      <c r="L131" s="468" t="s">
        <v>536</v>
      </c>
    </row>
    <row r="132" spans="1:12" x14ac:dyDescent="0.25">
      <c r="A132" s="485" t="s">
        <v>220</v>
      </c>
      <c r="B132" s="485" t="s">
        <v>2063</v>
      </c>
      <c r="C132" s="485" t="s">
        <v>7634</v>
      </c>
      <c r="D132" s="485" t="s">
        <v>7635</v>
      </c>
      <c r="E132" s="485" t="s">
        <v>545</v>
      </c>
      <c r="F132" s="482">
        <v>174</v>
      </c>
      <c r="G132" s="468">
        <v>59.140007179103414</v>
      </c>
      <c r="H132" s="479">
        <v>10290.361249163994</v>
      </c>
      <c r="I132" s="480" t="s">
        <v>9009</v>
      </c>
      <c r="J132" s="468" t="s">
        <v>9023</v>
      </c>
      <c r="K132" s="468" t="s">
        <v>9024</v>
      </c>
      <c r="L132" s="468" t="s">
        <v>536</v>
      </c>
    </row>
    <row r="133" spans="1:12" x14ac:dyDescent="0.25">
      <c r="A133" s="485" t="s">
        <v>220</v>
      </c>
      <c r="B133" s="485" t="s">
        <v>2063</v>
      </c>
      <c r="C133" s="485" t="s">
        <v>2123</v>
      </c>
      <c r="D133" s="485" t="s">
        <v>7636</v>
      </c>
      <c r="E133" s="485" t="s">
        <v>545</v>
      </c>
      <c r="F133" s="482">
        <v>27</v>
      </c>
      <c r="G133" s="468">
        <v>94.226177099213487</v>
      </c>
      <c r="H133" s="479">
        <v>2544.106781678764</v>
      </c>
      <c r="I133" s="480" t="s">
        <v>9009</v>
      </c>
      <c r="J133" s="468" t="s">
        <v>9023</v>
      </c>
      <c r="K133" s="468" t="s">
        <v>9024</v>
      </c>
      <c r="L133" s="468" t="s">
        <v>536</v>
      </c>
    </row>
    <row r="134" spans="1:12" x14ac:dyDescent="0.25">
      <c r="A134" s="485" t="s">
        <v>220</v>
      </c>
      <c r="B134" s="485" t="s">
        <v>2063</v>
      </c>
      <c r="C134" s="485" t="s">
        <v>7639</v>
      </c>
      <c r="D134" s="485" t="s">
        <v>7640</v>
      </c>
      <c r="E134" s="485" t="s">
        <v>545</v>
      </c>
      <c r="F134" s="482">
        <v>23</v>
      </c>
      <c r="G134" s="468">
        <v>48.378093674009328</v>
      </c>
      <c r="H134" s="479">
        <v>1112.6961545022145</v>
      </c>
      <c r="I134" s="480" t="s">
        <v>9009</v>
      </c>
      <c r="J134" s="468" t="s">
        <v>9023</v>
      </c>
      <c r="K134" s="468" t="s">
        <v>9024</v>
      </c>
      <c r="L134" s="468" t="s">
        <v>536</v>
      </c>
    </row>
    <row r="135" spans="1:12" x14ac:dyDescent="0.25">
      <c r="A135" s="485" t="s">
        <v>220</v>
      </c>
      <c r="B135" s="485" t="s">
        <v>2063</v>
      </c>
      <c r="C135" s="485" t="s">
        <v>2069</v>
      </c>
      <c r="D135" s="485" t="s">
        <v>7606</v>
      </c>
      <c r="E135" s="485" t="s">
        <v>545</v>
      </c>
      <c r="F135" s="482">
        <v>1446</v>
      </c>
      <c r="G135" s="468">
        <v>62.453044942328575</v>
      </c>
      <c r="H135" s="479">
        <v>90307.102986607119</v>
      </c>
      <c r="I135" s="480" t="s">
        <v>9009</v>
      </c>
      <c r="J135" s="468" t="s">
        <v>9023</v>
      </c>
      <c r="K135" s="468" t="s">
        <v>9024</v>
      </c>
      <c r="L135" s="468" t="s">
        <v>536</v>
      </c>
    </row>
    <row r="136" spans="1:12" x14ac:dyDescent="0.25">
      <c r="A136" s="485" t="s">
        <v>220</v>
      </c>
      <c r="B136" s="485" t="s">
        <v>2063</v>
      </c>
      <c r="C136" s="485" t="s">
        <v>2071</v>
      </c>
      <c r="D136" s="485" t="s">
        <v>1927</v>
      </c>
      <c r="E136" s="485" t="s">
        <v>545</v>
      </c>
      <c r="F136" s="482">
        <v>3855</v>
      </c>
      <c r="G136" s="468">
        <v>73.340594033614138</v>
      </c>
      <c r="H136" s="479">
        <v>282727.98999958253</v>
      </c>
      <c r="I136" s="480" t="s">
        <v>9009</v>
      </c>
      <c r="J136" s="468" t="s">
        <v>9023</v>
      </c>
      <c r="K136" s="468" t="s">
        <v>9024</v>
      </c>
      <c r="L136" s="468" t="s">
        <v>536</v>
      </c>
    </row>
    <row r="137" spans="1:12" x14ac:dyDescent="0.25">
      <c r="A137" s="485" t="s">
        <v>220</v>
      </c>
      <c r="B137" s="485" t="s">
        <v>2063</v>
      </c>
      <c r="C137" s="485" t="s">
        <v>2136</v>
      </c>
      <c r="D137" s="485" t="s">
        <v>7645</v>
      </c>
      <c r="E137" s="485" t="s">
        <v>545</v>
      </c>
      <c r="F137" s="482">
        <v>350</v>
      </c>
      <c r="G137" s="468">
        <v>107.34856384398095</v>
      </c>
      <c r="H137" s="479">
        <v>37571.997345393334</v>
      </c>
      <c r="I137" s="480" t="s">
        <v>9009</v>
      </c>
      <c r="J137" s="468" t="s">
        <v>9023</v>
      </c>
      <c r="K137" s="468" t="s">
        <v>9024</v>
      </c>
      <c r="L137" s="468" t="s">
        <v>536</v>
      </c>
    </row>
    <row r="138" spans="1:12" x14ac:dyDescent="0.25">
      <c r="A138" s="485" t="s">
        <v>220</v>
      </c>
      <c r="B138" s="485" t="s">
        <v>2063</v>
      </c>
      <c r="C138" s="485" t="s">
        <v>2075</v>
      </c>
      <c r="D138" s="485" t="s">
        <v>1937</v>
      </c>
      <c r="E138" s="485" t="s">
        <v>545</v>
      </c>
      <c r="F138" s="482">
        <v>30</v>
      </c>
      <c r="G138" s="468">
        <v>60.597108982258398</v>
      </c>
      <c r="H138" s="479">
        <v>1817.9132694677519</v>
      </c>
      <c r="I138" s="480" t="s">
        <v>9009</v>
      </c>
      <c r="J138" s="468" t="s">
        <v>9023</v>
      </c>
      <c r="K138" s="468" t="s">
        <v>9024</v>
      </c>
      <c r="L138" s="468" t="s">
        <v>536</v>
      </c>
    </row>
    <row r="139" spans="1:12" x14ac:dyDescent="0.25">
      <c r="A139" s="485" t="s">
        <v>220</v>
      </c>
      <c r="B139" s="485" t="s">
        <v>2063</v>
      </c>
      <c r="C139" s="485" t="s">
        <v>2076</v>
      </c>
      <c r="D139" s="485" t="s">
        <v>7609</v>
      </c>
      <c r="E139" s="485" t="s">
        <v>545</v>
      </c>
      <c r="F139" s="482">
        <v>99</v>
      </c>
      <c r="G139" s="468">
        <v>91.295004755193162</v>
      </c>
      <c r="H139" s="479">
        <v>9038.2054707641237</v>
      </c>
      <c r="I139" s="480" t="s">
        <v>9009</v>
      </c>
      <c r="J139" s="468" t="s">
        <v>9023</v>
      </c>
      <c r="K139" s="468" t="s">
        <v>9024</v>
      </c>
      <c r="L139" s="468" t="s">
        <v>536</v>
      </c>
    </row>
    <row r="140" spans="1:12" x14ac:dyDescent="0.25">
      <c r="A140" s="485" t="s">
        <v>220</v>
      </c>
      <c r="B140" s="485" t="s">
        <v>2063</v>
      </c>
      <c r="C140" s="485" t="s">
        <v>9027</v>
      </c>
      <c r="D140" s="485" t="s">
        <v>9028</v>
      </c>
      <c r="E140" s="485" t="s">
        <v>545</v>
      </c>
      <c r="F140" s="482">
        <v>132</v>
      </c>
      <c r="G140" s="468">
        <v>105.14249120749017</v>
      </c>
      <c r="H140" s="479">
        <v>13878.808839388703</v>
      </c>
      <c r="I140" s="480" t="s">
        <v>9009</v>
      </c>
      <c r="J140" s="468" t="s">
        <v>9023</v>
      </c>
      <c r="K140" s="468" t="s">
        <v>9024</v>
      </c>
      <c r="L140" s="468" t="s">
        <v>536</v>
      </c>
    </row>
    <row r="141" spans="1:12" x14ac:dyDescent="0.25">
      <c r="A141" s="485" t="s">
        <v>220</v>
      </c>
      <c r="B141" s="485" t="s">
        <v>2063</v>
      </c>
      <c r="C141" s="485" t="s">
        <v>2151</v>
      </c>
      <c r="D141" s="485" t="s">
        <v>7626</v>
      </c>
      <c r="E141" s="485" t="s">
        <v>545</v>
      </c>
      <c r="F141" s="482">
        <v>30</v>
      </c>
      <c r="G141" s="468">
        <v>108.50455003875166</v>
      </c>
      <c r="H141" s="479">
        <v>3255.1365011625498</v>
      </c>
      <c r="I141" s="480" t="s">
        <v>9009</v>
      </c>
      <c r="J141" s="468" t="s">
        <v>9023</v>
      </c>
      <c r="K141" s="468" t="s">
        <v>9024</v>
      </c>
      <c r="L141" s="468" t="s">
        <v>536</v>
      </c>
    </row>
    <row r="142" spans="1:12" x14ac:dyDescent="0.25">
      <c r="A142" s="485" t="s">
        <v>220</v>
      </c>
      <c r="B142" s="485" t="s">
        <v>2063</v>
      </c>
      <c r="C142" s="485" t="s">
        <v>7597</v>
      </c>
      <c r="D142" s="485" t="s">
        <v>7456</v>
      </c>
      <c r="E142" s="485" t="s">
        <v>545</v>
      </c>
      <c r="F142" s="482">
        <v>395</v>
      </c>
      <c r="G142" s="468">
        <v>122.01405510908974</v>
      </c>
      <c r="H142" s="479">
        <v>48195.551768090445</v>
      </c>
      <c r="I142" s="480" t="s">
        <v>9009</v>
      </c>
      <c r="J142" s="468" t="s">
        <v>9023</v>
      </c>
      <c r="K142" s="468" t="s">
        <v>9024</v>
      </c>
      <c r="L142" s="468" t="s">
        <v>536</v>
      </c>
    </row>
    <row r="143" spans="1:12" x14ac:dyDescent="0.25">
      <c r="A143" s="485" t="s">
        <v>220</v>
      </c>
      <c r="B143" s="485" t="s">
        <v>2063</v>
      </c>
      <c r="C143" s="485" t="s">
        <v>2141</v>
      </c>
      <c r="D143" s="485" t="s">
        <v>7649</v>
      </c>
      <c r="E143" s="485" t="s">
        <v>545</v>
      </c>
      <c r="F143" s="482">
        <v>83</v>
      </c>
      <c r="G143" s="468">
        <v>72.690253470847153</v>
      </c>
      <c r="H143" s="479">
        <v>6033.2910380803141</v>
      </c>
      <c r="I143" s="480" t="s">
        <v>9009</v>
      </c>
      <c r="J143" s="468" t="s">
        <v>9023</v>
      </c>
      <c r="K143" s="468" t="s">
        <v>9024</v>
      </c>
      <c r="L143" s="468" t="s">
        <v>536</v>
      </c>
    </row>
    <row r="144" spans="1:12" x14ac:dyDescent="0.25">
      <c r="A144" s="485" t="s">
        <v>220</v>
      </c>
      <c r="B144" s="485" t="s">
        <v>2063</v>
      </c>
      <c r="C144" s="485" t="s">
        <v>7508</v>
      </c>
      <c r="D144" s="485" t="s">
        <v>7604</v>
      </c>
      <c r="E144" s="485" t="s">
        <v>545</v>
      </c>
      <c r="F144" s="482">
        <v>20</v>
      </c>
      <c r="G144" s="468">
        <v>73.907105357728199</v>
      </c>
      <c r="H144" s="479">
        <v>1478.142107154564</v>
      </c>
      <c r="I144" s="480" t="s">
        <v>9009</v>
      </c>
      <c r="J144" s="468" t="s">
        <v>9023</v>
      </c>
      <c r="K144" s="468" t="s">
        <v>9024</v>
      </c>
      <c r="L144" s="468" t="s">
        <v>536</v>
      </c>
    </row>
    <row r="145" spans="1:12" x14ac:dyDescent="0.25">
      <c r="A145" s="485" t="s">
        <v>220</v>
      </c>
      <c r="B145" s="485" t="s">
        <v>2063</v>
      </c>
      <c r="C145" s="485" t="s">
        <v>7652</v>
      </c>
      <c r="D145" s="485" t="s">
        <v>7653</v>
      </c>
      <c r="E145" s="485" t="s">
        <v>545</v>
      </c>
      <c r="F145" s="482">
        <v>31</v>
      </c>
      <c r="G145" s="468">
        <v>85.566789816282565</v>
      </c>
      <c r="H145" s="479">
        <v>2652.5704843047597</v>
      </c>
      <c r="I145" s="480" t="s">
        <v>9009</v>
      </c>
      <c r="J145" s="468" t="s">
        <v>9023</v>
      </c>
      <c r="K145" s="468" t="s">
        <v>9024</v>
      </c>
      <c r="L145" s="468" t="s">
        <v>536</v>
      </c>
    </row>
    <row r="146" spans="1:12" x14ac:dyDescent="0.25">
      <c r="A146" s="485" t="s">
        <v>220</v>
      </c>
      <c r="B146" s="485" t="s">
        <v>2063</v>
      </c>
      <c r="C146" s="485" t="s">
        <v>7654</v>
      </c>
      <c r="D146" s="485" t="s">
        <v>7655</v>
      </c>
      <c r="E146" s="485" t="s">
        <v>545</v>
      </c>
      <c r="F146" s="482">
        <v>941</v>
      </c>
      <c r="G146" s="468">
        <v>91.915233131790458</v>
      </c>
      <c r="H146" s="479">
        <v>86492.234377014815</v>
      </c>
      <c r="I146" s="480" t="s">
        <v>9009</v>
      </c>
      <c r="J146" s="468" t="s">
        <v>9023</v>
      </c>
      <c r="K146" s="468" t="s">
        <v>9024</v>
      </c>
      <c r="L146" s="468" t="s">
        <v>536</v>
      </c>
    </row>
    <row r="147" spans="1:12" x14ac:dyDescent="0.25">
      <c r="A147" s="485" t="s">
        <v>220</v>
      </c>
      <c r="B147" s="485" t="s">
        <v>2063</v>
      </c>
      <c r="C147" s="485" t="s">
        <v>9029</v>
      </c>
      <c r="D147" s="485" t="s">
        <v>7645</v>
      </c>
      <c r="E147" s="485" t="s">
        <v>545</v>
      </c>
      <c r="F147" s="482">
        <v>90</v>
      </c>
      <c r="G147" s="468">
        <v>108.13184729626168</v>
      </c>
      <c r="H147" s="479">
        <v>9731.8662566635521</v>
      </c>
      <c r="I147" s="480" t="s">
        <v>9009</v>
      </c>
      <c r="J147" s="468" t="s">
        <v>9023</v>
      </c>
      <c r="K147" s="468" t="s">
        <v>9024</v>
      </c>
      <c r="L147" s="468" t="s">
        <v>536</v>
      </c>
    </row>
    <row r="148" spans="1:12" x14ac:dyDescent="0.25">
      <c r="A148" s="485" t="s">
        <v>220</v>
      </c>
      <c r="B148" s="485" t="s">
        <v>2063</v>
      </c>
      <c r="C148" s="485" t="s">
        <v>2075</v>
      </c>
      <c r="D148" s="485" t="s">
        <v>7656</v>
      </c>
      <c r="E148" s="485" t="s">
        <v>545</v>
      </c>
      <c r="F148" s="482">
        <v>177</v>
      </c>
      <c r="G148" s="468">
        <v>60.597108982258398</v>
      </c>
      <c r="H148" s="479">
        <v>10725.688289859736</v>
      </c>
      <c r="I148" s="480" t="s">
        <v>9009</v>
      </c>
      <c r="J148" s="468" t="s">
        <v>9023</v>
      </c>
      <c r="K148" s="468" t="s">
        <v>9024</v>
      </c>
      <c r="L148" s="468" t="s">
        <v>536</v>
      </c>
    </row>
    <row r="149" spans="1:12" x14ac:dyDescent="0.25">
      <c r="A149" s="485" t="s">
        <v>220</v>
      </c>
      <c r="B149" s="485" t="s">
        <v>7455</v>
      </c>
      <c r="C149" s="485" t="s">
        <v>2064</v>
      </c>
      <c r="D149" s="485" t="s">
        <v>7603</v>
      </c>
      <c r="E149" s="485" t="s">
        <v>545</v>
      </c>
      <c r="F149" s="482">
        <v>14</v>
      </c>
      <c r="G149" s="468">
        <v>66.721491131367998</v>
      </c>
      <c r="H149" s="479">
        <v>934.10087583915197</v>
      </c>
      <c r="I149" s="480" t="s">
        <v>9009</v>
      </c>
      <c r="J149" s="468" t="s">
        <v>9023</v>
      </c>
      <c r="K149" s="468" t="s">
        <v>9024</v>
      </c>
      <c r="L149" s="468" t="s">
        <v>536</v>
      </c>
    </row>
    <row r="150" spans="1:12" x14ac:dyDescent="0.25">
      <c r="A150" s="485" t="s">
        <v>220</v>
      </c>
      <c r="B150" s="485" t="s">
        <v>7455</v>
      </c>
      <c r="C150" s="485" t="s">
        <v>2066</v>
      </c>
      <c r="D150" s="485" t="s">
        <v>7479</v>
      </c>
      <c r="E150" s="485" t="s">
        <v>545</v>
      </c>
      <c r="F150" s="482">
        <v>1361</v>
      </c>
      <c r="G150" s="468">
        <v>91.193467462990142</v>
      </c>
      <c r="H150" s="479">
        <v>124114.30921712959</v>
      </c>
      <c r="I150" s="480" t="s">
        <v>9009</v>
      </c>
      <c r="J150" s="468" t="s">
        <v>9023</v>
      </c>
      <c r="K150" s="468" t="s">
        <v>9024</v>
      </c>
      <c r="L150" s="468" t="s">
        <v>536</v>
      </c>
    </row>
    <row r="151" spans="1:12" x14ac:dyDescent="0.25">
      <c r="A151" s="485" t="s">
        <v>220</v>
      </c>
      <c r="B151" s="485" t="s">
        <v>7455</v>
      </c>
      <c r="C151" s="485" t="s">
        <v>2067</v>
      </c>
      <c r="D151" s="485" t="s">
        <v>7488</v>
      </c>
      <c r="E151" s="485" t="s">
        <v>545</v>
      </c>
      <c r="F151" s="482">
        <v>217</v>
      </c>
      <c r="G151" s="468">
        <v>118.05740899636066</v>
      </c>
      <c r="H151" s="479">
        <v>25618.457752210263</v>
      </c>
      <c r="I151" s="480" t="s">
        <v>9009</v>
      </c>
      <c r="J151" s="468" t="s">
        <v>9023</v>
      </c>
      <c r="K151" s="468" t="s">
        <v>9024</v>
      </c>
      <c r="L151" s="468" t="s">
        <v>536</v>
      </c>
    </row>
    <row r="152" spans="1:12" x14ac:dyDescent="0.25">
      <c r="A152" s="485" t="s">
        <v>220</v>
      </c>
      <c r="B152" s="485" t="s">
        <v>7455</v>
      </c>
      <c r="C152" s="485" t="s">
        <v>2069</v>
      </c>
      <c r="D152" s="485" t="s">
        <v>7606</v>
      </c>
      <c r="E152" s="485" t="s">
        <v>545</v>
      </c>
      <c r="F152" s="482">
        <v>30</v>
      </c>
      <c r="G152" s="468">
        <v>62.453044942328575</v>
      </c>
      <c r="H152" s="479">
        <v>1873.5913482698572</v>
      </c>
      <c r="I152" s="480" t="s">
        <v>9009</v>
      </c>
      <c r="J152" s="468" t="s">
        <v>9023</v>
      </c>
      <c r="K152" s="468" t="s">
        <v>9024</v>
      </c>
      <c r="L152" s="468" t="s">
        <v>536</v>
      </c>
    </row>
    <row r="153" spans="1:12" x14ac:dyDescent="0.25">
      <c r="A153" s="485" t="s">
        <v>220</v>
      </c>
      <c r="B153" s="485" t="s">
        <v>7455</v>
      </c>
      <c r="C153" s="485" t="s">
        <v>2073</v>
      </c>
      <c r="D153" s="485" t="s">
        <v>7607</v>
      </c>
      <c r="E153" s="485" t="s">
        <v>545</v>
      </c>
      <c r="F153" s="482">
        <v>21</v>
      </c>
      <c r="G153" s="468">
        <v>54.569500774404673</v>
      </c>
      <c r="H153" s="479">
        <v>1145.9595162624983</v>
      </c>
      <c r="I153" s="480" t="s">
        <v>9009</v>
      </c>
      <c r="J153" s="468" t="s">
        <v>9023</v>
      </c>
      <c r="K153" s="468" t="s">
        <v>9024</v>
      </c>
      <c r="L153" s="468" t="s">
        <v>536</v>
      </c>
    </row>
    <row r="154" spans="1:12" x14ac:dyDescent="0.25">
      <c r="A154" s="485" t="s">
        <v>220</v>
      </c>
      <c r="B154" s="485" t="s">
        <v>7455</v>
      </c>
      <c r="C154" s="485" t="s">
        <v>2078</v>
      </c>
      <c r="D154" s="485" t="s">
        <v>7478</v>
      </c>
      <c r="E154" s="485" t="s">
        <v>545</v>
      </c>
      <c r="F154" s="482">
        <v>23</v>
      </c>
      <c r="G154" s="468">
        <v>94.855421780273829</v>
      </c>
      <c r="H154" s="479">
        <v>2181.6747009462979</v>
      </c>
      <c r="I154" s="480" t="s">
        <v>9009</v>
      </c>
      <c r="J154" s="468" t="s">
        <v>9023</v>
      </c>
      <c r="K154" s="468" t="s">
        <v>9024</v>
      </c>
      <c r="L154" s="468" t="s">
        <v>536</v>
      </c>
    </row>
    <row r="155" spans="1:12" x14ac:dyDescent="0.25">
      <c r="A155" s="485" t="s">
        <v>220</v>
      </c>
      <c r="B155" s="485" t="s">
        <v>7455</v>
      </c>
      <c r="C155" s="485" t="s">
        <v>7611</v>
      </c>
      <c r="D155" s="485" t="s">
        <v>7612</v>
      </c>
      <c r="E155" s="485" t="s">
        <v>545</v>
      </c>
      <c r="F155" s="482">
        <v>9</v>
      </c>
      <c r="G155" s="468">
        <v>129.13387861005873</v>
      </c>
      <c r="H155" s="479">
        <v>1162.2049074905285</v>
      </c>
      <c r="I155" s="480" t="s">
        <v>9009</v>
      </c>
      <c r="J155" s="468" t="s">
        <v>9023</v>
      </c>
      <c r="K155" s="468" t="s">
        <v>9024</v>
      </c>
      <c r="L155" s="468" t="s">
        <v>536</v>
      </c>
    </row>
    <row r="156" spans="1:12" x14ac:dyDescent="0.25">
      <c r="A156" s="485" t="s">
        <v>220</v>
      </c>
      <c r="B156" s="485" t="s">
        <v>7455</v>
      </c>
      <c r="C156" s="485" t="s">
        <v>2087</v>
      </c>
      <c r="D156" s="485" t="s">
        <v>7490</v>
      </c>
      <c r="E156" s="485" t="s">
        <v>545</v>
      </c>
      <c r="F156" s="482">
        <v>73</v>
      </c>
      <c r="G156" s="468">
        <v>130.48334584556275</v>
      </c>
      <c r="H156" s="479">
        <v>9525.2842467260816</v>
      </c>
      <c r="I156" s="480" t="s">
        <v>9009</v>
      </c>
      <c r="J156" s="468" t="s">
        <v>9023</v>
      </c>
      <c r="K156" s="468" t="s">
        <v>9024</v>
      </c>
      <c r="L156" s="468" t="s">
        <v>536</v>
      </c>
    </row>
    <row r="157" spans="1:12" x14ac:dyDescent="0.25">
      <c r="A157" s="485" t="s">
        <v>220</v>
      </c>
      <c r="B157" s="485" t="s">
        <v>7455</v>
      </c>
      <c r="C157" s="485" t="s">
        <v>2088</v>
      </c>
      <c r="D157" s="485" t="s">
        <v>7486</v>
      </c>
      <c r="E157" s="485" t="s">
        <v>545</v>
      </c>
      <c r="F157" s="482">
        <v>163</v>
      </c>
      <c r="G157" s="468">
        <v>86.213221732088158</v>
      </c>
      <c r="H157" s="479">
        <v>14052.75514233037</v>
      </c>
      <c r="I157" s="480" t="s">
        <v>9009</v>
      </c>
      <c r="J157" s="468" t="s">
        <v>9023</v>
      </c>
      <c r="K157" s="468" t="s">
        <v>9024</v>
      </c>
      <c r="L157" s="468" t="s">
        <v>536</v>
      </c>
    </row>
    <row r="158" spans="1:12" x14ac:dyDescent="0.25">
      <c r="A158" s="485" t="s">
        <v>220</v>
      </c>
      <c r="B158" s="485" t="s">
        <v>7455</v>
      </c>
      <c r="C158" s="485" t="s">
        <v>821</v>
      </c>
      <c r="D158" s="485" t="s">
        <v>822</v>
      </c>
      <c r="E158" s="485" t="s">
        <v>545</v>
      </c>
      <c r="F158" s="482">
        <v>1</v>
      </c>
      <c r="G158" s="468">
        <v>89.112669576956108</v>
      </c>
      <c r="H158" s="479">
        <v>89.112669576956108</v>
      </c>
      <c r="I158" s="480" t="s">
        <v>9009</v>
      </c>
      <c r="J158" s="468" t="s">
        <v>9023</v>
      </c>
      <c r="K158" s="468" t="s">
        <v>9024</v>
      </c>
      <c r="L158" s="468" t="s">
        <v>536</v>
      </c>
    </row>
    <row r="159" spans="1:12" x14ac:dyDescent="0.25">
      <c r="A159" s="485" t="s">
        <v>220</v>
      </c>
      <c r="B159" s="485" t="s">
        <v>7455</v>
      </c>
      <c r="C159" s="485" t="s">
        <v>2090</v>
      </c>
      <c r="D159" s="485" t="s">
        <v>7484</v>
      </c>
      <c r="E159" s="485" t="s">
        <v>545</v>
      </c>
      <c r="F159" s="482">
        <v>7</v>
      </c>
      <c r="G159" s="468">
        <v>121.25789888101848</v>
      </c>
      <c r="H159" s="479">
        <v>848.80529216712932</v>
      </c>
      <c r="I159" s="480" t="s">
        <v>9009</v>
      </c>
      <c r="J159" s="468" t="s">
        <v>9023</v>
      </c>
      <c r="K159" s="468" t="s">
        <v>9024</v>
      </c>
      <c r="L159" s="468" t="s">
        <v>536</v>
      </c>
    </row>
    <row r="160" spans="1:12" x14ac:dyDescent="0.25">
      <c r="A160" s="485" t="s">
        <v>220</v>
      </c>
      <c r="B160" s="485" t="s">
        <v>7455</v>
      </c>
      <c r="C160" s="485" t="s">
        <v>2095</v>
      </c>
      <c r="D160" s="485" t="s">
        <v>7753</v>
      </c>
      <c r="E160" s="485" t="s">
        <v>545</v>
      </c>
      <c r="F160" s="482">
        <v>4</v>
      </c>
      <c r="G160" s="468">
        <v>252.1143098998327</v>
      </c>
      <c r="H160" s="479">
        <v>1008.4572395993308</v>
      </c>
      <c r="I160" s="480" t="s">
        <v>9009</v>
      </c>
      <c r="J160" s="468" t="s">
        <v>9023</v>
      </c>
      <c r="K160" s="468" t="s">
        <v>9024</v>
      </c>
      <c r="L160" s="468" t="s">
        <v>536</v>
      </c>
    </row>
    <row r="161" spans="1:12" x14ac:dyDescent="0.25">
      <c r="A161" s="485" t="s">
        <v>220</v>
      </c>
      <c r="B161" s="485" t="s">
        <v>7455</v>
      </c>
      <c r="C161" s="485" t="s">
        <v>2071</v>
      </c>
      <c r="D161" s="485" t="s">
        <v>7658</v>
      </c>
      <c r="E161" s="485" t="s">
        <v>545</v>
      </c>
      <c r="F161" s="482">
        <v>11</v>
      </c>
      <c r="G161" s="468">
        <v>73.340594033614138</v>
      </c>
      <c r="H161" s="479">
        <v>806.74653436975552</v>
      </c>
      <c r="I161" s="480" t="s">
        <v>9009</v>
      </c>
      <c r="J161" s="468" t="s">
        <v>9023</v>
      </c>
      <c r="K161" s="468" t="s">
        <v>9024</v>
      </c>
      <c r="L161" s="468" t="s">
        <v>536</v>
      </c>
    </row>
    <row r="162" spans="1:12" x14ac:dyDescent="0.25">
      <c r="A162" s="485" t="s">
        <v>220</v>
      </c>
      <c r="B162" s="485" t="s">
        <v>7455</v>
      </c>
      <c r="C162" s="485" t="s">
        <v>2136</v>
      </c>
      <c r="D162" s="485" t="s">
        <v>7645</v>
      </c>
      <c r="E162" s="485" t="s">
        <v>545</v>
      </c>
      <c r="F162" s="482">
        <v>25</v>
      </c>
      <c r="G162" s="468">
        <v>107.34856384398095</v>
      </c>
      <c r="H162" s="479">
        <v>2683.7140960995239</v>
      </c>
      <c r="I162" s="480" t="s">
        <v>9009</v>
      </c>
      <c r="J162" s="468" t="s">
        <v>9023</v>
      </c>
      <c r="K162" s="468" t="s">
        <v>9024</v>
      </c>
      <c r="L162" s="468" t="s">
        <v>536</v>
      </c>
    </row>
    <row r="163" spans="1:12" x14ac:dyDescent="0.25">
      <c r="A163" s="485" t="s">
        <v>220</v>
      </c>
      <c r="B163" s="485" t="s">
        <v>7455</v>
      </c>
      <c r="C163" s="485" t="s">
        <v>9027</v>
      </c>
      <c r="D163" s="485" t="s">
        <v>7626</v>
      </c>
      <c r="E163" s="485" t="s">
        <v>545</v>
      </c>
      <c r="F163" s="482">
        <v>6</v>
      </c>
      <c r="G163" s="468">
        <v>105.14249120749017</v>
      </c>
      <c r="H163" s="479">
        <v>630.85494724494106</v>
      </c>
      <c r="I163" s="480" t="s">
        <v>9009</v>
      </c>
      <c r="J163" s="468" t="s">
        <v>9023</v>
      </c>
      <c r="K163" s="468" t="s">
        <v>9024</v>
      </c>
      <c r="L163" s="468" t="s">
        <v>536</v>
      </c>
    </row>
    <row r="164" spans="1:12" x14ac:dyDescent="0.25">
      <c r="A164" s="485" t="s">
        <v>220</v>
      </c>
      <c r="B164" s="485" t="s">
        <v>2063</v>
      </c>
      <c r="C164" s="485" t="s">
        <v>2106</v>
      </c>
      <c r="D164" s="485" t="s">
        <v>2106</v>
      </c>
      <c r="E164" s="485" t="s">
        <v>545</v>
      </c>
      <c r="F164" s="482">
        <v>302</v>
      </c>
      <c r="G164" s="468">
        <v>159.59694941386559</v>
      </c>
      <c r="H164" s="479">
        <v>48198.278722987408</v>
      </c>
      <c r="I164" s="480" t="s">
        <v>9009</v>
      </c>
      <c r="J164" s="468" t="s">
        <v>9023</v>
      </c>
      <c r="K164" s="468" t="s">
        <v>9024</v>
      </c>
      <c r="L164" s="468" t="s">
        <v>536</v>
      </c>
    </row>
    <row r="165" spans="1:12" x14ac:dyDescent="0.25">
      <c r="A165" s="485" t="s">
        <v>220</v>
      </c>
      <c r="B165" s="485" t="s">
        <v>2063</v>
      </c>
      <c r="C165" s="485" t="s">
        <v>2107</v>
      </c>
      <c r="D165" s="485" t="s">
        <v>2107</v>
      </c>
      <c r="E165" s="485" t="s">
        <v>545</v>
      </c>
      <c r="F165" s="482">
        <v>197</v>
      </c>
      <c r="G165" s="468">
        <v>160.10382203415</v>
      </c>
      <c r="H165" s="479">
        <v>31540.452940727551</v>
      </c>
      <c r="I165" s="480" t="s">
        <v>9009</v>
      </c>
      <c r="J165" s="468" t="s">
        <v>9023</v>
      </c>
      <c r="K165" s="468" t="s">
        <v>9024</v>
      </c>
      <c r="L165" s="468" t="s">
        <v>536</v>
      </c>
    </row>
    <row r="166" spans="1:12" x14ac:dyDescent="0.25">
      <c r="A166" s="485" t="s">
        <v>220</v>
      </c>
      <c r="B166" s="485" t="s">
        <v>2063</v>
      </c>
      <c r="C166" s="485" t="s">
        <v>2075</v>
      </c>
      <c r="D166" s="485" t="s">
        <v>2052</v>
      </c>
      <c r="E166" s="485" t="s">
        <v>545</v>
      </c>
      <c r="F166" s="482">
        <v>39</v>
      </c>
      <c r="G166" s="468">
        <v>60.597108982258398</v>
      </c>
      <c r="H166" s="479">
        <v>2363.2872503080775</v>
      </c>
      <c r="I166" s="480" t="s">
        <v>9009</v>
      </c>
      <c r="J166" s="468" t="s">
        <v>9023</v>
      </c>
      <c r="K166" s="468" t="s">
        <v>9024</v>
      </c>
      <c r="L166" s="468" t="s">
        <v>536</v>
      </c>
    </row>
    <row r="167" spans="1:12" x14ac:dyDescent="0.25">
      <c r="A167" s="485" t="s">
        <v>220</v>
      </c>
      <c r="B167" s="485" t="s">
        <v>2063</v>
      </c>
      <c r="C167" s="485" t="s">
        <v>9030</v>
      </c>
      <c r="D167" s="485" t="s">
        <v>2054</v>
      </c>
      <c r="E167" s="485" t="s">
        <v>545</v>
      </c>
      <c r="F167" s="482">
        <v>114</v>
      </c>
      <c r="G167" s="468">
        <v>87.148678417598987</v>
      </c>
      <c r="H167" s="479">
        <v>9934.9493396062844</v>
      </c>
      <c r="I167" s="480" t="s">
        <v>9009</v>
      </c>
      <c r="J167" s="468" t="s">
        <v>9023</v>
      </c>
      <c r="K167" s="468" t="s">
        <v>9024</v>
      </c>
      <c r="L167" s="468" t="s">
        <v>536</v>
      </c>
    </row>
    <row r="168" spans="1:12" x14ac:dyDescent="0.25">
      <c r="A168" s="485" t="s">
        <v>220</v>
      </c>
      <c r="B168" s="485" t="s">
        <v>2063</v>
      </c>
      <c r="C168" s="485" t="s">
        <v>2150</v>
      </c>
      <c r="D168" s="485" t="s">
        <v>2056</v>
      </c>
      <c r="E168" s="485" t="s">
        <v>545</v>
      </c>
      <c r="F168" s="482">
        <v>106</v>
      </c>
      <c r="G168" s="468">
        <v>86.565121001814035</v>
      </c>
      <c r="H168" s="479">
        <v>9175.9028261922886</v>
      </c>
      <c r="I168" s="480" t="s">
        <v>9009</v>
      </c>
      <c r="J168" s="468" t="s">
        <v>9023</v>
      </c>
      <c r="K168" s="468" t="s">
        <v>9024</v>
      </c>
      <c r="L168" s="468" t="s">
        <v>536</v>
      </c>
    </row>
    <row r="169" spans="1:12" x14ac:dyDescent="0.25">
      <c r="A169" s="485" t="s">
        <v>220</v>
      </c>
      <c r="B169" s="485" t="s">
        <v>7448</v>
      </c>
      <c r="C169" s="485" t="s">
        <v>1909</v>
      </c>
      <c r="D169" s="485" t="s">
        <v>7603</v>
      </c>
      <c r="E169" s="485" t="s">
        <v>545</v>
      </c>
      <c r="F169" s="482">
        <v>120</v>
      </c>
      <c r="G169" s="468">
        <v>74.094522871855034</v>
      </c>
      <c r="H169" s="479">
        <v>8891.3427446226033</v>
      </c>
      <c r="I169" s="480" t="s">
        <v>9009</v>
      </c>
      <c r="J169" s="468" t="s">
        <v>9019</v>
      </c>
      <c r="K169" s="468" t="s">
        <v>9020</v>
      </c>
      <c r="L169" s="468" t="s">
        <v>1911</v>
      </c>
    </row>
    <row r="170" spans="1:12" x14ac:dyDescent="0.25">
      <c r="A170" s="485" t="s">
        <v>220</v>
      </c>
      <c r="B170" s="485" t="s">
        <v>7448</v>
      </c>
      <c r="C170" s="485" t="s">
        <v>1912</v>
      </c>
      <c r="D170" s="485" t="s">
        <v>7604</v>
      </c>
      <c r="E170" s="485" t="s">
        <v>545</v>
      </c>
      <c r="F170" s="482">
        <v>2</v>
      </c>
      <c r="G170" s="468">
        <v>87.054581736686956</v>
      </c>
      <c r="H170" s="479">
        <v>174.10916347337391</v>
      </c>
      <c r="I170" s="480" t="s">
        <v>9009</v>
      </c>
      <c r="J170" s="468" t="s">
        <v>9019</v>
      </c>
      <c r="K170" s="468" t="s">
        <v>9020</v>
      </c>
      <c r="L170" s="468" t="s">
        <v>1911</v>
      </c>
    </row>
    <row r="171" spans="1:12" x14ac:dyDescent="0.25">
      <c r="A171" s="485" t="s">
        <v>220</v>
      </c>
      <c r="B171" s="485" t="s">
        <v>7448</v>
      </c>
      <c r="C171" s="485" t="s">
        <v>1916</v>
      </c>
      <c r="D171" s="485" t="s">
        <v>7488</v>
      </c>
      <c r="E171" s="485" t="s">
        <v>545</v>
      </c>
      <c r="F171" s="482">
        <v>17</v>
      </c>
      <c r="G171" s="468">
        <v>129.97339121518311</v>
      </c>
      <c r="H171" s="479">
        <v>2209.5476506581131</v>
      </c>
      <c r="I171" s="480" t="s">
        <v>9009</v>
      </c>
      <c r="J171" s="468" t="s">
        <v>9019</v>
      </c>
      <c r="K171" s="468" t="s">
        <v>9020</v>
      </c>
      <c r="L171" s="468" t="s">
        <v>1911</v>
      </c>
    </row>
    <row r="172" spans="1:12" x14ac:dyDescent="0.25">
      <c r="A172" s="485" t="s">
        <v>220</v>
      </c>
      <c r="B172" s="485" t="s">
        <v>7448</v>
      </c>
      <c r="C172" s="485" t="s">
        <v>1920</v>
      </c>
      <c r="D172" s="485" t="s">
        <v>7606</v>
      </c>
      <c r="E172" s="485" t="s">
        <v>545</v>
      </c>
      <c r="F172" s="482">
        <v>115</v>
      </c>
      <c r="G172" s="468">
        <v>69.509026206000897</v>
      </c>
      <c r="H172" s="479">
        <v>7993.5380136901031</v>
      </c>
      <c r="I172" s="480" t="s">
        <v>9009</v>
      </c>
      <c r="J172" s="468" t="s">
        <v>9019</v>
      </c>
      <c r="K172" s="468" t="s">
        <v>9020</v>
      </c>
      <c r="L172" s="468" t="s">
        <v>1911</v>
      </c>
    </row>
    <row r="173" spans="1:12" x14ac:dyDescent="0.25">
      <c r="A173" s="485" t="s">
        <v>220</v>
      </c>
      <c r="B173" s="485" t="s">
        <v>7448</v>
      </c>
      <c r="C173" s="485" t="s">
        <v>1926</v>
      </c>
      <c r="D173" s="485" t="s">
        <v>1927</v>
      </c>
      <c r="E173" s="485" t="s">
        <v>545</v>
      </c>
      <c r="F173" s="482">
        <v>407</v>
      </c>
      <c r="G173" s="468">
        <v>81.02888467183837</v>
      </c>
      <c r="H173" s="479">
        <v>32978.756061438216</v>
      </c>
      <c r="I173" s="480" t="s">
        <v>9009</v>
      </c>
      <c r="J173" s="468" t="s">
        <v>9019</v>
      </c>
      <c r="K173" s="468" t="s">
        <v>9024</v>
      </c>
      <c r="L173" s="468" t="s">
        <v>1911</v>
      </c>
    </row>
    <row r="174" spans="1:12" x14ac:dyDescent="0.25">
      <c r="A174" s="485" t="s">
        <v>220</v>
      </c>
      <c r="B174" s="485" t="s">
        <v>7448</v>
      </c>
      <c r="C174" s="485" t="s">
        <v>1930</v>
      </c>
      <c r="D174" s="485" t="s">
        <v>7481</v>
      </c>
      <c r="E174" s="485" t="s">
        <v>545</v>
      </c>
      <c r="F174" s="482">
        <v>155</v>
      </c>
      <c r="G174" s="468">
        <v>93.641358908484037</v>
      </c>
      <c r="H174" s="479">
        <v>14514.410630815026</v>
      </c>
      <c r="I174" s="480" t="s">
        <v>9009</v>
      </c>
      <c r="J174" s="468" t="s">
        <v>9019</v>
      </c>
      <c r="K174" s="468" t="s">
        <v>9020</v>
      </c>
      <c r="L174" s="468" t="s">
        <v>1911</v>
      </c>
    </row>
    <row r="175" spans="1:12" x14ac:dyDescent="0.25">
      <c r="A175" s="485" t="s">
        <v>220</v>
      </c>
      <c r="B175" s="485" t="s">
        <v>7448</v>
      </c>
      <c r="C175" s="485" t="s">
        <v>1932</v>
      </c>
      <c r="D175" s="485" t="s">
        <v>7659</v>
      </c>
      <c r="E175" s="485" t="s">
        <v>545</v>
      </c>
      <c r="F175" s="482">
        <v>11</v>
      </c>
      <c r="G175" s="468">
        <v>60.927087520041688</v>
      </c>
      <c r="H175" s="479">
        <v>670.19796272045858</v>
      </c>
      <c r="I175" s="480" t="s">
        <v>9009</v>
      </c>
      <c r="J175" s="468" t="s">
        <v>9019</v>
      </c>
      <c r="K175" s="468" t="s">
        <v>9020</v>
      </c>
      <c r="L175" s="468" t="s">
        <v>1911</v>
      </c>
    </row>
    <row r="176" spans="1:12" x14ac:dyDescent="0.25">
      <c r="A176" s="485" t="s">
        <v>220</v>
      </c>
      <c r="B176" s="485" t="s">
        <v>7448</v>
      </c>
      <c r="C176" s="485" t="s">
        <v>1940</v>
      </c>
      <c r="D176" s="485" t="s">
        <v>7660</v>
      </c>
      <c r="E176" s="485" t="s">
        <v>545</v>
      </c>
      <c r="F176" s="482">
        <v>15</v>
      </c>
      <c r="G176" s="468">
        <v>112.23658549928935</v>
      </c>
      <c r="H176" s="479">
        <v>1683.5487824893403</v>
      </c>
      <c r="I176" s="480" t="s">
        <v>9009</v>
      </c>
      <c r="J176" s="468" t="s">
        <v>9019</v>
      </c>
      <c r="K176" s="468" t="s">
        <v>9020</v>
      </c>
      <c r="L176" s="468" t="s">
        <v>1911</v>
      </c>
    </row>
    <row r="177" spans="1:12" x14ac:dyDescent="0.25">
      <c r="A177" s="485" t="s">
        <v>220</v>
      </c>
      <c r="B177" s="485" t="s">
        <v>7448</v>
      </c>
      <c r="C177" s="485" t="s">
        <v>7662</v>
      </c>
      <c r="D177" s="485" t="s">
        <v>9031</v>
      </c>
      <c r="E177" s="485" t="s">
        <v>545</v>
      </c>
      <c r="F177" s="482">
        <v>55</v>
      </c>
      <c r="G177" s="468">
        <v>150.80792283160068</v>
      </c>
      <c r="H177" s="479">
        <v>8294.4357557380372</v>
      </c>
      <c r="I177" s="480" t="s">
        <v>9009</v>
      </c>
      <c r="J177" s="468" t="s">
        <v>9019</v>
      </c>
      <c r="K177" s="468" t="s">
        <v>9020</v>
      </c>
      <c r="L177" s="468" t="s">
        <v>1911</v>
      </c>
    </row>
    <row r="178" spans="1:12" x14ac:dyDescent="0.25">
      <c r="A178" s="485" t="s">
        <v>220</v>
      </c>
      <c r="B178" s="485" t="s">
        <v>7448</v>
      </c>
      <c r="C178" s="485" t="s">
        <v>1950</v>
      </c>
      <c r="D178" s="485" t="s">
        <v>7476</v>
      </c>
      <c r="E178" s="485" t="s">
        <v>545</v>
      </c>
      <c r="F178" s="482">
        <v>1</v>
      </c>
      <c r="G178" s="468">
        <v>74.893476231035251</v>
      </c>
      <c r="H178" s="479">
        <v>74.893476231035251</v>
      </c>
      <c r="I178" s="480" t="s">
        <v>9009</v>
      </c>
      <c r="J178" s="468" t="s">
        <v>9019</v>
      </c>
      <c r="K178" s="468" t="s">
        <v>9020</v>
      </c>
      <c r="L178" s="468" t="s">
        <v>1911</v>
      </c>
    </row>
    <row r="179" spans="1:12" x14ac:dyDescent="0.25">
      <c r="A179" s="485" t="s">
        <v>220</v>
      </c>
      <c r="B179" s="485" t="s">
        <v>7448</v>
      </c>
      <c r="C179" s="485" t="s">
        <v>1952</v>
      </c>
      <c r="D179" s="485" t="s">
        <v>7614</v>
      </c>
      <c r="E179" s="485" t="s">
        <v>545</v>
      </c>
      <c r="F179" s="482">
        <v>9</v>
      </c>
      <c r="G179" s="468">
        <v>86.901618002848323</v>
      </c>
      <c r="H179" s="479">
        <v>782.11456202563488</v>
      </c>
      <c r="I179" s="480" t="s">
        <v>9009</v>
      </c>
      <c r="J179" s="468" t="s">
        <v>9019</v>
      </c>
      <c r="K179" s="468" t="s">
        <v>9020</v>
      </c>
      <c r="L179" s="468" t="s">
        <v>1911</v>
      </c>
    </row>
    <row r="180" spans="1:12" x14ac:dyDescent="0.25">
      <c r="A180" s="485" t="s">
        <v>220</v>
      </c>
      <c r="B180" s="485" t="s">
        <v>7448</v>
      </c>
      <c r="C180" s="485" t="s">
        <v>1954</v>
      </c>
      <c r="D180" s="485" t="s">
        <v>7650</v>
      </c>
      <c r="E180" s="485" t="s">
        <v>545</v>
      </c>
      <c r="F180" s="482">
        <v>2</v>
      </c>
      <c r="G180" s="468">
        <v>85.575237385842428</v>
      </c>
      <c r="H180" s="479">
        <v>171.15047477168486</v>
      </c>
      <c r="I180" s="480" t="s">
        <v>9009</v>
      </c>
      <c r="J180" s="468" t="s">
        <v>9019</v>
      </c>
      <c r="K180" s="468" t="s">
        <v>9020</v>
      </c>
      <c r="L180" s="468" t="s">
        <v>1911</v>
      </c>
    </row>
    <row r="181" spans="1:12" x14ac:dyDescent="0.25">
      <c r="A181" s="485" t="s">
        <v>220</v>
      </c>
      <c r="B181" s="485" t="s">
        <v>7448</v>
      </c>
      <c r="C181" s="485" t="s">
        <v>1956</v>
      </c>
      <c r="D181" s="485" t="s">
        <v>7615</v>
      </c>
      <c r="E181" s="485" t="s">
        <v>545</v>
      </c>
      <c r="F181" s="482">
        <v>37</v>
      </c>
      <c r="G181" s="468">
        <v>110.60775417600553</v>
      </c>
      <c r="H181" s="479">
        <v>4092.4869045122045</v>
      </c>
      <c r="I181" s="480" t="s">
        <v>9009</v>
      </c>
      <c r="J181" s="468" t="s">
        <v>9019</v>
      </c>
      <c r="K181" s="468" t="s">
        <v>9020</v>
      </c>
      <c r="L181" s="468" t="s">
        <v>1911</v>
      </c>
    </row>
    <row r="182" spans="1:12" x14ac:dyDescent="0.25">
      <c r="A182" s="485" t="s">
        <v>220</v>
      </c>
      <c r="B182" s="485" t="s">
        <v>7448</v>
      </c>
      <c r="C182" s="485" t="s">
        <v>1962</v>
      </c>
      <c r="D182" s="485" t="s">
        <v>822</v>
      </c>
      <c r="E182" s="485" t="s">
        <v>545</v>
      </c>
      <c r="F182" s="482">
        <v>1</v>
      </c>
      <c r="G182" s="468">
        <v>96.859817652799123</v>
      </c>
      <c r="H182" s="479">
        <v>96.859817652799123</v>
      </c>
      <c r="I182" s="480" t="s">
        <v>9009</v>
      </c>
      <c r="J182" s="468" t="s">
        <v>9019</v>
      </c>
      <c r="K182" s="468" t="s">
        <v>9020</v>
      </c>
      <c r="L182" s="468" t="s">
        <v>1911</v>
      </c>
    </row>
    <row r="183" spans="1:12" x14ac:dyDescent="0.25">
      <c r="A183" s="485" t="s">
        <v>220</v>
      </c>
      <c r="B183" s="485" t="s">
        <v>7448</v>
      </c>
      <c r="C183" s="485" t="s">
        <v>1966</v>
      </c>
      <c r="D183" s="485" t="s">
        <v>7484</v>
      </c>
      <c r="E183" s="485" t="s">
        <v>545</v>
      </c>
      <c r="F183" s="482">
        <v>42</v>
      </c>
      <c r="G183" s="468">
        <v>131.47381911189891</v>
      </c>
      <c r="H183" s="479">
        <v>5521.9004026997536</v>
      </c>
      <c r="I183" s="480" t="s">
        <v>9009</v>
      </c>
      <c r="J183" s="468" t="s">
        <v>9019</v>
      </c>
      <c r="K183" s="468" t="s">
        <v>9020</v>
      </c>
      <c r="L183" s="468" t="s">
        <v>1911</v>
      </c>
    </row>
    <row r="184" spans="1:12" x14ac:dyDescent="0.25">
      <c r="A184" s="485" t="s">
        <v>220</v>
      </c>
      <c r="B184" s="485" t="s">
        <v>7448</v>
      </c>
      <c r="C184" s="485" t="s">
        <v>1970</v>
      </c>
      <c r="D184" s="485" t="s">
        <v>7491</v>
      </c>
      <c r="E184" s="485" t="s">
        <v>545</v>
      </c>
      <c r="F184" s="482">
        <v>5</v>
      </c>
      <c r="G184" s="468">
        <v>131.08737595715405</v>
      </c>
      <c r="H184" s="479">
        <v>655.43687978577032</v>
      </c>
      <c r="I184" s="480" t="s">
        <v>9009</v>
      </c>
      <c r="J184" s="468" t="s">
        <v>9019</v>
      </c>
      <c r="K184" s="468" t="s">
        <v>9020</v>
      </c>
      <c r="L184" s="468" t="s">
        <v>1911</v>
      </c>
    </row>
    <row r="185" spans="1:12" x14ac:dyDescent="0.25">
      <c r="A185" s="485" t="s">
        <v>220</v>
      </c>
      <c r="B185" s="485" t="s">
        <v>7448</v>
      </c>
      <c r="C185" s="485" t="s">
        <v>1972</v>
      </c>
      <c r="D185" s="485" t="s">
        <v>7754</v>
      </c>
      <c r="E185" s="485" t="s">
        <v>545</v>
      </c>
      <c r="F185" s="482">
        <v>61</v>
      </c>
      <c r="G185" s="468">
        <v>145.36661809965864</v>
      </c>
      <c r="H185" s="479">
        <v>8867.3637040791764</v>
      </c>
      <c r="I185" s="480" t="s">
        <v>9009</v>
      </c>
      <c r="J185" s="468" t="s">
        <v>9019</v>
      </c>
      <c r="K185" s="468" t="s">
        <v>9020</v>
      </c>
      <c r="L185" s="468" t="s">
        <v>1911</v>
      </c>
    </row>
    <row r="186" spans="1:12" x14ac:dyDescent="0.25">
      <c r="A186" s="485" t="s">
        <v>220</v>
      </c>
      <c r="B186" s="485" t="s">
        <v>7448</v>
      </c>
      <c r="C186" s="485" t="s">
        <v>1978</v>
      </c>
      <c r="D186" s="485" t="s">
        <v>9032</v>
      </c>
      <c r="E186" s="485" t="s">
        <v>545</v>
      </c>
      <c r="F186" s="482">
        <v>36</v>
      </c>
      <c r="G186" s="468">
        <v>173.99018771961212</v>
      </c>
      <c r="H186" s="479">
        <v>6263.6467579060363</v>
      </c>
      <c r="I186" s="480" t="s">
        <v>9009</v>
      </c>
      <c r="J186" s="468" t="s">
        <v>9019</v>
      </c>
      <c r="K186" s="468" t="s">
        <v>9020</v>
      </c>
      <c r="L186" s="468" t="s">
        <v>1911</v>
      </c>
    </row>
    <row r="187" spans="1:12" x14ac:dyDescent="0.25">
      <c r="A187" s="485" t="s">
        <v>220</v>
      </c>
      <c r="B187" s="485" t="s">
        <v>7448</v>
      </c>
      <c r="C187" s="485" t="s">
        <v>1984</v>
      </c>
      <c r="D187" s="485" t="s">
        <v>1985</v>
      </c>
      <c r="E187" s="485" t="s">
        <v>545</v>
      </c>
      <c r="F187" s="482">
        <v>1</v>
      </c>
      <c r="G187" s="468">
        <v>245.1132728527048</v>
      </c>
      <c r="H187" s="479">
        <v>245.1132728527048</v>
      </c>
      <c r="I187" s="480" t="s">
        <v>9009</v>
      </c>
      <c r="J187" s="468" t="s">
        <v>9019</v>
      </c>
      <c r="K187" s="468" t="s">
        <v>9020</v>
      </c>
      <c r="L187" s="468" t="s">
        <v>1911</v>
      </c>
    </row>
    <row r="188" spans="1:12" x14ac:dyDescent="0.25">
      <c r="A188" s="485" t="s">
        <v>220</v>
      </c>
      <c r="B188" s="485" t="s">
        <v>7448</v>
      </c>
      <c r="C188" s="485" t="s">
        <v>7663</v>
      </c>
      <c r="D188" s="485" t="s">
        <v>7664</v>
      </c>
      <c r="E188" s="485" t="s">
        <v>545</v>
      </c>
      <c r="F188" s="482">
        <v>39</v>
      </c>
      <c r="G188" s="468">
        <v>103.38320446006901</v>
      </c>
      <c r="H188" s="479">
        <v>4031.9449739426914</v>
      </c>
      <c r="I188" s="480" t="s">
        <v>9009</v>
      </c>
      <c r="J188" s="468" t="s">
        <v>9019</v>
      </c>
      <c r="K188" s="468" t="s">
        <v>9020</v>
      </c>
      <c r="L188" s="468" t="s">
        <v>1911</v>
      </c>
    </row>
    <row r="189" spans="1:12" x14ac:dyDescent="0.25">
      <c r="A189" s="485" t="s">
        <v>220</v>
      </c>
      <c r="B189" s="485" t="s">
        <v>7448</v>
      </c>
      <c r="C189" s="485" t="s">
        <v>7663</v>
      </c>
      <c r="D189" s="485" t="s">
        <v>9033</v>
      </c>
      <c r="E189" s="485" t="s">
        <v>545</v>
      </c>
      <c r="F189" s="482">
        <v>7</v>
      </c>
      <c r="G189" s="468">
        <v>103.38320446006901</v>
      </c>
      <c r="H189" s="479">
        <v>723.68243122048307</v>
      </c>
      <c r="I189" s="480" t="s">
        <v>9009</v>
      </c>
      <c r="J189" s="468" t="s">
        <v>9019</v>
      </c>
      <c r="K189" s="468" t="s">
        <v>9020</v>
      </c>
      <c r="L189" s="468" t="s">
        <v>1911</v>
      </c>
    </row>
    <row r="190" spans="1:12" x14ac:dyDescent="0.25">
      <c r="A190" s="485" t="s">
        <v>220</v>
      </c>
      <c r="B190" s="485" t="s">
        <v>7448</v>
      </c>
      <c r="C190" s="485" t="s">
        <v>2011</v>
      </c>
      <c r="D190" s="485" t="s">
        <v>9034</v>
      </c>
      <c r="E190" s="485" t="s">
        <v>545</v>
      </c>
      <c r="F190" s="482">
        <v>26</v>
      </c>
      <c r="G190" s="468">
        <v>57.741660368323707</v>
      </c>
      <c r="H190" s="479">
        <v>1501.2831695764164</v>
      </c>
      <c r="I190" s="480" t="s">
        <v>9009</v>
      </c>
      <c r="J190" s="468" t="s">
        <v>9019</v>
      </c>
      <c r="K190" s="468" t="s">
        <v>9020</v>
      </c>
      <c r="L190" s="468" t="s">
        <v>1911</v>
      </c>
    </row>
    <row r="191" spans="1:12" x14ac:dyDescent="0.25">
      <c r="A191" s="485" t="s">
        <v>220</v>
      </c>
      <c r="B191" s="485" t="s">
        <v>7448</v>
      </c>
      <c r="C191" s="485" t="s">
        <v>1999</v>
      </c>
      <c r="D191" s="485" t="s">
        <v>7665</v>
      </c>
      <c r="E191" s="485" t="s">
        <v>545</v>
      </c>
      <c r="F191" s="482">
        <v>29</v>
      </c>
      <c r="G191" s="468">
        <v>80.815612666997779</v>
      </c>
      <c r="H191" s="479">
        <v>2343.6527673429355</v>
      </c>
      <c r="I191" s="480" t="s">
        <v>9009</v>
      </c>
      <c r="J191" s="468" t="s">
        <v>9019</v>
      </c>
      <c r="K191" s="468" t="s">
        <v>9020</v>
      </c>
      <c r="L191" s="468" t="s">
        <v>1911</v>
      </c>
    </row>
    <row r="192" spans="1:12" x14ac:dyDescent="0.25">
      <c r="A192" s="485" t="s">
        <v>220</v>
      </c>
      <c r="B192" s="485" t="s">
        <v>7448</v>
      </c>
      <c r="C192" s="485" t="s">
        <v>2001</v>
      </c>
      <c r="D192" s="485" t="s">
        <v>7636</v>
      </c>
      <c r="E192" s="485" t="s">
        <v>545</v>
      </c>
      <c r="F192" s="482">
        <v>6</v>
      </c>
      <c r="G192" s="468">
        <v>102.29609554580271</v>
      </c>
      <c r="H192" s="479">
        <v>613.77657327481631</v>
      </c>
      <c r="I192" s="480" t="s">
        <v>9009</v>
      </c>
      <c r="J192" s="468" t="s">
        <v>9019</v>
      </c>
      <c r="K192" s="468" t="s">
        <v>9020</v>
      </c>
      <c r="L192" s="468" t="s">
        <v>1911</v>
      </c>
    </row>
    <row r="193" spans="1:12" x14ac:dyDescent="0.25">
      <c r="A193" s="485" t="s">
        <v>220</v>
      </c>
      <c r="B193" s="485" t="s">
        <v>7448</v>
      </c>
      <c r="C193" s="485" t="s">
        <v>7666</v>
      </c>
      <c r="D193" s="485" t="s">
        <v>7638</v>
      </c>
      <c r="E193" s="485" t="s">
        <v>545</v>
      </c>
      <c r="F193" s="482">
        <v>30</v>
      </c>
      <c r="G193" s="468">
        <v>180.81290741434344</v>
      </c>
      <c r="H193" s="479">
        <v>5424.3872224303032</v>
      </c>
      <c r="I193" s="480" t="s">
        <v>9009</v>
      </c>
      <c r="J193" s="468" t="s">
        <v>9019</v>
      </c>
      <c r="K193" s="468" t="s">
        <v>9020</v>
      </c>
      <c r="L193" s="468" t="s">
        <v>1911</v>
      </c>
    </row>
    <row r="194" spans="1:12" x14ac:dyDescent="0.25">
      <c r="A194" s="485" t="s">
        <v>220</v>
      </c>
      <c r="B194" s="485" t="s">
        <v>7448</v>
      </c>
      <c r="C194" s="485" t="s">
        <v>2005</v>
      </c>
      <c r="D194" s="485" t="s">
        <v>7485</v>
      </c>
      <c r="E194" s="485" t="s">
        <v>545</v>
      </c>
      <c r="F194" s="482">
        <v>4</v>
      </c>
      <c r="G194" s="468">
        <v>195.2606249552575</v>
      </c>
      <c r="H194" s="479">
        <v>781.04249982102999</v>
      </c>
      <c r="I194" s="480" t="s">
        <v>9009</v>
      </c>
      <c r="J194" s="468" t="s">
        <v>9019</v>
      </c>
      <c r="K194" s="468" t="s">
        <v>9020</v>
      </c>
      <c r="L194" s="468" t="s">
        <v>1911</v>
      </c>
    </row>
    <row r="195" spans="1:12" x14ac:dyDescent="0.25">
      <c r="A195" s="485" t="s">
        <v>220</v>
      </c>
      <c r="B195" s="485" t="s">
        <v>7448</v>
      </c>
      <c r="C195" s="485" t="s">
        <v>7667</v>
      </c>
      <c r="D195" s="485" t="s">
        <v>7640</v>
      </c>
      <c r="E195" s="485" t="s">
        <v>545</v>
      </c>
      <c r="F195" s="482">
        <v>11</v>
      </c>
      <c r="G195" s="468">
        <v>52.779607939278513</v>
      </c>
      <c r="H195" s="479">
        <v>580.57568733206369</v>
      </c>
      <c r="I195" s="480" t="s">
        <v>9009</v>
      </c>
      <c r="J195" s="468" t="s">
        <v>9019</v>
      </c>
      <c r="K195" s="468" t="s">
        <v>9020</v>
      </c>
      <c r="L195" s="468" t="s">
        <v>1911</v>
      </c>
    </row>
    <row r="196" spans="1:12" x14ac:dyDescent="0.25">
      <c r="A196" s="485" t="s">
        <v>220</v>
      </c>
      <c r="B196" s="485" t="s">
        <v>7448</v>
      </c>
      <c r="C196" s="485" t="s">
        <v>2015</v>
      </c>
      <c r="D196" s="485" t="s">
        <v>2016</v>
      </c>
      <c r="E196" s="485" t="s">
        <v>545</v>
      </c>
      <c r="F196" s="482">
        <v>2</v>
      </c>
      <c r="G196" s="468">
        <v>72.279404777349683</v>
      </c>
      <c r="H196" s="479">
        <v>144.55880955469937</v>
      </c>
      <c r="I196" s="480" t="s">
        <v>9009</v>
      </c>
      <c r="J196" s="468" t="s">
        <v>9019</v>
      </c>
      <c r="K196" s="468" t="s">
        <v>9020</v>
      </c>
      <c r="L196" s="468" t="s">
        <v>1911</v>
      </c>
    </row>
    <row r="197" spans="1:12" x14ac:dyDescent="0.25">
      <c r="A197" s="485" t="s">
        <v>220</v>
      </c>
      <c r="B197" s="485" t="s">
        <v>7448</v>
      </c>
      <c r="C197" s="485" t="s">
        <v>2024</v>
      </c>
      <c r="D197" s="485" t="s">
        <v>7645</v>
      </c>
      <c r="E197" s="485" t="s">
        <v>545</v>
      </c>
      <c r="F197" s="482">
        <v>38</v>
      </c>
      <c r="G197" s="468">
        <v>119.05990697199263</v>
      </c>
      <c r="H197" s="479">
        <v>4524.2764649357196</v>
      </c>
      <c r="I197" s="480" t="s">
        <v>9009</v>
      </c>
      <c r="J197" s="468" t="s">
        <v>9019</v>
      </c>
      <c r="K197" s="468" t="s">
        <v>9020</v>
      </c>
      <c r="L197" s="468" t="s">
        <v>1911</v>
      </c>
    </row>
    <row r="198" spans="1:12" x14ac:dyDescent="0.25">
      <c r="A198" s="485" t="s">
        <v>220</v>
      </c>
      <c r="B198" s="485" t="s">
        <v>7448</v>
      </c>
      <c r="C198" s="485" t="s">
        <v>7460</v>
      </c>
      <c r="D198" s="485" t="s">
        <v>9035</v>
      </c>
      <c r="E198" s="485" t="s">
        <v>545</v>
      </c>
      <c r="F198" s="482">
        <v>36</v>
      </c>
      <c r="G198" s="468">
        <v>115.75575790394885</v>
      </c>
      <c r="H198" s="479">
        <v>4167.207284542159</v>
      </c>
      <c r="I198" s="480" t="s">
        <v>9009</v>
      </c>
      <c r="J198" s="468" t="s">
        <v>9019</v>
      </c>
      <c r="K198" s="468" t="s">
        <v>9020</v>
      </c>
      <c r="L198" s="468" t="s">
        <v>1911</v>
      </c>
    </row>
    <row r="199" spans="1:12" x14ac:dyDescent="0.25">
      <c r="A199" s="485" t="s">
        <v>220</v>
      </c>
      <c r="B199" s="485" t="s">
        <v>7448</v>
      </c>
      <c r="C199" s="485" t="s">
        <v>2040</v>
      </c>
      <c r="D199" s="485" t="s">
        <v>2041</v>
      </c>
      <c r="E199" s="485" t="s">
        <v>545</v>
      </c>
      <c r="F199" s="482">
        <v>28</v>
      </c>
      <c r="G199" s="468">
        <v>84.955916012677619</v>
      </c>
      <c r="H199" s="479">
        <v>2378.7656483549736</v>
      </c>
      <c r="I199" s="480" t="s">
        <v>9009</v>
      </c>
      <c r="J199" s="468" t="s">
        <v>9019</v>
      </c>
      <c r="K199" s="468" t="s">
        <v>9020</v>
      </c>
      <c r="L199" s="468" t="s">
        <v>1911</v>
      </c>
    </row>
    <row r="200" spans="1:12" x14ac:dyDescent="0.25">
      <c r="A200" s="485" t="s">
        <v>220</v>
      </c>
      <c r="B200" s="485" t="s">
        <v>7448</v>
      </c>
      <c r="C200" s="485" t="s">
        <v>7672</v>
      </c>
      <c r="D200" s="485" t="s">
        <v>2043</v>
      </c>
      <c r="E200" s="485" t="s">
        <v>545</v>
      </c>
      <c r="F200" s="482">
        <v>15</v>
      </c>
      <c r="G200" s="468">
        <v>88.298832972197758</v>
      </c>
      <c r="H200" s="479">
        <v>1324.4824945829664</v>
      </c>
      <c r="I200" s="480" t="s">
        <v>9009</v>
      </c>
      <c r="J200" s="468" t="s">
        <v>9019</v>
      </c>
      <c r="K200" s="468" t="s">
        <v>9020</v>
      </c>
      <c r="L200" s="468" t="s">
        <v>1911</v>
      </c>
    </row>
    <row r="201" spans="1:12" x14ac:dyDescent="0.25">
      <c r="A201" s="485" t="s">
        <v>220</v>
      </c>
      <c r="B201" s="485" t="s">
        <v>7448</v>
      </c>
      <c r="C201" s="485" t="s">
        <v>1928</v>
      </c>
      <c r="D201" s="485" t="s">
        <v>2045</v>
      </c>
      <c r="E201" s="485" t="s">
        <v>545</v>
      </c>
      <c r="F201" s="482">
        <v>151</v>
      </c>
      <c r="G201" s="468">
        <v>95.586905078530918</v>
      </c>
      <c r="H201" s="479">
        <v>14433.622666858169</v>
      </c>
      <c r="I201" s="480" t="s">
        <v>9009</v>
      </c>
      <c r="J201" s="468" t="s">
        <v>9019</v>
      </c>
      <c r="K201" s="468" t="s">
        <v>9020</v>
      </c>
      <c r="L201" s="468" t="s">
        <v>1911</v>
      </c>
    </row>
    <row r="202" spans="1:12" x14ac:dyDescent="0.25">
      <c r="A202" s="485" t="s">
        <v>220</v>
      </c>
      <c r="B202" s="485" t="s">
        <v>7448</v>
      </c>
      <c r="C202" s="485" t="s">
        <v>7480</v>
      </c>
      <c r="D202" s="485" t="s">
        <v>2047</v>
      </c>
      <c r="E202" s="485" t="s">
        <v>545</v>
      </c>
      <c r="F202" s="482">
        <v>54</v>
      </c>
      <c r="G202" s="468">
        <v>92.809667083142187</v>
      </c>
      <c r="H202" s="479">
        <v>5011.7220224896782</v>
      </c>
      <c r="I202" s="480" t="s">
        <v>9009</v>
      </c>
      <c r="J202" s="468" t="s">
        <v>9019</v>
      </c>
      <c r="K202" s="468" t="s">
        <v>9020</v>
      </c>
      <c r="L202" s="468" t="s">
        <v>1911</v>
      </c>
    </row>
    <row r="203" spans="1:12" x14ac:dyDescent="0.25">
      <c r="A203" s="485" t="s">
        <v>220</v>
      </c>
      <c r="B203" s="485" t="s">
        <v>7448</v>
      </c>
      <c r="C203" s="485" t="s">
        <v>7673</v>
      </c>
      <c r="D203" s="485" t="s">
        <v>2050</v>
      </c>
      <c r="E203" s="485" t="s">
        <v>545</v>
      </c>
      <c r="F203" s="482">
        <v>29</v>
      </c>
      <c r="G203" s="468">
        <v>113.97330203630511</v>
      </c>
      <c r="H203" s="479">
        <v>3305.2257590528484</v>
      </c>
      <c r="I203" s="480" t="s">
        <v>9009</v>
      </c>
      <c r="J203" s="468" t="s">
        <v>9019</v>
      </c>
      <c r="K203" s="468" t="s">
        <v>9020</v>
      </c>
      <c r="L203" s="468" t="s">
        <v>1911</v>
      </c>
    </row>
    <row r="204" spans="1:12" x14ac:dyDescent="0.25">
      <c r="A204" s="485" t="s">
        <v>220</v>
      </c>
      <c r="B204" s="485" t="s">
        <v>2063</v>
      </c>
      <c r="C204" s="485" t="s">
        <v>2151</v>
      </c>
      <c r="D204" s="485" t="s">
        <v>7759</v>
      </c>
      <c r="E204" s="485" t="s">
        <v>545</v>
      </c>
      <c r="F204" s="482">
        <v>70</v>
      </c>
      <c r="G204" s="468">
        <v>108.50455003875166</v>
      </c>
      <c r="H204" s="479">
        <v>7595.3185027126165</v>
      </c>
      <c r="I204" s="480" t="s">
        <v>9009</v>
      </c>
      <c r="J204" s="468" t="s">
        <v>9023</v>
      </c>
      <c r="K204" s="468" t="s">
        <v>9024</v>
      </c>
      <c r="L204" s="468" t="s">
        <v>536</v>
      </c>
    </row>
    <row r="205" spans="1:12" x14ac:dyDescent="0.25">
      <c r="A205" s="485" t="s">
        <v>220</v>
      </c>
      <c r="B205" s="485" t="s">
        <v>2063</v>
      </c>
      <c r="C205" s="485" t="s">
        <v>2088</v>
      </c>
      <c r="D205" s="485" t="s">
        <v>7761</v>
      </c>
      <c r="E205" s="485" t="s">
        <v>545</v>
      </c>
      <c r="F205" s="482">
        <v>51</v>
      </c>
      <c r="G205" s="468">
        <v>86.213221732088158</v>
      </c>
      <c r="H205" s="479">
        <v>4396.8743083364961</v>
      </c>
      <c r="I205" s="480" t="s">
        <v>9009</v>
      </c>
      <c r="J205" s="468" t="s">
        <v>9023</v>
      </c>
      <c r="K205" s="468" t="s">
        <v>9024</v>
      </c>
      <c r="L205" s="468" t="s">
        <v>536</v>
      </c>
    </row>
    <row r="206" spans="1:12" x14ac:dyDescent="0.25">
      <c r="A206" s="485" t="s">
        <v>220</v>
      </c>
      <c r="B206" s="485" t="s">
        <v>2063</v>
      </c>
      <c r="C206" s="485" t="s">
        <v>7629</v>
      </c>
      <c r="D206" s="485" t="s">
        <v>7762</v>
      </c>
      <c r="E206" s="485" t="s">
        <v>545</v>
      </c>
      <c r="F206" s="482">
        <v>86</v>
      </c>
      <c r="G206" s="468">
        <v>102.28051952823876</v>
      </c>
      <c r="H206" s="479">
        <v>8796.1246794285325</v>
      </c>
      <c r="I206" s="480" t="s">
        <v>9009</v>
      </c>
      <c r="J206" s="468" t="s">
        <v>9023</v>
      </c>
      <c r="K206" s="468" t="s">
        <v>9024</v>
      </c>
      <c r="L206" s="468" t="s">
        <v>536</v>
      </c>
    </row>
    <row r="207" spans="1:12" x14ac:dyDescent="0.25">
      <c r="A207" s="485" t="s">
        <v>220</v>
      </c>
      <c r="B207" s="485" t="s">
        <v>2063</v>
      </c>
      <c r="C207" s="485" t="s">
        <v>2129</v>
      </c>
      <c r="D207" s="485" t="s">
        <v>7765</v>
      </c>
      <c r="E207" s="485" t="s">
        <v>545</v>
      </c>
      <c r="F207" s="482">
        <v>45</v>
      </c>
      <c r="G207" s="468">
        <v>64.34474669636397</v>
      </c>
      <c r="H207" s="479">
        <v>2895.5136013363785</v>
      </c>
      <c r="I207" s="480" t="s">
        <v>9009</v>
      </c>
      <c r="J207" s="468" t="s">
        <v>9023</v>
      </c>
      <c r="K207" s="468" t="s">
        <v>9024</v>
      </c>
      <c r="L207" s="468" t="s">
        <v>536</v>
      </c>
    </row>
    <row r="208" spans="1:12" x14ac:dyDescent="0.25">
      <c r="A208" s="485" t="s">
        <v>220</v>
      </c>
      <c r="B208" s="485" t="s">
        <v>2063</v>
      </c>
      <c r="C208" s="485" t="s">
        <v>7766</v>
      </c>
      <c r="D208" s="485" t="s">
        <v>7636</v>
      </c>
      <c r="E208" s="485" t="s">
        <v>545</v>
      </c>
      <c r="F208" s="482">
        <v>90</v>
      </c>
      <c r="G208" s="468">
        <v>94.008949032492907</v>
      </c>
      <c r="H208" s="479">
        <v>8460.805412924361</v>
      </c>
      <c r="I208" s="480" t="s">
        <v>9009</v>
      </c>
      <c r="J208" s="468" t="s">
        <v>9023</v>
      </c>
      <c r="K208" s="468" t="s">
        <v>9024</v>
      </c>
      <c r="L208" s="468" t="s">
        <v>536</v>
      </c>
    </row>
    <row r="209" spans="1:12" x14ac:dyDescent="0.25">
      <c r="A209" s="485" t="s">
        <v>220</v>
      </c>
      <c r="B209" s="485" t="s">
        <v>2063</v>
      </c>
      <c r="C209" s="485" t="s">
        <v>7767</v>
      </c>
      <c r="D209" s="485" t="s">
        <v>7768</v>
      </c>
      <c r="E209" s="485" t="s">
        <v>545</v>
      </c>
      <c r="F209" s="482">
        <v>27</v>
      </c>
      <c r="G209" s="468">
        <v>59.705741205673398</v>
      </c>
      <c r="H209" s="479">
        <v>1612.0550125531818</v>
      </c>
      <c r="I209" s="480" t="s">
        <v>9009</v>
      </c>
      <c r="J209" s="468" t="s">
        <v>9023</v>
      </c>
      <c r="K209" s="468" t="s">
        <v>9024</v>
      </c>
      <c r="L209" s="468" t="s">
        <v>536</v>
      </c>
    </row>
    <row r="210" spans="1:12" x14ac:dyDescent="0.25">
      <c r="A210" s="485" t="s">
        <v>220</v>
      </c>
      <c r="B210" s="485" t="s">
        <v>7455</v>
      </c>
      <c r="C210" s="485" t="s">
        <v>2072</v>
      </c>
      <c r="D210" s="485" t="s">
        <v>7481</v>
      </c>
      <c r="E210" s="485" t="s">
        <v>545</v>
      </c>
      <c r="F210" s="482">
        <v>39</v>
      </c>
      <c r="G210" s="468">
        <v>85.295615832357655</v>
      </c>
      <c r="H210" s="479">
        <v>3326.5290174619486</v>
      </c>
      <c r="I210" s="480" t="s">
        <v>9009</v>
      </c>
      <c r="J210" s="468" t="s">
        <v>9023</v>
      </c>
      <c r="K210" s="468" t="s">
        <v>9024</v>
      </c>
      <c r="L210" s="468" t="s">
        <v>1911</v>
      </c>
    </row>
    <row r="211" spans="1:12" x14ac:dyDescent="0.25">
      <c r="A211" s="485" t="s">
        <v>220</v>
      </c>
      <c r="B211" s="485" t="s">
        <v>7455</v>
      </c>
      <c r="C211" s="485" t="s">
        <v>2082</v>
      </c>
      <c r="D211" s="485" t="s">
        <v>7476</v>
      </c>
      <c r="E211" s="485" t="s">
        <v>545</v>
      </c>
      <c r="F211" s="482">
        <v>82</v>
      </c>
      <c r="G211" s="468">
        <v>68.724629957053821</v>
      </c>
      <c r="H211" s="479">
        <v>5635.4196564784133</v>
      </c>
      <c r="I211" s="480" t="s">
        <v>9009</v>
      </c>
      <c r="J211" s="468" t="s">
        <v>9023</v>
      </c>
      <c r="K211" s="468" t="s">
        <v>9024</v>
      </c>
      <c r="L211" s="468" t="s">
        <v>536</v>
      </c>
    </row>
    <row r="212" spans="1:12" x14ac:dyDescent="0.25">
      <c r="A212" s="485" t="s">
        <v>220</v>
      </c>
      <c r="B212" s="485" t="s">
        <v>7455</v>
      </c>
      <c r="C212" s="485" t="s">
        <v>2086</v>
      </c>
      <c r="D212" s="485" t="s">
        <v>7615</v>
      </c>
      <c r="E212" s="485" t="s">
        <v>545</v>
      </c>
      <c r="F212" s="482">
        <v>33</v>
      </c>
      <c r="G212" s="468">
        <v>102.92023225102506</v>
      </c>
      <c r="H212" s="479">
        <v>3396.3676642838268</v>
      </c>
      <c r="I212" s="480" t="s">
        <v>9009</v>
      </c>
      <c r="J212" s="468" t="s">
        <v>9023</v>
      </c>
      <c r="K212" s="468" t="s">
        <v>9024</v>
      </c>
      <c r="L212" s="468" t="s">
        <v>536</v>
      </c>
    </row>
    <row r="213" spans="1:12" x14ac:dyDescent="0.25">
      <c r="A213" s="485" t="s">
        <v>220</v>
      </c>
      <c r="B213" s="485" t="s">
        <v>7455</v>
      </c>
      <c r="C213" s="485" t="s">
        <v>2092</v>
      </c>
      <c r="D213" s="485" t="s">
        <v>7491</v>
      </c>
      <c r="E213" s="485" t="s">
        <v>545</v>
      </c>
      <c r="F213" s="482">
        <v>3</v>
      </c>
      <c r="G213" s="468">
        <v>119.75196790760265</v>
      </c>
      <c r="H213" s="479">
        <v>359.25590372280794</v>
      </c>
      <c r="I213" s="480" t="s">
        <v>9009</v>
      </c>
      <c r="J213" s="468" t="s">
        <v>9023</v>
      </c>
      <c r="K213" s="468" t="s">
        <v>9024</v>
      </c>
      <c r="L213" s="468" t="s">
        <v>536</v>
      </c>
    </row>
    <row r="214" spans="1:12" x14ac:dyDescent="0.25">
      <c r="A214" s="485" t="s">
        <v>220</v>
      </c>
      <c r="B214" s="485" t="s">
        <v>7455</v>
      </c>
      <c r="C214" s="485" t="s">
        <v>7766</v>
      </c>
      <c r="D214" s="485" t="s">
        <v>7636</v>
      </c>
      <c r="E214" s="485" t="s">
        <v>545</v>
      </c>
      <c r="F214" s="482">
        <v>1</v>
      </c>
      <c r="G214" s="468">
        <v>94.008949032492907</v>
      </c>
      <c r="H214" s="479">
        <v>94.008949032492907</v>
      </c>
      <c r="I214" s="480" t="s">
        <v>9009</v>
      </c>
      <c r="J214" s="468" t="s">
        <v>9023</v>
      </c>
      <c r="K214" s="468" t="s">
        <v>9024</v>
      </c>
      <c r="L214" s="468" t="s">
        <v>536</v>
      </c>
    </row>
    <row r="215" spans="1:12" x14ac:dyDescent="0.25">
      <c r="A215" s="485" t="s">
        <v>220</v>
      </c>
      <c r="B215" s="485" t="s">
        <v>7455</v>
      </c>
      <c r="C215" s="485" t="s">
        <v>2065</v>
      </c>
      <c r="D215" s="485" t="s">
        <v>7604</v>
      </c>
      <c r="E215" s="485" t="s">
        <v>7771</v>
      </c>
      <c r="F215" s="482">
        <v>959</v>
      </c>
      <c r="G215" s="468">
        <v>79.008884752092499</v>
      </c>
      <c r="H215" s="479">
        <v>75769.520477256709</v>
      </c>
      <c r="I215" s="480" t="s">
        <v>9009</v>
      </c>
      <c r="J215" s="468" t="s">
        <v>9023</v>
      </c>
      <c r="K215" s="468" t="s">
        <v>9024</v>
      </c>
      <c r="L215" s="468" t="s">
        <v>536</v>
      </c>
    </row>
    <row r="216" spans="1:12" x14ac:dyDescent="0.25">
      <c r="A216" s="485" t="s">
        <v>220</v>
      </c>
      <c r="B216" s="485" t="s">
        <v>7455</v>
      </c>
      <c r="C216" s="485" t="s">
        <v>2151</v>
      </c>
      <c r="D216" s="485" t="s">
        <v>7626</v>
      </c>
      <c r="E216" s="485" t="s">
        <v>7771</v>
      </c>
      <c r="F216" s="482">
        <v>10</v>
      </c>
      <c r="G216" s="468">
        <v>108.50455003875166</v>
      </c>
      <c r="H216" s="479">
        <v>1085.0455003875165</v>
      </c>
      <c r="I216" s="480" t="s">
        <v>9009</v>
      </c>
      <c r="J216" s="468" t="s">
        <v>9023</v>
      </c>
      <c r="K216" s="468" t="s">
        <v>9024</v>
      </c>
      <c r="L216" s="468" t="s">
        <v>536</v>
      </c>
    </row>
    <row r="217" spans="1:12" x14ac:dyDescent="0.25">
      <c r="A217" s="485" t="s">
        <v>220</v>
      </c>
      <c r="B217" s="485" t="s">
        <v>7455</v>
      </c>
      <c r="C217" s="485" t="s">
        <v>7639</v>
      </c>
      <c r="D217" s="485" t="s">
        <v>7772</v>
      </c>
      <c r="E217" s="485" t="s">
        <v>7771</v>
      </c>
      <c r="F217" s="482">
        <v>32</v>
      </c>
      <c r="G217" s="468">
        <v>48.378093674009328</v>
      </c>
      <c r="H217" s="479">
        <v>1548.0989975682985</v>
      </c>
      <c r="I217" s="480" t="s">
        <v>9009</v>
      </c>
      <c r="J217" s="468" t="s">
        <v>9023</v>
      </c>
      <c r="K217" s="468" t="s">
        <v>9024</v>
      </c>
      <c r="L217" s="468" t="s">
        <v>536</v>
      </c>
    </row>
    <row r="218" spans="1:12" x14ac:dyDescent="0.25">
      <c r="A218" s="485" t="s">
        <v>220</v>
      </c>
      <c r="B218" s="485" t="s">
        <v>7455</v>
      </c>
      <c r="C218" s="485" t="s">
        <v>2123</v>
      </c>
      <c r="D218" s="485" t="s">
        <v>7636</v>
      </c>
      <c r="E218" s="485" t="s">
        <v>7771</v>
      </c>
      <c r="F218" s="482">
        <v>1</v>
      </c>
      <c r="G218" s="468">
        <v>94.226177099213487</v>
      </c>
      <c r="H218" s="479">
        <v>94.226177099213487</v>
      </c>
      <c r="I218" s="480" t="s">
        <v>9009</v>
      </c>
      <c r="J218" s="468" t="s">
        <v>9023</v>
      </c>
      <c r="K218" s="468" t="s">
        <v>9024</v>
      </c>
      <c r="L218" s="468" t="s">
        <v>536</v>
      </c>
    </row>
    <row r="219" spans="1:12" x14ac:dyDescent="0.25">
      <c r="A219" s="485" t="s">
        <v>220</v>
      </c>
      <c r="B219" s="485" t="s">
        <v>7455</v>
      </c>
      <c r="C219" s="485" t="s">
        <v>2129</v>
      </c>
      <c r="D219" s="485" t="s">
        <v>7765</v>
      </c>
      <c r="E219" s="485" t="s">
        <v>7771</v>
      </c>
      <c r="F219" s="482">
        <v>1</v>
      </c>
      <c r="G219" s="468">
        <v>64.34474669636397</v>
      </c>
      <c r="H219" s="479">
        <v>64.34474669636397</v>
      </c>
      <c r="I219" s="480" t="s">
        <v>9009</v>
      </c>
      <c r="J219" s="468" t="s">
        <v>9023</v>
      </c>
      <c r="K219" s="468" t="s">
        <v>9024</v>
      </c>
      <c r="L219" s="468" t="s">
        <v>536</v>
      </c>
    </row>
    <row r="220" spans="1:12" x14ac:dyDescent="0.25">
      <c r="A220" s="485" t="s">
        <v>220</v>
      </c>
      <c r="B220" s="485" t="s">
        <v>7455</v>
      </c>
      <c r="C220" s="485" t="s">
        <v>2128</v>
      </c>
      <c r="D220" s="485" t="s">
        <v>7764</v>
      </c>
      <c r="E220" s="485" t="s">
        <v>7771</v>
      </c>
      <c r="F220" s="482">
        <v>16</v>
      </c>
      <c r="G220" s="468">
        <v>53.306000669920898</v>
      </c>
      <c r="H220" s="479">
        <v>852.89601071873437</v>
      </c>
      <c r="I220" s="480" t="s">
        <v>9009</v>
      </c>
      <c r="J220" s="468" t="s">
        <v>9023</v>
      </c>
      <c r="K220" s="468" t="s">
        <v>9024</v>
      </c>
      <c r="L220" s="468" t="s">
        <v>536</v>
      </c>
    </row>
    <row r="221" spans="1:12" x14ac:dyDescent="0.25">
      <c r="A221" s="485" t="s">
        <v>220</v>
      </c>
      <c r="B221" s="485" t="s">
        <v>7455</v>
      </c>
      <c r="C221" s="485" t="s">
        <v>7629</v>
      </c>
      <c r="D221" s="485" t="s">
        <v>7762</v>
      </c>
      <c r="E221" s="485" t="s">
        <v>7771</v>
      </c>
      <c r="F221" s="482">
        <v>3</v>
      </c>
      <c r="G221" s="468">
        <v>102.28051952823876</v>
      </c>
      <c r="H221" s="479">
        <v>306.84155858471627</v>
      </c>
      <c r="I221" s="480" t="s">
        <v>9009</v>
      </c>
      <c r="J221" s="468" t="s">
        <v>9023</v>
      </c>
      <c r="K221" s="468" t="s">
        <v>9024</v>
      </c>
      <c r="L221" s="468" t="s">
        <v>536</v>
      </c>
    </row>
    <row r="222" spans="1:12" x14ac:dyDescent="0.25">
      <c r="A222" s="485" t="s">
        <v>220</v>
      </c>
      <c r="B222" s="485" t="s">
        <v>7455</v>
      </c>
      <c r="C222" s="485" t="s">
        <v>7773</v>
      </c>
      <c r="D222" s="485" t="s">
        <v>7609</v>
      </c>
      <c r="E222" s="485" t="s">
        <v>7771</v>
      </c>
      <c r="F222" s="482">
        <v>7</v>
      </c>
      <c r="G222" s="468">
        <v>66.934492603606486</v>
      </c>
      <c r="H222" s="479">
        <v>468.5414482252454</v>
      </c>
      <c r="I222" s="480" t="s">
        <v>9009</v>
      </c>
      <c r="J222" s="468" t="s">
        <v>9023</v>
      </c>
      <c r="K222" s="468" t="s">
        <v>9024</v>
      </c>
      <c r="L222" s="468" t="s">
        <v>536</v>
      </c>
    </row>
    <row r="223" spans="1:12" x14ac:dyDescent="0.25">
      <c r="A223" s="485" t="s">
        <v>220</v>
      </c>
      <c r="B223" s="485" t="s">
        <v>7455</v>
      </c>
      <c r="C223" s="485" t="s">
        <v>7755</v>
      </c>
      <c r="D223" s="485" t="s">
        <v>7756</v>
      </c>
      <c r="E223" s="485" t="s">
        <v>7771</v>
      </c>
      <c r="F223" s="482">
        <v>15</v>
      </c>
      <c r="G223" s="468">
        <v>74.069567197914566</v>
      </c>
      <c r="H223" s="479">
        <v>1111.0435079687186</v>
      </c>
      <c r="I223" s="480" t="s">
        <v>9009</v>
      </c>
      <c r="J223" s="468" t="s">
        <v>9023</v>
      </c>
      <c r="K223" s="468" t="s">
        <v>9024</v>
      </c>
      <c r="L223" s="468" t="s">
        <v>536</v>
      </c>
    </row>
    <row r="224" spans="1:12" x14ac:dyDescent="0.25">
      <c r="A224" s="485" t="s">
        <v>220</v>
      </c>
      <c r="B224" s="485" t="s">
        <v>7455</v>
      </c>
      <c r="C224" s="485" t="s">
        <v>2094</v>
      </c>
      <c r="D224" s="485" t="s">
        <v>7487</v>
      </c>
      <c r="E224" s="485" t="s">
        <v>7771</v>
      </c>
      <c r="F224" s="482">
        <v>1</v>
      </c>
      <c r="G224" s="468">
        <v>148.47895189180289</v>
      </c>
      <c r="H224" s="479">
        <v>148.47895189180289</v>
      </c>
      <c r="I224" s="480" t="s">
        <v>9009</v>
      </c>
      <c r="J224" s="468" t="s">
        <v>9023</v>
      </c>
      <c r="K224" s="468" t="s">
        <v>9024</v>
      </c>
      <c r="L224" s="468" t="s">
        <v>536</v>
      </c>
    </row>
    <row r="225" spans="1:12" x14ac:dyDescent="0.25">
      <c r="A225" s="485" t="s">
        <v>220</v>
      </c>
      <c r="B225" s="485" t="s">
        <v>7448</v>
      </c>
      <c r="C225" s="485" t="s">
        <v>7774</v>
      </c>
      <c r="D225" s="485" t="s">
        <v>7775</v>
      </c>
      <c r="E225" s="485" t="s">
        <v>7771</v>
      </c>
      <c r="F225" s="482">
        <v>147</v>
      </c>
      <c r="G225" s="468">
        <v>64.061854844986854</v>
      </c>
      <c r="H225" s="479">
        <v>9417.0926622130683</v>
      </c>
      <c r="I225" s="480" t="s">
        <v>9009</v>
      </c>
      <c r="J225" s="468" t="s">
        <v>9019</v>
      </c>
      <c r="K225" s="468" t="s">
        <v>9020</v>
      </c>
      <c r="L225" s="468" t="s">
        <v>1911</v>
      </c>
    </row>
    <row r="226" spans="1:12" x14ac:dyDescent="0.25">
      <c r="A226" s="485" t="s">
        <v>220</v>
      </c>
      <c r="B226" s="485" t="s">
        <v>7448</v>
      </c>
      <c r="C226" s="485" t="s">
        <v>7776</v>
      </c>
      <c r="D226" s="485" t="s">
        <v>7768</v>
      </c>
      <c r="E226" s="485" t="s">
        <v>7771</v>
      </c>
      <c r="F226" s="482">
        <v>5</v>
      </c>
      <c r="G226" s="468">
        <v>65.112027130684453</v>
      </c>
      <c r="H226" s="479">
        <v>325.56013565342226</v>
      </c>
      <c r="I226" s="480" t="s">
        <v>9009</v>
      </c>
      <c r="J226" s="468" t="s">
        <v>9019</v>
      </c>
      <c r="K226" s="468" t="s">
        <v>9020</v>
      </c>
      <c r="L226" s="468" t="s">
        <v>1911</v>
      </c>
    </row>
    <row r="227" spans="1:12" x14ac:dyDescent="0.25">
      <c r="A227" s="485" t="s">
        <v>220</v>
      </c>
      <c r="B227" s="485" t="s">
        <v>7448</v>
      </c>
      <c r="C227" s="485" t="s">
        <v>7779</v>
      </c>
      <c r="D227" s="485" t="s">
        <v>7780</v>
      </c>
      <c r="E227" s="485" t="s">
        <v>7771</v>
      </c>
      <c r="F227" s="482">
        <v>5</v>
      </c>
      <c r="G227" s="468">
        <v>102.00591757132779</v>
      </c>
      <c r="H227" s="479">
        <v>510.02958785663895</v>
      </c>
      <c r="I227" s="480" t="s">
        <v>9009</v>
      </c>
      <c r="J227" s="468" t="s">
        <v>9019</v>
      </c>
      <c r="K227" s="468" t="s">
        <v>9020</v>
      </c>
      <c r="L227" s="468" t="s">
        <v>1911</v>
      </c>
    </row>
    <row r="228" spans="1:12" x14ac:dyDescent="0.25">
      <c r="A228" s="485" t="s">
        <v>220</v>
      </c>
      <c r="B228" s="485" t="s">
        <v>7448</v>
      </c>
      <c r="C228" s="485" t="s">
        <v>7657</v>
      </c>
      <c r="D228" s="485" t="s">
        <v>7457</v>
      </c>
      <c r="E228" s="485" t="s">
        <v>7771</v>
      </c>
      <c r="F228" s="482">
        <v>12</v>
      </c>
      <c r="G228" s="468">
        <v>222.95621036081153</v>
      </c>
      <c r="H228" s="479">
        <v>2675.4745243297384</v>
      </c>
      <c r="I228" s="480" t="s">
        <v>9009</v>
      </c>
      <c r="J228" s="468" t="s">
        <v>9019</v>
      </c>
      <c r="K228" s="468" t="s">
        <v>9020</v>
      </c>
      <c r="L228" s="468" t="s">
        <v>1911</v>
      </c>
    </row>
    <row r="229" spans="1:12" x14ac:dyDescent="0.25">
      <c r="A229" s="485" t="s">
        <v>220</v>
      </c>
      <c r="B229" s="485" t="s">
        <v>7448</v>
      </c>
      <c r="C229" s="485" t="s">
        <v>7781</v>
      </c>
      <c r="D229" s="485" t="s">
        <v>7757</v>
      </c>
      <c r="E229" s="485" t="s">
        <v>7771</v>
      </c>
      <c r="F229" s="482">
        <v>12</v>
      </c>
      <c r="G229" s="468">
        <v>107.19954031499476</v>
      </c>
      <c r="H229" s="479">
        <v>1286.3944837799372</v>
      </c>
      <c r="I229" s="480" t="s">
        <v>9009</v>
      </c>
      <c r="J229" s="468" t="s">
        <v>9019</v>
      </c>
      <c r="K229" s="468" t="s">
        <v>9020</v>
      </c>
      <c r="L229" s="468" t="s">
        <v>1911</v>
      </c>
    </row>
    <row r="230" spans="1:12" x14ac:dyDescent="0.25">
      <c r="A230" s="485" t="s">
        <v>220</v>
      </c>
      <c r="B230" s="485" t="s">
        <v>532</v>
      </c>
      <c r="C230" s="485" t="s">
        <v>539</v>
      </c>
      <c r="D230" s="485" t="s">
        <v>9036</v>
      </c>
      <c r="E230" s="485" t="s">
        <v>535</v>
      </c>
      <c r="F230" s="482">
        <v>6802.5</v>
      </c>
      <c r="G230" s="468">
        <v>6.3141038910597755</v>
      </c>
      <c r="H230" s="479">
        <v>42951.691718934126</v>
      </c>
      <c r="I230" s="480" t="s">
        <v>9009</v>
      </c>
      <c r="J230" s="468" t="s">
        <v>9011</v>
      </c>
      <c r="K230" s="468" t="s">
        <v>8994</v>
      </c>
      <c r="L230" s="468" t="s">
        <v>541</v>
      </c>
    </row>
    <row r="231" spans="1:12" x14ac:dyDescent="0.25">
      <c r="A231" s="485" t="s">
        <v>220</v>
      </c>
      <c r="B231" s="485" t="s">
        <v>532</v>
      </c>
      <c r="C231" s="485" t="s">
        <v>539</v>
      </c>
      <c r="D231" s="485" t="s">
        <v>9037</v>
      </c>
      <c r="E231" s="485" t="s">
        <v>535</v>
      </c>
      <c r="F231" s="482">
        <v>474.947</v>
      </c>
      <c r="G231" s="468">
        <v>6.3141038910597755</v>
      </c>
      <c r="H231" s="479">
        <v>2998.8647007471673</v>
      </c>
      <c r="I231" s="480" t="s">
        <v>9009</v>
      </c>
      <c r="J231" s="468" t="s">
        <v>9011</v>
      </c>
      <c r="K231" s="468" t="s">
        <v>8994</v>
      </c>
      <c r="L231" s="468" t="s">
        <v>541</v>
      </c>
    </row>
    <row r="232" spans="1:12" x14ac:dyDescent="0.25">
      <c r="A232" s="485" t="s">
        <v>220</v>
      </c>
      <c r="B232" s="485" t="s">
        <v>532</v>
      </c>
      <c r="C232" s="485" t="s">
        <v>1113</v>
      </c>
      <c r="D232" s="485" t="s">
        <v>1114</v>
      </c>
      <c r="E232" s="485" t="s">
        <v>639</v>
      </c>
      <c r="F232" s="482">
        <v>1676</v>
      </c>
      <c r="G232" s="468">
        <v>2.3547234064806553</v>
      </c>
      <c r="H232" s="479">
        <v>3946.5164292615782</v>
      </c>
      <c r="I232" s="480" t="s">
        <v>9009</v>
      </c>
      <c r="J232" s="468" t="s">
        <v>9011</v>
      </c>
      <c r="K232" s="468" t="s">
        <v>9038</v>
      </c>
      <c r="L232" s="468" t="s">
        <v>541</v>
      </c>
    </row>
    <row r="233" spans="1:12" x14ac:dyDescent="0.25">
      <c r="A233" s="485" t="s">
        <v>220</v>
      </c>
      <c r="B233" s="485" t="s">
        <v>532</v>
      </c>
      <c r="C233" s="485" t="s">
        <v>1115</v>
      </c>
      <c r="D233" s="485" t="s">
        <v>1116</v>
      </c>
      <c r="E233" s="485" t="s">
        <v>639</v>
      </c>
      <c r="F233" s="482">
        <v>2042</v>
      </c>
      <c r="G233" s="468">
        <v>3.0112839398343723</v>
      </c>
      <c r="H233" s="479">
        <v>6149.0418051417882</v>
      </c>
      <c r="I233" s="480" t="s">
        <v>9009</v>
      </c>
      <c r="J233" s="468" t="s">
        <v>9011</v>
      </c>
      <c r="K233" s="468" t="s">
        <v>9038</v>
      </c>
      <c r="L233" s="468" t="s">
        <v>541</v>
      </c>
    </row>
    <row r="234" spans="1:12" x14ac:dyDescent="0.25">
      <c r="A234" s="485" t="s">
        <v>220</v>
      </c>
      <c r="B234" s="485" t="s">
        <v>532</v>
      </c>
      <c r="C234" s="485" t="s">
        <v>7410</v>
      </c>
      <c r="D234" s="485" t="s">
        <v>9039</v>
      </c>
      <c r="E234" s="485" t="s">
        <v>535</v>
      </c>
      <c r="F234" s="482">
        <v>2940.5010000000002</v>
      </c>
      <c r="G234" s="468">
        <v>7.3617335712088465</v>
      </c>
      <c r="H234" s="479">
        <v>21647.184927873186</v>
      </c>
      <c r="I234" s="480" t="s">
        <v>9009</v>
      </c>
      <c r="J234" s="468" t="s">
        <v>536</v>
      </c>
      <c r="K234" s="468" t="s">
        <v>9010</v>
      </c>
      <c r="L234" s="468" t="s">
        <v>536</v>
      </c>
    </row>
    <row r="235" spans="1:12" x14ac:dyDescent="0.25">
      <c r="A235" s="485" t="s">
        <v>220</v>
      </c>
      <c r="B235" s="485" t="s">
        <v>532</v>
      </c>
      <c r="C235" s="485" t="s">
        <v>7411</v>
      </c>
      <c r="D235" s="485" t="s">
        <v>9040</v>
      </c>
      <c r="E235" s="485" t="s">
        <v>535</v>
      </c>
      <c r="F235" s="482">
        <v>3305.2929999999997</v>
      </c>
      <c r="G235" s="468">
        <v>7.4084125411562836</v>
      </c>
      <c r="H235" s="479">
        <v>24486.974113396074</v>
      </c>
      <c r="I235" s="480" t="s">
        <v>9009</v>
      </c>
      <c r="J235" s="468" t="s">
        <v>536</v>
      </c>
      <c r="K235" s="468" t="s">
        <v>9010</v>
      </c>
      <c r="L235" s="468" t="s">
        <v>536</v>
      </c>
    </row>
    <row r="236" spans="1:12" x14ac:dyDescent="0.25">
      <c r="A236" s="485" t="s">
        <v>220</v>
      </c>
      <c r="B236" s="485" t="s">
        <v>532</v>
      </c>
      <c r="C236" s="485" t="s">
        <v>9041</v>
      </c>
      <c r="D236" s="485" t="s">
        <v>9042</v>
      </c>
      <c r="E236" s="485" t="s">
        <v>535</v>
      </c>
      <c r="F236" s="482">
        <v>195.34800000000001</v>
      </c>
      <c r="G236" s="468">
        <v>7.3930071495839798</v>
      </c>
      <c r="H236" s="479">
        <v>1444.2091606569313</v>
      </c>
      <c r="I236" s="480" t="s">
        <v>9009</v>
      </c>
      <c r="J236" s="468" t="s">
        <v>536</v>
      </c>
      <c r="K236" s="468" t="s">
        <v>9010</v>
      </c>
      <c r="L236" s="468" t="s">
        <v>536</v>
      </c>
    </row>
    <row r="237" spans="1:12" x14ac:dyDescent="0.25">
      <c r="A237" s="485" t="s">
        <v>220</v>
      </c>
      <c r="B237" s="485" t="s">
        <v>532</v>
      </c>
      <c r="C237" s="485" t="s">
        <v>7412</v>
      </c>
      <c r="D237" s="485" t="s">
        <v>9043</v>
      </c>
      <c r="E237" s="485" t="s">
        <v>535</v>
      </c>
      <c r="F237" s="482">
        <v>212.16</v>
      </c>
      <c r="G237" s="468">
        <v>7.4184099269603552</v>
      </c>
      <c r="H237" s="479">
        <v>1573.8898501039089</v>
      </c>
      <c r="I237" s="480" t="s">
        <v>9009</v>
      </c>
      <c r="J237" s="468" t="s">
        <v>536</v>
      </c>
      <c r="K237" s="468" t="s">
        <v>9010</v>
      </c>
      <c r="L237" s="468" t="s">
        <v>536</v>
      </c>
    </row>
    <row r="238" spans="1:12" x14ac:dyDescent="0.25">
      <c r="A238" s="485" t="s">
        <v>587</v>
      </c>
      <c r="B238" s="485" t="s">
        <v>591</v>
      </c>
      <c r="C238" s="485"/>
      <c r="D238" s="485" t="s">
        <v>9044</v>
      </c>
      <c r="E238" s="485" t="s">
        <v>535</v>
      </c>
      <c r="F238" s="482">
        <v>1550</v>
      </c>
      <c r="G238" s="468">
        <v>6.1947233793024967</v>
      </c>
      <c r="H238" s="479">
        <v>9601.8212379188699</v>
      </c>
      <c r="I238" s="480" t="s">
        <v>9009</v>
      </c>
      <c r="J238" s="468" t="s">
        <v>9011</v>
      </c>
      <c r="K238" s="468" t="s">
        <v>8994</v>
      </c>
      <c r="L238" s="468" t="s">
        <v>541</v>
      </c>
    </row>
    <row r="239" spans="1:12" x14ac:dyDescent="0.25">
      <c r="A239" s="485" t="s">
        <v>587</v>
      </c>
      <c r="B239" s="485" t="s">
        <v>591</v>
      </c>
      <c r="C239" s="485" t="s">
        <v>9041</v>
      </c>
      <c r="D239" s="485" t="s">
        <v>9045</v>
      </c>
      <c r="E239" s="485" t="s">
        <v>535</v>
      </c>
      <c r="F239" s="482">
        <v>2190</v>
      </c>
      <c r="G239" s="468">
        <v>7.3930071495839798</v>
      </c>
      <c r="H239" s="479">
        <v>16190.685657588916</v>
      </c>
      <c r="I239" s="480" t="s">
        <v>9009</v>
      </c>
      <c r="J239" s="468" t="s">
        <v>536</v>
      </c>
      <c r="K239" s="468" t="s">
        <v>9010</v>
      </c>
      <c r="L239" s="468" t="s">
        <v>536</v>
      </c>
    </row>
    <row r="240" spans="1:12" x14ac:dyDescent="0.25">
      <c r="A240" s="485" t="s">
        <v>587</v>
      </c>
      <c r="B240" s="485" t="s">
        <v>591</v>
      </c>
      <c r="C240" s="485" t="s">
        <v>594</v>
      </c>
      <c r="D240" s="485" t="s">
        <v>595</v>
      </c>
      <c r="E240" s="485" t="s">
        <v>535</v>
      </c>
      <c r="F240" s="482">
        <v>122.19999999999999</v>
      </c>
      <c r="G240" s="468">
        <v>6.5179401000797839</v>
      </c>
      <c r="H240" s="479">
        <v>796.49228022974955</v>
      </c>
      <c r="I240" s="480" t="s">
        <v>9009</v>
      </c>
      <c r="J240" s="468" t="s">
        <v>536</v>
      </c>
      <c r="K240" s="468" t="s">
        <v>9010</v>
      </c>
      <c r="L240" s="468" t="s">
        <v>536</v>
      </c>
    </row>
    <row r="241" spans="1:12" x14ac:dyDescent="0.25">
      <c r="A241" s="485" t="s">
        <v>587</v>
      </c>
      <c r="B241" s="485" t="s">
        <v>591</v>
      </c>
      <c r="C241" s="485" t="s">
        <v>596</v>
      </c>
      <c r="D241" s="485" t="s">
        <v>593</v>
      </c>
      <c r="E241" s="485" t="s">
        <v>535</v>
      </c>
      <c r="F241" s="482">
        <v>2704.8</v>
      </c>
      <c r="G241" s="468">
        <v>6.8132700962529764</v>
      </c>
      <c r="H241" s="479">
        <v>18428.53295634505</v>
      </c>
      <c r="I241" s="480" t="s">
        <v>9009</v>
      </c>
      <c r="J241" s="468" t="s">
        <v>536</v>
      </c>
      <c r="K241" s="468" t="s">
        <v>9010</v>
      </c>
      <c r="L241" s="468" t="s">
        <v>536</v>
      </c>
    </row>
    <row r="242" spans="1:12" x14ac:dyDescent="0.25">
      <c r="A242" s="485" t="s">
        <v>220</v>
      </c>
      <c r="B242" s="485" t="s">
        <v>2063</v>
      </c>
      <c r="C242" s="485" t="s">
        <v>2134</v>
      </c>
      <c r="D242" s="485" t="s">
        <v>9046</v>
      </c>
      <c r="E242" s="485" t="s">
        <v>545</v>
      </c>
      <c r="F242" s="482">
        <v>1222</v>
      </c>
      <c r="G242" s="468">
        <v>72.706083669160094</v>
      </c>
      <c r="H242" s="479">
        <v>88846.834243713631</v>
      </c>
      <c r="I242" s="480" t="s">
        <v>9009</v>
      </c>
      <c r="J242" s="468" t="s">
        <v>9023</v>
      </c>
      <c r="K242" s="468" t="s">
        <v>9024</v>
      </c>
      <c r="L242" s="468" t="s">
        <v>536</v>
      </c>
    </row>
    <row r="243" spans="1:12" x14ac:dyDescent="0.25">
      <c r="A243" s="485" t="s">
        <v>220</v>
      </c>
      <c r="B243" s="485" t="s">
        <v>2063</v>
      </c>
      <c r="C243" s="485" t="s">
        <v>2072</v>
      </c>
      <c r="D243" s="485" t="s">
        <v>9047</v>
      </c>
      <c r="E243" s="485" t="s">
        <v>545</v>
      </c>
      <c r="F243" s="482">
        <v>1275</v>
      </c>
      <c r="G243" s="468">
        <v>85.295615832357655</v>
      </c>
      <c r="H243" s="479">
        <v>108751.91018625601</v>
      </c>
      <c r="I243" s="480" t="s">
        <v>9009</v>
      </c>
      <c r="J243" s="468" t="s">
        <v>9023</v>
      </c>
      <c r="K243" s="468" t="s">
        <v>9024</v>
      </c>
      <c r="L243" s="468" t="s">
        <v>1911</v>
      </c>
    </row>
    <row r="244" spans="1:12" x14ac:dyDescent="0.25">
      <c r="A244" s="485" t="s">
        <v>220</v>
      </c>
      <c r="B244" s="485" t="s">
        <v>2063</v>
      </c>
      <c r="C244" s="485" t="s">
        <v>9048</v>
      </c>
      <c r="D244" s="485" t="s">
        <v>9049</v>
      </c>
      <c r="E244" s="485" t="s">
        <v>545</v>
      </c>
      <c r="F244" s="482">
        <v>910</v>
      </c>
      <c r="G244" s="468">
        <v>83.469227436028078</v>
      </c>
      <c r="H244" s="479">
        <v>75956.996966785548</v>
      </c>
      <c r="I244" s="480" t="s">
        <v>9009</v>
      </c>
      <c r="J244" s="468" t="s">
        <v>9023</v>
      </c>
      <c r="K244" s="468" t="s">
        <v>9024</v>
      </c>
      <c r="L244" s="468" t="s">
        <v>536</v>
      </c>
    </row>
    <row r="245" spans="1:12" x14ac:dyDescent="0.25">
      <c r="A245" s="485" t="s">
        <v>220</v>
      </c>
      <c r="B245" s="485" t="s">
        <v>2063</v>
      </c>
      <c r="C245" s="485" t="s">
        <v>7652</v>
      </c>
      <c r="D245" s="485" t="s">
        <v>7653</v>
      </c>
      <c r="E245" s="485" t="s">
        <v>545</v>
      </c>
      <c r="F245" s="482">
        <v>176</v>
      </c>
      <c r="G245" s="468">
        <v>85.566789816282565</v>
      </c>
      <c r="H245" s="479">
        <v>15059.755007665732</v>
      </c>
      <c r="I245" s="480" t="s">
        <v>9009</v>
      </c>
      <c r="J245" s="468" t="s">
        <v>9023</v>
      </c>
      <c r="K245" s="468" t="s">
        <v>9024</v>
      </c>
      <c r="L245" s="468" t="s">
        <v>536</v>
      </c>
    </row>
    <row r="246" spans="1:12" x14ac:dyDescent="0.25">
      <c r="A246" s="485" t="s">
        <v>220</v>
      </c>
      <c r="B246" s="485" t="s">
        <v>2063</v>
      </c>
      <c r="C246" s="485" t="s">
        <v>9050</v>
      </c>
      <c r="D246" s="485" t="s">
        <v>7665</v>
      </c>
      <c r="E246" s="485" t="s">
        <v>545</v>
      </c>
      <c r="F246" s="482">
        <v>26</v>
      </c>
      <c r="G246" s="468">
        <v>75.591976440184197</v>
      </c>
      <c r="H246" s="479">
        <v>1965.3913874447892</v>
      </c>
      <c r="I246" s="480" t="s">
        <v>9009</v>
      </c>
      <c r="J246" s="468" t="s">
        <v>9023</v>
      </c>
      <c r="K246" s="468" t="s">
        <v>9024</v>
      </c>
      <c r="L246" s="468" t="s">
        <v>536</v>
      </c>
    </row>
    <row r="247" spans="1:12" x14ac:dyDescent="0.25">
      <c r="A247" s="485" t="s">
        <v>220</v>
      </c>
      <c r="B247" s="485" t="s">
        <v>2063</v>
      </c>
      <c r="C247" s="485" t="s">
        <v>9051</v>
      </c>
      <c r="D247" s="485" t="s">
        <v>9052</v>
      </c>
      <c r="E247" s="485" t="s">
        <v>545</v>
      </c>
      <c r="F247" s="482">
        <v>64</v>
      </c>
      <c r="G247" s="468">
        <v>192.14534412054931</v>
      </c>
      <c r="H247" s="479">
        <v>12297.302023715156</v>
      </c>
      <c r="I247" s="480" t="s">
        <v>9009</v>
      </c>
      <c r="J247" s="468" t="s">
        <v>9023</v>
      </c>
      <c r="K247" s="468" t="s">
        <v>9024</v>
      </c>
      <c r="L247" s="468" t="s">
        <v>536</v>
      </c>
    </row>
    <row r="248" spans="1:12" x14ac:dyDescent="0.25">
      <c r="A248" s="485" t="s">
        <v>220</v>
      </c>
      <c r="B248" s="485" t="s">
        <v>2063</v>
      </c>
      <c r="C248" s="485" t="s">
        <v>7773</v>
      </c>
      <c r="D248" s="485" t="s">
        <v>7757</v>
      </c>
      <c r="E248" s="485" t="s">
        <v>545</v>
      </c>
      <c r="F248" s="482">
        <v>80</v>
      </c>
      <c r="G248" s="468">
        <v>66.934492603606486</v>
      </c>
      <c r="H248" s="479">
        <v>5354.7594082885189</v>
      </c>
      <c r="I248" s="480" t="s">
        <v>9009</v>
      </c>
      <c r="J248" s="468" t="s">
        <v>9023</v>
      </c>
      <c r="K248" s="468" t="s">
        <v>9024</v>
      </c>
      <c r="L248" s="468" t="s">
        <v>536</v>
      </c>
    </row>
    <row r="249" spans="1:12" x14ac:dyDescent="0.25">
      <c r="A249" s="485" t="s">
        <v>220</v>
      </c>
      <c r="B249" s="485" t="s">
        <v>2063</v>
      </c>
      <c r="C249" s="485" t="s">
        <v>9053</v>
      </c>
      <c r="D249" s="485" t="s">
        <v>9054</v>
      </c>
      <c r="E249" s="485" t="s">
        <v>545</v>
      </c>
      <c r="F249" s="482">
        <v>15</v>
      </c>
      <c r="G249" s="468">
        <v>220.13378595377878</v>
      </c>
      <c r="H249" s="479">
        <v>3302.0067893066816</v>
      </c>
      <c r="I249" s="480" t="s">
        <v>9009</v>
      </c>
      <c r="J249" s="468" t="s">
        <v>9023</v>
      </c>
      <c r="K249" s="468" t="s">
        <v>9024</v>
      </c>
      <c r="L249" s="468" t="s">
        <v>536</v>
      </c>
    </row>
    <row r="250" spans="1:12" x14ac:dyDescent="0.25">
      <c r="A250" s="485" t="s">
        <v>220</v>
      </c>
      <c r="B250" s="485" t="s">
        <v>7455</v>
      </c>
      <c r="C250" s="485" t="s">
        <v>9055</v>
      </c>
      <c r="D250" s="485" t="s">
        <v>9056</v>
      </c>
      <c r="E250" s="485" t="s">
        <v>545</v>
      </c>
      <c r="F250" s="482">
        <v>1</v>
      </c>
      <c r="G250" s="468">
        <v>91.202859279279139</v>
      </c>
      <c r="H250" s="479">
        <v>91.202859279279139</v>
      </c>
      <c r="I250" s="480" t="s">
        <v>9009</v>
      </c>
      <c r="J250" s="468" t="s">
        <v>9023</v>
      </c>
      <c r="K250" s="468" t="s">
        <v>9024</v>
      </c>
      <c r="L250" s="468" t="s">
        <v>536</v>
      </c>
    </row>
    <row r="251" spans="1:12" x14ac:dyDescent="0.25">
      <c r="A251" s="485" t="s">
        <v>220</v>
      </c>
      <c r="B251" s="485" t="s">
        <v>7455</v>
      </c>
      <c r="C251" s="485" t="s">
        <v>7631</v>
      </c>
      <c r="D251" s="485" t="s">
        <v>7752</v>
      </c>
      <c r="E251" s="485" t="s">
        <v>545</v>
      </c>
      <c r="F251" s="482">
        <v>3</v>
      </c>
      <c r="G251" s="468">
        <v>53.361335118244675</v>
      </c>
      <c r="H251" s="479">
        <v>160.08400535473402</v>
      </c>
      <c r="I251" s="480" t="s">
        <v>9009</v>
      </c>
      <c r="J251" s="468" t="s">
        <v>9023</v>
      </c>
      <c r="K251" s="468" t="s">
        <v>9024</v>
      </c>
      <c r="L251" s="468" t="s">
        <v>536</v>
      </c>
    </row>
    <row r="252" spans="1:12" x14ac:dyDescent="0.25">
      <c r="A252" s="485" t="s">
        <v>220</v>
      </c>
      <c r="B252" s="485" t="s">
        <v>7455</v>
      </c>
      <c r="C252" s="485" t="s">
        <v>2138</v>
      </c>
      <c r="D252" s="485" t="s">
        <v>7648</v>
      </c>
      <c r="E252" s="485" t="s">
        <v>545</v>
      </c>
      <c r="F252" s="482">
        <v>12</v>
      </c>
      <c r="G252" s="468">
        <v>57.947599557165105</v>
      </c>
      <c r="H252" s="479">
        <v>695.37119468598121</v>
      </c>
      <c r="I252" s="480" t="s">
        <v>9009</v>
      </c>
      <c r="J252" s="468" t="s">
        <v>9023</v>
      </c>
      <c r="K252" s="468" t="s">
        <v>9024</v>
      </c>
      <c r="L252" s="468" t="s">
        <v>536</v>
      </c>
    </row>
    <row r="253" spans="1:12" x14ac:dyDescent="0.25">
      <c r="A253" s="485" t="s">
        <v>220</v>
      </c>
      <c r="B253" s="485" t="s">
        <v>7455</v>
      </c>
      <c r="C253" s="485" t="s">
        <v>2134</v>
      </c>
      <c r="D253" s="485" t="s">
        <v>9046</v>
      </c>
      <c r="E253" s="485" t="s">
        <v>545</v>
      </c>
      <c r="F253" s="482">
        <v>15</v>
      </c>
      <c r="G253" s="468">
        <v>72.706083669160094</v>
      </c>
      <c r="H253" s="479">
        <v>1090.5912550374014</v>
      </c>
      <c r="I253" s="480" t="s">
        <v>9009</v>
      </c>
      <c r="J253" s="468" t="s">
        <v>9023</v>
      </c>
      <c r="K253" s="468" t="s">
        <v>9024</v>
      </c>
      <c r="L253" s="468" t="s">
        <v>536</v>
      </c>
    </row>
    <row r="254" spans="1:12" x14ac:dyDescent="0.25">
      <c r="A254" s="485" t="s">
        <v>220</v>
      </c>
      <c r="B254" s="485" t="s">
        <v>7455</v>
      </c>
      <c r="C254" s="485" t="s">
        <v>2116</v>
      </c>
      <c r="D254" s="485" t="s">
        <v>9057</v>
      </c>
      <c r="E254" s="485" t="s">
        <v>545</v>
      </c>
      <c r="F254" s="482">
        <v>4</v>
      </c>
      <c r="G254" s="468">
        <v>63.12172266323816</v>
      </c>
      <c r="H254" s="479">
        <v>252.48689065295264</v>
      </c>
      <c r="I254" s="480" t="s">
        <v>9009</v>
      </c>
      <c r="J254" s="468" t="s">
        <v>9023</v>
      </c>
      <c r="K254" s="468" t="s">
        <v>9024</v>
      </c>
      <c r="L254" s="468" t="s">
        <v>536</v>
      </c>
    </row>
    <row r="255" spans="1:12" x14ac:dyDescent="0.25">
      <c r="A255" s="485" t="s">
        <v>220</v>
      </c>
      <c r="B255" s="485" t="s">
        <v>7455</v>
      </c>
      <c r="C255" s="485" t="s">
        <v>7763</v>
      </c>
      <c r="D255" s="485" t="s">
        <v>7764</v>
      </c>
      <c r="E255" s="485" t="s">
        <v>545</v>
      </c>
      <c r="F255" s="482">
        <v>14</v>
      </c>
      <c r="G255" s="468">
        <v>58.919145133075403</v>
      </c>
      <c r="H255" s="479">
        <v>824.86803186305565</v>
      </c>
      <c r="I255" s="480" t="s">
        <v>9009</v>
      </c>
      <c r="J255" s="468" t="s">
        <v>9023</v>
      </c>
      <c r="K255" s="468" t="s">
        <v>9024</v>
      </c>
      <c r="L255" s="468" t="s">
        <v>536</v>
      </c>
    </row>
    <row r="256" spans="1:12" x14ac:dyDescent="0.25">
      <c r="A256" s="485" t="s">
        <v>220</v>
      </c>
      <c r="B256" s="485" t="s">
        <v>7455</v>
      </c>
      <c r="C256" s="485" t="s">
        <v>2133</v>
      </c>
      <c r="D256" s="485" t="s">
        <v>7643</v>
      </c>
      <c r="E256" s="485" t="s">
        <v>545</v>
      </c>
      <c r="F256" s="482">
        <v>1</v>
      </c>
      <c r="G256" s="468">
        <v>79.477198565576956</v>
      </c>
      <c r="H256" s="479">
        <v>79.477198565576956</v>
      </c>
      <c r="I256" s="480" t="s">
        <v>9009</v>
      </c>
      <c r="J256" s="468" t="s">
        <v>9023</v>
      </c>
      <c r="K256" s="468" t="s">
        <v>9024</v>
      </c>
      <c r="L256" s="468" t="s">
        <v>536</v>
      </c>
    </row>
    <row r="257" spans="1:12" x14ac:dyDescent="0.25">
      <c r="A257" s="485" t="s">
        <v>220</v>
      </c>
      <c r="B257" s="485" t="s">
        <v>7455</v>
      </c>
      <c r="C257" s="485" t="s">
        <v>7767</v>
      </c>
      <c r="D257" s="485" t="s">
        <v>7765</v>
      </c>
      <c r="E257" s="485" t="s">
        <v>545</v>
      </c>
      <c r="F257" s="482">
        <v>2</v>
      </c>
      <c r="G257" s="468">
        <v>59.705741205673398</v>
      </c>
      <c r="H257" s="479">
        <v>119.4114824113468</v>
      </c>
      <c r="I257" s="480" t="s">
        <v>9009</v>
      </c>
      <c r="J257" s="468" t="s">
        <v>9023</v>
      </c>
      <c r="K257" s="468" t="s">
        <v>9024</v>
      </c>
      <c r="L257" s="468" t="s">
        <v>536</v>
      </c>
    </row>
    <row r="258" spans="1:12" x14ac:dyDescent="0.25">
      <c r="A258" s="485" t="s">
        <v>220</v>
      </c>
      <c r="B258" s="485" t="s">
        <v>7455</v>
      </c>
      <c r="C258" s="485" t="s">
        <v>7641</v>
      </c>
      <c r="D258" s="485" t="s">
        <v>7778</v>
      </c>
      <c r="E258" s="485" t="s">
        <v>545</v>
      </c>
      <c r="F258" s="482">
        <v>25</v>
      </c>
      <c r="G258" s="468">
        <v>64.621282508738133</v>
      </c>
      <c r="H258" s="479">
        <v>1615.5320627184533</v>
      </c>
      <c r="I258" s="480" t="s">
        <v>9009</v>
      </c>
      <c r="J258" s="468" t="s">
        <v>9023</v>
      </c>
      <c r="K258" s="468" t="s">
        <v>9024</v>
      </c>
      <c r="L258" s="468" t="s">
        <v>536</v>
      </c>
    </row>
    <row r="259" spans="1:12" x14ac:dyDescent="0.25">
      <c r="A259" s="485" t="s">
        <v>220</v>
      </c>
      <c r="B259" s="485" t="s">
        <v>7455</v>
      </c>
      <c r="C259" s="485" t="s">
        <v>9058</v>
      </c>
      <c r="D259" s="485" t="s">
        <v>9059</v>
      </c>
      <c r="E259" s="485" t="s">
        <v>545</v>
      </c>
      <c r="F259" s="482">
        <v>4</v>
      </c>
      <c r="G259" s="468">
        <v>89.102147320797002</v>
      </c>
      <c r="H259" s="479">
        <v>356.40858928318801</v>
      </c>
      <c r="I259" s="480" t="s">
        <v>9009</v>
      </c>
      <c r="J259" s="468" t="s">
        <v>9023</v>
      </c>
      <c r="K259" s="468" t="s">
        <v>9024</v>
      </c>
      <c r="L259" s="468" t="s">
        <v>536</v>
      </c>
    </row>
    <row r="260" spans="1:12" x14ac:dyDescent="0.25">
      <c r="A260" s="485" t="s">
        <v>220</v>
      </c>
      <c r="B260" s="485" t="s">
        <v>7455</v>
      </c>
      <c r="C260" s="485" t="s">
        <v>7598</v>
      </c>
      <c r="D260" s="485" t="s">
        <v>7644</v>
      </c>
      <c r="E260" s="485" t="s">
        <v>545</v>
      </c>
      <c r="F260" s="482">
        <v>12</v>
      </c>
      <c r="G260" s="468">
        <v>88.953202641804936</v>
      </c>
      <c r="H260" s="479">
        <v>1067.4384317016593</v>
      </c>
      <c r="I260" s="480" t="s">
        <v>9009</v>
      </c>
      <c r="J260" s="468" t="s">
        <v>9023</v>
      </c>
      <c r="K260" s="468" t="s">
        <v>9024</v>
      </c>
      <c r="L260" s="468" t="s">
        <v>536</v>
      </c>
    </row>
    <row r="261" spans="1:12" x14ac:dyDescent="0.25">
      <c r="A261" s="485" t="s">
        <v>220</v>
      </c>
      <c r="B261" s="485" t="s">
        <v>7455</v>
      </c>
      <c r="C261" s="485" t="s">
        <v>7637</v>
      </c>
      <c r="D261" s="485" t="s">
        <v>7638</v>
      </c>
      <c r="E261" s="485" t="s">
        <v>545</v>
      </c>
      <c r="F261" s="482">
        <v>2</v>
      </c>
      <c r="G261" s="468">
        <v>163.73729882871601</v>
      </c>
      <c r="H261" s="479">
        <v>327.47459765743201</v>
      </c>
      <c r="I261" s="480" t="s">
        <v>9009</v>
      </c>
      <c r="J261" s="468" t="s">
        <v>9023</v>
      </c>
      <c r="K261" s="468" t="s">
        <v>9024</v>
      </c>
      <c r="L261" s="468" t="s">
        <v>536</v>
      </c>
    </row>
    <row r="262" spans="1:12" x14ac:dyDescent="0.25">
      <c r="A262" s="485" t="s">
        <v>220</v>
      </c>
      <c r="B262" s="485" t="s">
        <v>7455</v>
      </c>
      <c r="C262" s="485" t="s">
        <v>2074</v>
      </c>
      <c r="D262" s="485" t="s">
        <v>7608</v>
      </c>
      <c r="E262" s="485" t="s">
        <v>545</v>
      </c>
      <c r="F262" s="482">
        <v>1</v>
      </c>
      <c r="G262" s="468">
        <v>57.605556537142405</v>
      </c>
      <c r="H262" s="479">
        <v>57.605556537142405</v>
      </c>
      <c r="I262" s="480" t="s">
        <v>9009</v>
      </c>
      <c r="J262" s="468" t="s">
        <v>9023</v>
      </c>
      <c r="K262" s="468" t="s">
        <v>9024</v>
      </c>
      <c r="L262" s="468" t="s">
        <v>536</v>
      </c>
    </row>
    <row r="263" spans="1:12" x14ac:dyDescent="0.25">
      <c r="A263" s="485" t="s">
        <v>220</v>
      </c>
      <c r="B263" s="485" t="s">
        <v>7448</v>
      </c>
      <c r="C263" s="485" t="s">
        <v>1948</v>
      </c>
      <c r="D263" s="485" t="s">
        <v>7613</v>
      </c>
      <c r="E263" s="485" t="s">
        <v>545</v>
      </c>
      <c r="F263" s="482">
        <v>52</v>
      </c>
      <c r="G263" s="468">
        <v>62.808687355754884</v>
      </c>
      <c r="H263" s="479">
        <v>3266.051742499254</v>
      </c>
      <c r="I263" s="480" t="s">
        <v>9009</v>
      </c>
      <c r="J263" s="468" t="s">
        <v>9019</v>
      </c>
      <c r="K263" s="468" t="s">
        <v>9020</v>
      </c>
      <c r="L263" s="468" t="s">
        <v>1911</v>
      </c>
    </row>
    <row r="264" spans="1:12" x14ac:dyDescent="0.25">
      <c r="A264" s="485" t="s">
        <v>220</v>
      </c>
      <c r="B264" s="485" t="s">
        <v>7448</v>
      </c>
      <c r="C264" s="485" t="s">
        <v>1990</v>
      </c>
      <c r="D264" s="485" t="s">
        <v>9060</v>
      </c>
      <c r="E264" s="485" t="s">
        <v>545</v>
      </c>
      <c r="F264" s="482">
        <v>30</v>
      </c>
      <c r="G264" s="468">
        <v>57.244539381781181</v>
      </c>
      <c r="H264" s="479">
        <v>1717.3361814534355</v>
      </c>
      <c r="I264" s="480" t="s">
        <v>9009</v>
      </c>
      <c r="J264" s="468" t="s">
        <v>9019</v>
      </c>
      <c r="K264" s="468" t="s">
        <v>9020</v>
      </c>
      <c r="L264" s="468" t="s">
        <v>1911</v>
      </c>
    </row>
    <row r="265" spans="1:12" x14ac:dyDescent="0.25">
      <c r="A265" s="485" t="s">
        <v>220</v>
      </c>
      <c r="B265" s="485" t="s">
        <v>7448</v>
      </c>
      <c r="C265" s="485" t="s">
        <v>2031</v>
      </c>
      <c r="D265" s="485" t="s">
        <v>7648</v>
      </c>
      <c r="E265" s="485" t="s">
        <v>545</v>
      </c>
      <c r="F265" s="482">
        <v>75</v>
      </c>
      <c r="G265" s="468">
        <v>61.985182199121589</v>
      </c>
      <c r="H265" s="479">
        <v>4648.8886649341193</v>
      </c>
      <c r="I265" s="480" t="s">
        <v>9009</v>
      </c>
      <c r="J265" s="468" t="s">
        <v>9019</v>
      </c>
      <c r="K265" s="468" t="s">
        <v>9020</v>
      </c>
      <c r="L265" s="468" t="s">
        <v>1911</v>
      </c>
    </row>
    <row r="266" spans="1:12" x14ac:dyDescent="0.25">
      <c r="A266" s="485" t="s">
        <v>220</v>
      </c>
      <c r="B266" s="485" t="s">
        <v>7448</v>
      </c>
      <c r="C266" s="485" t="s">
        <v>1924</v>
      </c>
      <c r="D266" s="485" t="s">
        <v>9046</v>
      </c>
      <c r="E266" s="485" t="s">
        <v>545</v>
      </c>
      <c r="F266" s="482">
        <v>48</v>
      </c>
      <c r="G266" s="468">
        <v>80.36830241742453</v>
      </c>
      <c r="H266" s="479">
        <v>3857.6785160363775</v>
      </c>
      <c r="I266" s="480" t="s">
        <v>9009</v>
      </c>
      <c r="J266" s="468" t="s">
        <v>9019</v>
      </c>
      <c r="K266" s="468" t="s">
        <v>9020</v>
      </c>
      <c r="L266" s="468" t="s">
        <v>1911</v>
      </c>
    </row>
    <row r="267" spans="1:12" x14ac:dyDescent="0.25">
      <c r="A267" s="485" t="s">
        <v>220</v>
      </c>
      <c r="B267" s="485" t="s">
        <v>7448</v>
      </c>
      <c r="C267" s="485" t="s">
        <v>2019</v>
      </c>
      <c r="D267" s="485" t="s">
        <v>7643</v>
      </c>
      <c r="E267" s="485" t="s">
        <v>545</v>
      </c>
      <c r="F267" s="482">
        <v>30</v>
      </c>
      <c r="G267" s="468">
        <v>87.226551196142339</v>
      </c>
      <c r="H267" s="479">
        <v>2616.7965358842703</v>
      </c>
      <c r="I267" s="480" t="s">
        <v>9009</v>
      </c>
      <c r="J267" s="468" t="s">
        <v>9019</v>
      </c>
      <c r="K267" s="468" t="s">
        <v>9020</v>
      </c>
      <c r="L267" s="468" t="s">
        <v>1911</v>
      </c>
    </row>
    <row r="268" spans="1:12" x14ac:dyDescent="0.25">
      <c r="A268" s="485" t="s">
        <v>220</v>
      </c>
      <c r="B268" s="485" t="s">
        <v>7448</v>
      </c>
      <c r="C268" s="485" t="s">
        <v>2021</v>
      </c>
      <c r="D268" s="485" t="s">
        <v>7479</v>
      </c>
      <c r="E268" s="485" t="s">
        <v>545</v>
      </c>
      <c r="F268" s="482">
        <v>21</v>
      </c>
      <c r="G268" s="468">
        <v>101.49895020390056</v>
      </c>
      <c r="H268" s="479">
        <v>2131.4779542819119</v>
      </c>
      <c r="I268" s="480" t="s">
        <v>9009</v>
      </c>
      <c r="J268" s="468" t="s">
        <v>9019</v>
      </c>
      <c r="K268" s="468" t="s">
        <v>9020</v>
      </c>
      <c r="L268" s="468" t="s">
        <v>1911</v>
      </c>
    </row>
    <row r="269" spans="1:12" x14ac:dyDescent="0.25">
      <c r="A269" s="485" t="s">
        <v>220</v>
      </c>
      <c r="B269" s="485" t="s">
        <v>7448</v>
      </c>
      <c r="C269" s="485" t="s">
        <v>9061</v>
      </c>
      <c r="D269" s="485" t="s">
        <v>9054</v>
      </c>
      <c r="E269" s="485" t="s">
        <v>545</v>
      </c>
      <c r="F269" s="482">
        <v>1</v>
      </c>
      <c r="G269" s="468">
        <v>237.63046907179017</v>
      </c>
      <c r="H269" s="479">
        <v>237.63046907179017</v>
      </c>
      <c r="I269" s="480" t="s">
        <v>9009</v>
      </c>
      <c r="J269" s="468" t="s">
        <v>9019</v>
      </c>
      <c r="K269" s="468" t="s">
        <v>9020</v>
      </c>
      <c r="L269" s="468" t="s">
        <v>1911</v>
      </c>
    </row>
    <row r="270" spans="1:12" x14ac:dyDescent="0.25">
      <c r="A270" s="485" t="s">
        <v>220</v>
      </c>
      <c r="B270" s="485" t="s">
        <v>7448</v>
      </c>
      <c r="C270" s="485" t="s">
        <v>9062</v>
      </c>
      <c r="D270" s="485" t="s">
        <v>9063</v>
      </c>
      <c r="E270" s="485" t="s">
        <v>545</v>
      </c>
      <c r="F270" s="482">
        <v>5</v>
      </c>
      <c r="G270" s="468">
        <v>102.93403396390786</v>
      </c>
      <c r="H270" s="479">
        <v>514.6701698195393</v>
      </c>
      <c r="I270" s="480" t="s">
        <v>9009</v>
      </c>
      <c r="J270" s="468" t="s">
        <v>9019</v>
      </c>
      <c r="K270" s="468" t="s">
        <v>9020</v>
      </c>
      <c r="L270" s="468" t="s">
        <v>1911</v>
      </c>
    </row>
    <row r="271" spans="1:12" x14ac:dyDescent="0.25">
      <c r="A271" s="485" t="s">
        <v>220</v>
      </c>
      <c r="B271" s="485" t="s">
        <v>7448</v>
      </c>
      <c r="C271" s="485" t="s">
        <v>1942</v>
      </c>
      <c r="D271" s="485" t="s">
        <v>7478</v>
      </c>
      <c r="E271" s="485" t="s">
        <v>545</v>
      </c>
      <c r="F271" s="482">
        <v>97</v>
      </c>
      <c r="G271" s="468">
        <v>112.036015593396</v>
      </c>
      <c r="H271" s="479">
        <v>10867.493512559413</v>
      </c>
      <c r="I271" s="480" t="s">
        <v>9009</v>
      </c>
      <c r="J271" s="468" t="s">
        <v>9019</v>
      </c>
      <c r="K271" s="468" t="s">
        <v>9020</v>
      </c>
      <c r="L271" s="468" t="s">
        <v>1911</v>
      </c>
    </row>
    <row r="272" spans="1:12" x14ac:dyDescent="0.25">
      <c r="A272" s="485" t="s">
        <v>220</v>
      </c>
      <c r="B272" s="485" t="s">
        <v>7448</v>
      </c>
      <c r="C272" s="485" t="s">
        <v>2017</v>
      </c>
      <c r="D272" s="485" t="s">
        <v>9064</v>
      </c>
      <c r="E272" s="485" t="s">
        <v>545</v>
      </c>
      <c r="F272" s="482">
        <v>23</v>
      </c>
      <c r="G272" s="468">
        <v>87.871967619304328</v>
      </c>
      <c r="H272" s="479">
        <v>2021.0552552439995</v>
      </c>
      <c r="I272" s="480" t="s">
        <v>9009</v>
      </c>
      <c r="J272" s="468" t="s">
        <v>9019</v>
      </c>
      <c r="K272" s="468" t="s">
        <v>9020</v>
      </c>
      <c r="L272" s="468" t="s">
        <v>1911</v>
      </c>
    </row>
    <row r="273" spans="1:12" x14ac:dyDescent="0.25">
      <c r="A273" s="485" t="s">
        <v>220</v>
      </c>
      <c r="B273" s="485" t="s">
        <v>7448</v>
      </c>
      <c r="C273" s="485" t="s">
        <v>1924</v>
      </c>
      <c r="D273" s="485" t="s">
        <v>9046</v>
      </c>
      <c r="E273" s="485" t="s">
        <v>7771</v>
      </c>
      <c r="F273" s="482">
        <v>12</v>
      </c>
      <c r="G273" s="468">
        <v>80.36830241742453</v>
      </c>
      <c r="H273" s="479">
        <v>964.41962900909436</v>
      </c>
      <c r="I273" s="480" t="s">
        <v>9009</v>
      </c>
      <c r="J273" s="468" t="s">
        <v>9019</v>
      </c>
      <c r="K273" s="468" t="s">
        <v>9020</v>
      </c>
      <c r="L273" s="468" t="s">
        <v>1911</v>
      </c>
    </row>
    <row r="274" spans="1:12" x14ac:dyDescent="0.25">
      <c r="A274" s="485" t="s">
        <v>220</v>
      </c>
      <c r="B274" s="485" t="s">
        <v>7448</v>
      </c>
      <c r="C274" s="485" t="s">
        <v>2037</v>
      </c>
      <c r="D274" s="485" t="s">
        <v>9065</v>
      </c>
      <c r="E274" s="485" t="s">
        <v>7771</v>
      </c>
      <c r="F274" s="482">
        <v>19</v>
      </c>
      <c r="G274" s="468">
        <v>86.106426384816942</v>
      </c>
      <c r="H274" s="479">
        <v>1636.022101311522</v>
      </c>
      <c r="I274" s="480" t="s">
        <v>9009</v>
      </c>
      <c r="J274" s="468" t="s">
        <v>9019</v>
      </c>
      <c r="K274" s="468" t="s">
        <v>9020</v>
      </c>
      <c r="L274" s="468" t="s">
        <v>1911</v>
      </c>
    </row>
    <row r="275" spans="1:12" x14ac:dyDescent="0.25">
      <c r="A275" s="485" t="s">
        <v>220</v>
      </c>
      <c r="B275" s="485" t="s">
        <v>2063</v>
      </c>
      <c r="C275" s="485" t="s">
        <v>2103</v>
      </c>
      <c r="D275" s="485" t="s">
        <v>2103</v>
      </c>
      <c r="E275" s="485" t="s">
        <v>545</v>
      </c>
      <c r="F275" s="482">
        <v>216</v>
      </c>
      <c r="G275" s="468">
        <v>200.0903661965707</v>
      </c>
      <c r="H275" s="479">
        <v>43219.51909845927</v>
      </c>
      <c r="I275" s="480" t="s">
        <v>9009</v>
      </c>
      <c r="J275" s="468" t="s">
        <v>9023</v>
      </c>
      <c r="K275" s="468" t="s">
        <v>9020</v>
      </c>
      <c r="L275" s="468" t="s">
        <v>536</v>
      </c>
    </row>
    <row r="276" spans="1:12" x14ac:dyDescent="0.25">
      <c r="A276" s="485" t="s">
        <v>220</v>
      </c>
      <c r="B276" s="485" t="s">
        <v>802</v>
      </c>
      <c r="C276" s="485" t="s">
        <v>7412</v>
      </c>
      <c r="D276" s="485" t="s">
        <v>9066</v>
      </c>
      <c r="E276" s="485" t="s">
        <v>535</v>
      </c>
      <c r="F276" s="482">
        <v>3341</v>
      </c>
      <c r="G276" s="468">
        <v>7.4184099269603552</v>
      </c>
      <c r="H276" s="479">
        <v>24784.907565974547</v>
      </c>
      <c r="I276" s="480" t="s">
        <v>9009</v>
      </c>
      <c r="J276" s="468" t="s">
        <v>536</v>
      </c>
      <c r="K276" s="468" t="s">
        <v>9010</v>
      </c>
      <c r="L276" s="468" t="s">
        <v>536</v>
      </c>
    </row>
    <row r="277" spans="1:12" x14ac:dyDescent="0.25">
      <c r="A277" s="485" t="s">
        <v>220</v>
      </c>
      <c r="B277" s="485" t="s">
        <v>7593</v>
      </c>
      <c r="C277" s="485" t="s">
        <v>7594</v>
      </c>
      <c r="D277" s="485" t="s">
        <v>9041</v>
      </c>
      <c r="E277" s="485" t="s">
        <v>535</v>
      </c>
      <c r="F277" s="482">
        <v>380.18400000000003</v>
      </c>
      <c r="G277" s="468">
        <v>7.3930071495839798</v>
      </c>
      <c r="H277" s="479">
        <v>2810.7030301574359</v>
      </c>
      <c r="I277" s="480" t="s">
        <v>9009</v>
      </c>
      <c r="J277" s="468" t="s">
        <v>536</v>
      </c>
      <c r="K277" s="468" t="s">
        <v>9010</v>
      </c>
      <c r="L277" s="468" t="s">
        <v>536</v>
      </c>
    </row>
    <row r="278" spans="1:12" x14ac:dyDescent="0.25">
      <c r="A278" s="485" t="s">
        <v>220</v>
      </c>
      <c r="B278" s="485" t="s">
        <v>7593</v>
      </c>
      <c r="C278" s="485" t="s">
        <v>7595</v>
      </c>
      <c r="D278" s="485" t="s">
        <v>7412</v>
      </c>
      <c r="E278" s="485" t="s">
        <v>535</v>
      </c>
      <c r="F278" s="482">
        <v>474.91199999999998</v>
      </c>
      <c r="G278" s="468">
        <v>7.4184099269603552</v>
      </c>
      <c r="H278" s="479">
        <v>3523.091895232596</v>
      </c>
      <c r="I278" s="480" t="s">
        <v>9009</v>
      </c>
      <c r="J278" s="468" t="s">
        <v>536</v>
      </c>
      <c r="K278" s="468" t="s">
        <v>9010</v>
      </c>
      <c r="L278" s="468" t="s">
        <v>536</v>
      </c>
    </row>
    <row r="279" spans="1:12" x14ac:dyDescent="0.25">
      <c r="A279" s="485" t="s">
        <v>220</v>
      </c>
      <c r="B279" s="485" t="s">
        <v>7593</v>
      </c>
      <c r="C279" s="485" t="s">
        <v>7596</v>
      </c>
      <c r="D279" s="485" t="s">
        <v>9067</v>
      </c>
      <c r="E279" s="485" t="s">
        <v>545</v>
      </c>
      <c r="F279" s="482">
        <v>12</v>
      </c>
      <c r="G279" s="468">
        <v>8.2255219304087159</v>
      </c>
      <c r="H279" s="479">
        <v>98.706263164904584</v>
      </c>
      <c r="I279" s="480" t="s">
        <v>9009</v>
      </c>
      <c r="J279" s="468" t="s">
        <v>9011</v>
      </c>
      <c r="K279" s="468" t="s">
        <v>9068</v>
      </c>
      <c r="L279" s="468" t="s">
        <v>541</v>
      </c>
    </row>
    <row r="280" spans="1:12" x14ac:dyDescent="0.25">
      <c r="A280" s="485" t="s">
        <v>220</v>
      </c>
      <c r="B280" s="485" t="s">
        <v>7593</v>
      </c>
      <c r="C280" s="485" t="s">
        <v>7408</v>
      </c>
      <c r="D280" s="485" t="s">
        <v>7408</v>
      </c>
      <c r="E280" s="485" t="s">
        <v>535</v>
      </c>
      <c r="F280" s="482">
        <v>430.08</v>
      </c>
      <c r="G280" s="468">
        <v>7.4127739116593805</v>
      </c>
      <c r="H280" s="479">
        <v>3188.0858039264663</v>
      </c>
      <c r="I280" s="480" t="s">
        <v>9009</v>
      </c>
      <c r="J280" s="468" t="s">
        <v>536</v>
      </c>
      <c r="K280" s="468" t="s">
        <v>9010</v>
      </c>
      <c r="L280" s="468" t="s">
        <v>536</v>
      </c>
    </row>
    <row r="281" spans="1:12" x14ac:dyDescent="0.25">
      <c r="A281" s="485" t="s">
        <v>220</v>
      </c>
      <c r="B281" s="485" t="s">
        <v>7593</v>
      </c>
      <c r="C281" s="485" t="s">
        <v>7422</v>
      </c>
      <c r="D281" s="485" t="s">
        <v>7422</v>
      </c>
      <c r="E281" s="485" t="s">
        <v>535</v>
      </c>
      <c r="F281" s="482">
        <v>459</v>
      </c>
      <c r="G281" s="468">
        <v>7.4420407775387227</v>
      </c>
      <c r="H281" s="479">
        <v>3415.8967168902736</v>
      </c>
      <c r="I281" s="480" t="s">
        <v>9009</v>
      </c>
      <c r="J281" s="468" t="s">
        <v>536</v>
      </c>
      <c r="K281" s="468" t="s">
        <v>9010</v>
      </c>
      <c r="L281" s="468" t="s">
        <v>536</v>
      </c>
    </row>
    <row r="282" spans="1:12" x14ac:dyDescent="0.25">
      <c r="A282" s="485" t="s">
        <v>220</v>
      </c>
      <c r="B282" s="485" t="s">
        <v>7593</v>
      </c>
      <c r="C282" s="485" t="s">
        <v>871</v>
      </c>
      <c r="D282" s="485" t="s">
        <v>871</v>
      </c>
      <c r="E282" s="485" t="s">
        <v>545</v>
      </c>
      <c r="F282" s="482">
        <v>12</v>
      </c>
      <c r="G282" s="468">
        <v>6.0525073216653693</v>
      </c>
      <c r="H282" s="479">
        <v>72.630087859984428</v>
      </c>
      <c r="I282" s="480" t="s">
        <v>9009</v>
      </c>
      <c r="J282" s="468" t="s">
        <v>9011</v>
      </c>
      <c r="K282" s="468" t="s">
        <v>9068</v>
      </c>
      <c r="L282" s="468" t="s">
        <v>541</v>
      </c>
    </row>
    <row r="283" spans="1:12" x14ac:dyDescent="0.25">
      <c r="A283" s="485" t="s">
        <v>220</v>
      </c>
      <c r="B283" s="485" t="s">
        <v>7593</v>
      </c>
      <c r="C283" s="485" t="s">
        <v>2071</v>
      </c>
      <c r="D283" s="485" t="s">
        <v>7495</v>
      </c>
      <c r="E283" s="485" t="s">
        <v>545</v>
      </c>
      <c r="F283" s="482">
        <v>1</v>
      </c>
      <c r="G283" s="468">
        <v>73.340594033614138</v>
      </c>
      <c r="H283" s="479">
        <v>73.340594033614138</v>
      </c>
      <c r="I283" s="480" t="s">
        <v>9009</v>
      </c>
      <c r="J283" s="468" t="s">
        <v>9023</v>
      </c>
      <c r="K283" s="468" t="s">
        <v>9024</v>
      </c>
      <c r="L283" s="468" t="s">
        <v>536</v>
      </c>
    </row>
    <row r="284" spans="1:12" x14ac:dyDescent="0.25">
      <c r="A284" s="485" t="s">
        <v>220</v>
      </c>
      <c r="B284" s="485" t="s">
        <v>7593</v>
      </c>
      <c r="C284" s="485" t="s">
        <v>7597</v>
      </c>
      <c r="D284" s="485" t="s">
        <v>7497</v>
      </c>
      <c r="E284" s="485" t="s">
        <v>545</v>
      </c>
      <c r="F284" s="482">
        <v>3</v>
      </c>
      <c r="G284" s="468">
        <v>122.01405510908974</v>
      </c>
      <c r="H284" s="479">
        <v>366.04216532726923</v>
      </c>
      <c r="I284" s="480" t="s">
        <v>9009</v>
      </c>
      <c r="J284" s="468" t="s">
        <v>9023</v>
      </c>
      <c r="K284" s="468" t="s">
        <v>9024</v>
      </c>
      <c r="L284" s="468" t="s">
        <v>536</v>
      </c>
    </row>
    <row r="285" spans="1:12" x14ac:dyDescent="0.25">
      <c r="A285" s="485" t="s">
        <v>220</v>
      </c>
      <c r="B285" s="485" t="s">
        <v>7593</v>
      </c>
      <c r="C285" s="485" t="s">
        <v>2135</v>
      </c>
      <c r="D285" s="485" t="s">
        <v>9069</v>
      </c>
      <c r="E285" s="485" t="s">
        <v>545</v>
      </c>
      <c r="F285" s="482">
        <v>3</v>
      </c>
      <c r="G285" s="468">
        <v>82.320529215297384</v>
      </c>
      <c r="H285" s="479">
        <v>246.96158764589217</v>
      </c>
      <c r="I285" s="480" t="s">
        <v>9009</v>
      </c>
      <c r="J285" s="468" t="s">
        <v>9023</v>
      </c>
      <c r="K285" s="468" t="s">
        <v>9024</v>
      </c>
      <c r="L285" s="468" t="s">
        <v>536</v>
      </c>
    </row>
    <row r="286" spans="1:12" x14ac:dyDescent="0.25">
      <c r="A286" s="485" t="s">
        <v>220</v>
      </c>
      <c r="B286" s="485" t="s">
        <v>7593</v>
      </c>
      <c r="C286" s="485" t="s">
        <v>2075</v>
      </c>
      <c r="D286" s="485" t="s">
        <v>7500</v>
      </c>
      <c r="E286" s="485" t="s">
        <v>545</v>
      </c>
      <c r="F286" s="482">
        <v>3</v>
      </c>
      <c r="G286" s="468">
        <v>60.597108982258398</v>
      </c>
      <c r="H286" s="479">
        <v>181.7913269467752</v>
      </c>
      <c r="I286" s="480" t="s">
        <v>9009</v>
      </c>
      <c r="J286" s="468" t="s">
        <v>9023</v>
      </c>
      <c r="K286" s="468" t="s">
        <v>9024</v>
      </c>
      <c r="L286" s="468" t="s">
        <v>536</v>
      </c>
    </row>
    <row r="287" spans="1:12" x14ac:dyDescent="0.25">
      <c r="A287" s="485" t="s">
        <v>220</v>
      </c>
      <c r="B287" s="485" t="s">
        <v>7593</v>
      </c>
      <c r="C287" s="485" t="s">
        <v>9029</v>
      </c>
      <c r="D287" s="485" t="s">
        <v>9070</v>
      </c>
      <c r="E287" s="485" t="s">
        <v>545</v>
      </c>
      <c r="F287" s="482">
        <v>3</v>
      </c>
      <c r="G287" s="468">
        <v>108.13184729626168</v>
      </c>
      <c r="H287" s="479">
        <v>324.39554188878503</v>
      </c>
      <c r="I287" s="480" t="s">
        <v>9009</v>
      </c>
      <c r="J287" s="468" t="s">
        <v>9023</v>
      </c>
      <c r="K287" s="468" t="s">
        <v>9024</v>
      </c>
      <c r="L287" s="468" t="s">
        <v>536</v>
      </c>
    </row>
    <row r="288" spans="1:12" x14ac:dyDescent="0.25">
      <c r="A288" s="485" t="s">
        <v>220</v>
      </c>
      <c r="B288" s="485" t="s">
        <v>7593</v>
      </c>
      <c r="C288" s="485" t="s">
        <v>2082</v>
      </c>
      <c r="D288" s="485" t="s">
        <v>7502</v>
      </c>
      <c r="E288" s="485" t="s">
        <v>545</v>
      </c>
      <c r="F288" s="482">
        <v>3</v>
      </c>
      <c r="G288" s="468">
        <v>68.724629957053821</v>
      </c>
      <c r="H288" s="479">
        <v>206.17388987116146</v>
      </c>
      <c r="I288" s="480" t="s">
        <v>9009</v>
      </c>
      <c r="J288" s="468" t="s">
        <v>9023</v>
      </c>
      <c r="K288" s="468" t="s">
        <v>9024</v>
      </c>
      <c r="L288" s="468" t="s">
        <v>536</v>
      </c>
    </row>
    <row r="289" spans="1:12" x14ac:dyDescent="0.25">
      <c r="A289" s="485" t="s">
        <v>220</v>
      </c>
      <c r="B289" s="485" t="s">
        <v>7593</v>
      </c>
      <c r="C289" s="485" t="s">
        <v>2088</v>
      </c>
      <c r="D289" s="485" t="s">
        <v>7504</v>
      </c>
      <c r="E289" s="485" t="s">
        <v>545</v>
      </c>
      <c r="F289" s="482">
        <v>3</v>
      </c>
      <c r="G289" s="468">
        <v>86.213221732088158</v>
      </c>
      <c r="H289" s="479">
        <v>258.63966519626445</v>
      </c>
      <c r="I289" s="480" t="s">
        <v>9009</v>
      </c>
      <c r="J289" s="468" t="s">
        <v>9023</v>
      </c>
      <c r="K289" s="468" t="s">
        <v>9024</v>
      </c>
      <c r="L289" s="468" t="s">
        <v>536</v>
      </c>
    </row>
    <row r="290" spans="1:12" x14ac:dyDescent="0.25">
      <c r="A290" s="485" t="s">
        <v>220</v>
      </c>
      <c r="B290" s="485" t="s">
        <v>7593</v>
      </c>
      <c r="C290" s="485" t="s">
        <v>7531</v>
      </c>
      <c r="D290" s="485" t="s">
        <v>7506</v>
      </c>
      <c r="E290" s="485" t="s">
        <v>545</v>
      </c>
      <c r="F290" s="482">
        <v>1</v>
      </c>
      <c r="G290" s="468">
        <v>102.65399824172911</v>
      </c>
      <c r="H290" s="479">
        <v>102.65399824172911</v>
      </c>
      <c r="I290" s="480" t="s">
        <v>9009</v>
      </c>
      <c r="J290" s="468" t="s">
        <v>9023</v>
      </c>
      <c r="K290" s="468" t="s">
        <v>9024</v>
      </c>
      <c r="L290" s="468" t="s">
        <v>536</v>
      </c>
    </row>
    <row r="291" spans="1:12" x14ac:dyDescent="0.25">
      <c r="A291" s="485" t="s">
        <v>220</v>
      </c>
      <c r="B291" s="485" t="s">
        <v>7593</v>
      </c>
      <c r="C291" s="485" t="s">
        <v>2092</v>
      </c>
      <c r="D291" s="485" t="s">
        <v>7507</v>
      </c>
      <c r="E291" s="485" t="s">
        <v>545</v>
      </c>
      <c r="F291" s="482">
        <v>3</v>
      </c>
      <c r="G291" s="468">
        <v>119.75196790760265</v>
      </c>
      <c r="H291" s="479">
        <v>359.25590372280794</v>
      </c>
      <c r="I291" s="480" t="s">
        <v>9009</v>
      </c>
      <c r="J291" s="468" t="s">
        <v>9023</v>
      </c>
      <c r="K291" s="468" t="s">
        <v>9024</v>
      </c>
      <c r="L291" s="468" t="s">
        <v>536</v>
      </c>
    </row>
    <row r="292" spans="1:12" x14ac:dyDescent="0.25">
      <c r="A292" s="485" t="s">
        <v>220</v>
      </c>
      <c r="B292" s="485" t="s">
        <v>7593</v>
      </c>
      <c r="C292" s="485" t="s">
        <v>2098</v>
      </c>
      <c r="D292" s="485" t="s">
        <v>7503</v>
      </c>
      <c r="E292" s="485" t="s">
        <v>545</v>
      </c>
      <c r="F292" s="482">
        <v>3</v>
      </c>
      <c r="G292" s="468">
        <v>224.44572611741114</v>
      </c>
      <c r="H292" s="479">
        <v>673.33717835223342</v>
      </c>
      <c r="I292" s="480" t="s">
        <v>9009</v>
      </c>
      <c r="J292" s="468" t="s">
        <v>9023</v>
      </c>
      <c r="K292" s="468" t="s">
        <v>9024</v>
      </c>
      <c r="L292" s="468" t="s">
        <v>536</v>
      </c>
    </row>
    <row r="293" spans="1:12" x14ac:dyDescent="0.25">
      <c r="A293" s="485" t="s">
        <v>220</v>
      </c>
      <c r="B293" s="485" t="s">
        <v>7593</v>
      </c>
      <c r="C293" s="485" t="s">
        <v>2074</v>
      </c>
      <c r="D293" s="485" t="s">
        <v>7513</v>
      </c>
      <c r="E293" s="485" t="s">
        <v>545</v>
      </c>
      <c r="F293" s="482">
        <v>3</v>
      </c>
      <c r="G293" s="468">
        <v>57.605556537142405</v>
      </c>
      <c r="H293" s="479">
        <v>172.81666961142722</v>
      </c>
      <c r="I293" s="480" t="s">
        <v>9009</v>
      </c>
      <c r="J293" s="468" t="s">
        <v>9023</v>
      </c>
      <c r="K293" s="468" t="s">
        <v>9024</v>
      </c>
      <c r="L293" s="468" t="s">
        <v>536</v>
      </c>
    </row>
    <row r="294" spans="1:12" x14ac:dyDescent="0.25">
      <c r="A294" s="485" t="s">
        <v>220</v>
      </c>
      <c r="B294" s="485" t="s">
        <v>7593</v>
      </c>
      <c r="C294" s="485" t="s">
        <v>2079</v>
      </c>
      <c r="D294" s="485" t="s">
        <v>7524</v>
      </c>
      <c r="E294" s="485" t="s">
        <v>545</v>
      </c>
      <c r="F294" s="482">
        <v>2</v>
      </c>
      <c r="G294" s="468">
        <v>58.024124209097899</v>
      </c>
      <c r="H294" s="479">
        <v>116.0482484181958</v>
      </c>
      <c r="I294" s="480" t="s">
        <v>9009</v>
      </c>
      <c r="J294" s="468" t="s">
        <v>9023</v>
      </c>
      <c r="K294" s="468" t="s">
        <v>9024</v>
      </c>
      <c r="L294" s="468" t="s">
        <v>536</v>
      </c>
    </row>
    <row r="295" spans="1:12" x14ac:dyDescent="0.25">
      <c r="A295" s="485" t="s">
        <v>220</v>
      </c>
      <c r="B295" s="485" t="s">
        <v>7593</v>
      </c>
      <c r="C295" s="485" t="s">
        <v>7598</v>
      </c>
      <c r="D295" s="485" t="s">
        <v>7515</v>
      </c>
      <c r="E295" s="485" t="s">
        <v>545</v>
      </c>
      <c r="F295" s="482">
        <v>2</v>
      </c>
      <c r="G295" s="468">
        <v>88.953202641804936</v>
      </c>
      <c r="H295" s="479">
        <v>177.90640528360987</v>
      </c>
      <c r="I295" s="480" t="s">
        <v>9009</v>
      </c>
      <c r="J295" s="468" t="s">
        <v>9023</v>
      </c>
      <c r="K295" s="468" t="s">
        <v>9024</v>
      </c>
      <c r="L295" s="468" t="s">
        <v>536</v>
      </c>
    </row>
    <row r="296" spans="1:12" x14ac:dyDescent="0.25">
      <c r="A296" s="485" t="s">
        <v>220</v>
      </c>
      <c r="B296" s="485" t="s">
        <v>7593</v>
      </c>
      <c r="C296" s="485" t="s">
        <v>9071</v>
      </c>
      <c r="D296" s="485" t="s">
        <v>9072</v>
      </c>
      <c r="E296" s="485" t="s">
        <v>545</v>
      </c>
      <c r="F296" s="482">
        <v>3</v>
      </c>
      <c r="G296" s="468">
        <v>74.081456758427706</v>
      </c>
      <c r="H296" s="479">
        <v>222.24437027528313</v>
      </c>
      <c r="I296" s="480" t="s">
        <v>9009</v>
      </c>
      <c r="J296" s="468" t="s">
        <v>9023</v>
      </c>
      <c r="K296" s="468" t="s">
        <v>9024</v>
      </c>
      <c r="L296" s="468" t="s">
        <v>536</v>
      </c>
    </row>
    <row r="297" spans="1:12" x14ac:dyDescent="0.25">
      <c r="A297" s="485" t="s">
        <v>220</v>
      </c>
      <c r="B297" s="485" t="s">
        <v>7593</v>
      </c>
      <c r="C297" s="485" t="s">
        <v>2071</v>
      </c>
      <c r="D297" s="485" t="s">
        <v>7495</v>
      </c>
      <c r="E297" s="485" t="s">
        <v>545</v>
      </c>
      <c r="F297" s="482">
        <v>3</v>
      </c>
      <c r="G297" s="468">
        <v>73.340594033614138</v>
      </c>
      <c r="H297" s="479">
        <v>220.02178210084242</v>
      </c>
      <c r="I297" s="480" t="s">
        <v>9009</v>
      </c>
      <c r="J297" s="468" t="s">
        <v>9023</v>
      </c>
      <c r="K297" s="468" t="s">
        <v>9024</v>
      </c>
      <c r="L297" s="468" t="s">
        <v>536</v>
      </c>
    </row>
    <row r="298" spans="1:12" x14ac:dyDescent="0.25">
      <c r="A298" s="485" t="s">
        <v>220</v>
      </c>
      <c r="B298" s="485" t="s">
        <v>7593</v>
      </c>
      <c r="C298" s="485" t="s">
        <v>2072</v>
      </c>
      <c r="D298" s="485" t="s">
        <v>7517</v>
      </c>
      <c r="E298" s="485" t="s">
        <v>545</v>
      </c>
      <c r="F298" s="482">
        <v>4</v>
      </c>
      <c r="G298" s="468">
        <v>85.295615832357655</v>
      </c>
      <c r="H298" s="479">
        <v>341.18246332943062</v>
      </c>
      <c r="I298" s="480" t="s">
        <v>9009</v>
      </c>
      <c r="J298" s="468" t="s">
        <v>9023</v>
      </c>
      <c r="K298" s="468" t="s">
        <v>9024</v>
      </c>
      <c r="L298" s="468" t="s">
        <v>1911</v>
      </c>
    </row>
    <row r="299" spans="1:12" x14ac:dyDescent="0.25">
      <c r="A299" s="485" t="s">
        <v>220</v>
      </c>
      <c r="B299" s="485" t="s">
        <v>7593</v>
      </c>
      <c r="C299" s="485" t="s">
        <v>2077</v>
      </c>
      <c r="D299" s="485" t="s">
        <v>7518</v>
      </c>
      <c r="E299" s="485" t="s">
        <v>545</v>
      </c>
      <c r="F299" s="482">
        <v>3</v>
      </c>
      <c r="G299" s="468">
        <v>96.938008737320715</v>
      </c>
      <c r="H299" s="479">
        <v>290.81402621196213</v>
      </c>
      <c r="I299" s="480" t="s">
        <v>9009</v>
      </c>
      <c r="J299" s="468" t="s">
        <v>9023</v>
      </c>
      <c r="K299" s="468" t="s">
        <v>9024</v>
      </c>
      <c r="L299" s="468" t="s">
        <v>536</v>
      </c>
    </row>
    <row r="300" spans="1:12" x14ac:dyDescent="0.25">
      <c r="A300" s="485" t="s">
        <v>220</v>
      </c>
      <c r="B300" s="485" t="s">
        <v>7593</v>
      </c>
      <c r="C300" s="485" t="s">
        <v>2076</v>
      </c>
      <c r="D300" s="485" t="s">
        <v>7520</v>
      </c>
      <c r="E300" s="485" t="s">
        <v>545</v>
      </c>
      <c r="F300" s="482">
        <v>3</v>
      </c>
      <c r="G300" s="468">
        <v>91.295004755193162</v>
      </c>
      <c r="H300" s="479">
        <v>273.88501426557946</v>
      </c>
      <c r="I300" s="480" t="s">
        <v>9009</v>
      </c>
      <c r="J300" s="468" t="s">
        <v>9023</v>
      </c>
      <c r="K300" s="468" t="s">
        <v>9024</v>
      </c>
      <c r="L300" s="468" t="s">
        <v>536</v>
      </c>
    </row>
    <row r="301" spans="1:12" x14ac:dyDescent="0.25">
      <c r="A301" s="485" t="s">
        <v>220</v>
      </c>
      <c r="B301" s="485" t="s">
        <v>7593</v>
      </c>
      <c r="C301" s="485" t="s">
        <v>2112</v>
      </c>
      <c r="D301" s="485" t="s">
        <v>7522</v>
      </c>
      <c r="E301" s="485" t="s">
        <v>545</v>
      </c>
      <c r="F301" s="482">
        <v>3</v>
      </c>
      <c r="G301" s="468">
        <v>113.42010531317611</v>
      </c>
      <c r="H301" s="479">
        <v>340.26031593952831</v>
      </c>
      <c r="I301" s="480" t="s">
        <v>9009</v>
      </c>
      <c r="J301" s="468" t="s">
        <v>9023</v>
      </c>
      <c r="K301" s="468" t="s">
        <v>9024</v>
      </c>
      <c r="L301" s="468" t="s">
        <v>536</v>
      </c>
    </row>
    <row r="302" spans="1:12" x14ac:dyDescent="0.25">
      <c r="A302" s="485" t="s">
        <v>220</v>
      </c>
      <c r="B302" s="485" t="s">
        <v>7593</v>
      </c>
      <c r="C302" s="485" t="s">
        <v>7598</v>
      </c>
      <c r="D302" s="485" t="s">
        <v>7515</v>
      </c>
      <c r="E302" s="485" t="s">
        <v>545</v>
      </c>
      <c r="F302" s="482">
        <v>4</v>
      </c>
      <c r="G302" s="468">
        <v>88.953202641804936</v>
      </c>
      <c r="H302" s="479">
        <v>355.81281056721974</v>
      </c>
      <c r="I302" s="480" t="s">
        <v>9009</v>
      </c>
      <c r="J302" s="468" t="s">
        <v>9023</v>
      </c>
      <c r="K302" s="468" t="s">
        <v>9024</v>
      </c>
      <c r="L302" s="468" t="s">
        <v>536</v>
      </c>
    </row>
    <row r="303" spans="1:12" x14ac:dyDescent="0.25">
      <c r="A303" s="485" t="s">
        <v>220</v>
      </c>
      <c r="B303" s="485" t="s">
        <v>7593</v>
      </c>
      <c r="C303" s="485" t="s">
        <v>2138</v>
      </c>
      <c r="D303" s="485" t="s">
        <v>9073</v>
      </c>
      <c r="E303" s="485" t="s">
        <v>545</v>
      </c>
      <c r="F303" s="482">
        <v>2</v>
      </c>
      <c r="G303" s="468">
        <v>57.947599557165105</v>
      </c>
      <c r="H303" s="479">
        <v>115.89519911433021</v>
      </c>
      <c r="I303" s="480" t="s">
        <v>9009</v>
      </c>
      <c r="J303" s="468" t="s">
        <v>9023</v>
      </c>
      <c r="K303" s="468" t="s">
        <v>9024</v>
      </c>
      <c r="L303" s="468" t="s">
        <v>536</v>
      </c>
    </row>
    <row r="304" spans="1:12" x14ac:dyDescent="0.25">
      <c r="A304" s="485" t="s">
        <v>220</v>
      </c>
      <c r="B304" s="485" t="s">
        <v>7593</v>
      </c>
      <c r="C304" s="485" t="s">
        <v>2086</v>
      </c>
      <c r="D304" s="485" t="s">
        <v>7527</v>
      </c>
      <c r="E304" s="485" t="s">
        <v>545</v>
      </c>
      <c r="F304" s="482">
        <v>3</v>
      </c>
      <c r="G304" s="468">
        <v>102.92023225102506</v>
      </c>
      <c r="H304" s="479">
        <v>308.76069675307519</v>
      </c>
      <c r="I304" s="480" t="s">
        <v>9009</v>
      </c>
      <c r="J304" s="468" t="s">
        <v>9023</v>
      </c>
      <c r="K304" s="468" t="s">
        <v>9024</v>
      </c>
      <c r="L304" s="468" t="s">
        <v>536</v>
      </c>
    </row>
    <row r="305" spans="1:12" x14ac:dyDescent="0.25">
      <c r="A305" s="485" t="s">
        <v>220</v>
      </c>
      <c r="B305" s="485" t="s">
        <v>7593</v>
      </c>
      <c r="C305" s="485" t="s">
        <v>2134</v>
      </c>
      <c r="D305" s="485" t="s">
        <v>9074</v>
      </c>
      <c r="E305" s="485" t="s">
        <v>545</v>
      </c>
      <c r="F305" s="482">
        <v>3</v>
      </c>
      <c r="G305" s="468">
        <v>72.706083669160094</v>
      </c>
      <c r="H305" s="479">
        <v>218.1182510074803</v>
      </c>
      <c r="I305" s="480" t="s">
        <v>9009</v>
      </c>
      <c r="J305" s="468" t="s">
        <v>9023</v>
      </c>
      <c r="K305" s="468" t="s">
        <v>9024</v>
      </c>
      <c r="L305" s="468" t="s">
        <v>536</v>
      </c>
    </row>
    <row r="306" spans="1:12" x14ac:dyDescent="0.25">
      <c r="A306" s="485" t="s">
        <v>220</v>
      </c>
      <c r="B306" s="485" t="s">
        <v>7593</v>
      </c>
      <c r="C306" s="485" t="s">
        <v>2136</v>
      </c>
      <c r="D306" s="485" t="s">
        <v>9070</v>
      </c>
      <c r="E306" s="485" t="s">
        <v>545</v>
      </c>
      <c r="F306" s="482">
        <v>3</v>
      </c>
      <c r="G306" s="468">
        <v>107.34856384398095</v>
      </c>
      <c r="H306" s="479">
        <v>322.04569153194285</v>
      </c>
      <c r="I306" s="480" t="s">
        <v>9009</v>
      </c>
      <c r="J306" s="468" t="s">
        <v>9023</v>
      </c>
      <c r="K306" s="468" t="s">
        <v>9024</v>
      </c>
      <c r="L306" s="468" t="s">
        <v>536</v>
      </c>
    </row>
    <row r="307" spans="1:12" x14ac:dyDescent="0.25">
      <c r="A307" s="485" t="s">
        <v>220</v>
      </c>
      <c r="B307" s="485" t="s">
        <v>7593</v>
      </c>
      <c r="C307" s="485" t="s">
        <v>2097</v>
      </c>
      <c r="D307" s="485" t="s">
        <v>7494</v>
      </c>
      <c r="E307" s="485" t="s">
        <v>545</v>
      </c>
      <c r="F307" s="482">
        <v>3</v>
      </c>
      <c r="G307" s="468">
        <v>180.81096792493096</v>
      </c>
      <c r="H307" s="479">
        <v>542.43290377479286</v>
      </c>
      <c r="I307" s="480" t="s">
        <v>9009</v>
      </c>
      <c r="J307" s="468" t="s">
        <v>9023</v>
      </c>
      <c r="K307" s="468" t="s">
        <v>9024</v>
      </c>
      <c r="L307" s="468" t="s">
        <v>536</v>
      </c>
    </row>
    <row r="308" spans="1:12" x14ac:dyDescent="0.25">
      <c r="A308" s="485" t="s">
        <v>220</v>
      </c>
      <c r="B308" s="485" t="s">
        <v>7593</v>
      </c>
      <c r="C308" s="485" t="s">
        <v>2087</v>
      </c>
      <c r="D308" s="485" t="s">
        <v>7529</v>
      </c>
      <c r="E308" s="485" t="s">
        <v>545</v>
      </c>
      <c r="F308" s="482">
        <v>3</v>
      </c>
      <c r="G308" s="468">
        <v>130.48334584556275</v>
      </c>
      <c r="H308" s="479">
        <v>391.45003753668823</v>
      </c>
      <c r="I308" s="480" t="s">
        <v>9009</v>
      </c>
      <c r="J308" s="468" t="s">
        <v>9023</v>
      </c>
      <c r="K308" s="468" t="s">
        <v>9024</v>
      </c>
      <c r="L308" s="468" t="s">
        <v>536</v>
      </c>
    </row>
    <row r="309" spans="1:12" x14ac:dyDescent="0.25">
      <c r="A309" s="485" t="s">
        <v>220</v>
      </c>
      <c r="B309" s="485" t="s">
        <v>7448</v>
      </c>
      <c r="C309" s="485" t="s">
        <v>7661</v>
      </c>
      <c r="D309" s="485" t="s">
        <v>9075</v>
      </c>
      <c r="E309" s="485" t="s">
        <v>545</v>
      </c>
      <c r="F309" s="482">
        <v>84</v>
      </c>
      <c r="G309" s="468">
        <v>143.94921629563308</v>
      </c>
      <c r="H309" s="479">
        <v>12091.734168833178</v>
      </c>
      <c r="I309" s="480" t="s">
        <v>9009</v>
      </c>
      <c r="J309" s="468" t="s">
        <v>9019</v>
      </c>
      <c r="K309" s="468" t="s">
        <v>9020</v>
      </c>
      <c r="L309" s="468" t="s">
        <v>1911</v>
      </c>
    </row>
    <row r="310" spans="1:12" x14ac:dyDescent="0.25">
      <c r="A310" s="485" t="s">
        <v>220</v>
      </c>
      <c r="B310" s="485" t="s">
        <v>7448</v>
      </c>
      <c r="C310" s="485" t="s">
        <v>1964</v>
      </c>
      <c r="D310" s="485" t="s">
        <v>7616</v>
      </c>
      <c r="E310" s="485" t="s">
        <v>545</v>
      </c>
      <c r="F310" s="482">
        <v>10</v>
      </c>
      <c r="G310" s="468">
        <v>129.0209069180967</v>
      </c>
      <c r="H310" s="479">
        <v>1290.2090691809669</v>
      </c>
      <c r="I310" s="480" t="s">
        <v>9009</v>
      </c>
      <c r="J310" s="468" t="s">
        <v>9019</v>
      </c>
      <c r="K310" s="468" t="s">
        <v>9020</v>
      </c>
      <c r="L310" s="468" t="s">
        <v>1911</v>
      </c>
    </row>
    <row r="311" spans="1:12" x14ac:dyDescent="0.25">
      <c r="A311" s="485" t="s">
        <v>220</v>
      </c>
      <c r="B311" s="485" t="s">
        <v>7448</v>
      </c>
      <c r="C311" s="485" t="s">
        <v>1974</v>
      </c>
      <c r="D311" s="485" t="s">
        <v>7487</v>
      </c>
      <c r="E311" s="485" t="s">
        <v>545</v>
      </c>
      <c r="F311" s="482">
        <v>2</v>
      </c>
      <c r="G311" s="468">
        <v>160.48635359765032</v>
      </c>
      <c r="H311" s="479">
        <v>320.97270719530064</v>
      </c>
      <c r="I311" s="480" t="s">
        <v>9009</v>
      </c>
      <c r="J311" s="468" t="s">
        <v>9019</v>
      </c>
      <c r="K311" s="468" t="s">
        <v>9020</v>
      </c>
      <c r="L311" s="468" t="s">
        <v>1911</v>
      </c>
    </row>
    <row r="312" spans="1:12" x14ac:dyDescent="0.25">
      <c r="A312" s="485" t="s">
        <v>220</v>
      </c>
      <c r="B312" s="485" t="s">
        <v>702</v>
      </c>
      <c r="C312" s="485"/>
      <c r="D312" s="485" t="s">
        <v>708</v>
      </c>
      <c r="E312" s="485" t="s">
        <v>535</v>
      </c>
      <c r="F312" s="482">
        <v>13125</v>
      </c>
      <c r="G312" s="468">
        <v>0.20851474104664602</v>
      </c>
      <c r="H312" s="479">
        <v>2736.7559762372289</v>
      </c>
      <c r="I312" s="480" t="s">
        <v>9009</v>
      </c>
      <c r="J312" s="468" t="s">
        <v>9016</v>
      </c>
      <c r="K312" s="468" t="s">
        <v>8996</v>
      </c>
      <c r="L312" s="468" t="s">
        <v>536</v>
      </c>
    </row>
    <row r="313" spans="1:12" x14ac:dyDescent="0.25">
      <c r="A313" s="485" t="s">
        <v>220</v>
      </c>
      <c r="B313" s="485" t="s">
        <v>7593</v>
      </c>
      <c r="C313" s="485" t="s">
        <v>7639</v>
      </c>
      <c r="D313" s="485" t="s">
        <v>9076</v>
      </c>
      <c r="E313" s="485" t="s">
        <v>545</v>
      </c>
      <c r="F313" s="482">
        <v>1</v>
      </c>
      <c r="G313" s="468">
        <v>48.378093674009328</v>
      </c>
      <c r="H313" s="479">
        <v>48.378093674009328</v>
      </c>
      <c r="I313" s="480" t="s">
        <v>9009</v>
      </c>
      <c r="J313" s="468" t="s">
        <v>9023</v>
      </c>
      <c r="K313" s="468" t="s">
        <v>9024</v>
      </c>
      <c r="L313" s="468" t="s">
        <v>536</v>
      </c>
    </row>
    <row r="314" spans="1:12" x14ac:dyDescent="0.25">
      <c r="A314" s="485" t="s">
        <v>220</v>
      </c>
      <c r="B314" s="485" t="s">
        <v>7593</v>
      </c>
      <c r="C314" s="485" t="s">
        <v>2079</v>
      </c>
      <c r="D314" s="485" t="s">
        <v>9077</v>
      </c>
      <c r="E314" s="485" t="s">
        <v>545</v>
      </c>
      <c r="F314" s="482">
        <v>3</v>
      </c>
      <c r="G314" s="468">
        <v>58.024124209097899</v>
      </c>
      <c r="H314" s="479">
        <v>174.0723726272937</v>
      </c>
      <c r="I314" s="480" t="s">
        <v>9009</v>
      </c>
      <c r="J314" s="468" t="s">
        <v>9023</v>
      </c>
      <c r="K314" s="468" t="s">
        <v>9024</v>
      </c>
      <c r="L314" s="468" t="s">
        <v>536</v>
      </c>
    </row>
    <row r="315" spans="1:12" x14ac:dyDescent="0.25">
      <c r="A315" s="485" t="s">
        <v>220</v>
      </c>
      <c r="B315" s="485" t="s">
        <v>7593</v>
      </c>
      <c r="C315" s="485" t="s">
        <v>2079</v>
      </c>
      <c r="D315" s="485" t="s">
        <v>9078</v>
      </c>
      <c r="E315" s="485" t="s">
        <v>545</v>
      </c>
      <c r="F315" s="482">
        <v>2</v>
      </c>
      <c r="G315" s="468">
        <v>58.024124209097899</v>
      </c>
      <c r="H315" s="479">
        <v>116.0482484181958</v>
      </c>
      <c r="I315" s="480" t="s">
        <v>9009</v>
      </c>
      <c r="J315" s="468" t="s">
        <v>9023</v>
      </c>
      <c r="K315" s="468" t="s">
        <v>9024</v>
      </c>
      <c r="L315" s="468" t="s">
        <v>536</v>
      </c>
    </row>
    <row r="316" spans="1:12" x14ac:dyDescent="0.25">
      <c r="A316" s="485" t="s">
        <v>220</v>
      </c>
      <c r="B316" s="485" t="s">
        <v>7593</v>
      </c>
      <c r="C316" s="485" t="s">
        <v>2094</v>
      </c>
      <c r="D316" s="485" t="s">
        <v>9079</v>
      </c>
      <c r="E316" s="485" t="s">
        <v>545</v>
      </c>
      <c r="F316" s="482">
        <v>3</v>
      </c>
      <c r="G316" s="468">
        <v>148.47895189180289</v>
      </c>
      <c r="H316" s="479">
        <v>445.43685567540865</v>
      </c>
      <c r="I316" s="480" t="s">
        <v>9009</v>
      </c>
      <c r="J316" s="468" t="s">
        <v>9023</v>
      </c>
      <c r="K316" s="468" t="s">
        <v>9024</v>
      </c>
      <c r="L316" s="468" t="s">
        <v>536</v>
      </c>
    </row>
    <row r="317" spans="1:12" x14ac:dyDescent="0.25">
      <c r="A317" s="485" t="s">
        <v>220</v>
      </c>
      <c r="B317" s="485" t="s">
        <v>7593</v>
      </c>
      <c r="C317" s="485" t="s">
        <v>2097</v>
      </c>
      <c r="D317" s="485" t="s">
        <v>1979</v>
      </c>
      <c r="E317" s="485" t="s">
        <v>545</v>
      </c>
      <c r="F317" s="482">
        <v>3</v>
      </c>
      <c r="G317" s="468">
        <v>180.81096792493096</v>
      </c>
      <c r="H317" s="479">
        <v>542.43290377479286</v>
      </c>
      <c r="I317" s="480" t="s">
        <v>9009</v>
      </c>
      <c r="J317" s="468" t="s">
        <v>9023</v>
      </c>
      <c r="K317" s="468" t="s">
        <v>9024</v>
      </c>
      <c r="L317" s="468" t="s">
        <v>536</v>
      </c>
    </row>
    <row r="318" spans="1:12" x14ac:dyDescent="0.25">
      <c r="A318" s="485" t="s">
        <v>220</v>
      </c>
      <c r="B318" s="485" t="s">
        <v>7593</v>
      </c>
      <c r="C318" s="485" t="s">
        <v>7639</v>
      </c>
      <c r="D318" s="485" t="s">
        <v>9076</v>
      </c>
      <c r="E318" s="485" t="s">
        <v>545</v>
      </c>
      <c r="F318" s="482">
        <v>1</v>
      </c>
      <c r="G318" s="468">
        <v>48.378093674009328</v>
      </c>
      <c r="H318" s="479">
        <v>48.378093674009328</v>
      </c>
      <c r="I318" s="480" t="s">
        <v>9009</v>
      </c>
      <c r="J318" s="468" t="s">
        <v>9023</v>
      </c>
      <c r="K318" s="468" t="s">
        <v>9024</v>
      </c>
      <c r="L318" s="468" t="s">
        <v>536</v>
      </c>
    </row>
    <row r="319" spans="1:12" x14ac:dyDescent="0.25">
      <c r="A319" s="485" t="s">
        <v>220</v>
      </c>
      <c r="B319" s="485" t="s">
        <v>7593</v>
      </c>
      <c r="C319" s="485" t="s">
        <v>9080</v>
      </c>
      <c r="D319" s="485" t="s">
        <v>9081</v>
      </c>
      <c r="E319" s="485" t="s">
        <v>535</v>
      </c>
      <c r="F319" s="482">
        <v>108.675</v>
      </c>
      <c r="G319" s="468">
        <v>7.4510794700919156</v>
      </c>
      <c r="H319" s="479">
        <v>809.74606141223887</v>
      </c>
      <c r="I319" s="480" t="s">
        <v>9009</v>
      </c>
      <c r="J319" s="468" t="s">
        <v>536</v>
      </c>
      <c r="K319" s="468" t="s">
        <v>9010</v>
      </c>
      <c r="L319" s="468" t="s">
        <v>536</v>
      </c>
    </row>
    <row r="320" spans="1:12" x14ac:dyDescent="0.25">
      <c r="A320" s="485" t="s">
        <v>220</v>
      </c>
      <c r="B320" s="485" t="s">
        <v>7593</v>
      </c>
      <c r="C320" s="485" t="s">
        <v>817</v>
      </c>
      <c r="D320" s="485" t="s">
        <v>818</v>
      </c>
      <c r="E320" s="485" t="s">
        <v>545</v>
      </c>
      <c r="F320" s="482">
        <v>67</v>
      </c>
      <c r="G320" s="468">
        <v>7.8065805469060585</v>
      </c>
      <c r="H320" s="479">
        <v>523.04089664270589</v>
      </c>
      <c r="I320" s="480" t="s">
        <v>9009</v>
      </c>
      <c r="J320" s="468" t="s">
        <v>9011</v>
      </c>
      <c r="K320" s="468" t="s">
        <v>9068</v>
      </c>
      <c r="L320" s="468" t="s">
        <v>541</v>
      </c>
    </row>
    <row r="321" spans="1:12" x14ac:dyDescent="0.25">
      <c r="A321" s="485" t="s">
        <v>220</v>
      </c>
      <c r="B321" s="485" t="s">
        <v>7593</v>
      </c>
      <c r="C321" s="485" t="s">
        <v>7533</v>
      </c>
      <c r="D321" s="485" t="s">
        <v>9082</v>
      </c>
      <c r="E321" s="485" t="s">
        <v>545</v>
      </c>
      <c r="F321" s="482">
        <v>40</v>
      </c>
      <c r="G321" s="468">
        <v>4.9356752418747734</v>
      </c>
      <c r="H321" s="479">
        <v>197.42700967499093</v>
      </c>
      <c r="I321" s="480" t="s">
        <v>9009</v>
      </c>
      <c r="J321" s="468" t="s">
        <v>9011</v>
      </c>
      <c r="K321" s="468" t="s">
        <v>9068</v>
      </c>
      <c r="L321" s="468" t="s">
        <v>541</v>
      </c>
    </row>
    <row r="322" spans="1:12" x14ac:dyDescent="0.25">
      <c r="A322" s="485" t="s">
        <v>220</v>
      </c>
      <c r="B322" s="485" t="s">
        <v>7593</v>
      </c>
      <c r="C322" s="485" t="s">
        <v>853</v>
      </c>
      <c r="D322" s="485" t="s">
        <v>9083</v>
      </c>
      <c r="E322" s="485" t="s">
        <v>545</v>
      </c>
      <c r="F322" s="482">
        <v>58</v>
      </c>
      <c r="G322" s="468">
        <v>3.7180408974358974</v>
      </c>
      <c r="H322" s="479">
        <v>215.64637205128204</v>
      </c>
      <c r="I322" s="480" t="s">
        <v>9009</v>
      </c>
      <c r="J322" s="468" t="s">
        <v>9011</v>
      </c>
      <c r="K322" s="468" t="s">
        <v>9068</v>
      </c>
      <c r="L322" s="468" t="s">
        <v>541</v>
      </c>
    </row>
    <row r="323" spans="1:12" x14ac:dyDescent="0.25">
      <c r="A323" s="485" t="s">
        <v>220</v>
      </c>
      <c r="B323" s="485" t="s">
        <v>7593</v>
      </c>
      <c r="C323" s="485" t="s">
        <v>9084</v>
      </c>
      <c r="D323" s="485" t="s">
        <v>9085</v>
      </c>
      <c r="E323" s="485" t="s">
        <v>545</v>
      </c>
      <c r="F323" s="482">
        <v>1</v>
      </c>
      <c r="G323" s="468">
        <v>7.8736921901764845</v>
      </c>
      <c r="H323" s="479">
        <v>7.8736921901764845</v>
      </c>
      <c r="I323" s="480" t="s">
        <v>9009</v>
      </c>
      <c r="J323" s="468" t="s">
        <v>9011</v>
      </c>
      <c r="K323" s="468" t="s">
        <v>9068</v>
      </c>
      <c r="L323" s="468" t="s">
        <v>541</v>
      </c>
    </row>
    <row r="324" spans="1:12" x14ac:dyDescent="0.25">
      <c r="A324" s="485" t="s">
        <v>220</v>
      </c>
      <c r="B324" s="485" t="s">
        <v>7593</v>
      </c>
      <c r="C324" s="485" t="s">
        <v>813</v>
      </c>
      <c r="D324" s="485" t="s">
        <v>814</v>
      </c>
      <c r="E324" s="485" t="s">
        <v>545</v>
      </c>
      <c r="F324" s="482">
        <v>21</v>
      </c>
      <c r="G324" s="468">
        <v>8.3328387556776438</v>
      </c>
      <c r="H324" s="479">
        <v>174.98961386923051</v>
      </c>
      <c r="I324" s="480" t="s">
        <v>9009</v>
      </c>
      <c r="J324" s="468" t="s">
        <v>9011</v>
      </c>
      <c r="K324" s="468" t="s">
        <v>9068</v>
      </c>
      <c r="L324" s="468" t="s">
        <v>541</v>
      </c>
    </row>
    <row r="325" spans="1:12" x14ac:dyDescent="0.25">
      <c r="A325" s="485" t="s">
        <v>587</v>
      </c>
      <c r="B325" s="485" t="s">
        <v>591</v>
      </c>
      <c r="C325" s="485" t="s">
        <v>2340</v>
      </c>
      <c r="D325" s="485" t="s">
        <v>9086</v>
      </c>
      <c r="E325" s="485" t="s">
        <v>535</v>
      </c>
      <c r="F325" s="482">
        <v>2460</v>
      </c>
      <c r="G325" s="468">
        <v>7.3422580392037036</v>
      </c>
      <c r="H325" s="479">
        <v>18061.954776441111</v>
      </c>
      <c r="I325" s="480" t="s">
        <v>9009</v>
      </c>
      <c r="J325" s="468" t="s">
        <v>536</v>
      </c>
      <c r="K325" s="468" t="s">
        <v>9010</v>
      </c>
      <c r="L325" s="468" t="s">
        <v>536</v>
      </c>
    </row>
    <row r="326" spans="1:12" x14ac:dyDescent="0.25">
      <c r="A326" s="485" t="s">
        <v>587</v>
      </c>
      <c r="B326" s="485" t="s">
        <v>591</v>
      </c>
      <c r="C326" s="485" t="s">
        <v>7423</v>
      </c>
      <c r="D326" s="485" t="s">
        <v>9087</v>
      </c>
      <c r="E326" s="485" t="s">
        <v>535</v>
      </c>
      <c r="F326" s="482">
        <v>315</v>
      </c>
      <c r="G326" s="468">
        <v>7.4510794700919156</v>
      </c>
      <c r="H326" s="479">
        <v>2347.0900330789536</v>
      </c>
      <c r="I326" s="480" t="s">
        <v>9009</v>
      </c>
      <c r="J326" s="468" t="s">
        <v>536</v>
      </c>
      <c r="K326" s="468" t="s">
        <v>9010</v>
      </c>
      <c r="L326" s="468" t="s">
        <v>536</v>
      </c>
    </row>
    <row r="327" spans="1:12" x14ac:dyDescent="0.25">
      <c r="A327" s="485" t="s">
        <v>587</v>
      </c>
      <c r="B327" s="485" t="s">
        <v>591</v>
      </c>
      <c r="C327" s="485" t="s">
        <v>7412</v>
      </c>
      <c r="D327" s="485" t="s">
        <v>538</v>
      </c>
      <c r="E327" s="485" t="s">
        <v>535</v>
      </c>
      <c r="F327" s="482">
        <v>3440.8</v>
      </c>
      <c r="G327" s="468">
        <v>7.4184099269603552</v>
      </c>
      <c r="H327" s="479">
        <v>25525.264876685193</v>
      </c>
      <c r="I327" s="480" t="s">
        <v>9009</v>
      </c>
      <c r="J327" s="468" t="s">
        <v>536</v>
      </c>
      <c r="K327" s="468" t="s">
        <v>9010</v>
      </c>
      <c r="L327" s="468" t="s">
        <v>536</v>
      </c>
    </row>
    <row r="328" spans="1:12" x14ac:dyDescent="0.25">
      <c r="A328" s="485" t="s">
        <v>587</v>
      </c>
      <c r="B328" s="485" t="s">
        <v>591</v>
      </c>
      <c r="C328" s="485" t="s">
        <v>7410</v>
      </c>
      <c r="D328" s="485" t="s">
        <v>9088</v>
      </c>
      <c r="E328" s="485" t="s">
        <v>535</v>
      </c>
      <c r="F328" s="482">
        <v>3020</v>
      </c>
      <c r="G328" s="468">
        <v>7.3617335712088465</v>
      </c>
      <c r="H328" s="479">
        <v>22232.435385050718</v>
      </c>
      <c r="I328" s="480" t="s">
        <v>9009</v>
      </c>
      <c r="J328" s="468" t="s">
        <v>536</v>
      </c>
      <c r="K328" s="468" t="s">
        <v>9010</v>
      </c>
      <c r="L328" s="468" t="s">
        <v>536</v>
      </c>
    </row>
    <row r="329" spans="1:12" x14ac:dyDescent="0.25">
      <c r="A329" s="485" t="s">
        <v>587</v>
      </c>
      <c r="B329" s="485" t="s">
        <v>591</v>
      </c>
      <c r="C329" s="485"/>
      <c r="D329" s="485" t="s">
        <v>9089</v>
      </c>
      <c r="E329" s="485" t="s">
        <v>535</v>
      </c>
      <c r="F329" s="482">
        <v>870</v>
      </c>
      <c r="G329" s="468">
        <v>6.1947233793024967</v>
      </c>
      <c r="H329" s="479">
        <v>5389.4093399931726</v>
      </c>
      <c r="I329" s="480" t="s">
        <v>9009</v>
      </c>
      <c r="J329" s="468" t="s">
        <v>9011</v>
      </c>
      <c r="K329" s="468" t="s">
        <v>8994</v>
      </c>
      <c r="L329" s="468" t="s">
        <v>541</v>
      </c>
    </row>
    <row r="330" spans="1:12" x14ac:dyDescent="0.25">
      <c r="A330" s="485" t="s">
        <v>587</v>
      </c>
      <c r="B330" s="485" t="s">
        <v>591</v>
      </c>
      <c r="C330" s="485"/>
      <c r="D330" s="485" t="s">
        <v>9090</v>
      </c>
      <c r="E330" s="485" t="s">
        <v>535</v>
      </c>
      <c r="F330" s="482">
        <v>557</v>
      </c>
      <c r="G330" s="468">
        <v>4.0761528340373578</v>
      </c>
      <c r="H330" s="479">
        <v>2270.4171285588081</v>
      </c>
      <c r="I330" s="480" t="s">
        <v>9009</v>
      </c>
      <c r="J330" s="468" t="s">
        <v>9011</v>
      </c>
      <c r="K330" s="468" t="s">
        <v>8994</v>
      </c>
      <c r="L330" s="468" t="s">
        <v>541</v>
      </c>
    </row>
    <row r="331" spans="1:12" x14ac:dyDescent="0.25">
      <c r="A331" s="485" t="s">
        <v>587</v>
      </c>
      <c r="B331" s="485" t="s">
        <v>591</v>
      </c>
      <c r="C331" s="485"/>
      <c r="D331" s="485" t="s">
        <v>7434</v>
      </c>
      <c r="E331" s="485" t="s">
        <v>535</v>
      </c>
      <c r="F331" s="482">
        <v>730</v>
      </c>
      <c r="G331" s="468">
        <v>4.0761528340373578</v>
      </c>
      <c r="H331" s="479">
        <v>2975.5915688472714</v>
      </c>
      <c r="I331" s="480" t="s">
        <v>9009</v>
      </c>
      <c r="J331" s="468" t="s">
        <v>9011</v>
      </c>
      <c r="K331" s="468" t="s">
        <v>8994</v>
      </c>
      <c r="L331" s="468" t="s">
        <v>541</v>
      </c>
    </row>
    <row r="332" spans="1:12" x14ac:dyDescent="0.25">
      <c r="A332" s="485" t="s">
        <v>587</v>
      </c>
      <c r="B332" s="485" t="s">
        <v>591</v>
      </c>
      <c r="C332" s="485" t="s">
        <v>9091</v>
      </c>
      <c r="D332" s="485" t="s">
        <v>9092</v>
      </c>
      <c r="E332" s="485" t="s">
        <v>535</v>
      </c>
      <c r="F332" s="482">
        <v>386</v>
      </c>
      <c r="G332" s="468">
        <v>9.3030110431425399</v>
      </c>
      <c r="H332" s="479">
        <v>3590.9622626530204</v>
      </c>
      <c r="I332" s="480" t="s">
        <v>9009</v>
      </c>
      <c r="J332" s="468" t="s">
        <v>536</v>
      </c>
      <c r="K332" s="468" t="s">
        <v>9010</v>
      </c>
      <c r="L332" s="468" t="s">
        <v>536</v>
      </c>
    </row>
    <row r="333" spans="1:12" x14ac:dyDescent="0.25">
      <c r="A333" s="485" t="s">
        <v>587</v>
      </c>
      <c r="B333" s="485" t="s">
        <v>591</v>
      </c>
      <c r="C333" s="485" t="s">
        <v>9093</v>
      </c>
      <c r="D333" s="485" t="s">
        <v>9094</v>
      </c>
      <c r="E333" s="485" t="s">
        <v>535</v>
      </c>
      <c r="F333" s="482">
        <v>466</v>
      </c>
      <c r="G333" s="468">
        <v>9.0987282434313919</v>
      </c>
      <c r="H333" s="479">
        <v>4240.0073614390285</v>
      </c>
      <c r="I333" s="480" t="s">
        <v>9009</v>
      </c>
      <c r="J333" s="468" t="s">
        <v>536</v>
      </c>
      <c r="K333" s="468" t="s">
        <v>9010</v>
      </c>
      <c r="L333" s="468" t="s">
        <v>536</v>
      </c>
    </row>
    <row r="334" spans="1:12" x14ac:dyDescent="0.25">
      <c r="A334" s="485" t="s">
        <v>587</v>
      </c>
      <c r="B334" s="485" t="s">
        <v>591</v>
      </c>
      <c r="C334" s="485" t="s">
        <v>9095</v>
      </c>
      <c r="D334" s="485" t="s">
        <v>9096</v>
      </c>
      <c r="E334" s="485" t="s">
        <v>545</v>
      </c>
      <c r="F334" s="482">
        <v>205</v>
      </c>
      <c r="G334" s="468">
        <v>9.5661756961318662</v>
      </c>
      <c r="H334" s="479">
        <v>1961.0660177070326</v>
      </c>
      <c r="I334" s="480" t="s">
        <v>9009</v>
      </c>
      <c r="J334" s="468" t="s">
        <v>536</v>
      </c>
      <c r="K334" s="468" t="s">
        <v>9010</v>
      </c>
      <c r="L334" s="468" t="s">
        <v>536</v>
      </c>
    </row>
    <row r="335" spans="1:12" x14ac:dyDescent="0.25">
      <c r="A335" s="485" t="s">
        <v>220</v>
      </c>
      <c r="B335" s="485" t="s">
        <v>582</v>
      </c>
      <c r="C335" s="485" t="s">
        <v>1914</v>
      </c>
      <c r="D335" s="485" t="s">
        <v>9097</v>
      </c>
      <c r="E335" s="485" t="s">
        <v>545</v>
      </c>
      <c r="F335" s="482">
        <v>2</v>
      </c>
      <c r="G335" s="468">
        <v>100.36157692410224</v>
      </c>
      <c r="H335" s="479">
        <v>200.72315384820448</v>
      </c>
      <c r="I335" s="480" t="s">
        <v>9009</v>
      </c>
      <c r="J335" s="468" t="s">
        <v>9019</v>
      </c>
      <c r="K335" s="468" t="s">
        <v>9020</v>
      </c>
      <c r="L335" s="468" t="s">
        <v>1911</v>
      </c>
    </row>
    <row r="336" spans="1:12" x14ac:dyDescent="0.25">
      <c r="A336" s="485" t="s">
        <v>220</v>
      </c>
      <c r="B336" s="485" t="s">
        <v>582</v>
      </c>
      <c r="C336" s="485" t="s">
        <v>1920</v>
      </c>
      <c r="D336" s="485" t="s">
        <v>9098</v>
      </c>
      <c r="E336" s="485" t="s">
        <v>545</v>
      </c>
      <c r="F336" s="482">
        <v>2</v>
      </c>
      <c r="G336" s="468">
        <v>69.509026206000897</v>
      </c>
      <c r="H336" s="479">
        <v>139.01805241200179</v>
      </c>
      <c r="I336" s="480" t="s">
        <v>9009</v>
      </c>
      <c r="J336" s="468" t="s">
        <v>9019</v>
      </c>
      <c r="K336" s="468" t="s">
        <v>9020</v>
      </c>
      <c r="L336" s="468" t="s">
        <v>1911</v>
      </c>
    </row>
    <row r="337" spans="1:12" x14ac:dyDescent="0.25">
      <c r="A337" s="485" t="s">
        <v>220</v>
      </c>
      <c r="B337" s="485" t="s">
        <v>582</v>
      </c>
      <c r="C337" s="485" t="s">
        <v>1950</v>
      </c>
      <c r="D337" s="485" t="s">
        <v>1951</v>
      </c>
      <c r="E337" s="485" t="s">
        <v>545</v>
      </c>
      <c r="F337" s="482">
        <v>2</v>
      </c>
      <c r="G337" s="468">
        <v>74.893476231035251</v>
      </c>
      <c r="H337" s="479">
        <v>149.7869524620705</v>
      </c>
      <c r="I337" s="480" t="s">
        <v>9009</v>
      </c>
      <c r="J337" s="468" t="s">
        <v>9019</v>
      </c>
      <c r="K337" s="468" t="s">
        <v>9020</v>
      </c>
      <c r="L337" s="468" t="s">
        <v>1911</v>
      </c>
    </row>
    <row r="338" spans="1:12" x14ac:dyDescent="0.25">
      <c r="A338" s="485" t="s">
        <v>220</v>
      </c>
      <c r="B338" s="485" t="s">
        <v>582</v>
      </c>
      <c r="C338" s="485" t="s">
        <v>1952</v>
      </c>
      <c r="D338" s="485" t="s">
        <v>1953</v>
      </c>
      <c r="E338" s="485" t="s">
        <v>545</v>
      </c>
      <c r="F338" s="482">
        <v>6</v>
      </c>
      <c r="G338" s="468">
        <v>86.901618002848323</v>
      </c>
      <c r="H338" s="479">
        <v>521.40970801709</v>
      </c>
      <c r="I338" s="480" t="s">
        <v>9009</v>
      </c>
      <c r="J338" s="468" t="s">
        <v>9019</v>
      </c>
      <c r="K338" s="468" t="s">
        <v>9020</v>
      </c>
      <c r="L338" s="468" t="s">
        <v>1911</v>
      </c>
    </row>
    <row r="339" spans="1:12" x14ac:dyDescent="0.25">
      <c r="A339" s="485" t="s">
        <v>220</v>
      </c>
      <c r="B339" s="485" t="s">
        <v>582</v>
      </c>
      <c r="C339" s="485" t="s">
        <v>1964</v>
      </c>
      <c r="D339" s="485" t="s">
        <v>1965</v>
      </c>
      <c r="E339" s="485" t="s">
        <v>545</v>
      </c>
      <c r="F339" s="482">
        <v>2</v>
      </c>
      <c r="G339" s="468">
        <v>129.0209069180967</v>
      </c>
      <c r="H339" s="479">
        <v>258.0418138361934</v>
      </c>
      <c r="I339" s="480" t="s">
        <v>9009</v>
      </c>
      <c r="J339" s="468" t="s">
        <v>9019</v>
      </c>
      <c r="K339" s="468" t="s">
        <v>9020</v>
      </c>
      <c r="L339" s="468" t="s">
        <v>1911</v>
      </c>
    </row>
    <row r="340" spans="1:12" x14ac:dyDescent="0.25">
      <c r="A340" s="485" t="s">
        <v>220</v>
      </c>
      <c r="B340" s="485" t="s">
        <v>582</v>
      </c>
      <c r="C340" s="485" t="s">
        <v>1968</v>
      </c>
      <c r="D340" s="485" t="s">
        <v>9099</v>
      </c>
      <c r="E340" s="485" t="s">
        <v>545</v>
      </c>
      <c r="F340" s="482">
        <v>2</v>
      </c>
      <c r="G340" s="468">
        <v>133.70533384002397</v>
      </c>
      <c r="H340" s="479">
        <v>267.41066768004794</v>
      </c>
      <c r="I340" s="480" t="s">
        <v>9009</v>
      </c>
      <c r="J340" s="468" t="s">
        <v>9019</v>
      </c>
      <c r="K340" s="468" t="s">
        <v>9020</v>
      </c>
      <c r="L340" s="468" t="s">
        <v>1911</v>
      </c>
    </row>
    <row r="341" spans="1:12" x14ac:dyDescent="0.25">
      <c r="A341" s="485" t="s">
        <v>220</v>
      </c>
      <c r="B341" s="485" t="s">
        <v>582</v>
      </c>
      <c r="C341" s="485" t="s">
        <v>9100</v>
      </c>
      <c r="D341" s="485" t="s">
        <v>9101</v>
      </c>
      <c r="E341" s="485" t="s">
        <v>545</v>
      </c>
      <c r="F341" s="482">
        <v>2</v>
      </c>
      <c r="G341" s="468">
        <v>175.92923896671442</v>
      </c>
      <c r="H341" s="479">
        <v>351.85847793342884</v>
      </c>
      <c r="I341" s="480" t="s">
        <v>9009</v>
      </c>
      <c r="J341" s="468" t="s">
        <v>9019</v>
      </c>
      <c r="K341" s="468" t="s">
        <v>9020</v>
      </c>
      <c r="L341" s="468" t="s">
        <v>1911</v>
      </c>
    </row>
    <row r="342" spans="1:12" x14ac:dyDescent="0.25">
      <c r="A342" s="485" t="s">
        <v>220</v>
      </c>
      <c r="B342" s="485" t="s">
        <v>582</v>
      </c>
      <c r="C342" s="485" t="s">
        <v>9102</v>
      </c>
      <c r="D342" s="485" t="s">
        <v>9103</v>
      </c>
      <c r="E342" s="485" t="s">
        <v>545</v>
      </c>
      <c r="F342" s="482">
        <v>2</v>
      </c>
      <c r="G342" s="468">
        <v>180.81290741434344</v>
      </c>
      <c r="H342" s="479">
        <v>361.62581482868688</v>
      </c>
      <c r="I342" s="480" t="s">
        <v>9009</v>
      </c>
      <c r="J342" s="468" t="s">
        <v>9019</v>
      </c>
      <c r="K342" s="468" t="s">
        <v>9020</v>
      </c>
      <c r="L342" s="468" t="s">
        <v>1911</v>
      </c>
    </row>
    <row r="343" spans="1:12" x14ac:dyDescent="0.25">
      <c r="A343" s="485" t="s">
        <v>220</v>
      </c>
      <c r="B343" s="485" t="s">
        <v>582</v>
      </c>
      <c r="C343" s="485" t="s">
        <v>9104</v>
      </c>
      <c r="D343" s="485" t="s">
        <v>9105</v>
      </c>
      <c r="E343" s="485" t="s">
        <v>545</v>
      </c>
      <c r="F343" s="482">
        <v>2</v>
      </c>
      <c r="G343" s="468">
        <v>194.43986441526317</v>
      </c>
      <c r="H343" s="479">
        <v>388.87972883052635</v>
      </c>
      <c r="I343" s="480" t="s">
        <v>9009</v>
      </c>
      <c r="J343" s="468" t="s">
        <v>9019</v>
      </c>
      <c r="K343" s="468" t="s">
        <v>9020</v>
      </c>
      <c r="L343" s="468" t="s">
        <v>1911</v>
      </c>
    </row>
    <row r="344" spans="1:12" x14ac:dyDescent="0.25">
      <c r="A344" s="485" t="s">
        <v>220</v>
      </c>
      <c r="B344" s="485" t="s">
        <v>582</v>
      </c>
      <c r="C344" s="485" t="s">
        <v>9106</v>
      </c>
      <c r="D344" s="485" t="s">
        <v>9107</v>
      </c>
      <c r="E344" s="485" t="s">
        <v>545</v>
      </c>
      <c r="F344" s="482">
        <v>2</v>
      </c>
      <c r="G344" s="468">
        <v>195.87890694626205</v>
      </c>
      <c r="H344" s="479">
        <v>391.7578138925241</v>
      </c>
      <c r="I344" s="480" t="s">
        <v>9009</v>
      </c>
      <c r="J344" s="468" t="s">
        <v>9019</v>
      </c>
      <c r="K344" s="468" t="s">
        <v>9020</v>
      </c>
      <c r="L344" s="468" t="s">
        <v>1911</v>
      </c>
    </row>
    <row r="345" spans="1:12" x14ac:dyDescent="0.25">
      <c r="A345" s="485" t="s">
        <v>220</v>
      </c>
      <c r="B345" s="485" t="s">
        <v>582</v>
      </c>
      <c r="C345" s="485" t="s">
        <v>9108</v>
      </c>
      <c r="D345" s="485" t="s">
        <v>9109</v>
      </c>
      <c r="E345" s="485" t="s">
        <v>545</v>
      </c>
      <c r="F345" s="482">
        <v>2</v>
      </c>
      <c r="G345" s="468">
        <v>195.2606249552575</v>
      </c>
      <c r="H345" s="479">
        <v>390.521249910515</v>
      </c>
      <c r="I345" s="480" t="s">
        <v>9009</v>
      </c>
      <c r="J345" s="468" t="s">
        <v>9019</v>
      </c>
      <c r="K345" s="468" t="s">
        <v>9020</v>
      </c>
      <c r="L345" s="468" t="s">
        <v>1911</v>
      </c>
    </row>
    <row r="346" spans="1:12" x14ac:dyDescent="0.25">
      <c r="A346" s="485" t="s">
        <v>220</v>
      </c>
      <c r="B346" s="485" t="s">
        <v>582</v>
      </c>
      <c r="C346" s="485" t="s">
        <v>9106</v>
      </c>
      <c r="D346" s="485" t="s">
        <v>7494</v>
      </c>
      <c r="E346" s="485" t="s">
        <v>545</v>
      </c>
      <c r="F346" s="482">
        <v>2</v>
      </c>
      <c r="G346" s="468">
        <v>195.87890694626205</v>
      </c>
      <c r="H346" s="479">
        <v>391.7578138925241</v>
      </c>
      <c r="I346" s="480" t="s">
        <v>9009</v>
      </c>
      <c r="J346" s="468" t="s">
        <v>9019</v>
      </c>
      <c r="K346" s="468" t="s">
        <v>9020</v>
      </c>
      <c r="L346" s="468" t="s">
        <v>1911</v>
      </c>
    </row>
    <row r="347" spans="1:12" x14ac:dyDescent="0.25">
      <c r="A347" s="485" t="s">
        <v>220</v>
      </c>
      <c r="B347" s="485" t="s">
        <v>582</v>
      </c>
      <c r="C347" s="485" t="s">
        <v>9110</v>
      </c>
      <c r="D347" s="485" t="s">
        <v>9111</v>
      </c>
      <c r="E347" s="485" t="s">
        <v>545</v>
      </c>
      <c r="F347" s="482">
        <v>2</v>
      </c>
      <c r="G347" s="468">
        <v>197.09132250045641</v>
      </c>
      <c r="H347" s="479">
        <v>394.18264500091283</v>
      </c>
      <c r="I347" s="480" t="s">
        <v>9009</v>
      </c>
      <c r="J347" s="468" t="s">
        <v>9019</v>
      </c>
      <c r="K347" s="468" t="s">
        <v>9020</v>
      </c>
      <c r="L347" s="468" t="s">
        <v>1911</v>
      </c>
    </row>
    <row r="348" spans="1:12" x14ac:dyDescent="0.25">
      <c r="A348" s="485" t="s">
        <v>220</v>
      </c>
      <c r="B348" s="485" t="s">
        <v>582</v>
      </c>
      <c r="C348" s="485" t="s">
        <v>9112</v>
      </c>
      <c r="D348" s="485" t="s">
        <v>9113</v>
      </c>
      <c r="E348" s="485" t="s">
        <v>545</v>
      </c>
      <c r="F348" s="482">
        <v>2</v>
      </c>
      <c r="G348" s="468">
        <v>205.5872670687973</v>
      </c>
      <c r="H348" s="479">
        <v>411.17453413759461</v>
      </c>
      <c r="I348" s="480" t="s">
        <v>9009</v>
      </c>
      <c r="J348" s="468" t="s">
        <v>9019</v>
      </c>
      <c r="K348" s="468" t="s">
        <v>9020</v>
      </c>
      <c r="L348" s="468" t="s">
        <v>1911</v>
      </c>
    </row>
    <row r="349" spans="1:12" x14ac:dyDescent="0.25">
      <c r="A349" s="485" t="s">
        <v>220</v>
      </c>
      <c r="B349" s="485" t="s">
        <v>582</v>
      </c>
      <c r="C349" s="485" t="s">
        <v>9114</v>
      </c>
      <c r="D349" s="485" t="s">
        <v>9115</v>
      </c>
      <c r="E349" s="485" t="s">
        <v>545</v>
      </c>
      <c r="F349" s="482">
        <v>2</v>
      </c>
      <c r="G349" s="468">
        <v>207.07538626529239</v>
      </c>
      <c r="H349" s="479">
        <v>414.15077253058479</v>
      </c>
      <c r="I349" s="480" t="s">
        <v>9009</v>
      </c>
      <c r="J349" s="468" t="s">
        <v>9019</v>
      </c>
      <c r="K349" s="468" t="s">
        <v>9020</v>
      </c>
      <c r="L349" s="468" t="s">
        <v>1911</v>
      </c>
    </row>
    <row r="350" spans="1:12" x14ac:dyDescent="0.25">
      <c r="A350" s="485" t="s">
        <v>220</v>
      </c>
      <c r="B350" s="485" t="s">
        <v>582</v>
      </c>
      <c r="C350" s="485" t="s">
        <v>9116</v>
      </c>
      <c r="D350" s="485" t="s">
        <v>9117</v>
      </c>
      <c r="E350" s="485" t="s">
        <v>545</v>
      </c>
      <c r="F350" s="482">
        <v>2</v>
      </c>
      <c r="G350" s="468">
        <v>222.95621036081153</v>
      </c>
      <c r="H350" s="479">
        <v>445.91242072162305</v>
      </c>
      <c r="I350" s="480" t="s">
        <v>9009</v>
      </c>
      <c r="J350" s="468" t="s">
        <v>9019</v>
      </c>
      <c r="K350" s="468" t="s">
        <v>9020</v>
      </c>
      <c r="L350" s="468" t="s">
        <v>1911</v>
      </c>
    </row>
    <row r="351" spans="1:12" x14ac:dyDescent="0.25">
      <c r="A351" s="485" t="s">
        <v>220</v>
      </c>
      <c r="B351" s="485" t="s">
        <v>582</v>
      </c>
      <c r="C351" s="485" t="s">
        <v>9118</v>
      </c>
      <c r="D351" s="485" t="s">
        <v>9119</v>
      </c>
      <c r="E351" s="485" t="s">
        <v>545</v>
      </c>
      <c r="F351" s="482">
        <v>2</v>
      </c>
      <c r="G351" s="468">
        <v>240.0538913121932</v>
      </c>
      <c r="H351" s="479">
        <v>480.1077826243864</v>
      </c>
      <c r="I351" s="480" t="s">
        <v>9009</v>
      </c>
      <c r="J351" s="468" t="s">
        <v>9019</v>
      </c>
      <c r="K351" s="468" t="s">
        <v>9020</v>
      </c>
      <c r="L351" s="468" t="s">
        <v>1911</v>
      </c>
    </row>
    <row r="352" spans="1:12" x14ac:dyDescent="0.25">
      <c r="A352" s="485" t="s">
        <v>220</v>
      </c>
      <c r="B352" s="485" t="s">
        <v>582</v>
      </c>
      <c r="C352" s="485" t="s">
        <v>1930</v>
      </c>
      <c r="D352" s="485" t="s">
        <v>9120</v>
      </c>
      <c r="E352" s="485" t="s">
        <v>545</v>
      </c>
      <c r="F352" s="482">
        <v>2</v>
      </c>
      <c r="G352" s="468">
        <v>93.641358908484037</v>
      </c>
      <c r="H352" s="479">
        <v>187.28271781696807</v>
      </c>
      <c r="I352" s="480" t="s">
        <v>9009</v>
      </c>
      <c r="J352" s="468" t="s">
        <v>9019</v>
      </c>
      <c r="K352" s="468" t="s">
        <v>9020</v>
      </c>
      <c r="L352" s="468" t="s">
        <v>1911</v>
      </c>
    </row>
    <row r="353" spans="1:12" x14ac:dyDescent="0.25">
      <c r="A353" s="485" t="s">
        <v>220</v>
      </c>
      <c r="B353" s="485" t="s">
        <v>7593</v>
      </c>
      <c r="C353" s="485" t="s">
        <v>539</v>
      </c>
      <c r="D353" s="485" t="s">
        <v>9036</v>
      </c>
      <c r="E353" s="485" t="s">
        <v>535</v>
      </c>
      <c r="F353" s="482">
        <v>258.63499999999999</v>
      </c>
      <c r="G353" s="468">
        <v>6.3141038910597755</v>
      </c>
      <c r="H353" s="479">
        <v>1633.048259864245</v>
      </c>
      <c r="I353" s="480" t="s">
        <v>9009</v>
      </c>
      <c r="J353" s="468" t="s">
        <v>9011</v>
      </c>
      <c r="K353" s="468" t="s">
        <v>8994</v>
      </c>
      <c r="L353" s="468" t="s">
        <v>541</v>
      </c>
    </row>
    <row r="354" spans="1:12" x14ac:dyDescent="0.25">
      <c r="A354" s="485" t="s">
        <v>220</v>
      </c>
      <c r="B354" s="485" t="s">
        <v>532</v>
      </c>
      <c r="C354" s="485" t="s">
        <v>892</v>
      </c>
      <c r="D354" s="485" t="s">
        <v>9121</v>
      </c>
      <c r="E354" s="485" t="s">
        <v>545</v>
      </c>
      <c r="F354" s="482">
        <v>22</v>
      </c>
      <c r="G354" s="468">
        <v>9.478747837080391</v>
      </c>
      <c r="H354" s="479">
        <v>208.5324524157686</v>
      </c>
      <c r="I354" s="480" t="s">
        <v>9009</v>
      </c>
      <c r="J354" s="468" t="s">
        <v>9011</v>
      </c>
      <c r="K354" s="468" t="s">
        <v>9068</v>
      </c>
      <c r="L354" s="468" t="s">
        <v>541</v>
      </c>
    </row>
    <row r="355" spans="1:12" x14ac:dyDescent="0.25">
      <c r="A355" s="485" t="s">
        <v>220</v>
      </c>
      <c r="B355" s="485" t="s">
        <v>532</v>
      </c>
      <c r="C355" s="485" t="s">
        <v>7410</v>
      </c>
      <c r="D355" s="485" t="s">
        <v>9122</v>
      </c>
      <c r="E355" s="485" t="s">
        <v>535</v>
      </c>
      <c r="F355" s="482">
        <v>59.664000000000001</v>
      </c>
      <c r="G355" s="468">
        <v>7.3617335712088465</v>
      </c>
      <c r="H355" s="479">
        <v>439.23047179260465</v>
      </c>
      <c r="I355" s="480" t="s">
        <v>9009</v>
      </c>
      <c r="J355" s="468" t="s">
        <v>536</v>
      </c>
      <c r="K355" s="468" t="s">
        <v>9010</v>
      </c>
      <c r="L355" s="468" t="s">
        <v>536</v>
      </c>
    </row>
    <row r="356" spans="1:12" x14ac:dyDescent="0.25">
      <c r="A356" s="485" t="s">
        <v>220</v>
      </c>
      <c r="B356" s="485" t="s">
        <v>532</v>
      </c>
      <c r="C356" s="485" t="s">
        <v>7411</v>
      </c>
      <c r="D356" s="485" t="s">
        <v>9123</v>
      </c>
      <c r="E356" s="485" t="s">
        <v>535</v>
      </c>
      <c r="F356" s="482">
        <v>66.66</v>
      </c>
      <c r="G356" s="468">
        <v>7.4084125411562836</v>
      </c>
      <c r="H356" s="479">
        <v>493.84477999347786</v>
      </c>
      <c r="I356" s="480" t="s">
        <v>9009</v>
      </c>
      <c r="J356" s="468" t="s">
        <v>536</v>
      </c>
      <c r="K356" s="468" t="s">
        <v>9010</v>
      </c>
      <c r="L356" s="468" t="s">
        <v>536</v>
      </c>
    </row>
    <row r="357" spans="1:12" x14ac:dyDescent="0.25">
      <c r="A357" s="485" t="s">
        <v>220</v>
      </c>
      <c r="B357" s="485" t="s">
        <v>532</v>
      </c>
      <c r="C357" s="485" t="s">
        <v>871</v>
      </c>
      <c r="D357" s="485" t="s">
        <v>872</v>
      </c>
      <c r="E357" s="485" t="s">
        <v>545</v>
      </c>
      <c r="F357" s="482">
        <v>301</v>
      </c>
      <c r="G357" s="468">
        <v>6.0525073216653693</v>
      </c>
      <c r="H357" s="479">
        <v>1821.8047038212762</v>
      </c>
      <c r="I357" s="480" t="s">
        <v>9009</v>
      </c>
      <c r="J357" s="468" t="s">
        <v>9011</v>
      </c>
      <c r="K357" s="468" t="s">
        <v>9068</v>
      </c>
      <c r="L357" s="468" t="s">
        <v>541</v>
      </c>
    </row>
    <row r="358" spans="1:12" x14ac:dyDescent="0.25">
      <c r="A358" s="485" t="s">
        <v>220</v>
      </c>
      <c r="B358" s="485" t="s">
        <v>532</v>
      </c>
      <c r="C358" s="485" t="s">
        <v>843</v>
      </c>
      <c r="D358" s="485" t="s">
        <v>844</v>
      </c>
      <c r="E358" s="485" t="s">
        <v>545</v>
      </c>
      <c r="F358" s="482">
        <v>1</v>
      </c>
      <c r="G358" s="468">
        <v>5.9648175593552235</v>
      </c>
      <c r="H358" s="479">
        <v>5.9648175593552235</v>
      </c>
      <c r="I358" s="480" t="s">
        <v>9009</v>
      </c>
      <c r="J358" s="468" t="s">
        <v>9011</v>
      </c>
      <c r="K358" s="468" t="s">
        <v>9068</v>
      </c>
      <c r="L358" s="468" t="s">
        <v>541</v>
      </c>
    </row>
    <row r="359" spans="1:12" x14ac:dyDescent="0.25">
      <c r="A359" s="485" t="s">
        <v>220</v>
      </c>
      <c r="B359" s="485" t="s">
        <v>532</v>
      </c>
      <c r="C359" s="485" t="s">
        <v>857</v>
      </c>
      <c r="D359" s="485" t="s">
        <v>858</v>
      </c>
      <c r="E359" s="485" t="s">
        <v>545</v>
      </c>
      <c r="F359" s="482">
        <v>374</v>
      </c>
      <c r="G359" s="468">
        <v>5.8814204624571929</v>
      </c>
      <c r="H359" s="479">
        <v>2199.65125295899</v>
      </c>
      <c r="I359" s="480" t="s">
        <v>9009</v>
      </c>
      <c r="J359" s="468" t="s">
        <v>9011</v>
      </c>
      <c r="K359" s="468" t="s">
        <v>9068</v>
      </c>
      <c r="L359" s="468" t="s">
        <v>541</v>
      </c>
    </row>
    <row r="360" spans="1:12" x14ac:dyDescent="0.25">
      <c r="A360" s="485" t="s">
        <v>220</v>
      </c>
      <c r="B360" s="485" t="s">
        <v>532</v>
      </c>
      <c r="C360" s="485" t="s">
        <v>971</v>
      </c>
      <c r="D360" s="485" t="s">
        <v>972</v>
      </c>
      <c r="E360" s="485" t="s">
        <v>545</v>
      </c>
      <c r="F360" s="482">
        <v>471</v>
      </c>
      <c r="G360" s="468">
        <v>4.9620482233337002</v>
      </c>
      <c r="H360" s="479">
        <v>2337.1247131901728</v>
      </c>
      <c r="I360" s="480" t="s">
        <v>9009</v>
      </c>
      <c r="J360" s="468" t="s">
        <v>9011</v>
      </c>
      <c r="K360" s="468" t="s">
        <v>9068</v>
      </c>
      <c r="L360" s="468" t="s">
        <v>541</v>
      </c>
    </row>
    <row r="361" spans="1:12" x14ac:dyDescent="0.25">
      <c r="A361" s="485" t="s">
        <v>220</v>
      </c>
      <c r="B361" s="485" t="s">
        <v>532</v>
      </c>
      <c r="C361" s="485" t="s">
        <v>869</v>
      </c>
      <c r="D361" s="485" t="s">
        <v>870</v>
      </c>
      <c r="E361" s="485" t="s">
        <v>545</v>
      </c>
      <c r="F361" s="482">
        <v>430</v>
      </c>
      <c r="G361" s="468">
        <v>6.1122159603667745</v>
      </c>
      <c r="H361" s="479">
        <v>2628.2528629577132</v>
      </c>
      <c r="I361" s="480" t="s">
        <v>9009</v>
      </c>
      <c r="J361" s="468" t="s">
        <v>9011</v>
      </c>
      <c r="K361" s="468" t="s">
        <v>9068</v>
      </c>
      <c r="L361" s="468" t="s">
        <v>541</v>
      </c>
    </row>
    <row r="362" spans="1:12" x14ac:dyDescent="0.25">
      <c r="A362" s="485" t="s">
        <v>220</v>
      </c>
      <c r="B362" s="485" t="s">
        <v>532</v>
      </c>
      <c r="C362" s="485" t="s">
        <v>985</v>
      </c>
      <c r="D362" s="485" t="s">
        <v>986</v>
      </c>
      <c r="E362" s="485" t="s">
        <v>545</v>
      </c>
      <c r="F362" s="482">
        <v>448</v>
      </c>
      <c r="G362" s="468">
        <v>5.9880505636578114</v>
      </c>
      <c r="H362" s="479">
        <v>2682.6466525186997</v>
      </c>
      <c r="I362" s="480" t="s">
        <v>9009</v>
      </c>
      <c r="J362" s="468" t="s">
        <v>9011</v>
      </c>
      <c r="K362" s="468" t="s">
        <v>9068</v>
      </c>
      <c r="L362" s="468" t="s">
        <v>541</v>
      </c>
    </row>
    <row r="363" spans="1:12" x14ac:dyDescent="0.25">
      <c r="A363" s="485" t="s">
        <v>220</v>
      </c>
      <c r="B363" s="485" t="s">
        <v>532</v>
      </c>
      <c r="C363" s="485" t="s">
        <v>7419</v>
      </c>
      <c r="D363" s="485" t="s">
        <v>7420</v>
      </c>
      <c r="E363" s="485" t="s">
        <v>545</v>
      </c>
      <c r="F363" s="482">
        <v>268</v>
      </c>
      <c r="G363" s="468">
        <v>4.9620482233337002</v>
      </c>
      <c r="H363" s="479">
        <v>1329.8289238534317</v>
      </c>
      <c r="I363" s="480" t="s">
        <v>9009</v>
      </c>
      <c r="J363" s="468" t="s">
        <v>9011</v>
      </c>
      <c r="K363" s="468" t="s">
        <v>9068</v>
      </c>
      <c r="L363" s="468" t="s">
        <v>541</v>
      </c>
    </row>
    <row r="364" spans="1:12" x14ac:dyDescent="0.25">
      <c r="A364" s="485" t="s">
        <v>220</v>
      </c>
      <c r="B364" s="485" t="s">
        <v>532</v>
      </c>
      <c r="C364" s="485" t="s">
        <v>987</v>
      </c>
      <c r="D364" s="485" t="s">
        <v>988</v>
      </c>
      <c r="E364" s="485" t="s">
        <v>545</v>
      </c>
      <c r="F364" s="482">
        <v>605</v>
      </c>
      <c r="G364" s="468">
        <v>0.45100000000000001</v>
      </c>
      <c r="H364" s="479">
        <v>272.85500000000002</v>
      </c>
      <c r="I364" s="480" t="s">
        <v>9009</v>
      </c>
      <c r="J364" s="468" t="s">
        <v>9015</v>
      </c>
      <c r="K364" s="468" t="s">
        <v>9068</v>
      </c>
      <c r="L364" s="468" t="s">
        <v>541</v>
      </c>
    </row>
    <row r="365" spans="1:12" x14ac:dyDescent="0.25">
      <c r="A365" s="485" t="s">
        <v>220</v>
      </c>
      <c r="B365" s="485" t="s">
        <v>532</v>
      </c>
      <c r="C365" s="485" t="s">
        <v>827</v>
      </c>
      <c r="D365" s="485" t="s">
        <v>828</v>
      </c>
      <c r="E365" s="485" t="s">
        <v>545</v>
      </c>
      <c r="F365" s="482">
        <v>9</v>
      </c>
      <c r="G365" s="468">
        <v>7.9457692462815732</v>
      </c>
      <c r="H365" s="479">
        <v>71.511923216534157</v>
      </c>
      <c r="I365" s="480" t="s">
        <v>9009</v>
      </c>
      <c r="J365" s="468" t="s">
        <v>9011</v>
      </c>
      <c r="K365" s="468" t="s">
        <v>9068</v>
      </c>
      <c r="L365" s="468" t="s">
        <v>541</v>
      </c>
    </row>
    <row r="366" spans="1:12" x14ac:dyDescent="0.25">
      <c r="A366" s="485" t="s">
        <v>220</v>
      </c>
      <c r="B366" s="485" t="s">
        <v>532</v>
      </c>
      <c r="C366" s="485" t="s">
        <v>917</v>
      </c>
      <c r="D366" s="485" t="s">
        <v>918</v>
      </c>
      <c r="E366" s="485" t="s">
        <v>545</v>
      </c>
      <c r="F366" s="482">
        <v>9</v>
      </c>
      <c r="G366" s="468">
        <v>4.5909629006197479</v>
      </c>
      <c r="H366" s="479">
        <v>41.318666105577734</v>
      </c>
      <c r="I366" s="480" t="s">
        <v>9009</v>
      </c>
      <c r="J366" s="468" t="s">
        <v>9011</v>
      </c>
      <c r="K366" s="468" t="s">
        <v>9068</v>
      </c>
      <c r="L366" s="468" t="s">
        <v>541</v>
      </c>
    </row>
    <row r="367" spans="1:12" x14ac:dyDescent="0.25">
      <c r="A367" s="485" t="s">
        <v>220</v>
      </c>
      <c r="B367" s="485" t="s">
        <v>532</v>
      </c>
      <c r="C367" s="485" t="s">
        <v>813</v>
      </c>
      <c r="D367" s="485" t="s">
        <v>904</v>
      </c>
      <c r="E367" s="485" t="s">
        <v>545</v>
      </c>
      <c r="F367" s="482">
        <v>28</v>
      </c>
      <c r="G367" s="468">
        <v>8.3328387556776438</v>
      </c>
      <c r="H367" s="479">
        <v>233.31948515897403</v>
      </c>
      <c r="I367" s="480" t="s">
        <v>9009</v>
      </c>
      <c r="J367" s="468" t="s">
        <v>9011</v>
      </c>
      <c r="K367" s="468" t="s">
        <v>9068</v>
      </c>
      <c r="L367" s="468" t="s">
        <v>541</v>
      </c>
    </row>
    <row r="368" spans="1:12" x14ac:dyDescent="0.25">
      <c r="A368" s="485" t="s">
        <v>220</v>
      </c>
      <c r="B368" s="485" t="s">
        <v>532</v>
      </c>
      <c r="C368" s="485" t="s">
        <v>815</v>
      </c>
      <c r="D368" s="485" t="s">
        <v>816</v>
      </c>
      <c r="E368" s="485" t="s">
        <v>545</v>
      </c>
      <c r="F368" s="482">
        <v>28</v>
      </c>
      <c r="G368" s="468">
        <v>4.6824795990752524</v>
      </c>
      <c r="H368" s="479">
        <v>131.10942877410707</v>
      </c>
      <c r="I368" s="480" t="s">
        <v>9009</v>
      </c>
      <c r="J368" s="468" t="s">
        <v>9011</v>
      </c>
      <c r="K368" s="468" t="s">
        <v>9068</v>
      </c>
      <c r="L368" s="468" t="s">
        <v>541</v>
      </c>
    </row>
    <row r="369" spans="1:12" x14ac:dyDescent="0.25">
      <c r="A369" s="485" t="s">
        <v>220</v>
      </c>
      <c r="B369" s="485" t="s">
        <v>532</v>
      </c>
      <c r="C369" s="485"/>
      <c r="D369" s="485" t="s">
        <v>9124</v>
      </c>
      <c r="E369" s="485" t="s">
        <v>535</v>
      </c>
      <c r="F369" s="482">
        <v>436</v>
      </c>
      <c r="G369" s="468">
        <v>4.0761528340373578</v>
      </c>
      <c r="H369" s="479">
        <v>1777.202635640288</v>
      </c>
      <c r="I369" s="480" t="s">
        <v>9009</v>
      </c>
      <c r="J369" s="468" t="s">
        <v>9011</v>
      </c>
      <c r="K369" s="468" t="s">
        <v>8994</v>
      </c>
      <c r="L369" s="468" t="s">
        <v>541</v>
      </c>
    </row>
    <row r="370" spans="1:12" x14ac:dyDescent="0.25">
      <c r="A370" s="485" t="s">
        <v>220</v>
      </c>
      <c r="B370" s="485" t="s">
        <v>532</v>
      </c>
      <c r="C370" s="485"/>
      <c r="D370" s="485" t="s">
        <v>9125</v>
      </c>
      <c r="E370" s="485" t="s">
        <v>535</v>
      </c>
      <c r="F370" s="482">
        <v>417</v>
      </c>
      <c r="G370" s="468">
        <v>2.2000000000000002</v>
      </c>
      <c r="H370" s="479">
        <v>917.40000000000009</v>
      </c>
      <c r="I370" s="480" t="s">
        <v>9009</v>
      </c>
      <c r="J370" s="468" t="s">
        <v>9011</v>
      </c>
      <c r="K370" s="468" t="s">
        <v>8996</v>
      </c>
      <c r="L370" s="468" t="s">
        <v>541</v>
      </c>
    </row>
    <row r="371" spans="1:12" x14ac:dyDescent="0.25">
      <c r="A371" s="485" t="s">
        <v>220</v>
      </c>
      <c r="B371" s="485" t="s">
        <v>2063</v>
      </c>
      <c r="C371" s="485" t="s">
        <v>7629</v>
      </c>
      <c r="D371" s="485" t="s">
        <v>9126</v>
      </c>
      <c r="E371" s="485" t="s">
        <v>545</v>
      </c>
      <c r="F371" s="482">
        <v>146</v>
      </c>
      <c r="G371" s="468">
        <v>102.28051952823876</v>
      </c>
      <c r="H371" s="479">
        <v>14932.955851122859</v>
      </c>
      <c r="I371" s="480" t="s">
        <v>9009</v>
      </c>
      <c r="J371" s="468" t="s">
        <v>9023</v>
      </c>
      <c r="K371" s="468" t="s">
        <v>9024</v>
      </c>
      <c r="L371" s="468" t="s">
        <v>536</v>
      </c>
    </row>
    <row r="372" spans="1:12" x14ac:dyDescent="0.25">
      <c r="A372" s="485" t="s">
        <v>220</v>
      </c>
      <c r="B372" s="485" t="s">
        <v>2063</v>
      </c>
      <c r="C372" s="485" t="s">
        <v>2132</v>
      </c>
      <c r="D372" s="485" t="s">
        <v>9064</v>
      </c>
      <c r="E372" s="485" t="s">
        <v>545</v>
      </c>
      <c r="F372" s="482">
        <v>401</v>
      </c>
      <c r="G372" s="468">
        <v>68.718163274408298</v>
      </c>
      <c r="H372" s="479">
        <v>27555.983473037726</v>
      </c>
      <c r="I372" s="480" t="s">
        <v>9009</v>
      </c>
      <c r="J372" s="468" t="s">
        <v>9023</v>
      </c>
      <c r="K372" s="468" t="s">
        <v>9024</v>
      </c>
      <c r="L372" s="468" t="s">
        <v>536</v>
      </c>
    </row>
    <row r="373" spans="1:12" x14ac:dyDescent="0.25">
      <c r="A373" s="485" t="s">
        <v>220</v>
      </c>
      <c r="B373" s="485" t="s">
        <v>2063</v>
      </c>
      <c r="C373" s="485" t="s">
        <v>9071</v>
      </c>
      <c r="D373" s="485" t="s">
        <v>9046</v>
      </c>
      <c r="E373" s="485" t="s">
        <v>545</v>
      </c>
      <c r="F373" s="482">
        <v>72</v>
      </c>
      <c r="G373" s="468">
        <v>74.081456758427706</v>
      </c>
      <c r="H373" s="479">
        <v>5333.8648866067952</v>
      </c>
      <c r="I373" s="480" t="s">
        <v>9009</v>
      </c>
      <c r="J373" s="468" t="s">
        <v>9023</v>
      </c>
      <c r="K373" s="468" t="s">
        <v>9024</v>
      </c>
      <c r="L373" s="468" t="s">
        <v>536</v>
      </c>
    </row>
    <row r="374" spans="1:12" x14ac:dyDescent="0.25">
      <c r="A374" s="485" t="s">
        <v>220</v>
      </c>
      <c r="B374" s="485" t="s">
        <v>2063</v>
      </c>
      <c r="C374" s="485" t="s">
        <v>9055</v>
      </c>
      <c r="D374" s="485" t="s">
        <v>9056</v>
      </c>
      <c r="E374" s="485" t="s">
        <v>545</v>
      </c>
      <c r="F374" s="482">
        <v>75</v>
      </c>
      <c r="G374" s="468">
        <v>91.202859279279139</v>
      </c>
      <c r="H374" s="479">
        <v>6840.214445945935</v>
      </c>
      <c r="I374" s="480" t="s">
        <v>9009</v>
      </c>
      <c r="J374" s="468" t="s">
        <v>9023</v>
      </c>
      <c r="K374" s="468" t="s">
        <v>9024</v>
      </c>
      <c r="L374" s="468" t="s">
        <v>536</v>
      </c>
    </row>
    <row r="375" spans="1:12" x14ac:dyDescent="0.25">
      <c r="A375" s="485" t="s">
        <v>220</v>
      </c>
      <c r="B375" s="485" t="s">
        <v>2063</v>
      </c>
      <c r="C375" s="485" t="s">
        <v>2089</v>
      </c>
      <c r="D375" s="485" t="s">
        <v>7616</v>
      </c>
      <c r="E375" s="485" t="s">
        <v>545</v>
      </c>
      <c r="F375" s="482">
        <v>2</v>
      </c>
      <c r="G375" s="468">
        <v>118.90132330264071</v>
      </c>
      <c r="H375" s="479">
        <v>237.80264660528141</v>
      </c>
      <c r="I375" s="480" t="s">
        <v>9009</v>
      </c>
      <c r="J375" s="468" t="s">
        <v>9023</v>
      </c>
      <c r="K375" s="468" t="s">
        <v>9024</v>
      </c>
      <c r="L375" s="468" t="s">
        <v>536</v>
      </c>
    </row>
    <row r="376" spans="1:12" x14ac:dyDescent="0.25">
      <c r="A376" s="485" t="s">
        <v>220</v>
      </c>
      <c r="B376" s="485" t="s">
        <v>2063</v>
      </c>
      <c r="C376" s="485" t="s">
        <v>2093</v>
      </c>
      <c r="D376" s="485" t="s">
        <v>7617</v>
      </c>
      <c r="E376" s="485" t="s">
        <v>545</v>
      </c>
      <c r="F376" s="482">
        <v>90</v>
      </c>
      <c r="G376" s="468">
        <v>132.90827330727589</v>
      </c>
      <c r="H376" s="479">
        <v>11961.74459765483</v>
      </c>
      <c r="I376" s="480" t="s">
        <v>9009</v>
      </c>
      <c r="J376" s="468" t="s">
        <v>9023</v>
      </c>
      <c r="K376" s="468" t="s">
        <v>9024</v>
      </c>
      <c r="L376" s="468" t="s">
        <v>536</v>
      </c>
    </row>
    <row r="377" spans="1:12" x14ac:dyDescent="0.25">
      <c r="A377" s="485" t="s">
        <v>220</v>
      </c>
      <c r="B377" s="485" t="s">
        <v>2063</v>
      </c>
      <c r="C377" s="485" t="s">
        <v>9127</v>
      </c>
      <c r="D377" s="485" t="s">
        <v>9128</v>
      </c>
      <c r="E377" s="485" t="s">
        <v>545</v>
      </c>
      <c r="F377" s="482">
        <v>62</v>
      </c>
      <c r="G377" s="468">
        <v>83.845136136870181</v>
      </c>
      <c r="H377" s="479">
        <v>5198.3984404859511</v>
      </c>
      <c r="I377" s="480" t="s">
        <v>9009</v>
      </c>
      <c r="J377" s="468" t="s">
        <v>9023</v>
      </c>
      <c r="K377" s="468" t="s">
        <v>9024</v>
      </c>
      <c r="L377" s="468" t="s">
        <v>536</v>
      </c>
    </row>
    <row r="378" spans="1:12" x14ac:dyDescent="0.25">
      <c r="A378" s="485" t="s">
        <v>220</v>
      </c>
      <c r="B378" s="485" t="s">
        <v>2063</v>
      </c>
      <c r="C378" s="485" t="s">
        <v>2070</v>
      </c>
      <c r="D378" s="485" t="s">
        <v>9129</v>
      </c>
      <c r="E378" s="485" t="s">
        <v>545</v>
      </c>
      <c r="F378" s="482">
        <v>3</v>
      </c>
      <c r="G378" s="468">
        <v>58.628104339135277</v>
      </c>
      <c r="H378" s="479">
        <v>175.88431301740582</v>
      </c>
      <c r="I378" s="480" t="s">
        <v>9009</v>
      </c>
      <c r="J378" s="468" t="s">
        <v>9023</v>
      </c>
      <c r="K378" s="468" t="s">
        <v>9024</v>
      </c>
      <c r="L378" s="468" t="s">
        <v>536</v>
      </c>
    </row>
    <row r="379" spans="1:12" x14ac:dyDescent="0.25">
      <c r="A379" s="485" t="s">
        <v>220</v>
      </c>
      <c r="B379" s="485" t="s">
        <v>2063</v>
      </c>
      <c r="C379" s="485" t="s">
        <v>2133</v>
      </c>
      <c r="D379" s="485" t="s">
        <v>9130</v>
      </c>
      <c r="E379" s="485" t="s">
        <v>545</v>
      </c>
      <c r="F379" s="482">
        <v>607</v>
      </c>
      <c r="G379" s="468">
        <v>79.477198565576956</v>
      </c>
      <c r="H379" s="479">
        <v>48242.659529305209</v>
      </c>
      <c r="I379" s="480" t="s">
        <v>9009</v>
      </c>
      <c r="J379" s="468" t="s">
        <v>9023</v>
      </c>
      <c r="K379" s="468" t="s">
        <v>9024</v>
      </c>
      <c r="L379" s="468" t="s">
        <v>536</v>
      </c>
    </row>
    <row r="380" spans="1:12" x14ac:dyDescent="0.25">
      <c r="A380" s="485" t="s">
        <v>220</v>
      </c>
      <c r="B380" s="485" t="s">
        <v>2063</v>
      </c>
      <c r="C380" s="485" t="s">
        <v>9058</v>
      </c>
      <c r="D380" s="485" t="s">
        <v>7479</v>
      </c>
      <c r="E380" s="485" t="s">
        <v>545</v>
      </c>
      <c r="F380" s="482">
        <v>692</v>
      </c>
      <c r="G380" s="468">
        <v>89.102147320797002</v>
      </c>
      <c r="H380" s="479">
        <v>61658.685945991529</v>
      </c>
      <c r="I380" s="480" t="s">
        <v>9009</v>
      </c>
      <c r="J380" s="468" t="s">
        <v>9023</v>
      </c>
      <c r="K380" s="468" t="s">
        <v>9024</v>
      </c>
      <c r="L380" s="468" t="s">
        <v>536</v>
      </c>
    </row>
    <row r="381" spans="1:12" x14ac:dyDescent="0.25">
      <c r="A381" s="485" t="s">
        <v>220</v>
      </c>
      <c r="B381" s="485" t="s">
        <v>2063</v>
      </c>
      <c r="C381" s="485" t="s">
        <v>2138</v>
      </c>
      <c r="D381" s="485" t="s">
        <v>7648</v>
      </c>
      <c r="E381" s="485" t="s">
        <v>545</v>
      </c>
      <c r="F381" s="482">
        <v>30</v>
      </c>
      <c r="G381" s="468">
        <v>57.947599557165105</v>
      </c>
      <c r="H381" s="479">
        <v>1738.4279867149532</v>
      </c>
      <c r="I381" s="480" t="s">
        <v>9009</v>
      </c>
      <c r="J381" s="468" t="s">
        <v>9023</v>
      </c>
      <c r="K381" s="468" t="s">
        <v>9024</v>
      </c>
      <c r="L381" s="468" t="s">
        <v>536</v>
      </c>
    </row>
    <row r="382" spans="1:12" x14ac:dyDescent="0.25">
      <c r="A382" s="485" t="s">
        <v>220</v>
      </c>
      <c r="B382" s="485" t="s">
        <v>2063</v>
      </c>
      <c r="C382" s="485" t="s">
        <v>2082</v>
      </c>
      <c r="D382" s="485" t="s">
        <v>9131</v>
      </c>
      <c r="E382" s="485" t="s">
        <v>545</v>
      </c>
      <c r="F382" s="482">
        <v>184</v>
      </c>
      <c r="G382" s="468">
        <v>68.724629957053821</v>
      </c>
      <c r="H382" s="479">
        <v>12645.331912097903</v>
      </c>
      <c r="I382" s="480" t="s">
        <v>9009</v>
      </c>
      <c r="J382" s="468" t="s">
        <v>9023</v>
      </c>
      <c r="K382" s="468" t="s">
        <v>9024</v>
      </c>
      <c r="L382" s="468" t="s">
        <v>536</v>
      </c>
    </row>
    <row r="383" spans="1:12" x14ac:dyDescent="0.25">
      <c r="A383" s="485" t="s">
        <v>220</v>
      </c>
      <c r="B383" s="485" t="s">
        <v>2063</v>
      </c>
      <c r="C383" s="485" t="s">
        <v>7627</v>
      </c>
      <c r="D383" s="485" t="s">
        <v>7628</v>
      </c>
      <c r="E383" s="485" t="s">
        <v>545</v>
      </c>
      <c r="F383" s="482">
        <v>66</v>
      </c>
      <c r="G383" s="468">
        <v>96.8183545413969</v>
      </c>
      <c r="H383" s="479">
        <v>6390.0113997321951</v>
      </c>
      <c r="I383" s="480" t="s">
        <v>9009</v>
      </c>
      <c r="J383" s="468" t="s">
        <v>9023</v>
      </c>
      <c r="K383" s="468" t="s">
        <v>9024</v>
      </c>
      <c r="L383" s="468" t="s">
        <v>536</v>
      </c>
    </row>
    <row r="384" spans="1:12" x14ac:dyDescent="0.25">
      <c r="A384" s="485" t="s">
        <v>220</v>
      </c>
      <c r="B384" s="485" t="s">
        <v>2063</v>
      </c>
      <c r="C384" s="485" t="s">
        <v>2077</v>
      </c>
      <c r="D384" s="485" t="s">
        <v>7610</v>
      </c>
      <c r="E384" s="485" t="s">
        <v>545</v>
      </c>
      <c r="F384" s="482">
        <v>35</v>
      </c>
      <c r="G384" s="468">
        <v>96.938008737320715</v>
      </c>
      <c r="H384" s="479">
        <v>3392.8303058062252</v>
      </c>
      <c r="I384" s="480" t="s">
        <v>9009</v>
      </c>
      <c r="J384" s="468" t="s">
        <v>9023</v>
      </c>
      <c r="K384" s="468" t="s">
        <v>9024</v>
      </c>
      <c r="L384" s="468" t="s">
        <v>536</v>
      </c>
    </row>
    <row r="385" spans="1:12" x14ac:dyDescent="0.25">
      <c r="A385" s="485" t="s">
        <v>587</v>
      </c>
      <c r="B385" s="485" t="s">
        <v>591</v>
      </c>
      <c r="C385" s="485"/>
      <c r="D385" s="485" t="s">
        <v>9132</v>
      </c>
      <c r="E385" s="485" t="s">
        <v>535</v>
      </c>
      <c r="F385" s="482">
        <v>9349</v>
      </c>
      <c r="G385" s="468">
        <v>2.2000000000000002</v>
      </c>
      <c r="H385" s="479">
        <v>20567.800000000003</v>
      </c>
      <c r="I385" s="480" t="s">
        <v>9009</v>
      </c>
      <c r="J385" s="468" t="s">
        <v>9011</v>
      </c>
      <c r="K385" s="468" t="s">
        <v>8996</v>
      </c>
      <c r="L385" s="468" t="s">
        <v>541</v>
      </c>
    </row>
    <row r="386" spans="1:12" x14ac:dyDescent="0.25">
      <c r="A386" s="485" t="s">
        <v>220</v>
      </c>
      <c r="B386" s="485" t="s">
        <v>7448</v>
      </c>
      <c r="C386" s="485" t="s">
        <v>1960</v>
      </c>
      <c r="D386" s="485" t="s">
        <v>7486</v>
      </c>
      <c r="E386" s="485" t="s">
        <v>545</v>
      </c>
      <c r="F386" s="482">
        <v>473</v>
      </c>
      <c r="G386" s="468">
        <v>94.068134875860096</v>
      </c>
      <c r="H386" s="479">
        <v>44494.227796281826</v>
      </c>
      <c r="I386" s="480" t="s">
        <v>9009</v>
      </c>
      <c r="J386" s="468" t="s">
        <v>9019</v>
      </c>
      <c r="K386" s="468" t="s">
        <v>9020</v>
      </c>
      <c r="L386" s="468" t="s">
        <v>1911</v>
      </c>
    </row>
    <row r="387" spans="1:12" x14ac:dyDescent="0.25">
      <c r="A387" s="485" t="s">
        <v>220</v>
      </c>
      <c r="B387" s="485" t="s">
        <v>7448</v>
      </c>
      <c r="C387" s="485" t="s">
        <v>1980</v>
      </c>
      <c r="D387" s="485" t="s">
        <v>7619</v>
      </c>
      <c r="E387" s="485" t="s">
        <v>545</v>
      </c>
      <c r="F387" s="482">
        <v>44</v>
      </c>
      <c r="G387" s="468">
        <v>195.87890694626205</v>
      </c>
      <c r="H387" s="479">
        <v>8618.6719056355305</v>
      </c>
      <c r="I387" s="480" t="s">
        <v>9009</v>
      </c>
      <c r="J387" s="468" t="s">
        <v>9019</v>
      </c>
      <c r="K387" s="468" t="s">
        <v>9020</v>
      </c>
      <c r="L387" s="468" t="s">
        <v>1911</v>
      </c>
    </row>
    <row r="388" spans="1:12" x14ac:dyDescent="0.25">
      <c r="A388" s="485" t="s">
        <v>220</v>
      </c>
      <c r="B388" s="485" t="s">
        <v>7448</v>
      </c>
      <c r="C388" s="485" t="s">
        <v>1938</v>
      </c>
      <c r="D388" s="485" t="s">
        <v>9128</v>
      </c>
      <c r="E388" s="485" t="s">
        <v>545</v>
      </c>
      <c r="F388" s="482">
        <v>1</v>
      </c>
      <c r="G388" s="468">
        <v>102.93403396390786</v>
      </c>
      <c r="H388" s="479">
        <v>102.93403396390786</v>
      </c>
      <c r="I388" s="480" t="s">
        <v>9009</v>
      </c>
      <c r="J388" s="468" t="s">
        <v>9019</v>
      </c>
      <c r="K388" s="468" t="s">
        <v>9020</v>
      </c>
      <c r="L388" s="468" t="s">
        <v>1911</v>
      </c>
    </row>
    <row r="389" spans="1:12" x14ac:dyDescent="0.25">
      <c r="A389" s="485" t="s">
        <v>220</v>
      </c>
      <c r="B389" s="485" t="s">
        <v>7448</v>
      </c>
      <c r="C389" s="485" t="s">
        <v>9133</v>
      </c>
      <c r="D389" s="485" t="s">
        <v>7619</v>
      </c>
      <c r="E389" s="485" t="s">
        <v>545</v>
      </c>
      <c r="F389" s="482">
        <v>3</v>
      </c>
      <c r="G389" s="468">
        <v>197.09132250045641</v>
      </c>
      <c r="H389" s="479">
        <v>591.27396750136927</v>
      </c>
      <c r="I389" s="480" t="s">
        <v>9009</v>
      </c>
      <c r="J389" s="468" t="s">
        <v>9019</v>
      </c>
      <c r="K389" s="468" t="s">
        <v>9020</v>
      </c>
      <c r="L389" s="468" t="s">
        <v>1911</v>
      </c>
    </row>
    <row r="390" spans="1:12" x14ac:dyDescent="0.25">
      <c r="A390" s="485" t="s">
        <v>220</v>
      </c>
      <c r="B390" s="485" t="s">
        <v>7448</v>
      </c>
      <c r="C390" s="485" t="s">
        <v>9134</v>
      </c>
      <c r="D390" s="485" t="s">
        <v>7644</v>
      </c>
      <c r="E390" s="485" t="s">
        <v>545</v>
      </c>
      <c r="F390" s="482">
        <v>24</v>
      </c>
      <c r="G390" s="468">
        <v>96.637171545536262</v>
      </c>
      <c r="H390" s="479">
        <v>2319.2921170928703</v>
      </c>
      <c r="I390" s="480" t="s">
        <v>9009</v>
      </c>
      <c r="J390" s="468" t="s">
        <v>9019</v>
      </c>
      <c r="K390" s="468" t="s">
        <v>9020</v>
      </c>
      <c r="L390" s="468" t="s">
        <v>1911</v>
      </c>
    </row>
    <row r="391" spans="1:12" x14ac:dyDescent="0.25">
      <c r="A391" s="485" t="s">
        <v>220</v>
      </c>
      <c r="B391" s="485" t="s">
        <v>7448</v>
      </c>
      <c r="C391" s="485" t="s">
        <v>9135</v>
      </c>
      <c r="D391" s="485" t="s">
        <v>9136</v>
      </c>
      <c r="E391" s="485" t="s">
        <v>545</v>
      </c>
      <c r="F391" s="482">
        <v>37</v>
      </c>
      <c r="G391" s="468">
        <v>69.509026206000897</v>
      </c>
      <c r="H391" s="479">
        <v>2571.8339696220332</v>
      </c>
      <c r="I391" s="480" t="s">
        <v>9009</v>
      </c>
      <c r="J391" s="468" t="s">
        <v>9019</v>
      </c>
      <c r="K391" s="468" t="s">
        <v>9020</v>
      </c>
      <c r="L391" s="468" t="s">
        <v>1911</v>
      </c>
    </row>
    <row r="392" spans="1:12" x14ac:dyDescent="0.25">
      <c r="A392" s="485" t="s">
        <v>220</v>
      </c>
      <c r="B392" s="485" t="s">
        <v>7455</v>
      </c>
      <c r="C392" s="485" t="s">
        <v>2089</v>
      </c>
      <c r="D392" s="485" t="s">
        <v>7491</v>
      </c>
      <c r="E392" s="485" t="s">
        <v>545</v>
      </c>
      <c r="F392" s="482">
        <v>7</v>
      </c>
      <c r="G392" s="468">
        <v>118.90132330264071</v>
      </c>
      <c r="H392" s="479">
        <v>832.30926311848498</v>
      </c>
      <c r="I392" s="480" t="s">
        <v>9009</v>
      </c>
      <c r="J392" s="468" t="s">
        <v>9023</v>
      </c>
      <c r="K392" s="468" t="s">
        <v>9024</v>
      </c>
      <c r="L392" s="468" t="s">
        <v>536</v>
      </c>
    </row>
    <row r="393" spans="1:12" x14ac:dyDescent="0.25">
      <c r="A393" s="485" t="s">
        <v>220</v>
      </c>
      <c r="B393" s="485" t="s">
        <v>7455</v>
      </c>
      <c r="C393" s="485" t="s">
        <v>2076</v>
      </c>
      <c r="D393" s="485" t="s">
        <v>7609</v>
      </c>
      <c r="E393" s="485" t="s">
        <v>545</v>
      </c>
      <c r="F393" s="482">
        <v>2</v>
      </c>
      <c r="G393" s="468">
        <v>91.295004755193162</v>
      </c>
      <c r="H393" s="479">
        <v>182.59000951038632</v>
      </c>
      <c r="I393" s="480" t="s">
        <v>9009</v>
      </c>
      <c r="J393" s="468" t="s">
        <v>9023</v>
      </c>
      <c r="K393" s="468" t="s">
        <v>9024</v>
      </c>
      <c r="L393" s="468" t="s">
        <v>536</v>
      </c>
    </row>
    <row r="394" spans="1:12" x14ac:dyDescent="0.25">
      <c r="A394" s="485" t="s">
        <v>220</v>
      </c>
      <c r="B394" s="485" t="s">
        <v>7455</v>
      </c>
      <c r="C394" s="485" t="s">
        <v>7620</v>
      </c>
      <c r="D394" s="485" t="s">
        <v>7457</v>
      </c>
      <c r="E394" s="485" t="s">
        <v>545</v>
      </c>
      <c r="F394" s="482">
        <v>6</v>
      </c>
      <c r="G394" s="468">
        <v>207.19813862212391</v>
      </c>
      <c r="H394" s="479">
        <v>1243.1888317327434</v>
      </c>
      <c r="I394" s="480" t="s">
        <v>9009</v>
      </c>
      <c r="J394" s="468" t="s">
        <v>9023</v>
      </c>
      <c r="K394" s="468" t="s">
        <v>9024</v>
      </c>
      <c r="L394" s="468" t="s">
        <v>536</v>
      </c>
    </row>
    <row r="395" spans="1:12" x14ac:dyDescent="0.25">
      <c r="A395" s="485" t="s">
        <v>220</v>
      </c>
      <c r="B395" s="485" t="s">
        <v>7455</v>
      </c>
      <c r="C395" s="485" t="s">
        <v>2103</v>
      </c>
      <c r="D395" s="485" t="s">
        <v>2103</v>
      </c>
      <c r="E395" s="485" t="s">
        <v>545</v>
      </c>
      <c r="F395" s="482">
        <v>5</v>
      </c>
      <c r="G395" s="468">
        <v>200.0903661965707</v>
      </c>
      <c r="H395" s="479">
        <v>1000.4518309828535</v>
      </c>
      <c r="I395" s="480" t="s">
        <v>9009</v>
      </c>
      <c r="J395" s="468" t="s">
        <v>9023</v>
      </c>
      <c r="K395" s="468" t="s">
        <v>9020</v>
      </c>
      <c r="L395" s="468" t="s">
        <v>536</v>
      </c>
    </row>
    <row r="396" spans="1:12" x14ac:dyDescent="0.25">
      <c r="A396" s="485" t="s">
        <v>220</v>
      </c>
      <c r="B396" s="485" t="s">
        <v>7455</v>
      </c>
      <c r="C396" s="485" t="s">
        <v>9050</v>
      </c>
      <c r="D396" s="485" t="s">
        <v>7665</v>
      </c>
      <c r="E396" s="485" t="s">
        <v>545</v>
      </c>
      <c r="F396" s="482">
        <v>6</v>
      </c>
      <c r="G396" s="468">
        <v>75.591976440184197</v>
      </c>
      <c r="H396" s="479">
        <v>453.55185864110518</v>
      </c>
      <c r="I396" s="480" t="s">
        <v>9009</v>
      </c>
      <c r="J396" s="468" t="s">
        <v>9023</v>
      </c>
      <c r="K396" s="468" t="s">
        <v>9024</v>
      </c>
      <c r="L396" s="468" t="s">
        <v>536</v>
      </c>
    </row>
    <row r="397" spans="1:12" x14ac:dyDescent="0.25">
      <c r="A397" s="485" t="s">
        <v>220</v>
      </c>
      <c r="B397" s="485" t="s">
        <v>7455</v>
      </c>
      <c r="C397" s="485" t="s">
        <v>2132</v>
      </c>
      <c r="D397" s="485" t="s">
        <v>9064</v>
      </c>
      <c r="E397" s="485" t="s">
        <v>545</v>
      </c>
      <c r="F397" s="482">
        <v>1</v>
      </c>
      <c r="G397" s="468">
        <v>68.718163274408298</v>
      </c>
      <c r="H397" s="479">
        <v>68.718163274408298</v>
      </c>
      <c r="I397" s="480" t="s">
        <v>9009</v>
      </c>
      <c r="J397" s="468" t="s">
        <v>9023</v>
      </c>
      <c r="K397" s="468" t="s">
        <v>9024</v>
      </c>
      <c r="L397" s="468" t="s">
        <v>536</v>
      </c>
    </row>
    <row r="398" spans="1:12" x14ac:dyDescent="0.25">
      <c r="A398" s="485" t="s">
        <v>220</v>
      </c>
      <c r="B398" s="485" t="s">
        <v>7455</v>
      </c>
      <c r="C398" s="485" t="s">
        <v>2082</v>
      </c>
      <c r="D398" s="485" t="s">
        <v>9131</v>
      </c>
      <c r="E398" s="485" t="s">
        <v>545</v>
      </c>
      <c r="F398" s="482">
        <v>2</v>
      </c>
      <c r="G398" s="468">
        <v>68.724629957053821</v>
      </c>
      <c r="H398" s="479">
        <v>137.44925991410764</v>
      </c>
      <c r="I398" s="480" t="s">
        <v>9009</v>
      </c>
      <c r="J398" s="468" t="s">
        <v>9023</v>
      </c>
      <c r="K398" s="468" t="s">
        <v>9024</v>
      </c>
      <c r="L398" s="468" t="s">
        <v>536</v>
      </c>
    </row>
    <row r="399" spans="1:12" x14ac:dyDescent="0.25">
      <c r="A399" s="485" t="s">
        <v>220</v>
      </c>
      <c r="B399" s="485" t="s">
        <v>7455</v>
      </c>
      <c r="C399" s="485" t="s">
        <v>2075</v>
      </c>
      <c r="D399" s="485" t="s">
        <v>2052</v>
      </c>
      <c r="E399" s="485" t="s">
        <v>545</v>
      </c>
      <c r="F399" s="482">
        <v>48</v>
      </c>
      <c r="G399" s="468">
        <v>60.597108982258398</v>
      </c>
      <c r="H399" s="479">
        <v>2908.6612311484032</v>
      </c>
      <c r="I399" s="480" t="s">
        <v>9009</v>
      </c>
      <c r="J399" s="468" t="s">
        <v>9023</v>
      </c>
      <c r="K399" s="468" t="s">
        <v>9024</v>
      </c>
      <c r="L399" s="468" t="s">
        <v>536</v>
      </c>
    </row>
    <row r="400" spans="1:12" x14ac:dyDescent="0.25">
      <c r="A400" s="485" t="s">
        <v>220</v>
      </c>
      <c r="B400" s="485" t="s">
        <v>588</v>
      </c>
      <c r="C400" s="485" t="s">
        <v>825</v>
      </c>
      <c r="D400" s="485" t="s">
        <v>826</v>
      </c>
      <c r="E400" s="485" t="s">
        <v>545</v>
      </c>
      <c r="F400" s="482">
        <v>861</v>
      </c>
      <c r="G400" s="468">
        <v>12.373890012648957</v>
      </c>
      <c r="H400" s="479">
        <v>10653.919300890751</v>
      </c>
      <c r="I400" s="480" t="s">
        <v>9009</v>
      </c>
      <c r="J400" s="468" t="s">
        <v>9011</v>
      </c>
      <c r="K400" s="468" t="s">
        <v>9068</v>
      </c>
      <c r="L400" s="468" t="s">
        <v>541</v>
      </c>
    </row>
    <row r="401" spans="1:12" x14ac:dyDescent="0.25">
      <c r="A401" s="485" t="s">
        <v>220</v>
      </c>
      <c r="B401" s="485" t="s">
        <v>588</v>
      </c>
      <c r="C401" s="485" t="s">
        <v>827</v>
      </c>
      <c r="D401" s="485" t="s">
        <v>828</v>
      </c>
      <c r="E401" s="485" t="s">
        <v>545</v>
      </c>
      <c r="F401" s="482">
        <v>325</v>
      </c>
      <c r="G401" s="468">
        <v>7.9457692462815732</v>
      </c>
      <c r="H401" s="479">
        <v>2582.3750050415115</v>
      </c>
      <c r="I401" s="480" t="s">
        <v>9009</v>
      </c>
      <c r="J401" s="468" t="s">
        <v>9011</v>
      </c>
      <c r="K401" s="468" t="s">
        <v>9068</v>
      </c>
      <c r="L401" s="468" t="s">
        <v>541</v>
      </c>
    </row>
    <row r="402" spans="1:12" x14ac:dyDescent="0.25">
      <c r="A402" s="485" t="s">
        <v>220</v>
      </c>
      <c r="B402" s="485" t="s">
        <v>588</v>
      </c>
      <c r="C402" s="485" t="s">
        <v>829</v>
      </c>
      <c r="D402" s="485" t="s">
        <v>830</v>
      </c>
      <c r="E402" s="485" t="s">
        <v>545</v>
      </c>
      <c r="F402" s="482">
        <v>1741</v>
      </c>
      <c r="G402" s="468">
        <v>7.9462486792276881</v>
      </c>
      <c r="H402" s="479">
        <v>13834.418950535404</v>
      </c>
      <c r="I402" s="480" t="s">
        <v>9009</v>
      </c>
      <c r="J402" s="468" t="s">
        <v>9011</v>
      </c>
      <c r="K402" s="468" t="s">
        <v>9068</v>
      </c>
      <c r="L402" s="468" t="s">
        <v>541</v>
      </c>
    </row>
    <row r="403" spans="1:12" x14ac:dyDescent="0.25">
      <c r="A403" s="485" t="s">
        <v>220</v>
      </c>
      <c r="B403" s="485" t="s">
        <v>588</v>
      </c>
      <c r="C403" s="485" t="s">
        <v>833</v>
      </c>
      <c r="D403" s="485" t="s">
        <v>834</v>
      </c>
      <c r="E403" s="485" t="s">
        <v>545</v>
      </c>
      <c r="F403" s="482">
        <v>13520</v>
      </c>
      <c r="G403" s="468">
        <v>5.1668278697492651</v>
      </c>
      <c r="H403" s="479">
        <v>69855.512799010059</v>
      </c>
      <c r="I403" s="480" t="s">
        <v>9009</v>
      </c>
      <c r="J403" s="468" t="s">
        <v>9011</v>
      </c>
      <c r="K403" s="468" t="s">
        <v>9068</v>
      </c>
      <c r="L403" s="468" t="s">
        <v>541</v>
      </c>
    </row>
    <row r="404" spans="1:12" x14ac:dyDescent="0.25">
      <c r="A404" s="485" t="s">
        <v>220</v>
      </c>
      <c r="B404" s="485" t="s">
        <v>588</v>
      </c>
      <c r="C404" s="485" t="s">
        <v>835</v>
      </c>
      <c r="D404" s="485" t="s">
        <v>836</v>
      </c>
      <c r="E404" s="485" t="s">
        <v>545</v>
      </c>
      <c r="F404" s="482">
        <v>1120</v>
      </c>
      <c r="G404" s="468">
        <v>4.2500357223489855</v>
      </c>
      <c r="H404" s="479">
        <v>4760.040009030864</v>
      </c>
      <c r="I404" s="480" t="s">
        <v>9009</v>
      </c>
      <c r="J404" s="468" t="s">
        <v>9011</v>
      </c>
      <c r="K404" s="468" t="s">
        <v>9068</v>
      </c>
      <c r="L404" s="468" t="s">
        <v>541</v>
      </c>
    </row>
    <row r="405" spans="1:12" x14ac:dyDescent="0.25">
      <c r="A405" s="485" t="s">
        <v>220</v>
      </c>
      <c r="B405" s="485" t="s">
        <v>588</v>
      </c>
      <c r="C405" s="485" t="s">
        <v>837</v>
      </c>
      <c r="D405" s="485" t="s">
        <v>838</v>
      </c>
      <c r="E405" s="485" t="s">
        <v>545</v>
      </c>
      <c r="F405" s="482">
        <v>1210</v>
      </c>
      <c r="G405" s="468">
        <v>5.1654108623407842</v>
      </c>
      <c r="H405" s="479">
        <v>6250.1471434323485</v>
      </c>
      <c r="I405" s="480" t="s">
        <v>9009</v>
      </c>
      <c r="J405" s="468" t="s">
        <v>9011</v>
      </c>
      <c r="K405" s="468" t="s">
        <v>9068</v>
      </c>
      <c r="L405" s="468" t="s">
        <v>541</v>
      </c>
    </row>
    <row r="406" spans="1:12" x14ac:dyDescent="0.25">
      <c r="A406" s="485" t="s">
        <v>220</v>
      </c>
      <c r="B406" s="485" t="s">
        <v>588</v>
      </c>
      <c r="C406" s="485" t="s">
        <v>839</v>
      </c>
      <c r="D406" s="485" t="s">
        <v>840</v>
      </c>
      <c r="E406" s="485" t="s">
        <v>545</v>
      </c>
      <c r="F406" s="482">
        <v>6505</v>
      </c>
      <c r="G406" s="468">
        <v>5.1154657991648422</v>
      </c>
      <c r="H406" s="479">
        <v>33276.105023567296</v>
      </c>
      <c r="I406" s="480" t="s">
        <v>9009</v>
      </c>
      <c r="J406" s="468" t="s">
        <v>9011</v>
      </c>
      <c r="K406" s="468" t="s">
        <v>9068</v>
      </c>
      <c r="L406" s="468" t="s">
        <v>541</v>
      </c>
    </row>
    <row r="407" spans="1:12" x14ac:dyDescent="0.25">
      <c r="A407" s="485" t="s">
        <v>220</v>
      </c>
      <c r="B407" s="485" t="s">
        <v>588</v>
      </c>
      <c r="C407" s="485" t="s">
        <v>841</v>
      </c>
      <c r="D407" s="485" t="s">
        <v>842</v>
      </c>
      <c r="E407" s="485" t="s">
        <v>545</v>
      </c>
      <c r="F407" s="482">
        <v>2925</v>
      </c>
      <c r="G407" s="468">
        <v>4.1249721771996413</v>
      </c>
      <c r="H407" s="479">
        <v>12065.543618308951</v>
      </c>
      <c r="I407" s="480" t="s">
        <v>9009</v>
      </c>
      <c r="J407" s="468" t="s">
        <v>9011</v>
      </c>
      <c r="K407" s="468" t="s">
        <v>9068</v>
      </c>
      <c r="L407" s="468" t="s">
        <v>541</v>
      </c>
    </row>
    <row r="408" spans="1:12" x14ac:dyDescent="0.25">
      <c r="A408" s="485" t="s">
        <v>220</v>
      </c>
      <c r="B408" s="485" t="s">
        <v>588</v>
      </c>
      <c r="C408" s="485" t="s">
        <v>843</v>
      </c>
      <c r="D408" s="485" t="s">
        <v>844</v>
      </c>
      <c r="E408" s="485" t="s">
        <v>545</v>
      </c>
      <c r="F408" s="482">
        <v>5056</v>
      </c>
      <c r="G408" s="468">
        <v>5.9648175593552235</v>
      </c>
      <c r="H408" s="479">
        <v>30158.11758010001</v>
      </c>
      <c r="I408" s="480" t="s">
        <v>9009</v>
      </c>
      <c r="J408" s="468" t="s">
        <v>9011</v>
      </c>
      <c r="K408" s="468" t="s">
        <v>9068</v>
      </c>
      <c r="L408" s="468" t="s">
        <v>541</v>
      </c>
    </row>
    <row r="409" spans="1:12" x14ac:dyDescent="0.25">
      <c r="A409" s="485" t="s">
        <v>220</v>
      </c>
      <c r="B409" s="485" t="s">
        <v>588</v>
      </c>
      <c r="C409" s="485" t="s">
        <v>845</v>
      </c>
      <c r="D409" s="485" t="s">
        <v>846</v>
      </c>
      <c r="E409" s="485" t="s">
        <v>545</v>
      </c>
      <c r="F409" s="482">
        <v>2833</v>
      </c>
      <c r="G409" s="468">
        <v>5.3068947294929183</v>
      </c>
      <c r="H409" s="479">
        <v>15034.432768653438</v>
      </c>
      <c r="I409" s="480" t="s">
        <v>9009</v>
      </c>
      <c r="J409" s="468" t="s">
        <v>9011</v>
      </c>
      <c r="K409" s="468" t="s">
        <v>9068</v>
      </c>
      <c r="L409" s="468" t="s">
        <v>541</v>
      </c>
    </row>
    <row r="410" spans="1:12" x14ac:dyDescent="0.25">
      <c r="A410" s="485" t="s">
        <v>220</v>
      </c>
      <c r="B410" s="485" t="s">
        <v>588</v>
      </c>
      <c r="C410" s="485" t="s">
        <v>847</v>
      </c>
      <c r="D410" s="485" t="s">
        <v>848</v>
      </c>
      <c r="E410" s="485" t="s">
        <v>545</v>
      </c>
      <c r="F410" s="482">
        <v>2807</v>
      </c>
      <c r="G410" s="468">
        <v>5.7323337064227609</v>
      </c>
      <c r="H410" s="479">
        <v>16090.66071392869</v>
      </c>
      <c r="I410" s="480" t="s">
        <v>9009</v>
      </c>
      <c r="J410" s="468" t="s">
        <v>9011</v>
      </c>
      <c r="K410" s="468" t="s">
        <v>9068</v>
      </c>
      <c r="L410" s="468" t="s">
        <v>541</v>
      </c>
    </row>
    <row r="411" spans="1:12" x14ac:dyDescent="0.25">
      <c r="A411" s="485" t="s">
        <v>220</v>
      </c>
      <c r="B411" s="485" t="s">
        <v>588</v>
      </c>
      <c r="C411" s="485" t="s">
        <v>849</v>
      </c>
      <c r="D411" s="485" t="s">
        <v>850</v>
      </c>
      <c r="E411" s="485" t="s">
        <v>545</v>
      </c>
      <c r="F411" s="482">
        <v>288</v>
      </c>
      <c r="G411" s="468">
        <v>4.3059139447251029</v>
      </c>
      <c r="H411" s="479">
        <v>1240.1032160808297</v>
      </c>
      <c r="I411" s="480" t="s">
        <v>9009</v>
      </c>
      <c r="J411" s="468" t="s">
        <v>9011</v>
      </c>
      <c r="K411" s="468" t="s">
        <v>9068</v>
      </c>
      <c r="L411" s="468" t="s">
        <v>541</v>
      </c>
    </row>
    <row r="412" spans="1:12" x14ac:dyDescent="0.25">
      <c r="A412" s="485" t="s">
        <v>220</v>
      </c>
      <c r="B412" s="485" t="s">
        <v>588</v>
      </c>
      <c r="C412" s="485" t="s">
        <v>851</v>
      </c>
      <c r="D412" s="485" t="s">
        <v>852</v>
      </c>
      <c r="E412" s="485" t="s">
        <v>545</v>
      </c>
      <c r="F412" s="482">
        <v>16990</v>
      </c>
      <c r="G412" s="468">
        <v>5.4451132845537913</v>
      </c>
      <c r="H412" s="479">
        <v>92512.474704568915</v>
      </c>
      <c r="I412" s="480" t="s">
        <v>9009</v>
      </c>
      <c r="J412" s="468" t="s">
        <v>9011</v>
      </c>
      <c r="K412" s="468" t="s">
        <v>9068</v>
      </c>
      <c r="L412" s="468" t="s">
        <v>541</v>
      </c>
    </row>
    <row r="413" spans="1:12" x14ac:dyDescent="0.25">
      <c r="A413" s="485" t="s">
        <v>220</v>
      </c>
      <c r="B413" s="485" t="s">
        <v>588</v>
      </c>
      <c r="C413" s="485" t="s">
        <v>7533</v>
      </c>
      <c r="D413" s="485" t="s">
        <v>7534</v>
      </c>
      <c r="E413" s="485" t="s">
        <v>545</v>
      </c>
      <c r="F413" s="482">
        <v>5967</v>
      </c>
      <c r="G413" s="468">
        <v>4.9356752418747734</v>
      </c>
      <c r="H413" s="479">
        <v>29451.174168266774</v>
      </c>
      <c r="I413" s="480" t="s">
        <v>9009</v>
      </c>
      <c r="J413" s="468" t="s">
        <v>9011</v>
      </c>
      <c r="K413" s="468" t="s">
        <v>9068</v>
      </c>
      <c r="L413" s="468" t="s">
        <v>541</v>
      </c>
    </row>
    <row r="414" spans="1:12" x14ac:dyDescent="0.25">
      <c r="A414" s="485" t="s">
        <v>220</v>
      </c>
      <c r="B414" s="485" t="s">
        <v>588</v>
      </c>
      <c r="C414" s="485" t="s">
        <v>853</v>
      </c>
      <c r="D414" s="485" t="s">
        <v>854</v>
      </c>
      <c r="E414" s="485" t="s">
        <v>545</v>
      </c>
      <c r="F414" s="482">
        <v>2337</v>
      </c>
      <c r="G414" s="468">
        <v>3.7180408974358974</v>
      </c>
      <c r="H414" s="479">
        <v>8689.0615773076916</v>
      </c>
      <c r="I414" s="480" t="s">
        <v>9009</v>
      </c>
      <c r="J414" s="468" t="s">
        <v>9011</v>
      </c>
      <c r="K414" s="468" t="s">
        <v>9068</v>
      </c>
      <c r="L414" s="468" t="s">
        <v>541</v>
      </c>
    </row>
    <row r="415" spans="1:12" x14ac:dyDescent="0.25">
      <c r="A415" s="485" t="s">
        <v>220</v>
      </c>
      <c r="B415" s="485" t="s">
        <v>588</v>
      </c>
      <c r="C415" s="485" t="s">
        <v>855</v>
      </c>
      <c r="D415" s="485" t="s">
        <v>856</v>
      </c>
      <c r="E415" s="485" t="s">
        <v>545</v>
      </c>
      <c r="F415" s="482">
        <v>2019</v>
      </c>
      <c r="G415" s="468">
        <v>3.5545831049279544</v>
      </c>
      <c r="H415" s="479">
        <v>7176.7032888495396</v>
      </c>
      <c r="I415" s="480" t="s">
        <v>9009</v>
      </c>
      <c r="J415" s="468" t="s">
        <v>9011</v>
      </c>
      <c r="K415" s="468" t="s">
        <v>9068</v>
      </c>
      <c r="L415" s="468" t="s">
        <v>541</v>
      </c>
    </row>
    <row r="416" spans="1:12" x14ac:dyDescent="0.25">
      <c r="A416" s="485" t="s">
        <v>220</v>
      </c>
      <c r="B416" s="485" t="s">
        <v>588</v>
      </c>
      <c r="C416" s="485" t="s">
        <v>857</v>
      </c>
      <c r="D416" s="485" t="s">
        <v>858</v>
      </c>
      <c r="E416" s="485" t="s">
        <v>545</v>
      </c>
      <c r="F416" s="482">
        <v>126</v>
      </c>
      <c r="G416" s="468">
        <v>5.8814204624571929</v>
      </c>
      <c r="H416" s="479">
        <v>741.05897826960631</v>
      </c>
      <c r="I416" s="480" t="s">
        <v>9009</v>
      </c>
      <c r="J416" s="468" t="s">
        <v>9011</v>
      </c>
      <c r="K416" s="468" t="s">
        <v>9068</v>
      </c>
      <c r="L416" s="468" t="s">
        <v>541</v>
      </c>
    </row>
    <row r="417" spans="1:12" x14ac:dyDescent="0.25">
      <c r="A417" s="485" t="s">
        <v>220</v>
      </c>
      <c r="B417" s="485" t="s">
        <v>588</v>
      </c>
      <c r="C417" s="485" t="s">
        <v>859</v>
      </c>
      <c r="D417" s="485" t="s">
        <v>860</v>
      </c>
      <c r="E417" s="485" t="s">
        <v>545</v>
      </c>
      <c r="F417" s="482">
        <v>9179</v>
      </c>
      <c r="G417" s="468">
        <v>5.8228035664593607</v>
      </c>
      <c r="H417" s="479">
        <v>53447.513936530471</v>
      </c>
      <c r="I417" s="480" t="s">
        <v>9009</v>
      </c>
      <c r="J417" s="468" t="s">
        <v>9011</v>
      </c>
      <c r="K417" s="468" t="s">
        <v>9068</v>
      </c>
      <c r="L417" s="468" t="s">
        <v>541</v>
      </c>
    </row>
    <row r="418" spans="1:12" x14ac:dyDescent="0.25">
      <c r="A418" s="485" t="s">
        <v>220</v>
      </c>
      <c r="B418" s="485" t="s">
        <v>588</v>
      </c>
      <c r="C418" s="485" t="s">
        <v>861</v>
      </c>
      <c r="D418" s="485" t="s">
        <v>862</v>
      </c>
      <c r="E418" s="485" t="s">
        <v>545</v>
      </c>
      <c r="F418" s="482">
        <v>842</v>
      </c>
      <c r="G418" s="468">
        <v>5.9680923504620749</v>
      </c>
      <c r="H418" s="479">
        <v>5025.1337590890671</v>
      </c>
      <c r="I418" s="480" t="s">
        <v>9009</v>
      </c>
      <c r="J418" s="468" t="s">
        <v>9011</v>
      </c>
      <c r="K418" s="468" t="s">
        <v>9068</v>
      </c>
      <c r="L418" s="468" t="s">
        <v>541</v>
      </c>
    </row>
    <row r="419" spans="1:12" x14ac:dyDescent="0.25">
      <c r="A419" s="485" t="s">
        <v>220</v>
      </c>
      <c r="B419" s="485" t="s">
        <v>588</v>
      </c>
      <c r="C419" s="485" t="s">
        <v>863</v>
      </c>
      <c r="D419" s="485" t="s">
        <v>864</v>
      </c>
      <c r="E419" s="485" t="s">
        <v>545</v>
      </c>
      <c r="F419" s="482">
        <v>66</v>
      </c>
      <c r="G419" s="468">
        <v>3.4771593863103991</v>
      </c>
      <c r="H419" s="479">
        <v>229.49251949648635</v>
      </c>
      <c r="I419" s="480" t="s">
        <v>9009</v>
      </c>
      <c r="J419" s="468" t="s">
        <v>9011</v>
      </c>
      <c r="K419" s="468" t="s">
        <v>9068</v>
      </c>
      <c r="L419" s="468" t="s">
        <v>541</v>
      </c>
    </row>
    <row r="420" spans="1:12" x14ac:dyDescent="0.25">
      <c r="A420" s="485" t="s">
        <v>220</v>
      </c>
      <c r="B420" s="485" t="s">
        <v>588</v>
      </c>
      <c r="C420" s="485" t="s">
        <v>865</v>
      </c>
      <c r="D420" s="485" t="s">
        <v>866</v>
      </c>
      <c r="E420" s="485" t="s">
        <v>545</v>
      </c>
      <c r="F420" s="482">
        <v>558</v>
      </c>
      <c r="G420" s="468">
        <v>6.3368180094906368</v>
      </c>
      <c r="H420" s="479">
        <v>3535.9444492957755</v>
      </c>
      <c r="I420" s="480" t="s">
        <v>9009</v>
      </c>
      <c r="J420" s="468" t="s">
        <v>9011</v>
      </c>
      <c r="K420" s="468" t="s">
        <v>9068</v>
      </c>
      <c r="L420" s="468" t="s">
        <v>541</v>
      </c>
    </row>
    <row r="421" spans="1:12" x14ac:dyDescent="0.25">
      <c r="A421" s="485" t="s">
        <v>220</v>
      </c>
      <c r="B421" s="485" t="s">
        <v>588</v>
      </c>
      <c r="C421" s="485" t="s">
        <v>867</v>
      </c>
      <c r="D421" s="485" t="s">
        <v>868</v>
      </c>
      <c r="E421" s="485" t="s">
        <v>545</v>
      </c>
      <c r="F421" s="482">
        <v>122</v>
      </c>
      <c r="G421" s="468">
        <v>4.346584430574163</v>
      </c>
      <c r="H421" s="479">
        <v>530.28330053004788</v>
      </c>
      <c r="I421" s="480" t="s">
        <v>9009</v>
      </c>
      <c r="J421" s="468" t="s">
        <v>9011</v>
      </c>
      <c r="K421" s="468" t="s">
        <v>9068</v>
      </c>
      <c r="L421" s="468" t="s">
        <v>541</v>
      </c>
    </row>
    <row r="422" spans="1:12" x14ac:dyDescent="0.25">
      <c r="A422" s="485" t="s">
        <v>220</v>
      </c>
      <c r="B422" s="485" t="s">
        <v>588</v>
      </c>
      <c r="C422" s="485" t="s">
        <v>869</v>
      </c>
      <c r="D422" s="485" t="s">
        <v>870</v>
      </c>
      <c r="E422" s="485" t="s">
        <v>545</v>
      </c>
      <c r="F422" s="482">
        <v>1008</v>
      </c>
      <c r="G422" s="468">
        <v>6.1122159603667745</v>
      </c>
      <c r="H422" s="479">
        <v>6161.1136880497088</v>
      </c>
      <c r="I422" s="480" t="s">
        <v>9009</v>
      </c>
      <c r="J422" s="468" t="s">
        <v>9011</v>
      </c>
      <c r="K422" s="468" t="s">
        <v>9068</v>
      </c>
      <c r="L422" s="468" t="s">
        <v>541</v>
      </c>
    </row>
    <row r="423" spans="1:12" x14ac:dyDescent="0.25">
      <c r="A423" s="485" t="s">
        <v>220</v>
      </c>
      <c r="B423" s="485" t="s">
        <v>588</v>
      </c>
      <c r="C423" s="485" t="s">
        <v>871</v>
      </c>
      <c r="D423" s="485" t="s">
        <v>872</v>
      </c>
      <c r="E423" s="485" t="s">
        <v>545</v>
      </c>
      <c r="F423" s="482">
        <v>5421</v>
      </c>
      <c r="G423" s="468">
        <v>6.0525073216653693</v>
      </c>
      <c r="H423" s="479">
        <v>32810.642190747967</v>
      </c>
      <c r="I423" s="480" t="s">
        <v>9009</v>
      </c>
      <c r="J423" s="468" t="s">
        <v>9011</v>
      </c>
      <c r="K423" s="468" t="s">
        <v>9068</v>
      </c>
      <c r="L423" s="468" t="s">
        <v>541</v>
      </c>
    </row>
    <row r="424" spans="1:12" x14ac:dyDescent="0.25">
      <c r="A424" s="485" t="s">
        <v>220</v>
      </c>
      <c r="B424" s="485" t="s">
        <v>588</v>
      </c>
      <c r="C424" s="485" t="s">
        <v>873</v>
      </c>
      <c r="D424" s="485" t="s">
        <v>874</v>
      </c>
      <c r="E424" s="485" t="s">
        <v>545</v>
      </c>
      <c r="F424" s="482">
        <v>33</v>
      </c>
      <c r="G424" s="468">
        <v>6.0525073216653693</v>
      </c>
      <c r="H424" s="479">
        <v>199.73274161495718</v>
      </c>
      <c r="I424" s="480" t="s">
        <v>9009</v>
      </c>
      <c r="J424" s="468" t="s">
        <v>9011</v>
      </c>
      <c r="K424" s="468" t="s">
        <v>9068</v>
      </c>
      <c r="L424" s="468" t="s">
        <v>541</v>
      </c>
    </row>
    <row r="425" spans="1:12" x14ac:dyDescent="0.25">
      <c r="A425" s="485" t="s">
        <v>220</v>
      </c>
      <c r="B425" s="485" t="s">
        <v>588</v>
      </c>
      <c r="C425" s="485" t="s">
        <v>817</v>
      </c>
      <c r="D425" s="485" t="s">
        <v>875</v>
      </c>
      <c r="E425" s="485" t="s">
        <v>545</v>
      </c>
      <c r="F425" s="482">
        <v>78</v>
      </c>
      <c r="G425" s="468">
        <v>7.8065805469060585</v>
      </c>
      <c r="H425" s="479">
        <v>608.91328265867253</v>
      </c>
      <c r="I425" s="480" t="s">
        <v>9009</v>
      </c>
      <c r="J425" s="468" t="s">
        <v>9011</v>
      </c>
      <c r="K425" s="468" t="s">
        <v>9068</v>
      </c>
      <c r="L425" s="468" t="s">
        <v>541</v>
      </c>
    </row>
    <row r="426" spans="1:12" x14ac:dyDescent="0.25">
      <c r="A426" s="485" t="s">
        <v>220</v>
      </c>
      <c r="B426" s="485" t="s">
        <v>588</v>
      </c>
      <c r="C426" s="485" t="s">
        <v>876</v>
      </c>
      <c r="D426" s="485" t="s">
        <v>877</v>
      </c>
      <c r="E426" s="485" t="s">
        <v>545</v>
      </c>
      <c r="F426" s="482">
        <v>3763</v>
      </c>
      <c r="G426" s="468">
        <v>7.8736921901764845</v>
      </c>
      <c r="H426" s="479">
        <v>29628.703711634113</v>
      </c>
      <c r="I426" s="480" t="s">
        <v>9009</v>
      </c>
      <c r="J426" s="468" t="s">
        <v>9011</v>
      </c>
      <c r="K426" s="468" t="s">
        <v>9068</v>
      </c>
      <c r="L426" s="468" t="s">
        <v>541</v>
      </c>
    </row>
    <row r="427" spans="1:12" x14ac:dyDescent="0.25">
      <c r="A427" s="485" t="s">
        <v>220</v>
      </c>
      <c r="B427" s="485" t="s">
        <v>588</v>
      </c>
      <c r="C427" s="485" t="s">
        <v>878</v>
      </c>
      <c r="D427" s="485" t="s">
        <v>879</v>
      </c>
      <c r="E427" s="485" t="s">
        <v>545</v>
      </c>
      <c r="F427" s="482">
        <v>866</v>
      </c>
      <c r="G427" s="468">
        <v>9.9993470477053403</v>
      </c>
      <c r="H427" s="479">
        <v>8659.4345433128256</v>
      </c>
      <c r="I427" s="480" t="s">
        <v>9009</v>
      </c>
      <c r="J427" s="468" t="s">
        <v>9011</v>
      </c>
      <c r="K427" s="468" t="s">
        <v>9068</v>
      </c>
      <c r="L427" s="468" t="s">
        <v>541</v>
      </c>
    </row>
    <row r="428" spans="1:12" x14ac:dyDescent="0.25">
      <c r="A428" s="485" t="s">
        <v>220</v>
      </c>
      <c r="B428" s="485" t="s">
        <v>588</v>
      </c>
      <c r="C428" s="485" t="s">
        <v>882</v>
      </c>
      <c r="D428" s="485" t="s">
        <v>883</v>
      </c>
      <c r="E428" s="485" t="s">
        <v>545</v>
      </c>
      <c r="F428" s="482">
        <v>789</v>
      </c>
      <c r="G428" s="468">
        <v>11.834600059067652</v>
      </c>
      <c r="H428" s="479">
        <v>9337.4994466043772</v>
      </c>
      <c r="I428" s="480" t="s">
        <v>9009</v>
      </c>
      <c r="J428" s="468" t="s">
        <v>9011</v>
      </c>
      <c r="K428" s="468" t="s">
        <v>9068</v>
      </c>
      <c r="L428" s="468" t="s">
        <v>541</v>
      </c>
    </row>
    <row r="429" spans="1:12" x14ac:dyDescent="0.25">
      <c r="A429" s="485" t="s">
        <v>220</v>
      </c>
      <c r="B429" s="485" t="s">
        <v>588</v>
      </c>
      <c r="C429" s="485" t="s">
        <v>7535</v>
      </c>
      <c r="D429" s="485" t="s">
        <v>889</v>
      </c>
      <c r="E429" s="485" t="s">
        <v>545</v>
      </c>
      <c r="F429" s="482">
        <v>1583</v>
      </c>
      <c r="G429" s="468">
        <v>11.353998807833781</v>
      </c>
      <c r="H429" s="479">
        <v>17973.380112800874</v>
      </c>
      <c r="I429" s="480" t="s">
        <v>9009</v>
      </c>
      <c r="J429" s="468" t="s">
        <v>9011</v>
      </c>
      <c r="K429" s="468" t="s">
        <v>9068</v>
      </c>
      <c r="L429" s="468" t="s">
        <v>541</v>
      </c>
    </row>
    <row r="430" spans="1:12" x14ac:dyDescent="0.25">
      <c r="A430" s="485" t="s">
        <v>220</v>
      </c>
      <c r="B430" s="485" t="s">
        <v>588</v>
      </c>
      <c r="C430" s="485" t="s">
        <v>894</v>
      </c>
      <c r="D430" s="485" t="s">
        <v>895</v>
      </c>
      <c r="E430" s="485" t="s">
        <v>545</v>
      </c>
      <c r="F430" s="482">
        <v>1252</v>
      </c>
      <c r="G430" s="468">
        <v>23.699721802336637</v>
      </c>
      <c r="H430" s="479">
        <v>29672.051696525468</v>
      </c>
      <c r="I430" s="480" t="s">
        <v>9009</v>
      </c>
      <c r="J430" s="468" t="s">
        <v>9011</v>
      </c>
      <c r="K430" s="468" t="s">
        <v>9068</v>
      </c>
      <c r="L430" s="468" t="s">
        <v>541</v>
      </c>
    </row>
    <row r="431" spans="1:12" x14ac:dyDescent="0.25">
      <c r="A431" s="485" t="s">
        <v>220</v>
      </c>
      <c r="B431" s="485" t="s">
        <v>588</v>
      </c>
      <c r="C431" s="485" t="s">
        <v>896</v>
      </c>
      <c r="D431" s="485" t="s">
        <v>897</v>
      </c>
      <c r="E431" s="485" t="s">
        <v>545</v>
      </c>
      <c r="F431" s="482">
        <v>712</v>
      </c>
      <c r="G431" s="468">
        <v>18.647961786293347</v>
      </c>
      <c r="H431" s="479">
        <v>13277.348791840863</v>
      </c>
      <c r="I431" s="480" t="s">
        <v>9009</v>
      </c>
      <c r="J431" s="468" t="s">
        <v>9011</v>
      </c>
      <c r="K431" s="468" t="s">
        <v>9068</v>
      </c>
      <c r="L431" s="468" t="s">
        <v>541</v>
      </c>
    </row>
    <row r="432" spans="1:12" x14ac:dyDescent="0.25">
      <c r="A432" s="485" t="s">
        <v>220</v>
      </c>
      <c r="B432" s="485" t="s">
        <v>588</v>
      </c>
      <c r="C432" s="485" t="s">
        <v>898</v>
      </c>
      <c r="D432" s="485" t="s">
        <v>899</v>
      </c>
      <c r="E432" s="485" t="s">
        <v>545</v>
      </c>
      <c r="F432" s="482">
        <v>60</v>
      </c>
      <c r="G432" s="468">
        <v>14.21146013360571</v>
      </c>
      <c r="H432" s="479">
        <v>852.68760801634266</v>
      </c>
      <c r="I432" s="480" t="s">
        <v>9009</v>
      </c>
      <c r="J432" s="468" t="s">
        <v>9011</v>
      </c>
      <c r="K432" s="468" t="s">
        <v>9068</v>
      </c>
      <c r="L432" s="468" t="s">
        <v>541</v>
      </c>
    </row>
    <row r="433" spans="1:12" x14ac:dyDescent="0.25">
      <c r="A433" s="485" t="s">
        <v>220</v>
      </c>
      <c r="B433" s="485" t="s">
        <v>588</v>
      </c>
      <c r="C433" s="485" t="s">
        <v>900</v>
      </c>
      <c r="D433" s="485" t="s">
        <v>901</v>
      </c>
      <c r="E433" s="485" t="s">
        <v>545</v>
      </c>
      <c r="F433" s="482">
        <v>100</v>
      </c>
      <c r="G433" s="468">
        <v>12.246265453746195</v>
      </c>
      <c r="H433" s="479">
        <v>1224.6265453746196</v>
      </c>
      <c r="I433" s="480" t="s">
        <v>9009</v>
      </c>
      <c r="J433" s="468" t="s">
        <v>9011</v>
      </c>
      <c r="K433" s="468" t="s">
        <v>9068</v>
      </c>
      <c r="L433" s="468" t="s">
        <v>541</v>
      </c>
    </row>
    <row r="434" spans="1:12" x14ac:dyDescent="0.25">
      <c r="A434" s="485" t="s">
        <v>220</v>
      </c>
      <c r="B434" s="485" t="s">
        <v>588</v>
      </c>
      <c r="C434" s="485" t="s">
        <v>902</v>
      </c>
      <c r="D434" s="485" t="s">
        <v>903</v>
      </c>
      <c r="E434" s="485" t="s">
        <v>545</v>
      </c>
      <c r="F434" s="482">
        <v>601</v>
      </c>
      <c r="G434" s="468">
        <v>8.2255219304087159</v>
      </c>
      <c r="H434" s="479">
        <v>4943.5386801756385</v>
      </c>
      <c r="I434" s="480" t="s">
        <v>9009</v>
      </c>
      <c r="J434" s="468" t="s">
        <v>9011</v>
      </c>
      <c r="K434" s="468" t="s">
        <v>9068</v>
      </c>
      <c r="L434" s="468" t="s">
        <v>541</v>
      </c>
    </row>
    <row r="435" spans="1:12" x14ac:dyDescent="0.25">
      <c r="A435" s="485" t="s">
        <v>220</v>
      </c>
      <c r="B435" s="485" t="s">
        <v>588</v>
      </c>
      <c r="C435" s="485" t="s">
        <v>813</v>
      </c>
      <c r="D435" s="485" t="s">
        <v>904</v>
      </c>
      <c r="E435" s="485" t="s">
        <v>545</v>
      </c>
      <c r="F435" s="482">
        <v>1615</v>
      </c>
      <c r="G435" s="468">
        <v>8.3328387556776438</v>
      </c>
      <c r="H435" s="479">
        <v>13457.534590419395</v>
      </c>
      <c r="I435" s="480" t="s">
        <v>9009</v>
      </c>
      <c r="J435" s="468" t="s">
        <v>9011</v>
      </c>
      <c r="K435" s="468" t="s">
        <v>9068</v>
      </c>
      <c r="L435" s="468" t="s">
        <v>541</v>
      </c>
    </row>
    <row r="436" spans="1:12" x14ac:dyDescent="0.25">
      <c r="A436" s="485" t="s">
        <v>220</v>
      </c>
      <c r="B436" s="485" t="s">
        <v>588</v>
      </c>
      <c r="C436" s="485" t="s">
        <v>905</v>
      </c>
      <c r="D436" s="485" t="s">
        <v>906</v>
      </c>
      <c r="E436" s="485" t="s">
        <v>545</v>
      </c>
      <c r="F436" s="482">
        <v>384</v>
      </c>
      <c r="G436" s="468">
        <v>6.8624613913190524</v>
      </c>
      <c r="H436" s="479">
        <v>2635.1851742665162</v>
      </c>
      <c r="I436" s="480" t="s">
        <v>9009</v>
      </c>
      <c r="J436" s="468" t="s">
        <v>9011</v>
      </c>
      <c r="K436" s="468" t="s">
        <v>9068</v>
      </c>
      <c r="L436" s="468" t="s">
        <v>541</v>
      </c>
    </row>
    <row r="437" spans="1:12" x14ac:dyDescent="0.25">
      <c r="A437" s="485" t="s">
        <v>220</v>
      </c>
      <c r="B437" s="485" t="s">
        <v>588</v>
      </c>
      <c r="C437" s="485" t="s">
        <v>907</v>
      </c>
      <c r="D437" s="485" t="s">
        <v>908</v>
      </c>
      <c r="E437" s="485" t="s">
        <v>545</v>
      </c>
      <c r="F437" s="482">
        <v>104</v>
      </c>
      <c r="G437" s="468">
        <v>36.09955101660929</v>
      </c>
      <c r="H437" s="479">
        <v>3754.3533057273662</v>
      </c>
      <c r="I437" s="480" t="s">
        <v>9009</v>
      </c>
      <c r="J437" s="468" t="s">
        <v>9011</v>
      </c>
      <c r="K437" s="468" t="s">
        <v>9068</v>
      </c>
      <c r="L437" s="468" t="s">
        <v>541</v>
      </c>
    </row>
    <row r="438" spans="1:12" x14ac:dyDescent="0.25">
      <c r="A438" s="485" t="s">
        <v>220</v>
      </c>
      <c r="B438" s="485" t="s">
        <v>588</v>
      </c>
      <c r="C438" s="485" t="s">
        <v>909</v>
      </c>
      <c r="D438" s="485" t="s">
        <v>910</v>
      </c>
      <c r="E438" s="485" t="s">
        <v>545</v>
      </c>
      <c r="F438" s="482">
        <v>800</v>
      </c>
      <c r="G438" s="468">
        <v>5.3465483171323109</v>
      </c>
      <c r="H438" s="479">
        <v>4277.2386537058492</v>
      </c>
      <c r="I438" s="480" t="s">
        <v>9009</v>
      </c>
      <c r="J438" s="468" t="s">
        <v>9011</v>
      </c>
      <c r="K438" s="468" t="s">
        <v>9068</v>
      </c>
      <c r="L438" s="468" t="s">
        <v>541</v>
      </c>
    </row>
    <row r="439" spans="1:12" x14ac:dyDescent="0.25">
      <c r="A439" s="485" t="s">
        <v>220</v>
      </c>
      <c r="B439" s="485" t="s">
        <v>588</v>
      </c>
      <c r="C439" s="485" t="s">
        <v>911</v>
      </c>
      <c r="D439" s="485" t="s">
        <v>912</v>
      </c>
      <c r="E439" s="485" t="s">
        <v>545</v>
      </c>
      <c r="F439" s="482">
        <v>444</v>
      </c>
      <c r="G439" s="468">
        <v>5.6279861703687351</v>
      </c>
      <c r="H439" s="479">
        <v>2498.8258596437186</v>
      </c>
      <c r="I439" s="480" t="s">
        <v>9009</v>
      </c>
      <c r="J439" s="468" t="s">
        <v>9011</v>
      </c>
      <c r="K439" s="468" t="s">
        <v>9068</v>
      </c>
      <c r="L439" s="468" t="s">
        <v>541</v>
      </c>
    </row>
    <row r="440" spans="1:12" x14ac:dyDescent="0.25">
      <c r="A440" s="485" t="s">
        <v>220</v>
      </c>
      <c r="B440" s="485" t="s">
        <v>588</v>
      </c>
      <c r="C440" s="485" t="s">
        <v>913</v>
      </c>
      <c r="D440" s="485" t="s">
        <v>914</v>
      </c>
      <c r="E440" s="485" t="s">
        <v>545</v>
      </c>
      <c r="F440" s="482">
        <v>190</v>
      </c>
      <c r="G440" s="468">
        <v>5.854190761007608</v>
      </c>
      <c r="H440" s="479">
        <v>1112.2962445914454</v>
      </c>
      <c r="I440" s="480" t="s">
        <v>9009</v>
      </c>
      <c r="J440" s="468" t="s">
        <v>9011</v>
      </c>
      <c r="K440" s="468" t="s">
        <v>9068</v>
      </c>
      <c r="L440" s="468" t="s">
        <v>541</v>
      </c>
    </row>
    <row r="441" spans="1:12" x14ac:dyDescent="0.25">
      <c r="A441" s="485" t="s">
        <v>220</v>
      </c>
      <c r="B441" s="485" t="s">
        <v>588</v>
      </c>
      <c r="C441" s="485" t="s">
        <v>915</v>
      </c>
      <c r="D441" s="485" t="s">
        <v>916</v>
      </c>
      <c r="E441" s="485" t="s">
        <v>545</v>
      </c>
      <c r="F441" s="482">
        <v>880</v>
      </c>
      <c r="G441" s="468">
        <v>7.4250694049188937</v>
      </c>
      <c r="H441" s="479">
        <v>6534.0610763286268</v>
      </c>
      <c r="I441" s="480" t="s">
        <v>9009</v>
      </c>
      <c r="J441" s="468" t="s">
        <v>9011</v>
      </c>
      <c r="K441" s="468" t="s">
        <v>9068</v>
      </c>
      <c r="L441" s="468" t="s">
        <v>541</v>
      </c>
    </row>
    <row r="442" spans="1:12" x14ac:dyDescent="0.25">
      <c r="A442" s="485" t="s">
        <v>220</v>
      </c>
      <c r="B442" s="485" t="s">
        <v>588</v>
      </c>
      <c r="C442" s="485" t="s">
        <v>917</v>
      </c>
      <c r="D442" s="485" t="s">
        <v>918</v>
      </c>
      <c r="E442" s="485" t="s">
        <v>545</v>
      </c>
      <c r="F442" s="482">
        <v>229</v>
      </c>
      <c r="G442" s="468">
        <v>4.5909629006197479</v>
      </c>
      <c r="H442" s="479">
        <v>1051.3305042419222</v>
      </c>
      <c r="I442" s="480" t="s">
        <v>9009</v>
      </c>
      <c r="J442" s="468" t="s">
        <v>9011</v>
      </c>
      <c r="K442" s="468" t="s">
        <v>9068</v>
      </c>
      <c r="L442" s="468" t="s">
        <v>541</v>
      </c>
    </row>
    <row r="443" spans="1:12" x14ac:dyDescent="0.25">
      <c r="A443" s="485" t="s">
        <v>220</v>
      </c>
      <c r="B443" s="485" t="s">
        <v>588</v>
      </c>
      <c r="C443" s="485" t="s">
        <v>921</v>
      </c>
      <c r="D443" s="485" t="s">
        <v>922</v>
      </c>
      <c r="E443" s="485" t="s">
        <v>545</v>
      </c>
      <c r="F443" s="482">
        <v>2502</v>
      </c>
      <c r="G443" s="468">
        <v>4.4514939447333353</v>
      </c>
      <c r="H443" s="479">
        <v>11137.637849722805</v>
      </c>
      <c r="I443" s="480" t="s">
        <v>9009</v>
      </c>
      <c r="J443" s="468" t="s">
        <v>9011</v>
      </c>
      <c r="K443" s="468" t="s">
        <v>9068</v>
      </c>
      <c r="L443" s="468" t="s">
        <v>541</v>
      </c>
    </row>
    <row r="444" spans="1:12" x14ac:dyDescent="0.25">
      <c r="A444" s="485" t="s">
        <v>220</v>
      </c>
      <c r="B444" s="485" t="s">
        <v>588</v>
      </c>
      <c r="C444" s="485" t="s">
        <v>923</v>
      </c>
      <c r="D444" s="485" t="s">
        <v>924</v>
      </c>
      <c r="E444" s="485" t="s">
        <v>545</v>
      </c>
      <c r="F444" s="482">
        <v>33</v>
      </c>
      <c r="G444" s="468">
        <v>1.8058866423822733</v>
      </c>
      <c r="H444" s="479">
        <v>59.594259198615021</v>
      </c>
      <c r="I444" s="480" t="s">
        <v>9009</v>
      </c>
      <c r="J444" s="468" t="s">
        <v>9011</v>
      </c>
      <c r="K444" s="468" t="s">
        <v>9068</v>
      </c>
      <c r="L444" s="468" t="s">
        <v>541</v>
      </c>
    </row>
    <row r="445" spans="1:12" x14ac:dyDescent="0.25">
      <c r="A445" s="485" t="s">
        <v>220</v>
      </c>
      <c r="B445" s="485" t="s">
        <v>588</v>
      </c>
      <c r="C445" s="485" t="s">
        <v>925</v>
      </c>
      <c r="D445" s="485" t="s">
        <v>926</v>
      </c>
      <c r="E445" s="485" t="s">
        <v>545</v>
      </c>
      <c r="F445" s="482">
        <v>100</v>
      </c>
      <c r="G445" s="468">
        <v>1.6838572466932886</v>
      </c>
      <c r="H445" s="479">
        <v>168.38572466932885</v>
      </c>
      <c r="I445" s="480" t="s">
        <v>9009</v>
      </c>
      <c r="J445" s="468" t="s">
        <v>9011</v>
      </c>
      <c r="K445" s="468" t="s">
        <v>9068</v>
      </c>
      <c r="L445" s="468" t="s">
        <v>541</v>
      </c>
    </row>
    <row r="446" spans="1:12" x14ac:dyDescent="0.25">
      <c r="A446" s="485" t="s">
        <v>220</v>
      </c>
      <c r="B446" s="485" t="s">
        <v>588</v>
      </c>
      <c r="C446" s="485" t="s">
        <v>927</v>
      </c>
      <c r="D446" s="485" t="s">
        <v>928</v>
      </c>
      <c r="E446" s="485" t="s">
        <v>545</v>
      </c>
      <c r="F446" s="482">
        <v>166</v>
      </c>
      <c r="G446" s="468">
        <v>1.7375056995890412</v>
      </c>
      <c r="H446" s="479">
        <v>288.42594613178085</v>
      </c>
      <c r="I446" s="480" t="s">
        <v>9009</v>
      </c>
      <c r="J446" s="468" t="s">
        <v>9011</v>
      </c>
      <c r="K446" s="468" t="s">
        <v>9068</v>
      </c>
      <c r="L446" s="468" t="s">
        <v>541</v>
      </c>
    </row>
    <row r="447" spans="1:12" x14ac:dyDescent="0.25">
      <c r="A447" s="485" t="s">
        <v>220</v>
      </c>
      <c r="B447" s="485" t="s">
        <v>588</v>
      </c>
      <c r="C447" s="485" t="s">
        <v>929</v>
      </c>
      <c r="D447" s="485" t="s">
        <v>930</v>
      </c>
      <c r="E447" s="485" t="s">
        <v>545</v>
      </c>
      <c r="F447" s="482">
        <v>2400</v>
      </c>
      <c r="G447" s="468">
        <v>3.1509544104832674</v>
      </c>
      <c r="H447" s="479">
        <v>7562.2905851598416</v>
      </c>
      <c r="I447" s="480" t="s">
        <v>9009</v>
      </c>
      <c r="J447" s="468" t="s">
        <v>9011</v>
      </c>
      <c r="K447" s="468" t="s">
        <v>9068</v>
      </c>
      <c r="L447" s="468" t="s">
        <v>541</v>
      </c>
    </row>
    <row r="448" spans="1:12" x14ac:dyDescent="0.25">
      <c r="A448" s="485" t="s">
        <v>220</v>
      </c>
      <c r="B448" s="485" t="s">
        <v>588</v>
      </c>
      <c r="C448" s="485" t="s">
        <v>931</v>
      </c>
      <c r="D448" s="485" t="s">
        <v>932</v>
      </c>
      <c r="E448" s="485" t="s">
        <v>545</v>
      </c>
      <c r="F448" s="482">
        <v>600</v>
      </c>
      <c r="G448" s="468">
        <v>3.1509544104832674</v>
      </c>
      <c r="H448" s="479">
        <v>1890.5726462899604</v>
      </c>
      <c r="I448" s="480" t="s">
        <v>9009</v>
      </c>
      <c r="J448" s="468" t="s">
        <v>9011</v>
      </c>
      <c r="K448" s="468" t="s">
        <v>9068</v>
      </c>
      <c r="L448" s="468" t="s">
        <v>541</v>
      </c>
    </row>
    <row r="449" spans="1:12" x14ac:dyDescent="0.25">
      <c r="A449" s="485" t="s">
        <v>220</v>
      </c>
      <c r="B449" s="485" t="s">
        <v>588</v>
      </c>
      <c r="C449" s="485" t="s">
        <v>933</v>
      </c>
      <c r="D449" s="485" t="s">
        <v>934</v>
      </c>
      <c r="E449" s="485" t="s">
        <v>545</v>
      </c>
      <c r="F449" s="482">
        <v>126</v>
      </c>
      <c r="G449" s="468">
        <v>3.587914531954393</v>
      </c>
      <c r="H449" s="479">
        <v>452.07723102625351</v>
      </c>
      <c r="I449" s="480" t="s">
        <v>9009</v>
      </c>
      <c r="J449" s="468" t="s">
        <v>9011</v>
      </c>
      <c r="K449" s="468" t="s">
        <v>9068</v>
      </c>
      <c r="L449" s="468" t="s">
        <v>541</v>
      </c>
    </row>
    <row r="450" spans="1:12" x14ac:dyDescent="0.25">
      <c r="A450" s="485" t="s">
        <v>220</v>
      </c>
      <c r="B450" s="485" t="s">
        <v>588</v>
      </c>
      <c r="C450" s="485" t="s">
        <v>935</v>
      </c>
      <c r="D450" s="485" t="s">
        <v>936</v>
      </c>
      <c r="E450" s="485" t="s">
        <v>545</v>
      </c>
      <c r="F450" s="482">
        <v>112</v>
      </c>
      <c r="G450" s="468">
        <v>3.6576161250341985</v>
      </c>
      <c r="H450" s="479">
        <v>409.65300600383023</v>
      </c>
      <c r="I450" s="480" t="s">
        <v>9009</v>
      </c>
      <c r="J450" s="468" t="s">
        <v>9011</v>
      </c>
      <c r="K450" s="468" t="s">
        <v>9068</v>
      </c>
      <c r="L450" s="468" t="s">
        <v>541</v>
      </c>
    </row>
    <row r="451" spans="1:12" x14ac:dyDescent="0.25">
      <c r="A451" s="485" t="s">
        <v>220</v>
      </c>
      <c r="B451" s="485" t="s">
        <v>588</v>
      </c>
      <c r="C451" s="485" t="s">
        <v>937</v>
      </c>
      <c r="D451" s="485" t="s">
        <v>938</v>
      </c>
      <c r="E451" s="485" t="s">
        <v>545</v>
      </c>
      <c r="F451" s="482">
        <v>5969</v>
      </c>
      <c r="G451" s="468">
        <v>3.9316464368815778</v>
      </c>
      <c r="H451" s="479">
        <v>23467.997581746138</v>
      </c>
      <c r="I451" s="480" t="s">
        <v>9009</v>
      </c>
      <c r="J451" s="468" t="s">
        <v>9011</v>
      </c>
      <c r="K451" s="468" t="s">
        <v>9068</v>
      </c>
      <c r="L451" s="468" t="s">
        <v>541</v>
      </c>
    </row>
    <row r="452" spans="1:12" x14ac:dyDescent="0.25">
      <c r="A452" s="485" t="s">
        <v>220</v>
      </c>
      <c r="B452" s="485" t="s">
        <v>588</v>
      </c>
      <c r="C452" s="485" t="s">
        <v>939</v>
      </c>
      <c r="D452" s="485" t="s">
        <v>940</v>
      </c>
      <c r="E452" s="485" t="s">
        <v>545</v>
      </c>
      <c r="F452" s="482">
        <v>5208</v>
      </c>
      <c r="G452" s="468">
        <v>4.0455078400798747</v>
      </c>
      <c r="H452" s="479">
        <v>21069.004831135986</v>
      </c>
      <c r="I452" s="480" t="s">
        <v>9009</v>
      </c>
      <c r="J452" s="468" t="s">
        <v>9011</v>
      </c>
      <c r="K452" s="468" t="s">
        <v>9068</v>
      </c>
      <c r="L452" s="468" t="s">
        <v>541</v>
      </c>
    </row>
    <row r="453" spans="1:12" x14ac:dyDescent="0.25">
      <c r="A453" s="485" t="s">
        <v>220</v>
      </c>
      <c r="B453" s="485" t="s">
        <v>588</v>
      </c>
      <c r="C453" s="485" t="s">
        <v>941</v>
      </c>
      <c r="D453" s="485" t="s">
        <v>942</v>
      </c>
      <c r="E453" s="485" t="s">
        <v>545</v>
      </c>
      <c r="F453" s="482">
        <v>182</v>
      </c>
      <c r="G453" s="468">
        <v>0.24200000000000002</v>
      </c>
      <c r="H453" s="479">
        <v>44.044000000000004</v>
      </c>
      <c r="I453" s="480" t="s">
        <v>9009</v>
      </c>
      <c r="J453" s="468" t="s">
        <v>9015</v>
      </c>
      <c r="K453" s="468" t="s">
        <v>9068</v>
      </c>
      <c r="L453" s="468" t="s">
        <v>541</v>
      </c>
    </row>
    <row r="454" spans="1:12" x14ac:dyDescent="0.25">
      <c r="A454" s="485" t="s">
        <v>220</v>
      </c>
      <c r="B454" s="485" t="s">
        <v>588</v>
      </c>
      <c r="C454" s="485" t="s">
        <v>943</v>
      </c>
      <c r="D454" s="485" t="s">
        <v>944</v>
      </c>
      <c r="E454" s="485" t="s">
        <v>545</v>
      </c>
      <c r="F454" s="482">
        <v>414</v>
      </c>
      <c r="G454" s="468">
        <v>4.8445442390232882</v>
      </c>
      <c r="H454" s="479">
        <v>2005.6413149556413</v>
      </c>
      <c r="I454" s="480" t="s">
        <v>9009</v>
      </c>
      <c r="J454" s="468" t="s">
        <v>9011</v>
      </c>
      <c r="K454" s="468" t="s">
        <v>9068</v>
      </c>
      <c r="L454" s="468" t="s">
        <v>541</v>
      </c>
    </row>
    <row r="455" spans="1:12" x14ac:dyDescent="0.25">
      <c r="A455" s="485" t="s">
        <v>220</v>
      </c>
      <c r="B455" s="485" t="s">
        <v>588</v>
      </c>
      <c r="C455" s="485" t="s">
        <v>945</v>
      </c>
      <c r="D455" s="485" t="s">
        <v>946</v>
      </c>
      <c r="E455" s="485" t="s">
        <v>545</v>
      </c>
      <c r="F455" s="482">
        <v>774</v>
      </c>
      <c r="G455" s="468">
        <v>4.07</v>
      </c>
      <c r="H455" s="479">
        <v>3150.1800000000003</v>
      </c>
      <c r="I455" s="480" t="s">
        <v>9009</v>
      </c>
      <c r="J455" s="468" t="s">
        <v>9011</v>
      </c>
      <c r="K455" s="468" t="s">
        <v>9068</v>
      </c>
      <c r="L455" s="468" t="s">
        <v>541</v>
      </c>
    </row>
    <row r="456" spans="1:12" x14ac:dyDescent="0.25">
      <c r="A456" s="485" t="s">
        <v>220</v>
      </c>
      <c r="B456" s="485" t="s">
        <v>588</v>
      </c>
      <c r="C456" s="485" t="s">
        <v>947</v>
      </c>
      <c r="D456" s="485" t="s">
        <v>948</v>
      </c>
      <c r="E456" s="485" t="s">
        <v>545</v>
      </c>
      <c r="F456" s="482">
        <v>51</v>
      </c>
      <c r="G456" s="468">
        <v>5.2794782884201883</v>
      </c>
      <c r="H456" s="479">
        <v>269.25339270942959</v>
      </c>
      <c r="I456" s="480" t="s">
        <v>9009</v>
      </c>
      <c r="J456" s="468" t="s">
        <v>9011</v>
      </c>
      <c r="K456" s="468" t="s">
        <v>9068</v>
      </c>
      <c r="L456" s="468" t="s">
        <v>541</v>
      </c>
    </row>
    <row r="457" spans="1:12" x14ac:dyDescent="0.25">
      <c r="A457" s="485" t="s">
        <v>220</v>
      </c>
      <c r="B457" s="485" t="s">
        <v>588</v>
      </c>
      <c r="C457" s="485" t="s">
        <v>949</v>
      </c>
      <c r="D457" s="485" t="s">
        <v>950</v>
      </c>
      <c r="E457" s="485" t="s">
        <v>545</v>
      </c>
      <c r="F457" s="482">
        <v>2560</v>
      </c>
      <c r="G457" s="468">
        <v>4.6089807827158351</v>
      </c>
      <c r="H457" s="479">
        <v>11798.990803752538</v>
      </c>
      <c r="I457" s="480" t="s">
        <v>9009</v>
      </c>
      <c r="J457" s="468" t="s">
        <v>9011</v>
      </c>
      <c r="K457" s="468" t="s">
        <v>9068</v>
      </c>
      <c r="L457" s="468" t="s">
        <v>541</v>
      </c>
    </row>
    <row r="458" spans="1:12" x14ac:dyDescent="0.25">
      <c r="A458" s="485" t="s">
        <v>220</v>
      </c>
      <c r="B458" s="485" t="s">
        <v>588</v>
      </c>
      <c r="C458" s="485" t="s">
        <v>951</v>
      </c>
      <c r="D458" s="485" t="s">
        <v>952</v>
      </c>
      <c r="E458" s="485" t="s">
        <v>545</v>
      </c>
      <c r="F458" s="482">
        <v>449</v>
      </c>
      <c r="G458" s="468">
        <v>4.803858124576502</v>
      </c>
      <c r="H458" s="479">
        <v>2156.9322979348494</v>
      </c>
      <c r="I458" s="480" t="s">
        <v>9009</v>
      </c>
      <c r="J458" s="468" t="s">
        <v>9011</v>
      </c>
      <c r="K458" s="468" t="s">
        <v>9068</v>
      </c>
      <c r="L458" s="468" t="s">
        <v>541</v>
      </c>
    </row>
    <row r="459" spans="1:12" x14ac:dyDescent="0.25">
      <c r="A459" s="485" t="s">
        <v>220</v>
      </c>
      <c r="B459" s="485" t="s">
        <v>588</v>
      </c>
      <c r="C459" s="485" t="s">
        <v>953</v>
      </c>
      <c r="D459" s="485" t="s">
        <v>954</v>
      </c>
      <c r="E459" s="485" t="s">
        <v>545</v>
      </c>
      <c r="F459" s="482">
        <v>21004</v>
      </c>
      <c r="G459" s="468">
        <v>4.4752385734609357</v>
      </c>
      <c r="H459" s="479">
        <v>93997.9109969735</v>
      </c>
      <c r="I459" s="480" t="s">
        <v>9009</v>
      </c>
      <c r="J459" s="468" t="s">
        <v>9011</v>
      </c>
      <c r="K459" s="468" t="s">
        <v>9068</v>
      </c>
      <c r="L459" s="468" t="s">
        <v>541</v>
      </c>
    </row>
    <row r="460" spans="1:12" x14ac:dyDescent="0.25">
      <c r="A460" s="485" t="s">
        <v>220</v>
      </c>
      <c r="B460" s="485" t="s">
        <v>588</v>
      </c>
      <c r="C460" s="485" t="s">
        <v>955</v>
      </c>
      <c r="D460" s="485" t="s">
        <v>956</v>
      </c>
      <c r="E460" s="485" t="s">
        <v>545</v>
      </c>
      <c r="F460" s="482">
        <v>6432</v>
      </c>
      <c r="G460" s="468">
        <v>4.3893574056383295</v>
      </c>
      <c r="H460" s="479">
        <v>28232.346833065734</v>
      </c>
      <c r="I460" s="480" t="s">
        <v>9009</v>
      </c>
      <c r="J460" s="468" t="s">
        <v>9011</v>
      </c>
      <c r="K460" s="468" t="s">
        <v>9068</v>
      </c>
      <c r="L460" s="468" t="s">
        <v>541</v>
      </c>
    </row>
    <row r="461" spans="1:12" x14ac:dyDescent="0.25">
      <c r="A461" s="485" t="s">
        <v>220</v>
      </c>
      <c r="B461" s="485" t="s">
        <v>588</v>
      </c>
      <c r="C461" s="485" t="s">
        <v>957</v>
      </c>
      <c r="D461" s="485" t="s">
        <v>958</v>
      </c>
      <c r="E461" s="485" t="s">
        <v>545</v>
      </c>
      <c r="F461" s="482">
        <v>2533</v>
      </c>
      <c r="G461" s="468">
        <v>4.3222877881831794</v>
      </c>
      <c r="H461" s="479">
        <v>10948.354967467993</v>
      </c>
      <c r="I461" s="480" t="s">
        <v>9009</v>
      </c>
      <c r="J461" s="468" t="s">
        <v>9011</v>
      </c>
      <c r="K461" s="468" t="s">
        <v>9068</v>
      </c>
      <c r="L461" s="468" t="s">
        <v>541</v>
      </c>
    </row>
    <row r="462" spans="1:12" x14ac:dyDescent="0.25">
      <c r="A462" s="485" t="s">
        <v>220</v>
      </c>
      <c r="B462" s="485" t="s">
        <v>588</v>
      </c>
      <c r="C462" s="485" t="s">
        <v>959</v>
      </c>
      <c r="D462" s="485" t="s">
        <v>960</v>
      </c>
      <c r="E462" s="485" t="s">
        <v>545</v>
      </c>
      <c r="F462" s="482">
        <v>16027</v>
      </c>
      <c r="G462" s="468">
        <v>4.8473673058411544</v>
      </c>
      <c r="H462" s="479">
        <v>77688.755810716175</v>
      </c>
      <c r="I462" s="480" t="s">
        <v>9009</v>
      </c>
      <c r="J462" s="468" t="s">
        <v>9011</v>
      </c>
      <c r="K462" s="468" t="s">
        <v>9068</v>
      </c>
      <c r="L462" s="468" t="s">
        <v>541</v>
      </c>
    </row>
    <row r="463" spans="1:12" x14ac:dyDescent="0.25">
      <c r="A463" s="485" t="s">
        <v>220</v>
      </c>
      <c r="B463" s="485" t="s">
        <v>588</v>
      </c>
      <c r="C463" s="485" t="s">
        <v>961</v>
      </c>
      <c r="D463" s="485" t="s">
        <v>962</v>
      </c>
      <c r="E463" s="485" t="s">
        <v>545</v>
      </c>
      <c r="F463" s="482">
        <v>271</v>
      </c>
      <c r="G463" s="468">
        <v>4.9036150838996004</v>
      </c>
      <c r="H463" s="479">
        <v>1328.8796877367918</v>
      </c>
      <c r="I463" s="480" t="s">
        <v>9009</v>
      </c>
      <c r="J463" s="468" t="s">
        <v>9011</v>
      </c>
      <c r="K463" s="468" t="s">
        <v>9068</v>
      </c>
      <c r="L463" s="468" t="s">
        <v>541</v>
      </c>
    </row>
    <row r="464" spans="1:12" x14ac:dyDescent="0.25">
      <c r="A464" s="485" t="s">
        <v>220</v>
      </c>
      <c r="B464" s="485" t="s">
        <v>588</v>
      </c>
      <c r="C464" s="485" t="s">
        <v>963</v>
      </c>
      <c r="D464" s="485" t="s">
        <v>964</v>
      </c>
      <c r="E464" s="485" t="s">
        <v>545</v>
      </c>
      <c r="F464" s="482">
        <v>1435</v>
      </c>
      <c r="G464" s="468">
        <v>3.2293108743729602</v>
      </c>
      <c r="H464" s="479">
        <v>4634.0611047251978</v>
      </c>
      <c r="I464" s="480" t="s">
        <v>9009</v>
      </c>
      <c r="J464" s="468" t="s">
        <v>9011</v>
      </c>
      <c r="K464" s="468" t="s">
        <v>9068</v>
      </c>
      <c r="L464" s="468" t="s">
        <v>541</v>
      </c>
    </row>
    <row r="465" spans="1:12" x14ac:dyDescent="0.25">
      <c r="A465" s="485" t="s">
        <v>220</v>
      </c>
      <c r="B465" s="485" t="s">
        <v>588</v>
      </c>
      <c r="C465" s="485" t="s">
        <v>965</v>
      </c>
      <c r="D465" s="485" t="s">
        <v>966</v>
      </c>
      <c r="E465" s="485" t="s">
        <v>545</v>
      </c>
      <c r="F465" s="482">
        <v>384</v>
      </c>
      <c r="G465" s="468">
        <v>5.5569070193330568</v>
      </c>
      <c r="H465" s="479">
        <v>2133.8522954238938</v>
      </c>
      <c r="I465" s="480" t="s">
        <v>9009</v>
      </c>
      <c r="J465" s="468" t="s">
        <v>9011</v>
      </c>
      <c r="K465" s="468" t="s">
        <v>9068</v>
      </c>
      <c r="L465" s="468" t="s">
        <v>541</v>
      </c>
    </row>
    <row r="466" spans="1:12" x14ac:dyDescent="0.25">
      <c r="A466" s="485" t="s">
        <v>220</v>
      </c>
      <c r="B466" s="485" t="s">
        <v>588</v>
      </c>
      <c r="C466" s="485" t="s">
        <v>967</v>
      </c>
      <c r="D466" s="485" t="s">
        <v>968</v>
      </c>
      <c r="E466" s="485" t="s">
        <v>545</v>
      </c>
      <c r="F466" s="482">
        <v>3500</v>
      </c>
      <c r="G466" s="468">
        <v>4.8250600596433681</v>
      </c>
      <c r="H466" s="479">
        <v>16887.710208751789</v>
      </c>
      <c r="I466" s="480" t="s">
        <v>9009</v>
      </c>
      <c r="J466" s="468" t="s">
        <v>9011</v>
      </c>
      <c r="K466" s="468" t="s">
        <v>9068</v>
      </c>
      <c r="L466" s="468" t="s">
        <v>541</v>
      </c>
    </row>
    <row r="467" spans="1:12" x14ac:dyDescent="0.25">
      <c r="A467" s="485" t="s">
        <v>220</v>
      </c>
      <c r="B467" s="485" t="s">
        <v>588</v>
      </c>
      <c r="C467" s="485" t="s">
        <v>969</v>
      </c>
      <c r="D467" s="485" t="s">
        <v>970</v>
      </c>
      <c r="E467" s="485" t="s">
        <v>545</v>
      </c>
      <c r="F467" s="482">
        <v>9714</v>
      </c>
      <c r="G467" s="468">
        <v>4.6029109337060783</v>
      </c>
      <c r="H467" s="479">
        <v>44712.676810020843</v>
      </c>
      <c r="I467" s="480" t="s">
        <v>9009</v>
      </c>
      <c r="J467" s="468" t="s">
        <v>9011</v>
      </c>
      <c r="K467" s="468" t="s">
        <v>9068</v>
      </c>
      <c r="L467" s="468" t="s">
        <v>541</v>
      </c>
    </row>
    <row r="468" spans="1:12" x14ac:dyDescent="0.25">
      <c r="A468" s="485" t="s">
        <v>220</v>
      </c>
      <c r="B468" s="485" t="s">
        <v>588</v>
      </c>
      <c r="C468" s="485" t="s">
        <v>971</v>
      </c>
      <c r="D468" s="485" t="s">
        <v>972</v>
      </c>
      <c r="E468" s="485" t="s">
        <v>545</v>
      </c>
      <c r="F468" s="482">
        <v>10636</v>
      </c>
      <c r="G468" s="468">
        <v>4.9620482233337002</v>
      </c>
      <c r="H468" s="479">
        <v>52776.344903377234</v>
      </c>
      <c r="I468" s="480" t="s">
        <v>9009</v>
      </c>
      <c r="J468" s="468" t="s">
        <v>9011</v>
      </c>
      <c r="K468" s="468" t="s">
        <v>9068</v>
      </c>
      <c r="L468" s="468" t="s">
        <v>541</v>
      </c>
    </row>
    <row r="469" spans="1:12" x14ac:dyDescent="0.25">
      <c r="A469" s="485" t="s">
        <v>220</v>
      </c>
      <c r="B469" s="485" t="s">
        <v>588</v>
      </c>
      <c r="C469" s="485" t="s">
        <v>973</v>
      </c>
      <c r="D469" s="485" t="s">
        <v>974</v>
      </c>
      <c r="E469" s="485" t="s">
        <v>545</v>
      </c>
      <c r="F469" s="482">
        <v>35</v>
      </c>
      <c r="G469" s="468">
        <v>6.2201157594826944</v>
      </c>
      <c r="H469" s="479">
        <v>217.7040515818943</v>
      </c>
      <c r="I469" s="480" t="s">
        <v>9009</v>
      </c>
      <c r="J469" s="468" t="s">
        <v>9011</v>
      </c>
      <c r="K469" s="468" t="s">
        <v>9068</v>
      </c>
      <c r="L469" s="468" t="s">
        <v>541</v>
      </c>
    </row>
    <row r="470" spans="1:12" x14ac:dyDescent="0.25">
      <c r="A470" s="485" t="s">
        <v>220</v>
      </c>
      <c r="B470" s="485" t="s">
        <v>588</v>
      </c>
      <c r="C470" s="485" t="s">
        <v>975</v>
      </c>
      <c r="D470" s="485" t="s">
        <v>976</v>
      </c>
      <c r="E470" s="485" t="s">
        <v>545</v>
      </c>
      <c r="F470" s="482">
        <v>29</v>
      </c>
      <c r="G470" s="468">
        <v>5.5717188019478296</v>
      </c>
      <c r="H470" s="479">
        <v>161.57984525648706</v>
      </c>
      <c r="I470" s="480" t="s">
        <v>9009</v>
      </c>
      <c r="J470" s="468" t="s">
        <v>9011</v>
      </c>
      <c r="K470" s="468" t="s">
        <v>9068</v>
      </c>
      <c r="L470" s="468" t="s">
        <v>541</v>
      </c>
    </row>
    <row r="471" spans="1:12" x14ac:dyDescent="0.25">
      <c r="A471" s="485" t="s">
        <v>220</v>
      </c>
      <c r="B471" s="485" t="s">
        <v>588</v>
      </c>
      <c r="C471" s="485" t="s">
        <v>977</v>
      </c>
      <c r="D471" s="485" t="s">
        <v>978</v>
      </c>
      <c r="E471" s="485" t="s">
        <v>545</v>
      </c>
      <c r="F471" s="482">
        <v>44</v>
      </c>
      <c r="G471" s="468">
        <v>6.8493448357360753</v>
      </c>
      <c r="H471" s="479">
        <v>301.3711727723873</v>
      </c>
      <c r="I471" s="480" t="s">
        <v>9009</v>
      </c>
      <c r="J471" s="468" t="s">
        <v>9011</v>
      </c>
      <c r="K471" s="468" t="s">
        <v>9068</v>
      </c>
      <c r="L471" s="468" t="s">
        <v>541</v>
      </c>
    </row>
    <row r="472" spans="1:12" x14ac:dyDescent="0.25">
      <c r="A472" s="485" t="s">
        <v>220</v>
      </c>
      <c r="B472" s="485" t="s">
        <v>588</v>
      </c>
      <c r="C472" s="485" t="s">
        <v>979</v>
      </c>
      <c r="D472" s="485" t="s">
        <v>980</v>
      </c>
      <c r="E472" s="485" t="s">
        <v>545</v>
      </c>
      <c r="F472" s="482">
        <v>2412</v>
      </c>
      <c r="G472" s="468">
        <v>5.0414773035907157</v>
      </c>
      <c r="H472" s="479">
        <v>12160.043256260806</v>
      </c>
      <c r="I472" s="480" t="s">
        <v>9009</v>
      </c>
      <c r="J472" s="468" t="s">
        <v>9011</v>
      </c>
      <c r="K472" s="468" t="s">
        <v>9068</v>
      </c>
      <c r="L472" s="468" t="s">
        <v>541</v>
      </c>
    </row>
    <row r="473" spans="1:12" x14ac:dyDescent="0.25">
      <c r="A473" s="485" t="s">
        <v>220</v>
      </c>
      <c r="B473" s="485" t="s">
        <v>588</v>
      </c>
      <c r="C473" s="485" t="s">
        <v>981</v>
      </c>
      <c r="D473" s="485" t="s">
        <v>982</v>
      </c>
      <c r="E473" s="485" t="s">
        <v>545</v>
      </c>
      <c r="F473" s="482">
        <v>22176</v>
      </c>
      <c r="G473" s="468">
        <v>4.7084261795078524</v>
      </c>
      <c r="H473" s="479">
        <v>104414.05895676614</v>
      </c>
      <c r="I473" s="480" t="s">
        <v>9009</v>
      </c>
      <c r="J473" s="468" t="s">
        <v>9011</v>
      </c>
      <c r="K473" s="468" t="s">
        <v>9068</v>
      </c>
      <c r="L473" s="468" t="s">
        <v>541</v>
      </c>
    </row>
    <row r="474" spans="1:12" x14ac:dyDescent="0.25">
      <c r="A474" s="485" t="s">
        <v>220</v>
      </c>
      <c r="B474" s="485" t="s">
        <v>588</v>
      </c>
      <c r="C474" s="485" t="s">
        <v>983</v>
      </c>
      <c r="D474" s="485" t="s">
        <v>984</v>
      </c>
      <c r="E474" s="485" t="s">
        <v>545</v>
      </c>
      <c r="F474" s="482">
        <v>1520</v>
      </c>
      <c r="G474" s="468">
        <v>5.9459098552887735</v>
      </c>
      <c r="H474" s="479">
        <v>9037.7829800389354</v>
      </c>
      <c r="I474" s="480" t="s">
        <v>9009</v>
      </c>
      <c r="J474" s="468" t="s">
        <v>9011</v>
      </c>
      <c r="K474" s="468" t="s">
        <v>9068</v>
      </c>
      <c r="L474" s="468" t="s">
        <v>541</v>
      </c>
    </row>
    <row r="475" spans="1:12" x14ac:dyDescent="0.25">
      <c r="A475" s="485" t="s">
        <v>220</v>
      </c>
      <c r="B475" s="485" t="s">
        <v>588</v>
      </c>
      <c r="C475" s="485" t="s">
        <v>985</v>
      </c>
      <c r="D475" s="485" t="s">
        <v>986</v>
      </c>
      <c r="E475" s="485" t="s">
        <v>545</v>
      </c>
      <c r="F475" s="482">
        <v>6264</v>
      </c>
      <c r="G475" s="468">
        <v>5.9880505636578114</v>
      </c>
      <c r="H475" s="479">
        <v>37509.148730752531</v>
      </c>
      <c r="I475" s="480" t="s">
        <v>9009</v>
      </c>
      <c r="J475" s="468" t="s">
        <v>9011</v>
      </c>
      <c r="K475" s="468" t="s">
        <v>9068</v>
      </c>
      <c r="L475" s="468" t="s">
        <v>541</v>
      </c>
    </row>
    <row r="476" spans="1:12" x14ac:dyDescent="0.25">
      <c r="A476" s="485" t="s">
        <v>220</v>
      </c>
      <c r="B476" s="485" t="s">
        <v>588</v>
      </c>
      <c r="C476" s="485" t="s">
        <v>987</v>
      </c>
      <c r="D476" s="485" t="s">
        <v>988</v>
      </c>
      <c r="E476" s="485" t="s">
        <v>545</v>
      </c>
      <c r="F476" s="482">
        <v>1130</v>
      </c>
      <c r="G476" s="468">
        <v>0.45100000000000001</v>
      </c>
      <c r="H476" s="479">
        <v>509.63</v>
      </c>
      <c r="I476" s="480" t="s">
        <v>9009</v>
      </c>
      <c r="J476" s="468" t="s">
        <v>9015</v>
      </c>
      <c r="K476" s="468" t="s">
        <v>9068</v>
      </c>
      <c r="L476" s="468" t="s">
        <v>541</v>
      </c>
    </row>
    <row r="477" spans="1:12" x14ac:dyDescent="0.25">
      <c r="A477" s="485" t="s">
        <v>220</v>
      </c>
      <c r="B477" s="485" t="s">
        <v>588</v>
      </c>
      <c r="C477" s="485" t="s">
        <v>989</v>
      </c>
      <c r="D477" s="485" t="s">
        <v>990</v>
      </c>
      <c r="E477" s="485" t="s">
        <v>545</v>
      </c>
      <c r="F477" s="482">
        <v>27</v>
      </c>
      <c r="G477" s="468">
        <v>6.4735627942378278</v>
      </c>
      <c r="H477" s="479">
        <v>174.78619544442134</v>
      </c>
      <c r="I477" s="480" t="s">
        <v>9009</v>
      </c>
      <c r="J477" s="468" t="s">
        <v>9011</v>
      </c>
      <c r="K477" s="468" t="s">
        <v>9068</v>
      </c>
      <c r="L477" s="468" t="s">
        <v>541</v>
      </c>
    </row>
    <row r="478" spans="1:12" x14ac:dyDescent="0.25">
      <c r="A478" s="485" t="s">
        <v>220</v>
      </c>
      <c r="B478" s="485" t="s">
        <v>588</v>
      </c>
      <c r="C478" s="485" t="s">
        <v>991</v>
      </c>
      <c r="D478" s="485" t="s">
        <v>992</v>
      </c>
      <c r="E478" s="485" t="s">
        <v>545</v>
      </c>
      <c r="F478" s="482">
        <v>862</v>
      </c>
      <c r="G478" s="468">
        <v>4.2218079140908236</v>
      </c>
      <c r="H478" s="479">
        <v>3639.1984219462897</v>
      </c>
      <c r="I478" s="480" t="s">
        <v>9009</v>
      </c>
      <c r="J478" s="468" t="s">
        <v>9011</v>
      </c>
      <c r="K478" s="468" t="s">
        <v>9068</v>
      </c>
      <c r="L478" s="468" t="s">
        <v>541</v>
      </c>
    </row>
    <row r="479" spans="1:12" x14ac:dyDescent="0.25">
      <c r="A479" s="485" t="s">
        <v>220</v>
      </c>
      <c r="B479" s="485" t="s">
        <v>588</v>
      </c>
      <c r="C479" s="485" t="s">
        <v>993</v>
      </c>
      <c r="D479" s="485" t="s">
        <v>994</v>
      </c>
      <c r="E479" s="485" t="s">
        <v>545</v>
      </c>
      <c r="F479" s="482">
        <v>127</v>
      </c>
      <c r="G479" s="468">
        <v>3.6604320471050991</v>
      </c>
      <c r="H479" s="479">
        <v>464.8748699823476</v>
      </c>
      <c r="I479" s="480" t="s">
        <v>9009</v>
      </c>
      <c r="J479" s="468" t="s">
        <v>9011</v>
      </c>
      <c r="K479" s="468" t="s">
        <v>9068</v>
      </c>
      <c r="L479" s="468" t="s">
        <v>541</v>
      </c>
    </row>
    <row r="480" spans="1:12" x14ac:dyDescent="0.25">
      <c r="A480" s="485" t="s">
        <v>220</v>
      </c>
      <c r="B480" s="485" t="s">
        <v>588</v>
      </c>
      <c r="C480" s="485" t="s">
        <v>995</v>
      </c>
      <c r="D480" s="485" t="s">
        <v>996</v>
      </c>
      <c r="E480" s="485" t="s">
        <v>545</v>
      </c>
      <c r="F480" s="482">
        <v>916</v>
      </c>
      <c r="G480" s="468">
        <v>5.0516859086628108</v>
      </c>
      <c r="H480" s="479">
        <v>4627.3442923351349</v>
      </c>
      <c r="I480" s="480" t="s">
        <v>9009</v>
      </c>
      <c r="J480" s="468" t="s">
        <v>9011</v>
      </c>
      <c r="K480" s="468" t="s">
        <v>9068</v>
      </c>
      <c r="L480" s="468" t="s">
        <v>541</v>
      </c>
    </row>
    <row r="481" spans="1:12" x14ac:dyDescent="0.25">
      <c r="A481" s="485" t="s">
        <v>220</v>
      </c>
      <c r="B481" s="485" t="s">
        <v>588</v>
      </c>
      <c r="C481" s="485" t="s">
        <v>999</v>
      </c>
      <c r="D481" s="485" t="s">
        <v>1000</v>
      </c>
      <c r="E481" s="485" t="s">
        <v>545</v>
      </c>
      <c r="F481" s="482">
        <v>2970</v>
      </c>
      <c r="G481" s="468">
        <v>5.088898269844405</v>
      </c>
      <c r="H481" s="479">
        <v>15114.027861437882</v>
      </c>
      <c r="I481" s="480" t="s">
        <v>9009</v>
      </c>
      <c r="J481" s="468" t="s">
        <v>9011</v>
      </c>
      <c r="K481" s="468" t="s">
        <v>9068</v>
      </c>
      <c r="L481" s="468" t="s">
        <v>541</v>
      </c>
    </row>
    <row r="482" spans="1:12" x14ac:dyDescent="0.25">
      <c r="A482" s="485" t="s">
        <v>220</v>
      </c>
      <c r="B482" s="485" t="s">
        <v>588</v>
      </c>
      <c r="C482" s="485" t="s">
        <v>1001</v>
      </c>
      <c r="D482" s="485" t="s">
        <v>9137</v>
      </c>
      <c r="E482" s="485" t="s">
        <v>545</v>
      </c>
      <c r="F482" s="482">
        <v>32</v>
      </c>
      <c r="G482" s="468">
        <v>9.0035729357088083</v>
      </c>
      <c r="H482" s="479">
        <v>288.11433394268187</v>
      </c>
      <c r="I482" s="480" t="s">
        <v>9009</v>
      </c>
      <c r="J482" s="468" t="s">
        <v>9011</v>
      </c>
      <c r="K482" s="468" t="s">
        <v>9068</v>
      </c>
      <c r="L482" s="468" t="s">
        <v>541</v>
      </c>
    </row>
    <row r="483" spans="1:12" x14ac:dyDescent="0.25">
      <c r="A483" s="485" t="s">
        <v>220</v>
      </c>
      <c r="B483" s="485" t="s">
        <v>588</v>
      </c>
      <c r="C483" s="485" t="s">
        <v>819</v>
      </c>
      <c r="D483" s="485" t="s">
        <v>820</v>
      </c>
      <c r="E483" s="485" t="s">
        <v>545</v>
      </c>
      <c r="F483" s="482">
        <v>224</v>
      </c>
      <c r="G483" s="468">
        <v>3.1313794519336722</v>
      </c>
      <c r="H483" s="479">
        <v>701.42899723314258</v>
      </c>
      <c r="I483" s="480" t="s">
        <v>9009</v>
      </c>
      <c r="J483" s="468" t="s">
        <v>9011</v>
      </c>
      <c r="K483" s="468" t="s">
        <v>9068</v>
      </c>
      <c r="L483" s="468" t="s">
        <v>541</v>
      </c>
    </row>
    <row r="484" spans="1:12" x14ac:dyDescent="0.25">
      <c r="A484" s="485" t="s">
        <v>220</v>
      </c>
      <c r="B484" s="485" t="s">
        <v>588</v>
      </c>
      <c r="C484" s="485" t="s">
        <v>1003</v>
      </c>
      <c r="D484" s="485" t="s">
        <v>1004</v>
      </c>
      <c r="E484" s="485" t="s">
        <v>545</v>
      </c>
      <c r="F484" s="482">
        <v>241</v>
      </c>
      <c r="G484" s="468">
        <v>4.0065036896362285</v>
      </c>
      <c r="H484" s="479">
        <v>965.56738920233101</v>
      </c>
      <c r="I484" s="480" t="s">
        <v>9009</v>
      </c>
      <c r="J484" s="468" t="s">
        <v>9011</v>
      </c>
      <c r="K484" s="468" t="s">
        <v>9068</v>
      </c>
      <c r="L484" s="468" t="s">
        <v>541</v>
      </c>
    </row>
    <row r="485" spans="1:12" x14ac:dyDescent="0.25">
      <c r="A485" s="485" t="s">
        <v>220</v>
      </c>
      <c r="B485" s="485" t="s">
        <v>588</v>
      </c>
      <c r="C485" s="485" t="s">
        <v>1005</v>
      </c>
      <c r="D485" s="485" t="s">
        <v>1006</v>
      </c>
      <c r="E485" s="485" t="s">
        <v>545</v>
      </c>
      <c r="F485" s="482">
        <v>758</v>
      </c>
      <c r="G485" s="468">
        <v>3.0321303557388903</v>
      </c>
      <c r="H485" s="479">
        <v>2298.354809650079</v>
      </c>
      <c r="I485" s="480" t="s">
        <v>9009</v>
      </c>
      <c r="J485" s="468" t="s">
        <v>9011</v>
      </c>
      <c r="K485" s="468" t="s">
        <v>9068</v>
      </c>
      <c r="L485" s="468" t="s">
        <v>541</v>
      </c>
    </row>
    <row r="486" spans="1:12" x14ac:dyDescent="0.25">
      <c r="A486" s="485" t="s">
        <v>220</v>
      </c>
      <c r="B486" s="485" t="s">
        <v>588</v>
      </c>
      <c r="C486" s="485" t="s">
        <v>1011</v>
      </c>
      <c r="D486" s="485" t="s">
        <v>1012</v>
      </c>
      <c r="E486" s="485" t="s">
        <v>545</v>
      </c>
      <c r="F486" s="482">
        <v>2784</v>
      </c>
      <c r="G486" s="468">
        <v>3.769799894278504</v>
      </c>
      <c r="H486" s="479">
        <v>10495.122905671355</v>
      </c>
      <c r="I486" s="480" t="s">
        <v>9009</v>
      </c>
      <c r="J486" s="468" t="s">
        <v>9011</v>
      </c>
      <c r="K486" s="468" t="s">
        <v>9068</v>
      </c>
      <c r="L486" s="468" t="s">
        <v>541</v>
      </c>
    </row>
    <row r="487" spans="1:12" x14ac:dyDescent="0.25">
      <c r="A487" s="485" t="s">
        <v>220</v>
      </c>
      <c r="B487" s="485" t="s">
        <v>588</v>
      </c>
      <c r="C487" s="485" t="s">
        <v>1013</v>
      </c>
      <c r="D487" s="485" t="s">
        <v>1014</v>
      </c>
      <c r="E487" s="485" t="s">
        <v>545</v>
      </c>
      <c r="F487" s="482">
        <v>1710</v>
      </c>
      <c r="G487" s="468">
        <v>3.8129929573168058</v>
      </c>
      <c r="H487" s="479">
        <v>6520.2179570117378</v>
      </c>
      <c r="I487" s="480" t="s">
        <v>9009</v>
      </c>
      <c r="J487" s="468" t="s">
        <v>9011</v>
      </c>
      <c r="K487" s="468" t="s">
        <v>9068</v>
      </c>
      <c r="L487" s="468" t="s">
        <v>541</v>
      </c>
    </row>
    <row r="488" spans="1:12" x14ac:dyDescent="0.25">
      <c r="A488" s="485" t="s">
        <v>220</v>
      </c>
      <c r="B488" s="485" t="s">
        <v>588</v>
      </c>
      <c r="C488" s="485" t="s">
        <v>1015</v>
      </c>
      <c r="D488" s="485" t="s">
        <v>1016</v>
      </c>
      <c r="E488" s="485" t="s">
        <v>545</v>
      </c>
      <c r="F488" s="482">
        <v>394</v>
      </c>
      <c r="G488" s="468">
        <v>4.0292730848688931</v>
      </c>
      <c r="H488" s="479">
        <v>1587.5335954383438</v>
      </c>
      <c r="I488" s="480" t="s">
        <v>9009</v>
      </c>
      <c r="J488" s="468" t="s">
        <v>9011</v>
      </c>
      <c r="K488" s="468" t="s">
        <v>9068</v>
      </c>
      <c r="L488" s="468" t="s">
        <v>541</v>
      </c>
    </row>
    <row r="489" spans="1:12" x14ac:dyDescent="0.25">
      <c r="A489" s="485" t="s">
        <v>220</v>
      </c>
      <c r="B489" s="485" t="s">
        <v>588</v>
      </c>
      <c r="C489" s="485" t="s">
        <v>1017</v>
      </c>
      <c r="D489" s="485" t="s">
        <v>1018</v>
      </c>
      <c r="E489" s="485" t="s">
        <v>545</v>
      </c>
      <c r="F489" s="482">
        <v>1423</v>
      </c>
      <c r="G489" s="468">
        <v>5.5221161193719572</v>
      </c>
      <c r="H489" s="479">
        <v>7857.9712378662953</v>
      </c>
      <c r="I489" s="480" t="s">
        <v>9009</v>
      </c>
      <c r="J489" s="468" t="s">
        <v>9011</v>
      </c>
      <c r="K489" s="468" t="s">
        <v>9068</v>
      </c>
      <c r="L489" s="468" t="s">
        <v>541</v>
      </c>
    </row>
    <row r="490" spans="1:12" x14ac:dyDescent="0.25">
      <c r="A490" s="485" t="s">
        <v>220</v>
      </c>
      <c r="B490" s="485" t="s">
        <v>588</v>
      </c>
      <c r="C490" s="485" t="s">
        <v>1019</v>
      </c>
      <c r="D490" s="485" t="s">
        <v>1020</v>
      </c>
      <c r="E490" s="485" t="s">
        <v>545</v>
      </c>
      <c r="F490" s="482">
        <v>61</v>
      </c>
      <c r="G490" s="468">
        <v>3.799210713387116</v>
      </c>
      <c r="H490" s="479">
        <v>231.75185351661409</v>
      </c>
      <c r="I490" s="480" t="s">
        <v>9009</v>
      </c>
      <c r="J490" s="468" t="s">
        <v>9011</v>
      </c>
      <c r="K490" s="468" t="s">
        <v>9068</v>
      </c>
      <c r="L490" s="468" t="s">
        <v>541</v>
      </c>
    </row>
    <row r="491" spans="1:12" x14ac:dyDescent="0.25">
      <c r="A491" s="485" t="s">
        <v>220</v>
      </c>
      <c r="B491" s="485" t="s">
        <v>588</v>
      </c>
      <c r="C491" s="485" t="s">
        <v>1023</v>
      </c>
      <c r="D491" s="485" t="s">
        <v>1024</v>
      </c>
      <c r="E491" s="485" t="s">
        <v>545</v>
      </c>
      <c r="F491" s="482">
        <v>840</v>
      </c>
      <c r="G491" s="468">
        <v>5.5029647552872767</v>
      </c>
      <c r="H491" s="479">
        <v>4622.4903944413127</v>
      </c>
      <c r="I491" s="480" t="s">
        <v>9009</v>
      </c>
      <c r="J491" s="468" t="s">
        <v>9011</v>
      </c>
      <c r="K491" s="468" t="s">
        <v>9068</v>
      </c>
      <c r="L491" s="468" t="s">
        <v>541</v>
      </c>
    </row>
    <row r="492" spans="1:12" x14ac:dyDescent="0.25">
      <c r="A492" s="485" t="s">
        <v>220</v>
      </c>
      <c r="B492" s="485" t="s">
        <v>588</v>
      </c>
      <c r="C492" s="485" t="s">
        <v>1031</v>
      </c>
      <c r="D492" s="485" t="s">
        <v>1032</v>
      </c>
      <c r="E492" s="485" t="s">
        <v>545</v>
      </c>
      <c r="F492" s="482">
        <v>1479</v>
      </c>
      <c r="G492" s="468">
        <v>6.3177269143451706</v>
      </c>
      <c r="H492" s="479">
        <v>9343.918106316507</v>
      </c>
      <c r="I492" s="480" t="s">
        <v>9009</v>
      </c>
      <c r="J492" s="468" t="s">
        <v>9011</v>
      </c>
      <c r="K492" s="468" t="s">
        <v>9068</v>
      </c>
      <c r="L492" s="468" t="s">
        <v>541</v>
      </c>
    </row>
    <row r="493" spans="1:12" x14ac:dyDescent="0.25">
      <c r="A493" s="485" t="s">
        <v>220</v>
      </c>
      <c r="B493" s="485" t="s">
        <v>588</v>
      </c>
      <c r="C493" s="485" t="s">
        <v>1043</v>
      </c>
      <c r="D493" s="485" t="s">
        <v>1044</v>
      </c>
      <c r="E493" s="485" t="s">
        <v>545</v>
      </c>
      <c r="F493" s="482">
        <v>1150</v>
      </c>
      <c r="G493" s="468">
        <v>7.4538456825029256</v>
      </c>
      <c r="H493" s="479">
        <v>8571.9225348783639</v>
      </c>
      <c r="I493" s="480" t="s">
        <v>9009</v>
      </c>
      <c r="J493" s="468" t="s">
        <v>9011</v>
      </c>
      <c r="K493" s="468" t="s">
        <v>9068</v>
      </c>
      <c r="L493" s="468" t="s">
        <v>541</v>
      </c>
    </row>
    <row r="494" spans="1:12" x14ac:dyDescent="0.25">
      <c r="A494" s="485" t="s">
        <v>220</v>
      </c>
      <c r="B494" s="485" t="s">
        <v>588</v>
      </c>
      <c r="C494" s="485" t="s">
        <v>1045</v>
      </c>
      <c r="D494" s="485" t="s">
        <v>9138</v>
      </c>
      <c r="E494" s="485" t="s">
        <v>545</v>
      </c>
      <c r="F494" s="482">
        <v>92</v>
      </c>
      <c r="G494" s="468">
        <v>4.8170351583590918</v>
      </c>
      <c r="H494" s="479">
        <v>443.16723456903645</v>
      </c>
      <c r="I494" s="480" t="s">
        <v>9009</v>
      </c>
      <c r="J494" s="468" t="s">
        <v>9011</v>
      </c>
      <c r="K494" s="468" t="s">
        <v>9068</v>
      </c>
      <c r="L494" s="468" t="s">
        <v>541</v>
      </c>
    </row>
    <row r="495" spans="1:12" x14ac:dyDescent="0.25">
      <c r="A495" s="485" t="s">
        <v>220</v>
      </c>
      <c r="B495" s="485" t="s">
        <v>588</v>
      </c>
      <c r="C495" s="485" t="s">
        <v>1047</v>
      </c>
      <c r="D495" s="485" t="s">
        <v>1048</v>
      </c>
      <c r="E495" s="485" t="s">
        <v>545</v>
      </c>
      <c r="F495" s="482">
        <v>504</v>
      </c>
      <c r="G495" s="468">
        <v>8.5418546470319363</v>
      </c>
      <c r="H495" s="479">
        <v>4305.0947421040955</v>
      </c>
      <c r="I495" s="480" t="s">
        <v>9009</v>
      </c>
      <c r="J495" s="468" t="s">
        <v>9011</v>
      </c>
      <c r="K495" s="468" t="s">
        <v>9068</v>
      </c>
      <c r="L495" s="468" t="s">
        <v>541</v>
      </c>
    </row>
    <row r="496" spans="1:12" x14ac:dyDescent="0.25">
      <c r="A496" s="485" t="s">
        <v>220</v>
      </c>
      <c r="B496" s="485" t="s">
        <v>588</v>
      </c>
      <c r="C496" s="485" t="s">
        <v>1049</v>
      </c>
      <c r="D496" s="485" t="s">
        <v>1050</v>
      </c>
      <c r="E496" s="485" t="s">
        <v>545</v>
      </c>
      <c r="F496" s="482">
        <v>326</v>
      </c>
      <c r="G496" s="468">
        <v>7.1065880653533515</v>
      </c>
      <c r="H496" s="479">
        <v>2316.7477093051925</v>
      </c>
      <c r="I496" s="480" t="s">
        <v>9009</v>
      </c>
      <c r="J496" s="468" t="s">
        <v>9011</v>
      </c>
      <c r="K496" s="468" t="s">
        <v>9068</v>
      </c>
      <c r="L496" s="468" t="s">
        <v>541</v>
      </c>
    </row>
    <row r="497" spans="1:12" x14ac:dyDescent="0.25">
      <c r="A497" s="485" t="s">
        <v>220</v>
      </c>
      <c r="B497" s="485" t="s">
        <v>588</v>
      </c>
      <c r="C497" s="485" t="s">
        <v>1051</v>
      </c>
      <c r="D497" s="485" t="s">
        <v>1052</v>
      </c>
      <c r="E497" s="485" t="s">
        <v>545</v>
      </c>
      <c r="F497" s="482">
        <v>752</v>
      </c>
      <c r="G497" s="468">
        <v>12.986919601584198</v>
      </c>
      <c r="H497" s="479">
        <v>9766.1635403913169</v>
      </c>
      <c r="I497" s="480" t="s">
        <v>9009</v>
      </c>
      <c r="J497" s="468" t="s">
        <v>9011</v>
      </c>
      <c r="K497" s="468" t="s">
        <v>9068</v>
      </c>
      <c r="L497" s="468" t="s">
        <v>541</v>
      </c>
    </row>
    <row r="498" spans="1:12" x14ac:dyDescent="0.25">
      <c r="A498" s="485" t="s">
        <v>220</v>
      </c>
      <c r="B498" s="485" t="s">
        <v>588</v>
      </c>
      <c r="C498" s="485" t="s">
        <v>1053</v>
      </c>
      <c r="D498" s="485" t="s">
        <v>1054</v>
      </c>
      <c r="E498" s="485" t="s">
        <v>545</v>
      </c>
      <c r="F498" s="482">
        <v>100</v>
      </c>
      <c r="G498" s="468">
        <v>5.5004412631232924</v>
      </c>
      <c r="H498" s="479">
        <v>550.04412631232924</v>
      </c>
      <c r="I498" s="480" t="s">
        <v>9009</v>
      </c>
      <c r="J498" s="468" t="s">
        <v>9011</v>
      </c>
      <c r="K498" s="468" t="s">
        <v>9068</v>
      </c>
      <c r="L498" s="468" t="s">
        <v>541</v>
      </c>
    </row>
    <row r="499" spans="1:12" x14ac:dyDescent="0.25">
      <c r="A499" s="485" t="s">
        <v>220</v>
      </c>
      <c r="B499" s="485" t="s">
        <v>588</v>
      </c>
      <c r="C499" s="485" t="s">
        <v>1055</v>
      </c>
      <c r="D499" s="485" t="s">
        <v>1056</v>
      </c>
      <c r="E499" s="485" t="s">
        <v>545</v>
      </c>
      <c r="F499" s="482">
        <v>134</v>
      </c>
      <c r="G499" s="468">
        <v>5.3951399315746089</v>
      </c>
      <c r="H499" s="479">
        <v>722.9487508309976</v>
      </c>
      <c r="I499" s="480" t="s">
        <v>9009</v>
      </c>
      <c r="J499" s="468" t="s">
        <v>9011</v>
      </c>
      <c r="K499" s="468" t="s">
        <v>9068</v>
      </c>
      <c r="L499" s="468" t="s">
        <v>541</v>
      </c>
    </row>
    <row r="500" spans="1:12" x14ac:dyDescent="0.25">
      <c r="A500" s="485" t="s">
        <v>220</v>
      </c>
      <c r="B500" s="485" t="s">
        <v>588</v>
      </c>
      <c r="C500" s="485" t="s">
        <v>1057</v>
      </c>
      <c r="D500" s="485" t="s">
        <v>1058</v>
      </c>
      <c r="E500" s="485" t="s">
        <v>545</v>
      </c>
      <c r="F500" s="482">
        <v>640</v>
      </c>
      <c r="G500" s="468">
        <v>6.390525900598095</v>
      </c>
      <c r="H500" s="479">
        <v>4089.9365763827809</v>
      </c>
      <c r="I500" s="480" t="s">
        <v>9009</v>
      </c>
      <c r="J500" s="468" t="s">
        <v>9011</v>
      </c>
      <c r="K500" s="468" t="s">
        <v>9068</v>
      </c>
      <c r="L500" s="468" t="s">
        <v>541</v>
      </c>
    </row>
    <row r="501" spans="1:12" x14ac:dyDescent="0.25">
      <c r="A501" s="485" t="s">
        <v>220</v>
      </c>
      <c r="B501" s="485" t="s">
        <v>588</v>
      </c>
      <c r="C501" s="485" t="s">
        <v>1059</v>
      </c>
      <c r="D501" s="485" t="s">
        <v>1060</v>
      </c>
      <c r="E501" s="485" t="s">
        <v>545</v>
      </c>
      <c r="F501" s="482">
        <v>484</v>
      </c>
      <c r="G501" s="468">
        <v>3.2336327000489491</v>
      </c>
      <c r="H501" s="479">
        <v>1565.0782268236915</v>
      </c>
      <c r="I501" s="480" t="s">
        <v>9009</v>
      </c>
      <c r="J501" s="468" t="s">
        <v>9011</v>
      </c>
      <c r="K501" s="468" t="s">
        <v>9068</v>
      </c>
      <c r="L501" s="468" t="s">
        <v>541</v>
      </c>
    </row>
    <row r="502" spans="1:12" x14ac:dyDescent="0.25">
      <c r="A502" s="485" t="s">
        <v>220</v>
      </c>
      <c r="B502" s="485" t="s">
        <v>588</v>
      </c>
      <c r="C502" s="485" t="s">
        <v>1061</v>
      </c>
      <c r="D502" s="485" t="s">
        <v>1062</v>
      </c>
      <c r="E502" s="485" t="s">
        <v>545</v>
      </c>
      <c r="F502" s="482">
        <v>169</v>
      </c>
      <c r="G502" s="468">
        <v>2.9343711995187785</v>
      </c>
      <c r="H502" s="479">
        <v>495.90873271867355</v>
      </c>
      <c r="I502" s="480" t="s">
        <v>9009</v>
      </c>
      <c r="J502" s="468" t="s">
        <v>9011</v>
      </c>
      <c r="K502" s="468" t="s">
        <v>9068</v>
      </c>
      <c r="L502" s="468" t="s">
        <v>541</v>
      </c>
    </row>
    <row r="503" spans="1:12" x14ac:dyDescent="0.25">
      <c r="A503" s="485" t="s">
        <v>220</v>
      </c>
      <c r="B503" s="485" t="s">
        <v>588</v>
      </c>
      <c r="C503" s="485" t="s">
        <v>1063</v>
      </c>
      <c r="D503" s="485" t="s">
        <v>1064</v>
      </c>
      <c r="E503" s="485" t="s">
        <v>545</v>
      </c>
      <c r="F503" s="482">
        <v>69</v>
      </c>
      <c r="G503" s="468">
        <v>2.934371199518778</v>
      </c>
      <c r="H503" s="479">
        <v>202.47161276679569</v>
      </c>
      <c r="I503" s="480" t="s">
        <v>9009</v>
      </c>
      <c r="J503" s="468" t="s">
        <v>9011</v>
      </c>
      <c r="K503" s="468" t="s">
        <v>9068</v>
      </c>
      <c r="L503" s="468" t="s">
        <v>541</v>
      </c>
    </row>
    <row r="504" spans="1:12" x14ac:dyDescent="0.25">
      <c r="A504" s="485" t="s">
        <v>220</v>
      </c>
      <c r="B504" s="485" t="s">
        <v>588</v>
      </c>
      <c r="C504" s="485" t="s">
        <v>1065</v>
      </c>
      <c r="D504" s="485" t="s">
        <v>1066</v>
      </c>
      <c r="E504" s="485" t="s">
        <v>545</v>
      </c>
      <c r="F504" s="482">
        <v>340</v>
      </c>
      <c r="G504" s="468">
        <v>4.7065467692809513</v>
      </c>
      <c r="H504" s="479">
        <v>1600.2259015555235</v>
      </c>
      <c r="I504" s="480" t="s">
        <v>9009</v>
      </c>
      <c r="J504" s="468" t="s">
        <v>9011</v>
      </c>
      <c r="K504" s="468" t="s">
        <v>9068</v>
      </c>
      <c r="L504" s="468" t="s">
        <v>541</v>
      </c>
    </row>
    <row r="505" spans="1:12" x14ac:dyDescent="0.25">
      <c r="A505" s="485" t="s">
        <v>220</v>
      </c>
      <c r="B505" s="485" t="s">
        <v>588</v>
      </c>
      <c r="C505" s="485" t="s">
        <v>1067</v>
      </c>
      <c r="D505" s="485" t="s">
        <v>1068</v>
      </c>
      <c r="E505" s="485" t="s">
        <v>545</v>
      </c>
      <c r="F505" s="482">
        <v>1927</v>
      </c>
      <c r="G505" s="468">
        <v>4.4630730216745906</v>
      </c>
      <c r="H505" s="479">
        <v>8600.3417127669363</v>
      </c>
      <c r="I505" s="480" t="s">
        <v>9009</v>
      </c>
      <c r="J505" s="468" t="s">
        <v>9011</v>
      </c>
      <c r="K505" s="468" t="s">
        <v>9068</v>
      </c>
      <c r="L505" s="468" t="s">
        <v>541</v>
      </c>
    </row>
    <row r="506" spans="1:12" x14ac:dyDescent="0.25">
      <c r="A506" s="485" t="s">
        <v>220</v>
      </c>
      <c r="B506" s="485" t="s">
        <v>588</v>
      </c>
      <c r="C506" s="485" t="s">
        <v>1069</v>
      </c>
      <c r="D506" s="485" t="s">
        <v>1070</v>
      </c>
      <c r="E506" s="485" t="s">
        <v>545</v>
      </c>
      <c r="F506" s="482">
        <v>5</v>
      </c>
      <c r="G506" s="468">
        <v>4.4968846514170711</v>
      </c>
      <c r="H506" s="479">
        <v>22.484423257085353</v>
      </c>
      <c r="I506" s="480" t="s">
        <v>9009</v>
      </c>
      <c r="J506" s="468" t="s">
        <v>9011</v>
      </c>
      <c r="K506" s="468" t="s">
        <v>9068</v>
      </c>
      <c r="L506" s="468" t="s">
        <v>541</v>
      </c>
    </row>
    <row r="507" spans="1:12" x14ac:dyDescent="0.25">
      <c r="A507" s="485" t="s">
        <v>220</v>
      </c>
      <c r="B507" s="485" t="s">
        <v>588</v>
      </c>
      <c r="C507" s="485" t="s">
        <v>1071</v>
      </c>
      <c r="D507" s="485" t="s">
        <v>1072</v>
      </c>
      <c r="E507" s="485" t="s">
        <v>545</v>
      </c>
      <c r="F507" s="482">
        <v>1332</v>
      </c>
      <c r="G507" s="468">
        <v>4.6824795990752524</v>
      </c>
      <c r="H507" s="479">
        <v>6237.0628259682362</v>
      </c>
      <c r="I507" s="480" t="s">
        <v>9009</v>
      </c>
      <c r="J507" s="468" t="s">
        <v>9011</v>
      </c>
      <c r="K507" s="468" t="s">
        <v>9068</v>
      </c>
      <c r="L507" s="468" t="s">
        <v>541</v>
      </c>
    </row>
    <row r="508" spans="1:12" x14ac:dyDescent="0.25">
      <c r="A508" s="485" t="s">
        <v>220</v>
      </c>
      <c r="B508" s="485" t="s">
        <v>588</v>
      </c>
      <c r="C508" s="485" t="s">
        <v>1073</v>
      </c>
      <c r="D508" s="485" t="s">
        <v>1074</v>
      </c>
      <c r="E508" s="485" t="s">
        <v>545</v>
      </c>
      <c r="F508" s="482">
        <v>463</v>
      </c>
      <c r="G508" s="468">
        <v>4.6826123881533972</v>
      </c>
      <c r="H508" s="479">
        <v>2168.049535715023</v>
      </c>
      <c r="I508" s="480" t="s">
        <v>9009</v>
      </c>
      <c r="J508" s="468" t="s">
        <v>9011</v>
      </c>
      <c r="K508" s="468" t="s">
        <v>9068</v>
      </c>
      <c r="L508" s="468" t="s">
        <v>541</v>
      </c>
    </row>
    <row r="509" spans="1:12" x14ac:dyDescent="0.25">
      <c r="A509" s="485" t="s">
        <v>220</v>
      </c>
      <c r="B509" s="485" t="s">
        <v>588</v>
      </c>
      <c r="C509" s="485" t="s">
        <v>1075</v>
      </c>
      <c r="D509" s="485" t="s">
        <v>1076</v>
      </c>
      <c r="E509" s="485" t="s">
        <v>545</v>
      </c>
      <c r="F509" s="482">
        <v>252</v>
      </c>
      <c r="G509" s="468">
        <v>3.7557741381350422</v>
      </c>
      <c r="H509" s="479">
        <v>946.4550828100306</v>
      </c>
      <c r="I509" s="480" t="s">
        <v>9009</v>
      </c>
      <c r="J509" s="468" t="s">
        <v>9011</v>
      </c>
      <c r="K509" s="468" t="s">
        <v>9068</v>
      </c>
      <c r="L509" s="468" t="s">
        <v>541</v>
      </c>
    </row>
    <row r="510" spans="1:12" x14ac:dyDescent="0.25">
      <c r="A510" s="485" t="s">
        <v>220</v>
      </c>
      <c r="B510" s="485" t="s">
        <v>588</v>
      </c>
      <c r="C510" s="485" t="s">
        <v>1077</v>
      </c>
      <c r="D510" s="485" t="s">
        <v>1078</v>
      </c>
      <c r="E510" s="485" t="s">
        <v>545</v>
      </c>
      <c r="F510" s="482">
        <v>220</v>
      </c>
      <c r="G510" s="468">
        <v>3.7910068628949665</v>
      </c>
      <c r="H510" s="479">
        <v>834.02150983689262</v>
      </c>
      <c r="I510" s="480" t="s">
        <v>9009</v>
      </c>
      <c r="J510" s="468" t="s">
        <v>9011</v>
      </c>
      <c r="K510" s="468" t="s">
        <v>9068</v>
      </c>
      <c r="L510" s="468" t="s">
        <v>541</v>
      </c>
    </row>
    <row r="511" spans="1:12" x14ac:dyDescent="0.25">
      <c r="A511" s="485" t="s">
        <v>220</v>
      </c>
      <c r="B511" s="485" t="s">
        <v>588</v>
      </c>
      <c r="C511" s="485" t="s">
        <v>1079</v>
      </c>
      <c r="D511" s="485" t="s">
        <v>1080</v>
      </c>
      <c r="E511" s="485" t="s">
        <v>545</v>
      </c>
      <c r="F511" s="482">
        <v>416</v>
      </c>
      <c r="G511" s="468">
        <v>3.5997570689072611</v>
      </c>
      <c r="H511" s="479">
        <v>1497.4989406654206</v>
      </c>
      <c r="I511" s="480" t="s">
        <v>9009</v>
      </c>
      <c r="J511" s="468" t="s">
        <v>9011</v>
      </c>
      <c r="K511" s="468" t="s">
        <v>9068</v>
      </c>
      <c r="L511" s="468" t="s">
        <v>541</v>
      </c>
    </row>
    <row r="512" spans="1:12" x14ac:dyDescent="0.25">
      <c r="A512" s="485" t="s">
        <v>220</v>
      </c>
      <c r="B512" s="485" t="s">
        <v>588</v>
      </c>
      <c r="C512" s="485" t="s">
        <v>1081</v>
      </c>
      <c r="D512" s="485" t="s">
        <v>1082</v>
      </c>
      <c r="E512" s="485" t="s">
        <v>545</v>
      </c>
      <c r="F512" s="482">
        <v>258</v>
      </c>
      <c r="G512" s="468">
        <v>3.6825427709029004</v>
      </c>
      <c r="H512" s="479">
        <v>950.0960348929483</v>
      </c>
      <c r="I512" s="480" t="s">
        <v>9009</v>
      </c>
      <c r="J512" s="468" t="s">
        <v>9011</v>
      </c>
      <c r="K512" s="468" t="s">
        <v>9068</v>
      </c>
      <c r="L512" s="468" t="s">
        <v>541</v>
      </c>
    </row>
    <row r="513" spans="1:12" x14ac:dyDescent="0.25">
      <c r="A513" s="485" t="s">
        <v>220</v>
      </c>
      <c r="B513" s="485" t="s">
        <v>588</v>
      </c>
      <c r="C513" s="485" t="s">
        <v>1083</v>
      </c>
      <c r="D513" s="485" t="s">
        <v>1084</v>
      </c>
      <c r="E513" s="485" t="s">
        <v>545</v>
      </c>
      <c r="F513" s="482">
        <v>110</v>
      </c>
      <c r="G513" s="468">
        <v>14.521924566237061</v>
      </c>
      <c r="H513" s="479">
        <v>1597.4117022860767</v>
      </c>
      <c r="I513" s="480" t="s">
        <v>9009</v>
      </c>
      <c r="J513" s="468" t="s">
        <v>9011</v>
      </c>
      <c r="K513" s="468" t="s">
        <v>9068</v>
      </c>
      <c r="L513" s="468" t="s">
        <v>541</v>
      </c>
    </row>
    <row r="514" spans="1:12" x14ac:dyDescent="0.25">
      <c r="A514" s="485" t="s">
        <v>220</v>
      </c>
      <c r="B514" s="485" t="s">
        <v>588</v>
      </c>
      <c r="C514" s="485" t="s">
        <v>1085</v>
      </c>
      <c r="D514" s="485" t="s">
        <v>1086</v>
      </c>
      <c r="E514" s="485" t="s">
        <v>545</v>
      </c>
      <c r="F514" s="482">
        <v>201</v>
      </c>
      <c r="G514" s="468">
        <v>5.5481160630178872</v>
      </c>
      <c r="H514" s="479">
        <v>1115.1713286665954</v>
      </c>
      <c r="I514" s="480" t="s">
        <v>9009</v>
      </c>
      <c r="J514" s="468" t="s">
        <v>9011</v>
      </c>
      <c r="K514" s="468" t="s">
        <v>9068</v>
      </c>
      <c r="L514" s="468" t="s">
        <v>541</v>
      </c>
    </row>
    <row r="515" spans="1:12" x14ac:dyDescent="0.25">
      <c r="A515" s="485" t="s">
        <v>220</v>
      </c>
      <c r="B515" s="485" t="s">
        <v>588</v>
      </c>
      <c r="C515" s="485" t="s">
        <v>1087</v>
      </c>
      <c r="D515" s="485" t="s">
        <v>1088</v>
      </c>
      <c r="E515" s="485" t="s">
        <v>545</v>
      </c>
      <c r="F515" s="482">
        <v>1208</v>
      </c>
      <c r="G515" s="468">
        <v>6.061147378368406</v>
      </c>
      <c r="H515" s="479">
        <v>7321.8660330690345</v>
      </c>
      <c r="I515" s="480" t="s">
        <v>9009</v>
      </c>
      <c r="J515" s="468" t="s">
        <v>9011</v>
      </c>
      <c r="K515" s="468" t="s">
        <v>9068</v>
      </c>
      <c r="L515" s="468" t="s">
        <v>541</v>
      </c>
    </row>
    <row r="516" spans="1:12" x14ac:dyDescent="0.25">
      <c r="A516" s="485" t="s">
        <v>220</v>
      </c>
      <c r="B516" s="485" t="s">
        <v>588</v>
      </c>
      <c r="C516" s="485" t="s">
        <v>1089</v>
      </c>
      <c r="D516" s="485" t="s">
        <v>1090</v>
      </c>
      <c r="E516" s="485" t="s">
        <v>545</v>
      </c>
      <c r="F516" s="482">
        <v>1497</v>
      </c>
      <c r="G516" s="468">
        <v>6.1706129697112155</v>
      </c>
      <c r="H516" s="479">
        <v>9237.4076156576903</v>
      </c>
      <c r="I516" s="480" t="s">
        <v>9009</v>
      </c>
      <c r="J516" s="468" t="s">
        <v>9011</v>
      </c>
      <c r="K516" s="468" t="s">
        <v>9068</v>
      </c>
      <c r="L516" s="468" t="s">
        <v>541</v>
      </c>
    </row>
    <row r="517" spans="1:12" x14ac:dyDescent="0.25">
      <c r="A517" s="485" t="s">
        <v>220</v>
      </c>
      <c r="B517" s="485" t="s">
        <v>588</v>
      </c>
      <c r="C517" s="485" t="s">
        <v>1091</v>
      </c>
      <c r="D517" s="485" t="s">
        <v>1092</v>
      </c>
      <c r="E517" s="485" t="s">
        <v>545</v>
      </c>
      <c r="F517" s="482">
        <v>112</v>
      </c>
      <c r="G517" s="468">
        <v>5.9537973873009085</v>
      </c>
      <c r="H517" s="479">
        <v>666.82530737770173</v>
      </c>
      <c r="I517" s="480" t="s">
        <v>9009</v>
      </c>
      <c r="J517" s="468" t="s">
        <v>9011</v>
      </c>
      <c r="K517" s="468" t="s">
        <v>9068</v>
      </c>
      <c r="L517" s="468" t="s">
        <v>541</v>
      </c>
    </row>
    <row r="518" spans="1:12" x14ac:dyDescent="0.25">
      <c r="A518" s="485" t="s">
        <v>220</v>
      </c>
      <c r="B518" s="485" t="s">
        <v>588</v>
      </c>
      <c r="C518" s="485" t="s">
        <v>1093</v>
      </c>
      <c r="D518" s="485" t="s">
        <v>1094</v>
      </c>
      <c r="E518" s="485" t="s">
        <v>545</v>
      </c>
      <c r="F518" s="482">
        <v>746</v>
      </c>
      <c r="G518" s="468">
        <v>3.7604213644548654</v>
      </c>
      <c r="H518" s="479">
        <v>2805.2743378833297</v>
      </c>
      <c r="I518" s="480" t="s">
        <v>9009</v>
      </c>
      <c r="J518" s="468" t="s">
        <v>9011</v>
      </c>
      <c r="K518" s="468" t="s">
        <v>9068</v>
      </c>
      <c r="L518" s="468" t="s">
        <v>541</v>
      </c>
    </row>
    <row r="519" spans="1:12" x14ac:dyDescent="0.25">
      <c r="A519" s="485" t="s">
        <v>220</v>
      </c>
      <c r="B519" s="485" t="s">
        <v>588</v>
      </c>
      <c r="C519" s="485" t="s">
        <v>1095</v>
      </c>
      <c r="D519" s="485" t="s">
        <v>1096</v>
      </c>
      <c r="E519" s="485" t="s">
        <v>545</v>
      </c>
      <c r="F519" s="482">
        <v>816</v>
      </c>
      <c r="G519" s="468">
        <v>3.7259121124582602</v>
      </c>
      <c r="H519" s="479">
        <v>3040.3442837659404</v>
      </c>
      <c r="I519" s="480" t="s">
        <v>9009</v>
      </c>
      <c r="J519" s="468" t="s">
        <v>9011</v>
      </c>
      <c r="K519" s="468" t="s">
        <v>9068</v>
      </c>
      <c r="L519" s="468" t="s">
        <v>541</v>
      </c>
    </row>
    <row r="520" spans="1:12" x14ac:dyDescent="0.25">
      <c r="A520" s="485" t="s">
        <v>220</v>
      </c>
      <c r="B520" s="485" t="s">
        <v>588</v>
      </c>
      <c r="C520" s="485" t="s">
        <v>1097</v>
      </c>
      <c r="D520" s="485" t="s">
        <v>1098</v>
      </c>
      <c r="E520" s="485" t="s">
        <v>545</v>
      </c>
      <c r="F520" s="482">
        <v>794</v>
      </c>
      <c r="G520" s="468">
        <v>6.4336815331759523</v>
      </c>
      <c r="H520" s="479">
        <v>5108.3431373417061</v>
      </c>
      <c r="I520" s="480" t="s">
        <v>9009</v>
      </c>
      <c r="J520" s="468" t="s">
        <v>9011</v>
      </c>
      <c r="K520" s="468" t="s">
        <v>9068</v>
      </c>
      <c r="L520" s="468" t="s">
        <v>541</v>
      </c>
    </row>
    <row r="521" spans="1:12" x14ac:dyDescent="0.25">
      <c r="A521" s="485" t="s">
        <v>220</v>
      </c>
      <c r="B521" s="485" t="s">
        <v>588</v>
      </c>
      <c r="C521" s="485" t="s">
        <v>1099</v>
      </c>
      <c r="D521" s="485" t="s">
        <v>1100</v>
      </c>
      <c r="E521" s="485" t="s">
        <v>545</v>
      </c>
      <c r="F521" s="482">
        <v>560</v>
      </c>
      <c r="G521" s="468">
        <v>6.5476639429128749</v>
      </c>
      <c r="H521" s="479">
        <v>3666.6918080312098</v>
      </c>
      <c r="I521" s="480" t="s">
        <v>9009</v>
      </c>
      <c r="J521" s="468" t="s">
        <v>9011</v>
      </c>
      <c r="K521" s="468" t="s">
        <v>9068</v>
      </c>
      <c r="L521" s="468" t="s">
        <v>541</v>
      </c>
    </row>
    <row r="522" spans="1:12" x14ac:dyDescent="0.25">
      <c r="A522" s="485" t="s">
        <v>220</v>
      </c>
      <c r="B522" s="485" t="s">
        <v>588</v>
      </c>
      <c r="C522" s="485" t="s">
        <v>1103</v>
      </c>
      <c r="D522" s="485" t="s">
        <v>1104</v>
      </c>
      <c r="E522" s="485" t="s">
        <v>545</v>
      </c>
      <c r="F522" s="482">
        <v>1092</v>
      </c>
      <c r="G522" s="468">
        <v>3.9785766482005323</v>
      </c>
      <c r="H522" s="479">
        <v>4344.6056998349814</v>
      </c>
      <c r="I522" s="480" t="s">
        <v>9009</v>
      </c>
      <c r="J522" s="468" t="s">
        <v>9011</v>
      </c>
      <c r="K522" s="468" t="s">
        <v>9068</v>
      </c>
      <c r="L522" s="468" t="s">
        <v>541</v>
      </c>
    </row>
    <row r="523" spans="1:12" x14ac:dyDescent="0.25">
      <c r="A523" s="485" t="s">
        <v>220</v>
      </c>
      <c r="B523" s="485" t="s">
        <v>588</v>
      </c>
      <c r="C523" s="485" t="s">
        <v>1105</v>
      </c>
      <c r="D523" s="485" t="s">
        <v>7674</v>
      </c>
      <c r="E523" s="485" t="s">
        <v>545</v>
      </c>
      <c r="F523" s="482">
        <v>494</v>
      </c>
      <c r="G523" s="468">
        <v>3.976761247413934</v>
      </c>
      <c r="H523" s="479">
        <v>1964.5200562224834</v>
      </c>
      <c r="I523" s="480" t="s">
        <v>9009</v>
      </c>
      <c r="J523" s="468" t="s">
        <v>9011</v>
      </c>
      <c r="K523" s="468" t="s">
        <v>9068</v>
      </c>
      <c r="L523" s="468" t="s">
        <v>541</v>
      </c>
    </row>
    <row r="524" spans="1:12" x14ac:dyDescent="0.25">
      <c r="A524" s="485" t="s">
        <v>220</v>
      </c>
      <c r="B524" s="485" t="s">
        <v>588</v>
      </c>
      <c r="C524" s="485" t="s">
        <v>1107</v>
      </c>
      <c r="D524" s="485" t="s">
        <v>1108</v>
      </c>
      <c r="E524" s="485" t="s">
        <v>639</v>
      </c>
      <c r="F524" s="482">
        <v>5081</v>
      </c>
      <c r="G524" s="468">
        <v>3.1653547978026206</v>
      </c>
      <c r="H524" s="479">
        <v>16083.167727635115</v>
      </c>
      <c r="I524" s="480" t="s">
        <v>9009</v>
      </c>
      <c r="J524" s="468" t="s">
        <v>9011</v>
      </c>
      <c r="K524" s="468" t="s">
        <v>9038</v>
      </c>
      <c r="L524" s="468" t="s">
        <v>541</v>
      </c>
    </row>
    <row r="525" spans="1:12" x14ac:dyDescent="0.25">
      <c r="A525" s="485" t="s">
        <v>220</v>
      </c>
      <c r="B525" s="485" t="s">
        <v>588</v>
      </c>
      <c r="C525" s="485" t="s">
        <v>1109</v>
      </c>
      <c r="D525" s="485" t="s">
        <v>9139</v>
      </c>
      <c r="E525" s="485" t="s">
        <v>639</v>
      </c>
      <c r="F525" s="482">
        <v>1059</v>
      </c>
      <c r="G525" s="468">
        <v>6.8234158705656993</v>
      </c>
      <c r="H525" s="479">
        <v>7225.9974069290756</v>
      </c>
      <c r="I525" s="480" t="s">
        <v>9009</v>
      </c>
      <c r="J525" s="468" t="s">
        <v>9011</v>
      </c>
      <c r="K525" s="468" t="s">
        <v>9038</v>
      </c>
      <c r="L525" s="468" t="s">
        <v>541</v>
      </c>
    </row>
    <row r="526" spans="1:12" x14ac:dyDescent="0.25">
      <c r="A526" s="485" t="s">
        <v>220</v>
      </c>
      <c r="B526" s="485" t="s">
        <v>588</v>
      </c>
      <c r="C526" s="485" t="s">
        <v>1111</v>
      </c>
      <c r="D526" s="485" t="s">
        <v>1112</v>
      </c>
      <c r="E526" s="485" t="s">
        <v>639</v>
      </c>
      <c r="F526" s="482">
        <v>11116</v>
      </c>
      <c r="G526" s="468">
        <v>2.2287063344745457</v>
      </c>
      <c r="H526" s="479">
        <v>24774.299614019052</v>
      </c>
      <c r="I526" s="480" t="s">
        <v>9009</v>
      </c>
      <c r="J526" s="468" t="s">
        <v>9011</v>
      </c>
      <c r="K526" s="468" t="s">
        <v>9038</v>
      </c>
      <c r="L526" s="468" t="s">
        <v>541</v>
      </c>
    </row>
    <row r="527" spans="1:12" x14ac:dyDescent="0.25">
      <c r="A527" s="485" t="s">
        <v>220</v>
      </c>
      <c r="B527" s="485" t="s">
        <v>588</v>
      </c>
      <c r="C527" s="485" t="s">
        <v>1113</v>
      </c>
      <c r="D527" s="485" t="s">
        <v>1114</v>
      </c>
      <c r="E527" s="485" t="s">
        <v>639</v>
      </c>
      <c r="F527" s="482">
        <v>66504</v>
      </c>
      <c r="G527" s="468">
        <v>2.3547234064806553</v>
      </c>
      <c r="H527" s="479">
        <v>156598.52542458949</v>
      </c>
      <c r="I527" s="480" t="s">
        <v>9009</v>
      </c>
      <c r="J527" s="468" t="s">
        <v>9011</v>
      </c>
      <c r="K527" s="468" t="s">
        <v>9038</v>
      </c>
      <c r="L527" s="468" t="s">
        <v>541</v>
      </c>
    </row>
    <row r="528" spans="1:12" x14ac:dyDescent="0.25">
      <c r="A528" s="485" t="s">
        <v>220</v>
      </c>
      <c r="B528" s="485" t="s">
        <v>588</v>
      </c>
      <c r="C528" s="485" t="s">
        <v>1115</v>
      </c>
      <c r="D528" s="485" t="s">
        <v>1116</v>
      </c>
      <c r="E528" s="485" t="s">
        <v>639</v>
      </c>
      <c r="F528" s="482">
        <v>13779</v>
      </c>
      <c r="G528" s="468">
        <v>3.0112839398343723</v>
      </c>
      <c r="H528" s="479">
        <v>41492.481406977815</v>
      </c>
      <c r="I528" s="480" t="s">
        <v>9009</v>
      </c>
      <c r="J528" s="468" t="s">
        <v>9011</v>
      </c>
      <c r="K528" s="468" t="s">
        <v>9038</v>
      </c>
      <c r="L528" s="468" t="s">
        <v>541</v>
      </c>
    </row>
    <row r="529" spans="1:12" x14ac:dyDescent="0.25">
      <c r="A529" s="485" t="s">
        <v>220</v>
      </c>
      <c r="B529" s="485" t="s">
        <v>588</v>
      </c>
      <c r="C529" s="485" t="s">
        <v>1122</v>
      </c>
      <c r="D529" s="485" t="s">
        <v>1123</v>
      </c>
      <c r="E529" s="485" t="s">
        <v>545</v>
      </c>
      <c r="F529" s="482">
        <v>1500</v>
      </c>
      <c r="G529" s="468">
        <v>0.74569773950216922</v>
      </c>
      <c r="H529" s="479">
        <v>1118.5466092532538</v>
      </c>
      <c r="I529" s="480" t="s">
        <v>9009</v>
      </c>
      <c r="J529" s="468" t="s">
        <v>9015</v>
      </c>
      <c r="K529" s="468" t="s">
        <v>8996</v>
      </c>
      <c r="L529" s="468" t="s">
        <v>541</v>
      </c>
    </row>
    <row r="530" spans="1:12" x14ac:dyDescent="0.25">
      <c r="A530" s="485" t="s">
        <v>220</v>
      </c>
      <c r="B530" s="485" t="s">
        <v>588</v>
      </c>
      <c r="C530" s="485" t="s">
        <v>1124</v>
      </c>
      <c r="D530" s="485" t="s">
        <v>1125</v>
      </c>
      <c r="E530" s="485" t="s">
        <v>545</v>
      </c>
      <c r="F530" s="482">
        <v>5000</v>
      </c>
      <c r="G530" s="468">
        <v>0.16800000000000001</v>
      </c>
      <c r="H530" s="479">
        <v>840</v>
      </c>
      <c r="I530" s="480" t="s">
        <v>9009</v>
      </c>
      <c r="J530" s="468" t="s">
        <v>9015</v>
      </c>
      <c r="K530" s="468" t="s">
        <v>8996</v>
      </c>
      <c r="L530" s="468" t="s">
        <v>541</v>
      </c>
    </row>
    <row r="531" spans="1:12" x14ac:dyDescent="0.25">
      <c r="A531" s="485" t="s">
        <v>220</v>
      </c>
      <c r="B531" s="485" t="s">
        <v>588</v>
      </c>
      <c r="C531" s="485" t="s">
        <v>1126</v>
      </c>
      <c r="D531" s="485" t="s">
        <v>1127</v>
      </c>
      <c r="E531" s="485" t="s">
        <v>545</v>
      </c>
      <c r="F531" s="482">
        <v>2800</v>
      </c>
      <c r="G531" s="468">
        <v>0.17177000000000001</v>
      </c>
      <c r="H531" s="479">
        <v>480.95600000000002</v>
      </c>
      <c r="I531" s="480" t="s">
        <v>9009</v>
      </c>
      <c r="J531" s="468" t="s">
        <v>9015</v>
      </c>
      <c r="K531" s="468" t="s">
        <v>8996</v>
      </c>
      <c r="L531" s="468" t="s">
        <v>541</v>
      </c>
    </row>
    <row r="532" spans="1:12" x14ac:dyDescent="0.25">
      <c r="A532" s="485" t="s">
        <v>220</v>
      </c>
      <c r="B532" s="485" t="s">
        <v>588</v>
      </c>
      <c r="C532" s="485" t="s">
        <v>1128</v>
      </c>
      <c r="D532" s="485" t="s">
        <v>1129</v>
      </c>
      <c r="E532" s="485" t="s">
        <v>545</v>
      </c>
      <c r="F532" s="482">
        <v>11100</v>
      </c>
      <c r="G532" s="468">
        <v>0.54003838002969673</v>
      </c>
      <c r="H532" s="479">
        <v>5994.4260183296337</v>
      </c>
      <c r="I532" s="480" t="s">
        <v>9009</v>
      </c>
      <c r="J532" s="468" t="s">
        <v>9015</v>
      </c>
      <c r="K532" s="468" t="s">
        <v>8996</v>
      </c>
      <c r="L532" s="468" t="s">
        <v>541</v>
      </c>
    </row>
    <row r="533" spans="1:12" x14ac:dyDescent="0.25">
      <c r="A533" s="485" t="s">
        <v>220</v>
      </c>
      <c r="B533" s="485" t="s">
        <v>588</v>
      </c>
      <c r="C533" s="485" t="s">
        <v>1130</v>
      </c>
      <c r="D533" s="485" t="s">
        <v>1131</v>
      </c>
      <c r="E533" s="485" t="s">
        <v>545</v>
      </c>
      <c r="F533" s="482">
        <v>14000</v>
      </c>
      <c r="G533" s="468">
        <v>4.2423225523259056E-2</v>
      </c>
      <c r="H533" s="479">
        <v>593.92515732562674</v>
      </c>
      <c r="I533" s="480" t="s">
        <v>9009</v>
      </c>
      <c r="J533" s="468" t="s">
        <v>9015</v>
      </c>
      <c r="K533" s="468" t="s">
        <v>8996</v>
      </c>
      <c r="L533" s="468" t="s">
        <v>541</v>
      </c>
    </row>
    <row r="534" spans="1:12" x14ac:dyDescent="0.25">
      <c r="A534" s="485" t="s">
        <v>220</v>
      </c>
      <c r="B534" s="485" t="s">
        <v>588</v>
      </c>
      <c r="C534" s="485" t="s">
        <v>1132</v>
      </c>
      <c r="D534" s="485" t="s">
        <v>1133</v>
      </c>
      <c r="E534" s="485" t="s">
        <v>545</v>
      </c>
      <c r="F534" s="482">
        <v>550</v>
      </c>
      <c r="G534" s="468">
        <v>0.26982530896707219</v>
      </c>
      <c r="H534" s="479">
        <v>148.4039199318897</v>
      </c>
      <c r="I534" s="480" t="s">
        <v>9009</v>
      </c>
      <c r="J534" s="468" t="s">
        <v>9015</v>
      </c>
      <c r="K534" s="468" t="s">
        <v>8996</v>
      </c>
      <c r="L534" s="468" t="s">
        <v>541</v>
      </c>
    </row>
    <row r="535" spans="1:12" x14ac:dyDescent="0.25">
      <c r="A535" s="485" t="s">
        <v>220</v>
      </c>
      <c r="B535" s="485" t="s">
        <v>588</v>
      </c>
      <c r="C535" s="485" t="s">
        <v>1134</v>
      </c>
      <c r="D535" s="485" t="s">
        <v>1135</v>
      </c>
      <c r="E535" s="485" t="s">
        <v>545</v>
      </c>
      <c r="F535" s="482">
        <v>8000</v>
      </c>
      <c r="G535" s="468">
        <v>7.2081642607498053E-2</v>
      </c>
      <c r="H535" s="479">
        <v>576.65314085998443</v>
      </c>
      <c r="I535" s="480" t="s">
        <v>9009</v>
      </c>
      <c r="J535" s="468" t="s">
        <v>9015</v>
      </c>
      <c r="K535" s="468" t="s">
        <v>8996</v>
      </c>
      <c r="L535" s="468" t="s">
        <v>541</v>
      </c>
    </row>
    <row r="536" spans="1:12" x14ac:dyDescent="0.25">
      <c r="A536" s="485" t="s">
        <v>220</v>
      </c>
      <c r="B536" s="485" t="s">
        <v>588</v>
      </c>
      <c r="C536" s="485" t="s">
        <v>1136</v>
      </c>
      <c r="D536" s="485" t="s">
        <v>1137</v>
      </c>
      <c r="E536" s="485" t="s">
        <v>545</v>
      </c>
      <c r="F536" s="482">
        <v>104000</v>
      </c>
      <c r="G536" s="468">
        <v>0.12688580882770911</v>
      </c>
      <c r="H536" s="479">
        <v>13196.124118081747</v>
      </c>
      <c r="I536" s="480" t="s">
        <v>9009</v>
      </c>
      <c r="J536" s="468" t="s">
        <v>9015</v>
      </c>
      <c r="K536" s="468" t="s">
        <v>8996</v>
      </c>
      <c r="L536" s="468" t="s">
        <v>541</v>
      </c>
    </row>
    <row r="537" spans="1:12" x14ac:dyDescent="0.25">
      <c r="A537" s="485" t="s">
        <v>220</v>
      </c>
      <c r="B537" s="485" t="s">
        <v>588</v>
      </c>
      <c r="C537" s="485" t="s">
        <v>1138</v>
      </c>
      <c r="D537" s="485" t="s">
        <v>1139</v>
      </c>
      <c r="E537" s="485" t="s">
        <v>545</v>
      </c>
      <c r="F537" s="482">
        <v>126000</v>
      </c>
      <c r="G537" s="468">
        <v>0.12030651236000431</v>
      </c>
      <c r="H537" s="479">
        <v>15158.620557360542</v>
      </c>
      <c r="I537" s="480" t="s">
        <v>9009</v>
      </c>
      <c r="J537" s="468" t="s">
        <v>9015</v>
      </c>
      <c r="K537" s="468" t="s">
        <v>8996</v>
      </c>
      <c r="L537" s="468" t="s">
        <v>541</v>
      </c>
    </row>
    <row r="538" spans="1:12" x14ac:dyDescent="0.25">
      <c r="A538" s="485" t="s">
        <v>220</v>
      </c>
      <c r="B538" s="485" t="s">
        <v>588</v>
      </c>
      <c r="C538" s="485" t="s">
        <v>1140</v>
      </c>
      <c r="D538" s="485" t="s">
        <v>1141</v>
      </c>
      <c r="E538" s="485" t="s">
        <v>545</v>
      </c>
      <c r="F538" s="482">
        <v>39000</v>
      </c>
      <c r="G538" s="468">
        <v>9.9137774151080577E-2</v>
      </c>
      <c r="H538" s="479">
        <v>3866.3731918921426</v>
      </c>
      <c r="I538" s="480" t="s">
        <v>9009</v>
      </c>
      <c r="J538" s="468" t="s">
        <v>9015</v>
      </c>
      <c r="K538" s="468" t="s">
        <v>8996</v>
      </c>
      <c r="L538" s="468" t="s">
        <v>541</v>
      </c>
    </row>
    <row r="539" spans="1:12" x14ac:dyDescent="0.25">
      <c r="A539" s="485" t="s">
        <v>220</v>
      </c>
      <c r="B539" s="485" t="s">
        <v>588</v>
      </c>
      <c r="C539" s="485" t="s">
        <v>1142</v>
      </c>
      <c r="D539" s="485" t="s">
        <v>1143</v>
      </c>
      <c r="E539" s="485" t="s">
        <v>545</v>
      </c>
      <c r="F539" s="482">
        <v>26000</v>
      </c>
      <c r="G539" s="468">
        <v>0.11538675798219111</v>
      </c>
      <c r="H539" s="479">
        <v>3000.0557075369688</v>
      </c>
      <c r="I539" s="480" t="s">
        <v>9009</v>
      </c>
      <c r="J539" s="468" t="s">
        <v>9015</v>
      </c>
      <c r="K539" s="468" t="s">
        <v>8996</v>
      </c>
      <c r="L539" s="468" t="s">
        <v>541</v>
      </c>
    </row>
    <row r="540" spans="1:12" x14ac:dyDescent="0.25">
      <c r="A540" s="485" t="s">
        <v>220</v>
      </c>
      <c r="B540" s="485" t="s">
        <v>588</v>
      </c>
      <c r="C540" s="485" t="s">
        <v>1144</v>
      </c>
      <c r="D540" s="485" t="s">
        <v>1145</v>
      </c>
      <c r="E540" s="485" t="s">
        <v>545</v>
      </c>
      <c r="F540" s="482">
        <v>8200</v>
      </c>
      <c r="G540" s="468">
        <v>6.2E-2</v>
      </c>
      <c r="H540" s="479">
        <v>508.4</v>
      </c>
      <c r="I540" s="480" t="s">
        <v>9009</v>
      </c>
      <c r="J540" s="468" t="s">
        <v>9015</v>
      </c>
      <c r="K540" s="468" t="s">
        <v>8996</v>
      </c>
      <c r="L540" s="468" t="s">
        <v>541</v>
      </c>
    </row>
    <row r="541" spans="1:12" x14ac:dyDescent="0.25">
      <c r="A541" s="485" t="s">
        <v>220</v>
      </c>
      <c r="B541" s="485" t="s">
        <v>588</v>
      </c>
      <c r="C541" s="485" t="s">
        <v>1146</v>
      </c>
      <c r="D541" s="485" t="s">
        <v>1147</v>
      </c>
      <c r="E541" s="485" t="s">
        <v>545</v>
      </c>
      <c r="F541" s="482">
        <v>1100</v>
      </c>
      <c r="G541" s="468">
        <v>0.04</v>
      </c>
      <c r="H541" s="479">
        <v>44</v>
      </c>
      <c r="I541" s="480" t="s">
        <v>9009</v>
      </c>
      <c r="J541" s="468" t="s">
        <v>9015</v>
      </c>
      <c r="K541" s="468" t="s">
        <v>8996</v>
      </c>
      <c r="L541" s="468" t="s">
        <v>541</v>
      </c>
    </row>
    <row r="542" spans="1:12" x14ac:dyDescent="0.25">
      <c r="A542" s="485" t="s">
        <v>220</v>
      </c>
      <c r="B542" s="485" t="s">
        <v>588</v>
      </c>
      <c r="C542" s="485" t="s">
        <v>1148</v>
      </c>
      <c r="D542" s="485" t="s">
        <v>1149</v>
      </c>
      <c r="E542" s="485" t="s">
        <v>545</v>
      </c>
      <c r="F542" s="482">
        <v>39000</v>
      </c>
      <c r="G542" s="468">
        <v>0.12250901073866594</v>
      </c>
      <c r="H542" s="479">
        <v>4777.8514188079716</v>
      </c>
      <c r="I542" s="480" t="s">
        <v>9009</v>
      </c>
      <c r="J542" s="468" t="s">
        <v>9015</v>
      </c>
      <c r="K542" s="468" t="s">
        <v>8996</v>
      </c>
      <c r="L542" s="468" t="s">
        <v>541</v>
      </c>
    </row>
    <row r="543" spans="1:12" x14ac:dyDescent="0.25">
      <c r="A543" s="485" t="s">
        <v>220</v>
      </c>
      <c r="B543" s="485" t="s">
        <v>588</v>
      </c>
      <c r="C543" s="485" t="s">
        <v>1150</v>
      </c>
      <c r="D543" s="485" t="s">
        <v>1151</v>
      </c>
      <c r="E543" s="485" t="s">
        <v>545</v>
      </c>
      <c r="F543" s="482">
        <v>39000</v>
      </c>
      <c r="G543" s="468">
        <v>9.294162627161931E-2</v>
      </c>
      <c r="H543" s="479">
        <v>3624.7234245931531</v>
      </c>
      <c r="I543" s="480" t="s">
        <v>9009</v>
      </c>
      <c r="J543" s="468" t="s">
        <v>9015</v>
      </c>
      <c r="K543" s="468" t="s">
        <v>8996</v>
      </c>
      <c r="L543" s="468" t="s">
        <v>541</v>
      </c>
    </row>
    <row r="544" spans="1:12" x14ac:dyDescent="0.25">
      <c r="A544" s="485" t="s">
        <v>220</v>
      </c>
      <c r="B544" s="485" t="s">
        <v>588</v>
      </c>
      <c r="C544" s="485" t="s">
        <v>1152</v>
      </c>
      <c r="D544" s="485" t="s">
        <v>1153</v>
      </c>
      <c r="E544" s="485" t="s">
        <v>545</v>
      </c>
      <c r="F544" s="482">
        <v>13000</v>
      </c>
      <c r="G544" s="468">
        <v>0.45058882505142306</v>
      </c>
      <c r="H544" s="479">
        <v>5857.6547256684999</v>
      </c>
      <c r="I544" s="480" t="s">
        <v>9009</v>
      </c>
      <c r="J544" s="468" t="s">
        <v>9015</v>
      </c>
      <c r="K544" s="468" t="s">
        <v>8996</v>
      </c>
      <c r="L544" s="468" t="s">
        <v>541</v>
      </c>
    </row>
    <row r="545" spans="1:12" x14ac:dyDescent="0.25">
      <c r="A545" s="485" t="s">
        <v>220</v>
      </c>
      <c r="B545" s="485" t="s">
        <v>588</v>
      </c>
      <c r="C545" s="485" t="s">
        <v>1154</v>
      </c>
      <c r="D545" s="485" t="s">
        <v>1155</v>
      </c>
      <c r="E545" s="485" t="s">
        <v>545</v>
      </c>
      <c r="F545" s="482">
        <v>4000</v>
      </c>
      <c r="G545" s="468">
        <v>0.45058882505142306</v>
      </c>
      <c r="H545" s="479">
        <v>1802.3553002056922</v>
      </c>
      <c r="I545" s="480" t="s">
        <v>9009</v>
      </c>
      <c r="J545" s="468" t="s">
        <v>9015</v>
      </c>
      <c r="K545" s="468" t="s">
        <v>8996</v>
      </c>
      <c r="L545" s="468" t="s">
        <v>541</v>
      </c>
    </row>
    <row r="546" spans="1:12" x14ac:dyDescent="0.25">
      <c r="A546" s="485" t="s">
        <v>220</v>
      </c>
      <c r="B546" s="485" t="s">
        <v>588</v>
      </c>
      <c r="C546" s="485" t="s">
        <v>1156</v>
      </c>
      <c r="D546" s="485" t="s">
        <v>1157</v>
      </c>
      <c r="E546" s="485" t="s">
        <v>545</v>
      </c>
      <c r="F546" s="482">
        <v>39000</v>
      </c>
      <c r="G546" s="468">
        <v>0.20857667735914859</v>
      </c>
      <c r="H546" s="479">
        <v>8134.4904170067948</v>
      </c>
      <c r="I546" s="480" t="s">
        <v>9009</v>
      </c>
      <c r="J546" s="468" t="s">
        <v>9015</v>
      </c>
      <c r="K546" s="468" t="s">
        <v>8996</v>
      </c>
      <c r="L546" s="468" t="s">
        <v>541</v>
      </c>
    </row>
    <row r="547" spans="1:12" x14ac:dyDescent="0.25">
      <c r="A547" s="485" t="s">
        <v>220</v>
      </c>
      <c r="B547" s="485" t="s">
        <v>588</v>
      </c>
      <c r="C547" s="485" t="s">
        <v>1158</v>
      </c>
      <c r="D547" s="485" t="s">
        <v>1159</v>
      </c>
      <c r="E547" s="485" t="s">
        <v>545</v>
      </c>
      <c r="F547" s="482">
        <v>36960</v>
      </c>
      <c r="G547" s="468">
        <v>1.0299507058430681</v>
      </c>
      <c r="H547" s="479">
        <v>38066.978087959797</v>
      </c>
      <c r="I547" s="480" t="s">
        <v>9009</v>
      </c>
      <c r="J547" s="468" t="s">
        <v>9015</v>
      </c>
      <c r="K547" s="468" t="s">
        <v>8996</v>
      </c>
      <c r="L547" s="468" t="s">
        <v>541</v>
      </c>
    </row>
    <row r="548" spans="1:12" x14ac:dyDescent="0.25">
      <c r="A548" s="485" t="s">
        <v>220</v>
      </c>
      <c r="B548" s="485" t="s">
        <v>588</v>
      </c>
      <c r="C548" s="485" t="s">
        <v>1160</v>
      </c>
      <c r="D548" s="485" t="s">
        <v>1161</v>
      </c>
      <c r="E548" s="485" t="s">
        <v>545</v>
      </c>
      <c r="F548" s="482">
        <v>6000</v>
      </c>
      <c r="G548" s="468">
        <v>7.2081642607498053E-2</v>
      </c>
      <c r="H548" s="479">
        <v>432.48985564498832</v>
      </c>
      <c r="I548" s="480" t="s">
        <v>9009</v>
      </c>
      <c r="J548" s="468" t="s">
        <v>9015</v>
      </c>
      <c r="K548" s="468" t="s">
        <v>8996</v>
      </c>
      <c r="L548" s="468" t="s">
        <v>541</v>
      </c>
    </row>
    <row r="549" spans="1:12" x14ac:dyDescent="0.25">
      <c r="A549" s="485" t="s">
        <v>220</v>
      </c>
      <c r="B549" s="485" t="s">
        <v>588</v>
      </c>
      <c r="C549" s="485" t="s">
        <v>1162</v>
      </c>
      <c r="D549" s="485" t="s">
        <v>1163</v>
      </c>
      <c r="E549" s="485" t="s">
        <v>545</v>
      </c>
      <c r="F549" s="482">
        <v>178500</v>
      </c>
      <c r="G549" s="468">
        <v>0.11979794529420783</v>
      </c>
      <c r="H549" s="479">
        <v>21383.933235016098</v>
      </c>
      <c r="I549" s="480" t="s">
        <v>9009</v>
      </c>
      <c r="J549" s="468" t="s">
        <v>9015</v>
      </c>
      <c r="K549" s="468" t="s">
        <v>8996</v>
      </c>
      <c r="L549" s="468" t="s">
        <v>541</v>
      </c>
    </row>
    <row r="550" spans="1:12" x14ac:dyDescent="0.25">
      <c r="A550" s="485" t="s">
        <v>220</v>
      </c>
      <c r="B550" s="485" t="s">
        <v>588</v>
      </c>
      <c r="C550" s="485" t="s">
        <v>1164</v>
      </c>
      <c r="D550" s="485" t="s">
        <v>1165</v>
      </c>
      <c r="E550" s="485" t="s">
        <v>545</v>
      </c>
      <c r="F550" s="482">
        <v>40000</v>
      </c>
      <c r="G550" s="468">
        <v>1.2058452589383868</v>
      </c>
      <c r="H550" s="479">
        <v>48233.810357535469</v>
      </c>
      <c r="I550" s="480" t="s">
        <v>9009</v>
      </c>
      <c r="J550" s="468" t="s">
        <v>9015</v>
      </c>
      <c r="K550" s="468" t="s">
        <v>8996</v>
      </c>
      <c r="L550" s="468" t="s">
        <v>541</v>
      </c>
    </row>
    <row r="551" spans="1:12" x14ac:dyDescent="0.25">
      <c r="A551" s="485" t="s">
        <v>220</v>
      </c>
      <c r="B551" s="485" t="s">
        <v>588</v>
      </c>
      <c r="C551" s="485" t="s">
        <v>1166</v>
      </c>
      <c r="D551" s="485" t="s">
        <v>1167</v>
      </c>
      <c r="E551" s="485" t="s">
        <v>545</v>
      </c>
      <c r="F551" s="482">
        <v>82500</v>
      </c>
      <c r="G551" s="468">
        <v>0.3353815087095105</v>
      </c>
      <c r="H551" s="479">
        <v>27668.974468534616</v>
      </c>
      <c r="I551" s="480" t="s">
        <v>9009</v>
      </c>
      <c r="J551" s="468" t="s">
        <v>9015</v>
      </c>
      <c r="K551" s="468" t="s">
        <v>8996</v>
      </c>
      <c r="L551" s="468" t="s">
        <v>541</v>
      </c>
    </row>
    <row r="552" spans="1:12" x14ac:dyDescent="0.25">
      <c r="A552" s="485" t="s">
        <v>220</v>
      </c>
      <c r="B552" s="485" t="s">
        <v>588</v>
      </c>
      <c r="C552" s="485" t="s">
        <v>1168</v>
      </c>
      <c r="D552" s="485" t="s">
        <v>1169</v>
      </c>
      <c r="E552" s="485" t="s">
        <v>545</v>
      </c>
      <c r="F552" s="482">
        <v>104000</v>
      </c>
      <c r="G552" s="468">
        <v>0.12701501758475559</v>
      </c>
      <c r="H552" s="479">
        <v>13209.561828814582</v>
      </c>
      <c r="I552" s="480" t="s">
        <v>9009</v>
      </c>
      <c r="J552" s="468" t="s">
        <v>9015</v>
      </c>
      <c r="K552" s="468" t="s">
        <v>8996</v>
      </c>
      <c r="L552" s="468" t="s">
        <v>541</v>
      </c>
    </row>
    <row r="553" spans="1:12" x14ac:dyDescent="0.25">
      <c r="A553" s="485" t="s">
        <v>220</v>
      </c>
      <c r="B553" s="485" t="s">
        <v>588</v>
      </c>
      <c r="C553" s="485" t="s">
        <v>1170</v>
      </c>
      <c r="D553" s="485" t="s">
        <v>1171</v>
      </c>
      <c r="E553" s="485" t="s">
        <v>545</v>
      </c>
      <c r="F553" s="482">
        <v>2300</v>
      </c>
      <c r="G553" s="468">
        <v>0.93449681548994601</v>
      </c>
      <c r="H553" s="479">
        <v>2149.3426756268759</v>
      </c>
      <c r="I553" s="480" t="s">
        <v>9009</v>
      </c>
      <c r="J553" s="468" t="s">
        <v>9015</v>
      </c>
      <c r="K553" s="468" t="s">
        <v>8996</v>
      </c>
      <c r="L553" s="468" t="s">
        <v>541</v>
      </c>
    </row>
    <row r="554" spans="1:12" x14ac:dyDescent="0.25">
      <c r="A554" s="485" t="s">
        <v>220</v>
      </c>
      <c r="B554" s="485" t="s">
        <v>588</v>
      </c>
      <c r="C554" s="485" t="s">
        <v>1172</v>
      </c>
      <c r="D554" s="485" t="s">
        <v>1173</v>
      </c>
      <c r="E554" s="485" t="s">
        <v>545</v>
      </c>
      <c r="F554" s="482">
        <v>17000</v>
      </c>
      <c r="G554" s="468">
        <v>0.45292966504642573</v>
      </c>
      <c r="H554" s="479">
        <v>7699.8043057892373</v>
      </c>
      <c r="I554" s="480" t="s">
        <v>9009</v>
      </c>
      <c r="J554" s="468" t="s">
        <v>9015</v>
      </c>
      <c r="K554" s="468" t="s">
        <v>8996</v>
      </c>
      <c r="L554" s="468" t="s">
        <v>541</v>
      </c>
    </row>
    <row r="555" spans="1:12" x14ac:dyDescent="0.25">
      <c r="A555" s="485" t="s">
        <v>220</v>
      </c>
      <c r="B555" s="485" t="s">
        <v>588</v>
      </c>
      <c r="C555" s="485" t="s">
        <v>7536</v>
      </c>
      <c r="D555" s="485" t="s">
        <v>7537</v>
      </c>
      <c r="E555" s="485" t="s">
        <v>545</v>
      </c>
      <c r="F555" s="482">
        <v>36000</v>
      </c>
      <c r="G555" s="468">
        <v>0.40744079999999994</v>
      </c>
      <c r="H555" s="479">
        <v>14667.868799999998</v>
      </c>
      <c r="I555" s="480" t="s">
        <v>9009</v>
      </c>
      <c r="J555" s="468" t="s">
        <v>9015</v>
      </c>
      <c r="K555" s="468" t="s">
        <v>8996</v>
      </c>
      <c r="L555" s="468" t="s">
        <v>541</v>
      </c>
    </row>
    <row r="556" spans="1:12" x14ac:dyDescent="0.25">
      <c r="A556" s="485" t="s">
        <v>220</v>
      </c>
      <c r="B556" s="485" t="s">
        <v>588</v>
      </c>
      <c r="C556" s="485" t="s">
        <v>1180</v>
      </c>
      <c r="D556" s="485" t="s">
        <v>1181</v>
      </c>
      <c r="E556" s="485" t="s">
        <v>545</v>
      </c>
      <c r="F556" s="482">
        <v>53000</v>
      </c>
      <c r="G556" s="468">
        <v>8.9777293041835862E-2</v>
      </c>
      <c r="H556" s="479">
        <v>4758.1965312173006</v>
      </c>
      <c r="I556" s="480" t="s">
        <v>9009</v>
      </c>
      <c r="J556" s="468" t="s">
        <v>9015</v>
      </c>
      <c r="K556" s="468" t="s">
        <v>8996</v>
      </c>
      <c r="L556" s="468" t="s">
        <v>541</v>
      </c>
    </row>
    <row r="557" spans="1:12" x14ac:dyDescent="0.25">
      <c r="A557" s="485" t="s">
        <v>220</v>
      </c>
      <c r="B557" s="485" t="s">
        <v>588</v>
      </c>
      <c r="C557" s="485" t="s">
        <v>1182</v>
      </c>
      <c r="D557" s="485" t="s">
        <v>1183</v>
      </c>
      <c r="E557" s="485" t="s">
        <v>545</v>
      </c>
      <c r="F557" s="482">
        <v>8000</v>
      </c>
      <c r="G557" s="468">
        <v>5.0160191444765453E-2</v>
      </c>
      <c r="H557" s="479">
        <v>401.28153155812362</v>
      </c>
      <c r="I557" s="480" t="s">
        <v>9009</v>
      </c>
      <c r="J557" s="468" t="s">
        <v>9015</v>
      </c>
      <c r="K557" s="468" t="s">
        <v>8996</v>
      </c>
      <c r="L557" s="468" t="s">
        <v>541</v>
      </c>
    </row>
    <row r="558" spans="1:12" x14ac:dyDescent="0.25">
      <c r="A558" s="485" t="s">
        <v>220</v>
      </c>
      <c r="B558" s="485" t="s">
        <v>588</v>
      </c>
      <c r="C558" s="485" t="s">
        <v>1184</v>
      </c>
      <c r="D558" s="485" t="s">
        <v>1185</v>
      </c>
      <c r="E558" s="485" t="s">
        <v>545</v>
      </c>
      <c r="F558" s="482">
        <v>9000</v>
      </c>
      <c r="G558" s="468">
        <v>5.8254564271935781E-2</v>
      </c>
      <c r="H558" s="479">
        <v>524.29107844742202</v>
      </c>
      <c r="I558" s="480" t="s">
        <v>9009</v>
      </c>
      <c r="J558" s="468" t="s">
        <v>9015</v>
      </c>
      <c r="K558" s="468" t="s">
        <v>8996</v>
      </c>
      <c r="L558" s="468" t="s">
        <v>541</v>
      </c>
    </row>
    <row r="559" spans="1:12" x14ac:dyDescent="0.25">
      <c r="A559" s="485" t="s">
        <v>220</v>
      </c>
      <c r="B559" s="485" t="s">
        <v>588</v>
      </c>
      <c r="C559" s="485" t="s">
        <v>1186</v>
      </c>
      <c r="D559" s="485" t="s">
        <v>1187</v>
      </c>
      <c r="E559" s="485" t="s">
        <v>545</v>
      </c>
      <c r="F559" s="482">
        <v>48000</v>
      </c>
      <c r="G559" s="468">
        <v>0.1156156465610106</v>
      </c>
      <c r="H559" s="479">
        <v>5549.5510349285087</v>
      </c>
      <c r="I559" s="480" t="s">
        <v>9009</v>
      </c>
      <c r="J559" s="468" t="s">
        <v>9015</v>
      </c>
      <c r="K559" s="468" t="s">
        <v>8996</v>
      </c>
      <c r="L559" s="468" t="s">
        <v>541</v>
      </c>
    </row>
    <row r="560" spans="1:12" x14ac:dyDescent="0.25">
      <c r="A560" s="485" t="s">
        <v>220</v>
      </c>
      <c r="B560" s="485" t="s">
        <v>588</v>
      </c>
      <c r="C560" s="485" t="s">
        <v>1188</v>
      </c>
      <c r="D560" s="485" t="s">
        <v>1189</v>
      </c>
      <c r="E560" s="485" t="s">
        <v>545</v>
      </c>
      <c r="F560" s="482">
        <v>48000</v>
      </c>
      <c r="G560" s="468">
        <v>0.11390237598642186</v>
      </c>
      <c r="H560" s="479">
        <v>5467.314047348249</v>
      </c>
      <c r="I560" s="480" t="s">
        <v>9009</v>
      </c>
      <c r="J560" s="468" t="s">
        <v>9015</v>
      </c>
      <c r="K560" s="468" t="s">
        <v>8996</v>
      </c>
      <c r="L560" s="468" t="s">
        <v>541</v>
      </c>
    </row>
    <row r="561" spans="1:12" x14ac:dyDescent="0.25">
      <c r="A561" s="485" t="s">
        <v>220</v>
      </c>
      <c r="B561" s="485" t="s">
        <v>588</v>
      </c>
      <c r="C561" s="485" t="s">
        <v>1190</v>
      </c>
      <c r="D561" s="485" t="s">
        <v>1191</v>
      </c>
      <c r="E561" s="485" t="s">
        <v>545</v>
      </c>
      <c r="F561" s="482">
        <v>6000</v>
      </c>
      <c r="G561" s="468">
        <v>0.10091700000000001</v>
      </c>
      <c r="H561" s="479">
        <v>605.50200000000007</v>
      </c>
      <c r="I561" s="480" t="s">
        <v>9009</v>
      </c>
      <c r="J561" s="468" t="s">
        <v>9015</v>
      </c>
      <c r="K561" s="468" t="s">
        <v>8996</v>
      </c>
      <c r="L561" s="468" t="s">
        <v>541</v>
      </c>
    </row>
    <row r="562" spans="1:12" x14ac:dyDescent="0.25">
      <c r="A562" s="485" t="s">
        <v>220</v>
      </c>
      <c r="B562" s="485" t="s">
        <v>588</v>
      </c>
      <c r="C562" s="485" t="s">
        <v>1192</v>
      </c>
      <c r="D562" s="485" t="s">
        <v>1193</v>
      </c>
      <c r="E562" s="485" t="s">
        <v>545</v>
      </c>
      <c r="F562" s="482">
        <v>1400</v>
      </c>
      <c r="G562" s="468">
        <v>1.5958152173460489</v>
      </c>
      <c r="H562" s="479">
        <v>2234.1413042844683</v>
      </c>
      <c r="I562" s="480" t="s">
        <v>9009</v>
      </c>
      <c r="J562" s="468" t="s">
        <v>9015</v>
      </c>
      <c r="K562" s="468" t="s">
        <v>8996</v>
      </c>
      <c r="L562" s="468" t="s">
        <v>541</v>
      </c>
    </row>
    <row r="563" spans="1:12" x14ac:dyDescent="0.25">
      <c r="A563" s="485" t="s">
        <v>220</v>
      </c>
      <c r="B563" s="485" t="s">
        <v>588</v>
      </c>
      <c r="C563" s="485" t="s">
        <v>1194</v>
      </c>
      <c r="D563" s="485" t="s">
        <v>1195</v>
      </c>
      <c r="E563" s="485" t="s">
        <v>545</v>
      </c>
      <c r="F563" s="482">
        <v>1400</v>
      </c>
      <c r="G563" s="468">
        <v>1.5899074534561191</v>
      </c>
      <c r="H563" s="479">
        <v>2225.8704348385668</v>
      </c>
      <c r="I563" s="480" t="s">
        <v>9009</v>
      </c>
      <c r="J563" s="468" t="s">
        <v>9015</v>
      </c>
      <c r="K563" s="468" t="s">
        <v>8996</v>
      </c>
      <c r="L563" s="468" t="s">
        <v>541</v>
      </c>
    </row>
    <row r="564" spans="1:12" x14ac:dyDescent="0.25">
      <c r="A564" s="485" t="s">
        <v>220</v>
      </c>
      <c r="B564" s="485" t="s">
        <v>588</v>
      </c>
      <c r="C564" s="485" t="s">
        <v>1196</v>
      </c>
      <c r="D564" s="485" t="s">
        <v>1197</v>
      </c>
      <c r="E564" s="485" t="s">
        <v>545</v>
      </c>
      <c r="F564" s="482">
        <v>3300</v>
      </c>
      <c r="G564" s="468">
        <v>0.30656946187705758</v>
      </c>
      <c r="H564" s="479">
        <v>1011.67922419429</v>
      </c>
      <c r="I564" s="480" t="s">
        <v>9009</v>
      </c>
      <c r="J564" s="468" t="s">
        <v>9015</v>
      </c>
      <c r="K564" s="468" t="s">
        <v>8996</v>
      </c>
      <c r="L564" s="468" t="s">
        <v>541</v>
      </c>
    </row>
    <row r="565" spans="1:12" x14ac:dyDescent="0.25">
      <c r="A565" s="485" t="s">
        <v>220</v>
      </c>
      <c r="B565" s="485" t="s">
        <v>588</v>
      </c>
      <c r="C565" s="485" t="s">
        <v>1198</v>
      </c>
      <c r="D565" s="485" t="s">
        <v>1199</v>
      </c>
      <c r="E565" s="485" t="s">
        <v>545</v>
      </c>
      <c r="F565" s="482">
        <v>3400</v>
      </c>
      <c r="G565" s="468">
        <v>0.31121829529102618</v>
      </c>
      <c r="H565" s="479">
        <v>1058.142203989489</v>
      </c>
      <c r="I565" s="480" t="s">
        <v>9009</v>
      </c>
      <c r="J565" s="468" t="s">
        <v>9015</v>
      </c>
      <c r="K565" s="468" t="s">
        <v>8996</v>
      </c>
      <c r="L565" s="468" t="s">
        <v>541</v>
      </c>
    </row>
    <row r="566" spans="1:12" x14ac:dyDescent="0.25">
      <c r="A566" s="485" t="s">
        <v>220</v>
      </c>
      <c r="B566" s="485" t="s">
        <v>588</v>
      </c>
      <c r="C566" s="485" t="s">
        <v>1200</v>
      </c>
      <c r="D566" s="485" t="s">
        <v>1201</v>
      </c>
      <c r="E566" s="485" t="s">
        <v>545</v>
      </c>
      <c r="F566" s="482">
        <v>1650</v>
      </c>
      <c r="G566" s="468">
        <v>0.19247513901472693</v>
      </c>
      <c r="H566" s="479">
        <v>317.58397937429942</v>
      </c>
      <c r="I566" s="480" t="s">
        <v>9009</v>
      </c>
      <c r="J566" s="468" t="s">
        <v>9015</v>
      </c>
      <c r="K566" s="468" t="s">
        <v>8996</v>
      </c>
      <c r="L566" s="468" t="s">
        <v>541</v>
      </c>
    </row>
    <row r="567" spans="1:12" x14ac:dyDescent="0.25">
      <c r="A567" s="485" t="s">
        <v>220</v>
      </c>
      <c r="B567" s="485" t="s">
        <v>588</v>
      </c>
      <c r="C567" s="485" t="s">
        <v>1202</v>
      </c>
      <c r="D567" s="485" t="s">
        <v>1203</v>
      </c>
      <c r="E567" s="485" t="s">
        <v>545</v>
      </c>
      <c r="F567" s="482">
        <v>550</v>
      </c>
      <c r="G567" s="468">
        <v>0.19247513901472693</v>
      </c>
      <c r="H567" s="479">
        <v>105.86132645809981</v>
      </c>
      <c r="I567" s="480" t="s">
        <v>9009</v>
      </c>
      <c r="J567" s="468" t="s">
        <v>9015</v>
      </c>
      <c r="K567" s="468" t="s">
        <v>8996</v>
      </c>
      <c r="L567" s="468" t="s">
        <v>541</v>
      </c>
    </row>
    <row r="568" spans="1:12" x14ac:dyDescent="0.25">
      <c r="A568" s="485" t="s">
        <v>220</v>
      </c>
      <c r="B568" s="485" t="s">
        <v>588</v>
      </c>
      <c r="C568" s="485" t="s">
        <v>1204</v>
      </c>
      <c r="D568" s="485" t="s">
        <v>1205</v>
      </c>
      <c r="E568" s="485" t="s">
        <v>545</v>
      </c>
      <c r="F568" s="482">
        <v>28000</v>
      </c>
      <c r="G568" s="468">
        <v>3.8978021672145598E-2</v>
      </c>
      <c r="H568" s="479">
        <v>1091.3846068200767</v>
      </c>
      <c r="I568" s="480" t="s">
        <v>9009</v>
      </c>
      <c r="J568" s="468" t="s">
        <v>9015</v>
      </c>
      <c r="K568" s="468" t="s">
        <v>8996</v>
      </c>
      <c r="L568" s="468" t="s">
        <v>541</v>
      </c>
    </row>
    <row r="569" spans="1:12" x14ac:dyDescent="0.25">
      <c r="A569" s="485" t="s">
        <v>220</v>
      </c>
      <c r="B569" s="485" t="s">
        <v>588</v>
      </c>
      <c r="C569" s="485" t="s">
        <v>1206</v>
      </c>
      <c r="D569" s="485" t="s">
        <v>1207</v>
      </c>
      <c r="E569" s="485" t="s">
        <v>545</v>
      </c>
      <c r="F569" s="482">
        <v>28000</v>
      </c>
      <c r="G569" s="468">
        <v>2.9152998195158684E-2</v>
      </c>
      <c r="H569" s="479">
        <v>816.28394946444314</v>
      </c>
      <c r="I569" s="480" t="s">
        <v>9009</v>
      </c>
      <c r="J569" s="468" t="s">
        <v>9015</v>
      </c>
      <c r="K569" s="468" t="s">
        <v>8996</v>
      </c>
      <c r="L569" s="468" t="s">
        <v>541</v>
      </c>
    </row>
    <row r="570" spans="1:12" x14ac:dyDescent="0.25">
      <c r="A570" s="485" t="s">
        <v>220</v>
      </c>
      <c r="B570" s="485" t="s">
        <v>588</v>
      </c>
      <c r="C570" s="485" t="s">
        <v>1208</v>
      </c>
      <c r="D570" s="485" t="s">
        <v>1209</v>
      </c>
      <c r="E570" s="485" t="s">
        <v>545</v>
      </c>
      <c r="F570" s="482">
        <v>3500</v>
      </c>
      <c r="G570" s="468">
        <v>6.8229999999999999E-2</v>
      </c>
      <c r="H570" s="479">
        <v>238.80500000000001</v>
      </c>
      <c r="I570" s="480" t="s">
        <v>9009</v>
      </c>
      <c r="J570" s="468" t="s">
        <v>9015</v>
      </c>
      <c r="K570" s="468" t="s">
        <v>8996</v>
      </c>
      <c r="L570" s="468" t="s">
        <v>541</v>
      </c>
    </row>
    <row r="571" spans="1:12" x14ac:dyDescent="0.25">
      <c r="A571" s="485" t="s">
        <v>220</v>
      </c>
      <c r="B571" s="485" t="s">
        <v>588</v>
      </c>
      <c r="C571" s="485" t="s">
        <v>1210</v>
      </c>
      <c r="D571" s="485" t="s">
        <v>1211</v>
      </c>
      <c r="E571" s="485" t="s">
        <v>545</v>
      </c>
      <c r="F571" s="482">
        <v>3500</v>
      </c>
      <c r="G571" s="468">
        <v>7.4069999999999997E-2</v>
      </c>
      <c r="H571" s="479">
        <v>259.245</v>
      </c>
      <c r="I571" s="480" t="s">
        <v>9009</v>
      </c>
      <c r="J571" s="468" t="s">
        <v>9015</v>
      </c>
      <c r="K571" s="468" t="s">
        <v>8996</v>
      </c>
      <c r="L571" s="468" t="s">
        <v>541</v>
      </c>
    </row>
    <row r="572" spans="1:12" x14ac:dyDescent="0.25">
      <c r="A572" s="485" t="s">
        <v>220</v>
      </c>
      <c r="B572" s="485" t="s">
        <v>588</v>
      </c>
      <c r="C572" s="485" t="s">
        <v>1212</v>
      </c>
      <c r="D572" s="485" t="s">
        <v>1213</v>
      </c>
      <c r="E572" s="485" t="s">
        <v>545</v>
      </c>
      <c r="F572" s="482">
        <v>31500</v>
      </c>
      <c r="G572" s="468">
        <v>0.02</v>
      </c>
      <c r="H572" s="479">
        <v>630</v>
      </c>
      <c r="I572" s="480" t="s">
        <v>9009</v>
      </c>
      <c r="J572" s="468" t="s">
        <v>9015</v>
      </c>
      <c r="K572" s="468" t="s">
        <v>8996</v>
      </c>
      <c r="L572" s="468" t="s">
        <v>541</v>
      </c>
    </row>
    <row r="573" spans="1:12" x14ac:dyDescent="0.25">
      <c r="A573" s="485" t="s">
        <v>220</v>
      </c>
      <c r="B573" s="485" t="s">
        <v>588</v>
      </c>
      <c r="C573" s="485" t="s">
        <v>1214</v>
      </c>
      <c r="D573" s="485" t="s">
        <v>1215</v>
      </c>
      <c r="E573" s="485" t="s">
        <v>545</v>
      </c>
      <c r="F573" s="482">
        <v>24500</v>
      </c>
      <c r="G573" s="468">
        <v>2.9388946604938272E-2</v>
      </c>
      <c r="H573" s="479">
        <v>720.02919182098765</v>
      </c>
      <c r="I573" s="480" t="s">
        <v>9009</v>
      </c>
      <c r="J573" s="468" t="s">
        <v>9015</v>
      </c>
      <c r="K573" s="468" t="s">
        <v>8996</v>
      </c>
      <c r="L573" s="468" t="s">
        <v>541</v>
      </c>
    </row>
    <row r="574" spans="1:12" x14ac:dyDescent="0.25">
      <c r="A574" s="485" t="s">
        <v>220</v>
      </c>
      <c r="B574" s="485" t="s">
        <v>588</v>
      </c>
      <c r="C574" s="485" t="s">
        <v>1216</v>
      </c>
      <c r="D574" s="485" t="s">
        <v>1217</v>
      </c>
      <c r="E574" s="485" t="s">
        <v>545</v>
      </c>
      <c r="F574" s="482">
        <v>16800</v>
      </c>
      <c r="G574" s="468">
        <v>0.21706792569123495</v>
      </c>
      <c r="H574" s="479">
        <v>3646.7411516127472</v>
      </c>
      <c r="I574" s="480" t="s">
        <v>9009</v>
      </c>
      <c r="J574" s="468" t="s">
        <v>9015</v>
      </c>
      <c r="K574" s="468" t="s">
        <v>8996</v>
      </c>
      <c r="L574" s="468" t="s">
        <v>541</v>
      </c>
    </row>
    <row r="575" spans="1:12" x14ac:dyDescent="0.25">
      <c r="A575" s="485" t="s">
        <v>220</v>
      </c>
      <c r="B575" s="485" t="s">
        <v>588</v>
      </c>
      <c r="C575" s="485" t="s">
        <v>1218</v>
      </c>
      <c r="D575" s="485" t="s">
        <v>1219</v>
      </c>
      <c r="E575" s="485" t="s">
        <v>545</v>
      </c>
      <c r="F575" s="482">
        <v>15800</v>
      </c>
      <c r="G575" s="468">
        <v>0.21673623060626437</v>
      </c>
      <c r="H575" s="479">
        <v>3424.4324435789772</v>
      </c>
      <c r="I575" s="480" t="s">
        <v>9009</v>
      </c>
      <c r="J575" s="468" t="s">
        <v>9015</v>
      </c>
      <c r="K575" s="468" t="s">
        <v>8996</v>
      </c>
      <c r="L575" s="468" t="s">
        <v>541</v>
      </c>
    </row>
    <row r="576" spans="1:12" x14ac:dyDescent="0.25">
      <c r="A576" s="485" t="s">
        <v>220</v>
      </c>
      <c r="B576" s="485" t="s">
        <v>588</v>
      </c>
      <c r="C576" s="485" t="s">
        <v>1220</v>
      </c>
      <c r="D576" s="485" t="s">
        <v>1221</v>
      </c>
      <c r="E576" s="485" t="s">
        <v>545</v>
      </c>
      <c r="F576" s="482">
        <v>16000</v>
      </c>
      <c r="G576" s="468">
        <v>0.31069942089151237</v>
      </c>
      <c r="H576" s="479">
        <v>4971.190734264198</v>
      </c>
      <c r="I576" s="480" t="s">
        <v>9009</v>
      </c>
      <c r="J576" s="468" t="s">
        <v>9015</v>
      </c>
      <c r="K576" s="468" t="s">
        <v>8996</v>
      </c>
      <c r="L576" s="468" t="s">
        <v>541</v>
      </c>
    </row>
    <row r="577" spans="1:12" x14ac:dyDescent="0.25">
      <c r="A577" s="485" t="s">
        <v>220</v>
      </c>
      <c r="B577" s="485" t="s">
        <v>588</v>
      </c>
      <c r="C577" s="485" t="s">
        <v>1222</v>
      </c>
      <c r="D577" s="485" t="s">
        <v>1223</v>
      </c>
      <c r="E577" s="485" t="s">
        <v>545</v>
      </c>
      <c r="F577" s="482">
        <v>17500</v>
      </c>
      <c r="G577" s="468">
        <v>0.32341733686187341</v>
      </c>
      <c r="H577" s="479">
        <v>5659.8033950827848</v>
      </c>
      <c r="I577" s="480" t="s">
        <v>9009</v>
      </c>
      <c r="J577" s="468" t="s">
        <v>9015</v>
      </c>
      <c r="K577" s="468" t="s">
        <v>8996</v>
      </c>
      <c r="L577" s="468" t="s">
        <v>541</v>
      </c>
    </row>
    <row r="578" spans="1:12" x14ac:dyDescent="0.25">
      <c r="A578" s="485" t="s">
        <v>220</v>
      </c>
      <c r="B578" s="485" t="s">
        <v>588</v>
      </c>
      <c r="C578" s="485" t="s">
        <v>1224</v>
      </c>
      <c r="D578" s="485" t="s">
        <v>1225</v>
      </c>
      <c r="E578" s="485" t="s">
        <v>545</v>
      </c>
      <c r="F578" s="482">
        <v>1000</v>
      </c>
      <c r="G578" s="468">
        <v>0.7689095750960816</v>
      </c>
      <c r="H578" s="479">
        <v>768.90957509608165</v>
      </c>
      <c r="I578" s="480" t="s">
        <v>9009</v>
      </c>
      <c r="J578" s="468" t="s">
        <v>9015</v>
      </c>
      <c r="K578" s="468" t="s">
        <v>8996</v>
      </c>
      <c r="L578" s="468" t="s">
        <v>541</v>
      </c>
    </row>
    <row r="579" spans="1:12" x14ac:dyDescent="0.25">
      <c r="A579" s="485" t="s">
        <v>220</v>
      </c>
      <c r="B579" s="485" t="s">
        <v>588</v>
      </c>
      <c r="C579" s="485" t="s">
        <v>1226</v>
      </c>
      <c r="D579" s="485" t="s">
        <v>1227</v>
      </c>
      <c r="E579" s="485" t="s">
        <v>545</v>
      </c>
      <c r="F579" s="482">
        <v>1000</v>
      </c>
      <c r="G579" s="468">
        <v>0.76304576429719428</v>
      </c>
      <c r="H579" s="479">
        <v>763.0457642971943</v>
      </c>
      <c r="I579" s="480" t="s">
        <v>9009</v>
      </c>
      <c r="J579" s="468" t="s">
        <v>9015</v>
      </c>
      <c r="K579" s="468" t="s">
        <v>8996</v>
      </c>
      <c r="L579" s="468" t="s">
        <v>541</v>
      </c>
    </row>
    <row r="580" spans="1:12" x14ac:dyDescent="0.25">
      <c r="A580" s="485" t="s">
        <v>220</v>
      </c>
      <c r="B580" s="485" t="s">
        <v>588</v>
      </c>
      <c r="C580" s="485" t="s">
        <v>1228</v>
      </c>
      <c r="D580" s="485" t="s">
        <v>1229</v>
      </c>
      <c r="E580" s="485" t="s">
        <v>545</v>
      </c>
      <c r="F580" s="482">
        <v>54500</v>
      </c>
      <c r="G580" s="468">
        <v>0.19595903981459409</v>
      </c>
      <c r="H580" s="479">
        <v>10679.767669895378</v>
      </c>
      <c r="I580" s="480" t="s">
        <v>9009</v>
      </c>
      <c r="J580" s="468" t="s">
        <v>9015</v>
      </c>
      <c r="K580" s="468" t="s">
        <v>8996</v>
      </c>
      <c r="L580" s="468" t="s">
        <v>541</v>
      </c>
    </row>
    <row r="581" spans="1:12" x14ac:dyDescent="0.25">
      <c r="A581" s="485" t="s">
        <v>220</v>
      </c>
      <c r="B581" s="485" t="s">
        <v>588</v>
      </c>
      <c r="C581" s="485" t="s">
        <v>1230</v>
      </c>
      <c r="D581" s="485" t="s">
        <v>1231</v>
      </c>
      <c r="E581" s="485" t="s">
        <v>545</v>
      </c>
      <c r="F581" s="482">
        <v>74500</v>
      </c>
      <c r="G581" s="468">
        <v>0.21298721893710454</v>
      </c>
      <c r="H581" s="479">
        <v>15867.547810814289</v>
      </c>
      <c r="I581" s="480" t="s">
        <v>9009</v>
      </c>
      <c r="J581" s="468" t="s">
        <v>9015</v>
      </c>
      <c r="K581" s="468" t="s">
        <v>8996</v>
      </c>
      <c r="L581" s="468" t="s">
        <v>541</v>
      </c>
    </row>
    <row r="582" spans="1:12" x14ac:dyDescent="0.25">
      <c r="A582" s="485" t="s">
        <v>220</v>
      </c>
      <c r="B582" s="485" t="s">
        <v>588</v>
      </c>
      <c r="C582" s="485" t="s">
        <v>1232</v>
      </c>
      <c r="D582" s="485" t="s">
        <v>1233</v>
      </c>
      <c r="E582" s="485" t="s">
        <v>545</v>
      </c>
      <c r="F582" s="482">
        <v>21500</v>
      </c>
      <c r="G582" s="468">
        <v>0.21592086490107051</v>
      </c>
      <c r="H582" s="479">
        <v>4642.2985953730158</v>
      </c>
      <c r="I582" s="480" t="s">
        <v>9009</v>
      </c>
      <c r="J582" s="468" t="s">
        <v>9015</v>
      </c>
      <c r="K582" s="468" t="s">
        <v>8996</v>
      </c>
      <c r="L582" s="468" t="s">
        <v>541</v>
      </c>
    </row>
    <row r="583" spans="1:12" x14ac:dyDescent="0.25">
      <c r="A583" s="485" t="s">
        <v>220</v>
      </c>
      <c r="B583" s="485" t="s">
        <v>588</v>
      </c>
      <c r="C583" s="485" t="s">
        <v>1234</v>
      </c>
      <c r="D583" s="485" t="s">
        <v>1235</v>
      </c>
      <c r="E583" s="485" t="s">
        <v>545</v>
      </c>
      <c r="F583" s="482">
        <v>15000</v>
      </c>
      <c r="G583" s="468">
        <v>6.8861855497382204E-2</v>
      </c>
      <c r="H583" s="479">
        <v>1032.927832460733</v>
      </c>
      <c r="I583" s="480" t="s">
        <v>9009</v>
      </c>
      <c r="J583" s="468" t="s">
        <v>9015</v>
      </c>
      <c r="K583" s="468" t="s">
        <v>8996</v>
      </c>
      <c r="L583" s="468" t="s">
        <v>541</v>
      </c>
    </row>
    <row r="584" spans="1:12" x14ac:dyDescent="0.25">
      <c r="A584" s="485" t="s">
        <v>220</v>
      </c>
      <c r="B584" s="485" t="s">
        <v>588</v>
      </c>
      <c r="C584" s="485" t="s">
        <v>1236</v>
      </c>
      <c r="D584" s="485" t="s">
        <v>1237</v>
      </c>
      <c r="E584" s="485" t="s">
        <v>545</v>
      </c>
      <c r="F584" s="482">
        <v>700</v>
      </c>
      <c r="G584" s="468">
        <v>0.11899999999999998</v>
      </c>
      <c r="H584" s="479">
        <v>83.299999999999983</v>
      </c>
      <c r="I584" s="480" t="s">
        <v>9009</v>
      </c>
      <c r="J584" s="468" t="s">
        <v>9015</v>
      </c>
      <c r="K584" s="468" t="s">
        <v>8996</v>
      </c>
      <c r="L584" s="468" t="s">
        <v>541</v>
      </c>
    </row>
    <row r="585" spans="1:12" x14ac:dyDescent="0.25">
      <c r="A585" s="485" t="s">
        <v>220</v>
      </c>
      <c r="B585" s="485" t="s">
        <v>588</v>
      </c>
      <c r="C585" s="485" t="s">
        <v>1238</v>
      </c>
      <c r="D585" s="485" t="s">
        <v>1239</v>
      </c>
      <c r="E585" s="485" t="s">
        <v>545</v>
      </c>
      <c r="F585" s="482">
        <v>23400</v>
      </c>
      <c r="G585" s="468">
        <v>0.21616069729586479</v>
      </c>
      <c r="H585" s="479">
        <v>5058.1603167232361</v>
      </c>
      <c r="I585" s="480" t="s">
        <v>9009</v>
      </c>
      <c r="J585" s="468" t="s">
        <v>9015</v>
      </c>
      <c r="K585" s="468" t="s">
        <v>8996</v>
      </c>
      <c r="L585" s="468" t="s">
        <v>541</v>
      </c>
    </row>
    <row r="586" spans="1:12" x14ac:dyDescent="0.25">
      <c r="A586" s="485" t="s">
        <v>220</v>
      </c>
      <c r="B586" s="485" t="s">
        <v>588</v>
      </c>
      <c r="C586" s="485" t="s">
        <v>1240</v>
      </c>
      <c r="D586" s="485" t="s">
        <v>1241</v>
      </c>
      <c r="E586" s="485" t="s">
        <v>545</v>
      </c>
      <c r="F586" s="482">
        <v>11500</v>
      </c>
      <c r="G586" s="468">
        <v>0.2422969797566194</v>
      </c>
      <c r="H586" s="479">
        <v>2786.4152672011232</v>
      </c>
      <c r="I586" s="480" t="s">
        <v>9009</v>
      </c>
      <c r="J586" s="468" t="s">
        <v>9015</v>
      </c>
      <c r="K586" s="468" t="s">
        <v>8996</v>
      </c>
      <c r="L586" s="468" t="s">
        <v>541</v>
      </c>
    </row>
    <row r="587" spans="1:12" x14ac:dyDescent="0.25">
      <c r="A587" s="485" t="s">
        <v>220</v>
      </c>
      <c r="B587" s="485" t="s">
        <v>588</v>
      </c>
      <c r="C587" s="485" t="s">
        <v>1242</v>
      </c>
      <c r="D587" s="485" t="s">
        <v>1243</v>
      </c>
      <c r="E587" s="485" t="s">
        <v>545</v>
      </c>
      <c r="F587" s="482">
        <v>7750</v>
      </c>
      <c r="G587" s="468">
        <v>0.15</v>
      </c>
      <c r="H587" s="479">
        <v>1162.5</v>
      </c>
      <c r="I587" s="480" t="s">
        <v>9009</v>
      </c>
      <c r="J587" s="468" t="s">
        <v>9015</v>
      </c>
      <c r="K587" s="468" t="s">
        <v>8996</v>
      </c>
      <c r="L587" s="468" t="s">
        <v>541</v>
      </c>
    </row>
    <row r="588" spans="1:12" x14ac:dyDescent="0.25">
      <c r="A588" s="485" t="s">
        <v>220</v>
      </c>
      <c r="B588" s="485" t="s">
        <v>588</v>
      </c>
      <c r="C588" s="485" t="s">
        <v>1244</v>
      </c>
      <c r="D588" s="485" t="s">
        <v>1245</v>
      </c>
      <c r="E588" s="485" t="s">
        <v>545</v>
      </c>
      <c r="F588" s="482">
        <v>34550</v>
      </c>
      <c r="G588" s="468">
        <v>0.27298834526912963</v>
      </c>
      <c r="H588" s="479">
        <v>9431.7473290484286</v>
      </c>
      <c r="I588" s="480" t="s">
        <v>9009</v>
      </c>
      <c r="J588" s="468" t="s">
        <v>9015</v>
      </c>
      <c r="K588" s="468" t="s">
        <v>8996</v>
      </c>
      <c r="L588" s="468" t="s">
        <v>541</v>
      </c>
    </row>
    <row r="589" spans="1:12" x14ac:dyDescent="0.25">
      <c r="A589" s="485" t="s">
        <v>220</v>
      </c>
      <c r="B589" s="485" t="s">
        <v>588</v>
      </c>
      <c r="C589" s="485" t="s">
        <v>1246</v>
      </c>
      <c r="D589" s="485" t="s">
        <v>1247</v>
      </c>
      <c r="E589" s="485" t="s">
        <v>545</v>
      </c>
      <c r="F589" s="482">
        <v>23500</v>
      </c>
      <c r="G589" s="468">
        <v>0.27468642448940533</v>
      </c>
      <c r="H589" s="479">
        <v>6455.1309755010252</v>
      </c>
      <c r="I589" s="480" t="s">
        <v>9009</v>
      </c>
      <c r="J589" s="468" t="s">
        <v>9015</v>
      </c>
      <c r="K589" s="468" t="s">
        <v>8996</v>
      </c>
      <c r="L589" s="468" t="s">
        <v>541</v>
      </c>
    </row>
    <row r="590" spans="1:12" x14ac:dyDescent="0.25">
      <c r="A590" s="485" t="s">
        <v>220</v>
      </c>
      <c r="B590" s="485" t="s">
        <v>588</v>
      </c>
      <c r="C590" s="485" t="s">
        <v>1248</v>
      </c>
      <c r="D590" s="485" t="s">
        <v>1249</v>
      </c>
      <c r="E590" s="485" t="s">
        <v>545</v>
      </c>
      <c r="F590" s="482">
        <v>300</v>
      </c>
      <c r="G590" s="468">
        <v>0.3805336722915485</v>
      </c>
      <c r="H590" s="479">
        <v>114.16010168746455</v>
      </c>
      <c r="I590" s="480" t="s">
        <v>9009</v>
      </c>
      <c r="J590" s="468" t="s">
        <v>9015</v>
      </c>
      <c r="K590" s="468" t="s">
        <v>8996</v>
      </c>
      <c r="L590" s="468" t="s">
        <v>541</v>
      </c>
    </row>
    <row r="591" spans="1:12" x14ac:dyDescent="0.25">
      <c r="A591" s="485" t="s">
        <v>220</v>
      </c>
      <c r="B591" s="485" t="s">
        <v>588</v>
      </c>
      <c r="C591" s="485" t="s">
        <v>1250</v>
      </c>
      <c r="D591" s="485" t="s">
        <v>1251</v>
      </c>
      <c r="E591" s="485" t="s">
        <v>545</v>
      </c>
      <c r="F591" s="482">
        <v>110</v>
      </c>
      <c r="G591" s="468">
        <v>0.44972161270819377</v>
      </c>
      <c r="H591" s="479">
        <v>49.469377397901312</v>
      </c>
      <c r="I591" s="480" t="s">
        <v>9009</v>
      </c>
      <c r="J591" s="468" t="s">
        <v>9015</v>
      </c>
      <c r="K591" s="468" t="s">
        <v>8996</v>
      </c>
      <c r="L591" s="468" t="s">
        <v>541</v>
      </c>
    </row>
    <row r="592" spans="1:12" x14ac:dyDescent="0.25">
      <c r="A592" s="485" t="s">
        <v>220</v>
      </c>
      <c r="B592" s="485" t="s">
        <v>588</v>
      </c>
      <c r="C592" s="485" t="s">
        <v>1252</v>
      </c>
      <c r="D592" s="485" t="s">
        <v>1253</v>
      </c>
      <c r="E592" s="485" t="s">
        <v>545</v>
      </c>
      <c r="F592" s="482">
        <v>300</v>
      </c>
      <c r="G592" s="468">
        <v>0.48431558291651633</v>
      </c>
      <c r="H592" s="479">
        <v>145.29467487495489</v>
      </c>
      <c r="I592" s="480" t="s">
        <v>9009</v>
      </c>
      <c r="J592" s="468" t="s">
        <v>9015</v>
      </c>
      <c r="K592" s="468" t="s">
        <v>8996</v>
      </c>
      <c r="L592" s="468" t="s">
        <v>541</v>
      </c>
    </row>
    <row r="593" spans="1:12" x14ac:dyDescent="0.25">
      <c r="A593" s="485" t="s">
        <v>220</v>
      </c>
      <c r="B593" s="485" t="s">
        <v>588</v>
      </c>
      <c r="C593" s="485" t="s">
        <v>1254</v>
      </c>
      <c r="D593" s="485" t="s">
        <v>1255</v>
      </c>
      <c r="E593" s="485" t="s">
        <v>545</v>
      </c>
      <c r="F593" s="482">
        <v>300</v>
      </c>
      <c r="G593" s="468">
        <v>0.51890955312483877</v>
      </c>
      <c r="H593" s="479">
        <v>155.67286593745163</v>
      </c>
      <c r="I593" s="480" t="s">
        <v>9009</v>
      </c>
      <c r="J593" s="468" t="s">
        <v>9015</v>
      </c>
      <c r="K593" s="468" t="s">
        <v>8996</v>
      </c>
      <c r="L593" s="468" t="s">
        <v>541</v>
      </c>
    </row>
    <row r="594" spans="1:12" x14ac:dyDescent="0.25">
      <c r="A594" s="485" t="s">
        <v>220</v>
      </c>
      <c r="B594" s="485" t="s">
        <v>588</v>
      </c>
      <c r="C594" s="485" t="s">
        <v>1256</v>
      </c>
      <c r="D594" s="485" t="s">
        <v>1257</v>
      </c>
      <c r="E594" s="485" t="s">
        <v>545</v>
      </c>
      <c r="F594" s="482">
        <v>300</v>
      </c>
      <c r="G594" s="468">
        <v>0.51890955312483877</v>
      </c>
      <c r="H594" s="479">
        <v>155.67286593745163</v>
      </c>
      <c r="I594" s="480" t="s">
        <v>9009</v>
      </c>
      <c r="J594" s="468" t="s">
        <v>9015</v>
      </c>
      <c r="K594" s="468" t="s">
        <v>8996</v>
      </c>
      <c r="L594" s="468" t="s">
        <v>541</v>
      </c>
    </row>
    <row r="595" spans="1:12" x14ac:dyDescent="0.25">
      <c r="A595" s="485" t="s">
        <v>220</v>
      </c>
      <c r="B595" s="485" t="s">
        <v>588</v>
      </c>
      <c r="C595" s="485" t="s">
        <v>1258</v>
      </c>
      <c r="D595" s="485" t="s">
        <v>1259</v>
      </c>
      <c r="E595" s="485" t="s">
        <v>545</v>
      </c>
      <c r="F595" s="482">
        <v>300</v>
      </c>
      <c r="G595" s="468">
        <v>0.41512764249987105</v>
      </c>
      <c r="H595" s="479">
        <v>124.53829274996131</v>
      </c>
      <c r="I595" s="480" t="s">
        <v>9009</v>
      </c>
      <c r="J595" s="468" t="s">
        <v>9015</v>
      </c>
      <c r="K595" s="468" t="s">
        <v>8996</v>
      </c>
      <c r="L595" s="468" t="s">
        <v>541</v>
      </c>
    </row>
    <row r="596" spans="1:12" x14ac:dyDescent="0.25">
      <c r="A596" s="485" t="s">
        <v>220</v>
      </c>
      <c r="B596" s="485" t="s">
        <v>588</v>
      </c>
      <c r="C596" s="485" t="s">
        <v>1260</v>
      </c>
      <c r="D596" s="485" t="s">
        <v>1261</v>
      </c>
      <c r="E596" s="485" t="s">
        <v>545</v>
      </c>
      <c r="F596" s="482">
        <v>300</v>
      </c>
      <c r="G596" s="468">
        <v>0.65728543395812911</v>
      </c>
      <c r="H596" s="479">
        <v>197.18563018743873</v>
      </c>
      <c r="I596" s="480" t="s">
        <v>9009</v>
      </c>
      <c r="J596" s="468" t="s">
        <v>9015</v>
      </c>
      <c r="K596" s="468" t="s">
        <v>8996</v>
      </c>
      <c r="L596" s="468" t="s">
        <v>541</v>
      </c>
    </row>
    <row r="597" spans="1:12" x14ac:dyDescent="0.25">
      <c r="A597" s="485" t="s">
        <v>220</v>
      </c>
      <c r="B597" s="485" t="s">
        <v>588</v>
      </c>
      <c r="C597" s="485" t="s">
        <v>1262</v>
      </c>
      <c r="D597" s="485" t="s">
        <v>1263</v>
      </c>
      <c r="E597" s="485" t="s">
        <v>545</v>
      </c>
      <c r="F597" s="482">
        <v>25000</v>
      </c>
      <c r="G597" s="468">
        <v>5.2999999999999999E-2</v>
      </c>
      <c r="H597" s="479">
        <v>1325</v>
      </c>
      <c r="I597" s="480" t="s">
        <v>9009</v>
      </c>
      <c r="J597" s="468" t="s">
        <v>9015</v>
      </c>
      <c r="K597" s="468" t="s">
        <v>8996</v>
      </c>
      <c r="L597" s="468" t="s">
        <v>541</v>
      </c>
    </row>
    <row r="598" spans="1:12" x14ac:dyDescent="0.25">
      <c r="A598" s="485" t="s">
        <v>220</v>
      </c>
      <c r="B598" s="485" t="s">
        <v>588</v>
      </c>
      <c r="C598" s="485" t="s">
        <v>1264</v>
      </c>
      <c r="D598" s="485" t="s">
        <v>1265</v>
      </c>
      <c r="E598" s="485" t="s">
        <v>545</v>
      </c>
      <c r="F598" s="482">
        <v>5000</v>
      </c>
      <c r="G598" s="468">
        <v>5.6416434286875206E-2</v>
      </c>
      <c r="H598" s="479">
        <v>282.08217143437605</v>
      </c>
      <c r="I598" s="480" t="s">
        <v>9009</v>
      </c>
      <c r="J598" s="468" t="s">
        <v>9015</v>
      </c>
      <c r="K598" s="468" t="s">
        <v>8996</v>
      </c>
      <c r="L598" s="468" t="s">
        <v>541</v>
      </c>
    </row>
    <row r="599" spans="1:12" x14ac:dyDescent="0.25">
      <c r="A599" s="485" t="s">
        <v>220</v>
      </c>
      <c r="B599" s="485" t="s">
        <v>588</v>
      </c>
      <c r="C599" s="485" t="s">
        <v>1266</v>
      </c>
      <c r="D599" s="485" t="s">
        <v>1267</v>
      </c>
      <c r="E599" s="485" t="s">
        <v>545</v>
      </c>
      <c r="F599" s="482">
        <v>26800</v>
      </c>
      <c r="G599" s="468">
        <v>2.7019999999999992E-2</v>
      </c>
      <c r="H599" s="479">
        <v>724.13599999999974</v>
      </c>
      <c r="I599" s="480" t="s">
        <v>9009</v>
      </c>
      <c r="J599" s="468" t="s">
        <v>9015</v>
      </c>
      <c r="K599" s="468" t="s">
        <v>8996</v>
      </c>
      <c r="L599" s="468" t="s">
        <v>541</v>
      </c>
    </row>
    <row r="600" spans="1:12" x14ac:dyDescent="0.25">
      <c r="A600" s="485" t="s">
        <v>220</v>
      </c>
      <c r="B600" s="485" t="s">
        <v>588</v>
      </c>
      <c r="C600" s="485" t="s">
        <v>1268</v>
      </c>
      <c r="D600" s="485" t="s">
        <v>1269</v>
      </c>
      <c r="E600" s="485" t="s">
        <v>545</v>
      </c>
      <c r="F600" s="482">
        <v>7500</v>
      </c>
      <c r="G600" s="468">
        <v>2.7041560713295883E-2</v>
      </c>
      <c r="H600" s="479">
        <v>202.81170534971912</v>
      </c>
      <c r="I600" s="480" t="s">
        <v>9009</v>
      </c>
      <c r="J600" s="468" t="s">
        <v>9015</v>
      </c>
      <c r="K600" s="468" t="s">
        <v>8996</v>
      </c>
      <c r="L600" s="468" t="s">
        <v>541</v>
      </c>
    </row>
    <row r="601" spans="1:12" x14ac:dyDescent="0.25">
      <c r="A601" s="485" t="s">
        <v>220</v>
      </c>
      <c r="B601" s="485" t="s">
        <v>588</v>
      </c>
      <c r="C601" s="485" t="s">
        <v>1270</v>
      </c>
      <c r="D601" s="485" t="s">
        <v>1271</v>
      </c>
      <c r="E601" s="485" t="s">
        <v>545</v>
      </c>
      <c r="F601" s="482">
        <v>15000</v>
      </c>
      <c r="G601" s="468">
        <v>2.728495119508461E-2</v>
      </c>
      <c r="H601" s="479">
        <v>409.27426792626915</v>
      </c>
      <c r="I601" s="480" t="s">
        <v>9009</v>
      </c>
      <c r="J601" s="468" t="s">
        <v>9015</v>
      </c>
      <c r="K601" s="468" t="s">
        <v>8996</v>
      </c>
      <c r="L601" s="468" t="s">
        <v>541</v>
      </c>
    </row>
    <row r="602" spans="1:12" x14ac:dyDescent="0.25">
      <c r="A602" s="485" t="s">
        <v>220</v>
      </c>
      <c r="B602" s="485" t="s">
        <v>588</v>
      </c>
      <c r="C602" s="485" t="s">
        <v>1272</v>
      </c>
      <c r="D602" s="485" t="s">
        <v>1273</v>
      </c>
      <c r="E602" s="485" t="s">
        <v>545</v>
      </c>
      <c r="F602" s="482">
        <v>13500</v>
      </c>
      <c r="G602" s="468">
        <v>1.3510000000000001E-2</v>
      </c>
      <c r="H602" s="479">
        <v>182.38500000000002</v>
      </c>
      <c r="I602" s="480" t="s">
        <v>9009</v>
      </c>
      <c r="J602" s="468" t="s">
        <v>9015</v>
      </c>
      <c r="K602" s="468" t="s">
        <v>8996</v>
      </c>
      <c r="L602" s="468" t="s">
        <v>541</v>
      </c>
    </row>
    <row r="603" spans="1:12" x14ac:dyDescent="0.25">
      <c r="A603" s="485" t="s">
        <v>220</v>
      </c>
      <c r="B603" s="485" t="s">
        <v>588</v>
      </c>
      <c r="C603" s="485" t="s">
        <v>1274</v>
      </c>
      <c r="D603" s="485" t="s">
        <v>1275</v>
      </c>
      <c r="E603" s="485" t="s">
        <v>545</v>
      </c>
      <c r="F603" s="482">
        <v>7500</v>
      </c>
      <c r="G603" s="468">
        <v>7.3099999999999998E-2</v>
      </c>
      <c r="H603" s="479">
        <v>548.25</v>
      </c>
      <c r="I603" s="480" t="s">
        <v>9009</v>
      </c>
      <c r="J603" s="468" t="s">
        <v>9015</v>
      </c>
      <c r="K603" s="468" t="s">
        <v>8996</v>
      </c>
      <c r="L603" s="468" t="s">
        <v>541</v>
      </c>
    </row>
    <row r="604" spans="1:12" x14ac:dyDescent="0.25">
      <c r="A604" s="485" t="s">
        <v>220</v>
      </c>
      <c r="B604" s="485" t="s">
        <v>588</v>
      </c>
      <c r="C604" s="485" t="s">
        <v>1276</v>
      </c>
      <c r="D604" s="485" t="s">
        <v>1277</v>
      </c>
      <c r="E604" s="485" t="s">
        <v>545</v>
      </c>
      <c r="F604" s="482">
        <v>7500</v>
      </c>
      <c r="G604" s="468">
        <v>7.0514705882352938E-2</v>
      </c>
      <c r="H604" s="479">
        <v>528.86029411764707</v>
      </c>
      <c r="I604" s="480" t="s">
        <v>9009</v>
      </c>
      <c r="J604" s="468" t="s">
        <v>9015</v>
      </c>
      <c r="K604" s="468" t="s">
        <v>8996</v>
      </c>
      <c r="L604" s="468" t="s">
        <v>541</v>
      </c>
    </row>
    <row r="605" spans="1:12" x14ac:dyDescent="0.25">
      <c r="A605" s="485" t="s">
        <v>220</v>
      </c>
      <c r="B605" s="485" t="s">
        <v>588</v>
      </c>
      <c r="C605" s="485" t="s">
        <v>1278</v>
      </c>
      <c r="D605" s="485" t="s">
        <v>1279</v>
      </c>
      <c r="E605" s="485" t="s">
        <v>545</v>
      </c>
      <c r="F605" s="482">
        <v>3840</v>
      </c>
      <c r="G605" s="468">
        <v>1.7624734881306676</v>
      </c>
      <c r="H605" s="479">
        <v>6767.8981944217639</v>
      </c>
      <c r="I605" s="480" t="s">
        <v>9009</v>
      </c>
      <c r="J605" s="468" t="s">
        <v>9015</v>
      </c>
      <c r="K605" s="468" t="s">
        <v>8996</v>
      </c>
      <c r="L605" s="468" t="s">
        <v>541</v>
      </c>
    </row>
    <row r="606" spans="1:12" x14ac:dyDescent="0.25">
      <c r="A606" s="485" t="s">
        <v>220</v>
      </c>
      <c r="B606" s="485" t="s">
        <v>588</v>
      </c>
      <c r="C606" s="485" t="s">
        <v>1280</v>
      </c>
      <c r="D606" s="485" t="s">
        <v>1281</v>
      </c>
      <c r="E606" s="485" t="s">
        <v>545</v>
      </c>
      <c r="F606" s="482">
        <v>3360</v>
      </c>
      <c r="G606" s="468">
        <v>1.815099252541148</v>
      </c>
      <c r="H606" s="479">
        <v>6098.733488538257</v>
      </c>
      <c r="I606" s="480" t="s">
        <v>9009</v>
      </c>
      <c r="J606" s="468" t="s">
        <v>9015</v>
      </c>
      <c r="K606" s="468" t="s">
        <v>8996</v>
      </c>
      <c r="L606" s="468" t="s">
        <v>541</v>
      </c>
    </row>
    <row r="607" spans="1:12" x14ac:dyDescent="0.25">
      <c r="A607" s="485" t="s">
        <v>220</v>
      </c>
      <c r="B607" s="485" t="s">
        <v>588</v>
      </c>
      <c r="C607" s="485" t="s">
        <v>1282</v>
      </c>
      <c r="D607" s="485" t="s">
        <v>1283</v>
      </c>
      <c r="E607" s="485" t="s">
        <v>545</v>
      </c>
      <c r="F607" s="482">
        <v>2688</v>
      </c>
      <c r="G607" s="468">
        <v>1.9190203489271775</v>
      </c>
      <c r="H607" s="479">
        <v>5158.3266979162536</v>
      </c>
      <c r="I607" s="480" t="s">
        <v>9009</v>
      </c>
      <c r="J607" s="468" t="s">
        <v>9015</v>
      </c>
      <c r="K607" s="468" t="s">
        <v>8996</v>
      </c>
      <c r="L607" s="468" t="s">
        <v>541</v>
      </c>
    </row>
    <row r="608" spans="1:12" x14ac:dyDescent="0.25">
      <c r="A608" s="485" t="s">
        <v>220</v>
      </c>
      <c r="B608" s="485" t="s">
        <v>588</v>
      </c>
      <c r="C608" s="485" t="s">
        <v>1284</v>
      </c>
      <c r="D608" s="485" t="s">
        <v>1285</v>
      </c>
      <c r="E608" s="485" t="s">
        <v>545</v>
      </c>
      <c r="F608" s="482">
        <v>24561</v>
      </c>
      <c r="G608" s="468">
        <v>1.4306902927484679</v>
      </c>
      <c r="H608" s="479">
        <v>35139.184280195121</v>
      </c>
      <c r="I608" s="480" t="s">
        <v>9009</v>
      </c>
      <c r="J608" s="468" t="s">
        <v>9015</v>
      </c>
      <c r="K608" s="468" t="s">
        <v>8996</v>
      </c>
      <c r="L608" s="468" t="s">
        <v>541</v>
      </c>
    </row>
    <row r="609" spans="1:12" x14ac:dyDescent="0.25">
      <c r="A609" s="485" t="s">
        <v>220</v>
      </c>
      <c r="B609" s="485" t="s">
        <v>588</v>
      </c>
      <c r="C609" s="485" t="s">
        <v>1286</v>
      </c>
      <c r="D609" s="485" t="s">
        <v>1287</v>
      </c>
      <c r="E609" s="485" t="s">
        <v>545</v>
      </c>
      <c r="F609" s="482">
        <v>3255</v>
      </c>
      <c r="G609" s="468">
        <v>1.4450582455291476</v>
      </c>
      <c r="H609" s="479">
        <v>4703.6645891973758</v>
      </c>
      <c r="I609" s="480" t="s">
        <v>9009</v>
      </c>
      <c r="J609" s="468" t="s">
        <v>9015</v>
      </c>
      <c r="K609" s="468" t="s">
        <v>8996</v>
      </c>
      <c r="L609" s="468" t="s">
        <v>541</v>
      </c>
    </row>
    <row r="610" spans="1:12" x14ac:dyDescent="0.25">
      <c r="A610" s="485" t="s">
        <v>220</v>
      </c>
      <c r="B610" s="485" t="s">
        <v>588</v>
      </c>
      <c r="C610" s="485" t="s">
        <v>1288</v>
      </c>
      <c r="D610" s="485" t="s">
        <v>1289</v>
      </c>
      <c r="E610" s="485" t="s">
        <v>545</v>
      </c>
      <c r="F610" s="482">
        <v>17908</v>
      </c>
      <c r="G610" s="468">
        <v>1.5269844123937151</v>
      </c>
      <c r="H610" s="479">
        <v>27345.23685714665</v>
      </c>
      <c r="I610" s="480" t="s">
        <v>9009</v>
      </c>
      <c r="J610" s="468" t="s">
        <v>9015</v>
      </c>
      <c r="K610" s="468" t="s">
        <v>8996</v>
      </c>
      <c r="L610" s="468" t="s">
        <v>541</v>
      </c>
    </row>
    <row r="611" spans="1:12" x14ac:dyDescent="0.25">
      <c r="A611" s="485" t="s">
        <v>220</v>
      </c>
      <c r="B611" s="485" t="s">
        <v>588</v>
      </c>
      <c r="C611" s="485" t="s">
        <v>1290</v>
      </c>
      <c r="D611" s="485" t="s">
        <v>1291</v>
      </c>
      <c r="E611" s="485" t="s">
        <v>545</v>
      </c>
      <c r="F611" s="482">
        <v>2880</v>
      </c>
      <c r="G611" s="468">
        <v>1.5853425593048702</v>
      </c>
      <c r="H611" s="479">
        <v>4565.7865707980263</v>
      </c>
      <c r="I611" s="480" t="s">
        <v>9009</v>
      </c>
      <c r="J611" s="468" t="s">
        <v>9015</v>
      </c>
      <c r="K611" s="468" t="s">
        <v>8996</v>
      </c>
      <c r="L611" s="468" t="s">
        <v>541</v>
      </c>
    </row>
    <row r="612" spans="1:12" x14ac:dyDescent="0.25">
      <c r="A612" s="485" t="s">
        <v>220</v>
      </c>
      <c r="B612" s="485" t="s">
        <v>588</v>
      </c>
      <c r="C612" s="485" t="s">
        <v>1292</v>
      </c>
      <c r="D612" s="485" t="s">
        <v>1293</v>
      </c>
      <c r="E612" s="485" t="s">
        <v>545</v>
      </c>
      <c r="F612" s="482">
        <v>30120</v>
      </c>
      <c r="G612" s="468">
        <v>1.5632770349360017</v>
      </c>
      <c r="H612" s="479">
        <v>47085.904292272367</v>
      </c>
      <c r="I612" s="480" t="s">
        <v>9009</v>
      </c>
      <c r="J612" s="468" t="s">
        <v>9015</v>
      </c>
      <c r="K612" s="468" t="s">
        <v>8996</v>
      </c>
      <c r="L612" s="468" t="s">
        <v>541</v>
      </c>
    </row>
    <row r="613" spans="1:12" x14ac:dyDescent="0.25">
      <c r="A613" s="485" t="s">
        <v>220</v>
      </c>
      <c r="B613" s="485" t="s">
        <v>588</v>
      </c>
      <c r="C613" s="485" t="s">
        <v>1294</v>
      </c>
      <c r="D613" s="485" t="s">
        <v>1295</v>
      </c>
      <c r="E613" s="485" t="s">
        <v>545</v>
      </c>
      <c r="F613" s="482">
        <v>2736</v>
      </c>
      <c r="G613" s="468">
        <v>1.7999036584262238</v>
      </c>
      <c r="H613" s="479">
        <v>4924.5364094541483</v>
      </c>
      <c r="I613" s="480" t="s">
        <v>9009</v>
      </c>
      <c r="J613" s="468" t="s">
        <v>9015</v>
      </c>
      <c r="K613" s="468" t="s">
        <v>8996</v>
      </c>
      <c r="L613" s="468" t="s">
        <v>541</v>
      </c>
    </row>
    <row r="614" spans="1:12" x14ac:dyDescent="0.25">
      <c r="A614" s="485" t="s">
        <v>220</v>
      </c>
      <c r="B614" s="485" t="s">
        <v>588</v>
      </c>
      <c r="C614" s="485" t="s">
        <v>1296</v>
      </c>
      <c r="D614" s="485" t="s">
        <v>1297</v>
      </c>
      <c r="E614" s="485" t="s">
        <v>545</v>
      </c>
      <c r="F614" s="482">
        <v>5680</v>
      </c>
      <c r="G614" s="468">
        <v>1.7182116831404433</v>
      </c>
      <c r="H614" s="479">
        <v>9759.4423602377174</v>
      </c>
      <c r="I614" s="480" t="s">
        <v>9009</v>
      </c>
      <c r="J614" s="468" t="s">
        <v>9015</v>
      </c>
      <c r="K614" s="468" t="s">
        <v>8996</v>
      </c>
      <c r="L614" s="468" t="s">
        <v>541</v>
      </c>
    </row>
    <row r="615" spans="1:12" x14ac:dyDescent="0.25">
      <c r="A615" s="485" t="s">
        <v>220</v>
      </c>
      <c r="B615" s="485" t="s">
        <v>588</v>
      </c>
      <c r="C615" s="485" t="s">
        <v>1298</v>
      </c>
      <c r="D615" s="485" t="s">
        <v>1299</v>
      </c>
      <c r="E615" s="485" t="s">
        <v>545</v>
      </c>
      <c r="F615" s="482">
        <v>695</v>
      </c>
      <c r="G615" s="468">
        <v>1.905795172712855</v>
      </c>
      <c r="H615" s="479">
        <v>1324.5276450354343</v>
      </c>
      <c r="I615" s="480" t="s">
        <v>9009</v>
      </c>
      <c r="J615" s="468" t="s">
        <v>9015</v>
      </c>
      <c r="K615" s="468" t="s">
        <v>8996</v>
      </c>
      <c r="L615" s="468" t="s">
        <v>541</v>
      </c>
    </row>
    <row r="616" spans="1:12" x14ac:dyDescent="0.25">
      <c r="A616" s="485" t="s">
        <v>220</v>
      </c>
      <c r="B616" s="485" t="s">
        <v>588</v>
      </c>
      <c r="C616" s="485" t="s">
        <v>1300</v>
      </c>
      <c r="D616" s="485" t="s">
        <v>1301</v>
      </c>
      <c r="E616" s="485" t="s">
        <v>545</v>
      </c>
      <c r="F616" s="482">
        <v>1248</v>
      </c>
      <c r="G616" s="468">
        <v>1.546955414573195</v>
      </c>
      <c r="H616" s="479">
        <v>1930.6003573873472</v>
      </c>
      <c r="I616" s="480" t="s">
        <v>9009</v>
      </c>
      <c r="J616" s="468" t="s">
        <v>9015</v>
      </c>
      <c r="K616" s="468" t="s">
        <v>8996</v>
      </c>
      <c r="L616" s="468" t="s">
        <v>541</v>
      </c>
    </row>
    <row r="617" spans="1:12" x14ac:dyDescent="0.25">
      <c r="A617" s="485" t="s">
        <v>220</v>
      </c>
      <c r="B617" s="485" t="s">
        <v>588</v>
      </c>
      <c r="C617" s="485" t="s">
        <v>1302</v>
      </c>
      <c r="D617" s="485" t="s">
        <v>1303</v>
      </c>
      <c r="E617" s="485" t="s">
        <v>545</v>
      </c>
      <c r="F617" s="482">
        <v>2112</v>
      </c>
      <c r="G617" s="468">
        <v>1.667781071564256</v>
      </c>
      <c r="H617" s="479">
        <v>3522.3536231437088</v>
      </c>
      <c r="I617" s="480" t="s">
        <v>9009</v>
      </c>
      <c r="J617" s="468" t="s">
        <v>9015</v>
      </c>
      <c r="K617" s="468" t="s">
        <v>8996</v>
      </c>
      <c r="L617" s="468" t="s">
        <v>541</v>
      </c>
    </row>
    <row r="618" spans="1:12" x14ac:dyDescent="0.25">
      <c r="A618" s="485" t="s">
        <v>220</v>
      </c>
      <c r="B618" s="485" t="s">
        <v>588</v>
      </c>
      <c r="C618" s="485" t="s">
        <v>1306</v>
      </c>
      <c r="D618" s="485" t="s">
        <v>1307</v>
      </c>
      <c r="E618" s="485" t="s">
        <v>545</v>
      </c>
      <c r="F618" s="482">
        <v>1000</v>
      </c>
      <c r="G618" s="468">
        <v>0.30528988899645421</v>
      </c>
      <c r="H618" s="479">
        <v>305.28988899645418</v>
      </c>
      <c r="I618" s="480" t="s">
        <v>9009</v>
      </c>
      <c r="J618" s="468" t="s">
        <v>9015</v>
      </c>
      <c r="K618" s="468" t="s">
        <v>8996</v>
      </c>
      <c r="L618" s="468" t="s">
        <v>541</v>
      </c>
    </row>
    <row r="619" spans="1:12" x14ac:dyDescent="0.25">
      <c r="A619" s="485" t="s">
        <v>220</v>
      </c>
      <c r="B619" s="485" t="s">
        <v>588</v>
      </c>
      <c r="C619" s="485" t="s">
        <v>1308</v>
      </c>
      <c r="D619" s="485" t="s">
        <v>1309</v>
      </c>
      <c r="E619" s="485" t="s">
        <v>545</v>
      </c>
      <c r="F619" s="482">
        <v>2000</v>
      </c>
      <c r="G619" s="468">
        <v>0.54727052307402646</v>
      </c>
      <c r="H619" s="479">
        <v>1094.5410461480528</v>
      </c>
      <c r="I619" s="480" t="s">
        <v>9009</v>
      </c>
      <c r="J619" s="468" t="s">
        <v>9015</v>
      </c>
      <c r="K619" s="468" t="s">
        <v>8996</v>
      </c>
      <c r="L619" s="468" t="s">
        <v>541</v>
      </c>
    </row>
    <row r="620" spans="1:12" x14ac:dyDescent="0.25">
      <c r="A620" s="485" t="s">
        <v>220</v>
      </c>
      <c r="B620" s="485" t="s">
        <v>588</v>
      </c>
      <c r="C620" s="485" t="s">
        <v>1310</v>
      </c>
      <c r="D620" s="485" t="s">
        <v>1311</v>
      </c>
      <c r="E620" s="485" t="s">
        <v>545</v>
      </c>
      <c r="F620" s="482">
        <v>470</v>
      </c>
      <c r="G620" s="468">
        <v>1.3230641258607909</v>
      </c>
      <c r="H620" s="479">
        <v>621.84013915457172</v>
      </c>
      <c r="I620" s="480" t="s">
        <v>9009</v>
      </c>
      <c r="J620" s="468" t="s">
        <v>9015</v>
      </c>
      <c r="K620" s="468" t="s">
        <v>8996</v>
      </c>
      <c r="L620" s="468" t="s">
        <v>541</v>
      </c>
    </row>
    <row r="621" spans="1:12" x14ac:dyDescent="0.25">
      <c r="A621" s="485" t="s">
        <v>220</v>
      </c>
      <c r="B621" s="485" t="s">
        <v>588</v>
      </c>
      <c r="C621" s="485" t="s">
        <v>1312</v>
      </c>
      <c r="D621" s="485" t="s">
        <v>1313</v>
      </c>
      <c r="E621" s="485" t="s">
        <v>545</v>
      </c>
      <c r="F621" s="482">
        <v>500</v>
      </c>
      <c r="G621" s="468">
        <v>0.22800000000000001</v>
      </c>
      <c r="H621" s="479">
        <v>114</v>
      </c>
      <c r="I621" s="480" t="s">
        <v>9009</v>
      </c>
      <c r="J621" s="468" t="s">
        <v>9015</v>
      </c>
      <c r="K621" s="468" t="s">
        <v>8996</v>
      </c>
      <c r="L621" s="468" t="s">
        <v>541</v>
      </c>
    </row>
    <row r="622" spans="1:12" x14ac:dyDescent="0.25">
      <c r="A622" s="485" t="s">
        <v>220</v>
      </c>
      <c r="B622" s="485" t="s">
        <v>588</v>
      </c>
      <c r="C622" s="485" t="s">
        <v>1314</v>
      </c>
      <c r="D622" s="485" t="s">
        <v>1315</v>
      </c>
      <c r="E622" s="485" t="s">
        <v>545</v>
      </c>
      <c r="F622" s="482">
        <v>500</v>
      </c>
      <c r="G622" s="468">
        <v>0.28799999999999998</v>
      </c>
      <c r="H622" s="479">
        <v>144</v>
      </c>
      <c r="I622" s="480" t="s">
        <v>9009</v>
      </c>
      <c r="J622" s="468" t="s">
        <v>9015</v>
      </c>
      <c r="K622" s="468" t="s">
        <v>8996</v>
      </c>
      <c r="L622" s="468" t="s">
        <v>541</v>
      </c>
    </row>
    <row r="623" spans="1:12" x14ac:dyDescent="0.25">
      <c r="A623" s="485" t="s">
        <v>220</v>
      </c>
      <c r="B623" s="485" t="s">
        <v>588</v>
      </c>
      <c r="C623" s="485" t="s">
        <v>1316</v>
      </c>
      <c r="D623" s="485" t="s">
        <v>1317</v>
      </c>
      <c r="E623" s="485" t="s">
        <v>545</v>
      </c>
      <c r="F623" s="482">
        <v>2500</v>
      </c>
      <c r="G623" s="468">
        <v>0.55041091954022991</v>
      </c>
      <c r="H623" s="479">
        <v>1376.0272988505749</v>
      </c>
      <c r="I623" s="480" t="s">
        <v>9009</v>
      </c>
      <c r="J623" s="468" t="s">
        <v>9015</v>
      </c>
      <c r="K623" s="468" t="s">
        <v>8996</v>
      </c>
      <c r="L623" s="468" t="s">
        <v>541</v>
      </c>
    </row>
    <row r="624" spans="1:12" x14ac:dyDescent="0.25">
      <c r="A624" s="485" t="s">
        <v>220</v>
      </c>
      <c r="B624" s="485" t="s">
        <v>588</v>
      </c>
      <c r="C624" s="485" t="s">
        <v>1318</v>
      </c>
      <c r="D624" s="485" t="s">
        <v>1319</v>
      </c>
      <c r="E624" s="485" t="s">
        <v>545</v>
      </c>
      <c r="F624" s="482">
        <v>600</v>
      </c>
      <c r="G624" s="468">
        <v>0.60599999999999998</v>
      </c>
      <c r="H624" s="479">
        <v>363.59999999999997</v>
      </c>
      <c r="I624" s="480" t="s">
        <v>9009</v>
      </c>
      <c r="J624" s="468" t="s">
        <v>9015</v>
      </c>
      <c r="K624" s="468" t="s">
        <v>8996</v>
      </c>
      <c r="L624" s="468" t="s">
        <v>541</v>
      </c>
    </row>
    <row r="625" spans="1:12" x14ac:dyDescent="0.25">
      <c r="A625" s="485" t="s">
        <v>220</v>
      </c>
      <c r="B625" s="485" t="s">
        <v>588</v>
      </c>
      <c r="C625" s="485" t="s">
        <v>1320</v>
      </c>
      <c r="D625" s="485" t="s">
        <v>1321</v>
      </c>
      <c r="E625" s="485" t="s">
        <v>545</v>
      </c>
      <c r="F625" s="482">
        <v>1180</v>
      </c>
      <c r="G625" s="468">
        <v>0.37369999999999998</v>
      </c>
      <c r="H625" s="479">
        <v>440.96599999999995</v>
      </c>
      <c r="I625" s="480" t="s">
        <v>9009</v>
      </c>
      <c r="J625" s="468" t="s">
        <v>9015</v>
      </c>
      <c r="K625" s="468" t="s">
        <v>8996</v>
      </c>
      <c r="L625" s="468" t="s">
        <v>541</v>
      </c>
    </row>
    <row r="626" spans="1:12" x14ac:dyDescent="0.25">
      <c r="A626" s="485" t="s">
        <v>220</v>
      </c>
      <c r="B626" s="485" t="s">
        <v>588</v>
      </c>
      <c r="C626" s="485" t="s">
        <v>1322</v>
      </c>
      <c r="D626" s="485" t="s">
        <v>1323</v>
      </c>
      <c r="E626" s="485" t="s">
        <v>545</v>
      </c>
      <c r="F626" s="482">
        <v>500</v>
      </c>
      <c r="G626" s="468">
        <v>0.62975590861764652</v>
      </c>
      <c r="H626" s="479">
        <v>314.87795430882323</v>
      </c>
      <c r="I626" s="480" t="s">
        <v>9009</v>
      </c>
      <c r="J626" s="468" t="s">
        <v>9015</v>
      </c>
      <c r="K626" s="468" t="s">
        <v>8996</v>
      </c>
      <c r="L626" s="468" t="s">
        <v>541</v>
      </c>
    </row>
    <row r="627" spans="1:12" x14ac:dyDescent="0.25">
      <c r="A627" s="485" t="s">
        <v>220</v>
      </c>
      <c r="B627" s="485" t="s">
        <v>588</v>
      </c>
      <c r="C627" s="485" t="s">
        <v>1324</v>
      </c>
      <c r="D627" s="485" t="s">
        <v>1325</v>
      </c>
      <c r="E627" s="485" t="s">
        <v>545</v>
      </c>
      <c r="F627" s="482">
        <v>2000</v>
      </c>
      <c r="G627" s="468">
        <v>0.68679999999999997</v>
      </c>
      <c r="H627" s="479">
        <v>1373.6</v>
      </c>
      <c r="I627" s="480" t="s">
        <v>9009</v>
      </c>
      <c r="J627" s="468" t="s">
        <v>9015</v>
      </c>
      <c r="K627" s="468" t="s">
        <v>8996</v>
      </c>
      <c r="L627" s="468" t="s">
        <v>541</v>
      </c>
    </row>
    <row r="628" spans="1:12" x14ac:dyDescent="0.25">
      <c r="A628" s="485" t="s">
        <v>220</v>
      </c>
      <c r="B628" s="485" t="s">
        <v>588</v>
      </c>
      <c r="C628" s="485" t="s">
        <v>1326</v>
      </c>
      <c r="D628" s="485" t="s">
        <v>1327</v>
      </c>
      <c r="E628" s="485" t="s">
        <v>545</v>
      </c>
      <c r="F628" s="482">
        <v>2000</v>
      </c>
      <c r="G628" s="468">
        <v>0.64555833333333335</v>
      </c>
      <c r="H628" s="479">
        <v>1291.1166666666668</v>
      </c>
      <c r="I628" s="480" t="s">
        <v>9009</v>
      </c>
      <c r="J628" s="468" t="s">
        <v>9015</v>
      </c>
      <c r="K628" s="468" t="s">
        <v>8996</v>
      </c>
      <c r="L628" s="468" t="s">
        <v>541</v>
      </c>
    </row>
    <row r="629" spans="1:12" x14ac:dyDescent="0.25">
      <c r="A629" s="485" t="s">
        <v>220</v>
      </c>
      <c r="B629" s="485" t="s">
        <v>588</v>
      </c>
      <c r="C629" s="485" t="s">
        <v>1328</v>
      </c>
      <c r="D629" s="485" t="s">
        <v>1329</v>
      </c>
      <c r="E629" s="485" t="s">
        <v>545</v>
      </c>
      <c r="F629" s="482">
        <v>2500</v>
      </c>
      <c r="G629" s="468">
        <v>0.45070999999999994</v>
      </c>
      <c r="H629" s="479">
        <v>1126.7749999999999</v>
      </c>
      <c r="I629" s="480" t="s">
        <v>9009</v>
      </c>
      <c r="J629" s="468" t="s">
        <v>9015</v>
      </c>
      <c r="K629" s="468" t="s">
        <v>8996</v>
      </c>
      <c r="L629" s="468" t="s">
        <v>541</v>
      </c>
    </row>
    <row r="630" spans="1:12" x14ac:dyDescent="0.25">
      <c r="A630" s="485" t="s">
        <v>220</v>
      </c>
      <c r="B630" s="485" t="s">
        <v>588</v>
      </c>
      <c r="C630" s="485" t="s">
        <v>1330</v>
      </c>
      <c r="D630" s="485" t="s">
        <v>1331</v>
      </c>
      <c r="E630" s="485" t="s">
        <v>545</v>
      </c>
      <c r="F630" s="482">
        <v>2350</v>
      </c>
      <c r="G630" s="468">
        <v>0.361782387427524</v>
      </c>
      <c r="H630" s="479">
        <v>850.18861045468145</v>
      </c>
      <c r="I630" s="480" t="s">
        <v>9009</v>
      </c>
      <c r="J630" s="468" t="s">
        <v>9015</v>
      </c>
      <c r="K630" s="468" t="s">
        <v>8996</v>
      </c>
      <c r="L630" s="468" t="s">
        <v>541</v>
      </c>
    </row>
    <row r="631" spans="1:12" x14ac:dyDescent="0.25">
      <c r="A631" s="485" t="s">
        <v>220</v>
      </c>
      <c r="B631" s="485" t="s">
        <v>588</v>
      </c>
      <c r="C631" s="485" t="s">
        <v>1332</v>
      </c>
      <c r="D631" s="485" t="s">
        <v>1333</v>
      </c>
      <c r="E631" s="485" t="s">
        <v>545</v>
      </c>
      <c r="F631" s="482">
        <v>2200</v>
      </c>
      <c r="G631" s="468">
        <v>0.34749713911225766</v>
      </c>
      <c r="H631" s="479">
        <v>764.49370604696685</v>
      </c>
      <c r="I631" s="480" t="s">
        <v>9009</v>
      </c>
      <c r="J631" s="468" t="s">
        <v>9015</v>
      </c>
      <c r="K631" s="468" t="s">
        <v>8996</v>
      </c>
      <c r="L631" s="468" t="s">
        <v>541</v>
      </c>
    </row>
    <row r="632" spans="1:12" x14ac:dyDescent="0.25">
      <c r="A632" s="485" t="s">
        <v>220</v>
      </c>
      <c r="B632" s="485" t="s">
        <v>588</v>
      </c>
      <c r="C632" s="485" t="s">
        <v>1334</v>
      </c>
      <c r="D632" s="485" t="s">
        <v>1335</v>
      </c>
      <c r="E632" s="485" t="s">
        <v>545</v>
      </c>
      <c r="F632" s="482">
        <v>5400</v>
      </c>
      <c r="G632" s="468">
        <v>0.48724328487526236</v>
      </c>
      <c r="H632" s="479">
        <v>2631.1137383264168</v>
      </c>
      <c r="I632" s="480" t="s">
        <v>9009</v>
      </c>
      <c r="J632" s="468" t="s">
        <v>9015</v>
      </c>
      <c r="K632" s="468" t="s">
        <v>8996</v>
      </c>
      <c r="L632" s="468" t="s">
        <v>541</v>
      </c>
    </row>
    <row r="633" spans="1:12" x14ac:dyDescent="0.25">
      <c r="A633" s="485" t="s">
        <v>220</v>
      </c>
      <c r="B633" s="485" t="s">
        <v>588</v>
      </c>
      <c r="C633" s="485" t="s">
        <v>1336</v>
      </c>
      <c r="D633" s="485" t="s">
        <v>1337</v>
      </c>
      <c r="E633" s="485" t="s">
        <v>545</v>
      </c>
      <c r="F633" s="482">
        <v>2000</v>
      </c>
      <c r="G633" s="468">
        <v>0.60094999999999998</v>
      </c>
      <c r="H633" s="479">
        <v>1201.8999999999999</v>
      </c>
      <c r="I633" s="480" t="s">
        <v>9009</v>
      </c>
      <c r="J633" s="468" t="s">
        <v>9015</v>
      </c>
      <c r="K633" s="468" t="s">
        <v>8996</v>
      </c>
      <c r="L633" s="468" t="s">
        <v>541</v>
      </c>
    </row>
    <row r="634" spans="1:12" x14ac:dyDescent="0.25">
      <c r="A634" s="485" t="s">
        <v>220</v>
      </c>
      <c r="B634" s="485" t="s">
        <v>588</v>
      </c>
      <c r="C634" s="485" t="s">
        <v>1338</v>
      </c>
      <c r="D634" s="485" t="s">
        <v>1339</v>
      </c>
      <c r="E634" s="485" t="s">
        <v>545</v>
      </c>
      <c r="F634" s="482">
        <v>5330</v>
      </c>
      <c r="G634" s="468">
        <v>0.58967420262664161</v>
      </c>
      <c r="H634" s="479">
        <v>3142.9634999999998</v>
      </c>
      <c r="I634" s="480" t="s">
        <v>9009</v>
      </c>
      <c r="J634" s="468" t="s">
        <v>9015</v>
      </c>
      <c r="K634" s="468" t="s">
        <v>8996</v>
      </c>
      <c r="L634" s="468" t="s">
        <v>541</v>
      </c>
    </row>
    <row r="635" spans="1:12" x14ac:dyDescent="0.25">
      <c r="A635" s="485" t="s">
        <v>220</v>
      </c>
      <c r="B635" s="485" t="s">
        <v>588</v>
      </c>
      <c r="C635" s="485" t="s">
        <v>1340</v>
      </c>
      <c r="D635" s="485" t="s">
        <v>1341</v>
      </c>
      <c r="E635" s="485" t="s">
        <v>545</v>
      </c>
      <c r="F635" s="482">
        <v>3630</v>
      </c>
      <c r="G635" s="468">
        <v>0.45450000000000002</v>
      </c>
      <c r="H635" s="479">
        <v>1649.835</v>
      </c>
      <c r="I635" s="480" t="s">
        <v>9009</v>
      </c>
      <c r="J635" s="468" t="s">
        <v>9015</v>
      </c>
      <c r="K635" s="468" t="s">
        <v>8996</v>
      </c>
      <c r="L635" s="468" t="s">
        <v>541</v>
      </c>
    </row>
    <row r="636" spans="1:12" x14ac:dyDescent="0.25">
      <c r="A636" s="485" t="s">
        <v>220</v>
      </c>
      <c r="B636" s="485" t="s">
        <v>588</v>
      </c>
      <c r="C636" s="485" t="s">
        <v>1342</v>
      </c>
      <c r="D636" s="485" t="s">
        <v>1343</v>
      </c>
      <c r="E636" s="485" t="s">
        <v>545</v>
      </c>
      <c r="F636" s="482">
        <v>1900</v>
      </c>
      <c r="G636" s="468">
        <v>0.45435242175697771</v>
      </c>
      <c r="H636" s="479">
        <v>863.26960133825764</v>
      </c>
      <c r="I636" s="480" t="s">
        <v>9009</v>
      </c>
      <c r="J636" s="468" t="s">
        <v>9015</v>
      </c>
      <c r="K636" s="468" t="s">
        <v>8996</v>
      </c>
      <c r="L636" s="468" t="s">
        <v>541</v>
      </c>
    </row>
    <row r="637" spans="1:12" x14ac:dyDescent="0.25">
      <c r="A637" s="485" t="s">
        <v>220</v>
      </c>
      <c r="B637" s="485" t="s">
        <v>588</v>
      </c>
      <c r="C637" s="485" t="s">
        <v>1344</v>
      </c>
      <c r="D637" s="485" t="s">
        <v>1345</v>
      </c>
      <c r="E637" s="485" t="s">
        <v>545</v>
      </c>
      <c r="F637" s="482">
        <v>2000</v>
      </c>
      <c r="G637" s="468">
        <v>0.57739326597962448</v>
      </c>
      <c r="H637" s="479">
        <v>1154.786531959249</v>
      </c>
      <c r="I637" s="480" t="s">
        <v>9009</v>
      </c>
      <c r="J637" s="468" t="s">
        <v>9015</v>
      </c>
      <c r="K637" s="468" t="s">
        <v>8996</v>
      </c>
      <c r="L637" s="468" t="s">
        <v>541</v>
      </c>
    </row>
    <row r="638" spans="1:12" x14ac:dyDescent="0.25">
      <c r="A638" s="485" t="s">
        <v>220</v>
      </c>
      <c r="B638" s="485" t="s">
        <v>588</v>
      </c>
      <c r="C638" s="485" t="s">
        <v>1346</v>
      </c>
      <c r="D638" s="485" t="s">
        <v>1347</v>
      </c>
      <c r="E638" s="485" t="s">
        <v>545</v>
      </c>
      <c r="F638" s="482">
        <v>5500</v>
      </c>
      <c r="G638" s="468">
        <v>0.48544954806954344</v>
      </c>
      <c r="H638" s="479">
        <v>2669.972514382489</v>
      </c>
      <c r="I638" s="480" t="s">
        <v>9009</v>
      </c>
      <c r="J638" s="468" t="s">
        <v>9015</v>
      </c>
      <c r="K638" s="468" t="s">
        <v>8996</v>
      </c>
      <c r="L638" s="468" t="s">
        <v>541</v>
      </c>
    </row>
    <row r="639" spans="1:12" x14ac:dyDescent="0.25">
      <c r="A639" s="485" t="s">
        <v>220</v>
      </c>
      <c r="B639" s="485" t="s">
        <v>588</v>
      </c>
      <c r="C639" s="485" t="s">
        <v>1348</v>
      </c>
      <c r="D639" s="485" t="s">
        <v>1349</v>
      </c>
      <c r="E639" s="485" t="s">
        <v>545</v>
      </c>
      <c r="F639" s="482">
        <v>2500</v>
      </c>
      <c r="G639" s="468">
        <v>0.46460000000000001</v>
      </c>
      <c r="H639" s="479">
        <v>1161.5</v>
      </c>
      <c r="I639" s="480" t="s">
        <v>9009</v>
      </c>
      <c r="J639" s="468" t="s">
        <v>9015</v>
      </c>
      <c r="K639" s="468" t="s">
        <v>8996</v>
      </c>
      <c r="L639" s="468" t="s">
        <v>541</v>
      </c>
    </row>
    <row r="640" spans="1:12" x14ac:dyDescent="0.25">
      <c r="A640" s="485" t="s">
        <v>220</v>
      </c>
      <c r="B640" s="485" t="s">
        <v>588</v>
      </c>
      <c r="C640" s="485" t="s">
        <v>1350</v>
      </c>
      <c r="D640" s="485" t="s">
        <v>1351</v>
      </c>
      <c r="E640" s="485" t="s">
        <v>545</v>
      </c>
      <c r="F640" s="482">
        <v>1250</v>
      </c>
      <c r="G640" s="468">
        <v>0.64144036697247697</v>
      </c>
      <c r="H640" s="479">
        <v>801.80045871559616</v>
      </c>
      <c r="I640" s="480" t="s">
        <v>9009</v>
      </c>
      <c r="J640" s="468" t="s">
        <v>9015</v>
      </c>
      <c r="K640" s="468" t="s">
        <v>8996</v>
      </c>
      <c r="L640" s="468" t="s">
        <v>541</v>
      </c>
    </row>
    <row r="641" spans="1:12" x14ac:dyDescent="0.25">
      <c r="A641" s="485" t="s">
        <v>220</v>
      </c>
      <c r="B641" s="485" t="s">
        <v>588</v>
      </c>
      <c r="C641" s="485" t="s">
        <v>1352</v>
      </c>
      <c r="D641" s="485" t="s">
        <v>1353</v>
      </c>
      <c r="E641" s="485" t="s">
        <v>545</v>
      </c>
      <c r="F641" s="482">
        <v>5000</v>
      </c>
      <c r="G641" s="468">
        <v>0.32950772655849936</v>
      </c>
      <c r="H641" s="479">
        <v>1647.5386327924969</v>
      </c>
      <c r="I641" s="480" t="s">
        <v>9009</v>
      </c>
      <c r="J641" s="468" t="s">
        <v>9015</v>
      </c>
      <c r="K641" s="468" t="s">
        <v>8996</v>
      </c>
      <c r="L641" s="468" t="s">
        <v>541</v>
      </c>
    </row>
    <row r="642" spans="1:12" x14ac:dyDescent="0.25">
      <c r="A642" s="485" t="s">
        <v>220</v>
      </c>
      <c r="B642" s="485" t="s">
        <v>588</v>
      </c>
      <c r="C642" s="485" t="s">
        <v>1354</v>
      </c>
      <c r="D642" s="485" t="s">
        <v>1355</v>
      </c>
      <c r="E642" s="485" t="s">
        <v>545</v>
      </c>
      <c r="F642" s="482">
        <v>2000</v>
      </c>
      <c r="G642" s="468">
        <v>0.37874999999999998</v>
      </c>
      <c r="H642" s="479">
        <v>757.5</v>
      </c>
      <c r="I642" s="480" t="s">
        <v>9009</v>
      </c>
      <c r="J642" s="468" t="s">
        <v>9015</v>
      </c>
      <c r="K642" s="468" t="s">
        <v>8996</v>
      </c>
      <c r="L642" s="468" t="s">
        <v>541</v>
      </c>
    </row>
    <row r="643" spans="1:12" x14ac:dyDescent="0.25">
      <c r="A643" s="485" t="s">
        <v>220</v>
      </c>
      <c r="B643" s="485" t="s">
        <v>588</v>
      </c>
      <c r="C643" s="485" t="s">
        <v>1356</v>
      </c>
      <c r="D643" s="485" t="s">
        <v>1357</v>
      </c>
      <c r="E643" s="485" t="s">
        <v>545</v>
      </c>
      <c r="F643" s="482">
        <v>2000</v>
      </c>
      <c r="G643" s="468">
        <v>0.42923067187584502</v>
      </c>
      <c r="H643" s="479">
        <v>858.46134375169004</v>
      </c>
      <c r="I643" s="480" t="s">
        <v>9009</v>
      </c>
      <c r="J643" s="468" t="s">
        <v>9015</v>
      </c>
      <c r="K643" s="468" t="s">
        <v>8996</v>
      </c>
      <c r="L643" s="468" t="s">
        <v>541</v>
      </c>
    </row>
    <row r="644" spans="1:12" x14ac:dyDescent="0.25">
      <c r="A644" s="485" t="s">
        <v>220</v>
      </c>
      <c r="B644" s="485" t="s">
        <v>588</v>
      </c>
      <c r="C644" s="485" t="s">
        <v>1358</v>
      </c>
      <c r="D644" s="485" t="s">
        <v>1359</v>
      </c>
      <c r="E644" s="485" t="s">
        <v>545</v>
      </c>
      <c r="F644" s="482">
        <v>3050</v>
      </c>
      <c r="G644" s="468">
        <v>0.6006624603314159</v>
      </c>
      <c r="H644" s="479">
        <v>1832.0205040108185</v>
      </c>
      <c r="I644" s="480" t="s">
        <v>9009</v>
      </c>
      <c r="J644" s="468" t="s">
        <v>9015</v>
      </c>
      <c r="K644" s="468" t="s">
        <v>8996</v>
      </c>
      <c r="L644" s="468" t="s">
        <v>541</v>
      </c>
    </row>
    <row r="645" spans="1:12" x14ac:dyDescent="0.25">
      <c r="A645" s="485" t="s">
        <v>220</v>
      </c>
      <c r="B645" s="485" t="s">
        <v>588</v>
      </c>
      <c r="C645" s="485" t="s">
        <v>7538</v>
      </c>
      <c r="D645" s="485" t="s">
        <v>7539</v>
      </c>
      <c r="E645" s="485" t="s">
        <v>545</v>
      </c>
      <c r="F645" s="482">
        <v>2000</v>
      </c>
      <c r="G645" s="468">
        <v>0.35349999999999998</v>
      </c>
      <c r="H645" s="479">
        <v>707</v>
      </c>
      <c r="I645" s="480" t="s">
        <v>9009</v>
      </c>
      <c r="J645" s="468" t="s">
        <v>9015</v>
      </c>
      <c r="K645" s="468" t="s">
        <v>8996</v>
      </c>
      <c r="L645" s="468" t="s">
        <v>541</v>
      </c>
    </row>
    <row r="646" spans="1:12" x14ac:dyDescent="0.25">
      <c r="A646" s="485" t="s">
        <v>220</v>
      </c>
      <c r="B646" s="485" t="s">
        <v>588</v>
      </c>
      <c r="C646" s="485" t="s">
        <v>1360</v>
      </c>
      <c r="D646" s="485" t="s">
        <v>1361</v>
      </c>
      <c r="E646" s="485" t="s">
        <v>545</v>
      </c>
      <c r="F646" s="482">
        <v>3900</v>
      </c>
      <c r="G646" s="468">
        <v>0.34496445386064029</v>
      </c>
      <c r="H646" s="479">
        <v>1345.3613700564972</v>
      </c>
      <c r="I646" s="480" t="s">
        <v>9009</v>
      </c>
      <c r="J646" s="468" t="s">
        <v>9015</v>
      </c>
      <c r="K646" s="468" t="s">
        <v>8996</v>
      </c>
      <c r="L646" s="468" t="s">
        <v>541</v>
      </c>
    </row>
    <row r="647" spans="1:12" x14ac:dyDescent="0.25">
      <c r="A647" s="485" t="s">
        <v>220</v>
      </c>
      <c r="B647" s="485" t="s">
        <v>588</v>
      </c>
      <c r="C647" s="485" t="s">
        <v>1362</v>
      </c>
      <c r="D647" s="485" t="s">
        <v>1363</v>
      </c>
      <c r="E647" s="485" t="s">
        <v>545</v>
      </c>
      <c r="F647" s="482">
        <v>3080</v>
      </c>
      <c r="G647" s="468">
        <v>0.38379999999999992</v>
      </c>
      <c r="H647" s="479">
        <v>1182.1039999999998</v>
      </c>
      <c r="I647" s="480" t="s">
        <v>9009</v>
      </c>
      <c r="J647" s="468" t="s">
        <v>9015</v>
      </c>
      <c r="K647" s="468" t="s">
        <v>8996</v>
      </c>
      <c r="L647" s="468" t="s">
        <v>541</v>
      </c>
    </row>
    <row r="648" spans="1:12" x14ac:dyDescent="0.25">
      <c r="A648" s="485" t="s">
        <v>220</v>
      </c>
      <c r="B648" s="485" t="s">
        <v>588</v>
      </c>
      <c r="C648" s="485" t="s">
        <v>1364</v>
      </c>
      <c r="D648" s="485" t="s">
        <v>1365</v>
      </c>
      <c r="E648" s="485" t="s">
        <v>545</v>
      </c>
      <c r="F648" s="482">
        <v>5070</v>
      </c>
      <c r="G648" s="468">
        <v>0.38379999999999997</v>
      </c>
      <c r="H648" s="479">
        <v>1945.8659999999998</v>
      </c>
      <c r="I648" s="480" t="s">
        <v>9009</v>
      </c>
      <c r="J648" s="468" t="s">
        <v>9015</v>
      </c>
      <c r="K648" s="468" t="s">
        <v>8996</v>
      </c>
      <c r="L648" s="468" t="s">
        <v>541</v>
      </c>
    </row>
    <row r="649" spans="1:12" x14ac:dyDescent="0.25">
      <c r="A649" s="485" t="s">
        <v>220</v>
      </c>
      <c r="B649" s="485" t="s">
        <v>588</v>
      </c>
      <c r="C649" s="485" t="s">
        <v>1366</v>
      </c>
      <c r="D649" s="485" t="s">
        <v>1367</v>
      </c>
      <c r="E649" s="485" t="s">
        <v>545</v>
      </c>
      <c r="F649" s="482">
        <v>1586</v>
      </c>
      <c r="G649" s="468">
        <v>0.45450000000000007</v>
      </c>
      <c r="H649" s="479">
        <v>720.8370000000001</v>
      </c>
      <c r="I649" s="480" t="s">
        <v>9009</v>
      </c>
      <c r="J649" s="468" t="s">
        <v>9015</v>
      </c>
      <c r="K649" s="468" t="s">
        <v>8996</v>
      </c>
      <c r="L649" s="468" t="s">
        <v>541</v>
      </c>
    </row>
    <row r="650" spans="1:12" x14ac:dyDescent="0.25">
      <c r="A650" s="485" t="s">
        <v>220</v>
      </c>
      <c r="B650" s="485" t="s">
        <v>588</v>
      </c>
      <c r="C650" s="485" t="s">
        <v>1368</v>
      </c>
      <c r="D650" s="485" t="s">
        <v>1369</v>
      </c>
      <c r="E650" s="485" t="s">
        <v>545</v>
      </c>
      <c r="F650" s="482">
        <v>3730</v>
      </c>
      <c r="G650" s="468">
        <v>0.42420000000000002</v>
      </c>
      <c r="H650" s="479">
        <v>1582.2660000000001</v>
      </c>
      <c r="I650" s="480" t="s">
        <v>9009</v>
      </c>
      <c r="J650" s="468" t="s">
        <v>9015</v>
      </c>
      <c r="K650" s="468" t="s">
        <v>8996</v>
      </c>
      <c r="L650" s="468" t="s">
        <v>541</v>
      </c>
    </row>
    <row r="651" spans="1:12" x14ac:dyDescent="0.25">
      <c r="A651" s="485" t="s">
        <v>220</v>
      </c>
      <c r="B651" s="485" t="s">
        <v>588</v>
      </c>
      <c r="C651" s="485" t="s">
        <v>1370</v>
      </c>
      <c r="D651" s="485" t="s">
        <v>1371</v>
      </c>
      <c r="E651" s="485" t="s">
        <v>545</v>
      </c>
      <c r="F651" s="482">
        <v>1500</v>
      </c>
      <c r="G651" s="468">
        <v>0.37874999999999998</v>
      </c>
      <c r="H651" s="479">
        <v>568.125</v>
      </c>
      <c r="I651" s="480" t="s">
        <v>9009</v>
      </c>
      <c r="J651" s="468" t="s">
        <v>9015</v>
      </c>
      <c r="K651" s="468" t="s">
        <v>8996</v>
      </c>
      <c r="L651" s="468" t="s">
        <v>541</v>
      </c>
    </row>
    <row r="652" spans="1:12" x14ac:dyDescent="0.25">
      <c r="A652" s="485" t="s">
        <v>220</v>
      </c>
      <c r="B652" s="485" t="s">
        <v>588</v>
      </c>
      <c r="C652" s="485" t="s">
        <v>1372</v>
      </c>
      <c r="D652" s="485" t="s">
        <v>1373</v>
      </c>
      <c r="E652" s="485" t="s">
        <v>545</v>
      </c>
      <c r="F652" s="482">
        <v>4600</v>
      </c>
      <c r="G652" s="468">
        <v>0.37369999999999998</v>
      </c>
      <c r="H652" s="479">
        <v>1719.02</v>
      </c>
      <c r="I652" s="480" t="s">
        <v>9009</v>
      </c>
      <c r="J652" s="468" t="s">
        <v>9015</v>
      </c>
      <c r="K652" s="468" t="s">
        <v>8996</v>
      </c>
      <c r="L652" s="468" t="s">
        <v>541</v>
      </c>
    </row>
    <row r="653" spans="1:12" x14ac:dyDescent="0.25">
      <c r="A653" s="485" t="s">
        <v>220</v>
      </c>
      <c r="B653" s="485" t="s">
        <v>588</v>
      </c>
      <c r="C653" s="485" t="s">
        <v>1374</v>
      </c>
      <c r="D653" s="485" t="s">
        <v>1375</v>
      </c>
      <c r="E653" s="485" t="s">
        <v>545</v>
      </c>
      <c r="F653" s="482">
        <v>3500</v>
      </c>
      <c r="G653" s="468">
        <v>0.45427777777777778</v>
      </c>
      <c r="H653" s="479">
        <v>1589.9722222222222</v>
      </c>
      <c r="I653" s="480" t="s">
        <v>9009</v>
      </c>
      <c r="J653" s="468" t="s">
        <v>9015</v>
      </c>
      <c r="K653" s="468" t="s">
        <v>8996</v>
      </c>
      <c r="L653" s="468" t="s">
        <v>541</v>
      </c>
    </row>
    <row r="654" spans="1:12" x14ac:dyDescent="0.25">
      <c r="A654" s="485" t="s">
        <v>220</v>
      </c>
      <c r="B654" s="485" t="s">
        <v>588</v>
      </c>
      <c r="C654" s="485" t="s">
        <v>1376</v>
      </c>
      <c r="D654" s="485" t="s">
        <v>1377</v>
      </c>
      <c r="E654" s="485" t="s">
        <v>545</v>
      </c>
      <c r="F654" s="482">
        <v>720</v>
      </c>
      <c r="G654" s="468">
        <v>0.42420000000000002</v>
      </c>
      <c r="H654" s="479">
        <v>305.42400000000004</v>
      </c>
      <c r="I654" s="480" t="s">
        <v>9009</v>
      </c>
      <c r="J654" s="468" t="s">
        <v>9015</v>
      </c>
      <c r="K654" s="468" t="s">
        <v>8996</v>
      </c>
      <c r="L654" s="468" t="s">
        <v>541</v>
      </c>
    </row>
    <row r="655" spans="1:12" x14ac:dyDescent="0.25">
      <c r="A655" s="485" t="s">
        <v>220</v>
      </c>
      <c r="B655" s="485" t="s">
        <v>588</v>
      </c>
      <c r="C655" s="485" t="s">
        <v>1378</v>
      </c>
      <c r="D655" s="485" t="s">
        <v>1379</v>
      </c>
      <c r="E655" s="485" t="s">
        <v>545</v>
      </c>
      <c r="F655" s="482">
        <v>3000</v>
      </c>
      <c r="G655" s="468">
        <v>0.37369999999999992</v>
      </c>
      <c r="H655" s="479">
        <v>1121.0999999999997</v>
      </c>
      <c r="I655" s="480" t="s">
        <v>9009</v>
      </c>
      <c r="J655" s="468" t="s">
        <v>9015</v>
      </c>
      <c r="K655" s="468" t="s">
        <v>8996</v>
      </c>
      <c r="L655" s="468" t="s">
        <v>541</v>
      </c>
    </row>
    <row r="656" spans="1:12" x14ac:dyDescent="0.25">
      <c r="A656" s="485" t="s">
        <v>220</v>
      </c>
      <c r="B656" s="485" t="s">
        <v>588</v>
      </c>
      <c r="C656" s="485" t="s">
        <v>1380</v>
      </c>
      <c r="D656" s="485" t="s">
        <v>1381</v>
      </c>
      <c r="E656" s="485" t="s">
        <v>545</v>
      </c>
      <c r="F656" s="482">
        <v>3600</v>
      </c>
      <c r="G656" s="468">
        <v>0.47470000000000001</v>
      </c>
      <c r="H656" s="479">
        <v>1708.92</v>
      </c>
      <c r="I656" s="480" t="s">
        <v>9009</v>
      </c>
      <c r="J656" s="468" t="s">
        <v>9015</v>
      </c>
      <c r="K656" s="468" t="s">
        <v>8996</v>
      </c>
      <c r="L656" s="468" t="s">
        <v>541</v>
      </c>
    </row>
    <row r="657" spans="1:12" x14ac:dyDescent="0.25">
      <c r="A657" s="485" t="s">
        <v>220</v>
      </c>
      <c r="B657" s="485" t="s">
        <v>588</v>
      </c>
      <c r="C657" s="485" t="s">
        <v>1382</v>
      </c>
      <c r="D657" s="485" t="s">
        <v>1383</v>
      </c>
      <c r="E657" s="485" t="s">
        <v>545</v>
      </c>
      <c r="F657" s="482">
        <v>750</v>
      </c>
      <c r="G657" s="468">
        <v>0.70699999999999985</v>
      </c>
      <c r="H657" s="479">
        <v>530.24999999999989</v>
      </c>
      <c r="I657" s="480" t="s">
        <v>9009</v>
      </c>
      <c r="J657" s="468" t="s">
        <v>9015</v>
      </c>
      <c r="K657" s="468" t="s">
        <v>8996</v>
      </c>
      <c r="L657" s="468" t="s">
        <v>541</v>
      </c>
    </row>
    <row r="658" spans="1:12" x14ac:dyDescent="0.25">
      <c r="A658" s="485" t="s">
        <v>220</v>
      </c>
      <c r="B658" s="485" t="s">
        <v>588</v>
      </c>
      <c r="C658" s="485" t="s">
        <v>1384</v>
      </c>
      <c r="D658" s="485" t="s">
        <v>9140</v>
      </c>
      <c r="E658" s="485" t="s">
        <v>9141</v>
      </c>
      <c r="F658" s="482">
        <v>900</v>
      </c>
      <c r="G658" s="468">
        <v>0.79285000000000005</v>
      </c>
      <c r="H658" s="479">
        <v>713.56500000000005</v>
      </c>
      <c r="I658" s="480" t="s">
        <v>9009</v>
      </c>
      <c r="J658" s="468" t="s">
        <v>9015</v>
      </c>
      <c r="K658" s="468" t="s">
        <v>8996</v>
      </c>
      <c r="L658" s="468" t="s">
        <v>541</v>
      </c>
    </row>
    <row r="659" spans="1:12" x14ac:dyDescent="0.25">
      <c r="A659" s="485" t="s">
        <v>220</v>
      </c>
      <c r="B659" s="485" t="s">
        <v>588</v>
      </c>
      <c r="C659" s="485" t="s">
        <v>1386</v>
      </c>
      <c r="D659" s="485" t="s">
        <v>9142</v>
      </c>
      <c r="E659" s="485" t="s">
        <v>545</v>
      </c>
      <c r="F659" s="482">
        <v>700</v>
      </c>
      <c r="G659" s="468">
        <v>0.79285000000000005</v>
      </c>
      <c r="H659" s="479">
        <v>554.995</v>
      </c>
      <c r="I659" s="480" t="s">
        <v>9009</v>
      </c>
      <c r="J659" s="468" t="s">
        <v>9015</v>
      </c>
      <c r="K659" s="468" t="s">
        <v>8996</v>
      </c>
      <c r="L659" s="468" t="s">
        <v>541</v>
      </c>
    </row>
    <row r="660" spans="1:12" x14ac:dyDescent="0.25">
      <c r="A660" s="485" t="s">
        <v>220</v>
      </c>
      <c r="B660" s="485" t="s">
        <v>588</v>
      </c>
      <c r="C660" s="485" t="s">
        <v>1388</v>
      </c>
      <c r="D660" s="485" t="s">
        <v>1389</v>
      </c>
      <c r="E660" s="485" t="s">
        <v>545</v>
      </c>
      <c r="F660" s="482">
        <v>3500</v>
      </c>
      <c r="G660" s="468">
        <v>9.1999999999999998E-2</v>
      </c>
      <c r="H660" s="479">
        <v>322</v>
      </c>
      <c r="I660" s="480" t="s">
        <v>9009</v>
      </c>
      <c r="J660" s="468" t="s">
        <v>9015</v>
      </c>
      <c r="K660" s="468" t="s">
        <v>8996</v>
      </c>
      <c r="L660" s="468" t="s">
        <v>541</v>
      </c>
    </row>
    <row r="661" spans="1:12" x14ac:dyDescent="0.25">
      <c r="A661" s="485" t="s">
        <v>220</v>
      </c>
      <c r="B661" s="485" t="s">
        <v>588</v>
      </c>
      <c r="C661" s="485" t="s">
        <v>1390</v>
      </c>
      <c r="D661" s="485" t="s">
        <v>1391</v>
      </c>
      <c r="E661" s="485" t="s">
        <v>545</v>
      </c>
      <c r="F661" s="482">
        <v>1400</v>
      </c>
      <c r="G661" s="468">
        <v>9.2000000000000012E-2</v>
      </c>
      <c r="H661" s="479">
        <v>128.80000000000001</v>
      </c>
      <c r="I661" s="480" t="s">
        <v>9009</v>
      </c>
      <c r="J661" s="468" t="s">
        <v>9015</v>
      </c>
      <c r="K661" s="468" t="s">
        <v>8996</v>
      </c>
      <c r="L661" s="468" t="s">
        <v>541</v>
      </c>
    </row>
    <row r="662" spans="1:12" x14ac:dyDescent="0.25">
      <c r="A662" s="485" t="s">
        <v>220</v>
      </c>
      <c r="B662" s="485" t="s">
        <v>588</v>
      </c>
      <c r="C662" s="485" t="s">
        <v>1392</v>
      </c>
      <c r="D662" s="485" t="s">
        <v>1393</v>
      </c>
      <c r="E662" s="485" t="s">
        <v>545</v>
      </c>
      <c r="F662" s="482">
        <v>8500</v>
      </c>
      <c r="G662" s="468">
        <v>0.30073257356344602</v>
      </c>
      <c r="H662" s="479">
        <v>2556.226875289291</v>
      </c>
      <c r="I662" s="480" t="s">
        <v>9009</v>
      </c>
      <c r="J662" s="468" t="s">
        <v>9015</v>
      </c>
      <c r="K662" s="468" t="s">
        <v>8996</v>
      </c>
      <c r="L662" s="468" t="s">
        <v>541</v>
      </c>
    </row>
    <row r="663" spans="1:12" x14ac:dyDescent="0.25">
      <c r="A663" s="485" t="s">
        <v>220</v>
      </c>
      <c r="B663" s="485" t="s">
        <v>588</v>
      </c>
      <c r="C663" s="485" t="s">
        <v>1394</v>
      </c>
      <c r="D663" s="485" t="s">
        <v>1395</v>
      </c>
      <c r="E663" s="485" t="s">
        <v>545</v>
      </c>
      <c r="F663" s="482">
        <v>1400</v>
      </c>
      <c r="G663" s="468">
        <v>0.27</v>
      </c>
      <c r="H663" s="479">
        <v>378</v>
      </c>
      <c r="I663" s="480" t="s">
        <v>9009</v>
      </c>
      <c r="J663" s="468" t="s">
        <v>9015</v>
      </c>
      <c r="K663" s="468" t="s">
        <v>8996</v>
      </c>
      <c r="L663" s="468" t="s">
        <v>541</v>
      </c>
    </row>
    <row r="664" spans="1:12" x14ac:dyDescent="0.25">
      <c r="A664" s="485" t="s">
        <v>220</v>
      </c>
      <c r="B664" s="485" t="s">
        <v>588</v>
      </c>
      <c r="C664" s="485" t="s">
        <v>1396</v>
      </c>
      <c r="D664" s="485" t="s">
        <v>1397</v>
      </c>
      <c r="E664" s="485" t="s">
        <v>545</v>
      </c>
      <c r="F664" s="482">
        <v>2600</v>
      </c>
      <c r="G664" s="468">
        <v>0.42</v>
      </c>
      <c r="H664" s="479">
        <v>1092</v>
      </c>
      <c r="I664" s="480" t="s">
        <v>9009</v>
      </c>
      <c r="J664" s="468" t="s">
        <v>9015</v>
      </c>
      <c r="K664" s="468" t="s">
        <v>8996</v>
      </c>
      <c r="L664" s="468" t="s">
        <v>541</v>
      </c>
    </row>
    <row r="665" spans="1:12" x14ac:dyDescent="0.25">
      <c r="A665" s="485" t="s">
        <v>220</v>
      </c>
      <c r="B665" s="485" t="s">
        <v>588</v>
      </c>
      <c r="C665" s="485" t="s">
        <v>1398</v>
      </c>
      <c r="D665" s="485" t="s">
        <v>1399</v>
      </c>
      <c r="E665" s="485" t="s">
        <v>545</v>
      </c>
      <c r="F665" s="482">
        <v>1500</v>
      </c>
      <c r="G665" s="468">
        <v>0.23643</v>
      </c>
      <c r="H665" s="479">
        <v>354.64499999999998</v>
      </c>
      <c r="I665" s="480" t="s">
        <v>9009</v>
      </c>
      <c r="J665" s="468" t="s">
        <v>9015</v>
      </c>
      <c r="K665" s="468" t="s">
        <v>8996</v>
      </c>
      <c r="L665" s="468" t="s">
        <v>541</v>
      </c>
    </row>
    <row r="666" spans="1:12" x14ac:dyDescent="0.25">
      <c r="A666" s="485" t="s">
        <v>220</v>
      </c>
      <c r="B666" s="485" t="s">
        <v>588</v>
      </c>
      <c r="C666" s="485" t="s">
        <v>1400</v>
      </c>
      <c r="D666" s="485" t="s">
        <v>1401</v>
      </c>
      <c r="E666" s="485" t="s">
        <v>545</v>
      </c>
      <c r="F666" s="482">
        <v>8200</v>
      </c>
      <c r="G666" s="468">
        <v>0.30131539823084258</v>
      </c>
      <c r="H666" s="479">
        <v>2470.786265492909</v>
      </c>
      <c r="I666" s="480" t="s">
        <v>9009</v>
      </c>
      <c r="J666" s="468" t="s">
        <v>9015</v>
      </c>
      <c r="K666" s="468" t="s">
        <v>8996</v>
      </c>
      <c r="L666" s="468" t="s">
        <v>541</v>
      </c>
    </row>
    <row r="667" spans="1:12" x14ac:dyDescent="0.25">
      <c r="A667" s="485" t="s">
        <v>220</v>
      </c>
      <c r="B667" s="485" t="s">
        <v>588</v>
      </c>
      <c r="C667" s="485" t="s">
        <v>1402</v>
      </c>
      <c r="D667" s="485" t="s">
        <v>1403</v>
      </c>
      <c r="E667" s="485" t="s">
        <v>545</v>
      </c>
      <c r="F667" s="482">
        <v>2500</v>
      </c>
      <c r="G667" s="468">
        <v>0.28905333333333333</v>
      </c>
      <c r="H667" s="479">
        <v>722.63333333333333</v>
      </c>
      <c r="I667" s="480" t="s">
        <v>9009</v>
      </c>
      <c r="J667" s="468" t="s">
        <v>9015</v>
      </c>
      <c r="K667" s="468" t="s">
        <v>8996</v>
      </c>
      <c r="L667" s="468" t="s">
        <v>541</v>
      </c>
    </row>
    <row r="668" spans="1:12" x14ac:dyDescent="0.25">
      <c r="A668" s="485" t="s">
        <v>220</v>
      </c>
      <c r="B668" s="485" t="s">
        <v>588</v>
      </c>
      <c r="C668" s="485" t="s">
        <v>1404</v>
      </c>
      <c r="D668" s="485" t="s">
        <v>1405</v>
      </c>
      <c r="E668" s="485" t="s">
        <v>545</v>
      </c>
      <c r="F668" s="482">
        <v>2500</v>
      </c>
      <c r="G668" s="468">
        <v>0.42</v>
      </c>
      <c r="H668" s="479">
        <v>1050</v>
      </c>
      <c r="I668" s="480" t="s">
        <v>9009</v>
      </c>
      <c r="J668" s="468" t="s">
        <v>9015</v>
      </c>
      <c r="K668" s="468" t="s">
        <v>8996</v>
      </c>
      <c r="L668" s="468" t="s">
        <v>541</v>
      </c>
    </row>
    <row r="669" spans="1:12" x14ac:dyDescent="0.25">
      <c r="A669" s="485" t="s">
        <v>220</v>
      </c>
      <c r="B669" s="485" t="s">
        <v>588</v>
      </c>
      <c r="C669" s="485" t="s">
        <v>1406</v>
      </c>
      <c r="D669" s="485" t="s">
        <v>1407</v>
      </c>
      <c r="E669" s="485" t="s">
        <v>545</v>
      </c>
      <c r="F669" s="482">
        <v>1000</v>
      </c>
      <c r="G669" s="468">
        <v>0.2727</v>
      </c>
      <c r="H669" s="479">
        <v>272.7</v>
      </c>
      <c r="I669" s="480" t="s">
        <v>9009</v>
      </c>
      <c r="J669" s="468" t="s">
        <v>9015</v>
      </c>
      <c r="K669" s="468" t="s">
        <v>8996</v>
      </c>
      <c r="L669" s="468" t="s">
        <v>541</v>
      </c>
    </row>
    <row r="670" spans="1:12" x14ac:dyDescent="0.25">
      <c r="A670" s="485" t="s">
        <v>220</v>
      </c>
      <c r="B670" s="485" t="s">
        <v>588</v>
      </c>
      <c r="C670" s="485" t="s">
        <v>1408</v>
      </c>
      <c r="D670" s="485" t="s">
        <v>1409</v>
      </c>
      <c r="E670" s="485" t="s">
        <v>545</v>
      </c>
      <c r="F670" s="482">
        <v>3000</v>
      </c>
      <c r="G670" s="468">
        <v>0.29794999999999999</v>
      </c>
      <c r="H670" s="479">
        <v>893.85</v>
      </c>
      <c r="I670" s="480" t="s">
        <v>9009</v>
      </c>
      <c r="J670" s="468" t="s">
        <v>9015</v>
      </c>
      <c r="K670" s="468" t="s">
        <v>8996</v>
      </c>
      <c r="L670" s="468" t="s">
        <v>541</v>
      </c>
    </row>
    <row r="671" spans="1:12" x14ac:dyDescent="0.25">
      <c r="A671" s="485" t="s">
        <v>220</v>
      </c>
      <c r="B671" s="485" t="s">
        <v>588</v>
      </c>
      <c r="C671" s="485" t="s">
        <v>1410</v>
      </c>
      <c r="D671" s="485" t="s">
        <v>1411</v>
      </c>
      <c r="E671" s="485" t="s">
        <v>545</v>
      </c>
      <c r="F671" s="482">
        <v>2300</v>
      </c>
      <c r="G671" s="468">
        <v>0.2727</v>
      </c>
      <c r="H671" s="479">
        <v>627.21</v>
      </c>
      <c r="I671" s="480" t="s">
        <v>9009</v>
      </c>
      <c r="J671" s="468" t="s">
        <v>9015</v>
      </c>
      <c r="K671" s="468" t="s">
        <v>8996</v>
      </c>
      <c r="L671" s="468" t="s">
        <v>541</v>
      </c>
    </row>
    <row r="672" spans="1:12" x14ac:dyDescent="0.25">
      <c r="A672" s="485" t="s">
        <v>220</v>
      </c>
      <c r="B672" s="485" t="s">
        <v>588</v>
      </c>
      <c r="C672" s="485" t="s">
        <v>1412</v>
      </c>
      <c r="D672" s="485" t="s">
        <v>1413</v>
      </c>
      <c r="E672" s="485" t="s">
        <v>545</v>
      </c>
      <c r="F672" s="482">
        <v>2500</v>
      </c>
      <c r="G672" s="468">
        <v>0.29794999999999999</v>
      </c>
      <c r="H672" s="479">
        <v>744.875</v>
      </c>
      <c r="I672" s="480" t="s">
        <v>9009</v>
      </c>
      <c r="J672" s="468" t="s">
        <v>9015</v>
      </c>
      <c r="K672" s="468" t="s">
        <v>8996</v>
      </c>
      <c r="L672" s="468" t="s">
        <v>541</v>
      </c>
    </row>
    <row r="673" spans="1:12" x14ac:dyDescent="0.25">
      <c r="A673" s="485" t="s">
        <v>220</v>
      </c>
      <c r="B673" s="485" t="s">
        <v>588</v>
      </c>
      <c r="C673" s="485" t="s">
        <v>1414</v>
      </c>
      <c r="D673" s="485" t="s">
        <v>1415</v>
      </c>
      <c r="E673" s="485" t="s">
        <v>545</v>
      </c>
      <c r="F673" s="482">
        <v>5000</v>
      </c>
      <c r="G673" s="468">
        <v>0.33835000000000004</v>
      </c>
      <c r="H673" s="479">
        <v>1691.7500000000002</v>
      </c>
      <c r="I673" s="480" t="s">
        <v>9009</v>
      </c>
      <c r="J673" s="468" t="s">
        <v>9015</v>
      </c>
      <c r="K673" s="468" t="s">
        <v>8996</v>
      </c>
      <c r="L673" s="468" t="s">
        <v>541</v>
      </c>
    </row>
    <row r="674" spans="1:12" x14ac:dyDescent="0.25">
      <c r="A674" s="485" t="s">
        <v>220</v>
      </c>
      <c r="B674" s="485" t="s">
        <v>588</v>
      </c>
      <c r="C674" s="485" t="s">
        <v>1416</v>
      </c>
      <c r="D674" s="485" t="s">
        <v>1417</v>
      </c>
      <c r="E674" s="485" t="s">
        <v>545</v>
      </c>
      <c r="F674" s="482">
        <v>5100</v>
      </c>
      <c r="G674" s="468">
        <v>0.5252</v>
      </c>
      <c r="H674" s="479">
        <v>2678.52</v>
      </c>
      <c r="I674" s="480" t="s">
        <v>9009</v>
      </c>
      <c r="J674" s="468" t="s">
        <v>9015</v>
      </c>
      <c r="K674" s="468" t="s">
        <v>8996</v>
      </c>
      <c r="L674" s="468" t="s">
        <v>541</v>
      </c>
    </row>
    <row r="675" spans="1:12" x14ac:dyDescent="0.25">
      <c r="A675" s="485" t="s">
        <v>220</v>
      </c>
      <c r="B675" s="485" t="s">
        <v>588</v>
      </c>
      <c r="C675" s="485" t="s">
        <v>1418</v>
      </c>
      <c r="D675" s="485" t="s">
        <v>1419</v>
      </c>
      <c r="E675" s="485" t="s">
        <v>545</v>
      </c>
      <c r="F675" s="482">
        <v>5000</v>
      </c>
      <c r="G675" s="468">
        <v>0.18179999999999999</v>
      </c>
      <c r="H675" s="479">
        <v>909</v>
      </c>
      <c r="I675" s="480" t="s">
        <v>9009</v>
      </c>
      <c r="J675" s="468" t="s">
        <v>9015</v>
      </c>
      <c r="K675" s="468" t="s">
        <v>8996</v>
      </c>
      <c r="L675" s="468" t="s">
        <v>541</v>
      </c>
    </row>
    <row r="676" spans="1:12" x14ac:dyDescent="0.25">
      <c r="A676" s="485" t="s">
        <v>220</v>
      </c>
      <c r="B676" s="485" t="s">
        <v>588</v>
      </c>
      <c r="C676" s="485" t="s">
        <v>1420</v>
      </c>
      <c r="D676" s="485" t="s">
        <v>1421</v>
      </c>
      <c r="E676" s="485" t="s">
        <v>545</v>
      </c>
      <c r="F676" s="482">
        <v>7080</v>
      </c>
      <c r="G676" s="468">
        <v>0.45890873015873018</v>
      </c>
      <c r="H676" s="479">
        <v>3249.0738095238098</v>
      </c>
      <c r="I676" s="480" t="s">
        <v>9009</v>
      </c>
      <c r="J676" s="468" t="s">
        <v>9015</v>
      </c>
      <c r="K676" s="468" t="s">
        <v>8996</v>
      </c>
      <c r="L676" s="468" t="s">
        <v>541</v>
      </c>
    </row>
    <row r="677" spans="1:12" x14ac:dyDescent="0.25">
      <c r="A677" s="485" t="s">
        <v>220</v>
      </c>
      <c r="B677" s="485" t="s">
        <v>588</v>
      </c>
      <c r="C677" s="485" t="s">
        <v>1422</v>
      </c>
      <c r="D677" s="485" t="s">
        <v>1423</v>
      </c>
      <c r="E677" s="485" t="s">
        <v>545</v>
      </c>
      <c r="F677" s="482">
        <v>3500</v>
      </c>
      <c r="G677" s="468">
        <v>0.48176999999999998</v>
      </c>
      <c r="H677" s="479">
        <v>1686.1949999999999</v>
      </c>
      <c r="I677" s="480" t="s">
        <v>9009</v>
      </c>
      <c r="J677" s="468" t="s">
        <v>9015</v>
      </c>
      <c r="K677" s="468" t="s">
        <v>8996</v>
      </c>
      <c r="L677" s="468" t="s">
        <v>541</v>
      </c>
    </row>
    <row r="678" spans="1:12" x14ac:dyDescent="0.25">
      <c r="A678" s="485" t="s">
        <v>220</v>
      </c>
      <c r="B678" s="485" t="s">
        <v>588</v>
      </c>
      <c r="C678" s="485" t="s">
        <v>1424</v>
      </c>
      <c r="D678" s="485" t="s">
        <v>1425</v>
      </c>
      <c r="E678" s="485" t="s">
        <v>545</v>
      </c>
      <c r="F678" s="482">
        <v>2000</v>
      </c>
      <c r="G678" s="468">
        <v>0.46925649350649351</v>
      </c>
      <c r="H678" s="479">
        <v>938.51298701298697</v>
      </c>
      <c r="I678" s="480" t="s">
        <v>9009</v>
      </c>
      <c r="J678" s="468" t="s">
        <v>9015</v>
      </c>
      <c r="K678" s="468" t="s">
        <v>8996</v>
      </c>
      <c r="L678" s="468" t="s">
        <v>541</v>
      </c>
    </row>
    <row r="679" spans="1:12" x14ac:dyDescent="0.25">
      <c r="A679" s="485" t="s">
        <v>220</v>
      </c>
      <c r="B679" s="485" t="s">
        <v>588</v>
      </c>
      <c r="C679" s="485" t="s">
        <v>1426</v>
      </c>
      <c r="D679" s="485" t="s">
        <v>1427</v>
      </c>
      <c r="E679" s="485" t="s">
        <v>545</v>
      </c>
      <c r="F679" s="482">
        <v>2500</v>
      </c>
      <c r="G679" s="468">
        <v>0.65649999999999997</v>
      </c>
      <c r="H679" s="479">
        <v>1641.25</v>
      </c>
      <c r="I679" s="480" t="s">
        <v>9009</v>
      </c>
      <c r="J679" s="468" t="s">
        <v>9015</v>
      </c>
      <c r="K679" s="468" t="s">
        <v>8996</v>
      </c>
      <c r="L679" s="468" t="s">
        <v>541</v>
      </c>
    </row>
    <row r="680" spans="1:12" x14ac:dyDescent="0.25">
      <c r="A680" s="485" t="s">
        <v>220</v>
      </c>
      <c r="B680" s="485" t="s">
        <v>588</v>
      </c>
      <c r="C680" s="485" t="s">
        <v>2233</v>
      </c>
      <c r="D680" s="485" t="s">
        <v>2234</v>
      </c>
      <c r="E680" s="485" t="s">
        <v>545</v>
      </c>
      <c r="F680" s="482">
        <v>5500</v>
      </c>
      <c r="G680" s="468">
        <v>0.36707888008272732</v>
      </c>
      <c r="H680" s="479">
        <v>2018.9338404550003</v>
      </c>
      <c r="I680" s="480" t="s">
        <v>9009</v>
      </c>
      <c r="J680" s="468" t="s">
        <v>9015</v>
      </c>
      <c r="K680" s="468" t="s">
        <v>8996</v>
      </c>
      <c r="L680" s="468" t="s">
        <v>541</v>
      </c>
    </row>
    <row r="681" spans="1:12" x14ac:dyDescent="0.25">
      <c r="A681" s="485" t="s">
        <v>220</v>
      </c>
      <c r="B681" s="485" t="s">
        <v>588</v>
      </c>
      <c r="C681" s="485" t="s">
        <v>1428</v>
      </c>
      <c r="D681" s="485" t="s">
        <v>1429</v>
      </c>
      <c r="E681" s="485" t="s">
        <v>545</v>
      </c>
      <c r="F681" s="482">
        <v>9100</v>
      </c>
      <c r="G681" s="468">
        <v>0.39836501182033096</v>
      </c>
      <c r="H681" s="479">
        <v>3625.1216075650118</v>
      </c>
      <c r="I681" s="480" t="s">
        <v>9009</v>
      </c>
      <c r="J681" s="468" t="s">
        <v>9015</v>
      </c>
      <c r="K681" s="468" t="s">
        <v>8996</v>
      </c>
      <c r="L681" s="468" t="s">
        <v>541</v>
      </c>
    </row>
    <row r="682" spans="1:12" x14ac:dyDescent="0.25">
      <c r="A682" s="485" t="s">
        <v>220</v>
      </c>
      <c r="B682" s="485" t="s">
        <v>588</v>
      </c>
      <c r="C682" s="485" t="s">
        <v>1430</v>
      </c>
      <c r="D682" s="485" t="s">
        <v>1431</v>
      </c>
      <c r="E682" s="485" t="s">
        <v>545</v>
      </c>
      <c r="F682" s="482">
        <v>7750</v>
      </c>
      <c r="G682" s="468">
        <v>0.3723225924795418</v>
      </c>
      <c r="H682" s="479">
        <v>2885.5000917164489</v>
      </c>
      <c r="I682" s="480" t="s">
        <v>9009</v>
      </c>
      <c r="J682" s="468" t="s">
        <v>9015</v>
      </c>
      <c r="K682" s="468" t="s">
        <v>8996</v>
      </c>
      <c r="L682" s="468" t="s">
        <v>541</v>
      </c>
    </row>
    <row r="683" spans="1:12" x14ac:dyDescent="0.25">
      <c r="A683" s="485" t="s">
        <v>220</v>
      </c>
      <c r="B683" s="485" t="s">
        <v>588</v>
      </c>
      <c r="C683" s="485" t="s">
        <v>1432</v>
      </c>
      <c r="D683" s="485" t="s">
        <v>1433</v>
      </c>
      <c r="E683" s="485" t="s">
        <v>545</v>
      </c>
      <c r="F683" s="482">
        <v>7750</v>
      </c>
      <c r="G683" s="468">
        <v>0.47470000000000007</v>
      </c>
      <c r="H683" s="479">
        <v>3678.9250000000006</v>
      </c>
      <c r="I683" s="480" t="s">
        <v>9009</v>
      </c>
      <c r="J683" s="468" t="s">
        <v>9015</v>
      </c>
      <c r="K683" s="468" t="s">
        <v>8996</v>
      </c>
      <c r="L683" s="468" t="s">
        <v>541</v>
      </c>
    </row>
    <row r="684" spans="1:12" x14ac:dyDescent="0.25">
      <c r="A684" s="485" t="s">
        <v>220</v>
      </c>
      <c r="B684" s="485" t="s">
        <v>588</v>
      </c>
      <c r="C684" s="485" t="s">
        <v>1434</v>
      </c>
      <c r="D684" s="485" t="s">
        <v>1435</v>
      </c>
      <c r="E684" s="485" t="s">
        <v>545</v>
      </c>
      <c r="F684" s="482">
        <v>6500</v>
      </c>
      <c r="G684" s="468">
        <v>0.48984999999999995</v>
      </c>
      <c r="H684" s="479">
        <v>3184.0249999999996</v>
      </c>
      <c r="I684" s="480" t="s">
        <v>9009</v>
      </c>
      <c r="J684" s="468" t="s">
        <v>9015</v>
      </c>
      <c r="K684" s="468" t="s">
        <v>8996</v>
      </c>
      <c r="L684" s="468" t="s">
        <v>541</v>
      </c>
    </row>
    <row r="685" spans="1:12" x14ac:dyDescent="0.25">
      <c r="A685" s="485" t="s">
        <v>220</v>
      </c>
      <c r="B685" s="485" t="s">
        <v>588</v>
      </c>
      <c r="C685" s="485" t="s">
        <v>1436</v>
      </c>
      <c r="D685" s="485" t="s">
        <v>1437</v>
      </c>
      <c r="E685" s="485" t="s">
        <v>545</v>
      </c>
      <c r="F685" s="482">
        <v>9090</v>
      </c>
      <c r="G685" s="468">
        <v>0.63629999999999998</v>
      </c>
      <c r="H685" s="479">
        <v>5783.9669999999996</v>
      </c>
      <c r="I685" s="480" t="s">
        <v>9009</v>
      </c>
      <c r="J685" s="468" t="s">
        <v>9015</v>
      </c>
      <c r="K685" s="468" t="s">
        <v>8996</v>
      </c>
      <c r="L685" s="468" t="s">
        <v>541</v>
      </c>
    </row>
    <row r="686" spans="1:12" x14ac:dyDescent="0.25">
      <c r="A686" s="485" t="s">
        <v>220</v>
      </c>
      <c r="B686" s="485" t="s">
        <v>588</v>
      </c>
      <c r="C686" s="485" t="s">
        <v>9143</v>
      </c>
      <c r="D686" s="485" t="s">
        <v>9144</v>
      </c>
      <c r="E686" s="485" t="s">
        <v>545</v>
      </c>
      <c r="F686" s="482">
        <v>700</v>
      </c>
      <c r="G686" s="468">
        <v>1.5149999999999999</v>
      </c>
      <c r="H686" s="479">
        <v>1060.5</v>
      </c>
      <c r="I686" s="480" t="s">
        <v>9009</v>
      </c>
      <c r="J686" s="468" t="s">
        <v>9015</v>
      </c>
      <c r="K686" s="468" t="s">
        <v>8996</v>
      </c>
      <c r="L686" s="468" t="s">
        <v>541</v>
      </c>
    </row>
    <row r="687" spans="1:12" x14ac:dyDescent="0.25">
      <c r="A687" s="485" t="s">
        <v>220</v>
      </c>
      <c r="B687" s="485" t="s">
        <v>588</v>
      </c>
      <c r="C687" s="485" t="s">
        <v>7540</v>
      </c>
      <c r="D687" s="485" t="s">
        <v>7541</v>
      </c>
      <c r="E687" s="485" t="s">
        <v>545</v>
      </c>
      <c r="F687" s="482">
        <v>1000</v>
      </c>
      <c r="G687" s="468">
        <v>0.35349999999999998</v>
      </c>
      <c r="H687" s="479">
        <v>353.5</v>
      </c>
      <c r="I687" s="480" t="s">
        <v>9009</v>
      </c>
      <c r="J687" s="468" t="s">
        <v>9015</v>
      </c>
      <c r="K687" s="468" t="s">
        <v>8996</v>
      </c>
      <c r="L687" s="468" t="s">
        <v>541</v>
      </c>
    </row>
    <row r="688" spans="1:12" x14ac:dyDescent="0.25">
      <c r="A688" s="485" t="s">
        <v>220</v>
      </c>
      <c r="B688" s="485" t="s">
        <v>588</v>
      </c>
      <c r="C688" s="485" t="s">
        <v>1438</v>
      </c>
      <c r="D688" s="485" t="s">
        <v>1439</v>
      </c>
      <c r="E688" s="485" t="s">
        <v>545</v>
      </c>
      <c r="F688" s="482">
        <v>1000</v>
      </c>
      <c r="G688" s="468">
        <v>0.35349999999999998</v>
      </c>
      <c r="H688" s="479">
        <v>353.5</v>
      </c>
      <c r="I688" s="480" t="s">
        <v>9009</v>
      </c>
      <c r="J688" s="468" t="s">
        <v>9015</v>
      </c>
      <c r="K688" s="468" t="s">
        <v>8996</v>
      </c>
      <c r="L688" s="468" t="s">
        <v>541</v>
      </c>
    </row>
    <row r="689" spans="1:12" x14ac:dyDescent="0.25">
      <c r="A689" s="485" t="s">
        <v>220</v>
      </c>
      <c r="B689" s="485" t="s">
        <v>588</v>
      </c>
      <c r="C689" s="485" t="s">
        <v>1440</v>
      </c>
      <c r="D689" s="485" t="s">
        <v>9145</v>
      </c>
      <c r="E689" s="485" t="s">
        <v>545</v>
      </c>
      <c r="F689" s="482">
        <v>870</v>
      </c>
      <c r="G689" s="468">
        <v>0.89385000000000003</v>
      </c>
      <c r="H689" s="479">
        <v>777.64949999999999</v>
      </c>
      <c r="I689" s="480" t="s">
        <v>9009</v>
      </c>
      <c r="J689" s="468" t="s">
        <v>9015</v>
      </c>
      <c r="K689" s="468" t="s">
        <v>8996</v>
      </c>
      <c r="L689" s="468" t="s">
        <v>541</v>
      </c>
    </row>
    <row r="690" spans="1:12" x14ac:dyDescent="0.25">
      <c r="A690" s="485" t="s">
        <v>220</v>
      </c>
      <c r="B690" s="485" t="s">
        <v>588</v>
      </c>
      <c r="C690" s="485" t="s">
        <v>1442</v>
      </c>
      <c r="D690" s="485" t="s">
        <v>1443</v>
      </c>
      <c r="E690" s="485" t="s">
        <v>545</v>
      </c>
      <c r="F690" s="482">
        <v>1740</v>
      </c>
      <c r="G690" s="468">
        <v>0.36098745437956203</v>
      </c>
      <c r="H690" s="479">
        <v>628.11817062043792</v>
      </c>
      <c r="I690" s="480" t="s">
        <v>9009</v>
      </c>
      <c r="J690" s="468" t="s">
        <v>9015</v>
      </c>
      <c r="K690" s="468" t="s">
        <v>8996</v>
      </c>
      <c r="L690" s="468" t="s">
        <v>541</v>
      </c>
    </row>
    <row r="691" spans="1:12" x14ac:dyDescent="0.25">
      <c r="A691" s="485" t="s">
        <v>220</v>
      </c>
      <c r="B691" s="485" t="s">
        <v>588</v>
      </c>
      <c r="C691" s="485" t="s">
        <v>7542</v>
      </c>
      <c r="D691" s="485" t="s">
        <v>7543</v>
      </c>
      <c r="E691" s="485" t="s">
        <v>545</v>
      </c>
      <c r="F691" s="482">
        <v>3500</v>
      </c>
      <c r="G691" s="468">
        <v>0.38609011697217932</v>
      </c>
      <c r="H691" s="479">
        <v>1351.3154094026277</v>
      </c>
      <c r="I691" s="480" t="s">
        <v>9009</v>
      </c>
      <c r="J691" s="468" t="s">
        <v>9015</v>
      </c>
      <c r="K691" s="468" t="s">
        <v>8996</v>
      </c>
      <c r="L691" s="468" t="s">
        <v>541</v>
      </c>
    </row>
    <row r="692" spans="1:12" x14ac:dyDescent="0.25">
      <c r="A692" s="485" t="s">
        <v>220</v>
      </c>
      <c r="B692" s="485" t="s">
        <v>588</v>
      </c>
      <c r="C692" s="485" t="s">
        <v>7544</v>
      </c>
      <c r="D692" s="485" t="s">
        <v>7545</v>
      </c>
      <c r="E692" s="485" t="s">
        <v>545</v>
      </c>
      <c r="F692" s="482">
        <v>3500</v>
      </c>
      <c r="G692" s="468">
        <v>0.35349999999999998</v>
      </c>
      <c r="H692" s="479">
        <v>1237.25</v>
      </c>
      <c r="I692" s="480" t="s">
        <v>9009</v>
      </c>
      <c r="J692" s="468" t="s">
        <v>9015</v>
      </c>
      <c r="K692" s="468" t="s">
        <v>8996</v>
      </c>
      <c r="L692" s="468" t="s">
        <v>541</v>
      </c>
    </row>
    <row r="693" spans="1:12" x14ac:dyDescent="0.25">
      <c r="A693" s="485" t="s">
        <v>220</v>
      </c>
      <c r="B693" s="485" t="s">
        <v>588</v>
      </c>
      <c r="C693" s="485" t="s">
        <v>1444</v>
      </c>
      <c r="D693" s="485" t="s">
        <v>9146</v>
      </c>
      <c r="E693" s="485" t="s">
        <v>545</v>
      </c>
      <c r="F693" s="482">
        <v>810</v>
      </c>
      <c r="G693" s="468">
        <v>0.35349999999999998</v>
      </c>
      <c r="H693" s="479">
        <v>286.33499999999998</v>
      </c>
      <c r="I693" s="480" t="s">
        <v>9009</v>
      </c>
      <c r="J693" s="468" t="s">
        <v>9015</v>
      </c>
      <c r="K693" s="468" t="s">
        <v>8996</v>
      </c>
      <c r="L693" s="468" t="s">
        <v>541</v>
      </c>
    </row>
    <row r="694" spans="1:12" x14ac:dyDescent="0.25">
      <c r="A694" s="485" t="s">
        <v>220</v>
      </c>
      <c r="B694" s="485" t="s">
        <v>588</v>
      </c>
      <c r="C694" s="485" t="s">
        <v>1446</v>
      </c>
      <c r="D694" s="485" t="s">
        <v>1447</v>
      </c>
      <c r="E694" s="485" t="s">
        <v>545</v>
      </c>
      <c r="F694" s="482">
        <v>400</v>
      </c>
      <c r="G694" s="468">
        <v>0.70699999999999974</v>
      </c>
      <c r="H694" s="479">
        <v>282.7999999999999</v>
      </c>
      <c r="I694" s="480" t="s">
        <v>9009</v>
      </c>
      <c r="J694" s="468" t="s">
        <v>9015</v>
      </c>
      <c r="K694" s="468" t="s">
        <v>8996</v>
      </c>
      <c r="L694" s="468" t="s">
        <v>541</v>
      </c>
    </row>
    <row r="695" spans="1:12" x14ac:dyDescent="0.25">
      <c r="A695" s="485" t="s">
        <v>220</v>
      </c>
      <c r="B695" s="485" t="s">
        <v>588</v>
      </c>
      <c r="C695" s="485" t="s">
        <v>1448</v>
      </c>
      <c r="D695" s="485" t="s">
        <v>1449</v>
      </c>
      <c r="E695" s="485" t="s">
        <v>545</v>
      </c>
      <c r="F695" s="482">
        <v>1000</v>
      </c>
      <c r="G695" s="468">
        <v>8.0985849056603762E-2</v>
      </c>
      <c r="H695" s="479">
        <v>80.985849056603769</v>
      </c>
      <c r="I695" s="480" t="s">
        <v>9009</v>
      </c>
      <c r="J695" s="468" t="s">
        <v>9015</v>
      </c>
      <c r="K695" s="468" t="s">
        <v>8996</v>
      </c>
      <c r="L695" s="468" t="s">
        <v>541</v>
      </c>
    </row>
    <row r="696" spans="1:12" x14ac:dyDescent="0.25">
      <c r="A696" s="485" t="s">
        <v>220</v>
      </c>
      <c r="B696" s="485" t="s">
        <v>588</v>
      </c>
      <c r="C696" s="485" t="s">
        <v>1450</v>
      </c>
      <c r="D696" s="485" t="s">
        <v>1451</v>
      </c>
      <c r="E696" s="485" t="s">
        <v>545</v>
      </c>
      <c r="F696" s="482">
        <v>4280</v>
      </c>
      <c r="G696" s="468">
        <v>0.16148552711873129</v>
      </c>
      <c r="H696" s="479">
        <v>691.15805606816991</v>
      </c>
      <c r="I696" s="480" t="s">
        <v>9009</v>
      </c>
      <c r="J696" s="468" t="s">
        <v>9015</v>
      </c>
      <c r="K696" s="468" t="s">
        <v>8996</v>
      </c>
      <c r="L696" s="468" t="s">
        <v>541</v>
      </c>
    </row>
    <row r="697" spans="1:12" x14ac:dyDescent="0.25">
      <c r="A697" s="485" t="s">
        <v>220</v>
      </c>
      <c r="B697" s="485" t="s">
        <v>588</v>
      </c>
      <c r="C697" s="485" t="s">
        <v>1452</v>
      </c>
      <c r="D697" s="485" t="s">
        <v>1453</v>
      </c>
      <c r="E697" s="485" t="s">
        <v>545</v>
      </c>
      <c r="F697" s="482">
        <v>2000</v>
      </c>
      <c r="G697" s="468">
        <v>0.16159999999999997</v>
      </c>
      <c r="H697" s="479">
        <v>323.19999999999993</v>
      </c>
      <c r="I697" s="480" t="s">
        <v>9009</v>
      </c>
      <c r="J697" s="468" t="s">
        <v>9015</v>
      </c>
      <c r="K697" s="468" t="s">
        <v>8996</v>
      </c>
      <c r="L697" s="468" t="s">
        <v>541</v>
      </c>
    </row>
    <row r="698" spans="1:12" x14ac:dyDescent="0.25">
      <c r="A698" s="485" t="s">
        <v>220</v>
      </c>
      <c r="B698" s="485" t="s">
        <v>588</v>
      </c>
      <c r="C698" s="485" t="s">
        <v>1454</v>
      </c>
      <c r="D698" s="485" t="s">
        <v>1455</v>
      </c>
      <c r="E698" s="485" t="s">
        <v>545</v>
      </c>
      <c r="F698" s="482">
        <v>1000</v>
      </c>
      <c r="G698" s="468">
        <v>7.5999999999999998E-2</v>
      </c>
      <c r="H698" s="479">
        <v>76</v>
      </c>
      <c r="I698" s="480" t="s">
        <v>9009</v>
      </c>
      <c r="J698" s="468" t="s">
        <v>9015</v>
      </c>
      <c r="K698" s="468" t="s">
        <v>8996</v>
      </c>
      <c r="L698" s="468" t="s">
        <v>541</v>
      </c>
    </row>
    <row r="699" spans="1:12" x14ac:dyDescent="0.25">
      <c r="A699" s="485" t="s">
        <v>220</v>
      </c>
      <c r="B699" s="485" t="s">
        <v>588</v>
      </c>
      <c r="C699" s="485" t="s">
        <v>1456</v>
      </c>
      <c r="D699" s="485" t="s">
        <v>1457</v>
      </c>
      <c r="E699" s="485" t="s">
        <v>545</v>
      </c>
      <c r="F699" s="482">
        <v>4550</v>
      </c>
      <c r="G699" s="468">
        <v>0.16149121677217895</v>
      </c>
      <c r="H699" s="479">
        <v>734.78503631341425</v>
      </c>
      <c r="I699" s="480" t="s">
        <v>9009</v>
      </c>
      <c r="J699" s="468" t="s">
        <v>9015</v>
      </c>
      <c r="K699" s="468" t="s">
        <v>8996</v>
      </c>
      <c r="L699" s="468" t="s">
        <v>541</v>
      </c>
    </row>
    <row r="700" spans="1:12" x14ac:dyDescent="0.25">
      <c r="A700" s="485" t="s">
        <v>220</v>
      </c>
      <c r="B700" s="485" t="s">
        <v>588</v>
      </c>
      <c r="C700" s="485" t="s">
        <v>1458</v>
      </c>
      <c r="D700" s="485" t="s">
        <v>1459</v>
      </c>
      <c r="E700" s="485" t="s">
        <v>545</v>
      </c>
      <c r="F700" s="482">
        <v>3320</v>
      </c>
      <c r="G700" s="468">
        <v>0.16159999999999999</v>
      </c>
      <c r="H700" s="479">
        <v>536.51199999999994</v>
      </c>
      <c r="I700" s="480" t="s">
        <v>9009</v>
      </c>
      <c r="J700" s="468" t="s">
        <v>9015</v>
      </c>
      <c r="K700" s="468" t="s">
        <v>8996</v>
      </c>
      <c r="L700" s="468" t="s">
        <v>541</v>
      </c>
    </row>
    <row r="701" spans="1:12" x14ac:dyDescent="0.25">
      <c r="A701" s="485" t="s">
        <v>220</v>
      </c>
      <c r="B701" s="485" t="s">
        <v>588</v>
      </c>
      <c r="C701" s="485" t="s">
        <v>1460</v>
      </c>
      <c r="D701" s="485" t="s">
        <v>1461</v>
      </c>
      <c r="E701" s="485" t="s">
        <v>545</v>
      </c>
      <c r="F701" s="482">
        <v>3400</v>
      </c>
      <c r="G701" s="468">
        <v>0.27448235294117646</v>
      </c>
      <c r="H701" s="479">
        <v>933.2399999999999</v>
      </c>
      <c r="I701" s="480" t="s">
        <v>9009</v>
      </c>
      <c r="J701" s="468" t="s">
        <v>9015</v>
      </c>
      <c r="K701" s="468" t="s">
        <v>8996</v>
      </c>
      <c r="L701" s="468" t="s">
        <v>541</v>
      </c>
    </row>
    <row r="702" spans="1:12" x14ac:dyDescent="0.25">
      <c r="A702" s="485" t="s">
        <v>220</v>
      </c>
      <c r="B702" s="485" t="s">
        <v>588</v>
      </c>
      <c r="C702" s="485" t="s">
        <v>1462</v>
      </c>
      <c r="D702" s="485" t="s">
        <v>1463</v>
      </c>
      <c r="E702" s="485" t="s">
        <v>545</v>
      </c>
      <c r="F702" s="482">
        <v>1330</v>
      </c>
      <c r="G702" s="468">
        <v>0.27430750750750749</v>
      </c>
      <c r="H702" s="479">
        <v>364.82898498498497</v>
      </c>
      <c r="I702" s="480" t="s">
        <v>9009</v>
      </c>
      <c r="J702" s="468" t="s">
        <v>9015</v>
      </c>
      <c r="K702" s="468" t="s">
        <v>8996</v>
      </c>
      <c r="L702" s="468" t="s">
        <v>541</v>
      </c>
    </row>
    <row r="703" spans="1:12" x14ac:dyDescent="0.25">
      <c r="A703" s="485" t="s">
        <v>220</v>
      </c>
      <c r="B703" s="485" t="s">
        <v>588</v>
      </c>
      <c r="C703" s="485" t="s">
        <v>1464</v>
      </c>
      <c r="D703" s="485" t="s">
        <v>1465</v>
      </c>
      <c r="E703" s="485" t="s">
        <v>545</v>
      </c>
      <c r="F703" s="482">
        <v>3000</v>
      </c>
      <c r="G703" s="468">
        <v>0.35340619320324185</v>
      </c>
      <c r="H703" s="479">
        <v>1060.2185796097256</v>
      </c>
      <c r="I703" s="480" t="s">
        <v>9009</v>
      </c>
      <c r="J703" s="468" t="s">
        <v>9015</v>
      </c>
      <c r="K703" s="468" t="s">
        <v>8996</v>
      </c>
      <c r="L703" s="468" t="s">
        <v>541</v>
      </c>
    </row>
    <row r="704" spans="1:12" x14ac:dyDescent="0.25">
      <c r="A704" s="485" t="s">
        <v>220</v>
      </c>
      <c r="B704" s="485" t="s">
        <v>588</v>
      </c>
      <c r="C704" s="485" t="s">
        <v>1466</v>
      </c>
      <c r="D704" s="485" t="s">
        <v>1467</v>
      </c>
      <c r="E704" s="485" t="s">
        <v>545</v>
      </c>
      <c r="F704" s="482">
        <v>4500</v>
      </c>
      <c r="G704" s="468">
        <v>0.3526090337024263</v>
      </c>
      <c r="H704" s="479">
        <v>1586.7406516609183</v>
      </c>
      <c r="I704" s="480" t="s">
        <v>9009</v>
      </c>
      <c r="J704" s="468" t="s">
        <v>9015</v>
      </c>
      <c r="K704" s="468" t="s">
        <v>8996</v>
      </c>
      <c r="L704" s="468" t="s">
        <v>541</v>
      </c>
    </row>
    <row r="705" spans="1:12" x14ac:dyDescent="0.25">
      <c r="A705" s="485" t="s">
        <v>220</v>
      </c>
      <c r="B705" s="485" t="s">
        <v>588</v>
      </c>
      <c r="C705" s="485" t="s">
        <v>1468</v>
      </c>
      <c r="D705" s="485" t="s">
        <v>1469</v>
      </c>
      <c r="E705" s="485" t="s">
        <v>545</v>
      </c>
      <c r="F705" s="482">
        <v>2800</v>
      </c>
      <c r="G705" s="468">
        <v>0.26841498652291107</v>
      </c>
      <c r="H705" s="479">
        <v>751.56196226415102</v>
      </c>
      <c r="I705" s="480" t="s">
        <v>9009</v>
      </c>
      <c r="J705" s="468" t="s">
        <v>9015</v>
      </c>
      <c r="K705" s="468" t="s">
        <v>8996</v>
      </c>
      <c r="L705" s="468" t="s">
        <v>541</v>
      </c>
    </row>
    <row r="706" spans="1:12" x14ac:dyDescent="0.25">
      <c r="A706" s="485" t="s">
        <v>220</v>
      </c>
      <c r="B706" s="485" t="s">
        <v>588</v>
      </c>
      <c r="C706" s="485" t="s">
        <v>1470</v>
      </c>
      <c r="D706" s="485" t="s">
        <v>1471</v>
      </c>
      <c r="E706" s="485" t="s">
        <v>545</v>
      </c>
      <c r="F706" s="482">
        <v>3880</v>
      </c>
      <c r="G706" s="468">
        <v>0.32753402061855674</v>
      </c>
      <c r="H706" s="479">
        <v>1270.8320000000001</v>
      </c>
      <c r="I706" s="480" t="s">
        <v>9009</v>
      </c>
      <c r="J706" s="468" t="s">
        <v>9015</v>
      </c>
      <c r="K706" s="468" t="s">
        <v>8996</v>
      </c>
      <c r="L706" s="468" t="s">
        <v>541</v>
      </c>
    </row>
    <row r="707" spans="1:12" x14ac:dyDescent="0.25">
      <c r="A707" s="485" t="s">
        <v>220</v>
      </c>
      <c r="B707" s="485" t="s">
        <v>588</v>
      </c>
      <c r="C707" s="485" t="s">
        <v>1472</v>
      </c>
      <c r="D707" s="485" t="s">
        <v>1473</v>
      </c>
      <c r="E707" s="485" t="s">
        <v>545</v>
      </c>
      <c r="F707" s="482">
        <v>1000</v>
      </c>
      <c r="G707" s="468">
        <v>0.35254885463933233</v>
      </c>
      <c r="H707" s="479">
        <v>352.54885463933232</v>
      </c>
      <c r="I707" s="480" t="s">
        <v>9009</v>
      </c>
      <c r="J707" s="468" t="s">
        <v>9015</v>
      </c>
      <c r="K707" s="468" t="s">
        <v>8996</v>
      </c>
      <c r="L707" s="468" t="s">
        <v>541</v>
      </c>
    </row>
    <row r="708" spans="1:12" x14ac:dyDescent="0.25">
      <c r="A708" s="485" t="s">
        <v>220</v>
      </c>
      <c r="B708" s="485" t="s">
        <v>588</v>
      </c>
      <c r="C708" s="485" t="s">
        <v>1474</v>
      </c>
      <c r="D708" s="485" t="s">
        <v>1475</v>
      </c>
      <c r="E708" s="485" t="s">
        <v>545</v>
      </c>
      <c r="F708" s="482">
        <v>3000</v>
      </c>
      <c r="G708" s="468">
        <v>0.35349999999999998</v>
      </c>
      <c r="H708" s="479">
        <v>1060.5</v>
      </c>
      <c r="I708" s="480" t="s">
        <v>9009</v>
      </c>
      <c r="J708" s="468" t="s">
        <v>9015</v>
      </c>
      <c r="K708" s="468" t="s">
        <v>8996</v>
      </c>
      <c r="L708" s="468" t="s">
        <v>541</v>
      </c>
    </row>
    <row r="709" spans="1:12" x14ac:dyDescent="0.25">
      <c r="A709" s="485" t="s">
        <v>220</v>
      </c>
      <c r="B709" s="485" t="s">
        <v>588</v>
      </c>
      <c r="C709" s="485" t="s">
        <v>1476</v>
      </c>
      <c r="D709" s="485" t="s">
        <v>1477</v>
      </c>
      <c r="E709" s="485" t="s">
        <v>545</v>
      </c>
      <c r="F709" s="482">
        <v>4530</v>
      </c>
      <c r="G709" s="468">
        <v>0.35803067599660765</v>
      </c>
      <c r="H709" s="479">
        <v>1621.8789622646327</v>
      </c>
      <c r="I709" s="480" t="s">
        <v>9009</v>
      </c>
      <c r="J709" s="468" t="s">
        <v>9015</v>
      </c>
      <c r="K709" s="468" t="s">
        <v>8996</v>
      </c>
      <c r="L709" s="468" t="s">
        <v>541</v>
      </c>
    </row>
    <row r="710" spans="1:12" x14ac:dyDescent="0.25">
      <c r="A710" s="485" t="s">
        <v>220</v>
      </c>
      <c r="B710" s="485" t="s">
        <v>588</v>
      </c>
      <c r="C710" s="485" t="s">
        <v>2264</v>
      </c>
      <c r="D710" s="485" t="s">
        <v>2265</v>
      </c>
      <c r="E710" s="485" t="s">
        <v>545</v>
      </c>
      <c r="F710" s="482">
        <v>3500</v>
      </c>
      <c r="G710" s="468">
        <v>0.35046659474671671</v>
      </c>
      <c r="H710" s="479">
        <v>1226.6330816135085</v>
      </c>
      <c r="I710" s="480" t="s">
        <v>9009</v>
      </c>
      <c r="J710" s="468" t="s">
        <v>9015</v>
      </c>
      <c r="K710" s="468" t="s">
        <v>8996</v>
      </c>
      <c r="L710" s="468" t="s">
        <v>541</v>
      </c>
    </row>
    <row r="711" spans="1:12" x14ac:dyDescent="0.25">
      <c r="A711" s="485" t="s">
        <v>220</v>
      </c>
      <c r="B711" s="485" t="s">
        <v>588</v>
      </c>
      <c r="C711" s="485" t="s">
        <v>1478</v>
      </c>
      <c r="D711" s="485" t="s">
        <v>1479</v>
      </c>
      <c r="E711" s="485" t="s">
        <v>545</v>
      </c>
      <c r="F711" s="482">
        <v>2600</v>
      </c>
      <c r="G711" s="468">
        <v>0.25755</v>
      </c>
      <c r="H711" s="479">
        <v>669.63</v>
      </c>
      <c r="I711" s="480" t="s">
        <v>9009</v>
      </c>
      <c r="J711" s="468" t="s">
        <v>9015</v>
      </c>
      <c r="K711" s="468" t="s">
        <v>8996</v>
      </c>
      <c r="L711" s="468" t="s">
        <v>541</v>
      </c>
    </row>
    <row r="712" spans="1:12" x14ac:dyDescent="0.25">
      <c r="A712" s="485" t="s">
        <v>220</v>
      </c>
      <c r="B712" s="485" t="s">
        <v>588</v>
      </c>
      <c r="C712" s="485" t="s">
        <v>1480</v>
      </c>
      <c r="D712" s="485" t="s">
        <v>1481</v>
      </c>
      <c r="E712" s="485" t="s">
        <v>545</v>
      </c>
      <c r="F712" s="482">
        <v>3000</v>
      </c>
      <c r="G712" s="468">
        <v>0.30804999999999999</v>
      </c>
      <c r="H712" s="479">
        <v>924.15</v>
      </c>
      <c r="I712" s="480" t="s">
        <v>9009</v>
      </c>
      <c r="J712" s="468" t="s">
        <v>9015</v>
      </c>
      <c r="K712" s="468" t="s">
        <v>8996</v>
      </c>
      <c r="L712" s="468" t="s">
        <v>541</v>
      </c>
    </row>
    <row r="713" spans="1:12" x14ac:dyDescent="0.25">
      <c r="A713" s="485" t="s">
        <v>220</v>
      </c>
      <c r="B713" s="485" t="s">
        <v>588</v>
      </c>
      <c r="C713" s="485" t="s">
        <v>1482</v>
      </c>
      <c r="D713" s="485" t="s">
        <v>1483</v>
      </c>
      <c r="E713" s="485" t="s">
        <v>545</v>
      </c>
      <c r="F713" s="482">
        <v>3220</v>
      </c>
      <c r="G713" s="468">
        <v>0.42419999999999997</v>
      </c>
      <c r="H713" s="479">
        <v>1365.924</v>
      </c>
      <c r="I713" s="480" t="s">
        <v>9009</v>
      </c>
      <c r="J713" s="468" t="s">
        <v>9015</v>
      </c>
      <c r="K713" s="468" t="s">
        <v>8996</v>
      </c>
      <c r="L713" s="468" t="s">
        <v>541</v>
      </c>
    </row>
    <row r="714" spans="1:12" x14ac:dyDescent="0.25">
      <c r="A714" s="485" t="s">
        <v>220</v>
      </c>
      <c r="B714" s="485" t="s">
        <v>588</v>
      </c>
      <c r="C714" s="485" t="s">
        <v>7675</v>
      </c>
      <c r="D714" s="485" t="s">
        <v>7676</v>
      </c>
      <c r="E714" s="485" t="s">
        <v>545</v>
      </c>
      <c r="F714" s="482">
        <v>2500</v>
      </c>
      <c r="G714" s="468">
        <v>0.45450000000000002</v>
      </c>
      <c r="H714" s="479">
        <v>1136.25</v>
      </c>
      <c r="I714" s="480" t="s">
        <v>9009</v>
      </c>
      <c r="J714" s="468" t="s">
        <v>9015</v>
      </c>
      <c r="K714" s="468" t="s">
        <v>8996</v>
      </c>
      <c r="L714" s="468" t="s">
        <v>541</v>
      </c>
    </row>
    <row r="715" spans="1:12" x14ac:dyDescent="0.25">
      <c r="A715" s="485" t="s">
        <v>220</v>
      </c>
      <c r="B715" s="485" t="s">
        <v>588</v>
      </c>
      <c r="C715" s="485" t="s">
        <v>1484</v>
      </c>
      <c r="D715" s="485" t="s">
        <v>1485</v>
      </c>
      <c r="E715" s="485" t="s">
        <v>545</v>
      </c>
      <c r="F715" s="482">
        <v>2000</v>
      </c>
      <c r="G715" s="468">
        <v>0.2828</v>
      </c>
      <c r="H715" s="479">
        <v>565.6</v>
      </c>
      <c r="I715" s="480" t="s">
        <v>9009</v>
      </c>
      <c r="J715" s="468" t="s">
        <v>9015</v>
      </c>
      <c r="K715" s="468" t="s">
        <v>8996</v>
      </c>
      <c r="L715" s="468" t="s">
        <v>541</v>
      </c>
    </row>
    <row r="716" spans="1:12" x14ac:dyDescent="0.25">
      <c r="A716" s="485" t="s">
        <v>220</v>
      </c>
      <c r="B716" s="485" t="s">
        <v>588</v>
      </c>
      <c r="C716" s="485" t="s">
        <v>1486</v>
      </c>
      <c r="D716" s="485" t="s">
        <v>1487</v>
      </c>
      <c r="E716" s="485" t="s">
        <v>545</v>
      </c>
      <c r="F716" s="482">
        <v>9000</v>
      </c>
      <c r="G716" s="468">
        <v>0.2828</v>
      </c>
      <c r="H716" s="479">
        <v>2545.1999999999998</v>
      </c>
      <c r="I716" s="480" t="s">
        <v>9009</v>
      </c>
      <c r="J716" s="468" t="s">
        <v>9015</v>
      </c>
      <c r="K716" s="468" t="s">
        <v>8996</v>
      </c>
      <c r="L716" s="468" t="s">
        <v>541</v>
      </c>
    </row>
    <row r="717" spans="1:12" x14ac:dyDescent="0.25">
      <c r="A717" s="485" t="s">
        <v>220</v>
      </c>
      <c r="B717" s="485" t="s">
        <v>588</v>
      </c>
      <c r="C717" s="485" t="s">
        <v>1488</v>
      </c>
      <c r="D717" s="485" t="s">
        <v>1489</v>
      </c>
      <c r="E717" s="485" t="s">
        <v>545</v>
      </c>
      <c r="F717" s="482">
        <v>4000</v>
      </c>
      <c r="G717" s="468">
        <v>0.35349999999999998</v>
      </c>
      <c r="H717" s="479">
        <v>1414</v>
      </c>
      <c r="I717" s="480" t="s">
        <v>9009</v>
      </c>
      <c r="J717" s="468" t="s">
        <v>9015</v>
      </c>
      <c r="K717" s="468" t="s">
        <v>8996</v>
      </c>
      <c r="L717" s="468" t="s">
        <v>541</v>
      </c>
    </row>
    <row r="718" spans="1:12" x14ac:dyDescent="0.25">
      <c r="A718" s="485" t="s">
        <v>220</v>
      </c>
      <c r="B718" s="485" t="s">
        <v>588</v>
      </c>
      <c r="C718" s="485" t="s">
        <v>1490</v>
      </c>
      <c r="D718" s="485" t="s">
        <v>1491</v>
      </c>
      <c r="E718" s="485" t="s">
        <v>545</v>
      </c>
      <c r="F718" s="482">
        <v>4000</v>
      </c>
      <c r="G718" s="468">
        <v>0.35349999999999998</v>
      </c>
      <c r="H718" s="479">
        <v>1414</v>
      </c>
      <c r="I718" s="480" t="s">
        <v>9009</v>
      </c>
      <c r="J718" s="468" t="s">
        <v>9015</v>
      </c>
      <c r="K718" s="468" t="s">
        <v>8996</v>
      </c>
      <c r="L718" s="468" t="s">
        <v>541</v>
      </c>
    </row>
    <row r="719" spans="1:12" x14ac:dyDescent="0.25">
      <c r="A719" s="485" t="s">
        <v>220</v>
      </c>
      <c r="B719" s="485" t="s">
        <v>588</v>
      </c>
      <c r="C719" s="485" t="s">
        <v>1492</v>
      </c>
      <c r="D719" s="485" t="s">
        <v>1493</v>
      </c>
      <c r="E719" s="485" t="s">
        <v>545</v>
      </c>
      <c r="F719" s="482">
        <v>6900</v>
      </c>
      <c r="G719" s="468">
        <v>0.38380000000000003</v>
      </c>
      <c r="H719" s="479">
        <v>2648.2200000000003</v>
      </c>
      <c r="I719" s="480" t="s">
        <v>9009</v>
      </c>
      <c r="J719" s="468" t="s">
        <v>9015</v>
      </c>
      <c r="K719" s="468" t="s">
        <v>8996</v>
      </c>
      <c r="L719" s="468" t="s">
        <v>541</v>
      </c>
    </row>
    <row r="720" spans="1:12" x14ac:dyDescent="0.25">
      <c r="A720" s="485" t="s">
        <v>220</v>
      </c>
      <c r="B720" s="485" t="s">
        <v>588</v>
      </c>
      <c r="C720" s="485" t="s">
        <v>1494</v>
      </c>
      <c r="D720" s="485" t="s">
        <v>1495</v>
      </c>
      <c r="E720" s="485" t="s">
        <v>545</v>
      </c>
      <c r="F720" s="482">
        <v>6080</v>
      </c>
      <c r="G720" s="468">
        <v>0.38379999999999997</v>
      </c>
      <c r="H720" s="479">
        <v>2333.5039999999999</v>
      </c>
      <c r="I720" s="480" t="s">
        <v>9009</v>
      </c>
      <c r="J720" s="468" t="s">
        <v>9015</v>
      </c>
      <c r="K720" s="468" t="s">
        <v>8996</v>
      </c>
      <c r="L720" s="468" t="s">
        <v>541</v>
      </c>
    </row>
    <row r="721" spans="1:12" x14ac:dyDescent="0.25">
      <c r="A721" s="485" t="s">
        <v>220</v>
      </c>
      <c r="B721" s="485" t="s">
        <v>588</v>
      </c>
      <c r="C721" s="485" t="s">
        <v>7677</v>
      </c>
      <c r="D721" s="485" t="s">
        <v>7678</v>
      </c>
      <c r="E721" s="485" t="s">
        <v>545</v>
      </c>
      <c r="F721" s="482">
        <v>1200</v>
      </c>
      <c r="G721" s="468">
        <v>0.29794999999999999</v>
      </c>
      <c r="H721" s="479">
        <v>357.53999999999996</v>
      </c>
      <c r="I721" s="480" t="s">
        <v>9009</v>
      </c>
      <c r="J721" s="468" t="s">
        <v>9015</v>
      </c>
      <c r="K721" s="468" t="s">
        <v>8996</v>
      </c>
      <c r="L721" s="468" t="s">
        <v>541</v>
      </c>
    </row>
    <row r="722" spans="1:12" x14ac:dyDescent="0.25">
      <c r="A722" s="485" t="s">
        <v>220</v>
      </c>
      <c r="B722" s="485" t="s">
        <v>588</v>
      </c>
      <c r="C722" s="485" t="s">
        <v>1496</v>
      </c>
      <c r="D722" s="485" t="s">
        <v>1497</v>
      </c>
      <c r="E722" s="485" t="s">
        <v>545</v>
      </c>
      <c r="F722" s="482">
        <v>2580</v>
      </c>
      <c r="G722" s="468">
        <v>0.42420000000000002</v>
      </c>
      <c r="H722" s="479">
        <v>1094.4360000000001</v>
      </c>
      <c r="I722" s="480" t="s">
        <v>9009</v>
      </c>
      <c r="J722" s="468" t="s">
        <v>9015</v>
      </c>
      <c r="K722" s="468" t="s">
        <v>8996</v>
      </c>
      <c r="L722" s="468" t="s">
        <v>541</v>
      </c>
    </row>
    <row r="723" spans="1:12" x14ac:dyDescent="0.25">
      <c r="A723" s="485" t="s">
        <v>220</v>
      </c>
      <c r="B723" s="485" t="s">
        <v>588</v>
      </c>
      <c r="C723" s="485" t="s">
        <v>1498</v>
      </c>
      <c r="D723" s="485" t="s">
        <v>1499</v>
      </c>
      <c r="E723" s="485" t="s">
        <v>545</v>
      </c>
      <c r="F723" s="482">
        <v>1000</v>
      </c>
      <c r="G723" s="468">
        <v>0.30299999999999999</v>
      </c>
      <c r="H723" s="479">
        <v>303</v>
      </c>
      <c r="I723" s="480" t="s">
        <v>9009</v>
      </c>
      <c r="J723" s="468" t="s">
        <v>9015</v>
      </c>
      <c r="K723" s="468" t="s">
        <v>8996</v>
      </c>
      <c r="L723" s="468" t="s">
        <v>541</v>
      </c>
    </row>
    <row r="724" spans="1:12" x14ac:dyDescent="0.25">
      <c r="A724" s="485" t="s">
        <v>220</v>
      </c>
      <c r="B724" s="485" t="s">
        <v>588</v>
      </c>
      <c r="C724" s="485" t="s">
        <v>1500</v>
      </c>
      <c r="D724" s="485" t="s">
        <v>1501</v>
      </c>
      <c r="E724" s="485" t="s">
        <v>545</v>
      </c>
      <c r="F724" s="482">
        <v>979</v>
      </c>
      <c r="G724" s="468">
        <v>0.32319999999999999</v>
      </c>
      <c r="H724" s="479">
        <v>316.4128</v>
      </c>
      <c r="I724" s="480" t="s">
        <v>9009</v>
      </c>
      <c r="J724" s="468" t="s">
        <v>9015</v>
      </c>
      <c r="K724" s="468" t="s">
        <v>8996</v>
      </c>
      <c r="L724" s="468" t="s">
        <v>541</v>
      </c>
    </row>
    <row r="725" spans="1:12" x14ac:dyDescent="0.25">
      <c r="A725" s="485" t="s">
        <v>220</v>
      </c>
      <c r="B725" s="485" t="s">
        <v>588</v>
      </c>
      <c r="C725" s="485" t="s">
        <v>1502</v>
      </c>
      <c r="D725" s="485" t="s">
        <v>1503</v>
      </c>
      <c r="E725" s="485" t="s">
        <v>545</v>
      </c>
      <c r="F725" s="482">
        <v>5000</v>
      </c>
      <c r="G725" s="468">
        <v>0.29572057375788341</v>
      </c>
      <c r="H725" s="479">
        <v>1478.602868789417</v>
      </c>
      <c r="I725" s="480" t="s">
        <v>9009</v>
      </c>
      <c r="J725" s="468" t="s">
        <v>9015</v>
      </c>
      <c r="K725" s="468" t="s">
        <v>8996</v>
      </c>
      <c r="L725" s="468" t="s">
        <v>541</v>
      </c>
    </row>
    <row r="726" spans="1:12" x14ac:dyDescent="0.25">
      <c r="A726" s="485" t="s">
        <v>220</v>
      </c>
      <c r="B726" s="485" t="s">
        <v>588</v>
      </c>
      <c r="C726" s="485" t="s">
        <v>1504</v>
      </c>
      <c r="D726" s="485" t="s">
        <v>1505</v>
      </c>
      <c r="E726" s="485" t="s">
        <v>545</v>
      </c>
      <c r="F726" s="482">
        <v>200</v>
      </c>
      <c r="G726" s="468">
        <v>0.30071575047882365</v>
      </c>
      <c r="H726" s="479">
        <v>60.143150095764732</v>
      </c>
      <c r="I726" s="480" t="s">
        <v>9009</v>
      </c>
      <c r="J726" s="468" t="s">
        <v>9015</v>
      </c>
      <c r="K726" s="468" t="s">
        <v>8996</v>
      </c>
      <c r="L726" s="468" t="s">
        <v>541</v>
      </c>
    </row>
    <row r="727" spans="1:12" x14ac:dyDescent="0.25">
      <c r="A727" s="485" t="s">
        <v>220</v>
      </c>
      <c r="B727" s="485" t="s">
        <v>588</v>
      </c>
      <c r="C727" s="485" t="s">
        <v>1506</v>
      </c>
      <c r="D727" s="485" t="s">
        <v>1507</v>
      </c>
      <c r="E727" s="485" t="s">
        <v>545</v>
      </c>
      <c r="F727" s="482">
        <v>6770</v>
      </c>
      <c r="G727" s="468">
        <v>0.34599201312275618</v>
      </c>
      <c r="H727" s="479">
        <v>2342.3659288410595</v>
      </c>
      <c r="I727" s="480" t="s">
        <v>9009</v>
      </c>
      <c r="J727" s="468" t="s">
        <v>9015</v>
      </c>
      <c r="K727" s="468" t="s">
        <v>8996</v>
      </c>
      <c r="L727" s="468" t="s">
        <v>541</v>
      </c>
    </row>
    <row r="728" spans="1:12" x14ac:dyDescent="0.25">
      <c r="A728" s="485" t="s">
        <v>220</v>
      </c>
      <c r="B728" s="485" t="s">
        <v>588</v>
      </c>
      <c r="C728" s="485" t="s">
        <v>1508</v>
      </c>
      <c r="D728" s="485" t="s">
        <v>1509</v>
      </c>
      <c r="E728" s="485" t="s">
        <v>545</v>
      </c>
      <c r="F728" s="482">
        <v>2500</v>
      </c>
      <c r="G728" s="468">
        <v>0.59084999999999988</v>
      </c>
      <c r="H728" s="479">
        <v>1477.1249999999998</v>
      </c>
      <c r="I728" s="480" t="s">
        <v>9009</v>
      </c>
      <c r="J728" s="468" t="s">
        <v>9015</v>
      </c>
      <c r="K728" s="468" t="s">
        <v>8996</v>
      </c>
      <c r="L728" s="468" t="s">
        <v>541</v>
      </c>
    </row>
    <row r="729" spans="1:12" x14ac:dyDescent="0.25">
      <c r="A729" s="485" t="s">
        <v>220</v>
      </c>
      <c r="B729" s="485" t="s">
        <v>588</v>
      </c>
      <c r="C729" s="485" t="s">
        <v>1510</v>
      </c>
      <c r="D729" s="485" t="s">
        <v>1511</v>
      </c>
      <c r="E729" s="485" t="s">
        <v>545</v>
      </c>
      <c r="F729" s="482">
        <v>2000</v>
      </c>
      <c r="G729" s="468">
        <v>0.42419999999999997</v>
      </c>
      <c r="H729" s="479">
        <v>848.4</v>
      </c>
      <c r="I729" s="480" t="s">
        <v>9009</v>
      </c>
      <c r="J729" s="468" t="s">
        <v>9015</v>
      </c>
      <c r="K729" s="468" t="s">
        <v>8996</v>
      </c>
      <c r="L729" s="468" t="s">
        <v>541</v>
      </c>
    </row>
    <row r="730" spans="1:12" x14ac:dyDescent="0.25">
      <c r="A730" s="485" t="s">
        <v>220</v>
      </c>
      <c r="B730" s="485" t="s">
        <v>588</v>
      </c>
      <c r="C730" s="485" t="s">
        <v>1512</v>
      </c>
      <c r="D730" s="485" t="s">
        <v>1513</v>
      </c>
      <c r="E730" s="485" t="s">
        <v>545</v>
      </c>
      <c r="F730" s="482">
        <v>2000</v>
      </c>
      <c r="G730" s="468">
        <v>0.26480555555555563</v>
      </c>
      <c r="H730" s="479">
        <v>529.6111111111112</v>
      </c>
      <c r="I730" s="480" t="s">
        <v>9009</v>
      </c>
      <c r="J730" s="468" t="s">
        <v>9015</v>
      </c>
      <c r="K730" s="468" t="s">
        <v>8996</v>
      </c>
      <c r="L730" s="468" t="s">
        <v>541</v>
      </c>
    </row>
    <row r="731" spans="1:12" x14ac:dyDescent="0.25">
      <c r="A731" s="485" t="s">
        <v>220</v>
      </c>
      <c r="B731" s="485" t="s">
        <v>588</v>
      </c>
      <c r="C731" s="485" t="s">
        <v>1514</v>
      </c>
      <c r="D731" s="485" t="s">
        <v>1515</v>
      </c>
      <c r="E731" s="485" t="s">
        <v>545</v>
      </c>
      <c r="F731" s="482">
        <v>1379</v>
      </c>
      <c r="G731" s="468">
        <v>0.32319999999999999</v>
      </c>
      <c r="H731" s="479">
        <v>445.69279999999998</v>
      </c>
      <c r="I731" s="480" t="s">
        <v>9009</v>
      </c>
      <c r="J731" s="468" t="s">
        <v>9015</v>
      </c>
      <c r="K731" s="468" t="s">
        <v>8996</v>
      </c>
      <c r="L731" s="468" t="s">
        <v>541</v>
      </c>
    </row>
    <row r="732" spans="1:12" x14ac:dyDescent="0.25">
      <c r="A732" s="485" t="s">
        <v>220</v>
      </c>
      <c r="B732" s="485" t="s">
        <v>588</v>
      </c>
      <c r="C732" s="485" t="s">
        <v>1516</v>
      </c>
      <c r="D732" s="485" t="s">
        <v>1517</v>
      </c>
      <c r="E732" s="485" t="s">
        <v>545</v>
      </c>
      <c r="F732" s="482">
        <v>750</v>
      </c>
      <c r="G732" s="468">
        <v>0.35295722527875129</v>
      </c>
      <c r="H732" s="479">
        <v>264.71791895906347</v>
      </c>
      <c r="I732" s="480" t="s">
        <v>9009</v>
      </c>
      <c r="J732" s="468" t="s">
        <v>9015</v>
      </c>
      <c r="K732" s="468" t="s">
        <v>8996</v>
      </c>
      <c r="L732" s="468" t="s">
        <v>541</v>
      </c>
    </row>
    <row r="733" spans="1:12" x14ac:dyDescent="0.25">
      <c r="A733" s="485" t="s">
        <v>220</v>
      </c>
      <c r="B733" s="485" t="s">
        <v>588</v>
      </c>
      <c r="C733" s="485" t="s">
        <v>1518</v>
      </c>
      <c r="D733" s="485" t="s">
        <v>1519</v>
      </c>
      <c r="E733" s="485" t="s">
        <v>545</v>
      </c>
      <c r="F733" s="482">
        <v>2000</v>
      </c>
      <c r="G733" s="468">
        <v>0.23626010935804323</v>
      </c>
      <c r="H733" s="479">
        <v>472.52021871608645</v>
      </c>
      <c r="I733" s="480" t="s">
        <v>9009</v>
      </c>
      <c r="J733" s="468" t="s">
        <v>9015</v>
      </c>
      <c r="K733" s="468" t="s">
        <v>8996</v>
      </c>
      <c r="L733" s="468" t="s">
        <v>541</v>
      </c>
    </row>
    <row r="734" spans="1:12" x14ac:dyDescent="0.25">
      <c r="A734" s="485" t="s">
        <v>220</v>
      </c>
      <c r="B734" s="485" t="s">
        <v>588</v>
      </c>
      <c r="C734" s="485" t="s">
        <v>1520</v>
      </c>
      <c r="D734" s="485" t="s">
        <v>1521</v>
      </c>
      <c r="E734" s="485" t="s">
        <v>545</v>
      </c>
      <c r="F734" s="482">
        <v>50</v>
      </c>
      <c r="G734" s="468">
        <v>18.577833821086504</v>
      </c>
      <c r="H734" s="479">
        <v>928.89169105432518</v>
      </c>
      <c r="I734" s="480" t="s">
        <v>9009</v>
      </c>
      <c r="J734" s="468" t="s">
        <v>9147</v>
      </c>
      <c r="K734" s="468" t="s">
        <v>8996</v>
      </c>
      <c r="L734" s="468" t="s">
        <v>541</v>
      </c>
    </row>
    <row r="735" spans="1:12" x14ac:dyDescent="0.25">
      <c r="A735" s="485" t="s">
        <v>220</v>
      </c>
      <c r="B735" s="485" t="s">
        <v>588</v>
      </c>
      <c r="C735" s="485" t="s">
        <v>1522</v>
      </c>
      <c r="D735" s="485" t="s">
        <v>1523</v>
      </c>
      <c r="E735" s="485" t="s">
        <v>545</v>
      </c>
      <c r="F735" s="482">
        <v>43000</v>
      </c>
      <c r="G735" s="468">
        <v>9.3566623832702436E-2</v>
      </c>
      <c r="H735" s="479">
        <v>4023.364824806205</v>
      </c>
      <c r="I735" s="480" t="s">
        <v>9009</v>
      </c>
      <c r="J735" s="468" t="s">
        <v>9015</v>
      </c>
      <c r="K735" s="468" t="s">
        <v>8996</v>
      </c>
      <c r="L735" s="468" t="s">
        <v>541</v>
      </c>
    </row>
    <row r="736" spans="1:12" x14ac:dyDescent="0.25">
      <c r="A736" s="485" t="s">
        <v>220</v>
      </c>
      <c r="B736" s="485" t="s">
        <v>588</v>
      </c>
      <c r="C736" s="485" t="s">
        <v>7546</v>
      </c>
      <c r="D736" s="485" t="s">
        <v>7547</v>
      </c>
      <c r="E736" s="485" t="s">
        <v>545</v>
      </c>
      <c r="F736" s="482">
        <v>76</v>
      </c>
      <c r="G736" s="468">
        <v>3.3303421373425439</v>
      </c>
      <c r="H736" s="479">
        <v>253.10600243803333</v>
      </c>
      <c r="I736" s="480" t="s">
        <v>9009</v>
      </c>
      <c r="J736" s="468" t="s">
        <v>9015</v>
      </c>
      <c r="K736" s="468" t="s">
        <v>8996</v>
      </c>
      <c r="L736" s="468" t="s">
        <v>541</v>
      </c>
    </row>
    <row r="737" spans="1:12" x14ac:dyDescent="0.25">
      <c r="A737" s="485" t="s">
        <v>220</v>
      </c>
      <c r="B737" s="485" t="s">
        <v>588</v>
      </c>
      <c r="C737" s="485" t="s">
        <v>1524</v>
      </c>
      <c r="D737" s="485" t="s">
        <v>1525</v>
      </c>
      <c r="E737" s="485" t="s">
        <v>545</v>
      </c>
      <c r="F737" s="482">
        <v>10250</v>
      </c>
      <c r="G737" s="468">
        <v>0.20200000000000001</v>
      </c>
      <c r="H737" s="479">
        <v>2070.5</v>
      </c>
      <c r="I737" s="480" t="s">
        <v>9009</v>
      </c>
      <c r="J737" s="468" t="s">
        <v>9147</v>
      </c>
      <c r="K737" s="468" t="s">
        <v>8996</v>
      </c>
      <c r="L737" s="468" t="s">
        <v>541</v>
      </c>
    </row>
    <row r="738" spans="1:12" x14ac:dyDescent="0.25">
      <c r="A738" s="485" t="s">
        <v>220</v>
      </c>
      <c r="B738" s="485" t="s">
        <v>588</v>
      </c>
      <c r="C738" s="485" t="s">
        <v>1526</v>
      </c>
      <c r="D738" s="485" t="s">
        <v>1527</v>
      </c>
      <c r="E738" s="485" t="s">
        <v>545</v>
      </c>
      <c r="F738" s="482">
        <v>2500</v>
      </c>
      <c r="G738" s="468">
        <v>0.45450000000000002</v>
      </c>
      <c r="H738" s="479">
        <v>1136.25</v>
      </c>
      <c r="I738" s="480" t="s">
        <v>9009</v>
      </c>
      <c r="J738" s="468" t="s">
        <v>9015</v>
      </c>
      <c r="K738" s="468" t="s">
        <v>8996</v>
      </c>
      <c r="L738" s="468" t="s">
        <v>541</v>
      </c>
    </row>
    <row r="739" spans="1:12" x14ac:dyDescent="0.25">
      <c r="A739" s="485" t="s">
        <v>220</v>
      </c>
      <c r="B739" s="485" t="s">
        <v>588</v>
      </c>
      <c r="C739" s="485" t="s">
        <v>1528</v>
      </c>
      <c r="D739" s="485" t="s">
        <v>1529</v>
      </c>
      <c r="E739" s="485" t="s">
        <v>545</v>
      </c>
      <c r="F739" s="482">
        <v>5000</v>
      </c>
      <c r="G739" s="468">
        <v>8.0799999999999997E-2</v>
      </c>
      <c r="H739" s="479">
        <v>404</v>
      </c>
      <c r="I739" s="480" t="s">
        <v>9009</v>
      </c>
      <c r="J739" s="468" t="s">
        <v>9015</v>
      </c>
      <c r="K739" s="468" t="s">
        <v>8996</v>
      </c>
      <c r="L739" s="468" t="s">
        <v>541</v>
      </c>
    </row>
    <row r="740" spans="1:12" x14ac:dyDescent="0.25">
      <c r="A740" s="485" t="s">
        <v>220</v>
      </c>
      <c r="B740" s="485" t="s">
        <v>588</v>
      </c>
      <c r="C740" s="485" t="s">
        <v>1530</v>
      </c>
      <c r="D740" s="485" t="s">
        <v>1531</v>
      </c>
      <c r="E740" s="485" t="s">
        <v>545</v>
      </c>
      <c r="F740" s="482">
        <v>16500</v>
      </c>
      <c r="G740" s="468">
        <v>8.9890000000000012E-2</v>
      </c>
      <c r="H740" s="479">
        <v>1483.1850000000002</v>
      </c>
      <c r="I740" s="480" t="s">
        <v>9009</v>
      </c>
      <c r="J740" s="468" t="s">
        <v>9015</v>
      </c>
      <c r="K740" s="468" t="s">
        <v>8996</v>
      </c>
      <c r="L740" s="468" t="s">
        <v>541</v>
      </c>
    </row>
    <row r="741" spans="1:12" x14ac:dyDescent="0.25">
      <c r="A741" s="485" t="s">
        <v>220</v>
      </c>
      <c r="B741" s="485" t="s">
        <v>588</v>
      </c>
      <c r="C741" s="485" t="s">
        <v>1533</v>
      </c>
      <c r="D741" s="485" t="s">
        <v>1534</v>
      </c>
      <c r="E741" s="485" t="s">
        <v>545</v>
      </c>
      <c r="F741" s="482">
        <v>750</v>
      </c>
      <c r="G741" s="468">
        <v>0.2014</v>
      </c>
      <c r="H741" s="479">
        <v>151.04999999999998</v>
      </c>
      <c r="I741" s="480" t="s">
        <v>9009</v>
      </c>
      <c r="J741" s="468" t="s">
        <v>9147</v>
      </c>
      <c r="K741" s="468" t="s">
        <v>8996</v>
      </c>
      <c r="L741" s="468" t="s">
        <v>541</v>
      </c>
    </row>
    <row r="742" spans="1:12" x14ac:dyDescent="0.25">
      <c r="A742" s="485" t="s">
        <v>220</v>
      </c>
      <c r="B742" s="485" t="s">
        <v>588</v>
      </c>
      <c r="C742" s="485" t="s">
        <v>1535</v>
      </c>
      <c r="D742" s="485" t="s">
        <v>1536</v>
      </c>
      <c r="E742" s="485" t="s">
        <v>545</v>
      </c>
      <c r="F742" s="482">
        <v>4000</v>
      </c>
      <c r="G742" s="468">
        <v>7.8508288043478272E-2</v>
      </c>
      <c r="H742" s="479">
        <v>314.03315217391309</v>
      </c>
      <c r="I742" s="480" t="s">
        <v>9009</v>
      </c>
      <c r="J742" s="468" t="s">
        <v>9015</v>
      </c>
      <c r="K742" s="468" t="s">
        <v>8996</v>
      </c>
      <c r="L742" s="468" t="s">
        <v>541</v>
      </c>
    </row>
    <row r="743" spans="1:12" x14ac:dyDescent="0.25">
      <c r="A743" s="485" t="s">
        <v>220</v>
      </c>
      <c r="B743" s="485" t="s">
        <v>588</v>
      </c>
      <c r="C743" s="485" t="s">
        <v>1537</v>
      </c>
      <c r="D743" s="485" t="s">
        <v>1538</v>
      </c>
      <c r="E743" s="485" t="s">
        <v>545</v>
      </c>
      <c r="F743" s="482">
        <v>31000</v>
      </c>
      <c r="G743" s="468">
        <v>0.19696939297302721</v>
      </c>
      <c r="H743" s="479">
        <v>6106.0511821638438</v>
      </c>
      <c r="I743" s="480" t="s">
        <v>9009</v>
      </c>
      <c r="J743" s="468" t="s">
        <v>9015</v>
      </c>
      <c r="K743" s="468" t="s">
        <v>8996</v>
      </c>
      <c r="L743" s="468" t="s">
        <v>541</v>
      </c>
    </row>
    <row r="744" spans="1:12" x14ac:dyDescent="0.25">
      <c r="A744" s="485" t="s">
        <v>220</v>
      </c>
      <c r="B744" s="485" t="s">
        <v>588</v>
      </c>
      <c r="C744" s="485" t="s">
        <v>1539</v>
      </c>
      <c r="D744" s="485" t="s">
        <v>1540</v>
      </c>
      <c r="E744" s="485" t="s">
        <v>545</v>
      </c>
      <c r="F744" s="482">
        <v>25000</v>
      </c>
      <c r="G744" s="468">
        <v>0.11109999999999999</v>
      </c>
      <c r="H744" s="479">
        <v>2777.4999999999995</v>
      </c>
      <c r="I744" s="480" t="s">
        <v>9009</v>
      </c>
      <c r="J744" s="468" t="s">
        <v>9015</v>
      </c>
      <c r="K744" s="468" t="s">
        <v>8996</v>
      </c>
      <c r="L744" s="468" t="s">
        <v>541</v>
      </c>
    </row>
    <row r="745" spans="1:12" x14ac:dyDescent="0.25">
      <c r="A745" s="485" t="s">
        <v>220</v>
      </c>
      <c r="B745" s="485" t="s">
        <v>588</v>
      </c>
      <c r="C745" s="485" t="s">
        <v>1541</v>
      </c>
      <c r="D745" s="485" t="s">
        <v>1542</v>
      </c>
      <c r="E745" s="485" t="s">
        <v>545</v>
      </c>
      <c r="F745" s="482">
        <v>5830</v>
      </c>
      <c r="G745" s="468">
        <v>0.13114636804544982</v>
      </c>
      <c r="H745" s="479">
        <v>764.58332570497248</v>
      </c>
      <c r="I745" s="480" t="s">
        <v>9009</v>
      </c>
      <c r="J745" s="468" t="s">
        <v>9015</v>
      </c>
      <c r="K745" s="468" t="s">
        <v>8996</v>
      </c>
      <c r="L745" s="468" t="s">
        <v>541</v>
      </c>
    </row>
    <row r="746" spans="1:12" x14ac:dyDescent="0.25">
      <c r="A746" s="485" t="s">
        <v>220</v>
      </c>
      <c r="B746" s="485" t="s">
        <v>588</v>
      </c>
      <c r="C746" s="485" t="s">
        <v>1543</v>
      </c>
      <c r="D746" s="485" t="s">
        <v>1544</v>
      </c>
      <c r="E746" s="485" t="s">
        <v>545</v>
      </c>
      <c r="F746" s="482">
        <v>37000</v>
      </c>
      <c r="G746" s="468">
        <v>2.5748804833685576E-2</v>
      </c>
      <c r="H746" s="479">
        <v>952.70577884636634</v>
      </c>
      <c r="I746" s="480" t="s">
        <v>9009</v>
      </c>
      <c r="J746" s="468" t="s">
        <v>9015</v>
      </c>
      <c r="K746" s="468" t="s">
        <v>8996</v>
      </c>
      <c r="L746" s="468" t="s">
        <v>541</v>
      </c>
    </row>
    <row r="747" spans="1:12" x14ac:dyDescent="0.25">
      <c r="A747" s="485" t="s">
        <v>220</v>
      </c>
      <c r="B747" s="485" t="s">
        <v>588</v>
      </c>
      <c r="C747" s="485" t="s">
        <v>1545</v>
      </c>
      <c r="D747" s="485" t="s">
        <v>1546</v>
      </c>
      <c r="E747" s="485" t="s">
        <v>545</v>
      </c>
      <c r="F747" s="482">
        <v>2000</v>
      </c>
      <c r="G747" s="468">
        <v>0.10309115209053761</v>
      </c>
      <c r="H747" s="479">
        <v>206.18230418107521</v>
      </c>
      <c r="I747" s="480" t="s">
        <v>9009</v>
      </c>
      <c r="J747" s="468" t="s">
        <v>9015</v>
      </c>
      <c r="K747" s="468" t="s">
        <v>8996</v>
      </c>
      <c r="L747" s="468" t="s">
        <v>541</v>
      </c>
    </row>
    <row r="748" spans="1:12" x14ac:dyDescent="0.25">
      <c r="A748" s="485" t="s">
        <v>220</v>
      </c>
      <c r="B748" s="485" t="s">
        <v>588</v>
      </c>
      <c r="C748" s="485" t="s">
        <v>1547</v>
      </c>
      <c r="D748" s="485" t="s">
        <v>1548</v>
      </c>
      <c r="E748" s="485" t="s">
        <v>545</v>
      </c>
      <c r="F748" s="482">
        <v>2000</v>
      </c>
      <c r="G748" s="468">
        <v>0.22</v>
      </c>
      <c r="H748" s="479">
        <v>440</v>
      </c>
      <c r="I748" s="480" t="s">
        <v>9009</v>
      </c>
      <c r="J748" s="468" t="s">
        <v>9015</v>
      </c>
      <c r="K748" s="468" t="s">
        <v>8996</v>
      </c>
      <c r="L748" s="468" t="s">
        <v>541</v>
      </c>
    </row>
    <row r="749" spans="1:12" x14ac:dyDescent="0.25">
      <c r="A749" s="485" t="s">
        <v>220</v>
      </c>
      <c r="B749" s="485" t="s">
        <v>588</v>
      </c>
      <c r="C749" s="485" t="s">
        <v>1549</v>
      </c>
      <c r="D749" s="485" t="s">
        <v>1550</v>
      </c>
      <c r="E749" s="485" t="s">
        <v>545</v>
      </c>
      <c r="F749" s="482">
        <v>1000</v>
      </c>
      <c r="G749" s="468">
        <v>0.22</v>
      </c>
      <c r="H749" s="479">
        <v>220</v>
      </c>
      <c r="I749" s="480" t="s">
        <v>9009</v>
      </c>
      <c r="J749" s="468" t="s">
        <v>9015</v>
      </c>
      <c r="K749" s="468" t="s">
        <v>8996</v>
      </c>
      <c r="L749" s="468" t="s">
        <v>541</v>
      </c>
    </row>
    <row r="750" spans="1:12" x14ac:dyDescent="0.25">
      <c r="A750" s="485" t="s">
        <v>220</v>
      </c>
      <c r="B750" s="485" t="s">
        <v>588</v>
      </c>
      <c r="C750" s="485" t="s">
        <v>1551</v>
      </c>
      <c r="D750" s="485" t="s">
        <v>1552</v>
      </c>
      <c r="E750" s="485" t="s">
        <v>545</v>
      </c>
      <c r="F750" s="482">
        <v>8000</v>
      </c>
      <c r="G750" s="468">
        <v>0.22</v>
      </c>
      <c r="H750" s="479">
        <v>1760</v>
      </c>
      <c r="I750" s="480" t="s">
        <v>9009</v>
      </c>
      <c r="J750" s="468" t="s">
        <v>9015</v>
      </c>
      <c r="K750" s="468" t="s">
        <v>8996</v>
      </c>
      <c r="L750" s="468" t="s">
        <v>541</v>
      </c>
    </row>
    <row r="751" spans="1:12" x14ac:dyDescent="0.25">
      <c r="A751" s="485" t="s">
        <v>220</v>
      </c>
      <c r="B751" s="485" t="s">
        <v>588</v>
      </c>
      <c r="C751" s="485" t="s">
        <v>1553</v>
      </c>
      <c r="D751" s="485" t="s">
        <v>1554</v>
      </c>
      <c r="E751" s="485" t="s">
        <v>545</v>
      </c>
      <c r="F751" s="482">
        <v>2000</v>
      </c>
      <c r="G751" s="468">
        <v>0.18981843787297309</v>
      </c>
      <c r="H751" s="479">
        <v>379.63687574594616</v>
      </c>
      <c r="I751" s="480" t="s">
        <v>9009</v>
      </c>
      <c r="J751" s="468" t="s">
        <v>9015</v>
      </c>
      <c r="K751" s="468" t="s">
        <v>8996</v>
      </c>
      <c r="L751" s="468" t="s">
        <v>541</v>
      </c>
    </row>
    <row r="752" spans="1:12" x14ac:dyDescent="0.25">
      <c r="A752" s="485" t="s">
        <v>220</v>
      </c>
      <c r="B752" s="485" t="s">
        <v>588</v>
      </c>
      <c r="C752" s="485" t="s">
        <v>1555</v>
      </c>
      <c r="D752" s="485" t="s">
        <v>1556</v>
      </c>
      <c r="E752" s="485" t="s">
        <v>545</v>
      </c>
      <c r="F752" s="482">
        <v>1000</v>
      </c>
      <c r="G752" s="468">
        <v>4.632E-2</v>
      </c>
      <c r="H752" s="479">
        <v>46.32</v>
      </c>
      <c r="I752" s="480" t="s">
        <v>9009</v>
      </c>
      <c r="J752" s="468" t="s">
        <v>9015</v>
      </c>
      <c r="K752" s="468" t="s">
        <v>8996</v>
      </c>
      <c r="L752" s="468" t="s">
        <v>541</v>
      </c>
    </row>
    <row r="753" spans="1:12" x14ac:dyDescent="0.25">
      <c r="A753" s="485" t="s">
        <v>220</v>
      </c>
      <c r="B753" s="485" t="s">
        <v>588</v>
      </c>
      <c r="C753" s="485" t="s">
        <v>1557</v>
      </c>
      <c r="D753" s="485" t="s">
        <v>1558</v>
      </c>
      <c r="E753" s="485" t="s">
        <v>545</v>
      </c>
      <c r="F753" s="482">
        <v>3800</v>
      </c>
      <c r="G753" s="468">
        <v>0.04</v>
      </c>
      <c r="H753" s="479">
        <v>152</v>
      </c>
      <c r="I753" s="480" t="s">
        <v>9009</v>
      </c>
      <c r="J753" s="468" t="s">
        <v>9015</v>
      </c>
      <c r="K753" s="468" t="s">
        <v>8996</v>
      </c>
      <c r="L753" s="468" t="s">
        <v>541</v>
      </c>
    </row>
    <row r="754" spans="1:12" x14ac:dyDescent="0.25">
      <c r="A754" s="485" t="s">
        <v>220</v>
      </c>
      <c r="B754" s="485" t="s">
        <v>588</v>
      </c>
      <c r="C754" s="485" t="s">
        <v>1559</v>
      </c>
      <c r="D754" s="485" t="s">
        <v>1560</v>
      </c>
      <c r="E754" s="485" t="s">
        <v>545</v>
      </c>
      <c r="F754" s="482">
        <v>3500</v>
      </c>
      <c r="G754" s="468">
        <v>9.6970161290322585E-2</v>
      </c>
      <c r="H754" s="479">
        <v>339.39556451612907</v>
      </c>
      <c r="I754" s="480" t="s">
        <v>9009</v>
      </c>
      <c r="J754" s="468" t="s">
        <v>9015</v>
      </c>
      <c r="K754" s="468" t="s">
        <v>8996</v>
      </c>
      <c r="L754" s="468" t="s">
        <v>541</v>
      </c>
    </row>
    <row r="755" spans="1:12" x14ac:dyDescent="0.25">
      <c r="A755" s="485" t="s">
        <v>220</v>
      </c>
      <c r="B755" s="485" t="s">
        <v>588</v>
      </c>
      <c r="C755" s="485" t="s">
        <v>1561</v>
      </c>
      <c r="D755" s="485" t="s">
        <v>1562</v>
      </c>
      <c r="E755" s="485" t="s">
        <v>545</v>
      </c>
      <c r="F755" s="482">
        <v>6000</v>
      </c>
      <c r="G755" s="468">
        <v>0.04</v>
      </c>
      <c r="H755" s="479">
        <v>240</v>
      </c>
      <c r="I755" s="480" t="s">
        <v>9009</v>
      </c>
      <c r="J755" s="468" t="s">
        <v>9015</v>
      </c>
      <c r="K755" s="468" t="s">
        <v>8996</v>
      </c>
      <c r="L755" s="468" t="s">
        <v>541</v>
      </c>
    </row>
    <row r="756" spans="1:12" x14ac:dyDescent="0.25">
      <c r="A756" s="485" t="s">
        <v>220</v>
      </c>
      <c r="B756" s="485" t="s">
        <v>588</v>
      </c>
      <c r="C756" s="485" t="s">
        <v>1563</v>
      </c>
      <c r="D756" s="485" t="s">
        <v>1564</v>
      </c>
      <c r="E756" s="485" t="s">
        <v>545</v>
      </c>
      <c r="F756" s="482">
        <v>3000</v>
      </c>
      <c r="G756" s="468">
        <v>3.7999999999999999E-2</v>
      </c>
      <c r="H756" s="479">
        <v>114</v>
      </c>
      <c r="I756" s="480" t="s">
        <v>9009</v>
      </c>
      <c r="J756" s="468" t="s">
        <v>9015</v>
      </c>
      <c r="K756" s="468" t="s">
        <v>8996</v>
      </c>
      <c r="L756" s="468" t="s">
        <v>541</v>
      </c>
    </row>
    <row r="757" spans="1:12" x14ac:dyDescent="0.25">
      <c r="A757" s="485" t="s">
        <v>220</v>
      </c>
      <c r="B757" s="485" t="s">
        <v>588</v>
      </c>
      <c r="C757" s="485" t="s">
        <v>1565</v>
      </c>
      <c r="D757" s="485" t="s">
        <v>1566</v>
      </c>
      <c r="E757" s="485" t="s">
        <v>545</v>
      </c>
      <c r="F757" s="482">
        <v>2800</v>
      </c>
      <c r="G757" s="468">
        <v>0.04</v>
      </c>
      <c r="H757" s="479">
        <v>112</v>
      </c>
      <c r="I757" s="480" t="s">
        <v>9009</v>
      </c>
      <c r="J757" s="468" t="s">
        <v>9015</v>
      </c>
      <c r="K757" s="468" t="s">
        <v>8996</v>
      </c>
      <c r="L757" s="468" t="s">
        <v>541</v>
      </c>
    </row>
    <row r="758" spans="1:12" x14ac:dyDescent="0.25">
      <c r="A758" s="485" t="s">
        <v>220</v>
      </c>
      <c r="B758" s="485" t="s">
        <v>588</v>
      </c>
      <c r="C758" s="485" t="s">
        <v>1567</v>
      </c>
      <c r="D758" s="485" t="s">
        <v>1568</v>
      </c>
      <c r="E758" s="485" t="s">
        <v>545</v>
      </c>
      <c r="F758" s="482">
        <v>2000</v>
      </c>
      <c r="G758" s="468">
        <v>8.5849999999999996E-2</v>
      </c>
      <c r="H758" s="479">
        <v>171.7</v>
      </c>
      <c r="I758" s="480" t="s">
        <v>9009</v>
      </c>
      <c r="J758" s="468" t="s">
        <v>9015</v>
      </c>
      <c r="K758" s="468" t="s">
        <v>8996</v>
      </c>
      <c r="L758" s="468" t="s">
        <v>541</v>
      </c>
    </row>
    <row r="759" spans="1:12" x14ac:dyDescent="0.25">
      <c r="A759" s="485" t="s">
        <v>220</v>
      </c>
      <c r="B759" s="485" t="s">
        <v>588</v>
      </c>
      <c r="C759" s="485" t="s">
        <v>1569</v>
      </c>
      <c r="D759" s="485" t="s">
        <v>1570</v>
      </c>
      <c r="E759" s="485" t="s">
        <v>545</v>
      </c>
      <c r="F759" s="482">
        <v>3500</v>
      </c>
      <c r="G759" s="468">
        <v>4.632E-2</v>
      </c>
      <c r="H759" s="479">
        <v>162.12</v>
      </c>
      <c r="I759" s="480" t="s">
        <v>9009</v>
      </c>
      <c r="J759" s="468" t="s">
        <v>9015</v>
      </c>
      <c r="K759" s="468" t="s">
        <v>8996</v>
      </c>
      <c r="L759" s="468" t="s">
        <v>541</v>
      </c>
    </row>
    <row r="760" spans="1:12" x14ac:dyDescent="0.25">
      <c r="A760" s="485" t="s">
        <v>220</v>
      </c>
      <c r="B760" s="485" t="s">
        <v>588</v>
      </c>
      <c r="C760" s="485" t="s">
        <v>1571</v>
      </c>
      <c r="D760" s="485" t="s">
        <v>1572</v>
      </c>
      <c r="E760" s="485" t="s">
        <v>545</v>
      </c>
      <c r="F760" s="482">
        <v>1500</v>
      </c>
      <c r="G760" s="468">
        <v>0.1</v>
      </c>
      <c r="H760" s="479">
        <v>150</v>
      </c>
      <c r="I760" s="480" t="s">
        <v>9009</v>
      </c>
      <c r="J760" s="468" t="s">
        <v>9015</v>
      </c>
      <c r="K760" s="468" t="s">
        <v>8996</v>
      </c>
      <c r="L760" s="468" t="s">
        <v>541</v>
      </c>
    </row>
    <row r="761" spans="1:12" x14ac:dyDescent="0.25">
      <c r="A761" s="485" t="s">
        <v>220</v>
      </c>
      <c r="B761" s="485" t="s">
        <v>588</v>
      </c>
      <c r="C761" s="485" t="s">
        <v>1573</v>
      </c>
      <c r="D761" s="485" t="s">
        <v>1574</v>
      </c>
      <c r="E761" s="485" t="s">
        <v>545</v>
      </c>
      <c r="F761" s="482">
        <v>2000</v>
      </c>
      <c r="G761" s="468">
        <v>0.04</v>
      </c>
      <c r="H761" s="479">
        <v>80</v>
      </c>
      <c r="I761" s="480" t="s">
        <v>9009</v>
      </c>
      <c r="J761" s="468" t="s">
        <v>9015</v>
      </c>
      <c r="K761" s="468" t="s">
        <v>8996</v>
      </c>
      <c r="L761" s="468" t="s">
        <v>541</v>
      </c>
    </row>
    <row r="762" spans="1:12" x14ac:dyDescent="0.25">
      <c r="A762" s="485" t="s">
        <v>220</v>
      </c>
      <c r="B762" s="485" t="s">
        <v>588</v>
      </c>
      <c r="C762" s="485" t="s">
        <v>1575</v>
      </c>
      <c r="D762" s="485" t="s">
        <v>1576</v>
      </c>
      <c r="E762" s="485" t="s">
        <v>545</v>
      </c>
      <c r="F762" s="482">
        <v>2000</v>
      </c>
      <c r="G762" s="468">
        <v>0.04</v>
      </c>
      <c r="H762" s="479">
        <v>80</v>
      </c>
      <c r="I762" s="480" t="s">
        <v>9009</v>
      </c>
      <c r="J762" s="468" t="s">
        <v>9015</v>
      </c>
      <c r="K762" s="468" t="s">
        <v>8996</v>
      </c>
      <c r="L762" s="468" t="s">
        <v>541</v>
      </c>
    </row>
    <row r="763" spans="1:12" x14ac:dyDescent="0.25">
      <c r="A763" s="485" t="s">
        <v>220</v>
      </c>
      <c r="B763" s="485" t="s">
        <v>588</v>
      </c>
      <c r="C763" s="485" t="s">
        <v>1577</v>
      </c>
      <c r="D763" s="485" t="s">
        <v>1578</v>
      </c>
      <c r="E763" s="485" t="s">
        <v>545</v>
      </c>
      <c r="F763" s="482">
        <v>475</v>
      </c>
      <c r="G763" s="468">
        <v>0.02</v>
      </c>
      <c r="H763" s="479">
        <v>9.5</v>
      </c>
      <c r="I763" s="480" t="s">
        <v>9009</v>
      </c>
      <c r="J763" s="468" t="s">
        <v>9015</v>
      </c>
      <c r="K763" s="468" t="s">
        <v>8996</v>
      </c>
      <c r="L763" s="468" t="s">
        <v>541</v>
      </c>
    </row>
    <row r="764" spans="1:12" x14ac:dyDescent="0.25">
      <c r="A764" s="485" t="s">
        <v>220</v>
      </c>
      <c r="B764" s="485" t="s">
        <v>588</v>
      </c>
      <c r="C764" s="485" t="s">
        <v>1579</v>
      </c>
      <c r="D764" s="485" t="s">
        <v>1580</v>
      </c>
      <c r="E764" s="485" t="s">
        <v>545</v>
      </c>
      <c r="F764" s="482">
        <v>700</v>
      </c>
      <c r="G764" s="468">
        <v>0.02</v>
      </c>
      <c r="H764" s="479">
        <v>14</v>
      </c>
      <c r="I764" s="480" t="s">
        <v>9009</v>
      </c>
      <c r="J764" s="468" t="s">
        <v>9015</v>
      </c>
      <c r="K764" s="468" t="s">
        <v>8996</v>
      </c>
      <c r="L764" s="468" t="s">
        <v>541</v>
      </c>
    </row>
    <row r="765" spans="1:12" x14ac:dyDescent="0.25">
      <c r="A765" s="485" t="s">
        <v>220</v>
      </c>
      <c r="B765" s="485" t="s">
        <v>588</v>
      </c>
      <c r="C765" s="485" t="s">
        <v>1581</v>
      </c>
      <c r="D765" s="485" t="s">
        <v>1582</v>
      </c>
      <c r="E765" s="485" t="s">
        <v>545</v>
      </c>
      <c r="F765" s="482">
        <v>1500</v>
      </c>
      <c r="G765" s="468">
        <v>0.1</v>
      </c>
      <c r="H765" s="479">
        <v>150</v>
      </c>
      <c r="I765" s="480" t="s">
        <v>9009</v>
      </c>
      <c r="J765" s="468" t="s">
        <v>9015</v>
      </c>
      <c r="K765" s="468" t="s">
        <v>8996</v>
      </c>
      <c r="L765" s="468" t="s">
        <v>541</v>
      </c>
    </row>
    <row r="766" spans="1:12" x14ac:dyDescent="0.25">
      <c r="A766" s="485" t="s">
        <v>220</v>
      </c>
      <c r="B766" s="485" t="s">
        <v>588</v>
      </c>
      <c r="C766" s="485" t="s">
        <v>1583</v>
      </c>
      <c r="D766" s="485" t="s">
        <v>1584</v>
      </c>
      <c r="E766" s="485" t="s">
        <v>545</v>
      </c>
      <c r="F766" s="482">
        <v>800</v>
      </c>
      <c r="G766" s="468">
        <v>0.5</v>
      </c>
      <c r="H766" s="479">
        <v>400</v>
      </c>
      <c r="I766" s="480" t="s">
        <v>9009</v>
      </c>
      <c r="J766" s="468" t="s">
        <v>9015</v>
      </c>
      <c r="K766" s="468" t="s">
        <v>8996</v>
      </c>
      <c r="L766" s="468" t="s">
        <v>541</v>
      </c>
    </row>
    <row r="767" spans="1:12" x14ac:dyDescent="0.25">
      <c r="A767" s="485" t="s">
        <v>220</v>
      </c>
      <c r="B767" s="485" t="s">
        <v>588</v>
      </c>
      <c r="C767" s="485" t="s">
        <v>1585</v>
      </c>
      <c r="D767" s="485" t="s">
        <v>1586</v>
      </c>
      <c r="E767" s="485" t="s">
        <v>545</v>
      </c>
      <c r="F767" s="482">
        <v>500</v>
      </c>
      <c r="G767" s="468">
        <v>7.3804819277108427E-2</v>
      </c>
      <c r="H767" s="479">
        <v>36.902409638554211</v>
      </c>
      <c r="I767" s="480" t="s">
        <v>9009</v>
      </c>
      <c r="J767" s="468" t="s">
        <v>9015</v>
      </c>
      <c r="K767" s="468" t="s">
        <v>8996</v>
      </c>
      <c r="L767" s="468" t="s">
        <v>541</v>
      </c>
    </row>
    <row r="768" spans="1:12" x14ac:dyDescent="0.25">
      <c r="A768" s="485" t="s">
        <v>220</v>
      </c>
      <c r="B768" s="485" t="s">
        <v>588</v>
      </c>
      <c r="C768" s="485" t="s">
        <v>1587</v>
      </c>
      <c r="D768" s="485" t="s">
        <v>1588</v>
      </c>
      <c r="E768" s="485" t="s">
        <v>545</v>
      </c>
      <c r="F768" s="482">
        <v>2000</v>
      </c>
      <c r="G768" s="468">
        <v>0.19261557329462989</v>
      </c>
      <c r="H768" s="479">
        <v>385.23114658925977</v>
      </c>
      <c r="I768" s="480" t="s">
        <v>9009</v>
      </c>
      <c r="J768" s="468" t="s">
        <v>9015</v>
      </c>
      <c r="K768" s="468" t="s">
        <v>8996</v>
      </c>
      <c r="L768" s="468" t="s">
        <v>541</v>
      </c>
    </row>
    <row r="769" spans="1:12" x14ac:dyDescent="0.25">
      <c r="A769" s="485" t="s">
        <v>220</v>
      </c>
      <c r="B769" s="485" t="s">
        <v>588</v>
      </c>
      <c r="C769" s="485" t="s">
        <v>1589</v>
      </c>
      <c r="D769" s="485" t="s">
        <v>1590</v>
      </c>
      <c r="E769" s="485" t="s">
        <v>545</v>
      </c>
      <c r="F769" s="482">
        <v>3700</v>
      </c>
      <c r="G769" s="468">
        <v>0.16409220779220779</v>
      </c>
      <c r="H769" s="479">
        <v>607.14116883116878</v>
      </c>
      <c r="I769" s="480" t="s">
        <v>9009</v>
      </c>
      <c r="J769" s="468" t="s">
        <v>9015</v>
      </c>
      <c r="K769" s="468" t="s">
        <v>8996</v>
      </c>
      <c r="L769" s="468" t="s">
        <v>541</v>
      </c>
    </row>
    <row r="770" spans="1:12" x14ac:dyDescent="0.25">
      <c r="A770" s="485" t="s">
        <v>220</v>
      </c>
      <c r="B770" s="485" t="s">
        <v>588</v>
      </c>
      <c r="C770" s="485" t="s">
        <v>1591</v>
      </c>
      <c r="D770" s="485" t="s">
        <v>1592</v>
      </c>
      <c r="E770" s="485" t="s">
        <v>545</v>
      </c>
      <c r="F770" s="482">
        <v>2500</v>
      </c>
      <c r="G770" s="468">
        <v>6.239999999999999E-2</v>
      </c>
      <c r="H770" s="479">
        <v>155.99999999999997</v>
      </c>
      <c r="I770" s="480" t="s">
        <v>9009</v>
      </c>
      <c r="J770" s="468" t="s">
        <v>9015</v>
      </c>
      <c r="K770" s="468" t="s">
        <v>8996</v>
      </c>
      <c r="L770" s="468" t="s">
        <v>541</v>
      </c>
    </row>
    <row r="771" spans="1:12" x14ac:dyDescent="0.25">
      <c r="A771" s="485" t="s">
        <v>220</v>
      </c>
      <c r="B771" s="485" t="s">
        <v>588</v>
      </c>
      <c r="C771" s="485" t="s">
        <v>1593</v>
      </c>
      <c r="D771" s="485" t="s">
        <v>1594</v>
      </c>
      <c r="E771" s="485" t="s">
        <v>545</v>
      </c>
      <c r="F771" s="482">
        <v>7700</v>
      </c>
      <c r="G771" s="468">
        <v>0.14368813320825516</v>
      </c>
      <c r="H771" s="479">
        <v>1106.3986257035647</v>
      </c>
      <c r="I771" s="480" t="s">
        <v>9009</v>
      </c>
      <c r="J771" s="468" t="s">
        <v>9015</v>
      </c>
      <c r="K771" s="468" t="s">
        <v>8996</v>
      </c>
      <c r="L771" s="468" t="s">
        <v>541</v>
      </c>
    </row>
    <row r="772" spans="1:12" x14ac:dyDescent="0.25">
      <c r="A772" s="485" t="s">
        <v>220</v>
      </c>
      <c r="B772" s="485" t="s">
        <v>588</v>
      </c>
      <c r="C772" s="485" t="s">
        <v>1595</v>
      </c>
      <c r="D772" s="485" t="s">
        <v>1596</v>
      </c>
      <c r="E772" s="485" t="s">
        <v>545</v>
      </c>
      <c r="F772" s="482">
        <v>2000</v>
      </c>
      <c r="G772" s="468">
        <v>0.18179999999999999</v>
      </c>
      <c r="H772" s="479">
        <v>363.59999999999997</v>
      </c>
      <c r="I772" s="480" t="s">
        <v>9009</v>
      </c>
      <c r="J772" s="468" t="s">
        <v>9015</v>
      </c>
      <c r="K772" s="468" t="s">
        <v>8996</v>
      </c>
      <c r="L772" s="468" t="s">
        <v>541</v>
      </c>
    </row>
    <row r="773" spans="1:12" x14ac:dyDescent="0.25">
      <c r="A773" s="485" t="s">
        <v>220</v>
      </c>
      <c r="B773" s="485" t="s">
        <v>588</v>
      </c>
      <c r="C773" s="485" t="s">
        <v>1597</v>
      </c>
      <c r="D773" s="485" t="s">
        <v>1598</v>
      </c>
      <c r="E773" s="485" t="s">
        <v>545</v>
      </c>
      <c r="F773" s="482">
        <v>2000</v>
      </c>
      <c r="G773" s="468">
        <v>7.648421052631578E-2</v>
      </c>
      <c r="H773" s="479">
        <v>152.96842105263156</v>
      </c>
      <c r="I773" s="480" t="s">
        <v>9009</v>
      </c>
      <c r="J773" s="468" t="s">
        <v>9015</v>
      </c>
      <c r="K773" s="468" t="s">
        <v>8996</v>
      </c>
      <c r="L773" s="468" t="s">
        <v>541</v>
      </c>
    </row>
    <row r="774" spans="1:12" x14ac:dyDescent="0.25">
      <c r="A774" s="485" t="s">
        <v>220</v>
      </c>
      <c r="B774" s="485" t="s">
        <v>588</v>
      </c>
      <c r="C774" s="485" t="s">
        <v>1599</v>
      </c>
      <c r="D774" s="485" t="s">
        <v>1600</v>
      </c>
      <c r="E774" s="485" t="s">
        <v>545</v>
      </c>
      <c r="F774" s="482">
        <v>1000</v>
      </c>
      <c r="G774" s="468">
        <v>3.6799999999999999E-2</v>
      </c>
      <c r="H774" s="479">
        <v>36.799999999999997</v>
      </c>
      <c r="I774" s="480" t="s">
        <v>9009</v>
      </c>
      <c r="J774" s="468" t="s">
        <v>9015</v>
      </c>
      <c r="K774" s="468" t="s">
        <v>8996</v>
      </c>
      <c r="L774" s="468" t="s">
        <v>541</v>
      </c>
    </row>
    <row r="775" spans="1:12" x14ac:dyDescent="0.25">
      <c r="A775" s="485" t="s">
        <v>220</v>
      </c>
      <c r="B775" s="485" t="s">
        <v>588</v>
      </c>
      <c r="C775" s="485" t="s">
        <v>1601</v>
      </c>
      <c r="D775" s="485" t="s">
        <v>1602</v>
      </c>
      <c r="E775" s="485" t="s">
        <v>545</v>
      </c>
      <c r="F775" s="482">
        <v>2500</v>
      </c>
      <c r="G775" s="468">
        <v>0.24112265193370169</v>
      </c>
      <c r="H775" s="479">
        <v>602.80662983425418</v>
      </c>
      <c r="I775" s="480" t="s">
        <v>9009</v>
      </c>
      <c r="J775" s="468" t="s">
        <v>9015</v>
      </c>
      <c r="K775" s="468" t="s">
        <v>8996</v>
      </c>
      <c r="L775" s="468" t="s">
        <v>541</v>
      </c>
    </row>
    <row r="776" spans="1:12" x14ac:dyDescent="0.25">
      <c r="A776" s="485" t="s">
        <v>220</v>
      </c>
      <c r="B776" s="485" t="s">
        <v>588</v>
      </c>
      <c r="C776" s="485" t="s">
        <v>1603</v>
      </c>
      <c r="D776" s="485" t="s">
        <v>1604</v>
      </c>
      <c r="E776" s="485" t="s">
        <v>545</v>
      </c>
      <c r="F776" s="482">
        <v>1500</v>
      </c>
      <c r="G776" s="468">
        <v>0.217</v>
      </c>
      <c r="H776" s="479">
        <v>325.5</v>
      </c>
      <c r="I776" s="480" t="s">
        <v>9009</v>
      </c>
      <c r="J776" s="468" t="s">
        <v>9015</v>
      </c>
      <c r="K776" s="468" t="s">
        <v>8996</v>
      </c>
      <c r="L776" s="468" t="s">
        <v>541</v>
      </c>
    </row>
    <row r="777" spans="1:12" x14ac:dyDescent="0.25">
      <c r="A777" s="485" t="s">
        <v>220</v>
      </c>
      <c r="B777" s="485" t="s">
        <v>588</v>
      </c>
      <c r="C777" s="485" t="s">
        <v>1605</v>
      </c>
      <c r="D777" s="485" t="s">
        <v>1606</v>
      </c>
      <c r="E777" s="485" t="s">
        <v>545</v>
      </c>
      <c r="F777" s="482">
        <v>3700</v>
      </c>
      <c r="G777" s="468">
        <v>0.24612894736842103</v>
      </c>
      <c r="H777" s="479">
        <v>910.67710526315784</v>
      </c>
      <c r="I777" s="480" t="s">
        <v>9009</v>
      </c>
      <c r="J777" s="468" t="s">
        <v>9015</v>
      </c>
      <c r="K777" s="468" t="s">
        <v>8996</v>
      </c>
      <c r="L777" s="468" t="s">
        <v>541</v>
      </c>
    </row>
    <row r="778" spans="1:12" x14ac:dyDescent="0.25">
      <c r="A778" s="485" t="s">
        <v>220</v>
      </c>
      <c r="B778" s="485" t="s">
        <v>588</v>
      </c>
      <c r="C778" s="485" t="s">
        <v>1607</v>
      </c>
      <c r="D778" s="485" t="s">
        <v>1608</v>
      </c>
      <c r="E778" s="485" t="s">
        <v>545</v>
      </c>
      <c r="F778" s="482">
        <v>500</v>
      </c>
      <c r="G778" s="468">
        <v>0.221</v>
      </c>
      <c r="H778" s="479">
        <v>110.5</v>
      </c>
      <c r="I778" s="480" t="s">
        <v>9009</v>
      </c>
      <c r="J778" s="468" t="s">
        <v>9015</v>
      </c>
      <c r="K778" s="468" t="s">
        <v>8996</v>
      </c>
      <c r="L778" s="468" t="s">
        <v>541</v>
      </c>
    </row>
    <row r="779" spans="1:12" x14ac:dyDescent="0.25">
      <c r="A779" s="485" t="s">
        <v>220</v>
      </c>
      <c r="B779" s="485" t="s">
        <v>588</v>
      </c>
      <c r="C779" s="485" t="s">
        <v>1609</v>
      </c>
      <c r="D779" s="485" t="s">
        <v>1610</v>
      </c>
      <c r="E779" s="485" t="s">
        <v>545</v>
      </c>
      <c r="F779" s="482">
        <v>3000</v>
      </c>
      <c r="G779" s="468">
        <v>0.15185128205128204</v>
      </c>
      <c r="H779" s="479">
        <v>455.55384615384611</v>
      </c>
      <c r="I779" s="480" t="s">
        <v>9009</v>
      </c>
      <c r="J779" s="468" t="s">
        <v>9015</v>
      </c>
      <c r="K779" s="468" t="s">
        <v>8996</v>
      </c>
      <c r="L779" s="468" t="s">
        <v>541</v>
      </c>
    </row>
    <row r="780" spans="1:12" x14ac:dyDescent="0.25">
      <c r="A780" s="485" t="s">
        <v>220</v>
      </c>
      <c r="B780" s="485" t="s">
        <v>588</v>
      </c>
      <c r="C780" s="485" t="s">
        <v>1611</v>
      </c>
      <c r="D780" s="485" t="s">
        <v>1612</v>
      </c>
      <c r="E780" s="485" t="s">
        <v>545</v>
      </c>
      <c r="F780" s="482">
        <v>1000</v>
      </c>
      <c r="G780" s="468">
        <v>0.5</v>
      </c>
      <c r="H780" s="479">
        <v>500</v>
      </c>
      <c r="I780" s="480" t="s">
        <v>9009</v>
      </c>
      <c r="J780" s="468" t="s">
        <v>9015</v>
      </c>
      <c r="K780" s="468" t="s">
        <v>8996</v>
      </c>
      <c r="L780" s="468" t="s">
        <v>541</v>
      </c>
    </row>
    <row r="781" spans="1:12" x14ac:dyDescent="0.25">
      <c r="A781" s="485" t="s">
        <v>220</v>
      </c>
      <c r="B781" s="485" t="s">
        <v>588</v>
      </c>
      <c r="C781" s="485" t="s">
        <v>1613</v>
      </c>
      <c r="D781" s="485" t="s">
        <v>1614</v>
      </c>
      <c r="E781" s="485" t="s">
        <v>545</v>
      </c>
      <c r="F781" s="482">
        <v>5200</v>
      </c>
      <c r="G781" s="468">
        <v>0.15802043257091608</v>
      </c>
      <c r="H781" s="479">
        <v>821.70624936876357</v>
      </c>
      <c r="I781" s="480" t="s">
        <v>9009</v>
      </c>
      <c r="J781" s="468" t="s">
        <v>9015</v>
      </c>
      <c r="K781" s="468" t="s">
        <v>8996</v>
      </c>
      <c r="L781" s="468" t="s">
        <v>541</v>
      </c>
    </row>
    <row r="782" spans="1:12" x14ac:dyDescent="0.25">
      <c r="A782" s="485" t="s">
        <v>220</v>
      </c>
      <c r="B782" s="485" t="s">
        <v>588</v>
      </c>
      <c r="C782" s="485" t="s">
        <v>1615</v>
      </c>
      <c r="D782" s="485" t="s">
        <v>1616</v>
      </c>
      <c r="E782" s="485" t="s">
        <v>545</v>
      </c>
      <c r="F782" s="482">
        <v>9600</v>
      </c>
      <c r="G782" s="468">
        <v>0.159</v>
      </c>
      <c r="H782" s="479">
        <v>1526.4</v>
      </c>
      <c r="I782" s="480" t="s">
        <v>9009</v>
      </c>
      <c r="J782" s="468" t="s">
        <v>9015</v>
      </c>
      <c r="K782" s="468" t="s">
        <v>8996</v>
      </c>
      <c r="L782" s="468" t="s">
        <v>541</v>
      </c>
    </row>
    <row r="783" spans="1:12" x14ac:dyDescent="0.25">
      <c r="A783" s="485" t="s">
        <v>220</v>
      </c>
      <c r="B783" s="485" t="s">
        <v>588</v>
      </c>
      <c r="C783" s="485" t="s">
        <v>1617</v>
      </c>
      <c r="D783" s="485" t="s">
        <v>1618</v>
      </c>
      <c r="E783" s="485" t="s">
        <v>545</v>
      </c>
      <c r="F783" s="482">
        <v>2700</v>
      </c>
      <c r="G783" s="468">
        <v>0.18179999999999999</v>
      </c>
      <c r="H783" s="479">
        <v>490.85999999999996</v>
      </c>
      <c r="I783" s="480" t="s">
        <v>9009</v>
      </c>
      <c r="J783" s="468" t="s">
        <v>9015</v>
      </c>
      <c r="K783" s="468" t="s">
        <v>8996</v>
      </c>
      <c r="L783" s="468" t="s">
        <v>541</v>
      </c>
    </row>
    <row r="784" spans="1:12" x14ac:dyDescent="0.25">
      <c r="A784" s="485" t="s">
        <v>220</v>
      </c>
      <c r="B784" s="485" t="s">
        <v>588</v>
      </c>
      <c r="C784" s="485" t="s">
        <v>1619</v>
      </c>
      <c r="D784" s="485" t="s">
        <v>1620</v>
      </c>
      <c r="E784" s="485" t="s">
        <v>545</v>
      </c>
      <c r="F784" s="482">
        <v>7000</v>
      </c>
      <c r="G784" s="468">
        <v>6.565E-2</v>
      </c>
      <c r="H784" s="479">
        <v>459.55</v>
      </c>
      <c r="I784" s="480" t="s">
        <v>9009</v>
      </c>
      <c r="J784" s="468" t="s">
        <v>9015</v>
      </c>
      <c r="K784" s="468" t="s">
        <v>8996</v>
      </c>
      <c r="L784" s="468" t="s">
        <v>541</v>
      </c>
    </row>
    <row r="785" spans="1:12" x14ac:dyDescent="0.25">
      <c r="A785" s="485" t="s">
        <v>220</v>
      </c>
      <c r="B785" s="485" t="s">
        <v>588</v>
      </c>
      <c r="C785" s="485" t="s">
        <v>1621</v>
      </c>
      <c r="D785" s="485" t="s">
        <v>1622</v>
      </c>
      <c r="E785" s="485" t="s">
        <v>545</v>
      </c>
      <c r="F785" s="482">
        <v>1000</v>
      </c>
      <c r="G785" s="468">
        <v>0.2224008620689655</v>
      </c>
      <c r="H785" s="479">
        <v>222.40086206896549</v>
      </c>
      <c r="I785" s="480" t="s">
        <v>9009</v>
      </c>
      <c r="J785" s="468" t="s">
        <v>9015</v>
      </c>
      <c r="K785" s="468" t="s">
        <v>8996</v>
      </c>
      <c r="L785" s="468" t="s">
        <v>541</v>
      </c>
    </row>
    <row r="786" spans="1:12" x14ac:dyDescent="0.25">
      <c r="A786" s="485" t="s">
        <v>220</v>
      </c>
      <c r="B786" s="485" t="s">
        <v>588</v>
      </c>
      <c r="C786" s="485" t="s">
        <v>1623</v>
      </c>
      <c r="D786" s="485" t="s">
        <v>1624</v>
      </c>
      <c r="E786" s="485" t="s">
        <v>545</v>
      </c>
      <c r="F786" s="482">
        <v>1000</v>
      </c>
      <c r="G786" s="468">
        <v>0.221</v>
      </c>
      <c r="H786" s="479">
        <v>221</v>
      </c>
      <c r="I786" s="480" t="s">
        <v>9009</v>
      </c>
      <c r="J786" s="468" t="s">
        <v>9015</v>
      </c>
      <c r="K786" s="468" t="s">
        <v>8996</v>
      </c>
      <c r="L786" s="468" t="s">
        <v>541</v>
      </c>
    </row>
    <row r="787" spans="1:12" x14ac:dyDescent="0.25">
      <c r="A787" s="485" t="s">
        <v>220</v>
      </c>
      <c r="B787" s="485" t="s">
        <v>588</v>
      </c>
      <c r="C787" s="485" t="s">
        <v>1625</v>
      </c>
      <c r="D787" s="485" t="s">
        <v>1626</v>
      </c>
      <c r="E787" s="485" t="s">
        <v>545</v>
      </c>
      <c r="F787" s="482">
        <v>2100</v>
      </c>
      <c r="G787" s="468">
        <v>0.22500000000000001</v>
      </c>
      <c r="H787" s="479">
        <v>472.5</v>
      </c>
      <c r="I787" s="480" t="s">
        <v>9009</v>
      </c>
      <c r="J787" s="468" t="s">
        <v>9015</v>
      </c>
      <c r="K787" s="468" t="s">
        <v>8996</v>
      </c>
      <c r="L787" s="468" t="s">
        <v>541</v>
      </c>
    </row>
    <row r="788" spans="1:12" x14ac:dyDescent="0.25">
      <c r="A788" s="485" t="s">
        <v>220</v>
      </c>
      <c r="B788" s="485" t="s">
        <v>588</v>
      </c>
      <c r="C788" s="485" t="s">
        <v>1627</v>
      </c>
      <c r="D788" s="485" t="s">
        <v>1628</v>
      </c>
      <c r="E788" s="485" t="s">
        <v>545</v>
      </c>
      <c r="F788" s="482">
        <v>3500</v>
      </c>
      <c r="G788" s="468">
        <v>0.24947</v>
      </c>
      <c r="H788" s="479">
        <v>873.14499999999998</v>
      </c>
      <c r="I788" s="480" t="s">
        <v>9009</v>
      </c>
      <c r="J788" s="468" t="s">
        <v>9015</v>
      </c>
      <c r="K788" s="468" t="s">
        <v>8996</v>
      </c>
      <c r="L788" s="468" t="s">
        <v>541</v>
      </c>
    </row>
    <row r="789" spans="1:12" x14ac:dyDescent="0.25">
      <c r="A789" s="485" t="s">
        <v>220</v>
      </c>
      <c r="B789" s="485" t="s">
        <v>588</v>
      </c>
      <c r="C789" s="485" t="s">
        <v>1629</v>
      </c>
      <c r="D789" s="485" t="s">
        <v>1630</v>
      </c>
      <c r="E789" s="485" t="s">
        <v>545</v>
      </c>
      <c r="F789" s="482">
        <v>500</v>
      </c>
      <c r="G789" s="468">
        <v>5.8000000000000003E-2</v>
      </c>
      <c r="H789" s="479">
        <v>29</v>
      </c>
      <c r="I789" s="480" t="s">
        <v>9009</v>
      </c>
      <c r="J789" s="468" t="s">
        <v>9015</v>
      </c>
      <c r="K789" s="468" t="s">
        <v>8996</v>
      </c>
      <c r="L789" s="468" t="s">
        <v>541</v>
      </c>
    </row>
    <row r="790" spans="1:12" x14ac:dyDescent="0.25">
      <c r="A790" s="485" t="s">
        <v>220</v>
      </c>
      <c r="B790" s="485" t="s">
        <v>588</v>
      </c>
      <c r="C790" s="485" t="s">
        <v>1631</v>
      </c>
      <c r="D790" s="485" t="s">
        <v>1632</v>
      </c>
      <c r="E790" s="485" t="s">
        <v>545</v>
      </c>
      <c r="F790" s="482">
        <v>2200</v>
      </c>
      <c r="G790" s="468">
        <v>9.6559444444444448E-2</v>
      </c>
      <c r="H790" s="479">
        <v>212.43077777777779</v>
      </c>
      <c r="I790" s="480" t="s">
        <v>9009</v>
      </c>
      <c r="J790" s="468" t="s">
        <v>9015</v>
      </c>
      <c r="K790" s="468" t="s">
        <v>8996</v>
      </c>
      <c r="L790" s="468" t="s">
        <v>541</v>
      </c>
    </row>
    <row r="791" spans="1:12" x14ac:dyDescent="0.25">
      <c r="A791" s="485" t="s">
        <v>220</v>
      </c>
      <c r="B791" s="485" t="s">
        <v>588</v>
      </c>
      <c r="C791" s="485" t="s">
        <v>1633</v>
      </c>
      <c r="D791" s="485" t="s">
        <v>1634</v>
      </c>
      <c r="E791" s="485" t="s">
        <v>545</v>
      </c>
      <c r="F791" s="482">
        <v>2000</v>
      </c>
      <c r="G791" s="468">
        <v>0.18596489361702126</v>
      </c>
      <c r="H791" s="479">
        <v>371.92978723404252</v>
      </c>
      <c r="I791" s="480" t="s">
        <v>9009</v>
      </c>
      <c r="J791" s="468" t="s">
        <v>9015</v>
      </c>
      <c r="K791" s="468" t="s">
        <v>8996</v>
      </c>
      <c r="L791" s="468" t="s">
        <v>541</v>
      </c>
    </row>
    <row r="792" spans="1:12" x14ac:dyDescent="0.25">
      <c r="A792" s="485" t="s">
        <v>220</v>
      </c>
      <c r="B792" s="485" t="s">
        <v>588</v>
      </c>
      <c r="C792" s="485" t="s">
        <v>1635</v>
      </c>
      <c r="D792" s="485" t="s">
        <v>1636</v>
      </c>
      <c r="E792" s="485" t="s">
        <v>545</v>
      </c>
      <c r="F792" s="482">
        <v>2000</v>
      </c>
      <c r="G792" s="468">
        <v>0.22049999999999997</v>
      </c>
      <c r="H792" s="479">
        <v>440.99999999999994</v>
      </c>
      <c r="I792" s="480" t="s">
        <v>9009</v>
      </c>
      <c r="J792" s="468" t="s">
        <v>9015</v>
      </c>
      <c r="K792" s="468" t="s">
        <v>8996</v>
      </c>
      <c r="L792" s="468" t="s">
        <v>541</v>
      </c>
    </row>
    <row r="793" spans="1:12" x14ac:dyDescent="0.25">
      <c r="A793" s="485" t="s">
        <v>220</v>
      </c>
      <c r="B793" s="485" t="s">
        <v>588</v>
      </c>
      <c r="C793" s="485" t="s">
        <v>1637</v>
      </c>
      <c r="D793" s="485" t="s">
        <v>1638</v>
      </c>
      <c r="E793" s="485" t="s">
        <v>545</v>
      </c>
      <c r="F793" s="482">
        <v>3500</v>
      </c>
      <c r="G793" s="468">
        <v>0.21712999999999993</v>
      </c>
      <c r="H793" s="479">
        <v>759.95499999999981</v>
      </c>
      <c r="I793" s="480" t="s">
        <v>9009</v>
      </c>
      <c r="J793" s="468" t="s">
        <v>9015</v>
      </c>
      <c r="K793" s="468" t="s">
        <v>8996</v>
      </c>
      <c r="L793" s="468" t="s">
        <v>541</v>
      </c>
    </row>
    <row r="794" spans="1:12" x14ac:dyDescent="0.25">
      <c r="A794" s="485" t="s">
        <v>220</v>
      </c>
      <c r="B794" s="485" t="s">
        <v>588</v>
      </c>
      <c r="C794" s="485" t="s">
        <v>1639</v>
      </c>
      <c r="D794" s="485" t="s">
        <v>1640</v>
      </c>
      <c r="E794" s="485" t="s">
        <v>545</v>
      </c>
      <c r="F794" s="482">
        <v>2000</v>
      </c>
      <c r="G794" s="468">
        <v>0.10500000000000001</v>
      </c>
      <c r="H794" s="479">
        <v>210.00000000000003</v>
      </c>
      <c r="I794" s="480" t="s">
        <v>9009</v>
      </c>
      <c r="J794" s="468" t="s">
        <v>9015</v>
      </c>
      <c r="K794" s="468" t="s">
        <v>8996</v>
      </c>
      <c r="L794" s="468" t="s">
        <v>541</v>
      </c>
    </row>
    <row r="795" spans="1:12" x14ac:dyDescent="0.25">
      <c r="A795" s="485" t="s">
        <v>220</v>
      </c>
      <c r="B795" s="485" t="s">
        <v>588</v>
      </c>
      <c r="C795" s="485" t="s">
        <v>1641</v>
      </c>
      <c r="D795" s="485" t="s">
        <v>1642</v>
      </c>
      <c r="E795" s="485" t="s">
        <v>545</v>
      </c>
      <c r="F795" s="482">
        <v>2500</v>
      </c>
      <c r="G795" s="468">
        <v>0.21358551020408162</v>
      </c>
      <c r="H795" s="479">
        <v>533.96377551020407</v>
      </c>
      <c r="I795" s="480" t="s">
        <v>9009</v>
      </c>
      <c r="J795" s="468" t="s">
        <v>9015</v>
      </c>
      <c r="K795" s="468" t="s">
        <v>8996</v>
      </c>
      <c r="L795" s="468" t="s">
        <v>541</v>
      </c>
    </row>
    <row r="796" spans="1:12" x14ac:dyDescent="0.25">
      <c r="A796" s="485" t="s">
        <v>220</v>
      </c>
      <c r="B796" s="485" t="s">
        <v>588</v>
      </c>
      <c r="C796" s="485" t="s">
        <v>1643</v>
      </c>
      <c r="D796" s="485" t="s">
        <v>1644</v>
      </c>
      <c r="E796" s="485" t="s">
        <v>545</v>
      </c>
      <c r="F796" s="482">
        <v>2000</v>
      </c>
      <c r="G796" s="468">
        <v>0.155</v>
      </c>
      <c r="H796" s="479">
        <v>310</v>
      </c>
      <c r="I796" s="480" t="s">
        <v>9009</v>
      </c>
      <c r="J796" s="468" t="s">
        <v>9015</v>
      </c>
      <c r="K796" s="468" t="s">
        <v>8996</v>
      </c>
      <c r="L796" s="468" t="s">
        <v>541</v>
      </c>
    </row>
    <row r="797" spans="1:12" x14ac:dyDescent="0.25">
      <c r="A797" s="485" t="s">
        <v>220</v>
      </c>
      <c r="B797" s="485" t="s">
        <v>588</v>
      </c>
      <c r="C797" s="485" t="s">
        <v>1645</v>
      </c>
      <c r="D797" s="485" t="s">
        <v>1646</v>
      </c>
      <c r="E797" s="485" t="s">
        <v>545</v>
      </c>
      <c r="F797" s="482">
        <v>500</v>
      </c>
      <c r="G797" s="468">
        <v>6.720000000000001E-2</v>
      </c>
      <c r="H797" s="479">
        <v>33.6</v>
      </c>
      <c r="I797" s="480" t="s">
        <v>9009</v>
      </c>
      <c r="J797" s="468" t="s">
        <v>9015</v>
      </c>
      <c r="K797" s="468" t="s">
        <v>8996</v>
      </c>
      <c r="L797" s="468" t="s">
        <v>541</v>
      </c>
    </row>
    <row r="798" spans="1:12" x14ac:dyDescent="0.25">
      <c r="A798" s="485" t="s">
        <v>220</v>
      </c>
      <c r="B798" s="485" t="s">
        <v>588</v>
      </c>
      <c r="C798" s="485" t="s">
        <v>1647</v>
      </c>
      <c r="D798" s="485" t="s">
        <v>1648</v>
      </c>
      <c r="E798" s="485" t="s">
        <v>545</v>
      </c>
      <c r="F798" s="482">
        <v>3000</v>
      </c>
      <c r="G798" s="468">
        <v>3.0720000000000004E-2</v>
      </c>
      <c r="H798" s="479">
        <v>92.160000000000011</v>
      </c>
      <c r="I798" s="480" t="s">
        <v>9009</v>
      </c>
      <c r="J798" s="468" t="s">
        <v>9015</v>
      </c>
      <c r="K798" s="468" t="s">
        <v>8996</v>
      </c>
      <c r="L798" s="468" t="s">
        <v>541</v>
      </c>
    </row>
    <row r="799" spans="1:12" x14ac:dyDescent="0.25">
      <c r="A799" s="485" t="s">
        <v>220</v>
      </c>
      <c r="B799" s="485" t="s">
        <v>588</v>
      </c>
      <c r="C799" s="485" t="s">
        <v>1649</v>
      </c>
      <c r="D799" s="485" t="s">
        <v>1650</v>
      </c>
      <c r="E799" s="485" t="s">
        <v>545</v>
      </c>
      <c r="F799" s="482">
        <v>1000</v>
      </c>
      <c r="G799" s="468">
        <v>3.5000000000000003E-2</v>
      </c>
      <c r="H799" s="479">
        <v>35</v>
      </c>
      <c r="I799" s="480" t="s">
        <v>9009</v>
      </c>
      <c r="J799" s="468" t="s">
        <v>9015</v>
      </c>
      <c r="K799" s="468" t="s">
        <v>8996</v>
      </c>
      <c r="L799" s="468" t="s">
        <v>541</v>
      </c>
    </row>
    <row r="800" spans="1:12" x14ac:dyDescent="0.25">
      <c r="A800" s="485" t="s">
        <v>220</v>
      </c>
      <c r="B800" s="485" t="s">
        <v>588</v>
      </c>
      <c r="C800" s="485" t="s">
        <v>1651</v>
      </c>
      <c r="D800" s="485" t="s">
        <v>1652</v>
      </c>
      <c r="E800" s="485" t="s">
        <v>545</v>
      </c>
      <c r="F800" s="482">
        <v>3000</v>
      </c>
      <c r="G800" s="468">
        <v>6.720000000000001E-2</v>
      </c>
      <c r="H800" s="479">
        <v>201.60000000000002</v>
      </c>
      <c r="I800" s="480" t="s">
        <v>9009</v>
      </c>
      <c r="J800" s="468" t="s">
        <v>9015</v>
      </c>
      <c r="K800" s="468" t="s">
        <v>8996</v>
      </c>
      <c r="L800" s="468" t="s">
        <v>541</v>
      </c>
    </row>
    <row r="801" spans="1:12" x14ac:dyDescent="0.25">
      <c r="A801" s="485" t="s">
        <v>220</v>
      </c>
      <c r="B801" s="485" t="s">
        <v>588</v>
      </c>
      <c r="C801" s="485" t="s">
        <v>1653</v>
      </c>
      <c r="D801" s="485" t="s">
        <v>1654</v>
      </c>
      <c r="E801" s="485" t="s">
        <v>545</v>
      </c>
      <c r="F801" s="482">
        <v>4000</v>
      </c>
      <c r="G801" s="468">
        <v>0.228495</v>
      </c>
      <c r="H801" s="479">
        <v>913.98</v>
      </c>
      <c r="I801" s="480" t="s">
        <v>9009</v>
      </c>
      <c r="J801" s="468" t="s">
        <v>9015</v>
      </c>
      <c r="K801" s="468" t="s">
        <v>8996</v>
      </c>
      <c r="L801" s="468" t="s">
        <v>541</v>
      </c>
    </row>
    <row r="802" spans="1:12" x14ac:dyDescent="0.25">
      <c r="A802" s="485" t="s">
        <v>220</v>
      </c>
      <c r="B802" s="485" t="s">
        <v>588</v>
      </c>
      <c r="C802" s="485" t="s">
        <v>1655</v>
      </c>
      <c r="D802" s="485" t="s">
        <v>1656</v>
      </c>
      <c r="E802" s="485" t="s">
        <v>545</v>
      </c>
      <c r="F802" s="482">
        <v>1000</v>
      </c>
      <c r="G802" s="468">
        <v>0.14879999999999999</v>
      </c>
      <c r="H802" s="479">
        <v>148.79999999999998</v>
      </c>
      <c r="I802" s="480" t="s">
        <v>9009</v>
      </c>
      <c r="J802" s="468" t="s">
        <v>9015</v>
      </c>
      <c r="K802" s="468" t="s">
        <v>8996</v>
      </c>
      <c r="L802" s="468" t="s">
        <v>541</v>
      </c>
    </row>
    <row r="803" spans="1:12" x14ac:dyDescent="0.25">
      <c r="A803" s="485" t="s">
        <v>220</v>
      </c>
      <c r="B803" s="485" t="s">
        <v>588</v>
      </c>
      <c r="C803" s="485" t="s">
        <v>1657</v>
      </c>
      <c r="D803" s="485" t="s">
        <v>1658</v>
      </c>
      <c r="E803" s="485" t="s">
        <v>545</v>
      </c>
      <c r="F803" s="482">
        <v>3300</v>
      </c>
      <c r="G803" s="468">
        <v>0.1515</v>
      </c>
      <c r="H803" s="479">
        <v>499.95</v>
      </c>
      <c r="I803" s="480" t="s">
        <v>9009</v>
      </c>
      <c r="J803" s="468" t="s">
        <v>9015</v>
      </c>
      <c r="K803" s="468" t="s">
        <v>8996</v>
      </c>
      <c r="L803" s="468" t="s">
        <v>541</v>
      </c>
    </row>
    <row r="804" spans="1:12" x14ac:dyDescent="0.25">
      <c r="A804" s="485" t="s">
        <v>220</v>
      </c>
      <c r="B804" s="485" t="s">
        <v>588</v>
      </c>
      <c r="C804" s="485" t="s">
        <v>1659</v>
      </c>
      <c r="D804" s="485" t="s">
        <v>1660</v>
      </c>
      <c r="E804" s="485" t="s">
        <v>545</v>
      </c>
      <c r="F804" s="482">
        <v>1500</v>
      </c>
      <c r="G804" s="468">
        <v>3.3600000000000005E-2</v>
      </c>
      <c r="H804" s="479">
        <v>50.400000000000006</v>
      </c>
      <c r="I804" s="480" t="s">
        <v>9009</v>
      </c>
      <c r="J804" s="468" t="s">
        <v>9015</v>
      </c>
      <c r="K804" s="468" t="s">
        <v>8996</v>
      </c>
      <c r="L804" s="468" t="s">
        <v>541</v>
      </c>
    </row>
    <row r="805" spans="1:12" x14ac:dyDescent="0.25">
      <c r="A805" s="485" t="s">
        <v>220</v>
      </c>
      <c r="B805" s="485" t="s">
        <v>588</v>
      </c>
      <c r="C805" s="485" t="s">
        <v>1661</v>
      </c>
      <c r="D805" s="485" t="s">
        <v>1662</v>
      </c>
      <c r="E805" s="485" t="s">
        <v>545</v>
      </c>
      <c r="F805" s="482">
        <v>1000</v>
      </c>
      <c r="G805" s="468">
        <v>0.20316491228070174</v>
      </c>
      <c r="H805" s="479">
        <v>203.16491228070174</v>
      </c>
      <c r="I805" s="480" t="s">
        <v>9009</v>
      </c>
      <c r="J805" s="468" t="s">
        <v>9015</v>
      </c>
      <c r="K805" s="468" t="s">
        <v>8996</v>
      </c>
      <c r="L805" s="468" t="s">
        <v>541</v>
      </c>
    </row>
    <row r="806" spans="1:12" x14ac:dyDescent="0.25">
      <c r="A806" s="485" t="s">
        <v>220</v>
      </c>
      <c r="B806" s="485" t="s">
        <v>588</v>
      </c>
      <c r="C806" s="485" t="s">
        <v>1663</v>
      </c>
      <c r="D806" s="485" t="s">
        <v>1664</v>
      </c>
      <c r="E806" s="485" t="s">
        <v>545</v>
      </c>
      <c r="F806" s="482">
        <v>3400</v>
      </c>
      <c r="G806" s="468">
        <v>9.6687558107738575E-2</v>
      </c>
      <c r="H806" s="479">
        <v>328.73769756631117</v>
      </c>
      <c r="I806" s="480" t="s">
        <v>9009</v>
      </c>
      <c r="J806" s="468" t="s">
        <v>9015</v>
      </c>
      <c r="K806" s="468" t="s">
        <v>8996</v>
      </c>
      <c r="L806" s="468" t="s">
        <v>541</v>
      </c>
    </row>
    <row r="807" spans="1:12" x14ac:dyDescent="0.25">
      <c r="A807" s="485" t="s">
        <v>220</v>
      </c>
      <c r="B807" s="485" t="s">
        <v>588</v>
      </c>
      <c r="C807" s="485" t="s">
        <v>1665</v>
      </c>
      <c r="D807" s="485" t="s">
        <v>1666</v>
      </c>
      <c r="E807" s="485" t="s">
        <v>545</v>
      </c>
      <c r="F807" s="482">
        <v>2500</v>
      </c>
      <c r="G807" s="468">
        <v>0.216</v>
      </c>
      <c r="H807" s="479">
        <v>540</v>
      </c>
      <c r="I807" s="480" t="s">
        <v>9009</v>
      </c>
      <c r="J807" s="468" t="s">
        <v>9015</v>
      </c>
      <c r="K807" s="468" t="s">
        <v>8996</v>
      </c>
      <c r="L807" s="468" t="s">
        <v>541</v>
      </c>
    </row>
    <row r="808" spans="1:12" x14ac:dyDescent="0.25">
      <c r="A808" s="485" t="s">
        <v>220</v>
      </c>
      <c r="B808" s="485" t="s">
        <v>588</v>
      </c>
      <c r="C808" s="485" t="s">
        <v>1667</v>
      </c>
      <c r="D808" s="485" t="s">
        <v>1668</v>
      </c>
      <c r="E808" s="485" t="s">
        <v>545</v>
      </c>
      <c r="F808" s="482">
        <v>3500</v>
      </c>
      <c r="G808" s="468">
        <v>0.25755</v>
      </c>
      <c r="H808" s="479">
        <v>901.42499999999995</v>
      </c>
      <c r="I808" s="480" t="s">
        <v>9009</v>
      </c>
      <c r="J808" s="468" t="s">
        <v>9015</v>
      </c>
      <c r="K808" s="468" t="s">
        <v>8996</v>
      </c>
      <c r="L808" s="468" t="s">
        <v>541</v>
      </c>
    </row>
    <row r="809" spans="1:12" x14ac:dyDescent="0.25">
      <c r="A809" s="485" t="s">
        <v>220</v>
      </c>
      <c r="B809" s="485" t="s">
        <v>588</v>
      </c>
      <c r="C809" s="485" t="s">
        <v>1669</v>
      </c>
      <c r="D809" s="485" t="s">
        <v>1670</v>
      </c>
      <c r="E809" s="485" t="s">
        <v>545</v>
      </c>
      <c r="F809" s="482">
        <v>3300</v>
      </c>
      <c r="G809" s="468">
        <v>0.29289999999999999</v>
      </c>
      <c r="H809" s="479">
        <v>966.56999999999994</v>
      </c>
      <c r="I809" s="480" t="s">
        <v>9009</v>
      </c>
      <c r="J809" s="468" t="s">
        <v>9015</v>
      </c>
      <c r="K809" s="468" t="s">
        <v>8996</v>
      </c>
      <c r="L809" s="468" t="s">
        <v>541</v>
      </c>
    </row>
    <row r="810" spans="1:12" x14ac:dyDescent="0.25">
      <c r="A810" s="485" t="s">
        <v>220</v>
      </c>
      <c r="B810" s="485" t="s">
        <v>588</v>
      </c>
      <c r="C810" s="485" t="s">
        <v>1671</v>
      </c>
      <c r="D810" s="485" t="s">
        <v>1672</v>
      </c>
      <c r="E810" s="485" t="s">
        <v>545</v>
      </c>
      <c r="F810" s="482">
        <v>2500</v>
      </c>
      <c r="G810" s="468">
        <v>0.25755</v>
      </c>
      <c r="H810" s="479">
        <v>643.875</v>
      </c>
      <c r="I810" s="480" t="s">
        <v>9009</v>
      </c>
      <c r="J810" s="468" t="s">
        <v>9015</v>
      </c>
      <c r="K810" s="468" t="s">
        <v>8996</v>
      </c>
      <c r="L810" s="468" t="s">
        <v>541</v>
      </c>
    </row>
    <row r="811" spans="1:12" x14ac:dyDescent="0.25">
      <c r="A811" s="485" t="s">
        <v>220</v>
      </c>
      <c r="B811" s="485" t="s">
        <v>588</v>
      </c>
      <c r="C811" s="485" t="s">
        <v>1673</v>
      </c>
      <c r="D811" s="485" t="s">
        <v>1674</v>
      </c>
      <c r="E811" s="485" t="s">
        <v>545</v>
      </c>
      <c r="F811" s="482">
        <v>3000</v>
      </c>
      <c r="G811" s="468">
        <v>0.29289999999999999</v>
      </c>
      <c r="H811" s="479">
        <v>878.69999999999993</v>
      </c>
      <c r="I811" s="480" t="s">
        <v>9009</v>
      </c>
      <c r="J811" s="468" t="s">
        <v>9015</v>
      </c>
      <c r="K811" s="468" t="s">
        <v>8996</v>
      </c>
      <c r="L811" s="468" t="s">
        <v>541</v>
      </c>
    </row>
    <row r="812" spans="1:12" x14ac:dyDescent="0.25">
      <c r="A812" s="485" t="s">
        <v>220</v>
      </c>
      <c r="B812" s="485" t="s">
        <v>588</v>
      </c>
      <c r="C812" s="485" t="s">
        <v>1675</v>
      </c>
      <c r="D812" s="485" t="s">
        <v>1676</v>
      </c>
      <c r="E812" s="485" t="s">
        <v>545</v>
      </c>
      <c r="F812" s="482">
        <v>2000</v>
      </c>
      <c r="G812" s="468">
        <v>0.20705000000000004</v>
      </c>
      <c r="H812" s="479">
        <v>414.10000000000008</v>
      </c>
      <c r="I812" s="480" t="s">
        <v>9009</v>
      </c>
      <c r="J812" s="468" t="s">
        <v>9015</v>
      </c>
      <c r="K812" s="468" t="s">
        <v>8996</v>
      </c>
      <c r="L812" s="468" t="s">
        <v>541</v>
      </c>
    </row>
    <row r="813" spans="1:12" x14ac:dyDescent="0.25">
      <c r="A813" s="485" t="s">
        <v>220</v>
      </c>
      <c r="B813" s="485" t="s">
        <v>588</v>
      </c>
      <c r="C813" s="485" t="s">
        <v>1677</v>
      </c>
      <c r="D813" s="485" t="s">
        <v>1678</v>
      </c>
      <c r="E813" s="485" t="s">
        <v>545</v>
      </c>
      <c r="F813" s="482">
        <v>3000</v>
      </c>
      <c r="G813" s="468">
        <v>0.21210000000000001</v>
      </c>
      <c r="H813" s="479">
        <v>636.30000000000007</v>
      </c>
      <c r="I813" s="480" t="s">
        <v>9009</v>
      </c>
      <c r="J813" s="468" t="s">
        <v>9015</v>
      </c>
      <c r="K813" s="468" t="s">
        <v>8996</v>
      </c>
      <c r="L813" s="468" t="s">
        <v>541</v>
      </c>
    </row>
    <row r="814" spans="1:12" x14ac:dyDescent="0.25">
      <c r="A814" s="485" t="s">
        <v>220</v>
      </c>
      <c r="B814" s="485" t="s">
        <v>588</v>
      </c>
      <c r="C814" s="485" t="s">
        <v>1679</v>
      </c>
      <c r="D814" s="485" t="s">
        <v>1680</v>
      </c>
      <c r="E814" s="485" t="s">
        <v>545</v>
      </c>
      <c r="F814" s="482">
        <v>3700</v>
      </c>
      <c r="G814" s="468">
        <v>0.20891192341166234</v>
      </c>
      <c r="H814" s="479">
        <v>772.97411662315062</v>
      </c>
      <c r="I814" s="480" t="s">
        <v>9009</v>
      </c>
      <c r="J814" s="468" t="s">
        <v>9015</v>
      </c>
      <c r="K814" s="468" t="s">
        <v>8996</v>
      </c>
      <c r="L814" s="468" t="s">
        <v>541</v>
      </c>
    </row>
    <row r="815" spans="1:12" x14ac:dyDescent="0.25">
      <c r="A815" s="485" t="s">
        <v>220</v>
      </c>
      <c r="B815" s="485" t="s">
        <v>588</v>
      </c>
      <c r="C815" s="485" t="s">
        <v>1681</v>
      </c>
      <c r="D815" s="485" t="s">
        <v>1682</v>
      </c>
      <c r="E815" s="485" t="s">
        <v>545</v>
      </c>
      <c r="F815" s="482">
        <v>2220</v>
      </c>
      <c r="G815" s="468">
        <v>0.20388062827225134</v>
      </c>
      <c r="H815" s="479">
        <v>452.61499476439798</v>
      </c>
      <c r="I815" s="480" t="s">
        <v>9009</v>
      </c>
      <c r="J815" s="468" t="s">
        <v>9015</v>
      </c>
      <c r="K815" s="468" t="s">
        <v>8996</v>
      </c>
      <c r="L815" s="468" t="s">
        <v>541</v>
      </c>
    </row>
    <row r="816" spans="1:12" x14ac:dyDescent="0.25">
      <c r="A816" s="485" t="s">
        <v>220</v>
      </c>
      <c r="B816" s="485" t="s">
        <v>588</v>
      </c>
      <c r="C816" s="485" t="s">
        <v>1683</v>
      </c>
      <c r="D816" s="485" t="s">
        <v>1684</v>
      </c>
      <c r="E816" s="485" t="s">
        <v>545</v>
      </c>
      <c r="F816" s="482">
        <v>3820</v>
      </c>
      <c r="G816" s="468">
        <v>0.18387219917012451</v>
      </c>
      <c r="H816" s="479">
        <v>702.39180082987559</v>
      </c>
      <c r="I816" s="480" t="s">
        <v>9009</v>
      </c>
      <c r="J816" s="468" t="s">
        <v>9015</v>
      </c>
      <c r="K816" s="468" t="s">
        <v>8996</v>
      </c>
      <c r="L816" s="468" t="s">
        <v>541</v>
      </c>
    </row>
    <row r="817" spans="1:12" x14ac:dyDescent="0.25">
      <c r="A817" s="485" t="s">
        <v>220</v>
      </c>
      <c r="B817" s="485" t="s">
        <v>588</v>
      </c>
      <c r="C817" s="485" t="s">
        <v>1685</v>
      </c>
      <c r="D817" s="485" t="s">
        <v>1686</v>
      </c>
      <c r="E817" s="485" t="s">
        <v>545</v>
      </c>
      <c r="F817" s="482">
        <v>31000</v>
      </c>
      <c r="G817" s="468">
        <v>0.18173517307026654</v>
      </c>
      <c r="H817" s="479">
        <v>5633.7903651782626</v>
      </c>
      <c r="I817" s="480" t="s">
        <v>9009</v>
      </c>
      <c r="J817" s="468" t="s">
        <v>9015</v>
      </c>
      <c r="K817" s="468" t="s">
        <v>8996</v>
      </c>
      <c r="L817" s="468" t="s">
        <v>541</v>
      </c>
    </row>
    <row r="818" spans="1:12" x14ac:dyDescent="0.25">
      <c r="A818" s="485" t="s">
        <v>220</v>
      </c>
      <c r="B818" s="485" t="s">
        <v>588</v>
      </c>
      <c r="C818" s="485" t="s">
        <v>1687</v>
      </c>
      <c r="D818" s="485" t="s">
        <v>1688</v>
      </c>
      <c r="E818" s="485" t="s">
        <v>545</v>
      </c>
      <c r="F818" s="482">
        <v>2850</v>
      </c>
      <c r="G818" s="468">
        <v>0.21210000000000001</v>
      </c>
      <c r="H818" s="479">
        <v>604.48500000000001</v>
      </c>
      <c r="I818" s="480" t="s">
        <v>9009</v>
      </c>
      <c r="J818" s="468" t="s">
        <v>9015</v>
      </c>
      <c r="K818" s="468" t="s">
        <v>8996</v>
      </c>
      <c r="L818" s="468" t="s">
        <v>541</v>
      </c>
    </row>
    <row r="819" spans="1:12" x14ac:dyDescent="0.25">
      <c r="A819" s="485" t="s">
        <v>220</v>
      </c>
      <c r="B819" s="485" t="s">
        <v>588</v>
      </c>
      <c r="C819" s="485" t="s">
        <v>1689</v>
      </c>
      <c r="D819" s="485" t="s">
        <v>1690</v>
      </c>
      <c r="E819" s="485" t="s">
        <v>545</v>
      </c>
      <c r="F819" s="482">
        <v>2850</v>
      </c>
      <c r="G819" s="468">
        <v>0.2828</v>
      </c>
      <c r="H819" s="479">
        <v>805.98</v>
      </c>
      <c r="I819" s="480" t="s">
        <v>9009</v>
      </c>
      <c r="J819" s="468" t="s">
        <v>9015</v>
      </c>
      <c r="K819" s="468" t="s">
        <v>8996</v>
      </c>
      <c r="L819" s="468" t="s">
        <v>541</v>
      </c>
    </row>
    <row r="820" spans="1:12" x14ac:dyDescent="0.25">
      <c r="A820" s="485" t="s">
        <v>220</v>
      </c>
      <c r="B820" s="485" t="s">
        <v>588</v>
      </c>
      <c r="C820" s="485" t="s">
        <v>1691</v>
      </c>
      <c r="D820" s="485" t="s">
        <v>1692</v>
      </c>
      <c r="E820" s="485" t="s">
        <v>545</v>
      </c>
      <c r="F820" s="482">
        <v>2850</v>
      </c>
      <c r="G820" s="468">
        <v>0.21210000000000001</v>
      </c>
      <c r="H820" s="479">
        <v>604.48500000000001</v>
      </c>
      <c r="I820" s="480" t="s">
        <v>9009</v>
      </c>
      <c r="J820" s="468" t="s">
        <v>9015</v>
      </c>
      <c r="K820" s="468" t="s">
        <v>8996</v>
      </c>
      <c r="L820" s="468" t="s">
        <v>541</v>
      </c>
    </row>
    <row r="821" spans="1:12" x14ac:dyDescent="0.25">
      <c r="A821" s="485" t="s">
        <v>220</v>
      </c>
      <c r="B821" s="485" t="s">
        <v>588</v>
      </c>
      <c r="C821" s="485" t="s">
        <v>1693</v>
      </c>
      <c r="D821" s="485" t="s">
        <v>1694</v>
      </c>
      <c r="E821" s="485" t="s">
        <v>545</v>
      </c>
      <c r="F821" s="482">
        <v>2850</v>
      </c>
      <c r="G821" s="468">
        <v>0.30299999999999999</v>
      </c>
      <c r="H821" s="479">
        <v>863.55</v>
      </c>
      <c r="I821" s="480" t="s">
        <v>9009</v>
      </c>
      <c r="J821" s="468" t="s">
        <v>9015</v>
      </c>
      <c r="K821" s="468" t="s">
        <v>8996</v>
      </c>
      <c r="L821" s="468" t="s">
        <v>541</v>
      </c>
    </row>
    <row r="822" spans="1:12" x14ac:dyDescent="0.25">
      <c r="A822" s="485" t="s">
        <v>220</v>
      </c>
      <c r="B822" s="485" t="s">
        <v>588</v>
      </c>
      <c r="C822" s="485" t="s">
        <v>1695</v>
      </c>
      <c r="D822" s="485" t="s">
        <v>1696</v>
      </c>
      <c r="E822" s="485" t="s">
        <v>545</v>
      </c>
      <c r="F822" s="482">
        <v>2850</v>
      </c>
      <c r="G822" s="468">
        <v>0.21210000000000001</v>
      </c>
      <c r="H822" s="479">
        <v>604.48500000000001</v>
      </c>
      <c r="I822" s="480" t="s">
        <v>9009</v>
      </c>
      <c r="J822" s="468" t="s">
        <v>9015</v>
      </c>
      <c r="K822" s="468" t="s">
        <v>8996</v>
      </c>
      <c r="L822" s="468" t="s">
        <v>541</v>
      </c>
    </row>
    <row r="823" spans="1:12" x14ac:dyDescent="0.25">
      <c r="A823" s="485" t="s">
        <v>220</v>
      </c>
      <c r="B823" s="485" t="s">
        <v>588</v>
      </c>
      <c r="C823" s="485" t="s">
        <v>1697</v>
      </c>
      <c r="D823" s="485" t="s">
        <v>1698</v>
      </c>
      <c r="E823" s="485" t="s">
        <v>545</v>
      </c>
      <c r="F823" s="482">
        <v>2850</v>
      </c>
      <c r="G823" s="468">
        <v>0.30299999999999999</v>
      </c>
      <c r="H823" s="479">
        <v>863.55</v>
      </c>
      <c r="I823" s="480" t="s">
        <v>9009</v>
      </c>
      <c r="J823" s="468" t="s">
        <v>9015</v>
      </c>
      <c r="K823" s="468" t="s">
        <v>8996</v>
      </c>
      <c r="L823" s="468" t="s">
        <v>541</v>
      </c>
    </row>
    <row r="824" spans="1:12" x14ac:dyDescent="0.25">
      <c r="A824" s="485" t="s">
        <v>220</v>
      </c>
      <c r="B824" s="485" t="s">
        <v>588</v>
      </c>
      <c r="C824" s="485" t="s">
        <v>1699</v>
      </c>
      <c r="D824" s="485" t="s">
        <v>1700</v>
      </c>
      <c r="E824" s="485" t="s">
        <v>545</v>
      </c>
      <c r="F824" s="482">
        <v>2200</v>
      </c>
      <c r="G824" s="468">
        <v>0.2828</v>
      </c>
      <c r="H824" s="479">
        <v>622.16</v>
      </c>
      <c r="I824" s="480" t="s">
        <v>9009</v>
      </c>
      <c r="J824" s="468" t="s">
        <v>9015</v>
      </c>
      <c r="K824" s="468" t="s">
        <v>8996</v>
      </c>
      <c r="L824" s="468" t="s">
        <v>541</v>
      </c>
    </row>
    <row r="825" spans="1:12" x14ac:dyDescent="0.25">
      <c r="A825" s="485" t="s">
        <v>220</v>
      </c>
      <c r="B825" s="485" t="s">
        <v>588</v>
      </c>
      <c r="C825" s="485" t="s">
        <v>1701</v>
      </c>
      <c r="D825" s="485" t="s">
        <v>1702</v>
      </c>
      <c r="E825" s="485" t="s">
        <v>545</v>
      </c>
      <c r="F825" s="482">
        <v>2200</v>
      </c>
      <c r="G825" s="468">
        <v>0.2828</v>
      </c>
      <c r="H825" s="479">
        <v>622.16</v>
      </c>
      <c r="I825" s="480" t="s">
        <v>9009</v>
      </c>
      <c r="J825" s="468" t="s">
        <v>9015</v>
      </c>
      <c r="K825" s="468" t="s">
        <v>8996</v>
      </c>
      <c r="L825" s="468" t="s">
        <v>541</v>
      </c>
    </row>
    <row r="826" spans="1:12" x14ac:dyDescent="0.25">
      <c r="A826" s="485" t="s">
        <v>220</v>
      </c>
      <c r="B826" s="485" t="s">
        <v>588</v>
      </c>
      <c r="C826" s="485" t="s">
        <v>1703</v>
      </c>
      <c r="D826" s="485" t="s">
        <v>1704</v>
      </c>
      <c r="E826" s="485" t="s">
        <v>545</v>
      </c>
      <c r="F826" s="482">
        <v>2500</v>
      </c>
      <c r="G826" s="468">
        <v>0.34945999999999999</v>
      </c>
      <c r="H826" s="479">
        <v>873.65</v>
      </c>
      <c r="I826" s="480" t="s">
        <v>9009</v>
      </c>
      <c r="J826" s="468" t="s">
        <v>9015</v>
      </c>
      <c r="K826" s="468" t="s">
        <v>8996</v>
      </c>
      <c r="L826" s="468" t="s">
        <v>541</v>
      </c>
    </row>
    <row r="827" spans="1:12" x14ac:dyDescent="0.25">
      <c r="A827" s="485" t="s">
        <v>220</v>
      </c>
      <c r="B827" s="485" t="s">
        <v>588</v>
      </c>
      <c r="C827" s="485" t="s">
        <v>1705</v>
      </c>
      <c r="D827" s="485" t="s">
        <v>1706</v>
      </c>
      <c r="E827" s="485" t="s">
        <v>545</v>
      </c>
      <c r="F827" s="482">
        <v>2500</v>
      </c>
      <c r="G827" s="468">
        <v>0.34945999999999999</v>
      </c>
      <c r="H827" s="479">
        <v>873.65</v>
      </c>
      <c r="I827" s="480" t="s">
        <v>9009</v>
      </c>
      <c r="J827" s="468" t="s">
        <v>9015</v>
      </c>
      <c r="K827" s="468" t="s">
        <v>8996</v>
      </c>
      <c r="L827" s="468" t="s">
        <v>541</v>
      </c>
    </row>
    <row r="828" spans="1:12" x14ac:dyDescent="0.25">
      <c r="A828" s="485" t="s">
        <v>220</v>
      </c>
      <c r="B828" s="485" t="s">
        <v>588</v>
      </c>
      <c r="C828" s="485" t="s">
        <v>1707</v>
      </c>
      <c r="D828" s="485" t="s">
        <v>1708</v>
      </c>
      <c r="E828" s="485" t="s">
        <v>545</v>
      </c>
      <c r="F828" s="482">
        <v>2250</v>
      </c>
      <c r="G828" s="468">
        <v>0.40400000000000003</v>
      </c>
      <c r="H828" s="479">
        <v>909.00000000000011</v>
      </c>
      <c r="I828" s="480" t="s">
        <v>9009</v>
      </c>
      <c r="J828" s="468" t="s">
        <v>9015</v>
      </c>
      <c r="K828" s="468" t="s">
        <v>8996</v>
      </c>
      <c r="L828" s="468" t="s">
        <v>541</v>
      </c>
    </row>
    <row r="829" spans="1:12" x14ac:dyDescent="0.25">
      <c r="A829" s="485" t="s">
        <v>220</v>
      </c>
      <c r="B829" s="485" t="s">
        <v>588</v>
      </c>
      <c r="C829" s="485" t="s">
        <v>1709</v>
      </c>
      <c r="D829" s="485" t="s">
        <v>1710</v>
      </c>
      <c r="E829" s="485" t="s">
        <v>545</v>
      </c>
      <c r="F829" s="482">
        <v>2370</v>
      </c>
      <c r="G829" s="468">
        <v>0.40400000000000003</v>
      </c>
      <c r="H829" s="479">
        <v>957.48</v>
      </c>
      <c r="I829" s="480" t="s">
        <v>9009</v>
      </c>
      <c r="J829" s="468" t="s">
        <v>9015</v>
      </c>
      <c r="K829" s="468" t="s">
        <v>8996</v>
      </c>
      <c r="L829" s="468" t="s">
        <v>541</v>
      </c>
    </row>
    <row r="830" spans="1:12" x14ac:dyDescent="0.25">
      <c r="A830" s="485" t="s">
        <v>220</v>
      </c>
      <c r="B830" s="485" t="s">
        <v>588</v>
      </c>
      <c r="C830" s="485" t="s">
        <v>1711</v>
      </c>
      <c r="D830" s="485" t="s">
        <v>1712</v>
      </c>
      <c r="E830" s="485" t="s">
        <v>545</v>
      </c>
      <c r="F830" s="482">
        <v>1870</v>
      </c>
      <c r="G830" s="468">
        <v>0.45449999999999996</v>
      </c>
      <c r="H830" s="479">
        <v>849.91499999999996</v>
      </c>
      <c r="I830" s="480" t="s">
        <v>9009</v>
      </c>
      <c r="J830" s="468" t="s">
        <v>9015</v>
      </c>
      <c r="K830" s="468" t="s">
        <v>8996</v>
      </c>
      <c r="L830" s="468" t="s">
        <v>541</v>
      </c>
    </row>
    <row r="831" spans="1:12" x14ac:dyDescent="0.25">
      <c r="A831" s="485" t="s">
        <v>220</v>
      </c>
      <c r="B831" s="485" t="s">
        <v>588</v>
      </c>
      <c r="C831" s="485" t="s">
        <v>1713</v>
      </c>
      <c r="D831" s="485" t="s">
        <v>1714</v>
      </c>
      <c r="E831" s="485" t="s">
        <v>545</v>
      </c>
      <c r="F831" s="482">
        <v>2370</v>
      </c>
      <c r="G831" s="468">
        <v>0.55549999999999999</v>
      </c>
      <c r="H831" s="479">
        <v>1316.5350000000001</v>
      </c>
      <c r="I831" s="480" t="s">
        <v>9009</v>
      </c>
      <c r="J831" s="468" t="s">
        <v>9015</v>
      </c>
      <c r="K831" s="468" t="s">
        <v>8996</v>
      </c>
      <c r="L831" s="468" t="s">
        <v>541</v>
      </c>
    </row>
    <row r="832" spans="1:12" x14ac:dyDescent="0.25">
      <c r="A832" s="485" t="s">
        <v>220</v>
      </c>
      <c r="B832" s="485" t="s">
        <v>588</v>
      </c>
      <c r="C832" s="485" t="s">
        <v>1715</v>
      </c>
      <c r="D832" s="485" t="s">
        <v>1716</v>
      </c>
      <c r="E832" s="485" t="s">
        <v>545</v>
      </c>
      <c r="F832" s="482">
        <v>1000</v>
      </c>
      <c r="G832" s="468">
        <v>0.21210000000000001</v>
      </c>
      <c r="H832" s="479">
        <v>212.10000000000002</v>
      </c>
      <c r="I832" s="480" t="s">
        <v>9009</v>
      </c>
      <c r="J832" s="468" t="s">
        <v>9015</v>
      </c>
      <c r="K832" s="468" t="s">
        <v>8996</v>
      </c>
      <c r="L832" s="468" t="s">
        <v>541</v>
      </c>
    </row>
    <row r="833" spans="1:12" x14ac:dyDescent="0.25">
      <c r="A833" s="485" t="s">
        <v>220</v>
      </c>
      <c r="B833" s="485" t="s">
        <v>588</v>
      </c>
      <c r="C833" s="485" t="s">
        <v>1717</v>
      </c>
      <c r="D833" s="485" t="s">
        <v>1718</v>
      </c>
      <c r="E833" s="485" t="s">
        <v>545</v>
      </c>
      <c r="F833" s="482">
        <v>1000</v>
      </c>
      <c r="G833" s="468">
        <v>0.35349999999999998</v>
      </c>
      <c r="H833" s="479">
        <v>353.5</v>
      </c>
      <c r="I833" s="480" t="s">
        <v>9009</v>
      </c>
      <c r="J833" s="468" t="s">
        <v>9015</v>
      </c>
      <c r="K833" s="468" t="s">
        <v>8996</v>
      </c>
      <c r="L833" s="468" t="s">
        <v>541</v>
      </c>
    </row>
    <row r="834" spans="1:12" x14ac:dyDescent="0.25">
      <c r="A834" s="485" t="s">
        <v>220</v>
      </c>
      <c r="B834" s="485" t="s">
        <v>588</v>
      </c>
      <c r="C834" s="485" t="s">
        <v>1719</v>
      </c>
      <c r="D834" s="485" t="s">
        <v>1720</v>
      </c>
      <c r="E834" s="485" t="s">
        <v>545</v>
      </c>
      <c r="F834" s="482">
        <v>1250</v>
      </c>
      <c r="G834" s="468">
        <v>0.2525</v>
      </c>
      <c r="H834" s="479">
        <v>315.625</v>
      </c>
      <c r="I834" s="480" t="s">
        <v>9009</v>
      </c>
      <c r="J834" s="468" t="s">
        <v>9015</v>
      </c>
      <c r="K834" s="468" t="s">
        <v>8996</v>
      </c>
      <c r="L834" s="468" t="s">
        <v>541</v>
      </c>
    </row>
    <row r="835" spans="1:12" x14ac:dyDescent="0.25">
      <c r="A835" s="485" t="s">
        <v>220</v>
      </c>
      <c r="B835" s="485" t="s">
        <v>588</v>
      </c>
      <c r="C835" s="485" t="s">
        <v>1721</v>
      </c>
      <c r="D835" s="485" t="s">
        <v>1722</v>
      </c>
      <c r="E835" s="485" t="s">
        <v>545</v>
      </c>
      <c r="F835" s="482">
        <v>1250</v>
      </c>
      <c r="G835" s="468">
        <v>0.43935000000000002</v>
      </c>
      <c r="H835" s="479">
        <v>549.1875</v>
      </c>
      <c r="I835" s="480" t="s">
        <v>9009</v>
      </c>
      <c r="J835" s="468" t="s">
        <v>9015</v>
      </c>
      <c r="K835" s="468" t="s">
        <v>8996</v>
      </c>
      <c r="L835" s="468" t="s">
        <v>541</v>
      </c>
    </row>
    <row r="836" spans="1:12" x14ac:dyDescent="0.25">
      <c r="A836" s="485" t="s">
        <v>220</v>
      </c>
      <c r="B836" s="485" t="s">
        <v>588</v>
      </c>
      <c r="C836" s="485" t="s">
        <v>1723</v>
      </c>
      <c r="D836" s="485" t="s">
        <v>1724</v>
      </c>
      <c r="E836" s="485" t="s">
        <v>545</v>
      </c>
      <c r="F836" s="482">
        <v>1500</v>
      </c>
      <c r="G836" s="468">
        <v>0.2525</v>
      </c>
      <c r="H836" s="479">
        <v>378.75</v>
      </c>
      <c r="I836" s="480" t="s">
        <v>9009</v>
      </c>
      <c r="J836" s="468" t="s">
        <v>9015</v>
      </c>
      <c r="K836" s="468" t="s">
        <v>8996</v>
      </c>
      <c r="L836" s="468" t="s">
        <v>541</v>
      </c>
    </row>
    <row r="837" spans="1:12" x14ac:dyDescent="0.25">
      <c r="A837" s="485" t="s">
        <v>220</v>
      </c>
      <c r="B837" s="485" t="s">
        <v>588</v>
      </c>
      <c r="C837" s="485" t="s">
        <v>1725</v>
      </c>
      <c r="D837" s="485" t="s">
        <v>1726</v>
      </c>
      <c r="E837" s="485" t="s">
        <v>545</v>
      </c>
      <c r="F837" s="482">
        <v>1500</v>
      </c>
      <c r="G837" s="468">
        <v>0.43934999999999996</v>
      </c>
      <c r="H837" s="479">
        <v>659.02499999999998</v>
      </c>
      <c r="I837" s="480" t="s">
        <v>9009</v>
      </c>
      <c r="J837" s="468" t="s">
        <v>9015</v>
      </c>
      <c r="K837" s="468" t="s">
        <v>8996</v>
      </c>
      <c r="L837" s="468" t="s">
        <v>541</v>
      </c>
    </row>
    <row r="838" spans="1:12" x14ac:dyDescent="0.25">
      <c r="A838" s="485" t="s">
        <v>220</v>
      </c>
      <c r="B838" s="485" t="s">
        <v>588</v>
      </c>
      <c r="C838" s="485" t="s">
        <v>1727</v>
      </c>
      <c r="D838" s="485" t="s">
        <v>1728</v>
      </c>
      <c r="E838" s="485" t="s">
        <v>545</v>
      </c>
      <c r="F838" s="482">
        <v>2000</v>
      </c>
      <c r="G838" s="468">
        <v>0.42925000000000002</v>
      </c>
      <c r="H838" s="479">
        <v>858.5</v>
      </c>
      <c r="I838" s="480" t="s">
        <v>9009</v>
      </c>
      <c r="J838" s="468" t="s">
        <v>9015</v>
      </c>
      <c r="K838" s="468" t="s">
        <v>8996</v>
      </c>
      <c r="L838" s="468" t="s">
        <v>541</v>
      </c>
    </row>
    <row r="839" spans="1:12" x14ac:dyDescent="0.25">
      <c r="A839" s="485" t="s">
        <v>220</v>
      </c>
      <c r="B839" s="485" t="s">
        <v>588</v>
      </c>
      <c r="C839" s="485" t="s">
        <v>1729</v>
      </c>
      <c r="D839" s="485" t="s">
        <v>1730</v>
      </c>
      <c r="E839" s="485" t="s">
        <v>545</v>
      </c>
      <c r="F839" s="482">
        <v>2000</v>
      </c>
      <c r="G839" s="468">
        <v>0.42925000000000002</v>
      </c>
      <c r="H839" s="479">
        <v>858.5</v>
      </c>
      <c r="I839" s="480" t="s">
        <v>9009</v>
      </c>
      <c r="J839" s="468" t="s">
        <v>9015</v>
      </c>
      <c r="K839" s="468" t="s">
        <v>8996</v>
      </c>
      <c r="L839" s="468" t="s">
        <v>541</v>
      </c>
    </row>
    <row r="840" spans="1:12" x14ac:dyDescent="0.25">
      <c r="A840" s="485" t="s">
        <v>220</v>
      </c>
      <c r="B840" s="485" t="s">
        <v>588</v>
      </c>
      <c r="C840" s="485" t="s">
        <v>1731</v>
      </c>
      <c r="D840" s="485" t="s">
        <v>1732</v>
      </c>
      <c r="E840" s="485" t="s">
        <v>545</v>
      </c>
      <c r="F840" s="482">
        <v>1550</v>
      </c>
      <c r="G840" s="468">
        <v>0.42499999999999999</v>
      </c>
      <c r="H840" s="479">
        <v>658.75</v>
      </c>
      <c r="I840" s="480" t="s">
        <v>9009</v>
      </c>
      <c r="J840" s="468" t="s">
        <v>9015</v>
      </c>
      <c r="K840" s="468" t="s">
        <v>8996</v>
      </c>
      <c r="L840" s="468" t="s">
        <v>541</v>
      </c>
    </row>
    <row r="841" spans="1:12" x14ac:dyDescent="0.25">
      <c r="A841" s="485" t="s">
        <v>220</v>
      </c>
      <c r="B841" s="485" t="s">
        <v>588</v>
      </c>
      <c r="C841" s="485" t="s">
        <v>1733</v>
      </c>
      <c r="D841" s="485" t="s">
        <v>1734</v>
      </c>
      <c r="E841" s="485" t="s">
        <v>545</v>
      </c>
      <c r="F841" s="482">
        <v>1550</v>
      </c>
      <c r="G841" s="468">
        <v>0.42924999999999996</v>
      </c>
      <c r="H841" s="479">
        <v>665.33749999999998</v>
      </c>
      <c r="I841" s="480" t="s">
        <v>9009</v>
      </c>
      <c r="J841" s="468" t="s">
        <v>9015</v>
      </c>
      <c r="K841" s="468" t="s">
        <v>8996</v>
      </c>
      <c r="L841" s="468" t="s">
        <v>541</v>
      </c>
    </row>
    <row r="842" spans="1:12" x14ac:dyDescent="0.25">
      <c r="A842" s="485" t="s">
        <v>220</v>
      </c>
      <c r="B842" s="485" t="s">
        <v>588</v>
      </c>
      <c r="C842" s="485" t="s">
        <v>1735</v>
      </c>
      <c r="D842" s="485" t="s">
        <v>1736</v>
      </c>
      <c r="E842" s="485" t="s">
        <v>545</v>
      </c>
      <c r="F842" s="482">
        <v>1750</v>
      </c>
      <c r="G842" s="468">
        <v>0.47975000000000001</v>
      </c>
      <c r="H842" s="479">
        <v>839.5625</v>
      </c>
      <c r="I842" s="480" t="s">
        <v>9009</v>
      </c>
      <c r="J842" s="468" t="s">
        <v>9015</v>
      </c>
      <c r="K842" s="468" t="s">
        <v>8996</v>
      </c>
      <c r="L842" s="468" t="s">
        <v>541</v>
      </c>
    </row>
    <row r="843" spans="1:12" x14ac:dyDescent="0.25">
      <c r="A843" s="485" t="s">
        <v>220</v>
      </c>
      <c r="B843" s="485" t="s">
        <v>588</v>
      </c>
      <c r="C843" s="485" t="s">
        <v>1737</v>
      </c>
      <c r="D843" s="485" t="s">
        <v>1738</v>
      </c>
      <c r="E843" s="485" t="s">
        <v>545</v>
      </c>
      <c r="F843" s="482">
        <v>1500</v>
      </c>
      <c r="G843" s="468">
        <v>0.47975000000000001</v>
      </c>
      <c r="H843" s="479">
        <v>719.625</v>
      </c>
      <c r="I843" s="480" t="s">
        <v>9009</v>
      </c>
      <c r="J843" s="468" t="s">
        <v>9015</v>
      </c>
      <c r="K843" s="468" t="s">
        <v>8996</v>
      </c>
      <c r="L843" s="468" t="s">
        <v>541</v>
      </c>
    </row>
    <row r="844" spans="1:12" x14ac:dyDescent="0.25">
      <c r="A844" s="485" t="s">
        <v>220</v>
      </c>
      <c r="B844" s="485" t="s">
        <v>588</v>
      </c>
      <c r="C844" s="485" t="s">
        <v>1739</v>
      </c>
      <c r="D844" s="485" t="s">
        <v>1740</v>
      </c>
      <c r="E844" s="485" t="s">
        <v>545</v>
      </c>
      <c r="F844" s="482">
        <v>2250</v>
      </c>
      <c r="G844" s="468">
        <v>0.47975000000000001</v>
      </c>
      <c r="H844" s="479">
        <v>1079.4375</v>
      </c>
      <c r="I844" s="480" t="s">
        <v>9009</v>
      </c>
      <c r="J844" s="468" t="s">
        <v>9015</v>
      </c>
      <c r="K844" s="468" t="s">
        <v>8996</v>
      </c>
      <c r="L844" s="468" t="s">
        <v>541</v>
      </c>
    </row>
    <row r="845" spans="1:12" x14ac:dyDescent="0.25">
      <c r="A845" s="485" t="s">
        <v>220</v>
      </c>
      <c r="B845" s="485" t="s">
        <v>588</v>
      </c>
      <c r="C845" s="485" t="s">
        <v>1741</v>
      </c>
      <c r="D845" s="485" t="s">
        <v>1742</v>
      </c>
      <c r="E845" s="485" t="s">
        <v>545</v>
      </c>
      <c r="F845" s="482">
        <v>2000</v>
      </c>
      <c r="G845" s="468">
        <v>0.47975000000000001</v>
      </c>
      <c r="H845" s="479">
        <v>959.5</v>
      </c>
      <c r="I845" s="480" t="s">
        <v>9009</v>
      </c>
      <c r="J845" s="468" t="s">
        <v>9015</v>
      </c>
      <c r="K845" s="468" t="s">
        <v>8996</v>
      </c>
      <c r="L845" s="468" t="s">
        <v>541</v>
      </c>
    </row>
    <row r="846" spans="1:12" x14ac:dyDescent="0.25">
      <c r="A846" s="485" t="s">
        <v>220</v>
      </c>
      <c r="B846" s="485" t="s">
        <v>588</v>
      </c>
      <c r="C846" s="485" t="s">
        <v>1743</v>
      </c>
      <c r="D846" s="485" t="s">
        <v>1744</v>
      </c>
      <c r="E846" s="485" t="s">
        <v>545</v>
      </c>
      <c r="F846" s="482">
        <v>3500</v>
      </c>
      <c r="G846" s="468">
        <v>0.60398000000000007</v>
      </c>
      <c r="H846" s="479">
        <v>2113.9300000000003</v>
      </c>
      <c r="I846" s="480" t="s">
        <v>9009</v>
      </c>
      <c r="J846" s="468" t="s">
        <v>9015</v>
      </c>
      <c r="K846" s="468" t="s">
        <v>8996</v>
      </c>
      <c r="L846" s="468" t="s">
        <v>541</v>
      </c>
    </row>
    <row r="847" spans="1:12" x14ac:dyDescent="0.25">
      <c r="A847" s="485" t="s">
        <v>220</v>
      </c>
      <c r="B847" s="485" t="s">
        <v>588</v>
      </c>
      <c r="C847" s="485" t="s">
        <v>1745</v>
      </c>
      <c r="D847" s="485" t="s">
        <v>1746</v>
      </c>
      <c r="E847" s="485" t="s">
        <v>545</v>
      </c>
      <c r="F847" s="482">
        <v>3500</v>
      </c>
      <c r="G847" s="468">
        <v>0.61609999999999998</v>
      </c>
      <c r="H847" s="479">
        <v>2156.35</v>
      </c>
      <c r="I847" s="480" t="s">
        <v>9009</v>
      </c>
      <c r="J847" s="468" t="s">
        <v>9015</v>
      </c>
      <c r="K847" s="468" t="s">
        <v>8996</v>
      </c>
      <c r="L847" s="468" t="s">
        <v>541</v>
      </c>
    </row>
    <row r="848" spans="1:12" x14ac:dyDescent="0.25">
      <c r="A848" s="485" t="s">
        <v>220</v>
      </c>
      <c r="B848" s="485" t="s">
        <v>588</v>
      </c>
      <c r="C848" s="485" t="s">
        <v>1747</v>
      </c>
      <c r="D848" s="485" t="s">
        <v>1748</v>
      </c>
      <c r="E848" s="485" t="s">
        <v>545</v>
      </c>
      <c r="F848" s="482">
        <v>1500</v>
      </c>
      <c r="G848" s="468">
        <v>0.61609999999999998</v>
      </c>
      <c r="H848" s="479">
        <v>924.15</v>
      </c>
      <c r="I848" s="480" t="s">
        <v>9009</v>
      </c>
      <c r="J848" s="468" t="s">
        <v>9015</v>
      </c>
      <c r="K848" s="468" t="s">
        <v>8996</v>
      </c>
      <c r="L848" s="468" t="s">
        <v>541</v>
      </c>
    </row>
    <row r="849" spans="1:12" x14ac:dyDescent="0.25">
      <c r="A849" s="485" t="s">
        <v>220</v>
      </c>
      <c r="B849" s="485" t="s">
        <v>588</v>
      </c>
      <c r="C849" s="485" t="s">
        <v>1749</v>
      </c>
      <c r="D849" s="485" t="s">
        <v>1750</v>
      </c>
      <c r="E849" s="485" t="s">
        <v>545</v>
      </c>
      <c r="F849" s="482">
        <v>2000</v>
      </c>
      <c r="G849" s="468">
        <v>0.66154999999999997</v>
      </c>
      <c r="H849" s="479">
        <v>1323.1</v>
      </c>
      <c r="I849" s="480" t="s">
        <v>9009</v>
      </c>
      <c r="J849" s="468" t="s">
        <v>9015</v>
      </c>
      <c r="K849" s="468" t="s">
        <v>8996</v>
      </c>
      <c r="L849" s="468" t="s">
        <v>541</v>
      </c>
    </row>
    <row r="850" spans="1:12" x14ac:dyDescent="0.25">
      <c r="A850" s="485" t="s">
        <v>220</v>
      </c>
      <c r="B850" s="485" t="s">
        <v>588</v>
      </c>
      <c r="C850" s="485" t="s">
        <v>1751</v>
      </c>
      <c r="D850" s="485" t="s">
        <v>1752</v>
      </c>
      <c r="E850" s="485" t="s">
        <v>545</v>
      </c>
      <c r="F850" s="482">
        <v>500</v>
      </c>
      <c r="G850" s="468">
        <v>0.66155000000000008</v>
      </c>
      <c r="H850" s="479">
        <v>330.77500000000003</v>
      </c>
      <c r="I850" s="480" t="s">
        <v>9009</v>
      </c>
      <c r="J850" s="468" t="s">
        <v>9015</v>
      </c>
      <c r="K850" s="468" t="s">
        <v>8996</v>
      </c>
      <c r="L850" s="468" t="s">
        <v>541</v>
      </c>
    </row>
    <row r="851" spans="1:12" x14ac:dyDescent="0.25">
      <c r="A851" s="485" t="s">
        <v>220</v>
      </c>
      <c r="B851" s="485" t="s">
        <v>588</v>
      </c>
      <c r="C851" s="485" t="s">
        <v>1753</v>
      </c>
      <c r="D851" s="485" t="s">
        <v>1754</v>
      </c>
      <c r="E851" s="485" t="s">
        <v>545</v>
      </c>
      <c r="F851" s="482">
        <v>1500</v>
      </c>
      <c r="G851" s="468">
        <v>0.70194999999999996</v>
      </c>
      <c r="H851" s="479">
        <v>1052.925</v>
      </c>
      <c r="I851" s="480" t="s">
        <v>9009</v>
      </c>
      <c r="J851" s="468" t="s">
        <v>9015</v>
      </c>
      <c r="K851" s="468" t="s">
        <v>8996</v>
      </c>
      <c r="L851" s="468" t="s">
        <v>541</v>
      </c>
    </row>
    <row r="852" spans="1:12" x14ac:dyDescent="0.25">
      <c r="A852" s="485" t="s">
        <v>220</v>
      </c>
      <c r="B852" s="485" t="s">
        <v>588</v>
      </c>
      <c r="C852" s="485" t="s">
        <v>1755</v>
      </c>
      <c r="D852" s="485" t="s">
        <v>1756</v>
      </c>
      <c r="E852" s="485" t="s">
        <v>545</v>
      </c>
      <c r="F852" s="482">
        <v>1500</v>
      </c>
      <c r="G852" s="468">
        <v>0.70194999999999996</v>
      </c>
      <c r="H852" s="479">
        <v>1052.925</v>
      </c>
      <c r="I852" s="480" t="s">
        <v>9009</v>
      </c>
      <c r="J852" s="468" t="s">
        <v>9015</v>
      </c>
      <c r="K852" s="468" t="s">
        <v>8996</v>
      </c>
      <c r="L852" s="468" t="s">
        <v>541</v>
      </c>
    </row>
    <row r="853" spans="1:12" x14ac:dyDescent="0.25">
      <c r="A853" s="485" t="s">
        <v>220</v>
      </c>
      <c r="B853" s="485" t="s">
        <v>588</v>
      </c>
      <c r="C853" s="485" t="s">
        <v>1757</v>
      </c>
      <c r="D853" s="485" t="s">
        <v>1758</v>
      </c>
      <c r="E853" s="485" t="s">
        <v>545</v>
      </c>
      <c r="F853" s="482">
        <v>1500</v>
      </c>
      <c r="G853" s="468">
        <v>0.70194999999999996</v>
      </c>
      <c r="H853" s="479">
        <v>1052.925</v>
      </c>
      <c r="I853" s="480" t="s">
        <v>9009</v>
      </c>
      <c r="J853" s="468" t="s">
        <v>9015</v>
      </c>
      <c r="K853" s="468" t="s">
        <v>8996</v>
      </c>
      <c r="L853" s="468" t="s">
        <v>541</v>
      </c>
    </row>
    <row r="854" spans="1:12" x14ac:dyDescent="0.25">
      <c r="A854" s="485" t="s">
        <v>220</v>
      </c>
      <c r="B854" s="485" t="s">
        <v>588</v>
      </c>
      <c r="C854" s="485" t="s">
        <v>1759</v>
      </c>
      <c r="D854" s="485" t="s">
        <v>1760</v>
      </c>
      <c r="E854" s="485" t="s">
        <v>545</v>
      </c>
      <c r="F854" s="482">
        <v>7500</v>
      </c>
      <c r="G854" s="468">
        <v>0.3076781762451164</v>
      </c>
      <c r="H854" s="479">
        <v>2307.5863218383729</v>
      </c>
      <c r="I854" s="480" t="s">
        <v>9009</v>
      </c>
      <c r="J854" s="468" t="s">
        <v>9015</v>
      </c>
      <c r="K854" s="468" t="s">
        <v>8996</v>
      </c>
      <c r="L854" s="468" t="s">
        <v>541</v>
      </c>
    </row>
    <row r="855" spans="1:12" x14ac:dyDescent="0.25">
      <c r="A855" s="485" t="s">
        <v>220</v>
      </c>
      <c r="B855" s="485" t="s">
        <v>588</v>
      </c>
      <c r="C855" s="485" t="s">
        <v>1761</v>
      </c>
      <c r="D855" s="485" t="s">
        <v>1762</v>
      </c>
      <c r="E855" s="485" t="s">
        <v>545</v>
      </c>
      <c r="F855" s="482">
        <v>10000</v>
      </c>
      <c r="G855" s="468">
        <v>0.480290245331912</v>
      </c>
      <c r="H855" s="479">
        <v>4802.9024533191205</v>
      </c>
      <c r="I855" s="480" t="s">
        <v>9009</v>
      </c>
      <c r="J855" s="468" t="s">
        <v>9015</v>
      </c>
      <c r="K855" s="468" t="s">
        <v>8996</v>
      </c>
      <c r="L855" s="468" t="s">
        <v>541</v>
      </c>
    </row>
    <row r="856" spans="1:12" x14ac:dyDescent="0.25">
      <c r="A856" s="485" t="s">
        <v>220</v>
      </c>
      <c r="B856" s="485" t="s">
        <v>588</v>
      </c>
      <c r="C856" s="485" t="s">
        <v>1763</v>
      </c>
      <c r="D856" s="485" t="s">
        <v>1764</v>
      </c>
      <c r="E856" s="485" t="s">
        <v>545</v>
      </c>
      <c r="F856" s="482">
        <v>7750</v>
      </c>
      <c r="G856" s="468">
        <v>0.48134959417034645</v>
      </c>
      <c r="H856" s="479">
        <v>3730.4593548201851</v>
      </c>
      <c r="I856" s="480" t="s">
        <v>9009</v>
      </c>
      <c r="J856" s="468" t="s">
        <v>9015</v>
      </c>
      <c r="K856" s="468" t="s">
        <v>8996</v>
      </c>
      <c r="L856" s="468" t="s">
        <v>541</v>
      </c>
    </row>
    <row r="857" spans="1:12" x14ac:dyDescent="0.25">
      <c r="A857" s="485" t="s">
        <v>220</v>
      </c>
      <c r="B857" s="485" t="s">
        <v>588</v>
      </c>
      <c r="C857" s="485" t="s">
        <v>1765</v>
      </c>
      <c r="D857" s="485" t="s">
        <v>1766</v>
      </c>
      <c r="E857" s="485" t="s">
        <v>545</v>
      </c>
      <c r="F857" s="482">
        <v>8500</v>
      </c>
      <c r="G857" s="468">
        <v>0.5252</v>
      </c>
      <c r="H857" s="479">
        <v>4464.2</v>
      </c>
      <c r="I857" s="480" t="s">
        <v>9009</v>
      </c>
      <c r="J857" s="468" t="s">
        <v>9015</v>
      </c>
      <c r="K857" s="468" t="s">
        <v>8996</v>
      </c>
      <c r="L857" s="468" t="s">
        <v>541</v>
      </c>
    </row>
    <row r="858" spans="1:12" x14ac:dyDescent="0.25">
      <c r="A858" s="485" t="s">
        <v>220</v>
      </c>
      <c r="B858" s="485" t="s">
        <v>588</v>
      </c>
      <c r="C858" s="485" t="s">
        <v>1767</v>
      </c>
      <c r="D858" s="485" t="s">
        <v>1768</v>
      </c>
      <c r="E858" s="485" t="s">
        <v>545</v>
      </c>
      <c r="F858" s="482">
        <v>7800</v>
      </c>
      <c r="G858" s="468">
        <v>0.51541355407119638</v>
      </c>
      <c r="H858" s="479">
        <v>4020.225721755332</v>
      </c>
      <c r="I858" s="480" t="s">
        <v>9009</v>
      </c>
      <c r="J858" s="468" t="s">
        <v>9015</v>
      </c>
      <c r="K858" s="468" t="s">
        <v>8996</v>
      </c>
      <c r="L858" s="468" t="s">
        <v>541</v>
      </c>
    </row>
    <row r="859" spans="1:12" x14ac:dyDescent="0.25">
      <c r="A859" s="485" t="s">
        <v>220</v>
      </c>
      <c r="B859" s="485" t="s">
        <v>588</v>
      </c>
      <c r="C859" s="485" t="s">
        <v>1769</v>
      </c>
      <c r="D859" s="485" t="s">
        <v>1770</v>
      </c>
      <c r="E859" s="485" t="s">
        <v>545</v>
      </c>
      <c r="F859" s="482">
        <v>9200</v>
      </c>
      <c r="G859" s="468">
        <v>0.68175000000000008</v>
      </c>
      <c r="H859" s="479">
        <v>6272.1</v>
      </c>
      <c r="I859" s="480" t="s">
        <v>9009</v>
      </c>
      <c r="J859" s="468" t="s">
        <v>9015</v>
      </c>
      <c r="K859" s="468" t="s">
        <v>8996</v>
      </c>
      <c r="L859" s="468" t="s">
        <v>541</v>
      </c>
    </row>
    <row r="860" spans="1:12" x14ac:dyDescent="0.25">
      <c r="A860" s="485" t="s">
        <v>220</v>
      </c>
      <c r="B860" s="485" t="s">
        <v>588</v>
      </c>
      <c r="C860" s="485" t="s">
        <v>1771</v>
      </c>
      <c r="D860" s="485" t="s">
        <v>9148</v>
      </c>
      <c r="E860" s="485" t="s">
        <v>545</v>
      </c>
      <c r="F860" s="482">
        <v>5300</v>
      </c>
      <c r="G860" s="468">
        <v>0.39895000000000003</v>
      </c>
      <c r="H860" s="479">
        <v>2114.4349999999999</v>
      </c>
      <c r="I860" s="480" t="s">
        <v>9009</v>
      </c>
      <c r="J860" s="468" t="s">
        <v>9015</v>
      </c>
      <c r="K860" s="468" t="s">
        <v>8996</v>
      </c>
      <c r="L860" s="468" t="s">
        <v>541</v>
      </c>
    </row>
    <row r="861" spans="1:12" x14ac:dyDescent="0.25">
      <c r="A861" s="485" t="s">
        <v>220</v>
      </c>
      <c r="B861" s="485" t="s">
        <v>588</v>
      </c>
      <c r="C861" s="485" t="s">
        <v>1773</v>
      </c>
      <c r="D861" s="485" t="s">
        <v>1774</v>
      </c>
      <c r="E861" s="485" t="s">
        <v>545</v>
      </c>
      <c r="F861" s="482">
        <v>6498</v>
      </c>
      <c r="G861" s="468">
        <v>0.47469999999999996</v>
      </c>
      <c r="H861" s="479">
        <v>3084.6005999999998</v>
      </c>
      <c r="I861" s="480" t="s">
        <v>9009</v>
      </c>
      <c r="J861" s="468" t="s">
        <v>9015</v>
      </c>
      <c r="K861" s="468" t="s">
        <v>8996</v>
      </c>
      <c r="L861" s="468" t="s">
        <v>541</v>
      </c>
    </row>
    <row r="862" spans="1:12" x14ac:dyDescent="0.25">
      <c r="A862" s="485" t="s">
        <v>220</v>
      </c>
      <c r="B862" s="485" t="s">
        <v>588</v>
      </c>
      <c r="C862" s="485" t="s">
        <v>1775</v>
      </c>
      <c r="D862" s="485" t="s">
        <v>1776</v>
      </c>
      <c r="E862" s="485" t="s">
        <v>545</v>
      </c>
      <c r="F862" s="482">
        <v>2730</v>
      </c>
      <c r="G862" s="468">
        <v>0.505</v>
      </c>
      <c r="H862" s="479">
        <v>1378.65</v>
      </c>
      <c r="I862" s="480" t="s">
        <v>9009</v>
      </c>
      <c r="J862" s="468" t="s">
        <v>9015</v>
      </c>
      <c r="K862" s="468" t="s">
        <v>8996</v>
      </c>
      <c r="L862" s="468" t="s">
        <v>541</v>
      </c>
    </row>
    <row r="863" spans="1:12" x14ac:dyDescent="0.25">
      <c r="A863" s="485" t="s">
        <v>220</v>
      </c>
      <c r="B863" s="485" t="s">
        <v>588</v>
      </c>
      <c r="C863" s="485" t="s">
        <v>1777</v>
      </c>
      <c r="D863" s="485" t="s">
        <v>1778</v>
      </c>
      <c r="E863" s="485" t="s">
        <v>545</v>
      </c>
      <c r="F863" s="482">
        <v>6930</v>
      </c>
      <c r="G863" s="468">
        <v>0.57569999999999999</v>
      </c>
      <c r="H863" s="479">
        <v>3989.6010000000001</v>
      </c>
      <c r="I863" s="480" t="s">
        <v>9009</v>
      </c>
      <c r="J863" s="468" t="s">
        <v>9015</v>
      </c>
      <c r="K863" s="468" t="s">
        <v>8996</v>
      </c>
      <c r="L863" s="468" t="s">
        <v>541</v>
      </c>
    </row>
    <row r="864" spans="1:12" x14ac:dyDescent="0.25">
      <c r="A864" s="485" t="s">
        <v>220</v>
      </c>
      <c r="B864" s="485" t="s">
        <v>588</v>
      </c>
      <c r="C864" s="485" t="s">
        <v>1779</v>
      </c>
      <c r="D864" s="485" t="s">
        <v>1780</v>
      </c>
      <c r="E864" s="485" t="s">
        <v>545</v>
      </c>
      <c r="F864" s="482">
        <v>2645</v>
      </c>
      <c r="G864" s="468">
        <v>0.55044999999999999</v>
      </c>
      <c r="H864" s="479">
        <v>1455.9402499999999</v>
      </c>
      <c r="I864" s="480" t="s">
        <v>9009</v>
      </c>
      <c r="J864" s="468" t="s">
        <v>9015</v>
      </c>
      <c r="K864" s="468" t="s">
        <v>8996</v>
      </c>
      <c r="L864" s="468" t="s">
        <v>541</v>
      </c>
    </row>
    <row r="865" spans="1:12" x14ac:dyDescent="0.25">
      <c r="A865" s="485" t="s">
        <v>220</v>
      </c>
      <c r="B865" s="485" t="s">
        <v>588</v>
      </c>
      <c r="C865" s="485" t="s">
        <v>1781</v>
      </c>
      <c r="D865" s="485" t="s">
        <v>1782</v>
      </c>
      <c r="E865" s="485" t="s">
        <v>545</v>
      </c>
      <c r="F865" s="482">
        <v>3835</v>
      </c>
      <c r="G865" s="468">
        <v>0.68679999999999997</v>
      </c>
      <c r="H865" s="479">
        <v>2633.8779999999997</v>
      </c>
      <c r="I865" s="480" t="s">
        <v>9009</v>
      </c>
      <c r="J865" s="468" t="s">
        <v>9015</v>
      </c>
      <c r="K865" s="468" t="s">
        <v>8996</v>
      </c>
      <c r="L865" s="468" t="s">
        <v>541</v>
      </c>
    </row>
    <row r="866" spans="1:12" x14ac:dyDescent="0.25">
      <c r="A866" s="485" t="s">
        <v>220</v>
      </c>
      <c r="B866" s="485" t="s">
        <v>588</v>
      </c>
      <c r="C866" s="485" t="s">
        <v>1783</v>
      </c>
      <c r="D866" s="485" t="s">
        <v>1784</v>
      </c>
      <c r="E866" s="485" t="s">
        <v>545</v>
      </c>
      <c r="F866" s="482">
        <v>2080</v>
      </c>
      <c r="G866" s="468">
        <v>0.22219999999999998</v>
      </c>
      <c r="H866" s="479">
        <v>462.17599999999999</v>
      </c>
      <c r="I866" s="480" t="s">
        <v>9009</v>
      </c>
      <c r="J866" s="468" t="s">
        <v>9015</v>
      </c>
      <c r="K866" s="468" t="s">
        <v>8996</v>
      </c>
      <c r="L866" s="468" t="s">
        <v>541</v>
      </c>
    </row>
    <row r="867" spans="1:12" x14ac:dyDescent="0.25">
      <c r="A867" s="485" t="s">
        <v>220</v>
      </c>
      <c r="B867" s="485" t="s">
        <v>588</v>
      </c>
      <c r="C867" s="485" t="s">
        <v>1785</v>
      </c>
      <c r="D867" s="485" t="s">
        <v>1786</v>
      </c>
      <c r="E867" s="485" t="s">
        <v>545</v>
      </c>
      <c r="F867" s="482">
        <v>2860</v>
      </c>
      <c r="G867" s="468">
        <v>0.38380000000000003</v>
      </c>
      <c r="H867" s="479">
        <v>1097.6680000000001</v>
      </c>
      <c r="I867" s="480" t="s">
        <v>9009</v>
      </c>
      <c r="J867" s="468" t="s">
        <v>9015</v>
      </c>
      <c r="K867" s="468" t="s">
        <v>8996</v>
      </c>
      <c r="L867" s="468" t="s">
        <v>541</v>
      </c>
    </row>
    <row r="868" spans="1:12" x14ac:dyDescent="0.25">
      <c r="A868" s="485" t="s">
        <v>220</v>
      </c>
      <c r="B868" s="485" t="s">
        <v>588</v>
      </c>
      <c r="C868" s="485" t="s">
        <v>1787</v>
      </c>
      <c r="D868" s="485" t="s">
        <v>1788</v>
      </c>
      <c r="E868" s="485" t="s">
        <v>545</v>
      </c>
      <c r="F868" s="482">
        <v>3480</v>
      </c>
      <c r="G868" s="468">
        <v>0.38379999999999992</v>
      </c>
      <c r="H868" s="479">
        <v>1335.6239999999998</v>
      </c>
      <c r="I868" s="480" t="s">
        <v>9009</v>
      </c>
      <c r="J868" s="468" t="s">
        <v>9015</v>
      </c>
      <c r="K868" s="468" t="s">
        <v>8996</v>
      </c>
      <c r="L868" s="468" t="s">
        <v>541</v>
      </c>
    </row>
    <row r="869" spans="1:12" x14ac:dyDescent="0.25">
      <c r="A869" s="485" t="s">
        <v>220</v>
      </c>
      <c r="B869" s="485" t="s">
        <v>588</v>
      </c>
      <c r="C869" s="485" t="s">
        <v>9149</v>
      </c>
      <c r="D869" s="485" t="s">
        <v>9150</v>
      </c>
      <c r="E869" s="485" t="s">
        <v>545</v>
      </c>
      <c r="F869" s="482">
        <v>500</v>
      </c>
      <c r="G869" s="468">
        <v>0.22220000000000001</v>
      </c>
      <c r="H869" s="479">
        <v>111.10000000000001</v>
      </c>
      <c r="I869" s="480" t="s">
        <v>9009</v>
      </c>
      <c r="J869" s="468" t="s">
        <v>9015</v>
      </c>
      <c r="K869" s="468" t="s">
        <v>8996</v>
      </c>
      <c r="L869" s="468" t="s">
        <v>541</v>
      </c>
    </row>
    <row r="870" spans="1:12" x14ac:dyDescent="0.25">
      <c r="A870" s="485" t="s">
        <v>220</v>
      </c>
      <c r="B870" s="485" t="s">
        <v>588</v>
      </c>
      <c r="C870" s="485" t="s">
        <v>9151</v>
      </c>
      <c r="D870" s="485" t="s">
        <v>9152</v>
      </c>
      <c r="E870" s="485" t="s">
        <v>545</v>
      </c>
      <c r="F870" s="482">
        <v>500</v>
      </c>
      <c r="G870" s="468">
        <v>0.30804999999999999</v>
      </c>
      <c r="H870" s="479">
        <v>154.02500000000001</v>
      </c>
      <c r="I870" s="480" t="s">
        <v>9009</v>
      </c>
      <c r="J870" s="468" t="s">
        <v>9015</v>
      </c>
      <c r="K870" s="468" t="s">
        <v>8996</v>
      </c>
      <c r="L870" s="468" t="s">
        <v>541</v>
      </c>
    </row>
    <row r="871" spans="1:12" x14ac:dyDescent="0.25">
      <c r="A871" s="485" t="s">
        <v>220</v>
      </c>
      <c r="B871" s="485" t="s">
        <v>588</v>
      </c>
      <c r="C871" s="485" t="s">
        <v>9153</v>
      </c>
      <c r="D871" s="485" t="s">
        <v>9154</v>
      </c>
      <c r="E871" s="485" t="s">
        <v>545</v>
      </c>
      <c r="F871" s="482">
        <v>500</v>
      </c>
      <c r="G871" s="468">
        <v>0.30804999999999999</v>
      </c>
      <c r="H871" s="479">
        <v>154.02500000000001</v>
      </c>
      <c r="I871" s="480" t="s">
        <v>9009</v>
      </c>
      <c r="J871" s="468" t="s">
        <v>9015</v>
      </c>
      <c r="K871" s="468" t="s">
        <v>8996</v>
      </c>
      <c r="L871" s="468" t="s">
        <v>541</v>
      </c>
    </row>
    <row r="872" spans="1:12" x14ac:dyDescent="0.25">
      <c r="A872" s="485" t="s">
        <v>220</v>
      </c>
      <c r="B872" s="485" t="s">
        <v>588</v>
      </c>
      <c r="C872" s="485" t="s">
        <v>9155</v>
      </c>
      <c r="D872" s="485" t="s">
        <v>9156</v>
      </c>
      <c r="E872" s="485" t="s">
        <v>545</v>
      </c>
      <c r="F872" s="482">
        <v>500</v>
      </c>
      <c r="G872" s="468">
        <v>0.30804999999999999</v>
      </c>
      <c r="H872" s="479">
        <v>154.02500000000001</v>
      </c>
      <c r="I872" s="480" t="s">
        <v>9009</v>
      </c>
      <c r="J872" s="468" t="s">
        <v>9015</v>
      </c>
      <c r="K872" s="468" t="s">
        <v>8996</v>
      </c>
      <c r="L872" s="468" t="s">
        <v>541</v>
      </c>
    </row>
    <row r="873" spans="1:12" x14ac:dyDescent="0.25">
      <c r="A873" s="485" t="s">
        <v>220</v>
      </c>
      <c r="B873" s="485" t="s">
        <v>588</v>
      </c>
      <c r="C873" s="485" t="s">
        <v>9157</v>
      </c>
      <c r="D873" s="485" t="s">
        <v>9158</v>
      </c>
      <c r="E873" s="485" t="s">
        <v>545</v>
      </c>
      <c r="F873" s="482">
        <v>1250</v>
      </c>
      <c r="G873" s="468">
        <v>0.30804999999999999</v>
      </c>
      <c r="H873" s="479">
        <v>385.0625</v>
      </c>
      <c r="I873" s="480" t="s">
        <v>9009</v>
      </c>
      <c r="J873" s="468" t="s">
        <v>9015</v>
      </c>
      <c r="K873" s="468" t="s">
        <v>8996</v>
      </c>
      <c r="L873" s="468" t="s">
        <v>541</v>
      </c>
    </row>
    <row r="874" spans="1:12" x14ac:dyDescent="0.25">
      <c r="A874" s="485" t="s">
        <v>220</v>
      </c>
      <c r="B874" s="485" t="s">
        <v>588</v>
      </c>
      <c r="C874" s="485" t="s">
        <v>9159</v>
      </c>
      <c r="D874" s="485" t="s">
        <v>9160</v>
      </c>
      <c r="E874" s="485" t="s">
        <v>545</v>
      </c>
      <c r="F874" s="482">
        <v>1250</v>
      </c>
      <c r="G874" s="468">
        <v>0.30804999999999999</v>
      </c>
      <c r="H874" s="479">
        <v>385.0625</v>
      </c>
      <c r="I874" s="480" t="s">
        <v>9009</v>
      </c>
      <c r="J874" s="468" t="s">
        <v>9015</v>
      </c>
      <c r="K874" s="468" t="s">
        <v>8996</v>
      </c>
      <c r="L874" s="468" t="s">
        <v>541</v>
      </c>
    </row>
    <row r="875" spans="1:12" x14ac:dyDescent="0.25">
      <c r="A875" s="485" t="s">
        <v>220</v>
      </c>
      <c r="B875" s="485" t="s">
        <v>588</v>
      </c>
      <c r="C875" s="485" t="s">
        <v>9161</v>
      </c>
      <c r="D875" s="485" t="s">
        <v>9162</v>
      </c>
      <c r="E875" s="485" t="s">
        <v>545</v>
      </c>
      <c r="F875" s="482">
        <v>1000</v>
      </c>
      <c r="G875" s="468">
        <v>0.30804999999999999</v>
      </c>
      <c r="H875" s="479">
        <v>308.05</v>
      </c>
      <c r="I875" s="480" t="s">
        <v>9009</v>
      </c>
      <c r="J875" s="468" t="s">
        <v>9015</v>
      </c>
      <c r="K875" s="468" t="s">
        <v>8996</v>
      </c>
      <c r="L875" s="468" t="s">
        <v>541</v>
      </c>
    </row>
    <row r="876" spans="1:12" x14ac:dyDescent="0.25">
      <c r="A876" s="485" t="s">
        <v>220</v>
      </c>
      <c r="B876" s="485" t="s">
        <v>588</v>
      </c>
      <c r="C876" s="485" t="s">
        <v>9163</v>
      </c>
      <c r="D876" s="485" t="s">
        <v>9164</v>
      </c>
      <c r="E876" s="485" t="s">
        <v>545</v>
      </c>
      <c r="F876" s="482">
        <v>1000</v>
      </c>
      <c r="G876" s="468">
        <v>0.30804999999999999</v>
      </c>
      <c r="H876" s="479">
        <v>308.05</v>
      </c>
      <c r="I876" s="480" t="s">
        <v>9009</v>
      </c>
      <c r="J876" s="468" t="s">
        <v>9015</v>
      </c>
      <c r="K876" s="468" t="s">
        <v>8996</v>
      </c>
      <c r="L876" s="468" t="s">
        <v>541</v>
      </c>
    </row>
    <row r="877" spans="1:12" x14ac:dyDescent="0.25">
      <c r="A877" s="485" t="s">
        <v>220</v>
      </c>
      <c r="B877" s="485" t="s">
        <v>588</v>
      </c>
      <c r="C877" s="485" t="s">
        <v>9165</v>
      </c>
      <c r="D877" s="485" t="s">
        <v>9166</v>
      </c>
      <c r="E877" s="485" t="s">
        <v>545</v>
      </c>
      <c r="F877" s="482">
        <v>1000</v>
      </c>
      <c r="G877" s="468">
        <v>0.35349999999999998</v>
      </c>
      <c r="H877" s="479">
        <v>353.5</v>
      </c>
      <c r="I877" s="480" t="s">
        <v>9009</v>
      </c>
      <c r="J877" s="468" t="s">
        <v>9015</v>
      </c>
      <c r="K877" s="468" t="s">
        <v>8996</v>
      </c>
      <c r="L877" s="468" t="s">
        <v>541</v>
      </c>
    </row>
    <row r="878" spans="1:12" x14ac:dyDescent="0.25">
      <c r="A878" s="485" t="s">
        <v>220</v>
      </c>
      <c r="B878" s="485" t="s">
        <v>588</v>
      </c>
      <c r="C878" s="485" t="s">
        <v>9167</v>
      </c>
      <c r="D878" s="485" t="s">
        <v>9168</v>
      </c>
      <c r="E878" s="485" t="s">
        <v>545</v>
      </c>
      <c r="F878" s="482">
        <v>1000</v>
      </c>
      <c r="G878" s="468">
        <v>0.35349999999999998</v>
      </c>
      <c r="H878" s="479">
        <v>353.5</v>
      </c>
      <c r="I878" s="480" t="s">
        <v>9009</v>
      </c>
      <c r="J878" s="468" t="s">
        <v>9015</v>
      </c>
      <c r="K878" s="468" t="s">
        <v>8996</v>
      </c>
      <c r="L878" s="468" t="s">
        <v>541</v>
      </c>
    </row>
    <row r="879" spans="1:12" x14ac:dyDescent="0.25">
      <c r="A879" s="485" t="s">
        <v>220</v>
      </c>
      <c r="B879" s="485" t="s">
        <v>588</v>
      </c>
      <c r="C879" s="485" t="s">
        <v>9169</v>
      </c>
      <c r="D879" s="485" t="s">
        <v>9170</v>
      </c>
      <c r="E879" s="485" t="s">
        <v>545</v>
      </c>
      <c r="F879" s="482">
        <v>500</v>
      </c>
      <c r="G879" s="468">
        <v>0.48985000000000001</v>
      </c>
      <c r="H879" s="479">
        <v>244.92500000000001</v>
      </c>
      <c r="I879" s="480" t="s">
        <v>9009</v>
      </c>
      <c r="J879" s="468" t="s">
        <v>9015</v>
      </c>
      <c r="K879" s="468" t="s">
        <v>8996</v>
      </c>
      <c r="L879" s="468" t="s">
        <v>541</v>
      </c>
    </row>
    <row r="880" spans="1:12" x14ac:dyDescent="0.25">
      <c r="A880" s="485" t="s">
        <v>220</v>
      </c>
      <c r="B880" s="485" t="s">
        <v>588</v>
      </c>
      <c r="C880" s="485" t="s">
        <v>9171</v>
      </c>
      <c r="D880" s="485" t="s">
        <v>9172</v>
      </c>
      <c r="E880" s="485" t="s">
        <v>545</v>
      </c>
      <c r="F880" s="482">
        <v>2200</v>
      </c>
      <c r="G880" s="468">
        <v>0.48985000000000001</v>
      </c>
      <c r="H880" s="479">
        <v>1077.67</v>
      </c>
      <c r="I880" s="480" t="s">
        <v>9009</v>
      </c>
      <c r="J880" s="468" t="s">
        <v>9015</v>
      </c>
      <c r="K880" s="468" t="s">
        <v>8996</v>
      </c>
      <c r="L880" s="468" t="s">
        <v>541</v>
      </c>
    </row>
    <row r="881" spans="1:12" x14ac:dyDescent="0.25">
      <c r="A881" s="485" t="s">
        <v>220</v>
      </c>
      <c r="B881" s="485" t="s">
        <v>588</v>
      </c>
      <c r="C881" s="485" t="s">
        <v>9173</v>
      </c>
      <c r="D881" s="485" t="s">
        <v>9174</v>
      </c>
      <c r="E881" s="485" t="s">
        <v>545</v>
      </c>
      <c r="F881" s="482">
        <v>20</v>
      </c>
      <c r="G881" s="468">
        <v>1.212</v>
      </c>
      <c r="H881" s="479">
        <v>24.24</v>
      </c>
      <c r="I881" s="480" t="s">
        <v>9009</v>
      </c>
      <c r="J881" s="468" t="s">
        <v>9015</v>
      </c>
      <c r="K881" s="468" t="s">
        <v>8996</v>
      </c>
      <c r="L881" s="468" t="s">
        <v>541</v>
      </c>
    </row>
    <row r="882" spans="1:12" x14ac:dyDescent="0.25">
      <c r="A882" s="485" t="s">
        <v>220</v>
      </c>
      <c r="B882" s="485" t="s">
        <v>588</v>
      </c>
      <c r="C882" s="485" t="s">
        <v>9175</v>
      </c>
      <c r="D882" s="485" t="s">
        <v>9176</v>
      </c>
      <c r="E882" s="485" t="s">
        <v>545</v>
      </c>
      <c r="F882" s="482">
        <v>1500</v>
      </c>
      <c r="G882" s="468">
        <v>0.35349999999999998</v>
      </c>
      <c r="H882" s="479">
        <v>530.25</v>
      </c>
      <c r="I882" s="480" t="s">
        <v>9009</v>
      </c>
      <c r="J882" s="468" t="s">
        <v>9015</v>
      </c>
      <c r="K882" s="468" t="s">
        <v>8996</v>
      </c>
      <c r="L882" s="468" t="s">
        <v>541</v>
      </c>
    </row>
    <row r="883" spans="1:12" x14ac:dyDescent="0.25">
      <c r="A883" s="485" t="s">
        <v>220</v>
      </c>
      <c r="B883" s="485" t="s">
        <v>588</v>
      </c>
      <c r="C883" s="485" t="s">
        <v>1789</v>
      </c>
      <c r="D883" s="485" t="s">
        <v>1790</v>
      </c>
      <c r="E883" s="485" t="s">
        <v>545</v>
      </c>
      <c r="F883" s="482">
        <v>22670</v>
      </c>
      <c r="G883" s="468">
        <v>0.11614816070087436</v>
      </c>
      <c r="H883" s="479">
        <v>2633.0788030888216</v>
      </c>
      <c r="I883" s="480" t="s">
        <v>9009</v>
      </c>
      <c r="J883" s="468" t="s">
        <v>9015</v>
      </c>
      <c r="K883" s="468" t="s">
        <v>8996</v>
      </c>
      <c r="L883" s="468" t="s">
        <v>541</v>
      </c>
    </row>
    <row r="884" spans="1:12" x14ac:dyDescent="0.25">
      <c r="A884" s="485" t="s">
        <v>220</v>
      </c>
      <c r="B884" s="485" t="s">
        <v>588</v>
      </c>
      <c r="C884" s="485" t="s">
        <v>1791</v>
      </c>
      <c r="D884" s="485" t="s">
        <v>1792</v>
      </c>
      <c r="E884" s="485" t="s">
        <v>545</v>
      </c>
      <c r="F884" s="482">
        <v>15040</v>
      </c>
      <c r="G884" s="468">
        <v>0.11614999999999999</v>
      </c>
      <c r="H884" s="479">
        <v>1746.8959999999997</v>
      </c>
      <c r="I884" s="480" t="s">
        <v>9009</v>
      </c>
      <c r="J884" s="468" t="s">
        <v>9015</v>
      </c>
      <c r="K884" s="468" t="s">
        <v>8996</v>
      </c>
      <c r="L884" s="468" t="s">
        <v>541</v>
      </c>
    </row>
    <row r="885" spans="1:12" x14ac:dyDescent="0.25">
      <c r="A885" s="485" t="s">
        <v>220</v>
      </c>
      <c r="B885" s="485" t="s">
        <v>588</v>
      </c>
      <c r="C885" s="485" t="s">
        <v>1793</v>
      </c>
      <c r="D885" s="485" t="s">
        <v>1794</v>
      </c>
      <c r="E885" s="485" t="s">
        <v>545</v>
      </c>
      <c r="F885" s="482">
        <v>7500</v>
      </c>
      <c r="G885" s="468">
        <v>0.1313</v>
      </c>
      <c r="H885" s="479">
        <v>984.75</v>
      </c>
      <c r="I885" s="480" t="s">
        <v>9009</v>
      </c>
      <c r="J885" s="468" t="s">
        <v>9015</v>
      </c>
      <c r="K885" s="468" t="s">
        <v>8996</v>
      </c>
      <c r="L885" s="468" t="s">
        <v>541</v>
      </c>
    </row>
    <row r="886" spans="1:12" x14ac:dyDescent="0.25">
      <c r="A886" s="485" t="s">
        <v>220</v>
      </c>
      <c r="B886" s="485" t="s">
        <v>588</v>
      </c>
      <c r="C886" s="485" t="s">
        <v>1795</v>
      </c>
      <c r="D886" s="485" t="s">
        <v>1796</v>
      </c>
      <c r="E886" s="485" t="s">
        <v>545</v>
      </c>
      <c r="F886" s="482">
        <v>900</v>
      </c>
      <c r="G886" s="468">
        <v>0.1212</v>
      </c>
      <c r="H886" s="479">
        <v>109.08</v>
      </c>
      <c r="I886" s="480" t="s">
        <v>9009</v>
      </c>
      <c r="J886" s="468" t="s">
        <v>9015</v>
      </c>
      <c r="K886" s="468" t="s">
        <v>8996</v>
      </c>
      <c r="L886" s="468" t="s">
        <v>541</v>
      </c>
    </row>
    <row r="887" spans="1:12" x14ac:dyDescent="0.25">
      <c r="A887" s="485" t="s">
        <v>220</v>
      </c>
      <c r="B887" s="485" t="s">
        <v>588</v>
      </c>
      <c r="C887" s="485" t="s">
        <v>1799</v>
      </c>
      <c r="D887" s="485" t="s">
        <v>1800</v>
      </c>
      <c r="E887" s="485" t="s">
        <v>545</v>
      </c>
      <c r="F887" s="482">
        <v>1400</v>
      </c>
      <c r="G887" s="468">
        <v>0.51782191171884295</v>
      </c>
      <c r="H887" s="479">
        <v>724.95067640638013</v>
      </c>
      <c r="I887" s="480" t="s">
        <v>9009</v>
      </c>
      <c r="J887" s="468" t="s">
        <v>9015</v>
      </c>
      <c r="K887" s="468" t="s">
        <v>8996</v>
      </c>
      <c r="L887" s="468" t="s">
        <v>541</v>
      </c>
    </row>
    <row r="888" spans="1:12" x14ac:dyDescent="0.25">
      <c r="A888" s="485" t="s">
        <v>220</v>
      </c>
      <c r="B888" s="485" t="s">
        <v>588</v>
      </c>
      <c r="C888" s="485" t="s">
        <v>1801</v>
      </c>
      <c r="D888" s="485" t="s">
        <v>1802</v>
      </c>
      <c r="E888" s="485" t="s">
        <v>545</v>
      </c>
      <c r="F888" s="482">
        <v>57</v>
      </c>
      <c r="G888" s="468">
        <v>0.22000000000000003</v>
      </c>
      <c r="H888" s="479">
        <v>12.540000000000001</v>
      </c>
      <c r="I888" s="480" t="s">
        <v>9009</v>
      </c>
      <c r="J888" s="468" t="s">
        <v>9015</v>
      </c>
      <c r="K888" s="468" t="s">
        <v>8996</v>
      </c>
      <c r="L888" s="468" t="s">
        <v>541</v>
      </c>
    </row>
    <row r="889" spans="1:12" x14ac:dyDescent="0.25">
      <c r="A889" s="485" t="s">
        <v>220</v>
      </c>
      <c r="B889" s="485" t="s">
        <v>588</v>
      </c>
      <c r="C889" s="485" t="s">
        <v>1803</v>
      </c>
      <c r="D889" s="485" t="s">
        <v>1804</v>
      </c>
      <c r="E889" s="485" t="s">
        <v>545</v>
      </c>
      <c r="F889" s="482">
        <v>230</v>
      </c>
      <c r="G889" s="468">
        <v>0.253</v>
      </c>
      <c r="H889" s="479">
        <v>58.19</v>
      </c>
      <c r="I889" s="480" t="s">
        <v>9009</v>
      </c>
      <c r="J889" s="468" t="s">
        <v>9015</v>
      </c>
      <c r="K889" s="468" t="s">
        <v>8996</v>
      </c>
      <c r="L889" s="468" t="s">
        <v>541</v>
      </c>
    </row>
    <row r="890" spans="1:12" x14ac:dyDescent="0.25">
      <c r="A890" s="485" t="s">
        <v>220</v>
      </c>
      <c r="B890" s="485" t="s">
        <v>588</v>
      </c>
      <c r="C890" s="485" t="s">
        <v>1805</v>
      </c>
      <c r="D890" s="485" t="s">
        <v>1806</v>
      </c>
      <c r="E890" s="485" t="s">
        <v>545</v>
      </c>
      <c r="F890" s="482">
        <v>35</v>
      </c>
      <c r="G890" s="468">
        <v>0.29099999999999998</v>
      </c>
      <c r="H890" s="479">
        <v>10.184999999999999</v>
      </c>
      <c r="I890" s="480" t="s">
        <v>9009</v>
      </c>
      <c r="J890" s="468" t="s">
        <v>9015</v>
      </c>
      <c r="K890" s="468" t="s">
        <v>8996</v>
      </c>
      <c r="L890" s="468" t="s">
        <v>541</v>
      </c>
    </row>
    <row r="891" spans="1:12" x14ac:dyDescent="0.25">
      <c r="A891" s="485" t="s">
        <v>220</v>
      </c>
      <c r="B891" s="485" t="s">
        <v>588</v>
      </c>
      <c r="C891" s="485" t="s">
        <v>1807</v>
      </c>
      <c r="D891" s="485" t="s">
        <v>1808</v>
      </c>
      <c r="E891" s="485" t="s">
        <v>545</v>
      </c>
      <c r="F891" s="482">
        <v>168</v>
      </c>
      <c r="G891" s="468">
        <v>0.10925000000000001</v>
      </c>
      <c r="H891" s="479">
        <v>18.354000000000003</v>
      </c>
      <c r="I891" s="480" t="s">
        <v>9009</v>
      </c>
      <c r="J891" s="468" t="s">
        <v>9015</v>
      </c>
      <c r="K891" s="468" t="s">
        <v>8996</v>
      </c>
      <c r="L891" s="468" t="s">
        <v>541</v>
      </c>
    </row>
    <row r="892" spans="1:12" x14ac:dyDescent="0.25">
      <c r="A892" s="485" t="s">
        <v>220</v>
      </c>
      <c r="B892" s="485" t="s">
        <v>588</v>
      </c>
      <c r="C892" s="485" t="s">
        <v>1809</v>
      </c>
      <c r="D892" s="485" t="s">
        <v>1810</v>
      </c>
      <c r="E892" s="485" t="s">
        <v>545</v>
      </c>
      <c r="F892" s="482">
        <v>340</v>
      </c>
      <c r="G892" s="468">
        <v>0.13355081967213117</v>
      </c>
      <c r="H892" s="479">
        <v>45.407278688524599</v>
      </c>
      <c r="I892" s="480" t="s">
        <v>9009</v>
      </c>
      <c r="J892" s="468" t="s">
        <v>9015</v>
      </c>
      <c r="K892" s="468" t="s">
        <v>8996</v>
      </c>
      <c r="L892" s="468" t="s">
        <v>541</v>
      </c>
    </row>
    <row r="893" spans="1:12" x14ac:dyDescent="0.25">
      <c r="A893" s="485" t="s">
        <v>220</v>
      </c>
      <c r="B893" s="485" t="s">
        <v>588</v>
      </c>
      <c r="C893" s="485" t="s">
        <v>1811</v>
      </c>
      <c r="D893" s="485" t="s">
        <v>1812</v>
      </c>
      <c r="E893" s="485" t="s">
        <v>545</v>
      </c>
      <c r="F893" s="482">
        <v>103</v>
      </c>
      <c r="G893" s="468">
        <v>0.152</v>
      </c>
      <c r="H893" s="479">
        <v>15.655999999999999</v>
      </c>
      <c r="I893" s="480" t="s">
        <v>9009</v>
      </c>
      <c r="J893" s="468" t="s">
        <v>9015</v>
      </c>
      <c r="K893" s="468" t="s">
        <v>8996</v>
      </c>
      <c r="L893" s="468" t="s">
        <v>541</v>
      </c>
    </row>
    <row r="894" spans="1:12" x14ac:dyDescent="0.25">
      <c r="A894" s="485" t="s">
        <v>220</v>
      </c>
      <c r="B894" s="485" t="s">
        <v>588</v>
      </c>
      <c r="C894" s="485" t="s">
        <v>1813</v>
      </c>
      <c r="D894" s="485" t="s">
        <v>1814</v>
      </c>
      <c r="E894" s="485" t="s">
        <v>545</v>
      </c>
      <c r="F894" s="482">
        <v>653</v>
      </c>
      <c r="G894" s="468">
        <v>0.19</v>
      </c>
      <c r="H894" s="479">
        <v>124.07000000000001</v>
      </c>
      <c r="I894" s="480" t="s">
        <v>9009</v>
      </c>
      <c r="J894" s="468" t="s">
        <v>9015</v>
      </c>
      <c r="K894" s="468" t="s">
        <v>8996</v>
      </c>
      <c r="L894" s="468" t="s">
        <v>541</v>
      </c>
    </row>
    <row r="895" spans="1:12" x14ac:dyDescent="0.25">
      <c r="A895" s="485" t="s">
        <v>220</v>
      </c>
      <c r="B895" s="485" t="s">
        <v>588</v>
      </c>
      <c r="C895" s="485" t="s">
        <v>1815</v>
      </c>
      <c r="D895" s="485" t="s">
        <v>1816</v>
      </c>
      <c r="E895" s="485" t="s">
        <v>545</v>
      </c>
      <c r="F895" s="482">
        <v>14</v>
      </c>
      <c r="G895" s="468">
        <v>0.11</v>
      </c>
      <c r="H895" s="479">
        <v>1.54</v>
      </c>
      <c r="I895" s="480" t="s">
        <v>9009</v>
      </c>
      <c r="J895" s="468" t="s">
        <v>9015</v>
      </c>
      <c r="K895" s="468" t="s">
        <v>8996</v>
      </c>
      <c r="L895" s="468" t="s">
        <v>541</v>
      </c>
    </row>
    <row r="896" spans="1:12" x14ac:dyDescent="0.25">
      <c r="A896" s="485" t="s">
        <v>220</v>
      </c>
      <c r="B896" s="485" t="s">
        <v>588</v>
      </c>
      <c r="C896" s="485" t="s">
        <v>1817</v>
      </c>
      <c r="D896" s="485" t="s">
        <v>1818</v>
      </c>
      <c r="E896" s="485" t="s">
        <v>545</v>
      </c>
      <c r="F896" s="482">
        <v>267</v>
      </c>
      <c r="G896" s="468">
        <v>0.12654081632653061</v>
      </c>
      <c r="H896" s="479">
        <v>33.786397959183674</v>
      </c>
      <c r="I896" s="480" t="s">
        <v>9009</v>
      </c>
      <c r="J896" s="468" t="s">
        <v>9015</v>
      </c>
      <c r="K896" s="468" t="s">
        <v>8996</v>
      </c>
      <c r="L896" s="468" t="s">
        <v>541</v>
      </c>
    </row>
    <row r="897" spans="1:12" x14ac:dyDescent="0.25">
      <c r="A897" s="485" t="s">
        <v>220</v>
      </c>
      <c r="B897" s="485" t="s">
        <v>588</v>
      </c>
      <c r="C897" s="485" t="s">
        <v>1819</v>
      </c>
      <c r="D897" s="485" t="s">
        <v>1820</v>
      </c>
      <c r="E897" s="485" t="s">
        <v>545</v>
      </c>
      <c r="F897" s="482">
        <v>1000</v>
      </c>
      <c r="G897" s="468">
        <v>0.14552119499394428</v>
      </c>
      <c r="H897" s="479">
        <v>145.52119499394428</v>
      </c>
      <c r="I897" s="480" t="s">
        <v>9009</v>
      </c>
      <c r="J897" s="468" t="s">
        <v>9015</v>
      </c>
      <c r="K897" s="468" t="s">
        <v>8996</v>
      </c>
      <c r="L897" s="468" t="s">
        <v>541</v>
      </c>
    </row>
    <row r="898" spans="1:12" x14ac:dyDescent="0.25">
      <c r="A898" s="485" t="s">
        <v>220</v>
      </c>
      <c r="B898" s="485" t="s">
        <v>588</v>
      </c>
      <c r="C898" s="485" t="s">
        <v>1821</v>
      </c>
      <c r="D898" s="485" t="s">
        <v>1822</v>
      </c>
      <c r="E898" s="485" t="s">
        <v>545</v>
      </c>
      <c r="F898" s="482">
        <v>780</v>
      </c>
      <c r="G898" s="468">
        <v>5.3529999999999998</v>
      </c>
      <c r="H898" s="479">
        <v>4175.34</v>
      </c>
      <c r="I898" s="480" t="s">
        <v>9009</v>
      </c>
      <c r="J898" s="468" t="s">
        <v>9015</v>
      </c>
      <c r="K898" s="468" t="s">
        <v>8996</v>
      </c>
      <c r="L898" s="468" t="s">
        <v>541</v>
      </c>
    </row>
    <row r="899" spans="1:12" x14ac:dyDescent="0.25">
      <c r="A899" s="485" t="s">
        <v>220</v>
      </c>
      <c r="B899" s="485" t="s">
        <v>588</v>
      </c>
      <c r="C899" s="485" t="s">
        <v>1823</v>
      </c>
      <c r="D899" s="485" t="s">
        <v>1824</v>
      </c>
      <c r="E899" s="485" t="s">
        <v>545</v>
      </c>
      <c r="F899" s="482">
        <v>520</v>
      </c>
      <c r="G899" s="468">
        <v>5.5549999999999997</v>
      </c>
      <c r="H899" s="479">
        <v>2888.6</v>
      </c>
      <c r="I899" s="480" t="s">
        <v>9009</v>
      </c>
      <c r="J899" s="468" t="s">
        <v>9015</v>
      </c>
      <c r="K899" s="468" t="s">
        <v>8996</v>
      </c>
      <c r="L899" s="468" t="s">
        <v>541</v>
      </c>
    </row>
    <row r="900" spans="1:12" x14ac:dyDescent="0.25">
      <c r="A900" s="485" t="s">
        <v>220</v>
      </c>
      <c r="B900" s="485" t="s">
        <v>588</v>
      </c>
      <c r="C900" s="485" t="s">
        <v>1825</v>
      </c>
      <c r="D900" s="485" t="s">
        <v>1826</v>
      </c>
      <c r="E900" s="485" t="s">
        <v>545</v>
      </c>
      <c r="F900" s="482">
        <v>895</v>
      </c>
      <c r="G900" s="468">
        <v>4.8479999999999999</v>
      </c>
      <c r="H900" s="479">
        <v>4338.96</v>
      </c>
      <c r="I900" s="480" t="s">
        <v>9009</v>
      </c>
      <c r="J900" s="468" t="s">
        <v>9015</v>
      </c>
      <c r="K900" s="468" t="s">
        <v>8996</v>
      </c>
      <c r="L900" s="468" t="s">
        <v>541</v>
      </c>
    </row>
    <row r="901" spans="1:12" x14ac:dyDescent="0.25">
      <c r="A901" s="485" t="s">
        <v>220</v>
      </c>
      <c r="B901" s="485" t="s">
        <v>588</v>
      </c>
      <c r="C901" s="485" t="s">
        <v>1827</v>
      </c>
      <c r="D901" s="485" t="s">
        <v>1828</v>
      </c>
      <c r="E901" s="485" t="s">
        <v>545</v>
      </c>
      <c r="F901" s="482">
        <v>1000</v>
      </c>
      <c r="G901" s="468">
        <v>7.3730000000000002</v>
      </c>
      <c r="H901" s="479">
        <v>7373</v>
      </c>
      <c r="I901" s="480" t="s">
        <v>9009</v>
      </c>
      <c r="J901" s="468" t="s">
        <v>9015</v>
      </c>
      <c r="K901" s="468" t="s">
        <v>8996</v>
      </c>
      <c r="L901" s="468" t="s">
        <v>541</v>
      </c>
    </row>
    <row r="902" spans="1:12" x14ac:dyDescent="0.25">
      <c r="A902" s="485" t="s">
        <v>220</v>
      </c>
      <c r="B902" s="485" t="s">
        <v>588</v>
      </c>
      <c r="C902" s="485" t="s">
        <v>1829</v>
      </c>
      <c r="D902" s="485" t="s">
        <v>1830</v>
      </c>
      <c r="E902" s="485" t="s">
        <v>545</v>
      </c>
      <c r="F902" s="482">
        <v>866</v>
      </c>
      <c r="G902" s="468">
        <v>5.05</v>
      </c>
      <c r="H902" s="479">
        <v>4373.3</v>
      </c>
      <c r="I902" s="480" t="s">
        <v>9009</v>
      </c>
      <c r="J902" s="468" t="s">
        <v>9015</v>
      </c>
      <c r="K902" s="468" t="s">
        <v>8996</v>
      </c>
      <c r="L902" s="468" t="s">
        <v>541</v>
      </c>
    </row>
    <row r="903" spans="1:12" x14ac:dyDescent="0.25">
      <c r="A903" s="485" t="s">
        <v>220</v>
      </c>
      <c r="B903" s="485" t="s">
        <v>588</v>
      </c>
      <c r="C903" s="485" t="s">
        <v>1831</v>
      </c>
      <c r="D903" s="485" t="s">
        <v>1832</v>
      </c>
      <c r="E903" s="485" t="s">
        <v>545</v>
      </c>
      <c r="F903" s="482">
        <v>660</v>
      </c>
      <c r="G903" s="468">
        <v>5.9589999999999996</v>
      </c>
      <c r="H903" s="479">
        <v>3932.9399999999996</v>
      </c>
      <c r="I903" s="480" t="s">
        <v>9009</v>
      </c>
      <c r="J903" s="468" t="s">
        <v>9015</v>
      </c>
      <c r="K903" s="468" t="s">
        <v>8996</v>
      </c>
      <c r="L903" s="468" t="s">
        <v>541</v>
      </c>
    </row>
    <row r="904" spans="1:12" x14ac:dyDescent="0.25">
      <c r="A904" s="485" t="s">
        <v>220</v>
      </c>
      <c r="B904" s="485" t="s">
        <v>588</v>
      </c>
      <c r="C904" s="485" t="s">
        <v>1833</v>
      </c>
      <c r="D904" s="485" t="s">
        <v>1834</v>
      </c>
      <c r="E904" s="485" t="s">
        <v>545</v>
      </c>
      <c r="F904" s="482">
        <v>750</v>
      </c>
      <c r="G904" s="468">
        <v>6.3630000000000004</v>
      </c>
      <c r="H904" s="479">
        <v>4772.25</v>
      </c>
      <c r="I904" s="480" t="s">
        <v>9009</v>
      </c>
      <c r="J904" s="468" t="s">
        <v>9015</v>
      </c>
      <c r="K904" s="468" t="s">
        <v>8996</v>
      </c>
      <c r="L904" s="468" t="s">
        <v>541</v>
      </c>
    </row>
    <row r="905" spans="1:12" x14ac:dyDescent="0.25">
      <c r="A905" s="485" t="s">
        <v>220</v>
      </c>
      <c r="B905" s="485" t="s">
        <v>588</v>
      </c>
      <c r="C905" s="485" t="s">
        <v>1835</v>
      </c>
      <c r="D905" s="485" t="s">
        <v>1836</v>
      </c>
      <c r="E905" s="485" t="s">
        <v>545</v>
      </c>
      <c r="F905" s="482">
        <v>909</v>
      </c>
      <c r="G905" s="468">
        <v>7.676000000000001</v>
      </c>
      <c r="H905" s="479">
        <v>6977.4840000000013</v>
      </c>
      <c r="I905" s="480" t="s">
        <v>9009</v>
      </c>
      <c r="J905" s="468" t="s">
        <v>9015</v>
      </c>
      <c r="K905" s="468" t="s">
        <v>8996</v>
      </c>
      <c r="L905" s="468" t="s">
        <v>541</v>
      </c>
    </row>
    <row r="906" spans="1:12" x14ac:dyDescent="0.25">
      <c r="A906" s="485" t="s">
        <v>220</v>
      </c>
      <c r="B906" s="485" t="s">
        <v>588</v>
      </c>
      <c r="C906" s="485" t="s">
        <v>7548</v>
      </c>
      <c r="D906" s="485" t="s">
        <v>7549</v>
      </c>
      <c r="E906" s="485" t="s">
        <v>545</v>
      </c>
      <c r="F906" s="482">
        <v>300</v>
      </c>
      <c r="G906" s="468">
        <v>5.2519999999999998</v>
      </c>
      <c r="H906" s="479">
        <v>1575.6</v>
      </c>
      <c r="I906" s="480" t="s">
        <v>9009</v>
      </c>
      <c r="J906" s="468" t="s">
        <v>9015</v>
      </c>
      <c r="K906" s="468" t="s">
        <v>8996</v>
      </c>
      <c r="L906" s="468" t="s">
        <v>541</v>
      </c>
    </row>
    <row r="907" spans="1:12" x14ac:dyDescent="0.25">
      <c r="A907" s="485" t="s">
        <v>220</v>
      </c>
      <c r="B907" s="485" t="s">
        <v>588</v>
      </c>
      <c r="C907" s="485" t="s">
        <v>1837</v>
      </c>
      <c r="D907" s="485" t="s">
        <v>1838</v>
      </c>
      <c r="E907" s="485" t="s">
        <v>545</v>
      </c>
      <c r="F907" s="482">
        <v>1100</v>
      </c>
      <c r="G907" s="468">
        <v>5.3529999999999998</v>
      </c>
      <c r="H907" s="479">
        <v>5888.3</v>
      </c>
      <c r="I907" s="480" t="s">
        <v>9009</v>
      </c>
      <c r="J907" s="468" t="s">
        <v>9015</v>
      </c>
      <c r="K907" s="468" t="s">
        <v>8996</v>
      </c>
      <c r="L907" s="468" t="s">
        <v>541</v>
      </c>
    </row>
    <row r="908" spans="1:12" x14ac:dyDescent="0.25">
      <c r="A908" s="485" t="s">
        <v>220</v>
      </c>
      <c r="B908" s="485" t="s">
        <v>588</v>
      </c>
      <c r="C908" s="485" t="s">
        <v>1839</v>
      </c>
      <c r="D908" s="485" t="s">
        <v>1840</v>
      </c>
      <c r="E908" s="485" t="s">
        <v>545</v>
      </c>
      <c r="F908" s="482">
        <v>464</v>
      </c>
      <c r="G908" s="468">
        <v>5.5549999999999997</v>
      </c>
      <c r="H908" s="479">
        <v>2577.52</v>
      </c>
      <c r="I908" s="480" t="s">
        <v>9009</v>
      </c>
      <c r="J908" s="468" t="s">
        <v>9015</v>
      </c>
      <c r="K908" s="468" t="s">
        <v>8996</v>
      </c>
      <c r="L908" s="468" t="s">
        <v>541</v>
      </c>
    </row>
    <row r="909" spans="1:12" x14ac:dyDescent="0.25">
      <c r="A909" s="485" t="s">
        <v>220</v>
      </c>
      <c r="B909" s="485" t="s">
        <v>588</v>
      </c>
      <c r="C909" s="485" t="s">
        <v>7550</v>
      </c>
      <c r="D909" s="485" t="s">
        <v>7551</v>
      </c>
      <c r="E909" s="485" t="s">
        <v>545</v>
      </c>
      <c r="F909" s="482">
        <v>175</v>
      </c>
      <c r="G909" s="468">
        <v>4.8479999999999999</v>
      </c>
      <c r="H909" s="479">
        <v>848.4</v>
      </c>
      <c r="I909" s="480" t="s">
        <v>9009</v>
      </c>
      <c r="J909" s="468" t="s">
        <v>9015</v>
      </c>
      <c r="K909" s="468" t="s">
        <v>8996</v>
      </c>
      <c r="L909" s="468" t="s">
        <v>541</v>
      </c>
    </row>
    <row r="910" spans="1:12" x14ac:dyDescent="0.25">
      <c r="A910" s="485" t="s">
        <v>220</v>
      </c>
      <c r="B910" s="485" t="s">
        <v>588</v>
      </c>
      <c r="C910" s="485" t="s">
        <v>7552</v>
      </c>
      <c r="D910" s="485" t="s">
        <v>7553</v>
      </c>
      <c r="E910" s="485" t="s">
        <v>545</v>
      </c>
      <c r="F910" s="482">
        <v>90</v>
      </c>
      <c r="G910" s="468">
        <v>4.8479999999999999</v>
      </c>
      <c r="H910" s="479">
        <v>436.32</v>
      </c>
      <c r="I910" s="480" t="s">
        <v>9009</v>
      </c>
      <c r="J910" s="468" t="s">
        <v>9015</v>
      </c>
      <c r="K910" s="468" t="s">
        <v>8996</v>
      </c>
      <c r="L910" s="468" t="s">
        <v>541</v>
      </c>
    </row>
    <row r="911" spans="1:12" x14ac:dyDescent="0.25">
      <c r="A911" s="485" t="s">
        <v>220</v>
      </c>
      <c r="B911" s="485" t="s">
        <v>588</v>
      </c>
      <c r="C911" s="485" t="s">
        <v>1841</v>
      </c>
      <c r="D911" s="485" t="s">
        <v>1842</v>
      </c>
      <c r="E911" s="485" t="s">
        <v>545</v>
      </c>
      <c r="F911" s="482">
        <v>769</v>
      </c>
      <c r="G911" s="468">
        <v>7.3730000000000002</v>
      </c>
      <c r="H911" s="479">
        <v>5669.8370000000004</v>
      </c>
      <c r="I911" s="480" t="s">
        <v>9009</v>
      </c>
      <c r="J911" s="468" t="s">
        <v>9015</v>
      </c>
      <c r="K911" s="468" t="s">
        <v>8996</v>
      </c>
      <c r="L911" s="468" t="s">
        <v>541</v>
      </c>
    </row>
    <row r="912" spans="1:12" x14ac:dyDescent="0.25">
      <c r="A912" s="485" t="s">
        <v>220</v>
      </c>
      <c r="B912" s="485" t="s">
        <v>588</v>
      </c>
      <c r="C912" s="485" t="s">
        <v>1843</v>
      </c>
      <c r="D912" s="485" t="s">
        <v>1844</v>
      </c>
      <c r="E912" s="485" t="s">
        <v>545</v>
      </c>
      <c r="F912" s="482">
        <v>975</v>
      </c>
      <c r="G912" s="468">
        <v>7.3730000000000002</v>
      </c>
      <c r="H912" s="479">
        <v>7188.6750000000002</v>
      </c>
      <c r="I912" s="480" t="s">
        <v>9009</v>
      </c>
      <c r="J912" s="468" t="s">
        <v>9015</v>
      </c>
      <c r="K912" s="468" t="s">
        <v>8996</v>
      </c>
      <c r="L912" s="468" t="s">
        <v>541</v>
      </c>
    </row>
    <row r="913" spans="1:12" x14ac:dyDescent="0.25">
      <c r="A913" s="485" t="s">
        <v>220</v>
      </c>
      <c r="B913" s="485" t="s">
        <v>588</v>
      </c>
      <c r="C913" s="485" t="s">
        <v>1845</v>
      </c>
      <c r="D913" s="485" t="s">
        <v>1846</v>
      </c>
      <c r="E913" s="485" t="s">
        <v>545</v>
      </c>
      <c r="F913" s="482">
        <v>1083</v>
      </c>
      <c r="G913" s="468">
        <v>4.8985000000000003</v>
      </c>
      <c r="H913" s="479">
        <v>5305.0754999999999</v>
      </c>
      <c r="I913" s="480" t="s">
        <v>9009</v>
      </c>
      <c r="J913" s="468" t="s">
        <v>9015</v>
      </c>
      <c r="K913" s="468" t="s">
        <v>8996</v>
      </c>
      <c r="L913" s="468" t="s">
        <v>541</v>
      </c>
    </row>
    <row r="914" spans="1:12" x14ac:dyDescent="0.25">
      <c r="A914" s="485" t="s">
        <v>220</v>
      </c>
      <c r="B914" s="485" t="s">
        <v>588</v>
      </c>
      <c r="C914" s="485" t="s">
        <v>1847</v>
      </c>
      <c r="D914" s="485" t="s">
        <v>1846</v>
      </c>
      <c r="E914" s="485" t="s">
        <v>545</v>
      </c>
      <c r="F914" s="482">
        <v>948</v>
      </c>
      <c r="G914" s="468">
        <v>4.964672413793104</v>
      </c>
      <c r="H914" s="479">
        <v>4706.5094482758623</v>
      </c>
      <c r="I914" s="480" t="s">
        <v>9009</v>
      </c>
      <c r="J914" s="468" t="s">
        <v>9015</v>
      </c>
      <c r="K914" s="468" t="s">
        <v>8996</v>
      </c>
      <c r="L914" s="468" t="s">
        <v>541</v>
      </c>
    </row>
    <row r="915" spans="1:12" x14ac:dyDescent="0.25">
      <c r="A915" s="485" t="s">
        <v>220</v>
      </c>
      <c r="B915" s="485" t="s">
        <v>588</v>
      </c>
      <c r="C915" s="485" t="s">
        <v>1848</v>
      </c>
      <c r="D915" s="485" t="s">
        <v>1849</v>
      </c>
      <c r="E915" s="485" t="s">
        <v>545</v>
      </c>
      <c r="F915" s="482">
        <v>89</v>
      </c>
      <c r="G915" s="468">
        <v>5.7569999999999997</v>
      </c>
      <c r="H915" s="479">
        <v>512.37299999999993</v>
      </c>
      <c r="I915" s="480" t="s">
        <v>9009</v>
      </c>
      <c r="J915" s="468" t="s">
        <v>9015</v>
      </c>
      <c r="K915" s="468" t="s">
        <v>8996</v>
      </c>
      <c r="L915" s="468" t="s">
        <v>541</v>
      </c>
    </row>
    <row r="916" spans="1:12" x14ac:dyDescent="0.25">
      <c r="A916" s="485" t="s">
        <v>220</v>
      </c>
      <c r="B916" s="485" t="s">
        <v>588</v>
      </c>
      <c r="C916" s="485" t="s">
        <v>1850</v>
      </c>
      <c r="D916" s="485" t="s">
        <v>1851</v>
      </c>
      <c r="E916" s="485" t="s">
        <v>545</v>
      </c>
      <c r="F916" s="482">
        <v>665</v>
      </c>
      <c r="G916" s="468">
        <v>5.9589999999999996</v>
      </c>
      <c r="H916" s="479">
        <v>3962.7349999999997</v>
      </c>
      <c r="I916" s="480" t="s">
        <v>9009</v>
      </c>
      <c r="J916" s="468" t="s">
        <v>9015</v>
      </c>
      <c r="K916" s="468" t="s">
        <v>8996</v>
      </c>
      <c r="L916" s="468" t="s">
        <v>541</v>
      </c>
    </row>
    <row r="917" spans="1:12" x14ac:dyDescent="0.25">
      <c r="A917" s="485" t="s">
        <v>220</v>
      </c>
      <c r="B917" s="485" t="s">
        <v>588</v>
      </c>
      <c r="C917" s="485" t="s">
        <v>1852</v>
      </c>
      <c r="D917" s="485" t="s">
        <v>1853</v>
      </c>
      <c r="E917" s="485" t="s">
        <v>545</v>
      </c>
      <c r="F917" s="482">
        <v>40</v>
      </c>
      <c r="G917" s="468">
        <v>6.1609999999999996</v>
      </c>
      <c r="H917" s="479">
        <v>246.44</v>
      </c>
      <c r="I917" s="480" t="s">
        <v>9009</v>
      </c>
      <c r="J917" s="468" t="s">
        <v>9015</v>
      </c>
      <c r="K917" s="468" t="s">
        <v>8996</v>
      </c>
      <c r="L917" s="468" t="s">
        <v>541</v>
      </c>
    </row>
    <row r="918" spans="1:12" x14ac:dyDescent="0.25">
      <c r="A918" s="485" t="s">
        <v>220</v>
      </c>
      <c r="B918" s="485" t="s">
        <v>588</v>
      </c>
      <c r="C918" s="485" t="s">
        <v>7554</v>
      </c>
      <c r="D918" s="485" t="s">
        <v>7555</v>
      </c>
      <c r="E918" s="485" t="s">
        <v>545</v>
      </c>
      <c r="F918" s="482">
        <v>39</v>
      </c>
      <c r="G918" s="468">
        <v>6.1609999999999996</v>
      </c>
      <c r="H918" s="479">
        <v>240.279</v>
      </c>
      <c r="I918" s="480" t="s">
        <v>9009</v>
      </c>
      <c r="J918" s="468" t="s">
        <v>9015</v>
      </c>
      <c r="K918" s="468" t="s">
        <v>8996</v>
      </c>
      <c r="L918" s="468" t="s">
        <v>541</v>
      </c>
    </row>
    <row r="919" spans="1:12" x14ac:dyDescent="0.25">
      <c r="A919" s="485" t="s">
        <v>220</v>
      </c>
      <c r="B919" s="485" t="s">
        <v>588</v>
      </c>
      <c r="C919" s="485" t="s">
        <v>1854</v>
      </c>
      <c r="D919" s="485" t="s">
        <v>1855</v>
      </c>
      <c r="E919" s="485" t="s">
        <v>545</v>
      </c>
      <c r="F919" s="482">
        <v>825</v>
      </c>
      <c r="G919" s="468">
        <v>6.3630000000000004</v>
      </c>
      <c r="H919" s="479">
        <v>5249.4750000000004</v>
      </c>
      <c r="I919" s="480" t="s">
        <v>9009</v>
      </c>
      <c r="J919" s="468" t="s">
        <v>9015</v>
      </c>
      <c r="K919" s="468" t="s">
        <v>8996</v>
      </c>
      <c r="L919" s="468" t="s">
        <v>541</v>
      </c>
    </row>
    <row r="920" spans="1:12" x14ac:dyDescent="0.25">
      <c r="A920" s="485" t="s">
        <v>220</v>
      </c>
      <c r="B920" s="485" t="s">
        <v>588</v>
      </c>
      <c r="C920" s="485" t="s">
        <v>1856</v>
      </c>
      <c r="D920" s="485" t="s">
        <v>1857</v>
      </c>
      <c r="E920" s="485" t="s">
        <v>545</v>
      </c>
      <c r="F920" s="482">
        <v>550</v>
      </c>
      <c r="G920" s="468">
        <v>6.3630000000000004</v>
      </c>
      <c r="H920" s="479">
        <v>3499.65</v>
      </c>
      <c r="I920" s="480" t="s">
        <v>9009</v>
      </c>
      <c r="J920" s="468" t="s">
        <v>9015</v>
      </c>
      <c r="K920" s="468" t="s">
        <v>8996</v>
      </c>
      <c r="L920" s="468" t="s">
        <v>541</v>
      </c>
    </row>
    <row r="921" spans="1:12" x14ac:dyDescent="0.25">
      <c r="A921" s="485" t="s">
        <v>220</v>
      </c>
      <c r="B921" s="485" t="s">
        <v>588</v>
      </c>
      <c r="C921" s="485" t="s">
        <v>1858</v>
      </c>
      <c r="D921" s="485" t="s">
        <v>1859</v>
      </c>
      <c r="E921" s="485" t="s">
        <v>545</v>
      </c>
      <c r="F921" s="482">
        <v>600</v>
      </c>
      <c r="G921" s="468">
        <v>7.6760000000000019</v>
      </c>
      <c r="H921" s="479">
        <v>4605.6000000000013</v>
      </c>
      <c r="I921" s="480" t="s">
        <v>9009</v>
      </c>
      <c r="J921" s="468" t="s">
        <v>9015</v>
      </c>
      <c r="K921" s="468" t="s">
        <v>8996</v>
      </c>
      <c r="L921" s="468" t="s">
        <v>541</v>
      </c>
    </row>
    <row r="922" spans="1:12" x14ac:dyDescent="0.25">
      <c r="A922" s="485" t="s">
        <v>220</v>
      </c>
      <c r="B922" s="485" t="s">
        <v>588</v>
      </c>
      <c r="C922" s="485" t="s">
        <v>1860</v>
      </c>
      <c r="D922" s="485" t="s">
        <v>1861</v>
      </c>
      <c r="E922" s="485" t="s">
        <v>545</v>
      </c>
      <c r="F922" s="482">
        <v>300</v>
      </c>
      <c r="G922" s="468">
        <v>7.676000000000001</v>
      </c>
      <c r="H922" s="479">
        <v>2302.8000000000002</v>
      </c>
      <c r="I922" s="480" t="s">
        <v>9009</v>
      </c>
      <c r="J922" s="468" t="s">
        <v>9015</v>
      </c>
      <c r="K922" s="468" t="s">
        <v>8996</v>
      </c>
      <c r="L922" s="468" t="s">
        <v>541</v>
      </c>
    </row>
    <row r="923" spans="1:12" x14ac:dyDescent="0.25">
      <c r="A923" s="485" t="s">
        <v>220</v>
      </c>
      <c r="B923" s="485" t="s">
        <v>588</v>
      </c>
      <c r="C923" s="485" t="s">
        <v>1862</v>
      </c>
      <c r="D923" s="485" t="s">
        <v>1863</v>
      </c>
      <c r="E923" s="485" t="s">
        <v>545</v>
      </c>
      <c r="F923" s="482">
        <v>420</v>
      </c>
      <c r="G923" s="468">
        <v>7.6760000000000002</v>
      </c>
      <c r="H923" s="479">
        <v>3223.92</v>
      </c>
      <c r="I923" s="480" t="s">
        <v>9009</v>
      </c>
      <c r="J923" s="468" t="s">
        <v>9015</v>
      </c>
      <c r="K923" s="468" t="s">
        <v>8996</v>
      </c>
      <c r="L923" s="468" t="s">
        <v>541</v>
      </c>
    </row>
    <row r="924" spans="1:12" x14ac:dyDescent="0.25">
      <c r="A924" s="485" t="s">
        <v>220</v>
      </c>
      <c r="B924" s="485" t="s">
        <v>588</v>
      </c>
      <c r="C924" s="485" t="s">
        <v>1864</v>
      </c>
      <c r="D924" s="485" t="s">
        <v>1865</v>
      </c>
      <c r="E924" s="485" t="s">
        <v>545</v>
      </c>
      <c r="F924" s="482">
        <v>80</v>
      </c>
      <c r="G924" s="468">
        <v>0.52629617977528087</v>
      </c>
      <c r="H924" s="479">
        <v>42.103694382022468</v>
      </c>
      <c r="I924" s="480" t="s">
        <v>9009</v>
      </c>
      <c r="J924" s="468" t="s">
        <v>9015</v>
      </c>
      <c r="K924" s="468" t="s">
        <v>8996</v>
      </c>
      <c r="L924" s="468" t="s">
        <v>541</v>
      </c>
    </row>
    <row r="925" spans="1:12" x14ac:dyDescent="0.25">
      <c r="A925" s="485" t="s">
        <v>220</v>
      </c>
      <c r="B925" s="485" t="s">
        <v>588</v>
      </c>
      <c r="C925" s="485" t="s">
        <v>7556</v>
      </c>
      <c r="D925" s="485" t="s">
        <v>7557</v>
      </c>
      <c r="E925" s="485" t="s">
        <v>545</v>
      </c>
      <c r="F925" s="482">
        <v>600</v>
      </c>
      <c r="G925" s="468">
        <v>0.39389999999999992</v>
      </c>
      <c r="H925" s="479">
        <v>236.33999999999995</v>
      </c>
      <c r="I925" s="480" t="s">
        <v>9009</v>
      </c>
      <c r="J925" s="468" t="s">
        <v>9015</v>
      </c>
      <c r="K925" s="468" t="s">
        <v>8996</v>
      </c>
      <c r="L925" s="468" t="s">
        <v>541</v>
      </c>
    </row>
    <row r="926" spans="1:12" x14ac:dyDescent="0.25">
      <c r="A926" s="485" t="s">
        <v>220</v>
      </c>
      <c r="B926" s="485" t="s">
        <v>588</v>
      </c>
      <c r="C926" s="485" t="s">
        <v>7727</v>
      </c>
      <c r="D926" s="485" t="s">
        <v>7728</v>
      </c>
      <c r="E926" s="485" t="s">
        <v>545</v>
      </c>
      <c r="F926" s="482">
        <v>90</v>
      </c>
      <c r="G926" s="468">
        <v>0.35349999999999998</v>
      </c>
      <c r="H926" s="479">
        <v>31.814999999999998</v>
      </c>
      <c r="I926" s="480" t="s">
        <v>9009</v>
      </c>
      <c r="J926" s="468" t="s">
        <v>9015</v>
      </c>
      <c r="K926" s="468" t="s">
        <v>8996</v>
      </c>
      <c r="L926" s="468" t="s">
        <v>541</v>
      </c>
    </row>
    <row r="927" spans="1:12" x14ac:dyDescent="0.25">
      <c r="A927" s="485" t="s">
        <v>220</v>
      </c>
      <c r="B927" s="485" t="s">
        <v>588</v>
      </c>
      <c r="C927" s="485" t="s">
        <v>7729</v>
      </c>
      <c r="D927" s="485" t="s">
        <v>7730</v>
      </c>
      <c r="E927" s="485" t="s">
        <v>545</v>
      </c>
      <c r="F927" s="482">
        <v>435</v>
      </c>
      <c r="G927" s="468">
        <v>0.2525</v>
      </c>
      <c r="H927" s="479">
        <v>109.83750000000001</v>
      </c>
      <c r="I927" s="480" t="s">
        <v>9009</v>
      </c>
      <c r="J927" s="468" t="s">
        <v>9015</v>
      </c>
      <c r="K927" s="468" t="s">
        <v>8996</v>
      </c>
      <c r="L927" s="468" t="s">
        <v>541</v>
      </c>
    </row>
    <row r="928" spans="1:12" x14ac:dyDescent="0.25">
      <c r="A928" s="485" t="s">
        <v>220</v>
      </c>
      <c r="B928" s="485" t="s">
        <v>588</v>
      </c>
      <c r="C928" s="485" t="s">
        <v>9177</v>
      </c>
      <c r="D928" s="485" t="s">
        <v>9178</v>
      </c>
      <c r="E928" s="485" t="s">
        <v>545</v>
      </c>
      <c r="F928" s="482">
        <v>4358</v>
      </c>
      <c r="G928" s="468">
        <v>0.16361999999999999</v>
      </c>
      <c r="H928" s="479">
        <v>713.05595999999991</v>
      </c>
      <c r="I928" s="480" t="s">
        <v>9009</v>
      </c>
      <c r="J928" s="468" t="s">
        <v>9015</v>
      </c>
      <c r="K928" s="468" t="s">
        <v>8996</v>
      </c>
      <c r="L928" s="468" t="s">
        <v>541</v>
      </c>
    </row>
    <row r="929" spans="1:12" x14ac:dyDescent="0.25">
      <c r="A929" s="485" t="s">
        <v>220</v>
      </c>
      <c r="B929" s="485" t="s">
        <v>588</v>
      </c>
      <c r="C929" s="485" t="s">
        <v>9179</v>
      </c>
      <c r="D929" s="485" t="s">
        <v>9180</v>
      </c>
      <c r="E929" s="485" t="s">
        <v>545</v>
      </c>
      <c r="F929" s="482">
        <v>505</v>
      </c>
      <c r="G929" s="468">
        <v>0.17271</v>
      </c>
      <c r="H929" s="479">
        <v>87.218550000000008</v>
      </c>
      <c r="I929" s="480" t="s">
        <v>9009</v>
      </c>
      <c r="J929" s="468" t="s">
        <v>9015</v>
      </c>
      <c r="K929" s="468" t="s">
        <v>8996</v>
      </c>
      <c r="L929" s="468" t="s">
        <v>541</v>
      </c>
    </row>
    <row r="930" spans="1:12" x14ac:dyDescent="0.25">
      <c r="A930" s="485" t="s">
        <v>220</v>
      </c>
      <c r="B930" s="485" t="s">
        <v>588</v>
      </c>
      <c r="C930" s="485" t="s">
        <v>9181</v>
      </c>
      <c r="D930" s="485" t="s">
        <v>9182</v>
      </c>
      <c r="E930" s="485" t="s">
        <v>545</v>
      </c>
      <c r="F930" s="482">
        <v>419</v>
      </c>
      <c r="G930" s="468">
        <v>0.19997999999999999</v>
      </c>
      <c r="H930" s="479">
        <v>83.791619999999995</v>
      </c>
      <c r="I930" s="480" t="s">
        <v>9009</v>
      </c>
      <c r="J930" s="468" t="s">
        <v>9015</v>
      </c>
      <c r="K930" s="468" t="s">
        <v>8996</v>
      </c>
      <c r="L930" s="468" t="s">
        <v>541</v>
      </c>
    </row>
    <row r="931" spans="1:12" x14ac:dyDescent="0.25">
      <c r="A931" s="485" t="s">
        <v>220</v>
      </c>
      <c r="B931" s="485" t="s">
        <v>588</v>
      </c>
      <c r="C931" s="485" t="s">
        <v>9183</v>
      </c>
      <c r="D931" s="485" t="s">
        <v>9184</v>
      </c>
      <c r="E931" s="485" t="s">
        <v>545</v>
      </c>
      <c r="F931" s="482">
        <v>1218</v>
      </c>
      <c r="G931" s="468">
        <v>0.2727</v>
      </c>
      <c r="H931" s="479">
        <v>332.14859999999999</v>
      </c>
      <c r="I931" s="480" t="s">
        <v>9009</v>
      </c>
      <c r="J931" s="468" t="s">
        <v>9015</v>
      </c>
      <c r="K931" s="468" t="s">
        <v>8996</v>
      </c>
      <c r="L931" s="468" t="s">
        <v>541</v>
      </c>
    </row>
    <row r="932" spans="1:12" x14ac:dyDescent="0.25">
      <c r="A932" s="485" t="s">
        <v>220</v>
      </c>
      <c r="B932" s="485" t="s">
        <v>588</v>
      </c>
      <c r="C932" s="485" t="s">
        <v>9185</v>
      </c>
      <c r="D932" s="485" t="s">
        <v>9186</v>
      </c>
      <c r="E932" s="485" t="s">
        <v>545</v>
      </c>
      <c r="F932" s="482">
        <v>765</v>
      </c>
      <c r="G932" s="468">
        <v>0.43631999999999993</v>
      </c>
      <c r="H932" s="479">
        <v>333.78479999999996</v>
      </c>
      <c r="I932" s="480" t="s">
        <v>9009</v>
      </c>
      <c r="J932" s="468" t="s">
        <v>9015</v>
      </c>
      <c r="K932" s="468" t="s">
        <v>8996</v>
      </c>
      <c r="L932" s="468" t="s">
        <v>541</v>
      </c>
    </row>
    <row r="933" spans="1:12" x14ac:dyDescent="0.25">
      <c r="A933" s="485" t="s">
        <v>220</v>
      </c>
      <c r="B933" s="485" t="s">
        <v>588</v>
      </c>
      <c r="C933" s="485" t="s">
        <v>9187</v>
      </c>
      <c r="D933" s="485" t="s">
        <v>9188</v>
      </c>
      <c r="E933" s="485" t="s">
        <v>545</v>
      </c>
      <c r="F933" s="482">
        <v>611</v>
      </c>
      <c r="G933" s="468">
        <v>0.50904000000000005</v>
      </c>
      <c r="H933" s="479">
        <v>311.02344000000005</v>
      </c>
      <c r="I933" s="480" t="s">
        <v>9009</v>
      </c>
      <c r="J933" s="468" t="s">
        <v>9015</v>
      </c>
      <c r="K933" s="468" t="s">
        <v>8996</v>
      </c>
      <c r="L933" s="468" t="s">
        <v>541</v>
      </c>
    </row>
    <row r="934" spans="1:12" x14ac:dyDescent="0.25">
      <c r="A934" s="485" t="s">
        <v>220</v>
      </c>
      <c r="B934" s="485" t="s">
        <v>588</v>
      </c>
      <c r="C934" s="485" t="s">
        <v>9189</v>
      </c>
      <c r="D934" s="485" t="s">
        <v>9190</v>
      </c>
      <c r="E934" s="485" t="s">
        <v>545</v>
      </c>
      <c r="F934" s="482">
        <v>1274</v>
      </c>
      <c r="G934" s="468">
        <v>0.56357999999999997</v>
      </c>
      <c r="H934" s="479">
        <v>718.00091999999995</v>
      </c>
      <c r="I934" s="480" t="s">
        <v>9009</v>
      </c>
      <c r="J934" s="468" t="s">
        <v>9015</v>
      </c>
      <c r="K934" s="468" t="s">
        <v>8996</v>
      </c>
      <c r="L934" s="468" t="s">
        <v>541</v>
      </c>
    </row>
    <row r="935" spans="1:12" x14ac:dyDescent="0.25">
      <c r="A935" s="485" t="s">
        <v>220</v>
      </c>
      <c r="B935" s="485" t="s">
        <v>588</v>
      </c>
      <c r="C935" s="485" t="s">
        <v>9191</v>
      </c>
      <c r="D935" s="485" t="s">
        <v>9192</v>
      </c>
      <c r="E935" s="485" t="s">
        <v>545</v>
      </c>
      <c r="F935" s="482">
        <v>1038</v>
      </c>
      <c r="G935" s="468">
        <v>0.292578901734104</v>
      </c>
      <c r="H935" s="479">
        <v>303.69689999999997</v>
      </c>
      <c r="I935" s="480" t="s">
        <v>9009</v>
      </c>
      <c r="J935" s="468" t="s">
        <v>9015</v>
      </c>
      <c r="K935" s="468" t="s">
        <v>8996</v>
      </c>
      <c r="L935" s="468" t="s">
        <v>541</v>
      </c>
    </row>
    <row r="936" spans="1:12" x14ac:dyDescent="0.25">
      <c r="A936" s="485" t="s">
        <v>220</v>
      </c>
      <c r="B936" s="485" t="s">
        <v>588</v>
      </c>
      <c r="C936" s="485" t="s">
        <v>9193</v>
      </c>
      <c r="D936" s="485" t="s">
        <v>9194</v>
      </c>
      <c r="E936" s="485" t="s">
        <v>545</v>
      </c>
      <c r="F936" s="482">
        <v>590</v>
      </c>
      <c r="G936" s="468">
        <v>0.33329999999999999</v>
      </c>
      <c r="H936" s="479">
        <v>196.64699999999999</v>
      </c>
      <c r="I936" s="480" t="s">
        <v>9009</v>
      </c>
      <c r="J936" s="468" t="s">
        <v>9015</v>
      </c>
      <c r="K936" s="468" t="s">
        <v>8996</v>
      </c>
      <c r="L936" s="468" t="s">
        <v>541</v>
      </c>
    </row>
    <row r="937" spans="1:12" x14ac:dyDescent="0.25">
      <c r="A937" s="485" t="s">
        <v>220</v>
      </c>
      <c r="B937" s="485" t="s">
        <v>588</v>
      </c>
      <c r="C937" s="485" t="s">
        <v>9195</v>
      </c>
      <c r="D937" s="485" t="s">
        <v>9196</v>
      </c>
      <c r="E937" s="485" t="s">
        <v>545</v>
      </c>
      <c r="F937" s="482">
        <v>735</v>
      </c>
      <c r="G937" s="468">
        <v>0.47469999999999996</v>
      </c>
      <c r="H937" s="479">
        <v>348.90449999999998</v>
      </c>
      <c r="I937" s="480" t="s">
        <v>9009</v>
      </c>
      <c r="J937" s="468" t="s">
        <v>9015</v>
      </c>
      <c r="K937" s="468" t="s">
        <v>8996</v>
      </c>
      <c r="L937" s="468" t="s">
        <v>541</v>
      </c>
    </row>
    <row r="938" spans="1:12" x14ac:dyDescent="0.25">
      <c r="A938" s="485" t="s">
        <v>220</v>
      </c>
      <c r="B938" s="485" t="s">
        <v>588</v>
      </c>
      <c r="C938" s="485" t="s">
        <v>9197</v>
      </c>
      <c r="D938" s="485" t="s">
        <v>9198</v>
      </c>
      <c r="E938" s="485" t="s">
        <v>545</v>
      </c>
      <c r="F938" s="482">
        <v>509</v>
      </c>
      <c r="G938" s="468">
        <v>0.42723</v>
      </c>
      <c r="H938" s="479">
        <v>217.46007</v>
      </c>
      <c r="I938" s="480" t="s">
        <v>9009</v>
      </c>
      <c r="J938" s="468" t="s">
        <v>9015</v>
      </c>
      <c r="K938" s="468" t="s">
        <v>8996</v>
      </c>
      <c r="L938" s="468" t="s">
        <v>541</v>
      </c>
    </row>
    <row r="939" spans="1:12" x14ac:dyDescent="0.25">
      <c r="A939" s="485" t="s">
        <v>220</v>
      </c>
      <c r="B939" s="485" t="s">
        <v>588</v>
      </c>
      <c r="C939" s="485" t="s">
        <v>9199</v>
      </c>
      <c r="D939" s="485" t="s">
        <v>9200</v>
      </c>
      <c r="E939" s="485" t="s">
        <v>545</v>
      </c>
      <c r="F939" s="482">
        <v>1045</v>
      </c>
      <c r="G939" s="468">
        <v>0.56006964593301434</v>
      </c>
      <c r="H939" s="479">
        <v>585.27278000000001</v>
      </c>
      <c r="I939" s="480" t="s">
        <v>9009</v>
      </c>
      <c r="J939" s="468" t="s">
        <v>9015</v>
      </c>
      <c r="K939" s="468" t="s">
        <v>8996</v>
      </c>
      <c r="L939" s="468" t="s">
        <v>541</v>
      </c>
    </row>
    <row r="940" spans="1:12" x14ac:dyDescent="0.25">
      <c r="A940" s="485" t="s">
        <v>220</v>
      </c>
      <c r="B940" s="485" t="s">
        <v>588</v>
      </c>
      <c r="C940" s="485" t="s">
        <v>662</v>
      </c>
      <c r="D940" s="485" t="s">
        <v>1866</v>
      </c>
      <c r="E940" s="485" t="s">
        <v>535</v>
      </c>
      <c r="F940" s="482">
        <v>540</v>
      </c>
      <c r="G940" s="468">
        <v>4.9006256153924221</v>
      </c>
      <c r="H940" s="479">
        <v>2646.3378323119077</v>
      </c>
      <c r="I940" s="480" t="s">
        <v>9009</v>
      </c>
      <c r="J940" s="468" t="s">
        <v>9201</v>
      </c>
      <c r="K940" s="468" t="s">
        <v>8996</v>
      </c>
      <c r="L940" s="468" t="s">
        <v>541</v>
      </c>
    </row>
    <row r="941" spans="1:12" x14ac:dyDescent="0.25">
      <c r="A941" s="485" t="s">
        <v>220</v>
      </c>
      <c r="B941" s="485" t="s">
        <v>588</v>
      </c>
      <c r="C941" s="485" t="s">
        <v>1867</v>
      </c>
      <c r="D941" s="485" t="s">
        <v>1868</v>
      </c>
      <c r="E941" s="485" t="s">
        <v>535</v>
      </c>
      <c r="F941" s="482">
        <v>351.8</v>
      </c>
      <c r="G941" s="468">
        <v>5.0513671608459143</v>
      </c>
      <c r="H941" s="479">
        <v>1777.0709671855927</v>
      </c>
      <c r="I941" s="480" t="s">
        <v>9009</v>
      </c>
      <c r="J941" s="468" t="s">
        <v>9201</v>
      </c>
      <c r="K941" s="468" t="s">
        <v>8996</v>
      </c>
      <c r="L941" s="468" t="s">
        <v>541</v>
      </c>
    </row>
    <row r="942" spans="1:12" x14ac:dyDescent="0.25">
      <c r="A942" s="485" t="s">
        <v>220</v>
      </c>
      <c r="B942" s="485" t="s">
        <v>588</v>
      </c>
      <c r="C942" s="485" t="s">
        <v>1871</v>
      </c>
      <c r="D942" s="485" t="s">
        <v>1872</v>
      </c>
      <c r="E942" s="485" t="s">
        <v>535</v>
      </c>
      <c r="F942" s="482">
        <v>229.5</v>
      </c>
      <c r="G942" s="468">
        <v>6.9871818756729089</v>
      </c>
      <c r="H942" s="479">
        <v>1603.5582404669326</v>
      </c>
      <c r="I942" s="480" t="s">
        <v>9009</v>
      </c>
      <c r="J942" s="468" t="s">
        <v>9201</v>
      </c>
      <c r="K942" s="468" t="s">
        <v>8996</v>
      </c>
      <c r="L942" s="468" t="s">
        <v>541</v>
      </c>
    </row>
    <row r="943" spans="1:12" x14ac:dyDescent="0.25">
      <c r="A943" s="485" t="s">
        <v>220</v>
      </c>
      <c r="B943" s="485" t="s">
        <v>588</v>
      </c>
      <c r="C943" s="485" t="s">
        <v>1873</v>
      </c>
      <c r="D943" s="485" t="s">
        <v>1874</v>
      </c>
      <c r="E943" s="485" t="s">
        <v>535</v>
      </c>
      <c r="F943" s="482">
        <v>923.4</v>
      </c>
      <c r="G943" s="468">
        <v>4.8500000000000005</v>
      </c>
      <c r="H943" s="479">
        <v>4478.4900000000007</v>
      </c>
      <c r="I943" s="480" t="s">
        <v>9009</v>
      </c>
      <c r="J943" s="468" t="s">
        <v>9201</v>
      </c>
      <c r="K943" s="468" t="s">
        <v>8996</v>
      </c>
      <c r="L943" s="468" t="s">
        <v>541</v>
      </c>
    </row>
    <row r="944" spans="1:12" x14ac:dyDescent="0.25">
      <c r="A944" s="485" t="s">
        <v>220</v>
      </c>
      <c r="B944" s="485" t="s">
        <v>588</v>
      </c>
      <c r="C944" s="485" t="s">
        <v>1875</v>
      </c>
      <c r="D944" s="485" t="s">
        <v>1876</v>
      </c>
      <c r="E944" s="485" t="s">
        <v>535</v>
      </c>
      <c r="F944" s="482">
        <v>113.9</v>
      </c>
      <c r="G944" s="468">
        <v>6.9886879616954651</v>
      </c>
      <c r="H944" s="479">
        <v>796.01155883711351</v>
      </c>
      <c r="I944" s="480" t="s">
        <v>9009</v>
      </c>
      <c r="J944" s="468" t="s">
        <v>9201</v>
      </c>
      <c r="K944" s="468" t="s">
        <v>8996</v>
      </c>
      <c r="L944" s="468" t="s">
        <v>541</v>
      </c>
    </row>
    <row r="945" spans="1:12" x14ac:dyDescent="0.25">
      <c r="A945" s="485" t="s">
        <v>220</v>
      </c>
      <c r="B945" s="485" t="s">
        <v>588</v>
      </c>
      <c r="C945" s="485" t="s">
        <v>1877</v>
      </c>
      <c r="D945" s="485" t="s">
        <v>1878</v>
      </c>
      <c r="E945" s="485" t="s">
        <v>535</v>
      </c>
      <c r="F945" s="482">
        <v>340.2</v>
      </c>
      <c r="G945" s="468">
        <v>7.0987832461235545</v>
      </c>
      <c r="H945" s="479">
        <v>2415.0060603312331</v>
      </c>
      <c r="I945" s="480" t="s">
        <v>9009</v>
      </c>
      <c r="J945" s="468" t="s">
        <v>9201</v>
      </c>
      <c r="K945" s="468" t="s">
        <v>8996</v>
      </c>
      <c r="L945" s="468" t="s">
        <v>541</v>
      </c>
    </row>
    <row r="946" spans="1:12" x14ac:dyDescent="0.25">
      <c r="A946" s="485" t="s">
        <v>220</v>
      </c>
      <c r="B946" s="485" t="s">
        <v>588</v>
      </c>
      <c r="C946" s="485" t="s">
        <v>9202</v>
      </c>
      <c r="D946" s="485" t="s">
        <v>9203</v>
      </c>
      <c r="E946" s="485" t="s">
        <v>535</v>
      </c>
      <c r="F946" s="482">
        <v>452.2</v>
      </c>
      <c r="G946" s="468">
        <v>6.8</v>
      </c>
      <c r="H946" s="479">
        <v>3074.96</v>
      </c>
      <c r="I946" s="480" t="s">
        <v>9009</v>
      </c>
      <c r="J946" s="468" t="s">
        <v>9201</v>
      </c>
      <c r="K946" s="468" t="s">
        <v>8996</v>
      </c>
      <c r="L946" s="468" t="s">
        <v>541</v>
      </c>
    </row>
    <row r="947" spans="1:12" x14ac:dyDescent="0.25">
      <c r="A947" s="485" t="s">
        <v>220</v>
      </c>
      <c r="B947" s="485" t="s">
        <v>588</v>
      </c>
      <c r="C947" s="485" t="s">
        <v>9204</v>
      </c>
      <c r="D947" s="485" t="s">
        <v>9205</v>
      </c>
      <c r="E947" s="485" t="s">
        <v>535</v>
      </c>
      <c r="F947" s="482">
        <v>518.5</v>
      </c>
      <c r="G947" s="468">
        <v>6.8</v>
      </c>
      <c r="H947" s="479">
        <v>3525.7999999999997</v>
      </c>
      <c r="I947" s="480" t="s">
        <v>9009</v>
      </c>
      <c r="J947" s="468" t="s">
        <v>9201</v>
      </c>
      <c r="K947" s="468" t="s">
        <v>8996</v>
      </c>
      <c r="L947" s="468" t="s">
        <v>541</v>
      </c>
    </row>
    <row r="948" spans="1:12" x14ac:dyDescent="0.25">
      <c r="A948" s="485" t="s">
        <v>220</v>
      </c>
      <c r="B948" s="485" t="s">
        <v>588</v>
      </c>
      <c r="C948" s="485" t="s">
        <v>9206</v>
      </c>
      <c r="D948" s="485" t="s">
        <v>9207</v>
      </c>
      <c r="E948" s="485" t="s">
        <v>535</v>
      </c>
      <c r="F948" s="482">
        <v>492.8</v>
      </c>
      <c r="G948" s="468">
        <v>6.8</v>
      </c>
      <c r="H948" s="479">
        <v>3351.04</v>
      </c>
      <c r="I948" s="480" t="s">
        <v>9009</v>
      </c>
      <c r="J948" s="468" t="s">
        <v>9201</v>
      </c>
      <c r="K948" s="468" t="s">
        <v>8996</v>
      </c>
      <c r="L948" s="468" t="s">
        <v>541</v>
      </c>
    </row>
    <row r="949" spans="1:12" x14ac:dyDescent="0.25">
      <c r="A949" s="485" t="s">
        <v>220</v>
      </c>
      <c r="B949" s="485" t="s">
        <v>588</v>
      </c>
      <c r="C949" s="485" t="s">
        <v>9208</v>
      </c>
      <c r="D949" s="485" t="s">
        <v>9209</v>
      </c>
      <c r="E949" s="485" t="s">
        <v>535</v>
      </c>
      <c r="F949" s="482">
        <v>597.70000000000005</v>
      </c>
      <c r="G949" s="468">
        <v>6.8</v>
      </c>
      <c r="H949" s="479">
        <v>4064.36</v>
      </c>
      <c r="I949" s="480" t="s">
        <v>9009</v>
      </c>
      <c r="J949" s="468" t="s">
        <v>9201</v>
      </c>
      <c r="K949" s="468" t="s">
        <v>8996</v>
      </c>
      <c r="L949" s="468" t="s">
        <v>541</v>
      </c>
    </row>
    <row r="950" spans="1:12" x14ac:dyDescent="0.25">
      <c r="A950" s="485" t="s">
        <v>220</v>
      </c>
      <c r="B950" s="485" t="s">
        <v>588</v>
      </c>
      <c r="C950" s="485" t="s">
        <v>1879</v>
      </c>
      <c r="D950" s="485" t="s">
        <v>1880</v>
      </c>
      <c r="E950" s="485" t="s">
        <v>545</v>
      </c>
      <c r="F950" s="482">
        <v>50</v>
      </c>
      <c r="G950" s="468">
        <v>6.0036179075248235</v>
      </c>
      <c r="H950" s="479">
        <v>300.18089537624115</v>
      </c>
      <c r="I950" s="480" t="s">
        <v>9009</v>
      </c>
      <c r="J950" s="468" t="s">
        <v>9147</v>
      </c>
      <c r="K950" s="468" t="s">
        <v>8996</v>
      </c>
      <c r="L950" s="468" t="s">
        <v>541</v>
      </c>
    </row>
    <row r="951" spans="1:12" x14ac:dyDescent="0.25">
      <c r="A951" s="485" t="s">
        <v>220</v>
      </c>
      <c r="B951" s="485" t="s">
        <v>588</v>
      </c>
      <c r="C951" s="485" t="s">
        <v>1881</v>
      </c>
      <c r="D951" s="485" t="s">
        <v>1882</v>
      </c>
      <c r="E951" s="485" t="s">
        <v>545</v>
      </c>
      <c r="F951" s="482">
        <v>65</v>
      </c>
      <c r="G951" s="468">
        <v>29.731000435276307</v>
      </c>
      <c r="H951" s="479">
        <v>1932.5150282929599</v>
      </c>
      <c r="I951" s="480" t="s">
        <v>9009</v>
      </c>
      <c r="J951" s="468" t="s">
        <v>9201</v>
      </c>
      <c r="K951" s="468" t="s">
        <v>8996</v>
      </c>
      <c r="L951" s="468" t="s">
        <v>541</v>
      </c>
    </row>
    <row r="952" spans="1:12" x14ac:dyDescent="0.25">
      <c r="A952" s="485" t="s">
        <v>220</v>
      </c>
      <c r="B952" s="485" t="s">
        <v>588</v>
      </c>
      <c r="C952" s="485" t="s">
        <v>1883</v>
      </c>
      <c r="D952" s="485" t="s">
        <v>1884</v>
      </c>
      <c r="E952" s="485" t="s">
        <v>545</v>
      </c>
      <c r="F952" s="482">
        <v>20</v>
      </c>
      <c r="G952" s="468">
        <v>17</v>
      </c>
      <c r="H952" s="479">
        <v>340</v>
      </c>
      <c r="I952" s="480" t="s">
        <v>9009</v>
      </c>
      <c r="J952" s="468" t="s">
        <v>9201</v>
      </c>
      <c r="K952" s="468" t="s">
        <v>8996</v>
      </c>
      <c r="L952" s="468" t="s">
        <v>541</v>
      </c>
    </row>
    <row r="953" spans="1:12" x14ac:dyDescent="0.25">
      <c r="A953" s="485" t="s">
        <v>220</v>
      </c>
      <c r="B953" s="485" t="s">
        <v>588</v>
      </c>
      <c r="C953" s="485" t="s">
        <v>1885</v>
      </c>
      <c r="D953" s="485" t="s">
        <v>1886</v>
      </c>
      <c r="E953" s="485" t="s">
        <v>545</v>
      </c>
      <c r="F953" s="482">
        <v>10</v>
      </c>
      <c r="G953" s="468">
        <v>17</v>
      </c>
      <c r="H953" s="479">
        <v>170</v>
      </c>
      <c r="I953" s="480" t="s">
        <v>9009</v>
      </c>
      <c r="J953" s="468" t="s">
        <v>9201</v>
      </c>
      <c r="K953" s="468" t="s">
        <v>8996</v>
      </c>
      <c r="L953" s="468" t="s">
        <v>541</v>
      </c>
    </row>
    <row r="954" spans="1:12" x14ac:dyDescent="0.25">
      <c r="A954" s="485" t="s">
        <v>220</v>
      </c>
      <c r="B954" s="485" t="s">
        <v>588</v>
      </c>
      <c r="C954" s="485" t="s">
        <v>1889</v>
      </c>
      <c r="D954" s="485" t="s">
        <v>1890</v>
      </c>
      <c r="E954" s="485" t="s">
        <v>545</v>
      </c>
      <c r="F954" s="482">
        <v>50</v>
      </c>
      <c r="G954" s="468">
        <v>27.7</v>
      </c>
      <c r="H954" s="479">
        <v>1385</v>
      </c>
      <c r="I954" s="480" t="s">
        <v>9009</v>
      </c>
      <c r="J954" s="468" t="s">
        <v>9201</v>
      </c>
      <c r="K954" s="468" t="s">
        <v>8996</v>
      </c>
      <c r="L954" s="468" t="s">
        <v>541</v>
      </c>
    </row>
    <row r="955" spans="1:12" x14ac:dyDescent="0.25">
      <c r="A955" s="485" t="s">
        <v>220</v>
      </c>
      <c r="B955" s="485" t="s">
        <v>588</v>
      </c>
      <c r="C955" s="485" t="s">
        <v>664</v>
      </c>
      <c r="D955" s="485" t="s">
        <v>1891</v>
      </c>
      <c r="E955" s="485" t="s">
        <v>545</v>
      </c>
      <c r="F955" s="482">
        <v>120</v>
      </c>
      <c r="G955" s="468">
        <v>3.2738407209731339</v>
      </c>
      <c r="H955" s="479">
        <v>392.86088651677608</v>
      </c>
      <c r="I955" s="480" t="s">
        <v>9009</v>
      </c>
      <c r="J955" s="468" t="s">
        <v>9147</v>
      </c>
      <c r="K955" s="468" t="s">
        <v>8996</v>
      </c>
      <c r="L955" s="468" t="s">
        <v>541</v>
      </c>
    </row>
    <row r="956" spans="1:12" x14ac:dyDescent="0.25">
      <c r="A956" s="485" t="s">
        <v>220</v>
      </c>
      <c r="B956" s="485" t="s">
        <v>588</v>
      </c>
      <c r="C956" s="485" t="s">
        <v>1892</v>
      </c>
      <c r="D956" s="485" t="s">
        <v>1893</v>
      </c>
      <c r="E956" s="485" t="s">
        <v>1894</v>
      </c>
      <c r="F956" s="482">
        <v>160</v>
      </c>
      <c r="G956" s="468">
        <v>3.2903322259136214</v>
      </c>
      <c r="H956" s="479">
        <v>526.45315614617948</v>
      </c>
      <c r="I956" s="480" t="s">
        <v>9009</v>
      </c>
      <c r="J956" s="468" t="s">
        <v>9147</v>
      </c>
      <c r="K956" s="468" t="s">
        <v>8996</v>
      </c>
      <c r="L956" s="468" t="s">
        <v>541</v>
      </c>
    </row>
    <row r="957" spans="1:12" x14ac:dyDescent="0.25">
      <c r="A957" s="485" t="s">
        <v>220</v>
      </c>
      <c r="B957" s="485" t="s">
        <v>588</v>
      </c>
      <c r="C957" s="485" t="s">
        <v>539</v>
      </c>
      <c r="D957" s="485" t="s">
        <v>540</v>
      </c>
      <c r="E957" s="485" t="s">
        <v>535</v>
      </c>
      <c r="F957" s="482">
        <v>12903</v>
      </c>
      <c r="G957" s="468">
        <v>6.3141038910597755</v>
      </c>
      <c r="H957" s="479">
        <v>81470.882506344278</v>
      </c>
      <c r="I957" s="480" t="s">
        <v>9009</v>
      </c>
      <c r="J957" s="468" t="s">
        <v>9011</v>
      </c>
      <c r="K957" s="468" t="s">
        <v>8994</v>
      </c>
      <c r="L957" s="468" t="s">
        <v>541</v>
      </c>
    </row>
    <row r="958" spans="1:12" x14ac:dyDescent="0.25">
      <c r="A958" s="485" t="s">
        <v>220</v>
      </c>
      <c r="B958" s="485" t="s">
        <v>588</v>
      </c>
      <c r="C958" s="485" t="s">
        <v>1897</v>
      </c>
      <c r="D958" s="485" t="s">
        <v>1898</v>
      </c>
      <c r="E958" s="485" t="s">
        <v>535</v>
      </c>
      <c r="F958" s="482">
        <v>180</v>
      </c>
      <c r="G958" s="468">
        <v>44.068298925999997</v>
      </c>
      <c r="H958" s="479">
        <v>7932.2938066799998</v>
      </c>
      <c r="I958" s="480" t="s">
        <v>9009</v>
      </c>
      <c r="J958" s="468" t="s">
        <v>9147</v>
      </c>
      <c r="K958" s="468" t="s">
        <v>8996</v>
      </c>
      <c r="L958" s="468" t="s">
        <v>541</v>
      </c>
    </row>
    <row r="959" spans="1:12" x14ac:dyDescent="0.25">
      <c r="A959" s="485" t="s">
        <v>220</v>
      </c>
      <c r="B959" s="485" t="s">
        <v>588</v>
      </c>
      <c r="C959" s="485" t="s">
        <v>700</v>
      </c>
      <c r="D959" s="485" t="s">
        <v>701</v>
      </c>
      <c r="E959" s="485" t="s">
        <v>545</v>
      </c>
      <c r="F959" s="482">
        <v>72</v>
      </c>
      <c r="G959" s="468">
        <v>30.505706430295458</v>
      </c>
      <c r="H959" s="479">
        <v>2196.4108629812731</v>
      </c>
      <c r="I959" s="480" t="s">
        <v>9009</v>
      </c>
      <c r="J959" s="468" t="s">
        <v>9147</v>
      </c>
      <c r="K959" s="468" t="s">
        <v>8996</v>
      </c>
      <c r="L959" s="468" t="s">
        <v>541</v>
      </c>
    </row>
    <row r="960" spans="1:12" x14ac:dyDescent="0.25">
      <c r="A960" s="485" t="s">
        <v>220</v>
      </c>
      <c r="B960" s="485" t="s">
        <v>588</v>
      </c>
      <c r="C960" s="485" t="s">
        <v>1899</v>
      </c>
      <c r="D960" s="485" t="s">
        <v>1900</v>
      </c>
      <c r="E960" s="485" t="s">
        <v>535</v>
      </c>
      <c r="F960" s="482">
        <v>315</v>
      </c>
      <c r="G960" s="468">
        <v>19.719606724089633</v>
      </c>
      <c r="H960" s="479">
        <v>6211.6761180882349</v>
      </c>
      <c r="I960" s="480" t="s">
        <v>9009</v>
      </c>
      <c r="J960" s="468" t="s">
        <v>9011</v>
      </c>
      <c r="K960" s="468" t="s">
        <v>8996</v>
      </c>
      <c r="L960" s="468" t="s">
        <v>541</v>
      </c>
    </row>
    <row r="961" spans="1:12" x14ac:dyDescent="0.25">
      <c r="A961" s="485" t="s">
        <v>220</v>
      </c>
      <c r="B961" s="485" t="s">
        <v>588</v>
      </c>
      <c r="C961" s="485" t="s">
        <v>731</v>
      </c>
      <c r="D961" s="485" t="s">
        <v>1903</v>
      </c>
      <c r="E961" s="485" t="s">
        <v>545</v>
      </c>
      <c r="F961" s="482">
        <v>2</v>
      </c>
      <c r="G961" s="468">
        <v>153.66428571428574</v>
      </c>
      <c r="H961" s="479">
        <v>307.32857142857148</v>
      </c>
      <c r="I961" s="480" t="s">
        <v>9009</v>
      </c>
      <c r="J961" s="468" t="s">
        <v>9201</v>
      </c>
      <c r="K961" s="468" t="s">
        <v>8996</v>
      </c>
      <c r="L961" s="468" t="s">
        <v>541</v>
      </c>
    </row>
    <row r="962" spans="1:12" x14ac:dyDescent="0.25">
      <c r="A962" s="485" t="s">
        <v>220</v>
      </c>
      <c r="B962" s="485" t="s">
        <v>2152</v>
      </c>
      <c r="C962" s="485" t="s">
        <v>827</v>
      </c>
      <c r="D962" s="485" t="s">
        <v>828</v>
      </c>
      <c r="E962" s="485" t="s">
        <v>545</v>
      </c>
      <c r="F962" s="482">
        <v>283</v>
      </c>
      <c r="G962" s="468">
        <v>7.9457692462815732</v>
      </c>
      <c r="H962" s="479">
        <v>2248.6526966976853</v>
      </c>
      <c r="I962" s="480" t="s">
        <v>9009</v>
      </c>
      <c r="J962" s="468" t="s">
        <v>9011</v>
      </c>
      <c r="K962" s="468" t="s">
        <v>9068</v>
      </c>
      <c r="L962" s="468" t="s">
        <v>541</v>
      </c>
    </row>
    <row r="963" spans="1:12" x14ac:dyDescent="0.25">
      <c r="A963" s="485" t="s">
        <v>220</v>
      </c>
      <c r="B963" s="485" t="s">
        <v>2152</v>
      </c>
      <c r="C963" s="485" t="s">
        <v>849</v>
      </c>
      <c r="D963" s="485" t="s">
        <v>850</v>
      </c>
      <c r="E963" s="485" t="s">
        <v>545</v>
      </c>
      <c r="F963" s="482">
        <v>144</v>
      </c>
      <c r="G963" s="468">
        <v>4.3059139447251029</v>
      </c>
      <c r="H963" s="479">
        <v>620.05160804041486</v>
      </c>
      <c r="I963" s="480" t="s">
        <v>9009</v>
      </c>
      <c r="J963" s="468" t="s">
        <v>9011</v>
      </c>
      <c r="K963" s="468" t="s">
        <v>9068</v>
      </c>
      <c r="L963" s="468" t="s">
        <v>541</v>
      </c>
    </row>
    <row r="964" spans="1:12" x14ac:dyDescent="0.25">
      <c r="A964" s="485" t="s">
        <v>220</v>
      </c>
      <c r="B964" s="485" t="s">
        <v>2152</v>
      </c>
      <c r="C964" s="485" t="s">
        <v>851</v>
      </c>
      <c r="D964" s="485" t="s">
        <v>852</v>
      </c>
      <c r="E964" s="485" t="s">
        <v>545</v>
      </c>
      <c r="F964" s="482">
        <v>216</v>
      </c>
      <c r="G964" s="468">
        <v>5.4451132845537913</v>
      </c>
      <c r="H964" s="479">
        <v>1176.1444694636189</v>
      </c>
      <c r="I964" s="480" t="s">
        <v>9009</v>
      </c>
      <c r="J964" s="468" t="s">
        <v>9011</v>
      </c>
      <c r="K964" s="468" t="s">
        <v>9068</v>
      </c>
      <c r="L964" s="468" t="s">
        <v>541</v>
      </c>
    </row>
    <row r="965" spans="1:12" x14ac:dyDescent="0.25">
      <c r="A965" s="485" t="s">
        <v>220</v>
      </c>
      <c r="B965" s="485" t="s">
        <v>2152</v>
      </c>
      <c r="C965" s="485" t="s">
        <v>857</v>
      </c>
      <c r="D965" s="485" t="s">
        <v>858</v>
      </c>
      <c r="E965" s="485" t="s">
        <v>545</v>
      </c>
      <c r="F965" s="482">
        <v>123</v>
      </c>
      <c r="G965" s="468">
        <v>5.8814204624571929</v>
      </c>
      <c r="H965" s="479">
        <v>723.41471688223476</v>
      </c>
      <c r="I965" s="480" t="s">
        <v>9009</v>
      </c>
      <c r="J965" s="468" t="s">
        <v>9011</v>
      </c>
      <c r="K965" s="468" t="s">
        <v>9068</v>
      </c>
      <c r="L965" s="468" t="s">
        <v>541</v>
      </c>
    </row>
    <row r="966" spans="1:12" x14ac:dyDescent="0.25">
      <c r="A966" s="485" t="s">
        <v>220</v>
      </c>
      <c r="B966" s="485" t="s">
        <v>2152</v>
      </c>
      <c r="C966" s="485" t="s">
        <v>2153</v>
      </c>
      <c r="D966" s="485" t="s">
        <v>2154</v>
      </c>
      <c r="E966" s="485" t="s">
        <v>545</v>
      </c>
      <c r="F966" s="482">
        <v>211</v>
      </c>
      <c r="G966" s="468">
        <v>9.7258153946003176</v>
      </c>
      <c r="H966" s="479">
        <v>2052.1470482606669</v>
      </c>
      <c r="I966" s="480" t="s">
        <v>9009</v>
      </c>
      <c r="J966" s="468" t="s">
        <v>9011</v>
      </c>
      <c r="K966" s="468" t="s">
        <v>9068</v>
      </c>
      <c r="L966" s="468" t="s">
        <v>541</v>
      </c>
    </row>
    <row r="967" spans="1:12" x14ac:dyDescent="0.25">
      <c r="A967" s="485" t="s">
        <v>220</v>
      </c>
      <c r="B967" s="485" t="s">
        <v>2152</v>
      </c>
      <c r="C967" s="485" t="s">
        <v>876</v>
      </c>
      <c r="D967" s="485" t="s">
        <v>877</v>
      </c>
      <c r="E967" s="485" t="s">
        <v>545</v>
      </c>
      <c r="F967" s="482">
        <v>153</v>
      </c>
      <c r="G967" s="468">
        <v>7.8736921901764845</v>
      </c>
      <c r="H967" s="479">
        <v>1204.674905097002</v>
      </c>
      <c r="I967" s="480" t="s">
        <v>9009</v>
      </c>
      <c r="J967" s="468" t="s">
        <v>9011</v>
      </c>
      <c r="K967" s="468" t="s">
        <v>9068</v>
      </c>
      <c r="L967" s="468" t="s">
        <v>541</v>
      </c>
    </row>
    <row r="968" spans="1:12" x14ac:dyDescent="0.25">
      <c r="A968" s="485" t="s">
        <v>220</v>
      </c>
      <c r="B968" s="485" t="s">
        <v>2152</v>
      </c>
      <c r="C968" s="485" t="s">
        <v>882</v>
      </c>
      <c r="D968" s="485" t="s">
        <v>883</v>
      </c>
      <c r="E968" s="485" t="s">
        <v>545</v>
      </c>
      <c r="F968" s="482">
        <v>172</v>
      </c>
      <c r="G968" s="468">
        <v>11.834600059067652</v>
      </c>
      <c r="H968" s="479">
        <v>2035.5512101596362</v>
      </c>
      <c r="I968" s="480" t="s">
        <v>9009</v>
      </c>
      <c r="J968" s="468" t="s">
        <v>9011</v>
      </c>
      <c r="K968" s="468" t="s">
        <v>9068</v>
      </c>
      <c r="L968" s="468" t="s">
        <v>541</v>
      </c>
    </row>
    <row r="969" spans="1:12" x14ac:dyDescent="0.25">
      <c r="A969" s="485" t="s">
        <v>220</v>
      </c>
      <c r="B969" s="485" t="s">
        <v>2152</v>
      </c>
      <c r="C969" s="485" t="s">
        <v>890</v>
      </c>
      <c r="D969" s="485" t="s">
        <v>891</v>
      </c>
      <c r="E969" s="485" t="s">
        <v>545</v>
      </c>
      <c r="F969" s="482">
        <v>175</v>
      </c>
      <c r="G969" s="468">
        <v>16.100236678529633</v>
      </c>
      <c r="H969" s="479">
        <v>2817.5414187426859</v>
      </c>
      <c r="I969" s="480" t="s">
        <v>9009</v>
      </c>
      <c r="J969" s="468" t="s">
        <v>9011</v>
      </c>
      <c r="K969" s="468" t="s">
        <v>9068</v>
      </c>
      <c r="L969" s="468" t="s">
        <v>541</v>
      </c>
    </row>
    <row r="970" spans="1:12" x14ac:dyDescent="0.25">
      <c r="A970" s="485" t="s">
        <v>220</v>
      </c>
      <c r="B970" s="485" t="s">
        <v>2152</v>
      </c>
      <c r="C970" s="485" t="s">
        <v>894</v>
      </c>
      <c r="D970" s="485" t="s">
        <v>895</v>
      </c>
      <c r="E970" s="485" t="s">
        <v>545</v>
      </c>
      <c r="F970" s="482">
        <v>19</v>
      </c>
      <c r="G970" s="468">
        <v>23.699721802336637</v>
      </c>
      <c r="H970" s="479">
        <v>450.29471424439612</v>
      </c>
      <c r="I970" s="480" t="s">
        <v>9009</v>
      </c>
      <c r="J970" s="468" t="s">
        <v>9011</v>
      </c>
      <c r="K970" s="468" t="s">
        <v>9068</v>
      </c>
      <c r="L970" s="468" t="s">
        <v>541</v>
      </c>
    </row>
    <row r="971" spans="1:12" x14ac:dyDescent="0.25">
      <c r="A971" s="485" t="s">
        <v>220</v>
      </c>
      <c r="B971" s="485" t="s">
        <v>2152</v>
      </c>
      <c r="C971" s="485" t="s">
        <v>902</v>
      </c>
      <c r="D971" s="485" t="s">
        <v>903</v>
      </c>
      <c r="E971" s="485" t="s">
        <v>545</v>
      </c>
      <c r="F971" s="482">
        <v>131</v>
      </c>
      <c r="G971" s="468">
        <v>8.2255219304087159</v>
      </c>
      <c r="H971" s="479">
        <v>1077.5433728835417</v>
      </c>
      <c r="I971" s="480" t="s">
        <v>9009</v>
      </c>
      <c r="J971" s="468" t="s">
        <v>9011</v>
      </c>
      <c r="K971" s="468" t="s">
        <v>9068</v>
      </c>
      <c r="L971" s="468" t="s">
        <v>541</v>
      </c>
    </row>
    <row r="972" spans="1:12" x14ac:dyDescent="0.25">
      <c r="A972" s="485" t="s">
        <v>220</v>
      </c>
      <c r="B972" s="485" t="s">
        <v>2152</v>
      </c>
      <c r="C972" s="485" t="s">
        <v>813</v>
      </c>
      <c r="D972" s="485" t="s">
        <v>904</v>
      </c>
      <c r="E972" s="485" t="s">
        <v>545</v>
      </c>
      <c r="F972" s="482">
        <v>111</v>
      </c>
      <c r="G972" s="468">
        <v>8.3328387556776438</v>
      </c>
      <c r="H972" s="479">
        <v>924.94510188021843</v>
      </c>
      <c r="I972" s="480" t="s">
        <v>9009</v>
      </c>
      <c r="J972" s="468" t="s">
        <v>9011</v>
      </c>
      <c r="K972" s="468" t="s">
        <v>9068</v>
      </c>
      <c r="L972" s="468" t="s">
        <v>541</v>
      </c>
    </row>
    <row r="973" spans="1:12" x14ac:dyDescent="0.25">
      <c r="A973" s="485" t="s">
        <v>220</v>
      </c>
      <c r="B973" s="485" t="s">
        <v>2152</v>
      </c>
      <c r="C973" s="485" t="s">
        <v>2155</v>
      </c>
      <c r="D973" s="485" t="s">
        <v>2156</v>
      </c>
      <c r="E973" s="485" t="s">
        <v>545</v>
      </c>
      <c r="F973" s="482">
        <v>736</v>
      </c>
      <c r="G973" s="468">
        <v>7.5318441523671078</v>
      </c>
      <c r="H973" s="479">
        <v>5543.4372961421914</v>
      </c>
      <c r="I973" s="480" t="s">
        <v>9009</v>
      </c>
      <c r="J973" s="468" t="s">
        <v>9011</v>
      </c>
      <c r="K973" s="468" t="s">
        <v>9068</v>
      </c>
      <c r="L973" s="468" t="s">
        <v>541</v>
      </c>
    </row>
    <row r="974" spans="1:12" x14ac:dyDescent="0.25">
      <c r="A974" s="485" t="s">
        <v>220</v>
      </c>
      <c r="B974" s="485" t="s">
        <v>2152</v>
      </c>
      <c r="C974" s="485" t="s">
        <v>909</v>
      </c>
      <c r="D974" s="485" t="s">
        <v>2157</v>
      </c>
      <c r="E974" s="485" t="s">
        <v>545</v>
      </c>
      <c r="F974" s="482">
        <v>360</v>
      </c>
      <c r="G974" s="468">
        <v>5.3465483171323109</v>
      </c>
      <c r="H974" s="479">
        <v>1924.7573941676319</v>
      </c>
      <c r="I974" s="480" t="s">
        <v>9009</v>
      </c>
      <c r="J974" s="468" t="s">
        <v>9011</v>
      </c>
      <c r="K974" s="468" t="s">
        <v>9068</v>
      </c>
      <c r="L974" s="468" t="s">
        <v>541</v>
      </c>
    </row>
    <row r="975" spans="1:12" x14ac:dyDescent="0.25">
      <c r="A975" s="485" t="s">
        <v>220</v>
      </c>
      <c r="B975" s="485" t="s">
        <v>2152</v>
      </c>
      <c r="C975" s="485" t="s">
        <v>911</v>
      </c>
      <c r="D975" s="485" t="s">
        <v>2158</v>
      </c>
      <c r="E975" s="485" t="s">
        <v>545</v>
      </c>
      <c r="F975" s="482">
        <v>770</v>
      </c>
      <c r="G975" s="468">
        <v>5.6279861703687351</v>
      </c>
      <c r="H975" s="479">
        <v>4333.5493511839259</v>
      </c>
      <c r="I975" s="480" t="s">
        <v>9009</v>
      </c>
      <c r="J975" s="468" t="s">
        <v>9011</v>
      </c>
      <c r="K975" s="468" t="s">
        <v>9068</v>
      </c>
      <c r="L975" s="468" t="s">
        <v>541</v>
      </c>
    </row>
    <row r="976" spans="1:12" x14ac:dyDescent="0.25">
      <c r="A976" s="485" t="s">
        <v>220</v>
      </c>
      <c r="B976" s="485" t="s">
        <v>2152</v>
      </c>
      <c r="C976" s="485" t="s">
        <v>913</v>
      </c>
      <c r="D976" s="485" t="s">
        <v>2159</v>
      </c>
      <c r="E976" s="485" t="s">
        <v>545</v>
      </c>
      <c r="F976" s="482">
        <v>1320</v>
      </c>
      <c r="G976" s="468">
        <v>5.854190761007608</v>
      </c>
      <c r="H976" s="479">
        <v>7727.5318045300428</v>
      </c>
      <c r="I976" s="480" t="s">
        <v>9009</v>
      </c>
      <c r="J976" s="468" t="s">
        <v>9011</v>
      </c>
      <c r="K976" s="468" t="s">
        <v>9068</v>
      </c>
      <c r="L976" s="468" t="s">
        <v>541</v>
      </c>
    </row>
    <row r="977" spans="1:12" x14ac:dyDescent="0.25">
      <c r="A977" s="485" t="s">
        <v>220</v>
      </c>
      <c r="B977" s="485" t="s">
        <v>2152</v>
      </c>
      <c r="C977" s="485" t="s">
        <v>937</v>
      </c>
      <c r="D977" s="485" t="s">
        <v>2160</v>
      </c>
      <c r="E977" s="485" t="s">
        <v>545</v>
      </c>
      <c r="F977" s="482">
        <v>1908</v>
      </c>
      <c r="G977" s="468">
        <v>3.9316464368815778</v>
      </c>
      <c r="H977" s="479">
        <v>7501.5814015700507</v>
      </c>
      <c r="I977" s="480" t="s">
        <v>9009</v>
      </c>
      <c r="J977" s="468" t="s">
        <v>9011</v>
      </c>
      <c r="K977" s="468" t="s">
        <v>9068</v>
      </c>
      <c r="L977" s="468" t="s">
        <v>541</v>
      </c>
    </row>
    <row r="978" spans="1:12" x14ac:dyDescent="0.25">
      <c r="A978" s="485" t="s">
        <v>220</v>
      </c>
      <c r="B978" s="485" t="s">
        <v>2152</v>
      </c>
      <c r="C978" s="485" t="s">
        <v>957</v>
      </c>
      <c r="D978" s="485" t="s">
        <v>958</v>
      </c>
      <c r="E978" s="485" t="s">
        <v>545</v>
      </c>
      <c r="F978" s="482">
        <v>650</v>
      </c>
      <c r="G978" s="468">
        <v>4.3222877881831794</v>
      </c>
      <c r="H978" s="479">
        <v>2809.4870623190668</v>
      </c>
      <c r="I978" s="480" t="s">
        <v>9009</v>
      </c>
      <c r="J978" s="468" t="s">
        <v>9011</v>
      </c>
      <c r="K978" s="468" t="s">
        <v>9068</v>
      </c>
      <c r="L978" s="468" t="s">
        <v>541</v>
      </c>
    </row>
    <row r="979" spans="1:12" x14ac:dyDescent="0.25">
      <c r="A979" s="485" t="s">
        <v>220</v>
      </c>
      <c r="B979" s="485" t="s">
        <v>2152</v>
      </c>
      <c r="C979" s="485" t="s">
        <v>959</v>
      </c>
      <c r="D979" s="485" t="s">
        <v>2161</v>
      </c>
      <c r="E979" s="485" t="s">
        <v>545</v>
      </c>
      <c r="F979" s="482">
        <v>3941</v>
      </c>
      <c r="G979" s="468">
        <v>4.8473673058411544</v>
      </c>
      <c r="H979" s="479">
        <v>19103.474552319989</v>
      </c>
      <c r="I979" s="480" t="s">
        <v>9009</v>
      </c>
      <c r="J979" s="468" t="s">
        <v>9011</v>
      </c>
      <c r="K979" s="468" t="s">
        <v>9068</v>
      </c>
      <c r="L979" s="468" t="s">
        <v>541</v>
      </c>
    </row>
    <row r="980" spans="1:12" x14ac:dyDescent="0.25">
      <c r="A980" s="485" t="s">
        <v>220</v>
      </c>
      <c r="B980" s="485" t="s">
        <v>2152</v>
      </c>
      <c r="C980" s="485" t="s">
        <v>971</v>
      </c>
      <c r="D980" s="485" t="s">
        <v>2162</v>
      </c>
      <c r="E980" s="485" t="s">
        <v>545</v>
      </c>
      <c r="F980" s="482">
        <v>2199</v>
      </c>
      <c r="G980" s="468">
        <v>4.9620482233337002</v>
      </c>
      <c r="H980" s="479">
        <v>10911.544043110807</v>
      </c>
      <c r="I980" s="480" t="s">
        <v>9009</v>
      </c>
      <c r="J980" s="468" t="s">
        <v>9011</v>
      </c>
      <c r="K980" s="468" t="s">
        <v>9068</v>
      </c>
      <c r="L980" s="468" t="s">
        <v>541</v>
      </c>
    </row>
    <row r="981" spans="1:12" x14ac:dyDescent="0.25">
      <c r="A981" s="485" t="s">
        <v>220</v>
      </c>
      <c r="B981" s="485" t="s">
        <v>2152</v>
      </c>
      <c r="C981" s="485" t="s">
        <v>985</v>
      </c>
      <c r="D981" s="485" t="s">
        <v>2163</v>
      </c>
      <c r="E981" s="485" t="s">
        <v>545</v>
      </c>
      <c r="F981" s="482">
        <v>5746</v>
      </c>
      <c r="G981" s="468">
        <v>5.9880505636578114</v>
      </c>
      <c r="H981" s="479">
        <v>34407.338538777782</v>
      </c>
      <c r="I981" s="480" t="s">
        <v>9009</v>
      </c>
      <c r="J981" s="468" t="s">
        <v>9011</v>
      </c>
      <c r="K981" s="468" t="s">
        <v>9068</v>
      </c>
      <c r="L981" s="468" t="s">
        <v>541</v>
      </c>
    </row>
    <row r="982" spans="1:12" x14ac:dyDescent="0.25">
      <c r="A982" s="485" t="s">
        <v>220</v>
      </c>
      <c r="B982" s="485" t="s">
        <v>2152</v>
      </c>
      <c r="C982" s="485" t="s">
        <v>1007</v>
      </c>
      <c r="D982" s="485" t="s">
        <v>2164</v>
      </c>
      <c r="E982" s="485" t="s">
        <v>545</v>
      </c>
      <c r="F982" s="482">
        <v>661</v>
      </c>
      <c r="G982" s="468">
        <v>7.0411855665611025</v>
      </c>
      <c r="H982" s="479">
        <v>4654.223659496889</v>
      </c>
      <c r="I982" s="480" t="s">
        <v>9009</v>
      </c>
      <c r="J982" s="468" t="s">
        <v>9011</v>
      </c>
      <c r="K982" s="468" t="s">
        <v>9068</v>
      </c>
      <c r="L982" s="468" t="s">
        <v>541</v>
      </c>
    </row>
    <row r="983" spans="1:12" x14ac:dyDescent="0.25">
      <c r="A983" s="485" t="s">
        <v>220</v>
      </c>
      <c r="B983" s="485" t="s">
        <v>2152</v>
      </c>
      <c r="C983" s="485" t="s">
        <v>1009</v>
      </c>
      <c r="D983" s="485" t="s">
        <v>2165</v>
      </c>
      <c r="E983" s="485" t="s">
        <v>545</v>
      </c>
      <c r="F983" s="482">
        <v>210</v>
      </c>
      <c r="G983" s="468">
        <v>7.1245275922579561</v>
      </c>
      <c r="H983" s="479">
        <v>1496.1507943741708</v>
      </c>
      <c r="I983" s="480" t="s">
        <v>9009</v>
      </c>
      <c r="J983" s="468" t="s">
        <v>9011</v>
      </c>
      <c r="K983" s="468" t="s">
        <v>9068</v>
      </c>
      <c r="L983" s="468" t="s">
        <v>541</v>
      </c>
    </row>
    <row r="984" spans="1:12" x14ac:dyDescent="0.25">
      <c r="A984" s="485" t="s">
        <v>220</v>
      </c>
      <c r="B984" s="485" t="s">
        <v>2152</v>
      </c>
      <c r="C984" s="485" t="s">
        <v>2166</v>
      </c>
      <c r="D984" s="485" t="s">
        <v>2167</v>
      </c>
      <c r="E984" s="485" t="s">
        <v>545</v>
      </c>
      <c r="F984" s="482">
        <v>1164</v>
      </c>
      <c r="G984" s="468">
        <v>7.6764845528992485</v>
      </c>
      <c r="H984" s="479">
        <v>8935.4280195747251</v>
      </c>
      <c r="I984" s="480" t="s">
        <v>9009</v>
      </c>
      <c r="J984" s="468" t="s">
        <v>9011</v>
      </c>
      <c r="K984" s="468" t="s">
        <v>9068</v>
      </c>
      <c r="L984" s="468" t="s">
        <v>541</v>
      </c>
    </row>
    <row r="985" spans="1:12" x14ac:dyDescent="0.25">
      <c r="A985" s="485" t="s">
        <v>220</v>
      </c>
      <c r="B985" s="485" t="s">
        <v>2152</v>
      </c>
      <c r="C985" s="485" t="s">
        <v>2168</v>
      </c>
      <c r="D985" s="485" t="s">
        <v>2169</v>
      </c>
      <c r="E985" s="485" t="s">
        <v>545</v>
      </c>
      <c r="F985" s="482">
        <v>455</v>
      </c>
      <c r="G985" s="468">
        <v>7.560044501699501</v>
      </c>
      <c r="H985" s="479">
        <v>3439.8202482732731</v>
      </c>
      <c r="I985" s="480" t="s">
        <v>9009</v>
      </c>
      <c r="J985" s="468" t="s">
        <v>9011</v>
      </c>
      <c r="K985" s="468" t="s">
        <v>9068</v>
      </c>
      <c r="L985" s="468" t="s">
        <v>541</v>
      </c>
    </row>
    <row r="986" spans="1:12" x14ac:dyDescent="0.25">
      <c r="A986" s="485" t="s">
        <v>220</v>
      </c>
      <c r="B986" s="485" t="s">
        <v>2152</v>
      </c>
      <c r="C986" s="485" t="s">
        <v>1021</v>
      </c>
      <c r="D986" s="485" t="s">
        <v>1022</v>
      </c>
      <c r="E986" s="485" t="s">
        <v>545</v>
      </c>
      <c r="F986" s="482">
        <v>139</v>
      </c>
      <c r="G986" s="468">
        <v>4.3210521017805297</v>
      </c>
      <c r="H986" s="479">
        <v>600.6262421474936</v>
      </c>
      <c r="I986" s="480" t="s">
        <v>9009</v>
      </c>
      <c r="J986" s="468" t="s">
        <v>9011</v>
      </c>
      <c r="K986" s="468" t="s">
        <v>9068</v>
      </c>
      <c r="L986" s="468" t="s">
        <v>541</v>
      </c>
    </row>
    <row r="987" spans="1:12" x14ac:dyDescent="0.25">
      <c r="A987" s="485" t="s">
        <v>220</v>
      </c>
      <c r="B987" s="485" t="s">
        <v>2152</v>
      </c>
      <c r="C987" s="485" t="s">
        <v>1027</v>
      </c>
      <c r="D987" s="485" t="s">
        <v>9210</v>
      </c>
      <c r="E987" s="485" t="s">
        <v>545</v>
      </c>
      <c r="F987" s="482">
        <v>784</v>
      </c>
      <c r="G987" s="468">
        <v>10.890478945301657</v>
      </c>
      <c r="H987" s="479">
        <v>8538.1354931164988</v>
      </c>
      <c r="I987" s="480" t="s">
        <v>9009</v>
      </c>
      <c r="J987" s="468" t="s">
        <v>9011</v>
      </c>
      <c r="K987" s="468" t="s">
        <v>9068</v>
      </c>
      <c r="L987" s="468" t="s">
        <v>541</v>
      </c>
    </row>
    <row r="988" spans="1:12" x14ac:dyDescent="0.25">
      <c r="A988" s="485" t="s">
        <v>220</v>
      </c>
      <c r="B988" s="485" t="s">
        <v>2152</v>
      </c>
      <c r="C988" s="485" t="s">
        <v>1031</v>
      </c>
      <c r="D988" s="485" t="s">
        <v>1032</v>
      </c>
      <c r="E988" s="485" t="s">
        <v>545</v>
      </c>
      <c r="F988" s="482">
        <v>306</v>
      </c>
      <c r="G988" s="468">
        <v>6.3177269143451706</v>
      </c>
      <c r="H988" s="479">
        <v>1933.2244357896222</v>
      </c>
      <c r="I988" s="480" t="s">
        <v>9009</v>
      </c>
      <c r="J988" s="468" t="s">
        <v>9011</v>
      </c>
      <c r="K988" s="468" t="s">
        <v>9068</v>
      </c>
      <c r="L988" s="468" t="s">
        <v>541</v>
      </c>
    </row>
    <row r="989" spans="1:12" x14ac:dyDescent="0.25">
      <c r="A989" s="485" t="s">
        <v>220</v>
      </c>
      <c r="B989" s="485" t="s">
        <v>2152</v>
      </c>
      <c r="C989" s="485" t="s">
        <v>1033</v>
      </c>
      <c r="D989" s="485" t="s">
        <v>9211</v>
      </c>
      <c r="E989" s="485" t="s">
        <v>545</v>
      </c>
      <c r="F989" s="482">
        <v>32</v>
      </c>
      <c r="G989" s="468">
        <v>3.4670000000000001</v>
      </c>
      <c r="H989" s="479">
        <v>110.944</v>
      </c>
      <c r="I989" s="480" t="s">
        <v>9009</v>
      </c>
      <c r="J989" s="468" t="s">
        <v>9011</v>
      </c>
      <c r="K989" s="468" t="s">
        <v>9068</v>
      </c>
      <c r="L989" s="468" t="s">
        <v>541</v>
      </c>
    </row>
    <row r="990" spans="1:12" x14ac:dyDescent="0.25">
      <c r="A990" s="485" t="s">
        <v>220</v>
      </c>
      <c r="B990" s="485" t="s">
        <v>2152</v>
      </c>
      <c r="C990" s="485" t="s">
        <v>1035</v>
      </c>
      <c r="D990" s="485" t="s">
        <v>9212</v>
      </c>
      <c r="E990" s="485" t="s">
        <v>545</v>
      </c>
      <c r="F990" s="482">
        <v>958</v>
      </c>
      <c r="G990" s="468">
        <v>7.4506442602233012</v>
      </c>
      <c r="H990" s="479">
        <v>7137.7172012939227</v>
      </c>
      <c r="I990" s="480" t="s">
        <v>9009</v>
      </c>
      <c r="J990" s="468" t="s">
        <v>9011</v>
      </c>
      <c r="K990" s="468" t="s">
        <v>9068</v>
      </c>
      <c r="L990" s="468" t="s">
        <v>541</v>
      </c>
    </row>
    <row r="991" spans="1:12" x14ac:dyDescent="0.25">
      <c r="A991" s="485" t="s">
        <v>220</v>
      </c>
      <c r="B991" s="485" t="s">
        <v>2152</v>
      </c>
      <c r="C991" s="485" t="s">
        <v>1037</v>
      </c>
      <c r="D991" s="485" t="s">
        <v>9213</v>
      </c>
      <c r="E991" s="485" t="s">
        <v>545</v>
      </c>
      <c r="F991" s="482">
        <v>163</v>
      </c>
      <c r="G991" s="468">
        <v>8.9541844410378246</v>
      </c>
      <c r="H991" s="479">
        <v>1459.5320638891653</v>
      </c>
      <c r="I991" s="480" t="s">
        <v>9009</v>
      </c>
      <c r="J991" s="468" t="s">
        <v>9011</v>
      </c>
      <c r="K991" s="468" t="s">
        <v>9068</v>
      </c>
      <c r="L991" s="468" t="s">
        <v>541</v>
      </c>
    </row>
    <row r="992" spans="1:12" x14ac:dyDescent="0.25">
      <c r="A992" s="485" t="s">
        <v>220</v>
      </c>
      <c r="B992" s="485" t="s">
        <v>2152</v>
      </c>
      <c r="C992" s="485" t="s">
        <v>1039</v>
      </c>
      <c r="D992" s="485" t="s">
        <v>9214</v>
      </c>
      <c r="E992" s="485" t="s">
        <v>545</v>
      </c>
      <c r="F992" s="482">
        <v>49</v>
      </c>
      <c r="G992" s="468">
        <v>12.199833565124555</v>
      </c>
      <c r="H992" s="479">
        <v>597.79184469110317</v>
      </c>
      <c r="I992" s="480" t="s">
        <v>9009</v>
      </c>
      <c r="J992" s="468" t="s">
        <v>9011</v>
      </c>
      <c r="K992" s="468" t="s">
        <v>9068</v>
      </c>
      <c r="L992" s="468" t="s">
        <v>541</v>
      </c>
    </row>
    <row r="993" spans="1:12" x14ac:dyDescent="0.25">
      <c r="A993" s="485" t="s">
        <v>220</v>
      </c>
      <c r="B993" s="485" t="s">
        <v>2152</v>
      </c>
      <c r="C993" s="485" t="s">
        <v>1146</v>
      </c>
      <c r="D993" s="485" t="s">
        <v>2170</v>
      </c>
      <c r="E993" s="485" t="s">
        <v>545</v>
      </c>
      <c r="F993" s="482">
        <v>1400</v>
      </c>
      <c r="G993" s="468">
        <v>0.04</v>
      </c>
      <c r="H993" s="479">
        <v>56</v>
      </c>
      <c r="I993" s="480" t="s">
        <v>9009</v>
      </c>
      <c r="J993" s="468" t="s">
        <v>9015</v>
      </c>
      <c r="K993" s="468" t="s">
        <v>8996</v>
      </c>
      <c r="L993" s="468" t="s">
        <v>541</v>
      </c>
    </row>
    <row r="994" spans="1:12" x14ac:dyDescent="0.25">
      <c r="A994" s="485" t="s">
        <v>220</v>
      </c>
      <c r="B994" s="485" t="s">
        <v>2152</v>
      </c>
      <c r="C994" s="485" t="s">
        <v>2171</v>
      </c>
      <c r="D994" s="485" t="s">
        <v>2172</v>
      </c>
      <c r="E994" s="485" t="s">
        <v>545</v>
      </c>
      <c r="F994" s="482">
        <v>2670</v>
      </c>
      <c r="G994" s="468">
        <v>0.27994328621908127</v>
      </c>
      <c r="H994" s="479">
        <v>747.44857420494702</v>
      </c>
      <c r="I994" s="480" t="s">
        <v>9009</v>
      </c>
      <c r="J994" s="468" t="s">
        <v>9015</v>
      </c>
      <c r="K994" s="468" t="s">
        <v>8996</v>
      </c>
      <c r="L994" s="468" t="s">
        <v>541</v>
      </c>
    </row>
    <row r="995" spans="1:12" x14ac:dyDescent="0.25">
      <c r="A995" s="485" t="s">
        <v>220</v>
      </c>
      <c r="B995" s="485" t="s">
        <v>2152</v>
      </c>
      <c r="C995" s="485" t="s">
        <v>2173</v>
      </c>
      <c r="D995" s="485" t="s">
        <v>2174</v>
      </c>
      <c r="E995" s="485" t="s">
        <v>545</v>
      </c>
      <c r="F995" s="482">
        <v>1500</v>
      </c>
      <c r="G995" s="468">
        <v>0.21687358490566039</v>
      </c>
      <c r="H995" s="479">
        <v>325.3103773584906</v>
      </c>
      <c r="I995" s="480" t="s">
        <v>9009</v>
      </c>
      <c r="J995" s="468" t="s">
        <v>9015</v>
      </c>
      <c r="K995" s="468" t="s">
        <v>8996</v>
      </c>
      <c r="L995" s="468" t="s">
        <v>541</v>
      </c>
    </row>
    <row r="996" spans="1:12" x14ac:dyDescent="0.25">
      <c r="A996" s="485" t="s">
        <v>220</v>
      </c>
      <c r="B996" s="485" t="s">
        <v>2152</v>
      </c>
      <c r="C996" s="485" t="s">
        <v>2175</v>
      </c>
      <c r="D996" s="485" t="s">
        <v>2176</v>
      </c>
      <c r="E996" s="485" t="s">
        <v>545</v>
      </c>
      <c r="F996" s="482">
        <v>400</v>
      </c>
      <c r="G996" s="468">
        <v>0.13</v>
      </c>
      <c r="H996" s="479">
        <v>52</v>
      </c>
      <c r="I996" s="480" t="s">
        <v>9009</v>
      </c>
      <c r="J996" s="468" t="s">
        <v>9015</v>
      </c>
      <c r="K996" s="468" t="s">
        <v>8996</v>
      </c>
      <c r="L996" s="468" t="s">
        <v>541</v>
      </c>
    </row>
    <row r="997" spans="1:12" x14ac:dyDescent="0.25">
      <c r="A997" s="485" t="s">
        <v>220</v>
      </c>
      <c r="B997" s="485" t="s">
        <v>2152</v>
      </c>
      <c r="C997" s="485" t="s">
        <v>2177</v>
      </c>
      <c r="D997" s="485" t="s">
        <v>2178</v>
      </c>
      <c r="E997" s="485" t="s">
        <v>545</v>
      </c>
      <c r="F997" s="482">
        <v>150</v>
      </c>
      <c r="G997" s="468">
        <v>2.9794999999999998</v>
      </c>
      <c r="H997" s="479">
        <v>446.92499999999995</v>
      </c>
      <c r="I997" s="480" t="s">
        <v>9009</v>
      </c>
      <c r="J997" s="468" t="s">
        <v>9015</v>
      </c>
      <c r="K997" s="468" t="s">
        <v>8996</v>
      </c>
      <c r="L997" s="468" t="s">
        <v>541</v>
      </c>
    </row>
    <row r="998" spans="1:12" x14ac:dyDescent="0.25">
      <c r="A998" s="485" t="s">
        <v>220</v>
      </c>
      <c r="B998" s="485" t="s">
        <v>2152</v>
      </c>
      <c r="C998" s="485" t="s">
        <v>2179</v>
      </c>
      <c r="D998" s="485" t="s">
        <v>2180</v>
      </c>
      <c r="E998" s="485" t="s">
        <v>545</v>
      </c>
      <c r="F998" s="482">
        <v>1500</v>
      </c>
      <c r="G998" s="468">
        <v>0.25755</v>
      </c>
      <c r="H998" s="479">
        <v>386.32499999999999</v>
      </c>
      <c r="I998" s="480" t="s">
        <v>9009</v>
      </c>
      <c r="J998" s="468" t="s">
        <v>9015</v>
      </c>
      <c r="K998" s="468" t="s">
        <v>8996</v>
      </c>
      <c r="L998" s="468" t="s">
        <v>541</v>
      </c>
    </row>
    <row r="999" spans="1:12" x14ac:dyDescent="0.25">
      <c r="A999" s="485" t="s">
        <v>220</v>
      </c>
      <c r="B999" s="485" t="s">
        <v>2152</v>
      </c>
      <c r="C999" s="485" t="s">
        <v>2181</v>
      </c>
      <c r="D999" s="485" t="s">
        <v>2182</v>
      </c>
      <c r="E999" s="485" t="s">
        <v>545</v>
      </c>
      <c r="F999" s="482">
        <v>500</v>
      </c>
      <c r="G999" s="468">
        <v>0.31655998148353298</v>
      </c>
      <c r="H999" s="479">
        <v>158.27999074176648</v>
      </c>
      <c r="I999" s="480" t="s">
        <v>9009</v>
      </c>
      <c r="J999" s="468" t="s">
        <v>9015</v>
      </c>
      <c r="K999" s="468" t="s">
        <v>8996</v>
      </c>
      <c r="L999" s="468" t="s">
        <v>541</v>
      </c>
    </row>
    <row r="1000" spans="1:12" x14ac:dyDescent="0.25">
      <c r="A1000" s="485" t="s">
        <v>220</v>
      </c>
      <c r="B1000" s="485" t="s">
        <v>2152</v>
      </c>
      <c r="C1000" s="485" t="s">
        <v>2183</v>
      </c>
      <c r="D1000" s="485" t="s">
        <v>2184</v>
      </c>
      <c r="E1000" s="485" t="s">
        <v>545</v>
      </c>
      <c r="F1000" s="482">
        <v>1000</v>
      </c>
      <c r="G1000" s="468">
        <v>0.24745</v>
      </c>
      <c r="H1000" s="479">
        <v>247.45000000000002</v>
      </c>
      <c r="I1000" s="480" t="s">
        <v>9009</v>
      </c>
      <c r="J1000" s="468" t="s">
        <v>9015</v>
      </c>
      <c r="K1000" s="468" t="s">
        <v>8996</v>
      </c>
      <c r="L1000" s="468" t="s">
        <v>541</v>
      </c>
    </row>
    <row r="1001" spans="1:12" x14ac:dyDescent="0.25">
      <c r="A1001" s="485" t="s">
        <v>220</v>
      </c>
      <c r="B1001" s="485" t="s">
        <v>2152</v>
      </c>
      <c r="C1001" s="485" t="s">
        <v>2185</v>
      </c>
      <c r="D1001" s="485" t="s">
        <v>2186</v>
      </c>
      <c r="E1001" s="485" t="s">
        <v>545</v>
      </c>
      <c r="F1001" s="482">
        <v>1000</v>
      </c>
      <c r="G1001" s="468">
        <v>0.38031635542247016</v>
      </c>
      <c r="H1001" s="479">
        <v>380.31635542247017</v>
      </c>
      <c r="I1001" s="480" t="s">
        <v>9009</v>
      </c>
      <c r="J1001" s="468" t="s">
        <v>9015</v>
      </c>
      <c r="K1001" s="468" t="s">
        <v>8996</v>
      </c>
      <c r="L1001" s="468" t="s">
        <v>541</v>
      </c>
    </row>
    <row r="1002" spans="1:12" x14ac:dyDescent="0.25">
      <c r="A1002" s="485" t="s">
        <v>220</v>
      </c>
      <c r="B1002" s="485" t="s">
        <v>2152</v>
      </c>
      <c r="C1002" s="485" t="s">
        <v>2187</v>
      </c>
      <c r="D1002" s="485" t="s">
        <v>2188</v>
      </c>
      <c r="E1002" s="485" t="s">
        <v>545</v>
      </c>
      <c r="F1002" s="482">
        <v>2500</v>
      </c>
      <c r="G1002" s="468">
        <v>0.34593227430373091</v>
      </c>
      <c r="H1002" s="479">
        <v>864.83068575932725</v>
      </c>
      <c r="I1002" s="480" t="s">
        <v>9009</v>
      </c>
      <c r="J1002" s="468" t="s">
        <v>9015</v>
      </c>
      <c r="K1002" s="468" t="s">
        <v>8996</v>
      </c>
      <c r="L1002" s="468" t="s">
        <v>541</v>
      </c>
    </row>
    <row r="1003" spans="1:12" x14ac:dyDescent="0.25">
      <c r="A1003" s="485" t="s">
        <v>220</v>
      </c>
      <c r="B1003" s="485" t="s">
        <v>2152</v>
      </c>
      <c r="C1003" s="485" t="s">
        <v>2189</v>
      </c>
      <c r="D1003" s="485" t="s">
        <v>2190</v>
      </c>
      <c r="E1003" s="485" t="s">
        <v>545</v>
      </c>
      <c r="F1003" s="482">
        <v>3000</v>
      </c>
      <c r="G1003" s="468">
        <v>0.52613787528868361</v>
      </c>
      <c r="H1003" s="479">
        <v>1578.4136258660508</v>
      </c>
      <c r="I1003" s="480" t="s">
        <v>9009</v>
      </c>
      <c r="J1003" s="468" t="s">
        <v>9015</v>
      </c>
      <c r="K1003" s="468" t="s">
        <v>8996</v>
      </c>
      <c r="L1003" s="468" t="s">
        <v>541</v>
      </c>
    </row>
    <row r="1004" spans="1:12" x14ac:dyDescent="0.25">
      <c r="A1004" s="485" t="s">
        <v>220</v>
      </c>
      <c r="B1004" s="485" t="s">
        <v>2152</v>
      </c>
      <c r="C1004" s="485" t="s">
        <v>2191</v>
      </c>
      <c r="D1004" s="485" t="s">
        <v>2192</v>
      </c>
      <c r="E1004" s="485" t="s">
        <v>545</v>
      </c>
      <c r="F1004" s="482">
        <v>2000</v>
      </c>
      <c r="G1004" s="468">
        <v>0.25755</v>
      </c>
      <c r="H1004" s="479">
        <v>515.1</v>
      </c>
      <c r="I1004" s="480" t="s">
        <v>9009</v>
      </c>
      <c r="J1004" s="468" t="s">
        <v>9015</v>
      </c>
      <c r="K1004" s="468" t="s">
        <v>8996</v>
      </c>
      <c r="L1004" s="468" t="s">
        <v>541</v>
      </c>
    </row>
    <row r="1005" spans="1:12" x14ac:dyDescent="0.25">
      <c r="A1005" s="485" t="s">
        <v>220</v>
      </c>
      <c r="B1005" s="485" t="s">
        <v>2152</v>
      </c>
      <c r="C1005" s="485" t="s">
        <v>2193</v>
      </c>
      <c r="D1005" s="485" t="s">
        <v>2194</v>
      </c>
      <c r="E1005" s="485" t="s">
        <v>545</v>
      </c>
      <c r="F1005" s="482">
        <v>3000</v>
      </c>
      <c r="G1005" s="468">
        <v>0.23520000000000002</v>
      </c>
      <c r="H1005" s="479">
        <v>705.6</v>
      </c>
      <c r="I1005" s="480" t="s">
        <v>9009</v>
      </c>
      <c r="J1005" s="468" t="s">
        <v>9015</v>
      </c>
      <c r="K1005" s="468" t="s">
        <v>8996</v>
      </c>
      <c r="L1005" s="468" t="s">
        <v>541</v>
      </c>
    </row>
    <row r="1006" spans="1:12" x14ac:dyDescent="0.25">
      <c r="A1006" s="485" t="s">
        <v>220</v>
      </c>
      <c r="B1006" s="485" t="s">
        <v>2152</v>
      </c>
      <c r="C1006" s="485" t="s">
        <v>2195</v>
      </c>
      <c r="D1006" s="485" t="s">
        <v>2196</v>
      </c>
      <c r="E1006" s="485" t="s">
        <v>545</v>
      </c>
      <c r="F1006" s="482">
        <v>500</v>
      </c>
      <c r="G1006" s="468">
        <v>0.24</v>
      </c>
      <c r="H1006" s="479">
        <v>120</v>
      </c>
      <c r="I1006" s="480" t="s">
        <v>9009</v>
      </c>
      <c r="J1006" s="468" t="s">
        <v>9015</v>
      </c>
      <c r="K1006" s="468" t="s">
        <v>8996</v>
      </c>
      <c r="L1006" s="468" t="s">
        <v>541</v>
      </c>
    </row>
    <row r="1007" spans="1:12" x14ac:dyDescent="0.25">
      <c r="A1007" s="485" t="s">
        <v>220</v>
      </c>
      <c r="B1007" s="485" t="s">
        <v>2152</v>
      </c>
      <c r="C1007" s="485" t="s">
        <v>2197</v>
      </c>
      <c r="D1007" s="485" t="s">
        <v>2198</v>
      </c>
      <c r="E1007" s="485" t="s">
        <v>545</v>
      </c>
      <c r="F1007" s="482">
        <v>3100</v>
      </c>
      <c r="G1007" s="468">
        <v>0.27929999999999999</v>
      </c>
      <c r="H1007" s="479">
        <v>865.82999999999993</v>
      </c>
      <c r="I1007" s="480" t="s">
        <v>9009</v>
      </c>
      <c r="J1007" s="468" t="s">
        <v>9015</v>
      </c>
      <c r="K1007" s="468" t="s">
        <v>8996</v>
      </c>
      <c r="L1007" s="468" t="s">
        <v>541</v>
      </c>
    </row>
    <row r="1008" spans="1:12" x14ac:dyDescent="0.25">
      <c r="A1008" s="485" t="s">
        <v>220</v>
      </c>
      <c r="B1008" s="485" t="s">
        <v>2152</v>
      </c>
      <c r="C1008" s="485" t="s">
        <v>1306</v>
      </c>
      <c r="D1008" s="485" t="s">
        <v>1307</v>
      </c>
      <c r="E1008" s="485" t="s">
        <v>545</v>
      </c>
      <c r="F1008" s="482">
        <v>1500</v>
      </c>
      <c r="G1008" s="468">
        <v>0.30528988899645421</v>
      </c>
      <c r="H1008" s="479">
        <v>457.9348334946813</v>
      </c>
      <c r="I1008" s="480" t="s">
        <v>9009</v>
      </c>
      <c r="J1008" s="468" t="s">
        <v>9015</v>
      </c>
      <c r="K1008" s="468" t="s">
        <v>8996</v>
      </c>
      <c r="L1008" s="468" t="s">
        <v>541</v>
      </c>
    </row>
    <row r="1009" spans="1:12" x14ac:dyDescent="0.25">
      <c r="A1009" s="485" t="s">
        <v>220</v>
      </c>
      <c r="B1009" s="485" t="s">
        <v>2152</v>
      </c>
      <c r="C1009" s="485" t="s">
        <v>1308</v>
      </c>
      <c r="D1009" s="485" t="s">
        <v>1309</v>
      </c>
      <c r="E1009" s="485" t="s">
        <v>545</v>
      </c>
      <c r="F1009" s="482">
        <v>2500</v>
      </c>
      <c r="G1009" s="468">
        <v>0.54727052307402646</v>
      </c>
      <c r="H1009" s="479">
        <v>1368.1763076850661</v>
      </c>
      <c r="I1009" s="480" t="s">
        <v>9009</v>
      </c>
      <c r="J1009" s="468" t="s">
        <v>9015</v>
      </c>
      <c r="K1009" s="468" t="s">
        <v>8996</v>
      </c>
      <c r="L1009" s="468" t="s">
        <v>541</v>
      </c>
    </row>
    <row r="1010" spans="1:12" x14ac:dyDescent="0.25">
      <c r="A1010" s="485" t="s">
        <v>220</v>
      </c>
      <c r="B1010" s="485" t="s">
        <v>2152</v>
      </c>
      <c r="C1010" s="485" t="s">
        <v>2199</v>
      </c>
      <c r="D1010" s="485" t="s">
        <v>2200</v>
      </c>
      <c r="E1010" s="485" t="s">
        <v>545</v>
      </c>
      <c r="F1010" s="482">
        <v>4512</v>
      </c>
      <c r="G1010" s="468">
        <v>0.5179883361683012</v>
      </c>
      <c r="H1010" s="479">
        <v>2337.163372791375</v>
      </c>
      <c r="I1010" s="480" t="s">
        <v>9009</v>
      </c>
      <c r="J1010" s="468" t="s">
        <v>9015</v>
      </c>
      <c r="K1010" s="468" t="s">
        <v>8996</v>
      </c>
      <c r="L1010" s="468" t="s">
        <v>541</v>
      </c>
    </row>
    <row r="1011" spans="1:12" x14ac:dyDescent="0.25">
      <c r="A1011" s="485" t="s">
        <v>220</v>
      </c>
      <c r="B1011" s="485" t="s">
        <v>2152</v>
      </c>
      <c r="C1011" s="485" t="s">
        <v>1310</v>
      </c>
      <c r="D1011" s="485" t="s">
        <v>1311</v>
      </c>
      <c r="E1011" s="485" t="s">
        <v>545</v>
      </c>
      <c r="F1011" s="482">
        <v>400</v>
      </c>
      <c r="G1011" s="468">
        <v>1.3230641258607909</v>
      </c>
      <c r="H1011" s="479">
        <v>529.22565034431636</v>
      </c>
      <c r="I1011" s="480" t="s">
        <v>9009</v>
      </c>
      <c r="J1011" s="468" t="s">
        <v>9015</v>
      </c>
      <c r="K1011" s="468" t="s">
        <v>8996</v>
      </c>
      <c r="L1011" s="468" t="s">
        <v>541</v>
      </c>
    </row>
    <row r="1012" spans="1:12" x14ac:dyDescent="0.25">
      <c r="A1012" s="485" t="s">
        <v>220</v>
      </c>
      <c r="B1012" s="485" t="s">
        <v>2152</v>
      </c>
      <c r="C1012" s="485" t="s">
        <v>2201</v>
      </c>
      <c r="D1012" s="485" t="s">
        <v>2202</v>
      </c>
      <c r="E1012" s="485" t="s">
        <v>545</v>
      </c>
      <c r="F1012" s="482">
        <v>1700</v>
      </c>
      <c r="G1012" s="468">
        <v>0.5252</v>
      </c>
      <c r="H1012" s="479">
        <v>892.84</v>
      </c>
      <c r="I1012" s="480" t="s">
        <v>9009</v>
      </c>
      <c r="J1012" s="468" t="s">
        <v>9015</v>
      </c>
      <c r="K1012" s="468" t="s">
        <v>8996</v>
      </c>
      <c r="L1012" s="468" t="s">
        <v>541</v>
      </c>
    </row>
    <row r="1013" spans="1:12" x14ac:dyDescent="0.25">
      <c r="A1013" s="485" t="s">
        <v>220</v>
      </c>
      <c r="B1013" s="485" t="s">
        <v>2152</v>
      </c>
      <c r="C1013" s="485" t="s">
        <v>2203</v>
      </c>
      <c r="D1013" s="485" t="s">
        <v>2204</v>
      </c>
      <c r="E1013" s="485" t="s">
        <v>545</v>
      </c>
      <c r="F1013" s="482">
        <v>2922</v>
      </c>
      <c r="G1013" s="468">
        <v>0.43394054054054054</v>
      </c>
      <c r="H1013" s="479">
        <v>1267.9742594594595</v>
      </c>
      <c r="I1013" s="480" t="s">
        <v>9009</v>
      </c>
      <c r="J1013" s="468" t="s">
        <v>9015</v>
      </c>
      <c r="K1013" s="468" t="s">
        <v>8996</v>
      </c>
      <c r="L1013" s="468" t="s">
        <v>541</v>
      </c>
    </row>
    <row r="1014" spans="1:12" x14ac:dyDescent="0.25">
      <c r="A1014" s="485" t="s">
        <v>220</v>
      </c>
      <c r="B1014" s="485" t="s">
        <v>2152</v>
      </c>
      <c r="C1014" s="485" t="s">
        <v>2205</v>
      </c>
      <c r="D1014" s="485" t="s">
        <v>2206</v>
      </c>
      <c r="E1014" s="485" t="s">
        <v>545</v>
      </c>
      <c r="F1014" s="482">
        <v>500</v>
      </c>
      <c r="G1014" s="468">
        <v>0.30804999999999999</v>
      </c>
      <c r="H1014" s="479">
        <v>154.02500000000001</v>
      </c>
      <c r="I1014" s="480" t="s">
        <v>9009</v>
      </c>
      <c r="J1014" s="468" t="s">
        <v>9015</v>
      </c>
      <c r="K1014" s="468" t="s">
        <v>8996</v>
      </c>
      <c r="L1014" s="468" t="s">
        <v>541</v>
      </c>
    </row>
    <row r="1015" spans="1:12" x14ac:dyDescent="0.25">
      <c r="A1015" s="485" t="s">
        <v>220</v>
      </c>
      <c r="B1015" s="485" t="s">
        <v>2152</v>
      </c>
      <c r="C1015" s="485" t="s">
        <v>2207</v>
      </c>
      <c r="D1015" s="485" t="s">
        <v>2208</v>
      </c>
      <c r="E1015" s="485" t="s">
        <v>545</v>
      </c>
      <c r="F1015" s="482">
        <v>1000</v>
      </c>
      <c r="G1015" s="468">
        <v>0.38887059473350172</v>
      </c>
      <c r="H1015" s="479">
        <v>388.87059473350172</v>
      </c>
      <c r="I1015" s="480" t="s">
        <v>9009</v>
      </c>
      <c r="J1015" s="468" t="s">
        <v>9015</v>
      </c>
      <c r="K1015" s="468" t="s">
        <v>8996</v>
      </c>
      <c r="L1015" s="468" t="s">
        <v>541</v>
      </c>
    </row>
    <row r="1016" spans="1:12" x14ac:dyDescent="0.25">
      <c r="A1016" s="485" t="s">
        <v>220</v>
      </c>
      <c r="B1016" s="485" t="s">
        <v>2152</v>
      </c>
      <c r="C1016" s="485" t="s">
        <v>2209</v>
      </c>
      <c r="D1016" s="485" t="s">
        <v>2210</v>
      </c>
      <c r="E1016" s="485" t="s">
        <v>545</v>
      </c>
      <c r="F1016" s="482">
        <v>1500</v>
      </c>
      <c r="G1016" s="468">
        <v>0.27777639182522906</v>
      </c>
      <c r="H1016" s="479">
        <v>416.66458773784359</v>
      </c>
      <c r="I1016" s="480" t="s">
        <v>9009</v>
      </c>
      <c r="J1016" s="468" t="s">
        <v>9015</v>
      </c>
      <c r="K1016" s="468" t="s">
        <v>8996</v>
      </c>
      <c r="L1016" s="468" t="s">
        <v>541</v>
      </c>
    </row>
    <row r="1017" spans="1:12" x14ac:dyDescent="0.25">
      <c r="A1017" s="485" t="s">
        <v>220</v>
      </c>
      <c r="B1017" s="485" t="s">
        <v>2152</v>
      </c>
      <c r="C1017" s="485" t="s">
        <v>2211</v>
      </c>
      <c r="D1017" s="485" t="s">
        <v>2212</v>
      </c>
      <c r="E1017" s="485" t="s">
        <v>545</v>
      </c>
      <c r="F1017" s="482">
        <v>2000</v>
      </c>
      <c r="G1017" s="468">
        <v>0.5252</v>
      </c>
      <c r="H1017" s="479">
        <v>1050.4000000000001</v>
      </c>
      <c r="I1017" s="480" t="s">
        <v>9009</v>
      </c>
      <c r="J1017" s="468" t="s">
        <v>9015</v>
      </c>
      <c r="K1017" s="468" t="s">
        <v>8996</v>
      </c>
      <c r="L1017" s="468" t="s">
        <v>541</v>
      </c>
    </row>
    <row r="1018" spans="1:12" x14ac:dyDescent="0.25">
      <c r="A1018" s="485" t="s">
        <v>220</v>
      </c>
      <c r="B1018" s="485" t="s">
        <v>2152</v>
      </c>
      <c r="C1018" s="485" t="s">
        <v>2213</v>
      </c>
      <c r="D1018" s="485" t="s">
        <v>2214</v>
      </c>
      <c r="E1018" s="485" t="s">
        <v>545</v>
      </c>
      <c r="F1018" s="482">
        <v>1000</v>
      </c>
      <c r="G1018" s="468">
        <v>0.17728474576271186</v>
      </c>
      <c r="H1018" s="479">
        <v>177.28474576271185</v>
      </c>
      <c r="I1018" s="480" t="s">
        <v>9009</v>
      </c>
      <c r="J1018" s="468" t="s">
        <v>9015</v>
      </c>
      <c r="K1018" s="468" t="s">
        <v>8996</v>
      </c>
      <c r="L1018" s="468" t="s">
        <v>541</v>
      </c>
    </row>
    <row r="1019" spans="1:12" x14ac:dyDescent="0.25">
      <c r="A1019" s="485" t="s">
        <v>220</v>
      </c>
      <c r="B1019" s="485" t="s">
        <v>2152</v>
      </c>
      <c r="C1019" s="485" t="s">
        <v>2215</v>
      </c>
      <c r="D1019" s="485" t="s">
        <v>2216</v>
      </c>
      <c r="E1019" s="485" t="s">
        <v>545</v>
      </c>
      <c r="F1019" s="482">
        <v>2600</v>
      </c>
      <c r="G1019" s="468">
        <v>0.2643177602198557</v>
      </c>
      <c r="H1019" s="479">
        <v>687.22617657162482</v>
      </c>
      <c r="I1019" s="480" t="s">
        <v>9009</v>
      </c>
      <c r="J1019" s="468" t="s">
        <v>9015</v>
      </c>
      <c r="K1019" s="468" t="s">
        <v>8996</v>
      </c>
      <c r="L1019" s="468" t="s">
        <v>541</v>
      </c>
    </row>
    <row r="1020" spans="1:12" x14ac:dyDescent="0.25">
      <c r="A1020" s="485" t="s">
        <v>220</v>
      </c>
      <c r="B1020" s="485" t="s">
        <v>2152</v>
      </c>
      <c r="C1020" s="485" t="s">
        <v>2217</v>
      </c>
      <c r="D1020" s="485" t="s">
        <v>2218</v>
      </c>
      <c r="E1020" s="485" t="s">
        <v>545</v>
      </c>
      <c r="F1020" s="482">
        <v>2000</v>
      </c>
      <c r="G1020" s="468">
        <v>0.21210000000000001</v>
      </c>
      <c r="H1020" s="479">
        <v>424.20000000000005</v>
      </c>
      <c r="I1020" s="480" t="s">
        <v>9009</v>
      </c>
      <c r="J1020" s="468" t="s">
        <v>9015</v>
      </c>
      <c r="K1020" s="468" t="s">
        <v>8996</v>
      </c>
      <c r="L1020" s="468" t="s">
        <v>541</v>
      </c>
    </row>
    <row r="1021" spans="1:12" x14ac:dyDescent="0.25">
      <c r="A1021" s="485" t="s">
        <v>220</v>
      </c>
      <c r="B1021" s="485" t="s">
        <v>2152</v>
      </c>
      <c r="C1021" s="485" t="s">
        <v>2219</v>
      </c>
      <c r="D1021" s="485" t="s">
        <v>2220</v>
      </c>
      <c r="E1021" s="485" t="s">
        <v>545</v>
      </c>
      <c r="F1021" s="482">
        <v>1100</v>
      </c>
      <c r="G1021" s="468">
        <v>0.31303508531644125</v>
      </c>
      <c r="H1021" s="479">
        <v>344.3385938480854</v>
      </c>
      <c r="I1021" s="480" t="s">
        <v>9009</v>
      </c>
      <c r="J1021" s="468" t="s">
        <v>9015</v>
      </c>
      <c r="K1021" s="468" t="s">
        <v>8996</v>
      </c>
      <c r="L1021" s="468" t="s">
        <v>541</v>
      </c>
    </row>
    <row r="1022" spans="1:12" x14ac:dyDescent="0.25">
      <c r="A1022" s="485" t="s">
        <v>220</v>
      </c>
      <c r="B1022" s="485" t="s">
        <v>2152</v>
      </c>
      <c r="C1022" s="485" t="s">
        <v>2221</v>
      </c>
      <c r="D1022" s="485" t="s">
        <v>2222</v>
      </c>
      <c r="E1022" s="485" t="s">
        <v>545</v>
      </c>
      <c r="F1022" s="482">
        <v>2100</v>
      </c>
      <c r="G1022" s="468">
        <v>0.36359999999999998</v>
      </c>
      <c r="H1022" s="479">
        <v>763.56</v>
      </c>
      <c r="I1022" s="480" t="s">
        <v>9009</v>
      </c>
      <c r="J1022" s="468" t="s">
        <v>9015</v>
      </c>
      <c r="K1022" s="468" t="s">
        <v>8996</v>
      </c>
      <c r="L1022" s="468" t="s">
        <v>541</v>
      </c>
    </row>
    <row r="1023" spans="1:12" x14ac:dyDescent="0.25">
      <c r="A1023" s="485" t="s">
        <v>220</v>
      </c>
      <c r="B1023" s="485" t="s">
        <v>2152</v>
      </c>
      <c r="C1023" s="485" t="s">
        <v>2223</v>
      </c>
      <c r="D1023" s="485" t="s">
        <v>2224</v>
      </c>
      <c r="E1023" s="485" t="s">
        <v>545</v>
      </c>
      <c r="F1023" s="482">
        <v>1000</v>
      </c>
      <c r="G1023" s="468">
        <v>0.2727</v>
      </c>
      <c r="H1023" s="479">
        <v>272.7</v>
      </c>
      <c r="I1023" s="480" t="s">
        <v>9009</v>
      </c>
      <c r="J1023" s="468" t="s">
        <v>9015</v>
      </c>
      <c r="K1023" s="468" t="s">
        <v>8996</v>
      </c>
      <c r="L1023" s="468" t="s">
        <v>541</v>
      </c>
    </row>
    <row r="1024" spans="1:12" x14ac:dyDescent="0.25">
      <c r="A1024" s="485" t="s">
        <v>220</v>
      </c>
      <c r="B1024" s="485" t="s">
        <v>2152</v>
      </c>
      <c r="C1024" s="485" t="s">
        <v>2225</v>
      </c>
      <c r="D1024" s="485" t="s">
        <v>2226</v>
      </c>
      <c r="E1024" s="485" t="s">
        <v>545</v>
      </c>
      <c r="F1024" s="482">
        <v>500</v>
      </c>
      <c r="G1024" s="468">
        <v>0.30804999999999999</v>
      </c>
      <c r="H1024" s="479">
        <v>154.02500000000001</v>
      </c>
      <c r="I1024" s="480" t="s">
        <v>9009</v>
      </c>
      <c r="J1024" s="468" t="s">
        <v>9015</v>
      </c>
      <c r="K1024" s="468" t="s">
        <v>8996</v>
      </c>
      <c r="L1024" s="468" t="s">
        <v>541</v>
      </c>
    </row>
    <row r="1025" spans="1:12" x14ac:dyDescent="0.25">
      <c r="A1025" s="485" t="s">
        <v>220</v>
      </c>
      <c r="B1025" s="485" t="s">
        <v>2152</v>
      </c>
      <c r="C1025" s="485" t="s">
        <v>2227</v>
      </c>
      <c r="D1025" s="485" t="s">
        <v>2228</v>
      </c>
      <c r="E1025" s="485" t="s">
        <v>545</v>
      </c>
      <c r="F1025" s="482">
        <v>1000</v>
      </c>
      <c r="G1025" s="468">
        <v>0.60599999999999998</v>
      </c>
      <c r="H1025" s="479">
        <v>606</v>
      </c>
      <c r="I1025" s="480" t="s">
        <v>9009</v>
      </c>
      <c r="J1025" s="468" t="s">
        <v>9015</v>
      </c>
      <c r="K1025" s="468" t="s">
        <v>8996</v>
      </c>
      <c r="L1025" s="468" t="s">
        <v>541</v>
      </c>
    </row>
    <row r="1026" spans="1:12" x14ac:dyDescent="0.25">
      <c r="A1026" s="485" t="s">
        <v>220</v>
      </c>
      <c r="B1026" s="485" t="s">
        <v>2152</v>
      </c>
      <c r="C1026" s="485" t="s">
        <v>2229</v>
      </c>
      <c r="D1026" s="485" t="s">
        <v>2230</v>
      </c>
      <c r="E1026" s="485" t="s">
        <v>545</v>
      </c>
      <c r="F1026" s="482">
        <v>2000</v>
      </c>
      <c r="G1026" s="468">
        <v>0.23786557377049181</v>
      </c>
      <c r="H1026" s="479">
        <v>475.73114754098361</v>
      </c>
      <c r="I1026" s="480" t="s">
        <v>9009</v>
      </c>
      <c r="J1026" s="468" t="s">
        <v>9015</v>
      </c>
      <c r="K1026" s="468" t="s">
        <v>8996</v>
      </c>
      <c r="L1026" s="468" t="s">
        <v>541</v>
      </c>
    </row>
    <row r="1027" spans="1:12" x14ac:dyDescent="0.25">
      <c r="A1027" s="485" t="s">
        <v>220</v>
      </c>
      <c r="B1027" s="485" t="s">
        <v>2152</v>
      </c>
      <c r="C1027" s="485" t="s">
        <v>2231</v>
      </c>
      <c r="D1027" s="485" t="s">
        <v>2232</v>
      </c>
      <c r="E1027" s="485" t="s">
        <v>545</v>
      </c>
      <c r="F1027" s="482">
        <v>2000</v>
      </c>
      <c r="G1027" s="468">
        <v>0.29795000000000005</v>
      </c>
      <c r="H1027" s="479">
        <v>595.90000000000009</v>
      </c>
      <c r="I1027" s="480" t="s">
        <v>9009</v>
      </c>
      <c r="J1027" s="468" t="s">
        <v>9015</v>
      </c>
      <c r="K1027" s="468" t="s">
        <v>8996</v>
      </c>
      <c r="L1027" s="468" t="s">
        <v>541</v>
      </c>
    </row>
    <row r="1028" spans="1:12" x14ac:dyDescent="0.25">
      <c r="A1028" s="485" t="s">
        <v>220</v>
      </c>
      <c r="B1028" s="485" t="s">
        <v>2152</v>
      </c>
      <c r="C1028" s="485" t="s">
        <v>2233</v>
      </c>
      <c r="D1028" s="485" t="s">
        <v>2234</v>
      </c>
      <c r="E1028" s="485" t="s">
        <v>545</v>
      </c>
      <c r="F1028" s="482">
        <v>4130</v>
      </c>
      <c r="G1028" s="468">
        <v>0.36707888008272732</v>
      </c>
      <c r="H1028" s="479">
        <v>1516.0357747416638</v>
      </c>
      <c r="I1028" s="480" t="s">
        <v>9009</v>
      </c>
      <c r="J1028" s="468" t="s">
        <v>9015</v>
      </c>
      <c r="K1028" s="468" t="s">
        <v>8996</v>
      </c>
      <c r="L1028" s="468" t="s">
        <v>541</v>
      </c>
    </row>
    <row r="1029" spans="1:12" x14ac:dyDescent="0.25">
      <c r="A1029" s="485" t="s">
        <v>220</v>
      </c>
      <c r="B1029" s="485" t="s">
        <v>2152</v>
      </c>
      <c r="C1029" s="485" t="s">
        <v>1428</v>
      </c>
      <c r="D1029" s="485" t="s">
        <v>1429</v>
      </c>
      <c r="E1029" s="485" t="s">
        <v>545</v>
      </c>
      <c r="F1029" s="482">
        <v>3000</v>
      </c>
      <c r="G1029" s="468">
        <v>0.39836501182033096</v>
      </c>
      <c r="H1029" s="479">
        <v>1195.0950354609929</v>
      </c>
      <c r="I1029" s="480" t="s">
        <v>9009</v>
      </c>
      <c r="J1029" s="468" t="s">
        <v>9015</v>
      </c>
      <c r="K1029" s="468" t="s">
        <v>8996</v>
      </c>
      <c r="L1029" s="468" t="s">
        <v>541</v>
      </c>
    </row>
    <row r="1030" spans="1:12" x14ac:dyDescent="0.25">
      <c r="A1030" s="485" t="s">
        <v>220</v>
      </c>
      <c r="B1030" s="485" t="s">
        <v>2152</v>
      </c>
      <c r="C1030" s="485" t="s">
        <v>1430</v>
      </c>
      <c r="D1030" s="485" t="s">
        <v>1431</v>
      </c>
      <c r="E1030" s="485" t="s">
        <v>545</v>
      </c>
      <c r="F1030" s="482">
        <v>5000</v>
      </c>
      <c r="G1030" s="468">
        <v>0.3723225924795418</v>
      </c>
      <c r="H1030" s="479">
        <v>1861.612962397709</v>
      </c>
      <c r="I1030" s="480" t="s">
        <v>9009</v>
      </c>
      <c r="J1030" s="468" t="s">
        <v>9015</v>
      </c>
      <c r="K1030" s="468" t="s">
        <v>8996</v>
      </c>
      <c r="L1030" s="468" t="s">
        <v>541</v>
      </c>
    </row>
    <row r="1031" spans="1:12" x14ac:dyDescent="0.25">
      <c r="A1031" s="485" t="s">
        <v>220</v>
      </c>
      <c r="B1031" s="485" t="s">
        <v>2152</v>
      </c>
      <c r="C1031" s="485" t="s">
        <v>1432</v>
      </c>
      <c r="D1031" s="485" t="s">
        <v>1433</v>
      </c>
      <c r="E1031" s="485" t="s">
        <v>545</v>
      </c>
      <c r="F1031" s="482">
        <v>3050</v>
      </c>
      <c r="G1031" s="468">
        <v>0.47470000000000007</v>
      </c>
      <c r="H1031" s="479">
        <v>1447.8350000000003</v>
      </c>
      <c r="I1031" s="480" t="s">
        <v>9009</v>
      </c>
      <c r="J1031" s="468" t="s">
        <v>9015</v>
      </c>
      <c r="K1031" s="468" t="s">
        <v>8996</v>
      </c>
      <c r="L1031" s="468" t="s">
        <v>541</v>
      </c>
    </row>
    <row r="1032" spans="1:12" x14ac:dyDescent="0.25">
      <c r="A1032" s="485" t="s">
        <v>220</v>
      </c>
      <c r="B1032" s="485" t="s">
        <v>2152</v>
      </c>
      <c r="C1032" s="485" t="s">
        <v>1434</v>
      </c>
      <c r="D1032" s="485" t="s">
        <v>1435</v>
      </c>
      <c r="E1032" s="485" t="s">
        <v>545</v>
      </c>
      <c r="F1032" s="482">
        <v>3096</v>
      </c>
      <c r="G1032" s="468">
        <v>0.48984999999999995</v>
      </c>
      <c r="H1032" s="479">
        <v>1516.5755999999999</v>
      </c>
      <c r="I1032" s="480" t="s">
        <v>9009</v>
      </c>
      <c r="J1032" s="468" t="s">
        <v>9015</v>
      </c>
      <c r="K1032" s="468" t="s">
        <v>8996</v>
      </c>
      <c r="L1032" s="468" t="s">
        <v>541</v>
      </c>
    </row>
    <row r="1033" spans="1:12" x14ac:dyDescent="0.25">
      <c r="A1033" s="485" t="s">
        <v>220</v>
      </c>
      <c r="B1033" s="485" t="s">
        <v>2152</v>
      </c>
      <c r="C1033" s="485" t="s">
        <v>2235</v>
      </c>
      <c r="D1033" s="485" t="s">
        <v>1437</v>
      </c>
      <c r="E1033" s="485" t="s">
        <v>545</v>
      </c>
      <c r="F1033" s="482">
        <v>1000</v>
      </c>
      <c r="G1033" s="468">
        <v>0.63629999999999998</v>
      </c>
      <c r="H1033" s="479">
        <v>636.29999999999995</v>
      </c>
      <c r="I1033" s="480" t="s">
        <v>9009</v>
      </c>
      <c r="J1033" s="468" t="s">
        <v>9015</v>
      </c>
      <c r="K1033" s="468" t="s">
        <v>8996</v>
      </c>
      <c r="L1033" s="468" t="s">
        <v>541</v>
      </c>
    </row>
    <row r="1034" spans="1:12" x14ac:dyDescent="0.25">
      <c r="A1034" s="485" t="s">
        <v>220</v>
      </c>
      <c r="B1034" s="485" t="s">
        <v>2152</v>
      </c>
      <c r="C1034" s="485" t="s">
        <v>2236</v>
      </c>
      <c r="D1034" s="485" t="s">
        <v>2237</v>
      </c>
      <c r="E1034" s="485" t="s">
        <v>545</v>
      </c>
      <c r="F1034" s="482">
        <v>3000</v>
      </c>
      <c r="G1034" s="468">
        <v>0.1</v>
      </c>
      <c r="H1034" s="479">
        <v>300</v>
      </c>
      <c r="I1034" s="480" t="s">
        <v>9009</v>
      </c>
      <c r="J1034" s="468" t="s">
        <v>9015</v>
      </c>
      <c r="K1034" s="468" t="s">
        <v>8996</v>
      </c>
      <c r="L1034" s="468" t="s">
        <v>541</v>
      </c>
    </row>
    <row r="1035" spans="1:12" x14ac:dyDescent="0.25">
      <c r="A1035" s="485" t="s">
        <v>220</v>
      </c>
      <c r="B1035" s="485" t="s">
        <v>2152</v>
      </c>
      <c r="C1035" s="485" t="s">
        <v>2238</v>
      </c>
      <c r="D1035" s="485" t="s">
        <v>2239</v>
      </c>
      <c r="E1035" s="485" t="s">
        <v>545</v>
      </c>
      <c r="F1035" s="482">
        <v>2500</v>
      </c>
      <c r="G1035" s="468">
        <v>0.06</v>
      </c>
      <c r="H1035" s="479">
        <v>150</v>
      </c>
      <c r="I1035" s="480" t="s">
        <v>9009</v>
      </c>
      <c r="J1035" s="468" t="s">
        <v>9015</v>
      </c>
      <c r="K1035" s="468" t="s">
        <v>8996</v>
      </c>
      <c r="L1035" s="468" t="s">
        <v>541</v>
      </c>
    </row>
    <row r="1036" spans="1:12" x14ac:dyDescent="0.25">
      <c r="A1036" s="485" t="s">
        <v>220</v>
      </c>
      <c r="B1036" s="485" t="s">
        <v>2152</v>
      </c>
      <c r="C1036" s="485" t="s">
        <v>2240</v>
      </c>
      <c r="D1036" s="485" t="s">
        <v>2241</v>
      </c>
      <c r="E1036" s="485" t="s">
        <v>545</v>
      </c>
      <c r="F1036" s="482">
        <v>2500</v>
      </c>
      <c r="G1036" s="468">
        <v>0.2518296529968454</v>
      </c>
      <c r="H1036" s="479">
        <v>629.57413249211345</v>
      </c>
      <c r="I1036" s="480" t="s">
        <v>9009</v>
      </c>
      <c r="J1036" s="468" t="s">
        <v>9015</v>
      </c>
      <c r="K1036" s="468" t="s">
        <v>8996</v>
      </c>
      <c r="L1036" s="468" t="s">
        <v>541</v>
      </c>
    </row>
    <row r="1037" spans="1:12" x14ac:dyDescent="0.25">
      <c r="A1037" s="485" t="s">
        <v>220</v>
      </c>
      <c r="B1037" s="485" t="s">
        <v>2152</v>
      </c>
      <c r="C1037" s="485" t="s">
        <v>2242</v>
      </c>
      <c r="D1037" s="485" t="s">
        <v>2243</v>
      </c>
      <c r="E1037" s="485" t="s">
        <v>545</v>
      </c>
      <c r="F1037" s="482">
        <v>2000</v>
      </c>
      <c r="G1037" s="468">
        <v>0.22724999999999995</v>
      </c>
      <c r="H1037" s="479">
        <v>454.49999999999989</v>
      </c>
      <c r="I1037" s="480" t="s">
        <v>9009</v>
      </c>
      <c r="J1037" s="468" t="s">
        <v>9015</v>
      </c>
      <c r="K1037" s="468" t="s">
        <v>8996</v>
      </c>
      <c r="L1037" s="468" t="s">
        <v>541</v>
      </c>
    </row>
    <row r="1038" spans="1:12" x14ac:dyDescent="0.25">
      <c r="A1038" s="485" t="s">
        <v>220</v>
      </c>
      <c r="B1038" s="485" t="s">
        <v>2152</v>
      </c>
      <c r="C1038" s="485" t="s">
        <v>2244</v>
      </c>
      <c r="D1038" s="485" t="s">
        <v>2245</v>
      </c>
      <c r="E1038" s="485" t="s">
        <v>545</v>
      </c>
      <c r="F1038" s="482">
        <v>1500</v>
      </c>
      <c r="G1038" s="468">
        <v>0.27659480063693587</v>
      </c>
      <c r="H1038" s="479">
        <v>414.89220095540378</v>
      </c>
      <c r="I1038" s="480" t="s">
        <v>9009</v>
      </c>
      <c r="J1038" s="468" t="s">
        <v>9015</v>
      </c>
      <c r="K1038" s="468" t="s">
        <v>8996</v>
      </c>
      <c r="L1038" s="468" t="s">
        <v>541</v>
      </c>
    </row>
    <row r="1039" spans="1:12" x14ac:dyDescent="0.25">
      <c r="A1039" s="485" t="s">
        <v>220</v>
      </c>
      <c r="B1039" s="485" t="s">
        <v>2152</v>
      </c>
      <c r="C1039" s="485" t="s">
        <v>2246</v>
      </c>
      <c r="D1039" s="485" t="s">
        <v>2247</v>
      </c>
      <c r="E1039" s="485" t="s">
        <v>545</v>
      </c>
      <c r="F1039" s="482">
        <v>2200</v>
      </c>
      <c r="G1039" s="468">
        <v>0.30299999999999999</v>
      </c>
      <c r="H1039" s="479">
        <v>666.6</v>
      </c>
      <c r="I1039" s="480" t="s">
        <v>9009</v>
      </c>
      <c r="J1039" s="468" t="s">
        <v>9015</v>
      </c>
      <c r="K1039" s="468" t="s">
        <v>8996</v>
      </c>
      <c r="L1039" s="468" t="s">
        <v>541</v>
      </c>
    </row>
    <row r="1040" spans="1:12" x14ac:dyDescent="0.25">
      <c r="A1040" s="485" t="s">
        <v>220</v>
      </c>
      <c r="B1040" s="485" t="s">
        <v>2152</v>
      </c>
      <c r="C1040" s="485" t="s">
        <v>2248</v>
      </c>
      <c r="D1040" s="485" t="s">
        <v>2249</v>
      </c>
      <c r="E1040" s="485" t="s">
        <v>545</v>
      </c>
      <c r="F1040" s="482">
        <v>2200</v>
      </c>
      <c r="G1040" s="468">
        <v>0.30299999999999999</v>
      </c>
      <c r="H1040" s="479">
        <v>666.6</v>
      </c>
      <c r="I1040" s="480" t="s">
        <v>9009</v>
      </c>
      <c r="J1040" s="468" t="s">
        <v>9015</v>
      </c>
      <c r="K1040" s="468" t="s">
        <v>8996</v>
      </c>
      <c r="L1040" s="468" t="s">
        <v>541</v>
      </c>
    </row>
    <row r="1041" spans="1:12" x14ac:dyDescent="0.25">
      <c r="A1041" s="485" t="s">
        <v>220</v>
      </c>
      <c r="B1041" s="485" t="s">
        <v>2152</v>
      </c>
      <c r="C1041" s="485" t="s">
        <v>2250</v>
      </c>
      <c r="D1041" s="485" t="s">
        <v>2251</v>
      </c>
      <c r="E1041" s="485" t="s">
        <v>545</v>
      </c>
      <c r="F1041" s="482">
        <v>3000</v>
      </c>
      <c r="G1041" s="468">
        <v>0.37010515374331554</v>
      </c>
      <c r="H1041" s="479">
        <v>1110.3154612299465</v>
      </c>
      <c r="I1041" s="480" t="s">
        <v>9009</v>
      </c>
      <c r="J1041" s="468" t="s">
        <v>9015</v>
      </c>
      <c r="K1041" s="468" t="s">
        <v>8996</v>
      </c>
      <c r="L1041" s="468" t="s">
        <v>541</v>
      </c>
    </row>
    <row r="1042" spans="1:12" x14ac:dyDescent="0.25">
      <c r="A1042" s="485" t="s">
        <v>220</v>
      </c>
      <c r="B1042" s="485" t="s">
        <v>2152</v>
      </c>
      <c r="C1042" s="485" t="s">
        <v>2252</v>
      </c>
      <c r="D1042" s="485" t="s">
        <v>2253</v>
      </c>
      <c r="E1042" s="485" t="s">
        <v>545</v>
      </c>
      <c r="F1042" s="482">
        <v>1000</v>
      </c>
      <c r="G1042" s="468">
        <v>0.82820000000000005</v>
      </c>
      <c r="H1042" s="479">
        <v>828.2</v>
      </c>
      <c r="I1042" s="480" t="s">
        <v>9009</v>
      </c>
      <c r="J1042" s="468" t="s">
        <v>9015</v>
      </c>
      <c r="K1042" s="468" t="s">
        <v>8996</v>
      </c>
      <c r="L1042" s="468" t="s">
        <v>541</v>
      </c>
    </row>
    <row r="1043" spans="1:12" x14ac:dyDescent="0.25">
      <c r="A1043" s="485" t="s">
        <v>220</v>
      </c>
      <c r="B1043" s="485" t="s">
        <v>2152</v>
      </c>
      <c r="C1043" s="485" t="s">
        <v>2254</v>
      </c>
      <c r="D1043" s="485" t="s">
        <v>2255</v>
      </c>
      <c r="E1043" s="485" t="s">
        <v>545</v>
      </c>
      <c r="F1043" s="482">
        <v>2300</v>
      </c>
      <c r="G1043" s="468">
        <v>0.1340995507705729</v>
      </c>
      <c r="H1043" s="479">
        <v>308.42896677231766</v>
      </c>
      <c r="I1043" s="480" t="s">
        <v>9009</v>
      </c>
      <c r="J1043" s="468" t="s">
        <v>9015</v>
      </c>
      <c r="K1043" s="468" t="s">
        <v>8996</v>
      </c>
      <c r="L1043" s="468" t="s">
        <v>541</v>
      </c>
    </row>
    <row r="1044" spans="1:12" x14ac:dyDescent="0.25">
      <c r="A1044" s="485" t="s">
        <v>220</v>
      </c>
      <c r="B1044" s="485" t="s">
        <v>2152</v>
      </c>
      <c r="C1044" s="485" t="s">
        <v>2256</v>
      </c>
      <c r="D1044" s="485" t="s">
        <v>2257</v>
      </c>
      <c r="E1044" s="485" t="s">
        <v>545</v>
      </c>
      <c r="F1044" s="482">
        <v>500</v>
      </c>
      <c r="G1044" s="468">
        <v>7.5999999999999998E-2</v>
      </c>
      <c r="H1044" s="479">
        <v>38</v>
      </c>
      <c r="I1044" s="480" t="s">
        <v>9009</v>
      </c>
      <c r="J1044" s="468" t="s">
        <v>9015</v>
      </c>
      <c r="K1044" s="468" t="s">
        <v>8996</v>
      </c>
      <c r="L1044" s="468" t="s">
        <v>541</v>
      </c>
    </row>
    <row r="1045" spans="1:12" x14ac:dyDescent="0.25">
      <c r="A1045" s="485" t="s">
        <v>220</v>
      </c>
      <c r="B1045" s="485" t="s">
        <v>2152</v>
      </c>
      <c r="C1045" s="485" t="s">
        <v>2258</v>
      </c>
      <c r="D1045" s="485" t="s">
        <v>2259</v>
      </c>
      <c r="E1045" s="485" t="s">
        <v>545</v>
      </c>
      <c r="F1045" s="482">
        <v>1000</v>
      </c>
      <c r="G1045" s="468">
        <v>0.10545201249132548</v>
      </c>
      <c r="H1045" s="479">
        <v>105.45201249132548</v>
      </c>
      <c r="I1045" s="480" t="s">
        <v>9009</v>
      </c>
      <c r="J1045" s="468" t="s">
        <v>9015</v>
      </c>
      <c r="K1045" s="468" t="s">
        <v>8996</v>
      </c>
      <c r="L1045" s="468" t="s">
        <v>541</v>
      </c>
    </row>
    <row r="1046" spans="1:12" x14ac:dyDescent="0.25">
      <c r="A1046" s="485" t="s">
        <v>220</v>
      </c>
      <c r="B1046" s="485" t="s">
        <v>2152</v>
      </c>
      <c r="C1046" s="485" t="s">
        <v>2260</v>
      </c>
      <c r="D1046" s="485" t="s">
        <v>2261</v>
      </c>
      <c r="E1046" s="485" t="s">
        <v>545</v>
      </c>
      <c r="F1046" s="482">
        <v>2400</v>
      </c>
      <c r="G1046" s="468">
        <v>0.30299999999999999</v>
      </c>
      <c r="H1046" s="479">
        <v>727.19999999999993</v>
      </c>
      <c r="I1046" s="480" t="s">
        <v>9009</v>
      </c>
      <c r="J1046" s="468" t="s">
        <v>9015</v>
      </c>
      <c r="K1046" s="468" t="s">
        <v>8996</v>
      </c>
      <c r="L1046" s="468" t="s">
        <v>541</v>
      </c>
    </row>
    <row r="1047" spans="1:12" x14ac:dyDescent="0.25">
      <c r="A1047" s="485" t="s">
        <v>220</v>
      </c>
      <c r="B1047" s="485" t="s">
        <v>2152</v>
      </c>
      <c r="C1047" s="485" t="s">
        <v>2262</v>
      </c>
      <c r="D1047" s="485" t="s">
        <v>2263</v>
      </c>
      <c r="E1047" s="485" t="s">
        <v>545</v>
      </c>
      <c r="F1047" s="482">
        <v>2000</v>
      </c>
      <c r="G1047" s="468">
        <v>0.26722962706336201</v>
      </c>
      <c r="H1047" s="479">
        <v>534.45925412672398</v>
      </c>
      <c r="I1047" s="480" t="s">
        <v>9009</v>
      </c>
      <c r="J1047" s="468" t="s">
        <v>9015</v>
      </c>
      <c r="K1047" s="468" t="s">
        <v>8996</v>
      </c>
      <c r="L1047" s="468" t="s">
        <v>541</v>
      </c>
    </row>
    <row r="1048" spans="1:12" x14ac:dyDescent="0.25">
      <c r="A1048" s="485" t="s">
        <v>220</v>
      </c>
      <c r="B1048" s="485" t="s">
        <v>2152</v>
      </c>
      <c r="C1048" s="485" t="s">
        <v>2266</v>
      </c>
      <c r="D1048" s="485" t="s">
        <v>2267</v>
      </c>
      <c r="E1048" s="485" t="s">
        <v>545</v>
      </c>
      <c r="F1048" s="482">
        <v>2000</v>
      </c>
      <c r="G1048" s="468">
        <v>0.29289999999999999</v>
      </c>
      <c r="H1048" s="479">
        <v>585.79999999999995</v>
      </c>
      <c r="I1048" s="480" t="s">
        <v>9009</v>
      </c>
      <c r="J1048" s="468" t="s">
        <v>9015</v>
      </c>
      <c r="K1048" s="468" t="s">
        <v>8996</v>
      </c>
      <c r="L1048" s="468" t="s">
        <v>541</v>
      </c>
    </row>
    <row r="1049" spans="1:12" x14ac:dyDescent="0.25">
      <c r="A1049" s="485" t="s">
        <v>220</v>
      </c>
      <c r="B1049" s="485" t="s">
        <v>2152</v>
      </c>
      <c r="C1049" s="485" t="s">
        <v>2268</v>
      </c>
      <c r="D1049" s="485" t="s">
        <v>2269</v>
      </c>
      <c r="E1049" s="485" t="s">
        <v>545</v>
      </c>
      <c r="F1049" s="482">
        <v>2500</v>
      </c>
      <c r="G1049" s="468">
        <v>0.14661583064481437</v>
      </c>
      <c r="H1049" s="479">
        <v>366.53957661203594</v>
      </c>
      <c r="I1049" s="480" t="s">
        <v>9009</v>
      </c>
      <c r="J1049" s="468" t="s">
        <v>9015</v>
      </c>
      <c r="K1049" s="468" t="s">
        <v>8996</v>
      </c>
      <c r="L1049" s="468" t="s">
        <v>541</v>
      </c>
    </row>
    <row r="1050" spans="1:12" x14ac:dyDescent="0.25">
      <c r="A1050" s="485" t="s">
        <v>220</v>
      </c>
      <c r="B1050" s="485" t="s">
        <v>2152</v>
      </c>
      <c r="C1050" s="485" t="s">
        <v>2270</v>
      </c>
      <c r="D1050" s="485" t="s">
        <v>2271</v>
      </c>
      <c r="E1050" s="485" t="s">
        <v>545</v>
      </c>
      <c r="F1050" s="482">
        <v>1000</v>
      </c>
      <c r="G1050" s="468">
        <v>0.18640952380952377</v>
      </c>
      <c r="H1050" s="479">
        <v>186.40952380952376</v>
      </c>
      <c r="I1050" s="480" t="s">
        <v>9009</v>
      </c>
      <c r="J1050" s="468" t="s">
        <v>9015</v>
      </c>
      <c r="K1050" s="468" t="s">
        <v>8996</v>
      </c>
      <c r="L1050" s="468" t="s">
        <v>541</v>
      </c>
    </row>
    <row r="1051" spans="1:12" x14ac:dyDescent="0.25">
      <c r="A1051" s="485" t="s">
        <v>220</v>
      </c>
      <c r="B1051" s="485" t="s">
        <v>2152</v>
      </c>
      <c r="C1051" s="485" t="s">
        <v>2272</v>
      </c>
      <c r="D1051" s="485" t="s">
        <v>2273</v>
      </c>
      <c r="E1051" s="485" t="s">
        <v>545</v>
      </c>
      <c r="F1051" s="482">
        <v>1000</v>
      </c>
      <c r="G1051" s="468">
        <v>0.20049655340859748</v>
      </c>
      <c r="H1051" s="479">
        <v>200.49655340859749</v>
      </c>
      <c r="I1051" s="480" t="s">
        <v>9009</v>
      </c>
      <c r="J1051" s="468" t="s">
        <v>9015</v>
      </c>
      <c r="K1051" s="468" t="s">
        <v>8996</v>
      </c>
      <c r="L1051" s="468" t="s">
        <v>541</v>
      </c>
    </row>
    <row r="1052" spans="1:12" x14ac:dyDescent="0.25">
      <c r="A1052" s="485" t="s">
        <v>220</v>
      </c>
      <c r="B1052" s="485" t="s">
        <v>2152</v>
      </c>
      <c r="C1052" s="485" t="s">
        <v>2274</v>
      </c>
      <c r="D1052" s="485" t="s">
        <v>2275</v>
      </c>
      <c r="E1052" s="485" t="s">
        <v>545</v>
      </c>
      <c r="F1052" s="482">
        <v>2000</v>
      </c>
      <c r="G1052" s="468">
        <v>8.0799999999999997E-2</v>
      </c>
      <c r="H1052" s="479">
        <v>161.6</v>
      </c>
      <c r="I1052" s="480" t="s">
        <v>9009</v>
      </c>
      <c r="J1052" s="468" t="s">
        <v>9015</v>
      </c>
      <c r="K1052" s="468" t="s">
        <v>8996</v>
      </c>
      <c r="L1052" s="468" t="s">
        <v>541</v>
      </c>
    </row>
    <row r="1053" spans="1:12" x14ac:dyDescent="0.25">
      <c r="A1053" s="485" t="s">
        <v>220</v>
      </c>
      <c r="B1053" s="485" t="s">
        <v>2152</v>
      </c>
      <c r="C1053" s="485" t="s">
        <v>2276</v>
      </c>
      <c r="D1053" s="485" t="s">
        <v>2277</v>
      </c>
      <c r="E1053" s="485" t="s">
        <v>545</v>
      </c>
      <c r="F1053" s="482">
        <v>700</v>
      </c>
      <c r="G1053" s="468">
        <v>0.22219999999999998</v>
      </c>
      <c r="H1053" s="479">
        <v>155.54</v>
      </c>
      <c r="I1053" s="480" t="s">
        <v>9009</v>
      </c>
      <c r="J1053" s="468" t="s">
        <v>9015</v>
      </c>
      <c r="K1053" s="468" t="s">
        <v>8996</v>
      </c>
      <c r="L1053" s="468" t="s">
        <v>541</v>
      </c>
    </row>
    <row r="1054" spans="1:12" x14ac:dyDescent="0.25">
      <c r="A1054" s="485" t="s">
        <v>220</v>
      </c>
      <c r="B1054" s="485" t="s">
        <v>2152</v>
      </c>
      <c r="C1054" s="485" t="s">
        <v>2278</v>
      </c>
      <c r="D1054" s="485" t="s">
        <v>2279</v>
      </c>
      <c r="E1054" s="485" t="s">
        <v>545</v>
      </c>
      <c r="F1054" s="482">
        <v>1000</v>
      </c>
      <c r="G1054" s="468">
        <v>0.27158617327144191</v>
      </c>
      <c r="H1054" s="479">
        <v>271.58617327144191</v>
      </c>
      <c r="I1054" s="480" t="s">
        <v>9009</v>
      </c>
      <c r="J1054" s="468" t="s">
        <v>9015</v>
      </c>
      <c r="K1054" s="468" t="s">
        <v>8996</v>
      </c>
      <c r="L1054" s="468" t="s">
        <v>541</v>
      </c>
    </row>
    <row r="1055" spans="1:12" x14ac:dyDescent="0.25">
      <c r="A1055" s="485" t="s">
        <v>220</v>
      </c>
      <c r="B1055" s="485" t="s">
        <v>2152</v>
      </c>
      <c r="C1055" s="485" t="s">
        <v>2280</v>
      </c>
      <c r="D1055" s="485" t="s">
        <v>2281</v>
      </c>
      <c r="E1055" s="485" t="s">
        <v>545</v>
      </c>
      <c r="F1055" s="482">
        <v>1700</v>
      </c>
      <c r="G1055" s="468">
        <v>0.25646241902594008</v>
      </c>
      <c r="H1055" s="479">
        <v>435.98611234409816</v>
      </c>
      <c r="I1055" s="480" t="s">
        <v>9009</v>
      </c>
      <c r="J1055" s="468" t="s">
        <v>9015</v>
      </c>
      <c r="K1055" s="468" t="s">
        <v>8996</v>
      </c>
      <c r="L1055" s="468" t="s">
        <v>541</v>
      </c>
    </row>
    <row r="1056" spans="1:12" x14ac:dyDescent="0.25">
      <c r="A1056" s="485" t="s">
        <v>220</v>
      </c>
      <c r="B1056" s="485" t="s">
        <v>2152</v>
      </c>
      <c r="C1056" s="485" t="s">
        <v>2282</v>
      </c>
      <c r="D1056" s="485" t="s">
        <v>2283</v>
      </c>
      <c r="E1056" s="485" t="s">
        <v>545</v>
      </c>
      <c r="F1056" s="482">
        <v>1000</v>
      </c>
      <c r="G1056" s="468">
        <v>0.24569383034335271</v>
      </c>
      <c r="H1056" s="479">
        <v>245.69383034335272</v>
      </c>
      <c r="I1056" s="480" t="s">
        <v>9009</v>
      </c>
      <c r="J1056" s="468" t="s">
        <v>9015</v>
      </c>
      <c r="K1056" s="468" t="s">
        <v>8996</v>
      </c>
      <c r="L1056" s="468" t="s">
        <v>541</v>
      </c>
    </row>
    <row r="1057" spans="1:12" x14ac:dyDescent="0.25">
      <c r="A1057" s="485" t="s">
        <v>220</v>
      </c>
      <c r="B1057" s="485" t="s">
        <v>2152</v>
      </c>
      <c r="C1057" s="485" t="s">
        <v>2284</v>
      </c>
      <c r="D1057" s="485" t="s">
        <v>2285</v>
      </c>
      <c r="E1057" s="485" t="s">
        <v>545</v>
      </c>
      <c r="F1057" s="482">
        <v>2000</v>
      </c>
      <c r="G1057" s="468">
        <v>0.17410476190476185</v>
      </c>
      <c r="H1057" s="479">
        <v>348.20952380952372</v>
      </c>
      <c r="I1057" s="480" t="s">
        <v>9009</v>
      </c>
      <c r="J1057" s="468" t="s">
        <v>9015</v>
      </c>
      <c r="K1057" s="468" t="s">
        <v>8996</v>
      </c>
      <c r="L1057" s="468" t="s">
        <v>541</v>
      </c>
    </row>
    <row r="1058" spans="1:12" x14ac:dyDescent="0.25">
      <c r="A1058" s="485" t="s">
        <v>220</v>
      </c>
      <c r="B1058" s="485" t="s">
        <v>2152</v>
      </c>
      <c r="C1058" s="485" t="s">
        <v>2286</v>
      </c>
      <c r="D1058" s="485" t="s">
        <v>2287</v>
      </c>
      <c r="E1058" s="485" t="s">
        <v>545</v>
      </c>
      <c r="F1058" s="482">
        <v>2000</v>
      </c>
      <c r="G1058" s="468">
        <v>0.2525</v>
      </c>
      <c r="H1058" s="479">
        <v>505</v>
      </c>
      <c r="I1058" s="480" t="s">
        <v>9009</v>
      </c>
      <c r="J1058" s="468" t="s">
        <v>9015</v>
      </c>
      <c r="K1058" s="468" t="s">
        <v>8996</v>
      </c>
      <c r="L1058" s="468" t="s">
        <v>541</v>
      </c>
    </row>
    <row r="1059" spans="1:12" x14ac:dyDescent="0.25">
      <c r="A1059" s="485" t="s">
        <v>220</v>
      </c>
      <c r="B1059" s="485" t="s">
        <v>2152</v>
      </c>
      <c r="C1059" s="485" t="s">
        <v>2288</v>
      </c>
      <c r="D1059" s="485" t="s">
        <v>2289</v>
      </c>
      <c r="E1059" s="485" t="s">
        <v>545</v>
      </c>
      <c r="F1059" s="482">
        <v>2000</v>
      </c>
      <c r="G1059" s="468">
        <v>0.26352316456834513</v>
      </c>
      <c r="H1059" s="479">
        <v>527.04632913669025</v>
      </c>
      <c r="I1059" s="480" t="s">
        <v>9009</v>
      </c>
      <c r="J1059" s="468" t="s">
        <v>9015</v>
      </c>
      <c r="K1059" s="468" t="s">
        <v>8996</v>
      </c>
      <c r="L1059" s="468" t="s">
        <v>541</v>
      </c>
    </row>
    <row r="1060" spans="1:12" x14ac:dyDescent="0.25">
      <c r="A1060" s="485" t="s">
        <v>220</v>
      </c>
      <c r="B1060" s="485" t="s">
        <v>2152</v>
      </c>
      <c r="C1060" s="485" t="s">
        <v>2290</v>
      </c>
      <c r="D1060" s="485" t="s">
        <v>2291</v>
      </c>
      <c r="E1060" s="485" t="s">
        <v>545</v>
      </c>
      <c r="F1060" s="482">
        <v>1900</v>
      </c>
      <c r="G1060" s="468">
        <v>0.10610834090417477</v>
      </c>
      <c r="H1060" s="479">
        <v>201.60584771793208</v>
      </c>
      <c r="I1060" s="480" t="s">
        <v>9009</v>
      </c>
      <c r="J1060" s="468" t="s">
        <v>9015</v>
      </c>
      <c r="K1060" s="468" t="s">
        <v>8996</v>
      </c>
      <c r="L1060" s="468" t="s">
        <v>541</v>
      </c>
    </row>
    <row r="1061" spans="1:12" x14ac:dyDescent="0.25">
      <c r="A1061" s="485" t="s">
        <v>220</v>
      </c>
      <c r="B1061" s="485" t="s">
        <v>2152</v>
      </c>
      <c r="C1061" s="485" t="s">
        <v>1504</v>
      </c>
      <c r="D1061" s="485" t="s">
        <v>1505</v>
      </c>
      <c r="E1061" s="485" t="s">
        <v>545</v>
      </c>
      <c r="F1061" s="482">
        <v>460</v>
      </c>
      <c r="G1061" s="468">
        <v>0.30071575047882365</v>
      </c>
      <c r="H1061" s="479">
        <v>138.32924522025888</v>
      </c>
      <c r="I1061" s="480" t="s">
        <v>9009</v>
      </c>
      <c r="J1061" s="468" t="s">
        <v>9015</v>
      </c>
      <c r="K1061" s="468" t="s">
        <v>8996</v>
      </c>
      <c r="L1061" s="468" t="s">
        <v>541</v>
      </c>
    </row>
    <row r="1062" spans="1:12" x14ac:dyDescent="0.25">
      <c r="A1062" s="485" t="s">
        <v>220</v>
      </c>
      <c r="B1062" s="485" t="s">
        <v>2152</v>
      </c>
      <c r="C1062" s="485" t="s">
        <v>2292</v>
      </c>
      <c r="D1062" s="485" t="s">
        <v>2293</v>
      </c>
      <c r="E1062" s="485" t="s">
        <v>545</v>
      </c>
      <c r="F1062" s="482">
        <v>3500</v>
      </c>
      <c r="G1062" s="468">
        <v>0.125</v>
      </c>
      <c r="H1062" s="479">
        <v>437.5</v>
      </c>
      <c r="I1062" s="480" t="s">
        <v>9009</v>
      </c>
      <c r="J1062" s="468" t="s">
        <v>9015</v>
      </c>
      <c r="K1062" s="468" t="s">
        <v>8996</v>
      </c>
      <c r="L1062" s="468" t="s">
        <v>541</v>
      </c>
    </row>
    <row r="1063" spans="1:12" x14ac:dyDescent="0.25">
      <c r="A1063" s="485" t="s">
        <v>220</v>
      </c>
      <c r="B1063" s="485" t="s">
        <v>2152</v>
      </c>
      <c r="C1063" s="485" t="s">
        <v>2294</v>
      </c>
      <c r="D1063" s="485" t="s">
        <v>2295</v>
      </c>
      <c r="E1063" s="485" t="s">
        <v>545</v>
      </c>
      <c r="F1063" s="482">
        <v>1000</v>
      </c>
      <c r="G1063" s="468">
        <v>3.3489166387679951E-2</v>
      </c>
      <c r="H1063" s="479">
        <v>33.489166387679951</v>
      </c>
      <c r="I1063" s="480" t="s">
        <v>9009</v>
      </c>
      <c r="J1063" s="468" t="s">
        <v>9015</v>
      </c>
      <c r="K1063" s="468" t="s">
        <v>8996</v>
      </c>
      <c r="L1063" s="468" t="s">
        <v>541</v>
      </c>
    </row>
    <row r="1064" spans="1:12" x14ac:dyDescent="0.25">
      <c r="A1064" s="485" t="s">
        <v>220</v>
      </c>
      <c r="B1064" s="485" t="s">
        <v>2152</v>
      </c>
      <c r="C1064" s="485" t="s">
        <v>2296</v>
      </c>
      <c r="D1064" s="485" t="s">
        <v>2297</v>
      </c>
      <c r="E1064" s="485" t="s">
        <v>545</v>
      </c>
      <c r="F1064" s="482">
        <v>1000</v>
      </c>
      <c r="G1064" s="468">
        <v>0.15866131221719457</v>
      </c>
      <c r="H1064" s="479">
        <v>158.66131221719456</v>
      </c>
      <c r="I1064" s="480" t="s">
        <v>9009</v>
      </c>
      <c r="J1064" s="468" t="s">
        <v>9015</v>
      </c>
      <c r="K1064" s="468" t="s">
        <v>8996</v>
      </c>
      <c r="L1064" s="468" t="s">
        <v>541</v>
      </c>
    </row>
    <row r="1065" spans="1:12" x14ac:dyDescent="0.25">
      <c r="A1065" s="485" t="s">
        <v>220</v>
      </c>
      <c r="B1065" s="485" t="s">
        <v>2152</v>
      </c>
      <c r="C1065" s="485" t="s">
        <v>2298</v>
      </c>
      <c r="D1065" s="485" t="s">
        <v>2299</v>
      </c>
      <c r="E1065" s="485" t="s">
        <v>545</v>
      </c>
      <c r="F1065" s="482">
        <v>3400</v>
      </c>
      <c r="G1065" s="468">
        <v>0.17169999999999999</v>
      </c>
      <c r="H1065" s="479">
        <v>583.78</v>
      </c>
      <c r="I1065" s="480" t="s">
        <v>9009</v>
      </c>
      <c r="J1065" s="468" t="s">
        <v>9015</v>
      </c>
      <c r="K1065" s="468" t="s">
        <v>8996</v>
      </c>
      <c r="L1065" s="468" t="s">
        <v>541</v>
      </c>
    </row>
    <row r="1066" spans="1:12" x14ac:dyDescent="0.25">
      <c r="A1066" s="485" t="s">
        <v>220</v>
      </c>
      <c r="B1066" s="485" t="s">
        <v>2152</v>
      </c>
      <c r="C1066" s="485" t="s">
        <v>2300</v>
      </c>
      <c r="D1066" s="485" t="s">
        <v>2301</v>
      </c>
      <c r="E1066" s="485" t="s">
        <v>545</v>
      </c>
      <c r="F1066" s="482">
        <v>5000</v>
      </c>
      <c r="G1066" s="468">
        <v>0.17729165545879538</v>
      </c>
      <c r="H1066" s="479">
        <v>886.45827729397695</v>
      </c>
      <c r="I1066" s="480" t="s">
        <v>9009</v>
      </c>
      <c r="J1066" s="468" t="s">
        <v>9015</v>
      </c>
      <c r="K1066" s="468" t="s">
        <v>8996</v>
      </c>
      <c r="L1066" s="468" t="s">
        <v>541</v>
      </c>
    </row>
    <row r="1067" spans="1:12" x14ac:dyDescent="0.25">
      <c r="A1067" s="485" t="s">
        <v>220</v>
      </c>
      <c r="B1067" s="485" t="s">
        <v>2152</v>
      </c>
      <c r="C1067" s="485" t="s">
        <v>2302</v>
      </c>
      <c r="D1067" s="485" t="s">
        <v>2303</v>
      </c>
      <c r="E1067" s="485" t="s">
        <v>545</v>
      </c>
      <c r="F1067" s="482">
        <v>3463</v>
      </c>
      <c r="G1067" s="468">
        <v>0.20228623237993706</v>
      </c>
      <c r="H1067" s="479">
        <v>700.51722273172209</v>
      </c>
      <c r="I1067" s="480" t="s">
        <v>9009</v>
      </c>
      <c r="J1067" s="468" t="s">
        <v>9015</v>
      </c>
      <c r="K1067" s="468" t="s">
        <v>8996</v>
      </c>
      <c r="L1067" s="468" t="s">
        <v>541</v>
      </c>
    </row>
    <row r="1068" spans="1:12" x14ac:dyDescent="0.25">
      <c r="A1068" s="485" t="s">
        <v>220</v>
      </c>
      <c r="B1068" s="485" t="s">
        <v>2152</v>
      </c>
      <c r="C1068" s="485" t="s">
        <v>1516</v>
      </c>
      <c r="D1068" s="485" t="s">
        <v>1517</v>
      </c>
      <c r="E1068" s="485" t="s">
        <v>545</v>
      </c>
      <c r="F1068" s="482">
        <v>2600</v>
      </c>
      <c r="G1068" s="468">
        <v>0.35295722527875129</v>
      </c>
      <c r="H1068" s="479">
        <v>917.6887857247533</v>
      </c>
      <c r="I1068" s="480" t="s">
        <v>9009</v>
      </c>
      <c r="J1068" s="468" t="s">
        <v>9015</v>
      </c>
      <c r="K1068" s="468" t="s">
        <v>8996</v>
      </c>
      <c r="L1068" s="468" t="s">
        <v>541</v>
      </c>
    </row>
    <row r="1069" spans="1:12" x14ac:dyDescent="0.25">
      <c r="A1069" s="485" t="s">
        <v>220</v>
      </c>
      <c r="B1069" s="485" t="s">
        <v>2152</v>
      </c>
      <c r="C1069" s="485" t="s">
        <v>2304</v>
      </c>
      <c r="D1069" s="485" t="s">
        <v>2305</v>
      </c>
      <c r="E1069" s="485" t="s">
        <v>545</v>
      </c>
      <c r="F1069" s="482">
        <v>2000</v>
      </c>
      <c r="G1069" s="468">
        <v>0.12548780487804878</v>
      </c>
      <c r="H1069" s="479">
        <v>250.97560975609755</v>
      </c>
      <c r="I1069" s="480" t="s">
        <v>9009</v>
      </c>
      <c r="J1069" s="468" t="s">
        <v>9015</v>
      </c>
      <c r="K1069" s="468" t="s">
        <v>8996</v>
      </c>
      <c r="L1069" s="468" t="s">
        <v>541</v>
      </c>
    </row>
    <row r="1070" spans="1:12" x14ac:dyDescent="0.25">
      <c r="A1070" s="485" t="s">
        <v>220</v>
      </c>
      <c r="B1070" s="485" t="s">
        <v>2152</v>
      </c>
      <c r="C1070" s="485" t="s">
        <v>2306</v>
      </c>
      <c r="D1070" s="485" t="s">
        <v>2307</v>
      </c>
      <c r="E1070" s="485" t="s">
        <v>545</v>
      </c>
      <c r="F1070" s="482">
        <v>6400</v>
      </c>
      <c r="G1070" s="468">
        <v>0.24233607594936707</v>
      </c>
      <c r="H1070" s="479">
        <v>1550.9508860759493</v>
      </c>
      <c r="I1070" s="480" t="s">
        <v>9009</v>
      </c>
      <c r="J1070" s="468" t="s">
        <v>9015</v>
      </c>
      <c r="K1070" s="468" t="s">
        <v>8996</v>
      </c>
      <c r="L1070" s="468" t="s">
        <v>541</v>
      </c>
    </row>
    <row r="1071" spans="1:12" x14ac:dyDescent="0.25">
      <c r="A1071" s="485" t="s">
        <v>220</v>
      </c>
      <c r="B1071" s="485" t="s">
        <v>2152</v>
      </c>
      <c r="C1071" s="485" t="s">
        <v>1518</v>
      </c>
      <c r="D1071" s="485" t="s">
        <v>1519</v>
      </c>
      <c r="E1071" s="485" t="s">
        <v>545</v>
      </c>
      <c r="F1071" s="482">
        <v>3100</v>
      </c>
      <c r="G1071" s="468">
        <v>0.23626010935804323</v>
      </c>
      <c r="H1071" s="479">
        <v>732.40633900993396</v>
      </c>
      <c r="I1071" s="480" t="s">
        <v>9009</v>
      </c>
      <c r="J1071" s="468" t="s">
        <v>9015</v>
      </c>
      <c r="K1071" s="468" t="s">
        <v>8996</v>
      </c>
      <c r="L1071" s="468" t="s">
        <v>541</v>
      </c>
    </row>
    <row r="1072" spans="1:12" x14ac:dyDescent="0.25">
      <c r="A1072" s="485" t="s">
        <v>220</v>
      </c>
      <c r="B1072" s="485" t="s">
        <v>2152</v>
      </c>
      <c r="C1072" s="485" t="s">
        <v>2308</v>
      </c>
      <c r="D1072" s="485" t="s">
        <v>2309</v>
      </c>
      <c r="E1072" s="485" t="s">
        <v>545</v>
      </c>
      <c r="F1072" s="482">
        <v>6000</v>
      </c>
      <c r="G1072" s="468">
        <v>7.0699999999999999E-2</v>
      </c>
      <c r="H1072" s="479">
        <v>424.2</v>
      </c>
      <c r="I1072" s="480" t="s">
        <v>9009</v>
      </c>
      <c r="J1072" s="468" t="s">
        <v>9015</v>
      </c>
      <c r="K1072" s="468" t="s">
        <v>8996</v>
      </c>
      <c r="L1072" s="468" t="s">
        <v>541</v>
      </c>
    </row>
    <row r="1073" spans="1:12" x14ac:dyDescent="0.25">
      <c r="A1073" s="485" t="s">
        <v>220</v>
      </c>
      <c r="B1073" s="485" t="s">
        <v>2152</v>
      </c>
      <c r="C1073" s="485" t="s">
        <v>1553</v>
      </c>
      <c r="D1073" s="485" t="s">
        <v>1554</v>
      </c>
      <c r="E1073" s="485" t="s">
        <v>545</v>
      </c>
      <c r="F1073" s="482">
        <v>47600</v>
      </c>
      <c r="G1073" s="468">
        <v>0.18981843787297309</v>
      </c>
      <c r="H1073" s="479">
        <v>9035.357642753519</v>
      </c>
      <c r="I1073" s="480" t="s">
        <v>9009</v>
      </c>
      <c r="J1073" s="468" t="s">
        <v>9015</v>
      </c>
      <c r="K1073" s="468" t="s">
        <v>8996</v>
      </c>
      <c r="L1073" s="468" t="s">
        <v>541</v>
      </c>
    </row>
    <row r="1074" spans="1:12" x14ac:dyDescent="0.25">
      <c r="A1074" s="485" t="s">
        <v>220</v>
      </c>
      <c r="B1074" s="485" t="s">
        <v>2152</v>
      </c>
      <c r="C1074" s="485" t="s">
        <v>2310</v>
      </c>
      <c r="D1074" s="485" t="s">
        <v>2311</v>
      </c>
      <c r="E1074" s="485" t="s">
        <v>545</v>
      </c>
      <c r="F1074" s="482">
        <v>1000</v>
      </c>
      <c r="G1074" s="468">
        <v>0.25987967479674801</v>
      </c>
      <c r="H1074" s="479">
        <v>259.87967479674802</v>
      </c>
      <c r="I1074" s="480" t="s">
        <v>9009</v>
      </c>
      <c r="J1074" s="468" t="s">
        <v>9015</v>
      </c>
      <c r="K1074" s="468" t="s">
        <v>8996</v>
      </c>
      <c r="L1074" s="468" t="s">
        <v>541</v>
      </c>
    </row>
    <row r="1075" spans="1:12" x14ac:dyDescent="0.25">
      <c r="A1075" s="485" t="s">
        <v>220</v>
      </c>
      <c r="B1075" s="485" t="s">
        <v>2152</v>
      </c>
      <c r="C1075" s="485" t="s">
        <v>2312</v>
      </c>
      <c r="D1075" s="485" t="s">
        <v>2313</v>
      </c>
      <c r="E1075" s="485" t="s">
        <v>545</v>
      </c>
      <c r="F1075" s="482">
        <v>2500</v>
      </c>
      <c r="G1075" s="468">
        <v>0.33096666666666663</v>
      </c>
      <c r="H1075" s="479">
        <v>827.41666666666663</v>
      </c>
      <c r="I1075" s="480" t="s">
        <v>9009</v>
      </c>
      <c r="J1075" s="468" t="s">
        <v>9015</v>
      </c>
      <c r="K1075" s="468" t="s">
        <v>8996</v>
      </c>
      <c r="L1075" s="468" t="s">
        <v>541</v>
      </c>
    </row>
    <row r="1076" spans="1:12" x14ac:dyDescent="0.25">
      <c r="A1076" s="485" t="s">
        <v>220</v>
      </c>
      <c r="B1076" s="485" t="s">
        <v>2152</v>
      </c>
      <c r="C1076" s="485" t="s">
        <v>2314</v>
      </c>
      <c r="D1076" s="485" t="s">
        <v>2315</v>
      </c>
      <c r="E1076" s="485" t="s">
        <v>545</v>
      </c>
      <c r="F1076" s="482">
        <v>3500</v>
      </c>
      <c r="G1076" s="468">
        <v>0.13561250000000002</v>
      </c>
      <c r="H1076" s="479">
        <v>474.64375000000007</v>
      </c>
      <c r="I1076" s="480" t="s">
        <v>9009</v>
      </c>
      <c r="J1076" s="468" t="s">
        <v>9015</v>
      </c>
      <c r="K1076" s="468" t="s">
        <v>8996</v>
      </c>
      <c r="L1076" s="468" t="s">
        <v>541</v>
      </c>
    </row>
    <row r="1077" spans="1:12" x14ac:dyDescent="0.25">
      <c r="A1077" s="485" t="s">
        <v>220</v>
      </c>
      <c r="B1077" s="485" t="s">
        <v>2152</v>
      </c>
      <c r="C1077" s="485" t="s">
        <v>2316</v>
      </c>
      <c r="D1077" s="485" t="s">
        <v>2317</v>
      </c>
      <c r="E1077" s="485" t="s">
        <v>545</v>
      </c>
      <c r="F1077" s="482">
        <v>2000</v>
      </c>
      <c r="G1077" s="468">
        <v>0.22847999999999999</v>
      </c>
      <c r="H1077" s="479">
        <v>456.96</v>
      </c>
      <c r="I1077" s="480" t="s">
        <v>9009</v>
      </c>
      <c r="J1077" s="468" t="s">
        <v>9015</v>
      </c>
      <c r="K1077" s="468" t="s">
        <v>8996</v>
      </c>
      <c r="L1077" s="468" t="s">
        <v>541</v>
      </c>
    </row>
    <row r="1078" spans="1:12" x14ac:dyDescent="0.25">
      <c r="A1078" s="485" t="s">
        <v>220</v>
      </c>
      <c r="B1078" s="485" t="s">
        <v>2152</v>
      </c>
      <c r="C1078" s="485" t="s">
        <v>2318</v>
      </c>
      <c r="D1078" s="485" t="s">
        <v>2319</v>
      </c>
      <c r="E1078" s="485" t="s">
        <v>545</v>
      </c>
      <c r="F1078" s="482">
        <v>2500</v>
      </c>
      <c r="G1078" s="468">
        <v>6.4000000000000001E-2</v>
      </c>
      <c r="H1078" s="479">
        <v>160</v>
      </c>
      <c r="I1078" s="480" t="s">
        <v>9009</v>
      </c>
      <c r="J1078" s="468" t="s">
        <v>9015</v>
      </c>
      <c r="K1078" s="468" t="s">
        <v>8996</v>
      </c>
      <c r="L1078" s="468" t="s">
        <v>541</v>
      </c>
    </row>
    <row r="1079" spans="1:12" x14ac:dyDescent="0.25">
      <c r="A1079" s="485" t="s">
        <v>220</v>
      </c>
      <c r="B1079" s="485" t="s">
        <v>2152</v>
      </c>
      <c r="C1079" s="485" t="s">
        <v>1663</v>
      </c>
      <c r="D1079" s="485" t="s">
        <v>1664</v>
      </c>
      <c r="E1079" s="485" t="s">
        <v>545</v>
      </c>
      <c r="F1079" s="482">
        <v>3500</v>
      </c>
      <c r="G1079" s="468">
        <v>9.6687558107738575E-2</v>
      </c>
      <c r="H1079" s="479">
        <v>338.40645337708503</v>
      </c>
      <c r="I1079" s="480" t="s">
        <v>9009</v>
      </c>
      <c r="J1079" s="468" t="s">
        <v>9015</v>
      </c>
      <c r="K1079" s="468" t="s">
        <v>8996</v>
      </c>
      <c r="L1079" s="468" t="s">
        <v>541</v>
      </c>
    </row>
    <row r="1080" spans="1:12" x14ac:dyDescent="0.25">
      <c r="A1080" s="485" t="s">
        <v>220</v>
      </c>
      <c r="B1080" s="485" t="s">
        <v>2152</v>
      </c>
      <c r="C1080" s="485" t="s">
        <v>2320</v>
      </c>
      <c r="D1080" s="485" t="s">
        <v>2321</v>
      </c>
      <c r="E1080" s="485" t="s">
        <v>545</v>
      </c>
      <c r="F1080" s="482">
        <v>3000</v>
      </c>
      <c r="G1080" s="468">
        <v>0.185</v>
      </c>
      <c r="H1080" s="479">
        <v>555</v>
      </c>
      <c r="I1080" s="480" t="s">
        <v>9009</v>
      </c>
      <c r="J1080" s="468" t="s">
        <v>9015</v>
      </c>
      <c r="K1080" s="468" t="s">
        <v>8996</v>
      </c>
      <c r="L1080" s="468" t="s">
        <v>541</v>
      </c>
    </row>
    <row r="1081" spans="1:12" x14ac:dyDescent="0.25">
      <c r="A1081" s="485" t="s">
        <v>220</v>
      </c>
      <c r="B1081" s="485" t="s">
        <v>2152</v>
      </c>
      <c r="C1081" s="485" t="s">
        <v>2322</v>
      </c>
      <c r="D1081" s="485" t="s">
        <v>2323</v>
      </c>
      <c r="E1081" s="485" t="s">
        <v>545</v>
      </c>
      <c r="F1081" s="482">
        <v>2500</v>
      </c>
      <c r="G1081" s="468">
        <v>0.185</v>
      </c>
      <c r="H1081" s="479">
        <v>462.5</v>
      </c>
      <c r="I1081" s="480" t="s">
        <v>9009</v>
      </c>
      <c r="J1081" s="468" t="s">
        <v>9015</v>
      </c>
      <c r="K1081" s="468" t="s">
        <v>8996</v>
      </c>
      <c r="L1081" s="468" t="s">
        <v>541</v>
      </c>
    </row>
    <row r="1082" spans="1:12" x14ac:dyDescent="0.25">
      <c r="A1082" s="485" t="s">
        <v>220</v>
      </c>
      <c r="B1082" s="485" t="s">
        <v>2152</v>
      </c>
      <c r="C1082" s="485" t="s">
        <v>2324</v>
      </c>
      <c r="D1082" s="485" t="s">
        <v>2325</v>
      </c>
      <c r="E1082" s="485" t="s">
        <v>545</v>
      </c>
      <c r="F1082" s="482">
        <v>3000</v>
      </c>
      <c r="G1082" s="468">
        <v>0.16160000000000002</v>
      </c>
      <c r="H1082" s="479">
        <v>484.80000000000007</v>
      </c>
      <c r="I1082" s="480" t="s">
        <v>9009</v>
      </c>
      <c r="J1082" s="468" t="s">
        <v>9015</v>
      </c>
      <c r="K1082" s="468" t="s">
        <v>8996</v>
      </c>
      <c r="L1082" s="468" t="s">
        <v>541</v>
      </c>
    </row>
    <row r="1083" spans="1:12" x14ac:dyDescent="0.25">
      <c r="A1083" s="485" t="s">
        <v>220</v>
      </c>
      <c r="B1083" s="485" t="s">
        <v>2152</v>
      </c>
      <c r="C1083" s="485" t="s">
        <v>2326</v>
      </c>
      <c r="D1083" s="485" t="s">
        <v>2327</v>
      </c>
      <c r="E1083" s="485" t="s">
        <v>545</v>
      </c>
      <c r="F1083" s="482">
        <v>1000</v>
      </c>
      <c r="G1083" s="468">
        <v>0.16159999999999999</v>
      </c>
      <c r="H1083" s="479">
        <v>161.6</v>
      </c>
      <c r="I1083" s="480" t="s">
        <v>9009</v>
      </c>
      <c r="J1083" s="468" t="s">
        <v>9015</v>
      </c>
      <c r="K1083" s="468" t="s">
        <v>8996</v>
      </c>
      <c r="L1083" s="468" t="s">
        <v>541</v>
      </c>
    </row>
    <row r="1084" spans="1:12" x14ac:dyDescent="0.25">
      <c r="A1084" s="485" t="s">
        <v>220</v>
      </c>
      <c r="B1084" s="485" t="s">
        <v>2152</v>
      </c>
      <c r="C1084" s="485" t="s">
        <v>2328</v>
      </c>
      <c r="D1084" s="485" t="s">
        <v>1760</v>
      </c>
      <c r="E1084" s="485" t="s">
        <v>545</v>
      </c>
      <c r="F1084" s="482">
        <v>5130</v>
      </c>
      <c r="G1084" s="468">
        <v>0.3076781762451164</v>
      </c>
      <c r="H1084" s="479">
        <v>1578.3890441374472</v>
      </c>
      <c r="I1084" s="480" t="s">
        <v>9009</v>
      </c>
      <c r="J1084" s="468" t="s">
        <v>9015</v>
      </c>
      <c r="K1084" s="468" t="s">
        <v>8996</v>
      </c>
      <c r="L1084" s="468" t="s">
        <v>541</v>
      </c>
    </row>
    <row r="1085" spans="1:12" x14ac:dyDescent="0.25">
      <c r="A1085" s="485" t="s">
        <v>220</v>
      </c>
      <c r="B1085" s="485" t="s">
        <v>2152</v>
      </c>
      <c r="C1085" s="485" t="s">
        <v>2329</v>
      </c>
      <c r="D1085" s="485" t="s">
        <v>1762</v>
      </c>
      <c r="E1085" s="485" t="s">
        <v>545</v>
      </c>
      <c r="F1085" s="482">
        <v>3900</v>
      </c>
      <c r="G1085" s="468">
        <v>0.480290245331912</v>
      </c>
      <c r="H1085" s="479">
        <v>1873.1319567944568</v>
      </c>
      <c r="I1085" s="480" t="s">
        <v>9009</v>
      </c>
      <c r="J1085" s="468" t="s">
        <v>9015</v>
      </c>
      <c r="K1085" s="468" t="s">
        <v>8996</v>
      </c>
      <c r="L1085" s="468" t="s">
        <v>541</v>
      </c>
    </row>
    <row r="1086" spans="1:12" x14ac:dyDescent="0.25">
      <c r="A1086" s="485" t="s">
        <v>220</v>
      </c>
      <c r="B1086" s="485" t="s">
        <v>2152</v>
      </c>
      <c r="C1086" s="485" t="s">
        <v>2330</v>
      </c>
      <c r="D1086" s="485" t="s">
        <v>1764</v>
      </c>
      <c r="E1086" s="485" t="s">
        <v>545</v>
      </c>
      <c r="F1086" s="482">
        <v>6750</v>
      </c>
      <c r="G1086" s="468">
        <v>0.48134959417034645</v>
      </c>
      <c r="H1086" s="479">
        <v>3249.1097606498383</v>
      </c>
      <c r="I1086" s="480" t="s">
        <v>9009</v>
      </c>
      <c r="J1086" s="468" t="s">
        <v>9015</v>
      </c>
      <c r="K1086" s="468" t="s">
        <v>8996</v>
      </c>
      <c r="L1086" s="468" t="s">
        <v>541</v>
      </c>
    </row>
    <row r="1087" spans="1:12" x14ac:dyDescent="0.25">
      <c r="A1087" s="485" t="s">
        <v>220</v>
      </c>
      <c r="B1087" s="485" t="s">
        <v>2152</v>
      </c>
      <c r="C1087" s="485" t="s">
        <v>2331</v>
      </c>
      <c r="D1087" s="485" t="s">
        <v>1766</v>
      </c>
      <c r="E1087" s="485" t="s">
        <v>545</v>
      </c>
      <c r="F1087" s="482">
        <v>2370</v>
      </c>
      <c r="G1087" s="468">
        <v>0.5252</v>
      </c>
      <c r="H1087" s="479">
        <v>1244.7239999999999</v>
      </c>
      <c r="I1087" s="480" t="s">
        <v>9009</v>
      </c>
      <c r="J1087" s="468" t="s">
        <v>9015</v>
      </c>
      <c r="K1087" s="468" t="s">
        <v>8996</v>
      </c>
      <c r="L1087" s="468" t="s">
        <v>541</v>
      </c>
    </row>
    <row r="1088" spans="1:12" x14ac:dyDescent="0.25">
      <c r="A1088" s="485" t="s">
        <v>220</v>
      </c>
      <c r="B1088" s="485" t="s">
        <v>2152</v>
      </c>
      <c r="C1088" s="485" t="s">
        <v>1767</v>
      </c>
      <c r="D1088" s="485" t="s">
        <v>1768</v>
      </c>
      <c r="E1088" s="485" t="s">
        <v>545</v>
      </c>
      <c r="F1088" s="482">
        <v>2596</v>
      </c>
      <c r="G1088" s="468">
        <v>0.51541355407119638</v>
      </c>
      <c r="H1088" s="479">
        <v>1338.0135863688258</v>
      </c>
      <c r="I1088" s="480" t="s">
        <v>9009</v>
      </c>
      <c r="J1088" s="468" t="s">
        <v>9015</v>
      </c>
      <c r="K1088" s="468" t="s">
        <v>8996</v>
      </c>
      <c r="L1088" s="468" t="s">
        <v>541</v>
      </c>
    </row>
    <row r="1089" spans="1:12" x14ac:dyDescent="0.25">
      <c r="A1089" s="485" t="s">
        <v>220</v>
      </c>
      <c r="B1089" s="485" t="s">
        <v>2152</v>
      </c>
      <c r="C1089" s="485" t="s">
        <v>1769</v>
      </c>
      <c r="D1089" s="485" t="s">
        <v>1770</v>
      </c>
      <c r="E1089" s="485" t="s">
        <v>545</v>
      </c>
      <c r="F1089" s="482">
        <v>2500</v>
      </c>
      <c r="G1089" s="468">
        <v>0.68175000000000008</v>
      </c>
      <c r="H1089" s="479">
        <v>1704.3750000000002</v>
      </c>
      <c r="I1089" s="480" t="s">
        <v>9009</v>
      </c>
      <c r="J1089" s="468" t="s">
        <v>9015</v>
      </c>
      <c r="K1089" s="468" t="s">
        <v>8996</v>
      </c>
      <c r="L1089" s="468" t="s">
        <v>541</v>
      </c>
    </row>
    <row r="1090" spans="1:12" x14ac:dyDescent="0.25">
      <c r="A1090" s="485" t="s">
        <v>220</v>
      </c>
      <c r="B1090" s="485" t="s">
        <v>2152</v>
      </c>
      <c r="C1090" s="485" t="s">
        <v>2332</v>
      </c>
      <c r="D1090" s="485" t="s">
        <v>2333</v>
      </c>
      <c r="E1090" s="485" t="s">
        <v>545</v>
      </c>
      <c r="F1090" s="482">
        <v>1397</v>
      </c>
      <c r="G1090" s="468">
        <v>3.0804999999999998</v>
      </c>
      <c r="H1090" s="479">
        <v>4303.4584999999997</v>
      </c>
      <c r="I1090" s="480" t="s">
        <v>9009</v>
      </c>
      <c r="J1090" s="468" t="s">
        <v>9015</v>
      </c>
      <c r="K1090" s="468" t="s">
        <v>8996</v>
      </c>
      <c r="L1090" s="468" t="s">
        <v>541</v>
      </c>
    </row>
    <row r="1091" spans="1:12" x14ac:dyDescent="0.25">
      <c r="A1091" s="485" t="s">
        <v>220</v>
      </c>
      <c r="B1091" s="485" t="s">
        <v>2152</v>
      </c>
      <c r="C1091" s="485" t="s">
        <v>2334</v>
      </c>
      <c r="D1091" s="485" t="s">
        <v>2335</v>
      </c>
      <c r="E1091" s="485" t="s">
        <v>545</v>
      </c>
      <c r="F1091" s="482">
        <v>1255</v>
      </c>
      <c r="G1091" s="468">
        <v>3.0804999999999998</v>
      </c>
      <c r="H1091" s="479">
        <v>3866.0274999999997</v>
      </c>
      <c r="I1091" s="480" t="s">
        <v>9009</v>
      </c>
      <c r="J1091" s="468" t="s">
        <v>9015</v>
      </c>
      <c r="K1091" s="468" t="s">
        <v>8996</v>
      </c>
      <c r="L1091" s="468" t="s">
        <v>541</v>
      </c>
    </row>
    <row r="1092" spans="1:12" x14ac:dyDescent="0.25">
      <c r="A1092" s="485" t="s">
        <v>220</v>
      </c>
      <c r="B1092" s="485" t="s">
        <v>2152</v>
      </c>
      <c r="C1092" s="485" t="s">
        <v>1899</v>
      </c>
      <c r="D1092" s="485" t="s">
        <v>1900</v>
      </c>
      <c r="E1092" s="485" t="s">
        <v>535</v>
      </c>
      <c r="F1092" s="482">
        <v>2260</v>
      </c>
      <c r="G1092" s="468">
        <v>19.719606724089633</v>
      </c>
      <c r="H1092" s="479">
        <v>44566.31119644257</v>
      </c>
      <c r="I1092" s="480" t="s">
        <v>9009</v>
      </c>
      <c r="J1092" s="468" t="s">
        <v>9011</v>
      </c>
      <c r="K1092" s="468" t="s">
        <v>8996</v>
      </c>
      <c r="L1092" s="468" t="s">
        <v>541</v>
      </c>
    </row>
    <row r="1093" spans="1:12" x14ac:dyDescent="0.25">
      <c r="A1093" s="485" t="s">
        <v>587</v>
      </c>
      <c r="B1093" s="485" t="s">
        <v>588</v>
      </c>
      <c r="C1093" s="485" t="s">
        <v>642</v>
      </c>
      <c r="D1093" s="485" t="s">
        <v>643</v>
      </c>
      <c r="E1093" s="485" t="s">
        <v>639</v>
      </c>
      <c r="F1093" s="482">
        <v>30940</v>
      </c>
      <c r="G1093" s="468">
        <v>0.17960028418424487</v>
      </c>
      <c r="H1093" s="479">
        <v>5556.8327926605361</v>
      </c>
      <c r="I1093" s="480" t="s">
        <v>9009</v>
      </c>
      <c r="J1093" s="468" t="s">
        <v>9011</v>
      </c>
      <c r="K1093" s="468" t="s">
        <v>9038</v>
      </c>
      <c r="L1093" s="468" t="s">
        <v>541</v>
      </c>
    </row>
    <row r="1094" spans="1:12" x14ac:dyDescent="0.25">
      <c r="A1094" s="485" t="s">
        <v>587</v>
      </c>
      <c r="B1094" s="485" t="s">
        <v>588</v>
      </c>
      <c r="C1094" s="485" t="s">
        <v>637</v>
      </c>
      <c r="D1094" s="485" t="s">
        <v>638</v>
      </c>
      <c r="E1094" s="485" t="s">
        <v>639</v>
      </c>
      <c r="F1094" s="482">
        <v>210720</v>
      </c>
      <c r="G1094" s="468">
        <v>0.17261068236144589</v>
      </c>
      <c r="H1094" s="479">
        <v>36372.522987203876</v>
      </c>
      <c r="I1094" s="480" t="s">
        <v>9009</v>
      </c>
      <c r="J1094" s="468" t="s">
        <v>9011</v>
      </c>
      <c r="K1094" s="468" t="s">
        <v>9038</v>
      </c>
      <c r="L1094" s="468" t="s">
        <v>541</v>
      </c>
    </row>
    <row r="1095" spans="1:12" x14ac:dyDescent="0.25">
      <c r="A1095" s="485" t="s">
        <v>587</v>
      </c>
      <c r="B1095" s="485" t="s">
        <v>588</v>
      </c>
      <c r="C1095" s="485" t="s">
        <v>713</v>
      </c>
      <c r="D1095" s="485" t="s">
        <v>714</v>
      </c>
      <c r="E1095" s="485" t="s">
        <v>639</v>
      </c>
      <c r="F1095" s="482">
        <v>52320</v>
      </c>
      <c r="G1095" s="468">
        <v>0.15580064491637435</v>
      </c>
      <c r="H1095" s="479">
        <v>8151.4897420247062</v>
      </c>
      <c r="I1095" s="480" t="s">
        <v>9009</v>
      </c>
      <c r="J1095" s="468" t="s">
        <v>9011</v>
      </c>
      <c r="K1095" s="468" t="s">
        <v>9038</v>
      </c>
      <c r="L1095" s="468" t="s">
        <v>541</v>
      </c>
    </row>
    <row r="1096" spans="1:12" x14ac:dyDescent="0.25">
      <c r="A1096" s="485" t="s">
        <v>587</v>
      </c>
      <c r="B1096" s="485" t="s">
        <v>588</v>
      </c>
      <c r="C1096" s="485" t="s">
        <v>640</v>
      </c>
      <c r="D1096" s="485" t="s">
        <v>641</v>
      </c>
      <c r="E1096" s="485" t="s">
        <v>639</v>
      </c>
      <c r="F1096" s="482">
        <v>139520</v>
      </c>
      <c r="G1096" s="468">
        <v>0.17268881474205081</v>
      </c>
      <c r="H1096" s="479">
        <v>24093.54343281093</v>
      </c>
      <c r="I1096" s="480" t="s">
        <v>9009</v>
      </c>
      <c r="J1096" s="468" t="s">
        <v>9011</v>
      </c>
      <c r="K1096" s="468" t="s">
        <v>9038</v>
      </c>
      <c r="L1096" s="468" t="s">
        <v>541</v>
      </c>
    </row>
    <row r="1097" spans="1:12" x14ac:dyDescent="0.25">
      <c r="A1097" s="485" t="s">
        <v>587</v>
      </c>
      <c r="B1097" s="485" t="s">
        <v>588</v>
      </c>
      <c r="C1097" s="485" t="s">
        <v>736</v>
      </c>
      <c r="D1097" s="485" t="s">
        <v>7447</v>
      </c>
      <c r="E1097" s="485" t="s">
        <v>639</v>
      </c>
      <c r="F1097" s="482">
        <v>251544</v>
      </c>
      <c r="G1097" s="468">
        <v>0.13900000000000001</v>
      </c>
      <c r="H1097" s="479">
        <v>34964.616000000002</v>
      </c>
      <c r="I1097" s="480" t="s">
        <v>9009</v>
      </c>
      <c r="J1097" s="468" t="s">
        <v>9011</v>
      </c>
      <c r="K1097" s="468" t="s">
        <v>9038</v>
      </c>
      <c r="L1097" s="468" t="s">
        <v>541</v>
      </c>
    </row>
    <row r="1098" spans="1:12" x14ac:dyDescent="0.25">
      <c r="A1098" s="485" t="s">
        <v>587</v>
      </c>
      <c r="B1098" s="485" t="s">
        <v>588</v>
      </c>
      <c r="C1098" s="485" t="s">
        <v>715</v>
      </c>
      <c r="D1098" s="485" t="s">
        <v>716</v>
      </c>
      <c r="E1098" s="485" t="s">
        <v>639</v>
      </c>
      <c r="F1098" s="482">
        <v>52960</v>
      </c>
      <c r="G1098" s="468">
        <v>1.1673196483156583</v>
      </c>
      <c r="H1098" s="479">
        <v>61821.248574797261</v>
      </c>
      <c r="I1098" s="480" t="s">
        <v>9009</v>
      </c>
      <c r="J1098" s="468" t="s">
        <v>9011</v>
      </c>
      <c r="K1098" s="468" t="s">
        <v>9038</v>
      </c>
      <c r="L1098" s="468" t="s">
        <v>541</v>
      </c>
    </row>
    <row r="1099" spans="1:12" x14ac:dyDescent="0.25">
      <c r="A1099" s="485" t="s">
        <v>587</v>
      </c>
      <c r="B1099" s="485" t="s">
        <v>588</v>
      </c>
      <c r="C1099" s="485" t="s">
        <v>717</v>
      </c>
      <c r="D1099" s="485" t="s">
        <v>718</v>
      </c>
      <c r="E1099" s="485" t="s">
        <v>639</v>
      </c>
      <c r="F1099" s="482">
        <v>36948</v>
      </c>
      <c r="G1099" s="468">
        <v>1.1673196483156583</v>
      </c>
      <c r="H1099" s="479">
        <v>43130.126365966942</v>
      </c>
      <c r="I1099" s="480" t="s">
        <v>9009</v>
      </c>
      <c r="J1099" s="468" t="s">
        <v>9011</v>
      </c>
      <c r="K1099" s="468" t="s">
        <v>9038</v>
      </c>
      <c r="L1099" s="468" t="s">
        <v>541</v>
      </c>
    </row>
    <row r="1100" spans="1:12" x14ac:dyDescent="0.25">
      <c r="A1100" s="485" t="s">
        <v>587</v>
      </c>
      <c r="B1100" s="485" t="s">
        <v>588</v>
      </c>
      <c r="C1100" s="485" t="s">
        <v>666</v>
      </c>
      <c r="D1100" s="485" t="s">
        <v>667</v>
      </c>
      <c r="E1100" s="485" t="s">
        <v>535</v>
      </c>
      <c r="F1100" s="482">
        <v>160</v>
      </c>
      <c r="G1100" s="468">
        <v>14.447026627672727</v>
      </c>
      <c r="H1100" s="479">
        <v>2311.5242604276364</v>
      </c>
      <c r="I1100" s="480" t="s">
        <v>9009</v>
      </c>
      <c r="J1100" s="468" t="s">
        <v>9011</v>
      </c>
      <c r="K1100" s="468" t="s">
        <v>8996</v>
      </c>
      <c r="L1100" s="468" t="s">
        <v>541</v>
      </c>
    </row>
    <row r="1101" spans="1:12" x14ac:dyDescent="0.25">
      <c r="A1101" s="485" t="s">
        <v>587</v>
      </c>
      <c r="B1101" s="485" t="s">
        <v>588</v>
      </c>
      <c r="C1101" s="485" t="s">
        <v>668</v>
      </c>
      <c r="D1101" s="485" t="s">
        <v>669</v>
      </c>
      <c r="E1101" s="485" t="s">
        <v>535</v>
      </c>
      <c r="F1101" s="482">
        <v>640</v>
      </c>
      <c r="G1101" s="468">
        <v>13.541652250000004</v>
      </c>
      <c r="H1101" s="479">
        <v>8666.6574400000027</v>
      </c>
      <c r="I1101" s="480" t="s">
        <v>9009</v>
      </c>
      <c r="J1101" s="468" t="s">
        <v>9011</v>
      </c>
      <c r="K1101" s="468" t="s">
        <v>8996</v>
      </c>
      <c r="L1101" s="468" t="s">
        <v>541</v>
      </c>
    </row>
    <row r="1102" spans="1:12" x14ac:dyDescent="0.25">
      <c r="A1102" s="485" t="s">
        <v>587</v>
      </c>
      <c r="B1102" s="485" t="s">
        <v>588</v>
      </c>
      <c r="C1102" s="485" t="s">
        <v>721</v>
      </c>
      <c r="D1102" s="485" t="s">
        <v>722</v>
      </c>
      <c r="E1102" s="485" t="s">
        <v>535</v>
      </c>
      <c r="F1102" s="482">
        <v>3040</v>
      </c>
      <c r="G1102" s="468">
        <v>15.308191433220287</v>
      </c>
      <c r="H1102" s="479">
        <v>46536.90195698967</v>
      </c>
      <c r="I1102" s="480" t="s">
        <v>9009</v>
      </c>
      <c r="J1102" s="468" t="s">
        <v>9011</v>
      </c>
      <c r="K1102" s="468" t="s">
        <v>8996</v>
      </c>
      <c r="L1102" s="468" t="s">
        <v>541</v>
      </c>
    </row>
    <row r="1103" spans="1:12" x14ac:dyDescent="0.25">
      <c r="A1103" s="485" t="s">
        <v>587</v>
      </c>
      <c r="B1103" s="485" t="s">
        <v>588</v>
      </c>
      <c r="C1103" s="485" t="s">
        <v>725</v>
      </c>
      <c r="D1103" s="485" t="s">
        <v>726</v>
      </c>
      <c r="E1103" s="485" t="s">
        <v>535</v>
      </c>
      <c r="F1103" s="482">
        <v>6012</v>
      </c>
      <c r="G1103" s="468">
        <v>13.594315293010286</v>
      </c>
      <c r="H1103" s="479">
        <v>81729.023541577844</v>
      </c>
      <c r="I1103" s="480" t="s">
        <v>9009</v>
      </c>
      <c r="J1103" s="468" t="s">
        <v>9011</v>
      </c>
      <c r="K1103" s="468" t="s">
        <v>8996</v>
      </c>
      <c r="L1103" s="468" t="s">
        <v>541</v>
      </c>
    </row>
    <row r="1104" spans="1:12" x14ac:dyDescent="0.25">
      <c r="A1104" s="485" t="s">
        <v>587</v>
      </c>
      <c r="B1104" s="485" t="s">
        <v>588</v>
      </c>
      <c r="C1104" s="485"/>
      <c r="D1104" s="485" t="s">
        <v>738</v>
      </c>
      <c r="E1104" s="485" t="s">
        <v>535</v>
      </c>
      <c r="F1104" s="482">
        <v>2027</v>
      </c>
      <c r="G1104" s="468">
        <v>14.477203179506267</v>
      </c>
      <c r="H1104" s="479">
        <v>29345.290844859202</v>
      </c>
      <c r="I1104" s="480" t="s">
        <v>9009</v>
      </c>
      <c r="J1104" s="468" t="s">
        <v>9011</v>
      </c>
      <c r="K1104" s="468" t="s">
        <v>8996</v>
      </c>
      <c r="L1104" s="468" t="s">
        <v>541</v>
      </c>
    </row>
    <row r="1105" spans="1:12" x14ac:dyDescent="0.25">
      <c r="A1105" s="485" t="s">
        <v>587</v>
      </c>
      <c r="B1105" s="485" t="s">
        <v>588</v>
      </c>
      <c r="C1105" s="485" t="s">
        <v>727</v>
      </c>
      <c r="D1105" s="485" t="s">
        <v>728</v>
      </c>
      <c r="E1105" s="485" t="s">
        <v>535</v>
      </c>
      <c r="F1105" s="482">
        <v>3100</v>
      </c>
      <c r="G1105" s="468">
        <v>13.827783737305175</v>
      </c>
      <c r="H1105" s="479">
        <v>42866.129585646042</v>
      </c>
      <c r="I1105" s="480" t="s">
        <v>9009</v>
      </c>
      <c r="J1105" s="468" t="s">
        <v>9011</v>
      </c>
      <c r="K1105" s="468" t="s">
        <v>8996</v>
      </c>
      <c r="L1105" s="468" t="s">
        <v>541</v>
      </c>
    </row>
    <row r="1106" spans="1:12" x14ac:dyDescent="0.25">
      <c r="A1106" s="485" t="s">
        <v>587</v>
      </c>
      <c r="B1106" s="485" t="s">
        <v>588</v>
      </c>
      <c r="C1106" s="485" t="s">
        <v>589</v>
      </c>
      <c r="D1106" s="485" t="s">
        <v>590</v>
      </c>
      <c r="E1106" s="485" t="s">
        <v>535</v>
      </c>
      <c r="F1106" s="482">
        <v>125</v>
      </c>
      <c r="G1106" s="468">
        <v>12.59525825408878</v>
      </c>
      <c r="H1106" s="479">
        <v>1574.4072817610975</v>
      </c>
      <c r="I1106" s="480" t="s">
        <v>9009</v>
      </c>
      <c r="J1106" s="468" t="s">
        <v>9011</v>
      </c>
      <c r="K1106" s="468" t="s">
        <v>8996</v>
      </c>
      <c r="L1106" s="468" t="s">
        <v>541</v>
      </c>
    </row>
    <row r="1107" spans="1:12" x14ac:dyDescent="0.25">
      <c r="A1107" s="485" t="s">
        <v>587</v>
      </c>
      <c r="B1107" s="485" t="s">
        <v>588</v>
      </c>
      <c r="C1107" s="485" t="s">
        <v>644</v>
      </c>
      <c r="D1107" s="485" t="s">
        <v>645</v>
      </c>
      <c r="E1107" s="485" t="s">
        <v>545</v>
      </c>
      <c r="F1107" s="482">
        <v>4104</v>
      </c>
      <c r="G1107" s="468">
        <v>0.9110590188837957</v>
      </c>
      <c r="H1107" s="479">
        <v>3738.9862134990976</v>
      </c>
      <c r="I1107" s="480" t="s">
        <v>9009</v>
      </c>
      <c r="J1107" s="468" t="s">
        <v>9011</v>
      </c>
      <c r="K1107" s="468" t="s">
        <v>8996</v>
      </c>
      <c r="L1107" s="468" t="s">
        <v>541</v>
      </c>
    </row>
    <row r="1108" spans="1:12" x14ac:dyDescent="0.25">
      <c r="A1108" s="485" t="s">
        <v>587</v>
      </c>
      <c r="B1108" s="485" t="s">
        <v>588</v>
      </c>
      <c r="C1108" s="485" t="s">
        <v>646</v>
      </c>
      <c r="D1108" s="485" t="s">
        <v>647</v>
      </c>
      <c r="E1108" s="485" t="s">
        <v>545</v>
      </c>
      <c r="F1108" s="482">
        <v>1140</v>
      </c>
      <c r="G1108" s="468">
        <v>1.2732299853104208</v>
      </c>
      <c r="H1108" s="479">
        <v>1451.4821832538796</v>
      </c>
      <c r="I1108" s="480" t="s">
        <v>9009</v>
      </c>
      <c r="J1108" s="468" t="s">
        <v>9011</v>
      </c>
      <c r="K1108" s="468" t="s">
        <v>8996</v>
      </c>
      <c r="L1108" s="468" t="s">
        <v>541</v>
      </c>
    </row>
    <row r="1109" spans="1:12" x14ac:dyDescent="0.25">
      <c r="A1109" s="485" t="s">
        <v>587</v>
      </c>
      <c r="B1109" s="485" t="s">
        <v>588</v>
      </c>
      <c r="C1109" s="485" t="s">
        <v>648</v>
      </c>
      <c r="D1109" s="485" t="s">
        <v>649</v>
      </c>
      <c r="E1109" s="485" t="s">
        <v>545</v>
      </c>
      <c r="F1109" s="482">
        <v>5342</v>
      </c>
      <c r="G1109" s="468">
        <v>1.1599999999999999</v>
      </c>
      <c r="H1109" s="479">
        <v>6196.7199999999993</v>
      </c>
      <c r="I1109" s="480" t="s">
        <v>9009</v>
      </c>
      <c r="J1109" s="468" t="s">
        <v>9011</v>
      </c>
      <c r="K1109" s="468" t="s">
        <v>8996</v>
      </c>
      <c r="L1109" s="468" t="s">
        <v>541</v>
      </c>
    </row>
    <row r="1110" spans="1:12" x14ac:dyDescent="0.25">
      <c r="A1110" s="485" t="s">
        <v>587</v>
      </c>
      <c r="B1110" s="485" t="s">
        <v>588</v>
      </c>
      <c r="C1110" s="485" t="s">
        <v>650</v>
      </c>
      <c r="D1110" s="485" t="s">
        <v>651</v>
      </c>
      <c r="E1110" s="485" t="s">
        <v>545</v>
      </c>
      <c r="F1110" s="482">
        <v>4073</v>
      </c>
      <c r="G1110" s="468">
        <v>1.5528073028453109</v>
      </c>
      <c r="H1110" s="479">
        <v>6324.5841444889511</v>
      </c>
      <c r="I1110" s="480" t="s">
        <v>9009</v>
      </c>
      <c r="J1110" s="468" t="s">
        <v>9011</v>
      </c>
      <c r="K1110" s="468" t="s">
        <v>8996</v>
      </c>
      <c r="L1110" s="468" t="s">
        <v>541</v>
      </c>
    </row>
    <row r="1111" spans="1:12" x14ac:dyDescent="0.25">
      <c r="A1111" s="485" t="s">
        <v>587</v>
      </c>
      <c r="B1111" s="485" t="s">
        <v>588</v>
      </c>
      <c r="C1111" s="485" t="s">
        <v>652</v>
      </c>
      <c r="D1111" s="485" t="s">
        <v>653</v>
      </c>
      <c r="E1111" s="485" t="s">
        <v>545</v>
      </c>
      <c r="F1111" s="482">
        <v>10189</v>
      </c>
      <c r="G1111" s="468">
        <v>1.9902010856751384</v>
      </c>
      <c r="H1111" s="479">
        <v>20278.158861943986</v>
      </c>
      <c r="I1111" s="480" t="s">
        <v>9009</v>
      </c>
      <c r="J1111" s="468" t="s">
        <v>9011</v>
      </c>
      <c r="K1111" s="468" t="s">
        <v>8996</v>
      </c>
      <c r="L1111" s="468" t="s">
        <v>541</v>
      </c>
    </row>
    <row r="1112" spans="1:12" x14ac:dyDescent="0.25">
      <c r="A1112" s="485" t="s">
        <v>587</v>
      </c>
      <c r="B1112" s="485" t="s">
        <v>588</v>
      </c>
      <c r="C1112" s="485" t="s">
        <v>654</v>
      </c>
      <c r="D1112" s="485" t="s">
        <v>655</v>
      </c>
      <c r="E1112" s="485" t="s">
        <v>545</v>
      </c>
      <c r="F1112" s="482">
        <v>5987</v>
      </c>
      <c r="G1112" s="468">
        <v>2.0631118638677806</v>
      </c>
      <c r="H1112" s="479">
        <v>12351.850728976402</v>
      </c>
      <c r="I1112" s="480" t="s">
        <v>9009</v>
      </c>
      <c r="J1112" s="468" t="s">
        <v>9011</v>
      </c>
      <c r="K1112" s="468" t="s">
        <v>8996</v>
      </c>
      <c r="L1112" s="468" t="s">
        <v>541</v>
      </c>
    </row>
    <row r="1113" spans="1:12" x14ac:dyDescent="0.25">
      <c r="A1113" s="485" t="s">
        <v>587</v>
      </c>
      <c r="B1113" s="485" t="s">
        <v>588</v>
      </c>
      <c r="C1113" s="485" t="s">
        <v>656</v>
      </c>
      <c r="D1113" s="485" t="s">
        <v>657</v>
      </c>
      <c r="E1113" s="485" t="s">
        <v>545</v>
      </c>
      <c r="F1113" s="482">
        <v>4912</v>
      </c>
      <c r="G1113" s="468">
        <v>2.5473276361234856</v>
      </c>
      <c r="H1113" s="479">
        <v>12512.473348638561</v>
      </c>
      <c r="I1113" s="480" t="s">
        <v>9009</v>
      </c>
      <c r="J1113" s="468" t="s">
        <v>9011</v>
      </c>
      <c r="K1113" s="468" t="s">
        <v>8996</v>
      </c>
      <c r="L1113" s="468" t="s">
        <v>541</v>
      </c>
    </row>
    <row r="1114" spans="1:12" x14ac:dyDescent="0.25">
      <c r="A1114" s="485" t="s">
        <v>587</v>
      </c>
      <c r="B1114" s="485" t="s">
        <v>588</v>
      </c>
      <c r="C1114" s="485"/>
      <c r="D1114" s="485" t="s">
        <v>671</v>
      </c>
      <c r="E1114" s="485" t="s">
        <v>535</v>
      </c>
      <c r="F1114" s="482">
        <v>25</v>
      </c>
      <c r="G1114" s="468">
        <v>0</v>
      </c>
      <c r="H1114" s="479">
        <v>0</v>
      </c>
      <c r="I1114" s="480" t="s">
        <v>9009</v>
      </c>
      <c r="J1114" s="468" t="s">
        <v>9147</v>
      </c>
      <c r="K1114" s="468" t="s">
        <v>8996</v>
      </c>
      <c r="L1114" s="468" t="s">
        <v>541</v>
      </c>
    </row>
    <row r="1115" spans="1:12" x14ac:dyDescent="0.25">
      <c r="A1115" s="485" t="s">
        <v>587</v>
      </c>
      <c r="B1115" s="485" t="s">
        <v>588</v>
      </c>
      <c r="C1115" s="485" t="s">
        <v>723</v>
      </c>
      <c r="D1115" s="485" t="s">
        <v>724</v>
      </c>
      <c r="E1115" s="485" t="s">
        <v>535</v>
      </c>
      <c r="F1115" s="482">
        <v>150</v>
      </c>
      <c r="G1115" s="468">
        <v>26.512264150943395</v>
      </c>
      <c r="H1115" s="479">
        <v>3976.8396226415093</v>
      </c>
      <c r="I1115" s="480" t="s">
        <v>9009</v>
      </c>
      <c r="J1115" s="468" t="s">
        <v>9147</v>
      </c>
      <c r="K1115" s="468" t="s">
        <v>8996</v>
      </c>
      <c r="L1115" s="468" t="s">
        <v>541</v>
      </c>
    </row>
    <row r="1116" spans="1:12" x14ac:dyDescent="0.25">
      <c r="A1116" s="485" t="s">
        <v>587</v>
      </c>
      <c r="B1116" s="485" t="s">
        <v>588</v>
      </c>
      <c r="C1116" s="485" t="s">
        <v>662</v>
      </c>
      <c r="D1116" s="485" t="s">
        <v>663</v>
      </c>
      <c r="E1116" s="485" t="s">
        <v>535</v>
      </c>
      <c r="F1116" s="482">
        <v>43.2</v>
      </c>
      <c r="G1116" s="468">
        <v>4.9006256153924221</v>
      </c>
      <c r="H1116" s="479">
        <v>211.70702658495264</v>
      </c>
      <c r="I1116" s="480" t="s">
        <v>9009</v>
      </c>
      <c r="J1116" s="468" t="s">
        <v>9201</v>
      </c>
      <c r="K1116" s="468" t="s">
        <v>8996</v>
      </c>
      <c r="L1116" s="468" t="s">
        <v>541</v>
      </c>
    </row>
    <row r="1117" spans="1:12" x14ac:dyDescent="0.25">
      <c r="A1117" s="485" t="s">
        <v>587</v>
      </c>
      <c r="B1117" s="485" t="s">
        <v>588</v>
      </c>
      <c r="C1117" s="485" t="s">
        <v>734</v>
      </c>
      <c r="D1117" s="485" t="s">
        <v>735</v>
      </c>
      <c r="E1117" s="485" t="s">
        <v>545</v>
      </c>
      <c r="F1117" s="482">
        <v>140</v>
      </c>
      <c r="G1117" s="468">
        <v>0.2525</v>
      </c>
      <c r="H1117" s="479">
        <v>35.35</v>
      </c>
      <c r="I1117" s="480" t="s">
        <v>9009</v>
      </c>
      <c r="J1117" s="468" t="s">
        <v>9147</v>
      </c>
      <c r="K1117" s="468" t="s">
        <v>8996</v>
      </c>
      <c r="L1117" s="468" t="s">
        <v>541</v>
      </c>
    </row>
    <row r="1118" spans="1:12" x14ac:dyDescent="0.25">
      <c r="A1118" s="485" t="s">
        <v>587</v>
      </c>
      <c r="B1118" s="485" t="s">
        <v>588</v>
      </c>
      <c r="C1118" s="485" t="s">
        <v>658</v>
      </c>
      <c r="D1118" s="485" t="s">
        <v>7679</v>
      </c>
      <c r="E1118" s="485" t="s">
        <v>545</v>
      </c>
      <c r="F1118" s="482">
        <v>1750</v>
      </c>
      <c r="G1118" s="468">
        <v>0.19110291891891892</v>
      </c>
      <c r="H1118" s="479">
        <v>334.43010810810813</v>
      </c>
      <c r="I1118" s="480" t="s">
        <v>9009</v>
      </c>
      <c r="J1118" s="468" t="s">
        <v>9147</v>
      </c>
      <c r="K1118" s="468" t="s">
        <v>8996</v>
      </c>
      <c r="L1118" s="468" t="s">
        <v>541</v>
      </c>
    </row>
    <row r="1119" spans="1:12" x14ac:dyDescent="0.25">
      <c r="A1119" s="485" t="s">
        <v>587</v>
      </c>
      <c r="B1119" s="485" t="s">
        <v>588</v>
      </c>
      <c r="C1119" s="485" t="s">
        <v>682</v>
      </c>
      <c r="D1119" s="485" t="s">
        <v>683</v>
      </c>
      <c r="E1119" s="485" t="s">
        <v>545</v>
      </c>
      <c r="F1119" s="482">
        <v>1500</v>
      </c>
      <c r="G1119" s="468">
        <v>0.20200000000000001</v>
      </c>
      <c r="H1119" s="479">
        <v>303</v>
      </c>
      <c r="I1119" s="480" t="s">
        <v>9009</v>
      </c>
      <c r="J1119" s="468" t="s">
        <v>9147</v>
      </c>
      <c r="K1119" s="468" t="s">
        <v>8996</v>
      </c>
      <c r="L1119" s="468" t="s">
        <v>541</v>
      </c>
    </row>
    <row r="1120" spans="1:12" x14ac:dyDescent="0.25">
      <c r="A1120" s="485" t="s">
        <v>587</v>
      </c>
      <c r="B1120" s="485" t="s">
        <v>588</v>
      </c>
      <c r="C1120" s="485" t="s">
        <v>660</v>
      </c>
      <c r="D1120" s="485" t="s">
        <v>661</v>
      </c>
      <c r="E1120" s="485" t="s">
        <v>545</v>
      </c>
      <c r="F1120" s="482">
        <v>3500</v>
      </c>
      <c r="G1120" s="468">
        <v>0.20165972222222223</v>
      </c>
      <c r="H1120" s="479">
        <v>705.80902777777783</v>
      </c>
      <c r="I1120" s="480" t="s">
        <v>9009</v>
      </c>
      <c r="J1120" s="468" t="s">
        <v>9147</v>
      </c>
      <c r="K1120" s="468" t="s">
        <v>8996</v>
      </c>
      <c r="L1120" s="468" t="s">
        <v>541</v>
      </c>
    </row>
    <row r="1121" spans="1:12" x14ac:dyDescent="0.25">
      <c r="A1121" s="485" t="s">
        <v>587</v>
      </c>
      <c r="B1121" s="485" t="s">
        <v>588</v>
      </c>
      <c r="C1121" s="485" t="s">
        <v>684</v>
      </c>
      <c r="D1121" s="485" t="s">
        <v>685</v>
      </c>
      <c r="E1121" s="485" t="s">
        <v>545</v>
      </c>
      <c r="F1121" s="482">
        <v>500</v>
      </c>
      <c r="G1121" s="468">
        <v>0.35349999999999998</v>
      </c>
      <c r="H1121" s="479">
        <v>176.75</v>
      </c>
      <c r="I1121" s="480" t="s">
        <v>9009</v>
      </c>
      <c r="J1121" s="468" t="s">
        <v>9147</v>
      </c>
      <c r="K1121" s="468" t="s">
        <v>8996</v>
      </c>
      <c r="L1121" s="468" t="s">
        <v>541</v>
      </c>
    </row>
    <row r="1122" spans="1:12" x14ac:dyDescent="0.25">
      <c r="A1122" s="485" t="s">
        <v>587</v>
      </c>
      <c r="B1122" s="485" t="s">
        <v>588</v>
      </c>
      <c r="C1122" s="485" t="s">
        <v>686</v>
      </c>
      <c r="D1122" s="485" t="s">
        <v>687</v>
      </c>
      <c r="E1122" s="485" t="s">
        <v>545</v>
      </c>
      <c r="F1122" s="482">
        <v>500</v>
      </c>
      <c r="G1122" s="468">
        <v>0.35349999999999998</v>
      </c>
      <c r="H1122" s="479">
        <v>176.75</v>
      </c>
      <c r="I1122" s="480" t="s">
        <v>9009</v>
      </c>
      <c r="J1122" s="468" t="s">
        <v>9147</v>
      </c>
      <c r="K1122" s="468" t="s">
        <v>8996</v>
      </c>
      <c r="L1122" s="468" t="s">
        <v>541</v>
      </c>
    </row>
    <row r="1123" spans="1:12" x14ac:dyDescent="0.25">
      <c r="A1123" s="485" t="s">
        <v>587</v>
      </c>
      <c r="B1123" s="485" t="s">
        <v>588</v>
      </c>
      <c r="C1123" s="485" t="s">
        <v>664</v>
      </c>
      <c r="D1123" s="485" t="s">
        <v>665</v>
      </c>
      <c r="E1123" s="485" t="s">
        <v>545</v>
      </c>
      <c r="F1123" s="482">
        <v>60</v>
      </c>
      <c r="G1123" s="468">
        <v>3.2738407209731339</v>
      </c>
      <c r="H1123" s="479">
        <v>196.43044325838804</v>
      </c>
      <c r="I1123" s="480" t="s">
        <v>9009</v>
      </c>
      <c r="J1123" s="468" t="s">
        <v>9147</v>
      </c>
      <c r="K1123" s="468" t="s">
        <v>8996</v>
      </c>
      <c r="L1123" s="468" t="s">
        <v>541</v>
      </c>
    </row>
    <row r="1124" spans="1:12" x14ac:dyDescent="0.25">
      <c r="A1124" s="485" t="s">
        <v>587</v>
      </c>
      <c r="B1124" s="485" t="s">
        <v>588</v>
      </c>
      <c r="C1124" s="485" t="s">
        <v>688</v>
      </c>
      <c r="D1124" s="485" t="s">
        <v>689</v>
      </c>
      <c r="E1124" s="485" t="s">
        <v>545</v>
      </c>
      <c r="F1124" s="482">
        <v>8</v>
      </c>
      <c r="G1124" s="468">
        <v>352.43900000000002</v>
      </c>
      <c r="H1124" s="479">
        <v>2819.5120000000002</v>
      </c>
      <c r="I1124" s="480" t="s">
        <v>9009</v>
      </c>
      <c r="J1124" s="468" t="s">
        <v>9147</v>
      </c>
      <c r="K1124" s="468" t="s">
        <v>8996</v>
      </c>
      <c r="L1124" s="468" t="s">
        <v>541</v>
      </c>
    </row>
    <row r="1125" spans="1:12" x14ac:dyDescent="0.25">
      <c r="A1125" s="485" t="s">
        <v>587</v>
      </c>
      <c r="B1125" s="485" t="s">
        <v>588</v>
      </c>
      <c r="C1125" s="485" t="s">
        <v>680</v>
      </c>
      <c r="D1125" s="485" t="s">
        <v>681</v>
      </c>
      <c r="E1125" s="485" t="s">
        <v>545</v>
      </c>
      <c r="F1125" s="482">
        <v>33</v>
      </c>
      <c r="G1125" s="468">
        <v>5.4087843099460295</v>
      </c>
      <c r="H1125" s="479">
        <v>178.48988222821899</v>
      </c>
      <c r="I1125" s="480" t="s">
        <v>9009</v>
      </c>
      <c r="J1125" s="468" t="s">
        <v>9147</v>
      </c>
      <c r="K1125" s="468" t="s">
        <v>8996</v>
      </c>
      <c r="L1125" s="468" t="s">
        <v>541</v>
      </c>
    </row>
    <row r="1126" spans="1:12" x14ac:dyDescent="0.25">
      <c r="A1126" s="485" t="s">
        <v>587</v>
      </c>
      <c r="B1126" s="485" t="s">
        <v>588</v>
      </c>
      <c r="C1126" s="485" t="s">
        <v>700</v>
      </c>
      <c r="D1126" s="485" t="s">
        <v>701</v>
      </c>
      <c r="E1126" s="485" t="s">
        <v>545</v>
      </c>
      <c r="F1126" s="482">
        <v>2</v>
      </c>
      <c r="G1126" s="468">
        <v>30.505706430295458</v>
      </c>
      <c r="H1126" s="479">
        <v>61.011412860590916</v>
      </c>
      <c r="I1126" s="480" t="s">
        <v>9009</v>
      </c>
      <c r="J1126" s="468" t="s">
        <v>9147</v>
      </c>
      <c r="K1126" s="468" t="s">
        <v>8996</v>
      </c>
      <c r="L1126" s="468" t="s">
        <v>541</v>
      </c>
    </row>
    <row r="1127" spans="1:12" x14ac:dyDescent="0.25">
      <c r="A1127" s="485" t="s">
        <v>587</v>
      </c>
      <c r="B1127" s="485" t="s">
        <v>588</v>
      </c>
      <c r="C1127" s="485" t="s">
        <v>729</v>
      </c>
      <c r="D1127" s="485" t="s">
        <v>730</v>
      </c>
      <c r="E1127" s="485" t="s">
        <v>545</v>
      </c>
      <c r="F1127" s="482">
        <v>100</v>
      </c>
      <c r="G1127" s="468">
        <v>109.33333333333331</v>
      </c>
      <c r="H1127" s="479">
        <v>10933.333333333332</v>
      </c>
      <c r="I1127" s="480" t="s">
        <v>9009</v>
      </c>
      <c r="J1127" s="468" t="s">
        <v>9201</v>
      </c>
      <c r="K1127" s="468" t="s">
        <v>8996</v>
      </c>
      <c r="L1127" s="468" t="s">
        <v>541</v>
      </c>
    </row>
    <row r="1128" spans="1:12" x14ac:dyDescent="0.25">
      <c r="A1128" s="485" t="s">
        <v>587</v>
      </c>
      <c r="B1128" s="485" t="s">
        <v>588</v>
      </c>
      <c r="C1128" s="485" t="s">
        <v>731</v>
      </c>
      <c r="D1128" s="485" t="s">
        <v>732</v>
      </c>
      <c r="E1128" s="485" t="s">
        <v>545</v>
      </c>
      <c r="F1128" s="482">
        <v>1</v>
      </c>
      <c r="G1128" s="468">
        <v>153.66428571428574</v>
      </c>
      <c r="H1128" s="479">
        <v>153.66428571428574</v>
      </c>
      <c r="I1128" s="480" t="s">
        <v>9009</v>
      </c>
      <c r="J1128" s="468" t="s">
        <v>9201</v>
      </c>
      <c r="K1128" s="468" t="s">
        <v>8996</v>
      </c>
      <c r="L1128" s="468" t="s">
        <v>541</v>
      </c>
    </row>
    <row r="1129" spans="1:12" x14ac:dyDescent="0.25">
      <c r="A1129" s="485" t="s">
        <v>587</v>
      </c>
      <c r="B1129" s="485" t="s">
        <v>588</v>
      </c>
      <c r="C1129" s="485"/>
      <c r="D1129" s="485" t="s">
        <v>733</v>
      </c>
      <c r="E1129" s="485" t="s">
        <v>535</v>
      </c>
      <c r="F1129" s="482">
        <v>110</v>
      </c>
      <c r="G1129" s="468">
        <v>0</v>
      </c>
      <c r="H1129" s="479">
        <v>0</v>
      </c>
      <c r="I1129" s="480" t="s">
        <v>9009</v>
      </c>
      <c r="J1129" s="468" t="s">
        <v>9147</v>
      </c>
      <c r="K1129" s="468" t="s">
        <v>8996</v>
      </c>
      <c r="L1129" s="468" t="s">
        <v>541</v>
      </c>
    </row>
    <row r="1130" spans="1:12" x14ac:dyDescent="0.25">
      <c r="A1130" s="485" t="s">
        <v>587</v>
      </c>
      <c r="B1130" s="485" t="s">
        <v>588</v>
      </c>
      <c r="C1130" s="485"/>
      <c r="D1130" s="485" t="s">
        <v>7680</v>
      </c>
      <c r="E1130" s="485" t="s">
        <v>535</v>
      </c>
      <c r="F1130" s="482">
        <v>225</v>
      </c>
      <c r="G1130" s="468">
        <v>0</v>
      </c>
      <c r="H1130" s="479">
        <v>0</v>
      </c>
      <c r="I1130" s="480" t="s">
        <v>9009</v>
      </c>
      <c r="J1130" s="468" t="s">
        <v>9147</v>
      </c>
      <c r="K1130" s="468" t="s">
        <v>8996</v>
      </c>
      <c r="L1130" s="468" t="s">
        <v>541</v>
      </c>
    </row>
    <row r="1131" spans="1:12" x14ac:dyDescent="0.25">
      <c r="A1131" s="485" t="s">
        <v>587</v>
      </c>
      <c r="B1131" s="485" t="s">
        <v>588</v>
      </c>
      <c r="C1131" s="485" t="s">
        <v>719</v>
      </c>
      <c r="D1131" s="485" t="s">
        <v>720</v>
      </c>
      <c r="E1131" s="485" t="s">
        <v>545</v>
      </c>
      <c r="F1131" s="482">
        <v>160000</v>
      </c>
      <c r="G1131" s="468">
        <v>0.21457018061935432</v>
      </c>
      <c r="H1131" s="479">
        <v>34331.228899096692</v>
      </c>
      <c r="I1131" s="480" t="s">
        <v>9009</v>
      </c>
      <c r="J1131" s="468" t="s">
        <v>9011</v>
      </c>
      <c r="K1131" s="468" t="s">
        <v>8996</v>
      </c>
      <c r="L1131" s="468" t="s">
        <v>541</v>
      </c>
    </row>
    <row r="1132" spans="1:12" x14ac:dyDescent="0.25">
      <c r="A1132" s="485" t="s">
        <v>587</v>
      </c>
      <c r="B1132" s="485" t="s">
        <v>588</v>
      </c>
      <c r="C1132" s="485" t="s">
        <v>736</v>
      </c>
      <c r="D1132" s="485" t="s">
        <v>737</v>
      </c>
      <c r="E1132" s="485" t="s">
        <v>639</v>
      </c>
      <c r="F1132" s="482">
        <v>79296</v>
      </c>
      <c r="G1132" s="468">
        <v>0.13900000000000001</v>
      </c>
      <c r="H1132" s="479">
        <v>11022.144</v>
      </c>
      <c r="I1132" s="480" t="s">
        <v>9009</v>
      </c>
      <c r="J1132" s="468" t="s">
        <v>9011</v>
      </c>
      <c r="K1132" s="468" t="s">
        <v>9038</v>
      </c>
      <c r="L1132" s="468" t="s">
        <v>541</v>
      </c>
    </row>
    <row r="1133" spans="1:12" x14ac:dyDescent="0.25">
      <c r="A1133" s="485" t="s">
        <v>587</v>
      </c>
      <c r="B1133" s="485" t="s">
        <v>588</v>
      </c>
      <c r="C1133" s="485" t="s">
        <v>1117</v>
      </c>
      <c r="D1133" s="485" t="s">
        <v>7681</v>
      </c>
      <c r="E1133" s="485" t="s">
        <v>545</v>
      </c>
      <c r="F1133" s="482">
        <v>1158</v>
      </c>
      <c r="G1133" s="468">
        <v>0.65004816140349075</v>
      </c>
      <c r="H1133" s="479">
        <v>752.75577090524234</v>
      </c>
      <c r="I1133" s="480" t="s">
        <v>9009</v>
      </c>
      <c r="J1133" s="468" t="s">
        <v>9011</v>
      </c>
      <c r="K1133" s="468" t="s">
        <v>8996</v>
      </c>
      <c r="L1133" s="468" t="s">
        <v>541</v>
      </c>
    </row>
    <row r="1134" spans="1:12" x14ac:dyDescent="0.25">
      <c r="A1134" s="485" t="s">
        <v>587</v>
      </c>
      <c r="B1134" s="485" t="s">
        <v>588</v>
      </c>
      <c r="C1134" s="485" t="s">
        <v>739</v>
      </c>
      <c r="D1134" s="485" t="s">
        <v>7682</v>
      </c>
      <c r="E1134" s="485" t="s">
        <v>545</v>
      </c>
      <c r="F1134" s="482">
        <v>4472</v>
      </c>
      <c r="G1134" s="468">
        <v>1.0414720120690593</v>
      </c>
      <c r="H1134" s="479">
        <v>4657.4628379728329</v>
      </c>
      <c r="I1134" s="480" t="s">
        <v>9009</v>
      </c>
      <c r="J1134" s="468" t="s">
        <v>9011</v>
      </c>
      <c r="K1134" s="468" t="s">
        <v>8996</v>
      </c>
      <c r="L1134" s="468" t="s">
        <v>541</v>
      </c>
    </row>
    <row r="1135" spans="1:12" x14ac:dyDescent="0.25">
      <c r="A1135" s="485" t="s">
        <v>587</v>
      </c>
      <c r="B1135" s="485" t="s">
        <v>588</v>
      </c>
      <c r="C1135" s="485" t="s">
        <v>1120</v>
      </c>
      <c r="D1135" s="485" t="s">
        <v>7683</v>
      </c>
      <c r="E1135" s="485" t="s">
        <v>545</v>
      </c>
      <c r="F1135" s="482">
        <v>4895</v>
      </c>
      <c r="G1135" s="468">
        <v>1.4600870270368946</v>
      </c>
      <c r="H1135" s="479">
        <v>7147.125997345599</v>
      </c>
      <c r="I1135" s="480" t="s">
        <v>9009</v>
      </c>
      <c r="J1135" s="468" t="s">
        <v>9011</v>
      </c>
      <c r="K1135" s="468" t="s">
        <v>8996</v>
      </c>
      <c r="L1135" s="468" t="s">
        <v>541</v>
      </c>
    </row>
    <row r="1136" spans="1:12" x14ac:dyDescent="0.25">
      <c r="A1136" s="485" t="s">
        <v>587</v>
      </c>
      <c r="B1136" s="485" t="s">
        <v>588</v>
      </c>
      <c r="C1136" s="485" t="s">
        <v>743</v>
      </c>
      <c r="D1136" s="485" t="s">
        <v>7749</v>
      </c>
      <c r="E1136" s="485" t="s">
        <v>545</v>
      </c>
      <c r="F1136" s="482">
        <v>12850</v>
      </c>
      <c r="G1136" s="468">
        <v>0.50519924585659148</v>
      </c>
      <c r="H1136" s="479">
        <v>6491.810309257201</v>
      </c>
      <c r="I1136" s="480" t="s">
        <v>9009</v>
      </c>
      <c r="J1136" s="468" t="s">
        <v>9011</v>
      </c>
      <c r="K1136" s="468" t="s">
        <v>8996</v>
      </c>
      <c r="L1136" s="468" t="s">
        <v>541</v>
      </c>
    </row>
    <row r="1137" spans="1:12" x14ac:dyDescent="0.25">
      <c r="A1137" s="485" t="s">
        <v>587</v>
      </c>
      <c r="B1137" s="485" t="s">
        <v>588</v>
      </c>
      <c r="C1137" s="485" t="s">
        <v>745</v>
      </c>
      <c r="D1137" s="485" t="s">
        <v>7684</v>
      </c>
      <c r="E1137" s="485" t="s">
        <v>545</v>
      </c>
      <c r="F1137" s="482">
        <v>16313</v>
      </c>
      <c r="G1137" s="468">
        <v>0.60196053975898778</v>
      </c>
      <c r="H1137" s="479">
        <v>9819.7822850883676</v>
      </c>
      <c r="I1137" s="480" t="s">
        <v>9009</v>
      </c>
      <c r="J1137" s="468" t="s">
        <v>9011</v>
      </c>
      <c r="K1137" s="468" t="s">
        <v>8996</v>
      </c>
      <c r="L1137" s="468" t="s">
        <v>541</v>
      </c>
    </row>
    <row r="1138" spans="1:12" x14ac:dyDescent="0.25">
      <c r="A1138" s="485" t="s">
        <v>587</v>
      </c>
      <c r="B1138" s="485" t="s">
        <v>588</v>
      </c>
      <c r="C1138" s="485"/>
      <c r="D1138" s="485" t="s">
        <v>9215</v>
      </c>
      <c r="E1138" s="485" t="s">
        <v>545</v>
      </c>
      <c r="F1138" s="482">
        <v>110</v>
      </c>
      <c r="G1138" s="468">
        <v>12.023999999999999</v>
      </c>
      <c r="H1138" s="479">
        <v>1322.6399999999999</v>
      </c>
      <c r="I1138" s="480" t="s">
        <v>9009</v>
      </c>
      <c r="J1138" s="468" t="s">
        <v>9147</v>
      </c>
      <c r="K1138" s="468" t="s">
        <v>8996</v>
      </c>
      <c r="L1138" s="468" t="s">
        <v>541</v>
      </c>
    </row>
    <row r="1139" spans="1:12" x14ac:dyDescent="0.25">
      <c r="A1139" s="485" t="s">
        <v>587</v>
      </c>
      <c r="B1139" s="485" t="s">
        <v>588</v>
      </c>
      <c r="C1139" s="485" t="s">
        <v>1797</v>
      </c>
      <c r="D1139" s="485" t="s">
        <v>9216</v>
      </c>
      <c r="E1139" s="485" t="s">
        <v>545</v>
      </c>
      <c r="F1139" s="482">
        <v>400</v>
      </c>
      <c r="G1139" s="468">
        <v>12.024027149321267</v>
      </c>
      <c r="H1139" s="479">
        <v>4809.6108597285065</v>
      </c>
      <c r="I1139" s="480" t="s">
        <v>9009</v>
      </c>
      <c r="J1139" s="468" t="s">
        <v>9147</v>
      </c>
      <c r="K1139" s="468" t="s">
        <v>8996</v>
      </c>
      <c r="L1139" s="468" t="s">
        <v>541</v>
      </c>
    </row>
    <row r="1140" spans="1:12" x14ac:dyDescent="0.25">
      <c r="A1140" s="485" t="s">
        <v>220</v>
      </c>
      <c r="B1140" s="485" t="s">
        <v>588</v>
      </c>
      <c r="C1140" s="485" t="s">
        <v>7415</v>
      </c>
      <c r="D1140" s="485" t="s">
        <v>9217</v>
      </c>
      <c r="E1140" s="485" t="s">
        <v>535</v>
      </c>
      <c r="F1140" s="482">
        <v>99129</v>
      </c>
      <c r="G1140" s="468">
        <v>6.4940517579050558</v>
      </c>
      <c r="H1140" s="479">
        <v>643748.85670937027</v>
      </c>
      <c r="I1140" s="480" t="s">
        <v>9009</v>
      </c>
      <c r="J1140" s="468" t="s">
        <v>9011</v>
      </c>
      <c r="K1140" s="468" t="s">
        <v>8994</v>
      </c>
      <c r="L1140" s="468" t="s">
        <v>541</v>
      </c>
    </row>
    <row r="1141" spans="1:12" x14ac:dyDescent="0.25">
      <c r="A1141" s="468" t="s">
        <v>220</v>
      </c>
      <c r="B1141" s="468" t="s">
        <v>2351</v>
      </c>
      <c r="C1141" s="468" t="s">
        <v>2417</v>
      </c>
      <c r="D1141" s="468" t="s">
        <v>2418</v>
      </c>
      <c r="F1141" s="470">
        <v>10</v>
      </c>
      <c r="G1141" s="468">
        <v>29.63</v>
      </c>
      <c r="H1141" s="479">
        <v>296.3</v>
      </c>
      <c r="I1141" s="468" t="s">
        <v>9218</v>
      </c>
      <c r="J1141" s="468" t="s">
        <v>9219</v>
      </c>
      <c r="K1141" s="468" t="s">
        <v>9219</v>
      </c>
      <c r="L1141" s="468" t="s">
        <v>2354</v>
      </c>
    </row>
    <row r="1142" spans="1:12" x14ac:dyDescent="0.25">
      <c r="A1142" s="468" t="s">
        <v>220</v>
      </c>
      <c r="B1142" s="468" t="s">
        <v>2351</v>
      </c>
      <c r="C1142" s="468" t="s">
        <v>3373</v>
      </c>
      <c r="D1142" s="468" t="s">
        <v>9220</v>
      </c>
      <c r="F1142" s="470">
        <v>1</v>
      </c>
      <c r="G1142" s="468">
        <v>658.053</v>
      </c>
      <c r="H1142" s="479">
        <v>658.053</v>
      </c>
      <c r="I1142" s="468" t="s">
        <v>9218</v>
      </c>
      <c r="J1142" s="468" t="s">
        <v>9219</v>
      </c>
      <c r="K1142" s="468" t="s">
        <v>9219</v>
      </c>
      <c r="L1142" s="468" t="s">
        <v>2354</v>
      </c>
    </row>
    <row r="1143" spans="1:12" x14ac:dyDescent="0.25">
      <c r="A1143" s="468" t="s">
        <v>220</v>
      </c>
      <c r="B1143" s="468" t="s">
        <v>2351</v>
      </c>
      <c r="C1143" s="468" t="s">
        <v>9221</v>
      </c>
      <c r="D1143" s="468" t="s">
        <v>9222</v>
      </c>
      <c r="F1143" s="470">
        <v>2</v>
      </c>
      <c r="G1143" s="468">
        <v>137.65</v>
      </c>
      <c r="H1143" s="479">
        <v>275.3</v>
      </c>
      <c r="I1143" s="468" t="s">
        <v>9218</v>
      </c>
      <c r="J1143" s="468" t="s">
        <v>9219</v>
      </c>
      <c r="K1143" s="468" t="s">
        <v>9219</v>
      </c>
      <c r="L1143" s="468" t="s">
        <v>2354</v>
      </c>
    </row>
    <row r="1144" spans="1:12" x14ac:dyDescent="0.25">
      <c r="A1144" s="468" t="s">
        <v>220</v>
      </c>
      <c r="B1144" s="468" t="s">
        <v>2351</v>
      </c>
      <c r="C1144" s="468" t="s">
        <v>2417</v>
      </c>
      <c r="D1144" s="468" t="s">
        <v>2430</v>
      </c>
      <c r="F1144" s="470">
        <v>10</v>
      </c>
      <c r="G1144" s="468">
        <v>29.63</v>
      </c>
      <c r="H1144" s="479">
        <v>296.3</v>
      </c>
      <c r="I1144" s="468" t="s">
        <v>9218</v>
      </c>
      <c r="J1144" s="468" t="s">
        <v>9219</v>
      </c>
      <c r="K1144" s="468" t="s">
        <v>9219</v>
      </c>
      <c r="L1144" s="468" t="s">
        <v>2354</v>
      </c>
    </row>
    <row r="1145" spans="1:12" x14ac:dyDescent="0.25">
      <c r="A1145" s="468" t="s">
        <v>220</v>
      </c>
      <c r="B1145" s="468" t="s">
        <v>2351</v>
      </c>
      <c r="D1145" s="468" t="s">
        <v>9223</v>
      </c>
      <c r="F1145" s="470">
        <v>1</v>
      </c>
      <c r="G1145" s="468">
        <v>1057.3979999999999</v>
      </c>
      <c r="H1145" s="479">
        <v>1057.3979999999999</v>
      </c>
      <c r="I1145" s="468" t="s">
        <v>9218</v>
      </c>
      <c r="J1145" s="468" t="s">
        <v>9219</v>
      </c>
      <c r="K1145" s="468" t="s">
        <v>9219</v>
      </c>
      <c r="L1145" s="468" t="s">
        <v>2354</v>
      </c>
    </row>
    <row r="1146" spans="1:12" x14ac:dyDescent="0.25">
      <c r="A1146" s="468" t="s">
        <v>220</v>
      </c>
      <c r="B1146" s="468" t="s">
        <v>2351</v>
      </c>
      <c r="C1146" s="468" t="s">
        <v>9224</v>
      </c>
      <c r="D1146" s="468" t="s">
        <v>9225</v>
      </c>
      <c r="F1146" s="470">
        <v>1</v>
      </c>
      <c r="G1146" s="468">
        <v>485</v>
      </c>
      <c r="H1146" s="479">
        <v>485</v>
      </c>
      <c r="I1146" s="468" t="s">
        <v>9218</v>
      </c>
      <c r="J1146" s="468" t="s">
        <v>9219</v>
      </c>
      <c r="K1146" s="468" t="s">
        <v>9219</v>
      </c>
      <c r="L1146" s="468" t="s">
        <v>2354</v>
      </c>
    </row>
    <row r="1147" spans="1:12" x14ac:dyDescent="0.25">
      <c r="A1147" s="468" t="s">
        <v>220</v>
      </c>
      <c r="B1147" s="468" t="s">
        <v>2351</v>
      </c>
      <c r="C1147" s="468" t="s">
        <v>2417</v>
      </c>
      <c r="D1147" s="468" t="s">
        <v>2430</v>
      </c>
      <c r="F1147" s="470">
        <v>10</v>
      </c>
      <c r="G1147" s="468">
        <v>29.63</v>
      </c>
      <c r="H1147" s="479">
        <v>296.3</v>
      </c>
      <c r="I1147" s="468" t="s">
        <v>9218</v>
      </c>
      <c r="J1147" s="468" t="s">
        <v>9219</v>
      </c>
      <c r="K1147" s="468" t="s">
        <v>9219</v>
      </c>
      <c r="L1147" s="468" t="s">
        <v>2354</v>
      </c>
    </row>
    <row r="1148" spans="1:12" x14ac:dyDescent="0.25">
      <c r="A1148" s="468" t="s">
        <v>220</v>
      </c>
      <c r="B1148" s="468" t="s">
        <v>2351</v>
      </c>
      <c r="C1148" s="468" t="s">
        <v>9226</v>
      </c>
      <c r="D1148" s="468" t="s">
        <v>9227</v>
      </c>
      <c r="F1148" s="470">
        <v>1</v>
      </c>
      <c r="G1148" s="468">
        <v>60</v>
      </c>
      <c r="H1148" s="479">
        <v>60</v>
      </c>
      <c r="I1148" s="468" t="s">
        <v>9218</v>
      </c>
      <c r="J1148" s="468" t="s">
        <v>9219</v>
      </c>
      <c r="K1148" s="468" t="s">
        <v>9219</v>
      </c>
      <c r="L1148" s="468" t="s">
        <v>2354</v>
      </c>
    </row>
    <row r="1149" spans="1:12" x14ac:dyDescent="0.25">
      <c r="A1149" s="468" t="s">
        <v>220</v>
      </c>
      <c r="B1149" s="468" t="s">
        <v>2351</v>
      </c>
      <c r="C1149" s="468" t="s">
        <v>9228</v>
      </c>
      <c r="D1149" s="468" t="s">
        <v>9229</v>
      </c>
      <c r="F1149" s="470">
        <v>1</v>
      </c>
      <c r="G1149" s="468">
        <v>65</v>
      </c>
      <c r="H1149" s="479">
        <v>65</v>
      </c>
      <c r="I1149" s="468" t="s">
        <v>9218</v>
      </c>
      <c r="J1149" s="468" t="s">
        <v>9219</v>
      </c>
      <c r="K1149" s="468" t="s">
        <v>9219</v>
      </c>
      <c r="L1149" s="468" t="s">
        <v>2354</v>
      </c>
    </row>
    <row r="1150" spans="1:12" x14ac:dyDescent="0.25">
      <c r="A1150" s="468" t="s">
        <v>220</v>
      </c>
      <c r="B1150" s="468" t="s">
        <v>2351</v>
      </c>
      <c r="C1150" s="468" t="s">
        <v>2423</v>
      </c>
      <c r="D1150" s="468" t="s">
        <v>2424</v>
      </c>
      <c r="F1150" s="470">
        <v>20</v>
      </c>
      <c r="G1150" s="468">
        <v>24.63</v>
      </c>
      <c r="H1150" s="479">
        <v>492.59999999999997</v>
      </c>
      <c r="I1150" s="468" t="s">
        <v>9218</v>
      </c>
      <c r="J1150" s="468" t="s">
        <v>9219</v>
      </c>
      <c r="K1150" s="468" t="s">
        <v>9219</v>
      </c>
      <c r="L1150" s="468" t="s">
        <v>2354</v>
      </c>
    </row>
    <row r="1151" spans="1:12" x14ac:dyDescent="0.25">
      <c r="A1151" s="468" t="s">
        <v>220</v>
      </c>
      <c r="B1151" s="468" t="s">
        <v>2351</v>
      </c>
      <c r="C1151" s="468" t="s">
        <v>5232</v>
      </c>
      <c r="D1151" s="468" t="s">
        <v>5233</v>
      </c>
      <c r="F1151" s="470">
        <v>4</v>
      </c>
      <c r="G1151" s="468">
        <v>6.0869999999999997</v>
      </c>
      <c r="H1151" s="479">
        <v>24.347999999999999</v>
      </c>
      <c r="I1151" s="468" t="s">
        <v>9218</v>
      </c>
      <c r="J1151" s="468" t="s">
        <v>9219</v>
      </c>
      <c r="K1151" s="468" t="s">
        <v>9219</v>
      </c>
      <c r="L1151" s="468" t="s">
        <v>2354</v>
      </c>
    </row>
    <row r="1152" spans="1:12" x14ac:dyDescent="0.25">
      <c r="A1152" s="468" t="s">
        <v>220</v>
      </c>
      <c r="B1152" s="468" t="s">
        <v>2351</v>
      </c>
      <c r="C1152" s="468" t="s">
        <v>9230</v>
      </c>
      <c r="D1152" s="468" t="s">
        <v>9231</v>
      </c>
      <c r="F1152" s="470">
        <v>22</v>
      </c>
      <c r="G1152" s="468">
        <v>155.96799999999999</v>
      </c>
      <c r="H1152" s="479">
        <v>3431.2959999999998</v>
      </c>
      <c r="I1152" s="468" t="s">
        <v>9218</v>
      </c>
      <c r="J1152" s="468" t="s">
        <v>9219</v>
      </c>
      <c r="K1152" s="468" t="s">
        <v>9219</v>
      </c>
      <c r="L1152" s="468" t="s">
        <v>2354</v>
      </c>
    </row>
    <row r="1153" spans="1:12" x14ac:dyDescent="0.25">
      <c r="A1153" s="468" t="s">
        <v>220</v>
      </c>
      <c r="B1153" s="468" t="s">
        <v>2351</v>
      </c>
      <c r="C1153" s="468" t="s">
        <v>2413</v>
      </c>
      <c r="D1153" s="468" t="s">
        <v>2414</v>
      </c>
      <c r="F1153" s="470">
        <v>20</v>
      </c>
      <c r="G1153" s="468">
        <v>5.85</v>
      </c>
      <c r="H1153" s="479">
        <v>117</v>
      </c>
      <c r="I1153" s="468" t="s">
        <v>9218</v>
      </c>
      <c r="J1153" s="468" t="s">
        <v>9219</v>
      </c>
      <c r="K1153" s="468" t="s">
        <v>9219</v>
      </c>
      <c r="L1153" s="468" t="s">
        <v>2354</v>
      </c>
    </row>
    <row r="1154" spans="1:12" x14ac:dyDescent="0.25">
      <c r="A1154" s="468" t="s">
        <v>220</v>
      </c>
      <c r="B1154" s="468" t="s">
        <v>2351</v>
      </c>
      <c r="C1154" s="468" t="s">
        <v>2445</v>
      </c>
      <c r="D1154" s="468" t="s">
        <v>2446</v>
      </c>
      <c r="F1154" s="470">
        <v>9</v>
      </c>
      <c r="G1154" s="468">
        <v>687.14539500000001</v>
      </c>
      <c r="H1154" s="479">
        <v>6184.3085549999996</v>
      </c>
      <c r="I1154" s="468" t="s">
        <v>9218</v>
      </c>
      <c r="J1154" s="468" t="s">
        <v>9219</v>
      </c>
      <c r="K1154" s="468" t="s">
        <v>9219</v>
      </c>
      <c r="L1154" s="468" t="s">
        <v>2354</v>
      </c>
    </row>
    <row r="1155" spans="1:12" x14ac:dyDescent="0.25">
      <c r="A1155" s="468" t="s">
        <v>220</v>
      </c>
      <c r="B1155" s="468" t="s">
        <v>2351</v>
      </c>
      <c r="C1155" s="468" t="s">
        <v>9232</v>
      </c>
      <c r="D1155" s="468" t="s">
        <v>9233</v>
      </c>
      <c r="F1155" s="470">
        <v>2</v>
      </c>
      <c r="G1155" s="468">
        <v>223</v>
      </c>
      <c r="H1155" s="479">
        <v>446</v>
      </c>
      <c r="I1155" s="468" t="s">
        <v>9218</v>
      </c>
      <c r="J1155" s="468" t="s">
        <v>9219</v>
      </c>
      <c r="K1155" s="468" t="s">
        <v>9219</v>
      </c>
      <c r="L1155" s="468" t="s">
        <v>2354</v>
      </c>
    </row>
    <row r="1156" spans="1:12" x14ac:dyDescent="0.25">
      <c r="A1156" s="468" t="s">
        <v>220</v>
      </c>
      <c r="B1156" s="468" t="s">
        <v>2351</v>
      </c>
      <c r="D1156" s="468" t="s">
        <v>9234</v>
      </c>
      <c r="F1156" s="470">
        <v>9</v>
      </c>
      <c r="G1156" s="468">
        <v>110</v>
      </c>
      <c r="H1156" s="479">
        <v>990</v>
      </c>
      <c r="I1156" s="468" t="s">
        <v>9218</v>
      </c>
      <c r="J1156" s="468" t="s">
        <v>9219</v>
      </c>
      <c r="K1156" s="468" t="s">
        <v>9219</v>
      </c>
      <c r="L1156" s="468" t="s">
        <v>2354</v>
      </c>
    </row>
    <row r="1157" spans="1:12" x14ac:dyDescent="0.25">
      <c r="A1157" s="468" t="s">
        <v>220</v>
      </c>
      <c r="B1157" s="468" t="s">
        <v>2351</v>
      </c>
      <c r="C1157" s="468" t="s">
        <v>2447</v>
      </c>
      <c r="D1157" s="468" t="s">
        <v>2448</v>
      </c>
      <c r="F1157" s="470">
        <v>5</v>
      </c>
      <c r="G1157" s="468">
        <v>45.241999999999997</v>
      </c>
      <c r="H1157" s="479">
        <v>226.20999999999998</v>
      </c>
      <c r="I1157" s="468" t="s">
        <v>9218</v>
      </c>
      <c r="J1157" s="468" t="s">
        <v>9219</v>
      </c>
      <c r="K1157" s="468" t="s">
        <v>9219</v>
      </c>
      <c r="L1157" s="468" t="s">
        <v>2354</v>
      </c>
    </row>
    <row r="1158" spans="1:12" x14ac:dyDescent="0.25">
      <c r="A1158" s="468" t="s">
        <v>220</v>
      </c>
      <c r="B1158" s="468" t="s">
        <v>2351</v>
      </c>
      <c r="C1158" s="468" t="s">
        <v>2449</v>
      </c>
      <c r="D1158" s="468" t="s">
        <v>2450</v>
      </c>
      <c r="F1158" s="470">
        <v>1</v>
      </c>
      <c r="G1158" s="468">
        <v>71.400999999999996</v>
      </c>
      <c r="H1158" s="479">
        <v>71.400999999999996</v>
      </c>
      <c r="I1158" s="468" t="s">
        <v>9218</v>
      </c>
      <c r="J1158" s="468" t="s">
        <v>9219</v>
      </c>
      <c r="K1158" s="468" t="s">
        <v>9219</v>
      </c>
      <c r="L1158" s="468" t="s">
        <v>2354</v>
      </c>
    </row>
    <row r="1159" spans="1:12" x14ac:dyDescent="0.25">
      <c r="A1159" s="468" t="s">
        <v>220</v>
      </c>
      <c r="B1159" s="468" t="s">
        <v>2351</v>
      </c>
      <c r="C1159" s="468" t="s">
        <v>2451</v>
      </c>
      <c r="D1159" s="468" t="s">
        <v>2452</v>
      </c>
      <c r="F1159" s="470">
        <v>4</v>
      </c>
      <c r="G1159" s="468">
        <v>231.54599999999999</v>
      </c>
      <c r="H1159" s="479">
        <v>926.18399999999997</v>
      </c>
      <c r="I1159" s="468" t="s">
        <v>9218</v>
      </c>
      <c r="J1159" s="468" t="s">
        <v>9219</v>
      </c>
      <c r="K1159" s="468" t="s">
        <v>9219</v>
      </c>
      <c r="L1159" s="468" t="s">
        <v>2354</v>
      </c>
    </row>
    <row r="1160" spans="1:12" x14ac:dyDescent="0.25">
      <c r="A1160" s="468" t="s">
        <v>220</v>
      </c>
      <c r="B1160" s="468" t="s">
        <v>2351</v>
      </c>
      <c r="C1160" s="468" t="s">
        <v>2455</v>
      </c>
      <c r="D1160" s="468" t="s">
        <v>2456</v>
      </c>
      <c r="F1160" s="470">
        <v>2</v>
      </c>
      <c r="G1160" s="468">
        <v>111.956</v>
      </c>
      <c r="H1160" s="479">
        <v>223.91200000000001</v>
      </c>
      <c r="I1160" s="468" t="s">
        <v>9218</v>
      </c>
      <c r="J1160" s="468" t="s">
        <v>9219</v>
      </c>
      <c r="K1160" s="468" t="s">
        <v>9219</v>
      </c>
      <c r="L1160" s="468" t="s">
        <v>2354</v>
      </c>
    </row>
    <row r="1161" spans="1:12" x14ac:dyDescent="0.25">
      <c r="A1161" s="468" t="s">
        <v>220</v>
      </c>
      <c r="B1161" s="468" t="s">
        <v>2351</v>
      </c>
      <c r="C1161" s="468" t="s">
        <v>9235</v>
      </c>
      <c r="D1161" s="468" t="s">
        <v>9236</v>
      </c>
      <c r="F1161" s="470">
        <v>3</v>
      </c>
      <c r="G1161" s="468">
        <v>68.5</v>
      </c>
      <c r="H1161" s="479">
        <v>205.5</v>
      </c>
      <c r="I1161" s="468" t="s">
        <v>9218</v>
      </c>
      <c r="J1161" s="468" t="s">
        <v>9219</v>
      </c>
      <c r="K1161" s="468" t="s">
        <v>9219</v>
      </c>
      <c r="L1161" s="468" t="s">
        <v>2354</v>
      </c>
    </row>
    <row r="1162" spans="1:12" x14ac:dyDescent="0.25">
      <c r="A1162" s="468" t="s">
        <v>220</v>
      </c>
      <c r="B1162" s="468" t="s">
        <v>2351</v>
      </c>
      <c r="C1162" s="468" t="s">
        <v>2457</v>
      </c>
      <c r="D1162" s="468" t="s">
        <v>2458</v>
      </c>
      <c r="F1162" s="470">
        <v>2</v>
      </c>
      <c r="G1162" s="468">
        <v>10</v>
      </c>
      <c r="H1162" s="479">
        <v>20</v>
      </c>
      <c r="I1162" s="468" t="s">
        <v>9218</v>
      </c>
      <c r="J1162" s="468" t="s">
        <v>9219</v>
      </c>
      <c r="K1162" s="468" t="s">
        <v>9219</v>
      </c>
      <c r="L1162" s="468" t="s">
        <v>2354</v>
      </c>
    </row>
    <row r="1163" spans="1:12" x14ac:dyDescent="0.25">
      <c r="A1163" s="468" t="s">
        <v>220</v>
      </c>
      <c r="B1163" s="468" t="s">
        <v>2351</v>
      </c>
      <c r="C1163" s="468" t="s">
        <v>2459</v>
      </c>
      <c r="D1163" s="468" t="s">
        <v>2460</v>
      </c>
      <c r="F1163" s="470">
        <v>1</v>
      </c>
      <c r="G1163" s="468">
        <v>143.422346</v>
      </c>
      <c r="H1163" s="479">
        <v>143.422346</v>
      </c>
      <c r="I1163" s="468" t="s">
        <v>9218</v>
      </c>
      <c r="J1163" s="468" t="s">
        <v>9219</v>
      </c>
      <c r="K1163" s="468" t="s">
        <v>9219</v>
      </c>
      <c r="L1163" s="468" t="s">
        <v>2354</v>
      </c>
    </row>
    <row r="1164" spans="1:12" x14ac:dyDescent="0.25">
      <c r="A1164" s="468" t="s">
        <v>220</v>
      </c>
      <c r="B1164" s="468" t="s">
        <v>2351</v>
      </c>
      <c r="C1164" s="468" t="s">
        <v>2461</v>
      </c>
      <c r="D1164" s="468" t="s">
        <v>2462</v>
      </c>
      <c r="F1164" s="470">
        <v>8</v>
      </c>
      <c r="G1164" s="468">
        <v>193.55086499999999</v>
      </c>
      <c r="H1164" s="479">
        <v>1548.4069199999999</v>
      </c>
      <c r="I1164" s="468" t="s">
        <v>9218</v>
      </c>
      <c r="J1164" s="468" t="s">
        <v>9219</v>
      </c>
      <c r="K1164" s="468" t="s">
        <v>9219</v>
      </c>
      <c r="L1164" s="468" t="s">
        <v>2354</v>
      </c>
    </row>
    <row r="1165" spans="1:12" x14ac:dyDescent="0.25">
      <c r="A1165" s="468" t="s">
        <v>220</v>
      </c>
      <c r="B1165" s="468" t="s">
        <v>2351</v>
      </c>
      <c r="C1165" s="468" t="s">
        <v>2463</v>
      </c>
      <c r="D1165" s="468" t="s">
        <v>2464</v>
      </c>
      <c r="F1165" s="470">
        <v>2</v>
      </c>
      <c r="G1165" s="468">
        <v>1997.393</v>
      </c>
      <c r="H1165" s="479">
        <v>3994.7860000000001</v>
      </c>
      <c r="I1165" s="468" t="s">
        <v>9218</v>
      </c>
      <c r="J1165" s="468" t="s">
        <v>9219</v>
      </c>
      <c r="K1165" s="468" t="s">
        <v>9219</v>
      </c>
      <c r="L1165" s="468" t="s">
        <v>2354</v>
      </c>
    </row>
    <row r="1166" spans="1:12" x14ac:dyDescent="0.25">
      <c r="A1166" s="468" t="s">
        <v>220</v>
      </c>
      <c r="B1166" s="468" t="s">
        <v>2351</v>
      </c>
      <c r="C1166" s="468" t="s">
        <v>2467</v>
      </c>
      <c r="D1166" s="468" t="s">
        <v>2468</v>
      </c>
      <c r="F1166" s="470">
        <v>4</v>
      </c>
      <c r="G1166" s="468">
        <v>201.67599999999999</v>
      </c>
      <c r="H1166" s="479">
        <v>806.70399999999995</v>
      </c>
      <c r="I1166" s="468" t="s">
        <v>9218</v>
      </c>
      <c r="J1166" s="468" t="s">
        <v>9219</v>
      </c>
      <c r="K1166" s="468" t="s">
        <v>9219</v>
      </c>
      <c r="L1166" s="468" t="s">
        <v>2354</v>
      </c>
    </row>
    <row r="1167" spans="1:12" x14ac:dyDescent="0.25">
      <c r="A1167" s="468" t="s">
        <v>220</v>
      </c>
      <c r="B1167" s="468" t="s">
        <v>2351</v>
      </c>
      <c r="C1167" s="468" t="s">
        <v>9237</v>
      </c>
      <c r="D1167" s="468" t="s">
        <v>9238</v>
      </c>
      <c r="F1167" s="470">
        <v>2</v>
      </c>
      <c r="G1167" s="468">
        <v>34.5</v>
      </c>
      <c r="H1167" s="479">
        <v>69</v>
      </c>
      <c r="I1167" s="468" t="s">
        <v>9218</v>
      </c>
      <c r="J1167" s="468" t="s">
        <v>9219</v>
      </c>
      <c r="K1167" s="468" t="s">
        <v>9219</v>
      </c>
      <c r="L1167" s="468" t="s">
        <v>2354</v>
      </c>
    </row>
    <row r="1168" spans="1:12" x14ac:dyDescent="0.25">
      <c r="A1168" s="468" t="s">
        <v>220</v>
      </c>
      <c r="B1168" s="468" t="s">
        <v>2351</v>
      </c>
      <c r="C1168" s="468" t="s">
        <v>2471</v>
      </c>
      <c r="D1168" s="468" t="s">
        <v>2472</v>
      </c>
      <c r="F1168" s="470">
        <v>2</v>
      </c>
      <c r="G1168" s="468">
        <v>168.00120000000001</v>
      </c>
      <c r="H1168" s="479">
        <v>336.00240000000002</v>
      </c>
      <c r="I1168" s="468" t="s">
        <v>9218</v>
      </c>
      <c r="J1168" s="468" t="s">
        <v>9219</v>
      </c>
      <c r="K1168" s="468" t="s">
        <v>9219</v>
      </c>
      <c r="L1168" s="468" t="s">
        <v>2354</v>
      </c>
    </row>
    <row r="1169" spans="1:12" x14ac:dyDescent="0.25">
      <c r="A1169" s="468" t="s">
        <v>220</v>
      </c>
      <c r="B1169" s="468" t="s">
        <v>2351</v>
      </c>
      <c r="C1169" s="468" t="s">
        <v>2474</v>
      </c>
      <c r="D1169" s="468" t="s">
        <v>2475</v>
      </c>
      <c r="F1169" s="470">
        <v>8</v>
      </c>
      <c r="G1169" s="468">
        <v>189.6858</v>
      </c>
      <c r="H1169" s="479">
        <v>1517.4864</v>
      </c>
      <c r="I1169" s="468" t="s">
        <v>9218</v>
      </c>
      <c r="J1169" s="468" t="s">
        <v>9219</v>
      </c>
      <c r="K1169" s="468" t="s">
        <v>9219</v>
      </c>
      <c r="L1169" s="468" t="s">
        <v>2354</v>
      </c>
    </row>
    <row r="1170" spans="1:12" x14ac:dyDescent="0.25">
      <c r="A1170" s="468" t="s">
        <v>220</v>
      </c>
      <c r="B1170" s="468" t="s">
        <v>2351</v>
      </c>
      <c r="C1170" s="468" t="s">
        <v>2476</v>
      </c>
      <c r="D1170" s="468" t="s">
        <v>9239</v>
      </c>
      <c r="F1170" s="470">
        <v>3</v>
      </c>
      <c r="G1170" s="468">
        <v>258.3</v>
      </c>
      <c r="H1170" s="479">
        <v>774.90000000000009</v>
      </c>
      <c r="I1170" s="468" t="s">
        <v>9218</v>
      </c>
      <c r="J1170" s="468" t="s">
        <v>9219</v>
      </c>
      <c r="K1170" s="468" t="s">
        <v>9219</v>
      </c>
      <c r="L1170" s="468" t="s">
        <v>2354</v>
      </c>
    </row>
    <row r="1171" spans="1:12" x14ac:dyDescent="0.25">
      <c r="A1171" s="468" t="s">
        <v>220</v>
      </c>
      <c r="B1171" s="468" t="s">
        <v>2351</v>
      </c>
      <c r="C1171" s="468" t="s">
        <v>9240</v>
      </c>
      <c r="D1171" s="468" t="s">
        <v>9241</v>
      </c>
      <c r="F1171" s="470">
        <v>3</v>
      </c>
      <c r="G1171" s="468">
        <v>92.352999999999994</v>
      </c>
      <c r="H1171" s="479">
        <v>277.05899999999997</v>
      </c>
      <c r="I1171" s="468" t="s">
        <v>9218</v>
      </c>
      <c r="J1171" s="468" t="s">
        <v>9219</v>
      </c>
      <c r="K1171" s="468" t="s">
        <v>9219</v>
      </c>
      <c r="L1171" s="468" t="s">
        <v>2354</v>
      </c>
    </row>
    <row r="1172" spans="1:12" x14ac:dyDescent="0.25">
      <c r="A1172" s="468" t="s">
        <v>220</v>
      </c>
      <c r="B1172" s="468" t="s">
        <v>2351</v>
      </c>
      <c r="C1172" s="468" t="s">
        <v>9242</v>
      </c>
      <c r="D1172" s="468" t="s">
        <v>9243</v>
      </c>
      <c r="F1172" s="470">
        <v>2</v>
      </c>
      <c r="G1172" s="468">
        <v>63</v>
      </c>
      <c r="H1172" s="479">
        <v>126</v>
      </c>
      <c r="I1172" s="468" t="s">
        <v>9218</v>
      </c>
      <c r="J1172" s="468" t="s">
        <v>9219</v>
      </c>
      <c r="K1172" s="468" t="s">
        <v>9219</v>
      </c>
      <c r="L1172" s="468" t="s">
        <v>2354</v>
      </c>
    </row>
    <row r="1173" spans="1:12" x14ac:dyDescent="0.25">
      <c r="A1173" s="468" t="s">
        <v>220</v>
      </c>
      <c r="B1173" s="468" t="s">
        <v>2351</v>
      </c>
      <c r="C1173" s="468" t="s">
        <v>2478</v>
      </c>
      <c r="D1173" s="468" t="s">
        <v>2479</v>
      </c>
      <c r="F1173" s="470">
        <v>2</v>
      </c>
      <c r="G1173" s="468">
        <v>63.96</v>
      </c>
      <c r="H1173" s="479">
        <v>127.92</v>
      </c>
      <c r="I1173" s="468" t="s">
        <v>9218</v>
      </c>
      <c r="J1173" s="468" t="s">
        <v>9219</v>
      </c>
      <c r="K1173" s="468" t="s">
        <v>9219</v>
      </c>
      <c r="L1173" s="468" t="s">
        <v>2354</v>
      </c>
    </row>
    <row r="1174" spans="1:12" x14ac:dyDescent="0.25">
      <c r="A1174" s="468" t="s">
        <v>220</v>
      </c>
      <c r="B1174" s="468" t="s">
        <v>2351</v>
      </c>
      <c r="C1174" s="468" t="s">
        <v>2480</v>
      </c>
      <c r="D1174" s="468" t="s">
        <v>2481</v>
      </c>
      <c r="F1174" s="470">
        <v>7</v>
      </c>
      <c r="G1174" s="468">
        <v>42</v>
      </c>
      <c r="H1174" s="479">
        <v>294</v>
      </c>
      <c r="I1174" s="468" t="s">
        <v>9218</v>
      </c>
      <c r="J1174" s="468" t="s">
        <v>9219</v>
      </c>
      <c r="K1174" s="468" t="s">
        <v>9219</v>
      </c>
      <c r="L1174" s="468" t="s">
        <v>2354</v>
      </c>
    </row>
    <row r="1175" spans="1:12" x14ac:dyDescent="0.25">
      <c r="A1175" s="468" t="s">
        <v>220</v>
      </c>
      <c r="B1175" s="468" t="s">
        <v>2351</v>
      </c>
      <c r="C1175" s="468" t="s">
        <v>2482</v>
      </c>
      <c r="D1175" s="468" t="s">
        <v>2483</v>
      </c>
      <c r="F1175" s="470">
        <v>1</v>
      </c>
      <c r="G1175" s="468">
        <v>209.34899999999999</v>
      </c>
      <c r="H1175" s="479">
        <v>209.34899999999999</v>
      </c>
      <c r="I1175" s="468" t="s">
        <v>9218</v>
      </c>
      <c r="J1175" s="468" t="s">
        <v>9219</v>
      </c>
      <c r="K1175" s="468" t="s">
        <v>9219</v>
      </c>
      <c r="L1175" s="468" t="s">
        <v>2354</v>
      </c>
    </row>
    <row r="1176" spans="1:12" x14ac:dyDescent="0.25">
      <c r="A1176" s="468" t="s">
        <v>220</v>
      </c>
      <c r="B1176" s="468" t="s">
        <v>2351</v>
      </c>
      <c r="C1176" s="468" t="s">
        <v>2484</v>
      </c>
      <c r="D1176" s="468" t="s">
        <v>2485</v>
      </c>
      <c r="F1176" s="470">
        <v>2</v>
      </c>
      <c r="G1176" s="468">
        <v>68.174999999999997</v>
      </c>
      <c r="H1176" s="479">
        <v>136.35</v>
      </c>
      <c r="I1176" s="468" t="s">
        <v>9218</v>
      </c>
      <c r="J1176" s="468" t="s">
        <v>9219</v>
      </c>
      <c r="K1176" s="468" t="s">
        <v>9219</v>
      </c>
      <c r="L1176" s="468" t="s">
        <v>2354</v>
      </c>
    </row>
    <row r="1177" spans="1:12" x14ac:dyDescent="0.25">
      <c r="A1177" s="468" t="s">
        <v>220</v>
      </c>
      <c r="B1177" s="468" t="s">
        <v>2351</v>
      </c>
      <c r="C1177" s="468" t="s">
        <v>2486</v>
      </c>
      <c r="D1177" s="468" t="s">
        <v>2487</v>
      </c>
      <c r="F1177" s="470">
        <v>1</v>
      </c>
      <c r="G1177" s="468">
        <v>100.8</v>
      </c>
      <c r="H1177" s="479">
        <v>100.8</v>
      </c>
      <c r="I1177" s="468" t="s">
        <v>9218</v>
      </c>
      <c r="J1177" s="468" t="s">
        <v>9219</v>
      </c>
      <c r="K1177" s="468" t="s">
        <v>9219</v>
      </c>
      <c r="L1177" s="468" t="s">
        <v>2354</v>
      </c>
    </row>
    <row r="1178" spans="1:12" x14ac:dyDescent="0.25">
      <c r="A1178" s="468" t="s">
        <v>220</v>
      </c>
      <c r="B1178" s="468" t="s">
        <v>2351</v>
      </c>
      <c r="C1178" s="468" t="s">
        <v>2488</v>
      </c>
      <c r="D1178" s="468" t="s">
        <v>2489</v>
      </c>
      <c r="F1178" s="470">
        <v>1</v>
      </c>
      <c r="G1178" s="468">
        <v>80.519000000000005</v>
      </c>
      <c r="H1178" s="479">
        <v>80.519000000000005</v>
      </c>
      <c r="I1178" s="468" t="s">
        <v>9218</v>
      </c>
      <c r="J1178" s="468" t="s">
        <v>9219</v>
      </c>
      <c r="K1178" s="468" t="s">
        <v>9219</v>
      </c>
      <c r="L1178" s="468" t="s">
        <v>2354</v>
      </c>
    </row>
    <row r="1179" spans="1:12" x14ac:dyDescent="0.25">
      <c r="A1179" s="468" t="s">
        <v>220</v>
      </c>
      <c r="B1179" s="468" t="s">
        <v>2351</v>
      </c>
      <c r="C1179" s="468" t="s">
        <v>5366</v>
      </c>
      <c r="D1179" s="468" t="s">
        <v>5367</v>
      </c>
      <c r="F1179" s="470">
        <v>3</v>
      </c>
      <c r="G1179" s="468">
        <v>110</v>
      </c>
      <c r="H1179" s="479">
        <v>330</v>
      </c>
      <c r="I1179" s="468" t="s">
        <v>9218</v>
      </c>
      <c r="J1179" s="468" t="s">
        <v>9219</v>
      </c>
      <c r="K1179" s="468" t="s">
        <v>9219</v>
      </c>
      <c r="L1179" s="468" t="s">
        <v>2354</v>
      </c>
    </row>
    <row r="1180" spans="1:12" x14ac:dyDescent="0.25">
      <c r="A1180" s="468" t="s">
        <v>220</v>
      </c>
      <c r="B1180" s="468" t="s">
        <v>2351</v>
      </c>
      <c r="C1180" s="468" t="s">
        <v>5368</v>
      </c>
      <c r="D1180" s="468" t="s">
        <v>5369</v>
      </c>
      <c r="F1180" s="470">
        <v>1</v>
      </c>
      <c r="G1180" s="468">
        <v>90</v>
      </c>
      <c r="H1180" s="479">
        <v>90</v>
      </c>
      <c r="I1180" s="468" t="s">
        <v>9218</v>
      </c>
      <c r="J1180" s="468" t="s">
        <v>9219</v>
      </c>
      <c r="K1180" s="468" t="s">
        <v>9219</v>
      </c>
      <c r="L1180" s="468" t="s">
        <v>2354</v>
      </c>
    </row>
    <row r="1181" spans="1:12" x14ac:dyDescent="0.25">
      <c r="A1181" s="468" t="s">
        <v>220</v>
      </c>
      <c r="B1181" s="468" t="s">
        <v>2351</v>
      </c>
      <c r="C1181" s="468" t="s">
        <v>2490</v>
      </c>
      <c r="D1181" s="468" t="s">
        <v>2491</v>
      </c>
      <c r="F1181" s="470">
        <v>42</v>
      </c>
      <c r="G1181" s="468">
        <v>46.293731220461453</v>
      </c>
      <c r="H1181" s="479">
        <v>1944.336711259381</v>
      </c>
      <c r="I1181" s="468" t="s">
        <v>9218</v>
      </c>
      <c r="J1181" s="468" t="s">
        <v>9219</v>
      </c>
      <c r="K1181" s="468" t="s">
        <v>9219</v>
      </c>
      <c r="L1181" s="468" t="s">
        <v>2354</v>
      </c>
    </row>
    <row r="1182" spans="1:12" x14ac:dyDescent="0.25">
      <c r="A1182" s="468" t="s">
        <v>220</v>
      </c>
      <c r="B1182" s="468" t="s">
        <v>2351</v>
      </c>
      <c r="C1182" s="468" t="s">
        <v>2492</v>
      </c>
      <c r="D1182" s="468" t="s">
        <v>2493</v>
      </c>
      <c r="F1182" s="470">
        <v>1</v>
      </c>
      <c r="G1182" s="468">
        <v>1016.727809</v>
      </c>
      <c r="H1182" s="479">
        <v>1016.727809</v>
      </c>
      <c r="I1182" s="468" t="s">
        <v>9218</v>
      </c>
      <c r="J1182" s="468" t="s">
        <v>9219</v>
      </c>
      <c r="K1182" s="468" t="s">
        <v>9219</v>
      </c>
      <c r="L1182" s="468" t="s">
        <v>2354</v>
      </c>
    </row>
    <row r="1183" spans="1:12" x14ac:dyDescent="0.25">
      <c r="A1183" s="468" t="s">
        <v>220</v>
      </c>
      <c r="B1183" s="468" t="s">
        <v>2351</v>
      </c>
      <c r="C1183" s="468" t="s">
        <v>2494</v>
      </c>
      <c r="D1183" s="468" t="s">
        <v>2495</v>
      </c>
      <c r="F1183" s="470">
        <v>6</v>
      </c>
      <c r="G1183" s="468">
        <v>389.41789859126379</v>
      </c>
      <c r="H1183" s="479">
        <v>2336.5073915475828</v>
      </c>
      <c r="I1183" s="468" t="s">
        <v>9218</v>
      </c>
      <c r="J1183" s="468" t="s">
        <v>9219</v>
      </c>
      <c r="K1183" s="468" t="s">
        <v>9219</v>
      </c>
      <c r="L1183" s="468" t="s">
        <v>2354</v>
      </c>
    </row>
    <row r="1184" spans="1:12" x14ac:dyDescent="0.25">
      <c r="A1184" s="468" t="s">
        <v>220</v>
      </c>
      <c r="B1184" s="468" t="s">
        <v>2351</v>
      </c>
      <c r="C1184" s="468" t="s">
        <v>2502</v>
      </c>
      <c r="D1184" s="468" t="s">
        <v>2503</v>
      </c>
      <c r="F1184" s="470">
        <v>3</v>
      </c>
      <c r="G1184" s="468">
        <v>95.95</v>
      </c>
      <c r="H1184" s="479">
        <v>287.85000000000002</v>
      </c>
      <c r="I1184" s="468" t="s">
        <v>9218</v>
      </c>
      <c r="J1184" s="468" t="s">
        <v>9219</v>
      </c>
      <c r="K1184" s="468" t="s">
        <v>9219</v>
      </c>
      <c r="L1184" s="468" t="s">
        <v>2354</v>
      </c>
    </row>
    <row r="1185" spans="1:12" x14ac:dyDescent="0.25">
      <c r="A1185" s="468" t="s">
        <v>220</v>
      </c>
      <c r="B1185" s="468" t="s">
        <v>2351</v>
      </c>
      <c r="C1185" s="468" t="s">
        <v>2504</v>
      </c>
      <c r="D1185" s="468" t="s">
        <v>2505</v>
      </c>
      <c r="F1185" s="470">
        <v>1</v>
      </c>
      <c r="G1185" s="468">
        <v>90.9</v>
      </c>
      <c r="H1185" s="479">
        <v>90.9</v>
      </c>
      <c r="I1185" s="468" t="s">
        <v>9218</v>
      </c>
      <c r="J1185" s="468" t="s">
        <v>9219</v>
      </c>
      <c r="K1185" s="468" t="s">
        <v>9219</v>
      </c>
      <c r="L1185" s="468" t="s">
        <v>2354</v>
      </c>
    </row>
    <row r="1186" spans="1:12" x14ac:dyDescent="0.25">
      <c r="A1186" s="468" t="s">
        <v>220</v>
      </c>
      <c r="B1186" s="468" t="s">
        <v>2351</v>
      </c>
      <c r="C1186" s="468" t="s">
        <v>2506</v>
      </c>
      <c r="D1186" s="468" t="s">
        <v>2507</v>
      </c>
      <c r="F1186" s="470">
        <v>142</v>
      </c>
      <c r="G1186" s="468">
        <v>27.400289999999998</v>
      </c>
      <c r="H1186" s="479">
        <v>3890.8411799999999</v>
      </c>
      <c r="I1186" s="468" t="s">
        <v>9218</v>
      </c>
      <c r="J1186" s="468" t="s">
        <v>9219</v>
      </c>
      <c r="K1186" s="468" t="s">
        <v>9219</v>
      </c>
      <c r="L1186" s="468" t="s">
        <v>2354</v>
      </c>
    </row>
    <row r="1187" spans="1:12" x14ac:dyDescent="0.25">
      <c r="A1187" s="468" t="s">
        <v>220</v>
      </c>
      <c r="B1187" s="468" t="s">
        <v>2351</v>
      </c>
      <c r="C1187" s="468" t="s">
        <v>2508</v>
      </c>
      <c r="D1187" s="468" t="s">
        <v>2509</v>
      </c>
      <c r="F1187" s="470">
        <v>3</v>
      </c>
      <c r="G1187" s="468">
        <v>383.8</v>
      </c>
      <c r="H1187" s="479">
        <v>1151.4000000000001</v>
      </c>
      <c r="I1187" s="468" t="s">
        <v>9218</v>
      </c>
      <c r="J1187" s="468" t="s">
        <v>9219</v>
      </c>
      <c r="K1187" s="468" t="s">
        <v>9219</v>
      </c>
      <c r="L1187" s="468" t="s">
        <v>2354</v>
      </c>
    </row>
    <row r="1188" spans="1:12" x14ac:dyDescent="0.25">
      <c r="A1188" s="468" t="s">
        <v>220</v>
      </c>
      <c r="B1188" s="468" t="s">
        <v>2351</v>
      </c>
      <c r="C1188" s="468" t="s">
        <v>2510</v>
      </c>
      <c r="D1188" s="468" t="s">
        <v>2511</v>
      </c>
      <c r="F1188" s="470">
        <v>263</v>
      </c>
      <c r="G1188" s="468">
        <v>27.400289999999998</v>
      </c>
      <c r="H1188" s="479">
        <v>7206.2762699999994</v>
      </c>
      <c r="I1188" s="468" t="s">
        <v>9218</v>
      </c>
      <c r="J1188" s="468" t="s">
        <v>9219</v>
      </c>
      <c r="K1188" s="468" t="s">
        <v>9219</v>
      </c>
      <c r="L1188" s="468" t="s">
        <v>2354</v>
      </c>
    </row>
    <row r="1189" spans="1:12" x14ac:dyDescent="0.25">
      <c r="A1189" s="468" t="s">
        <v>220</v>
      </c>
      <c r="B1189" s="468" t="s">
        <v>2351</v>
      </c>
      <c r="C1189" s="468" t="s">
        <v>2512</v>
      </c>
      <c r="D1189" s="468" t="s">
        <v>2513</v>
      </c>
      <c r="F1189" s="470">
        <v>2</v>
      </c>
      <c r="G1189" s="468">
        <v>50</v>
      </c>
      <c r="H1189" s="479">
        <v>100</v>
      </c>
      <c r="I1189" s="468" t="s">
        <v>9218</v>
      </c>
      <c r="J1189" s="468" t="s">
        <v>9219</v>
      </c>
      <c r="K1189" s="468" t="s">
        <v>9219</v>
      </c>
      <c r="L1189" s="468" t="s">
        <v>2354</v>
      </c>
    </row>
    <row r="1190" spans="1:12" x14ac:dyDescent="0.25">
      <c r="A1190" s="468" t="s">
        <v>220</v>
      </c>
      <c r="B1190" s="468" t="s">
        <v>2351</v>
      </c>
      <c r="C1190" s="468" t="s">
        <v>2514</v>
      </c>
      <c r="D1190" s="468" t="s">
        <v>2515</v>
      </c>
      <c r="F1190" s="470">
        <v>1</v>
      </c>
      <c r="G1190" s="468">
        <v>1203.9933554960826</v>
      </c>
      <c r="H1190" s="479">
        <v>1203.9933554960826</v>
      </c>
      <c r="I1190" s="468" t="s">
        <v>9218</v>
      </c>
      <c r="J1190" s="468" t="s">
        <v>9219</v>
      </c>
      <c r="K1190" s="468" t="s">
        <v>9219</v>
      </c>
      <c r="L1190" s="468" t="s">
        <v>2354</v>
      </c>
    </row>
    <row r="1191" spans="1:12" x14ac:dyDescent="0.25">
      <c r="A1191" s="468" t="s">
        <v>220</v>
      </c>
      <c r="B1191" s="468" t="s">
        <v>2351</v>
      </c>
      <c r="C1191" s="468" t="s">
        <v>2518</v>
      </c>
      <c r="D1191" s="468" t="s">
        <v>2519</v>
      </c>
      <c r="F1191" s="470">
        <v>1</v>
      </c>
      <c r="G1191" s="468">
        <v>4.59</v>
      </c>
      <c r="H1191" s="479">
        <v>4.59</v>
      </c>
      <c r="I1191" s="468" t="s">
        <v>9218</v>
      </c>
      <c r="J1191" s="468" t="s">
        <v>9219</v>
      </c>
      <c r="K1191" s="468" t="s">
        <v>9219</v>
      </c>
      <c r="L1191" s="468" t="s">
        <v>2354</v>
      </c>
    </row>
    <row r="1192" spans="1:12" x14ac:dyDescent="0.25">
      <c r="A1192" s="468" t="s">
        <v>220</v>
      </c>
      <c r="B1192" s="468" t="s">
        <v>2351</v>
      </c>
      <c r="C1192" s="468" t="s">
        <v>2520</v>
      </c>
      <c r="D1192" s="468" t="s">
        <v>2521</v>
      </c>
      <c r="F1192" s="470">
        <v>3</v>
      </c>
      <c r="G1192" s="468">
        <v>20.2761</v>
      </c>
      <c r="H1192" s="479">
        <v>60.828299999999999</v>
      </c>
      <c r="I1192" s="468" t="s">
        <v>9218</v>
      </c>
      <c r="J1192" s="468" t="s">
        <v>9219</v>
      </c>
      <c r="K1192" s="468" t="s">
        <v>9219</v>
      </c>
      <c r="L1192" s="468" t="s">
        <v>2354</v>
      </c>
    </row>
    <row r="1193" spans="1:12" x14ac:dyDescent="0.25">
      <c r="A1193" s="468" t="s">
        <v>220</v>
      </c>
      <c r="B1193" s="468" t="s">
        <v>2351</v>
      </c>
      <c r="C1193" s="468" t="s">
        <v>9244</v>
      </c>
      <c r="D1193" s="468" t="s">
        <v>9245</v>
      </c>
      <c r="F1193" s="470">
        <v>3</v>
      </c>
      <c r="G1193" s="468">
        <v>20.2761</v>
      </c>
      <c r="H1193" s="479">
        <v>60.828299999999999</v>
      </c>
      <c r="I1193" s="468" t="s">
        <v>9218</v>
      </c>
      <c r="J1193" s="468" t="s">
        <v>9219</v>
      </c>
      <c r="K1193" s="468" t="s">
        <v>9219</v>
      </c>
      <c r="L1193" s="468" t="s">
        <v>2354</v>
      </c>
    </row>
    <row r="1194" spans="1:12" x14ac:dyDescent="0.25">
      <c r="A1194" s="468" t="s">
        <v>220</v>
      </c>
      <c r="B1194" s="468" t="s">
        <v>2351</v>
      </c>
      <c r="C1194" s="468" t="s">
        <v>2522</v>
      </c>
      <c r="D1194" s="468" t="s">
        <v>2523</v>
      </c>
      <c r="F1194" s="470">
        <v>7</v>
      </c>
      <c r="G1194" s="468">
        <v>40.910499999999999</v>
      </c>
      <c r="H1194" s="479">
        <v>286.37349999999998</v>
      </c>
      <c r="I1194" s="468" t="s">
        <v>9218</v>
      </c>
      <c r="J1194" s="468" t="s">
        <v>9219</v>
      </c>
      <c r="K1194" s="468" t="s">
        <v>9219</v>
      </c>
      <c r="L1194" s="468" t="s">
        <v>2354</v>
      </c>
    </row>
    <row r="1195" spans="1:12" x14ac:dyDescent="0.25">
      <c r="A1195" s="468" t="s">
        <v>220</v>
      </c>
      <c r="B1195" s="468" t="s">
        <v>2351</v>
      </c>
      <c r="C1195" s="468" t="s">
        <v>2524</v>
      </c>
      <c r="D1195" s="468" t="s">
        <v>2525</v>
      </c>
      <c r="F1195" s="470">
        <v>6</v>
      </c>
      <c r="G1195" s="468">
        <v>245.34055181576011</v>
      </c>
      <c r="H1195" s="479">
        <v>1472.0433108945606</v>
      </c>
      <c r="I1195" s="468" t="s">
        <v>9218</v>
      </c>
      <c r="J1195" s="468" t="s">
        <v>9219</v>
      </c>
      <c r="K1195" s="468" t="s">
        <v>9219</v>
      </c>
      <c r="L1195" s="468" t="s">
        <v>2354</v>
      </c>
    </row>
    <row r="1196" spans="1:12" x14ac:dyDescent="0.25">
      <c r="A1196" s="468" t="s">
        <v>220</v>
      </c>
      <c r="B1196" s="468" t="s">
        <v>2351</v>
      </c>
      <c r="C1196" s="468" t="s">
        <v>2526</v>
      </c>
      <c r="D1196" s="468" t="s">
        <v>2527</v>
      </c>
      <c r="F1196" s="470">
        <v>6</v>
      </c>
      <c r="G1196" s="468">
        <v>330.52017303815018</v>
      </c>
      <c r="H1196" s="479">
        <v>1983.1210382289009</v>
      </c>
      <c r="I1196" s="468" t="s">
        <v>9218</v>
      </c>
      <c r="J1196" s="468" t="s">
        <v>9219</v>
      </c>
      <c r="K1196" s="468" t="s">
        <v>9219</v>
      </c>
      <c r="L1196" s="468" t="s">
        <v>2354</v>
      </c>
    </row>
    <row r="1197" spans="1:12" x14ac:dyDescent="0.25">
      <c r="A1197" s="468" t="s">
        <v>220</v>
      </c>
      <c r="B1197" s="468" t="s">
        <v>2351</v>
      </c>
      <c r="C1197" s="468" t="s">
        <v>2528</v>
      </c>
      <c r="D1197" s="468" t="s">
        <v>2529</v>
      </c>
      <c r="F1197" s="470">
        <v>8</v>
      </c>
      <c r="G1197" s="468">
        <v>17.052</v>
      </c>
      <c r="H1197" s="479">
        <v>136.416</v>
      </c>
      <c r="I1197" s="468" t="s">
        <v>9218</v>
      </c>
      <c r="J1197" s="468" t="s">
        <v>9219</v>
      </c>
      <c r="K1197" s="468" t="s">
        <v>9219</v>
      </c>
      <c r="L1197" s="468" t="s">
        <v>2354</v>
      </c>
    </row>
    <row r="1198" spans="1:12" x14ac:dyDescent="0.25">
      <c r="A1198" s="468" t="s">
        <v>220</v>
      </c>
      <c r="B1198" s="468" t="s">
        <v>2351</v>
      </c>
      <c r="C1198" s="468" t="s">
        <v>2534</v>
      </c>
      <c r="D1198" s="468" t="s">
        <v>2535</v>
      </c>
      <c r="F1198" s="470">
        <v>1</v>
      </c>
      <c r="G1198" s="468">
        <v>44.625</v>
      </c>
      <c r="H1198" s="479">
        <v>44.625</v>
      </c>
      <c r="I1198" s="468" t="s">
        <v>9218</v>
      </c>
      <c r="J1198" s="468" t="s">
        <v>9219</v>
      </c>
      <c r="K1198" s="468" t="s">
        <v>9219</v>
      </c>
      <c r="L1198" s="468" t="s">
        <v>2354</v>
      </c>
    </row>
    <row r="1199" spans="1:12" x14ac:dyDescent="0.25">
      <c r="A1199" s="468" t="s">
        <v>220</v>
      </c>
      <c r="B1199" s="468" t="s">
        <v>2351</v>
      </c>
      <c r="C1199" s="468" t="s">
        <v>2536</v>
      </c>
      <c r="D1199" s="468" t="s">
        <v>2537</v>
      </c>
      <c r="F1199" s="470">
        <v>8</v>
      </c>
      <c r="G1199" s="468">
        <v>35</v>
      </c>
      <c r="H1199" s="479">
        <v>280</v>
      </c>
      <c r="I1199" s="468" t="s">
        <v>9218</v>
      </c>
      <c r="J1199" s="468" t="s">
        <v>9219</v>
      </c>
      <c r="K1199" s="468" t="s">
        <v>9219</v>
      </c>
      <c r="L1199" s="468" t="s">
        <v>2354</v>
      </c>
    </row>
    <row r="1200" spans="1:12" x14ac:dyDescent="0.25">
      <c r="A1200" s="468" t="s">
        <v>220</v>
      </c>
      <c r="B1200" s="468" t="s">
        <v>2351</v>
      </c>
      <c r="C1200" s="468" t="s">
        <v>2538</v>
      </c>
      <c r="D1200" s="468" t="s">
        <v>2539</v>
      </c>
      <c r="F1200" s="470">
        <v>1</v>
      </c>
      <c r="G1200" s="468">
        <v>1025.271</v>
      </c>
      <c r="H1200" s="479">
        <v>1025.271</v>
      </c>
      <c r="I1200" s="468" t="s">
        <v>9218</v>
      </c>
      <c r="J1200" s="468" t="s">
        <v>9219</v>
      </c>
      <c r="K1200" s="468" t="s">
        <v>9219</v>
      </c>
      <c r="L1200" s="468" t="s">
        <v>2354</v>
      </c>
    </row>
    <row r="1201" spans="1:12" x14ac:dyDescent="0.25">
      <c r="A1201" s="468" t="s">
        <v>220</v>
      </c>
      <c r="B1201" s="468" t="s">
        <v>2351</v>
      </c>
      <c r="C1201" s="468" t="s">
        <v>2540</v>
      </c>
      <c r="D1201" s="468" t="s">
        <v>2541</v>
      </c>
      <c r="F1201" s="470">
        <v>2</v>
      </c>
      <c r="G1201" s="468">
        <v>41.491050000000001</v>
      </c>
      <c r="H1201" s="479">
        <v>82.982100000000003</v>
      </c>
      <c r="I1201" s="468" t="s">
        <v>9218</v>
      </c>
      <c r="J1201" s="468" t="s">
        <v>9219</v>
      </c>
      <c r="K1201" s="468" t="s">
        <v>9219</v>
      </c>
      <c r="L1201" s="468" t="s">
        <v>2354</v>
      </c>
    </row>
    <row r="1202" spans="1:12" x14ac:dyDescent="0.25">
      <c r="A1202" s="468" t="s">
        <v>220</v>
      </c>
      <c r="B1202" s="468" t="s">
        <v>2351</v>
      </c>
      <c r="C1202" s="468" t="s">
        <v>2542</v>
      </c>
      <c r="D1202" s="468" t="s">
        <v>2543</v>
      </c>
      <c r="F1202" s="470">
        <v>4</v>
      </c>
      <c r="G1202" s="468">
        <v>199.49700000000001</v>
      </c>
      <c r="H1202" s="479">
        <v>797.98800000000006</v>
      </c>
      <c r="I1202" s="468" t="s">
        <v>9218</v>
      </c>
      <c r="J1202" s="468" t="s">
        <v>9219</v>
      </c>
      <c r="K1202" s="468" t="s">
        <v>9219</v>
      </c>
      <c r="L1202" s="468" t="s">
        <v>2354</v>
      </c>
    </row>
    <row r="1203" spans="1:12" x14ac:dyDescent="0.25">
      <c r="A1203" s="468" t="s">
        <v>220</v>
      </c>
      <c r="B1203" s="468" t="s">
        <v>2351</v>
      </c>
      <c r="C1203" s="468" t="s">
        <v>2544</v>
      </c>
      <c r="D1203" s="468" t="s">
        <v>2545</v>
      </c>
      <c r="F1203" s="470">
        <v>4</v>
      </c>
      <c r="G1203" s="468">
        <v>554.62175999999999</v>
      </c>
      <c r="H1203" s="479">
        <v>2218.48704</v>
      </c>
      <c r="I1203" s="468" t="s">
        <v>9218</v>
      </c>
      <c r="J1203" s="468" t="s">
        <v>9219</v>
      </c>
      <c r="K1203" s="468" t="s">
        <v>9219</v>
      </c>
      <c r="L1203" s="468" t="s">
        <v>2354</v>
      </c>
    </row>
    <row r="1204" spans="1:12" x14ac:dyDescent="0.25">
      <c r="A1204" s="468" t="s">
        <v>220</v>
      </c>
      <c r="B1204" s="468" t="s">
        <v>2351</v>
      </c>
      <c r="C1204" s="468" t="s">
        <v>2546</v>
      </c>
      <c r="D1204" s="468" t="s">
        <v>2547</v>
      </c>
      <c r="F1204" s="470">
        <v>21</v>
      </c>
      <c r="G1204" s="468">
        <v>12.441599999999999</v>
      </c>
      <c r="H1204" s="479">
        <v>261.27359999999999</v>
      </c>
      <c r="I1204" s="468" t="s">
        <v>9218</v>
      </c>
      <c r="J1204" s="468" t="s">
        <v>9219</v>
      </c>
      <c r="K1204" s="468" t="s">
        <v>9219</v>
      </c>
      <c r="L1204" s="468" t="s">
        <v>2354</v>
      </c>
    </row>
    <row r="1205" spans="1:12" x14ac:dyDescent="0.25">
      <c r="A1205" s="468" t="s">
        <v>220</v>
      </c>
      <c r="B1205" s="468" t="s">
        <v>2351</v>
      </c>
      <c r="C1205" s="468" t="s">
        <v>2548</v>
      </c>
      <c r="D1205" s="468" t="s">
        <v>2549</v>
      </c>
      <c r="F1205" s="470">
        <v>51</v>
      </c>
      <c r="G1205" s="468">
        <v>70.7</v>
      </c>
      <c r="H1205" s="479">
        <v>3605.7000000000003</v>
      </c>
      <c r="I1205" s="468" t="s">
        <v>9218</v>
      </c>
      <c r="J1205" s="468" t="s">
        <v>9219</v>
      </c>
      <c r="K1205" s="468" t="s">
        <v>9219</v>
      </c>
      <c r="L1205" s="468" t="s">
        <v>2354</v>
      </c>
    </row>
    <row r="1206" spans="1:12" x14ac:dyDescent="0.25">
      <c r="A1206" s="468" t="s">
        <v>220</v>
      </c>
      <c r="B1206" s="468" t="s">
        <v>2351</v>
      </c>
      <c r="C1206" s="468" t="s">
        <v>2550</v>
      </c>
      <c r="D1206" s="468" t="s">
        <v>2551</v>
      </c>
      <c r="F1206" s="470">
        <v>1</v>
      </c>
      <c r="G1206" s="468">
        <v>80.75</v>
      </c>
      <c r="H1206" s="479">
        <v>80.75</v>
      </c>
      <c r="I1206" s="468" t="s">
        <v>9218</v>
      </c>
      <c r="J1206" s="468" t="s">
        <v>9219</v>
      </c>
      <c r="K1206" s="468" t="s">
        <v>9219</v>
      </c>
      <c r="L1206" s="468" t="s">
        <v>2354</v>
      </c>
    </row>
    <row r="1207" spans="1:12" x14ac:dyDescent="0.25">
      <c r="A1207" s="468" t="s">
        <v>220</v>
      </c>
      <c r="B1207" s="468" t="s">
        <v>2351</v>
      </c>
      <c r="C1207" s="468" t="s">
        <v>2552</v>
      </c>
      <c r="D1207" s="468" t="s">
        <v>2553</v>
      </c>
      <c r="F1207" s="470">
        <v>1</v>
      </c>
      <c r="G1207" s="468">
        <v>80.75</v>
      </c>
      <c r="H1207" s="479">
        <v>80.75</v>
      </c>
      <c r="I1207" s="468" t="s">
        <v>9218</v>
      </c>
      <c r="J1207" s="468" t="s">
        <v>9219</v>
      </c>
      <c r="K1207" s="468" t="s">
        <v>9219</v>
      </c>
      <c r="L1207" s="468" t="s">
        <v>2354</v>
      </c>
    </row>
    <row r="1208" spans="1:12" x14ac:dyDescent="0.25">
      <c r="A1208" s="468" t="s">
        <v>220</v>
      </c>
      <c r="B1208" s="468" t="s">
        <v>2351</v>
      </c>
      <c r="C1208" s="468" t="s">
        <v>2554</v>
      </c>
      <c r="D1208" s="468" t="s">
        <v>2555</v>
      </c>
      <c r="F1208" s="470">
        <v>2</v>
      </c>
      <c r="G1208" s="468">
        <v>52</v>
      </c>
      <c r="H1208" s="479">
        <v>104</v>
      </c>
      <c r="I1208" s="468" t="s">
        <v>9218</v>
      </c>
      <c r="J1208" s="468" t="s">
        <v>9219</v>
      </c>
      <c r="K1208" s="468" t="s">
        <v>9219</v>
      </c>
      <c r="L1208" s="468" t="s">
        <v>2354</v>
      </c>
    </row>
    <row r="1209" spans="1:12" x14ac:dyDescent="0.25">
      <c r="A1209" s="468" t="s">
        <v>220</v>
      </c>
      <c r="B1209" s="468" t="s">
        <v>2351</v>
      </c>
      <c r="C1209" s="468" t="s">
        <v>2556</v>
      </c>
      <c r="D1209" s="468" t="s">
        <v>2557</v>
      </c>
      <c r="F1209" s="470">
        <v>6</v>
      </c>
      <c r="G1209" s="468">
        <v>60</v>
      </c>
      <c r="H1209" s="479">
        <v>360</v>
      </c>
      <c r="I1209" s="468" t="s">
        <v>9218</v>
      </c>
      <c r="J1209" s="468" t="s">
        <v>9219</v>
      </c>
      <c r="K1209" s="468" t="s">
        <v>9219</v>
      </c>
      <c r="L1209" s="468" t="s">
        <v>2354</v>
      </c>
    </row>
    <row r="1210" spans="1:12" x14ac:dyDescent="0.25">
      <c r="A1210" s="468" t="s">
        <v>220</v>
      </c>
      <c r="B1210" s="468" t="s">
        <v>2351</v>
      </c>
      <c r="C1210" s="468" t="s">
        <v>2558</v>
      </c>
      <c r="D1210" s="468" t="s">
        <v>2559</v>
      </c>
      <c r="F1210" s="470">
        <v>649</v>
      </c>
      <c r="G1210" s="468">
        <v>14.6965</v>
      </c>
      <c r="H1210" s="479">
        <v>9538.0285000000003</v>
      </c>
      <c r="I1210" s="468" t="s">
        <v>9218</v>
      </c>
      <c r="J1210" s="468" t="s">
        <v>9219</v>
      </c>
      <c r="K1210" s="468" t="s">
        <v>9219</v>
      </c>
      <c r="L1210" s="468" t="s">
        <v>2354</v>
      </c>
    </row>
    <row r="1211" spans="1:12" x14ac:dyDescent="0.25">
      <c r="A1211" s="468" t="s">
        <v>220</v>
      </c>
      <c r="B1211" s="468" t="s">
        <v>2351</v>
      </c>
      <c r="C1211" s="468" t="s">
        <v>2560</v>
      </c>
      <c r="D1211" s="468" t="s">
        <v>2561</v>
      </c>
      <c r="F1211" s="470">
        <v>80</v>
      </c>
      <c r="G1211" s="468">
        <v>24.99952</v>
      </c>
      <c r="H1211" s="479">
        <v>1999.9616000000001</v>
      </c>
      <c r="I1211" s="468" t="s">
        <v>9218</v>
      </c>
      <c r="J1211" s="468" t="s">
        <v>9219</v>
      </c>
      <c r="K1211" s="468" t="s">
        <v>9219</v>
      </c>
      <c r="L1211" s="468" t="s">
        <v>2354</v>
      </c>
    </row>
    <row r="1212" spans="1:12" x14ac:dyDescent="0.25">
      <c r="A1212" s="468" t="s">
        <v>220</v>
      </c>
      <c r="B1212" s="468" t="s">
        <v>2351</v>
      </c>
      <c r="C1212" s="468" t="s">
        <v>2562</v>
      </c>
      <c r="D1212" s="468" t="s">
        <v>2563</v>
      </c>
      <c r="F1212" s="470">
        <v>42</v>
      </c>
      <c r="G1212" s="468">
        <v>2.6299000000000001</v>
      </c>
      <c r="H1212" s="479">
        <v>110.45580000000001</v>
      </c>
      <c r="I1212" s="468" t="s">
        <v>9218</v>
      </c>
      <c r="J1212" s="468" t="s">
        <v>9219</v>
      </c>
      <c r="K1212" s="468" t="s">
        <v>9219</v>
      </c>
      <c r="L1212" s="468" t="s">
        <v>2354</v>
      </c>
    </row>
    <row r="1213" spans="1:12" x14ac:dyDescent="0.25">
      <c r="A1213" s="468" t="s">
        <v>220</v>
      </c>
      <c r="B1213" s="468" t="s">
        <v>2351</v>
      </c>
      <c r="C1213" s="468" t="s">
        <v>2564</v>
      </c>
      <c r="D1213" s="468" t="s">
        <v>2565</v>
      </c>
      <c r="F1213" s="470">
        <v>1</v>
      </c>
      <c r="G1213" s="468">
        <v>233.07</v>
      </c>
      <c r="H1213" s="479">
        <v>233.07</v>
      </c>
      <c r="I1213" s="468" t="s">
        <v>9218</v>
      </c>
      <c r="J1213" s="468" t="s">
        <v>9219</v>
      </c>
      <c r="K1213" s="468" t="s">
        <v>9219</v>
      </c>
      <c r="L1213" s="468" t="s">
        <v>2354</v>
      </c>
    </row>
    <row r="1214" spans="1:12" x14ac:dyDescent="0.25">
      <c r="A1214" s="468" t="s">
        <v>220</v>
      </c>
      <c r="B1214" s="468" t="s">
        <v>2351</v>
      </c>
      <c r="D1214" s="468" t="s">
        <v>9246</v>
      </c>
      <c r="F1214" s="470">
        <v>3</v>
      </c>
      <c r="G1214" s="468">
        <v>110</v>
      </c>
      <c r="H1214" s="479">
        <v>330</v>
      </c>
      <c r="I1214" s="468" t="s">
        <v>9218</v>
      </c>
      <c r="J1214" s="468" t="s">
        <v>9219</v>
      </c>
      <c r="K1214" s="468" t="s">
        <v>9219</v>
      </c>
      <c r="L1214" s="468" t="s">
        <v>2354</v>
      </c>
    </row>
    <row r="1215" spans="1:12" x14ac:dyDescent="0.25">
      <c r="A1215" s="468" t="s">
        <v>220</v>
      </c>
      <c r="B1215" s="468" t="s">
        <v>2351</v>
      </c>
      <c r="C1215" s="468" t="s">
        <v>2566</v>
      </c>
      <c r="D1215" s="468" t="s">
        <v>2567</v>
      </c>
      <c r="F1215" s="470">
        <v>1</v>
      </c>
      <c r="G1215" s="468">
        <v>110.17700000000001</v>
      </c>
      <c r="H1215" s="479">
        <v>110.17700000000001</v>
      </c>
      <c r="I1215" s="468" t="s">
        <v>9218</v>
      </c>
      <c r="J1215" s="468" t="s">
        <v>9219</v>
      </c>
      <c r="K1215" s="468" t="s">
        <v>9219</v>
      </c>
      <c r="L1215" s="468" t="s">
        <v>2354</v>
      </c>
    </row>
    <row r="1216" spans="1:12" x14ac:dyDescent="0.25">
      <c r="A1216" s="468" t="s">
        <v>220</v>
      </c>
      <c r="B1216" s="468" t="s">
        <v>2351</v>
      </c>
      <c r="C1216" s="468" t="s">
        <v>2568</v>
      </c>
      <c r="D1216" s="468" t="s">
        <v>2569</v>
      </c>
      <c r="F1216" s="470">
        <v>1</v>
      </c>
      <c r="G1216" s="468">
        <v>8.5</v>
      </c>
      <c r="H1216" s="479">
        <v>8.5</v>
      </c>
      <c r="I1216" s="468" t="s">
        <v>9218</v>
      </c>
      <c r="J1216" s="468" t="s">
        <v>9219</v>
      </c>
      <c r="K1216" s="468" t="s">
        <v>9219</v>
      </c>
      <c r="L1216" s="468" t="s">
        <v>2354</v>
      </c>
    </row>
    <row r="1217" spans="1:12" x14ac:dyDescent="0.25">
      <c r="A1217" s="468" t="s">
        <v>220</v>
      </c>
      <c r="B1217" s="468" t="s">
        <v>2351</v>
      </c>
      <c r="C1217" s="468" t="s">
        <v>2570</v>
      </c>
      <c r="D1217" s="468" t="s">
        <v>2571</v>
      </c>
      <c r="F1217" s="470">
        <v>2</v>
      </c>
      <c r="G1217" s="468">
        <v>104.61317</v>
      </c>
      <c r="H1217" s="479">
        <v>209.22633999999999</v>
      </c>
      <c r="I1217" s="468" t="s">
        <v>9218</v>
      </c>
      <c r="J1217" s="468" t="s">
        <v>9219</v>
      </c>
      <c r="K1217" s="468" t="s">
        <v>9219</v>
      </c>
      <c r="L1217" s="468" t="s">
        <v>2354</v>
      </c>
    </row>
    <row r="1218" spans="1:12" x14ac:dyDescent="0.25">
      <c r="A1218" s="468" t="s">
        <v>220</v>
      </c>
      <c r="B1218" s="468" t="s">
        <v>2351</v>
      </c>
      <c r="C1218" s="468" t="s">
        <v>2572</v>
      </c>
      <c r="D1218" s="468" t="s">
        <v>2573</v>
      </c>
      <c r="F1218" s="470">
        <v>1</v>
      </c>
      <c r="G1218" s="468">
        <v>125.27179599999999</v>
      </c>
      <c r="H1218" s="479">
        <v>125.27179599999999</v>
      </c>
      <c r="I1218" s="468" t="s">
        <v>9218</v>
      </c>
      <c r="J1218" s="468" t="s">
        <v>9219</v>
      </c>
      <c r="K1218" s="468" t="s">
        <v>9219</v>
      </c>
      <c r="L1218" s="468" t="s">
        <v>2354</v>
      </c>
    </row>
    <row r="1219" spans="1:12" x14ac:dyDescent="0.25">
      <c r="A1219" s="468" t="s">
        <v>220</v>
      </c>
      <c r="B1219" s="468" t="s">
        <v>2351</v>
      </c>
      <c r="C1219" s="468" t="s">
        <v>2574</v>
      </c>
      <c r="D1219" s="468" t="s">
        <v>2575</v>
      </c>
      <c r="F1219" s="470">
        <v>5</v>
      </c>
      <c r="G1219" s="468">
        <v>323.07979</v>
      </c>
      <c r="H1219" s="479">
        <v>1615.39895</v>
      </c>
      <c r="I1219" s="468" t="s">
        <v>9218</v>
      </c>
      <c r="J1219" s="468" t="s">
        <v>9219</v>
      </c>
      <c r="K1219" s="468" t="s">
        <v>9219</v>
      </c>
      <c r="L1219" s="468" t="s">
        <v>2354</v>
      </c>
    </row>
    <row r="1220" spans="1:12" x14ac:dyDescent="0.25">
      <c r="A1220" s="468" t="s">
        <v>220</v>
      </c>
      <c r="B1220" s="468" t="s">
        <v>2351</v>
      </c>
      <c r="C1220" s="468" t="s">
        <v>2576</v>
      </c>
      <c r="D1220" s="468" t="s">
        <v>2577</v>
      </c>
      <c r="F1220" s="470">
        <v>6</v>
      </c>
      <c r="G1220" s="468">
        <v>489.173</v>
      </c>
      <c r="H1220" s="479">
        <v>2935.038</v>
      </c>
      <c r="I1220" s="468" t="s">
        <v>9218</v>
      </c>
      <c r="J1220" s="468" t="s">
        <v>9219</v>
      </c>
      <c r="K1220" s="468" t="s">
        <v>9219</v>
      </c>
      <c r="L1220" s="468" t="s">
        <v>2354</v>
      </c>
    </row>
    <row r="1221" spans="1:12" x14ac:dyDescent="0.25">
      <c r="A1221" s="468" t="s">
        <v>220</v>
      </c>
      <c r="B1221" s="468" t="s">
        <v>2351</v>
      </c>
      <c r="C1221" s="468" t="s">
        <v>2578</v>
      </c>
      <c r="D1221" s="468" t="s">
        <v>2579</v>
      </c>
      <c r="F1221" s="470">
        <v>1</v>
      </c>
      <c r="G1221" s="468">
        <v>6687.1639999999998</v>
      </c>
      <c r="H1221" s="479">
        <v>6687.1639999999998</v>
      </c>
      <c r="I1221" s="468" t="s">
        <v>9218</v>
      </c>
      <c r="J1221" s="468" t="s">
        <v>9219</v>
      </c>
      <c r="K1221" s="468" t="s">
        <v>9219</v>
      </c>
      <c r="L1221" s="468" t="s">
        <v>2354</v>
      </c>
    </row>
    <row r="1222" spans="1:12" x14ac:dyDescent="0.25">
      <c r="A1222" s="468" t="s">
        <v>220</v>
      </c>
      <c r="B1222" s="468" t="s">
        <v>2351</v>
      </c>
      <c r="C1222" s="468" t="s">
        <v>2580</v>
      </c>
      <c r="D1222" s="468" t="s">
        <v>2581</v>
      </c>
      <c r="F1222" s="470">
        <v>1</v>
      </c>
      <c r="G1222" s="468">
        <v>936.24</v>
      </c>
      <c r="H1222" s="479">
        <v>936.24</v>
      </c>
      <c r="I1222" s="468" t="s">
        <v>9218</v>
      </c>
      <c r="J1222" s="468" t="s">
        <v>9219</v>
      </c>
      <c r="K1222" s="468" t="s">
        <v>9219</v>
      </c>
      <c r="L1222" s="468" t="s">
        <v>2354</v>
      </c>
    </row>
    <row r="1223" spans="1:12" x14ac:dyDescent="0.25">
      <c r="A1223" s="468" t="s">
        <v>220</v>
      </c>
      <c r="B1223" s="468" t="s">
        <v>2351</v>
      </c>
      <c r="C1223" s="468" t="s">
        <v>2582</v>
      </c>
      <c r="D1223" s="468" t="s">
        <v>2583</v>
      </c>
      <c r="F1223" s="470">
        <v>6</v>
      </c>
      <c r="G1223" s="468">
        <v>282.38877000000002</v>
      </c>
      <c r="H1223" s="479">
        <v>1694.3326200000001</v>
      </c>
      <c r="I1223" s="468" t="s">
        <v>9218</v>
      </c>
      <c r="J1223" s="468" t="s">
        <v>9219</v>
      </c>
      <c r="K1223" s="468" t="s">
        <v>9219</v>
      </c>
      <c r="L1223" s="468" t="s">
        <v>2354</v>
      </c>
    </row>
    <row r="1224" spans="1:12" x14ac:dyDescent="0.25">
      <c r="A1224" s="468" t="s">
        <v>220</v>
      </c>
      <c r="B1224" s="468" t="s">
        <v>2351</v>
      </c>
      <c r="C1224" s="468" t="s">
        <v>2584</v>
      </c>
      <c r="D1224" s="468" t="s">
        <v>2585</v>
      </c>
      <c r="F1224" s="470">
        <v>1</v>
      </c>
      <c r="G1224" s="468">
        <v>4433.3729999999996</v>
      </c>
      <c r="H1224" s="479">
        <v>4433.3729999999996</v>
      </c>
      <c r="I1224" s="468" t="s">
        <v>9218</v>
      </c>
      <c r="J1224" s="468" t="s">
        <v>9219</v>
      </c>
      <c r="K1224" s="468" t="s">
        <v>9219</v>
      </c>
      <c r="L1224" s="468" t="s">
        <v>2354</v>
      </c>
    </row>
    <row r="1225" spans="1:12" x14ac:dyDescent="0.25">
      <c r="A1225" s="468" t="s">
        <v>220</v>
      </c>
      <c r="B1225" s="468" t="s">
        <v>2351</v>
      </c>
      <c r="C1225" s="468" t="s">
        <v>2586</v>
      </c>
      <c r="D1225" s="468" t="s">
        <v>2587</v>
      </c>
      <c r="F1225" s="470">
        <v>3</v>
      </c>
      <c r="G1225" s="468">
        <v>277.1277</v>
      </c>
      <c r="H1225" s="479">
        <v>831.38310000000001</v>
      </c>
      <c r="I1225" s="468" t="s">
        <v>9218</v>
      </c>
      <c r="J1225" s="468" t="s">
        <v>9219</v>
      </c>
      <c r="K1225" s="468" t="s">
        <v>9219</v>
      </c>
      <c r="L1225" s="468" t="s">
        <v>2354</v>
      </c>
    </row>
    <row r="1226" spans="1:12" x14ac:dyDescent="0.25">
      <c r="A1226" s="468" t="s">
        <v>220</v>
      </c>
      <c r="B1226" s="468" t="s">
        <v>2351</v>
      </c>
      <c r="C1226" s="468" t="s">
        <v>2588</v>
      </c>
      <c r="D1226" s="468" t="s">
        <v>2589</v>
      </c>
      <c r="F1226" s="470">
        <v>3</v>
      </c>
      <c r="G1226" s="468">
        <v>277.12799999999999</v>
      </c>
      <c r="H1226" s="479">
        <v>831.38400000000001</v>
      </c>
      <c r="I1226" s="468" t="s">
        <v>9218</v>
      </c>
      <c r="J1226" s="468" t="s">
        <v>9219</v>
      </c>
      <c r="K1226" s="468" t="s">
        <v>9219</v>
      </c>
      <c r="L1226" s="468" t="s">
        <v>2354</v>
      </c>
    </row>
    <row r="1227" spans="1:12" x14ac:dyDescent="0.25">
      <c r="A1227" s="468" t="s">
        <v>220</v>
      </c>
      <c r="B1227" s="468" t="s">
        <v>2351</v>
      </c>
      <c r="C1227" s="468" t="s">
        <v>9247</v>
      </c>
      <c r="D1227" s="468" t="s">
        <v>9248</v>
      </c>
      <c r="F1227" s="470">
        <v>10</v>
      </c>
      <c r="H1227" s="479">
        <v>0</v>
      </c>
      <c r="I1227" s="468" t="s">
        <v>9218</v>
      </c>
      <c r="J1227" s="468" t="s">
        <v>9219</v>
      </c>
      <c r="K1227" s="468" t="s">
        <v>9219</v>
      </c>
      <c r="L1227" s="468" t="s">
        <v>2354</v>
      </c>
    </row>
    <row r="1228" spans="1:12" x14ac:dyDescent="0.25">
      <c r="A1228" s="468" t="s">
        <v>220</v>
      </c>
      <c r="B1228" s="468" t="s">
        <v>2351</v>
      </c>
      <c r="C1228" s="468" t="s">
        <v>2590</v>
      </c>
      <c r="D1228" s="468" t="s">
        <v>2591</v>
      </c>
      <c r="F1228" s="470">
        <v>3</v>
      </c>
      <c r="G1228" s="468">
        <v>283.80860000000001</v>
      </c>
      <c r="H1228" s="479">
        <v>851.42579999999998</v>
      </c>
      <c r="I1228" s="468" t="s">
        <v>9218</v>
      </c>
      <c r="J1228" s="468" t="s">
        <v>9219</v>
      </c>
      <c r="K1228" s="468" t="s">
        <v>9219</v>
      </c>
      <c r="L1228" s="468" t="s">
        <v>2354</v>
      </c>
    </row>
    <row r="1229" spans="1:12" x14ac:dyDescent="0.25">
      <c r="A1229" s="468" t="s">
        <v>220</v>
      </c>
      <c r="B1229" s="468" t="s">
        <v>2351</v>
      </c>
      <c r="C1229" s="468" t="s">
        <v>2592</v>
      </c>
      <c r="D1229" s="468" t="s">
        <v>2593</v>
      </c>
      <c r="F1229" s="470">
        <v>5</v>
      </c>
      <c r="G1229" s="468">
        <v>589.06785000000002</v>
      </c>
      <c r="H1229" s="479">
        <v>2945.33925</v>
      </c>
      <c r="I1229" s="468" t="s">
        <v>9218</v>
      </c>
      <c r="J1229" s="468" t="s">
        <v>9219</v>
      </c>
      <c r="K1229" s="468" t="s">
        <v>9219</v>
      </c>
      <c r="L1229" s="468" t="s">
        <v>2354</v>
      </c>
    </row>
    <row r="1230" spans="1:12" x14ac:dyDescent="0.25">
      <c r="A1230" s="468" t="s">
        <v>220</v>
      </c>
      <c r="B1230" s="468" t="s">
        <v>2351</v>
      </c>
      <c r="C1230" s="468" t="s">
        <v>2596</v>
      </c>
      <c r="D1230" s="468" t="s">
        <v>2597</v>
      </c>
      <c r="F1230" s="470">
        <v>4</v>
      </c>
      <c r="G1230" s="468">
        <v>29.407765445340271</v>
      </c>
      <c r="H1230" s="479">
        <v>117.63106178136108</v>
      </c>
      <c r="I1230" s="468" t="s">
        <v>9218</v>
      </c>
      <c r="J1230" s="468" t="s">
        <v>9219</v>
      </c>
      <c r="K1230" s="468" t="s">
        <v>9219</v>
      </c>
      <c r="L1230" s="468" t="s">
        <v>2354</v>
      </c>
    </row>
    <row r="1231" spans="1:12" x14ac:dyDescent="0.25">
      <c r="A1231" s="468" t="s">
        <v>220</v>
      </c>
      <c r="B1231" s="468" t="s">
        <v>2351</v>
      </c>
      <c r="C1231" s="468" t="s">
        <v>2598</v>
      </c>
      <c r="D1231" s="468" t="s">
        <v>2599</v>
      </c>
      <c r="F1231" s="470">
        <v>4</v>
      </c>
      <c r="G1231" s="468">
        <v>30.045605106825956</v>
      </c>
      <c r="H1231" s="479">
        <v>120.18242042730382</v>
      </c>
      <c r="I1231" s="468" t="s">
        <v>9218</v>
      </c>
      <c r="J1231" s="468" t="s">
        <v>9219</v>
      </c>
      <c r="K1231" s="468" t="s">
        <v>9219</v>
      </c>
      <c r="L1231" s="468" t="s">
        <v>2354</v>
      </c>
    </row>
    <row r="1232" spans="1:12" x14ac:dyDescent="0.25">
      <c r="A1232" s="468" t="s">
        <v>220</v>
      </c>
      <c r="B1232" s="468" t="s">
        <v>2351</v>
      </c>
      <c r="C1232" s="468" t="s">
        <v>2600</v>
      </c>
      <c r="D1232" s="468" t="s">
        <v>2601</v>
      </c>
      <c r="F1232" s="470">
        <v>2</v>
      </c>
      <c r="G1232" s="468">
        <v>90.438949896971096</v>
      </c>
      <c r="H1232" s="479">
        <v>180.87789979394219</v>
      </c>
      <c r="I1232" s="468" t="s">
        <v>9218</v>
      </c>
      <c r="J1232" s="468" t="s">
        <v>9219</v>
      </c>
      <c r="K1232" s="468" t="s">
        <v>9219</v>
      </c>
      <c r="L1232" s="468" t="s">
        <v>2354</v>
      </c>
    </row>
    <row r="1233" spans="1:12" x14ac:dyDescent="0.25">
      <c r="A1233" s="468" t="s">
        <v>220</v>
      </c>
      <c r="B1233" s="468" t="s">
        <v>2351</v>
      </c>
      <c r="C1233" s="468" t="s">
        <v>2602</v>
      </c>
      <c r="D1233" s="468" t="s">
        <v>2603</v>
      </c>
      <c r="F1233" s="470">
        <v>2</v>
      </c>
      <c r="G1233" s="468">
        <v>94.803116001873192</v>
      </c>
      <c r="H1233" s="479">
        <v>189.60623200374638</v>
      </c>
      <c r="I1233" s="468" t="s">
        <v>9218</v>
      </c>
      <c r="J1233" s="468" t="s">
        <v>9219</v>
      </c>
      <c r="K1233" s="468" t="s">
        <v>9219</v>
      </c>
      <c r="L1233" s="468" t="s">
        <v>2354</v>
      </c>
    </row>
    <row r="1234" spans="1:12" x14ac:dyDescent="0.25">
      <c r="A1234" s="468" t="s">
        <v>220</v>
      </c>
      <c r="B1234" s="468" t="s">
        <v>2351</v>
      </c>
      <c r="C1234" s="468" t="s">
        <v>2604</v>
      </c>
      <c r="D1234" s="468" t="s">
        <v>2605</v>
      </c>
      <c r="F1234" s="470">
        <v>2</v>
      </c>
      <c r="G1234" s="468">
        <v>246.74323746946459</v>
      </c>
      <c r="H1234" s="479">
        <v>493.48647493892918</v>
      </c>
      <c r="I1234" s="468" t="s">
        <v>9218</v>
      </c>
      <c r="J1234" s="468" t="s">
        <v>9219</v>
      </c>
      <c r="K1234" s="468" t="s">
        <v>9219</v>
      </c>
      <c r="L1234" s="468" t="s">
        <v>2354</v>
      </c>
    </row>
    <row r="1235" spans="1:12" x14ac:dyDescent="0.25">
      <c r="A1235" s="468" t="s">
        <v>220</v>
      </c>
      <c r="B1235" s="468" t="s">
        <v>2351</v>
      </c>
      <c r="C1235" s="468" t="s">
        <v>2606</v>
      </c>
      <c r="D1235" s="468" t="s">
        <v>2607</v>
      </c>
      <c r="F1235" s="470">
        <v>2</v>
      </c>
      <c r="G1235" s="468">
        <v>352.49033924209226</v>
      </c>
      <c r="H1235" s="479">
        <v>704.98067848418452</v>
      </c>
      <c r="I1235" s="468" t="s">
        <v>9218</v>
      </c>
      <c r="J1235" s="468" t="s">
        <v>9219</v>
      </c>
      <c r="K1235" s="468" t="s">
        <v>9219</v>
      </c>
      <c r="L1235" s="468" t="s">
        <v>2354</v>
      </c>
    </row>
    <row r="1236" spans="1:12" x14ac:dyDescent="0.25">
      <c r="A1236" s="468" t="s">
        <v>220</v>
      </c>
      <c r="B1236" s="468" t="s">
        <v>2351</v>
      </c>
      <c r="C1236" s="468" t="s">
        <v>2608</v>
      </c>
      <c r="D1236" s="468" t="s">
        <v>2609</v>
      </c>
      <c r="F1236" s="470">
        <v>2</v>
      </c>
      <c r="G1236" s="468">
        <v>276.65456054229355</v>
      </c>
      <c r="H1236" s="479">
        <v>553.3091210845871</v>
      </c>
      <c r="I1236" s="468" t="s">
        <v>9218</v>
      </c>
      <c r="J1236" s="468" t="s">
        <v>9219</v>
      </c>
      <c r="K1236" s="468" t="s">
        <v>9219</v>
      </c>
      <c r="L1236" s="468" t="s">
        <v>2354</v>
      </c>
    </row>
    <row r="1237" spans="1:12" x14ac:dyDescent="0.25">
      <c r="A1237" s="468" t="s">
        <v>220</v>
      </c>
      <c r="B1237" s="468" t="s">
        <v>2351</v>
      </c>
      <c r="C1237" s="468" t="s">
        <v>2610</v>
      </c>
      <c r="D1237" s="468" t="s">
        <v>2611</v>
      </c>
      <c r="F1237" s="470">
        <v>12</v>
      </c>
      <c r="G1237" s="468">
        <v>276.28528494880186</v>
      </c>
      <c r="H1237" s="479">
        <v>3315.4234193856223</v>
      </c>
      <c r="I1237" s="468" t="s">
        <v>9218</v>
      </c>
      <c r="J1237" s="468" t="s">
        <v>9219</v>
      </c>
      <c r="K1237" s="468" t="s">
        <v>9219</v>
      </c>
      <c r="L1237" s="468" t="s">
        <v>2354</v>
      </c>
    </row>
    <row r="1238" spans="1:12" x14ac:dyDescent="0.25">
      <c r="A1238" s="468" t="s">
        <v>220</v>
      </c>
      <c r="B1238" s="468" t="s">
        <v>2351</v>
      </c>
      <c r="C1238" s="468" t="s">
        <v>2612</v>
      </c>
      <c r="D1238" s="468" t="s">
        <v>2613</v>
      </c>
      <c r="F1238" s="470">
        <v>1</v>
      </c>
      <c r="G1238" s="468">
        <v>220.79249999999999</v>
      </c>
      <c r="H1238" s="479">
        <v>220.79249999999999</v>
      </c>
      <c r="I1238" s="468" t="s">
        <v>9218</v>
      </c>
      <c r="J1238" s="468" t="s">
        <v>9219</v>
      </c>
      <c r="K1238" s="468" t="s">
        <v>9219</v>
      </c>
      <c r="L1238" s="468" t="s">
        <v>2354</v>
      </c>
    </row>
    <row r="1239" spans="1:12" x14ac:dyDescent="0.25">
      <c r="A1239" s="468" t="s">
        <v>220</v>
      </c>
      <c r="B1239" s="468" t="s">
        <v>2351</v>
      </c>
      <c r="C1239" s="468" t="s">
        <v>2614</v>
      </c>
      <c r="D1239" s="468" t="s">
        <v>2615</v>
      </c>
      <c r="F1239" s="470">
        <v>1</v>
      </c>
      <c r="G1239" s="468">
        <v>270</v>
      </c>
      <c r="H1239" s="479">
        <v>270</v>
      </c>
      <c r="I1239" s="468" t="s">
        <v>9218</v>
      </c>
      <c r="J1239" s="468" t="s">
        <v>9219</v>
      </c>
      <c r="K1239" s="468" t="s">
        <v>9219</v>
      </c>
      <c r="L1239" s="468" t="s">
        <v>2354</v>
      </c>
    </row>
    <row r="1240" spans="1:12" x14ac:dyDescent="0.25">
      <c r="A1240" s="468" t="s">
        <v>220</v>
      </c>
      <c r="B1240" s="468" t="s">
        <v>2351</v>
      </c>
      <c r="C1240" s="468" t="s">
        <v>2616</v>
      </c>
      <c r="D1240" s="468" t="s">
        <v>2617</v>
      </c>
      <c r="F1240" s="470">
        <v>4</v>
      </c>
      <c r="G1240" s="468">
        <v>145.90799999999999</v>
      </c>
      <c r="H1240" s="479">
        <v>583.63199999999995</v>
      </c>
      <c r="I1240" s="468" t="s">
        <v>9218</v>
      </c>
      <c r="J1240" s="468" t="s">
        <v>9219</v>
      </c>
      <c r="K1240" s="468" t="s">
        <v>9219</v>
      </c>
      <c r="L1240" s="468" t="s">
        <v>2354</v>
      </c>
    </row>
    <row r="1241" spans="1:12" x14ac:dyDescent="0.25">
      <c r="A1241" s="468" t="s">
        <v>220</v>
      </c>
      <c r="B1241" s="468" t="s">
        <v>2351</v>
      </c>
      <c r="C1241" s="468" t="s">
        <v>2618</v>
      </c>
      <c r="D1241" s="468" t="s">
        <v>9249</v>
      </c>
      <c r="F1241" s="470">
        <v>3</v>
      </c>
      <c r="G1241" s="468">
        <v>871.07100000000003</v>
      </c>
      <c r="H1241" s="479">
        <v>2613.2130000000002</v>
      </c>
      <c r="I1241" s="468" t="s">
        <v>9218</v>
      </c>
      <c r="J1241" s="468" t="s">
        <v>9219</v>
      </c>
      <c r="K1241" s="468" t="s">
        <v>9219</v>
      </c>
      <c r="L1241" s="468" t="s">
        <v>2354</v>
      </c>
    </row>
    <row r="1242" spans="1:12" x14ac:dyDescent="0.25">
      <c r="A1242" s="468" t="s">
        <v>220</v>
      </c>
      <c r="B1242" s="468" t="s">
        <v>2351</v>
      </c>
      <c r="D1242" s="468" t="s">
        <v>9250</v>
      </c>
      <c r="F1242" s="470">
        <v>14</v>
      </c>
      <c r="G1242" s="468">
        <v>821.1</v>
      </c>
      <c r="H1242" s="479">
        <v>11495.4</v>
      </c>
      <c r="I1242" s="468" t="s">
        <v>9218</v>
      </c>
      <c r="J1242" s="468" t="s">
        <v>9219</v>
      </c>
      <c r="K1242" s="468" t="s">
        <v>9219</v>
      </c>
      <c r="L1242" s="468" t="s">
        <v>2354</v>
      </c>
    </row>
    <row r="1243" spans="1:12" x14ac:dyDescent="0.25">
      <c r="A1243" s="468" t="s">
        <v>220</v>
      </c>
      <c r="B1243" s="468" t="s">
        <v>2351</v>
      </c>
      <c r="C1243" s="468" t="s">
        <v>2620</v>
      </c>
      <c r="D1243" s="468" t="s">
        <v>9251</v>
      </c>
      <c r="F1243" s="470">
        <v>4</v>
      </c>
      <c r="G1243" s="468">
        <v>831.07399999999996</v>
      </c>
      <c r="H1243" s="479">
        <v>3324.2959999999998</v>
      </c>
      <c r="I1243" s="468" t="s">
        <v>9218</v>
      </c>
      <c r="J1243" s="468" t="s">
        <v>9219</v>
      </c>
      <c r="K1243" s="468" t="s">
        <v>9219</v>
      </c>
      <c r="L1243" s="468" t="s">
        <v>2354</v>
      </c>
    </row>
    <row r="1244" spans="1:12" x14ac:dyDescent="0.25">
      <c r="A1244" s="468" t="s">
        <v>220</v>
      </c>
      <c r="B1244" s="468" t="s">
        <v>2351</v>
      </c>
      <c r="C1244" s="468" t="s">
        <v>2622</v>
      </c>
      <c r="D1244" s="468" t="s">
        <v>2623</v>
      </c>
      <c r="F1244" s="470">
        <v>4</v>
      </c>
      <c r="G1244" s="468">
        <v>619.70500000000004</v>
      </c>
      <c r="H1244" s="479">
        <v>2478.8200000000002</v>
      </c>
      <c r="I1244" s="468" t="s">
        <v>9218</v>
      </c>
      <c r="J1244" s="468" t="s">
        <v>9219</v>
      </c>
      <c r="K1244" s="468" t="s">
        <v>9219</v>
      </c>
      <c r="L1244" s="468" t="s">
        <v>2354</v>
      </c>
    </row>
    <row r="1245" spans="1:12" x14ac:dyDescent="0.25">
      <c r="A1245" s="468" t="s">
        <v>220</v>
      </c>
      <c r="B1245" s="468" t="s">
        <v>2351</v>
      </c>
      <c r="C1245" s="468" t="s">
        <v>2624</v>
      </c>
      <c r="D1245" s="468" t="s">
        <v>2625</v>
      </c>
      <c r="F1245" s="470">
        <v>2</v>
      </c>
      <c r="G1245" s="468">
        <v>463.22199999999998</v>
      </c>
      <c r="H1245" s="479">
        <v>926.44399999999996</v>
      </c>
      <c r="I1245" s="468" t="s">
        <v>9218</v>
      </c>
      <c r="J1245" s="468" t="s">
        <v>9219</v>
      </c>
      <c r="K1245" s="468" t="s">
        <v>9219</v>
      </c>
      <c r="L1245" s="468" t="s">
        <v>2354</v>
      </c>
    </row>
    <row r="1246" spans="1:12" x14ac:dyDescent="0.25">
      <c r="A1246" s="468" t="s">
        <v>220</v>
      </c>
      <c r="B1246" s="468" t="s">
        <v>2351</v>
      </c>
      <c r="C1246" s="468" t="s">
        <v>2626</v>
      </c>
      <c r="D1246" s="468" t="s">
        <v>2627</v>
      </c>
      <c r="F1246" s="470">
        <v>6</v>
      </c>
      <c r="G1246" s="468">
        <v>178.626</v>
      </c>
      <c r="H1246" s="479">
        <v>1071.7560000000001</v>
      </c>
      <c r="I1246" s="468" t="s">
        <v>9218</v>
      </c>
      <c r="J1246" s="468" t="s">
        <v>9219</v>
      </c>
      <c r="K1246" s="468" t="s">
        <v>9219</v>
      </c>
      <c r="L1246" s="468" t="s">
        <v>2354</v>
      </c>
    </row>
    <row r="1247" spans="1:12" x14ac:dyDescent="0.25">
      <c r="A1247" s="468" t="s">
        <v>220</v>
      </c>
      <c r="B1247" s="468" t="s">
        <v>2351</v>
      </c>
      <c r="C1247" s="468" t="s">
        <v>2628</v>
      </c>
      <c r="D1247" s="468" t="s">
        <v>2629</v>
      </c>
      <c r="F1247" s="470">
        <v>1</v>
      </c>
      <c r="G1247" s="468">
        <v>310</v>
      </c>
      <c r="H1247" s="479">
        <v>310</v>
      </c>
      <c r="I1247" s="468" t="s">
        <v>9218</v>
      </c>
      <c r="J1247" s="468" t="s">
        <v>9219</v>
      </c>
      <c r="K1247" s="468" t="s">
        <v>9219</v>
      </c>
      <c r="L1247" s="468" t="s">
        <v>2354</v>
      </c>
    </row>
    <row r="1248" spans="1:12" x14ac:dyDescent="0.25">
      <c r="A1248" s="468" t="s">
        <v>220</v>
      </c>
      <c r="B1248" s="468" t="s">
        <v>2351</v>
      </c>
      <c r="C1248" s="468" t="s">
        <v>2630</v>
      </c>
      <c r="D1248" s="468" t="s">
        <v>2631</v>
      </c>
      <c r="F1248" s="470">
        <v>5</v>
      </c>
      <c r="G1248" s="468">
        <v>95.142960000000002</v>
      </c>
      <c r="H1248" s="479">
        <v>475.71480000000003</v>
      </c>
      <c r="I1248" s="468" t="s">
        <v>9218</v>
      </c>
      <c r="J1248" s="468" t="s">
        <v>9219</v>
      </c>
      <c r="K1248" s="468" t="s">
        <v>9219</v>
      </c>
      <c r="L1248" s="468" t="s">
        <v>2354</v>
      </c>
    </row>
    <row r="1249" spans="1:12" x14ac:dyDescent="0.25">
      <c r="A1249" s="468" t="s">
        <v>220</v>
      </c>
      <c r="B1249" s="468" t="s">
        <v>2351</v>
      </c>
      <c r="C1249" s="468" t="s">
        <v>2632</v>
      </c>
      <c r="D1249" s="468" t="s">
        <v>2633</v>
      </c>
      <c r="F1249" s="470">
        <v>25</v>
      </c>
      <c r="G1249" s="468">
        <v>19.234739999999999</v>
      </c>
      <c r="H1249" s="479">
        <v>480.86849999999998</v>
      </c>
      <c r="I1249" s="468" t="s">
        <v>9218</v>
      </c>
      <c r="J1249" s="468" t="s">
        <v>9219</v>
      </c>
      <c r="K1249" s="468" t="s">
        <v>9219</v>
      </c>
      <c r="L1249" s="468" t="s">
        <v>2354</v>
      </c>
    </row>
    <row r="1250" spans="1:12" x14ac:dyDescent="0.25">
      <c r="A1250" s="468" t="s">
        <v>220</v>
      </c>
      <c r="B1250" s="468" t="s">
        <v>2351</v>
      </c>
      <c r="C1250" s="468" t="s">
        <v>2634</v>
      </c>
      <c r="D1250" s="468" t="s">
        <v>2635</v>
      </c>
      <c r="F1250" s="470">
        <v>1</v>
      </c>
      <c r="G1250" s="468">
        <v>26.443999999999999</v>
      </c>
      <c r="H1250" s="479">
        <v>26.443999999999999</v>
      </c>
      <c r="I1250" s="468" t="s">
        <v>9218</v>
      </c>
      <c r="J1250" s="468" t="s">
        <v>9219</v>
      </c>
      <c r="K1250" s="468" t="s">
        <v>9219</v>
      </c>
      <c r="L1250" s="468" t="s">
        <v>2354</v>
      </c>
    </row>
    <row r="1251" spans="1:12" x14ac:dyDescent="0.25">
      <c r="A1251" s="468" t="s">
        <v>220</v>
      </c>
      <c r="B1251" s="468" t="s">
        <v>2351</v>
      </c>
      <c r="C1251" s="468" t="s">
        <v>2636</v>
      </c>
      <c r="D1251" s="468" t="s">
        <v>2637</v>
      </c>
      <c r="F1251" s="470">
        <v>8</v>
      </c>
      <c r="G1251" s="468">
        <v>6.5</v>
      </c>
      <c r="H1251" s="479">
        <v>52</v>
      </c>
      <c r="I1251" s="468" t="s">
        <v>9218</v>
      </c>
      <c r="J1251" s="468" t="s">
        <v>9219</v>
      </c>
      <c r="K1251" s="468" t="s">
        <v>9219</v>
      </c>
      <c r="L1251" s="468" t="s">
        <v>2354</v>
      </c>
    </row>
    <row r="1252" spans="1:12" x14ac:dyDescent="0.25">
      <c r="A1252" s="468" t="s">
        <v>220</v>
      </c>
      <c r="B1252" s="468" t="s">
        <v>2351</v>
      </c>
      <c r="C1252" s="468" t="s">
        <v>2638</v>
      </c>
      <c r="D1252" s="468" t="s">
        <v>2639</v>
      </c>
      <c r="F1252" s="470">
        <v>11</v>
      </c>
      <c r="G1252" s="468">
        <v>40</v>
      </c>
      <c r="H1252" s="479">
        <v>440</v>
      </c>
      <c r="I1252" s="468" t="s">
        <v>9218</v>
      </c>
      <c r="J1252" s="468" t="s">
        <v>9219</v>
      </c>
      <c r="K1252" s="468" t="s">
        <v>9219</v>
      </c>
      <c r="L1252" s="468" t="s">
        <v>2354</v>
      </c>
    </row>
    <row r="1253" spans="1:12" x14ac:dyDescent="0.25">
      <c r="A1253" s="468" t="s">
        <v>220</v>
      </c>
      <c r="B1253" s="468" t="s">
        <v>2351</v>
      </c>
      <c r="C1253" s="468" t="s">
        <v>2640</v>
      </c>
      <c r="D1253" s="468" t="s">
        <v>2641</v>
      </c>
      <c r="F1253" s="470">
        <v>71</v>
      </c>
      <c r="G1253" s="468">
        <v>36.671672408360124</v>
      </c>
      <c r="H1253" s="479">
        <v>2603.6887409935689</v>
      </c>
      <c r="I1253" s="468" t="s">
        <v>9218</v>
      </c>
      <c r="J1253" s="468" t="s">
        <v>9219</v>
      </c>
      <c r="K1253" s="468" t="s">
        <v>9219</v>
      </c>
      <c r="L1253" s="468" t="s">
        <v>2354</v>
      </c>
    </row>
    <row r="1254" spans="1:12" x14ac:dyDescent="0.25">
      <c r="A1254" s="468" t="s">
        <v>220</v>
      </c>
      <c r="B1254" s="468" t="s">
        <v>2351</v>
      </c>
      <c r="C1254" s="468" t="s">
        <v>2642</v>
      </c>
      <c r="D1254" s="468" t="s">
        <v>2643</v>
      </c>
      <c r="F1254" s="470">
        <v>2</v>
      </c>
      <c r="G1254" s="468">
        <v>4184.5267999999996</v>
      </c>
      <c r="H1254" s="479">
        <v>8369.0535999999993</v>
      </c>
      <c r="I1254" s="468" t="s">
        <v>9218</v>
      </c>
      <c r="J1254" s="468" t="s">
        <v>9219</v>
      </c>
      <c r="K1254" s="468" t="s">
        <v>9219</v>
      </c>
      <c r="L1254" s="468" t="s">
        <v>2354</v>
      </c>
    </row>
    <row r="1255" spans="1:12" x14ac:dyDescent="0.25">
      <c r="A1255" s="468" t="s">
        <v>220</v>
      </c>
      <c r="B1255" s="468" t="s">
        <v>2351</v>
      </c>
      <c r="C1255" s="468" t="s">
        <v>2644</v>
      </c>
      <c r="D1255" s="468" t="s">
        <v>2645</v>
      </c>
      <c r="F1255" s="470">
        <v>2</v>
      </c>
      <c r="G1255" s="468">
        <v>1815.0550000000001</v>
      </c>
      <c r="H1255" s="479">
        <v>3630.11</v>
      </c>
      <c r="I1255" s="468" t="s">
        <v>9218</v>
      </c>
      <c r="J1255" s="468" t="s">
        <v>9219</v>
      </c>
      <c r="K1255" s="468" t="s">
        <v>9219</v>
      </c>
      <c r="L1255" s="468" t="s">
        <v>2354</v>
      </c>
    </row>
    <row r="1256" spans="1:12" x14ac:dyDescent="0.25">
      <c r="A1256" s="468" t="s">
        <v>220</v>
      </c>
      <c r="B1256" s="468" t="s">
        <v>2351</v>
      </c>
      <c r="C1256" s="468" t="s">
        <v>2646</v>
      </c>
      <c r="D1256" s="468" t="s">
        <v>2647</v>
      </c>
      <c r="F1256" s="470">
        <v>1</v>
      </c>
      <c r="H1256" s="479">
        <v>0</v>
      </c>
      <c r="I1256" s="468" t="s">
        <v>9218</v>
      </c>
      <c r="J1256" s="468" t="s">
        <v>9219</v>
      </c>
      <c r="K1256" s="468" t="s">
        <v>9219</v>
      </c>
      <c r="L1256" s="468" t="s">
        <v>2354</v>
      </c>
    </row>
    <row r="1257" spans="1:12" x14ac:dyDescent="0.25">
      <c r="A1257" s="468" t="s">
        <v>220</v>
      </c>
      <c r="B1257" s="468" t="s">
        <v>2351</v>
      </c>
      <c r="C1257" s="468" t="s">
        <v>2648</v>
      </c>
      <c r="D1257" s="468" t="s">
        <v>2649</v>
      </c>
      <c r="F1257" s="470">
        <v>11</v>
      </c>
      <c r="G1257" s="468">
        <v>109.60791918399352</v>
      </c>
      <c r="H1257" s="479">
        <v>1205.6871110239288</v>
      </c>
      <c r="I1257" s="468" t="s">
        <v>9218</v>
      </c>
      <c r="J1257" s="468" t="s">
        <v>9219</v>
      </c>
      <c r="K1257" s="468" t="s">
        <v>9219</v>
      </c>
      <c r="L1257" s="468" t="s">
        <v>2354</v>
      </c>
    </row>
    <row r="1258" spans="1:12" x14ac:dyDescent="0.25">
      <c r="A1258" s="468" t="s">
        <v>220</v>
      </c>
      <c r="B1258" s="468" t="s">
        <v>2351</v>
      </c>
      <c r="C1258" s="468" t="s">
        <v>2650</v>
      </c>
      <c r="D1258" s="468" t="s">
        <v>2651</v>
      </c>
      <c r="F1258" s="470">
        <v>4</v>
      </c>
      <c r="G1258" s="468">
        <v>1531.5229705830191</v>
      </c>
      <c r="H1258" s="479">
        <v>6126.0918823320762</v>
      </c>
      <c r="I1258" s="468" t="s">
        <v>9218</v>
      </c>
      <c r="J1258" s="468" t="s">
        <v>9219</v>
      </c>
      <c r="K1258" s="468" t="s">
        <v>9219</v>
      </c>
      <c r="L1258" s="468" t="s">
        <v>2354</v>
      </c>
    </row>
    <row r="1259" spans="1:12" x14ac:dyDescent="0.25">
      <c r="A1259" s="468" t="s">
        <v>220</v>
      </c>
      <c r="B1259" s="468" t="s">
        <v>2351</v>
      </c>
      <c r="C1259" s="468" t="s">
        <v>2652</v>
      </c>
      <c r="D1259" s="468" t="s">
        <v>2653</v>
      </c>
      <c r="F1259" s="470">
        <v>6</v>
      </c>
      <c r="G1259" s="468">
        <v>53.511945895962043</v>
      </c>
      <c r="H1259" s="479">
        <v>321.07167537577226</v>
      </c>
      <c r="I1259" s="468" t="s">
        <v>9218</v>
      </c>
      <c r="J1259" s="468" t="s">
        <v>9219</v>
      </c>
      <c r="K1259" s="468" t="s">
        <v>9219</v>
      </c>
      <c r="L1259" s="468" t="s">
        <v>2354</v>
      </c>
    </row>
    <row r="1260" spans="1:12" x14ac:dyDescent="0.25">
      <c r="A1260" s="468" t="s">
        <v>220</v>
      </c>
      <c r="B1260" s="468" t="s">
        <v>2351</v>
      </c>
      <c r="C1260" s="468" t="s">
        <v>2654</v>
      </c>
      <c r="D1260" s="468" t="s">
        <v>2655</v>
      </c>
      <c r="F1260" s="470">
        <v>2</v>
      </c>
      <c r="G1260" s="468">
        <v>1681.9459999999999</v>
      </c>
      <c r="H1260" s="479">
        <v>3363.8919999999998</v>
      </c>
      <c r="I1260" s="468" t="s">
        <v>9218</v>
      </c>
      <c r="J1260" s="468" t="s">
        <v>9219</v>
      </c>
      <c r="K1260" s="468" t="s">
        <v>9219</v>
      </c>
      <c r="L1260" s="468" t="s">
        <v>2354</v>
      </c>
    </row>
    <row r="1261" spans="1:12" x14ac:dyDescent="0.25">
      <c r="A1261" s="468" t="s">
        <v>220</v>
      </c>
      <c r="B1261" s="468" t="s">
        <v>2351</v>
      </c>
      <c r="C1261" s="468" t="s">
        <v>2656</v>
      </c>
      <c r="D1261" s="468" t="s">
        <v>2657</v>
      </c>
      <c r="F1261" s="470">
        <v>6</v>
      </c>
      <c r="G1261" s="468">
        <v>518.80799999999999</v>
      </c>
      <c r="H1261" s="479">
        <v>3112.848</v>
      </c>
      <c r="I1261" s="468" t="s">
        <v>9218</v>
      </c>
      <c r="J1261" s="468" t="s">
        <v>9219</v>
      </c>
      <c r="K1261" s="468" t="s">
        <v>9219</v>
      </c>
      <c r="L1261" s="468" t="s">
        <v>2354</v>
      </c>
    </row>
    <row r="1262" spans="1:12" x14ac:dyDescent="0.25">
      <c r="A1262" s="468" t="s">
        <v>220</v>
      </c>
      <c r="B1262" s="468" t="s">
        <v>2351</v>
      </c>
      <c r="C1262" s="468" t="s">
        <v>2658</v>
      </c>
      <c r="D1262" s="468" t="s">
        <v>2659</v>
      </c>
      <c r="F1262" s="470">
        <v>1</v>
      </c>
      <c r="G1262" s="468">
        <v>345.00528830814346</v>
      </c>
      <c r="H1262" s="479">
        <v>345.00528830814346</v>
      </c>
      <c r="I1262" s="468" t="s">
        <v>9218</v>
      </c>
      <c r="J1262" s="468" t="s">
        <v>9219</v>
      </c>
      <c r="K1262" s="468" t="s">
        <v>9219</v>
      </c>
      <c r="L1262" s="468" t="s">
        <v>2354</v>
      </c>
    </row>
    <row r="1263" spans="1:12" x14ac:dyDescent="0.25">
      <c r="A1263" s="468" t="s">
        <v>220</v>
      </c>
      <c r="B1263" s="468" t="s">
        <v>2351</v>
      </c>
      <c r="C1263" s="468" t="s">
        <v>2660</v>
      </c>
      <c r="D1263" s="468" t="s">
        <v>2661</v>
      </c>
      <c r="F1263" s="470">
        <v>14</v>
      </c>
      <c r="G1263" s="468">
        <v>237.4927355969989</v>
      </c>
      <c r="H1263" s="479">
        <v>3324.8982983579845</v>
      </c>
      <c r="I1263" s="468" t="s">
        <v>9218</v>
      </c>
      <c r="J1263" s="468" t="s">
        <v>9219</v>
      </c>
      <c r="K1263" s="468" t="s">
        <v>9219</v>
      </c>
      <c r="L1263" s="468" t="s">
        <v>2354</v>
      </c>
    </row>
    <row r="1264" spans="1:12" x14ac:dyDescent="0.25">
      <c r="A1264" s="468" t="s">
        <v>220</v>
      </c>
      <c r="B1264" s="468" t="s">
        <v>2351</v>
      </c>
      <c r="C1264" s="468" t="s">
        <v>2662</v>
      </c>
      <c r="D1264" s="468" t="s">
        <v>2663</v>
      </c>
      <c r="F1264" s="470">
        <v>1</v>
      </c>
      <c r="G1264" s="468">
        <v>245.23500000000001</v>
      </c>
      <c r="H1264" s="479">
        <v>245.23500000000001</v>
      </c>
      <c r="I1264" s="468" t="s">
        <v>9218</v>
      </c>
      <c r="J1264" s="468" t="s">
        <v>9219</v>
      </c>
      <c r="K1264" s="468" t="s">
        <v>9219</v>
      </c>
      <c r="L1264" s="468" t="s">
        <v>2354</v>
      </c>
    </row>
    <row r="1265" spans="1:12" x14ac:dyDescent="0.25">
      <c r="A1265" s="468" t="s">
        <v>220</v>
      </c>
      <c r="B1265" s="468" t="s">
        <v>2351</v>
      </c>
      <c r="C1265" s="468" t="s">
        <v>2664</v>
      </c>
      <c r="D1265" s="468" t="s">
        <v>2665</v>
      </c>
      <c r="F1265" s="470">
        <v>1</v>
      </c>
      <c r="G1265" s="468">
        <v>8.8000000000000007</v>
      </c>
      <c r="H1265" s="479">
        <v>8.8000000000000007</v>
      </c>
      <c r="I1265" s="468" t="s">
        <v>9218</v>
      </c>
      <c r="J1265" s="468" t="s">
        <v>9219</v>
      </c>
      <c r="K1265" s="468" t="s">
        <v>9219</v>
      </c>
      <c r="L1265" s="468" t="s">
        <v>2354</v>
      </c>
    </row>
    <row r="1266" spans="1:12" x14ac:dyDescent="0.25">
      <c r="A1266" s="468" t="s">
        <v>220</v>
      </c>
      <c r="B1266" s="468" t="s">
        <v>2351</v>
      </c>
      <c r="C1266" s="468" t="s">
        <v>2666</v>
      </c>
      <c r="D1266" s="468" t="s">
        <v>2667</v>
      </c>
      <c r="F1266" s="470">
        <v>4</v>
      </c>
      <c r="G1266" s="468">
        <v>7.1189999999999998</v>
      </c>
      <c r="H1266" s="479">
        <v>28.475999999999999</v>
      </c>
      <c r="I1266" s="468" t="s">
        <v>9218</v>
      </c>
      <c r="J1266" s="468" t="s">
        <v>9219</v>
      </c>
      <c r="K1266" s="468" t="s">
        <v>9219</v>
      </c>
      <c r="L1266" s="468" t="s">
        <v>2354</v>
      </c>
    </row>
    <row r="1267" spans="1:12" x14ac:dyDescent="0.25">
      <c r="A1267" s="468" t="s">
        <v>220</v>
      </c>
      <c r="B1267" s="468" t="s">
        <v>2351</v>
      </c>
      <c r="C1267" s="468" t="s">
        <v>2668</v>
      </c>
      <c r="D1267" s="468" t="s">
        <v>2669</v>
      </c>
      <c r="F1267" s="470">
        <v>4</v>
      </c>
      <c r="G1267" s="468">
        <v>7.1189999999999998</v>
      </c>
      <c r="H1267" s="479">
        <v>28.475999999999999</v>
      </c>
      <c r="I1267" s="468" t="s">
        <v>9218</v>
      </c>
      <c r="J1267" s="468" t="s">
        <v>9219</v>
      </c>
      <c r="K1267" s="468" t="s">
        <v>9219</v>
      </c>
      <c r="L1267" s="468" t="s">
        <v>2354</v>
      </c>
    </row>
    <row r="1268" spans="1:12" x14ac:dyDescent="0.25">
      <c r="A1268" s="468" t="s">
        <v>220</v>
      </c>
      <c r="B1268" s="468" t="s">
        <v>2351</v>
      </c>
      <c r="C1268" s="468" t="s">
        <v>2670</v>
      </c>
      <c r="D1268" s="468" t="s">
        <v>2671</v>
      </c>
      <c r="F1268" s="470">
        <v>1</v>
      </c>
      <c r="H1268" s="479">
        <v>0</v>
      </c>
      <c r="I1268" s="468" t="s">
        <v>9218</v>
      </c>
      <c r="J1268" s="468" t="s">
        <v>9219</v>
      </c>
      <c r="K1268" s="468" t="s">
        <v>9219</v>
      </c>
      <c r="L1268" s="468" t="s">
        <v>2354</v>
      </c>
    </row>
    <row r="1269" spans="1:12" x14ac:dyDescent="0.25">
      <c r="A1269" s="468" t="s">
        <v>220</v>
      </c>
      <c r="B1269" s="468" t="s">
        <v>2351</v>
      </c>
      <c r="C1269" s="468" t="s">
        <v>2672</v>
      </c>
      <c r="D1269" s="468" t="s">
        <v>2673</v>
      </c>
      <c r="F1269" s="470">
        <v>5</v>
      </c>
      <c r="G1269" s="468">
        <v>155.71190461741426</v>
      </c>
      <c r="H1269" s="479">
        <v>778.55952308707128</v>
      </c>
      <c r="I1269" s="468" t="s">
        <v>9218</v>
      </c>
      <c r="J1269" s="468" t="s">
        <v>9219</v>
      </c>
      <c r="K1269" s="468" t="s">
        <v>9219</v>
      </c>
      <c r="L1269" s="468" t="s">
        <v>2354</v>
      </c>
    </row>
    <row r="1270" spans="1:12" x14ac:dyDescent="0.25">
      <c r="A1270" s="468" t="s">
        <v>220</v>
      </c>
      <c r="B1270" s="468" t="s">
        <v>2351</v>
      </c>
      <c r="C1270" s="468" t="s">
        <v>2674</v>
      </c>
      <c r="D1270" s="468" t="s">
        <v>2675</v>
      </c>
      <c r="F1270" s="470">
        <v>1</v>
      </c>
      <c r="G1270" s="468">
        <v>30.3</v>
      </c>
      <c r="H1270" s="479">
        <v>30.3</v>
      </c>
      <c r="I1270" s="468" t="s">
        <v>9218</v>
      </c>
      <c r="J1270" s="468" t="s">
        <v>9219</v>
      </c>
      <c r="K1270" s="468" t="s">
        <v>9219</v>
      </c>
      <c r="L1270" s="468" t="s">
        <v>2354</v>
      </c>
    </row>
    <row r="1271" spans="1:12" x14ac:dyDescent="0.25">
      <c r="A1271" s="468" t="s">
        <v>220</v>
      </c>
      <c r="B1271" s="468" t="s">
        <v>2351</v>
      </c>
      <c r="C1271" s="468" t="s">
        <v>9252</v>
      </c>
      <c r="D1271" s="468" t="s">
        <v>9253</v>
      </c>
      <c r="F1271" s="470">
        <v>4</v>
      </c>
      <c r="G1271" s="468">
        <v>442.56099999999998</v>
      </c>
      <c r="H1271" s="479">
        <v>1770.2439999999999</v>
      </c>
      <c r="I1271" s="468" t="s">
        <v>9218</v>
      </c>
      <c r="J1271" s="468" t="s">
        <v>9219</v>
      </c>
      <c r="K1271" s="468" t="s">
        <v>9219</v>
      </c>
      <c r="L1271" s="468" t="s">
        <v>2354</v>
      </c>
    </row>
    <row r="1272" spans="1:12" x14ac:dyDescent="0.25">
      <c r="A1272" s="468" t="s">
        <v>220</v>
      </c>
      <c r="B1272" s="468" t="s">
        <v>2351</v>
      </c>
      <c r="C1272" s="468" t="s">
        <v>2676</v>
      </c>
      <c r="D1272" s="468" t="s">
        <v>2677</v>
      </c>
      <c r="F1272" s="470">
        <v>4</v>
      </c>
      <c r="G1272" s="468">
        <v>87.26812402038496</v>
      </c>
      <c r="H1272" s="479">
        <v>349.07249608153984</v>
      </c>
      <c r="I1272" s="468" t="s">
        <v>9218</v>
      </c>
      <c r="J1272" s="468" t="s">
        <v>9219</v>
      </c>
      <c r="K1272" s="468" t="s">
        <v>9219</v>
      </c>
      <c r="L1272" s="468" t="s">
        <v>2354</v>
      </c>
    </row>
    <row r="1273" spans="1:12" x14ac:dyDescent="0.25">
      <c r="A1273" s="468" t="s">
        <v>220</v>
      </c>
      <c r="B1273" s="468" t="s">
        <v>2351</v>
      </c>
      <c r="C1273" s="468" t="s">
        <v>2678</v>
      </c>
      <c r="D1273" s="468" t="s">
        <v>2679</v>
      </c>
      <c r="F1273" s="470">
        <v>2</v>
      </c>
      <c r="G1273" s="468">
        <v>138.80796000000001</v>
      </c>
      <c r="H1273" s="479">
        <v>277.61592000000002</v>
      </c>
      <c r="I1273" s="468" t="s">
        <v>9218</v>
      </c>
      <c r="J1273" s="468" t="s">
        <v>9219</v>
      </c>
      <c r="K1273" s="468" t="s">
        <v>9219</v>
      </c>
      <c r="L1273" s="468" t="s">
        <v>2354</v>
      </c>
    </row>
    <row r="1274" spans="1:12" x14ac:dyDescent="0.25">
      <c r="A1274" s="468" t="s">
        <v>220</v>
      </c>
      <c r="B1274" s="468" t="s">
        <v>2351</v>
      </c>
      <c r="C1274" s="468" t="s">
        <v>2680</v>
      </c>
      <c r="D1274" s="468" t="s">
        <v>2681</v>
      </c>
      <c r="F1274" s="470">
        <v>1</v>
      </c>
      <c r="G1274" s="468">
        <v>110</v>
      </c>
      <c r="H1274" s="479">
        <v>110</v>
      </c>
      <c r="I1274" s="468" t="s">
        <v>9218</v>
      </c>
      <c r="J1274" s="468" t="s">
        <v>9219</v>
      </c>
      <c r="K1274" s="468" t="s">
        <v>9219</v>
      </c>
      <c r="L1274" s="468" t="s">
        <v>2354</v>
      </c>
    </row>
    <row r="1275" spans="1:12" x14ac:dyDescent="0.25">
      <c r="A1275" s="468" t="s">
        <v>220</v>
      </c>
      <c r="B1275" s="468" t="s">
        <v>2351</v>
      </c>
      <c r="C1275" s="468" t="s">
        <v>2682</v>
      </c>
      <c r="D1275" s="468" t="s">
        <v>2683</v>
      </c>
      <c r="F1275" s="470">
        <v>4</v>
      </c>
      <c r="G1275" s="468">
        <v>124.7</v>
      </c>
      <c r="H1275" s="479">
        <v>498.8</v>
      </c>
      <c r="I1275" s="468" t="s">
        <v>9218</v>
      </c>
      <c r="J1275" s="468" t="s">
        <v>9219</v>
      </c>
      <c r="K1275" s="468" t="s">
        <v>9219</v>
      </c>
      <c r="L1275" s="468" t="s">
        <v>2354</v>
      </c>
    </row>
    <row r="1276" spans="1:12" x14ac:dyDescent="0.25">
      <c r="A1276" s="468" t="s">
        <v>220</v>
      </c>
      <c r="B1276" s="468" t="s">
        <v>2351</v>
      </c>
      <c r="C1276" s="468" t="s">
        <v>2684</v>
      </c>
      <c r="D1276" s="468" t="s">
        <v>2685</v>
      </c>
      <c r="F1276" s="470">
        <v>1</v>
      </c>
      <c r="G1276" s="468">
        <v>520</v>
      </c>
      <c r="H1276" s="479">
        <v>520</v>
      </c>
      <c r="I1276" s="468" t="s">
        <v>9218</v>
      </c>
      <c r="J1276" s="468" t="s">
        <v>9219</v>
      </c>
      <c r="K1276" s="468" t="s">
        <v>9219</v>
      </c>
      <c r="L1276" s="468" t="s">
        <v>2354</v>
      </c>
    </row>
    <row r="1277" spans="1:12" x14ac:dyDescent="0.25">
      <c r="A1277" s="468" t="s">
        <v>220</v>
      </c>
      <c r="B1277" s="468" t="s">
        <v>2351</v>
      </c>
      <c r="C1277" s="468" t="s">
        <v>2688</v>
      </c>
      <c r="D1277" s="468" t="s">
        <v>2689</v>
      </c>
      <c r="F1277" s="470">
        <v>1</v>
      </c>
      <c r="G1277" s="468">
        <v>520</v>
      </c>
      <c r="H1277" s="479">
        <v>520</v>
      </c>
      <c r="I1277" s="468" t="s">
        <v>9218</v>
      </c>
      <c r="J1277" s="468" t="s">
        <v>9219</v>
      </c>
      <c r="K1277" s="468" t="s">
        <v>9219</v>
      </c>
      <c r="L1277" s="468" t="s">
        <v>2354</v>
      </c>
    </row>
    <row r="1278" spans="1:12" x14ac:dyDescent="0.25">
      <c r="A1278" s="468" t="s">
        <v>220</v>
      </c>
      <c r="B1278" s="468" t="s">
        <v>2351</v>
      </c>
      <c r="C1278" s="468" t="s">
        <v>2690</v>
      </c>
      <c r="D1278" s="468" t="s">
        <v>2691</v>
      </c>
      <c r="F1278" s="470">
        <v>1</v>
      </c>
      <c r="G1278" s="468">
        <v>411</v>
      </c>
      <c r="H1278" s="479">
        <v>411</v>
      </c>
      <c r="I1278" s="468" t="s">
        <v>9218</v>
      </c>
      <c r="J1278" s="468" t="s">
        <v>9219</v>
      </c>
      <c r="K1278" s="468" t="s">
        <v>9219</v>
      </c>
      <c r="L1278" s="468" t="s">
        <v>2354</v>
      </c>
    </row>
    <row r="1279" spans="1:12" x14ac:dyDescent="0.25">
      <c r="A1279" s="468" t="s">
        <v>220</v>
      </c>
      <c r="B1279" s="468" t="s">
        <v>2351</v>
      </c>
      <c r="C1279" s="468" t="s">
        <v>2692</v>
      </c>
      <c r="D1279" s="468" t="s">
        <v>2693</v>
      </c>
      <c r="F1279" s="470">
        <v>1</v>
      </c>
      <c r="G1279" s="468">
        <v>40</v>
      </c>
      <c r="H1279" s="479">
        <v>40</v>
      </c>
      <c r="I1279" s="468" t="s">
        <v>9218</v>
      </c>
      <c r="J1279" s="468" t="s">
        <v>9219</v>
      </c>
      <c r="K1279" s="468" t="s">
        <v>9219</v>
      </c>
      <c r="L1279" s="468" t="s">
        <v>2354</v>
      </c>
    </row>
    <row r="1280" spans="1:12" x14ac:dyDescent="0.25">
      <c r="A1280" s="468" t="s">
        <v>220</v>
      </c>
      <c r="B1280" s="468" t="s">
        <v>2351</v>
      </c>
      <c r="C1280" s="468" t="s">
        <v>2694</v>
      </c>
      <c r="D1280" s="468" t="s">
        <v>2695</v>
      </c>
      <c r="F1280" s="470">
        <v>1</v>
      </c>
      <c r="G1280" s="468">
        <v>217</v>
      </c>
      <c r="H1280" s="479">
        <v>217</v>
      </c>
      <c r="I1280" s="468" t="s">
        <v>9218</v>
      </c>
      <c r="J1280" s="468" t="s">
        <v>9219</v>
      </c>
      <c r="K1280" s="468" t="s">
        <v>9219</v>
      </c>
      <c r="L1280" s="468" t="s">
        <v>2354</v>
      </c>
    </row>
    <row r="1281" spans="1:12" x14ac:dyDescent="0.25">
      <c r="A1281" s="468" t="s">
        <v>220</v>
      </c>
      <c r="B1281" s="468" t="s">
        <v>2351</v>
      </c>
      <c r="C1281" s="468" t="s">
        <v>2698</v>
      </c>
      <c r="D1281" s="468" t="s">
        <v>2699</v>
      </c>
      <c r="F1281" s="470">
        <v>1</v>
      </c>
      <c r="G1281" s="468">
        <v>194.99600000000001</v>
      </c>
      <c r="H1281" s="479">
        <v>194.99600000000001</v>
      </c>
      <c r="I1281" s="468" t="s">
        <v>9218</v>
      </c>
      <c r="J1281" s="468" t="s">
        <v>9219</v>
      </c>
      <c r="K1281" s="468" t="s">
        <v>9219</v>
      </c>
      <c r="L1281" s="468" t="s">
        <v>2354</v>
      </c>
    </row>
    <row r="1282" spans="1:12" x14ac:dyDescent="0.25">
      <c r="A1282" s="468" t="s">
        <v>220</v>
      </c>
      <c r="B1282" s="468" t="s">
        <v>2351</v>
      </c>
      <c r="C1282" s="468" t="s">
        <v>2702</v>
      </c>
      <c r="D1282" s="468" t="s">
        <v>2703</v>
      </c>
      <c r="F1282" s="470">
        <v>1</v>
      </c>
      <c r="G1282" s="468">
        <v>316.17720000000003</v>
      </c>
      <c r="H1282" s="479">
        <v>316.17720000000003</v>
      </c>
      <c r="I1282" s="468" t="s">
        <v>9218</v>
      </c>
      <c r="J1282" s="468" t="s">
        <v>9219</v>
      </c>
      <c r="K1282" s="468" t="s">
        <v>9219</v>
      </c>
      <c r="L1282" s="468" t="s">
        <v>2354</v>
      </c>
    </row>
    <row r="1283" spans="1:12" x14ac:dyDescent="0.25">
      <c r="A1283" s="468" t="s">
        <v>220</v>
      </c>
      <c r="B1283" s="468" t="s">
        <v>2351</v>
      </c>
      <c r="C1283" s="468" t="s">
        <v>2704</v>
      </c>
      <c r="D1283" s="468" t="s">
        <v>2705</v>
      </c>
      <c r="F1283" s="470">
        <v>1</v>
      </c>
      <c r="G1283" s="468">
        <v>492.89</v>
      </c>
      <c r="H1283" s="479">
        <v>492.89</v>
      </c>
      <c r="I1283" s="468" t="s">
        <v>9218</v>
      </c>
      <c r="J1283" s="468" t="s">
        <v>9219</v>
      </c>
      <c r="K1283" s="468" t="s">
        <v>9219</v>
      </c>
      <c r="L1283" s="468" t="s">
        <v>2354</v>
      </c>
    </row>
    <row r="1284" spans="1:12" x14ac:dyDescent="0.25">
      <c r="A1284" s="468" t="s">
        <v>220</v>
      </c>
      <c r="B1284" s="468" t="s">
        <v>2351</v>
      </c>
      <c r="C1284" s="468" t="s">
        <v>2706</v>
      </c>
      <c r="D1284" s="468" t="s">
        <v>2707</v>
      </c>
      <c r="F1284" s="470">
        <v>5</v>
      </c>
      <c r="G1284" s="468">
        <v>40.369999999999997</v>
      </c>
      <c r="H1284" s="479">
        <v>201.85</v>
      </c>
      <c r="I1284" s="468" t="s">
        <v>9218</v>
      </c>
      <c r="J1284" s="468" t="s">
        <v>9219</v>
      </c>
      <c r="K1284" s="468" t="s">
        <v>9219</v>
      </c>
      <c r="L1284" s="468" t="s">
        <v>2354</v>
      </c>
    </row>
    <row r="1285" spans="1:12" x14ac:dyDescent="0.25">
      <c r="A1285" s="468" t="s">
        <v>220</v>
      </c>
      <c r="B1285" s="468" t="s">
        <v>2351</v>
      </c>
      <c r="C1285" s="468" t="s">
        <v>2708</v>
      </c>
      <c r="D1285" s="468" t="s">
        <v>2709</v>
      </c>
      <c r="F1285" s="470">
        <v>5</v>
      </c>
      <c r="G1285" s="468">
        <v>11.939399999999999</v>
      </c>
      <c r="H1285" s="479">
        <v>59.696999999999996</v>
      </c>
      <c r="I1285" s="468" t="s">
        <v>9218</v>
      </c>
      <c r="J1285" s="468" t="s">
        <v>9219</v>
      </c>
      <c r="K1285" s="468" t="s">
        <v>9219</v>
      </c>
      <c r="L1285" s="468" t="s">
        <v>2354</v>
      </c>
    </row>
    <row r="1286" spans="1:12" x14ac:dyDescent="0.25">
      <c r="A1286" s="468" t="s">
        <v>220</v>
      </c>
      <c r="B1286" s="468" t="s">
        <v>2351</v>
      </c>
      <c r="C1286" s="468" t="s">
        <v>2710</v>
      </c>
      <c r="D1286" s="468" t="s">
        <v>2711</v>
      </c>
      <c r="F1286" s="470">
        <v>5</v>
      </c>
      <c r="G1286" s="468">
        <v>31.05</v>
      </c>
      <c r="H1286" s="479">
        <v>155.25</v>
      </c>
      <c r="I1286" s="468" t="s">
        <v>9218</v>
      </c>
      <c r="J1286" s="468" t="s">
        <v>9219</v>
      </c>
      <c r="K1286" s="468" t="s">
        <v>9219</v>
      </c>
      <c r="L1286" s="468" t="s">
        <v>2354</v>
      </c>
    </row>
    <row r="1287" spans="1:12" x14ac:dyDescent="0.25">
      <c r="A1287" s="468" t="s">
        <v>220</v>
      </c>
      <c r="B1287" s="468" t="s">
        <v>2351</v>
      </c>
      <c r="C1287" s="468" t="s">
        <v>2712</v>
      </c>
      <c r="D1287" s="468" t="s">
        <v>2713</v>
      </c>
      <c r="F1287" s="470">
        <v>4</v>
      </c>
      <c r="G1287" s="468">
        <v>30.114000000000001</v>
      </c>
      <c r="H1287" s="479">
        <v>120.456</v>
      </c>
      <c r="I1287" s="468" t="s">
        <v>9218</v>
      </c>
      <c r="J1287" s="468" t="s">
        <v>9219</v>
      </c>
      <c r="K1287" s="468" t="s">
        <v>9219</v>
      </c>
      <c r="L1287" s="468" t="s">
        <v>2354</v>
      </c>
    </row>
    <row r="1288" spans="1:12" x14ac:dyDescent="0.25">
      <c r="A1288" s="468" t="s">
        <v>220</v>
      </c>
      <c r="B1288" s="468" t="s">
        <v>2351</v>
      </c>
      <c r="C1288" s="468" t="s">
        <v>2714</v>
      </c>
      <c r="D1288" s="468" t="s">
        <v>2715</v>
      </c>
      <c r="F1288" s="470">
        <v>5</v>
      </c>
      <c r="G1288" s="468">
        <v>20.655000000000001</v>
      </c>
      <c r="H1288" s="479">
        <v>103.27500000000001</v>
      </c>
      <c r="I1288" s="468" t="s">
        <v>9218</v>
      </c>
      <c r="J1288" s="468" t="s">
        <v>9219</v>
      </c>
      <c r="K1288" s="468" t="s">
        <v>9219</v>
      </c>
      <c r="L1288" s="468" t="s">
        <v>2354</v>
      </c>
    </row>
    <row r="1289" spans="1:12" x14ac:dyDescent="0.25">
      <c r="A1289" s="468" t="s">
        <v>220</v>
      </c>
      <c r="B1289" s="468" t="s">
        <v>2351</v>
      </c>
      <c r="C1289" s="468" t="s">
        <v>2716</v>
      </c>
      <c r="D1289" s="468" t="s">
        <v>2717</v>
      </c>
      <c r="F1289" s="470">
        <v>10</v>
      </c>
      <c r="G1289" s="468">
        <v>20.587</v>
      </c>
      <c r="H1289" s="479">
        <v>205.87</v>
      </c>
      <c r="I1289" s="468" t="s">
        <v>9218</v>
      </c>
      <c r="J1289" s="468" t="s">
        <v>9219</v>
      </c>
      <c r="K1289" s="468" t="s">
        <v>9219</v>
      </c>
      <c r="L1289" s="468" t="s">
        <v>2354</v>
      </c>
    </row>
    <row r="1290" spans="1:12" x14ac:dyDescent="0.25">
      <c r="A1290" s="468" t="s">
        <v>220</v>
      </c>
      <c r="B1290" s="468" t="s">
        <v>2351</v>
      </c>
      <c r="C1290" s="468" t="s">
        <v>2718</v>
      </c>
      <c r="D1290" s="468" t="s">
        <v>2719</v>
      </c>
      <c r="F1290" s="470">
        <v>3</v>
      </c>
      <c r="G1290" s="468">
        <v>29.707999999999998</v>
      </c>
      <c r="H1290" s="479">
        <v>89.123999999999995</v>
      </c>
      <c r="I1290" s="468" t="s">
        <v>9218</v>
      </c>
      <c r="J1290" s="468" t="s">
        <v>9219</v>
      </c>
      <c r="K1290" s="468" t="s">
        <v>9219</v>
      </c>
      <c r="L1290" s="468" t="s">
        <v>2354</v>
      </c>
    </row>
    <row r="1291" spans="1:12" x14ac:dyDescent="0.25">
      <c r="A1291" s="468" t="s">
        <v>220</v>
      </c>
      <c r="B1291" s="468" t="s">
        <v>2351</v>
      </c>
      <c r="C1291" s="468" t="s">
        <v>2720</v>
      </c>
      <c r="D1291" s="468" t="s">
        <v>2721</v>
      </c>
      <c r="F1291" s="470">
        <v>5</v>
      </c>
      <c r="G1291" s="468">
        <v>17.7</v>
      </c>
      <c r="H1291" s="479">
        <v>88.5</v>
      </c>
      <c r="I1291" s="468" t="s">
        <v>9218</v>
      </c>
      <c r="J1291" s="468" t="s">
        <v>9219</v>
      </c>
      <c r="K1291" s="468" t="s">
        <v>9219</v>
      </c>
      <c r="L1291" s="468" t="s">
        <v>2354</v>
      </c>
    </row>
    <row r="1292" spans="1:12" x14ac:dyDescent="0.25">
      <c r="A1292" s="468" t="s">
        <v>220</v>
      </c>
      <c r="B1292" s="468" t="s">
        <v>2351</v>
      </c>
      <c r="C1292" s="468" t="s">
        <v>2722</v>
      </c>
      <c r="D1292" s="468" t="s">
        <v>2723</v>
      </c>
      <c r="F1292" s="470">
        <v>6</v>
      </c>
      <c r="G1292" s="468">
        <v>18.088000000000001</v>
      </c>
      <c r="H1292" s="479">
        <v>108.52800000000001</v>
      </c>
      <c r="I1292" s="468" t="s">
        <v>9218</v>
      </c>
      <c r="J1292" s="468" t="s">
        <v>9219</v>
      </c>
      <c r="K1292" s="468" t="s">
        <v>9219</v>
      </c>
      <c r="L1292" s="468" t="s">
        <v>2354</v>
      </c>
    </row>
    <row r="1293" spans="1:12" x14ac:dyDescent="0.25">
      <c r="A1293" s="468" t="s">
        <v>220</v>
      </c>
      <c r="B1293" s="468" t="s">
        <v>2351</v>
      </c>
      <c r="C1293" s="468" t="s">
        <v>2724</v>
      </c>
      <c r="D1293" s="468" t="s">
        <v>2725</v>
      </c>
      <c r="F1293" s="470">
        <v>10</v>
      </c>
      <c r="G1293" s="468">
        <v>36.405000000000001</v>
      </c>
      <c r="H1293" s="479">
        <v>364.05</v>
      </c>
      <c r="I1293" s="468" t="s">
        <v>9218</v>
      </c>
      <c r="J1293" s="468" t="s">
        <v>9219</v>
      </c>
      <c r="K1293" s="468" t="s">
        <v>9219</v>
      </c>
      <c r="L1293" s="468" t="s">
        <v>2354</v>
      </c>
    </row>
    <row r="1294" spans="1:12" x14ac:dyDescent="0.25">
      <c r="A1294" s="468" t="s">
        <v>220</v>
      </c>
      <c r="B1294" s="468" t="s">
        <v>2351</v>
      </c>
      <c r="C1294" s="468" t="s">
        <v>2726</v>
      </c>
      <c r="D1294" s="468" t="s">
        <v>2727</v>
      </c>
      <c r="F1294" s="470">
        <v>5</v>
      </c>
      <c r="G1294" s="468">
        <v>48.222000000000001</v>
      </c>
      <c r="H1294" s="479">
        <v>241.11</v>
      </c>
      <c r="I1294" s="468" t="s">
        <v>9218</v>
      </c>
      <c r="J1294" s="468" t="s">
        <v>9219</v>
      </c>
      <c r="K1294" s="468" t="s">
        <v>9219</v>
      </c>
      <c r="L1294" s="468" t="s">
        <v>2354</v>
      </c>
    </row>
    <row r="1295" spans="1:12" x14ac:dyDescent="0.25">
      <c r="A1295" s="468" t="s">
        <v>220</v>
      </c>
      <c r="B1295" s="468" t="s">
        <v>2351</v>
      </c>
      <c r="C1295" s="468" t="s">
        <v>2728</v>
      </c>
      <c r="D1295" s="468" t="s">
        <v>2729</v>
      </c>
      <c r="F1295" s="470">
        <v>2</v>
      </c>
      <c r="G1295" s="468">
        <v>5.1738</v>
      </c>
      <c r="H1295" s="479">
        <v>10.3476</v>
      </c>
      <c r="I1295" s="468" t="s">
        <v>9218</v>
      </c>
      <c r="J1295" s="468" t="s">
        <v>9219</v>
      </c>
      <c r="K1295" s="468" t="s">
        <v>9219</v>
      </c>
      <c r="L1295" s="468" t="s">
        <v>2354</v>
      </c>
    </row>
    <row r="1296" spans="1:12" x14ac:dyDescent="0.25">
      <c r="A1296" s="468" t="s">
        <v>220</v>
      </c>
      <c r="B1296" s="468" t="s">
        <v>2351</v>
      </c>
      <c r="C1296" s="468" t="s">
        <v>2730</v>
      </c>
      <c r="D1296" s="468" t="s">
        <v>2731</v>
      </c>
      <c r="F1296" s="470">
        <v>6</v>
      </c>
      <c r="G1296" s="468">
        <v>7.7606999999999999</v>
      </c>
      <c r="H1296" s="479">
        <v>46.5642</v>
      </c>
      <c r="I1296" s="468" t="s">
        <v>9218</v>
      </c>
      <c r="J1296" s="468" t="s">
        <v>9219</v>
      </c>
      <c r="K1296" s="468" t="s">
        <v>9219</v>
      </c>
      <c r="L1296" s="468" t="s">
        <v>2354</v>
      </c>
    </row>
    <row r="1297" spans="1:12" x14ac:dyDescent="0.25">
      <c r="A1297" s="468" t="s">
        <v>220</v>
      </c>
      <c r="B1297" s="468" t="s">
        <v>2351</v>
      </c>
      <c r="C1297" s="468" t="s">
        <v>2732</v>
      </c>
      <c r="D1297" s="468" t="s">
        <v>2733</v>
      </c>
      <c r="F1297" s="470">
        <v>1</v>
      </c>
      <c r="G1297" s="468">
        <v>7.7606999999999999</v>
      </c>
      <c r="H1297" s="479">
        <v>7.7606999999999999</v>
      </c>
      <c r="I1297" s="468" t="s">
        <v>9218</v>
      </c>
      <c r="J1297" s="468" t="s">
        <v>9219</v>
      </c>
      <c r="K1297" s="468" t="s">
        <v>9219</v>
      </c>
      <c r="L1297" s="468" t="s">
        <v>2354</v>
      </c>
    </row>
    <row r="1298" spans="1:12" x14ac:dyDescent="0.25">
      <c r="A1298" s="468" t="s">
        <v>220</v>
      </c>
      <c r="B1298" s="468" t="s">
        <v>2351</v>
      </c>
      <c r="C1298" s="468" t="s">
        <v>2734</v>
      </c>
      <c r="D1298" s="468" t="s">
        <v>2735</v>
      </c>
      <c r="F1298" s="470">
        <v>1</v>
      </c>
      <c r="G1298" s="468">
        <v>2656.2089999999998</v>
      </c>
      <c r="H1298" s="479">
        <v>2656.2089999999998</v>
      </c>
      <c r="I1298" s="468" t="s">
        <v>9218</v>
      </c>
      <c r="J1298" s="468" t="s">
        <v>9219</v>
      </c>
      <c r="K1298" s="468" t="s">
        <v>9219</v>
      </c>
      <c r="L1298" s="468" t="s">
        <v>2354</v>
      </c>
    </row>
    <row r="1299" spans="1:12" x14ac:dyDescent="0.25">
      <c r="A1299" s="468" t="s">
        <v>220</v>
      </c>
      <c r="B1299" s="468" t="s">
        <v>2351</v>
      </c>
      <c r="C1299" s="468" t="s">
        <v>2736</v>
      </c>
      <c r="D1299" s="468" t="s">
        <v>2737</v>
      </c>
      <c r="F1299" s="470">
        <v>2</v>
      </c>
      <c r="G1299" s="468">
        <v>339.3</v>
      </c>
      <c r="H1299" s="479">
        <v>678.6</v>
      </c>
      <c r="I1299" s="468" t="s">
        <v>9218</v>
      </c>
      <c r="J1299" s="468" t="s">
        <v>9219</v>
      </c>
      <c r="K1299" s="468" t="s">
        <v>9219</v>
      </c>
      <c r="L1299" s="468" t="s">
        <v>2354</v>
      </c>
    </row>
    <row r="1300" spans="1:12" x14ac:dyDescent="0.25">
      <c r="A1300" s="468" t="s">
        <v>220</v>
      </c>
      <c r="B1300" s="468" t="s">
        <v>2351</v>
      </c>
      <c r="C1300" s="468" t="s">
        <v>2738</v>
      </c>
      <c r="D1300" s="468" t="s">
        <v>2739</v>
      </c>
      <c r="F1300" s="470">
        <v>1</v>
      </c>
      <c r="G1300" s="468">
        <v>26.3916</v>
      </c>
      <c r="H1300" s="479">
        <v>26.3916</v>
      </c>
      <c r="I1300" s="468" t="s">
        <v>9218</v>
      </c>
      <c r="J1300" s="468" t="s">
        <v>9219</v>
      </c>
      <c r="K1300" s="468" t="s">
        <v>9219</v>
      </c>
      <c r="L1300" s="468" t="s">
        <v>2354</v>
      </c>
    </row>
    <row r="1301" spans="1:12" x14ac:dyDescent="0.25">
      <c r="A1301" s="468" t="s">
        <v>220</v>
      </c>
      <c r="B1301" s="468" t="s">
        <v>2351</v>
      </c>
      <c r="C1301" s="468" t="s">
        <v>2740</v>
      </c>
      <c r="D1301" s="468" t="s">
        <v>2741</v>
      </c>
      <c r="F1301" s="470">
        <v>5</v>
      </c>
      <c r="G1301" s="468">
        <v>10.680999999999999</v>
      </c>
      <c r="H1301" s="479">
        <v>53.404999999999994</v>
      </c>
      <c r="I1301" s="468" t="s">
        <v>9218</v>
      </c>
      <c r="J1301" s="468" t="s">
        <v>9219</v>
      </c>
      <c r="K1301" s="468" t="s">
        <v>9219</v>
      </c>
      <c r="L1301" s="468" t="s">
        <v>2354</v>
      </c>
    </row>
    <row r="1302" spans="1:12" x14ac:dyDescent="0.25">
      <c r="A1302" s="468" t="s">
        <v>220</v>
      </c>
      <c r="B1302" s="468" t="s">
        <v>2351</v>
      </c>
      <c r="C1302" s="468" t="s">
        <v>2742</v>
      </c>
      <c r="D1302" s="468" t="s">
        <v>2743</v>
      </c>
      <c r="F1302" s="470">
        <v>5</v>
      </c>
      <c r="G1302" s="468">
        <v>12.044</v>
      </c>
      <c r="H1302" s="479">
        <v>60.22</v>
      </c>
      <c r="I1302" s="468" t="s">
        <v>9218</v>
      </c>
      <c r="J1302" s="468" t="s">
        <v>9219</v>
      </c>
      <c r="K1302" s="468" t="s">
        <v>9219</v>
      </c>
      <c r="L1302" s="468" t="s">
        <v>2354</v>
      </c>
    </row>
    <row r="1303" spans="1:12" x14ac:dyDescent="0.25">
      <c r="A1303" s="468" t="s">
        <v>220</v>
      </c>
      <c r="B1303" s="468" t="s">
        <v>2351</v>
      </c>
      <c r="C1303" s="468" t="s">
        <v>2744</v>
      </c>
      <c r="D1303" s="468" t="s">
        <v>2745</v>
      </c>
      <c r="F1303" s="470">
        <v>3</v>
      </c>
      <c r="G1303" s="468">
        <v>24.9255</v>
      </c>
      <c r="H1303" s="479">
        <v>74.776499999999999</v>
      </c>
      <c r="I1303" s="468" t="s">
        <v>9218</v>
      </c>
      <c r="J1303" s="468" t="s">
        <v>9219</v>
      </c>
      <c r="K1303" s="468" t="s">
        <v>9219</v>
      </c>
      <c r="L1303" s="468" t="s">
        <v>2354</v>
      </c>
    </row>
    <row r="1304" spans="1:12" x14ac:dyDescent="0.25">
      <c r="A1304" s="468" t="s">
        <v>220</v>
      </c>
      <c r="B1304" s="468" t="s">
        <v>2351</v>
      </c>
      <c r="C1304" s="468" t="s">
        <v>2746</v>
      </c>
      <c r="D1304" s="468" t="s">
        <v>2747</v>
      </c>
      <c r="F1304" s="470">
        <v>3</v>
      </c>
      <c r="G1304" s="468">
        <v>18.611999999999998</v>
      </c>
      <c r="H1304" s="479">
        <v>55.835999999999999</v>
      </c>
      <c r="I1304" s="468" t="s">
        <v>9218</v>
      </c>
      <c r="J1304" s="468" t="s">
        <v>9219</v>
      </c>
      <c r="K1304" s="468" t="s">
        <v>9219</v>
      </c>
      <c r="L1304" s="468" t="s">
        <v>2354</v>
      </c>
    </row>
    <row r="1305" spans="1:12" x14ac:dyDescent="0.25">
      <c r="A1305" s="468" t="s">
        <v>220</v>
      </c>
      <c r="B1305" s="468" t="s">
        <v>2351</v>
      </c>
      <c r="C1305" s="468" t="s">
        <v>2748</v>
      </c>
      <c r="D1305" s="468" t="s">
        <v>2749</v>
      </c>
      <c r="F1305" s="470">
        <v>3</v>
      </c>
      <c r="G1305" s="468">
        <v>16.72</v>
      </c>
      <c r="H1305" s="479">
        <v>50.16</v>
      </c>
      <c r="I1305" s="468" t="s">
        <v>9218</v>
      </c>
      <c r="J1305" s="468" t="s">
        <v>9219</v>
      </c>
      <c r="K1305" s="468" t="s">
        <v>9219</v>
      </c>
      <c r="L1305" s="468" t="s">
        <v>2354</v>
      </c>
    </row>
    <row r="1306" spans="1:12" x14ac:dyDescent="0.25">
      <c r="A1306" s="468" t="s">
        <v>220</v>
      </c>
      <c r="B1306" s="468" t="s">
        <v>2351</v>
      </c>
      <c r="C1306" s="468" t="s">
        <v>2750</v>
      </c>
      <c r="D1306" s="468" t="s">
        <v>2751</v>
      </c>
      <c r="F1306" s="470">
        <v>7</v>
      </c>
      <c r="H1306" s="479">
        <v>0</v>
      </c>
      <c r="I1306" s="468" t="s">
        <v>9218</v>
      </c>
      <c r="J1306" s="468" t="s">
        <v>9219</v>
      </c>
      <c r="K1306" s="468" t="s">
        <v>9219</v>
      </c>
      <c r="L1306" s="468" t="s">
        <v>2354</v>
      </c>
    </row>
    <row r="1307" spans="1:12" x14ac:dyDescent="0.25">
      <c r="A1307" s="468" t="s">
        <v>220</v>
      </c>
      <c r="B1307" s="468" t="s">
        <v>2351</v>
      </c>
      <c r="C1307" s="468" t="s">
        <v>2752</v>
      </c>
      <c r="D1307" s="468" t="s">
        <v>2753</v>
      </c>
      <c r="F1307" s="470">
        <v>1</v>
      </c>
      <c r="H1307" s="479">
        <v>0</v>
      </c>
      <c r="I1307" s="468" t="s">
        <v>9218</v>
      </c>
      <c r="J1307" s="468" t="s">
        <v>9219</v>
      </c>
      <c r="K1307" s="468" t="s">
        <v>9219</v>
      </c>
      <c r="L1307" s="468" t="s">
        <v>2354</v>
      </c>
    </row>
    <row r="1308" spans="1:12" x14ac:dyDescent="0.25">
      <c r="A1308" s="468" t="s">
        <v>220</v>
      </c>
      <c r="B1308" s="468" t="s">
        <v>2351</v>
      </c>
      <c r="C1308" s="468" t="s">
        <v>2754</v>
      </c>
      <c r="D1308" s="468" t="s">
        <v>2755</v>
      </c>
      <c r="F1308" s="470">
        <v>1</v>
      </c>
      <c r="H1308" s="479">
        <v>0</v>
      </c>
      <c r="I1308" s="468" t="s">
        <v>9218</v>
      </c>
      <c r="J1308" s="468" t="s">
        <v>9219</v>
      </c>
      <c r="K1308" s="468" t="s">
        <v>9219</v>
      </c>
      <c r="L1308" s="468" t="s">
        <v>2354</v>
      </c>
    </row>
    <row r="1309" spans="1:12" x14ac:dyDescent="0.25">
      <c r="A1309" s="468" t="s">
        <v>220</v>
      </c>
      <c r="B1309" s="468" t="s">
        <v>2351</v>
      </c>
      <c r="C1309" s="468" t="s">
        <v>2756</v>
      </c>
      <c r="D1309" s="468" t="s">
        <v>2757</v>
      </c>
      <c r="F1309" s="470">
        <v>1</v>
      </c>
      <c r="H1309" s="479">
        <v>0</v>
      </c>
      <c r="I1309" s="468" t="s">
        <v>9218</v>
      </c>
      <c r="J1309" s="468" t="s">
        <v>9219</v>
      </c>
      <c r="K1309" s="468" t="s">
        <v>9219</v>
      </c>
      <c r="L1309" s="468" t="s">
        <v>2354</v>
      </c>
    </row>
    <row r="1310" spans="1:12" x14ac:dyDescent="0.25">
      <c r="A1310" s="468" t="s">
        <v>220</v>
      </c>
      <c r="B1310" s="468" t="s">
        <v>2351</v>
      </c>
      <c r="C1310" s="468" t="s">
        <v>2758</v>
      </c>
      <c r="D1310" s="468" t="s">
        <v>2759</v>
      </c>
      <c r="F1310" s="470">
        <v>2</v>
      </c>
      <c r="H1310" s="479">
        <v>0</v>
      </c>
      <c r="I1310" s="468" t="s">
        <v>9218</v>
      </c>
      <c r="J1310" s="468" t="s">
        <v>9219</v>
      </c>
      <c r="K1310" s="468" t="s">
        <v>9219</v>
      </c>
      <c r="L1310" s="468" t="s">
        <v>2354</v>
      </c>
    </row>
    <row r="1311" spans="1:12" x14ac:dyDescent="0.25">
      <c r="A1311" s="468" t="s">
        <v>220</v>
      </c>
      <c r="B1311" s="468" t="s">
        <v>2351</v>
      </c>
      <c r="C1311" s="468" t="s">
        <v>2760</v>
      </c>
      <c r="D1311" s="468" t="s">
        <v>2761</v>
      </c>
      <c r="F1311" s="470">
        <v>1</v>
      </c>
      <c r="H1311" s="479">
        <v>0</v>
      </c>
      <c r="I1311" s="468" t="s">
        <v>9218</v>
      </c>
      <c r="J1311" s="468" t="s">
        <v>9219</v>
      </c>
      <c r="K1311" s="468" t="s">
        <v>9219</v>
      </c>
      <c r="L1311" s="468" t="s">
        <v>2354</v>
      </c>
    </row>
    <row r="1312" spans="1:12" x14ac:dyDescent="0.25">
      <c r="A1312" s="468" t="s">
        <v>220</v>
      </c>
      <c r="B1312" s="468" t="s">
        <v>2351</v>
      </c>
      <c r="C1312" s="468" t="s">
        <v>2762</v>
      </c>
      <c r="D1312" s="468" t="s">
        <v>2763</v>
      </c>
      <c r="F1312" s="470">
        <v>5</v>
      </c>
      <c r="G1312" s="468">
        <v>11.16</v>
      </c>
      <c r="H1312" s="479">
        <v>55.8</v>
      </c>
      <c r="I1312" s="468" t="s">
        <v>9218</v>
      </c>
      <c r="J1312" s="468" t="s">
        <v>9219</v>
      </c>
      <c r="K1312" s="468" t="s">
        <v>9219</v>
      </c>
      <c r="L1312" s="468" t="s">
        <v>2354</v>
      </c>
    </row>
    <row r="1313" spans="1:12" x14ac:dyDescent="0.25">
      <c r="A1313" s="468" t="s">
        <v>220</v>
      </c>
      <c r="B1313" s="468" t="s">
        <v>2351</v>
      </c>
      <c r="C1313" s="468" t="s">
        <v>2764</v>
      </c>
      <c r="D1313" s="468" t="s">
        <v>2765</v>
      </c>
      <c r="F1313" s="470">
        <v>4</v>
      </c>
      <c r="H1313" s="479">
        <v>0</v>
      </c>
      <c r="I1313" s="468" t="s">
        <v>9218</v>
      </c>
      <c r="J1313" s="468" t="s">
        <v>9219</v>
      </c>
      <c r="K1313" s="468" t="s">
        <v>9219</v>
      </c>
      <c r="L1313" s="468" t="s">
        <v>2354</v>
      </c>
    </row>
    <row r="1314" spans="1:12" x14ac:dyDescent="0.25">
      <c r="A1314" s="468" t="s">
        <v>220</v>
      </c>
      <c r="B1314" s="468" t="s">
        <v>2351</v>
      </c>
      <c r="C1314" s="468" t="s">
        <v>2766</v>
      </c>
      <c r="D1314" s="468" t="s">
        <v>2767</v>
      </c>
      <c r="F1314" s="470">
        <v>8</v>
      </c>
      <c r="G1314" s="468">
        <v>14.476000000000001</v>
      </c>
      <c r="H1314" s="479">
        <v>115.80800000000001</v>
      </c>
      <c r="I1314" s="468" t="s">
        <v>9218</v>
      </c>
      <c r="J1314" s="468" t="s">
        <v>9219</v>
      </c>
      <c r="K1314" s="468" t="s">
        <v>9219</v>
      </c>
      <c r="L1314" s="468" t="s">
        <v>2354</v>
      </c>
    </row>
    <row r="1315" spans="1:12" x14ac:dyDescent="0.25">
      <c r="A1315" s="468" t="s">
        <v>220</v>
      </c>
      <c r="B1315" s="468" t="s">
        <v>2351</v>
      </c>
      <c r="C1315" s="468" t="s">
        <v>2768</v>
      </c>
      <c r="D1315" s="468" t="s">
        <v>2769</v>
      </c>
      <c r="F1315" s="470">
        <v>2</v>
      </c>
      <c r="G1315" s="468">
        <v>46.54936</v>
      </c>
      <c r="H1315" s="479">
        <v>93.09872</v>
      </c>
      <c r="I1315" s="468" t="s">
        <v>9218</v>
      </c>
      <c r="J1315" s="468" t="s">
        <v>9219</v>
      </c>
      <c r="K1315" s="468" t="s">
        <v>9219</v>
      </c>
      <c r="L1315" s="468" t="s">
        <v>2354</v>
      </c>
    </row>
    <row r="1316" spans="1:12" x14ac:dyDescent="0.25">
      <c r="A1316" s="468" t="s">
        <v>220</v>
      </c>
      <c r="B1316" s="468" t="s">
        <v>2351</v>
      </c>
      <c r="C1316" s="468" t="s">
        <v>2770</v>
      </c>
      <c r="D1316" s="468" t="s">
        <v>2771</v>
      </c>
      <c r="F1316" s="470">
        <v>4</v>
      </c>
      <c r="G1316" s="468">
        <v>4.5530999999999997</v>
      </c>
      <c r="H1316" s="479">
        <v>18.212399999999999</v>
      </c>
      <c r="I1316" s="468" t="s">
        <v>9218</v>
      </c>
      <c r="J1316" s="468" t="s">
        <v>9219</v>
      </c>
      <c r="K1316" s="468" t="s">
        <v>9219</v>
      </c>
      <c r="L1316" s="468" t="s">
        <v>2354</v>
      </c>
    </row>
    <row r="1317" spans="1:12" x14ac:dyDescent="0.25">
      <c r="A1317" s="468" t="s">
        <v>220</v>
      </c>
      <c r="B1317" s="468" t="s">
        <v>2351</v>
      </c>
      <c r="C1317" s="468" t="s">
        <v>2772</v>
      </c>
      <c r="D1317" s="468" t="s">
        <v>2773</v>
      </c>
      <c r="F1317" s="470">
        <v>2</v>
      </c>
      <c r="H1317" s="479">
        <v>0</v>
      </c>
      <c r="I1317" s="468" t="s">
        <v>9218</v>
      </c>
      <c r="J1317" s="468" t="s">
        <v>9219</v>
      </c>
      <c r="K1317" s="468" t="s">
        <v>9219</v>
      </c>
      <c r="L1317" s="468" t="s">
        <v>2354</v>
      </c>
    </row>
    <row r="1318" spans="1:12" x14ac:dyDescent="0.25">
      <c r="A1318" s="468" t="s">
        <v>220</v>
      </c>
      <c r="B1318" s="468" t="s">
        <v>2351</v>
      </c>
      <c r="C1318" s="468" t="s">
        <v>2774</v>
      </c>
      <c r="D1318" s="468" t="s">
        <v>2775</v>
      </c>
      <c r="F1318" s="470">
        <v>2</v>
      </c>
      <c r="G1318" s="468">
        <v>13.244</v>
      </c>
      <c r="H1318" s="479">
        <v>26.488</v>
      </c>
      <c r="I1318" s="468" t="s">
        <v>9218</v>
      </c>
      <c r="J1318" s="468" t="s">
        <v>9219</v>
      </c>
      <c r="K1318" s="468" t="s">
        <v>9219</v>
      </c>
      <c r="L1318" s="468" t="s">
        <v>2354</v>
      </c>
    </row>
    <row r="1319" spans="1:12" x14ac:dyDescent="0.25">
      <c r="A1319" s="468" t="s">
        <v>220</v>
      </c>
      <c r="B1319" s="468" t="s">
        <v>2351</v>
      </c>
      <c r="C1319" s="468" t="s">
        <v>2776</v>
      </c>
      <c r="D1319" s="468" t="s">
        <v>2777</v>
      </c>
      <c r="F1319" s="470">
        <v>16</v>
      </c>
      <c r="G1319" s="468">
        <v>8.5500000000000007</v>
      </c>
      <c r="H1319" s="479">
        <v>136.80000000000001</v>
      </c>
      <c r="I1319" s="468" t="s">
        <v>9218</v>
      </c>
      <c r="J1319" s="468" t="s">
        <v>9219</v>
      </c>
      <c r="K1319" s="468" t="s">
        <v>9219</v>
      </c>
      <c r="L1319" s="468" t="s">
        <v>2354</v>
      </c>
    </row>
    <row r="1320" spans="1:12" x14ac:dyDescent="0.25">
      <c r="A1320" s="468" t="s">
        <v>220</v>
      </c>
      <c r="B1320" s="468" t="s">
        <v>2351</v>
      </c>
      <c r="C1320" s="468" t="s">
        <v>2778</v>
      </c>
      <c r="D1320" s="468" t="s">
        <v>2779</v>
      </c>
      <c r="F1320" s="470">
        <v>5</v>
      </c>
      <c r="G1320" s="468">
        <v>10.35</v>
      </c>
      <c r="H1320" s="479">
        <v>51.75</v>
      </c>
      <c r="I1320" s="468" t="s">
        <v>9218</v>
      </c>
      <c r="J1320" s="468" t="s">
        <v>9219</v>
      </c>
      <c r="K1320" s="468" t="s">
        <v>9219</v>
      </c>
      <c r="L1320" s="468" t="s">
        <v>2354</v>
      </c>
    </row>
    <row r="1321" spans="1:12" x14ac:dyDescent="0.25">
      <c r="A1321" s="468" t="s">
        <v>220</v>
      </c>
      <c r="B1321" s="468" t="s">
        <v>2351</v>
      </c>
      <c r="C1321" s="468" t="s">
        <v>2780</v>
      </c>
      <c r="D1321" s="468" t="s">
        <v>2781</v>
      </c>
      <c r="F1321" s="470">
        <v>1</v>
      </c>
      <c r="G1321" s="468">
        <v>31.95</v>
      </c>
      <c r="H1321" s="479">
        <v>31.95</v>
      </c>
      <c r="I1321" s="468" t="s">
        <v>9218</v>
      </c>
      <c r="J1321" s="468" t="s">
        <v>9219</v>
      </c>
      <c r="K1321" s="468" t="s">
        <v>9219</v>
      </c>
      <c r="L1321" s="468" t="s">
        <v>2354</v>
      </c>
    </row>
    <row r="1322" spans="1:12" x14ac:dyDescent="0.25">
      <c r="A1322" s="468" t="s">
        <v>220</v>
      </c>
      <c r="B1322" s="468" t="s">
        <v>2351</v>
      </c>
      <c r="C1322" s="468" t="s">
        <v>2782</v>
      </c>
      <c r="D1322" s="468" t="s">
        <v>2783</v>
      </c>
      <c r="F1322" s="470">
        <v>8</v>
      </c>
      <c r="G1322" s="468">
        <v>9.9930000000000003</v>
      </c>
      <c r="H1322" s="479">
        <v>79.944000000000003</v>
      </c>
      <c r="I1322" s="468" t="s">
        <v>9218</v>
      </c>
      <c r="J1322" s="468" t="s">
        <v>9219</v>
      </c>
      <c r="K1322" s="468" t="s">
        <v>9219</v>
      </c>
      <c r="L1322" s="468" t="s">
        <v>2354</v>
      </c>
    </row>
    <row r="1323" spans="1:12" x14ac:dyDescent="0.25">
      <c r="A1323" s="468" t="s">
        <v>220</v>
      </c>
      <c r="B1323" s="468" t="s">
        <v>2351</v>
      </c>
      <c r="C1323" s="468" t="s">
        <v>2784</v>
      </c>
      <c r="D1323" s="468" t="s">
        <v>2785</v>
      </c>
      <c r="F1323" s="470">
        <v>2</v>
      </c>
      <c r="G1323" s="468">
        <v>36.359099999999998</v>
      </c>
      <c r="H1323" s="479">
        <v>72.718199999999996</v>
      </c>
      <c r="I1323" s="468" t="s">
        <v>9218</v>
      </c>
      <c r="J1323" s="468" t="s">
        <v>9219</v>
      </c>
      <c r="K1323" s="468" t="s">
        <v>9219</v>
      </c>
      <c r="L1323" s="468" t="s">
        <v>2354</v>
      </c>
    </row>
    <row r="1324" spans="1:12" x14ac:dyDescent="0.25">
      <c r="A1324" s="468" t="s">
        <v>220</v>
      </c>
      <c r="B1324" s="468" t="s">
        <v>2351</v>
      </c>
      <c r="C1324" s="468" t="s">
        <v>2786</v>
      </c>
      <c r="D1324" s="468" t="s">
        <v>2787</v>
      </c>
      <c r="F1324" s="470">
        <v>2</v>
      </c>
      <c r="G1324" s="468">
        <v>19.299600000000002</v>
      </c>
      <c r="H1324" s="479">
        <v>38.599200000000003</v>
      </c>
      <c r="I1324" s="468" t="s">
        <v>9218</v>
      </c>
      <c r="J1324" s="468" t="s">
        <v>9219</v>
      </c>
      <c r="K1324" s="468" t="s">
        <v>9219</v>
      </c>
      <c r="L1324" s="468" t="s">
        <v>2354</v>
      </c>
    </row>
    <row r="1325" spans="1:12" x14ac:dyDescent="0.25">
      <c r="A1325" s="468" t="s">
        <v>220</v>
      </c>
      <c r="B1325" s="468" t="s">
        <v>2351</v>
      </c>
      <c r="C1325" s="468" t="s">
        <v>2788</v>
      </c>
      <c r="D1325" s="468" t="s">
        <v>2789</v>
      </c>
      <c r="F1325" s="470">
        <v>4</v>
      </c>
      <c r="G1325" s="468">
        <v>49.68</v>
      </c>
      <c r="H1325" s="479">
        <v>198.72</v>
      </c>
      <c r="I1325" s="468" t="s">
        <v>9218</v>
      </c>
      <c r="J1325" s="468" t="s">
        <v>9219</v>
      </c>
      <c r="K1325" s="468" t="s">
        <v>9219</v>
      </c>
      <c r="L1325" s="468" t="s">
        <v>2354</v>
      </c>
    </row>
    <row r="1326" spans="1:12" x14ac:dyDescent="0.25">
      <c r="A1326" s="468" t="s">
        <v>220</v>
      </c>
      <c r="B1326" s="468" t="s">
        <v>2351</v>
      </c>
      <c r="C1326" s="468" t="s">
        <v>2790</v>
      </c>
      <c r="D1326" s="468" t="s">
        <v>2791</v>
      </c>
      <c r="F1326" s="470">
        <v>4</v>
      </c>
      <c r="G1326" s="468">
        <v>16.878</v>
      </c>
      <c r="H1326" s="479">
        <v>67.512</v>
      </c>
      <c r="I1326" s="468" t="s">
        <v>9218</v>
      </c>
      <c r="J1326" s="468" t="s">
        <v>9219</v>
      </c>
      <c r="K1326" s="468" t="s">
        <v>9219</v>
      </c>
      <c r="L1326" s="468" t="s">
        <v>2354</v>
      </c>
    </row>
    <row r="1327" spans="1:12" x14ac:dyDescent="0.25">
      <c r="A1327" s="468" t="s">
        <v>220</v>
      </c>
      <c r="B1327" s="468" t="s">
        <v>2351</v>
      </c>
      <c r="C1327" s="468" t="s">
        <v>2794</v>
      </c>
      <c r="D1327" s="468" t="s">
        <v>2795</v>
      </c>
      <c r="F1327" s="470">
        <v>1</v>
      </c>
      <c r="G1327" s="468">
        <v>10.35</v>
      </c>
      <c r="H1327" s="479">
        <v>10.35</v>
      </c>
      <c r="I1327" s="468" t="s">
        <v>9218</v>
      </c>
      <c r="J1327" s="468" t="s">
        <v>9219</v>
      </c>
      <c r="K1327" s="468" t="s">
        <v>9219</v>
      </c>
      <c r="L1327" s="468" t="s">
        <v>2354</v>
      </c>
    </row>
    <row r="1328" spans="1:12" x14ac:dyDescent="0.25">
      <c r="A1328" s="468" t="s">
        <v>220</v>
      </c>
      <c r="B1328" s="468" t="s">
        <v>2351</v>
      </c>
      <c r="C1328" s="468" t="s">
        <v>2796</v>
      </c>
      <c r="D1328" s="468" t="s">
        <v>2797</v>
      </c>
      <c r="F1328" s="470">
        <v>1</v>
      </c>
      <c r="G1328" s="468">
        <v>10.35</v>
      </c>
      <c r="H1328" s="479">
        <v>10.35</v>
      </c>
      <c r="I1328" s="468" t="s">
        <v>9218</v>
      </c>
      <c r="J1328" s="468" t="s">
        <v>9219</v>
      </c>
      <c r="K1328" s="468" t="s">
        <v>9219</v>
      </c>
      <c r="L1328" s="468" t="s">
        <v>2354</v>
      </c>
    </row>
    <row r="1329" spans="1:12" x14ac:dyDescent="0.25">
      <c r="A1329" s="468" t="s">
        <v>220</v>
      </c>
      <c r="B1329" s="468" t="s">
        <v>2351</v>
      </c>
      <c r="C1329" s="468" t="s">
        <v>2798</v>
      </c>
      <c r="D1329" s="468" t="s">
        <v>2799</v>
      </c>
      <c r="F1329" s="470">
        <v>9</v>
      </c>
      <c r="G1329" s="468">
        <v>10.35</v>
      </c>
      <c r="H1329" s="479">
        <v>93.149999999999991</v>
      </c>
      <c r="I1329" s="468" t="s">
        <v>9218</v>
      </c>
      <c r="J1329" s="468" t="s">
        <v>9219</v>
      </c>
      <c r="K1329" s="468" t="s">
        <v>9219</v>
      </c>
      <c r="L1329" s="468" t="s">
        <v>2354</v>
      </c>
    </row>
    <row r="1330" spans="1:12" x14ac:dyDescent="0.25">
      <c r="A1330" s="468" t="s">
        <v>220</v>
      </c>
      <c r="B1330" s="468" t="s">
        <v>2351</v>
      </c>
      <c r="C1330" s="468" t="s">
        <v>2800</v>
      </c>
      <c r="D1330" s="468" t="s">
        <v>2801</v>
      </c>
      <c r="F1330" s="470">
        <v>1</v>
      </c>
      <c r="G1330" s="468">
        <v>10.35</v>
      </c>
      <c r="H1330" s="479">
        <v>10.35</v>
      </c>
      <c r="I1330" s="468" t="s">
        <v>9218</v>
      </c>
      <c r="J1330" s="468" t="s">
        <v>9219</v>
      </c>
      <c r="K1330" s="468" t="s">
        <v>9219</v>
      </c>
      <c r="L1330" s="468" t="s">
        <v>2354</v>
      </c>
    </row>
    <row r="1331" spans="1:12" x14ac:dyDescent="0.25">
      <c r="A1331" s="468" t="s">
        <v>220</v>
      </c>
      <c r="B1331" s="468" t="s">
        <v>2351</v>
      </c>
      <c r="C1331" s="468" t="s">
        <v>2802</v>
      </c>
      <c r="D1331" s="468" t="s">
        <v>2803</v>
      </c>
      <c r="F1331" s="470">
        <v>9</v>
      </c>
      <c r="G1331" s="468">
        <v>22.5</v>
      </c>
      <c r="H1331" s="479">
        <v>202.5</v>
      </c>
      <c r="I1331" s="468" t="s">
        <v>9218</v>
      </c>
      <c r="J1331" s="468" t="s">
        <v>9219</v>
      </c>
      <c r="K1331" s="468" t="s">
        <v>9219</v>
      </c>
      <c r="L1331" s="468" t="s">
        <v>2354</v>
      </c>
    </row>
    <row r="1332" spans="1:12" x14ac:dyDescent="0.25">
      <c r="A1332" s="468" t="s">
        <v>220</v>
      </c>
      <c r="B1332" s="468" t="s">
        <v>2351</v>
      </c>
      <c r="C1332" s="468" t="s">
        <v>2804</v>
      </c>
      <c r="D1332" s="468" t="s">
        <v>2805</v>
      </c>
      <c r="F1332" s="470">
        <v>2</v>
      </c>
      <c r="G1332" s="468">
        <v>29.7</v>
      </c>
      <c r="H1332" s="479">
        <v>59.4</v>
      </c>
      <c r="I1332" s="468" t="s">
        <v>9218</v>
      </c>
      <c r="J1332" s="468" t="s">
        <v>9219</v>
      </c>
      <c r="K1332" s="468" t="s">
        <v>9219</v>
      </c>
      <c r="L1332" s="468" t="s">
        <v>2354</v>
      </c>
    </row>
    <row r="1333" spans="1:12" x14ac:dyDescent="0.25">
      <c r="A1333" s="468" t="s">
        <v>220</v>
      </c>
      <c r="B1333" s="468" t="s">
        <v>2351</v>
      </c>
      <c r="C1333" s="468" t="s">
        <v>2806</v>
      </c>
      <c r="D1333" s="468" t="s">
        <v>2807</v>
      </c>
      <c r="F1333" s="470">
        <v>6</v>
      </c>
      <c r="G1333" s="468">
        <v>10.35</v>
      </c>
      <c r="H1333" s="479">
        <v>62.099999999999994</v>
      </c>
      <c r="I1333" s="468" t="s">
        <v>9218</v>
      </c>
      <c r="J1333" s="468" t="s">
        <v>9219</v>
      </c>
      <c r="K1333" s="468" t="s">
        <v>9219</v>
      </c>
      <c r="L1333" s="468" t="s">
        <v>2354</v>
      </c>
    </row>
    <row r="1334" spans="1:12" x14ac:dyDescent="0.25">
      <c r="A1334" s="468" t="s">
        <v>220</v>
      </c>
      <c r="B1334" s="468" t="s">
        <v>2351</v>
      </c>
      <c r="C1334" s="468" t="s">
        <v>2808</v>
      </c>
      <c r="D1334" s="468" t="s">
        <v>2809</v>
      </c>
      <c r="F1334" s="470">
        <v>3</v>
      </c>
      <c r="G1334" s="468">
        <v>10.35</v>
      </c>
      <c r="H1334" s="479">
        <v>31.049999999999997</v>
      </c>
      <c r="I1334" s="468" t="s">
        <v>9218</v>
      </c>
      <c r="J1334" s="468" t="s">
        <v>9219</v>
      </c>
      <c r="K1334" s="468" t="s">
        <v>9219</v>
      </c>
      <c r="L1334" s="468" t="s">
        <v>2354</v>
      </c>
    </row>
    <row r="1335" spans="1:12" x14ac:dyDescent="0.25">
      <c r="A1335" s="468" t="s">
        <v>220</v>
      </c>
      <c r="B1335" s="468" t="s">
        <v>2351</v>
      </c>
      <c r="C1335" s="468" t="s">
        <v>2810</v>
      </c>
      <c r="D1335" s="468" t="s">
        <v>2811</v>
      </c>
      <c r="F1335" s="470">
        <v>10</v>
      </c>
      <c r="G1335" s="468">
        <v>25.238</v>
      </c>
      <c r="H1335" s="479">
        <v>252.38</v>
      </c>
      <c r="I1335" s="468" t="s">
        <v>9218</v>
      </c>
      <c r="J1335" s="468" t="s">
        <v>9219</v>
      </c>
      <c r="K1335" s="468" t="s">
        <v>9219</v>
      </c>
      <c r="L1335" s="468" t="s">
        <v>2354</v>
      </c>
    </row>
    <row r="1336" spans="1:12" x14ac:dyDescent="0.25">
      <c r="A1336" s="468" t="s">
        <v>220</v>
      </c>
      <c r="B1336" s="468" t="s">
        <v>2351</v>
      </c>
      <c r="C1336" s="468" t="s">
        <v>2814</v>
      </c>
      <c r="D1336" s="468" t="s">
        <v>2815</v>
      </c>
      <c r="F1336" s="470">
        <v>4</v>
      </c>
      <c r="G1336" s="468">
        <v>144.81</v>
      </c>
      <c r="H1336" s="479">
        <v>579.24</v>
      </c>
      <c r="I1336" s="468" t="s">
        <v>9218</v>
      </c>
      <c r="J1336" s="468" t="s">
        <v>9219</v>
      </c>
      <c r="K1336" s="468" t="s">
        <v>9219</v>
      </c>
      <c r="L1336" s="468" t="s">
        <v>2354</v>
      </c>
    </row>
    <row r="1337" spans="1:12" x14ac:dyDescent="0.25">
      <c r="A1337" s="468" t="s">
        <v>220</v>
      </c>
      <c r="B1337" s="468" t="s">
        <v>2351</v>
      </c>
      <c r="C1337" s="468" t="s">
        <v>2820</v>
      </c>
      <c r="D1337" s="468" t="s">
        <v>2821</v>
      </c>
      <c r="F1337" s="470">
        <v>2</v>
      </c>
      <c r="G1337" s="468">
        <v>21.08</v>
      </c>
      <c r="H1337" s="479">
        <v>42.16</v>
      </c>
      <c r="I1337" s="468" t="s">
        <v>9218</v>
      </c>
      <c r="J1337" s="468" t="s">
        <v>9219</v>
      </c>
      <c r="K1337" s="468" t="s">
        <v>9219</v>
      </c>
      <c r="L1337" s="468" t="s">
        <v>2354</v>
      </c>
    </row>
    <row r="1338" spans="1:12" x14ac:dyDescent="0.25">
      <c r="A1338" s="468" t="s">
        <v>220</v>
      </c>
      <c r="B1338" s="468" t="s">
        <v>2351</v>
      </c>
      <c r="C1338" s="468" t="s">
        <v>2822</v>
      </c>
      <c r="D1338" s="468" t="s">
        <v>2823</v>
      </c>
      <c r="F1338" s="470">
        <v>2</v>
      </c>
      <c r="G1338" s="468">
        <v>21.08</v>
      </c>
      <c r="H1338" s="479">
        <v>42.16</v>
      </c>
      <c r="I1338" s="468" t="s">
        <v>9218</v>
      </c>
      <c r="J1338" s="468" t="s">
        <v>9219</v>
      </c>
      <c r="K1338" s="468" t="s">
        <v>9219</v>
      </c>
      <c r="L1338" s="468" t="s">
        <v>2354</v>
      </c>
    </row>
    <row r="1339" spans="1:12" x14ac:dyDescent="0.25">
      <c r="A1339" s="468" t="s">
        <v>220</v>
      </c>
      <c r="B1339" s="468" t="s">
        <v>2351</v>
      </c>
      <c r="C1339" s="468" t="s">
        <v>2826</v>
      </c>
      <c r="D1339" s="468" t="s">
        <v>2827</v>
      </c>
      <c r="F1339" s="470">
        <v>1</v>
      </c>
      <c r="G1339" s="468">
        <v>153.595</v>
      </c>
      <c r="H1339" s="479">
        <v>153.595</v>
      </c>
      <c r="I1339" s="468" t="s">
        <v>9218</v>
      </c>
      <c r="J1339" s="468" t="s">
        <v>9219</v>
      </c>
      <c r="K1339" s="468" t="s">
        <v>9219</v>
      </c>
      <c r="L1339" s="468" t="s">
        <v>2354</v>
      </c>
    </row>
    <row r="1340" spans="1:12" x14ac:dyDescent="0.25">
      <c r="A1340" s="468" t="s">
        <v>220</v>
      </c>
      <c r="B1340" s="468" t="s">
        <v>2351</v>
      </c>
      <c r="C1340" s="468" t="s">
        <v>2834</v>
      </c>
      <c r="D1340" s="468" t="s">
        <v>2835</v>
      </c>
      <c r="F1340" s="470">
        <v>4</v>
      </c>
      <c r="G1340" s="468">
        <v>16.881</v>
      </c>
      <c r="H1340" s="479">
        <v>67.524000000000001</v>
      </c>
      <c r="I1340" s="468" t="s">
        <v>9218</v>
      </c>
      <c r="J1340" s="468" t="s">
        <v>9219</v>
      </c>
      <c r="K1340" s="468" t="s">
        <v>9219</v>
      </c>
      <c r="L1340" s="468" t="s">
        <v>2354</v>
      </c>
    </row>
    <row r="1341" spans="1:12" x14ac:dyDescent="0.25">
      <c r="A1341" s="468" t="s">
        <v>220</v>
      </c>
      <c r="B1341" s="468" t="s">
        <v>2351</v>
      </c>
      <c r="C1341" s="468" t="s">
        <v>2836</v>
      </c>
      <c r="D1341" s="468" t="s">
        <v>2837</v>
      </c>
      <c r="F1341" s="470">
        <v>1</v>
      </c>
      <c r="G1341" s="468">
        <v>19.5</v>
      </c>
      <c r="H1341" s="479">
        <v>19.5</v>
      </c>
      <c r="I1341" s="468" t="s">
        <v>9218</v>
      </c>
      <c r="J1341" s="468" t="s">
        <v>9219</v>
      </c>
      <c r="K1341" s="468" t="s">
        <v>9219</v>
      </c>
      <c r="L1341" s="468" t="s">
        <v>2354</v>
      </c>
    </row>
    <row r="1342" spans="1:12" x14ac:dyDescent="0.25">
      <c r="A1342" s="468" t="s">
        <v>220</v>
      </c>
      <c r="B1342" s="468" t="s">
        <v>2351</v>
      </c>
      <c r="C1342" s="468" t="s">
        <v>2842</v>
      </c>
      <c r="D1342" s="468" t="s">
        <v>2843</v>
      </c>
      <c r="F1342" s="470">
        <v>3</v>
      </c>
      <c r="G1342" s="468">
        <v>21.59</v>
      </c>
      <c r="H1342" s="479">
        <v>64.77</v>
      </c>
      <c r="I1342" s="468" t="s">
        <v>9218</v>
      </c>
      <c r="J1342" s="468" t="s">
        <v>9219</v>
      </c>
      <c r="K1342" s="468" t="s">
        <v>9219</v>
      </c>
      <c r="L1342" s="468" t="s">
        <v>2354</v>
      </c>
    </row>
    <row r="1343" spans="1:12" x14ac:dyDescent="0.25">
      <c r="A1343" s="468" t="s">
        <v>220</v>
      </c>
      <c r="B1343" s="468" t="s">
        <v>2351</v>
      </c>
      <c r="C1343" s="468" t="s">
        <v>2846</v>
      </c>
      <c r="D1343" s="468" t="s">
        <v>2847</v>
      </c>
      <c r="F1343" s="470">
        <v>2</v>
      </c>
      <c r="G1343" s="468">
        <v>42.953400000000002</v>
      </c>
      <c r="H1343" s="479">
        <v>85.906800000000004</v>
      </c>
      <c r="I1343" s="468" t="s">
        <v>9218</v>
      </c>
      <c r="J1343" s="468" t="s">
        <v>9219</v>
      </c>
      <c r="K1343" s="468" t="s">
        <v>9219</v>
      </c>
      <c r="L1343" s="468" t="s">
        <v>2354</v>
      </c>
    </row>
    <row r="1344" spans="1:12" x14ac:dyDescent="0.25">
      <c r="A1344" s="468" t="s">
        <v>220</v>
      </c>
      <c r="B1344" s="468" t="s">
        <v>2351</v>
      </c>
      <c r="C1344" s="468" t="s">
        <v>2848</v>
      </c>
      <c r="D1344" s="468" t="s">
        <v>2849</v>
      </c>
      <c r="F1344" s="470">
        <v>6</v>
      </c>
      <c r="G1344" s="468">
        <v>49.3596</v>
      </c>
      <c r="H1344" s="479">
        <v>296.1576</v>
      </c>
      <c r="I1344" s="468" t="s">
        <v>9218</v>
      </c>
      <c r="J1344" s="468" t="s">
        <v>9219</v>
      </c>
      <c r="K1344" s="468" t="s">
        <v>9219</v>
      </c>
      <c r="L1344" s="468" t="s">
        <v>2354</v>
      </c>
    </row>
    <row r="1345" spans="1:12" x14ac:dyDescent="0.25">
      <c r="A1345" s="468" t="s">
        <v>220</v>
      </c>
      <c r="B1345" s="468" t="s">
        <v>2351</v>
      </c>
      <c r="C1345" s="468" t="s">
        <v>2850</v>
      </c>
      <c r="D1345" s="468" t="s">
        <v>2851</v>
      </c>
      <c r="F1345" s="470">
        <v>2</v>
      </c>
      <c r="G1345" s="468">
        <v>92.7</v>
      </c>
      <c r="H1345" s="479">
        <v>185.4</v>
      </c>
      <c r="I1345" s="468" t="s">
        <v>9218</v>
      </c>
      <c r="J1345" s="468" t="s">
        <v>9219</v>
      </c>
      <c r="K1345" s="468" t="s">
        <v>9219</v>
      </c>
      <c r="L1345" s="468" t="s">
        <v>2354</v>
      </c>
    </row>
    <row r="1346" spans="1:12" x14ac:dyDescent="0.25">
      <c r="A1346" s="468" t="s">
        <v>220</v>
      </c>
      <c r="B1346" s="468" t="s">
        <v>2351</v>
      </c>
      <c r="C1346" s="468" t="s">
        <v>2852</v>
      </c>
      <c r="D1346" s="468" t="s">
        <v>2853</v>
      </c>
      <c r="F1346" s="470">
        <v>4</v>
      </c>
      <c r="G1346" s="468">
        <v>55.125</v>
      </c>
      <c r="H1346" s="479">
        <v>220.5</v>
      </c>
      <c r="I1346" s="468" t="s">
        <v>9218</v>
      </c>
      <c r="J1346" s="468" t="s">
        <v>9219</v>
      </c>
      <c r="K1346" s="468" t="s">
        <v>9219</v>
      </c>
      <c r="L1346" s="468" t="s">
        <v>2354</v>
      </c>
    </row>
    <row r="1347" spans="1:12" x14ac:dyDescent="0.25">
      <c r="A1347" s="468" t="s">
        <v>220</v>
      </c>
      <c r="B1347" s="468" t="s">
        <v>2351</v>
      </c>
      <c r="C1347" s="468" t="s">
        <v>2854</v>
      </c>
      <c r="D1347" s="468" t="s">
        <v>2855</v>
      </c>
      <c r="F1347" s="470">
        <v>1</v>
      </c>
      <c r="G1347" s="468">
        <v>36.551000000000002</v>
      </c>
      <c r="H1347" s="479">
        <v>36.551000000000002</v>
      </c>
      <c r="I1347" s="468" t="s">
        <v>9218</v>
      </c>
      <c r="J1347" s="468" t="s">
        <v>9219</v>
      </c>
      <c r="K1347" s="468" t="s">
        <v>9219</v>
      </c>
      <c r="L1347" s="468" t="s">
        <v>2354</v>
      </c>
    </row>
    <row r="1348" spans="1:12" x14ac:dyDescent="0.25">
      <c r="A1348" s="468" t="s">
        <v>220</v>
      </c>
      <c r="B1348" s="468" t="s">
        <v>2351</v>
      </c>
      <c r="C1348" s="468" t="s">
        <v>2856</v>
      </c>
      <c r="D1348" s="468" t="s">
        <v>2857</v>
      </c>
      <c r="F1348" s="470">
        <v>3</v>
      </c>
      <c r="G1348" s="468">
        <v>33.125</v>
      </c>
      <c r="H1348" s="479">
        <v>99.375</v>
      </c>
      <c r="I1348" s="468" t="s">
        <v>9218</v>
      </c>
      <c r="J1348" s="468" t="s">
        <v>9219</v>
      </c>
      <c r="K1348" s="468" t="s">
        <v>9219</v>
      </c>
      <c r="L1348" s="468" t="s">
        <v>2354</v>
      </c>
    </row>
    <row r="1349" spans="1:12" x14ac:dyDescent="0.25">
      <c r="A1349" s="468" t="s">
        <v>220</v>
      </c>
      <c r="B1349" s="468" t="s">
        <v>2351</v>
      </c>
      <c r="C1349" s="468" t="s">
        <v>2858</v>
      </c>
      <c r="D1349" s="468" t="s">
        <v>2859</v>
      </c>
      <c r="F1349" s="470">
        <v>1</v>
      </c>
      <c r="G1349" s="468">
        <v>18.982800000000001</v>
      </c>
      <c r="H1349" s="479">
        <v>18.982800000000001</v>
      </c>
      <c r="I1349" s="468" t="s">
        <v>9218</v>
      </c>
      <c r="J1349" s="468" t="s">
        <v>9219</v>
      </c>
      <c r="K1349" s="468" t="s">
        <v>9219</v>
      </c>
      <c r="L1349" s="468" t="s">
        <v>2354</v>
      </c>
    </row>
    <row r="1350" spans="1:12" x14ac:dyDescent="0.25">
      <c r="A1350" s="468" t="s">
        <v>220</v>
      </c>
      <c r="B1350" s="468" t="s">
        <v>2351</v>
      </c>
      <c r="C1350" s="468" t="s">
        <v>2860</v>
      </c>
      <c r="D1350" s="468" t="s">
        <v>2861</v>
      </c>
      <c r="F1350" s="470">
        <v>5</v>
      </c>
      <c r="G1350" s="468">
        <v>39.761099999999999</v>
      </c>
      <c r="H1350" s="479">
        <v>198.80549999999999</v>
      </c>
      <c r="I1350" s="468" t="s">
        <v>9218</v>
      </c>
      <c r="J1350" s="468" t="s">
        <v>9219</v>
      </c>
      <c r="K1350" s="468" t="s">
        <v>9219</v>
      </c>
      <c r="L1350" s="468" t="s">
        <v>2354</v>
      </c>
    </row>
    <row r="1351" spans="1:12" x14ac:dyDescent="0.25">
      <c r="A1351" s="468" t="s">
        <v>220</v>
      </c>
      <c r="B1351" s="468" t="s">
        <v>2351</v>
      </c>
      <c r="C1351" s="468" t="s">
        <v>2862</v>
      </c>
      <c r="D1351" s="468" t="s">
        <v>2863</v>
      </c>
      <c r="F1351" s="470">
        <v>5</v>
      </c>
      <c r="G1351" s="468">
        <v>38.228760000000001</v>
      </c>
      <c r="H1351" s="479">
        <v>191.1438</v>
      </c>
      <c r="I1351" s="468" t="s">
        <v>9218</v>
      </c>
      <c r="J1351" s="468" t="s">
        <v>9219</v>
      </c>
      <c r="K1351" s="468" t="s">
        <v>9219</v>
      </c>
      <c r="L1351" s="468" t="s">
        <v>2354</v>
      </c>
    </row>
    <row r="1352" spans="1:12" x14ac:dyDescent="0.25">
      <c r="A1352" s="468" t="s">
        <v>220</v>
      </c>
      <c r="B1352" s="468" t="s">
        <v>2351</v>
      </c>
      <c r="C1352" s="468" t="s">
        <v>2864</v>
      </c>
      <c r="D1352" s="468" t="s">
        <v>2865</v>
      </c>
      <c r="F1352" s="470">
        <v>2</v>
      </c>
      <c r="G1352" s="468">
        <v>22.929201680672268</v>
      </c>
      <c r="H1352" s="479">
        <v>45.858403361344536</v>
      </c>
      <c r="I1352" s="468" t="s">
        <v>9218</v>
      </c>
      <c r="J1352" s="468" t="s">
        <v>9219</v>
      </c>
      <c r="K1352" s="468" t="s">
        <v>9219</v>
      </c>
      <c r="L1352" s="468" t="s">
        <v>2354</v>
      </c>
    </row>
    <row r="1353" spans="1:12" x14ac:dyDescent="0.25">
      <c r="A1353" s="468" t="s">
        <v>220</v>
      </c>
      <c r="B1353" s="468" t="s">
        <v>2351</v>
      </c>
      <c r="C1353" s="468" t="s">
        <v>2866</v>
      </c>
      <c r="D1353" s="468" t="s">
        <v>2867</v>
      </c>
      <c r="F1353" s="470">
        <v>2</v>
      </c>
      <c r="G1353" s="468">
        <v>56.713500000000003</v>
      </c>
      <c r="H1353" s="479">
        <v>113.42700000000001</v>
      </c>
      <c r="I1353" s="468" t="s">
        <v>9218</v>
      </c>
      <c r="J1353" s="468" t="s">
        <v>9219</v>
      </c>
      <c r="K1353" s="468" t="s">
        <v>9219</v>
      </c>
      <c r="L1353" s="468" t="s">
        <v>2354</v>
      </c>
    </row>
    <row r="1354" spans="1:12" x14ac:dyDescent="0.25">
      <c r="A1354" s="468" t="s">
        <v>220</v>
      </c>
      <c r="B1354" s="468" t="s">
        <v>2351</v>
      </c>
      <c r="C1354" s="468" t="s">
        <v>2379</v>
      </c>
      <c r="D1354" s="468" t="s">
        <v>2380</v>
      </c>
      <c r="F1354" s="470">
        <v>5</v>
      </c>
      <c r="G1354" s="468">
        <v>4.01</v>
      </c>
      <c r="H1354" s="479">
        <v>20.049999999999997</v>
      </c>
      <c r="I1354" s="468" t="s">
        <v>9218</v>
      </c>
      <c r="J1354" s="468" t="s">
        <v>9219</v>
      </c>
      <c r="K1354" s="468" t="s">
        <v>9219</v>
      </c>
      <c r="L1354" s="468" t="s">
        <v>2354</v>
      </c>
    </row>
    <row r="1355" spans="1:12" x14ac:dyDescent="0.25">
      <c r="A1355" s="468" t="s">
        <v>220</v>
      </c>
      <c r="B1355" s="468" t="s">
        <v>2351</v>
      </c>
      <c r="C1355" s="468" t="s">
        <v>2874</v>
      </c>
      <c r="D1355" s="468" t="s">
        <v>2875</v>
      </c>
      <c r="F1355" s="470">
        <v>3</v>
      </c>
      <c r="H1355" s="479">
        <v>0</v>
      </c>
      <c r="I1355" s="468" t="s">
        <v>9218</v>
      </c>
      <c r="J1355" s="468" t="s">
        <v>9219</v>
      </c>
      <c r="K1355" s="468" t="s">
        <v>9219</v>
      </c>
      <c r="L1355" s="468" t="s">
        <v>2354</v>
      </c>
    </row>
    <row r="1356" spans="1:12" x14ac:dyDescent="0.25">
      <c r="A1356" s="468" t="s">
        <v>220</v>
      </c>
      <c r="B1356" s="468" t="s">
        <v>2351</v>
      </c>
      <c r="C1356" s="468" t="s">
        <v>2876</v>
      </c>
      <c r="D1356" s="468" t="s">
        <v>2877</v>
      </c>
      <c r="F1356" s="470">
        <v>2</v>
      </c>
      <c r="G1356" s="468">
        <v>32.4</v>
      </c>
      <c r="H1356" s="479">
        <v>64.8</v>
      </c>
      <c r="I1356" s="468" t="s">
        <v>9218</v>
      </c>
      <c r="J1356" s="468" t="s">
        <v>9219</v>
      </c>
      <c r="K1356" s="468" t="s">
        <v>9219</v>
      </c>
      <c r="L1356" s="468" t="s">
        <v>2354</v>
      </c>
    </row>
    <row r="1357" spans="1:12" x14ac:dyDescent="0.25">
      <c r="A1357" s="468" t="s">
        <v>220</v>
      </c>
      <c r="B1357" s="468" t="s">
        <v>2351</v>
      </c>
      <c r="C1357" s="468" t="s">
        <v>2886</v>
      </c>
      <c r="D1357" s="468" t="s">
        <v>2887</v>
      </c>
      <c r="F1357" s="470">
        <v>3</v>
      </c>
      <c r="G1357" s="468">
        <v>4.6890000000000001</v>
      </c>
      <c r="H1357" s="479">
        <v>14.067</v>
      </c>
      <c r="I1357" s="468" t="s">
        <v>9218</v>
      </c>
      <c r="J1357" s="468" t="s">
        <v>9219</v>
      </c>
      <c r="K1357" s="468" t="s">
        <v>9219</v>
      </c>
      <c r="L1357" s="468" t="s">
        <v>2354</v>
      </c>
    </row>
    <row r="1358" spans="1:12" x14ac:dyDescent="0.25">
      <c r="A1358" s="468" t="s">
        <v>220</v>
      </c>
      <c r="B1358" s="468" t="s">
        <v>2351</v>
      </c>
      <c r="C1358" s="468" t="s">
        <v>2888</v>
      </c>
      <c r="D1358" s="468" t="s">
        <v>2889</v>
      </c>
      <c r="F1358" s="470">
        <v>5</v>
      </c>
      <c r="G1358" s="468">
        <v>10.941000000000001</v>
      </c>
      <c r="H1358" s="479">
        <v>54.705000000000005</v>
      </c>
      <c r="I1358" s="468" t="s">
        <v>9218</v>
      </c>
      <c r="J1358" s="468" t="s">
        <v>9219</v>
      </c>
      <c r="K1358" s="468" t="s">
        <v>9219</v>
      </c>
      <c r="L1358" s="468" t="s">
        <v>2354</v>
      </c>
    </row>
    <row r="1359" spans="1:12" x14ac:dyDescent="0.25">
      <c r="A1359" s="468" t="s">
        <v>220</v>
      </c>
      <c r="B1359" s="468" t="s">
        <v>2351</v>
      </c>
      <c r="C1359" s="468" t="s">
        <v>2894</v>
      </c>
      <c r="D1359" s="468" t="s">
        <v>2895</v>
      </c>
      <c r="F1359" s="470">
        <v>3</v>
      </c>
      <c r="G1359" s="468">
        <v>10.143000000000001</v>
      </c>
      <c r="H1359" s="479">
        <v>30.429000000000002</v>
      </c>
      <c r="I1359" s="468" t="s">
        <v>9218</v>
      </c>
      <c r="J1359" s="468" t="s">
        <v>9219</v>
      </c>
      <c r="K1359" s="468" t="s">
        <v>9219</v>
      </c>
      <c r="L1359" s="468" t="s">
        <v>2354</v>
      </c>
    </row>
    <row r="1360" spans="1:12" x14ac:dyDescent="0.25">
      <c r="A1360" s="468" t="s">
        <v>220</v>
      </c>
      <c r="B1360" s="468" t="s">
        <v>2351</v>
      </c>
      <c r="C1360" s="468" t="s">
        <v>2898</v>
      </c>
      <c r="D1360" s="468" t="s">
        <v>2899</v>
      </c>
      <c r="F1360" s="470">
        <v>4</v>
      </c>
      <c r="G1360" s="468">
        <v>10.143000000000001</v>
      </c>
      <c r="H1360" s="479">
        <v>40.572000000000003</v>
      </c>
      <c r="I1360" s="468" t="s">
        <v>9218</v>
      </c>
      <c r="J1360" s="468" t="s">
        <v>9219</v>
      </c>
      <c r="K1360" s="468" t="s">
        <v>9219</v>
      </c>
      <c r="L1360" s="468" t="s">
        <v>2354</v>
      </c>
    </row>
    <row r="1361" spans="1:12" x14ac:dyDescent="0.25">
      <c r="A1361" s="468" t="s">
        <v>220</v>
      </c>
      <c r="B1361" s="468" t="s">
        <v>2351</v>
      </c>
      <c r="C1361" s="468" t="s">
        <v>2900</v>
      </c>
      <c r="D1361" s="468" t="s">
        <v>2901</v>
      </c>
      <c r="F1361" s="470">
        <v>6</v>
      </c>
      <c r="G1361" s="468">
        <v>10.143000000000001</v>
      </c>
      <c r="H1361" s="479">
        <v>60.858000000000004</v>
      </c>
      <c r="I1361" s="468" t="s">
        <v>9218</v>
      </c>
      <c r="J1361" s="468" t="s">
        <v>9219</v>
      </c>
      <c r="K1361" s="468" t="s">
        <v>9219</v>
      </c>
      <c r="L1361" s="468" t="s">
        <v>2354</v>
      </c>
    </row>
    <row r="1362" spans="1:12" x14ac:dyDescent="0.25">
      <c r="A1362" s="468" t="s">
        <v>220</v>
      </c>
      <c r="B1362" s="468" t="s">
        <v>2351</v>
      </c>
      <c r="C1362" s="468" t="s">
        <v>2902</v>
      </c>
      <c r="D1362" s="468" t="s">
        <v>2903</v>
      </c>
      <c r="F1362" s="470">
        <v>6</v>
      </c>
      <c r="G1362" s="468">
        <v>5.4503999999999992</v>
      </c>
      <c r="H1362" s="479">
        <v>32.702399999999997</v>
      </c>
      <c r="I1362" s="468" t="s">
        <v>9218</v>
      </c>
      <c r="J1362" s="468" t="s">
        <v>9219</v>
      </c>
      <c r="K1362" s="468" t="s">
        <v>9219</v>
      </c>
      <c r="L1362" s="468" t="s">
        <v>2354</v>
      </c>
    </row>
    <row r="1363" spans="1:12" x14ac:dyDescent="0.25">
      <c r="A1363" s="468" t="s">
        <v>220</v>
      </c>
      <c r="B1363" s="468" t="s">
        <v>2351</v>
      </c>
      <c r="C1363" s="468" t="s">
        <v>2906</v>
      </c>
      <c r="D1363" s="468" t="s">
        <v>2907</v>
      </c>
      <c r="F1363" s="470">
        <v>2</v>
      </c>
      <c r="G1363" s="468">
        <v>8.0120000000000005</v>
      </c>
      <c r="H1363" s="479">
        <v>16.024000000000001</v>
      </c>
      <c r="I1363" s="468" t="s">
        <v>9218</v>
      </c>
      <c r="J1363" s="468" t="s">
        <v>9219</v>
      </c>
      <c r="K1363" s="468" t="s">
        <v>9219</v>
      </c>
      <c r="L1363" s="468" t="s">
        <v>2354</v>
      </c>
    </row>
    <row r="1364" spans="1:12" x14ac:dyDescent="0.25">
      <c r="A1364" s="468" t="s">
        <v>220</v>
      </c>
      <c r="B1364" s="468" t="s">
        <v>2351</v>
      </c>
      <c r="C1364" s="468" t="s">
        <v>2908</v>
      </c>
      <c r="D1364" s="468" t="s">
        <v>2909</v>
      </c>
      <c r="F1364" s="470">
        <v>9</v>
      </c>
      <c r="G1364" s="468">
        <v>10.143000000000001</v>
      </c>
      <c r="H1364" s="479">
        <v>91.287000000000006</v>
      </c>
      <c r="I1364" s="468" t="s">
        <v>9218</v>
      </c>
      <c r="J1364" s="468" t="s">
        <v>9219</v>
      </c>
      <c r="K1364" s="468" t="s">
        <v>9219</v>
      </c>
      <c r="L1364" s="468" t="s">
        <v>2354</v>
      </c>
    </row>
    <row r="1365" spans="1:12" x14ac:dyDescent="0.25">
      <c r="A1365" s="468" t="s">
        <v>220</v>
      </c>
      <c r="B1365" s="468" t="s">
        <v>2351</v>
      </c>
      <c r="C1365" s="468" t="s">
        <v>2910</v>
      </c>
      <c r="D1365" s="468" t="s">
        <v>2911</v>
      </c>
      <c r="F1365" s="470">
        <v>1</v>
      </c>
      <c r="G1365" s="468">
        <v>10.143000000000001</v>
      </c>
      <c r="H1365" s="479">
        <v>10.143000000000001</v>
      </c>
      <c r="I1365" s="468" t="s">
        <v>9218</v>
      </c>
      <c r="J1365" s="468" t="s">
        <v>9219</v>
      </c>
      <c r="K1365" s="468" t="s">
        <v>9219</v>
      </c>
      <c r="L1365" s="468" t="s">
        <v>2354</v>
      </c>
    </row>
    <row r="1366" spans="1:12" x14ac:dyDescent="0.25">
      <c r="A1366" s="468" t="s">
        <v>220</v>
      </c>
      <c r="B1366" s="468" t="s">
        <v>2351</v>
      </c>
      <c r="C1366" s="468" t="s">
        <v>2912</v>
      </c>
      <c r="D1366" s="468" t="s">
        <v>2913</v>
      </c>
      <c r="F1366" s="470">
        <v>10</v>
      </c>
      <c r="G1366" s="468">
        <v>10.143000000000001</v>
      </c>
      <c r="H1366" s="479">
        <v>101.43</v>
      </c>
      <c r="I1366" s="468" t="s">
        <v>9218</v>
      </c>
      <c r="J1366" s="468" t="s">
        <v>9219</v>
      </c>
      <c r="K1366" s="468" t="s">
        <v>9219</v>
      </c>
      <c r="L1366" s="468" t="s">
        <v>2354</v>
      </c>
    </row>
    <row r="1367" spans="1:12" x14ac:dyDescent="0.25">
      <c r="A1367" s="468" t="s">
        <v>220</v>
      </c>
      <c r="B1367" s="468" t="s">
        <v>2351</v>
      </c>
      <c r="C1367" s="468" t="s">
        <v>2914</v>
      </c>
      <c r="D1367" s="468" t="s">
        <v>2915</v>
      </c>
      <c r="F1367" s="470">
        <v>4</v>
      </c>
      <c r="G1367" s="468">
        <v>10.143000000000001</v>
      </c>
      <c r="H1367" s="479">
        <v>40.572000000000003</v>
      </c>
      <c r="I1367" s="468" t="s">
        <v>9218</v>
      </c>
      <c r="J1367" s="468" t="s">
        <v>9219</v>
      </c>
      <c r="K1367" s="468" t="s">
        <v>9219</v>
      </c>
      <c r="L1367" s="468" t="s">
        <v>2354</v>
      </c>
    </row>
    <row r="1368" spans="1:12" x14ac:dyDescent="0.25">
      <c r="A1368" s="468" t="s">
        <v>220</v>
      </c>
      <c r="B1368" s="468" t="s">
        <v>2351</v>
      </c>
      <c r="C1368" s="468" t="s">
        <v>2916</v>
      </c>
      <c r="D1368" s="468" t="s">
        <v>2917</v>
      </c>
      <c r="F1368" s="470">
        <v>2</v>
      </c>
      <c r="G1368" s="468">
        <v>12.473999999999998</v>
      </c>
      <c r="H1368" s="479">
        <v>24.947999999999997</v>
      </c>
      <c r="I1368" s="468" t="s">
        <v>9218</v>
      </c>
      <c r="J1368" s="468" t="s">
        <v>9219</v>
      </c>
      <c r="K1368" s="468" t="s">
        <v>9219</v>
      </c>
      <c r="L1368" s="468" t="s">
        <v>2354</v>
      </c>
    </row>
    <row r="1369" spans="1:12" x14ac:dyDescent="0.25">
      <c r="A1369" s="468" t="s">
        <v>220</v>
      </c>
      <c r="B1369" s="468" t="s">
        <v>2351</v>
      </c>
      <c r="C1369" s="468" t="s">
        <v>2918</v>
      </c>
      <c r="D1369" s="468" t="s">
        <v>2919</v>
      </c>
      <c r="F1369" s="470">
        <v>5</v>
      </c>
      <c r="G1369" s="468">
        <v>10.143000000000001</v>
      </c>
      <c r="H1369" s="479">
        <v>50.715000000000003</v>
      </c>
      <c r="I1369" s="468" t="s">
        <v>9218</v>
      </c>
      <c r="J1369" s="468" t="s">
        <v>9219</v>
      </c>
      <c r="K1369" s="468" t="s">
        <v>9219</v>
      </c>
      <c r="L1369" s="468" t="s">
        <v>2354</v>
      </c>
    </row>
    <row r="1370" spans="1:12" x14ac:dyDescent="0.25">
      <c r="A1370" s="468" t="s">
        <v>220</v>
      </c>
      <c r="B1370" s="468" t="s">
        <v>2351</v>
      </c>
      <c r="C1370" s="468" t="s">
        <v>2920</v>
      </c>
      <c r="D1370" s="468" t="s">
        <v>2921</v>
      </c>
      <c r="F1370" s="470">
        <v>3</v>
      </c>
      <c r="G1370" s="468">
        <v>10.143000000000001</v>
      </c>
      <c r="H1370" s="479">
        <v>30.429000000000002</v>
      </c>
      <c r="I1370" s="468" t="s">
        <v>9218</v>
      </c>
      <c r="J1370" s="468" t="s">
        <v>9219</v>
      </c>
      <c r="K1370" s="468" t="s">
        <v>9219</v>
      </c>
      <c r="L1370" s="468" t="s">
        <v>2354</v>
      </c>
    </row>
    <row r="1371" spans="1:12" x14ac:dyDescent="0.25">
      <c r="A1371" s="468" t="s">
        <v>220</v>
      </c>
      <c r="B1371" s="468" t="s">
        <v>2351</v>
      </c>
      <c r="C1371" s="468" t="s">
        <v>2922</v>
      </c>
      <c r="D1371" s="468" t="s">
        <v>2923</v>
      </c>
      <c r="F1371" s="470">
        <v>8</v>
      </c>
      <c r="G1371" s="468">
        <v>10.143000000000001</v>
      </c>
      <c r="H1371" s="479">
        <v>81.144000000000005</v>
      </c>
      <c r="I1371" s="468" t="s">
        <v>9218</v>
      </c>
      <c r="J1371" s="468" t="s">
        <v>9219</v>
      </c>
      <c r="K1371" s="468" t="s">
        <v>9219</v>
      </c>
      <c r="L1371" s="468" t="s">
        <v>2354</v>
      </c>
    </row>
    <row r="1372" spans="1:12" x14ac:dyDescent="0.25">
      <c r="A1372" s="468" t="s">
        <v>220</v>
      </c>
      <c r="B1372" s="468" t="s">
        <v>2351</v>
      </c>
      <c r="C1372" s="468" t="s">
        <v>2926</v>
      </c>
      <c r="D1372" s="468" t="s">
        <v>2927</v>
      </c>
      <c r="F1372" s="470">
        <v>2</v>
      </c>
      <c r="G1372" s="468">
        <v>7.5839999999999996</v>
      </c>
      <c r="H1372" s="479">
        <v>15.167999999999999</v>
      </c>
      <c r="I1372" s="468" t="s">
        <v>9218</v>
      </c>
      <c r="J1372" s="468" t="s">
        <v>9219</v>
      </c>
      <c r="K1372" s="468" t="s">
        <v>9219</v>
      </c>
      <c r="L1372" s="468" t="s">
        <v>2354</v>
      </c>
    </row>
    <row r="1373" spans="1:12" x14ac:dyDescent="0.25">
      <c r="A1373" s="468" t="s">
        <v>220</v>
      </c>
      <c r="B1373" s="468" t="s">
        <v>2351</v>
      </c>
      <c r="C1373" s="468" t="s">
        <v>2928</v>
      </c>
      <c r="D1373" s="468" t="s">
        <v>2929</v>
      </c>
      <c r="F1373" s="470">
        <v>1</v>
      </c>
      <c r="G1373" s="468">
        <v>10.143000000000001</v>
      </c>
      <c r="H1373" s="479">
        <v>10.143000000000001</v>
      </c>
      <c r="I1373" s="468" t="s">
        <v>9218</v>
      </c>
      <c r="J1373" s="468" t="s">
        <v>9219</v>
      </c>
      <c r="K1373" s="468" t="s">
        <v>9219</v>
      </c>
      <c r="L1373" s="468" t="s">
        <v>2354</v>
      </c>
    </row>
    <row r="1374" spans="1:12" x14ac:dyDescent="0.25">
      <c r="A1374" s="468" t="s">
        <v>220</v>
      </c>
      <c r="B1374" s="468" t="s">
        <v>2351</v>
      </c>
      <c r="C1374" s="468" t="s">
        <v>2930</v>
      </c>
      <c r="D1374" s="468" t="s">
        <v>2931</v>
      </c>
      <c r="F1374" s="470">
        <v>5</v>
      </c>
      <c r="G1374" s="468">
        <v>10.143000000000001</v>
      </c>
      <c r="H1374" s="479">
        <v>50.715000000000003</v>
      </c>
      <c r="I1374" s="468" t="s">
        <v>9218</v>
      </c>
      <c r="J1374" s="468" t="s">
        <v>9219</v>
      </c>
      <c r="K1374" s="468" t="s">
        <v>9219</v>
      </c>
      <c r="L1374" s="468" t="s">
        <v>2354</v>
      </c>
    </row>
    <row r="1375" spans="1:12" x14ac:dyDescent="0.25">
      <c r="A1375" s="468" t="s">
        <v>220</v>
      </c>
      <c r="B1375" s="468" t="s">
        <v>2351</v>
      </c>
      <c r="C1375" s="468" t="s">
        <v>2932</v>
      </c>
      <c r="D1375" s="468" t="s">
        <v>2933</v>
      </c>
      <c r="F1375" s="470">
        <v>6</v>
      </c>
      <c r="G1375" s="468">
        <v>7.1459999999999999</v>
      </c>
      <c r="H1375" s="479">
        <v>42.875999999999998</v>
      </c>
      <c r="I1375" s="468" t="s">
        <v>9218</v>
      </c>
      <c r="J1375" s="468" t="s">
        <v>9219</v>
      </c>
      <c r="K1375" s="468" t="s">
        <v>9219</v>
      </c>
      <c r="L1375" s="468" t="s">
        <v>2354</v>
      </c>
    </row>
    <row r="1376" spans="1:12" x14ac:dyDescent="0.25">
      <c r="A1376" s="468" t="s">
        <v>220</v>
      </c>
      <c r="B1376" s="468" t="s">
        <v>2351</v>
      </c>
      <c r="C1376" s="468" t="s">
        <v>2934</v>
      </c>
      <c r="D1376" s="468" t="s">
        <v>2935</v>
      </c>
      <c r="F1376" s="470">
        <v>12</v>
      </c>
      <c r="G1376" s="468">
        <v>25.233000000000001</v>
      </c>
      <c r="H1376" s="479">
        <v>302.79599999999999</v>
      </c>
      <c r="I1376" s="468" t="s">
        <v>9218</v>
      </c>
      <c r="J1376" s="468" t="s">
        <v>9219</v>
      </c>
      <c r="K1376" s="468" t="s">
        <v>9219</v>
      </c>
      <c r="L1376" s="468" t="s">
        <v>2354</v>
      </c>
    </row>
    <row r="1377" spans="1:12" x14ac:dyDescent="0.25">
      <c r="A1377" s="468" t="s">
        <v>220</v>
      </c>
      <c r="B1377" s="468" t="s">
        <v>2351</v>
      </c>
      <c r="C1377" s="468" t="s">
        <v>2938</v>
      </c>
      <c r="D1377" s="468" t="s">
        <v>2939</v>
      </c>
      <c r="F1377" s="470">
        <v>3</v>
      </c>
      <c r="G1377" s="468">
        <v>1.9431</v>
      </c>
      <c r="H1377" s="479">
        <v>5.8292999999999999</v>
      </c>
      <c r="I1377" s="468" t="s">
        <v>9218</v>
      </c>
      <c r="J1377" s="468" t="s">
        <v>9219</v>
      </c>
      <c r="K1377" s="468" t="s">
        <v>9219</v>
      </c>
      <c r="L1377" s="468" t="s">
        <v>2354</v>
      </c>
    </row>
    <row r="1378" spans="1:12" x14ac:dyDescent="0.25">
      <c r="A1378" s="468" t="s">
        <v>220</v>
      </c>
      <c r="B1378" s="468" t="s">
        <v>2351</v>
      </c>
      <c r="C1378" s="468" t="s">
        <v>2940</v>
      </c>
      <c r="D1378" s="468" t="s">
        <v>2941</v>
      </c>
      <c r="F1378" s="470">
        <v>3</v>
      </c>
      <c r="G1378" s="468">
        <v>10.143000000000001</v>
      </c>
      <c r="H1378" s="479">
        <v>30.429000000000002</v>
      </c>
      <c r="I1378" s="468" t="s">
        <v>9218</v>
      </c>
      <c r="J1378" s="468" t="s">
        <v>9219</v>
      </c>
      <c r="K1378" s="468" t="s">
        <v>9219</v>
      </c>
      <c r="L1378" s="468" t="s">
        <v>2354</v>
      </c>
    </row>
    <row r="1379" spans="1:12" x14ac:dyDescent="0.25">
      <c r="A1379" s="468" t="s">
        <v>220</v>
      </c>
      <c r="B1379" s="468" t="s">
        <v>2351</v>
      </c>
      <c r="C1379" s="468" t="s">
        <v>2942</v>
      </c>
      <c r="D1379" s="468" t="s">
        <v>2943</v>
      </c>
      <c r="F1379" s="470">
        <v>4</v>
      </c>
      <c r="G1379" s="468">
        <v>10.6488</v>
      </c>
      <c r="H1379" s="479">
        <v>42.595199999999998</v>
      </c>
      <c r="I1379" s="468" t="s">
        <v>9218</v>
      </c>
      <c r="J1379" s="468" t="s">
        <v>9219</v>
      </c>
      <c r="K1379" s="468" t="s">
        <v>9219</v>
      </c>
      <c r="L1379" s="468" t="s">
        <v>2354</v>
      </c>
    </row>
    <row r="1380" spans="1:12" x14ac:dyDescent="0.25">
      <c r="A1380" s="468" t="s">
        <v>220</v>
      </c>
      <c r="B1380" s="468" t="s">
        <v>2351</v>
      </c>
      <c r="C1380" s="468" t="s">
        <v>2946</v>
      </c>
      <c r="D1380" s="468" t="s">
        <v>2947</v>
      </c>
      <c r="F1380" s="470">
        <v>4</v>
      </c>
      <c r="G1380" s="468">
        <v>10.6488</v>
      </c>
      <c r="H1380" s="479">
        <v>42.595199999999998</v>
      </c>
      <c r="I1380" s="468" t="s">
        <v>9218</v>
      </c>
      <c r="J1380" s="468" t="s">
        <v>9219</v>
      </c>
      <c r="K1380" s="468" t="s">
        <v>9219</v>
      </c>
      <c r="L1380" s="468" t="s">
        <v>2354</v>
      </c>
    </row>
    <row r="1381" spans="1:12" x14ac:dyDescent="0.25">
      <c r="A1381" s="468" t="s">
        <v>220</v>
      </c>
      <c r="B1381" s="468" t="s">
        <v>2351</v>
      </c>
      <c r="C1381" s="468" t="s">
        <v>2948</v>
      </c>
      <c r="D1381" s="468" t="s">
        <v>2949</v>
      </c>
      <c r="F1381" s="470">
        <v>2</v>
      </c>
      <c r="G1381" s="468">
        <v>45.642600000000002</v>
      </c>
      <c r="H1381" s="479">
        <v>91.285200000000003</v>
      </c>
      <c r="I1381" s="468" t="s">
        <v>9218</v>
      </c>
      <c r="J1381" s="468" t="s">
        <v>9219</v>
      </c>
      <c r="K1381" s="468" t="s">
        <v>9219</v>
      </c>
      <c r="L1381" s="468" t="s">
        <v>2354</v>
      </c>
    </row>
    <row r="1382" spans="1:12" x14ac:dyDescent="0.25">
      <c r="A1382" s="468" t="s">
        <v>220</v>
      </c>
      <c r="B1382" s="468" t="s">
        <v>2351</v>
      </c>
      <c r="C1382" s="468" t="s">
        <v>2950</v>
      </c>
      <c r="D1382" s="468" t="s">
        <v>2951</v>
      </c>
      <c r="F1382" s="470">
        <v>5</v>
      </c>
      <c r="G1382" s="468">
        <v>31.013999999999999</v>
      </c>
      <c r="H1382" s="479">
        <v>155.07</v>
      </c>
      <c r="I1382" s="468" t="s">
        <v>9218</v>
      </c>
      <c r="J1382" s="468" t="s">
        <v>9219</v>
      </c>
      <c r="K1382" s="468" t="s">
        <v>9219</v>
      </c>
      <c r="L1382" s="468" t="s">
        <v>2354</v>
      </c>
    </row>
    <row r="1383" spans="1:12" x14ac:dyDescent="0.25">
      <c r="A1383" s="468" t="s">
        <v>220</v>
      </c>
      <c r="B1383" s="468" t="s">
        <v>2351</v>
      </c>
      <c r="C1383" s="468" t="s">
        <v>2958</v>
      </c>
      <c r="D1383" s="468" t="s">
        <v>2959</v>
      </c>
      <c r="F1383" s="470">
        <v>3</v>
      </c>
      <c r="G1383" s="468">
        <v>25.794</v>
      </c>
      <c r="H1383" s="479">
        <v>77.382000000000005</v>
      </c>
      <c r="I1383" s="468" t="s">
        <v>9218</v>
      </c>
      <c r="J1383" s="468" t="s">
        <v>9219</v>
      </c>
      <c r="K1383" s="468" t="s">
        <v>9219</v>
      </c>
      <c r="L1383" s="468" t="s">
        <v>2354</v>
      </c>
    </row>
    <row r="1384" spans="1:12" x14ac:dyDescent="0.25">
      <c r="A1384" s="468" t="s">
        <v>220</v>
      </c>
      <c r="B1384" s="468" t="s">
        <v>2351</v>
      </c>
      <c r="C1384" s="468" t="s">
        <v>2960</v>
      </c>
      <c r="D1384" s="468" t="s">
        <v>2961</v>
      </c>
      <c r="F1384" s="470">
        <v>5</v>
      </c>
      <c r="G1384" s="468">
        <v>22.878</v>
      </c>
      <c r="H1384" s="479">
        <v>114.39</v>
      </c>
      <c r="I1384" s="468" t="s">
        <v>9218</v>
      </c>
      <c r="J1384" s="468" t="s">
        <v>9219</v>
      </c>
      <c r="K1384" s="468" t="s">
        <v>9219</v>
      </c>
      <c r="L1384" s="468" t="s">
        <v>2354</v>
      </c>
    </row>
    <row r="1385" spans="1:12" x14ac:dyDescent="0.25">
      <c r="A1385" s="468" t="s">
        <v>220</v>
      </c>
      <c r="B1385" s="468" t="s">
        <v>2351</v>
      </c>
      <c r="C1385" s="468" t="s">
        <v>2962</v>
      </c>
      <c r="D1385" s="468" t="s">
        <v>2963</v>
      </c>
      <c r="F1385" s="470">
        <v>2</v>
      </c>
      <c r="G1385" s="468">
        <v>22.878</v>
      </c>
      <c r="H1385" s="479">
        <v>45.756</v>
      </c>
      <c r="I1385" s="468" t="s">
        <v>9218</v>
      </c>
      <c r="J1385" s="468" t="s">
        <v>9219</v>
      </c>
      <c r="K1385" s="468" t="s">
        <v>9219</v>
      </c>
      <c r="L1385" s="468" t="s">
        <v>2354</v>
      </c>
    </row>
    <row r="1386" spans="1:12" x14ac:dyDescent="0.25">
      <c r="A1386" s="468" t="s">
        <v>220</v>
      </c>
      <c r="B1386" s="468" t="s">
        <v>2351</v>
      </c>
      <c r="C1386" s="468" t="s">
        <v>2964</v>
      </c>
      <c r="D1386" s="468" t="s">
        <v>2965</v>
      </c>
      <c r="F1386" s="470">
        <v>8</v>
      </c>
      <c r="G1386" s="468">
        <v>10.89</v>
      </c>
      <c r="H1386" s="479">
        <v>87.12</v>
      </c>
      <c r="I1386" s="468" t="s">
        <v>9218</v>
      </c>
      <c r="J1386" s="468" t="s">
        <v>9219</v>
      </c>
      <c r="K1386" s="468" t="s">
        <v>9219</v>
      </c>
      <c r="L1386" s="468" t="s">
        <v>2354</v>
      </c>
    </row>
    <row r="1387" spans="1:12" x14ac:dyDescent="0.25">
      <c r="A1387" s="468" t="s">
        <v>220</v>
      </c>
      <c r="B1387" s="468" t="s">
        <v>2351</v>
      </c>
      <c r="C1387" s="468" t="s">
        <v>2966</v>
      </c>
      <c r="D1387" s="468" t="s">
        <v>2967</v>
      </c>
      <c r="F1387" s="470">
        <v>3</v>
      </c>
      <c r="G1387" s="468">
        <v>20.930399999999999</v>
      </c>
      <c r="H1387" s="479">
        <v>62.791199999999996</v>
      </c>
      <c r="I1387" s="468" t="s">
        <v>9218</v>
      </c>
      <c r="J1387" s="468" t="s">
        <v>9219</v>
      </c>
      <c r="K1387" s="468" t="s">
        <v>9219</v>
      </c>
      <c r="L1387" s="468" t="s">
        <v>2354</v>
      </c>
    </row>
    <row r="1388" spans="1:12" x14ac:dyDescent="0.25">
      <c r="A1388" s="468" t="s">
        <v>220</v>
      </c>
      <c r="B1388" s="468" t="s">
        <v>2351</v>
      </c>
      <c r="C1388" s="468" t="s">
        <v>2968</v>
      </c>
      <c r="D1388" s="468" t="s">
        <v>2969</v>
      </c>
      <c r="F1388" s="470">
        <v>1</v>
      </c>
      <c r="G1388" s="468">
        <v>13.855049999999999</v>
      </c>
      <c r="H1388" s="479">
        <v>13.855049999999999</v>
      </c>
      <c r="I1388" s="468" t="s">
        <v>9218</v>
      </c>
      <c r="J1388" s="468" t="s">
        <v>9219</v>
      </c>
      <c r="K1388" s="468" t="s">
        <v>9219</v>
      </c>
      <c r="L1388" s="468" t="s">
        <v>2354</v>
      </c>
    </row>
    <row r="1389" spans="1:12" x14ac:dyDescent="0.25">
      <c r="A1389" s="468" t="s">
        <v>220</v>
      </c>
      <c r="B1389" s="468" t="s">
        <v>2351</v>
      </c>
      <c r="C1389" s="468" t="s">
        <v>2970</v>
      </c>
      <c r="D1389" s="468" t="s">
        <v>2971</v>
      </c>
      <c r="F1389" s="470">
        <v>9</v>
      </c>
      <c r="G1389" s="468">
        <v>14.31</v>
      </c>
      <c r="H1389" s="479">
        <v>128.79</v>
      </c>
      <c r="I1389" s="468" t="s">
        <v>9218</v>
      </c>
      <c r="J1389" s="468" t="s">
        <v>9219</v>
      </c>
      <c r="K1389" s="468" t="s">
        <v>9219</v>
      </c>
      <c r="L1389" s="468" t="s">
        <v>2354</v>
      </c>
    </row>
    <row r="1390" spans="1:12" x14ac:dyDescent="0.25">
      <c r="A1390" s="468" t="s">
        <v>220</v>
      </c>
      <c r="B1390" s="468" t="s">
        <v>2351</v>
      </c>
      <c r="C1390" s="468" t="s">
        <v>2976</v>
      </c>
      <c r="D1390" s="468" t="s">
        <v>2977</v>
      </c>
      <c r="F1390" s="470">
        <v>2</v>
      </c>
      <c r="G1390" s="468">
        <v>115</v>
      </c>
      <c r="H1390" s="479">
        <v>230</v>
      </c>
      <c r="I1390" s="468" t="s">
        <v>9218</v>
      </c>
      <c r="J1390" s="468" t="s">
        <v>9219</v>
      </c>
      <c r="K1390" s="468" t="s">
        <v>9219</v>
      </c>
      <c r="L1390" s="468" t="s">
        <v>2354</v>
      </c>
    </row>
    <row r="1391" spans="1:12" x14ac:dyDescent="0.25">
      <c r="A1391" s="468" t="s">
        <v>220</v>
      </c>
      <c r="B1391" s="468" t="s">
        <v>2351</v>
      </c>
      <c r="C1391" s="468" t="s">
        <v>2978</v>
      </c>
      <c r="D1391" s="468" t="s">
        <v>2979</v>
      </c>
      <c r="F1391" s="470">
        <v>2</v>
      </c>
      <c r="H1391" s="479">
        <v>0</v>
      </c>
      <c r="I1391" s="468" t="s">
        <v>9218</v>
      </c>
      <c r="J1391" s="468" t="s">
        <v>9219</v>
      </c>
      <c r="K1391" s="468" t="s">
        <v>9219</v>
      </c>
      <c r="L1391" s="468" t="s">
        <v>2354</v>
      </c>
    </row>
    <row r="1392" spans="1:12" x14ac:dyDescent="0.25">
      <c r="A1392" s="468" t="s">
        <v>220</v>
      </c>
      <c r="B1392" s="468" t="s">
        <v>2351</v>
      </c>
      <c r="C1392" s="468" t="s">
        <v>2980</v>
      </c>
      <c r="D1392" s="468" t="s">
        <v>2981</v>
      </c>
      <c r="F1392" s="470">
        <v>22</v>
      </c>
      <c r="H1392" s="479">
        <v>0</v>
      </c>
      <c r="I1392" s="468" t="s">
        <v>9218</v>
      </c>
      <c r="J1392" s="468" t="s">
        <v>9219</v>
      </c>
      <c r="K1392" s="468" t="s">
        <v>9219</v>
      </c>
      <c r="L1392" s="468" t="s">
        <v>2354</v>
      </c>
    </row>
    <row r="1393" spans="1:12" x14ac:dyDescent="0.25">
      <c r="A1393" s="468" t="s">
        <v>220</v>
      </c>
      <c r="B1393" s="468" t="s">
        <v>2351</v>
      </c>
      <c r="C1393" s="468" t="s">
        <v>2982</v>
      </c>
      <c r="D1393" s="468" t="s">
        <v>2983</v>
      </c>
      <c r="F1393" s="470">
        <v>2</v>
      </c>
      <c r="H1393" s="479">
        <v>0</v>
      </c>
      <c r="I1393" s="468" t="s">
        <v>9218</v>
      </c>
      <c r="J1393" s="468" t="s">
        <v>9219</v>
      </c>
      <c r="K1393" s="468" t="s">
        <v>9219</v>
      </c>
      <c r="L1393" s="468" t="s">
        <v>2354</v>
      </c>
    </row>
    <row r="1394" spans="1:12" x14ac:dyDescent="0.25">
      <c r="A1394" s="468" t="s">
        <v>220</v>
      </c>
      <c r="B1394" s="468" t="s">
        <v>2351</v>
      </c>
      <c r="C1394" s="468" t="s">
        <v>2984</v>
      </c>
      <c r="D1394" s="468" t="s">
        <v>2985</v>
      </c>
      <c r="F1394" s="470">
        <v>6</v>
      </c>
      <c r="G1394" s="468">
        <v>14.706</v>
      </c>
      <c r="H1394" s="479">
        <v>88.23599999999999</v>
      </c>
      <c r="I1394" s="468" t="s">
        <v>9218</v>
      </c>
      <c r="J1394" s="468" t="s">
        <v>9219</v>
      </c>
      <c r="K1394" s="468" t="s">
        <v>9219</v>
      </c>
      <c r="L1394" s="468" t="s">
        <v>2354</v>
      </c>
    </row>
    <row r="1395" spans="1:12" x14ac:dyDescent="0.25">
      <c r="A1395" s="468" t="s">
        <v>220</v>
      </c>
      <c r="B1395" s="468" t="s">
        <v>2351</v>
      </c>
      <c r="C1395" s="468" t="s">
        <v>2986</v>
      </c>
      <c r="D1395" s="468" t="s">
        <v>2987</v>
      </c>
      <c r="F1395" s="470">
        <v>1</v>
      </c>
      <c r="G1395" s="468">
        <v>487.8</v>
      </c>
      <c r="H1395" s="479">
        <v>487.8</v>
      </c>
      <c r="I1395" s="468" t="s">
        <v>9218</v>
      </c>
      <c r="J1395" s="468" t="s">
        <v>9219</v>
      </c>
      <c r="K1395" s="468" t="s">
        <v>9219</v>
      </c>
      <c r="L1395" s="468" t="s">
        <v>2354</v>
      </c>
    </row>
    <row r="1396" spans="1:12" x14ac:dyDescent="0.25">
      <c r="A1396" s="468" t="s">
        <v>220</v>
      </c>
      <c r="B1396" s="468" t="s">
        <v>2351</v>
      </c>
      <c r="C1396" s="468" t="s">
        <v>2988</v>
      </c>
      <c r="D1396" s="468" t="s">
        <v>2989</v>
      </c>
      <c r="F1396" s="470">
        <v>1</v>
      </c>
      <c r="G1396" s="468">
        <v>158.904</v>
      </c>
      <c r="H1396" s="479">
        <v>158.904</v>
      </c>
      <c r="I1396" s="468" t="s">
        <v>9218</v>
      </c>
      <c r="J1396" s="468" t="s">
        <v>9219</v>
      </c>
      <c r="K1396" s="468" t="s">
        <v>9219</v>
      </c>
      <c r="L1396" s="468" t="s">
        <v>2354</v>
      </c>
    </row>
    <row r="1397" spans="1:12" x14ac:dyDescent="0.25">
      <c r="A1397" s="468" t="s">
        <v>220</v>
      </c>
      <c r="B1397" s="468" t="s">
        <v>2351</v>
      </c>
      <c r="C1397" s="468" t="s">
        <v>2990</v>
      </c>
      <c r="D1397" s="468" t="s">
        <v>2991</v>
      </c>
      <c r="F1397" s="470">
        <v>1</v>
      </c>
      <c r="G1397" s="468">
        <v>203.67</v>
      </c>
      <c r="H1397" s="479">
        <v>203.67</v>
      </c>
      <c r="I1397" s="468" t="s">
        <v>9218</v>
      </c>
      <c r="J1397" s="468" t="s">
        <v>9219</v>
      </c>
      <c r="K1397" s="468" t="s">
        <v>9219</v>
      </c>
      <c r="L1397" s="468" t="s">
        <v>2354</v>
      </c>
    </row>
    <row r="1398" spans="1:12" x14ac:dyDescent="0.25">
      <c r="A1398" s="468" t="s">
        <v>220</v>
      </c>
      <c r="B1398" s="468" t="s">
        <v>2351</v>
      </c>
      <c r="C1398" s="468" t="s">
        <v>2992</v>
      </c>
      <c r="D1398" s="468" t="s">
        <v>2993</v>
      </c>
      <c r="F1398" s="470">
        <v>1</v>
      </c>
      <c r="G1398" s="468">
        <v>254.67189999999999</v>
      </c>
      <c r="H1398" s="479">
        <v>254.67189999999999</v>
      </c>
      <c r="I1398" s="468" t="s">
        <v>9218</v>
      </c>
      <c r="J1398" s="468" t="s">
        <v>9219</v>
      </c>
      <c r="K1398" s="468" t="s">
        <v>9219</v>
      </c>
      <c r="L1398" s="468" t="s">
        <v>2354</v>
      </c>
    </row>
    <row r="1399" spans="1:12" x14ac:dyDescent="0.25">
      <c r="A1399" s="468" t="s">
        <v>220</v>
      </c>
      <c r="B1399" s="468" t="s">
        <v>2351</v>
      </c>
      <c r="C1399" s="468" t="s">
        <v>2994</v>
      </c>
      <c r="D1399" s="468" t="s">
        <v>2995</v>
      </c>
      <c r="F1399" s="470">
        <v>8</v>
      </c>
      <c r="G1399" s="468">
        <v>79.137</v>
      </c>
      <c r="H1399" s="479">
        <v>633.096</v>
      </c>
      <c r="I1399" s="468" t="s">
        <v>9218</v>
      </c>
      <c r="J1399" s="468" t="s">
        <v>9219</v>
      </c>
      <c r="K1399" s="468" t="s">
        <v>9219</v>
      </c>
      <c r="L1399" s="468" t="s">
        <v>2354</v>
      </c>
    </row>
    <row r="1400" spans="1:12" x14ac:dyDescent="0.25">
      <c r="A1400" s="468" t="s">
        <v>220</v>
      </c>
      <c r="B1400" s="468" t="s">
        <v>2351</v>
      </c>
      <c r="C1400" s="468" t="s">
        <v>2996</v>
      </c>
      <c r="D1400" s="468" t="s">
        <v>2997</v>
      </c>
      <c r="F1400" s="470">
        <v>11</v>
      </c>
      <c r="G1400" s="468">
        <v>4.2149999999999999</v>
      </c>
      <c r="H1400" s="479">
        <v>46.364999999999995</v>
      </c>
      <c r="I1400" s="468" t="s">
        <v>9218</v>
      </c>
      <c r="J1400" s="468" t="s">
        <v>9219</v>
      </c>
      <c r="K1400" s="468" t="s">
        <v>9219</v>
      </c>
      <c r="L1400" s="468" t="s">
        <v>2354</v>
      </c>
    </row>
    <row r="1401" spans="1:12" x14ac:dyDescent="0.25">
      <c r="A1401" s="468" t="s">
        <v>220</v>
      </c>
      <c r="B1401" s="468" t="s">
        <v>2351</v>
      </c>
      <c r="C1401" s="468" t="s">
        <v>2383</v>
      </c>
      <c r="D1401" s="468" t="s">
        <v>2384</v>
      </c>
      <c r="F1401" s="470">
        <v>15</v>
      </c>
      <c r="G1401" s="468">
        <v>28.893000000000001</v>
      </c>
      <c r="H1401" s="479">
        <v>433.39499999999998</v>
      </c>
      <c r="I1401" s="468" t="s">
        <v>9218</v>
      </c>
      <c r="J1401" s="468" t="s">
        <v>9219</v>
      </c>
      <c r="K1401" s="468" t="s">
        <v>9219</v>
      </c>
      <c r="L1401" s="468" t="s">
        <v>2354</v>
      </c>
    </row>
    <row r="1402" spans="1:12" x14ac:dyDescent="0.25">
      <c r="A1402" s="468" t="s">
        <v>220</v>
      </c>
      <c r="B1402" s="468" t="s">
        <v>2351</v>
      </c>
      <c r="C1402" s="468" t="s">
        <v>2998</v>
      </c>
      <c r="D1402" s="468" t="s">
        <v>2999</v>
      </c>
      <c r="F1402" s="470">
        <v>4</v>
      </c>
      <c r="G1402" s="468">
        <v>38.545000000000002</v>
      </c>
      <c r="H1402" s="479">
        <v>154.18</v>
      </c>
      <c r="I1402" s="468" t="s">
        <v>9218</v>
      </c>
      <c r="J1402" s="468" t="s">
        <v>9219</v>
      </c>
      <c r="K1402" s="468" t="s">
        <v>9219</v>
      </c>
      <c r="L1402" s="468" t="s">
        <v>2354</v>
      </c>
    </row>
    <row r="1403" spans="1:12" x14ac:dyDescent="0.25">
      <c r="A1403" s="468" t="s">
        <v>220</v>
      </c>
      <c r="B1403" s="468" t="s">
        <v>2351</v>
      </c>
      <c r="C1403" s="468" t="s">
        <v>3000</v>
      </c>
      <c r="D1403" s="468" t="s">
        <v>3001</v>
      </c>
      <c r="F1403" s="470">
        <v>4</v>
      </c>
      <c r="G1403" s="468">
        <v>96.079499999999996</v>
      </c>
      <c r="H1403" s="479">
        <v>384.31799999999998</v>
      </c>
      <c r="I1403" s="468" t="s">
        <v>9218</v>
      </c>
      <c r="J1403" s="468" t="s">
        <v>9219</v>
      </c>
      <c r="K1403" s="468" t="s">
        <v>9219</v>
      </c>
      <c r="L1403" s="468" t="s">
        <v>2354</v>
      </c>
    </row>
    <row r="1404" spans="1:12" x14ac:dyDescent="0.25">
      <c r="A1404" s="468" t="s">
        <v>220</v>
      </c>
      <c r="B1404" s="468" t="s">
        <v>2351</v>
      </c>
      <c r="C1404" s="468" t="s">
        <v>3002</v>
      </c>
      <c r="D1404" s="468" t="s">
        <v>3003</v>
      </c>
      <c r="F1404" s="470">
        <v>10</v>
      </c>
      <c r="G1404" s="468">
        <v>47.56</v>
      </c>
      <c r="H1404" s="479">
        <v>475.6</v>
      </c>
      <c r="I1404" s="468" t="s">
        <v>9218</v>
      </c>
      <c r="J1404" s="468" t="s">
        <v>9219</v>
      </c>
      <c r="K1404" s="468" t="s">
        <v>9219</v>
      </c>
      <c r="L1404" s="468" t="s">
        <v>2354</v>
      </c>
    </row>
    <row r="1405" spans="1:12" x14ac:dyDescent="0.25">
      <c r="A1405" s="468" t="s">
        <v>220</v>
      </c>
      <c r="B1405" s="468" t="s">
        <v>2351</v>
      </c>
      <c r="C1405" s="468" t="s">
        <v>3006</v>
      </c>
      <c r="D1405" s="468" t="s">
        <v>3007</v>
      </c>
      <c r="F1405" s="470">
        <v>10</v>
      </c>
      <c r="G1405" s="468">
        <v>8.2620000000000005</v>
      </c>
      <c r="H1405" s="479">
        <v>82.62</v>
      </c>
      <c r="I1405" s="468" t="s">
        <v>9218</v>
      </c>
      <c r="J1405" s="468" t="s">
        <v>9219</v>
      </c>
      <c r="K1405" s="468" t="s">
        <v>9219</v>
      </c>
      <c r="L1405" s="468" t="s">
        <v>2354</v>
      </c>
    </row>
    <row r="1406" spans="1:12" x14ac:dyDescent="0.25">
      <c r="A1406" s="468" t="s">
        <v>220</v>
      </c>
      <c r="B1406" s="468" t="s">
        <v>2351</v>
      </c>
      <c r="C1406" s="468" t="s">
        <v>3008</v>
      </c>
      <c r="D1406" s="468" t="s">
        <v>3009</v>
      </c>
      <c r="F1406" s="470">
        <v>15</v>
      </c>
      <c r="G1406" s="468">
        <v>12.2445</v>
      </c>
      <c r="H1406" s="479">
        <v>183.66750000000002</v>
      </c>
      <c r="I1406" s="468" t="s">
        <v>9218</v>
      </c>
      <c r="J1406" s="468" t="s">
        <v>9219</v>
      </c>
      <c r="K1406" s="468" t="s">
        <v>9219</v>
      </c>
      <c r="L1406" s="468" t="s">
        <v>2354</v>
      </c>
    </row>
    <row r="1407" spans="1:12" x14ac:dyDescent="0.25">
      <c r="A1407" s="468" t="s">
        <v>220</v>
      </c>
      <c r="B1407" s="468" t="s">
        <v>2351</v>
      </c>
      <c r="C1407" s="468" t="s">
        <v>3010</v>
      </c>
      <c r="D1407" s="468" t="s">
        <v>3011</v>
      </c>
      <c r="F1407" s="470">
        <v>6</v>
      </c>
      <c r="G1407" s="468">
        <v>10.542</v>
      </c>
      <c r="H1407" s="479">
        <v>63.251999999999995</v>
      </c>
      <c r="I1407" s="468" t="s">
        <v>9218</v>
      </c>
      <c r="J1407" s="468" t="s">
        <v>9219</v>
      </c>
      <c r="K1407" s="468" t="s">
        <v>9219</v>
      </c>
      <c r="L1407" s="468" t="s">
        <v>2354</v>
      </c>
    </row>
    <row r="1408" spans="1:12" x14ac:dyDescent="0.25">
      <c r="A1408" s="468" t="s">
        <v>220</v>
      </c>
      <c r="B1408" s="468" t="s">
        <v>2351</v>
      </c>
      <c r="C1408" s="468" t="s">
        <v>3012</v>
      </c>
      <c r="D1408" s="468" t="s">
        <v>3013</v>
      </c>
      <c r="F1408" s="470">
        <v>6</v>
      </c>
      <c r="G1408" s="468">
        <v>14.939</v>
      </c>
      <c r="H1408" s="479">
        <v>89.634</v>
      </c>
      <c r="I1408" s="468" t="s">
        <v>9218</v>
      </c>
      <c r="J1408" s="468" t="s">
        <v>9219</v>
      </c>
      <c r="K1408" s="468" t="s">
        <v>9219</v>
      </c>
      <c r="L1408" s="468" t="s">
        <v>2354</v>
      </c>
    </row>
    <row r="1409" spans="1:12" x14ac:dyDescent="0.25">
      <c r="A1409" s="468" t="s">
        <v>220</v>
      </c>
      <c r="B1409" s="468" t="s">
        <v>2351</v>
      </c>
      <c r="C1409" s="468" t="s">
        <v>3014</v>
      </c>
      <c r="D1409" s="468" t="s">
        <v>3015</v>
      </c>
      <c r="F1409" s="470">
        <v>10</v>
      </c>
      <c r="G1409" s="468">
        <v>8.0329999999999995</v>
      </c>
      <c r="H1409" s="479">
        <v>80.33</v>
      </c>
      <c r="I1409" s="468" t="s">
        <v>9218</v>
      </c>
      <c r="J1409" s="468" t="s">
        <v>9219</v>
      </c>
      <c r="K1409" s="468" t="s">
        <v>9219</v>
      </c>
      <c r="L1409" s="468" t="s">
        <v>2354</v>
      </c>
    </row>
    <row r="1410" spans="1:12" x14ac:dyDescent="0.25">
      <c r="A1410" s="468" t="s">
        <v>220</v>
      </c>
      <c r="B1410" s="468" t="s">
        <v>2351</v>
      </c>
      <c r="C1410" s="468" t="s">
        <v>2381</v>
      </c>
      <c r="D1410" s="468" t="s">
        <v>2382</v>
      </c>
      <c r="F1410" s="470">
        <v>10</v>
      </c>
      <c r="G1410" s="468">
        <v>9.0969999999999995</v>
      </c>
      <c r="H1410" s="479">
        <v>90.97</v>
      </c>
      <c r="I1410" s="468" t="s">
        <v>9218</v>
      </c>
      <c r="J1410" s="468" t="s">
        <v>9219</v>
      </c>
      <c r="K1410" s="468" t="s">
        <v>9219</v>
      </c>
      <c r="L1410" s="468" t="s">
        <v>2354</v>
      </c>
    </row>
    <row r="1411" spans="1:12" x14ac:dyDescent="0.25">
      <c r="A1411" s="468" t="s">
        <v>220</v>
      </c>
      <c r="B1411" s="468" t="s">
        <v>2351</v>
      </c>
      <c r="C1411" s="468" t="s">
        <v>3016</v>
      </c>
      <c r="D1411" s="468" t="s">
        <v>3017</v>
      </c>
      <c r="F1411" s="470">
        <v>5</v>
      </c>
      <c r="G1411" s="468">
        <v>10.77</v>
      </c>
      <c r="H1411" s="479">
        <v>53.849999999999994</v>
      </c>
      <c r="I1411" s="468" t="s">
        <v>9218</v>
      </c>
      <c r="J1411" s="468" t="s">
        <v>9219</v>
      </c>
      <c r="K1411" s="468" t="s">
        <v>9219</v>
      </c>
      <c r="L1411" s="468" t="s">
        <v>2354</v>
      </c>
    </row>
    <row r="1412" spans="1:12" x14ac:dyDescent="0.25">
      <c r="A1412" s="468" t="s">
        <v>220</v>
      </c>
      <c r="B1412" s="468" t="s">
        <v>2351</v>
      </c>
      <c r="C1412" s="468" t="s">
        <v>3018</v>
      </c>
      <c r="D1412" s="468" t="s">
        <v>3019</v>
      </c>
      <c r="F1412" s="470">
        <v>9</v>
      </c>
      <c r="G1412" s="468">
        <v>14.39</v>
      </c>
      <c r="H1412" s="479">
        <v>129.51</v>
      </c>
      <c r="I1412" s="468" t="s">
        <v>9218</v>
      </c>
      <c r="J1412" s="468" t="s">
        <v>9219</v>
      </c>
      <c r="K1412" s="468" t="s">
        <v>9219</v>
      </c>
      <c r="L1412" s="468" t="s">
        <v>2354</v>
      </c>
    </row>
    <row r="1413" spans="1:12" x14ac:dyDescent="0.25">
      <c r="A1413" s="468" t="s">
        <v>220</v>
      </c>
      <c r="B1413" s="468" t="s">
        <v>2351</v>
      </c>
      <c r="C1413" s="468" t="s">
        <v>3020</v>
      </c>
      <c r="D1413" s="468" t="s">
        <v>3021</v>
      </c>
      <c r="F1413" s="470">
        <v>1</v>
      </c>
      <c r="G1413" s="468">
        <v>10.797000000000001</v>
      </c>
      <c r="H1413" s="479">
        <v>10.797000000000001</v>
      </c>
      <c r="I1413" s="468" t="s">
        <v>9218</v>
      </c>
      <c r="J1413" s="468" t="s">
        <v>9219</v>
      </c>
      <c r="K1413" s="468" t="s">
        <v>9219</v>
      </c>
      <c r="L1413" s="468" t="s">
        <v>2354</v>
      </c>
    </row>
    <row r="1414" spans="1:12" x14ac:dyDescent="0.25">
      <c r="A1414" s="468" t="s">
        <v>220</v>
      </c>
      <c r="B1414" s="468" t="s">
        <v>2351</v>
      </c>
      <c r="C1414" s="468" t="s">
        <v>3022</v>
      </c>
      <c r="D1414" s="468" t="s">
        <v>3023</v>
      </c>
      <c r="F1414" s="470">
        <v>4</v>
      </c>
      <c r="G1414" s="468">
        <v>16.75</v>
      </c>
      <c r="H1414" s="479">
        <v>67</v>
      </c>
      <c r="I1414" s="468" t="s">
        <v>9218</v>
      </c>
      <c r="J1414" s="468" t="s">
        <v>9219</v>
      </c>
      <c r="K1414" s="468" t="s">
        <v>9219</v>
      </c>
      <c r="L1414" s="468" t="s">
        <v>2354</v>
      </c>
    </row>
    <row r="1415" spans="1:12" x14ac:dyDescent="0.25">
      <c r="A1415" s="468" t="s">
        <v>220</v>
      </c>
      <c r="B1415" s="468" t="s">
        <v>2351</v>
      </c>
      <c r="C1415" s="468" t="s">
        <v>3024</v>
      </c>
      <c r="D1415" s="468" t="s">
        <v>3025</v>
      </c>
      <c r="F1415" s="470">
        <v>5</v>
      </c>
      <c r="G1415" s="468">
        <v>21.946999999999999</v>
      </c>
      <c r="H1415" s="479">
        <v>109.735</v>
      </c>
      <c r="I1415" s="468" t="s">
        <v>9218</v>
      </c>
      <c r="J1415" s="468" t="s">
        <v>9219</v>
      </c>
      <c r="K1415" s="468" t="s">
        <v>9219</v>
      </c>
      <c r="L1415" s="468" t="s">
        <v>2354</v>
      </c>
    </row>
    <row r="1416" spans="1:12" x14ac:dyDescent="0.25">
      <c r="A1416" s="468" t="s">
        <v>220</v>
      </c>
      <c r="B1416" s="468" t="s">
        <v>2351</v>
      </c>
      <c r="C1416" s="468" t="s">
        <v>5398</v>
      </c>
      <c r="D1416" s="468" t="s">
        <v>5399</v>
      </c>
      <c r="F1416" s="470">
        <v>12</v>
      </c>
      <c r="G1416" s="468">
        <v>33.905000000000001</v>
      </c>
      <c r="H1416" s="479">
        <v>406.86</v>
      </c>
      <c r="I1416" s="468" t="s">
        <v>9218</v>
      </c>
      <c r="J1416" s="468" t="s">
        <v>9219</v>
      </c>
      <c r="K1416" s="468" t="s">
        <v>9219</v>
      </c>
      <c r="L1416" s="468" t="s">
        <v>2354</v>
      </c>
    </row>
    <row r="1417" spans="1:12" x14ac:dyDescent="0.25">
      <c r="A1417" s="468" t="s">
        <v>220</v>
      </c>
      <c r="B1417" s="468" t="s">
        <v>2351</v>
      </c>
      <c r="C1417" s="468" t="s">
        <v>3026</v>
      </c>
      <c r="D1417" s="468" t="s">
        <v>3027</v>
      </c>
      <c r="F1417" s="470">
        <v>12</v>
      </c>
      <c r="G1417" s="468">
        <v>10.09</v>
      </c>
      <c r="H1417" s="479">
        <v>121.08</v>
      </c>
      <c r="I1417" s="468" t="s">
        <v>9218</v>
      </c>
      <c r="J1417" s="468" t="s">
        <v>9219</v>
      </c>
      <c r="K1417" s="468" t="s">
        <v>9219</v>
      </c>
      <c r="L1417" s="468" t="s">
        <v>2354</v>
      </c>
    </row>
    <row r="1418" spans="1:12" x14ac:dyDescent="0.25">
      <c r="A1418" s="468" t="s">
        <v>220</v>
      </c>
      <c r="B1418" s="468" t="s">
        <v>2351</v>
      </c>
      <c r="C1418" s="468" t="s">
        <v>3028</v>
      </c>
      <c r="D1418" s="468" t="s">
        <v>3029</v>
      </c>
      <c r="F1418" s="470">
        <v>6</v>
      </c>
      <c r="G1418" s="468">
        <v>11.944315384615383</v>
      </c>
      <c r="H1418" s="479">
        <v>71.665892307692303</v>
      </c>
      <c r="I1418" s="468" t="s">
        <v>9218</v>
      </c>
      <c r="J1418" s="468" t="s">
        <v>9219</v>
      </c>
      <c r="K1418" s="468" t="s">
        <v>9219</v>
      </c>
      <c r="L1418" s="468" t="s">
        <v>2354</v>
      </c>
    </row>
    <row r="1419" spans="1:12" x14ac:dyDescent="0.25">
      <c r="A1419" s="468" t="s">
        <v>220</v>
      </c>
      <c r="B1419" s="468" t="s">
        <v>2351</v>
      </c>
      <c r="C1419" s="468" t="s">
        <v>3030</v>
      </c>
      <c r="D1419" s="468" t="s">
        <v>3031</v>
      </c>
      <c r="F1419" s="470">
        <v>7</v>
      </c>
      <c r="G1419" s="468">
        <v>12.765000000000001</v>
      </c>
      <c r="H1419" s="479">
        <v>89.355000000000004</v>
      </c>
      <c r="I1419" s="468" t="s">
        <v>9218</v>
      </c>
      <c r="J1419" s="468" t="s">
        <v>9219</v>
      </c>
      <c r="K1419" s="468" t="s">
        <v>9219</v>
      </c>
      <c r="L1419" s="468" t="s">
        <v>2354</v>
      </c>
    </row>
    <row r="1420" spans="1:12" x14ac:dyDescent="0.25">
      <c r="A1420" s="468" t="s">
        <v>220</v>
      </c>
      <c r="B1420" s="468" t="s">
        <v>2351</v>
      </c>
      <c r="C1420" s="468" t="s">
        <v>3032</v>
      </c>
      <c r="D1420" s="468" t="s">
        <v>3033</v>
      </c>
      <c r="F1420" s="470">
        <v>8</v>
      </c>
      <c r="G1420" s="468">
        <v>43.987000000000002</v>
      </c>
      <c r="H1420" s="479">
        <v>351.89600000000002</v>
      </c>
      <c r="I1420" s="468" t="s">
        <v>9218</v>
      </c>
      <c r="J1420" s="468" t="s">
        <v>9219</v>
      </c>
      <c r="K1420" s="468" t="s">
        <v>9219</v>
      </c>
      <c r="L1420" s="468" t="s">
        <v>2354</v>
      </c>
    </row>
    <row r="1421" spans="1:12" x14ac:dyDescent="0.25">
      <c r="A1421" s="468" t="s">
        <v>220</v>
      </c>
      <c r="B1421" s="468" t="s">
        <v>2351</v>
      </c>
      <c r="C1421" s="468" t="s">
        <v>3034</v>
      </c>
      <c r="D1421" s="468" t="s">
        <v>3035</v>
      </c>
      <c r="F1421" s="470">
        <v>9</v>
      </c>
      <c r="G1421" s="468">
        <v>18.839700000000001</v>
      </c>
      <c r="H1421" s="479">
        <v>169.5573</v>
      </c>
      <c r="I1421" s="468" t="s">
        <v>9218</v>
      </c>
      <c r="J1421" s="468" t="s">
        <v>9219</v>
      </c>
      <c r="K1421" s="468" t="s">
        <v>9219</v>
      </c>
      <c r="L1421" s="468" t="s">
        <v>2354</v>
      </c>
    </row>
    <row r="1422" spans="1:12" x14ac:dyDescent="0.25">
      <c r="A1422" s="468" t="s">
        <v>220</v>
      </c>
      <c r="B1422" s="468" t="s">
        <v>2351</v>
      </c>
      <c r="C1422" s="468" t="s">
        <v>3036</v>
      </c>
      <c r="D1422" s="468" t="s">
        <v>3037</v>
      </c>
      <c r="F1422" s="470">
        <v>4</v>
      </c>
      <c r="H1422" s="479">
        <v>0</v>
      </c>
      <c r="I1422" s="468" t="s">
        <v>9218</v>
      </c>
      <c r="J1422" s="468" t="s">
        <v>9219</v>
      </c>
      <c r="K1422" s="468" t="s">
        <v>9219</v>
      </c>
      <c r="L1422" s="468" t="s">
        <v>2354</v>
      </c>
    </row>
    <row r="1423" spans="1:12" x14ac:dyDescent="0.25">
      <c r="A1423" s="468" t="s">
        <v>220</v>
      </c>
      <c r="B1423" s="468" t="s">
        <v>2351</v>
      </c>
      <c r="C1423" s="468" t="s">
        <v>3038</v>
      </c>
      <c r="D1423" s="468" t="s">
        <v>3039</v>
      </c>
      <c r="F1423" s="470">
        <v>2</v>
      </c>
      <c r="G1423" s="468">
        <v>19.727550000000001</v>
      </c>
      <c r="H1423" s="479">
        <v>39.455100000000002</v>
      </c>
      <c r="I1423" s="468" t="s">
        <v>9218</v>
      </c>
      <c r="J1423" s="468" t="s">
        <v>9219</v>
      </c>
      <c r="K1423" s="468" t="s">
        <v>9219</v>
      </c>
      <c r="L1423" s="468" t="s">
        <v>2354</v>
      </c>
    </row>
    <row r="1424" spans="1:12" x14ac:dyDescent="0.25">
      <c r="A1424" s="468" t="s">
        <v>220</v>
      </c>
      <c r="B1424" s="468" t="s">
        <v>2351</v>
      </c>
      <c r="C1424" s="468" t="s">
        <v>3040</v>
      </c>
      <c r="D1424" s="468" t="s">
        <v>3041</v>
      </c>
      <c r="F1424" s="470">
        <v>8</v>
      </c>
      <c r="G1424" s="468">
        <v>3.7953000000000001</v>
      </c>
      <c r="H1424" s="479">
        <v>30.362400000000001</v>
      </c>
      <c r="I1424" s="468" t="s">
        <v>9218</v>
      </c>
      <c r="J1424" s="468" t="s">
        <v>9219</v>
      </c>
      <c r="K1424" s="468" t="s">
        <v>9219</v>
      </c>
      <c r="L1424" s="468" t="s">
        <v>2354</v>
      </c>
    </row>
    <row r="1425" spans="1:12" x14ac:dyDescent="0.25">
      <c r="A1425" s="468" t="s">
        <v>220</v>
      </c>
      <c r="B1425" s="468" t="s">
        <v>2351</v>
      </c>
      <c r="C1425" s="468" t="s">
        <v>3042</v>
      </c>
      <c r="D1425" s="468" t="s">
        <v>3043</v>
      </c>
      <c r="F1425" s="470">
        <v>14</v>
      </c>
      <c r="G1425" s="468">
        <v>40.950000000000003</v>
      </c>
      <c r="H1425" s="479">
        <v>573.30000000000007</v>
      </c>
      <c r="I1425" s="468" t="s">
        <v>9218</v>
      </c>
      <c r="J1425" s="468" t="s">
        <v>9219</v>
      </c>
      <c r="K1425" s="468" t="s">
        <v>9219</v>
      </c>
      <c r="L1425" s="468" t="s">
        <v>2354</v>
      </c>
    </row>
    <row r="1426" spans="1:12" x14ac:dyDescent="0.25">
      <c r="A1426" s="468" t="s">
        <v>220</v>
      </c>
      <c r="B1426" s="468" t="s">
        <v>2351</v>
      </c>
      <c r="C1426" s="468" t="s">
        <v>3044</v>
      </c>
      <c r="D1426" s="468" t="s">
        <v>3045</v>
      </c>
      <c r="F1426" s="470">
        <v>8</v>
      </c>
      <c r="G1426" s="468">
        <v>29.152000000000001</v>
      </c>
      <c r="H1426" s="479">
        <v>233.21600000000001</v>
      </c>
      <c r="I1426" s="468" t="s">
        <v>9218</v>
      </c>
      <c r="J1426" s="468" t="s">
        <v>9219</v>
      </c>
      <c r="K1426" s="468" t="s">
        <v>9219</v>
      </c>
      <c r="L1426" s="468" t="s">
        <v>2354</v>
      </c>
    </row>
    <row r="1427" spans="1:12" x14ac:dyDescent="0.25">
      <c r="A1427" s="468" t="s">
        <v>220</v>
      </c>
      <c r="B1427" s="468" t="s">
        <v>2351</v>
      </c>
      <c r="C1427" s="468" t="s">
        <v>3046</v>
      </c>
      <c r="D1427" s="468" t="s">
        <v>3047</v>
      </c>
      <c r="F1427" s="470">
        <v>9</v>
      </c>
      <c r="G1427" s="468">
        <v>53.088999999999999</v>
      </c>
      <c r="H1427" s="479">
        <v>477.80099999999999</v>
      </c>
      <c r="I1427" s="468" t="s">
        <v>9218</v>
      </c>
      <c r="J1427" s="468" t="s">
        <v>9219</v>
      </c>
      <c r="K1427" s="468" t="s">
        <v>9219</v>
      </c>
      <c r="L1427" s="468" t="s">
        <v>2354</v>
      </c>
    </row>
    <row r="1428" spans="1:12" x14ac:dyDescent="0.25">
      <c r="A1428" s="468" t="s">
        <v>220</v>
      </c>
      <c r="B1428" s="468" t="s">
        <v>2351</v>
      </c>
      <c r="C1428" s="468" t="s">
        <v>3048</v>
      </c>
      <c r="D1428" s="468" t="s">
        <v>3049</v>
      </c>
      <c r="F1428" s="470">
        <v>17</v>
      </c>
      <c r="G1428" s="468">
        <v>9</v>
      </c>
      <c r="H1428" s="479">
        <v>153</v>
      </c>
      <c r="I1428" s="468" t="s">
        <v>9218</v>
      </c>
      <c r="J1428" s="468" t="s">
        <v>9219</v>
      </c>
      <c r="K1428" s="468" t="s">
        <v>9219</v>
      </c>
      <c r="L1428" s="468" t="s">
        <v>2354</v>
      </c>
    </row>
    <row r="1429" spans="1:12" x14ac:dyDescent="0.25">
      <c r="A1429" s="468" t="s">
        <v>220</v>
      </c>
      <c r="B1429" s="468" t="s">
        <v>2351</v>
      </c>
      <c r="C1429" s="468" t="s">
        <v>3050</v>
      </c>
      <c r="D1429" s="468" t="s">
        <v>3051</v>
      </c>
      <c r="F1429" s="470">
        <v>4</v>
      </c>
      <c r="G1429" s="468">
        <v>8.8420000000000005</v>
      </c>
      <c r="H1429" s="479">
        <v>35.368000000000002</v>
      </c>
      <c r="I1429" s="468" t="s">
        <v>9218</v>
      </c>
      <c r="J1429" s="468" t="s">
        <v>9219</v>
      </c>
      <c r="K1429" s="468" t="s">
        <v>9219</v>
      </c>
      <c r="L1429" s="468" t="s">
        <v>2354</v>
      </c>
    </row>
    <row r="1430" spans="1:12" x14ac:dyDescent="0.25">
      <c r="A1430" s="468" t="s">
        <v>220</v>
      </c>
      <c r="B1430" s="468" t="s">
        <v>2351</v>
      </c>
      <c r="C1430" s="468" t="s">
        <v>3052</v>
      </c>
      <c r="D1430" s="468" t="s">
        <v>3053</v>
      </c>
      <c r="F1430" s="470">
        <v>8</v>
      </c>
      <c r="G1430" s="468">
        <v>8.2926000000000002</v>
      </c>
      <c r="H1430" s="479">
        <v>66.340800000000002</v>
      </c>
      <c r="I1430" s="468" t="s">
        <v>9218</v>
      </c>
      <c r="J1430" s="468" t="s">
        <v>9219</v>
      </c>
      <c r="K1430" s="468" t="s">
        <v>9219</v>
      </c>
      <c r="L1430" s="468" t="s">
        <v>2354</v>
      </c>
    </row>
    <row r="1431" spans="1:12" x14ac:dyDescent="0.25">
      <c r="A1431" s="468" t="s">
        <v>220</v>
      </c>
      <c r="B1431" s="468" t="s">
        <v>2351</v>
      </c>
      <c r="C1431" s="468" t="s">
        <v>3054</v>
      </c>
      <c r="D1431" s="468" t="s">
        <v>3055</v>
      </c>
      <c r="F1431" s="470">
        <v>4</v>
      </c>
      <c r="G1431" s="468">
        <v>32.31</v>
      </c>
      <c r="H1431" s="479">
        <v>129.24</v>
      </c>
      <c r="I1431" s="468" t="s">
        <v>9218</v>
      </c>
      <c r="J1431" s="468" t="s">
        <v>9219</v>
      </c>
      <c r="K1431" s="468" t="s">
        <v>9219</v>
      </c>
      <c r="L1431" s="468" t="s">
        <v>2354</v>
      </c>
    </row>
    <row r="1432" spans="1:12" x14ac:dyDescent="0.25">
      <c r="A1432" s="468" t="s">
        <v>220</v>
      </c>
      <c r="B1432" s="468" t="s">
        <v>2351</v>
      </c>
      <c r="C1432" s="468" t="s">
        <v>3056</v>
      </c>
      <c r="D1432" s="468" t="s">
        <v>7559</v>
      </c>
      <c r="F1432" s="470">
        <v>2</v>
      </c>
      <c r="G1432" s="468">
        <v>32.58</v>
      </c>
      <c r="H1432" s="479">
        <v>65.16</v>
      </c>
      <c r="I1432" s="468" t="s">
        <v>9218</v>
      </c>
      <c r="J1432" s="468" t="s">
        <v>9219</v>
      </c>
      <c r="K1432" s="468" t="s">
        <v>9219</v>
      </c>
      <c r="L1432" s="468" t="s">
        <v>2354</v>
      </c>
    </row>
    <row r="1433" spans="1:12" x14ac:dyDescent="0.25">
      <c r="A1433" s="468" t="s">
        <v>220</v>
      </c>
      <c r="B1433" s="468" t="s">
        <v>2351</v>
      </c>
      <c r="C1433" s="468" t="s">
        <v>3058</v>
      </c>
      <c r="D1433" s="468" t="s">
        <v>7561</v>
      </c>
      <c r="F1433" s="470">
        <v>4</v>
      </c>
      <c r="G1433" s="468">
        <v>61.728299999999997</v>
      </c>
      <c r="H1433" s="479">
        <v>246.91319999999999</v>
      </c>
      <c r="I1433" s="468" t="s">
        <v>9218</v>
      </c>
      <c r="J1433" s="468" t="s">
        <v>9219</v>
      </c>
      <c r="K1433" s="468" t="s">
        <v>9219</v>
      </c>
      <c r="L1433" s="468" t="s">
        <v>2354</v>
      </c>
    </row>
    <row r="1434" spans="1:12" x14ac:dyDescent="0.25">
      <c r="A1434" s="468" t="s">
        <v>220</v>
      </c>
      <c r="B1434" s="468" t="s">
        <v>2351</v>
      </c>
      <c r="C1434" s="468" t="s">
        <v>5400</v>
      </c>
      <c r="D1434" s="468" t="s">
        <v>5401</v>
      </c>
      <c r="F1434" s="470">
        <v>12</v>
      </c>
      <c r="G1434" s="468">
        <v>9.7550000000000008</v>
      </c>
      <c r="H1434" s="479">
        <v>117.06</v>
      </c>
      <c r="I1434" s="468" t="s">
        <v>9218</v>
      </c>
      <c r="J1434" s="468" t="s">
        <v>9219</v>
      </c>
      <c r="K1434" s="468" t="s">
        <v>9219</v>
      </c>
      <c r="L1434" s="468" t="s">
        <v>2354</v>
      </c>
    </row>
    <row r="1435" spans="1:12" x14ac:dyDescent="0.25">
      <c r="A1435" s="468" t="s">
        <v>220</v>
      </c>
      <c r="B1435" s="468" t="s">
        <v>2351</v>
      </c>
      <c r="C1435" s="468" t="s">
        <v>3059</v>
      </c>
      <c r="D1435" s="468" t="s">
        <v>3060</v>
      </c>
      <c r="F1435" s="470">
        <v>1</v>
      </c>
      <c r="G1435" s="468">
        <v>284.39999999999998</v>
      </c>
      <c r="H1435" s="479">
        <v>284.39999999999998</v>
      </c>
      <c r="I1435" s="468" t="s">
        <v>9218</v>
      </c>
      <c r="J1435" s="468" t="s">
        <v>9219</v>
      </c>
      <c r="K1435" s="468" t="s">
        <v>9219</v>
      </c>
      <c r="L1435" s="468" t="s">
        <v>2354</v>
      </c>
    </row>
    <row r="1436" spans="1:12" x14ac:dyDescent="0.25">
      <c r="A1436" s="468" t="s">
        <v>220</v>
      </c>
      <c r="B1436" s="468" t="s">
        <v>2351</v>
      </c>
      <c r="C1436" s="468" t="s">
        <v>3061</v>
      </c>
      <c r="D1436" s="468" t="s">
        <v>3062</v>
      </c>
      <c r="F1436" s="470">
        <v>1</v>
      </c>
      <c r="G1436" s="468">
        <v>10.7127</v>
      </c>
      <c r="H1436" s="479">
        <v>10.7127</v>
      </c>
      <c r="I1436" s="468" t="s">
        <v>9218</v>
      </c>
      <c r="J1436" s="468" t="s">
        <v>9219</v>
      </c>
      <c r="K1436" s="468" t="s">
        <v>9219</v>
      </c>
      <c r="L1436" s="468" t="s">
        <v>2354</v>
      </c>
    </row>
    <row r="1437" spans="1:12" x14ac:dyDescent="0.25">
      <c r="A1437" s="468" t="s">
        <v>220</v>
      </c>
      <c r="B1437" s="468" t="s">
        <v>2351</v>
      </c>
      <c r="C1437" s="468" t="s">
        <v>3063</v>
      </c>
      <c r="D1437" s="468" t="s">
        <v>3064</v>
      </c>
      <c r="F1437" s="470">
        <v>1</v>
      </c>
      <c r="G1437" s="468">
        <v>697.5</v>
      </c>
      <c r="H1437" s="479">
        <v>697.5</v>
      </c>
      <c r="I1437" s="468" t="s">
        <v>9218</v>
      </c>
      <c r="J1437" s="468" t="s">
        <v>9219</v>
      </c>
      <c r="K1437" s="468" t="s">
        <v>9219</v>
      </c>
      <c r="L1437" s="468" t="s">
        <v>2354</v>
      </c>
    </row>
    <row r="1438" spans="1:12" x14ac:dyDescent="0.25">
      <c r="A1438" s="468" t="s">
        <v>220</v>
      </c>
      <c r="B1438" s="468" t="s">
        <v>2351</v>
      </c>
      <c r="C1438" s="468" t="s">
        <v>3065</v>
      </c>
      <c r="D1438" s="468" t="s">
        <v>3066</v>
      </c>
      <c r="F1438" s="470">
        <v>2</v>
      </c>
      <c r="G1438" s="468">
        <v>118.96</v>
      </c>
      <c r="H1438" s="479">
        <v>237.92</v>
      </c>
      <c r="I1438" s="468" t="s">
        <v>9218</v>
      </c>
      <c r="J1438" s="468" t="s">
        <v>9219</v>
      </c>
      <c r="K1438" s="468" t="s">
        <v>9219</v>
      </c>
      <c r="L1438" s="468" t="s">
        <v>2354</v>
      </c>
    </row>
    <row r="1439" spans="1:12" x14ac:dyDescent="0.25">
      <c r="A1439" s="468" t="s">
        <v>220</v>
      </c>
      <c r="B1439" s="468" t="s">
        <v>2351</v>
      </c>
      <c r="C1439" s="468" t="s">
        <v>3069</v>
      </c>
      <c r="D1439" s="468" t="s">
        <v>3070</v>
      </c>
      <c r="F1439" s="470">
        <v>2</v>
      </c>
      <c r="G1439" s="468">
        <v>73.355999999999995</v>
      </c>
      <c r="H1439" s="479">
        <v>146.71199999999999</v>
      </c>
      <c r="I1439" s="468" t="s">
        <v>9218</v>
      </c>
      <c r="J1439" s="468" t="s">
        <v>9219</v>
      </c>
      <c r="K1439" s="468" t="s">
        <v>9219</v>
      </c>
      <c r="L1439" s="468" t="s">
        <v>2354</v>
      </c>
    </row>
    <row r="1440" spans="1:12" x14ac:dyDescent="0.25">
      <c r="A1440" s="468" t="s">
        <v>220</v>
      </c>
      <c r="B1440" s="468" t="s">
        <v>2351</v>
      </c>
      <c r="C1440" s="468" t="s">
        <v>3071</v>
      </c>
      <c r="D1440" s="468" t="s">
        <v>3072</v>
      </c>
      <c r="F1440" s="470">
        <v>2</v>
      </c>
      <c r="G1440" s="468">
        <v>10.17</v>
      </c>
      <c r="H1440" s="479">
        <v>20.34</v>
      </c>
      <c r="I1440" s="468" t="s">
        <v>9218</v>
      </c>
      <c r="J1440" s="468" t="s">
        <v>9219</v>
      </c>
      <c r="K1440" s="468" t="s">
        <v>9219</v>
      </c>
      <c r="L1440" s="468" t="s">
        <v>2354</v>
      </c>
    </row>
    <row r="1441" spans="1:12" x14ac:dyDescent="0.25">
      <c r="A1441" s="468" t="s">
        <v>220</v>
      </c>
      <c r="B1441" s="468" t="s">
        <v>2351</v>
      </c>
      <c r="C1441" s="468" t="s">
        <v>3073</v>
      </c>
      <c r="D1441" s="468" t="s">
        <v>3074</v>
      </c>
      <c r="F1441" s="470">
        <v>6</v>
      </c>
      <c r="G1441" s="468">
        <v>35.276062499999995</v>
      </c>
      <c r="H1441" s="479">
        <v>211.65637499999997</v>
      </c>
      <c r="I1441" s="468" t="s">
        <v>9218</v>
      </c>
      <c r="J1441" s="468" t="s">
        <v>9219</v>
      </c>
      <c r="K1441" s="468" t="s">
        <v>9219</v>
      </c>
      <c r="L1441" s="468" t="s">
        <v>2354</v>
      </c>
    </row>
    <row r="1442" spans="1:12" x14ac:dyDescent="0.25">
      <c r="A1442" s="468" t="s">
        <v>220</v>
      </c>
      <c r="B1442" s="468" t="s">
        <v>2351</v>
      </c>
      <c r="C1442" s="468" t="s">
        <v>3075</v>
      </c>
      <c r="D1442" s="468" t="s">
        <v>3076</v>
      </c>
      <c r="F1442" s="470">
        <v>5</v>
      </c>
      <c r="G1442" s="468">
        <v>14.266999999999999</v>
      </c>
      <c r="H1442" s="479">
        <v>71.334999999999994</v>
      </c>
      <c r="I1442" s="468" t="s">
        <v>9218</v>
      </c>
      <c r="J1442" s="468" t="s">
        <v>9219</v>
      </c>
      <c r="K1442" s="468" t="s">
        <v>9219</v>
      </c>
      <c r="L1442" s="468" t="s">
        <v>2354</v>
      </c>
    </row>
    <row r="1443" spans="1:12" x14ac:dyDescent="0.25">
      <c r="A1443" s="468" t="s">
        <v>220</v>
      </c>
      <c r="B1443" s="468" t="s">
        <v>2351</v>
      </c>
      <c r="C1443" s="468" t="s">
        <v>3077</v>
      </c>
      <c r="D1443" s="468" t="s">
        <v>3078</v>
      </c>
      <c r="F1443" s="470">
        <v>10</v>
      </c>
      <c r="G1443" s="468">
        <v>19.440000000000001</v>
      </c>
      <c r="H1443" s="479">
        <v>194.4</v>
      </c>
      <c r="I1443" s="468" t="s">
        <v>9218</v>
      </c>
      <c r="J1443" s="468" t="s">
        <v>9219</v>
      </c>
      <c r="K1443" s="468" t="s">
        <v>9219</v>
      </c>
      <c r="L1443" s="468" t="s">
        <v>2354</v>
      </c>
    </row>
    <row r="1444" spans="1:12" x14ac:dyDescent="0.25">
      <c r="A1444" s="468" t="s">
        <v>220</v>
      </c>
      <c r="B1444" s="468" t="s">
        <v>2351</v>
      </c>
      <c r="C1444" s="468" t="s">
        <v>3079</v>
      </c>
      <c r="D1444" s="468" t="s">
        <v>3080</v>
      </c>
      <c r="F1444" s="470">
        <v>13</v>
      </c>
      <c r="G1444" s="468">
        <v>22.138000000000002</v>
      </c>
      <c r="H1444" s="479">
        <v>287.79400000000004</v>
      </c>
      <c r="I1444" s="468" t="s">
        <v>9218</v>
      </c>
      <c r="J1444" s="468" t="s">
        <v>9219</v>
      </c>
      <c r="K1444" s="468" t="s">
        <v>9219</v>
      </c>
      <c r="L1444" s="468" t="s">
        <v>2354</v>
      </c>
    </row>
    <row r="1445" spans="1:12" x14ac:dyDescent="0.25">
      <c r="A1445" s="468" t="s">
        <v>220</v>
      </c>
      <c r="B1445" s="468" t="s">
        <v>2351</v>
      </c>
      <c r="C1445" s="468" t="s">
        <v>3081</v>
      </c>
      <c r="D1445" s="468" t="s">
        <v>3082</v>
      </c>
      <c r="F1445" s="470">
        <v>5</v>
      </c>
      <c r="G1445" s="468">
        <v>9.9668571428571422</v>
      </c>
      <c r="H1445" s="479">
        <v>49.834285714285713</v>
      </c>
      <c r="I1445" s="468" t="s">
        <v>9218</v>
      </c>
      <c r="J1445" s="468" t="s">
        <v>9219</v>
      </c>
      <c r="K1445" s="468" t="s">
        <v>9219</v>
      </c>
      <c r="L1445" s="468" t="s">
        <v>2354</v>
      </c>
    </row>
    <row r="1446" spans="1:12" x14ac:dyDescent="0.25">
      <c r="A1446" s="468" t="s">
        <v>220</v>
      </c>
      <c r="B1446" s="468" t="s">
        <v>2351</v>
      </c>
      <c r="C1446" s="468" t="s">
        <v>3083</v>
      </c>
      <c r="D1446" s="468" t="s">
        <v>3084</v>
      </c>
      <c r="F1446" s="470">
        <v>4</v>
      </c>
      <c r="G1446" s="468">
        <v>27</v>
      </c>
      <c r="H1446" s="479">
        <v>108</v>
      </c>
      <c r="I1446" s="468" t="s">
        <v>9218</v>
      </c>
      <c r="J1446" s="468" t="s">
        <v>9219</v>
      </c>
      <c r="K1446" s="468" t="s">
        <v>9219</v>
      </c>
      <c r="L1446" s="468" t="s">
        <v>2354</v>
      </c>
    </row>
    <row r="1447" spans="1:12" x14ac:dyDescent="0.25">
      <c r="A1447" s="468" t="s">
        <v>220</v>
      </c>
      <c r="B1447" s="468" t="s">
        <v>2351</v>
      </c>
      <c r="C1447" s="468" t="s">
        <v>5370</v>
      </c>
      <c r="D1447" s="468" t="s">
        <v>5371</v>
      </c>
      <c r="F1447" s="470">
        <v>8</v>
      </c>
      <c r="G1447" s="468">
        <v>11.438000000000001</v>
      </c>
      <c r="H1447" s="479">
        <v>91.504000000000005</v>
      </c>
      <c r="I1447" s="468" t="s">
        <v>9218</v>
      </c>
      <c r="J1447" s="468" t="s">
        <v>9219</v>
      </c>
      <c r="K1447" s="468" t="s">
        <v>9219</v>
      </c>
      <c r="L1447" s="468" t="s">
        <v>2354</v>
      </c>
    </row>
    <row r="1448" spans="1:12" x14ac:dyDescent="0.25">
      <c r="A1448" s="468" t="s">
        <v>220</v>
      </c>
      <c r="B1448" s="468" t="s">
        <v>2351</v>
      </c>
      <c r="C1448" s="468" t="s">
        <v>3085</v>
      </c>
      <c r="D1448" s="468" t="s">
        <v>3086</v>
      </c>
      <c r="F1448" s="470">
        <v>6</v>
      </c>
      <c r="G1448" s="468">
        <v>43.400700000000001</v>
      </c>
      <c r="H1448" s="479">
        <v>260.4042</v>
      </c>
      <c r="I1448" s="468" t="s">
        <v>9218</v>
      </c>
      <c r="J1448" s="468" t="s">
        <v>9219</v>
      </c>
      <c r="K1448" s="468" t="s">
        <v>9219</v>
      </c>
      <c r="L1448" s="468" t="s">
        <v>2354</v>
      </c>
    </row>
    <row r="1449" spans="1:12" x14ac:dyDescent="0.25">
      <c r="A1449" s="468" t="s">
        <v>220</v>
      </c>
      <c r="B1449" s="468" t="s">
        <v>2351</v>
      </c>
      <c r="C1449" s="468" t="s">
        <v>3087</v>
      </c>
      <c r="D1449" s="468" t="s">
        <v>3088</v>
      </c>
      <c r="F1449" s="470">
        <v>6</v>
      </c>
      <c r="G1449" s="468">
        <v>31.5945</v>
      </c>
      <c r="H1449" s="479">
        <v>189.56700000000001</v>
      </c>
      <c r="I1449" s="468" t="s">
        <v>9218</v>
      </c>
      <c r="J1449" s="468" t="s">
        <v>9219</v>
      </c>
      <c r="K1449" s="468" t="s">
        <v>9219</v>
      </c>
      <c r="L1449" s="468" t="s">
        <v>2354</v>
      </c>
    </row>
    <row r="1450" spans="1:12" x14ac:dyDescent="0.25">
      <c r="A1450" s="468" t="s">
        <v>220</v>
      </c>
      <c r="B1450" s="468" t="s">
        <v>2351</v>
      </c>
      <c r="C1450" s="468" t="s">
        <v>3089</v>
      </c>
      <c r="D1450" s="468" t="s">
        <v>3090</v>
      </c>
      <c r="F1450" s="470">
        <v>8</v>
      </c>
      <c r="G1450" s="468">
        <v>10.829699999999999</v>
      </c>
      <c r="H1450" s="479">
        <v>86.637599999999992</v>
      </c>
      <c r="I1450" s="468" t="s">
        <v>9218</v>
      </c>
      <c r="J1450" s="468" t="s">
        <v>9219</v>
      </c>
      <c r="K1450" s="468" t="s">
        <v>9219</v>
      </c>
      <c r="L1450" s="468" t="s">
        <v>2354</v>
      </c>
    </row>
    <row r="1451" spans="1:12" x14ac:dyDescent="0.25">
      <c r="A1451" s="468" t="s">
        <v>220</v>
      </c>
      <c r="B1451" s="468" t="s">
        <v>2351</v>
      </c>
      <c r="C1451" s="468" t="s">
        <v>3091</v>
      </c>
      <c r="D1451" s="468" t="s">
        <v>3092</v>
      </c>
      <c r="F1451" s="470">
        <v>2</v>
      </c>
      <c r="G1451" s="468">
        <v>95.915700000000001</v>
      </c>
      <c r="H1451" s="479">
        <v>191.8314</v>
      </c>
      <c r="I1451" s="468" t="s">
        <v>9218</v>
      </c>
      <c r="J1451" s="468" t="s">
        <v>9219</v>
      </c>
      <c r="K1451" s="468" t="s">
        <v>9219</v>
      </c>
      <c r="L1451" s="468" t="s">
        <v>2354</v>
      </c>
    </row>
    <row r="1452" spans="1:12" x14ac:dyDescent="0.25">
      <c r="A1452" s="468" t="s">
        <v>220</v>
      </c>
      <c r="B1452" s="468" t="s">
        <v>2351</v>
      </c>
      <c r="C1452" s="468" t="s">
        <v>3093</v>
      </c>
      <c r="D1452" s="468" t="s">
        <v>3094</v>
      </c>
      <c r="F1452" s="470">
        <v>1</v>
      </c>
      <c r="G1452" s="468">
        <v>94.6845</v>
      </c>
      <c r="H1452" s="479">
        <v>94.6845</v>
      </c>
      <c r="I1452" s="468" t="s">
        <v>9218</v>
      </c>
      <c r="J1452" s="468" t="s">
        <v>9219</v>
      </c>
      <c r="K1452" s="468" t="s">
        <v>9219</v>
      </c>
      <c r="L1452" s="468" t="s">
        <v>2354</v>
      </c>
    </row>
    <row r="1453" spans="1:12" x14ac:dyDescent="0.25">
      <c r="A1453" s="468" t="s">
        <v>220</v>
      </c>
      <c r="B1453" s="468" t="s">
        <v>2351</v>
      </c>
      <c r="C1453" s="468" t="s">
        <v>3095</v>
      </c>
      <c r="D1453" s="468" t="s">
        <v>3096</v>
      </c>
      <c r="F1453" s="470">
        <v>1</v>
      </c>
      <c r="G1453" s="468">
        <v>230.4855</v>
      </c>
      <c r="H1453" s="479">
        <v>230.4855</v>
      </c>
      <c r="I1453" s="468" t="s">
        <v>9218</v>
      </c>
      <c r="J1453" s="468" t="s">
        <v>9219</v>
      </c>
      <c r="K1453" s="468" t="s">
        <v>9219</v>
      </c>
      <c r="L1453" s="468" t="s">
        <v>2354</v>
      </c>
    </row>
    <row r="1454" spans="1:12" x14ac:dyDescent="0.25">
      <c r="A1454" s="468" t="s">
        <v>220</v>
      </c>
      <c r="B1454" s="468" t="s">
        <v>2351</v>
      </c>
      <c r="C1454" s="468" t="s">
        <v>3097</v>
      </c>
      <c r="D1454" s="468" t="s">
        <v>3098</v>
      </c>
      <c r="F1454" s="470">
        <v>1</v>
      </c>
      <c r="H1454" s="479">
        <v>0</v>
      </c>
      <c r="I1454" s="468" t="s">
        <v>9218</v>
      </c>
      <c r="J1454" s="468" t="s">
        <v>9219</v>
      </c>
      <c r="K1454" s="468" t="s">
        <v>9219</v>
      </c>
      <c r="L1454" s="468" t="s">
        <v>2354</v>
      </c>
    </row>
    <row r="1455" spans="1:12" x14ac:dyDescent="0.25">
      <c r="A1455" s="468" t="s">
        <v>220</v>
      </c>
      <c r="B1455" s="468" t="s">
        <v>2351</v>
      </c>
      <c r="C1455" s="468" t="s">
        <v>3099</v>
      </c>
      <c r="D1455" s="468" t="s">
        <v>3100</v>
      </c>
      <c r="F1455" s="470">
        <v>7</v>
      </c>
      <c r="G1455" s="468">
        <v>113.2002</v>
      </c>
      <c r="H1455" s="479">
        <v>792.40139999999997</v>
      </c>
      <c r="I1455" s="468" t="s">
        <v>9218</v>
      </c>
      <c r="J1455" s="468" t="s">
        <v>9219</v>
      </c>
      <c r="K1455" s="468" t="s">
        <v>9219</v>
      </c>
      <c r="L1455" s="468" t="s">
        <v>2354</v>
      </c>
    </row>
    <row r="1456" spans="1:12" x14ac:dyDescent="0.25">
      <c r="A1456" s="468" t="s">
        <v>220</v>
      </c>
      <c r="B1456" s="468" t="s">
        <v>2351</v>
      </c>
      <c r="C1456" s="468" t="s">
        <v>3101</v>
      </c>
      <c r="D1456" s="468" t="s">
        <v>3102</v>
      </c>
      <c r="F1456" s="470">
        <v>8</v>
      </c>
      <c r="G1456" s="468">
        <v>12.132</v>
      </c>
      <c r="H1456" s="479">
        <v>97.055999999999997</v>
      </c>
      <c r="I1456" s="468" t="s">
        <v>9218</v>
      </c>
      <c r="J1456" s="468" t="s">
        <v>9219</v>
      </c>
      <c r="K1456" s="468" t="s">
        <v>9219</v>
      </c>
      <c r="L1456" s="468" t="s">
        <v>2354</v>
      </c>
    </row>
    <row r="1457" spans="1:12" x14ac:dyDescent="0.25">
      <c r="A1457" s="468" t="s">
        <v>220</v>
      </c>
      <c r="B1457" s="468" t="s">
        <v>2351</v>
      </c>
      <c r="C1457" s="468" t="s">
        <v>3103</v>
      </c>
      <c r="D1457" s="468" t="s">
        <v>3104</v>
      </c>
      <c r="F1457" s="470">
        <v>2</v>
      </c>
      <c r="H1457" s="479">
        <v>0</v>
      </c>
      <c r="I1457" s="468" t="s">
        <v>9218</v>
      </c>
      <c r="J1457" s="468" t="s">
        <v>9219</v>
      </c>
      <c r="K1457" s="468" t="s">
        <v>9219</v>
      </c>
      <c r="L1457" s="468" t="s">
        <v>2354</v>
      </c>
    </row>
    <row r="1458" spans="1:12" x14ac:dyDescent="0.25">
      <c r="A1458" s="468" t="s">
        <v>220</v>
      </c>
      <c r="B1458" s="468" t="s">
        <v>2351</v>
      </c>
      <c r="C1458" s="468" t="s">
        <v>3105</v>
      </c>
      <c r="D1458" s="468" t="s">
        <v>3106</v>
      </c>
      <c r="F1458" s="470">
        <v>1</v>
      </c>
      <c r="H1458" s="479">
        <v>0</v>
      </c>
      <c r="I1458" s="468" t="s">
        <v>9218</v>
      </c>
      <c r="J1458" s="468" t="s">
        <v>9219</v>
      </c>
      <c r="K1458" s="468" t="s">
        <v>9219</v>
      </c>
      <c r="L1458" s="468" t="s">
        <v>2354</v>
      </c>
    </row>
    <row r="1459" spans="1:12" x14ac:dyDescent="0.25">
      <c r="A1459" s="468" t="s">
        <v>220</v>
      </c>
      <c r="B1459" s="468" t="s">
        <v>2351</v>
      </c>
      <c r="C1459" s="468" t="s">
        <v>3107</v>
      </c>
      <c r="D1459" s="468" t="s">
        <v>3108</v>
      </c>
      <c r="F1459" s="470">
        <v>2</v>
      </c>
      <c r="H1459" s="479">
        <v>0</v>
      </c>
      <c r="I1459" s="468" t="s">
        <v>9218</v>
      </c>
      <c r="J1459" s="468" t="s">
        <v>9219</v>
      </c>
      <c r="K1459" s="468" t="s">
        <v>9219</v>
      </c>
      <c r="L1459" s="468" t="s">
        <v>2354</v>
      </c>
    </row>
    <row r="1460" spans="1:12" x14ac:dyDescent="0.25">
      <c r="A1460" s="468" t="s">
        <v>220</v>
      </c>
      <c r="B1460" s="468" t="s">
        <v>2351</v>
      </c>
      <c r="C1460" s="468" t="s">
        <v>3109</v>
      </c>
      <c r="D1460" s="468" t="s">
        <v>3110</v>
      </c>
      <c r="F1460" s="470">
        <v>1</v>
      </c>
      <c r="H1460" s="479">
        <v>0</v>
      </c>
      <c r="I1460" s="468" t="s">
        <v>9218</v>
      </c>
      <c r="J1460" s="468" t="s">
        <v>9219</v>
      </c>
      <c r="K1460" s="468" t="s">
        <v>9219</v>
      </c>
      <c r="L1460" s="468" t="s">
        <v>2354</v>
      </c>
    </row>
    <row r="1461" spans="1:12" x14ac:dyDescent="0.25">
      <c r="A1461" s="468" t="s">
        <v>220</v>
      </c>
      <c r="B1461" s="468" t="s">
        <v>2351</v>
      </c>
      <c r="C1461" s="468" t="s">
        <v>3113</v>
      </c>
      <c r="D1461" s="468" t="s">
        <v>3114</v>
      </c>
      <c r="F1461" s="470">
        <v>1</v>
      </c>
      <c r="G1461" s="468">
        <v>174.6</v>
      </c>
      <c r="H1461" s="479">
        <v>174.6</v>
      </c>
      <c r="I1461" s="468" t="s">
        <v>9218</v>
      </c>
      <c r="J1461" s="468" t="s">
        <v>9219</v>
      </c>
      <c r="K1461" s="468" t="s">
        <v>9219</v>
      </c>
      <c r="L1461" s="468" t="s">
        <v>2354</v>
      </c>
    </row>
    <row r="1462" spans="1:12" x14ac:dyDescent="0.25">
      <c r="A1462" s="468" t="s">
        <v>220</v>
      </c>
      <c r="B1462" s="468" t="s">
        <v>2351</v>
      </c>
      <c r="C1462" s="468" t="s">
        <v>3115</v>
      </c>
      <c r="D1462" s="468" t="s">
        <v>3116</v>
      </c>
      <c r="F1462" s="470">
        <v>2</v>
      </c>
      <c r="G1462" s="468">
        <v>161.76424</v>
      </c>
      <c r="H1462" s="479">
        <v>323.52848</v>
      </c>
      <c r="I1462" s="468" t="s">
        <v>9218</v>
      </c>
      <c r="J1462" s="468" t="s">
        <v>9219</v>
      </c>
      <c r="K1462" s="468" t="s">
        <v>9219</v>
      </c>
      <c r="L1462" s="468" t="s">
        <v>2354</v>
      </c>
    </row>
    <row r="1463" spans="1:12" x14ac:dyDescent="0.25">
      <c r="A1463" s="468" t="s">
        <v>220</v>
      </c>
      <c r="B1463" s="468" t="s">
        <v>2351</v>
      </c>
      <c r="C1463" s="468" t="s">
        <v>3119</v>
      </c>
      <c r="D1463" s="468" t="s">
        <v>3120</v>
      </c>
      <c r="F1463" s="470">
        <v>1</v>
      </c>
      <c r="H1463" s="479">
        <v>0</v>
      </c>
      <c r="I1463" s="468" t="s">
        <v>9218</v>
      </c>
      <c r="J1463" s="468" t="s">
        <v>9219</v>
      </c>
      <c r="K1463" s="468" t="s">
        <v>9219</v>
      </c>
      <c r="L1463" s="468" t="s">
        <v>2354</v>
      </c>
    </row>
    <row r="1464" spans="1:12" x14ac:dyDescent="0.25">
      <c r="A1464" s="468" t="s">
        <v>220</v>
      </c>
      <c r="B1464" s="468" t="s">
        <v>2351</v>
      </c>
      <c r="C1464" s="468" t="s">
        <v>3121</v>
      </c>
      <c r="D1464" s="468" t="s">
        <v>3122</v>
      </c>
      <c r="F1464" s="470">
        <v>2</v>
      </c>
      <c r="G1464" s="468">
        <v>71.7</v>
      </c>
      <c r="H1464" s="479">
        <v>143.4</v>
      </c>
      <c r="I1464" s="468" t="s">
        <v>9218</v>
      </c>
      <c r="J1464" s="468" t="s">
        <v>9219</v>
      </c>
      <c r="K1464" s="468" t="s">
        <v>9219</v>
      </c>
      <c r="L1464" s="468" t="s">
        <v>2354</v>
      </c>
    </row>
    <row r="1465" spans="1:12" x14ac:dyDescent="0.25">
      <c r="A1465" s="468" t="s">
        <v>220</v>
      </c>
      <c r="B1465" s="468" t="s">
        <v>2351</v>
      </c>
      <c r="C1465" s="468" t="s">
        <v>3123</v>
      </c>
      <c r="D1465" s="468" t="s">
        <v>3124</v>
      </c>
      <c r="F1465" s="470">
        <v>2</v>
      </c>
      <c r="G1465" s="468">
        <v>153.9</v>
      </c>
      <c r="H1465" s="479">
        <v>307.8</v>
      </c>
      <c r="I1465" s="468" t="s">
        <v>9218</v>
      </c>
      <c r="J1465" s="468" t="s">
        <v>9219</v>
      </c>
      <c r="K1465" s="468" t="s">
        <v>9219</v>
      </c>
      <c r="L1465" s="468" t="s">
        <v>2354</v>
      </c>
    </row>
    <row r="1466" spans="1:12" x14ac:dyDescent="0.25">
      <c r="A1466" s="468" t="s">
        <v>220</v>
      </c>
      <c r="B1466" s="468" t="s">
        <v>2351</v>
      </c>
      <c r="C1466" s="468" t="s">
        <v>3125</v>
      </c>
      <c r="D1466" s="468" t="s">
        <v>3126</v>
      </c>
      <c r="F1466" s="470">
        <v>1</v>
      </c>
      <c r="G1466" s="468">
        <v>77.400000000000006</v>
      </c>
      <c r="H1466" s="479">
        <v>77.400000000000006</v>
      </c>
      <c r="I1466" s="468" t="s">
        <v>9218</v>
      </c>
      <c r="J1466" s="468" t="s">
        <v>9219</v>
      </c>
      <c r="K1466" s="468" t="s">
        <v>9219</v>
      </c>
      <c r="L1466" s="468" t="s">
        <v>2354</v>
      </c>
    </row>
    <row r="1467" spans="1:12" x14ac:dyDescent="0.25">
      <c r="A1467" s="468" t="s">
        <v>220</v>
      </c>
      <c r="B1467" s="468" t="s">
        <v>2351</v>
      </c>
      <c r="C1467" s="468" t="s">
        <v>3127</v>
      </c>
      <c r="D1467" s="468" t="s">
        <v>3128</v>
      </c>
      <c r="F1467" s="470">
        <v>1</v>
      </c>
      <c r="G1467" s="468">
        <v>311.39800000000002</v>
      </c>
      <c r="H1467" s="479">
        <v>311.39800000000002</v>
      </c>
      <c r="I1467" s="468" t="s">
        <v>9218</v>
      </c>
      <c r="J1467" s="468" t="s">
        <v>9219</v>
      </c>
      <c r="K1467" s="468" t="s">
        <v>9219</v>
      </c>
      <c r="L1467" s="468" t="s">
        <v>2354</v>
      </c>
    </row>
    <row r="1468" spans="1:12" x14ac:dyDescent="0.25">
      <c r="A1468" s="468" t="s">
        <v>220</v>
      </c>
      <c r="B1468" s="468" t="s">
        <v>2351</v>
      </c>
      <c r="C1468" s="468" t="s">
        <v>3127</v>
      </c>
      <c r="D1468" s="468" t="s">
        <v>5313</v>
      </c>
      <c r="F1468" s="470">
        <v>2</v>
      </c>
      <c r="G1468" s="468">
        <v>311.39800000000002</v>
      </c>
      <c r="H1468" s="479">
        <v>622.79600000000005</v>
      </c>
      <c r="I1468" s="468" t="s">
        <v>9218</v>
      </c>
      <c r="J1468" s="468" t="s">
        <v>9219</v>
      </c>
      <c r="K1468" s="468" t="s">
        <v>9219</v>
      </c>
      <c r="L1468" s="468" t="s">
        <v>2354</v>
      </c>
    </row>
    <row r="1469" spans="1:12" x14ac:dyDescent="0.25">
      <c r="A1469" s="468" t="s">
        <v>220</v>
      </c>
      <c r="B1469" s="468" t="s">
        <v>2351</v>
      </c>
      <c r="C1469" s="468" t="s">
        <v>3129</v>
      </c>
      <c r="D1469" s="468" t="s">
        <v>3130</v>
      </c>
      <c r="F1469" s="470">
        <v>4</v>
      </c>
      <c r="G1469" s="468">
        <v>95.421000000000006</v>
      </c>
      <c r="H1469" s="479">
        <v>381.68400000000003</v>
      </c>
      <c r="I1469" s="468" t="s">
        <v>9218</v>
      </c>
      <c r="J1469" s="468" t="s">
        <v>9219</v>
      </c>
      <c r="K1469" s="468" t="s">
        <v>9219</v>
      </c>
      <c r="L1469" s="468" t="s">
        <v>2354</v>
      </c>
    </row>
    <row r="1470" spans="1:12" x14ac:dyDescent="0.25">
      <c r="A1470" s="468" t="s">
        <v>220</v>
      </c>
      <c r="B1470" s="468" t="s">
        <v>2351</v>
      </c>
      <c r="C1470" s="468" t="s">
        <v>3131</v>
      </c>
      <c r="D1470" s="468" t="s">
        <v>3132</v>
      </c>
      <c r="F1470" s="470">
        <v>4</v>
      </c>
      <c r="G1470" s="468">
        <v>102.55249999999999</v>
      </c>
      <c r="H1470" s="479">
        <v>410.21</v>
      </c>
      <c r="I1470" s="468" t="s">
        <v>9218</v>
      </c>
      <c r="J1470" s="468" t="s">
        <v>9219</v>
      </c>
      <c r="K1470" s="468" t="s">
        <v>9219</v>
      </c>
      <c r="L1470" s="468" t="s">
        <v>2354</v>
      </c>
    </row>
    <row r="1471" spans="1:12" x14ac:dyDescent="0.25">
      <c r="A1471" s="468" t="s">
        <v>220</v>
      </c>
      <c r="B1471" s="468" t="s">
        <v>2351</v>
      </c>
      <c r="C1471" s="468" t="s">
        <v>5315</v>
      </c>
      <c r="D1471" s="468" t="s">
        <v>5316</v>
      </c>
      <c r="F1471" s="470">
        <v>4</v>
      </c>
      <c r="G1471" s="468">
        <v>102.55249999999999</v>
      </c>
      <c r="H1471" s="479">
        <v>410.21</v>
      </c>
      <c r="I1471" s="468" t="s">
        <v>9218</v>
      </c>
      <c r="J1471" s="468" t="s">
        <v>9219</v>
      </c>
      <c r="K1471" s="468" t="s">
        <v>9219</v>
      </c>
      <c r="L1471" s="468" t="s">
        <v>2354</v>
      </c>
    </row>
    <row r="1472" spans="1:12" x14ac:dyDescent="0.25">
      <c r="A1472" s="468" t="s">
        <v>220</v>
      </c>
      <c r="B1472" s="468" t="s">
        <v>2351</v>
      </c>
      <c r="C1472" s="468" t="s">
        <v>6674</v>
      </c>
      <c r="D1472" s="468" t="s">
        <v>8221</v>
      </c>
      <c r="F1472" s="470">
        <v>4</v>
      </c>
      <c r="G1472" s="468">
        <v>141.30000000000001</v>
      </c>
      <c r="H1472" s="479">
        <v>565.20000000000005</v>
      </c>
      <c r="I1472" s="468" t="s">
        <v>9218</v>
      </c>
      <c r="J1472" s="468" t="s">
        <v>9219</v>
      </c>
      <c r="K1472" s="468" t="s">
        <v>9219</v>
      </c>
      <c r="L1472" s="468" t="s">
        <v>2354</v>
      </c>
    </row>
    <row r="1473" spans="1:12" x14ac:dyDescent="0.25">
      <c r="A1473" s="468" t="s">
        <v>220</v>
      </c>
      <c r="B1473" s="468" t="s">
        <v>2351</v>
      </c>
      <c r="C1473" s="468" t="s">
        <v>3133</v>
      </c>
      <c r="D1473" s="468" t="s">
        <v>3134</v>
      </c>
      <c r="F1473" s="470">
        <v>8</v>
      </c>
      <c r="G1473" s="468">
        <v>31.801500000000001</v>
      </c>
      <c r="H1473" s="479">
        <v>254.41200000000001</v>
      </c>
      <c r="I1473" s="468" t="s">
        <v>9218</v>
      </c>
      <c r="J1473" s="468" t="s">
        <v>9219</v>
      </c>
      <c r="K1473" s="468" t="s">
        <v>9219</v>
      </c>
      <c r="L1473" s="468" t="s">
        <v>2354</v>
      </c>
    </row>
    <row r="1474" spans="1:12" x14ac:dyDescent="0.25">
      <c r="A1474" s="468" t="s">
        <v>220</v>
      </c>
      <c r="B1474" s="468" t="s">
        <v>2351</v>
      </c>
      <c r="C1474" s="468" t="s">
        <v>3135</v>
      </c>
      <c r="D1474" s="468" t="s">
        <v>3136</v>
      </c>
      <c r="F1474" s="470">
        <v>50</v>
      </c>
      <c r="G1474" s="468">
        <v>21.45</v>
      </c>
      <c r="H1474" s="479">
        <v>1072.5</v>
      </c>
      <c r="I1474" s="468" t="s">
        <v>9218</v>
      </c>
      <c r="J1474" s="468" t="s">
        <v>9219</v>
      </c>
      <c r="K1474" s="468" t="s">
        <v>9219</v>
      </c>
      <c r="L1474" s="468" t="s">
        <v>2354</v>
      </c>
    </row>
    <row r="1475" spans="1:12" x14ac:dyDescent="0.25">
      <c r="A1475" s="468" t="s">
        <v>220</v>
      </c>
      <c r="B1475" s="468" t="s">
        <v>2351</v>
      </c>
      <c r="C1475" s="468" t="s">
        <v>3137</v>
      </c>
      <c r="D1475" s="468" t="s">
        <v>3138</v>
      </c>
      <c r="F1475" s="470">
        <v>7</v>
      </c>
      <c r="G1475" s="468">
        <v>0.52715999999999996</v>
      </c>
      <c r="H1475" s="479">
        <v>3.6901199999999998</v>
      </c>
      <c r="I1475" s="468" t="s">
        <v>9218</v>
      </c>
      <c r="J1475" s="468" t="s">
        <v>9219</v>
      </c>
      <c r="K1475" s="468" t="s">
        <v>9219</v>
      </c>
      <c r="L1475" s="468" t="s">
        <v>2354</v>
      </c>
    </row>
    <row r="1476" spans="1:12" x14ac:dyDescent="0.25">
      <c r="A1476" s="468" t="s">
        <v>220</v>
      </c>
      <c r="B1476" s="468" t="s">
        <v>2351</v>
      </c>
      <c r="C1476" s="468" t="s">
        <v>3141</v>
      </c>
      <c r="D1476" s="468" t="s">
        <v>3142</v>
      </c>
      <c r="F1476" s="470">
        <v>28</v>
      </c>
      <c r="G1476" s="468">
        <v>14.612</v>
      </c>
      <c r="H1476" s="479">
        <v>409.13600000000002</v>
      </c>
      <c r="I1476" s="468" t="s">
        <v>9218</v>
      </c>
      <c r="J1476" s="468" t="s">
        <v>9219</v>
      </c>
      <c r="K1476" s="468" t="s">
        <v>9219</v>
      </c>
      <c r="L1476" s="468" t="s">
        <v>2354</v>
      </c>
    </row>
    <row r="1477" spans="1:12" x14ac:dyDescent="0.25">
      <c r="A1477" s="468" t="s">
        <v>220</v>
      </c>
      <c r="B1477" s="468" t="s">
        <v>2351</v>
      </c>
      <c r="C1477" s="468" t="s">
        <v>3143</v>
      </c>
      <c r="D1477" s="468" t="s">
        <v>3144</v>
      </c>
      <c r="F1477" s="470">
        <v>45</v>
      </c>
      <c r="G1477" s="468">
        <v>2.0583</v>
      </c>
      <c r="H1477" s="479">
        <v>92.623500000000007</v>
      </c>
      <c r="I1477" s="468" t="s">
        <v>9218</v>
      </c>
      <c r="J1477" s="468" t="s">
        <v>9219</v>
      </c>
      <c r="K1477" s="468" t="s">
        <v>9219</v>
      </c>
      <c r="L1477" s="468" t="s">
        <v>2354</v>
      </c>
    </row>
    <row r="1478" spans="1:12" x14ac:dyDescent="0.25">
      <c r="A1478" s="468" t="s">
        <v>220</v>
      </c>
      <c r="B1478" s="468" t="s">
        <v>2351</v>
      </c>
      <c r="C1478" s="468" t="s">
        <v>3145</v>
      </c>
      <c r="D1478" s="468" t="s">
        <v>3146</v>
      </c>
      <c r="F1478" s="470">
        <v>26</v>
      </c>
      <c r="G1478" s="468">
        <v>3.306</v>
      </c>
      <c r="H1478" s="479">
        <v>85.956000000000003</v>
      </c>
      <c r="I1478" s="468" t="s">
        <v>9218</v>
      </c>
      <c r="J1478" s="468" t="s">
        <v>9219</v>
      </c>
      <c r="K1478" s="468" t="s">
        <v>9219</v>
      </c>
      <c r="L1478" s="468" t="s">
        <v>2354</v>
      </c>
    </row>
    <row r="1479" spans="1:12" x14ac:dyDescent="0.25">
      <c r="A1479" s="468" t="s">
        <v>220</v>
      </c>
      <c r="B1479" s="468" t="s">
        <v>2351</v>
      </c>
      <c r="C1479" s="468" t="s">
        <v>3147</v>
      </c>
      <c r="D1479" s="468" t="s">
        <v>3148</v>
      </c>
      <c r="F1479" s="470">
        <v>24</v>
      </c>
      <c r="G1479" s="468">
        <v>3.3170000000000002</v>
      </c>
      <c r="H1479" s="479">
        <v>79.608000000000004</v>
      </c>
      <c r="I1479" s="468" t="s">
        <v>9218</v>
      </c>
      <c r="J1479" s="468" t="s">
        <v>9219</v>
      </c>
      <c r="K1479" s="468" t="s">
        <v>9219</v>
      </c>
      <c r="L1479" s="468" t="s">
        <v>2354</v>
      </c>
    </row>
    <row r="1480" spans="1:12" x14ac:dyDescent="0.25">
      <c r="A1480" s="468" t="s">
        <v>220</v>
      </c>
      <c r="B1480" s="468" t="s">
        <v>2351</v>
      </c>
      <c r="C1480" s="468" t="s">
        <v>3149</v>
      </c>
      <c r="D1480" s="468" t="s">
        <v>3150</v>
      </c>
      <c r="F1480" s="470">
        <v>15</v>
      </c>
      <c r="G1480" s="468">
        <v>1.631</v>
      </c>
      <c r="H1480" s="479">
        <v>24.465</v>
      </c>
      <c r="I1480" s="468" t="s">
        <v>9218</v>
      </c>
      <c r="J1480" s="468" t="s">
        <v>9219</v>
      </c>
      <c r="K1480" s="468" t="s">
        <v>9219</v>
      </c>
      <c r="L1480" s="468" t="s">
        <v>2354</v>
      </c>
    </row>
    <row r="1481" spans="1:12" x14ac:dyDescent="0.25">
      <c r="A1481" s="468" t="s">
        <v>220</v>
      </c>
      <c r="B1481" s="468" t="s">
        <v>2351</v>
      </c>
      <c r="C1481" s="468" t="s">
        <v>9254</v>
      </c>
      <c r="D1481" s="468" t="s">
        <v>9255</v>
      </c>
      <c r="F1481" s="470">
        <v>30</v>
      </c>
      <c r="G1481" s="468">
        <v>25.14</v>
      </c>
      <c r="H1481" s="479">
        <v>754.2</v>
      </c>
      <c r="I1481" s="468" t="s">
        <v>9218</v>
      </c>
      <c r="J1481" s="468" t="s">
        <v>9219</v>
      </c>
      <c r="K1481" s="468" t="s">
        <v>9219</v>
      </c>
      <c r="L1481" s="468" t="s">
        <v>2354</v>
      </c>
    </row>
    <row r="1482" spans="1:12" x14ac:dyDescent="0.25">
      <c r="A1482" s="468" t="s">
        <v>220</v>
      </c>
      <c r="B1482" s="468" t="s">
        <v>2351</v>
      </c>
      <c r="C1482" s="468" t="s">
        <v>3151</v>
      </c>
      <c r="D1482" s="468" t="s">
        <v>3152</v>
      </c>
      <c r="F1482" s="470">
        <v>2</v>
      </c>
      <c r="G1482" s="468">
        <v>162</v>
      </c>
      <c r="H1482" s="479">
        <v>324</v>
      </c>
      <c r="I1482" s="468" t="s">
        <v>9218</v>
      </c>
      <c r="J1482" s="468" t="s">
        <v>9219</v>
      </c>
      <c r="K1482" s="468" t="s">
        <v>9219</v>
      </c>
      <c r="L1482" s="468" t="s">
        <v>2354</v>
      </c>
    </row>
    <row r="1483" spans="1:12" x14ac:dyDescent="0.25">
      <c r="A1483" s="468" t="s">
        <v>220</v>
      </c>
      <c r="B1483" s="468" t="s">
        <v>2351</v>
      </c>
      <c r="C1483" s="468" t="s">
        <v>3155</v>
      </c>
      <c r="D1483" s="468" t="s">
        <v>3156</v>
      </c>
      <c r="F1483" s="470">
        <v>8</v>
      </c>
      <c r="G1483" s="468">
        <v>226.54079999999999</v>
      </c>
      <c r="H1483" s="479">
        <v>1812.3263999999999</v>
      </c>
      <c r="I1483" s="468" t="s">
        <v>9218</v>
      </c>
      <c r="J1483" s="468" t="s">
        <v>9219</v>
      </c>
      <c r="K1483" s="468" t="s">
        <v>9219</v>
      </c>
      <c r="L1483" s="468" t="s">
        <v>2354</v>
      </c>
    </row>
    <row r="1484" spans="1:12" x14ac:dyDescent="0.25">
      <c r="A1484" s="468" t="s">
        <v>220</v>
      </c>
      <c r="B1484" s="468" t="s">
        <v>2351</v>
      </c>
      <c r="C1484" s="468" t="s">
        <v>3159</v>
      </c>
      <c r="D1484" s="468" t="s">
        <v>3160</v>
      </c>
      <c r="F1484" s="470">
        <v>1</v>
      </c>
      <c r="G1484" s="468">
        <v>284.26499999999999</v>
      </c>
      <c r="H1484" s="479">
        <v>284.26499999999999</v>
      </c>
      <c r="I1484" s="468" t="s">
        <v>9218</v>
      </c>
      <c r="J1484" s="468" t="s">
        <v>9219</v>
      </c>
      <c r="K1484" s="468" t="s">
        <v>9219</v>
      </c>
      <c r="L1484" s="468" t="s">
        <v>2354</v>
      </c>
    </row>
    <row r="1485" spans="1:12" x14ac:dyDescent="0.25">
      <c r="A1485" s="468" t="s">
        <v>220</v>
      </c>
      <c r="B1485" s="468" t="s">
        <v>2351</v>
      </c>
      <c r="C1485" s="468" t="s">
        <v>3161</v>
      </c>
      <c r="D1485" s="468" t="s">
        <v>3162</v>
      </c>
      <c r="F1485" s="470">
        <v>14</v>
      </c>
      <c r="H1485" s="479">
        <v>0</v>
      </c>
      <c r="I1485" s="468" t="s">
        <v>9218</v>
      </c>
      <c r="J1485" s="468" t="s">
        <v>9219</v>
      </c>
      <c r="K1485" s="468" t="s">
        <v>9219</v>
      </c>
      <c r="L1485" s="468" t="s">
        <v>2354</v>
      </c>
    </row>
    <row r="1486" spans="1:12" x14ac:dyDescent="0.25">
      <c r="A1486" s="468" t="s">
        <v>220</v>
      </c>
      <c r="B1486" s="468" t="s">
        <v>2351</v>
      </c>
      <c r="C1486" s="468" t="s">
        <v>3163</v>
      </c>
      <c r="D1486" s="468" t="s">
        <v>3164</v>
      </c>
      <c r="F1486" s="470">
        <v>9</v>
      </c>
      <c r="G1486" s="468">
        <v>11.16</v>
      </c>
      <c r="H1486" s="479">
        <v>100.44</v>
      </c>
      <c r="I1486" s="468" t="s">
        <v>9218</v>
      </c>
      <c r="J1486" s="468" t="s">
        <v>9219</v>
      </c>
      <c r="K1486" s="468" t="s">
        <v>9219</v>
      </c>
      <c r="L1486" s="468" t="s">
        <v>2354</v>
      </c>
    </row>
    <row r="1487" spans="1:12" x14ac:dyDescent="0.25">
      <c r="A1487" s="468" t="s">
        <v>220</v>
      </c>
      <c r="B1487" s="468" t="s">
        <v>2351</v>
      </c>
      <c r="C1487" s="468" t="s">
        <v>3165</v>
      </c>
      <c r="D1487" s="468" t="s">
        <v>3166</v>
      </c>
      <c r="F1487" s="470">
        <v>4</v>
      </c>
      <c r="G1487" s="468">
        <v>0.67500000000000004</v>
      </c>
      <c r="H1487" s="479">
        <v>2.7</v>
      </c>
      <c r="I1487" s="468" t="s">
        <v>9218</v>
      </c>
      <c r="J1487" s="468" t="s">
        <v>9219</v>
      </c>
      <c r="K1487" s="468" t="s">
        <v>9219</v>
      </c>
      <c r="L1487" s="468" t="s">
        <v>2354</v>
      </c>
    </row>
    <row r="1488" spans="1:12" x14ac:dyDescent="0.25">
      <c r="A1488" s="468" t="s">
        <v>220</v>
      </c>
      <c r="B1488" s="468" t="s">
        <v>2351</v>
      </c>
      <c r="C1488" s="468" t="s">
        <v>3169</v>
      </c>
      <c r="D1488" s="468" t="s">
        <v>3170</v>
      </c>
      <c r="F1488" s="470">
        <v>2</v>
      </c>
      <c r="H1488" s="479">
        <v>0</v>
      </c>
      <c r="I1488" s="468" t="s">
        <v>9218</v>
      </c>
      <c r="J1488" s="468" t="s">
        <v>9219</v>
      </c>
      <c r="K1488" s="468" t="s">
        <v>9219</v>
      </c>
      <c r="L1488" s="468" t="s">
        <v>2354</v>
      </c>
    </row>
    <row r="1489" spans="1:12" x14ac:dyDescent="0.25">
      <c r="A1489" s="468" t="s">
        <v>220</v>
      </c>
      <c r="B1489" s="468" t="s">
        <v>2351</v>
      </c>
      <c r="C1489" s="468" t="s">
        <v>3171</v>
      </c>
      <c r="D1489" s="468" t="s">
        <v>3172</v>
      </c>
      <c r="F1489" s="470">
        <v>1316</v>
      </c>
      <c r="G1489" s="468">
        <v>4.4244199999999996</v>
      </c>
      <c r="H1489" s="479">
        <v>5822.5367199999991</v>
      </c>
      <c r="I1489" s="468" t="s">
        <v>9218</v>
      </c>
      <c r="J1489" s="468" t="s">
        <v>9219</v>
      </c>
      <c r="K1489" s="468" t="s">
        <v>9219</v>
      </c>
      <c r="L1489" s="468" t="s">
        <v>2354</v>
      </c>
    </row>
    <row r="1490" spans="1:12" x14ac:dyDescent="0.25">
      <c r="A1490" s="468" t="s">
        <v>220</v>
      </c>
      <c r="B1490" s="468" t="s">
        <v>2351</v>
      </c>
      <c r="C1490" s="468" t="s">
        <v>3173</v>
      </c>
      <c r="D1490" s="468" t="s">
        <v>3174</v>
      </c>
      <c r="F1490" s="470">
        <v>435</v>
      </c>
      <c r="G1490" s="468">
        <v>13.242319999999999</v>
      </c>
      <c r="H1490" s="479">
        <v>5760.4092000000001</v>
      </c>
      <c r="I1490" s="468" t="s">
        <v>9218</v>
      </c>
      <c r="J1490" s="468" t="s">
        <v>9219</v>
      </c>
      <c r="K1490" s="468" t="s">
        <v>9219</v>
      </c>
      <c r="L1490" s="468" t="s">
        <v>2354</v>
      </c>
    </row>
    <row r="1491" spans="1:12" x14ac:dyDescent="0.25">
      <c r="A1491" s="468" t="s">
        <v>220</v>
      </c>
      <c r="B1491" s="468" t="s">
        <v>2351</v>
      </c>
      <c r="C1491" s="468" t="s">
        <v>3175</v>
      </c>
      <c r="D1491" s="468" t="s">
        <v>3176</v>
      </c>
      <c r="F1491" s="470">
        <v>4</v>
      </c>
      <c r="H1491" s="479">
        <v>0</v>
      </c>
      <c r="I1491" s="468" t="s">
        <v>9218</v>
      </c>
      <c r="J1491" s="468" t="s">
        <v>9219</v>
      </c>
      <c r="K1491" s="468" t="s">
        <v>9219</v>
      </c>
      <c r="L1491" s="468" t="s">
        <v>2354</v>
      </c>
    </row>
    <row r="1492" spans="1:12" x14ac:dyDescent="0.25">
      <c r="A1492" s="468" t="s">
        <v>220</v>
      </c>
      <c r="B1492" s="468" t="s">
        <v>2351</v>
      </c>
      <c r="C1492" s="468" t="s">
        <v>3177</v>
      </c>
      <c r="D1492" s="468" t="s">
        <v>3178</v>
      </c>
      <c r="F1492" s="470">
        <v>3</v>
      </c>
      <c r="H1492" s="479">
        <v>0</v>
      </c>
      <c r="I1492" s="468" t="s">
        <v>9218</v>
      </c>
      <c r="J1492" s="468" t="s">
        <v>9219</v>
      </c>
      <c r="K1492" s="468" t="s">
        <v>9219</v>
      </c>
      <c r="L1492" s="468" t="s">
        <v>2354</v>
      </c>
    </row>
    <row r="1493" spans="1:12" x14ac:dyDescent="0.25">
      <c r="A1493" s="468" t="s">
        <v>220</v>
      </c>
      <c r="B1493" s="468" t="s">
        <v>2351</v>
      </c>
      <c r="C1493" s="468" t="s">
        <v>3179</v>
      </c>
      <c r="D1493" s="468" t="s">
        <v>3180</v>
      </c>
      <c r="F1493" s="470">
        <v>4</v>
      </c>
      <c r="H1493" s="479">
        <v>0</v>
      </c>
      <c r="I1493" s="468" t="s">
        <v>9218</v>
      </c>
      <c r="J1493" s="468" t="s">
        <v>9219</v>
      </c>
      <c r="K1493" s="468" t="s">
        <v>9219</v>
      </c>
      <c r="L1493" s="468" t="s">
        <v>2354</v>
      </c>
    </row>
    <row r="1494" spans="1:12" x14ac:dyDescent="0.25">
      <c r="A1494" s="468" t="s">
        <v>220</v>
      </c>
      <c r="B1494" s="468" t="s">
        <v>2351</v>
      </c>
      <c r="C1494" s="468" t="s">
        <v>3181</v>
      </c>
      <c r="D1494" s="468" t="s">
        <v>3182</v>
      </c>
      <c r="F1494" s="470">
        <v>8</v>
      </c>
      <c r="H1494" s="479">
        <v>0</v>
      </c>
      <c r="I1494" s="468" t="s">
        <v>9218</v>
      </c>
      <c r="J1494" s="468" t="s">
        <v>9219</v>
      </c>
      <c r="K1494" s="468" t="s">
        <v>9219</v>
      </c>
      <c r="L1494" s="468" t="s">
        <v>2354</v>
      </c>
    </row>
    <row r="1495" spans="1:12" x14ac:dyDescent="0.25">
      <c r="A1495" s="468" t="s">
        <v>220</v>
      </c>
      <c r="B1495" s="468" t="s">
        <v>2351</v>
      </c>
      <c r="C1495" s="468" t="s">
        <v>3199</v>
      </c>
      <c r="D1495" s="468" t="s">
        <v>3200</v>
      </c>
      <c r="F1495" s="470">
        <v>25</v>
      </c>
      <c r="G1495" s="468">
        <v>1.89</v>
      </c>
      <c r="H1495" s="479">
        <v>47.25</v>
      </c>
      <c r="I1495" s="468" t="s">
        <v>9218</v>
      </c>
      <c r="J1495" s="468" t="s">
        <v>9219</v>
      </c>
      <c r="K1495" s="468" t="s">
        <v>9219</v>
      </c>
      <c r="L1495" s="468" t="s">
        <v>2354</v>
      </c>
    </row>
    <row r="1496" spans="1:12" x14ac:dyDescent="0.25">
      <c r="A1496" s="468" t="s">
        <v>220</v>
      </c>
      <c r="B1496" s="468" t="s">
        <v>2351</v>
      </c>
      <c r="C1496" s="468" t="s">
        <v>3201</v>
      </c>
      <c r="D1496" s="468" t="s">
        <v>3202</v>
      </c>
      <c r="F1496" s="470">
        <v>15</v>
      </c>
      <c r="G1496" s="468">
        <v>0.93149999999999999</v>
      </c>
      <c r="H1496" s="479">
        <v>13.9725</v>
      </c>
      <c r="I1496" s="468" t="s">
        <v>9218</v>
      </c>
      <c r="J1496" s="468" t="s">
        <v>9219</v>
      </c>
      <c r="K1496" s="468" t="s">
        <v>9219</v>
      </c>
      <c r="L1496" s="468" t="s">
        <v>2354</v>
      </c>
    </row>
    <row r="1497" spans="1:12" x14ac:dyDescent="0.25">
      <c r="A1497" s="468" t="s">
        <v>220</v>
      </c>
      <c r="B1497" s="468" t="s">
        <v>2351</v>
      </c>
      <c r="C1497" s="468" t="s">
        <v>3203</v>
      </c>
      <c r="D1497" s="468" t="s">
        <v>3204</v>
      </c>
      <c r="F1497" s="470">
        <v>26</v>
      </c>
      <c r="G1497" s="468">
        <v>0.58699999999999997</v>
      </c>
      <c r="H1497" s="479">
        <v>15.261999999999999</v>
      </c>
      <c r="I1497" s="468" t="s">
        <v>9218</v>
      </c>
      <c r="J1497" s="468" t="s">
        <v>9219</v>
      </c>
      <c r="K1497" s="468" t="s">
        <v>9219</v>
      </c>
      <c r="L1497" s="468" t="s">
        <v>2354</v>
      </c>
    </row>
    <row r="1498" spans="1:12" x14ac:dyDescent="0.25">
      <c r="A1498" s="468" t="s">
        <v>220</v>
      </c>
      <c r="B1498" s="468" t="s">
        <v>2351</v>
      </c>
      <c r="C1498" s="468" t="s">
        <v>5372</v>
      </c>
      <c r="D1498" s="468" t="s">
        <v>5373</v>
      </c>
      <c r="F1498" s="470">
        <v>40</v>
      </c>
      <c r="G1498" s="468">
        <v>0.70399999999999996</v>
      </c>
      <c r="H1498" s="479">
        <v>28.159999999999997</v>
      </c>
      <c r="I1498" s="468" t="s">
        <v>9218</v>
      </c>
      <c r="J1498" s="468" t="s">
        <v>9219</v>
      </c>
      <c r="K1498" s="468" t="s">
        <v>9219</v>
      </c>
      <c r="L1498" s="468" t="s">
        <v>2354</v>
      </c>
    </row>
    <row r="1499" spans="1:12" x14ac:dyDescent="0.25">
      <c r="A1499" s="468" t="s">
        <v>220</v>
      </c>
      <c r="B1499" s="468" t="s">
        <v>2351</v>
      </c>
      <c r="C1499" s="468" t="s">
        <v>3205</v>
      </c>
      <c r="D1499" s="468" t="s">
        <v>3206</v>
      </c>
      <c r="F1499" s="470">
        <v>25</v>
      </c>
      <c r="G1499" s="468">
        <v>1.627</v>
      </c>
      <c r="H1499" s="479">
        <v>40.674999999999997</v>
      </c>
      <c r="I1499" s="468" t="s">
        <v>9218</v>
      </c>
      <c r="J1499" s="468" t="s">
        <v>9219</v>
      </c>
      <c r="K1499" s="468" t="s">
        <v>9219</v>
      </c>
      <c r="L1499" s="468" t="s">
        <v>2354</v>
      </c>
    </row>
    <row r="1500" spans="1:12" x14ac:dyDescent="0.25">
      <c r="A1500" s="468" t="s">
        <v>220</v>
      </c>
      <c r="B1500" s="468" t="s">
        <v>2351</v>
      </c>
      <c r="C1500" s="468" t="s">
        <v>3207</v>
      </c>
      <c r="D1500" s="468" t="s">
        <v>3208</v>
      </c>
      <c r="F1500" s="470">
        <v>21</v>
      </c>
      <c r="G1500" s="468">
        <v>2.3969999999999998</v>
      </c>
      <c r="H1500" s="479">
        <v>50.336999999999996</v>
      </c>
      <c r="I1500" s="468" t="s">
        <v>9218</v>
      </c>
      <c r="J1500" s="468" t="s">
        <v>9219</v>
      </c>
      <c r="K1500" s="468" t="s">
        <v>9219</v>
      </c>
      <c r="L1500" s="468" t="s">
        <v>2354</v>
      </c>
    </row>
    <row r="1501" spans="1:12" x14ac:dyDescent="0.25">
      <c r="A1501" s="468" t="s">
        <v>220</v>
      </c>
      <c r="B1501" s="468" t="s">
        <v>2351</v>
      </c>
      <c r="C1501" s="468" t="s">
        <v>3221</v>
      </c>
      <c r="D1501" s="468" t="s">
        <v>3222</v>
      </c>
      <c r="F1501" s="470">
        <v>2</v>
      </c>
      <c r="G1501" s="468">
        <v>20.572199999999999</v>
      </c>
      <c r="H1501" s="479">
        <v>41.144399999999997</v>
      </c>
      <c r="I1501" s="468" t="s">
        <v>9218</v>
      </c>
      <c r="J1501" s="468" t="s">
        <v>9219</v>
      </c>
      <c r="K1501" s="468" t="s">
        <v>9219</v>
      </c>
      <c r="L1501" s="468" t="s">
        <v>2354</v>
      </c>
    </row>
    <row r="1502" spans="1:12" x14ac:dyDescent="0.25">
      <c r="A1502" s="468" t="s">
        <v>220</v>
      </c>
      <c r="B1502" s="468" t="s">
        <v>2351</v>
      </c>
      <c r="C1502" s="468" t="s">
        <v>3225</v>
      </c>
      <c r="D1502" s="468" t="s">
        <v>3226</v>
      </c>
      <c r="F1502" s="470">
        <v>17</v>
      </c>
      <c r="G1502" s="468">
        <v>1.3130999999999999</v>
      </c>
      <c r="H1502" s="479">
        <v>22.322699999999998</v>
      </c>
      <c r="I1502" s="468" t="s">
        <v>9218</v>
      </c>
      <c r="J1502" s="468" t="s">
        <v>9219</v>
      </c>
      <c r="K1502" s="468" t="s">
        <v>9219</v>
      </c>
      <c r="L1502" s="468" t="s">
        <v>2354</v>
      </c>
    </row>
    <row r="1503" spans="1:12" x14ac:dyDescent="0.25">
      <c r="A1503" s="468" t="s">
        <v>220</v>
      </c>
      <c r="B1503" s="468" t="s">
        <v>2351</v>
      </c>
      <c r="C1503" s="468" t="s">
        <v>3227</v>
      </c>
      <c r="D1503" s="468" t="s">
        <v>3228</v>
      </c>
      <c r="F1503" s="470">
        <v>4</v>
      </c>
      <c r="G1503" s="468">
        <v>2.3380000000000001</v>
      </c>
      <c r="H1503" s="479">
        <v>9.3520000000000003</v>
      </c>
      <c r="I1503" s="468" t="s">
        <v>9218</v>
      </c>
      <c r="J1503" s="468" t="s">
        <v>9219</v>
      </c>
      <c r="K1503" s="468" t="s">
        <v>9219</v>
      </c>
      <c r="L1503" s="468" t="s">
        <v>2354</v>
      </c>
    </row>
    <row r="1504" spans="1:12" x14ac:dyDescent="0.25">
      <c r="A1504" s="468" t="s">
        <v>220</v>
      </c>
      <c r="B1504" s="468" t="s">
        <v>2351</v>
      </c>
      <c r="C1504" s="468" t="s">
        <v>3369</v>
      </c>
      <c r="D1504" s="468" t="s">
        <v>3370</v>
      </c>
      <c r="F1504" s="470">
        <v>3</v>
      </c>
      <c r="G1504" s="468">
        <v>100.2546</v>
      </c>
      <c r="H1504" s="479">
        <v>300.7638</v>
      </c>
      <c r="I1504" s="468" t="s">
        <v>9218</v>
      </c>
      <c r="J1504" s="468" t="s">
        <v>9219</v>
      </c>
      <c r="K1504" s="468" t="s">
        <v>9219</v>
      </c>
      <c r="L1504" s="468" t="s">
        <v>2354</v>
      </c>
    </row>
    <row r="1505" spans="1:12" x14ac:dyDescent="0.25">
      <c r="A1505" s="468" t="s">
        <v>220</v>
      </c>
      <c r="B1505" s="468" t="s">
        <v>2351</v>
      </c>
      <c r="C1505" s="468" t="s">
        <v>9256</v>
      </c>
      <c r="D1505" s="468" t="s">
        <v>9257</v>
      </c>
      <c r="F1505" s="470">
        <v>2</v>
      </c>
      <c r="G1505" s="468">
        <v>173.667</v>
      </c>
      <c r="H1505" s="479">
        <v>347.334</v>
      </c>
      <c r="I1505" s="468" t="s">
        <v>9218</v>
      </c>
      <c r="J1505" s="468" t="s">
        <v>9219</v>
      </c>
      <c r="K1505" s="468" t="s">
        <v>9219</v>
      </c>
      <c r="L1505" s="468" t="s">
        <v>2354</v>
      </c>
    </row>
    <row r="1506" spans="1:12" x14ac:dyDescent="0.25">
      <c r="A1506" s="468" t="s">
        <v>220</v>
      </c>
      <c r="B1506" s="468" t="s">
        <v>2351</v>
      </c>
      <c r="D1506" s="468" t="s">
        <v>9258</v>
      </c>
      <c r="F1506" s="470">
        <v>1</v>
      </c>
      <c r="H1506" s="479">
        <v>0</v>
      </c>
      <c r="I1506" s="468" t="s">
        <v>9218</v>
      </c>
      <c r="J1506" s="468" t="s">
        <v>9219</v>
      </c>
      <c r="K1506" s="468" t="s">
        <v>9219</v>
      </c>
      <c r="L1506" s="468" t="s">
        <v>2354</v>
      </c>
    </row>
    <row r="1507" spans="1:12" x14ac:dyDescent="0.25">
      <c r="A1507" s="468" t="s">
        <v>220</v>
      </c>
      <c r="B1507" s="468" t="s">
        <v>2351</v>
      </c>
      <c r="C1507" s="468" t="s">
        <v>3371</v>
      </c>
      <c r="D1507" s="468" t="s">
        <v>3372</v>
      </c>
      <c r="F1507" s="470">
        <v>8</v>
      </c>
      <c r="G1507" s="468">
        <v>166.08</v>
      </c>
      <c r="H1507" s="479">
        <v>1328.64</v>
      </c>
      <c r="I1507" s="468" t="s">
        <v>9218</v>
      </c>
      <c r="J1507" s="468" t="s">
        <v>9219</v>
      </c>
      <c r="K1507" s="468" t="s">
        <v>9219</v>
      </c>
      <c r="L1507" s="468" t="s">
        <v>2354</v>
      </c>
    </row>
    <row r="1508" spans="1:12" x14ac:dyDescent="0.25">
      <c r="A1508" s="468" t="s">
        <v>220</v>
      </c>
      <c r="B1508" s="468" t="s">
        <v>2351</v>
      </c>
      <c r="C1508" s="468" t="s">
        <v>3375</v>
      </c>
      <c r="D1508" s="468" t="s">
        <v>3376</v>
      </c>
      <c r="F1508" s="470">
        <v>3</v>
      </c>
      <c r="G1508" s="468">
        <v>172.39200000000002</v>
      </c>
      <c r="H1508" s="479">
        <v>517.17600000000004</v>
      </c>
      <c r="I1508" s="468" t="s">
        <v>9218</v>
      </c>
      <c r="J1508" s="468" t="s">
        <v>9219</v>
      </c>
      <c r="K1508" s="468" t="s">
        <v>9219</v>
      </c>
      <c r="L1508" s="468" t="s">
        <v>2354</v>
      </c>
    </row>
    <row r="1509" spans="1:12" x14ac:dyDescent="0.25">
      <c r="A1509" s="468" t="s">
        <v>220</v>
      </c>
      <c r="B1509" s="468" t="s">
        <v>2351</v>
      </c>
      <c r="C1509" s="468" t="s">
        <v>3377</v>
      </c>
      <c r="D1509" s="468" t="s">
        <v>3378</v>
      </c>
      <c r="F1509" s="470">
        <v>5</v>
      </c>
      <c r="G1509" s="468">
        <v>177.88499999999999</v>
      </c>
      <c r="H1509" s="479">
        <v>889.42499999999995</v>
      </c>
      <c r="I1509" s="468" t="s">
        <v>9218</v>
      </c>
      <c r="J1509" s="468" t="s">
        <v>9219</v>
      </c>
      <c r="K1509" s="468" t="s">
        <v>9219</v>
      </c>
      <c r="L1509" s="468" t="s">
        <v>2354</v>
      </c>
    </row>
    <row r="1510" spans="1:12" x14ac:dyDescent="0.25">
      <c r="A1510" s="468" t="s">
        <v>220</v>
      </c>
      <c r="B1510" s="468" t="s">
        <v>2351</v>
      </c>
      <c r="C1510" s="468" t="s">
        <v>3379</v>
      </c>
      <c r="D1510" s="468" t="s">
        <v>3380</v>
      </c>
      <c r="F1510" s="470">
        <v>4</v>
      </c>
      <c r="G1510" s="468">
        <v>198</v>
      </c>
      <c r="H1510" s="479">
        <v>792</v>
      </c>
      <c r="I1510" s="468" t="s">
        <v>9218</v>
      </c>
      <c r="J1510" s="468" t="s">
        <v>9219</v>
      </c>
      <c r="K1510" s="468" t="s">
        <v>9219</v>
      </c>
      <c r="L1510" s="468" t="s">
        <v>2354</v>
      </c>
    </row>
    <row r="1511" spans="1:12" x14ac:dyDescent="0.25">
      <c r="A1511" s="468" t="s">
        <v>220</v>
      </c>
      <c r="B1511" s="468" t="s">
        <v>2351</v>
      </c>
      <c r="C1511" s="468" t="s">
        <v>3407</v>
      </c>
      <c r="D1511" s="468" t="s">
        <v>3408</v>
      </c>
      <c r="F1511" s="470">
        <v>39</v>
      </c>
      <c r="G1511" s="468">
        <v>5.0084999999999997</v>
      </c>
      <c r="H1511" s="479">
        <v>195.33149999999998</v>
      </c>
      <c r="I1511" s="468" t="s">
        <v>9218</v>
      </c>
      <c r="J1511" s="468" t="s">
        <v>9219</v>
      </c>
      <c r="K1511" s="468" t="s">
        <v>9219</v>
      </c>
      <c r="L1511" s="468" t="s">
        <v>2354</v>
      </c>
    </row>
    <row r="1512" spans="1:12" x14ac:dyDescent="0.25">
      <c r="A1512" s="468" t="s">
        <v>220</v>
      </c>
      <c r="B1512" s="468" t="s">
        <v>2351</v>
      </c>
      <c r="C1512" s="468" t="s">
        <v>3409</v>
      </c>
      <c r="D1512" s="468" t="s">
        <v>3410</v>
      </c>
      <c r="F1512" s="470">
        <v>4</v>
      </c>
      <c r="G1512" s="468">
        <v>165.3</v>
      </c>
      <c r="H1512" s="479">
        <v>661.2</v>
      </c>
      <c r="I1512" s="468" t="s">
        <v>9218</v>
      </c>
      <c r="J1512" s="468" t="s">
        <v>9219</v>
      </c>
      <c r="K1512" s="468" t="s">
        <v>9219</v>
      </c>
      <c r="L1512" s="468" t="s">
        <v>2354</v>
      </c>
    </row>
    <row r="1513" spans="1:12" x14ac:dyDescent="0.25">
      <c r="A1513" s="468" t="s">
        <v>220</v>
      </c>
      <c r="B1513" s="468" t="s">
        <v>2351</v>
      </c>
      <c r="C1513" s="468" t="s">
        <v>3411</v>
      </c>
      <c r="D1513" s="468" t="s">
        <v>3412</v>
      </c>
      <c r="F1513" s="470">
        <v>2</v>
      </c>
      <c r="G1513" s="468">
        <v>14.178599999999999</v>
      </c>
      <c r="H1513" s="479">
        <v>28.357199999999999</v>
      </c>
      <c r="I1513" s="468" t="s">
        <v>9218</v>
      </c>
      <c r="J1513" s="468" t="s">
        <v>9219</v>
      </c>
      <c r="K1513" s="468" t="s">
        <v>9219</v>
      </c>
      <c r="L1513" s="468" t="s">
        <v>2354</v>
      </c>
    </row>
    <row r="1514" spans="1:12" x14ac:dyDescent="0.25">
      <c r="A1514" s="468" t="s">
        <v>220</v>
      </c>
      <c r="B1514" s="468" t="s">
        <v>2351</v>
      </c>
      <c r="C1514" s="468" t="s">
        <v>3413</v>
      </c>
      <c r="D1514" s="468" t="s">
        <v>3414</v>
      </c>
      <c r="F1514" s="470">
        <v>4</v>
      </c>
      <c r="G1514" s="468">
        <v>12.701700000000001</v>
      </c>
      <c r="H1514" s="479">
        <v>50.806800000000003</v>
      </c>
      <c r="I1514" s="468" t="s">
        <v>9218</v>
      </c>
      <c r="J1514" s="468" t="s">
        <v>9219</v>
      </c>
      <c r="K1514" s="468" t="s">
        <v>9219</v>
      </c>
      <c r="L1514" s="468" t="s">
        <v>2354</v>
      </c>
    </row>
    <row r="1515" spans="1:12" x14ac:dyDescent="0.25">
      <c r="A1515" s="468" t="s">
        <v>220</v>
      </c>
      <c r="B1515" s="468" t="s">
        <v>2351</v>
      </c>
      <c r="C1515" s="468" t="s">
        <v>3415</v>
      </c>
      <c r="D1515" s="468" t="s">
        <v>3416</v>
      </c>
      <c r="F1515" s="470">
        <v>2</v>
      </c>
      <c r="G1515" s="468">
        <v>119.6001</v>
      </c>
      <c r="H1515" s="479">
        <v>239.2002</v>
      </c>
      <c r="I1515" s="468" t="s">
        <v>9218</v>
      </c>
      <c r="J1515" s="468" t="s">
        <v>9219</v>
      </c>
      <c r="K1515" s="468" t="s">
        <v>9219</v>
      </c>
      <c r="L1515" s="468" t="s">
        <v>2354</v>
      </c>
    </row>
    <row r="1516" spans="1:12" x14ac:dyDescent="0.25">
      <c r="A1516" s="468" t="s">
        <v>220</v>
      </c>
      <c r="B1516" s="468" t="s">
        <v>2351</v>
      </c>
      <c r="C1516" s="468" t="s">
        <v>3417</v>
      </c>
      <c r="D1516" s="468" t="s">
        <v>3418</v>
      </c>
      <c r="F1516" s="470">
        <v>1</v>
      </c>
      <c r="G1516" s="468">
        <v>82.466999999999999</v>
      </c>
      <c r="H1516" s="479">
        <v>82.466999999999999</v>
      </c>
      <c r="I1516" s="468" t="s">
        <v>9218</v>
      </c>
      <c r="J1516" s="468" t="s">
        <v>9219</v>
      </c>
      <c r="K1516" s="468" t="s">
        <v>9219</v>
      </c>
      <c r="L1516" s="468" t="s">
        <v>2354</v>
      </c>
    </row>
    <row r="1517" spans="1:12" x14ac:dyDescent="0.25">
      <c r="A1517" s="468" t="s">
        <v>220</v>
      </c>
      <c r="B1517" s="468" t="s">
        <v>2351</v>
      </c>
      <c r="C1517" s="468" t="s">
        <v>3419</v>
      </c>
      <c r="D1517" s="468" t="s">
        <v>3420</v>
      </c>
      <c r="F1517" s="470">
        <v>4</v>
      </c>
      <c r="G1517" s="468">
        <v>138</v>
      </c>
      <c r="H1517" s="479">
        <v>552</v>
      </c>
      <c r="I1517" s="468" t="s">
        <v>9218</v>
      </c>
      <c r="J1517" s="468" t="s">
        <v>9219</v>
      </c>
      <c r="K1517" s="468" t="s">
        <v>9219</v>
      </c>
      <c r="L1517" s="468" t="s">
        <v>2354</v>
      </c>
    </row>
    <row r="1518" spans="1:12" x14ac:dyDescent="0.25">
      <c r="A1518" s="468" t="s">
        <v>220</v>
      </c>
      <c r="B1518" s="468" t="s">
        <v>2351</v>
      </c>
      <c r="C1518" s="468" t="s">
        <v>3421</v>
      </c>
      <c r="D1518" s="468" t="s">
        <v>3422</v>
      </c>
      <c r="F1518" s="470">
        <v>31</v>
      </c>
      <c r="G1518" s="468">
        <v>14</v>
      </c>
      <c r="H1518" s="479">
        <v>434</v>
      </c>
      <c r="I1518" s="468" t="s">
        <v>9218</v>
      </c>
      <c r="J1518" s="468" t="s">
        <v>9219</v>
      </c>
      <c r="K1518" s="468" t="s">
        <v>9219</v>
      </c>
      <c r="L1518" s="468" t="s">
        <v>2354</v>
      </c>
    </row>
    <row r="1519" spans="1:12" x14ac:dyDescent="0.25">
      <c r="A1519" s="468" t="s">
        <v>220</v>
      </c>
      <c r="B1519" s="468" t="s">
        <v>2351</v>
      </c>
      <c r="C1519" s="468" t="s">
        <v>3423</v>
      </c>
      <c r="D1519" s="468" t="s">
        <v>3424</v>
      </c>
      <c r="F1519" s="470">
        <v>3</v>
      </c>
      <c r="G1519" s="468">
        <v>589.88173333333327</v>
      </c>
      <c r="H1519" s="479">
        <v>1769.6451999999999</v>
      </c>
      <c r="I1519" s="468" t="s">
        <v>9218</v>
      </c>
      <c r="J1519" s="468" t="s">
        <v>9219</v>
      </c>
      <c r="K1519" s="468" t="s">
        <v>9219</v>
      </c>
      <c r="L1519" s="468" t="s">
        <v>2354</v>
      </c>
    </row>
    <row r="1520" spans="1:12" x14ac:dyDescent="0.25">
      <c r="A1520" s="468" t="s">
        <v>220</v>
      </c>
      <c r="B1520" s="468" t="s">
        <v>2351</v>
      </c>
      <c r="C1520" s="468" t="s">
        <v>3425</v>
      </c>
      <c r="D1520" s="468" t="s">
        <v>3426</v>
      </c>
      <c r="F1520" s="470">
        <v>1</v>
      </c>
      <c r="G1520" s="468">
        <v>133.62</v>
      </c>
      <c r="H1520" s="479">
        <v>133.62</v>
      </c>
      <c r="I1520" s="468" t="s">
        <v>9218</v>
      </c>
      <c r="J1520" s="468" t="s">
        <v>9219</v>
      </c>
      <c r="K1520" s="468" t="s">
        <v>9219</v>
      </c>
      <c r="L1520" s="468" t="s">
        <v>2354</v>
      </c>
    </row>
    <row r="1521" spans="1:12" x14ac:dyDescent="0.25">
      <c r="A1521" s="468" t="s">
        <v>220</v>
      </c>
      <c r="B1521" s="468" t="s">
        <v>2351</v>
      </c>
      <c r="C1521" s="468" t="s">
        <v>3429</v>
      </c>
      <c r="D1521" s="468" t="s">
        <v>3430</v>
      </c>
      <c r="F1521" s="470">
        <v>3</v>
      </c>
      <c r="G1521" s="468">
        <v>2.7591000000000001</v>
      </c>
      <c r="H1521" s="479">
        <v>8.2773000000000003</v>
      </c>
      <c r="I1521" s="468" t="s">
        <v>9218</v>
      </c>
      <c r="J1521" s="468" t="s">
        <v>9219</v>
      </c>
      <c r="K1521" s="468" t="s">
        <v>9219</v>
      </c>
      <c r="L1521" s="468" t="s">
        <v>2354</v>
      </c>
    </row>
    <row r="1522" spans="1:12" x14ac:dyDescent="0.25">
      <c r="A1522" s="468" t="s">
        <v>220</v>
      </c>
      <c r="B1522" s="468" t="s">
        <v>2351</v>
      </c>
      <c r="C1522" s="468" t="s">
        <v>3431</v>
      </c>
      <c r="D1522" s="468" t="s">
        <v>3432</v>
      </c>
      <c r="F1522" s="470">
        <v>3</v>
      </c>
      <c r="G1522" s="468">
        <v>50.4</v>
      </c>
      <c r="H1522" s="479">
        <v>151.19999999999999</v>
      </c>
      <c r="I1522" s="468" t="s">
        <v>9218</v>
      </c>
      <c r="J1522" s="468" t="s">
        <v>9219</v>
      </c>
      <c r="K1522" s="468" t="s">
        <v>9219</v>
      </c>
      <c r="L1522" s="468" t="s">
        <v>2354</v>
      </c>
    </row>
    <row r="1523" spans="1:12" x14ac:dyDescent="0.25">
      <c r="A1523" s="468" t="s">
        <v>220</v>
      </c>
      <c r="B1523" s="468" t="s">
        <v>2351</v>
      </c>
      <c r="C1523" s="468" t="s">
        <v>3433</v>
      </c>
      <c r="D1523" s="468" t="s">
        <v>3434</v>
      </c>
      <c r="F1523" s="470">
        <v>10</v>
      </c>
      <c r="G1523" s="468">
        <v>3.7944000000000004</v>
      </c>
      <c r="H1523" s="479">
        <v>37.944000000000003</v>
      </c>
      <c r="I1523" s="468" t="s">
        <v>9218</v>
      </c>
      <c r="J1523" s="468" t="s">
        <v>9219</v>
      </c>
      <c r="K1523" s="468" t="s">
        <v>9219</v>
      </c>
      <c r="L1523" s="468" t="s">
        <v>2354</v>
      </c>
    </row>
    <row r="1524" spans="1:12" x14ac:dyDescent="0.25">
      <c r="A1524" s="468" t="s">
        <v>220</v>
      </c>
      <c r="B1524" s="468" t="s">
        <v>2351</v>
      </c>
      <c r="C1524" s="468" t="s">
        <v>9259</v>
      </c>
      <c r="D1524" s="468" t="s">
        <v>9260</v>
      </c>
      <c r="F1524" s="470">
        <v>2</v>
      </c>
      <c r="G1524" s="468">
        <v>135</v>
      </c>
      <c r="H1524" s="479">
        <v>270</v>
      </c>
      <c r="I1524" s="468" t="s">
        <v>9218</v>
      </c>
      <c r="J1524" s="468" t="s">
        <v>9219</v>
      </c>
      <c r="K1524" s="468" t="s">
        <v>9219</v>
      </c>
      <c r="L1524" s="468" t="s">
        <v>2354</v>
      </c>
    </row>
    <row r="1525" spans="1:12" x14ac:dyDescent="0.25">
      <c r="A1525" s="468" t="s">
        <v>220</v>
      </c>
      <c r="B1525" s="468" t="s">
        <v>2351</v>
      </c>
      <c r="C1525" s="468" t="s">
        <v>9261</v>
      </c>
      <c r="D1525" s="468" t="s">
        <v>9262</v>
      </c>
      <c r="F1525" s="470">
        <v>1</v>
      </c>
      <c r="G1525" s="468">
        <v>145</v>
      </c>
      <c r="H1525" s="479">
        <v>145</v>
      </c>
      <c r="I1525" s="468" t="s">
        <v>9218</v>
      </c>
      <c r="J1525" s="468" t="s">
        <v>9219</v>
      </c>
      <c r="K1525" s="468" t="s">
        <v>9219</v>
      </c>
      <c r="L1525" s="468" t="s">
        <v>2354</v>
      </c>
    </row>
    <row r="1526" spans="1:12" x14ac:dyDescent="0.25">
      <c r="A1526" s="468" t="s">
        <v>220</v>
      </c>
      <c r="B1526" s="468" t="s">
        <v>2351</v>
      </c>
      <c r="C1526" s="468" t="s">
        <v>3435</v>
      </c>
      <c r="D1526" s="468" t="s">
        <v>3436</v>
      </c>
      <c r="F1526" s="470">
        <v>16</v>
      </c>
      <c r="G1526" s="468">
        <v>3.4856285714285713</v>
      </c>
      <c r="H1526" s="479">
        <v>55.770057142857141</v>
      </c>
      <c r="I1526" s="468" t="s">
        <v>9218</v>
      </c>
      <c r="J1526" s="468" t="s">
        <v>9219</v>
      </c>
      <c r="K1526" s="468" t="s">
        <v>9219</v>
      </c>
      <c r="L1526" s="468" t="s">
        <v>2354</v>
      </c>
    </row>
    <row r="1527" spans="1:12" x14ac:dyDescent="0.25">
      <c r="A1527" s="468" t="s">
        <v>220</v>
      </c>
      <c r="B1527" s="468" t="s">
        <v>2351</v>
      </c>
      <c r="C1527" s="468" t="s">
        <v>3437</v>
      </c>
      <c r="D1527" s="468" t="s">
        <v>3438</v>
      </c>
      <c r="F1527" s="470">
        <v>36</v>
      </c>
      <c r="G1527" s="468">
        <v>4.5476999999999999</v>
      </c>
      <c r="H1527" s="479">
        <v>163.71719999999999</v>
      </c>
      <c r="I1527" s="468" t="s">
        <v>9218</v>
      </c>
      <c r="J1527" s="468" t="s">
        <v>9219</v>
      </c>
      <c r="K1527" s="468" t="s">
        <v>9219</v>
      </c>
      <c r="L1527" s="468" t="s">
        <v>2354</v>
      </c>
    </row>
    <row r="1528" spans="1:12" x14ac:dyDescent="0.25">
      <c r="A1528" s="468" t="s">
        <v>220</v>
      </c>
      <c r="B1528" s="468" t="s">
        <v>2351</v>
      </c>
      <c r="C1528" s="468" t="s">
        <v>3439</v>
      </c>
      <c r="D1528" s="468" t="s">
        <v>3440</v>
      </c>
      <c r="F1528" s="470">
        <v>13</v>
      </c>
      <c r="G1528" s="468">
        <v>34.704000000000001</v>
      </c>
      <c r="H1528" s="479">
        <v>451.15199999999999</v>
      </c>
      <c r="I1528" s="468" t="s">
        <v>9218</v>
      </c>
      <c r="J1528" s="468" t="s">
        <v>9219</v>
      </c>
      <c r="K1528" s="468" t="s">
        <v>9219</v>
      </c>
      <c r="L1528" s="468" t="s">
        <v>2354</v>
      </c>
    </row>
    <row r="1529" spans="1:12" x14ac:dyDescent="0.25">
      <c r="A1529" s="468" t="s">
        <v>220</v>
      </c>
      <c r="B1529" s="468" t="s">
        <v>2351</v>
      </c>
      <c r="C1529" s="468" t="s">
        <v>3441</v>
      </c>
      <c r="D1529" s="468" t="s">
        <v>3442</v>
      </c>
      <c r="F1529" s="470">
        <v>1</v>
      </c>
      <c r="G1529" s="468">
        <v>53.76</v>
      </c>
      <c r="H1529" s="479">
        <v>53.76</v>
      </c>
      <c r="I1529" s="468" t="s">
        <v>9218</v>
      </c>
      <c r="J1529" s="468" t="s">
        <v>9219</v>
      </c>
      <c r="K1529" s="468" t="s">
        <v>9219</v>
      </c>
      <c r="L1529" s="468" t="s">
        <v>2354</v>
      </c>
    </row>
    <row r="1530" spans="1:12" x14ac:dyDescent="0.25">
      <c r="A1530" s="468" t="s">
        <v>220</v>
      </c>
      <c r="B1530" s="468" t="s">
        <v>2351</v>
      </c>
      <c r="C1530" s="468" t="s">
        <v>3443</v>
      </c>
      <c r="D1530" s="468" t="s">
        <v>3444</v>
      </c>
      <c r="F1530" s="470">
        <v>2</v>
      </c>
      <c r="G1530" s="468">
        <v>24.678000000000001</v>
      </c>
      <c r="H1530" s="479">
        <v>49.356000000000002</v>
      </c>
      <c r="I1530" s="468" t="s">
        <v>9218</v>
      </c>
      <c r="J1530" s="468" t="s">
        <v>9219</v>
      </c>
      <c r="K1530" s="468" t="s">
        <v>9219</v>
      </c>
      <c r="L1530" s="468" t="s">
        <v>2354</v>
      </c>
    </row>
    <row r="1531" spans="1:12" x14ac:dyDescent="0.25">
      <c r="A1531" s="468" t="s">
        <v>220</v>
      </c>
      <c r="B1531" s="468" t="s">
        <v>2351</v>
      </c>
      <c r="C1531" s="468" t="s">
        <v>3445</v>
      </c>
      <c r="D1531" s="468" t="s">
        <v>3446</v>
      </c>
      <c r="F1531" s="470">
        <v>1</v>
      </c>
      <c r="G1531" s="468">
        <v>62.092799999999997</v>
      </c>
      <c r="H1531" s="479">
        <v>62.092799999999997</v>
      </c>
      <c r="I1531" s="468" t="s">
        <v>9218</v>
      </c>
      <c r="J1531" s="468" t="s">
        <v>9219</v>
      </c>
      <c r="K1531" s="468" t="s">
        <v>9219</v>
      </c>
      <c r="L1531" s="468" t="s">
        <v>2354</v>
      </c>
    </row>
    <row r="1532" spans="1:12" x14ac:dyDescent="0.25">
      <c r="A1532" s="468" t="s">
        <v>220</v>
      </c>
      <c r="B1532" s="468" t="s">
        <v>2351</v>
      </c>
      <c r="C1532" s="468" t="s">
        <v>3447</v>
      </c>
      <c r="D1532" s="468" t="s">
        <v>3448</v>
      </c>
      <c r="F1532" s="470">
        <v>1</v>
      </c>
      <c r="G1532" s="468">
        <v>46.98</v>
      </c>
      <c r="H1532" s="479">
        <v>46.98</v>
      </c>
      <c r="I1532" s="468" t="s">
        <v>9218</v>
      </c>
      <c r="J1532" s="468" t="s">
        <v>9219</v>
      </c>
      <c r="K1532" s="468" t="s">
        <v>9219</v>
      </c>
      <c r="L1532" s="468" t="s">
        <v>2354</v>
      </c>
    </row>
    <row r="1533" spans="1:12" x14ac:dyDescent="0.25">
      <c r="A1533" s="468" t="s">
        <v>220</v>
      </c>
      <c r="B1533" s="468" t="s">
        <v>2351</v>
      </c>
      <c r="C1533" s="468" t="s">
        <v>3449</v>
      </c>
      <c r="D1533" s="468" t="s">
        <v>3450</v>
      </c>
      <c r="F1533" s="470">
        <v>8</v>
      </c>
      <c r="G1533" s="468">
        <v>3.0779999999999998</v>
      </c>
      <c r="H1533" s="479">
        <v>24.623999999999999</v>
      </c>
      <c r="I1533" s="468" t="s">
        <v>9218</v>
      </c>
      <c r="J1533" s="468" t="s">
        <v>9219</v>
      </c>
      <c r="K1533" s="468" t="s">
        <v>9219</v>
      </c>
      <c r="L1533" s="468" t="s">
        <v>2354</v>
      </c>
    </row>
    <row r="1534" spans="1:12" x14ac:dyDescent="0.25">
      <c r="A1534" s="468" t="s">
        <v>220</v>
      </c>
      <c r="B1534" s="468" t="s">
        <v>2351</v>
      </c>
      <c r="C1534" s="468" t="s">
        <v>3451</v>
      </c>
      <c r="D1534" s="468" t="s">
        <v>3452</v>
      </c>
      <c r="F1534" s="470">
        <v>9</v>
      </c>
      <c r="G1534" s="468">
        <v>14.076000000000001</v>
      </c>
      <c r="H1534" s="479">
        <v>126.684</v>
      </c>
      <c r="I1534" s="468" t="s">
        <v>9218</v>
      </c>
      <c r="J1534" s="468" t="s">
        <v>9219</v>
      </c>
      <c r="K1534" s="468" t="s">
        <v>9219</v>
      </c>
      <c r="L1534" s="468" t="s">
        <v>2354</v>
      </c>
    </row>
    <row r="1535" spans="1:12" x14ac:dyDescent="0.25">
      <c r="A1535" s="468" t="s">
        <v>220</v>
      </c>
      <c r="B1535" s="468" t="s">
        <v>2351</v>
      </c>
      <c r="C1535" s="468" t="s">
        <v>3577</v>
      </c>
      <c r="D1535" s="468" t="s">
        <v>3578</v>
      </c>
      <c r="F1535" s="470">
        <v>3</v>
      </c>
      <c r="G1535" s="468">
        <v>9.3550000000000004</v>
      </c>
      <c r="H1535" s="479">
        <v>28.065000000000001</v>
      </c>
      <c r="I1535" s="468" t="s">
        <v>9218</v>
      </c>
      <c r="J1535" s="468" t="s">
        <v>9219</v>
      </c>
      <c r="K1535" s="468" t="s">
        <v>9219</v>
      </c>
      <c r="L1535" s="468" t="s">
        <v>2354</v>
      </c>
    </row>
    <row r="1536" spans="1:12" x14ac:dyDescent="0.25">
      <c r="A1536" s="468" t="s">
        <v>220</v>
      </c>
      <c r="B1536" s="468" t="s">
        <v>2351</v>
      </c>
      <c r="C1536" s="468" t="s">
        <v>3619</v>
      </c>
      <c r="D1536" s="468" t="s">
        <v>3620</v>
      </c>
      <c r="F1536" s="470">
        <v>4</v>
      </c>
      <c r="G1536" s="468">
        <v>11.699999999999998</v>
      </c>
      <c r="H1536" s="479">
        <v>46.79999999999999</v>
      </c>
      <c r="I1536" s="468" t="s">
        <v>9218</v>
      </c>
      <c r="J1536" s="468" t="s">
        <v>9219</v>
      </c>
      <c r="K1536" s="468" t="s">
        <v>9219</v>
      </c>
      <c r="L1536" s="468" t="s">
        <v>2354</v>
      </c>
    </row>
    <row r="1537" spans="1:12" x14ac:dyDescent="0.25">
      <c r="A1537" s="468" t="s">
        <v>220</v>
      </c>
      <c r="B1537" s="468" t="s">
        <v>2351</v>
      </c>
      <c r="C1537" s="468" t="s">
        <v>3625</v>
      </c>
      <c r="D1537" s="468" t="s">
        <v>3626</v>
      </c>
      <c r="F1537" s="470">
        <v>1</v>
      </c>
      <c r="G1537" s="468">
        <v>7.2249999999999996</v>
      </c>
      <c r="H1537" s="479">
        <v>7.2249999999999996</v>
      </c>
      <c r="I1537" s="468" t="s">
        <v>9218</v>
      </c>
      <c r="J1537" s="468" t="s">
        <v>9219</v>
      </c>
      <c r="K1537" s="468" t="s">
        <v>9219</v>
      </c>
      <c r="L1537" s="468" t="s">
        <v>2354</v>
      </c>
    </row>
    <row r="1538" spans="1:12" x14ac:dyDescent="0.25">
      <c r="A1538" s="468" t="s">
        <v>220</v>
      </c>
      <c r="B1538" s="468" t="s">
        <v>2351</v>
      </c>
      <c r="C1538" s="468" t="s">
        <v>2419</v>
      </c>
      <c r="D1538" s="468" t="s">
        <v>2420</v>
      </c>
      <c r="F1538" s="470">
        <v>13</v>
      </c>
      <c r="G1538" s="468">
        <v>12.07</v>
      </c>
      <c r="H1538" s="479">
        <v>156.91</v>
      </c>
      <c r="I1538" s="468" t="s">
        <v>9218</v>
      </c>
      <c r="J1538" s="468" t="s">
        <v>9219</v>
      </c>
      <c r="K1538" s="468" t="s">
        <v>9219</v>
      </c>
      <c r="L1538" s="468" t="s">
        <v>2354</v>
      </c>
    </row>
    <row r="1539" spans="1:12" x14ac:dyDescent="0.25">
      <c r="A1539" s="468" t="s">
        <v>220</v>
      </c>
      <c r="B1539" s="468" t="s">
        <v>2351</v>
      </c>
      <c r="C1539" s="468" t="s">
        <v>3793</v>
      </c>
      <c r="D1539" s="468" t="s">
        <v>3794</v>
      </c>
      <c r="F1539" s="470">
        <v>3</v>
      </c>
      <c r="G1539" s="468">
        <v>110.37883333333333</v>
      </c>
      <c r="H1539" s="479">
        <v>331.13650000000001</v>
      </c>
      <c r="I1539" s="468" t="s">
        <v>9218</v>
      </c>
      <c r="J1539" s="468" t="s">
        <v>9219</v>
      </c>
      <c r="K1539" s="468" t="s">
        <v>9219</v>
      </c>
      <c r="L1539" s="468" t="s">
        <v>2354</v>
      </c>
    </row>
    <row r="1540" spans="1:12" x14ac:dyDescent="0.25">
      <c r="A1540" s="468" t="s">
        <v>220</v>
      </c>
      <c r="B1540" s="468" t="s">
        <v>2351</v>
      </c>
      <c r="C1540" s="468" t="s">
        <v>3795</v>
      </c>
      <c r="D1540" s="468" t="s">
        <v>3796</v>
      </c>
      <c r="F1540" s="470">
        <v>5</v>
      </c>
      <c r="G1540" s="468">
        <v>141.57864000000001</v>
      </c>
      <c r="H1540" s="479">
        <v>707.89319999999998</v>
      </c>
      <c r="I1540" s="468" t="s">
        <v>9218</v>
      </c>
      <c r="J1540" s="468" t="s">
        <v>9219</v>
      </c>
      <c r="K1540" s="468" t="s">
        <v>9219</v>
      </c>
      <c r="L1540" s="468" t="s">
        <v>2354</v>
      </c>
    </row>
    <row r="1541" spans="1:12" x14ac:dyDescent="0.25">
      <c r="A1541" s="468" t="s">
        <v>220</v>
      </c>
      <c r="B1541" s="468" t="s">
        <v>2351</v>
      </c>
      <c r="D1541" s="468" t="s">
        <v>9263</v>
      </c>
      <c r="F1541" s="470">
        <v>1</v>
      </c>
      <c r="G1541" s="468">
        <v>340.8</v>
      </c>
      <c r="H1541" s="479">
        <v>340.8</v>
      </c>
      <c r="I1541" s="468" t="s">
        <v>9218</v>
      </c>
      <c r="J1541" s="468" t="s">
        <v>9219</v>
      </c>
      <c r="K1541" s="468" t="s">
        <v>9219</v>
      </c>
      <c r="L1541" s="468" t="s">
        <v>2354</v>
      </c>
    </row>
    <row r="1542" spans="1:12" x14ac:dyDescent="0.25">
      <c r="A1542" s="468" t="s">
        <v>220</v>
      </c>
      <c r="B1542" s="468" t="s">
        <v>2351</v>
      </c>
      <c r="C1542" s="468" t="s">
        <v>3797</v>
      </c>
      <c r="D1542" s="468" t="s">
        <v>3798</v>
      </c>
      <c r="F1542" s="470">
        <v>11</v>
      </c>
      <c r="G1542" s="468">
        <v>102.2805</v>
      </c>
      <c r="H1542" s="479">
        <v>1125.0855000000001</v>
      </c>
      <c r="I1542" s="468" t="s">
        <v>9218</v>
      </c>
      <c r="J1542" s="468" t="s">
        <v>9219</v>
      </c>
      <c r="K1542" s="468" t="s">
        <v>9219</v>
      </c>
      <c r="L1542" s="468" t="s">
        <v>2354</v>
      </c>
    </row>
    <row r="1543" spans="1:12" x14ac:dyDescent="0.25">
      <c r="A1543" s="468" t="s">
        <v>220</v>
      </c>
      <c r="B1543" s="468" t="s">
        <v>2351</v>
      </c>
      <c r="C1543" s="468" t="s">
        <v>3799</v>
      </c>
      <c r="D1543" s="468" t="s">
        <v>3800</v>
      </c>
      <c r="F1543" s="470">
        <v>2</v>
      </c>
      <c r="G1543" s="468">
        <v>346.16480000000001</v>
      </c>
      <c r="H1543" s="479">
        <v>692.32960000000003</v>
      </c>
      <c r="I1543" s="468" t="s">
        <v>9218</v>
      </c>
      <c r="J1543" s="468" t="s">
        <v>9219</v>
      </c>
      <c r="K1543" s="468" t="s">
        <v>9219</v>
      </c>
      <c r="L1543" s="468" t="s">
        <v>2354</v>
      </c>
    </row>
    <row r="1544" spans="1:12" x14ac:dyDescent="0.25">
      <c r="A1544" s="468" t="s">
        <v>220</v>
      </c>
      <c r="B1544" s="468" t="s">
        <v>2351</v>
      </c>
      <c r="C1544" s="468" t="s">
        <v>3801</v>
      </c>
      <c r="D1544" s="468" t="s">
        <v>3802</v>
      </c>
      <c r="F1544" s="470">
        <v>4</v>
      </c>
      <c r="G1544" s="468">
        <v>145</v>
      </c>
      <c r="H1544" s="479">
        <v>580</v>
      </c>
      <c r="I1544" s="468" t="s">
        <v>9218</v>
      </c>
      <c r="J1544" s="468" t="s">
        <v>9219</v>
      </c>
      <c r="K1544" s="468" t="s">
        <v>9219</v>
      </c>
      <c r="L1544" s="468" t="s">
        <v>2354</v>
      </c>
    </row>
    <row r="1545" spans="1:12" x14ac:dyDescent="0.25">
      <c r="A1545" s="468" t="s">
        <v>220</v>
      </c>
      <c r="B1545" s="468" t="s">
        <v>2351</v>
      </c>
      <c r="C1545" s="468" t="s">
        <v>3803</v>
      </c>
      <c r="D1545" s="468" t="s">
        <v>3804</v>
      </c>
      <c r="F1545" s="470">
        <v>2</v>
      </c>
      <c r="G1545" s="468">
        <v>181.62799999999999</v>
      </c>
      <c r="H1545" s="479">
        <v>363.25599999999997</v>
      </c>
      <c r="I1545" s="468" t="s">
        <v>9218</v>
      </c>
      <c r="J1545" s="468" t="s">
        <v>9219</v>
      </c>
      <c r="K1545" s="468" t="s">
        <v>9219</v>
      </c>
      <c r="L1545" s="468" t="s">
        <v>2354</v>
      </c>
    </row>
    <row r="1546" spans="1:12" x14ac:dyDescent="0.25">
      <c r="A1546" s="468" t="s">
        <v>220</v>
      </c>
      <c r="B1546" s="468" t="s">
        <v>2351</v>
      </c>
      <c r="C1546" s="468" t="s">
        <v>3805</v>
      </c>
      <c r="D1546" s="468" t="s">
        <v>3806</v>
      </c>
      <c r="F1546" s="470">
        <v>5</v>
      </c>
      <c r="G1546" s="468">
        <v>127.00620000000001</v>
      </c>
      <c r="H1546" s="479">
        <v>635.03100000000006</v>
      </c>
      <c r="I1546" s="468" t="s">
        <v>9218</v>
      </c>
      <c r="J1546" s="468" t="s">
        <v>9219</v>
      </c>
      <c r="K1546" s="468" t="s">
        <v>9219</v>
      </c>
      <c r="L1546" s="468" t="s">
        <v>2354</v>
      </c>
    </row>
    <row r="1547" spans="1:12" x14ac:dyDescent="0.25">
      <c r="A1547" s="468" t="s">
        <v>220</v>
      </c>
      <c r="B1547" s="468" t="s">
        <v>2351</v>
      </c>
      <c r="C1547" s="468" t="s">
        <v>3807</v>
      </c>
      <c r="D1547" s="468" t="s">
        <v>3808</v>
      </c>
      <c r="F1547" s="470">
        <v>8</v>
      </c>
      <c r="G1547" s="468">
        <v>93.975999999999999</v>
      </c>
      <c r="H1547" s="479">
        <v>751.80799999999999</v>
      </c>
      <c r="I1547" s="468" t="s">
        <v>9218</v>
      </c>
      <c r="J1547" s="468" t="s">
        <v>9219</v>
      </c>
      <c r="K1547" s="468" t="s">
        <v>9219</v>
      </c>
      <c r="L1547" s="468" t="s">
        <v>2354</v>
      </c>
    </row>
    <row r="1548" spans="1:12" x14ac:dyDescent="0.25">
      <c r="A1548" s="468" t="s">
        <v>220</v>
      </c>
      <c r="B1548" s="468" t="s">
        <v>2351</v>
      </c>
      <c r="C1548" s="468" t="s">
        <v>3809</v>
      </c>
      <c r="D1548" s="468" t="s">
        <v>3810</v>
      </c>
      <c r="F1548" s="470">
        <v>10</v>
      </c>
      <c r="G1548" s="468">
        <v>64.261530000000008</v>
      </c>
      <c r="H1548" s="479">
        <v>642.61530000000005</v>
      </c>
      <c r="I1548" s="468" t="s">
        <v>9218</v>
      </c>
      <c r="J1548" s="468" t="s">
        <v>9219</v>
      </c>
      <c r="K1548" s="468" t="s">
        <v>9219</v>
      </c>
      <c r="L1548" s="468" t="s">
        <v>2354</v>
      </c>
    </row>
    <row r="1549" spans="1:12" x14ac:dyDescent="0.25">
      <c r="A1549" s="468" t="s">
        <v>220</v>
      </c>
      <c r="B1549" s="468" t="s">
        <v>2351</v>
      </c>
      <c r="C1549" s="468" t="s">
        <v>3811</v>
      </c>
      <c r="D1549" s="468" t="s">
        <v>3812</v>
      </c>
      <c r="F1549" s="470">
        <v>5</v>
      </c>
      <c r="G1549" s="468">
        <v>89.798400000000001</v>
      </c>
      <c r="H1549" s="479">
        <v>448.99200000000002</v>
      </c>
      <c r="I1549" s="468" t="s">
        <v>9218</v>
      </c>
      <c r="J1549" s="468" t="s">
        <v>9219</v>
      </c>
      <c r="K1549" s="468" t="s">
        <v>9219</v>
      </c>
      <c r="L1549" s="468" t="s">
        <v>2354</v>
      </c>
    </row>
    <row r="1550" spans="1:12" x14ac:dyDescent="0.25">
      <c r="A1550" s="468" t="s">
        <v>220</v>
      </c>
      <c r="B1550" s="468" t="s">
        <v>2351</v>
      </c>
      <c r="C1550" s="468" t="s">
        <v>3813</v>
      </c>
      <c r="D1550" s="468" t="s">
        <v>3814</v>
      </c>
      <c r="F1550" s="470">
        <v>1</v>
      </c>
      <c r="G1550" s="468">
        <v>176.84310000000002</v>
      </c>
      <c r="H1550" s="479">
        <v>176.84310000000002</v>
      </c>
      <c r="I1550" s="468" t="s">
        <v>9218</v>
      </c>
      <c r="J1550" s="468" t="s">
        <v>9219</v>
      </c>
      <c r="K1550" s="468" t="s">
        <v>9219</v>
      </c>
      <c r="L1550" s="468" t="s">
        <v>2354</v>
      </c>
    </row>
    <row r="1551" spans="1:12" x14ac:dyDescent="0.25">
      <c r="A1551" s="468" t="s">
        <v>220</v>
      </c>
      <c r="B1551" s="468" t="s">
        <v>2351</v>
      </c>
      <c r="C1551" s="468" t="s">
        <v>3815</v>
      </c>
      <c r="D1551" s="468" t="s">
        <v>3816</v>
      </c>
      <c r="F1551" s="470">
        <v>5</v>
      </c>
      <c r="G1551" s="468">
        <v>44.763299999999994</v>
      </c>
      <c r="H1551" s="479">
        <v>223.81649999999996</v>
      </c>
      <c r="I1551" s="468" t="s">
        <v>9218</v>
      </c>
      <c r="J1551" s="468" t="s">
        <v>9219</v>
      </c>
      <c r="K1551" s="468" t="s">
        <v>9219</v>
      </c>
      <c r="L1551" s="468" t="s">
        <v>2354</v>
      </c>
    </row>
    <row r="1552" spans="1:12" x14ac:dyDescent="0.25">
      <c r="A1552" s="468" t="s">
        <v>220</v>
      </c>
      <c r="B1552" s="468" t="s">
        <v>2351</v>
      </c>
      <c r="C1552" s="468" t="s">
        <v>3817</v>
      </c>
      <c r="D1552" s="468" t="s">
        <v>3818</v>
      </c>
      <c r="F1552" s="470">
        <v>1</v>
      </c>
      <c r="G1552" s="468">
        <v>1330.4114999999999</v>
      </c>
      <c r="H1552" s="479">
        <v>1330.4114999999999</v>
      </c>
      <c r="I1552" s="468" t="s">
        <v>9218</v>
      </c>
      <c r="J1552" s="468" t="s">
        <v>9219</v>
      </c>
      <c r="K1552" s="468" t="s">
        <v>9219</v>
      </c>
      <c r="L1552" s="468" t="s">
        <v>2354</v>
      </c>
    </row>
    <row r="1553" spans="1:12" x14ac:dyDescent="0.25">
      <c r="A1553" s="468" t="s">
        <v>220</v>
      </c>
      <c r="B1553" s="468" t="s">
        <v>2351</v>
      </c>
      <c r="C1553" s="468" t="s">
        <v>3819</v>
      </c>
      <c r="D1553" s="468" t="s">
        <v>3820</v>
      </c>
      <c r="F1553" s="470">
        <v>1</v>
      </c>
      <c r="G1553" s="468">
        <v>129.67784999999998</v>
      </c>
      <c r="H1553" s="479">
        <v>129.67784999999998</v>
      </c>
      <c r="I1553" s="468" t="s">
        <v>9218</v>
      </c>
      <c r="J1553" s="468" t="s">
        <v>9219</v>
      </c>
      <c r="K1553" s="468" t="s">
        <v>9219</v>
      </c>
      <c r="L1553" s="468" t="s">
        <v>2354</v>
      </c>
    </row>
    <row r="1554" spans="1:12" x14ac:dyDescent="0.25">
      <c r="A1554" s="468" t="s">
        <v>220</v>
      </c>
      <c r="B1554" s="468" t="s">
        <v>2351</v>
      </c>
      <c r="C1554" s="468" t="s">
        <v>5311</v>
      </c>
      <c r="D1554" s="468" t="s">
        <v>5312</v>
      </c>
      <c r="F1554" s="470">
        <v>1</v>
      </c>
      <c r="H1554" s="479">
        <v>0</v>
      </c>
      <c r="I1554" s="468" t="s">
        <v>9218</v>
      </c>
      <c r="J1554" s="468" t="s">
        <v>9219</v>
      </c>
      <c r="K1554" s="468" t="s">
        <v>9219</v>
      </c>
      <c r="L1554" s="468" t="s">
        <v>2354</v>
      </c>
    </row>
    <row r="1555" spans="1:12" x14ac:dyDescent="0.25">
      <c r="A1555" s="468" t="s">
        <v>220</v>
      </c>
      <c r="B1555" s="468" t="s">
        <v>2351</v>
      </c>
      <c r="C1555" s="468" t="s">
        <v>3821</v>
      </c>
      <c r="D1555" s="468" t="s">
        <v>3822</v>
      </c>
      <c r="F1555" s="470">
        <v>1</v>
      </c>
      <c r="G1555" s="468">
        <v>382.89949999999999</v>
      </c>
      <c r="H1555" s="479">
        <v>382.89949999999999</v>
      </c>
      <c r="I1555" s="468" t="s">
        <v>9218</v>
      </c>
      <c r="J1555" s="468" t="s">
        <v>9219</v>
      </c>
      <c r="K1555" s="468" t="s">
        <v>9219</v>
      </c>
      <c r="L1555" s="468" t="s">
        <v>2354</v>
      </c>
    </row>
    <row r="1556" spans="1:12" x14ac:dyDescent="0.25">
      <c r="A1556" s="468" t="s">
        <v>220</v>
      </c>
      <c r="B1556" s="468" t="s">
        <v>2351</v>
      </c>
      <c r="C1556" s="468" t="s">
        <v>3823</v>
      </c>
      <c r="D1556" s="468" t="s">
        <v>3824</v>
      </c>
      <c r="F1556" s="470">
        <v>6</v>
      </c>
      <c r="H1556" s="479">
        <v>0</v>
      </c>
      <c r="I1556" s="468" t="s">
        <v>9218</v>
      </c>
      <c r="J1556" s="468" t="s">
        <v>9219</v>
      </c>
      <c r="K1556" s="468" t="s">
        <v>9219</v>
      </c>
      <c r="L1556" s="468" t="s">
        <v>2354</v>
      </c>
    </row>
    <row r="1557" spans="1:12" x14ac:dyDescent="0.25">
      <c r="A1557" s="468" t="s">
        <v>220</v>
      </c>
      <c r="B1557" s="468" t="s">
        <v>2351</v>
      </c>
      <c r="C1557" s="468" t="s">
        <v>9264</v>
      </c>
      <c r="D1557" s="468" t="s">
        <v>9265</v>
      </c>
      <c r="F1557" s="470">
        <v>2</v>
      </c>
      <c r="G1557" s="468">
        <v>184.62</v>
      </c>
      <c r="H1557" s="479">
        <v>369.24</v>
      </c>
      <c r="I1557" s="468" t="s">
        <v>9218</v>
      </c>
      <c r="J1557" s="468" t="s">
        <v>9219</v>
      </c>
      <c r="K1557" s="468" t="s">
        <v>9219</v>
      </c>
      <c r="L1557" s="468" t="s">
        <v>2354</v>
      </c>
    </row>
    <row r="1558" spans="1:12" x14ac:dyDescent="0.25">
      <c r="A1558" s="468" t="s">
        <v>220</v>
      </c>
      <c r="B1558" s="468" t="s">
        <v>2351</v>
      </c>
      <c r="C1558" s="468" t="s">
        <v>3825</v>
      </c>
      <c r="D1558" s="468" t="s">
        <v>3826</v>
      </c>
      <c r="F1558" s="470">
        <v>2</v>
      </c>
      <c r="G1558" s="468">
        <v>150.75</v>
      </c>
      <c r="H1558" s="479">
        <v>301.5</v>
      </c>
      <c r="I1558" s="468" t="s">
        <v>9218</v>
      </c>
      <c r="J1558" s="468" t="s">
        <v>9219</v>
      </c>
      <c r="K1558" s="468" t="s">
        <v>9219</v>
      </c>
      <c r="L1558" s="468" t="s">
        <v>2354</v>
      </c>
    </row>
    <row r="1559" spans="1:12" x14ac:dyDescent="0.25">
      <c r="A1559" s="468" t="s">
        <v>220</v>
      </c>
      <c r="B1559" s="468" t="s">
        <v>2351</v>
      </c>
      <c r="C1559" s="468" t="s">
        <v>3827</v>
      </c>
      <c r="D1559" s="468" t="s">
        <v>3828</v>
      </c>
      <c r="F1559" s="470">
        <v>6</v>
      </c>
      <c r="G1559" s="468">
        <v>100.2</v>
      </c>
      <c r="H1559" s="479">
        <v>601.20000000000005</v>
      </c>
      <c r="I1559" s="468" t="s">
        <v>9218</v>
      </c>
      <c r="J1559" s="468" t="s">
        <v>9219</v>
      </c>
      <c r="K1559" s="468" t="s">
        <v>9219</v>
      </c>
      <c r="L1559" s="468" t="s">
        <v>2354</v>
      </c>
    </row>
    <row r="1560" spans="1:12" x14ac:dyDescent="0.25">
      <c r="A1560" s="468" t="s">
        <v>220</v>
      </c>
      <c r="B1560" s="468" t="s">
        <v>2351</v>
      </c>
      <c r="C1560" s="468" t="s">
        <v>3829</v>
      </c>
      <c r="D1560" s="468" t="s">
        <v>3830</v>
      </c>
      <c r="F1560" s="470">
        <v>4</v>
      </c>
      <c r="G1560" s="468">
        <v>6.9550000000000001</v>
      </c>
      <c r="H1560" s="479">
        <v>27.82</v>
      </c>
      <c r="I1560" s="468" t="s">
        <v>9218</v>
      </c>
      <c r="J1560" s="468" t="s">
        <v>9219</v>
      </c>
      <c r="K1560" s="468" t="s">
        <v>9219</v>
      </c>
      <c r="L1560" s="468" t="s">
        <v>2354</v>
      </c>
    </row>
    <row r="1561" spans="1:12" x14ac:dyDescent="0.25">
      <c r="A1561" s="468" t="s">
        <v>220</v>
      </c>
      <c r="B1561" s="468" t="s">
        <v>2351</v>
      </c>
      <c r="C1561" s="468" t="s">
        <v>3837</v>
      </c>
      <c r="D1561" s="468" t="s">
        <v>3838</v>
      </c>
      <c r="F1561" s="470">
        <v>4</v>
      </c>
      <c r="G1561" s="468">
        <v>0.17199999999999999</v>
      </c>
      <c r="H1561" s="479">
        <v>0.68799999999999994</v>
      </c>
      <c r="I1561" s="468" t="s">
        <v>9218</v>
      </c>
      <c r="J1561" s="468" t="s">
        <v>9219</v>
      </c>
      <c r="K1561" s="468" t="s">
        <v>9219</v>
      </c>
      <c r="L1561" s="468" t="s">
        <v>2354</v>
      </c>
    </row>
    <row r="1562" spans="1:12" x14ac:dyDescent="0.25">
      <c r="A1562" s="468" t="s">
        <v>220</v>
      </c>
      <c r="B1562" s="468" t="s">
        <v>2351</v>
      </c>
      <c r="C1562" s="468" t="s">
        <v>3841</v>
      </c>
      <c r="D1562" s="468" t="s">
        <v>3842</v>
      </c>
      <c r="F1562" s="470">
        <v>2</v>
      </c>
      <c r="G1562" s="468">
        <v>27.27</v>
      </c>
      <c r="H1562" s="479">
        <v>54.54</v>
      </c>
      <c r="I1562" s="468" t="s">
        <v>9218</v>
      </c>
      <c r="J1562" s="468" t="s">
        <v>9219</v>
      </c>
      <c r="K1562" s="468" t="s">
        <v>9219</v>
      </c>
      <c r="L1562" s="468" t="s">
        <v>2354</v>
      </c>
    </row>
    <row r="1563" spans="1:12" x14ac:dyDescent="0.25">
      <c r="A1563" s="468" t="s">
        <v>220</v>
      </c>
      <c r="B1563" s="468" t="s">
        <v>2351</v>
      </c>
      <c r="C1563" s="468" t="s">
        <v>3843</v>
      </c>
      <c r="D1563" s="468" t="s">
        <v>3844</v>
      </c>
      <c r="F1563" s="470">
        <v>2</v>
      </c>
      <c r="G1563" s="468">
        <v>364.49275</v>
      </c>
      <c r="H1563" s="479">
        <v>728.9855</v>
      </c>
      <c r="I1563" s="468" t="s">
        <v>9218</v>
      </c>
      <c r="J1563" s="468" t="s">
        <v>9219</v>
      </c>
      <c r="K1563" s="468" t="s">
        <v>9219</v>
      </c>
      <c r="L1563" s="468" t="s">
        <v>2354</v>
      </c>
    </row>
    <row r="1564" spans="1:12" x14ac:dyDescent="0.25">
      <c r="A1564" s="468" t="s">
        <v>220</v>
      </c>
      <c r="B1564" s="468" t="s">
        <v>2351</v>
      </c>
      <c r="C1564" s="468" t="s">
        <v>3845</v>
      </c>
      <c r="D1564" s="468" t="s">
        <v>3846</v>
      </c>
      <c r="F1564" s="470">
        <v>35</v>
      </c>
      <c r="G1564" s="468">
        <v>133.94300000000001</v>
      </c>
      <c r="H1564" s="479">
        <v>4688.0050000000001</v>
      </c>
      <c r="I1564" s="468" t="s">
        <v>9218</v>
      </c>
      <c r="J1564" s="468" t="s">
        <v>9219</v>
      </c>
      <c r="K1564" s="468" t="s">
        <v>9219</v>
      </c>
      <c r="L1564" s="468" t="s">
        <v>2354</v>
      </c>
    </row>
    <row r="1565" spans="1:12" x14ac:dyDescent="0.25">
      <c r="A1565" s="468" t="s">
        <v>220</v>
      </c>
      <c r="B1565" s="468" t="s">
        <v>2351</v>
      </c>
      <c r="C1565" s="468" t="s">
        <v>3847</v>
      </c>
      <c r="D1565" s="468" t="s">
        <v>3848</v>
      </c>
      <c r="F1565" s="470">
        <v>2</v>
      </c>
      <c r="G1565" s="468">
        <v>19.800999999999998</v>
      </c>
      <c r="H1565" s="479">
        <v>39.601999999999997</v>
      </c>
      <c r="I1565" s="468" t="s">
        <v>9218</v>
      </c>
      <c r="J1565" s="468" t="s">
        <v>9219</v>
      </c>
      <c r="K1565" s="468" t="s">
        <v>9219</v>
      </c>
      <c r="L1565" s="468" t="s">
        <v>2354</v>
      </c>
    </row>
    <row r="1566" spans="1:12" x14ac:dyDescent="0.25">
      <c r="A1566" s="468" t="s">
        <v>220</v>
      </c>
      <c r="B1566" s="468" t="s">
        <v>2351</v>
      </c>
      <c r="C1566" s="468" t="s">
        <v>3849</v>
      </c>
      <c r="D1566" s="468" t="s">
        <v>3850</v>
      </c>
      <c r="F1566" s="470">
        <v>7</v>
      </c>
      <c r="G1566" s="468">
        <v>9.9990000000000006</v>
      </c>
      <c r="H1566" s="479">
        <v>69.993000000000009</v>
      </c>
      <c r="I1566" s="468" t="s">
        <v>9218</v>
      </c>
      <c r="J1566" s="468" t="s">
        <v>9219</v>
      </c>
      <c r="K1566" s="468" t="s">
        <v>9219</v>
      </c>
      <c r="L1566" s="468" t="s">
        <v>2354</v>
      </c>
    </row>
    <row r="1567" spans="1:12" x14ac:dyDescent="0.25">
      <c r="A1567" s="468" t="s">
        <v>220</v>
      </c>
      <c r="B1567" s="468" t="s">
        <v>2351</v>
      </c>
      <c r="C1567" s="468" t="s">
        <v>3851</v>
      </c>
      <c r="D1567" s="468" t="s">
        <v>3852</v>
      </c>
      <c r="F1567" s="470">
        <v>6</v>
      </c>
      <c r="G1567" s="468">
        <v>1.7955000000000001</v>
      </c>
      <c r="H1567" s="479">
        <v>10.773</v>
      </c>
      <c r="I1567" s="468" t="s">
        <v>9218</v>
      </c>
      <c r="J1567" s="468" t="s">
        <v>9219</v>
      </c>
      <c r="K1567" s="468" t="s">
        <v>9219</v>
      </c>
      <c r="L1567" s="468" t="s">
        <v>2354</v>
      </c>
    </row>
    <row r="1568" spans="1:12" x14ac:dyDescent="0.25">
      <c r="A1568" s="468" t="s">
        <v>220</v>
      </c>
      <c r="B1568" s="468" t="s">
        <v>2351</v>
      </c>
      <c r="C1568" s="468" t="s">
        <v>3853</v>
      </c>
      <c r="D1568" s="468" t="s">
        <v>3854</v>
      </c>
      <c r="F1568" s="470">
        <v>8</v>
      </c>
      <c r="G1568" s="468">
        <v>1.5498000000000001</v>
      </c>
      <c r="H1568" s="479">
        <v>12.398400000000001</v>
      </c>
      <c r="I1568" s="468" t="s">
        <v>9218</v>
      </c>
      <c r="J1568" s="468" t="s">
        <v>9219</v>
      </c>
      <c r="K1568" s="468" t="s">
        <v>9219</v>
      </c>
      <c r="L1568" s="468" t="s">
        <v>2354</v>
      </c>
    </row>
    <row r="1569" spans="1:12" x14ac:dyDescent="0.25">
      <c r="A1569" s="468" t="s">
        <v>220</v>
      </c>
      <c r="B1569" s="468" t="s">
        <v>2351</v>
      </c>
      <c r="C1569" s="468" t="s">
        <v>3855</v>
      </c>
      <c r="D1569" s="468" t="s">
        <v>7562</v>
      </c>
      <c r="F1569" s="470">
        <v>2</v>
      </c>
      <c r="G1569" s="468">
        <v>327.488</v>
      </c>
      <c r="H1569" s="479">
        <v>654.976</v>
      </c>
      <c r="I1569" s="468" t="s">
        <v>9218</v>
      </c>
      <c r="J1569" s="468" t="s">
        <v>9219</v>
      </c>
      <c r="K1569" s="468" t="s">
        <v>9219</v>
      </c>
      <c r="L1569" s="468" t="s">
        <v>2354</v>
      </c>
    </row>
    <row r="1570" spans="1:12" x14ac:dyDescent="0.25">
      <c r="A1570" s="468" t="s">
        <v>220</v>
      </c>
      <c r="B1570" s="468" t="s">
        <v>2351</v>
      </c>
      <c r="C1570" s="468" t="s">
        <v>3857</v>
      </c>
      <c r="D1570" s="468" t="s">
        <v>3858</v>
      </c>
      <c r="F1570" s="470">
        <v>2</v>
      </c>
      <c r="G1570" s="468">
        <v>407.12400000000002</v>
      </c>
      <c r="H1570" s="479">
        <v>814.24800000000005</v>
      </c>
      <c r="I1570" s="468" t="s">
        <v>9218</v>
      </c>
      <c r="J1570" s="468" t="s">
        <v>9219</v>
      </c>
      <c r="K1570" s="468" t="s">
        <v>9219</v>
      </c>
      <c r="L1570" s="468" t="s">
        <v>2354</v>
      </c>
    </row>
    <row r="1571" spans="1:12" x14ac:dyDescent="0.25">
      <c r="A1571" s="468" t="s">
        <v>220</v>
      </c>
      <c r="B1571" s="468" t="s">
        <v>2351</v>
      </c>
      <c r="C1571" s="468" t="s">
        <v>3859</v>
      </c>
      <c r="D1571" s="468" t="s">
        <v>3860</v>
      </c>
      <c r="F1571" s="470">
        <v>2</v>
      </c>
      <c r="G1571" s="468">
        <v>248.01400000000001</v>
      </c>
      <c r="H1571" s="479">
        <v>496.02800000000002</v>
      </c>
      <c r="I1571" s="468" t="s">
        <v>9218</v>
      </c>
      <c r="J1571" s="468" t="s">
        <v>9219</v>
      </c>
      <c r="K1571" s="468" t="s">
        <v>9219</v>
      </c>
      <c r="L1571" s="468" t="s">
        <v>2354</v>
      </c>
    </row>
    <row r="1572" spans="1:12" x14ac:dyDescent="0.25">
      <c r="A1572" s="468" t="s">
        <v>220</v>
      </c>
      <c r="B1572" s="468" t="s">
        <v>2351</v>
      </c>
      <c r="C1572" s="468" t="s">
        <v>3861</v>
      </c>
      <c r="D1572" s="468" t="s">
        <v>3862</v>
      </c>
      <c r="F1572" s="470">
        <v>1</v>
      </c>
      <c r="G1572" s="468">
        <v>588.6</v>
      </c>
      <c r="H1572" s="479">
        <v>588.6</v>
      </c>
      <c r="I1572" s="468" t="s">
        <v>9218</v>
      </c>
      <c r="J1572" s="468" t="s">
        <v>9219</v>
      </c>
      <c r="K1572" s="468" t="s">
        <v>9219</v>
      </c>
      <c r="L1572" s="468" t="s">
        <v>2354</v>
      </c>
    </row>
    <row r="1573" spans="1:12" x14ac:dyDescent="0.25">
      <c r="A1573" s="468" t="s">
        <v>220</v>
      </c>
      <c r="B1573" s="468" t="s">
        <v>2351</v>
      </c>
      <c r="C1573" s="468" t="s">
        <v>3863</v>
      </c>
      <c r="D1573" s="468" t="s">
        <v>3864</v>
      </c>
      <c r="F1573" s="470">
        <v>2</v>
      </c>
      <c r="G1573" s="468">
        <v>281.60500000000002</v>
      </c>
      <c r="H1573" s="479">
        <v>563.21</v>
      </c>
      <c r="I1573" s="468" t="s">
        <v>9218</v>
      </c>
      <c r="J1573" s="468" t="s">
        <v>9219</v>
      </c>
      <c r="K1573" s="468" t="s">
        <v>9219</v>
      </c>
      <c r="L1573" s="468" t="s">
        <v>2354</v>
      </c>
    </row>
    <row r="1574" spans="1:12" x14ac:dyDescent="0.25">
      <c r="A1574" s="468" t="s">
        <v>220</v>
      </c>
      <c r="B1574" s="468" t="s">
        <v>2351</v>
      </c>
      <c r="C1574" s="468" t="s">
        <v>3865</v>
      </c>
      <c r="D1574" s="468" t="s">
        <v>3866</v>
      </c>
      <c r="F1574" s="470">
        <v>25</v>
      </c>
      <c r="G1574" s="468">
        <v>12</v>
      </c>
      <c r="H1574" s="479">
        <v>300</v>
      </c>
      <c r="I1574" s="468" t="s">
        <v>9218</v>
      </c>
      <c r="J1574" s="468" t="s">
        <v>9219</v>
      </c>
      <c r="K1574" s="468" t="s">
        <v>9219</v>
      </c>
      <c r="L1574" s="468" t="s">
        <v>2354</v>
      </c>
    </row>
    <row r="1575" spans="1:12" x14ac:dyDescent="0.25">
      <c r="A1575" s="468" t="s">
        <v>220</v>
      </c>
      <c r="B1575" s="468" t="s">
        <v>2351</v>
      </c>
      <c r="C1575" s="468" t="s">
        <v>3869</v>
      </c>
      <c r="D1575" s="468" t="s">
        <v>3870</v>
      </c>
      <c r="F1575" s="470">
        <v>1</v>
      </c>
      <c r="G1575" s="468">
        <v>193.8015</v>
      </c>
      <c r="H1575" s="479">
        <v>193.8015</v>
      </c>
      <c r="I1575" s="468" t="s">
        <v>9218</v>
      </c>
      <c r="J1575" s="468" t="s">
        <v>9219</v>
      </c>
      <c r="K1575" s="468" t="s">
        <v>9219</v>
      </c>
      <c r="L1575" s="468" t="s">
        <v>2354</v>
      </c>
    </row>
    <row r="1576" spans="1:12" x14ac:dyDescent="0.25">
      <c r="A1576" s="468" t="s">
        <v>220</v>
      </c>
      <c r="B1576" s="468" t="s">
        <v>2351</v>
      </c>
      <c r="C1576" s="468" t="s">
        <v>3873</v>
      </c>
      <c r="D1576" s="468" t="s">
        <v>3874</v>
      </c>
      <c r="F1576" s="470">
        <v>2</v>
      </c>
      <c r="G1576" s="468">
        <v>24.84</v>
      </c>
      <c r="H1576" s="479">
        <v>49.68</v>
      </c>
      <c r="I1576" s="468" t="s">
        <v>9218</v>
      </c>
      <c r="J1576" s="468" t="s">
        <v>9219</v>
      </c>
      <c r="K1576" s="468" t="s">
        <v>9219</v>
      </c>
      <c r="L1576" s="468" t="s">
        <v>2354</v>
      </c>
    </row>
    <row r="1577" spans="1:12" x14ac:dyDescent="0.25">
      <c r="A1577" s="468" t="s">
        <v>220</v>
      </c>
      <c r="B1577" s="468" t="s">
        <v>2351</v>
      </c>
      <c r="C1577" s="468" t="s">
        <v>3875</v>
      </c>
      <c r="D1577" s="468" t="s">
        <v>3876</v>
      </c>
      <c r="F1577" s="470">
        <v>3</v>
      </c>
      <c r="G1577" s="468">
        <v>11</v>
      </c>
      <c r="H1577" s="479">
        <v>33</v>
      </c>
      <c r="I1577" s="468" t="s">
        <v>9218</v>
      </c>
      <c r="J1577" s="468" t="s">
        <v>9219</v>
      </c>
      <c r="K1577" s="468" t="s">
        <v>9219</v>
      </c>
      <c r="L1577" s="468" t="s">
        <v>2354</v>
      </c>
    </row>
    <row r="1578" spans="1:12" x14ac:dyDescent="0.25">
      <c r="A1578" s="468" t="s">
        <v>220</v>
      </c>
      <c r="B1578" s="468" t="s">
        <v>2351</v>
      </c>
      <c r="C1578" s="468" t="s">
        <v>9266</v>
      </c>
      <c r="D1578" s="468" t="s">
        <v>9267</v>
      </c>
      <c r="F1578" s="470">
        <v>2</v>
      </c>
      <c r="H1578" s="479">
        <v>0</v>
      </c>
      <c r="I1578" s="468" t="s">
        <v>9218</v>
      </c>
      <c r="J1578" s="468" t="s">
        <v>9219</v>
      </c>
      <c r="K1578" s="468" t="s">
        <v>9219</v>
      </c>
      <c r="L1578" s="468" t="s">
        <v>2354</v>
      </c>
    </row>
    <row r="1579" spans="1:12" x14ac:dyDescent="0.25">
      <c r="A1579" s="468" t="s">
        <v>220</v>
      </c>
      <c r="B1579" s="468" t="s">
        <v>2351</v>
      </c>
      <c r="C1579" s="468" t="s">
        <v>3877</v>
      </c>
      <c r="D1579" s="468" t="s">
        <v>3878</v>
      </c>
      <c r="F1579" s="470">
        <v>4</v>
      </c>
      <c r="G1579" s="468">
        <v>126.23679999999999</v>
      </c>
      <c r="H1579" s="479">
        <v>504.94719999999995</v>
      </c>
      <c r="I1579" s="468" t="s">
        <v>9218</v>
      </c>
      <c r="J1579" s="468" t="s">
        <v>9219</v>
      </c>
      <c r="K1579" s="468" t="s">
        <v>9219</v>
      </c>
      <c r="L1579" s="468" t="s">
        <v>2354</v>
      </c>
    </row>
    <row r="1580" spans="1:12" x14ac:dyDescent="0.25">
      <c r="A1580" s="468" t="s">
        <v>220</v>
      </c>
      <c r="B1580" s="468" t="s">
        <v>2351</v>
      </c>
      <c r="D1580" s="468" t="s">
        <v>9268</v>
      </c>
      <c r="F1580" s="470">
        <v>12</v>
      </c>
      <c r="H1580" s="479">
        <v>0</v>
      </c>
      <c r="I1580" s="468" t="s">
        <v>9218</v>
      </c>
      <c r="J1580" s="468" t="s">
        <v>9219</v>
      </c>
      <c r="K1580" s="468" t="s">
        <v>9219</v>
      </c>
      <c r="L1580" s="468" t="s">
        <v>2354</v>
      </c>
    </row>
    <row r="1581" spans="1:12" x14ac:dyDescent="0.25">
      <c r="A1581" s="468" t="s">
        <v>220</v>
      </c>
      <c r="B1581" s="468" t="s">
        <v>2351</v>
      </c>
      <c r="C1581" s="468" t="s">
        <v>3879</v>
      </c>
      <c r="D1581" s="468" t="s">
        <v>3880</v>
      </c>
      <c r="F1581" s="470">
        <v>3</v>
      </c>
      <c r="H1581" s="479">
        <v>0</v>
      </c>
      <c r="I1581" s="468" t="s">
        <v>9218</v>
      </c>
      <c r="J1581" s="468" t="s">
        <v>9219</v>
      </c>
      <c r="K1581" s="468" t="s">
        <v>9219</v>
      </c>
      <c r="L1581" s="468" t="s">
        <v>2354</v>
      </c>
    </row>
    <row r="1582" spans="1:12" x14ac:dyDescent="0.25">
      <c r="A1582" s="468" t="s">
        <v>220</v>
      </c>
      <c r="B1582" s="468" t="s">
        <v>2351</v>
      </c>
      <c r="C1582" s="468" t="s">
        <v>3883</v>
      </c>
      <c r="D1582" s="468" t="s">
        <v>3884</v>
      </c>
      <c r="F1582" s="470">
        <v>4</v>
      </c>
      <c r="G1582" s="468">
        <v>293.471</v>
      </c>
      <c r="H1582" s="479">
        <v>1173.884</v>
      </c>
      <c r="I1582" s="468" t="s">
        <v>9218</v>
      </c>
      <c r="J1582" s="468" t="s">
        <v>9219</v>
      </c>
      <c r="K1582" s="468" t="s">
        <v>9219</v>
      </c>
      <c r="L1582" s="468" t="s">
        <v>2354</v>
      </c>
    </row>
    <row r="1583" spans="1:12" x14ac:dyDescent="0.25">
      <c r="A1583" s="468" t="s">
        <v>220</v>
      </c>
      <c r="B1583" s="468" t="s">
        <v>2351</v>
      </c>
      <c r="C1583" s="468" t="s">
        <v>3885</v>
      </c>
      <c r="D1583" s="468" t="s">
        <v>3886</v>
      </c>
      <c r="F1583" s="470">
        <v>9</v>
      </c>
      <c r="G1583" s="468">
        <v>146.642</v>
      </c>
      <c r="H1583" s="479">
        <v>1319.778</v>
      </c>
      <c r="I1583" s="468" t="s">
        <v>9218</v>
      </c>
      <c r="J1583" s="468" t="s">
        <v>9219</v>
      </c>
      <c r="K1583" s="468" t="s">
        <v>9219</v>
      </c>
      <c r="L1583" s="468" t="s">
        <v>2354</v>
      </c>
    </row>
    <row r="1584" spans="1:12" x14ac:dyDescent="0.25">
      <c r="A1584" s="468" t="s">
        <v>220</v>
      </c>
      <c r="B1584" s="468" t="s">
        <v>2351</v>
      </c>
      <c r="C1584" s="468" t="s">
        <v>3887</v>
      </c>
      <c r="D1584" s="468" t="s">
        <v>3888</v>
      </c>
      <c r="F1584" s="470">
        <v>4</v>
      </c>
      <c r="G1584" s="468">
        <v>277.35500000000002</v>
      </c>
      <c r="H1584" s="479">
        <v>1109.42</v>
      </c>
      <c r="I1584" s="468" t="s">
        <v>9218</v>
      </c>
      <c r="J1584" s="468" t="s">
        <v>9219</v>
      </c>
      <c r="K1584" s="468" t="s">
        <v>9219</v>
      </c>
      <c r="L1584" s="468" t="s">
        <v>2354</v>
      </c>
    </row>
    <row r="1585" spans="1:12" x14ac:dyDescent="0.25">
      <c r="A1585" s="468" t="s">
        <v>220</v>
      </c>
      <c r="B1585" s="468" t="s">
        <v>2351</v>
      </c>
      <c r="C1585" s="468" t="s">
        <v>5321</v>
      </c>
      <c r="D1585" s="468" t="s">
        <v>5322</v>
      </c>
      <c r="F1585" s="470">
        <v>1</v>
      </c>
      <c r="H1585" s="479">
        <v>0</v>
      </c>
      <c r="I1585" s="468" t="s">
        <v>9218</v>
      </c>
      <c r="J1585" s="468" t="s">
        <v>9219</v>
      </c>
      <c r="K1585" s="468" t="s">
        <v>9219</v>
      </c>
      <c r="L1585" s="468" t="s">
        <v>2354</v>
      </c>
    </row>
    <row r="1586" spans="1:12" x14ac:dyDescent="0.25">
      <c r="A1586" s="468" t="s">
        <v>220</v>
      </c>
      <c r="B1586" s="468" t="s">
        <v>2351</v>
      </c>
      <c r="C1586" s="468" t="s">
        <v>3889</v>
      </c>
      <c r="D1586" s="468" t="s">
        <v>3890</v>
      </c>
      <c r="F1586" s="470">
        <v>3</v>
      </c>
      <c r="G1586" s="468">
        <v>168.19800000000001</v>
      </c>
      <c r="H1586" s="479">
        <v>504.59400000000005</v>
      </c>
      <c r="I1586" s="468" t="s">
        <v>9218</v>
      </c>
      <c r="J1586" s="468" t="s">
        <v>9219</v>
      </c>
      <c r="K1586" s="468" t="s">
        <v>9219</v>
      </c>
      <c r="L1586" s="468" t="s">
        <v>2354</v>
      </c>
    </row>
    <row r="1587" spans="1:12" x14ac:dyDescent="0.25">
      <c r="A1587" s="468" t="s">
        <v>220</v>
      </c>
      <c r="B1587" s="468" t="s">
        <v>2351</v>
      </c>
      <c r="C1587" s="468" t="s">
        <v>3891</v>
      </c>
      <c r="D1587" s="468" t="s">
        <v>3892</v>
      </c>
      <c r="F1587" s="470">
        <v>3</v>
      </c>
      <c r="G1587" s="468">
        <v>378.55599999999998</v>
      </c>
      <c r="H1587" s="479">
        <v>1135.6679999999999</v>
      </c>
      <c r="I1587" s="468" t="s">
        <v>9218</v>
      </c>
      <c r="J1587" s="468" t="s">
        <v>9219</v>
      </c>
      <c r="K1587" s="468" t="s">
        <v>9219</v>
      </c>
      <c r="L1587" s="468" t="s">
        <v>2354</v>
      </c>
    </row>
    <row r="1588" spans="1:12" x14ac:dyDescent="0.25">
      <c r="A1588" s="468" t="s">
        <v>220</v>
      </c>
      <c r="B1588" s="468" t="s">
        <v>2351</v>
      </c>
      <c r="C1588" s="468" t="s">
        <v>3893</v>
      </c>
      <c r="D1588" s="468" t="s">
        <v>3894</v>
      </c>
      <c r="F1588" s="470">
        <v>8</v>
      </c>
      <c r="G1588" s="468">
        <v>140.06299999999999</v>
      </c>
      <c r="H1588" s="479">
        <v>1120.5039999999999</v>
      </c>
      <c r="I1588" s="468" t="s">
        <v>9218</v>
      </c>
      <c r="J1588" s="468" t="s">
        <v>9219</v>
      </c>
      <c r="K1588" s="468" t="s">
        <v>9219</v>
      </c>
      <c r="L1588" s="468" t="s">
        <v>2354</v>
      </c>
    </row>
    <row r="1589" spans="1:12" x14ac:dyDescent="0.25">
      <c r="A1589" s="468" t="s">
        <v>220</v>
      </c>
      <c r="B1589" s="468" t="s">
        <v>2351</v>
      </c>
      <c r="C1589" s="468" t="s">
        <v>3895</v>
      </c>
      <c r="D1589" s="468" t="s">
        <v>3896</v>
      </c>
      <c r="F1589" s="470">
        <v>1</v>
      </c>
      <c r="G1589" s="468">
        <v>75.921300000000002</v>
      </c>
      <c r="H1589" s="479">
        <v>75.921300000000002</v>
      </c>
      <c r="I1589" s="468" t="s">
        <v>9218</v>
      </c>
      <c r="J1589" s="468" t="s">
        <v>9219</v>
      </c>
      <c r="K1589" s="468" t="s">
        <v>9219</v>
      </c>
      <c r="L1589" s="468" t="s">
        <v>2354</v>
      </c>
    </row>
    <row r="1590" spans="1:12" x14ac:dyDescent="0.25">
      <c r="A1590" s="468" t="s">
        <v>220</v>
      </c>
      <c r="B1590" s="468" t="s">
        <v>2351</v>
      </c>
      <c r="C1590" s="468" t="s">
        <v>5317</v>
      </c>
      <c r="D1590" s="468" t="s">
        <v>5318</v>
      </c>
      <c r="F1590" s="470">
        <v>1</v>
      </c>
      <c r="H1590" s="479">
        <v>0</v>
      </c>
      <c r="I1590" s="468" t="s">
        <v>9218</v>
      </c>
      <c r="J1590" s="468" t="s">
        <v>9219</v>
      </c>
      <c r="K1590" s="468" t="s">
        <v>9219</v>
      </c>
      <c r="L1590" s="468" t="s">
        <v>2354</v>
      </c>
    </row>
    <row r="1591" spans="1:12" x14ac:dyDescent="0.25">
      <c r="A1591" s="468" t="s">
        <v>220</v>
      </c>
      <c r="B1591" s="468" t="s">
        <v>2351</v>
      </c>
      <c r="C1591" s="468" t="s">
        <v>5319</v>
      </c>
      <c r="D1591" s="468" t="s">
        <v>5320</v>
      </c>
      <c r="F1591" s="470">
        <v>2</v>
      </c>
      <c r="H1591" s="479">
        <v>0</v>
      </c>
      <c r="I1591" s="468" t="s">
        <v>9218</v>
      </c>
      <c r="J1591" s="468" t="s">
        <v>9219</v>
      </c>
      <c r="K1591" s="468" t="s">
        <v>9219</v>
      </c>
      <c r="L1591" s="468" t="s">
        <v>2354</v>
      </c>
    </row>
    <row r="1592" spans="1:12" x14ac:dyDescent="0.25">
      <c r="A1592" s="468" t="s">
        <v>220</v>
      </c>
      <c r="B1592" s="468" t="s">
        <v>2351</v>
      </c>
      <c r="C1592" s="468" t="s">
        <v>3943</v>
      </c>
      <c r="D1592" s="468" t="s">
        <v>3944</v>
      </c>
      <c r="F1592" s="470">
        <v>3</v>
      </c>
      <c r="G1592" s="468">
        <v>1.7869999999999999</v>
      </c>
      <c r="H1592" s="479">
        <v>5.3609999999999998</v>
      </c>
      <c r="I1592" s="468" t="s">
        <v>9218</v>
      </c>
      <c r="J1592" s="468" t="s">
        <v>9219</v>
      </c>
      <c r="K1592" s="468" t="s">
        <v>9219</v>
      </c>
      <c r="L1592" s="468" t="s">
        <v>2354</v>
      </c>
    </row>
    <row r="1593" spans="1:12" x14ac:dyDescent="0.25">
      <c r="A1593" s="468" t="s">
        <v>220</v>
      </c>
      <c r="B1593" s="468" t="s">
        <v>2351</v>
      </c>
      <c r="C1593" s="468" t="s">
        <v>3945</v>
      </c>
      <c r="D1593" s="468" t="s">
        <v>9269</v>
      </c>
      <c r="F1593" s="470">
        <v>1</v>
      </c>
      <c r="G1593" s="468">
        <v>181.35</v>
      </c>
      <c r="H1593" s="479">
        <v>181.35</v>
      </c>
      <c r="I1593" s="468" t="s">
        <v>9218</v>
      </c>
      <c r="J1593" s="468" t="s">
        <v>9219</v>
      </c>
      <c r="K1593" s="468" t="s">
        <v>9219</v>
      </c>
      <c r="L1593" s="468" t="s">
        <v>2354</v>
      </c>
    </row>
    <row r="1594" spans="1:12" x14ac:dyDescent="0.25">
      <c r="A1594" s="468" t="s">
        <v>220</v>
      </c>
      <c r="B1594" s="468" t="s">
        <v>2351</v>
      </c>
      <c r="C1594" s="468" t="s">
        <v>3947</v>
      </c>
      <c r="D1594" s="468" t="s">
        <v>3948</v>
      </c>
      <c r="F1594" s="470">
        <v>7</v>
      </c>
      <c r="G1594" s="468">
        <v>17.599772727272729</v>
      </c>
      <c r="H1594" s="479">
        <v>123.19840909090911</v>
      </c>
      <c r="I1594" s="468" t="s">
        <v>9218</v>
      </c>
      <c r="J1594" s="468" t="s">
        <v>9219</v>
      </c>
      <c r="K1594" s="468" t="s">
        <v>9219</v>
      </c>
      <c r="L1594" s="468" t="s">
        <v>2354</v>
      </c>
    </row>
    <row r="1595" spans="1:12" x14ac:dyDescent="0.25">
      <c r="A1595" s="468" t="s">
        <v>220</v>
      </c>
      <c r="B1595" s="468" t="s">
        <v>2351</v>
      </c>
      <c r="C1595" s="468" t="s">
        <v>3949</v>
      </c>
      <c r="D1595" s="468" t="s">
        <v>3950</v>
      </c>
      <c r="F1595" s="470">
        <v>13</v>
      </c>
      <c r="G1595" s="468">
        <v>21.861000000000001</v>
      </c>
      <c r="H1595" s="479">
        <v>284.19299999999998</v>
      </c>
      <c r="I1595" s="468" t="s">
        <v>9218</v>
      </c>
      <c r="J1595" s="468" t="s">
        <v>9219</v>
      </c>
      <c r="K1595" s="468" t="s">
        <v>9219</v>
      </c>
      <c r="L1595" s="468" t="s">
        <v>2354</v>
      </c>
    </row>
    <row r="1596" spans="1:12" x14ac:dyDescent="0.25">
      <c r="A1596" s="468" t="s">
        <v>220</v>
      </c>
      <c r="B1596" s="468" t="s">
        <v>2351</v>
      </c>
      <c r="C1596" s="468" t="s">
        <v>3951</v>
      </c>
      <c r="D1596" s="468" t="s">
        <v>3952</v>
      </c>
      <c r="F1596" s="470">
        <v>8</v>
      </c>
      <c r="G1596" s="468">
        <v>21.861000000000001</v>
      </c>
      <c r="H1596" s="479">
        <v>174.88800000000001</v>
      </c>
      <c r="I1596" s="468" t="s">
        <v>9218</v>
      </c>
      <c r="J1596" s="468" t="s">
        <v>9219</v>
      </c>
      <c r="K1596" s="468" t="s">
        <v>9219</v>
      </c>
      <c r="L1596" s="468" t="s">
        <v>2354</v>
      </c>
    </row>
    <row r="1597" spans="1:12" x14ac:dyDescent="0.25">
      <c r="A1597" s="468" t="s">
        <v>220</v>
      </c>
      <c r="B1597" s="468" t="s">
        <v>2351</v>
      </c>
      <c r="D1597" s="468" t="s">
        <v>9270</v>
      </c>
      <c r="F1597" s="470">
        <v>4</v>
      </c>
      <c r="G1597" s="468">
        <v>67.3</v>
      </c>
      <c r="H1597" s="479">
        <v>269.2</v>
      </c>
      <c r="I1597" s="468" t="s">
        <v>9218</v>
      </c>
      <c r="J1597" s="468" t="s">
        <v>9219</v>
      </c>
      <c r="K1597" s="468" t="s">
        <v>9219</v>
      </c>
      <c r="L1597" s="468" t="s">
        <v>2354</v>
      </c>
    </row>
    <row r="1598" spans="1:12" x14ac:dyDescent="0.25">
      <c r="A1598" s="468" t="s">
        <v>220</v>
      </c>
      <c r="B1598" s="468" t="s">
        <v>2351</v>
      </c>
      <c r="C1598" s="468" t="s">
        <v>3953</v>
      </c>
      <c r="D1598" s="468" t="s">
        <v>3954</v>
      </c>
      <c r="F1598" s="470">
        <v>2</v>
      </c>
      <c r="G1598" s="468">
        <v>14.273999999999999</v>
      </c>
      <c r="H1598" s="479">
        <v>28.547999999999998</v>
      </c>
      <c r="I1598" s="468" t="s">
        <v>9218</v>
      </c>
      <c r="J1598" s="468" t="s">
        <v>9219</v>
      </c>
      <c r="K1598" s="468" t="s">
        <v>9219</v>
      </c>
      <c r="L1598" s="468" t="s">
        <v>2354</v>
      </c>
    </row>
    <row r="1599" spans="1:12" x14ac:dyDescent="0.25">
      <c r="A1599" s="468" t="s">
        <v>220</v>
      </c>
      <c r="B1599" s="468" t="s">
        <v>2351</v>
      </c>
      <c r="C1599" s="468" t="s">
        <v>9271</v>
      </c>
      <c r="D1599" s="468" t="s">
        <v>9272</v>
      </c>
      <c r="F1599" s="470">
        <v>2</v>
      </c>
      <c r="G1599" s="468">
        <v>83.718000000000004</v>
      </c>
      <c r="H1599" s="479">
        <v>167.43600000000001</v>
      </c>
      <c r="I1599" s="468" t="s">
        <v>9218</v>
      </c>
      <c r="J1599" s="468" t="s">
        <v>9219</v>
      </c>
      <c r="K1599" s="468" t="s">
        <v>9219</v>
      </c>
      <c r="L1599" s="468" t="s">
        <v>2354</v>
      </c>
    </row>
    <row r="1600" spans="1:12" x14ac:dyDescent="0.25">
      <c r="A1600" s="468" t="s">
        <v>220</v>
      </c>
      <c r="B1600" s="468" t="s">
        <v>2351</v>
      </c>
      <c r="C1600" s="468" t="s">
        <v>3955</v>
      </c>
      <c r="D1600" s="468" t="s">
        <v>3956</v>
      </c>
      <c r="F1600" s="470">
        <v>2</v>
      </c>
      <c r="G1600" s="468">
        <v>83.718000000000004</v>
      </c>
      <c r="H1600" s="479">
        <v>167.43600000000001</v>
      </c>
      <c r="I1600" s="468" t="s">
        <v>9218</v>
      </c>
      <c r="J1600" s="468" t="s">
        <v>9219</v>
      </c>
      <c r="K1600" s="468" t="s">
        <v>9219</v>
      </c>
      <c r="L1600" s="468" t="s">
        <v>2354</v>
      </c>
    </row>
    <row r="1601" spans="1:12" x14ac:dyDescent="0.25">
      <c r="A1601" s="468" t="s">
        <v>220</v>
      </c>
      <c r="B1601" s="468" t="s">
        <v>2351</v>
      </c>
      <c r="C1601" s="468" t="s">
        <v>3957</v>
      </c>
      <c r="D1601" s="468" t="s">
        <v>3958</v>
      </c>
      <c r="F1601" s="470">
        <v>3</v>
      </c>
      <c r="G1601" s="468">
        <v>80.75</v>
      </c>
      <c r="H1601" s="479">
        <v>242.25</v>
      </c>
      <c r="I1601" s="468" t="s">
        <v>9218</v>
      </c>
      <c r="J1601" s="468" t="s">
        <v>9219</v>
      </c>
      <c r="K1601" s="468" t="s">
        <v>9219</v>
      </c>
      <c r="L1601" s="468" t="s">
        <v>2354</v>
      </c>
    </row>
    <row r="1602" spans="1:12" x14ac:dyDescent="0.25">
      <c r="A1602" s="468" t="s">
        <v>220</v>
      </c>
      <c r="B1602" s="468" t="s">
        <v>2351</v>
      </c>
      <c r="C1602" s="468" t="s">
        <v>3989</v>
      </c>
      <c r="D1602" s="468" t="s">
        <v>3990</v>
      </c>
      <c r="F1602" s="470">
        <v>4</v>
      </c>
      <c r="G1602" s="468">
        <v>80.531999999999996</v>
      </c>
      <c r="H1602" s="479">
        <v>322.12799999999999</v>
      </c>
      <c r="I1602" s="468" t="s">
        <v>9218</v>
      </c>
      <c r="J1602" s="468" t="s">
        <v>9219</v>
      </c>
      <c r="K1602" s="468" t="s">
        <v>9219</v>
      </c>
      <c r="L1602" s="468" t="s">
        <v>2354</v>
      </c>
    </row>
    <row r="1603" spans="1:12" x14ac:dyDescent="0.25">
      <c r="A1603" s="468" t="s">
        <v>220</v>
      </c>
      <c r="B1603" s="468" t="s">
        <v>2351</v>
      </c>
      <c r="C1603" s="468" t="s">
        <v>3991</v>
      </c>
      <c r="D1603" s="468" t="s">
        <v>3992</v>
      </c>
      <c r="F1603" s="470">
        <v>5</v>
      </c>
      <c r="G1603" s="468">
        <v>109.34143583333334</v>
      </c>
      <c r="H1603" s="479">
        <v>546.70717916666672</v>
      </c>
      <c r="I1603" s="468" t="s">
        <v>9218</v>
      </c>
      <c r="J1603" s="468" t="s">
        <v>9219</v>
      </c>
      <c r="K1603" s="468" t="s">
        <v>9219</v>
      </c>
      <c r="L1603" s="468" t="s">
        <v>2354</v>
      </c>
    </row>
    <row r="1604" spans="1:12" x14ac:dyDescent="0.25">
      <c r="A1604" s="468" t="s">
        <v>220</v>
      </c>
      <c r="B1604" s="468" t="s">
        <v>2351</v>
      </c>
      <c r="C1604" s="468" t="s">
        <v>9273</v>
      </c>
      <c r="D1604" s="468" t="s">
        <v>9274</v>
      </c>
      <c r="F1604" s="470">
        <v>4</v>
      </c>
      <c r="G1604" s="468">
        <v>75.650000000000006</v>
      </c>
      <c r="H1604" s="479">
        <v>302.60000000000002</v>
      </c>
      <c r="I1604" s="468" t="s">
        <v>9218</v>
      </c>
      <c r="J1604" s="468" t="s">
        <v>9219</v>
      </c>
      <c r="K1604" s="468" t="s">
        <v>9219</v>
      </c>
      <c r="L1604" s="468" t="s">
        <v>2354</v>
      </c>
    </row>
    <row r="1605" spans="1:12" x14ac:dyDescent="0.25">
      <c r="A1605" s="468" t="s">
        <v>220</v>
      </c>
      <c r="B1605" s="468" t="s">
        <v>2351</v>
      </c>
      <c r="C1605" s="468" t="s">
        <v>3993</v>
      </c>
      <c r="D1605" s="468" t="s">
        <v>3994</v>
      </c>
      <c r="F1605" s="470">
        <v>1</v>
      </c>
      <c r="G1605" s="468">
        <v>83.674999999999997</v>
      </c>
      <c r="H1605" s="479">
        <v>83.674999999999997</v>
      </c>
      <c r="I1605" s="468" t="s">
        <v>9218</v>
      </c>
      <c r="J1605" s="468" t="s">
        <v>9219</v>
      </c>
      <c r="K1605" s="468" t="s">
        <v>9219</v>
      </c>
      <c r="L1605" s="468" t="s">
        <v>2354</v>
      </c>
    </row>
    <row r="1606" spans="1:12" x14ac:dyDescent="0.25">
      <c r="A1606" s="468" t="s">
        <v>220</v>
      </c>
      <c r="B1606" s="468" t="s">
        <v>2351</v>
      </c>
      <c r="C1606" s="468" t="s">
        <v>3995</v>
      </c>
      <c r="D1606" s="468" t="s">
        <v>3996</v>
      </c>
      <c r="F1606" s="470">
        <v>1</v>
      </c>
      <c r="G1606" s="468">
        <v>108.324</v>
      </c>
      <c r="H1606" s="479">
        <v>108.324</v>
      </c>
      <c r="I1606" s="468" t="s">
        <v>9218</v>
      </c>
      <c r="J1606" s="468" t="s">
        <v>9219</v>
      </c>
      <c r="K1606" s="468" t="s">
        <v>9219</v>
      </c>
      <c r="L1606" s="468" t="s">
        <v>2354</v>
      </c>
    </row>
    <row r="1607" spans="1:12" x14ac:dyDescent="0.25">
      <c r="A1607" s="468" t="s">
        <v>220</v>
      </c>
      <c r="B1607" s="468" t="s">
        <v>2351</v>
      </c>
      <c r="C1607" s="468" t="s">
        <v>3997</v>
      </c>
      <c r="D1607" s="468" t="s">
        <v>3998</v>
      </c>
      <c r="F1607" s="470">
        <v>1</v>
      </c>
      <c r="G1607" s="468">
        <v>84.272999999999996</v>
      </c>
      <c r="H1607" s="479">
        <v>84.272999999999996</v>
      </c>
      <c r="I1607" s="468" t="s">
        <v>9218</v>
      </c>
      <c r="J1607" s="468" t="s">
        <v>9219</v>
      </c>
      <c r="K1607" s="468" t="s">
        <v>9219</v>
      </c>
      <c r="L1607" s="468" t="s">
        <v>2354</v>
      </c>
    </row>
    <row r="1608" spans="1:12" x14ac:dyDescent="0.25">
      <c r="A1608" s="468" t="s">
        <v>220</v>
      </c>
      <c r="B1608" s="468" t="s">
        <v>2351</v>
      </c>
      <c r="C1608" s="468" t="s">
        <v>3999</v>
      </c>
      <c r="D1608" s="468" t="s">
        <v>4000</v>
      </c>
      <c r="F1608" s="470">
        <v>10</v>
      </c>
      <c r="G1608" s="468">
        <v>8</v>
      </c>
      <c r="H1608" s="479">
        <v>80</v>
      </c>
      <c r="I1608" s="468" t="s">
        <v>9218</v>
      </c>
      <c r="J1608" s="468" t="s">
        <v>9219</v>
      </c>
      <c r="K1608" s="468" t="s">
        <v>9219</v>
      </c>
      <c r="L1608" s="468" t="s">
        <v>2354</v>
      </c>
    </row>
    <row r="1609" spans="1:12" x14ac:dyDescent="0.25">
      <c r="A1609" s="468" t="s">
        <v>220</v>
      </c>
      <c r="B1609" s="468" t="s">
        <v>2351</v>
      </c>
      <c r="C1609" s="468" t="s">
        <v>4001</v>
      </c>
      <c r="D1609" s="468" t="s">
        <v>9275</v>
      </c>
      <c r="F1609" s="470">
        <v>3</v>
      </c>
      <c r="G1609" s="468">
        <v>62.5</v>
      </c>
      <c r="H1609" s="479">
        <v>187.5</v>
      </c>
      <c r="I1609" s="468" t="s">
        <v>9218</v>
      </c>
      <c r="J1609" s="468" t="s">
        <v>9219</v>
      </c>
      <c r="K1609" s="468" t="s">
        <v>9219</v>
      </c>
      <c r="L1609" s="468" t="s">
        <v>2354</v>
      </c>
    </row>
    <row r="1610" spans="1:12" x14ac:dyDescent="0.25">
      <c r="A1610" s="468" t="s">
        <v>220</v>
      </c>
      <c r="B1610" s="468" t="s">
        <v>2351</v>
      </c>
      <c r="C1610" s="468" t="s">
        <v>4003</v>
      </c>
      <c r="D1610" s="468" t="s">
        <v>4004</v>
      </c>
      <c r="F1610" s="470">
        <v>8</v>
      </c>
      <c r="G1610" s="468">
        <v>58</v>
      </c>
      <c r="H1610" s="479">
        <v>464</v>
      </c>
      <c r="I1610" s="468" t="s">
        <v>9218</v>
      </c>
      <c r="J1610" s="468" t="s">
        <v>9219</v>
      </c>
      <c r="K1610" s="468" t="s">
        <v>9219</v>
      </c>
      <c r="L1610" s="468" t="s">
        <v>2354</v>
      </c>
    </row>
    <row r="1611" spans="1:12" x14ac:dyDescent="0.25">
      <c r="A1611" s="468" t="s">
        <v>220</v>
      </c>
      <c r="B1611" s="468" t="s">
        <v>2351</v>
      </c>
      <c r="C1611" s="468" t="s">
        <v>4005</v>
      </c>
      <c r="D1611" s="468" t="s">
        <v>4006</v>
      </c>
      <c r="F1611" s="470">
        <v>3</v>
      </c>
      <c r="G1611" s="468">
        <v>194.7</v>
      </c>
      <c r="H1611" s="479">
        <v>584.09999999999991</v>
      </c>
      <c r="I1611" s="468" t="s">
        <v>9218</v>
      </c>
      <c r="J1611" s="468" t="s">
        <v>9219</v>
      </c>
      <c r="K1611" s="468" t="s">
        <v>9219</v>
      </c>
      <c r="L1611" s="468" t="s">
        <v>2354</v>
      </c>
    </row>
    <row r="1612" spans="1:12" x14ac:dyDescent="0.25">
      <c r="A1612" s="468" t="s">
        <v>220</v>
      </c>
      <c r="B1612" s="468" t="s">
        <v>2351</v>
      </c>
      <c r="C1612" s="468" t="s">
        <v>4007</v>
      </c>
      <c r="D1612" s="468" t="s">
        <v>4008</v>
      </c>
      <c r="F1612" s="470">
        <v>1</v>
      </c>
      <c r="G1612" s="468">
        <v>160</v>
      </c>
      <c r="H1612" s="479">
        <v>160</v>
      </c>
      <c r="I1612" s="468" t="s">
        <v>9218</v>
      </c>
      <c r="J1612" s="468" t="s">
        <v>9219</v>
      </c>
      <c r="K1612" s="468" t="s">
        <v>9219</v>
      </c>
      <c r="L1612" s="468" t="s">
        <v>2354</v>
      </c>
    </row>
    <row r="1613" spans="1:12" x14ac:dyDescent="0.25">
      <c r="A1613" s="468" t="s">
        <v>220</v>
      </c>
      <c r="B1613" s="468" t="s">
        <v>2351</v>
      </c>
      <c r="D1613" s="468" t="s">
        <v>9276</v>
      </c>
      <c r="F1613" s="470">
        <v>6</v>
      </c>
      <c r="G1613" s="468">
        <v>79</v>
      </c>
      <c r="H1613" s="479">
        <v>474</v>
      </c>
      <c r="I1613" s="468" t="s">
        <v>9218</v>
      </c>
      <c r="J1613" s="468" t="s">
        <v>9219</v>
      </c>
      <c r="K1613" s="468" t="s">
        <v>9219</v>
      </c>
      <c r="L1613" s="468" t="s">
        <v>2354</v>
      </c>
    </row>
    <row r="1614" spans="1:12" x14ac:dyDescent="0.25">
      <c r="A1614" s="468" t="s">
        <v>220</v>
      </c>
      <c r="B1614" s="468" t="s">
        <v>2351</v>
      </c>
      <c r="C1614" s="468" t="s">
        <v>4017</v>
      </c>
      <c r="D1614" s="468" t="s">
        <v>4018</v>
      </c>
      <c r="F1614" s="470">
        <v>1</v>
      </c>
      <c r="G1614" s="468">
        <v>59.5</v>
      </c>
      <c r="H1614" s="479">
        <v>59.5</v>
      </c>
      <c r="I1614" s="468" t="s">
        <v>9218</v>
      </c>
      <c r="J1614" s="468" t="s">
        <v>9219</v>
      </c>
      <c r="K1614" s="468" t="s">
        <v>9219</v>
      </c>
      <c r="L1614" s="468" t="s">
        <v>2354</v>
      </c>
    </row>
    <row r="1615" spans="1:12" x14ac:dyDescent="0.25">
      <c r="A1615" s="468" t="s">
        <v>220</v>
      </c>
      <c r="B1615" s="468" t="s">
        <v>2351</v>
      </c>
      <c r="C1615" s="468" t="s">
        <v>9277</v>
      </c>
      <c r="D1615" s="468" t="s">
        <v>9278</v>
      </c>
      <c r="F1615" s="470">
        <v>1</v>
      </c>
      <c r="G1615" s="468">
        <v>205.51300000000001</v>
      </c>
      <c r="H1615" s="479">
        <v>205.51300000000001</v>
      </c>
      <c r="I1615" s="468" t="s">
        <v>9218</v>
      </c>
      <c r="J1615" s="468" t="s">
        <v>9219</v>
      </c>
      <c r="K1615" s="468" t="s">
        <v>9219</v>
      </c>
      <c r="L1615" s="468" t="s">
        <v>2354</v>
      </c>
    </row>
    <row r="1616" spans="1:12" x14ac:dyDescent="0.25">
      <c r="A1616" s="468" t="s">
        <v>220</v>
      </c>
      <c r="B1616" s="468" t="s">
        <v>2351</v>
      </c>
      <c r="C1616" s="468" t="s">
        <v>4019</v>
      </c>
      <c r="D1616" s="468" t="s">
        <v>4020</v>
      </c>
      <c r="F1616" s="470">
        <v>2</v>
      </c>
      <c r="G1616" s="468">
        <v>213.28200000000001</v>
      </c>
      <c r="H1616" s="479">
        <v>426.56400000000002</v>
      </c>
      <c r="I1616" s="468" t="s">
        <v>9218</v>
      </c>
      <c r="J1616" s="468" t="s">
        <v>9219</v>
      </c>
      <c r="K1616" s="468" t="s">
        <v>9219</v>
      </c>
      <c r="L1616" s="468" t="s">
        <v>2354</v>
      </c>
    </row>
    <row r="1617" spans="1:12" x14ac:dyDescent="0.25">
      <c r="A1617" s="468" t="s">
        <v>220</v>
      </c>
      <c r="B1617" s="468" t="s">
        <v>2351</v>
      </c>
      <c r="C1617" s="468" t="s">
        <v>9279</v>
      </c>
      <c r="D1617" s="468" t="s">
        <v>9280</v>
      </c>
      <c r="F1617" s="470">
        <v>5</v>
      </c>
      <c r="G1617" s="468">
        <v>105</v>
      </c>
      <c r="H1617" s="479">
        <v>525</v>
      </c>
      <c r="I1617" s="468" t="s">
        <v>9218</v>
      </c>
      <c r="J1617" s="468" t="s">
        <v>9219</v>
      </c>
      <c r="K1617" s="468" t="s">
        <v>9219</v>
      </c>
      <c r="L1617" s="468" t="s">
        <v>2354</v>
      </c>
    </row>
    <row r="1618" spans="1:12" x14ac:dyDescent="0.25">
      <c r="A1618" s="468" t="s">
        <v>220</v>
      </c>
      <c r="B1618" s="468" t="s">
        <v>2351</v>
      </c>
      <c r="C1618" s="468" t="s">
        <v>4021</v>
      </c>
      <c r="D1618" s="468" t="s">
        <v>4022</v>
      </c>
      <c r="F1618" s="470">
        <v>6</v>
      </c>
      <c r="G1618" s="468">
        <v>115</v>
      </c>
      <c r="H1618" s="479">
        <v>690</v>
      </c>
      <c r="I1618" s="468" t="s">
        <v>9218</v>
      </c>
      <c r="J1618" s="468" t="s">
        <v>9219</v>
      </c>
      <c r="K1618" s="468" t="s">
        <v>9219</v>
      </c>
      <c r="L1618" s="468" t="s">
        <v>2354</v>
      </c>
    </row>
    <row r="1619" spans="1:12" x14ac:dyDescent="0.25">
      <c r="A1619" s="468" t="s">
        <v>220</v>
      </c>
      <c r="B1619" s="468" t="s">
        <v>2351</v>
      </c>
      <c r="C1619" s="468" t="s">
        <v>4025</v>
      </c>
      <c r="D1619" s="468" t="s">
        <v>4026</v>
      </c>
      <c r="F1619" s="470">
        <v>1</v>
      </c>
      <c r="G1619" s="468">
        <v>841.5</v>
      </c>
      <c r="H1619" s="479">
        <v>841.5</v>
      </c>
      <c r="I1619" s="468" t="s">
        <v>9218</v>
      </c>
      <c r="J1619" s="468" t="s">
        <v>9219</v>
      </c>
      <c r="K1619" s="468" t="s">
        <v>9219</v>
      </c>
      <c r="L1619" s="468" t="s">
        <v>2354</v>
      </c>
    </row>
    <row r="1620" spans="1:12" x14ac:dyDescent="0.25">
      <c r="A1620" s="468" t="s">
        <v>220</v>
      </c>
      <c r="B1620" s="468" t="s">
        <v>2351</v>
      </c>
      <c r="C1620" s="468" t="s">
        <v>4027</v>
      </c>
      <c r="D1620" s="468" t="s">
        <v>4028</v>
      </c>
      <c r="F1620" s="470">
        <v>1</v>
      </c>
      <c r="G1620" s="468">
        <v>52.543959999999998</v>
      </c>
      <c r="H1620" s="479">
        <v>52.543959999999998</v>
      </c>
      <c r="I1620" s="468" t="s">
        <v>9218</v>
      </c>
      <c r="J1620" s="468" t="s">
        <v>9219</v>
      </c>
      <c r="K1620" s="468" t="s">
        <v>9219</v>
      </c>
      <c r="L1620" s="468" t="s">
        <v>2354</v>
      </c>
    </row>
    <row r="1621" spans="1:12" x14ac:dyDescent="0.25">
      <c r="A1621" s="468" t="s">
        <v>220</v>
      </c>
      <c r="B1621" s="468" t="s">
        <v>2351</v>
      </c>
      <c r="C1621" s="468" t="s">
        <v>4029</v>
      </c>
      <c r="D1621" s="468" t="s">
        <v>4030</v>
      </c>
      <c r="F1621" s="470">
        <v>3</v>
      </c>
      <c r="G1621" s="468">
        <v>20.962800000000001</v>
      </c>
      <c r="H1621" s="479">
        <v>62.888400000000004</v>
      </c>
      <c r="I1621" s="468" t="s">
        <v>9218</v>
      </c>
      <c r="J1621" s="468" t="s">
        <v>9219</v>
      </c>
      <c r="K1621" s="468" t="s">
        <v>9219</v>
      </c>
      <c r="L1621" s="468" t="s">
        <v>2354</v>
      </c>
    </row>
    <row r="1622" spans="1:12" x14ac:dyDescent="0.25">
      <c r="A1622" s="468" t="s">
        <v>220</v>
      </c>
      <c r="B1622" s="468" t="s">
        <v>2351</v>
      </c>
      <c r="C1622" s="468" t="s">
        <v>4031</v>
      </c>
      <c r="D1622" s="468" t="s">
        <v>4032</v>
      </c>
      <c r="F1622" s="470">
        <v>2</v>
      </c>
      <c r="G1622" s="468">
        <v>143.149</v>
      </c>
      <c r="H1622" s="479">
        <v>286.298</v>
      </c>
      <c r="I1622" s="468" t="s">
        <v>9218</v>
      </c>
      <c r="J1622" s="468" t="s">
        <v>9219</v>
      </c>
      <c r="K1622" s="468" t="s">
        <v>9219</v>
      </c>
      <c r="L1622" s="468" t="s">
        <v>2354</v>
      </c>
    </row>
    <row r="1623" spans="1:12" x14ac:dyDescent="0.25">
      <c r="A1623" s="468" t="s">
        <v>220</v>
      </c>
      <c r="B1623" s="468" t="s">
        <v>2351</v>
      </c>
      <c r="C1623" s="468" t="s">
        <v>4033</v>
      </c>
      <c r="D1623" s="468" t="s">
        <v>4034</v>
      </c>
      <c r="F1623" s="470">
        <v>2</v>
      </c>
      <c r="G1623" s="468">
        <v>161.96</v>
      </c>
      <c r="H1623" s="479">
        <v>323.92</v>
      </c>
      <c r="I1623" s="468" t="s">
        <v>9218</v>
      </c>
      <c r="J1623" s="468" t="s">
        <v>9219</v>
      </c>
      <c r="K1623" s="468" t="s">
        <v>9219</v>
      </c>
      <c r="L1623" s="468" t="s">
        <v>2354</v>
      </c>
    </row>
    <row r="1624" spans="1:12" x14ac:dyDescent="0.25">
      <c r="A1624" s="468" t="s">
        <v>220</v>
      </c>
      <c r="B1624" s="468" t="s">
        <v>2351</v>
      </c>
      <c r="C1624" s="468" t="s">
        <v>9281</v>
      </c>
      <c r="D1624" s="468" t="s">
        <v>9282</v>
      </c>
      <c r="F1624" s="470">
        <v>2</v>
      </c>
      <c r="G1624" s="468">
        <v>1143.5</v>
      </c>
      <c r="H1624" s="479">
        <v>2287</v>
      </c>
      <c r="I1624" s="468" t="s">
        <v>9218</v>
      </c>
      <c r="J1624" s="468" t="s">
        <v>9219</v>
      </c>
      <c r="K1624" s="468" t="s">
        <v>9219</v>
      </c>
      <c r="L1624" s="468" t="s">
        <v>2354</v>
      </c>
    </row>
    <row r="1625" spans="1:12" x14ac:dyDescent="0.25">
      <c r="A1625" s="468" t="s">
        <v>220</v>
      </c>
      <c r="B1625" s="468" t="s">
        <v>2351</v>
      </c>
      <c r="C1625" s="468" t="s">
        <v>4037</v>
      </c>
      <c r="D1625" s="468" t="s">
        <v>4038</v>
      </c>
      <c r="F1625" s="470">
        <v>4</v>
      </c>
      <c r="G1625" s="468">
        <v>22.55</v>
      </c>
      <c r="H1625" s="479">
        <v>90.2</v>
      </c>
      <c r="I1625" s="468" t="s">
        <v>9218</v>
      </c>
      <c r="J1625" s="468" t="s">
        <v>9219</v>
      </c>
      <c r="K1625" s="468" t="s">
        <v>9219</v>
      </c>
      <c r="L1625" s="468" t="s">
        <v>2354</v>
      </c>
    </row>
    <row r="1626" spans="1:12" x14ac:dyDescent="0.25">
      <c r="A1626" s="468" t="s">
        <v>220</v>
      </c>
      <c r="B1626" s="468" t="s">
        <v>2351</v>
      </c>
      <c r="C1626" s="468" t="s">
        <v>9283</v>
      </c>
      <c r="D1626" s="468" t="s">
        <v>9284</v>
      </c>
      <c r="F1626" s="470">
        <v>2</v>
      </c>
      <c r="G1626" s="468">
        <v>87.4</v>
      </c>
      <c r="H1626" s="479">
        <v>174.8</v>
      </c>
      <c r="I1626" s="468" t="s">
        <v>9218</v>
      </c>
      <c r="J1626" s="468" t="s">
        <v>9219</v>
      </c>
      <c r="K1626" s="468" t="s">
        <v>9219</v>
      </c>
      <c r="L1626" s="468" t="s">
        <v>2354</v>
      </c>
    </row>
    <row r="1627" spans="1:12" x14ac:dyDescent="0.25">
      <c r="A1627" s="468" t="s">
        <v>220</v>
      </c>
      <c r="B1627" s="468" t="s">
        <v>2351</v>
      </c>
      <c r="C1627" s="468" t="s">
        <v>9285</v>
      </c>
      <c r="D1627" s="468" t="s">
        <v>9286</v>
      </c>
      <c r="F1627" s="470">
        <v>2</v>
      </c>
      <c r="G1627" s="468">
        <v>238.5</v>
      </c>
      <c r="H1627" s="479">
        <v>477</v>
      </c>
      <c r="I1627" s="468" t="s">
        <v>9218</v>
      </c>
      <c r="J1627" s="468" t="s">
        <v>9219</v>
      </c>
      <c r="K1627" s="468" t="s">
        <v>9219</v>
      </c>
      <c r="L1627" s="468" t="s">
        <v>2354</v>
      </c>
    </row>
    <row r="1628" spans="1:12" x14ac:dyDescent="0.25">
      <c r="A1628" s="468" t="s">
        <v>220</v>
      </c>
      <c r="B1628" s="468" t="s">
        <v>2351</v>
      </c>
      <c r="C1628" s="468" t="s">
        <v>9287</v>
      </c>
      <c r="D1628" s="468" t="s">
        <v>9288</v>
      </c>
      <c r="F1628" s="470">
        <v>1</v>
      </c>
      <c r="H1628" s="479">
        <v>0</v>
      </c>
      <c r="I1628" s="468" t="s">
        <v>9218</v>
      </c>
      <c r="J1628" s="468" t="s">
        <v>9219</v>
      </c>
      <c r="K1628" s="468" t="s">
        <v>9219</v>
      </c>
      <c r="L1628" s="468" t="s">
        <v>2354</v>
      </c>
    </row>
    <row r="1629" spans="1:12" x14ac:dyDescent="0.25">
      <c r="A1629" s="468" t="s">
        <v>220</v>
      </c>
      <c r="B1629" s="468" t="s">
        <v>2351</v>
      </c>
      <c r="C1629" s="468" t="s">
        <v>9289</v>
      </c>
      <c r="D1629" s="468" t="s">
        <v>9290</v>
      </c>
      <c r="F1629" s="470">
        <v>1</v>
      </c>
      <c r="G1629" s="468">
        <v>618.49</v>
      </c>
      <c r="H1629" s="479">
        <v>618.49</v>
      </c>
      <c r="I1629" s="468" t="s">
        <v>9218</v>
      </c>
      <c r="J1629" s="468" t="s">
        <v>9219</v>
      </c>
      <c r="K1629" s="468" t="s">
        <v>9219</v>
      </c>
      <c r="L1629" s="468" t="s">
        <v>2354</v>
      </c>
    </row>
    <row r="1630" spans="1:12" x14ac:dyDescent="0.25">
      <c r="A1630" s="468" t="s">
        <v>220</v>
      </c>
      <c r="B1630" s="468" t="s">
        <v>2351</v>
      </c>
      <c r="C1630" s="468" t="s">
        <v>9291</v>
      </c>
      <c r="D1630" s="468" t="s">
        <v>9292</v>
      </c>
      <c r="F1630" s="470">
        <v>1</v>
      </c>
      <c r="G1630" s="468">
        <v>59.335999999999999</v>
      </c>
      <c r="H1630" s="479">
        <v>59.335999999999999</v>
      </c>
      <c r="I1630" s="468" t="s">
        <v>9218</v>
      </c>
      <c r="J1630" s="468" t="s">
        <v>9219</v>
      </c>
      <c r="K1630" s="468" t="s">
        <v>9219</v>
      </c>
      <c r="L1630" s="468" t="s">
        <v>2354</v>
      </c>
    </row>
    <row r="1631" spans="1:12" x14ac:dyDescent="0.25">
      <c r="A1631" s="468" t="s">
        <v>220</v>
      </c>
      <c r="B1631" s="468" t="s">
        <v>2351</v>
      </c>
      <c r="C1631" s="468" t="s">
        <v>9293</v>
      </c>
      <c r="D1631" s="468" t="s">
        <v>9294</v>
      </c>
      <c r="F1631" s="470">
        <v>6</v>
      </c>
      <c r="G1631" s="468">
        <v>67.125</v>
      </c>
      <c r="H1631" s="479">
        <v>402.75</v>
      </c>
      <c r="I1631" s="468" t="s">
        <v>9218</v>
      </c>
      <c r="J1631" s="468" t="s">
        <v>9219</v>
      </c>
      <c r="K1631" s="468" t="s">
        <v>9219</v>
      </c>
      <c r="L1631" s="468" t="s">
        <v>2354</v>
      </c>
    </row>
    <row r="1632" spans="1:12" x14ac:dyDescent="0.25">
      <c r="A1632" s="468" t="s">
        <v>220</v>
      </c>
      <c r="B1632" s="468" t="s">
        <v>2351</v>
      </c>
      <c r="C1632" s="468" t="s">
        <v>9295</v>
      </c>
      <c r="D1632" s="468" t="s">
        <v>9296</v>
      </c>
      <c r="F1632" s="470">
        <v>2</v>
      </c>
      <c r="G1632" s="468">
        <v>138.208</v>
      </c>
      <c r="H1632" s="479">
        <v>276.416</v>
      </c>
      <c r="I1632" s="468" t="s">
        <v>9218</v>
      </c>
      <c r="J1632" s="468" t="s">
        <v>9219</v>
      </c>
      <c r="K1632" s="468" t="s">
        <v>9219</v>
      </c>
      <c r="L1632" s="468" t="s">
        <v>2354</v>
      </c>
    </row>
    <row r="1633" spans="1:12" x14ac:dyDescent="0.25">
      <c r="A1633" s="468" t="s">
        <v>220</v>
      </c>
      <c r="B1633" s="468" t="s">
        <v>2351</v>
      </c>
      <c r="C1633" s="468" t="s">
        <v>4043</v>
      </c>
      <c r="D1633" s="468" t="s">
        <v>4044</v>
      </c>
      <c r="F1633" s="470">
        <v>7</v>
      </c>
      <c r="G1633" s="468">
        <v>90.4</v>
      </c>
      <c r="H1633" s="479">
        <v>632.80000000000007</v>
      </c>
      <c r="I1633" s="468" t="s">
        <v>9218</v>
      </c>
      <c r="J1633" s="468" t="s">
        <v>9219</v>
      </c>
      <c r="K1633" s="468" t="s">
        <v>9219</v>
      </c>
      <c r="L1633" s="468" t="s">
        <v>2354</v>
      </c>
    </row>
    <row r="1634" spans="1:12" x14ac:dyDescent="0.25">
      <c r="A1634" s="468" t="s">
        <v>220</v>
      </c>
      <c r="B1634" s="468" t="s">
        <v>2351</v>
      </c>
      <c r="C1634" s="468" t="s">
        <v>4045</v>
      </c>
      <c r="D1634" s="468" t="s">
        <v>4046</v>
      </c>
      <c r="F1634" s="470">
        <v>2</v>
      </c>
      <c r="G1634" s="468">
        <v>141.928</v>
      </c>
      <c r="H1634" s="479">
        <v>283.85599999999999</v>
      </c>
      <c r="I1634" s="468" t="s">
        <v>9218</v>
      </c>
      <c r="J1634" s="468" t="s">
        <v>9219</v>
      </c>
      <c r="K1634" s="468" t="s">
        <v>9219</v>
      </c>
      <c r="L1634" s="468" t="s">
        <v>2354</v>
      </c>
    </row>
    <row r="1635" spans="1:12" x14ac:dyDescent="0.25">
      <c r="A1635" s="468" t="s">
        <v>220</v>
      </c>
      <c r="B1635" s="468" t="s">
        <v>2351</v>
      </c>
      <c r="C1635" s="468" t="s">
        <v>4077</v>
      </c>
      <c r="D1635" s="468" t="s">
        <v>4078</v>
      </c>
      <c r="F1635" s="470">
        <v>5</v>
      </c>
      <c r="G1635" s="468">
        <v>89.503</v>
      </c>
      <c r="H1635" s="479">
        <v>447.51499999999999</v>
      </c>
      <c r="I1635" s="468" t="s">
        <v>9218</v>
      </c>
      <c r="J1635" s="468" t="s">
        <v>9219</v>
      </c>
      <c r="K1635" s="468" t="s">
        <v>9219</v>
      </c>
      <c r="L1635" s="468" t="s">
        <v>2354</v>
      </c>
    </row>
    <row r="1636" spans="1:12" x14ac:dyDescent="0.25">
      <c r="A1636" s="468" t="s">
        <v>220</v>
      </c>
      <c r="B1636" s="468" t="s">
        <v>2351</v>
      </c>
      <c r="C1636" s="468" t="s">
        <v>4079</v>
      </c>
      <c r="D1636" s="468" t="s">
        <v>4080</v>
      </c>
      <c r="F1636" s="470">
        <v>3</v>
      </c>
      <c r="G1636" s="468">
        <v>86.111999999999995</v>
      </c>
      <c r="H1636" s="479">
        <v>258.33600000000001</v>
      </c>
      <c r="I1636" s="468" t="s">
        <v>9218</v>
      </c>
      <c r="J1636" s="468" t="s">
        <v>9219</v>
      </c>
      <c r="K1636" s="468" t="s">
        <v>9219</v>
      </c>
      <c r="L1636" s="468" t="s">
        <v>2354</v>
      </c>
    </row>
    <row r="1637" spans="1:12" x14ac:dyDescent="0.25">
      <c r="A1637" s="468" t="s">
        <v>220</v>
      </c>
      <c r="B1637" s="468" t="s">
        <v>2351</v>
      </c>
      <c r="C1637" s="468" t="s">
        <v>9297</v>
      </c>
      <c r="D1637" s="468" t="s">
        <v>9298</v>
      </c>
      <c r="F1637" s="470">
        <v>3</v>
      </c>
      <c r="G1637" s="468">
        <v>93.307000000000002</v>
      </c>
      <c r="H1637" s="479">
        <v>279.92099999999999</v>
      </c>
      <c r="I1637" s="468" t="s">
        <v>9218</v>
      </c>
      <c r="J1637" s="468" t="s">
        <v>9219</v>
      </c>
      <c r="K1637" s="468" t="s">
        <v>9219</v>
      </c>
      <c r="L1637" s="468" t="s">
        <v>2354</v>
      </c>
    </row>
    <row r="1638" spans="1:12" x14ac:dyDescent="0.25">
      <c r="A1638" s="468" t="s">
        <v>220</v>
      </c>
      <c r="B1638" s="468" t="s">
        <v>2351</v>
      </c>
      <c r="C1638" s="468" t="s">
        <v>9299</v>
      </c>
      <c r="D1638" s="468" t="s">
        <v>9300</v>
      </c>
      <c r="F1638" s="470">
        <v>3</v>
      </c>
      <c r="G1638" s="468">
        <v>134.30000000000001</v>
      </c>
      <c r="H1638" s="479">
        <v>402.90000000000003</v>
      </c>
      <c r="I1638" s="468" t="s">
        <v>9218</v>
      </c>
      <c r="J1638" s="468" t="s">
        <v>9219</v>
      </c>
      <c r="K1638" s="468" t="s">
        <v>9219</v>
      </c>
      <c r="L1638" s="468" t="s">
        <v>2354</v>
      </c>
    </row>
    <row r="1639" spans="1:12" x14ac:dyDescent="0.25">
      <c r="A1639" s="468" t="s">
        <v>220</v>
      </c>
      <c r="B1639" s="468" t="s">
        <v>2351</v>
      </c>
      <c r="C1639" s="468" t="s">
        <v>4081</v>
      </c>
      <c r="D1639" s="468" t="s">
        <v>4082</v>
      </c>
      <c r="F1639" s="470">
        <v>2</v>
      </c>
      <c r="G1639" s="468">
        <v>82.48</v>
      </c>
      <c r="H1639" s="479">
        <v>164.96</v>
      </c>
      <c r="I1639" s="468" t="s">
        <v>9218</v>
      </c>
      <c r="J1639" s="468" t="s">
        <v>9219</v>
      </c>
      <c r="K1639" s="468" t="s">
        <v>9219</v>
      </c>
      <c r="L1639" s="468" t="s">
        <v>2354</v>
      </c>
    </row>
    <row r="1640" spans="1:12" x14ac:dyDescent="0.25">
      <c r="A1640" s="468" t="s">
        <v>220</v>
      </c>
      <c r="B1640" s="468" t="s">
        <v>2351</v>
      </c>
      <c r="C1640" s="468" t="s">
        <v>4101</v>
      </c>
      <c r="D1640" s="468" t="s">
        <v>9301</v>
      </c>
      <c r="F1640" s="470">
        <v>1</v>
      </c>
      <c r="G1640" s="468">
        <v>139.21199999999999</v>
      </c>
      <c r="H1640" s="479">
        <v>139.21199999999999</v>
      </c>
      <c r="I1640" s="468" t="s">
        <v>9218</v>
      </c>
      <c r="J1640" s="468" t="s">
        <v>9219</v>
      </c>
      <c r="K1640" s="468" t="s">
        <v>9219</v>
      </c>
      <c r="L1640" s="468" t="s">
        <v>2354</v>
      </c>
    </row>
    <row r="1641" spans="1:12" x14ac:dyDescent="0.25">
      <c r="A1641" s="468" t="s">
        <v>220</v>
      </c>
      <c r="B1641" s="468" t="s">
        <v>2351</v>
      </c>
      <c r="C1641" s="468" t="s">
        <v>4083</v>
      </c>
      <c r="D1641" s="468" t="s">
        <v>4084</v>
      </c>
      <c r="F1641" s="470">
        <v>2</v>
      </c>
      <c r="G1641" s="468">
        <v>67.41</v>
      </c>
      <c r="H1641" s="479">
        <v>134.82</v>
      </c>
      <c r="I1641" s="468" t="s">
        <v>9218</v>
      </c>
      <c r="J1641" s="468" t="s">
        <v>9219</v>
      </c>
      <c r="K1641" s="468" t="s">
        <v>9219</v>
      </c>
      <c r="L1641" s="468" t="s">
        <v>2354</v>
      </c>
    </row>
    <row r="1642" spans="1:12" x14ac:dyDescent="0.25">
      <c r="A1642" s="468" t="s">
        <v>220</v>
      </c>
      <c r="B1642" s="468" t="s">
        <v>2351</v>
      </c>
      <c r="D1642" s="468" t="s">
        <v>4088</v>
      </c>
      <c r="F1642" s="470">
        <v>3</v>
      </c>
      <c r="G1642" s="468">
        <v>18.45</v>
      </c>
      <c r="H1642" s="479">
        <v>55.349999999999994</v>
      </c>
      <c r="I1642" s="468" t="s">
        <v>9218</v>
      </c>
      <c r="J1642" s="468" t="s">
        <v>9219</v>
      </c>
      <c r="K1642" s="468" t="s">
        <v>9219</v>
      </c>
      <c r="L1642" s="468" t="s">
        <v>2354</v>
      </c>
    </row>
    <row r="1643" spans="1:12" x14ac:dyDescent="0.25">
      <c r="A1643" s="468" t="s">
        <v>220</v>
      </c>
      <c r="B1643" s="468" t="s">
        <v>2351</v>
      </c>
      <c r="C1643" s="468" t="s">
        <v>4093</v>
      </c>
      <c r="D1643" s="468" t="s">
        <v>4094</v>
      </c>
      <c r="F1643" s="470">
        <v>2</v>
      </c>
      <c r="G1643" s="468">
        <v>21.510999999999999</v>
      </c>
      <c r="H1643" s="479">
        <v>43.021999999999998</v>
      </c>
      <c r="I1643" s="468" t="s">
        <v>9218</v>
      </c>
      <c r="J1643" s="468" t="s">
        <v>9219</v>
      </c>
      <c r="K1643" s="468" t="s">
        <v>9219</v>
      </c>
      <c r="L1643" s="468" t="s">
        <v>2354</v>
      </c>
    </row>
    <row r="1644" spans="1:12" x14ac:dyDescent="0.25">
      <c r="A1644" s="468" t="s">
        <v>220</v>
      </c>
      <c r="B1644" s="468" t="s">
        <v>2351</v>
      </c>
      <c r="C1644" s="468" t="s">
        <v>4095</v>
      </c>
      <c r="D1644" s="468" t="s">
        <v>4096</v>
      </c>
      <c r="F1644" s="470">
        <v>3</v>
      </c>
      <c r="G1644" s="468">
        <v>8.7240000000000002</v>
      </c>
      <c r="H1644" s="479">
        <v>26.172000000000001</v>
      </c>
      <c r="I1644" s="468" t="s">
        <v>9218</v>
      </c>
      <c r="J1644" s="468" t="s">
        <v>9219</v>
      </c>
      <c r="K1644" s="468" t="s">
        <v>9219</v>
      </c>
      <c r="L1644" s="468" t="s">
        <v>2354</v>
      </c>
    </row>
    <row r="1645" spans="1:12" x14ac:dyDescent="0.25">
      <c r="A1645" s="468" t="s">
        <v>220</v>
      </c>
      <c r="B1645" s="468" t="s">
        <v>2351</v>
      </c>
      <c r="C1645" s="468" t="s">
        <v>4099</v>
      </c>
      <c r="D1645" s="468" t="s">
        <v>4100</v>
      </c>
      <c r="F1645" s="470">
        <v>2</v>
      </c>
      <c r="G1645" s="468">
        <v>35.564999999999998</v>
      </c>
      <c r="H1645" s="479">
        <v>71.13</v>
      </c>
      <c r="I1645" s="468" t="s">
        <v>9218</v>
      </c>
      <c r="J1645" s="468" t="s">
        <v>9219</v>
      </c>
      <c r="K1645" s="468" t="s">
        <v>9219</v>
      </c>
      <c r="L1645" s="468" t="s">
        <v>2354</v>
      </c>
    </row>
    <row r="1646" spans="1:12" x14ac:dyDescent="0.25">
      <c r="A1646" s="468" t="s">
        <v>220</v>
      </c>
      <c r="B1646" s="468" t="s">
        <v>2351</v>
      </c>
      <c r="C1646" s="468" t="s">
        <v>4101</v>
      </c>
      <c r="D1646" s="468" t="s">
        <v>4102</v>
      </c>
      <c r="F1646" s="470">
        <v>2</v>
      </c>
      <c r="G1646" s="468">
        <v>139.21199999999999</v>
      </c>
      <c r="H1646" s="479">
        <v>278.42399999999998</v>
      </c>
      <c r="I1646" s="468" t="s">
        <v>9218</v>
      </c>
      <c r="J1646" s="468" t="s">
        <v>9219</v>
      </c>
      <c r="K1646" s="468" t="s">
        <v>9219</v>
      </c>
      <c r="L1646" s="468" t="s">
        <v>2354</v>
      </c>
    </row>
    <row r="1647" spans="1:12" x14ac:dyDescent="0.25">
      <c r="A1647" s="468" t="s">
        <v>220</v>
      </c>
      <c r="B1647" s="468" t="s">
        <v>2351</v>
      </c>
      <c r="C1647" s="468" t="s">
        <v>4103</v>
      </c>
      <c r="D1647" s="468" t="s">
        <v>4104</v>
      </c>
      <c r="F1647" s="470">
        <v>2</v>
      </c>
      <c r="G1647" s="468">
        <v>11.548999999999999</v>
      </c>
      <c r="H1647" s="479">
        <v>23.097999999999999</v>
      </c>
      <c r="I1647" s="468" t="s">
        <v>9218</v>
      </c>
      <c r="J1647" s="468" t="s">
        <v>9219</v>
      </c>
      <c r="K1647" s="468" t="s">
        <v>9219</v>
      </c>
      <c r="L1647" s="468" t="s">
        <v>2354</v>
      </c>
    </row>
    <row r="1648" spans="1:12" x14ac:dyDescent="0.25">
      <c r="A1648" s="468" t="s">
        <v>220</v>
      </c>
      <c r="B1648" s="468" t="s">
        <v>2351</v>
      </c>
      <c r="C1648" s="468" t="s">
        <v>4105</v>
      </c>
      <c r="D1648" s="468" t="s">
        <v>4106</v>
      </c>
      <c r="F1648" s="470">
        <v>3</v>
      </c>
      <c r="G1648" s="468">
        <v>162.81</v>
      </c>
      <c r="H1648" s="479">
        <v>488.43</v>
      </c>
      <c r="I1648" s="468" t="s">
        <v>9218</v>
      </c>
      <c r="J1648" s="468" t="s">
        <v>9219</v>
      </c>
      <c r="K1648" s="468" t="s">
        <v>9219</v>
      </c>
      <c r="L1648" s="468" t="s">
        <v>2354</v>
      </c>
    </row>
    <row r="1649" spans="1:12" x14ac:dyDescent="0.25">
      <c r="A1649" s="468" t="s">
        <v>220</v>
      </c>
      <c r="B1649" s="468" t="s">
        <v>2351</v>
      </c>
      <c r="C1649" s="468" t="s">
        <v>4107</v>
      </c>
      <c r="D1649" s="468" t="s">
        <v>4108</v>
      </c>
      <c r="F1649" s="470">
        <v>5</v>
      </c>
      <c r="G1649" s="468">
        <v>104.83199999999999</v>
      </c>
      <c r="H1649" s="479">
        <v>524.16</v>
      </c>
      <c r="I1649" s="468" t="s">
        <v>9218</v>
      </c>
      <c r="J1649" s="468" t="s">
        <v>9219</v>
      </c>
      <c r="K1649" s="468" t="s">
        <v>9219</v>
      </c>
      <c r="L1649" s="468" t="s">
        <v>2354</v>
      </c>
    </row>
    <row r="1650" spans="1:12" x14ac:dyDescent="0.25">
      <c r="A1650" s="468" t="s">
        <v>220</v>
      </c>
      <c r="B1650" s="468" t="s">
        <v>2351</v>
      </c>
      <c r="C1650" s="468" t="s">
        <v>9302</v>
      </c>
      <c r="D1650" s="468" t="s">
        <v>9303</v>
      </c>
      <c r="F1650" s="470">
        <v>3</v>
      </c>
      <c r="G1650" s="468">
        <v>247.13800000000001</v>
      </c>
      <c r="H1650" s="479">
        <v>741.41399999999999</v>
      </c>
      <c r="I1650" s="468" t="s">
        <v>9218</v>
      </c>
      <c r="J1650" s="468" t="s">
        <v>9219</v>
      </c>
      <c r="K1650" s="468" t="s">
        <v>9219</v>
      </c>
      <c r="L1650" s="468" t="s">
        <v>2354</v>
      </c>
    </row>
    <row r="1651" spans="1:12" x14ac:dyDescent="0.25">
      <c r="A1651" s="468" t="s">
        <v>220</v>
      </c>
      <c r="B1651" s="468" t="s">
        <v>2351</v>
      </c>
      <c r="C1651" s="468" t="s">
        <v>9304</v>
      </c>
      <c r="D1651" s="468" t="s">
        <v>9305</v>
      </c>
      <c r="F1651" s="470">
        <v>6</v>
      </c>
      <c r="H1651" s="479">
        <v>0</v>
      </c>
      <c r="I1651" s="468" t="s">
        <v>9218</v>
      </c>
      <c r="J1651" s="468" t="s">
        <v>9219</v>
      </c>
      <c r="K1651" s="468" t="s">
        <v>9219</v>
      </c>
      <c r="L1651" s="468" t="s">
        <v>2354</v>
      </c>
    </row>
    <row r="1652" spans="1:12" x14ac:dyDescent="0.25">
      <c r="A1652" s="468" t="s">
        <v>220</v>
      </c>
      <c r="B1652" s="468" t="s">
        <v>2351</v>
      </c>
      <c r="C1652" s="468" t="s">
        <v>6805</v>
      </c>
      <c r="D1652" s="468" t="s">
        <v>9306</v>
      </c>
      <c r="F1652" s="470">
        <v>1</v>
      </c>
      <c r="G1652" s="468">
        <v>91.44</v>
      </c>
      <c r="H1652" s="479">
        <v>91.44</v>
      </c>
      <c r="I1652" s="468" t="s">
        <v>9218</v>
      </c>
      <c r="J1652" s="468" t="s">
        <v>9219</v>
      </c>
      <c r="K1652" s="468" t="s">
        <v>9219</v>
      </c>
      <c r="L1652" s="468" t="s">
        <v>2354</v>
      </c>
    </row>
    <row r="1653" spans="1:12" x14ac:dyDescent="0.25">
      <c r="A1653" s="468" t="s">
        <v>220</v>
      </c>
      <c r="B1653" s="468" t="s">
        <v>2351</v>
      </c>
      <c r="C1653" s="468" t="s">
        <v>4109</v>
      </c>
      <c r="D1653" s="468" t="s">
        <v>4110</v>
      </c>
      <c r="F1653" s="470">
        <v>1</v>
      </c>
      <c r="G1653" s="468">
        <v>80.91</v>
      </c>
      <c r="H1653" s="479">
        <v>80.91</v>
      </c>
      <c r="I1653" s="468" t="s">
        <v>9218</v>
      </c>
      <c r="J1653" s="468" t="s">
        <v>9219</v>
      </c>
      <c r="K1653" s="468" t="s">
        <v>9219</v>
      </c>
      <c r="L1653" s="468" t="s">
        <v>2354</v>
      </c>
    </row>
    <row r="1654" spans="1:12" x14ac:dyDescent="0.25">
      <c r="A1654" s="468" t="s">
        <v>220</v>
      </c>
      <c r="B1654" s="468" t="s">
        <v>2351</v>
      </c>
      <c r="D1654" s="468" t="s">
        <v>9307</v>
      </c>
      <c r="F1654" s="470">
        <v>1</v>
      </c>
      <c r="G1654" s="468">
        <v>524.70000000000005</v>
      </c>
      <c r="H1654" s="479">
        <v>524.70000000000005</v>
      </c>
      <c r="I1654" s="468" t="s">
        <v>9218</v>
      </c>
      <c r="J1654" s="468" t="s">
        <v>9219</v>
      </c>
      <c r="K1654" s="468" t="s">
        <v>9219</v>
      </c>
      <c r="L1654" s="468" t="s">
        <v>2354</v>
      </c>
    </row>
    <row r="1655" spans="1:12" x14ac:dyDescent="0.25">
      <c r="A1655" s="468" t="s">
        <v>220</v>
      </c>
      <c r="B1655" s="468" t="s">
        <v>2351</v>
      </c>
      <c r="C1655" s="468" t="s">
        <v>4111</v>
      </c>
      <c r="D1655" s="468" t="s">
        <v>9308</v>
      </c>
      <c r="F1655" s="470">
        <v>1</v>
      </c>
      <c r="G1655" s="468">
        <v>524.70000000000005</v>
      </c>
      <c r="H1655" s="479">
        <v>524.70000000000005</v>
      </c>
      <c r="I1655" s="468" t="s">
        <v>9218</v>
      </c>
      <c r="J1655" s="468" t="s">
        <v>9219</v>
      </c>
      <c r="K1655" s="468" t="s">
        <v>9219</v>
      </c>
      <c r="L1655" s="468" t="s">
        <v>2354</v>
      </c>
    </row>
    <row r="1656" spans="1:12" x14ac:dyDescent="0.25">
      <c r="A1656" s="468" t="s">
        <v>220</v>
      </c>
      <c r="B1656" s="468" t="s">
        <v>2351</v>
      </c>
      <c r="C1656" s="468" t="s">
        <v>4113</v>
      </c>
      <c r="D1656" s="468" t="s">
        <v>4114</v>
      </c>
      <c r="F1656" s="470">
        <v>1</v>
      </c>
      <c r="H1656" s="479">
        <v>0</v>
      </c>
      <c r="I1656" s="468" t="s">
        <v>9218</v>
      </c>
      <c r="J1656" s="468" t="s">
        <v>9219</v>
      </c>
      <c r="K1656" s="468" t="s">
        <v>9219</v>
      </c>
      <c r="L1656" s="468" t="s">
        <v>2354</v>
      </c>
    </row>
    <row r="1657" spans="1:12" x14ac:dyDescent="0.25">
      <c r="A1657" s="468" t="s">
        <v>220</v>
      </c>
      <c r="B1657" s="468" t="s">
        <v>2351</v>
      </c>
      <c r="C1657" s="468" t="s">
        <v>4115</v>
      </c>
      <c r="D1657" s="468" t="s">
        <v>4116</v>
      </c>
      <c r="F1657" s="470">
        <v>1</v>
      </c>
      <c r="G1657" s="468">
        <v>273.79950000000002</v>
      </c>
      <c r="H1657" s="479">
        <v>273.79950000000002</v>
      </c>
      <c r="I1657" s="468" t="s">
        <v>9218</v>
      </c>
      <c r="J1657" s="468" t="s">
        <v>9219</v>
      </c>
      <c r="K1657" s="468" t="s">
        <v>9219</v>
      </c>
      <c r="L1657" s="468" t="s">
        <v>2354</v>
      </c>
    </row>
    <row r="1658" spans="1:12" x14ac:dyDescent="0.25">
      <c r="A1658" s="468" t="s">
        <v>220</v>
      </c>
      <c r="B1658" s="468" t="s">
        <v>2351</v>
      </c>
      <c r="C1658" s="468" t="s">
        <v>4117</v>
      </c>
      <c r="D1658" s="468" t="s">
        <v>4118</v>
      </c>
      <c r="F1658" s="470">
        <v>1</v>
      </c>
      <c r="G1658" s="468">
        <v>439.7835</v>
      </c>
      <c r="H1658" s="479">
        <v>439.7835</v>
      </c>
      <c r="I1658" s="468" t="s">
        <v>9218</v>
      </c>
      <c r="J1658" s="468" t="s">
        <v>9219</v>
      </c>
      <c r="K1658" s="468" t="s">
        <v>9219</v>
      </c>
      <c r="L1658" s="468" t="s">
        <v>2354</v>
      </c>
    </row>
    <row r="1659" spans="1:12" x14ac:dyDescent="0.25">
      <c r="A1659" s="468" t="s">
        <v>220</v>
      </c>
      <c r="B1659" s="468" t="s">
        <v>2351</v>
      </c>
      <c r="C1659" s="468" t="s">
        <v>9309</v>
      </c>
      <c r="D1659" s="468" t="s">
        <v>9310</v>
      </c>
      <c r="F1659" s="470">
        <v>1</v>
      </c>
      <c r="G1659" s="468">
        <v>1650.5</v>
      </c>
      <c r="H1659" s="479">
        <v>1650.5</v>
      </c>
      <c r="I1659" s="468" t="s">
        <v>9218</v>
      </c>
      <c r="J1659" s="468" t="s">
        <v>9219</v>
      </c>
      <c r="K1659" s="468" t="s">
        <v>9219</v>
      </c>
      <c r="L1659" s="468" t="s">
        <v>2354</v>
      </c>
    </row>
    <row r="1660" spans="1:12" x14ac:dyDescent="0.25">
      <c r="A1660" s="468" t="s">
        <v>220</v>
      </c>
      <c r="B1660" s="468" t="s">
        <v>2351</v>
      </c>
      <c r="C1660" s="468" t="s">
        <v>4119</v>
      </c>
      <c r="D1660" s="468" t="s">
        <v>4120</v>
      </c>
      <c r="F1660" s="470">
        <v>1</v>
      </c>
      <c r="G1660" s="468">
        <v>656.72973000000002</v>
      </c>
      <c r="H1660" s="479">
        <v>656.72973000000002</v>
      </c>
      <c r="I1660" s="468" t="s">
        <v>9218</v>
      </c>
      <c r="J1660" s="468" t="s">
        <v>9219</v>
      </c>
      <c r="K1660" s="468" t="s">
        <v>9219</v>
      </c>
      <c r="L1660" s="468" t="s">
        <v>2354</v>
      </c>
    </row>
    <row r="1661" spans="1:12" x14ac:dyDescent="0.25">
      <c r="A1661" s="468" t="s">
        <v>220</v>
      </c>
      <c r="B1661" s="468" t="s">
        <v>2351</v>
      </c>
      <c r="C1661" s="468" t="s">
        <v>4123</v>
      </c>
      <c r="D1661" s="468" t="s">
        <v>4124</v>
      </c>
      <c r="F1661" s="470">
        <v>1</v>
      </c>
      <c r="G1661" s="468">
        <v>204.05269999999999</v>
      </c>
      <c r="H1661" s="479">
        <v>204.05269999999999</v>
      </c>
      <c r="I1661" s="468" t="s">
        <v>9218</v>
      </c>
      <c r="J1661" s="468" t="s">
        <v>9219</v>
      </c>
      <c r="K1661" s="468" t="s">
        <v>9219</v>
      </c>
      <c r="L1661" s="468" t="s">
        <v>2354</v>
      </c>
    </row>
    <row r="1662" spans="1:12" x14ac:dyDescent="0.25">
      <c r="A1662" s="468" t="s">
        <v>220</v>
      </c>
      <c r="B1662" s="468" t="s">
        <v>2351</v>
      </c>
      <c r="D1662" s="468" t="s">
        <v>9311</v>
      </c>
      <c r="F1662" s="470">
        <v>1</v>
      </c>
      <c r="G1662" s="468">
        <v>786.25800000000004</v>
      </c>
      <c r="H1662" s="479">
        <v>786.25800000000004</v>
      </c>
      <c r="I1662" s="468" t="s">
        <v>9218</v>
      </c>
      <c r="J1662" s="468" t="s">
        <v>9219</v>
      </c>
      <c r="K1662" s="468" t="s">
        <v>9219</v>
      </c>
      <c r="L1662" s="468" t="s">
        <v>2354</v>
      </c>
    </row>
    <row r="1663" spans="1:12" x14ac:dyDescent="0.25">
      <c r="A1663" s="468" t="s">
        <v>220</v>
      </c>
      <c r="B1663" s="468" t="s">
        <v>2351</v>
      </c>
      <c r="C1663" s="468" t="s">
        <v>4127</v>
      </c>
      <c r="D1663" s="468" t="s">
        <v>4128</v>
      </c>
      <c r="F1663" s="470">
        <v>1</v>
      </c>
      <c r="G1663" s="468">
        <v>1050</v>
      </c>
      <c r="H1663" s="479">
        <v>1050</v>
      </c>
      <c r="I1663" s="468" t="s">
        <v>9218</v>
      </c>
      <c r="J1663" s="468" t="s">
        <v>9219</v>
      </c>
      <c r="K1663" s="468" t="s">
        <v>9219</v>
      </c>
      <c r="L1663" s="468" t="s">
        <v>2354</v>
      </c>
    </row>
    <row r="1664" spans="1:12" x14ac:dyDescent="0.25">
      <c r="A1664" s="468" t="s">
        <v>220</v>
      </c>
      <c r="B1664" s="468" t="s">
        <v>2351</v>
      </c>
      <c r="D1664" s="468" t="s">
        <v>9312</v>
      </c>
      <c r="F1664" s="470">
        <v>1</v>
      </c>
      <c r="G1664" s="468">
        <v>55.55</v>
      </c>
      <c r="H1664" s="479">
        <v>55.55</v>
      </c>
      <c r="I1664" s="468" t="s">
        <v>9218</v>
      </c>
      <c r="J1664" s="468" t="s">
        <v>9219</v>
      </c>
      <c r="K1664" s="468" t="s">
        <v>9219</v>
      </c>
      <c r="L1664" s="468" t="s">
        <v>2354</v>
      </c>
    </row>
    <row r="1665" spans="1:12" x14ac:dyDescent="0.25">
      <c r="A1665" s="468" t="s">
        <v>220</v>
      </c>
      <c r="B1665" s="468" t="s">
        <v>2351</v>
      </c>
      <c r="D1665" s="468" t="s">
        <v>9313</v>
      </c>
      <c r="F1665" s="470">
        <v>1</v>
      </c>
      <c r="G1665" s="468">
        <v>140.19999999999999</v>
      </c>
      <c r="H1665" s="479">
        <v>140.19999999999999</v>
      </c>
      <c r="I1665" s="468" t="s">
        <v>9218</v>
      </c>
      <c r="J1665" s="468" t="s">
        <v>9219</v>
      </c>
      <c r="K1665" s="468" t="s">
        <v>9219</v>
      </c>
      <c r="L1665" s="468" t="s">
        <v>2354</v>
      </c>
    </row>
    <row r="1666" spans="1:12" x14ac:dyDescent="0.25">
      <c r="A1666" s="468" t="s">
        <v>220</v>
      </c>
      <c r="B1666" s="468" t="s">
        <v>2351</v>
      </c>
      <c r="D1666" s="468" t="s">
        <v>9313</v>
      </c>
      <c r="F1666" s="470">
        <v>1</v>
      </c>
      <c r="G1666" s="468">
        <v>140.19999999999999</v>
      </c>
      <c r="H1666" s="479">
        <v>140.19999999999999</v>
      </c>
      <c r="I1666" s="468" t="s">
        <v>9218</v>
      </c>
      <c r="J1666" s="468" t="s">
        <v>9219</v>
      </c>
      <c r="K1666" s="468" t="s">
        <v>9219</v>
      </c>
      <c r="L1666" s="468" t="s">
        <v>2354</v>
      </c>
    </row>
    <row r="1667" spans="1:12" x14ac:dyDescent="0.25">
      <c r="A1667" s="468" t="s">
        <v>220</v>
      </c>
      <c r="B1667" s="468" t="s">
        <v>2351</v>
      </c>
      <c r="C1667" s="468" t="s">
        <v>4129</v>
      </c>
      <c r="D1667" s="468" t="s">
        <v>4130</v>
      </c>
      <c r="F1667" s="470">
        <v>1</v>
      </c>
      <c r="G1667" s="468">
        <v>152.15</v>
      </c>
      <c r="H1667" s="479">
        <v>152.15</v>
      </c>
      <c r="I1667" s="468" t="s">
        <v>9218</v>
      </c>
      <c r="J1667" s="468" t="s">
        <v>9219</v>
      </c>
      <c r="K1667" s="468" t="s">
        <v>9219</v>
      </c>
      <c r="L1667" s="468" t="s">
        <v>2354</v>
      </c>
    </row>
    <row r="1668" spans="1:12" x14ac:dyDescent="0.25">
      <c r="A1668" s="468" t="s">
        <v>220</v>
      </c>
      <c r="B1668" s="468" t="s">
        <v>2351</v>
      </c>
      <c r="C1668" s="468" t="s">
        <v>4131</v>
      </c>
      <c r="D1668" s="468" t="s">
        <v>4132</v>
      </c>
      <c r="F1668" s="470">
        <v>2</v>
      </c>
      <c r="G1668" s="468">
        <v>45.05</v>
      </c>
      <c r="H1668" s="479">
        <v>90.1</v>
      </c>
      <c r="I1668" s="468" t="s">
        <v>9218</v>
      </c>
      <c r="J1668" s="468" t="s">
        <v>9219</v>
      </c>
      <c r="K1668" s="468" t="s">
        <v>9219</v>
      </c>
      <c r="L1668" s="468" t="s">
        <v>2354</v>
      </c>
    </row>
    <row r="1669" spans="1:12" x14ac:dyDescent="0.25">
      <c r="A1669" s="468" t="s">
        <v>220</v>
      </c>
      <c r="B1669" s="468" t="s">
        <v>2351</v>
      </c>
      <c r="C1669" s="468" t="s">
        <v>4133</v>
      </c>
      <c r="D1669" s="468" t="s">
        <v>4134</v>
      </c>
      <c r="F1669" s="470">
        <v>1</v>
      </c>
      <c r="G1669" s="468">
        <v>200.01300000000001</v>
      </c>
      <c r="H1669" s="479">
        <v>200.01300000000001</v>
      </c>
      <c r="I1669" s="468" t="s">
        <v>9218</v>
      </c>
      <c r="J1669" s="468" t="s">
        <v>9219</v>
      </c>
      <c r="K1669" s="468" t="s">
        <v>9219</v>
      </c>
      <c r="L1669" s="468" t="s">
        <v>2354</v>
      </c>
    </row>
    <row r="1670" spans="1:12" x14ac:dyDescent="0.25">
      <c r="A1670" s="468" t="s">
        <v>220</v>
      </c>
      <c r="B1670" s="468" t="s">
        <v>2351</v>
      </c>
      <c r="C1670" s="468" t="s">
        <v>4135</v>
      </c>
      <c r="D1670" s="468" t="s">
        <v>4136</v>
      </c>
      <c r="F1670" s="470">
        <v>14</v>
      </c>
      <c r="G1670" s="468">
        <v>0.92300000000000004</v>
      </c>
      <c r="H1670" s="479">
        <v>12.922000000000001</v>
      </c>
      <c r="I1670" s="468" t="s">
        <v>9218</v>
      </c>
      <c r="J1670" s="468" t="s">
        <v>9219</v>
      </c>
      <c r="K1670" s="468" t="s">
        <v>9219</v>
      </c>
      <c r="L1670" s="468" t="s">
        <v>2354</v>
      </c>
    </row>
    <row r="1671" spans="1:12" x14ac:dyDescent="0.25">
      <c r="A1671" s="468" t="s">
        <v>220</v>
      </c>
      <c r="B1671" s="468" t="s">
        <v>2351</v>
      </c>
      <c r="C1671" s="468" t="s">
        <v>4137</v>
      </c>
      <c r="D1671" s="468" t="s">
        <v>4138</v>
      </c>
      <c r="F1671" s="470">
        <v>22</v>
      </c>
      <c r="G1671" s="468">
        <v>0.96711999999999987</v>
      </c>
      <c r="H1671" s="479">
        <v>21.276639999999997</v>
      </c>
      <c r="I1671" s="468" t="s">
        <v>9218</v>
      </c>
      <c r="J1671" s="468" t="s">
        <v>9219</v>
      </c>
      <c r="K1671" s="468" t="s">
        <v>9219</v>
      </c>
      <c r="L1671" s="468" t="s">
        <v>2354</v>
      </c>
    </row>
    <row r="1672" spans="1:12" x14ac:dyDescent="0.25">
      <c r="A1672" s="468" t="s">
        <v>220</v>
      </c>
      <c r="B1672" s="468" t="s">
        <v>2351</v>
      </c>
      <c r="C1672" s="468" t="s">
        <v>4139</v>
      </c>
      <c r="D1672" s="468" t="s">
        <v>4140</v>
      </c>
      <c r="F1672" s="470">
        <v>17</v>
      </c>
      <c r="G1672" s="468">
        <v>1.4933333333333334</v>
      </c>
      <c r="H1672" s="479">
        <v>25.386666666666667</v>
      </c>
      <c r="I1672" s="468" t="s">
        <v>9218</v>
      </c>
      <c r="J1672" s="468" t="s">
        <v>9219</v>
      </c>
      <c r="K1672" s="468" t="s">
        <v>9219</v>
      </c>
      <c r="L1672" s="468" t="s">
        <v>2354</v>
      </c>
    </row>
    <row r="1673" spans="1:12" x14ac:dyDescent="0.25">
      <c r="A1673" s="468" t="s">
        <v>220</v>
      </c>
      <c r="B1673" s="468" t="s">
        <v>2351</v>
      </c>
      <c r="C1673" s="468" t="s">
        <v>4141</v>
      </c>
      <c r="D1673" s="468" t="s">
        <v>4142</v>
      </c>
      <c r="F1673" s="470">
        <v>18</v>
      </c>
      <c r="G1673" s="468">
        <v>0.47970000000000007</v>
      </c>
      <c r="H1673" s="479">
        <v>8.6346000000000007</v>
      </c>
      <c r="I1673" s="468" t="s">
        <v>9218</v>
      </c>
      <c r="J1673" s="468" t="s">
        <v>9219</v>
      </c>
      <c r="K1673" s="468" t="s">
        <v>9219</v>
      </c>
      <c r="L1673" s="468" t="s">
        <v>2354</v>
      </c>
    </row>
    <row r="1674" spans="1:12" x14ac:dyDescent="0.25">
      <c r="A1674" s="468" t="s">
        <v>220</v>
      </c>
      <c r="B1674" s="468" t="s">
        <v>2351</v>
      </c>
      <c r="C1674" s="468" t="s">
        <v>4143</v>
      </c>
      <c r="D1674" s="468" t="s">
        <v>4144</v>
      </c>
      <c r="F1674" s="470">
        <v>23</v>
      </c>
      <c r="G1674" s="468">
        <v>5</v>
      </c>
      <c r="H1674" s="479">
        <v>115</v>
      </c>
      <c r="I1674" s="468" t="s">
        <v>9218</v>
      </c>
      <c r="J1674" s="468" t="s">
        <v>9219</v>
      </c>
      <c r="K1674" s="468" t="s">
        <v>9219</v>
      </c>
      <c r="L1674" s="468" t="s">
        <v>2354</v>
      </c>
    </row>
    <row r="1675" spans="1:12" x14ac:dyDescent="0.25">
      <c r="A1675" s="468" t="s">
        <v>220</v>
      </c>
      <c r="B1675" s="468" t="s">
        <v>2351</v>
      </c>
      <c r="C1675" s="468" t="s">
        <v>4145</v>
      </c>
      <c r="D1675" s="468" t="s">
        <v>4146</v>
      </c>
      <c r="F1675" s="470">
        <v>22</v>
      </c>
      <c r="G1675" s="468">
        <v>0.16800000000000001</v>
      </c>
      <c r="H1675" s="479">
        <v>3.6960000000000002</v>
      </c>
      <c r="I1675" s="468" t="s">
        <v>9218</v>
      </c>
      <c r="J1675" s="468" t="s">
        <v>9219</v>
      </c>
      <c r="K1675" s="468" t="s">
        <v>9219</v>
      </c>
      <c r="L1675" s="468" t="s">
        <v>2354</v>
      </c>
    </row>
    <row r="1676" spans="1:12" x14ac:dyDescent="0.25">
      <c r="A1676" s="468" t="s">
        <v>220</v>
      </c>
      <c r="B1676" s="468" t="s">
        <v>2351</v>
      </c>
      <c r="C1676" s="468" t="s">
        <v>4147</v>
      </c>
      <c r="D1676" s="468" t="s">
        <v>4148</v>
      </c>
      <c r="F1676" s="470">
        <v>28</v>
      </c>
      <c r="G1676" s="468">
        <v>1.012</v>
      </c>
      <c r="H1676" s="479">
        <v>28.335999999999999</v>
      </c>
      <c r="I1676" s="468" t="s">
        <v>9218</v>
      </c>
      <c r="J1676" s="468" t="s">
        <v>9219</v>
      </c>
      <c r="K1676" s="468" t="s">
        <v>9219</v>
      </c>
      <c r="L1676" s="468" t="s">
        <v>2354</v>
      </c>
    </row>
    <row r="1677" spans="1:12" x14ac:dyDescent="0.25">
      <c r="A1677" s="468" t="s">
        <v>220</v>
      </c>
      <c r="B1677" s="468" t="s">
        <v>2351</v>
      </c>
      <c r="C1677" s="468" t="s">
        <v>4149</v>
      </c>
      <c r="D1677" s="468" t="s">
        <v>4150</v>
      </c>
      <c r="F1677" s="470">
        <v>22</v>
      </c>
      <c r="G1677" s="468">
        <v>1.155</v>
      </c>
      <c r="H1677" s="479">
        <v>25.41</v>
      </c>
      <c r="I1677" s="468" t="s">
        <v>9218</v>
      </c>
      <c r="J1677" s="468" t="s">
        <v>9219</v>
      </c>
      <c r="K1677" s="468" t="s">
        <v>9219</v>
      </c>
      <c r="L1677" s="468" t="s">
        <v>2354</v>
      </c>
    </row>
    <row r="1678" spans="1:12" x14ac:dyDescent="0.25">
      <c r="A1678" s="468" t="s">
        <v>220</v>
      </c>
      <c r="B1678" s="468" t="s">
        <v>2351</v>
      </c>
      <c r="C1678" s="468" t="s">
        <v>4151</v>
      </c>
      <c r="D1678" s="468" t="s">
        <v>4152</v>
      </c>
      <c r="F1678" s="470">
        <v>48</v>
      </c>
      <c r="G1678" s="468">
        <v>1.72</v>
      </c>
      <c r="H1678" s="479">
        <v>82.56</v>
      </c>
      <c r="I1678" s="468" t="s">
        <v>9218</v>
      </c>
      <c r="J1678" s="468" t="s">
        <v>9219</v>
      </c>
      <c r="K1678" s="468" t="s">
        <v>9219</v>
      </c>
      <c r="L1678" s="468" t="s">
        <v>2354</v>
      </c>
    </row>
    <row r="1679" spans="1:12" x14ac:dyDescent="0.25">
      <c r="A1679" s="468" t="s">
        <v>220</v>
      </c>
      <c r="B1679" s="468" t="s">
        <v>2351</v>
      </c>
      <c r="C1679" s="468" t="s">
        <v>4153</v>
      </c>
      <c r="D1679" s="468" t="s">
        <v>4154</v>
      </c>
      <c r="F1679" s="470">
        <v>28</v>
      </c>
      <c r="G1679" s="468">
        <v>15.271000000000001</v>
      </c>
      <c r="H1679" s="479">
        <v>427.58800000000002</v>
      </c>
      <c r="I1679" s="468" t="s">
        <v>9218</v>
      </c>
      <c r="J1679" s="468" t="s">
        <v>9219</v>
      </c>
      <c r="K1679" s="468" t="s">
        <v>9219</v>
      </c>
      <c r="L1679" s="468" t="s">
        <v>2354</v>
      </c>
    </row>
    <row r="1680" spans="1:12" x14ac:dyDescent="0.25">
      <c r="A1680" s="468" t="s">
        <v>220</v>
      </c>
      <c r="B1680" s="468" t="s">
        <v>2351</v>
      </c>
      <c r="C1680" s="468" t="s">
        <v>4155</v>
      </c>
      <c r="D1680" s="468" t="s">
        <v>4156</v>
      </c>
      <c r="F1680" s="470">
        <v>15</v>
      </c>
      <c r="G1680" s="468">
        <v>0.78100000000000003</v>
      </c>
      <c r="H1680" s="479">
        <v>11.715</v>
      </c>
      <c r="I1680" s="468" t="s">
        <v>9218</v>
      </c>
      <c r="J1680" s="468" t="s">
        <v>9219</v>
      </c>
      <c r="K1680" s="468" t="s">
        <v>9219</v>
      </c>
      <c r="L1680" s="468" t="s">
        <v>2354</v>
      </c>
    </row>
    <row r="1681" spans="1:12" x14ac:dyDescent="0.25">
      <c r="A1681" s="468" t="s">
        <v>220</v>
      </c>
      <c r="B1681" s="468" t="s">
        <v>2351</v>
      </c>
      <c r="C1681" s="468" t="s">
        <v>4157</v>
      </c>
      <c r="D1681" s="468" t="s">
        <v>4158</v>
      </c>
      <c r="F1681" s="470">
        <v>8</v>
      </c>
      <c r="G1681" s="468">
        <v>1.69939</v>
      </c>
      <c r="H1681" s="479">
        <v>13.59512</v>
      </c>
      <c r="I1681" s="468" t="s">
        <v>9218</v>
      </c>
      <c r="J1681" s="468" t="s">
        <v>9219</v>
      </c>
      <c r="K1681" s="468" t="s">
        <v>9219</v>
      </c>
      <c r="L1681" s="468" t="s">
        <v>2354</v>
      </c>
    </row>
    <row r="1682" spans="1:12" x14ac:dyDescent="0.25">
      <c r="A1682" s="468" t="s">
        <v>220</v>
      </c>
      <c r="B1682" s="468" t="s">
        <v>2351</v>
      </c>
      <c r="C1682" s="468" t="s">
        <v>4159</v>
      </c>
      <c r="D1682" s="468" t="s">
        <v>4160</v>
      </c>
      <c r="F1682" s="470">
        <v>32</v>
      </c>
      <c r="G1682" s="468">
        <v>0.24224999999999997</v>
      </c>
      <c r="H1682" s="479">
        <v>7.7519999999999989</v>
      </c>
      <c r="I1682" s="468" t="s">
        <v>9218</v>
      </c>
      <c r="J1682" s="468" t="s">
        <v>9219</v>
      </c>
      <c r="K1682" s="468" t="s">
        <v>9219</v>
      </c>
      <c r="L1682" s="468" t="s">
        <v>2354</v>
      </c>
    </row>
    <row r="1683" spans="1:12" x14ac:dyDescent="0.25">
      <c r="A1683" s="468" t="s">
        <v>220</v>
      </c>
      <c r="B1683" s="468" t="s">
        <v>2351</v>
      </c>
      <c r="C1683" s="468" t="s">
        <v>4161</v>
      </c>
      <c r="D1683" s="468" t="s">
        <v>4162</v>
      </c>
      <c r="F1683" s="470">
        <v>15</v>
      </c>
      <c r="G1683" s="468">
        <v>1.0888</v>
      </c>
      <c r="H1683" s="479">
        <v>16.332000000000001</v>
      </c>
      <c r="I1683" s="468" t="s">
        <v>9218</v>
      </c>
      <c r="J1683" s="468" t="s">
        <v>9219</v>
      </c>
      <c r="K1683" s="468" t="s">
        <v>9219</v>
      </c>
      <c r="L1683" s="468" t="s">
        <v>2354</v>
      </c>
    </row>
    <row r="1684" spans="1:12" x14ac:dyDescent="0.25">
      <c r="A1684" s="468" t="s">
        <v>220</v>
      </c>
      <c r="B1684" s="468" t="s">
        <v>2351</v>
      </c>
      <c r="C1684" s="468" t="s">
        <v>4163</v>
      </c>
      <c r="D1684" s="468" t="s">
        <v>4164</v>
      </c>
      <c r="F1684" s="470">
        <v>2</v>
      </c>
      <c r="G1684" s="468">
        <v>50.750999999999998</v>
      </c>
      <c r="H1684" s="479">
        <v>101.502</v>
      </c>
      <c r="I1684" s="468" t="s">
        <v>9218</v>
      </c>
      <c r="J1684" s="468" t="s">
        <v>9219</v>
      </c>
      <c r="K1684" s="468" t="s">
        <v>9219</v>
      </c>
      <c r="L1684" s="468" t="s">
        <v>2354</v>
      </c>
    </row>
    <row r="1685" spans="1:12" x14ac:dyDescent="0.25">
      <c r="A1685" s="468" t="s">
        <v>220</v>
      </c>
      <c r="B1685" s="468" t="s">
        <v>2351</v>
      </c>
      <c r="C1685" s="468" t="s">
        <v>4165</v>
      </c>
      <c r="D1685" s="468" t="s">
        <v>4166</v>
      </c>
      <c r="F1685" s="470">
        <v>1</v>
      </c>
      <c r="G1685" s="468">
        <v>77.048000000000002</v>
      </c>
      <c r="H1685" s="479">
        <v>77.048000000000002</v>
      </c>
      <c r="I1685" s="468" t="s">
        <v>9218</v>
      </c>
      <c r="J1685" s="468" t="s">
        <v>9219</v>
      </c>
      <c r="K1685" s="468" t="s">
        <v>9219</v>
      </c>
      <c r="L1685" s="468" t="s">
        <v>2354</v>
      </c>
    </row>
    <row r="1686" spans="1:12" x14ac:dyDescent="0.25">
      <c r="A1686" s="468" t="s">
        <v>220</v>
      </c>
      <c r="B1686" s="468" t="s">
        <v>2351</v>
      </c>
      <c r="C1686" s="468" t="s">
        <v>4167</v>
      </c>
      <c r="D1686" s="468" t="s">
        <v>4168</v>
      </c>
      <c r="F1686" s="470">
        <v>4</v>
      </c>
      <c r="G1686" s="468">
        <v>83.283000000000001</v>
      </c>
      <c r="H1686" s="479">
        <v>333.13200000000001</v>
      </c>
      <c r="I1686" s="468" t="s">
        <v>9218</v>
      </c>
      <c r="J1686" s="468" t="s">
        <v>9219</v>
      </c>
      <c r="K1686" s="468" t="s">
        <v>9219</v>
      </c>
      <c r="L1686" s="468" t="s">
        <v>2354</v>
      </c>
    </row>
    <row r="1687" spans="1:12" x14ac:dyDescent="0.25">
      <c r="A1687" s="468" t="s">
        <v>220</v>
      </c>
      <c r="B1687" s="468" t="s">
        <v>2351</v>
      </c>
      <c r="C1687" s="468" t="s">
        <v>4169</v>
      </c>
      <c r="D1687" s="468" t="s">
        <v>4170</v>
      </c>
      <c r="F1687" s="470">
        <v>12</v>
      </c>
      <c r="G1687" s="468">
        <v>2.2328999999999999</v>
      </c>
      <c r="H1687" s="479">
        <v>26.794799999999999</v>
      </c>
      <c r="I1687" s="468" t="s">
        <v>9218</v>
      </c>
      <c r="J1687" s="468" t="s">
        <v>9219</v>
      </c>
      <c r="K1687" s="468" t="s">
        <v>9219</v>
      </c>
      <c r="L1687" s="468" t="s">
        <v>2354</v>
      </c>
    </row>
    <row r="1688" spans="1:12" x14ac:dyDescent="0.25">
      <c r="A1688" s="468" t="s">
        <v>220</v>
      </c>
      <c r="B1688" s="468" t="s">
        <v>2351</v>
      </c>
      <c r="C1688" s="468" t="s">
        <v>4171</v>
      </c>
      <c r="D1688" s="468" t="s">
        <v>4172</v>
      </c>
      <c r="F1688" s="470">
        <v>1</v>
      </c>
      <c r="H1688" s="479">
        <v>0</v>
      </c>
      <c r="I1688" s="468" t="s">
        <v>9218</v>
      </c>
      <c r="J1688" s="468" t="s">
        <v>9219</v>
      </c>
      <c r="K1688" s="468" t="s">
        <v>9219</v>
      </c>
      <c r="L1688" s="468" t="s">
        <v>2354</v>
      </c>
    </row>
    <row r="1689" spans="1:12" x14ac:dyDescent="0.25">
      <c r="A1689" s="468" t="s">
        <v>220</v>
      </c>
      <c r="B1689" s="468" t="s">
        <v>2351</v>
      </c>
      <c r="C1689" s="468" t="s">
        <v>4173</v>
      </c>
      <c r="D1689" s="468" t="s">
        <v>4174</v>
      </c>
      <c r="F1689" s="470">
        <v>4</v>
      </c>
      <c r="G1689" s="468">
        <v>13</v>
      </c>
      <c r="H1689" s="479">
        <v>52</v>
      </c>
      <c r="I1689" s="468" t="s">
        <v>9218</v>
      </c>
      <c r="J1689" s="468" t="s">
        <v>9219</v>
      </c>
      <c r="K1689" s="468" t="s">
        <v>9219</v>
      </c>
      <c r="L1689" s="468" t="s">
        <v>2354</v>
      </c>
    </row>
    <row r="1690" spans="1:12" x14ac:dyDescent="0.25">
      <c r="A1690" s="468" t="s">
        <v>220</v>
      </c>
      <c r="B1690" s="468" t="s">
        <v>2351</v>
      </c>
      <c r="C1690" s="468" t="s">
        <v>4175</v>
      </c>
      <c r="D1690" s="468" t="s">
        <v>4176</v>
      </c>
      <c r="F1690" s="470">
        <v>8</v>
      </c>
      <c r="G1690" s="468">
        <v>1.9390000000000001</v>
      </c>
      <c r="H1690" s="479">
        <v>15.512</v>
      </c>
      <c r="I1690" s="468" t="s">
        <v>9218</v>
      </c>
      <c r="J1690" s="468" t="s">
        <v>9219</v>
      </c>
      <c r="K1690" s="468" t="s">
        <v>9219</v>
      </c>
      <c r="L1690" s="468" t="s">
        <v>2354</v>
      </c>
    </row>
    <row r="1691" spans="1:12" x14ac:dyDescent="0.25">
      <c r="A1691" s="468" t="s">
        <v>220</v>
      </c>
      <c r="B1691" s="468" t="s">
        <v>2351</v>
      </c>
      <c r="C1691" s="468" t="s">
        <v>4177</v>
      </c>
      <c r="D1691" s="468" t="s">
        <v>4178</v>
      </c>
      <c r="F1691" s="470">
        <v>2</v>
      </c>
      <c r="G1691" s="468">
        <v>9.6</v>
      </c>
      <c r="H1691" s="479">
        <v>19.2</v>
      </c>
      <c r="I1691" s="468" t="s">
        <v>9218</v>
      </c>
      <c r="J1691" s="468" t="s">
        <v>9219</v>
      </c>
      <c r="K1691" s="468" t="s">
        <v>9219</v>
      </c>
      <c r="L1691" s="468" t="s">
        <v>2354</v>
      </c>
    </row>
    <row r="1692" spans="1:12" x14ac:dyDescent="0.25">
      <c r="A1692" s="468" t="s">
        <v>220</v>
      </c>
      <c r="B1692" s="468" t="s">
        <v>2351</v>
      </c>
      <c r="C1692" s="468" t="s">
        <v>4179</v>
      </c>
      <c r="D1692" s="468" t="s">
        <v>4180</v>
      </c>
      <c r="F1692" s="470">
        <v>14</v>
      </c>
      <c r="G1692" s="468">
        <v>1.1879999999999999</v>
      </c>
      <c r="H1692" s="479">
        <v>16.631999999999998</v>
      </c>
      <c r="I1692" s="468" t="s">
        <v>9218</v>
      </c>
      <c r="J1692" s="468" t="s">
        <v>9219</v>
      </c>
      <c r="K1692" s="468" t="s">
        <v>9219</v>
      </c>
      <c r="L1692" s="468" t="s">
        <v>2354</v>
      </c>
    </row>
    <row r="1693" spans="1:12" x14ac:dyDescent="0.25">
      <c r="A1693" s="468" t="s">
        <v>220</v>
      </c>
      <c r="B1693" s="468" t="s">
        <v>2351</v>
      </c>
      <c r="C1693" s="468" t="s">
        <v>4181</v>
      </c>
      <c r="D1693" s="468" t="s">
        <v>4182</v>
      </c>
      <c r="F1693" s="470">
        <v>32</v>
      </c>
      <c r="G1693" s="468">
        <v>0.505</v>
      </c>
      <c r="H1693" s="479">
        <v>16.16</v>
      </c>
      <c r="I1693" s="468" t="s">
        <v>9218</v>
      </c>
      <c r="J1693" s="468" t="s">
        <v>9219</v>
      </c>
      <c r="K1693" s="468" t="s">
        <v>9219</v>
      </c>
      <c r="L1693" s="468" t="s">
        <v>2354</v>
      </c>
    </row>
    <row r="1694" spans="1:12" x14ac:dyDescent="0.25">
      <c r="A1694" s="468" t="s">
        <v>220</v>
      </c>
      <c r="B1694" s="468" t="s">
        <v>2351</v>
      </c>
      <c r="C1694" s="468" t="s">
        <v>4183</v>
      </c>
      <c r="D1694" s="468" t="s">
        <v>4184</v>
      </c>
      <c r="F1694" s="470">
        <v>30</v>
      </c>
      <c r="G1694" s="468">
        <v>1.0245283018867923</v>
      </c>
      <c r="H1694" s="479">
        <v>30.735849056603769</v>
      </c>
      <c r="I1694" s="468" t="s">
        <v>9218</v>
      </c>
      <c r="J1694" s="468" t="s">
        <v>9219</v>
      </c>
      <c r="K1694" s="468" t="s">
        <v>9219</v>
      </c>
      <c r="L1694" s="468" t="s">
        <v>2354</v>
      </c>
    </row>
    <row r="1695" spans="1:12" x14ac:dyDescent="0.25">
      <c r="A1695" s="468" t="s">
        <v>220</v>
      </c>
      <c r="B1695" s="468" t="s">
        <v>2351</v>
      </c>
      <c r="C1695" s="468" t="s">
        <v>4185</v>
      </c>
      <c r="D1695" s="468" t="s">
        <v>4186</v>
      </c>
      <c r="F1695" s="470">
        <v>2</v>
      </c>
      <c r="G1695" s="468">
        <v>0.58399999999999996</v>
      </c>
      <c r="H1695" s="479">
        <v>1.1679999999999999</v>
      </c>
      <c r="I1695" s="468" t="s">
        <v>9218</v>
      </c>
      <c r="J1695" s="468" t="s">
        <v>9219</v>
      </c>
      <c r="K1695" s="468" t="s">
        <v>9219</v>
      </c>
      <c r="L1695" s="468" t="s">
        <v>2354</v>
      </c>
    </row>
    <row r="1696" spans="1:12" x14ac:dyDescent="0.25">
      <c r="A1696" s="468" t="s">
        <v>220</v>
      </c>
      <c r="B1696" s="468" t="s">
        <v>2351</v>
      </c>
      <c r="C1696" s="468" t="s">
        <v>4187</v>
      </c>
      <c r="D1696" s="468" t="s">
        <v>4188</v>
      </c>
      <c r="F1696" s="470">
        <v>5</v>
      </c>
      <c r="G1696" s="468">
        <v>0.501</v>
      </c>
      <c r="H1696" s="479">
        <v>2.5049999999999999</v>
      </c>
      <c r="I1696" s="468" t="s">
        <v>9218</v>
      </c>
      <c r="J1696" s="468" t="s">
        <v>9219</v>
      </c>
      <c r="K1696" s="468" t="s">
        <v>9219</v>
      </c>
      <c r="L1696" s="468" t="s">
        <v>2354</v>
      </c>
    </row>
    <row r="1697" spans="1:12" x14ac:dyDescent="0.25">
      <c r="A1697" s="468" t="s">
        <v>220</v>
      </c>
      <c r="B1697" s="468" t="s">
        <v>2351</v>
      </c>
      <c r="C1697" s="468" t="s">
        <v>4189</v>
      </c>
      <c r="D1697" s="468" t="s">
        <v>4190</v>
      </c>
      <c r="F1697" s="470">
        <v>12</v>
      </c>
      <c r="G1697" s="468">
        <v>0.185</v>
      </c>
      <c r="H1697" s="479">
        <v>2.2199999999999998</v>
      </c>
      <c r="I1697" s="468" t="s">
        <v>9218</v>
      </c>
      <c r="J1697" s="468" t="s">
        <v>9219</v>
      </c>
      <c r="K1697" s="468" t="s">
        <v>9219</v>
      </c>
      <c r="L1697" s="468" t="s">
        <v>2354</v>
      </c>
    </row>
    <row r="1698" spans="1:12" x14ac:dyDescent="0.25">
      <c r="A1698" s="468" t="s">
        <v>220</v>
      </c>
      <c r="B1698" s="468" t="s">
        <v>2351</v>
      </c>
      <c r="C1698" s="468" t="s">
        <v>4191</v>
      </c>
      <c r="D1698" s="468" t="s">
        <v>4192</v>
      </c>
      <c r="F1698" s="470">
        <v>14</v>
      </c>
      <c r="G1698" s="468">
        <v>0.42415254237288136</v>
      </c>
      <c r="H1698" s="479">
        <v>5.9381355932203395</v>
      </c>
      <c r="I1698" s="468" t="s">
        <v>9218</v>
      </c>
      <c r="J1698" s="468" t="s">
        <v>9219</v>
      </c>
      <c r="K1698" s="468" t="s">
        <v>9219</v>
      </c>
      <c r="L1698" s="468" t="s">
        <v>2354</v>
      </c>
    </row>
    <row r="1699" spans="1:12" x14ac:dyDescent="0.25">
      <c r="A1699" s="468" t="s">
        <v>220</v>
      </c>
      <c r="B1699" s="468" t="s">
        <v>2351</v>
      </c>
      <c r="C1699" s="468" t="s">
        <v>4221</v>
      </c>
      <c r="D1699" s="468" t="s">
        <v>4222</v>
      </c>
      <c r="F1699" s="470">
        <v>1</v>
      </c>
      <c r="G1699" s="468">
        <v>785.86199999999997</v>
      </c>
      <c r="H1699" s="479">
        <v>785.86199999999997</v>
      </c>
      <c r="I1699" s="468" t="s">
        <v>9218</v>
      </c>
      <c r="J1699" s="468" t="s">
        <v>9219</v>
      </c>
      <c r="K1699" s="468" t="s">
        <v>9219</v>
      </c>
      <c r="L1699" s="468" t="s">
        <v>2354</v>
      </c>
    </row>
    <row r="1700" spans="1:12" x14ac:dyDescent="0.25">
      <c r="A1700" s="468" t="s">
        <v>220</v>
      </c>
      <c r="B1700" s="468" t="s">
        <v>2351</v>
      </c>
      <c r="C1700" s="468" t="s">
        <v>4223</v>
      </c>
      <c r="D1700" s="468" t="s">
        <v>4224</v>
      </c>
      <c r="F1700" s="470">
        <v>2</v>
      </c>
      <c r="G1700" s="468">
        <v>277.66694999999999</v>
      </c>
      <c r="H1700" s="479">
        <v>555.33389999999997</v>
      </c>
      <c r="I1700" s="468" t="s">
        <v>9218</v>
      </c>
      <c r="J1700" s="468" t="s">
        <v>9219</v>
      </c>
      <c r="K1700" s="468" t="s">
        <v>9219</v>
      </c>
      <c r="L1700" s="468" t="s">
        <v>2354</v>
      </c>
    </row>
    <row r="1701" spans="1:12" x14ac:dyDescent="0.25">
      <c r="A1701" s="468" t="s">
        <v>220</v>
      </c>
      <c r="B1701" s="468" t="s">
        <v>2351</v>
      </c>
      <c r="C1701" s="468" t="s">
        <v>4225</v>
      </c>
      <c r="D1701" s="468" t="s">
        <v>4226</v>
      </c>
      <c r="F1701" s="470">
        <v>1</v>
      </c>
      <c r="G1701" s="468">
        <v>261.63</v>
      </c>
      <c r="H1701" s="479">
        <v>261.63</v>
      </c>
      <c r="I1701" s="468" t="s">
        <v>9218</v>
      </c>
      <c r="J1701" s="468" t="s">
        <v>9219</v>
      </c>
      <c r="K1701" s="468" t="s">
        <v>9219</v>
      </c>
      <c r="L1701" s="468" t="s">
        <v>2354</v>
      </c>
    </row>
    <row r="1702" spans="1:12" x14ac:dyDescent="0.25">
      <c r="A1702" s="468" t="s">
        <v>220</v>
      </c>
      <c r="B1702" s="468" t="s">
        <v>2351</v>
      </c>
      <c r="C1702" s="468" t="s">
        <v>4227</v>
      </c>
      <c r="D1702" s="468" t="s">
        <v>4228</v>
      </c>
      <c r="F1702" s="470">
        <v>3</v>
      </c>
      <c r="G1702" s="468">
        <v>280</v>
      </c>
      <c r="H1702" s="479">
        <v>840</v>
      </c>
      <c r="I1702" s="468" t="s">
        <v>9218</v>
      </c>
      <c r="J1702" s="468" t="s">
        <v>9219</v>
      </c>
      <c r="K1702" s="468" t="s">
        <v>9219</v>
      </c>
      <c r="L1702" s="468" t="s">
        <v>2354</v>
      </c>
    </row>
    <row r="1703" spans="1:12" x14ac:dyDescent="0.25">
      <c r="A1703" s="468" t="s">
        <v>220</v>
      </c>
      <c r="B1703" s="468" t="s">
        <v>2351</v>
      </c>
      <c r="C1703" s="468" t="s">
        <v>4229</v>
      </c>
      <c r="D1703" s="468" t="s">
        <v>4230</v>
      </c>
      <c r="F1703" s="470">
        <v>4</v>
      </c>
      <c r="G1703" s="468">
        <v>596.73599999999999</v>
      </c>
      <c r="H1703" s="479">
        <v>2386.944</v>
      </c>
      <c r="I1703" s="468" t="s">
        <v>9218</v>
      </c>
      <c r="J1703" s="468" t="s">
        <v>9219</v>
      </c>
      <c r="K1703" s="468" t="s">
        <v>9219</v>
      </c>
      <c r="L1703" s="468" t="s">
        <v>2354</v>
      </c>
    </row>
    <row r="1704" spans="1:12" x14ac:dyDescent="0.25">
      <c r="A1704" s="468" t="s">
        <v>220</v>
      </c>
      <c r="B1704" s="468" t="s">
        <v>2351</v>
      </c>
      <c r="C1704" s="468" t="s">
        <v>4231</v>
      </c>
      <c r="D1704" s="468" t="s">
        <v>4232</v>
      </c>
      <c r="F1704" s="470">
        <v>1</v>
      </c>
      <c r="G1704" s="468">
        <v>596.73599999999999</v>
      </c>
      <c r="H1704" s="479">
        <v>596.73599999999999</v>
      </c>
      <c r="I1704" s="468" t="s">
        <v>9218</v>
      </c>
      <c r="J1704" s="468" t="s">
        <v>9219</v>
      </c>
      <c r="K1704" s="468" t="s">
        <v>9219</v>
      </c>
      <c r="L1704" s="468" t="s">
        <v>2354</v>
      </c>
    </row>
    <row r="1705" spans="1:12" x14ac:dyDescent="0.25">
      <c r="A1705" s="468" t="s">
        <v>220</v>
      </c>
      <c r="B1705" s="468" t="s">
        <v>2351</v>
      </c>
      <c r="C1705" s="468" t="s">
        <v>4233</v>
      </c>
      <c r="D1705" s="468" t="s">
        <v>4234</v>
      </c>
      <c r="F1705" s="470">
        <v>2</v>
      </c>
      <c r="G1705" s="468">
        <v>54.978000000000002</v>
      </c>
      <c r="H1705" s="479">
        <v>109.956</v>
      </c>
      <c r="I1705" s="468" t="s">
        <v>9218</v>
      </c>
      <c r="J1705" s="468" t="s">
        <v>9219</v>
      </c>
      <c r="K1705" s="468" t="s">
        <v>9219</v>
      </c>
      <c r="L1705" s="468" t="s">
        <v>2354</v>
      </c>
    </row>
    <row r="1706" spans="1:12" x14ac:dyDescent="0.25">
      <c r="A1706" s="468" t="s">
        <v>220</v>
      </c>
      <c r="B1706" s="468" t="s">
        <v>2351</v>
      </c>
      <c r="C1706" s="468" t="s">
        <v>4235</v>
      </c>
      <c r="D1706" s="468" t="s">
        <v>4236</v>
      </c>
      <c r="F1706" s="470">
        <v>2</v>
      </c>
      <c r="G1706" s="468">
        <v>7.0107999999999997</v>
      </c>
      <c r="H1706" s="479">
        <v>14.021599999999999</v>
      </c>
      <c r="I1706" s="468" t="s">
        <v>9218</v>
      </c>
      <c r="J1706" s="468" t="s">
        <v>9219</v>
      </c>
      <c r="K1706" s="468" t="s">
        <v>9219</v>
      </c>
      <c r="L1706" s="468" t="s">
        <v>2354</v>
      </c>
    </row>
    <row r="1707" spans="1:12" x14ac:dyDescent="0.25">
      <c r="A1707" s="468" t="s">
        <v>220</v>
      </c>
      <c r="B1707" s="468" t="s">
        <v>2351</v>
      </c>
      <c r="C1707" s="468" t="s">
        <v>4239</v>
      </c>
      <c r="D1707" s="468" t="s">
        <v>4240</v>
      </c>
      <c r="F1707" s="470">
        <v>1</v>
      </c>
      <c r="G1707" s="468">
        <v>22.1464</v>
      </c>
      <c r="H1707" s="479">
        <v>22.1464</v>
      </c>
      <c r="I1707" s="468" t="s">
        <v>9218</v>
      </c>
      <c r="J1707" s="468" t="s">
        <v>9219</v>
      </c>
      <c r="K1707" s="468" t="s">
        <v>9219</v>
      </c>
      <c r="L1707" s="468" t="s">
        <v>2354</v>
      </c>
    </row>
    <row r="1708" spans="1:12" x14ac:dyDescent="0.25">
      <c r="A1708" s="468" t="s">
        <v>220</v>
      </c>
      <c r="B1708" s="468" t="s">
        <v>2351</v>
      </c>
      <c r="C1708" s="468" t="s">
        <v>4241</v>
      </c>
      <c r="D1708" s="468" t="s">
        <v>4242</v>
      </c>
      <c r="F1708" s="470">
        <v>1</v>
      </c>
      <c r="G1708" s="468">
        <v>156.249</v>
      </c>
      <c r="H1708" s="479">
        <v>156.249</v>
      </c>
      <c r="I1708" s="468" t="s">
        <v>9218</v>
      </c>
      <c r="J1708" s="468" t="s">
        <v>9219</v>
      </c>
      <c r="K1708" s="468" t="s">
        <v>9219</v>
      </c>
      <c r="L1708" s="468" t="s">
        <v>2354</v>
      </c>
    </row>
    <row r="1709" spans="1:12" x14ac:dyDescent="0.25">
      <c r="A1709" s="468" t="s">
        <v>220</v>
      </c>
      <c r="B1709" s="468" t="s">
        <v>2351</v>
      </c>
      <c r="C1709" s="468" t="s">
        <v>4243</v>
      </c>
      <c r="D1709" s="468" t="s">
        <v>4244</v>
      </c>
      <c r="F1709" s="470">
        <v>2</v>
      </c>
      <c r="G1709" s="468">
        <v>85.167000000000002</v>
      </c>
      <c r="H1709" s="479">
        <v>170.334</v>
      </c>
      <c r="I1709" s="468" t="s">
        <v>9218</v>
      </c>
      <c r="J1709" s="468" t="s">
        <v>9219</v>
      </c>
      <c r="K1709" s="468" t="s">
        <v>9219</v>
      </c>
      <c r="L1709" s="468" t="s">
        <v>2354</v>
      </c>
    </row>
    <row r="1710" spans="1:12" x14ac:dyDescent="0.25">
      <c r="A1710" s="468" t="s">
        <v>220</v>
      </c>
      <c r="B1710" s="468" t="s">
        <v>2351</v>
      </c>
      <c r="C1710" s="468" t="s">
        <v>9314</v>
      </c>
      <c r="D1710" s="468" t="s">
        <v>9315</v>
      </c>
      <c r="F1710" s="470">
        <v>2</v>
      </c>
      <c r="G1710" s="468">
        <v>23.5</v>
      </c>
      <c r="H1710" s="479">
        <v>47</v>
      </c>
      <c r="I1710" s="468" t="s">
        <v>9218</v>
      </c>
      <c r="J1710" s="468" t="s">
        <v>9219</v>
      </c>
      <c r="K1710" s="468" t="s">
        <v>9219</v>
      </c>
      <c r="L1710" s="468" t="s">
        <v>2354</v>
      </c>
    </row>
    <row r="1711" spans="1:12" x14ac:dyDescent="0.25">
      <c r="A1711" s="468" t="s">
        <v>220</v>
      </c>
      <c r="B1711" s="468" t="s">
        <v>2351</v>
      </c>
      <c r="C1711" s="468" t="s">
        <v>4245</v>
      </c>
      <c r="D1711" s="468" t="s">
        <v>4246</v>
      </c>
      <c r="F1711" s="470">
        <v>9</v>
      </c>
      <c r="G1711" s="468">
        <v>17.042999999999999</v>
      </c>
      <c r="H1711" s="479">
        <v>153.387</v>
      </c>
      <c r="I1711" s="468" t="s">
        <v>9218</v>
      </c>
      <c r="J1711" s="468" t="s">
        <v>9219</v>
      </c>
      <c r="K1711" s="468" t="s">
        <v>9219</v>
      </c>
      <c r="L1711" s="468" t="s">
        <v>2354</v>
      </c>
    </row>
    <row r="1712" spans="1:12" x14ac:dyDescent="0.25">
      <c r="A1712" s="468" t="s">
        <v>220</v>
      </c>
      <c r="B1712" s="468" t="s">
        <v>2351</v>
      </c>
      <c r="C1712" s="468" t="s">
        <v>9316</v>
      </c>
      <c r="D1712" s="468" t="s">
        <v>9317</v>
      </c>
      <c r="F1712" s="470">
        <v>3</v>
      </c>
      <c r="G1712" s="468">
        <v>80.75</v>
      </c>
      <c r="H1712" s="479">
        <v>242.25</v>
      </c>
      <c r="I1712" s="468" t="s">
        <v>9218</v>
      </c>
      <c r="J1712" s="468" t="s">
        <v>9219</v>
      </c>
      <c r="K1712" s="468" t="s">
        <v>9219</v>
      </c>
      <c r="L1712" s="468" t="s">
        <v>2354</v>
      </c>
    </row>
    <row r="1713" spans="1:12" x14ac:dyDescent="0.25">
      <c r="A1713" s="468" t="s">
        <v>220</v>
      </c>
      <c r="B1713" s="468" t="s">
        <v>2351</v>
      </c>
      <c r="C1713" s="468" t="s">
        <v>9318</v>
      </c>
      <c r="D1713" s="468" t="s">
        <v>9319</v>
      </c>
      <c r="F1713" s="470">
        <v>3</v>
      </c>
      <c r="G1713" s="468">
        <v>82.08</v>
      </c>
      <c r="H1713" s="479">
        <v>246.24</v>
      </c>
      <c r="I1713" s="468" t="s">
        <v>9218</v>
      </c>
      <c r="J1713" s="468" t="s">
        <v>9219</v>
      </c>
      <c r="K1713" s="468" t="s">
        <v>9219</v>
      </c>
      <c r="L1713" s="468" t="s">
        <v>2354</v>
      </c>
    </row>
    <row r="1714" spans="1:12" x14ac:dyDescent="0.25">
      <c r="A1714" s="468" t="s">
        <v>220</v>
      </c>
      <c r="B1714" s="468" t="s">
        <v>2351</v>
      </c>
      <c r="C1714" s="468" t="s">
        <v>9320</v>
      </c>
      <c r="D1714" s="468" t="s">
        <v>9321</v>
      </c>
      <c r="F1714" s="470">
        <v>3</v>
      </c>
      <c r="G1714" s="468">
        <v>85.5</v>
      </c>
      <c r="H1714" s="479">
        <v>256.5</v>
      </c>
      <c r="I1714" s="468" t="s">
        <v>9218</v>
      </c>
      <c r="J1714" s="468" t="s">
        <v>9219</v>
      </c>
      <c r="K1714" s="468" t="s">
        <v>9219</v>
      </c>
      <c r="L1714" s="468" t="s">
        <v>2354</v>
      </c>
    </row>
    <row r="1715" spans="1:12" x14ac:dyDescent="0.25">
      <c r="A1715" s="468" t="s">
        <v>220</v>
      </c>
      <c r="B1715" s="468" t="s">
        <v>2351</v>
      </c>
      <c r="C1715" s="468" t="s">
        <v>6889</v>
      </c>
      <c r="D1715" s="468" t="s">
        <v>9322</v>
      </c>
      <c r="F1715" s="470">
        <v>3</v>
      </c>
      <c r="G1715" s="468">
        <v>89.1</v>
      </c>
      <c r="H1715" s="479">
        <v>267.29999999999995</v>
      </c>
      <c r="I1715" s="468" t="s">
        <v>9218</v>
      </c>
      <c r="J1715" s="468" t="s">
        <v>9219</v>
      </c>
      <c r="K1715" s="468" t="s">
        <v>9219</v>
      </c>
      <c r="L1715" s="468" t="s">
        <v>2354</v>
      </c>
    </row>
    <row r="1716" spans="1:12" x14ac:dyDescent="0.25">
      <c r="A1716" s="468" t="s">
        <v>220</v>
      </c>
      <c r="B1716" s="468" t="s">
        <v>2351</v>
      </c>
      <c r="C1716" s="468" t="s">
        <v>6885</v>
      </c>
      <c r="D1716" s="468" t="s">
        <v>9323</v>
      </c>
      <c r="F1716" s="470">
        <v>3</v>
      </c>
      <c r="G1716" s="468">
        <v>157.5</v>
      </c>
      <c r="H1716" s="479">
        <v>472.5</v>
      </c>
      <c r="I1716" s="468" t="s">
        <v>9218</v>
      </c>
      <c r="J1716" s="468" t="s">
        <v>9219</v>
      </c>
      <c r="K1716" s="468" t="s">
        <v>9219</v>
      </c>
      <c r="L1716" s="468" t="s">
        <v>2354</v>
      </c>
    </row>
    <row r="1717" spans="1:12" x14ac:dyDescent="0.25">
      <c r="A1717" s="468" t="s">
        <v>220</v>
      </c>
      <c r="B1717" s="468" t="s">
        <v>2351</v>
      </c>
      <c r="C1717" s="468" t="s">
        <v>4247</v>
      </c>
      <c r="D1717" s="468" t="s">
        <v>4248</v>
      </c>
      <c r="F1717" s="470">
        <v>2</v>
      </c>
      <c r="G1717" s="468">
        <v>84.238</v>
      </c>
      <c r="H1717" s="479">
        <v>168.476</v>
      </c>
      <c r="I1717" s="468" t="s">
        <v>9218</v>
      </c>
      <c r="J1717" s="468" t="s">
        <v>9219</v>
      </c>
      <c r="K1717" s="468" t="s">
        <v>9219</v>
      </c>
      <c r="L1717" s="468" t="s">
        <v>2354</v>
      </c>
    </row>
    <row r="1718" spans="1:12" x14ac:dyDescent="0.25">
      <c r="A1718" s="468" t="s">
        <v>220</v>
      </c>
      <c r="B1718" s="468" t="s">
        <v>2351</v>
      </c>
      <c r="C1718" s="468" t="s">
        <v>4249</v>
      </c>
      <c r="D1718" s="468" t="s">
        <v>4250</v>
      </c>
      <c r="F1718" s="470">
        <v>3</v>
      </c>
      <c r="G1718" s="468">
        <v>89</v>
      </c>
      <c r="H1718" s="479">
        <v>267</v>
      </c>
      <c r="I1718" s="468" t="s">
        <v>9218</v>
      </c>
      <c r="J1718" s="468" t="s">
        <v>9219</v>
      </c>
      <c r="K1718" s="468" t="s">
        <v>9219</v>
      </c>
      <c r="L1718" s="468" t="s">
        <v>2354</v>
      </c>
    </row>
    <row r="1719" spans="1:12" x14ac:dyDescent="0.25">
      <c r="A1719" s="468" t="s">
        <v>220</v>
      </c>
      <c r="B1719" s="468" t="s">
        <v>2351</v>
      </c>
      <c r="C1719" s="468" t="s">
        <v>4251</v>
      </c>
      <c r="D1719" s="468" t="s">
        <v>4252</v>
      </c>
      <c r="F1719" s="470">
        <v>6</v>
      </c>
      <c r="G1719" s="468">
        <v>10.78735</v>
      </c>
      <c r="H1719" s="479">
        <v>64.724099999999993</v>
      </c>
      <c r="I1719" s="468" t="s">
        <v>9218</v>
      </c>
      <c r="J1719" s="468" t="s">
        <v>9219</v>
      </c>
      <c r="K1719" s="468" t="s">
        <v>9219</v>
      </c>
      <c r="L1719" s="468" t="s">
        <v>2354</v>
      </c>
    </row>
    <row r="1720" spans="1:12" x14ac:dyDescent="0.25">
      <c r="A1720" s="468" t="s">
        <v>220</v>
      </c>
      <c r="B1720" s="468" t="s">
        <v>2351</v>
      </c>
      <c r="C1720" s="468" t="s">
        <v>9324</v>
      </c>
      <c r="D1720" s="468" t="s">
        <v>9325</v>
      </c>
      <c r="F1720" s="470">
        <v>2</v>
      </c>
      <c r="G1720" s="468">
        <v>35.6</v>
      </c>
      <c r="H1720" s="479">
        <v>71.2</v>
      </c>
      <c r="I1720" s="468" t="s">
        <v>9218</v>
      </c>
      <c r="J1720" s="468" t="s">
        <v>9219</v>
      </c>
      <c r="K1720" s="468" t="s">
        <v>9219</v>
      </c>
      <c r="L1720" s="468" t="s">
        <v>2354</v>
      </c>
    </row>
    <row r="1721" spans="1:12" x14ac:dyDescent="0.25">
      <c r="A1721" s="468" t="s">
        <v>220</v>
      </c>
      <c r="B1721" s="468" t="s">
        <v>2351</v>
      </c>
      <c r="C1721" s="468" t="s">
        <v>6887</v>
      </c>
      <c r="D1721" s="468" t="s">
        <v>9326</v>
      </c>
      <c r="F1721" s="470">
        <v>4</v>
      </c>
      <c r="G1721" s="468">
        <v>167.01900000000001</v>
      </c>
      <c r="H1721" s="479">
        <v>668.07600000000002</v>
      </c>
      <c r="I1721" s="468" t="s">
        <v>9218</v>
      </c>
      <c r="J1721" s="468" t="s">
        <v>9219</v>
      </c>
      <c r="K1721" s="468" t="s">
        <v>9219</v>
      </c>
      <c r="L1721" s="468" t="s">
        <v>2354</v>
      </c>
    </row>
    <row r="1722" spans="1:12" x14ac:dyDescent="0.25">
      <c r="A1722" s="468" t="s">
        <v>220</v>
      </c>
      <c r="B1722" s="468" t="s">
        <v>2351</v>
      </c>
      <c r="C1722" s="468" t="s">
        <v>5406</v>
      </c>
      <c r="D1722" s="468" t="s">
        <v>9327</v>
      </c>
      <c r="F1722" s="470">
        <v>2</v>
      </c>
      <c r="G1722" s="468">
        <v>30.321000000000002</v>
      </c>
      <c r="H1722" s="479">
        <v>60.642000000000003</v>
      </c>
      <c r="I1722" s="468" t="s">
        <v>9218</v>
      </c>
      <c r="J1722" s="468" t="s">
        <v>9219</v>
      </c>
      <c r="K1722" s="468" t="s">
        <v>9219</v>
      </c>
      <c r="L1722" s="468" t="s">
        <v>2354</v>
      </c>
    </row>
    <row r="1723" spans="1:12" x14ac:dyDescent="0.25">
      <c r="A1723" s="468" t="s">
        <v>220</v>
      </c>
      <c r="B1723" s="468" t="s">
        <v>2351</v>
      </c>
      <c r="C1723" s="468" t="s">
        <v>4257</v>
      </c>
      <c r="D1723" s="468" t="s">
        <v>4258</v>
      </c>
      <c r="F1723" s="470">
        <v>1</v>
      </c>
      <c r="G1723" s="468">
        <v>60.252000000000002</v>
      </c>
      <c r="H1723" s="479">
        <v>60.252000000000002</v>
      </c>
      <c r="I1723" s="468" t="s">
        <v>9218</v>
      </c>
      <c r="J1723" s="468" t="s">
        <v>9219</v>
      </c>
      <c r="K1723" s="468" t="s">
        <v>9219</v>
      </c>
      <c r="L1723" s="468" t="s">
        <v>2354</v>
      </c>
    </row>
    <row r="1724" spans="1:12" x14ac:dyDescent="0.25">
      <c r="A1724" s="468" t="s">
        <v>220</v>
      </c>
      <c r="B1724" s="468" t="s">
        <v>2351</v>
      </c>
      <c r="C1724" s="468" t="s">
        <v>4259</v>
      </c>
      <c r="D1724" s="468" t="s">
        <v>4260</v>
      </c>
      <c r="F1724" s="470">
        <v>12</v>
      </c>
      <c r="G1724" s="468">
        <v>10.932</v>
      </c>
      <c r="H1724" s="479">
        <v>131.184</v>
      </c>
      <c r="I1724" s="468" t="s">
        <v>9218</v>
      </c>
      <c r="J1724" s="468" t="s">
        <v>9219</v>
      </c>
      <c r="K1724" s="468" t="s">
        <v>9219</v>
      </c>
      <c r="L1724" s="468" t="s">
        <v>2354</v>
      </c>
    </row>
    <row r="1725" spans="1:12" x14ac:dyDescent="0.25">
      <c r="A1725" s="468" t="s">
        <v>220</v>
      </c>
      <c r="B1725" s="468" t="s">
        <v>2351</v>
      </c>
      <c r="C1725" s="468" t="s">
        <v>4261</v>
      </c>
      <c r="D1725" s="468" t="s">
        <v>4262</v>
      </c>
      <c r="F1725" s="470">
        <v>1</v>
      </c>
      <c r="G1725" s="468">
        <v>90</v>
      </c>
      <c r="H1725" s="479">
        <v>90</v>
      </c>
      <c r="I1725" s="468" t="s">
        <v>9218</v>
      </c>
      <c r="J1725" s="468" t="s">
        <v>9219</v>
      </c>
      <c r="K1725" s="468" t="s">
        <v>9219</v>
      </c>
      <c r="L1725" s="468" t="s">
        <v>2354</v>
      </c>
    </row>
    <row r="1726" spans="1:12" x14ac:dyDescent="0.25">
      <c r="A1726" s="468" t="s">
        <v>220</v>
      </c>
      <c r="B1726" s="468" t="s">
        <v>2351</v>
      </c>
      <c r="C1726" s="468" t="s">
        <v>4265</v>
      </c>
      <c r="D1726" s="468" t="s">
        <v>4266</v>
      </c>
      <c r="F1726" s="470">
        <v>2</v>
      </c>
      <c r="G1726" s="468">
        <v>16.091349999999998</v>
      </c>
      <c r="H1726" s="479">
        <v>32.182699999999997</v>
      </c>
      <c r="I1726" s="468" t="s">
        <v>9218</v>
      </c>
      <c r="J1726" s="468" t="s">
        <v>9219</v>
      </c>
      <c r="K1726" s="468" t="s">
        <v>9219</v>
      </c>
      <c r="L1726" s="468" t="s">
        <v>2354</v>
      </c>
    </row>
    <row r="1727" spans="1:12" x14ac:dyDescent="0.25">
      <c r="A1727" s="468" t="s">
        <v>220</v>
      </c>
      <c r="B1727" s="468" t="s">
        <v>2351</v>
      </c>
      <c r="C1727" s="468" t="s">
        <v>4267</v>
      </c>
      <c r="D1727" s="468" t="s">
        <v>4268</v>
      </c>
      <c r="F1727" s="470">
        <v>11</v>
      </c>
      <c r="G1727" s="468">
        <v>30.50395</v>
      </c>
      <c r="H1727" s="479">
        <v>335.54345000000001</v>
      </c>
      <c r="I1727" s="468" t="s">
        <v>9218</v>
      </c>
      <c r="J1727" s="468" t="s">
        <v>9219</v>
      </c>
      <c r="K1727" s="468" t="s">
        <v>9219</v>
      </c>
      <c r="L1727" s="468" t="s">
        <v>2354</v>
      </c>
    </row>
    <row r="1728" spans="1:12" x14ac:dyDescent="0.25">
      <c r="A1728" s="468" t="s">
        <v>220</v>
      </c>
      <c r="B1728" s="468" t="s">
        <v>2351</v>
      </c>
      <c r="C1728" s="468" t="s">
        <v>4271</v>
      </c>
      <c r="D1728" s="468" t="s">
        <v>4272</v>
      </c>
      <c r="F1728" s="470">
        <v>9</v>
      </c>
      <c r="G1728" s="468">
        <v>7.5906599999999997</v>
      </c>
      <c r="H1728" s="479">
        <v>68.315939999999998</v>
      </c>
      <c r="I1728" s="468" t="s">
        <v>9218</v>
      </c>
      <c r="J1728" s="468" t="s">
        <v>9219</v>
      </c>
      <c r="K1728" s="468" t="s">
        <v>9219</v>
      </c>
      <c r="L1728" s="468" t="s">
        <v>2354</v>
      </c>
    </row>
    <row r="1729" spans="1:12" x14ac:dyDescent="0.25">
      <c r="A1729" s="468" t="s">
        <v>220</v>
      </c>
      <c r="B1729" s="468" t="s">
        <v>2351</v>
      </c>
      <c r="C1729" s="468" t="s">
        <v>4275</v>
      </c>
      <c r="D1729" s="468" t="s">
        <v>4276</v>
      </c>
      <c r="F1729" s="470">
        <v>3</v>
      </c>
      <c r="G1729" s="468">
        <v>85.5</v>
      </c>
      <c r="H1729" s="479">
        <v>256.5</v>
      </c>
      <c r="I1729" s="468" t="s">
        <v>9218</v>
      </c>
      <c r="J1729" s="468" t="s">
        <v>9219</v>
      </c>
      <c r="K1729" s="468" t="s">
        <v>9219</v>
      </c>
      <c r="L1729" s="468" t="s">
        <v>2354</v>
      </c>
    </row>
    <row r="1730" spans="1:12" x14ac:dyDescent="0.25">
      <c r="A1730" s="468" t="s">
        <v>220</v>
      </c>
      <c r="B1730" s="468" t="s">
        <v>2351</v>
      </c>
      <c r="C1730" s="468" t="s">
        <v>4277</v>
      </c>
      <c r="D1730" s="468" t="s">
        <v>4278</v>
      </c>
      <c r="F1730" s="470">
        <v>1</v>
      </c>
      <c r="G1730" s="468">
        <v>87.75</v>
      </c>
      <c r="H1730" s="479">
        <v>87.75</v>
      </c>
      <c r="I1730" s="468" t="s">
        <v>9218</v>
      </c>
      <c r="J1730" s="468" t="s">
        <v>9219</v>
      </c>
      <c r="K1730" s="468" t="s">
        <v>9219</v>
      </c>
      <c r="L1730" s="468" t="s">
        <v>2354</v>
      </c>
    </row>
    <row r="1731" spans="1:12" x14ac:dyDescent="0.25">
      <c r="A1731" s="468" t="s">
        <v>220</v>
      </c>
      <c r="B1731" s="468" t="s">
        <v>2351</v>
      </c>
      <c r="C1731" s="468" t="s">
        <v>4279</v>
      </c>
      <c r="D1731" s="468" t="s">
        <v>4280</v>
      </c>
      <c r="F1731" s="470">
        <v>3</v>
      </c>
      <c r="G1731" s="468">
        <v>114</v>
      </c>
      <c r="H1731" s="479">
        <v>342</v>
      </c>
      <c r="I1731" s="468" t="s">
        <v>9218</v>
      </c>
      <c r="J1731" s="468" t="s">
        <v>9219</v>
      </c>
      <c r="K1731" s="468" t="s">
        <v>9219</v>
      </c>
      <c r="L1731" s="468" t="s">
        <v>2354</v>
      </c>
    </row>
    <row r="1732" spans="1:12" x14ac:dyDescent="0.25">
      <c r="A1732" s="468" t="s">
        <v>220</v>
      </c>
      <c r="B1732" s="468" t="s">
        <v>2351</v>
      </c>
      <c r="C1732" s="468" t="s">
        <v>5406</v>
      </c>
      <c r="D1732" s="468" t="s">
        <v>5407</v>
      </c>
      <c r="F1732" s="470">
        <v>2</v>
      </c>
      <c r="G1732" s="468">
        <v>30.321000000000002</v>
      </c>
      <c r="H1732" s="479">
        <v>60.642000000000003</v>
      </c>
      <c r="I1732" s="468" t="s">
        <v>9218</v>
      </c>
      <c r="J1732" s="468" t="s">
        <v>9219</v>
      </c>
      <c r="K1732" s="468" t="s">
        <v>9219</v>
      </c>
      <c r="L1732" s="468" t="s">
        <v>2354</v>
      </c>
    </row>
    <row r="1733" spans="1:12" x14ac:dyDescent="0.25">
      <c r="A1733" s="468" t="s">
        <v>220</v>
      </c>
      <c r="B1733" s="468" t="s">
        <v>2351</v>
      </c>
      <c r="C1733" s="468" t="s">
        <v>4281</v>
      </c>
      <c r="D1733" s="468" t="s">
        <v>4282</v>
      </c>
      <c r="F1733" s="470">
        <v>3</v>
      </c>
      <c r="G1733" s="468">
        <v>129</v>
      </c>
      <c r="H1733" s="479">
        <v>387</v>
      </c>
      <c r="I1733" s="468" t="s">
        <v>9218</v>
      </c>
      <c r="J1733" s="468" t="s">
        <v>9219</v>
      </c>
      <c r="K1733" s="468" t="s">
        <v>9219</v>
      </c>
      <c r="L1733" s="468" t="s">
        <v>2354</v>
      </c>
    </row>
    <row r="1734" spans="1:12" x14ac:dyDescent="0.25">
      <c r="A1734" s="468" t="s">
        <v>220</v>
      </c>
      <c r="B1734" s="468" t="s">
        <v>2351</v>
      </c>
      <c r="C1734" s="468" t="s">
        <v>4285</v>
      </c>
      <c r="D1734" s="468" t="s">
        <v>4286</v>
      </c>
      <c r="F1734" s="470">
        <v>1</v>
      </c>
      <c r="G1734" s="468">
        <v>77.400000000000006</v>
      </c>
      <c r="H1734" s="479">
        <v>77.400000000000006</v>
      </c>
      <c r="I1734" s="468" t="s">
        <v>9218</v>
      </c>
      <c r="J1734" s="468" t="s">
        <v>9219</v>
      </c>
      <c r="K1734" s="468" t="s">
        <v>9219</v>
      </c>
      <c r="L1734" s="468" t="s">
        <v>2354</v>
      </c>
    </row>
    <row r="1735" spans="1:12" x14ac:dyDescent="0.25">
      <c r="A1735" s="468" t="s">
        <v>220</v>
      </c>
      <c r="B1735" s="468" t="s">
        <v>2351</v>
      </c>
      <c r="C1735" s="468" t="s">
        <v>4287</v>
      </c>
      <c r="D1735" s="468" t="s">
        <v>4288</v>
      </c>
      <c r="F1735" s="470">
        <v>10</v>
      </c>
      <c r="G1735" s="468">
        <v>81.575175000000002</v>
      </c>
      <c r="H1735" s="479">
        <v>815.75175000000002</v>
      </c>
      <c r="I1735" s="468" t="s">
        <v>9218</v>
      </c>
      <c r="J1735" s="468" t="s">
        <v>9219</v>
      </c>
      <c r="K1735" s="468" t="s">
        <v>9219</v>
      </c>
      <c r="L1735" s="468" t="s">
        <v>2354</v>
      </c>
    </row>
    <row r="1736" spans="1:12" x14ac:dyDescent="0.25">
      <c r="A1736" s="468" t="s">
        <v>220</v>
      </c>
      <c r="B1736" s="468" t="s">
        <v>2351</v>
      </c>
      <c r="C1736" s="468" t="s">
        <v>4289</v>
      </c>
      <c r="D1736" s="468" t="s">
        <v>4290</v>
      </c>
      <c r="F1736" s="470">
        <v>4</v>
      </c>
      <c r="G1736" s="468">
        <v>130.5</v>
      </c>
      <c r="H1736" s="479">
        <v>522</v>
      </c>
      <c r="I1736" s="468" t="s">
        <v>9218</v>
      </c>
      <c r="J1736" s="468" t="s">
        <v>9219</v>
      </c>
      <c r="K1736" s="468" t="s">
        <v>9219</v>
      </c>
      <c r="L1736" s="468" t="s">
        <v>2354</v>
      </c>
    </row>
    <row r="1737" spans="1:12" x14ac:dyDescent="0.25">
      <c r="A1737" s="468" t="s">
        <v>220</v>
      </c>
      <c r="B1737" s="468" t="s">
        <v>2351</v>
      </c>
      <c r="C1737" s="468" t="s">
        <v>4291</v>
      </c>
      <c r="D1737" s="468" t="s">
        <v>4292</v>
      </c>
      <c r="F1737" s="470">
        <v>5</v>
      </c>
      <c r="G1737" s="468">
        <v>127.7907</v>
      </c>
      <c r="H1737" s="479">
        <v>638.95349999999996</v>
      </c>
      <c r="I1737" s="468" t="s">
        <v>9218</v>
      </c>
      <c r="J1737" s="468" t="s">
        <v>9219</v>
      </c>
      <c r="K1737" s="468" t="s">
        <v>9219</v>
      </c>
      <c r="L1737" s="468" t="s">
        <v>2354</v>
      </c>
    </row>
    <row r="1738" spans="1:12" x14ac:dyDescent="0.25">
      <c r="A1738" s="468" t="s">
        <v>220</v>
      </c>
      <c r="B1738" s="468" t="s">
        <v>2351</v>
      </c>
      <c r="C1738" s="468" t="s">
        <v>4295</v>
      </c>
      <c r="D1738" s="468" t="s">
        <v>4296</v>
      </c>
      <c r="F1738" s="470">
        <v>6</v>
      </c>
      <c r="G1738" s="468">
        <v>83.861000000000004</v>
      </c>
      <c r="H1738" s="479">
        <v>503.16600000000005</v>
      </c>
      <c r="I1738" s="468" t="s">
        <v>9218</v>
      </c>
      <c r="J1738" s="468" t="s">
        <v>9219</v>
      </c>
      <c r="K1738" s="468" t="s">
        <v>9219</v>
      </c>
      <c r="L1738" s="468" t="s">
        <v>2354</v>
      </c>
    </row>
    <row r="1739" spans="1:12" x14ac:dyDescent="0.25">
      <c r="A1739" s="468" t="s">
        <v>220</v>
      </c>
      <c r="B1739" s="468" t="s">
        <v>2351</v>
      </c>
      <c r="C1739" s="468" t="s">
        <v>4297</v>
      </c>
      <c r="D1739" s="468" t="s">
        <v>4298</v>
      </c>
      <c r="F1739" s="470">
        <v>4</v>
      </c>
      <c r="G1739" s="468">
        <v>113.22</v>
      </c>
      <c r="H1739" s="479">
        <v>452.88</v>
      </c>
      <c r="I1739" s="468" t="s">
        <v>9218</v>
      </c>
      <c r="J1739" s="468" t="s">
        <v>9219</v>
      </c>
      <c r="K1739" s="468" t="s">
        <v>9219</v>
      </c>
      <c r="L1739" s="468" t="s">
        <v>2354</v>
      </c>
    </row>
    <row r="1740" spans="1:12" x14ac:dyDescent="0.25">
      <c r="A1740" s="468" t="s">
        <v>220</v>
      </c>
      <c r="B1740" s="468" t="s">
        <v>2351</v>
      </c>
      <c r="C1740" s="468" t="s">
        <v>4299</v>
      </c>
      <c r="D1740" s="468" t="s">
        <v>4300</v>
      </c>
      <c r="F1740" s="470">
        <v>7</v>
      </c>
      <c r="G1740" s="468">
        <v>128.89876666666666</v>
      </c>
      <c r="H1740" s="479">
        <v>902.29136666666659</v>
      </c>
      <c r="I1740" s="468" t="s">
        <v>9218</v>
      </c>
      <c r="J1740" s="468" t="s">
        <v>9219</v>
      </c>
      <c r="K1740" s="468" t="s">
        <v>9219</v>
      </c>
      <c r="L1740" s="468" t="s">
        <v>2354</v>
      </c>
    </row>
    <row r="1741" spans="1:12" x14ac:dyDescent="0.25">
      <c r="A1741" s="468" t="s">
        <v>220</v>
      </c>
      <c r="B1741" s="468" t="s">
        <v>2351</v>
      </c>
      <c r="C1741" s="468" t="s">
        <v>4301</v>
      </c>
      <c r="D1741" s="468" t="s">
        <v>4302</v>
      </c>
      <c r="F1741" s="470">
        <v>3</v>
      </c>
      <c r="G1741" s="468">
        <v>130.36099999999999</v>
      </c>
      <c r="H1741" s="479">
        <v>391.08299999999997</v>
      </c>
      <c r="I1741" s="468" t="s">
        <v>9218</v>
      </c>
      <c r="J1741" s="468" t="s">
        <v>9219</v>
      </c>
      <c r="K1741" s="468" t="s">
        <v>9219</v>
      </c>
      <c r="L1741" s="468" t="s">
        <v>2354</v>
      </c>
    </row>
    <row r="1742" spans="1:12" x14ac:dyDescent="0.25">
      <c r="A1742" s="468" t="s">
        <v>220</v>
      </c>
      <c r="B1742" s="468" t="s">
        <v>2351</v>
      </c>
      <c r="C1742" s="468" t="s">
        <v>4303</v>
      </c>
      <c r="D1742" s="468" t="s">
        <v>4304</v>
      </c>
      <c r="F1742" s="470">
        <v>6</v>
      </c>
      <c r="G1742" s="468">
        <v>85.5</v>
      </c>
      <c r="H1742" s="479">
        <v>513</v>
      </c>
      <c r="I1742" s="468" t="s">
        <v>9218</v>
      </c>
      <c r="J1742" s="468" t="s">
        <v>9219</v>
      </c>
      <c r="K1742" s="468" t="s">
        <v>9219</v>
      </c>
      <c r="L1742" s="468" t="s">
        <v>2354</v>
      </c>
    </row>
    <row r="1743" spans="1:12" x14ac:dyDescent="0.25">
      <c r="A1743" s="468" t="s">
        <v>220</v>
      </c>
      <c r="B1743" s="468" t="s">
        <v>2351</v>
      </c>
      <c r="C1743" s="468" t="s">
        <v>4305</v>
      </c>
      <c r="D1743" s="468" t="s">
        <v>4306</v>
      </c>
      <c r="F1743" s="470">
        <v>2</v>
      </c>
      <c r="G1743" s="468">
        <v>52.7624</v>
      </c>
      <c r="H1743" s="479">
        <v>105.5248</v>
      </c>
      <c r="I1743" s="468" t="s">
        <v>9218</v>
      </c>
      <c r="J1743" s="468" t="s">
        <v>9219</v>
      </c>
      <c r="K1743" s="468" t="s">
        <v>9219</v>
      </c>
      <c r="L1743" s="468" t="s">
        <v>2354</v>
      </c>
    </row>
    <row r="1744" spans="1:12" x14ac:dyDescent="0.25">
      <c r="A1744" s="468" t="s">
        <v>220</v>
      </c>
      <c r="B1744" s="468" t="s">
        <v>2351</v>
      </c>
      <c r="C1744" s="468" t="s">
        <v>4307</v>
      </c>
      <c r="D1744" s="468" t="s">
        <v>4308</v>
      </c>
      <c r="F1744" s="470">
        <v>2</v>
      </c>
      <c r="G1744" s="468">
        <v>94.5</v>
      </c>
      <c r="H1744" s="479">
        <v>189</v>
      </c>
      <c r="I1744" s="468" t="s">
        <v>9218</v>
      </c>
      <c r="J1744" s="468" t="s">
        <v>9219</v>
      </c>
      <c r="K1744" s="468" t="s">
        <v>9219</v>
      </c>
      <c r="L1744" s="468" t="s">
        <v>2354</v>
      </c>
    </row>
    <row r="1745" spans="1:12" x14ac:dyDescent="0.25">
      <c r="A1745" s="468" t="s">
        <v>220</v>
      </c>
      <c r="B1745" s="468" t="s">
        <v>2351</v>
      </c>
      <c r="C1745" s="468" t="s">
        <v>4309</v>
      </c>
      <c r="D1745" s="468" t="s">
        <v>4310</v>
      </c>
      <c r="F1745" s="470">
        <v>10</v>
      </c>
      <c r="G1745" s="468">
        <v>202.61458000000002</v>
      </c>
      <c r="H1745" s="479">
        <v>2026.1458000000002</v>
      </c>
      <c r="I1745" s="468" t="s">
        <v>9218</v>
      </c>
      <c r="J1745" s="468" t="s">
        <v>9219</v>
      </c>
      <c r="K1745" s="468" t="s">
        <v>9219</v>
      </c>
      <c r="L1745" s="468" t="s">
        <v>2354</v>
      </c>
    </row>
    <row r="1746" spans="1:12" x14ac:dyDescent="0.25">
      <c r="A1746" s="468" t="s">
        <v>220</v>
      </c>
      <c r="B1746" s="468" t="s">
        <v>2351</v>
      </c>
      <c r="C1746" s="468" t="s">
        <v>4311</v>
      </c>
      <c r="D1746" s="468" t="s">
        <v>4312</v>
      </c>
      <c r="F1746" s="470">
        <v>8</v>
      </c>
      <c r="H1746" s="479">
        <v>0</v>
      </c>
      <c r="I1746" s="468" t="s">
        <v>9218</v>
      </c>
      <c r="J1746" s="468" t="s">
        <v>9219</v>
      </c>
      <c r="K1746" s="468" t="s">
        <v>9219</v>
      </c>
      <c r="L1746" s="468" t="s">
        <v>2354</v>
      </c>
    </row>
    <row r="1747" spans="1:12" x14ac:dyDescent="0.25">
      <c r="A1747" s="468" t="s">
        <v>220</v>
      </c>
      <c r="B1747" s="468" t="s">
        <v>2351</v>
      </c>
      <c r="C1747" s="468" t="s">
        <v>4313</v>
      </c>
      <c r="D1747" s="468" t="s">
        <v>4314</v>
      </c>
      <c r="F1747" s="470">
        <v>27</v>
      </c>
      <c r="G1747" s="468">
        <v>193.09365</v>
      </c>
      <c r="H1747" s="479">
        <v>5213.52855</v>
      </c>
      <c r="I1747" s="468" t="s">
        <v>9218</v>
      </c>
      <c r="J1747" s="468" t="s">
        <v>9219</v>
      </c>
      <c r="K1747" s="468" t="s">
        <v>9219</v>
      </c>
      <c r="L1747" s="468" t="s">
        <v>2354</v>
      </c>
    </row>
    <row r="1748" spans="1:12" x14ac:dyDescent="0.25">
      <c r="A1748" s="468" t="s">
        <v>220</v>
      </c>
      <c r="B1748" s="468" t="s">
        <v>2351</v>
      </c>
      <c r="C1748" s="468" t="s">
        <v>4315</v>
      </c>
      <c r="D1748" s="468" t="s">
        <v>4316</v>
      </c>
      <c r="F1748" s="470">
        <v>14</v>
      </c>
      <c r="G1748" s="468">
        <v>78.825450000000004</v>
      </c>
      <c r="H1748" s="479">
        <v>1103.5563</v>
      </c>
      <c r="I1748" s="468" t="s">
        <v>9218</v>
      </c>
      <c r="J1748" s="468" t="s">
        <v>9219</v>
      </c>
      <c r="K1748" s="468" t="s">
        <v>9219</v>
      </c>
      <c r="L1748" s="468" t="s">
        <v>2354</v>
      </c>
    </row>
    <row r="1749" spans="1:12" x14ac:dyDescent="0.25">
      <c r="A1749" s="468" t="s">
        <v>220</v>
      </c>
      <c r="B1749" s="468" t="s">
        <v>2351</v>
      </c>
      <c r="C1749" s="468" t="s">
        <v>4317</v>
      </c>
      <c r="D1749" s="468" t="s">
        <v>4318</v>
      </c>
      <c r="F1749" s="470">
        <v>20</v>
      </c>
      <c r="G1749" s="468">
        <v>195.41329999999999</v>
      </c>
      <c r="H1749" s="479">
        <v>3908.2659999999996</v>
      </c>
      <c r="I1749" s="468" t="s">
        <v>9218</v>
      </c>
      <c r="J1749" s="468" t="s">
        <v>9219</v>
      </c>
      <c r="K1749" s="468" t="s">
        <v>9219</v>
      </c>
      <c r="L1749" s="468" t="s">
        <v>2354</v>
      </c>
    </row>
    <row r="1750" spans="1:12" x14ac:dyDescent="0.25">
      <c r="A1750" s="468" t="s">
        <v>220</v>
      </c>
      <c r="B1750" s="468" t="s">
        <v>2351</v>
      </c>
      <c r="C1750" s="468" t="s">
        <v>4323</v>
      </c>
      <c r="D1750" s="468" t="s">
        <v>9328</v>
      </c>
      <c r="F1750" s="470">
        <v>5</v>
      </c>
      <c r="G1750" s="468">
        <v>75.246250000000003</v>
      </c>
      <c r="H1750" s="479">
        <v>376.23125000000005</v>
      </c>
      <c r="I1750" s="468" t="s">
        <v>9218</v>
      </c>
      <c r="J1750" s="468" t="s">
        <v>9219</v>
      </c>
      <c r="K1750" s="468" t="s">
        <v>9219</v>
      </c>
      <c r="L1750" s="468" t="s">
        <v>2354</v>
      </c>
    </row>
    <row r="1751" spans="1:12" x14ac:dyDescent="0.25">
      <c r="A1751" s="468" t="s">
        <v>220</v>
      </c>
      <c r="B1751" s="468" t="s">
        <v>2351</v>
      </c>
      <c r="C1751" s="468" t="s">
        <v>9329</v>
      </c>
      <c r="D1751" s="468" t="s">
        <v>9330</v>
      </c>
      <c r="F1751" s="470">
        <v>2</v>
      </c>
      <c r="H1751" s="479">
        <v>0</v>
      </c>
      <c r="I1751" s="468" t="s">
        <v>9218</v>
      </c>
      <c r="J1751" s="468" t="s">
        <v>9219</v>
      </c>
      <c r="K1751" s="468" t="s">
        <v>9219</v>
      </c>
      <c r="L1751" s="468" t="s">
        <v>2354</v>
      </c>
    </row>
    <row r="1752" spans="1:12" x14ac:dyDescent="0.25">
      <c r="A1752" s="468" t="s">
        <v>220</v>
      </c>
      <c r="B1752" s="468" t="s">
        <v>2351</v>
      </c>
      <c r="C1752" s="468" t="s">
        <v>4319</v>
      </c>
      <c r="D1752" s="468" t="s">
        <v>4320</v>
      </c>
      <c r="F1752" s="470">
        <v>4</v>
      </c>
      <c r="G1752" s="468">
        <v>241.45999</v>
      </c>
      <c r="H1752" s="479">
        <v>965.83996000000002</v>
      </c>
      <c r="I1752" s="468" t="s">
        <v>9218</v>
      </c>
      <c r="J1752" s="468" t="s">
        <v>9219</v>
      </c>
      <c r="K1752" s="468" t="s">
        <v>9219</v>
      </c>
      <c r="L1752" s="468" t="s">
        <v>2354</v>
      </c>
    </row>
    <row r="1753" spans="1:12" x14ac:dyDescent="0.25">
      <c r="A1753" s="468" t="s">
        <v>220</v>
      </c>
      <c r="B1753" s="468" t="s">
        <v>2351</v>
      </c>
      <c r="C1753" s="468" t="s">
        <v>4321</v>
      </c>
      <c r="D1753" s="468" t="s">
        <v>4322</v>
      </c>
      <c r="F1753" s="470">
        <v>9</v>
      </c>
      <c r="G1753" s="468">
        <v>95.04</v>
      </c>
      <c r="H1753" s="479">
        <v>855.36</v>
      </c>
      <c r="I1753" s="468" t="s">
        <v>9218</v>
      </c>
      <c r="J1753" s="468" t="s">
        <v>9219</v>
      </c>
      <c r="K1753" s="468" t="s">
        <v>9219</v>
      </c>
      <c r="L1753" s="468" t="s">
        <v>2354</v>
      </c>
    </row>
    <row r="1754" spans="1:12" x14ac:dyDescent="0.25">
      <c r="A1754" s="468" t="s">
        <v>220</v>
      </c>
      <c r="B1754" s="468" t="s">
        <v>2351</v>
      </c>
      <c r="C1754" s="468" t="s">
        <v>9331</v>
      </c>
      <c r="D1754" s="468" t="s">
        <v>9332</v>
      </c>
      <c r="F1754" s="470">
        <v>2</v>
      </c>
      <c r="G1754" s="468">
        <v>120</v>
      </c>
      <c r="H1754" s="479">
        <v>240</v>
      </c>
      <c r="I1754" s="468" t="s">
        <v>9218</v>
      </c>
      <c r="J1754" s="468" t="s">
        <v>9219</v>
      </c>
      <c r="K1754" s="468" t="s">
        <v>9219</v>
      </c>
      <c r="L1754" s="468" t="s">
        <v>2354</v>
      </c>
    </row>
    <row r="1755" spans="1:12" x14ac:dyDescent="0.25">
      <c r="A1755" s="468" t="s">
        <v>220</v>
      </c>
      <c r="B1755" s="468" t="s">
        <v>2351</v>
      </c>
      <c r="C1755" s="468" t="s">
        <v>4323</v>
      </c>
      <c r="D1755" s="468" t="s">
        <v>4324</v>
      </c>
      <c r="F1755" s="470">
        <v>5</v>
      </c>
      <c r="G1755" s="468">
        <v>75.246250000000003</v>
      </c>
      <c r="H1755" s="479">
        <v>376.23125000000005</v>
      </c>
      <c r="I1755" s="468" t="s">
        <v>9218</v>
      </c>
      <c r="J1755" s="468" t="s">
        <v>9219</v>
      </c>
      <c r="K1755" s="468" t="s">
        <v>9219</v>
      </c>
      <c r="L1755" s="468" t="s">
        <v>2354</v>
      </c>
    </row>
    <row r="1756" spans="1:12" x14ac:dyDescent="0.25">
      <c r="A1756" s="468" t="s">
        <v>220</v>
      </c>
      <c r="B1756" s="468" t="s">
        <v>2351</v>
      </c>
      <c r="C1756" s="468" t="s">
        <v>4325</v>
      </c>
      <c r="D1756" s="468" t="s">
        <v>4326</v>
      </c>
      <c r="F1756" s="470">
        <v>25</v>
      </c>
      <c r="G1756" s="468">
        <v>122.26655</v>
      </c>
      <c r="H1756" s="479">
        <v>3056.6637499999997</v>
      </c>
      <c r="I1756" s="468" t="s">
        <v>9218</v>
      </c>
      <c r="J1756" s="468" t="s">
        <v>9219</v>
      </c>
      <c r="K1756" s="468" t="s">
        <v>9219</v>
      </c>
      <c r="L1756" s="468" t="s">
        <v>2354</v>
      </c>
    </row>
    <row r="1757" spans="1:12" x14ac:dyDescent="0.25">
      <c r="A1757" s="468" t="s">
        <v>220</v>
      </c>
      <c r="B1757" s="468" t="s">
        <v>2351</v>
      </c>
      <c r="C1757" s="468" t="s">
        <v>4327</v>
      </c>
      <c r="D1757" s="468" t="s">
        <v>9333</v>
      </c>
      <c r="F1757" s="470">
        <v>2</v>
      </c>
      <c r="G1757" s="468">
        <v>113.22</v>
      </c>
      <c r="H1757" s="479">
        <v>226.44</v>
      </c>
      <c r="I1757" s="468" t="s">
        <v>9218</v>
      </c>
      <c r="J1757" s="468" t="s">
        <v>9219</v>
      </c>
      <c r="K1757" s="468" t="s">
        <v>9219</v>
      </c>
      <c r="L1757" s="468" t="s">
        <v>2354</v>
      </c>
    </row>
    <row r="1758" spans="1:12" x14ac:dyDescent="0.25">
      <c r="A1758" s="468" t="s">
        <v>220</v>
      </c>
      <c r="B1758" s="468" t="s">
        <v>2351</v>
      </c>
      <c r="C1758" s="468" t="s">
        <v>4329</v>
      </c>
      <c r="D1758" s="468" t="s">
        <v>4330</v>
      </c>
      <c r="F1758" s="470">
        <v>2</v>
      </c>
      <c r="G1758" s="468">
        <v>75.246250000000003</v>
      </c>
      <c r="H1758" s="479">
        <v>150.49250000000001</v>
      </c>
      <c r="I1758" s="468" t="s">
        <v>9218</v>
      </c>
      <c r="J1758" s="468" t="s">
        <v>9219</v>
      </c>
      <c r="K1758" s="468" t="s">
        <v>9219</v>
      </c>
      <c r="L1758" s="468" t="s">
        <v>2354</v>
      </c>
    </row>
    <row r="1759" spans="1:12" x14ac:dyDescent="0.25">
      <c r="A1759" s="468" t="s">
        <v>220</v>
      </c>
      <c r="B1759" s="468" t="s">
        <v>2351</v>
      </c>
      <c r="C1759" s="468" t="s">
        <v>4331</v>
      </c>
      <c r="D1759" s="468" t="s">
        <v>4332</v>
      </c>
      <c r="F1759" s="470">
        <v>10</v>
      </c>
      <c r="G1759" s="468">
        <v>140.11199999999999</v>
      </c>
      <c r="H1759" s="479">
        <v>1401.12</v>
      </c>
      <c r="I1759" s="468" t="s">
        <v>9218</v>
      </c>
      <c r="J1759" s="468" t="s">
        <v>9219</v>
      </c>
      <c r="K1759" s="468" t="s">
        <v>9219</v>
      </c>
      <c r="L1759" s="468" t="s">
        <v>2354</v>
      </c>
    </row>
    <row r="1760" spans="1:12" x14ac:dyDescent="0.25">
      <c r="A1760" s="468" t="s">
        <v>220</v>
      </c>
      <c r="B1760" s="468" t="s">
        <v>2351</v>
      </c>
      <c r="C1760" s="468" t="s">
        <v>9334</v>
      </c>
      <c r="D1760" s="468" t="s">
        <v>9335</v>
      </c>
      <c r="F1760" s="470">
        <v>2</v>
      </c>
      <c r="G1760" s="468">
        <v>134.53200000000001</v>
      </c>
      <c r="H1760" s="479">
        <v>269.06400000000002</v>
      </c>
      <c r="I1760" s="468" t="s">
        <v>9218</v>
      </c>
      <c r="J1760" s="468" t="s">
        <v>9219</v>
      </c>
      <c r="K1760" s="468" t="s">
        <v>9219</v>
      </c>
      <c r="L1760" s="468" t="s">
        <v>2354</v>
      </c>
    </row>
    <row r="1761" spans="1:12" x14ac:dyDescent="0.25">
      <c r="A1761" s="468" t="s">
        <v>220</v>
      </c>
      <c r="B1761" s="468" t="s">
        <v>2351</v>
      </c>
      <c r="C1761" s="468" t="s">
        <v>4333</v>
      </c>
      <c r="D1761" s="468" t="s">
        <v>4334</v>
      </c>
      <c r="F1761" s="470">
        <v>4</v>
      </c>
      <c r="G1761" s="468">
        <v>489.745</v>
      </c>
      <c r="H1761" s="479">
        <v>1958.98</v>
      </c>
      <c r="I1761" s="468" t="s">
        <v>9218</v>
      </c>
      <c r="J1761" s="468" t="s">
        <v>9219</v>
      </c>
      <c r="K1761" s="468" t="s">
        <v>9219</v>
      </c>
      <c r="L1761" s="468" t="s">
        <v>2354</v>
      </c>
    </row>
    <row r="1762" spans="1:12" x14ac:dyDescent="0.25">
      <c r="A1762" s="468" t="s">
        <v>220</v>
      </c>
      <c r="B1762" s="468" t="s">
        <v>2351</v>
      </c>
      <c r="C1762" s="468" t="s">
        <v>9336</v>
      </c>
      <c r="D1762" s="468" t="s">
        <v>9337</v>
      </c>
      <c r="F1762" s="470">
        <v>31</v>
      </c>
      <c r="G1762" s="468">
        <v>223.05799999999999</v>
      </c>
      <c r="H1762" s="479">
        <v>6914.7979999999998</v>
      </c>
      <c r="I1762" s="468" t="s">
        <v>9218</v>
      </c>
      <c r="J1762" s="468" t="s">
        <v>9219</v>
      </c>
      <c r="K1762" s="468" t="s">
        <v>9219</v>
      </c>
      <c r="L1762" s="468" t="s">
        <v>2354</v>
      </c>
    </row>
    <row r="1763" spans="1:12" x14ac:dyDescent="0.25">
      <c r="A1763" s="468" t="s">
        <v>220</v>
      </c>
      <c r="B1763" s="468" t="s">
        <v>2351</v>
      </c>
      <c r="C1763" s="468" t="s">
        <v>4335</v>
      </c>
      <c r="D1763" s="468" t="s">
        <v>4336</v>
      </c>
      <c r="F1763" s="470">
        <v>15</v>
      </c>
      <c r="G1763" s="468">
        <v>107.1</v>
      </c>
      <c r="H1763" s="479">
        <v>1606.5</v>
      </c>
      <c r="I1763" s="468" t="s">
        <v>9218</v>
      </c>
      <c r="J1763" s="468" t="s">
        <v>9219</v>
      </c>
      <c r="K1763" s="468" t="s">
        <v>9219</v>
      </c>
      <c r="L1763" s="468" t="s">
        <v>2354</v>
      </c>
    </row>
    <row r="1764" spans="1:12" x14ac:dyDescent="0.25">
      <c r="A1764" s="468" t="s">
        <v>220</v>
      </c>
      <c r="B1764" s="468" t="s">
        <v>2351</v>
      </c>
      <c r="C1764" s="468" t="s">
        <v>5408</v>
      </c>
      <c r="D1764" s="468" t="s">
        <v>5409</v>
      </c>
      <c r="F1764" s="470">
        <v>3</v>
      </c>
      <c r="G1764" s="468">
        <v>63.63</v>
      </c>
      <c r="H1764" s="479">
        <v>190.89000000000001</v>
      </c>
      <c r="I1764" s="468" t="s">
        <v>9218</v>
      </c>
      <c r="J1764" s="468" t="s">
        <v>9219</v>
      </c>
      <c r="K1764" s="468" t="s">
        <v>9219</v>
      </c>
      <c r="L1764" s="468" t="s">
        <v>2354</v>
      </c>
    </row>
    <row r="1765" spans="1:12" x14ac:dyDescent="0.25">
      <c r="A1765" s="468" t="s">
        <v>220</v>
      </c>
      <c r="B1765" s="468" t="s">
        <v>2351</v>
      </c>
      <c r="C1765" s="468" t="s">
        <v>4339</v>
      </c>
      <c r="D1765" s="468" t="s">
        <v>4340</v>
      </c>
      <c r="F1765" s="470">
        <v>8</v>
      </c>
      <c r="G1765" s="468">
        <v>22.395800000000001</v>
      </c>
      <c r="H1765" s="479">
        <v>179.16640000000001</v>
      </c>
      <c r="I1765" s="468" t="s">
        <v>9218</v>
      </c>
      <c r="J1765" s="468" t="s">
        <v>9219</v>
      </c>
      <c r="K1765" s="468" t="s">
        <v>9219</v>
      </c>
      <c r="L1765" s="468" t="s">
        <v>2354</v>
      </c>
    </row>
    <row r="1766" spans="1:12" x14ac:dyDescent="0.25">
      <c r="A1766" s="468" t="s">
        <v>220</v>
      </c>
      <c r="B1766" s="468" t="s">
        <v>2351</v>
      </c>
      <c r="C1766" s="468" t="s">
        <v>4341</v>
      </c>
      <c r="D1766" s="468" t="s">
        <v>4342</v>
      </c>
      <c r="F1766" s="470">
        <v>7</v>
      </c>
      <c r="G1766" s="468">
        <v>17.2958</v>
      </c>
      <c r="H1766" s="479">
        <v>121.0706</v>
      </c>
      <c r="I1766" s="468" t="s">
        <v>9218</v>
      </c>
      <c r="J1766" s="468" t="s">
        <v>9219</v>
      </c>
      <c r="K1766" s="468" t="s">
        <v>9219</v>
      </c>
      <c r="L1766" s="468" t="s">
        <v>2354</v>
      </c>
    </row>
    <row r="1767" spans="1:12" x14ac:dyDescent="0.25">
      <c r="A1767" s="468" t="s">
        <v>220</v>
      </c>
      <c r="B1767" s="468" t="s">
        <v>2351</v>
      </c>
      <c r="C1767" s="468" t="s">
        <v>4343</v>
      </c>
      <c r="D1767" s="468" t="s">
        <v>4344</v>
      </c>
      <c r="F1767" s="470">
        <v>20</v>
      </c>
      <c r="G1767" s="468">
        <v>1.425</v>
      </c>
      <c r="H1767" s="479">
        <v>28.5</v>
      </c>
      <c r="I1767" s="468" t="s">
        <v>9218</v>
      </c>
      <c r="J1767" s="468" t="s">
        <v>9219</v>
      </c>
      <c r="K1767" s="468" t="s">
        <v>9219</v>
      </c>
      <c r="L1767" s="468" t="s">
        <v>2354</v>
      </c>
    </row>
    <row r="1768" spans="1:12" x14ac:dyDescent="0.25">
      <c r="A1768" s="468" t="s">
        <v>220</v>
      </c>
      <c r="B1768" s="468" t="s">
        <v>2351</v>
      </c>
      <c r="C1768" s="468" t="s">
        <v>9338</v>
      </c>
      <c r="D1768" s="468" t="s">
        <v>9339</v>
      </c>
      <c r="F1768" s="470">
        <v>1</v>
      </c>
      <c r="H1768" s="479">
        <v>0</v>
      </c>
      <c r="I1768" s="468" t="s">
        <v>9218</v>
      </c>
      <c r="J1768" s="468" t="s">
        <v>9219</v>
      </c>
      <c r="K1768" s="468" t="s">
        <v>9219</v>
      </c>
      <c r="L1768" s="468" t="s">
        <v>2354</v>
      </c>
    </row>
    <row r="1769" spans="1:12" x14ac:dyDescent="0.25">
      <c r="A1769" s="468" t="s">
        <v>220</v>
      </c>
      <c r="B1769" s="468" t="s">
        <v>2351</v>
      </c>
      <c r="C1769" s="468" t="s">
        <v>4345</v>
      </c>
      <c r="D1769" s="468" t="s">
        <v>4346</v>
      </c>
      <c r="F1769" s="470">
        <v>1</v>
      </c>
      <c r="G1769" s="468">
        <v>381.78</v>
      </c>
      <c r="H1769" s="479">
        <v>381.78</v>
      </c>
      <c r="I1769" s="468" t="s">
        <v>9218</v>
      </c>
      <c r="J1769" s="468" t="s">
        <v>9219</v>
      </c>
      <c r="K1769" s="468" t="s">
        <v>9219</v>
      </c>
      <c r="L1769" s="468" t="s">
        <v>2354</v>
      </c>
    </row>
    <row r="1770" spans="1:12" x14ac:dyDescent="0.25">
      <c r="A1770" s="468" t="s">
        <v>220</v>
      </c>
      <c r="B1770" s="468" t="s">
        <v>2351</v>
      </c>
      <c r="C1770" s="468" t="s">
        <v>4347</v>
      </c>
      <c r="D1770" s="468" t="s">
        <v>4348</v>
      </c>
      <c r="F1770" s="470">
        <v>1</v>
      </c>
      <c r="G1770" s="468">
        <v>1510.4934000000001</v>
      </c>
      <c r="H1770" s="479">
        <v>1510.4934000000001</v>
      </c>
      <c r="I1770" s="468" t="s">
        <v>9218</v>
      </c>
      <c r="J1770" s="468" t="s">
        <v>9219</v>
      </c>
      <c r="K1770" s="468" t="s">
        <v>9219</v>
      </c>
      <c r="L1770" s="468" t="s">
        <v>2354</v>
      </c>
    </row>
    <row r="1771" spans="1:12" x14ac:dyDescent="0.25">
      <c r="A1771" s="468" t="s">
        <v>220</v>
      </c>
      <c r="B1771" s="468" t="s">
        <v>2351</v>
      </c>
      <c r="C1771" s="468" t="s">
        <v>4349</v>
      </c>
      <c r="D1771" s="468" t="s">
        <v>4350</v>
      </c>
      <c r="F1771" s="470">
        <v>10</v>
      </c>
      <c r="G1771" s="468">
        <v>3.8250000000000002</v>
      </c>
      <c r="H1771" s="479">
        <v>38.25</v>
      </c>
      <c r="I1771" s="468" t="s">
        <v>9218</v>
      </c>
      <c r="J1771" s="468" t="s">
        <v>9219</v>
      </c>
      <c r="K1771" s="468" t="s">
        <v>9219</v>
      </c>
      <c r="L1771" s="468" t="s">
        <v>2354</v>
      </c>
    </row>
    <row r="1772" spans="1:12" x14ac:dyDescent="0.25">
      <c r="A1772" s="468" t="s">
        <v>220</v>
      </c>
      <c r="B1772" s="468" t="s">
        <v>2351</v>
      </c>
      <c r="C1772" s="468" t="s">
        <v>4351</v>
      </c>
      <c r="D1772" s="468" t="s">
        <v>4352</v>
      </c>
      <c r="F1772" s="470">
        <v>8</v>
      </c>
      <c r="G1772" s="468">
        <v>2.6530475206611572</v>
      </c>
      <c r="H1772" s="479">
        <v>21.224380165289258</v>
      </c>
      <c r="I1772" s="468" t="s">
        <v>9218</v>
      </c>
      <c r="J1772" s="468" t="s">
        <v>9219</v>
      </c>
      <c r="K1772" s="468" t="s">
        <v>9219</v>
      </c>
      <c r="L1772" s="468" t="s">
        <v>2354</v>
      </c>
    </row>
    <row r="1773" spans="1:12" x14ac:dyDescent="0.25">
      <c r="A1773" s="468" t="s">
        <v>220</v>
      </c>
      <c r="B1773" s="468" t="s">
        <v>2351</v>
      </c>
      <c r="C1773" s="468" t="s">
        <v>4353</v>
      </c>
      <c r="D1773" s="468" t="s">
        <v>4354</v>
      </c>
      <c r="F1773" s="470">
        <v>5</v>
      </c>
      <c r="G1773" s="468">
        <v>2.666122159090909</v>
      </c>
      <c r="H1773" s="479">
        <v>13.330610795454545</v>
      </c>
      <c r="I1773" s="468" t="s">
        <v>9218</v>
      </c>
      <c r="J1773" s="468" t="s">
        <v>9219</v>
      </c>
      <c r="K1773" s="468" t="s">
        <v>9219</v>
      </c>
      <c r="L1773" s="468" t="s">
        <v>2354</v>
      </c>
    </row>
    <row r="1774" spans="1:12" x14ac:dyDescent="0.25">
      <c r="A1774" s="468" t="s">
        <v>220</v>
      </c>
      <c r="B1774" s="468" t="s">
        <v>2351</v>
      </c>
      <c r="C1774" s="468" t="s">
        <v>4355</v>
      </c>
      <c r="D1774" s="468" t="s">
        <v>4356</v>
      </c>
      <c r="F1774" s="470">
        <v>7</v>
      </c>
      <c r="G1774" s="468">
        <v>2.831</v>
      </c>
      <c r="H1774" s="479">
        <v>19.817</v>
      </c>
      <c r="I1774" s="468" t="s">
        <v>9218</v>
      </c>
      <c r="J1774" s="468" t="s">
        <v>9219</v>
      </c>
      <c r="K1774" s="468" t="s">
        <v>9219</v>
      </c>
      <c r="L1774" s="468" t="s">
        <v>2354</v>
      </c>
    </row>
    <row r="1775" spans="1:12" x14ac:dyDescent="0.25">
      <c r="A1775" s="468" t="s">
        <v>220</v>
      </c>
      <c r="B1775" s="468" t="s">
        <v>2351</v>
      </c>
      <c r="C1775" s="468" t="s">
        <v>4357</v>
      </c>
      <c r="D1775" s="468" t="s">
        <v>4358</v>
      </c>
      <c r="F1775" s="470">
        <v>12</v>
      </c>
      <c r="G1775" s="468">
        <v>3.8250000000000002</v>
      </c>
      <c r="H1775" s="479">
        <v>45.900000000000006</v>
      </c>
      <c r="I1775" s="468" t="s">
        <v>9218</v>
      </c>
      <c r="J1775" s="468" t="s">
        <v>9219</v>
      </c>
      <c r="K1775" s="468" t="s">
        <v>9219</v>
      </c>
      <c r="L1775" s="468" t="s">
        <v>2354</v>
      </c>
    </row>
    <row r="1776" spans="1:12" x14ac:dyDescent="0.25">
      <c r="A1776" s="468" t="s">
        <v>220</v>
      </c>
      <c r="B1776" s="468" t="s">
        <v>2351</v>
      </c>
      <c r="C1776" s="468" t="s">
        <v>4359</v>
      </c>
      <c r="D1776" s="468" t="s">
        <v>4360</v>
      </c>
      <c r="F1776" s="470">
        <v>4</v>
      </c>
      <c r="G1776" s="468">
        <v>2.6100000000000003</v>
      </c>
      <c r="H1776" s="479">
        <v>10.440000000000001</v>
      </c>
      <c r="I1776" s="468" t="s">
        <v>9218</v>
      </c>
      <c r="J1776" s="468" t="s">
        <v>9219</v>
      </c>
      <c r="K1776" s="468" t="s">
        <v>9219</v>
      </c>
      <c r="L1776" s="468" t="s">
        <v>2354</v>
      </c>
    </row>
    <row r="1777" spans="1:12" x14ac:dyDescent="0.25">
      <c r="A1777" s="468" t="s">
        <v>220</v>
      </c>
      <c r="B1777" s="468" t="s">
        <v>2351</v>
      </c>
      <c r="C1777" s="468" t="s">
        <v>9340</v>
      </c>
      <c r="D1777" s="468" t="s">
        <v>4364</v>
      </c>
      <c r="F1777" s="470">
        <v>1</v>
      </c>
      <c r="G1777" s="468">
        <v>122.94799999999999</v>
      </c>
      <c r="H1777" s="479">
        <v>122.94799999999999</v>
      </c>
      <c r="I1777" s="468" t="s">
        <v>9218</v>
      </c>
      <c r="J1777" s="468" t="s">
        <v>9219</v>
      </c>
      <c r="K1777" s="468" t="s">
        <v>9219</v>
      </c>
      <c r="L1777" s="468" t="s">
        <v>2354</v>
      </c>
    </row>
    <row r="1778" spans="1:12" x14ac:dyDescent="0.25">
      <c r="A1778" s="468" t="s">
        <v>220</v>
      </c>
      <c r="B1778" s="468" t="s">
        <v>2351</v>
      </c>
      <c r="C1778" s="468" t="s">
        <v>9341</v>
      </c>
      <c r="D1778" s="468" t="s">
        <v>9342</v>
      </c>
      <c r="F1778" s="470">
        <v>2</v>
      </c>
      <c r="G1778" s="468">
        <v>132.59700000000001</v>
      </c>
      <c r="H1778" s="479">
        <v>265.19400000000002</v>
      </c>
      <c r="I1778" s="468" t="s">
        <v>9218</v>
      </c>
      <c r="J1778" s="468" t="s">
        <v>9219</v>
      </c>
      <c r="K1778" s="468" t="s">
        <v>9219</v>
      </c>
      <c r="L1778" s="468" t="s">
        <v>2354</v>
      </c>
    </row>
    <row r="1779" spans="1:12" x14ac:dyDescent="0.25">
      <c r="A1779" s="468" t="s">
        <v>220</v>
      </c>
      <c r="B1779" s="468" t="s">
        <v>2351</v>
      </c>
      <c r="C1779" s="468" t="s">
        <v>9343</v>
      </c>
      <c r="D1779" s="468" t="s">
        <v>9344</v>
      </c>
      <c r="F1779" s="470">
        <v>1</v>
      </c>
      <c r="G1779" s="468">
        <v>155.6</v>
      </c>
      <c r="H1779" s="479">
        <v>155.6</v>
      </c>
      <c r="I1779" s="468" t="s">
        <v>9218</v>
      </c>
      <c r="J1779" s="468" t="s">
        <v>9219</v>
      </c>
      <c r="K1779" s="468" t="s">
        <v>9219</v>
      </c>
      <c r="L1779" s="468" t="s">
        <v>2354</v>
      </c>
    </row>
    <row r="1780" spans="1:12" x14ac:dyDescent="0.25">
      <c r="A1780" s="468" t="s">
        <v>220</v>
      </c>
      <c r="B1780" s="468" t="s">
        <v>2351</v>
      </c>
      <c r="C1780" s="468" t="s">
        <v>9345</v>
      </c>
      <c r="D1780" s="468" t="s">
        <v>9346</v>
      </c>
      <c r="F1780" s="470">
        <v>4</v>
      </c>
      <c r="G1780" s="468">
        <v>92.36</v>
      </c>
      <c r="H1780" s="479">
        <v>369.44</v>
      </c>
      <c r="I1780" s="468" t="s">
        <v>9218</v>
      </c>
      <c r="J1780" s="468" t="s">
        <v>9219</v>
      </c>
      <c r="K1780" s="468" t="s">
        <v>9219</v>
      </c>
      <c r="L1780" s="468" t="s">
        <v>2354</v>
      </c>
    </row>
    <row r="1781" spans="1:12" x14ac:dyDescent="0.25">
      <c r="A1781" s="468" t="s">
        <v>220</v>
      </c>
      <c r="B1781" s="468" t="s">
        <v>2351</v>
      </c>
      <c r="C1781" s="468" t="s">
        <v>4361</v>
      </c>
      <c r="D1781" s="468" t="s">
        <v>4362</v>
      </c>
      <c r="F1781" s="470">
        <v>4</v>
      </c>
      <c r="G1781" s="468">
        <v>74</v>
      </c>
      <c r="H1781" s="479">
        <v>296</v>
      </c>
      <c r="I1781" s="468" t="s">
        <v>9218</v>
      </c>
      <c r="J1781" s="468" t="s">
        <v>9219</v>
      </c>
      <c r="K1781" s="468" t="s">
        <v>9219</v>
      </c>
      <c r="L1781" s="468" t="s">
        <v>2354</v>
      </c>
    </row>
    <row r="1782" spans="1:12" x14ac:dyDescent="0.25">
      <c r="A1782" s="468" t="s">
        <v>220</v>
      </c>
      <c r="B1782" s="468" t="s">
        <v>2351</v>
      </c>
      <c r="C1782" s="468" t="s">
        <v>4363</v>
      </c>
      <c r="D1782" s="468" t="s">
        <v>4364</v>
      </c>
      <c r="F1782" s="470">
        <v>1</v>
      </c>
      <c r="G1782" s="468">
        <v>122.94799999999999</v>
      </c>
      <c r="H1782" s="479">
        <v>122.94799999999999</v>
      </c>
      <c r="I1782" s="468" t="s">
        <v>9218</v>
      </c>
      <c r="J1782" s="468" t="s">
        <v>9219</v>
      </c>
      <c r="K1782" s="468" t="s">
        <v>9219</v>
      </c>
      <c r="L1782" s="468" t="s">
        <v>2354</v>
      </c>
    </row>
    <row r="1783" spans="1:12" x14ac:dyDescent="0.25">
      <c r="A1783" s="468" t="s">
        <v>220</v>
      </c>
      <c r="B1783" s="468" t="s">
        <v>2351</v>
      </c>
      <c r="C1783" s="468" t="s">
        <v>4365</v>
      </c>
      <c r="D1783" s="468" t="s">
        <v>4366</v>
      </c>
      <c r="F1783" s="470">
        <v>17</v>
      </c>
      <c r="G1783" s="468">
        <v>18</v>
      </c>
      <c r="H1783" s="479">
        <v>306</v>
      </c>
      <c r="I1783" s="468" t="s">
        <v>9218</v>
      </c>
      <c r="J1783" s="468" t="s">
        <v>9219</v>
      </c>
      <c r="K1783" s="468" t="s">
        <v>9219</v>
      </c>
      <c r="L1783" s="468" t="s">
        <v>2354</v>
      </c>
    </row>
    <row r="1784" spans="1:12" x14ac:dyDescent="0.25">
      <c r="A1784" s="468" t="s">
        <v>220</v>
      </c>
      <c r="B1784" s="468" t="s">
        <v>2351</v>
      </c>
      <c r="C1784" s="468" t="s">
        <v>4367</v>
      </c>
      <c r="D1784" s="468" t="s">
        <v>4368</v>
      </c>
      <c r="F1784" s="470">
        <v>4</v>
      </c>
      <c r="G1784" s="468">
        <v>80</v>
      </c>
      <c r="H1784" s="479">
        <v>320</v>
      </c>
      <c r="I1784" s="468" t="s">
        <v>9218</v>
      </c>
      <c r="J1784" s="468" t="s">
        <v>9219</v>
      </c>
      <c r="K1784" s="468" t="s">
        <v>9219</v>
      </c>
      <c r="L1784" s="468" t="s">
        <v>2354</v>
      </c>
    </row>
    <row r="1785" spans="1:12" x14ac:dyDescent="0.25">
      <c r="A1785" s="468" t="s">
        <v>220</v>
      </c>
      <c r="B1785" s="468" t="s">
        <v>2351</v>
      </c>
      <c r="C1785" s="468" t="s">
        <v>4369</v>
      </c>
      <c r="D1785" s="468" t="s">
        <v>4370</v>
      </c>
      <c r="F1785" s="470">
        <v>6</v>
      </c>
      <c r="G1785" s="468">
        <v>8.9827999999999992</v>
      </c>
      <c r="H1785" s="479">
        <v>53.896799999999999</v>
      </c>
      <c r="I1785" s="468" t="s">
        <v>9218</v>
      </c>
      <c r="J1785" s="468" t="s">
        <v>9219</v>
      </c>
      <c r="K1785" s="468" t="s">
        <v>9219</v>
      </c>
      <c r="L1785" s="468" t="s">
        <v>2354</v>
      </c>
    </row>
    <row r="1786" spans="1:12" x14ac:dyDescent="0.25">
      <c r="A1786" s="468" t="s">
        <v>220</v>
      </c>
      <c r="B1786" s="468" t="s">
        <v>2351</v>
      </c>
      <c r="C1786" s="468" t="s">
        <v>4371</v>
      </c>
      <c r="D1786" s="468" t="s">
        <v>4372</v>
      </c>
      <c r="F1786" s="470">
        <v>52</v>
      </c>
      <c r="G1786" s="468">
        <v>0.33600000000000002</v>
      </c>
      <c r="H1786" s="479">
        <v>17.472000000000001</v>
      </c>
      <c r="I1786" s="468" t="s">
        <v>9218</v>
      </c>
      <c r="J1786" s="468" t="s">
        <v>9219</v>
      </c>
      <c r="K1786" s="468" t="s">
        <v>9219</v>
      </c>
      <c r="L1786" s="468" t="s">
        <v>2354</v>
      </c>
    </row>
    <row r="1787" spans="1:12" x14ac:dyDescent="0.25">
      <c r="A1787" s="468" t="s">
        <v>220</v>
      </c>
      <c r="B1787" s="468" t="s">
        <v>2351</v>
      </c>
      <c r="C1787" s="468" t="s">
        <v>4373</v>
      </c>
      <c r="D1787" s="468" t="s">
        <v>4374</v>
      </c>
      <c r="F1787" s="470">
        <v>2</v>
      </c>
      <c r="H1787" s="479">
        <v>0</v>
      </c>
      <c r="I1787" s="468" t="s">
        <v>9218</v>
      </c>
      <c r="J1787" s="468" t="s">
        <v>9219</v>
      </c>
      <c r="K1787" s="468" t="s">
        <v>9219</v>
      </c>
      <c r="L1787" s="468" t="s">
        <v>2354</v>
      </c>
    </row>
    <row r="1788" spans="1:12" x14ac:dyDescent="0.25">
      <c r="A1788" s="468" t="s">
        <v>220</v>
      </c>
      <c r="B1788" s="468" t="s">
        <v>2351</v>
      </c>
      <c r="C1788" s="468" t="s">
        <v>9347</v>
      </c>
      <c r="D1788" s="468" t="s">
        <v>9348</v>
      </c>
      <c r="F1788" s="470">
        <v>1</v>
      </c>
      <c r="G1788" s="468">
        <v>150.15</v>
      </c>
      <c r="H1788" s="479">
        <v>150.15</v>
      </c>
      <c r="I1788" s="468" t="s">
        <v>9218</v>
      </c>
      <c r="J1788" s="468" t="s">
        <v>9219</v>
      </c>
      <c r="K1788" s="468" t="s">
        <v>9219</v>
      </c>
      <c r="L1788" s="468" t="s">
        <v>2354</v>
      </c>
    </row>
    <row r="1789" spans="1:12" x14ac:dyDescent="0.25">
      <c r="A1789" s="468" t="s">
        <v>220</v>
      </c>
      <c r="B1789" s="468" t="s">
        <v>2351</v>
      </c>
      <c r="C1789" s="468" t="s">
        <v>4379</v>
      </c>
      <c r="D1789" s="468" t="s">
        <v>4380</v>
      </c>
      <c r="F1789" s="470">
        <v>17</v>
      </c>
      <c r="G1789" s="468">
        <v>7.9169999999999998</v>
      </c>
      <c r="H1789" s="479">
        <v>134.589</v>
      </c>
      <c r="I1789" s="468" t="s">
        <v>9218</v>
      </c>
      <c r="J1789" s="468" t="s">
        <v>9219</v>
      </c>
      <c r="K1789" s="468" t="s">
        <v>9219</v>
      </c>
      <c r="L1789" s="468" t="s">
        <v>2354</v>
      </c>
    </row>
    <row r="1790" spans="1:12" x14ac:dyDescent="0.25">
      <c r="A1790" s="468" t="s">
        <v>220</v>
      </c>
      <c r="B1790" s="468" t="s">
        <v>2351</v>
      </c>
      <c r="C1790" s="468" t="s">
        <v>4387</v>
      </c>
      <c r="D1790" s="468" t="s">
        <v>4388</v>
      </c>
      <c r="F1790" s="470">
        <v>1</v>
      </c>
      <c r="G1790" s="468">
        <v>375.78199999999998</v>
      </c>
      <c r="H1790" s="479">
        <v>375.78199999999998</v>
      </c>
      <c r="I1790" s="468" t="s">
        <v>9218</v>
      </c>
      <c r="J1790" s="468" t="s">
        <v>9219</v>
      </c>
      <c r="K1790" s="468" t="s">
        <v>9219</v>
      </c>
      <c r="L1790" s="468" t="s">
        <v>2354</v>
      </c>
    </row>
    <row r="1791" spans="1:12" x14ac:dyDescent="0.25">
      <c r="A1791" s="468" t="s">
        <v>220</v>
      </c>
      <c r="B1791" s="468" t="s">
        <v>2351</v>
      </c>
      <c r="C1791" s="468" t="s">
        <v>4389</v>
      </c>
      <c r="D1791" s="468" t="s">
        <v>4390</v>
      </c>
      <c r="F1791" s="470">
        <v>7</v>
      </c>
      <c r="G1791" s="468">
        <v>43.74</v>
      </c>
      <c r="H1791" s="479">
        <v>306.18</v>
      </c>
      <c r="I1791" s="468" t="s">
        <v>9218</v>
      </c>
      <c r="J1791" s="468" t="s">
        <v>9219</v>
      </c>
      <c r="K1791" s="468" t="s">
        <v>9219</v>
      </c>
      <c r="L1791" s="468" t="s">
        <v>2354</v>
      </c>
    </row>
    <row r="1792" spans="1:12" x14ac:dyDescent="0.25">
      <c r="A1792" s="468" t="s">
        <v>220</v>
      </c>
      <c r="B1792" s="468" t="s">
        <v>2351</v>
      </c>
      <c r="C1792" s="468" t="s">
        <v>4391</v>
      </c>
      <c r="D1792" s="468" t="s">
        <v>9349</v>
      </c>
      <c r="F1792" s="470">
        <v>5</v>
      </c>
      <c r="G1792" s="468">
        <v>58.24</v>
      </c>
      <c r="H1792" s="479">
        <v>291.2</v>
      </c>
      <c r="I1792" s="468" t="s">
        <v>9218</v>
      </c>
      <c r="J1792" s="468" t="s">
        <v>9219</v>
      </c>
      <c r="K1792" s="468" t="s">
        <v>9219</v>
      </c>
      <c r="L1792" s="468" t="s">
        <v>2354</v>
      </c>
    </row>
    <row r="1793" spans="1:12" x14ac:dyDescent="0.25">
      <c r="A1793" s="468" t="s">
        <v>220</v>
      </c>
      <c r="B1793" s="468" t="s">
        <v>2351</v>
      </c>
      <c r="C1793" s="468" t="s">
        <v>4393</v>
      </c>
      <c r="D1793" s="468" t="s">
        <v>9350</v>
      </c>
      <c r="F1793" s="470">
        <v>8</v>
      </c>
      <c r="G1793" s="468">
        <v>8.6487499999999997</v>
      </c>
      <c r="H1793" s="479">
        <v>69.19</v>
      </c>
      <c r="I1793" s="468" t="s">
        <v>9218</v>
      </c>
      <c r="J1793" s="468" t="s">
        <v>9219</v>
      </c>
      <c r="K1793" s="468" t="s">
        <v>9219</v>
      </c>
      <c r="L1793" s="468" t="s">
        <v>2354</v>
      </c>
    </row>
    <row r="1794" spans="1:12" x14ac:dyDescent="0.25">
      <c r="A1794" s="468" t="s">
        <v>220</v>
      </c>
      <c r="B1794" s="468" t="s">
        <v>2351</v>
      </c>
      <c r="C1794" s="468" t="s">
        <v>4397</v>
      </c>
      <c r="D1794" s="468" t="s">
        <v>4398</v>
      </c>
      <c r="F1794" s="470">
        <v>10</v>
      </c>
      <c r="G1794" s="468">
        <v>10.78735</v>
      </c>
      <c r="H1794" s="479">
        <v>107.87350000000001</v>
      </c>
      <c r="I1794" s="468" t="s">
        <v>9218</v>
      </c>
      <c r="J1794" s="468" t="s">
        <v>9219</v>
      </c>
      <c r="K1794" s="468" t="s">
        <v>9219</v>
      </c>
      <c r="L1794" s="468" t="s">
        <v>2354</v>
      </c>
    </row>
    <row r="1795" spans="1:12" x14ac:dyDescent="0.25">
      <c r="A1795" s="468" t="s">
        <v>220</v>
      </c>
      <c r="B1795" s="468" t="s">
        <v>2351</v>
      </c>
      <c r="D1795" s="468" t="s">
        <v>9351</v>
      </c>
      <c r="F1795" s="470">
        <v>15</v>
      </c>
      <c r="G1795" s="468">
        <v>12.8</v>
      </c>
      <c r="H1795" s="479">
        <v>192</v>
      </c>
      <c r="I1795" s="468" t="s">
        <v>9218</v>
      </c>
      <c r="J1795" s="468" t="s">
        <v>9219</v>
      </c>
      <c r="K1795" s="468" t="s">
        <v>9219</v>
      </c>
      <c r="L1795" s="468" t="s">
        <v>2354</v>
      </c>
    </row>
    <row r="1796" spans="1:12" x14ac:dyDescent="0.25">
      <c r="A1796" s="468" t="s">
        <v>220</v>
      </c>
      <c r="B1796" s="468" t="s">
        <v>2351</v>
      </c>
      <c r="D1796" s="468" t="s">
        <v>9352</v>
      </c>
      <c r="F1796" s="470">
        <v>6</v>
      </c>
      <c r="G1796" s="468">
        <v>11.6</v>
      </c>
      <c r="H1796" s="479">
        <v>69.599999999999994</v>
      </c>
      <c r="I1796" s="468" t="s">
        <v>9218</v>
      </c>
      <c r="J1796" s="468" t="s">
        <v>9219</v>
      </c>
      <c r="K1796" s="468" t="s">
        <v>9219</v>
      </c>
      <c r="L1796" s="468" t="s">
        <v>2354</v>
      </c>
    </row>
    <row r="1797" spans="1:12" x14ac:dyDescent="0.25">
      <c r="A1797" s="468" t="s">
        <v>220</v>
      </c>
      <c r="B1797" s="468" t="s">
        <v>2351</v>
      </c>
      <c r="C1797" s="468" t="s">
        <v>4401</v>
      </c>
      <c r="D1797" s="468" t="s">
        <v>4402</v>
      </c>
      <c r="F1797" s="470">
        <v>16</v>
      </c>
      <c r="G1797" s="468">
        <v>54.311</v>
      </c>
      <c r="H1797" s="479">
        <v>868.976</v>
      </c>
      <c r="I1797" s="468" t="s">
        <v>9218</v>
      </c>
      <c r="J1797" s="468" t="s">
        <v>9219</v>
      </c>
      <c r="K1797" s="468" t="s">
        <v>9219</v>
      </c>
      <c r="L1797" s="468" t="s">
        <v>2354</v>
      </c>
    </row>
    <row r="1798" spans="1:12" x14ac:dyDescent="0.25">
      <c r="A1798" s="468" t="s">
        <v>220</v>
      </c>
      <c r="B1798" s="468" t="s">
        <v>2351</v>
      </c>
      <c r="C1798" s="468" t="s">
        <v>4407</v>
      </c>
      <c r="D1798" s="468" t="s">
        <v>4408</v>
      </c>
      <c r="F1798" s="470">
        <v>13</v>
      </c>
      <c r="G1798" s="468">
        <v>48.040999999999997</v>
      </c>
      <c r="H1798" s="479">
        <v>624.5329999999999</v>
      </c>
      <c r="I1798" s="468" t="s">
        <v>9218</v>
      </c>
      <c r="J1798" s="468" t="s">
        <v>9219</v>
      </c>
      <c r="K1798" s="468" t="s">
        <v>9219</v>
      </c>
      <c r="L1798" s="468" t="s">
        <v>2354</v>
      </c>
    </row>
    <row r="1799" spans="1:12" x14ac:dyDescent="0.25">
      <c r="A1799" s="468" t="s">
        <v>220</v>
      </c>
      <c r="B1799" s="468" t="s">
        <v>2351</v>
      </c>
      <c r="C1799" s="468" t="s">
        <v>4415</v>
      </c>
      <c r="D1799" s="468" t="s">
        <v>4416</v>
      </c>
      <c r="F1799" s="470">
        <v>9</v>
      </c>
      <c r="G1799" s="468">
        <v>3.173</v>
      </c>
      <c r="H1799" s="479">
        <v>28.557000000000002</v>
      </c>
      <c r="I1799" s="468" t="s">
        <v>9218</v>
      </c>
      <c r="J1799" s="468" t="s">
        <v>9219</v>
      </c>
      <c r="K1799" s="468" t="s">
        <v>9219</v>
      </c>
      <c r="L1799" s="468" t="s">
        <v>2354</v>
      </c>
    </row>
    <row r="1800" spans="1:12" x14ac:dyDescent="0.25">
      <c r="A1800" s="468" t="s">
        <v>220</v>
      </c>
      <c r="B1800" s="468" t="s">
        <v>2351</v>
      </c>
      <c r="C1800" s="468" t="s">
        <v>4419</v>
      </c>
      <c r="D1800" s="468" t="s">
        <v>4420</v>
      </c>
      <c r="F1800" s="470">
        <v>6</v>
      </c>
      <c r="G1800" s="468">
        <v>3.5</v>
      </c>
      <c r="H1800" s="479">
        <v>21</v>
      </c>
      <c r="I1800" s="468" t="s">
        <v>9218</v>
      </c>
      <c r="J1800" s="468" t="s">
        <v>9219</v>
      </c>
      <c r="K1800" s="468" t="s">
        <v>9219</v>
      </c>
      <c r="L1800" s="468" t="s">
        <v>2354</v>
      </c>
    </row>
    <row r="1801" spans="1:12" x14ac:dyDescent="0.25">
      <c r="A1801" s="468" t="s">
        <v>220</v>
      </c>
      <c r="B1801" s="468" t="s">
        <v>2351</v>
      </c>
      <c r="C1801" s="468" t="s">
        <v>4421</v>
      </c>
      <c r="D1801" s="468" t="s">
        <v>4422</v>
      </c>
      <c r="F1801" s="470">
        <v>5</v>
      </c>
      <c r="G1801" s="468">
        <v>32.884999999999998</v>
      </c>
      <c r="H1801" s="479">
        <v>164.42499999999998</v>
      </c>
      <c r="I1801" s="468" t="s">
        <v>9218</v>
      </c>
      <c r="J1801" s="468" t="s">
        <v>9219</v>
      </c>
      <c r="K1801" s="468" t="s">
        <v>9219</v>
      </c>
      <c r="L1801" s="468" t="s">
        <v>2354</v>
      </c>
    </row>
    <row r="1802" spans="1:12" x14ac:dyDescent="0.25">
      <c r="A1802" s="468" t="s">
        <v>220</v>
      </c>
      <c r="B1802" s="468" t="s">
        <v>2351</v>
      </c>
      <c r="C1802" s="468" t="s">
        <v>4423</v>
      </c>
      <c r="D1802" s="468" t="s">
        <v>4424</v>
      </c>
      <c r="F1802" s="470">
        <v>45</v>
      </c>
      <c r="G1802" s="468">
        <v>10.614599999999999</v>
      </c>
      <c r="H1802" s="479">
        <v>477.65699999999998</v>
      </c>
      <c r="I1802" s="468" t="s">
        <v>9218</v>
      </c>
      <c r="J1802" s="468" t="s">
        <v>9219</v>
      </c>
      <c r="K1802" s="468" t="s">
        <v>9219</v>
      </c>
      <c r="L1802" s="468" t="s">
        <v>2354</v>
      </c>
    </row>
    <row r="1803" spans="1:12" x14ac:dyDescent="0.25">
      <c r="A1803" s="468" t="s">
        <v>220</v>
      </c>
      <c r="B1803" s="468" t="s">
        <v>2351</v>
      </c>
      <c r="C1803" s="468" t="s">
        <v>4426</v>
      </c>
      <c r="D1803" s="468" t="s">
        <v>4427</v>
      </c>
      <c r="F1803" s="470">
        <v>6</v>
      </c>
      <c r="G1803" s="468">
        <v>5.4950000000000001</v>
      </c>
      <c r="H1803" s="479">
        <v>32.97</v>
      </c>
      <c r="I1803" s="468" t="s">
        <v>9218</v>
      </c>
      <c r="J1803" s="468" t="s">
        <v>9219</v>
      </c>
      <c r="K1803" s="468" t="s">
        <v>9219</v>
      </c>
      <c r="L1803" s="468" t="s">
        <v>2354</v>
      </c>
    </row>
    <row r="1804" spans="1:12" x14ac:dyDescent="0.25">
      <c r="A1804" s="468" t="s">
        <v>220</v>
      </c>
      <c r="B1804" s="468" t="s">
        <v>2351</v>
      </c>
      <c r="D1804" s="468" t="s">
        <v>9353</v>
      </c>
      <c r="F1804" s="470">
        <v>4</v>
      </c>
      <c r="G1804" s="468">
        <v>8.5</v>
      </c>
      <c r="H1804" s="479">
        <v>34</v>
      </c>
      <c r="I1804" s="468" t="s">
        <v>9218</v>
      </c>
      <c r="J1804" s="468" t="s">
        <v>9219</v>
      </c>
      <c r="K1804" s="468" t="s">
        <v>9219</v>
      </c>
      <c r="L1804" s="468" t="s">
        <v>2354</v>
      </c>
    </row>
    <row r="1805" spans="1:12" x14ac:dyDescent="0.25">
      <c r="A1805" s="468" t="s">
        <v>220</v>
      </c>
      <c r="B1805" s="468" t="s">
        <v>2351</v>
      </c>
      <c r="C1805" s="468" t="s">
        <v>4430</v>
      </c>
      <c r="D1805" s="468" t="s">
        <v>4431</v>
      </c>
      <c r="F1805" s="470">
        <v>18</v>
      </c>
      <c r="G1805" s="468">
        <v>0.81200000000000006</v>
      </c>
      <c r="H1805" s="479">
        <v>14.616000000000001</v>
      </c>
      <c r="I1805" s="468" t="s">
        <v>9218</v>
      </c>
      <c r="J1805" s="468" t="s">
        <v>9219</v>
      </c>
      <c r="K1805" s="468" t="s">
        <v>9219</v>
      </c>
      <c r="L1805" s="468" t="s">
        <v>2354</v>
      </c>
    </row>
    <row r="1806" spans="1:12" x14ac:dyDescent="0.25">
      <c r="A1806" s="468" t="s">
        <v>220</v>
      </c>
      <c r="B1806" s="468" t="s">
        <v>2351</v>
      </c>
      <c r="C1806" s="468" t="s">
        <v>4432</v>
      </c>
      <c r="D1806" s="468" t="s">
        <v>4433</v>
      </c>
      <c r="F1806" s="470">
        <v>18</v>
      </c>
      <c r="G1806" s="468">
        <v>4.8</v>
      </c>
      <c r="H1806" s="479">
        <v>86.399999999999991</v>
      </c>
      <c r="I1806" s="468" t="s">
        <v>9218</v>
      </c>
      <c r="J1806" s="468" t="s">
        <v>9219</v>
      </c>
      <c r="K1806" s="468" t="s">
        <v>9219</v>
      </c>
      <c r="L1806" s="468" t="s">
        <v>2354</v>
      </c>
    </row>
    <row r="1807" spans="1:12" x14ac:dyDescent="0.25">
      <c r="A1807" s="468" t="s">
        <v>220</v>
      </c>
      <c r="B1807" s="468" t="s">
        <v>2351</v>
      </c>
      <c r="C1807" s="468" t="s">
        <v>4434</v>
      </c>
      <c r="D1807" s="468" t="s">
        <v>4435</v>
      </c>
      <c r="F1807" s="470">
        <v>9</v>
      </c>
      <c r="G1807" s="468">
        <v>38.649000000000001</v>
      </c>
      <c r="H1807" s="479">
        <v>347.84100000000001</v>
      </c>
      <c r="I1807" s="468" t="s">
        <v>9218</v>
      </c>
      <c r="J1807" s="468" t="s">
        <v>9219</v>
      </c>
      <c r="K1807" s="468" t="s">
        <v>9219</v>
      </c>
      <c r="L1807" s="468" t="s">
        <v>2354</v>
      </c>
    </row>
    <row r="1808" spans="1:12" x14ac:dyDescent="0.25">
      <c r="A1808" s="468" t="s">
        <v>220</v>
      </c>
      <c r="B1808" s="468" t="s">
        <v>2351</v>
      </c>
      <c r="C1808" s="468" t="s">
        <v>4436</v>
      </c>
      <c r="D1808" s="468" t="s">
        <v>4437</v>
      </c>
      <c r="F1808" s="470">
        <v>3</v>
      </c>
      <c r="G1808" s="468">
        <v>7.4279999999999999</v>
      </c>
      <c r="H1808" s="479">
        <v>22.283999999999999</v>
      </c>
      <c r="I1808" s="468" t="s">
        <v>9218</v>
      </c>
      <c r="J1808" s="468" t="s">
        <v>9219</v>
      </c>
      <c r="K1808" s="468" t="s">
        <v>9219</v>
      </c>
      <c r="L1808" s="468" t="s">
        <v>2354</v>
      </c>
    </row>
    <row r="1809" spans="1:12" x14ac:dyDescent="0.25">
      <c r="A1809" s="468" t="s">
        <v>220</v>
      </c>
      <c r="B1809" s="468" t="s">
        <v>2351</v>
      </c>
      <c r="C1809" s="468" t="s">
        <v>4438</v>
      </c>
      <c r="D1809" s="468" t="s">
        <v>4439</v>
      </c>
      <c r="F1809" s="470">
        <v>13</v>
      </c>
      <c r="G1809" s="468">
        <v>8.1437333333333335</v>
      </c>
      <c r="H1809" s="479">
        <v>105.86853333333333</v>
      </c>
      <c r="I1809" s="468" t="s">
        <v>9218</v>
      </c>
      <c r="J1809" s="468" t="s">
        <v>9219</v>
      </c>
      <c r="K1809" s="468" t="s">
        <v>9219</v>
      </c>
      <c r="L1809" s="468" t="s">
        <v>2354</v>
      </c>
    </row>
    <row r="1810" spans="1:12" x14ac:dyDescent="0.25">
      <c r="A1810" s="468" t="s">
        <v>220</v>
      </c>
      <c r="B1810" s="468" t="s">
        <v>2351</v>
      </c>
      <c r="C1810" s="468" t="s">
        <v>4488</v>
      </c>
      <c r="D1810" s="468" t="s">
        <v>4489</v>
      </c>
      <c r="F1810" s="470">
        <v>1</v>
      </c>
      <c r="G1810" s="468">
        <v>19.065777777777775</v>
      </c>
      <c r="H1810" s="479">
        <v>19.065777777777775</v>
      </c>
      <c r="I1810" s="468" t="s">
        <v>9218</v>
      </c>
      <c r="J1810" s="468" t="s">
        <v>9219</v>
      </c>
      <c r="K1810" s="468" t="s">
        <v>9219</v>
      </c>
      <c r="L1810" s="468" t="s">
        <v>2354</v>
      </c>
    </row>
    <row r="1811" spans="1:12" x14ac:dyDescent="0.25">
      <c r="A1811" s="468" t="s">
        <v>220</v>
      </c>
      <c r="B1811" s="468" t="s">
        <v>2351</v>
      </c>
      <c r="C1811" s="468" t="s">
        <v>4492</v>
      </c>
      <c r="D1811" s="468" t="s">
        <v>4493</v>
      </c>
      <c r="F1811" s="470">
        <v>7</v>
      </c>
      <c r="G1811" s="468">
        <v>12.920999999999999</v>
      </c>
      <c r="H1811" s="479">
        <v>90.447000000000003</v>
      </c>
      <c r="I1811" s="468" t="s">
        <v>9218</v>
      </c>
      <c r="J1811" s="468" t="s">
        <v>9219</v>
      </c>
      <c r="K1811" s="468" t="s">
        <v>9219</v>
      </c>
      <c r="L1811" s="468" t="s">
        <v>2354</v>
      </c>
    </row>
    <row r="1812" spans="1:12" x14ac:dyDescent="0.25">
      <c r="A1812" s="468" t="s">
        <v>220</v>
      </c>
      <c r="B1812" s="468" t="s">
        <v>2351</v>
      </c>
      <c r="C1812" s="468" t="s">
        <v>4494</v>
      </c>
      <c r="D1812" s="468" t="s">
        <v>4495</v>
      </c>
      <c r="F1812" s="470">
        <v>15</v>
      </c>
      <c r="G1812" s="468">
        <v>14.776999999999999</v>
      </c>
      <c r="H1812" s="479">
        <v>221.655</v>
      </c>
      <c r="I1812" s="468" t="s">
        <v>9218</v>
      </c>
      <c r="J1812" s="468" t="s">
        <v>9219</v>
      </c>
      <c r="K1812" s="468" t="s">
        <v>9219</v>
      </c>
      <c r="L1812" s="468" t="s">
        <v>2354</v>
      </c>
    </row>
    <row r="1813" spans="1:12" x14ac:dyDescent="0.25">
      <c r="A1813" s="468" t="s">
        <v>220</v>
      </c>
      <c r="B1813" s="468" t="s">
        <v>2351</v>
      </c>
      <c r="C1813" s="468" t="s">
        <v>4498</v>
      </c>
      <c r="D1813" s="468" t="s">
        <v>4499</v>
      </c>
      <c r="F1813" s="470">
        <v>1</v>
      </c>
      <c r="G1813" s="468">
        <v>3.2899526066350711</v>
      </c>
      <c r="H1813" s="479">
        <v>3.2899526066350711</v>
      </c>
      <c r="I1813" s="468" t="s">
        <v>9218</v>
      </c>
      <c r="J1813" s="468" t="s">
        <v>9219</v>
      </c>
      <c r="K1813" s="468" t="s">
        <v>9219</v>
      </c>
      <c r="L1813" s="468" t="s">
        <v>2354</v>
      </c>
    </row>
    <row r="1814" spans="1:12" x14ac:dyDescent="0.25">
      <c r="A1814" s="468" t="s">
        <v>220</v>
      </c>
      <c r="B1814" s="468" t="s">
        <v>2351</v>
      </c>
      <c r="C1814" s="468" t="s">
        <v>4500</v>
      </c>
      <c r="D1814" s="468" t="s">
        <v>9354</v>
      </c>
      <c r="F1814" s="470">
        <v>5</v>
      </c>
      <c r="G1814" s="468">
        <v>4.0911764705882359</v>
      </c>
      <c r="H1814" s="479">
        <v>20.455882352941181</v>
      </c>
      <c r="I1814" s="468" t="s">
        <v>9218</v>
      </c>
      <c r="J1814" s="468" t="s">
        <v>9219</v>
      </c>
      <c r="K1814" s="468" t="s">
        <v>9219</v>
      </c>
      <c r="L1814" s="468" t="s">
        <v>2354</v>
      </c>
    </row>
    <row r="1815" spans="1:12" x14ac:dyDescent="0.25">
      <c r="A1815" s="468" t="s">
        <v>220</v>
      </c>
      <c r="B1815" s="468" t="s">
        <v>2351</v>
      </c>
      <c r="C1815" s="468" t="s">
        <v>4504</v>
      </c>
      <c r="D1815" s="468" t="s">
        <v>4505</v>
      </c>
      <c r="F1815" s="470">
        <v>3</v>
      </c>
      <c r="G1815" s="468">
        <v>12.260434210526316</v>
      </c>
      <c r="H1815" s="479">
        <v>36.781302631578953</v>
      </c>
      <c r="I1815" s="468" t="s">
        <v>9218</v>
      </c>
      <c r="J1815" s="468" t="s">
        <v>9219</v>
      </c>
      <c r="K1815" s="468" t="s">
        <v>9219</v>
      </c>
      <c r="L1815" s="468" t="s">
        <v>2354</v>
      </c>
    </row>
    <row r="1816" spans="1:12" x14ac:dyDescent="0.25">
      <c r="A1816" s="468" t="s">
        <v>220</v>
      </c>
      <c r="B1816" s="468" t="s">
        <v>2351</v>
      </c>
      <c r="C1816" s="468" t="s">
        <v>4506</v>
      </c>
      <c r="D1816" s="468" t="s">
        <v>4507</v>
      </c>
      <c r="F1816" s="470">
        <v>2</v>
      </c>
      <c r="G1816" s="468">
        <v>55.295999999999999</v>
      </c>
      <c r="H1816" s="479">
        <v>110.592</v>
      </c>
      <c r="I1816" s="468" t="s">
        <v>9218</v>
      </c>
      <c r="J1816" s="468" t="s">
        <v>9219</v>
      </c>
      <c r="K1816" s="468" t="s">
        <v>9219</v>
      </c>
      <c r="L1816" s="468" t="s">
        <v>2354</v>
      </c>
    </row>
    <row r="1817" spans="1:12" x14ac:dyDescent="0.25">
      <c r="A1817" s="468" t="s">
        <v>220</v>
      </c>
      <c r="B1817" s="468" t="s">
        <v>2351</v>
      </c>
      <c r="C1817" s="468" t="s">
        <v>4508</v>
      </c>
      <c r="D1817" s="468" t="s">
        <v>4509</v>
      </c>
      <c r="F1817" s="470">
        <v>3</v>
      </c>
      <c r="G1817" s="468">
        <v>19.321999999999999</v>
      </c>
      <c r="H1817" s="479">
        <v>57.965999999999994</v>
      </c>
      <c r="I1817" s="468" t="s">
        <v>9218</v>
      </c>
      <c r="J1817" s="468" t="s">
        <v>9219</v>
      </c>
      <c r="K1817" s="468" t="s">
        <v>9219</v>
      </c>
      <c r="L1817" s="468" t="s">
        <v>2354</v>
      </c>
    </row>
    <row r="1818" spans="1:12" x14ac:dyDescent="0.25">
      <c r="A1818" s="468" t="s">
        <v>220</v>
      </c>
      <c r="B1818" s="468" t="s">
        <v>2351</v>
      </c>
      <c r="C1818" s="468" t="s">
        <v>4522</v>
      </c>
      <c r="D1818" s="468" t="s">
        <v>4523</v>
      </c>
      <c r="F1818" s="470">
        <v>8</v>
      </c>
      <c r="G1818" s="468">
        <v>10.9215</v>
      </c>
      <c r="H1818" s="479">
        <v>87.372</v>
      </c>
      <c r="I1818" s="468" t="s">
        <v>9218</v>
      </c>
      <c r="J1818" s="468" t="s">
        <v>9219</v>
      </c>
      <c r="K1818" s="468" t="s">
        <v>9219</v>
      </c>
      <c r="L1818" s="468" t="s">
        <v>2354</v>
      </c>
    </row>
    <row r="1819" spans="1:12" x14ac:dyDescent="0.25">
      <c r="A1819" s="468" t="s">
        <v>220</v>
      </c>
      <c r="B1819" s="468" t="s">
        <v>2351</v>
      </c>
      <c r="C1819" s="468" t="s">
        <v>4526</v>
      </c>
      <c r="D1819" s="468" t="s">
        <v>4527</v>
      </c>
      <c r="F1819" s="470">
        <v>7</v>
      </c>
      <c r="G1819" s="468">
        <v>28.6</v>
      </c>
      <c r="H1819" s="479">
        <v>200.20000000000002</v>
      </c>
      <c r="I1819" s="468" t="s">
        <v>9218</v>
      </c>
      <c r="J1819" s="468" t="s">
        <v>9219</v>
      </c>
      <c r="K1819" s="468" t="s">
        <v>9219</v>
      </c>
      <c r="L1819" s="468" t="s">
        <v>2354</v>
      </c>
    </row>
    <row r="1820" spans="1:12" x14ac:dyDescent="0.25">
      <c r="A1820" s="468" t="s">
        <v>220</v>
      </c>
      <c r="B1820" s="468" t="s">
        <v>2351</v>
      </c>
      <c r="C1820" s="468" t="s">
        <v>4528</v>
      </c>
      <c r="D1820" s="468" t="s">
        <v>4529</v>
      </c>
      <c r="F1820" s="470">
        <v>6</v>
      </c>
      <c r="G1820" s="468">
        <v>92.9</v>
      </c>
      <c r="H1820" s="479">
        <v>557.40000000000009</v>
      </c>
      <c r="I1820" s="468" t="s">
        <v>9218</v>
      </c>
      <c r="J1820" s="468" t="s">
        <v>9219</v>
      </c>
      <c r="K1820" s="468" t="s">
        <v>9219</v>
      </c>
      <c r="L1820" s="468" t="s">
        <v>2354</v>
      </c>
    </row>
    <row r="1821" spans="1:12" x14ac:dyDescent="0.25">
      <c r="A1821" s="468" t="s">
        <v>220</v>
      </c>
      <c r="B1821" s="468" t="s">
        <v>2351</v>
      </c>
      <c r="C1821" s="468" t="s">
        <v>4530</v>
      </c>
      <c r="D1821" s="468" t="s">
        <v>4531</v>
      </c>
      <c r="F1821" s="470">
        <v>7</v>
      </c>
      <c r="G1821" s="468">
        <v>13.714</v>
      </c>
      <c r="H1821" s="479">
        <v>95.998000000000005</v>
      </c>
      <c r="I1821" s="468" t="s">
        <v>9218</v>
      </c>
      <c r="J1821" s="468" t="s">
        <v>9219</v>
      </c>
      <c r="K1821" s="468" t="s">
        <v>9219</v>
      </c>
      <c r="L1821" s="468" t="s">
        <v>2354</v>
      </c>
    </row>
    <row r="1822" spans="1:12" x14ac:dyDescent="0.25">
      <c r="A1822" s="468" t="s">
        <v>220</v>
      </c>
      <c r="B1822" s="468" t="s">
        <v>2351</v>
      </c>
      <c r="C1822" s="468" t="s">
        <v>4532</v>
      </c>
      <c r="D1822" s="468" t="s">
        <v>4533</v>
      </c>
      <c r="F1822" s="470">
        <v>2</v>
      </c>
      <c r="G1822" s="468">
        <v>49.009</v>
      </c>
      <c r="H1822" s="479">
        <v>98.018000000000001</v>
      </c>
      <c r="I1822" s="468" t="s">
        <v>9218</v>
      </c>
      <c r="J1822" s="468" t="s">
        <v>9219</v>
      </c>
      <c r="K1822" s="468" t="s">
        <v>9219</v>
      </c>
      <c r="L1822" s="468" t="s">
        <v>2354</v>
      </c>
    </row>
    <row r="1823" spans="1:12" x14ac:dyDescent="0.25">
      <c r="A1823" s="468" t="s">
        <v>220</v>
      </c>
      <c r="B1823" s="468" t="s">
        <v>2351</v>
      </c>
      <c r="C1823" s="468" t="s">
        <v>4534</v>
      </c>
      <c r="D1823" s="468" t="s">
        <v>4535</v>
      </c>
      <c r="F1823" s="470">
        <v>38</v>
      </c>
      <c r="G1823" s="468">
        <v>5.85</v>
      </c>
      <c r="H1823" s="479">
        <v>222.29999999999998</v>
      </c>
      <c r="I1823" s="468" t="s">
        <v>9218</v>
      </c>
      <c r="J1823" s="468" t="s">
        <v>9219</v>
      </c>
      <c r="K1823" s="468" t="s">
        <v>9219</v>
      </c>
      <c r="L1823" s="468" t="s">
        <v>2354</v>
      </c>
    </row>
    <row r="1824" spans="1:12" x14ac:dyDescent="0.25">
      <c r="A1824" s="468" t="s">
        <v>220</v>
      </c>
      <c r="B1824" s="468" t="s">
        <v>2351</v>
      </c>
      <c r="C1824" s="468" t="s">
        <v>4536</v>
      </c>
      <c r="D1824" s="468" t="s">
        <v>4537</v>
      </c>
      <c r="F1824" s="470">
        <v>20</v>
      </c>
      <c r="G1824" s="468">
        <v>9.2050000000000001</v>
      </c>
      <c r="H1824" s="479">
        <v>184.1</v>
      </c>
      <c r="I1824" s="468" t="s">
        <v>9218</v>
      </c>
      <c r="J1824" s="468" t="s">
        <v>9219</v>
      </c>
      <c r="K1824" s="468" t="s">
        <v>9219</v>
      </c>
      <c r="L1824" s="468" t="s">
        <v>2354</v>
      </c>
    </row>
    <row r="1825" spans="1:12" x14ac:dyDescent="0.25">
      <c r="A1825" s="468" t="s">
        <v>220</v>
      </c>
      <c r="B1825" s="468" t="s">
        <v>2351</v>
      </c>
      <c r="C1825" s="468" t="s">
        <v>4546</v>
      </c>
      <c r="D1825" s="468" t="s">
        <v>4547</v>
      </c>
      <c r="F1825" s="470">
        <v>33</v>
      </c>
      <c r="G1825" s="468">
        <v>10.228899999999999</v>
      </c>
      <c r="H1825" s="479">
        <v>337.55369999999999</v>
      </c>
      <c r="I1825" s="468" t="s">
        <v>9218</v>
      </c>
      <c r="J1825" s="468" t="s">
        <v>9219</v>
      </c>
      <c r="K1825" s="468" t="s">
        <v>9219</v>
      </c>
      <c r="L1825" s="468" t="s">
        <v>2354</v>
      </c>
    </row>
    <row r="1826" spans="1:12" x14ac:dyDescent="0.25">
      <c r="A1826" s="468" t="s">
        <v>220</v>
      </c>
      <c r="B1826" s="468" t="s">
        <v>2351</v>
      </c>
      <c r="D1826" s="468" t="s">
        <v>9355</v>
      </c>
      <c r="F1826" s="470">
        <v>7</v>
      </c>
      <c r="G1826" s="468">
        <v>21.5</v>
      </c>
      <c r="H1826" s="479">
        <v>150.5</v>
      </c>
      <c r="I1826" s="468" t="s">
        <v>9218</v>
      </c>
      <c r="J1826" s="468" t="s">
        <v>9219</v>
      </c>
      <c r="K1826" s="468" t="s">
        <v>9219</v>
      </c>
      <c r="L1826" s="468" t="s">
        <v>2354</v>
      </c>
    </row>
    <row r="1827" spans="1:12" x14ac:dyDescent="0.25">
      <c r="A1827" s="468" t="s">
        <v>220</v>
      </c>
      <c r="B1827" s="468" t="s">
        <v>2351</v>
      </c>
      <c r="C1827" s="468" t="s">
        <v>4550</v>
      </c>
      <c r="D1827" s="468" t="s">
        <v>4551</v>
      </c>
      <c r="F1827" s="470">
        <v>7</v>
      </c>
      <c r="G1827" s="468">
        <v>11.145</v>
      </c>
      <c r="H1827" s="479">
        <v>78.015000000000001</v>
      </c>
      <c r="I1827" s="468" t="s">
        <v>9218</v>
      </c>
      <c r="J1827" s="468" t="s">
        <v>9219</v>
      </c>
      <c r="K1827" s="468" t="s">
        <v>9219</v>
      </c>
      <c r="L1827" s="468" t="s">
        <v>2354</v>
      </c>
    </row>
    <row r="1828" spans="1:12" x14ac:dyDescent="0.25">
      <c r="A1828" s="468" t="s">
        <v>220</v>
      </c>
      <c r="B1828" s="468" t="s">
        <v>2351</v>
      </c>
      <c r="C1828" s="468" t="s">
        <v>4554</v>
      </c>
      <c r="D1828" s="468" t="s">
        <v>4555</v>
      </c>
      <c r="F1828" s="470">
        <v>5</v>
      </c>
      <c r="G1828" s="468">
        <v>10.648</v>
      </c>
      <c r="H1828" s="479">
        <v>53.239999999999995</v>
      </c>
      <c r="I1828" s="468" t="s">
        <v>9218</v>
      </c>
      <c r="J1828" s="468" t="s">
        <v>9219</v>
      </c>
      <c r="K1828" s="468" t="s">
        <v>9219</v>
      </c>
      <c r="L1828" s="468" t="s">
        <v>2354</v>
      </c>
    </row>
    <row r="1829" spans="1:12" x14ac:dyDescent="0.25">
      <c r="A1829" s="468" t="s">
        <v>220</v>
      </c>
      <c r="B1829" s="468" t="s">
        <v>2351</v>
      </c>
      <c r="C1829" s="468" t="s">
        <v>4556</v>
      </c>
      <c r="D1829" s="468" t="s">
        <v>4557</v>
      </c>
      <c r="F1829" s="470">
        <v>8</v>
      </c>
      <c r="G1829" s="468">
        <v>19.187999999999999</v>
      </c>
      <c r="H1829" s="479">
        <v>153.50399999999999</v>
      </c>
      <c r="I1829" s="468" t="s">
        <v>9218</v>
      </c>
      <c r="J1829" s="468" t="s">
        <v>9219</v>
      </c>
      <c r="K1829" s="468" t="s">
        <v>9219</v>
      </c>
      <c r="L1829" s="468" t="s">
        <v>2354</v>
      </c>
    </row>
    <row r="1830" spans="1:12" x14ac:dyDescent="0.25">
      <c r="A1830" s="468" t="s">
        <v>220</v>
      </c>
      <c r="B1830" s="468" t="s">
        <v>2351</v>
      </c>
      <c r="C1830" s="468" t="s">
        <v>4558</v>
      </c>
      <c r="D1830" s="468" t="s">
        <v>4559</v>
      </c>
      <c r="F1830" s="470">
        <v>24</v>
      </c>
      <c r="G1830" s="468">
        <v>0.435</v>
      </c>
      <c r="H1830" s="479">
        <v>10.44</v>
      </c>
      <c r="I1830" s="468" t="s">
        <v>9218</v>
      </c>
      <c r="J1830" s="468" t="s">
        <v>9219</v>
      </c>
      <c r="K1830" s="468" t="s">
        <v>9219</v>
      </c>
      <c r="L1830" s="468" t="s">
        <v>2354</v>
      </c>
    </row>
    <row r="1831" spans="1:12" x14ac:dyDescent="0.25">
      <c r="A1831" s="468" t="s">
        <v>220</v>
      </c>
      <c r="B1831" s="468" t="s">
        <v>2351</v>
      </c>
      <c r="C1831" s="468" t="s">
        <v>4560</v>
      </c>
      <c r="D1831" s="468" t="s">
        <v>4561</v>
      </c>
      <c r="F1831" s="470">
        <v>7</v>
      </c>
      <c r="G1831" s="468">
        <v>8.9359999999999999</v>
      </c>
      <c r="H1831" s="479">
        <v>62.552</v>
      </c>
      <c r="I1831" s="468" t="s">
        <v>9218</v>
      </c>
      <c r="J1831" s="468" t="s">
        <v>9219</v>
      </c>
      <c r="K1831" s="468" t="s">
        <v>9219</v>
      </c>
      <c r="L1831" s="468" t="s">
        <v>2354</v>
      </c>
    </row>
    <row r="1832" spans="1:12" x14ac:dyDescent="0.25">
      <c r="A1832" s="468" t="s">
        <v>220</v>
      </c>
      <c r="B1832" s="468" t="s">
        <v>2351</v>
      </c>
      <c r="C1832" s="468" t="s">
        <v>4562</v>
      </c>
      <c r="D1832" s="468" t="s">
        <v>4563</v>
      </c>
      <c r="F1832" s="470">
        <v>21</v>
      </c>
      <c r="G1832" s="468">
        <v>8.0749999999999993</v>
      </c>
      <c r="H1832" s="479">
        <v>169.57499999999999</v>
      </c>
      <c r="I1832" s="468" t="s">
        <v>9218</v>
      </c>
      <c r="J1832" s="468" t="s">
        <v>9219</v>
      </c>
      <c r="K1832" s="468" t="s">
        <v>9219</v>
      </c>
      <c r="L1832" s="468" t="s">
        <v>2354</v>
      </c>
    </row>
    <row r="1833" spans="1:12" x14ac:dyDescent="0.25">
      <c r="A1833" s="468" t="s">
        <v>220</v>
      </c>
      <c r="B1833" s="468" t="s">
        <v>2351</v>
      </c>
      <c r="C1833" s="468" t="s">
        <v>4564</v>
      </c>
      <c r="D1833" s="468" t="s">
        <v>4565</v>
      </c>
      <c r="F1833" s="470">
        <v>5</v>
      </c>
      <c r="G1833" s="468">
        <v>23.204999999999998</v>
      </c>
      <c r="H1833" s="479">
        <v>116.02499999999999</v>
      </c>
      <c r="I1833" s="468" t="s">
        <v>9218</v>
      </c>
      <c r="J1833" s="468" t="s">
        <v>9219</v>
      </c>
      <c r="K1833" s="468" t="s">
        <v>9219</v>
      </c>
      <c r="L1833" s="468" t="s">
        <v>2354</v>
      </c>
    </row>
    <row r="1834" spans="1:12" x14ac:dyDescent="0.25">
      <c r="A1834" s="468" t="s">
        <v>220</v>
      </c>
      <c r="B1834" s="468" t="s">
        <v>2351</v>
      </c>
      <c r="C1834" s="468" t="s">
        <v>4566</v>
      </c>
      <c r="D1834" s="468" t="s">
        <v>4567</v>
      </c>
      <c r="F1834" s="470">
        <v>8</v>
      </c>
      <c r="G1834" s="468">
        <v>17.434999999999999</v>
      </c>
      <c r="H1834" s="479">
        <v>139.47999999999999</v>
      </c>
      <c r="I1834" s="468" t="s">
        <v>9218</v>
      </c>
      <c r="J1834" s="468" t="s">
        <v>9219</v>
      </c>
      <c r="K1834" s="468" t="s">
        <v>9219</v>
      </c>
      <c r="L1834" s="468" t="s">
        <v>2354</v>
      </c>
    </row>
    <row r="1835" spans="1:12" x14ac:dyDescent="0.25">
      <c r="A1835" s="468" t="s">
        <v>220</v>
      </c>
      <c r="B1835" s="468" t="s">
        <v>2351</v>
      </c>
      <c r="C1835" s="468" t="s">
        <v>4570</v>
      </c>
      <c r="D1835" s="468" t="s">
        <v>4571</v>
      </c>
      <c r="F1835" s="470">
        <v>2</v>
      </c>
      <c r="G1835" s="468">
        <v>12.852</v>
      </c>
      <c r="H1835" s="479">
        <v>25.704000000000001</v>
      </c>
      <c r="I1835" s="468" t="s">
        <v>9218</v>
      </c>
      <c r="J1835" s="468" t="s">
        <v>9219</v>
      </c>
      <c r="K1835" s="468" t="s">
        <v>9219</v>
      </c>
      <c r="L1835" s="468" t="s">
        <v>2354</v>
      </c>
    </row>
    <row r="1836" spans="1:12" x14ac:dyDescent="0.25">
      <c r="A1836" s="468" t="s">
        <v>220</v>
      </c>
      <c r="B1836" s="468" t="s">
        <v>2351</v>
      </c>
      <c r="C1836" s="468" t="s">
        <v>4572</v>
      </c>
      <c r="D1836" s="468" t="s">
        <v>4573</v>
      </c>
      <c r="F1836" s="470">
        <v>45</v>
      </c>
      <c r="G1836" s="468">
        <v>9.9314999999999998</v>
      </c>
      <c r="H1836" s="479">
        <v>446.91750000000002</v>
      </c>
      <c r="I1836" s="468" t="s">
        <v>9218</v>
      </c>
      <c r="J1836" s="468" t="s">
        <v>9219</v>
      </c>
      <c r="K1836" s="468" t="s">
        <v>9219</v>
      </c>
      <c r="L1836" s="468" t="s">
        <v>2354</v>
      </c>
    </row>
    <row r="1837" spans="1:12" x14ac:dyDescent="0.25">
      <c r="A1837" s="468" t="s">
        <v>220</v>
      </c>
      <c r="B1837" s="468" t="s">
        <v>2351</v>
      </c>
      <c r="C1837" s="468" t="s">
        <v>4574</v>
      </c>
      <c r="D1837" s="468" t="s">
        <v>4575</v>
      </c>
      <c r="F1837" s="470">
        <v>6</v>
      </c>
      <c r="G1837" s="468">
        <v>1.3748181818181817</v>
      </c>
      <c r="H1837" s="479">
        <v>8.2489090909090912</v>
      </c>
      <c r="I1837" s="468" t="s">
        <v>9218</v>
      </c>
      <c r="J1837" s="468" t="s">
        <v>9219</v>
      </c>
      <c r="K1837" s="468" t="s">
        <v>9219</v>
      </c>
      <c r="L1837" s="468" t="s">
        <v>2354</v>
      </c>
    </row>
    <row r="1838" spans="1:12" x14ac:dyDescent="0.25">
      <c r="A1838" s="468" t="s">
        <v>220</v>
      </c>
      <c r="B1838" s="468" t="s">
        <v>2351</v>
      </c>
      <c r="C1838" s="468" t="s">
        <v>4576</v>
      </c>
      <c r="D1838" s="468" t="s">
        <v>4577</v>
      </c>
      <c r="F1838" s="470">
        <v>2</v>
      </c>
      <c r="H1838" s="479">
        <v>0</v>
      </c>
      <c r="I1838" s="468" t="s">
        <v>9218</v>
      </c>
      <c r="J1838" s="468" t="s">
        <v>9219</v>
      </c>
      <c r="K1838" s="468" t="s">
        <v>9219</v>
      </c>
      <c r="L1838" s="468" t="s">
        <v>2354</v>
      </c>
    </row>
    <row r="1839" spans="1:12" x14ac:dyDescent="0.25">
      <c r="A1839" s="468" t="s">
        <v>220</v>
      </c>
      <c r="B1839" s="468" t="s">
        <v>2351</v>
      </c>
      <c r="C1839" s="468" t="s">
        <v>4578</v>
      </c>
      <c r="D1839" s="468" t="s">
        <v>4579</v>
      </c>
      <c r="F1839" s="470">
        <v>2</v>
      </c>
      <c r="H1839" s="479">
        <v>0</v>
      </c>
      <c r="I1839" s="468" t="s">
        <v>9218</v>
      </c>
      <c r="J1839" s="468" t="s">
        <v>9219</v>
      </c>
      <c r="K1839" s="468" t="s">
        <v>9219</v>
      </c>
      <c r="L1839" s="468" t="s">
        <v>2354</v>
      </c>
    </row>
    <row r="1840" spans="1:12" x14ac:dyDescent="0.25">
      <c r="A1840" s="468" t="s">
        <v>220</v>
      </c>
      <c r="B1840" s="468" t="s">
        <v>2351</v>
      </c>
      <c r="C1840" s="468" t="s">
        <v>4580</v>
      </c>
      <c r="D1840" s="468" t="s">
        <v>4581</v>
      </c>
      <c r="F1840" s="470">
        <v>3</v>
      </c>
      <c r="G1840" s="468">
        <v>46.904000000000003</v>
      </c>
      <c r="H1840" s="479">
        <v>140.71200000000002</v>
      </c>
      <c r="I1840" s="468" t="s">
        <v>9218</v>
      </c>
      <c r="J1840" s="468" t="s">
        <v>9219</v>
      </c>
      <c r="K1840" s="468" t="s">
        <v>9219</v>
      </c>
      <c r="L1840" s="468" t="s">
        <v>2354</v>
      </c>
    </row>
    <row r="1841" spans="1:12" x14ac:dyDescent="0.25">
      <c r="A1841" s="468" t="s">
        <v>220</v>
      </c>
      <c r="B1841" s="468" t="s">
        <v>2351</v>
      </c>
      <c r="C1841" s="468" t="s">
        <v>4582</v>
      </c>
      <c r="D1841" s="468" t="s">
        <v>4583</v>
      </c>
      <c r="F1841" s="470">
        <v>2</v>
      </c>
      <c r="G1841" s="468">
        <v>4.8380000000000001</v>
      </c>
      <c r="H1841" s="479">
        <v>9.6760000000000002</v>
      </c>
      <c r="I1841" s="468" t="s">
        <v>9218</v>
      </c>
      <c r="J1841" s="468" t="s">
        <v>9219</v>
      </c>
      <c r="K1841" s="468" t="s">
        <v>9219</v>
      </c>
      <c r="L1841" s="468" t="s">
        <v>2354</v>
      </c>
    </row>
    <row r="1842" spans="1:12" x14ac:dyDescent="0.25">
      <c r="A1842" s="468" t="s">
        <v>220</v>
      </c>
      <c r="B1842" s="468" t="s">
        <v>2351</v>
      </c>
      <c r="C1842" s="468" t="s">
        <v>4628</v>
      </c>
      <c r="D1842" s="468" t="s">
        <v>4629</v>
      </c>
      <c r="F1842" s="470">
        <v>1</v>
      </c>
      <c r="G1842" s="468">
        <v>122.95</v>
      </c>
      <c r="H1842" s="479">
        <v>122.95</v>
      </c>
      <c r="I1842" s="468" t="s">
        <v>9218</v>
      </c>
      <c r="J1842" s="468" t="s">
        <v>9219</v>
      </c>
      <c r="K1842" s="468" t="s">
        <v>9219</v>
      </c>
      <c r="L1842" s="468" t="s">
        <v>2354</v>
      </c>
    </row>
    <row r="1843" spans="1:12" x14ac:dyDescent="0.25">
      <c r="A1843" s="468" t="s">
        <v>220</v>
      </c>
      <c r="B1843" s="468" t="s">
        <v>2351</v>
      </c>
      <c r="C1843" s="468" t="s">
        <v>4630</v>
      </c>
      <c r="D1843" s="468" t="s">
        <v>4631</v>
      </c>
      <c r="F1843" s="470">
        <v>2</v>
      </c>
      <c r="G1843" s="468">
        <v>47.65</v>
      </c>
      <c r="H1843" s="479">
        <v>95.3</v>
      </c>
      <c r="I1843" s="468" t="s">
        <v>9218</v>
      </c>
      <c r="J1843" s="468" t="s">
        <v>9219</v>
      </c>
      <c r="K1843" s="468" t="s">
        <v>9219</v>
      </c>
      <c r="L1843" s="468" t="s">
        <v>2354</v>
      </c>
    </row>
    <row r="1844" spans="1:12" x14ac:dyDescent="0.25">
      <c r="A1844" s="468" t="s">
        <v>220</v>
      </c>
      <c r="B1844" s="468" t="s">
        <v>2351</v>
      </c>
      <c r="C1844" s="468" t="s">
        <v>4632</v>
      </c>
      <c r="D1844" s="468" t="s">
        <v>4633</v>
      </c>
      <c r="F1844" s="470">
        <v>1</v>
      </c>
      <c r="H1844" s="479">
        <v>0</v>
      </c>
      <c r="I1844" s="468" t="s">
        <v>9218</v>
      </c>
      <c r="J1844" s="468" t="s">
        <v>9219</v>
      </c>
      <c r="K1844" s="468" t="s">
        <v>9219</v>
      </c>
      <c r="L1844" s="468" t="s">
        <v>2354</v>
      </c>
    </row>
    <row r="1845" spans="1:12" x14ac:dyDescent="0.25">
      <c r="A1845" s="468" t="s">
        <v>220</v>
      </c>
      <c r="B1845" s="468" t="s">
        <v>2351</v>
      </c>
      <c r="C1845" s="468" t="s">
        <v>4634</v>
      </c>
      <c r="D1845" s="468" t="s">
        <v>4635</v>
      </c>
      <c r="F1845" s="470">
        <v>2</v>
      </c>
      <c r="G1845" s="468">
        <v>396.15</v>
      </c>
      <c r="H1845" s="479">
        <v>792.3</v>
      </c>
      <c r="I1845" s="468" t="s">
        <v>9218</v>
      </c>
      <c r="J1845" s="468" t="s">
        <v>9219</v>
      </c>
      <c r="K1845" s="468" t="s">
        <v>9219</v>
      </c>
      <c r="L1845" s="468" t="s">
        <v>2354</v>
      </c>
    </row>
    <row r="1846" spans="1:12" x14ac:dyDescent="0.25">
      <c r="A1846" s="468" t="s">
        <v>220</v>
      </c>
      <c r="B1846" s="468" t="s">
        <v>2351</v>
      </c>
      <c r="C1846" s="468" t="s">
        <v>4746</v>
      </c>
      <c r="D1846" s="468" t="s">
        <v>4747</v>
      </c>
      <c r="F1846" s="470">
        <v>1</v>
      </c>
      <c r="G1846" s="468">
        <v>8.3166666666666664</v>
      </c>
      <c r="H1846" s="479">
        <v>8.3166666666666664</v>
      </c>
      <c r="I1846" s="468" t="s">
        <v>9218</v>
      </c>
      <c r="J1846" s="468" t="s">
        <v>9219</v>
      </c>
      <c r="K1846" s="468" t="s">
        <v>9219</v>
      </c>
      <c r="L1846" s="468" t="s">
        <v>2354</v>
      </c>
    </row>
    <row r="1847" spans="1:12" x14ac:dyDescent="0.25">
      <c r="A1847" s="468" t="s">
        <v>220</v>
      </c>
      <c r="B1847" s="468" t="s">
        <v>2351</v>
      </c>
      <c r="C1847" s="468" t="s">
        <v>4750</v>
      </c>
      <c r="D1847" s="468" t="s">
        <v>4751</v>
      </c>
      <c r="F1847" s="470">
        <v>8</v>
      </c>
      <c r="G1847" s="468">
        <v>7.6760000000000002</v>
      </c>
      <c r="H1847" s="479">
        <v>61.408000000000001</v>
      </c>
      <c r="I1847" s="468" t="s">
        <v>9218</v>
      </c>
      <c r="J1847" s="468" t="s">
        <v>9219</v>
      </c>
      <c r="K1847" s="468" t="s">
        <v>9219</v>
      </c>
      <c r="L1847" s="468" t="s">
        <v>2354</v>
      </c>
    </row>
    <row r="1848" spans="1:12" x14ac:dyDescent="0.25">
      <c r="A1848" s="468" t="s">
        <v>220</v>
      </c>
      <c r="B1848" s="468" t="s">
        <v>2351</v>
      </c>
      <c r="C1848" s="468" t="s">
        <v>4770</v>
      </c>
      <c r="D1848" s="468" t="s">
        <v>4771</v>
      </c>
      <c r="F1848" s="470">
        <v>25</v>
      </c>
      <c r="G1848" s="468">
        <v>3.6360000000000001</v>
      </c>
      <c r="H1848" s="479">
        <v>90.9</v>
      </c>
      <c r="I1848" s="468" t="s">
        <v>9218</v>
      </c>
      <c r="J1848" s="468" t="s">
        <v>9219</v>
      </c>
      <c r="K1848" s="468" t="s">
        <v>9219</v>
      </c>
      <c r="L1848" s="468" t="s">
        <v>2354</v>
      </c>
    </row>
    <row r="1849" spans="1:12" x14ac:dyDescent="0.25">
      <c r="A1849" s="468" t="s">
        <v>220</v>
      </c>
      <c r="B1849" s="468" t="s">
        <v>2351</v>
      </c>
      <c r="C1849" s="468" t="s">
        <v>4778</v>
      </c>
      <c r="D1849" s="468" t="s">
        <v>4779</v>
      </c>
      <c r="F1849" s="470">
        <v>45</v>
      </c>
      <c r="G1849" s="468">
        <v>6.06</v>
      </c>
      <c r="H1849" s="479">
        <v>272.7</v>
      </c>
      <c r="I1849" s="468" t="s">
        <v>9218</v>
      </c>
      <c r="J1849" s="468" t="s">
        <v>9219</v>
      </c>
      <c r="K1849" s="468" t="s">
        <v>9219</v>
      </c>
      <c r="L1849" s="468" t="s">
        <v>2354</v>
      </c>
    </row>
    <row r="1850" spans="1:12" x14ac:dyDescent="0.25">
      <c r="A1850" s="468" t="s">
        <v>220</v>
      </c>
      <c r="B1850" s="468" t="s">
        <v>2351</v>
      </c>
      <c r="C1850" s="468" t="s">
        <v>4790</v>
      </c>
      <c r="D1850" s="468" t="s">
        <v>4791</v>
      </c>
      <c r="F1850" s="470">
        <v>7</v>
      </c>
      <c r="G1850" s="468">
        <v>5.7065000000000001</v>
      </c>
      <c r="H1850" s="479">
        <v>39.945500000000003</v>
      </c>
      <c r="I1850" s="468" t="s">
        <v>9218</v>
      </c>
      <c r="J1850" s="468" t="s">
        <v>9219</v>
      </c>
      <c r="K1850" s="468" t="s">
        <v>9219</v>
      </c>
      <c r="L1850" s="468" t="s">
        <v>2354</v>
      </c>
    </row>
    <row r="1851" spans="1:12" x14ac:dyDescent="0.25">
      <c r="A1851" s="468" t="s">
        <v>220</v>
      </c>
      <c r="B1851" s="468" t="s">
        <v>2351</v>
      </c>
      <c r="C1851" s="468" t="s">
        <v>5058</v>
      </c>
      <c r="D1851" s="468" t="s">
        <v>5059</v>
      </c>
      <c r="F1851" s="470">
        <v>780</v>
      </c>
      <c r="G1851" s="468">
        <v>2.282</v>
      </c>
      <c r="H1851" s="479">
        <v>1779.96</v>
      </c>
      <c r="I1851" s="468" t="s">
        <v>9218</v>
      </c>
      <c r="J1851" s="468" t="s">
        <v>9219</v>
      </c>
      <c r="K1851" s="468" t="s">
        <v>9219</v>
      </c>
      <c r="L1851" s="468" t="s">
        <v>2354</v>
      </c>
    </row>
    <row r="1852" spans="1:12" x14ac:dyDescent="0.25">
      <c r="A1852" s="468" t="s">
        <v>220</v>
      </c>
      <c r="B1852" s="468" t="s">
        <v>2351</v>
      </c>
      <c r="C1852" s="468" t="s">
        <v>5096</v>
      </c>
      <c r="D1852" s="468" t="s">
        <v>5097</v>
      </c>
      <c r="F1852" s="470">
        <v>153</v>
      </c>
      <c r="G1852" s="468">
        <v>5.9085000000000001</v>
      </c>
      <c r="H1852" s="479">
        <v>904.00049999999999</v>
      </c>
      <c r="I1852" s="468" t="s">
        <v>9218</v>
      </c>
      <c r="J1852" s="468" t="s">
        <v>9219</v>
      </c>
      <c r="K1852" s="468" t="s">
        <v>9219</v>
      </c>
      <c r="L1852" s="468" t="s">
        <v>2354</v>
      </c>
    </row>
    <row r="1853" spans="1:12" x14ac:dyDescent="0.25">
      <c r="A1853" s="468" t="s">
        <v>220</v>
      </c>
      <c r="B1853" s="468" t="s">
        <v>2351</v>
      </c>
      <c r="C1853" s="468" t="s">
        <v>5108</v>
      </c>
      <c r="D1853" s="468" t="s">
        <v>5109</v>
      </c>
      <c r="F1853" s="470">
        <v>35</v>
      </c>
      <c r="H1853" s="479">
        <v>0</v>
      </c>
      <c r="I1853" s="468" t="s">
        <v>9218</v>
      </c>
      <c r="J1853" s="468" t="s">
        <v>9219</v>
      </c>
      <c r="K1853" s="468" t="s">
        <v>9219</v>
      </c>
      <c r="L1853" s="468" t="s">
        <v>2354</v>
      </c>
    </row>
    <row r="1854" spans="1:12" x14ac:dyDescent="0.25">
      <c r="A1854" s="468" t="s">
        <v>220</v>
      </c>
      <c r="B1854" s="468" t="s">
        <v>2351</v>
      </c>
      <c r="C1854" s="468" t="s">
        <v>5134</v>
      </c>
      <c r="D1854" s="468" t="s">
        <v>5135</v>
      </c>
      <c r="F1854" s="470">
        <v>93</v>
      </c>
      <c r="H1854" s="479">
        <v>0</v>
      </c>
      <c r="I1854" s="468" t="s">
        <v>9218</v>
      </c>
      <c r="J1854" s="468" t="s">
        <v>9219</v>
      </c>
      <c r="K1854" s="468" t="s">
        <v>9219</v>
      </c>
      <c r="L1854" s="468" t="s">
        <v>2354</v>
      </c>
    </row>
    <row r="1855" spans="1:12" x14ac:dyDescent="0.25">
      <c r="A1855" s="468" t="s">
        <v>220</v>
      </c>
      <c r="B1855" s="468" t="s">
        <v>2351</v>
      </c>
      <c r="C1855" s="468" t="s">
        <v>5154</v>
      </c>
      <c r="D1855" s="468" t="s">
        <v>5155</v>
      </c>
      <c r="F1855" s="470">
        <v>34</v>
      </c>
      <c r="G1855" s="468">
        <v>6.2240000000000002</v>
      </c>
      <c r="H1855" s="479">
        <v>211.61600000000001</v>
      </c>
      <c r="I1855" s="468" t="s">
        <v>9218</v>
      </c>
      <c r="J1855" s="468" t="s">
        <v>9219</v>
      </c>
      <c r="K1855" s="468" t="s">
        <v>9219</v>
      </c>
      <c r="L1855" s="468" t="s">
        <v>2354</v>
      </c>
    </row>
    <row r="1856" spans="1:12" x14ac:dyDescent="0.25">
      <c r="A1856" s="468" t="s">
        <v>220</v>
      </c>
      <c r="B1856" s="468" t="s">
        <v>2351</v>
      </c>
      <c r="C1856" s="468" t="s">
        <v>5170</v>
      </c>
      <c r="D1856" s="468" t="s">
        <v>5171</v>
      </c>
      <c r="F1856" s="470">
        <v>3</v>
      </c>
      <c r="G1856" s="468">
        <v>8.6292000000000009</v>
      </c>
      <c r="H1856" s="479">
        <v>25.887600000000003</v>
      </c>
      <c r="I1856" s="468" t="s">
        <v>9218</v>
      </c>
      <c r="J1856" s="468" t="s">
        <v>9219</v>
      </c>
      <c r="K1856" s="468" t="s">
        <v>9219</v>
      </c>
      <c r="L1856" s="468" t="s">
        <v>2354</v>
      </c>
    </row>
    <row r="1857" spans="1:12" x14ac:dyDescent="0.25">
      <c r="A1857" s="468" t="s">
        <v>220</v>
      </c>
      <c r="B1857" s="468" t="s">
        <v>2351</v>
      </c>
      <c r="C1857" s="468" t="s">
        <v>5228</v>
      </c>
      <c r="D1857" s="468" t="s">
        <v>5229</v>
      </c>
      <c r="F1857" s="470">
        <v>12</v>
      </c>
      <c r="G1857" s="468">
        <v>11.5</v>
      </c>
      <c r="H1857" s="479">
        <v>138</v>
      </c>
      <c r="I1857" s="468" t="s">
        <v>9218</v>
      </c>
      <c r="J1857" s="468" t="s">
        <v>9219</v>
      </c>
      <c r="K1857" s="468" t="s">
        <v>9219</v>
      </c>
      <c r="L1857" s="468" t="s">
        <v>2354</v>
      </c>
    </row>
    <row r="1858" spans="1:12" x14ac:dyDescent="0.25">
      <c r="A1858" s="468" t="s">
        <v>220</v>
      </c>
      <c r="B1858" s="468" t="s">
        <v>2351</v>
      </c>
      <c r="C1858" s="468" t="s">
        <v>5234</v>
      </c>
      <c r="D1858" s="468" t="s">
        <v>5235</v>
      </c>
      <c r="F1858" s="470">
        <v>1</v>
      </c>
      <c r="G1858" s="468">
        <v>17.940000000000001</v>
      </c>
      <c r="H1858" s="479">
        <v>17.940000000000001</v>
      </c>
      <c r="I1858" s="468" t="s">
        <v>9218</v>
      </c>
      <c r="J1858" s="468" t="s">
        <v>9219</v>
      </c>
      <c r="K1858" s="468" t="s">
        <v>9219</v>
      </c>
      <c r="L1858" s="468" t="s">
        <v>2354</v>
      </c>
    </row>
    <row r="1859" spans="1:12" x14ac:dyDescent="0.25">
      <c r="A1859" s="468" t="s">
        <v>220</v>
      </c>
      <c r="B1859" s="468" t="s">
        <v>2351</v>
      </c>
      <c r="C1859" s="468" t="s">
        <v>5236</v>
      </c>
      <c r="D1859" s="468" t="s">
        <v>5237</v>
      </c>
      <c r="F1859" s="470">
        <v>1</v>
      </c>
      <c r="G1859" s="468">
        <v>158.625</v>
      </c>
      <c r="H1859" s="479">
        <v>158.625</v>
      </c>
      <c r="I1859" s="468" t="s">
        <v>9218</v>
      </c>
      <c r="J1859" s="468" t="s">
        <v>9219</v>
      </c>
      <c r="K1859" s="468" t="s">
        <v>9219</v>
      </c>
      <c r="L1859" s="468" t="s">
        <v>2354</v>
      </c>
    </row>
    <row r="1860" spans="1:12" x14ac:dyDescent="0.25">
      <c r="A1860" s="468" t="s">
        <v>220</v>
      </c>
      <c r="B1860" s="468" t="s">
        <v>2351</v>
      </c>
      <c r="C1860" s="468" t="s">
        <v>5238</v>
      </c>
      <c r="D1860" s="468" t="s">
        <v>5239</v>
      </c>
      <c r="F1860" s="470">
        <v>8</v>
      </c>
      <c r="G1860" s="468">
        <v>1.6893</v>
      </c>
      <c r="H1860" s="479">
        <v>13.5144</v>
      </c>
      <c r="I1860" s="468" t="s">
        <v>9218</v>
      </c>
      <c r="J1860" s="468" t="s">
        <v>9219</v>
      </c>
      <c r="K1860" s="468" t="s">
        <v>9219</v>
      </c>
      <c r="L1860" s="468" t="s">
        <v>2354</v>
      </c>
    </row>
    <row r="1861" spans="1:12" x14ac:dyDescent="0.25">
      <c r="A1861" s="468" t="s">
        <v>220</v>
      </c>
      <c r="B1861" s="468" t="s">
        <v>2351</v>
      </c>
      <c r="C1861" s="468" t="s">
        <v>5242</v>
      </c>
      <c r="D1861" s="468" t="s">
        <v>5243</v>
      </c>
      <c r="F1861" s="470">
        <v>2</v>
      </c>
      <c r="G1861" s="468">
        <v>25.6464</v>
      </c>
      <c r="H1861" s="479">
        <v>51.2928</v>
      </c>
      <c r="I1861" s="468" t="s">
        <v>9218</v>
      </c>
      <c r="J1861" s="468" t="s">
        <v>9219</v>
      </c>
      <c r="K1861" s="468" t="s">
        <v>9219</v>
      </c>
      <c r="L1861" s="468" t="s">
        <v>2354</v>
      </c>
    </row>
    <row r="1862" spans="1:12" x14ac:dyDescent="0.25">
      <c r="A1862" s="468" t="s">
        <v>220</v>
      </c>
      <c r="B1862" s="468" t="s">
        <v>2351</v>
      </c>
      <c r="C1862" s="468" t="s">
        <v>5244</v>
      </c>
      <c r="D1862" s="468" t="s">
        <v>5245</v>
      </c>
      <c r="F1862" s="470">
        <v>12</v>
      </c>
      <c r="G1862" s="468">
        <v>11.8512</v>
      </c>
      <c r="H1862" s="479">
        <v>142.21440000000001</v>
      </c>
      <c r="I1862" s="468" t="s">
        <v>9218</v>
      </c>
      <c r="J1862" s="468" t="s">
        <v>9219</v>
      </c>
      <c r="K1862" s="468" t="s">
        <v>9219</v>
      </c>
      <c r="L1862" s="468" t="s">
        <v>2354</v>
      </c>
    </row>
    <row r="1863" spans="1:12" x14ac:dyDescent="0.25">
      <c r="A1863" s="468" t="s">
        <v>220</v>
      </c>
      <c r="B1863" s="468" t="s">
        <v>2351</v>
      </c>
      <c r="C1863" s="468" t="s">
        <v>5252</v>
      </c>
      <c r="D1863" s="468" t="s">
        <v>5253</v>
      </c>
      <c r="F1863" s="470">
        <v>1</v>
      </c>
      <c r="G1863" s="468">
        <v>75.494450000000001</v>
      </c>
      <c r="H1863" s="479">
        <v>75.494450000000001</v>
      </c>
      <c r="I1863" s="468" t="s">
        <v>9218</v>
      </c>
      <c r="J1863" s="468" t="s">
        <v>9219</v>
      </c>
      <c r="K1863" s="468" t="s">
        <v>9219</v>
      </c>
      <c r="L1863" s="468" t="s">
        <v>2354</v>
      </c>
    </row>
    <row r="1864" spans="1:12" x14ac:dyDescent="0.25">
      <c r="A1864" s="468" t="s">
        <v>220</v>
      </c>
      <c r="B1864" s="468" t="s">
        <v>2351</v>
      </c>
      <c r="C1864" s="468" t="s">
        <v>5262</v>
      </c>
      <c r="D1864" s="468" t="s">
        <v>5263</v>
      </c>
      <c r="F1864" s="470">
        <v>1</v>
      </c>
      <c r="G1864" s="468">
        <v>687.38800000000003</v>
      </c>
      <c r="H1864" s="479">
        <v>687.38800000000003</v>
      </c>
      <c r="I1864" s="468" t="s">
        <v>9218</v>
      </c>
      <c r="J1864" s="468" t="s">
        <v>9219</v>
      </c>
      <c r="K1864" s="468" t="s">
        <v>9219</v>
      </c>
      <c r="L1864" s="468" t="s">
        <v>2354</v>
      </c>
    </row>
    <row r="1865" spans="1:12" x14ac:dyDescent="0.25">
      <c r="A1865" s="468" t="s">
        <v>220</v>
      </c>
      <c r="B1865" s="468" t="s">
        <v>2351</v>
      </c>
      <c r="C1865" s="468" t="s">
        <v>5264</v>
      </c>
      <c r="D1865" s="468" t="s">
        <v>5265</v>
      </c>
      <c r="F1865" s="470">
        <v>1</v>
      </c>
      <c r="G1865" s="468">
        <v>2788</v>
      </c>
      <c r="H1865" s="479">
        <v>2788</v>
      </c>
      <c r="I1865" s="468" t="s">
        <v>9218</v>
      </c>
      <c r="J1865" s="468" t="s">
        <v>9219</v>
      </c>
      <c r="K1865" s="468" t="s">
        <v>9219</v>
      </c>
      <c r="L1865" s="468" t="s">
        <v>2354</v>
      </c>
    </row>
    <row r="1866" spans="1:12" x14ac:dyDescent="0.25">
      <c r="A1866" s="468" t="s">
        <v>220</v>
      </c>
      <c r="B1866" s="468" t="s">
        <v>2351</v>
      </c>
      <c r="C1866" s="468" t="s">
        <v>5266</v>
      </c>
      <c r="D1866" s="468" t="s">
        <v>5267</v>
      </c>
      <c r="F1866" s="470">
        <v>4</v>
      </c>
      <c r="G1866" s="468">
        <v>12.478999999999999</v>
      </c>
      <c r="H1866" s="479">
        <v>49.915999999999997</v>
      </c>
      <c r="I1866" s="468" t="s">
        <v>9218</v>
      </c>
      <c r="J1866" s="468" t="s">
        <v>9219</v>
      </c>
      <c r="K1866" s="468" t="s">
        <v>9219</v>
      </c>
      <c r="L1866" s="468" t="s">
        <v>2354</v>
      </c>
    </row>
    <row r="1867" spans="1:12" x14ac:dyDescent="0.25">
      <c r="A1867" s="468" t="s">
        <v>220</v>
      </c>
      <c r="B1867" s="468" t="s">
        <v>2351</v>
      </c>
      <c r="C1867" s="468" t="s">
        <v>5268</v>
      </c>
      <c r="D1867" s="468" t="s">
        <v>5269</v>
      </c>
      <c r="F1867" s="470">
        <v>2</v>
      </c>
      <c r="G1867" s="468">
        <v>120</v>
      </c>
      <c r="H1867" s="479">
        <v>240</v>
      </c>
      <c r="I1867" s="468" t="s">
        <v>9218</v>
      </c>
      <c r="J1867" s="468" t="s">
        <v>9219</v>
      </c>
      <c r="K1867" s="468" t="s">
        <v>9219</v>
      </c>
      <c r="L1867" s="468" t="s">
        <v>2354</v>
      </c>
    </row>
    <row r="1868" spans="1:12" x14ac:dyDescent="0.25">
      <c r="A1868" s="468" t="s">
        <v>220</v>
      </c>
      <c r="B1868" s="468" t="s">
        <v>2351</v>
      </c>
      <c r="C1868" s="468" t="s">
        <v>5270</v>
      </c>
      <c r="D1868" s="468" t="s">
        <v>5271</v>
      </c>
      <c r="F1868" s="470">
        <v>1</v>
      </c>
      <c r="G1868" s="468">
        <v>59.975999999999999</v>
      </c>
      <c r="H1868" s="479">
        <v>59.975999999999999</v>
      </c>
      <c r="I1868" s="468" t="s">
        <v>9218</v>
      </c>
      <c r="J1868" s="468" t="s">
        <v>9219</v>
      </c>
      <c r="K1868" s="468" t="s">
        <v>9219</v>
      </c>
      <c r="L1868" s="468" t="s">
        <v>2354</v>
      </c>
    </row>
    <row r="1869" spans="1:12" x14ac:dyDescent="0.25">
      <c r="A1869" s="468" t="s">
        <v>220</v>
      </c>
      <c r="B1869" s="468" t="s">
        <v>2351</v>
      </c>
      <c r="C1869" s="468" t="s">
        <v>9356</v>
      </c>
      <c r="D1869" s="468" t="s">
        <v>9357</v>
      </c>
      <c r="F1869" s="470">
        <v>1</v>
      </c>
      <c r="G1869" s="468">
        <v>426.077</v>
      </c>
      <c r="H1869" s="479">
        <v>426.077</v>
      </c>
      <c r="I1869" s="468" t="s">
        <v>9218</v>
      </c>
      <c r="J1869" s="468" t="s">
        <v>9219</v>
      </c>
      <c r="K1869" s="468" t="s">
        <v>9219</v>
      </c>
      <c r="L1869" s="468" t="s">
        <v>2354</v>
      </c>
    </row>
    <row r="1870" spans="1:12" x14ac:dyDescent="0.25">
      <c r="A1870" s="468" t="s">
        <v>220</v>
      </c>
      <c r="B1870" s="468" t="s">
        <v>2351</v>
      </c>
      <c r="C1870" s="468" t="s">
        <v>5305</v>
      </c>
      <c r="D1870" s="468" t="s">
        <v>8895</v>
      </c>
      <c r="F1870" s="470">
        <v>1</v>
      </c>
      <c r="G1870" s="468">
        <v>529.03499999999997</v>
      </c>
      <c r="H1870" s="479">
        <v>529.03499999999997</v>
      </c>
      <c r="I1870" s="468" t="s">
        <v>9218</v>
      </c>
      <c r="J1870" s="468" t="s">
        <v>9219</v>
      </c>
      <c r="K1870" s="468" t="s">
        <v>9219</v>
      </c>
      <c r="L1870" s="468" t="s">
        <v>2354</v>
      </c>
    </row>
    <row r="1871" spans="1:12" x14ac:dyDescent="0.25">
      <c r="A1871" s="468" t="s">
        <v>220</v>
      </c>
      <c r="B1871" s="468" t="s">
        <v>2351</v>
      </c>
      <c r="C1871" s="468" t="s">
        <v>5307</v>
      </c>
      <c r="D1871" s="468" t="s">
        <v>5308</v>
      </c>
      <c r="F1871" s="470">
        <v>2</v>
      </c>
      <c r="G1871" s="468">
        <v>646.53200000000004</v>
      </c>
      <c r="H1871" s="479">
        <v>1293.0640000000001</v>
      </c>
      <c r="I1871" s="468" t="s">
        <v>9218</v>
      </c>
      <c r="J1871" s="468" t="s">
        <v>9219</v>
      </c>
      <c r="K1871" s="468" t="s">
        <v>9219</v>
      </c>
      <c r="L1871" s="468" t="s">
        <v>2354</v>
      </c>
    </row>
    <row r="1872" spans="1:12" x14ac:dyDescent="0.25">
      <c r="A1872" s="468" t="s">
        <v>220</v>
      </c>
      <c r="B1872" s="468" t="s">
        <v>2351</v>
      </c>
      <c r="C1872" s="468" t="s">
        <v>5396</v>
      </c>
      <c r="D1872" s="468" t="s">
        <v>5397</v>
      </c>
      <c r="F1872" s="470">
        <v>11</v>
      </c>
      <c r="G1872" s="468">
        <v>59.585000000000001</v>
      </c>
      <c r="H1872" s="479">
        <v>655.43500000000006</v>
      </c>
      <c r="I1872" s="468" t="s">
        <v>9218</v>
      </c>
      <c r="J1872" s="468" t="s">
        <v>9219</v>
      </c>
      <c r="K1872" s="468" t="s">
        <v>9219</v>
      </c>
      <c r="L1872" s="468" t="s">
        <v>2354</v>
      </c>
    </row>
    <row r="1873" spans="1:12" x14ac:dyDescent="0.25">
      <c r="A1873" s="468" t="s">
        <v>220</v>
      </c>
      <c r="B1873" s="468" t="s">
        <v>2351</v>
      </c>
      <c r="D1873" s="468" t="s">
        <v>2443</v>
      </c>
      <c r="F1873" s="470">
        <v>2</v>
      </c>
      <c r="G1873" s="468">
        <v>215.5</v>
      </c>
      <c r="H1873" s="479">
        <v>431</v>
      </c>
      <c r="I1873" s="468" t="s">
        <v>9218</v>
      </c>
      <c r="J1873" s="468" t="s">
        <v>9219</v>
      </c>
      <c r="K1873" s="468" t="s">
        <v>9219</v>
      </c>
      <c r="L1873" s="468" t="s">
        <v>2354</v>
      </c>
    </row>
    <row r="1874" spans="1:12" x14ac:dyDescent="0.25">
      <c r="A1874" s="468" t="s">
        <v>220</v>
      </c>
      <c r="B1874" s="468" t="s">
        <v>2351</v>
      </c>
      <c r="D1874" s="468" t="s">
        <v>9358</v>
      </c>
      <c r="F1874" s="470">
        <v>2</v>
      </c>
      <c r="G1874" s="468">
        <v>39.619999999999997</v>
      </c>
      <c r="H1874" s="479">
        <v>79.239999999999995</v>
      </c>
      <c r="I1874" s="468" t="s">
        <v>9218</v>
      </c>
      <c r="J1874" s="468" t="s">
        <v>9219</v>
      </c>
      <c r="K1874" s="468" t="s">
        <v>9219</v>
      </c>
      <c r="L1874" s="468" t="s">
        <v>2354</v>
      </c>
    </row>
    <row r="1875" spans="1:12" x14ac:dyDescent="0.25">
      <c r="A1875" s="468" t="s">
        <v>220</v>
      </c>
      <c r="B1875" s="468" t="s">
        <v>2351</v>
      </c>
      <c r="D1875" s="468" t="s">
        <v>2443</v>
      </c>
      <c r="F1875" s="470">
        <v>1</v>
      </c>
      <c r="G1875" s="468">
        <v>215.5</v>
      </c>
      <c r="H1875" s="479">
        <v>215.5</v>
      </c>
      <c r="I1875" s="468" t="s">
        <v>9218</v>
      </c>
      <c r="J1875" s="468" t="s">
        <v>9219</v>
      </c>
      <c r="K1875" s="468" t="s">
        <v>9219</v>
      </c>
      <c r="L1875" s="468" t="s">
        <v>2354</v>
      </c>
    </row>
    <row r="1876" spans="1:12" x14ac:dyDescent="0.25">
      <c r="A1876" s="468" t="s">
        <v>220</v>
      </c>
      <c r="B1876" s="468" t="s">
        <v>2351</v>
      </c>
      <c r="D1876" s="468" t="s">
        <v>9359</v>
      </c>
      <c r="F1876" s="470">
        <v>2</v>
      </c>
      <c r="G1876" s="468">
        <v>68</v>
      </c>
      <c r="H1876" s="479">
        <v>136</v>
      </c>
      <c r="I1876" s="468" t="s">
        <v>9218</v>
      </c>
      <c r="J1876" s="468" t="s">
        <v>9219</v>
      </c>
      <c r="K1876" s="468" t="s">
        <v>9219</v>
      </c>
      <c r="L1876" s="468" t="s">
        <v>2354</v>
      </c>
    </row>
    <row r="1877" spans="1:12" x14ac:dyDescent="0.25">
      <c r="A1877" s="468" t="s">
        <v>220</v>
      </c>
      <c r="B1877" s="468" t="s">
        <v>2351</v>
      </c>
      <c r="C1877" s="468" t="s">
        <v>2385</v>
      </c>
      <c r="D1877" s="468" t="s">
        <v>9360</v>
      </c>
      <c r="F1877" s="470">
        <v>2</v>
      </c>
      <c r="G1877" s="468">
        <v>96.39</v>
      </c>
      <c r="H1877" s="479">
        <v>192.78</v>
      </c>
      <c r="I1877" s="468" t="s">
        <v>9218</v>
      </c>
      <c r="J1877" s="468" t="s">
        <v>9219</v>
      </c>
      <c r="K1877" s="468" t="s">
        <v>9219</v>
      </c>
      <c r="L1877" s="468" t="s">
        <v>2354</v>
      </c>
    </row>
    <row r="1878" spans="1:12" x14ac:dyDescent="0.25">
      <c r="A1878" s="468" t="s">
        <v>220</v>
      </c>
      <c r="B1878" s="468" t="s">
        <v>2351</v>
      </c>
      <c r="C1878" s="468" t="s">
        <v>2417</v>
      </c>
      <c r="D1878" s="468" t="s">
        <v>2438</v>
      </c>
      <c r="F1878" s="470">
        <v>6.23</v>
      </c>
      <c r="G1878" s="468">
        <v>29.63</v>
      </c>
      <c r="H1878" s="479">
        <v>184.5949</v>
      </c>
      <c r="I1878" s="468" t="s">
        <v>9218</v>
      </c>
      <c r="J1878" s="468" t="s">
        <v>9219</v>
      </c>
      <c r="K1878" s="468" t="s">
        <v>9219</v>
      </c>
      <c r="L1878" s="468" t="s">
        <v>2354</v>
      </c>
    </row>
    <row r="1879" spans="1:12" x14ac:dyDescent="0.25">
      <c r="A1879" s="468" t="s">
        <v>220</v>
      </c>
      <c r="B1879" s="468" t="s">
        <v>2351</v>
      </c>
      <c r="C1879" s="468" t="s">
        <v>2417</v>
      </c>
      <c r="D1879" s="468" t="s">
        <v>2437</v>
      </c>
      <c r="F1879" s="470">
        <v>10</v>
      </c>
      <c r="G1879" s="468">
        <v>29.63</v>
      </c>
      <c r="H1879" s="479">
        <v>296.3</v>
      </c>
      <c r="I1879" s="468" t="s">
        <v>9218</v>
      </c>
      <c r="J1879" s="468" t="s">
        <v>9219</v>
      </c>
      <c r="K1879" s="468" t="s">
        <v>9219</v>
      </c>
      <c r="L1879" s="468" t="s">
        <v>2354</v>
      </c>
    </row>
    <row r="1880" spans="1:12" x14ac:dyDescent="0.25">
      <c r="A1880" s="468" t="s">
        <v>220</v>
      </c>
      <c r="B1880" s="468" t="s">
        <v>2351</v>
      </c>
      <c r="C1880" s="468" t="s">
        <v>2417</v>
      </c>
      <c r="D1880" s="468" t="s">
        <v>2442</v>
      </c>
      <c r="F1880" s="470">
        <v>10</v>
      </c>
      <c r="G1880" s="468">
        <v>29.63</v>
      </c>
      <c r="H1880" s="479">
        <v>296.3</v>
      </c>
      <c r="I1880" s="468" t="s">
        <v>9218</v>
      </c>
      <c r="J1880" s="468" t="s">
        <v>9219</v>
      </c>
      <c r="K1880" s="468" t="s">
        <v>9219</v>
      </c>
      <c r="L1880" s="468" t="s">
        <v>2354</v>
      </c>
    </row>
    <row r="1881" spans="1:12" x14ac:dyDescent="0.25">
      <c r="A1881" s="468" t="s">
        <v>220</v>
      </c>
      <c r="B1881" s="468" t="s">
        <v>2351</v>
      </c>
      <c r="C1881" s="468" t="s">
        <v>2496</v>
      </c>
      <c r="D1881" s="468" t="s">
        <v>2497</v>
      </c>
      <c r="F1881" s="470">
        <v>262</v>
      </c>
      <c r="G1881" s="468">
        <v>2.5506016440962149</v>
      </c>
      <c r="H1881" s="479">
        <v>668.25763075320833</v>
      </c>
      <c r="I1881" s="468" t="s">
        <v>9218</v>
      </c>
      <c r="J1881" s="468" t="s">
        <v>9219</v>
      </c>
      <c r="K1881" s="468" t="s">
        <v>9219</v>
      </c>
      <c r="L1881" s="468" t="s">
        <v>2354</v>
      </c>
    </row>
    <row r="1882" spans="1:12" x14ac:dyDescent="0.25">
      <c r="A1882" s="468" t="s">
        <v>220</v>
      </c>
      <c r="B1882" s="468" t="s">
        <v>2351</v>
      </c>
      <c r="C1882" s="468" t="s">
        <v>5463</v>
      </c>
      <c r="D1882" s="468" t="s">
        <v>5464</v>
      </c>
      <c r="F1882" s="470">
        <v>100</v>
      </c>
      <c r="G1882" s="468">
        <v>0.86299999999999999</v>
      </c>
      <c r="H1882" s="479">
        <v>86.3</v>
      </c>
      <c r="I1882" s="468" t="s">
        <v>9218</v>
      </c>
      <c r="J1882" s="468" t="s">
        <v>9219</v>
      </c>
      <c r="K1882" s="468" t="s">
        <v>9219</v>
      </c>
      <c r="L1882" s="468" t="s">
        <v>2354</v>
      </c>
    </row>
    <row r="1883" spans="1:12" x14ac:dyDescent="0.25">
      <c r="A1883" s="468" t="s">
        <v>220</v>
      </c>
      <c r="B1883" s="468" t="s">
        <v>2351</v>
      </c>
      <c r="C1883" s="468" t="s">
        <v>2498</v>
      </c>
      <c r="D1883" s="468" t="s">
        <v>2499</v>
      </c>
      <c r="F1883" s="470">
        <v>145</v>
      </c>
      <c r="G1883" s="468">
        <v>30.827600000000004</v>
      </c>
      <c r="H1883" s="479">
        <v>4470.0020000000004</v>
      </c>
      <c r="I1883" s="468" t="s">
        <v>9218</v>
      </c>
      <c r="J1883" s="468" t="s">
        <v>9219</v>
      </c>
      <c r="K1883" s="468" t="s">
        <v>9219</v>
      </c>
      <c r="L1883" s="468" t="s">
        <v>2354</v>
      </c>
    </row>
    <row r="1884" spans="1:12" x14ac:dyDescent="0.25">
      <c r="A1884" s="468" t="s">
        <v>220</v>
      </c>
      <c r="B1884" s="468" t="s">
        <v>2351</v>
      </c>
      <c r="C1884" s="468" t="s">
        <v>2530</v>
      </c>
      <c r="D1884" s="468" t="s">
        <v>2531</v>
      </c>
      <c r="F1884" s="470">
        <v>35</v>
      </c>
      <c r="G1884" s="468">
        <v>33.313431199999997</v>
      </c>
      <c r="H1884" s="479">
        <v>1165.9700919999998</v>
      </c>
      <c r="I1884" s="468" t="s">
        <v>9218</v>
      </c>
      <c r="J1884" s="468" t="s">
        <v>9219</v>
      </c>
      <c r="K1884" s="468" t="s">
        <v>9219</v>
      </c>
      <c r="L1884" s="468" t="s">
        <v>2354</v>
      </c>
    </row>
    <row r="1885" spans="1:12" x14ac:dyDescent="0.25">
      <c r="A1885" s="468" t="s">
        <v>220</v>
      </c>
      <c r="B1885" s="468" t="s">
        <v>2351</v>
      </c>
      <c r="C1885" s="468" t="s">
        <v>2816</v>
      </c>
      <c r="D1885" s="468" t="s">
        <v>2817</v>
      </c>
      <c r="F1885" s="470">
        <v>8</v>
      </c>
      <c r="G1885" s="468">
        <v>3.7124999999999999</v>
      </c>
      <c r="H1885" s="479">
        <v>29.7</v>
      </c>
      <c r="I1885" s="468" t="s">
        <v>9218</v>
      </c>
      <c r="J1885" s="468" t="s">
        <v>9219</v>
      </c>
      <c r="K1885" s="468" t="s">
        <v>9219</v>
      </c>
      <c r="L1885" s="468" t="s">
        <v>2354</v>
      </c>
    </row>
    <row r="1886" spans="1:12" x14ac:dyDescent="0.25">
      <c r="A1886" s="468" t="s">
        <v>220</v>
      </c>
      <c r="B1886" s="468" t="s">
        <v>2351</v>
      </c>
      <c r="C1886" s="468" t="s">
        <v>2818</v>
      </c>
      <c r="D1886" s="468" t="s">
        <v>2819</v>
      </c>
      <c r="F1886" s="470">
        <v>9</v>
      </c>
      <c r="G1886" s="468">
        <v>3.7124999999999999</v>
      </c>
      <c r="H1886" s="479">
        <v>33.412500000000001</v>
      </c>
      <c r="I1886" s="468" t="s">
        <v>9218</v>
      </c>
      <c r="J1886" s="468" t="s">
        <v>9219</v>
      </c>
      <c r="K1886" s="468" t="s">
        <v>9219</v>
      </c>
      <c r="L1886" s="468" t="s">
        <v>2354</v>
      </c>
    </row>
    <row r="1887" spans="1:12" x14ac:dyDescent="0.25">
      <c r="A1887" s="468" t="s">
        <v>220</v>
      </c>
      <c r="B1887" s="468" t="s">
        <v>2351</v>
      </c>
      <c r="C1887" s="468" t="s">
        <v>3157</v>
      </c>
      <c r="D1887" s="468" t="s">
        <v>3158</v>
      </c>
      <c r="F1887" s="470">
        <v>1</v>
      </c>
      <c r="G1887" s="468">
        <v>44.155799999999999</v>
      </c>
      <c r="H1887" s="479">
        <v>44.155799999999999</v>
      </c>
      <c r="I1887" s="468" t="s">
        <v>9218</v>
      </c>
      <c r="J1887" s="468" t="s">
        <v>9219</v>
      </c>
      <c r="K1887" s="468" t="s">
        <v>9219</v>
      </c>
      <c r="L1887" s="468" t="s">
        <v>2354</v>
      </c>
    </row>
    <row r="1888" spans="1:12" x14ac:dyDescent="0.25">
      <c r="A1888" s="468" t="s">
        <v>220</v>
      </c>
      <c r="B1888" s="468" t="s">
        <v>2351</v>
      </c>
      <c r="C1888" s="468" t="s">
        <v>3167</v>
      </c>
      <c r="D1888" s="468" t="s">
        <v>3168</v>
      </c>
      <c r="F1888" s="470">
        <v>1</v>
      </c>
      <c r="G1888" s="468">
        <v>57.436999999999998</v>
      </c>
      <c r="H1888" s="479">
        <v>57.436999999999998</v>
      </c>
      <c r="I1888" s="468" t="s">
        <v>9218</v>
      </c>
      <c r="J1888" s="468" t="s">
        <v>9219</v>
      </c>
      <c r="K1888" s="468" t="s">
        <v>9219</v>
      </c>
      <c r="L1888" s="468" t="s">
        <v>2354</v>
      </c>
    </row>
    <row r="1889" spans="1:12" x14ac:dyDescent="0.25">
      <c r="A1889" s="468" t="s">
        <v>220</v>
      </c>
      <c r="B1889" s="468" t="s">
        <v>2351</v>
      </c>
      <c r="C1889" s="468" t="s">
        <v>3183</v>
      </c>
      <c r="D1889" s="468" t="s">
        <v>3184</v>
      </c>
      <c r="F1889" s="470">
        <v>11</v>
      </c>
      <c r="G1889" s="468">
        <v>0.38900000000000001</v>
      </c>
      <c r="H1889" s="479">
        <v>4.2789999999999999</v>
      </c>
      <c r="I1889" s="468" t="s">
        <v>9218</v>
      </c>
      <c r="J1889" s="468" t="s">
        <v>9219</v>
      </c>
      <c r="K1889" s="468" t="s">
        <v>9219</v>
      </c>
      <c r="L1889" s="468" t="s">
        <v>2354</v>
      </c>
    </row>
    <row r="1890" spans="1:12" x14ac:dyDescent="0.25">
      <c r="A1890" s="468" t="s">
        <v>220</v>
      </c>
      <c r="B1890" s="468" t="s">
        <v>2351</v>
      </c>
      <c r="C1890" s="468" t="s">
        <v>3185</v>
      </c>
      <c r="D1890" s="468" t="s">
        <v>3186</v>
      </c>
      <c r="F1890" s="470">
        <v>11</v>
      </c>
      <c r="G1890" s="468">
        <v>0.22900000000000001</v>
      </c>
      <c r="H1890" s="479">
        <v>2.5190000000000001</v>
      </c>
      <c r="I1890" s="468" t="s">
        <v>9218</v>
      </c>
      <c r="J1890" s="468" t="s">
        <v>9219</v>
      </c>
      <c r="K1890" s="468" t="s">
        <v>9219</v>
      </c>
      <c r="L1890" s="468" t="s">
        <v>2354</v>
      </c>
    </row>
    <row r="1891" spans="1:12" x14ac:dyDescent="0.25">
      <c r="A1891" s="468" t="s">
        <v>220</v>
      </c>
      <c r="B1891" s="468" t="s">
        <v>2351</v>
      </c>
      <c r="C1891" s="468" t="s">
        <v>3187</v>
      </c>
      <c r="D1891" s="468" t="s">
        <v>3188</v>
      </c>
      <c r="F1891" s="470">
        <v>15</v>
      </c>
      <c r="G1891" s="468">
        <v>0.114</v>
      </c>
      <c r="H1891" s="479">
        <v>1.71</v>
      </c>
      <c r="I1891" s="468" t="s">
        <v>9218</v>
      </c>
      <c r="J1891" s="468" t="s">
        <v>9219</v>
      </c>
      <c r="K1891" s="468" t="s">
        <v>9219</v>
      </c>
      <c r="L1891" s="468" t="s">
        <v>2354</v>
      </c>
    </row>
    <row r="1892" spans="1:12" x14ac:dyDescent="0.25">
      <c r="A1892" s="468" t="s">
        <v>220</v>
      </c>
      <c r="B1892" s="468" t="s">
        <v>2351</v>
      </c>
      <c r="C1892" s="468" t="s">
        <v>3189</v>
      </c>
      <c r="D1892" s="468" t="s">
        <v>3190</v>
      </c>
      <c r="F1892" s="470">
        <v>8</v>
      </c>
      <c r="G1892" s="468">
        <v>1.681</v>
      </c>
      <c r="H1892" s="479">
        <v>13.448</v>
      </c>
      <c r="I1892" s="468" t="s">
        <v>9218</v>
      </c>
      <c r="J1892" s="468" t="s">
        <v>9219</v>
      </c>
      <c r="K1892" s="468" t="s">
        <v>9219</v>
      </c>
      <c r="L1892" s="468" t="s">
        <v>2354</v>
      </c>
    </row>
    <row r="1893" spans="1:12" x14ac:dyDescent="0.25">
      <c r="A1893" s="468" t="s">
        <v>220</v>
      </c>
      <c r="B1893" s="468" t="s">
        <v>2351</v>
      </c>
      <c r="C1893" s="468" t="s">
        <v>3191</v>
      </c>
      <c r="D1893" s="468" t="s">
        <v>3192</v>
      </c>
      <c r="F1893" s="470">
        <v>10</v>
      </c>
      <c r="G1893" s="468">
        <v>2.2610000000000001</v>
      </c>
      <c r="H1893" s="479">
        <v>22.61</v>
      </c>
      <c r="I1893" s="468" t="s">
        <v>9218</v>
      </c>
      <c r="J1893" s="468" t="s">
        <v>9219</v>
      </c>
      <c r="K1893" s="468" t="s">
        <v>9219</v>
      </c>
      <c r="L1893" s="468" t="s">
        <v>2354</v>
      </c>
    </row>
    <row r="1894" spans="1:12" x14ac:dyDescent="0.25">
      <c r="A1894" s="468" t="s">
        <v>220</v>
      </c>
      <c r="B1894" s="468" t="s">
        <v>2351</v>
      </c>
      <c r="C1894" s="468" t="s">
        <v>3193</v>
      </c>
      <c r="D1894" s="468" t="s">
        <v>3194</v>
      </c>
      <c r="F1894" s="470">
        <v>10</v>
      </c>
      <c r="G1894" s="468">
        <v>0.42</v>
      </c>
      <c r="H1894" s="479">
        <v>4.2</v>
      </c>
      <c r="I1894" s="468" t="s">
        <v>9218</v>
      </c>
      <c r="J1894" s="468" t="s">
        <v>9219</v>
      </c>
      <c r="K1894" s="468" t="s">
        <v>9219</v>
      </c>
      <c r="L1894" s="468" t="s">
        <v>2354</v>
      </c>
    </row>
    <row r="1895" spans="1:12" x14ac:dyDescent="0.25">
      <c r="A1895" s="468" t="s">
        <v>220</v>
      </c>
      <c r="B1895" s="468" t="s">
        <v>2351</v>
      </c>
      <c r="C1895" s="468" t="s">
        <v>3195</v>
      </c>
      <c r="D1895" s="468" t="s">
        <v>3196</v>
      </c>
      <c r="F1895" s="470">
        <v>1</v>
      </c>
      <c r="G1895" s="468">
        <v>13.99</v>
      </c>
      <c r="H1895" s="479">
        <v>13.99</v>
      </c>
      <c r="I1895" s="468" t="s">
        <v>9218</v>
      </c>
      <c r="J1895" s="468" t="s">
        <v>9219</v>
      </c>
      <c r="K1895" s="468" t="s">
        <v>9219</v>
      </c>
      <c r="L1895" s="468" t="s">
        <v>2354</v>
      </c>
    </row>
    <row r="1896" spans="1:12" x14ac:dyDescent="0.25">
      <c r="A1896" s="468" t="s">
        <v>220</v>
      </c>
      <c r="B1896" s="468" t="s">
        <v>2351</v>
      </c>
      <c r="C1896" s="468" t="s">
        <v>3197</v>
      </c>
      <c r="D1896" s="468" t="s">
        <v>3198</v>
      </c>
      <c r="F1896" s="470">
        <v>1</v>
      </c>
      <c r="G1896" s="468">
        <v>16.638999999999999</v>
      </c>
      <c r="H1896" s="479">
        <v>16.638999999999999</v>
      </c>
      <c r="I1896" s="468" t="s">
        <v>9218</v>
      </c>
      <c r="J1896" s="468" t="s">
        <v>9219</v>
      </c>
      <c r="K1896" s="468" t="s">
        <v>9219</v>
      </c>
      <c r="L1896" s="468" t="s">
        <v>2354</v>
      </c>
    </row>
    <row r="1897" spans="1:12" x14ac:dyDescent="0.25">
      <c r="A1897" s="468" t="s">
        <v>220</v>
      </c>
      <c r="B1897" s="468" t="s">
        <v>2351</v>
      </c>
      <c r="C1897" s="468" t="s">
        <v>3209</v>
      </c>
      <c r="D1897" s="468" t="s">
        <v>3210</v>
      </c>
      <c r="F1897" s="470">
        <v>21</v>
      </c>
      <c r="G1897" s="468">
        <v>3.5928</v>
      </c>
      <c r="H1897" s="479">
        <v>75.448800000000006</v>
      </c>
      <c r="I1897" s="468" t="s">
        <v>9218</v>
      </c>
      <c r="J1897" s="468" t="s">
        <v>9219</v>
      </c>
      <c r="K1897" s="468" t="s">
        <v>9219</v>
      </c>
      <c r="L1897" s="468" t="s">
        <v>2354</v>
      </c>
    </row>
    <row r="1898" spans="1:12" x14ac:dyDescent="0.25">
      <c r="A1898" s="468" t="s">
        <v>220</v>
      </c>
      <c r="B1898" s="468" t="s">
        <v>2351</v>
      </c>
      <c r="C1898" s="468" t="s">
        <v>3211</v>
      </c>
      <c r="D1898" s="468" t="s">
        <v>3212</v>
      </c>
      <c r="F1898" s="470">
        <v>36</v>
      </c>
      <c r="G1898" s="468">
        <v>0.41299999999999998</v>
      </c>
      <c r="H1898" s="479">
        <v>14.867999999999999</v>
      </c>
      <c r="I1898" s="468" t="s">
        <v>9218</v>
      </c>
      <c r="J1898" s="468" t="s">
        <v>9219</v>
      </c>
      <c r="K1898" s="468" t="s">
        <v>9219</v>
      </c>
      <c r="L1898" s="468" t="s">
        <v>2354</v>
      </c>
    </row>
    <row r="1899" spans="1:12" x14ac:dyDescent="0.25">
      <c r="A1899" s="468" t="s">
        <v>220</v>
      </c>
      <c r="B1899" s="468" t="s">
        <v>2351</v>
      </c>
      <c r="C1899" s="468" t="s">
        <v>3213</v>
      </c>
      <c r="D1899" s="468" t="s">
        <v>3214</v>
      </c>
      <c r="F1899" s="470">
        <v>31</v>
      </c>
      <c r="G1899" s="468">
        <v>0.70656967213114763</v>
      </c>
      <c r="H1899" s="479">
        <v>21.903659836065575</v>
      </c>
      <c r="I1899" s="468" t="s">
        <v>9218</v>
      </c>
      <c r="J1899" s="468" t="s">
        <v>9219</v>
      </c>
      <c r="K1899" s="468" t="s">
        <v>9219</v>
      </c>
      <c r="L1899" s="468" t="s">
        <v>2354</v>
      </c>
    </row>
    <row r="1900" spans="1:12" x14ac:dyDescent="0.25">
      <c r="A1900" s="468" t="s">
        <v>220</v>
      </c>
      <c r="B1900" s="468" t="s">
        <v>2351</v>
      </c>
      <c r="C1900" s="468" t="s">
        <v>3215</v>
      </c>
      <c r="D1900" s="468" t="s">
        <v>3216</v>
      </c>
      <c r="F1900" s="470">
        <v>20</v>
      </c>
      <c r="G1900" s="468">
        <v>0.89190000000000003</v>
      </c>
      <c r="H1900" s="479">
        <v>17.838000000000001</v>
      </c>
      <c r="I1900" s="468" t="s">
        <v>9218</v>
      </c>
      <c r="J1900" s="468" t="s">
        <v>9219</v>
      </c>
      <c r="K1900" s="468" t="s">
        <v>9219</v>
      </c>
      <c r="L1900" s="468" t="s">
        <v>2354</v>
      </c>
    </row>
    <row r="1901" spans="1:12" x14ac:dyDescent="0.25">
      <c r="A1901" s="468" t="s">
        <v>220</v>
      </c>
      <c r="B1901" s="468" t="s">
        <v>2351</v>
      </c>
      <c r="C1901" s="468" t="s">
        <v>3217</v>
      </c>
      <c r="D1901" s="468" t="s">
        <v>3218</v>
      </c>
      <c r="F1901" s="470">
        <v>29</v>
      </c>
      <c r="G1901" s="468">
        <v>0.89190000000000003</v>
      </c>
      <c r="H1901" s="479">
        <v>25.865100000000002</v>
      </c>
      <c r="I1901" s="468" t="s">
        <v>9218</v>
      </c>
      <c r="J1901" s="468" t="s">
        <v>9219</v>
      </c>
      <c r="K1901" s="468" t="s">
        <v>9219</v>
      </c>
      <c r="L1901" s="468" t="s">
        <v>2354</v>
      </c>
    </row>
    <row r="1902" spans="1:12" x14ac:dyDescent="0.25">
      <c r="A1902" s="468" t="s">
        <v>220</v>
      </c>
      <c r="B1902" s="468" t="s">
        <v>2351</v>
      </c>
      <c r="C1902" s="468" t="s">
        <v>3219</v>
      </c>
      <c r="D1902" s="468" t="s">
        <v>3220</v>
      </c>
      <c r="F1902" s="470">
        <v>20</v>
      </c>
      <c r="G1902" s="468">
        <v>0.746</v>
      </c>
      <c r="H1902" s="479">
        <v>14.92</v>
      </c>
      <c r="I1902" s="468" t="s">
        <v>9218</v>
      </c>
      <c r="J1902" s="468" t="s">
        <v>9219</v>
      </c>
      <c r="K1902" s="468" t="s">
        <v>9219</v>
      </c>
      <c r="L1902" s="468" t="s">
        <v>2354</v>
      </c>
    </row>
    <row r="1903" spans="1:12" x14ac:dyDescent="0.25">
      <c r="A1903" s="468" t="s">
        <v>220</v>
      </c>
      <c r="B1903" s="468" t="s">
        <v>2351</v>
      </c>
      <c r="C1903" s="468" t="s">
        <v>3223</v>
      </c>
      <c r="D1903" s="468" t="s">
        <v>3224</v>
      </c>
      <c r="F1903" s="470">
        <v>7</v>
      </c>
      <c r="G1903" s="468">
        <v>1.5</v>
      </c>
      <c r="H1903" s="479">
        <v>10.5</v>
      </c>
      <c r="I1903" s="468" t="s">
        <v>9218</v>
      </c>
      <c r="J1903" s="468" t="s">
        <v>9219</v>
      </c>
      <c r="K1903" s="468" t="s">
        <v>9219</v>
      </c>
      <c r="L1903" s="468" t="s">
        <v>2354</v>
      </c>
    </row>
    <row r="1904" spans="1:12" x14ac:dyDescent="0.25">
      <c r="A1904" s="468" t="s">
        <v>220</v>
      </c>
      <c r="B1904" s="468" t="s">
        <v>2351</v>
      </c>
      <c r="C1904" s="468" t="s">
        <v>3357</v>
      </c>
      <c r="D1904" s="468" t="s">
        <v>3358</v>
      </c>
      <c r="F1904" s="470">
        <v>28</v>
      </c>
      <c r="G1904" s="468">
        <v>0.36099999999999999</v>
      </c>
      <c r="H1904" s="479">
        <v>10.108000000000001</v>
      </c>
      <c r="I1904" s="468" t="s">
        <v>9218</v>
      </c>
      <c r="J1904" s="468" t="s">
        <v>9219</v>
      </c>
      <c r="K1904" s="468" t="s">
        <v>9219</v>
      </c>
      <c r="L1904" s="468" t="s">
        <v>2354</v>
      </c>
    </row>
    <row r="1905" spans="1:12" x14ac:dyDescent="0.25">
      <c r="A1905" s="468" t="s">
        <v>220</v>
      </c>
      <c r="B1905" s="468" t="s">
        <v>2351</v>
      </c>
      <c r="C1905" s="468" t="s">
        <v>3359</v>
      </c>
      <c r="D1905" s="468" t="s">
        <v>3360</v>
      </c>
      <c r="F1905" s="470">
        <v>90</v>
      </c>
      <c r="G1905" s="468">
        <v>0.10199999999999999</v>
      </c>
      <c r="H1905" s="479">
        <v>9.18</v>
      </c>
      <c r="I1905" s="468" t="s">
        <v>9218</v>
      </c>
      <c r="J1905" s="468" t="s">
        <v>9219</v>
      </c>
      <c r="K1905" s="468" t="s">
        <v>9219</v>
      </c>
      <c r="L1905" s="468" t="s">
        <v>2354</v>
      </c>
    </row>
    <row r="1906" spans="1:12" x14ac:dyDescent="0.25">
      <c r="A1906" s="468" t="s">
        <v>220</v>
      </c>
      <c r="B1906" s="468" t="s">
        <v>2351</v>
      </c>
      <c r="C1906" s="468" t="s">
        <v>3453</v>
      </c>
      <c r="D1906" s="468" t="s">
        <v>3454</v>
      </c>
      <c r="F1906" s="470">
        <v>170</v>
      </c>
      <c r="G1906" s="468">
        <v>1.0880000000000001</v>
      </c>
      <c r="H1906" s="479">
        <v>184.96</v>
      </c>
      <c r="I1906" s="468" t="s">
        <v>9218</v>
      </c>
      <c r="J1906" s="468" t="s">
        <v>9219</v>
      </c>
      <c r="K1906" s="468" t="s">
        <v>9219</v>
      </c>
      <c r="L1906" s="468" t="s">
        <v>2354</v>
      </c>
    </row>
    <row r="1907" spans="1:12" x14ac:dyDescent="0.25">
      <c r="A1907" s="468" t="s">
        <v>220</v>
      </c>
      <c r="B1907" s="468" t="s">
        <v>2351</v>
      </c>
      <c r="C1907" s="468" t="s">
        <v>3455</v>
      </c>
      <c r="D1907" s="468" t="s">
        <v>3456</v>
      </c>
      <c r="F1907" s="470">
        <v>194</v>
      </c>
      <c r="G1907" s="468">
        <v>2.2690000000000001</v>
      </c>
      <c r="H1907" s="479">
        <v>440.18600000000004</v>
      </c>
      <c r="I1907" s="468" t="s">
        <v>9218</v>
      </c>
      <c r="J1907" s="468" t="s">
        <v>9219</v>
      </c>
      <c r="K1907" s="468" t="s">
        <v>9219</v>
      </c>
      <c r="L1907" s="468" t="s">
        <v>2354</v>
      </c>
    </row>
    <row r="1908" spans="1:12" x14ac:dyDescent="0.25">
      <c r="A1908" s="468" t="s">
        <v>220</v>
      </c>
      <c r="B1908" s="468" t="s">
        <v>2351</v>
      </c>
      <c r="C1908" s="468" t="s">
        <v>3457</v>
      </c>
      <c r="D1908" s="468" t="s">
        <v>3458</v>
      </c>
      <c r="F1908" s="470">
        <v>113</v>
      </c>
      <c r="G1908" s="468">
        <v>2.1920000000000002</v>
      </c>
      <c r="H1908" s="479">
        <v>247.69600000000003</v>
      </c>
      <c r="I1908" s="468" t="s">
        <v>9218</v>
      </c>
      <c r="J1908" s="468" t="s">
        <v>9219</v>
      </c>
      <c r="K1908" s="468" t="s">
        <v>9219</v>
      </c>
      <c r="L1908" s="468" t="s">
        <v>2354</v>
      </c>
    </row>
    <row r="1909" spans="1:12" x14ac:dyDescent="0.25">
      <c r="A1909" s="468" t="s">
        <v>220</v>
      </c>
      <c r="B1909" s="468" t="s">
        <v>2351</v>
      </c>
      <c r="C1909" s="468" t="s">
        <v>3459</v>
      </c>
      <c r="D1909" s="468" t="s">
        <v>3460</v>
      </c>
      <c r="F1909" s="470">
        <v>150</v>
      </c>
      <c r="G1909" s="468">
        <v>2.5245000000000002</v>
      </c>
      <c r="H1909" s="479">
        <v>378.67500000000001</v>
      </c>
      <c r="I1909" s="468" t="s">
        <v>9218</v>
      </c>
      <c r="J1909" s="468" t="s">
        <v>9219</v>
      </c>
      <c r="K1909" s="468" t="s">
        <v>9219</v>
      </c>
      <c r="L1909" s="468" t="s">
        <v>2354</v>
      </c>
    </row>
    <row r="1910" spans="1:12" x14ac:dyDescent="0.25">
      <c r="A1910" s="468" t="s">
        <v>220</v>
      </c>
      <c r="B1910" s="468" t="s">
        <v>2351</v>
      </c>
      <c r="C1910" s="468" t="s">
        <v>3461</v>
      </c>
      <c r="D1910" s="468" t="s">
        <v>3462</v>
      </c>
      <c r="F1910" s="470">
        <v>44</v>
      </c>
      <c r="G1910" s="468">
        <v>4.0759999999999996</v>
      </c>
      <c r="H1910" s="479">
        <v>179.34399999999999</v>
      </c>
      <c r="I1910" s="468" t="s">
        <v>9218</v>
      </c>
      <c r="J1910" s="468" t="s">
        <v>9219</v>
      </c>
      <c r="K1910" s="468" t="s">
        <v>9219</v>
      </c>
      <c r="L1910" s="468" t="s">
        <v>2354</v>
      </c>
    </row>
    <row r="1911" spans="1:12" x14ac:dyDescent="0.25">
      <c r="A1911" s="468" t="s">
        <v>220</v>
      </c>
      <c r="B1911" s="468" t="s">
        <v>2351</v>
      </c>
      <c r="C1911" s="468" t="s">
        <v>3463</v>
      </c>
      <c r="D1911" s="468" t="s">
        <v>3464</v>
      </c>
      <c r="F1911" s="470">
        <v>16</v>
      </c>
      <c r="G1911" s="468">
        <v>2.2701799999999999</v>
      </c>
      <c r="H1911" s="479">
        <v>36.322879999999998</v>
      </c>
      <c r="I1911" s="468" t="s">
        <v>9218</v>
      </c>
      <c r="J1911" s="468" t="s">
        <v>9219</v>
      </c>
      <c r="K1911" s="468" t="s">
        <v>9219</v>
      </c>
      <c r="L1911" s="468" t="s">
        <v>2354</v>
      </c>
    </row>
    <row r="1912" spans="1:12" x14ac:dyDescent="0.25">
      <c r="A1912" s="468" t="s">
        <v>220</v>
      </c>
      <c r="B1912" s="468" t="s">
        <v>2351</v>
      </c>
      <c r="C1912" s="468" t="s">
        <v>3543</v>
      </c>
      <c r="D1912" s="468" t="s">
        <v>3544</v>
      </c>
      <c r="F1912" s="470">
        <v>25</v>
      </c>
      <c r="G1912" s="468">
        <v>6.85</v>
      </c>
      <c r="H1912" s="479">
        <v>171.25</v>
      </c>
      <c r="I1912" s="468" t="s">
        <v>9218</v>
      </c>
      <c r="J1912" s="468" t="s">
        <v>9219</v>
      </c>
      <c r="K1912" s="468" t="s">
        <v>9219</v>
      </c>
      <c r="L1912" s="468" t="s">
        <v>2354</v>
      </c>
    </row>
    <row r="1913" spans="1:12" x14ac:dyDescent="0.25">
      <c r="A1913" s="468" t="s">
        <v>220</v>
      </c>
      <c r="B1913" s="468" t="s">
        <v>2351</v>
      </c>
      <c r="C1913" s="468" t="s">
        <v>3545</v>
      </c>
      <c r="D1913" s="468" t="s">
        <v>3546</v>
      </c>
      <c r="F1913" s="470">
        <v>7</v>
      </c>
      <c r="G1913" s="468">
        <v>3.0289999999999999</v>
      </c>
      <c r="H1913" s="479">
        <v>21.202999999999999</v>
      </c>
      <c r="I1913" s="468" t="s">
        <v>9218</v>
      </c>
      <c r="J1913" s="468" t="s">
        <v>9219</v>
      </c>
      <c r="K1913" s="468" t="s">
        <v>9219</v>
      </c>
      <c r="L1913" s="468" t="s">
        <v>2354</v>
      </c>
    </row>
    <row r="1914" spans="1:12" x14ac:dyDescent="0.25">
      <c r="A1914" s="468" t="s">
        <v>220</v>
      </c>
      <c r="B1914" s="468" t="s">
        <v>2351</v>
      </c>
      <c r="C1914" s="468" t="s">
        <v>2425</v>
      </c>
      <c r="D1914" s="468" t="s">
        <v>2426</v>
      </c>
      <c r="F1914" s="470">
        <v>10</v>
      </c>
      <c r="G1914" s="468">
        <v>3.92</v>
      </c>
      <c r="H1914" s="479">
        <v>39.200000000000003</v>
      </c>
      <c r="I1914" s="468" t="s">
        <v>9218</v>
      </c>
      <c r="J1914" s="468" t="s">
        <v>9219</v>
      </c>
      <c r="K1914" s="468" t="s">
        <v>9219</v>
      </c>
      <c r="L1914" s="468" t="s">
        <v>2354</v>
      </c>
    </row>
    <row r="1915" spans="1:12" x14ac:dyDescent="0.25">
      <c r="A1915" s="468" t="s">
        <v>220</v>
      </c>
      <c r="B1915" s="468" t="s">
        <v>2351</v>
      </c>
      <c r="C1915" s="468" t="s">
        <v>3547</v>
      </c>
      <c r="D1915" s="468" t="s">
        <v>3548</v>
      </c>
      <c r="F1915" s="470">
        <v>37</v>
      </c>
      <c r="G1915" s="468">
        <v>3.7629999999999999</v>
      </c>
      <c r="H1915" s="479">
        <v>139.23099999999999</v>
      </c>
      <c r="I1915" s="468" t="s">
        <v>9218</v>
      </c>
      <c r="J1915" s="468" t="s">
        <v>9219</v>
      </c>
      <c r="K1915" s="468" t="s">
        <v>9219</v>
      </c>
      <c r="L1915" s="468" t="s">
        <v>2354</v>
      </c>
    </row>
    <row r="1916" spans="1:12" x14ac:dyDescent="0.25">
      <c r="A1916" s="468" t="s">
        <v>220</v>
      </c>
      <c r="B1916" s="468" t="s">
        <v>2351</v>
      </c>
      <c r="C1916" s="468" t="s">
        <v>3549</v>
      </c>
      <c r="D1916" s="468" t="s">
        <v>3550</v>
      </c>
      <c r="F1916" s="470">
        <v>5</v>
      </c>
      <c r="G1916" s="468">
        <v>9.8109999999999999</v>
      </c>
      <c r="H1916" s="479">
        <v>49.055</v>
      </c>
      <c r="I1916" s="468" t="s">
        <v>9218</v>
      </c>
      <c r="J1916" s="468" t="s">
        <v>9219</v>
      </c>
      <c r="K1916" s="468" t="s">
        <v>9219</v>
      </c>
      <c r="L1916" s="468" t="s">
        <v>2354</v>
      </c>
    </row>
    <row r="1917" spans="1:12" x14ac:dyDescent="0.25">
      <c r="A1917" s="468" t="s">
        <v>220</v>
      </c>
      <c r="B1917" s="468" t="s">
        <v>2351</v>
      </c>
      <c r="C1917" s="468" t="s">
        <v>3551</v>
      </c>
      <c r="D1917" s="468" t="s">
        <v>3552</v>
      </c>
      <c r="F1917" s="470">
        <v>25</v>
      </c>
      <c r="G1917" s="468">
        <v>5.367</v>
      </c>
      <c r="H1917" s="479">
        <v>134.17500000000001</v>
      </c>
      <c r="I1917" s="468" t="s">
        <v>9218</v>
      </c>
      <c r="J1917" s="468" t="s">
        <v>9219</v>
      </c>
      <c r="K1917" s="468" t="s">
        <v>9219</v>
      </c>
      <c r="L1917" s="468" t="s">
        <v>2354</v>
      </c>
    </row>
    <row r="1918" spans="1:12" x14ac:dyDescent="0.25">
      <c r="A1918" s="468" t="s">
        <v>220</v>
      </c>
      <c r="B1918" s="468" t="s">
        <v>2351</v>
      </c>
      <c r="C1918" s="468" t="s">
        <v>3553</v>
      </c>
      <c r="D1918" s="468" t="s">
        <v>3554</v>
      </c>
      <c r="F1918" s="470">
        <v>40</v>
      </c>
      <c r="G1918" s="468">
        <v>3.18</v>
      </c>
      <c r="H1918" s="479">
        <v>127.2</v>
      </c>
      <c r="I1918" s="468" t="s">
        <v>9218</v>
      </c>
      <c r="J1918" s="468" t="s">
        <v>9219</v>
      </c>
      <c r="K1918" s="468" t="s">
        <v>9219</v>
      </c>
      <c r="L1918" s="468" t="s">
        <v>2354</v>
      </c>
    </row>
    <row r="1919" spans="1:12" x14ac:dyDescent="0.25">
      <c r="A1919" s="468" t="s">
        <v>220</v>
      </c>
      <c r="B1919" s="468" t="s">
        <v>2351</v>
      </c>
      <c r="D1919" s="468" t="s">
        <v>9361</v>
      </c>
      <c r="F1919" s="470">
        <v>51</v>
      </c>
      <c r="G1919" s="468">
        <v>10.88</v>
      </c>
      <c r="H1919" s="479">
        <v>554.88</v>
      </c>
      <c r="I1919" s="468" t="s">
        <v>9218</v>
      </c>
      <c r="J1919" s="468" t="s">
        <v>9219</v>
      </c>
      <c r="K1919" s="468" t="s">
        <v>9219</v>
      </c>
      <c r="L1919" s="468" t="s">
        <v>2354</v>
      </c>
    </row>
    <row r="1920" spans="1:12" x14ac:dyDescent="0.25">
      <c r="A1920" s="468" t="s">
        <v>220</v>
      </c>
      <c r="B1920" s="468" t="s">
        <v>2351</v>
      </c>
      <c r="C1920" s="468" t="s">
        <v>3555</v>
      </c>
      <c r="D1920" s="468" t="s">
        <v>3556</v>
      </c>
      <c r="F1920" s="470">
        <v>41</v>
      </c>
      <c r="G1920" s="468">
        <v>3.823</v>
      </c>
      <c r="H1920" s="479">
        <v>156.74299999999999</v>
      </c>
      <c r="I1920" s="468" t="s">
        <v>9218</v>
      </c>
      <c r="J1920" s="468" t="s">
        <v>9219</v>
      </c>
      <c r="K1920" s="468" t="s">
        <v>9219</v>
      </c>
      <c r="L1920" s="468" t="s">
        <v>2354</v>
      </c>
    </row>
    <row r="1921" spans="1:12" x14ac:dyDescent="0.25">
      <c r="A1921" s="468" t="s">
        <v>220</v>
      </c>
      <c r="B1921" s="468" t="s">
        <v>2351</v>
      </c>
      <c r="C1921" s="468" t="s">
        <v>3557</v>
      </c>
      <c r="D1921" s="468" t="s">
        <v>3558</v>
      </c>
      <c r="F1921" s="470">
        <v>25</v>
      </c>
      <c r="G1921" s="468">
        <v>2.6549999999999998</v>
      </c>
      <c r="H1921" s="479">
        <v>66.375</v>
      </c>
      <c r="I1921" s="468" t="s">
        <v>9218</v>
      </c>
      <c r="J1921" s="468" t="s">
        <v>9219</v>
      </c>
      <c r="K1921" s="468" t="s">
        <v>9219</v>
      </c>
      <c r="L1921" s="468" t="s">
        <v>2354</v>
      </c>
    </row>
    <row r="1922" spans="1:12" x14ac:dyDescent="0.25">
      <c r="A1922" s="468" t="s">
        <v>220</v>
      </c>
      <c r="B1922" s="468" t="s">
        <v>2351</v>
      </c>
      <c r="C1922" s="468" t="s">
        <v>3559</v>
      </c>
      <c r="D1922" s="468" t="s">
        <v>3560</v>
      </c>
      <c r="F1922" s="470">
        <v>70</v>
      </c>
      <c r="G1922" s="468">
        <v>4.8150000000000004</v>
      </c>
      <c r="H1922" s="479">
        <v>337.05</v>
      </c>
      <c r="I1922" s="468" t="s">
        <v>9218</v>
      </c>
      <c r="J1922" s="468" t="s">
        <v>9219</v>
      </c>
      <c r="K1922" s="468" t="s">
        <v>9219</v>
      </c>
      <c r="L1922" s="468" t="s">
        <v>2354</v>
      </c>
    </row>
    <row r="1923" spans="1:12" x14ac:dyDescent="0.25">
      <c r="A1923" s="468" t="s">
        <v>220</v>
      </c>
      <c r="B1923" s="468" t="s">
        <v>2351</v>
      </c>
      <c r="C1923" s="468" t="s">
        <v>3561</v>
      </c>
      <c r="D1923" s="468" t="s">
        <v>3562</v>
      </c>
      <c r="F1923" s="470">
        <v>51</v>
      </c>
      <c r="G1923" s="468">
        <v>0.748</v>
      </c>
      <c r="H1923" s="479">
        <v>38.148000000000003</v>
      </c>
      <c r="I1923" s="468" t="s">
        <v>9218</v>
      </c>
      <c r="J1923" s="468" t="s">
        <v>9219</v>
      </c>
      <c r="K1923" s="468" t="s">
        <v>9219</v>
      </c>
      <c r="L1923" s="468" t="s">
        <v>2354</v>
      </c>
    </row>
    <row r="1924" spans="1:12" x14ac:dyDescent="0.25">
      <c r="A1924" s="468" t="s">
        <v>220</v>
      </c>
      <c r="B1924" s="468" t="s">
        <v>2351</v>
      </c>
      <c r="C1924" s="468" t="s">
        <v>3563</v>
      </c>
      <c r="D1924" s="468" t="s">
        <v>3564</v>
      </c>
      <c r="F1924" s="470">
        <v>28</v>
      </c>
      <c r="G1924" s="468">
        <v>2.1869999999999998</v>
      </c>
      <c r="H1924" s="479">
        <v>61.235999999999997</v>
      </c>
      <c r="I1924" s="468" t="s">
        <v>9218</v>
      </c>
      <c r="J1924" s="468" t="s">
        <v>9219</v>
      </c>
      <c r="K1924" s="468" t="s">
        <v>9219</v>
      </c>
      <c r="L1924" s="468" t="s">
        <v>2354</v>
      </c>
    </row>
    <row r="1925" spans="1:12" x14ac:dyDescent="0.25">
      <c r="A1925" s="468" t="s">
        <v>220</v>
      </c>
      <c r="B1925" s="468" t="s">
        <v>2351</v>
      </c>
      <c r="C1925" s="468" t="s">
        <v>3565</v>
      </c>
      <c r="D1925" s="468" t="s">
        <v>3566</v>
      </c>
      <c r="F1925" s="470">
        <v>55</v>
      </c>
      <c r="G1925" s="468">
        <v>2.8460000000000001</v>
      </c>
      <c r="H1925" s="479">
        <v>156.53</v>
      </c>
      <c r="I1925" s="468" t="s">
        <v>9218</v>
      </c>
      <c r="J1925" s="468" t="s">
        <v>9219</v>
      </c>
      <c r="K1925" s="468" t="s">
        <v>9219</v>
      </c>
      <c r="L1925" s="468" t="s">
        <v>2354</v>
      </c>
    </row>
    <row r="1926" spans="1:12" x14ac:dyDescent="0.25">
      <c r="A1926" s="468" t="s">
        <v>220</v>
      </c>
      <c r="B1926" s="468" t="s">
        <v>2351</v>
      </c>
      <c r="C1926" s="468" t="s">
        <v>3567</v>
      </c>
      <c r="D1926" s="468" t="s">
        <v>3568</v>
      </c>
      <c r="F1926" s="470">
        <v>10</v>
      </c>
      <c r="G1926" s="468">
        <v>5.67</v>
      </c>
      <c r="H1926" s="479">
        <v>56.7</v>
      </c>
      <c r="I1926" s="468" t="s">
        <v>9218</v>
      </c>
      <c r="J1926" s="468" t="s">
        <v>9219</v>
      </c>
      <c r="K1926" s="468" t="s">
        <v>9219</v>
      </c>
      <c r="L1926" s="468" t="s">
        <v>2354</v>
      </c>
    </row>
    <row r="1927" spans="1:12" x14ac:dyDescent="0.25">
      <c r="A1927" s="468" t="s">
        <v>220</v>
      </c>
      <c r="B1927" s="468" t="s">
        <v>2351</v>
      </c>
      <c r="C1927" s="468" t="s">
        <v>3569</v>
      </c>
      <c r="D1927" s="468" t="s">
        <v>3570</v>
      </c>
      <c r="F1927" s="470">
        <v>12</v>
      </c>
      <c r="G1927" s="468">
        <v>1.5299999999999998</v>
      </c>
      <c r="H1927" s="479">
        <v>18.36</v>
      </c>
      <c r="I1927" s="468" t="s">
        <v>9218</v>
      </c>
      <c r="J1927" s="468" t="s">
        <v>9219</v>
      </c>
      <c r="K1927" s="468" t="s">
        <v>9219</v>
      </c>
      <c r="L1927" s="468" t="s">
        <v>2354</v>
      </c>
    </row>
    <row r="1928" spans="1:12" x14ac:dyDescent="0.25">
      <c r="A1928" s="468" t="s">
        <v>220</v>
      </c>
      <c r="B1928" s="468" t="s">
        <v>2351</v>
      </c>
      <c r="C1928" s="468" t="s">
        <v>3571</v>
      </c>
      <c r="D1928" s="468" t="s">
        <v>3572</v>
      </c>
      <c r="F1928" s="470">
        <v>7</v>
      </c>
      <c r="G1928" s="468">
        <v>13.548999999999999</v>
      </c>
      <c r="H1928" s="479">
        <v>94.842999999999989</v>
      </c>
      <c r="I1928" s="468" t="s">
        <v>9218</v>
      </c>
      <c r="J1928" s="468" t="s">
        <v>9219</v>
      </c>
      <c r="K1928" s="468" t="s">
        <v>9219</v>
      </c>
      <c r="L1928" s="468" t="s">
        <v>2354</v>
      </c>
    </row>
    <row r="1929" spans="1:12" x14ac:dyDescent="0.25">
      <c r="A1929" s="468" t="s">
        <v>220</v>
      </c>
      <c r="B1929" s="468" t="s">
        <v>2351</v>
      </c>
      <c r="C1929" s="468" t="s">
        <v>3573</v>
      </c>
      <c r="D1929" s="468" t="s">
        <v>3574</v>
      </c>
      <c r="F1929" s="470">
        <v>17</v>
      </c>
      <c r="G1929" s="468">
        <v>5.5250000000000004</v>
      </c>
      <c r="H1929" s="479">
        <v>93.925000000000011</v>
      </c>
      <c r="I1929" s="468" t="s">
        <v>9218</v>
      </c>
      <c r="J1929" s="468" t="s">
        <v>9219</v>
      </c>
      <c r="K1929" s="468" t="s">
        <v>9219</v>
      </c>
      <c r="L1929" s="468" t="s">
        <v>2354</v>
      </c>
    </row>
    <row r="1930" spans="1:12" x14ac:dyDescent="0.25">
      <c r="A1930" s="468" t="s">
        <v>220</v>
      </c>
      <c r="B1930" s="468" t="s">
        <v>2351</v>
      </c>
      <c r="C1930" s="468" t="s">
        <v>2411</v>
      </c>
      <c r="D1930" s="468" t="s">
        <v>2412</v>
      </c>
      <c r="F1930" s="470">
        <v>6</v>
      </c>
      <c r="G1930" s="468">
        <v>2.89</v>
      </c>
      <c r="H1930" s="479">
        <v>17.34</v>
      </c>
      <c r="I1930" s="468" t="s">
        <v>9218</v>
      </c>
      <c r="J1930" s="468" t="s">
        <v>9219</v>
      </c>
      <c r="K1930" s="468" t="s">
        <v>9219</v>
      </c>
      <c r="L1930" s="468" t="s">
        <v>2354</v>
      </c>
    </row>
    <row r="1931" spans="1:12" x14ac:dyDescent="0.25">
      <c r="A1931" s="468" t="s">
        <v>220</v>
      </c>
      <c r="B1931" s="468" t="s">
        <v>2351</v>
      </c>
      <c r="C1931" s="468" t="s">
        <v>3575</v>
      </c>
      <c r="D1931" s="468" t="s">
        <v>3576</v>
      </c>
      <c r="F1931" s="470">
        <v>29</v>
      </c>
      <c r="G1931" s="468">
        <v>3.2650000000000001</v>
      </c>
      <c r="H1931" s="479">
        <v>94.685000000000002</v>
      </c>
      <c r="I1931" s="468" t="s">
        <v>9218</v>
      </c>
      <c r="J1931" s="468" t="s">
        <v>9219</v>
      </c>
      <c r="K1931" s="468" t="s">
        <v>9219</v>
      </c>
      <c r="L1931" s="468" t="s">
        <v>2354</v>
      </c>
    </row>
    <row r="1932" spans="1:12" x14ac:dyDescent="0.25">
      <c r="A1932" s="468" t="s">
        <v>220</v>
      </c>
      <c r="B1932" s="468" t="s">
        <v>2351</v>
      </c>
      <c r="C1932" s="468" t="s">
        <v>3579</v>
      </c>
      <c r="D1932" s="468" t="s">
        <v>3580</v>
      </c>
      <c r="F1932" s="470">
        <v>34</v>
      </c>
      <c r="G1932" s="468">
        <v>2.7450000000000001</v>
      </c>
      <c r="H1932" s="479">
        <v>93.33</v>
      </c>
      <c r="I1932" s="468" t="s">
        <v>9218</v>
      </c>
      <c r="J1932" s="468" t="s">
        <v>9219</v>
      </c>
      <c r="K1932" s="468" t="s">
        <v>9219</v>
      </c>
      <c r="L1932" s="468" t="s">
        <v>2354</v>
      </c>
    </row>
    <row r="1933" spans="1:12" x14ac:dyDescent="0.25">
      <c r="A1933" s="468" t="s">
        <v>220</v>
      </c>
      <c r="B1933" s="468" t="s">
        <v>2351</v>
      </c>
      <c r="C1933" s="468" t="s">
        <v>3581</v>
      </c>
      <c r="D1933" s="468" t="s">
        <v>3582</v>
      </c>
      <c r="F1933" s="470">
        <v>42</v>
      </c>
      <c r="G1933" s="468">
        <v>2.7879999999999998</v>
      </c>
      <c r="H1933" s="479">
        <v>117.09599999999999</v>
      </c>
      <c r="I1933" s="468" t="s">
        <v>9218</v>
      </c>
      <c r="J1933" s="468" t="s">
        <v>9219</v>
      </c>
      <c r="K1933" s="468" t="s">
        <v>9219</v>
      </c>
      <c r="L1933" s="468" t="s">
        <v>2354</v>
      </c>
    </row>
    <row r="1934" spans="1:12" x14ac:dyDescent="0.25">
      <c r="A1934" s="468" t="s">
        <v>220</v>
      </c>
      <c r="B1934" s="468" t="s">
        <v>2351</v>
      </c>
      <c r="C1934" s="468" t="s">
        <v>3583</v>
      </c>
      <c r="D1934" s="468" t="s">
        <v>3584</v>
      </c>
      <c r="F1934" s="470">
        <v>38</v>
      </c>
      <c r="G1934" s="468">
        <v>2.5510000000000002</v>
      </c>
      <c r="H1934" s="479">
        <v>96.938000000000002</v>
      </c>
      <c r="I1934" s="468" t="s">
        <v>9218</v>
      </c>
      <c r="J1934" s="468" t="s">
        <v>9219</v>
      </c>
      <c r="K1934" s="468" t="s">
        <v>9219</v>
      </c>
      <c r="L1934" s="468" t="s">
        <v>2354</v>
      </c>
    </row>
    <row r="1935" spans="1:12" x14ac:dyDescent="0.25">
      <c r="A1935" s="468" t="s">
        <v>220</v>
      </c>
      <c r="B1935" s="468" t="s">
        <v>2351</v>
      </c>
      <c r="C1935" s="468" t="s">
        <v>3585</v>
      </c>
      <c r="D1935" s="468" t="s">
        <v>3586</v>
      </c>
      <c r="F1935" s="470">
        <v>53</v>
      </c>
      <c r="G1935" s="468">
        <v>2.8050000000000002</v>
      </c>
      <c r="H1935" s="479">
        <v>148.66500000000002</v>
      </c>
      <c r="I1935" s="468" t="s">
        <v>9218</v>
      </c>
      <c r="J1935" s="468" t="s">
        <v>9219</v>
      </c>
      <c r="K1935" s="468" t="s">
        <v>9219</v>
      </c>
      <c r="L1935" s="468" t="s">
        <v>2354</v>
      </c>
    </row>
    <row r="1936" spans="1:12" x14ac:dyDescent="0.25">
      <c r="A1936" s="468" t="s">
        <v>220</v>
      </c>
      <c r="B1936" s="468" t="s">
        <v>2351</v>
      </c>
      <c r="C1936" s="468" t="s">
        <v>3587</v>
      </c>
      <c r="D1936" s="468" t="s">
        <v>3588</v>
      </c>
      <c r="F1936" s="470">
        <v>34</v>
      </c>
      <c r="G1936" s="468">
        <v>2.61</v>
      </c>
      <c r="H1936" s="479">
        <v>88.74</v>
      </c>
      <c r="I1936" s="468" t="s">
        <v>9218</v>
      </c>
      <c r="J1936" s="468" t="s">
        <v>9219</v>
      </c>
      <c r="K1936" s="468" t="s">
        <v>9219</v>
      </c>
      <c r="L1936" s="468" t="s">
        <v>2354</v>
      </c>
    </row>
    <row r="1937" spans="1:12" x14ac:dyDescent="0.25">
      <c r="A1937" s="468" t="s">
        <v>220</v>
      </c>
      <c r="B1937" s="468" t="s">
        <v>2351</v>
      </c>
      <c r="C1937" s="468" t="s">
        <v>3589</v>
      </c>
      <c r="D1937" s="468" t="s">
        <v>3590</v>
      </c>
      <c r="F1937" s="470">
        <v>3</v>
      </c>
      <c r="G1937" s="468">
        <v>3.0855000000000001</v>
      </c>
      <c r="H1937" s="479">
        <v>9.2565000000000008</v>
      </c>
      <c r="I1937" s="468" t="s">
        <v>9218</v>
      </c>
      <c r="J1937" s="468" t="s">
        <v>9219</v>
      </c>
      <c r="K1937" s="468" t="s">
        <v>9219</v>
      </c>
      <c r="L1937" s="468" t="s">
        <v>2354</v>
      </c>
    </row>
    <row r="1938" spans="1:12" x14ac:dyDescent="0.25">
      <c r="A1938" s="468" t="s">
        <v>220</v>
      </c>
      <c r="B1938" s="468" t="s">
        <v>2351</v>
      </c>
      <c r="C1938" s="468" t="s">
        <v>3591</v>
      </c>
      <c r="D1938" s="468" t="s">
        <v>3592</v>
      </c>
      <c r="F1938" s="470">
        <v>32</v>
      </c>
      <c r="G1938" s="468">
        <v>2.6930000000000001</v>
      </c>
      <c r="H1938" s="479">
        <v>86.176000000000002</v>
      </c>
      <c r="I1938" s="468" t="s">
        <v>9218</v>
      </c>
      <c r="J1938" s="468" t="s">
        <v>9219</v>
      </c>
      <c r="K1938" s="468" t="s">
        <v>9219</v>
      </c>
      <c r="L1938" s="468" t="s">
        <v>2354</v>
      </c>
    </row>
    <row r="1939" spans="1:12" x14ac:dyDescent="0.25">
      <c r="A1939" s="468" t="s">
        <v>220</v>
      </c>
      <c r="B1939" s="468" t="s">
        <v>2351</v>
      </c>
      <c r="C1939" s="468" t="s">
        <v>3593</v>
      </c>
      <c r="D1939" s="468" t="s">
        <v>3594</v>
      </c>
      <c r="F1939" s="470">
        <v>18</v>
      </c>
      <c r="G1939" s="468">
        <v>3.379</v>
      </c>
      <c r="H1939" s="479">
        <v>60.822000000000003</v>
      </c>
      <c r="I1939" s="468" t="s">
        <v>9218</v>
      </c>
      <c r="J1939" s="468" t="s">
        <v>9219</v>
      </c>
      <c r="K1939" s="468" t="s">
        <v>9219</v>
      </c>
      <c r="L1939" s="468" t="s">
        <v>2354</v>
      </c>
    </row>
    <row r="1940" spans="1:12" x14ac:dyDescent="0.25">
      <c r="A1940" s="468" t="s">
        <v>220</v>
      </c>
      <c r="B1940" s="468" t="s">
        <v>2351</v>
      </c>
      <c r="C1940" s="468" t="s">
        <v>2415</v>
      </c>
      <c r="D1940" s="468" t="s">
        <v>2416</v>
      </c>
      <c r="F1940" s="470">
        <v>10</v>
      </c>
      <c r="G1940" s="468">
        <v>3.84</v>
      </c>
      <c r="H1940" s="479">
        <v>38.4</v>
      </c>
      <c r="I1940" s="468" t="s">
        <v>9218</v>
      </c>
      <c r="J1940" s="468" t="s">
        <v>9219</v>
      </c>
      <c r="K1940" s="468" t="s">
        <v>9219</v>
      </c>
      <c r="L1940" s="468" t="s">
        <v>2354</v>
      </c>
    </row>
    <row r="1941" spans="1:12" x14ac:dyDescent="0.25">
      <c r="A1941" s="468" t="s">
        <v>220</v>
      </c>
      <c r="B1941" s="468" t="s">
        <v>2351</v>
      </c>
      <c r="C1941" s="468" t="s">
        <v>3595</v>
      </c>
      <c r="D1941" s="468" t="s">
        <v>3596</v>
      </c>
      <c r="F1941" s="470">
        <v>31</v>
      </c>
      <c r="G1941" s="468">
        <v>4.1440000000000001</v>
      </c>
      <c r="H1941" s="479">
        <v>128.464</v>
      </c>
      <c r="I1941" s="468" t="s">
        <v>9218</v>
      </c>
      <c r="J1941" s="468" t="s">
        <v>9219</v>
      </c>
      <c r="K1941" s="468" t="s">
        <v>9219</v>
      </c>
      <c r="L1941" s="468" t="s">
        <v>2354</v>
      </c>
    </row>
    <row r="1942" spans="1:12" x14ac:dyDescent="0.25">
      <c r="A1942" s="468" t="s">
        <v>220</v>
      </c>
      <c r="B1942" s="468" t="s">
        <v>2351</v>
      </c>
      <c r="C1942" s="468" t="s">
        <v>3597</v>
      </c>
      <c r="D1942" s="468" t="s">
        <v>3598</v>
      </c>
      <c r="F1942" s="470">
        <v>54</v>
      </c>
      <c r="G1942" s="468">
        <v>3.0649999999999999</v>
      </c>
      <c r="H1942" s="479">
        <v>165.51</v>
      </c>
      <c r="I1942" s="468" t="s">
        <v>9218</v>
      </c>
      <c r="J1942" s="468" t="s">
        <v>9219</v>
      </c>
      <c r="K1942" s="468" t="s">
        <v>9219</v>
      </c>
      <c r="L1942" s="468" t="s">
        <v>2354</v>
      </c>
    </row>
    <row r="1943" spans="1:12" x14ac:dyDescent="0.25">
      <c r="A1943" s="468" t="s">
        <v>220</v>
      </c>
      <c r="B1943" s="468" t="s">
        <v>2351</v>
      </c>
      <c r="C1943" s="468" t="s">
        <v>2431</v>
      </c>
      <c r="D1943" s="468" t="s">
        <v>2432</v>
      </c>
      <c r="F1943" s="470">
        <v>20</v>
      </c>
      <c r="G1943" s="468">
        <v>4.5599999999999996</v>
      </c>
      <c r="H1943" s="479">
        <v>91.199999999999989</v>
      </c>
      <c r="I1943" s="468" t="s">
        <v>9218</v>
      </c>
      <c r="J1943" s="468" t="s">
        <v>9219</v>
      </c>
      <c r="K1943" s="468" t="s">
        <v>9219</v>
      </c>
      <c r="L1943" s="468" t="s">
        <v>2354</v>
      </c>
    </row>
    <row r="1944" spans="1:12" x14ac:dyDescent="0.25">
      <c r="A1944" s="468" t="s">
        <v>220</v>
      </c>
      <c r="B1944" s="468" t="s">
        <v>2351</v>
      </c>
      <c r="C1944" s="468" t="s">
        <v>3603</v>
      </c>
      <c r="D1944" s="468" t="s">
        <v>3604</v>
      </c>
      <c r="F1944" s="470">
        <v>5</v>
      </c>
      <c r="H1944" s="479">
        <v>0</v>
      </c>
      <c r="I1944" s="468" t="s">
        <v>9218</v>
      </c>
      <c r="J1944" s="468" t="s">
        <v>9219</v>
      </c>
      <c r="K1944" s="468" t="s">
        <v>9219</v>
      </c>
      <c r="L1944" s="468" t="s">
        <v>2354</v>
      </c>
    </row>
    <row r="1945" spans="1:12" x14ac:dyDescent="0.25">
      <c r="A1945" s="468" t="s">
        <v>220</v>
      </c>
      <c r="B1945" s="468" t="s">
        <v>2351</v>
      </c>
      <c r="C1945" s="468" t="s">
        <v>2440</v>
      </c>
      <c r="D1945" s="468" t="s">
        <v>2441</v>
      </c>
      <c r="F1945" s="470">
        <v>12</v>
      </c>
      <c r="G1945" s="468">
        <v>2.6179999999999999</v>
      </c>
      <c r="H1945" s="479">
        <v>31.415999999999997</v>
      </c>
      <c r="I1945" s="468" t="s">
        <v>9218</v>
      </c>
      <c r="J1945" s="468" t="s">
        <v>9219</v>
      </c>
      <c r="K1945" s="468" t="s">
        <v>9219</v>
      </c>
      <c r="L1945" s="468" t="s">
        <v>2354</v>
      </c>
    </row>
    <row r="1946" spans="1:12" x14ac:dyDescent="0.25">
      <c r="A1946" s="468" t="s">
        <v>220</v>
      </c>
      <c r="B1946" s="468" t="s">
        <v>2351</v>
      </c>
      <c r="C1946" s="468" t="s">
        <v>3605</v>
      </c>
      <c r="D1946" s="468" t="s">
        <v>3606</v>
      </c>
      <c r="F1946" s="470">
        <v>43</v>
      </c>
      <c r="G1946" s="468">
        <v>4.5</v>
      </c>
      <c r="H1946" s="479">
        <v>193.5</v>
      </c>
      <c r="I1946" s="468" t="s">
        <v>9218</v>
      </c>
      <c r="J1946" s="468" t="s">
        <v>9219</v>
      </c>
      <c r="K1946" s="468" t="s">
        <v>9219</v>
      </c>
      <c r="L1946" s="468" t="s">
        <v>2354</v>
      </c>
    </row>
    <row r="1947" spans="1:12" x14ac:dyDescent="0.25">
      <c r="A1947" s="468" t="s">
        <v>220</v>
      </c>
      <c r="B1947" s="468" t="s">
        <v>2351</v>
      </c>
      <c r="C1947" s="468" t="s">
        <v>3609</v>
      </c>
      <c r="D1947" s="468" t="s">
        <v>3610</v>
      </c>
      <c r="F1947" s="470">
        <v>18</v>
      </c>
      <c r="G1947" s="468">
        <v>7.4969999999999999</v>
      </c>
      <c r="H1947" s="479">
        <v>134.946</v>
      </c>
      <c r="I1947" s="468" t="s">
        <v>9218</v>
      </c>
      <c r="J1947" s="468" t="s">
        <v>9219</v>
      </c>
      <c r="K1947" s="468" t="s">
        <v>9219</v>
      </c>
      <c r="L1947" s="468" t="s">
        <v>2354</v>
      </c>
    </row>
    <row r="1948" spans="1:12" x14ac:dyDescent="0.25">
      <c r="A1948" s="468" t="s">
        <v>220</v>
      </c>
      <c r="B1948" s="468" t="s">
        <v>2351</v>
      </c>
      <c r="C1948" s="468" t="s">
        <v>2433</v>
      </c>
      <c r="D1948" s="468" t="s">
        <v>2434</v>
      </c>
      <c r="F1948" s="470">
        <v>23</v>
      </c>
      <c r="G1948" s="468">
        <v>4.84</v>
      </c>
      <c r="H1948" s="479">
        <v>111.32</v>
      </c>
      <c r="I1948" s="468" t="s">
        <v>9218</v>
      </c>
      <c r="J1948" s="468" t="s">
        <v>9219</v>
      </c>
      <c r="K1948" s="468" t="s">
        <v>9219</v>
      </c>
      <c r="L1948" s="468" t="s">
        <v>2354</v>
      </c>
    </row>
    <row r="1949" spans="1:12" x14ac:dyDescent="0.25">
      <c r="A1949" s="468" t="s">
        <v>220</v>
      </c>
      <c r="B1949" s="468" t="s">
        <v>2351</v>
      </c>
      <c r="D1949" s="468" t="s">
        <v>9362</v>
      </c>
      <c r="F1949" s="470">
        <v>10</v>
      </c>
      <c r="G1949" s="468">
        <v>21.75</v>
      </c>
      <c r="H1949" s="479">
        <v>217.5</v>
      </c>
      <c r="I1949" s="468" t="s">
        <v>9218</v>
      </c>
      <c r="J1949" s="468" t="s">
        <v>9219</v>
      </c>
      <c r="K1949" s="468" t="s">
        <v>9219</v>
      </c>
      <c r="L1949" s="468" t="s">
        <v>2354</v>
      </c>
    </row>
    <row r="1950" spans="1:12" x14ac:dyDescent="0.25">
      <c r="A1950" s="468" t="s">
        <v>220</v>
      </c>
      <c r="B1950" s="468" t="s">
        <v>2351</v>
      </c>
      <c r="C1950" s="468" t="s">
        <v>3611</v>
      </c>
      <c r="D1950" s="468" t="s">
        <v>3612</v>
      </c>
      <c r="F1950" s="470">
        <v>5</v>
      </c>
      <c r="G1950" s="468">
        <v>15.581</v>
      </c>
      <c r="H1950" s="479">
        <v>77.905000000000001</v>
      </c>
      <c r="I1950" s="468" t="s">
        <v>9218</v>
      </c>
      <c r="J1950" s="468" t="s">
        <v>9219</v>
      </c>
      <c r="K1950" s="468" t="s">
        <v>9219</v>
      </c>
      <c r="L1950" s="468" t="s">
        <v>2354</v>
      </c>
    </row>
    <row r="1951" spans="1:12" x14ac:dyDescent="0.25">
      <c r="A1951" s="468" t="s">
        <v>220</v>
      </c>
      <c r="B1951" s="468" t="s">
        <v>2351</v>
      </c>
      <c r="C1951" s="468" t="s">
        <v>3613</v>
      </c>
      <c r="D1951" s="468" t="s">
        <v>3614</v>
      </c>
      <c r="F1951" s="470">
        <v>21</v>
      </c>
      <c r="G1951" s="468">
        <v>2.61</v>
      </c>
      <c r="H1951" s="479">
        <v>54.809999999999995</v>
      </c>
      <c r="I1951" s="468" t="s">
        <v>9218</v>
      </c>
      <c r="J1951" s="468" t="s">
        <v>9219</v>
      </c>
      <c r="K1951" s="468" t="s">
        <v>9219</v>
      </c>
      <c r="L1951" s="468" t="s">
        <v>2354</v>
      </c>
    </row>
    <row r="1952" spans="1:12" x14ac:dyDescent="0.25">
      <c r="A1952" s="468" t="s">
        <v>220</v>
      </c>
      <c r="B1952" s="468" t="s">
        <v>2351</v>
      </c>
      <c r="C1952" s="468" t="s">
        <v>3615</v>
      </c>
      <c r="D1952" s="468" t="s">
        <v>3616</v>
      </c>
      <c r="F1952" s="470">
        <v>23</v>
      </c>
      <c r="G1952" s="468">
        <v>8.2278000000000002</v>
      </c>
      <c r="H1952" s="479">
        <v>189.23940000000002</v>
      </c>
      <c r="I1952" s="468" t="s">
        <v>9218</v>
      </c>
      <c r="J1952" s="468" t="s">
        <v>9219</v>
      </c>
      <c r="K1952" s="468" t="s">
        <v>9219</v>
      </c>
      <c r="L1952" s="468" t="s">
        <v>2354</v>
      </c>
    </row>
    <row r="1953" spans="1:12" x14ac:dyDescent="0.25">
      <c r="A1953" s="468" t="s">
        <v>220</v>
      </c>
      <c r="B1953" s="468" t="s">
        <v>2351</v>
      </c>
      <c r="C1953" s="468" t="s">
        <v>3617</v>
      </c>
      <c r="D1953" s="468" t="s">
        <v>3618</v>
      </c>
      <c r="F1953" s="470">
        <v>17</v>
      </c>
      <c r="G1953" s="468">
        <v>2.7040000000000002</v>
      </c>
      <c r="H1953" s="479">
        <v>45.968000000000004</v>
      </c>
      <c r="I1953" s="468" t="s">
        <v>9218</v>
      </c>
      <c r="J1953" s="468" t="s">
        <v>9219</v>
      </c>
      <c r="K1953" s="468" t="s">
        <v>9219</v>
      </c>
      <c r="L1953" s="468" t="s">
        <v>2354</v>
      </c>
    </row>
    <row r="1954" spans="1:12" x14ac:dyDescent="0.25">
      <c r="A1954" s="468" t="s">
        <v>220</v>
      </c>
      <c r="B1954" s="468" t="s">
        <v>2351</v>
      </c>
      <c r="C1954" s="468" t="s">
        <v>3621</v>
      </c>
      <c r="D1954" s="468" t="s">
        <v>3622</v>
      </c>
      <c r="F1954" s="470">
        <v>26</v>
      </c>
      <c r="G1954" s="468">
        <v>3.0179999999999998</v>
      </c>
      <c r="H1954" s="479">
        <v>78.467999999999989</v>
      </c>
      <c r="I1954" s="468" t="s">
        <v>9218</v>
      </c>
      <c r="J1954" s="468" t="s">
        <v>9219</v>
      </c>
      <c r="K1954" s="468" t="s">
        <v>9219</v>
      </c>
      <c r="L1954" s="468" t="s">
        <v>2354</v>
      </c>
    </row>
    <row r="1955" spans="1:12" x14ac:dyDescent="0.25">
      <c r="A1955" s="468" t="s">
        <v>220</v>
      </c>
      <c r="B1955" s="468" t="s">
        <v>2351</v>
      </c>
      <c r="C1955" s="468" t="s">
        <v>3623</v>
      </c>
      <c r="D1955" s="468" t="s">
        <v>3624</v>
      </c>
      <c r="F1955" s="470">
        <v>15</v>
      </c>
      <c r="G1955" s="468">
        <v>4.08</v>
      </c>
      <c r="H1955" s="479">
        <v>61.2</v>
      </c>
      <c r="I1955" s="468" t="s">
        <v>9218</v>
      </c>
      <c r="J1955" s="468" t="s">
        <v>9219</v>
      </c>
      <c r="K1955" s="468" t="s">
        <v>9219</v>
      </c>
      <c r="L1955" s="468" t="s">
        <v>2354</v>
      </c>
    </row>
    <row r="1956" spans="1:12" x14ac:dyDescent="0.25">
      <c r="A1956" s="468" t="s">
        <v>220</v>
      </c>
      <c r="B1956" s="468" t="s">
        <v>2351</v>
      </c>
      <c r="C1956" s="468" t="s">
        <v>2435</v>
      </c>
      <c r="D1956" s="468" t="s">
        <v>2436</v>
      </c>
      <c r="F1956" s="470">
        <v>10</v>
      </c>
      <c r="G1956" s="468">
        <v>6.4550000000000001</v>
      </c>
      <c r="H1956" s="479">
        <v>64.55</v>
      </c>
      <c r="I1956" s="468" t="s">
        <v>9218</v>
      </c>
      <c r="J1956" s="468" t="s">
        <v>9219</v>
      </c>
      <c r="K1956" s="468" t="s">
        <v>9219</v>
      </c>
      <c r="L1956" s="468" t="s">
        <v>2354</v>
      </c>
    </row>
    <row r="1957" spans="1:12" x14ac:dyDescent="0.25">
      <c r="A1957" s="468" t="s">
        <v>220</v>
      </c>
      <c r="B1957" s="468" t="s">
        <v>2351</v>
      </c>
      <c r="C1957" s="468" t="s">
        <v>3627</v>
      </c>
      <c r="D1957" s="468" t="s">
        <v>3628</v>
      </c>
      <c r="F1957" s="470">
        <v>17</v>
      </c>
      <c r="G1957" s="468">
        <v>1.679</v>
      </c>
      <c r="H1957" s="479">
        <v>28.542999999999999</v>
      </c>
      <c r="I1957" s="468" t="s">
        <v>9218</v>
      </c>
      <c r="J1957" s="468" t="s">
        <v>9219</v>
      </c>
      <c r="K1957" s="468" t="s">
        <v>9219</v>
      </c>
      <c r="L1957" s="468" t="s">
        <v>2354</v>
      </c>
    </row>
    <row r="1958" spans="1:12" x14ac:dyDescent="0.25">
      <c r="A1958" s="468" t="s">
        <v>220</v>
      </c>
      <c r="B1958" s="468" t="s">
        <v>2351</v>
      </c>
      <c r="C1958" s="468" t="s">
        <v>2421</v>
      </c>
      <c r="D1958" s="468" t="s">
        <v>2422</v>
      </c>
      <c r="F1958" s="470">
        <v>15</v>
      </c>
      <c r="G1958" s="468">
        <v>21.785499999999999</v>
      </c>
      <c r="H1958" s="479">
        <v>326.78249999999997</v>
      </c>
      <c r="I1958" s="468" t="s">
        <v>9218</v>
      </c>
      <c r="J1958" s="468" t="s">
        <v>9219</v>
      </c>
      <c r="K1958" s="468" t="s">
        <v>9219</v>
      </c>
      <c r="L1958" s="468" t="s">
        <v>2354</v>
      </c>
    </row>
    <row r="1959" spans="1:12" x14ac:dyDescent="0.25">
      <c r="A1959" s="468" t="s">
        <v>220</v>
      </c>
      <c r="B1959" s="468" t="s">
        <v>2351</v>
      </c>
      <c r="C1959" s="468" t="s">
        <v>3629</v>
      </c>
      <c r="D1959" s="468" t="s">
        <v>3630</v>
      </c>
      <c r="F1959" s="470">
        <v>29</v>
      </c>
      <c r="G1959" s="468">
        <v>1.1729999999999998</v>
      </c>
      <c r="H1959" s="479">
        <v>34.016999999999996</v>
      </c>
      <c r="I1959" s="468" t="s">
        <v>9218</v>
      </c>
      <c r="J1959" s="468" t="s">
        <v>9219</v>
      </c>
      <c r="K1959" s="468" t="s">
        <v>9219</v>
      </c>
      <c r="L1959" s="468" t="s">
        <v>2354</v>
      </c>
    </row>
    <row r="1960" spans="1:12" x14ac:dyDescent="0.25">
      <c r="A1960" s="468" t="s">
        <v>220</v>
      </c>
      <c r="B1960" s="468" t="s">
        <v>2351</v>
      </c>
      <c r="D1960" s="468" t="s">
        <v>9363</v>
      </c>
      <c r="F1960" s="470">
        <v>39</v>
      </c>
      <c r="G1960" s="468">
        <v>8.26</v>
      </c>
      <c r="H1960" s="479">
        <v>322.14</v>
      </c>
      <c r="I1960" s="468" t="s">
        <v>9218</v>
      </c>
      <c r="J1960" s="468" t="s">
        <v>9219</v>
      </c>
      <c r="K1960" s="468" t="s">
        <v>9219</v>
      </c>
      <c r="L1960" s="468" t="s">
        <v>2354</v>
      </c>
    </row>
    <row r="1961" spans="1:12" x14ac:dyDescent="0.25">
      <c r="A1961" s="468" t="s">
        <v>220</v>
      </c>
      <c r="B1961" s="468" t="s">
        <v>2351</v>
      </c>
      <c r="C1961" s="468" t="s">
        <v>3631</v>
      </c>
      <c r="D1961" s="468" t="s">
        <v>3632</v>
      </c>
      <c r="F1961" s="470">
        <v>30</v>
      </c>
      <c r="G1961" s="468">
        <v>1.6872499999999999</v>
      </c>
      <c r="H1961" s="479">
        <v>50.6175</v>
      </c>
      <c r="I1961" s="468" t="s">
        <v>9218</v>
      </c>
      <c r="J1961" s="468" t="s">
        <v>9219</v>
      </c>
      <c r="K1961" s="468" t="s">
        <v>9219</v>
      </c>
      <c r="L1961" s="468" t="s">
        <v>2354</v>
      </c>
    </row>
    <row r="1962" spans="1:12" x14ac:dyDescent="0.25">
      <c r="A1962" s="468" t="s">
        <v>220</v>
      </c>
      <c r="B1962" s="468" t="s">
        <v>2351</v>
      </c>
      <c r="C1962" s="468" t="s">
        <v>2407</v>
      </c>
      <c r="D1962" s="468" t="s">
        <v>2408</v>
      </c>
      <c r="F1962" s="470">
        <v>17</v>
      </c>
      <c r="G1962" s="468">
        <v>19.437000000000001</v>
      </c>
      <c r="H1962" s="479">
        <v>330.42900000000003</v>
      </c>
      <c r="I1962" s="468" t="s">
        <v>9218</v>
      </c>
      <c r="J1962" s="468" t="s">
        <v>9219</v>
      </c>
      <c r="K1962" s="468" t="s">
        <v>9219</v>
      </c>
      <c r="L1962" s="468" t="s">
        <v>2354</v>
      </c>
    </row>
    <row r="1963" spans="1:12" x14ac:dyDescent="0.25">
      <c r="A1963" s="468" t="s">
        <v>220</v>
      </c>
      <c r="B1963" s="468" t="s">
        <v>2351</v>
      </c>
      <c r="C1963" s="468" t="s">
        <v>3633</v>
      </c>
      <c r="D1963" s="468" t="s">
        <v>3634</v>
      </c>
      <c r="F1963" s="470">
        <v>15</v>
      </c>
      <c r="G1963" s="468">
        <v>14.025</v>
      </c>
      <c r="H1963" s="479">
        <v>210.375</v>
      </c>
      <c r="I1963" s="468" t="s">
        <v>9218</v>
      </c>
      <c r="J1963" s="468" t="s">
        <v>9219</v>
      </c>
      <c r="K1963" s="468" t="s">
        <v>9219</v>
      </c>
      <c r="L1963" s="468" t="s">
        <v>2354</v>
      </c>
    </row>
    <row r="1964" spans="1:12" x14ac:dyDescent="0.25">
      <c r="A1964" s="468" t="s">
        <v>220</v>
      </c>
      <c r="B1964" s="468" t="s">
        <v>2351</v>
      </c>
      <c r="C1964" s="468" t="s">
        <v>3635</v>
      </c>
      <c r="D1964" s="468" t="s">
        <v>3636</v>
      </c>
      <c r="F1964" s="470">
        <v>6</v>
      </c>
      <c r="G1964" s="468">
        <v>15.3</v>
      </c>
      <c r="H1964" s="479">
        <v>91.800000000000011</v>
      </c>
      <c r="I1964" s="468" t="s">
        <v>9218</v>
      </c>
      <c r="J1964" s="468" t="s">
        <v>9219</v>
      </c>
      <c r="K1964" s="468" t="s">
        <v>9219</v>
      </c>
      <c r="L1964" s="468" t="s">
        <v>2354</v>
      </c>
    </row>
    <row r="1965" spans="1:12" x14ac:dyDescent="0.25">
      <c r="A1965" s="468" t="s">
        <v>220</v>
      </c>
      <c r="B1965" s="468" t="s">
        <v>2351</v>
      </c>
      <c r="C1965" s="468" t="s">
        <v>2404</v>
      </c>
      <c r="D1965" s="468" t="s">
        <v>2405</v>
      </c>
      <c r="F1965" s="470">
        <v>10</v>
      </c>
      <c r="G1965" s="468">
        <v>13.53</v>
      </c>
      <c r="H1965" s="479">
        <v>135.29999999999998</v>
      </c>
      <c r="I1965" s="468" t="s">
        <v>9218</v>
      </c>
      <c r="J1965" s="468" t="s">
        <v>9219</v>
      </c>
      <c r="K1965" s="468" t="s">
        <v>9219</v>
      </c>
      <c r="L1965" s="468" t="s">
        <v>2354</v>
      </c>
    </row>
    <row r="1966" spans="1:12" x14ac:dyDescent="0.25">
      <c r="A1966" s="468" t="s">
        <v>220</v>
      </c>
      <c r="B1966" s="468" t="s">
        <v>2351</v>
      </c>
      <c r="C1966" s="468" t="s">
        <v>3637</v>
      </c>
      <c r="D1966" s="468" t="s">
        <v>3638</v>
      </c>
      <c r="F1966" s="470">
        <v>34</v>
      </c>
      <c r="G1966" s="468">
        <v>2.2730000000000001</v>
      </c>
      <c r="H1966" s="479">
        <v>77.282000000000011</v>
      </c>
      <c r="I1966" s="468" t="s">
        <v>9218</v>
      </c>
      <c r="J1966" s="468" t="s">
        <v>9219</v>
      </c>
      <c r="K1966" s="468" t="s">
        <v>9219</v>
      </c>
      <c r="L1966" s="468" t="s">
        <v>2354</v>
      </c>
    </row>
    <row r="1967" spans="1:12" x14ac:dyDescent="0.25">
      <c r="A1967" s="468" t="s">
        <v>220</v>
      </c>
      <c r="B1967" s="468" t="s">
        <v>2351</v>
      </c>
      <c r="C1967" s="468" t="s">
        <v>3639</v>
      </c>
      <c r="D1967" s="468" t="s">
        <v>3640</v>
      </c>
      <c r="F1967" s="470">
        <v>87</v>
      </c>
      <c r="G1967" s="468">
        <v>2.1179999999999999</v>
      </c>
      <c r="H1967" s="479">
        <v>184.26599999999999</v>
      </c>
      <c r="I1967" s="468" t="s">
        <v>9218</v>
      </c>
      <c r="J1967" s="468" t="s">
        <v>9219</v>
      </c>
      <c r="K1967" s="468" t="s">
        <v>9219</v>
      </c>
      <c r="L1967" s="468" t="s">
        <v>2354</v>
      </c>
    </row>
    <row r="1968" spans="1:12" x14ac:dyDescent="0.25">
      <c r="A1968" s="468" t="s">
        <v>220</v>
      </c>
      <c r="B1968" s="468" t="s">
        <v>2351</v>
      </c>
      <c r="C1968" s="468" t="s">
        <v>3641</v>
      </c>
      <c r="D1968" s="468" t="s">
        <v>3642</v>
      </c>
      <c r="F1968" s="470">
        <v>27</v>
      </c>
      <c r="G1968" s="468">
        <v>2.694</v>
      </c>
      <c r="H1968" s="479">
        <v>72.738</v>
      </c>
      <c r="I1968" s="468" t="s">
        <v>9218</v>
      </c>
      <c r="J1968" s="468" t="s">
        <v>9219</v>
      </c>
      <c r="K1968" s="468" t="s">
        <v>9219</v>
      </c>
      <c r="L1968" s="468" t="s">
        <v>2354</v>
      </c>
    </row>
    <row r="1969" spans="1:12" x14ac:dyDescent="0.25">
      <c r="A1969" s="468" t="s">
        <v>220</v>
      </c>
      <c r="B1969" s="468" t="s">
        <v>2351</v>
      </c>
      <c r="C1969" s="468" t="s">
        <v>3643</v>
      </c>
      <c r="D1969" s="468" t="s">
        <v>3644</v>
      </c>
      <c r="F1969" s="470">
        <v>17</v>
      </c>
      <c r="G1969" s="468">
        <v>5.4660000000000002</v>
      </c>
      <c r="H1969" s="479">
        <v>92.921999999999997</v>
      </c>
      <c r="I1969" s="468" t="s">
        <v>9218</v>
      </c>
      <c r="J1969" s="468" t="s">
        <v>9219</v>
      </c>
      <c r="K1969" s="468" t="s">
        <v>9219</v>
      </c>
      <c r="L1969" s="468" t="s">
        <v>2354</v>
      </c>
    </row>
    <row r="1970" spans="1:12" x14ac:dyDescent="0.25">
      <c r="A1970" s="468" t="s">
        <v>220</v>
      </c>
      <c r="B1970" s="468" t="s">
        <v>2351</v>
      </c>
      <c r="C1970" s="468" t="s">
        <v>3645</v>
      </c>
      <c r="D1970" s="468" t="s">
        <v>3646</v>
      </c>
      <c r="F1970" s="470">
        <v>5</v>
      </c>
      <c r="G1970" s="468">
        <v>4.08</v>
      </c>
      <c r="H1970" s="479">
        <v>20.399999999999999</v>
      </c>
      <c r="I1970" s="468" t="s">
        <v>9218</v>
      </c>
      <c r="J1970" s="468" t="s">
        <v>9219</v>
      </c>
      <c r="K1970" s="468" t="s">
        <v>9219</v>
      </c>
      <c r="L1970" s="468" t="s">
        <v>2354</v>
      </c>
    </row>
    <row r="1971" spans="1:12" x14ac:dyDescent="0.25">
      <c r="A1971" s="468" t="s">
        <v>220</v>
      </c>
      <c r="B1971" s="468" t="s">
        <v>2351</v>
      </c>
      <c r="C1971" s="468" t="s">
        <v>3647</v>
      </c>
      <c r="D1971" s="468" t="s">
        <v>3648</v>
      </c>
      <c r="F1971" s="470">
        <v>4</v>
      </c>
      <c r="G1971" s="468">
        <v>3.8759999999999999</v>
      </c>
      <c r="H1971" s="479">
        <v>15.504</v>
      </c>
      <c r="I1971" s="468" t="s">
        <v>9218</v>
      </c>
      <c r="J1971" s="468" t="s">
        <v>9219</v>
      </c>
      <c r="K1971" s="468" t="s">
        <v>9219</v>
      </c>
      <c r="L1971" s="468" t="s">
        <v>2354</v>
      </c>
    </row>
    <row r="1972" spans="1:12" x14ac:dyDescent="0.25">
      <c r="A1972" s="468" t="s">
        <v>220</v>
      </c>
      <c r="B1972" s="468" t="s">
        <v>2351</v>
      </c>
      <c r="C1972" s="468" t="s">
        <v>3649</v>
      </c>
      <c r="D1972" s="468" t="s">
        <v>3650</v>
      </c>
      <c r="F1972" s="470">
        <v>24</v>
      </c>
      <c r="G1972" s="468">
        <v>5.0270000000000001</v>
      </c>
      <c r="H1972" s="479">
        <v>120.648</v>
      </c>
      <c r="I1972" s="468" t="s">
        <v>9218</v>
      </c>
      <c r="J1972" s="468" t="s">
        <v>9219</v>
      </c>
      <c r="K1972" s="468" t="s">
        <v>9219</v>
      </c>
      <c r="L1972" s="468" t="s">
        <v>2354</v>
      </c>
    </row>
    <row r="1973" spans="1:12" x14ac:dyDescent="0.25">
      <c r="A1973" s="468" t="s">
        <v>220</v>
      </c>
      <c r="B1973" s="468" t="s">
        <v>2351</v>
      </c>
      <c r="C1973" s="468" t="s">
        <v>3651</v>
      </c>
      <c r="D1973" s="468" t="s">
        <v>3652</v>
      </c>
      <c r="F1973" s="470">
        <v>39</v>
      </c>
      <c r="G1973" s="468">
        <v>1.848857142857143</v>
      </c>
      <c r="H1973" s="479">
        <v>72.105428571428575</v>
      </c>
      <c r="I1973" s="468" t="s">
        <v>9218</v>
      </c>
      <c r="J1973" s="468" t="s">
        <v>9219</v>
      </c>
      <c r="K1973" s="468" t="s">
        <v>9219</v>
      </c>
      <c r="L1973" s="468" t="s">
        <v>2354</v>
      </c>
    </row>
    <row r="1974" spans="1:12" x14ac:dyDescent="0.25">
      <c r="A1974" s="468" t="s">
        <v>220</v>
      </c>
      <c r="B1974" s="468" t="s">
        <v>2351</v>
      </c>
      <c r="C1974" s="468" t="s">
        <v>3653</v>
      </c>
      <c r="D1974" s="468" t="s">
        <v>3654</v>
      </c>
      <c r="F1974" s="470">
        <v>19</v>
      </c>
      <c r="G1974" s="468">
        <v>2.2440000000000002</v>
      </c>
      <c r="H1974" s="479">
        <v>42.636000000000003</v>
      </c>
      <c r="I1974" s="468" t="s">
        <v>9218</v>
      </c>
      <c r="J1974" s="468" t="s">
        <v>9219</v>
      </c>
      <c r="K1974" s="468" t="s">
        <v>9219</v>
      </c>
      <c r="L1974" s="468" t="s">
        <v>2354</v>
      </c>
    </row>
    <row r="1975" spans="1:12" x14ac:dyDescent="0.25">
      <c r="A1975" s="468" t="s">
        <v>220</v>
      </c>
      <c r="B1975" s="468" t="s">
        <v>2351</v>
      </c>
      <c r="C1975" s="468" t="s">
        <v>3655</v>
      </c>
      <c r="D1975" s="468" t="s">
        <v>3656</v>
      </c>
      <c r="F1975" s="470">
        <v>38</v>
      </c>
      <c r="G1975" s="468">
        <v>3.774</v>
      </c>
      <c r="H1975" s="479">
        <v>143.41200000000001</v>
      </c>
      <c r="I1975" s="468" t="s">
        <v>9218</v>
      </c>
      <c r="J1975" s="468" t="s">
        <v>9219</v>
      </c>
      <c r="K1975" s="468" t="s">
        <v>9219</v>
      </c>
      <c r="L1975" s="468" t="s">
        <v>2354</v>
      </c>
    </row>
    <row r="1976" spans="1:12" x14ac:dyDescent="0.25">
      <c r="A1976" s="468" t="s">
        <v>220</v>
      </c>
      <c r="B1976" s="468" t="s">
        <v>2351</v>
      </c>
      <c r="C1976" s="468" t="s">
        <v>2409</v>
      </c>
      <c r="D1976" s="468" t="s">
        <v>2410</v>
      </c>
      <c r="F1976" s="470">
        <v>24</v>
      </c>
      <c r="G1976" s="468">
        <v>1.802</v>
      </c>
      <c r="H1976" s="479">
        <v>43.248000000000005</v>
      </c>
      <c r="I1976" s="468" t="s">
        <v>9218</v>
      </c>
      <c r="J1976" s="468" t="s">
        <v>9219</v>
      </c>
      <c r="K1976" s="468" t="s">
        <v>9219</v>
      </c>
      <c r="L1976" s="468" t="s">
        <v>2354</v>
      </c>
    </row>
    <row r="1977" spans="1:12" x14ac:dyDescent="0.25">
      <c r="A1977" s="468" t="s">
        <v>220</v>
      </c>
      <c r="B1977" s="468" t="s">
        <v>2351</v>
      </c>
      <c r="C1977" s="468" t="s">
        <v>5402</v>
      </c>
      <c r="D1977" s="468" t="s">
        <v>5403</v>
      </c>
      <c r="F1977" s="470">
        <v>10</v>
      </c>
      <c r="G1977" s="468">
        <v>3.8759999999999999</v>
      </c>
      <c r="H1977" s="479">
        <v>38.76</v>
      </c>
      <c r="I1977" s="468" t="s">
        <v>9218</v>
      </c>
      <c r="J1977" s="468" t="s">
        <v>9219</v>
      </c>
      <c r="K1977" s="468" t="s">
        <v>9219</v>
      </c>
      <c r="L1977" s="468" t="s">
        <v>2354</v>
      </c>
    </row>
    <row r="1978" spans="1:12" x14ac:dyDescent="0.25">
      <c r="A1978" s="468" t="s">
        <v>220</v>
      </c>
      <c r="B1978" s="468" t="s">
        <v>2351</v>
      </c>
      <c r="C1978" s="468" t="s">
        <v>3679</v>
      </c>
      <c r="D1978" s="468" t="s">
        <v>3680</v>
      </c>
      <c r="F1978" s="470">
        <v>9</v>
      </c>
      <c r="G1978" s="468">
        <v>3.927</v>
      </c>
      <c r="H1978" s="479">
        <v>35.343000000000004</v>
      </c>
      <c r="I1978" s="468" t="s">
        <v>9218</v>
      </c>
      <c r="J1978" s="468" t="s">
        <v>9219</v>
      </c>
      <c r="K1978" s="468" t="s">
        <v>9219</v>
      </c>
      <c r="L1978" s="468" t="s">
        <v>2354</v>
      </c>
    </row>
    <row r="1979" spans="1:12" x14ac:dyDescent="0.25">
      <c r="A1979" s="468" t="s">
        <v>220</v>
      </c>
      <c r="B1979" s="468" t="s">
        <v>2351</v>
      </c>
      <c r="C1979" s="468" t="s">
        <v>3681</v>
      </c>
      <c r="D1979" s="468" t="s">
        <v>3682</v>
      </c>
      <c r="F1979" s="470">
        <v>19</v>
      </c>
      <c r="G1979" s="468">
        <v>7.2</v>
      </c>
      <c r="H1979" s="479">
        <v>136.80000000000001</v>
      </c>
      <c r="I1979" s="468" t="s">
        <v>9218</v>
      </c>
      <c r="J1979" s="468" t="s">
        <v>9219</v>
      </c>
      <c r="K1979" s="468" t="s">
        <v>9219</v>
      </c>
      <c r="L1979" s="468" t="s">
        <v>2354</v>
      </c>
    </row>
    <row r="1980" spans="1:12" x14ac:dyDescent="0.25">
      <c r="A1980" s="468" t="s">
        <v>220</v>
      </c>
      <c r="B1980" s="468" t="s">
        <v>2351</v>
      </c>
      <c r="C1980" s="468" t="s">
        <v>3727</v>
      </c>
      <c r="D1980" s="468" t="s">
        <v>3728</v>
      </c>
      <c r="F1980" s="470">
        <v>13</v>
      </c>
      <c r="G1980" s="468">
        <v>4.9390000000000001</v>
      </c>
      <c r="H1980" s="479">
        <v>64.206999999999994</v>
      </c>
      <c r="I1980" s="468" t="s">
        <v>9218</v>
      </c>
      <c r="J1980" s="468" t="s">
        <v>9219</v>
      </c>
      <c r="K1980" s="468" t="s">
        <v>9219</v>
      </c>
      <c r="L1980" s="468" t="s">
        <v>2354</v>
      </c>
    </row>
    <row r="1981" spans="1:12" x14ac:dyDescent="0.25">
      <c r="A1981" s="468" t="s">
        <v>220</v>
      </c>
      <c r="B1981" s="468" t="s">
        <v>2351</v>
      </c>
      <c r="C1981" s="468" t="s">
        <v>3729</v>
      </c>
      <c r="D1981" s="468" t="s">
        <v>3730</v>
      </c>
      <c r="F1981" s="470">
        <v>91</v>
      </c>
      <c r="G1981" s="468">
        <v>2.7490000000000001</v>
      </c>
      <c r="H1981" s="479">
        <v>250.15900000000002</v>
      </c>
      <c r="I1981" s="468" t="s">
        <v>9218</v>
      </c>
      <c r="J1981" s="468" t="s">
        <v>9219</v>
      </c>
      <c r="K1981" s="468" t="s">
        <v>9219</v>
      </c>
      <c r="L1981" s="468" t="s">
        <v>2354</v>
      </c>
    </row>
    <row r="1982" spans="1:12" x14ac:dyDescent="0.25">
      <c r="A1982" s="468" t="s">
        <v>220</v>
      </c>
      <c r="B1982" s="468" t="s">
        <v>2351</v>
      </c>
      <c r="C1982" s="468" t="s">
        <v>3731</v>
      </c>
      <c r="D1982" s="468" t="s">
        <v>3732</v>
      </c>
      <c r="F1982" s="470">
        <v>50</v>
      </c>
      <c r="G1982" s="468">
        <v>3.0939999999999999</v>
      </c>
      <c r="H1982" s="479">
        <v>154.69999999999999</v>
      </c>
      <c r="I1982" s="468" t="s">
        <v>9218</v>
      </c>
      <c r="J1982" s="468" t="s">
        <v>9219</v>
      </c>
      <c r="K1982" s="468" t="s">
        <v>9219</v>
      </c>
      <c r="L1982" s="468" t="s">
        <v>2354</v>
      </c>
    </row>
    <row r="1983" spans="1:12" x14ac:dyDescent="0.25">
      <c r="A1983" s="468" t="s">
        <v>220</v>
      </c>
      <c r="B1983" s="468" t="s">
        <v>2351</v>
      </c>
      <c r="C1983" s="468" t="s">
        <v>3733</v>
      </c>
      <c r="D1983" s="468" t="s">
        <v>3734</v>
      </c>
      <c r="F1983" s="470">
        <v>12</v>
      </c>
      <c r="G1983" s="468">
        <v>5.4249999999999998</v>
      </c>
      <c r="H1983" s="479">
        <v>65.099999999999994</v>
      </c>
      <c r="I1983" s="468" t="s">
        <v>9218</v>
      </c>
      <c r="J1983" s="468" t="s">
        <v>9219</v>
      </c>
      <c r="K1983" s="468" t="s">
        <v>9219</v>
      </c>
      <c r="L1983" s="468" t="s">
        <v>2354</v>
      </c>
    </row>
    <row r="1984" spans="1:12" x14ac:dyDescent="0.25">
      <c r="A1984" s="468" t="s">
        <v>220</v>
      </c>
      <c r="B1984" s="468" t="s">
        <v>2351</v>
      </c>
      <c r="C1984" s="468" t="s">
        <v>2427</v>
      </c>
      <c r="D1984" s="468" t="s">
        <v>2428</v>
      </c>
      <c r="F1984" s="470">
        <v>10</v>
      </c>
      <c r="G1984" s="468">
        <v>5.37</v>
      </c>
      <c r="H1984" s="479">
        <v>53.7</v>
      </c>
      <c r="I1984" s="468" t="s">
        <v>9218</v>
      </c>
      <c r="J1984" s="468" t="s">
        <v>9219</v>
      </c>
      <c r="K1984" s="468" t="s">
        <v>9219</v>
      </c>
      <c r="L1984" s="468" t="s">
        <v>2354</v>
      </c>
    </row>
    <row r="1985" spans="1:12" x14ac:dyDescent="0.25">
      <c r="A1985" s="468" t="s">
        <v>220</v>
      </c>
      <c r="B1985" s="468" t="s">
        <v>2351</v>
      </c>
      <c r="C1985" s="468" t="s">
        <v>3735</v>
      </c>
      <c r="D1985" s="468" t="s">
        <v>3736</v>
      </c>
      <c r="F1985" s="470">
        <v>12</v>
      </c>
      <c r="G1985" s="468">
        <v>5.0039999999999996</v>
      </c>
      <c r="H1985" s="479">
        <v>60.047999999999995</v>
      </c>
      <c r="I1985" s="468" t="s">
        <v>9218</v>
      </c>
      <c r="J1985" s="468" t="s">
        <v>9219</v>
      </c>
      <c r="K1985" s="468" t="s">
        <v>9219</v>
      </c>
      <c r="L1985" s="468" t="s">
        <v>2354</v>
      </c>
    </row>
    <row r="1986" spans="1:12" x14ac:dyDescent="0.25">
      <c r="A1986" s="468" t="s">
        <v>220</v>
      </c>
      <c r="B1986" s="468" t="s">
        <v>2351</v>
      </c>
      <c r="C1986" s="468" t="s">
        <v>3833</v>
      </c>
      <c r="D1986" s="468" t="s">
        <v>3834</v>
      </c>
      <c r="F1986" s="470">
        <v>8</v>
      </c>
      <c r="G1986" s="468">
        <v>1.173</v>
      </c>
      <c r="H1986" s="479">
        <v>9.3840000000000003</v>
      </c>
      <c r="I1986" s="468" t="s">
        <v>9218</v>
      </c>
      <c r="J1986" s="468" t="s">
        <v>9219</v>
      </c>
      <c r="K1986" s="468" t="s">
        <v>9219</v>
      </c>
      <c r="L1986" s="468" t="s">
        <v>2354</v>
      </c>
    </row>
    <row r="1987" spans="1:12" x14ac:dyDescent="0.25">
      <c r="A1987" s="468" t="s">
        <v>220</v>
      </c>
      <c r="B1987" s="468" t="s">
        <v>2351</v>
      </c>
      <c r="C1987" s="468" t="s">
        <v>3835</v>
      </c>
      <c r="D1987" s="468" t="s">
        <v>3836</v>
      </c>
      <c r="F1987" s="470">
        <v>4</v>
      </c>
      <c r="G1987" s="468">
        <v>25.009</v>
      </c>
      <c r="H1987" s="479">
        <v>100.036</v>
      </c>
      <c r="I1987" s="468" t="s">
        <v>9218</v>
      </c>
      <c r="J1987" s="468" t="s">
        <v>9219</v>
      </c>
      <c r="K1987" s="468" t="s">
        <v>9219</v>
      </c>
      <c r="L1987" s="468" t="s">
        <v>2354</v>
      </c>
    </row>
    <row r="1988" spans="1:12" x14ac:dyDescent="0.25">
      <c r="A1988" s="468" t="s">
        <v>220</v>
      </c>
      <c r="B1988" s="468" t="s">
        <v>2351</v>
      </c>
      <c r="C1988" s="468" t="s">
        <v>3897</v>
      </c>
      <c r="D1988" s="468" t="s">
        <v>3898</v>
      </c>
      <c r="F1988" s="470">
        <v>138</v>
      </c>
      <c r="G1988" s="468">
        <v>6.8629499999999997</v>
      </c>
      <c r="H1988" s="479">
        <v>947.08709999999996</v>
      </c>
      <c r="I1988" s="468" t="s">
        <v>9218</v>
      </c>
      <c r="J1988" s="468" t="s">
        <v>9219</v>
      </c>
      <c r="K1988" s="468" t="s">
        <v>9219</v>
      </c>
      <c r="L1988" s="468" t="s">
        <v>2354</v>
      </c>
    </row>
    <row r="1989" spans="1:12" x14ac:dyDescent="0.25">
      <c r="A1989" s="468" t="s">
        <v>220</v>
      </c>
      <c r="B1989" s="468" t="s">
        <v>2351</v>
      </c>
      <c r="C1989" s="468" t="s">
        <v>3899</v>
      </c>
      <c r="D1989" s="468" t="s">
        <v>3900</v>
      </c>
      <c r="F1989" s="470">
        <v>30</v>
      </c>
      <c r="G1989" s="468">
        <v>5.7948750000000002</v>
      </c>
      <c r="H1989" s="479">
        <v>173.84625</v>
      </c>
      <c r="I1989" s="468" t="s">
        <v>9218</v>
      </c>
      <c r="J1989" s="468" t="s">
        <v>9219</v>
      </c>
      <c r="K1989" s="468" t="s">
        <v>9219</v>
      </c>
      <c r="L1989" s="468" t="s">
        <v>2354</v>
      </c>
    </row>
    <row r="1990" spans="1:12" x14ac:dyDescent="0.25">
      <c r="A1990" s="468" t="s">
        <v>220</v>
      </c>
      <c r="B1990" s="468" t="s">
        <v>2351</v>
      </c>
      <c r="C1990" s="468" t="s">
        <v>3901</v>
      </c>
      <c r="D1990" s="468" t="s">
        <v>3902</v>
      </c>
      <c r="F1990" s="470">
        <v>177</v>
      </c>
      <c r="G1990" s="468">
        <v>7.5750000000000002</v>
      </c>
      <c r="H1990" s="479">
        <v>1340.7750000000001</v>
      </c>
      <c r="I1990" s="468" t="s">
        <v>9218</v>
      </c>
      <c r="J1990" s="468" t="s">
        <v>9219</v>
      </c>
      <c r="K1990" s="468" t="s">
        <v>9219</v>
      </c>
      <c r="L1990" s="468" t="s">
        <v>2354</v>
      </c>
    </row>
    <row r="1991" spans="1:12" x14ac:dyDescent="0.25">
      <c r="A1991" s="468" t="s">
        <v>220</v>
      </c>
      <c r="B1991" s="468" t="s">
        <v>2351</v>
      </c>
      <c r="C1991" s="468" t="s">
        <v>3903</v>
      </c>
      <c r="D1991" s="468" t="s">
        <v>3904</v>
      </c>
      <c r="F1991" s="470">
        <v>21</v>
      </c>
      <c r="G1991" s="468">
        <v>6.1554726368159205</v>
      </c>
      <c r="H1991" s="479">
        <v>129.26492537313433</v>
      </c>
      <c r="I1991" s="468" t="s">
        <v>9218</v>
      </c>
      <c r="J1991" s="468" t="s">
        <v>9219</v>
      </c>
      <c r="K1991" s="468" t="s">
        <v>9219</v>
      </c>
      <c r="L1991" s="468" t="s">
        <v>2354</v>
      </c>
    </row>
    <row r="1992" spans="1:12" x14ac:dyDescent="0.25">
      <c r="A1992" s="468" t="s">
        <v>220</v>
      </c>
      <c r="B1992" s="468" t="s">
        <v>2351</v>
      </c>
      <c r="C1992" s="468" t="s">
        <v>3905</v>
      </c>
      <c r="D1992" s="468" t="s">
        <v>3906</v>
      </c>
      <c r="F1992" s="470">
        <v>7</v>
      </c>
      <c r="G1992" s="468">
        <v>24.5</v>
      </c>
      <c r="H1992" s="479">
        <v>171.5</v>
      </c>
      <c r="I1992" s="468" t="s">
        <v>9218</v>
      </c>
      <c r="J1992" s="468" t="s">
        <v>9219</v>
      </c>
      <c r="K1992" s="468" t="s">
        <v>9219</v>
      </c>
      <c r="L1992" s="468" t="s">
        <v>2354</v>
      </c>
    </row>
    <row r="1993" spans="1:12" x14ac:dyDescent="0.25">
      <c r="A1993" s="468" t="s">
        <v>220</v>
      </c>
      <c r="B1993" s="468" t="s">
        <v>2351</v>
      </c>
      <c r="C1993" s="468" t="s">
        <v>3907</v>
      </c>
      <c r="D1993" s="468" t="s">
        <v>3908</v>
      </c>
      <c r="F1993" s="470">
        <v>3</v>
      </c>
      <c r="G1993" s="468">
        <v>5.4678875000000007</v>
      </c>
      <c r="H1993" s="479">
        <v>16.403662500000003</v>
      </c>
      <c r="I1993" s="468" t="s">
        <v>9218</v>
      </c>
      <c r="J1993" s="468" t="s">
        <v>9219</v>
      </c>
      <c r="K1993" s="468" t="s">
        <v>9219</v>
      </c>
      <c r="L1993" s="468" t="s">
        <v>2354</v>
      </c>
    </row>
    <row r="1994" spans="1:12" x14ac:dyDescent="0.25">
      <c r="A1994" s="468" t="s">
        <v>220</v>
      </c>
      <c r="B1994" s="468" t="s">
        <v>2351</v>
      </c>
      <c r="C1994" s="468" t="s">
        <v>3909</v>
      </c>
      <c r="D1994" s="468" t="s">
        <v>3910</v>
      </c>
      <c r="F1994" s="470">
        <v>1375</v>
      </c>
      <c r="G1994" s="468">
        <v>4.103131067961165</v>
      </c>
      <c r="H1994" s="479">
        <v>5641.8052184466014</v>
      </c>
      <c r="I1994" s="468" t="s">
        <v>9218</v>
      </c>
      <c r="J1994" s="468" t="s">
        <v>9219</v>
      </c>
      <c r="K1994" s="468" t="s">
        <v>9219</v>
      </c>
      <c r="L1994" s="468" t="s">
        <v>2354</v>
      </c>
    </row>
    <row r="1995" spans="1:12" x14ac:dyDescent="0.25">
      <c r="A1995" s="468" t="s">
        <v>220</v>
      </c>
      <c r="B1995" s="468" t="s">
        <v>2351</v>
      </c>
      <c r="C1995" s="468" t="s">
        <v>3911</v>
      </c>
      <c r="D1995" s="468" t="s">
        <v>3912</v>
      </c>
      <c r="F1995" s="470">
        <v>85</v>
      </c>
      <c r="G1995" s="468">
        <v>3.7033333333333331</v>
      </c>
      <c r="H1995" s="479">
        <v>314.7833333333333</v>
      </c>
      <c r="I1995" s="468" t="s">
        <v>9218</v>
      </c>
      <c r="J1995" s="468" t="s">
        <v>9219</v>
      </c>
      <c r="K1995" s="468" t="s">
        <v>9219</v>
      </c>
      <c r="L1995" s="468" t="s">
        <v>2354</v>
      </c>
    </row>
    <row r="1996" spans="1:12" x14ac:dyDescent="0.25">
      <c r="A1996" s="468" t="s">
        <v>220</v>
      </c>
      <c r="B1996" s="468" t="s">
        <v>2351</v>
      </c>
      <c r="C1996" s="468" t="s">
        <v>3913</v>
      </c>
      <c r="D1996" s="468" t="s">
        <v>3914</v>
      </c>
      <c r="F1996" s="470">
        <v>96</v>
      </c>
      <c r="G1996" s="468">
        <v>6.6429900000000002</v>
      </c>
      <c r="H1996" s="479">
        <v>637.72703999999999</v>
      </c>
      <c r="I1996" s="468" t="s">
        <v>9218</v>
      </c>
      <c r="J1996" s="468" t="s">
        <v>9219</v>
      </c>
      <c r="K1996" s="468" t="s">
        <v>9219</v>
      </c>
      <c r="L1996" s="468" t="s">
        <v>2354</v>
      </c>
    </row>
    <row r="1997" spans="1:12" x14ac:dyDescent="0.25">
      <c r="A1997" s="468" t="s">
        <v>220</v>
      </c>
      <c r="B1997" s="468" t="s">
        <v>2351</v>
      </c>
      <c r="C1997" s="468" t="s">
        <v>3915</v>
      </c>
      <c r="D1997" s="468" t="s">
        <v>3916</v>
      </c>
      <c r="F1997" s="470">
        <v>6</v>
      </c>
      <c r="H1997" s="479">
        <v>0</v>
      </c>
      <c r="I1997" s="468" t="s">
        <v>9218</v>
      </c>
      <c r="J1997" s="468" t="s">
        <v>9219</v>
      </c>
      <c r="K1997" s="468" t="s">
        <v>9219</v>
      </c>
      <c r="L1997" s="468" t="s">
        <v>2354</v>
      </c>
    </row>
    <row r="1998" spans="1:12" x14ac:dyDescent="0.25">
      <c r="A1998" s="468" t="s">
        <v>220</v>
      </c>
      <c r="B1998" s="468" t="s">
        <v>2351</v>
      </c>
      <c r="C1998" s="468" t="s">
        <v>3917</v>
      </c>
      <c r="D1998" s="468" t="s">
        <v>3918</v>
      </c>
      <c r="F1998" s="470">
        <v>10</v>
      </c>
      <c r="H1998" s="479">
        <v>0</v>
      </c>
      <c r="I1998" s="468" t="s">
        <v>9218</v>
      </c>
      <c r="J1998" s="468" t="s">
        <v>9219</v>
      </c>
      <c r="K1998" s="468" t="s">
        <v>9219</v>
      </c>
      <c r="L1998" s="468" t="s">
        <v>2354</v>
      </c>
    </row>
    <row r="1999" spans="1:12" x14ac:dyDescent="0.25">
      <c r="A1999" s="468" t="s">
        <v>220</v>
      </c>
      <c r="B1999" s="468" t="s">
        <v>2351</v>
      </c>
      <c r="C1999" s="468" t="s">
        <v>3919</v>
      </c>
      <c r="D1999" s="468" t="s">
        <v>3920</v>
      </c>
      <c r="F1999" s="470">
        <v>12</v>
      </c>
      <c r="H1999" s="479">
        <v>0</v>
      </c>
      <c r="I1999" s="468" t="s">
        <v>9218</v>
      </c>
      <c r="J1999" s="468" t="s">
        <v>9219</v>
      </c>
      <c r="K1999" s="468" t="s">
        <v>9219</v>
      </c>
      <c r="L1999" s="468" t="s">
        <v>2354</v>
      </c>
    </row>
    <row r="2000" spans="1:12" x14ac:dyDescent="0.25">
      <c r="A2000" s="468" t="s">
        <v>220</v>
      </c>
      <c r="B2000" s="468" t="s">
        <v>2351</v>
      </c>
      <c r="C2000" s="468" t="s">
        <v>3921</v>
      </c>
      <c r="D2000" s="468" t="s">
        <v>3922</v>
      </c>
      <c r="F2000" s="470">
        <v>12</v>
      </c>
      <c r="G2000" s="468">
        <v>0.121</v>
      </c>
      <c r="H2000" s="479">
        <v>1.452</v>
      </c>
      <c r="I2000" s="468" t="s">
        <v>9218</v>
      </c>
      <c r="J2000" s="468" t="s">
        <v>9219</v>
      </c>
      <c r="K2000" s="468" t="s">
        <v>9219</v>
      </c>
      <c r="L2000" s="468" t="s">
        <v>2354</v>
      </c>
    </row>
    <row r="2001" spans="1:12" x14ac:dyDescent="0.25">
      <c r="A2001" s="468" t="s">
        <v>220</v>
      </c>
      <c r="B2001" s="468" t="s">
        <v>2351</v>
      </c>
      <c r="C2001" s="468" t="s">
        <v>3923</v>
      </c>
      <c r="D2001" s="468" t="s">
        <v>3924</v>
      </c>
      <c r="F2001" s="470">
        <v>90</v>
      </c>
      <c r="G2001" s="468">
        <v>6.7904999999999998</v>
      </c>
      <c r="H2001" s="479">
        <v>611.14499999999998</v>
      </c>
      <c r="I2001" s="468" t="s">
        <v>9218</v>
      </c>
      <c r="J2001" s="468" t="s">
        <v>9219</v>
      </c>
      <c r="K2001" s="468" t="s">
        <v>9219</v>
      </c>
      <c r="L2001" s="468" t="s">
        <v>2354</v>
      </c>
    </row>
    <row r="2002" spans="1:12" x14ac:dyDescent="0.25">
      <c r="A2002" s="468" t="s">
        <v>220</v>
      </c>
      <c r="B2002" s="468" t="s">
        <v>2351</v>
      </c>
      <c r="C2002" s="468" t="s">
        <v>3925</v>
      </c>
      <c r="D2002" s="468" t="s">
        <v>3926</v>
      </c>
      <c r="F2002" s="470">
        <v>40</v>
      </c>
      <c r="G2002" s="468">
        <v>19.908000000000001</v>
      </c>
      <c r="H2002" s="479">
        <v>796.32</v>
      </c>
      <c r="I2002" s="468" t="s">
        <v>9218</v>
      </c>
      <c r="J2002" s="468" t="s">
        <v>9219</v>
      </c>
      <c r="K2002" s="468" t="s">
        <v>9219</v>
      </c>
      <c r="L2002" s="468" t="s">
        <v>2354</v>
      </c>
    </row>
    <row r="2003" spans="1:12" x14ac:dyDescent="0.25">
      <c r="A2003" s="468" t="s">
        <v>220</v>
      </c>
      <c r="B2003" s="468" t="s">
        <v>2351</v>
      </c>
      <c r="C2003" s="468" t="s">
        <v>5374</v>
      </c>
      <c r="D2003" s="468" t="s">
        <v>5375</v>
      </c>
      <c r="F2003" s="470">
        <v>222</v>
      </c>
      <c r="G2003" s="468">
        <v>3.3000000000000002E-2</v>
      </c>
      <c r="H2003" s="479">
        <v>7.3260000000000005</v>
      </c>
      <c r="I2003" s="468" t="s">
        <v>9218</v>
      </c>
      <c r="J2003" s="468" t="s">
        <v>9219</v>
      </c>
      <c r="K2003" s="468" t="s">
        <v>9219</v>
      </c>
      <c r="L2003" s="468" t="s">
        <v>2354</v>
      </c>
    </row>
    <row r="2004" spans="1:12" x14ac:dyDescent="0.25">
      <c r="A2004" s="468" t="s">
        <v>220</v>
      </c>
      <c r="B2004" s="468" t="s">
        <v>2351</v>
      </c>
      <c r="C2004" s="468" t="s">
        <v>3941</v>
      </c>
      <c r="D2004" s="468" t="s">
        <v>3942</v>
      </c>
      <c r="F2004" s="470">
        <v>10</v>
      </c>
      <c r="G2004" s="468">
        <v>4.5789999999999997</v>
      </c>
      <c r="H2004" s="479">
        <v>45.79</v>
      </c>
      <c r="I2004" s="468" t="s">
        <v>9218</v>
      </c>
      <c r="J2004" s="468" t="s">
        <v>9219</v>
      </c>
      <c r="K2004" s="468" t="s">
        <v>9219</v>
      </c>
      <c r="L2004" s="468" t="s">
        <v>2354</v>
      </c>
    </row>
    <row r="2005" spans="1:12" x14ac:dyDescent="0.25">
      <c r="A2005" s="468" t="s">
        <v>220</v>
      </c>
      <c r="B2005" s="468" t="s">
        <v>2351</v>
      </c>
      <c r="C2005" s="468" t="s">
        <v>3959</v>
      </c>
      <c r="D2005" s="468" t="s">
        <v>3960</v>
      </c>
      <c r="F2005" s="470">
        <v>60</v>
      </c>
      <c r="G2005" s="468">
        <v>0.31363636363636366</v>
      </c>
      <c r="H2005" s="479">
        <v>18.81818181818182</v>
      </c>
      <c r="I2005" s="468" t="s">
        <v>9218</v>
      </c>
      <c r="J2005" s="468" t="s">
        <v>9219</v>
      </c>
      <c r="K2005" s="468" t="s">
        <v>9219</v>
      </c>
      <c r="L2005" s="468" t="s">
        <v>2354</v>
      </c>
    </row>
    <row r="2006" spans="1:12" x14ac:dyDescent="0.25">
      <c r="A2006" s="468" t="s">
        <v>220</v>
      </c>
      <c r="B2006" s="468" t="s">
        <v>2351</v>
      </c>
      <c r="C2006" s="468" t="s">
        <v>5376</v>
      </c>
      <c r="D2006" s="468" t="s">
        <v>5377</v>
      </c>
      <c r="F2006" s="470">
        <v>34</v>
      </c>
      <c r="G2006" s="468">
        <v>1.02</v>
      </c>
      <c r="H2006" s="479">
        <v>34.68</v>
      </c>
      <c r="I2006" s="468" t="s">
        <v>9218</v>
      </c>
      <c r="J2006" s="468" t="s">
        <v>9219</v>
      </c>
      <c r="K2006" s="468" t="s">
        <v>9219</v>
      </c>
      <c r="L2006" s="468" t="s">
        <v>2354</v>
      </c>
    </row>
    <row r="2007" spans="1:12" x14ac:dyDescent="0.25">
      <c r="A2007" s="468" t="s">
        <v>220</v>
      </c>
      <c r="B2007" s="468" t="s">
        <v>2351</v>
      </c>
      <c r="C2007" s="468" t="s">
        <v>3961</v>
      </c>
      <c r="D2007" s="468" t="s">
        <v>3962</v>
      </c>
      <c r="F2007" s="470">
        <v>110</v>
      </c>
      <c r="G2007" s="468">
        <v>0.97</v>
      </c>
      <c r="H2007" s="479">
        <v>106.7</v>
      </c>
      <c r="I2007" s="468" t="s">
        <v>9218</v>
      </c>
      <c r="J2007" s="468" t="s">
        <v>9219</v>
      </c>
      <c r="K2007" s="468" t="s">
        <v>9219</v>
      </c>
      <c r="L2007" s="468" t="s">
        <v>2354</v>
      </c>
    </row>
    <row r="2008" spans="1:12" x14ac:dyDescent="0.25">
      <c r="A2008" s="468" t="s">
        <v>220</v>
      </c>
      <c r="B2008" s="468" t="s">
        <v>2351</v>
      </c>
      <c r="C2008" s="468" t="s">
        <v>3963</v>
      </c>
      <c r="D2008" s="468" t="s">
        <v>3964</v>
      </c>
      <c r="F2008" s="470">
        <v>130</v>
      </c>
      <c r="G2008" s="468">
        <v>1.1257200000000001</v>
      </c>
      <c r="H2008" s="479">
        <v>146.34360000000001</v>
      </c>
      <c r="I2008" s="468" t="s">
        <v>9218</v>
      </c>
      <c r="J2008" s="468" t="s">
        <v>9219</v>
      </c>
      <c r="K2008" s="468" t="s">
        <v>9219</v>
      </c>
      <c r="L2008" s="468" t="s">
        <v>2354</v>
      </c>
    </row>
    <row r="2009" spans="1:12" x14ac:dyDescent="0.25">
      <c r="A2009" s="468" t="s">
        <v>220</v>
      </c>
      <c r="B2009" s="468" t="s">
        <v>2351</v>
      </c>
      <c r="C2009" s="468" t="s">
        <v>3965</v>
      </c>
      <c r="D2009" s="468" t="s">
        <v>3966</v>
      </c>
      <c r="F2009" s="470">
        <v>180</v>
      </c>
      <c r="G2009" s="468">
        <v>0.34026000000000001</v>
      </c>
      <c r="H2009" s="479">
        <v>61.2468</v>
      </c>
      <c r="I2009" s="468" t="s">
        <v>9218</v>
      </c>
      <c r="J2009" s="468" t="s">
        <v>9219</v>
      </c>
      <c r="K2009" s="468" t="s">
        <v>9219</v>
      </c>
      <c r="L2009" s="468" t="s">
        <v>2354</v>
      </c>
    </row>
    <row r="2010" spans="1:12" x14ac:dyDescent="0.25">
      <c r="A2010" s="468" t="s">
        <v>220</v>
      </c>
      <c r="B2010" s="468" t="s">
        <v>2351</v>
      </c>
      <c r="C2010" s="468" t="s">
        <v>3967</v>
      </c>
      <c r="D2010" s="468" t="s">
        <v>3968</v>
      </c>
      <c r="F2010" s="470">
        <v>140</v>
      </c>
      <c r="G2010" s="468">
        <v>0.61002999999999996</v>
      </c>
      <c r="H2010" s="479">
        <v>85.404199999999989</v>
      </c>
      <c r="I2010" s="468" t="s">
        <v>9218</v>
      </c>
      <c r="J2010" s="468" t="s">
        <v>9219</v>
      </c>
      <c r="K2010" s="468" t="s">
        <v>9219</v>
      </c>
      <c r="L2010" s="468" t="s">
        <v>2354</v>
      </c>
    </row>
    <row r="2011" spans="1:12" x14ac:dyDescent="0.25">
      <c r="A2011" s="468" t="s">
        <v>220</v>
      </c>
      <c r="B2011" s="468" t="s">
        <v>2351</v>
      </c>
      <c r="C2011" s="468" t="s">
        <v>3969</v>
      </c>
      <c r="D2011" s="468" t="s">
        <v>3970</v>
      </c>
      <c r="F2011" s="470">
        <v>45</v>
      </c>
      <c r="G2011" s="468">
        <v>2.6579999999999999</v>
      </c>
      <c r="H2011" s="479">
        <v>119.61</v>
      </c>
      <c r="I2011" s="468" t="s">
        <v>9218</v>
      </c>
      <c r="J2011" s="468" t="s">
        <v>9219</v>
      </c>
      <c r="K2011" s="468" t="s">
        <v>9219</v>
      </c>
      <c r="L2011" s="468" t="s">
        <v>2354</v>
      </c>
    </row>
    <row r="2012" spans="1:12" x14ac:dyDescent="0.25">
      <c r="A2012" s="468" t="s">
        <v>220</v>
      </c>
      <c r="B2012" s="468" t="s">
        <v>2351</v>
      </c>
      <c r="D2012" s="468" t="s">
        <v>9364</v>
      </c>
      <c r="F2012" s="470">
        <v>100</v>
      </c>
      <c r="G2012" s="468">
        <v>2.8450000000000002</v>
      </c>
      <c r="H2012" s="479">
        <v>284.5</v>
      </c>
      <c r="I2012" s="468" t="s">
        <v>9218</v>
      </c>
      <c r="J2012" s="468" t="s">
        <v>9219</v>
      </c>
      <c r="K2012" s="468" t="s">
        <v>9219</v>
      </c>
      <c r="L2012" s="468" t="s">
        <v>2354</v>
      </c>
    </row>
    <row r="2013" spans="1:12" x14ac:dyDescent="0.25">
      <c r="A2013" s="468" t="s">
        <v>220</v>
      </c>
      <c r="B2013" s="468" t="s">
        <v>2351</v>
      </c>
      <c r="D2013" s="468" t="s">
        <v>9365</v>
      </c>
      <c r="F2013" s="470">
        <v>100</v>
      </c>
      <c r="G2013" s="468">
        <v>4.5869999999999997</v>
      </c>
      <c r="H2013" s="479">
        <v>458.7</v>
      </c>
      <c r="I2013" s="468" t="s">
        <v>9218</v>
      </c>
      <c r="J2013" s="468" t="s">
        <v>9219</v>
      </c>
      <c r="K2013" s="468" t="s">
        <v>9219</v>
      </c>
      <c r="L2013" s="468" t="s">
        <v>2354</v>
      </c>
    </row>
    <row r="2014" spans="1:12" x14ac:dyDescent="0.25">
      <c r="A2014" s="468" t="s">
        <v>220</v>
      </c>
      <c r="B2014" s="468" t="s">
        <v>2351</v>
      </c>
      <c r="D2014" s="468" t="s">
        <v>9366</v>
      </c>
      <c r="F2014" s="470">
        <v>100</v>
      </c>
      <c r="G2014" s="468">
        <v>2.218</v>
      </c>
      <c r="H2014" s="479">
        <v>221.8</v>
      </c>
      <c r="I2014" s="468" t="s">
        <v>9218</v>
      </c>
      <c r="J2014" s="468" t="s">
        <v>9219</v>
      </c>
      <c r="K2014" s="468" t="s">
        <v>9219</v>
      </c>
      <c r="L2014" s="468" t="s">
        <v>2354</v>
      </c>
    </row>
    <row r="2015" spans="1:12" x14ac:dyDescent="0.25">
      <c r="A2015" s="468" t="s">
        <v>220</v>
      </c>
      <c r="B2015" s="468" t="s">
        <v>2351</v>
      </c>
      <c r="D2015" s="468" t="s">
        <v>9367</v>
      </c>
      <c r="F2015" s="470">
        <v>100</v>
      </c>
      <c r="G2015" s="468">
        <v>3.4580000000000002</v>
      </c>
      <c r="H2015" s="479">
        <v>345.8</v>
      </c>
      <c r="I2015" s="468" t="s">
        <v>9218</v>
      </c>
      <c r="J2015" s="468" t="s">
        <v>9219</v>
      </c>
      <c r="K2015" s="468" t="s">
        <v>9219</v>
      </c>
      <c r="L2015" s="468" t="s">
        <v>2354</v>
      </c>
    </row>
    <row r="2016" spans="1:12" x14ac:dyDescent="0.25">
      <c r="A2016" s="468" t="s">
        <v>220</v>
      </c>
      <c r="B2016" s="468" t="s">
        <v>2351</v>
      </c>
      <c r="C2016" s="468" t="s">
        <v>3971</v>
      </c>
      <c r="D2016" s="468" t="s">
        <v>3972</v>
      </c>
      <c r="F2016" s="470">
        <v>55</v>
      </c>
      <c r="G2016" s="468">
        <v>8.6093200000000003</v>
      </c>
      <c r="H2016" s="479">
        <v>473.51260000000002</v>
      </c>
      <c r="I2016" s="468" t="s">
        <v>9218</v>
      </c>
      <c r="J2016" s="468" t="s">
        <v>9219</v>
      </c>
      <c r="K2016" s="468" t="s">
        <v>9219</v>
      </c>
      <c r="L2016" s="468" t="s">
        <v>2354</v>
      </c>
    </row>
    <row r="2017" spans="1:12" x14ac:dyDescent="0.25">
      <c r="A2017" s="468" t="s">
        <v>220</v>
      </c>
      <c r="B2017" s="468" t="s">
        <v>2351</v>
      </c>
      <c r="C2017" s="468" t="s">
        <v>3973</v>
      </c>
      <c r="D2017" s="468" t="s">
        <v>3974</v>
      </c>
      <c r="F2017" s="470">
        <v>20</v>
      </c>
      <c r="G2017" s="468">
        <v>19.754000000000001</v>
      </c>
      <c r="H2017" s="479">
        <v>395.08000000000004</v>
      </c>
      <c r="I2017" s="468" t="s">
        <v>9218</v>
      </c>
      <c r="J2017" s="468" t="s">
        <v>9219</v>
      </c>
      <c r="K2017" s="468" t="s">
        <v>9219</v>
      </c>
      <c r="L2017" s="468" t="s">
        <v>2354</v>
      </c>
    </row>
    <row r="2018" spans="1:12" x14ac:dyDescent="0.25">
      <c r="A2018" s="468" t="s">
        <v>220</v>
      </c>
      <c r="B2018" s="468" t="s">
        <v>2351</v>
      </c>
      <c r="C2018" s="468" t="s">
        <v>3975</v>
      </c>
      <c r="D2018" s="468" t="s">
        <v>3976</v>
      </c>
      <c r="F2018" s="470">
        <v>65</v>
      </c>
      <c r="G2018" s="468">
        <v>1.6037999999999999</v>
      </c>
      <c r="H2018" s="479">
        <v>104.247</v>
      </c>
      <c r="I2018" s="468" t="s">
        <v>9218</v>
      </c>
      <c r="J2018" s="468" t="s">
        <v>9219</v>
      </c>
      <c r="K2018" s="468" t="s">
        <v>9219</v>
      </c>
      <c r="L2018" s="468" t="s">
        <v>2354</v>
      </c>
    </row>
    <row r="2019" spans="1:12" x14ac:dyDescent="0.25">
      <c r="A2019" s="468" t="s">
        <v>220</v>
      </c>
      <c r="B2019" s="468" t="s">
        <v>2351</v>
      </c>
      <c r="C2019" s="468" t="s">
        <v>3977</v>
      </c>
      <c r="D2019" s="468" t="s">
        <v>3978</v>
      </c>
      <c r="F2019" s="470">
        <v>85</v>
      </c>
      <c r="G2019" s="468">
        <v>3.8530000000000002</v>
      </c>
      <c r="H2019" s="479">
        <v>327.505</v>
      </c>
      <c r="I2019" s="468" t="s">
        <v>9218</v>
      </c>
      <c r="J2019" s="468" t="s">
        <v>9219</v>
      </c>
      <c r="K2019" s="468" t="s">
        <v>9219</v>
      </c>
      <c r="L2019" s="468" t="s">
        <v>2354</v>
      </c>
    </row>
    <row r="2020" spans="1:12" x14ac:dyDescent="0.25">
      <c r="A2020" s="468" t="s">
        <v>220</v>
      </c>
      <c r="B2020" s="468" t="s">
        <v>2351</v>
      </c>
      <c r="C2020" s="468" t="s">
        <v>3979</v>
      </c>
      <c r="D2020" s="468" t="s">
        <v>3980</v>
      </c>
      <c r="F2020" s="470">
        <v>4</v>
      </c>
      <c r="G2020" s="468">
        <v>3.9249999999999998</v>
      </c>
      <c r="H2020" s="479">
        <v>15.7</v>
      </c>
      <c r="I2020" s="468" t="s">
        <v>9218</v>
      </c>
      <c r="J2020" s="468" t="s">
        <v>9219</v>
      </c>
      <c r="K2020" s="468" t="s">
        <v>9219</v>
      </c>
      <c r="L2020" s="468" t="s">
        <v>2354</v>
      </c>
    </row>
    <row r="2021" spans="1:12" x14ac:dyDescent="0.25">
      <c r="A2021" s="468" t="s">
        <v>220</v>
      </c>
      <c r="B2021" s="468" t="s">
        <v>2351</v>
      </c>
      <c r="C2021" s="468" t="s">
        <v>3981</v>
      </c>
      <c r="D2021" s="468" t="s">
        <v>3982</v>
      </c>
      <c r="F2021" s="470">
        <v>80</v>
      </c>
      <c r="G2021" s="468">
        <v>5.694</v>
      </c>
      <c r="H2021" s="479">
        <v>455.52</v>
      </c>
      <c r="I2021" s="468" t="s">
        <v>9218</v>
      </c>
      <c r="J2021" s="468" t="s">
        <v>9219</v>
      </c>
      <c r="K2021" s="468" t="s">
        <v>9219</v>
      </c>
      <c r="L2021" s="468" t="s">
        <v>2354</v>
      </c>
    </row>
    <row r="2022" spans="1:12" x14ac:dyDescent="0.25">
      <c r="A2022" s="468" t="s">
        <v>220</v>
      </c>
      <c r="B2022" s="468" t="s">
        <v>2351</v>
      </c>
      <c r="C2022" s="468" t="s">
        <v>3983</v>
      </c>
      <c r="D2022" s="468" t="s">
        <v>3984</v>
      </c>
      <c r="F2022" s="470">
        <v>40</v>
      </c>
      <c r="G2022" s="468">
        <v>0.61199999999999999</v>
      </c>
      <c r="H2022" s="479">
        <v>24.48</v>
      </c>
      <c r="I2022" s="468" t="s">
        <v>9218</v>
      </c>
      <c r="J2022" s="468" t="s">
        <v>9219</v>
      </c>
      <c r="K2022" s="468" t="s">
        <v>9219</v>
      </c>
      <c r="L2022" s="468" t="s">
        <v>2354</v>
      </c>
    </row>
    <row r="2023" spans="1:12" x14ac:dyDescent="0.25">
      <c r="A2023" s="468" t="s">
        <v>220</v>
      </c>
      <c r="B2023" s="468" t="s">
        <v>2351</v>
      </c>
      <c r="C2023" s="468" t="s">
        <v>3985</v>
      </c>
      <c r="D2023" s="468" t="s">
        <v>3986</v>
      </c>
      <c r="F2023" s="470">
        <v>160</v>
      </c>
      <c r="G2023" s="468">
        <v>2.782</v>
      </c>
      <c r="H2023" s="479">
        <v>445.12</v>
      </c>
      <c r="I2023" s="468" t="s">
        <v>9218</v>
      </c>
      <c r="J2023" s="468" t="s">
        <v>9219</v>
      </c>
      <c r="K2023" s="468" t="s">
        <v>9219</v>
      </c>
      <c r="L2023" s="468" t="s">
        <v>2354</v>
      </c>
    </row>
    <row r="2024" spans="1:12" x14ac:dyDescent="0.25">
      <c r="A2024" s="468" t="s">
        <v>220</v>
      </c>
      <c r="B2024" s="468" t="s">
        <v>2351</v>
      </c>
      <c r="C2024" s="468" t="s">
        <v>3987</v>
      </c>
      <c r="D2024" s="468" t="s">
        <v>3988</v>
      </c>
      <c r="F2024" s="470">
        <v>37</v>
      </c>
      <c r="G2024" s="468">
        <v>4.43</v>
      </c>
      <c r="H2024" s="479">
        <v>163.91</v>
      </c>
      <c r="I2024" s="468" t="s">
        <v>9218</v>
      </c>
      <c r="J2024" s="468" t="s">
        <v>9219</v>
      </c>
      <c r="K2024" s="468" t="s">
        <v>9219</v>
      </c>
      <c r="L2024" s="468" t="s">
        <v>2354</v>
      </c>
    </row>
    <row r="2025" spans="1:12" x14ac:dyDescent="0.25">
      <c r="A2025" s="468" t="s">
        <v>220</v>
      </c>
      <c r="B2025" s="468" t="s">
        <v>2351</v>
      </c>
      <c r="C2025" s="468" t="s">
        <v>4049</v>
      </c>
      <c r="D2025" s="468" t="s">
        <v>4050</v>
      </c>
      <c r="F2025" s="470">
        <v>200</v>
      </c>
      <c r="G2025" s="468">
        <v>0.68700000000000006</v>
      </c>
      <c r="H2025" s="479">
        <v>137.4</v>
      </c>
      <c r="I2025" s="468" t="s">
        <v>9218</v>
      </c>
      <c r="J2025" s="468" t="s">
        <v>9219</v>
      </c>
      <c r="K2025" s="468" t="s">
        <v>9219</v>
      </c>
      <c r="L2025" s="468" t="s">
        <v>2354</v>
      </c>
    </row>
    <row r="2026" spans="1:12" x14ac:dyDescent="0.25">
      <c r="A2026" s="468" t="s">
        <v>220</v>
      </c>
      <c r="B2026" s="468" t="s">
        <v>2351</v>
      </c>
      <c r="C2026" s="468" t="s">
        <v>4051</v>
      </c>
      <c r="D2026" s="468" t="s">
        <v>4052</v>
      </c>
      <c r="F2026" s="470">
        <v>7</v>
      </c>
      <c r="G2026" s="468">
        <v>2.5299999999999998</v>
      </c>
      <c r="H2026" s="479">
        <v>17.709999999999997</v>
      </c>
      <c r="I2026" s="468" t="s">
        <v>9218</v>
      </c>
      <c r="J2026" s="468" t="s">
        <v>9219</v>
      </c>
      <c r="K2026" s="468" t="s">
        <v>9219</v>
      </c>
      <c r="L2026" s="468" t="s">
        <v>2354</v>
      </c>
    </row>
    <row r="2027" spans="1:12" x14ac:dyDescent="0.25">
      <c r="A2027" s="468" t="s">
        <v>220</v>
      </c>
      <c r="B2027" s="468" t="s">
        <v>2351</v>
      </c>
      <c r="C2027" s="468" t="s">
        <v>4053</v>
      </c>
      <c r="D2027" s="468" t="s">
        <v>4054</v>
      </c>
      <c r="F2027" s="470">
        <v>12</v>
      </c>
      <c r="G2027" s="468">
        <v>1.6960000000000002</v>
      </c>
      <c r="H2027" s="479">
        <v>20.352000000000004</v>
      </c>
      <c r="I2027" s="468" t="s">
        <v>9218</v>
      </c>
      <c r="J2027" s="468" t="s">
        <v>9219</v>
      </c>
      <c r="K2027" s="468" t="s">
        <v>9219</v>
      </c>
      <c r="L2027" s="468" t="s">
        <v>2354</v>
      </c>
    </row>
    <row r="2028" spans="1:12" x14ac:dyDescent="0.25">
      <c r="A2028" s="468" t="s">
        <v>220</v>
      </c>
      <c r="B2028" s="468" t="s">
        <v>2351</v>
      </c>
      <c r="C2028" s="468" t="s">
        <v>4055</v>
      </c>
      <c r="D2028" s="468" t="s">
        <v>4056</v>
      </c>
      <c r="F2028" s="470">
        <v>15</v>
      </c>
      <c r="G2028" s="468">
        <v>3.9119999999999999</v>
      </c>
      <c r="H2028" s="479">
        <v>58.68</v>
      </c>
      <c r="I2028" s="468" t="s">
        <v>9218</v>
      </c>
      <c r="J2028" s="468" t="s">
        <v>9219</v>
      </c>
      <c r="K2028" s="468" t="s">
        <v>9219</v>
      </c>
      <c r="L2028" s="468" t="s">
        <v>2354</v>
      </c>
    </row>
    <row r="2029" spans="1:12" x14ac:dyDescent="0.25">
      <c r="A2029" s="468" t="s">
        <v>220</v>
      </c>
      <c r="B2029" s="468" t="s">
        <v>2351</v>
      </c>
      <c r="C2029" s="468" t="s">
        <v>4057</v>
      </c>
      <c r="D2029" s="468" t="s">
        <v>4058</v>
      </c>
      <c r="F2029" s="470">
        <v>16</v>
      </c>
      <c r="G2029" s="468">
        <v>15.1264</v>
      </c>
      <c r="H2029" s="479">
        <v>242.0224</v>
      </c>
      <c r="I2029" s="468" t="s">
        <v>9218</v>
      </c>
      <c r="J2029" s="468" t="s">
        <v>9219</v>
      </c>
      <c r="K2029" s="468" t="s">
        <v>9219</v>
      </c>
      <c r="L2029" s="468" t="s">
        <v>2354</v>
      </c>
    </row>
    <row r="2030" spans="1:12" x14ac:dyDescent="0.25">
      <c r="A2030" s="468" t="s">
        <v>220</v>
      </c>
      <c r="B2030" s="468" t="s">
        <v>2351</v>
      </c>
      <c r="C2030" s="468" t="s">
        <v>4059</v>
      </c>
      <c r="D2030" s="468" t="s">
        <v>4060</v>
      </c>
      <c r="F2030" s="470">
        <v>50</v>
      </c>
      <c r="G2030" s="468">
        <v>0.59075</v>
      </c>
      <c r="H2030" s="479">
        <v>29.537500000000001</v>
      </c>
      <c r="I2030" s="468" t="s">
        <v>9218</v>
      </c>
      <c r="J2030" s="468" t="s">
        <v>9219</v>
      </c>
      <c r="K2030" s="468" t="s">
        <v>9219</v>
      </c>
      <c r="L2030" s="468" t="s">
        <v>2354</v>
      </c>
    </row>
    <row r="2031" spans="1:12" x14ac:dyDescent="0.25">
      <c r="A2031" s="468" t="s">
        <v>220</v>
      </c>
      <c r="B2031" s="468" t="s">
        <v>2351</v>
      </c>
      <c r="C2031" s="468" t="s">
        <v>4061</v>
      </c>
      <c r="D2031" s="468" t="s">
        <v>4062</v>
      </c>
      <c r="F2031" s="470">
        <v>150</v>
      </c>
      <c r="G2031" s="468">
        <v>0.219</v>
      </c>
      <c r="H2031" s="479">
        <v>32.85</v>
      </c>
      <c r="I2031" s="468" t="s">
        <v>9218</v>
      </c>
      <c r="J2031" s="468" t="s">
        <v>9219</v>
      </c>
      <c r="K2031" s="468" t="s">
        <v>9219</v>
      </c>
      <c r="L2031" s="468" t="s">
        <v>2354</v>
      </c>
    </row>
    <row r="2032" spans="1:12" x14ac:dyDescent="0.25">
      <c r="A2032" s="468" t="s">
        <v>220</v>
      </c>
      <c r="B2032" s="468" t="s">
        <v>2351</v>
      </c>
      <c r="C2032" s="468" t="s">
        <v>4063</v>
      </c>
      <c r="D2032" s="468" t="s">
        <v>4064</v>
      </c>
      <c r="F2032" s="470">
        <v>92</v>
      </c>
      <c r="G2032" s="468">
        <v>0.375</v>
      </c>
      <c r="H2032" s="479">
        <v>34.5</v>
      </c>
      <c r="I2032" s="468" t="s">
        <v>9218</v>
      </c>
      <c r="J2032" s="468" t="s">
        <v>9219</v>
      </c>
      <c r="K2032" s="468" t="s">
        <v>9219</v>
      </c>
      <c r="L2032" s="468" t="s">
        <v>2354</v>
      </c>
    </row>
    <row r="2033" spans="1:12" x14ac:dyDescent="0.25">
      <c r="A2033" s="468" t="s">
        <v>220</v>
      </c>
      <c r="B2033" s="468" t="s">
        <v>2351</v>
      </c>
      <c r="C2033" s="468" t="s">
        <v>4065</v>
      </c>
      <c r="D2033" s="468" t="s">
        <v>4066</v>
      </c>
      <c r="F2033" s="470">
        <v>71</v>
      </c>
      <c r="G2033" s="468">
        <v>0.254</v>
      </c>
      <c r="H2033" s="479">
        <v>18.033999999999999</v>
      </c>
      <c r="I2033" s="468" t="s">
        <v>9218</v>
      </c>
      <c r="J2033" s="468" t="s">
        <v>9219</v>
      </c>
      <c r="K2033" s="468" t="s">
        <v>9219</v>
      </c>
      <c r="L2033" s="468" t="s">
        <v>2354</v>
      </c>
    </row>
    <row r="2034" spans="1:12" x14ac:dyDescent="0.25">
      <c r="A2034" s="468" t="s">
        <v>220</v>
      </c>
      <c r="B2034" s="468" t="s">
        <v>2351</v>
      </c>
      <c r="C2034" s="468" t="s">
        <v>4067</v>
      </c>
      <c r="D2034" s="468" t="s">
        <v>4068</v>
      </c>
      <c r="F2034" s="470">
        <v>56</v>
      </c>
      <c r="G2034" s="468">
        <v>0.193</v>
      </c>
      <c r="H2034" s="479">
        <v>10.808</v>
      </c>
      <c r="I2034" s="468" t="s">
        <v>9218</v>
      </c>
      <c r="J2034" s="468" t="s">
        <v>9219</v>
      </c>
      <c r="K2034" s="468" t="s">
        <v>9219</v>
      </c>
      <c r="L2034" s="468" t="s">
        <v>2354</v>
      </c>
    </row>
    <row r="2035" spans="1:12" x14ac:dyDescent="0.25">
      <c r="A2035" s="468" t="s">
        <v>220</v>
      </c>
      <c r="B2035" s="468" t="s">
        <v>2351</v>
      </c>
      <c r="C2035" s="468" t="s">
        <v>4069</v>
      </c>
      <c r="D2035" s="468" t="s">
        <v>4070</v>
      </c>
      <c r="F2035" s="470">
        <v>45</v>
      </c>
      <c r="G2035" s="468">
        <v>0.442</v>
      </c>
      <c r="H2035" s="479">
        <v>19.89</v>
      </c>
      <c r="I2035" s="468" t="s">
        <v>9218</v>
      </c>
      <c r="J2035" s="468" t="s">
        <v>9219</v>
      </c>
      <c r="K2035" s="468" t="s">
        <v>9219</v>
      </c>
      <c r="L2035" s="468" t="s">
        <v>2354</v>
      </c>
    </row>
    <row r="2036" spans="1:12" x14ac:dyDescent="0.25">
      <c r="A2036" s="468" t="s">
        <v>220</v>
      </c>
      <c r="B2036" s="468" t="s">
        <v>2351</v>
      </c>
      <c r="C2036" s="468" t="s">
        <v>4071</v>
      </c>
      <c r="D2036" s="468" t="s">
        <v>4072</v>
      </c>
      <c r="F2036" s="470">
        <v>78</v>
      </c>
      <c r="G2036" s="468">
        <v>0.42899999999999999</v>
      </c>
      <c r="H2036" s="479">
        <v>33.461999999999996</v>
      </c>
      <c r="I2036" s="468" t="s">
        <v>9218</v>
      </c>
      <c r="J2036" s="468" t="s">
        <v>9219</v>
      </c>
      <c r="K2036" s="468" t="s">
        <v>9219</v>
      </c>
      <c r="L2036" s="468" t="s">
        <v>2354</v>
      </c>
    </row>
    <row r="2037" spans="1:12" x14ac:dyDescent="0.25">
      <c r="A2037" s="468" t="s">
        <v>220</v>
      </c>
      <c r="B2037" s="468" t="s">
        <v>2351</v>
      </c>
      <c r="C2037" s="468" t="s">
        <v>4073</v>
      </c>
      <c r="D2037" s="468" t="s">
        <v>4074</v>
      </c>
      <c r="F2037" s="470">
        <v>500</v>
      </c>
      <c r="G2037" s="468">
        <v>0.58399999999999996</v>
      </c>
      <c r="H2037" s="479">
        <v>292</v>
      </c>
      <c r="I2037" s="468" t="s">
        <v>9218</v>
      </c>
      <c r="J2037" s="468" t="s">
        <v>9219</v>
      </c>
      <c r="K2037" s="468" t="s">
        <v>9219</v>
      </c>
      <c r="L2037" s="468" t="s">
        <v>2354</v>
      </c>
    </row>
    <row r="2038" spans="1:12" x14ac:dyDescent="0.25">
      <c r="A2038" s="468" t="s">
        <v>220</v>
      </c>
      <c r="B2038" s="468" t="s">
        <v>2351</v>
      </c>
      <c r="C2038" s="468" t="s">
        <v>4075</v>
      </c>
      <c r="D2038" s="468" t="s">
        <v>4076</v>
      </c>
      <c r="F2038" s="470">
        <v>23</v>
      </c>
      <c r="G2038" s="468">
        <v>0.77371794871794874</v>
      </c>
      <c r="H2038" s="479">
        <v>17.795512820512823</v>
      </c>
      <c r="I2038" s="468" t="s">
        <v>9218</v>
      </c>
      <c r="J2038" s="468" t="s">
        <v>9219</v>
      </c>
      <c r="K2038" s="468" t="s">
        <v>9219</v>
      </c>
      <c r="L2038" s="468" t="s">
        <v>2354</v>
      </c>
    </row>
    <row r="2039" spans="1:12" x14ac:dyDescent="0.25">
      <c r="A2039" s="468" t="s">
        <v>220</v>
      </c>
      <c r="B2039" s="468" t="s">
        <v>2351</v>
      </c>
      <c r="C2039" s="468" t="s">
        <v>4193</v>
      </c>
      <c r="D2039" s="468" t="s">
        <v>4194</v>
      </c>
      <c r="F2039" s="470">
        <v>15</v>
      </c>
      <c r="G2039" s="468">
        <v>20.988800000000001</v>
      </c>
      <c r="H2039" s="479">
        <v>314.83199999999999</v>
      </c>
      <c r="I2039" s="468" t="s">
        <v>9218</v>
      </c>
      <c r="J2039" s="468" t="s">
        <v>9219</v>
      </c>
      <c r="K2039" s="468" t="s">
        <v>9219</v>
      </c>
      <c r="L2039" s="468" t="s">
        <v>2354</v>
      </c>
    </row>
    <row r="2040" spans="1:12" x14ac:dyDescent="0.25">
      <c r="A2040" s="468" t="s">
        <v>220</v>
      </c>
      <c r="B2040" s="468" t="s">
        <v>2351</v>
      </c>
      <c r="C2040" s="468" t="s">
        <v>4195</v>
      </c>
      <c r="D2040" s="468" t="s">
        <v>4196</v>
      </c>
      <c r="F2040" s="470">
        <v>50</v>
      </c>
      <c r="G2040" s="468">
        <v>7.4379999999999997</v>
      </c>
      <c r="H2040" s="479">
        <v>371.9</v>
      </c>
      <c r="I2040" s="468" t="s">
        <v>9218</v>
      </c>
      <c r="J2040" s="468" t="s">
        <v>9219</v>
      </c>
      <c r="K2040" s="468" t="s">
        <v>9219</v>
      </c>
      <c r="L2040" s="468" t="s">
        <v>2354</v>
      </c>
    </row>
    <row r="2041" spans="1:12" x14ac:dyDescent="0.25">
      <c r="A2041" s="468" t="s">
        <v>220</v>
      </c>
      <c r="B2041" s="468" t="s">
        <v>2351</v>
      </c>
      <c r="C2041" s="468" t="s">
        <v>4197</v>
      </c>
      <c r="D2041" s="468" t="s">
        <v>4198</v>
      </c>
      <c r="F2041" s="470">
        <v>9</v>
      </c>
      <c r="G2041" s="468">
        <v>1.2709999999999999</v>
      </c>
      <c r="H2041" s="479">
        <v>11.439</v>
      </c>
      <c r="I2041" s="468" t="s">
        <v>9218</v>
      </c>
      <c r="J2041" s="468" t="s">
        <v>9219</v>
      </c>
      <c r="K2041" s="468" t="s">
        <v>9219</v>
      </c>
      <c r="L2041" s="468" t="s">
        <v>2354</v>
      </c>
    </row>
    <row r="2042" spans="1:12" x14ac:dyDescent="0.25">
      <c r="A2042" s="468" t="s">
        <v>220</v>
      </c>
      <c r="B2042" s="468" t="s">
        <v>2351</v>
      </c>
      <c r="C2042" s="468" t="s">
        <v>4199</v>
      </c>
      <c r="D2042" s="468" t="s">
        <v>4200</v>
      </c>
      <c r="F2042" s="470">
        <v>12</v>
      </c>
      <c r="G2042" s="468">
        <v>5.952</v>
      </c>
      <c r="H2042" s="479">
        <v>71.424000000000007</v>
      </c>
      <c r="I2042" s="468" t="s">
        <v>9218</v>
      </c>
      <c r="J2042" s="468" t="s">
        <v>9219</v>
      </c>
      <c r="K2042" s="468" t="s">
        <v>9219</v>
      </c>
      <c r="L2042" s="468" t="s">
        <v>2354</v>
      </c>
    </row>
    <row r="2043" spans="1:12" x14ac:dyDescent="0.25">
      <c r="A2043" s="468" t="s">
        <v>220</v>
      </c>
      <c r="B2043" s="468" t="s">
        <v>2351</v>
      </c>
      <c r="C2043" s="468" t="s">
        <v>4201</v>
      </c>
      <c r="D2043" s="468" t="s">
        <v>4202</v>
      </c>
      <c r="F2043" s="470">
        <v>100</v>
      </c>
      <c r="G2043" s="468">
        <v>3.577</v>
      </c>
      <c r="H2043" s="479">
        <v>357.7</v>
      </c>
      <c r="I2043" s="468" t="s">
        <v>9218</v>
      </c>
      <c r="J2043" s="468" t="s">
        <v>9219</v>
      </c>
      <c r="K2043" s="468" t="s">
        <v>9219</v>
      </c>
      <c r="L2043" s="468" t="s">
        <v>2354</v>
      </c>
    </row>
    <row r="2044" spans="1:12" x14ac:dyDescent="0.25">
      <c r="A2044" s="468" t="s">
        <v>220</v>
      </c>
      <c r="B2044" s="468" t="s">
        <v>2351</v>
      </c>
      <c r="C2044" s="468" t="s">
        <v>4203</v>
      </c>
      <c r="D2044" s="468" t="s">
        <v>4204</v>
      </c>
      <c r="F2044" s="470">
        <v>200</v>
      </c>
      <c r="G2044" s="468">
        <v>5.4139999999999997</v>
      </c>
      <c r="H2044" s="479">
        <v>1082.8</v>
      </c>
      <c r="I2044" s="468" t="s">
        <v>9218</v>
      </c>
      <c r="J2044" s="468" t="s">
        <v>9219</v>
      </c>
      <c r="K2044" s="468" t="s">
        <v>9219</v>
      </c>
      <c r="L2044" s="468" t="s">
        <v>2354</v>
      </c>
    </row>
    <row r="2045" spans="1:12" x14ac:dyDescent="0.25">
      <c r="A2045" s="468" t="s">
        <v>220</v>
      </c>
      <c r="B2045" s="468" t="s">
        <v>2351</v>
      </c>
      <c r="C2045" s="468" t="s">
        <v>4205</v>
      </c>
      <c r="D2045" s="468" t="s">
        <v>4206</v>
      </c>
      <c r="F2045" s="470">
        <v>100</v>
      </c>
      <c r="G2045" s="468">
        <v>2.548</v>
      </c>
      <c r="H2045" s="479">
        <v>254.8</v>
      </c>
      <c r="I2045" s="468" t="s">
        <v>9218</v>
      </c>
      <c r="J2045" s="468" t="s">
        <v>9219</v>
      </c>
      <c r="K2045" s="468" t="s">
        <v>9219</v>
      </c>
      <c r="L2045" s="468" t="s">
        <v>2354</v>
      </c>
    </row>
    <row r="2046" spans="1:12" x14ac:dyDescent="0.25">
      <c r="A2046" s="468" t="s">
        <v>220</v>
      </c>
      <c r="B2046" s="468" t="s">
        <v>2351</v>
      </c>
      <c r="C2046" s="468" t="s">
        <v>4207</v>
      </c>
      <c r="D2046" s="468" t="s">
        <v>4208</v>
      </c>
      <c r="F2046" s="470">
        <v>100</v>
      </c>
      <c r="G2046" s="468">
        <v>2.609</v>
      </c>
      <c r="H2046" s="479">
        <v>260.89999999999998</v>
      </c>
      <c r="I2046" s="468" t="s">
        <v>9218</v>
      </c>
      <c r="J2046" s="468" t="s">
        <v>9219</v>
      </c>
      <c r="K2046" s="468" t="s">
        <v>9219</v>
      </c>
      <c r="L2046" s="468" t="s">
        <v>2354</v>
      </c>
    </row>
    <row r="2047" spans="1:12" x14ac:dyDescent="0.25">
      <c r="A2047" s="468" t="s">
        <v>220</v>
      </c>
      <c r="B2047" s="468" t="s">
        <v>2351</v>
      </c>
      <c r="C2047" s="468" t="s">
        <v>4209</v>
      </c>
      <c r="D2047" s="468" t="s">
        <v>4210</v>
      </c>
      <c r="F2047" s="470">
        <v>20</v>
      </c>
      <c r="G2047" s="468">
        <v>4.2359999999999998</v>
      </c>
      <c r="H2047" s="479">
        <v>84.72</v>
      </c>
      <c r="I2047" s="468" t="s">
        <v>9218</v>
      </c>
      <c r="J2047" s="468" t="s">
        <v>9219</v>
      </c>
      <c r="K2047" s="468" t="s">
        <v>9219</v>
      </c>
      <c r="L2047" s="468" t="s">
        <v>2354</v>
      </c>
    </row>
    <row r="2048" spans="1:12" x14ac:dyDescent="0.25">
      <c r="A2048" s="468" t="s">
        <v>220</v>
      </c>
      <c r="B2048" s="468" t="s">
        <v>2351</v>
      </c>
      <c r="C2048" s="468" t="s">
        <v>4211</v>
      </c>
      <c r="D2048" s="468" t="s">
        <v>4212</v>
      </c>
      <c r="F2048" s="470">
        <v>38</v>
      </c>
      <c r="G2048" s="468">
        <v>0.47260000000000002</v>
      </c>
      <c r="H2048" s="479">
        <v>17.9588</v>
      </c>
      <c r="I2048" s="468" t="s">
        <v>9218</v>
      </c>
      <c r="J2048" s="468" t="s">
        <v>9219</v>
      </c>
      <c r="K2048" s="468" t="s">
        <v>9219</v>
      </c>
      <c r="L2048" s="468" t="s">
        <v>2354</v>
      </c>
    </row>
    <row r="2049" spans="1:12" x14ac:dyDescent="0.25">
      <c r="A2049" s="468" t="s">
        <v>220</v>
      </c>
      <c r="B2049" s="468" t="s">
        <v>2351</v>
      </c>
      <c r="C2049" s="468" t="s">
        <v>4213</v>
      </c>
      <c r="D2049" s="468" t="s">
        <v>4214</v>
      </c>
      <c r="F2049" s="470">
        <v>58</v>
      </c>
      <c r="G2049" s="468">
        <v>1.1661585365853659</v>
      </c>
      <c r="H2049" s="479">
        <v>67.637195121951223</v>
      </c>
      <c r="I2049" s="468" t="s">
        <v>9218</v>
      </c>
      <c r="J2049" s="468" t="s">
        <v>9219</v>
      </c>
      <c r="K2049" s="468" t="s">
        <v>9219</v>
      </c>
      <c r="L2049" s="468" t="s">
        <v>2354</v>
      </c>
    </row>
    <row r="2050" spans="1:12" x14ac:dyDescent="0.25">
      <c r="A2050" s="468" t="s">
        <v>220</v>
      </c>
      <c r="B2050" s="468" t="s">
        <v>2351</v>
      </c>
      <c r="C2050" s="468" t="s">
        <v>4215</v>
      </c>
      <c r="D2050" s="468" t="s">
        <v>4216</v>
      </c>
      <c r="F2050" s="470">
        <v>40</v>
      </c>
      <c r="G2050" s="468">
        <v>1.0157499999999999</v>
      </c>
      <c r="H2050" s="479">
        <v>40.629999999999995</v>
      </c>
      <c r="I2050" s="468" t="s">
        <v>9218</v>
      </c>
      <c r="J2050" s="468" t="s">
        <v>9219</v>
      </c>
      <c r="K2050" s="468" t="s">
        <v>9219</v>
      </c>
      <c r="L2050" s="468" t="s">
        <v>2354</v>
      </c>
    </row>
    <row r="2051" spans="1:12" x14ac:dyDescent="0.25">
      <c r="A2051" s="468" t="s">
        <v>220</v>
      </c>
      <c r="B2051" s="468" t="s">
        <v>2351</v>
      </c>
      <c r="C2051" s="468" t="s">
        <v>4217</v>
      </c>
      <c r="D2051" s="468" t="s">
        <v>4218</v>
      </c>
      <c r="F2051" s="470">
        <v>38</v>
      </c>
      <c r="G2051" s="468">
        <v>0.26600000000000001</v>
      </c>
      <c r="H2051" s="479">
        <v>10.108000000000001</v>
      </c>
      <c r="I2051" s="468" t="s">
        <v>9218</v>
      </c>
      <c r="J2051" s="468" t="s">
        <v>9219</v>
      </c>
      <c r="K2051" s="468" t="s">
        <v>9219</v>
      </c>
      <c r="L2051" s="468" t="s">
        <v>2354</v>
      </c>
    </row>
    <row r="2052" spans="1:12" x14ac:dyDescent="0.25">
      <c r="A2052" s="468" t="s">
        <v>220</v>
      </c>
      <c r="B2052" s="468" t="s">
        <v>2351</v>
      </c>
      <c r="C2052" s="468" t="s">
        <v>4219</v>
      </c>
      <c r="D2052" s="468" t="s">
        <v>4220</v>
      </c>
      <c r="F2052" s="470">
        <v>100</v>
      </c>
      <c r="G2052" s="468">
        <v>47.956999999999994</v>
      </c>
      <c r="H2052" s="479">
        <v>4795.6999999999989</v>
      </c>
      <c r="I2052" s="468" t="s">
        <v>9218</v>
      </c>
      <c r="J2052" s="468" t="s">
        <v>9219</v>
      </c>
      <c r="K2052" s="468" t="s">
        <v>9219</v>
      </c>
      <c r="L2052" s="468" t="s">
        <v>2354</v>
      </c>
    </row>
    <row r="2053" spans="1:12" x14ac:dyDescent="0.25">
      <c r="A2053" s="468" t="s">
        <v>220</v>
      </c>
      <c r="B2053" s="468" t="s">
        <v>2351</v>
      </c>
      <c r="C2053" s="468" t="s">
        <v>4375</v>
      </c>
      <c r="D2053" s="468" t="s">
        <v>4376</v>
      </c>
      <c r="F2053" s="470">
        <v>150</v>
      </c>
      <c r="G2053" s="468">
        <v>0.65200000000000002</v>
      </c>
      <c r="H2053" s="479">
        <v>97.8</v>
      </c>
      <c r="I2053" s="468" t="s">
        <v>9218</v>
      </c>
      <c r="J2053" s="468" t="s">
        <v>9219</v>
      </c>
      <c r="K2053" s="468" t="s">
        <v>9219</v>
      </c>
      <c r="L2053" s="468" t="s">
        <v>2354</v>
      </c>
    </row>
    <row r="2054" spans="1:12" x14ac:dyDescent="0.25">
      <c r="A2054" s="468" t="s">
        <v>220</v>
      </c>
      <c r="B2054" s="468" t="s">
        <v>2351</v>
      </c>
      <c r="C2054" s="468" t="s">
        <v>4377</v>
      </c>
      <c r="D2054" s="468" t="s">
        <v>4378</v>
      </c>
      <c r="F2054" s="470">
        <v>12</v>
      </c>
      <c r="G2054" s="468">
        <v>1.6259999999999999</v>
      </c>
      <c r="H2054" s="479">
        <v>19.512</v>
      </c>
      <c r="I2054" s="468" t="s">
        <v>9218</v>
      </c>
      <c r="J2054" s="468" t="s">
        <v>9219</v>
      </c>
      <c r="K2054" s="468" t="s">
        <v>9219</v>
      </c>
      <c r="L2054" s="468" t="s">
        <v>2354</v>
      </c>
    </row>
    <row r="2055" spans="1:12" x14ac:dyDescent="0.25">
      <c r="A2055" s="468" t="s">
        <v>220</v>
      </c>
      <c r="B2055" s="468" t="s">
        <v>2351</v>
      </c>
      <c r="C2055" s="468" t="s">
        <v>4381</v>
      </c>
      <c r="D2055" s="468" t="s">
        <v>4382</v>
      </c>
      <c r="F2055" s="470">
        <v>2</v>
      </c>
      <c r="G2055" s="468">
        <v>1.149</v>
      </c>
      <c r="H2055" s="479">
        <v>2.298</v>
      </c>
      <c r="I2055" s="468" t="s">
        <v>9218</v>
      </c>
      <c r="J2055" s="468" t="s">
        <v>9219</v>
      </c>
      <c r="K2055" s="468" t="s">
        <v>9219</v>
      </c>
      <c r="L2055" s="468" t="s">
        <v>2354</v>
      </c>
    </row>
    <row r="2056" spans="1:12" x14ac:dyDescent="0.25">
      <c r="A2056" s="468" t="s">
        <v>220</v>
      </c>
      <c r="B2056" s="468" t="s">
        <v>2351</v>
      </c>
      <c r="C2056" s="468" t="s">
        <v>4395</v>
      </c>
      <c r="D2056" s="468" t="s">
        <v>4396</v>
      </c>
      <c r="F2056" s="470">
        <v>10</v>
      </c>
      <c r="G2056" s="468">
        <v>6.9710000000000001</v>
      </c>
      <c r="H2056" s="479">
        <v>69.710000000000008</v>
      </c>
      <c r="I2056" s="468" t="s">
        <v>9218</v>
      </c>
      <c r="J2056" s="468" t="s">
        <v>9219</v>
      </c>
      <c r="K2056" s="468" t="s">
        <v>9219</v>
      </c>
      <c r="L2056" s="468" t="s">
        <v>2354</v>
      </c>
    </row>
    <row r="2057" spans="1:12" x14ac:dyDescent="0.25">
      <c r="A2057" s="468" t="s">
        <v>220</v>
      </c>
      <c r="B2057" s="468" t="s">
        <v>2351</v>
      </c>
      <c r="C2057" s="468" t="s">
        <v>4403</v>
      </c>
      <c r="D2057" s="468" t="s">
        <v>4404</v>
      </c>
      <c r="F2057" s="470">
        <v>15</v>
      </c>
      <c r="G2057" s="468">
        <v>1.133</v>
      </c>
      <c r="H2057" s="479">
        <v>16.995000000000001</v>
      </c>
      <c r="I2057" s="468" t="s">
        <v>9218</v>
      </c>
      <c r="J2057" s="468" t="s">
        <v>9219</v>
      </c>
      <c r="K2057" s="468" t="s">
        <v>9219</v>
      </c>
      <c r="L2057" s="468" t="s">
        <v>2354</v>
      </c>
    </row>
    <row r="2058" spans="1:12" x14ac:dyDescent="0.25">
      <c r="A2058" s="468" t="s">
        <v>220</v>
      </c>
      <c r="B2058" s="468" t="s">
        <v>2351</v>
      </c>
      <c r="C2058" s="468" t="s">
        <v>4405</v>
      </c>
      <c r="D2058" s="468" t="s">
        <v>4406</v>
      </c>
      <c r="F2058" s="470">
        <v>10</v>
      </c>
      <c r="G2058" s="468">
        <v>1.1486666666666665</v>
      </c>
      <c r="H2058" s="479">
        <v>11.486666666666665</v>
      </c>
      <c r="I2058" s="468" t="s">
        <v>9218</v>
      </c>
      <c r="J2058" s="468" t="s">
        <v>9219</v>
      </c>
      <c r="K2058" s="468" t="s">
        <v>9219</v>
      </c>
      <c r="L2058" s="468" t="s">
        <v>2354</v>
      </c>
    </row>
    <row r="2059" spans="1:12" x14ac:dyDescent="0.25">
      <c r="A2059" s="468" t="s">
        <v>220</v>
      </c>
      <c r="B2059" s="468" t="s">
        <v>2351</v>
      </c>
      <c r="C2059" s="468" t="s">
        <v>5410</v>
      </c>
      <c r="D2059" s="468" t="s">
        <v>5411</v>
      </c>
      <c r="F2059" s="470">
        <v>10</v>
      </c>
      <c r="G2059" s="468">
        <v>5.4089999999999998</v>
      </c>
      <c r="H2059" s="479">
        <v>54.089999999999996</v>
      </c>
      <c r="I2059" s="468" t="s">
        <v>9218</v>
      </c>
      <c r="J2059" s="468" t="s">
        <v>9219</v>
      </c>
      <c r="K2059" s="468" t="s">
        <v>9219</v>
      </c>
      <c r="L2059" s="468" t="s">
        <v>2354</v>
      </c>
    </row>
    <row r="2060" spans="1:12" x14ac:dyDescent="0.25">
      <c r="A2060" s="468" t="s">
        <v>220</v>
      </c>
      <c r="B2060" s="468" t="s">
        <v>2351</v>
      </c>
      <c r="C2060" s="468" t="s">
        <v>4411</v>
      </c>
      <c r="D2060" s="468" t="s">
        <v>4412</v>
      </c>
      <c r="F2060" s="470">
        <v>1</v>
      </c>
      <c r="G2060" s="468">
        <v>10.6236</v>
      </c>
      <c r="H2060" s="479">
        <v>10.6236</v>
      </c>
      <c r="I2060" s="468" t="s">
        <v>9218</v>
      </c>
      <c r="J2060" s="468" t="s">
        <v>9219</v>
      </c>
      <c r="K2060" s="468" t="s">
        <v>9219</v>
      </c>
      <c r="L2060" s="468" t="s">
        <v>2354</v>
      </c>
    </row>
    <row r="2061" spans="1:12" x14ac:dyDescent="0.25">
      <c r="A2061" s="468" t="s">
        <v>220</v>
      </c>
      <c r="B2061" s="468" t="s">
        <v>2351</v>
      </c>
      <c r="C2061" s="468" t="s">
        <v>4425</v>
      </c>
      <c r="D2061" s="468" t="s">
        <v>2402</v>
      </c>
      <c r="F2061" s="470">
        <v>118</v>
      </c>
      <c r="G2061" s="468">
        <v>2.2999999999999998</v>
      </c>
      <c r="H2061" s="479">
        <v>271.39999999999998</v>
      </c>
      <c r="I2061" s="468" t="s">
        <v>9218</v>
      </c>
      <c r="J2061" s="468" t="s">
        <v>9219</v>
      </c>
      <c r="K2061" s="468" t="s">
        <v>9219</v>
      </c>
      <c r="L2061" s="468" t="s">
        <v>2354</v>
      </c>
    </row>
    <row r="2062" spans="1:12" x14ac:dyDescent="0.25">
      <c r="A2062" s="468" t="s">
        <v>220</v>
      </c>
      <c r="B2062" s="468" t="s">
        <v>2351</v>
      </c>
      <c r="C2062" s="468" t="s">
        <v>4428</v>
      </c>
      <c r="D2062" s="468" t="s">
        <v>4429</v>
      </c>
      <c r="F2062" s="470">
        <v>22</v>
      </c>
      <c r="G2062" s="468">
        <v>29.7</v>
      </c>
      <c r="H2062" s="479">
        <v>653.4</v>
      </c>
      <c r="I2062" s="468" t="s">
        <v>9218</v>
      </c>
      <c r="J2062" s="468" t="s">
        <v>9219</v>
      </c>
      <c r="K2062" s="468" t="s">
        <v>9219</v>
      </c>
      <c r="L2062" s="468" t="s">
        <v>2354</v>
      </c>
    </row>
    <row r="2063" spans="1:12" x14ac:dyDescent="0.25">
      <c r="A2063" s="468" t="s">
        <v>220</v>
      </c>
      <c r="B2063" s="468" t="s">
        <v>2351</v>
      </c>
      <c r="C2063" s="468" t="s">
        <v>4440</v>
      </c>
      <c r="D2063" s="468" t="s">
        <v>4441</v>
      </c>
      <c r="F2063" s="470">
        <v>150</v>
      </c>
      <c r="G2063" s="468">
        <v>1.439E-2</v>
      </c>
      <c r="H2063" s="479">
        <v>2.1585000000000001</v>
      </c>
      <c r="I2063" s="468" t="s">
        <v>9218</v>
      </c>
      <c r="J2063" s="468" t="s">
        <v>9219</v>
      </c>
      <c r="K2063" s="468" t="s">
        <v>9219</v>
      </c>
      <c r="L2063" s="468" t="s">
        <v>2354</v>
      </c>
    </row>
    <row r="2064" spans="1:12" x14ac:dyDescent="0.25">
      <c r="A2064" s="468" t="s">
        <v>220</v>
      </c>
      <c r="B2064" s="468" t="s">
        <v>2351</v>
      </c>
      <c r="C2064" s="468" t="s">
        <v>4442</v>
      </c>
      <c r="D2064" s="468" t="s">
        <v>4443</v>
      </c>
      <c r="F2064" s="470">
        <v>25</v>
      </c>
      <c r="G2064" s="468">
        <v>0.22700000000000001</v>
      </c>
      <c r="H2064" s="479">
        <v>5.6749999999999998</v>
      </c>
      <c r="I2064" s="468" t="s">
        <v>9218</v>
      </c>
      <c r="J2064" s="468" t="s">
        <v>9219</v>
      </c>
      <c r="K2064" s="468" t="s">
        <v>9219</v>
      </c>
      <c r="L2064" s="468" t="s">
        <v>2354</v>
      </c>
    </row>
    <row r="2065" spans="1:12" x14ac:dyDescent="0.25">
      <c r="A2065" s="468" t="s">
        <v>220</v>
      </c>
      <c r="B2065" s="468" t="s">
        <v>2351</v>
      </c>
      <c r="C2065" s="468" t="s">
        <v>4444</v>
      </c>
      <c r="D2065" s="468" t="s">
        <v>4445</v>
      </c>
      <c r="F2065" s="470">
        <v>25</v>
      </c>
      <c r="G2065" s="468">
        <v>0.30199999999999999</v>
      </c>
      <c r="H2065" s="479">
        <v>7.55</v>
      </c>
      <c r="I2065" s="468" t="s">
        <v>9218</v>
      </c>
      <c r="J2065" s="468" t="s">
        <v>9219</v>
      </c>
      <c r="K2065" s="468" t="s">
        <v>9219</v>
      </c>
      <c r="L2065" s="468" t="s">
        <v>2354</v>
      </c>
    </row>
    <row r="2066" spans="1:12" x14ac:dyDescent="0.25">
      <c r="A2066" s="468" t="s">
        <v>220</v>
      </c>
      <c r="B2066" s="468" t="s">
        <v>2351</v>
      </c>
      <c r="C2066" s="468" t="s">
        <v>4446</v>
      </c>
      <c r="D2066" s="468" t="s">
        <v>4447</v>
      </c>
      <c r="F2066" s="470">
        <v>14</v>
      </c>
      <c r="G2066" s="468">
        <v>0.34200000000000003</v>
      </c>
      <c r="H2066" s="479">
        <v>4.7880000000000003</v>
      </c>
      <c r="I2066" s="468" t="s">
        <v>9218</v>
      </c>
      <c r="J2066" s="468" t="s">
        <v>9219</v>
      </c>
      <c r="K2066" s="468" t="s">
        <v>9219</v>
      </c>
      <c r="L2066" s="468" t="s">
        <v>2354</v>
      </c>
    </row>
    <row r="2067" spans="1:12" x14ac:dyDescent="0.25">
      <c r="A2067" s="468" t="s">
        <v>220</v>
      </c>
      <c r="B2067" s="468" t="s">
        <v>2351</v>
      </c>
      <c r="C2067" s="468" t="s">
        <v>4448</v>
      </c>
      <c r="D2067" s="468" t="s">
        <v>4449</v>
      </c>
      <c r="F2067" s="470">
        <v>38</v>
      </c>
      <c r="G2067" s="468">
        <v>0.79300000000000004</v>
      </c>
      <c r="H2067" s="479">
        <v>30.134</v>
      </c>
      <c r="I2067" s="468" t="s">
        <v>9218</v>
      </c>
      <c r="J2067" s="468" t="s">
        <v>9219</v>
      </c>
      <c r="K2067" s="468" t="s">
        <v>9219</v>
      </c>
      <c r="L2067" s="468" t="s">
        <v>2354</v>
      </c>
    </row>
    <row r="2068" spans="1:12" x14ac:dyDescent="0.25">
      <c r="A2068" s="468" t="s">
        <v>220</v>
      </c>
      <c r="B2068" s="468" t="s">
        <v>2351</v>
      </c>
      <c r="C2068" s="468" t="s">
        <v>4450</v>
      </c>
      <c r="D2068" s="468" t="s">
        <v>4451</v>
      </c>
      <c r="F2068" s="470">
        <v>5</v>
      </c>
      <c r="G2068" s="468">
        <v>1.0857000000000001</v>
      </c>
      <c r="H2068" s="479">
        <v>5.4285000000000005</v>
      </c>
      <c r="I2068" s="468" t="s">
        <v>9218</v>
      </c>
      <c r="J2068" s="468" t="s">
        <v>9219</v>
      </c>
      <c r="K2068" s="468" t="s">
        <v>9219</v>
      </c>
      <c r="L2068" s="468" t="s">
        <v>2354</v>
      </c>
    </row>
    <row r="2069" spans="1:12" x14ac:dyDescent="0.25">
      <c r="A2069" s="468" t="s">
        <v>220</v>
      </c>
      <c r="B2069" s="468" t="s">
        <v>2351</v>
      </c>
      <c r="C2069" s="468" t="s">
        <v>4452</v>
      </c>
      <c r="D2069" s="468" t="s">
        <v>4453</v>
      </c>
      <c r="F2069" s="470">
        <v>44</v>
      </c>
      <c r="G2069" s="468">
        <v>0.73072999999999999</v>
      </c>
      <c r="H2069" s="479">
        <v>32.152119999999996</v>
      </c>
      <c r="I2069" s="468" t="s">
        <v>9218</v>
      </c>
      <c r="J2069" s="468" t="s">
        <v>9219</v>
      </c>
      <c r="K2069" s="468" t="s">
        <v>9219</v>
      </c>
      <c r="L2069" s="468" t="s">
        <v>2354</v>
      </c>
    </row>
    <row r="2070" spans="1:12" x14ac:dyDescent="0.25">
      <c r="A2070" s="468" t="s">
        <v>220</v>
      </c>
      <c r="B2070" s="468" t="s">
        <v>2351</v>
      </c>
      <c r="C2070" s="468" t="s">
        <v>4454</v>
      </c>
      <c r="D2070" s="468" t="s">
        <v>4455</v>
      </c>
      <c r="F2070" s="470">
        <v>90</v>
      </c>
      <c r="G2070" s="468">
        <v>0.40589999999999998</v>
      </c>
      <c r="H2070" s="479">
        <v>36.530999999999999</v>
      </c>
      <c r="I2070" s="468" t="s">
        <v>9218</v>
      </c>
      <c r="J2070" s="468" t="s">
        <v>9219</v>
      </c>
      <c r="K2070" s="468" t="s">
        <v>9219</v>
      </c>
      <c r="L2070" s="468" t="s">
        <v>2354</v>
      </c>
    </row>
    <row r="2071" spans="1:12" x14ac:dyDescent="0.25">
      <c r="A2071" s="468" t="s">
        <v>220</v>
      </c>
      <c r="B2071" s="468" t="s">
        <v>2351</v>
      </c>
      <c r="C2071" s="468" t="s">
        <v>4456</v>
      </c>
      <c r="D2071" s="468" t="s">
        <v>4457</v>
      </c>
      <c r="F2071" s="470">
        <v>190</v>
      </c>
      <c r="G2071" s="468">
        <v>6.3960000000000003E-2</v>
      </c>
      <c r="H2071" s="479">
        <v>12.1524</v>
      </c>
      <c r="I2071" s="468" t="s">
        <v>9218</v>
      </c>
      <c r="J2071" s="468" t="s">
        <v>9219</v>
      </c>
      <c r="K2071" s="468" t="s">
        <v>9219</v>
      </c>
      <c r="L2071" s="468" t="s">
        <v>2354</v>
      </c>
    </row>
    <row r="2072" spans="1:12" x14ac:dyDescent="0.25">
      <c r="A2072" s="468" t="s">
        <v>220</v>
      </c>
      <c r="B2072" s="468" t="s">
        <v>2351</v>
      </c>
      <c r="C2072" s="468" t="s">
        <v>4458</v>
      </c>
      <c r="D2072" s="468" t="s">
        <v>4459</v>
      </c>
      <c r="F2072" s="470">
        <v>98</v>
      </c>
      <c r="G2072" s="468">
        <v>6.3960000000000003E-2</v>
      </c>
      <c r="H2072" s="479">
        <v>6.2680800000000003</v>
      </c>
      <c r="I2072" s="468" t="s">
        <v>9218</v>
      </c>
      <c r="J2072" s="468" t="s">
        <v>9219</v>
      </c>
      <c r="K2072" s="468" t="s">
        <v>9219</v>
      </c>
      <c r="L2072" s="468" t="s">
        <v>2354</v>
      </c>
    </row>
    <row r="2073" spans="1:12" x14ac:dyDescent="0.25">
      <c r="A2073" s="468" t="s">
        <v>220</v>
      </c>
      <c r="B2073" s="468" t="s">
        <v>2351</v>
      </c>
      <c r="C2073" s="468" t="s">
        <v>4460</v>
      </c>
      <c r="D2073" s="468" t="s">
        <v>4461</v>
      </c>
      <c r="F2073" s="470">
        <v>88</v>
      </c>
      <c r="G2073" s="468">
        <v>6.3960000000000003E-2</v>
      </c>
      <c r="H2073" s="479">
        <v>5.6284800000000006</v>
      </c>
      <c r="I2073" s="468" t="s">
        <v>9218</v>
      </c>
      <c r="J2073" s="468" t="s">
        <v>9219</v>
      </c>
      <c r="K2073" s="468" t="s">
        <v>9219</v>
      </c>
      <c r="L2073" s="468" t="s">
        <v>2354</v>
      </c>
    </row>
    <row r="2074" spans="1:12" x14ac:dyDescent="0.25">
      <c r="A2074" s="468" t="s">
        <v>220</v>
      </c>
      <c r="B2074" s="468" t="s">
        <v>2351</v>
      </c>
      <c r="C2074" s="468" t="s">
        <v>4462</v>
      </c>
      <c r="D2074" s="468" t="s">
        <v>4463</v>
      </c>
      <c r="F2074" s="470">
        <v>98</v>
      </c>
      <c r="G2074" s="468">
        <v>6.3960000000000003E-2</v>
      </c>
      <c r="H2074" s="479">
        <v>6.2680800000000003</v>
      </c>
      <c r="I2074" s="468" t="s">
        <v>9218</v>
      </c>
      <c r="J2074" s="468" t="s">
        <v>9219</v>
      </c>
      <c r="K2074" s="468" t="s">
        <v>9219</v>
      </c>
      <c r="L2074" s="468" t="s">
        <v>2354</v>
      </c>
    </row>
    <row r="2075" spans="1:12" x14ac:dyDescent="0.25">
      <c r="A2075" s="468" t="s">
        <v>220</v>
      </c>
      <c r="B2075" s="468" t="s">
        <v>2351</v>
      </c>
      <c r="C2075" s="468" t="s">
        <v>4464</v>
      </c>
      <c r="D2075" s="468" t="s">
        <v>4465</v>
      </c>
      <c r="F2075" s="470">
        <v>86</v>
      </c>
      <c r="G2075" s="468">
        <v>6.4000000000000001E-2</v>
      </c>
      <c r="H2075" s="479">
        <v>5.5040000000000004</v>
      </c>
      <c r="I2075" s="468" t="s">
        <v>9218</v>
      </c>
      <c r="J2075" s="468" t="s">
        <v>9219</v>
      </c>
      <c r="K2075" s="468" t="s">
        <v>9219</v>
      </c>
      <c r="L2075" s="468" t="s">
        <v>2354</v>
      </c>
    </row>
    <row r="2076" spans="1:12" x14ac:dyDescent="0.25">
      <c r="A2076" s="468" t="s">
        <v>220</v>
      </c>
      <c r="B2076" s="468" t="s">
        <v>2351</v>
      </c>
      <c r="C2076" s="468" t="s">
        <v>4466</v>
      </c>
      <c r="D2076" s="468" t="s">
        <v>4467</v>
      </c>
      <c r="F2076" s="470">
        <v>100</v>
      </c>
      <c r="G2076" s="468">
        <v>6.3960000000000003E-2</v>
      </c>
      <c r="H2076" s="479">
        <v>6.3959999999999999</v>
      </c>
      <c r="I2076" s="468" t="s">
        <v>9218</v>
      </c>
      <c r="J2076" s="468" t="s">
        <v>9219</v>
      </c>
      <c r="K2076" s="468" t="s">
        <v>9219</v>
      </c>
      <c r="L2076" s="468" t="s">
        <v>2354</v>
      </c>
    </row>
    <row r="2077" spans="1:12" x14ac:dyDescent="0.25">
      <c r="A2077" s="468" t="s">
        <v>220</v>
      </c>
      <c r="B2077" s="468" t="s">
        <v>2351</v>
      </c>
      <c r="C2077" s="468" t="s">
        <v>4468</v>
      </c>
      <c r="D2077" s="468" t="s">
        <v>4469</v>
      </c>
      <c r="F2077" s="470">
        <v>100</v>
      </c>
      <c r="G2077" s="468">
        <v>6.3960000000000003E-2</v>
      </c>
      <c r="H2077" s="479">
        <v>6.3959999999999999</v>
      </c>
      <c r="I2077" s="468" t="s">
        <v>9218</v>
      </c>
      <c r="J2077" s="468" t="s">
        <v>9219</v>
      </c>
      <c r="K2077" s="468" t="s">
        <v>9219</v>
      </c>
      <c r="L2077" s="468" t="s">
        <v>2354</v>
      </c>
    </row>
    <row r="2078" spans="1:12" x14ac:dyDescent="0.25">
      <c r="A2078" s="468" t="s">
        <v>220</v>
      </c>
      <c r="B2078" s="468" t="s">
        <v>2351</v>
      </c>
      <c r="C2078" s="468" t="s">
        <v>4470</v>
      </c>
      <c r="D2078" s="468" t="s">
        <v>4471</v>
      </c>
      <c r="F2078" s="470">
        <v>100</v>
      </c>
      <c r="G2078" s="468">
        <v>6.3960000000000003E-2</v>
      </c>
      <c r="H2078" s="479">
        <v>6.3959999999999999</v>
      </c>
      <c r="I2078" s="468" t="s">
        <v>9218</v>
      </c>
      <c r="J2078" s="468" t="s">
        <v>9219</v>
      </c>
      <c r="K2078" s="468" t="s">
        <v>9219</v>
      </c>
      <c r="L2078" s="468" t="s">
        <v>2354</v>
      </c>
    </row>
    <row r="2079" spans="1:12" x14ac:dyDescent="0.25">
      <c r="A2079" s="468" t="s">
        <v>220</v>
      </c>
      <c r="B2079" s="468" t="s">
        <v>2351</v>
      </c>
      <c r="C2079" s="468" t="s">
        <v>4472</v>
      </c>
      <c r="D2079" s="468" t="s">
        <v>4473</v>
      </c>
      <c r="F2079" s="470">
        <v>50</v>
      </c>
      <c r="G2079" s="468">
        <v>7.4620000000000006E-2</v>
      </c>
      <c r="H2079" s="479">
        <v>3.7310000000000003</v>
      </c>
      <c r="I2079" s="468" t="s">
        <v>9218</v>
      </c>
      <c r="J2079" s="468" t="s">
        <v>9219</v>
      </c>
      <c r="K2079" s="468" t="s">
        <v>9219</v>
      </c>
      <c r="L2079" s="468" t="s">
        <v>2354</v>
      </c>
    </row>
    <row r="2080" spans="1:12" x14ac:dyDescent="0.25">
      <c r="A2080" s="468" t="s">
        <v>220</v>
      </c>
      <c r="B2080" s="468" t="s">
        <v>2351</v>
      </c>
      <c r="C2080" s="468" t="s">
        <v>4474</v>
      </c>
      <c r="D2080" s="468" t="s">
        <v>4475</v>
      </c>
      <c r="F2080" s="470">
        <v>50</v>
      </c>
      <c r="G2080" s="468">
        <v>7.4620000000000006E-2</v>
      </c>
      <c r="H2080" s="479">
        <v>3.7310000000000003</v>
      </c>
      <c r="I2080" s="468" t="s">
        <v>9218</v>
      </c>
      <c r="J2080" s="468" t="s">
        <v>9219</v>
      </c>
      <c r="K2080" s="468" t="s">
        <v>9219</v>
      </c>
      <c r="L2080" s="468" t="s">
        <v>2354</v>
      </c>
    </row>
    <row r="2081" spans="1:12" x14ac:dyDescent="0.25">
      <c r="A2081" s="468" t="s">
        <v>220</v>
      </c>
      <c r="B2081" s="468" t="s">
        <v>2351</v>
      </c>
      <c r="C2081" s="468" t="s">
        <v>4476</v>
      </c>
      <c r="D2081" s="468" t="s">
        <v>4477</v>
      </c>
      <c r="F2081" s="470">
        <v>50</v>
      </c>
      <c r="G2081" s="468">
        <v>7.4620000000000006E-2</v>
      </c>
      <c r="H2081" s="479">
        <v>3.7310000000000003</v>
      </c>
      <c r="I2081" s="468" t="s">
        <v>9218</v>
      </c>
      <c r="J2081" s="468" t="s">
        <v>9219</v>
      </c>
      <c r="K2081" s="468" t="s">
        <v>9219</v>
      </c>
      <c r="L2081" s="468" t="s">
        <v>2354</v>
      </c>
    </row>
    <row r="2082" spans="1:12" x14ac:dyDescent="0.25">
      <c r="A2082" s="468" t="s">
        <v>220</v>
      </c>
      <c r="B2082" s="468" t="s">
        <v>2351</v>
      </c>
      <c r="C2082" s="468" t="s">
        <v>4478</v>
      </c>
      <c r="D2082" s="468" t="s">
        <v>4479</v>
      </c>
      <c r="F2082" s="470">
        <v>50</v>
      </c>
      <c r="G2082" s="468">
        <v>7.4620000000000006E-2</v>
      </c>
      <c r="H2082" s="479">
        <v>3.7310000000000003</v>
      </c>
      <c r="I2082" s="468" t="s">
        <v>9218</v>
      </c>
      <c r="J2082" s="468" t="s">
        <v>9219</v>
      </c>
      <c r="K2082" s="468" t="s">
        <v>9219</v>
      </c>
      <c r="L2082" s="468" t="s">
        <v>2354</v>
      </c>
    </row>
    <row r="2083" spans="1:12" x14ac:dyDescent="0.25">
      <c r="A2083" s="468" t="s">
        <v>220</v>
      </c>
      <c r="B2083" s="468" t="s">
        <v>2351</v>
      </c>
      <c r="C2083" s="468" t="s">
        <v>4480</v>
      </c>
      <c r="D2083" s="468" t="s">
        <v>4481</v>
      </c>
      <c r="F2083" s="470">
        <v>50</v>
      </c>
      <c r="G2083" s="468">
        <v>7.4620000000000006E-2</v>
      </c>
      <c r="H2083" s="479">
        <v>3.7310000000000003</v>
      </c>
      <c r="I2083" s="468" t="s">
        <v>9218</v>
      </c>
      <c r="J2083" s="468" t="s">
        <v>9219</v>
      </c>
      <c r="K2083" s="468" t="s">
        <v>9219</v>
      </c>
      <c r="L2083" s="468" t="s">
        <v>2354</v>
      </c>
    </row>
    <row r="2084" spans="1:12" x14ac:dyDescent="0.25">
      <c r="A2084" s="468" t="s">
        <v>220</v>
      </c>
      <c r="B2084" s="468" t="s">
        <v>2351</v>
      </c>
      <c r="C2084" s="468" t="s">
        <v>4482</v>
      </c>
      <c r="D2084" s="468" t="s">
        <v>4483</v>
      </c>
      <c r="F2084" s="470">
        <v>50</v>
      </c>
      <c r="G2084" s="468">
        <v>7.4620000000000006E-2</v>
      </c>
      <c r="H2084" s="479">
        <v>3.7310000000000003</v>
      </c>
      <c r="I2084" s="468" t="s">
        <v>9218</v>
      </c>
      <c r="J2084" s="468" t="s">
        <v>9219</v>
      </c>
      <c r="K2084" s="468" t="s">
        <v>9219</v>
      </c>
      <c r="L2084" s="468" t="s">
        <v>2354</v>
      </c>
    </row>
    <row r="2085" spans="1:12" x14ac:dyDescent="0.25">
      <c r="A2085" s="468" t="s">
        <v>220</v>
      </c>
      <c r="B2085" s="468" t="s">
        <v>2351</v>
      </c>
      <c r="C2085" s="468" t="s">
        <v>4484</v>
      </c>
      <c r="D2085" s="468" t="s">
        <v>4485</v>
      </c>
      <c r="F2085" s="470">
        <v>50</v>
      </c>
      <c r="G2085" s="468">
        <v>7.4620000000000006E-2</v>
      </c>
      <c r="H2085" s="479">
        <v>3.7310000000000003</v>
      </c>
      <c r="I2085" s="468" t="s">
        <v>9218</v>
      </c>
      <c r="J2085" s="468" t="s">
        <v>9219</v>
      </c>
      <c r="K2085" s="468" t="s">
        <v>9219</v>
      </c>
      <c r="L2085" s="468" t="s">
        <v>2354</v>
      </c>
    </row>
    <row r="2086" spans="1:12" x14ac:dyDescent="0.25">
      <c r="A2086" s="468" t="s">
        <v>220</v>
      </c>
      <c r="B2086" s="468" t="s">
        <v>2351</v>
      </c>
      <c r="C2086" s="468" t="s">
        <v>4486</v>
      </c>
      <c r="D2086" s="468" t="s">
        <v>4487</v>
      </c>
      <c r="F2086" s="470">
        <v>50</v>
      </c>
      <c r="G2086" s="468">
        <v>7.4620000000000006E-2</v>
      </c>
      <c r="H2086" s="479">
        <v>3.7310000000000003</v>
      </c>
      <c r="I2086" s="468" t="s">
        <v>9218</v>
      </c>
      <c r="J2086" s="468" t="s">
        <v>9219</v>
      </c>
      <c r="K2086" s="468" t="s">
        <v>9219</v>
      </c>
      <c r="L2086" s="468" t="s">
        <v>2354</v>
      </c>
    </row>
    <row r="2087" spans="1:12" x14ac:dyDescent="0.25">
      <c r="A2087" s="468" t="s">
        <v>220</v>
      </c>
      <c r="B2087" s="468" t="s">
        <v>2351</v>
      </c>
      <c r="C2087" s="468" t="s">
        <v>4490</v>
      </c>
      <c r="D2087" s="468" t="s">
        <v>4491</v>
      </c>
      <c r="F2087" s="470">
        <v>110</v>
      </c>
      <c r="G2087" s="468">
        <v>0.78800000000000003</v>
      </c>
      <c r="H2087" s="479">
        <v>86.68</v>
      </c>
      <c r="I2087" s="468" t="s">
        <v>9218</v>
      </c>
      <c r="J2087" s="468" t="s">
        <v>9219</v>
      </c>
      <c r="K2087" s="468" t="s">
        <v>9219</v>
      </c>
      <c r="L2087" s="468" t="s">
        <v>2354</v>
      </c>
    </row>
    <row r="2088" spans="1:12" x14ac:dyDescent="0.25">
      <c r="A2088" s="468" t="s">
        <v>220</v>
      </c>
      <c r="B2088" s="468" t="s">
        <v>2351</v>
      </c>
      <c r="C2088" s="468" t="s">
        <v>4502</v>
      </c>
      <c r="D2088" s="468" t="s">
        <v>4503</v>
      </c>
      <c r="F2088" s="470">
        <v>5</v>
      </c>
      <c r="G2088" s="468">
        <v>16.380179999999999</v>
      </c>
      <c r="H2088" s="479">
        <v>81.900899999999993</v>
      </c>
      <c r="I2088" s="468" t="s">
        <v>9218</v>
      </c>
      <c r="J2088" s="468" t="s">
        <v>9219</v>
      </c>
      <c r="K2088" s="468" t="s">
        <v>9219</v>
      </c>
      <c r="L2088" s="468" t="s">
        <v>2354</v>
      </c>
    </row>
    <row r="2089" spans="1:12" x14ac:dyDescent="0.25">
      <c r="A2089" s="468" t="s">
        <v>220</v>
      </c>
      <c r="B2089" s="468" t="s">
        <v>2351</v>
      </c>
      <c r="C2089" s="468" t="s">
        <v>4514</v>
      </c>
      <c r="D2089" s="468" t="s">
        <v>4515</v>
      </c>
      <c r="F2089" s="470">
        <v>47</v>
      </c>
      <c r="G2089" s="468">
        <v>2.4390000000000001</v>
      </c>
      <c r="H2089" s="479">
        <v>114.63300000000001</v>
      </c>
      <c r="I2089" s="468" t="s">
        <v>9218</v>
      </c>
      <c r="J2089" s="468" t="s">
        <v>9219</v>
      </c>
      <c r="K2089" s="468" t="s">
        <v>9219</v>
      </c>
      <c r="L2089" s="468" t="s">
        <v>2354</v>
      </c>
    </row>
    <row r="2090" spans="1:12" x14ac:dyDescent="0.25">
      <c r="A2090" s="468" t="s">
        <v>220</v>
      </c>
      <c r="B2090" s="468" t="s">
        <v>2351</v>
      </c>
      <c r="C2090" s="468" t="s">
        <v>4516</v>
      </c>
      <c r="D2090" s="468" t="s">
        <v>4517</v>
      </c>
      <c r="F2090" s="470">
        <v>28</v>
      </c>
      <c r="G2090" s="468">
        <v>2.7120000000000002</v>
      </c>
      <c r="H2090" s="479">
        <v>75.936000000000007</v>
      </c>
      <c r="I2090" s="468" t="s">
        <v>9218</v>
      </c>
      <c r="J2090" s="468" t="s">
        <v>9219</v>
      </c>
      <c r="K2090" s="468" t="s">
        <v>9219</v>
      </c>
      <c r="L2090" s="468" t="s">
        <v>2354</v>
      </c>
    </row>
    <row r="2091" spans="1:12" x14ac:dyDescent="0.25">
      <c r="A2091" s="468" t="s">
        <v>220</v>
      </c>
      <c r="B2091" s="468" t="s">
        <v>2351</v>
      </c>
      <c r="C2091" s="468" t="s">
        <v>4518</v>
      </c>
      <c r="D2091" s="468" t="s">
        <v>4519</v>
      </c>
      <c r="F2091" s="470">
        <v>88</v>
      </c>
      <c r="G2091" s="468">
        <v>6.2869999999999999</v>
      </c>
      <c r="H2091" s="479">
        <v>553.25599999999997</v>
      </c>
      <c r="I2091" s="468" t="s">
        <v>9218</v>
      </c>
      <c r="J2091" s="468" t="s">
        <v>9219</v>
      </c>
      <c r="K2091" s="468" t="s">
        <v>9219</v>
      </c>
      <c r="L2091" s="468" t="s">
        <v>2354</v>
      </c>
    </row>
    <row r="2092" spans="1:12" x14ac:dyDescent="0.25">
      <c r="A2092" s="468" t="s">
        <v>220</v>
      </c>
      <c r="B2092" s="468" t="s">
        <v>2351</v>
      </c>
      <c r="C2092" s="468" t="s">
        <v>4520</v>
      </c>
      <c r="D2092" s="468" t="s">
        <v>4521</v>
      </c>
      <c r="F2092" s="470">
        <v>40</v>
      </c>
      <c r="G2092" s="468">
        <v>8.1062130909090904</v>
      </c>
      <c r="H2092" s="479">
        <v>324.24852363636364</v>
      </c>
      <c r="I2092" s="468" t="s">
        <v>9218</v>
      </c>
      <c r="J2092" s="468" t="s">
        <v>9219</v>
      </c>
      <c r="K2092" s="468" t="s">
        <v>9219</v>
      </c>
      <c r="L2092" s="468" t="s">
        <v>2354</v>
      </c>
    </row>
    <row r="2093" spans="1:12" x14ac:dyDescent="0.25">
      <c r="A2093" s="468" t="s">
        <v>220</v>
      </c>
      <c r="B2093" s="468" t="s">
        <v>2351</v>
      </c>
      <c r="C2093" s="468" t="s">
        <v>4524</v>
      </c>
      <c r="D2093" s="468" t="s">
        <v>4525</v>
      </c>
      <c r="F2093" s="470">
        <v>1</v>
      </c>
      <c r="G2093" s="468">
        <v>296.73200000000003</v>
      </c>
      <c r="H2093" s="479">
        <v>296.73200000000003</v>
      </c>
      <c r="I2093" s="468" t="s">
        <v>9218</v>
      </c>
      <c r="J2093" s="468" t="s">
        <v>9219</v>
      </c>
      <c r="K2093" s="468" t="s">
        <v>9219</v>
      </c>
      <c r="L2093" s="468" t="s">
        <v>2354</v>
      </c>
    </row>
    <row r="2094" spans="1:12" x14ac:dyDescent="0.25">
      <c r="A2094" s="468" t="s">
        <v>220</v>
      </c>
      <c r="B2094" s="468" t="s">
        <v>2351</v>
      </c>
      <c r="C2094" s="468" t="s">
        <v>4538</v>
      </c>
      <c r="D2094" s="468" t="s">
        <v>4539</v>
      </c>
      <c r="F2094" s="470">
        <v>5</v>
      </c>
      <c r="G2094" s="468">
        <v>3.4620000000000002</v>
      </c>
      <c r="H2094" s="479">
        <v>17.310000000000002</v>
      </c>
      <c r="I2094" s="468" t="s">
        <v>9218</v>
      </c>
      <c r="J2094" s="468" t="s">
        <v>9219</v>
      </c>
      <c r="K2094" s="468" t="s">
        <v>9219</v>
      </c>
      <c r="L2094" s="468" t="s">
        <v>2354</v>
      </c>
    </row>
    <row r="2095" spans="1:12" x14ac:dyDescent="0.25">
      <c r="A2095" s="468" t="s">
        <v>220</v>
      </c>
      <c r="B2095" s="468" t="s">
        <v>2351</v>
      </c>
      <c r="C2095" s="468" t="s">
        <v>4540</v>
      </c>
      <c r="D2095" s="468" t="s">
        <v>4541</v>
      </c>
      <c r="F2095" s="470">
        <v>1</v>
      </c>
      <c r="G2095" s="468">
        <v>5.49</v>
      </c>
      <c r="H2095" s="479">
        <v>5.49</v>
      </c>
      <c r="I2095" s="468" t="s">
        <v>9218</v>
      </c>
      <c r="J2095" s="468" t="s">
        <v>9219</v>
      </c>
      <c r="K2095" s="468" t="s">
        <v>9219</v>
      </c>
      <c r="L2095" s="468" t="s">
        <v>2354</v>
      </c>
    </row>
    <row r="2096" spans="1:12" x14ac:dyDescent="0.25">
      <c r="A2096" s="468" t="s">
        <v>220</v>
      </c>
      <c r="B2096" s="468" t="s">
        <v>2351</v>
      </c>
      <c r="C2096" s="468" t="s">
        <v>4542</v>
      </c>
      <c r="D2096" s="468" t="s">
        <v>4543</v>
      </c>
      <c r="F2096" s="470">
        <v>8</v>
      </c>
      <c r="G2096" s="468">
        <v>23.315999999999999</v>
      </c>
      <c r="H2096" s="479">
        <v>186.52799999999999</v>
      </c>
      <c r="I2096" s="468" t="s">
        <v>9218</v>
      </c>
      <c r="J2096" s="468" t="s">
        <v>9219</v>
      </c>
      <c r="K2096" s="468" t="s">
        <v>9219</v>
      </c>
      <c r="L2096" s="468" t="s">
        <v>2354</v>
      </c>
    </row>
    <row r="2097" spans="1:12" x14ac:dyDescent="0.25">
      <c r="A2097" s="468" t="s">
        <v>220</v>
      </c>
      <c r="B2097" s="468" t="s">
        <v>2351</v>
      </c>
      <c r="C2097" s="468" t="s">
        <v>4544</v>
      </c>
      <c r="D2097" s="468" t="s">
        <v>4545</v>
      </c>
      <c r="F2097" s="470">
        <v>5</v>
      </c>
      <c r="G2097" s="468">
        <v>34.799999999999997</v>
      </c>
      <c r="H2097" s="479">
        <v>174</v>
      </c>
      <c r="I2097" s="468" t="s">
        <v>9218</v>
      </c>
      <c r="J2097" s="468" t="s">
        <v>9219</v>
      </c>
      <c r="K2097" s="468" t="s">
        <v>9219</v>
      </c>
      <c r="L2097" s="468" t="s">
        <v>2354</v>
      </c>
    </row>
    <row r="2098" spans="1:12" x14ac:dyDescent="0.25">
      <c r="A2098" s="468" t="s">
        <v>220</v>
      </c>
      <c r="B2098" s="468" t="s">
        <v>2351</v>
      </c>
      <c r="C2098" s="468" t="s">
        <v>4548</v>
      </c>
      <c r="D2098" s="468" t="s">
        <v>4549</v>
      </c>
      <c r="F2098" s="470">
        <v>19</v>
      </c>
      <c r="G2098" s="468">
        <v>1.26</v>
      </c>
      <c r="H2098" s="479">
        <v>23.94</v>
      </c>
      <c r="I2098" s="468" t="s">
        <v>9218</v>
      </c>
      <c r="J2098" s="468" t="s">
        <v>9219</v>
      </c>
      <c r="K2098" s="468" t="s">
        <v>9219</v>
      </c>
      <c r="L2098" s="468" t="s">
        <v>2354</v>
      </c>
    </row>
    <row r="2099" spans="1:12" x14ac:dyDescent="0.25">
      <c r="A2099" s="468" t="s">
        <v>220</v>
      </c>
      <c r="B2099" s="468" t="s">
        <v>2351</v>
      </c>
      <c r="C2099" s="468" t="s">
        <v>4552</v>
      </c>
      <c r="D2099" s="468" t="s">
        <v>4553</v>
      </c>
      <c r="F2099" s="470">
        <v>19</v>
      </c>
      <c r="G2099" s="468">
        <v>1.3939999999999999</v>
      </c>
      <c r="H2099" s="479">
        <v>26.485999999999997</v>
      </c>
      <c r="I2099" s="468" t="s">
        <v>9218</v>
      </c>
      <c r="J2099" s="468" t="s">
        <v>9219</v>
      </c>
      <c r="K2099" s="468" t="s">
        <v>9219</v>
      </c>
      <c r="L2099" s="468" t="s">
        <v>2354</v>
      </c>
    </row>
    <row r="2100" spans="1:12" x14ac:dyDescent="0.25">
      <c r="A2100" s="468" t="s">
        <v>220</v>
      </c>
      <c r="B2100" s="468" t="s">
        <v>2351</v>
      </c>
      <c r="C2100" s="468" t="s">
        <v>4568</v>
      </c>
      <c r="D2100" s="468" t="s">
        <v>4569</v>
      </c>
      <c r="F2100" s="470">
        <v>4</v>
      </c>
      <c r="G2100" s="468">
        <v>4.5599999999999996</v>
      </c>
      <c r="H2100" s="479">
        <v>18.239999999999998</v>
      </c>
      <c r="I2100" s="468" t="s">
        <v>9218</v>
      </c>
      <c r="J2100" s="468" t="s">
        <v>9219</v>
      </c>
      <c r="K2100" s="468" t="s">
        <v>9219</v>
      </c>
      <c r="L2100" s="468" t="s">
        <v>2354</v>
      </c>
    </row>
    <row r="2101" spans="1:12" x14ac:dyDescent="0.25">
      <c r="A2101" s="468" t="s">
        <v>220</v>
      </c>
      <c r="B2101" s="468" t="s">
        <v>2351</v>
      </c>
      <c r="C2101" s="468" t="s">
        <v>4588</v>
      </c>
      <c r="D2101" s="468" t="s">
        <v>4589</v>
      </c>
      <c r="F2101" s="470">
        <v>30</v>
      </c>
      <c r="G2101" s="468">
        <v>0.621</v>
      </c>
      <c r="H2101" s="479">
        <v>18.63</v>
      </c>
      <c r="I2101" s="468" t="s">
        <v>9218</v>
      </c>
      <c r="J2101" s="468" t="s">
        <v>9219</v>
      </c>
      <c r="K2101" s="468" t="s">
        <v>9219</v>
      </c>
      <c r="L2101" s="468" t="s">
        <v>2354</v>
      </c>
    </row>
    <row r="2102" spans="1:12" x14ac:dyDescent="0.25">
      <c r="A2102" s="468" t="s">
        <v>220</v>
      </c>
      <c r="B2102" s="468" t="s">
        <v>2351</v>
      </c>
      <c r="C2102" s="468" t="s">
        <v>4590</v>
      </c>
      <c r="D2102" s="468" t="s">
        <v>4591</v>
      </c>
      <c r="F2102" s="470">
        <v>43</v>
      </c>
      <c r="G2102" s="468">
        <v>0.72399999999999998</v>
      </c>
      <c r="H2102" s="479">
        <v>31.131999999999998</v>
      </c>
      <c r="I2102" s="468" t="s">
        <v>9218</v>
      </c>
      <c r="J2102" s="468" t="s">
        <v>9219</v>
      </c>
      <c r="K2102" s="468" t="s">
        <v>9219</v>
      </c>
      <c r="L2102" s="468" t="s">
        <v>2354</v>
      </c>
    </row>
    <row r="2103" spans="1:12" x14ac:dyDescent="0.25">
      <c r="A2103" s="468" t="s">
        <v>220</v>
      </c>
      <c r="B2103" s="468" t="s">
        <v>2351</v>
      </c>
      <c r="C2103" s="468" t="s">
        <v>4592</v>
      </c>
      <c r="D2103" s="468" t="s">
        <v>4593</v>
      </c>
      <c r="F2103" s="470">
        <v>63</v>
      </c>
      <c r="G2103" s="468">
        <v>0.68579999999999997</v>
      </c>
      <c r="H2103" s="479">
        <v>43.205399999999997</v>
      </c>
      <c r="I2103" s="468" t="s">
        <v>9218</v>
      </c>
      <c r="J2103" s="468" t="s">
        <v>9219</v>
      </c>
      <c r="K2103" s="468" t="s">
        <v>9219</v>
      </c>
      <c r="L2103" s="468" t="s">
        <v>2354</v>
      </c>
    </row>
    <row r="2104" spans="1:12" x14ac:dyDescent="0.25">
      <c r="A2104" s="468" t="s">
        <v>220</v>
      </c>
      <c r="B2104" s="468" t="s">
        <v>2351</v>
      </c>
      <c r="C2104" s="468" t="s">
        <v>4594</v>
      </c>
      <c r="D2104" s="468" t="s">
        <v>4595</v>
      </c>
      <c r="F2104" s="470">
        <v>4</v>
      </c>
      <c r="G2104" s="468">
        <v>34.478999999999999</v>
      </c>
      <c r="H2104" s="479">
        <v>137.916</v>
      </c>
      <c r="I2104" s="468" t="s">
        <v>9218</v>
      </c>
      <c r="J2104" s="468" t="s">
        <v>9219</v>
      </c>
      <c r="K2104" s="468" t="s">
        <v>9219</v>
      </c>
      <c r="L2104" s="468" t="s">
        <v>2354</v>
      </c>
    </row>
    <row r="2105" spans="1:12" x14ac:dyDescent="0.25">
      <c r="A2105" s="468" t="s">
        <v>220</v>
      </c>
      <c r="B2105" s="468" t="s">
        <v>2351</v>
      </c>
      <c r="C2105" s="468" t="s">
        <v>4596</v>
      </c>
      <c r="D2105" s="468" t="s">
        <v>4597</v>
      </c>
      <c r="F2105" s="470">
        <v>27</v>
      </c>
      <c r="G2105" s="468">
        <v>4.1710000000000003</v>
      </c>
      <c r="H2105" s="479">
        <v>112.617</v>
      </c>
      <c r="I2105" s="468" t="s">
        <v>9218</v>
      </c>
      <c r="J2105" s="468" t="s">
        <v>9219</v>
      </c>
      <c r="K2105" s="468" t="s">
        <v>9219</v>
      </c>
      <c r="L2105" s="468" t="s">
        <v>2354</v>
      </c>
    </row>
    <row r="2106" spans="1:12" x14ac:dyDescent="0.25">
      <c r="A2106" s="468" t="s">
        <v>220</v>
      </c>
      <c r="B2106" s="468" t="s">
        <v>2351</v>
      </c>
      <c r="C2106" s="468" t="s">
        <v>4598</v>
      </c>
      <c r="D2106" s="468" t="s">
        <v>4599</v>
      </c>
      <c r="F2106" s="470">
        <v>2</v>
      </c>
      <c r="G2106" s="468">
        <v>3.3580000000000001</v>
      </c>
      <c r="H2106" s="479">
        <v>6.7160000000000002</v>
      </c>
      <c r="I2106" s="468" t="s">
        <v>9218</v>
      </c>
      <c r="J2106" s="468" t="s">
        <v>9219</v>
      </c>
      <c r="K2106" s="468" t="s">
        <v>9219</v>
      </c>
      <c r="L2106" s="468" t="s">
        <v>2354</v>
      </c>
    </row>
    <row r="2107" spans="1:12" x14ac:dyDescent="0.25">
      <c r="A2107" s="468" t="s">
        <v>220</v>
      </c>
      <c r="B2107" s="468" t="s">
        <v>2351</v>
      </c>
      <c r="C2107" s="468" t="s">
        <v>4600</v>
      </c>
      <c r="D2107" s="468" t="s">
        <v>4601</v>
      </c>
      <c r="F2107" s="470">
        <v>1</v>
      </c>
      <c r="G2107" s="468">
        <v>58.65</v>
      </c>
      <c r="H2107" s="479">
        <v>58.65</v>
      </c>
      <c r="I2107" s="468" t="s">
        <v>9218</v>
      </c>
      <c r="J2107" s="468" t="s">
        <v>9219</v>
      </c>
      <c r="K2107" s="468" t="s">
        <v>9219</v>
      </c>
      <c r="L2107" s="468" t="s">
        <v>2354</v>
      </c>
    </row>
    <row r="2108" spans="1:12" x14ac:dyDescent="0.25">
      <c r="A2108" s="468" t="s">
        <v>220</v>
      </c>
      <c r="B2108" s="468" t="s">
        <v>2351</v>
      </c>
      <c r="C2108" s="468" t="s">
        <v>4602</v>
      </c>
      <c r="D2108" s="468" t="s">
        <v>4603</v>
      </c>
      <c r="F2108" s="470">
        <v>60</v>
      </c>
      <c r="G2108" s="468">
        <v>4.9809999999999999</v>
      </c>
      <c r="H2108" s="479">
        <v>298.86</v>
      </c>
      <c r="I2108" s="468" t="s">
        <v>9218</v>
      </c>
      <c r="J2108" s="468" t="s">
        <v>9219</v>
      </c>
      <c r="K2108" s="468" t="s">
        <v>9219</v>
      </c>
      <c r="L2108" s="468" t="s">
        <v>2354</v>
      </c>
    </row>
    <row r="2109" spans="1:12" x14ac:dyDescent="0.25">
      <c r="A2109" s="468" t="s">
        <v>220</v>
      </c>
      <c r="B2109" s="468" t="s">
        <v>2351</v>
      </c>
      <c r="C2109" s="468" t="s">
        <v>4604</v>
      </c>
      <c r="D2109" s="468" t="s">
        <v>4605</v>
      </c>
      <c r="F2109" s="470">
        <v>42</v>
      </c>
      <c r="G2109" s="468">
        <v>2.1</v>
      </c>
      <c r="H2109" s="479">
        <v>88.2</v>
      </c>
      <c r="I2109" s="468" t="s">
        <v>9218</v>
      </c>
      <c r="J2109" s="468" t="s">
        <v>9219</v>
      </c>
      <c r="K2109" s="468" t="s">
        <v>9219</v>
      </c>
      <c r="L2109" s="468" t="s">
        <v>2354</v>
      </c>
    </row>
    <row r="2110" spans="1:12" x14ac:dyDescent="0.25">
      <c r="A2110" s="468" t="s">
        <v>220</v>
      </c>
      <c r="B2110" s="468" t="s">
        <v>2351</v>
      </c>
      <c r="C2110" s="468" t="s">
        <v>4606</v>
      </c>
      <c r="D2110" s="468" t="s">
        <v>4607</v>
      </c>
      <c r="F2110" s="470">
        <v>33</v>
      </c>
      <c r="G2110" s="468">
        <v>7.444</v>
      </c>
      <c r="H2110" s="479">
        <v>245.65199999999999</v>
      </c>
      <c r="I2110" s="468" t="s">
        <v>9218</v>
      </c>
      <c r="J2110" s="468" t="s">
        <v>9219</v>
      </c>
      <c r="K2110" s="468" t="s">
        <v>9219</v>
      </c>
      <c r="L2110" s="468" t="s">
        <v>2354</v>
      </c>
    </row>
    <row r="2111" spans="1:12" x14ac:dyDescent="0.25">
      <c r="A2111" s="468" t="s">
        <v>220</v>
      </c>
      <c r="B2111" s="468" t="s">
        <v>2351</v>
      </c>
      <c r="C2111" s="468" t="s">
        <v>4608</v>
      </c>
      <c r="D2111" s="468" t="s">
        <v>4609</v>
      </c>
      <c r="F2111" s="470">
        <v>12</v>
      </c>
      <c r="G2111" s="468">
        <v>2.3239999999999998</v>
      </c>
      <c r="H2111" s="479">
        <v>27.887999999999998</v>
      </c>
      <c r="I2111" s="468" t="s">
        <v>9218</v>
      </c>
      <c r="J2111" s="468" t="s">
        <v>9219</v>
      </c>
      <c r="K2111" s="468" t="s">
        <v>9219</v>
      </c>
      <c r="L2111" s="468" t="s">
        <v>2354</v>
      </c>
    </row>
    <row r="2112" spans="1:12" x14ac:dyDescent="0.25">
      <c r="A2112" s="468" t="s">
        <v>220</v>
      </c>
      <c r="B2112" s="468" t="s">
        <v>2351</v>
      </c>
      <c r="C2112" s="468" t="s">
        <v>4610</v>
      </c>
      <c r="D2112" s="468" t="s">
        <v>4611</v>
      </c>
      <c r="F2112" s="470">
        <v>18</v>
      </c>
      <c r="G2112" s="468">
        <v>2.9224888888888887</v>
      </c>
      <c r="H2112" s="479">
        <v>52.604799999999997</v>
      </c>
      <c r="I2112" s="468" t="s">
        <v>9218</v>
      </c>
      <c r="J2112" s="468" t="s">
        <v>9219</v>
      </c>
      <c r="K2112" s="468" t="s">
        <v>9219</v>
      </c>
      <c r="L2112" s="468" t="s">
        <v>2354</v>
      </c>
    </row>
    <row r="2113" spans="1:12" x14ac:dyDescent="0.25">
      <c r="A2113" s="468" t="s">
        <v>220</v>
      </c>
      <c r="B2113" s="468" t="s">
        <v>2351</v>
      </c>
      <c r="C2113" s="468" t="s">
        <v>4612</v>
      </c>
      <c r="D2113" s="468" t="s">
        <v>4613</v>
      </c>
      <c r="F2113" s="470">
        <v>17</v>
      </c>
      <c r="G2113" s="468">
        <v>2.9186999999999999</v>
      </c>
      <c r="H2113" s="479">
        <v>49.617899999999999</v>
      </c>
      <c r="I2113" s="468" t="s">
        <v>9218</v>
      </c>
      <c r="J2113" s="468" t="s">
        <v>9219</v>
      </c>
      <c r="K2113" s="468" t="s">
        <v>9219</v>
      </c>
      <c r="L2113" s="468" t="s">
        <v>2354</v>
      </c>
    </row>
    <row r="2114" spans="1:12" x14ac:dyDescent="0.25">
      <c r="A2114" s="468" t="s">
        <v>220</v>
      </c>
      <c r="B2114" s="468" t="s">
        <v>2351</v>
      </c>
      <c r="C2114" s="468" t="s">
        <v>4614</v>
      </c>
      <c r="D2114" s="468" t="s">
        <v>4615</v>
      </c>
      <c r="F2114" s="470">
        <v>7</v>
      </c>
      <c r="G2114" s="468">
        <v>3.7570000000000001</v>
      </c>
      <c r="H2114" s="479">
        <v>26.298999999999999</v>
      </c>
      <c r="I2114" s="468" t="s">
        <v>9218</v>
      </c>
      <c r="J2114" s="468" t="s">
        <v>9219</v>
      </c>
      <c r="K2114" s="468" t="s">
        <v>9219</v>
      </c>
      <c r="L2114" s="468" t="s">
        <v>2354</v>
      </c>
    </row>
    <row r="2115" spans="1:12" x14ac:dyDescent="0.25">
      <c r="A2115" s="468" t="s">
        <v>220</v>
      </c>
      <c r="B2115" s="468" t="s">
        <v>2351</v>
      </c>
      <c r="C2115" s="468" t="s">
        <v>4616</v>
      </c>
      <c r="D2115" s="468" t="s">
        <v>4617</v>
      </c>
      <c r="F2115" s="470">
        <v>48</v>
      </c>
      <c r="G2115" s="468">
        <v>1.476</v>
      </c>
      <c r="H2115" s="479">
        <v>70.847999999999999</v>
      </c>
      <c r="I2115" s="468" t="s">
        <v>9218</v>
      </c>
      <c r="J2115" s="468" t="s">
        <v>9219</v>
      </c>
      <c r="K2115" s="468" t="s">
        <v>9219</v>
      </c>
      <c r="L2115" s="468" t="s">
        <v>2354</v>
      </c>
    </row>
    <row r="2116" spans="1:12" x14ac:dyDescent="0.25">
      <c r="A2116" s="468" t="s">
        <v>220</v>
      </c>
      <c r="B2116" s="468" t="s">
        <v>2351</v>
      </c>
      <c r="C2116" s="468" t="s">
        <v>5378</v>
      </c>
      <c r="D2116" s="468" t="s">
        <v>5379</v>
      </c>
      <c r="F2116" s="470">
        <v>32</v>
      </c>
      <c r="G2116" s="468">
        <v>1.6559999999999999</v>
      </c>
      <c r="H2116" s="479">
        <v>52.991999999999997</v>
      </c>
      <c r="I2116" s="468" t="s">
        <v>9218</v>
      </c>
      <c r="J2116" s="468" t="s">
        <v>9219</v>
      </c>
      <c r="K2116" s="468" t="s">
        <v>9219</v>
      </c>
      <c r="L2116" s="468" t="s">
        <v>2354</v>
      </c>
    </row>
    <row r="2117" spans="1:12" x14ac:dyDescent="0.25">
      <c r="A2117" s="468" t="s">
        <v>220</v>
      </c>
      <c r="B2117" s="468" t="s">
        <v>2351</v>
      </c>
      <c r="C2117" s="468" t="s">
        <v>4618</v>
      </c>
      <c r="D2117" s="468" t="s">
        <v>4619</v>
      </c>
      <c r="F2117" s="470">
        <v>4</v>
      </c>
      <c r="G2117" s="468">
        <v>22.452000000000002</v>
      </c>
      <c r="H2117" s="479">
        <v>89.808000000000007</v>
      </c>
      <c r="I2117" s="468" t="s">
        <v>9218</v>
      </c>
      <c r="J2117" s="468" t="s">
        <v>9219</v>
      </c>
      <c r="K2117" s="468" t="s">
        <v>9219</v>
      </c>
      <c r="L2117" s="468" t="s">
        <v>2354</v>
      </c>
    </row>
    <row r="2118" spans="1:12" x14ac:dyDescent="0.25">
      <c r="A2118" s="468" t="s">
        <v>220</v>
      </c>
      <c r="B2118" s="468" t="s">
        <v>2351</v>
      </c>
      <c r="C2118" s="468" t="s">
        <v>4620</v>
      </c>
      <c r="D2118" s="468" t="s">
        <v>4621</v>
      </c>
      <c r="F2118" s="470">
        <v>95</v>
      </c>
      <c r="G2118" s="468">
        <v>0.39600000000000002</v>
      </c>
      <c r="H2118" s="479">
        <v>37.620000000000005</v>
      </c>
      <c r="I2118" s="468" t="s">
        <v>9218</v>
      </c>
      <c r="J2118" s="468" t="s">
        <v>9219</v>
      </c>
      <c r="K2118" s="468" t="s">
        <v>9219</v>
      </c>
      <c r="L2118" s="468" t="s">
        <v>2354</v>
      </c>
    </row>
    <row r="2119" spans="1:12" x14ac:dyDescent="0.25">
      <c r="A2119" s="468" t="s">
        <v>220</v>
      </c>
      <c r="B2119" s="468" t="s">
        <v>2351</v>
      </c>
      <c r="C2119" s="468" t="s">
        <v>4622</v>
      </c>
      <c r="D2119" s="468" t="s">
        <v>4623</v>
      </c>
      <c r="F2119" s="470">
        <v>13</v>
      </c>
      <c r="G2119" s="468">
        <v>2.3290000000000002</v>
      </c>
      <c r="H2119" s="479">
        <v>30.277000000000001</v>
      </c>
      <c r="I2119" s="468" t="s">
        <v>9218</v>
      </c>
      <c r="J2119" s="468" t="s">
        <v>9219</v>
      </c>
      <c r="K2119" s="468" t="s">
        <v>9219</v>
      </c>
      <c r="L2119" s="468" t="s">
        <v>2354</v>
      </c>
    </row>
    <row r="2120" spans="1:12" x14ac:dyDescent="0.25">
      <c r="A2120" s="468" t="s">
        <v>220</v>
      </c>
      <c r="B2120" s="468" t="s">
        <v>2351</v>
      </c>
      <c r="C2120" s="468" t="s">
        <v>4636</v>
      </c>
      <c r="D2120" s="468" t="s">
        <v>4637</v>
      </c>
      <c r="F2120" s="470">
        <v>20</v>
      </c>
      <c r="G2120" s="468">
        <v>0.182</v>
      </c>
      <c r="H2120" s="479">
        <v>3.6399999999999997</v>
      </c>
      <c r="I2120" s="468" t="s">
        <v>9218</v>
      </c>
      <c r="J2120" s="468" t="s">
        <v>9219</v>
      </c>
      <c r="K2120" s="468" t="s">
        <v>9219</v>
      </c>
      <c r="L2120" s="468" t="s">
        <v>2354</v>
      </c>
    </row>
    <row r="2121" spans="1:12" x14ac:dyDescent="0.25">
      <c r="A2121" s="468" t="s">
        <v>220</v>
      </c>
      <c r="B2121" s="468" t="s">
        <v>2351</v>
      </c>
      <c r="C2121" s="468" t="s">
        <v>4640</v>
      </c>
      <c r="D2121" s="468" t="s">
        <v>4641</v>
      </c>
      <c r="F2121" s="470">
        <v>13</v>
      </c>
      <c r="G2121" s="468">
        <v>0.86299999999999999</v>
      </c>
      <c r="H2121" s="479">
        <v>11.218999999999999</v>
      </c>
      <c r="I2121" s="468" t="s">
        <v>9218</v>
      </c>
      <c r="J2121" s="468" t="s">
        <v>9219</v>
      </c>
      <c r="K2121" s="468" t="s">
        <v>9219</v>
      </c>
      <c r="L2121" s="468" t="s">
        <v>2354</v>
      </c>
    </row>
    <row r="2122" spans="1:12" x14ac:dyDescent="0.25">
      <c r="A2122" s="468" t="s">
        <v>220</v>
      </c>
      <c r="B2122" s="468" t="s">
        <v>2351</v>
      </c>
      <c r="C2122" s="468" t="s">
        <v>4642</v>
      </c>
      <c r="D2122" s="468" t="s">
        <v>4643</v>
      </c>
      <c r="F2122" s="470">
        <v>129</v>
      </c>
      <c r="G2122" s="468">
        <v>0.28000000000000003</v>
      </c>
      <c r="H2122" s="479">
        <v>36.120000000000005</v>
      </c>
      <c r="I2122" s="468" t="s">
        <v>9218</v>
      </c>
      <c r="J2122" s="468" t="s">
        <v>9219</v>
      </c>
      <c r="K2122" s="468" t="s">
        <v>9219</v>
      </c>
      <c r="L2122" s="468" t="s">
        <v>2354</v>
      </c>
    </row>
    <row r="2123" spans="1:12" x14ac:dyDescent="0.25">
      <c r="A2123" s="468" t="s">
        <v>220</v>
      </c>
      <c r="B2123" s="468" t="s">
        <v>2351</v>
      </c>
      <c r="C2123" s="468" t="s">
        <v>4644</v>
      </c>
      <c r="D2123" s="468" t="s">
        <v>4645</v>
      </c>
      <c r="F2123" s="470">
        <v>22</v>
      </c>
      <c r="G2123" s="468">
        <v>0.56599999999999995</v>
      </c>
      <c r="H2123" s="479">
        <v>12.451999999999998</v>
      </c>
      <c r="I2123" s="468" t="s">
        <v>9218</v>
      </c>
      <c r="J2123" s="468" t="s">
        <v>9219</v>
      </c>
      <c r="K2123" s="468" t="s">
        <v>9219</v>
      </c>
      <c r="L2123" s="468" t="s">
        <v>2354</v>
      </c>
    </row>
    <row r="2124" spans="1:12" x14ac:dyDescent="0.25">
      <c r="A2124" s="468" t="s">
        <v>220</v>
      </c>
      <c r="B2124" s="468" t="s">
        <v>2351</v>
      </c>
      <c r="C2124" s="468" t="s">
        <v>4646</v>
      </c>
      <c r="D2124" s="468" t="s">
        <v>4647</v>
      </c>
      <c r="F2124" s="470">
        <v>316</v>
      </c>
      <c r="G2124" s="468">
        <v>0.16726573619631901</v>
      </c>
      <c r="H2124" s="479">
        <v>52.85597263803681</v>
      </c>
      <c r="I2124" s="468" t="s">
        <v>9218</v>
      </c>
      <c r="J2124" s="468" t="s">
        <v>9219</v>
      </c>
      <c r="K2124" s="468" t="s">
        <v>9219</v>
      </c>
      <c r="L2124" s="468" t="s">
        <v>2354</v>
      </c>
    </row>
    <row r="2125" spans="1:12" x14ac:dyDescent="0.25">
      <c r="A2125" s="468" t="s">
        <v>220</v>
      </c>
      <c r="B2125" s="468" t="s">
        <v>2351</v>
      </c>
      <c r="C2125" s="468" t="s">
        <v>4648</v>
      </c>
      <c r="D2125" s="468" t="s">
        <v>4649</v>
      </c>
      <c r="F2125" s="470">
        <v>174</v>
      </c>
      <c r="G2125" s="468">
        <v>0.22</v>
      </c>
      <c r="H2125" s="479">
        <v>38.28</v>
      </c>
      <c r="I2125" s="468" t="s">
        <v>9218</v>
      </c>
      <c r="J2125" s="468" t="s">
        <v>9219</v>
      </c>
      <c r="K2125" s="468" t="s">
        <v>9219</v>
      </c>
      <c r="L2125" s="468" t="s">
        <v>2354</v>
      </c>
    </row>
    <row r="2126" spans="1:12" x14ac:dyDescent="0.25">
      <c r="A2126" s="468" t="s">
        <v>220</v>
      </c>
      <c r="B2126" s="468" t="s">
        <v>2351</v>
      </c>
      <c r="C2126" s="468" t="s">
        <v>4650</v>
      </c>
      <c r="D2126" s="468" t="s">
        <v>4651</v>
      </c>
      <c r="F2126" s="470">
        <v>95</v>
      </c>
      <c r="G2126" s="468">
        <v>0.32200000000000001</v>
      </c>
      <c r="H2126" s="479">
        <v>30.59</v>
      </c>
      <c r="I2126" s="468" t="s">
        <v>9218</v>
      </c>
      <c r="J2126" s="468" t="s">
        <v>9219</v>
      </c>
      <c r="K2126" s="468" t="s">
        <v>9219</v>
      </c>
      <c r="L2126" s="468" t="s">
        <v>2354</v>
      </c>
    </row>
    <row r="2127" spans="1:12" x14ac:dyDescent="0.25">
      <c r="A2127" s="468" t="s">
        <v>220</v>
      </c>
      <c r="B2127" s="468" t="s">
        <v>2351</v>
      </c>
      <c r="C2127" s="468" t="s">
        <v>4652</v>
      </c>
      <c r="D2127" s="468" t="s">
        <v>4653</v>
      </c>
      <c r="F2127" s="470">
        <v>15</v>
      </c>
      <c r="G2127" s="468">
        <v>1.8105</v>
      </c>
      <c r="H2127" s="479">
        <v>27.157499999999999</v>
      </c>
      <c r="I2127" s="468" t="s">
        <v>9218</v>
      </c>
      <c r="J2127" s="468" t="s">
        <v>9219</v>
      </c>
      <c r="K2127" s="468" t="s">
        <v>9219</v>
      </c>
      <c r="L2127" s="468" t="s">
        <v>2354</v>
      </c>
    </row>
    <row r="2128" spans="1:12" x14ac:dyDescent="0.25">
      <c r="A2128" s="468" t="s">
        <v>220</v>
      </c>
      <c r="B2128" s="468" t="s">
        <v>2351</v>
      </c>
      <c r="C2128" s="468" t="s">
        <v>4656</v>
      </c>
      <c r="D2128" s="468" t="s">
        <v>4657</v>
      </c>
      <c r="F2128" s="470">
        <v>302</v>
      </c>
      <c r="G2128" s="468">
        <v>0.19486187845303865</v>
      </c>
      <c r="H2128" s="479">
        <v>58.848287292817673</v>
      </c>
      <c r="I2128" s="468" t="s">
        <v>9218</v>
      </c>
      <c r="J2128" s="468" t="s">
        <v>9219</v>
      </c>
      <c r="K2128" s="468" t="s">
        <v>9219</v>
      </c>
      <c r="L2128" s="468" t="s">
        <v>2354</v>
      </c>
    </row>
    <row r="2129" spans="1:12" x14ac:dyDescent="0.25">
      <c r="A2129" s="468" t="s">
        <v>220</v>
      </c>
      <c r="B2129" s="468" t="s">
        <v>2351</v>
      </c>
      <c r="C2129" s="468" t="s">
        <v>4658</v>
      </c>
      <c r="D2129" s="468" t="s">
        <v>4659</v>
      </c>
      <c r="F2129" s="470">
        <v>318</v>
      </c>
      <c r="G2129" s="468">
        <v>0.46800000000000003</v>
      </c>
      <c r="H2129" s="479">
        <v>148.82400000000001</v>
      </c>
      <c r="I2129" s="468" t="s">
        <v>9218</v>
      </c>
      <c r="J2129" s="468" t="s">
        <v>9219</v>
      </c>
      <c r="K2129" s="468" t="s">
        <v>9219</v>
      </c>
      <c r="L2129" s="468" t="s">
        <v>2354</v>
      </c>
    </row>
    <row r="2130" spans="1:12" x14ac:dyDescent="0.25">
      <c r="A2130" s="468" t="s">
        <v>220</v>
      </c>
      <c r="B2130" s="468" t="s">
        <v>2351</v>
      </c>
      <c r="C2130" s="468" t="s">
        <v>4660</v>
      </c>
      <c r="D2130" s="468" t="s">
        <v>4661</v>
      </c>
      <c r="F2130" s="470">
        <v>558</v>
      </c>
      <c r="G2130" s="468">
        <v>9.35E-2</v>
      </c>
      <c r="H2130" s="479">
        <v>52.173000000000002</v>
      </c>
      <c r="I2130" s="468" t="s">
        <v>9218</v>
      </c>
      <c r="J2130" s="468" t="s">
        <v>9219</v>
      </c>
      <c r="K2130" s="468" t="s">
        <v>9219</v>
      </c>
      <c r="L2130" s="468" t="s">
        <v>2354</v>
      </c>
    </row>
    <row r="2131" spans="1:12" x14ac:dyDescent="0.25">
      <c r="A2131" s="468" t="s">
        <v>220</v>
      </c>
      <c r="B2131" s="468" t="s">
        <v>2351</v>
      </c>
      <c r="C2131" s="468" t="s">
        <v>4662</v>
      </c>
      <c r="D2131" s="468" t="s">
        <v>4663</v>
      </c>
      <c r="F2131" s="470">
        <v>532</v>
      </c>
      <c r="G2131" s="468">
        <v>0.20599999999999999</v>
      </c>
      <c r="H2131" s="479">
        <v>109.592</v>
      </c>
      <c r="I2131" s="468" t="s">
        <v>9218</v>
      </c>
      <c r="J2131" s="468" t="s">
        <v>9219</v>
      </c>
      <c r="K2131" s="468" t="s">
        <v>9219</v>
      </c>
      <c r="L2131" s="468" t="s">
        <v>2354</v>
      </c>
    </row>
    <row r="2132" spans="1:12" x14ac:dyDescent="0.25">
      <c r="A2132" s="468" t="s">
        <v>220</v>
      </c>
      <c r="B2132" s="468" t="s">
        <v>2351</v>
      </c>
      <c r="C2132" s="468" t="s">
        <v>4664</v>
      </c>
      <c r="D2132" s="468" t="s">
        <v>4665</v>
      </c>
      <c r="F2132" s="470">
        <v>230</v>
      </c>
      <c r="G2132" s="468">
        <v>0.33200000000000002</v>
      </c>
      <c r="H2132" s="479">
        <v>76.36</v>
      </c>
      <c r="I2132" s="468" t="s">
        <v>9218</v>
      </c>
      <c r="J2132" s="468" t="s">
        <v>9219</v>
      </c>
      <c r="K2132" s="468" t="s">
        <v>9219</v>
      </c>
      <c r="L2132" s="468" t="s">
        <v>2354</v>
      </c>
    </row>
    <row r="2133" spans="1:12" x14ac:dyDescent="0.25">
      <c r="A2133" s="468" t="s">
        <v>220</v>
      </c>
      <c r="B2133" s="468" t="s">
        <v>2351</v>
      </c>
      <c r="C2133" s="468" t="s">
        <v>4666</v>
      </c>
      <c r="D2133" s="468" t="s">
        <v>4667</v>
      </c>
      <c r="F2133" s="470">
        <v>49</v>
      </c>
      <c r="G2133" s="468">
        <v>0.26900000000000002</v>
      </c>
      <c r="H2133" s="479">
        <v>13.181000000000001</v>
      </c>
      <c r="I2133" s="468" t="s">
        <v>9218</v>
      </c>
      <c r="J2133" s="468" t="s">
        <v>9219</v>
      </c>
      <c r="K2133" s="468" t="s">
        <v>9219</v>
      </c>
      <c r="L2133" s="468" t="s">
        <v>2354</v>
      </c>
    </row>
    <row r="2134" spans="1:12" x14ac:dyDescent="0.25">
      <c r="A2134" s="468" t="s">
        <v>220</v>
      </c>
      <c r="B2134" s="468" t="s">
        <v>2351</v>
      </c>
      <c r="C2134" s="468" t="s">
        <v>4668</v>
      </c>
      <c r="D2134" s="468" t="s">
        <v>4669</v>
      </c>
      <c r="F2134" s="470">
        <v>100</v>
      </c>
      <c r="G2134" s="468">
        <v>1.45</v>
      </c>
      <c r="H2134" s="479">
        <v>145</v>
      </c>
      <c r="I2134" s="468" t="s">
        <v>9218</v>
      </c>
      <c r="J2134" s="468" t="s">
        <v>9219</v>
      </c>
      <c r="K2134" s="468" t="s">
        <v>9219</v>
      </c>
      <c r="L2134" s="468" t="s">
        <v>2354</v>
      </c>
    </row>
    <row r="2135" spans="1:12" x14ac:dyDescent="0.25">
      <c r="A2135" s="468" t="s">
        <v>220</v>
      </c>
      <c r="B2135" s="468" t="s">
        <v>2351</v>
      </c>
      <c r="C2135" s="468" t="s">
        <v>4670</v>
      </c>
      <c r="D2135" s="468" t="s">
        <v>4671</v>
      </c>
      <c r="F2135" s="470">
        <v>208</v>
      </c>
      <c r="G2135" s="468">
        <v>0.48299999999999998</v>
      </c>
      <c r="H2135" s="479">
        <v>100.464</v>
      </c>
      <c r="I2135" s="468" t="s">
        <v>9218</v>
      </c>
      <c r="J2135" s="468" t="s">
        <v>9219</v>
      </c>
      <c r="K2135" s="468" t="s">
        <v>9219</v>
      </c>
      <c r="L2135" s="468" t="s">
        <v>2354</v>
      </c>
    </row>
    <row r="2136" spans="1:12" x14ac:dyDescent="0.25">
      <c r="A2136" s="468" t="s">
        <v>220</v>
      </c>
      <c r="B2136" s="468" t="s">
        <v>2351</v>
      </c>
      <c r="C2136" s="468" t="s">
        <v>4672</v>
      </c>
      <c r="D2136" s="468" t="s">
        <v>4673</v>
      </c>
      <c r="F2136" s="470">
        <v>45</v>
      </c>
      <c r="G2136" s="468">
        <v>1.1259999999999999</v>
      </c>
      <c r="H2136" s="479">
        <v>50.669999999999995</v>
      </c>
      <c r="I2136" s="468" t="s">
        <v>9218</v>
      </c>
      <c r="J2136" s="468" t="s">
        <v>9219</v>
      </c>
      <c r="K2136" s="468" t="s">
        <v>9219</v>
      </c>
      <c r="L2136" s="468" t="s">
        <v>2354</v>
      </c>
    </row>
    <row r="2137" spans="1:12" x14ac:dyDescent="0.25">
      <c r="A2137" s="468" t="s">
        <v>220</v>
      </c>
      <c r="B2137" s="468" t="s">
        <v>2351</v>
      </c>
      <c r="C2137" s="468" t="s">
        <v>4674</v>
      </c>
      <c r="D2137" s="468" t="s">
        <v>4675</v>
      </c>
      <c r="F2137" s="470">
        <v>89</v>
      </c>
      <c r="G2137" s="468">
        <v>1.3779999999999999</v>
      </c>
      <c r="H2137" s="479">
        <v>122.642</v>
      </c>
      <c r="I2137" s="468" t="s">
        <v>9218</v>
      </c>
      <c r="J2137" s="468" t="s">
        <v>9219</v>
      </c>
      <c r="K2137" s="468" t="s">
        <v>9219</v>
      </c>
      <c r="L2137" s="468" t="s">
        <v>2354</v>
      </c>
    </row>
    <row r="2138" spans="1:12" x14ac:dyDescent="0.25">
      <c r="A2138" s="468" t="s">
        <v>220</v>
      </c>
      <c r="B2138" s="468" t="s">
        <v>2351</v>
      </c>
      <c r="C2138" s="468" t="s">
        <v>4676</v>
      </c>
      <c r="D2138" s="468" t="s">
        <v>4677</v>
      </c>
      <c r="F2138" s="470">
        <v>15</v>
      </c>
      <c r="G2138" s="468">
        <v>1.2330000000000001</v>
      </c>
      <c r="H2138" s="479">
        <v>18.495000000000001</v>
      </c>
      <c r="I2138" s="468" t="s">
        <v>9218</v>
      </c>
      <c r="J2138" s="468" t="s">
        <v>9219</v>
      </c>
      <c r="K2138" s="468" t="s">
        <v>9219</v>
      </c>
      <c r="L2138" s="468" t="s">
        <v>2354</v>
      </c>
    </row>
    <row r="2139" spans="1:12" x14ac:dyDescent="0.25">
      <c r="A2139" s="468" t="s">
        <v>220</v>
      </c>
      <c r="B2139" s="468" t="s">
        <v>2351</v>
      </c>
      <c r="C2139" s="468" t="s">
        <v>4678</v>
      </c>
      <c r="D2139" s="468" t="s">
        <v>4679</v>
      </c>
      <c r="F2139" s="470">
        <v>250</v>
      </c>
      <c r="G2139" s="468">
        <v>1.216</v>
      </c>
      <c r="H2139" s="479">
        <v>304</v>
      </c>
      <c r="I2139" s="468" t="s">
        <v>9218</v>
      </c>
      <c r="J2139" s="468" t="s">
        <v>9219</v>
      </c>
      <c r="K2139" s="468" t="s">
        <v>9219</v>
      </c>
      <c r="L2139" s="468" t="s">
        <v>2354</v>
      </c>
    </row>
    <row r="2140" spans="1:12" x14ac:dyDescent="0.25">
      <c r="A2140" s="468" t="s">
        <v>220</v>
      </c>
      <c r="B2140" s="468" t="s">
        <v>2351</v>
      </c>
      <c r="C2140" s="468" t="s">
        <v>4680</v>
      </c>
      <c r="D2140" s="468" t="s">
        <v>4681</v>
      </c>
      <c r="F2140" s="470">
        <v>41</v>
      </c>
      <c r="G2140" s="468">
        <v>0.47599999999999998</v>
      </c>
      <c r="H2140" s="479">
        <v>19.515999999999998</v>
      </c>
      <c r="I2140" s="468" t="s">
        <v>9218</v>
      </c>
      <c r="J2140" s="468" t="s">
        <v>9219</v>
      </c>
      <c r="K2140" s="468" t="s">
        <v>9219</v>
      </c>
      <c r="L2140" s="468" t="s">
        <v>2354</v>
      </c>
    </row>
    <row r="2141" spans="1:12" x14ac:dyDescent="0.25">
      <c r="A2141" s="468" t="s">
        <v>220</v>
      </c>
      <c r="B2141" s="468" t="s">
        <v>2351</v>
      </c>
      <c r="C2141" s="468" t="s">
        <v>4682</v>
      </c>
      <c r="D2141" s="468" t="s">
        <v>4683</v>
      </c>
      <c r="F2141" s="470">
        <v>15</v>
      </c>
      <c r="G2141" s="468">
        <v>0.879</v>
      </c>
      <c r="H2141" s="479">
        <v>13.185</v>
      </c>
      <c r="I2141" s="468" t="s">
        <v>9218</v>
      </c>
      <c r="J2141" s="468" t="s">
        <v>9219</v>
      </c>
      <c r="K2141" s="468" t="s">
        <v>9219</v>
      </c>
      <c r="L2141" s="468" t="s">
        <v>2354</v>
      </c>
    </row>
    <row r="2142" spans="1:12" x14ac:dyDescent="0.25">
      <c r="A2142" s="468" t="s">
        <v>220</v>
      </c>
      <c r="B2142" s="468" t="s">
        <v>2351</v>
      </c>
      <c r="C2142" s="468" t="s">
        <v>4684</v>
      </c>
      <c r="D2142" s="468" t="s">
        <v>4685</v>
      </c>
      <c r="F2142" s="470">
        <v>8.25</v>
      </c>
      <c r="G2142" s="468">
        <v>11.692</v>
      </c>
      <c r="H2142" s="479">
        <v>96.459000000000003</v>
      </c>
      <c r="I2142" s="468" t="s">
        <v>9218</v>
      </c>
      <c r="J2142" s="468" t="s">
        <v>9219</v>
      </c>
      <c r="K2142" s="468" t="s">
        <v>9219</v>
      </c>
      <c r="L2142" s="468" t="s">
        <v>2354</v>
      </c>
    </row>
    <row r="2143" spans="1:12" x14ac:dyDescent="0.25">
      <c r="A2143" s="468" t="s">
        <v>220</v>
      </c>
      <c r="B2143" s="468" t="s">
        <v>2351</v>
      </c>
      <c r="C2143" s="468" t="s">
        <v>4686</v>
      </c>
      <c r="D2143" s="468" t="s">
        <v>4687</v>
      </c>
      <c r="F2143" s="470">
        <v>144</v>
      </c>
      <c r="G2143" s="468">
        <v>0.33638000000000001</v>
      </c>
      <c r="H2143" s="479">
        <v>48.438720000000004</v>
      </c>
      <c r="I2143" s="468" t="s">
        <v>9218</v>
      </c>
      <c r="J2143" s="468" t="s">
        <v>9219</v>
      </c>
      <c r="K2143" s="468" t="s">
        <v>9219</v>
      </c>
      <c r="L2143" s="468" t="s">
        <v>2354</v>
      </c>
    </row>
    <row r="2144" spans="1:12" x14ac:dyDescent="0.25">
      <c r="A2144" s="468" t="s">
        <v>220</v>
      </c>
      <c r="B2144" s="468" t="s">
        <v>2351</v>
      </c>
      <c r="C2144" s="468" t="s">
        <v>4688</v>
      </c>
      <c r="D2144" s="468" t="s">
        <v>4689</v>
      </c>
      <c r="F2144" s="470">
        <v>78</v>
      </c>
      <c r="G2144" s="468">
        <v>0.84150000000000003</v>
      </c>
      <c r="H2144" s="479">
        <v>65.637</v>
      </c>
      <c r="I2144" s="468" t="s">
        <v>9218</v>
      </c>
      <c r="J2144" s="468" t="s">
        <v>9219</v>
      </c>
      <c r="K2144" s="468" t="s">
        <v>9219</v>
      </c>
      <c r="L2144" s="468" t="s">
        <v>2354</v>
      </c>
    </row>
    <row r="2145" spans="1:12" x14ac:dyDescent="0.25">
      <c r="A2145" s="468" t="s">
        <v>220</v>
      </c>
      <c r="B2145" s="468" t="s">
        <v>2351</v>
      </c>
      <c r="C2145" s="468" t="s">
        <v>4690</v>
      </c>
      <c r="D2145" s="468" t="s">
        <v>4691</v>
      </c>
      <c r="F2145" s="470">
        <v>25</v>
      </c>
      <c r="G2145" s="468">
        <v>0.78700000000000003</v>
      </c>
      <c r="H2145" s="479">
        <v>19.675000000000001</v>
      </c>
      <c r="I2145" s="468" t="s">
        <v>9218</v>
      </c>
      <c r="J2145" s="468" t="s">
        <v>9219</v>
      </c>
      <c r="K2145" s="468" t="s">
        <v>9219</v>
      </c>
      <c r="L2145" s="468" t="s">
        <v>2354</v>
      </c>
    </row>
    <row r="2146" spans="1:12" x14ac:dyDescent="0.25">
      <c r="A2146" s="468" t="s">
        <v>220</v>
      </c>
      <c r="B2146" s="468" t="s">
        <v>2351</v>
      </c>
      <c r="C2146" s="468" t="s">
        <v>4692</v>
      </c>
      <c r="D2146" s="468" t="s">
        <v>4693</v>
      </c>
      <c r="F2146" s="470">
        <v>25</v>
      </c>
      <c r="G2146" s="468">
        <v>0.2465</v>
      </c>
      <c r="H2146" s="479">
        <v>6.1624999999999996</v>
      </c>
      <c r="I2146" s="468" t="s">
        <v>9218</v>
      </c>
      <c r="J2146" s="468" t="s">
        <v>9219</v>
      </c>
      <c r="K2146" s="468" t="s">
        <v>9219</v>
      </c>
      <c r="L2146" s="468" t="s">
        <v>2354</v>
      </c>
    </row>
    <row r="2147" spans="1:12" x14ac:dyDescent="0.25">
      <c r="A2147" s="468" t="s">
        <v>220</v>
      </c>
      <c r="B2147" s="468" t="s">
        <v>2351</v>
      </c>
      <c r="C2147" s="468" t="s">
        <v>4694</v>
      </c>
      <c r="D2147" s="468" t="s">
        <v>4695</v>
      </c>
      <c r="F2147" s="470">
        <v>5</v>
      </c>
      <c r="G2147" s="468">
        <v>3.4</v>
      </c>
      <c r="H2147" s="479">
        <v>17</v>
      </c>
      <c r="I2147" s="468" t="s">
        <v>9218</v>
      </c>
      <c r="J2147" s="468" t="s">
        <v>9219</v>
      </c>
      <c r="K2147" s="468" t="s">
        <v>9219</v>
      </c>
      <c r="L2147" s="468" t="s">
        <v>2354</v>
      </c>
    </row>
    <row r="2148" spans="1:12" x14ac:dyDescent="0.25">
      <c r="A2148" s="468" t="s">
        <v>220</v>
      </c>
      <c r="B2148" s="468" t="s">
        <v>2351</v>
      </c>
      <c r="C2148" s="468" t="s">
        <v>4696</v>
      </c>
      <c r="D2148" s="468" t="s">
        <v>4697</v>
      </c>
      <c r="F2148" s="470">
        <v>136</v>
      </c>
      <c r="G2148" s="468">
        <v>1.014</v>
      </c>
      <c r="H2148" s="479">
        <v>137.904</v>
      </c>
      <c r="I2148" s="468" t="s">
        <v>9218</v>
      </c>
      <c r="J2148" s="468" t="s">
        <v>9219</v>
      </c>
      <c r="K2148" s="468" t="s">
        <v>9219</v>
      </c>
      <c r="L2148" s="468" t="s">
        <v>2354</v>
      </c>
    </row>
    <row r="2149" spans="1:12" x14ac:dyDescent="0.25">
      <c r="A2149" s="468" t="s">
        <v>220</v>
      </c>
      <c r="B2149" s="468" t="s">
        <v>2351</v>
      </c>
      <c r="C2149" s="468" t="s">
        <v>4698</v>
      </c>
      <c r="D2149" s="468" t="s">
        <v>4699</v>
      </c>
      <c r="F2149" s="470">
        <v>134</v>
      </c>
      <c r="G2149" s="468">
        <v>0.83299999999999996</v>
      </c>
      <c r="H2149" s="479">
        <v>111.622</v>
      </c>
      <c r="I2149" s="468" t="s">
        <v>9218</v>
      </c>
      <c r="J2149" s="468" t="s">
        <v>9219</v>
      </c>
      <c r="K2149" s="468" t="s">
        <v>9219</v>
      </c>
      <c r="L2149" s="468" t="s">
        <v>2354</v>
      </c>
    </row>
    <row r="2150" spans="1:12" x14ac:dyDescent="0.25">
      <c r="A2150" s="468" t="s">
        <v>220</v>
      </c>
      <c r="B2150" s="468" t="s">
        <v>2351</v>
      </c>
      <c r="C2150" s="468" t="s">
        <v>4700</v>
      </c>
      <c r="D2150" s="468" t="s">
        <v>4701</v>
      </c>
      <c r="F2150" s="470">
        <v>133</v>
      </c>
      <c r="G2150" s="468">
        <v>2.5437308868501526E-2</v>
      </c>
      <c r="H2150" s="479">
        <v>3.3831620795107029</v>
      </c>
      <c r="I2150" s="468" t="s">
        <v>9218</v>
      </c>
      <c r="J2150" s="468" t="s">
        <v>9219</v>
      </c>
      <c r="K2150" s="468" t="s">
        <v>9219</v>
      </c>
      <c r="L2150" s="468" t="s">
        <v>2354</v>
      </c>
    </row>
    <row r="2151" spans="1:12" x14ac:dyDescent="0.25">
      <c r="A2151" s="468" t="s">
        <v>220</v>
      </c>
      <c r="B2151" s="468" t="s">
        <v>2351</v>
      </c>
      <c r="C2151" s="468" t="s">
        <v>4702</v>
      </c>
      <c r="D2151" s="468" t="s">
        <v>4703</v>
      </c>
      <c r="F2151" s="470">
        <v>190</v>
      </c>
      <c r="G2151" s="468">
        <v>0.11600000000000001</v>
      </c>
      <c r="H2151" s="479">
        <v>22.040000000000003</v>
      </c>
      <c r="I2151" s="468" t="s">
        <v>9218</v>
      </c>
      <c r="J2151" s="468" t="s">
        <v>9219</v>
      </c>
      <c r="K2151" s="468" t="s">
        <v>9219</v>
      </c>
      <c r="L2151" s="468" t="s">
        <v>2354</v>
      </c>
    </row>
    <row r="2152" spans="1:12" x14ac:dyDescent="0.25">
      <c r="A2152" s="468" t="s">
        <v>220</v>
      </c>
      <c r="B2152" s="468" t="s">
        <v>2351</v>
      </c>
      <c r="C2152" s="468" t="s">
        <v>4704</v>
      </c>
      <c r="D2152" s="468" t="s">
        <v>4705</v>
      </c>
      <c r="F2152" s="470">
        <v>3</v>
      </c>
      <c r="G2152" s="468">
        <v>0.94299999999999995</v>
      </c>
      <c r="H2152" s="479">
        <v>2.8289999999999997</v>
      </c>
      <c r="I2152" s="468" t="s">
        <v>9218</v>
      </c>
      <c r="J2152" s="468" t="s">
        <v>9219</v>
      </c>
      <c r="K2152" s="468" t="s">
        <v>9219</v>
      </c>
      <c r="L2152" s="468" t="s">
        <v>2354</v>
      </c>
    </row>
    <row r="2153" spans="1:12" x14ac:dyDescent="0.25">
      <c r="A2153" s="468" t="s">
        <v>220</v>
      </c>
      <c r="B2153" s="468" t="s">
        <v>2351</v>
      </c>
      <c r="C2153" s="468" t="s">
        <v>4706</v>
      </c>
      <c r="D2153" s="468" t="s">
        <v>4707</v>
      </c>
      <c r="F2153" s="470">
        <v>1</v>
      </c>
      <c r="G2153" s="468">
        <v>30.81</v>
      </c>
      <c r="H2153" s="479">
        <v>30.81</v>
      </c>
      <c r="I2153" s="468" t="s">
        <v>9218</v>
      </c>
      <c r="J2153" s="468" t="s">
        <v>9219</v>
      </c>
      <c r="K2153" s="468" t="s">
        <v>9219</v>
      </c>
      <c r="L2153" s="468" t="s">
        <v>2354</v>
      </c>
    </row>
    <row r="2154" spans="1:12" x14ac:dyDescent="0.25">
      <c r="A2154" s="468" t="s">
        <v>220</v>
      </c>
      <c r="B2154" s="468" t="s">
        <v>2351</v>
      </c>
      <c r="D2154" s="468" t="s">
        <v>9368</v>
      </c>
      <c r="F2154" s="470">
        <v>154</v>
      </c>
      <c r="G2154" s="468">
        <v>0.11799999999999999</v>
      </c>
      <c r="H2154" s="479">
        <v>18.172000000000001</v>
      </c>
      <c r="I2154" s="468" t="s">
        <v>9218</v>
      </c>
      <c r="J2154" s="468" t="s">
        <v>9219</v>
      </c>
      <c r="K2154" s="468" t="s">
        <v>9219</v>
      </c>
      <c r="L2154" s="468" t="s">
        <v>2354</v>
      </c>
    </row>
    <row r="2155" spans="1:12" x14ac:dyDescent="0.25">
      <c r="A2155" s="468" t="s">
        <v>220</v>
      </c>
      <c r="B2155" s="468" t="s">
        <v>2351</v>
      </c>
      <c r="C2155" s="468" t="s">
        <v>4708</v>
      </c>
      <c r="D2155" s="468" t="s">
        <v>4709</v>
      </c>
      <c r="F2155" s="470">
        <v>104</v>
      </c>
      <c r="G2155" s="468">
        <v>0.30499999999999999</v>
      </c>
      <c r="H2155" s="479">
        <v>31.72</v>
      </c>
      <c r="I2155" s="468" t="s">
        <v>9218</v>
      </c>
      <c r="J2155" s="468" t="s">
        <v>9219</v>
      </c>
      <c r="K2155" s="468" t="s">
        <v>9219</v>
      </c>
      <c r="L2155" s="468" t="s">
        <v>2354</v>
      </c>
    </row>
    <row r="2156" spans="1:12" x14ac:dyDescent="0.25">
      <c r="A2156" s="468" t="s">
        <v>220</v>
      </c>
      <c r="B2156" s="468" t="s">
        <v>2351</v>
      </c>
      <c r="C2156" s="468" t="s">
        <v>4710</v>
      </c>
      <c r="D2156" s="468" t="s">
        <v>4711</v>
      </c>
      <c r="F2156" s="470">
        <v>40</v>
      </c>
      <c r="G2156" s="468">
        <v>0.38613999999999998</v>
      </c>
      <c r="H2156" s="479">
        <v>15.445599999999999</v>
      </c>
      <c r="I2156" s="468" t="s">
        <v>9218</v>
      </c>
      <c r="J2156" s="468" t="s">
        <v>9219</v>
      </c>
      <c r="K2156" s="468" t="s">
        <v>9219</v>
      </c>
      <c r="L2156" s="468" t="s">
        <v>2354</v>
      </c>
    </row>
    <row r="2157" spans="1:12" x14ac:dyDescent="0.25">
      <c r="A2157" s="468" t="s">
        <v>220</v>
      </c>
      <c r="B2157" s="468" t="s">
        <v>2351</v>
      </c>
      <c r="C2157" s="468" t="s">
        <v>4712</v>
      </c>
      <c r="D2157" s="468" t="s">
        <v>4713</v>
      </c>
      <c r="F2157" s="470">
        <v>28</v>
      </c>
      <c r="G2157" s="468">
        <v>1.0506</v>
      </c>
      <c r="H2157" s="479">
        <v>29.416799999999999</v>
      </c>
      <c r="I2157" s="468" t="s">
        <v>9218</v>
      </c>
      <c r="J2157" s="468" t="s">
        <v>9219</v>
      </c>
      <c r="K2157" s="468" t="s">
        <v>9219</v>
      </c>
      <c r="L2157" s="468" t="s">
        <v>2354</v>
      </c>
    </row>
    <row r="2158" spans="1:12" x14ac:dyDescent="0.25">
      <c r="A2158" s="468" t="s">
        <v>220</v>
      </c>
      <c r="B2158" s="468" t="s">
        <v>2351</v>
      </c>
      <c r="C2158" s="468" t="s">
        <v>4714</v>
      </c>
      <c r="D2158" s="468" t="s">
        <v>4715</v>
      </c>
      <c r="F2158" s="470">
        <v>320</v>
      </c>
      <c r="G2158" s="468">
        <v>0.311</v>
      </c>
      <c r="H2158" s="479">
        <v>99.52</v>
      </c>
      <c r="I2158" s="468" t="s">
        <v>9218</v>
      </c>
      <c r="J2158" s="468" t="s">
        <v>9219</v>
      </c>
      <c r="K2158" s="468" t="s">
        <v>9219</v>
      </c>
      <c r="L2158" s="468" t="s">
        <v>2354</v>
      </c>
    </row>
    <row r="2159" spans="1:12" x14ac:dyDescent="0.25">
      <c r="A2159" s="468" t="s">
        <v>220</v>
      </c>
      <c r="B2159" s="468" t="s">
        <v>2351</v>
      </c>
      <c r="C2159" s="468" t="s">
        <v>4716</v>
      </c>
      <c r="D2159" s="468" t="s">
        <v>4717</v>
      </c>
      <c r="F2159" s="470">
        <v>75</v>
      </c>
      <c r="G2159" s="468">
        <v>0.95699999999999996</v>
      </c>
      <c r="H2159" s="479">
        <v>71.774999999999991</v>
      </c>
      <c r="I2159" s="468" t="s">
        <v>9218</v>
      </c>
      <c r="J2159" s="468" t="s">
        <v>9219</v>
      </c>
      <c r="K2159" s="468" t="s">
        <v>9219</v>
      </c>
      <c r="L2159" s="468" t="s">
        <v>2354</v>
      </c>
    </row>
    <row r="2160" spans="1:12" x14ac:dyDescent="0.25">
      <c r="A2160" s="468" t="s">
        <v>220</v>
      </c>
      <c r="B2160" s="468" t="s">
        <v>2351</v>
      </c>
      <c r="C2160" s="468" t="s">
        <v>4718</v>
      </c>
      <c r="D2160" s="468" t="s">
        <v>4719</v>
      </c>
      <c r="F2160" s="470">
        <v>24</v>
      </c>
      <c r="G2160" s="468">
        <v>0.59499999999999997</v>
      </c>
      <c r="H2160" s="479">
        <v>14.28</v>
      </c>
      <c r="I2160" s="468" t="s">
        <v>9218</v>
      </c>
      <c r="J2160" s="468" t="s">
        <v>9219</v>
      </c>
      <c r="K2160" s="468" t="s">
        <v>9219</v>
      </c>
      <c r="L2160" s="468" t="s">
        <v>2354</v>
      </c>
    </row>
    <row r="2161" spans="1:12" x14ac:dyDescent="0.25">
      <c r="A2161" s="468" t="s">
        <v>220</v>
      </c>
      <c r="B2161" s="468" t="s">
        <v>2351</v>
      </c>
      <c r="C2161" s="468" t="s">
        <v>4720</v>
      </c>
      <c r="D2161" s="468" t="s">
        <v>4721</v>
      </c>
      <c r="F2161" s="470">
        <v>27</v>
      </c>
      <c r="G2161" s="468">
        <v>0.44900000000000007</v>
      </c>
      <c r="H2161" s="479">
        <v>12.123000000000001</v>
      </c>
      <c r="I2161" s="468" t="s">
        <v>9218</v>
      </c>
      <c r="J2161" s="468" t="s">
        <v>9219</v>
      </c>
      <c r="K2161" s="468" t="s">
        <v>9219</v>
      </c>
      <c r="L2161" s="468" t="s">
        <v>2354</v>
      </c>
    </row>
    <row r="2162" spans="1:12" x14ac:dyDescent="0.25">
      <c r="A2162" s="468" t="s">
        <v>220</v>
      </c>
      <c r="B2162" s="468" t="s">
        <v>2351</v>
      </c>
      <c r="C2162" s="468" t="s">
        <v>4722</v>
      </c>
      <c r="D2162" s="468" t="s">
        <v>4723</v>
      </c>
      <c r="F2162" s="470">
        <v>260</v>
      </c>
      <c r="G2162" s="468">
        <v>9.5399999999999985E-2</v>
      </c>
      <c r="H2162" s="479">
        <v>24.803999999999995</v>
      </c>
      <c r="I2162" s="468" t="s">
        <v>9218</v>
      </c>
      <c r="J2162" s="468" t="s">
        <v>9219</v>
      </c>
      <c r="K2162" s="468" t="s">
        <v>9219</v>
      </c>
      <c r="L2162" s="468" t="s">
        <v>2354</v>
      </c>
    </row>
    <row r="2163" spans="1:12" x14ac:dyDescent="0.25">
      <c r="A2163" s="468" t="s">
        <v>220</v>
      </c>
      <c r="B2163" s="468" t="s">
        <v>2351</v>
      </c>
      <c r="C2163" s="468" t="s">
        <v>4724</v>
      </c>
      <c r="D2163" s="468" t="s">
        <v>4725</v>
      </c>
      <c r="F2163" s="470">
        <v>40</v>
      </c>
      <c r="G2163" s="468">
        <v>0.42159999999999997</v>
      </c>
      <c r="H2163" s="479">
        <v>16.863999999999997</v>
      </c>
      <c r="I2163" s="468" t="s">
        <v>9218</v>
      </c>
      <c r="J2163" s="468" t="s">
        <v>9219</v>
      </c>
      <c r="K2163" s="468" t="s">
        <v>9219</v>
      </c>
      <c r="L2163" s="468" t="s">
        <v>2354</v>
      </c>
    </row>
    <row r="2164" spans="1:12" x14ac:dyDescent="0.25">
      <c r="A2164" s="468" t="s">
        <v>220</v>
      </c>
      <c r="B2164" s="468" t="s">
        <v>2351</v>
      </c>
      <c r="C2164" s="468" t="s">
        <v>4726</v>
      </c>
      <c r="D2164" s="468" t="s">
        <v>4727</v>
      </c>
      <c r="F2164" s="470">
        <v>140</v>
      </c>
      <c r="G2164" s="468">
        <v>0.65800000000000003</v>
      </c>
      <c r="H2164" s="479">
        <v>92.12</v>
      </c>
      <c r="I2164" s="468" t="s">
        <v>9218</v>
      </c>
      <c r="J2164" s="468" t="s">
        <v>9219</v>
      </c>
      <c r="K2164" s="468" t="s">
        <v>9219</v>
      </c>
      <c r="L2164" s="468" t="s">
        <v>2354</v>
      </c>
    </row>
    <row r="2165" spans="1:12" x14ac:dyDescent="0.25">
      <c r="A2165" s="468" t="s">
        <v>220</v>
      </c>
      <c r="B2165" s="468" t="s">
        <v>2351</v>
      </c>
      <c r="C2165" s="468" t="s">
        <v>4728</v>
      </c>
      <c r="D2165" s="468" t="s">
        <v>4729</v>
      </c>
      <c r="F2165" s="470">
        <v>120</v>
      </c>
      <c r="G2165" s="468">
        <v>4.6519578313253014</v>
      </c>
      <c r="H2165" s="479">
        <v>558.23493975903614</v>
      </c>
      <c r="I2165" s="468" t="s">
        <v>9218</v>
      </c>
      <c r="J2165" s="468" t="s">
        <v>9219</v>
      </c>
      <c r="K2165" s="468" t="s">
        <v>9219</v>
      </c>
      <c r="L2165" s="468" t="s">
        <v>2354</v>
      </c>
    </row>
    <row r="2166" spans="1:12" x14ac:dyDescent="0.25">
      <c r="A2166" s="468" t="s">
        <v>220</v>
      </c>
      <c r="B2166" s="468" t="s">
        <v>2351</v>
      </c>
      <c r="C2166" s="468" t="s">
        <v>4730</v>
      </c>
      <c r="D2166" s="468" t="s">
        <v>4731</v>
      </c>
      <c r="F2166" s="470">
        <v>10</v>
      </c>
      <c r="G2166" s="468">
        <v>3.15</v>
      </c>
      <c r="H2166" s="479">
        <v>31.5</v>
      </c>
      <c r="I2166" s="468" t="s">
        <v>9218</v>
      </c>
      <c r="J2166" s="468" t="s">
        <v>9219</v>
      </c>
      <c r="K2166" s="468" t="s">
        <v>9219</v>
      </c>
      <c r="L2166" s="468" t="s">
        <v>2354</v>
      </c>
    </row>
    <row r="2167" spans="1:12" x14ac:dyDescent="0.25">
      <c r="A2167" s="468" t="s">
        <v>220</v>
      </c>
      <c r="B2167" s="468" t="s">
        <v>2351</v>
      </c>
      <c r="C2167" s="468" t="s">
        <v>4732</v>
      </c>
      <c r="D2167" s="468" t="s">
        <v>4733</v>
      </c>
      <c r="F2167" s="470">
        <v>162</v>
      </c>
      <c r="G2167" s="468">
        <v>0.13600000000000001</v>
      </c>
      <c r="H2167" s="479">
        <v>22.032</v>
      </c>
      <c r="I2167" s="468" t="s">
        <v>9218</v>
      </c>
      <c r="J2167" s="468" t="s">
        <v>9219</v>
      </c>
      <c r="K2167" s="468" t="s">
        <v>9219</v>
      </c>
      <c r="L2167" s="468" t="s">
        <v>2354</v>
      </c>
    </row>
    <row r="2168" spans="1:12" x14ac:dyDescent="0.25">
      <c r="A2168" s="468" t="s">
        <v>220</v>
      </c>
      <c r="B2168" s="468" t="s">
        <v>2351</v>
      </c>
      <c r="C2168" s="468" t="s">
        <v>4734</v>
      </c>
      <c r="D2168" s="468" t="s">
        <v>4735</v>
      </c>
      <c r="F2168" s="470">
        <v>133</v>
      </c>
      <c r="G2168" s="468">
        <v>0.05</v>
      </c>
      <c r="H2168" s="479">
        <v>6.65</v>
      </c>
      <c r="I2168" s="468" t="s">
        <v>9218</v>
      </c>
      <c r="J2168" s="468" t="s">
        <v>9219</v>
      </c>
      <c r="K2168" s="468" t="s">
        <v>9219</v>
      </c>
      <c r="L2168" s="468" t="s">
        <v>2354</v>
      </c>
    </row>
    <row r="2169" spans="1:12" x14ac:dyDescent="0.25">
      <c r="A2169" s="468" t="s">
        <v>220</v>
      </c>
      <c r="B2169" s="468" t="s">
        <v>2351</v>
      </c>
      <c r="C2169" s="468" t="s">
        <v>4736</v>
      </c>
      <c r="D2169" s="468" t="s">
        <v>4737</v>
      </c>
      <c r="F2169" s="470">
        <v>79</v>
      </c>
      <c r="G2169" s="468">
        <v>0.24</v>
      </c>
      <c r="H2169" s="479">
        <v>18.96</v>
      </c>
      <c r="I2169" s="468" t="s">
        <v>9218</v>
      </c>
      <c r="J2169" s="468" t="s">
        <v>9219</v>
      </c>
      <c r="K2169" s="468" t="s">
        <v>9219</v>
      </c>
      <c r="L2169" s="468" t="s">
        <v>2354</v>
      </c>
    </row>
    <row r="2170" spans="1:12" x14ac:dyDescent="0.25">
      <c r="A2170" s="468" t="s">
        <v>220</v>
      </c>
      <c r="B2170" s="468" t="s">
        <v>2351</v>
      </c>
      <c r="D2170" s="468" t="s">
        <v>9369</v>
      </c>
      <c r="F2170" s="470">
        <v>152</v>
      </c>
      <c r="G2170" s="468">
        <v>0.23400000000000001</v>
      </c>
      <c r="H2170" s="479">
        <v>35.568000000000005</v>
      </c>
      <c r="I2170" s="468" t="s">
        <v>9218</v>
      </c>
      <c r="J2170" s="468" t="s">
        <v>9219</v>
      </c>
      <c r="K2170" s="468" t="s">
        <v>9219</v>
      </c>
      <c r="L2170" s="468" t="s">
        <v>2354</v>
      </c>
    </row>
    <row r="2171" spans="1:12" x14ac:dyDescent="0.25">
      <c r="A2171" s="468" t="s">
        <v>220</v>
      </c>
      <c r="B2171" s="468" t="s">
        <v>2351</v>
      </c>
      <c r="C2171" s="468" t="s">
        <v>4738</v>
      </c>
      <c r="D2171" s="468" t="s">
        <v>4739</v>
      </c>
      <c r="F2171" s="470">
        <v>102</v>
      </c>
      <c r="G2171" s="468">
        <v>0.21299999999999999</v>
      </c>
      <c r="H2171" s="479">
        <v>21.725999999999999</v>
      </c>
      <c r="I2171" s="468" t="s">
        <v>9218</v>
      </c>
      <c r="J2171" s="468" t="s">
        <v>9219</v>
      </c>
      <c r="K2171" s="468" t="s">
        <v>9219</v>
      </c>
      <c r="L2171" s="468" t="s">
        <v>2354</v>
      </c>
    </row>
    <row r="2172" spans="1:12" x14ac:dyDescent="0.25">
      <c r="A2172" s="468" t="s">
        <v>220</v>
      </c>
      <c r="B2172" s="468" t="s">
        <v>2351</v>
      </c>
      <c r="C2172" s="468" t="s">
        <v>4740</v>
      </c>
      <c r="D2172" s="468" t="s">
        <v>4741</v>
      </c>
      <c r="F2172" s="470">
        <v>3</v>
      </c>
      <c r="G2172" s="468">
        <v>26.882999999999999</v>
      </c>
      <c r="H2172" s="479">
        <v>80.649000000000001</v>
      </c>
      <c r="I2172" s="468" t="s">
        <v>9218</v>
      </c>
      <c r="J2172" s="468" t="s">
        <v>9219</v>
      </c>
      <c r="K2172" s="468" t="s">
        <v>9219</v>
      </c>
      <c r="L2172" s="468" t="s">
        <v>2354</v>
      </c>
    </row>
    <row r="2173" spans="1:12" x14ac:dyDescent="0.25">
      <c r="A2173" s="468" t="s">
        <v>220</v>
      </c>
      <c r="B2173" s="468" t="s">
        <v>2351</v>
      </c>
      <c r="C2173" s="468" t="s">
        <v>4742</v>
      </c>
      <c r="D2173" s="468" t="s">
        <v>4743</v>
      </c>
      <c r="F2173" s="470">
        <v>2</v>
      </c>
      <c r="G2173" s="468">
        <v>33.822000000000003</v>
      </c>
      <c r="H2173" s="479">
        <v>67.644000000000005</v>
      </c>
      <c r="I2173" s="468" t="s">
        <v>9218</v>
      </c>
      <c r="J2173" s="468" t="s">
        <v>9219</v>
      </c>
      <c r="K2173" s="468" t="s">
        <v>9219</v>
      </c>
      <c r="L2173" s="468" t="s">
        <v>2354</v>
      </c>
    </row>
    <row r="2174" spans="1:12" x14ac:dyDescent="0.25">
      <c r="A2174" s="468" t="s">
        <v>220</v>
      </c>
      <c r="B2174" s="468" t="s">
        <v>2351</v>
      </c>
      <c r="C2174" s="468" t="s">
        <v>4744</v>
      </c>
      <c r="D2174" s="468" t="s">
        <v>4745</v>
      </c>
      <c r="F2174" s="470">
        <v>114</v>
      </c>
      <c r="G2174" s="468">
        <v>0.34699999999999998</v>
      </c>
      <c r="H2174" s="479">
        <v>39.558</v>
      </c>
      <c r="I2174" s="468" t="s">
        <v>9218</v>
      </c>
      <c r="J2174" s="468" t="s">
        <v>9219</v>
      </c>
      <c r="K2174" s="468" t="s">
        <v>9219</v>
      </c>
      <c r="L2174" s="468" t="s">
        <v>2354</v>
      </c>
    </row>
    <row r="2175" spans="1:12" x14ac:dyDescent="0.25">
      <c r="A2175" s="468" t="s">
        <v>220</v>
      </c>
      <c r="B2175" s="468" t="s">
        <v>2351</v>
      </c>
      <c r="C2175" s="468" t="s">
        <v>4748</v>
      </c>
      <c r="D2175" s="468" t="s">
        <v>4749</v>
      </c>
      <c r="F2175" s="470">
        <v>18</v>
      </c>
      <c r="G2175" s="468">
        <v>0.39</v>
      </c>
      <c r="H2175" s="479">
        <v>7.0200000000000005</v>
      </c>
      <c r="I2175" s="468" t="s">
        <v>9218</v>
      </c>
      <c r="J2175" s="468" t="s">
        <v>9219</v>
      </c>
      <c r="K2175" s="468" t="s">
        <v>9219</v>
      </c>
      <c r="L2175" s="468" t="s">
        <v>2354</v>
      </c>
    </row>
    <row r="2176" spans="1:12" x14ac:dyDescent="0.25">
      <c r="A2176" s="468" t="s">
        <v>220</v>
      </c>
      <c r="B2176" s="468" t="s">
        <v>2351</v>
      </c>
      <c r="C2176" s="468" t="s">
        <v>4752</v>
      </c>
      <c r="D2176" s="468" t="s">
        <v>4753</v>
      </c>
      <c r="F2176" s="470">
        <v>36</v>
      </c>
      <c r="G2176" s="468">
        <v>5.4669999999999996</v>
      </c>
      <c r="H2176" s="479">
        <v>196.81199999999998</v>
      </c>
      <c r="I2176" s="468" t="s">
        <v>9218</v>
      </c>
      <c r="J2176" s="468" t="s">
        <v>9219</v>
      </c>
      <c r="K2176" s="468" t="s">
        <v>9219</v>
      </c>
      <c r="L2176" s="468" t="s">
        <v>2354</v>
      </c>
    </row>
    <row r="2177" spans="1:12" x14ac:dyDescent="0.25">
      <c r="A2177" s="468" t="s">
        <v>220</v>
      </c>
      <c r="B2177" s="468" t="s">
        <v>2351</v>
      </c>
      <c r="C2177" s="468" t="s">
        <v>4754</v>
      </c>
      <c r="D2177" s="468" t="s">
        <v>4755</v>
      </c>
      <c r="F2177" s="470">
        <v>203</v>
      </c>
      <c r="G2177" s="468">
        <v>9.3700000000000006E-2</v>
      </c>
      <c r="H2177" s="479">
        <v>19.021100000000001</v>
      </c>
      <c r="I2177" s="468" t="s">
        <v>9218</v>
      </c>
      <c r="J2177" s="468" t="s">
        <v>9219</v>
      </c>
      <c r="K2177" s="468" t="s">
        <v>9219</v>
      </c>
      <c r="L2177" s="468" t="s">
        <v>2354</v>
      </c>
    </row>
    <row r="2178" spans="1:12" x14ac:dyDescent="0.25">
      <c r="A2178" s="468" t="s">
        <v>220</v>
      </c>
      <c r="B2178" s="468" t="s">
        <v>2351</v>
      </c>
      <c r="C2178" s="468" t="s">
        <v>4756</v>
      </c>
      <c r="D2178" s="468" t="s">
        <v>4757</v>
      </c>
      <c r="F2178" s="470">
        <v>328</v>
      </c>
      <c r="G2178" s="468">
        <v>8.4000000000000005E-2</v>
      </c>
      <c r="H2178" s="479">
        <v>27.552000000000003</v>
      </c>
      <c r="I2178" s="468" t="s">
        <v>9218</v>
      </c>
      <c r="J2178" s="468" t="s">
        <v>9219</v>
      </c>
      <c r="K2178" s="468" t="s">
        <v>9219</v>
      </c>
      <c r="L2178" s="468" t="s">
        <v>2354</v>
      </c>
    </row>
    <row r="2179" spans="1:12" x14ac:dyDescent="0.25">
      <c r="A2179" s="468" t="s">
        <v>220</v>
      </c>
      <c r="B2179" s="468" t="s">
        <v>2351</v>
      </c>
      <c r="C2179" s="468" t="s">
        <v>4758</v>
      </c>
      <c r="D2179" s="468" t="s">
        <v>4759</v>
      </c>
      <c r="F2179" s="470">
        <v>102</v>
      </c>
      <c r="G2179" s="468">
        <v>5.8009999999999999E-2</v>
      </c>
      <c r="H2179" s="479">
        <v>5.9170199999999999</v>
      </c>
      <c r="I2179" s="468" t="s">
        <v>9218</v>
      </c>
      <c r="J2179" s="468" t="s">
        <v>9219</v>
      </c>
      <c r="K2179" s="468" t="s">
        <v>9219</v>
      </c>
      <c r="L2179" s="468" t="s">
        <v>2354</v>
      </c>
    </row>
    <row r="2180" spans="1:12" x14ac:dyDescent="0.25">
      <c r="A2180" s="468" t="s">
        <v>220</v>
      </c>
      <c r="B2180" s="468" t="s">
        <v>2351</v>
      </c>
      <c r="C2180" s="468" t="s">
        <v>4760</v>
      </c>
      <c r="D2180" s="468" t="s">
        <v>4761</v>
      </c>
      <c r="F2180" s="470">
        <v>348</v>
      </c>
      <c r="G2180" s="468">
        <v>0.13500000000000001</v>
      </c>
      <c r="H2180" s="479">
        <v>46.980000000000004</v>
      </c>
      <c r="I2180" s="468" t="s">
        <v>9218</v>
      </c>
      <c r="J2180" s="468" t="s">
        <v>9219</v>
      </c>
      <c r="K2180" s="468" t="s">
        <v>9219</v>
      </c>
      <c r="L2180" s="468" t="s">
        <v>2354</v>
      </c>
    </row>
    <row r="2181" spans="1:12" x14ac:dyDescent="0.25">
      <c r="A2181" s="468" t="s">
        <v>220</v>
      </c>
      <c r="B2181" s="468" t="s">
        <v>2351</v>
      </c>
      <c r="C2181" s="468" t="s">
        <v>4762</v>
      </c>
      <c r="D2181" s="468" t="s">
        <v>4763</v>
      </c>
      <c r="F2181" s="470">
        <v>74</v>
      </c>
      <c r="G2181" s="468">
        <v>0.81799999999999995</v>
      </c>
      <c r="H2181" s="479">
        <v>60.531999999999996</v>
      </c>
      <c r="I2181" s="468" t="s">
        <v>9218</v>
      </c>
      <c r="J2181" s="468" t="s">
        <v>9219</v>
      </c>
      <c r="K2181" s="468" t="s">
        <v>9219</v>
      </c>
      <c r="L2181" s="468" t="s">
        <v>2354</v>
      </c>
    </row>
    <row r="2182" spans="1:12" x14ac:dyDescent="0.25">
      <c r="A2182" s="468" t="s">
        <v>220</v>
      </c>
      <c r="B2182" s="468" t="s">
        <v>2351</v>
      </c>
      <c r="C2182" s="468" t="s">
        <v>4764</v>
      </c>
      <c r="D2182" s="468" t="s">
        <v>4765</v>
      </c>
      <c r="F2182" s="470">
        <v>501</v>
      </c>
      <c r="G2182" s="468">
        <v>0.04</v>
      </c>
      <c r="H2182" s="479">
        <v>20.04</v>
      </c>
      <c r="I2182" s="468" t="s">
        <v>9218</v>
      </c>
      <c r="J2182" s="468" t="s">
        <v>9219</v>
      </c>
      <c r="K2182" s="468" t="s">
        <v>9219</v>
      </c>
      <c r="L2182" s="468" t="s">
        <v>2354</v>
      </c>
    </row>
    <row r="2183" spans="1:12" x14ac:dyDescent="0.25">
      <c r="A2183" s="468" t="s">
        <v>220</v>
      </c>
      <c r="B2183" s="468" t="s">
        <v>2351</v>
      </c>
      <c r="C2183" s="468" t="s">
        <v>4766</v>
      </c>
      <c r="D2183" s="468" t="s">
        <v>4767</v>
      </c>
      <c r="F2183" s="470">
        <v>30</v>
      </c>
      <c r="G2183" s="468">
        <v>0.05</v>
      </c>
      <c r="H2183" s="479">
        <v>1.5</v>
      </c>
      <c r="I2183" s="468" t="s">
        <v>9218</v>
      </c>
      <c r="J2183" s="468" t="s">
        <v>9219</v>
      </c>
      <c r="K2183" s="468" t="s">
        <v>9219</v>
      </c>
      <c r="L2183" s="468" t="s">
        <v>2354</v>
      </c>
    </row>
    <row r="2184" spans="1:12" x14ac:dyDescent="0.25">
      <c r="A2184" s="468" t="s">
        <v>220</v>
      </c>
      <c r="B2184" s="468" t="s">
        <v>2351</v>
      </c>
      <c r="C2184" s="468" t="s">
        <v>4768</v>
      </c>
      <c r="D2184" s="468" t="s">
        <v>4769</v>
      </c>
      <c r="F2184" s="470">
        <v>13</v>
      </c>
      <c r="G2184" s="468">
        <v>0.89280000000000004</v>
      </c>
      <c r="H2184" s="479">
        <v>11.606400000000001</v>
      </c>
      <c r="I2184" s="468" t="s">
        <v>9218</v>
      </c>
      <c r="J2184" s="468" t="s">
        <v>9219</v>
      </c>
      <c r="K2184" s="468" t="s">
        <v>9219</v>
      </c>
      <c r="L2184" s="468" t="s">
        <v>2354</v>
      </c>
    </row>
    <row r="2185" spans="1:12" x14ac:dyDescent="0.25">
      <c r="A2185" s="468" t="s">
        <v>220</v>
      </c>
      <c r="B2185" s="468" t="s">
        <v>2351</v>
      </c>
      <c r="C2185" s="468" t="s">
        <v>4772</v>
      </c>
      <c r="D2185" s="468" t="s">
        <v>4773</v>
      </c>
      <c r="F2185" s="470">
        <v>140</v>
      </c>
      <c r="G2185" s="468">
        <v>0.39500000000000002</v>
      </c>
      <c r="H2185" s="479">
        <v>55.300000000000004</v>
      </c>
      <c r="I2185" s="468" t="s">
        <v>9218</v>
      </c>
      <c r="J2185" s="468" t="s">
        <v>9219</v>
      </c>
      <c r="K2185" s="468" t="s">
        <v>9219</v>
      </c>
      <c r="L2185" s="468" t="s">
        <v>2354</v>
      </c>
    </row>
    <row r="2186" spans="1:12" x14ac:dyDescent="0.25">
      <c r="A2186" s="468" t="s">
        <v>220</v>
      </c>
      <c r="B2186" s="468" t="s">
        <v>2351</v>
      </c>
      <c r="C2186" s="468" t="s">
        <v>4774</v>
      </c>
      <c r="D2186" s="468" t="s">
        <v>4775</v>
      </c>
      <c r="F2186" s="470">
        <v>260</v>
      </c>
      <c r="G2186" s="468">
        <v>1.1559999999999999</v>
      </c>
      <c r="H2186" s="479">
        <v>300.56</v>
      </c>
      <c r="I2186" s="468" t="s">
        <v>9218</v>
      </c>
      <c r="J2186" s="468" t="s">
        <v>9219</v>
      </c>
      <c r="K2186" s="468" t="s">
        <v>9219</v>
      </c>
      <c r="L2186" s="468" t="s">
        <v>2354</v>
      </c>
    </row>
    <row r="2187" spans="1:12" x14ac:dyDescent="0.25">
      <c r="A2187" s="468" t="s">
        <v>220</v>
      </c>
      <c r="B2187" s="468" t="s">
        <v>2351</v>
      </c>
      <c r="C2187" s="468" t="s">
        <v>4776</v>
      </c>
      <c r="D2187" s="468" t="s">
        <v>4777</v>
      </c>
      <c r="F2187" s="470">
        <v>15</v>
      </c>
      <c r="G2187" s="468">
        <v>7.5666666666666664</v>
      </c>
      <c r="H2187" s="479">
        <v>113.5</v>
      </c>
      <c r="I2187" s="468" t="s">
        <v>9218</v>
      </c>
      <c r="J2187" s="468" t="s">
        <v>9219</v>
      </c>
      <c r="K2187" s="468" t="s">
        <v>9219</v>
      </c>
      <c r="L2187" s="468" t="s">
        <v>2354</v>
      </c>
    </row>
    <row r="2188" spans="1:12" x14ac:dyDescent="0.25">
      <c r="A2188" s="468" t="s">
        <v>220</v>
      </c>
      <c r="B2188" s="468" t="s">
        <v>2351</v>
      </c>
      <c r="C2188" s="468" t="s">
        <v>4780</v>
      </c>
      <c r="D2188" s="468" t="s">
        <v>4781</v>
      </c>
      <c r="F2188" s="470">
        <v>102</v>
      </c>
      <c r="G2188" s="468">
        <v>0.122</v>
      </c>
      <c r="H2188" s="479">
        <v>12.443999999999999</v>
      </c>
      <c r="I2188" s="468" t="s">
        <v>9218</v>
      </c>
      <c r="J2188" s="468" t="s">
        <v>9219</v>
      </c>
      <c r="K2188" s="468" t="s">
        <v>9219</v>
      </c>
      <c r="L2188" s="468" t="s">
        <v>2354</v>
      </c>
    </row>
    <row r="2189" spans="1:12" x14ac:dyDescent="0.25">
      <c r="A2189" s="468" t="s">
        <v>220</v>
      </c>
      <c r="B2189" s="468" t="s">
        <v>2351</v>
      </c>
      <c r="C2189" s="468" t="s">
        <v>4782</v>
      </c>
      <c r="D2189" s="468" t="s">
        <v>4783</v>
      </c>
      <c r="F2189" s="470">
        <v>38</v>
      </c>
      <c r="G2189" s="468">
        <v>0.17199999999999999</v>
      </c>
      <c r="H2189" s="479">
        <v>6.5359999999999996</v>
      </c>
      <c r="I2189" s="468" t="s">
        <v>9218</v>
      </c>
      <c r="J2189" s="468" t="s">
        <v>9219</v>
      </c>
      <c r="K2189" s="468" t="s">
        <v>9219</v>
      </c>
      <c r="L2189" s="468" t="s">
        <v>2354</v>
      </c>
    </row>
    <row r="2190" spans="1:12" x14ac:dyDescent="0.25">
      <c r="A2190" s="468" t="s">
        <v>220</v>
      </c>
      <c r="B2190" s="468" t="s">
        <v>2351</v>
      </c>
      <c r="C2190" s="468" t="s">
        <v>4784</v>
      </c>
      <c r="D2190" s="468" t="s">
        <v>4785</v>
      </c>
      <c r="F2190" s="470">
        <v>35</v>
      </c>
      <c r="G2190" s="468">
        <v>0.20699999999999999</v>
      </c>
      <c r="H2190" s="479">
        <v>7.2449999999999992</v>
      </c>
      <c r="I2190" s="468" t="s">
        <v>9218</v>
      </c>
      <c r="J2190" s="468" t="s">
        <v>9219</v>
      </c>
      <c r="K2190" s="468" t="s">
        <v>9219</v>
      </c>
      <c r="L2190" s="468" t="s">
        <v>2354</v>
      </c>
    </row>
    <row r="2191" spans="1:12" x14ac:dyDescent="0.25">
      <c r="A2191" s="468" t="s">
        <v>220</v>
      </c>
      <c r="B2191" s="468" t="s">
        <v>2351</v>
      </c>
      <c r="C2191" s="468" t="s">
        <v>4786</v>
      </c>
      <c r="D2191" s="468" t="s">
        <v>4787</v>
      </c>
      <c r="F2191" s="470">
        <v>55</v>
      </c>
      <c r="G2191" s="468">
        <v>0.23599999999999999</v>
      </c>
      <c r="H2191" s="479">
        <v>12.979999999999999</v>
      </c>
      <c r="I2191" s="468" t="s">
        <v>9218</v>
      </c>
      <c r="J2191" s="468" t="s">
        <v>9219</v>
      </c>
      <c r="K2191" s="468" t="s">
        <v>9219</v>
      </c>
      <c r="L2191" s="468" t="s">
        <v>2354</v>
      </c>
    </row>
    <row r="2192" spans="1:12" x14ac:dyDescent="0.25">
      <c r="A2192" s="468" t="s">
        <v>220</v>
      </c>
      <c r="B2192" s="468" t="s">
        <v>2351</v>
      </c>
      <c r="C2192" s="468" t="s">
        <v>4788</v>
      </c>
      <c r="D2192" s="468" t="s">
        <v>4789</v>
      </c>
      <c r="F2192" s="470">
        <v>378</v>
      </c>
      <c r="G2192" s="468">
        <v>0.109</v>
      </c>
      <c r="H2192" s="479">
        <v>41.201999999999998</v>
      </c>
      <c r="I2192" s="468" t="s">
        <v>9218</v>
      </c>
      <c r="J2192" s="468" t="s">
        <v>9219</v>
      </c>
      <c r="K2192" s="468" t="s">
        <v>9219</v>
      </c>
      <c r="L2192" s="468" t="s">
        <v>2354</v>
      </c>
    </row>
    <row r="2193" spans="1:12" x14ac:dyDescent="0.25">
      <c r="A2193" s="468" t="s">
        <v>220</v>
      </c>
      <c r="B2193" s="468" t="s">
        <v>2351</v>
      </c>
      <c r="C2193" s="468" t="s">
        <v>4792</v>
      </c>
      <c r="D2193" s="468" t="s">
        <v>4793</v>
      </c>
      <c r="F2193" s="470">
        <v>2</v>
      </c>
      <c r="G2193" s="468">
        <v>9.5030999999999999</v>
      </c>
      <c r="H2193" s="479">
        <v>19.0062</v>
      </c>
      <c r="I2193" s="468" t="s">
        <v>9218</v>
      </c>
      <c r="J2193" s="468" t="s">
        <v>9219</v>
      </c>
      <c r="K2193" s="468" t="s">
        <v>9219</v>
      </c>
      <c r="L2193" s="468" t="s">
        <v>2354</v>
      </c>
    </row>
    <row r="2194" spans="1:12" x14ac:dyDescent="0.25">
      <c r="A2194" s="468" t="s">
        <v>220</v>
      </c>
      <c r="B2194" s="468" t="s">
        <v>2351</v>
      </c>
      <c r="D2194" s="468" t="s">
        <v>9370</v>
      </c>
      <c r="F2194" s="470">
        <v>55</v>
      </c>
      <c r="G2194" s="468">
        <v>0.14799999999999999</v>
      </c>
      <c r="H2194" s="479">
        <v>8.1399999999999988</v>
      </c>
      <c r="I2194" s="468" t="s">
        <v>9218</v>
      </c>
      <c r="J2194" s="468" t="s">
        <v>9219</v>
      </c>
      <c r="K2194" s="468" t="s">
        <v>9219</v>
      </c>
      <c r="L2194" s="468" t="s">
        <v>2354</v>
      </c>
    </row>
    <row r="2195" spans="1:12" x14ac:dyDescent="0.25">
      <c r="A2195" s="468" t="s">
        <v>220</v>
      </c>
      <c r="B2195" s="468" t="s">
        <v>2351</v>
      </c>
      <c r="D2195" s="468" t="s">
        <v>9371</v>
      </c>
      <c r="F2195" s="470">
        <v>154</v>
      </c>
      <c r="G2195" s="468">
        <v>0.156</v>
      </c>
      <c r="H2195" s="479">
        <v>24.024000000000001</v>
      </c>
      <c r="I2195" s="468" t="s">
        <v>9218</v>
      </c>
      <c r="J2195" s="468" t="s">
        <v>9219</v>
      </c>
      <c r="K2195" s="468" t="s">
        <v>9219</v>
      </c>
      <c r="L2195" s="468" t="s">
        <v>2354</v>
      </c>
    </row>
    <row r="2196" spans="1:12" x14ac:dyDescent="0.25">
      <c r="A2196" s="468" t="s">
        <v>220</v>
      </c>
      <c r="B2196" s="468" t="s">
        <v>2351</v>
      </c>
      <c r="C2196" s="468" t="s">
        <v>4794</v>
      </c>
      <c r="D2196" s="468" t="s">
        <v>4795</v>
      </c>
      <c r="F2196" s="470">
        <v>104</v>
      </c>
      <c r="G2196" s="468">
        <v>5.058E-2</v>
      </c>
      <c r="H2196" s="479">
        <v>5.2603200000000001</v>
      </c>
      <c r="I2196" s="468" t="s">
        <v>9218</v>
      </c>
      <c r="J2196" s="468" t="s">
        <v>9219</v>
      </c>
      <c r="K2196" s="468" t="s">
        <v>9219</v>
      </c>
      <c r="L2196" s="468" t="s">
        <v>2354</v>
      </c>
    </row>
    <row r="2197" spans="1:12" x14ac:dyDescent="0.25">
      <c r="A2197" s="468" t="s">
        <v>220</v>
      </c>
      <c r="B2197" s="468" t="s">
        <v>2351</v>
      </c>
      <c r="C2197" s="468" t="s">
        <v>4796</v>
      </c>
      <c r="D2197" s="468" t="s">
        <v>4797</v>
      </c>
      <c r="F2197" s="470">
        <v>387</v>
      </c>
      <c r="G2197" s="468">
        <v>5.5E-2</v>
      </c>
      <c r="H2197" s="479">
        <v>21.285</v>
      </c>
      <c r="I2197" s="468" t="s">
        <v>9218</v>
      </c>
      <c r="J2197" s="468" t="s">
        <v>9219</v>
      </c>
      <c r="K2197" s="468" t="s">
        <v>9219</v>
      </c>
      <c r="L2197" s="468" t="s">
        <v>2354</v>
      </c>
    </row>
    <row r="2198" spans="1:12" x14ac:dyDescent="0.25">
      <c r="A2198" s="468" t="s">
        <v>220</v>
      </c>
      <c r="B2198" s="468" t="s">
        <v>2351</v>
      </c>
      <c r="C2198" s="468" t="s">
        <v>4798</v>
      </c>
      <c r="D2198" s="468" t="s">
        <v>4799</v>
      </c>
      <c r="F2198" s="470">
        <v>654</v>
      </c>
      <c r="G2198" s="468">
        <v>4.3999999999999997E-2</v>
      </c>
      <c r="H2198" s="479">
        <v>28.776</v>
      </c>
      <c r="I2198" s="468" t="s">
        <v>9218</v>
      </c>
      <c r="J2198" s="468" t="s">
        <v>9219</v>
      </c>
      <c r="K2198" s="468" t="s">
        <v>9219</v>
      </c>
      <c r="L2198" s="468" t="s">
        <v>2354</v>
      </c>
    </row>
    <row r="2199" spans="1:12" x14ac:dyDescent="0.25">
      <c r="A2199" s="468" t="s">
        <v>220</v>
      </c>
      <c r="B2199" s="468" t="s">
        <v>2351</v>
      </c>
      <c r="C2199" s="468" t="s">
        <v>4800</v>
      </c>
      <c r="D2199" s="468" t="s">
        <v>4801</v>
      </c>
      <c r="F2199" s="470">
        <v>334</v>
      </c>
      <c r="G2199" s="468">
        <v>0.13755999999999999</v>
      </c>
      <c r="H2199" s="479">
        <v>45.945039999999999</v>
      </c>
      <c r="I2199" s="468" t="s">
        <v>9218</v>
      </c>
      <c r="J2199" s="468" t="s">
        <v>9219</v>
      </c>
      <c r="K2199" s="468" t="s">
        <v>9219</v>
      </c>
      <c r="L2199" s="468" t="s">
        <v>2354</v>
      </c>
    </row>
    <row r="2200" spans="1:12" x14ac:dyDescent="0.25">
      <c r="A2200" s="468" t="s">
        <v>220</v>
      </c>
      <c r="B2200" s="468" t="s">
        <v>2351</v>
      </c>
      <c r="C2200" s="468" t="s">
        <v>4802</v>
      </c>
      <c r="D2200" s="468" t="s">
        <v>4803</v>
      </c>
      <c r="F2200" s="470">
        <v>507</v>
      </c>
      <c r="G2200" s="468">
        <v>5.1999999999999998E-2</v>
      </c>
      <c r="H2200" s="479">
        <v>26.363999999999997</v>
      </c>
      <c r="I2200" s="468" t="s">
        <v>9218</v>
      </c>
      <c r="J2200" s="468" t="s">
        <v>9219</v>
      </c>
      <c r="K2200" s="468" t="s">
        <v>9219</v>
      </c>
      <c r="L2200" s="468" t="s">
        <v>2354</v>
      </c>
    </row>
    <row r="2201" spans="1:12" x14ac:dyDescent="0.25">
      <c r="A2201" s="468" t="s">
        <v>220</v>
      </c>
      <c r="B2201" s="468" t="s">
        <v>2351</v>
      </c>
      <c r="C2201" s="468" t="s">
        <v>4804</v>
      </c>
      <c r="D2201" s="468" t="s">
        <v>4805</v>
      </c>
      <c r="F2201" s="470">
        <v>450</v>
      </c>
      <c r="G2201" s="468">
        <v>7.0999999999999994E-2</v>
      </c>
      <c r="H2201" s="479">
        <v>31.949999999999996</v>
      </c>
      <c r="I2201" s="468" t="s">
        <v>9218</v>
      </c>
      <c r="J2201" s="468" t="s">
        <v>9219</v>
      </c>
      <c r="K2201" s="468" t="s">
        <v>9219</v>
      </c>
      <c r="L2201" s="468" t="s">
        <v>2354</v>
      </c>
    </row>
    <row r="2202" spans="1:12" x14ac:dyDescent="0.25">
      <c r="A2202" s="468" t="s">
        <v>220</v>
      </c>
      <c r="B2202" s="468" t="s">
        <v>2351</v>
      </c>
      <c r="C2202" s="468" t="s">
        <v>4806</v>
      </c>
      <c r="D2202" s="468" t="s">
        <v>4807</v>
      </c>
      <c r="F2202" s="470">
        <v>352</v>
      </c>
      <c r="G2202" s="468">
        <v>9.1999999999999998E-2</v>
      </c>
      <c r="H2202" s="479">
        <v>32.384</v>
      </c>
      <c r="I2202" s="468" t="s">
        <v>9218</v>
      </c>
      <c r="J2202" s="468" t="s">
        <v>9219</v>
      </c>
      <c r="K2202" s="468" t="s">
        <v>9219</v>
      </c>
      <c r="L2202" s="468" t="s">
        <v>2354</v>
      </c>
    </row>
    <row r="2203" spans="1:12" x14ac:dyDescent="0.25">
      <c r="A2203" s="468" t="s">
        <v>220</v>
      </c>
      <c r="B2203" s="468" t="s">
        <v>2351</v>
      </c>
      <c r="C2203" s="468" t="s">
        <v>4808</v>
      </c>
      <c r="D2203" s="468" t="s">
        <v>4809</v>
      </c>
      <c r="F2203" s="470">
        <v>136</v>
      </c>
      <c r="G2203" s="468">
        <v>0.183</v>
      </c>
      <c r="H2203" s="479">
        <v>24.887999999999998</v>
      </c>
      <c r="I2203" s="468" t="s">
        <v>9218</v>
      </c>
      <c r="J2203" s="468" t="s">
        <v>9219</v>
      </c>
      <c r="K2203" s="468" t="s">
        <v>9219</v>
      </c>
      <c r="L2203" s="468" t="s">
        <v>2354</v>
      </c>
    </row>
    <row r="2204" spans="1:12" x14ac:dyDescent="0.25">
      <c r="A2204" s="468" t="s">
        <v>220</v>
      </c>
      <c r="B2204" s="468" t="s">
        <v>2351</v>
      </c>
      <c r="C2204" s="468" t="s">
        <v>4810</v>
      </c>
      <c r="D2204" s="468" t="s">
        <v>4811</v>
      </c>
      <c r="F2204" s="470">
        <v>113</v>
      </c>
      <c r="G2204" s="468">
        <v>0.1</v>
      </c>
      <c r="H2204" s="479">
        <v>11.3</v>
      </c>
      <c r="I2204" s="468" t="s">
        <v>9218</v>
      </c>
      <c r="J2204" s="468" t="s">
        <v>9219</v>
      </c>
      <c r="K2204" s="468" t="s">
        <v>9219</v>
      </c>
      <c r="L2204" s="468" t="s">
        <v>2354</v>
      </c>
    </row>
    <row r="2205" spans="1:12" x14ac:dyDescent="0.25">
      <c r="A2205" s="468" t="s">
        <v>220</v>
      </c>
      <c r="B2205" s="468" t="s">
        <v>2351</v>
      </c>
      <c r="C2205" s="468" t="s">
        <v>4812</v>
      </c>
      <c r="D2205" s="468" t="s">
        <v>4813</v>
      </c>
      <c r="F2205" s="470">
        <v>364</v>
      </c>
      <c r="G2205" s="468">
        <v>0.24099999999999999</v>
      </c>
      <c r="H2205" s="479">
        <v>87.724000000000004</v>
      </c>
      <c r="I2205" s="468" t="s">
        <v>9218</v>
      </c>
      <c r="J2205" s="468" t="s">
        <v>9219</v>
      </c>
      <c r="K2205" s="468" t="s">
        <v>9219</v>
      </c>
      <c r="L2205" s="468" t="s">
        <v>2354</v>
      </c>
    </row>
    <row r="2206" spans="1:12" x14ac:dyDescent="0.25">
      <c r="A2206" s="468" t="s">
        <v>220</v>
      </c>
      <c r="B2206" s="468" t="s">
        <v>2351</v>
      </c>
      <c r="C2206" s="468" t="s">
        <v>4814</v>
      </c>
      <c r="D2206" s="468" t="s">
        <v>4815</v>
      </c>
      <c r="F2206" s="470">
        <v>146</v>
      </c>
      <c r="G2206" s="468">
        <v>0.17899999999999999</v>
      </c>
      <c r="H2206" s="479">
        <v>26.134</v>
      </c>
      <c r="I2206" s="468" t="s">
        <v>9218</v>
      </c>
      <c r="J2206" s="468" t="s">
        <v>9219</v>
      </c>
      <c r="K2206" s="468" t="s">
        <v>9219</v>
      </c>
      <c r="L2206" s="468" t="s">
        <v>2354</v>
      </c>
    </row>
    <row r="2207" spans="1:12" x14ac:dyDescent="0.25">
      <c r="A2207" s="468" t="s">
        <v>220</v>
      </c>
      <c r="B2207" s="468" t="s">
        <v>2351</v>
      </c>
      <c r="C2207" s="468" t="s">
        <v>4816</v>
      </c>
      <c r="D2207" s="468" t="s">
        <v>4817</v>
      </c>
      <c r="F2207" s="470">
        <v>147</v>
      </c>
      <c r="G2207" s="468">
        <v>0.26500000000000001</v>
      </c>
      <c r="H2207" s="479">
        <v>38.955000000000005</v>
      </c>
      <c r="I2207" s="468" t="s">
        <v>9218</v>
      </c>
      <c r="J2207" s="468" t="s">
        <v>9219</v>
      </c>
      <c r="K2207" s="468" t="s">
        <v>9219</v>
      </c>
      <c r="L2207" s="468" t="s">
        <v>2354</v>
      </c>
    </row>
    <row r="2208" spans="1:12" x14ac:dyDescent="0.25">
      <c r="A2208" s="468" t="s">
        <v>220</v>
      </c>
      <c r="B2208" s="468" t="s">
        <v>2351</v>
      </c>
      <c r="C2208" s="468" t="s">
        <v>4818</v>
      </c>
      <c r="D2208" s="468" t="s">
        <v>4819</v>
      </c>
      <c r="F2208" s="470">
        <v>512</v>
      </c>
      <c r="G2208" s="468">
        <v>0.46300000000000002</v>
      </c>
      <c r="H2208" s="479">
        <v>237.05600000000001</v>
      </c>
      <c r="I2208" s="468" t="s">
        <v>9218</v>
      </c>
      <c r="J2208" s="468" t="s">
        <v>9219</v>
      </c>
      <c r="K2208" s="468" t="s">
        <v>9219</v>
      </c>
      <c r="L2208" s="468" t="s">
        <v>2354</v>
      </c>
    </row>
    <row r="2209" spans="1:12" x14ac:dyDescent="0.25">
      <c r="A2209" s="468" t="s">
        <v>220</v>
      </c>
      <c r="B2209" s="468" t="s">
        <v>2351</v>
      </c>
      <c r="C2209" s="468" t="s">
        <v>4820</v>
      </c>
      <c r="D2209" s="468" t="s">
        <v>4821</v>
      </c>
      <c r="F2209" s="470">
        <v>96</v>
      </c>
      <c r="G2209" s="468">
        <v>0.30499999999999999</v>
      </c>
      <c r="H2209" s="479">
        <v>29.28</v>
      </c>
      <c r="I2209" s="468" t="s">
        <v>9218</v>
      </c>
      <c r="J2209" s="468" t="s">
        <v>9219</v>
      </c>
      <c r="K2209" s="468" t="s">
        <v>9219</v>
      </c>
      <c r="L2209" s="468" t="s">
        <v>2354</v>
      </c>
    </row>
    <row r="2210" spans="1:12" x14ac:dyDescent="0.25">
      <c r="A2210" s="468" t="s">
        <v>220</v>
      </c>
      <c r="B2210" s="468" t="s">
        <v>2351</v>
      </c>
      <c r="C2210" s="468" t="s">
        <v>4822</v>
      </c>
      <c r="D2210" s="468" t="s">
        <v>4823</v>
      </c>
      <c r="F2210" s="470">
        <v>350</v>
      </c>
      <c r="G2210" s="468">
        <v>0.36299999999999999</v>
      </c>
      <c r="H2210" s="479">
        <v>127.05</v>
      </c>
      <c r="I2210" s="468" t="s">
        <v>9218</v>
      </c>
      <c r="J2210" s="468" t="s">
        <v>9219</v>
      </c>
      <c r="K2210" s="468" t="s">
        <v>9219</v>
      </c>
      <c r="L2210" s="468" t="s">
        <v>2354</v>
      </c>
    </row>
    <row r="2211" spans="1:12" x14ac:dyDescent="0.25">
      <c r="A2211" s="468" t="s">
        <v>220</v>
      </c>
      <c r="B2211" s="468" t="s">
        <v>2351</v>
      </c>
      <c r="C2211" s="468" t="s">
        <v>4824</v>
      </c>
      <c r="D2211" s="468" t="s">
        <v>4825</v>
      </c>
      <c r="F2211" s="470">
        <v>284</v>
      </c>
      <c r="G2211" s="468">
        <v>1.734</v>
      </c>
      <c r="H2211" s="479">
        <v>492.45600000000002</v>
      </c>
      <c r="I2211" s="468" t="s">
        <v>9218</v>
      </c>
      <c r="J2211" s="468" t="s">
        <v>9219</v>
      </c>
      <c r="K2211" s="468" t="s">
        <v>9219</v>
      </c>
      <c r="L2211" s="468" t="s">
        <v>2354</v>
      </c>
    </row>
    <row r="2212" spans="1:12" x14ac:dyDescent="0.25">
      <c r="A2212" s="468" t="s">
        <v>220</v>
      </c>
      <c r="B2212" s="468" t="s">
        <v>2351</v>
      </c>
      <c r="C2212" s="468" t="s">
        <v>4826</v>
      </c>
      <c r="D2212" s="468" t="s">
        <v>4827</v>
      </c>
      <c r="F2212" s="470">
        <v>9</v>
      </c>
      <c r="G2212" s="468">
        <v>1.111</v>
      </c>
      <c r="H2212" s="479">
        <v>9.9990000000000006</v>
      </c>
      <c r="I2212" s="468" t="s">
        <v>9218</v>
      </c>
      <c r="J2212" s="468" t="s">
        <v>9219</v>
      </c>
      <c r="K2212" s="468" t="s">
        <v>9219</v>
      </c>
      <c r="L2212" s="468" t="s">
        <v>2354</v>
      </c>
    </row>
    <row r="2213" spans="1:12" x14ac:dyDescent="0.25">
      <c r="A2213" s="468" t="s">
        <v>220</v>
      </c>
      <c r="B2213" s="468" t="s">
        <v>2351</v>
      </c>
      <c r="C2213" s="468" t="s">
        <v>4828</v>
      </c>
      <c r="D2213" s="468" t="s">
        <v>4829</v>
      </c>
      <c r="F2213" s="470">
        <v>39</v>
      </c>
      <c r="G2213" s="468">
        <v>0.16116</v>
      </c>
      <c r="H2213" s="479">
        <v>6.2852399999999999</v>
      </c>
      <c r="I2213" s="468" t="s">
        <v>9218</v>
      </c>
      <c r="J2213" s="468" t="s">
        <v>9219</v>
      </c>
      <c r="K2213" s="468" t="s">
        <v>9219</v>
      </c>
      <c r="L2213" s="468" t="s">
        <v>2354</v>
      </c>
    </row>
    <row r="2214" spans="1:12" x14ac:dyDescent="0.25">
      <c r="A2214" s="468" t="s">
        <v>220</v>
      </c>
      <c r="B2214" s="468" t="s">
        <v>2351</v>
      </c>
      <c r="C2214" s="468" t="s">
        <v>4830</v>
      </c>
      <c r="D2214" s="468" t="s">
        <v>4831</v>
      </c>
      <c r="F2214" s="470">
        <v>158</v>
      </c>
      <c r="G2214" s="468">
        <v>0.113</v>
      </c>
      <c r="H2214" s="479">
        <v>17.853999999999999</v>
      </c>
      <c r="I2214" s="468" t="s">
        <v>9218</v>
      </c>
      <c r="J2214" s="468" t="s">
        <v>9219</v>
      </c>
      <c r="K2214" s="468" t="s">
        <v>9219</v>
      </c>
      <c r="L2214" s="468" t="s">
        <v>2354</v>
      </c>
    </row>
    <row r="2215" spans="1:12" x14ac:dyDescent="0.25">
      <c r="A2215" s="468" t="s">
        <v>220</v>
      </c>
      <c r="B2215" s="468" t="s">
        <v>2351</v>
      </c>
      <c r="D2215" s="468" t="s">
        <v>9372</v>
      </c>
      <c r="F2215" s="470">
        <v>286</v>
      </c>
      <c r="G2215" s="468">
        <v>0.17199999999999999</v>
      </c>
      <c r="H2215" s="479">
        <v>49.191999999999993</v>
      </c>
      <c r="I2215" s="468" t="s">
        <v>9218</v>
      </c>
      <c r="J2215" s="468" t="s">
        <v>9219</v>
      </c>
      <c r="K2215" s="468" t="s">
        <v>9219</v>
      </c>
      <c r="L2215" s="468" t="s">
        <v>2354</v>
      </c>
    </row>
    <row r="2216" spans="1:12" x14ac:dyDescent="0.25">
      <c r="A2216" s="468" t="s">
        <v>220</v>
      </c>
      <c r="B2216" s="468" t="s">
        <v>2351</v>
      </c>
      <c r="C2216" s="468" t="s">
        <v>4832</v>
      </c>
      <c r="D2216" s="468" t="s">
        <v>4833</v>
      </c>
      <c r="F2216" s="470">
        <v>236</v>
      </c>
      <c r="G2216" s="468">
        <v>0.188</v>
      </c>
      <c r="H2216" s="479">
        <v>44.368000000000002</v>
      </c>
      <c r="I2216" s="468" t="s">
        <v>9218</v>
      </c>
      <c r="J2216" s="468" t="s">
        <v>9219</v>
      </c>
      <c r="K2216" s="468" t="s">
        <v>9219</v>
      </c>
      <c r="L2216" s="468" t="s">
        <v>2354</v>
      </c>
    </row>
    <row r="2217" spans="1:12" x14ac:dyDescent="0.25">
      <c r="A2217" s="468" t="s">
        <v>220</v>
      </c>
      <c r="B2217" s="468" t="s">
        <v>2351</v>
      </c>
      <c r="C2217" s="468" t="s">
        <v>4834</v>
      </c>
      <c r="D2217" s="468" t="s">
        <v>4835</v>
      </c>
      <c r="F2217" s="470">
        <v>228</v>
      </c>
      <c r="G2217" s="468">
        <v>6.2E-2</v>
      </c>
      <c r="H2217" s="479">
        <v>14.135999999999999</v>
      </c>
      <c r="I2217" s="468" t="s">
        <v>9218</v>
      </c>
      <c r="J2217" s="468" t="s">
        <v>9219</v>
      </c>
      <c r="K2217" s="468" t="s">
        <v>9219</v>
      </c>
      <c r="L2217" s="468" t="s">
        <v>2354</v>
      </c>
    </row>
    <row r="2218" spans="1:12" x14ac:dyDescent="0.25">
      <c r="A2218" s="468" t="s">
        <v>220</v>
      </c>
      <c r="B2218" s="468" t="s">
        <v>2351</v>
      </c>
      <c r="C2218" s="468" t="s">
        <v>4836</v>
      </c>
      <c r="D2218" s="468" t="s">
        <v>4837</v>
      </c>
      <c r="F2218" s="470">
        <v>120</v>
      </c>
      <c r="G2218" s="468">
        <v>1.4219999999999999</v>
      </c>
      <c r="H2218" s="479">
        <v>170.64</v>
      </c>
      <c r="I2218" s="468" t="s">
        <v>9218</v>
      </c>
      <c r="J2218" s="468" t="s">
        <v>9219</v>
      </c>
      <c r="K2218" s="468" t="s">
        <v>9219</v>
      </c>
      <c r="L2218" s="468" t="s">
        <v>2354</v>
      </c>
    </row>
    <row r="2219" spans="1:12" x14ac:dyDescent="0.25">
      <c r="A2219" s="468" t="s">
        <v>220</v>
      </c>
      <c r="B2219" s="468" t="s">
        <v>2351</v>
      </c>
      <c r="C2219" s="468" t="s">
        <v>4838</v>
      </c>
      <c r="D2219" s="468" t="s">
        <v>4839</v>
      </c>
      <c r="F2219" s="470">
        <v>35</v>
      </c>
      <c r="G2219" s="468">
        <v>0.85499999999999998</v>
      </c>
      <c r="H2219" s="479">
        <v>29.925000000000001</v>
      </c>
      <c r="I2219" s="468" t="s">
        <v>9218</v>
      </c>
      <c r="J2219" s="468" t="s">
        <v>9219</v>
      </c>
      <c r="K2219" s="468" t="s">
        <v>9219</v>
      </c>
      <c r="L2219" s="468" t="s">
        <v>2354</v>
      </c>
    </row>
    <row r="2220" spans="1:12" x14ac:dyDescent="0.25">
      <c r="A2220" s="468" t="s">
        <v>220</v>
      </c>
      <c r="B2220" s="468" t="s">
        <v>2351</v>
      </c>
      <c r="C2220" s="468" t="s">
        <v>4840</v>
      </c>
      <c r="D2220" s="468" t="s">
        <v>4841</v>
      </c>
      <c r="F2220" s="470">
        <v>325</v>
      </c>
      <c r="G2220" s="468">
        <v>0.40500000000000003</v>
      </c>
      <c r="H2220" s="479">
        <v>131.625</v>
      </c>
      <c r="I2220" s="468" t="s">
        <v>9218</v>
      </c>
      <c r="J2220" s="468" t="s">
        <v>9219</v>
      </c>
      <c r="K2220" s="468" t="s">
        <v>9219</v>
      </c>
      <c r="L2220" s="468" t="s">
        <v>2354</v>
      </c>
    </row>
    <row r="2221" spans="1:12" x14ac:dyDescent="0.25">
      <c r="A2221" s="468" t="s">
        <v>220</v>
      </c>
      <c r="B2221" s="468" t="s">
        <v>2351</v>
      </c>
      <c r="C2221" s="468" t="s">
        <v>4842</v>
      </c>
      <c r="D2221" s="468" t="s">
        <v>4843</v>
      </c>
      <c r="F2221" s="470">
        <v>361</v>
      </c>
      <c r="G2221" s="468">
        <v>9.7000000000000003E-2</v>
      </c>
      <c r="H2221" s="479">
        <v>35.017000000000003</v>
      </c>
      <c r="I2221" s="468" t="s">
        <v>9218</v>
      </c>
      <c r="J2221" s="468" t="s">
        <v>9219</v>
      </c>
      <c r="K2221" s="468" t="s">
        <v>9219</v>
      </c>
      <c r="L2221" s="468" t="s">
        <v>2354</v>
      </c>
    </row>
    <row r="2222" spans="1:12" x14ac:dyDescent="0.25">
      <c r="A2222" s="468" t="s">
        <v>220</v>
      </c>
      <c r="B2222" s="468" t="s">
        <v>2351</v>
      </c>
      <c r="D2222" s="468" t="s">
        <v>9373</v>
      </c>
      <c r="F2222" s="470">
        <v>152</v>
      </c>
      <c r="G2222" s="468">
        <v>0.156</v>
      </c>
      <c r="H2222" s="479">
        <v>23.712</v>
      </c>
      <c r="I2222" s="468" t="s">
        <v>9218</v>
      </c>
      <c r="J2222" s="468" t="s">
        <v>9219</v>
      </c>
      <c r="K2222" s="468" t="s">
        <v>9219</v>
      </c>
      <c r="L2222" s="468" t="s">
        <v>2354</v>
      </c>
    </row>
    <row r="2223" spans="1:12" x14ac:dyDescent="0.25">
      <c r="A2223" s="468" t="s">
        <v>220</v>
      </c>
      <c r="B2223" s="468" t="s">
        <v>2351</v>
      </c>
      <c r="C2223" s="468" t="s">
        <v>4844</v>
      </c>
      <c r="D2223" s="468" t="s">
        <v>4845</v>
      </c>
      <c r="F2223" s="470">
        <v>394</v>
      </c>
      <c r="G2223" s="468">
        <v>7.2249999999999995E-2</v>
      </c>
      <c r="H2223" s="479">
        <v>28.466499999999996</v>
      </c>
      <c r="I2223" s="468" t="s">
        <v>9218</v>
      </c>
      <c r="J2223" s="468" t="s">
        <v>9219</v>
      </c>
      <c r="K2223" s="468" t="s">
        <v>9219</v>
      </c>
      <c r="L2223" s="468" t="s">
        <v>2354</v>
      </c>
    </row>
    <row r="2224" spans="1:12" x14ac:dyDescent="0.25">
      <c r="A2224" s="468" t="s">
        <v>220</v>
      </c>
      <c r="B2224" s="468" t="s">
        <v>2351</v>
      </c>
      <c r="C2224" s="468" t="s">
        <v>4846</v>
      </c>
      <c r="D2224" s="468" t="s">
        <v>4847</v>
      </c>
      <c r="F2224" s="470">
        <v>310</v>
      </c>
      <c r="G2224" s="468">
        <v>7.0999999999999994E-2</v>
      </c>
      <c r="H2224" s="479">
        <v>22.009999999999998</v>
      </c>
      <c r="I2224" s="468" t="s">
        <v>9218</v>
      </c>
      <c r="J2224" s="468" t="s">
        <v>9219</v>
      </c>
      <c r="K2224" s="468" t="s">
        <v>9219</v>
      </c>
      <c r="L2224" s="468" t="s">
        <v>2354</v>
      </c>
    </row>
    <row r="2225" spans="1:12" x14ac:dyDescent="0.25">
      <c r="A2225" s="468" t="s">
        <v>220</v>
      </c>
      <c r="B2225" s="468" t="s">
        <v>2351</v>
      </c>
      <c r="C2225" s="468" t="s">
        <v>4848</v>
      </c>
      <c r="D2225" s="468" t="s">
        <v>4849</v>
      </c>
      <c r="F2225" s="470">
        <v>538</v>
      </c>
      <c r="G2225" s="468">
        <v>8.6999999999999994E-2</v>
      </c>
      <c r="H2225" s="479">
        <v>46.805999999999997</v>
      </c>
      <c r="I2225" s="468" t="s">
        <v>9218</v>
      </c>
      <c r="J2225" s="468" t="s">
        <v>9219</v>
      </c>
      <c r="K2225" s="468" t="s">
        <v>9219</v>
      </c>
      <c r="L2225" s="468" t="s">
        <v>2354</v>
      </c>
    </row>
    <row r="2226" spans="1:12" x14ac:dyDescent="0.25">
      <c r="A2226" s="468" t="s">
        <v>220</v>
      </c>
      <c r="B2226" s="468" t="s">
        <v>2351</v>
      </c>
      <c r="C2226" s="468" t="s">
        <v>4850</v>
      </c>
      <c r="D2226" s="468" t="s">
        <v>4851</v>
      </c>
      <c r="F2226" s="470">
        <v>105</v>
      </c>
      <c r="G2226" s="468">
        <v>0.12358</v>
      </c>
      <c r="H2226" s="479">
        <v>12.975899999999999</v>
      </c>
      <c r="I2226" s="468" t="s">
        <v>9218</v>
      </c>
      <c r="J2226" s="468" t="s">
        <v>9219</v>
      </c>
      <c r="K2226" s="468" t="s">
        <v>9219</v>
      </c>
      <c r="L2226" s="468" t="s">
        <v>2354</v>
      </c>
    </row>
    <row r="2227" spans="1:12" x14ac:dyDescent="0.25">
      <c r="A2227" s="468" t="s">
        <v>220</v>
      </c>
      <c r="B2227" s="468" t="s">
        <v>2351</v>
      </c>
      <c r="C2227" s="468" t="s">
        <v>4852</v>
      </c>
      <c r="D2227" s="468" t="s">
        <v>4853</v>
      </c>
      <c r="F2227" s="470">
        <v>414</v>
      </c>
      <c r="G2227" s="468">
        <v>0.19259000000000001</v>
      </c>
      <c r="H2227" s="479">
        <v>79.732260000000011</v>
      </c>
      <c r="I2227" s="468" t="s">
        <v>9218</v>
      </c>
      <c r="J2227" s="468" t="s">
        <v>9219</v>
      </c>
      <c r="K2227" s="468" t="s">
        <v>9219</v>
      </c>
      <c r="L2227" s="468" t="s">
        <v>2354</v>
      </c>
    </row>
    <row r="2228" spans="1:12" x14ac:dyDescent="0.25">
      <c r="A2228" s="468" t="s">
        <v>220</v>
      </c>
      <c r="B2228" s="468" t="s">
        <v>2351</v>
      </c>
      <c r="C2228" s="468" t="s">
        <v>4854</v>
      </c>
      <c r="D2228" s="468" t="s">
        <v>4855</v>
      </c>
      <c r="F2228" s="470">
        <v>532</v>
      </c>
      <c r="G2228" s="468">
        <v>0.15</v>
      </c>
      <c r="H2228" s="479">
        <v>79.8</v>
      </c>
      <c r="I2228" s="468" t="s">
        <v>9218</v>
      </c>
      <c r="J2228" s="468" t="s">
        <v>9219</v>
      </c>
      <c r="K2228" s="468" t="s">
        <v>9219</v>
      </c>
      <c r="L2228" s="468" t="s">
        <v>2354</v>
      </c>
    </row>
    <row r="2229" spans="1:12" x14ac:dyDescent="0.25">
      <c r="A2229" s="468" t="s">
        <v>220</v>
      </c>
      <c r="B2229" s="468" t="s">
        <v>2351</v>
      </c>
      <c r="C2229" s="468" t="s">
        <v>4856</v>
      </c>
      <c r="D2229" s="468" t="s">
        <v>4857</v>
      </c>
      <c r="F2229" s="470">
        <v>176</v>
      </c>
      <c r="G2229" s="468">
        <v>0.85299999999999998</v>
      </c>
      <c r="H2229" s="479">
        <v>150.12799999999999</v>
      </c>
      <c r="I2229" s="468" t="s">
        <v>9218</v>
      </c>
      <c r="J2229" s="468" t="s">
        <v>9219</v>
      </c>
      <c r="K2229" s="468" t="s">
        <v>9219</v>
      </c>
      <c r="L2229" s="468" t="s">
        <v>2354</v>
      </c>
    </row>
    <row r="2230" spans="1:12" x14ac:dyDescent="0.25">
      <c r="A2230" s="468" t="s">
        <v>220</v>
      </c>
      <c r="B2230" s="468" t="s">
        <v>2351</v>
      </c>
      <c r="C2230" s="468" t="s">
        <v>4858</v>
      </c>
      <c r="D2230" s="468" t="s">
        <v>4859</v>
      </c>
      <c r="F2230" s="470">
        <v>365</v>
      </c>
      <c r="G2230" s="468">
        <v>0.38300000000000001</v>
      </c>
      <c r="H2230" s="479">
        <v>139.79500000000002</v>
      </c>
      <c r="I2230" s="468" t="s">
        <v>9218</v>
      </c>
      <c r="J2230" s="468" t="s">
        <v>9219</v>
      </c>
      <c r="K2230" s="468" t="s">
        <v>9219</v>
      </c>
      <c r="L2230" s="468" t="s">
        <v>2354</v>
      </c>
    </row>
    <row r="2231" spans="1:12" x14ac:dyDescent="0.25">
      <c r="A2231" s="468" t="s">
        <v>220</v>
      </c>
      <c r="B2231" s="468" t="s">
        <v>2351</v>
      </c>
      <c r="C2231" s="468" t="s">
        <v>4860</v>
      </c>
      <c r="D2231" s="468" t="s">
        <v>4861</v>
      </c>
      <c r="F2231" s="470">
        <v>345</v>
      </c>
      <c r="G2231" s="468">
        <v>0.44700000000000001</v>
      </c>
      <c r="H2231" s="479">
        <v>154.215</v>
      </c>
      <c r="I2231" s="468" t="s">
        <v>9218</v>
      </c>
      <c r="J2231" s="468" t="s">
        <v>9219</v>
      </c>
      <c r="K2231" s="468" t="s">
        <v>9219</v>
      </c>
      <c r="L2231" s="468" t="s">
        <v>2354</v>
      </c>
    </row>
    <row r="2232" spans="1:12" x14ac:dyDescent="0.25">
      <c r="A2232" s="468" t="s">
        <v>220</v>
      </c>
      <c r="B2232" s="468" t="s">
        <v>2351</v>
      </c>
      <c r="C2232" s="468" t="s">
        <v>4862</v>
      </c>
      <c r="D2232" s="468" t="s">
        <v>4841</v>
      </c>
      <c r="F2232" s="470">
        <v>168</v>
      </c>
      <c r="G2232" s="468">
        <v>0.19515999999999997</v>
      </c>
      <c r="H2232" s="479">
        <v>32.786879999999996</v>
      </c>
      <c r="I2232" s="468" t="s">
        <v>9218</v>
      </c>
      <c r="J2232" s="468" t="s">
        <v>9219</v>
      </c>
      <c r="K2232" s="468" t="s">
        <v>9219</v>
      </c>
      <c r="L2232" s="468" t="s">
        <v>2354</v>
      </c>
    </row>
    <row r="2233" spans="1:12" x14ac:dyDescent="0.25">
      <c r="A2233" s="468" t="s">
        <v>220</v>
      </c>
      <c r="B2233" s="468" t="s">
        <v>2351</v>
      </c>
      <c r="C2233" s="468" t="s">
        <v>4863</v>
      </c>
      <c r="D2233" s="468" t="s">
        <v>4864</v>
      </c>
      <c r="F2233" s="470">
        <v>93</v>
      </c>
      <c r="G2233" s="468">
        <v>0.43010585751978891</v>
      </c>
      <c r="H2233" s="479">
        <v>39.999844749340369</v>
      </c>
      <c r="I2233" s="468" t="s">
        <v>9218</v>
      </c>
      <c r="J2233" s="468" t="s">
        <v>9219</v>
      </c>
      <c r="K2233" s="468" t="s">
        <v>9219</v>
      </c>
      <c r="L2233" s="468" t="s">
        <v>2354</v>
      </c>
    </row>
    <row r="2234" spans="1:12" x14ac:dyDescent="0.25">
      <c r="A2234" s="468" t="s">
        <v>220</v>
      </c>
      <c r="B2234" s="468" t="s">
        <v>2351</v>
      </c>
      <c r="C2234" s="468" t="s">
        <v>4865</v>
      </c>
      <c r="D2234" s="468" t="s">
        <v>4866</v>
      </c>
      <c r="F2234" s="470">
        <v>336</v>
      </c>
      <c r="G2234" s="468">
        <v>0.51533571428571434</v>
      </c>
      <c r="H2234" s="479">
        <v>173.15280000000001</v>
      </c>
      <c r="I2234" s="468" t="s">
        <v>9218</v>
      </c>
      <c r="J2234" s="468" t="s">
        <v>9219</v>
      </c>
      <c r="K2234" s="468" t="s">
        <v>9219</v>
      </c>
      <c r="L2234" s="468" t="s">
        <v>2354</v>
      </c>
    </row>
    <row r="2235" spans="1:12" x14ac:dyDescent="0.25">
      <c r="A2235" s="468" t="s">
        <v>220</v>
      </c>
      <c r="B2235" s="468" t="s">
        <v>2351</v>
      </c>
      <c r="C2235" s="468" t="s">
        <v>4867</v>
      </c>
      <c r="D2235" s="468" t="s">
        <v>4868</v>
      </c>
      <c r="F2235" s="470">
        <v>181</v>
      </c>
      <c r="G2235" s="468">
        <v>0.32600000000000001</v>
      </c>
      <c r="H2235" s="479">
        <v>59.006</v>
      </c>
      <c r="I2235" s="468" t="s">
        <v>9218</v>
      </c>
      <c r="J2235" s="468" t="s">
        <v>9219</v>
      </c>
      <c r="K2235" s="468" t="s">
        <v>9219</v>
      </c>
      <c r="L2235" s="468" t="s">
        <v>2354</v>
      </c>
    </row>
    <row r="2236" spans="1:12" x14ac:dyDescent="0.25">
      <c r="A2236" s="468" t="s">
        <v>220</v>
      </c>
      <c r="B2236" s="468" t="s">
        <v>2351</v>
      </c>
      <c r="C2236" s="468" t="s">
        <v>4869</v>
      </c>
      <c r="D2236" s="468" t="s">
        <v>4870</v>
      </c>
      <c r="F2236" s="470">
        <v>72</v>
      </c>
      <c r="G2236" s="468">
        <v>0.83717239130434784</v>
      </c>
      <c r="H2236" s="479">
        <v>60.276412173913045</v>
      </c>
      <c r="I2236" s="468" t="s">
        <v>9218</v>
      </c>
      <c r="J2236" s="468" t="s">
        <v>9219</v>
      </c>
      <c r="K2236" s="468" t="s">
        <v>9219</v>
      </c>
      <c r="L2236" s="468" t="s">
        <v>2354</v>
      </c>
    </row>
    <row r="2237" spans="1:12" x14ac:dyDescent="0.25">
      <c r="A2237" s="468" t="s">
        <v>220</v>
      </c>
      <c r="B2237" s="468" t="s">
        <v>2351</v>
      </c>
      <c r="C2237" s="468" t="s">
        <v>4871</v>
      </c>
      <c r="D2237" s="468" t="s">
        <v>4872</v>
      </c>
      <c r="F2237" s="470">
        <v>104</v>
      </c>
      <c r="G2237" s="468">
        <v>1.0309999999999999</v>
      </c>
      <c r="H2237" s="479">
        <v>107.22399999999999</v>
      </c>
      <c r="I2237" s="468" t="s">
        <v>9218</v>
      </c>
      <c r="J2237" s="468" t="s">
        <v>9219</v>
      </c>
      <c r="K2237" s="468" t="s">
        <v>9219</v>
      </c>
      <c r="L2237" s="468" t="s">
        <v>2354</v>
      </c>
    </row>
    <row r="2238" spans="1:12" x14ac:dyDescent="0.25">
      <c r="A2238" s="468" t="s">
        <v>220</v>
      </c>
      <c r="B2238" s="468" t="s">
        <v>2351</v>
      </c>
      <c r="C2238" s="468" t="s">
        <v>4873</v>
      </c>
      <c r="D2238" s="468" t="s">
        <v>4874</v>
      </c>
      <c r="F2238" s="470">
        <v>70</v>
      </c>
      <c r="G2238" s="468">
        <v>0.63200000000000001</v>
      </c>
      <c r="H2238" s="479">
        <v>44.24</v>
      </c>
      <c r="I2238" s="468" t="s">
        <v>9218</v>
      </c>
      <c r="J2238" s="468" t="s">
        <v>9219</v>
      </c>
      <c r="K2238" s="468" t="s">
        <v>9219</v>
      </c>
      <c r="L2238" s="468" t="s">
        <v>2354</v>
      </c>
    </row>
    <row r="2239" spans="1:12" x14ac:dyDescent="0.25">
      <c r="A2239" s="468" t="s">
        <v>220</v>
      </c>
      <c r="B2239" s="468" t="s">
        <v>2351</v>
      </c>
      <c r="C2239" s="468" t="s">
        <v>4875</v>
      </c>
      <c r="D2239" s="468" t="s">
        <v>4876</v>
      </c>
      <c r="F2239" s="470">
        <v>104</v>
      </c>
      <c r="G2239" s="468">
        <v>1.078997948051948</v>
      </c>
      <c r="H2239" s="479">
        <v>112.2157865974026</v>
      </c>
      <c r="I2239" s="468" t="s">
        <v>9218</v>
      </c>
      <c r="J2239" s="468" t="s">
        <v>9219</v>
      </c>
      <c r="K2239" s="468" t="s">
        <v>9219</v>
      </c>
      <c r="L2239" s="468" t="s">
        <v>2354</v>
      </c>
    </row>
    <row r="2240" spans="1:12" x14ac:dyDescent="0.25">
      <c r="A2240" s="468" t="s">
        <v>220</v>
      </c>
      <c r="B2240" s="468" t="s">
        <v>2351</v>
      </c>
      <c r="D2240" s="468" t="s">
        <v>9374</v>
      </c>
      <c r="F2240" s="470">
        <v>152</v>
      </c>
      <c r="G2240" s="468">
        <v>0.156</v>
      </c>
      <c r="H2240" s="479">
        <v>23.712</v>
      </c>
      <c r="I2240" s="468" t="s">
        <v>9218</v>
      </c>
      <c r="J2240" s="468" t="s">
        <v>9219</v>
      </c>
      <c r="K2240" s="468" t="s">
        <v>9219</v>
      </c>
      <c r="L2240" s="468" t="s">
        <v>2354</v>
      </c>
    </row>
    <row r="2241" spans="1:12" x14ac:dyDescent="0.25">
      <c r="A2241" s="468" t="s">
        <v>220</v>
      </c>
      <c r="B2241" s="468" t="s">
        <v>2351</v>
      </c>
      <c r="C2241" s="468" t="s">
        <v>4877</v>
      </c>
      <c r="D2241" s="468" t="s">
        <v>4878</v>
      </c>
      <c r="F2241" s="470">
        <v>123</v>
      </c>
      <c r="G2241" s="468">
        <v>1.0269999999999999</v>
      </c>
      <c r="H2241" s="479">
        <v>126.32099999999998</v>
      </c>
      <c r="I2241" s="468" t="s">
        <v>9218</v>
      </c>
      <c r="J2241" s="468" t="s">
        <v>9219</v>
      </c>
      <c r="K2241" s="468" t="s">
        <v>9219</v>
      </c>
      <c r="L2241" s="468" t="s">
        <v>2354</v>
      </c>
    </row>
    <row r="2242" spans="1:12" x14ac:dyDescent="0.25">
      <c r="A2242" s="468" t="s">
        <v>220</v>
      </c>
      <c r="B2242" s="468" t="s">
        <v>2351</v>
      </c>
      <c r="C2242" s="468" t="s">
        <v>4879</v>
      </c>
      <c r="D2242" s="468" t="s">
        <v>4880</v>
      </c>
      <c r="F2242" s="470">
        <v>180</v>
      </c>
      <c r="H2242" s="479">
        <v>0</v>
      </c>
      <c r="I2242" s="468" t="s">
        <v>9218</v>
      </c>
      <c r="J2242" s="468" t="s">
        <v>9219</v>
      </c>
      <c r="K2242" s="468" t="s">
        <v>9219</v>
      </c>
      <c r="L2242" s="468" t="s">
        <v>2354</v>
      </c>
    </row>
    <row r="2243" spans="1:12" x14ac:dyDescent="0.25">
      <c r="A2243" s="468" t="s">
        <v>220</v>
      </c>
      <c r="B2243" s="468" t="s">
        <v>2351</v>
      </c>
      <c r="C2243" s="468" t="s">
        <v>4881</v>
      </c>
      <c r="D2243" s="468" t="s">
        <v>4882</v>
      </c>
      <c r="F2243" s="470">
        <v>140</v>
      </c>
      <c r="G2243" s="468">
        <v>0.224</v>
      </c>
      <c r="H2243" s="479">
        <v>31.36</v>
      </c>
      <c r="I2243" s="468" t="s">
        <v>9218</v>
      </c>
      <c r="J2243" s="468" t="s">
        <v>9219</v>
      </c>
      <c r="K2243" s="468" t="s">
        <v>9219</v>
      </c>
      <c r="L2243" s="468" t="s">
        <v>2354</v>
      </c>
    </row>
    <row r="2244" spans="1:12" x14ac:dyDescent="0.25">
      <c r="A2244" s="468" t="s">
        <v>220</v>
      </c>
      <c r="B2244" s="468" t="s">
        <v>2351</v>
      </c>
      <c r="C2244" s="468" t="s">
        <v>4883</v>
      </c>
      <c r="D2244" s="468" t="s">
        <v>4884</v>
      </c>
      <c r="F2244" s="470">
        <v>200</v>
      </c>
      <c r="G2244" s="468">
        <v>0.29299999999999998</v>
      </c>
      <c r="H2244" s="479">
        <v>58.599999999999994</v>
      </c>
      <c r="I2244" s="468" t="s">
        <v>9218</v>
      </c>
      <c r="J2244" s="468" t="s">
        <v>9219</v>
      </c>
      <c r="K2244" s="468" t="s">
        <v>9219</v>
      </c>
      <c r="L2244" s="468" t="s">
        <v>2354</v>
      </c>
    </row>
    <row r="2245" spans="1:12" x14ac:dyDescent="0.25">
      <c r="A2245" s="468" t="s">
        <v>220</v>
      </c>
      <c r="B2245" s="468" t="s">
        <v>2351</v>
      </c>
      <c r="C2245" s="468" t="s">
        <v>4885</v>
      </c>
      <c r="D2245" s="468" t="s">
        <v>4886</v>
      </c>
      <c r="F2245" s="470">
        <v>120</v>
      </c>
      <c r="G2245" s="468">
        <v>0.49233774696707111</v>
      </c>
      <c r="H2245" s="479">
        <v>59.080529636048531</v>
      </c>
      <c r="I2245" s="468" t="s">
        <v>9218</v>
      </c>
      <c r="J2245" s="468" t="s">
        <v>9219</v>
      </c>
      <c r="K2245" s="468" t="s">
        <v>9219</v>
      </c>
      <c r="L2245" s="468" t="s">
        <v>2354</v>
      </c>
    </row>
    <row r="2246" spans="1:12" x14ac:dyDescent="0.25">
      <c r="A2246" s="468" t="s">
        <v>220</v>
      </c>
      <c r="B2246" s="468" t="s">
        <v>2351</v>
      </c>
      <c r="C2246" s="468" t="s">
        <v>4887</v>
      </c>
      <c r="D2246" s="468" t="s">
        <v>4888</v>
      </c>
      <c r="F2246" s="470">
        <v>140</v>
      </c>
      <c r="G2246" s="468">
        <v>0.71399999999999997</v>
      </c>
      <c r="H2246" s="479">
        <v>99.96</v>
      </c>
      <c r="I2246" s="468" t="s">
        <v>9218</v>
      </c>
      <c r="J2246" s="468" t="s">
        <v>9219</v>
      </c>
      <c r="K2246" s="468" t="s">
        <v>9219</v>
      </c>
      <c r="L2246" s="468" t="s">
        <v>2354</v>
      </c>
    </row>
    <row r="2247" spans="1:12" x14ac:dyDescent="0.25">
      <c r="A2247" s="468" t="s">
        <v>220</v>
      </c>
      <c r="B2247" s="468" t="s">
        <v>2351</v>
      </c>
      <c r="C2247" s="468" t="s">
        <v>4889</v>
      </c>
      <c r="D2247" s="468" t="s">
        <v>4890</v>
      </c>
      <c r="F2247" s="470">
        <v>20</v>
      </c>
      <c r="G2247" s="468">
        <v>0.78539999999999988</v>
      </c>
      <c r="H2247" s="479">
        <v>15.707999999999998</v>
      </c>
      <c r="I2247" s="468" t="s">
        <v>9218</v>
      </c>
      <c r="J2247" s="468" t="s">
        <v>9219</v>
      </c>
      <c r="K2247" s="468" t="s">
        <v>9219</v>
      </c>
      <c r="L2247" s="468" t="s">
        <v>2354</v>
      </c>
    </row>
    <row r="2248" spans="1:12" x14ac:dyDescent="0.25">
      <c r="A2248" s="468" t="s">
        <v>220</v>
      </c>
      <c r="B2248" s="468" t="s">
        <v>2351</v>
      </c>
      <c r="C2248" s="468" t="s">
        <v>4891</v>
      </c>
      <c r="D2248" s="468" t="s">
        <v>4892</v>
      </c>
      <c r="F2248" s="470">
        <v>100</v>
      </c>
      <c r="G2248" s="468">
        <v>0.82448999999999995</v>
      </c>
      <c r="H2248" s="479">
        <v>82.448999999999998</v>
      </c>
      <c r="I2248" s="468" t="s">
        <v>9218</v>
      </c>
      <c r="J2248" s="468" t="s">
        <v>9219</v>
      </c>
      <c r="K2248" s="468" t="s">
        <v>9219</v>
      </c>
      <c r="L2248" s="468" t="s">
        <v>2354</v>
      </c>
    </row>
    <row r="2249" spans="1:12" x14ac:dyDescent="0.25">
      <c r="A2249" s="468" t="s">
        <v>220</v>
      </c>
      <c r="B2249" s="468" t="s">
        <v>2351</v>
      </c>
      <c r="C2249" s="468" t="s">
        <v>4893</v>
      </c>
      <c r="D2249" s="468" t="s">
        <v>4894</v>
      </c>
      <c r="F2249" s="470">
        <v>150</v>
      </c>
      <c r="G2249" s="468">
        <v>1.3174999999999999</v>
      </c>
      <c r="H2249" s="479">
        <v>197.62499999999997</v>
      </c>
      <c r="I2249" s="468" t="s">
        <v>9218</v>
      </c>
      <c r="J2249" s="468" t="s">
        <v>9219</v>
      </c>
      <c r="K2249" s="468" t="s">
        <v>9219</v>
      </c>
      <c r="L2249" s="468" t="s">
        <v>2354</v>
      </c>
    </row>
    <row r="2250" spans="1:12" x14ac:dyDescent="0.25">
      <c r="A2250" s="468" t="s">
        <v>220</v>
      </c>
      <c r="B2250" s="468" t="s">
        <v>2351</v>
      </c>
      <c r="C2250" s="468" t="s">
        <v>4895</v>
      </c>
      <c r="D2250" s="468" t="s">
        <v>4896</v>
      </c>
      <c r="F2250" s="470">
        <v>85</v>
      </c>
      <c r="G2250" s="468">
        <v>0.82450000000000001</v>
      </c>
      <c r="H2250" s="479">
        <v>70.082499999999996</v>
      </c>
      <c r="I2250" s="468" t="s">
        <v>9218</v>
      </c>
      <c r="J2250" s="468" t="s">
        <v>9219</v>
      </c>
      <c r="K2250" s="468" t="s">
        <v>9219</v>
      </c>
      <c r="L2250" s="468" t="s">
        <v>2354</v>
      </c>
    </row>
    <row r="2251" spans="1:12" x14ac:dyDescent="0.25">
      <c r="A2251" s="468" t="s">
        <v>220</v>
      </c>
      <c r="B2251" s="468" t="s">
        <v>2351</v>
      </c>
      <c r="C2251" s="468" t="s">
        <v>4897</v>
      </c>
      <c r="D2251" s="468" t="s">
        <v>4898</v>
      </c>
      <c r="F2251" s="470">
        <v>130</v>
      </c>
      <c r="G2251" s="468">
        <v>1.9635</v>
      </c>
      <c r="H2251" s="479">
        <v>255.255</v>
      </c>
      <c r="I2251" s="468" t="s">
        <v>9218</v>
      </c>
      <c r="J2251" s="468" t="s">
        <v>9219</v>
      </c>
      <c r="K2251" s="468" t="s">
        <v>9219</v>
      </c>
      <c r="L2251" s="468" t="s">
        <v>2354</v>
      </c>
    </row>
    <row r="2252" spans="1:12" x14ac:dyDescent="0.25">
      <c r="A2252" s="468" t="s">
        <v>220</v>
      </c>
      <c r="B2252" s="468" t="s">
        <v>2351</v>
      </c>
      <c r="D2252" s="468" t="s">
        <v>9375</v>
      </c>
      <c r="F2252" s="470">
        <v>100</v>
      </c>
      <c r="G2252" s="468">
        <v>0.94699999999999995</v>
      </c>
      <c r="H2252" s="479">
        <v>94.699999999999989</v>
      </c>
      <c r="I2252" s="468" t="s">
        <v>9218</v>
      </c>
      <c r="J2252" s="468" t="s">
        <v>9219</v>
      </c>
      <c r="K2252" s="468" t="s">
        <v>9219</v>
      </c>
      <c r="L2252" s="468" t="s">
        <v>2354</v>
      </c>
    </row>
    <row r="2253" spans="1:12" x14ac:dyDescent="0.25">
      <c r="A2253" s="468" t="s">
        <v>220</v>
      </c>
      <c r="B2253" s="468" t="s">
        <v>2351</v>
      </c>
      <c r="C2253" s="468" t="s">
        <v>4899</v>
      </c>
      <c r="D2253" s="468" t="s">
        <v>4900</v>
      </c>
      <c r="F2253" s="470">
        <v>60</v>
      </c>
      <c r="G2253" s="468">
        <v>2.2949999999999999</v>
      </c>
      <c r="H2253" s="479">
        <v>137.69999999999999</v>
      </c>
      <c r="I2253" s="468" t="s">
        <v>9218</v>
      </c>
      <c r="J2253" s="468" t="s">
        <v>9219</v>
      </c>
      <c r="K2253" s="468" t="s">
        <v>9219</v>
      </c>
      <c r="L2253" s="468" t="s">
        <v>2354</v>
      </c>
    </row>
    <row r="2254" spans="1:12" x14ac:dyDescent="0.25">
      <c r="A2254" s="468" t="s">
        <v>220</v>
      </c>
      <c r="B2254" s="468" t="s">
        <v>2351</v>
      </c>
      <c r="C2254" s="468" t="s">
        <v>4901</v>
      </c>
      <c r="D2254" s="468" t="s">
        <v>4902</v>
      </c>
      <c r="F2254" s="470">
        <v>20</v>
      </c>
      <c r="G2254" s="468">
        <v>0.218</v>
      </c>
      <c r="H2254" s="479">
        <v>4.3600000000000003</v>
      </c>
      <c r="I2254" s="468" t="s">
        <v>9218</v>
      </c>
      <c r="J2254" s="468" t="s">
        <v>9219</v>
      </c>
      <c r="K2254" s="468" t="s">
        <v>9219</v>
      </c>
      <c r="L2254" s="468" t="s">
        <v>2354</v>
      </c>
    </row>
    <row r="2255" spans="1:12" x14ac:dyDescent="0.25">
      <c r="A2255" s="468" t="s">
        <v>220</v>
      </c>
      <c r="B2255" s="468" t="s">
        <v>2351</v>
      </c>
      <c r="C2255" s="468" t="s">
        <v>4903</v>
      </c>
      <c r="D2255" s="468" t="s">
        <v>4904</v>
      </c>
      <c r="F2255" s="470">
        <v>88</v>
      </c>
      <c r="G2255" s="468">
        <v>0.31818000000000002</v>
      </c>
      <c r="H2255" s="479">
        <v>27.999840000000003</v>
      </c>
      <c r="I2255" s="468" t="s">
        <v>9218</v>
      </c>
      <c r="J2255" s="468" t="s">
        <v>9219</v>
      </c>
      <c r="K2255" s="468" t="s">
        <v>9219</v>
      </c>
      <c r="L2255" s="468" t="s">
        <v>2354</v>
      </c>
    </row>
    <row r="2256" spans="1:12" x14ac:dyDescent="0.25">
      <c r="A2256" s="468" t="s">
        <v>220</v>
      </c>
      <c r="B2256" s="468" t="s">
        <v>2351</v>
      </c>
      <c r="C2256" s="468" t="s">
        <v>4905</v>
      </c>
      <c r="D2256" s="468" t="s">
        <v>4906</v>
      </c>
      <c r="F2256" s="470">
        <v>170</v>
      </c>
      <c r="G2256" s="468">
        <v>0.44500000000000001</v>
      </c>
      <c r="H2256" s="479">
        <v>75.650000000000006</v>
      </c>
      <c r="I2256" s="468" t="s">
        <v>9218</v>
      </c>
      <c r="J2256" s="468" t="s">
        <v>9219</v>
      </c>
      <c r="K2256" s="468" t="s">
        <v>9219</v>
      </c>
      <c r="L2256" s="468" t="s">
        <v>2354</v>
      </c>
    </row>
    <row r="2257" spans="1:12" x14ac:dyDescent="0.25">
      <c r="A2257" s="468" t="s">
        <v>220</v>
      </c>
      <c r="B2257" s="468" t="s">
        <v>2351</v>
      </c>
      <c r="C2257" s="468" t="s">
        <v>4907</v>
      </c>
      <c r="D2257" s="468" t="s">
        <v>4908</v>
      </c>
      <c r="F2257" s="470">
        <v>32</v>
      </c>
      <c r="G2257" s="468">
        <v>0.58799999999999997</v>
      </c>
      <c r="H2257" s="479">
        <v>18.815999999999999</v>
      </c>
      <c r="I2257" s="468" t="s">
        <v>9218</v>
      </c>
      <c r="J2257" s="468" t="s">
        <v>9219</v>
      </c>
      <c r="K2257" s="468" t="s">
        <v>9219</v>
      </c>
      <c r="L2257" s="468" t="s">
        <v>2354</v>
      </c>
    </row>
    <row r="2258" spans="1:12" x14ac:dyDescent="0.25">
      <c r="A2258" s="468" t="s">
        <v>220</v>
      </c>
      <c r="B2258" s="468" t="s">
        <v>2351</v>
      </c>
      <c r="C2258" s="468" t="s">
        <v>4909</v>
      </c>
      <c r="D2258" s="468" t="s">
        <v>4910</v>
      </c>
      <c r="F2258" s="470">
        <v>91</v>
      </c>
      <c r="G2258" s="468">
        <v>0.78200000000000003</v>
      </c>
      <c r="H2258" s="479">
        <v>71.162000000000006</v>
      </c>
      <c r="I2258" s="468" t="s">
        <v>9218</v>
      </c>
      <c r="J2258" s="468" t="s">
        <v>9219</v>
      </c>
      <c r="K2258" s="468" t="s">
        <v>9219</v>
      </c>
      <c r="L2258" s="468" t="s">
        <v>2354</v>
      </c>
    </row>
    <row r="2259" spans="1:12" x14ac:dyDescent="0.25">
      <c r="A2259" s="468" t="s">
        <v>220</v>
      </c>
      <c r="B2259" s="468" t="s">
        <v>2351</v>
      </c>
      <c r="C2259" s="468" t="s">
        <v>4911</v>
      </c>
      <c r="D2259" s="468" t="s">
        <v>4912</v>
      </c>
      <c r="F2259" s="470">
        <v>40</v>
      </c>
      <c r="G2259" s="468">
        <v>0.69615000000000005</v>
      </c>
      <c r="H2259" s="479">
        <v>27.846000000000004</v>
      </c>
      <c r="I2259" s="468" t="s">
        <v>9218</v>
      </c>
      <c r="J2259" s="468" t="s">
        <v>9219</v>
      </c>
      <c r="K2259" s="468" t="s">
        <v>9219</v>
      </c>
      <c r="L2259" s="468" t="s">
        <v>2354</v>
      </c>
    </row>
    <row r="2260" spans="1:12" x14ac:dyDescent="0.25">
      <c r="A2260" s="468" t="s">
        <v>220</v>
      </c>
      <c r="B2260" s="468" t="s">
        <v>2351</v>
      </c>
      <c r="C2260" s="468" t="s">
        <v>4913</v>
      </c>
      <c r="D2260" s="468" t="s">
        <v>4914</v>
      </c>
      <c r="F2260" s="470">
        <v>100</v>
      </c>
      <c r="G2260" s="468">
        <v>1.071</v>
      </c>
      <c r="H2260" s="479">
        <v>107.1</v>
      </c>
      <c r="I2260" s="468" t="s">
        <v>9218</v>
      </c>
      <c r="J2260" s="468" t="s">
        <v>9219</v>
      </c>
      <c r="K2260" s="468" t="s">
        <v>9219</v>
      </c>
      <c r="L2260" s="468" t="s">
        <v>2354</v>
      </c>
    </row>
    <row r="2261" spans="1:12" x14ac:dyDescent="0.25">
      <c r="A2261" s="468" t="s">
        <v>220</v>
      </c>
      <c r="B2261" s="468" t="s">
        <v>2351</v>
      </c>
      <c r="C2261" s="468" t="s">
        <v>4915</v>
      </c>
      <c r="D2261" s="468" t="s">
        <v>4916</v>
      </c>
      <c r="F2261" s="470">
        <v>80</v>
      </c>
      <c r="G2261" s="468">
        <v>1.5776000000000001</v>
      </c>
      <c r="H2261" s="479">
        <v>126.20800000000001</v>
      </c>
      <c r="I2261" s="468" t="s">
        <v>9218</v>
      </c>
      <c r="J2261" s="468" t="s">
        <v>9219</v>
      </c>
      <c r="K2261" s="468" t="s">
        <v>9219</v>
      </c>
      <c r="L2261" s="468" t="s">
        <v>2354</v>
      </c>
    </row>
    <row r="2262" spans="1:12" x14ac:dyDescent="0.25">
      <c r="A2262" s="468" t="s">
        <v>220</v>
      </c>
      <c r="B2262" s="468" t="s">
        <v>2351</v>
      </c>
      <c r="C2262" s="468" t="s">
        <v>4917</v>
      </c>
      <c r="D2262" s="468" t="s">
        <v>4918</v>
      </c>
      <c r="F2262" s="470">
        <v>51</v>
      </c>
      <c r="G2262" s="468">
        <v>1.069E-2</v>
      </c>
      <c r="H2262" s="479">
        <v>0.54518999999999995</v>
      </c>
      <c r="I2262" s="468" t="s">
        <v>9218</v>
      </c>
      <c r="J2262" s="468" t="s">
        <v>9219</v>
      </c>
      <c r="K2262" s="468" t="s">
        <v>9219</v>
      </c>
      <c r="L2262" s="468" t="s">
        <v>2354</v>
      </c>
    </row>
    <row r="2263" spans="1:12" x14ac:dyDescent="0.25">
      <c r="A2263" s="468" t="s">
        <v>220</v>
      </c>
      <c r="B2263" s="468" t="s">
        <v>2351</v>
      </c>
      <c r="C2263" s="468" t="s">
        <v>4919</v>
      </c>
      <c r="D2263" s="468" t="s">
        <v>4920</v>
      </c>
      <c r="F2263" s="470">
        <v>703</v>
      </c>
      <c r="G2263" s="468">
        <v>2.8000000000000001E-2</v>
      </c>
      <c r="H2263" s="479">
        <v>19.684000000000001</v>
      </c>
      <c r="I2263" s="468" t="s">
        <v>9218</v>
      </c>
      <c r="J2263" s="468" t="s">
        <v>9219</v>
      </c>
      <c r="K2263" s="468" t="s">
        <v>9219</v>
      </c>
      <c r="L2263" s="468" t="s">
        <v>2354</v>
      </c>
    </row>
    <row r="2264" spans="1:12" x14ac:dyDescent="0.25">
      <c r="A2264" s="468" t="s">
        <v>220</v>
      </c>
      <c r="B2264" s="468" t="s">
        <v>2351</v>
      </c>
      <c r="C2264" s="468" t="s">
        <v>4921</v>
      </c>
      <c r="D2264" s="468" t="s">
        <v>4922</v>
      </c>
      <c r="F2264" s="470">
        <v>523</v>
      </c>
      <c r="G2264" s="468">
        <v>2.1999999999999999E-2</v>
      </c>
      <c r="H2264" s="479">
        <v>11.505999999999998</v>
      </c>
      <c r="I2264" s="468" t="s">
        <v>9218</v>
      </c>
      <c r="J2264" s="468" t="s">
        <v>9219</v>
      </c>
      <c r="K2264" s="468" t="s">
        <v>9219</v>
      </c>
      <c r="L2264" s="468" t="s">
        <v>2354</v>
      </c>
    </row>
    <row r="2265" spans="1:12" x14ac:dyDescent="0.25">
      <c r="A2265" s="468" t="s">
        <v>220</v>
      </c>
      <c r="B2265" s="468" t="s">
        <v>2351</v>
      </c>
      <c r="C2265" s="468" t="s">
        <v>4923</v>
      </c>
      <c r="D2265" s="468" t="s">
        <v>4924</v>
      </c>
      <c r="F2265" s="470">
        <v>649</v>
      </c>
      <c r="G2265" s="468">
        <v>0.06</v>
      </c>
      <c r="H2265" s="479">
        <v>38.94</v>
      </c>
      <c r="I2265" s="468" t="s">
        <v>9218</v>
      </c>
      <c r="J2265" s="468" t="s">
        <v>9219</v>
      </c>
      <c r="K2265" s="468" t="s">
        <v>9219</v>
      </c>
      <c r="L2265" s="468" t="s">
        <v>2354</v>
      </c>
    </row>
    <row r="2266" spans="1:12" x14ac:dyDescent="0.25">
      <c r="A2266" s="468" t="s">
        <v>220</v>
      </c>
      <c r="B2266" s="468" t="s">
        <v>2351</v>
      </c>
      <c r="C2266" s="468" t="s">
        <v>4925</v>
      </c>
      <c r="D2266" s="468" t="s">
        <v>4926</v>
      </c>
      <c r="F2266" s="470">
        <v>742</v>
      </c>
      <c r="G2266" s="468">
        <v>0.13600000000000001</v>
      </c>
      <c r="H2266" s="479">
        <v>100.91200000000001</v>
      </c>
      <c r="I2266" s="468" t="s">
        <v>9218</v>
      </c>
      <c r="J2266" s="468" t="s">
        <v>9219</v>
      </c>
      <c r="K2266" s="468" t="s">
        <v>9219</v>
      </c>
      <c r="L2266" s="468" t="s">
        <v>2354</v>
      </c>
    </row>
    <row r="2267" spans="1:12" x14ac:dyDescent="0.25">
      <c r="A2267" s="468" t="s">
        <v>220</v>
      </c>
      <c r="B2267" s="468" t="s">
        <v>2351</v>
      </c>
      <c r="C2267" s="468" t="s">
        <v>4927</v>
      </c>
      <c r="D2267" s="468" t="s">
        <v>4928</v>
      </c>
      <c r="F2267" s="470">
        <v>360</v>
      </c>
      <c r="G2267" s="468">
        <v>0.13200000000000001</v>
      </c>
      <c r="H2267" s="479">
        <v>47.52</v>
      </c>
      <c r="I2267" s="468" t="s">
        <v>9218</v>
      </c>
      <c r="J2267" s="468" t="s">
        <v>9219</v>
      </c>
      <c r="K2267" s="468" t="s">
        <v>9219</v>
      </c>
      <c r="L2267" s="468" t="s">
        <v>2354</v>
      </c>
    </row>
    <row r="2268" spans="1:12" x14ac:dyDescent="0.25">
      <c r="A2268" s="468" t="s">
        <v>220</v>
      </c>
      <c r="B2268" s="468" t="s">
        <v>2351</v>
      </c>
      <c r="C2268" s="468" t="s">
        <v>4929</v>
      </c>
      <c r="D2268" s="468" t="s">
        <v>4930</v>
      </c>
      <c r="F2268" s="470">
        <v>534</v>
      </c>
      <c r="G2268" s="468">
        <v>0.34499999999999997</v>
      </c>
      <c r="H2268" s="479">
        <v>184.23</v>
      </c>
      <c r="I2268" s="468" t="s">
        <v>9218</v>
      </c>
      <c r="J2268" s="468" t="s">
        <v>9219</v>
      </c>
      <c r="K2268" s="468" t="s">
        <v>9219</v>
      </c>
      <c r="L2268" s="468" t="s">
        <v>2354</v>
      </c>
    </row>
    <row r="2269" spans="1:12" x14ac:dyDescent="0.25">
      <c r="A2269" s="468" t="s">
        <v>220</v>
      </c>
      <c r="B2269" s="468" t="s">
        <v>2351</v>
      </c>
      <c r="C2269" s="468" t="s">
        <v>4931</v>
      </c>
      <c r="D2269" s="468" t="s">
        <v>4932</v>
      </c>
      <c r="F2269" s="470">
        <v>210</v>
      </c>
      <c r="G2269" s="468">
        <v>7.8E-2</v>
      </c>
      <c r="H2269" s="479">
        <v>16.38</v>
      </c>
      <c r="I2269" s="468" t="s">
        <v>9218</v>
      </c>
      <c r="J2269" s="468" t="s">
        <v>9219</v>
      </c>
      <c r="K2269" s="468" t="s">
        <v>9219</v>
      </c>
      <c r="L2269" s="468" t="s">
        <v>2354</v>
      </c>
    </row>
    <row r="2270" spans="1:12" x14ac:dyDescent="0.25">
      <c r="A2270" s="468" t="s">
        <v>220</v>
      </c>
      <c r="B2270" s="468" t="s">
        <v>2351</v>
      </c>
      <c r="C2270" s="468" t="s">
        <v>4933</v>
      </c>
      <c r="D2270" s="468" t="s">
        <v>4934</v>
      </c>
      <c r="F2270" s="470">
        <v>369</v>
      </c>
      <c r="G2270" s="468">
        <v>7.1999999999999995E-2</v>
      </c>
      <c r="H2270" s="479">
        <v>26.567999999999998</v>
      </c>
      <c r="I2270" s="468" t="s">
        <v>9218</v>
      </c>
      <c r="J2270" s="468" t="s">
        <v>9219</v>
      </c>
      <c r="K2270" s="468" t="s">
        <v>9219</v>
      </c>
      <c r="L2270" s="468" t="s">
        <v>2354</v>
      </c>
    </row>
    <row r="2271" spans="1:12" x14ac:dyDescent="0.25">
      <c r="A2271" s="468" t="s">
        <v>220</v>
      </c>
      <c r="B2271" s="468" t="s">
        <v>2351</v>
      </c>
      <c r="C2271" s="468" t="s">
        <v>4935</v>
      </c>
      <c r="D2271" s="468" t="s">
        <v>4936</v>
      </c>
      <c r="F2271" s="470">
        <v>500</v>
      </c>
      <c r="G2271" s="468">
        <v>8.2000000000000003E-2</v>
      </c>
      <c r="H2271" s="479">
        <v>41</v>
      </c>
      <c r="I2271" s="468" t="s">
        <v>9218</v>
      </c>
      <c r="J2271" s="468" t="s">
        <v>9219</v>
      </c>
      <c r="K2271" s="468" t="s">
        <v>9219</v>
      </c>
      <c r="L2271" s="468" t="s">
        <v>2354</v>
      </c>
    </row>
    <row r="2272" spans="1:12" x14ac:dyDescent="0.25">
      <c r="A2272" s="468" t="s">
        <v>220</v>
      </c>
      <c r="B2272" s="468" t="s">
        <v>2351</v>
      </c>
      <c r="C2272" s="468" t="s">
        <v>4937</v>
      </c>
      <c r="D2272" s="468" t="s">
        <v>4938</v>
      </c>
      <c r="F2272" s="470">
        <v>428</v>
      </c>
      <c r="G2272" s="468">
        <v>0.16200000000000001</v>
      </c>
      <c r="H2272" s="479">
        <v>69.335999999999999</v>
      </c>
      <c r="I2272" s="468" t="s">
        <v>9218</v>
      </c>
      <c r="J2272" s="468" t="s">
        <v>9219</v>
      </c>
      <c r="K2272" s="468" t="s">
        <v>9219</v>
      </c>
      <c r="L2272" s="468" t="s">
        <v>2354</v>
      </c>
    </row>
    <row r="2273" spans="1:12" x14ac:dyDescent="0.25">
      <c r="A2273" s="468" t="s">
        <v>220</v>
      </c>
      <c r="B2273" s="468" t="s">
        <v>2351</v>
      </c>
      <c r="C2273" s="468" t="s">
        <v>4939</v>
      </c>
      <c r="D2273" s="468" t="s">
        <v>4940</v>
      </c>
      <c r="F2273" s="470">
        <v>208</v>
      </c>
      <c r="G2273" s="468">
        <v>0.432</v>
      </c>
      <c r="H2273" s="479">
        <v>89.855999999999995</v>
      </c>
      <c r="I2273" s="468" t="s">
        <v>9218</v>
      </c>
      <c r="J2273" s="468" t="s">
        <v>9219</v>
      </c>
      <c r="K2273" s="468" t="s">
        <v>9219</v>
      </c>
      <c r="L2273" s="468" t="s">
        <v>2354</v>
      </c>
    </row>
    <row r="2274" spans="1:12" x14ac:dyDescent="0.25">
      <c r="A2274" s="468" t="s">
        <v>220</v>
      </c>
      <c r="B2274" s="468" t="s">
        <v>2351</v>
      </c>
      <c r="C2274" s="468" t="s">
        <v>4941</v>
      </c>
      <c r="D2274" s="468" t="s">
        <v>4942</v>
      </c>
      <c r="F2274" s="470">
        <v>408</v>
      </c>
      <c r="G2274" s="468">
        <v>0.41649999999999998</v>
      </c>
      <c r="H2274" s="479">
        <v>169.93199999999999</v>
      </c>
      <c r="I2274" s="468" t="s">
        <v>9218</v>
      </c>
      <c r="J2274" s="468" t="s">
        <v>9219</v>
      </c>
      <c r="K2274" s="468" t="s">
        <v>9219</v>
      </c>
      <c r="L2274" s="468" t="s">
        <v>2354</v>
      </c>
    </row>
    <row r="2275" spans="1:12" x14ac:dyDescent="0.25">
      <c r="A2275" s="468" t="s">
        <v>220</v>
      </c>
      <c r="B2275" s="468" t="s">
        <v>2351</v>
      </c>
      <c r="C2275" s="468" t="s">
        <v>4943</v>
      </c>
      <c r="D2275" s="468" t="s">
        <v>4944</v>
      </c>
      <c r="F2275" s="470">
        <v>101</v>
      </c>
      <c r="G2275" s="468">
        <v>5.1999999999999998E-2</v>
      </c>
      <c r="H2275" s="479">
        <v>5.2519999999999998</v>
      </c>
      <c r="I2275" s="468" t="s">
        <v>9218</v>
      </c>
      <c r="J2275" s="468" t="s">
        <v>9219</v>
      </c>
      <c r="K2275" s="468" t="s">
        <v>9219</v>
      </c>
      <c r="L2275" s="468" t="s">
        <v>2354</v>
      </c>
    </row>
    <row r="2276" spans="1:12" x14ac:dyDescent="0.25">
      <c r="A2276" s="468" t="s">
        <v>220</v>
      </c>
      <c r="B2276" s="468" t="s">
        <v>2351</v>
      </c>
      <c r="C2276" s="468" t="s">
        <v>4945</v>
      </c>
      <c r="D2276" s="468" t="s">
        <v>4946</v>
      </c>
      <c r="F2276" s="470">
        <v>170</v>
      </c>
      <c r="G2276" s="468">
        <v>9.0999999999999998E-2</v>
      </c>
      <c r="H2276" s="479">
        <v>15.469999999999999</v>
      </c>
      <c r="I2276" s="468" t="s">
        <v>9218</v>
      </c>
      <c r="J2276" s="468" t="s">
        <v>9219</v>
      </c>
      <c r="K2276" s="468" t="s">
        <v>9219</v>
      </c>
      <c r="L2276" s="468" t="s">
        <v>2354</v>
      </c>
    </row>
    <row r="2277" spans="1:12" x14ac:dyDescent="0.25">
      <c r="A2277" s="468" t="s">
        <v>220</v>
      </c>
      <c r="B2277" s="468" t="s">
        <v>2351</v>
      </c>
      <c r="C2277" s="468" t="s">
        <v>4947</v>
      </c>
      <c r="D2277" s="468" t="s">
        <v>4948</v>
      </c>
      <c r="F2277" s="470">
        <v>285</v>
      </c>
      <c r="G2277" s="468">
        <v>0.08</v>
      </c>
      <c r="H2277" s="479">
        <v>22.8</v>
      </c>
      <c r="I2277" s="468" t="s">
        <v>9218</v>
      </c>
      <c r="J2277" s="468" t="s">
        <v>9219</v>
      </c>
      <c r="K2277" s="468" t="s">
        <v>9219</v>
      </c>
      <c r="L2277" s="468" t="s">
        <v>2354</v>
      </c>
    </row>
    <row r="2278" spans="1:12" x14ac:dyDescent="0.25">
      <c r="A2278" s="468" t="s">
        <v>220</v>
      </c>
      <c r="B2278" s="468" t="s">
        <v>2351</v>
      </c>
      <c r="C2278" s="468" t="s">
        <v>4949</v>
      </c>
      <c r="D2278" s="468" t="s">
        <v>4950</v>
      </c>
      <c r="F2278" s="470">
        <v>365</v>
      </c>
      <c r="G2278" s="468">
        <v>0.18895999999999999</v>
      </c>
      <c r="H2278" s="479">
        <v>68.970399999999998</v>
      </c>
      <c r="I2278" s="468" t="s">
        <v>9218</v>
      </c>
      <c r="J2278" s="468" t="s">
        <v>9219</v>
      </c>
      <c r="K2278" s="468" t="s">
        <v>9219</v>
      </c>
      <c r="L2278" s="468" t="s">
        <v>2354</v>
      </c>
    </row>
    <row r="2279" spans="1:12" x14ac:dyDescent="0.25">
      <c r="A2279" s="468" t="s">
        <v>220</v>
      </c>
      <c r="B2279" s="468" t="s">
        <v>2351</v>
      </c>
      <c r="C2279" s="468" t="s">
        <v>4951</v>
      </c>
      <c r="D2279" s="468" t="s">
        <v>4952</v>
      </c>
      <c r="F2279" s="470">
        <v>48</v>
      </c>
      <c r="G2279" s="468">
        <v>0.189</v>
      </c>
      <c r="H2279" s="479">
        <v>9.0719999999999992</v>
      </c>
      <c r="I2279" s="468" t="s">
        <v>9218</v>
      </c>
      <c r="J2279" s="468" t="s">
        <v>9219</v>
      </c>
      <c r="K2279" s="468" t="s">
        <v>9219</v>
      </c>
      <c r="L2279" s="468" t="s">
        <v>2354</v>
      </c>
    </row>
    <row r="2280" spans="1:12" x14ac:dyDescent="0.25">
      <c r="A2280" s="468" t="s">
        <v>220</v>
      </c>
      <c r="B2280" s="468" t="s">
        <v>2351</v>
      </c>
      <c r="C2280" s="468" t="s">
        <v>4953</v>
      </c>
      <c r="D2280" s="468" t="s">
        <v>4954</v>
      </c>
      <c r="F2280" s="470">
        <v>58</v>
      </c>
      <c r="G2280" s="468">
        <v>0.124</v>
      </c>
      <c r="H2280" s="479">
        <v>7.1920000000000002</v>
      </c>
      <c r="I2280" s="468" t="s">
        <v>9218</v>
      </c>
      <c r="J2280" s="468" t="s">
        <v>9219</v>
      </c>
      <c r="K2280" s="468" t="s">
        <v>9219</v>
      </c>
      <c r="L2280" s="468" t="s">
        <v>2354</v>
      </c>
    </row>
    <row r="2281" spans="1:12" x14ac:dyDescent="0.25">
      <c r="A2281" s="468" t="s">
        <v>220</v>
      </c>
      <c r="B2281" s="468" t="s">
        <v>2351</v>
      </c>
      <c r="C2281" s="468" t="s">
        <v>4955</v>
      </c>
      <c r="D2281" s="468" t="s">
        <v>4956</v>
      </c>
      <c r="F2281" s="470">
        <v>200</v>
      </c>
      <c r="G2281" s="468">
        <v>0.128</v>
      </c>
      <c r="H2281" s="479">
        <v>25.6</v>
      </c>
      <c r="I2281" s="468" t="s">
        <v>9218</v>
      </c>
      <c r="J2281" s="468" t="s">
        <v>9219</v>
      </c>
      <c r="K2281" s="468" t="s">
        <v>9219</v>
      </c>
      <c r="L2281" s="468" t="s">
        <v>2354</v>
      </c>
    </row>
    <row r="2282" spans="1:12" x14ac:dyDescent="0.25">
      <c r="A2282" s="468" t="s">
        <v>220</v>
      </c>
      <c r="B2282" s="468" t="s">
        <v>2351</v>
      </c>
      <c r="C2282" s="468" t="s">
        <v>4957</v>
      </c>
      <c r="D2282" s="468" t="s">
        <v>4958</v>
      </c>
      <c r="F2282" s="470">
        <v>65</v>
      </c>
      <c r="G2282" s="468">
        <v>0.152</v>
      </c>
      <c r="H2282" s="479">
        <v>9.879999999999999</v>
      </c>
      <c r="I2282" s="468" t="s">
        <v>9218</v>
      </c>
      <c r="J2282" s="468" t="s">
        <v>9219</v>
      </c>
      <c r="K2282" s="468" t="s">
        <v>9219</v>
      </c>
      <c r="L2282" s="468" t="s">
        <v>2354</v>
      </c>
    </row>
    <row r="2283" spans="1:12" x14ac:dyDescent="0.25">
      <c r="A2283" s="468" t="s">
        <v>220</v>
      </c>
      <c r="B2283" s="468" t="s">
        <v>2351</v>
      </c>
      <c r="C2283" s="468" t="s">
        <v>4959</v>
      </c>
      <c r="D2283" s="468" t="s">
        <v>4960</v>
      </c>
      <c r="F2283" s="470">
        <v>72</v>
      </c>
      <c r="G2283" s="468">
        <v>0.28199999999999997</v>
      </c>
      <c r="H2283" s="479">
        <v>20.303999999999998</v>
      </c>
      <c r="I2283" s="468" t="s">
        <v>9218</v>
      </c>
      <c r="J2283" s="468" t="s">
        <v>9219</v>
      </c>
      <c r="K2283" s="468" t="s">
        <v>9219</v>
      </c>
      <c r="L2283" s="468" t="s">
        <v>2354</v>
      </c>
    </row>
    <row r="2284" spans="1:12" x14ac:dyDescent="0.25">
      <c r="A2284" s="468" t="s">
        <v>220</v>
      </c>
      <c r="B2284" s="468" t="s">
        <v>2351</v>
      </c>
      <c r="C2284" s="468" t="s">
        <v>4961</v>
      </c>
      <c r="D2284" s="468" t="s">
        <v>4962</v>
      </c>
      <c r="F2284" s="470">
        <v>5</v>
      </c>
      <c r="G2284" s="468">
        <v>1.331</v>
      </c>
      <c r="H2284" s="479">
        <v>6.6549999999999994</v>
      </c>
      <c r="I2284" s="468" t="s">
        <v>9218</v>
      </c>
      <c r="J2284" s="468" t="s">
        <v>9219</v>
      </c>
      <c r="K2284" s="468" t="s">
        <v>9219</v>
      </c>
      <c r="L2284" s="468" t="s">
        <v>2354</v>
      </c>
    </row>
    <row r="2285" spans="1:12" x14ac:dyDescent="0.25">
      <c r="A2285" s="468" t="s">
        <v>220</v>
      </c>
      <c r="B2285" s="468" t="s">
        <v>2351</v>
      </c>
      <c r="C2285" s="468" t="s">
        <v>4963</v>
      </c>
      <c r="D2285" s="468" t="s">
        <v>4964</v>
      </c>
      <c r="F2285" s="470">
        <v>5.25</v>
      </c>
      <c r="G2285" s="468">
        <v>1.9410000000000001</v>
      </c>
      <c r="H2285" s="479">
        <v>10.190250000000001</v>
      </c>
      <c r="I2285" s="468" t="s">
        <v>9218</v>
      </c>
      <c r="J2285" s="468" t="s">
        <v>9219</v>
      </c>
      <c r="K2285" s="468" t="s">
        <v>9219</v>
      </c>
      <c r="L2285" s="468" t="s">
        <v>2354</v>
      </c>
    </row>
    <row r="2286" spans="1:12" x14ac:dyDescent="0.25">
      <c r="A2286" s="468" t="s">
        <v>220</v>
      </c>
      <c r="B2286" s="468" t="s">
        <v>2351</v>
      </c>
      <c r="C2286" s="468" t="s">
        <v>4965</v>
      </c>
      <c r="D2286" s="468" t="s">
        <v>4966</v>
      </c>
      <c r="F2286" s="470">
        <v>5</v>
      </c>
      <c r="G2286" s="468">
        <v>1.5629999999999999</v>
      </c>
      <c r="H2286" s="479">
        <v>7.8149999999999995</v>
      </c>
      <c r="I2286" s="468" t="s">
        <v>9218</v>
      </c>
      <c r="J2286" s="468" t="s">
        <v>9219</v>
      </c>
      <c r="K2286" s="468" t="s">
        <v>9219</v>
      </c>
      <c r="L2286" s="468" t="s">
        <v>2354</v>
      </c>
    </row>
    <row r="2287" spans="1:12" x14ac:dyDescent="0.25">
      <c r="A2287" s="468" t="s">
        <v>220</v>
      </c>
      <c r="B2287" s="468" t="s">
        <v>2351</v>
      </c>
      <c r="C2287" s="468" t="s">
        <v>4967</v>
      </c>
      <c r="D2287" s="468" t="s">
        <v>4968</v>
      </c>
      <c r="F2287" s="470">
        <v>2</v>
      </c>
      <c r="G2287" s="468">
        <v>4.2560000000000002</v>
      </c>
      <c r="H2287" s="479">
        <v>8.5120000000000005</v>
      </c>
      <c r="I2287" s="468" t="s">
        <v>9218</v>
      </c>
      <c r="J2287" s="468" t="s">
        <v>9219</v>
      </c>
      <c r="K2287" s="468" t="s">
        <v>9219</v>
      </c>
      <c r="L2287" s="468" t="s">
        <v>2354</v>
      </c>
    </row>
    <row r="2288" spans="1:12" x14ac:dyDescent="0.25">
      <c r="A2288" s="468" t="s">
        <v>220</v>
      </c>
      <c r="B2288" s="468" t="s">
        <v>2351</v>
      </c>
      <c r="C2288" s="468" t="s">
        <v>4969</v>
      </c>
      <c r="D2288" s="468" t="s">
        <v>4970</v>
      </c>
      <c r="F2288" s="470">
        <v>4</v>
      </c>
      <c r="G2288" s="468">
        <v>6.1120000000000001</v>
      </c>
      <c r="H2288" s="479">
        <v>24.448</v>
      </c>
      <c r="I2288" s="468" t="s">
        <v>9218</v>
      </c>
      <c r="J2288" s="468" t="s">
        <v>9219</v>
      </c>
      <c r="K2288" s="468" t="s">
        <v>9219</v>
      </c>
      <c r="L2288" s="468" t="s">
        <v>2354</v>
      </c>
    </row>
    <row r="2289" spans="1:12" x14ac:dyDescent="0.25">
      <c r="A2289" s="468" t="s">
        <v>220</v>
      </c>
      <c r="B2289" s="468" t="s">
        <v>2351</v>
      </c>
      <c r="C2289" s="468" t="s">
        <v>4971</v>
      </c>
      <c r="D2289" s="468" t="s">
        <v>4972</v>
      </c>
      <c r="F2289" s="470">
        <v>4</v>
      </c>
      <c r="G2289" s="468">
        <v>7.36</v>
      </c>
      <c r="H2289" s="479">
        <v>29.44</v>
      </c>
      <c r="I2289" s="468" t="s">
        <v>9218</v>
      </c>
      <c r="J2289" s="468" t="s">
        <v>9219</v>
      </c>
      <c r="K2289" s="468" t="s">
        <v>9219</v>
      </c>
      <c r="L2289" s="468" t="s">
        <v>2354</v>
      </c>
    </row>
    <row r="2290" spans="1:12" x14ac:dyDescent="0.25">
      <c r="A2290" s="468" t="s">
        <v>220</v>
      </c>
      <c r="B2290" s="468" t="s">
        <v>2351</v>
      </c>
      <c r="C2290" s="468" t="s">
        <v>4973</v>
      </c>
      <c r="D2290" s="468" t="s">
        <v>4974</v>
      </c>
      <c r="F2290" s="470">
        <v>317</v>
      </c>
      <c r="G2290" s="468">
        <v>1.7999999999999999E-2</v>
      </c>
      <c r="H2290" s="479">
        <v>5.7059999999999995</v>
      </c>
      <c r="I2290" s="468" t="s">
        <v>9218</v>
      </c>
      <c r="J2290" s="468" t="s">
        <v>9219</v>
      </c>
      <c r="K2290" s="468" t="s">
        <v>9219</v>
      </c>
      <c r="L2290" s="468" t="s">
        <v>2354</v>
      </c>
    </row>
    <row r="2291" spans="1:12" x14ac:dyDescent="0.25">
      <c r="A2291" s="468" t="s">
        <v>220</v>
      </c>
      <c r="B2291" s="468" t="s">
        <v>2351</v>
      </c>
      <c r="C2291" s="468" t="s">
        <v>4975</v>
      </c>
      <c r="D2291" s="468" t="s">
        <v>4976</v>
      </c>
      <c r="F2291" s="470">
        <v>214</v>
      </c>
      <c r="G2291" s="468">
        <v>2.8000000000000001E-2</v>
      </c>
      <c r="H2291" s="479">
        <v>5.992</v>
      </c>
      <c r="I2291" s="468" t="s">
        <v>9218</v>
      </c>
      <c r="J2291" s="468" t="s">
        <v>9219</v>
      </c>
      <c r="K2291" s="468" t="s">
        <v>9219</v>
      </c>
      <c r="L2291" s="468" t="s">
        <v>2354</v>
      </c>
    </row>
    <row r="2292" spans="1:12" x14ac:dyDescent="0.25">
      <c r="A2292" s="468" t="s">
        <v>220</v>
      </c>
      <c r="B2292" s="468" t="s">
        <v>2351</v>
      </c>
      <c r="C2292" s="468" t="s">
        <v>4977</v>
      </c>
      <c r="D2292" s="468" t="s">
        <v>4978</v>
      </c>
      <c r="F2292" s="470">
        <v>637</v>
      </c>
      <c r="G2292" s="468">
        <v>3.5999999999999997E-2</v>
      </c>
      <c r="H2292" s="479">
        <v>22.931999999999999</v>
      </c>
      <c r="I2292" s="468" t="s">
        <v>9218</v>
      </c>
      <c r="J2292" s="468" t="s">
        <v>9219</v>
      </c>
      <c r="K2292" s="468" t="s">
        <v>9219</v>
      </c>
      <c r="L2292" s="468" t="s">
        <v>2354</v>
      </c>
    </row>
    <row r="2293" spans="1:12" x14ac:dyDescent="0.25">
      <c r="A2293" s="468" t="s">
        <v>220</v>
      </c>
      <c r="B2293" s="468" t="s">
        <v>2351</v>
      </c>
      <c r="C2293" s="468" t="s">
        <v>4979</v>
      </c>
      <c r="D2293" s="468" t="s">
        <v>4980</v>
      </c>
      <c r="F2293" s="470">
        <v>480</v>
      </c>
      <c r="G2293" s="468">
        <v>0.1</v>
      </c>
      <c r="H2293" s="479">
        <v>48</v>
      </c>
      <c r="I2293" s="468" t="s">
        <v>9218</v>
      </c>
      <c r="J2293" s="468" t="s">
        <v>9219</v>
      </c>
      <c r="K2293" s="468" t="s">
        <v>9219</v>
      </c>
      <c r="L2293" s="468" t="s">
        <v>2354</v>
      </c>
    </row>
    <row r="2294" spans="1:12" x14ac:dyDescent="0.25">
      <c r="A2294" s="468" t="s">
        <v>220</v>
      </c>
      <c r="B2294" s="468" t="s">
        <v>2351</v>
      </c>
      <c r="C2294" s="468" t="s">
        <v>4981</v>
      </c>
      <c r="D2294" s="468" t="s">
        <v>4982</v>
      </c>
      <c r="F2294" s="470">
        <v>226</v>
      </c>
      <c r="G2294" s="468">
        <v>0.155</v>
      </c>
      <c r="H2294" s="479">
        <v>35.03</v>
      </c>
      <c r="I2294" s="468" t="s">
        <v>9218</v>
      </c>
      <c r="J2294" s="468" t="s">
        <v>9219</v>
      </c>
      <c r="K2294" s="468" t="s">
        <v>9219</v>
      </c>
      <c r="L2294" s="468" t="s">
        <v>2354</v>
      </c>
    </row>
    <row r="2295" spans="1:12" x14ac:dyDescent="0.25">
      <c r="A2295" s="468" t="s">
        <v>220</v>
      </c>
      <c r="B2295" s="468" t="s">
        <v>2351</v>
      </c>
      <c r="C2295" s="468" t="s">
        <v>4983</v>
      </c>
      <c r="D2295" s="468" t="s">
        <v>4984</v>
      </c>
      <c r="F2295" s="470">
        <v>400</v>
      </c>
      <c r="G2295" s="468">
        <v>0.129</v>
      </c>
      <c r="H2295" s="479">
        <v>51.6</v>
      </c>
      <c r="I2295" s="468" t="s">
        <v>9218</v>
      </c>
      <c r="J2295" s="468" t="s">
        <v>9219</v>
      </c>
      <c r="K2295" s="468" t="s">
        <v>9219</v>
      </c>
      <c r="L2295" s="468" t="s">
        <v>2354</v>
      </c>
    </row>
    <row r="2296" spans="1:12" x14ac:dyDescent="0.25">
      <c r="A2296" s="468" t="s">
        <v>220</v>
      </c>
      <c r="B2296" s="468" t="s">
        <v>2351</v>
      </c>
      <c r="C2296" s="468" t="s">
        <v>4985</v>
      </c>
      <c r="D2296" s="468" t="s">
        <v>4986</v>
      </c>
      <c r="F2296" s="470">
        <v>302</v>
      </c>
      <c r="G2296" s="468">
        <v>0.20699999999999999</v>
      </c>
      <c r="H2296" s="479">
        <v>62.513999999999996</v>
      </c>
      <c r="I2296" s="468" t="s">
        <v>9218</v>
      </c>
      <c r="J2296" s="468" t="s">
        <v>9219</v>
      </c>
      <c r="K2296" s="468" t="s">
        <v>9219</v>
      </c>
      <c r="L2296" s="468" t="s">
        <v>2354</v>
      </c>
    </row>
    <row r="2297" spans="1:12" x14ac:dyDescent="0.25">
      <c r="A2297" s="468" t="s">
        <v>220</v>
      </c>
      <c r="B2297" s="468" t="s">
        <v>2351</v>
      </c>
      <c r="C2297" s="468" t="s">
        <v>4987</v>
      </c>
      <c r="D2297" s="468" t="s">
        <v>4988</v>
      </c>
      <c r="F2297" s="470">
        <v>215</v>
      </c>
      <c r="G2297" s="468">
        <v>5.1999999999999998E-2</v>
      </c>
      <c r="H2297" s="479">
        <v>11.18</v>
      </c>
      <c r="I2297" s="468" t="s">
        <v>9218</v>
      </c>
      <c r="J2297" s="468" t="s">
        <v>9219</v>
      </c>
      <c r="K2297" s="468" t="s">
        <v>9219</v>
      </c>
      <c r="L2297" s="468" t="s">
        <v>2354</v>
      </c>
    </row>
    <row r="2298" spans="1:12" x14ac:dyDescent="0.25">
      <c r="A2298" s="468" t="s">
        <v>220</v>
      </c>
      <c r="B2298" s="468" t="s">
        <v>2351</v>
      </c>
      <c r="C2298" s="468" t="s">
        <v>4989</v>
      </c>
      <c r="D2298" s="468" t="s">
        <v>4990</v>
      </c>
      <c r="F2298" s="470">
        <v>312</v>
      </c>
      <c r="G2298" s="468">
        <v>0.16500000000000001</v>
      </c>
      <c r="H2298" s="479">
        <v>51.480000000000004</v>
      </c>
      <c r="I2298" s="468" t="s">
        <v>9218</v>
      </c>
      <c r="J2298" s="468" t="s">
        <v>9219</v>
      </c>
      <c r="K2298" s="468" t="s">
        <v>9219</v>
      </c>
      <c r="L2298" s="468" t="s">
        <v>2354</v>
      </c>
    </row>
    <row r="2299" spans="1:12" x14ac:dyDescent="0.25">
      <c r="A2299" s="468" t="s">
        <v>220</v>
      </c>
      <c r="B2299" s="468" t="s">
        <v>2351</v>
      </c>
      <c r="C2299" s="468" t="s">
        <v>4991</v>
      </c>
      <c r="D2299" s="468" t="s">
        <v>4992</v>
      </c>
      <c r="F2299" s="470">
        <v>325</v>
      </c>
      <c r="G2299" s="468">
        <v>0.01</v>
      </c>
      <c r="H2299" s="479">
        <v>3.25</v>
      </c>
      <c r="I2299" s="468" t="s">
        <v>9218</v>
      </c>
      <c r="J2299" s="468" t="s">
        <v>9219</v>
      </c>
      <c r="K2299" s="468" t="s">
        <v>9219</v>
      </c>
      <c r="L2299" s="468" t="s">
        <v>2354</v>
      </c>
    </row>
    <row r="2300" spans="1:12" x14ac:dyDescent="0.25">
      <c r="A2300" s="468" t="s">
        <v>220</v>
      </c>
      <c r="B2300" s="468" t="s">
        <v>2351</v>
      </c>
      <c r="C2300" s="468" t="s">
        <v>4993</v>
      </c>
      <c r="D2300" s="468" t="s">
        <v>4994</v>
      </c>
      <c r="F2300" s="470">
        <v>53</v>
      </c>
      <c r="G2300" s="468">
        <v>1.9E-2</v>
      </c>
      <c r="H2300" s="479">
        <v>1.0069999999999999</v>
      </c>
      <c r="I2300" s="468" t="s">
        <v>9218</v>
      </c>
      <c r="J2300" s="468" t="s">
        <v>9219</v>
      </c>
      <c r="K2300" s="468" t="s">
        <v>9219</v>
      </c>
      <c r="L2300" s="468" t="s">
        <v>2354</v>
      </c>
    </row>
    <row r="2301" spans="1:12" x14ac:dyDescent="0.25">
      <c r="A2301" s="468" t="s">
        <v>220</v>
      </c>
      <c r="B2301" s="468" t="s">
        <v>2351</v>
      </c>
      <c r="C2301" s="468" t="s">
        <v>4995</v>
      </c>
      <c r="D2301" s="468" t="s">
        <v>4996</v>
      </c>
      <c r="F2301" s="470">
        <v>78</v>
      </c>
      <c r="G2301" s="468">
        <v>3.04725</v>
      </c>
      <c r="H2301" s="479">
        <v>237.68549999999999</v>
      </c>
      <c r="I2301" s="468" t="s">
        <v>9218</v>
      </c>
      <c r="J2301" s="468" t="s">
        <v>9219</v>
      </c>
      <c r="K2301" s="468" t="s">
        <v>9219</v>
      </c>
      <c r="L2301" s="468" t="s">
        <v>2354</v>
      </c>
    </row>
    <row r="2302" spans="1:12" x14ac:dyDescent="0.25">
      <c r="A2302" s="468" t="s">
        <v>220</v>
      </c>
      <c r="B2302" s="468" t="s">
        <v>2351</v>
      </c>
      <c r="C2302" s="468" t="s">
        <v>4997</v>
      </c>
      <c r="D2302" s="468" t="s">
        <v>4998</v>
      </c>
      <c r="F2302" s="470">
        <v>102</v>
      </c>
      <c r="G2302" s="468">
        <v>4.6214500000000003</v>
      </c>
      <c r="H2302" s="479">
        <v>471.3879</v>
      </c>
      <c r="I2302" s="468" t="s">
        <v>9218</v>
      </c>
      <c r="J2302" s="468" t="s">
        <v>9219</v>
      </c>
      <c r="K2302" s="468" t="s">
        <v>9219</v>
      </c>
      <c r="L2302" s="468" t="s">
        <v>2354</v>
      </c>
    </row>
    <row r="2303" spans="1:12" x14ac:dyDescent="0.25">
      <c r="A2303" s="468" t="s">
        <v>220</v>
      </c>
      <c r="B2303" s="468" t="s">
        <v>2351</v>
      </c>
      <c r="C2303" s="468" t="s">
        <v>4999</v>
      </c>
      <c r="D2303" s="468" t="s">
        <v>5000</v>
      </c>
      <c r="F2303" s="470">
        <v>54</v>
      </c>
      <c r="G2303" s="468">
        <v>6.0000000000000001E-3</v>
      </c>
      <c r="H2303" s="479">
        <v>0.32400000000000001</v>
      </c>
      <c r="I2303" s="468" t="s">
        <v>9218</v>
      </c>
      <c r="J2303" s="468" t="s">
        <v>9219</v>
      </c>
      <c r="K2303" s="468" t="s">
        <v>9219</v>
      </c>
      <c r="L2303" s="468" t="s">
        <v>2354</v>
      </c>
    </row>
    <row r="2304" spans="1:12" x14ac:dyDescent="0.25">
      <c r="A2304" s="468" t="s">
        <v>220</v>
      </c>
      <c r="B2304" s="468" t="s">
        <v>2351</v>
      </c>
      <c r="C2304" s="468" t="s">
        <v>5001</v>
      </c>
      <c r="D2304" s="468" t="s">
        <v>4994</v>
      </c>
      <c r="F2304" s="470">
        <v>78</v>
      </c>
      <c r="G2304" s="468">
        <v>2.1999999999999999E-2</v>
      </c>
      <c r="H2304" s="479">
        <v>1.716</v>
      </c>
      <c r="I2304" s="468" t="s">
        <v>9218</v>
      </c>
      <c r="J2304" s="468" t="s">
        <v>9219</v>
      </c>
      <c r="K2304" s="468" t="s">
        <v>9219</v>
      </c>
      <c r="L2304" s="468" t="s">
        <v>2354</v>
      </c>
    </row>
    <row r="2305" spans="1:12" x14ac:dyDescent="0.25">
      <c r="A2305" s="468" t="s">
        <v>220</v>
      </c>
      <c r="B2305" s="468" t="s">
        <v>2351</v>
      </c>
      <c r="C2305" s="468" t="s">
        <v>5002</v>
      </c>
      <c r="D2305" s="468" t="s">
        <v>5003</v>
      </c>
      <c r="F2305" s="470">
        <v>102</v>
      </c>
      <c r="G2305" s="468">
        <v>0.17</v>
      </c>
      <c r="H2305" s="479">
        <v>17.34</v>
      </c>
      <c r="I2305" s="468" t="s">
        <v>9218</v>
      </c>
      <c r="J2305" s="468" t="s">
        <v>9219</v>
      </c>
      <c r="K2305" s="468" t="s">
        <v>9219</v>
      </c>
      <c r="L2305" s="468" t="s">
        <v>2354</v>
      </c>
    </row>
    <row r="2306" spans="1:12" x14ac:dyDescent="0.25">
      <c r="A2306" s="468" t="s">
        <v>220</v>
      </c>
      <c r="B2306" s="468" t="s">
        <v>2351</v>
      </c>
      <c r="C2306" s="468" t="s">
        <v>5004</v>
      </c>
      <c r="D2306" s="468" t="s">
        <v>5005</v>
      </c>
      <c r="F2306" s="470">
        <v>222</v>
      </c>
      <c r="G2306" s="468">
        <v>0.12189999999999999</v>
      </c>
      <c r="H2306" s="479">
        <v>27.061799999999998</v>
      </c>
      <c r="I2306" s="468" t="s">
        <v>9218</v>
      </c>
      <c r="J2306" s="468" t="s">
        <v>9219</v>
      </c>
      <c r="K2306" s="468" t="s">
        <v>9219</v>
      </c>
      <c r="L2306" s="468" t="s">
        <v>2354</v>
      </c>
    </row>
    <row r="2307" spans="1:12" x14ac:dyDescent="0.25">
      <c r="A2307" s="468" t="s">
        <v>220</v>
      </c>
      <c r="B2307" s="468" t="s">
        <v>2351</v>
      </c>
      <c r="C2307" s="468" t="s">
        <v>5006</v>
      </c>
      <c r="D2307" s="468" t="s">
        <v>5007</v>
      </c>
      <c r="F2307" s="470">
        <v>38</v>
      </c>
      <c r="G2307" s="468">
        <v>0.25141999999999998</v>
      </c>
      <c r="H2307" s="479">
        <v>9.55396</v>
      </c>
      <c r="I2307" s="468" t="s">
        <v>9218</v>
      </c>
      <c r="J2307" s="468" t="s">
        <v>9219</v>
      </c>
      <c r="K2307" s="468" t="s">
        <v>9219</v>
      </c>
      <c r="L2307" s="468" t="s">
        <v>2354</v>
      </c>
    </row>
    <row r="2308" spans="1:12" x14ac:dyDescent="0.25">
      <c r="A2308" s="468" t="s">
        <v>220</v>
      </c>
      <c r="B2308" s="468" t="s">
        <v>2351</v>
      </c>
      <c r="C2308" s="468" t="s">
        <v>5008</v>
      </c>
      <c r="D2308" s="468" t="s">
        <v>5009</v>
      </c>
      <c r="F2308" s="470">
        <v>65</v>
      </c>
      <c r="G2308" s="468">
        <v>0.34588000000000002</v>
      </c>
      <c r="H2308" s="479">
        <v>22.482200000000002</v>
      </c>
      <c r="I2308" s="468" t="s">
        <v>9218</v>
      </c>
      <c r="J2308" s="468" t="s">
        <v>9219</v>
      </c>
      <c r="K2308" s="468" t="s">
        <v>9219</v>
      </c>
      <c r="L2308" s="468" t="s">
        <v>2354</v>
      </c>
    </row>
    <row r="2309" spans="1:12" x14ac:dyDescent="0.25">
      <c r="A2309" s="468" t="s">
        <v>220</v>
      </c>
      <c r="B2309" s="468" t="s">
        <v>2351</v>
      </c>
      <c r="C2309" s="468" t="s">
        <v>5010</v>
      </c>
      <c r="D2309" s="468" t="s">
        <v>5011</v>
      </c>
      <c r="F2309" s="470">
        <v>230</v>
      </c>
      <c r="G2309" s="468">
        <v>0.39360000000000001</v>
      </c>
      <c r="H2309" s="479">
        <v>90.528000000000006</v>
      </c>
      <c r="I2309" s="468" t="s">
        <v>9218</v>
      </c>
      <c r="J2309" s="468" t="s">
        <v>9219</v>
      </c>
      <c r="K2309" s="468" t="s">
        <v>9219</v>
      </c>
      <c r="L2309" s="468" t="s">
        <v>2354</v>
      </c>
    </row>
    <row r="2310" spans="1:12" x14ac:dyDescent="0.25">
      <c r="A2310" s="468" t="s">
        <v>220</v>
      </c>
      <c r="B2310" s="468" t="s">
        <v>2351</v>
      </c>
      <c r="C2310" s="468" t="s">
        <v>5012</v>
      </c>
      <c r="D2310" s="468" t="s">
        <v>5013</v>
      </c>
      <c r="F2310" s="470">
        <v>70</v>
      </c>
      <c r="G2310" s="468">
        <v>2.8000000000000001E-2</v>
      </c>
      <c r="H2310" s="479">
        <v>1.96</v>
      </c>
      <c r="I2310" s="468" t="s">
        <v>9218</v>
      </c>
      <c r="J2310" s="468" t="s">
        <v>9219</v>
      </c>
      <c r="K2310" s="468" t="s">
        <v>9219</v>
      </c>
      <c r="L2310" s="468" t="s">
        <v>2354</v>
      </c>
    </row>
    <row r="2311" spans="1:12" x14ac:dyDescent="0.25">
      <c r="A2311" s="468" t="s">
        <v>220</v>
      </c>
      <c r="B2311" s="468" t="s">
        <v>2351</v>
      </c>
      <c r="C2311" s="468" t="s">
        <v>5014</v>
      </c>
      <c r="D2311" s="468" t="s">
        <v>5015</v>
      </c>
      <c r="F2311" s="470">
        <v>239</v>
      </c>
      <c r="G2311" s="468">
        <v>0.04</v>
      </c>
      <c r="H2311" s="479">
        <v>9.56</v>
      </c>
      <c r="I2311" s="468" t="s">
        <v>9218</v>
      </c>
      <c r="J2311" s="468" t="s">
        <v>9219</v>
      </c>
      <c r="K2311" s="468" t="s">
        <v>9219</v>
      </c>
      <c r="L2311" s="468" t="s">
        <v>2354</v>
      </c>
    </row>
    <row r="2312" spans="1:12" x14ac:dyDescent="0.25">
      <c r="A2312" s="468" t="s">
        <v>220</v>
      </c>
      <c r="B2312" s="468" t="s">
        <v>2351</v>
      </c>
      <c r="C2312" s="468" t="s">
        <v>5016</v>
      </c>
      <c r="D2312" s="468" t="s">
        <v>5017</v>
      </c>
      <c r="F2312" s="470">
        <v>106</v>
      </c>
      <c r="G2312" s="468">
        <v>2.6100000000000002E-2</v>
      </c>
      <c r="H2312" s="479">
        <v>2.7666000000000004</v>
      </c>
      <c r="I2312" s="468" t="s">
        <v>9218</v>
      </c>
      <c r="J2312" s="468" t="s">
        <v>9219</v>
      </c>
      <c r="K2312" s="468" t="s">
        <v>9219</v>
      </c>
      <c r="L2312" s="468" t="s">
        <v>2354</v>
      </c>
    </row>
    <row r="2313" spans="1:12" x14ac:dyDescent="0.25">
      <c r="A2313" s="468" t="s">
        <v>220</v>
      </c>
      <c r="B2313" s="468" t="s">
        <v>2351</v>
      </c>
      <c r="C2313" s="468" t="s">
        <v>5018</v>
      </c>
      <c r="D2313" s="468" t="s">
        <v>5019</v>
      </c>
      <c r="F2313" s="470">
        <v>425</v>
      </c>
      <c r="G2313" s="468">
        <v>0.16</v>
      </c>
      <c r="H2313" s="479">
        <v>68</v>
      </c>
      <c r="I2313" s="468" t="s">
        <v>9218</v>
      </c>
      <c r="J2313" s="468" t="s">
        <v>9219</v>
      </c>
      <c r="K2313" s="468" t="s">
        <v>9219</v>
      </c>
      <c r="L2313" s="468" t="s">
        <v>2354</v>
      </c>
    </row>
    <row r="2314" spans="1:12" x14ac:dyDescent="0.25">
      <c r="A2314" s="468" t="s">
        <v>220</v>
      </c>
      <c r="B2314" s="468" t="s">
        <v>2351</v>
      </c>
      <c r="C2314" s="468" t="s">
        <v>5020</v>
      </c>
      <c r="D2314" s="468" t="s">
        <v>5021</v>
      </c>
      <c r="F2314" s="470">
        <v>358</v>
      </c>
      <c r="G2314" s="468">
        <v>9.5479999999999995E-2</v>
      </c>
      <c r="H2314" s="479">
        <v>34.181840000000001</v>
      </c>
      <c r="I2314" s="468" t="s">
        <v>9218</v>
      </c>
      <c r="J2314" s="468" t="s">
        <v>9219</v>
      </c>
      <c r="K2314" s="468" t="s">
        <v>9219</v>
      </c>
      <c r="L2314" s="468" t="s">
        <v>2354</v>
      </c>
    </row>
    <row r="2315" spans="1:12" x14ac:dyDescent="0.25">
      <c r="A2315" s="468" t="s">
        <v>220</v>
      </c>
      <c r="B2315" s="468" t="s">
        <v>2351</v>
      </c>
      <c r="C2315" s="468" t="s">
        <v>5022</v>
      </c>
      <c r="D2315" s="468" t="s">
        <v>5023</v>
      </c>
      <c r="F2315" s="470">
        <v>217</v>
      </c>
      <c r="G2315" s="468">
        <v>0.12583357142857141</v>
      </c>
      <c r="H2315" s="479">
        <v>27.305884999999996</v>
      </c>
      <c r="I2315" s="468" t="s">
        <v>9218</v>
      </c>
      <c r="J2315" s="468" t="s">
        <v>9219</v>
      </c>
      <c r="K2315" s="468" t="s">
        <v>9219</v>
      </c>
      <c r="L2315" s="468" t="s">
        <v>2354</v>
      </c>
    </row>
    <row r="2316" spans="1:12" x14ac:dyDescent="0.25">
      <c r="A2316" s="468" t="s">
        <v>220</v>
      </c>
      <c r="B2316" s="468" t="s">
        <v>2351</v>
      </c>
      <c r="C2316" s="468" t="s">
        <v>5024</v>
      </c>
      <c r="D2316" s="468" t="s">
        <v>5025</v>
      </c>
      <c r="F2316" s="470">
        <v>750</v>
      </c>
      <c r="G2316" s="468">
        <v>0.16415917431192659</v>
      </c>
      <c r="H2316" s="479">
        <v>123.11938073394494</v>
      </c>
      <c r="I2316" s="468" t="s">
        <v>9218</v>
      </c>
      <c r="J2316" s="468" t="s">
        <v>9219</v>
      </c>
      <c r="K2316" s="468" t="s">
        <v>9219</v>
      </c>
      <c r="L2316" s="468" t="s">
        <v>2354</v>
      </c>
    </row>
    <row r="2317" spans="1:12" x14ac:dyDescent="0.25">
      <c r="A2317" s="468" t="s">
        <v>220</v>
      </c>
      <c r="B2317" s="468" t="s">
        <v>2351</v>
      </c>
      <c r="C2317" s="468" t="s">
        <v>5026</v>
      </c>
      <c r="D2317" s="468" t="s">
        <v>5027</v>
      </c>
      <c r="F2317" s="470">
        <v>231</v>
      </c>
      <c r="G2317" s="468">
        <v>0.12038892950391644</v>
      </c>
      <c r="H2317" s="479">
        <v>27.809842715404699</v>
      </c>
      <c r="I2317" s="468" t="s">
        <v>9218</v>
      </c>
      <c r="J2317" s="468" t="s">
        <v>9219</v>
      </c>
      <c r="K2317" s="468" t="s">
        <v>9219</v>
      </c>
      <c r="L2317" s="468" t="s">
        <v>2354</v>
      </c>
    </row>
    <row r="2318" spans="1:12" x14ac:dyDescent="0.25">
      <c r="A2318" s="468" t="s">
        <v>220</v>
      </c>
      <c r="B2318" s="468" t="s">
        <v>2351</v>
      </c>
      <c r="C2318" s="468" t="s">
        <v>5028</v>
      </c>
      <c r="D2318" s="468" t="s">
        <v>5029</v>
      </c>
      <c r="F2318" s="470">
        <v>352</v>
      </c>
      <c r="G2318" s="468">
        <v>0.20159195979899497</v>
      </c>
      <c r="H2318" s="479">
        <v>70.960369849246234</v>
      </c>
      <c r="I2318" s="468" t="s">
        <v>9218</v>
      </c>
      <c r="J2318" s="468" t="s">
        <v>9219</v>
      </c>
      <c r="K2318" s="468" t="s">
        <v>9219</v>
      </c>
      <c r="L2318" s="468" t="s">
        <v>2354</v>
      </c>
    </row>
    <row r="2319" spans="1:12" x14ac:dyDescent="0.25">
      <c r="A2319" s="468" t="s">
        <v>220</v>
      </c>
      <c r="B2319" s="468" t="s">
        <v>2351</v>
      </c>
      <c r="C2319" s="468" t="s">
        <v>5030</v>
      </c>
      <c r="D2319" s="468" t="s">
        <v>5031</v>
      </c>
      <c r="F2319" s="470">
        <v>148</v>
      </c>
      <c r="G2319" s="468">
        <v>0.22642666666666666</v>
      </c>
      <c r="H2319" s="479">
        <v>33.511146666666669</v>
      </c>
      <c r="I2319" s="468" t="s">
        <v>9218</v>
      </c>
      <c r="J2319" s="468" t="s">
        <v>9219</v>
      </c>
      <c r="K2319" s="468" t="s">
        <v>9219</v>
      </c>
      <c r="L2319" s="468" t="s">
        <v>2354</v>
      </c>
    </row>
    <row r="2320" spans="1:12" x14ac:dyDescent="0.25">
      <c r="A2320" s="468" t="s">
        <v>220</v>
      </c>
      <c r="B2320" s="468" t="s">
        <v>2351</v>
      </c>
      <c r="C2320" s="468" t="s">
        <v>5032</v>
      </c>
      <c r="D2320" s="468" t="s">
        <v>5033</v>
      </c>
      <c r="F2320" s="470">
        <v>320</v>
      </c>
      <c r="G2320" s="468">
        <v>0.22222028985507247</v>
      </c>
      <c r="H2320" s="479">
        <v>71.110492753623191</v>
      </c>
      <c r="I2320" s="468" t="s">
        <v>9218</v>
      </c>
      <c r="J2320" s="468" t="s">
        <v>9219</v>
      </c>
      <c r="K2320" s="468" t="s">
        <v>9219</v>
      </c>
      <c r="L2320" s="468" t="s">
        <v>2354</v>
      </c>
    </row>
    <row r="2321" spans="1:12" x14ac:dyDescent="0.25">
      <c r="A2321" s="468" t="s">
        <v>220</v>
      </c>
      <c r="B2321" s="468" t="s">
        <v>2351</v>
      </c>
      <c r="C2321" s="468" t="s">
        <v>5034</v>
      </c>
      <c r="D2321" s="468" t="s">
        <v>5035</v>
      </c>
      <c r="F2321" s="470">
        <v>248</v>
      </c>
      <c r="G2321" s="468">
        <v>0.42921793885552634</v>
      </c>
      <c r="H2321" s="479">
        <v>106.44604883617053</v>
      </c>
      <c r="I2321" s="468" t="s">
        <v>9218</v>
      </c>
      <c r="J2321" s="468" t="s">
        <v>9219</v>
      </c>
      <c r="K2321" s="468" t="s">
        <v>9219</v>
      </c>
      <c r="L2321" s="468" t="s">
        <v>2354</v>
      </c>
    </row>
    <row r="2322" spans="1:12" x14ac:dyDescent="0.25">
      <c r="A2322" s="468" t="s">
        <v>220</v>
      </c>
      <c r="B2322" s="468" t="s">
        <v>2351</v>
      </c>
      <c r="C2322" s="468" t="s">
        <v>5036</v>
      </c>
      <c r="D2322" s="468" t="s">
        <v>5037</v>
      </c>
      <c r="F2322" s="470">
        <v>250</v>
      </c>
      <c r="G2322" s="468">
        <v>0.37153573650785487</v>
      </c>
      <c r="H2322" s="479">
        <v>92.883934126963723</v>
      </c>
      <c r="I2322" s="468" t="s">
        <v>9218</v>
      </c>
      <c r="J2322" s="468" t="s">
        <v>9219</v>
      </c>
      <c r="K2322" s="468" t="s">
        <v>9219</v>
      </c>
      <c r="L2322" s="468" t="s">
        <v>2354</v>
      </c>
    </row>
    <row r="2323" spans="1:12" x14ac:dyDescent="0.25">
      <c r="A2323" s="468" t="s">
        <v>220</v>
      </c>
      <c r="B2323" s="468" t="s">
        <v>2351</v>
      </c>
      <c r="C2323" s="468" t="s">
        <v>5038</v>
      </c>
      <c r="D2323" s="468" t="s">
        <v>5039</v>
      </c>
      <c r="F2323" s="470">
        <v>351</v>
      </c>
      <c r="G2323" s="468">
        <v>0.224</v>
      </c>
      <c r="H2323" s="479">
        <v>78.623999999999995</v>
      </c>
      <c r="I2323" s="468" t="s">
        <v>9218</v>
      </c>
      <c r="J2323" s="468" t="s">
        <v>9219</v>
      </c>
      <c r="K2323" s="468" t="s">
        <v>9219</v>
      </c>
      <c r="L2323" s="468" t="s">
        <v>2354</v>
      </c>
    </row>
    <row r="2324" spans="1:12" x14ac:dyDescent="0.25">
      <c r="A2324" s="468" t="s">
        <v>220</v>
      </c>
      <c r="B2324" s="468" t="s">
        <v>2351</v>
      </c>
      <c r="C2324" s="468" t="s">
        <v>5040</v>
      </c>
      <c r="D2324" s="468" t="s">
        <v>5041</v>
      </c>
      <c r="F2324" s="470">
        <v>268</v>
      </c>
      <c r="G2324" s="468">
        <v>0.28100000000000003</v>
      </c>
      <c r="H2324" s="479">
        <v>75.308000000000007</v>
      </c>
      <c r="I2324" s="468" t="s">
        <v>9218</v>
      </c>
      <c r="J2324" s="468" t="s">
        <v>9219</v>
      </c>
      <c r="K2324" s="468" t="s">
        <v>9219</v>
      </c>
      <c r="L2324" s="468" t="s">
        <v>2354</v>
      </c>
    </row>
    <row r="2325" spans="1:12" x14ac:dyDescent="0.25">
      <c r="A2325" s="468" t="s">
        <v>220</v>
      </c>
      <c r="B2325" s="468" t="s">
        <v>2351</v>
      </c>
      <c r="C2325" s="468" t="s">
        <v>5042</v>
      </c>
      <c r="D2325" s="468" t="s">
        <v>5043</v>
      </c>
      <c r="F2325" s="470">
        <v>150</v>
      </c>
      <c r="G2325" s="468">
        <v>0.20992</v>
      </c>
      <c r="H2325" s="479">
        <v>31.488</v>
      </c>
      <c r="I2325" s="468" t="s">
        <v>9218</v>
      </c>
      <c r="J2325" s="468" t="s">
        <v>9219</v>
      </c>
      <c r="K2325" s="468" t="s">
        <v>9219</v>
      </c>
      <c r="L2325" s="468" t="s">
        <v>2354</v>
      </c>
    </row>
    <row r="2326" spans="1:12" x14ac:dyDescent="0.25">
      <c r="A2326" s="468" t="s">
        <v>220</v>
      </c>
      <c r="B2326" s="468" t="s">
        <v>2351</v>
      </c>
      <c r="C2326" s="468" t="s">
        <v>5044</v>
      </c>
      <c r="D2326" s="468" t="s">
        <v>5045</v>
      </c>
      <c r="F2326" s="470">
        <v>48</v>
      </c>
      <c r="H2326" s="479">
        <v>0</v>
      </c>
      <c r="I2326" s="468" t="s">
        <v>9218</v>
      </c>
      <c r="J2326" s="468" t="s">
        <v>9219</v>
      </c>
      <c r="K2326" s="468" t="s">
        <v>9219</v>
      </c>
      <c r="L2326" s="468" t="s">
        <v>2354</v>
      </c>
    </row>
    <row r="2327" spans="1:12" x14ac:dyDescent="0.25">
      <c r="A2327" s="468" t="s">
        <v>220</v>
      </c>
      <c r="B2327" s="468" t="s">
        <v>2351</v>
      </c>
      <c r="C2327" s="468" t="s">
        <v>5046</v>
      </c>
      <c r="D2327" s="468" t="s">
        <v>5047</v>
      </c>
      <c r="F2327" s="470">
        <v>781</v>
      </c>
      <c r="G2327" s="468">
        <v>0.23749999999999999</v>
      </c>
      <c r="H2327" s="479">
        <v>185.48749999999998</v>
      </c>
      <c r="I2327" s="468" t="s">
        <v>9218</v>
      </c>
      <c r="J2327" s="468" t="s">
        <v>9219</v>
      </c>
      <c r="K2327" s="468" t="s">
        <v>9219</v>
      </c>
      <c r="L2327" s="468" t="s">
        <v>2354</v>
      </c>
    </row>
    <row r="2328" spans="1:12" x14ac:dyDescent="0.25">
      <c r="A2328" s="468" t="s">
        <v>220</v>
      </c>
      <c r="B2328" s="468" t="s">
        <v>2351</v>
      </c>
      <c r="C2328" s="468" t="s">
        <v>5048</v>
      </c>
      <c r="D2328" s="468" t="s">
        <v>5049</v>
      </c>
      <c r="F2328" s="470">
        <v>20</v>
      </c>
      <c r="G2328" s="468">
        <v>0.50349999999999995</v>
      </c>
      <c r="H2328" s="479">
        <v>10.069999999999999</v>
      </c>
      <c r="I2328" s="468" t="s">
        <v>9218</v>
      </c>
      <c r="J2328" s="468" t="s">
        <v>9219</v>
      </c>
      <c r="K2328" s="468" t="s">
        <v>9219</v>
      </c>
      <c r="L2328" s="468" t="s">
        <v>2354</v>
      </c>
    </row>
    <row r="2329" spans="1:12" x14ac:dyDescent="0.25">
      <c r="A2329" s="468" t="s">
        <v>220</v>
      </c>
      <c r="B2329" s="468" t="s">
        <v>2351</v>
      </c>
      <c r="C2329" s="468" t="s">
        <v>5050</v>
      </c>
      <c r="D2329" s="468" t="s">
        <v>5051</v>
      </c>
      <c r="F2329" s="470">
        <v>14.5</v>
      </c>
      <c r="G2329" s="468">
        <v>1.1359999999999999</v>
      </c>
      <c r="H2329" s="479">
        <v>16.471999999999998</v>
      </c>
      <c r="I2329" s="468" t="s">
        <v>9218</v>
      </c>
      <c r="J2329" s="468" t="s">
        <v>9219</v>
      </c>
      <c r="K2329" s="468" t="s">
        <v>9219</v>
      </c>
      <c r="L2329" s="468" t="s">
        <v>2354</v>
      </c>
    </row>
    <row r="2330" spans="1:12" x14ac:dyDescent="0.25">
      <c r="A2330" s="468" t="s">
        <v>220</v>
      </c>
      <c r="B2330" s="468" t="s">
        <v>2351</v>
      </c>
      <c r="C2330" s="468" t="s">
        <v>5052</v>
      </c>
      <c r="D2330" s="468" t="s">
        <v>5053</v>
      </c>
      <c r="F2330" s="470">
        <v>38</v>
      </c>
      <c r="G2330" s="468">
        <v>0.50349999999999995</v>
      </c>
      <c r="H2330" s="479">
        <v>19.132999999999999</v>
      </c>
      <c r="I2330" s="468" t="s">
        <v>9218</v>
      </c>
      <c r="J2330" s="468" t="s">
        <v>9219</v>
      </c>
      <c r="K2330" s="468" t="s">
        <v>9219</v>
      </c>
      <c r="L2330" s="468" t="s">
        <v>2354</v>
      </c>
    </row>
    <row r="2331" spans="1:12" x14ac:dyDescent="0.25">
      <c r="A2331" s="468" t="s">
        <v>220</v>
      </c>
      <c r="B2331" s="468" t="s">
        <v>2351</v>
      </c>
      <c r="D2331" s="468" t="s">
        <v>9376</v>
      </c>
      <c r="F2331" s="470">
        <v>115</v>
      </c>
      <c r="G2331" s="468">
        <v>7.8E-2</v>
      </c>
      <c r="H2331" s="479">
        <v>8.9700000000000006</v>
      </c>
      <c r="I2331" s="468" t="s">
        <v>9218</v>
      </c>
      <c r="J2331" s="468" t="s">
        <v>9219</v>
      </c>
      <c r="K2331" s="468" t="s">
        <v>9219</v>
      </c>
      <c r="L2331" s="468" t="s">
        <v>2354</v>
      </c>
    </row>
    <row r="2332" spans="1:12" x14ac:dyDescent="0.25">
      <c r="A2332" s="468" t="s">
        <v>220</v>
      </c>
      <c r="B2332" s="468" t="s">
        <v>2351</v>
      </c>
      <c r="C2332" s="468" t="s">
        <v>5054</v>
      </c>
      <c r="D2332" s="468" t="s">
        <v>5055</v>
      </c>
      <c r="F2332" s="470">
        <v>15</v>
      </c>
      <c r="G2332" s="468">
        <v>0.16800000000000001</v>
      </c>
      <c r="H2332" s="479">
        <v>2.52</v>
      </c>
      <c r="I2332" s="468" t="s">
        <v>9218</v>
      </c>
      <c r="J2332" s="468" t="s">
        <v>9219</v>
      </c>
      <c r="K2332" s="468" t="s">
        <v>9219</v>
      </c>
      <c r="L2332" s="468" t="s">
        <v>2354</v>
      </c>
    </row>
    <row r="2333" spans="1:12" x14ac:dyDescent="0.25">
      <c r="A2333" s="468" t="s">
        <v>220</v>
      </c>
      <c r="B2333" s="468" t="s">
        <v>2351</v>
      </c>
      <c r="C2333" s="468" t="s">
        <v>5056</v>
      </c>
      <c r="D2333" s="468" t="s">
        <v>5057</v>
      </c>
      <c r="F2333" s="470">
        <v>9</v>
      </c>
      <c r="G2333" s="468">
        <v>1.1126499999999999</v>
      </c>
      <c r="H2333" s="479">
        <v>10.01385</v>
      </c>
      <c r="I2333" s="468" t="s">
        <v>9218</v>
      </c>
      <c r="J2333" s="468" t="s">
        <v>9219</v>
      </c>
      <c r="K2333" s="468" t="s">
        <v>9219</v>
      </c>
      <c r="L2333" s="468" t="s">
        <v>2354</v>
      </c>
    </row>
    <row r="2334" spans="1:12" x14ac:dyDescent="0.25">
      <c r="A2334" s="468" t="s">
        <v>220</v>
      </c>
      <c r="B2334" s="468" t="s">
        <v>2351</v>
      </c>
      <c r="C2334" s="468" t="s">
        <v>5060</v>
      </c>
      <c r="D2334" s="468" t="s">
        <v>5061</v>
      </c>
      <c r="F2334" s="470">
        <v>18</v>
      </c>
      <c r="G2334" s="468">
        <v>2.1949999999999998</v>
      </c>
      <c r="H2334" s="479">
        <v>39.51</v>
      </c>
      <c r="I2334" s="468" t="s">
        <v>9218</v>
      </c>
      <c r="J2334" s="468" t="s">
        <v>9219</v>
      </c>
      <c r="K2334" s="468" t="s">
        <v>9219</v>
      </c>
      <c r="L2334" s="468" t="s">
        <v>2354</v>
      </c>
    </row>
    <row r="2335" spans="1:12" x14ac:dyDescent="0.25">
      <c r="A2335" s="468" t="s">
        <v>220</v>
      </c>
      <c r="B2335" s="468" t="s">
        <v>2351</v>
      </c>
      <c r="C2335" s="468" t="s">
        <v>5062</v>
      </c>
      <c r="D2335" s="468" t="s">
        <v>5063</v>
      </c>
      <c r="F2335" s="470">
        <v>150</v>
      </c>
      <c r="G2335" s="468">
        <v>0.45600000000000002</v>
      </c>
      <c r="H2335" s="479">
        <v>68.400000000000006</v>
      </c>
      <c r="I2335" s="468" t="s">
        <v>9218</v>
      </c>
      <c r="J2335" s="468" t="s">
        <v>9219</v>
      </c>
      <c r="K2335" s="468" t="s">
        <v>9219</v>
      </c>
      <c r="L2335" s="468" t="s">
        <v>2354</v>
      </c>
    </row>
    <row r="2336" spans="1:12" x14ac:dyDescent="0.25">
      <c r="A2336" s="468" t="s">
        <v>220</v>
      </c>
      <c r="B2336" s="468" t="s">
        <v>2351</v>
      </c>
      <c r="C2336" s="468" t="s">
        <v>5064</v>
      </c>
      <c r="D2336" s="468" t="s">
        <v>5065</v>
      </c>
      <c r="F2336" s="470">
        <v>9</v>
      </c>
      <c r="G2336" s="468">
        <v>0.15972500000000001</v>
      </c>
      <c r="H2336" s="479">
        <v>1.4375249999999999</v>
      </c>
      <c r="I2336" s="468" t="s">
        <v>9218</v>
      </c>
      <c r="J2336" s="468" t="s">
        <v>9219</v>
      </c>
      <c r="K2336" s="468" t="s">
        <v>9219</v>
      </c>
      <c r="L2336" s="468" t="s">
        <v>2354</v>
      </c>
    </row>
    <row r="2337" spans="1:12" x14ac:dyDescent="0.25">
      <c r="A2337" s="468" t="s">
        <v>220</v>
      </c>
      <c r="B2337" s="468" t="s">
        <v>2351</v>
      </c>
      <c r="C2337" s="468" t="s">
        <v>5066</v>
      </c>
      <c r="D2337" s="468" t="s">
        <v>5067</v>
      </c>
      <c r="F2337" s="470">
        <v>43</v>
      </c>
      <c r="G2337" s="468">
        <v>0.32100000000000001</v>
      </c>
      <c r="H2337" s="479">
        <v>13.803000000000001</v>
      </c>
      <c r="I2337" s="468" t="s">
        <v>9218</v>
      </c>
      <c r="J2337" s="468" t="s">
        <v>9219</v>
      </c>
      <c r="K2337" s="468" t="s">
        <v>9219</v>
      </c>
      <c r="L2337" s="468" t="s">
        <v>2354</v>
      </c>
    </row>
    <row r="2338" spans="1:12" x14ac:dyDescent="0.25">
      <c r="A2338" s="468" t="s">
        <v>220</v>
      </c>
      <c r="B2338" s="468" t="s">
        <v>2351</v>
      </c>
      <c r="C2338" s="468" t="s">
        <v>5068</v>
      </c>
      <c r="D2338" s="468" t="s">
        <v>5069</v>
      </c>
      <c r="F2338" s="470">
        <v>6</v>
      </c>
      <c r="G2338" s="468">
        <v>0.13950000000000001</v>
      </c>
      <c r="H2338" s="479">
        <v>0.83700000000000008</v>
      </c>
      <c r="I2338" s="468" t="s">
        <v>9218</v>
      </c>
      <c r="J2338" s="468" t="s">
        <v>9219</v>
      </c>
      <c r="K2338" s="468" t="s">
        <v>9219</v>
      </c>
      <c r="L2338" s="468" t="s">
        <v>2354</v>
      </c>
    </row>
    <row r="2339" spans="1:12" x14ac:dyDescent="0.25">
      <c r="A2339" s="468" t="s">
        <v>220</v>
      </c>
      <c r="B2339" s="468" t="s">
        <v>2351</v>
      </c>
      <c r="C2339" s="468" t="s">
        <v>5070</v>
      </c>
      <c r="D2339" s="468" t="s">
        <v>5071</v>
      </c>
      <c r="F2339" s="470">
        <v>14</v>
      </c>
      <c r="G2339" s="468">
        <v>0.18</v>
      </c>
      <c r="H2339" s="479">
        <v>2.52</v>
      </c>
      <c r="I2339" s="468" t="s">
        <v>9218</v>
      </c>
      <c r="J2339" s="468" t="s">
        <v>9219</v>
      </c>
      <c r="K2339" s="468" t="s">
        <v>9219</v>
      </c>
      <c r="L2339" s="468" t="s">
        <v>2354</v>
      </c>
    </row>
    <row r="2340" spans="1:12" x14ac:dyDescent="0.25">
      <c r="A2340" s="468" t="s">
        <v>220</v>
      </c>
      <c r="B2340" s="468" t="s">
        <v>2351</v>
      </c>
      <c r="C2340" s="468" t="s">
        <v>5072</v>
      </c>
      <c r="D2340" s="468" t="s">
        <v>5073</v>
      </c>
      <c r="F2340" s="470">
        <v>32</v>
      </c>
      <c r="G2340" s="468">
        <v>0.19800000000000001</v>
      </c>
      <c r="H2340" s="479">
        <v>6.3360000000000003</v>
      </c>
      <c r="I2340" s="468" t="s">
        <v>9218</v>
      </c>
      <c r="J2340" s="468" t="s">
        <v>9219</v>
      </c>
      <c r="K2340" s="468" t="s">
        <v>9219</v>
      </c>
      <c r="L2340" s="468" t="s">
        <v>2354</v>
      </c>
    </row>
    <row r="2341" spans="1:12" x14ac:dyDescent="0.25">
      <c r="A2341" s="468" t="s">
        <v>220</v>
      </c>
      <c r="B2341" s="468" t="s">
        <v>2351</v>
      </c>
      <c r="C2341" s="468" t="s">
        <v>5074</v>
      </c>
      <c r="D2341" s="468" t="s">
        <v>5075</v>
      </c>
      <c r="F2341" s="470">
        <v>5</v>
      </c>
      <c r="G2341" s="468">
        <v>0.25740000000000002</v>
      </c>
      <c r="H2341" s="479">
        <v>1.2870000000000001</v>
      </c>
      <c r="I2341" s="468" t="s">
        <v>9218</v>
      </c>
      <c r="J2341" s="468" t="s">
        <v>9219</v>
      </c>
      <c r="K2341" s="468" t="s">
        <v>9219</v>
      </c>
      <c r="L2341" s="468" t="s">
        <v>2354</v>
      </c>
    </row>
    <row r="2342" spans="1:12" x14ac:dyDescent="0.25">
      <c r="A2342" s="468" t="s">
        <v>220</v>
      </c>
      <c r="B2342" s="468" t="s">
        <v>2351</v>
      </c>
      <c r="C2342" s="468" t="s">
        <v>5076</v>
      </c>
      <c r="D2342" s="468" t="s">
        <v>5077</v>
      </c>
      <c r="F2342" s="470">
        <v>23</v>
      </c>
      <c r="G2342" s="468">
        <v>0.38159999999999999</v>
      </c>
      <c r="H2342" s="479">
        <v>8.7767999999999997</v>
      </c>
      <c r="I2342" s="468" t="s">
        <v>9218</v>
      </c>
      <c r="J2342" s="468" t="s">
        <v>9219</v>
      </c>
      <c r="K2342" s="468" t="s">
        <v>9219</v>
      </c>
      <c r="L2342" s="468" t="s">
        <v>2354</v>
      </c>
    </row>
    <row r="2343" spans="1:12" x14ac:dyDescent="0.25">
      <c r="A2343" s="468" t="s">
        <v>220</v>
      </c>
      <c r="B2343" s="468" t="s">
        <v>2351</v>
      </c>
      <c r="C2343" s="468" t="s">
        <v>5078</v>
      </c>
      <c r="D2343" s="468" t="s">
        <v>5079</v>
      </c>
      <c r="F2343" s="470">
        <v>12</v>
      </c>
      <c r="G2343" s="468">
        <v>0.33750000000000002</v>
      </c>
      <c r="H2343" s="479">
        <v>4.0500000000000007</v>
      </c>
      <c r="I2343" s="468" t="s">
        <v>9218</v>
      </c>
      <c r="J2343" s="468" t="s">
        <v>9219</v>
      </c>
      <c r="K2343" s="468" t="s">
        <v>9219</v>
      </c>
      <c r="L2343" s="468" t="s">
        <v>2354</v>
      </c>
    </row>
    <row r="2344" spans="1:12" x14ac:dyDescent="0.25">
      <c r="A2344" s="468" t="s">
        <v>220</v>
      </c>
      <c r="B2344" s="468" t="s">
        <v>2351</v>
      </c>
      <c r="C2344" s="468" t="s">
        <v>5080</v>
      </c>
      <c r="D2344" s="468" t="s">
        <v>5081</v>
      </c>
      <c r="F2344" s="470">
        <v>68</v>
      </c>
      <c r="G2344" s="468">
        <v>17.158999999999999</v>
      </c>
      <c r="H2344" s="479">
        <v>1166.8119999999999</v>
      </c>
      <c r="I2344" s="468" t="s">
        <v>9218</v>
      </c>
      <c r="J2344" s="468" t="s">
        <v>9219</v>
      </c>
      <c r="K2344" s="468" t="s">
        <v>9219</v>
      </c>
      <c r="L2344" s="468" t="s">
        <v>2354</v>
      </c>
    </row>
    <row r="2345" spans="1:12" x14ac:dyDescent="0.25">
      <c r="A2345" s="468" t="s">
        <v>220</v>
      </c>
      <c r="B2345" s="468" t="s">
        <v>2351</v>
      </c>
      <c r="C2345" s="468" t="s">
        <v>5082</v>
      </c>
      <c r="D2345" s="468" t="s">
        <v>5083</v>
      </c>
      <c r="F2345" s="470">
        <v>5</v>
      </c>
      <c r="G2345" s="468">
        <v>22.751999999999999</v>
      </c>
      <c r="H2345" s="479">
        <v>113.75999999999999</v>
      </c>
      <c r="I2345" s="468" t="s">
        <v>9218</v>
      </c>
      <c r="J2345" s="468" t="s">
        <v>9219</v>
      </c>
      <c r="K2345" s="468" t="s">
        <v>9219</v>
      </c>
      <c r="L2345" s="468" t="s">
        <v>2354</v>
      </c>
    </row>
    <row r="2346" spans="1:12" x14ac:dyDescent="0.25">
      <c r="A2346" s="468" t="s">
        <v>220</v>
      </c>
      <c r="B2346" s="468" t="s">
        <v>2351</v>
      </c>
      <c r="C2346" s="468" t="s">
        <v>5384</v>
      </c>
      <c r="D2346" s="468" t="s">
        <v>5385</v>
      </c>
      <c r="F2346" s="470">
        <v>92</v>
      </c>
      <c r="G2346" s="468">
        <v>0.53974999999999995</v>
      </c>
      <c r="H2346" s="479">
        <v>49.656999999999996</v>
      </c>
      <c r="I2346" s="468" t="s">
        <v>9218</v>
      </c>
      <c r="J2346" s="468" t="s">
        <v>9219</v>
      </c>
      <c r="K2346" s="468" t="s">
        <v>9219</v>
      </c>
      <c r="L2346" s="468" t="s">
        <v>2354</v>
      </c>
    </row>
    <row r="2347" spans="1:12" x14ac:dyDescent="0.25">
      <c r="A2347" s="468" t="s">
        <v>220</v>
      </c>
      <c r="B2347" s="468" t="s">
        <v>2351</v>
      </c>
      <c r="C2347" s="468" t="s">
        <v>5084</v>
      </c>
      <c r="D2347" s="468" t="s">
        <v>5085</v>
      </c>
      <c r="F2347" s="470">
        <v>145</v>
      </c>
      <c r="G2347" s="468">
        <v>0.57757000000000003</v>
      </c>
      <c r="H2347" s="479">
        <v>83.747650000000007</v>
      </c>
      <c r="I2347" s="468" t="s">
        <v>9218</v>
      </c>
      <c r="J2347" s="468" t="s">
        <v>9219</v>
      </c>
      <c r="K2347" s="468" t="s">
        <v>9219</v>
      </c>
      <c r="L2347" s="468" t="s">
        <v>2354</v>
      </c>
    </row>
    <row r="2348" spans="1:12" x14ac:dyDescent="0.25">
      <c r="A2348" s="468" t="s">
        <v>220</v>
      </c>
      <c r="B2348" s="468" t="s">
        <v>2351</v>
      </c>
      <c r="C2348" s="468" t="s">
        <v>5086</v>
      </c>
      <c r="D2348" s="468" t="s">
        <v>5087</v>
      </c>
      <c r="F2348" s="470">
        <v>59</v>
      </c>
      <c r="G2348" s="468">
        <v>8.5980000000000001E-2</v>
      </c>
      <c r="H2348" s="479">
        <v>5.0728200000000001</v>
      </c>
      <c r="I2348" s="468" t="s">
        <v>9218</v>
      </c>
      <c r="J2348" s="468" t="s">
        <v>9219</v>
      </c>
      <c r="K2348" s="468" t="s">
        <v>9219</v>
      </c>
      <c r="L2348" s="468" t="s">
        <v>2354</v>
      </c>
    </row>
    <row r="2349" spans="1:12" x14ac:dyDescent="0.25">
      <c r="A2349" s="468" t="s">
        <v>220</v>
      </c>
      <c r="B2349" s="468" t="s">
        <v>2351</v>
      </c>
      <c r="C2349" s="468" t="s">
        <v>5088</v>
      </c>
      <c r="D2349" s="468" t="s">
        <v>5089</v>
      </c>
      <c r="F2349" s="470">
        <v>84</v>
      </c>
      <c r="G2349" s="468">
        <v>4.7600000000000003E-2</v>
      </c>
      <c r="H2349" s="479">
        <v>3.9984000000000002</v>
      </c>
      <c r="I2349" s="468" t="s">
        <v>9218</v>
      </c>
      <c r="J2349" s="468" t="s">
        <v>9219</v>
      </c>
      <c r="K2349" s="468" t="s">
        <v>9219</v>
      </c>
      <c r="L2349" s="468" t="s">
        <v>2354</v>
      </c>
    </row>
    <row r="2350" spans="1:12" x14ac:dyDescent="0.25">
      <c r="A2350" s="468" t="s">
        <v>220</v>
      </c>
      <c r="B2350" s="468" t="s">
        <v>2351</v>
      </c>
      <c r="C2350" s="468" t="s">
        <v>5090</v>
      </c>
      <c r="D2350" s="468" t="s">
        <v>5091</v>
      </c>
      <c r="F2350" s="470">
        <v>1</v>
      </c>
      <c r="G2350" s="468">
        <v>31.395</v>
      </c>
      <c r="H2350" s="479">
        <v>31.395</v>
      </c>
      <c r="I2350" s="468" t="s">
        <v>9218</v>
      </c>
      <c r="J2350" s="468" t="s">
        <v>9219</v>
      </c>
      <c r="K2350" s="468" t="s">
        <v>9219</v>
      </c>
      <c r="L2350" s="468" t="s">
        <v>2354</v>
      </c>
    </row>
    <row r="2351" spans="1:12" x14ac:dyDescent="0.25">
      <c r="A2351" s="468" t="s">
        <v>220</v>
      </c>
      <c r="B2351" s="468" t="s">
        <v>2351</v>
      </c>
      <c r="C2351" s="468" t="s">
        <v>5386</v>
      </c>
      <c r="D2351" s="468" t="s">
        <v>5387</v>
      </c>
      <c r="F2351" s="470">
        <v>173</v>
      </c>
      <c r="G2351" s="468">
        <v>4.505E-2</v>
      </c>
      <c r="H2351" s="479">
        <v>7.7936499999999995</v>
      </c>
      <c r="I2351" s="468" t="s">
        <v>9218</v>
      </c>
      <c r="J2351" s="468" t="s">
        <v>9219</v>
      </c>
      <c r="K2351" s="468" t="s">
        <v>9219</v>
      </c>
      <c r="L2351" s="468" t="s">
        <v>2354</v>
      </c>
    </row>
    <row r="2352" spans="1:12" x14ac:dyDescent="0.25">
      <c r="A2352" s="468" t="s">
        <v>220</v>
      </c>
      <c r="B2352" s="468" t="s">
        <v>2351</v>
      </c>
      <c r="D2352" s="468" t="s">
        <v>9377</v>
      </c>
      <c r="F2352" s="470">
        <v>220</v>
      </c>
      <c r="G2352" s="468">
        <v>0.125</v>
      </c>
      <c r="H2352" s="479">
        <v>27.5</v>
      </c>
      <c r="I2352" s="468" t="s">
        <v>9218</v>
      </c>
      <c r="J2352" s="468" t="s">
        <v>9219</v>
      </c>
      <c r="K2352" s="468" t="s">
        <v>9219</v>
      </c>
      <c r="L2352" s="468" t="s">
        <v>2354</v>
      </c>
    </row>
    <row r="2353" spans="1:12" x14ac:dyDescent="0.25">
      <c r="A2353" s="468" t="s">
        <v>220</v>
      </c>
      <c r="B2353" s="468" t="s">
        <v>2351</v>
      </c>
      <c r="C2353" s="468" t="s">
        <v>5388</v>
      </c>
      <c r="D2353" s="468" t="s">
        <v>5389</v>
      </c>
      <c r="F2353" s="470">
        <v>323</v>
      </c>
      <c r="G2353" s="468">
        <v>4.8576666666666671E-2</v>
      </c>
      <c r="H2353" s="479">
        <v>15.690263333333334</v>
      </c>
      <c r="I2353" s="468" t="s">
        <v>9218</v>
      </c>
      <c r="J2353" s="468" t="s">
        <v>9219</v>
      </c>
      <c r="K2353" s="468" t="s">
        <v>9219</v>
      </c>
      <c r="L2353" s="468" t="s">
        <v>2354</v>
      </c>
    </row>
    <row r="2354" spans="1:12" x14ac:dyDescent="0.25">
      <c r="A2354" s="468" t="s">
        <v>220</v>
      </c>
      <c r="B2354" s="468" t="s">
        <v>2351</v>
      </c>
      <c r="C2354" s="468" t="s">
        <v>5092</v>
      </c>
      <c r="D2354" s="468" t="s">
        <v>5093</v>
      </c>
      <c r="F2354" s="470">
        <v>6</v>
      </c>
      <c r="G2354" s="468">
        <v>6.4870000000000001</v>
      </c>
      <c r="H2354" s="479">
        <v>38.921999999999997</v>
      </c>
      <c r="I2354" s="468" t="s">
        <v>9218</v>
      </c>
      <c r="J2354" s="468" t="s">
        <v>9219</v>
      </c>
      <c r="K2354" s="468" t="s">
        <v>9219</v>
      </c>
      <c r="L2354" s="468" t="s">
        <v>2354</v>
      </c>
    </row>
    <row r="2355" spans="1:12" x14ac:dyDescent="0.25">
      <c r="A2355" s="468" t="s">
        <v>220</v>
      </c>
      <c r="B2355" s="468" t="s">
        <v>2351</v>
      </c>
      <c r="C2355" s="468" t="s">
        <v>5094</v>
      </c>
      <c r="D2355" s="468" t="s">
        <v>5095</v>
      </c>
      <c r="F2355" s="470">
        <v>14</v>
      </c>
      <c r="G2355" s="468">
        <v>0.85746000000000011</v>
      </c>
      <c r="H2355" s="479">
        <v>12.004440000000002</v>
      </c>
      <c r="I2355" s="468" t="s">
        <v>9218</v>
      </c>
      <c r="J2355" s="468" t="s">
        <v>9219</v>
      </c>
      <c r="K2355" s="468" t="s">
        <v>9219</v>
      </c>
      <c r="L2355" s="468" t="s">
        <v>2354</v>
      </c>
    </row>
    <row r="2356" spans="1:12" x14ac:dyDescent="0.25">
      <c r="A2356" s="468" t="s">
        <v>220</v>
      </c>
      <c r="B2356" s="468" t="s">
        <v>2351</v>
      </c>
      <c r="C2356" s="468" t="s">
        <v>5100</v>
      </c>
      <c r="D2356" s="468" t="s">
        <v>5101</v>
      </c>
      <c r="F2356" s="470">
        <v>1</v>
      </c>
      <c r="G2356" s="468">
        <v>0.51600000000000001</v>
      </c>
      <c r="H2356" s="479">
        <v>0.51600000000000001</v>
      </c>
      <c r="I2356" s="468" t="s">
        <v>9218</v>
      </c>
      <c r="J2356" s="468" t="s">
        <v>9219</v>
      </c>
      <c r="K2356" s="468" t="s">
        <v>9219</v>
      </c>
      <c r="L2356" s="468" t="s">
        <v>2354</v>
      </c>
    </row>
    <row r="2357" spans="1:12" x14ac:dyDescent="0.25">
      <c r="A2357" s="468" t="s">
        <v>220</v>
      </c>
      <c r="B2357" s="468" t="s">
        <v>2351</v>
      </c>
      <c r="D2357" s="468" t="s">
        <v>9378</v>
      </c>
      <c r="F2357" s="470">
        <v>74</v>
      </c>
      <c r="G2357" s="468">
        <v>0.11799999999999999</v>
      </c>
      <c r="H2357" s="479">
        <v>8.7319999999999993</v>
      </c>
      <c r="I2357" s="468" t="s">
        <v>9218</v>
      </c>
      <c r="J2357" s="468" t="s">
        <v>9219</v>
      </c>
      <c r="K2357" s="468" t="s">
        <v>9219</v>
      </c>
      <c r="L2357" s="468" t="s">
        <v>2354</v>
      </c>
    </row>
    <row r="2358" spans="1:12" x14ac:dyDescent="0.25">
      <c r="A2358" s="468" t="s">
        <v>220</v>
      </c>
      <c r="B2358" s="468" t="s">
        <v>2351</v>
      </c>
      <c r="C2358" s="468" t="s">
        <v>5102</v>
      </c>
      <c r="D2358" s="468" t="s">
        <v>5103</v>
      </c>
      <c r="F2358" s="470">
        <v>24</v>
      </c>
      <c r="G2358" s="468">
        <v>0.26656000000000002</v>
      </c>
      <c r="H2358" s="479">
        <v>6.3974400000000005</v>
      </c>
      <c r="I2358" s="468" t="s">
        <v>9218</v>
      </c>
      <c r="J2358" s="468" t="s">
        <v>9219</v>
      </c>
      <c r="K2358" s="468" t="s">
        <v>9219</v>
      </c>
      <c r="L2358" s="468" t="s">
        <v>2354</v>
      </c>
    </row>
    <row r="2359" spans="1:12" x14ac:dyDescent="0.25">
      <c r="A2359" s="468" t="s">
        <v>220</v>
      </c>
      <c r="B2359" s="468" t="s">
        <v>2351</v>
      </c>
      <c r="C2359" s="468" t="s">
        <v>5104</v>
      </c>
      <c r="D2359" s="468" t="s">
        <v>5105</v>
      </c>
      <c r="F2359" s="470">
        <v>1</v>
      </c>
      <c r="G2359" s="468">
        <v>0.72352000000000005</v>
      </c>
      <c r="H2359" s="479">
        <v>0.72352000000000005</v>
      </c>
      <c r="I2359" s="468" t="s">
        <v>9218</v>
      </c>
      <c r="J2359" s="468" t="s">
        <v>9219</v>
      </c>
      <c r="K2359" s="468" t="s">
        <v>9219</v>
      </c>
      <c r="L2359" s="468" t="s">
        <v>2354</v>
      </c>
    </row>
    <row r="2360" spans="1:12" x14ac:dyDescent="0.25">
      <c r="A2360" s="468" t="s">
        <v>220</v>
      </c>
      <c r="B2360" s="468" t="s">
        <v>2351</v>
      </c>
      <c r="C2360" s="468" t="s">
        <v>5106</v>
      </c>
      <c r="D2360" s="468" t="s">
        <v>5107</v>
      </c>
      <c r="F2360" s="470">
        <v>139</v>
      </c>
      <c r="G2360" s="468">
        <v>1.00674</v>
      </c>
      <c r="H2360" s="479">
        <v>139.93686</v>
      </c>
      <c r="I2360" s="468" t="s">
        <v>9218</v>
      </c>
      <c r="J2360" s="468" t="s">
        <v>9219</v>
      </c>
      <c r="K2360" s="468" t="s">
        <v>9219</v>
      </c>
      <c r="L2360" s="468" t="s">
        <v>2354</v>
      </c>
    </row>
    <row r="2361" spans="1:12" x14ac:dyDescent="0.25">
      <c r="A2361" s="468" t="s">
        <v>220</v>
      </c>
      <c r="B2361" s="468" t="s">
        <v>2351</v>
      </c>
      <c r="C2361" s="468" t="s">
        <v>5110</v>
      </c>
      <c r="D2361" s="468" t="s">
        <v>5111</v>
      </c>
      <c r="F2361" s="470">
        <v>16</v>
      </c>
      <c r="G2361" s="468">
        <v>0.4</v>
      </c>
      <c r="H2361" s="479">
        <v>6.4</v>
      </c>
      <c r="I2361" s="468" t="s">
        <v>9218</v>
      </c>
      <c r="J2361" s="468" t="s">
        <v>9219</v>
      </c>
      <c r="K2361" s="468" t="s">
        <v>9219</v>
      </c>
      <c r="L2361" s="468" t="s">
        <v>2354</v>
      </c>
    </row>
    <row r="2362" spans="1:12" x14ac:dyDescent="0.25">
      <c r="A2362" s="468" t="s">
        <v>220</v>
      </c>
      <c r="B2362" s="468" t="s">
        <v>2351</v>
      </c>
      <c r="D2362" s="468" t="s">
        <v>9379</v>
      </c>
      <c r="F2362" s="470">
        <v>64</v>
      </c>
      <c r="G2362" s="468">
        <v>0.23400000000000001</v>
      </c>
      <c r="H2362" s="479">
        <v>14.976000000000001</v>
      </c>
      <c r="I2362" s="468" t="s">
        <v>9218</v>
      </c>
      <c r="J2362" s="468" t="s">
        <v>9219</v>
      </c>
      <c r="K2362" s="468" t="s">
        <v>9219</v>
      </c>
      <c r="L2362" s="468" t="s">
        <v>2354</v>
      </c>
    </row>
    <row r="2363" spans="1:12" x14ac:dyDescent="0.25">
      <c r="A2363" s="468" t="s">
        <v>220</v>
      </c>
      <c r="B2363" s="468" t="s">
        <v>2351</v>
      </c>
      <c r="C2363" s="468" t="s">
        <v>5112</v>
      </c>
      <c r="D2363" s="468" t="s">
        <v>5113</v>
      </c>
      <c r="F2363" s="470">
        <v>54</v>
      </c>
      <c r="G2363" s="468">
        <v>0.20200000000000001</v>
      </c>
      <c r="H2363" s="479">
        <v>10.908000000000001</v>
      </c>
      <c r="I2363" s="468" t="s">
        <v>9218</v>
      </c>
      <c r="J2363" s="468" t="s">
        <v>9219</v>
      </c>
      <c r="K2363" s="468" t="s">
        <v>9219</v>
      </c>
      <c r="L2363" s="468" t="s">
        <v>2354</v>
      </c>
    </row>
    <row r="2364" spans="1:12" x14ac:dyDescent="0.25">
      <c r="A2364" s="468" t="s">
        <v>220</v>
      </c>
      <c r="B2364" s="468" t="s">
        <v>2351</v>
      </c>
      <c r="C2364" s="468" t="s">
        <v>5114</v>
      </c>
      <c r="D2364" s="468" t="s">
        <v>5115</v>
      </c>
      <c r="F2364" s="470">
        <v>400</v>
      </c>
      <c r="H2364" s="479">
        <v>0</v>
      </c>
      <c r="I2364" s="468" t="s">
        <v>9218</v>
      </c>
      <c r="J2364" s="468" t="s">
        <v>9219</v>
      </c>
      <c r="K2364" s="468" t="s">
        <v>9219</v>
      </c>
      <c r="L2364" s="468" t="s">
        <v>2354</v>
      </c>
    </row>
    <row r="2365" spans="1:12" x14ac:dyDescent="0.25">
      <c r="A2365" s="468" t="s">
        <v>220</v>
      </c>
      <c r="B2365" s="468" t="s">
        <v>2351</v>
      </c>
      <c r="C2365" s="468" t="s">
        <v>5116</v>
      </c>
      <c r="D2365" s="468" t="s">
        <v>5117</v>
      </c>
      <c r="F2365" s="470">
        <v>31</v>
      </c>
      <c r="G2365" s="468">
        <v>5.1999999999999998E-2</v>
      </c>
      <c r="H2365" s="479">
        <v>1.6119999999999999</v>
      </c>
      <c r="I2365" s="468" t="s">
        <v>9218</v>
      </c>
      <c r="J2365" s="468" t="s">
        <v>9219</v>
      </c>
      <c r="K2365" s="468" t="s">
        <v>9219</v>
      </c>
      <c r="L2365" s="468" t="s">
        <v>2354</v>
      </c>
    </row>
    <row r="2366" spans="1:12" x14ac:dyDescent="0.25">
      <c r="A2366" s="468" t="s">
        <v>220</v>
      </c>
      <c r="B2366" s="468" t="s">
        <v>2351</v>
      </c>
      <c r="C2366" s="468" t="s">
        <v>5118</v>
      </c>
      <c r="D2366" s="468" t="s">
        <v>5119</v>
      </c>
      <c r="F2366" s="470">
        <v>3</v>
      </c>
      <c r="G2366" s="468">
        <v>33.947000000000003</v>
      </c>
      <c r="H2366" s="479">
        <v>101.84100000000001</v>
      </c>
      <c r="I2366" s="468" t="s">
        <v>9218</v>
      </c>
      <c r="J2366" s="468" t="s">
        <v>9219</v>
      </c>
      <c r="K2366" s="468" t="s">
        <v>9219</v>
      </c>
      <c r="L2366" s="468" t="s">
        <v>2354</v>
      </c>
    </row>
    <row r="2367" spans="1:12" x14ac:dyDescent="0.25">
      <c r="A2367" s="468" t="s">
        <v>220</v>
      </c>
      <c r="B2367" s="468" t="s">
        <v>2351</v>
      </c>
      <c r="C2367" s="468" t="s">
        <v>5120</v>
      </c>
      <c r="D2367" s="468" t="s">
        <v>5121</v>
      </c>
      <c r="F2367" s="470">
        <v>480</v>
      </c>
      <c r="G2367" s="468">
        <v>0.25800000000000001</v>
      </c>
      <c r="H2367" s="479">
        <v>123.84</v>
      </c>
      <c r="I2367" s="468" t="s">
        <v>9218</v>
      </c>
      <c r="J2367" s="468" t="s">
        <v>9219</v>
      </c>
      <c r="K2367" s="468" t="s">
        <v>9219</v>
      </c>
      <c r="L2367" s="468" t="s">
        <v>2354</v>
      </c>
    </row>
    <row r="2368" spans="1:12" x14ac:dyDescent="0.25">
      <c r="A2368" s="468" t="s">
        <v>220</v>
      </c>
      <c r="B2368" s="468" t="s">
        <v>2351</v>
      </c>
      <c r="C2368" s="468" t="s">
        <v>5122</v>
      </c>
      <c r="D2368" s="468" t="s">
        <v>5123</v>
      </c>
      <c r="F2368" s="470">
        <v>2</v>
      </c>
      <c r="G2368" s="468">
        <v>0.63200000000000001</v>
      </c>
      <c r="H2368" s="479">
        <v>1.264</v>
      </c>
      <c r="I2368" s="468" t="s">
        <v>9218</v>
      </c>
      <c r="J2368" s="468" t="s">
        <v>9219</v>
      </c>
      <c r="K2368" s="468" t="s">
        <v>9219</v>
      </c>
      <c r="L2368" s="468" t="s">
        <v>2354</v>
      </c>
    </row>
    <row r="2369" spans="1:12" x14ac:dyDescent="0.25">
      <c r="A2369" s="468" t="s">
        <v>220</v>
      </c>
      <c r="B2369" s="468" t="s">
        <v>2351</v>
      </c>
      <c r="C2369" s="468" t="s">
        <v>5124</v>
      </c>
      <c r="D2369" s="468" t="s">
        <v>5125</v>
      </c>
      <c r="F2369" s="470">
        <v>81</v>
      </c>
      <c r="G2369" s="468">
        <v>0.40799999999999997</v>
      </c>
      <c r="H2369" s="479">
        <v>33.047999999999995</v>
      </c>
      <c r="I2369" s="468" t="s">
        <v>9218</v>
      </c>
      <c r="J2369" s="468" t="s">
        <v>9219</v>
      </c>
      <c r="K2369" s="468" t="s">
        <v>9219</v>
      </c>
      <c r="L2369" s="468" t="s">
        <v>2354</v>
      </c>
    </row>
    <row r="2370" spans="1:12" x14ac:dyDescent="0.25">
      <c r="A2370" s="468" t="s">
        <v>220</v>
      </c>
      <c r="B2370" s="468" t="s">
        <v>2351</v>
      </c>
      <c r="C2370" s="468" t="s">
        <v>5126</v>
      </c>
      <c r="D2370" s="468" t="s">
        <v>5127</v>
      </c>
      <c r="F2370" s="470">
        <v>83</v>
      </c>
      <c r="G2370" s="468">
        <v>1.633</v>
      </c>
      <c r="H2370" s="479">
        <v>135.53899999999999</v>
      </c>
      <c r="I2370" s="468" t="s">
        <v>9218</v>
      </c>
      <c r="J2370" s="468" t="s">
        <v>9219</v>
      </c>
      <c r="K2370" s="468" t="s">
        <v>9219</v>
      </c>
      <c r="L2370" s="468" t="s">
        <v>2354</v>
      </c>
    </row>
    <row r="2371" spans="1:12" x14ac:dyDescent="0.25">
      <c r="A2371" s="468" t="s">
        <v>220</v>
      </c>
      <c r="B2371" s="468" t="s">
        <v>2351</v>
      </c>
      <c r="C2371" s="468" t="s">
        <v>5128</v>
      </c>
      <c r="D2371" s="468" t="s">
        <v>5129</v>
      </c>
      <c r="F2371" s="470">
        <v>87</v>
      </c>
      <c r="G2371" s="468">
        <v>0.61599999999999999</v>
      </c>
      <c r="H2371" s="479">
        <v>53.591999999999999</v>
      </c>
      <c r="I2371" s="468" t="s">
        <v>9218</v>
      </c>
      <c r="J2371" s="468" t="s">
        <v>9219</v>
      </c>
      <c r="K2371" s="468" t="s">
        <v>9219</v>
      </c>
      <c r="L2371" s="468" t="s">
        <v>2354</v>
      </c>
    </row>
    <row r="2372" spans="1:12" x14ac:dyDescent="0.25">
      <c r="A2372" s="468" t="s">
        <v>220</v>
      </c>
      <c r="B2372" s="468" t="s">
        <v>2351</v>
      </c>
      <c r="C2372" s="468" t="s">
        <v>5130</v>
      </c>
      <c r="D2372" s="468" t="s">
        <v>5131</v>
      </c>
      <c r="F2372" s="470">
        <v>93</v>
      </c>
      <c r="G2372" s="468">
        <v>1.0429999999999999</v>
      </c>
      <c r="H2372" s="479">
        <v>96.998999999999995</v>
      </c>
      <c r="I2372" s="468" t="s">
        <v>9218</v>
      </c>
      <c r="J2372" s="468" t="s">
        <v>9219</v>
      </c>
      <c r="K2372" s="468" t="s">
        <v>9219</v>
      </c>
      <c r="L2372" s="468" t="s">
        <v>2354</v>
      </c>
    </row>
    <row r="2373" spans="1:12" x14ac:dyDescent="0.25">
      <c r="A2373" s="468" t="s">
        <v>220</v>
      </c>
      <c r="B2373" s="468" t="s">
        <v>2351</v>
      </c>
      <c r="C2373" s="468" t="s">
        <v>5132</v>
      </c>
      <c r="D2373" s="468" t="s">
        <v>5133</v>
      </c>
      <c r="F2373" s="470">
        <v>4</v>
      </c>
      <c r="G2373" s="468">
        <v>0.13600000000000001</v>
      </c>
      <c r="H2373" s="479">
        <v>0.54400000000000004</v>
      </c>
      <c r="I2373" s="468" t="s">
        <v>9218</v>
      </c>
      <c r="J2373" s="468" t="s">
        <v>9219</v>
      </c>
      <c r="K2373" s="468" t="s">
        <v>9219</v>
      </c>
      <c r="L2373" s="468" t="s">
        <v>2354</v>
      </c>
    </row>
    <row r="2374" spans="1:12" x14ac:dyDescent="0.25">
      <c r="A2374" s="468" t="s">
        <v>220</v>
      </c>
      <c r="B2374" s="468" t="s">
        <v>2351</v>
      </c>
      <c r="C2374" s="468" t="s">
        <v>5136</v>
      </c>
      <c r="D2374" s="468" t="s">
        <v>5137</v>
      </c>
      <c r="F2374" s="470">
        <v>82</v>
      </c>
      <c r="G2374" s="468">
        <v>0.96084849999999999</v>
      </c>
      <c r="H2374" s="479">
        <v>78.789576999999994</v>
      </c>
      <c r="I2374" s="468" t="s">
        <v>9218</v>
      </c>
      <c r="J2374" s="468" t="s">
        <v>9219</v>
      </c>
      <c r="K2374" s="468" t="s">
        <v>9219</v>
      </c>
      <c r="L2374" s="468" t="s">
        <v>2354</v>
      </c>
    </row>
    <row r="2375" spans="1:12" x14ac:dyDescent="0.25">
      <c r="A2375" s="468" t="s">
        <v>220</v>
      </c>
      <c r="B2375" s="468" t="s">
        <v>2351</v>
      </c>
      <c r="C2375" s="468" t="s">
        <v>5138</v>
      </c>
      <c r="D2375" s="468" t="s">
        <v>5139</v>
      </c>
      <c r="F2375" s="470">
        <v>179</v>
      </c>
      <c r="G2375" s="468">
        <v>8.1000000000000003E-2</v>
      </c>
      <c r="H2375" s="479">
        <v>14.499000000000001</v>
      </c>
      <c r="I2375" s="468" t="s">
        <v>9218</v>
      </c>
      <c r="J2375" s="468" t="s">
        <v>9219</v>
      </c>
      <c r="K2375" s="468" t="s">
        <v>9219</v>
      </c>
      <c r="L2375" s="468" t="s">
        <v>2354</v>
      </c>
    </row>
    <row r="2376" spans="1:12" x14ac:dyDescent="0.25">
      <c r="A2376" s="468" t="s">
        <v>220</v>
      </c>
      <c r="B2376" s="468" t="s">
        <v>2351</v>
      </c>
      <c r="C2376" s="468" t="s">
        <v>5140</v>
      </c>
      <c r="D2376" s="468" t="s">
        <v>5141</v>
      </c>
      <c r="F2376" s="470">
        <v>314</v>
      </c>
      <c r="G2376" s="468">
        <v>0.34900939226519334</v>
      </c>
      <c r="H2376" s="479">
        <v>109.58894917127071</v>
      </c>
      <c r="I2376" s="468" t="s">
        <v>9218</v>
      </c>
      <c r="J2376" s="468" t="s">
        <v>9219</v>
      </c>
      <c r="K2376" s="468" t="s">
        <v>9219</v>
      </c>
      <c r="L2376" s="468" t="s">
        <v>2354</v>
      </c>
    </row>
    <row r="2377" spans="1:12" x14ac:dyDescent="0.25">
      <c r="A2377" s="468" t="s">
        <v>220</v>
      </c>
      <c r="B2377" s="468" t="s">
        <v>2351</v>
      </c>
      <c r="C2377" s="468" t="s">
        <v>5142</v>
      </c>
      <c r="D2377" s="468" t="s">
        <v>5143</v>
      </c>
      <c r="F2377" s="470">
        <v>202</v>
      </c>
      <c r="G2377" s="468">
        <v>0.24</v>
      </c>
      <c r="H2377" s="479">
        <v>48.48</v>
      </c>
      <c r="I2377" s="468" t="s">
        <v>9218</v>
      </c>
      <c r="J2377" s="468" t="s">
        <v>9219</v>
      </c>
      <c r="K2377" s="468" t="s">
        <v>9219</v>
      </c>
      <c r="L2377" s="468" t="s">
        <v>2354</v>
      </c>
    </row>
    <row r="2378" spans="1:12" x14ac:dyDescent="0.25">
      <c r="A2378" s="468" t="s">
        <v>220</v>
      </c>
      <c r="B2378" s="468" t="s">
        <v>2351</v>
      </c>
      <c r="C2378" s="468" t="s">
        <v>5144</v>
      </c>
      <c r="D2378" s="468" t="s">
        <v>5145</v>
      </c>
      <c r="F2378" s="470">
        <v>14</v>
      </c>
      <c r="G2378" s="468">
        <v>0.77500000000000002</v>
      </c>
      <c r="H2378" s="479">
        <v>10.85</v>
      </c>
      <c r="I2378" s="468" t="s">
        <v>9218</v>
      </c>
      <c r="J2378" s="468" t="s">
        <v>9219</v>
      </c>
      <c r="K2378" s="468" t="s">
        <v>9219</v>
      </c>
      <c r="L2378" s="468" t="s">
        <v>2354</v>
      </c>
    </row>
    <row r="2379" spans="1:12" x14ac:dyDescent="0.25">
      <c r="A2379" s="468" t="s">
        <v>220</v>
      </c>
      <c r="B2379" s="468" t="s">
        <v>2351</v>
      </c>
      <c r="C2379" s="468" t="s">
        <v>5146</v>
      </c>
      <c r="D2379" s="468" t="s">
        <v>5147</v>
      </c>
      <c r="F2379" s="470">
        <v>50</v>
      </c>
      <c r="G2379" s="468">
        <v>0.874</v>
      </c>
      <c r="H2379" s="479">
        <v>43.7</v>
      </c>
      <c r="I2379" s="468" t="s">
        <v>9218</v>
      </c>
      <c r="J2379" s="468" t="s">
        <v>9219</v>
      </c>
      <c r="K2379" s="468" t="s">
        <v>9219</v>
      </c>
      <c r="L2379" s="468" t="s">
        <v>2354</v>
      </c>
    </row>
    <row r="2380" spans="1:12" x14ac:dyDescent="0.25">
      <c r="A2380" s="468" t="s">
        <v>220</v>
      </c>
      <c r="B2380" s="468" t="s">
        <v>2351</v>
      </c>
      <c r="C2380" s="468" t="s">
        <v>5148</v>
      </c>
      <c r="D2380" s="468" t="s">
        <v>5149</v>
      </c>
      <c r="F2380" s="470">
        <v>4</v>
      </c>
      <c r="G2380" s="468">
        <v>0.129</v>
      </c>
      <c r="H2380" s="479">
        <v>0.51600000000000001</v>
      </c>
      <c r="I2380" s="468" t="s">
        <v>9218</v>
      </c>
      <c r="J2380" s="468" t="s">
        <v>9219</v>
      </c>
      <c r="K2380" s="468" t="s">
        <v>9219</v>
      </c>
      <c r="L2380" s="468" t="s">
        <v>2354</v>
      </c>
    </row>
    <row r="2381" spans="1:12" x14ac:dyDescent="0.25">
      <c r="A2381" s="468" t="s">
        <v>220</v>
      </c>
      <c r="B2381" s="468" t="s">
        <v>2351</v>
      </c>
      <c r="C2381" s="468" t="s">
        <v>5150</v>
      </c>
      <c r="D2381" s="468" t="s">
        <v>5151</v>
      </c>
      <c r="F2381" s="470">
        <v>2</v>
      </c>
      <c r="G2381" s="468">
        <v>0.57779999999999998</v>
      </c>
      <c r="H2381" s="479">
        <v>1.1556</v>
      </c>
      <c r="I2381" s="468" t="s">
        <v>9218</v>
      </c>
      <c r="J2381" s="468" t="s">
        <v>9219</v>
      </c>
      <c r="K2381" s="468" t="s">
        <v>9219</v>
      </c>
      <c r="L2381" s="468" t="s">
        <v>2354</v>
      </c>
    </row>
    <row r="2382" spans="1:12" x14ac:dyDescent="0.25">
      <c r="A2382" s="468" t="s">
        <v>220</v>
      </c>
      <c r="B2382" s="468" t="s">
        <v>2351</v>
      </c>
      <c r="C2382" s="468" t="s">
        <v>5152</v>
      </c>
      <c r="D2382" s="468" t="s">
        <v>5153</v>
      </c>
      <c r="F2382" s="470">
        <v>14</v>
      </c>
      <c r="G2382" s="468">
        <v>0.39100000000000001</v>
      </c>
      <c r="H2382" s="479">
        <v>5.4740000000000002</v>
      </c>
      <c r="I2382" s="468" t="s">
        <v>9218</v>
      </c>
      <c r="J2382" s="468" t="s">
        <v>9219</v>
      </c>
      <c r="K2382" s="468" t="s">
        <v>9219</v>
      </c>
      <c r="L2382" s="468" t="s">
        <v>2354</v>
      </c>
    </row>
    <row r="2383" spans="1:12" x14ac:dyDescent="0.25">
      <c r="A2383" s="468" t="s">
        <v>220</v>
      </c>
      <c r="B2383" s="468" t="s">
        <v>2351</v>
      </c>
      <c r="C2383" s="468" t="s">
        <v>5156</v>
      </c>
      <c r="D2383" s="468" t="s">
        <v>5157</v>
      </c>
      <c r="F2383" s="470">
        <v>5</v>
      </c>
      <c r="G2383" s="468">
        <v>47.826999999999998</v>
      </c>
      <c r="H2383" s="479">
        <v>239.13499999999999</v>
      </c>
      <c r="I2383" s="468" t="s">
        <v>9218</v>
      </c>
      <c r="J2383" s="468" t="s">
        <v>9219</v>
      </c>
      <c r="K2383" s="468" t="s">
        <v>9219</v>
      </c>
      <c r="L2383" s="468" t="s">
        <v>2354</v>
      </c>
    </row>
    <row r="2384" spans="1:12" x14ac:dyDescent="0.25">
      <c r="A2384" s="468" t="s">
        <v>220</v>
      </c>
      <c r="B2384" s="468" t="s">
        <v>2351</v>
      </c>
      <c r="C2384" s="468" t="s">
        <v>5158</v>
      </c>
      <c r="D2384" s="468" t="s">
        <v>5159</v>
      </c>
      <c r="F2384" s="470">
        <v>101</v>
      </c>
      <c r="G2384" s="468">
        <v>0.54700000000000004</v>
      </c>
      <c r="H2384" s="479">
        <v>55.247000000000007</v>
      </c>
      <c r="I2384" s="468" t="s">
        <v>9218</v>
      </c>
      <c r="J2384" s="468" t="s">
        <v>9219</v>
      </c>
      <c r="K2384" s="468" t="s">
        <v>9219</v>
      </c>
      <c r="L2384" s="468" t="s">
        <v>2354</v>
      </c>
    </row>
    <row r="2385" spans="1:12" x14ac:dyDescent="0.25">
      <c r="A2385" s="468" t="s">
        <v>220</v>
      </c>
      <c r="B2385" s="468" t="s">
        <v>2351</v>
      </c>
      <c r="C2385" s="468" t="s">
        <v>5160</v>
      </c>
      <c r="D2385" s="468" t="s">
        <v>5161</v>
      </c>
      <c r="F2385" s="470">
        <v>4</v>
      </c>
      <c r="G2385" s="468">
        <v>7.4459999999999997</v>
      </c>
      <c r="H2385" s="479">
        <v>29.783999999999999</v>
      </c>
      <c r="I2385" s="468" t="s">
        <v>9218</v>
      </c>
      <c r="J2385" s="468" t="s">
        <v>9219</v>
      </c>
      <c r="K2385" s="468" t="s">
        <v>9219</v>
      </c>
      <c r="L2385" s="468" t="s">
        <v>2354</v>
      </c>
    </row>
    <row r="2386" spans="1:12" x14ac:dyDescent="0.25">
      <c r="A2386" s="468" t="s">
        <v>220</v>
      </c>
      <c r="B2386" s="468" t="s">
        <v>2351</v>
      </c>
      <c r="C2386" s="468" t="s">
        <v>5162</v>
      </c>
      <c r="D2386" s="468" t="s">
        <v>5163</v>
      </c>
      <c r="F2386" s="470">
        <v>5</v>
      </c>
      <c r="G2386" s="468">
        <v>10.862</v>
      </c>
      <c r="H2386" s="479">
        <v>54.31</v>
      </c>
      <c r="I2386" s="468" t="s">
        <v>9218</v>
      </c>
      <c r="J2386" s="468" t="s">
        <v>9219</v>
      </c>
      <c r="K2386" s="468" t="s">
        <v>9219</v>
      </c>
      <c r="L2386" s="468" t="s">
        <v>2354</v>
      </c>
    </row>
    <row r="2387" spans="1:12" x14ac:dyDescent="0.25">
      <c r="A2387" s="468" t="s">
        <v>220</v>
      </c>
      <c r="B2387" s="468" t="s">
        <v>2351</v>
      </c>
      <c r="C2387" s="468" t="s">
        <v>5164</v>
      </c>
      <c r="D2387" s="468" t="s">
        <v>5165</v>
      </c>
      <c r="F2387" s="470">
        <v>6</v>
      </c>
      <c r="G2387" s="468">
        <v>15.81</v>
      </c>
      <c r="H2387" s="479">
        <v>94.86</v>
      </c>
      <c r="I2387" s="468" t="s">
        <v>9218</v>
      </c>
      <c r="J2387" s="468" t="s">
        <v>9219</v>
      </c>
      <c r="K2387" s="468" t="s">
        <v>9219</v>
      </c>
      <c r="L2387" s="468" t="s">
        <v>2354</v>
      </c>
    </row>
    <row r="2388" spans="1:12" x14ac:dyDescent="0.25">
      <c r="A2388" s="468" t="s">
        <v>220</v>
      </c>
      <c r="B2388" s="468" t="s">
        <v>2351</v>
      </c>
      <c r="C2388" s="468" t="s">
        <v>5166</v>
      </c>
      <c r="D2388" s="468" t="s">
        <v>5167</v>
      </c>
      <c r="F2388" s="470">
        <v>4</v>
      </c>
      <c r="G2388" s="468">
        <v>7.0140000000000002</v>
      </c>
      <c r="H2388" s="479">
        <v>28.056000000000001</v>
      </c>
      <c r="I2388" s="468" t="s">
        <v>9218</v>
      </c>
      <c r="J2388" s="468" t="s">
        <v>9219</v>
      </c>
      <c r="K2388" s="468" t="s">
        <v>9219</v>
      </c>
      <c r="L2388" s="468" t="s">
        <v>2354</v>
      </c>
    </row>
    <row r="2389" spans="1:12" x14ac:dyDescent="0.25">
      <c r="A2389" s="468" t="s">
        <v>220</v>
      </c>
      <c r="B2389" s="468" t="s">
        <v>2351</v>
      </c>
      <c r="C2389" s="468" t="s">
        <v>5172</v>
      </c>
      <c r="D2389" s="468" t="s">
        <v>5173</v>
      </c>
      <c r="F2389" s="470">
        <v>1</v>
      </c>
      <c r="G2389" s="468">
        <v>1.6459999999999999</v>
      </c>
      <c r="H2389" s="479">
        <v>1.6459999999999999</v>
      </c>
      <c r="I2389" s="468" t="s">
        <v>9218</v>
      </c>
      <c r="J2389" s="468" t="s">
        <v>9219</v>
      </c>
      <c r="K2389" s="468" t="s">
        <v>9219</v>
      </c>
      <c r="L2389" s="468" t="s">
        <v>2354</v>
      </c>
    </row>
    <row r="2390" spans="1:12" x14ac:dyDescent="0.25">
      <c r="A2390" s="468" t="s">
        <v>220</v>
      </c>
      <c r="B2390" s="468" t="s">
        <v>2351</v>
      </c>
      <c r="C2390" s="468" t="s">
        <v>5174</v>
      </c>
      <c r="D2390" s="468" t="s">
        <v>5175</v>
      </c>
      <c r="F2390" s="470">
        <v>1</v>
      </c>
      <c r="G2390" s="468">
        <v>2.512</v>
      </c>
      <c r="H2390" s="479">
        <v>2.512</v>
      </c>
      <c r="I2390" s="468" t="s">
        <v>9218</v>
      </c>
      <c r="J2390" s="468" t="s">
        <v>9219</v>
      </c>
      <c r="K2390" s="468" t="s">
        <v>9219</v>
      </c>
      <c r="L2390" s="468" t="s">
        <v>2354</v>
      </c>
    </row>
    <row r="2391" spans="1:12" x14ac:dyDescent="0.25">
      <c r="A2391" s="468" t="s">
        <v>220</v>
      </c>
      <c r="B2391" s="468" t="s">
        <v>2351</v>
      </c>
      <c r="C2391" s="468" t="s">
        <v>5176</v>
      </c>
      <c r="D2391" s="468" t="s">
        <v>5177</v>
      </c>
      <c r="F2391" s="470">
        <v>3</v>
      </c>
      <c r="G2391" s="468">
        <v>3.0259999999999998</v>
      </c>
      <c r="H2391" s="479">
        <v>9.0779999999999994</v>
      </c>
      <c r="I2391" s="468" t="s">
        <v>9218</v>
      </c>
      <c r="J2391" s="468" t="s">
        <v>9219</v>
      </c>
      <c r="K2391" s="468" t="s">
        <v>9219</v>
      </c>
      <c r="L2391" s="468" t="s">
        <v>2354</v>
      </c>
    </row>
    <row r="2392" spans="1:12" x14ac:dyDescent="0.25">
      <c r="A2392" s="468" t="s">
        <v>220</v>
      </c>
      <c r="B2392" s="468" t="s">
        <v>2351</v>
      </c>
      <c r="C2392" s="468" t="s">
        <v>5178</v>
      </c>
      <c r="D2392" s="468" t="s">
        <v>5179</v>
      </c>
      <c r="F2392" s="470">
        <v>12</v>
      </c>
      <c r="G2392" s="468">
        <v>5.125</v>
      </c>
      <c r="H2392" s="479">
        <v>61.5</v>
      </c>
      <c r="I2392" s="468" t="s">
        <v>9218</v>
      </c>
      <c r="J2392" s="468" t="s">
        <v>9219</v>
      </c>
      <c r="K2392" s="468" t="s">
        <v>9219</v>
      </c>
      <c r="L2392" s="468" t="s">
        <v>2354</v>
      </c>
    </row>
    <row r="2393" spans="1:12" x14ac:dyDescent="0.25">
      <c r="A2393" s="468" t="s">
        <v>220</v>
      </c>
      <c r="B2393" s="468" t="s">
        <v>2351</v>
      </c>
      <c r="C2393" s="468" t="s">
        <v>5180</v>
      </c>
      <c r="D2393" s="468" t="s">
        <v>5181</v>
      </c>
      <c r="F2393" s="470">
        <v>4</v>
      </c>
      <c r="G2393" s="468">
        <v>14.04</v>
      </c>
      <c r="H2393" s="479">
        <v>56.16</v>
      </c>
      <c r="I2393" s="468" t="s">
        <v>9218</v>
      </c>
      <c r="J2393" s="468" t="s">
        <v>9219</v>
      </c>
      <c r="K2393" s="468" t="s">
        <v>9219</v>
      </c>
      <c r="L2393" s="468" t="s">
        <v>2354</v>
      </c>
    </row>
    <row r="2394" spans="1:12" x14ac:dyDescent="0.25">
      <c r="A2394" s="468" t="s">
        <v>220</v>
      </c>
      <c r="B2394" s="468" t="s">
        <v>2351</v>
      </c>
      <c r="C2394" s="468" t="s">
        <v>5182</v>
      </c>
      <c r="D2394" s="468" t="s">
        <v>5183</v>
      </c>
      <c r="F2394" s="470">
        <v>8</v>
      </c>
      <c r="G2394" s="468">
        <v>13.792</v>
      </c>
      <c r="H2394" s="479">
        <v>110.336</v>
      </c>
      <c r="I2394" s="468" t="s">
        <v>9218</v>
      </c>
      <c r="J2394" s="468" t="s">
        <v>9219</v>
      </c>
      <c r="K2394" s="468" t="s">
        <v>9219</v>
      </c>
      <c r="L2394" s="468" t="s">
        <v>2354</v>
      </c>
    </row>
    <row r="2395" spans="1:12" x14ac:dyDescent="0.25">
      <c r="A2395" s="468" t="s">
        <v>220</v>
      </c>
      <c r="B2395" s="468" t="s">
        <v>2351</v>
      </c>
      <c r="C2395" s="468" t="s">
        <v>5184</v>
      </c>
      <c r="D2395" s="468" t="s">
        <v>5185</v>
      </c>
      <c r="F2395" s="470">
        <v>10</v>
      </c>
      <c r="G2395" s="468">
        <v>8.4939999999999998</v>
      </c>
      <c r="H2395" s="479">
        <v>84.94</v>
      </c>
      <c r="I2395" s="468" t="s">
        <v>9218</v>
      </c>
      <c r="J2395" s="468" t="s">
        <v>9219</v>
      </c>
      <c r="K2395" s="468" t="s">
        <v>9219</v>
      </c>
      <c r="L2395" s="468" t="s">
        <v>2354</v>
      </c>
    </row>
    <row r="2396" spans="1:12" x14ac:dyDescent="0.25">
      <c r="A2396" s="468" t="s">
        <v>220</v>
      </c>
      <c r="B2396" s="468" t="s">
        <v>2351</v>
      </c>
      <c r="C2396" s="468" t="s">
        <v>5186</v>
      </c>
      <c r="D2396" s="468" t="s">
        <v>5187</v>
      </c>
      <c r="F2396" s="470">
        <v>4</v>
      </c>
      <c r="G2396" s="468">
        <v>5.03</v>
      </c>
      <c r="H2396" s="479">
        <v>20.12</v>
      </c>
      <c r="I2396" s="468" t="s">
        <v>9218</v>
      </c>
      <c r="J2396" s="468" t="s">
        <v>9219</v>
      </c>
      <c r="K2396" s="468" t="s">
        <v>9219</v>
      </c>
      <c r="L2396" s="468" t="s">
        <v>2354</v>
      </c>
    </row>
    <row r="2397" spans="1:12" x14ac:dyDescent="0.25">
      <c r="A2397" s="468" t="s">
        <v>220</v>
      </c>
      <c r="B2397" s="468" t="s">
        <v>2351</v>
      </c>
      <c r="C2397" s="468" t="s">
        <v>5188</v>
      </c>
      <c r="D2397" s="468" t="s">
        <v>5189</v>
      </c>
      <c r="F2397" s="470">
        <v>1</v>
      </c>
      <c r="G2397" s="468">
        <v>4.6139999999999999</v>
      </c>
      <c r="H2397" s="479">
        <v>4.6139999999999999</v>
      </c>
      <c r="I2397" s="468" t="s">
        <v>9218</v>
      </c>
      <c r="J2397" s="468" t="s">
        <v>9219</v>
      </c>
      <c r="K2397" s="468" t="s">
        <v>9219</v>
      </c>
      <c r="L2397" s="468" t="s">
        <v>2354</v>
      </c>
    </row>
    <row r="2398" spans="1:12" x14ac:dyDescent="0.25">
      <c r="A2398" s="468" t="s">
        <v>220</v>
      </c>
      <c r="B2398" s="468" t="s">
        <v>2351</v>
      </c>
      <c r="C2398" s="468" t="s">
        <v>5190</v>
      </c>
      <c r="D2398" s="468" t="s">
        <v>5191</v>
      </c>
      <c r="F2398" s="470">
        <v>5</v>
      </c>
      <c r="G2398" s="468">
        <v>0.33700000000000002</v>
      </c>
      <c r="H2398" s="479">
        <v>1.6850000000000001</v>
      </c>
      <c r="I2398" s="468" t="s">
        <v>9218</v>
      </c>
      <c r="J2398" s="468" t="s">
        <v>9219</v>
      </c>
      <c r="K2398" s="468" t="s">
        <v>9219</v>
      </c>
      <c r="L2398" s="468" t="s">
        <v>2354</v>
      </c>
    </row>
    <row r="2399" spans="1:12" x14ac:dyDescent="0.25">
      <c r="A2399" s="468" t="s">
        <v>220</v>
      </c>
      <c r="B2399" s="468" t="s">
        <v>2351</v>
      </c>
      <c r="C2399" s="468" t="s">
        <v>5192</v>
      </c>
      <c r="D2399" s="468" t="s">
        <v>5193</v>
      </c>
      <c r="F2399" s="470">
        <v>6</v>
      </c>
      <c r="G2399" s="468">
        <v>5.3070000000000004</v>
      </c>
      <c r="H2399" s="479">
        <v>31.842000000000002</v>
      </c>
      <c r="I2399" s="468" t="s">
        <v>9218</v>
      </c>
      <c r="J2399" s="468" t="s">
        <v>9219</v>
      </c>
      <c r="K2399" s="468" t="s">
        <v>9219</v>
      </c>
      <c r="L2399" s="468" t="s">
        <v>2354</v>
      </c>
    </row>
    <row r="2400" spans="1:12" x14ac:dyDescent="0.25">
      <c r="A2400" s="468" t="s">
        <v>220</v>
      </c>
      <c r="B2400" s="468" t="s">
        <v>2351</v>
      </c>
      <c r="C2400" s="468" t="s">
        <v>5194</v>
      </c>
      <c r="D2400" s="468" t="s">
        <v>5195</v>
      </c>
      <c r="F2400" s="470">
        <v>4</v>
      </c>
      <c r="G2400" s="468">
        <v>0.46500000000000002</v>
      </c>
      <c r="H2400" s="479">
        <v>1.86</v>
      </c>
      <c r="I2400" s="468" t="s">
        <v>9218</v>
      </c>
      <c r="J2400" s="468" t="s">
        <v>9219</v>
      </c>
      <c r="K2400" s="468" t="s">
        <v>9219</v>
      </c>
      <c r="L2400" s="468" t="s">
        <v>2354</v>
      </c>
    </row>
    <row r="2401" spans="1:12" x14ac:dyDescent="0.25">
      <c r="A2401" s="468" t="s">
        <v>220</v>
      </c>
      <c r="B2401" s="468" t="s">
        <v>2351</v>
      </c>
      <c r="C2401" s="468" t="s">
        <v>5196</v>
      </c>
      <c r="D2401" s="468" t="s">
        <v>5197</v>
      </c>
      <c r="F2401" s="470">
        <v>19</v>
      </c>
      <c r="G2401" s="468">
        <v>0.112</v>
      </c>
      <c r="H2401" s="479">
        <v>2.1280000000000001</v>
      </c>
      <c r="I2401" s="468" t="s">
        <v>9218</v>
      </c>
      <c r="J2401" s="468" t="s">
        <v>9219</v>
      </c>
      <c r="K2401" s="468" t="s">
        <v>9219</v>
      </c>
      <c r="L2401" s="468" t="s">
        <v>2354</v>
      </c>
    </row>
    <row r="2402" spans="1:12" x14ac:dyDescent="0.25">
      <c r="A2402" s="468" t="s">
        <v>220</v>
      </c>
      <c r="B2402" s="468" t="s">
        <v>2351</v>
      </c>
      <c r="C2402" s="468" t="s">
        <v>5198</v>
      </c>
      <c r="D2402" s="468" t="s">
        <v>5199</v>
      </c>
      <c r="F2402" s="470">
        <v>16</v>
      </c>
      <c r="G2402" s="468">
        <v>1.3360000000000001</v>
      </c>
      <c r="H2402" s="479">
        <v>21.376000000000001</v>
      </c>
      <c r="I2402" s="468" t="s">
        <v>9218</v>
      </c>
      <c r="J2402" s="468" t="s">
        <v>9219</v>
      </c>
      <c r="K2402" s="468" t="s">
        <v>9219</v>
      </c>
      <c r="L2402" s="468" t="s">
        <v>2354</v>
      </c>
    </row>
    <row r="2403" spans="1:12" x14ac:dyDescent="0.25">
      <c r="A2403" s="468" t="s">
        <v>220</v>
      </c>
      <c r="B2403" s="468" t="s">
        <v>2351</v>
      </c>
      <c r="C2403" s="468" t="s">
        <v>5200</v>
      </c>
      <c r="D2403" s="468" t="s">
        <v>5201</v>
      </c>
      <c r="F2403" s="470">
        <v>6</v>
      </c>
      <c r="G2403" s="468">
        <v>0.33700000000000002</v>
      </c>
      <c r="H2403" s="479">
        <v>2.0220000000000002</v>
      </c>
      <c r="I2403" s="468" t="s">
        <v>9218</v>
      </c>
      <c r="J2403" s="468" t="s">
        <v>9219</v>
      </c>
      <c r="K2403" s="468" t="s">
        <v>9219</v>
      </c>
      <c r="L2403" s="468" t="s">
        <v>2354</v>
      </c>
    </row>
    <row r="2404" spans="1:12" x14ac:dyDescent="0.25">
      <c r="A2404" s="468" t="s">
        <v>220</v>
      </c>
      <c r="B2404" s="468" t="s">
        <v>2351</v>
      </c>
      <c r="C2404" s="468" t="s">
        <v>5202</v>
      </c>
      <c r="D2404" s="468" t="s">
        <v>5203</v>
      </c>
      <c r="F2404" s="470">
        <v>8</v>
      </c>
      <c r="G2404" s="468">
        <v>0.75700000000000001</v>
      </c>
      <c r="H2404" s="479">
        <v>6.056</v>
      </c>
      <c r="I2404" s="468" t="s">
        <v>9218</v>
      </c>
      <c r="J2404" s="468" t="s">
        <v>9219</v>
      </c>
      <c r="K2404" s="468" t="s">
        <v>9219</v>
      </c>
      <c r="L2404" s="468" t="s">
        <v>2354</v>
      </c>
    </row>
    <row r="2405" spans="1:12" x14ac:dyDescent="0.25">
      <c r="A2405" s="468" t="s">
        <v>220</v>
      </c>
      <c r="B2405" s="468" t="s">
        <v>2351</v>
      </c>
      <c r="C2405" s="468" t="s">
        <v>5204</v>
      </c>
      <c r="D2405" s="468" t="s">
        <v>5205</v>
      </c>
      <c r="F2405" s="470">
        <v>18</v>
      </c>
      <c r="G2405" s="468">
        <v>2.7010000000000001</v>
      </c>
      <c r="H2405" s="479">
        <v>48.618000000000002</v>
      </c>
      <c r="I2405" s="468" t="s">
        <v>9218</v>
      </c>
      <c r="J2405" s="468" t="s">
        <v>9219</v>
      </c>
      <c r="K2405" s="468" t="s">
        <v>9219</v>
      </c>
      <c r="L2405" s="468" t="s">
        <v>2354</v>
      </c>
    </row>
    <row r="2406" spans="1:12" x14ac:dyDescent="0.25">
      <c r="A2406" s="468" t="s">
        <v>220</v>
      </c>
      <c r="B2406" s="468" t="s">
        <v>2351</v>
      </c>
      <c r="C2406" s="468" t="s">
        <v>5206</v>
      </c>
      <c r="D2406" s="468" t="s">
        <v>5207</v>
      </c>
      <c r="F2406" s="470">
        <v>20</v>
      </c>
      <c r="G2406" s="468">
        <v>1.0109999999999999</v>
      </c>
      <c r="H2406" s="479">
        <v>20.22</v>
      </c>
      <c r="I2406" s="468" t="s">
        <v>9218</v>
      </c>
      <c r="J2406" s="468" t="s">
        <v>9219</v>
      </c>
      <c r="K2406" s="468" t="s">
        <v>9219</v>
      </c>
      <c r="L2406" s="468" t="s">
        <v>2354</v>
      </c>
    </row>
    <row r="2407" spans="1:12" x14ac:dyDescent="0.25">
      <c r="A2407" s="468" t="s">
        <v>220</v>
      </c>
      <c r="B2407" s="468" t="s">
        <v>2351</v>
      </c>
      <c r="C2407" s="468" t="s">
        <v>5208</v>
      </c>
      <c r="D2407" s="468" t="s">
        <v>5209</v>
      </c>
      <c r="F2407" s="470">
        <v>3</v>
      </c>
      <c r="G2407" s="468">
        <v>3.1779999999999999</v>
      </c>
      <c r="H2407" s="479">
        <v>9.5339999999999989</v>
      </c>
      <c r="I2407" s="468" t="s">
        <v>9218</v>
      </c>
      <c r="J2407" s="468" t="s">
        <v>9219</v>
      </c>
      <c r="K2407" s="468" t="s">
        <v>9219</v>
      </c>
      <c r="L2407" s="468" t="s">
        <v>2354</v>
      </c>
    </row>
    <row r="2408" spans="1:12" x14ac:dyDescent="0.25">
      <c r="A2408" s="468" t="s">
        <v>220</v>
      </c>
      <c r="B2408" s="468" t="s">
        <v>2351</v>
      </c>
      <c r="C2408" s="468" t="s">
        <v>5210</v>
      </c>
      <c r="D2408" s="468" t="s">
        <v>5211</v>
      </c>
      <c r="F2408" s="470">
        <v>3</v>
      </c>
      <c r="G2408" s="468">
        <v>1.5680000000000001</v>
      </c>
      <c r="H2408" s="479">
        <v>4.7040000000000006</v>
      </c>
      <c r="I2408" s="468" t="s">
        <v>9218</v>
      </c>
      <c r="J2408" s="468" t="s">
        <v>9219</v>
      </c>
      <c r="K2408" s="468" t="s">
        <v>9219</v>
      </c>
      <c r="L2408" s="468" t="s">
        <v>2354</v>
      </c>
    </row>
    <row r="2409" spans="1:12" x14ac:dyDescent="0.25">
      <c r="A2409" s="468" t="s">
        <v>220</v>
      </c>
      <c r="B2409" s="468" t="s">
        <v>2351</v>
      </c>
      <c r="C2409" s="468" t="s">
        <v>5212</v>
      </c>
      <c r="D2409" s="468" t="s">
        <v>5213</v>
      </c>
      <c r="F2409" s="470">
        <v>1</v>
      </c>
      <c r="G2409" s="468">
        <v>3.6669999999999998</v>
      </c>
      <c r="H2409" s="479">
        <v>3.6669999999999998</v>
      </c>
      <c r="I2409" s="468" t="s">
        <v>9218</v>
      </c>
      <c r="J2409" s="468" t="s">
        <v>9219</v>
      </c>
      <c r="K2409" s="468" t="s">
        <v>9219</v>
      </c>
      <c r="L2409" s="468" t="s">
        <v>2354</v>
      </c>
    </row>
    <row r="2410" spans="1:12" x14ac:dyDescent="0.25">
      <c r="A2410" s="468" t="s">
        <v>220</v>
      </c>
      <c r="B2410" s="468" t="s">
        <v>2351</v>
      </c>
      <c r="C2410" s="468" t="s">
        <v>5214</v>
      </c>
      <c r="D2410" s="468" t="s">
        <v>5215</v>
      </c>
      <c r="F2410" s="470">
        <v>4</v>
      </c>
      <c r="G2410" s="468">
        <v>2.1909999999999998</v>
      </c>
      <c r="H2410" s="479">
        <v>8.7639999999999993</v>
      </c>
      <c r="I2410" s="468" t="s">
        <v>9218</v>
      </c>
      <c r="J2410" s="468" t="s">
        <v>9219</v>
      </c>
      <c r="K2410" s="468" t="s">
        <v>9219</v>
      </c>
      <c r="L2410" s="468" t="s">
        <v>2354</v>
      </c>
    </row>
    <row r="2411" spans="1:12" x14ac:dyDescent="0.25">
      <c r="A2411" s="468" t="s">
        <v>220</v>
      </c>
      <c r="B2411" s="468" t="s">
        <v>2351</v>
      </c>
      <c r="C2411" s="468" t="s">
        <v>5216</v>
      </c>
      <c r="D2411" s="468" t="s">
        <v>5217</v>
      </c>
      <c r="F2411" s="470">
        <v>17</v>
      </c>
      <c r="G2411" s="468">
        <v>4.1879999999999997</v>
      </c>
      <c r="H2411" s="479">
        <v>71.195999999999998</v>
      </c>
      <c r="I2411" s="468" t="s">
        <v>9218</v>
      </c>
      <c r="J2411" s="468" t="s">
        <v>9219</v>
      </c>
      <c r="K2411" s="468" t="s">
        <v>9219</v>
      </c>
      <c r="L2411" s="468" t="s">
        <v>2354</v>
      </c>
    </row>
    <row r="2412" spans="1:12" x14ac:dyDescent="0.25">
      <c r="A2412" s="468" t="s">
        <v>220</v>
      </c>
      <c r="B2412" s="468" t="s">
        <v>2351</v>
      </c>
      <c r="C2412" s="468" t="s">
        <v>5392</v>
      </c>
      <c r="D2412" s="468" t="s">
        <v>5393</v>
      </c>
      <c r="F2412" s="470">
        <v>6</v>
      </c>
      <c r="G2412" s="468">
        <v>3.2890000000000001</v>
      </c>
      <c r="H2412" s="479">
        <v>19.734000000000002</v>
      </c>
      <c r="I2412" s="468" t="s">
        <v>9218</v>
      </c>
      <c r="J2412" s="468" t="s">
        <v>9219</v>
      </c>
      <c r="K2412" s="468" t="s">
        <v>9219</v>
      </c>
      <c r="L2412" s="468" t="s">
        <v>2354</v>
      </c>
    </row>
    <row r="2413" spans="1:12" x14ac:dyDescent="0.25">
      <c r="A2413" s="468" t="s">
        <v>220</v>
      </c>
      <c r="B2413" s="468" t="s">
        <v>2351</v>
      </c>
      <c r="C2413" s="468" t="s">
        <v>5220</v>
      </c>
      <c r="D2413" s="468" t="s">
        <v>5221</v>
      </c>
      <c r="F2413" s="470">
        <v>1</v>
      </c>
      <c r="G2413" s="468">
        <v>9.0962999999999994</v>
      </c>
      <c r="H2413" s="479">
        <v>9.0962999999999994</v>
      </c>
      <c r="I2413" s="468" t="s">
        <v>9218</v>
      </c>
      <c r="J2413" s="468" t="s">
        <v>9219</v>
      </c>
      <c r="K2413" s="468" t="s">
        <v>9219</v>
      </c>
      <c r="L2413" s="468" t="s">
        <v>2354</v>
      </c>
    </row>
    <row r="2414" spans="1:12" x14ac:dyDescent="0.25">
      <c r="A2414" s="468" t="s">
        <v>220</v>
      </c>
      <c r="B2414" s="468" t="s">
        <v>2351</v>
      </c>
      <c r="D2414" s="468" t="s">
        <v>9380</v>
      </c>
      <c r="F2414" s="470">
        <v>2</v>
      </c>
      <c r="G2414" s="468">
        <v>7.2759999999999998</v>
      </c>
      <c r="H2414" s="479">
        <v>14.552</v>
      </c>
      <c r="I2414" s="468" t="s">
        <v>9218</v>
      </c>
      <c r="J2414" s="468" t="s">
        <v>9219</v>
      </c>
      <c r="K2414" s="468" t="s">
        <v>9219</v>
      </c>
      <c r="L2414" s="468" t="s">
        <v>2354</v>
      </c>
    </row>
    <row r="2415" spans="1:12" x14ac:dyDescent="0.25">
      <c r="A2415" s="468" t="s">
        <v>220</v>
      </c>
      <c r="B2415" s="468" t="s">
        <v>2351</v>
      </c>
      <c r="C2415" s="468" t="s">
        <v>5222</v>
      </c>
      <c r="D2415" s="468" t="s">
        <v>5223</v>
      </c>
      <c r="F2415" s="470">
        <v>3</v>
      </c>
      <c r="G2415" s="468">
        <v>9.6929999999999996</v>
      </c>
      <c r="H2415" s="479">
        <v>29.079000000000001</v>
      </c>
      <c r="I2415" s="468" t="s">
        <v>9218</v>
      </c>
      <c r="J2415" s="468" t="s">
        <v>9219</v>
      </c>
      <c r="K2415" s="468" t="s">
        <v>9219</v>
      </c>
      <c r="L2415" s="468" t="s">
        <v>2354</v>
      </c>
    </row>
    <row r="2416" spans="1:12" x14ac:dyDescent="0.25">
      <c r="A2416" s="468" t="s">
        <v>220</v>
      </c>
      <c r="B2416" s="468" t="s">
        <v>2351</v>
      </c>
      <c r="D2416" s="468" t="s">
        <v>9381</v>
      </c>
      <c r="F2416" s="470">
        <v>3</v>
      </c>
      <c r="G2416" s="468">
        <v>13.516999999999999</v>
      </c>
      <c r="H2416" s="479">
        <v>40.551000000000002</v>
      </c>
      <c r="I2416" s="468" t="s">
        <v>9218</v>
      </c>
      <c r="J2416" s="468" t="s">
        <v>9219</v>
      </c>
      <c r="K2416" s="468" t="s">
        <v>9219</v>
      </c>
      <c r="L2416" s="468" t="s">
        <v>2354</v>
      </c>
    </row>
    <row r="2417" spans="1:12" x14ac:dyDescent="0.25">
      <c r="A2417" s="468" t="s">
        <v>220</v>
      </c>
      <c r="B2417" s="468" t="s">
        <v>2351</v>
      </c>
      <c r="D2417" s="468" t="s">
        <v>9382</v>
      </c>
      <c r="F2417" s="470">
        <v>2</v>
      </c>
      <c r="G2417" s="468">
        <v>16.393999999999998</v>
      </c>
      <c r="H2417" s="479">
        <v>32.787999999999997</v>
      </c>
      <c r="I2417" s="468" t="s">
        <v>9218</v>
      </c>
      <c r="J2417" s="468" t="s">
        <v>9219</v>
      </c>
      <c r="K2417" s="468" t="s">
        <v>9219</v>
      </c>
      <c r="L2417" s="468" t="s">
        <v>2354</v>
      </c>
    </row>
    <row r="2418" spans="1:12" x14ac:dyDescent="0.25">
      <c r="A2418" s="468" t="s">
        <v>220</v>
      </c>
      <c r="B2418" s="468" t="s">
        <v>2351</v>
      </c>
      <c r="D2418" s="468" t="s">
        <v>9383</v>
      </c>
      <c r="F2418" s="470">
        <v>3</v>
      </c>
      <c r="G2418" s="468">
        <v>11.8</v>
      </c>
      <c r="H2418" s="479">
        <v>35.400000000000006</v>
      </c>
      <c r="I2418" s="468" t="s">
        <v>9218</v>
      </c>
      <c r="J2418" s="468" t="s">
        <v>9219</v>
      </c>
      <c r="K2418" s="468" t="s">
        <v>9219</v>
      </c>
      <c r="L2418" s="468" t="s">
        <v>2354</v>
      </c>
    </row>
    <row r="2419" spans="1:12" x14ac:dyDescent="0.25">
      <c r="A2419" s="468" t="s">
        <v>220</v>
      </c>
      <c r="B2419" s="468" t="s">
        <v>2351</v>
      </c>
      <c r="C2419" s="468" t="s">
        <v>5230</v>
      </c>
      <c r="D2419" s="468" t="s">
        <v>5231</v>
      </c>
      <c r="F2419" s="470">
        <v>2</v>
      </c>
      <c r="G2419" s="468">
        <v>4.5199999999999996</v>
      </c>
      <c r="H2419" s="479">
        <v>9.0399999999999991</v>
      </c>
      <c r="I2419" s="468" t="s">
        <v>9218</v>
      </c>
      <c r="J2419" s="468" t="s">
        <v>9219</v>
      </c>
      <c r="K2419" s="468" t="s">
        <v>9219</v>
      </c>
      <c r="L2419" s="468" t="s">
        <v>2354</v>
      </c>
    </row>
    <row r="2420" spans="1:12" x14ac:dyDescent="0.25">
      <c r="A2420" s="468" t="s">
        <v>220</v>
      </c>
      <c r="B2420" s="468" t="s">
        <v>2351</v>
      </c>
      <c r="C2420" s="468" t="s">
        <v>5240</v>
      </c>
      <c r="D2420" s="468" t="s">
        <v>5241</v>
      </c>
      <c r="F2420" s="470">
        <v>100</v>
      </c>
      <c r="G2420" s="468">
        <v>0.14899999999999999</v>
      </c>
      <c r="H2420" s="479">
        <v>14.899999999999999</v>
      </c>
      <c r="I2420" s="468" t="s">
        <v>9218</v>
      </c>
      <c r="J2420" s="468" t="s">
        <v>9219</v>
      </c>
      <c r="K2420" s="468" t="s">
        <v>9219</v>
      </c>
      <c r="L2420" s="468" t="s">
        <v>2354</v>
      </c>
    </row>
    <row r="2421" spans="1:12" x14ac:dyDescent="0.25">
      <c r="A2421" s="468" t="s">
        <v>220</v>
      </c>
      <c r="B2421" s="468" t="s">
        <v>2351</v>
      </c>
      <c r="D2421" s="468" t="s">
        <v>9384</v>
      </c>
      <c r="F2421" s="470">
        <v>49</v>
      </c>
      <c r="G2421" s="468">
        <v>0.47599999999999998</v>
      </c>
      <c r="H2421" s="479">
        <v>23.323999999999998</v>
      </c>
      <c r="I2421" s="468" t="s">
        <v>9218</v>
      </c>
      <c r="J2421" s="468" t="s">
        <v>9219</v>
      </c>
      <c r="K2421" s="468" t="s">
        <v>9219</v>
      </c>
      <c r="L2421" s="468" t="s">
        <v>2354</v>
      </c>
    </row>
    <row r="2422" spans="1:12" x14ac:dyDescent="0.25">
      <c r="A2422" s="468" t="s">
        <v>220</v>
      </c>
      <c r="B2422" s="468" t="s">
        <v>2351</v>
      </c>
      <c r="D2422" s="468" t="s">
        <v>9385</v>
      </c>
      <c r="F2422" s="470">
        <v>49</v>
      </c>
      <c r="G2422" s="468">
        <v>0.16900000000000001</v>
      </c>
      <c r="H2422" s="479">
        <v>8.2810000000000006</v>
      </c>
      <c r="I2422" s="468" t="s">
        <v>9218</v>
      </c>
      <c r="J2422" s="468" t="s">
        <v>9219</v>
      </c>
      <c r="K2422" s="468" t="s">
        <v>9219</v>
      </c>
      <c r="L2422" s="468" t="s">
        <v>2354</v>
      </c>
    </row>
    <row r="2423" spans="1:12" x14ac:dyDescent="0.25">
      <c r="A2423" s="468" t="s">
        <v>220</v>
      </c>
      <c r="B2423" s="468" t="s">
        <v>2351</v>
      </c>
      <c r="D2423" s="468" t="s">
        <v>9386</v>
      </c>
      <c r="F2423" s="470">
        <v>49</v>
      </c>
      <c r="G2423" s="468">
        <v>0.63700000000000001</v>
      </c>
      <c r="H2423" s="479">
        <v>31.213000000000001</v>
      </c>
      <c r="I2423" s="468" t="s">
        <v>9218</v>
      </c>
      <c r="J2423" s="468" t="s">
        <v>9219</v>
      </c>
      <c r="K2423" s="468" t="s">
        <v>9219</v>
      </c>
      <c r="L2423" s="468" t="s">
        <v>2354</v>
      </c>
    </row>
    <row r="2424" spans="1:12" x14ac:dyDescent="0.25">
      <c r="A2424" s="468" t="s">
        <v>220</v>
      </c>
      <c r="B2424" s="468" t="s">
        <v>2351</v>
      </c>
      <c r="D2424" s="468" t="s">
        <v>9387</v>
      </c>
      <c r="F2424" s="470">
        <v>42</v>
      </c>
      <c r="G2424" s="468">
        <v>0.60499999999999998</v>
      </c>
      <c r="H2424" s="479">
        <v>25.41</v>
      </c>
      <c r="I2424" s="468" t="s">
        <v>9218</v>
      </c>
      <c r="J2424" s="468" t="s">
        <v>9219</v>
      </c>
      <c r="K2424" s="468" t="s">
        <v>9219</v>
      </c>
      <c r="L2424" s="468" t="s">
        <v>2354</v>
      </c>
    </row>
    <row r="2425" spans="1:12" x14ac:dyDescent="0.25">
      <c r="A2425" s="468" t="s">
        <v>220</v>
      </c>
      <c r="B2425" s="468" t="s">
        <v>2351</v>
      </c>
      <c r="C2425" s="468" t="s">
        <v>5246</v>
      </c>
      <c r="D2425" s="468" t="s">
        <v>5247</v>
      </c>
      <c r="F2425" s="470">
        <v>20</v>
      </c>
      <c r="G2425" s="468">
        <v>0.1953</v>
      </c>
      <c r="H2425" s="479">
        <v>3.9060000000000001</v>
      </c>
      <c r="I2425" s="468" t="s">
        <v>9218</v>
      </c>
      <c r="J2425" s="468" t="s">
        <v>9219</v>
      </c>
      <c r="K2425" s="468" t="s">
        <v>9219</v>
      </c>
      <c r="L2425" s="468" t="s">
        <v>2354</v>
      </c>
    </row>
    <row r="2426" spans="1:12" x14ac:dyDescent="0.25">
      <c r="A2426" s="468" t="s">
        <v>220</v>
      </c>
      <c r="B2426" s="468" t="s">
        <v>2351</v>
      </c>
      <c r="C2426" s="468" t="s">
        <v>5248</v>
      </c>
      <c r="D2426" s="468" t="s">
        <v>5249</v>
      </c>
      <c r="F2426" s="470">
        <v>17</v>
      </c>
      <c r="G2426" s="468">
        <v>0.4788</v>
      </c>
      <c r="H2426" s="479">
        <v>8.1395999999999997</v>
      </c>
      <c r="I2426" s="468" t="s">
        <v>9218</v>
      </c>
      <c r="J2426" s="468" t="s">
        <v>9219</v>
      </c>
      <c r="K2426" s="468" t="s">
        <v>9219</v>
      </c>
      <c r="L2426" s="468" t="s">
        <v>2354</v>
      </c>
    </row>
    <row r="2427" spans="1:12" x14ac:dyDescent="0.25">
      <c r="A2427" s="468" t="s">
        <v>220</v>
      </c>
      <c r="B2427" s="468" t="s">
        <v>2351</v>
      </c>
      <c r="C2427" s="468" t="s">
        <v>5250</v>
      </c>
      <c r="D2427" s="468" t="s">
        <v>5251</v>
      </c>
      <c r="F2427" s="470">
        <v>4</v>
      </c>
      <c r="G2427" s="468">
        <v>23.079599999999999</v>
      </c>
      <c r="H2427" s="479">
        <v>92.318399999999997</v>
      </c>
      <c r="I2427" s="468" t="s">
        <v>9218</v>
      </c>
      <c r="J2427" s="468" t="s">
        <v>9219</v>
      </c>
      <c r="K2427" s="468" t="s">
        <v>9219</v>
      </c>
      <c r="L2427" s="468" t="s">
        <v>2354</v>
      </c>
    </row>
    <row r="2428" spans="1:12" x14ac:dyDescent="0.25">
      <c r="A2428" s="468" t="s">
        <v>220</v>
      </c>
      <c r="B2428" s="468" t="s">
        <v>2351</v>
      </c>
      <c r="C2428" s="468" t="s">
        <v>5254</v>
      </c>
      <c r="D2428" s="468" t="s">
        <v>5255</v>
      </c>
      <c r="F2428" s="470">
        <v>10</v>
      </c>
      <c r="G2428" s="468">
        <v>4.6749999999999998</v>
      </c>
      <c r="H2428" s="479">
        <v>46.75</v>
      </c>
      <c r="I2428" s="468" t="s">
        <v>9218</v>
      </c>
      <c r="J2428" s="468" t="s">
        <v>9219</v>
      </c>
      <c r="K2428" s="468" t="s">
        <v>9219</v>
      </c>
      <c r="L2428" s="468" t="s">
        <v>2354</v>
      </c>
    </row>
    <row r="2429" spans="1:12" x14ac:dyDescent="0.25">
      <c r="A2429" s="468" t="s">
        <v>220</v>
      </c>
      <c r="B2429" s="468" t="s">
        <v>2351</v>
      </c>
      <c r="C2429" s="468" t="s">
        <v>5394</v>
      </c>
      <c r="D2429" s="468" t="s">
        <v>5395</v>
      </c>
      <c r="F2429" s="470">
        <v>15</v>
      </c>
      <c r="G2429" s="468">
        <v>4.2229999999999999</v>
      </c>
      <c r="H2429" s="479">
        <v>63.344999999999999</v>
      </c>
      <c r="I2429" s="468" t="s">
        <v>9218</v>
      </c>
      <c r="J2429" s="468" t="s">
        <v>9219</v>
      </c>
      <c r="K2429" s="468" t="s">
        <v>9219</v>
      </c>
      <c r="L2429" s="468" t="s">
        <v>2354</v>
      </c>
    </row>
    <row r="2430" spans="1:12" x14ac:dyDescent="0.25">
      <c r="A2430" s="468" t="s">
        <v>220</v>
      </c>
      <c r="B2430" s="468" t="s">
        <v>2351</v>
      </c>
      <c r="C2430" s="468" t="s">
        <v>5274</v>
      </c>
      <c r="D2430" s="468" t="s">
        <v>5275</v>
      </c>
      <c r="F2430" s="470">
        <v>4</v>
      </c>
      <c r="G2430" s="468">
        <v>7.5750000000000002</v>
      </c>
      <c r="H2430" s="479">
        <v>30.3</v>
      </c>
      <c r="I2430" s="468" t="s">
        <v>9218</v>
      </c>
      <c r="J2430" s="468" t="s">
        <v>9219</v>
      </c>
      <c r="K2430" s="468" t="s">
        <v>9219</v>
      </c>
      <c r="L2430" s="468" t="s">
        <v>2354</v>
      </c>
    </row>
    <row r="2431" spans="1:12" x14ac:dyDescent="0.25">
      <c r="A2431" s="468" t="s">
        <v>220</v>
      </c>
      <c r="B2431" s="468" t="s">
        <v>2351</v>
      </c>
      <c r="C2431" s="468" t="s">
        <v>5276</v>
      </c>
      <c r="D2431" s="468" t="s">
        <v>5277</v>
      </c>
      <c r="F2431" s="470">
        <v>3</v>
      </c>
      <c r="G2431" s="468">
        <v>6.5650000000000004</v>
      </c>
      <c r="H2431" s="479">
        <v>19.695</v>
      </c>
      <c r="I2431" s="468" t="s">
        <v>9218</v>
      </c>
      <c r="J2431" s="468" t="s">
        <v>9219</v>
      </c>
      <c r="K2431" s="468" t="s">
        <v>9219</v>
      </c>
      <c r="L2431" s="468" t="s">
        <v>2354</v>
      </c>
    </row>
    <row r="2432" spans="1:12" x14ac:dyDescent="0.25">
      <c r="A2432" s="468" t="s">
        <v>220</v>
      </c>
      <c r="B2432" s="468" t="s">
        <v>2351</v>
      </c>
      <c r="C2432" s="468" t="s">
        <v>5280</v>
      </c>
      <c r="D2432" s="468" t="s">
        <v>5281</v>
      </c>
      <c r="F2432" s="470">
        <v>4</v>
      </c>
      <c r="G2432" s="468">
        <v>7</v>
      </c>
      <c r="H2432" s="479">
        <v>28</v>
      </c>
      <c r="I2432" s="468" t="s">
        <v>9218</v>
      </c>
      <c r="J2432" s="468" t="s">
        <v>9219</v>
      </c>
      <c r="K2432" s="468" t="s">
        <v>9219</v>
      </c>
      <c r="L2432" s="468" t="s">
        <v>2354</v>
      </c>
    </row>
    <row r="2433" spans="1:12" x14ac:dyDescent="0.25">
      <c r="A2433" s="468" t="s">
        <v>220</v>
      </c>
      <c r="B2433" s="468" t="s">
        <v>2351</v>
      </c>
      <c r="C2433" s="468" t="s">
        <v>5288</v>
      </c>
      <c r="D2433" s="468" t="s">
        <v>5289</v>
      </c>
      <c r="F2433" s="470">
        <v>2</v>
      </c>
      <c r="G2433" s="468">
        <v>8.1310333333333329</v>
      </c>
      <c r="H2433" s="479">
        <v>16.262066666666666</v>
      </c>
      <c r="I2433" s="468" t="s">
        <v>9218</v>
      </c>
      <c r="J2433" s="468" t="s">
        <v>9219</v>
      </c>
      <c r="K2433" s="468" t="s">
        <v>9219</v>
      </c>
      <c r="L2433" s="468" t="s">
        <v>2354</v>
      </c>
    </row>
    <row r="2434" spans="1:12" x14ac:dyDescent="0.25">
      <c r="A2434" s="468" t="s">
        <v>220</v>
      </c>
      <c r="B2434" s="468" t="s">
        <v>2351</v>
      </c>
      <c r="C2434" s="468" t="s">
        <v>5290</v>
      </c>
      <c r="D2434" s="468" t="s">
        <v>5291</v>
      </c>
      <c r="F2434" s="470">
        <v>1</v>
      </c>
      <c r="G2434" s="468">
        <v>9.8927999999999994</v>
      </c>
      <c r="H2434" s="479">
        <v>9.8927999999999994</v>
      </c>
      <c r="I2434" s="468" t="s">
        <v>9218</v>
      </c>
      <c r="J2434" s="468" t="s">
        <v>9219</v>
      </c>
      <c r="K2434" s="468" t="s">
        <v>9219</v>
      </c>
      <c r="L2434" s="468" t="s">
        <v>2354</v>
      </c>
    </row>
    <row r="2435" spans="1:12" x14ac:dyDescent="0.25">
      <c r="A2435" s="468" t="s">
        <v>220</v>
      </c>
      <c r="B2435" s="468" t="s">
        <v>2351</v>
      </c>
      <c r="C2435" s="468" t="s">
        <v>5292</v>
      </c>
      <c r="D2435" s="468" t="s">
        <v>5293</v>
      </c>
      <c r="F2435" s="470">
        <v>2</v>
      </c>
      <c r="G2435" s="468">
        <v>204.1592</v>
      </c>
      <c r="H2435" s="479">
        <v>408.3184</v>
      </c>
      <c r="I2435" s="468" t="s">
        <v>9218</v>
      </c>
      <c r="J2435" s="468" t="s">
        <v>9219</v>
      </c>
      <c r="K2435" s="468" t="s">
        <v>9219</v>
      </c>
      <c r="L2435" s="468" t="s">
        <v>2354</v>
      </c>
    </row>
    <row r="2436" spans="1:12" x14ac:dyDescent="0.25">
      <c r="A2436" s="468" t="s">
        <v>220</v>
      </c>
      <c r="B2436" s="468" t="s">
        <v>2351</v>
      </c>
      <c r="C2436" s="468" t="s">
        <v>5294</v>
      </c>
      <c r="D2436" s="468" t="s">
        <v>5295</v>
      </c>
      <c r="F2436" s="470">
        <v>1</v>
      </c>
      <c r="G2436" s="468">
        <v>10.160780000000001</v>
      </c>
      <c r="H2436" s="479">
        <v>10.160780000000001</v>
      </c>
      <c r="I2436" s="468" t="s">
        <v>9218</v>
      </c>
      <c r="J2436" s="468" t="s">
        <v>9219</v>
      </c>
      <c r="K2436" s="468" t="s">
        <v>9219</v>
      </c>
      <c r="L2436" s="468" t="s">
        <v>2354</v>
      </c>
    </row>
    <row r="2437" spans="1:12" x14ac:dyDescent="0.25">
      <c r="A2437" s="468" t="s">
        <v>220</v>
      </c>
      <c r="B2437" s="468" t="s">
        <v>2351</v>
      </c>
      <c r="C2437" s="468" t="s">
        <v>5296</v>
      </c>
      <c r="D2437" s="468" t="s">
        <v>2392</v>
      </c>
      <c r="F2437" s="470">
        <v>2</v>
      </c>
      <c r="G2437" s="468">
        <v>1.1759999999999999</v>
      </c>
      <c r="H2437" s="479">
        <v>2.3519999999999999</v>
      </c>
      <c r="I2437" s="468" t="s">
        <v>9218</v>
      </c>
      <c r="J2437" s="468" t="s">
        <v>9219</v>
      </c>
      <c r="K2437" s="468" t="s">
        <v>9219</v>
      </c>
      <c r="L2437" s="468" t="s">
        <v>2354</v>
      </c>
    </row>
    <row r="2438" spans="1:12" x14ac:dyDescent="0.25">
      <c r="A2438" s="468" t="s">
        <v>220</v>
      </c>
      <c r="B2438" s="468" t="s">
        <v>2351</v>
      </c>
      <c r="C2438" s="468" t="s">
        <v>5297</v>
      </c>
      <c r="D2438" s="468" t="s">
        <v>5298</v>
      </c>
      <c r="F2438" s="470">
        <v>4</v>
      </c>
      <c r="G2438" s="468">
        <v>1.873</v>
      </c>
      <c r="H2438" s="479">
        <v>7.492</v>
      </c>
      <c r="I2438" s="468" t="s">
        <v>9218</v>
      </c>
      <c r="J2438" s="468" t="s">
        <v>9219</v>
      </c>
      <c r="K2438" s="468" t="s">
        <v>9219</v>
      </c>
      <c r="L2438" s="468" t="s">
        <v>2354</v>
      </c>
    </row>
    <row r="2439" spans="1:12" x14ac:dyDescent="0.25">
      <c r="A2439" s="468" t="s">
        <v>220</v>
      </c>
      <c r="B2439" s="468" t="s">
        <v>2351</v>
      </c>
      <c r="C2439" s="468" t="s">
        <v>5300</v>
      </c>
      <c r="D2439" s="468" t="s">
        <v>2393</v>
      </c>
      <c r="F2439" s="470">
        <v>2</v>
      </c>
      <c r="G2439" s="468">
        <v>2.7349999999999999</v>
      </c>
      <c r="H2439" s="479">
        <v>5.47</v>
      </c>
      <c r="I2439" s="468" t="s">
        <v>9218</v>
      </c>
      <c r="J2439" s="468" t="s">
        <v>9219</v>
      </c>
      <c r="K2439" s="468" t="s">
        <v>9219</v>
      </c>
      <c r="L2439" s="468" t="s">
        <v>2354</v>
      </c>
    </row>
    <row r="2440" spans="1:12" x14ac:dyDescent="0.25">
      <c r="A2440" s="468" t="s">
        <v>220</v>
      </c>
      <c r="B2440" s="468" t="s">
        <v>2351</v>
      </c>
      <c r="C2440" s="468" t="s">
        <v>5301</v>
      </c>
      <c r="D2440" s="468" t="s">
        <v>5302</v>
      </c>
      <c r="F2440" s="470">
        <v>3</v>
      </c>
      <c r="G2440" s="468">
        <v>8.7498000000000005</v>
      </c>
      <c r="H2440" s="479">
        <v>26.249400000000001</v>
      </c>
      <c r="I2440" s="468" t="s">
        <v>9218</v>
      </c>
      <c r="J2440" s="468" t="s">
        <v>9219</v>
      </c>
      <c r="K2440" s="468" t="s">
        <v>9219</v>
      </c>
      <c r="L2440" s="468" t="s">
        <v>2354</v>
      </c>
    </row>
    <row r="2441" spans="1:12" x14ac:dyDescent="0.25">
      <c r="A2441" s="468" t="s">
        <v>220</v>
      </c>
      <c r="B2441" s="468" t="s">
        <v>2351</v>
      </c>
      <c r="D2441" s="468" t="s">
        <v>2364</v>
      </c>
      <c r="F2441" s="470">
        <v>1</v>
      </c>
      <c r="G2441" s="468">
        <v>47.624000000000002</v>
      </c>
      <c r="H2441" s="479">
        <v>47.624000000000002</v>
      </c>
      <c r="I2441" s="468" t="s">
        <v>9218</v>
      </c>
      <c r="J2441" s="468" t="s">
        <v>9219</v>
      </c>
      <c r="K2441" s="468" t="s">
        <v>9219</v>
      </c>
      <c r="L2441" s="468" t="s">
        <v>2354</v>
      </c>
    </row>
    <row r="2442" spans="1:12" x14ac:dyDescent="0.25">
      <c r="A2442" s="468" t="s">
        <v>220</v>
      </c>
      <c r="B2442" s="468" t="s">
        <v>2351</v>
      </c>
      <c r="D2442" s="468" t="s">
        <v>2360</v>
      </c>
      <c r="F2442" s="470">
        <v>2</v>
      </c>
      <c r="G2442" s="468">
        <v>15.882</v>
      </c>
      <c r="H2442" s="479">
        <v>31.763999999999999</v>
      </c>
      <c r="I2442" s="468" t="s">
        <v>9218</v>
      </c>
      <c r="J2442" s="468" t="s">
        <v>9219</v>
      </c>
      <c r="K2442" s="468" t="s">
        <v>9219</v>
      </c>
      <c r="L2442" s="468" t="s">
        <v>2354</v>
      </c>
    </row>
    <row r="2443" spans="1:12" x14ac:dyDescent="0.25">
      <c r="A2443" s="468" t="s">
        <v>220</v>
      </c>
      <c r="B2443" s="468" t="s">
        <v>2351</v>
      </c>
      <c r="D2443" s="468" t="s">
        <v>2406</v>
      </c>
      <c r="F2443" s="470">
        <v>10</v>
      </c>
      <c r="G2443" s="468">
        <v>14.94</v>
      </c>
      <c r="H2443" s="479">
        <v>149.4</v>
      </c>
      <c r="I2443" s="468" t="s">
        <v>9218</v>
      </c>
      <c r="J2443" s="468" t="s">
        <v>9219</v>
      </c>
      <c r="K2443" s="468" t="s">
        <v>9219</v>
      </c>
      <c r="L2443" s="468" t="s">
        <v>2354</v>
      </c>
    </row>
    <row r="2444" spans="1:12" x14ac:dyDescent="0.25">
      <c r="A2444" s="468" t="s">
        <v>220</v>
      </c>
      <c r="B2444" s="468" t="s">
        <v>2351</v>
      </c>
      <c r="D2444" s="468" t="s">
        <v>2398</v>
      </c>
      <c r="F2444" s="470">
        <v>46</v>
      </c>
      <c r="G2444" s="468">
        <v>12.458</v>
      </c>
      <c r="H2444" s="479">
        <v>573.06799999999998</v>
      </c>
      <c r="I2444" s="468" t="s">
        <v>9218</v>
      </c>
      <c r="J2444" s="468" t="s">
        <v>9219</v>
      </c>
      <c r="K2444" s="468" t="s">
        <v>9219</v>
      </c>
      <c r="L2444" s="468" t="s">
        <v>2354</v>
      </c>
    </row>
    <row r="2445" spans="1:12" x14ac:dyDescent="0.25">
      <c r="A2445" s="468" t="s">
        <v>220</v>
      </c>
      <c r="B2445" s="468" t="s">
        <v>2351</v>
      </c>
      <c r="D2445" s="468" t="s">
        <v>2403</v>
      </c>
      <c r="F2445" s="470">
        <v>3</v>
      </c>
      <c r="G2445" s="468">
        <v>7.5110000000000001</v>
      </c>
      <c r="H2445" s="479">
        <v>22.533000000000001</v>
      </c>
      <c r="I2445" s="468" t="s">
        <v>9218</v>
      </c>
      <c r="J2445" s="468" t="s">
        <v>9219</v>
      </c>
      <c r="K2445" s="468" t="s">
        <v>9219</v>
      </c>
      <c r="L2445" s="468" t="s">
        <v>2354</v>
      </c>
    </row>
    <row r="2446" spans="1:12" x14ac:dyDescent="0.25">
      <c r="A2446" s="468" t="s">
        <v>220</v>
      </c>
      <c r="B2446" s="468" t="s">
        <v>2351</v>
      </c>
      <c r="D2446" s="468" t="s">
        <v>2395</v>
      </c>
      <c r="F2446" s="470">
        <v>5</v>
      </c>
      <c r="G2446" s="468">
        <v>4.5789999999999997</v>
      </c>
      <c r="H2446" s="479">
        <v>22.895</v>
      </c>
      <c r="I2446" s="468" t="s">
        <v>9218</v>
      </c>
      <c r="J2446" s="468" t="s">
        <v>9219</v>
      </c>
      <c r="K2446" s="468" t="s">
        <v>9219</v>
      </c>
      <c r="L2446" s="468" t="s">
        <v>2354</v>
      </c>
    </row>
    <row r="2447" spans="1:12" x14ac:dyDescent="0.25">
      <c r="A2447" s="468" t="s">
        <v>220</v>
      </c>
      <c r="B2447" s="468" t="s">
        <v>2351</v>
      </c>
      <c r="D2447" s="468" t="s">
        <v>2357</v>
      </c>
      <c r="F2447" s="470">
        <v>10</v>
      </c>
      <c r="G2447" s="468">
        <v>3.9660000000000002</v>
      </c>
      <c r="H2447" s="479">
        <v>39.660000000000004</v>
      </c>
      <c r="I2447" s="468" t="s">
        <v>9218</v>
      </c>
      <c r="J2447" s="468" t="s">
        <v>9219</v>
      </c>
      <c r="K2447" s="468" t="s">
        <v>9219</v>
      </c>
      <c r="L2447" s="468" t="s">
        <v>2354</v>
      </c>
    </row>
    <row r="2448" spans="1:12" x14ac:dyDescent="0.25">
      <c r="A2448" s="468" t="s">
        <v>220</v>
      </c>
      <c r="B2448" s="468" t="s">
        <v>2351</v>
      </c>
      <c r="D2448" s="468" t="s">
        <v>2397</v>
      </c>
      <c r="F2448" s="470">
        <v>20</v>
      </c>
      <c r="G2448" s="468">
        <v>2.5550000000000002</v>
      </c>
      <c r="H2448" s="479">
        <v>51.1</v>
      </c>
      <c r="I2448" s="468" t="s">
        <v>9218</v>
      </c>
      <c r="J2448" s="468" t="s">
        <v>9219</v>
      </c>
      <c r="K2448" s="468" t="s">
        <v>9219</v>
      </c>
      <c r="L2448" s="468" t="s">
        <v>2354</v>
      </c>
    </row>
    <row r="2449" spans="1:12" x14ac:dyDescent="0.25">
      <c r="A2449" s="468" t="s">
        <v>220</v>
      </c>
      <c r="B2449" s="468" t="s">
        <v>2351</v>
      </c>
      <c r="D2449" s="468" t="s">
        <v>2394</v>
      </c>
      <c r="F2449" s="470">
        <v>20</v>
      </c>
      <c r="G2449" s="468">
        <v>1.8917999999999999</v>
      </c>
      <c r="H2449" s="479">
        <v>37.835999999999999</v>
      </c>
      <c r="I2449" s="468" t="s">
        <v>9218</v>
      </c>
      <c r="J2449" s="468" t="s">
        <v>9219</v>
      </c>
      <c r="K2449" s="468" t="s">
        <v>9219</v>
      </c>
      <c r="L2449" s="468" t="s">
        <v>2354</v>
      </c>
    </row>
    <row r="2450" spans="1:12" x14ac:dyDescent="0.25">
      <c r="A2450" s="468" t="s">
        <v>220</v>
      </c>
      <c r="B2450" s="468" t="s">
        <v>2351</v>
      </c>
      <c r="D2450" s="468" t="s">
        <v>2401</v>
      </c>
      <c r="F2450" s="470">
        <v>10</v>
      </c>
      <c r="G2450" s="468">
        <v>1.619</v>
      </c>
      <c r="H2450" s="479">
        <v>16.190000000000001</v>
      </c>
      <c r="I2450" s="468" t="s">
        <v>9218</v>
      </c>
      <c r="J2450" s="468" t="s">
        <v>9219</v>
      </c>
      <c r="K2450" s="468" t="s">
        <v>9219</v>
      </c>
      <c r="L2450" s="468" t="s">
        <v>2354</v>
      </c>
    </row>
    <row r="2451" spans="1:12" x14ac:dyDescent="0.25">
      <c r="A2451" s="468" t="s">
        <v>220</v>
      </c>
      <c r="B2451" s="468" t="s">
        <v>2351</v>
      </c>
      <c r="D2451" s="468" t="s">
        <v>2396</v>
      </c>
      <c r="F2451" s="470">
        <v>5</v>
      </c>
      <c r="G2451" s="468">
        <v>1.4990000000000001</v>
      </c>
      <c r="H2451" s="479">
        <v>7.495000000000001</v>
      </c>
      <c r="I2451" s="468" t="s">
        <v>9218</v>
      </c>
      <c r="J2451" s="468" t="s">
        <v>9219</v>
      </c>
      <c r="K2451" s="468" t="s">
        <v>9219</v>
      </c>
      <c r="L2451" s="468" t="s">
        <v>2354</v>
      </c>
    </row>
    <row r="2452" spans="1:12" x14ac:dyDescent="0.25">
      <c r="A2452" s="468" t="s">
        <v>220</v>
      </c>
      <c r="B2452" s="468" t="s">
        <v>2351</v>
      </c>
      <c r="D2452" s="468" t="s">
        <v>9388</v>
      </c>
      <c r="F2452" s="470">
        <v>55</v>
      </c>
      <c r="G2452" s="468">
        <v>6.1689999999999996</v>
      </c>
      <c r="H2452" s="479">
        <v>339.29499999999996</v>
      </c>
      <c r="I2452" s="468" t="s">
        <v>9218</v>
      </c>
      <c r="J2452" s="468" t="s">
        <v>9219</v>
      </c>
      <c r="K2452" s="468" t="s">
        <v>9219</v>
      </c>
      <c r="L2452" s="468" t="s">
        <v>2354</v>
      </c>
    </row>
    <row r="2453" spans="1:12" x14ac:dyDescent="0.25">
      <c r="A2453" s="468" t="s">
        <v>220</v>
      </c>
      <c r="B2453" s="468" t="s">
        <v>2351</v>
      </c>
      <c r="D2453" s="468" t="s">
        <v>2393</v>
      </c>
      <c r="F2453" s="470">
        <v>50</v>
      </c>
      <c r="G2453" s="468">
        <v>2.7349999999999999</v>
      </c>
      <c r="H2453" s="479">
        <v>136.75</v>
      </c>
      <c r="I2453" s="468" t="s">
        <v>9218</v>
      </c>
      <c r="J2453" s="468" t="s">
        <v>9219</v>
      </c>
      <c r="K2453" s="468" t="s">
        <v>9219</v>
      </c>
      <c r="L2453" s="468" t="s">
        <v>2354</v>
      </c>
    </row>
    <row r="2454" spans="1:12" x14ac:dyDescent="0.25">
      <c r="A2454" s="468" t="s">
        <v>220</v>
      </c>
      <c r="B2454" s="468" t="s">
        <v>2351</v>
      </c>
      <c r="D2454" s="468" t="s">
        <v>2399</v>
      </c>
      <c r="F2454" s="470">
        <v>20</v>
      </c>
      <c r="G2454" s="468">
        <v>0.85499999999999998</v>
      </c>
      <c r="H2454" s="479">
        <v>17.100000000000001</v>
      </c>
      <c r="I2454" s="468" t="s">
        <v>9218</v>
      </c>
      <c r="J2454" s="468" t="s">
        <v>9219</v>
      </c>
      <c r="K2454" s="468" t="s">
        <v>9219</v>
      </c>
      <c r="L2454" s="468" t="s">
        <v>2354</v>
      </c>
    </row>
    <row r="2455" spans="1:12" x14ac:dyDescent="0.25">
      <c r="A2455" s="468" t="s">
        <v>220</v>
      </c>
      <c r="B2455" s="468" t="s">
        <v>2351</v>
      </c>
      <c r="D2455" s="468" t="s">
        <v>2392</v>
      </c>
      <c r="F2455" s="470">
        <v>5</v>
      </c>
      <c r="G2455" s="468">
        <v>0.59940000000000004</v>
      </c>
      <c r="H2455" s="479">
        <v>2.9970000000000003</v>
      </c>
      <c r="I2455" s="468" t="s">
        <v>9218</v>
      </c>
      <c r="J2455" s="468" t="s">
        <v>9219</v>
      </c>
      <c r="K2455" s="468" t="s">
        <v>9219</v>
      </c>
      <c r="L2455" s="468" t="s">
        <v>2354</v>
      </c>
    </row>
    <row r="2456" spans="1:12" x14ac:dyDescent="0.25">
      <c r="A2456" s="468" t="s">
        <v>220</v>
      </c>
      <c r="B2456" s="468" t="s">
        <v>2351</v>
      </c>
      <c r="D2456" s="468" t="s">
        <v>2400</v>
      </c>
      <c r="F2456" s="470">
        <v>20</v>
      </c>
      <c r="G2456" s="468">
        <v>0.48</v>
      </c>
      <c r="H2456" s="479">
        <v>9.6</v>
      </c>
      <c r="I2456" s="468" t="s">
        <v>9218</v>
      </c>
      <c r="J2456" s="468" t="s">
        <v>9219</v>
      </c>
      <c r="K2456" s="468" t="s">
        <v>9219</v>
      </c>
      <c r="L2456" s="468" t="s">
        <v>2354</v>
      </c>
    </row>
    <row r="2457" spans="1:12" x14ac:dyDescent="0.25">
      <c r="A2457" s="468" t="s">
        <v>220</v>
      </c>
      <c r="B2457" s="468" t="s">
        <v>2351</v>
      </c>
      <c r="D2457" s="468" t="s">
        <v>2390</v>
      </c>
      <c r="F2457" s="470">
        <v>50</v>
      </c>
      <c r="G2457" s="468">
        <v>0.1061</v>
      </c>
      <c r="H2457" s="479">
        <v>5.3049999999999997</v>
      </c>
      <c r="I2457" s="468" t="s">
        <v>9218</v>
      </c>
      <c r="J2457" s="468" t="s">
        <v>9219</v>
      </c>
      <c r="K2457" s="468" t="s">
        <v>9219</v>
      </c>
      <c r="L2457" s="468" t="s">
        <v>2354</v>
      </c>
    </row>
    <row r="2458" spans="1:12" x14ac:dyDescent="0.25">
      <c r="A2458" s="468" t="s">
        <v>220</v>
      </c>
      <c r="B2458" s="468" t="s">
        <v>2351</v>
      </c>
      <c r="D2458" s="468" t="s">
        <v>2389</v>
      </c>
      <c r="F2458" s="470">
        <v>100</v>
      </c>
      <c r="G2458" s="468">
        <v>9.5460000000000003E-2</v>
      </c>
      <c r="H2458" s="479">
        <v>9.5460000000000012</v>
      </c>
      <c r="I2458" s="468" t="s">
        <v>9218</v>
      </c>
      <c r="J2458" s="468" t="s">
        <v>9219</v>
      </c>
      <c r="K2458" s="468" t="s">
        <v>9219</v>
      </c>
      <c r="L2458" s="468" t="s">
        <v>2354</v>
      </c>
    </row>
    <row r="2459" spans="1:12" x14ac:dyDescent="0.25">
      <c r="A2459" s="468" t="s">
        <v>220</v>
      </c>
      <c r="B2459" s="468" t="s">
        <v>2351</v>
      </c>
      <c r="D2459" s="468" t="s">
        <v>9389</v>
      </c>
      <c r="F2459" s="470">
        <v>150</v>
      </c>
      <c r="G2459" s="468">
        <v>6.2E-2</v>
      </c>
      <c r="H2459" s="479">
        <v>9.3000000000000007</v>
      </c>
      <c r="I2459" s="468" t="s">
        <v>9218</v>
      </c>
      <c r="J2459" s="468" t="s">
        <v>9219</v>
      </c>
      <c r="K2459" s="468" t="s">
        <v>9219</v>
      </c>
      <c r="L2459" s="468" t="s">
        <v>2354</v>
      </c>
    </row>
    <row r="2460" spans="1:12" x14ac:dyDescent="0.25">
      <c r="A2460" s="468" t="s">
        <v>220</v>
      </c>
      <c r="B2460" s="468" t="s">
        <v>2351</v>
      </c>
      <c r="D2460" s="468" t="s">
        <v>2391</v>
      </c>
      <c r="F2460" s="470">
        <v>100</v>
      </c>
      <c r="G2460" s="468">
        <v>7.4270000000000003E-2</v>
      </c>
      <c r="H2460" s="479">
        <v>7.4270000000000005</v>
      </c>
      <c r="I2460" s="468" t="s">
        <v>9218</v>
      </c>
      <c r="J2460" s="468" t="s">
        <v>9219</v>
      </c>
      <c r="K2460" s="468" t="s">
        <v>9219</v>
      </c>
      <c r="L2460" s="468" t="s">
        <v>2354</v>
      </c>
    </row>
    <row r="2461" spans="1:12" x14ac:dyDescent="0.25">
      <c r="A2461" s="468" t="s">
        <v>220</v>
      </c>
      <c r="B2461" s="468" t="s">
        <v>2351</v>
      </c>
      <c r="C2461" s="468" t="s">
        <v>2417</v>
      </c>
      <c r="D2461" s="468" t="s">
        <v>2439</v>
      </c>
      <c r="F2461" s="470">
        <v>10</v>
      </c>
      <c r="G2461" s="468">
        <v>29.63</v>
      </c>
      <c r="H2461" s="479">
        <v>296.3</v>
      </c>
      <c r="I2461" s="468" t="s">
        <v>9218</v>
      </c>
      <c r="J2461" s="468" t="s">
        <v>9219</v>
      </c>
      <c r="K2461" s="468" t="s">
        <v>9219</v>
      </c>
      <c r="L2461" s="468" t="s">
        <v>2354</v>
      </c>
    </row>
    <row r="2462" spans="1:12" x14ac:dyDescent="0.25">
      <c r="A2462" s="468" t="s">
        <v>220</v>
      </c>
      <c r="B2462" s="468" t="s">
        <v>2351</v>
      </c>
      <c r="C2462" s="468" t="s">
        <v>3229</v>
      </c>
      <c r="D2462" s="468" t="s">
        <v>3230</v>
      </c>
      <c r="F2462" s="470">
        <v>5</v>
      </c>
      <c r="G2462" s="468">
        <v>0.59399999999999997</v>
      </c>
      <c r="H2462" s="479">
        <v>2.9699999999999998</v>
      </c>
      <c r="I2462" s="468" t="s">
        <v>9218</v>
      </c>
      <c r="J2462" s="468" t="s">
        <v>9219</v>
      </c>
      <c r="K2462" s="468" t="s">
        <v>9219</v>
      </c>
      <c r="L2462" s="468" t="s">
        <v>2354</v>
      </c>
    </row>
    <row r="2463" spans="1:12" x14ac:dyDescent="0.25">
      <c r="A2463" s="468" t="s">
        <v>220</v>
      </c>
      <c r="B2463" s="468" t="s">
        <v>2351</v>
      </c>
      <c r="C2463" s="468" t="s">
        <v>3231</v>
      </c>
      <c r="D2463" s="468" t="s">
        <v>3232</v>
      </c>
      <c r="F2463" s="470">
        <v>8</v>
      </c>
      <c r="G2463" s="468">
        <v>2.1303000000000001</v>
      </c>
      <c r="H2463" s="479">
        <v>17.042400000000001</v>
      </c>
      <c r="I2463" s="468" t="s">
        <v>9218</v>
      </c>
      <c r="J2463" s="468" t="s">
        <v>9219</v>
      </c>
      <c r="K2463" s="468" t="s">
        <v>9219</v>
      </c>
      <c r="L2463" s="468" t="s">
        <v>2354</v>
      </c>
    </row>
    <row r="2464" spans="1:12" x14ac:dyDescent="0.25">
      <c r="A2464" s="468" t="s">
        <v>220</v>
      </c>
      <c r="B2464" s="468" t="s">
        <v>2351</v>
      </c>
      <c r="C2464" s="468" t="s">
        <v>3233</v>
      </c>
      <c r="D2464" s="468" t="s">
        <v>3234</v>
      </c>
      <c r="F2464" s="470">
        <v>3</v>
      </c>
      <c r="G2464" s="468">
        <v>3.5009999999999999</v>
      </c>
      <c r="H2464" s="479">
        <v>10.503</v>
      </c>
      <c r="I2464" s="468" t="s">
        <v>9218</v>
      </c>
      <c r="J2464" s="468" t="s">
        <v>9219</v>
      </c>
      <c r="K2464" s="468" t="s">
        <v>9219</v>
      </c>
      <c r="L2464" s="468" t="s">
        <v>2354</v>
      </c>
    </row>
    <row r="2465" spans="1:12" x14ac:dyDescent="0.25">
      <c r="A2465" s="468" t="s">
        <v>220</v>
      </c>
      <c r="B2465" s="468" t="s">
        <v>2351</v>
      </c>
      <c r="C2465" s="468" t="s">
        <v>3235</v>
      </c>
      <c r="D2465" s="468" t="s">
        <v>3236</v>
      </c>
      <c r="F2465" s="470">
        <v>2</v>
      </c>
      <c r="G2465" s="468">
        <v>8.9250000000000007</v>
      </c>
      <c r="H2465" s="479">
        <v>17.850000000000001</v>
      </c>
      <c r="I2465" s="468" t="s">
        <v>9218</v>
      </c>
      <c r="J2465" s="468" t="s">
        <v>9219</v>
      </c>
      <c r="K2465" s="468" t="s">
        <v>9219</v>
      </c>
      <c r="L2465" s="468" t="s">
        <v>2354</v>
      </c>
    </row>
    <row r="2466" spans="1:12" x14ac:dyDescent="0.25">
      <c r="A2466" s="468" t="s">
        <v>220</v>
      </c>
      <c r="B2466" s="468" t="s">
        <v>2351</v>
      </c>
      <c r="C2466" s="468" t="s">
        <v>3237</v>
      </c>
      <c r="D2466" s="468" t="s">
        <v>3238</v>
      </c>
      <c r="F2466" s="470">
        <v>6</v>
      </c>
      <c r="G2466" s="468">
        <v>45.576999999999998</v>
      </c>
      <c r="H2466" s="479">
        <v>273.46199999999999</v>
      </c>
      <c r="I2466" s="468" t="s">
        <v>9218</v>
      </c>
      <c r="J2466" s="468" t="s">
        <v>9219</v>
      </c>
      <c r="K2466" s="468" t="s">
        <v>9219</v>
      </c>
      <c r="L2466" s="468" t="s">
        <v>2354</v>
      </c>
    </row>
    <row r="2467" spans="1:12" x14ac:dyDescent="0.25">
      <c r="A2467" s="468" t="s">
        <v>220</v>
      </c>
      <c r="B2467" s="468" t="s">
        <v>2351</v>
      </c>
      <c r="C2467" s="468" t="s">
        <v>3239</v>
      </c>
      <c r="D2467" s="468" t="s">
        <v>3240</v>
      </c>
      <c r="F2467" s="470">
        <v>1</v>
      </c>
      <c r="G2467" s="468">
        <v>88.346874999999983</v>
      </c>
      <c r="H2467" s="479">
        <v>88.346874999999983</v>
      </c>
      <c r="I2467" s="468" t="s">
        <v>9218</v>
      </c>
      <c r="J2467" s="468" t="s">
        <v>9219</v>
      </c>
      <c r="K2467" s="468" t="s">
        <v>9219</v>
      </c>
      <c r="L2467" s="468" t="s">
        <v>2354</v>
      </c>
    </row>
    <row r="2468" spans="1:12" x14ac:dyDescent="0.25">
      <c r="A2468" s="468" t="s">
        <v>220</v>
      </c>
      <c r="B2468" s="468" t="s">
        <v>2351</v>
      </c>
      <c r="C2468" s="468" t="s">
        <v>3241</v>
      </c>
      <c r="D2468" s="468" t="s">
        <v>3242</v>
      </c>
      <c r="F2468" s="470">
        <v>2</v>
      </c>
      <c r="G2468" s="468">
        <v>84.96</v>
      </c>
      <c r="H2468" s="479">
        <v>169.92</v>
      </c>
      <c r="I2468" s="468" t="s">
        <v>9218</v>
      </c>
      <c r="J2468" s="468" t="s">
        <v>9219</v>
      </c>
      <c r="K2468" s="468" t="s">
        <v>9219</v>
      </c>
      <c r="L2468" s="468" t="s">
        <v>2354</v>
      </c>
    </row>
    <row r="2469" spans="1:12" x14ac:dyDescent="0.25">
      <c r="A2469" s="468" t="s">
        <v>220</v>
      </c>
      <c r="B2469" s="468" t="s">
        <v>2351</v>
      </c>
      <c r="C2469" s="468" t="s">
        <v>3243</v>
      </c>
      <c r="D2469" s="468" t="s">
        <v>3244</v>
      </c>
      <c r="F2469" s="470">
        <v>1</v>
      </c>
      <c r="G2469" s="468">
        <v>38.771999999999998</v>
      </c>
      <c r="H2469" s="479">
        <v>38.771999999999998</v>
      </c>
      <c r="I2469" s="468" t="s">
        <v>9218</v>
      </c>
      <c r="J2469" s="468" t="s">
        <v>9219</v>
      </c>
      <c r="K2469" s="468" t="s">
        <v>9219</v>
      </c>
      <c r="L2469" s="468" t="s">
        <v>2354</v>
      </c>
    </row>
    <row r="2470" spans="1:12" x14ac:dyDescent="0.25">
      <c r="A2470" s="468" t="s">
        <v>220</v>
      </c>
      <c r="B2470" s="468" t="s">
        <v>2351</v>
      </c>
      <c r="C2470" s="468" t="s">
        <v>3243</v>
      </c>
      <c r="D2470" s="468" t="s">
        <v>5334</v>
      </c>
      <c r="F2470" s="470">
        <v>2</v>
      </c>
      <c r="G2470" s="468">
        <v>38.771999999999998</v>
      </c>
      <c r="H2470" s="479">
        <v>77.543999999999997</v>
      </c>
      <c r="I2470" s="468" t="s">
        <v>9218</v>
      </c>
      <c r="J2470" s="468" t="s">
        <v>9219</v>
      </c>
      <c r="K2470" s="468" t="s">
        <v>9219</v>
      </c>
      <c r="L2470" s="468" t="s">
        <v>2354</v>
      </c>
    </row>
    <row r="2471" spans="1:12" x14ac:dyDescent="0.25">
      <c r="A2471" s="468" t="s">
        <v>220</v>
      </c>
      <c r="B2471" s="468" t="s">
        <v>2351</v>
      </c>
      <c r="C2471" s="468" t="s">
        <v>3245</v>
      </c>
      <c r="D2471" s="468" t="s">
        <v>3246</v>
      </c>
      <c r="F2471" s="470">
        <v>6</v>
      </c>
      <c r="G2471" s="468">
        <v>15.0642</v>
      </c>
      <c r="H2471" s="479">
        <v>90.385199999999998</v>
      </c>
      <c r="I2471" s="468" t="s">
        <v>9218</v>
      </c>
      <c r="J2471" s="468" t="s">
        <v>9219</v>
      </c>
      <c r="K2471" s="468" t="s">
        <v>9219</v>
      </c>
      <c r="L2471" s="468" t="s">
        <v>2354</v>
      </c>
    </row>
    <row r="2472" spans="1:12" x14ac:dyDescent="0.25">
      <c r="A2472" s="468" t="s">
        <v>220</v>
      </c>
      <c r="B2472" s="468" t="s">
        <v>2351</v>
      </c>
      <c r="C2472" s="468" t="s">
        <v>3247</v>
      </c>
      <c r="D2472" s="468" t="s">
        <v>3248</v>
      </c>
      <c r="F2472" s="470">
        <v>2</v>
      </c>
      <c r="G2472" s="468">
        <v>23.836500000000001</v>
      </c>
      <c r="H2472" s="479">
        <v>47.673000000000002</v>
      </c>
      <c r="I2472" s="468" t="s">
        <v>9218</v>
      </c>
      <c r="J2472" s="468" t="s">
        <v>9219</v>
      </c>
      <c r="K2472" s="468" t="s">
        <v>9219</v>
      </c>
      <c r="L2472" s="468" t="s">
        <v>2354</v>
      </c>
    </row>
    <row r="2473" spans="1:12" x14ac:dyDescent="0.25">
      <c r="A2473" s="468" t="s">
        <v>220</v>
      </c>
      <c r="B2473" s="468" t="s">
        <v>2351</v>
      </c>
      <c r="C2473" s="468" t="s">
        <v>3249</v>
      </c>
      <c r="D2473" s="468" t="s">
        <v>9390</v>
      </c>
      <c r="F2473" s="470">
        <v>12</v>
      </c>
      <c r="G2473" s="468">
        <v>8.7940000000000005</v>
      </c>
      <c r="H2473" s="479">
        <v>105.52800000000001</v>
      </c>
      <c r="I2473" s="468" t="s">
        <v>9218</v>
      </c>
      <c r="J2473" s="468" t="s">
        <v>9219</v>
      </c>
      <c r="K2473" s="468" t="s">
        <v>9219</v>
      </c>
      <c r="L2473" s="468" t="s">
        <v>2354</v>
      </c>
    </row>
    <row r="2474" spans="1:12" x14ac:dyDescent="0.25">
      <c r="A2474" s="468" t="s">
        <v>220</v>
      </c>
      <c r="B2474" s="468" t="s">
        <v>2351</v>
      </c>
      <c r="C2474" s="468" t="s">
        <v>3251</v>
      </c>
      <c r="D2474" s="468" t="s">
        <v>3252</v>
      </c>
      <c r="F2474" s="470">
        <v>7</v>
      </c>
      <c r="G2474" s="468">
        <v>3.0470000000000002</v>
      </c>
      <c r="H2474" s="479">
        <v>21.329000000000001</v>
      </c>
      <c r="I2474" s="468" t="s">
        <v>9218</v>
      </c>
      <c r="J2474" s="468" t="s">
        <v>9219</v>
      </c>
      <c r="K2474" s="468" t="s">
        <v>9219</v>
      </c>
      <c r="L2474" s="468" t="s">
        <v>2354</v>
      </c>
    </row>
    <row r="2475" spans="1:12" x14ac:dyDescent="0.25">
      <c r="A2475" s="468" t="s">
        <v>220</v>
      </c>
      <c r="B2475" s="468" t="s">
        <v>2351</v>
      </c>
      <c r="C2475" s="468" t="s">
        <v>3253</v>
      </c>
      <c r="D2475" s="468" t="s">
        <v>3254</v>
      </c>
      <c r="F2475" s="470">
        <v>40</v>
      </c>
      <c r="G2475" s="468">
        <v>0.58650000000000002</v>
      </c>
      <c r="H2475" s="479">
        <v>23.46</v>
      </c>
      <c r="I2475" s="468" t="s">
        <v>9218</v>
      </c>
      <c r="J2475" s="468" t="s">
        <v>9219</v>
      </c>
      <c r="K2475" s="468" t="s">
        <v>9219</v>
      </c>
      <c r="L2475" s="468" t="s">
        <v>2354</v>
      </c>
    </row>
    <row r="2476" spans="1:12" x14ac:dyDescent="0.25">
      <c r="A2476" s="468" t="s">
        <v>220</v>
      </c>
      <c r="B2476" s="468" t="s">
        <v>2351</v>
      </c>
      <c r="D2476" s="468" t="s">
        <v>9391</v>
      </c>
      <c r="F2476" s="470">
        <v>15</v>
      </c>
      <c r="G2476" s="468">
        <v>0.497</v>
      </c>
      <c r="H2476" s="479">
        <v>7.4550000000000001</v>
      </c>
      <c r="I2476" s="468" t="s">
        <v>9218</v>
      </c>
      <c r="J2476" s="468" t="s">
        <v>9219</v>
      </c>
      <c r="K2476" s="468" t="s">
        <v>9219</v>
      </c>
      <c r="L2476" s="468" t="s">
        <v>2354</v>
      </c>
    </row>
    <row r="2477" spans="1:12" x14ac:dyDescent="0.25">
      <c r="A2477" s="468" t="s">
        <v>220</v>
      </c>
      <c r="B2477" s="468" t="s">
        <v>2351</v>
      </c>
      <c r="C2477" s="468" t="s">
        <v>3255</v>
      </c>
      <c r="D2477" s="468" t="s">
        <v>3256</v>
      </c>
      <c r="F2477" s="470">
        <v>2</v>
      </c>
      <c r="G2477" s="468">
        <v>6.6790000000000003</v>
      </c>
      <c r="H2477" s="479">
        <v>13.358000000000001</v>
      </c>
      <c r="I2477" s="468" t="s">
        <v>9218</v>
      </c>
      <c r="J2477" s="468" t="s">
        <v>9219</v>
      </c>
      <c r="K2477" s="468" t="s">
        <v>9219</v>
      </c>
      <c r="L2477" s="468" t="s">
        <v>2354</v>
      </c>
    </row>
    <row r="2478" spans="1:12" x14ac:dyDescent="0.25">
      <c r="A2478" s="468" t="s">
        <v>220</v>
      </c>
      <c r="B2478" s="468" t="s">
        <v>2351</v>
      </c>
      <c r="C2478" s="468" t="s">
        <v>5356</v>
      </c>
      <c r="D2478" s="468" t="s">
        <v>5357</v>
      </c>
      <c r="F2478" s="470">
        <v>1</v>
      </c>
      <c r="G2478" s="468">
        <v>7.7145999999999999</v>
      </c>
      <c r="H2478" s="479">
        <v>7.7145999999999999</v>
      </c>
      <c r="I2478" s="468" t="s">
        <v>9218</v>
      </c>
      <c r="J2478" s="468" t="s">
        <v>9219</v>
      </c>
      <c r="K2478" s="468" t="s">
        <v>9219</v>
      </c>
      <c r="L2478" s="468" t="s">
        <v>2354</v>
      </c>
    </row>
    <row r="2479" spans="1:12" x14ac:dyDescent="0.25">
      <c r="A2479" s="468" t="s">
        <v>220</v>
      </c>
      <c r="B2479" s="468" t="s">
        <v>2351</v>
      </c>
      <c r="C2479" s="468" t="s">
        <v>3257</v>
      </c>
      <c r="D2479" s="468" t="s">
        <v>3258</v>
      </c>
      <c r="F2479" s="470">
        <v>2</v>
      </c>
      <c r="G2479" s="468">
        <v>13.747</v>
      </c>
      <c r="H2479" s="479">
        <v>27.494</v>
      </c>
      <c r="I2479" s="468" t="s">
        <v>9218</v>
      </c>
      <c r="J2479" s="468" t="s">
        <v>9219</v>
      </c>
      <c r="K2479" s="468" t="s">
        <v>9219</v>
      </c>
      <c r="L2479" s="468" t="s">
        <v>2354</v>
      </c>
    </row>
    <row r="2480" spans="1:12" x14ac:dyDescent="0.25">
      <c r="A2480" s="468" t="s">
        <v>220</v>
      </c>
      <c r="B2480" s="468" t="s">
        <v>2351</v>
      </c>
      <c r="C2480" s="468" t="s">
        <v>3259</v>
      </c>
      <c r="D2480" s="468" t="s">
        <v>3260</v>
      </c>
      <c r="F2480" s="470">
        <v>2</v>
      </c>
      <c r="G2480" s="468">
        <v>22.513499999999997</v>
      </c>
      <c r="H2480" s="479">
        <v>45.026999999999994</v>
      </c>
      <c r="I2480" s="468" t="s">
        <v>9218</v>
      </c>
      <c r="J2480" s="468" t="s">
        <v>9219</v>
      </c>
      <c r="K2480" s="468" t="s">
        <v>9219</v>
      </c>
      <c r="L2480" s="468" t="s">
        <v>2354</v>
      </c>
    </row>
    <row r="2481" spans="1:12" x14ac:dyDescent="0.25">
      <c r="A2481" s="468" t="s">
        <v>220</v>
      </c>
      <c r="B2481" s="468" t="s">
        <v>2351</v>
      </c>
      <c r="C2481" s="468" t="s">
        <v>3261</v>
      </c>
      <c r="D2481" s="468" t="s">
        <v>3262</v>
      </c>
      <c r="F2481" s="470">
        <v>11</v>
      </c>
      <c r="G2481" s="468">
        <v>3.7618799999999997</v>
      </c>
      <c r="H2481" s="479">
        <v>41.380679999999998</v>
      </c>
      <c r="I2481" s="468" t="s">
        <v>9218</v>
      </c>
      <c r="J2481" s="468" t="s">
        <v>9219</v>
      </c>
      <c r="K2481" s="468" t="s">
        <v>9219</v>
      </c>
      <c r="L2481" s="468" t="s">
        <v>2354</v>
      </c>
    </row>
    <row r="2482" spans="1:12" x14ac:dyDescent="0.25">
      <c r="A2482" s="468" t="s">
        <v>220</v>
      </c>
      <c r="B2482" s="468" t="s">
        <v>2351</v>
      </c>
      <c r="C2482" s="468" t="s">
        <v>3263</v>
      </c>
      <c r="D2482" s="468" t="s">
        <v>3264</v>
      </c>
      <c r="F2482" s="470">
        <v>1</v>
      </c>
      <c r="G2482" s="468">
        <v>26.308</v>
      </c>
      <c r="H2482" s="479">
        <v>26.308</v>
      </c>
      <c r="I2482" s="468" t="s">
        <v>9218</v>
      </c>
      <c r="J2482" s="468" t="s">
        <v>9219</v>
      </c>
      <c r="K2482" s="468" t="s">
        <v>9219</v>
      </c>
      <c r="L2482" s="468" t="s">
        <v>2354</v>
      </c>
    </row>
    <row r="2483" spans="1:12" x14ac:dyDescent="0.25">
      <c r="A2483" s="468" t="s">
        <v>220</v>
      </c>
      <c r="B2483" s="468" t="s">
        <v>2351</v>
      </c>
      <c r="C2483" s="468" t="s">
        <v>3265</v>
      </c>
      <c r="D2483" s="468" t="s">
        <v>3266</v>
      </c>
      <c r="F2483" s="470">
        <v>5</v>
      </c>
      <c r="G2483" s="468">
        <v>12.682</v>
      </c>
      <c r="H2483" s="479">
        <v>63.410000000000004</v>
      </c>
      <c r="I2483" s="468" t="s">
        <v>9218</v>
      </c>
      <c r="J2483" s="468" t="s">
        <v>9219</v>
      </c>
      <c r="K2483" s="468" t="s">
        <v>9219</v>
      </c>
      <c r="L2483" s="468" t="s">
        <v>2354</v>
      </c>
    </row>
    <row r="2484" spans="1:12" x14ac:dyDescent="0.25">
      <c r="A2484" s="468" t="s">
        <v>220</v>
      </c>
      <c r="B2484" s="468" t="s">
        <v>2351</v>
      </c>
      <c r="C2484" s="468" t="s">
        <v>3267</v>
      </c>
      <c r="D2484" s="468" t="s">
        <v>3268</v>
      </c>
      <c r="F2484" s="470">
        <v>2</v>
      </c>
      <c r="G2484" s="468">
        <v>16.214741666666665</v>
      </c>
      <c r="H2484" s="479">
        <v>32.42948333333333</v>
      </c>
      <c r="I2484" s="468" t="s">
        <v>9218</v>
      </c>
      <c r="J2484" s="468" t="s">
        <v>9219</v>
      </c>
      <c r="K2484" s="468" t="s">
        <v>9219</v>
      </c>
      <c r="L2484" s="468" t="s">
        <v>2354</v>
      </c>
    </row>
    <row r="2485" spans="1:12" x14ac:dyDescent="0.25">
      <c r="A2485" s="468" t="s">
        <v>220</v>
      </c>
      <c r="B2485" s="468" t="s">
        <v>2351</v>
      </c>
      <c r="C2485" s="468" t="s">
        <v>3269</v>
      </c>
      <c r="D2485" s="468" t="s">
        <v>3270</v>
      </c>
      <c r="F2485" s="470">
        <v>7</v>
      </c>
      <c r="G2485" s="468">
        <v>12.332700000000001</v>
      </c>
      <c r="H2485" s="479">
        <v>86.328900000000004</v>
      </c>
      <c r="I2485" s="468" t="s">
        <v>9218</v>
      </c>
      <c r="J2485" s="468" t="s">
        <v>9219</v>
      </c>
      <c r="K2485" s="468" t="s">
        <v>9219</v>
      </c>
      <c r="L2485" s="468" t="s">
        <v>2354</v>
      </c>
    </row>
    <row r="2486" spans="1:12" x14ac:dyDescent="0.25">
      <c r="A2486" s="468" t="s">
        <v>220</v>
      </c>
      <c r="B2486" s="468" t="s">
        <v>2351</v>
      </c>
      <c r="C2486" s="468" t="s">
        <v>3273</v>
      </c>
      <c r="D2486" s="468" t="s">
        <v>3274</v>
      </c>
      <c r="F2486" s="470">
        <v>20</v>
      </c>
      <c r="G2486" s="468">
        <v>12.333</v>
      </c>
      <c r="H2486" s="479">
        <v>246.66</v>
      </c>
      <c r="I2486" s="468" t="s">
        <v>9218</v>
      </c>
      <c r="J2486" s="468" t="s">
        <v>9219</v>
      </c>
      <c r="K2486" s="468" t="s">
        <v>9219</v>
      </c>
      <c r="L2486" s="468" t="s">
        <v>2354</v>
      </c>
    </row>
    <row r="2487" spans="1:12" x14ac:dyDescent="0.25">
      <c r="A2487" s="468" t="s">
        <v>220</v>
      </c>
      <c r="B2487" s="468" t="s">
        <v>2351</v>
      </c>
      <c r="C2487" s="468" t="s">
        <v>3275</v>
      </c>
      <c r="D2487" s="468" t="s">
        <v>3276</v>
      </c>
      <c r="F2487" s="470">
        <v>15</v>
      </c>
      <c r="G2487" s="468">
        <v>0.83979999999999999</v>
      </c>
      <c r="H2487" s="479">
        <v>12.597</v>
      </c>
      <c r="I2487" s="468" t="s">
        <v>9218</v>
      </c>
      <c r="J2487" s="468" t="s">
        <v>9219</v>
      </c>
      <c r="K2487" s="468" t="s">
        <v>9219</v>
      </c>
      <c r="L2487" s="468" t="s">
        <v>2354</v>
      </c>
    </row>
    <row r="2488" spans="1:12" x14ac:dyDescent="0.25">
      <c r="A2488" s="468" t="s">
        <v>220</v>
      </c>
      <c r="B2488" s="468" t="s">
        <v>2351</v>
      </c>
      <c r="C2488" s="468" t="s">
        <v>3277</v>
      </c>
      <c r="D2488" s="468" t="s">
        <v>3278</v>
      </c>
      <c r="F2488" s="470">
        <v>5</v>
      </c>
      <c r="G2488" s="468">
        <v>1.081</v>
      </c>
      <c r="H2488" s="479">
        <v>5.4049999999999994</v>
      </c>
      <c r="I2488" s="468" t="s">
        <v>9218</v>
      </c>
      <c r="J2488" s="468" t="s">
        <v>9219</v>
      </c>
      <c r="K2488" s="468" t="s">
        <v>9219</v>
      </c>
      <c r="L2488" s="468" t="s">
        <v>2354</v>
      </c>
    </row>
    <row r="2489" spans="1:12" x14ac:dyDescent="0.25">
      <c r="A2489" s="468" t="s">
        <v>220</v>
      </c>
      <c r="B2489" s="468" t="s">
        <v>2351</v>
      </c>
      <c r="C2489" s="468" t="s">
        <v>3279</v>
      </c>
      <c r="D2489" s="468" t="s">
        <v>3280</v>
      </c>
      <c r="F2489" s="470">
        <v>5</v>
      </c>
      <c r="G2489" s="468">
        <v>2.4079999999999999</v>
      </c>
      <c r="H2489" s="479">
        <v>12.04</v>
      </c>
      <c r="I2489" s="468" t="s">
        <v>9218</v>
      </c>
      <c r="J2489" s="468" t="s">
        <v>9219</v>
      </c>
      <c r="K2489" s="468" t="s">
        <v>9219</v>
      </c>
      <c r="L2489" s="468" t="s">
        <v>2354</v>
      </c>
    </row>
    <row r="2490" spans="1:12" x14ac:dyDescent="0.25">
      <c r="A2490" s="468" t="s">
        <v>220</v>
      </c>
      <c r="B2490" s="468" t="s">
        <v>2351</v>
      </c>
      <c r="C2490" s="468" t="s">
        <v>3281</v>
      </c>
      <c r="D2490" s="468" t="s">
        <v>3282</v>
      </c>
      <c r="F2490" s="470">
        <v>2</v>
      </c>
      <c r="G2490" s="468">
        <v>4.6609999999999996</v>
      </c>
      <c r="H2490" s="479">
        <v>9.3219999999999992</v>
      </c>
      <c r="I2490" s="468" t="s">
        <v>9218</v>
      </c>
      <c r="J2490" s="468" t="s">
        <v>9219</v>
      </c>
      <c r="K2490" s="468" t="s">
        <v>9219</v>
      </c>
      <c r="L2490" s="468" t="s">
        <v>2354</v>
      </c>
    </row>
    <row r="2491" spans="1:12" x14ac:dyDescent="0.25">
      <c r="A2491" s="468" t="s">
        <v>220</v>
      </c>
      <c r="B2491" s="468" t="s">
        <v>2351</v>
      </c>
      <c r="C2491" s="468" t="s">
        <v>3283</v>
      </c>
      <c r="D2491" s="468" t="s">
        <v>3284</v>
      </c>
      <c r="F2491" s="470">
        <v>4</v>
      </c>
      <c r="G2491" s="468">
        <v>4.1541066666666673</v>
      </c>
      <c r="H2491" s="479">
        <v>16.616426666666669</v>
      </c>
      <c r="I2491" s="468" t="s">
        <v>9218</v>
      </c>
      <c r="J2491" s="468" t="s">
        <v>9219</v>
      </c>
      <c r="K2491" s="468" t="s">
        <v>9219</v>
      </c>
      <c r="L2491" s="468" t="s">
        <v>2354</v>
      </c>
    </row>
    <row r="2492" spans="1:12" x14ac:dyDescent="0.25">
      <c r="A2492" s="468" t="s">
        <v>220</v>
      </c>
      <c r="B2492" s="468" t="s">
        <v>2351</v>
      </c>
      <c r="C2492" s="468" t="s">
        <v>3285</v>
      </c>
      <c r="D2492" s="468" t="s">
        <v>3286</v>
      </c>
      <c r="F2492" s="470">
        <v>15</v>
      </c>
      <c r="G2492" s="468">
        <v>11.2506</v>
      </c>
      <c r="H2492" s="479">
        <v>168.75900000000001</v>
      </c>
      <c r="I2492" s="468" t="s">
        <v>9218</v>
      </c>
      <c r="J2492" s="468" t="s">
        <v>9219</v>
      </c>
      <c r="K2492" s="468" t="s">
        <v>9219</v>
      </c>
      <c r="L2492" s="468" t="s">
        <v>2354</v>
      </c>
    </row>
    <row r="2493" spans="1:12" x14ac:dyDescent="0.25">
      <c r="A2493" s="468" t="s">
        <v>220</v>
      </c>
      <c r="B2493" s="468" t="s">
        <v>2351</v>
      </c>
      <c r="C2493" s="468" t="s">
        <v>3287</v>
      </c>
      <c r="D2493" s="468" t="s">
        <v>3288</v>
      </c>
      <c r="F2493" s="470">
        <v>5</v>
      </c>
      <c r="G2493" s="468">
        <v>9.798</v>
      </c>
      <c r="H2493" s="479">
        <v>48.99</v>
      </c>
      <c r="I2493" s="468" t="s">
        <v>9218</v>
      </c>
      <c r="J2493" s="468" t="s">
        <v>9219</v>
      </c>
      <c r="K2493" s="468" t="s">
        <v>9219</v>
      </c>
      <c r="L2493" s="468" t="s">
        <v>2354</v>
      </c>
    </row>
    <row r="2494" spans="1:12" x14ac:dyDescent="0.25">
      <c r="A2494" s="468" t="s">
        <v>220</v>
      </c>
      <c r="B2494" s="468" t="s">
        <v>2351</v>
      </c>
      <c r="C2494" s="468" t="s">
        <v>3289</v>
      </c>
      <c r="D2494" s="468" t="s">
        <v>3290</v>
      </c>
      <c r="F2494" s="470">
        <v>20</v>
      </c>
      <c r="G2494" s="468">
        <v>2.0020000000000002</v>
      </c>
      <c r="H2494" s="479">
        <v>40.040000000000006</v>
      </c>
      <c r="I2494" s="468" t="s">
        <v>9218</v>
      </c>
      <c r="J2494" s="468" t="s">
        <v>9219</v>
      </c>
      <c r="K2494" s="468" t="s">
        <v>9219</v>
      </c>
      <c r="L2494" s="468" t="s">
        <v>2354</v>
      </c>
    </row>
    <row r="2495" spans="1:12" x14ac:dyDescent="0.25">
      <c r="A2495" s="468" t="s">
        <v>220</v>
      </c>
      <c r="B2495" s="468" t="s">
        <v>2351</v>
      </c>
      <c r="C2495" s="468" t="s">
        <v>3291</v>
      </c>
      <c r="D2495" s="468" t="s">
        <v>3292</v>
      </c>
      <c r="F2495" s="470">
        <v>1</v>
      </c>
      <c r="G2495" s="468">
        <v>4.2069999999999999</v>
      </c>
      <c r="H2495" s="479">
        <v>4.2069999999999999</v>
      </c>
      <c r="I2495" s="468" t="s">
        <v>9218</v>
      </c>
      <c r="J2495" s="468" t="s">
        <v>9219</v>
      </c>
      <c r="K2495" s="468" t="s">
        <v>9219</v>
      </c>
      <c r="L2495" s="468" t="s">
        <v>2354</v>
      </c>
    </row>
    <row r="2496" spans="1:12" x14ac:dyDescent="0.25">
      <c r="A2496" s="468" t="s">
        <v>220</v>
      </c>
      <c r="B2496" s="468" t="s">
        <v>2351</v>
      </c>
      <c r="C2496" s="468" t="s">
        <v>3293</v>
      </c>
      <c r="D2496" s="468" t="s">
        <v>3294</v>
      </c>
      <c r="F2496" s="470">
        <v>13</v>
      </c>
      <c r="G2496" s="468">
        <v>1.292</v>
      </c>
      <c r="H2496" s="479">
        <v>16.795999999999999</v>
      </c>
      <c r="I2496" s="468" t="s">
        <v>9218</v>
      </c>
      <c r="J2496" s="468" t="s">
        <v>9219</v>
      </c>
      <c r="K2496" s="468" t="s">
        <v>9219</v>
      </c>
      <c r="L2496" s="468" t="s">
        <v>2354</v>
      </c>
    </row>
    <row r="2497" spans="1:12" x14ac:dyDescent="0.25">
      <c r="A2497" s="468" t="s">
        <v>220</v>
      </c>
      <c r="B2497" s="468" t="s">
        <v>2351</v>
      </c>
      <c r="C2497" s="468" t="s">
        <v>3295</v>
      </c>
      <c r="D2497" s="468" t="s">
        <v>3296</v>
      </c>
      <c r="F2497" s="470">
        <v>5</v>
      </c>
      <c r="G2497" s="468">
        <v>3.3119999999999998</v>
      </c>
      <c r="H2497" s="479">
        <v>16.559999999999999</v>
      </c>
      <c r="I2497" s="468" t="s">
        <v>9218</v>
      </c>
      <c r="J2497" s="468" t="s">
        <v>9219</v>
      </c>
      <c r="K2497" s="468" t="s">
        <v>9219</v>
      </c>
      <c r="L2497" s="468" t="s">
        <v>2354</v>
      </c>
    </row>
    <row r="2498" spans="1:12" x14ac:dyDescent="0.25">
      <c r="A2498" s="468" t="s">
        <v>220</v>
      </c>
      <c r="B2498" s="468" t="s">
        <v>2351</v>
      </c>
      <c r="C2498" s="468" t="s">
        <v>3297</v>
      </c>
      <c r="D2498" s="468" t="s">
        <v>3298</v>
      </c>
      <c r="F2498" s="470">
        <v>4</v>
      </c>
      <c r="G2498" s="468">
        <v>2.3119999999999998</v>
      </c>
      <c r="H2498" s="479">
        <v>9.2479999999999993</v>
      </c>
      <c r="I2498" s="468" t="s">
        <v>9218</v>
      </c>
      <c r="J2498" s="468" t="s">
        <v>9219</v>
      </c>
      <c r="K2498" s="468" t="s">
        <v>9219</v>
      </c>
      <c r="L2498" s="468" t="s">
        <v>2354</v>
      </c>
    </row>
    <row r="2499" spans="1:12" x14ac:dyDescent="0.25">
      <c r="A2499" s="468" t="s">
        <v>220</v>
      </c>
      <c r="B2499" s="468" t="s">
        <v>2351</v>
      </c>
      <c r="C2499" s="468" t="s">
        <v>3299</v>
      </c>
      <c r="D2499" s="468" t="s">
        <v>3300</v>
      </c>
      <c r="F2499" s="470">
        <v>3</v>
      </c>
      <c r="G2499" s="468">
        <v>14.5512</v>
      </c>
      <c r="H2499" s="479">
        <v>43.653599999999997</v>
      </c>
      <c r="I2499" s="468" t="s">
        <v>9218</v>
      </c>
      <c r="J2499" s="468" t="s">
        <v>9219</v>
      </c>
      <c r="K2499" s="468" t="s">
        <v>9219</v>
      </c>
      <c r="L2499" s="468" t="s">
        <v>2354</v>
      </c>
    </row>
    <row r="2500" spans="1:12" x14ac:dyDescent="0.25">
      <c r="A2500" s="468" t="s">
        <v>220</v>
      </c>
      <c r="B2500" s="468" t="s">
        <v>2351</v>
      </c>
      <c r="C2500" s="468" t="s">
        <v>3301</v>
      </c>
      <c r="D2500" s="468" t="s">
        <v>3302</v>
      </c>
      <c r="F2500" s="470">
        <v>3</v>
      </c>
      <c r="G2500" s="468">
        <v>20.162183333333335</v>
      </c>
      <c r="H2500" s="479">
        <v>60.486550000000008</v>
      </c>
      <c r="I2500" s="468" t="s">
        <v>9218</v>
      </c>
      <c r="J2500" s="468" t="s">
        <v>9219</v>
      </c>
      <c r="K2500" s="468" t="s">
        <v>9219</v>
      </c>
      <c r="L2500" s="468" t="s">
        <v>2354</v>
      </c>
    </row>
    <row r="2501" spans="1:12" x14ac:dyDescent="0.25">
      <c r="A2501" s="468" t="s">
        <v>220</v>
      </c>
      <c r="B2501" s="468" t="s">
        <v>2351</v>
      </c>
      <c r="C2501" s="468" t="s">
        <v>3303</v>
      </c>
      <c r="D2501" s="468" t="s">
        <v>3304</v>
      </c>
      <c r="F2501" s="470">
        <v>5</v>
      </c>
      <c r="G2501" s="468">
        <v>6.04</v>
      </c>
      <c r="H2501" s="479">
        <v>30.2</v>
      </c>
      <c r="I2501" s="468" t="s">
        <v>9218</v>
      </c>
      <c r="J2501" s="468" t="s">
        <v>9219</v>
      </c>
      <c r="K2501" s="468" t="s">
        <v>9219</v>
      </c>
      <c r="L2501" s="468" t="s">
        <v>2354</v>
      </c>
    </row>
    <row r="2502" spans="1:12" x14ac:dyDescent="0.25">
      <c r="A2502" s="468" t="s">
        <v>220</v>
      </c>
      <c r="B2502" s="468" t="s">
        <v>2351</v>
      </c>
      <c r="C2502" s="468" t="s">
        <v>3305</v>
      </c>
      <c r="D2502" s="468" t="s">
        <v>3306</v>
      </c>
      <c r="F2502" s="470">
        <v>4</v>
      </c>
      <c r="G2502" s="468">
        <v>4.9580000000000002</v>
      </c>
      <c r="H2502" s="479">
        <v>19.832000000000001</v>
      </c>
      <c r="I2502" s="468" t="s">
        <v>9218</v>
      </c>
      <c r="J2502" s="468" t="s">
        <v>9219</v>
      </c>
      <c r="K2502" s="468" t="s">
        <v>9219</v>
      </c>
      <c r="L2502" s="468" t="s">
        <v>2354</v>
      </c>
    </row>
    <row r="2503" spans="1:12" x14ac:dyDescent="0.25">
      <c r="A2503" s="468" t="s">
        <v>220</v>
      </c>
      <c r="B2503" s="468" t="s">
        <v>2351</v>
      </c>
      <c r="C2503" s="468" t="s">
        <v>3307</v>
      </c>
      <c r="D2503" s="468" t="s">
        <v>3308</v>
      </c>
      <c r="F2503" s="470">
        <v>1</v>
      </c>
      <c r="G2503" s="468">
        <v>2.0830000000000002</v>
      </c>
      <c r="H2503" s="479">
        <v>2.0830000000000002</v>
      </c>
      <c r="I2503" s="468" t="s">
        <v>9218</v>
      </c>
      <c r="J2503" s="468" t="s">
        <v>9219</v>
      </c>
      <c r="K2503" s="468" t="s">
        <v>9219</v>
      </c>
      <c r="L2503" s="468" t="s">
        <v>2354</v>
      </c>
    </row>
    <row r="2504" spans="1:12" x14ac:dyDescent="0.25">
      <c r="A2504" s="468" t="s">
        <v>220</v>
      </c>
      <c r="B2504" s="468" t="s">
        <v>2351</v>
      </c>
      <c r="C2504" s="468" t="s">
        <v>3309</v>
      </c>
      <c r="D2504" s="468" t="s">
        <v>3310</v>
      </c>
      <c r="F2504" s="470">
        <v>4</v>
      </c>
      <c r="G2504" s="468">
        <v>31.043700000000001</v>
      </c>
      <c r="H2504" s="479">
        <v>124.1748</v>
      </c>
      <c r="I2504" s="468" t="s">
        <v>9218</v>
      </c>
      <c r="J2504" s="468" t="s">
        <v>9219</v>
      </c>
      <c r="K2504" s="468" t="s">
        <v>9219</v>
      </c>
      <c r="L2504" s="468" t="s">
        <v>2354</v>
      </c>
    </row>
    <row r="2505" spans="1:12" x14ac:dyDescent="0.25">
      <c r="A2505" s="468" t="s">
        <v>220</v>
      </c>
      <c r="B2505" s="468" t="s">
        <v>2351</v>
      </c>
      <c r="C2505" s="468" t="s">
        <v>3311</v>
      </c>
      <c r="D2505" s="468" t="s">
        <v>3312</v>
      </c>
      <c r="F2505" s="470">
        <v>2</v>
      </c>
      <c r="G2505" s="468">
        <v>19.089300000000001</v>
      </c>
      <c r="H2505" s="479">
        <v>38.178600000000003</v>
      </c>
      <c r="I2505" s="468" t="s">
        <v>9218</v>
      </c>
      <c r="J2505" s="468" t="s">
        <v>9219</v>
      </c>
      <c r="K2505" s="468" t="s">
        <v>9219</v>
      </c>
      <c r="L2505" s="468" t="s">
        <v>2354</v>
      </c>
    </row>
    <row r="2506" spans="1:12" x14ac:dyDescent="0.25">
      <c r="A2506" s="468" t="s">
        <v>220</v>
      </c>
      <c r="B2506" s="468" t="s">
        <v>2351</v>
      </c>
      <c r="C2506" s="468" t="s">
        <v>3313</v>
      </c>
      <c r="D2506" s="468" t="s">
        <v>3314</v>
      </c>
      <c r="F2506" s="470">
        <v>3</v>
      </c>
      <c r="G2506" s="468">
        <v>2.75</v>
      </c>
      <c r="H2506" s="479">
        <v>8.25</v>
      </c>
      <c r="I2506" s="468" t="s">
        <v>9218</v>
      </c>
      <c r="J2506" s="468" t="s">
        <v>9219</v>
      </c>
      <c r="K2506" s="468" t="s">
        <v>9219</v>
      </c>
      <c r="L2506" s="468" t="s">
        <v>2354</v>
      </c>
    </row>
    <row r="2507" spans="1:12" x14ac:dyDescent="0.25">
      <c r="A2507" s="468" t="s">
        <v>220</v>
      </c>
      <c r="B2507" s="468" t="s">
        <v>2351</v>
      </c>
      <c r="C2507" s="468" t="s">
        <v>5337</v>
      </c>
      <c r="D2507" s="468" t="s">
        <v>5338</v>
      </c>
      <c r="F2507" s="470">
        <v>6</v>
      </c>
      <c r="G2507" s="468">
        <v>2.75</v>
      </c>
      <c r="H2507" s="479">
        <v>16.5</v>
      </c>
      <c r="I2507" s="468" t="s">
        <v>9218</v>
      </c>
      <c r="J2507" s="468" t="s">
        <v>9219</v>
      </c>
      <c r="K2507" s="468" t="s">
        <v>9219</v>
      </c>
      <c r="L2507" s="468" t="s">
        <v>2354</v>
      </c>
    </row>
    <row r="2508" spans="1:12" x14ac:dyDescent="0.25">
      <c r="A2508" s="468" t="s">
        <v>220</v>
      </c>
      <c r="B2508" s="468" t="s">
        <v>2351</v>
      </c>
      <c r="C2508" s="468" t="s">
        <v>3315</v>
      </c>
      <c r="D2508" s="468" t="s">
        <v>3316</v>
      </c>
      <c r="F2508" s="470">
        <v>5</v>
      </c>
      <c r="G2508" s="468">
        <v>4.1684000000000001</v>
      </c>
      <c r="H2508" s="479">
        <v>20.841999999999999</v>
      </c>
      <c r="I2508" s="468" t="s">
        <v>9218</v>
      </c>
      <c r="J2508" s="468" t="s">
        <v>9219</v>
      </c>
      <c r="K2508" s="468" t="s">
        <v>9219</v>
      </c>
      <c r="L2508" s="468" t="s">
        <v>2354</v>
      </c>
    </row>
    <row r="2509" spans="1:12" x14ac:dyDescent="0.25">
      <c r="A2509" s="468" t="s">
        <v>220</v>
      </c>
      <c r="B2509" s="468" t="s">
        <v>2351</v>
      </c>
      <c r="C2509" s="468" t="s">
        <v>5339</v>
      </c>
      <c r="D2509" s="468" t="s">
        <v>5340</v>
      </c>
      <c r="F2509" s="470">
        <v>5</v>
      </c>
      <c r="G2509" s="468">
        <v>1.796</v>
      </c>
      <c r="H2509" s="479">
        <v>8.98</v>
      </c>
      <c r="I2509" s="468" t="s">
        <v>9218</v>
      </c>
      <c r="J2509" s="468" t="s">
        <v>9219</v>
      </c>
      <c r="K2509" s="468" t="s">
        <v>9219</v>
      </c>
      <c r="L2509" s="468" t="s">
        <v>2354</v>
      </c>
    </row>
    <row r="2510" spans="1:12" x14ac:dyDescent="0.25">
      <c r="A2510" s="468" t="s">
        <v>220</v>
      </c>
      <c r="B2510" s="468" t="s">
        <v>2351</v>
      </c>
      <c r="C2510" s="468" t="s">
        <v>3319</v>
      </c>
      <c r="D2510" s="468" t="s">
        <v>3320</v>
      </c>
      <c r="F2510" s="470">
        <v>8</v>
      </c>
      <c r="G2510" s="468">
        <v>1.403</v>
      </c>
      <c r="H2510" s="479">
        <v>11.224</v>
      </c>
      <c r="I2510" s="468" t="s">
        <v>9218</v>
      </c>
      <c r="J2510" s="468" t="s">
        <v>9219</v>
      </c>
      <c r="K2510" s="468" t="s">
        <v>9219</v>
      </c>
      <c r="L2510" s="468" t="s">
        <v>2354</v>
      </c>
    </row>
    <row r="2511" spans="1:12" x14ac:dyDescent="0.25">
      <c r="A2511" s="468" t="s">
        <v>220</v>
      </c>
      <c r="B2511" s="468" t="s">
        <v>2351</v>
      </c>
      <c r="C2511" s="468" t="s">
        <v>5309</v>
      </c>
      <c r="D2511" s="468" t="s">
        <v>5310</v>
      </c>
      <c r="F2511" s="470">
        <v>1</v>
      </c>
      <c r="G2511" s="468">
        <v>0.75700000000000001</v>
      </c>
      <c r="H2511" s="479">
        <v>0.75700000000000001</v>
      </c>
      <c r="I2511" s="468" t="s">
        <v>9218</v>
      </c>
      <c r="J2511" s="468" t="s">
        <v>9219</v>
      </c>
      <c r="K2511" s="468" t="s">
        <v>9219</v>
      </c>
      <c r="L2511" s="468" t="s">
        <v>2354</v>
      </c>
    </row>
    <row r="2512" spans="1:12" x14ac:dyDescent="0.25">
      <c r="A2512" s="468" t="s">
        <v>220</v>
      </c>
      <c r="B2512" s="468" t="s">
        <v>2351</v>
      </c>
      <c r="C2512" s="468" t="s">
        <v>5335</v>
      </c>
      <c r="D2512" s="468" t="s">
        <v>5336</v>
      </c>
      <c r="F2512" s="470">
        <v>2</v>
      </c>
      <c r="G2512" s="468">
        <v>1.02</v>
      </c>
      <c r="H2512" s="479">
        <v>2.04</v>
      </c>
      <c r="I2512" s="468" t="s">
        <v>9218</v>
      </c>
      <c r="J2512" s="468" t="s">
        <v>9219</v>
      </c>
      <c r="K2512" s="468" t="s">
        <v>9219</v>
      </c>
      <c r="L2512" s="468" t="s">
        <v>2354</v>
      </c>
    </row>
    <row r="2513" spans="1:12" x14ac:dyDescent="0.25">
      <c r="A2513" s="468" t="s">
        <v>220</v>
      </c>
      <c r="B2513" s="468" t="s">
        <v>2351</v>
      </c>
      <c r="C2513" s="468" t="s">
        <v>5358</v>
      </c>
      <c r="D2513" s="468" t="s">
        <v>5359</v>
      </c>
      <c r="F2513" s="470">
        <v>2</v>
      </c>
      <c r="G2513" s="468">
        <v>5.7290000000000001</v>
      </c>
      <c r="H2513" s="479">
        <v>11.458</v>
      </c>
      <c r="I2513" s="468" t="s">
        <v>9218</v>
      </c>
      <c r="J2513" s="468" t="s">
        <v>9219</v>
      </c>
      <c r="K2513" s="468" t="s">
        <v>9219</v>
      </c>
      <c r="L2513" s="468" t="s">
        <v>2354</v>
      </c>
    </row>
    <row r="2514" spans="1:12" x14ac:dyDescent="0.25">
      <c r="A2514" s="468" t="s">
        <v>220</v>
      </c>
      <c r="B2514" s="468" t="s">
        <v>2351</v>
      </c>
      <c r="C2514" s="468" t="s">
        <v>3321</v>
      </c>
      <c r="D2514" s="468" t="s">
        <v>3322</v>
      </c>
      <c r="F2514" s="470">
        <v>53</v>
      </c>
      <c r="G2514" s="468">
        <v>1.244</v>
      </c>
      <c r="H2514" s="479">
        <v>65.932000000000002</v>
      </c>
      <c r="I2514" s="468" t="s">
        <v>9218</v>
      </c>
      <c r="J2514" s="468" t="s">
        <v>9219</v>
      </c>
      <c r="K2514" s="468" t="s">
        <v>9219</v>
      </c>
      <c r="L2514" s="468" t="s">
        <v>2354</v>
      </c>
    </row>
    <row r="2515" spans="1:12" x14ac:dyDescent="0.25">
      <c r="A2515" s="468" t="s">
        <v>220</v>
      </c>
      <c r="B2515" s="468" t="s">
        <v>2351</v>
      </c>
      <c r="C2515" s="468" t="s">
        <v>3323</v>
      </c>
      <c r="D2515" s="468" t="s">
        <v>3324</v>
      </c>
      <c r="F2515" s="470">
        <v>22</v>
      </c>
      <c r="G2515" s="468">
        <v>0.64500000000000002</v>
      </c>
      <c r="H2515" s="479">
        <v>14.190000000000001</v>
      </c>
      <c r="I2515" s="468" t="s">
        <v>9218</v>
      </c>
      <c r="J2515" s="468" t="s">
        <v>9219</v>
      </c>
      <c r="K2515" s="468" t="s">
        <v>9219</v>
      </c>
      <c r="L2515" s="468" t="s">
        <v>2354</v>
      </c>
    </row>
    <row r="2516" spans="1:12" x14ac:dyDescent="0.25">
      <c r="A2516" s="468" t="s">
        <v>220</v>
      </c>
      <c r="B2516" s="468" t="s">
        <v>2351</v>
      </c>
      <c r="C2516" s="468" t="s">
        <v>3325</v>
      </c>
      <c r="D2516" s="468" t="s">
        <v>3326</v>
      </c>
      <c r="F2516" s="470">
        <v>56</v>
      </c>
      <c r="G2516" s="468">
        <v>0.99399999999999999</v>
      </c>
      <c r="H2516" s="479">
        <v>55.664000000000001</v>
      </c>
      <c r="I2516" s="468" t="s">
        <v>9218</v>
      </c>
      <c r="J2516" s="468" t="s">
        <v>9219</v>
      </c>
      <c r="K2516" s="468" t="s">
        <v>9219</v>
      </c>
      <c r="L2516" s="468" t="s">
        <v>2354</v>
      </c>
    </row>
    <row r="2517" spans="1:12" x14ac:dyDescent="0.25">
      <c r="A2517" s="468" t="s">
        <v>220</v>
      </c>
      <c r="B2517" s="468" t="s">
        <v>2351</v>
      </c>
      <c r="C2517" s="468" t="s">
        <v>3329</v>
      </c>
      <c r="D2517" s="468" t="s">
        <v>3330</v>
      </c>
      <c r="F2517" s="470">
        <v>15</v>
      </c>
      <c r="G2517" s="468">
        <v>1.0629999999999999</v>
      </c>
      <c r="H2517" s="479">
        <v>15.944999999999999</v>
      </c>
      <c r="I2517" s="468" t="s">
        <v>9218</v>
      </c>
      <c r="J2517" s="468" t="s">
        <v>9219</v>
      </c>
      <c r="K2517" s="468" t="s">
        <v>9219</v>
      </c>
      <c r="L2517" s="468" t="s">
        <v>2354</v>
      </c>
    </row>
    <row r="2518" spans="1:12" x14ac:dyDescent="0.25">
      <c r="A2518" s="468" t="s">
        <v>220</v>
      </c>
      <c r="B2518" s="468" t="s">
        <v>2351</v>
      </c>
      <c r="C2518" s="468" t="s">
        <v>3331</v>
      </c>
      <c r="D2518" s="468" t="s">
        <v>3332</v>
      </c>
      <c r="F2518" s="470">
        <v>3</v>
      </c>
      <c r="G2518" s="468">
        <v>3.9</v>
      </c>
      <c r="H2518" s="479">
        <v>11.7</v>
      </c>
      <c r="I2518" s="468" t="s">
        <v>9218</v>
      </c>
      <c r="J2518" s="468" t="s">
        <v>9219</v>
      </c>
      <c r="K2518" s="468" t="s">
        <v>9219</v>
      </c>
      <c r="L2518" s="468" t="s">
        <v>2354</v>
      </c>
    </row>
    <row r="2519" spans="1:12" x14ac:dyDescent="0.25">
      <c r="A2519" s="468" t="s">
        <v>220</v>
      </c>
      <c r="B2519" s="468" t="s">
        <v>2351</v>
      </c>
      <c r="C2519" s="468" t="s">
        <v>3335</v>
      </c>
      <c r="D2519" s="468" t="s">
        <v>3336</v>
      </c>
      <c r="F2519" s="470">
        <v>16</v>
      </c>
      <c r="G2519" s="468">
        <v>0.30199999999999999</v>
      </c>
      <c r="H2519" s="479">
        <v>4.8319999999999999</v>
      </c>
      <c r="I2519" s="468" t="s">
        <v>9218</v>
      </c>
      <c r="J2519" s="468" t="s">
        <v>9219</v>
      </c>
      <c r="K2519" s="468" t="s">
        <v>9219</v>
      </c>
      <c r="L2519" s="468" t="s">
        <v>2354</v>
      </c>
    </row>
    <row r="2520" spans="1:12" x14ac:dyDescent="0.25">
      <c r="A2520" s="468" t="s">
        <v>220</v>
      </c>
      <c r="B2520" s="468" t="s">
        <v>2351</v>
      </c>
      <c r="C2520" s="468" t="s">
        <v>3337</v>
      </c>
      <c r="D2520" s="468" t="s">
        <v>3338</v>
      </c>
      <c r="F2520" s="470">
        <v>25</v>
      </c>
      <c r="G2520" s="468">
        <v>0.75700000000000001</v>
      </c>
      <c r="H2520" s="479">
        <v>18.925000000000001</v>
      </c>
      <c r="I2520" s="468" t="s">
        <v>9218</v>
      </c>
      <c r="J2520" s="468" t="s">
        <v>9219</v>
      </c>
      <c r="K2520" s="468" t="s">
        <v>9219</v>
      </c>
      <c r="L2520" s="468" t="s">
        <v>2354</v>
      </c>
    </row>
    <row r="2521" spans="1:12" x14ac:dyDescent="0.25">
      <c r="A2521" s="468" t="s">
        <v>220</v>
      </c>
      <c r="B2521" s="468" t="s">
        <v>2351</v>
      </c>
      <c r="C2521" s="468" t="s">
        <v>3339</v>
      </c>
      <c r="D2521" s="468" t="s">
        <v>3340</v>
      </c>
      <c r="F2521" s="470">
        <v>50</v>
      </c>
      <c r="G2521" s="468">
        <v>1.02</v>
      </c>
      <c r="H2521" s="479">
        <v>51</v>
      </c>
      <c r="I2521" s="468" t="s">
        <v>9218</v>
      </c>
      <c r="J2521" s="468" t="s">
        <v>9219</v>
      </c>
      <c r="K2521" s="468" t="s">
        <v>9219</v>
      </c>
      <c r="L2521" s="468" t="s">
        <v>2354</v>
      </c>
    </row>
    <row r="2522" spans="1:12" x14ac:dyDescent="0.25">
      <c r="A2522" s="468" t="s">
        <v>220</v>
      </c>
      <c r="B2522" s="468" t="s">
        <v>2351</v>
      </c>
      <c r="C2522" s="468" t="s">
        <v>3341</v>
      </c>
      <c r="D2522" s="468" t="s">
        <v>3342</v>
      </c>
      <c r="F2522" s="470">
        <v>20</v>
      </c>
      <c r="G2522" s="468">
        <v>1.5614499999999998</v>
      </c>
      <c r="H2522" s="479">
        <v>31.228999999999996</v>
      </c>
      <c r="I2522" s="468" t="s">
        <v>9218</v>
      </c>
      <c r="J2522" s="468" t="s">
        <v>9219</v>
      </c>
      <c r="K2522" s="468" t="s">
        <v>9219</v>
      </c>
      <c r="L2522" s="468" t="s">
        <v>2354</v>
      </c>
    </row>
    <row r="2523" spans="1:12" x14ac:dyDescent="0.25">
      <c r="A2523" s="468" t="s">
        <v>220</v>
      </c>
      <c r="B2523" s="468" t="s">
        <v>2351</v>
      </c>
      <c r="C2523" s="468" t="s">
        <v>3343</v>
      </c>
      <c r="D2523" s="468" t="s">
        <v>3344</v>
      </c>
      <c r="F2523" s="470">
        <v>95</v>
      </c>
      <c r="G2523" s="468">
        <v>0.13932</v>
      </c>
      <c r="H2523" s="479">
        <v>13.2354</v>
      </c>
      <c r="I2523" s="468" t="s">
        <v>9218</v>
      </c>
      <c r="J2523" s="468" t="s">
        <v>9219</v>
      </c>
      <c r="K2523" s="468" t="s">
        <v>9219</v>
      </c>
      <c r="L2523" s="468" t="s">
        <v>2354</v>
      </c>
    </row>
    <row r="2524" spans="1:12" x14ac:dyDescent="0.25">
      <c r="A2524" s="468" t="s">
        <v>220</v>
      </c>
      <c r="B2524" s="468" t="s">
        <v>2351</v>
      </c>
      <c r="C2524" s="468" t="s">
        <v>3345</v>
      </c>
      <c r="D2524" s="468" t="s">
        <v>3346</v>
      </c>
      <c r="F2524" s="470">
        <v>120</v>
      </c>
      <c r="G2524" s="468">
        <v>1.2929999999999999</v>
      </c>
      <c r="H2524" s="479">
        <v>155.16</v>
      </c>
      <c r="I2524" s="468" t="s">
        <v>9218</v>
      </c>
      <c r="J2524" s="468" t="s">
        <v>9219</v>
      </c>
      <c r="K2524" s="468" t="s">
        <v>9219</v>
      </c>
      <c r="L2524" s="468" t="s">
        <v>2354</v>
      </c>
    </row>
    <row r="2525" spans="1:12" x14ac:dyDescent="0.25">
      <c r="A2525" s="468" t="s">
        <v>220</v>
      </c>
      <c r="B2525" s="468" t="s">
        <v>2351</v>
      </c>
      <c r="C2525" s="468" t="s">
        <v>3347</v>
      </c>
      <c r="D2525" s="468" t="s">
        <v>3348</v>
      </c>
      <c r="F2525" s="470">
        <v>5</v>
      </c>
      <c r="G2525" s="468">
        <v>4.0986000000000002</v>
      </c>
      <c r="H2525" s="479">
        <v>20.493000000000002</v>
      </c>
      <c r="I2525" s="468" t="s">
        <v>9218</v>
      </c>
      <c r="J2525" s="468" t="s">
        <v>9219</v>
      </c>
      <c r="K2525" s="468" t="s">
        <v>9219</v>
      </c>
      <c r="L2525" s="468" t="s">
        <v>2354</v>
      </c>
    </row>
    <row r="2526" spans="1:12" x14ac:dyDescent="0.25">
      <c r="A2526" s="468" t="s">
        <v>220</v>
      </c>
      <c r="B2526" s="468" t="s">
        <v>2351</v>
      </c>
      <c r="C2526" s="468" t="s">
        <v>3349</v>
      </c>
      <c r="D2526" s="468" t="s">
        <v>3350</v>
      </c>
      <c r="F2526" s="470">
        <v>29</v>
      </c>
      <c r="G2526" s="468">
        <v>1.4370000000000001</v>
      </c>
      <c r="H2526" s="479">
        <v>41.673000000000002</v>
      </c>
      <c r="I2526" s="468" t="s">
        <v>9218</v>
      </c>
      <c r="J2526" s="468" t="s">
        <v>9219</v>
      </c>
      <c r="K2526" s="468" t="s">
        <v>9219</v>
      </c>
      <c r="L2526" s="468" t="s">
        <v>2354</v>
      </c>
    </row>
    <row r="2527" spans="1:12" x14ac:dyDescent="0.25">
      <c r="A2527" s="468" t="s">
        <v>220</v>
      </c>
      <c r="B2527" s="468" t="s">
        <v>2351</v>
      </c>
      <c r="C2527" s="468" t="s">
        <v>3351</v>
      </c>
      <c r="D2527" s="468" t="s">
        <v>3352</v>
      </c>
      <c r="F2527" s="470">
        <v>10</v>
      </c>
      <c r="G2527" s="468">
        <v>10.1304</v>
      </c>
      <c r="H2527" s="479">
        <v>101.304</v>
      </c>
      <c r="I2527" s="468" t="s">
        <v>9218</v>
      </c>
      <c r="J2527" s="468" t="s">
        <v>9219</v>
      </c>
      <c r="K2527" s="468" t="s">
        <v>9219</v>
      </c>
      <c r="L2527" s="468" t="s">
        <v>2354</v>
      </c>
    </row>
    <row r="2528" spans="1:12" x14ac:dyDescent="0.25">
      <c r="A2528" s="468" t="s">
        <v>220</v>
      </c>
      <c r="B2528" s="468" t="s">
        <v>2351</v>
      </c>
      <c r="C2528" s="468" t="s">
        <v>3353</v>
      </c>
      <c r="D2528" s="468" t="s">
        <v>3354</v>
      </c>
      <c r="F2528" s="470">
        <v>12</v>
      </c>
      <c r="G2528" s="468">
        <v>10.134</v>
      </c>
      <c r="H2528" s="479">
        <v>121.608</v>
      </c>
      <c r="I2528" s="468" t="s">
        <v>9218</v>
      </c>
      <c r="J2528" s="468" t="s">
        <v>9219</v>
      </c>
      <c r="K2528" s="468" t="s">
        <v>9219</v>
      </c>
      <c r="L2528" s="468" t="s">
        <v>2354</v>
      </c>
    </row>
    <row r="2529" spans="1:12" x14ac:dyDescent="0.25">
      <c r="A2529" s="468" t="s">
        <v>220</v>
      </c>
      <c r="B2529" s="468" t="s">
        <v>2351</v>
      </c>
      <c r="C2529" s="468" t="s">
        <v>3355</v>
      </c>
      <c r="D2529" s="468" t="s">
        <v>3356</v>
      </c>
      <c r="F2529" s="470">
        <v>25</v>
      </c>
      <c r="G2529" s="468">
        <v>3.6414</v>
      </c>
      <c r="H2529" s="479">
        <v>91.034999999999997</v>
      </c>
      <c r="I2529" s="468" t="s">
        <v>9218</v>
      </c>
      <c r="J2529" s="468" t="s">
        <v>9219</v>
      </c>
      <c r="K2529" s="468" t="s">
        <v>9219</v>
      </c>
      <c r="L2529" s="468" t="s">
        <v>2354</v>
      </c>
    </row>
    <row r="2530" spans="1:12" x14ac:dyDescent="0.25">
      <c r="A2530" s="468" t="s">
        <v>220</v>
      </c>
      <c r="B2530" s="468" t="s">
        <v>2351</v>
      </c>
      <c r="C2530" s="468" t="s">
        <v>3361</v>
      </c>
      <c r="D2530" s="468" t="s">
        <v>3362</v>
      </c>
      <c r="F2530" s="470">
        <v>52</v>
      </c>
      <c r="G2530" s="468">
        <v>5.7160000000000002</v>
      </c>
      <c r="H2530" s="479">
        <v>297.23200000000003</v>
      </c>
      <c r="I2530" s="468" t="s">
        <v>9218</v>
      </c>
      <c r="J2530" s="468" t="s">
        <v>9219</v>
      </c>
      <c r="K2530" s="468" t="s">
        <v>9219</v>
      </c>
      <c r="L2530" s="468" t="s">
        <v>2354</v>
      </c>
    </row>
    <row r="2531" spans="1:12" x14ac:dyDescent="0.25">
      <c r="A2531" s="468" t="s">
        <v>220</v>
      </c>
      <c r="B2531" s="468" t="s">
        <v>2351</v>
      </c>
      <c r="C2531" s="468" t="s">
        <v>3363</v>
      </c>
      <c r="D2531" s="468" t="s">
        <v>3364</v>
      </c>
      <c r="F2531" s="470">
        <v>89</v>
      </c>
      <c r="G2531" s="468">
        <v>1.2450000000000001</v>
      </c>
      <c r="H2531" s="479">
        <v>110.80500000000001</v>
      </c>
      <c r="I2531" s="468" t="s">
        <v>9218</v>
      </c>
      <c r="J2531" s="468" t="s">
        <v>9219</v>
      </c>
      <c r="K2531" s="468" t="s">
        <v>9219</v>
      </c>
      <c r="L2531" s="468" t="s">
        <v>2354</v>
      </c>
    </row>
    <row r="2532" spans="1:12" x14ac:dyDescent="0.25">
      <c r="A2532" s="468" t="s">
        <v>220</v>
      </c>
      <c r="B2532" s="468" t="s">
        <v>2351</v>
      </c>
      <c r="C2532" s="468" t="s">
        <v>3367</v>
      </c>
      <c r="D2532" s="468" t="s">
        <v>3368</v>
      </c>
      <c r="F2532" s="470">
        <v>6</v>
      </c>
      <c r="G2532" s="468">
        <v>7.95</v>
      </c>
      <c r="H2532" s="479">
        <v>47.7</v>
      </c>
      <c r="I2532" s="468" t="s">
        <v>9218</v>
      </c>
      <c r="J2532" s="468" t="s">
        <v>9219</v>
      </c>
      <c r="K2532" s="468" t="s">
        <v>9219</v>
      </c>
      <c r="L2532" s="468" t="s">
        <v>2354</v>
      </c>
    </row>
    <row r="2533" spans="1:12" x14ac:dyDescent="0.25">
      <c r="A2533" s="468" t="s">
        <v>220</v>
      </c>
      <c r="B2533" s="468" t="s">
        <v>2351</v>
      </c>
      <c r="C2533" s="468" t="s">
        <v>3381</v>
      </c>
      <c r="D2533" s="468" t="s">
        <v>3382</v>
      </c>
      <c r="F2533" s="470">
        <v>6</v>
      </c>
      <c r="G2533" s="468">
        <v>2.3374999999999999</v>
      </c>
      <c r="H2533" s="479">
        <v>14.024999999999999</v>
      </c>
      <c r="I2533" s="468" t="s">
        <v>9218</v>
      </c>
      <c r="J2533" s="468" t="s">
        <v>9219</v>
      </c>
      <c r="K2533" s="468" t="s">
        <v>9219</v>
      </c>
      <c r="L2533" s="468" t="s">
        <v>2354</v>
      </c>
    </row>
    <row r="2534" spans="1:12" x14ac:dyDescent="0.25">
      <c r="A2534" s="468" t="s">
        <v>220</v>
      </c>
      <c r="B2534" s="468" t="s">
        <v>2351</v>
      </c>
      <c r="C2534" s="468" t="s">
        <v>3383</v>
      </c>
      <c r="D2534" s="468" t="s">
        <v>3384</v>
      </c>
      <c r="F2534" s="470">
        <v>1</v>
      </c>
      <c r="G2534" s="468">
        <v>4.8330000000000002</v>
      </c>
      <c r="H2534" s="479">
        <v>4.8330000000000002</v>
      </c>
      <c r="I2534" s="468" t="s">
        <v>9218</v>
      </c>
      <c r="J2534" s="468" t="s">
        <v>9219</v>
      </c>
      <c r="K2534" s="468" t="s">
        <v>9219</v>
      </c>
      <c r="L2534" s="468" t="s">
        <v>2354</v>
      </c>
    </row>
    <row r="2535" spans="1:12" x14ac:dyDescent="0.25">
      <c r="A2535" s="468" t="s">
        <v>220</v>
      </c>
      <c r="B2535" s="468" t="s">
        <v>2351</v>
      </c>
      <c r="C2535" s="468" t="s">
        <v>3385</v>
      </c>
      <c r="D2535" s="468" t="s">
        <v>3386</v>
      </c>
      <c r="F2535" s="470">
        <v>10</v>
      </c>
      <c r="G2535" s="468">
        <v>6.3577166666666658</v>
      </c>
      <c r="H2535" s="479">
        <v>63.577166666666656</v>
      </c>
      <c r="I2535" s="468" t="s">
        <v>9218</v>
      </c>
      <c r="J2535" s="468" t="s">
        <v>9219</v>
      </c>
      <c r="K2535" s="468" t="s">
        <v>9219</v>
      </c>
      <c r="L2535" s="468" t="s">
        <v>2354</v>
      </c>
    </row>
    <row r="2536" spans="1:12" x14ac:dyDescent="0.25">
      <c r="A2536" s="468" t="s">
        <v>220</v>
      </c>
      <c r="B2536" s="468" t="s">
        <v>2351</v>
      </c>
      <c r="C2536" s="468" t="s">
        <v>3387</v>
      </c>
      <c r="D2536" s="468" t="s">
        <v>3388</v>
      </c>
      <c r="F2536" s="470">
        <v>5</v>
      </c>
      <c r="G2536" s="468">
        <v>8.1259999999999994</v>
      </c>
      <c r="H2536" s="479">
        <v>40.629999999999995</v>
      </c>
      <c r="I2536" s="468" t="s">
        <v>9218</v>
      </c>
      <c r="J2536" s="468" t="s">
        <v>9219</v>
      </c>
      <c r="K2536" s="468" t="s">
        <v>9219</v>
      </c>
      <c r="L2536" s="468" t="s">
        <v>2354</v>
      </c>
    </row>
    <row r="2537" spans="1:12" x14ac:dyDescent="0.25">
      <c r="A2537" s="468" t="s">
        <v>220</v>
      </c>
      <c r="B2537" s="468" t="s">
        <v>2351</v>
      </c>
      <c r="C2537" s="468" t="s">
        <v>2365</v>
      </c>
      <c r="D2537" s="468" t="s">
        <v>2366</v>
      </c>
      <c r="F2537" s="470">
        <v>2</v>
      </c>
      <c r="G2537" s="468">
        <v>16.256</v>
      </c>
      <c r="H2537" s="479">
        <v>32.512</v>
      </c>
      <c r="I2537" s="468" t="s">
        <v>9218</v>
      </c>
      <c r="J2537" s="468" t="s">
        <v>9219</v>
      </c>
      <c r="K2537" s="468" t="s">
        <v>9219</v>
      </c>
      <c r="L2537" s="468" t="s">
        <v>2354</v>
      </c>
    </row>
    <row r="2538" spans="1:12" x14ac:dyDescent="0.25">
      <c r="A2538" s="468" t="s">
        <v>220</v>
      </c>
      <c r="B2538" s="468" t="s">
        <v>2351</v>
      </c>
      <c r="C2538" s="468" t="s">
        <v>3389</v>
      </c>
      <c r="D2538" s="468" t="s">
        <v>3390</v>
      </c>
      <c r="F2538" s="470">
        <v>2</v>
      </c>
      <c r="G2538" s="468">
        <v>68.424999999999997</v>
      </c>
      <c r="H2538" s="479">
        <v>136.85</v>
      </c>
      <c r="I2538" s="468" t="s">
        <v>9218</v>
      </c>
      <c r="J2538" s="468" t="s">
        <v>9219</v>
      </c>
      <c r="K2538" s="468" t="s">
        <v>9219</v>
      </c>
      <c r="L2538" s="468" t="s">
        <v>2354</v>
      </c>
    </row>
    <row r="2539" spans="1:12" x14ac:dyDescent="0.25">
      <c r="A2539" s="468" t="s">
        <v>220</v>
      </c>
      <c r="B2539" s="468" t="s">
        <v>2351</v>
      </c>
      <c r="C2539" s="468" t="s">
        <v>3391</v>
      </c>
      <c r="D2539" s="468" t="s">
        <v>3392</v>
      </c>
      <c r="F2539" s="470">
        <v>2</v>
      </c>
      <c r="G2539" s="468">
        <v>72.25</v>
      </c>
      <c r="H2539" s="479">
        <v>144.5</v>
      </c>
      <c r="I2539" s="468" t="s">
        <v>9218</v>
      </c>
      <c r="J2539" s="468" t="s">
        <v>9219</v>
      </c>
      <c r="K2539" s="468" t="s">
        <v>9219</v>
      </c>
      <c r="L2539" s="468" t="s">
        <v>2354</v>
      </c>
    </row>
    <row r="2540" spans="1:12" x14ac:dyDescent="0.25">
      <c r="A2540" s="468" t="s">
        <v>220</v>
      </c>
      <c r="B2540" s="468" t="s">
        <v>2351</v>
      </c>
      <c r="C2540" s="468" t="s">
        <v>3393</v>
      </c>
      <c r="D2540" s="468" t="s">
        <v>3394</v>
      </c>
      <c r="F2540" s="470">
        <v>2</v>
      </c>
      <c r="G2540" s="468">
        <v>3.3359999999999999</v>
      </c>
      <c r="H2540" s="479">
        <v>6.6719999999999997</v>
      </c>
      <c r="I2540" s="468" t="s">
        <v>9218</v>
      </c>
      <c r="J2540" s="468" t="s">
        <v>9219</v>
      </c>
      <c r="K2540" s="468" t="s">
        <v>9219</v>
      </c>
      <c r="L2540" s="468" t="s">
        <v>2354</v>
      </c>
    </row>
    <row r="2541" spans="1:12" x14ac:dyDescent="0.25">
      <c r="A2541" s="468" t="s">
        <v>220</v>
      </c>
      <c r="B2541" s="468" t="s">
        <v>2351</v>
      </c>
      <c r="C2541" s="468" t="s">
        <v>3395</v>
      </c>
      <c r="D2541" s="468" t="s">
        <v>3396</v>
      </c>
      <c r="F2541" s="470">
        <v>8</v>
      </c>
      <c r="G2541" s="468">
        <v>3.2725</v>
      </c>
      <c r="H2541" s="479">
        <v>26.18</v>
      </c>
      <c r="I2541" s="468" t="s">
        <v>9218</v>
      </c>
      <c r="J2541" s="468" t="s">
        <v>9219</v>
      </c>
      <c r="K2541" s="468" t="s">
        <v>9219</v>
      </c>
      <c r="L2541" s="468" t="s">
        <v>2354</v>
      </c>
    </row>
    <row r="2542" spans="1:12" x14ac:dyDescent="0.25">
      <c r="A2542" s="468" t="s">
        <v>220</v>
      </c>
      <c r="B2542" s="468" t="s">
        <v>2351</v>
      </c>
      <c r="C2542" s="468" t="s">
        <v>3397</v>
      </c>
      <c r="D2542" s="468" t="s">
        <v>3398</v>
      </c>
      <c r="F2542" s="470">
        <v>4</v>
      </c>
      <c r="G2542" s="468">
        <v>2.6760000000000002</v>
      </c>
      <c r="H2542" s="479">
        <v>10.704000000000001</v>
      </c>
      <c r="I2542" s="468" t="s">
        <v>9218</v>
      </c>
      <c r="J2542" s="468" t="s">
        <v>9219</v>
      </c>
      <c r="K2542" s="468" t="s">
        <v>9219</v>
      </c>
      <c r="L2542" s="468" t="s">
        <v>2354</v>
      </c>
    </row>
    <row r="2543" spans="1:12" x14ac:dyDescent="0.25">
      <c r="A2543" s="468" t="s">
        <v>220</v>
      </c>
      <c r="B2543" s="468" t="s">
        <v>2351</v>
      </c>
      <c r="C2543" s="468" t="s">
        <v>3399</v>
      </c>
      <c r="D2543" s="468" t="s">
        <v>3400</v>
      </c>
      <c r="F2543" s="470">
        <v>7</v>
      </c>
      <c r="G2543" s="468">
        <v>1.65</v>
      </c>
      <c r="H2543" s="479">
        <v>11.549999999999999</v>
      </c>
      <c r="I2543" s="468" t="s">
        <v>9218</v>
      </c>
      <c r="J2543" s="468" t="s">
        <v>9219</v>
      </c>
      <c r="K2543" s="468" t="s">
        <v>9219</v>
      </c>
      <c r="L2543" s="468" t="s">
        <v>2354</v>
      </c>
    </row>
    <row r="2544" spans="1:12" x14ac:dyDescent="0.25">
      <c r="A2544" s="468" t="s">
        <v>220</v>
      </c>
      <c r="B2544" s="468" t="s">
        <v>2351</v>
      </c>
      <c r="C2544" s="468" t="s">
        <v>3401</v>
      </c>
      <c r="D2544" s="468" t="s">
        <v>3402</v>
      </c>
      <c r="F2544" s="470">
        <v>6</v>
      </c>
      <c r="G2544" s="468">
        <v>2.7233999999999998</v>
      </c>
      <c r="H2544" s="479">
        <v>16.340399999999999</v>
      </c>
      <c r="I2544" s="468" t="s">
        <v>9218</v>
      </c>
      <c r="J2544" s="468" t="s">
        <v>9219</v>
      </c>
      <c r="K2544" s="468" t="s">
        <v>9219</v>
      </c>
      <c r="L2544" s="468" t="s">
        <v>2354</v>
      </c>
    </row>
    <row r="2545" spans="1:12" x14ac:dyDescent="0.25">
      <c r="A2545" s="468" t="s">
        <v>220</v>
      </c>
      <c r="B2545" s="468" t="s">
        <v>2351</v>
      </c>
      <c r="C2545" s="468" t="s">
        <v>3465</v>
      </c>
      <c r="D2545" s="468" t="s">
        <v>3466</v>
      </c>
      <c r="F2545" s="470">
        <v>7</v>
      </c>
      <c r="G2545" s="468">
        <v>6.3949999999999996</v>
      </c>
      <c r="H2545" s="479">
        <v>44.765000000000001</v>
      </c>
      <c r="I2545" s="468" t="s">
        <v>9218</v>
      </c>
      <c r="J2545" s="468" t="s">
        <v>9219</v>
      </c>
      <c r="K2545" s="468" t="s">
        <v>9219</v>
      </c>
      <c r="L2545" s="468" t="s">
        <v>2354</v>
      </c>
    </row>
    <row r="2546" spans="1:12" x14ac:dyDescent="0.25">
      <c r="A2546" s="468" t="s">
        <v>220</v>
      </c>
      <c r="B2546" s="468" t="s">
        <v>2351</v>
      </c>
      <c r="C2546" s="468" t="s">
        <v>3467</v>
      </c>
      <c r="D2546" s="468" t="s">
        <v>3468</v>
      </c>
      <c r="F2546" s="470">
        <v>14</v>
      </c>
      <c r="G2546" s="468">
        <v>2.0994999999999999</v>
      </c>
      <c r="H2546" s="479">
        <v>29.393000000000001</v>
      </c>
      <c r="I2546" s="468" t="s">
        <v>9218</v>
      </c>
      <c r="J2546" s="468" t="s">
        <v>9219</v>
      </c>
      <c r="K2546" s="468" t="s">
        <v>9219</v>
      </c>
      <c r="L2546" s="468" t="s">
        <v>2354</v>
      </c>
    </row>
    <row r="2547" spans="1:12" x14ac:dyDescent="0.25">
      <c r="A2547" s="468" t="s">
        <v>220</v>
      </c>
      <c r="B2547" s="468" t="s">
        <v>2351</v>
      </c>
      <c r="C2547" s="468" t="s">
        <v>3469</v>
      </c>
      <c r="D2547" s="468" t="s">
        <v>3470</v>
      </c>
      <c r="F2547" s="470">
        <v>5</v>
      </c>
      <c r="G2547" s="468">
        <v>3.2949999999999999</v>
      </c>
      <c r="H2547" s="479">
        <v>16.475000000000001</v>
      </c>
      <c r="I2547" s="468" t="s">
        <v>9218</v>
      </c>
      <c r="J2547" s="468" t="s">
        <v>9219</v>
      </c>
      <c r="K2547" s="468" t="s">
        <v>9219</v>
      </c>
      <c r="L2547" s="468" t="s">
        <v>2354</v>
      </c>
    </row>
    <row r="2548" spans="1:12" x14ac:dyDescent="0.25">
      <c r="A2548" s="468" t="s">
        <v>220</v>
      </c>
      <c r="B2548" s="468" t="s">
        <v>2351</v>
      </c>
      <c r="C2548" s="468" t="s">
        <v>3471</v>
      </c>
      <c r="D2548" s="468" t="s">
        <v>3472</v>
      </c>
      <c r="F2548" s="470">
        <v>1</v>
      </c>
      <c r="G2548" s="468">
        <v>6.8440500000000002</v>
      </c>
      <c r="H2548" s="479">
        <v>6.8440500000000002</v>
      </c>
      <c r="I2548" s="468" t="s">
        <v>9218</v>
      </c>
      <c r="J2548" s="468" t="s">
        <v>9219</v>
      </c>
      <c r="K2548" s="468" t="s">
        <v>9219</v>
      </c>
      <c r="L2548" s="468" t="s">
        <v>2354</v>
      </c>
    </row>
    <row r="2549" spans="1:12" x14ac:dyDescent="0.25">
      <c r="A2549" s="468" t="s">
        <v>220</v>
      </c>
      <c r="B2549" s="468" t="s">
        <v>2351</v>
      </c>
      <c r="C2549" s="468" t="s">
        <v>3473</v>
      </c>
      <c r="D2549" s="468" t="s">
        <v>3474</v>
      </c>
      <c r="F2549" s="470">
        <v>5</v>
      </c>
      <c r="G2549" s="468">
        <v>8.8757999999999999</v>
      </c>
      <c r="H2549" s="479">
        <v>44.378999999999998</v>
      </c>
      <c r="I2549" s="468" t="s">
        <v>9218</v>
      </c>
      <c r="J2549" s="468" t="s">
        <v>9219</v>
      </c>
      <c r="K2549" s="468" t="s">
        <v>9219</v>
      </c>
      <c r="L2549" s="468" t="s">
        <v>2354</v>
      </c>
    </row>
    <row r="2550" spans="1:12" x14ac:dyDescent="0.25">
      <c r="A2550" s="468" t="s">
        <v>220</v>
      </c>
      <c r="B2550" s="468" t="s">
        <v>2351</v>
      </c>
      <c r="C2550" s="468" t="s">
        <v>3475</v>
      </c>
      <c r="D2550" s="468" t="s">
        <v>3476</v>
      </c>
      <c r="F2550" s="470">
        <v>9</v>
      </c>
      <c r="G2550" s="468">
        <v>1.9379999999999999</v>
      </c>
      <c r="H2550" s="479">
        <v>17.442</v>
      </c>
      <c r="I2550" s="468" t="s">
        <v>9218</v>
      </c>
      <c r="J2550" s="468" t="s">
        <v>9219</v>
      </c>
      <c r="K2550" s="468" t="s">
        <v>9219</v>
      </c>
      <c r="L2550" s="468" t="s">
        <v>2354</v>
      </c>
    </row>
    <row r="2551" spans="1:12" x14ac:dyDescent="0.25">
      <c r="A2551" s="468" t="s">
        <v>220</v>
      </c>
      <c r="B2551" s="468" t="s">
        <v>2351</v>
      </c>
      <c r="C2551" s="468" t="s">
        <v>3477</v>
      </c>
      <c r="D2551" s="468" t="s">
        <v>3478</v>
      </c>
      <c r="F2551" s="470">
        <v>1</v>
      </c>
      <c r="G2551" s="468">
        <v>9.4499999999999993</v>
      </c>
      <c r="H2551" s="479">
        <v>9.4499999999999993</v>
      </c>
      <c r="I2551" s="468" t="s">
        <v>9218</v>
      </c>
      <c r="J2551" s="468" t="s">
        <v>9219</v>
      </c>
      <c r="K2551" s="468" t="s">
        <v>9219</v>
      </c>
      <c r="L2551" s="468" t="s">
        <v>2354</v>
      </c>
    </row>
    <row r="2552" spans="1:12" x14ac:dyDescent="0.25">
      <c r="A2552" s="468" t="s">
        <v>220</v>
      </c>
      <c r="B2552" s="468" t="s">
        <v>2351</v>
      </c>
      <c r="C2552" s="468" t="s">
        <v>3479</v>
      </c>
      <c r="D2552" s="468" t="s">
        <v>3480</v>
      </c>
      <c r="F2552" s="470">
        <v>9</v>
      </c>
      <c r="G2552" s="468">
        <v>2.5865999999999998</v>
      </c>
      <c r="H2552" s="479">
        <v>23.279399999999999</v>
      </c>
      <c r="I2552" s="468" t="s">
        <v>9218</v>
      </c>
      <c r="J2552" s="468" t="s">
        <v>9219</v>
      </c>
      <c r="K2552" s="468" t="s">
        <v>9219</v>
      </c>
      <c r="L2552" s="468" t="s">
        <v>2354</v>
      </c>
    </row>
    <row r="2553" spans="1:12" x14ac:dyDescent="0.25">
      <c r="A2553" s="468" t="s">
        <v>220</v>
      </c>
      <c r="B2553" s="468" t="s">
        <v>2351</v>
      </c>
      <c r="C2553" s="468" t="s">
        <v>3481</v>
      </c>
      <c r="D2553" s="468" t="s">
        <v>3482</v>
      </c>
      <c r="F2553" s="470">
        <v>3</v>
      </c>
      <c r="G2553" s="468">
        <v>16.520399999999999</v>
      </c>
      <c r="H2553" s="479">
        <v>49.561199999999999</v>
      </c>
      <c r="I2553" s="468" t="s">
        <v>9218</v>
      </c>
      <c r="J2553" s="468" t="s">
        <v>9219</v>
      </c>
      <c r="K2553" s="468" t="s">
        <v>9219</v>
      </c>
      <c r="L2553" s="468" t="s">
        <v>2354</v>
      </c>
    </row>
    <row r="2554" spans="1:12" x14ac:dyDescent="0.25">
      <c r="A2554" s="468" t="s">
        <v>220</v>
      </c>
      <c r="B2554" s="468" t="s">
        <v>2351</v>
      </c>
      <c r="C2554" s="468" t="s">
        <v>3483</v>
      </c>
      <c r="D2554" s="468" t="s">
        <v>3484</v>
      </c>
      <c r="F2554" s="470">
        <v>3</v>
      </c>
      <c r="G2554" s="468">
        <v>4.3019999999999996</v>
      </c>
      <c r="H2554" s="479">
        <v>12.905999999999999</v>
      </c>
      <c r="I2554" s="468" t="s">
        <v>9218</v>
      </c>
      <c r="J2554" s="468" t="s">
        <v>9219</v>
      </c>
      <c r="K2554" s="468" t="s">
        <v>9219</v>
      </c>
      <c r="L2554" s="468" t="s">
        <v>2354</v>
      </c>
    </row>
    <row r="2555" spans="1:12" x14ac:dyDescent="0.25">
      <c r="A2555" s="468" t="s">
        <v>220</v>
      </c>
      <c r="B2555" s="468" t="s">
        <v>2351</v>
      </c>
      <c r="C2555" s="468" t="s">
        <v>3485</v>
      </c>
      <c r="D2555" s="468" t="s">
        <v>3486</v>
      </c>
      <c r="F2555" s="470">
        <v>4</v>
      </c>
      <c r="G2555" s="468">
        <v>16.832000000000001</v>
      </c>
      <c r="H2555" s="479">
        <v>67.328000000000003</v>
      </c>
      <c r="I2555" s="468" t="s">
        <v>9218</v>
      </c>
      <c r="J2555" s="468" t="s">
        <v>9219</v>
      </c>
      <c r="K2555" s="468" t="s">
        <v>9219</v>
      </c>
      <c r="L2555" s="468" t="s">
        <v>2354</v>
      </c>
    </row>
    <row r="2556" spans="1:12" x14ac:dyDescent="0.25">
      <c r="A2556" s="468" t="s">
        <v>220</v>
      </c>
      <c r="B2556" s="468" t="s">
        <v>2351</v>
      </c>
      <c r="C2556" s="468" t="s">
        <v>3487</v>
      </c>
      <c r="D2556" s="468" t="s">
        <v>3488</v>
      </c>
      <c r="F2556" s="470">
        <v>1</v>
      </c>
      <c r="G2556" s="468">
        <v>15.4819</v>
      </c>
      <c r="H2556" s="479">
        <v>15.4819</v>
      </c>
      <c r="I2556" s="468" t="s">
        <v>9218</v>
      </c>
      <c r="J2556" s="468" t="s">
        <v>9219</v>
      </c>
      <c r="K2556" s="468" t="s">
        <v>9219</v>
      </c>
      <c r="L2556" s="468" t="s">
        <v>2354</v>
      </c>
    </row>
    <row r="2557" spans="1:12" x14ac:dyDescent="0.25">
      <c r="A2557" s="468" t="s">
        <v>220</v>
      </c>
      <c r="B2557" s="468" t="s">
        <v>2351</v>
      </c>
      <c r="C2557" s="468" t="s">
        <v>3489</v>
      </c>
      <c r="D2557" s="468" t="s">
        <v>3490</v>
      </c>
      <c r="F2557" s="470">
        <v>2</v>
      </c>
      <c r="G2557" s="468">
        <v>0.81430000000000002</v>
      </c>
      <c r="H2557" s="479">
        <v>1.6286</v>
      </c>
      <c r="I2557" s="468" t="s">
        <v>9218</v>
      </c>
      <c r="J2557" s="468" t="s">
        <v>9219</v>
      </c>
      <c r="K2557" s="468" t="s">
        <v>9219</v>
      </c>
      <c r="L2557" s="468" t="s">
        <v>2354</v>
      </c>
    </row>
    <row r="2558" spans="1:12" x14ac:dyDescent="0.25">
      <c r="A2558" s="468" t="s">
        <v>220</v>
      </c>
      <c r="B2558" s="468" t="s">
        <v>2351</v>
      </c>
      <c r="C2558" s="468" t="s">
        <v>3491</v>
      </c>
      <c r="D2558" s="468" t="s">
        <v>3492</v>
      </c>
      <c r="F2558" s="470">
        <v>2</v>
      </c>
      <c r="G2558" s="468">
        <v>11.490237762237765</v>
      </c>
      <c r="H2558" s="479">
        <v>22.98047552447553</v>
      </c>
      <c r="I2558" s="468" t="s">
        <v>9218</v>
      </c>
      <c r="J2558" s="468" t="s">
        <v>9219</v>
      </c>
      <c r="K2558" s="468" t="s">
        <v>9219</v>
      </c>
      <c r="L2558" s="468" t="s">
        <v>2354</v>
      </c>
    </row>
    <row r="2559" spans="1:12" x14ac:dyDescent="0.25">
      <c r="A2559" s="468" t="s">
        <v>220</v>
      </c>
      <c r="B2559" s="468" t="s">
        <v>2351</v>
      </c>
      <c r="C2559" s="468" t="s">
        <v>3491</v>
      </c>
      <c r="D2559" s="468" t="s">
        <v>5354</v>
      </c>
      <c r="F2559" s="470">
        <v>3</v>
      </c>
      <c r="G2559" s="468">
        <v>11.490237762237765</v>
      </c>
      <c r="H2559" s="479">
        <v>34.470713286713291</v>
      </c>
      <c r="I2559" s="468" t="s">
        <v>9218</v>
      </c>
      <c r="J2559" s="468" t="s">
        <v>9219</v>
      </c>
      <c r="K2559" s="468" t="s">
        <v>9219</v>
      </c>
      <c r="L2559" s="468" t="s">
        <v>2354</v>
      </c>
    </row>
    <row r="2560" spans="1:12" x14ac:dyDescent="0.25">
      <c r="A2560" s="468" t="s">
        <v>220</v>
      </c>
      <c r="B2560" s="468" t="s">
        <v>2351</v>
      </c>
      <c r="C2560" s="468" t="s">
        <v>6482</v>
      </c>
      <c r="D2560" s="468" t="s">
        <v>6483</v>
      </c>
      <c r="F2560" s="470">
        <v>4</v>
      </c>
      <c r="G2560" s="468">
        <v>26.393000000000001</v>
      </c>
      <c r="H2560" s="479">
        <v>105.572</v>
      </c>
      <c r="I2560" s="468" t="s">
        <v>9218</v>
      </c>
      <c r="J2560" s="468" t="s">
        <v>9219</v>
      </c>
      <c r="K2560" s="468" t="s">
        <v>9219</v>
      </c>
      <c r="L2560" s="468" t="s">
        <v>2354</v>
      </c>
    </row>
    <row r="2561" spans="1:12" x14ac:dyDescent="0.25">
      <c r="A2561" s="468" t="s">
        <v>220</v>
      </c>
      <c r="B2561" s="468" t="s">
        <v>2351</v>
      </c>
      <c r="C2561" s="468" t="s">
        <v>3495</v>
      </c>
      <c r="D2561" s="468" t="s">
        <v>3496</v>
      </c>
      <c r="F2561" s="470">
        <v>15</v>
      </c>
      <c r="G2561" s="468">
        <v>2.3460000000000001</v>
      </c>
      <c r="H2561" s="479">
        <v>35.19</v>
      </c>
      <c r="I2561" s="468" t="s">
        <v>9218</v>
      </c>
      <c r="J2561" s="468" t="s">
        <v>9219</v>
      </c>
      <c r="K2561" s="468" t="s">
        <v>9219</v>
      </c>
      <c r="L2561" s="468" t="s">
        <v>2354</v>
      </c>
    </row>
    <row r="2562" spans="1:12" x14ac:dyDescent="0.25">
      <c r="A2562" s="468" t="s">
        <v>220</v>
      </c>
      <c r="B2562" s="468" t="s">
        <v>2351</v>
      </c>
      <c r="C2562" s="468" t="s">
        <v>3497</v>
      </c>
      <c r="D2562" s="468" t="s">
        <v>3498</v>
      </c>
      <c r="F2562" s="470">
        <v>2</v>
      </c>
      <c r="G2562" s="468">
        <v>8.5</v>
      </c>
      <c r="H2562" s="479">
        <v>17</v>
      </c>
      <c r="I2562" s="468" t="s">
        <v>9218</v>
      </c>
      <c r="J2562" s="468" t="s">
        <v>9219</v>
      </c>
      <c r="K2562" s="468" t="s">
        <v>9219</v>
      </c>
      <c r="L2562" s="468" t="s">
        <v>2354</v>
      </c>
    </row>
    <row r="2563" spans="1:12" x14ac:dyDescent="0.25">
      <c r="A2563" s="468" t="s">
        <v>220</v>
      </c>
      <c r="B2563" s="468" t="s">
        <v>2351</v>
      </c>
      <c r="C2563" s="468" t="s">
        <v>3499</v>
      </c>
      <c r="D2563" s="468" t="s">
        <v>3500</v>
      </c>
      <c r="F2563" s="470">
        <v>5</v>
      </c>
      <c r="G2563" s="468">
        <v>3.7376999999999998</v>
      </c>
      <c r="H2563" s="479">
        <v>18.688499999999998</v>
      </c>
      <c r="I2563" s="468" t="s">
        <v>9218</v>
      </c>
      <c r="J2563" s="468" t="s">
        <v>9219</v>
      </c>
      <c r="K2563" s="468" t="s">
        <v>9219</v>
      </c>
      <c r="L2563" s="468" t="s">
        <v>2354</v>
      </c>
    </row>
    <row r="2564" spans="1:12" x14ac:dyDescent="0.25">
      <c r="A2564" s="468" t="s">
        <v>220</v>
      </c>
      <c r="B2564" s="468" t="s">
        <v>2351</v>
      </c>
      <c r="C2564" s="468" t="s">
        <v>3501</v>
      </c>
      <c r="D2564" s="468" t="s">
        <v>3502</v>
      </c>
      <c r="F2564" s="470">
        <v>8</v>
      </c>
      <c r="G2564" s="468">
        <v>4.6280000000000001</v>
      </c>
      <c r="H2564" s="479">
        <v>37.024000000000001</v>
      </c>
      <c r="I2564" s="468" t="s">
        <v>9218</v>
      </c>
      <c r="J2564" s="468" t="s">
        <v>9219</v>
      </c>
      <c r="K2564" s="468" t="s">
        <v>9219</v>
      </c>
      <c r="L2564" s="468" t="s">
        <v>2354</v>
      </c>
    </row>
    <row r="2565" spans="1:12" x14ac:dyDescent="0.25">
      <c r="A2565" s="468" t="s">
        <v>220</v>
      </c>
      <c r="B2565" s="468" t="s">
        <v>2351</v>
      </c>
      <c r="C2565" s="468" t="s">
        <v>3503</v>
      </c>
      <c r="D2565" s="468" t="s">
        <v>3504</v>
      </c>
      <c r="F2565" s="470">
        <v>9</v>
      </c>
      <c r="G2565" s="468">
        <v>2.23</v>
      </c>
      <c r="H2565" s="479">
        <v>20.07</v>
      </c>
      <c r="I2565" s="468" t="s">
        <v>9218</v>
      </c>
      <c r="J2565" s="468" t="s">
        <v>9219</v>
      </c>
      <c r="K2565" s="468" t="s">
        <v>9219</v>
      </c>
      <c r="L2565" s="468" t="s">
        <v>2354</v>
      </c>
    </row>
    <row r="2566" spans="1:12" x14ac:dyDescent="0.25">
      <c r="A2566" s="468" t="s">
        <v>220</v>
      </c>
      <c r="B2566" s="468" t="s">
        <v>2351</v>
      </c>
      <c r="C2566" s="468" t="s">
        <v>3505</v>
      </c>
      <c r="D2566" s="468" t="s">
        <v>3506</v>
      </c>
      <c r="F2566" s="470">
        <v>1</v>
      </c>
      <c r="G2566" s="468">
        <v>11.22</v>
      </c>
      <c r="H2566" s="479">
        <v>11.22</v>
      </c>
      <c r="I2566" s="468" t="s">
        <v>9218</v>
      </c>
      <c r="J2566" s="468" t="s">
        <v>9219</v>
      </c>
      <c r="K2566" s="468" t="s">
        <v>9219</v>
      </c>
      <c r="L2566" s="468" t="s">
        <v>2354</v>
      </c>
    </row>
    <row r="2567" spans="1:12" x14ac:dyDescent="0.25">
      <c r="A2567" s="468" t="s">
        <v>220</v>
      </c>
      <c r="B2567" s="468" t="s">
        <v>2351</v>
      </c>
      <c r="C2567" s="468" t="s">
        <v>3507</v>
      </c>
      <c r="D2567" s="468" t="s">
        <v>3508</v>
      </c>
      <c r="F2567" s="470">
        <v>2</v>
      </c>
      <c r="G2567" s="468">
        <v>8.8308</v>
      </c>
      <c r="H2567" s="479">
        <v>17.6616</v>
      </c>
      <c r="I2567" s="468" t="s">
        <v>9218</v>
      </c>
      <c r="J2567" s="468" t="s">
        <v>9219</v>
      </c>
      <c r="K2567" s="468" t="s">
        <v>9219</v>
      </c>
      <c r="L2567" s="468" t="s">
        <v>2354</v>
      </c>
    </row>
    <row r="2568" spans="1:12" x14ac:dyDescent="0.25">
      <c r="A2568" s="468" t="s">
        <v>220</v>
      </c>
      <c r="B2568" s="468" t="s">
        <v>2351</v>
      </c>
      <c r="C2568" s="468" t="s">
        <v>3509</v>
      </c>
      <c r="D2568" s="468" t="s">
        <v>3510</v>
      </c>
      <c r="F2568" s="470">
        <v>1</v>
      </c>
      <c r="G2568" s="468">
        <v>37.822742857142863</v>
      </c>
      <c r="H2568" s="479">
        <v>37.822742857142863</v>
      </c>
      <c r="I2568" s="468" t="s">
        <v>9218</v>
      </c>
      <c r="J2568" s="468" t="s">
        <v>9219</v>
      </c>
      <c r="K2568" s="468" t="s">
        <v>9219</v>
      </c>
      <c r="L2568" s="468" t="s">
        <v>2354</v>
      </c>
    </row>
    <row r="2569" spans="1:12" x14ac:dyDescent="0.25">
      <c r="A2569" s="468" t="s">
        <v>220</v>
      </c>
      <c r="B2569" s="468" t="s">
        <v>2351</v>
      </c>
      <c r="C2569" s="468" t="s">
        <v>3511</v>
      </c>
      <c r="D2569" s="468" t="s">
        <v>3512</v>
      </c>
      <c r="F2569" s="470">
        <v>1</v>
      </c>
      <c r="G2569" s="468">
        <v>40.950000000000003</v>
      </c>
      <c r="H2569" s="479">
        <v>40.950000000000003</v>
      </c>
      <c r="I2569" s="468" t="s">
        <v>9218</v>
      </c>
      <c r="J2569" s="468" t="s">
        <v>9219</v>
      </c>
      <c r="K2569" s="468" t="s">
        <v>9219</v>
      </c>
      <c r="L2569" s="468" t="s">
        <v>2354</v>
      </c>
    </row>
    <row r="2570" spans="1:12" x14ac:dyDescent="0.25">
      <c r="A2570" s="468" t="s">
        <v>220</v>
      </c>
      <c r="B2570" s="468" t="s">
        <v>2351</v>
      </c>
      <c r="C2570" s="468" t="s">
        <v>3513</v>
      </c>
      <c r="D2570" s="468" t="s">
        <v>3514</v>
      </c>
      <c r="F2570" s="470">
        <v>2</v>
      </c>
      <c r="G2570" s="468">
        <v>2.7709999999999999</v>
      </c>
      <c r="H2570" s="479">
        <v>5.5419999999999998</v>
      </c>
      <c r="I2570" s="468" t="s">
        <v>9218</v>
      </c>
      <c r="J2570" s="468" t="s">
        <v>9219</v>
      </c>
      <c r="K2570" s="468" t="s">
        <v>9219</v>
      </c>
      <c r="L2570" s="468" t="s">
        <v>2354</v>
      </c>
    </row>
    <row r="2571" spans="1:12" x14ac:dyDescent="0.25">
      <c r="A2571" s="468" t="s">
        <v>220</v>
      </c>
      <c r="B2571" s="468" t="s">
        <v>2351</v>
      </c>
      <c r="C2571" s="468" t="s">
        <v>3515</v>
      </c>
      <c r="D2571" s="468" t="s">
        <v>3516</v>
      </c>
      <c r="F2571" s="470">
        <v>1</v>
      </c>
      <c r="G2571" s="468">
        <v>16.531649999999999</v>
      </c>
      <c r="H2571" s="479">
        <v>16.531649999999999</v>
      </c>
      <c r="I2571" s="468" t="s">
        <v>9218</v>
      </c>
      <c r="J2571" s="468" t="s">
        <v>9219</v>
      </c>
      <c r="K2571" s="468" t="s">
        <v>9219</v>
      </c>
      <c r="L2571" s="468" t="s">
        <v>2354</v>
      </c>
    </row>
    <row r="2572" spans="1:12" x14ac:dyDescent="0.25">
      <c r="A2572" s="468" t="s">
        <v>220</v>
      </c>
      <c r="B2572" s="468" t="s">
        <v>2351</v>
      </c>
      <c r="C2572" s="468" t="s">
        <v>3517</v>
      </c>
      <c r="D2572" s="468" t="s">
        <v>3518</v>
      </c>
      <c r="F2572" s="470">
        <v>12</v>
      </c>
      <c r="G2572" s="468">
        <v>2.0655000000000001</v>
      </c>
      <c r="H2572" s="479">
        <v>24.786000000000001</v>
      </c>
      <c r="I2572" s="468" t="s">
        <v>9218</v>
      </c>
      <c r="J2572" s="468" t="s">
        <v>9219</v>
      </c>
      <c r="K2572" s="468" t="s">
        <v>9219</v>
      </c>
      <c r="L2572" s="468" t="s">
        <v>2354</v>
      </c>
    </row>
    <row r="2573" spans="1:12" x14ac:dyDescent="0.25">
      <c r="A2573" s="468" t="s">
        <v>220</v>
      </c>
      <c r="B2573" s="468" t="s">
        <v>2351</v>
      </c>
      <c r="C2573" s="468" t="s">
        <v>3519</v>
      </c>
      <c r="D2573" s="468" t="s">
        <v>3520</v>
      </c>
      <c r="F2573" s="470">
        <v>2</v>
      </c>
      <c r="G2573" s="468">
        <v>2.1383999999999999</v>
      </c>
      <c r="H2573" s="479">
        <v>4.2767999999999997</v>
      </c>
      <c r="I2573" s="468" t="s">
        <v>9218</v>
      </c>
      <c r="J2573" s="468" t="s">
        <v>9219</v>
      </c>
      <c r="K2573" s="468" t="s">
        <v>9219</v>
      </c>
      <c r="L2573" s="468" t="s">
        <v>2354</v>
      </c>
    </row>
    <row r="2574" spans="1:12" x14ac:dyDescent="0.25">
      <c r="A2574" s="468" t="s">
        <v>220</v>
      </c>
      <c r="B2574" s="468" t="s">
        <v>2351</v>
      </c>
      <c r="C2574" s="468" t="s">
        <v>3521</v>
      </c>
      <c r="D2574" s="468" t="s">
        <v>3522</v>
      </c>
      <c r="F2574" s="470">
        <v>7</v>
      </c>
      <c r="G2574" s="468">
        <v>4.0460000000000003</v>
      </c>
      <c r="H2574" s="479">
        <v>28.322000000000003</v>
      </c>
      <c r="I2574" s="468" t="s">
        <v>9218</v>
      </c>
      <c r="J2574" s="468" t="s">
        <v>9219</v>
      </c>
      <c r="K2574" s="468" t="s">
        <v>9219</v>
      </c>
      <c r="L2574" s="468" t="s">
        <v>2354</v>
      </c>
    </row>
    <row r="2575" spans="1:12" x14ac:dyDescent="0.25">
      <c r="A2575" s="468" t="s">
        <v>220</v>
      </c>
      <c r="B2575" s="468" t="s">
        <v>2351</v>
      </c>
      <c r="C2575" s="468" t="s">
        <v>3523</v>
      </c>
      <c r="D2575" s="468" t="s">
        <v>3524</v>
      </c>
      <c r="F2575" s="470">
        <v>12</v>
      </c>
      <c r="G2575" s="468">
        <v>1.296</v>
      </c>
      <c r="H2575" s="479">
        <v>15.552</v>
      </c>
      <c r="I2575" s="468" t="s">
        <v>9218</v>
      </c>
      <c r="J2575" s="468" t="s">
        <v>9219</v>
      </c>
      <c r="K2575" s="468" t="s">
        <v>9219</v>
      </c>
      <c r="L2575" s="468" t="s">
        <v>2354</v>
      </c>
    </row>
    <row r="2576" spans="1:12" x14ac:dyDescent="0.25">
      <c r="A2576" s="468" t="s">
        <v>220</v>
      </c>
      <c r="B2576" s="468" t="s">
        <v>2351</v>
      </c>
      <c r="C2576" s="468" t="s">
        <v>3525</v>
      </c>
      <c r="D2576" s="468" t="s">
        <v>3526</v>
      </c>
      <c r="F2576" s="470">
        <v>7</v>
      </c>
      <c r="G2576" s="468">
        <v>0.80800000000000005</v>
      </c>
      <c r="H2576" s="479">
        <v>5.6560000000000006</v>
      </c>
      <c r="I2576" s="468" t="s">
        <v>9218</v>
      </c>
      <c r="J2576" s="468" t="s">
        <v>9219</v>
      </c>
      <c r="K2576" s="468" t="s">
        <v>9219</v>
      </c>
      <c r="L2576" s="468" t="s">
        <v>2354</v>
      </c>
    </row>
    <row r="2577" spans="1:12" x14ac:dyDescent="0.25">
      <c r="A2577" s="468" t="s">
        <v>220</v>
      </c>
      <c r="B2577" s="468" t="s">
        <v>2351</v>
      </c>
      <c r="C2577" s="468" t="s">
        <v>3527</v>
      </c>
      <c r="D2577" s="468" t="s">
        <v>3528</v>
      </c>
      <c r="F2577" s="470">
        <v>1</v>
      </c>
      <c r="G2577" s="468">
        <v>1.0660000000000001</v>
      </c>
      <c r="H2577" s="479">
        <v>1.0660000000000001</v>
      </c>
      <c r="I2577" s="468" t="s">
        <v>9218</v>
      </c>
      <c r="J2577" s="468" t="s">
        <v>9219</v>
      </c>
      <c r="K2577" s="468" t="s">
        <v>9219</v>
      </c>
      <c r="L2577" s="468" t="s">
        <v>2354</v>
      </c>
    </row>
    <row r="2578" spans="1:12" x14ac:dyDescent="0.25">
      <c r="A2578" s="468" t="s">
        <v>220</v>
      </c>
      <c r="B2578" s="468" t="s">
        <v>2351</v>
      </c>
      <c r="C2578" s="468" t="s">
        <v>2367</v>
      </c>
      <c r="D2578" s="468" t="s">
        <v>2368</v>
      </c>
      <c r="F2578" s="470">
        <v>6</v>
      </c>
      <c r="G2578" s="468">
        <v>1.78</v>
      </c>
      <c r="H2578" s="479">
        <v>10.68</v>
      </c>
      <c r="I2578" s="468" t="s">
        <v>9218</v>
      </c>
      <c r="J2578" s="468" t="s">
        <v>9219</v>
      </c>
      <c r="K2578" s="468" t="s">
        <v>9219</v>
      </c>
      <c r="L2578" s="468" t="s">
        <v>2354</v>
      </c>
    </row>
    <row r="2579" spans="1:12" x14ac:dyDescent="0.25">
      <c r="A2579" s="468" t="s">
        <v>220</v>
      </c>
      <c r="B2579" s="468" t="s">
        <v>2351</v>
      </c>
      <c r="C2579" s="468" t="s">
        <v>3529</v>
      </c>
      <c r="D2579" s="468" t="s">
        <v>3530</v>
      </c>
      <c r="F2579" s="470">
        <v>6</v>
      </c>
      <c r="G2579" s="468">
        <v>3.97</v>
      </c>
      <c r="H2579" s="479">
        <v>23.82</v>
      </c>
      <c r="I2579" s="468" t="s">
        <v>9218</v>
      </c>
      <c r="J2579" s="468" t="s">
        <v>9219</v>
      </c>
      <c r="K2579" s="468" t="s">
        <v>9219</v>
      </c>
      <c r="L2579" s="468" t="s">
        <v>2354</v>
      </c>
    </row>
    <row r="2580" spans="1:12" x14ac:dyDescent="0.25">
      <c r="A2580" s="468" t="s">
        <v>220</v>
      </c>
      <c r="B2580" s="468" t="s">
        <v>2351</v>
      </c>
      <c r="C2580" s="468" t="s">
        <v>3531</v>
      </c>
      <c r="D2580" s="468" t="s">
        <v>3532</v>
      </c>
      <c r="F2580" s="470">
        <v>37</v>
      </c>
      <c r="G2580" s="468">
        <v>0.63154999999999994</v>
      </c>
      <c r="H2580" s="479">
        <v>23.367349999999998</v>
      </c>
      <c r="I2580" s="468" t="s">
        <v>9218</v>
      </c>
      <c r="J2580" s="468" t="s">
        <v>9219</v>
      </c>
      <c r="K2580" s="468" t="s">
        <v>9219</v>
      </c>
      <c r="L2580" s="468" t="s">
        <v>2354</v>
      </c>
    </row>
    <row r="2581" spans="1:12" x14ac:dyDescent="0.25">
      <c r="A2581" s="468" t="s">
        <v>220</v>
      </c>
      <c r="B2581" s="468" t="s">
        <v>2351</v>
      </c>
      <c r="C2581" s="468" t="s">
        <v>3533</v>
      </c>
      <c r="D2581" s="468" t="s">
        <v>3534</v>
      </c>
      <c r="F2581" s="470">
        <v>1</v>
      </c>
      <c r="G2581" s="468">
        <v>1.548</v>
      </c>
      <c r="H2581" s="479">
        <v>1.548</v>
      </c>
      <c r="I2581" s="468" t="s">
        <v>9218</v>
      </c>
      <c r="J2581" s="468" t="s">
        <v>9219</v>
      </c>
      <c r="K2581" s="468" t="s">
        <v>9219</v>
      </c>
      <c r="L2581" s="468" t="s">
        <v>2354</v>
      </c>
    </row>
    <row r="2582" spans="1:12" x14ac:dyDescent="0.25">
      <c r="A2582" s="468" t="s">
        <v>220</v>
      </c>
      <c r="B2582" s="468" t="s">
        <v>2351</v>
      </c>
      <c r="C2582" s="468" t="s">
        <v>3535</v>
      </c>
      <c r="D2582" s="468" t="s">
        <v>3536</v>
      </c>
      <c r="F2582" s="470">
        <v>34</v>
      </c>
      <c r="G2582" s="468">
        <v>6.7829999999999995</v>
      </c>
      <c r="H2582" s="479">
        <v>230.62199999999999</v>
      </c>
      <c r="I2582" s="468" t="s">
        <v>9218</v>
      </c>
      <c r="J2582" s="468" t="s">
        <v>9219</v>
      </c>
      <c r="K2582" s="468" t="s">
        <v>9219</v>
      </c>
      <c r="L2582" s="468" t="s">
        <v>2354</v>
      </c>
    </row>
    <row r="2583" spans="1:12" x14ac:dyDescent="0.25">
      <c r="A2583" s="468" t="s">
        <v>220</v>
      </c>
      <c r="B2583" s="468" t="s">
        <v>2351</v>
      </c>
      <c r="C2583" s="468" t="s">
        <v>5323</v>
      </c>
      <c r="D2583" s="468" t="s">
        <v>5324</v>
      </c>
      <c r="F2583" s="470">
        <v>2</v>
      </c>
      <c r="G2583" s="468">
        <v>19.437000000000001</v>
      </c>
      <c r="H2583" s="479">
        <v>38.874000000000002</v>
      </c>
      <c r="I2583" s="468" t="s">
        <v>9218</v>
      </c>
      <c r="J2583" s="468" t="s">
        <v>9219</v>
      </c>
      <c r="K2583" s="468" t="s">
        <v>9219</v>
      </c>
      <c r="L2583" s="468" t="s">
        <v>2354</v>
      </c>
    </row>
    <row r="2584" spans="1:12" x14ac:dyDescent="0.25">
      <c r="A2584" s="468" t="s">
        <v>220</v>
      </c>
      <c r="B2584" s="468" t="s">
        <v>2351</v>
      </c>
      <c r="C2584" s="468" t="s">
        <v>3537</v>
      </c>
      <c r="D2584" s="468" t="s">
        <v>3538</v>
      </c>
      <c r="F2584" s="470">
        <v>2</v>
      </c>
      <c r="G2584" s="468">
        <v>9.7370000000000001</v>
      </c>
      <c r="H2584" s="479">
        <v>19.474</v>
      </c>
      <c r="I2584" s="468" t="s">
        <v>9218</v>
      </c>
      <c r="J2584" s="468" t="s">
        <v>9219</v>
      </c>
      <c r="K2584" s="468" t="s">
        <v>9219</v>
      </c>
      <c r="L2584" s="468" t="s">
        <v>2354</v>
      </c>
    </row>
    <row r="2585" spans="1:12" x14ac:dyDescent="0.25">
      <c r="A2585" s="468" t="s">
        <v>220</v>
      </c>
      <c r="B2585" s="468" t="s">
        <v>2351</v>
      </c>
      <c r="C2585" s="468" t="s">
        <v>3539</v>
      </c>
      <c r="D2585" s="468" t="s">
        <v>3540</v>
      </c>
      <c r="F2585" s="470">
        <v>5</v>
      </c>
      <c r="G2585" s="468">
        <v>11.917</v>
      </c>
      <c r="H2585" s="479">
        <v>59.585000000000001</v>
      </c>
      <c r="I2585" s="468" t="s">
        <v>9218</v>
      </c>
      <c r="J2585" s="468" t="s">
        <v>9219</v>
      </c>
      <c r="K2585" s="468" t="s">
        <v>9219</v>
      </c>
      <c r="L2585" s="468" t="s">
        <v>2354</v>
      </c>
    </row>
    <row r="2586" spans="1:12" x14ac:dyDescent="0.25">
      <c r="A2586" s="468" t="s">
        <v>220</v>
      </c>
      <c r="B2586" s="468" t="s">
        <v>2351</v>
      </c>
      <c r="C2586" s="468" t="s">
        <v>3541</v>
      </c>
      <c r="D2586" s="468" t="s">
        <v>3542</v>
      </c>
      <c r="F2586" s="470">
        <v>4</v>
      </c>
      <c r="G2586" s="468">
        <v>3.2937500000000002</v>
      </c>
      <c r="H2586" s="479">
        <v>13.175000000000001</v>
      </c>
      <c r="I2586" s="468" t="s">
        <v>9218</v>
      </c>
      <c r="J2586" s="468" t="s">
        <v>9219</v>
      </c>
      <c r="K2586" s="468" t="s">
        <v>9219</v>
      </c>
      <c r="L2586" s="468" t="s">
        <v>2354</v>
      </c>
    </row>
    <row r="2587" spans="1:12" x14ac:dyDescent="0.25">
      <c r="A2587" s="468" t="s">
        <v>220</v>
      </c>
      <c r="B2587" s="468" t="s">
        <v>2351</v>
      </c>
      <c r="C2587" s="468" t="s">
        <v>3601</v>
      </c>
      <c r="D2587" s="468" t="s">
        <v>3602</v>
      </c>
      <c r="F2587" s="470">
        <v>2</v>
      </c>
      <c r="G2587" s="468">
        <v>8.75</v>
      </c>
      <c r="H2587" s="479">
        <v>17.5</v>
      </c>
      <c r="I2587" s="468" t="s">
        <v>9218</v>
      </c>
      <c r="J2587" s="468" t="s">
        <v>9219</v>
      </c>
      <c r="K2587" s="468" t="s">
        <v>9219</v>
      </c>
      <c r="L2587" s="468" t="s">
        <v>2354</v>
      </c>
    </row>
    <row r="2588" spans="1:12" x14ac:dyDescent="0.25">
      <c r="A2588" s="468" t="s">
        <v>220</v>
      </c>
      <c r="B2588" s="468" t="s">
        <v>2351</v>
      </c>
      <c r="C2588" s="468" t="s">
        <v>3607</v>
      </c>
      <c r="D2588" s="468" t="s">
        <v>3608</v>
      </c>
      <c r="F2588" s="470">
        <v>6</v>
      </c>
      <c r="G2588" s="468">
        <v>14.757300000000001</v>
      </c>
      <c r="H2588" s="479">
        <v>88.543800000000005</v>
      </c>
      <c r="I2588" s="468" t="s">
        <v>9218</v>
      </c>
      <c r="J2588" s="468" t="s">
        <v>9219</v>
      </c>
      <c r="K2588" s="468" t="s">
        <v>9219</v>
      </c>
      <c r="L2588" s="468" t="s">
        <v>2354</v>
      </c>
    </row>
    <row r="2589" spans="1:12" x14ac:dyDescent="0.25">
      <c r="A2589" s="468" t="s">
        <v>220</v>
      </c>
      <c r="B2589" s="468" t="s">
        <v>2351</v>
      </c>
      <c r="C2589" s="468" t="s">
        <v>5327</v>
      </c>
      <c r="D2589" s="468" t="s">
        <v>5328</v>
      </c>
      <c r="F2589" s="470">
        <v>3</v>
      </c>
      <c r="G2589" s="468">
        <v>3.8759999999999999</v>
      </c>
      <c r="H2589" s="479">
        <v>11.628</v>
      </c>
      <c r="I2589" s="468" t="s">
        <v>9218</v>
      </c>
      <c r="J2589" s="468" t="s">
        <v>9219</v>
      </c>
      <c r="K2589" s="468" t="s">
        <v>9219</v>
      </c>
      <c r="L2589" s="468" t="s">
        <v>2354</v>
      </c>
    </row>
    <row r="2590" spans="1:12" x14ac:dyDescent="0.25">
      <c r="A2590" s="468" t="s">
        <v>220</v>
      </c>
      <c r="B2590" s="468" t="s">
        <v>2351</v>
      </c>
      <c r="C2590" s="468" t="s">
        <v>5325</v>
      </c>
      <c r="D2590" s="468" t="s">
        <v>5326</v>
      </c>
      <c r="F2590" s="470">
        <v>4</v>
      </c>
      <c r="G2590" s="468">
        <v>5.0270000000000001</v>
      </c>
      <c r="H2590" s="479">
        <v>20.108000000000001</v>
      </c>
      <c r="I2590" s="468" t="s">
        <v>9218</v>
      </c>
      <c r="J2590" s="468" t="s">
        <v>9219</v>
      </c>
      <c r="K2590" s="468" t="s">
        <v>9219</v>
      </c>
      <c r="L2590" s="468" t="s">
        <v>2354</v>
      </c>
    </row>
    <row r="2591" spans="1:12" x14ac:dyDescent="0.25">
      <c r="A2591" s="468" t="s">
        <v>220</v>
      </c>
      <c r="B2591" s="468" t="s">
        <v>2351</v>
      </c>
      <c r="C2591" s="468" t="s">
        <v>5364</v>
      </c>
      <c r="D2591" s="468" t="s">
        <v>5365</v>
      </c>
      <c r="F2591" s="470">
        <v>1</v>
      </c>
      <c r="G2591" s="468">
        <v>3.774</v>
      </c>
      <c r="H2591" s="479">
        <v>3.774</v>
      </c>
      <c r="I2591" s="468" t="s">
        <v>9218</v>
      </c>
      <c r="J2591" s="468" t="s">
        <v>9219</v>
      </c>
      <c r="K2591" s="468" t="s">
        <v>9219</v>
      </c>
      <c r="L2591" s="468" t="s">
        <v>2354</v>
      </c>
    </row>
    <row r="2592" spans="1:12" x14ac:dyDescent="0.25">
      <c r="A2592" s="468" t="s">
        <v>220</v>
      </c>
      <c r="B2592" s="468" t="s">
        <v>2351</v>
      </c>
      <c r="C2592" s="468" t="s">
        <v>3657</v>
      </c>
      <c r="D2592" s="468" t="s">
        <v>3658</v>
      </c>
      <c r="F2592" s="470">
        <v>1</v>
      </c>
      <c r="G2592" s="468">
        <v>6.1280000000000001</v>
      </c>
      <c r="H2592" s="479">
        <v>6.1280000000000001</v>
      </c>
      <c r="I2592" s="468" t="s">
        <v>9218</v>
      </c>
      <c r="J2592" s="468" t="s">
        <v>9219</v>
      </c>
      <c r="K2592" s="468" t="s">
        <v>9219</v>
      </c>
      <c r="L2592" s="468" t="s">
        <v>2354</v>
      </c>
    </row>
    <row r="2593" spans="1:12" x14ac:dyDescent="0.25">
      <c r="A2593" s="468" t="s">
        <v>220</v>
      </c>
      <c r="B2593" s="468" t="s">
        <v>2351</v>
      </c>
      <c r="C2593" s="468" t="s">
        <v>3659</v>
      </c>
      <c r="D2593" s="468" t="s">
        <v>3660</v>
      </c>
      <c r="F2593" s="470">
        <v>6</v>
      </c>
      <c r="G2593" s="468">
        <v>3.032</v>
      </c>
      <c r="H2593" s="479">
        <v>18.192</v>
      </c>
      <c r="I2593" s="468" t="s">
        <v>9218</v>
      </c>
      <c r="J2593" s="468" t="s">
        <v>9219</v>
      </c>
      <c r="K2593" s="468" t="s">
        <v>9219</v>
      </c>
      <c r="L2593" s="468" t="s">
        <v>2354</v>
      </c>
    </row>
    <row r="2594" spans="1:12" x14ac:dyDescent="0.25">
      <c r="A2594" s="468" t="s">
        <v>220</v>
      </c>
      <c r="B2594" s="468" t="s">
        <v>2351</v>
      </c>
      <c r="C2594" s="468" t="s">
        <v>3661</v>
      </c>
      <c r="D2594" s="468" t="s">
        <v>3662</v>
      </c>
      <c r="F2594" s="470">
        <v>1</v>
      </c>
      <c r="G2594" s="468">
        <v>2.9</v>
      </c>
      <c r="H2594" s="479">
        <v>2.9</v>
      </c>
      <c r="I2594" s="468" t="s">
        <v>9218</v>
      </c>
      <c r="J2594" s="468" t="s">
        <v>9219</v>
      </c>
      <c r="K2594" s="468" t="s">
        <v>9219</v>
      </c>
      <c r="L2594" s="468" t="s">
        <v>2354</v>
      </c>
    </row>
    <row r="2595" spans="1:12" x14ac:dyDescent="0.25">
      <c r="A2595" s="468" t="s">
        <v>220</v>
      </c>
      <c r="B2595" s="468" t="s">
        <v>2351</v>
      </c>
      <c r="C2595" s="468" t="s">
        <v>3663</v>
      </c>
      <c r="D2595" s="468" t="s">
        <v>3664</v>
      </c>
      <c r="F2595" s="470">
        <v>1</v>
      </c>
      <c r="G2595" s="468">
        <v>3.093</v>
      </c>
      <c r="H2595" s="479">
        <v>3.093</v>
      </c>
      <c r="I2595" s="468" t="s">
        <v>9218</v>
      </c>
      <c r="J2595" s="468" t="s">
        <v>9219</v>
      </c>
      <c r="K2595" s="468" t="s">
        <v>9219</v>
      </c>
      <c r="L2595" s="468" t="s">
        <v>2354</v>
      </c>
    </row>
    <row r="2596" spans="1:12" x14ac:dyDescent="0.25">
      <c r="A2596" s="468" t="s">
        <v>220</v>
      </c>
      <c r="B2596" s="468" t="s">
        <v>2351</v>
      </c>
      <c r="C2596" s="468" t="s">
        <v>5360</v>
      </c>
      <c r="D2596" s="468" t="s">
        <v>5361</v>
      </c>
      <c r="F2596" s="470">
        <v>5</v>
      </c>
      <c r="G2596" s="468">
        <v>1.0920000000000001</v>
      </c>
      <c r="H2596" s="479">
        <v>5.4600000000000009</v>
      </c>
      <c r="I2596" s="468" t="s">
        <v>9218</v>
      </c>
      <c r="J2596" s="468" t="s">
        <v>9219</v>
      </c>
      <c r="K2596" s="468" t="s">
        <v>9219</v>
      </c>
      <c r="L2596" s="468" t="s">
        <v>2354</v>
      </c>
    </row>
    <row r="2597" spans="1:12" x14ac:dyDescent="0.25">
      <c r="A2597" s="468" t="s">
        <v>220</v>
      </c>
      <c r="B2597" s="468" t="s">
        <v>2351</v>
      </c>
      <c r="C2597" s="468" t="s">
        <v>3665</v>
      </c>
      <c r="D2597" s="468" t="s">
        <v>3666</v>
      </c>
      <c r="F2597" s="470">
        <v>3</v>
      </c>
      <c r="G2597" s="468">
        <v>1.83</v>
      </c>
      <c r="H2597" s="479">
        <v>5.49</v>
      </c>
      <c r="I2597" s="468" t="s">
        <v>9218</v>
      </c>
      <c r="J2597" s="468" t="s">
        <v>9219</v>
      </c>
      <c r="K2597" s="468" t="s">
        <v>9219</v>
      </c>
      <c r="L2597" s="468" t="s">
        <v>2354</v>
      </c>
    </row>
    <row r="2598" spans="1:12" x14ac:dyDescent="0.25">
      <c r="A2598" s="468" t="s">
        <v>220</v>
      </c>
      <c r="B2598" s="468" t="s">
        <v>2351</v>
      </c>
      <c r="C2598" s="468" t="s">
        <v>3667</v>
      </c>
      <c r="D2598" s="468" t="s">
        <v>3668</v>
      </c>
      <c r="F2598" s="470">
        <v>9</v>
      </c>
      <c r="G2598" s="468">
        <v>1.4650000000000001</v>
      </c>
      <c r="H2598" s="479">
        <v>13.185</v>
      </c>
      <c r="I2598" s="468" t="s">
        <v>9218</v>
      </c>
      <c r="J2598" s="468" t="s">
        <v>9219</v>
      </c>
      <c r="K2598" s="468" t="s">
        <v>9219</v>
      </c>
      <c r="L2598" s="468" t="s">
        <v>2354</v>
      </c>
    </row>
    <row r="2599" spans="1:12" x14ac:dyDescent="0.25">
      <c r="A2599" s="468" t="s">
        <v>220</v>
      </c>
      <c r="B2599" s="468" t="s">
        <v>2351</v>
      </c>
      <c r="C2599" s="468" t="s">
        <v>3669</v>
      </c>
      <c r="D2599" s="468" t="s">
        <v>3670</v>
      </c>
      <c r="F2599" s="470">
        <v>8</v>
      </c>
      <c r="G2599" s="468">
        <v>1.2078500000000001</v>
      </c>
      <c r="H2599" s="479">
        <v>9.6628000000000007</v>
      </c>
      <c r="I2599" s="468" t="s">
        <v>9218</v>
      </c>
      <c r="J2599" s="468" t="s">
        <v>9219</v>
      </c>
      <c r="K2599" s="468" t="s">
        <v>9219</v>
      </c>
      <c r="L2599" s="468" t="s">
        <v>2354</v>
      </c>
    </row>
    <row r="2600" spans="1:12" x14ac:dyDescent="0.25">
      <c r="A2600" s="468" t="s">
        <v>220</v>
      </c>
      <c r="B2600" s="468" t="s">
        <v>2351</v>
      </c>
      <c r="C2600" s="468" t="s">
        <v>3671</v>
      </c>
      <c r="D2600" s="468" t="s">
        <v>3672</v>
      </c>
      <c r="F2600" s="470">
        <v>2</v>
      </c>
      <c r="G2600" s="468">
        <v>10.659000000000001</v>
      </c>
      <c r="H2600" s="479">
        <v>21.318000000000001</v>
      </c>
      <c r="I2600" s="468" t="s">
        <v>9218</v>
      </c>
      <c r="J2600" s="468" t="s">
        <v>9219</v>
      </c>
      <c r="K2600" s="468" t="s">
        <v>9219</v>
      </c>
      <c r="L2600" s="468" t="s">
        <v>2354</v>
      </c>
    </row>
    <row r="2601" spans="1:12" x14ac:dyDescent="0.25">
      <c r="A2601" s="468" t="s">
        <v>220</v>
      </c>
      <c r="B2601" s="468" t="s">
        <v>2351</v>
      </c>
      <c r="C2601" s="468" t="s">
        <v>3673</v>
      </c>
      <c r="D2601" s="468" t="s">
        <v>3674</v>
      </c>
      <c r="F2601" s="470">
        <v>12</v>
      </c>
      <c r="G2601" s="468">
        <v>11.33095</v>
      </c>
      <c r="H2601" s="479">
        <v>135.97139999999999</v>
      </c>
      <c r="I2601" s="468" t="s">
        <v>9218</v>
      </c>
      <c r="J2601" s="468" t="s">
        <v>9219</v>
      </c>
      <c r="K2601" s="468" t="s">
        <v>9219</v>
      </c>
      <c r="L2601" s="468" t="s">
        <v>2354</v>
      </c>
    </row>
    <row r="2602" spans="1:12" x14ac:dyDescent="0.25">
      <c r="A2602" s="468" t="s">
        <v>220</v>
      </c>
      <c r="B2602" s="468" t="s">
        <v>2351</v>
      </c>
      <c r="C2602" s="468" t="s">
        <v>3675</v>
      </c>
      <c r="D2602" s="468" t="s">
        <v>3676</v>
      </c>
      <c r="F2602" s="470">
        <v>1</v>
      </c>
      <c r="G2602" s="468">
        <v>8.9250000000000007</v>
      </c>
      <c r="H2602" s="479">
        <v>8.9250000000000007</v>
      </c>
      <c r="I2602" s="468" t="s">
        <v>9218</v>
      </c>
      <c r="J2602" s="468" t="s">
        <v>9219</v>
      </c>
      <c r="K2602" s="468" t="s">
        <v>9219</v>
      </c>
      <c r="L2602" s="468" t="s">
        <v>2354</v>
      </c>
    </row>
    <row r="2603" spans="1:12" x14ac:dyDescent="0.25">
      <c r="A2603" s="468" t="s">
        <v>220</v>
      </c>
      <c r="B2603" s="468" t="s">
        <v>2351</v>
      </c>
      <c r="C2603" s="468" t="s">
        <v>3677</v>
      </c>
      <c r="D2603" s="468" t="s">
        <v>3678</v>
      </c>
      <c r="F2603" s="470">
        <v>52</v>
      </c>
      <c r="G2603" s="468">
        <v>2.2440000000000002</v>
      </c>
      <c r="H2603" s="479">
        <v>116.68800000000002</v>
      </c>
      <c r="I2603" s="468" t="s">
        <v>9218</v>
      </c>
      <c r="J2603" s="468" t="s">
        <v>9219</v>
      </c>
      <c r="K2603" s="468" t="s">
        <v>9219</v>
      </c>
      <c r="L2603" s="468" t="s">
        <v>2354</v>
      </c>
    </row>
    <row r="2604" spans="1:12" x14ac:dyDescent="0.25">
      <c r="A2604" s="468" t="s">
        <v>220</v>
      </c>
      <c r="B2604" s="468" t="s">
        <v>2351</v>
      </c>
      <c r="C2604" s="468" t="s">
        <v>3683</v>
      </c>
      <c r="D2604" s="468" t="s">
        <v>3684</v>
      </c>
      <c r="F2604" s="470">
        <v>2</v>
      </c>
      <c r="G2604" s="468">
        <v>2.7029999999999998</v>
      </c>
      <c r="H2604" s="479">
        <v>5.4059999999999997</v>
      </c>
      <c r="I2604" s="468" t="s">
        <v>9218</v>
      </c>
      <c r="J2604" s="468" t="s">
        <v>9219</v>
      </c>
      <c r="K2604" s="468" t="s">
        <v>9219</v>
      </c>
      <c r="L2604" s="468" t="s">
        <v>2354</v>
      </c>
    </row>
    <row r="2605" spans="1:12" x14ac:dyDescent="0.25">
      <c r="A2605" s="468" t="s">
        <v>220</v>
      </c>
      <c r="B2605" s="468" t="s">
        <v>2351</v>
      </c>
      <c r="C2605" s="468" t="s">
        <v>3685</v>
      </c>
      <c r="D2605" s="468" t="s">
        <v>3686</v>
      </c>
      <c r="F2605" s="470">
        <v>5</v>
      </c>
      <c r="G2605" s="468">
        <v>0.42499999999999999</v>
      </c>
      <c r="H2605" s="479">
        <v>2.125</v>
      </c>
      <c r="I2605" s="468" t="s">
        <v>9218</v>
      </c>
      <c r="J2605" s="468" t="s">
        <v>9219</v>
      </c>
      <c r="K2605" s="468" t="s">
        <v>9219</v>
      </c>
      <c r="L2605" s="468" t="s">
        <v>2354</v>
      </c>
    </row>
    <row r="2606" spans="1:12" x14ac:dyDescent="0.25">
      <c r="A2606" s="468" t="s">
        <v>220</v>
      </c>
      <c r="B2606" s="468" t="s">
        <v>2351</v>
      </c>
      <c r="C2606" s="468" t="s">
        <v>3687</v>
      </c>
      <c r="D2606" s="468" t="s">
        <v>3688</v>
      </c>
      <c r="F2606" s="470">
        <v>8</v>
      </c>
      <c r="G2606" s="468">
        <v>2.2970000000000002</v>
      </c>
      <c r="H2606" s="479">
        <v>18.376000000000001</v>
      </c>
      <c r="I2606" s="468" t="s">
        <v>9218</v>
      </c>
      <c r="J2606" s="468" t="s">
        <v>9219</v>
      </c>
      <c r="K2606" s="468" t="s">
        <v>9219</v>
      </c>
      <c r="L2606" s="468" t="s">
        <v>2354</v>
      </c>
    </row>
    <row r="2607" spans="1:12" x14ac:dyDescent="0.25">
      <c r="A2607" s="468" t="s">
        <v>220</v>
      </c>
      <c r="B2607" s="468" t="s">
        <v>2351</v>
      </c>
      <c r="C2607" s="468" t="s">
        <v>3689</v>
      </c>
      <c r="D2607" s="468" t="s">
        <v>3690</v>
      </c>
      <c r="F2607" s="470">
        <v>7</v>
      </c>
      <c r="G2607" s="468">
        <v>1.5469999999999999</v>
      </c>
      <c r="H2607" s="479">
        <v>10.828999999999999</v>
      </c>
      <c r="I2607" s="468" t="s">
        <v>9218</v>
      </c>
      <c r="J2607" s="468" t="s">
        <v>9219</v>
      </c>
      <c r="K2607" s="468" t="s">
        <v>9219</v>
      </c>
      <c r="L2607" s="468" t="s">
        <v>2354</v>
      </c>
    </row>
    <row r="2608" spans="1:12" x14ac:dyDescent="0.25">
      <c r="A2608" s="468" t="s">
        <v>220</v>
      </c>
      <c r="B2608" s="468" t="s">
        <v>2351</v>
      </c>
      <c r="C2608" s="468" t="s">
        <v>3691</v>
      </c>
      <c r="D2608" s="468" t="s">
        <v>3692</v>
      </c>
      <c r="F2608" s="470">
        <v>7</v>
      </c>
      <c r="G2608" s="468">
        <v>1.1140000000000001</v>
      </c>
      <c r="H2608" s="479">
        <v>7.7980000000000009</v>
      </c>
      <c r="I2608" s="468" t="s">
        <v>9218</v>
      </c>
      <c r="J2608" s="468" t="s">
        <v>9219</v>
      </c>
      <c r="K2608" s="468" t="s">
        <v>9219</v>
      </c>
      <c r="L2608" s="468" t="s">
        <v>2354</v>
      </c>
    </row>
    <row r="2609" spans="1:12" x14ac:dyDescent="0.25">
      <c r="A2609" s="468" t="s">
        <v>220</v>
      </c>
      <c r="B2609" s="468" t="s">
        <v>2351</v>
      </c>
      <c r="C2609" s="468" t="s">
        <v>3693</v>
      </c>
      <c r="D2609" s="468" t="s">
        <v>3694</v>
      </c>
      <c r="F2609" s="470">
        <v>8</v>
      </c>
      <c r="G2609" s="468">
        <v>2.7610000000000001</v>
      </c>
      <c r="H2609" s="479">
        <v>22.088000000000001</v>
      </c>
      <c r="I2609" s="468" t="s">
        <v>9218</v>
      </c>
      <c r="J2609" s="468" t="s">
        <v>9219</v>
      </c>
      <c r="K2609" s="468" t="s">
        <v>9219</v>
      </c>
      <c r="L2609" s="468" t="s">
        <v>2354</v>
      </c>
    </row>
    <row r="2610" spans="1:12" x14ac:dyDescent="0.25">
      <c r="A2610" s="468" t="s">
        <v>220</v>
      </c>
      <c r="B2610" s="468" t="s">
        <v>2351</v>
      </c>
      <c r="C2610" s="468" t="s">
        <v>3695</v>
      </c>
      <c r="D2610" s="468" t="s">
        <v>3696</v>
      </c>
      <c r="F2610" s="470">
        <v>3</v>
      </c>
      <c r="G2610" s="468">
        <v>0.42499999999999999</v>
      </c>
      <c r="H2610" s="479">
        <v>1.2749999999999999</v>
      </c>
      <c r="I2610" s="468" t="s">
        <v>9218</v>
      </c>
      <c r="J2610" s="468" t="s">
        <v>9219</v>
      </c>
      <c r="K2610" s="468" t="s">
        <v>9219</v>
      </c>
      <c r="L2610" s="468" t="s">
        <v>2354</v>
      </c>
    </row>
    <row r="2611" spans="1:12" x14ac:dyDescent="0.25">
      <c r="A2611" s="468" t="s">
        <v>220</v>
      </c>
      <c r="B2611" s="468" t="s">
        <v>2351</v>
      </c>
      <c r="C2611" s="468" t="s">
        <v>5348</v>
      </c>
      <c r="D2611" s="468" t="s">
        <v>5349</v>
      </c>
      <c r="F2611" s="470">
        <v>2</v>
      </c>
      <c r="G2611" s="468">
        <v>13.279</v>
      </c>
      <c r="H2611" s="479">
        <v>26.558</v>
      </c>
      <c r="I2611" s="468" t="s">
        <v>9218</v>
      </c>
      <c r="J2611" s="468" t="s">
        <v>9219</v>
      </c>
      <c r="K2611" s="468" t="s">
        <v>9219</v>
      </c>
      <c r="L2611" s="468" t="s">
        <v>2354</v>
      </c>
    </row>
    <row r="2612" spans="1:12" x14ac:dyDescent="0.25">
      <c r="A2612" s="468" t="s">
        <v>220</v>
      </c>
      <c r="B2612" s="468" t="s">
        <v>2351</v>
      </c>
      <c r="C2612" s="468" t="s">
        <v>5362</v>
      </c>
      <c r="D2612" s="468" t="s">
        <v>5363</v>
      </c>
      <c r="F2612" s="470">
        <v>2</v>
      </c>
      <c r="G2612" s="468">
        <v>3.7829999999999999</v>
      </c>
      <c r="H2612" s="479">
        <v>7.5659999999999998</v>
      </c>
      <c r="I2612" s="468" t="s">
        <v>9218</v>
      </c>
      <c r="J2612" s="468" t="s">
        <v>9219</v>
      </c>
      <c r="K2612" s="468" t="s">
        <v>9219</v>
      </c>
      <c r="L2612" s="468" t="s">
        <v>2354</v>
      </c>
    </row>
    <row r="2613" spans="1:12" x14ac:dyDescent="0.25">
      <c r="A2613" s="468" t="s">
        <v>220</v>
      </c>
      <c r="B2613" s="468" t="s">
        <v>2351</v>
      </c>
      <c r="C2613" s="468" t="s">
        <v>3697</v>
      </c>
      <c r="D2613" s="468" t="s">
        <v>3698</v>
      </c>
      <c r="F2613" s="470">
        <v>3</v>
      </c>
      <c r="G2613" s="468">
        <v>4.0999999999999996</v>
      </c>
      <c r="H2613" s="479">
        <v>12.299999999999999</v>
      </c>
      <c r="I2613" s="468" t="s">
        <v>9218</v>
      </c>
      <c r="J2613" s="468" t="s">
        <v>9219</v>
      </c>
      <c r="K2613" s="468" t="s">
        <v>9219</v>
      </c>
      <c r="L2613" s="468" t="s">
        <v>2354</v>
      </c>
    </row>
    <row r="2614" spans="1:12" x14ac:dyDescent="0.25">
      <c r="A2614" s="468" t="s">
        <v>220</v>
      </c>
      <c r="B2614" s="468" t="s">
        <v>2351</v>
      </c>
      <c r="C2614" s="468" t="s">
        <v>3699</v>
      </c>
      <c r="D2614" s="468" t="s">
        <v>3700</v>
      </c>
      <c r="F2614" s="470">
        <v>15</v>
      </c>
      <c r="G2614" s="468">
        <v>3.5</v>
      </c>
      <c r="H2614" s="479">
        <v>52.5</v>
      </c>
      <c r="I2614" s="468" t="s">
        <v>9218</v>
      </c>
      <c r="J2614" s="468" t="s">
        <v>9219</v>
      </c>
      <c r="K2614" s="468" t="s">
        <v>9219</v>
      </c>
      <c r="L2614" s="468" t="s">
        <v>2354</v>
      </c>
    </row>
    <row r="2615" spans="1:12" x14ac:dyDescent="0.25">
      <c r="A2615" s="468" t="s">
        <v>220</v>
      </c>
      <c r="B2615" s="468" t="s">
        <v>2351</v>
      </c>
      <c r="C2615" s="468" t="s">
        <v>3701</v>
      </c>
      <c r="D2615" s="468" t="s">
        <v>3702</v>
      </c>
      <c r="F2615" s="470">
        <v>4</v>
      </c>
      <c r="G2615" s="468">
        <v>3.0479482142857139</v>
      </c>
      <c r="H2615" s="479">
        <v>12.191792857142856</v>
      </c>
      <c r="I2615" s="468" t="s">
        <v>9218</v>
      </c>
      <c r="J2615" s="468" t="s">
        <v>9219</v>
      </c>
      <c r="K2615" s="468" t="s">
        <v>9219</v>
      </c>
      <c r="L2615" s="468" t="s">
        <v>2354</v>
      </c>
    </row>
    <row r="2616" spans="1:12" x14ac:dyDescent="0.25">
      <c r="A2616" s="468" t="s">
        <v>220</v>
      </c>
      <c r="B2616" s="468" t="s">
        <v>2351</v>
      </c>
      <c r="C2616" s="468" t="s">
        <v>3703</v>
      </c>
      <c r="D2616" s="468" t="s">
        <v>3704</v>
      </c>
      <c r="F2616" s="470">
        <v>7</v>
      </c>
      <c r="G2616" s="468">
        <v>1.6575</v>
      </c>
      <c r="H2616" s="479">
        <v>11.602499999999999</v>
      </c>
      <c r="I2616" s="468" t="s">
        <v>9218</v>
      </c>
      <c r="J2616" s="468" t="s">
        <v>9219</v>
      </c>
      <c r="K2616" s="468" t="s">
        <v>9219</v>
      </c>
      <c r="L2616" s="468" t="s">
        <v>2354</v>
      </c>
    </row>
    <row r="2617" spans="1:12" x14ac:dyDescent="0.25">
      <c r="A2617" s="468" t="s">
        <v>220</v>
      </c>
      <c r="B2617" s="468" t="s">
        <v>2351</v>
      </c>
      <c r="C2617" s="468" t="s">
        <v>3705</v>
      </c>
      <c r="D2617" s="468" t="s">
        <v>3706</v>
      </c>
      <c r="F2617" s="470">
        <v>6</v>
      </c>
      <c r="G2617" s="468">
        <v>4.375</v>
      </c>
      <c r="H2617" s="479">
        <v>26.25</v>
      </c>
      <c r="I2617" s="468" t="s">
        <v>9218</v>
      </c>
      <c r="J2617" s="468" t="s">
        <v>9219</v>
      </c>
      <c r="K2617" s="468" t="s">
        <v>9219</v>
      </c>
      <c r="L2617" s="468" t="s">
        <v>2354</v>
      </c>
    </row>
    <row r="2618" spans="1:12" x14ac:dyDescent="0.25">
      <c r="A2618" s="468" t="s">
        <v>220</v>
      </c>
      <c r="B2618" s="468" t="s">
        <v>2351</v>
      </c>
      <c r="C2618" s="468" t="s">
        <v>5343</v>
      </c>
      <c r="D2618" s="468" t="s">
        <v>5344</v>
      </c>
      <c r="F2618" s="470">
        <v>1</v>
      </c>
      <c r="G2618" s="468">
        <v>25.4711</v>
      </c>
      <c r="H2618" s="479">
        <v>25.4711</v>
      </c>
      <c r="I2618" s="468" t="s">
        <v>9218</v>
      </c>
      <c r="J2618" s="468" t="s">
        <v>9219</v>
      </c>
      <c r="K2618" s="468" t="s">
        <v>9219</v>
      </c>
      <c r="L2618" s="468" t="s">
        <v>2354</v>
      </c>
    </row>
    <row r="2619" spans="1:12" x14ac:dyDescent="0.25">
      <c r="A2619" s="468" t="s">
        <v>220</v>
      </c>
      <c r="B2619" s="468" t="s">
        <v>2351</v>
      </c>
      <c r="C2619" s="468" t="s">
        <v>5341</v>
      </c>
      <c r="D2619" s="468" t="s">
        <v>5342</v>
      </c>
      <c r="F2619" s="470">
        <v>4</v>
      </c>
      <c r="G2619" s="468">
        <v>0.86699999999999999</v>
      </c>
      <c r="H2619" s="479">
        <v>3.468</v>
      </c>
      <c r="I2619" s="468" t="s">
        <v>9218</v>
      </c>
      <c r="J2619" s="468" t="s">
        <v>9219</v>
      </c>
      <c r="K2619" s="468" t="s">
        <v>9219</v>
      </c>
      <c r="L2619" s="468" t="s">
        <v>2354</v>
      </c>
    </row>
    <row r="2620" spans="1:12" x14ac:dyDescent="0.25">
      <c r="A2620" s="468" t="s">
        <v>220</v>
      </c>
      <c r="B2620" s="468" t="s">
        <v>2351</v>
      </c>
      <c r="C2620" s="468" t="s">
        <v>3707</v>
      </c>
      <c r="D2620" s="468" t="s">
        <v>3708</v>
      </c>
      <c r="F2620" s="470">
        <v>4</v>
      </c>
      <c r="G2620" s="468">
        <v>15.5799</v>
      </c>
      <c r="H2620" s="479">
        <v>62.319600000000001</v>
      </c>
      <c r="I2620" s="468" t="s">
        <v>9218</v>
      </c>
      <c r="J2620" s="468" t="s">
        <v>9219</v>
      </c>
      <c r="K2620" s="468" t="s">
        <v>9219</v>
      </c>
      <c r="L2620" s="468" t="s">
        <v>2354</v>
      </c>
    </row>
    <row r="2621" spans="1:12" x14ac:dyDescent="0.25">
      <c r="A2621" s="468" t="s">
        <v>220</v>
      </c>
      <c r="B2621" s="468" t="s">
        <v>2351</v>
      </c>
      <c r="C2621" s="468" t="s">
        <v>3709</v>
      </c>
      <c r="D2621" s="468" t="s">
        <v>3710</v>
      </c>
      <c r="F2621" s="470">
        <v>1</v>
      </c>
      <c r="G2621" s="468">
        <v>8.8970000000000002</v>
      </c>
      <c r="H2621" s="479">
        <v>8.8970000000000002</v>
      </c>
      <c r="I2621" s="468" t="s">
        <v>9218</v>
      </c>
      <c r="J2621" s="468" t="s">
        <v>9219</v>
      </c>
      <c r="K2621" s="468" t="s">
        <v>9219</v>
      </c>
      <c r="L2621" s="468" t="s">
        <v>2354</v>
      </c>
    </row>
    <row r="2622" spans="1:12" x14ac:dyDescent="0.25">
      <c r="A2622" s="468" t="s">
        <v>220</v>
      </c>
      <c r="B2622" s="468" t="s">
        <v>2351</v>
      </c>
      <c r="C2622" s="468" t="s">
        <v>3711</v>
      </c>
      <c r="D2622" s="468" t="s">
        <v>3712</v>
      </c>
      <c r="F2622" s="470">
        <v>1</v>
      </c>
      <c r="G2622" s="468">
        <v>1.6575</v>
      </c>
      <c r="H2622" s="479">
        <v>1.6575</v>
      </c>
      <c r="I2622" s="468" t="s">
        <v>9218</v>
      </c>
      <c r="J2622" s="468" t="s">
        <v>9219</v>
      </c>
      <c r="K2622" s="468" t="s">
        <v>9219</v>
      </c>
      <c r="L2622" s="468" t="s">
        <v>2354</v>
      </c>
    </row>
    <row r="2623" spans="1:12" x14ac:dyDescent="0.25">
      <c r="A2623" s="468" t="s">
        <v>220</v>
      </c>
      <c r="B2623" s="468" t="s">
        <v>2351</v>
      </c>
      <c r="C2623" s="468" t="s">
        <v>3713</v>
      </c>
      <c r="D2623" s="468" t="s">
        <v>3714</v>
      </c>
      <c r="F2623" s="470">
        <v>14</v>
      </c>
      <c r="G2623" s="468">
        <v>33.090700000000005</v>
      </c>
      <c r="H2623" s="479">
        <v>463.26980000000009</v>
      </c>
      <c r="I2623" s="468" t="s">
        <v>9218</v>
      </c>
      <c r="J2623" s="468" t="s">
        <v>9219</v>
      </c>
      <c r="K2623" s="468" t="s">
        <v>9219</v>
      </c>
      <c r="L2623" s="468" t="s">
        <v>2354</v>
      </c>
    </row>
    <row r="2624" spans="1:12" x14ac:dyDescent="0.25">
      <c r="A2624" s="468" t="s">
        <v>220</v>
      </c>
      <c r="B2624" s="468" t="s">
        <v>2351</v>
      </c>
      <c r="C2624" s="468" t="s">
        <v>3715</v>
      </c>
      <c r="D2624" s="468" t="s">
        <v>3716</v>
      </c>
      <c r="F2624" s="470">
        <v>8</v>
      </c>
      <c r="G2624" s="468">
        <v>1.742</v>
      </c>
      <c r="H2624" s="479">
        <v>13.936</v>
      </c>
      <c r="I2624" s="468" t="s">
        <v>9218</v>
      </c>
      <c r="J2624" s="468" t="s">
        <v>9219</v>
      </c>
      <c r="K2624" s="468" t="s">
        <v>9219</v>
      </c>
      <c r="L2624" s="468" t="s">
        <v>2354</v>
      </c>
    </row>
    <row r="2625" spans="1:12" x14ac:dyDescent="0.25">
      <c r="A2625" s="468" t="s">
        <v>220</v>
      </c>
      <c r="B2625" s="468" t="s">
        <v>2351</v>
      </c>
      <c r="C2625" s="468" t="s">
        <v>3717</v>
      </c>
      <c r="D2625" s="468" t="s">
        <v>3718</v>
      </c>
      <c r="F2625" s="470">
        <v>1</v>
      </c>
      <c r="G2625" s="468">
        <v>15.028</v>
      </c>
      <c r="H2625" s="479">
        <v>15.028</v>
      </c>
      <c r="I2625" s="468" t="s">
        <v>9218</v>
      </c>
      <c r="J2625" s="468" t="s">
        <v>9219</v>
      </c>
      <c r="K2625" s="468" t="s">
        <v>9219</v>
      </c>
      <c r="L2625" s="468" t="s">
        <v>2354</v>
      </c>
    </row>
    <row r="2626" spans="1:12" x14ac:dyDescent="0.25">
      <c r="A2626" s="468" t="s">
        <v>220</v>
      </c>
      <c r="B2626" s="468" t="s">
        <v>2351</v>
      </c>
      <c r="C2626" s="468" t="s">
        <v>3719</v>
      </c>
      <c r="D2626" s="468" t="s">
        <v>3720</v>
      </c>
      <c r="F2626" s="470">
        <v>4</v>
      </c>
      <c r="G2626" s="468">
        <v>24.788016666666664</v>
      </c>
      <c r="H2626" s="479">
        <v>99.152066666666656</v>
      </c>
      <c r="I2626" s="468" t="s">
        <v>9218</v>
      </c>
      <c r="J2626" s="468" t="s">
        <v>9219</v>
      </c>
      <c r="K2626" s="468" t="s">
        <v>9219</v>
      </c>
      <c r="L2626" s="468" t="s">
        <v>2354</v>
      </c>
    </row>
    <row r="2627" spans="1:12" x14ac:dyDescent="0.25">
      <c r="A2627" s="468" t="s">
        <v>220</v>
      </c>
      <c r="B2627" s="468" t="s">
        <v>2351</v>
      </c>
      <c r="C2627" s="468" t="s">
        <v>3721</v>
      </c>
      <c r="D2627" s="468" t="s">
        <v>3722</v>
      </c>
      <c r="F2627" s="470">
        <v>1</v>
      </c>
      <c r="G2627" s="468">
        <v>68.781999999999996</v>
      </c>
      <c r="H2627" s="479">
        <v>68.781999999999996</v>
      </c>
      <c r="I2627" s="468" t="s">
        <v>9218</v>
      </c>
      <c r="J2627" s="468" t="s">
        <v>9219</v>
      </c>
      <c r="K2627" s="468" t="s">
        <v>9219</v>
      </c>
      <c r="L2627" s="468" t="s">
        <v>2354</v>
      </c>
    </row>
    <row r="2628" spans="1:12" x14ac:dyDescent="0.25">
      <c r="A2628" s="468" t="s">
        <v>220</v>
      </c>
      <c r="B2628" s="468" t="s">
        <v>2351</v>
      </c>
      <c r="C2628" s="468" t="s">
        <v>3725</v>
      </c>
      <c r="D2628" s="468" t="s">
        <v>5347</v>
      </c>
      <c r="F2628" s="470">
        <v>2</v>
      </c>
      <c r="G2628" s="468">
        <v>8.9250000000000007</v>
      </c>
      <c r="H2628" s="479">
        <v>17.850000000000001</v>
      </c>
      <c r="I2628" s="468" t="s">
        <v>9218</v>
      </c>
      <c r="J2628" s="468" t="s">
        <v>9219</v>
      </c>
      <c r="K2628" s="468" t="s">
        <v>9219</v>
      </c>
      <c r="L2628" s="468" t="s">
        <v>2354</v>
      </c>
    </row>
    <row r="2629" spans="1:12" x14ac:dyDescent="0.25">
      <c r="A2629" s="468" t="s">
        <v>220</v>
      </c>
      <c r="B2629" s="468" t="s">
        <v>2351</v>
      </c>
      <c r="C2629" s="468" t="s">
        <v>3737</v>
      </c>
      <c r="D2629" s="468" t="s">
        <v>3738</v>
      </c>
      <c r="F2629" s="470">
        <v>2</v>
      </c>
      <c r="G2629" s="468">
        <v>4.8340857142857141</v>
      </c>
      <c r="H2629" s="479">
        <v>9.6681714285714282</v>
      </c>
      <c r="I2629" s="468" t="s">
        <v>9218</v>
      </c>
      <c r="J2629" s="468" t="s">
        <v>9219</v>
      </c>
      <c r="K2629" s="468" t="s">
        <v>9219</v>
      </c>
      <c r="L2629" s="468" t="s">
        <v>2354</v>
      </c>
    </row>
    <row r="2630" spans="1:12" x14ac:dyDescent="0.25">
      <c r="A2630" s="468" t="s">
        <v>220</v>
      </c>
      <c r="B2630" s="468" t="s">
        <v>2351</v>
      </c>
      <c r="C2630" s="468" t="s">
        <v>5345</v>
      </c>
      <c r="D2630" s="468" t="s">
        <v>5346</v>
      </c>
      <c r="F2630" s="470">
        <v>4</v>
      </c>
      <c r="G2630" s="468">
        <v>1.2050000000000001</v>
      </c>
      <c r="H2630" s="479">
        <v>4.82</v>
      </c>
      <c r="I2630" s="468" t="s">
        <v>9218</v>
      </c>
      <c r="J2630" s="468" t="s">
        <v>9219</v>
      </c>
      <c r="K2630" s="468" t="s">
        <v>9219</v>
      </c>
      <c r="L2630" s="468" t="s">
        <v>2354</v>
      </c>
    </row>
    <row r="2631" spans="1:12" x14ac:dyDescent="0.25">
      <c r="A2631" s="468" t="s">
        <v>220</v>
      </c>
      <c r="B2631" s="468" t="s">
        <v>2351</v>
      </c>
      <c r="C2631" s="468" t="s">
        <v>3739</v>
      </c>
      <c r="D2631" s="468" t="s">
        <v>3740</v>
      </c>
      <c r="F2631" s="470">
        <v>3</v>
      </c>
      <c r="G2631" s="468">
        <v>3.0430000000000001</v>
      </c>
      <c r="H2631" s="479">
        <v>9.1290000000000013</v>
      </c>
      <c r="I2631" s="468" t="s">
        <v>9218</v>
      </c>
      <c r="J2631" s="468" t="s">
        <v>9219</v>
      </c>
      <c r="K2631" s="468" t="s">
        <v>9219</v>
      </c>
      <c r="L2631" s="468" t="s">
        <v>2354</v>
      </c>
    </row>
    <row r="2632" spans="1:12" x14ac:dyDescent="0.25">
      <c r="A2632" s="468" t="s">
        <v>220</v>
      </c>
      <c r="B2632" s="468" t="s">
        <v>2351</v>
      </c>
      <c r="C2632" s="468" t="s">
        <v>3741</v>
      </c>
      <c r="D2632" s="468" t="s">
        <v>3742</v>
      </c>
      <c r="F2632" s="470">
        <v>9</v>
      </c>
      <c r="G2632" s="468">
        <v>2.1070000000000002</v>
      </c>
      <c r="H2632" s="479">
        <v>18.963000000000001</v>
      </c>
      <c r="I2632" s="468" t="s">
        <v>9218</v>
      </c>
      <c r="J2632" s="468" t="s">
        <v>9219</v>
      </c>
      <c r="K2632" s="468" t="s">
        <v>9219</v>
      </c>
      <c r="L2632" s="468" t="s">
        <v>2354</v>
      </c>
    </row>
    <row r="2633" spans="1:12" x14ac:dyDescent="0.25">
      <c r="A2633" s="468" t="s">
        <v>220</v>
      </c>
      <c r="B2633" s="468" t="s">
        <v>2351</v>
      </c>
      <c r="C2633" s="468" t="s">
        <v>3743</v>
      </c>
      <c r="D2633" s="468" t="s">
        <v>3744</v>
      </c>
      <c r="F2633" s="470">
        <v>38</v>
      </c>
      <c r="G2633" s="468">
        <v>11.231999999999999</v>
      </c>
      <c r="H2633" s="479">
        <v>426.81599999999997</v>
      </c>
      <c r="I2633" s="468" t="s">
        <v>9218</v>
      </c>
      <c r="J2633" s="468" t="s">
        <v>9219</v>
      </c>
      <c r="K2633" s="468" t="s">
        <v>9219</v>
      </c>
      <c r="L2633" s="468" t="s">
        <v>2354</v>
      </c>
    </row>
    <row r="2634" spans="1:12" x14ac:dyDescent="0.25">
      <c r="A2634" s="468" t="s">
        <v>220</v>
      </c>
      <c r="B2634" s="468" t="s">
        <v>2351</v>
      </c>
      <c r="C2634" s="468" t="s">
        <v>5350</v>
      </c>
      <c r="D2634" s="468" t="s">
        <v>5351</v>
      </c>
      <c r="F2634" s="470">
        <v>2</v>
      </c>
      <c r="G2634" s="468">
        <v>4.41</v>
      </c>
      <c r="H2634" s="479">
        <v>8.82</v>
      </c>
      <c r="I2634" s="468" t="s">
        <v>9218</v>
      </c>
      <c r="J2634" s="468" t="s">
        <v>9219</v>
      </c>
      <c r="K2634" s="468" t="s">
        <v>9219</v>
      </c>
      <c r="L2634" s="468" t="s">
        <v>2354</v>
      </c>
    </row>
    <row r="2635" spans="1:12" x14ac:dyDescent="0.25">
      <c r="A2635" s="468" t="s">
        <v>220</v>
      </c>
      <c r="B2635" s="468" t="s">
        <v>2351</v>
      </c>
      <c r="C2635" s="468" t="s">
        <v>5352</v>
      </c>
      <c r="D2635" s="468" t="s">
        <v>5353</v>
      </c>
      <c r="F2635" s="470">
        <v>2</v>
      </c>
      <c r="G2635" s="468">
        <v>23.122</v>
      </c>
      <c r="H2635" s="479">
        <v>46.244</v>
      </c>
      <c r="I2635" s="468" t="s">
        <v>9218</v>
      </c>
      <c r="J2635" s="468" t="s">
        <v>9219</v>
      </c>
      <c r="K2635" s="468" t="s">
        <v>9219</v>
      </c>
      <c r="L2635" s="468" t="s">
        <v>2354</v>
      </c>
    </row>
    <row r="2636" spans="1:12" x14ac:dyDescent="0.25">
      <c r="A2636" s="468" t="s">
        <v>220</v>
      </c>
      <c r="B2636" s="468" t="s">
        <v>2351</v>
      </c>
      <c r="C2636" s="468" t="s">
        <v>3745</v>
      </c>
      <c r="D2636" s="468" t="s">
        <v>3746</v>
      </c>
      <c r="F2636" s="470">
        <v>40</v>
      </c>
      <c r="G2636" s="468">
        <v>3.1779999999999999</v>
      </c>
      <c r="H2636" s="479">
        <v>127.12</v>
      </c>
      <c r="I2636" s="468" t="s">
        <v>9218</v>
      </c>
      <c r="J2636" s="468" t="s">
        <v>9219</v>
      </c>
      <c r="K2636" s="468" t="s">
        <v>9219</v>
      </c>
      <c r="L2636" s="468" t="s">
        <v>2354</v>
      </c>
    </row>
    <row r="2637" spans="1:12" x14ac:dyDescent="0.25">
      <c r="A2637" s="468" t="s">
        <v>220</v>
      </c>
      <c r="B2637" s="468" t="s">
        <v>2351</v>
      </c>
      <c r="C2637" s="468" t="s">
        <v>3747</v>
      </c>
      <c r="D2637" s="468" t="s">
        <v>3748</v>
      </c>
      <c r="F2637" s="470">
        <v>22</v>
      </c>
      <c r="G2637" s="468">
        <v>6.8849999999999998</v>
      </c>
      <c r="H2637" s="479">
        <v>151.47</v>
      </c>
      <c r="I2637" s="468" t="s">
        <v>9218</v>
      </c>
      <c r="J2637" s="468" t="s">
        <v>9219</v>
      </c>
      <c r="K2637" s="468" t="s">
        <v>9219</v>
      </c>
      <c r="L2637" s="468" t="s">
        <v>2354</v>
      </c>
    </row>
    <row r="2638" spans="1:12" x14ac:dyDescent="0.25">
      <c r="A2638" s="468" t="s">
        <v>220</v>
      </c>
      <c r="B2638" s="468" t="s">
        <v>2351</v>
      </c>
      <c r="C2638" s="468" t="s">
        <v>3749</v>
      </c>
      <c r="D2638" s="468" t="s">
        <v>3750</v>
      </c>
      <c r="F2638" s="470">
        <v>100</v>
      </c>
      <c r="G2638" s="468">
        <v>0.91969999999999996</v>
      </c>
      <c r="H2638" s="479">
        <v>91.97</v>
      </c>
      <c r="I2638" s="468" t="s">
        <v>9218</v>
      </c>
      <c r="J2638" s="468" t="s">
        <v>9219</v>
      </c>
      <c r="K2638" s="468" t="s">
        <v>9219</v>
      </c>
      <c r="L2638" s="468" t="s">
        <v>2354</v>
      </c>
    </row>
    <row r="2639" spans="1:12" x14ac:dyDescent="0.25">
      <c r="A2639" s="468" t="s">
        <v>220</v>
      </c>
      <c r="B2639" s="468" t="s">
        <v>2351</v>
      </c>
      <c r="C2639" s="468" t="s">
        <v>3755</v>
      </c>
      <c r="D2639" s="468" t="s">
        <v>3756</v>
      </c>
      <c r="F2639" s="470">
        <v>5</v>
      </c>
      <c r="G2639" s="468">
        <v>112.5</v>
      </c>
      <c r="H2639" s="479">
        <v>562.5</v>
      </c>
      <c r="I2639" s="468" t="s">
        <v>9218</v>
      </c>
      <c r="J2639" s="468" t="s">
        <v>9219</v>
      </c>
      <c r="K2639" s="468" t="s">
        <v>9219</v>
      </c>
      <c r="L2639" s="468" t="s">
        <v>2354</v>
      </c>
    </row>
    <row r="2640" spans="1:12" x14ac:dyDescent="0.25">
      <c r="A2640" s="468" t="s">
        <v>220</v>
      </c>
      <c r="B2640" s="468" t="s">
        <v>2351</v>
      </c>
      <c r="C2640" s="468" t="s">
        <v>3757</v>
      </c>
      <c r="D2640" s="468" t="s">
        <v>3758</v>
      </c>
      <c r="F2640" s="470">
        <v>100</v>
      </c>
      <c r="G2640" s="468">
        <v>31.024999999999999</v>
      </c>
      <c r="H2640" s="479">
        <v>3102.5</v>
      </c>
      <c r="I2640" s="468" t="s">
        <v>9218</v>
      </c>
      <c r="J2640" s="468" t="s">
        <v>9219</v>
      </c>
      <c r="K2640" s="468" t="s">
        <v>9219</v>
      </c>
      <c r="L2640" s="468" t="s">
        <v>2354</v>
      </c>
    </row>
    <row r="2641" spans="1:12" x14ac:dyDescent="0.25">
      <c r="A2641" s="468" t="s">
        <v>220</v>
      </c>
      <c r="B2641" s="468" t="s">
        <v>2351</v>
      </c>
      <c r="D2641" s="468" t="s">
        <v>9392</v>
      </c>
      <c r="F2641" s="470">
        <v>131.5</v>
      </c>
      <c r="G2641" s="468">
        <v>3.7690000000000001</v>
      </c>
      <c r="H2641" s="479">
        <v>495.62350000000004</v>
      </c>
      <c r="I2641" s="468" t="s">
        <v>9218</v>
      </c>
      <c r="J2641" s="468" t="s">
        <v>9219</v>
      </c>
      <c r="K2641" s="468" t="s">
        <v>9219</v>
      </c>
      <c r="L2641" s="468" t="s">
        <v>2354</v>
      </c>
    </row>
    <row r="2642" spans="1:12" x14ac:dyDescent="0.25">
      <c r="A2642" s="468" t="s">
        <v>220</v>
      </c>
      <c r="B2642" s="468" t="s">
        <v>2351</v>
      </c>
      <c r="C2642" s="468" t="s">
        <v>3759</v>
      </c>
      <c r="D2642" s="468" t="s">
        <v>3760</v>
      </c>
      <c r="F2642" s="470">
        <v>120</v>
      </c>
      <c r="G2642" s="468">
        <v>0.32900000000000001</v>
      </c>
      <c r="H2642" s="479">
        <v>39.480000000000004</v>
      </c>
      <c r="I2642" s="468" t="s">
        <v>9218</v>
      </c>
      <c r="J2642" s="468" t="s">
        <v>9219</v>
      </c>
      <c r="K2642" s="468" t="s">
        <v>9219</v>
      </c>
      <c r="L2642" s="468" t="s">
        <v>2354</v>
      </c>
    </row>
    <row r="2643" spans="1:12" x14ac:dyDescent="0.25">
      <c r="A2643" s="468" t="s">
        <v>220</v>
      </c>
      <c r="B2643" s="468" t="s">
        <v>2351</v>
      </c>
      <c r="C2643" s="468" t="s">
        <v>3761</v>
      </c>
      <c r="D2643" s="468" t="s">
        <v>3762</v>
      </c>
      <c r="F2643" s="470">
        <v>100</v>
      </c>
      <c r="G2643" s="468">
        <v>0.74250000000000005</v>
      </c>
      <c r="H2643" s="479">
        <v>74.25</v>
      </c>
      <c r="I2643" s="468" t="s">
        <v>9218</v>
      </c>
      <c r="J2643" s="468" t="s">
        <v>9219</v>
      </c>
      <c r="K2643" s="468" t="s">
        <v>9219</v>
      </c>
      <c r="L2643" s="468" t="s">
        <v>2354</v>
      </c>
    </row>
    <row r="2644" spans="1:12" x14ac:dyDescent="0.25">
      <c r="A2644" s="468" t="s">
        <v>220</v>
      </c>
      <c r="B2644" s="468" t="s">
        <v>2351</v>
      </c>
      <c r="C2644" s="468" t="s">
        <v>3769</v>
      </c>
      <c r="D2644" s="468" t="s">
        <v>3770</v>
      </c>
      <c r="F2644" s="470">
        <v>3</v>
      </c>
      <c r="G2644" s="468">
        <v>10.25</v>
      </c>
      <c r="H2644" s="479">
        <v>30.75</v>
      </c>
      <c r="I2644" s="468" t="s">
        <v>9218</v>
      </c>
      <c r="J2644" s="468" t="s">
        <v>9219</v>
      </c>
      <c r="K2644" s="468" t="s">
        <v>9219</v>
      </c>
      <c r="L2644" s="468" t="s">
        <v>2354</v>
      </c>
    </row>
    <row r="2645" spans="1:12" x14ac:dyDescent="0.25">
      <c r="A2645" s="468" t="s">
        <v>220</v>
      </c>
      <c r="B2645" s="468" t="s">
        <v>2351</v>
      </c>
      <c r="C2645" s="468" t="s">
        <v>3771</v>
      </c>
      <c r="D2645" s="468" t="s">
        <v>3772</v>
      </c>
      <c r="F2645" s="470">
        <v>5</v>
      </c>
      <c r="G2645" s="468">
        <v>10.246</v>
      </c>
      <c r="H2645" s="479">
        <v>51.230000000000004</v>
      </c>
      <c r="I2645" s="468" t="s">
        <v>9218</v>
      </c>
      <c r="J2645" s="468" t="s">
        <v>9219</v>
      </c>
      <c r="K2645" s="468" t="s">
        <v>9219</v>
      </c>
      <c r="L2645" s="468" t="s">
        <v>2354</v>
      </c>
    </row>
    <row r="2646" spans="1:12" x14ac:dyDescent="0.25">
      <c r="A2646" s="468" t="s">
        <v>220</v>
      </c>
      <c r="B2646" s="468" t="s">
        <v>2351</v>
      </c>
      <c r="C2646" s="468" t="s">
        <v>3773</v>
      </c>
      <c r="D2646" s="468" t="s">
        <v>3774</v>
      </c>
      <c r="F2646" s="470">
        <v>6</v>
      </c>
      <c r="G2646" s="468">
        <v>12.023999999999999</v>
      </c>
      <c r="H2646" s="479">
        <v>72.143999999999991</v>
      </c>
      <c r="I2646" s="468" t="s">
        <v>9218</v>
      </c>
      <c r="J2646" s="468" t="s">
        <v>9219</v>
      </c>
      <c r="K2646" s="468" t="s">
        <v>9219</v>
      </c>
      <c r="L2646" s="468" t="s">
        <v>2354</v>
      </c>
    </row>
    <row r="2647" spans="1:12" x14ac:dyDescent="0.25">
      <c r="A2647" s="468" t="s">
        <v>220</v>
      </c>
      <c r="B2647" s="468" t="s">
        <v>2351</v>
      </c>
      <c r="C2647" s="468" t="s">
        <v>3775</v>
      </c>
      <c r="D2647" s="468" t="s">
        <v>3776</v>
      </c>
      <c r="F2647" s="470">
        <v>5</v>
      </c>
      <c r="G2647" s="468">
        <v>42.075000000000003</v>
      </c>
      <c r="H2647" s="479">
        <v>210.375</v>
      </c>
      <c r="I2647" s="468" t="s">
        <v>9218</v>
      </c>
      <c r="J2647" s="468" t="s">
        <v>9219</v>
      </c>
      <c r="K2647" s="468" t="s">
        <v>9219</v>
      </c>
      <c r="L2647" s="468" t="s">
        <v>2354</v>
      </c>
    </row>
    <row r="2648" spans="1:12" x14ac:dyDescent="0.25">
      <c r="A2648" s="468" t="s">
        <v>220</v>
      </c>
      <c r="B2648" s="468" t="s">
        <v>2351</v>
      </c>
      <c r="C2648" s="468" t="s">
        <v>3777</v>
      </c>
      <c r="D2648" s="468" t="s">
        <v>3778</v>
      </c>
      <c r="F2648" s="470">
        <v>10</v>
      </c>
      <c r="G2648" s="468">
        <v>13.922000000000001</v>
      </c>
      <c r="H2648" s="479">
        <v>139.22</v>
      </c>
      <c r="I2648" s="468" t="s">
        <v>9218</v>
      </c>
      <c r="J2648" s="468" t="s">
        <v>9219</v>
      </c>
      <c r="K2648" s="468" t="s">
        <v>9219</v>
      </c>
      <c r="L2648" s="468" t="s">
        <v>2354</v>
      </c>
    </row>
    <row r="2649" spans="1:12" x14ac:dyDescent="0.25">
      <c r="A2649" s="468" t="s">
        <v>220</v>
      </c>
      <c r="B2649" s="468" t="s">
        <v>2351</v>
      </c>
      <c r="C2649" s="468" t="s">
        <v>3779</v>
      </c>
      <c r="D2649" s="468" t="s">
        <v>3780</v>
      </c>
      <c r="F2649" s="470">
        <v>3</v>
      </c>
      <c r="G2649" s="468">
        <v>30.245999999999999</v>
      </c>
      <c r="H2649" s="479">
        <v>90.738</v>
      </c>
      <c r="I2649" s="468" t="s">
        <v>9218</v>
      </c>
      <c r="J2649" s="468" t="s">
        <v>9219</v>
      </c>
      <c r="K2649" s="468" t="s">
        <v>9219</v>
      </c>
      <c r="L2649" s="468" t="s">
        <v>2354</v>
      </c>
    </row>
    <row r="2650" spans="1:12" x14ac:dyDescent="0.25">
      <c r="A2650" s="468" t="s">
        <v>220</v>
      </c>
      <c r="B2650" s="468" t="s">
        <v>2351</v>
      </c>
      <c r="C2650" s="468" t="s">
        <v>3781</v>
      </c>
      <c r="D2650" s="468" t="s">
        <v>3782</v>
      </c>
      <c r="F2650" s="470">
        <v>4</v>
      </c>
      <c r="G2650" s="468">
        <v>31.045999999999999</v>
      </c>
      <c r="H2650" s="479">
        <v>124.184</v>
      </c>
      <c r="I2650" s="468" t="s">
        <v>9218</v>
      </c>
      <c r="J2650" s="468" t="s">
        <v>9219</v>
      </c>
      <c r="K2650" s="468" t="s">
        <v>9219</v>
      </c>
      <c r="L2650" s="468" t="s">
        <v>2354</v>
      </c>
    </row>
    <row r="2651" spans="1:12" x14ac:dyDescent="0.25">
      <c r="A2651" s="468" t="s">
        <v>220</v>
      </c>
      <c r="B2651" s="468" t="s">
        <v>2351</v>
      </c>
      <c r="C2651" s="468" t="s">
        <v>3783</v>
      </c>
      <c r="D2651" s="468" t="s">
        <v>3784</v>
      </c>
      <c r="F2651" s="470">
        <v>5</v>
      </c>
      <c r="G2651" s="468">
        <v>73.983999999999995</v>
      </c>
      <c r="H2651" s="479">
        <v>369.91999999999996</v>
      </c>
      <c r="I2651" s="468" t="s">
        <v>9218</v>
      </c>
      <c r="J2651" s="468" t="s">
        <v>9219</v>
      </c>
      <c r="K2651" s="468" t="s">
        <v>9219</v>
      </c>
      <c r="L2651" s="468" t="s">
        <v>2354</v>
      </c>
    </row>
    <row r="2652" spans="1:12" x14ac:dyDescent="0.25">
      <c r="A2652" s="468" t="s">
        <v>220</v>
      </c>
      <c r="B2652" s="468" t="s">
        <v>2351</v>
      </c>
      <c r="C2652" s="468" t="s">
        <v>3785</v>
      </c>
      <c r="D2652" s="468" t="s">
        <v>3786</v>
      </c>
      <c r="F2652" s="470">
        <v>1</v>
      </c>
      <c r="G2652" s="468">
        <v>7.6120000000000001</v>
      </c>
      <c r="H2652" s="479">
        <v>7.6120000000000001</v>
      </c>
      <c r="I2652" s="468" t="s">
        <v>9218</v>
      </c>
      <c r="J2652" s="468" t="s">
        <v>9219</v>
      </c>
      <c r="K2652" s="468" t="s">
        <v>9219</v>
      </c>
      <c r="L2652" s="468" t="s">
        <v>2354</v>
      </c>
    </row>
    <row r="2653" spans="1:12" x14ac:dyDescent="0.25">
      <c r="A2653" s="468" t="s">
        <v>220</v>
      </c>
      <c r="B2653" s="468" t="s">
        <v>2351</v>
      </c>
      <c r="C2653" s="468" t="s">
        <v>3787</v>
      </c>
      <c r="D2653" s="468" t="s">
        <v>3788</v>
      </c>
      <c r="F2653" s="470">
        <v>6</v>
      </c>
      <c r="G2653" s="468">
        <v>27.2</v>
      </c>
      <c r="H2653" s="479">
        <v>163.19999999999999</v>
      </c>
      <c r="I2653" s="468" t="s">
        <v>9218</v>
      </c>
      <c r="J2653" s="468" t="s">
        <v>9219</v>
      </c>
      <c r="K2653" s="468" t="s">
        <v>9219</v>
      </c>
      <c r="L2653" s="468" t="s">
        <v>2354</v>
      </c>
    </row>
    <row r="2654" spans="1:12" x14ac:dyDescent="0.25">
      <c r="A2654" s="468" t="s">
        <v>220</v>
      </c>
      <c r="B2654" s="468" t="s">
        <v>2351</v>
      </c>
      <c r="C2654" s="468" t="s">
        <v>3789</v>
      </c>
      <c r="D2654" s="468" t="s">
        <v>3790</v>
      </c>
      <c r="F2654" s="470">
        <v>3</v>
      </c>
      <c r="G2654" s="468">
        <v>28.732500000000005</v>
      </c>
      <c r="H2654" s="479">
        <v>86.197500000000019</v>
      </c>
      <c r="I2654" s="468" t="s">
        <v>9218</v>
      </c>
      <c r="J2654" s="468" t="s">
        <v>9219</v>
      </c>
      <c r="K2654" s="468" t="s">
        <v>9219</v>
      </c>
      <c r="L2654" s="468" t="s">
        <v>2354</v>
      </c>
    </row>
    <row r="2655" spans="1:12" x14ac:dyDescent="0.25">
      <c r="A2655" s="468" t="s">
        <v>220</v>
      </c>
      <c r="B2655" s="468" t="s">
        <v>2351</v>
      </c>
      <c r="C2655" s="468" t="s">
        <v>3791</v>
      </c>
      <c r="D2655" s="468" t="s">
        <v>3792</v>
      </c>
      <c r="F2655" s="470">
        <v>6</v>
      </c>
      <c r="G2655" s="468">
        <v>35.191000000000003</v>
      </c>
      <c r="H2655" s="479">
        <v>211.14600000000002</v>
      </c>
      <c r="I2655" s="468" t="s">
        <v>9218</v>
      </c>
      <c r="J2655" s="468" t="s">
        <v>9219</v>
      </c>
      <c r="K2655" s="468" t="s">
        <v>9219</v>
      </c>
      <c r="L2655" s="468" t="s">
        <v>2354</v>
      </c>
    </row>
    <row r="2656" spans="1:12" x14ac:dyDescent="0.25">
      <c r="A2656" s="468" t="s">
        <v>220</v>
      </c>
      <c r="B2656" s="468" t="s">
        <v>2351</v>
      </c>
      <c r="C2656" s="468" t="s">
        <v>3927</v>
      </c>
      <c r="D2656" s="468" t="s">
        <v>3928</v>
      </c>
      <c r="F2656" s="470">
        <v>2</v>
      </c>
      <c r="G2656" s="468">
        <v>63.58</v>
      </c>
      <c r="H2656" s="479">
        <v>127.16</v>
      </c>
      <c r="I2656" s="468" t="s">
        <v>9218</v>
      </c>
      <c r="J2656" s="468" t="s">
        <v>9219</v>
      </c>
      <c r="K2656" s="468" t="s">
        <v>9219</v>
      </c>
      <c r="L2656" s="468" t="s">
        <v>2354</v>
      </c>
    </row>
    <row r="2657" spans="1:12" x14ac:dyDescent="0.25">
      <c r="A2657" s="468" t="s">
        <v>220</v>
      </c>
      <c r="B2657" s="468" t="s">
        <v>2351</v>
      </c>
      <c r="C2657" s="468" t="s">
        <v>3929</v>
      </c>
      <c r="D2657" s="468" t="s">
        <v>3930</v>
      </c>
      <c r="F2657" s="470">
        <v>2</v>
      </c>
      <c r="G2657" s="468">
        <v>15</v>
      </c>
      <c r="H2657" s="479">
        <v>30</v>
      </c>
      <c r="I2657" s="468" t="s">
        <v>9218</v>
      </c>
      <c r="J2657" s="468" t="s">
        <v>9219</v>
      </c>
      <c r="K2657" s="468" t="s">
        <v>9219</v>
      </c>
      <c r="L2657" s="468" t="s">
        <v>2354</v>
      </c>
    </row>
    <row r="2658" spans="1:12" x14ac:dyDescent="0.25">
      <c r="A2658" s="468" t="s">
        <v>220</v>
      </c>
      <c r="B2658" s="468" t="s">
        <v>2351</v>
      </c>
      <c r="C2658" s="468" t="s">
        <v>3931</v>
      </c>
      <c r="D2658" s="468" t="s">
        <v>3932</v>
      </c>
      <c r="F2658" s="470">
        <v>2</v>
      </c>
      <c r="G2658" s="468">
        <v>16</v>
      </c>
      <c r="H2658" s="479">
        <v>32</v>
      </c>
      <c r="I2658" s="468" t="s">
        <v>9218</v>
      </c>
      <c r="J2658" s="468" t="s">
        <v>9219</v>
      </c>
      <c r="K2658" s="468" t="s">
        <v>9219</v>
      </c>
      <c r="L2658" s="468" t="s">
        <v>2354</v>
      </c>
    </row>
    <row r="2659" spans="1:12" x14ac:dyDescent="0.25">
      <c r="A2659" s="468" t="s">
        <v>220</v>
      </c>
      <c r="B2659" s="468" t="s">
        <v>2351</v>
      </c>
      <c r="C2659" s="468" t="s">
        <v>3933</v>
      </c>
      <c r="D2659" s="468" t="s">
        <v>3934</v>
      </c>
      <c r="F2659" s="470">
        <v>2</v>
      </c>
      <c r="G2659" s="468">
        <v>200</v>
      </c>
      <c r="H2659" s="479">
        <v>400</v>
      </c>
      <c r="I2659" s="468" t="s">
        <v>9218</v>
      </c>
      <c r="J2659" s="468" t="s">
        <v>9219</v>
      </c>
      <c r="K2659" s="468" t="s">
        <v>9219</v>
      </c>
      <c r="L2659" s="468" t="s">
        <v>2354</v>
      </c>
    </row>
    <row r="2660" spans="1:12" x14ac:dyDescent="0.25">
      <c r="A2660" s="468" t="s">
        <v>220</v>
      </c>
      <c r="B2660" s="468" t="s">
        <v>2351</v>
      </c>
      <c r="C2660" s="468" t="s">
        <v>3935</v>
      </c>
      <c r="D2660" s="468" t="s">
        <v>3936</v>
      </c>
      <c r="F2660" s="470">
        <v>2</v>
      </c>
      <c r="G2660" s="468">
        <v>21.29194</v>
      </c>
      <c r="H2660" s="479">
        <v>42.583880000000001</v>
      </c>
      <c r="I2660" s="468" t="s">
        <v>9218</v>
      </c>
      <c r="J2660" s="468" t="s">
        <v>9219</v>
      </c>
      <c r="K2660" s="468" t="s">
        <v>9219</v>
      </c>
      <c r="L2660" s="468" t="s">
        <v>2354</v>
      </c>
    </row>
    <row r="2661" spans="1:12" x14ac:dyDescent="0.25">
      <c r="A2661" s="468" t="s">
        <v>220</v>
      </c>
      <c r="B2661" s="468" t="s">
        <v>2351</v>
      </c>
      <c r="C2661" s="468" t="s">
        <v>3937</v>
      </c>
      <c r="D2661" s="468" t="s">
        <v>3938</v>
      </c>
      <c r="F2661" s="470">
        <v>40</v>
      </c>
      <c r="G2661" s="468">
        <v>2.3929999999999998</v>
      </c>
      <c r="H2661" s="479">
        <v>95.72</v>
      </c>
      <c r="I2661" s="468" t="s">
        <v>9218</v>
      </c>
      <c r="J2661" s="468" t="s">
        <v>9219</v>
      </c>
      <c r="K2661" s="468" t="s">
        <v>9219</v>
      </c>
      <c r="L2661" s="468" t="s">
        <v>2354</v>
      </c>
    </row>
    <row r="2662" spans="1:12" x14ac:dyDescent="0.25">
      <c r="A2662" s="468" t="s">
        <v>220</v>
      </c>
      <c r="B2662" s="468" t="s">
        <v>2351</v>
      </c>
      <c r="C2662" s="468" t="s">
        <v>3939</v>
      </c>
      <c r="D2662" s="468" t="s">
        <v>3940</v>
      </c>
      <c r="F2662" s="470">
        <v>2</v>
      </c>
      <c r="G2662" s="468">
        <v>22.12</v>
      </c>
      <c r="H2662" s="479">
        <v>44.24</v>
      </c>
      <c r="I2662" s="468" t="s">
        <v>9218</v>
      </c>
      <c r="J2662" s="468" t="s">
        <v>9219</v>
      </c>
      <c r="K2662" s="468" t="s">
        <v>9219</v>
      </c>
      <c r="L2662" s="468" t="s">
        <v>2354</v>
      </c>
    </row>
    <row r="2663" spans="1:12" x14ac:dyDescent="0.25">
      <c r="A2663" s="468" t="s">
        <v>220</v>
      </c>
      <c r="B2663" s="468" t="s">
        <v>2351</v>
      </c>
      <c r="C2663" s="468" t="s">
        <v>4413</v>
      </c>
      <c r="D2663" s="468" t="s">
        <v>4414</v>
      </c>
      <c r="F2663" s="470">
        <v>1</v>
      </c>
      <c r="G2663" s="468">
        <v>3.6972</v>
      </c>
      <c r="H2663" s="479">
        <v>3.6972</v>
      </c>
      <c r="I2663" s="468" t="s">
        <v>9218</v>
      </c>
      <c r="J2663" s="468" t="s">
        <v>9219</v>
      </c>
      <c r="K2663" s="468" t="s">
        <v>9219</v>
      </c>
      <c r="L2663" s="468" t="s">
        <v>2354</v>
      </c>
    </row>
    <row r="2664" spans="1:12" x14ac:dyDescent="0.25">
      <c r="A2664" s="468" t="s">
        <v>220</v>
      </c>
      <c r="B2664" s="468" t="s">
        <v>2351</v>
      </c>
      <c r="C2664" s="468" t="s">
        <v>4417</v>
      </c>
      <c r="D2664" s="468" t="s">
        <v>4418</v>
      </c>
      <c r="F2664" s="470">
        <v>5</v>
      </c>
      <c r="G2664" s="468">
        <v>8</v>
      </c>
      <c r="H2664" s="479">
        <v>40</v>
      </c>
      <c r="I2664" s="468" t="s">
        <v>9218</v>
      </c>
      <c r="J2664" s="468" t="s">
        <v>9219</v>
      </c>
      <c r="K2664" s="468" t="s">
        <v>9219</v>
      </c>
      <c r="L2664" s="468" t="s">
        <v>2354</v>
      </c>
    </row>
    <row r="2665" spans="1:12" x14ac:dyDescent="0.25">
      <c r="A2665" s="468" t="s">
        <v>220</v>
      </c>
      <c r="B2665" s="468" t="s">
        <v>2351</v>
      </c>
      <c r="D2665" s="468" t="s">
        <v>2355</v>
      </c>
      <c r="F2665" s="470">
        <v>8</v>
      </c>
      <c r="G2665" s="468">
        <v>9.7360000000000007</v>
      </c>
      <c r="H2665" s="479">
        <v>77.888000000000005</v>
      </c>
      <c r="I2665" s="468" t="s">
        <v>9218</v>
      </c>
      <c r="J2665" s="468" t="s">
        <v>9219</v>
      </c>
      <c r="K2665" s="468" t="s">
        <v>9219</v>
      </c>
      <c r="L2665" s="468" t="s">
        <v>2354</v>
      </c>
    </row>
    <row r="2666" spans="1:12" x14ac:dyDescent="0.25">
      <c r="A2666" s="468" t="s">
        <v>220</v>
      </c>
      <c r="B2666" s="468" t="s">
        <v>2351</v>
      </c>
      <c r="D2666" s="468" t="s">
        <v>2359</v>
      </c>
      <c r="F2666" s="470">
        <v>4</v>
      </c>
      <c r="G2666" s="468">
        <v>6.2939999999999996</v>
      </c>
      <c r="H2666" s="479">
        <v>25.175999999999998</v>
      </c>
      <c r="I2666" s="468" t="s">
        <v>9218</v>
      </c>
      <c r="J2666" s="468" t="s">
        <v>9219</v>
      </c>
      <c r="K2666" s="468" t="s">
        <v>9219</v>
      </c>
      <c r="L2666" s="468" t="s">
        <v>2354</v>
      </c>
    </row>
    <row r="2667" spans="1:12" x14ac:dyDescent="0.25">
      <c r="A2667" s="468" t="s">
        <v>220</v>
      </c>
      <c r="B2667" s="468" t="s">
        <v>2351</v>
      </c>
      <c r="D2667" s="468" t="s">
        <v>2358</v>
      </c>
      <c r="F2667" s="470">
        <v>1</v>
      </c>
      <c r="G2667" s="468">
        <v>3.4860000000000002</v>
      </c>
      <c r="H2667" s="479">
        <v>3.4860000000000002</v>
      </c>
      <c r="I2667" s="468" t="s">
        <v>9218</v>
      </c>
      <c r="J2667" s="468" t="s">
        <v>9219</v>
      </c>
      <c r="K2667" s="468" t="s">
        <v>9219</v>
      </c>
      <c r="L2667" s="468" t="s">
        <v>2354</v>
      </c>
    </row>
    <row r="2668" spans="1:12" x14ac:dyDescent="0.25">
      <c r="A2668" s="468" t="s">
        <v>220</v>
      </c>
      <c r="B2668" s="468" t="s">
        <v>2351</v>
      </c>
      <c r="D2668" s="468" t="s">
        <v>2356</v>
      </c>
      <c r="F2668" s="470">
        <v>8</v>
      </c>
      <c r="G2668" s="468">
        <v>1.107</v>
      </c>
      <c r="H2668" s="479">
        <v>8.8559999999999999</v>
      </c>
      <c r="I2668" s="468" t="s">
        <v>9218</v>
      </c>
      <c r="J2668" s="468" t="s">
        <v>9219</v>
      </c>
      <c r="K2668" s="468" t="s">
        <v>9219</v>
      </c>
      <c r="L2668" s="468" t="s">
        <v>2354</v>
      </c>
    </row>
    <row r="2669" spans="1:12" x14ac:dyDescent="0.25">
      <c r="A2669" s="468" t="s">
        <v>220</v>
      </c>
      <c r="B2669" s="468" t="s">
        <v>2351</v>
      </c>
      <c r="D2669" s="468" t="s">
        <v>5355</v>
      </c>
      <c r="F2669" s="470">
        <v>1</v>
      </c>
      <c r="G2669" s="468">
        <v>6.0869999999999997</v>
      </c>
      <c r="H2669" s="479">
        <v>6.0869999999999997</v>
      </c>
      <c r="I2669" s="468" t="s">
        <v>9218</v>
      </c>
      <c r="J2669" s="468" t="s">
        <v>9219</v>
      </c>
      <c r="K2669" s="468" t="s">
        <v>9219</v>
      </c>
      <c r="L2669" s="468" t="s">
        <v>2354</v>
      </c>
    </row>
    <row r="2670" spans="1:12" x14ac:dyDescent="0.25">
      <c r="A2670" s="468" t="s">
        <v>220</v>
      </c>
      <c r="B2670" s="468" t="s">
        <v>2351</v>
      </c>
      <c r="C2670" s="468" t="s">
        <v>7350</v>
      </c>
      <c r="D2670" s="468" t="s">
        <v>7351</v>
      </c>
      <c r="F2670" s="470">
        <v>9</v>
      </c>
      <c r="G2670" s="468">
        <v>6.7640000000000002</v>
      </c>
      <c r="H2670" s="479">
        <v>60.876000000000005</v>
      </c>
      <c r="I2670" s="468" t="s">
        <v>9218</v>
      </c>
      <c r="J2670" s="468" t="s">
        <v>9219</v>
      </c>
      <c r="K2670" s="468" t="s">
        <v>9219</v>
      </c>
      <c r="L2670" s="468" t="s">
        <v>2354</v>
      </c>
    </row>
    <row r="2671" spans="1:12" x14ac:dyDescent="0.25">
      <c r="A2671" s="468" t="s">
        <v>220</v>
      </c>
      <c r="B2671" s="468" t="s">
        <v>2351</v>
      </c>
      <c r="C2671" s="468" t="s">
        <v>4409</v>
      </c>
      <c r="D2671" s="468" t="s">
        <v>4410</v>
      </c>
      <c r="F2671" s="470">
        <v>1</v>
      </c>
      <c r="G2671" s="468">
        <v>8.2170000000000005</v>
      </c>
      <c r="H2671" s="479">
        <v>8.2170000000000005</v>
      </c>
      <c r="I2671" s="468" t="s">
        <v>9218</v>
      </c>
      <c r="J2671" s="468" t="s">
        <v>9219</v>
      </c>
      <c r="K2671" s="468" t="s">
        <v>9219</v>
      </c>
      <c r="L2671" s="468" t="s">
        <v>2354</v>
      </c>
    </row>
    <row r="2672" spans="1:12" x14ac:dyDescent="0.25">
      <c r="A2672" s="468" t="s">
        <v>220</v>
      </c>
      <c r="B2672" s="468" t="s">
        <v>2351</v>
      </c>
      <c r="D2672" s="468" t="s">
        <v>9393</v>
      </c>
      <c r="F2672" s="470">
        <v>2</v>
      </c>
      <c r="G2672" s="468">
        <v>17.936</v>
      </c>
      <c r="H2672" s="479">
        <v>35.872</v>
      </c>
      <c r="I2672" s="468" t="s">
        <v>9218</v>
      </c>
      <c r="J2672" s="468" t="s">
        <v>9219</v>
      </c>
      <c r="K2672" s="468" t="s">
        <v>9219</v>
      </c>
      <c r="L2672" s="468" t="s">
        <v>2354</v>
      </c>
    </row>
    <row r="2673" spans="1:12" x14ac:dyDescent="0.25">
      <c r="A2673" s="468" t="s">
        <v>220</v>
      </c>
      <c r="B2673" s="468" t="s">
        <v>2351</v>
      </c>
      <c r="D2673" s="468" t="s">
        <v>9394</v>
      </c>
      <c r="F2673" s="470">
        <v>2</v>
      </c>
      <c r="G2673" s="468">
        <v>28.747</v>
      </c>
      <c r="H2673" s="479">
        <v>57.494</v>
      </c>
      <c r="I2673" s="468" t="s">
        <v>9218</v>
      </c>
      <c r="J2673" s="468" t="s">
        <v>9219</v>
      </c>
      <c r="K2673" s="468" t="s">
        <v>9219</v>
      </c>
      <c r="L2673" s="468" t="s">
        <v>2354</v>
      </c>
    </row>
    <row r="2674" spans="1:12" x14ac:dyDescent="0.25">
      <c r="A2674" s="468" t="s">
        <v>220</v>
      </c>
      <c r="B2674" s="468" t="s">
        <v>2351</v>
      </c>
      <c r="D2674" s="468" t="s">
        <v>9395</v>
      </c>
      <c r="F2674" s="470">
        <v>2</v>
      </c>
      <c r="G2674" s="468">
        <v>16.925999999999998</v>
      </c>
      <c r="H2674" s="479">
        <v>33.851999999999997</v>
      </c>
      <c r="I2674" s="468" t="s">
        <v>9218</v>
      </c>
      <c r="J2674" s="468" t="s">
        <v>9219</v>
      </c>
      <c r="K2674" s="468" t="s">
        <v>9219</v>
      </c>
      <c r="L2674" s="468" t="s">
        <v>2354</v>
      </c>
    </row>
    <row r="2675" spans="1:12" x14ac:dyDescent="0.25">
      <c r="A2675" s="468" t="s">
        <v>220</v>
      </c>
      <c r="B2675" s="468" t="s">
        <v>2351</v>
      </c>
      <c r="D2675" s="468" t="s">
        <v>9396</v>
      </c>
      <c r="F2675" s="470">
        <v>2</v>
      </c>
      <c r="G2675" s="468">
        <v>22.925999999999998</v>
      </c>
      <c r="H2675" s="479">
        <v>45.851999999999997</v>
      </c>
      <c r="I2675" s="468" t="s">
        <v>9218</v>
      </c>
      <c r="J2675" s="468" t="s">
        <v>9219</v>
      </c>
      <c r="K2675" s="468" t="s">
        <v>9219</v>
      </c>
      <c r="L2675" s="468" t="s">
        <v>2354</v>
      </c>
    </row>
    <row r="2676" spans="1:12" x14ac:dyDescent="0.25">
      <c r="A2676" s="468" t="s">
        <v>220</v>
      </c>
      <c r="B2676" s="468" t="s">
        <v>2351</v>
      </c>
      <c r="D2676" s="468" t="s">
        <v>9397</v>
      </c>
      <c r="F2676" s="470">
        <v>2</v>
      </c>
      <c r="G2676" s="468">
        <v>43.12</v>
      </c>
      <c r="H2676" s="479">
        <v>86.24</v>
      </c>
      <c r="I2676" s="468" t="s">
        <v>9218</v>
      </c>
      <c r="J2676" s="468" t="s">
        <v>9219</v>
      </c>
      <c r="K2676" s="468" t="s">
        <v>9219</v>
      </c>
      <c r="L2676" s="468" t="s">
        <v>2354</v>
      </c>
    </row>
    <row r="2677" spans="1:12" x14ac:dyDescent="0.25">
      <c r="A2677" s="468" t="s">
        <v>220</v>
      </c>
      <c r="B2677" s="468" t="s">
        <v>2351</v>
      </c>
      <c r="D2677" s="468" t="s">
        <v>9398</v>
      </c>
      <c r="F2677" s="470">
        <v>2</v>
      </c>
      <c r="G2677" s="468">
        <v>15.423999999999999</v>
      </c>
      <c r="H2677" s="479">
        <v>30.847999999999999</v>
      </c>
      <c r="I2677" s="468" t="s">
        <v>9218</v>
      </c>
      <c r="J2677" s="468" t="s">
        <v>9219</v>
      </c>
      <c r="K2677" s="468" t="s">
        <v>9219</v>
      </c>
      <c r="L2677" s="468" t="s">
        <v>2354</v>
      </c>
    </row>
    <row r="2678" spans="1:12" x14ac:dyDescent="0.25">
      <c r="A2678" s="468" t="s">
        <v>220</v>
      </c>
      <c r="B2678" s="468" t="s">
        <v>2351</v>
      </c>
      <c r="D2678" s="468" t="s">
        <v>9399</v>
      </c>
      <c r="F2678" s="470">
        <v>1</v>
      </c>
      <c r="G2678" s="468">
        <v>4.4720000000000004</v>
      </c>
      <c r="H2678" s="479">
        <v>4.4720000000000004</v>
      </c>
      <c r="I2678" s="468" t="s">
        <v>9218</v>
      </c>
      <c r="J2678" s="468" t="s">
        <v>9219</v>
      </c>
      <c r="K2678" s="468" t="s">
        <v>9219</v>
      </c>
      <c r="L2678" s="468" t="s">
        <v>2354</v>
      </c>
    </row>
    <row r="2679" spans="1:12" x14ac:dyDescent="0.25">
      <c r="A2679" s="468" t="s">
        <v>220</v>
      </c>
      <c r="B2679" s="468" t="s">
        <v>2351</v>
      </c>
      <c r="D2679" s="468" t="s">
        <v>9400</v>
      </c>
      <c r="F2679" s="470">
        <v>1</v>
      </c>
      <c r="G2679" s="468">
        <v>5.2839999999999998</v>
      </c>
      <c r="H2679" s="479">
        <v>5.2839999999999998</v>
      </c>
      <c r="I2679" s="468" t="s">
        <v>9218</v>
      </c>
      <c r="J2679" s="468" t="s">
        <v>9219</v>
      </c>
      <c r="K2679" s="468" t="s">
        <v>9219</v>
      </c>
      <c r="L2679" s="468" t="s">
        <v>2354</v>
      </c>
    </row>
    <row r="2680" spans="1:12" x14ac:dyDescent="0.25">
      <c r="A2680" s="468" t="s">
        <v>220</v>
      </c>
      <c r="B2680" s="468" t="s">
        <v>2351</v>
      </c>
      <c r="D2680" s="468" t="s">
        <v>9401</v>
      </c>
      <c r="F2680" s="470">
        <v>1</v>
      </c>
      <c r="G2680" s="468">
        <v>2.7189999999999999</v>
      </c>
      <c r="H2680" s="479">
        <v>2.7189999999999999</v>
      </c>
      <c r="I2680" s="468" t="s">
        <v>9218</v>
      </c>
      <c r="J2680" s="468" t="s">
        <v>9219</v>
      </c>
      <c r="K2680" s="468" t="s">
        <v>9219</v>
      </c>
      <c r="L2680" s="468" t="s">
        <v>2354</v>
      </c>
    </row>
    <row r="2681" spans="1:12" x14ac:dyDescent="0.25">
      <c r="A2681" s="468" t="s">
        <v>220</v>
      </c>
      <c r="B2681" s="468" t="s">
        <v>2351</v>
      </c>
      <c r="D2681" s="468" t="s">
        <v>9402</v>
      </c>
      <c r="F2681" s="470">
        <v>1</v>
      </c>
      <c r="G2681" s="468">
        <v>5.585</v>
      </c>
      <c r="H2681" s="479">
        <v>5.585</v>
      </c>
      <c r="I2681" s="468" t="s">
        <v>9218</v>
      </c>
      <c r="J2681" s="468" t="s">
        <v>9219</v>
      </c>
      <c r="K2681" s="468" t="s">
        <v>9219</v>
      </c>
      <c r="L2681" s="468" t="s">
        <v>2354</v>
      </c>
    </row>
    <row r="2682" spans="1:12" x14ac:dyDescent="0.25">
      <c r="A2682" s="468" t="s">
        <v>220</v>
      </c>
      <c r="B2682" s="468" t="s">
        <v>2351</v>
      </c>
      <c r="D2682" s="468" t="s">
        <v>9403</v>
      </c>
      <c r="F2682" s="470">
        <v>1</v>
      </c>
      <c r="G2682" s="468">
        <v>12.202999999999999</v>
      </c>
      <c r="H2682" s="479">
        <v>12.202999999999999</v>
      </c>
      <c r="I2682" s="468" t="s">
        <v>9218</v>
      </c>
      <c r="J2682" s="468" t="s">
        <v>9219</v>
      </c>
      <c r="K2682" s="468" t="s">
        <v>9219</v>
      </c>
      <c r="L2682" s="468" t="s">
        <v>2354</v>
      </c>
    </row>
    <row r="2683" spans="1:12" x14ac:dyDescent="0.25">
      <c r="A2683" s="468" t="s">
        <v>220</v>
      </c>
      <c r="B2683" s="468" t="s">
        <v>2351</v>
      </c>
      <c r="D2683" s="468" t="s">
        <v>9404</v>
      </c>
      <c r="F2683" s="470">
        <v>1</v>
      </c>
      <c r="G2683" s="468">
        <v>15.269</v>
      </c>
      <c r="H2683" s="479">
        <v>15.269</v>
      </c>
      <c r="I2683" s="468" t="s">
        <v>9218</v>
      </c>
      <c r="J2683" s="468" t="s">
        <v>9219</v>
      </c>
      <c r="K2683" s="468" t="s">
        <v>9219</v>
      </c>
      <c r="L2683" s="468" t="s">
        <v>2354</v>
      </c>
    </row>
    <row r="2684" spans="1:12" x14ac:dyDescent="0.25">
      <c r="A2684" s="468" t="s">
        <v>220</v>
      </c>
      <c r="B2684" s="468" t="s">
        <v>2351</v>
      </c>
      <c r="D2684" s="468" t="s">
        <v>9405</v>
      </c>
      <c r="F2684" s="470">
        <v>1</v>
      </c>
      <c r="G2684" s="468">
        <v>6.8760000000000003</v>
      </c>
      <c r="H2684" s="479">
        <v>6.8760000000000003</v>
      </c>
      <c r="I2684" s="468" t="s">
        <v>9218</v>
      </c>
      <c r="J2684" s="468" t="s">
        <v>9219</v>
      </c>
      <c r="K2684" s="468" t="s">
        <v>9219</v>
      </c>
      <c r="L2684" s="468" t="s">
        <v>2354</v>
      </c>
    </row>
    <row r="2685" spans="1:12" x14ac:dyDescent="0.25">
      <c r="A2685" s="468" t="s">
        <v>220</v>
      </c>
      <c r="B2685" s="468" t="s">
        <v>2351</v>
      </c>
      <c r="D2685" s="468" t="s">
        <v>9406</v>
      </c>
      <c r="F2685" s="470">
        <v>1</v>
      </c>
      <c r="G2685" s="468">
        <v>4.03</v>
      </c>
      <c r="H2685" s="479">
        <v>4.03</v>
      </c>
      <c r="I2685" s="468" t="s">
        <v>9218</v>
      </c>
      <c r="J2685" s="468" t="s">
        <v>9219</v>
      </c>
      <c r="K2685" s="468" t="s">
        <v>9219</v>
      </c>
      <c r="L2685" s="468" t="s">
        <v>2354</v>
      </c>
    </row>
    <row r="2686" spans="1:12" x14ac:dyDescent="0.25">
      <c r="A2686" s="468" t="s">
        <v>220</v>
      </c>
      <c r="B2686" s="468" t="s">
        <v>2351</v>
      </c>
      <c r="D2686" s="468" t="s">
        <v>9407</v>
      </c>
      <c r="F2686" s="470">
        <v>1</v>
      </c>
      <c r="G2686" s="468">
        <v>5.4809999999999999</v>
      </c>
      <c r="H2686" s="479">
        <v>5.4809999999999999</v>
      </c>
      <c r="I2686" s="468" t="s">
        <v>9218</v>
      </c>
      <c r="J2686" s="468" t="s">
        <v>9219</v>
      </c>
      <c r="K2686" s="468" t="s">
        <v>9219</v>
      </c>
      <c r="L2686" s="468" t="s">
        <v>2354</v>
      </c>
    </row>
    <row r="2687" spans="1:12" x14ac:dyDescent="0.25">
      <c r="A2687" s="468" t="s">
        <v>220</v>
      </c>
      <c r="B2687" s="468" t="s">
        <v>2351</v>
      </c>
      <c r="D2687" s="468" t="s">
        <v>9408</v>
      </c>
      <c r="F2687" s="470">
        <v>1</v>
      </c>
      <c r="G2687" s="468">
        <v>4.03</v>
      </c>
      <c r="H2687" s="479">
        <v>4.03</v>
      </c>
      <c r="I2687" s="468" t="s">
        <v>9218</v>
      </c>
      <c r="J2687" s="468" t="s">
        <v>9219</v>
      </c>
      <c r="K2687" s="468" t="s">
        <v>9219</v>
      </c>
      <c r="L2687" s="468" t="s">
        <v>2354</v>
      </c>
    </row>
    <row r="2688" spans="1:12" x14ac:dyDescent="0.25">
      <c r="A2688" s="468" t="s">
        <v>220</v>
      </c>
      <c r="B2688" s="468" t="s">
        <v>2351</v>
      </c>
      <c r="D2688" s="468" t="s">
        <v>9409</v>
      </c>
      <c r="F2688" s="470">
        <v>1</v>
      </c>
      <c r="G2688" s="468">
        <v>16.157</v>
      </c>
      <c r="H2688" s="479">
        <v>16.157</v>
      </c>
      <c r="I2688" s="468" t="s">
        <v>9218</v>
      </c>
      <c r="J2688" s="468" t="s">
        <v>9219</v>
      </c>
      <c r="K2688" s="468" t="s">
        <v>9219</v>
      </c>
      <c r="L2688" s="468" t="s">
        <v>2354</v>
      </c>
    </row>
    <row r="2689" spans="1:12" x14ac:dyDescent="0.25">
      <c r="A2689" s="468" t="s">
        <v>220</v>
      </c>
      <c r="B2689" s="468" t="s">
        <v>2351</v>
      </c>
      <c r="D2689" s="468" t="s">
        <v>9410</v>
      </c>
      <c r="F2689" s="470">
        <v>1</v>
      </c>
      <c r="G2689" s="468">
        <v>29.384</v>
      </c>
      <c r="H2689" s="479">
        <v>29.384</v>
      </c>
      <c r="I2689" s="468" t="s">
        <v>9218</v>
      </c>
      <c r="J2689" s="468" t="s">
        <v>9219</v>
      </c>
      <c r="K2689" s="468" t="s">
        <v>9219</v>
      </c>
      <c r="L2689" s="468" t="s">
        <v>2354</v>
      </c>
    </row>
    <row r="2690" spans="1:12" x14ac:dyDescent="0.25">
      <c r="A2690" s="468" t="s">
        <v>220</v>
      </c>
      <c r="B2690" s="468" t="s">
        <v>2351</v>
      </c>
      <c r="D2690" s="468" t="s">
        <v>9399</v>
      </c>
      <c r="F2690" s="470">
        <v>1</v>
      </c>
      <c r="G2690" s="468">
        <v>4.4720000000000004</v>
      </c>
      <c r="H2690" s="479">
        <v>4.4720000000000004</v>
      </c>
      <c r="I2690" s="468" t="s">
        <v>9218</v>
      </c>
      <c r="J2690" s="468" t="s">
        <v>9219</v>
      </c>
      <c r="K2690" s="468" t="s">
        <v>9219</v>
      </c>
      <c r="L2690" s="468" t="s">
        <v>2354</v>
      </c>
    </row>
    <row r="2691" spans="1:12" x14ac:dyDescent="0.25">
      <c r="A2691" s="468" t="s">
        <v>220</v>
      </c>
      <c r="B2691" s="468" t="s">
        <v>2351</v>
      </c>
      <c r="D2691" s="468" t="s">
        <v>9400</v>
      </c>
      <c r="F2691" s="470">
        <v>1</v>
      </c>
      <c r="G2691" s="468">
        <v>5.2839999999999998</v>
      </c>
      <c r="H2691" s="479">
        <v>5.2839999999999998</v>
      </c>
      <c r="I2691" s="468" t="s">
        <v>9218</v>
      </c>
      <c r="J2691" s="468" t="s">
        <v>9219</v>
      </c>
      <c r="K2691" s="468" t="s">
        <v>9219</v>
      </c>
      <c r="L2691" s="468" t="s">
        <v>2354</v>
      </c>
    </row>
    <row r="2692" spans="1:12" x14ac:dyDescent="0.25">
      <c r="A2692" s="468" t="s">
        <v>220</v>
      </c>
      <c r="B2692" s="468" t="s">
        <v>2351</v>
      </c>
      <c r="D2692" s="468" t="s">
        <v>9401</v>
      </c>
      <c r="F2692" s="470">
        <v>1</v>
      </c>
      <c r="G2692" s="468">
        <v>2.7189999999999999</v>
      </c>
      <c r="H2692" s="479">
        <v>2.7189999999999999</v>
      </c>
      <c r="I2692" s="468" t="s">
        <v>9218</v>
      </c>
      <c r="J2692" s="468" t="s">
        <v>9219</v>
      </c>
      <c r="K2692" s="468" t="s">
        <v>9219</v>
      </c>
      <c r="L2692" s="468" t="s">
        <v>2354</v>
      </c>
    </row>
    <row r="2693" spans="1:12" x14ac:dyDescent="0.25">
      <c r="A2693" s="468" t="s">
        <v>220</v>
      </c>
      <c r="B2693" s="468" t="s">
        <v>2351</v>
      </c>
      <c r="D2693" s="468" t="s">
        <v>9402</v>
      </c>
      <c r="F2693" s="470">
        <v>1</v>
      </c>
      <c r="G2693" s="468">
        <v>5.585</v>
      </c>
      <c r="H2693" s="479">
        <v>5.585</v>
      </c>
      <c r="I2693" s="468" t="s">
        <v>9218</v>
      </c>
      <c r="J2693" s="468" t="s">
        <v>9219</v>
      </c>
      <c r="K2693" s="468" t="s">
        <v>9219</v>
      </c>
      <c r="L2693" s="468" t="s">
        <v>2354</v>
      </c>
    </row>
    <row r="2694" spans="1:12" x14ac:dyDescent="0.25">
      <c r="A2694" s="468" t="s">
        <v>220</v>
      </c>
      <c r="B2694" s="468" t="s">
        <v>2351</v>
      </c>
      <c r="D2694" s="468" t="s">
        <v>9403</v>
      </c>
      <c r="F2694" s="470">
        <v>1</v>
      </c>
      <c r="G2694" s="468">
        <v>12.202999999999999</v>
      </c>
      <c r="H2694" s="479">
        <v>12.202999999999999</v>
      </c>
      <c r="I2694" s="468" t="s">
        <v>9218</v>
      </c>
      <c r="J2694" s="468" t="s">
        <v>9219</v>
      </c>
      <c r="K2694" s="468" t="s">
        <v>9219</v>
      </c>
      <c r="L2694" s="468" t="s">
        <v>2354</v>
      </c>
    </row>
    <row r="2695" spans="1:12" x14ac:dyDescent="0.25">
      <c r="A2695" s="468" t="s">
        <v>220</v>
      </c>
      <c r="B2695" s="468" t="s">
        <v>2351</v>
      </c>
      <c r="D2695" s="468" t="s">
        <v>9411</v>
      </c>
      <c r="F2695" s="470">
        <v>1</v>
      </c>
      <c r="G2695" s="468">
        <v>15.295999999999999</v>
      </c>
      <c r="H2695" s="479">
        <v>15.295999999999999</v>
      </c>
      <c r="I2695" s="468" t="s">
        <v>9218</v>
      </c>
      <c r="J2695" s="468" t="s">
        <v>9219</v>
      </c>
      <c r="K2695" s="468" t="s">
        <v>9219</v>
      </c>
      <c r="L2695" s="468" t="s">
        <v>2354</v>
      </c>
    </row>
    <row r="2696" spans="1:12" x14ac:dyDescent="0.25">
      <c r="A2696" s="468" t="s">
        <v>220</v>
      </c>
      <c r="B2696" s="468" t="s">
        <v>2351</v>
      </c>
      <c r="D2696" s="468" t="s">
        <v>9405</v>
      </c>
      <c r="F2696" s="470">
        <v>1</v>
      </c>
      <c r="G2696" s="468">
        <v>6.8760000000000003</v>
      </c>
      <c r="H2696" s="479">
        <v>6.8760000000000003</v>
      </c>
      <c r="I2696" s="468" t="s">
        <v>9218</v>
      </c>
      <c r="J2696" s="468" t="s">
        <v>9219</v>
      </c>
      <c r="K2696" s="468" t="s">
        <v>9219</v>
      </c>
      <c r="L2696" s="468" t="s">
        <v>2354</v>
      </c>
    </row>
    <row r="2697" spans="1:12" x14ac:dyDescent="0.25">
      <c r="A2697" s="468" t="s">
        <v>220</v>
      </c>
      <c r="B2697" s="468" t="s">
        <v>2351</v>
      </c>
      <c r="D2697" s="468" t="s">
        <v>9406</v>
      </c>
      <c r="F2697" s="470">
        <v>1</v>
      </c>
      <c r="G2697" s="468">
        <v>4.03</v>
      </c>
      <c r="H2697" s="479">
        <v>4.03</v>
      </c>
      <c r="I2697" s="468" t="s">
        <v>9218</v>
      </c>
      <c r="J2697" s="468" t="s">
        <v>9219</v>
      </c>
      <c r="K2697" s="468" t="s">
        <v>9219</v>
      </c>
      <c r="L2697" s="468" t="s">
        <v>2354</v>
      </c>
    </row>
    <row r="2698" spans="1:12" x14ac:dyDescent="0.25">
      <c r="A2698" s="468" t="s">
        <v>220</v>
      </c>
      <c r="B2698" s="468" t="s">
        <v>2351</v>
      </c>
      <c r="D2698" s="468" t="s">
        <v>9407</v>
      </c>
      <c r="F2698" s="470">
        <v>1</v>
      </c>
      <c r="G2698" s="468">
        <v>5.4809999999999999</v>
      </c>
      <c r="H2698" s="479">
        <v>5.4809999999999999</v>
      </c>
      <c r="I2698" s="468" t="s">
        <v>9218</v>
      </c>
      <c r="J2698" s="468" t="s">
        <v>9219</v>
      </c>
      <c r="K2698" s="468" t="s">
        <v>9219</v>
      </c>
      <c r="L2698" s="468" t="s">
        <v>2354</v>
      </c>
    </row>
    <row r="2699" spans="1:12" x14ac:dyDescent="0.25">
      <c r="A2699" s="468" t="s">
        <v>220</v>
      </c>
      <c r="B2699" s="468" t="s">
        <v>2351</v>
      </c>
      <c r="D2699" s="468" t="s">
        <v>9408</v>
      </c>
      <c r="F2699" s="470">
        <v>1</v>
      </c>
      <c r="G2699" s="468">
        <v>4.03</v>
      </c>
      <c r="H2699" s="479">
        <v>4.03</v>
      </c>
      <c r="I2699" s="468" t="s">
        <v>9218</v>
      </c>
      <c r="J2699" s="468" t="s">
        <v>9219</v>
      </c>
      <c r="K2699" s="468" t="s">
        <v>9219</v>
      </c>
      <c r="L2699" s="468" t="s">
        <v>2354</v>
      </c>
    </row>
    <row r="2700" spans="1:12" x14ac:dyDescent="0.25">
      <c r="A2700" s="468" t="s">
        <v>220</v>
      </c>
      <c r="B2700" s="468" t="s">
        <v>2351</v>
      </c>
      <c r="D2700" s="468" t="s">
        <v>9412</v>
      </c>
      <c r="F2700" s="470">
        <v>1</v>
      </c>
      <c r="G2700" s="468">
        <v>8.577</v>
      </c>
      <c r="H2700" s="479">
        <v>8.577</v>
      </c>
      <c r="I2700" s="468" t="s">
        <v>9218</v>
      </c>
      <c r="J2700" s="468" t="s">
        <v>9219</v>
      </c>
      <c r="K2700" s="468" t="s">
        <v>9219</v>
      </c>
      <c r="L2700" s="468" t="s">
        <v>2354</v>
      </c>
    </row>
    <row r="2701" spans="1:12" x14ac:dyDescent="0.25">
      <c r="A2701" s="468" t="s">
        <v>220</v>
      </c>
      <c r="B2701" s="468" t="s">
        <v>2351</v>
      </c>
      <c r="D2701" s="468" t="s">
        <v>9413</v>
      </c>
      <c r="F2701" s="470">
        <v>1</v>
      </c>
      <c r="G2701" s="468">
        <v>22.012</v>
      </c>
      <c r="H2701" s="479">
        <v>22.012</v>
      </c>
      <c r="I2701" s="468" t="s">
        <v>9218</v>
      </c>
      <c r="J2701" s="468" t="s">
        <v>9219</v>
      </c>
      <c r="K2701" s="468" t="s">
        <v>9219</v>
      </c>
      <c r="L2701" s="468" t="s">
        <v>2354</v>
      </c>
    </row>
    <row r="2702" spans="1:12" x14ac:dyDescent="0.25">
      <c r="A2702" s="468" t="s">
        <v>220</v>
      </c>
      <c r="B2702" s="468" t="s">
        <v>2351</v>
      </c>
      <c r="D2702" s="468" t="s">
        <v>9414</v>
      </c>
      <c r="F2702" s="470">
        <v>1</v>
      </c>
      <c r="G2702" s="468">
        <v>13.14</v>
      </c>
      <c r="H2702" s="479">
        <v>13.14</v>
      </c>
      <c r="I2702" s="468" t="s">
        <v>9218</v>
      </c>
      <c r="J2702" s="468" t="s">
        <v>9219</v>
      </c>
      <c r="K2702" s="468" t="s">
        <v>9219</v>
      </c>
      <c r="L2702" s="468" t="s">
        <v>2354</v>
      </c>
    </row>
    <row r="2703" spans="1:12" x14ac:dyDescent="0.25">
      <c r="A2703" s="468" t="s">
        <v>220</v>
      </c>
      <c r="B2703" s="468" t="s">
        <v>2351</v>
      </c>
      <c r="D2703" s="468" t="s">
        <v>9415</v>
      </c>
      <c r="F2703" s="470">
        <v>1</v>
      </c>
      <c r="G2703" s="468">
        <v>16.099</v>
      </c>
      <c r="H2703" s="479">
        <v>16.099</v>
      </c>
      <c r="I2703" s="468" t="s">
        <v>9218</v>
      </c>
      <c r="J2703" s="468" t="s">
        <v>9219</v>
      </c>
      <c r="K2703" s="468" t="s">
        <v>9219</v>
      </c>
      <c r="L2703" s="468" t="s">
        <v>2354</v>
      </c>
    </row>
    <row r="2704" spans="1:12" x14ac:dyDescent="0.25">
      <c r="A2704" s="468" t="s">
        <v>220</v>
      </c>
      <c r="B2704" s="468" t="s">
        <v>2351</v>
      </c>
      <c r="D2704" s="468" t="s">
        <v>9416</v>
      </c>
      <c r="F2704" s="470">
        <v>1</v>
      </c>
      <c r="G2704" s="468">
        <v>4.03</v>
      </c>
      <c r="H2704" s="479">
        <v>4.03</v>
      </c>
      <c r="I2704" s="468" t="s">
        <v>9218</v>
      </c>
      <c r="J2704" s="468" t="s">
        <v>9219</v>
      </c>
      <c r="K2704" s="468" t="s">
        <v>9219</v>
      </c>
      <c r="L2704" s="468" t="s">
        <v>2354</v>
      </c>
    </row>
    <row r="2705" spans="1:12" x14ac:dyDescent="0.25">
      <c r="A2705" s="468" t="s">
        <v>220</v>
      </c>
      <c r="B2705" s="468" t="s">
        <v>2351</v>
      </c>
      <c r="D2705" s="468" t="s">
        <v>9417</v>
      </c>
      <c r="F2705" s="470">
        <v>1</v>
      </c>
      <c r="G2705" s="468">
        <v>16.157</v>
      </c>
      <c r="H2705" s="479">
        <v>16.157</v>
      </c>
      <c r="I2705" s="468" t="s">
        <v>9218</v>
      </c>
      <c r="J2705" s="468" t="s">
        <v>9219</v>
      </c>
      <c r="K2705" s="468" t="s">
        <v>9219</v>
      </c>
      <c r="L2705" s="468" t="s">
        <v>2354</v>
      </c>
    </row>
    <row r="2706" spans="1:12" x14ac:dyDescent="0.25">
      <c r="A2706" s="468" t="s">
        <v>220</v>
      </c>
      <c r="B2706" s="468" t="s">
        <v>2351</v>
      </c>
      <c r="D2706" s="468" t="s">
        <v>9410</v>
      </c>
      <c r="F2706" s="470">
        <v>1</v>
      </c>
      <c r="G2706" s="468">
        <v>29.384</v>
      </c>
      <c r="H2706" s="479">
        <v>29.384</v>
      </c>
      <c r="I2706" s="468" t="s">
        <v>9218</v>
      </c>
      <c r="J2706" s="468" t="s">
        <v>9219</v>
      </c>
      <c r="K2706" s="468" t="s">
        <v>9219</v>
      </c>
      <c r="L2706" s="468" t="s">
        <v>2354</v>
      </c>
    </row>
    <row r="2707" spans="1:12" x14ac:dyDescent="0.25">
      <c r="A2707" s="468" t="s">
        <v>220</v>
      </c>
      <c r="B2707" s="468" t="s">
        <v>2351</v>
      </c>
      <c r="D2707" s="468" t="s">
        <v>9399</v>
      </c>
      <c r="F2707" s="470">
        <v>1</v>
      </c>
      <c r="G2707" s="468">
        <v>4.4720000000000004</v>
      </c>
      <c r="H2707" s="479">
        <v>4.4720000000000004</v>
      </c>
      <c r="I2707" s="468" t="s">
        <v>9218</v>
      </c>
      <c r="J2707" s="468" t="s">
        <v>9219</v>
      </c>
      <c r="K2707" s="468" t="s">
        <v>9219</v>
      </c>
      <c r="L2707" s="468" t="s">
        <v>2354</v>
      </c>
    </row>
    <row r="2708" spans="1:12" x14ac:dyDescent="0.25">
      <c r="A2708" s="468" t="s">
        <v>220</v>
      </c>
      <c r="B2708" s="468" t="s">
        <v>2351</v>
      </c>
      <c r="D2708" s="468" t="s">
        <v>9400</v>
      </c>
      <c r="F2708" s="470">
        <v>1</v>
      </c>
      <c r="G2708" s="468">
        <v>5.2839999999999998</v>
      </c>
      <c r="H2708" s="479">
        <v>5.2839999999999998</v>
      </c>
      <c r="I2708" s="468" t="s">
        <v>9218</v>
      </c>
      <c r="J2708" s="468" t="s">
        <v>9219</v>
      </c>
      <c r="K2708" s="468" t="s">
        <v>9219</v>
      </c>
      <c r="L2708" s="468" t="s">
        <v>2354</v>
      </c>
    </row>
    <row r="2709" spans="1:12" x14ac:dyDescent="0.25">
      <c r="A2709" s="468" t="s">
        <v>220</v>
      </c>
      <c r="B2709" s="468" t="s">
        <v>2351</v>
      </c>
      <c r="D2709" s="468" t="s">
        <v>9401</v>
      </c>
      <c r="F2709" s="470">
        <v>1</v>
      </c>
      <c r="G2709" s="468">
        <v>2.7189999999999999</v>
      </c>
      <c r="H2709" s="479">
        <v>2.7189999999999999</v>
      </c>
      <c r="I2709" s="468" t="s">
        <v>9218</v>
      </c>
      <c r="J2709" s="468" t="s">
        <v>9219</v>
      </c>
      <c r="K2709" s="468" t="s">
        <v>9219</v>
      </c>
      <c r="L2709" s="468" t="s">
        <v>2354</v>
      </c>
    </row>
    <row r="2710" spans="1:12" x14ac:dyDescent="0.25">
      <c r="A2710" s="468" t="s">
        <v>220</v>
      </c>
      <c r="B2710" s="468" t="s">
        <v>2351</v>
      </c>
      <c r="D2710" s="468" t="s">
        <v>9402</v>
      </c>
      <c r="F2710" s="470">
        <v>1</v>
      </c>
      <c r="G2710" s="468">
        <v>5.585</v>
      </c>
      <c r="H2710" s="479">
        <v>5.585</v>
      </c>
      <c r="I2710" s="468" t="s">
        <v>9218</v>
      </c>
      <c r="J2710" s="468" t="s">
        <v>9219</v>
      </c>
      <c r="K2710" s="468" t="s">
        <v>9219</v>
      </c>
      <c r="L2710" s="468" t="s">
        <v>2354</v>
      </c>
    </row>
    <row r="2711" spans="1:12" x14ac:dyDescent="0.25">
      <c r="A2711" s="468" t="s">
        <v>220</v>
      </c>
      <c r="B2711" s="468" t="s">
        <v>2351</v>
      </c>
      <c r="D2711" s="468" t="s">
        <v>9403</v>
      </c>
      <c r="F2711" s="470">
        <v>1</v>
      </c>
      <c r="G2711" s="468">
        <v>12.202999999999999</v>
      </c>
      <c r="H2711" s="479">
        <v>12.202999999999999</v>
      </c>
      <c r="I2711" s="468" t="s">
        <v>9218</v>
      </c>
      <c r="J2711" s="468" t="s">
        <v>9219</v>
      </c>
      <c r="K2711" s="468" t="s">
        <v>9219</v>
      </c>
      <c r="L2711" s="468" t="s">
        <v>2354</v>
      </c>
    </row>
    <row r="2712" spans="1:12" x14ac:dyDescent="0.25">
      <c r="A2712" s="468" t="s">
        <v>220</v>
      </c>
      <c r="B2712" s="468" t="s">
        <v>2351</v>
      </c>
      <c r="D2712" s="468" t="s">
        <v>9405</v>
      </c>
      <c r="F2712" s="470">
        <v>1</v>
      </c>
      <c r="G2712" s="468">
        <v>6.8760000000000003</v>
      </c>
      <c r="H2712" s="479">
        <v>6.8760000000000003</v>
      </c>
      <c r="I2712" s="468" t="s">
        <v>9218</v>
      </c>
      <c r="J2712" s="468" t="s">
        <v>9219</v>
      </c>
      <c r="K2712" s="468" t="s">
        <v>9219</v>
      </c>
      <c r="L2712" s="468" t="s">
        <v>2354</v>
      </c>
    </row>
    <row r="2713" spans="1:12" x14ac:dyDescent="0.25">
      <c r="A2713" s="468" t="s">
        <v>220</v>
      </c>
      <c r="B2713" s="468" t="s">
        <v>2351</v>
      </c>
      <c r="D2713" s="468" t="s">
        <v>9406</v>
      </c>
      <c r="F2713" s="470">
        <v>1</v>
      </c>
      <c r="G2713" s="468">
        <v>4.03</v>
      </c>
      <c r="H2713" s="479">
        <v>4.03</v>
      </c>
      <c r="I2713" s="468" t="s">
        <v>9218</v>
      </c>
      <c r="J2713" s="468" t="s">
        <v>9219</v>
      </c>
      <c r="K2713" s="468" t="s">
        <v>9219</v>
      </c>
      <c r="L2713" s="468" t="s">
        <v>2354</v>
      </c>
    </row>
    <row r="2714" spans="1:12" x14ac:dyDescent="0.25">
      <c r="A2714" s="468" t="s">
        <v>220</v>
      </c>
      <c r="B2714" s="468" t="s">
        <v>2351</v>
      </c>
      <c r="D2714" s="468" t="s">
        <v>9407</v>
      </c>
      <c r="F2714" s="470">
        <v>1</v>
      </c>
      <c r="G2714" s="468">
        <v>5.4809999999999999</v>
      </c>
      <c r="H2714" s="479">
        <v>5.4809999999999999</v>
      </c>
      <c r="I2714" s="468" t="s">
        <v>9218</v>
      </c>
      <c r="J2714" s="468" t="s">
        <v>9219</v>
      </c>
      <c r="K2714" s="468" t="s">
        <v>9219</v>
      </c>
      <c r="L2714" s="468" t="s">
        <v>2354</v>
      </c>
    </row>
    <row r="2715" spans="1:12" x14ac:dyDescent="0.25">
      <c r="A2715" s="468" t="s">
        <v>220</v>
      </c>
      <c r="B2715" s="468" t="s">
        <v>2351</v>
      </c>
      <c r="D2715" s="468" t="s">
        <v>9408</v>
      </c>
      <c r="F2715" s="470">
        <v>1</v>
      </c>
      <c r="G2715" s="468">
        <v>4.03</v>
      </c>
      <c r="H2715" s="479">
        <v>4.03</v>
      </c>
      <c r="I2715" s="468" t="s">
        <v>9218</v>
      </c>
      <c r="J2715" s="468" t="s">
        <v>9219</v>
      </c>
      <c r="K2715" s="468" t="s">
        <v>9219</v>
      </c>
      <c r="L2715" s="468" t="s">
        <v>2354</v>
      </c>
    </row>
    <row r="2716" spans="1:12" x14ac:dyDescent="0.25">
      <c r="A2716" s="468" t="s">
        <v>220</v>
      </c>
      <c r="B2716" s="468" t="s">
        <v>2351</v>
      </c>
      <c r="D2716" s="468" t="s">
        <v>9412</v>
      </c>
      <c r="F2716" s="470">
        <v>1</v>
      </c>
      <c r="G2716" s="468">
        <v>8.577</v>
      </c>
      <c r="H2716" s="479">
        <v>8.577</v>
      </c>
      <c r="I2716" s="468" t="s">
        <v>9218</v>
      </c>
      <c r="J2716" s="468" t="s">
        <v>9219</v>
      </c>
      <c r="K2716" s="468" t="s">
        <v>9219</v>
      </c>
      <c r="L2716" s="468" t="s">
        <v>2354</v>
      </c>
    </row>
    <row r="2717" spans="1:12" x14ac:dyDescent="0.25">
      <c r="A2717" s="468" t="s">
        <v>220</v>
      </c>
      <c r="B2717" s="468" t="s">
        <v>2351</v>
      </c>
      <c r="D2717" s="468" t="s">
        <v>9413</v>
      </c>
      <c r="F2717" s="470">
        <v>1</v>
      </c>
      <c r="G2717" s="468">
        <v>22.012</v>
      </c>
      <c r="H2717" s="479">
        <v>22.012</v>
      </c>
      <c r="I2717" s="468" t="s">
        <v>9218</v>
      </c>
      <c r="J2717" s="468" t="s">
        <v>9219</v>
      </c>
      <c r="K2717" s="468" t="s">
        <v>9219</v>
      </c>
      <c r="L2717" s="468" t="s">
        <v>2354</v>
      </c>
    </row>
    <row r="2718" spans="1:12" x14ac:dyDescent="0.25">
      <c r="A2718" s="468" t="s">
        <v>220</v>
      </c>
      <c r="B2718" s="468" t="s">
        <v>2351</v>
      </c>
      <c r="D2718" s="468" t="s">
        <v>9414</v>
      </c>
      <c r="F2718" s="470">
        <v>1</v>
      </c>
      <c r="G2718" s="468">
        <v>13.14</v>
      </c>
      <c r="H2718" s="479">
        <v>13.14</v>
      </c>
      <c r="I2718" s="468" t="s">
        <v>9218</v>
      </c>
      <c r="J2718" s="468" t="s">
        <v>9219</v>
      </c>
      <c r="K2718" s="468" t="s">
        <v>9219</v>
      </c>
      <c r="L2718" s="468" t="s">
        <v>2354</v>
      </c>
    </row>
    <row r="2719" spans="1:12" x14ac:dyDescent="0.25">
      <c r="A2719" s="468" t="s">
        <v>220</v>
      </c>
      <c r="B2719" s="468" t="s">
        <v>2351</v>
      </c>
      <c r="D2719" s="468" t="s">
        <v>9415</v>
      </c>
      <c r="F2719" s="470">
        <v>1</v>
      </c>
      <c r="G2719" s="468">
        <v>16.099</v>
      </c>
      <c r="H2719" s="479">
        <v>16.099</v>
      </c>
      <c r="I2719" s="468" t="s">
        <v>9218</v>
      </c>
      <c r="J2719" s="468" t="s">
        <v>9219</v>
      </c>
      <c r="K2719" s="468" t="s">
        <v>9219</v>
      </c>
      <c r="L2719" s="468" t="s">
        <v>2354</v>
      </c>
    </row>
    <row r="2720" spans="1:12" x14ac:dyDescent="0.25">
      <c r="A2720" s="468" t="s">
        <v>220</v>
      </c>
      <c r="B2720" s="468" t="s">
        <v>2351</v>
      </c>
      <c r="D2720" s="468" t="s">
        <v>9417</v>
      </c>
      <c r="F2720" s="470">
        <v>1</v>
      </c>
      <c r="G2720" s="468">
        <v>16.157</v>
      </c>
      <c r="H2720" s="479">
        <v>16.157</v>
      </c>
      <c r="I2720" s="468" t="s">
        <v>9218</v>
      </c>
      <c r="J2720" s="468" t="s">
        <v>9219</v>
      </c>
      <c r="K2720" s="468" t="s">
        <v>9219</v>
      </c>
      <c r="L2720" s="468" t="s">
        <v>2354</v>
      </c>
    </row>
    <row r="2721" spans="1:12" x14ac:dyDescent="0.25">
      <c r="A2721" s="468" t="s">
        <v>220</v>
      </c>
      <c r="B2721" s="468" t="s">
        <v>2351</v>
      </c>
      <c r="D2721" s="468" t="s">
        <v>9410</v>
      </c>
      <c r="F2721" s="470">
        <v>1</v>
      </c>
      <c r="G2721" s="468">
        <v>29.384</v>
      </c>
      <c r="H2721" s="479">
        <v>29.384</v>
      </c>
      <c r="I2721" s="468" t="s">
        <v>9218</v>
      </c>
      <c r="J2721" s="468" t="s">
        <v>9219</v>
      </c>
      <c r="K2721" s="468" t="s">
        <v>9219</v>
      </c>
      <c r="L2721" s="468" t="s">
        <v>2354</v>
      </c>
    </row>
    <row r="2722" spans="1:12" x14ac:dyDescent="0.25">
      <c r="A2722" s="468" t="s">
        <v>220</v>
      </c>
      <c r="B2722" s="468" t="s">
        <v>2351</v>
      </c>
      <c r="D2722" s="468" t="s">
        <v>9399</v>
      </c>
      <c r="F2722" s="470">
        <v>1</v>
      </c>
      <c r="G2722" s="468">
        <v>4.4720000000000004</v>
      </c>
      <c r="H2722" s="479">
        <v>4.4720000000000004</v>
      </c>
      <c r="I2722" s="468" t="s">
        <v>9218</v>
      </c>
      <c r="J2722" s="468" t="s">
        <v>9219</v>
      </c>
      <c r="K2722" s="468" t="s">
        <v>9219</v>
      </c>
      <c r="L2722" s="468" t="s">
        <v>2354</v>
      </c>
    </row>
    <row r="2723" spans="1:12" x14ac:dyDescent="0.25">
      <c r="A2723" s="468" t="s">
        <v>220</v>
      </c>
      <c r="B2723" s="468" t="s">
        <v>2351</v>
      </c>
      <c r="D2723" s="468" t="s">
        <v>9400</v>
      </c>
      <c r="F2723" s="470">
        <v>1</v>
      </c>
      <c r="G2723" s="468">
        <v>5.2839999999999998</v>
      </c>
      <c r="H2723" s="479">
        <v>5.2839999999999998</v>
      </c>
      <c r="I2723" s="468" t="s">
        <v>9218</v>
      </c>
      <c r="J2723" s="468" t="s">
        <v>9219</v>
      </c>
      <c r="K2723" s="468" t="s">
        <v>9219</v>
      </c>
      <c r="L2723" s="468" t="s">
        <v>2354</v>
      </c>
    </row>
    <row r="2724" spans="1:12" x14ac:dyDescent="0.25">
      <c r="A2724" s="468" t="s">
        <v>220</v>
      </c>
      <c r="B2724" s="468" t="s">
        <v>2351</v>
      </c>
      <c r="D2724" s="468" t="s">
        <v>9401</v>
      </c>
      <c r="F2724" s="470">
        <v>1</v>
      </c>
      <c r="G2724" s="468">
        <v>2.7189999999999999</v>
      </c>
      <c r="H2724" s="479">
        <v>2.7189999999999999</v>
      </c>
      <c r="I2724" s="468" t="s">
        <v>9218</v>
      </c>
      <c r="J2724" s="468" t="s">
        <v>9219</v>
      </c>
      <c r="K2724" s="468" t="s">
        <v>9219</v>
      </c>
      <c r="L2724" s="468" t="s">
        <v>2354</v>
      </c>
    </row>
    <row r="2725" spans="1:12" x14ac:dyDescent="0.25">
      <c r="A2725" s="468" t="s">
        <v>220</v>
      </c>
      <c r="B2725" s="468" t="s">
        <v>2351</v>
      </c>
      <c r="D2725" s="468" t="s">
        <v>9402</v>
      </c>
      <c r="F2725" s="470">
        <v>1</v>
      </c>
      <c r="G2725" s="468">
        <v>5.585</v>
      </c>
      <c r="H2725" s="479">
        <v>5.585</v>
      </c>
      <c r="I2725" s="468" t="s">
        <v>9218</v>
      </c>
      <c r="J2725" s="468" t="s">
        <v>9219</v>
      </c>
      <c r="K2725" s="468" t="s">
        <v>9219</v>
      </c>
      <c r="L2725" s="468" t="s">
        <v>2354</v>
      </c>
    </row>
    <row r="2726" spans="1:12" x14ac:dyDescent="0.25">
      <c r="A2726" s="468" t="s">
        <v>220</v>
      </c>
      <c r="B2726" s="468" t="s">
        <v>2351</v>
      </c>
      <c r="D2726" s="468" t="s">
        <v>9403</v>
      </c>
      <c r="F2726" s="470">
        <v>1</v>
      </c>
      <c r="G2726" s="468">
        <v>12.202999999999999</v>
      </c>
      <c r="H2726" s="479">
        <v>12.202999999999999</v>
      </c>
      <c r="I2726" s="468" t="s">
        <v>9218</v>
      </c>
      <c r="J2726" s="468" t="s">
        <v>9219</v>
      </c>
      <c r="K2726" s="468" t="s">
        <v>9219</v>
      </c>
      <c r="L2726" s="468" t="s">
        <v>2354</v>
      </c>
    </row>
    <row r="2727" spans="1:12" x14ac:dyDescent="0.25">
      <c r="A2727" s="468" t="s">
        <v>220</v>
      </c>
      <c r="B2727" s="468" t="s">
        <v>2351</v>
      </c>
      <c r="D2727" s="468" t="s">
        <v>9405</v>
      </c>
      <c r="F2727" s="470">
        <v>1</v>
      </c>
      <c r="G2727" s="468">
        <v>6.8760000000000003</v>
      </c>
      <c r="H2727" s="479">
        <v>6.8760000000000003</v>
      </c>
      <c r="I2727" s="468" t="s">
        <v>9218</v>
      </c>
      <c r="J2727" s="468" t="s">
        <v>9219</v>
      </c>
      <c r="K2727" s="468" t="s">
        <v>9219</v>
      </c>
      <c r="L2727" s="468" t="s">
        <v>2354</v>
      </c>
    </row>
    <row r="2728" spans="1:12" x14ac:dyDescent="0.25">
      <c r="A2728" s="468" t="s">
        <v>220</v>
      </c>
      <c r="B2728" s="468" t="s">
        <v>2351</v>
      </c>
      <c r="D2728" s="468" t="s">
        <v>9406</v>
      </c>
      <c r="F2728" s="470">
        <v>1</v>
      </c>
      <c r="G2728" s="468">
        <v>4.03</v>
      </c>
      <c r="H2728" s="479">
        <v>4.03</v>
      </c>
      <c r="I2728" s="468" t="s">
        <v>9218</v>
      </c>
      <c r="J2728" s="468" t="s">
        <v>9219</v>
      </c>
      <c r="K2728" s="468" t="s">
        <v>9219</v>
      </c>
      <c r="L2728" s="468" t="s">
        <v>2354</v>
      </c>
    </row>
    <row r="2729" spans="1:12" x14ac:dyDescent="0.25">
      <c r="A2729" s="468" t="s">
        <v>220</v>
      </c>
      <c r="B2729" s="468" t="s">
        <v>2351</v>
      </c>
      <c r="D2729" s="468" t="s">
        <v>9407</v>
      </c>
      <c r="F2729" s="470">
        <v>1</v>
      </c>
      <c r="G2729" s="468">
        <v>5.4809999999999999</v>
      </c>
      <c r="H2729" s="479">
        <v>5.4809999999999999</v>
      </c>
      <c r="I2729" s="468" t="s">
        <v>9218</v>
      </c>
      <c r="J2729" s="468" t="s">
        <v>9219</v>
      </c>
      <c r="K2729" s="468" t="s">
        <v>9219</v>
      </c>
      <c r="L2729" s="468" t="s">
        <v>2354</v>
      </c>
    </row>
    <row r="2730" spans="1:12" x14ac:dyDescent="0.25">
      <c r="A2730" s="468" t="s">
        <v>220</v>
      </c>
      <c r="B2730" s="468" t="s">
        <v>2351</v>
      </c>
      <c r="D2730" s="468" t="s">
        <v>9408</v>
      </c>
      <c r="F2730" s="470">
        <v>1</v>
      </c>
      <c r="G2730" s="468">
        <v>4.03</v>
      </c>
      <c r="H2730" s="479">
        <v>4.03</v>
      </c>
      <c r="I2730" s="468" t="s">
        <v>9218</v>
      </c>
      <c r="J2730" s="468" t="s">
        <v>9219</v>
      </c>
      <c r="K2730" s="468" t="s">
        <v>9219</v>
      </c>
      <c r="L2730" s="468" t="s">
        <v>2354</v>
      </c>
    </row>
    <row r="2731" spans="1:12" x14ac:dyDescent="0.25">
      <c r="A2731" s="468" t="s">
        <v>220</v>
      </c>
      <c r="B2731" s="468" t="s">
        <v>2351</v>
      </c>
      <c r="D2731" s="468" t="s">
        <v>9412</v>
      </c>
      <c r="F2731" s="470">
        <v>1</v>
      </c>
      <c r="G2731" s="468">
        <v>8.577</v>
      </c>
      <c r="H2731" s="479">
        <v>8.577</v>
      </c>
      <c r="I2731" s="468" t="s">
        <v>9218</v>
      </c>
      <c r="J2731" s="468" t="s">
        <v>9219</v>
      </c>
      <c r="K2731" s="468" t="s">
        <v>9219</v>
      </c>
      <c r="L2731" s="468" t="s">
        <v>2354</v>
      </c>
    </row>
    <row r="2732" spans="1:12" x14ac:dyDescent="0.25">
      <c r="A2732" s="468" t="s">
        <v>220</v>
      </c>
      <c r="B2732" s="468" t="s">
        <v>2351</v>
      </c>
      <c r="D2732" s="468" t="s">
        <v>9413</v>
      </c>
      <c r="F2732" s="470">
        <v>1</v>
      </c>
      <c r="G2732" s="468">
        <v>22.012</v>
      </c>
      <c r="H2732" s="479">
        <v>22.012</v>
      </c>
      <c r="I2732" s="468" t="s">
        <v>9218</v>
      </c>
      <c r="J2732" s="468" t="s">
        <v>9219</v>
      </c>
      <c r="K2732" s="468" t="s">
        <v>9219</v>
      </c>
      <c r="L2732" s="468" t="s">
        <v>2354</v>
      </c>
    </row>
    <row r="2733" spans="1:12" x14ac:dyDescent="0.25">
      <c r="A2733" s="468" t="s">
        <v>220</v>
      </c>
      <c r="B2733" s="468" t="s">
        <v>2351</v>
      </c>
      <c r="D2733" s="468" t="s">
        <v>9414</v>
      </c>
      <c r="F2733" s="470">
        <v>1</v>
      </c>
      <c r="G2733" s="468">
        <v>13.14</v>
      </c>
      <c r="H2733" s="479">
        <v>13.14</v>
      </c>
      <c r="I2733" s="468" t="s">
        <v>9218</v>
      </c>
      <c r="J2733" s="468" t="s">
        <v>9219</v>
      </c>
      <c r="K2733" s="468" t="s">
        <v>9219</v>
      </c>
      <c r="L2733" s="468" t="s">
        <v>2354</v>
      </c>
    </row>
    <row r="2734" spans="1:12" x14ac:dyDescent="0.25">
      <c r="A2734" s="468" t="s">
        <v>220</v>
      </c>
      <c r="B2734" s="468" t="s">
        <v>2351</v>
      </c>
      <c r="D2734" s="468" t="s">
        <v>9418</v>
      </c>
      <c r="F2734" s="470">
        <v>3</v>
      </c>
      <c r="G2734" s="468">
        <v>91.212000000000003</v>
      </c>
      <c r="H2734" s="479">
        <v>273.63600000000002</v>
      </c>
      <c r="I2734" s="468" t="s">
        <v>9218</v>
      </c>
      <c r="J2734" s="468" t="s">
        <v>9219</v>
      </c>
      <c r="K2734" s="468" t="s">
        <v>9219</v>
      </c>
      <c r="L2734" s="468" t="s">
        <v>2354</v>
      </c>
    </row>
    <row r="2735" spans="1:12" x14ac:dyDescent="0.25">
      <c r="A2735" s="468" t="s">
        <v>220</v>
      </c>
      <c r="B2735" s="468" t="s">
        <v>2351</v>
      </c>
      <c r="D2735" s="468" t="s">
        <v>9415</v>
      </c>
      <c r="F2735" s="470">
        <v>1</v>
      </c>
      <c r="G2735" s="468">
        <v>16.099</v>
      </c>
      <c r="H2735" s="479">
        <v>16.099</v>
      </c>
      <c r="I2735" s="468" t="s">
        <v>9218</v>
      </c>
      <c r="J2735" s="468" t="s">
        <v>9219</v>
      </c>
      <c r="K2735" s="468" t="s">
        <v>9219</v>
      </c>
      <c r="L2735" s="468" t="s">
        <v>2354</v>
      </c>
    </row>
    <row r="2736" spans="1:12" x14ac:dyDescent="0.25">
      <c r="A2736" s="468" t="s">
        <v>220</v>
      </c>
      <c r="B2736" s="468" t="s">
        <v>2351</v>
      </c>
      <c r="D2736" s="468" t="s">
        <v>9417</v>
      </c>
      <c r="F2736" s="470">
        <v>1</v>
      </c>
      <c r="G2736" s="468">
        <v>16.157</v>
      </c>
      <c r="H2736" s="479">
        <v>16.157</v>
      </c>
      <c r="I2736" s="468" t="s">
        <v>9218</v>
      </c>
      <c r="J2736" s="468" t="s">
        <v>9219</v>
      </c>
      <c r="K2736" s="468" t="s">
        <v>9219</v>
      </c>
      <c r="L2736" s="468" t="s">
        <v>2354</v>
      </c>
    </row>
    <row r="2737" spans="1:12" x14ac:dyDescent="0.25">
      <c r="A2737" s="468" t="s">
        <v>220</v>
      </c>
      <c r="B2737" s="468" t="s">
        <v>2351</v>
      </c>
      <c r="C2737" s="468" t="s">
        <v>5098</v>
      </c>
      <c r="D2737" s="468" t="s">
        <v>5099</v>
      </c>
      <c r="F2737" s="470">
        <v>1</v>
      </c>
      <c r="G2737" s="468">
        <v>163.8657</v>
      </c>
      <c r="H2737" s="479">
        <v>163.8657</v>
      </c>
      <c r="I2737" s="468" t="s">
        <v>9218</v>
      </c>
      <c r="J2737" s="468" t="s">
        <v>9219</v>
      </c>
      <c r="K2737" s="468" t="s">
        <v>9219</v>
      </c>
      <c r="L2737" s="468" t="s">
        <v>2354</v>
      </c>
    </row>
    <row r="2738" spans="1:12" x14ac:dyDescent="0.25">
      <c r="A2738" s="468" t="s">
        <v>220</v>
      </c>
      <c r="B2738" s="468" t="s">
        <v>2351</v>
      </c>
      <c r="C2738" s="468" t="s">
        <v>5168</v>
      </c>
      <c r="D2738" s="468" t="s">
        <v>5169</v>
      </c>
      <c r="F2738" s="470">
        <v>1</v>
      </c>
      <c r="G2738" s="468">
        <v>20.259</v>
      </c>
      <c r="H2738" s="479">
        <v>20.259</v>
      </c>
      <c r="I2738" s="468" t="s">
        <v>9218</v>
      </c>
      <c r="J2738" s="468" t="s">
        <v>9219</v>
      </c>
      <c r="K2738" s="468" t="s">
        <v>9219</v>
      </c>
      <c r="L2738" s="468" t="s">
        <v>2354</v>
      </c>
    </row>
    <row r="2739" spans="1:12" x14ac:dyDescent="0.25">
      <c r="A2739" s="468" t="s">
        <v>220</v>
      </c>
      <c r="B2739" s="468" t="s">
        <v>2351</v>
      </c>
      <c r="D2739" s="468" t="s">
        <v>9419</v>
      </c>
      <c r="F2739" s="470">
        <v>1</v>
      </c>
      <c r="G2739" s="468">
        <v>151.822</v>
      </c>
      <c r="H2739" s="479">
        <v>151.822</v>
      </c>
      <c r="I2739" s="468" t="s">
        <v>9218</v>
      </c>
      <c r="J2739" s="468" t="s">
        <v>9219</v>
      </c>
      <c r="K2739" s="468" t="s">
        <v>9219</v>
      </c>
      <c r="L2739" s="468" t="s">
        <v>2354</v>
      </c>
    </row>
    <row r="2740" spans="1:12" x14ac:dyDescent="0.25">
      <c r="A2740" s="468" t="s">
        <v>220</v>
      </c>
      <c r="B2740" s="468" t="s">
        <v>2351</v>
      </c>
      <c r="C2740" s="468" t="s">
        <v>2369</v>
      </c>
      <c r="D2740" s="468" t="s">
        <v>2370</v>
      </c>
      <c r="F2740" s="470">
        <v>1</v>
      </c>
      <c r="G2740" s="468">
        <v>671.37300000000005</v>
      </c>
      <c r="H2740" s="479">
        <v>671.37300000000005</v>
      </c>
      <c r="I2740" s="468" t="s">
        <v>9218</v>
      </c>
      <c r="J2740" s="468" t="s">
        <v>9219</v>
      </c>
      <c r="K2740" s="468" t="s">
        <v>9219</v>
      </c>
      <c r="L2740" s="468" t="s">
        <v>2354</v>
      </c>
    </row>
    <row r="2741" spans="1:12" x14ac:dyDescent="0.25">
      <c r="A2741" s="468" t="s">
        <v>220</v>
      </c>
      <c r="B2741" s="468" t="s">
        <v>5430</v>
      </c>
      <c r="C2741" s="468" t="s">
        <v>1901</v>
      </c>
      <c r="D2741" s="468" t="s">
        <v>7783</v>
      </c>
      <c r="E2741" s="468" t="s">
        <v>545</v>
      </c>
      <c r="F2741" s="470">
        <v>50</v>
      </c>
      <c r="G2741" s="468">
        <v>38.076999999999998</v>
      </c>
      <c r="H2741" s="479">
        <v>1903.85</v>
      </c>
      <c r="I2741" s="468" t="s">
        <v>9218</v>
      </c>
      <c r="J2741" s="468" t="s">
        <v>9219</v>
      </c>
      <c r="K2741" s="468" t="s">
        <v>9219</v>
      </c>
      <c r="L2741" s="468" t="s">
        <v>2354</v>
      </c>
    </row>
    <row r="2742" spans="1:12" x14ac:dyDescent="0.25">
      <c r="A2742" s="468" t="s">
        <v>220</v>
      </c>
      <c r="B2742" s="468" t="s">
        <v>5430</v>
      </c>
      <c r="D2742" s="468" t="s">
        <v>9420</v>
      </c>
      <c r="E2742" s="468" t="s">
        <v>545</v>
      </c>
      <c r="F2742" s="470">
        <v>1</v>
      </c>
      <c r="G2742" s="468">
        <v>2420</v>
      </c>
      <c r="H2742" s="479">
        <v>2420</v>
      </c>
      <c r="I2742" s="468" t="s">
        <v>9218</v>
      </c>
      <c r="J2742" s="468" t="s">
        <v>9219</v>
      </c>
      <c r="K2742" s="468" t="s">
        <v>9219</v>
      </c>
      <c r="L2742" s="468" t="s">
        <v>2354</v>
      </c>
    </row>
    <row r="2743" spans="1:12" x14ac:dyDescent="0.25">
      <c r="A2743" s="468" t="s">
        <v>220</v>
      </c>
      <c r="B2743" s="468" t="s">
        <v>5430</v>
      </c>
      <c r="C2743" s="468" t="s">
        <v>5489</v>
      </c>
      <c r="D2743" s="468" t="s">
        <v>7784</v>
      </c>
      <c r="E2743" s="468" t="s">
        <v>545</v>
      </c>
      <c r="F2743" s="470">
        <v>2</v>
      </c>
      <c r="G2743" s="468">
        <v>538</v>
      </c>
      <c r="H2743" s="479">
        <v>1076</v>
      </c>
      <c r="I2743" s="468" t="s">
        <v>9218</v>
      </c>
      <c r="J2743" s="468" t="s">
        <v>9219</v>
      </c>
      <c r="K2743" s="468" t="s">
        <v>9219</v>
      </c>
      <c r="L2743" s="468" t="s">
        <v>2354</v>
      </c>
    </row>
    <row r="2744" spans="1:12" x14ac:dyDescent="0.25">
      <c r="A2744" s="468" t="s">
        <v>220</v>
      </c>
      <c r="B2744" s="468" t="s">
        <v>5430</v>
      </c>
      <c r="C2744" s="468" t="s">
        <v>5491</v>
      </c>
      <c r="D2744" s="468" t="s">
        <v>7785</v>
      </c>
      <c r="E2744" s="468" t="s">
        <v>545</v>
      </c>
      <c r="F2744" s="470">
        <v>6</v>
      </c>
      <c r="G2744" s="468">
        <v>45.241999999999997</v>
      </c>
      <c r="H2744" s="479">
        <v>271.452</v>
      </c>
      <c r="I2744" s="468" t="s">
        <v>9218</v>
      </c>
      <c r="J2744" s="468" t="s">
        <v>9219</v>
      </c>
      <c r="K2744" s="468" t="s">
        <v>9219</v>
      </c>
      <c r="L2744" s="468" t="s">
        <v>2354</v>
      </c>
    </row>
    <row r="2745" spans="1:12" x14ac:dyDescent="0.25">
      <c r="A2745" s="468" t="s">
        <v>220</v>
      </c>
      <c r="B2745" s="468" t="s">
        <v>5430</v>
      </c>
      <c r="C2745" s="468" t="s">
        <v>5494</v>
      </c>
      <c r="D2745" s="468" t="s">
        <v>7786</v>
      </c>
      <c r="E2745" s="468" t="s">
        <v>545</v>
      </c>
      <c r="F2745" s="470">
        <v>1</v>
      </c>
      <c r="G2745" s="468">
        <v>1.6180000000000001</v>
      </c>
      <c r="H2745" s="479">
        <v>1.6180000000000001</v>
      </c>
      <c r="I2745" s="468" t="s">
        <v>9218</v>
      </c>
      <c r="J2745" s="468" t="s">
        <v>9219</v>
      </c>
      <c r="K2745" s="468" t="s">
        <v>9219</v>
      </c>
      <c r="L2745" s="468" t="s">
        <v>2354</v>
      </c>
    </row>
    <row r="2746" spans="1:12" x14ac:dyDescent="0.25">
      <c r="A2746" s="468" t="s">
        <v>220</v>
      </c>
      <c r="B2746" s="468" t="s">
        <v>5430</v>
      </c>
      <c r="C2746" s="468" t="s">
        <v>9421</v>
      </c>
      <c r="D2746" s="468" t="s">
        <v>9422</v>
      </c>
      <c r="E2746" s="468" t="s">
        <v>545</v>
      </c>
      <c r="F2746" s="470">
        <v>4</v>
      </c>
      <c r="G2746" s="468">
        <v>147.88399999999999</v>
      </c>
      <c r="H2746" s="479">
        <v>591.53599999999994</v>
      </c>
      <c r="I2746" s="468" t="s">
        <v>9218</v>
      </c>
      <c r="J2746" s="468" t="s">
        <v>9219</v>
      </c>
      <c r="K2746" s="468" t="s">
        <v>9219</v>
      </c>
      <c r="L2746" s="468" t="s">
        <v>2354</v>
      </c>
    </row>
    <row r="2747" spans="1:12" x14ac:dyDescent="0.25">
      <c r="A2747" s="468" t="s">
        <v>220</v>
      </c>
      <c r="B2747" s="468" t="s">
        <v>5430</v>
      </c>
      <c r="C2747" s="468" t="s">
        <v>9423</v>
      </c>
      <c r="D2747" s="468" t="s">
        <v>9424</v>
      </c>
      <c r="E2747" s="468" t="s">
        <v>545</v>
      </c>
      <c r="F2747" s="470">
        <v>1</v>
      </c>
      <c r="G2747" s="468">
        <v>1330.671</v>
      </c>
      <c r="H2747" s="479">
        <v>1330.671</v>
      </c>
      <c r="I2747" s="468" t="s">
        <v>9218</v>
      </c>
      <c r="J2747" s="468" t="s">
        <v>9219</v>
      </c>
      <c r="K2747" s="468" t="s">
        <v>9219</v>
      </c>
      <c r="L2747" s="468" t="s">
        <v>2354</v>
      </c>
    </row>
    <row r="2748" spans="1:12" x14ac:dyDescent="0.25">
      <c r="A2748" s="468" t="s">
        <v>220</v>
      </c>
      <c r="B2748" s="468" t="s">
        <v>5430</v>
      </c>
      <c r="C2748" s="468" t="s">
        <v>9425</v>
      </c>
      <c r="D2748" s="468" t="s">
        <v>9426</v>
      </c>
      <c r="E2748" s="468" t="s">
        <v>545</v>
      </c>
      <c r="F2748" s="470">
        <v>1</v>
      </c>
      <c r="G2748" s="468">
        <v>353.70800000000003</v>
      </c>
      <c r="H2748" s="479">
        <v>353.70800000000003</v>
      </c>
      <c r="I2748" s="468" t="s">
        <v>9218</v>
      </c>
      <c r="J2748" s="468" t="s">
        <v>9219</v>
      </c>
      <c r="K2748" s="468" t="s">
        <v>9219</v>
      </c>
      <c r="L2748" s="468" t="s">
        <v>2354</v>
      </c>
    </row>
    <row r="2749" spans="1:12" x14ac:dyDescent="0.25">
      <c r="A2749" s="468" t="s">
        <v>220</v>
      </c>
      <c r="B2749" s="468" t="s">
        <v>5430</v>
      </c>
      <c r="D2749" s="468" t="s">
        <v>9427</v>
      </c>
      <c r="E2749" s="468" t="s">
        <v>545</v>
      </c>
      <c r="F2749" s="470">
        <v>9</v>
      </c>
      <c r="G2749" s="468">
        <v>49.7</v>
      </c>
      <c r="H2749" s="479">
        <v>447.3</v>
      </c>
      <c r="I2749" s="468" t="s">
        <v>9218</v>
      </c>
      <c r="J2749" s="468" t="s">
        <v>9219</v>
      </c>
      <c r="K2749" s="468" t="s">
        <v>9219</v>
      </c>
      <c r="L2749" s="468" t="s">
        <v>2354</v>
      </c>
    </row>
    <row r="2750" spans="1:12" x14ac:dyDescent="0.25">
      <c r="A2750" s="468" t="s">
        <v>220</v>
      </c>
      <c r="B2750" s="468" t="s">
        <v>5430</v>
      </c>
      <c r="D2750" s="468" t="s">
        <v>9428</v>
      </c>
      <c r="E2750" s="468" t="s">
        <v>545</v>
      </c>
      <c r="F2750" s="470">
        <v>9</v>
      </c>
      <c r="G2750" s="468">
        <v>49.7</v>
      </c>
      <c r="H2750" s="479">
        <v>447.3</v>
      </c>
      <c r="I2750" s="468" t="s">
        <v>9218</v>
      </c>
      <c r="J2750" s="468" t="s">
        <v>9219</v>
      </c>
      <c r="K2750" s="468" t="s">
        <v>9219</v>
      </c>
      <c r="L2750" s="468" t="s">
        <v>2354</v>
      </c>
    </row>
    <row r="2751" spans="1:12" x14ac:dyDescent="0.25">
      <c r="A2751" s="468" t="s">
        <v>220</v>
      </c>
      <c r="B2751" s="468" t="s">
        <v>5430</v>
      </c>
      <c r="D2751" s="468" t="s">
        <v>9429</v>
      </c>
      <c r="E2751" s="468" t="s">
        <v>545</v>
      </c>
      <c r="F2751" s="470">
        <v>1</v>
      </c>
      <c r="G2751" s="468">
        <v>162.55000000000001</v>
      </c>
      <c r="H2751" s="479">
        <v>162.55000000000001</v>
      </c>
      <c r="I2751" s="468" t="s">
        <v>9218</v>
      </c>
      <c r="J2751" s="468" t="s">
        <v>9219</v>
      </c>
      <c r="K2751" s="468" t="s">
        <v>9219</v>
      </c>
      <c r="L2751" s="468" t="s">
        <v>2354</v>
      </c>
    </row>
    <row r="2752" spans="1:12" x14ac:dyDescent="0.25">
      <c r="A2752" s="468" t="s">
        <v>220</v>
      </c>
      <c r="B2752" s="468" t="s">
        <v>5430</v>
      </c>
      <c r="D2752" s="468" t="s">
        <v>9430</v>
      </c>
      <c r="E2752" s="468" t="s">
        <v>545</v>
      </c>
      <c r="F2752" s="470">
        <v>1</v>
      </c>
      <c r="G2752" s="468">
        <v>742.20299999999997</v>
      </c>
      <c r="H2752" s="479">
        <v>742.20299999999997</v>
      </c>
      <c r="I2752" s="468" t="s">
        <v>9218</v>
      </c>
      <c r="J2752" s="468" t="s">
        <v>9219</v>
      </c>
      <c r="K2752" s="468" t="s">
        <v>9219</v>
      </c>
      <c r="L2752" s="468" t="s">
        <v>2354</v>
      </c>
    </row>
    <row r="2753" spans="1:12" x14ac:dyDescent="0.25">
      <c r="A2753" s="468" t="s">
        <v>220</v>
      </c>
      <c r="B2753" s="468" t="s">
        <v>5430</v>
      </c>
      <c r="D2753" s="468" t="s">
        <v>9431</v>
      </c>
      <c r="E2753" s="468" t="s">
        <v>545</v>
      </c>
      <c r="F2753" s="470">
        <v>1</v>
      </c>
      <c r="G2753" s="468">
        <v>667.68</v>
      </c>
      <c r="H2753" s="479">
        <v>667.68</v>
      </c>
      <c r="I2753" s="468" t="s">
        <v>9218</v>
      </c>
      <c r="J2753" s="468" t="s">
        <v>9219</v>
      </c>
      <c r="K2753" s="468" t="s">
        <v>9219</v>
      </c>
      <c r="L2753" s="468" t="s">
        <v>2354</v>
      </c>
    </row>
    <row r="2754" spans="1:12" x14ac:dyDescent="0.25">
      <c r="A2754" s="468" t="s">
        <v>220</v>
      </c>
      <c r="B2754" s="468" t="s">
        <v>5430</v>
      </c>
      <c r="C2754" s="468" t="s">
        <v>5496</v>
      </c>
      <c r="D2754" s="468" t="s">
        <v>7787</v>
      </c>
      <c r="E2754" s="468" t="s">
        <v>545</v>
      </c>
      <c r="F2754" s="470">
        <v>1</v>
      </c>
      <c r="G2754" s="468">
        <v>1.867</v>
      </c>
      <c r="H2754" s="479">
        <v>1.867</v>
      </c>
      <c r="I2754" s="468" t="s">
        <v>9218</v>
      </c>
      <c r="J2754" s="468" t="s">
        <v>9219</v>
      </c>
      <c r="K2754" s="468" t="s">
        <v>9219</v>
      </c>
      <c r="L2754" s="468" t="s">
        <v>2354</v>
      </c>
    </row>
    <row r="2755" spans="1:12" x14ac:dyDescent="0.25">
      <c r="A2755" s="468" t="s">
        <v>220</v>
      </c>
      <c r="B2755" s="468" t="s">
        <v>5430</v>
      </c>
      <c r="D2755" s="468" t="s">
        <v>9432</v>
      </c>
      <c r="E2755" s="468" t="s">
        <v>545</v>
      </c>
      <c r="F2755" s="470">
        <v>3</v>
      </c>
      <c r="G2755" s="468">
        <v>319.24799999999999</v>
      </c>
      <c r="H2755" s="479">
        <v>957.74399999999991</v>
      </c>
      <c r="I2755" s="468" t="s">
        <v>9218</v>
      </c>
      <c r="J2755" s="468" t="s">
        <v>9219</v>
      </c>
      <c r="K2755" s="468" t="s">
        <v>9219</v>
      </c>
      <c r="L2755" s="468" t="s">
        <v>2354</v>
      </c>
    </row>
    <row r="2756" spans="1:12" x14ac:dyDescent="0.25">
      <c r="A2756" s="468" t="s">
        <v>220</v>
      </c>
      <c r="B2756" s="468" t="s">
        <v>5430</v>
      </c>
      <c r="C2756" s="468" t="s">
        <v>7788</v>
      </c>
      <c r="D2756" s="468" t="s">
        <v>5499</v>
      </c>
      <c r="E2756" s="468" t="s">
        <v>545</v>
      </c>
      <c r="F2756" s="470">
        <v>2</v>
      </c>
      <c r="G2756" s="468">
        <v>258.3</v>
      </c>
      <c r="H2756" s="479">
        <v>516.6</v>
      </c>
      <c r="I2756" s="468" t="s">
        <v>9218</v>
      </c>
      <c r="J2756" s="468" t="s">
        <v>9219</v>
      </c>
      <c r="K2756" s="468" t="s">
        <v>9219</v>
      </c>
      <c r="L2756" s="468" t="s">
        <v>2354</v>
      </c>
    </row>
    <row r="2757" spans="1:12" x14ac:dyDescent="0.25">
      <c r="A2757" s="468" t="s">
        <v>220</v>
      </c>
      <c r="B2757" s="468" t="s">
        <v>5430</v>
      </c>
      <c r="D2757" s="468" t="s">
        <v>9433</v>
      </c>
      <c r="E2757" s="468" t="s">
        <v>545</v>
      </c>
      <c r="F2757" s="470">
        <v>6</v>
      </c>
      <c r="G2757" s="468">
        <v>22.858000000000001</v>
      </c>
      <c r="H2757" s="479">
        <v>137.148</v>
      </c>
      <c r="I2757" s="468" t="s">
        <v>9218</v>
      </c>
      <c r="J2757" s="468" t="s">
        <v>9219</v>
      </c>
      <c r="K2757" s="468" t="s">
        <v>9219</v>
      </c>
      <c r="L2757" s="468" t="s">
        <v>2354</v>
      </c>
    </row>
    <row r="2758" spans="1:12" x14ac:dyDescent="0.25">
      <c r="A2758" s="468" t="s">
        <v>220</v>
      </c>
      <c r="B2758" s="468" t="s">
        <v>5430</v>
      </c>
      <c r="C2758" s="468" t="s">
        <v>5502</v>
      </c>
      <c r="D2758" s="468" t="s">
        <v>7789</v>
      </c>
      <c r="E2758" s="468" t="s">
        <v>545</v>
      </c>
      <c r="F2758" s="470">
        <v>5</v>
      </c>
      <c r="G2758" s="468">
        <v>177.255</v>
      </c>
      <c r="H2758" s="479">
        <v>886.27499999999998</v>
      </c>
      <c r="I2758" s="468" t="s">
        <v>9218</v>
      </c>
      <c r="J2758" s="468" t="s">
        <v>9219</v>
      </c>
      <c r="K2758" s="468" t="s">
        <v>9219</v>
      </c>
      <c r="L2758" s="468" t="s">
        <v>2354</v>
      </c>
    </row>
    <row r="2759" spans="1:12" x14ac:dyDescent="0.25">
      <c r="A2759" s="468" t="s">
        <v>220</v>
      </c>
      <c r="B2759" s="468" t="s">
        <v>5430</v>
      </c>
      <c r="C2759" s="468" t="s">
        <v>5504</v>
      </c>
      <c r="D2759" s="468" t="s">
        <v>7790</v>
      </c>
      <c r="E2759" s="468" t="s">
        <v>545</v>
      </c>
      <c r="F2759" s="470">
        <v>2</v>
      </c>
      <c r="G2759" s="468">
        <v>155</v>
      </c>
      <c r="H2759" s="479">
        <v>310</v>
      </c>
      <c r="I2759" s="468" t="s">
        <v>9218</v>
      </c>
      <c r="J2759" s="468" t="s">
        <v>9219</v>
      </c>
      <c r="K2759" s="468" t="s">
        <v>9219</v>
      </c>
      <c r="L2759" s="468" t="s">
        <v>2354</v>
      </c>
    </row>
    <row r="2760" spans="1:12" x14ac:dyDescent="0.25">
      <c r="A2760" s="468" t="s">
        <v>220</v>
      </c>
      <c r="B2760" s="468" t="s">
        <v>5430</v>
      </c>
      <c r="C2760" s="468" t="s">
        <v>5506</v>
      </c>
      <c r="D2760" s="468" t="s">
        <v>7791</v>
      </c>
      <c r="E2760" s="468" t="s">
        <v>545</v>
      </c>
      <c r="F2760" s="470">
        <v>5</v>
      </c>
      <c r="G2760" s="468">
        <v>71.948999999999998</v>
      </c>
      <c r="H2760" s="479">
        <v>359.745</v>
      </c>
      <c r="I2760" s="468" t="s">
        <v>9218</v>
      </c>
      <c r="J2760" s="468" t="s">
        <v>9219</v>
      </c>
      <c r="K2760" s="468" t="s">
        <v>9219</v>
      </c>
      <c r="L2760" s="468" t="s">
        <v>2354</v>
      </c>
    </row>
    <row r="2761" spans="1:12" x14ac:dyDescent="0.25">
      <c r="A2761" s="468" t="s">
        <v>220</v>
      </c>
      <c r="B2761" s="468" t="s">
        <v>5430</v>
      </c>
      <c r="C2761" s="468" t="s">
        <v>5508</v>
      </c>
      <c r="D2761" s="468" t="s">
        <v>7792</v>
      </c>
      <c r="E2761" s="468" t="s">
        <v>545</v>
      </c>
      <c r="F2761" s="470">
        <v>4</v>
      </c>
      <c r="G2761" s="468">
        <v>51.515999999999998</v>
      </c>
      <c r="H2761" s="479">
        <v>206.06399999999999</v>
      </c>
      <c r="I2761" s="468" t="s">
        <v>9218</v>
      </c>
      <c r="J2761" s="468" t="s">
        <v>9219</v>
      </c>
      <c r="K2761" s="468" t="s">
        <v>9219</v>
      </c>
      <c r="L2761" s="468" t="s">
        <v>2354</v>
      </c>
    </row>
    <row r="2762" spans="1:12" x14ac:dyDescent="0.25">
      <c r="A2762" s="468" t="s">
        <v>220</v>
      </c>
      <c r="B2762" s="468" t="s">
        <v>5430</v>
      </c>
      <c r="C2762" s="468" t="s">
        <v>5510</v>
      </c>
      <c r="D2762" s="468" t="s">
        <v>7793</v>
      </c>
      <c r="E2762" s="468" t="s">
        <v>545</v>
      </c>
      <c r="F2762" s="470">
        <v>1</v>
      </c>
      <c r="G2762" s="468">
        <v>109.11499999999999</v>
      </c>
      <c r="H2762" s="479">
        <v>109.11499999999999</v>
      </c>
      <c r="I2762" s="468" t="s">
        <v>9218</v>
      </c>
      <c r="J2762" s="468" t="s">
        <v>9219</v>
      </c>
      <c r="K2762" s="468" t="s">
        <v>9219</v>
      </c>
      <c r="L2762" s="468" t="s">
        <v>2354</v>
      </c>
    </row>
    <row r="2763" spans="1:12" x14ac:dyDescent="0.25">
      <c r="A2763" s="468" t="s">
        <v>220</v>
      </c>
      <c r="B2763" s="468" t="s">
        <v>5430</v>
      </c>
      <c r="C2763" s="468" t="s">
        <v>5512</v>
      </c>
      <c r="D2763" s="468" t="s">
        <v>7794</v>
      </c>
      <c r="E2763" s="468" t="s">
        <v>545</v>
      </c>
      <c r="F2763" s="470">
        <v>3</v>
      </c>
      <c r="G2763" s="468">
        <v>157.405</v>
      </c>
      <c r="H2763" s="479">
        <v>472.21500000000003</v>
      </c>
      <c r="I2763" s="468" t="s">
        <v>9218</v>
      </c>
      <c r="J2763" s="468" t="s">
        <v>9219</v>
      </c>
      <c r="K2763" s="468" t="s">
        <v>9219</v>
      </c>
      <c r="L2763" s="468" t="s">
        <v>2354</v>
      </c>
    </row>
    <row r="2764" spans="1:12" x14ac:dyDescent="0.25">
      <c r="A2764" s="468" t="s">
        <v>220</v>
      </c>
      <c r="B2764" s="468" t="s">
        <v>5430</v>
      </c>
      <c r="C2764" s="468" t="s">
        <v>5514</v>
      </c>
      <c r="D2764" s="468" t="s">
        <v>7795</v>
      </c>
      <c r="E2764" s="468" t="s">
        <v>545</v>
      </c>
      <c r="F2764" s="470">
        <v>1</v>
      </c>
      <c r="G2764" s="468">
        <v>2.181</v>
      </c>
      <c r="H2764" s="479">
        <v>2.181</v>
      </c>
      <c r="I2764" s="468" t="s">
        <v>9218</v>
      </c>
      <c r="J2764" s="468" t="s">
        <v>9219</v>
      </c>
      <c r="K2764" s="468" t="s">
        <v>9219</v>
      </c>
      <c r="L2764" s="468" t="s">
        <v>2354</v>
      </c>
    </row>
    <row r="2765" spans="1:12" x14ac:dyDescent="0.25">
      <c r="A2765" s="468" t="s">
        <v>220</v>
      </c>
      <c r="B2765" s="468" t="s">
        <v>5430</v>
      </c>
      <c r="C2765" s="468" t="s">
        <v>5516</v>
      </c>
      <c r="D2765" s="468" t="s">
        <v>7796</v>
      </c>
      <c r="E2765" s="468" t="s">
        <v>545</v>
      </c>
      <c r="F2765" s="470">
        <v>2</v>
      </c>
      <c r="G2765" s="468">
        <v>2.181</v>
      </c>
      <c r="H2765" s="479">
        <v>4.3620000000000001</v>
      </c>
      <c r="I2765" s="468" t="s">
        <v>9218</v>
      </c>
      <c r="J2765" s="468" t="s">
        <v>9219</v>
      </c>
      <c r="K2765" s="468" t="s">
        <v>9219</v>
      </c>
      <c r="L2765" s="468" t="s">
        <v>2354</v>
      </c>
    </row>
    <row r="2766" spans="1:12" x14ac:dyDescent="0.25">
      <c r="A2766" s="468" t="s">
        <v>220</v>
      </c>
      <c r="B2766" s="468" t="s">
        <v>5430</v>
      </c>
      <c r="C2766" s="468" t="s">
        <v>5518</v>
      </c>
      <c r="D2766" s="468" t="s">
        <v>7797</v>
      </c>
      <c r="E2766" s="468" t="s">
        <v>545</v>
      </c>
      <c r="F2766" s="470">
        <v>4</v>
      </c>
      <c r="G2766" s="468">
        <v>2.181</v>
      </c>
      <c r="H2766" s="479">
        <v>8.7240000000000002</v>
      </c>
      <c r="I2766" s="468" t="s">
        <v>9218</v>
      </c>
      <c r="J2766" s="468" t="s">
        <v>9219</v>
      </c>
      <c r="K2766" s="468" t="s">
        <v>9219</v>
      </c>
      <c r="L2766" s="468" t="s">
        <v>2354</v>
      </c>
    </row>
    <row r="2767" spans="1:12" x14ac:dyDescent="0.25">
      <c r="A2767" s="468" t="s">
        <v>220</v>
      </c>
      <c r="B2767" s="468" t="s">
        <v>5430</v>
      </c>
      <c r="C2767" s="468" t="s">
        <v>5520</v>
      </c>
      <c r="D2767" s="468" t="s">
        <v>7798</v>
      </c>
      <c r="E2767" s="468" t="s">
        <v>545</v>
      </c>
      <c r="F2767" s="470">
        <v>1</v>
      </c>
      <c r="G2767" s="468">
        <v>2.181</v>
      </c>
      <c r="H2767" s="479">
        <v>2.181</v>
      </c>
      <c r="I2767" s="468" t="s">
        <v>9218</v>
      </c>
      <c r="J2767" s="468" t="s">
        <v>9219</v>
      </c>
      <c r="K2767" s="468" t="s">
        <v>9219</v>
      </c>
      <c r="L2767" s="468" t="s">
        <v>2354</v>
      </c>
    </row>
    <row r="2768" spans="1:12" x14ac:dyDescent="0.25">
      <c r="A2768" s="468" t="s">
        <v>220</v>
      </c>
      <c r="B2768" s="468" t="s">
        <v>5430</v>
      </c>
      <c r="C2768" s="468" t="s">
        <v>5522</v>
      </c>
      <c r="D2768" s="468" t="s">
        <v>7799</v>
      </c>
      <c r="E2768" s="468" t="s">
        <v>545</v>
      </c>
      <c r="F2768" s="470">
        <v>2</v>
      </c>
      <c r="G2768" s="468">
        <v>149.98500000000001</v>
      </c>
      <c r="H2768" s="479">
        <v>299.97000000000003</v>
      </c>
      <c r="I2768" s="468" t="s">
        <v>9218</v>
      </c>
      <c r="J2768" s="468" t="s">
        <v>9219</v>
      </c>
      <c r="K2768" s="468" t="s">
        <v>9219</v>
      </c>
      <c r="L2768" s="468" t="s">
        <v>2354</v>
      </c>
    </row>
    <row r="2769" spans="1:12" x14ac:dyDescent="0.25">
      <c r="A2769" s="468" t="s">
        <v>220</v>
      </c>
      <c r="B2769" s="468" t="s">
        <v>5430</v>
      </c>
      <c r="C2769" s="468" t="s">
        <v>5524</v>
      </c>
      <c r="D2769" s="468" t="s">
        <v>7800</v>
      </c>
      <c r="E2769" s="468" t="s">
        <v>545</v>
      </c>
      <c r="F2769" s="470">
        <v>2</v>
      </c>
      <c r="G2769" s="468">
        <v>357.96</v>
      </c>
      <c r="H2769" s="479">
        <v>715.92</v>
      </c>
      <c r="I2769" s="468" t="s">
        <v>9218</v>
      </c>
      <c r="J2769" s="468" t="s">
        <v>9219</v>
      </c>
      <c r="K2769" s="468" t="s">
        <v>9219</v>
      </c>
      <c r="L2769" s="468" t="s">
        <v>2354</v>
      </c>
    </row>
    <row r="2770" spans="1:12" x14ac:dyDescent="0.25">
      <c r="A2770" s="468" t="s">
        <v>220</v>
      </c>
      <c r="B2770" s="468" t="s">
        <v>5430</v>
      </c>
      <c r="C2770" s="468" t="s">
        <v>7801</v>
      </c>
      <c r="D2770" s="468" t="s">
        <v>7802</v>
      </c>
      <c r="E2770" s="468" t="s">
        <v>545</v>
      </c>
      <c r="F2770" s="470">
        <v>2</v>
      </c>
      <c r="G2770" s="468">
        <v>76.664000000000001</v>
      </c>
      <c r="H2770" s="479">
        <v>153.328</v>
      </c>
      <c r="I2770" s="468" t="s">
        <v>9218</v>
      </c>
      <c r="J2770" s="468" t="s">
        <v>9219</v>
      </c>
      <c r="K2770" s="468" t="s">
        <v>9219</v>
      </c>
      <c r="L2770" s="468" t="s">
        <v>2354</v>
      </c>
    </row>
    <row r="2771" spans="1:12" x14ac:dyDescent="0.25">
      <c r="A2771" s="468" t="s">
        <v>220</v>
      </c>
      <c r="B2771" s="468" t="s">
        <v>5430</v>
      </c>
      <c r="C2771" s="468" t="s">
        <v>7803</v>
      </c>
      <c r="D2771" s="468" t="s">
        <v>7804</v>
      </c>
      <c r="E2771" s="468" t="s">
        <v>545</v>
      </c>
      <c r="F2771" s="470">
        <v>1</v>
      </c>
      <c r="G2771" s="468">
        <v>42.723999999999997</v>
      </c>
      <c r="H2771" s="479">
        <v>42.723999999999997</v>
      </c>
      <c r="I2771" s="468" t="s">
        <v>9218</v>
      </c>
      <c r="J2771" s="468" t="s">
        <v>9219</v>
      </c>
      <c r="K2771" s="468" t="s">
        <v>9219</v>
      </c>
      <c r="L2771" s="468" t="s">
        <v>2354</v>
      </c>
    </row>
    <row r="2772" spans="1:12" x14ac:dyDescent="0.25">
      <c r="A2772" s="468" t="s">
        <v>220</v>
      </c>
      <c r="B2772" s="468" t="s">
        <v>5430</v>
      </c>
      <c r="C2772" s="468" t="s">
        <v>5530</v>
      </c>
      <c r="D2772" s="468" t="s">
        <v>7805</v>
      </c>
      <c r="E2772" s="468" t="s">
        <v>545</v>
      </c>
      <c r="F2772" s="470">
        <v>1</v>
      </c>
      <c r="G2772" s="468">
        <v>66.019000000000005</v>
      </c>
      <c r="H2772" s="479">
        <v>66.019000000000005</v>
      </c>
      <c r="I2772" s="468" t="s">
        <v>9218</v>
      </c>
      <c r="J2772" s="468" t="s">
        <v>9219</v>
      </c>
      <c r="K2772" s="468" t="s">
        <v>9219</v>
      </c>
      <c r="L2772" s="468" t="s">
        <v>2354</v>
      </c>
    </row>
    <row r="2773" spans="1:12" x14ac:dyDescent="0.25">
      <c r="A2773" s="468" t="s">
        <v>220</v>
      </c>
      <c r="B2773" s="468" t="s">
        <v>5430</v>
      </c>
      <c r="C2773" s="468" t="s">
        <v>7806</v>
      </c>
      <c r="D2773" s="468" t="s">
        <v>7807</v>
      </c>
      <c r="E2773" s="468" t="s">
        <v>545</v>
      </c>
      <c r="F2773" s="470">
        <v>4</v>
      </c>
      <c r="G2773" s="468">
        <v>42.722999999999999</v>
      </c>
      <c r="H2773" s="479">
        <v>170.892</v>
      </c>
      <c r="I2773" s="468" t="s">
        <v>9218</v>
      </c>
      <c r="J2773" s="468" t="s">
        <v>9219</v>
      </c>
      <c r="K2773" s="468" t="s">
        <v>9219</v>
      </c>
      <c r="L2773" s="468" t="s">
        <v>2354</v>
      </c>
    </row>
    <row r="2774" spans="1:12" x14ac:dyDescent="0.25">
      <c r="A2774" s="468" t="s">
        <v>220</v>
      </c>
      <c r="B2774" s="468" t="s">
        <v>5430</v>
      </c>
      <c r="C2774" s="468" t="s">
        <v>7808</v>
      </c>
      <c r="D2774" s="468" t="s">
        <v>7809</v>
      </c>
      <c r="E2774" s="468" t="s">
        <v>545</v>
      </c>
      <c r="F2774" s="470">
        <v>1</v>
      </c>
      <c r="G2774" s="468">
        <v>2.181</v>
      </c>
      <c r="H2774" s="479">
        <v>2.181</v>
      </c>
      <c r="I2774" s="468" t="s">
        <v>9218</v>
      </c>
      <c r="J2774" s="468" t="s">
        <v>9219</v>
      </c>
      <c r="K2774" s="468" t="s">
        <v>9219</v>
      </c>
      <c r="L2774" s="468" t="s">
        <v>2354</v>
      </c>
    </row>
    <row r="2775" spans="1:12" x14ac:dyDescent="0.25">
      <c r="A2775" s="468" t="s">
        <v>220</v>
      </c>
      <c r="B2775" s="468" t="s">
        <v>5430</v>
      </c>
      <c r="C2775" s="468" t="s">
        <v>5536</v>
      </c>
      <c r="D2775" s="468" t="s">
        <v>7810</v>
      </c>
      <c r="E2775" s="468" t="s">
        <v>545</v>
      </c>
      <c r="F2775" s="470">
        <v>1</v>
      </c>
      <c r="G2775" s="468">
        <v>2.181</v>
      </c>
      <c r="H2775" s="479">
        <v>2.181</v>
      </c>
      <c r="I2775" s="468" t="s">
        <v>9218</v>
      </c>
      <c r="J2775" s="468" t="s">
        <v>9219</v>
      </c>
      <c r="K2775" s="468" t="s">
        <v>9219</v>
      </c>
      <c r="L2775" s="468" t="s">
        <v>2354</v>
      </c>
    </row>
    <row r="2776" spans="1:12" x14ac:dyDescent="0.25">
      <c r="A2776" s="468" t="s">
        <v>220</v>
      </c>
      <c r="B2776" s="468" t="s">
        <v>5430</v>
      </c>
      <c r="C2776" s="468" t="s">
        <v>5538</v>
      </c>
      <c r="D2776" s="468" t="s">
        <v>7811</v>
      </c>
      <c r="E2776" s="468" t="s">
        <v>545</v>
      </c>
      <c r="F2776" s="470">
        <v>5</v>
      </c>
      <c r="G2776" s="468">
        <v>136.35</v>
      </c>
      <c r="H2776" s="479">
        <v>681.75</v>
      </c>
      <c r="I2776" s="468" t="s">
        <v>9218</v>
      </c>
      <c r="J2776" s="468" t="s">
        <v>9219</v>
      </c>
      <c r="K2776" s="468" t="s">
        <v>9219</v>
      </c>
      <c r="L2776" s="468" t="s">
        <v>2354</v>
      </c>
    </row>
    <row r="2777" spans="1:12" x14ac:dyDescent="0.25">
      <c r="A2777" s="468" t="s">
        <v>220</v>
      </c>
      <c r="B2777" s="468" t="s">
        <v>5430</v>
      </c>
      <c r="C2777" s="468" t="s">
        <v>7812</v>
      </c>
      <c r="D2777" s="468" t="s">
        <v>7813</v>
      </c>
      <c r="E2777" s="468" t="s">
        <v>545</v>
      </c>
      <c r="F2777" s="470">
        <v>1</v>
      </c>
      <c r="G2777" s="468">
        <v>1.2090000000000001</v>
      </c>
      <c r="H2777" s="479">
        <v>1.2090000000000001</v>
      </c>
      <c r="I2777" s="468" t="s">
        <v>9218</v>
      </c>
      <c r="J2777" s="468" t="s">
        <v>9219</v>
      </c>
      <c r="K2777" s="468" t="s">
        <v>9219</v>
      </c>
      <c r="L2777" s="468" t="s">
        <v>2354</v>
      </c>
    </row>
    <row r="2778" spans="1:12" x14ac:dyDescent="0.25">
      <c r="A2778" s="468" t="s">
        <v>220</v>
      </c>
      <c r="B2778" s="468" t="s">
        <v>5430</v>
      </c>
      <c r="C2778" s="468" t="s">
        <v>5542</v>
      </c>
      <c r="D2778" s="468" t="s">
        <v>7814</v>
      </c>
      <c r="E2778" s="468" t="s">
        <v>545</v>
      </c>
      <c r="F2778" s="470">
        <v>1</v>
      </c>
      <c r="G2778" s="468">
        <v>292.69799999999998</v>
      </c>
      <c r="H2778" s="479">
        <v>292.69799999999998</v>
      </c>
      <c r="I2778" s="468" t="s">
        <v>9218</v>
      </c>
      <c r="J2778" s="468" t="s">
        <v>9219</v>
      </c>
      <c r="K2778" s="468" t="s">
        <v>9219</v>
      </c>
      <c r="L2778" s="468" t="s">
        <v>2354</v>
      </c>
    </row>
    <row r="2779" spans="1:12" x14ac:dyDescent="0.25">
      <c r="A2779" s="468" t="s">
        <v>220</v>
      </c>
      <c r="B2779" s="468" t="s">
        <v>5430</v>
      </c>
      <c r="C2779" s="468" t="s">
        <v>5546</v>
      </c>
      <c r="D2779" s="468" t="s">
        <v>7815</v>
      </c>
      <c r="E2779" s="468" t="s">
        <v>2387</v>
      </c>
      <c r="F2779" s="470">
        <v>3</v>
      </c>
      <c r="G2779" s="468">
        <v>724.51700000000005</v>
      </c>
      <c r="H2779" s="479">
        <v>2173.5510000000004</v>
      </c>
      <c r="I2779" s="468" t="s">
        <v>9218</v>
      </c>
      <c r="J2779" s="468" t="s">
        <v>9219</v>
      </c>
      <c r="K2779" s="468" t="s">
        <v>9219</v>
      </c>
      <c r="L2779" s="468" t="s">
        <v>2354</v>
      </c>
    </row>
    <row r="2780" spans="1:12" x14ac:dyDescent="0.25">
      <c r="A2780" s="468" t="s">
        <v>220</v>
      </c>
      <c r="B2780" s="468" t="s">
        <v>5430</v>
      </c>
      <c r="C2780" s="468" t="s">
        <v>5548</v>
      </c>
      <c r="D2780" s="468" t="s">
        <v>7816</v>
      </c>
      <c r="E2780" s="468" t="s">
        <v>2387</v>
      </c>
      <c r="F2780" s="470">
        <v>2</v>
      </c>
      <c r="G2780" s="468">
        <v>54.738</v>
      </c>
      <c r="H2780" s="479">
        <v>109.476</v>
      </c>
      <c r="I2780" s="468" t="s">
        <v>9218</v>
      </c>
      <c r="J2780" s="468" t="s">
        <v>9219</v>
      </c>
      <c r="K2780" s="468" t="s">
        <v>9219</v>
      </c>
      <c r="L2780" s="468" t="s">
        <v>2354</v>
      </c>
    </row>
    <row r="2781" spans="1:12" x14ac:dyDescent="0.25">
      <c r="A2781" s="468" t="s">
        <v>220</v>
      </c>
      <c r="B2781" s="468" t="s">
        <v>5430</v>
      </c>
      <c r="C2781" s="468" t="s">
        <v>7817</v>
      </c>
      <c r="D2781" s="468" t="s">
        <v>7818</v>
      </c>
      <c r="E2781" s="468" t="s">
        <v>2387</v>
      </c>
      <c r="F2781" s="470">
        <v>2</v>
      </c>
      <c r="G2781" s="468">
        <v>101.85899999999999</v>
      </c>
      <c r="H2781" s="479">
        <v>203.71799999999999</v>
      </c>
      <c r="I2781" s="468" t="s">
        <v>9218</v>
      </c>
      <c r="J2781" s="468" t="s">
        <v>9219</v>
      </c>
      <c r="K2781" s="468" t="s">
        <v>9219</v>
      </c>
      <c r="L2781" s="468" t="s">
        <v>2354</v>
      </c>
    </row>
    <row r="2782" spans="1:12" x14ac:dyDescent="0.25">
      <c r="A2782" s="468" t="s">
        <v>220</v>
      </c>
      <c r="B2782" s="468" t="s">
        <v>5430</v>
      </c>
      <c r="C2782" s="468" t="s">
        <v>5552</v>
      </c>
      <c r="D2782" s="468" t="s">
        <v>7819</v>
      </c>
      <c r="E2782" s="468" t="s">
        <v>545</v>
      </c>
      <c r="F2782" s="470">
        <v>4</v>
      </c>
      <c r="G2782" s="468">
        <v>430.26</v>
      </c>
      <c r="H2782" s="479">
        <v>1721.04</v>
      </c>
      <c r="I2782" s="468" t="s">
        <v>9218</v>
      </c>
      <c r="J2782" s="468" t="s">
        <v>9219</v>
      </c>
      <c r="K2782" s="468" t="s">
        <v>9219</v>
      </c>
      <c r="L2782" s="468" t="s">
        <v>2354</v>
      </c>
    </row>
    <row r="2783" spans="1:12" x14ac:dyDescent="0.25">
      <c r="A2783" s="468" t="s">
        <v>220</v>
      </c>
      <c r="B2783" s="468" t="s">
        <v>5430</v>
      </c>
      <c r="C2783" s="468" t="s">
        <v>5554</v>
      </c>
      <c r="D2783" s="468" t="s">
        <v>5555</v>
      </c>
      <c r="E2783" s="468" t="s">
        <v>545</v>
      </c>
      <c r="F2783" s="470">
        <v>4</v>
      </c>
      <c r="G2783" s="468">
        <v>101.85899999999999</v>
      </c>
      <c r="H2783" s="479">
        <v>407.43599999999998</v>
      </c>
      <c r="I2783" s="468" t="s">
        <v>9218</v>
      </c>
      <c r="J2783" s="468" t="s">
        <v>9219</v>
      </c>
      <c r="K2783" s="468" t="s">
        <v>9219</v>
      </c>
      <c r="L2783" s="468" t="s">
        <v>2354</v>
      </c>
    </row>
    <row r="2784" spans="1:12" x14ac:dyDescent="0.25">
      <c r="A2784" s="468" t="s">
        <v>220</v>
      </c>
      <c r="B2784" s="468" t="s">
        <v>5430</v>
      </c>
      <c r="C2784" s="468" t="s">
        <v>5556</v>
      </c>
      <c r="D2784" s="468" t="s">
        <v>7820</v>
      </c>
      <c r="E2784" s="468" t="s">
        <v>545</v>
      </c>
      <c r="F2784" s="470">
        <v>14</v>
      </c>
      <c r="G2784" s="468">
        <v>21.968</v>
      </c>
      <c r="H2784" s="479">
        <v>307.55200000000002</v>
      </c>
      <c r="I2784" s="468" t="s">
        <v>9218</v>
      </c>
      <c r="J2784" s="468" t="s">
        <v>9219</v>
      </c>
      <c r="K2784" s="468" t="s">
        <v>9219</v>
      </c>
      <c r="L2784" s="468" t="s">
        <v>2354</v>
      </c>
    </row>
    <row r="2785" spans="1:12" x14ac:dyDescent="0.25">
      <c r="A2785" s="468" t="s">
        <v>220</v>
      </c>
      <c r="B2785" s="468" t="s">
        <v>5430</v>
      </c>
      <c r="C2785" s="468" t="s">
        <v>5558</v>
      </c>
      <c r="D2785" s="468" t="s">
        <v>7821</v>
      </c>
      <c r="E2785" s="468" t="s">
        <v>545</v>
      </c>
      <c r="F2785" s="470">
        <v>16</v>
      </c>
      <c r="G2785" s="468">
        <v>27.774999999999999</v>
      </c>
      <c r="H2785" s="479">
        <v>444.4</v>
      </c>
      <c r="I2785" s="468" t="s">
        <v>9218</v>
      </c>
      <c r="J2785" s="468" t="s">
        <v>9219</v>
      </c>
      <c r="K2785" s="468" t="s">
        <v>9219</v>
      </c>
      <c r="L2785" s="468" t="s">
        <v>2354</v>
      </c>
    </row>
    <row r="2786" spans="1:12" x14ac:dyDescent="0.25">
      <c r="A2786" s="468" t="s">
        <v>220</v>
      </c>
      <c r="B2786" s="468" t="s">
        <v>5430</v>
      </c>
      <c r="C2786" s="468" t="s">
        <v>5560</v>
      </c>
      <c r="D2786" s="468" t="s">
        <v>7822</v>
      </c>
      <c r="E2786" s="468" t="s">
        <v>545</v>
      </c>
      <c r="F2786" s="470">
        <v>15</v>
      </c>
      <c r="G2786" s="468">
        <v>528.92100000000005</v>
      </c>
      <c r="H2786" s="479">
        <v>7933.8150000000005</v>
      </c>
      <c r="I2786" s="468" t="s">
        <v>9218</v>
      </c>
      <c r="J2786" s="468" t="s">
        <v>9219</v>
      </c>
      <c r="K2786" s="468" t="s">
        <v>9219</v>
      </c>
      <c r="L2786" s="468" t="s">
        <v>2354</v>
      </c>
    </row>
    <row r="2787" spans="1:12" x14ac:dyDescent="0.25">
      <c r="A2787" s="468" t="s">
        <v>220</v>
      </c>
      <c r="B2787" s="468" t="s">
        <v>5430</v>
      </c>
      <c r="C2787" s="468" t="s">
        <v>5562</v>
      </c>
      <c r="D2787" s="468" t="s">
        <v>7823</v>
      </c>
      <c r="E2787" s="468" t="s">
        <v>545</v>
      </c>
      <c r="F2787" s="470">
        <v>159</v>
      </c>
      <c r="G2787" s="468">
        <v>160</v>
      </c>
      <c r="H2787" s="479">
        <v>25440</v>
      </c>
      <c r="I2787" s="468" t="s">
        <v>9218</v>
      </c>
      <c r="J2787" s="468" t="s">
        <v>9219</v>
      </c>
      <c r="K2787" s="468" t="s">
        <v>9219</v>
      </c>
      <c r="L2787" s="468" t="s">
        <v>2354</v>
      </c>
    </row>
    <row r="2788" spans="1:12" x14ac:dyDescent="0.25">
      <c r="A2788" s="468" t="s">
        <v>220</v>
      </c>
      <c r="B2788" s="468" t="s">
        <v>5430</v>
      </c>
      <c r="C2788" s="468" t="s">
        <v>5564</v>
      </c>
      <c r="D2788" s="468" t="s">
        <v>7824</v>
      </c>
      <c r="E2788" s="468" t="s">
        <v>545</v>
      </c>
      <c r="F2788" s="470">
        <v>25</v>
      </c>
      <c r="G2788" s="468">
        <v>50.5</v>
      </c>
      <c r="H2788" s="479">
        <v>1262.5</v>
      </c>
      <c r="I2788" s="468" t="s">
        <v>9218</v>
      </c>
      <c r="J2788" s="468" t="s">
        <v>9219</v>
      </c>
      <c r="K2788" s="468" t="s">
        <v>9219</v>
      </c>
      <c r="L2788" s="468" t="s">
        <v>2354</v>
      </c>
    </row>
    <row r="2789" spans="1:12" x14ac:dyDescent="0.25">
      <c r="A2789" s="468" t="s">
        <v>220</v>
      </c>
      <c r="B2789" s="468" t="s">
        <v>5430</v>
      </c>
      <c r="C2789" s="468" t="s">
        <v>5566</v>
      </c>
      <c r="D2789" s="468" t="s">
        <v>7825</v>
      </c>
      <c r="E2789" s="468" t="s">
        <v>545</v>
      </c>
      <c r="F2789" s="470">
        <v>4</v>
      </c>
      <c r="G2789" s="468">
        <v>467.67200000000003</v>
      </c>
      <c r="H2789" s="479">
        <v>1870.6880000000001</v>
      </c>
      <c r="I2789" s="468" t="s">
        <v>9218</v>
      </c>
      <c r="J2789" s="468" t="s">
        <v>9219</v>
      </c>
      <c r="K2789" s="468" t="s">
        <v>9219</v>
      </c>
      <c r="L2789" s="468" t="s">
        <v>2354</v>
      </c>
    </row>
    <row r="2790" spans="1:12" x14ac:dyDescent="0.25">
      <c r="A2790" s="468" t="s">
        <v>220</v>
      </c>
      <c r="B2790" s="468" t="s">
        <v>5430</v>
      </c>
      <c r="C2790" s="468" t="s">
        <v>7826</v>
      </c>
      <c r="D2790" s="468" t="s">
        <v>7827</v>
      </c>
      <c r="E2790" s="468" t="s">
        <v>545</v>
      </c>
      <c r="F2790" s="470">
        <v>1</v>
      </c>
      <c r="G2790" s="468">
        <v>7.5510000000000002</v>
      </c>
      <c r="H2790" s="479">
        <v>7.5510000000000002</v>
      </c>
      <c r="I2790" s="468" t="s">
        <v>9218</v>
      </c>
      <c r="J2790" s="468" t="s">
        <v>9219</v>
      </c>
      <c r="K2790" s="468" t="s">
        <v>9219</v>
      </c>
      <c r="L2790" s="468" t="s">
        <v>2354</v>
      </c>
    </row>
    <row r="2791" spans="1:12" x14ac:dyDescent="0.25">
      <c r="A2791" s="468" t="s">
        <v>220</v>
      </c>
      <c r="B2791" s="468" t="s">
        <v>5430</v>
      </c>
      <c r="C2791" s="468" t="s">
        <v>5576</v>
      </c>
      <c r="D2791" s="468" t="s">
        <v>7828</v>
      </c>
      <c r="E2791" s="468" t="s">
        <v>545</v>
      </c>
      <c r="F2791" s="470">
        <v>1</v>
      </c>
      <c r="G2791" s="468">
        <v>919.82</v>
      </c>
      <c r="H2791" s="479">
        <v>919.82</v>
      </c>
      <c r="I2791" s="468" t="s">
        <v>9218</v>
      </c>
      <c r="J2791" s="468" t="s">
        <v>9219</v>
      </c>
      <c r="K2791" s="468" t="s">
        <v>9219</v>
      </c>
      <c r="L2791" s="468" t="s">
        <v>2354</v>
      </c>
    </row>
    <row r="2792" spans="1:12" x14ac:dyDescent="0.25">
      <c r="A2792" s="468" t="s">
        <v>220</v>
      </c>
      <c r="B2792" s="468" t="s">
        <v>5430</v>
      </c>
      <c r="C2792" s="468" t="s">
        <v>5578</v>
      </c>
      <c r="D2792" s="468" t="s">
        <v>7829</v>
      </c>
      <c r="E2792" s="468" t="s">
        <v>545</v>
      </c>
      <c r="F2792" s="470">
        <v>1</v>
      </c>
      <c r="G2792" s="468">
        <v>478.08199999999999</v>
      </c>
      <c r="H2792" s="479">
        <v>478.08199999999999</v>
      </c>
      <c r="I2792" s="468" t="s">
        <v>9218</v>
      </c>
      <c r="J2792" s="468" t="s">
        <v>9219</v>
      </c>
      <c r="K2792" s="468" t="s">
        <v>9219</v>
      </c>
      <c r="L2792" s="468" t="s">
        <v>2354</v>
      </c>
    </row>
    <row r="2793" spans="1:12" x14ac:dyDescent="0.25">
      <c r="A2793" s="468" t="s">
        <v>220</v>
      </c>
      <c r="B2793" s="468" t="s">
        <v>5430</v>
      </c>
      <c r="C2793" s="468" t="s">
        <v>5580</v>
      </c>
      <c r="D2793" s="468" t="s">
        <v>7830</v>
      </c>
      <c r="E2793" s="468" t="s">
        <v>545</v>
      </c>
      <c r="F2793" s="470">
        <v>1</v>
      </c>
      <c r="G2793" s="468">
        <v>365.74700000000001</v>
      </c>
      <c r="H2793" s="479">
        <v>365.74700000000001</v>
      </c>
      <c r="I2793" s="468" t="s">
        <v>9218</v>
      </c>
      <c r="J2793" s="468" t="s">
        <v>9219</v>
      </c>
      <c r="K2793" s="468" t="s">
        <v>9219</v>
      </c>
      <c r="L2793" s="468" t="s">
        <v>2354</v>
      </c>
    </row>
    <row r="2794" spans="1:12" x14ac:dyDescent="0.25">
      <c r="A2794" s="468" t="s">
        <v>220</v>
      </c>
      <c r="B2794" s="468" t="s">
        <v>5430</v>
      </c>
      <c r="C2794" s="468" t="s">
        <v>5582</v>
      </c>
      <c r="D2794" s="468" t="s">
        <v>7831</v>
      </c>
      <c r="E2794" s="468" t="s">
        <v>545</v>
      </c>
      <c r="F2794" s="470">
        <v>1</v>
      </c>
      <c r="G2794" s="468">
        <v>651.53899999999999</v>
      </c>
      <c r="H2794" s="479">
        <v>651.53899999999999</v>
      </c>
      <c r="I2794" s="468" t="s">
        <v>9218</v>
      </c>
      <c r="J2794" s="468" t="s">
        <v>9219</v>
      </c>
      <c r="K2794" s="468" t="s">
        <v>9219</v>
      </c>
      <c r="L2794" s="468" t="s">
        <v>2354</v>
      </c>
    </row>
    <row r="2795" spans="1:12" x14ac:dyDescent="0.25">
      <c r="A2795" s="468" t="s">
        <v>220</v>
      </c>
      <c r="B2795" s="468" t="s">
        <v>5430</v>
      </c>
      <c r="C2795" s="468" t="s">
        <v>5584</v>
      </c>
      <c r="D2795" s="468" t="s">
        <v>7832</v>
      </c>
      <c r="E2795" s="468" t="s">
        <v>545</v>
      </c>
      <c r="F2795" s="470">
        <v>1</v>
      </c>
      <c r="G2795" s="468">
        <v>63.436</v>
      </c>
      <c r="H2795" s="479">
        <v>63.436</v>
      </c>
      <c r="I2795" s="468" t="s">
        <v>9218</v>
      </c>
      <c r="J2795" s="468" t="s">
        <v>9219</v>
      </c>
      <c r="K2795" s="468" t="s">
        <v>9219</v>
      </c>
      <c r="L2795" s="468" t="s">
        <v>2354</v>
      </c>
    </row>
    <row r="2796" spans="1:12" x14ac:dyDescent="0.25">
      <c r="A2796" s="468" t="s">
        <v>220</v>
      </c>
      <c r="B2796" s="468" t="s">
        <v>5430</v>
      </c>
      <c r="C2796" s="468" t="s">
        <v>5586</v>
      </c>
      <c r="D2796" s="468" t="s">
        <v>7833</v>
      </c>
      <c r="E2796" s="468" t="s">
        <v>545</v>
      </c>
      <c r="F2796" s="470">
        <v>1</v>
      </c>
      <c r="G2796" s="468">
        <v>1.7909999999999999</v>
      </c>
      <c r="H2796" s="479">
        <v>1.7909999999999999</v>
      </c>
      <c r="I2796" s="468" t="s">
        <v>9218</v>
      </c>
      <c r="J2796" s="468" t="s">
        <v>9219</v>
      </c>
      <c r="K2796" s="468" t="s">
        <v>9219</v>
      </c>
      <c r="L2796" s="468" t="s">
        <v>2354</v>
      </c>
    </row>
    <row r="2797" spans="1:12" x14ac:dyDescent="0.25">
      <c r="A2797" s="468" t="s">
        <v>220</v>
      </c>
      <c r="B2797" s="468" t="s">
        <v>5430</v>
      </c>
      <c r="C2797" s="468" t="s">
        <v>5588</v>
      </c>
      <c r="D2797" s="468" t="s">
        <v>7834</v>
      </c>
      <c r="E2797" s="468" t="s">
        <v>545</v>
      </c>
      <c r="F2797" s="470">
        <v>6</v>
      </c>
      <c r="G2797" s="468">
        <v>69.551000000000002</v>
      </c>
      <c r="H2797" s="479">
        <v>417.30600000000004</v>
      </c>
      <c r="I2797" s="468" t="s">
        <v>9218</v>
      </c>
      <c r="J2797" s="468" t="s">
        <v>9219</v>
      </c>
      <c r="K2797" s="468" t="s">
        <v>9219</v>
      </c>
      <c r="L2797" s="468" t="s">
        <v>2354</v>
      </c>
    </row>
    <row r="2798" spans="1:12" x14ac:dyDescent="0.25">
      <c r="A2798" s="468" t="s">
        <v>220</v>
      </c>
      <c r="B2798" s="468" t="s">
        <v>5430</v>
      </c>
      <c r="C2798" s="468" t="s">
        <v>5590</v>
      </c>
      <c r="D2798" s="468" t="s">
        <v>7835</v>
      </c>
      <c r="E2798" s="468" t="s">
        <v>545</v>
      </c>
      <c r="F2798" s="470">
        <v>1</v>
      </c>
      <c r="H2798" s="479">
        <v>0</v>
      </c>
      <c r="I2798" s="468" t="s">
        <v>9218</v>
      </c>
      <c r="J2798" s="468" t="s">
        <v>9219</v>
      </c>
      <c r="K2798" s="468" t="s">
        <v>9219</v>
      </c>
      <c r="L2798" s="468" t="s">
        <v>2354</v>
      </c>
    </row>
    <row r="2799" spans="1:12" x14ac:dyDescent="0.25">
      <c r="A2799" s="468" t="s">
        <v>220</v>
      </c>
      <c r="B2799" s="468" t="s">
        <v>5430</v>
      </c>
      <c r="C2799" s="468" t="s">
        <v>5592</v>
      </c>
      <c r="D2799" s="468" t="s">
        <v>7836</v>
      </c>
      <c r="E2799" s="468" t="s">
        <v>545</v>
      </c>
      <c r="F2799" s="470">
        <v>2</v>
      </c>
      <c r="H2799" s="479">
        <v>0</v>
      </c>
      <c r="I2799" s="468" t="s">
        <v>9218</v>
      </c>
      <c r="J2799" s="468" t="s">
        <v>9219</v>
      </c>
      <c r="K2799" s="468" t="s">
        <v>9219</v>
      </c>
      <c r="L2799" s="468" t="s">
        <v>2354</v>
      </c>
    </row>
    <row r="2800" spans="1:12" x14ac:dyDescent="0.25">
      <c r="A2800" s="468" t="s">
        <v>220</v>
      </c>
      <c r="B2800" s="468" t="s">
        <v>5430</v>
      </c>
      <c r="C2800" s="468" t="s">
        <v>5594</v>
      </c>
      <c r="D2800" s="468" t="s">
        <v>7837</v>
      </c>
      <c r="E2800" s="468" t="s">
        <v>545</v>
      </c>
      <c r="F2800" s="470">
        <v>1</v>
      </c>
      <c r="H2800" s="479">
        <v>0</v>
      </c>
      <c r="I2800" s="468" t="s">
        <v>9218</v>
      </c>
      <c r="J2800" s="468" t="s">
        <v>9219</v>
      </c>
      <c r="K2800" s="468" t="s">
        <v>9219</v>
      </c>
      <c r="L2800" s="468" t="s">
        <v>2354</v>
      </c>
    </row>
    <row r="2801" spans="1:12" x14ac:dyDescent="0.25">
      <c r="A2801" s="468" t="s">
        <v>220</v>
      </c>
      <c r="B2801" s="468" t="s">
        <v>5430</v>
      </c>
      <c r="C2801" s="468" t="s">
        <v>5596</v>
      </c>
      <c r="D2801" s="468" t="s">
        <v>7838</v>
      </c>
      <c r="E2801" s="468" t="s">
        <v>545</v>
      </c>
      <c r="F2801" s="470">
        <v>2</v>
      </c>
      <c r="H2801" s="479">
        <v>0</v>
      </c>
      <c r="I2801" s="468" t="s">
        <v>9218</v>
      </c>
      <c r="J2801" s="468" t="s">
        <v>9219</v>
      </c>
      <c r="K2801" s="468" t="s">
        <v>9219</v>
      </c>
      <c r="L2801" s="468" t="s">
        <v>2354</v>
      </c>
    </row>
    <row r="2802" spans="1:12" x14ac:dyDescent="0.25">
      <c r="A2802" s="468" t="s">
        <v>220</v>
      </c>
      <c r="B2802" s="468" t="s">
        <v>5430</v>
      </c>
      <c r="C2802" s="468" t="s">
        <v>5598</v>
      </c>
      <c r="D2802" s="468" t="s">
        <v>7839</v>
      </c>
      <c r="E2802" s="468" t="s">
        <v>545</v>
      </c>
      <c r="F2802" s="470">
        <v>1</v>
      </c>
      <c r="H2802" s="479">
        <v>0</v>
      </c>
      <c r="I2802" s="468" t="s">
        <v>9218</v>
      </c>
      <c r="J2802" s="468" t="s">
        <v>9219</v>
      </c>
      <c r="K2802" s="468" t="s">
        <v>9219</v>
      </c>
      <c r="L2802" s="468" t="s">
        <v>2354</v>
      </c>
    </row>
    <row r="2803" spans="1:12" x14ac:dyDescent="0.25">
      <c r="A2803" s="468" t="s">
        <v>220</v>
      </c>
      <c r="B2803" s="468" t="s">
        <v>5430</v>
      </c>
      <c r="C2803" s="468" t="s">
        <v>5600</v>
      </c>
      <c r="D2803" s="468" t="s">
        <v>5599</v>
      </c>
      <c r="E2803" s="468" t="s">
        <v>545</v>
      </c>
      <c r="F2803" s="470">
        <v>1</v>
      </c>
      <c r="H2803" s="479">
        <v>0</v>
      </c>
      <c r="I2803" s="468" t="s">
        <v>9218</v>
      </c>
      <c r="J2803" s="468" t="s">
        <v>9219</v>
      </c>
      <c r="K2803" s="468" t="s">
        <v>9219</v>
      </c>
      <c r="L2803" s="468" t="s">
        <v>2354</v>
      </c>
    </row>
    <row r="2804" spans="1:12" x14ac:dyDescent="0.25">
      <c r="A2804" s="468" t="s">
        <v>220</v>
      </c>
      <c r="B2804" s="468" t="s">
        <v>5430</v>
      </c>
      <c r="C2804" s="468" t="s">
        <v>5601</v>
      </c>
      <c r="D2804" s="468" t="s">
        <v>7840</v>
      </c>
      <c r="E2804" s="468" t="s">
        <v>545</v>
      </c>
      <c r="F2804" s="470">
        <v>2</v>
      </c>
      <c r="H2804" s="479">
        <v>0</v>
      </c>
      <c r="I2804" s="468" t="s">
        <v>9218</v>
      </c>
      <c r="J2804" s="468" t="s">
        <v>9219</v>
      </c>
      <c r="K2804" s="468" t="s">
        <v>9219</v>
      </c>
      <c r="L2804" s="468" t="s">
        <v>2354</v>
      </c>
    </row>
    <row r="2805" spans="1:12" x14ac:dyDescent="0.25">
      <c r="A2805" s="468" t="s">
        <v>220</v>
      </c>
      <c r="B2805" s="468" t="s">
        <v>5430</v>
      </c>
      <c r="C2805" s="468" t="s">
        <v>5603</v>
      </c>
      <c r="D2805" s="468" t="s">
        <v>7841</v>
      </c>
      <c r="E2805" s="468" t="s">
        <v>545</v>
      </c>
      <c r="F2805" s="470">
        <v>3</v>
      </c>
      <c r="H2805" s="479">
        <v>0</v>
      </c>
      <c r="I2805" s="468" t="s">
        <v>9218</v>
      </c>
      <c r="J2805" s="468" t="s">
        <v>9219</v>
      </c>
      <c r="K2805" s="468" t="s">
        <v>9219</v>
      </c>
      <c r="L2805" s="468" t="s">
        <v>2354</v>
      </c>
    </row>
    <row r="2806" spans="1:12" x14ac:dyDescent="0.25">
      <c r="A2806" s="468" t="s">
        <v>220</v>
      </c>
      <c r="B2806" s="468" t="s">
        <v>5430</v>
      </c>
      <c r="C2806" s="468" t="s">
        <v>5605</v>
      </c>
      <c r="D2806" s="468" t="s">
        <v>7842</v>
      </c>
      <c r="E2806" s="468" t="s">
        <v>545</v>
      </c>
      <c r="F2806" s="470">
        <v>2</v>
      </c>
      <c r="H2806" s="479">
        <v>0</v>
      </c>
      <c r="I2806" s="468" t="s">
        <v>9218</v>
      </c>
      <c r="J2806" s="468" t="s">
        <v>9219</v>
      </c>
      <c r="K2806" s="468" t="s">
        <v>9219</v>
      </c>
      <c r="L2806" s="468" t="s">
        <v>2354</v>
      </c>
    </row>
    <row r="2807" spans="1:12" x14ac:dyDescent="0.25">
      <c r="A2807" s="468" t="s">
        <v>220</v>
      </c>
      <c r="B2807" s="468" t="s">
        <v>5430</v>
      </c>
      <c r="C2807" s="468" t="s">
        <v>5607</v>
      </c>
      <c r="D2807" s="468" t="s">
        <v>7843</v>
      </c>
      <c r="E2807" s="468" t="s">
        <v>545</v>
      </c>
      <c r="F2807" s="470">
        <v>1</v>
      </c>
      <c r="H2807" s="479">
        <v>0</v>
      </c>
      <c r="I2807" s="468" t="s">
        <v>9218</v>
      </c>
      <c r="J2807" s="468" t="s">
        <v>9219</v>
      </c>
      <c r="K2807" s="468" t="s">
        <v>9219</v>
      </c>
      <c r="L2807" s="468" t="s">
        <v>2354</v>
      </c>
    </row>
    <row r="2808" spans="1:12" x14ac:dyDescent="0.25">
      <c r="A2808" s="468" t="s">
        <v>220</v>
      </c>
      <c r="B2808" s="468" t="s">
        <v>5430</v>
      </c>
      <c r="C2808" s="468" t="s">
        <v>5609</v>
      </c>
      <c r="D2808" s="468" t="s">
        <v>7844</v>
      </c>
      <c r="E2808" s="468" t="s">
        <v>545</v>
      </c>
      <c r="F2808" s="470">
        <v>1</v>
      </c>
      <c r="H2808" s="479">
        <v>0</v>
      </c>
      <c r="I2808" s="468" t="s">
        <v>9218</v>
      </c>
      <c r="J2808" s="468" t="s">
        <v>9219</v>
      </c>
      <c r="K2808" s="468" t="s">
        <v>9219</v>
      </c>
      <c r="L2808" s="468" t="s">
        <v>2354</v>
      </c>
    </row>
    <row r="2809" spans="1:12" x14ac:dyDescent="0.25">
      <c r="A2809" s="468" t="s">
        <v>220</v>
      </c>
      <c r="B2809" s="468" t="s">
        <v>5430</v>
      </c>
      <c r="C2809" s="468" t="s">
        <v>5611</v>
      </c>
      <c r="D2809" s="468" t="s">
        <v>7845</v>
      </c>
      <c r="E2809" s="468" t="s">
        <v>545</v>
      </c>
      <c r="F2809" s="470">
        <v>1</v>
      </c>
      <c r="H2809" s="479">
        <v>0</v>
      </c>
      <c r="I2809" s="468" t="s">
        <v>9218</v>
      </c>
      <c r="J2809" s="468" t="s">
        <v>9219</v>
      </c>
      <c r="K2809" s="468" t="s">
        <v>9219</v>
      </c>
      <c r="L2809" s="468" t="s">
        <v>2354</v>
      </c>
    </row>
    <row r="2810" spans="1:12" x14ac:dyDescent="0.25">
      <c r="A2810" s="468" t="s">
        <v>220</v>
      </c>
      <c r="B2810" s="468" t="s">
        <v>5430</v>
      </c>
      <c r="C2810" s="468" t="s">
        <v>5613</v>
      </c>
      <c r="D2810" s="468" t="s">
        <v>7846</v>
      </c>
      <c r="E2810" s="468" t="s">
        <v>545</v>
      </c>
      <c r="F2810" s="470">
        <v>1</v>
      </c>
      <c r="G2810" s="468">
        <v>2821.5</v>
      </c>
      <c r="H2810" s="479">
        <v>2821.5</v>
      </c>
      <c r="I2810" s="468" t="s">
        <v>9218</v>
      </c>
      <c r="J2810" s="468" t="s">
        <v>9219</v>
      </c>
      <c r="K2810" s="468" t="s">
        <v>9219</v>
      </c>
      <c r="L2810" s="468" t="s">
        <v>2354</v>
      </c>
    </row>
    <row r="2811" spans="1:12" x14ac:dyDescent="0.25">
      <c r="A2811" s="468" t="s">
        <v>220</v>
      </c>
      <c r="B2811" s="468" t="s">
        <v>5430</v>
      </c>
      <c r="C2811" s="468" t="s">
        <v>5615</v>
      </c>
      <c r="D2811" s="468" t="s">
        <v>7847</v>
      </c>
      <c r="E2811" s="468" t="s">
        <v>545</v>
      </c>
      <c r="F2811" s="470">
        <v>2</v>
      </c>
      <c r="H2811" s="479">
        <v>0</v>
      </c>
      <c r="I2811" s="468" t="s">
        <v>9218</v>
      </c>
      <c r="J2811" s="468" t="s">
        <v>9219</v>
      </c>
      <c r="K2811" s="468" t="s">
        <v>9219</v>
      </c>
      <c r="L2811" s="468" t="s">
        <v>2354</v>
      </c>
    </row>
    <row r="2812" spans="1:12" x14ac:dyDescent="0.25">
      <c r="A2812" s="468" t="s">
        <v>220</v>
      </c>
      <c r="B2812" s="468" t="s">
        <v>5430</v>
      </c>
      <c r="C2812" s="468" t="s">
        <v>5617</v>
      </c>
      <c r="D2812" s="468" t="s">
        <v>7848</v>
      </c>
      <c r="E2812" s="468" t="s">
        <v>545</v>
      </c>
      <c r="F2812" s="470">
        <v>1</v>
      </c>
      <c r="H2812" s="479">
        <v>0</v>
      </c>
      <c r="I2812" s="468" t="s">
        <v>9218</v>
      </c>
      <c r="J2812" s="468" t="s">
        <v>9219</v>
      </c>
      <c r="K2812" s="468" t="s">
        <v>9219</v>
      </c>
      <c r="L2812" s="468" t="s">
        <v>2354</v>
      </c>
    </row>
    <row r="2813" spans="1:12" x14ac:dyDescent="0.25">
      <c r="A2813" s="468" t="s">
        <v>220</v>
      </c>
      <c r="B2813" s="468" t="s">
        <v>5430</v>
      </c>
      <c r="C2813" s="468" t="s">
        <v>5619</v>
      </c>
      <c r="D2813" s="468" t="s">
        <v>7849</v>
      </c>
      <c r="E2813" s="468" t="s">
        <v>545</v>
      </c>
      <c r="F2813" s="470">
        <v>1</v>
      </c>
      <c r="H2813" s="479">
        <v>0</v>
      </c>
      <c r="I2813" s="468" t="s">
        <v>9218</v>
      </c>
      <c r="J2813" s="468" t="s">
        <v>9219</v>
      </c>
      <c r="K2813" s="468" t="s">
        <v>9219</v>
      </c>
      <c r="L2813" s="468" t="s">
        <v>2354</v>
      </c>
    </row>
    <row r="2814" spans="1:12" x14ac:dyDescent="0.25">
      <c r="A2814" s="468" t="s">
        <v>220</v>
      </c>
      <c r="B2814" s="468" t="s">
        <v>5430</v>
      </c>
      <c r="C2814" s="468" t="s">
        <v>7850</v>
      </c>
      <c r="D2814" s="468" t="s">
        <v>7851</v>
      </c>
      <c r="E2814" s="468" t="s">
        <v>545</v>
      </c>
      <c r="F2814" s="470">
        <v>1</v>
      </c>
      <c r="H2814" s="479">
        <v>0</v>
      </c>
      <c r="I2814" s="468" t="s">
        <v>9218</v>
      </c>
      <c r="J2814" s="468" t="s">
        <v>9219</v>
      </c>
      <c r="K2814" s="468" t="s">
        <v>9219</v>
      </c>
      <c r="L2814" s="468" t="s">
        <v>2354</v>
      </c>
    </row>
    <row r="2815" spans="1:12" x14ac:dyDescent="0.25">
      <c r="A2815" s="468" t="s">
        <v>220</v>
      </c>
      <c r="B2815" s="468" t="s">
        <v>5430</v>
      </c>
      <c r="C2815" s="468" t="s">
        <v>7852</v>
      </c>
      <c r="D2815" s="468" t="s">
        <v>7853</v>
      </c>
      <c r="E2815" s="468" t="s">
        <v>545</v>
      </c>
      <c r="F2815" s="470">
        <v>1</v>
      </c>
      <c r="H2815" s="479">
        <v>0</v>
      </c>
      <c r="I2815" s="468" t="s">
        <v>9218</v>
      </c>
      <c r="J2815" s="468" t="s">
        <v>9219</v>
      </c>
      <c r="K2815" s="468" t="s">
        <v>9219</v>
      </c>
      <c r="L2815" s="468" t="s">
        <v>2354</v>
      </c>
    </row>
    <row r="2816" spans="1:12" x14ac:dyDescent="0.25">
      <c r="A2816" s="468" t="s">
        <v>220</v>
      </c>
      <c r="B2816" s="468" t="s">
        <v>5430</v>
      </c>
      <c r="C2816" s="468" t="s">
        <v>7854</v>
      </c>
      <c r="D2816" s="468" t="s">
        <v>7855</v>
      </c>
      <c r="E2816" s="468" t="s">
        <v>545</v>
      </c>
      <c r="F2816" s="470">
        <v>1</v>
      </c>
      <c r="H2816" s="479">
        <v>0</v>
      </c>
      <c r="I2816" s="468" t="s">
        <v>9218</v>
      </c>
      <c r="J2816" s="468" t="s">
        <v>9219</v>
      </c>
      <c r="K2816" s="468" t="s">
        <v>9219</v>
      </c>
      <c r="L2816" s="468" t="s">
        <v>2354</v>
      </c>
    </row>
    <row r="2817" spans="1:12" x14ac:dyDescent="0.25">
      <c r="A2817" s="468" t="s">
        <v>220</v>
      </c>
      <c r="B2817" s="468" t="s">
        <v>5430</v>
      </c>
      <c r="C2817" s="468" t="s">
        <v>5627</v>
      </c>
      <c r="D2817" s="468" t="s">
        <v>7856</v>
      </c>
      <c r="E2817" s="468" t="s">
        <v>545</v>
      </c>
      <c r="F2817" s="470">
        <v>2</v>
      </c>
      <c r="H2817" s="479">
        <v>0</v>
      </c>
      <c r="I2817" s="468" t="s">
        <v>9218</v>
      </c>
      <c r="J2817" s="468" t="s">
        <v>9219</v>
      </c>
      <c r="K2817" s="468" t="s">
        <v>9219</v>
      </c>
      <c r="L2817" s="468" t="s">
        <v>2354</v>
      </c>
    </row>
    <row r="2818" spans="1:12" x14ac:dyDescent="0.25">
      <c r="A2818" s="468" t="s">
        <v>220</v>
      </c>
      <c r="B2818" s="468" t="s">
        <v>5430</v>
      </c>
      <c r="C2818" s="468" t="s">
        <v>5629</v>
      </c>
      <c r="D2818" s="468" t="s">
        <v>7857</v>
      </c>
      <c r="E2818" s="468" t="s">
        <v>545</v>
      </c>
      <c r="F2818" s="470">
        <v>1</v>
      </c>
      <c r="G2818" s="468">
        <v>1834.2945475713532</v>
      </c>
      <c r="H2818" s="479">
        <v>1834.2945475713532</v>
      </c>
      <c r="I2818" s="468" t="s">
        <v>9218</v>
      </c>
      <c r="J2818" s="468" t="s">
        <v>9219</v>
      </c>
      <c r="K2818" s="468" t="s">
        <v>9219</v>
      </c>
      <c r="L2818" s="468" t="s">
        <v>2354</v>
      </c>
    </row>
    <row r="2819" spans="1:12" x14ac:dyDescent="0.25">
      <c r="A2819" s="468" t="s">
        <v>220</v>
      </c>
      <c r="B2819" s="468" t="s">
        <v>5430</v>
      </c>
      <c r="C2819" s="468" t="s">
        <v>5631</v>
      </c>
      <c r="D2819" s="468" t="s">
        <v>5632</v>
      </c>
      <c r="E2819" s="468" t="s">
        <v>545</v>
      </c>
      <c r="F2819" s="470">
        <v>7</v>
      </c>
      <c r="G2819" s="468">
        <v>600</v>
      </c>
      <c r="H2819" s="479">
        <v>4200</v>
      </c>
      <c r="I2819" s="468" t="s">
        <v>9218</v>
      </c>
      <c r="J2819" s="468" t="s">
        <v>9219</v>
      </c>
      <c r="K2819" s="468" t="s">
        <v>9219</v>
      </c>
      <c r="L2819" s="468" t="s">
        <v>2354</v>
      </c>
    </row>
    <row r="2820" spans="1:12" x14ac:dyDescent="0.25">
      <c r="A2820" s="468" t="s">
        <v>220</v>
      </c>
      <c r="B2820" s="468" t="s">
        <v>5430</v>
      </c>
      <c r="C2820" s="468" t="s">
        <v>5633</v>
      </c>
      <c r="D2820" s="468" t="s">
        <v>7858</v>
      </c>
      <c r="E2820" s="468" t="s">
        <v>545</v>
      </c>
      <c r="F2820" s="470">
        <v>3</v>
      </c>
      <c r="H2820" s="479">
        <v>0</v>
      </c>
      <c r="I2820" s="468" t="s">
        <v>9218</v>
      </c>
      <c r="J2820" s="468" t="s">
        <v>9219</v>
      </c>
      <c r="K2820" s="468" t="s">
        <v>9219</v>
      </c>
      <c r="L2820" s="468" t="s">
        <v>2354</v>
      </c>
    </row>
    <row r="2821" spans="1:12" x14ac:dyDescent="0.25">
      <c r="A2821" s="468" t="s">
        <v>220</v>
      </c>
      <c r="B2821" s="468" t="s">
        <v>5430</v>
      </c>
      <c r="C2821" s="468" t="s">
        <v>5635</v>
      </c>
      <c r="D2821" s="468" t="s">
        <v>7859</v>
      </c>
      <c r="E2821" s="468" t="s">
        <v>545</v>
      </c>
      <c r="F2821" s="470">
        <v>4</v>
      </c>
      <c r="H2821" s="479">
        <v>0</v>
      </c>
      <c r="I2821" s="468" t="s">
        <v>9218</v>
      </c>
      <c r="J2821" s="468" t="s">
        <v>9219</v>
      </c>
      <c r="K2821" s="468" t="s">
        <v>9219</v>
      </c>
      <c r="L2821" s="468" t="s">
        <v>2354</v>
      </c>
    </row>
    <row r="2822" spans="1:12" x14ac:dyDescent="0.25">
      <c r="A2822" s="468" t="s">
        <v>220</v>
      </c>
      <c r="B2822" s="468" t="s">
        <v>5430</v>
      </c>
      <c r="C2822" s="468" t="s">
        <v>5637</v>
      </c>
      <c r="D2822" s="468" t="s">
        <v>7860</v>
      </c>
      <c r="E2822" s="468" t="s">
        <v>545</v>
      </c>
      <c r="F2822" s="470">
        <v>5</v>
      </c>
      <c r="G2822" s="468">
        <v>120.39981269751891</v>
      </c>
      <c r="H2822" s="479">
        <v>601.99906348759453</v>
      </c>
      <c r="I2822" s="468" t="s">
        <v>9218</v>
      </c>
      <c r="J2822" s="468" t="s">
        <v>9219</v>
      </c>
      <c r="K2822" s="468" t="s">
        <v>9219</v>
      </c>
      <c r="L2822" s="468" t="s">
        <v>2354</v>
      </c>
    </row>
    <row r="2823" spans="1:12" x14ac:dyDescent="0.25">
      <c r="A2823" s="468" t="s">
        <v>220</v>
      </c>
      <c r="B2823" s="468" t="s">
        <v>5430</v>
      </c>
      <c r="C2823" s="468" t="s">
        <v>5639</v>
      </c>
      <c r="D2823" s="468" t="s">
        <v>7861</v>
      </c>
      <c r="E2823" s="468" t="s">
        <v>545</v>
      </c>
      <c r="F2823" s="470">
        <v>2</v>
      </c>
      <c r="G2823" s="468">
        <v>1.0289999999999999</v>
      </c>
      <c r="H2823" s="479">
        <v>2.0579999999999998</v>
      </c>
      <c r="I2823" s="468" t="s">
        <v>9218</v>
      </c>
      <c r="J2823" s="468" t="s">
        <v>9219</v>
      </c>
      <c r="K2823" s="468" t="s">
        <v>9219</v>
      </c>
      <c r="L2823" s="468" t="s">
        <v>2354</v>
      </c>
    </row>
    <row r="2824" spans="1:12" x14ac:dyDescent="0.25">
      <c r="A2824" s="468" t="s">
        <v>220</v>
      </c>
      <c r="B2824" s="468" t="s">
        <v>5430</v>
      </c>
      <c r="C2824" s="468" t="s">
        <v>7862</v>
      </c>
      <c r="D2824" s="468" t="s">
        <v>7863</v>
      </c>
      <c r="E2824" s="468" t="s">
        <v>545</v>
      </c>
      <c r="F2824" s="470">
        <v>2</v>
      </c>
      <c r="G2824" s="468">
        <v>1.028</v>
      </c>
      <c r="H2824" s="479">
        <v>2.056</v>
      </c>
      <c r="I2824" s="468" t="s">
        <v>9218</v>
      </c>
      <c r="J2824" s="468" t="s">
        <v>9219</v>
      </c>
      <c r="K2824" s="468" t="s">
        <v>9219</v>
      </c>
      <c r="L2824" s="468" t="s">
        <v>2354</v>
      </c>
    </row>
    <row r="2825" spans="1:12" x14ac:dyDescent="0.25">
      <c r="A2825" s="468" t="s">
        <v>220</v>
      </c>
      <c r="B2825" s="468" t="s">
        <v>5430</v>
      </c>
      <c r="C2825" s="468" t="s">
        <v>5643</v>
      </c>
      <c r="D2825" s="468" t="s">
        <v>7864</v>
      </c>
      <c r="E2825" s="468" t="s">
        <v>545</v>
      </c>
      <c r="F2825" s="470">
        <v>24</v>
      </c>
      <c r="G2825" s="468">
        <v>29.393000000000001</v>
      </c>
      <c r="H2825" s="479">
        <v>705.43200000000002</v>
      </c>
      <c r="I2825" s="468" t="s">
        <v>9218</v>
      </c>
      <c r="J2825" s="468" t="s">
        <v>9219</v>
      </c>
      <c r="K2825" s="468" t="s">
        <v>9219</v>
      </c>
      <c r="L2825" s="468" t="s">
        <v>2354</v>
      </c>
    </row>
    <row r="2826" spans="1:12" x14ac:dyDescent="0.25">
      <c r="A2826" s="468" t="s">
        <v>220</v>
      </c>
      <c r="B2826" s="468" t="s">
        <v>5430</v>
      </c>
      <c r="C2826" s="468" t="s">
        <v>5645</v>
      </c>
      <c r="D2826" s="468" t="s">
        <v>7865</v>
      </c>
      <c r="E2826" s="468" t="s">
        <v>545</v>
      </c>
      <c r="F2826" s="470">
        <v>12</v>
      </c>
      <c r="G2826" s="468">
        <v>41.15</v>
      </c>
      <c r="H2826" s="479">
        <v>493.79999999999995</v>
      </c>
      <c r="I2826" s="468" t="s">
        <v>9218</v>
      </c>
      <c r="J2826" s="468" t="s">
        <v>9219</v>
      </c>
      <c r="K2826" s="468" t="s">
        <v>9219</v>
      </c>
      <c r="L2826" s="468" t="s">
        <v>2354</v>
      </c>
    </row>
    <row r="2827" spans="1:12" x14ac:dyDescent="0.25">
      <c r="A2827" s="468" t="s">
        <v>220</v>
      </c>
      <c r="B2827" s="468" t="s">
        <v>5430</v>
      </c>
      <c r="C2827" s="468" t="s">
        <v>5647</v>
      </c>
      <c r="D2827" s="468" t="s">
        <v>7866</v>
      </c>
      <c r="E2827" s="468" t="s">
        <v>545</v>
      </c>
      <c r="F2827" s="470">
        <v>8</v>
      </c>
      <c r="G2827" s="468">
        <v>49.968000000000004</v>
      </c>
      <c r="H2827" s="479">
        <v>399.74400000000003</v>
      </c>
      <c r="I2827" s="468" t="s">
        <v>9218</v>
      </c>
      <c r="J2827" s="468" t="s">
        <v>9219</v>
      </c>
      <c r="K2827" s="468" t="s">
        <v>9219</v>
      </c>
      <c r="L2827" s="468" t="s">
        <v>2354</v>
      </c>
    </row>
    <row r="2828" spans="1:12" x14ac:dyDescent="0.25">
      <c r="A2828" s="468" t="s">
        <v>220</v>
      </c>
      <c r="B2828" s="468" t="s">
        <v>5430</v>
      </c>
      <c r="C2828" s="468" t="s">
        <v>5649</v>
      </c>
      <c r="D2828" s="468" t="s">
        <v>7867</v>
      </c>
      <c r="E2828" s="468" t="s">
        <v>545</v>
      </c>
      <c r="F2828" s="470">
        <v>24</v>
      </c>
      <c r="G2828" s="468">
        <v>29.393000000000001</v>
      </c>
      <c r="H2828" s="479">
        <v>705.43200000000002</v>
      </c>
      <c r="I2828" s="468" t="s">
        <v>9218</v>
      </c>
      <c r="J2828" s="468" t="s">
        <v>9219</v>
      </c>
      <c r="K2828" s="468" t="s">
        <v>9219</v>
      </c>
      <c r="L2828" s="468" t="s">
        <v>2354</v>
      </c>
    </row>
    <row r="2829" spans="1:12" x14ac:dyDescent="0.25">
      <c r="A2829" s="468" t="s">
        <v>220</v>
      </c>
      <c r="B2829" s="468" t="s">
        <v>5430</v>
      </c>
      <c r="C2829" s="468" t="s">
        <v>5651</v>
      </c>
      <c r="D2829" s="468" t="s">
        <v>7868</v>
      </c>
      <c r="E2829" s="468" t="s">
        <v>545</v>
      </c>
      <c r="F2829" s="470">
        <v>4</v>
      </c>
      <c r="G2829" s="468">
        <v>38.210999999999999</v>
      </c>
      <c r="H2829" s="479">
        <v>152.84399999999999</v>
      </c>
      <c r="I2829" s="468" t="s">
        <v>9218</v>
      </c>
      <c r="J2829" s="468" t="s">
        <v>9219</v>
      </c>
      <c r="K2829" s="468" t="s">
        <v>9219</v>
      </c>
      <c r="L2829" s="468" t="s">
        <v>2354</v>
      </c>
    </row>
    <row r="2830" spans="1:12" x14ac:dyDescent="0.25">
      <c r="A2830" s="468" t="s">
        <v>220</v>
      </c>
      <c r="B2830" s="468" t="s">
        <v>5430</v>
      </c>
      <c r="C2830" s="468" t="s">
        <v>5653</v>
      </c>
      <c r="D2830" s="468" t="s">
        <v>7869</v>
      </c>
      <c r="E2830" s="468" t="s">
        <v>545</v>
      </c>
      <c r="F2830" s="470">
        <v>16</v>
      </c>
      <c r="G2830" s="468">
        <v>44.09</v>
      </c>
      <c r="H2830" s="479">
        <v>705.44</v>
      </c>
      <c r="I2830" s="468" t="s">
        <v>9218</v>
      </c>
      <c r="J2830" s="468" t="s">
        <v>9219</v>
      </c>
      <c r="K2830" s="468" t="s">
        <v>9219</v>
      </c>
      <c r="L2830" s="468" t="s">
        <v>2354</v>
      </c>
    </row>
    <row r="2831" spans="1:12" x14ac:dyDescent="0.25">
      <c r="A2831" s="468" t="s">
        <v>220</v>
      </c>
      <c r="B2831" s="468" t="s">
        <v>5430</v>
      </c>
      <c r="C2831" s="468" t="s">
        <v>5655</v>
      </c>
      <c r="D2831" s="468" t="s">
        <v>7870</v>
      </c>
      <c r="E2831" s="468" t="s">
        <v>545</v>
      </c>
      <c r="F2831" s="470">
        <v>1</v>
      </c>
      <c r="G2831" s="468">
        <v>277.12799999999999</v>
      </c>
      <c r="H2831" s="479">
        <v>277.12799999999999</v>
      </c>
      <c r="I2831" s="468" t="s">
        <v>9218</v>
      </c>
      <c r="J2831" s="468" t="s">
        <v>9219</v>
      </c>
      <c r="K2831" s="468" t="s">
        <v>9219</v>
      </c>
      <c r="L2831" s="468" t="s">
        <v>2354</v>
      </c>
    </row>
    <row r="2832" spans="1:12" x14ac:dyDescent="0.25">
      <c r="A2832" s="468" t="s">
        <v>220</v>
      </c>
      <c r="B2832" s="468" t="s">
        <v>5430</v>
      </c>
      <c r="C2832" s="468" t="s">
        <v>7871</v>
      </c>
      <c r="D2832" s="468" t="s">
        <v>7872</v>
      </c>
      <c r="E2832" s="468" t="s">
        <v>545</v>
      </c>
      <c r="F2832" s="470">
        <v>1</v>
      </c>
      <c r="G2832" s="468">
        <v>294.72000000000003</v>
      </c>
      <c r="H2832" s="479">
        <v>294.72000000000003</v>
      </c>
      <c r="I2832" s="468" t="s">
        <v>9218</v>
      </c>
      <c r="J2832" s="468" t="s">
        <v>9219</v>
      </c>
      <c r="K2832" s="468" t="s">
        <v>9219</v>
      </c>
      <c r="L2832" s="468" t="s">
        <v>2354</v>
      </c>
    </row>
    <row r="2833" spans="1:12" x14ac:dyDescent="0.25">
      <c r="A2833" s="468" t="s">
        <v>220</v>
      </c>
      <c r="B2833" s="468" t="s">
        <v>5430</v>
      </c>
      <c r="C2833" s="468" t="s">
        <v>2638</v>
      </c>
      <c r="D2833" s="468" t="s">
        <v>7873</v>
      </c>
      <c r="E2833" s="468" t="s">
        <v>545</v>
      </c>
      <c r="F2833" s="470">
        <v>1</v>
      </c>
      <c r="G2833" s="468">
        <v>40</v>
      </c>
      <c r="H2833" s="479">
        <v>40</v>
      </c>
      <c r="I2833" s="468" t="s">
        <v>9218</v>
      </c>
      <c r="J2833" s="468" t="s">
        <v>9219</v>
      </c>
      <c r="K2833" s="468" t="s">
        <v>9219</v>
      </c>
      <c r="L2833" s="468" t="s">
        <v>2354</v>
      </c>
    </row>
    <row r="2834" spans="1:12" x14ac:dyDescent="0.25">
      <c r="A2834" s="468" t="s">
        <v>220</v>
      </c>
      <c r="B2834" s="468" t="s">
        <v>5430</v>
      </c>
      <c r="C2834" s="468" t="s">
        <v>5658</v>
      </c>
      <c r="D2834" s="468" t="s">
        <v>7874</v>
      </c>
      <c r="E2834" s="468" t="s">
        <v>545</v>
      </c>
      <c r="F2834" s="470">
        <v>3</v>
      </c>
      <c r="G2834" s="468">
        <v>59.043999999999997</v>
      </c>
      <c r="H2834" s="479">
        <v>177.13200000000001</v>
      </c>
      <c r="I2834" s="468" t="s">
        <v>9218</v>
      </c>
      <c r="J2834" s="468" t="s">
        <v>9219</v>
      </c>
      <c r="K2834" s="468" t="s">
        <v>9219</v>
      </c>
      <c r="L2834" s="468" t="s">
        <v>2354</v>
      </c>
    </row>
    <row r="2835" spans="1:12" x14ac:dyDescent="0.25">
      <c r="A2835" s="468" t="s">
        <v>220</v>
      </c>
      <c r="B2835" s="468" t="s">
        <v>5430</v>
      </c>
      <c r="C2835" s="468" t="s">
        <v>5662</v>
      </c>
      <c r="D2835" s="468" t="s">
        <v>7875</v>
      </c>
      <c r="E2835" s="468" t="s">
        <v>545</v>
      </c>
      <c r="F2835" s="470">
        <v>1</v>
      </c>
      <c r="G2835" s="468">
        <v>230.4</v>
      </c>
      <c r="H2835" s="479">
        <v>230.4</v>
      </c>
      <c r="I2835" s="468" t="s">
        <v>9218</v>
      </c>
      <c r="J2835" s="468" t="s">
        <v>9219</v>
      </c>
      <c r="K2835" s="468" t="s">
        <v>9219</v>
      </c>
      <c r="L2835" s="468" t="s">
        <v>2354</v>
      </c>
    </row>
    <row r="2836" spans="1:12" x14ac:dyDescent="0.25">
      <c r="A2836" s="468" t="s">
        <v>220</v>
      </c>
      <c r="B2836" s="468" t="s">
        <v>5430</v>
      </c>
      <c r="C2836" s="468" t="s">
        <v>5664</v>
      </c>
      <c r="D2836" s="468" t="s">
        <v>7876</v>
      </c>
      <c r="E2836" s="468" t="s">
        <v>545</v>
      </c>
      <c r="F2836" s="470">
        <v>20</v>
      </c>
      <c r="G2836" s="468">
        <v>36</v>
      </c>
      <c r="H2836" s="479">
        <v>720</v>
      </c>
      <c r="I2836" s="468" t="s">
        <v>9218</v>
      </c>
      <c r="J2836" s="468" t="s">
        <v>9219</v>
      </c>
      <c r="K2836" s="468" t="s">
        <v>9219</v>
      </c>
      <c r="L2836" s="468" t="s">
        <v>2354</v>
      </c>
    </row>
    <row r="2837" spans="1:12" x14ac:dyDescent="0.25">
      <c r="A2837" s="468" t="s">
        <v>220</v>
      </c>
      <c r="B2837" s="468" t="s">
        <v>5430</v>
      </c>
      <c r="C2837" s="468" t="s">
        <v>5666</v>
      </c>
      <c r="D2837" s="468" t="s">
        <v>7877</v>
      </c>
      <c r="E2837" s="468" t="s">
        <v>545</v>
      </c>
      <c r="F2837" s="470">
        <v>1</v>
      </c>
      <c r="G2837" s="468">
        <v>7.0679999999999996</v>
      </c>
      <c r="H2837" s="479">
        <v>7.0679999999999996</v>
      </c>
      <c r="I2837" s="468" t="s">
        <v>9218</v>
      </c>
      <c r="J2837" s="468" t="s">
        <v>9219</v>
      </c>
      <c r="K2837" s="468" t="s">
        <v>9219</v>
      </c>
      <c r="L2837" s="468" t="s">
        <v>2354</v>
      </c>
    </row>
    <row r="2838" spans="1:12" x14ac:dyDescent="0.25">
      <c r="A2838" s="468" t="s">
        <v>220</v>
      </c>
      <c r="B2838" s="468" t="s">
        <v>5430</v>
      </c>
      <c r="C2838" s="468" t="s">
        <v>7878</v>
      </c>
      <c r="D2838" s="468" t="s">
        <v>7879</v>
      </c>
      <c r="E2838" s="468" t="s">
        <v>545</v>
      </c>
      <c r="F2838" s="470">
        <v>1</v>
      </c>
      <c r="G2838" s="468">
        <v>1.089</v>
      </c>
      <c r="H2838" s="479">
        <v>1.089</v>
      </c>
      <c r="I2838" s="468" t="s">
        <v>9218</v>
      </c>
      <c r="J2838" s="468" t="s">
        <v>9219</v>
      </c>
      <c r="K2838" s="468" t="s">
        <v>9219</v>
      </c>
      <c r="L2838" s="468" t="s">
        <v>2354</v>
      </c>
    </row>
    <row r="2839" spans="1:12" x14ac:dyDescent="0.25">
      <c r="A2839" s="468" t="s">
        <v>220</v>
      </c>
      <c r="B2839" s="468" t="s">
        <v>5430</v>
      </c>
      <c r="C2839" s="468" t="s">
        <v>5670</v>
      </c>
      <c r="D2839" s="468" t="s">
        <v>7880</v>
      </c>
      <c r="E2839" s="468" t="s">
        <v>545</v>
      </c>
      <c r="F2839" s="470">
        <v>1</v>
      </c>
      <c r="G2839" s="468">
        <v>179.482</v>
      </c>
      <c r="H2839" s="479">
        <v>179.482</v>
      </c>
      <c r="I2839" s="468" t="s">
        <v>9218</v>
      </c>
      <c r="J2839" s="468" t="s">
        <v>9219</v>
      </c>
      <c r="K2839" s="468" t="s">
        <v>9219</v>
      </c>
      <c r="L2839" s="468" t="s">
        <v>2354</v>
      </c>
    </row>
    <row r="2840" spans="1:12" x14ac:dyDescent="0.25">
      <c r="A2840" s="468" t="s">
        <v>220</v>
      </c>
      <c r="B2840" s="468" t="s">
        <v>5430</v>
      </c>
      <c r="C2840" s="468" t="s">
        <v>5674</v>
      </c>
      <c r="D2840" s="468" t="s">
        <v>7881</v>
      </c>
      <c r="E2840" s="468" t="s">
        <v>545</v>
      </c>
      <c r="F2840" s="470">
        <v>1</v>
      </c>
      <c r="G2840" s="468">
        <v>327.63200000000001</v>
      </c>
      <c r="H2840" s="479">
        <v>327.63200000000001</v>
      </c>
      <c r="I2840" s="468" t="s">
        <v>9218</v>
      </c>
      <c r="J2840" s="468" t="s">
        <v>9219</v>
      </c>
      <c r="K2840" s="468" t="s">
        <v>9219</v>
      </c>
      <c r="L2840" s="468" t="s">
        <v>2354</v>
      </c>
    </row>
    <row r="2841" spans="1:12" x14ac:dyDescent="0.25">
      <c r="A2841" s="468" t="s">
        <v>220</v>
      </c>
      <c r="B2841" s="468" t="s">
        <v>5430</v>
      </c>
      <c r="C2841" s="468" t="s">
        <v>5676</v>
      </c>
      <c r="D2841" s="468" t="s">
        <v>7882</v>
      </c>
      <c r="E2841" s="468" t="s">
        <v>545</v>
      </c>
      <c r="F2841" s="470">
        <v>8</v>
      </c>
      <c r="G2841" s="468">
        <v>88.278000000000006</v>
      </c>
      <c r="H2841" s="479">
        <v>706.22400000000005</v>
      </c>
      <c r="I2841" s="468" t="s">
        <v>9218</v>
      </c>
      <c r="J2841" s="468" t="s">
        <v>9219</v>
      </c>
      <c r="K2841" s="468" t="s">
        <v>9219</v>
      </c>
      <c r="L2841" s="468" t="s">
        <v>2354</v>
      </c>
    </row>
    <row r="2842" spans="1:12" x14ac:dyDescent="0.25">
      <c r="A2842" s="468" t="s">
        <v>220</v>
      </c>
      <c r="B2842" s="468" t="s">
        <v>5430</v>
      </c>
      <c r="C2842" s="468" t="s">
        <v>2740</v>
      </c>
      <c r="D2842" s="468" t="s">
        <v>7883</v>
      </c>
      <c r="E2842" s="468" t="s">
        <v>545</v>
      </c>
      <c r="F2842" s="470">
        <v>3</v>
      </c>
      <c r="G2842" s="468">
        <v>10.680999999999999</v>
      </c>
      <c r="H2842" s="479">
        <v>32.042999999999999</v>
      </c>
      <c r="I2842" s="468" t="s">
        <v>9218</v>
      </c>
      <c r="J2842" s="468" t="s">
        <v>9219</v>
      </c>
      <c r="K2842" s="468" t="s">
        <v>9219</v>
      </c>
      <c r="L2842" s="468" t="s">
        <v>2354</v>
      </c>
    </row>
    <row r="2843" spans="1:12" x14ac:dyDescent="0.25">
      <c r="A2843" s="468" t="s">
        <v>220</v>
      </c>
      <c r="B2843" s="468" t="s">
        <v>5430</v>
      </c>
      <c r="C2843" s="468" t="s">
        <v>5687</v>
      </c>
      <c r="D2843" s="468" t="s">
        <v>7884</v>
      </c>
      <c r="E2843" s="468" t="s">
        <v>545</v>
      </c>
      <c r="F2843" s="470">
        <v>6</v>
      </c>
      <c r="G2843" s="468">
        <v>27.943999999999999</v>
      </c>
      <c r="H2843" s="479">
        <v>167.66399999999999</v>
      </c>
      <c r="I2843" s="468" t="s">
        <v>9218</v>
      </c>
      <c r="J2843" s="468" t="s">
        <v>9219</v>
      </c>
      <c r="K2843" s="468" t="s">
        <v>9219</v>
      </c>
      <c r="L2843" s="468" t="s">
        <v>2354</v>
      </c>
    </row>
    <row r="2844" spans="1:12" x14ac:dyDescent="0.25">
      <c r="A2844" s="468" t="s">
        <v>220</v>
      </c>
      <c r="B2844" s="468" t="s">
        <v>5430</v>
      </c>
      <c r="C2844" s="468" t="s">
        <v>5689</v>
      </c>
      <c r="D2844" s="468" t="s">
        <v>7885</v>
      </c>
      <c r="E2844" s="468" t="s">
        <v>545</v>
      </c>
      <c r="F2844" s="470">
        <v>5</v>
      </c>
      <c r="G2844" s="468">
        <v>18.518000000000001</v>
      </c>
      <c r="H2844" s="479">
        <v>92.59</v>
      </c>
      <c r="I2844" s="468" t="s">
        <v>9218</v>
      </c>
      <c r="J2844" s="468" t="s">
        <v>9219</v>
      </c>
      <c r="K2844" s="468" t="s">
        <v>9219</v>
      </c>
      <c r="L2844" s="468" t="s">
        <v>2354</v>
      </c>
    </row>
    <row r="2845" spans="1:12" x14ac:dyDescent="0.25">
      <c r="A2845" s="468" t="s">
        <v>220</v>
      </c>
      <c r="B2845" s="468" t="s">
        <v>5430</v>
      </c>
      <c r="C2845" s="468" t="s">
        <v>5691</v>
      </c>
      <c r="D2845" s="468" t="s">
        <v>7886</v>
      </c>
      <c r="E2845" s="468" t="s">
        <v>545</v>
      </c>
      <c r="F2845" s="470">
        <v>3</v>
      </c>
      <c r="G2845" s="468">
        <v>46.35</v>
      </c>
      <c r="H2845" s="479">
        <v>139.05000000000001</v>
      </c>
      <c r="I2845" s="468" t="s">
        <v>9218</v>
      </c>
      <c r="J2845" s="468" t="s">
        <v>9219</v>
      </c>
      <c r="K2845" s="468" t="s">
        <v>9219</v>
      </c>
      <c r="L2845" s="468" t="s">
        <v>2354</v>
      </c>
    </row>
    <row r="2846" spans="1:12" x14ac:dyDescent="0.25">
      <c r="A2846" s="468" t="s">
        <v>220</v>
      </c>
      <c r="B2846" s="468" t="s">
        <v>5430</v>
      </c>
      <c r="C2846" s="468" t="s">
        <v>5695</v>
      </c>
      <c r="D2846" s="468" t="s">
        <v>7888</v>
      </c>
      <c r="E2846" s="468" t="s">
        <v>545</v>
      </c>
      <c r="F2846" s="470">
        <v>1</v>
      </c>
      <c r="G2846" s="468">
        <v>275.67</v>
      </c>
      <c r="H2846" s="479">
        <v>275.67</v>
      </c>
      <c r="I2846" s="468" t="s">
        <v>9218</v>
      </c>
      <c r="J2846" s="468" t="s">
        <v>9219</v>
      </c>
      <c r="K2846" s="468" t="s">
        <v>9219</v>
      </c>
      <c r="L2846" s="468" t="s">
        <v>2354</v>
      </c>
    </row>
    <row r="2847" spans="1:12" x14ac:dyDescent="0.25">
      <c r="A2847" s="468" t="s">
        <v>220</v>
      </c>
      <c r="B2847" s="468" t="s">
        <v>5430</v>
      </c>
      <c r="C2847" s="468" t="s">
        <v>5697</v>
      </c>
      <c r="D2847" s="468" t="s">
        <v>7889</v>
      </c>
      <c r="E2847" s="468" t="s">
        <v>545</v>
      </c>
      <c r="F2847" s="470">
        <v>1</v>
      </c>
      <c r="G2847" s="468">
        <v>93.42</v>
      </c>
      <c r="H2847" s="479">
        <v>93.42</v>
      </c>
      <c r="I2847" s="468" t="s">
        <v>9218</v>
      </c>
      <c r="J2847" s="468" t="s">
        <v>9219</v>
      </c>
      <c r="K2847" s="468" t="s">
        <v>9219</v>
      </c>
      <c r="L2847" s="468" t="s">
        <v>2354</v>
      </c>
    </row>
    <row r="2848" spans="1:12" x14ac:dyDescent="0.25">
      <c r="A2848" s="468" t="s">
        <v>220</v>
      </c>
      <c r="B2848" s="468" t="s">
        <v>5430</v>
      </c>
      <c r="C2848" s="468" t="s">
        <v>5699</v>
      </c>
      <c r="D2848" s="468" t="s">
        <v>7890</v>
      </c>
      <c r="E2848" s="468" t="s">
        <v>545</v>
      </c>
      <c r="F2848" s="470">
        <v>7</v>
      </c>
      <c r="G2848" s="468">
        <v>74.069999999999993</v>
      </c>
      <c r="H2848" s="479">
        <v>518.49</v>
      </c>
      <c r="I2848" s="468" t="s">
        <v>9218</v>
      </c>
      <c r="J2848" s="468" t="s">
        <v>9219</v>
      </c>
      <c r="K2848" s="468" t="s">
        <v>9219</v>
      </c>
      <c r="L2848" s="468" t="s">
        <v>2354</v>
      </c>
    </row>
    <row r="2849" spans="1:12" x14ac:dyDescent="0.25">
      <c r="A2849" s="468" t="s">
        <v>220</v>
      </c>
      <c r="B2849" s="468" t="s">
        <v>5430</v>
      </c>
      <c r="C2849" s="468" t="s">
        <v>5701</v>
      </c>
      <c r="D2849" s="468" t="s">
        <v>7891</v>
      </c>
      <c r="E2849" s="468" t="s">
        <v>545</v>
      </c>
      <c r="F2849" s="470">
        <v>4</v>
      </c>
      <c r="G2849" s="468">
        <v>6.7949999999999999</v>
      </c>
      <c r="H2849" s="479">
        <v>27.18</v>
      </c>
      <c r="I2849" s="468" t="s">
        <v>9218</v>
      </c>
      <c r="J2849" s="468" t="s">
        <v>9219</v>
      </c>
      <c r="K2849" s="468" t="s">
        <v>9219</v>
      </c>
      <c r="L2849" s="468" t="s">
        <v>2354</v>
      </c>
    </row>
    <row r="2850" spans="1:12" x14ac:dyDescent="0.25">
      <c r="A2850" s="468" t="s">
        <v>220</v>
      </c>
      <c r="B2850" s="468" t="s">
        <v>5430</v>
      </c>
      <c r="C2850" s="468" t="s">
        <v>5703</v>
      </c>
      <c r="D2850" s="468" t="s">
        <v>7892</v>
      </c>
      <c r="E2850" s="468" t="s">
        <v>545</v>
      </c>
      <c r="F2850" s="470">
        <v>2</v>
      </c>
      <c r="G2850" s="468">
        <v>85.801000000000002</v>
      </c>
      <c r="H2850" s="479">
        <v>171.602</v>
      </c>
      <c r="I2850" s="468" t="s">
        <v>9218</v>
      </c>
      <c r="J2850" s="468" t="s">
        <v>9219</v>
      </c>
      <c r="K2850" s="468" t="s">
        <v>9219</v>
      </c>
      <c r="L2850" s="468" t="s">
        <v>2354</v>
      </c>
    </row>
    <row r="2851" spans="1:12" x14ac:dyDescent="0.25">
      <c r="A2851" s="468" t="s">
        <v>220</v>
      </c>
      <c r="B2851" s="468" t="s">
        <v>5430</v>
      </c>
      <c r="C2851" s="468" t="s">
        <v>5705</v>
      </c>
      <c r="D2851" s="468" t="s">
        <v>7893</v>
      </c>
      <c r="E2851" s="468" t="s">
        <v>545</v>
      </c>
      <c r="F2851" s="470">
        <v>2</v>
      </c>
      <c r="G2851" s="468">
        <v>85.801000000000002</v>
      </c>
      <c r="H2851" s="479">
        <v>171.602</v>
      </c>
      <c r="I2851" s="468" t="s">
        <v>9218</v>
      </c>
      <c r="J2851" s="468" t="s">
        <v>9219</v>
      </c>
      <c r="K2851" s="468" t="s">
        <v>9219</v>
      </c>
      <c r="L2851" s="468" t="s">
        <v>2354</v>
      </c>
    </row>
    <row r="2852" spans="1:12" x14ac:dyDescent="0.25">
      <c r="A2852" s="468" t="s">
        <v>220</v>
      </c>
      <c r="B2852" s="468" t="s">
        <v>5430</v>
      </c>
      <c r="C2852" s="468" t="s">
        <v>5707</v>
      </c>
      <c r="D2852" s="468" t="s">
        <v>7894</v>
      </c>
      <c r="E2852" s="468" t="s">
        <v>545</v>
      </c>
      <c r="F2852" s="470">
        <v>1</v>
      </c>
      <c r="G2852" s="468">
        <v>85.801000000000002</v>
      </c>
      <c r="H2852" s="479">
        <v>85.801000000000002</v>
      </c>
      <c r="I2852" s="468" t="s">
        <v>9218</v>
      </c>
      <c r="J2852" s="468" t="s">
        <v>9219</v>
      </c>
      <c r="K2852" s="468" t="s">
        <v>9219</v>
      </c>
      <c r="L2852" s="468" t="s">
        <v>2354</v>
      </c>
    </row>
    <row r="2853" spans="1:12" x14ac:dyDescent="0.25">
      <c r="A2853" s="468" t="s">
        <v>220</v>
      </c>
      <c r="B2853" s="468" t="s">
        <v>5430</v>
      </c>
      <c r="C2853" s="468" t="s">
        <v>5709</v>
      </c>
      <c r="D2853" s="468" t="s">
        <v>7895</v>
      </c>
      <c r="E2853" s="468" t="s">
        <v>545</v>
      </c>
      <c r="F2853" s="470">
        <v>2</v>
      </c>
      <c r="G2853" s="468">
        <v>85.801000000000002</v>
      </c>
      <c r="H2853" s="479">
        <v>171.602</v>
      </c>
      <c r="I2853" s="468" t="s">
        <v>9218</v>
      </c>
      <c r="J2853" s="468" t="s">
        <v>9219</v>
      </c>
      <c r="K2853" s="468" t="s">
        <v>9219</v>
      </c>
      <c r="L2853" s="468" t="s">
        <v>2354</v>
      </c>
    </row>
    <row r="2854" spans="1:12" x14ac:dyDescent="0.25">
      <c r="A2854" s="468" t="s">
        <v>220</v>
      </c>
      <c r="B2854" s="468" t="s">
        <v>5430</v>
      </c>
      <c r="C2854" s="468" t="s">
        <v>5711</v>
      </c>
      <c r="D2854" s="468" t="s">
        <v>7896</v>
      </c>
      <c r="E2854" s="468" t="s">
        <v>545</v>
      </c>
      <c r="F2854" s="470">
        <v>9</v>
      </c>
      <c r="G2854" s="468">
        <v>28</v>
      </c>
      <c r="H2854" s="479">
        <v>252</v>
      </c>
      <c r="I2854" s="468" t="s">
        <v>9218</v>
      </c>
      <c r="J2854" s="468" t="s">
        <v>9219</v>
      </c>
      <c r="K2854" s="468" t="s">
        <v>9219</v>
      </c>
      <c r="L2854" s="468" t="s">
        <v>2354</v>
      </c>
    </row>
    <row r="2855" spans="1:12" x14ac:dyDescent="0.25">
      <c r="A2855" s="468" t="s">
        <v>220</v>
      </c>
      <c r="B2855" s="468" t="s">
        <v>5430</v>
      </c>
      <c r="C2855" s="468" t="s">
        <v>5713</v>
      </c>
      <c r="D2855" s="468" t="s">
        <v>7897</v>
      </c>
      <c r="E2855" s="468" t="s">
        <v>545</v>
      </c>
      <c r="F2855" s="470">
        <v>5</v>
      </c>
      <c r="G2855" s="468">
        <v>38.706000000000003</v>
      </c>
      <c r="H2855" s="479">
        <v>193.53000000000003</v>
      </c>
      <c r="I2855" s="468" t="s">
        <v>9218</v>
      </c>
      <c r="J2855" s="468" t="s">
        <v>9219</v>
      </c>
      <c r="K2855" s="468" t="s">
        <v>9219</v>
      </c>
      <c r="L2855" s="468" t="s">
        <v>2354</v>
      </c>
    </row>
    <row r="2856" spans="1:12" x14ac:dyDescent="0.25">
      <c r="A2856" s="468" t="s">
        <v>220</v>
      </c>
      <c r="B2856" s="468" t="s">
        <v>5430</v>
      </c>
      <c r="C2856" s="468" t="s">
        <v>5715</v>
      </c>
      <c r="D2856" s="468" t="s">
        <v>7898</v>
      </c>
      <c r="E2856" s="468" t="s">
        <v>545</v>
      </c>
      <c r="F2856" s="470">
        <v>1</v>
      </c>
      <c r="G2856" s="468">
        <v>37.08</v>
      </c>
      <c r="H2856" s="479">
        <v>37.08</v>
      </c>
      <c r="I2856" s="468" t="s">
        <v>9218</v>
      </c>
      <c r="J2856" s="468" t="s">
        <v>9219</v>
      </c>
      <c r="K2856" s="468" t="s">
        <v>9219</v>
      </c>
      <c r="L2856" s="468" t="s">
        <v>2354</v>
      </c>
    </row>
    <row r="2857" spans="1:12" x14ac:dyDescent="0.25">
      <c r="A2857" s="468" t="s">
        <v>220</v>
      </c>
      <c r="B2857" s="468" t="s">
        <v>5430</v>
      </c>
      <c r="C2857" s="468" t="s">
        <v>5717</v>
      </c>
      <c r="D2857" s="468" t="s">
        <v>5718</v>
      </c>
      <c r="E2857" s="468" t="s">
        <v>545</v>
      </c>
      <c r="F2857" s="470">
        <v>4</v>
      </c>
      <c r="G2857" s="468">
        <v>85.801000000000002</v>
      </c>
      <c r="H2857" s="479">
        <v>343.20400000000001</v>
      </c>
      <c r="I2857" s="468" t="s">
        <v>9218</v>
      </c>
      <c r="J2857" s="468" t="s">
        <v>9219</v>
      </c>
      <c r="K2857" s="468" t="s">
        <v>9219</v>
      </c>
      <c r="L2857" s="468" t="s">
        <v>2354</v>
      </c>
    </row>
    <row r="2858" spans="1:12" x14ac:dyDescent="0.25">
      <c r="A2858" s="468" t="s">
        <v>220</v>
      </c>
      <c r="B2858" s="468" t="s">
        <v>5430</v>
      </c>
      <c r="C2858" s="468" t="s">
        <v>5719</v>
      </c>
      <c r="D2858" s="468" t="s">
        <v>7899</v>
      </c>
      <c r="E2858" s="468" t="s">
        <v>545</v>
      </c>
      <c r="F2858" s="470">
        <v>1</v>
      </c>
      <c r="G2858" s="468">
        <v>85.801000000000002</v>
      </c>
      <c r="H2858" s="479">
        <v>85.801000000000002</v>
      </c>
      <c r="I2858" s="468" t="s">
        <v>9218</v>
      </c>
      <c r="J2858" s="468" t="s">
        <v>9219</v>
      </c>
      <c r="K2858" s="468" t="s">
        <v>9219</v>
      </c>
      <c r="L2858" s="468" t="s">
        <v>2354</v>
      </c>
    </row>
    <row r="2859" spans="1:12" x14ac:dyDescent="0.25">
      <c r="A2859" s="468" t="s">
        <v>220</v>
      </c>
      <c r="B2859" s="468" t="s">
        <v>5430</v>
      </c>
      <c r="C2859" s="468" t="s">
        <v>5721</v>
      </c>
      <c r="D2859" s="468" t="s">
        <v>7900</v>
      </c>
      <c r="E2859" s="468" t="s">
        <v>545</v>
      </c>
      <c r="F2859" s="470">
        <v>1</v>
      </c>
      <c r="G2859" s="468">
        <v>85.801000000000002</v>
      </c>
      <c r="H2859" s="479">
        <v>85.801000000000002</v>
      </c>
      <c r="I2859" s="468" t="s">
        <v>9218</v>
      </c>
      <c r="J2859" s="468" t="s">
        <v>9219</v>
      </c>
      <c r="K2859" s="468" t="s">
        <v>9219</v>
      </c>
      <c r="L2859" s="468" t="s">
        <v>2354</v>
      </c>
    </row>
    <row r="2860" spans="1:12" x14ac:dyDescent="0.25">
      <c r="A2860" s="468" t="s">
        <v>220</v>
      </c>
      <c r="B2860" s="468" t="s">
        <v>5430</v>
      </c>
      <c r="C2860" s="468" t="s">
        <v>5723</v>
      </c>
      <c r="D2860" s="468" t="s">
        <v>7901</v>
      </c>
      <c r="E2860" s="468" t="s">
        <v>545</v>
      </c>
      <c r="F2860" s="470">
        <v>1</v>
      </c>
      <c r="G2860" s="468">
        <v>85.801000000000002</v>
      </c>
      <c r="H2860" s="479">
        <v>85.801000000000002</v>
      </c>
      <c r="I2860" s="468" t="s">
        <v>9218</v>
      </c>
      <c r="J2860" s="468" t="s">
        <v>9219</v>
      </c>
      <c r="K2860" s="468" t="s">
        <v>9219</v>
      </c>
      <c r="L2860" s="468" t="s">
        <v>2354</v>
      </c>
    </row>
    <row r="2861" spans="1:12" x14ac:dyDescent="0.25">
      <c r="A2861" s="468" t="s">
        <v>220</v>
      </c>
      <c r="B2861" s="468" t="s">
        <v>5430</v>
      </c>
      <c r="C2861" s="468" t="s">
        <v>5725</v>
      </c>
      <c r="D2861" s="468" t="s">
        <v>7902</v>
      </c>
      <c r="E2861" s="468" t="s">
        <v>545</v>
      </c>
      <c r="F2861" s="470">
        <v>6</v>
      </c>
      <c r="G2861" s="468">
        <v>65.216999999999999</v>
      </c>
      <c r="H2861" s="479">
        <v>391.30200000000002</v>
      </c>
      <c r="I2861" s="468" t="s">
        <v>9218</v>
      </c>
      <c r="J2861" s="468" t="s">
        <v>9219</v>
      </c>
      <c r="K2861" s="468" t="s">
        <v>9219</v>
      </c>
      <c r="L2861" s="468" t="s">
        <v>2354</v>
      </c>
    </row>
    <row r="2862" spans="1:12" x14ac:dyDescent="0.25">
      <c r="A2862" s="468" t="s">
        <v>220</v>
      </c>
      <c r="B2862" s="468" t="s">
        <v>5430</v>
      </c>
      <c r="C2862" s="468" t="s">
        <v>5727</v>
      </c>
      <c r="D2862" s="468" t="s">
        <v>7903</v>
      </c>
      <c r="E2862" s="468" t="s">
        <v>545</v>
      </c>
      <c r="F2862" s="470">
        <v>4</v>
      </c>
      <c r="G2862" s="468">
        <v>85.801000000000002</v>
      </c>
      <c r="H2862" s="479">
        <v>343.20400000000001</v>
      </c>
      <c r="I2862" s="468" t="s">
        <v>9218</v>
      </c>
      <c r="J2862" s="468" t="s">
        <v>9219</v>
      </c>
      <c r="K2862" s="468" t="s">
        <v>9219</v>
      </c>
      <c r="L2862" s="468" t="s">
        <v>2354</v>
      </c>
    </row>
    <row r="2863" spans="1:12" x14ac:dyDescent="0.25">
      <c r="A2863" s="468" t="s">
        <v>220</v>
      </c>
      <c r="B2863" s="468" t="s">
        <v>5430</v>
      </c>
      <c r="C2863" s="468" t="s">
        <v>5729</v>
      </c>
      <c r="D2863" s="468" t="s">
        <v>7904</v>
      </c>
      <c r="E2863" s="468" t="s">
        <v>545</v>
      </c>
      <c r="F2863" s="470">
        <v>9</v>
      </c>
      <c r="G2863" s="468">
        <v>41.414999999999999</v>
      </c>
      <c r="H2863" s="479">
        <v>372.73500000000001</v>
      </c>
      <c r="I2863" s="468" t="s">
        <v>9218</v>
      </c>
      <c r="J2863" s="468" t="s">
        <v>9219</v>
      </c>
      <c r="K2863" s="468" t="s">
        <v>9219</v>
      </c>
      <c r="L2863" s="468" t="s">
        <v>2354</v>
      </c>
    </row>
    <row r="2864" spans="1:12" x14ac:dyDescent="0.25">
      <c r="A2864" s="468" t="s">
        <v>220</v>
      </c>
      <c r="B2864" s="468" t="s">
        <v>5430</v>
      </c>
      <c r="C2864" s="468" t="s">
        <v>5731</v>
      </c>
      <c r="D2864" s="468" t="s">
        <v>7905</v>
      </c>
      <c r="E2864" s="468" t="s">
        <v>545</v>
      </c>
      <c r="F2864" s="470">
        <v>1</v>
      </c>
      <c r="G2864" s="468">
        <v>21.791</v>
      </c>
      <c r="H2864" s="479">
        <v>21.791</v>
      </c>
      <c r="I2864" s="468" t="s">
        <v>9218</v>
      </c>
      <c r="J2864" s="468" t="s">
        <v>9219</v>
      </c>
      <c r="K2864" s="468" t="s">
        <v>9219</v>
      </c>
      <c r="L2864" s="468" t="s">
        <v>2354</v>
      </c>
    </row>
    <row r="2865" spans="1:12" x14ac:dyDescent="0.25">
      <c r="A2865" s="468" t="s">
        <v>220</v>
      </c>
      <c r="B2865" s="468" t="s">
        <v>5430</v>
      </c>
      <c r="C2865" s="468" t="s">
        <v>5733</v>
      </c>
      <c r="D2865" s="468" t="s">
        <v>7906</v>
      </c>
      <c r="E2865" s="468" t="s">
        <v>545</v>
      </c>
      <c r="F2865" s="470">
        <v>1</v>
      </c>
      <c r="G2865" s="468">
        <v>12.499000000000001</v>
      </c>
      <c r="H2865" s="479">
        <v>12.499000000000001</v>
      </c>
      <c r="I2865" s="468" t="s">
        <v>9218</v>
      </c>
      <c r="J2865" s="468" t="s">
        <v>9219</v>
      </c>
      <c r="K2865" s="468" t="s">
        <v>9219</v>
      </c>
      <c r="L2865" s="468" t="s">
        <v>2354</v>
      </c>
    </row>
    <row r="2866" spans="1:12" x14ac:dyDescent="0.25">
      <c r="A2866" s="468" t="s">
        <v>220</v>
      </c>
      <c r="B2866" s="468" t="s">
        <v>5430</v>
      </c>
      <c r="C2866" s="468" t="s">
        <v>5735</v>
      </c>
      <c r="D2866" s="468" t="s">
        <v>7907</v>
      </c>
      <c r="E2866" s="468" t="s">
        <v>545</v>
      </c>
      <c r="F2866" s="470">
        <v>3</v>
      </c>
      <c r="G2866" s="468">
        <v>135.33000000000001</v>
      </c>
      <c r="H2866" s="479">
        <v>405.99</v>
      </c>
      <c r="I2866" s="468" t="s">
        <v>9218</v>
      </c>
      <c r="J2866" s="468" t="s">
        <v>9219</v>
      </c>
      <c r="K2866" s="468" t="s">
        <v>9219</v>
      </c>
      <c r="L2866" s="468" t="s">
        <v>2354</v>
      </c>
    </row>
    <row r="2867" spans="1:12" x14ac:dyDescent="0.25">
      <c r="A2867" s="468" t="s">
        <v>220</v>
      </c>
      <c r="B2867" s="468" t="s">
        <v>5430</v>
      </c>
      <c r="C2867" s="468" t="s">
        <v>5737</v>
      </c>
      <c r="D2867" s="468" t="s">
        <v>7908</v>
      </c>
      <c r="E2867" s="468" t="s">
        <v>545</v>
      </c>
      <c r="F2867" s="470">
        <v>6</v>
      </c>
      <c r="G2867" s="468">
        <v>85.441999999999993</v>
      </c>
      <c r="H2867" s="479">
        <v>512.65199999999993</v>
      </c>
      <c r="I2867" s="468" t="s">
        <v>9218</v>
      </c>
      <c r="J2867" s="468" t="s">
        <v>9219</v>
      </c>
      <c r="K2867" s="468" t="s">
        <v>9219</v>
      </c>
      <c r="L2867" s="468" t="s">
        <v>2354</v>
      </c>
    </row>
    <row r="2868" spans="1:12" x14ac:dyDescent="0.25">
      <c r="A2868" s="468" t="s">
        <v>220</v>
      </c>
      <c r="B2868" s="468" t="s">
        <v>5430</v>
      </c>
      <c r="C2868" s="468" t="s">
        <v>7909</v>
      </c>
      <c r="D2868" s="468" t="s">
        <v>7910</v>
      </c>
      <c r="E2868" s="468" t="s">
        <v>545</v>
      </c>
      <c r="F2868" s="470">
        <v>4</v>
      </c>
      <c r="G2868" s="468">
        <v>19.849</v>
      </c>
      <c r="H2868" s="479">
        <v>79.396000000000001</v>
      </c>
      <c r="I2868" s="468" t="s">
        <v>9218</v>
      </c>
      <c r="J2868" s="468" t="s">
        <v>9219</v>
      </c>
      <c r="K2868" s="468" t="s">
        <v>9219</v>
      </c>
      <c r="L2868" s="468" t="s">
        <v>2354</v>
      </c>
    </row>
    <row r="2869" spans="1:12" x14ac:dyDescent="0.25">
      <c r="A2869" s="468" t="s">
        <v>220</v>
      </c>
      <c r="B2869" s="468" t="s">
        <v>5430</v>
      </c>
      <c r="C2869" s="468" t="s">
        <v>5741</v>
      </c>
      <c r="D2869" s="468" t="s">
        <v>7911</v>
      </c>
      <c r="E2869" s="468" t="s">
        <v>545</v>
      </c>
      <c r="F2869" s="470">
        <v>2</v>
      </c>
      <c r="G2869" s="468">
        <v>14.327999999999999</v>
      </c>
      <c r="H2869" s="479">
        <v>28.655999999999999</v>
      </c>
      <c r="I2869" s="468" t="s">
        <v>9218</v>
      </c>
      <c r="J2869" s="468" t="s">
        <v>9219</v>
      </c>
      <c r="K2869" s="468" t="s">
        <v>9219</v>
      </c>
      <c r="L2869" s="468" t="s">
        <v>2354</v>
      </c>
    </row>
    <row r="2870" spans="1:12" x14ac:dyDescent="0.25">
      <c r="A2870" s="468" t="s">
        <v>220</v>
      </c>
      <c r="B2870" s="468" t="s">
        <v>5430</v>
      </c>
      <c r="C2870" s="468" t="s">
        <v>5743</v>
      </c>
      <c r="D2870" s="468" t="s">
        <v>7912</v>
      </c>
      <c r="E2870" s="468" t="s">
        <v>545</v>
      </c>
      <c r="F2870" s="470">
        <v>4</v>
      </c>
      <c r="G2870" s="468">
        <v>42.3</v>
      </c>
      <c r="H2870" s="479">
        <v>169.2</v>
      </c>
      <c r="I2870" s="468" t="s">
        <v>9218</v>
      </c>
      <c r="J2870" s="468" t="s">
        <v>9219</v>
      </c>
      <c r="K2870" s="468" t="s">
        <v>9219</v>
      </c>
      <c r="L2870" s="468" t="s">
        <v>2354</v>
      </c>
    </row>
    <row r="2871" spans="1:12" x14ac:dyDescent="0.25">
      <c r="A2871" s="468" t="s">
        <v>220</v>
      </c>
      <c r="B2871" s="468" t="s">
        <v>5430</v>
      </c>
      <c r="C2871" s="468" t="s">
        <v>5745</v>
      </c>
      <c r="D2871" s="468" t="s">
        <v>7913</v>
      </c>
      <c r="E2871" s="468" t="s">
        <v>545</v>
      </c>
      <c r="F2871" s="470">
        <v>10</v>
      </c>
      <c r="G2871" s="468">
        <v>53.241</v>
      </c>
      <c r="H2871" s="479">
        <v>532.41</v>
      </c>
      <c r="I2871" s="468" t="s">
        <v>9218</v>
      </c>
      <c r="J2871" s="468" t="s">
        <v>9219</v>
      </c>
      <c r="K2871" s="468" t="s">
        <v>9219</v>
      </c>
      <c r="L2871" s="468" t="s">
        <v>2354</v>
      </c>
    </row>
    <row r="2872" spans="1:12" x14ac:dyDescent="0.25">
      <c r="A2872" s="468" t="s">
        <v>220</v>
      </c>
      <c r="B2872" s="468" t="s">
        <v>5430</v>
      </c>
      <c r="C2872" s="468" t="s">
        <v>5747</v>
      </c>
      <c r="D2872" s="468" t="s">
        <v>7914</v>
      </c>
      <c r="E2872" s="468" t="s">
        <v>545</v>
      </c>
      <c r="F2872" s="470">
        <v>1</v>
      </c>
      <c r="G2872" s="468">
        <v>130.05000000000001</v>
      </c>
      <c r="H2872" s="479">
        <v>130.05000000000001</v>
      </c>
      <c r="I2872" s="468" t="s">
        <v>9218</v>
      </c>
      <c r="J2872" s="468" t="s">
        <v>9219</v>
      </c>
      <c r="K2872" s="468" t="s">
        <v>9219</v>
      </c>
      <c r="L2872" s="468" t="s">
        <v>2354</v>
      </c>
    </row>
    <row r="2873" spans="1:12" x14ac:dyDescent="0.25">
      <c r="A2873" s="468" t="s">
        <v>220</v>
      </c>
      <c r="B2873" s="468" t="s">
        <v>5430</v>
      </c>
      <c r="C2873" s="468" t="s">
        <v>5749</v>
      </c>
      <c r="D2873" s="468" t="s">
        <v>7915</v>
      </c>
      <c r="E2873" s="468" t="s">
        <v>545</v>
      </c>
      <c r="F2873" s="470">
        <v>5</v>
      </c>
      <c r="G2873" s="468">
        <v>38.130000000000003</v>
      </c>
      <c r="H2873" s="479">
        <v>190.65</v>
      </c>
      <c r="I2873" s="468" t="s">
        <v>9218</v>
      </c>
      <c r="J2873" s="468" t="s">
        <v>9219</v>
      </c>
      <c r="K2873" s="468" t="s">
        <v>9219</v>
      </c>
      <c r="L2873" s="468" t="s">
        <v>2354</v>
      </c>
    </row>
    <row r="2874" spans="1:12" x14ac:dyDescent="0.25">
      <c r="A2874" s="468" t="s">
        <v>220</v>
      </c>
      <c r="B2874" s="468" t="s">
        <v>5430</v>
      </c>
      <c r="C2874" s="468" t="s">
        <v>5751</v>
      </c>
      <c r="D2874" s="468" t="s">
        <v>7916</v>
      </c>
      <c r="E2874" s="468" t="s">
        <v>545</v>
      </c>
      <c r="F2874" s="470">
        <v>3</v>
      </c>
      <c r="G2874" s="468">
        <v>28.117000000000001</v>
      </c>
      <c r="H2874" s="479">
        <v>84.350999999999999</v>
      </c>
      <c r="I2874" s="468" t="s">
        <v>9218</v>
      </c>
      <c r="J2874" s="468" t="s">
        <v>9219</v>
      </c>
      <c r="K2874" s="468" t="s">
        <v>9219</v>
      </c>
      <c r="L2874" s="468" t="s">
        <v>2354</v>
      </c>
    </row>
    <row r="2875" spans="1:12" x14ac:dyDescent="0.25">
      <c r="A2875" s="468" t="s">
        <v>220</v>
      </c>
      <c r="B2875" s="468" t="s">
        <v>5430</v>
      </c>
      <c r="C2875" s="468" t="s">
        <v>5753</v>
      </c>
      <c r="D2875" s="468" t="s">
        <v>7917</v>
      </c>
      <c r="E2875" s="468" t="s">
        <v>545</v>
      </c>
      <c r="F2875" s="470">
        <v>5</v>
      </c>
      <c r="G2875" s="468">
        <v>52.929000000000002</v>
      </c>
      <c r="H2875" s="479">
        <v>264.64499999999998</v>
      </c>
      <c r="I2875" s="468" t="s">
        <v>9218</v>
      </c>
      <c r="J2875" s="468" t="s">
        <v>9219</v>
      </c>
      <c r="K2875" s="468" t="s">
        <v>9219</v>
      </c>
      <c r="L2875" s="468" t="s">
        <v>2354</v>
      </c>
    </row>
    <row r="2876" spans="1:12" x14ac:dyDescent="0.25">
      <c r="A2876" s="468" t="s">
        <v>220</v>
      </c>
      <c r="B2876" s="468" t="s">
        <v>5430</v>
      </c>
      <c r="C2876" s="468" t="s">
        <v>2774</v>
      </c>
      <c r="D2876" s="468" t="s">
        <v>7918</v>
      </c>
      <c r="E2876" s="468" t="s">
        <v>545</v>
      </c>
      <c r="F2876" s="470">
        <v>2</v>
      </c>
      <c r="G2876" s="468">
        <v>13.244</v>
      </c>
      <c r="H2876" s="479">
        <v>26.488</v>
      </c>
      <c r="I2876" s="468" t="s">
        <v>9218</v>
      </c>
      <c r="J2876" s="468" t="s">
        <v>9219</v>
      </c>
      <c r="K2876" s="468" t="s">
        <v>9219</v>
      </c>
      <c r="L2876" s="468" t="s">
        <v>2354</v>
      </c>
    </row>
    <row r="2877" spans="1:12" x14ac:dyDescent="0.25">
      <c r="A2877" s="468" t="s">
        <v>220</v>
      </c>
      <c r="B2877" s="468" t="s">
        <v>5430</v>
      </c>
      <c r="C2877" s="468" t="s">
        <v>5755</v>
      </c>
      <c r="D2877" s="468" t="s">
        <v>7919</v>
      </c>
      <c r="E2877" s="468" t="s">
        <v>545</v>
      </c>
      <c r="F2877" s="470">
        <v>1</v>
      </c>
      <c r="G2877" s="468">
        <v>47.057000000000002</v>
      </c>
      <c r="H2877" s="479">
        <v>47.057000000000002</v>
      </c>
      <c r="I2877" s="468" t="s">
        <v>9218</v>
      </c>
      <c r="J2877" s="468" t="s">
        <v>9219</v>
      </c>
      <c r="K2877" s="468" t="s">
        <v>9219</v>
      </c>
      <c r="L2877" s="468" t="s">
        <v>2354</v>
      </c>
    </row>
    <row r="2878" spans="1:12" x14ac:dyDescent="0.25">
      <c r="A2878" s="468" t="s">
        <v>220</v>
      </c>
      <c r="B2878" s="468" t="s">
        <v>5430</v>
      </c>
      <c r="C2878" s="468" t="s">
        <v>5757</v>
      </c>
      <c r="D2878" s="468" t="s">
        <v>7920</v>
      </c>
      <c r="E2878" s="468" t="s">
        <v>545</v>
      </c>
      <c r="F2878" s="470">
        <v>5</v>
      </c>
      <c r="G2878" s="468">
        <v>22.442</v>
      </c>
      <c r="H2878" s="479">
        <v>112.21000000000001</v>
      </c>
      <c r="I2878" s="468" t="s">
        <v>9218</v>
      </c>
      <c r="J2878" s="468" t="s">
        <v>9219</v>
      </c>
      <c r="K2878" s="468" t="s">
        <v>9219</v>
      </c>
      <c r="L2878" s="468" t="s">
        <v>2354</v>
      </c>
    </row>
    <row r="2879" spans="1:12" x14ac:dyDescent="0.25">
      <c r="A2879" s="468" t="s">
        <v>220</v>
      </c>
      <c r="B2879" s="468" t="s">
        <v>5430</v>
      </c>
      <c r="C2879" s="468" t="s">
        <v>5759</v>
      </c>
      <c r="D2879" s="468" t="s">
        <v>7921</v>
      </c>
      <c r="E2879" s="468" t="s">
        <v>545</v>
      </c>
      <c r="F2879" s="470">
        <v>7</v>
      </c>
      <c r="G2879" s="468">
        <v>44</v>
      </c>
      <c r="H2879" s="479">
        <v>308</v>
      </c>
      <c r="I2879" s="468" t="s">
        <v>9218</v>
      </c>
      <c r="J2879" s="468" t="s">
        <v>9219</v>
      </c>
      <c r="K2879" s="468" t="s">
        <v>9219</v>
      </c>
      <c r="L2879" s="468" t="s">
        <v>2354</v>
      </c>
    </row>
    <row r="2880" spans="1:12" x14ac:dyDescent="0.25">
      <c r="A2880" s="468" t="s">
        <v>220</v>
      </c>
      <c r="B2880" s="468" t="s">
        <v>5430</v>
      </c>
      <c r="C2880" s="468" t="s">
        <v>5761</v>
      </c>
      <c r="D2880" s="468" t="s">
        <v>7922</v>
      </c>
      <c r="E2880" s="468" t="s">
        <v>545</v>
      </c>
      <c r="F2880" s="470">
        <v>1</v>
      </c>
      <c r="G2880" s="468">
        <v>122.31</v>
      </c>
      <c r="H2880" s="479">
        <v>122.31</v>
      </c>
      <c r="I2880" s="468" t="s">
        <v>9218</v>
      </c>
      <c r="J2880" s="468" t="s">
        <v>9219</v>
      </c>
      <c r="K2880" s="468" t="s">
        <v>9219</v>
      </c>
      <c r="L2880" s="468" t="s">
        <v>2354</v>
      </c>
    </row>
    <row r="2881" spans="1:12" x14ac:dyDescent="0.25">
      <c r="A2881" s="468" t="s">
        <v>220</v>
      </c>
      <c r="B2881" s="468" t="s">
        <v>5430</v>
      </c>
      <c r="C2881" s="468" t="s">
        <v>5763</v>
      </c>
      <c r="D2881" s="468" t="s">
        <v>7923</v>
      </c>
      <c r="E2881" s="468" t="s">
        <v>545</v>
      </c>
      <c r="F2881" s="470">
        <v>3</v>
      </c>
      <c r="G2881" s="468">
        <v>22.105</v>
      </c>
      <c r="H2881" s="479">
        <v>66.314999999999998</v>
      </c>
      <c r="I2881" s="468" t="s">
        <v>9218</v>
      </c>
      <c r="J2881" s="468" t="s">
        <v>9219</v>
      </c>
      <c r="K2881" s="468" t="s">
        <v>9219</v>
      </c>
      <c r="L2881" s="468" t="s">
        <v>2354</v>
      </c>
    </row>
    <row r="2882" spans="1:12" x14ac:dyDescent="0.25">
      <c r="A2882" s="468" t="s">
        <v>220</v>
      </c>
      <c r="B2882" s="468" t="s">
        <v>5430</v>
      </c>
      <c r="C2882" s="468" t="s">
        <v>5765</v>
      </c>
      <c r="D2882" s="468" t="s">
        <v>7924</v>
      </c>
      <c r="E2882" s="468" t="s">
        <v>545</v>
      </c>
      <c r="F2882" s="470">
        <v>1</v>
      </c>
      <c r="G2882" s="468">
        <v>10.35</v>
      </c>
      <c r="H2882" s="479">
        <v>10.35</v>
      </c>
      <c r="I2882" s="468" t="s">
        <v>9218</v>
      </c>
      <c r="J2882" s="468" t="s">
        <v>9219</v>
      </c>
      <c r="K2882" s="468" t="s">
        <v>9219</v>
      </c>
      <c r="L2882" s="468" t="s">
        <v>2354</v>
      </c>
    </row>
    <row r="2883" spans="1:12" x14ac:dyDescent="0.25">
      <c r="A2883" s="468" t="s">
        <v>220</v>
      </c>
      <c r="B2883" s="468" t="s">
        <v>5430</v>
      </c>
      <c r="C2883" s="468" t="s">
        <v>5767</v>
      </c>
      <c r="D2883" s="468" t="s">
        <v>7925</v>
      </c>
      <c r="E2883" s="468" t="s">
        <v>545</v>
      </c>
      <c r="F2883" s="470">
        <v>1</v>
      </c>
      <c r="G2883" s="468">
        <v>10.35</v>
      </c>
      <c r="H2883" s="479">
        <v>10.35</v>
      </c>
      <c r="I2883" s="468" t="s">
        <v>9218</v>
      </c>
      <c r="J2883" s="468" t="s">
        <v>9219</v>
      </c>
      <c r="K2883" s="468" t="s">
        <v>9219</v>
      </c>
      <c r="L2883" s="468" t="s">
        <v>2354</v>
      </c>
    </row>
    <row r="2884" spans="1:12" x14ac:dyDescent="0.25">
      <c r="A2884" s="468" t="s">
        <v>220</v>
      </c>
      <c r="B2884" s="468" t="s">
        <v>5430</v>
      </c>
      <c r="C2884" s="468" t="s">
        <v>5769</v>
      </c>
      <c r="D2884" s="468" t="s">
        <v>7926</v>
      </c>
      <c r="E2884" s="468" t="s">
        <v>545</v>
      </c>
      <c r="F2884" s="470">
        <v>1</v>
      </c>
      <c r="G2884" s="468">
        <v>10.35</v>
      </c>
      <c r="H2884" s="479">
        <v>10.35</v>
      </c>
      <c r="I2884" s="468" t="s">
        <v>9218</v>
      </c>
      <c r="J2884" s="468" t="s">
        <v>9219</v>
      </c>
      <c r="K2884" s="468" t="s">
        <v>9219</v>
      </c>
      <c r="L2884" s="468" t="s">
        <v>2354</v>
      </c>
    </row>
    <row r="2885" spans="1:12" x14ac:dyDescent="0.25">
      <c r="A2885" s="468" t="s">
        <v>220</v>
      </c>
      <c r="B2885" s="468" t="s">
        <v>5430</v>
      </c>
      <c r="C2885" s="468" t="s">
        <v>2796</v>
      </c>
      <c r="D2885" s="468" t="s">
        <v>7927</v>
      </c>
      <c r="E2885" s="468" t="s">
        <v>545</v>
      </c>
      <c r="F2885" s="470">
        <v>2</v>
      </c>
      <c r="G2885" s="468">
        <v>10.35</v>
      </c>
      <c r="H2885" s="479">
        <v>20.7</v>
      </c>
      <c r="I2885" s="468" t="s">
        <v>9218</v>
      </c>
      <c r="J2885" s="468" t="s">
        <v>9219</v>
      </c>
      <c r="K2885" s="468" t="s">
        <v>9219</v>
      </c>
      <c r="L2885" s="468" t="s">
        <v>2354</v>
      </c>
    </row>
    <row r="2886" spans="1:12" x14ac:dyDescent="0.25">
      <c r="A2886" s="468" t="s">
        <v>220</v>
      </c>
      <c r="B2886" s="468" t="s">
        <v>5430</v>
      </c>
      <c r="C2886" s="468" t="s">
        <v>5771</v>
      </c>
      <c r="D2886" s="468" t="s">
        <v>7928</v>
      </c>
      <c r="E2886" s="468" t="s">
        <v>545</v>
      </c>
      <c r="F2886" s="470">
        <v>2</v>
      </c>
      <c r="G2886" s="468">
        <v>114.4008</v>
      </c>
      <c r="H2886" s="479">
        <v>228.80160000000001</v>
      </c>
      <c r="I2886" s="468" t="s">
        <v>9218</v>
      </c>
      <c r="J2886" s="468" t="s">
        <v>9219</v>
      </c>
      <c r="K2886" s="468" t="s">
        <v>9219</v>
      </c>
      <c r="L2886" s="468" t="s">
        <v>2354</v>
      </c>
    </row>
    <row r="2887" spans="1:12" x14ac:dyDescent="0.25">
      <c r="A2887" s="468" t="s">
        <v>220</v>
      </c>
      <c r="B2887" s="468" t="s">
        <v>5430</v>
      </c>
      <c r="C2887" s="468" t="s">
        <v>5773</v>
      </c>
      <c r="D2887" s="468" t="s">
        <v>7929</v>
      </c>
      <c r="E2887" s="468" t="s">
        <v>545</v>
      </c>
      <c r="F2887" s="470">
        <v>2</v>
      </c>
      <c r="G2887" s="468">
        <v>85.801000000000002</v>
      </c>
      <c r="H2887" s="479">
        <v>171.602</v>
      </c>
      <c r="I2887" s="468" t="s">
        <v>9218</v>
      </c>
      <c r="J2887" s="468" t="s">
        <v>9219</v>
      </c>
      <c r="K2887" s="468" t="s">
        <v>9219</v>
      </c>
      <c r="L2887" s="468" t="s">
        <v>2354</v>
      </c>
    </row>
    <row r="2888" spans="1:12" x14ac:dyDescent="0.25">
      <c r="A2888" s="468" t="s">
        <v>220</v>
      </c>
      <c r="B2888" s="468" t="s">
        <v>5430</v>
      </c>
      <c r="C2888" s="468" t="s">
        <v>5775</v>
      </c>
      <c r="D2888" s="468" t="s">
        <v>7930</v>
      </c>
      <c r="E2888" s="468" t="s">
        <v>545</v>
      </c>
      <c r="F2888" s="470">
        <v>2</v>
      </c>
      <c r="G2888" s="468">
        <v>19.8</v>
      </c>
      <c r="H2888" s="479">
        <v>39.6</v>
      </c>
      <c r="I2888" s="468" t="s">
        <v>9218</v>
      </c>
      <c r="J2888" s="468" t="s">
        <v>9219</v>
      </c>
      <c r="K2888" s="468" t="s">
        <v>9219</v>
      </c>
      <c r="L2888" s="468" t="s">
        <v>2354</v>
      </c>
    </row>
    <row r="2889" spans="1:12" x14ac:dyDescent="0.25">
      <c r="A2889" s="468" t="s">
        <v>220</v>
      </c>
      <c r="B2889" s="468" t="s">
        <v>5430</v>
      </c>
      <c r="C2889" s="468" t="s">
        <v>5777</v>
      </c>
      <c r="D2889" s="468" t="s">
        <v>7931</v>
      </c>
      <c r="E2889" s="468" t="s">
        <v>545</v>
      </c>
      <c r="F2889" s="470">
        <v>2</v>
      </c>
      <c r="G2889" s="468">
        <v>19.8</v>
      </c>
      <c r="H2889" s="479">
        <v>39.6</v>
      </c>
      <c r="I2889" s="468" t="s">
        <v>9218</v>
      </c>
      <c r="J2889" s="468" t="s">
        <v>9219</v>
      </c>
      <c r="K2889" s="468" t="s">
        <v>9219</v>
      </c>
      <c r="L2889" s="468" t="s">
        <v>2354</v>
      </c>
    </row>
    <row r="2890" spans="1:12" x14ac:dyDescent="0.25">
      <c r="A2890" s="468" t="s">
        <v>220</v>
      </c>
      <c r="B2890" s="468" t="s">
        <v>5430</v>
      </c>
      <c r="C2890" s="468" t="s">
        <v>5779</v>
      </c>
      <c r="D2890" s="468" t="s">
        <v>7932</v>
      </c>
      <c r="E2890" s="468" t="s">
        <v>545</v>
      </c>
      <c r="F2890" s="470">
        <v>2</v>
      </c>
      <c r="G2890" s="468">
        <v>81.62</v>
      </c>
      <c r="H2890" s="479">
        <v>163.24</v>
      </c>
      <c r="I2890" s="468" t="s">
        <v>9218</v>
      </c>
      <c r="J2890" s="468" t="s">
        <v>9219</v>
      </c>
      <c r="K2890" s="468" t="s">
        <v>9219</v>
      </c>
      <c r="L2890" s="468" t="s">
        <v>2354</v>
      </c>
    </row>
    <row r="2891" spans="1:12" x14ac:dyDescent="0.25">
      <c r="A2891" s="468" t="s">
        <v>220</v>
      </c>
      <c r="B2891" s="468" t="s">
        <v>5430</v>
      </c>
      <c r="C2891" s="468" t="s">
        <v>5781</v>
      </c>
      <c r="D2891" s="468" t="s">
        <v>7933</v>
      </c>
      <c r="E2891" s="468" t="s">
        <v>545</v>
      </c>
      <c r="F2891" s="470">
        <v>2</v>
      </c>
      <c r="G2891" s="468">
        <v>91.004000000000005</v>
      </c>
      <c r="H2891" s="479">
        <v>182.00800000000001</v>
      </c>
      <c r="I2891" s="468" t="s">
        <v>9218</v>
      </c>
      <c r="J2891" s="468" t="s">
        <v>9219</v>
      </c>
      <c r="K2891" s="468" t="s">
        <v>9219</v>
      </c>
      <c r="L2891" s="468" t="s">
        <v>2354</v>
      </c>
    </row>
    <row r="2892" spans="1:12" x14ac:dyDescent="0.25">
      <c r="A2892" s="468" t="s">
        <v>220</v>
      </c>
      <c r="B2892" s="468" t="s">
        <v>5430</v>
      </c>
      <c r="C2892" s="468" t="s">
        <v>5783</v>
      </c>
      <c r="D2892" s="468" t="s">
        <v>7934</v>
      </c>
      <c r="E2892" s="468" t="s">
        <v>545</v>
      </c>
      <c r="F2892" s="470">
        <v>2</v>
      </c>
      <c r="G2892" s="468">
        <v>53.74</v>
      </c>
      <c r="H2892" s="479">
        <v>107.48</v>
      </c>
      <c r="I2892" s="468" t="s">
        <v>9218</v>
      </c>
      <c r="J2892" s="468" t="s">
        <v>9219</v>
      </c>
      <c r="K2892" s="468" t="s">
        <v>9219</v>
      </c>
      <c r="L2892" s="468" t="s">
        <v>2354</v>
      </c>
    </row>
    <row r="2893" spans="1:12" x14ac:dyDescent="0.25">
      <c r="A2893" s="468" t="s">
        <v>220</v>
      </c>
      <c r="B2893" s="468" t="s">
        <v>5430</v>
      </c>
      <c r="C2893" s="468" t="s">
        <v>5785</v>
      </c>
      <c r="D2893" s="468" t="s">
        <v>7935</v>
      </c>
      <c r="E2893" s="468" t="s">
        <v>545</v>
      </c>
      <c r="F2893" s="470">
        <v>5</v>
      </c>
      <c r="G2893" s="468">
        <v>124.32899999999999</v>
      </c>
      <c r="H2893" s="479">
        <v>621.64499999999998</v>
      </c>
      <c r="I2893" s="468" t="s">
        <v>9218</v>
      </c>
      <c r="J2893" s="468" t="s">
        <v>9219</v>
      </c>
      <c r="K2893" s="468" t="s">
        <v>9219</v>
      </c>
      <c r="L2893" s="468" t="s">
        <v>2354</v>
      </c>
    </row>
    <row r="2894" spans="1:12" x14ac:dyDescent="0.25">
      <c r="A2894" s="468" t="s">
        <v>220</v>
      </c>
      <c r="B2894" s="468" t="s">
        <v>5430</v>
      </c>
      <c r="C2894" s="468" t="s">
        <v>5789</v>
      </c>
      <c r="D2894" s="468" t="s">
        <v>7936</v>
      </c>
      <c r="E2894" s="468" t="s">
        <v>545</v>
      </c>
      <c r="F2894" s="470">
        <v>1</v>
      </c>
      <c r="G2894" s="468">
        <v>23.5</v>
      </c>
      <c r="H2894" s="479">
        <v>23.5</v>
      </c>
      <c r="I2894" s="468" t="s">
        <v>9218</v>
      </c>
      <c r="J2894" s="468" t="s">
        <v>9219</v>
      </c>
      <c r="K2894" s="468" t="s">
        <v>9219</v>
      </c>
      <c r="L2894" s="468" t="s">
        <v>2354</v>
      </c>
    </row>
    <row r="2895" spans="1:12" x14ac:dyDescent="0.25">
      <c r="A2895" s="468" t="s">
        <v>220</v>
      </c>
      <c r="B2895" s="468" t="s">
        <v>5430</v>
      </c>
      <c r="C2895" s="468" t="s">
        <v>2824</v>
      </c>
      <c r="D2895" s="468" t="s">
        <v>7937</v>
      </c>
      <c r="E2895" s="468" t="s">
        <v>545</v>
      </c>
      <c r="F2895" s="470">
        <v>1</v>
      </c>
      <c r="G2895" s="468">
        <v>173.69900000000001</v>
      </c>
      <c r="H2895" s="479">
        <v>173.69900000000001</v>
      </c>
      <c r="I2895" s="468" t="s">
        <v>9218</v>
      </c>
      <c r="J2895" s="468" t="s">
        <v>9219</v>
      </c>
      <c r="K2895" s="468" t="s">
        <v>9219</v>
      </c>
      <c r="L2895" s="468" t="s">
        <v>2354</v>
      </c>
    </row>
    <row r="2896" spans="1:12" x14ac:dyDescent="0.25">
      <c r="A2896" s="468" t="s">
        <v>220</v>
      </c>
      <c r="B2896" s="468" t="s">
        <v>5430</v>
      </c>
      <c r="C2896" s="468" t="s">
        <v>5792</v>
      </c>
      <c r="D2896" s="468" t="s">
        <v>7938</v>
      </c>
      <c r="E2896" s="468" t="s">
        <v>545</v>
      </c>
      <c r="F2896" s="470">
        <v>1</v>
      </c>
      <c r="G2896" s="468">
        <v>149.43</v>
      </c>
      <c r="H2896" s="479">
        <v>149.43</v>
      </c>
      <c r="I2896" s="468" t="s">
        <v>9218</v>
      </c>
      <c r="J2896" s="468" t="s">
        <v>9219</v>
      </c>
      <c r="K2896" s="468" t="s">
        <v>9219</v>
      </c>
      <c r="L2896" s="468" t="s">
        <v>2354</v>
      </c>
    </row>
    <row r="2897" spans="1:12" x14ac:dyDescent="0.25">
      <c r="A2897" s="468" t="s">
        <v>220</v>
      </c>
      <c r="B2897" s="468" t="s">
        <v>5430</v>
      </c>
      <c r="C2897" s="468" t="s">
        <v>2830</v>
      </c>
      <c r="D2897" s="468" t="s">
        <v>7939</v>
      </c>
      <c r="E2897" s="468" t="s">
        <v>545</v>
      </c>
      <c r="F2897" s="470">
        <v>1</v>
      </c>
      <c r="G2897" s="468">
        <v>162.423</v>
      </c>
      <c r="H2897" s="479">
        <v>162.423</v>
      </c>
      <c r="I2897" s="468" t="s">
        <v>9218</v>
      </c>
      <c r="J2897" s="468" t="s">
        <v>9219</v>
      </c>
      <c r="K2897" s="468" t="s">
        <v>9219</v>
      </c>
      <c r="L2897" s="468" t="s">
        <v>2354</v>
      </c>
    </row>
    <row r="2898" spans="1:12" x14ac:dyDescent="0.25">
      <c r="A2898" s="468" t="s">
        <v>220</v>
      </c>
      <c r="B2898" s="468" t="s">
        <v>5430</v>
      </c>
      <c r="C2898" s="468" t="s">
        <v>2842</v>
      </c>
      <c r="D2898" s="468" t="s">
        <v>7940</v>
      </c>
      <c r="E2898" s="468" t="s">
        <v>545</v>
      </c>
      <c r="F2898" s="470">
        <v>3</v>
      </c>
      <c r="G2898" s="468">
        <v>21.59</v>
      </c>
      <c r="H2898" s="479">
        <v>64.77</v>
      </c>
      <c r="I2898" s="468" t="s">
        <v>9218</v>
      </c>
      <c r="J2898" s="468" t="s">
        <v>9219</v>
      </c>
      <c r="K2898" s="468" t="s">
        <v>9219</v>
      </c>
      <c r="L2898" s="468" t="s">
        <v>2354</v>
      </c>
    </row>
    <row r="2899" spans="1:12" x14ac:dyDescent="0.25">
      <c r="A2899" s="468" t="s">
        <v>220</v>
      </c>
      <c r="B2899" s="468" t="s">
        <v>5430</v>
      </c>
      <c r="C2899" s="468" t="s">
        <v>5795</v>
      </c>
      <c r="D2899" s="468" t="s">
        <v>7941</v>
      </c>
      <c r="E2899" s="468" t="s">
        <v>545</v>
      </c>
      <c r="F2899" s="470">
        <v>4</v>
      </c>
      <c r="G2899" s="468">
        <v>46.984000000000002</v>
      </c>
      <c r="H2899" s="479">
        <v>187.93600000000001</v>
      </c>
      <c r="I2899" s="468" t="s">
        <v>9218</v>
      </c>
      <c r="J2899" s="468" t="s">
        <v>9219</v>
      </c>
      <c r="K2899" s="468" t="s">
        <v>9219</v>
      </c>
      <c r="L2899" s="468" t="s">
        <v>2354</v>
      </c>
    </row>
    <row r="2900" spans="1:12" x14ac:dyDescent="0.25">
      <c r="A2900" s="468" t="s">
        <v>220</v>
      </c>
      <c r="B2900" s="468" t="s">
        <v>5430</v>
      </c>
      <c r="C2900" s="468" t="s">
        <v>5431</v>
      </c>
      <c r="D2900" s="468" t="s">
        <v>7942</v>
      </c>
      <c r="E2900" s="468" t="s">
        <v>545</v>
      </c>
      <c r="F2900" s="470">
        <v>3</v>
      </c>
      <c r="G2900" s="468">
        <v>45.18</v>
      </c>
      <c r="H2900" s="479">
        <v>135.54</v>
      </c>
      <c r="I2900" s="468" t="s">
        <v>9218</v>
      </c>
      <c r="J2900" s="468" t="s">
        <v>9219</v>
      </c>
      <c r="K2900" s="468" t="s">
        <v>9219</v>
      </c>
      <c r="L2900" s="468" t="s">
        <v>2354</v>
      </c>
    </row>
    <row r="2901" spans="1:12" x14ac:dyDescent="0.25">
      <c r="A2901" s="468" t="s">
        <v>220</v>
      </c>
      <c r="B2901" s="468" t="s">
        <v>5430</v>
      </c>
      <c r="C2901" s="468" t="s">
        <v>7943</v>
      </c>
      <c r="D2901" s="468" t="s">
        <v>7944</v>
      </c>
      <c r="E2901" s="468" t="s">
        <v>545</v>
      </c>
      <c r="F2901" s="470">
        <v>3</v>
      </c>
      <c r="G2901" s="468">
        <v>105.02200000000001</v>
      </c>
      <c r="H2901" s="479">
        <v>315.06600000000003</v>
      </c>
      <c r="I2901" s="468" t="s">
        <v>9218</v>
      </c>
      <c r="J2901" s="468" t="s">
        <v>9219</v>
      </c>
      <c r="K2901" s="468" t="s">
        <v>9219</v>
      </c>
      <c r="L2901" s="468" t="s">
        <v>2354</v>
      </c>
    </row>
    <row r="2902" spans="1:12" x14ac:dyDescent="0.25">
      <c r="A2902" s="468" t="s">
        <v>220</v>
      </c>
      <c r="B2902" s="468" t="s">
        <v>5430</v>
      </c>
      <c r="C2902" s="468" t="s">
        <v>7945</v>
      </c>
      <c r="D2902" s="468" t="s">
        <v>5800</v>
      </c>
      <c r="E2902" s="468" t="s">
        <v>545</v>
      </c>
      <c r="F2902" s="470">
        <v>1</v>
      </c>
      <c r="G2902" s="468">
        <v>108.45</v>
      </c>
      <c r="H2902" s="479">
        <v>108.45</v>
      </c>
      <c r="I2902" s="468" t="s">
        <v>9218</v>
      </c>
      <c r="J2902" s="468" t="s">
        <v>9219</v>
      </c>
      <c r="K2902" s="468" t="s">
        <v>9219</v>
      </c>
      <c r="L2902" s="468" t="s">
        <v>2354</v>
      </c>
    </row>
    <row r="2903" spans="1:12" x14ac:dyDescent="0.25">
      <c r="A2903" s="468" t="s">
        <v>220</v>
      </c>
      <c r="B2903" s="468" t="s">
        <v>5430</v>
      </c>
      <c r="C2903" s="468" t="s">
        <v>5801</v>
      </c>
      <c r="D2903" s="468" t="s">
        <v>5802</v>
      </c>
      <c r="E2903" s="468" t="s">
        <v>545</v>
      </c>
      <c r="F2903" s="470">
        <v>3</v>
      </c>
      <c r="G2903" s="468">
        <v>62.075000000000003</v>
      </c>
      <c r="H2903" s="479">
        <v>186.22500000000002</v>
      </c>
      <c r="I2903" s="468" t="s">
        <v>9218</v>
      </c>
      <c r="J2903" s="468" t="s">
        <v>9219</v>
      </c>
      <c r="K2903" s="468" t="s">
        <v>9219</v>
      </c>
      <c r="L2903" s="468" t="s">
        <v>2354</v>
      </c>
    </row>
    <row r="2904" spans="1:12" x14ac:dyDescent="0.25">
      <c r="A2904" s="468" t="s">
        <v>220</v>
      </c>
      <c r="B2904" s="468" t="s">
        <v>5430</v>
      </c>
      <c r="C2904" s="468" t="s">
        <v>5803</v>
      </c>
      <c r="D2904" s="468" t="s">
        <v>5804</v>
      </c>
      <c r="E2904" s="468" t="s">
        <v>545</v>
      </c>
      <c r="F2904" s="470">
        <v>3</v>
      </c>
      <c r="G2904" s="468">
        <v>51.75</v>
      </c>
      <c r="H2904" s="479">
        <v>155.25</v>
      </c>
      <c r="I2904" s="468" t="s">
        <v>9218</v>
      </c>
      <c r="J2904" s="468" t="s">
        <v>9219</v>
      </c>
      <c r="K2904" s="468" t="s">
        <v>9219</v>
      </c>
      <c r="L2904" s="468" t="s">
        <v>2354</v>
      </c>
    </row>
    <row r="2905" spans="1:12" x14ac:dyDescent="0.25">
      <c r="A2905" s="468" t="s">
        <v>220</v>
      </c>
      <c r="B2905" s="468" t="s">
        <v>5430</v>
      </c>
      <c r="C2905" s="468" t="s">
        <v>7946</v>
      </c>
      <c r="D2905" s="468" t="s">
        <v>7947</v>
      </c>
      <c r="E2905" s="468" t="s">
        <v>545</v>
      </c>
      <c r="F2905" s="470">
        <v>1</v>
      </c>
      <c r="G2905" s="468">
        <v>38.024999999999999</v>
      </c>
      <c r="H2905" s="479">
        <v>38.024999999999999</v>
      </c>
      <c r="I2905" s="468" t="s">
        <v>9218</v>
      </c>
      <c r="J2905" s="468" t="s">
        <v>9219</v>
      </c>
      <c r="K2905" s="468" t="s">
        <v>9219</v>
      </c>
      <c r="L2905" s="468" t="s">
        <v>2354</v>
      </c>
    </row>
    <row r="2906" spans="1:12" x14ac:dyDescent="0.25">
      <c r="A2906" s="468" t="s">
        <v>220</v>
      </c>
      <c r="B2906" s="468" t="s">
        <v>5430</v>
      </c>
      <c r="C2906" s="468" t="s">
        <v>5805</v>
      </c>
      <c r="D2906" s="468" t="s">
        <v>7948</v>
      </c>
      <c r="E2906" s="468" t="s">
        <v>545</v>
      </c>
      <c r="F2906" s="470">
        <v>3</v>
      </c>
      <c r="G2906" s="468">
        <v>204.70400000000001</v>
      </c>
      <c r="H2906" s="479">
        <v>614.11200000000008</v>
      </c>
      <c r="I2906" s="468" t="s">
        <v>9218</v>
      </c>
      <c r="J2906" s="468" t="s">
        <v>9219</v>
      </c>
      <c r="K2906" s="468" t="s">
        <v>9219</v>
      </c>
      <c r="L2906" s="468" t="s">
        <v>2354</v>
      </c>
    </row>
    <row r="2907" spans="1:12" x14ac:dyDescent="0.25">
      <c r="A2907" s="468" t="s">
        <v>220</v>
      </c>
      <c r="B2907" s="468" t="s">
        <v>5430</v>
      </c>
      <c r="C2907" s="468" t="s">
        <v>5807</v>
      </c>
      <c r="D2907" s="468" t="s">
        <v>7949</v>
      </c>
      <c r="E2907" s="468" t="s">
        <v>545</v>
      </c>
      <c r="F2907" s="470">
        <v>2</v>
      </c>
      <c r="G2907" s="468">
        <v>119.751</v>
      </c>
      <c r="H2907" s="479">
        <v>239.50200000000001</v>
      </c>
      <c r="I2907" s="468" t="s">
        <v>9218</v>
      </c>
      <c r="J2907" s="468" t="s">
        <v>9219</v>
      </c>
      <c r="K2907" s="468" t="s">
        <v>9219</v>
      </c>
      <c r="L2907" s="468" t="s">
        <v>2354</v>
      </c>
    </row>
    <row r="2908" spans="1:12" x14ac:dyDescent="0.25">
      <c r="A2908" s="468" t="s">
        <v>220</v>
      </c>
      <c r="B2908" s="468" t="s">
        <v>5430</v>
      </c>
      <c r="C2908" s="468" t="s">
        <v>7950</v>
      </c>
      <c r="D2908" s="468" t="s">
        <v>7951</v>
      </c>
      <c r="E2908" s="468" t="s">
        <v>545</v>
      </c>
      <c r="F2908" s="470">
        <v>2</v>
      </c>
      <c r="G2908" s="468">
        <v>55.762</v>
      </c>
      <c r="H2908" s="479">
        <v>111.524</v>
      </c>
      <c r="I2908" s="468" t="s">
        <v>9218</v>
      </c>
      <c r="J2908" s="468" t="s">
        <v>9219</v>
      </c>
      <c r="K2908" s="468" t="s">
        <v>9219</v>
      </c>
      <c r="L2908" s="468" t="s">
        <v>2354</v>
      </c>
    </row>
    <row r="2909" spans="1:12" x14ac:dyDescent="0.25">
      <c r="A2909" s="468" t="s">
        <v>220</v>
      </c>
      <c r="B2909" s="468" t="s">
        <v>5430</v>
      </c>
      <c r="C2909" s="468" t="s">
        <v>5813</v>
      </c>
      <c r="D2909" s="468" t="s">
        <v>7953</v>
      </c>
      <c r="E2909" s="468" t="s">
        <v>545</v>
      </c>
      <c r="F2909" s="470">
        <v>3</v>
      </c>
      <c r="G2909" s="468">
        <v>49.68</v>
      </c>
      <c r="H2909" s="479">
        <v>149.04</v>
      </c>
      <c r="I2909" s="468" t="s">
        <v>9218</v>
      </c>
      <c r="J2909" s="468" t="s">
        <v>9219</v>
      </c>
      <c r="K2909" s="468" t="s">
        <v>9219</v>
      </c>
      <c r="L2909" s="468" t="s">
        <v>2354</v>
      </c>
    </row>
    <row r="2910" spans="1:12" x14ac:dyDescent="0.25">
      <c r="A2910" s="468" t="s">
        <v>220</v>
      </c>
      <c r="B2910" s="468" t="s">
        <v>5430</v>
      </c>
      <c r="C2910" s="468" t="s">
        <v>5815</v>
      </c>
      <c r="D2910" s="468" t="s">
        <v>7954</v>
      </c>
      <c r="E2910" s="468" t="s">
        <v>545</v>
      </c>
      <c r="F2910" s="470">
        <v>1</v>
      </c>
      <c r="G2910" s="468">
        <v>33.125</v>
      </c>
      <c r="H2910" s="479">
        <v>33.125</v>
      </c>
      <c r="I2910" s="468" t="s">
        <v>9218</v>
      </c>
      <c r="J2910" s="468" t="s">
        <v>9219</v>
      </c>
      <c r="K2910" s="468" t="s">
        <v>9219</v>
      </c>
      <c r="L2910" s="468" t="s">
        <v>2354</v>
      </c>
    </row>
    <row r="2911" spans="1:12" x14ac:dyDescent="0.25">
      <c r="A2911" s="468" t="s">
        <v>220</v>
      </c>
      <c r="B2911" s="468" t="s">
        <v>5430</v>
      </c>
      <c r="C2911" s="468" t="s">
        <v>5817</v>
      </c>
      <c r="D2911" s="468" t="s">
        <v>7955</v>
      </c>
      <c r="E2911" s="468" t="s">
        <v>545</v>
      </c>
      <c r="F2911" s="470">
        <v>2</v>
      </c>
      <c r="G2911" s="468">
        <v>144</v>
      </c>
      <c r="H2911" s="479">
        <v>288</v>
      </c>
      <c r="I2911" s="468" t="s">
        <v>9218</v>
      </c>
      <c r="J2911" s="468" t="s">
        <v>9219</v>
      </c>
      <c r="K2911" s="468" t="s">
        <v>9219</v>
      </c>
      <c r="L2911" s="468" t="s">
        <v>2354</v>
      </c>
    </row>
    <row r="2912" spans="1:12" x14ac:dyDescent="0.25">
      <c r="A2912" s="468" t="s">
        <v>220</v>
      </c>
      <c r="B2912" s="468" t="s">
        <v>5430</v>
      </c>
      <c r="C2912" s="468" t="s">
        <v>5819</v>
      </c>
      <c r="D2912" s="468" t="s">
        <v>5820</v>
      </c>
      <c r="E2912" s="468" t="s">
        <v>545</v>
      </c>
      <c r="F2912" s="470">
        <v>4</v>
      </c>
      <c r="G2912" s="468">
        <v>117.664</v>
      </c>
      <c r="H2912" s="479">
        <v>470.65600000000001</v>
      </c>
      <c r="I2912" s="468" t="s">
        <v>9218</v>
      </c>
      <c r="J2912" s="468" t="s">
        <v>9219</v>
      </c>
      <c r="K2912" s="468" t="s">
        <v>9219</v>
      </c>
      <c r="L2912" s="468" t="s">
        <v>2354</v>
      </c>
    </row>
    <row r="2913" spans="1:12" x14ac:dyDescent="0.25">
      <c r="A2913" s="468" t="s">
        <v>220</v>
      </c>
      <c r="B2913" s="468" t="s">
        <v>5430</v>
      </c>
      <c r="C2913" s="468" t="s">
        <v>5821</v>
      </c>
      <c r="D2913" s="468" t="s">
        <v>7956</v>
      </c>
      <c r="E2913" s="468" t="s">
        <v>545</v>
      </c>
      <c r="F2913" s="470">
        <v>1</v>
      </c>
      <c r="G2913" s="468">
        <v>33.125</v>
      </c>
      <c r="H2913" s="479">
        <v>33.125</v>
      </c>
      <c r="I2913" s="468" t="s">
        <v>9218</v>
      </c>
      <c r="J2913" s="468" t="s">
        <v>9219</v>
      </c>
      <c r="K2913" s="468" t="s">
        <v>9219</v>
      </c>
      <c r="L2913" s="468" t="s">
        <v>2354</v>
      </c>
    </row>
    <row r="2914" spans="1:12" x14ac:dyDescent="0.25">
      <c r="A2914" s="468" t="s">
        <v>220</v>
      </c>
      <c r="B2914" s="468" t="s">
        <v>5430</v>
      </c>
      <c r="C2914" s="468" t="s">
        <v>5823</v>
      </c>
      <c r="D2914" s="468" t="s">
        <v>5824</v>
      </c>
      <c r="E2914" s="468" t="s">
        <v>545</v>
      </c>
      <c r="F2914" s="470">
        <v>3</v>
      </c>
      <c r="G2914" s="468">
        <v>73.283000000000001</v>
      </c>
      <c r="H2914" s="479">
        <v>219.84899999999999</v>
      </c>
      <c r="I2914" s="468" t="s">
        <v>9218</v>
      </c>
      <c r="J2914" s="468" t="s">
        <v>9219</v>
      </c>
      <c r="K2914" s="468" t="s">
        <v>9219</v>
      </c>
      <c r="L2914" s="468" t="s">
        <v>2354</v>
      </c>
    </row>
    <row r="2915" spans="1:12" x14ac:dyDescent="0.25">
      <c r="A2915" s="468" t="s">
        <v>220</v>
      </c>
      <c r="B2915" s="468" t="s">
        <v>5430</v>
      </c>
      <c r="C2915" s="468" t="s">
        <v>7957</v>
      </c>
      <c r="D2915" s="468" t="s">
        <v>5826</v>
      </c>
      <c r="E2915" s="468" t="s">
        <v>545</v>
      </c>
      <c r="F2915" s="470">
        <v>2</v>
      </c>
      <c r="G2915" s="468">
        <v>105.58799999999999</v>
      </c>
      <c r="H2915" s="479">
        <v>211.17599999999999</v>
      </c>
      <c r="I2915" s="468" t="s">
        <v>9218</v>
      </c>
      <c r="J2915" s="468" t="s">
        <v>9219</v>
      </c>
      <c r="K2915" s="468" t="s">
        <v>9219</v>
      </c>
      <c r="L2915" s="468" t="s">
        <v>2354</v>
      </c>
    </row>
    <row r="2916" spans="1:12" x14ac:dyDescent="0.25">
      <c r="A2916" s="468" t="s">
        <v>220</v>
      </c>
      <c r="B2916" s="468" t="s">
        <v>5430</v>
      </c>
      <c r="C2916" s="468" t="s">
        <v>5827</v>
      </c>
      <c r="D2916" s="468" t="s">
        <v>7958</v>
      </c>
      <c r="E2916" s="468" t="s">
        <v>545</v>
      </c>
      <c r="F2916" s="470">
        <v>2</v>
      </c>
      <c r="G2916" s="468">
        <v>32.4</v>
      </c>
      <c r="H2916" s="479">
        <v>64.8</v>
      </c>
      <c r="I2916" s="468" t="s">
        <v>9218</v>
      </c>
      <c r="J2916" s="468" t="s">
        <v>9219</v>
      </c>
      <c r="K2916" s="468" t="s">
        <v>9219</v>
      </c>
      <c r="L2916" s="468" t="s">
        <v>2354</v>
      </c>
    </row>
    <row r="2917" spans="1:12" x14ac:dyDescent="0.25">
      <c r="A2917" s="468" t="s">
        <v>220</v>
      </c>
      <c r="B2917" s="468" t="s">
        <v>5430</v>
      </c>
      <c r="C2917" s="468" t="s">
        <v>5829</v>
      </c>
      <c r="D2917" s="468" t="s">
        <v>7959</v>
      </c>
      <c r="E2917" s="468" t="s">
        <v>545</v>
      </c>
      <c r="F2917" s="470">
        <v>3</v>
      </c>
      <c r="G2917" s="468">
        <v>70.149000000000001</v>
      </c>
      <c r="H2917" s="479">
        <v>210.447</v>
      </c>
      <c r="I2917" s="468" t="s">
        <v>9218</v>
      </c>
      <c r="J2917" s="468" t="s">
        <v>9219</v>
      </c>
      <c r="K2917" s="468" t="s">
        <v>9219</v>
      </c>
      <c r="L2917" s="468" t="s">
        <v>2354</v>
      </c>
    </row>
    <row r="2918" spans="1:12" x14ac:dyDescent="0.25">
      <c r="A2918" s="468" t="s">
        <v>220</v>
      </c>
      <c r="B2918" s="468" t="s">
        <v>5430</v>
      </c>
      <c r="C2918" s="468" t="s">
        <v>2854</v>
      </c>
      <c r="D2918" s="468" t="s">
        <v>7960</v>
      </c>
      <c r="E2918" s="468" t="s">
        <v>545</v>
      </c>
      <c r="F2918" s="470">
        <v>2</v>
      </c>
      <c r="G2918" s="468">
        <v>36.551000000000002</v>
      </c>
      <c r="H2918" s="479">
        <v>73.102000000000004</v>
      </c>
      <c r="I2918" s="468" t="s">
        <v>9218</v>
      </c>
      <c r="J2918" s="468" t="s">
        <v>9219</v>
      </c>
      <c r="K2918" s="468" t="s">
        <v>9219</v>
      </c>
      <c r="L2918" s="468" t="s">
        <v>2354</v>
      </c>
    </row>
    <row r="2919" spans="1:12" x14ac:dyDescent="0.25">
      <c r="A2919" s="468" t="s">
        <v>220</v>
      </c>
      <c r="B2919" s="468" t="s">
        <v>5430</v>
      </c>
      <c r="C2919" s="468" t="s">
        <v>5834</v>
      </c>
      <c r="D2919" s="468" t="s">
        <v>7961</v>
      </c>
      <c r="E2919" s="468" t="s">
        <v>545</v>
      </c>
      <c r="F2919" s="470">
        <v>3</v>
      </c>
      <c r="G2919" s="468">
        <v>86.207999999999998</v>
      </c>
      <c r="H2919" s="479">
        <v>258.62400000000002</v>
      </c>
      <c r="I2919" s="468" t="s">
        <v>9218</v>
      </c>
      <c r="J2919" s="468" t="s">
        <v>9219</v>
      </c>
      <c r="K2919" s="468" t="s">
        <v>9219</v>
      </c>
      <c r="L2919" s="468" t="s">
        <v>2354</v>
      </c>
    </row>
    <row r="2920" spans="1:12" x14ac:dyDescent="0.25">
      <c r="A2920" s="468" t="s">
        <v>220</v>
      </c>
      <c r="B2920" s="468" t="s">
        <v>5430</v>
      </c>
      <c r="C2920" s="468" t="s">
        <v>5836</v>
      </c>
      <c r="D2920" s="468" t="s">
        <v>7962</v>
      </c>
      <c r="E2920" s="468" t="s">
        <v>545</v>
      </c>
      <c r="F2920" s="470">
        <v>2</v>
      </c>
      <c r="G2920" s="468">
        <v>164.81399999999999</v>
      </c>
      <c r="H2920" s="479">
        <v>329.62799999999999</v>
      </c>
      <c r="I2920" s="468" t="s">
        <v>9218</v>
      </c>
      <c r="J2920" s="468" t="s">
        <v>9219</v>
      </c>
      <c r="K2920" s="468" t="s">
        <v>9219</v>
      </c>
      <c r="L2920" s="468" t="s">
        <v>2354</v>
      </c>
    </row>
    <row r="2921" spans="1:12" x14ac:dyDescent="0.25">
      <c r="A2921" s="468" t="s">
        <v>220</v>
      </c>
      <c r="B2921" s="468" t="s">
        <v>5430</v>
      </c>
      <c r="C2921" s="468" t="s">
        <v>5838</v>
      </c>
      <c r="D2921" s="468" t="s">
        <v>7963</v>
      </c>
      <c r="E2921" s="468" t="s">
        <v>545</v>
      </c>
      <c r="F2921" s="470">
        <v>5</v>
      </c>
      <c r="G2921" s="468">
        <v>22.024999999999999</v>
      </c>
      <c r="H2921" s="479">
        <v>110.125</v>
      </c>
      <c r="I2921" s="468" t="s">
        <v>9218</v>
      </c>
      <c r="J2921" s="468" t="s">
        <v>9219</v>
      </c>
      <c r="K2921" s="468" t="s">
        <v>9219</v>
      </c>
      <c r="L2921" s="468" t="s">
        <v>2354</v>
      </c>
    </row>
    <row r="2922" spans="1:12" x14ac:dyDescent="0.25">
      <c r="A2922" s="468" t="s">
        <v>220</v>
      </c>
      <c r="B2922" s="468" t="s">
        <v>5430</v>
      </c>
      <c r="C2922" s="468" t="s">
        <v>5840</v>
      </c>
      <c r="D2922" s="468" t="s">
        <v>7964</v>
      </c>
      <c r="E2922" s="468" t="s">
        <v>545</v>
      </c>
      <c r="F2922" s="470">
        <v>4</v>
      </c>
      <c r="G2922" s="468">
        <v>3.1190000000000002</v>
      </c>
      <c r="H2922" s="479">
        <v>12.476000000000001</v>
      </c>
      <c r="I2922" s="468" t="s">
        <v>9218</v>
      </c>
      <c r="J2922" s="468" t="s">
        <v>9219</v>
      </c>
      <c r="K2922" s="468" t="s">
        <v>9219</v>
      </c>
      <c r="L2922" s="468" t="s">
        <v>2354</v>
      </c>
    </row>
    <row r="2923" spans="1:12" x14ac:dyDescent="0.25">
      <c r="A2923" s="468" t="s">
        <v>220</v>
      </c>
      <c r="B2923" s="468" t="s">
        <v>5430</v>
      </c>
      <c r="C2923" s="468" t="s">
        <v>5842</v>
      </c>
      <c r="D2923" s="468" t="s">
        <v>7965</v>
      </c>
      <c r="E2923" s="468" t="s">
        <v>545</v>
      </c>
      <c r="F2923" s="470">
        <v>9</v>
      </c>
      <c r="G2923" s="468">
        <v>29.864000000000001</v>
      </c>
      <c r="H2923" s="479">
        <v>268.77600000000001</v>
      </c>
      <c r="I2923" s="468" t="s">
        <v>9218</v>
      </c>
      <c r="J2923" s="468" t="s">
        <v>9219</v>
      </c>
      <c r="K2923" s="468" t="s">
        <v>9219</v>
      </c>
      <c r="L2923" s="468" t="s">
        <v>2354</v>
      </c>
    </row>
    <row r="2924" spans="1:12" x14ac:dyDescent="0.25">
      <c r="A2924" s="468" t="s">
        <v>220</v>
      </c>
      <c r="B2924" s="468" t="s">
        <v>5430</v>
      </c>
      <c r="C2924" s="468" t="s">
        <v>5844</v>
      </c>
      <c r="D2924" s="468" t="s">
        <v>5845</v>
      </c>
      <c r="E2924" s="468" t="s">
        <v>545</v>
      </c>
      <c r="F2924" s="470">
        <v>1</v>
      </c>
      <c r="G2924" s="468">
        <v>8.0809999999999995</v>
      </c>
      <c r="H2924" s="479">
        <v>8.0809999999999995</v>
      </c>
      <c r="I2924" s="468" t="s">
        <v>9218</v>
      </c>
      <c r="J2924" s="468" t="s">
        <v>9219</v>
      </c>
      <c r="K2924" s="468" t="s">
        <v>9219</v>
      </c>
      <c r="L2924" s="468" t="s">
        <v>2354</v>
      </c>
    </row>
    <row r="2925" spans="1:12" x14ac:dyDescent="0.25">
      <c r="A2925" s="468" t="s">
        <v>220</v>
      </c>
      <c r="B2925" s="468" t="s">
        <v>5430</v>
      </c>
      <c r="C2925" s="468" t="s">
        <v>5846</v>
      </c>
      <c r="D2925" s="468" t="s">
        <v>5847</v>
      </c>
      <c r="E2925" s="468" t="s">
        <v>545</v>
      </c>
      <c r="F2925" s="470">
        <v>4</v>
      </c>
      <c r="G2925" s="468">
        <v>10.143000000000001</v>
      </c>
      <c r="H2925" s="479">
        <v>40.572000000000003</v>
      </c>
      <c r="I2925" s="468" t="s">
        <v>9218</v>
      </c>
      <c r="J2925" s="468" t="s">
        <v>9219</v>
      </c>
      <c r="K2925" s="468" t="s">
        <v>9219</v>
      </c>
      <c r="L2925" s="468" t="s">
        <v>2354</v>
      </c>
    </row>
    <row r="2926" spans="1:12" x14ac:dyDescent="0.25">
      <c r="A2926" s="468" t="s">
        <v>220</v>
      </c>
      <c r="B2926" s="468" t="s">
        <v>5430</v>
      </c>
      <c r="C2926" s="468" t="s">
        <v>5848</v>
      </c>
      <c r="D2926" s="468" t="s">
        <v>5849</v>
      </c>
      <c r="E2926" s="468" t="s">
        <v>545</v>
      </c>
      <c r="F2926" s="470">
        <v>3</v>
      </c>
      <c r="G2926" s="468">
        <v>10.143000000000001</v>
      </c>
      <c r="H2926" s="479">
        <v>30.429000000000002</v>
      </c>
      <c r="I2926" s="468" t="s">
        <v>9218</v>
      </c>
      <c r="J2926" s="468" t="s">
        <v>9219</v>
      </c>
      <c r="K2926" s="468" t="s">
        <v>9219</v>
      </c>
      <c r="L2926" s="468" t="s">
        <v>2354</v>
      </c>
    </row>
    <row r="2927" spans="1:12" x14ac:dyDescent="0.25">
      <c r="A2927" s="468" t="s">
        <v>220</v>
      </c>
      <c r="B2927" s="468" t="s">
        <v>5430</v>
      </c>
      <c r="C2927" s="468" t="s">
        <v>5850</v>
      </c>
      <c r="D2927" s="468" t="s">
        <v>5851</v>
      </c>
      <c r="E2927" s="468" t="s">
        <v>545</v>
      </c>
      <c r="F2927" s="470">
        <v>4</v>
      </c>
      <c r="G2927" s="468">
        <v>9.3439999999999994</v>
      </c>
      <c r="H2927" s="479">
        <v>37.375999999999998</v>
      </c>
      <c r="I2927" s="468" t="s">
        <v>9218</v>
      </c>
      <c r="J2927" s="468" t="s">
        <v>9219</v>
      </c>
      <c r="K2927" s="468" t="s">
        <v>9219</v>
      </c>
      <c r="L2927" s="468" t="s">
        <v>2354</v>
      </c>
    </row>
    <row r="2928" spans="1:12" x14ac:dyDescent="0.25">
      <c r="A2928" s="468" t="s">
        <v>220</v>
      </c>
      <c r="B2928" s="468" t="s">
        <v>5430</v>
      </c>
      <c r="C2928" s="468" t="s">
        <v>5852</v>
      </c>
      <c r="D2928" s="468" t="s">
        <v>5853</v>
      </c>
      <c r="E2928" s="468" t="s">
        <v>545</v>
      </c>
      <c r="F2928" s="470">
        <v>12</v>
      </c>
      <c r="G2928" s="468">
        <v>4.01</v>
      </c>
      <c r="H2928" s="479">
        <v>48.12</v>
      </c>
      <c r="I2928" s="468" t="s">
        <v>9218</v>
      </c>
      <c r="J2928" s="468" t="s">
        <v>9219</v>
      </c>
      <c r="K2928" s="468" t="s">
        <v>9219</v>
      </c>
      <c r="L2928" s="468" t="s">
        <v>2354</v>
      </c>
    </row>
    <row r="2929" spans="1:12" x14ac:dyDescent="0.25">
      <c r="A2929" s="468" t="s">
        <v>220</v>
      </c>
      <c r="B2929" s="468" t="s">
        <v>5430</v>
      </c>
      <c r="C2929" s="468" t="s">
        <v>5854</v>
      </c>
      <c r="D2929" s="468" t="s">
        <v>7966</v>
      </c>
      <c r="E2929" s="468" t="s">
        <v>545</v>
      </c>
      <c r="F2929" s="470">
        <v>8</v>
      </c>
      <c r="G2929" s="468">
        <v>24.501999999999999</v>
      </c>
      <c r="H2929" s="479">
        <v>196.01599999999999</v>
      </c>
      <c r="I2929" s="468" t="s">
        <v>9218</v>
      </c>
      <c r="J2929" s="468" t="s">
        <v>9219</v>
      </c>
      <c r="K2929" s="468" t="s">
        <v>9219</v>
      </c>
      <c r="L2929" s="468" t="s">
        <v>2354</v>
      </c>
    </row>
    <row r="2930" spans="1:12" x14ac:dyDescent="0.25">
      <c r="A2930" s="468" t="s">
        <v>220</v>
      </c>
      <c r="B2930" s="468" t="s">
        <v>5430</v>
      </c>
      <c r="C2930" s="468" t="s">
        <v>5856</v>
      </c>
      <c r="D2930" s="468" t="s">
        <v>5857</v>
      </c>
      <c r="E2930" s="468" t="s">
        <v>545</v>
      </c>
      <c r="F2930" s="470">
        <v>1</v>
      </c>
      <c r="G2930" s="468">
        <v>4.01</v>
      </c>
      <c r="H2930" s="479">
        <v>4.01</v>
      </c>
      <c r="I2930" s="468" t="s">
        <v>9218</v>
      </c>
      <c r="J2930" s="468" t="s">
        <v>9219</v>
      </c>
      <c r="K2930" s="468" t="s">
        <v>9219</v>
      </c>
      <c r="L2930" s="468" t="s">
        <v>2354</v>
      </c>
    </row>
    <row r="2931" spans="1:12" x14ac:dyDescent="0.25">
      <c r="A2931" s="468" t="s">
        <v>220</v>
      </c>
      <c r="B2931" s="468" t="s">
        <v>5430</v>
      </c>
      <c r="C2931" s="468" t="s">
        <v>5858</v>
      </c>
      <c r="D2931" s="468" t="s">
        <v>5859</v>
      </c>
      <c r="E2931" s="468" t="s">
        <v>545</v>
      </c>
      <c r="F2931" s="470">
        <v>2</v>
      </c>
      <c r="G2931" s="468">
        <v>4.01</v>
      </c>
      <c r="H2931" s="479">
        <v>8.02</v>
      </c>
      <c r="I2931" s="468" t="s">
        <v>9218</v>
      </c>
      <c r="J2931" s="468" t="s">
        <v>9219</v>
      </c>
      <c r="K2931" s="468" t="s">
        <v>9219</v>
      </c>
      <c r="L2931" s="468" t="s">
        <v>2354</v>
      </c>
    </row>
    <row r="2932" spans="1:12" x14ac:dyDescent="0.25">
      <c r="A2932" s="468" t="s">
        <v>220</v>
      </c>
      <c r="B2932" s="468" t="s">
        <v>5430</v>
      </c>
      <c r="C2932" s="468" t="s">
        <v>5860</v>
      </c>
      <c r="D2932" s="468" t="s">
        <v>5861</v>
      </c>
      <c r="E2932" s="468" t="s">
        <v>545</v>
      </c>
      <c r="F2932" s="470">
        <v>4</v>
      </c>
      <c r="G2932" s="468">
        <v>7.335</v>
      </c>
      <c r="H2932" s="479">
        <v>29.34</v>
      </c>
      <c r="I2932" s="468" t="s">
        <v>9218</v>
      </c>
      <c r="J2932" s="468" t="s">
        <v>9219</v>
      </c>
      <c r="K2932" s="468" t="s">
        <v>9219</v>
      </c>
      <c r="L2932" s="468" t="s">
        <v>2354</v>
      </c>
    </row>
    <row r="2933" spans="1:12" x14ac:dyDescent="0.25">
      <c r="A2933" s="468" t="s">
        <v>220</v>
      </c>
      <c r="B2933" s="468" t="s">
        <v>5430</v>
      </c>
      <c r="D2933" s="468" t="s">
        <v>9434</v>
      </c>
      <c r="E2933" s="468" t="s">
        <v>545</v>
      </c>
      <c r="F2933" s="470">
        <v>4</v>
      </c>
      <c r="G2933" s="468">
        <v>7.35</v>
      </c>
      <c r="H2933" s="479">
        <v>29.4</v>
      </c>
      <c r="I2933" s="468" t="s">
        <v>9218</v>
      </c>
      <c r="J2933" s="468" t="s">
        <v>9219</v>
      </c>
      <c r="K2933" s="468" t="s">
        <v>9219</v>
      </c>
      <c r="L2933" s="468" t="s">
        <v>2354</v>
      </c>
    </row>
    <row r="2934" spans="1:12" x14ac:dyDescent="0.25">
      <c r="A2934" s="468" t="s">
        <v>220</v>
      </c>
      <c r="B2934" s="468" t="s">
        <v>5430</v>
      </c>
      <c r="C2934" s="468" t="s">
        <v>5862</v>
      </c>
      <c r="D2934" s="468" t="s">
        <v>7967</v>
      </c>
      <c r="E2934" s="468" t="s">
        <v>545</v>
      </c>
      <c r="F2934" s="470">
        <v>1</v>
      </c>
      <c r="G2934" s="468">
        <v>4.01</v>
      </c>
      <c r="H2934" s="479">
        <v>4.01</v>
      </c>
      <c r="I2934" s="468" t="s">
        <v>9218</v>
      </c>
      <c r="J2934" s="468" t="s">
        <v>9219</v>
      </c>
      <c r="K2934" s="468" t="s">
        <v>9219</v>
      </c>
      <c r="L2934" s="468" t="s">
        <v>2354</v>
      </c>
    </row>
    <row r="2935" spans="1:12" x14ac:dyDescent="0.25">
      <c r="A2935" s="468" t="s">
        <v>220</v>
      </c>
      <c r="B2935" s="468" t="s">
        <v>5430</v>
      </c>
      <c r="C2935" s="468" t="s">
        <v>2379</v>
      </c>
      <c r="D2935" s="468" t="s">
        <v>5864</v>
      </c>
      <c r="E2935" s="468" t="s">
        <v>545</v>
      </c>
      <c r="F2935" s="470">
        <v>5</v>
      </c>
      <c r="G2935" s="468">
        <v>4.01</v>
      </c>
      <c r="H2935" s="479">
        <v>20.049999999999997</v>
      </c>
      <c r="I2935" s="468" t="s">
        <v>9218</v>
      </c>
      <c r="J2935" s="468" t="s">
        <v>9219</v>
      </c>
      <c r="K2935" s="468" t="s">
        <v>9219</v>
      </c>
      <c r="L2935" s="468" t="s">
        <v>2354</v>
      </c>
    </row>
    <row r="2936" spans="1:12" x14ac:dyDescent="0.25">
      <c r="A2936" s="468" t="s">
        <v>220</v>
      </c>
      <c r="B2936" s="468" t="s">
        <v>5430</v>
      </c>
      <c r="C2936" s="468" t="s">
        <v>5865</v>
      </c>
      <c r="D2936" s="468" t="s">
        <v>5866</v>
      </c>
      <c r="E2936" s="468" t="s">
        <v>545</v>
      </c>
      <c r="F2936" s="470">
        <v>5</v>
      </c>
      <c r="G2936" s="468">
        <v>4.01</v>
      </c>
      <c r="H2936" s="479">
        <v>20.049999999999997</v>
      </c>
      <c r="I2936" s="468" t="s">
        <v>9218</v>
      </c>
      <c r="J2936" s="468" t="s">
        <v>9219</v>
      </c>
      <c r="K2936" s="468" t="s">
        <v>9219</v>
      </c>
      <c r="L2936" s="468" t="s">
        <v>2354</v>
      </c>
    </row>
    <row r="2937" spans="1:12" x14ac:dyDescent="0.25">
      <c r="A2937" s="468" t="s">
        <v>220</v>
      </c>
      <c r="B2937" s="468" t="s">
        <v>5430</v>
      </c>
      <c r="C2937" s="468" t="s">
        <v>2872</v>
      </c>
      <c r="D2937" s="468" t="s">
        <v>2873</v>
      </c>
      <c r="E2937" s="468" t="s">
        <v>545</v>
      </c>
      <c r="F2937" s="470">
        <v>3</v>
      </c>
      <c r="G2937" s="468">
        <v>4.01</v>
      </c>
      <c r="H2937" s="479">
        <v>12.03</v>
      </c>
      <c r="I2937" s="468" t="s">
        <v>9218</v>
      </c>
      <c r="J2937" s="468" t="s">
        <v>9219</v>
      </c>
      <c r="K2937" s="468" t="s">
        <v>9219</v>
      </c>
      <c r="L2937" s="468" t="s">
        <v>2354</v>
      </c>
    </row>
    <row r="2938" spans="1:12" x14ac:dyDescent="0.25">
      <c r="A2938" s="468" t="s">
        <v>220</v>
      </c>
      <c r="B2938" s="468" t="s">
        <v>5430</v>
      </c>
      <c r="C2938" s="468" t="s">
        <v>5867</v>
      </c>
      <c r="D2938" s="468" t="s">
        <v>7968</v>
      </c>
      <c r="E2938" s="468" t="s">
        <v>545</v>
      </c>
      <c r="F2938" s="470">
        <v>5</v>
      </c>
      <c r="G2938" s="468">
        <v>3.4289999999999998</v>
      </c>
      <c r="H2938" s="479">
        <v>17.145</v>
      </c>
      <c r="I2938" s="468" t="s">
        <v>9218</v>
      </c>
      <c r="J2938" s="468" t="s">
        <v>9219</v>
      </c>
      <c r="K2938" s="468" t="s">
        <v>9219</v>
      </c>
      <c r="L2938" s="468" t="s">
        <v>2354</v>
      </c>
    </row>
    <row r="2939" spans="1:12" x14ac:dyDescent="0.25">
      <c r="A2939" s="468" t="s">
        <v>220</v>
      </c>
      <c r="B2939" s="468" t="s">
        <v>5430</v>
      </c>
      <c r="C2939" s="468" t="s">
        <v>5869</v>
      </c>
      <c r="D2939" s="468" t="s">
        <v>5870</v>
      </c>
      <c r="E2939" s="468" t="s">
        <v>545</v>
      </c>
      <c r="F2939" s="470">
        <v>3</v>
      </c>
      <c r="G2939" s="468">
        <v>4.9489999999999998</v>
      </c>
      <c r="H2939" s="479">
        <v>14.847</v>
      </c>
      <c r="I2939" s="468" t="s">
        <v>9218</v>
      </c>
      <c r="J2939" s="468" t="s">
        <v>9219</v>
      </c>
      <c r="K2939" s="468" t="s">
        <v>9219</v>
      </c>
      <c r="L2939" s="468" t="s">
        <v>2354</v>
      </c>
    </row>
    <row r="2940" spans="1:12" x14ac:dyDescent="0.25">
      <c r="A2940" s="468" t="s">
        <v>220</v>
      </c>
      <c r="B2940" s="468" t="s">
        <v>5430</v>
      </c>
      <c r="C2940" s="468" t="s">
        <v>5871</v>
      </c>
      <c r="D2940" s="468" t="s">
        <v>7969</v>
      </c>
      <c r="E2940" s="468" t="s">
        <v>545</v>
      </c>
      <c r="F2940" s="470">
        <v>2</v>
      </c>
      <c r="G2940" s="468">
        <v>4.3019999999999996</v>
      </c>
      <c r="H2940" s="479">
        <v>8.6039999999999992</v>
      </c>
      <c r="I2940" s="468" t="s">
        <v>9218</v>
      </c>
      <c r="J2940" s="468" t="s">
        <v>9219</v>
      </c>
      <c r="K2940" s="468" t="s">
        <v>9219</v>
      </c>
      <c r="L2940" s="468" t="s">
        <v>2354</v>
      </c>
    </row>
    <row r="2941" spans="1:12" x14ac:dyDescent="0.25">
      <c r="A2941" s="468" t="s">
        <v>220</v>
      </c>
      <c r="B2941" s="468" t="s">
        <v>5430</v>
      </c>
      <c r="C2941" s="468" t="s">
        <v>5873</v>
      </c>
      <c r="D2941" s="468" t="s">
        <v>7970</v>
      </c>
      <c r="E2941" s="468" t="s">
        <v>545</v>
      </c>
      <c r="F2941" s="470">
        <v>8</v>
      </c>
      <c r="G2941" s="468">
        <v>30.215</v>
      </c>
      <c r="H2941" s="479">
        <v>241.72</v>
      </c>
      <c r="I2941" s="468" t="s">
        <v>9218</v>
      </c>
      <c r="J2941" s="468" t="s">
        <v>9219</v>
      </c>
      <c r="K2941" s="468" t="s">
        <v>9219</v>
      </c>
      <c r="L2941" s="468" t="s">
        <v>2354</v>
      </c>
    </row>
    <row r="2942" spans="1:12" x14ac:dyDescent="0.25">
      <c r="A2942" s="468" t="s">
        <v>220</v>
      </c>
      <c r="B2942" s="468" t="s">
        <v>5430</v>
      </c>
      <c r="C2942" s="468" t="s">
        <v>5875</v>
      </c>
      <c r="D2942" s="468" t="s">
        <v>7971</v>
      </c>
      <c r="F2942" s="470">
        <v>4</v>
      </c>
      <c r="G2942" s="468">
        <v>4.0819999999999999</v>
      </c>
      <c r="H2942" s="479">
        <v>16.327999999999999</v>
      </c>
      <c r="I2942" s="468" t="s">
        <v>9218</v>
      </c>
      <c r="J2942" s="468" t="s">
        <v>9219</v>
      </c>
      <c r="K2942" s="468" t="s">
        <v>9219</v>
      </c>
      <c r="L2942" s="468" t="s">
        <v>2354</v>
      </c>
    </row>
    <row r="2943" spans="1:12" x14ac:dyDescent="0.25">
      <c r="A2943" s="468" t="s">
        <v>220</v>
      </c>
      <c r="B2943" s="468" t="s">
        <v>5430</v>
      </c>
      <c r="C2943" s="468" t="s">
        <v>7972</v>
      </c>
      <c r="D2943" s="468" t="s">
        <v>7973</v>
      </c>
      <c r="F2943" s="470">
        <v>4</v>
      </c>
      <c r="G2943" s="468">
        <v>3.06</v>
      </c>
      <c r="H2943" s="479">
        <v>12.24</v>
      </c>
      <c r="I2943" s="468" t="s">
        <v>9218</v>
      </c>
      <c r="J2943" s="468" t="s">
        <v>9219</v>
      </c>
      <c r="K2943" s="468" t="s">
        <v>9219</v>
      </c>
      <c r="L2943" s="468" t="s">
        <v>2354</v>
      </c>
    </row>
    <row r="2944" spans="1:12" x14ac:dyDescent="0.25">
      <c r="A2944" s="468" t="s">
        <v>220</v>
      </c>
      <c r="B2944" s="468" t="s">
        <v>5430</v>
      </c>
      <c r="C2944" s="468" t="s">
        <v>5879</v>
      </c>
      <c r="D2944" s="468" t="s">
        <v>7974</v>
      </c>
      <c r="F2944" s="470">
        <v>2</v>
      </c>
      <c r="G2944" s="468">
        <v>3.47</v>
      </c>
      <c r="H2944" s="479">
        <v>6.94</v>
      </c>
      <c r="I2944" s="468" t="s">
        <v>9218</v>
      </c>
      <c r="J2944" s="468" t="s">
        <v>9219</v>
      </c>
      <c r="K2944" s="468" t="s">
        <v>9219</v>
      </c>
      <c r="L2944" s="468" t="s">
        <v>2354</v>
      </c>
    </row>
    <row r="2945" spans="1:12" x14ac:dyDescent="0.25">
      <c r="A2945" s="468" t="s">
        <v>220</v>
      </c>
      <c r="B2945" s="468" t="s">
        <v>5430</v>
      </c>
      <c r="C2945" s="468" t="s">
        <v>5881</v>
      </c>
      <c r="D2945" s="468" t="s">
        <v>7975</v>
      </c>
      <c r="F2945" s="470">
        <v>2</v>
      </c>
      <c r="G2945" s="468">
        <v>2.1429999999999998</v>
      </c>
      <c r="H2945" s="479">
        <v>4.2859999999999996</v>
      </c>
      <c r="I2945" s="468" t="s">
        <v>9218</v>
      </c>
      <c r="J2945" s="468" t="s">
        <v>9219</v>
      </c>
      <c r="K2945" s="468" t="s">
        <v>9219</v>
      </c>
      <c r="L2945" s="468" t="s">
        <v>2354</v>
      </c>
    </row>
    <row r="2946" spans="1:12" x14ac:dyDescent="0.25">
      <c r="A2946" s="468" t="s">
        <v>220</v>
      </c>
      <c r="B2946" s="468" t="s">
        <v>5430</v>
      </c>
      <c r="C2946" s="468" t="s">
        <v>5883</v>
      </c>
      <c r="D2946" s="468" t="s">
        <v>7976</v>
      </c>
      <c r="F2946" s="470">
        <v>3</v>
      </c>
      <c r="G2946" s="468">
        <v>117.227</v>
      </c>
      <c r="H2946" s="479">
        <v>351.68100000000004</v>
      </c>
      <c r="I2946" s="468" t="s">
        <v>9218</v>
      </c>
      <c r="J2946" s="468" t="s">
        <v>9219</v>
      </c>
      <c r="K2946" s="468" t="s">
        <v>9219</v>
      </c>
      <c r="L2946" s="468" t="s">
        <v>2354</v>
      </c>
    </row>
    <row r="2947" spans="1:12" x14ac:dyDescent="0.25">
      <c r="A2947" s="468" t="s">
        <v>220</v>
      </c>
      <c r="B2947" s="468" t="s">
        <v>5430</v>
      </c>
      <c r="C2947" s="468" t="s">
        <v>5885</v>
      </c>
      <c r="D2947" s="468" t="s">
        <v>7977</v>
      </c>
      <c r="F2947" s="470">
        <v>6</v>
      </c>
      <c r="G2947" s="468">
        <v>7.2</v>
      </c>
      <c r="H2947" s="479">
        <v>43.2</v>
      </c>
      <c r="I2947" s="468" t="s">
        <v>9218</v>
      </c>
      <c r="J2947" s="468" t="s">
        <v>9219</v>
      </c>
      <c r="K2947" s="468" t="s">
        <v>9219</v>
      </c>
      <c r="L2947" s="468" t="s">
        <v>2354</v>
      </c>
    </row>
    <row r="2948" spans="1:12" x14ac:dyDescent="0.25">
      <c r="A2948" s="468" t="s">
        <v>220</v>
      </c>
      <c r="B2948" s="468" t="s">
        <v>5430</v>
      </c>
      <c r="C2948" s="468" t="s">
        <v>5887</v>
      </c>
      <c r="D2948" s="468" t="s">
        <v>5888</v>
      </c>
      <c r="F2948" s="470">
        <v>2</v>
      </c>
      <c r="G2948" s="468">
        <v>3.2309999999999999</v>
      </c>
      <c r="H2948" s="479">
        <v>6.4619999999999997</v>
      </c>
      <c r="I2948" s="468" t="s">
        <v>9218</v>
      </c>
      <c r="J2948" s="468" t="s">
        <v>9219</v>
      </c>
      <c r="K2948" s="468" t="s">
        <v>9219</v>
      </c>
      <c r="L2948" s="468" t="s">
        <v>2354</v>
      </c>
    </row>
    <row r="2949" spans="1:12" x14ac:dyDescent="0.25">
      <c r="A2949" s="468" t="s">
        <v>220</v>
      </c>
      <c r="B2949" s="468" t="s">
        <v>5430</v>
      </c>
      <c r="C2949" s="468" t="s">
        <v>5889</v>
      </c>
      <c r="D2949" s="468" t="s">
        <v>7978</v>
      </c>
      <c r="F2949" s="470">
        <v>5</v>
      </c>
      <c r="G2949" s="468">
        <v>8.1649999999999991</v>
      </c>
      <c r="H2949" s="479">
        <v>40.824999999999996</v>
      </c>
      <c r="I2949" s="468" t="s">
        <v>9218</v>
      </c>
      <c r="J2949" s="468" t="s">
        <v>9219</v>
      </c>
      <c r="K2949" s="468" t="s">
        <v>9219</v>
      </c>
      <c r="L2949" s="468" t="s">
        <v>2354</v>
      </c>
    </row>
    <row r="2950" spans="1:12" x14ac:dyDescent="0.25">
      <c r="A2950" s="468" t="s">
        <v>220</v>
      </c>
      <c r="B2950" s="468" t="s">
        <v>5430</v>
      </c>
      <c r="C2950" s="468" t="s">
        <v>2896</v>
      </c>
      <c r="D2950" s="468" t="s">
        <v>2897</v>
      </c>
      <c r="F2950" s="470">
        <v>3</v>
      </c>
      <c r="G2950" s="468">
        <v>10.143000000000001</v>
      </c>
      <c r="H2950" s="479">
        <v>30.429000000000002</v>
      </c>
      <c r="I2950" s="468" t="s">
        <v>9218</v>
      </c>
      <c r="J2950" s="468" t="s">
        <v>9219</v>
      </c>
      <c r="K2950" s="468" t="s">
        <v>9219</v>
      </c>
      <c r="L2950" s="468" t="s">
        <v>2354</v>
      </c>
    </row>
    <row r="2951" spans="1:12" x14ac:dyDescent="0.25">
      <c r="A2951" s="468" t="s">
        <v>220</v>
      </c>
      <c r="B2951" s="468" t="s">
        <v>5430</v>
      </c>
      <c r="C2951" s="468" t="s">
        <v>2900</v>
      </c>
      <c r="D2951" s="468" t="s">
        <v>2901</v>
      </c>
      <c r="F2951" s="470">
        <v>4</v>
      </c>
      <c r="G2951" s="468">
        <v>10.143000000000001</v>
      </c>
      <c r="H2951" s="479">
        <v>40.572000000000003</v>
      </c>
      <c r="I2951" s="468" t="s">
        <v>9218</v>
      </c>
      <c r="J2951" s="468" t="s">
        <v>9219</v>
      </c>
      <c r="K2951" s="468" t="s">
        <v>9219</v>
      </c>
      <c r="L2951" s="468" t="s">
        <v>2354</v>
      </c>
    </row>
    <row r="2952" spans="1:12" x14ac:dyDescent="0.25">
      <c r="A2952" s="468" t="s">
        <v>220</v>
      </c>
      <c r="B2952" s="468" t="s">
        <v>5430</v>
      </c>
      <c r="C2952" s="468" t="s">
        <v>5891</v>
      </c>
      <c r="D2952" s="468" t="s">
        <v>5892</v>
      </c>
      <c r="F2952" s="470">
        <v>5</v>
      </c>
      <c r="G2952" s="468">
        <v>11.933999999999999</v>
      </c>
      <c r="H2952" s="479">
        <v>59.669999999999995</v>
      </c>
      <c r="I2952" s="468" t="s">
        <v>9218</v>
      </c>
      <c r="J2952" s="468" t="s">
        <v>9219</v>
      </c>
      <c r="K2952" s="468" t="s">
        <v>9219</v>
      </c>
      <c r="L2952" s="468" t="s">
        <v>2354</v>
      </c>
    </row>
    <row r="2953" spans="1:12" x14ac:dyDescent="0.25">
      <c r="A2953" s="468" t="s">
        <v>220</v>
      </c>
      <c r="B2953" s="468" t="s">
        <v>5430</v>
      </c>
      <c r="C2953" s="468" t="s">
        <v>5893</v>
      </c>
      <c r="D2953" s="468" t="s">
        <v>7979</v>
      </c>
      <c r="F2953" s="470">
        <v>7</v>
      </c>
      <c r="G2953" s="468">
        <v>22.193000000000001</v>
      </c>
      <c r="H2953" s="479">
        <v>155.351</v>
      </c>
      <c r="I2953" s="468" t="s">
        <v>9218</v>
      </c>
      <c r="J2953" s="468" t="s">
        <v>9219</v>
      </c>
      <c r="K2953" s="468" t="s">
        <v>9219</v>
      </c>
      <c r="L2953" s="468" t="s">
        <v>2354</v>
      </c>
    </row>
    <row r="2954" spans="1:12" x14ac:dyDescent="0.25">
      <c r="A2954" s="468" t="s">
        <v>220</v>
      </c>
      <c r="B2954" s="468" t="s">
        <v>5430</v>
      </c>
      <c r="C2954" s="468" t="s">
        <v>2906</v>
      </c>
      <c r="D2954" s="468" t="s">
        <v>2907</v>
      </c>
      <c r="F2954" s="470">
        <v>6</v>
      </c>
      <c r="G2954" s="468">
        <v>8.0120000000000005</v>
      </c>
      <c r="H2954" s="479">
        <v>48.072000000000003</v>
      </c>
      <c r="I2954" s="468" t="s">
        <v>9218</v>
      </c>
      <c r="J2954" s="468" t="s">
        <v>9219</v>
      </c>
      <c r="K2954" s="468" t="s">
        <v>9219</v>
      </c>
      <c r="L2954" s="468" t="s">
        <v>2354</v>
      </c>
    </row>
    <row r="2955" spans="1:12" x14ac:dyDescent="0.25">
      <c r="A2955" s="468" t="s">
        <v>220</v>
      </c>
      <c r="B2955" s="468" t="s">
        <v>5430</v>
      </c>
      <c r="C2955" s="468" t="s">
        <v>5895</v>
      </c>
      <c r="D2955" s="468" t="s">
        <v>5896</v>
      </c>
      <c r="F2955" s="470">
        <v>5</v>
      </c>
      <c r="G2955" s="468">
        <v>4.2080000000000002</v>
      </c>
      <c r="H2955" s="479">
        <v>21.04</v>
      </c>
      <c r="I2955" s="468" t="s">
        <v>9218</v>
      </c>
      <c r="J2955" s="468" t="s">
        <v>9219</v>
      </c>
      <c r="K2955" s="468" t="s">
        <v>9219</v>
      </c>
      <c r="L2955" s="468" t="s">
        <v>2354</v>
      </c>
    </row>
    <row r="2956" spans="1:12" x14ac:dyDescent="0.25">
      <c r="A2956" s="468" t="s">
        <v>220</v>
      </c>
      <c r="B2956" s="468" t="s">
        <v>5430</v>
      </c>
      <c r="C2956" s="468" t="s">
        <v>5897</v>
      </c>
      <c r="D2956" s="468" t="s">
        <v>5898</v>
      </c>
      <c r="F2956" s="470">
        <v>6</v>
      </c>
      <c r="G2956" s="468">
        <v>10.143000000000001</v>
      </c>
      <c r="H2956" s="479">
        <v>60.858000000000004</v>
      </c>
      <c r="I2956" s="468" t="s">
        <v>9218</v>
      </c>
      <c r="J2956" s="468" t="s">
        <v>9219</v>
      </c>
      <c r="K2956" s="468" t="s">
        <v>9219</v>
      </c>
      <c r="L2956" s="468" t="s">
        <v>2354</v>
      </c>
    </row>
    <row r="2957" spans="1:12" x14ac:dyDescent="0.25">
      <c r="A2957" s="468" t="s">
        <v>220</v>
      </c>
      <c r="B2957" s="468" t="s">
        <v>5430</v>
      </c>
      <c r="C2957" s="468" t="s">
        <v>5899</v>
      </c>
      <c r="D2957" s="468" t="s">
        <v>5900</v>
      </c>
      <c r="F2957" s="470">
        <v>5</v>
      </c>
      <c r="G2957" s="468">
        <v>6.75</v>
      </c>
      <c r="H2957" s="479">
        <v>33.75</v>
      </c>
      <c r="I2957" s="468" t="s">
        <v>9218</v>
      </c>
      <c r="J2957" s="468" t="s">
        <v>9219</v>
      </c>
      <c r="K2957" s="468" t="s">
        <v>9219</v>
      </c>
      <c r="L2957" s="468" t="s">
        <v>2354</v>
      </c>
    </row>
    <row r="2958" spans="1:12" x14ac:dyDescent="0.25">
      <c r="A2958" s="468" t="s">
        <v>220</v>
      </c>
      <c r="B2958" s="468" t="s">
        <v>5430</v>
      </c>
      <c r="C2958" s="468" t="s">
        <v>7980</v>
      </c>
      <c r="D2958" s="468" t="s">
        <v>7981</v>
      </c>
      <c r="F2958" s="470">
        <v>3</v>
      </c>
      <c r="G2958" s="468">
        <v>15.587999999999999</v>
      </c>
      <c r="H2958" s="479">
        <v>46.763999999999996</v>
      </c>
      <c r="I2958" s="468" t="s">
        <v>9218</v>
      </c>
      <c r="J2958" s="468" t="s">
        <v>9219</v>
      </c>
      <c r="K2958" s="468" t="s">
        <v>9219</v>
      </c>
      <c r="L2958" s="468" t="s">
        <v>2354</v>
      </c>
    </row>
    <row r="2959" spans="1:12" x14ac:dyDescent="0.25">
      <c r="A2959" s="468" t="s">
        <v>220</v>
      </c>
      <c r="B2959" s="468" t="s">
        <v>5430</v>
      </c>
      <c r="C2959" s="468" t="s">
        <v>5903</v>
      </c>
      <c r="D2959" s="468" t="s">
        <v>5904</v>
      </c>
      <c r="F2959" s="470">
        <v>22</v>
      </c>
      <c r="G2959" s="468">
        <v>10.143000000000001</v>
      </c>
      <c r="H2959" s="479">
        <v>223.14600000000002</v>
      </c>
      <c r="I2959" s="468" t="s">
        <v>9218</v>
      </c>
      <c r="J2959" s="468" t="s">
        <v>9219</v>
      </c>
      <c r="K2959" s="468" t="s">
        <v>9219</v>
      </c>
      <c r="L2959" s="468" t="s">
        <v>2354</v>
      </c>
    </row>
    <row r="2960" spans="1:12" x14ac:dyDescent="0.25">
      <c r="A2960" s="468" t="s">
        <v>220</v>
      </c>
      <c r="B2960" s="468" t="s">
        <v>5430</v>
      </c>
      <c r="C2960" s="468" t="s">
        <v>2926</v>
      </c>
      <c r="D2960" s="468" t="s">
        <v>2927</v>
      </c>
      <c r="F2960" s="470">
        <v>1</v>
      </c>
      <c r="G2960" s="468">
        <v>7.5839999999999996</v>
      </c>
      <c r="H2960" s="479">
        <v>7.5839999999999996</v>
      </c>
      <c r="I2960" s="468" t="s">
        <v>9218</v>
      </c>
      <c r="J2960" s="468" t="s">
        <v>9219</v>
      </c>
      <c r="K2960" s="468" t="s">
        <v>9219</v>
      </c>
      <c r="L2960" s="468" t="s">
        <v>2354</v>
      </c>
    </row>
    <row r="2961" spans="1:12" x14ac:dyDescent="0.25">
      <c r="A2961" s="468" t="s">
        <v>220</v>
      </c>
      <c r="B2961" s="468" t="s">
        <v>5430</v>
      </c>
      <c r="C2961" s="468" t="s">
        <v>5905</v>
      </c>
      <c r="D2961" s="468" t="s">
        <v>5906</v>
      </c>
      <c r="F2961" s="470">
        <v>5</v>
      </c>
      <c r="G2961" s="468">
        <v>5.2350000000000003</v>
      </c>
      <c r="H2961" s="479">
        <v>26.175000000000001</v>
      </c>
      <c r="I2961" s="468" t="s">
        <v>9218</v>
      </c>
      <c r="J2961" s="468" t="s">
        <v>9219</v>
      </c>
      <c r="K2961" s="468" t="s">
        <v>9219</v>
      </c>
      <c r="L2961" s="468" t="s">
        <v>2354</v>
      </c>
    </row>
    <row r="2962" spans="1:12" x14ac:dyDescent="0.25">
      <c r="A2962" s="468" t="s">
        <v>220</v>
      </c>
      <c r="B2962" s="468" t="s">
        <v>5430</v>
      </c>
      <c r="C2962" s="468" t="s">
        <v>2934</v>
      </c>
      <c r="D2962" s="468" t="s">
        <v>2935</v>
      </c>
      <c r="F2962" s="470">
        <v>2</v>
      </c>
      <c r="G2962" s="468">
        <v>25.233000000000001</v>
      </c>
      <c r="H2962" s="479">
        <v>50.466000000000001</v>
      </c>
      <c r="I2962" s="468" t="s">
        <v>9218</v>
      </c>
      <c r="J2962" s="468" t="s">
        <v>9219</v>
      </c>
      <c r="K2962" s="468" t="s">
        <v>9219</v>
      </c>
      <c r="L2962" s="468" t="s">
        <v>2354</v>
      </c>
    </row>
    <row r="2963" spans="1:12" x14ac:dyDescent="0.25">
      <c r="A2963" s="468" t="s">
        <v>220</v>
      </c>
      <c r="B2963" s="468" t="s">
        <v>5430</v>
      </c>
      <c r="C2963" s="468" t="s">
        <v>5907</v>
      </c>
      <c r="D2963" s="468" t="s">
        <v>5908</v>
      </c>
      <c r="F2963" s="470">
        <v>3</v>
      </c>
      <c r="G2963" s="468">
        <v>10.143000000000001</v>
      </c>
      <c r="H2963" s="479">
        <v>30.429000000000002</v>
      </c>
      <c r="I2963" s="468" t="s">
        <v>9218</v>
      </c>
      <c r="J2963" s="468" t="s">
        <v>9219</v>
      </c>
      <c r="K2963" s="468" t="s">
        <v>9219</v>
      </c>
      <c r="L2963" s="468" t="s">
        <v>2354</v>
      </c>
    </row>
    <row r="2964" spans="1:12" x14ac:dyDescent="0.25">
      <c r="A2964" s="468" t="s">
        <v>220</v>
      </c>
      <c r="B2964" s="468" t="s">
        <v>5430</v>
      </c>
      <c r="C2964" s="468" t="s">
        <v>5909</v>
      </c>
      <c r="D2964" s="468" t="s">
        <v>5910</v>
      </c>
      <c r="F2964" s="470">
        <v>2</v>
      </c>
      <c r="G2964" s="468">
        <v>10.143000000000001</v>
      </c>
      <c r="H2964" s="479">
        <v>20.286000000000001</v>
      </c>
      <c r="I2964" s="468" t="s">
        <v>9218</v>
      </c>
      <c r="J2964" s="468" t="s">
        <v>9219</v>
      </c>
      <c r="K2964" s="468" t="s">
        <v>9219</v>
      </c>
      <c r="L2964" s="468" t="s">
        <v>2354</v>
      </c>
    </row>
    <row r="2965" spans="1:12" x14ac:dyDescent="0.25">
      <c r="A2965" s="468" t="s">
        <v>220</v>
      </c>
      <c r="B2965" s="468" t="s">
        <v>5430</v>
      </c>
      <c r="C2965" s="468" t="s">
        <v>5911</v>
      </c>
      <c r="D2965" s="468" t="s">
        <v>7982</v>
      </c>
      <c r="F2965" s="470">
        <v>4</v>
      </c>
      <c r="G2965" s="468">
        <v>43.07</v>
      </c>
      <c r="H2965" s="479">
        <v>172.28</v>
      </c>
      <c r="I2965" s="468" t="s">
        <v>9218</v>
      </c>
      <c r="J2965" s="468" t="s">
        <v>9219</v>
      </c>
      <c r="K2965" s="468" t="s">
        <v>9219</v>
      </c>
      <c r="L2965" s="468" t="s">
        <v>2354</v>
      </c>
    </row>
    <row r="2966" spans="1:12" x14ac:dyDescent="0.25">
      <c r="A2966" s="468" t="s">
        <v>220</v>
      </c>
      <c r="B2966" s="468" t="s">
        <v>5430</v>
      </c>
      <c r="C2966" s="468" t="s">
        <v>5913</v>
      </c>
      <c r="D2966" s="468" t="s">
        <v>7983</v>
      </c>
      <c r="F2966" s="470">
        <v>10</v>
      </c>
      <c r="G2966" s="468">
        <v>26.96</v>
      </c>
      <c r="H2966" s="479">
        <v>269.60000000000002</v>
      </c>
      <c r="I2966" s="468" t="s">
        <v>9218</v>
      </c>
      <c r="J2966" s="468" t="s">
        <v>9219</v>
      </c>
      <c r="K2966" s="468" t="s">
        <v>9219</v>
      </c>
      <c r="L2966" s="468" t="s">
        <v>2354</v>
      </c>
    </row>
    <row r="2967" spans="1:12" x14ac:dyDescent="0.25">
      <c r="A2967" s="468" t="s">
        <v>220</v>
      </c>
      <c r="B2967" s="468" t="s">
        <v>5430</v>
      </c>
      <c r="C2967" s="468" t="s">
        <v>5915</v>
      </c>
      <c r="D2967" s="468" t="s">
        <v>7984</v>
      </c>
      <c r="E2967" s="468" t="s">
        <v>545</v>
      </c>
      <c r="F2967" s="470">
        <v>4</v>
      </c>
      <c r="G2967" s="468">
        <v>5.7370000000000001</v>
      </c>
      <c r="H2967" s="479">
        <v>22.948</v>
      </c>
      <c r="I2967" s="468" t="s">
        <v>9218</v>
      </c>
      <c r="J2967" s="468" t="s">
        <v>9219</v>
      </c>
      <c r="K2967" s="468" t="s">
        <v>9219</v>
      </c>
      <c r="L2967" s="468" t="s">
        <v>2354</v>
      </c>
    </row>
    <row r="2968" spans="1:12" x14ac:dyDescent="0.25">
      <c r="A2968" s="468" t="s">
        <v>220</v>
      </c>
      <c r="B2968" s="468" t="s">
        <v>5430</v>
      </c>
      <c r="C2968" s="468" t="s">
        <v>5917</v>
      </c>
      <c r="D2968" s="468" t="s">
        <v>7985</v>
      </c>
      <c r="F2968" s="470">
        <v>1</v>
      </c>
      <c r="G2968" s="468">
        <v>5.58</v>
      </c>
      <c r="H2968" s="479">
        <v>5.58</v>
      </c>
      <c r="I2968" s="468" t="s">
        <v>9218</v>
      </c>
      <c r="J2968" s="468" t="s">
        <v>9219</v>
      </c>
      <c r="K2968" s="468" t="s">
        <v>9219</v>
      </c>
      <c r="L2968" s="468" t="s">
        <v>2354</v>
      </c>
    </row>
    <row r="2969" spans="1:12" x14ac:dyDescent="0.25">
      <c r="A2969" s="468" t="s">
        <v>220</v>
      </c>
      <c r="B2969" s="468" t="s">
        <v>5430</v>
      </c>
      <c r="C2969" s="468" t="s">
        <v>5919</v>
      </c>
      <c r="D2969" s="468" t="s">
        <v>7986</v>
      </c>
      <c r="F2969" s="470">
        <v>3</v>
      </c>
      <c r="G2969" s="468">
        <v>9.57</v>
      </c>
      <c r="H2969" s="479">
        <v>28.71</v>
      </c>
      <c r="I2969" s="468" t="s">
        <v>9218</v>
      </c>
      <c r="J2969" s="468" t="s">
        <v>9219</v>
      </c>
      <c r="K2969" s="468" t="s">
        <v>9219</v>
      </c>
      <c r="L2969" s="468" t="s">
        <v>2354</v>
      </c>
    </row>
    <row r="2970" spans="1:12" x14ac:dyDescent="0.25">
      <c r="A2970" s="468" t="s">
        <v>220</v>
      </c>
      <c r="B2970" s="468" t="s">
        <v>5430</v>
      </c>
      <c r="C2970" s="468" t="s">
        <v>5921</v>
      </c>
      <c r="D2970" s="468" t="s">
        <v>7987</v>
      </c>
      <c r="F2970" s="470">
        <v>1</v>
      </c>
      <c r="G2970" s="468">
        <v>10.917999999999999</v>
      </c>
      <c r="H2970" s="479">
        <v>10.917999999999999</v>
      </c>
      <c r="I2970" s="468" t="s">
        <v>9218</v>
      </c>
      <c r="J2970" s="468" t="s">
        <v>9219</v>
      </c>
      <c r="K2970" s="468" t="s">
        <v>9219</v>
      </c>
      <c r="L2970" s="468" t="s">
        <v>2354</v>
      </c>
    </row>
    <row r="2971" spans="1:12" x14ac:dyDescent="0.25">
      <c r="A2971" s="468" t="s">
        <v>220</v>
      </c>
      <c r="B2971" s="468" t="s">
        <v>5430</v>
      </c>
      <c r="C2971" s="468" t="s">
        <v>5923</v>
      </c>
      <c r="D2971" s="468" t="s">
        <v>7988</v>
      </c>
      <c r="E2971" s="468" t="s">
        <v>545</v>
      </c>
      <c r="F2971" s="470">
        <v>4</v>
      </c>
      <c r="G2971" s="468">
        <v>4.1040000000000001</v>
      </c>
      <c r="H2971" s="479">
        <v>16.416</v>
      </c>
      <c r="I2971" s="468" t="s">
        <v>9218</v>
      </c>
      <c r="J2971" s="468" t="s">
        <v>9219</v>
      </c>
      <c r="K2971" s="468" t="s">
        <v>9219</v>
      </c>
      <c r="L2971" s="468" t="s">
        <v>2354</v>
      </c>
    </row>
    <row r="2972" spans="1:12" x14ac:dyDescent="0.25">
      <c r="A2972" s="468" t="s">
        <v>220</v>
      </c>
      <c r="B2972" s="468" t="s">
        <v>5430</v>
      </c>
      <c r="C2972" s="468" t="s">
        <v>5925</v>
      </c>
      <c r="D2972" s="468" t="s">
        <v>7989</v>
      </c>
      <c r="E2972" s="468" t="s">
        <v>545</v>
      </c>
      <c r="F2972" s="470">
        <v>2</v>
      </c>
      <c r="G2972" s="468">
        <v>6.9989999999999997</v>
      </c>
      <c r="H2972" s="479">
        <v>13.997999999999999</v>
      </c>
      <c r="I2972" s="468" t="s">
        <v>9218</v>
      </c>
      <c r="J2972" s="468" t="s">
        <v>9219</v>
      </c>
      <c r="K2972" s="468" t="s">
        <v>9219</v>
      </c>
      <c r="L2972" s="468" t="s">
        <v>2354</v>
      </c>
    </row>
    <row r="2973" spans="1:12" x14ac:dyDescent="0.25">
      <c r="A2973" s="468" t="s">
        <v>220</v>
      </c>
      <c r="B2973" s="468" t="s">
        <v>5430</v>
      </c>
      <c r="C2973" s="468" t="s">
        <v>5927</v>
      </c>
      <c r="D2973" s="468" t="s">
        <v>7990</v>
      </c>
      <c r="F2973" s="470">
        <v>1</v>
      </c>
      <c r="G2973" s="468">
        <v>44.609000000000002</v>
      </c>
      <c r="H2973" s="479">
        <v>44.609000000000002</v>
      </c>
      <c r="I2973" s="468" t="s">
        <v>9218</v>
      </c>
      <c r="J2973" s="468" t="s">
        <v>9219</v>
      </c>
      <c r="K2973" s="468" t="s">
        <v>9219</v>
      </c>
      <c r="L2973" s="468" t="s">
        <v>2354</v>
      </c>
    </row>
    <row r="2974" spans="1:12" x14ac:dyDescent="0.25">
      <c r="A2974" s="468" t="s">
        <v>220</v>
      </c>
      <c r="B2974" s="468" t="s">
        <v>5430</v>
      </c>
      <c r="C2974" s="468" t="s">
        <v>5929</v>
      </c>
      <c r="D2974" s="468" t="s">
        <v>5930</v>
      </c>
      <c r="F2974" s="470">
        <v>4</v>
      </c>
      <c r="G2974" s="468">
        <v>3.7530000000000001</v>
      </c>
      <c r="H2974" s="479">
        <v>15.012</v>
      </c>
      <c r="I2974" s="468" t="s">
        <v>9218</v>
      </c>
      <c r="J2974" s="468" t="s">
        <v>9219</v>
      </c>
      <c r="K2974" s="468" t="s">
        <v>9219</v>
      </c>
      <c r="L2974" s="468" t="s">
        <v>2354</v>
      </c>
    </row>
    <row r="2975" spans="1:12" x14ac:dyDescent="0.25">
      <c r="A2975" s="468" t="s">
        <v>220</v>
      </c>
      <c r="B2975" s="468" t="s">
        <v>5430</v>
      </c>
      <c r="C2975" s="468" t="s">
        <v>5931</v>
      </c>
      <c r="D2975" s="468" t="s">
        <v>7991</v>
      </c>
      <c r="F2975" s="470">
        <v>5</v>
      </c>
      <c r="G2975" s="468">
        <v>13.048</v>
      </c>
      <c r="H2975" s="479">
        <v>65.239999999999995</v>
      </c>
      <c r="I2975" s="468" t="s">
        <v>9218</v>
      </c>
      <c r="J2975" s="468" t="s">
        <v>9219</v>
      </c>
      <c r="K2975" s="468" t="s">
        <v>9219</v>
      </c>
      <c r="L2975" s="468" t="s">
        <v>2354</v>
      </c>
    </row>
    <row r="2976" spans="1:12" x14ac:dyDescent="0.25">
      <c r="A2976" s="468" t="s">
        <v>220</v>
      </c>
      <c r="B2976" s="468" t="s">
        <v>5430</v>
      </c>
      <c r="C2976" s="468" t="s">
        <v>5933</v>
      </c>
      <c r="D2976" s="468" t="s">
        <v>7992</v>
      </c>
      <c r="F2976" s="470">
        <v>5</v>
      </c>
      <c r="G2976" s="468">
        <v>10.901999999999999</v>
      </c>
      <c r="H2976" s="479">
        <v>54.51</v>
      </c>
      <c r="I2976" s="468" t="s">
        <v>9218</v>
      </c>
      <c r="J2976" s="468" t="s">
        <v>9219</v>
      </c>
      <c r="K2976" s="468" t="s">
        <v>9219</v>
      </c>
      <c r="L2976" s="468" t="s">
        <v>2354</v>
      </c>
    </row>
    <row r="2977" spans="1:12" x14ac:dyDescent="0.25">
      <c r="A2977" s="468" t="s">
        <v>220</v>
      </c>
      <c r="B2977" s="468" t="s">
        <v>5430</v>
      </c>
      <c r="C2977" s="468" t="s">
        <v>5935</v>
      </c>
      <c r="D2977" s="468" t="s">
        <v>7993</v>
      </c>
      <c r="F2977" s="470">
        <v>3</v>
      </c>
      <c r="G2977" s="468">
        <v>8.2460000000000004</v>
      </c>
      <c r="H2977" s="479">
        <v>24.738</v>
      </c>
      <c r="I2977" s="468" t="s">
        <v>9218</v>
      </c>
      <c r="J2977" s="468" t="s">
        <v>9219</v>
      </c>
      <c r="K2977" s="468" t="s">
        <v>9219</v>
      </c>
      <c r="L2977" s="468" t="s">
        <v>2354</v>
      </c>
    </row>
    <row r="2978" spans="1:12" x14ac:dyDescent="0.25">
      <c r="A2978" s="468" t="s">
        <v>220</v>
      </c>
      <c r="B2978" s="468" t="s">
        <v>5430</v>
      </c>
      <c r="C2978" s="468" t="s">
        <v>5937</v>
      </c>
      <c r="D2978" s="468" t="s">
        <v>7994</v>
      </c>
      <c r="F2978" s="470">
        <v>1</v>
      </c>
      <c r="G2978" s="468">
        <v>4.05</v>
      </c>
      <c r="H2978" s="479">
        <v>4.05</v>
      </c>
      <c r="I2978" s="468" t="s">
        <v>9218</v>
      </c>
      <c r="J2978" s="468" t="s">
        <v>9219</v>
      </c>
      <c r="K2978" s="468" t="s">
        <v>9219</v>
      </c>
      <c r="L2978" s="468" t="s">
        <v>2354</v>
      </c>
    </row>
    <row r="2979" spans="1:12" x14ac:dyDescent="0.25">
      <c r="A2979" s="468" t="s">
        <v>220</v>
      </c>
      <c r="B2979" s="468" t="s">
        <v>5430</v>
      </c>
      <c r="C2979" s="468" t="s">
        <v>5939</v>
      </c>
      <c r="D2979" s="468" t="s">
        <v>7995</v>
      </c>
      <c r="F2979" s="470">
        <v>1</v>
      </c>
      <c r="G2979" s="468">
        <v>20.411999999999999</v>
      </c>
      <c r="H2979" s="479">
        <v>20.411999999999999</v>
      </c>
      <c r="I2979" s="468" t="s">
        <v>9218</v>
      </c>
      <c r="J2979" s="468" t="s">
        <v>9219</v>
      </c>
      <c r="K2979" s="468" t="s">
        <v>9219</v>
      </c>
      <c r="L2979" s="468" t="s">
        <v>2354</v>
      </c>
    </row>
    <row r="2980" spans="1:12" x14ac:dyDescent="0.25">
      <c r="A2980" s="468" t="s">
        <v>220</v>
      </c>
      <c r="B2980" s="468" t="s">
        <v>5430</v>
      </c>
      <c r="C2980" s="468" t="s">
        <v>5941</v>
      </c>
      <c r="D2980" s="468" t="s">
        <v>7996</v>
      </c>
      <c r="F2980" s="470">
        <v>6</v>
      </c>
      <c r="G2980" s="468">
        <v>3.927</v>
      </c>
      <c r="H2980" s="479">
        <v>23.562000000000001</v>
      </c>
      <c r="I2980" s="468" t="s">
        <v>9218</v>
      </c>
      <c r="J2980" s="468" t="s">
        <v>9219</v>
      </c>
      <c r="K2980" s="468" t="s">
        <v>9219</v>
      </c>
      <c r="L2980" s="468" t="s">
        <v>2354</v>
      </c>
    </row>
    <row r="2981" spans="1:12" x14ac:dyDescent="0.25">
      <c r="A2981" s="468" t="s">
        <v>220</v>
      </c>
      <c r="B2981" s="468" t="s">
        <v>5430</v>
      </c>
      <c r="C2981" s="468" t="s">
        <v>5943</v>
      </c>
      <c r="D2981" s="468" t="s">
        <v>7997</v>
      </c>
      <c r="F2981" s="470">
        <v>12</v>
      </c>
      <c r="G2981" s="468">
        <v>15.744</v>
      </c>
      <c r="H2981" s="479">
        <v>188.928</v>
      </c>
      <c r="I2981" s="468" t="s">
        <v>9218</v>
      </c>
      <c r="J2981" s="468" t="s">
        <v>9219</v>
      </c>
      <c r="K2981" s="468" t="s">
        <v>9219</v>
      </c>
      <c r="L2981" s="468" t="s">
        <v>2354</v>
      </c>
    </row>
    <row r="2982" spans="1:12" x14ac:dyDescent="0.25">
      <c r="A2982" s="468" t="s">
        <v>220</v>
      </c>
      <c r="B2982" s="468" t="s">
        <v>5430</v>
      </c>
      <c r="C2982" s="468" t="s">
        <v>5945</v>
      </c>
      <c r="D2982" s="468" t="s">
        <v>5946</v>
      </c>
      <c r="F2982" s="470">
        <v>6</v>
      </c>
      <c r="G2982" s="468">
        <v>31.013999999999999</v>
      </c>
      <c r="H2982" s="479">
        <v>186.084</v>
      </c>
      <c r="I2982" s="468" t="s">
        <v>9218</v>
      </c>
      <c r="J2982" s="468" t="s">
        <v>9219</v>
      </c>
      <c r="K2982" s="468" t="s">
        <v>9219</v>
      </c>
      <c r="L2982" s="468" t="s">
        <v>2354</v>
      </c>
    </row>
    <row r="2983" spans="1:12" x14ac:dyDescent="0.25">
      <c r="A2983" s="468" t="s">
        <v>220</v>
      </c>
      <c r="B2983" s="468" t="s">
        <v>5430</v>
      </c>
      <c r="C2983" s="468" t="s">
        <v>2956</v>
      </c>
      <c r="D2983" s="468" t="s">
        <v>2957</v>
      </c>
      <c r="F2983" s="470">
        <v>1</v>
      </c>
      <c r="G2983" s="468">
        <v>32.926000000000002</v>
      </c>
      <c r="H2983" s="479">
        <v>32.926000000000002</v>
      </c>
      <c r="I2983" s="468" t="s">
        <v>9218</v>
      </c>
      <c r="J2983" s="468" t="s">
        <v>9219</v>
      </c>
      <c r="K2983" s="468" t="s">
        <v>9219</v>
      </c>
      <c r="L2983" s="468" t="s">
        <v>2354</v>
      </c>
    </row>
    <row r="2984" spans="1:12" x14ac:dyDescent="0.25">
      <c r="A2984" s="468" t="s">
        <v>220</v>
      </c>
      <c r="B2984" s="468" t="s">
        <v>5430</v>
      </c>
      <c r="C2984" s="468" t="s">
        <v>5947</v>
      </c>
      <c r="D2984" s="468" t="s">
        <v>7998</v>
      </c>
      <c r="F2984" s="470">
        <v>2</v>
      </c>
      <c r="G2984" s="468">
        <v>59.164999999999999</v>
      </c>
      <c r="H2984" s="479">
        <v>118.33</v>
      </c>
      <c r="I2984" s="468" t="s">
        <v>9218</v>
      </c>
      <c r="J2984" s="468" t="s">
        <v>9219</v>
      </c>
      <c r="K2984" s="468" t="s">
        <v>9219</v>
      </c>
      <c r="L2984" s="468" t="s">
        <v>2354</v>
      </c>
    </row>
    <row r="2985" spans="1:12" x14ac:dyDescent="0.25">
      <c r="A2985" s="468" t="s">
        <v>220</v>
      </c>
      <c r="B2985" s="468" t="s">
        <v>5430</v>
      </c>
      <c r="C2985" s="468" t="s">
        <v>5949</v>
      </c>
      <c r="D2985" s="468" t="s">
        <v>7999</v>
      </c>
      <c r="F2985" s="470">
        <v>8</v>
      </c>
      <c r="G2985" s="468">
        <v>19.135999999999999</v>
      </c>
      <c r="H2985" s="479">
        <v>153.08799999999999</v>
      </c>
      <c r="I2985" s="468" t="s">
        <v>9218</v>
      </c>
      <c r="J2985" s="468" t="s">
        <v>9219</v>
      </c>
      <c r="K2985" s="468" t="s">
        <v>9219</v>
      </c>
      <c r="L2985" s="468" t="s">
        <v>2354</v>
      </c>
    </row>
    <row r="2986" spans="1:12" x14ac:dyDescent="0.25">
      <c r="A2986" s="468" t="s">
        <v>220</v>
      </c>
      <c r="B2986" s="468" t="s">
        <v>5430</v>
      </c>
      <c r="C2986" s="468" t="s">
        <v>5951</v>
      </c>
      <c r="D2986" s="468" t="s">
        <v>5952</v>
      </c>
      <c r="F2986" s="470">
        <v>1</v>
      </c>
      <c r="G2986" s="468">
        <v>13.86</v>
      </c>
      <c r="H2986" s="479">
        <v>13.86</v>
      </c>
      <c r="I2986" s="468" t="s">
        <v>9218</v>
      </c>
      <c r="J2986" s="468" t="s">
        <v>9219</v>
      </c>
      <c r="K2986" s="468" t="s">
        <v>9219</v>
      </c>
      <c r="L2986" s="468" t="s">
        <v>2354</v>
      </c>
    </row>
    <row r="2987" spans="1:12" x14ac:dyDescent="0.25">
      <c r="A2987" s="468" t="s">
        <v>220</v>
      </c>
      <c r="B2987" s="468" t="s">
        <v>5430</v>
      </c>
      <c r="C2987" s="468" t="s">
        <v>5953</v>
      </c>
      <c r="D2987" s="468" t="s">
        <v>5954</v>
      </c>
      <c r="F2987" s="470">
        <v>2</v>
      </c>
      <c r="G2987" s="468">
        <v>15.013999999999999</v>
      </c>
      <c r="H2987" s="479">
        <v>30.027999999999999</v>
      </c>
      <c r="I2987" s="468" t="s">
        <v>9218</v>
      </c>
      <c r="J2987" s="468" t="s">
        <v>9219</v>
      </c>
      <c r="K2987" s="468" t="s">
        <v>9219</v>
      </c>
      <c r="L2987" s="468" t="s">
        <v>2354</v>
      </c>
    </row>
    <row r="2988" spans="1:12" x14ac:dyDescent="0.25">
      <c r="A2988" s="468" t="s">
        <v>220</v>
      </c>
      <c r="B2988" s="468" t="s">
        <v>5430</v>
      </c>
      <c r="C2988" s="468" t="s">
        <v>5955</v>
      </c>
      <c r="D2988" s="468" t="s">
        <v>8000</v>
      </c>
      <c r="F2988" s="470">
        <v>4</v>
      </c>
      <c r="G2988" s="468">
        <v>25.212</v>
      </c>
      <c r="H2988" s="479">
        <v>100.848</v>
      </c>
      <c r="I2988" s="468" t="s">
        <v>9218</v>
      </c>
      <c r="J2988" s="468" t="s">
        <v>9219</v>
      </c>
      <c r="K2988" s="468" t="s">
        <v>9219</v>
      </c>
      <c r="L2988" s="468" t="s">
        <v>2354</v>
      </c>
    </row>
    <row r="2989" spans="1:12" x14ac:dyDescent="0.25">
      <c r="A2989" s="468" t="s">
        <v>220</v>
      </c>
      <c r="B2989" s="468" t="s">
        <v>5430</v>
      </c>
      <c r="C2989" s="468" t="s">
        <v>5957</v>
      </c>
      <c r="D2989" s="468" t="s">
        <v>8001</v>
      </c>
      <c r="F2989" s="470">
        <v>3</v>
      </c>
      <c r="G2989" s="468">
        <v>25.212</v>
      </c>
      <c r="H2989" s="479">
        <v>75.635999999999996</v>
      </c>
      <c r="I2989" s="468" t="s">
        <v>9218</v>
      </c>
      <c r="J2989" s="468" t="s">
        <v>9219</v>
      </c>
      <c r="K2989" s="468" t="s">
        <v>9219</v>
      </c>
      <c r="L2989" s="468" t="s">
        <v>2354</v>
      </c>
    </row>
    <row r="2990" spans="1:12" x14ac:dyDescent="0.25">
      <c r="A2990" s="468" t="s">
        <v>220</v>
      </c>
      <c r="B2990" s="468" t="s">
        <v>5430</v>
      </c>
      <c r="C2990" s="468" t="s">
        <v>5959</v>
      </c>
      <c r="D2990" s="468" t="s">
        <v>8002</v>
      </c>
      <c r="F2990" s="470">
        <v>6</v>
      </c>
      <c r="G2990" s="468">
        <v>25.212</v>
      </c>
      <c r="H2990" s="479">
        <v>151.27199999999999</v>
      </c>
      <c r="I2990" s="468" t="s">
        <v>9218</v>
      </c>
      <c r="J2990" s="468" t="s">
        <v>9219</v>
      </c>
      <c r="K2990" s="468" t="s">
        <v>9219</v>
      </c>
      <c r="L2990" s="468" t="s">
        <v>2354</v>
      </c>
    </row>
    <row r="2991" spans="1:12" x14ac:dyDescent="0.25">
      <c r="A2991" s="468" t="s">
        <v>220</v>
      </c>
      <c r="B2991" s="468" t="s">
        <v>5430</v>
      </c>
      <c r="C2991" s="468" t="s">
        <v>5961</v>
      </c>
      <c r="D2991" s="468" t="s">
        <v>8003</v>
      </c>
      <c r="F2991" s="470">
        <v>6</v>
      </c>
      <c r="G2991" s="468">
        <v>25.212</v>
      </c>
      <c r="H2991" s="479">
        <v>151.27199999999999</v>
      </c>
      <c r="I2991" s="468" t="s">
        <v>9218</v>
      </c>
      <c r="J2991" s="468" t="s">
        <v>9219</v>
      </c>
      <c r="K2991" s="468" t="s">
        <v>9219</v>
      </c>
      <c r="L2991" s="468" t="s">
        <v>2354</v>
      </c>
    </row>
    <row r="2992" spans="1:12" x14ac:dyDescent="0.25">
      <c r="A2992" s="468" t="s">
        <v>220</v>
      </c>
      <c r="B2992" s="468" t="s">
        <v>5430</v>
      </c>
      <c r="C2992" s="468" t="s">
        <v>8004</v>
      </c>
      <c r="D2992" s="468" t="s">
        <v>8005</v>
      </c>
      <c r="F2992" s="470">
        <v>10</v>
      </c>
      <c r="G2992" s="468">
        <v>87.971000000000004</v>
      </c>
      <c r="H2992" s="479">
        <v>879.71</v>
      </c>
      <c r="I2992" s="468" t="s">
        <v>9218</v>
      </c>
      <c r="J2992" s="468" t="s">
        <v>9219</v>
      </c>
      <c r="K2992" s="468" t="s">
        <v>9219</v>
      </c>
      <c r="L2992" s="468" t="s">
        <v>2354</v>
      </c>
    </row>
    <row r="2993" spans="1:12" x14ac:dyDescent="0.25">
      <c r="A2993" s="468" t="s">
        <v>220</v>
      </c>
      <c r="B2993" s="468" t="s">
        <v>5430</v>
      </c>
      <c r="C2993" s="468" t="s">
        <v>5963</v>
      </c>
      <c r="D2993" s="468" t="s">
        <v>8006</v>
      </c>
      <c r="F2993" s="470">
        <v>3</v>
      </c>
      <c r="G2993" s="468">
        <v>25.974</v>
      </c>
      <c r="H2993" s="479">
        <v>77.921999999999997</v>
      </c>
      <c r="I2993" s="468" t="s">
        <v>9218</v>
      </c>
      <c r="J2993" s="468" t="s">
        <v>9219</v>
      </c>
      <c r="K2993" s="468" t="s">
        <v>9219</v>
      </c>
      <c r="L2993" s="468" t="s">
        <v>2354</v>
      </c>
    </row>
    <row r="2994" spans="1:12" x14ac:dyDescent="0.25">
      <c r="A2994" s="468" t="s">
        <v>220</v>
      </c>
      <c r="B2994" s="468" t="s">
        <v>5430</v>
      </c>
      <c r="C2994" s="468" t="s">
        <v>5965</v>
      </c>
      <c r="D2994" s="468" t="s">
        <v>8007</v>
      </c>
      <c r="F2994" s="470">
        <v>4</v>
      </c>
      <c r="G2994" s="468">
        <v>32.456000000000003</v>
      </c>
      <c r="H2994" s="479">
        <v>129.82400000000001</v>
      </c>
      <c r="I2994" s="468" t="s">
        <v>9218</v>
      </c>
      <c r="J2994" s="468" t="s">
        <v>9219</v>
      </c>
      <c r="K2994" s="468" t="s">
        <v>9219</v>
      </c>
      <c r="L2994" s="468" t="s">
        <v>2354</v>
      </c>
    </row>
    <row r="2995" spans="1:12" x14ac:dyDescent="0.25">
      <c r="A2995" s="468" t="s">
        <v>220</v>
      </c>
      <c r="B2995" s="468" t="s">
        <v>5430</v>
      </c>
      <c r="C2995" s="468" t="s">
        <v>5967</v>
      </c>
      <c r="D2995" s="468" t="s">
        <v>8008</v>
      </c>
      <c r="F2995" s="470">
        <v>2</v>
      </c>
      <c r="G2995" s="468">
        <v>25.212</v>
      </c>
      <c r="H2995" s="479">
        <v>50.423999999999999</v>
      </c>
      <c r="I2995" s="468" t="s">
        <v>9218</v>
      </c>
      <c r="J2995" s="468" t="s">
        <v>9219</v>
      </c>
      <c r="K2995" s="468" t="s">
        <v>9219</v>
      </c>
      <c r="L2995" s="468" t="s">
        <v>2354</v>
      </c>
    </row>
    <row r="2996" spans="1:12" x14ac:dyDescent="0.25">
      <c r="A2996" s="468" t="s">
        <v>220</v>
      </c>
      <c r="B2996" s="468" t="s">
        <v>5430</v>
      </c>
      <c r="C2996" s="468" t="s">
        <v>8009</v>
      </c>
      <c r="D2996" s="468" t="s">
        <v>8010</v>
      </c>
      <c r="F2996" s="470">
        <v>8</v>
      </c>
      <c r="G2996" s="468">
        <v>11.52</v>
      </c>
      <c r="H2996" s="479">
        <v>92.16</v>
      </c>
      <c r="I2996" s="468" t="s">
        <v>9218</v>
      </c>
      <c r="J2996" s="468" t="s">
        <v>9219</v>
      </c>
      <c r="K2996" s="468" t="s">
        <v>9219</v>
      </c>
      <c r="L2996" s="468" t="s">
        <v>2354</v>
      </c>
    </row>
    <row r="2997" spans="1:12" x14ac:dyDescent="0.25">
      <c r="A2997" s="468" t="s">
        <v>220</v>
      </c>
      <c r="B2997" s="468" t="s">
        <v>5430</v>
      </c>
      <c r="C2997" s="468" t="s">
        <v>8011</v>
      </c>
      <c r="D2997" s="468" t="s">
        <v>8012</v>
      </c>
      <c r="F2997" s="470">
        <v>3</v>
      </c>
      <c r="G2997" s="468">
        <v>235</v>
      </c>
      <c r="H2997" s="479">
        <v>705</v>
      </c>
      <c r="I2997" s="468" t="s">
        <v>9218</v>
      </c>
      <c r="J2997" s="468" t="s">
        <v>9219</v>
      </c>
      <c r="K2997" s="468" t="s">
        <v>9219</v>
      </c>
      <c r="L2997" s="468" t="s">
        <v>2354</v>
      </c>
    </row>
    <row r="2998" spans="1:12" x14ac:dyDescent="0.25">
      <c r="A2998" s="468" t="s">
        <v>220</v>
      </c>
      <c r="B2998" s="468" t="s">
        <v>5430</v>
      </c>
      <c r="C2998" s="468" t="s">
        <v>8013</v>
      </c>
      <c r="D2998" s="468" t="s">
        <v>8014</v>
      </c>
      <c r="F2998" s="470">
        <v>1</v>
      </c>
      <c r="G2998" s="468">
        <v>210</v>
      </c>
      <c r="H2998" s="479">
        <v>210</v>
      </c>
      <c r="I2998" s="468" t="s">
        <v>9218</v>
      </c>
      <c r="J2998" s="468" t="s">
        <v>9219</v>
      </c>
      <c r="K2998" s="468" t="s">
        <v>9219</v>
      </c>
      <c r="L2998" s="468" t="s">
        <v>2354</v>
      </c>
    </row>
    <row r="2999" spans="1:12" x14ac:dyDescent="0.25">
      <c r="A2999" s="468" t="s">
        <v>220</v>
      </c>
      <c r="B2999" s="468" t="s">
        <v>5430</v>
      </c>
      <c r="C2999" s="468" t="s">
        <v>5969</v>
      </c>
      <c r="D2999" s="468" t="s">
        <v>8015</v>
      </c>
      <c r="F2999" s="470">
        <v>4</v>
      </c>
      <c r="G2999" s="468">
        <v>27.608000000000001</v>
      </c>
      <c r="H2999" s="479">
        <v>110.432</v>
      </c>
      <c r="I2999" s="468" t="s">
        <v>9218</v>
      </c>
      <c r="J2999" s="468" t="s">
        <v>9219</v>
      </c>
      <c r="K2999" s="468" t="s">
        <v>9219</v>
      </c>
      <c r="L2999" s="468" t="s">
        <v>2354</v>
      </c>
    </row>
    <row r="3000" spans="1:12" x14ac:dyDescent="0.25">
      <c r="A3000" s="468" t="s">
        <v>220</v>
      </c>
      <c r="B3000" s="468" t="s">
        <v>5430</v>
      </c>
      <c r="C3000" s="468" t="s">
        <v>5971</v>
      </c>
      <c r="D3000" s="468" t="s">
        <v>8016</v>
      </c>
      <c r="F3000" s="470">
        <v>3</v>
      </c>
      <c r="G3000" s="468">
        <v>16.087</v>
      </c>
      <c r="H3000" s="479">
        <v>48.260999999999996</v>
      </c>
      <c r="I3000" s="468" t="s">
        <v>9218</v>
      </c>
      <c r="J3000" s="468" t="s">
        <v>9219</v>
      </c>
      <c r="K3000" s="468" t="s">
        <v>9219</v>
      </c>
      <c r="L3000" s="468" t="s">
        <v>2354</v>
      </c>
    </row>
    <row r="3001" spans="1:12" x14ac:dyDescent="0.25">
      <c r="A3001" s="468" t="s">
        <v>220</v>
      </c>
      <c r="B3001" s="468" t="s">
        <v>5430</v>
      </c>
      <c r="C3001" s="468" t="s">
        <v>5973</v>
      </c>
      <c r="D3001" s="468" t="s">
        <v>8017</v>
      </c>
      <c r="F3001" s="470">
        <v>3</v>
      </c>
      <c r="G3001" s="468">
        <v>43.1</v>
      </c>
      <c r="H3001" s="479">
        <v>129.30000000000001</v>
      </c>
      <c r="I3001" s="468" t="s">
        <v>9218</v>
      </c>
      <c r="J3001" s="468" t="s">
        <v>9219</v>
      </c>
      <c r="K3001" s="468" t="s">
        <v>9219</v>
      </c>
      <c r="L3001" s="468" t="s">
        <v>2354</v>
      </c>
    </row>
    <row r="3002" spans="1:12" x14ac:dyDescent="0.25">
      <c r="A3002" s="468" t="s">
        <v>220</v>
      </c>
      <c r="B3002" s="468" t="s">
        <v>5430</v>
      </c>
      <c r="C3002" s="468" t="s">
        <v>5975</v>
      </c>
      <c r="D3002" s="468" t="s">
        <v>8018</v>
      </c>
      <c r="F3002" s="470">
        <v>6</v>
      </c>
      <c r="G3002" s="468">
        <v>37.319000000000003</v>
      </c>
      <c r="H3002" s="479">
        <v>223.91400000000002</v>
      </c>
      <c r="I3002" s="468" t="s">
        <v>9218</v>
      </c>
      <c r="J3002" s="468" t="s">
        <v>9219</v>
      </c>
      <c r="K3002" s="468" t="s">
        <v>9219</v>
      </c>
      <c r="L3002" s="468" t="s">
        <v>2354</v>
      </c>
    </row>
    <row r="3003" spans="1:12" x14ac:dyDescent="0.25">
      <c r="A3003" s="468" t="s">
        <v>220</v>
      </c>
      <c r="B3003" s="468" t="s">
        <v>5430</v>
      </c>
      <c r="C3003" s="468" t="s">
        <v>5977</v>
      </c>
      <c r="D3003" s="468" t="s">
        <v>8019</v>
      </c>
      <c r="F3003" s="470">
        <v>2</v>
      </c>
      <c r="G3003" s="468">
        <v>42.73</v>
      </c>
      <c r="H3003" s="479">
        <v>85.46</v>
      </c>
      <c r="I3003" s="468" t="s">
        <v>9218</v>
      </c>
      <c r="J3003" s="468" t="s">
        <v>9219</v>
      </c>
      <c r="K3003" s="468" t="s">
        <v>9219</v>
      </c>
      <c r="L3003" s="468" t="s">
        <v>2354</v>
      </c>
    </row>
    <row r="3004" spans="1:12" x14ac:dyDescent="0.25">
      <c r="A3004" s="468" t="s">
        <v>220</v>
      </c>
      <c r="B3004" s="468" t="s">
        <v>5430</v>
      </c>
      <c r="C3004" s="468" t="s">
        <v>5979</v>
      </c>
      <c r="D3004" s="468" t="s">
        <v>5980</v>
      </c>
      <c r="F3004" s="470">
        <v>2</v>
      </c>
      <c r="G3004" s="468">
        <v>54.817999999999998</v>
      </c>
      <c r="H3004" s="479">
        <v>109.636</v>
      </c>
      <c r="I3004" s="468" t="s">
        <v>9218</v>
      </c>
      <c r="J3004" s="468" t="s">
        <v>9219</v>
      </c>
      <c r="K3004" s="468" t="s">
        <v>9219</v>
      </c>
      <c r="L3004" s="468" t="s">
        <v>2354</v>
      </c>
    </row>
    <row r="3005" spans="1:12" x14ac:dyDescent="0.25">
      <c r="A3005" s="468" t="s">
        <v>220</v>
      </c>
      <c r="B3005" s="468" t="s">
        <v>5430</v>
      </c>
      <c r="C3005" s="468" t="s">
        <v>5981</v>
      </c>
      <c r="D3005" s="468" t="s">
        <v>8020</v>
      </c>
      <c r="F3005" s="470">
        <v>3</v>
      </c>
      <c r="G3005" s="468">
        <v>67.524000000000001</v>
      </c>
      <c r="H3005" s="479">
        <v>202.572</v>
      </c>
      <c r="I3005" s="468" t="s">
        <v>9218</v>
      </c>
      <c r="J3005" s="468" t="s">
        <v>9219</v>
      </c>
      <c r="K3005" s="468" t="s">
        <v>9219</v>
      </c>
      <c r="L3005" s="468" t="s">
        <v>2354</v>
      </c>
    </row>
    <row r="3006" spans="1:12" x14ac:dyDescent="0.25">
      <c r="A3006" s="468" t="s">
        <v>220</v>
      </c>
      <c r="B3006" s="468" t="s">
        <v>5430</v>
      </c>
      <c r="C3006" s="468" t="s">
        <v>5983</v>
      </c>
      <c r="D3006" s="468" t="s">
        <v>8021</v>
      </c>
      <c r="F3006" s="470">
        <v>1</v>
      </c>
      <c r="G3006" s="468">
        <v>26.14</v>
      </c>
      <c r="H3006" s="479">
        <v>26.14</v>
      </c>
      <c r="I3006" s="468" t="s">
        <v>9218</v>
      </c>
      <c r="J3006" s="468" t="s">
        <v>9219</v>
      </c>
      <c r="K3006" s="468" t="s">
        <v>9219</v>
      </c>
      <c r="L3006" s="468" t="s">
        <v>2354</v>
      </c>
    </row>
    <row r="3007" spans="1:12" x14ac:dyDescent="0.25">
      <c r="A3007" s="468" t="s">
        <v>220</v>
      </c>
      <c r="B3007" s="468" t="s">
        <v>5430</v>
      </c>
      <c r="C3007" s="468" t="s">
        <v>5985</v>
      </c>
      <c r="D3007" s="468" t="s">
        <v>8022</v>
      </c>
      <c r="F3007" s="470">
        <v>4</v>
      </c>
      <c r="G3007" s="468">
        <v>23.4</v>
      </c>
      <c r="H3007" s="479">
        <v>93.6</v>
      </c>
      <c r="I3007" s="468" t="s">
        <v>9218</v>
      </c>
      <c r="J3007" s="468" t="s">
        <v>9219</v>
      </c>
      <c r="K3007" s="468" t="s">
        <v>9219</v>
      </c>
      <c r="L3007" s="468" t="s">
        <v>2354</v>
      </c>
    </row>
    <row r="3008" spans="1:12" x14ac:dyDescent="0.25">
      <c r="A3008" s="468" t="s">
        <v>220</v>
      </c>
      <c r="B3008" s="468" t="s">
        <v>5430</v>
      </c>
      <c r="C3008" s="468" t="s">
        <v>5987</v>
      </c>
      <c r="D3008" s="468" t="s">
        <v>8023</v>
      </c>
      <c r="F3008" s="470">
        <v>2</v>
      </c>
      <c r="G3008" s="468">
        <v>37.427999999999997</v>
      </c>
      <c r="H3008" s="479">
        <v>74.855999999999995</v>
      </c>
      <c r="I3008" s="468" t="s">
        <v>9218</v>
      </c>
      <c r="J3008" s="468" t="s">
        <v>9219</v>
      </c>
      <c r="K3008" s="468" t="s">
        <v>9219</v>
      </c>
      <c r="L3008" s="468" t="s">
        <v>2354</v>
      </c>
    </row>
    <row r="3009" spans="1:12" x14ac:dyDescent="0.25">
      <c r="A3009" s="468" t="s">
        <v>220</v>
      </c>
      <c r="B3009" s="468" t="s">
        <v>5430</v>
      </c>
      <c r="C3009" s="468" t="s">
        <v>5989</v>
      </c>
      <c r="D3009" s="468" t="s">
        <v>8024</v>
      </c>
      <c r="F3009" s="470">
        <v>1</v>
      </c>
      <c r="G3009" s="468">
        <v>230.006</v>
      </c>
      <c r="H3009" s="479">
        <v>230.006</v>
      </c>
      <c r="I3009" s="468" t="s">
        <v>9218</v>
      </c>
      <c r="J3009" s="468" t="s">
        <v>9219</v>
      </c>
      <c r="K3009" s="468" t="s">
        <v>9219</v>
      </c>
      <c r="L3009" s="468" t="s">
        <v>2354</v>
      </c>
    </row>
    <row r="3010" spans="1:12" x14ac:dyDescent="0.25">
      <c r="A3010" s="468" t="s">
        <v>220</v>
      </c>
      <c r="B3010" s="468" t="s">
        <v>5430</v>
      </c>
      <c r="C3010" s="468" t="s">
        <v>2996</v>
      </c>
      <c r="D3010" s="468" t="s">
        <v>8025</v>
      </c>
      <c r="F3010" s="470">
        <v>2</v>
      </c>
      <c r="G3010" s="468">
        <v>4.2149999999999999</v>
      </c>
      <c r="H3010" s="479">
        <v>8.43</v>
      </c>
      <c r="I3010" s="468" t="s">
        <v>9218</v>
      </c>
      <c r="J3010" s="468" t="s">
        <v>9219</v>
      </c>
      <c r="K3010" s="468" t="s">
        <v>9219</v>
      </c>
      <c r="L3010" s="468" t="s">
        <v>2354</v>
      </c>
    </row>
    <row r="3011" spans="1:12" x14ac:dyDescent="0.25">
      <c r="A3011" s="468" t="s">
        <v>220</v>
      </c>
      <c r="B3011" s="468" t="s">
        <v>5430</v>
      </c>
      <c r="C3011" s="468" t="s">
        <v>2383</v>
      </c>
      <c r="D3011" s="468" t="s">
        <v>8026</v>
      </c>
      <c r="F3011" s="470">
        <v>5</v>
      </c>
      <c r="G3011" s="468">
        <v>28.893000000000001</v>
      </c>
      <c r="H3011" s="479">
        <v>144.465</v>
      </c>
      <c r="I3011" s="468" t="s">
        <v>9218</v>
      </c>
      <c r="J3011" s="468" t="s">
        <v>9219</v>
      </c>
      <c r="K3011" s="468" t="s">
        <v>9219</v>
      </c>
      <c r="L3011" s="468" t="s">
        <v>2354</v>
      </c>
    </row>
    <row r="3012" spans="1:12" x14ac:dyDescent="0.25">
      <c r="A3012" s="468" t="s">
        <v>220</v>
      </c>
      <c r="B3012" s="468" t="s">
        <v>5430</v>
      </c>
      <c r="C3012" s="468" t="s">
        <v>2998</v>
      </c>
      <c r="D3012" s="468" t="s">
        <v>8027</v>
      </c>
      <c r="F3012" s="470">
        <v>1</v>
      </c>
      <c r="G3012" s="468">
        <v>38.545000000000002</v>
      </c>
      <c r="H3012" s="479">
        <v>38.545000000000002</v>
      </c>
      <c r="I3012" s="468" t="s">
        <v>9218</v>
      </c>
      <c r="J3012" s="468" t="s">
        <v>9219</v>
      </c>
      <c r="K3012" s="468" t="s">
        <v>9219</v>
      </c>
      <c r="L3012" s="468" t="s">
        <v>2354</v>
      </c>
    </row>
    <row r="3013" spans="1:12" x14ac:dyDescent="0.25">
      <c r="A3013" s="468" t="s">
        <v>220</v>
      </c>
      <c r="B3013" s="468" t="s">
        <v>5430</v>
      </c>
      <c r="C3013" s="468" t="s">
        <v>5992</v>
      </c>
      <c r="D3013" s="468" t="s">
        <v>5993</v>
      </c>
      <c r="F3013" s="470">
        <v>5</v>
      </c>
      <c r="G3013" s="468">
        <v>73.977000000000004</v>
      </c>
      <c r="H3013" s="479">
        <v>369.88499999999999</v>
      </c>
      <c r="I3013" s="468" t="s">
        <v>9218</v>
      </c>
      <c r="J3013" s="468" t="s">
        <v>9219</v>
      </c>
      <c r="K3013" s="468" t="s">
        <v>9219</v>
      </c>
      <c r="L3013" s="468" t="s">
        <v>2354</v>
      </c>
    </row>
    <row r="3014" spans="1:12" x14ac:dyDescent="0.25">
      <c r="A3014" s="468" t="s">
        <v>220</v>
      </c>
      <c r="B3014" s="468" t="s">
        <v>5430</v>
      </c>
      <c r="C3014" s="468" t="s">
        <v>5994</v>
      </c>
      <c r="D3014" s="468" t="s">
        <v>5995</v>
      </c>
      <c r="F3014" s="470">
        <v>4</v>
      </c>
      <c r="G3014" s="468">
        <v>36.265000000000001</v>
      </c>
      <c r="H3014" s="479">
        <v>145.06</v>
      </c>
      <c r="I3014" s="468" t="s">
        <v>9218</v>
      </c>
      <c r="J3014" s="468" t="s">
        <v>9219</v>
      </c>
      <c r="K3014" s="468" t="s">
        <v>9219</v>
      </c>
      <c r="L3014" s="468" t="s">
        <v>2354</v>
      </c>
    </row>
    <row r="3015" spans="1:12" x14ac:dyDescent="0.25">
      <c r="A3015" s="468" t="s">
        <v>220</v>
      </c>
      <c r="B3015" s="468" t="s">
        <v>5430</v>
      </c>
      <c r="C3015" s="468" t="s">
        <v>8028</v>
      </c>
      <c r="D3015" s="468" t="s">
        <v>8029</v>
      </c>
      <c r="F3015" s="470">
        <v>6</v>
      </c>
      <c r="G3015" s="468">
        <v>103.428</v>
      </c>
      <c r="H3015" s="479">
        <v>620.56799999999998</v>
      </c>
      <c r="I3015" s="468" t="s">
        <v>9218</v>
      </c>
      <c r="J3015" s="468" t="s">
        <v>9219</v>
      </c>
      <c r="K3015" s="468" t="s">
        <v>9219</v>
      </c>
      <c r="L3015" s="468" t="s">
        <v>2354</v>
      </c>
    </row>
    <row r="3016" spans="1:12" x14ac:dyDescent="0.25">
      <c r="A3016" s="468" t="s">
        <v>220</v>
      </c>
      <c r="B3016" s="468" t="s">
        <v>5430</v>
      </c>
      <c r="C3016" s="468" t="s">
        <v>5996</v>
      </c>
      <c r="D3016" s="468" t="s">
        <v>5997</v>
      </c>
      <c r="F3016" s="470">
        <v>6</v>
      </c>
      <c r="G3016" s="468">
        <v>177.44200000000001</v>
      </c>
      <c r="H3016" s="479">
        <v>1064.652</v>
      </c>
      <c r="I3016" s="468" t="s">
        <v>9218</v>
      </c>
      <c r="J3016" s="468" t="s">
        <v>9219</v>
      </c>
      <c r="K3016" s="468" t="s">
        <v>9219</v>
      </c>
      <c r="L3016" s="468" t="s">
        <v>2354</v>
      </c>
    </row>
    <row r="3017" spans="1:12" x14ac:dyDescent="0.25">
      <c r="A3017" s="468" t="s">
        <v>220</v>
      </c>
      <c r="B3017" s="468" t="s">
        <v>5430</v>
      </c>
      <c r="C3017" s="468" t="s">
        <v>5998</v>
      </c>
      <c r="D3017" s="468" t="s">
        <v>8030</v>
      </c>
      <c r="F3017" s="470">
        <v>1</v>
      </c>
      <c r="G3017" s="468">
        <v>16.11</v>
      </c>
      <c r="H3017" s="479">
        <v>16.11</v>
      </c>
      <c r="I3017" s="468" t="s">
        <v>9218</v>
      </c>
      <c r="J3017" s="468" t="s">
        <v>9219</v>
      </c>
      <c r="K3017" s="468" t="s">
        <v>9219</v>
      </c>
      <c r="L3017" s="468" t="s">
        <v>2354</v>
      </c>
    </row>
    <row r="3018" spans="1:12" x14ac:dyDescent="0.25">
      <c r="A3018" s="468" t="s">
        <v>220</v>
      </c>
      <c r="B3018" s="468" t="s">
        <v>5430</v>
      </c>
      <c r="C3018" s="468" t="s">
        <v>3006</v>
      </c>
      <c r="D3018" s="468" t="s">
        <v>8031</v>
      </c>
      <c r="F3018" s="470">
        <v>8</v>
      </c>
      <c r="G3018" s="468">
        <v>8.2620000000000005</v>
      </c>
      <c r="H3018" s="479">
        <v>66.096000000000004</v>
      </c>
      <c r="I3018" s="468" t="s">
        <v>9218</v>
      </c>
      <c r="J3018" s="468" t="s">
        <v>9219</v>
      </c>
      <c r="K3018" s="468" t="s">
        <v>9219</v>
      </c>
      <c r="L3018" s="468" t="s">
        <v>2354</v>
      </c>
    </row>
    <row r="3019" spans="1:12" x14ac:dyDescent="0.25">
      <c r="A3019" s="468" t="s">
        <v>220</v>
      </c>
      <c r="B3019" s="468" t="s">
        <v>5430</v>
      </c>
      <c r="C3019" s="468" t="s">
        <v>3010</v>
      </c>
      <c r="D3019" s="468" t="s">
        <v>8032</v>
      </c>
      <c r="F3019" s="470">
        <v>16</v>
      </c>
      <c r="G3019" s="468">
        <v>10.542</v>
      </c>
      <c r="H3019" s="479">
        <v>168.672</v>
      </c>
      <c r="I3019" s="468" t="s">
        <v>9218</v>
      </c>
      <c r="J3019" s="468" t="s">
        <v>9219</v>
      </c>
      <c r="K3019" s="468" t="s">
        <v>9219</v>
      </c>
      <c r="L3019" s="468" t="s">
        <v>2354</v>
      </c>
    </row>
    <row r="3020" spans="1:12" x14ac:dyDescent="0.25">
      <c r="A3020" s="468" t="s">
        <v>220</v>
      </c>
      <c r="B3020" s="468" t="s">
        <v>5430</v>
      </c>
      <c r="C3020" s="468" t="s">
        <v>6000</v>
      </c>
      <c r="D3020" s="468" t="s">
        <v>8033</v>
      </c>
      <c r="F3020" s="470">
        <v>8</v>
      </c>
      <c r="G3020" s="468">
        <v>11.157</v>
      </c>
      <c r="H3020" s="479">
        <v>89.256</v>
      </c>
      <c r="I3020" s="468" t="s">
        <v>9218</v>
      </c>
      <c r="J3020" s="468" t="s">
        <v>9219</v>
      </c>
      <c r="K3020" s="468" t="s">
        <v>9219</v>
      </c>
      <c r="L3020" s="468" t="s">
        <v>2354</v>
      </c>
    </row>
    <row r="3021" spans="1:12" x14ac:dyDescent="0.25">
      <c r="A3021" s="468" t="s">
        <v>220</v>
      </c>
      <c r="B3021" s="468" t="s">
        <v>5430</v>
      </c>
      <c r="C3021" s="468" t="s">
        <v>6002</v>
      </c>
      <c r="D3021" s="468" t="s">
        <v>8034</v>
      </c>
      <c r="F3021" s="470">
        <v>5</v>
      </c>
      <c r="G3021" s="468">
        <v>100.035</v>
      </c>
      <c r="H3021" s="479">
        <v>500.17499999999995</v>
      </c>
      <c r="I3021" s="468" t="s">
        <v>9218</v>
      </c>
      <c r="J3021" s="468" t="s">
        <v>9219</v>
      </c>
      <c r="K3021" s="468" t="s">
        <v>9219</v>
      </c>
      <c r="L3021" s="468" t="s">
        <v>2354</v>
      </c>
    </row>
    <row r="3022" spans="1:12" x14ac:dyDescent="0.25">
      <c r="A3022" s="468" t="s">
        <v>220</v>
      </c>
      <c r="B3022" s="468" t="s">
        <v>5430</v>
      </c>
      <c r="C3022" s="468" t="s">
        <v>3012</v>
      </c>
      <c r="D3022" s="468" t="s">
        <v>3013</v>
      </c>
      <c r="F3022" s="470">
        <v>10</v>
      </c>
      <c r="G3022" s="468">
        <v>14.939</v>
      </c>
      <c r="H3022" s="479">
        <v>149.38999999999999</v>
      </c>
      <c r="I3022" s="468" t="s">
        <v>9218</v>
      </c>
      <c r="J3022" s="468" t="s">
        <v>9219</v>
      </c>
      <c r="K3022" s="468" t="s">
        <v>9219</v>
      </c>
      <c r="L3022" s="468" t="s">
        <v>2354</v>
      </c>
    </row>
    <row r="3023" spans="1:12" x14ac:dyDescent="0.25">
      <c r="A3023" s="468" t="s">
        <v>220</v>
      </c>
      <c r="B3023" s="468" t="s">
        <v>5430</v>
      </c>
      <c r="C3023" s="468" t="s">
        <v>3014</v>
      </c>
      <c r="D3023" s="468" t="s">
        <v>8036</v>
      </c>
      <c r="F3023" s="470">
        <v>7</v>
      </c>
      <c r="G3023" s="468">
        <v>8.0329999999999995</v>
      </c>
      <c r="H3023" s="479">
        <v>56.230999999999995</v>
      </c>
      <c r="I3023" s="468" t="s">
        <v>9218</v>
      </c>
      <c r="J3023" s="468" t="s">
        <v>9219</v>
      </c>
      <c r="K3023" s="468" t="s">
        <v>9219</v>
      </c>
      <c r="L3023" s="468" t="s">
        <v>2354</v>
      </c>
    </row>
    <row r="3024" spans="1:12" x14ac:dyDescent="0.25">
      <c r="A3024" s="468" t="s">
        <v>220</v>
      </c>
      <c r="B3024" s="468" t="s">
        <v>5430</v>
      </c>
      <c r="C3024" s="468" t="s">
        <v>2381</v>
      </c>
      <c r="D3024" s="468" t="s">
        <v>6006</v>
      </c>
      <c r="F3024" s="470">
        <v>8</v>
      </c>
      <c r="G3024" s="468">
        <v>9.0969999999999995</v>
      </c>
      <c r="H3024" s="479">
        <v>72.775999999999996</v>
      </c>
      <c r="I3024" s="468" t="s">
        <v>9218</v>
      </c>
      <c r="J3024" s="468" t="s">
        <v>9219</v>
      </c>
      <c r="K3024" s="468" t="s">
        <v>9219</v>
      </c>
      <c r="L3024" s="468" t="s">
        <v>2354</v>
      </c>
    </row>
    <row r="3025" spans="1:12" x14ac:dyDescent="0.25">
      <c r="A3025" s="468" t="s">
        <v>220</v>
      </c>
      <c r="B3025" s="468" t="s">
        <v>5430</v>
      </c>
      <c r="C3025" s="468" t="s">
        <v>3016</v>
      </c>
      <c r="D3025" s="468" t="s">
        <v>8037</v>
      </c>
      <c r="F3025" s="470">
        <v>4</v>
      </c>
      <c r="G3025" s="468">
        <v>10.77</v>
      </c>
      <c r="H3025" s="479">
        <v>43.08</v>
      </c>
      <c r="I3025" s="468" t="s">
        <v>9218</v>
      </c>
      <c r="J3025" s="468" t="s">
        <v>9219</v>
      </c>
      <c r="K3025" s="468" t="s">
        <v>9219</v>
      </c>
      <c r="L3025" s="468" t="s">
        <v>2354</v>
      </c>
    </row>
    <row r="3026" spans="1:12" x14ac:dyDescent="0.25">
      <c r="A3026" s="468" t="s">
        <v>220</v>
      </c>
      <c r="B3026" s="468" t="s">
        <v>5430</v>
      </c>
      <c r="C3026" s="468" t="s">
        <v>3018</v>
      </c>
      <c r="D3026" s="468" t="s">
        <v>8038</v>
      </c>
      <c r="F3026" s="470">
        <v>5</v>
      </c>
      <c r="G3026" s="468">
        <v>14.39</v>
      </c>
      <c r="H3026" s="479">
        <v>71.95</v>
      </c>
      <c r="I3026" s="468" t="s">
        <v>9218</v>
      </c>
      <c r="J3026" s="468" t="s">
        <v>9219</v>
      </c>
      <c r="K3026" s="468" t="s">
        <v>9219</v>
      </c>
      <c r="L3026" s="468" t="s">
        <v>2354</v>
      </c>
    </row>
    <row r="3027" spans="1:12" x14ac:dyDescent="0.25">
      <c r="A3027" s="468" t="s">
        <v>220</v>
      </c>
      <c r="B3027" s="468" t="s">
        <v>5430</v>
      </c>
      <c r="C3027" s="468" t="s">
        <v>3020</v>
      </c>
      <c r="D3027" s="468" t="s">
        <v>3021</v>
      </c>
      <c r="F3027" s="470">
        <v>5</v>
      </c>
      <c r="G3027" s="468">
        <v>10.797000000000001</v>
      </c>
      <c r="H3027" s="479">
        <v>53.984999999999999</v>
      </c>
      <c r="I3027" s="468" t="s">
        <v>9218</v>
      </c>
      <c r="J3027" s="468" t="s">
        <v>9219</v>
      </c>
      <c r="K3027" s="468" t="s">
        <v>9219</v>
      </c>
      <c r="L3027" s="468" t="s">
        <v>2354</v>
      </c>
    </row>
    <row r="3028" spans="1:12" x14ac:dyDescent="0.25">
      <c r="A3028" s="468" t="s">
        <v>220</v>
      </c>
      <c r="B3028" s="468" t="s">
        <v>5430</v>
      </c>
      <c r="C3028" s="468" t="s">
        <v>3022</v>
      </c>
      <c r="D3028" s="468" t="s">
        <v>8039</v>
      </c>
      <c r="F3028" s="470">
        <v>14</v>
      </c>
      <c r="G3028" s="468">
        <v>16.75</v>
      </c>
      <c r="H3028" s="479">
        <v>234.5</v>
      </c>
      <c r="I3028" s="468" t="s">
        <v>9218</v>
      </c>
      <c r="J3028" s="468" t="s">
        <v>9219</v>
      </c>
      <c r="K3028" s="468" t="s">
        <v>9219</v>
      </c>
      <c r="L3028" s="468" t="s">
        <v>2354</v>
      </c>
    </row>
    <row r="3029" spans="1:12" x14ac:dyDescent="0.25">
      <c r="A3029" s="468" t="s">
        <v>220</v>
      </c>
      <c r="B3029" s="468" t="s">
        <v>5430</v>
      </c>
      <c r="C3029" s="468" t="s">
        <v>3024</v>
      </c>
      <c r="D3029" s="468" t="s">
        <v>8040</v>
      </c>
      <c r="F3029" s="470">
        <v>6</v>
      </c>
      <c r="G3029" s="468">
        <v>21.946999999999999</v>
      </c>
      <c r="H3029" s="479">
        <v>131.68199999999999</v>
      </c>
      <c r="I3029" s="468" t="s">
        <v>9218</v>
      </c>
      <c r="J3029" s="468" t="s">
        <v>9219</v>
      </c>
      <c r="K3029" s="468" t="s">
        <v>9219</v>
      </c>
      <c r="L3029" s="468" t="s">
        <v>2354</v>
      </c>
    </row>
    <row r="3030" spans="1:12" x14ac:dyDescent="0.25">
      <c r="A3030" s="468" t="s">
        <v>220</v>
      </c>
      <c r="B3030" s="468" t="s">
        <v>5430</v>
      </c>
      <c r="D3030" s="468" t="s">
        <v>9435</v>
      </c>
      <c r="F3030" s="470">
        <v>9</v>
      </c>
      <c r="G3030" s="468">
        <v>31.992999999999999</v>
      </c>
      <c r="H3030" s="479">
        <v>287.93700000000001</v>
      </c>
      <c r="I3030" s="468" t="s">
        <v>9218</v>
      </c>
      <c r="J3030" s="468" t="s">
        <v>9219</v>
      </c>
      <c r="K3030" s="468" t="s">
        <v>9219</v>
      </c>
      <c r="L3030" s="468" t="s">
        <v>2354</v>
      </c>
    </row>
    <row r="3031" spans="1:12" x14ac:dyDescent="0.25">
      <c r="A3031" s="468" t="s">
        <v>220</v>
      </c>
      <c r="B3031" s="468" t="s">
        <v>5430</v>
      </c>
      <c r="C3031" s="468" t="s">
        <v>5398</v>
      </c>
      <c r="D3031" s="468" t="s">
        <v>9436</v>
      </c>
      <c r="F3031" s="470">
        <v>9</v>
      </c>
      <c r="G3031" s="468">
        <v>33.905000000000001</v>
      </c>
      <c r="H3031" s="479">
        <v>305.14499999999998</v>
      </c>
      <c r="I3031" s="468" t="s">
        <v>9218</v>
      </c>
      <c r="J3031" s="468" t="s">
        <v>9219</v>
      </c>
      <c r="K3031" s="468" t="s">
        <v>9219</v>
      </c>
      <c r="L3031" s="468" t="s">
        <v>2354</v>
      </c>
    </row>
    <row r="3032" spans="1:12" x14ac:dyDescent="0.25">
      <c r="A3032" s="468" t="s">
        <v>220</v>
      </c>
      <c r="B3032" s="468" t="s">
        <v>5430</v>
      </c>
      <c r="C3032" s="468" t="s">
        <v>3030</v>
      </c>
      <c r="D3032" s="468" t="s">
        <v>8043</v>
      </c>
      <c r="F3032" s="470">
        <v>8</v>
      </c>
      <c r="G3032" s="468">
        <v>12.765000000000001</v>
      </c>
      <c r="H3032" s="479">
        <v>102.12</v>
      </c>
      <c r="I3032" s="468" t="s">
        <v>9218</v>
      </c>
      <c r="J3032" s="468" t="s">
        <v>9219</v>
      </c>
      <c r="K3032" s="468" t="s">
        <v>9219</v>
      </c>
      <c r="L3032" s="468" t="s">
        <v>2354</v>
      </c>
    </row>
    <row r="3033" spans="1:12" x14ac:dyDescent="0.25">
      <c r="A3033" s="468" t="s">
        <v>220</v>
      </c>
      <c r="B3033" s="468" t="s">
        <v>5430</v>
      </c>
      <c r="C3033" s="468" t="s">
        <v>3032</v>
      </c>
      <c r="D3033" s="468" t="s">
        <v>3033</v>
      </c>
      <c r="F3033" s="470">
        <v>5</v>
      </c>
      <c r="G3033" s="468">
        <v>43.987000000000002</v>
      </c>
      <c r="H3033" s="479">
        <v>219.935</v>
      </c>
      <c r="I3033" s="468" t="s">
        <v>9218</v>
      </c>
      <c r="J3033" s="468" t="s">
        <v>9219</v>
      </c>
      <c r="K3033" s="468" t="s">
        <v>9219</v>
      </c>
      <c r="L3033" s="468" t="s">
        <v>2354</v>
      </c>
    </row>
    <row r="3034" spans="1:12" x14ac:dyDescent="0.25">
      <c r="A3034" s="468" t="s">
        <v>220</v>
      </c>
      <c r="B3034" s="468" t="s">
        <v>5430</v>
      </c>
      <c r="C3034" s="468" t="s">
        <v>6009</v>
      </c>
      <c r="D3034" s="468" t="s">
        <v>6010</v>
      </c>
      <c r="F3034" s="470">
        <v>6</v>
      </c>
      <c r="G3034" s="468">
        <v>99.581000000000003</v>
      </c>
      <c r="H3034" s="479">
        <v>597.48599999999999</v>
      </c>
      <c r="I3034" s="468" t="s">
        <v>9218</v>
      </c>
      <c r="J3034" s="468" t="s">
        <v>9219</v>
      </c>
      <c r="K3034" s="468" t="s">
        <v>9219</v>
      </c>
      <c r="L3034" s="468" t="s">
        <v>2354</v>
      </c>
    </row>
    <row r="3035" spans="1:12" x14ac:dyDescent="0.25">
      <c r="A3035" s="468" t="s">
        <v>220</v>
      </c>
      <c r="B3035" s="468" t="s">
        <v>5430</v>
      </c>
      <c r="C3035" s="468" t="s">
        <v>6011</v>
      </c>
      <c r="D3035" s="468" t="s">
        <v>8044</v>
      </c>
      <c r="F3035" s="470">
        <v>2</v>
      </c>
      <c r="G3035" s="468">
        <v>145.80000000000001</v>
      </c>
      <c r="H3035" s="479">
        <v>291.60000000000002</v>
      </c>
      <c r="I3035" s="468" t="s">
        <v>9218</v>
      </c>
      <c r="J3035" s="468" t="s">
        <v>9219</v>
      </c>
      <c r="K3035" s="468" t="s">
        <v>9219</v>
      </c>
      <c r="L3035" s="468" t="s">
        <v>2354</v>
      </c>
    </row>
    <row r="3036" spans="1:12" x14ac:dyDescent="0.25">
      <c r="A3036" s="468" t="s">
        <v>220</v>
      </c>
      <c r="B3036" s="468" t="s">
        <v>5430</v>
      </c>
      <c r="C3036" s="468" t="s">
        <v>6013</v>
      </c>
      <c r="D3036" s="468" t="s">
        <v>6014</v>
      </c>
      <c r="F3036" s="470">
        <v>4</v>
      </c>
      <c r="G3036" s="468">
        <v>115.34699999999999</v>
      </c>
      <c r="H3036" s="479">
        <v>461.38799999999998</v>
      </c>
      <c r="I3036" s="468" t="s">
        <v>9218</v>
      </c>
      <c r="J3036" s="468" t="s">
        <v>9219</v>
      </c>
      <c r="K3036" s="468" t="s">
        <v>9219</v>
      </c>
      <c r="L3036" s="468" t="s">
        <v>2354</v>
      </c>
    </row>
    <row r="3037" spans="1:12" x14ac:dyDescent="0.25">
      <c r="A3037" s="468" t="s">
        <v>220</v>
      </c>
      <c r="B3037" s="468" t="s">
        <v>5430</v>
      </c>
      <c r="C3037" s="468" t="s">
        <v>6015</v>
      </c>
      <c r="D3037" s="468" t="s">
        <v>8045</v>
      </c>
      <c r="F3037" s="470">
        <v>13</v>
      </c>
      <c r="G3037" s="468">
        <v>30.864000000000001</v>
      </c>
      <c r="H3037" s="479">
        <v>401.23200000000003</v>
      </c>
      <c r="I3037" s="468" t="s">
        <v>9218</v>
      </c>
      <c r="J3037" s="468" t="s">
        <v>9219</v>
      </c>
      <c r="K3037" s="468" t="s">
        <v>9219</v>
      </c>
      <c r="L3037" s="468" t="s">
        <v>2354</v>
      </c>
    </row>
    <row r="3038" spans="1:12" x14ac:dyDescent="0.25">
      <c r="A3038" s="468" t="s">
        <v>220</v>
      </c>
      <c r="B3038" s="468" t="s">
        <v>5430</v>
      </c>
      <c r="C3038" s="468" t="s">
        <v>6017</v>
      </c>
      <c r="D3038" s="468" t="s">
        <v>6018</v>
      </c>
      <c r="F3038" s="470">
        <v>6</v>
      </c>
      <c r="G3038" s="468">
        <v>20.986999999999998</v>
      </c>
      <c r="H3038" s="479">
        <v>125.922</v>
      </c>
      <c r="I3038" s="468" t="s">
        <v>9218</v>
      </c>
      <c r="J3038" s="468" t="s">
        <v>9219</v>
      </c>
      <c r="K3038" s="468" t="s">
        <v>9219</v>
      </c>
      <c r="L3038" s="468" t="s">
        <v>2354</v>
      </c>
    </row>
    <row r="3039" spans="1:12" x14ac:dyDescent="0.25">
      <c r="A3039" s="468" t="s">
        <v>220</v>
      </c>
      <c r="B3039" s="468" t="s">
        <v>5430</v>
      </c>
      <c r="C3039" s="468" t="s">
        <v>6019</v>
      </c>
      <c r="D3039" s="468" t="s">
        <v>8046</v>
      </c>
      <c r="F3039" s="470">
        <v>6</v>
      </c>
      <c r="G3039" s="468">
        <v>121.892</v>
      </c>
      <c r="H3039" s="479">
        <v>731.35199999999998</v>
      </c>
      <c r="I3039" s="468" t="s">
        <v>9218</v>
      </c>
      <c r="J3039" s="468" t="s">
        <v>9219</v>
      </c>
      <c r="K3039" s="468" t="s">
        <v>9219</v>
      </c>
      <c r="L3039" s="468" t="s">
        <v>2354</v>
      </c>
    </row>
    <row r="3040" spans="1:12" x14ac:dyDescent="0.25">
      <c r="A3040" s="468" t="s">
        <v>220</v>
      </c>
      <c r="B3040" s="468" t="s">
        <v>5430</v>
      </c>
      <c r="C3040" s="468" t="s">
        <v>6021</v>
      </c>
      <c r="D3040" s="468" t="s">
        <v>8047</v>
      </c>
      <c r="F3040" s="470">
        <v>6</v>
      </c>
      <c r="G3040" s="468">
        <v>28.763999999999999</v>
      </c>
      <c r="H3040" s="479">
        <v>172.584</v>
      </c>
      <c r="I3040" s="468" t="s">
        <v>9218</v>
      </c>
      <c r="J3040" s="468" t="s">
        <v>9219</v>
      </c>
      <c r="K3040" s="468" t="s">
        <v>9219</v>
      </c>
      <c r="L3040" s="468" t="s">
        <v>2354</v>
      </c>
    </row>
    <row r="3041" spans="1:12" x14ac:dyDescent="0.25">
      <c r="A3041" s="468" t="s">
        <v>220</v>
      </c>
      <c r="B3041" s="468" t="s">
        <v>5430</v>
      </c>
      <c r="C3041" s="468" t="s">
        <v>6023</v>
      </c>
      <c r="D3041" s="468" t="s">
        <v>8048</v>
      </c>
      <c r="F3041" s="470">
        <v>2</v>
      </c>
      <c r="G3041" s="468">
        <v>10.7127</v>
      </c>
      <c r="H3041" s="479">
        <v>21.4254</v>
      </c>
      <c r="I3041" s="468" t="s">
        <v>9218</v>
      </c>
      <c r="J3041" s="468" t="s">
        <v>9219</v>
      </c>
      <c r="K3041" s="468" t="s">
        <v>9219</v>
      </c>
      <c r="L3041" s="468" t="s">
        <v>2354</v>
      </c>
    </row>
    <row r="3042" spans="1:12" x14ac:dyDescent="0.25">
      <c r="A3042" s="468" t="s">
        <v>220</v>
      </c>
      <c r="B3042" s="468" t="s">
        <v>5430</v>
      </c>
      <c r="C3042" s="468" t="s">
        <v>3044</v>
      </c>
      <c r="D3042" s="468" t="s">
        <v>8049</v>
      </c>
      <c r="F3042" s="470">
        <v>11</v>
      </c>
      <c r="G3042" s="468">
        <v>29.152000000000001</v>
      </c>
      <c r="H3042" s="479">
        <v>320.67200000000003</v>
      </c>
      <c r="I3042" s="468" t="s">
        <v>9218</v>
      </c>
      <c r="J3042" s="468" t="s">
        <v>9219</v>
      </c>
      <c r="K3042" s="468" t="s">
        <v>9219</v>
      </c>
      <c r="L3042" s="468" t="s">
        <v>2354</v>
      </c>
    </row>
    <row r="3043" spans="1:12" x14ac:dyDescent="0.25">
      <c r="A3043" s="468" t="s">
        <v>220</v>
      </c>
      <c r="B3043" s="468" t="s">
        <v>5430</v>
      </c>
      <c r="C3043" s="468" t="s">
        <v>8050</v>
      </c>
      <c r="D3043" s="468" t="s">
        <v>8051</v>
      </c>
      <c r="F3043" s="470">
        <v>2</v>
      </c>
      <c r="G3043" s="468">
        <v>77.227999999999994</v>
      </c>
      <c r="H3043" s="479">
        <v>154.45599999999999</v>
      </c>
      <c r="I3043" s="468" t="s">
        <v>9218</v>
      </c>
      <c r="J3043" s="468" t="s">
        <v>9219</v>
      </c>
      <c r="K3043" s="468" t="s">
        <v>9219</v>
      </c>
      <c r="L3043" s="468" t="s">
        <v>2354</v>
      </c>
    </row>
    <row r="3044" spans="1:12" x14ac:dyDescent="0.25">
      <c r="A3044" s="468" t="s">
        <v>220</v>
      </c>
      <c r="B3044" s="468" t="s">
        <v>5430</v>
      </c>
      <c r="C3044" s="468" t="s">
        <v>3046</v>
      </c>
      <c r="D3044" s="468" t="s">
        <v>8052</v>
      </c>
      <c r="F3044" s="470">
        <v>5</v>
      </c>
      <c r="G3044" s="468">
        <v>53.088999999999999</v>
      </c>
      <c r="H3044" s="479">
        <v>265.44499999999999</v>
      </c>
      <c r="I3044" s="468" t="s">
        <v>9218</v>
      </c>
      <c r="J3044" s="468" t="s">
        <v>9219</v>
      </c>
      <c r="K3044" s="468" t="s">
        <v>9219</v>
      </c>
      <c r="L3044" s="468" t="s">
        <v>2354</v>
      </c>
    </row>
    <row r="3045" spans="1:12" x14ac:dyDescent="0.25">
      <c r="A3045" s="468" t="s">
        <v>220</v>
      </c>
      <c r="B3045" s="468" t="s">
        <v>5430</v>
      </c>
      <c r="C3045" s="468" t="s">
        <v>6026</v>
      </c>
      <c r="D3045" s="468" t="s">
        <v>8053</v>
      </c>
      <c r="F3045" s="470">
        <v>2</v>
      </c>
      <c r="G3045" s="468">
        <v>79.123000000000005</v>
      </c>
      <c r="H3045" s="479">
        <v>158.24600000000001</v>
      </c>
      <c r="I3045" s="468" t="s">
        <v>9218</v>
      </c>
      <c r="J3045" s="468" t="s">
        <v>9219</v>
      </c>
      <c r="K3045" s="468" t="s">
        <v>9219</v>
      </c>
      <c r="L3045" s="468" t="s">
        <v>2354</v>
      </c>
    </row>
    <row r="3046" spans="1:12" x14ac:dyDescent="0.25">
      <c r="A3046" s="468" t="s">
        <v>220</v>
      </c>
      <c r="B3046" s="468" t="s">
        <v>5430</v>
      </c>
      <c r="C3046" s="468" t="s">
        <v>6028</v>
      </c>
      <c r="D3046" s="468" t="s">
        <v>8054</v>
      </c>
      <c r="F3046" s="470">
        <v>13</v>
      </c>
      <c r="G3046" s="468">
        <v>65.546999999999997</v>
      </c>
      <c r="H3046" s="479">
        <v>852.11099999999999</v>
      </c>
      <c r="I3046" s="468" t="s">
        <v>9218</v>
      </c>
      <c r="J3046" s="468" t="s">
        <v>9219</v>
      </c>
      <c r="K3046" s="468" t="s">
        <v>9219</v>
      </c>
      <c r="L3046" s="468" t="s">
        <v>2354</v>
      </c>
    </row>
    <row r="3047" spans="1:12" x14ac:dyDescent="0.25">
      <c r="A3047" s="468" t="s">
        <v>220</v>
      </c>
      <c r="B3047" s="468" t="s">
        <v>5430</v>
      </c>
      <c r="C3047" s="468" t="s">
        <v>6030</v>
      </c>
      <c r="D3047" s="468" t="s">
        <v>8055</v>
      </c>
      <c r="F3047" s="470">
        <v>3</v>
      </c>
      <c r="G3047" s="468">
        <v>11.834</v>
      </c>
      <c r="H3047" s="479">
        <v>35.501999999999995</v>
      </c>
      <c r="I3047" s="468" t="s">
        <v>9218</v>
      </c>
      <c r="J3047" s="468" t="s">
        <v>9219</v>
      </c>
      <c r="K3047" s="468" t="s">
        <v>9219</v>
      </c>
      <c r="L3047" s="468" t="s">
        <v>2354</v>
      </c>
    </row>
    <row r="3048" spans="1:12" x14ac:dyDescent="0.25">
      <c r="A3048" s="468" t="s">
        <v>220</v>
      </c>
      <c r="B3048" s="468" t="s">
        <v>5430</v>
      </c>
      <c r="C3048" s="468" t="s">
        <v>6032</v>
      </c>
      <c r="D3048" s="468" t="s">
        <v>6033</v>
      </c>
      <c r="F3048" s="470">
        <v>11</v>
      </c>
      <c r="G3048" s="468">
        <v>18.158000000000001</v>
      </c>
      <c r="H3048" s="479">
        <v>199.738</v>
      </c>
      <c r="I3048" s="468" t="s">
        <v>9218</v>
      </c>
      <c r="J3048" s="468" t="s">
        <v>9219</v>
      </c>
      <c r="K3048" s="468" t="s">
        <v>9219</v>
      </c>
      <c r="L3048" s="468" t="s">
        <v>2354</v>
      </c>
    </row>
    <row r="3049" spans="1:12" x14ac:dyDescent="0.25">
      <c r="A3049" s="468" t="s">
        <v>220</v>
      </c>
      <c r="B3049" s="468" t="s">
        <v>5430</v>
      </c>
      <c r="C3049" s="468" t="s">
        <v>3050</v>
      </c>
      <c r="D3049" s="468" t="s">
        <v>3051</v>
      </c>
      <c r="F3049" s="470">
        <v>3</v>
      </c>
      <c r="G3049" s="468">
        <v>8.8420000000000005</v>
      </c>
      <c r="H3049" s="479">
        <v>26.526000000000003</v>
      </c>
      <c r="I3049" s="468" t="s">
        <v>9218</v>
      </c>
      <c r="J3049" s="468" t="s">
        <v>9219</v>
      </c>
      <c r="K3049" s="468" t="s">
        <v>9219</v>
      </c>
      <c r="L3049" s="468" t="s">
        <v>2354</v>
      </c>
    </row>
    <row r="3050" spans="1:12" x14ac:dyDescent="0.25">
      <c r="A3050" s="468" t="s">
        <v>220</v>
      </c>
      <c r="B3050" s="468" t="s">
        <v>5430</v>
      </c>
      <c r="C3050" s="468" t="s">
        <v>6036</v>
      </c>
      <c r="D3050" s="468" t="s">
        <v>8056</v>
      </c>
      <c r="F3050" s="470">
        <v>3</v>
      </c>
      <c r="G3050" s="468">
        <v>69.587999999999994</v>
      </c>
      <c r="H3050" s="479">
        <v>208.76399999999998</v>
      </c>
      <c r="I3050" s="468" t="s">
        <v>9218</v>
      </c>
      <c r="J3050" s="468" t="s">
        <v>9219</v>
      </c>
      <c r="K3050" s="468" t="s">
        <v>9219</v>
      </c>
      <c r="L3050" s="468" t="s">
        <v>2354</v>
      </c>
    </row>
    <row r="3051" spans="1:12" x14ac:dyDescent="0.25">
      <c r="A3051" s="468" t="s">
        <v>220</v>
      </c>
      <c r="B3051" s="468" t="s">
        <v>5430</v>
      </c>
      <c r="C3051" s="468" t="s">
        <v>6038</v>
      </c>
      <c r="D3051" s="468" t="s">
        <v>8057</v>
      </c>
      <c r="F3051" s="470">
        <v>5</v>
      </c>
      <c r="G3051" s="468">
        <v>32.517000000000003</v>
      </c>
      <c r="H3051" s="479">
        <v>162.58500000000001</v>
      </c>
      <c r="I3051" s="468" t="s">
        <v>9218</v>
      </c>
      <c r="J3051" s="468" t="s">
        <v>9219</v>
      </c>
      <c r="K3051" s="468" t="s">
        <v>9219</v>
      </c>
      <c r="L3051" s="468" t="s">
        <v>2354</v>
      </c>
    </row>
    <row r="3052" spans="1:12" x14ac:dyDescent="0.25">
      <c r="A3052" s="468" t="s">
        <v>220</v>
      </c>
      <c r="B3052" s="468" t="s">
        <v>5430</v>
      </c>
      <c r="C3052" s="468" t="s">
        <v>6040</v>
      </c>
      <c r="D3052" s="468" t="s">
        <v>8058</v>
      </c>
      <c r="F3052" s="470">
        <v>3</v>
      </c>
      <c r="G3052" s="468">
        <v>66.613</v>
      </c>
      <c r="H3052" s="479">
        <v>199.839</v>
      </c>
      <c r="I3052" s="468" t="s">
        <v>9218</v>
      </c>
      <c r="J3052" s="468" t="s">
        <v>9219</v>
      </c>
      <c r="K3052" s="468" t="s">
        <v>9219</v>
      </c>
      <c r="L3052" s="468" t="s">
        <v>2354</v>
      </c>
    </row>
    <row r="3053" spans="1:12" x14ac:dyDescent="0.25">
      <c r="A3053" s="468" t="s">
        <v>220</v>
      </c>
      <c r="B3053" s="468" t="s">
        <v>5430</v>
      </c>
      <c r="C3053" s="468" t="s">
        <v>5433</v>
      </c>
      <c r="D3053" s="468" t="s">
        <v>8059</v>
      </c>
      <c r="F3053" s="470">
        <v>5</v>
      </c>
      <c r="G3053" s="468">
        <v>54.09</v>
      </c>
      <c r="H3053" s="479">
        <v>270.45000000000005</v>
      </c>
      <c r="I3053" s="468" t="s">
        <v>9218</v>
      </c>
      <c r="J3053" s="468" t="s">
        <v>9219</v>
      </c>
      <c r="K3053" s="468" t="s">
        <v>9219</v>
      </c>
      <c r="L3053" s="468" t="s">
        <v>2354</v>
      </c>
    </row>
    <row r="3054" spans="1:12" x14ac:dyDescent="0.25">
      <c r="A3054" s="468" t="s">
        <v>220</v>
      </c>
      <c r="B3054" s="468" t="s">
        <v>5430</v>
      </c>
      <c r="C3054" s="468" t="s">
        <v>6042</v>
      </c>
      <c r="D3054" s="468" t="s">
        <v>8060</v>
      </c>
      <c r="F3054" s="470">
        <v>7</v>
      </c>
      <c r="G3054" s="468">
        <v>27.242000000000001</v>
      </c>
      <c r="H3054" s="479">
        <v>190.69400000000002</v>
      </c>
      <c r="I3054" s="468" t="s">
        <v>9218</v>
      </c>
      <c r="J3054" s="468" t="s">
        <v>9219</v>
      </c>
      <c r="K3054" s="468" t="s">
        <v>9219</v>
      </c>
      <c r="L3054" s="468" t="s">
        <v>2354</v>
      </c>
    </row>
    <row r="3055" spans="1:12" x14ac:dyDescent="0.25">
      <c r="A3055" s="468" t="s">
        <v>220</v>
      </c>
      <c r="B3055" s="468" t="s">
        <v>5430</v>
      </c>
      <c r="C3055" s="468" t="s">
        <v>6043</v>
      </c>
      <c r="D3055" s="468" t="s">
        <v>6044</v>
      </c>
      <c r="F3055" s="470">
        <v>2</v>
      </c>
      <c r="G3055" s="468">
        <v>145.916</v>
      </c>
      <c r="H3055" s="479">
        <v>291.83199999999999</v>
      </c>
      <c r="I3055" s="468" t="s">
        <v>9218</v>
      </c>
      <c r="J3055" s="468" t="s">
        <v>9219</v>
      </c>
      <c r="K3055" s="468" t="s">
        <v>9219</v>
      </c>
      <c r="L3055" s="468" t="s">
        <v>2354</v>
      </c>
    </row>
    <row r="3056" spans="1:12" x14ac:dyDescent="0.25">
      <c r="A3056" s="468" t="s">
        <v>220</v>
      </c>
      <c r="B3056" s="468" t="s">
        <v>5430</v>
      </c>
      <c r="C3056" s="468" t="s">
        <v>8061</v>
      </c>
      <c r="D3056" s="468" t="s">
        <v>8062</v>
      </c>
      <c r="F3056" s="470">
        <v>2</v>
      </c>
      <c r="G3056" s="468">
        <v>89.622</v>
      </c>
      <c r="H3056" s="479">
        <v>179.244</v>
      </c>
      <c r="I3056" s="468" t="s">
        <v>9218</v>
      </c>
      <c r="J3056" s="468" t="s">
        <v>9219</v>
      </c>
      <c r="K3056" s="468" t="s">
        <v>9219</v>
      </c>
      <c r="L3056" s="468" t="s">
        <v>2354</v>
      </c>
    </row>
    <row r="3057" spans="1:12" x14ac:dyDescent="0.25">
      <c r="A3057" s="468" t="s">
        <v>220</v>
      </c>
      <c r="B3057" s="468" t="s">
        <v>5430</v>
      </c>
      <c r="C3057" s="468" t="s">
        <v>6046</v>
      </c>
      <c r="D3057" s="468" t="s">
        <v>8063</v>
      </c>
      <c r="F3057" s="470">
        <v>4</v>
      </c>
      <c r="G3057" s="468">
        <v>57.6</v>
      </c>
      <c r="H3057" s="479">
        <v>230.4</v>
      </c>
      <c r="I3057" s="468" t="s">
        <v>9218</v>
      </c>
      <c r="J3057" s="468" t="s">
        <v>9219</v>
      </c>
      <c r="K3057" s="468" t="s">
        <v>9219</v>
      </c>
      <c r="L3057" s="468" t="s">
        <v>2354</v>
      </c>
    </row>
    <row r="3058" spans="1:12" x14ac:dyDescent="0.25">
      <c r="A3058" s="468" t="s">
        <v>220</v>
      </c>
      <c r="B3058" s="468" t="s">
        <v>5430</v>
      </c>
      <c r="C3058" s="468" t="s">
        <v>5447</v>
      </c>
      <c r="D3058" s="468" t="s">
        <v>8064</v>
      </c>
      <c r="F3058" s="470">
        <v>3</v>
      </c>
      <c r="G3058" s="468">
        <v>126.57</v>
      </c>
      <c r="H3058" s="479">
        <v>379.71</v>
      </c>
      <c r="I3058" s="468" t="s">
        <v>9218</v>
      </c>
      <c r="J3058" s="468" t="s">
        <v>9219</v>
      </c>
      <c r="K3058" s="468" t="s">
        <v>9219</v>
      </c>
      <c r="L3058" s="468" t="s">
        <v>2354</v>
      </c>
    </row>
    <row r="3059" spans="1:12" x14ac:dyDescent="0.25">
      <c r="A3059" s="468" t="s">
        <v>220</v>
      </c>
      <c r="B3059" s="468" t="s">
        <v>5430</v>
      </c>
      <c r="C3059" s="468" t="s">
        <v>5400</v>
      </c>
      <c r="D3059" s="468" t="s">
        <v>5401</v>
      </c>
      <c r="F3059" s="470">
        <v>8</v>
      </c>
      <c r="G3059" s="468">
        <v>9.7550000000000008</v>
      </c>
      <c r="H3059" s="479">
        <v>78.040000000000006</v>
      </c>
      <c r="I3059" s="468" t="s">
        <v>9218</v>
      </c>
      <c r="J3059" s="468" t="s">
        <v>9219</v>
      </c>
      <c r="K3059" s="468" t="s">
        <v>9219</v>
      </c>
      <c r="L3059" s="468" t="s">
        <v>2354</v>
      </c>
    </row>
    <row r="3060" spans="1:12" x14ac:dyDescent="0.25">
      <c r="A3060" s="468" t="s">
        <v>220</v>
      </c>
      <c r="B3060" s="468" t="s">
        <v>5430</v>
      </c>
      <c r="C3060" s="468" t="s">
        <v>6047</v>
      </c>
      <c r="D3060" s="468" t="s">
        <v>6048</v>
      </c>
      <c r="F3060" s="470">
        <v>3</v>
      </c>
      <c r="G3060" s="468">
        <v>186.00800000000001</v>
      </c>
      <c r="H3060" s="479">
        <v>558.024</v>
      </c>
      <c r="I3060" s="468" t="s">
        <v>9218</v>
      </c>
      <c r="J3060" s="468" t="s">
        <v>9219</v>
      </c>
      <c r="K3060" s="468" t="s">
        <v>9219</v>
      </c>
      <c r="L3060" s="468" t="s">
        <v>2354</v>
      </c>
    </row>
    <row r="3061" spans="1:12" x14ac:dyDescent="0.25">
      <c r="A3061" s="468" t="s">
        <v>220</v>
      </c>
      <c r="B3061" s="468" t="s">
        <v>5430</v>
      </c>
      <c r="C3061" s="468" t="s">
        <v>3065</v>
      </c>
      <c r="D3061" s="468" t="s">
        <v>3066</v>
      </c>
      <c r="F3061" s="470">
        <v>1</v>
      </c>
      <c r="G3061" s="468">
        <v>118.96</v>
      </c>
      <c r="H3061" s="479">
        <v>118.96</v>
      </c>
      <c r="I3061" s="468" t="s">
        <v>9218</v>
      </c>
      <c r="J3061" s="468" t="s">
        <v>9219</v>
      </c>
      <c r="K3061" s="468" t="s">
        <v>9219</v>
      </c>
      <c r="L3061" s="468" t="s">
        <v>2354</v>
      </c>
    </row>
    <row r="3062" spans="1:12" x14ac:dyDescent="0.25">
      <c r="A3062" s="468" t="s">
        <v>220</v>
      </c>
      <c r="B3062" s="468" t="s">
        <v>5430</v>
      </c>
      <c r="C3062" s="468" t="s">
        <v>6049</v>
      </c>
      <c r="D3062" s="468" t="s">
        <v>8065</v>
      </c>
      <c r="F3062" s="470">
        <v>3</v>
      </c>
      <c r="G3062" s="468">
        <v>344.03100000000001</v>
      </c>
      <c r="H3062" s="479">
        <v>1032.0930000000001</v>
      </c>
      <c r="I3062" s="468" t="s">
        <v>9218</v>
      </c>
      <c r="J3062" s="468" t="s">
        <v>9219</v>
      </c>
      <c r="K3062" s="468" t="s">
        <v>9219</v>
      </c>
      <c r="L3062" s="468" t="s">
        <v>2354</v>
      </c>
    </row>
    <row r="3063" spans="1:12" x14ac:dyDescent="0.25">
      <c r="A3063" s="468" t="s">
        <v>220</v>
      </c>
      <c r="B3063" s="468" t="s">
        <v>5430</v>
      </c>
      <c r="C3063" s="468" t="s">
        <v>6051</v>
      </c>
      <c r="D3063" s="468" t="s">
        <v>8066</v>
      </c>
      <c r="F3063" s="470">
        <v>4</v>
      </c>
      <c r="G3063" s="468">
        <v>67.227999999999994</v>
      </c>
      <c r="H3063" s="479">
        <v>268.91199999999998</v>
      </c>
      <c r="I3063" s="468" t="s">
        <v>9218</v>
      </c>
      <c r="J3063" s="468" t="s">
        <v>9219</v>
      </c>
      <c r="K3063" s="468" t="s">
        <v>9219</v>
      </c>
      <c r="L3063" s="468" t="s">
        <v>2354</v>
      </c>
    </row>
    <row r="3064" spans="1:12" x14ac:dyDescent="0.25">
      <c r="A3064" s="468" t="s">
        <v>220</v>
      </c>
      <c r="B3064" s="468" t="s">
        <v>5430</v>
      </c>
      <c r="C3064" s="468" t="s">
        <v>3069</v>
      </c>
      <c r="D3064" s="468" t="s">
        <v>3070</v>
      </c>
      <c r="F3064" s="470">
        <v>5</v>
      </c>
      <c r="G3064" s="468">
        <v>73.355999999999995</v>
      </c>
      <c r="H3064" s="479">
        <v>366.78</v>
      </c>
      <c r="I3064" s="468" t="s">
        <v>9218</v>
      </c>
      <c r="J3064" s="468" t="s">
        <v>9219</v>
      </c>
      <c r="K3064" s="468" t="s">
        <v>9219</v>
      </c>
      <c r="L3064" s="468" t="s">
        <v>2354</v>
      </c>
    </row>
    <row r="3065" spans="1:12" x14ac:dyDescent="0.25">
      <c r="A3065" s="468" t="s">
        <v>220</v>
      </c>
      <c r="B3065" s="468" t="s">
        <v>5430</v>
      </c>
      <c r="C3065" s="468" t="s">
        <v>6053</v>
      </c>
      <c r="D3065" s="468" t="s">
        <v>8067</v>
      </c>
      <c r="F3065" s="470">
        <v>4</v>
      </c>
      <c r="G3065" s="468">
        <v>65.703000000000003</v>
      </c>
      <c r="H3065" s="479">
        <v>262.81200000000001</v>
      </c>
      <c r="I3065" s="468" t="s">
        <v>9218</v>
      </c>
      <c r="J3065" s="468" t="s">
        <v>9219</v>
      </c>
      <c r="K3065" s="468" t="s">
        <v>9219</v>
      </c>
      <c r="L3065" s="468" t="s">
        <v>2354</v>
      </c>
    </row>
    <row r="3066" spans="1:12" x14ac:dyDescent="0.25">
      <c r="A3066" s="468" t="s">
        <v>220</v>
      </c>
      <c r="B3066" s="468" t="s">
        <v>5430</v>
      </c>
      <c r="C3066" s="468" t="s">
        <v>6055</v>
      </c>
      <c r="D3066" s="468" t="s">
        <v>8068</v>
      </c>
      <c r="F3066" s="470">
        <v>3</v>
      </c>
      <c r="G3066" s="468">
        <v>48.953000000000003</v>
      </c>
      <c r="H3066" s="479">
        <v>146.85900000000001</v>
      </c>
      <c r="I3066" s="468" t="s">
        <v>9218</v>
      </c>
      <c r="J3066" s="468" t="s">
        <v>9219</v>
      </c>
      <c r="K3066" s="468" t="s">
        <v>9219</v>
      </c>
      <c r="L3066" s="468" t="s">
        <v>2354</v>
      </c>
    </row>
    <row r="3067" spans="1:12" x14ac:dyDescent="0.25">
      <c r="A3067" s="468" t="s">
        <v>220</v>
      </c>
      <c r="B3067" s="468" t="s">
        <v>5430</v>
      </c>
      <c r="C3067" s="468" t="s">
        <v>6057</v>
      </c>
      <c r="D3067" s="468" t="s">
        <v>8069</v>
      </c>
      <c r="F3067" s="470">
        <v>3</v>
      </c>
      <c r="G3067" s="468">
        <v>65.941999999999993</v>
      </c>
      <c r="H3067" s="479">
        <v>197.82599999999996</v>
      </c>
      <c r="I3067" s="468" t="s">
        <v>9218</v>
      </c>
      <c r="J3067" s="468" t="s">
        <v>9219</v>
      </c>
      <c r="K3067" s="468" t="s">
        <v>9219</v>
      </c>
      <c r="L3067" s="468" t="s">
        <v>2354</v>
      </c>
    </row>
    <row r="3068" spans="1:12" x14ac:dyDescent="0.25">
      <c r="A3068" s="468" t="s">
        <v>220</v>
      </c>
      <c r="B3068" s="468" t="s">
        <v>5430</v>
      </c>
      <c r="C3068" s="468" t="s">
        <v>6061</v>
      </c>
      <c r="D3068" s="468" t="s">
        <v>8070</v>
      </c>
      <c r="F3068" s="470">
        <v>6</v>
      </c>
      <c r="G3068" s="468">
        <v>33.57</v>
      </c>
      <c r="H3068" s="479">
        <v>201.42000000000002</v>
      </c>
      <c r="I3068" s="468" t="s">
        <v>9218</v>
      </c>
      <c r="J3068" s="468" t="s">
        <v>9219</v>
      </c>
      <c r="K3068" s="468" t="s">
        <v>9219</v>
      </c>
      <c r="L3068" s="468" t="s">
        <v>2354</v>
      </c>
    </row>
    <row r="3069" spans="1:12" x14ac:dyDescent="0.25">
      <c r="A3069" s="468" t="s">
        <v>220</v>
      </c>
      <c r="B3069" s="468" t="s">
        <v>5430</v>
      </c>
      <c r="C3069" s="468" t="s">
        <v>6063</v>
      </c>
      <c r="D3069" s="468" t="s">
        <v>6064</v>
      </c>
      <c r="F3069" s="470">
        <v>4</v>
      </c>
      <c r="G3069" s="468">
        <v>33.57</v>
      </c>
      <c r="H3069" s="479">
        <v>134.28</v>
      </c>
      <c r="I3069" s="468" t="s">
        <v>9218</v>
      </c>
      <c r="J3069" s="468" t="s">
        <v>9219</v>
      </c>
      <c r="K3069" s="468" t="s">
        <v>9219</v>
      </c>
      <c r="L3069" s="468" t="s">
        <v>2354</v>
      </c>
    </row>
    <row r="3070" spans="1:12" x14ac:dyDescent="0.25">
      <c r="A3070" s="468" t="s">
        <v>220</v>
      </c>
      <c r="B3070" s="468" t="s">
        <v>5430</v>
      </c>
      <c r="C3070" s="468" t="s">
        <v>6065</v>
      </c>
      <c r="D3070" s="468" t="s">
        <v>6066</v>
      </c>
      <c r="F3070" s="470">
        <v>2</v>
      </c>
      <c r="G3070" s="468">
        <v>33.57</v>
      </c>
      <c r="H3070" s="479">
        <v>67.14</v>
      </c>
      <c r="I3070" s="468" t="s">
        <v>9218</v>
      </c>
      <c r="J3070" s="468" t="s">
        <v>9219</v>
      </c>
      <c r="K3070" s="468" t="s">
        <v>9219</v>
      </c>
      <c r="L3070" s="468" t="s">
        <v>2354</v>
      </c>
    </row>
    <row r="3071" spans="1:12" x14ac:dyDescent="0.25">
      <c r="A3071" s="468" t="s">
        <v>220</v>
      </c>
      <c r="B3071" s="468" t="s">
        <v>5430</v>
      </c>
      <c r="C3071" s="468" t="s">
        <v>6069</v>
      </c>
      <c r="D3071" s="468" t="s">
        <v>6070</v>
      </c>
      <c r="F3071" s="470">
        <v>1</v>
      </c>
      <c r="G3071" s="468">
        <v>33.57</v>
      </c>
      <c r="H3071" s="479">
        <v>33.57</v>
      </c>
      <c r="I3071" s="468" t="s">
        <v>9218</v>
      </c>
      <c r="J3071" s="468" t="s">
        <v>9219</v>
      </c>
      <c r="K3071" s="468" t="s">
        <v>9219</v>
      </c>
      <c r="L3071" s="468" t="s">
        <v>2354</v>
      </c>
    </row>
    <row r="3072" spans="1:12" x14ac:dyDescent="0.25">
      <c r="A3072" s="468" t="s">
        <v>220</v>
      </c>
      <c r="B3072" s="468" t="s">
        <v>5430</v>
      </c>
      <c r="C3072" s="468" t="s">
        <v>6071</v>
      </c>
      <c r="D3072" s="468" t="s">
        <v>6072</v>
      </c>
      <c r="F3072" s="470">
        <v>4</v>
      </c>
      <c r="G3072" s="468">
        <v>33.57</v>
      </c>
      <c r="H3072" s="479">
        <v>134.28</v>
      </c>
      <c r="I3072" s="468" t="s">
        <v>9218</v>
      </c>
      <c r="J3072" s="468" t="s">
        <v>9219</v>
      </c>
      <c r="K3072" s="468" t="s">
        <v>9219</v>
      </c>
      <c r="L3072" s="468" t="s">
        <v>2354</v>
      </c>
    </row>
    <row r="3073" spans="1:12" x14ac:dyDescent="0.25">
      <c r="A3073" s="468" t="s">
        <v>220</v>
      </c>
      <c r="B3073" s="468" t="s">
        <v>5430</v>
      </c>
      <c r="C3073" s="468" t="s">
        <v>6073</v>
      </c>
      <c r="D3073" s="468" t="s">
        <v>6074</v>
      </c>
      <c r="F3073" s="470">
        <v>1</v>
      </c>
      <c r="G3073" s="468">
        <v>33.57</v>
      </c>
      <c r="H3073" s="479">
        <v>33.57</v>
      </c>
      <c r="I3073" s="468" t="s">
        <v>9218</v>
      </c>
      <c r="J3073" s="468" t="s">
        <v>9219</v>
      </c>
      <c r="K3073" s="468" t="s">
        <v>9219</v>
      </c>
      <c r="L3073" s="468" t="s">
        <v>2354</v>
      </c>
    </row>
    <row r="3074" spans="1:12" x14ac:dyDescent="0.25">
      <c r="A3074" s="468" t="s">
        <v>220</v>
      </c>
      <c r="B3074" s="468" t="s">
        <v>5430</v>
      </c>
      <c r="C3074" s="468" t="s">
        <v>6075</v>
      </c>
      <c r="D3074" s="468" t="s">
        <v>6076</v>
      </c>
      <c r="F3074" s="470">
        <v>2</v>
      </c>
      <c r="G3074" s="468">
        <v>37.804000000000002</v>
      </c>
      <c r="H3074" s="479">
        <v>75.608000000000004</v>
      </c>
      <c r="I3074" s="468" t="s">
        <v>9218</v>
      </c>
      <c r="J3074" s="468" t="s">
        <v>9219</v>
      </c>
      <c r="K3074" s="468" t="s">
        <v>9219</v>
      </c>
      <c r="L3074" s="468" t="s">
        <v>2354</v>
      </c>
    </row>
    <row r="3075" spans="1:12" x14ac:dyDescent="0.25">
      <c r="A3075" s="468" t="s">
        <v>220</v>
      </c>
      <c r="B3075" s="468" t="s">
        <v>5430</v>
      </c>
      <c r="C3075" s="468" t="s">
        <v>6077</v>
      </c>
      <c r="D3075" s="468" t="s">
        <v>6078</v>
      </c>
      <c r="F3075" s="470">
        <v>4</v>
      </c>
      <c r="G3075" s="468">
        <v>33.57</v>
      </c>
      <c r="H3075" s="479">
        <v>134.28</v>
      </c>
      <c r="I3075" s="468" t="s">
        <v>9218</v>
      </c>
      <c r="J3075" s="468" t="s">
        <v>9219</v>
      </c>
      <c r="K3075" s="468" t="s">
        <v>9219</v>
      </c>
      <c r="L3075" s="468" t="s">
        <v>2354</v>
      </c>
    </row>
    <row r="3076" spans="1:12" x14ac:dyDescent="0.25">
      <c r="A3076" s="468" t="s">
        <v>220</v>
      </c>
      <c r="B3076" s="468" t="s">
        <v>5430</v>
      </c>
      <c r="C3076" s="468" t="s">
        <v>5440</v>
      </c>
      <c r="D3076" s="468" t="s">
        <v>8071</v>
      </c>
      <c r="F3076" s="470">
        <v>1</v>
      </c>
      <c r="G3076" s="468">
        <v>1.7869999999999999</v>
      </c>
      <c r="H3076" s="479">
        <v>1.7869999999999999</v>
      </c>
      <c r="I3076" s="468" t="s">
        <v>9218</v>
      </c>
      <c r="J3076" s="468" t="s">
        <v>9219</v>
      </c>
      <c r="K3076" s="468" t="s">
        <v>9219</v>
      </c>
      <c r="L3076" s="468" t="s">
        <v>2354</v>
      </c>
    </row>
    <row r="3077" spans="1:12" x14ac:dyDescent="0.25">
      <c r="A3077" s="468" t="s">
        <v>220</v>
      </c>
      <c r="B3077" s="468" t="s">
        <v>5430</v>
      </c>
      <c r="C3077" s="468" t="s">
        <v>6079</v>
      </c>
      <c r="D3077" s="468" t="s">
        <v>8072</v>
      </c>
      <c r="F3077" s="470">
        <v>12</v>
      </c>
      <c r="G3077" s="468">
        <v>20.576000000000001</v>
      </c>
      <c r="H3077" s="479">
        <v>246.91200000000001</v>
      </c>
      <c r="I3077" s="468" t="s">
        <v>9218</v>
      </c>
      <c r="J3077" s="468" t="s">
        <v>9219</v>
      </c>
      <c r="K3077" s="468" t="s">
        <v>9219</v>
      </c>
      <c r="L3077" s="468" t="s">
        <v>2354</v>
      </c>
    </row>
    <row r="3078" spans="1:12" x14ac:dyDescent="0.25">
      <c r="A3078" s="468" t="s">
        <v>220</v>
      </c>
      <c r="B3078" s="468" t="s">
        <v>5430</v>
      </c>
      <c r="C3078" s="468" t="s">
        <v>6081</v>
      </c>
      <c r="D3078" s="468" t="s">
        <v>8073</v>
      </c>
      <c r="F3078" s="470">
        <v>4</v>
      </c>
      <c r="G3078" s="468">
        <v>23.085999999999999</v>
      </c>
      <c r="H3078" s="479">
        <v>92.343999999999994</v>
      </c>
      <c r="I3078" s="468" t="s">
        <v>9218</v>
      </c>
      <c r="J3078" s="468" t="s">
        <v>9219</v>
      </c>
      <c r="K3078" s="468" t="s">
        <v>9219</v>
      </c>
      <c r="L3078" s="468" t="s">
        <v>2354</v>
      </c>
    </row>
    <row r="3079" spans="1:12" x14ac:dyDescent="0.25">
      <c r="A3079" s="468" t="s">
        <v>220</v>
      </c>
      <c r="B3079" s="468" t="s">
        <v>5430</v>
      </c>
      <c r="C3079" s="468" t="s">
        <v>8074</v>
      </c>
      <c r="D3079" s="468" t="s">
        <v>8075</v>
      </c>
      <c r="F3079" s="470">
        <v>3</v>
      </c>
      <c r="G3079" s="468">
        <v>64.44</v>
      </c>
      <c r="H3079" s="479">
        <v>193.32</v>
      </c>
      <c r="I3079" s="468" t="s">
        <v>9218</v>
      </c>
      <c r="J3079" s="468" t="s">
        <v>9219</v>
      </c>
      <c r="K3079" s="468" t="s">
        <v>9219</v>
      </c>
      <c r="L3079" s="468" t="s">
        <v>2354</v>
      </c>
    </row>
    <row r="3080" spans="1:12" x14ac:dyDescent="0.25">
      <c r="A3080" s="468" t="s">
        <v>220</v>
      </c>
      <c r="B3080" s="468" t="s">
        <v>5430</v>
      </c>
      <c r="C3080" s="468" t="s">
        <v>6083</v>
      </c>
      <c r="D3080" s="468" t="s">
        <v>8076</v>
      </c>
      <c r="F3080" s="470">
        <v>3</v>
      </c>
      <c r="G3080" s="468">
        <v>169.56</v>
      </c>
      <c r="H3080" s="479">
        <v>508.68</v>
      </c>
      <c r="I3080" s="468" t="s">
        <v>9218</v>
      </c>
      <c r="J3080" s="468" t="s">
        <v>9219</v>
      </c>
      <c r="K3080" s="468" t="s">
        <v>9219</v>
      </c>
      <c r="L3080" s="468" t="s">
        <v>2354</v>
      </c>
    </row>
    <row r="3081" spans="1:12" x14ac:dyDescent="0.25">
      <c r="A3081" s="468" t="s">
        <v>220</v>
      </c>
      <c r="B3081" s="468" t="s">
        <v>5430</v>
      </c>
      <c r="C3081" s="468" t="s">
        <v>8078</v>
      </c>
      <c r="D3081" s="468" t="s">
        <v>3078</v>
      </c>
      <c r="F3081" s="470">
        <v>8</v>
      </c>
      <c r="G3081" s="468">
        <v>19.440000000000001</v>
      </c>
      <c r="H3081" s="479">
        <v>155.52000000000001</v>
      </c>
      <c r="I3081" s="468" t="s">
        <v>9218</v>
      </c>
      <c r="J3081" s="468" t="s">
        <v>9219</v>
      </c>
      <c r="K3081" s="468" t="s">
        <v>9219</v>
      </c>
      <c r="L3081" s="468" t="s">
        <v>2354</v>
      </c>
    </row>
    <row r="3082" spans="1:12" x14ac:dyDescent="0.25">
      <c r="A3082" s="468" t="s">
        <v>220</v>
      </c>
      <c r="B3082" s="468" t="s">
        <v>5430</v>
      </c>
      <c r="C3082" s="468" t="s">
        <v>8079</v>
      </c>
      <c r="D3082" s="468" t="s">
        <v>8080</v>
      </c>
      <c r="F3082" s="470">
        <v>2</v>
      </c>
      <c r="G3082" s="468">
        <v>216.68899999999999</v>
      </c>
      <c r="H3082" s="479">
        <v>433.37799999999999</v>
      </c>
      <c r="I3082" s="468" t="s">
        <v>9218</v>
      </c>
      <c r="J3082" s="468" t="s">
        <v>9219</v>
      </c>
      <c r="K3082" s="468" t="s">
        <v>9219</v>
      </c>
      <c r="L3082" s="468" t="s">
        <v>2354</v>
      </c>
    </row>
    <row r="3083" spans="1:12" x14ac:dyDescent="0.25">
      <c r="A3083" s="468" t="s">
        <v>220</v>
      </c>
      <c r="B3083" s="468" t="s">
        <v>5430</v>
      </c>
      <c r="C3083" s="468" t="s">
        <v>8081</v>
      </c>
      <c r="D3083" s="468" t="s">
        <v>6090</v>
      </c>
      <c r="F3083" s="470">
        <v>4</v>
      </c>
      <c r="G3083" s="468">
        <v>45.218000000000004</v>
      </c>
      <c r="H3083" s="479">
        <v>180.87200000000001</v>
      </c>
      <c r="I3083" s="468" t="s">
        <v>9218</v>
      </c>
      <c r="J3083" s="468" t="s">
        <v>9219</v>
      </c>
      <c r="K3083" s="468" t="s">
        <v>9219</v>
      </c>
      <c r="L3083" s="468" t="s">
        <v>2354</v>
      </c>
    </row>
    <row r="3084" spans="1:12" x14ac:dyDescent="0.25">
      <c r="A3084" s="468" t="s">
        <v>220</v>
      </c>
      <c r="B3084" s="468" t="s">
        <v>5430</v>
      </c>
      <c r="C3084" s="468" t="s">
        <v>6091</v>
      </c>
      <c r="D3084" s="468" t="s">
        <v>6092</v>
      </c>
      <c r="F3084" s="470">
        <v>38</v>
      </c>
      <c r="G3084" s="468">
        <v>26.411999999999999</v>
      </c>
      <c r="H3084" s="479">
        <v>1003.6559999999999</v>
      </c>
      <c r="I3084" s="468" t="s">
        <v>9218</v>
      </c>
      <c r="J3084" s="468" t="s">
        <v>9219</v>
      </c>
      <c r="K3084" s="468" t="s">
        <v>9219</v>
      </c>
      <c r="L3084" s="468" t="s">
        <v>2354</v>
      </c>
    </row>
    <row r="3085" spans="1:12" x14ac:dyDescent="0.25">
      <c r="A3085" s="468" t="s">
        <v>220</v>
      </c>
      <c r="B3085" s="468" t="s">
        <v>5430</v>
      </c>
      <c r="C3085" s="468" t="s">
        <v>6093</v>
      </c>
      <c r="D3085" s="468" t="s">
        <v>6094</v>
      </c>
      <c r="F3085" s="470">
        <v>3</v>
      </c>
      <c r="G3085" s="468">
        <v>21.696000000000002</v>
      </c>
      <c r="H3085" s="479">
        <v>65.088000000000008</v>
      </c>
      <c r="I3085" s="468" t="s">
        <v>9218</v>
      </c>
      <c r="J3085" s="468" t="s">
        <v>9219</v>
      </c>
      <c r="K3085" s="468" t="s">
        <v>9219</v>
      </c>
      <c r="L3085" s="468" t="s">
        <v>2354</v>
      </c>
    </row>
    <row r="3086" spans="1:12" x14ac:dyDescent="0.25">
      <c r="A3086" s="468" t="s">
        <v>220</v>
      </c>
      <c r="B3086" s="468" t="s">
        <v>5430</v>
      </c>
      <c r="C3086" s="468" t="s">
        <v>6095</v>
      </c>
      <c r="D3086" s="468" t="s">
        <v>6096</v>
      </c>
      <c r="F3086" s="470">
        <v>2</v>
      </c>
      <c r="G3086" s="468">
        <v>83.682000000000002</v>
      </c>
      <c r="H3086" s="479">
        <v>167.364</v>
      </c>
      <c r="I3086" s="468" t="s">
        <v>9218</v>
      </c>
      <c r="J3086" s="468" t="s">
        <v>9219</v>
      </c>
      <c r="K3086" s="468" t="s">
        <v>9219</v>
      </c>
      <c r="L3086" s="468" t="s">
        <v>2354</v>
      </c>
    </row>
    <row r="3087" spans="1:12" x14ac:dyDescent="0.25">
      <c r="A3087" s="468" t="s">
        <v>220</v>
      </c>
      <c r="B3087" s="468" t="s">
        <v>5430</v>
      </c>
      <c r="C3087" s="468" t="s">
        <v>6097</v>
      </c>
      <c r="D3087" s="468" t="s">
        <v>8082</v>
      </c>
      <c r="F3087" s="470">
        <v>4</v>
      </c>
      <c r="G3087" s="468">
        <v>44.521999999999998</v>
      </c>
      <c r="H3087" s="479">
        <v>178.08799999999999</v>
      </c>
      <c r="I3087" s="468" t="s">
        <v>9218</v>
      </c>
      <c r="J3087" s="468" t="s">
        <v>9219</v>
      </c>
      <c r="K3087" s="468" t="s">
        <v>9219</v>
      </c>
      <c r="L3087" s="468" t="s">
        <v>2354</v>
      </c>
    </row>
    <row r="3088" spans="1:12" x14ac:dyDescent="0.25">
      <c r="A3088" s="468" t="s">
        <v>220</v>
      </c>
      <c r="B3088" s="468" t="s">
        <v>5430</v>
      </c>
      <c r="C3088" s="468" t="s">
        <v>6099</v>
      </c>
      <c r="D3088" s="468" t="s">
        <v>8083</v>
      </c>
      <c r="F3088" s="470">
        <v>4</v>
      </c>
      <c r="G3088" s="468">
        <v>116.01</v>
      </c>
      <c r="H3088" s="479">
        <v>464.04</v>
      </c>
      <c r="I3088" s="468" t="s">
        <v>9218</v>
      </c>
      <c r="J3088" s="468" t="s">
        <v>9219</v>
      </c>
      <c r="K3088" s="468" t="s">
        <v>9219</v>
      </c>
      <c r="L3088" s="468" t="s">
        <v>2354</v>
      </c>
    </row>
    <row r="3089" spans="1:12" x14ac:dyDescent="0.25">
      <c r="A3089" s="468" t="s">
        <v>220</v>
      </c>
      <c r="B3089" s="468" t="s">
        <v>5430</v>
      </c>
      <c r="C3089" s="468" t="s">
        <v>6101</v>
      </c>
      <c r="D3089" s="468" t="s">
        <v>8084</v>
      </c>
      <c r="F3089" s="470">
        <v>5</v>
      </c>
      <c r="G3089" s="468">
        <v>166.77</v>
      </c>
      <c r="H3089" s="479">
        <v>833.85</v>
      </c>
      <c r="I3089" s="468" t="s">
        <v>9218</v>
      </c>
      <c r="J3089" s="468" t="s">
        <v>9219</v>
      </c>
      <c r="K3089" s="468" t="s">
        <v>9219</v>
      </c>
      <c r="L3089" s="468" t="s">
        <v>2354</v>
      </c>
    </row>
    <row r="3090" spans="1:12" x14ac:dyDescent="0.25">
      <c r="A3090" s="468" t="s">
        <v>220</v>
      </c>
      <c r="B3090" s="468" t="s">
        <v>5430</v>
      </c>
      <c r="C3090" s="468" t="s">
        <v>6103</v>
      </c>
      <c r="D3090" s="468" t="s">
        <v>8085</v>
      </c>
      <c r="F3090" s="470">
        <v>8</v>
      </c>
      <c r="G3090" s="468">
        <v>129.71</v>
      </c>
      <c r="H3090" s="479">
        <v>1037.68</v>
      </c>
      <c r="I3090" s="468" t="s">
        <v>9218</v>
      </c>
      <c r="J3090" s="468" t="s">
        <v>9219</v>
      </c>
      <c r="K3090" s="468" t="s">
        <v>9219</v>
      </c>
      <c r="L3090" s="468" t="s">
        <v>2354</v>
      </c>
    </row>
    <row r="3091" spans="1:12" x14ac:dyDescent="0.25">
      <c r="A3091" s="468" t="s">
        <v>220</v>
      </c>
      <c r="B3091" s="468" t="s">
        <v>5430</v>
      </c>
      <c r="C3091" s="468" t="s">
        <v>6105</v>
      </c>
      <c r="D3091" s="468" t="s">
        <v>8086</v>
      </c>
      <c r="F3091" s="470">
        <v>4</v>
      </c>
      <c r="G3091" s="468">
        <v>115.998</v>
      </c>
      <c r="H3091" s="479">
        <v>463.99200000000002</v>
      </c>
      <c r="I3091" s="468" t="s">
        <v>9218</v>
      </c>
      <c r="J3091" s="468" t="s">
        <v>9219</v>
      </c>
      <c r="K3091" s="468" t="s">
        <v>9219</v>
      </c>
      <c r="L3091" s="468" t="s">
        <v>2354</v>
      </c>
    </row>
    <row r="3092" spans="1:12" x14ac:dyDescent="0.25">
      <c r="A3092" s="468" t="s">
        <v>220</v>
      </c>
      <c r="B3092" s="468" t="s">
        <v>5430</v>
      </c>
      <c r="C3092" s="468" t="s">
        <v>6107</v>
      </c>
      <c r="D3092" s="468" t="s">
        <v>8087</v>
      </c>
      <c r="F3092" s="470">
        <v>4</v>
      </c>
      <c r="G3092" s="468">
        <v>60.418999999999997</v>
      </c>
      <c r="H3092" s="479">
        <v>241.67599999999999</v>
      </c>
      <c r="I3092" s="468" t="s">
        <v>9218</v>
      </c>
      <c r="J3092" s="468" t="s">
        <v>9219</v>
      </c>
      <c r="K3092" s="468" t="s">
        <v>9219</v>
      </c>
      <c r="L3092" s="468" t="s">
        <v>2354</v>
      </c>
    </row>
    <row r="3093" spans="1:12" x14ac:dyDescent="0.25">
      <c r="A3093" s="468" t="s">
        <v>220</v>
      </c>
      <c r="B3093" s="468" t="s">
        <v>5430</v>
      </c>
      <c r="C3093" s="468" t="s">
        <v>6109</v>
      </c>
      <c r="D3093" s="468" t="s">
        <v>8088</v>
      </c>
      <c r="F3093" s="470">
        <v>1</v>
      </c>
      <c r="G3093" s="468">
        <v>192.51400000000001</v>
      </c>
      <c r="H3093" s="479">
        <v>192.51400000000001</v>
      </c>
      <c r="I3093" s="468" t="s">
        <v>9218</v>
      </c>
      <c r="J3093" s="468" t="s">
        <v>9219</v>
      </c>
      <c r="K3093" s="468" t="s">
        <v>9219</v>
      </c>
      <c r="L3093" s="468" t="s">
        <v>2354</v>
      </c>
    </row>
    <row r="3094" spans="1:12" x14ac:dyDescent="0.25">
      <c r="A3094" s="468" t="s">
        <v>220</v>
      </c>
      <c r="B3094" s="468" t="s">
        <v>5430</v>
      </c>
      <c r="C3094" s="468" t="s">
        <v>8089</v>
      </c>
      <c r="D3094" s="468" t="s">
        <v>8090</v>
      </c>
      <c r="F3094" s="470">
        <v>7</v>
      </c>
      <c r="G3094" s="468">
        <v>37.896999999999998</v>
      </c>
      <c r="H3094" s="479">
        <v>265.279</v>
      </c>
      <c r="I3094" s="468" t="s">
        <v>9218</v>
      </c>
      <c r="J3094" s="468" t="s">
        <v>9219</v>
      </c>
      <c r="K3094" s="468" t="s">
        <v>9219</v>
      </c>
      <c r="L3094" s="468" t="s">
        <v>2354</v>
      </c>
    </row>
    <row r="3095" spans="1:12" x14ac:dyDescent="0.25">
      <c r="A3095" s="468" t="s">
        <v>220</v>
      </c>
      <c r="B3095" s="468" t="s">
        <v>5430</v>
      </c>
      <c r="C3095" s="468" t="s">
        <v>6113</v>
      </c>
      <c r="D3095" s="468" t="s">
        <v>8091</v>
      </c>
      <c r="F3095" s="470">
        <v>2</v>
      </c>
      <c r="G3095" s="468">
        <v>102.24</v>
      </c>
      <c r="H3095" s="479">
        <v>204.48</v>
      </c>
      <c r="I3095" s="468" t="s">
        <v>9218</v>
      </c>
      <c r="J3095" s="468" t="s">
        <v>9219</v>
      </c>
      <c r="K3095" s="468" t="s">
        <v>9219</v>
      </c>
      <c r="L3095" s="468" t="s">
        <v>2354</v>
      </c>
    </row>
    <row r="3096" spans="1:12" x14ac:dyDescent="0.25">
      <c r="A3096" s="468" t="s">
        <v>220</v>
      </c>
      <c r="B3096" s="468" t="s">
        <v>5430</v>
      </c>
      <c r="C3096" s="468" t="s">
        <v>3079</v>
      </c>
      <c r="D3096" s="468" t="s">
        <v>3080</v>
      </c>
      <c r="F3096" s="470">
        <v>5</v>
      </c>
      <c r="G3096" s="468">
        <v>22.138000000000002</v>
      </c>
      <c r="H3096" s="479">
        <v>110.69000000000001</v>
      </c>
      <c r="I3096" s="468" t="s">
        <v>9218</v>
      </c>
      <c r="J3096" s="468" t="s">
        <v>9219</v>
      </c>
      <c r="K3096" s="468" t="s">
        <v>9219</v>
      </c>
      <c r="L3096" s="468" t="s">
        <v>2354</v>
      </c>
    </row>
    <row r="3097" spans="1:12" x14ac:dyDescent="0.25">
      <c r="A3097" s="468" t="s">
        <v>220</v>
      </c>
      <c r="B3097" s="468" t="s">
        <v>5430</v>
      </c>
      <c r="C3097" s="468" t="s">
        <v>6117</v>
      </c>
      <c r="D3097" s="468" t="s">
        <v>8093</v>
      </c>
      <c r="F3097" s="470">
        <v>1</v>
      </c>
      <c r="G3097" s="468">
        <v>253.16800000000001</v>
      </c>
      <c r="H3097" s="479">
        <v>253.16800000000001</v>
      </c>
      <c r="I3097" s="468" t="s">
        <v>9218</v>
      </c>
      <c r="J3097" s="468" t="s">
        <v>9219</v>
      </c>
      <c r="K3097" s="468" t="s">
        <v>9219</v>
      </c>
      <c r="L3097" s="468" t="s">
        <v>2354</v>
      </c>
    </row>
    <row r="3098" spans="1:12" x14ac:dyDescent="0.25">
      <c r="A3098" s="468" t="s">
        <v>220</v>
      </c>
      <c r="B3098" s="468" t="s">
        <v>5430</v>
      </c>
      <c r="C3098" s="468" t="s">
        <v>8094</v>
      </c>
      <c r="D3098" s="468" t="s">
        <v>8095</v>
      </c>
      <c r="F3098" s="470">
        <v>1</v>
      </c>
      <c r="G3098" s="468">
        <v>102.24</v>
      </c>
      <c r="H3098" s="479">
        <v>102.24</v>
      </c>
      <c r="I3098" s="468" t="s">
        <v>9218</v>
      </c>
      <c r="J3098" s="468" t="s">
        <v>9219</v>
      </c>
      <c r="K3098" s="468" t="s">
        <v>9219</v>
      </c>
      <c r="L3098" s="468" t="s">
        <v>2354</v>
      </c>
    </row>
    <row r="3099" spans="1:12" x14ac:dyDescent="0.25">
      <c r="A3099" s="468" t="s">
        <v>220</v>
      </c>
      <c r="B3099" s="468" t="s">
        <v>5430</v>
      </c>
      <c r="C3099" s="468" t="s">
        <v>6119</v>
      </c>
      <c r="D3099" s="468" t="s">
        <v>8096</v>
      </c>
      <c r="F3099" s="470">
        <v>2</v>
      </c>
      <c r="G3099" s="468">
        <v>102.24</v>
      </c>
      <c r="H3099" s="479">
        <v>204.48</v>
      </c>
      <c r="I3099" s="468" t="s">
        <v>9218</v>
      </c>
      <c r="J3099" s="468" t="s">
        <v>9219</v>
      </c>
      <c r="K3099" s="468" t="s">
        <v>9219</v>
      </c>
      <c r="L3099" s="468" t="s">
        <v>2354</v>
      </c>
    </row>
    <row r="3100" spans="1:12" x14ac:dyDescent="0.25">
      <c r="A3100" s="468" t="s">
        <v>220</v>
      </c>
      <c r="B3100" s="468" t="s">
        <v>5430</v>
      </c>
      <c r="C3100" s="468" t="s">
        <v>6121</v>
      </c>
      <c r="D3100" s="468" t="s">
        <v>6122</v>
      </c>
      <c r="F3100" s="470">
        <v>5</v>
      </c>
      <c r="G3100" s="468">
        <v>87.78</v>
      </c>
      <c r="H3100" s="479">
        <v>438.9</v>
      </c>
      <c r="I3100" s="468" t="s">
        <v>9218</v>
      </c>
      <c r="J3100" s="468" t="s">
        <v>9219</v>
      </c>
      <c r="K3100" s="468" t="s">
        <v>9219</v>
      </c>
      <c r="L3100" s="468" t="s">
        <v>2354</v>
      </c>
    </row>
    <row r="3101" spans="1:12" x14ac:dyDescent="0.25">
      <c r="A3101" s="468" t="s">
        <v>220</v>
      </c>
      <c r="B3101" s="468" t="s">
        <v>5430</v>
      </c>
      <c r="C3101" s="468" t="s">
        <v>6123</v>
      </c>
      <c r="D3101" s="468" t="s">
        <v>8097</v>
      </c>
      <c r="F3101" s="470">
        <v>6</v>
      </c>
      <c r="G3101" s="468">
        <v>186.74600000000001</v>
      </c>
      <c r="H3101" s="479">
        <v>1120.4760000000001</v>
      </c>
      <c r="I3101" s="468" t="s">
        <v>9218</v>
      </c>
      <c r="J3101" s="468" t="s">
        <v>9219</v>
      </c>
      <c r="K3101" s="468" t="s">
        <v>9219</v>
      </c>
      <c r="L3101" s="468" t="s">
        <v>2354</v>
      </c>
    </row>
    <row r="3102" spans="1:12" x14ac:dyDescent="0.25">
      <c r="A3102" s="468" t="s">
        <v>220</v>
      </c>
      <c r="B3102" s="468" t="s">
        <v>5430</v>
      </c>
      <c r="C3102" s="468" t="s">
        <v>8098</v>
      </c>
      <c r="D3102" s="468" t="s">
        <v>8099</v>
      </c>
      <c r="F3102" s="470">
        <v>2</v>
      </c>
      <c r="G3102" s="468">
        <v>59.4</v>
      </c>
      <c r="H3102" s="479">
        <v>118.8</v>
      </c>
      <c r="I3102" s="468" t="s">
        <v>9218</v>
      </c>
      <c r="J3102" s="468" t="s">
        <v>9219</v>
      </c>
      <c r="K3102" s="468" t="s">
        <v>9219</v>
      </c>
      <c r="L3102" s="468" t="s">
        <v>2354</v>
      </c>
    </row>
    <row r="3103" spans="1:12" x14ac:dyDescent="0.25">
      <c r="A3103" s="468" t="s">
        <v>220</v>
      </c>
      <c r="B3103" s="468" t="s">
        <v>5430</v>
      </c>
      <c r="C3103" s="468" t="s">
        <v>6127</v>
      </c>
      <c r="D3103" s="468" t="s">
        <v>8100</v>
      </c>
      <c r="F3103" s="470">
        <v>5</v>
      </c>
      <c r="G3103" s="468">
        <v>33.786000000000001</v>
      </c>
      <c r="H3103" s="479">
        <v>168.93</v>
      </c>
      <c r="I3103" s="468" t="s">
        <v>9218</v>
      </c>
      <c r="J3103" s="468" t="s">
        <v>9219</v>
      </c>
      <c r="K3103" s="468" t="s">
        <v>9219</v>
      </c>
      <c r="L3103" s="468" t="s">
        <v>2354</v>
      </c>
    </row>
    <row r="3104" spans="1:12" x14ac:dyDescent="0.25">
      <c r="A3104" s="468" t="s">
        <v>220</v>
      </c>
      <c r="B3104" s="468" t="s">
        <v>5430</v>
      </c>
      <c r="C3104" s="468" t="s">
        <v>8101</v>
      </c>
      <c r="D3104" s="468" t="s">
        <v>8102</v>
      </c>
      <c r="F3104" s="470">
        <v>12</v>
      </c>
      <c r="G3104" s="468">
        <v>7.6289999999999996</v>
      </c>
      <c r="H3104" s="479">
        <v>91.548000000000002</v>
      </c>
      <c r="I3104" s="468" t="s">
        <v>9218</v>
      </c>
      <c r="J3104" s="468" t="s">
        <v>9219</v>
      </c>
      <c r="K3104" s="468" t="s">
        <v>9219</v>
      </c>
      <c r="L3104" s="468" t="s">
        <v>2354</v>
      </c>
    </row>
    <row r="3105" spans="1:12" x14ac:dyDescent="0.25">
      <c r="A3105" s="468" t="s">
        <v>220</v>
      </c>
      <c r="B3105" s="468" t="s">
        <v>5430</v>
      </c>
      <c r="C3105" s="468" t="s">
        <v>6131</v>
      </c>
      <c r="D3105" s="468" t="s">
        <v>8103</v>
      </c>
      <c r="F3105" s="470">
        <v>3</v>
      </c>
      <c r="G3105" s="468">
        <v>46.94</v>
      </c>
      <c r="H3105" s="479">
        <v>140.82</v>
      </c>
      <c r="I3105" s="468" t="s">
        <v>9218</v>
      </c>
      <c r="J3105" s="468" t="s">
        <v>9219</v>
      </c>
      <c r="K3105" s="468" t="s">
        <v>9219</v>
      </c>
      <c r="L3105" s="468" t="s">
        <v>2354</v>
      </c>
    </row>
    <row r="3106" spans="1:12" x14ac:dyDescent="0.25">
      <c r="A3106" s="468" t="s">
        <v>220</v>
      </c>
      <c r="B3106" s="468" t="s">
        <v>5430</v>
      </c>
      <c r="C3106" s="468" t="s">
        <v>8104</v>
      </c>
      <c r="D3106" s="468" t="s">
        <v>8105</v>
      </c>
      <c r="F3106" s="470">
        <v>4</v>
      </c>
      <c r="G3106" s="468">
        <v>43.616999999999997</v>
      </c>
      <c r="H3106" s="479">
        <v>174.46799999999999</v>
      </c>
      <c r="I3106" s="468" t="s">
        <v>9218</v>
      </c>
      <c r="J3106" s="468" t="s">
        <v>9219</v>
      </c>
      <c r="K3106" s="468" t="s">
        <v>9219</v>
      </c>
      <c r="L3106" s="468" t="s">
        <v>2354</v>
      </c>
    </row>
    <row r="3107" spans="1:12" x14ac:dyDescent="0.25">
      <c r="A3107" s="468" t="s">
        <v>220</v>
      </c>
      <c r="B3107" s="468" t="s">
        <v>5430</v>
      </c>
      <c r="C3107" s="468" t="s">
        <v>5454</v>
      </c>
      <c r="D3107" s="468" t="s">
        <v>8106</v>
      </c>
      <c r="F3107" s="470">
        <v>1</v>
      </c>
      <c r="G3107" s="468">
        <v>15.21</v>
      </c>
      <c r="H3107" s="479">
        <v>15.21</v>
      </c>
      <c r="I3107" s="468" t="s">
        <v>9218</v>
      </c>
      <c r="J3107" s="468" t="s">
        <v>9219</v>
      </c>
      <c r="K3107" s="468" t="s">
        <v>9219</v>
      </c>
      <c r="L3107" s="468" t="s">
        <v>2354</v>
      </c>
    </row>
    <row r="3108" spans="1:12" x14ac:dyDescent="0.25">
      <c r="A3108" s="468" t="s">
        <v>220</v>
      </c>
      <c r="B3108" s="468" t="s">
        <v>5430</v>
      </c>
      <c r="C3108" s="468" t="s">
        <v>6135</v>
      </c>
      <c r="D3108" s="468" t="s">
        <v>8107</v>
      </c>
      <c r="F3108" s="470">
        <v>1</v>
      </c>
      <c r="G3108" s="468">
        <v>89.543000000000006</v>
      </c>
      <c r="H3108" s="479">
        <v>89.543000000000006</v>
      </c>
      <c r="I3108" s="468" t="s">
        <v>9218</v>
      </c>
      <c r="J3108" s="468" t="s">
        <v>9219</v>
      </c>
      <c r="K3108" s="468" t="s">
        <v>9219</v>
      </c>
      <c r="L3108" s="468" t="s">
        <v>2354</v>
      </c>
    </row>
    <row r="3109" spans="1:12" x14ac:dyDescent="0.25">
      <c r="A3109" s="468" t="s">
        <v>220</v>
      </c>
      <c r="B3109" s="468" t="s">
        <v>5430</v>
      </c>
      <c r="C3109" s="468" t="s">
        <v>6137</v>
      </c>
      <c r="D3109" s="468" t="s">
        <v>8108</v>
      </c>
      <c r="F3109" s="470">
        <v>6</v>
      </c>
      <c r="G3109" s="468">
        <v>138.08099999999999</v>
      </c>
      <c r="H3109" s="479">
        <v>828.48599999999988</v>
      </c>
      <c r="I3109" s="468" t="s">
        <v>9218</v>
      </c>
      <c r="J3109" s="468" t="s">
        <v>9219</v>
      </c>
      <c r="K3109" s="468" t="s">
        <v>9219</v>
      </c>
      <c r="L3109" s="468" t="s">
        <v>2354</v>
      </c>
    </row>
    <row r="3110" spans="1:12" x14ac:dyDescent="0.25">
      <c r="A3110" s="468" t="s">
        <v>220</v>
      </c>
      <c r="B3110" s="468" t="s">
        <v>5430</v>
      </c>
      <c r="C3110" s="468" t="s">
        <v>6139</v>
      </c>
      <c r="D3110" s="468" t="s">
        <v>8109</v>
      </c>
      <c r="F3110" s="470">
        <v>6</v>
      </c>
      <c r="G3110" s="468">
        <v>28.08</v>
      </c>
      <c r="H3110" s="479">
        <v>168.48</v>
      </c>
      <c r="I3110" s="468" t="s">
        <v>9218</v>
      </c>
      <c r="J3110" s="468" t="s">
        <v>9219</v>
      </c>
      <c r="K3110" s="468" t="s">
        <v>9219</v>
      </c>
      <c r="L3110" s="468" t="s">
        <v>2354</v>
      </c>
    </row>
    <row r="3111" spans="1:12" x14ac:dyDescent="0.25">
      <c r="A3111" s="468" t="s">
        <v>220</v>
      </c>
      <c r="B3111" s="468" t="s">
        <v>5430</v>
      </c>
      <c r="C3111" s="468" t="s">
        <v>6141</v>
      </c>
      <c r="D3111" s="468" t="s">
        <v>8110</v>
      </c>
      <c r="F3111" s="470">
        <v>6</v>
      </c>
      <c r="G3111" s="468">
        <v>38.700000000000003</v>
      </c>
      <c r="H3111" s="479">
        <v>232.20000000000002</v>
      </c>
      <c r="I3111" s="468" t="s">
        <v>9218</v>
      </c>
      <c r="J3111" s="468" t="s">
        <v>9219</v>
      </c>
      <c r="K3111" s="468" t="s">
        <v>9219</v>
      </c>
      <c r="L3111" s="468" t="s">
        <v>2354</v>
      </c>
    </row>
    <row r="3112" spans="1:12" x14ac:dyDescent="0.25">
      <c r="A3112" s="468" t="s">
        <v>220</v>
      </c>
      <c r="B3112" s="468" t="s">
        <v>5430</v>
      </c>
      <c r="C3112" s="468" t="s">
        <v>6143</v>
      </c>
      <c r="D3112" s="468" t="s">
        <v>8111</v>
      </c>
      <c r="F3112" s="470">
        <v>2</v>
      </c>
      <c r="G3112" s="468">
        <v>19.643000000000001</v>
      </c>
      <c r="H3112" s="479">
        <v>39.286000000000001</v>
      </c>
      <c r="I3112" s="468" t="s">
        <v>9218</v>
      </c>
      <c r="J3112" s="468" t="s">
        <v>9219</v>
      </c>
      <c r="K3112" s="468" t="s">
        <v>9219</v>
      </c>
      <c r="L3112" s="468" t="s">
        <v>2354</v>
      </c>
    </row>
    <row r="3113" spans="1:12" x14ac:dyDescent="0.25">
      <c r="A3113" s="468" t="s">
        <v>220</v>
      </c>
      <c r="B3113" s="468" t="s">
        <v>5430</v>
      </c>
      <c r="C3113" s="468" t="s">
        <v>5370</v>
      </c>
      <c r="D3113" s="468" t="s">
        <v>5371</v>
      </c>
      <c r="F3113" s="470">
        <v>5</v>
      </c>
      <c r="G3113" s="468">
        <v>11.438000000000001</v>
      </c>
      <c r="H3113" s="479">
        <v>57.190000000000005</v>
      </c>
      <c r="I3113" s="468" t="s">
        <v>9218</v>
      </c>
      <c r="J3113" s="468" t="s">
        <v>9219</v>
      </c>
      <c r="K3113" s="468" t="s">
        <v>9219</v>
      </c>
      <c r="L3113" s="468" t="s">
        <v>2354</v>
      </c>
    </row>
    <row r="3114" spans="1:12" x14ac:dyDescent="0.25">
      <c r="A3114" s="468" t="s">
        <v>220</v>
      </c>
      <c r="B3114" s="468" t="s">
        <v>5430</v>
      </c>
      <c r="C3114" s="468" t="s">
        <v>6146</v>
      </c>
      <c r="D3114" s="468" t="s">
        <v>8112</v>
      </c>
      <c r="F3114" s="470">
        <v>42</v>
      </c>
      <c r="G3114" s="468">
        <v>20.884</v>
      </c>
      <c r="H3114" s="479">
        <v>877.12800000000004</v>
      </c>
      <c r="I3114" s="468" t="s">
        <v>9218</v>
      </c>
      <c r="J3114" s="468" t="s">
        <v>9219</v>
      </c>
      <c r="K3114" s="468" t="s">
        <v>9219</v>
      </c>
      <c r="L3114" s="468" t="s">
        <v>2354</v>
      </c>
    </row>
    <row r="3115" spans="1:12" x14ac:dyDescent="0.25">
      <c r="A3115" s="468" t="s">
        <v>220</v>
      </c>
      <c r="B3115" s="468" t="s">
        <v>5430</v>
      </c>
      <c r="C3115" s="468" t="s">
        <v>6148</v>
      </c>
      <c r="D3115" s="468" t="s">
        <v>8113</v>
      </c>
      <c r="F3115" s="470">
        <v>3</v>
      </c>
      <c r="G3115" s="468">
        <v>23.238</v>
      </c>
      <c r="H3115" s="479">
        <v>69.713999999999999</v>
      </c>
      <c r="I3115" s="468" t="s">
        <v>9218</v>
      </c>
      <c r="J3115" s="468" t="s">
        <v>9219</v>
      </c>
      <c r="K3115" s="468" t="s">
        <v>9219</v>
      </c>
      <c r="L3115" s="468" t="s">
        <v>2354</v>
      </c>
    </row>
    <row r="3116" spans="1:12" x14ac:dyDescent="0.25">
      <c r="A3116" s="468" t="s">
        <v>220</v>
      </c>
      <c r="B3116" s="468" t="s">
        <v>5430</v>
      </c>
      <c r="C3116" s="468" t="s">
        <v>6150</v>
      </c>
      <c r="D3116" s="468" t="s">
        <v>8114</v>
      </c>
      <c r="F3116" s="470">
        <v>2</v>
      </c>
      <c r="G3116" s="468">
        <v>75.099000000000004</v>
      </c>
      <c r="H3116" s="479">
        <v>150.19800000000001</v>
      </c>
      <c r="I3116" s="468" t="s">
        <v>9218</v>
      </c>
      <c r="J3116" s="468" t="s">
        <v>9219</v>
      </c>
      <c r="K3116" s="468" t="s">
        <v>9219</v>
      </c>
      <c r="L3116" s="468" t="s">
        <v>2354</v>
      </c>
    </row>
    <row r="3117" spans="1:12" x14ac:dyDescent="0.25">
      <c r="A3117" s="468" t="s">
        <v>220</v>
      </c>
      <c r="B3117" s="468" t="s">
        <v>5430</v>
      </c>
      <c r="C3117" s="468" t="s">
        <v>6152</v>
      </c>
      <c r="D3117" s="468" t="s">
        <v>6153</v>
      </c>
      <c r="F3117" s="470">
        <v>2</v>
      </c>
      <c r="G3117" s="468">
        <v>37.706000000000003</v>
      </c>
      <c r="H3117" s="479">
        <v>75.412000000000006</v>
      </c>
      <c r="I3117" s="468" t="s">
        <v>9218</v>
      </c>
      <c r="J3117" s="468" t="s">
        <v>9219</v>
      </c>
      <c r="K3117" s="468" t="s">
        <v>9219</v>
      </c>
      <c r="L3117" s="468" t="s">
        <v>2354</v>
      </c>
    </row>
    <row r="3118" spans="1:12" x14ac:dyDescent="0.25">
      <c r="A3118" s="468" t="s">
        <v>220</v>
      </c>
      <c r="B3118" s="468" t="s">
        <v>5430</v>
      </c>
      <c r="C3118" s="468" t="s">
        <v>6154</v>
      </c>
      <c r="D3118" s="468" t="s">
        <v>8115</v>
      </c>
      <c r="F3118" s="470">
        <v>2</v>
      </c>
      <c r="G3118" s="468">
        <v>24.623999999999999</v>
      </c>
      <c r="H3118" s="479">
        <v>49.247999999999998</v>
      </c>
      <c r="I3118" s="468" t="s">
        <v>9218</v>
      </c>
      <c r="J3118" s="468" t="s">
        <v>9219</v>
      </c>
      <c r="K3118" s="468" t="s">
        <v>9219</v>
      </c>
      <c r="L3118" s="468" t="s">
        <v>2354</v>
      </c>
    </row>
    <row r="3119" spans="1:12" x14ac:dyDescent="0.25">
      <c r="A3119" s="468" t="s">
        <v>220</v>
      </c>
      <c r="B3119" s="468" t="s">
        <v>5430</v>
      </c>
      <c r="C3119" s="468" t="s">
        <v>6156</v>
      </c>
      <c r="D3119" s="468" t="s">
        <v>8116</v>
      </c>
      <c r="F3119" s="470">
        <v>3</v>
      </c>
      <c r="G3119" s="468">
        <v>26.891999999999999</v>
      </c>
      <c r="H3119" s="479">
        <v>80.676000000000002</v>
      </c>
      <c r="I3119" s="468" t="s">
        <v>9218</v>
      </c>
      <c r="J3119" s="468" t="s">
        <v>9219</v>
      </c>
      <c r="K3119" s="468" t="s">
        <v>9219</v>
      </c>
      <c r="L3119" s="468" t="s">
        <v>2354</v>
      </c>
    </row>
    <row r="3120" spans="1:12" x14ac:dyDescent="0.25">
      <c r="A3120" s="468" t="s">
        <v>220</v>
      </c>
      <c r="B3120" s="468" t="s">
        <v>5430</v>
      </c>
      <c r="C3120" s="468" t="s">
        <v>6158</v>
      </c>
      <c r="D3120" s="468" t="s">
        <v>8117</v>
      </c>
      <c r="F3120" s="470">
        <v>2</v>
      </c>
      <c r="G3120" s="468">
        <v>21.134</v>
      </c>
      <c r="H3120" s="479">
        <v>42.268000000000001</v>
      </c>
      <c r="I3120" s="468" t="s">
        <v>9218</v>
      </c>
      <c r="J3120" s="468" t="s">
        <v>9219</v>
      </c>
      <c r="K3120" s="468" t="s">
        <v>9219</v>
      </c>
      <c r="L3120" s="468" t="s">
        <v>2354</v>
      </c>
    </row>
    <row r="3121" spans="1:12" x14ac:dyDescent="0.25">
      <c r="A3121" s="468" t="s">
        <v>220</v>
      </c>
      <c r="B3121" s="468" t="s">
        <v>5430</v>
      </c>
      <c r="C3121" s="468" t="s">
        <v>6160</v>
      </c>
      <c r="D3121" s="468" t="s">
        <v>8118</v>
      </c>
      <c r="F3121" s="470">
        <v>2</v>
      </c>
      <c r="G3121" s="468">
        <v>67.177999999999997</v>
      </c>
      <c r="H3121" s="479">
        <v>134.35599999999999</v>
      </c>
      <c r="I3121" s="468" t="s">
        <v>9218</v>
      </c>
      <c r="J3121" s="468" t="s">
        <v>9219</v>
      </c>
      <c r="K3121" s="468" t="s">
        <v>9219</v>
      </c>
      <c r="L3121" s="468" t="s">
        <v>2354</v>
      </c>
    </row>
    <row r="3122" spans="1:12" x14ac:dyDescent="0.25">
      <c r="A3122" s="468" t="s">
        <v>220</v>
      </c>
      <c r="B3122" s="468" t="s">
        <v>5430</v>
      </c>
      <c r="C3122" s="468" t="s">
        <v>6162</v>
      </c>
      <c r="D3122" s="468" t="s">
        <v>8119</v>
      </c>
      <c r="F3122" s="470">
        <v>2</v>
      </c>
      <c r="G3122" s="468">
        <v>113.4</v>
      </c>
      <c r="H3122" s="479">
        <v>226.8</v>
      </c>
      <c r="I3122" s="468" t="s">
        <v>9218</v>
      </c>
      <c r="J3122" s="468" t="s">
        <v>9219</v>
      </c>
      <c r="K3122" s="468" t="s">
        <v>9219</v>
      </c>
      <c r="L3122" s="468" t="s">
        <v>2354</v>
      </c>
    </row>
    <row r="3123" spans="1:12" x14ac:dyDescent="0.25">
      <c r="A3123" s="468" t="s">
        <v>220</v>
      </c>
      <c r="B3123" s="468" t="s">
        <v>5430</v>
      </c>
      <c r="C3123" s="468" t="s">
        <v>6164</v>
      </c>
      <c r="D3123" s="468" t="s">
        <v>8120</v>
      </c>
      <c r="F3123" s="470">
        <v>2</v>
      </c>
      <c r="G3123" s="468">
        <v>104.997</v>
      </c>
      <c r="H3123" s="479">
        <v>209.994</v>
      </c>
      <c r="I3123" s="468" t="s">
        <v>9218</v>
      </c>
      <c r="J3123" s="468" t="s">
        <v>9219</v>
      </c>
      <c r="K3123" s="468" t="s">
        <v>9219</v>
      </c>
      <c r="L3123" s="468" t="s">
        <v>2354</v>
      </c>
    </row>
    <row r="3124" spans="1:12" x14ac:dyDescent="0.25">
      <c r="A3124" s="468" t="s">
        <v>220</v>
      </c>
      <c r="B3124" s="468" t="s">
        <v>5430</v>
      </c>
      <c r="C3124" s="468" t="s">
        <v>6166</v>
      </c>
      <c r="D3124" s="468" t="s">
        <v>8121</v>
      </c>
      <c r="F3124" s="470">
        <v>6</v>
      </c>
      <c r="G3124" s="468">
        <v>41.37</v>
      </c>
      <c r="H3124" s="479">
        <v>248.21999999999997</v>
      </c>
      <c r="I3124" s="468" t="s">
        <v>9218</v>
      </c>
      <c r="J3124" s="468" t="s">
        <v>9219</v>
      </c>
      <c r="K3124" s="468" t="s">
        <v>9219</v>
      </c>
      <c r="L3124" s="468" t="s">
        <v>2354</v>
      </c>
    </row>
    <row r="3125" spans="1:12" x14ac:dyDescent="0.25">
      <c r="A3125" s="468" t="s">
        <v>220</v>
      </c>
      <c r="B3125" s="468" t="s">
        <v>5430</v>
      </c>
      <c r="C3125" s="468" t="s">
        <v>6168</v>
      </c>
      <c r="D3125" s="468" t="s">
        <v>8122</v>
      </c>
      <c r="F3125" s="470">
        <v>7</v>
      </c>
      <c r="G3125" s="468">
        <v>10.492000000000001</v>
      </c>
      <c r="H3125" s="479">
        <v>73.444000000000003</v>
      </c>
      <c r="I3125" s="468" t="s">
        <v>9218</v>
      </c>
      <c r="J3125" s="468" t="s">
        <v>9219</v>
      </c>
      <c r="K3125" s="468" t="s">
        <v>9219</v>
      </c>
      <c r="L3125" s="468" t="s">
        <v>2354</v>
      </c>
    </row>
    <row r="3126" spans="1:12" x14ac:dyDescent="0.25">
      <c r="A3126" s="468" t="s">
        <v>220</v>
      </c>
      <c r="B3126" s="468" t="s">
        <v>5430</v>
      </c>
      <c r="C3126" s="468" t="s">
        <v>6170</v>
      </c>
      <c r="D3126" s="468" t="s">
        <v>8123</v>
      </c>
      <c r="F3126" s="470">
        <v>2</v>
      </c>
      <c r="G3126" s="468">
        <v>239.04</v>
      </c>
      <c r="H3126" s="479">
        <v>478.08</v>
      </c>
      <c r="I3126" s="468" t="s">
        <v>9218</v>
      </c>
      <c r="J3126" s="468" t="s">
        <v>9219</v>
      </c>
      <c r="K3126" s="468" t="s">
        <v>9219</v>
      </c>
      <c r="L3126" s="468" t="s">
        <v>2354</v>
      </c>
    </row>
    <row r="3127" spans="1:12" x14ac:dyDescent="0.25">
      <c r="A3127" s="468" t="s">
        <v>220</v>
      </c>
      <c r="B3127" s="468" t="s">
        <v>5430</v>
      </c>
      <c r="C3127" s="468" t="s">
        <v>6172</v>
      </c>
      <c r="D3127" s="468" t="s">
        <v>8124</v>
      </c>
      <c r="F3127" s="470">
        <v>2</v>
      </c>
      <c r="G3127" s="468">
        <v>47.34</v>
      </c>
      <c r="H3127" s="479">
        <v>94.68</v>
      </c>
      <c r="I3127" s="468" t="s">
        <v>9218</v>
      </c>
      <c r="J3127" s="468" t="s">
        <v>9219</v>
      </c>
      <c r="K3127" s="468" t="s">
        <v>9219</v>
      </c>
      <c r="L3127" s="468" t="s">
        <v>2354</v>
      </c>
    </row>
    <row r="3128" spans="1:12" x14ac:dyDescent="0.25">
      <c r="A3128" s="468" t="s">
        <v>220</v>
      </c>
      <c r="B3128" s="468" t="s">
        <v>5430</v>
      </c>
      <c r="C3128" s="468" t="s">
        <v>6174</v>
      </c>
      <c r="D3128" s="468" t="s">
        <v>8125</v>
      </c>
      <c r="F3128" s="470">
        <v>2</v>
      </c>
      <c r="G3128" s="468">
        <v>131.12100000000001</v>
      </c>
      <c r="H3128" s="479">
        <v>262.24200000000002</v>
      </c>
      <c r="I3128" s="468" t="s">
        <v>9218</v>
      </c>
      <c r="J3128" s="468" t="s">
        <v>9219</v>
      </c>
      <c r="K3128" s="468" t="s">
        <v>9219</v>
      </c>
      <c r="L3128" s="468" t="s">
        <v>2354</v>
      </c>
    </row>
    <row r="3129" spans="1:12" x14ac:dyDescent="0.25">
      <c r="A3129" s="468" t="s">
        <v>220</v>
      </c>
      <c r="B3129" s="468" t="s">
        <v>5430</v>
      </c>
      <c r="C3129" s="468" t="s">
        <v>6176</v>
      </c>
      <c r="D3129" s="468" t="s">
        <v>8126</v>
      </c>
      <c r="F3129" s="470">
        <v>6</v>
      </c>
      <c r="G3129" s="468">
        <v>159.40600000000001</v>
      </c>
      <c r="H3129" s="479">
        <v>956.43600000000004</v>
      </c>
      <c r="I3129" s="468" t="s">
        <v>9218</v>
      </c>
      <c r="J3129" s="468" t="s">
        <v>9219</v>
      </c>
      <c r="K3129" s="468" t="s">
        <v>9219</v>
      </c>
      <c r="L3129" s="468" t="s">
        <v>2354</v>
      </c>
    </row>
    <row r="3130" spans="1:12" x14ac:dyDescent="0.25">
      <c r="A3130" s="468" t="s">
        <v>220</v>
      </c>
      <c r="B3130" s="468" t="s">
        <v>5430</v>
      </c>
      <c r="C3130" s="468" t="s">
        <v>6178</v>
      </c>
      <c r="D3130" s="468" t="s">
        <v>8127</v>
      </c>
      <c r="F3130" s="470">
        <v>1</v>
      </c>
      <c r="G3130" s="468">
        <v>52.758000000000003</v>
      </c>
      <c r="H3130" s="479">
        <v>52.758000000000003</v>
      </c>
      <c r="I3130" s="468" t="s">
        <v>9218</v>
      </c>
      <c r="J3130" s="468" t="s">
        <v>9219</v>
      </c>
      <c r="K3130" s="468" t="s">
        <v>9219</v>
      </c>
      <c r="L3130" s="468" t="s">
        <v>2354</v>
      </c>
    </row>
    <row r="3131" spans="1:12" x14ac:dyDescent="0.25">
      <c r="A3131" s="468" t="s">
        <v>220</v>
      </c>
      <c r="B3131" s="468" t="s">
        <v>5430</v>
      </c>
      <c r="C3131" s="468" t="s">
        <v>6180</v>
      </c>
      <c r="D3131" s="468" t="s">
        <v>8128</v>
      </c>
      <c r="F3131" s="470">
        <v>1</v>
      </c>
      <c r="G3131" s="468">
        <v>278.327</v>
      </c>
      <c r="H3131" s="479">
        <v>278.327</v>
      </c>
      <c r="I3131" s="468" t="s">
        <v>9218</v>
      </c>
      <c r="J3131" s="468" t="s">
        <v>9219</v>
      </c>
      <c r="K3131" s="468" t="s">
        <v>9219</v>
      </c>
      <c r="L3131" s="468" t="s">
        <v>2354</v>
      </c>
    </row>
    <row r="3132" spans="1:12" x14ac:dyDescent="0.25">
      <c r="A3132" s="468" t="s">
        <v>220</v>
      </c>
      <c r="B3132" s="468" t="s">
        <v>5430</v>
      </c>
      <c r="C3132" s="468" t="s">
        <v>6182</v>
      </c>
      <c r="D3132" s="468" t="s">
        <v>8129</v>
      </c>
      <c r="F3132" s="470">
        <v>3</v>
      </c>
      <c r="G3132" s="468">
        <v>21.667000000000002</v>
      </c>
      <c r="H3132" s="479">
        <v>65.001000000000005</v>
      </c>
      <c r="I3132" s="468" t="s">
        <v>9218</v>
      </c>
      <c r="J3132" s="468" t="s">
        <v>9219</v>
      </c>
      <c r="K3132" s="468" t="s">
        <v>9219</v>
      </c>
      <c r="L3132" s="468" t="s">
        <v>2354</v>
      </c>
    </row>
    <row r="3133" spans="1:12" x14ac:dyDescent="0.25">
      <c r="A3133" s="468" t="s">
        <v>220</v>
      </c>
      <c r="B3133" s="468" t="s">
        <v>5430</v>
      </c>
      <c r="C3133" s="468" t="s">
        <v>8130</v>
      </c>
      <c r="D3133" s="468" t="s">
        <v>8131</v>
      </c>
      <c r="F3133" s="470">
        <v>1</v>
      </c>
      <c r="G3133" s="468">
        <v>681.18799999999999</v>
      </c>
      <c r="H3133" s="479">
        <v>681.18799999999999</v>
      </c>
      <c r="I3133" s="468" t="s">
        <v>9218</v>
      </c>
      <c r="J3133" s="468" t="s">
        <v>9219</v>
      </c>
      <c r="K3133" s="468" t="s">
        <v>9219</v>
      </c>
      <c r="L3133" s="468" t="s">
        <v>2354</v>
      </c>
    </row>
    <row r="3134" spans="1:12" x14ac:dyDescent="0.25">
      <c r="A3134" s="468" t="s">
        <v>220</v>
      </c>
      <c r="B3134" s="468" t="s">
        <v>5430</v>
      </c>
      <c r="C3134" s="468" t="s">
        <v>6186</v>
      </c>
      <c r="D3134" s="468" t="s">
        <v>8132</v>
      </c>
      <c r="F3134" s="470">
        <v>9</v>
      </c>
      <c r="G3134" s="468">
        <v>104.4</v>
      </c>
      <c r="H3134" s="479">
        <v>939.6</v>
      </c>
      <c r="I3134" s="468" t="s">
        <v>9218</v>
      </c>
      <c r="J3134" s="468" t="s">
        <v>9219</v>
      </c>
      <c r="K3134" s="468" t="s">
        <v>9219</v>
      </c>
      <c r="L3134" s="468" t="s">
        <v>2354</v>
      </c>
    </row>
    <row r="3135" spans="1:12" x14ac:dyDescent="0.25">
      <c r="A3135" s="468" t="s">
        <v>220</v>
      </c>
      <c r="B3135" s="468" t="s">
        <v>5430</v>
      </c>
      <c r="C3135" s="468" t="s">
        <v>6188</v>
      </c>
      <c r="D3135" s="468" t="s">
        <v>8133</v>
      </c>
      <c r="F3135" s="470">
        <v>1</v>
      </c>
      <c r="G3135" s="468">
        <v>12.442</v>
      </c>
      <c r="H3135" s="479">
        <v>12.442</v>
      </c>
      <c r="I3135" s="468" t="s">
        <v>9218</v>
      </c>
      <c r="J3135" s="468" t="s">
        <v>9219</v>
      </c>
      <c r="K3135" s="468" t="s">
        <v>9219</v>
      </c>
      <c r="L3135" s="468" t="s">
        <v>2354</v>
      </c>
    </row>
    <row r="3136" spans="1:12" x14ac:dyDescent="0.25">
      <c r="A3136" s="468" t="s">
        <v>220</v>
      </c>
      <c r="B3136" s="468" t="s">
        <v>5430</v>
      </c>
      <c r="C3136" s="468" t="s">
        <v>8134</v>
      </c>
      <c r="D3136" s="468" t="s">
        <v>8135</v>
      </c>
      <c r="F3136" s="470">
        <v>1</v>
      </c>
      <c r="G3136" s="468">
        <v>72.275999999999996</v>
      </c>
      <c r="H3136" s="479">
        <v>72.275999999999996</v>
      </c>
      <c r="I3136" s="468" t="s">
        <v>9218</v>
      </c>
      <c r="J3136" s="468" t="s">
        <v>9219</v>
      </c>
      <c r="K3136" s="468" t="s">
        <v>9219</v>
      </c>
      <c r="L3136" s="468" t="s">
        <v>2354</v>
      </c>
    </row>
    <row r="3137" spans="1:12" x14ac:dyDescent="0.25">
      <c r="A3137" s="468" t="s">
        <v>220</v>
      </c>
      <c r="B3137" s="468" t="s">
        <v>5430</v>
      </c>
      <c r="C3137" s="468" t="s">
        <v>6192</v>
      </c>
      <c r="D3137" s="468" t="s">
        <v>8136</v>
      </c>
      <c r="F3137" s="470">
        <v>2</v>
      </c>
      <c r="G3137" s="468">
        <v>94.608000000000004</v>
      </c>
      <c r="H3137" s="479">
        <v>189.21600000000001</v>
      </c>
      <c r="I3137" s="468" t="s">
        <v>9218</v>
      </c>
      <c r="J3137" s="468" t="s">
        <v>9219</v>
      </c>
      <c r="K3137" s="468" t="s">
        <v>9219</v>
      </c>
      <c r="L3137" s="468" t="s">
        <v>2354</v>
      </c>
    </row>
    <row r="3138" spans="1:12" x14ac:dyDescent="0.25">
      <c r="A3138" s="468" t="s">
        <v>220</v>
      </c>
      <c r="B3138" s="468" t="s">
        <v>5430</v>
      </c>
      <c r="C3138" s="468" t="s">
        <v>8137</v>
      </c>
      <c r="D3138" s="468" t="s">
        <v>8138</v>
      </c>
      <c r="F3138" s="470">
        <v>1</v>
      </c>
      <c r="G3138" s="468">
        <v>17.91</v>
      </c>
      <c r="H3138" s="479">
        <v>17.91</v>
      </c>
      <c r="I3138" s="468" t="s">
        <v>9218</v>
      </c>
      <c r="J3138" s="468" t="s">
        <v>9219</v>
      </c>
      <c r="K3138" s="468" t="s">
        <v>9219</v>
      </c>
      <c r="L3138" s="468" t="s">
        <v>2354</v>
      </c>
    </row>
    <row r="3139" spans="1:12" x14ac:dyDescent="0.25">
      <c r="A3139" s="468" t="s">
        <v>220</v>
      </c>
      <c r="B3139" s="468" t="s">
        <v>5430</v>
      </c>
      <c r="C3139" s="468" t="s">
        <v>6196</v>
      </c>
      <c r="D3139" s="468" t="s">
        <v>8139</v>
      </c>
      <c r="F3139" s="470">
        <v>4</v>
      </c>
      <c r="G3139" s="468">
        <v>226.06700000000001</v>
      </c>
      <c r="H3139" s="479">
        <v>904.26800000000003</v>
      </c>
      <c r="I3139" s="468" t="s">
        <v>9218</v>
      </c>
      <c r="J3139" s="468" t="s">
        <v>9219</v>
      </c>
      <c r="K3139" s="468" t="s">
        <v>9219</v>
      </c>
      <c r="L3139" s="468" t="s">
        <v>2354</v>
      </c>
    </row>
    <row r="3140" spans="1:12" x14ac:dyDescent="0.25">
      <c r="A3140" s="468" t="s">
        <v>220</v>
      </c>
      <c r="B3140" s="468" t="s">
        <v>5430</v>
      </c>
      <c r="C3140" s="468" t="s">
        <v>6198</v>
      </c>
      <c r="D3140" s="468" t="s">
        <v>8140</v>
      </c>
      <c r="F3140" s="470">
        <v>2</v>
      </c>
      <c r="G3140" s="468">
        <v>73.260000000000005</v>
      </c>
      <c r="H3140" s="479">
        <v>146.52000000000001</v>
      </c>
      <c r="I3140" s="468" t="s">
        <v>9218</v>
      </c>
      <c r="J3140" s="468" t="s">
        <v>9219</v>
      </c>
      <c r="K3140" s="468" t="s">
        <v>9219</v>
      </c>
      <c r="L3140" s="468" t="s">
        <v>2354</v>
      </c>
    </row>
    <row r="3141" spans="1:12" x14ac:dyDescent="0.25">
      <c r="A3141" s="468" t="s">
        <v>220</v>
      </c>
      <c r="B3141" s="468" t="s">
        <v>5430</v>
      </c>
      <c r="C3141" s="468" t="s">
        <v>8141</v>
      </c>
      <c r="D3141" s="468" t="s">
        <v>8142</v>
      </c>
      <c r="F3141" s="470">
        <v>5</v>
      </c>
      <c r="G3141" s="468">
        <v>21.271999999999998</v>
      </c>
      <c r="H3141" s="479">
        <v>106.35999999999999</v>
      </c>
      <c r="I3141" s="468" t="s">
        <v>9218</v>
      </c>
      <c r="J3141" s="468" t="s">
        <v>9219</v>
      </c>
      <c r="K3141" s="468" t="s">
        <v>9219</v>
      </c>
      <c r="L3141" s="468" t="s">
        <v>2354</v>
      </c>
    </row>
    <row r="3142" spans="1:12" x14ac:dyDescent="0.25">
      <c r="A3142" s="468" t="s">
        <v>220</v>
      </c>
      <c r="B3142" s="468" t="s">
        <v>5430</v>
      </c>
      <c r="C3142" s="468" t="s">
        <v>6200</v>
      </c>
      <c r="D3142" s="468" t="s">
        <v>8143</v>
      </c>
      <c r="F3142" s="470">
        <v>7</v>
      </c>
      <c r="G3142" s="468">
        <v>23.01</v>
      </c>
      <c r="H3142" s="479">
        <v>161.07000000000002</v>
      </c>
      <c r="I3142" s="468" t="s">
        <v>9218</v>
      </c>
      <c r="J3142" s="468" t="s">
        <v>9219</v>
      </c>
      <c r="K3142" s="468" t="s">
        <v>9219</v>
      </c>
      <c r="L3142" s="468" t="s">
        <v>2354</v>
      </c>
    </row>
    <row r="3143" spans="1:12" x14ac:dyDescent="0.25">
      <c r="A3143" s="468" t="s">
        <v>220</v>
      </c>
      <c r="B3143" s="468" t="s">
        <v>5430</v>
      </c>
      <c r="C3143" s="468" t="s">
        <v>6202</v>
      </c>
      <c r="D3143" s="468" t="s">
        <v>6203</v>
      </c>
      <c r="F3143" s="470">
        <v>2</v>
      </c>
      <c r="G3143" s="468">
        <v>64.346999999999994</v>
      </c>
      <c r="H3143" s="479">
        <v>128.69399999999999</v>
      </c>
      <c r="I3143" s="468" t="s">
        <v>9218</v>
      </c>
      <c r="J3143" s="468" t="s">
        <v>9219</v>
      </c>
      <c r="K3143" s="468" t="s">
        <v>9219</v>
      </c>
      <c r="L3143" s="468" t="s">
        <v>2354</v>
      </c>
    </row>
    <row r="3144" spans="1:12" x14ac:dyDescent="0.25">
      <c r="A3144" s="468" t="s">
        <v>220</v>
      </c>
      <c r="B3144" s="468" t="s">
        <v>5430</v>
      </c>
      <c r="C3144" s="468" t="s">
        <v>6204</v>
      </c>
      <c r="D3144" s="468" t="s">
        <v>8144</v>
      </c>
      <c r="F3144" s="470">
        <v>1</v>
      </c>
      <c r="G3144" s="468">
        <v>162</v>
      </c>
      <c r="H3144" s="479">
        <v>162</v>
      </c>
      <c r="I3144" s="468" t="s">
        <v>9218</v>
      </c>
      <c r="J3144" s="468" t="s">
        <v>9219</v>
      </c>
      <c r="K3144" s="468" t="s">
        <v>9219</v>
      </c>
      <c r="L3144" s="468" t="s">
        <v>2354</v>
      </c>
    </row>
    <row r="3145" spans="1:12" x14ac:dyDescent="0.25">
      <c r="A3145" s="468" t="s">
        <v>220</v>
      </c>
      <c r="B3145" s="468" t="s">
        <v>5430</v>
      </c>
      <c r="C3145" s="468" t="s">
        <v>6206</v>
      </c>
      <c r="D3145" s="468" t="s">
        <v>6207</v>
      </c>
      <c r="F3145" s="470">
        <v>2</v>
      </c>
      <c r="G3145" s="468">
        <v>162</v>
      </c>
      <c r="H3145" s="479">
        <v>324</v>
      </c>
      <c r="I3145" s="468" t="s">
        <v>9218</v>
      </c>
      <c r="J3145" s="468" t="s">
        <v>9219</v>
      </c>
      <c r="K3145" s="468" t="s">
        <v>9219</v>
      </c>
      <c r="L3145" s="468" t="s">
        <v>2354</v>
      </c>
    </row>
    <row r="3146" spans="1:12" x14ac:dyDescent="0.25">
      <c r="A3146" s="468" t="s">
        <v>220</v>
      </c>
      <c r="B3146" s="468" t="s">
        <v>5430</v>
      </c>
      <c r="C3146" s="468" t="s">
        <v>6208</v>
      </c>
      <c r="D3146" s="468" t="s">
        <v>8145</v>
      </c>
      <c r="F3146" s="470">
        <v>2</v>
      </c>
      <c r="G3146" s="468">
        <v>162</v>
      </c>
      <c r="H3146" s="479">
        <v>324</v>
      </c>
      <c r="I3146" s="468" t="s">
        <v>9218</v>
      </c>
      <c r="J3146" s="468" t="s">
        <v>9219</v>
      </c>
      <c r="K3146" s="468" t="s">
        <v>9219</v>
      </c>
      <c r="L3146" s="468" t="s">
        <v>2354</v>
      </c>
    </row>
    <row r="3147" spans="1:12" x14ac:dyDescent="0.25">
      <c r="A3147" s="468" t="s">
        <v>220</v>
      </c>
      <c r="B3147" s="468" t="s">
        <v>5430</v>
      </c>
      <c r="C3147" s="468" t="s">
        <v>6210</v>
      </c>
      <c r="D3147" s="468" t="s">
        <v>8146</v>
      </c>
      <c r="F3147" s="470">
        <v>7</v>
      </c>
      <c r="G3147" s="468">
        <v>179.5</v>
      </c>
      <c r="H3147" s="479">
        <v>1256.5</v>
      </c>
      <c r="I3147" s="468" t="s">
        <v>9218</v>
      </c>
      <c r="J3147" s="468" t="s">
        <v>9219</v>
      </c>
      <c r="K3147" s="468" t="s">
        <v>9219</v>
      </c>
      <c r="L3147" s="468" t="s">
        <v>2354</v>
      </c>
    </row>
    <row r="3148" spans="1:12" x14ac:dyDescent="0.25">
      <c r="A3148" s="468" t="s">
        <v>220</v>
      </c>
      <c r="B3148" s="468" t="s">
        <v>5430</v>
      </c>
      <c r="C3148" s="468" t="s">
        <v>6212</v>
      </c>
      <c r="D3148" s="468" t="s">
        <v>8147</v>
      </c>
      <c r="F3148" s="470">
        <v>1</v>
      </c>
      <c r="G3148" s="468">
        <v>405.87799999999999</v>
      </c>
      <c r="H3148" s="479">
        <v>405.87799999999999</v>
      </c>
      <c r="I3148" s="468" t="s">
        <v>9218</v>
      </c>
      <c r="J3148" s="468" t="s">
        <v>9219</v>
      </c>
      <c r="K3148" s="468" t="s">
        <v>9219</v>
      </c>
      <c r="L3148" s="468" t="s">
        <v>2354</v>
      </c>
    </row>
    <row r="3149" spans="1:12" x14ac:dyDescent="0.25">
      <c r="A3149" s="468" t="s">
        <v>220</v>
      </c>
      <c r="B3149" s="468" t="s">
        <v>5430</v>
      </c>
      <c r="C3149" s="468" t="s">
        <v>6214</v>
      </c>
      <c r="D3149" s="468" t="s">
        <v>8148</v>
      </c>
      <c r="F3149" s="470">
        <v>4</v>
      </c>
      <c r="G3149" s="468">
        <v>578.02599999999995</v>
      </c>
      <c r="H3149" s="479">
        <v>2312.1039999999998</v>
      </c>
      <c r="I3149" s="468" t="s">
        <v>9218</v>
      </c>
      <c r="J3149" s="468" t="s">
        <v>9219</v>
      </c>
      <c r="K3149" s="468" t="s">
        <v>9219</v>
      </c>
      <c r="L3149" s="468" t="s">
        <v>2354</v>
      </c>
    </row>
    <row r="3150" spans="1:12" x14ac:dyDescent="0.25">
      <c r="A3150" s="468" t="s">
        <v>220</v>
      </c>
      <c r="B3150" s="468" t="s">
        <v>5430</v>
      </c>
      <c r="C3150" s="468" t="s">
        <v>8149</v>
      </c>
      <c r="D3150" s="468" t="s">
        <v>8150</v>
      </c>
      <c r="F3150" s="470">
        <v>2</v>
      </c>
      <c r="G3150" s="468">
        <v>598.4</v>
      </c>
      <c r="H3150" s="479">
        <v>1196.8</v>
      </c>
      <c r="I3150" s="468" t="s">
        <v>9218</v>
      </c>
      <c r="J3150" s="468" t="s">
        <v>9219</v>
      </c>
      <c r="K3150" s="468" t="s">
        <v>9219</v>
      </c>
      <c r="L3150" s="468" t="s">
        <v>2354</v>
      </c>
    </row>
    <row r="3151" spans="1:12" x14ac:dyDescent="0.25">
      <c r="A3151" s="468" t="s">
        <v>220</v>
      </c>
      <c r="B3151" s="468" t="s">
        <v>5430</v>
      </c>
      <c r="C3151" s="468" t="s">
        <v>6216</v>
      </c>
      <c r="D3151" s="468" t="s">
        <v>8151</v>
      </c>
      <c r="F3151" s="470">
        <v>1</v>
      </c>
      <c r="G3151" s="468">
        <v>414</v>
      </c>
      <c r="H3151" s="479">
        <v>414</v>
      </c>
      <c r="I3151" s="468" t="s">
        <v>9218</v>
      </c>
      <c r="J3151" s="468" t="s">
        <v>9219</v>
      </c>
      <c r="K3151" s="468" t="s">
        <v>9219</v>
      </c>
      <c r="L3151" s="468" t="s">
        <v>2354</v>
      </c>
    </row>
    <row r="3152" spans="1:12" x14ac:dyDescent="0.25">
      <c r="A3152" s="468" t="s">
        <v>220</v>
      </c>
      <c r="B3152" s="468" t="s">
        <v>5430</v>
      </c>
      <c r="C3152" s="468" t="s">
        <v>6218</v>
      </c>
      <c r="D3152" s="468" t="s">
        <v>9437</v>
      </c>
      <c r="F3152" s="470">
        <v>3</v>
      </c>
      <c r="G3152" s="468">
        <v>190.8</v>
      </c>
      <c r="H3152" s="479">
        <v>572.40000000000009</v>
      </c>
      <c r="I3152" s="468" t="s">
        <v>9218</v>
      </c>
      <c r="J3152" s="468" t="s">
        <v>9219</v>
      </c>
      <c r="K3152" s="468" t="s">
        <v>9219</v>
      </c>
      <c r="L3152" s="468" t="s">
        <v>2354</v>
      </c>
    </row>
    <row r="3153" spans="1:12" x14ac:dyDescent="0.25">
      <c r="A3153" s="468" t="s">
        <v>220</v>
      </c>
      <c r="B3153" s="468" t="s">
        <v>5430</v>
      </c>
      <c r="C3153" s="468" t="s">
        <v>5568</v>
      </c>
      <c r="D3153" s="468" t="s">
        <v>5569</v>
      </c>
      <c r="F3153" s="470">
        <v>39</v>
      </c>
      <c r="G3153" s="468">
        <v>321.209</v>
      </c>
      <c r="H3153" s="479">
        <v>12527.151</v>
      </c>
      <c r="I3153" s="468" t="s">
        <v>9218</v>
      </c>
      <c r="J3153" s="468" t="s">
        <v>9219</v>
      </c>
      <c r="K3153" s="468" t="s">
        <v>9219</v>
      </c>
      <c r="L3153" s="468" t="s">
        <v>2354</v>
      </c>
    </row>
    <row r="3154" spans="1:12" x14ac:dyDescent="0.25">
      <c r="A3154" s="468" t="s">
        <v>220</v>
      </c>
      <c r="B3154" s="468" t="s">
        <v>5430</v>
      </c>
      <c r="C3154" s="468" t="s">
        <v>8152</v>
      </c>
      <c r="D3154" s="468" t="s">
        <v>8153</v>
      </c>
      <c r="F3154" s="470">
        <v>9</v>
      </c>
      <c r="G3154" s="468">
        <v>80.099999999999994</v>
      </c>
      <c r="H3154" s="479">
        <v>720.9</v>
      </c>
      <c r="I3154" s="468" t="s">
        <v>9218</v>
      </c>
      <c r="J3154" s="468" t="s">
        <v>9219</v>
      </c>
      <c r="K3154" s="468" t="s">
        <v>9219</v>
      </c>
      <c r="L3154" s="468" t="s">
        <v>2354</v>
      </c>
    </row>
    <row r="3155" spans="1:12" x14ac:dyDescent="0.25">
      <c r="A3155" s="468" t="s">
        <v>220</v>
      </c>
      <c r="B3155" s="468" t="s">
        <v>5430</v>
      </c>
      <c r="C3155" s="468" t="s">
        <v>6222</v>
      </c>
      <c r="D3155" s="468" t="s">
        <v>8154</v>
      </c>
      <c r="F3155" s="470">
        <v>2</v>
      </c>
      <c r="G3155" s="468">
        <v>123.69199999999999</v>
      </c>
      <c r="H3155" s="479">
        <v>247.38399999999999</v>
      </c>
      <c r="I3155" s="468" t="s">
        <v>9218</v>
      </c>
      <c r="J3155" s="468" t="s">
        <v>9219</v>
      </c>
      <c r="K3155" s="468" t="s">
        <v>9219</v>
      </c>
      <c r="L3155" s="468" t="s">
        <v>2354</v>
      </c>
    </row>
    <row r="3156" spans="1:12" x14ac:dyDescent="0.25">
      <c r="A3156" s="468" t="s">
        <v>220</v>
      </c>
      <c r="B3156" s="468" t="s">
        <v>5430</v>
      </c>
      <c r="C3156" s="468" t="s">
        <v>6224</v>
      </c>
      <c r="D3156" s="468" t="s">
        <v>6225</v>
      </c>
      <c r="F3156" s="470">
        <v>7</v>
      </c>
      <c r="G3156" s="468">
        <v>50.92</v>
      </c>
      <c r="H3156" s="479">
        <v>356.44</v>
      </c>
      <c r="I3156" s="468" t="s">
        <v>9218</v>
      </c>
      <c r="J3156" s="468" t="s">
        <v>9219</v>
      </c>
      <c r="K3156" s="468" t="s">
        <v>9219</v>
      </c>
      <c r="L3156" s="468" t="s">
        <v>2354</v>
      </c>
    </row>
    <row r="3157" spans="1:12" x14ac:dyDescent="0.25">
      <c r="A3157" s="468" t="s">
        <v>220</v>
      </c>
      <c r="B3157" s="468" t="s">
        <v>5430</v>
      </c>
      <c r="C3157" s="468" t="s">
        <v>6226</v>
      </c>
      <c r="D3157" s="468" t="s">
        <v>8155</v>
      </c>
      <c r="F3157" s="470">
        <v>7</v>
      </c>
      <c r="G3157" s="468">
        <v>183.6</v>
      </c>
      <c r="H3157" s="479">
        <v>1285.2</v>
      </c>
      <c r="I3157" s="468" t="s">
        <v>9218</v>
      </c>
      <c r="J3157" s="468" t="s">
        <v>9219</v>
      </c>
      <c r="K3157" s="468" t="s">
        <v>9219</v>
      </c>
      <c r="L3157" s="468" t="s">
        <v>2354</v>
      </c>
    </row>
    <row r="3158" spans="1:12" x14ac:dyDescent="0.25">
      <c r="A3158" s="468" t="s">
        <v>220</v>
      </c>
      <c r="B3158" s="468" t="s">
        <v>5430</v>
      </c>
      <c r="C3158" s="468" t="s">
        <v>6228</v>
      </c>
      <c r="D3158" s="468" t="s">
        <v>6229</v>
      </c>
      <c r="F3158" s="470">
        <v>8</v>
      </c>
      <c r="G3158" s="468">
        <v>51.457999999999998</v>
      </c>
      <c r="H3158" s="479">
        <v>411.66399999999999</v>
      </c>
      <c r="I3158" s="468" t="s">
        <v>9218</v>
      </c>
      <c r="J3158" s="468" t="s">
        <v>9219</v>
      </c>
      <c r="K3158" s="468" t="s">
        <v>9219</v>
      </c>
      <c r="L3158" s="468" t="s">
        <v>2354</v>
      </c>
    </row>
    <row r="3159" spans="1:12" x14ac:dyDescent="0.25">
      <c r="A3159" s="468" t="s">
        <v>220</v>
      </c>
      <c r="B3159" s="468" t="s">
        <v>5430</v>
      </c>
      <c r="C3159" s="468" t="s">
        <v>6230</v>
      </c>
      <c r="D3159" s="468" t="s">
        <v>6231</v>
      </c>
      <c r="F3159" s="470">
        <v>4</v>
      </c>
      <c r="G3159" s="468">
        <v>87.867999999999995</v>
      </c>
      <c r="H3159" s="479">
        <v>351.47199999999998</v>
      </c>
      <c r="I3159" s="468" t="s">
        <v>9218</v>
      </c>
      <c r="J3159" s="468" t="s">
        <v>9219</v>
      </c>
      <c r="K3159" s="468" t="s">
        <v>9219</v>
      </c>
      <c r="L3159" s="468" t="s">
        <v>2354</v>
      </c>
    </row>
    <row r="3160" spans="1:12" x14ac:dyDescent="0.25">
      <c r="A3160" s="468" t="s">
        <v>220</v>
      </c>
      <c r="B3160" s="468" t="s">
        <v>5430</v>
      </c>
      <c r="C3160" s="468" t="s">
        <v>5456</v>
      </c>
      <c r="D3160" s="468" t="s">
        <v>8156</v>
      </c>
      <c r="F3160" s="470">
        <v>9</v>
      </c>
      <c r="G3160" s="468">
        <v>4.8849999999999998</v>
      </c>
      <c r="H3160" s="479">
        <v>43.964999999999996</v>
      </c>
      <c r="I3160" s="468" t="s">
        <v>9218</v>
      </c>
      <c r="J3160" s="468" t="s">
        <v>9219</v>
      </c>
      <c r="K3160" s="468" t="s">
        <v>9219</v>
      </c>
      <c r="L3160" s="468" t="s">
        <v>2354</v>
      </c>
    </row>
    <row r="3161" spans="1:12" x14ac:dyDescent="0.25">
      <c r="A3161" s="468" t="s">
        <v>220</v>
      </c>
      <c r="B3161" s="468" t="s">
        <v>5430</v>
      </c>
      <c r="C3161" s="468" t="s">
        <v>8157</v>
      </c>
      <c r="D3161" s="468" t="s">
        <v>8158</v>
      </c>
      <c r="F3161" s="470">
        <v>1</v>
      </c>
      <c r="G3161" s="468">
        <v>515.70000000000005</v>
      </c>
      <c r="H3161" s="479">
        <v>515.70000000000005</v>
      </c>
      <c r="I3161" s="468" t="s">
        <v>9218</v>
      </c>
      <c r="J3161" s="468" t="s">
        <v>9219</v>
      </c>
      <c r="K3161" s="468" t="s">
        <v>9219</v>
      </c>
      <c r="L3161" s="468" t="s">
        <v>2354</v>
      </c>
    </row>
    <row r="3162" spans="1:12" x14ac:dyDescent="0.25">
      <c r="A3162" s="468" t="s">
        <v>220</v>
      </c>
      <c r="B3162" s="468" t="s">
        <v>5430</v>
      </c>
      <c r="C3162" s="468" t="s">
        <v>6251</v>
      </c>
      <c r="D3162" s="468" t="s">
        <v>6252</v>
      </c>
      <c r="F3162" s="470">
        <v>96</v>
      </c>
      <c r="G3162" s="468">
        <v>29.913</v>
      </c>
      <c r="H3162" s="479">
        <v>2871.6480000000001</v>
      </c>
      <c r="I3162" s="468" t="s">
        <v>9218</v>
      </c>
      <c r="J3162" s="468" t="s">
        <v>9219</v>
      </c>
      <c r="K3162" s="468" t="s">
        <v>9219</v>
      </c>
      <c r="L3162" s="468" t="s">
        <v>2354</v>
      </c>
    </row>
    <row r="3163" spans="1:12" x14ac:dyDescent="0.25">
      <c r="A3163" s="468" t="s">
        <v>220</v>
      </c>
      <c r="B3163" s="468" t="s">
        <v>5430</v>
      </c>
      <c r="C3163" s="468" t="s">
        <v>8159</v>
      </c>
      <c r="D3163" s="468" t="s">
        <v>8160</v>
      </c>
      <c r="F3163" s="470">
        <v>0.5</v>
      </c>
      <c r="G3163" s="468">
        <v>7.8650000000000002</v>
      </c>
      <c r="H3163" s="479">
        <v>3.9325000000000001</v>
      </c>
      <c r="I3163" s="468" t="s">
        <v>9218</v>
      </c>
      <c r="J3163" s="468" t="s">
        <v>9219</v>
      </c>
      <c r="K3163" s="468" t="s">
        <v>9219</v>
      </c>
      <c r="L3163" s="468" t="s">
        <v>2354</v>
      </c>
    </row>
    <row r="3164" spans="1:12" x14ac:dyDescent="0.25">
      <c r="A3164" s="468" t="s">
        <v>220</v>
      </c>
      <c r="B3164" s="468" t="s">
        <v>5430</v>
      </c>
      <c r="C3164" s="468" t="s">
        <v>6373</v>
      </c>
      <c r="D3164" s="468" t="s">
        <v>8161</v>
      </c>
      <c r="F3164" s="470">
        <v>1</v>
      </c>
      <c r="G3164" s="468">
        <v>125.15600000000001</v>
      </c>
      <c r="H3164" s="479">
        <v>125.15600000000001</v>
      </c>
      <c r="I3164" s="468" t="s">
        <v>9218</v>
      </c>
      <c r="J3164" s="468" t="s">
        <v>9219</v>
      </c>
      <c r="K3164" s="468" t="s">
        <v>9219</v>
      </c>
      <c r="L3164" s="468" t="s">
        <v>2354</v>
      </c>
    </row>
    <row r="3165" spans="1:12" x14ac:dyDescent="0.25">
      <c r="A3165" s="468" t="s">
        <v>220</v>
      </c>
      <c r="B3165" s="468" t="s">
        <v>5430</v>
      </c>
      <c r="C3165" s="468" t="s">
        <v>3417</v>
      </c>
      <c r="D3165" s="468" t="s">
        <v>8162</v>
      </c>
      <c r="F3165" s="470">
        <v>1</v>
      </c>
      <c r="G3165" s="468">
        <v>82.466999999999999</v>
      </c>
      <c r="H3165" s="479">
        <v>82.466999999999999</v>
      </c>
      <c r="I3165" s="468" t="s">
        <v>9218</v>
      </c>
      <c r="J3165" s="468" t="s">
        <v>9219</v>
      </c>
      <c r="K3165" s="468" t="s">
        <v>9219</v>
      </c>
      <c r="L3165" s="468" t="s">
        <v>2354</v>
      </c>
    </row>
    <row r="3166" spans="1:12" x14ac:dyDescent="0.25">
      <c r="A3166" s="468" t="s">
        <v>220</v>
      </c>
      <c r="B3166" s="468" t="s">
        <v>5430</v>
      </c>
      <c r="C3166" s="468" t="s">
        <v>6375</v>
      </c>
      <c r="D3166" s="468" t="s">
        <v>6376</v>
      </c>
      <c r="F3166" s="470">
        <v>4</v>
      </c>
      <c r="G3166" s="468">
        <v>5.2130000000000001</v>
      </c>
      <c r="H3166" s="479">
        <v>20.852</v>
      </c>
      <c r="I3166" s="468" t="s">
        <v>9218</v>
      </c>
      <c r="J3166" s="468" t="s">
        <v>9219</v>
      </c>
      <c r="K3166" s="468" t="s">
        <v>9219</v>
      </c>
      <c r="L3166" s="468" t="s">
        <v>2354</v>
      </c>
    </row>
    <row r="3167" spans="1:12" x14ac:dyDescent="0.25">
      <c r="A3167" s="468" t="s">
        <v>220</v>
      </c>
      <c r="B3167" s="468" t="s">
        <v>5430</v>
      </c>
      <c r="C3167" s="468" t="s">
        <v>8163</v>
      </c>
      <c r="D3167" s="468" t="s">
        <v>8164</v>
      </c>
      <c r="F3167" s="470">
        <v>3</v>
      </c>
      <c r="G3167" s="468">
        <v>2.5830000000000002</v>
      </c>
      <c r="H3167" s="479">
        <v>7.7490000000000006</v>
      </c>
      <c r="I3167" s="468" t="s">
        <v>9218</v>
      </c>
      <c r="J3167" s="468" t="s">
        <v>9219</v>
      </c>
      <c r="K3167" s="468" t="s">
        <v>9219</v>
      </c>
      <c r="L3167" s="468" t="s">
        <v>2354</v>
      </c>
    </row>
    <row r="3168" spans="1:12" x14ac:dyDescent="0.25">
      <c r="A3168" s="468" t="s">
        <v>220</v>
      </c>
      <c r="B3168" s="468" t="s">
        <v>5430</v>
      </c>
      <c r="C3168" s="468" t="s">
        <v>8165</v>
      </c>
      <c r="D3168" s="468" t="s">
        <v>8166</v>
      </c>
      <c r="F3168" s="470">
        <v>28</v>
      </c>
      <c r="G3168" s="468">
        <v>2.5489999999999999</v>
      </c>
      <c r="H3168" s="479">
        <v>71.372</v>
      </c>
      <c r="I3168" s="468" t="s">
        <v>9218</v>
      </c>
      <c r="J3168" s="468" t="s">
        <v>9219</v>
      </c>
      <c r="K3168" s="468" t="s">
        <v>9219</v>
      </c>
      <c r="L3168" s="468" t="s">
        <v>2354</v>
      </c>
    </row>
    <row r="3169" spans="1:12" x14ac:dyDescent="0.25">
      <c r="A3169" s="468" t="s">
        <v>220</v>
      </c>
      <c r="B3169" s="468" t="s">
        <v>5430</v>
      </c>
      <c r="C3169" s="468" t="s">
        <v>6377</v>
      </c>
      <c r="D3169" s="468" t="s">
        <v>8167</v>
      </c>
      <c r="F3169" s="470">
        <v>5</v>
      </c>
      <c r="G3169" s="468">
        <v>4.548</v>
      </c>
      <c r="H3169" s="479">
        <v>22.740000000000002</v>
      </c>
      <c r="I3169" s="468" t="s">
        <v>9218</v>
      </c>
      <c r="J3169" s="468" t="s">
        <v>9219</v>
      </c>
      <c r="K3169" s="468" t="s">
        <v>9219</v>
      </c>
      <c r="L3169" s="468" t="s">
        <v>2354</v>
      </c>
    </row>
    <row r="3170" spans="1:12" x14ac:dyDescent="0.25">
      <c r="A3170" s="468" t="s">
        <v>220</v>
      </c>
      <c r="B3170" s="468" t="s">
        <v>5430</v>
      </c>
      <c r="C3170" s="468" t="s">
        <v>6379</v>
      </c>
      <c r="D3170" s="468" t="s">
        <v>8168</v>
      </c>
      <c r="F3170" s="470">
        <v>1</v>
      </c>
      <c r="G3170" s="468">
        <v>39.973999999999997</v>
      </c>
      <c r="H3170" s="479">
        <v>39.973999999999997</v>
      </c>
      <c r="I3170" s="468" t="s">
        <v>9218</v>
      </c>
      <c r="J3170" s="468" t="s">
        <v>9219</v>
      </c>
      <c r="K3170" s="468" t="s">
        <v>9219</v>
      </c>
      <c r="L3170" s="468" t="s">
        <v>2354</v>
      </c>
    </row>
    <row r="3171" spans="1:12" x14ac:dyDescent="0.25">
      <c r="A3171" s="468" t="s">
        <v>220</v>
      </c>
      <c r="B3171" s="468" t="s">
        <v>5430</v>
      </c>
      <c r="C3171" s="468" t="s">
        <v>6381</v>
      </c>
      <c r="D3171" s="468" t="s">
        <v>8169</v>
      </c>
      <c r="F3171" s="470">
        <v>6</v>
      </c>
      <c r="G3171" s="468">
        <v>5.94</v>
      </c>
      <c r="H3171" s="479">
        <v>35.64</v>
      </c>
      <c r="I3171" s="468" t="s">
        <v>9218</v>
      </c>
      <c r="J3171" s="468" t="s">
        <v>9219</v>
      </c>
      <c r="K3171" s="468" t="s">
        <v>9219</v>
      </c>
      <c r="L3171" s="468" t="s">
        <v>2354</v>
      </c>
    </row>
    <row r="3172" spans="1:12" x14ac:dyDescent="0.25">
      <c r="A3172" s="468" t="s">
        <v>220</v>
      </c>
      <c r="B3172" s="468" t="s">
        <v>5430</v>
      </c>
      <c r="C3172" s="468" t="s">
        <v>6383</v>
      </c>
      <c r="D3172" s="468" t="s">
        <v>8170</v>
      </c>
      <c r="F3172" s="470">
        <v>10</v>
      </c>
      <c r="G3172" s="468">
        <v>2.5449999999999999</v>
      </c>
      <c r="H3172" s="479">
        <v>25.45</v>
      </c>
      <c r="I3172" s="468" t="s">
        <v>9218</v>
      </c>
      <c r="J3172" s="468" t="s">
        <v>9219</v>
      </c>
      <c r="K3172" s="468" t="s">
        <v>9219</v>
      </c>
      <c r="L3172" s="468" t="s">
        <v>2354</v>
      </c>
    </row>
    <row r="3173" spans="1:12" x14ac:dyDescent="0.25">
      <c r="A3173" s="468" t="s">
        <v>220</v>
      </c>
      <c r="B3173" s="468" t="s">
        <v>5430</v>
      </c>
      <c r="C3173" s="468" t="s">
        <v>6385</v>
      </c>
      <c r="D3173" s="468" t="s">
        <v>8171</v>
      </c>
      <c r="F3173" s="470">
        <v>4</v>
      </c>
      <c r="G3173" s="468">
        <v>59.351999999999997</v>
      </c>
      <c r="H3173" s="479">
        <v>237.40799999999999</v>
      </c>
      <c r="I3173" s="468" t="s">
        <v>9218</v>
      </c>
      <c r="J3173" s="468" t="s">
        <v>9219</v>
      </c>
      <c r="K3173" s="468" t="s">
        <v>9219</v>
      </c>
      <c r="L3173" s="468" t="s">
        <v>2354</v>
      </c>
    </row>
    <row r="3174" spans="1:12" x14ac:dyDescent="0.25">
      <c r="A3174" s="468" t="s">
        <v>220</v>
      </c>
      <c r="B3174" s="468" t="s">
        <v>5430</v>
      </c>
      <c r="C3174" s="468" t="s">
        <v>6387</v>
      </c>
      <c r="D3174" s="468" t="s">
        <v>8172</v>
      </c>
      <c r="F3174" s="470">
        <v>1</v>
      </c>
      <c r="G3174" s="468">
        <v>37.799999999999997</v>
      </c>
      <c r="H3174" s="479">
        <v>37.799999999999997</v>
      </c>
      <c r="I3174" s="468" t="s">
        <v>9218</v>
      </c>
      <c r="J3174" s="468" t="s">
        <v>9219</v>
      </c>
      <c r="K3174" s="468" t="s">
        <v>9219</v>
      </c>
      <c r="L3174" s="468" t="s">
        <v>2354</v>
      </c>
    </row>
    <row r="3175" spans="1:12" x14ac:dyDescent="0.25">
      <c r="A3175" s="468" t="s">
        <v>220</v>
      </c>
      <c r="B3175" s="468" t="s">
        <v>5430</v>
      </c>
      <c r="C3175" s="468" t="s">
        <v>6389</v>
      </c>
      <c r="D3175" s="468" t="s">
        <v>8173</v>
      </c>
      <c r="F3175" s="470">
        <v>1</v>
      </c>
      <c r="G3175" s="468">
        <v>43.271999999999998</v>
      </c>
      <c r="H3175" s="479">
        <v>43.271999999999998</v>
      </c>
      <c r="I3175" s="468" t="s">
        <v>9218</v>
      </c>
      <c r="J3175" s="468" t="s">
        <v>9219</v>
      </c>
      <c r="K3175" s="468" t="s">
        <v>9219</v>
      </c>
      <c r="L3175" s="468" t="s">
        <v>2354</v>
      </c>
    </row>
    <row r="3176" spans="1:12" x14ac:dyDescent="0.25">
      <c r="A3176" s="468" t="s">
        <v>220</v>
      </c>
      <c r="B3176" s="468" t="s">
        <v>5430</v>
      </c>
      <c r="C3176" s="468" t="s">
        <v>6391</v>
      </c>
      <c r="D3176" s="468" t="s">
        <v>8174</v>
      </c>
      <c r="F3176" s="470">
        <v>30</v>
      </c>
      <c r="G3176" s="468">
        <v>1.9850000000000001</v>
      </c>
      <c r="H3176" s="479">
        <v>59.550000000000004</v>
      </c>
      <c r="I3176" s="468" t="s">
        <v>9218</v>
      </c>
      <c r="J3176" s="468" t="s">
        <v>9219</v>
      </c>
      <c r="K3176" s="468" t="s">
        <v>9219</v>
      </c>
      <c r="L3176" s="468" t="s">
        <v>2354</v>
      </c>
    </row>
    <row r="3177" spans="1:12" x14ac:dyDescent="0.25">
      <c r="A3177" s="468" t="s">
        <v>220</v>
      </c>
      <c r="B3177" s="468" t="s">
        <v>5430</v>
      </c>
      <c r="C3177" s="468" t="s">
        <v>6393</v>
      </c>
      <c r="D3177" s="468" t="s">
        <v>8175</v>
      </c>
      <c r="F3177" s="470">
        <v>4</v>
      </c>
      <c r="G3177" s="468">
        <v>5.3070000000000004</v>
      </c>
      <c r="H3177" s="479">
        <v>21.228000000000002</v>
      </c>
      <c r="I3177" s="468" t="s">
        <v>9218</v>
      </c>
      <c r="J3177" s="468" t="s">
        <v>9219</v>
      </c>
      <c r="K3177" s="468" t="s">
        <v>9219</v>
      </c>
      <c r="L3177" s="468" t="s">
        <v>2354</v>
      </c>
    </row>
    <row r="3178" spans="1:12" x14ac:dyDescent="0.25">
      <c r="A3178" s="468" t="s">
        <v>220</v>
      </c>
      <c r="B3178" s="468" t="s">
        <v>5430</v>
      </c>
      <c r="C3178" s="468" t="s">
        <v>6395</v>
      </c>
      <c r="D3178" s="468" t="s">
        <v>8176</v>
      </c>
      <c r="F3178" s="470">
        <v>1</v>
      </c>
      <c r="G3178" s="468">
        <v>4.7629999999999999</v>
      </c>
      <c r="H3178" s="479">
        <v>4.7629999999999999</v>
      </c>
      <c r="I3178" s="468" t="s">
        <v>9218</v>
      </c>
      <c r="J3178" s="468" t="s">
        <v>9219</v>
      </c>
      <c r="K3178" s="468" t="s">
        <v>9219</v>
      </c>
      <c r="L3178" s="468" t="s">
        <v>2354</v>
      </c>
    </row>
    <row r="3179" spans="1:12" x14ac:dyDescent="0.25">
      <c r="A3179" s="468" t="s">
        <v>220</v>
      </c>
      <c r="B3179" s="468" t="s">
        <v>5430</v>
      </c>
      <c r="C3179" s="468" t="s">
        <v>6397</v>
      </c>
      <c r="D3179" s="468" t="s">
        <v>8177</v>
      </c>
      <c r="F3179" s="470">
        <v>2</v>
      </c>
      <c r="G3179" s="468">
        <v>28.116</v>
      </c>
      <c r="H3179" s="479">
        <v>56.231999999999999</v>
      </c>
      <c r="I3179" s="468" t="s">
        <v>9218</v>
      </c>
      <c r="J3179" s="468" t="s">
        <v>9219</v>
      </c>
      <c r="K3179" s="468" t="s">
        <v>9219</v>
      </c>
      <c r="L3179" s="468" t="s">
        <v>2354</v>
      </c>
    </row>
    <row r="3180" spans="1:12" x14ac:dyDescent="0.25">
      <c r="A3180" s="468" t="s">
        <v>220</v>
      </c>
      <c r="B3180" s="468" t="s">
        <v>5430</v>
      </c>
      <c r="C3180" s="468" t="s">
        <v>6399</v>
      </c>
      <c r="D3180" s="468" t="s">
        <v>8178</v>
      </c>
      <c r="F3180" s="470">
        <v>25</v>
      </c>
      <c r="G3180" s="468">
        <v>4.32</v>
      </c>
      <c r="H3180" s="479">
        <v>108</v>
      </c>
      <c r="I3180" s="468" t="s">
        <v>9218</v>
      </c>
      <c r="J3180" s="468" t="s">
        <v>9219</v>
      </c>
      <c r="K3180" s="468" t="s">
        <v>9219</v>
      </c>
      <c r="L3180" s="468" t="s">
        <v>2354</v>
      </c>
    </row>
    <row r="3181" spans="1:12" x14ac:dyDescent="0.25">
      <c r="A3181" s="468" t="s">
        <v>220</v>
      </c>
      <c r="B3181" s="468" t="s">
        <v>5430</v>
      </c>
      <c r="C3181" s="468" t="s">
        <v>8179</v>
      </c>
      <c r="D3181" s="468" t="s">
        <v>8180</v>
      </c>
      <c r="F3181" s="470">
        <v>1</v>
      </c>
      <c r="G3181" s="468">
        <v>50.58</v>
      </c>
      <c r="H3181" s="479">
        <v>50.58</v>
      </c>
      <c r="I3181" s="468" t="s">
        <v>9218</v>
      </c>
      <c r="J3181" s="468" t="s">
        <v>9219</v>
      </c>
      <c r="K3181" s="468" t="s">
        <v>9219</v>
      </c>
      <c r="L3181" s="468" t="s">
        <v>2354</v>
      </c>
    </row>
    <row r="3182" spans="1:12" x14ac:dyDescent="0.25">
      <c r="A3182" s="468" t="s">
        <v>220</v>
      </c>
      <c r="B3182" s="468" t="s">
        <v>5430</v>
      </c>
      <c r="C3182" s="468" t="s">
        <v>8181</v>
      </c>
      <c r="D3182" s="468" t="s">
        <v>8182</v>
      </c>
      <c r="F3182" s="470">
        <v>2</v>
      </c>
      <c r="G3182" s="468">
        <v>85.850999999999999</v>
      </c>
      <c r="H3182" s="479">
        <v>171.702</v>
      </c>
      <c r="I3182" s="468" t="s">
        <v>9218</v>
      </c>
      <c r="J3182" s="468" t="s">
        <v>9219</v>
      </c>
      <c r="K3182" s="468" t="s">
        <v>9219</v>
      </c>
      <c r="L3182" s="468" t="s">
        <v>2354</v>
      </c>
    </row>
    <row r="3183" spans="1:12" x14ac:dyDescent="0.25">
      <c r="A3183" s="468" t="s">
        <v>220</v>
      </c>
      <c r="B3183" s="468" t="s">
        <v>5430</v>
      </c>
      <c r="C3183" s="468" t="s">
        <v>8183</v>
      </c>
      <c r="D3183" s="468" t="s">
        <v>8184</v>
      </c>
      <c r="F3183" s="470">
        <v>1</v>
      </c>
      <c r="G3183" s="468">
        <v>35.085999999999999</v>
      </c>
      <c r="H3183" s="479">
        <v>35.085999999999999</v>
      </c>
      <c r="I3183" s="468" t="s">
        <v>9218</v>
      </c>
      <c r="J3183" s="468" t="s">
        <v>9219</v>
      </c>
      <c r="K3183" s="468" t="s">
        <v>9219</v>
      </c>
      <c r="L3183" s="468" t="s">
        <v>2354</v>
      </c>
    </row>
    <row r="3184" spans="1:12" x14ac:dyDescent="0.25">
      <c r="A3184" s="468" t="s">
        <v>220</v>
      </c>
      <c r="B3184" s="468" t="s">
        <v>5430</v>
      </c>
      <c r="C3184" s="468" t="s">
        <v>8185</v>
      </c>
      <c r="D3184" s="468" t="s">
        <v>8186</v>
      </c>
      <c r="F3184" s="470">
        <v>1</v>
      </c>
      <c r="G3184" s="468">
        <v>42.161000000000001</v>
      </c>
      <c r="H3184" s="479">
        <v>42.161000000000001</v>
      </c>
      <c r="I3184" s="468" t="s">
        <v>9218</v>
      </c>
      <c r="J3184" s="468" t="s">
        <v>9219</v>
      </c>
      <c r="K3184" s="468" t="s">
        <v>9219</v>
      </c>
      <c r="L3184" s="468" t="s">
        <v>2354</v>
      </c>
    </row>
    <row r="3185" spans="1:12" x14ac:dyDescent="0.25">
      <c r="A3185" s="468" t="s">
        <v>220</v>
      </c>
      <c r="B3185" s="468" t="s">
        <v>5430</v>
      </c>
      <c r="C3185" s="468" t="s">
        <v>6409</v>
      </c>
      <c r="D3185" s="468" t="s">
        <v>8187</v>
      </c>
      <c r="F3185" s="470">
        <v>5</v>
      </c>
      <c r="G3185" s="468">
        <v>20.7</v>
      </c>
      <c r="H3185" s="479">
        <v>103.5</v>
      </c>
      <c r="I3185" s="468" t="s">
        <v>9218</v>
      </c>
      <c r="J3185" s="468" t="s">
        <v>9219</v>
      </c>
      <c r="K3185" s="468" t="s">
        <v>9219</v>
      </c>
      <c r="L3185" s="468" t="s">
        <v>2354</v>
      </c>
    </row>
    <row r="3186" spans="1:12" x14ac:dyDescent="0.25">
      <c r="A3186" s="468" t="s">
        <v>220</v>
      </c>
      <c r="B3186" s="468" t="s">
        <v>5430</v>
      </c>
      <c r="C3186" s="468" t="s">
        <v>6411</v>
      </c>
      <c r="D3186" s="468" t="s">
        <v>8188</v>
      </c>
      <c r="F3186" s="470">
        <v>5</v>
      </c>
      <c r="G3186" s="468">
        <v>25.2</v>
      </c>
      <c r="H3186" s="479">
        <v>126</v>
      </c>
      <c r="I3186" s="468" t="s">
        <v>9218</v>
      </c>
      <c r="J3186" s="468" t="s">
        <v>9219</v>
      </c>
      <c r="K3186" s="468" t="s">
        <v>9219</v>
      </c>
      <c r="L3186" s="468" t="s">
        <v>2354</v>
      </c>
    </row>
    <row r="3187" spans="1:12" x14ac:dyDescent="0.25">
      <c r="A3187" s="468" t="s">
        <v>220</v>
      </c>
      <c r="B3187" s="468" t="s">
        <v>5430</v>
      </c>
      <c r="C3187" s="468" t="s">
        <v>6413</v>
      </c>
      <c r="D3187" s="468" t="s">
        <v>8189</v>
      </c>
      <c r="F3187" s="470">
        <v>1</v>
      </c>
      <c r="G3187" s="468">
        <v>120.6</v>
      </c>
      <c r="H3187" s="479">
        <v>120.6</v>
      </c>
      <c r="I3187" s="468" t="s">
        <v>9218</v>
      </c>
      <c r="J3187" s="468" t="s">
        <v>9219</v>
      </c>
      <c r="K3187" s="468" t="s">
        <v>9219</v>
      </c>
      <c r="L3187" s="468" t="s">
        <v>2354</v>
      </c>
    </row>
    <row r="3188" spans="1:12" x14ac:dyDescent="0.25">
      <c r="A3188" s="468" t="s">
        <v>220</v>
      </c>
      <c r="B3188" s="468" t="s">
        <v>5430</v>
      </c>
      <c r="C3188" s="468" t="s">
        <v>6415</v>
      </c>
      <c r="D3188" s="468" t="s">
        <v>8190</v>
      </c>
      <c r="F3188" s="470">
        <v>11</v>
      </c>
      <c r="G3188" s="468">
        <v>175.16499999999999</v>
      </c>
      <c r="H3188" s="479">
        <v>1926.8149999999998</v>
      </c>
      <c r="I3188" s="468" t="s">
        <v>9218</v>
      </c>
      <c r="J3188" s="468" t="s">
        <v>9219</v>
      </c>
      <c r="K3188" s="468" t="s">
        <v>9219</v>
      </c>
      <c r="L3188" s="468" t="s">
        <v>2354</v>
      </c>
    </row>
    <row r="3189" spans="1:12" x14ac:dyDescent="0.25">
      <c r="A3189" s="468" t="s">
        <v>220</v>
      </c>
      <c r="B3189" s="468" t="s">
        <v>5430</v>
      </c>
      <c r="C3189" s="468" t="s">
        <v>6417</v>
      </c>
      <c r="D3189" s="468" t="s">
        <v>8191</v>
      </c>
      <c r="F3189" s="470">
        <v>2</v>
      </c>
      <c r="G3189" s="468">
        <v>37.646999999999998</v>
      </c>
      <c r="H3189" s="479">
        <v>75.293999999999997</v>
      </c>
      <c r="I3189" s="468" t="s">
        <v>9218</v>
      </c>
      <c r="J3189" s="468" t="s">
        <v>9219</v>
      </c>
      <c r="K3189" s="468" t="s">
        <v>9219</v>
      </c>
      <c r="L3189" s="468" t="s">
        <v>2354</v>
      </c>
    </row>
    <row r="3190" spans="1:12" x14ac:dyDescent="0.25">
      <c r="A3190" s="468" t="s">
        <v>220</v>
      </c>
      <c r="B3190" s="468" t="s">
        <v>5430</v>
      </c>
      <c r="C3190" s="468" t="s">
        <v>6419</v>
      </c>
      <c r="D3190" s="468" t="s">
        <v>8192</v>
      </c>
      <c r="F3190" s="470">
        <v>2</v>
      </c>
      <c r="G3190" s="468">
        <v>31.440999999999999</v>
      </c>
      <c r="H3190" s="479">
        <v>62.881999999999998</v>
      </c>
      <c r="I3190" s="468" t="s">
        <v>9218</v>
      </c>
      <c r="J3190" s="468" t="s">
        <v>9219</v>
      </c>
      <c r="K3190" s="468" t="s">
        <v>9219</v>
      </c>
      <c r="L3190" s="468" t="s">
        <v>2354</v>
      </c>
    </row>
    <row r="3191" spans="1:12" x14ac:dyDescent="0.25">
      <c r="A3191" s="468" t="s">
        <v>220</v>
      </c>
      <c r="B3191" s="468" t="s">
        <v>5430</v>
      </c>
      <c r="C3191" s="468" t="s">
        <v>6421</v>
      </c>
      <c r="D3191" s="468" t="s">
        <v>8193</v>
      </c>
      <c r="F3191" s="470">
        <v>4</v>
      </c>
      <c r="G3191" s="468">
        <v>98.108000000000004</v>
      </c>
      <c r="H3191" s="479">
        <v>392.43200000000002</v>
      </c>
      <c r="I3191" s="468" t="s">
        <v>9218</v>
      </c>
      <c r="J3191" s="468" t="s">
        <v>9219</v>
      </c>
      <c r="K3191" s="468" t="s">
        <v>9219</v>
      </c>
      <c r="L3191" s="468" t="s">
        <v>2354</v>
      </c>
    </row>
    <row r="3192" spans="1:12" x14ac:dyDescent="0.25">
      <c r="A3192" s="468" t="s">
        <v>220</v>
      </c>
      <c r="B3192" s="468" t="s">
        <v>5430</v>
      </c>
      <c r="C3192" s="468" t="s">
        <v>6423</v>
      </c>
      <c r="D3192" s="468" t="s">
        <v>6424</v>
      </c>
      <c r="F3192" s="470">
        <v>2</v>
      </c>
      <c r="G3192" s="468">
        <v>28.116</v>
      </c>
      <c r="H3192" s="479">
        <v>56.231999999999999</v>
      </c>
      <c r="I3192" s="468" t="s">
        <v>9218</v>
      </c>
      <c r="J3192" s="468" t="s">
        <v>9219</v>
      </c>
      <c r="K3192" s="468" t="s">
        <v>9219</v>
      </c>
      <c r="L3192" s="468" t="s">
        <v>2354</v>
      </c>
    </row>
    <row r="3193" spans="1:12" x14ac:dyDescent="0.25">
      <c r="A3193" s="468" t="s">
        <v>220</v>
      </c>
      <c r="B3193" s="468" t="s">
        <v>5430</v>
      </c>
      <c r="C3193" s="468" t="s">
        <v>6425</v>
      </c>
      <c r="D3193" s="468" t="s">
        <v>8194</v>
      </c>
      <c r="F3193" s="470">
        <v>2</v>
      </c>
      <c r="G3193" s="468">
        <v>83.16</v>
      </c>
      <c r="H3193" s="479">
        <v>166.32</v>
      </c>
      <c r="I3193" s="468" t="s">
        <v>9218</v>
      </c>
      <c r="J3193" s="468" t="s">
        <v>9219</v>
      </c>
      <c r="K3193" s="468" t="s">
        <v>9219</v>
      </c>
      <c r="L3193" s="468" t="s">
        <v>2354</v>
      </c>
    </row>
    <row r="3194" spans="1:12" x14ac:dyDescent="0.25">
      <c r="A3194" s="468" t="s">
        <v>220</v>
      </c>
      <c r="B3194" s="468" t="s">
        <v>5430</v>
      </c>
      <c r="C3194" s="468" t="s">
        <v>6427</v>
      </c>
      <c r="D3194" s="468" t="s">
        <v>8195</v>
      </c>
      <c r="F3194" s="470">
        <v>2</v>
      </c>
      <c r="G3194" s="468">
        <v>63.204000000000001</v>
      </c>
      <c r="H3194" s="479">
        <v>126.408</v>
      </c>
      <c r="I3194" s="468" t="s">
        <v>9218</v>
      </c>
      <c r="J3194" s="468" t="s">
        <v>9219</v>
      </c>
      <c r="K3194" s="468" t="s">
        <v>9219</v>
      </c>
      <c r="L3194" s="468" t="s">
        <v>2354</v>
      </c>
    </row>
    <row r="3195" spans="1:12" x14ac:dyDescent="0.25">
      <c r="A3195" s="468" t="s">
        <v>220</v>
      </c>
      <c r="B3195" s="468" t="s">
        <v>5430</v>
      </c>
      <c r="C3195" s="468" t="s">
        <v>6429</v>
      </c>
      <c r="D3195" s="468" t="s">
        <v>8196</v>
      </c>
      <c r="F3195" s="470">
        <v>2</v>
      </c>
      <c r="G3195" s="468">
        <v>33.542000000000002</v>
      </c>
      <c r="H3195" s="479">
        <v>67.084000000000003</v>
      </c>
      <c r="I3195" s="468" t="s">
        <v>9218</v>
      </c>
      <c r="J3195" s="468" t="s">
        <v>9219</v>
      </c>
      <c r="K3195" s="468" t="s">
        <v>9219</v>
      </c>
      <c r="L3195" s="468" t="s">
        <v>2354</v>
      </c>
    </row>
    <row r="3196" spans="1:12" x14ac:dyDescent="0.25">
      <c r="A3196" s="468" t="s">
        <v>220</v>
      </c>
      <c r="B3196" s="468" t="s">
        <v>5430</v>
      </c>
      <c r="C3196" s="468" t="s">
        <v>6431</v>
      </c>
      <c r="D3196" s="468" t="s">
        <v>8197</v>
      </c>
      <c r="F3196" s="470">
        <v>1</v>
      </c>
      <c r="G3196" s="468">
        <v>58.968000000000004</v>
      </c>
      <c r="H3196" s="479">
        <v>58.968000000000004</v>
      </c>
      <c r="I3196" s="468" t="s">
        <v>9218</v>
      </c>
      <c r="J3196" s="468" t="s">
        <v>9219</v>
      </c>
      <c r="K3196" s="468" t="s">
        <v>9219</v>
      </c>
      <c r="L3196" s="468" t="s">
        <v>2354</v>
      </c>
    </row>
    <row r="3197" spans="1:12" x14ac:dyDescent="0.25">
      <c r="A3197" s="468" t="s">
        <v>220</v>
      </c>
      <c r="B3197" s="468" t="s">
        <v>5430</v>
      </c>
      <c r="C3197" s="468" t="s">
        <v>6433</v>
      </c>
      <c r="D3197" s="468" t="s">
        <v>8198</v>
      </c>
      <c r="F3197" s="470">
        <v>3</v>
      </c>
      <c r="G3197" s="468">
        <v>408.12</v>
      </c>
      <c r="H3197" s="479">
        <v>1224.3600000000001</v>
      </c>
      <c r="I3197" s="468" t="s">
        <v>9218</v>
      </c>
      <c r="J3197" s="468" t="s">
        <v>9219</v>
      </c>
      <c r="K3197" s="468" t="s">
        <v>9219</v>
      </c>
      <c r="L3197" s="468" t="s">
        <v>2354</v>
      </c>
    </row>
    <row r="3198" spans="1:12" x14ac:dyDescent="0.25">
      <c r="A3198" s="468" t="s">
        <v>220</v>
      </c>
      <c r="B3198" s="468" t="s">
        <v>5430</v>
      </c>
      <c r="C3198" s="468" t="s">
        <v>6435</v>
      </c>
      <c r="D3198" s="468" t="s">
        <v>8199</v>
      </c>
      <c r="F3198" s="470">
        <v>2</v>
      </c>
      <c r="G3198" s="468">
        <v>77.004000000000005</v>
      </c>
      <c r="H3198" s="479">
        <v>154.00800000000001</v>
      </c>
      <c r="I3198" s="468" t="s">
        <v>9218</v>
      </c>
      <c r="J3198" s="468" t="s">
        <v>9219</v>
      </c>
      <c r="K3198" s="468" t="s">
        <v>9219</v>
      </c>
      <c r="L3198" s="468" t="s">
        <v>2354</v>
      </c>
    </row>
    <row r="3199" spans="1:12" x14ac:dyDescent="0.25">
      <c r="A3199" s="468" t="s">
        <v>220</v>
      </c>
      <c r="B3199" s="468" t="s">
        <v>5430</v>
      </c>
      <c r="C3199" s="468" t="s">
        <v>6437</v>
      </c>
      <c r="D3199" s="468" t="s">
        <v>8200</v>
      </c>
      <c r="F3199" s="470">
        <v>2</v>
      </c>
      <c r="G3199" s="468">
        <v>76.105999999999995</v>
      </c>
      <c r="H3199" s="479">
        <v>152.21199999999999</v>
      </c>
      <c r="I3199" s="468" t="s">
        <v>9218</v>
      </c>
      <c r="J3199" s="468" t="s">
        <v>9219</v>
      </c>
      <c r="K3199" s="468" t="s">
        <v>9219</v>
      </c>
      <c r="L3199" s="468" t="s">
        <v>2354</v>
      </c>
    </row>
    <row r="3200" spans="1:12" x14ac:dyDescent="0.25">
      <c r="A3200" s="468" t="s">
        <v>220</v>
      </c>
      <c r="B3200" s="468" t="s">
        <v>5430</v>
      </c>
      <c r="C3200" s="468" t="s">
        <v>6439</v>
      </c>
      <c r="D3200" s="468" t="s">
        <v>8201</v>
      </c>
      <c r="F3200" s="470">
        <v>2</v>
      </c>
      <c r="G3200" s="468">
        <v>51.171999999999997</v>
      </c>
      <c r="H3200" s="479">
        <v>102.34399999999999</v>
      </c>
      <c r="I3200" s="468" t="s">
        <v>9218</v>
      </c>
      <c r="J3200" s="468" t="s">
        <v>9219</v>
      </c>
      <c r="K3200" s="468" t="s">
        <v>9219</v>
      </c>
      <c r="L3200" s="468" t="s">
        <v>2354</v>
      </c>
    </row>
    <row r="3201" spans="1:12" x14ac:dyDescent="0.25">
      <c r="A3201" s="468" t="s">
        <v>220</v>
      </c>
      <c r="B3201" s="468" t="s">
        <v>5430</v>
      </c>
      <c r="C3201" s="468" t="s">
        <v>6441</v>
      </c>
      <c r="D3201" s="468" t="s">
        <v>8202</v>
      </c>
      <c r="F3201" s="470">
        <v>2</v>
      </c>
      <c r="G3201" s="468">
        <v>131.006</v>
      </c>
      <c r="H3201" s="479">
        <v>262.012</v>
      </c>
      <c r="I3201" s="468" t="s">
        <v>9218</v>
      </c>
      <c r="J3201" s="468" t="s">
        <v>9219</v>
      </c>
      <c r="K3201" s="468" t="s">
        <v>9219</v>
      </c>
      <c r="L3201" s="468" t="s">
        <v>2354</v>
      </c>
    </row>
    <row r="3202" spans="1:12" x14ac:dyDescent="0.25">
      <c r="A3202" s="468" t="s">
        <v>220</v>
      </c>
      <c r="B3202" s="468" t="s">
        <v>5430</v>
      </c>
      <c r="C3202" s="468" t="s">
        <v>6443</v>
      </c>
      <c r="D3202" s="468" t="s">
        <v>8203</v>
      </c>
      <c r="F3202" s="470">
        <v>2</v>
      </c>
      <c r="G3202" s="468">
        <v>131.00800000000001</v>
      </c>
      <c r="H3202" s="479">
        <v>262.01600000000002</v>
      </c>
      <c r="I3202" s="468" t="s">
        <v>9218</v>
      </c>
      <c r="J3202" s="468" t="s">
        <v>9219</v>
      </c>
      <c r="K3202" s="468" t="s">
        <v>9219</v>
      </c>
      <c r="L3202" s="468" t="s">
        <v>2354</v>
      </c>
    </row>
    <row r="3203" spans="1:12" x14ac:dyDescent="0.25">
      <c r="A3203" s="468" t="s">
        <v>220</v>
      </c>
      <c r="B3203" s="468" t="s">
        <v>5430</v>
      </c>
      <c r="C3203" s="468" t="s">
        <v>8204</v>
      </c>
      <c r="D3203" s="468" t="s">
        <v>8205</v>
      </c>
      <c r="F3203" s="470">
        <v>2</v>
      </c>
      <c r="G3203" s="468">
        <v>617.00599999999997</v>
      </c>
      <c r="H3203" s="479">
        <v>1234.0119999999999</v>
      </c>
      <c r="I3203" s="468" t="s">
        <v>9218</v>
      </c>
      <c r="J3203" s="468" t="s">
        <v>9219</v>
      </c>
      <c r="K3203" s="468" t="s">
        <v>9219</v>
      </c>
      <c r="L3203" s="468" t="s">
        <v>2354</v>
      </c>
    </row>
    <row r="3204" spans="1:12" x14ac:dyDescent="0.25">
      <c r="A3204" s="468" t="s">
        <v>220</v>
      </c>
      <c r="B3204" s="468" t="s">
        <v>5430</v>
      </c>
      <c r="C3204" s="468" t="s">
        <v>6447</v>
      </c>
      <c r="D3204" s="468" t="s">
        <v>8206</v>
      </c>
      <c r="F3204" s="470">
        <v>4</v>
      </c>
      <c r="G3204" s="468">
        <v>177.80600000000001</v>
      </c>
      <c r="H3204" s="479">
        <v>711.22400000000005</v>
      </c>
      <c r="I3204" s="468" t="s">
        <v>9218</v>
      </c>
      <c r="J3204" s="468" t="s">
        <v>9219</v>
      </c>
      <c r="K3204" s="468" t="s">
        <v>9219</v>
      </c>
      <c r="L3204" s="468" t="s">
        <v>2354</v>
      </c>
    </row>
    <row r="3205" spans="1:12" x14ac:dyDescent="0.25">
      <c r="A3205" s="468" t="s">
        <v>220</v>
      </c>
      <c r="B3205" s="468" t="s">
        <v>5430</v>
      </c>
      <c r="C3205" s="468" t="s">
        <v>6449</v>
      </c>
      <c r="D3205" s="468" t="s">
        <v>8207</v>
      </c>
      <c r="F3205" s="470">
        <v>3</v>
      </c>
      <c r="G3205" s="468">
        <v>178.88</v>
      </c>
      <c r="H3205" s="479">
        <v>536.64</v>
      </c>
      <c r="I3205" s="468" t="s">
        <v>9218</v>
      </c>
      <c r="J3205" s="468" t="s">
        <v>9219</v>
      </c>
      <c r="K3205" s="468" t="s">
        <v>9219</v>
      </c>
      <c r="L3205" s="468" t="s">
        <v>2354</v>
      </c>
    </row>
    <row r="3206" spans="1:12" x14ac:dyDescent="0.25">
      <c r="A3206" s="468" t="s">
        <v>220</v>
      </c>
      <c r="B3206" s="468" t="s">
        <v>5430</v>
      </c>
      <c r="C3206" s="468" t="s">
        <v>6451</v>
      </c>
      <c r="D3206" s="468" t="s">
        <v>8208</v>
      </c>
      <c r="F3206" s="470">
        <v>3</v>
      </c>
      <c r="G3206" s="468">
        <v>17.510000000000002</v>
      </c>
      <c r="H3206" s="479">
        <v>52.53</v>
      </c>
      <c r="I3206" s="468" t="s">
        <v>9218</v>
      </c>
      <c r="J3206" s="468" t="s">
        <v>9219</v>
      </c>
      <c r="K3206" s="468" t="s">
        <v>9219</v>
      </c>
      <c r="L3206" s="468" t="s">
        <v>2354</v>
      </c>
    </row>
    <row r="3207" spans="1:12" x14ac:dyDescent="0.25">
      <c r="A3207" s="468" t="s">
        <v>220</v>
      </c>
      <c r="B3207" s="468" t="s">
        <v>5430</v>
      </c>
      <c r="C3207" s="468" t="s">
        <v>3453</v>
      </c>
      <c r="D3207" s="468" t="s">
        <v>3454</v>
      </c>
      <c r="F3207" s="470">
        <v>100</v>
      </c>
      <c r="G3207" s="468">
        <v>1.0880000000000001</v>
      </c>
      <c r="H3207" s="479">
        <v>108.80000000000001</v>
      </c>
      <c r="I3207" s="468" t="s">
        <v>9218</v>
      </c>
      <c r="J3207" s="468" t="s">
        <v>9219</v>
      </c>
      <c r="K3207" s="468" t="s">
        <v>9219</v>
      </c>
      <c r="L3207" s="468" t="s">
        <v>2354</v>
      </c>
    </row>
    <row r="3208" spans="1:12" x14ac:dyDescent="0.25">
      <c r="A3208" s="468" t="s">
        <v>220</v>
      </c>
      <c r="B3208" s="468" t="s">
        <v>5430</v>
      </c>
      <c r="C3208" s="468" t="s">
        <v>6636</v>
      </c>
      <c r="D3208" s="468" t="s">
        <v>8209</v>
      </c>
      <c r="F3208" s="470">
        <v>2</v>
      </c>
      <c r="G3208" s="468">
        <v>193.80199999999999</v>
      </c>
      <c r="H3208" s="479">
        <v>387.60399999999998</v>
      </c>
      <c r="I3208" s="468" t="s">
        <v>9218</v>
      </c>
      <c r="J3208" s="468" t="s">
        <v>9219</v>
      </c>
      <c r="K3208" s="468" t="s">
        <v>9219</v>
      </c>
      <c r="L3208" s="468" t="s">
        <v>2354</v>
      </c>
    </row>
    <row r="3209" spans="1:12" x14ac:dyDescent="0.25">
      <c r="A3209" s="468" t="s">
        <v>220</v>
      </c>
      <c r="B3209" s="468" t="s">
        <v>5430</v>
      </c>
      <c r="C3209" s="468" t="s">
        <v>6638</v>
      </c>
      <c r="D3209" s="468" t="s">
        <v>8210</v>
      </c>
      <c r="F3209" s="470">
        <v>1</v>
      </c>
      <c r="G3209" s="468">
        <v>193.80199999999999</v>
      </c>
      <c r="H3209" s="479">
        <v>193.80199999999999</v>
      </c>
      <c r="I3209" s="468" t="s">
        <v>9218</v>
      </c>
      <c r="J3209" s="468" t="s">
        <v>9219</v>
      </c>
      <c r="K3209" s="468" t="s">
        <v>9219</v>
      </c>
      <c r="L3209" s="468" t="s">
        <v>2354</v>
      </c>
    </row>
    <row r="3210" spans="1:12" x14ac:dyDescent="0.25">
      <c r="A3210" s="468" t="s">
        <v>220</v>
      </c>
      <c r="B3210" s="468" t="s">
        <v>5430</v>
      </c>
      <c r="C3210" s="468" t="s">
        <v>6640</v>
      </c>
      <c r="D3210" s="468" t="s">
        <v>6641</v>
      </c>
      <c r="F3210" s="470">
        <v>1</v>
      </c>
      <c r="G3210" s="468">
        <v>376.78</v>
      </c>
      <c r="H3210" s="479">
        <v>376.78</v>
      </c>
      <c r="I3210" s="468" t="s">
        <v>9218</v>
      </c>
      <c r="J3210" s="468" t="s">
        <v>9219</v>
      </c>
      <c r="K3210" s="468" t="s">
        <v>9219</v>
      </c>
      <c r="L3210" s="468" t="s">
        <v>2354</v>
      </c>
    </row>
    <row r="3211" spans="1:12" x14ac:dyDescent="0.25">
      <c r="A3211" s="468" t="s">
        <v>220</v>
      </c>
      <c r="B3211" s="468" t="s">
        <v>5430</v>
      </c>
      <c r="C3211" s="468" t="s">
        <v>6642</v>
      </c>
      <c r="D3211" s="468" t="s">
        <v>6643</v>
      </c>
      <c r="F3211" s="470">
        <v>1</v>
      </c>
      <c r="G3211" s="468">
        <v>193.80199999999999</v>
      </c>
      <c r="H3211" s="479">
        <v>193.80199999999999</v>
      </c>
      <c r="I3211" s="468" t="s">
        <v>9218</v>
      </c>
      <c r="J3211" s="468" t="s">
        <v>9219</v>
      </c>
      <c r="K3211" s="468" t="s">
        <v>9219</v>
      </c>
      <c r="L3211" s="468" t="s">
        <v>2354</v>
      </c>
    </row>
    <row r="3212" spans="1:12" x14ac:dyDescent="0.25">
      <c r="A3212" s="468" t="s">
        <v>220</v>
      </c>
      <c r="B3212" s="468" t="s">
        <v>5430</v>
      </c>
      <c r="C3212" s="468" t="s">
        <v>6644</v>
      </c>
      <c r="D3212" s="468" t="s">
        <v>6645</v>
      </c>
      <c r="F3212" s="470">
        <v>1</v>
      </c>
      <c r="G3212" s="468">
        <v>193.80199999999999</v>
      </c>
      <c r="H3212" s="479">
        <v>193.80199999999999</v>
      </c>
      <c r="I3212" s="468" t="s">
        <v>9218</v>
      </c>
      <c r="J3212" s="468" t="s">
        <v>9219</v>
      </c>
      <c r="K3212" s="468" t="s">
        <v>9219</v>
      </c>
      <c r="L3212" s="468" t="s">
        <v>2354</v>
      </c>
    </row>
    <row r="3213" spans="1:12" x14ac:dyDescent="0.25">
      <c r="A3213" s="468" t="s">
        <v>220</v>
      </c>
      <c r="B3213" s="468" t="s">
        <v>5430</v>
      </c>
      <c r="C3213" s="468" t="s">
        <v>6646</v>
      </c>
      <c r="D3213" s="468" t="s">
        <v>6647</v>
      </c>
      <c r="F3213" s="470">
        <v>1</v>
      </c>
      <c r="G3213" s="468">
        <v>193.80199999999999</v>
      </c>
      <c r="H3213" s="479">
        <v>193.80199999999999</v>
      </c>
      <c r="I3213" s="468" t="s">
        <v>9218</v>
      </c>
      <c r="J3213" s="468" t="s">
        <v>9219</v>
      </c>
      <c r="K3213" s="468" t="s">
        <v>9219</v>
      </c>
      <c r="L3213" s="468" t="s">
        <v>2354</v>
      </c>
    </row>
    <row r="3214" spans="1:12" x14ac:dyDescent="0.25">
      <c r="A3214" s="468" t="s">
        <v>220</v>
      </c>
      <c r="B3214" s="468" t="s">
        <v>5430</v>
      </c>
      <c r="C3214" s="468" t="s">
        <v>6648</v>
      </c>
      <c r="D3214" s="468" t="s">
        <v>8211</v>
      </c>
      <c r="F3214" s="470">
        <v>1</v>
      </c>
      <c r="G3214" s="468">
        <v>193.80199999999999</v>
      </c>
      <c r="H3214" s="479">
        <v>193.80199999999999</v>
      </c>
      <c r="I3214" s="468" t="s">
        <v>9218</v>
      </c>
      <c r="J3214" s="468" t="s">
        <v>9219</v>
      </c>
      <c r="K3214" s="468" t="s">
        <v>9219</v>
      </c>
      <c r="L3214" s="468" t="s">
        <v>2354</v>
      </c>
    </row>
    <row r="3215" spans="1:12" x14ac:dyDescent="0.25">
      <c r="A3215" s="468" t="s">
        <v>220</v>
      </c>
      <c r="B3215" s="468" t="s">
        <v>5430</v>
      </c>
      <c r="C3215" s="468" t="s">
        <v>6650</v>
      </c>
      <c r="D3215" s="468" t="s">
        <v>6651</v>
      </c>
      <c r="F3215" s="470">
        <v>1</v>
      </c>
      <c r="G3215" s="468">
        <v>193.80199999999999</v>
      </c>
      <c r="H3215" s="479">
        <v>193.80199999999999</v>
      </c>
      <c r="I3215" s="468" t="s">
        <v>9218</v>
      </c>
      <c r="J3215" s="468" t="s">
        <v>9219</v>
      </c>
      <c r="K3215" s="468" t="s">
        <v>9219</v>
      </c>
      <c r="L3215" s="468" t="s">
        <v>2354</v>
      </c>
    </row>
    <row r="3216" spans="1:12" x14ac:dyDescent="0.25">
      <c r="A3216" s="468" t="s">
        <v>220</v>
      </c>
      <c r="B3216" s="468" t="s">
        <v>5430</v>
      </c>
      <c r="C3216" s="468" t="s">
        <v>6652</v>
      </c>
      <c r="D3216" s="468" t="s">
        <v>6653</v>
      </c>
      <c r="F3216" s="470">
        <v>1</v>
      </c>
      <c r="G3216" s="468">
        <v>193.80199999999999</v>
      </c>
      <c r="H3216" s="479">
        <v>193.80199999999999</v>
      </c>
      <c r="I3216" s="468" t="s">
        <v>9218</v>
      </c>
      <c r="J3216" s="468" t="s">
        <v>9219</v>
      </c>
      <c r="K3216" s="468" t="s">
        <v>9219</v>
      </c>
      <c r="L3216" s="468" t="s">
        <v>2354</v>
      </c>
    </row>
    <row r="3217" spans="1:12" x14ac:dyDescent="0.25">
      <c r="A3217" s="468" t="s">
        <v>220</v>
      </c>
      <c r="B3217" s="468" t="s">
        <v>5430</v>
      </c>
      <c r="C3217" s="468" t="s">
        <v>6654</v>
      </c>
      <c r="D3217" s="468" t="s">
        <v>6655</v>
      </c>
      <c r="F3217" s="470">
        <v>1</v>
      </c>
      <c r="G3217" s="468">
        <v>193.80199999999999</v>
      </c>
      <c r="H3217" s="479">
        <v>193.80199999999999</v>
      </c>
      <c r="I3217" s="468" t="s">
        <v>9218</v>
      </c>
      <c r="J3217" s="468" t="s">
        <v>9219</v>
      </c>
      <c r="K3217" s="468" t="s">
        <v>9219</v>
      </c>
      <c r="L3217" s="468" t="s">
        <v>2354</v>
      </c>
    </row>
    <row r="3218" spans="1:12" x14ac:dyDescent="0.25">
      <c r="A3218" s="468" t="s">
        <v>220</v>
      </c>
      <c r="B3218" s="468" t="s">
        <v>5430</v>
      </c>
      <c r="C3218" s="468" t="s">
        <v>6656</v>
      </c>
      <c r="D3218" s="468" t="s">
        <v>8212</v>
      </c>
      <c r="F3218" s="470">
        <v>1</v>
      </c>
      <c r="H3218" s="479">
        <v>0</v>
      </c>
      <c r="I3218" s="468" t="s">
        <v>9218</v>
      </c>
      <c r="J3218" s="468" t="s">
        <v>9219</v>
      </c>
      <c r="K3218" s="468" t="s">
        <v>9219</v>
      </c>
      <c r="L3218" s="468" t="s">
        <v>2354</v>
      </c>
    </row>
    <row r="3219" spans="1:12" x14ac:dyDescent="0.25">
      <c r="A3219" s="468" t="s">
        <v>220</v>
      </c>
      <c r="B3219" s="468" t="s">
        <v>5430</v>
      </c>
      <c r="C3219" s="468" t="s">
        <v>6658</v>
      </c>
      <c r="D3219" s="468" t="s">
        <v>8213</v>
      </c>
      <c r="F3219" s="470">
        <v>2</v>
      </c>
      <c r="H3219" s="479">
        <v>0</v>
      </c>
      <c r="I3219" s="468" t="s">
        <v>9218</v>
      </c>
      <c r="J3219" s="468" t="s">
        <v>9219</v>
      </c>
      <c r="K3219" s="468" t="s">
        <v>9219</v>
      </c>
      <c r="L3219" s="468" t="s">
        <v>2354</v>
      </c>
    </row>
    <row r="3220" spans="1:12" x14ac:dyDescent="0.25">
      <c r="A3220" s="468" t="s">
        <v>220</v>
      </c>
      <c r="B3220" s="468" t="s">
        <v>5430</v>
      </c>
      <c r="C3220" s="468" t="s">
        <v>6660</v>
      </c>
      <c r="D3220" s="468" t="s">
        <v>8214</v>
      </c>
      <c r="F3220" s="470">
        <v>1</v>
      </c>
      <c r="H3220" s="479">
        <v>0</v>
      </c>
      <c r="I3220" s="468" t="s">
        <v>9218</v>
      </c>
      <c r="J3220" s="468" t="s">
        <v>9219</v>
      </c>
      <c r="K3220" s="468" t="s">
        <v>9219</v>
      </c>
      <c r="L3220" s="468" t="s">
        <v>2354</v>
      </c>
    </row>
    <row r="3221" spans="1:12" x14ac:dyDescent="0.25">
      <c r="A3221" s="468" t="s">
        <v>220</v>
      </c>
      <c r="B3221" s="468" t="s">
        <v>5430</v>
      </c>
      <c r="C3221" s="468" t="s">
        <v>6662</v>
      </c>
      <c r="D3221" s="468" t="s">
        <v>8215</v>
      </c>
      <c r="F3221" s="470">
        <v>1</v>
      </c>
      <c r="H3221" s="479">
        <v>0</v>
      </c>
      <c r="I3221" s="468" t="s">
        <v>9218</v>
      </c>
      <c r="J3221" s="468" t="s">
        <v>9219</v>
      </c>
      <c r="K3221" s="468" t="s">
        <v>9219</v>
      </c>
      <c r="L3221" s="468" t="s">
        <v>2354</v>
      </c>
    </row>
    <row r="3222" spans="1:12" x14ac:dyDescent="0.25">
      <c r="A3222" s="468" t="s">
        <v>220</v>
      </c>
      <c r="B3222" s="468" t="s">
        <v>5430</v>
      </c>
      <c r="C3222" s="468" t="s">
        <v>6664</v>
      </c>
      <c r="D3222" s="468" t="s">
        <v>8216</v>
      </c>
      <c r="F3222" s="470">
        <v>1</v>
      </c>
      <c r="H3222" s="479">
        <v>0</v>
      </c>
      <c r="I3222" s="468" t="s">
        <v>9218</v>
      </c>
      <c r="J3222" s="468" t="s">
        <v>9219</v>
      </c>
      <c r="K3222" s="468" t="s">
        <v>9219</v>
      </c>
      <c r="L3222" s="468" t="s">
        <v>2354</v>
      </c>
    </row>
    <row r="3223" spans="1:12" x14ac:dyDescent="0.25">
      <c r="A3223" s="468" t="s">
        <v>220</v>
      </c>
      <c r="B3223" s="468" t="s">
        <v>5430</v>
      </c>
      <c r="C3223" s="468" t="s">
        <v>6666</v>
      </c>
      <c r="D3223" s="468" t="s">
        <v>8217</v>
      </c>
      <c r="F3223" s="470">
        <v>1</v>
      </c>
      <c r="H3223" s="479">
        <v>0</v>
      </c>
      <c r="I3223" s="468" t="s">
        <v>9218</v>
      </c>
      <c r="J3223" s="468" t="s">
        <v>9219</v>
      </c>
      <c r="K3223" s="468" t="s">
        <v>9219</v>
      </c>
      <c r="L3223" s="468" t="s">
        <v>2354</v>
      </c>
    </row>
    <row r="3224" spans="1:12" x14ac:dyDescent="0.25">
      <c r="A3224" s="468" t="s">
        <v>220</v>
      </c>
      <c r="B3224" s="468" t="s">
        <v>5430</v>
      </c>
      <c r="C3224" s="468" t="s">
        <v>6668</v>
      </c>
      <c r="D3224" s="468" t="s">
        <v>8218</v>
      </c>
      <c r="F3224" s="470">
        <v>5</v>
      </c>
      <c r="H3224" s="479">
        <v>0</v>
      </c>
      <c r="I3224" s="468" t="s">
        <v>9218</v>
      </c>
      <c r="J3224" s="468" t="s">
        <v>9219</v>
      </c>
      <c r="K3224" s="468" t="s">
        <v>9219</v>
      </c>
      <c r="L3224" s="468" t="s">
        <v>2354</v>
      </c>
    </row>
    <row r="3225" spans="1:12" x14ac:dyDescent="0.25">
      <c r="A3225" s="468" t="s">
        <v>220</v>
      </c>
      <c r="B3225" s="468" t="s">
        <v>5430</v>
      </c>
      <c r="C3225" s="468" t="s">
        <v>6670</v>
      </c>
      <c r="D3225" s="468" t="s">
        <v>8219</v>
      </c>
      <c r="F3225" s="470">
        <v>3</v>
      </c>
      <c r="G3225" s="468">
        <v>413.48160000000001</v>
      </c>
      <c r="H3225" s="479">
        <v>1240.4448</v>
      </c>
      <c r="I3225" s="468" t="s">
        <v>9218</v>
      </c>
      <c r="J3225" s="468" t="s">
        <v>9219</v>
      </c>
      <c r="K3225" s="468" t="s">
        <v>9219</v>
      </c>
      <c r="L3225" s="468" t="s">
        <v>2354</v>
      </c>
    </row>
    <row r="3226" spans="1:12" x14ac:dyDescent="0.25">
      <c r="A3226" s="468" t="s">
        <v>220</v>
      </c>
      <c r="B3226" s="468" t="s">
        <v>5430</v>
      </c>
      <c r="C3226" s="468" t="s">
        <v>6672</v>
      </c>
      <c r="D3226" s="468" t="s">
        <v>8220</v>
      </c>
      <c r="F3226" s="470">
        <v>4</v>
      </c>
      <c r="H3226" s="479">
        <v>0</v>
      </c>
      <c r="I3226" s="468" t="s">
        <v>9218</v>
      </c>
      <c r="J3226" s="468" t="s">
        <v>9219</v>
      </c>
      <c r="K3226" s="468" t="s">
        <v>9219</v>
      </c>
      <c r="L3226" s="468" t="s">
        <v>2354</v>
      </c>
    </row>
    <row r="3227" spans="1:12" x14ac:dyDescent="0.25">
      <c r="A3227" s="468" t="s">
        <v>220</v>
      </c>
      <c r="B3227" s="468" t="s">
        <v>5430</v>
      </c>
      <c r="C3227" s="468" t="s">
        <v>6674</v>
      </c>
      <c r="D3227" s="468" t="s">
        <v>8221</v>
      </c>
      <c r="F3227" s="470">
        <v>1</v>
      </c>
      <c r="G3227" s="468">
        <v>141.30000000000001</v>
      </c>
      <c r="H3227" s="479">
        <v>141.30000000000001</v>
      </c>
      <c r="I3227" s="468" t="s">
        <v>9218</v>
      </c>
      <c r="J3227" s="468" t="s">
        <v>9219</v>
      </c>
      <c r="K3227" s="468" t="s">
        <v>9219</v>
      </c>
      <c r="L3227" s="468" t="s">
        <v>2354</v>
      </c>
    </row>
    <row r="3228" spans="1:12" x14ac:dyDescent="0.25">
      <c r="A3228" s="468" t="s">
        <v>220</v>
      </c>
      <c r="B3228" s="468" t="s">
        <v>5430</v>
      </c>
      <c r="C3228" s="468" t="s">
        <v>6676</v>
      </c>
      <c r="D3228" s="468" t="s">
        <v>8222</v>
      </c>
      <c r="F3228" s="470">
        <v>1</v>
      </c>
      <c r="G3228" s="468">
        <v>149.4</v>
      </c>
      <c r="H3228" s="479">
        <v>149.4</v>
      </c>
      <c r="I3228" s="468" t="s">
        <v>9218</v>
      </c>
      <c r="J3228" s="468" t="s">
        <v>9219</v>
      </c>
      <c r="K3228" s="468" t="s">
        <v>9219</v>
      </c>
      <c r="L3228" s="468" t="s">
        <v>2354</v>
      </c>
    </row>
    <row r="3229" spans="1:12" x14ac:dyDescent="0.25">
      <c r="A3229" s="468" t="s">
        <v>220</v>
      </c>
      <c r="B3229" s="468" t="s">
        <v>5430</v>
      </c>
      <c r="C3229" s="468" t="s">
        <v>6678</v>
      </c>
      <c r="D3229" s="468" t="s">
        <v>8223</v>
      </c>
      <c r="F3229" s="470">
        <v>2</v>
      </c>
      <c r="H3229" s="479">
        <v>0</v>
      </c>
      <c r="I3229" s="468" t="s">
        <v>9218</v>
      </c>
      <c r="J3229" s="468" t="s">
        <v>9219</v>
      </c>
      <c r="K3229" s="468" t="s">
        <v>9219</v>
      </c>
      <c r="L3229" s="468" t="s">
        <v>2354</v>
      </c>
    </row>
    <row r="3230" spans="1:12" x14ac:dyDescent="0.25">
      <c r="A3230" s="468" t="s">
        <v>220</v>
      </c>
      <c r="B3230" s="468" t="s">
        <v>5430</v>
      </c>
      <c r="C3230" s="468" t="s">
        <v>6680</v>
      </c>
      <c r="D3230" s="468" t="s">
        <v>8224</v>
      </c>
      <c r="F3230" s="470">
        <v>1</v>
      </c>
      <c r="H3230" s="479">
        <v>0</v>
      </c>
      <c r="I3230" s="468" t="s">
        <v>9218</v>
      </c>
      <c r="J3230" s="468" t="s">
        <v>9219</v>
      </c>
      <c r="K3230" s="468" t="s">
        <v>9219</v>
      </c>
      <c r="L3230" s="468" t="s">
        <v>2354</v>
      </c>
    </row>
    <row r="3231" spans="1:12" x14ac:dyDescent="0.25">
      <c r="A3231" s="468" t="s">
        <v>220</v>
      </c>
      <c r="B3231" s="468" t="s">
        <v>5430</v>
      </c>
      <c r="C3231" s="468" t="s">
        <v>3823</v>
      </c>
      <c r="D3231" s="468" t="s">
        <v>8225</v>
      </c>
      <c r="F3231" s="470">
        <v>5</v>
      </c>
      <c r="H3231" s="479">
        <v>0</v>
      </c>
      <c r="I3231" s="468" t="s">
        <v>9218</v>
      </c>
      <c r="J3231" s="468" t="s">
        <v>9219</v>
      </c>
      <c r="K3231" s="468" t="s">
        <v>9219</v>
      </c>
      <c r="L3231" s="468" t="s">
        <v>2354</v>
      </c>
    </row>
    <row r="3232" spans="1:12" x14ac:dyDescent="0.25">
      <c r="A3232" s="468" t="s">
        <v>220</v>
      </c>
      <c r="B3232" s="468" t="s">
        <v>5430</v>
      </c>
      <c r="C3232" s="468" t="s">
        <v>6682</v>
      </c>
      <c r="D3232" s="468" t="s">
        <v>8226</v>
      </c>
      <c r="F3232" s="470">
        <v>1</v>
      </c>
      <c r="H3232" s="479">
        <v>0</v>
      </c>
      <c r="I3232" s="468" t="s">
        <v>9218</v>
      </c>
      <c r="J3232" s="468" t="s">
        <v>9219</v>
      </c>
      <c r="K3232" s="468" t="s">
        <v>9219</v>
      </c>
      <c r="L3232" s="468" t="s">
        <v>2354</v>
      </c>
    </row>
    <row r="3233" spans="1:12" x14ac:dyDescent="0.25">
      <c r="A3233" s="468" t="s">
        <v>220</v>
      </c>
      <c r="B3233" s="468" t="s">
        <v>5430</v>
      </c>
      <c r="C3233" s="468" t="s">
        <v>6684</v>
      </c>
      <c r="D3233" s="468" t="s">
        <v>8227</v>
      </c>
      <c r="F3233" s="470">
        <v>1</v>
      </c>
      <c r="H3233" s="479">
        <v>0</v>
      </c>
      <c r="I3233" s="468" t="s">
        <v>9218</v>
      </c>
      <c r="J3233" s="468" t="s">
        <v>9219</v>
      </c>
      <c r="K3233" s="468" t="s">
        <v>9219</v>
      </c>
      <c r="L3233" s="468" t="s">
        <v>2354</v>
      </c>
    </row>
    <row r="3234" spans="1:12" x14ac:dyDescent="0.25">
      <c r="A3234" s="468" t="s">
        <v>220</v>
      </c>
      <c r="B3234" s="468" t="s">
        <v>5430</v>
      </c>
      <c r="C3234" s="468" t="s">
        <v>6686</v>
      </c>
      <c r="D3234" s="468" t="s">
        <v>8228</v>
      </c>
      <c r="F3234" s="470">
        <v>6</v>
      </c>
      <c r="H3234" s="479">
        <v>0</v>
      </c>
      <c r="I3234" s="468" t="s">
        <v>9218</v>
      </c>
      <c r="J3234" s="468" t="s">
        <v>9219</v>
      </c>
      <c r="K3234" s="468" t="s">
        <v>9219</v>
      </c>
      <c r="L3234" s="468" t="s">
        <v>2354</v>
      </c>
    </row>
    <row r="3235" spans="1:12" x14ac:dyDescent="0.25">
      <c r="A3235" s="468" t="s">
        <v>220</v>
      </c>
      <c r="B3235" s="468" t="s">
        <v>5430</v>
      </c>
      <c r="D3235" s="468" t="s">
        <v>8229</v>
      </c>
      <c r="F3235" s="470">
        <v>1</v>
      </c>
      <c r="G3235" s="468">
        <v>302.19600000000003</v>
      </c>
      <c r="H3235" s="479">
        <v>302.19600000000003</v>
      </c>
      <c r="I3235" s="468" t="s">
        <v>9218</v>
      </c>
      <c r="J3235" s="468" t="s">
        <v>9219</v>
      </c>
      <c r="K3235" s="468" t="s">
        <v>9219</v>
      </c>
      <c r="L3235" s="468" t="s">
        <v>2354</v>
      </c>
    </row>
    <row r="3236" spans="1:12" x14ac:dyDescent="0.25">
      <c r="A3236" s="468" t="s">
        <v>220</v>
      </c>
      <c r="B3236" s="468" t="s">
        <v>5430</v>
      </c>
      <c r="C3236" s="468" t="s">
        <v>6688</v>
      </c>
      <c r="D3236" s="468" t="s">
        <v>8230</v>
      </c>
      <c r="F3236" s="470">
        <v>2</v>
      </c>
      <c r="H3236" s="479">
        <v>0</v>
      </c>
      <c r="I3236" s="468" t="s">
        <v>9218</v>
      </c>
      <c r="J3236" s="468" t="s">
        <v>9219</v>
      </c>
      <c r="K3236" s="468" t="s">
        <v>9219</v>
      </c>
      <c r="L3236" s="468" t="s">
        <v>2354</v>
      </c>
    </row>
    <row r="3237" spans="1:12" x14ac:dyDescent="0.25">
      <c r="A3237" s="468" t="s">
        <v>220</v>
      </c>
      <c r="B3237" s="468" t="s">
        <v>5430</v>
      </c>
      <c r="C3237" s="468" t="s">
        <v>6690</v>
      </c>
      <c r="D3237" s="468" t="s">
        <v>8231</v>
      </c>
      <c r="F3237" s="470">
        <v>2</v>
      </c>
      <c r="G3237" s="468">
        <v>193.64699999999999</v>
      </c>
      <c r="H3237" s="479">
        <v>387.29399999999998</v>
      </c>
      <c r="I3237" s="468" t="s">
        <v>9218</v>
      </c>
      <c r="J3237" s="468" t="s">
        <v>9219</v>
      </c>
      <c r="K3237" s="468" t="s">
        <v>9219</v>
      </c>
      <c r="L3237" s="468" t="s">
        <v>2354</v>
      </c>
    </row>
    <row r="3238" spans="1:12" x14ac:dyDescent="0.25">
      <c r="A3238" s="468" t="s">
        <v>220</v>
      </c>
      <c r="B3238" s="468" t="s">
        <v>5430</v>
      </c>
      <c r="C3238" s="468" t="s">
        <v>6692</v>
      </c>
      <c r="D3238" s="468" t="s">
        <v>8232</v>
      </c>
      <c r="F3238" s="470">
        <v>1</v>
      </c>
      <c r="G3238" s="468">
        <v>114.77</v>
      </c>
      <c r="H3238" s="479">
        <v>114.77</v>
      </c>
      <c r="I3238" s="468" t="s">
        <v>9218</v>
      </c>
      <c r="J3238" s="468" t="s">
        <v>9219</v>
      </c>
      <c r="K3238" s="468" t="s">
        <v>9219</v>
      </c>
      <c r="L3238" s="468" t="s">
        <v>2354</v>
      </c>
    </row>
    <row r="3239" spans="1:12" x14ac:dyDescent="0.25">
      <c r="A3239" s="468" t="s">
        <v>220</v>
      </c>
      <c r="B3239" s="468" t="s">
        <v>5430</v>
      </c>
      <c r="C3239" s="468" t="s">
        <v>6694</v>
      </c>
      <c r="D3239" s="468" t="s">
        <v>8233</v>
      </c>
      <c r="F3239" s="470">
        <v>50</v>
      </c>
      <c r="G3239" s="468">
        <v>3.0419999999999998</v>
      </c>
      <c r="H3239" s="479">
        <v>152.1</v>
      </c>
      <c r="I3239" s="468" t="s">
        <v>9218</v>
      </c>
      <c r="J3239" s="468" t="s">
        <v>9219</v>
      </c>
      <c r="K3239" s="468" t="s">
        <v>9219</v>
      </c>
      <c r="L3239" s="468" t="s">
        <v>2354</v>
      </c>
    </row>
    <row r="3240" spans="1:12" x14ac:dyDescent="0.25">
      <c r="A3240" s="468" t="s">
        <v>220</v>
      </c>
      <c r="B3240" s="468" t="s">
        <v>5430</v>
      </c>
      <c r="C3240" s="468" t="s">
        <v>8234</v>
      </c>
      <c r="D3240" s="468" t="s">
        <v>8235</v>
      </c>
      <c r="F3240" s="470">
        <v>180</v>
      </c>
      <c r="G3240" s="468">
        <v>0.121</v>
      </c>
      <c r="H3240" s="479">
        <v>21.78</v>
      </c>
      <c r="I3240" s="468" t="s">
        <v>9218</v>
      </c>
      <c r="J3240" s="468" t="s">
        <v>9219</v>
      </c>
      <c r="K3240" s="468" t="s">
        <v>9219</v>
      </c>
      <c r="L3240" s="468" t="s">
        <v>2354</v>
      </c>
    </row>
    <row r="3241" spans="1:12" x14ac:dyDescent="0.25">
      <c r="A3241" s="468" t="s">
        <v>220</v>
      </c>
      <c r="B3241" s="468" t="s">
        <v>5430</v>
      </c>
      <c r="C3241" s="468" t="s">
        <v>6720</v>
      </c>
      <c r="D3241" s="468" t="s">
        <v>6721</v>
      </c>
      <c r="F3241" s="470">
        <v>1</v>
      </c>
      <c r="G3241" s="468">
        <v>93.9</v>
      </c>
      <c r="H3241" s="479">
        <v>93.9</v>
      </c>
      <c r="I3241" s="468" t="s">
        <v>9218</v>
      </c>
      <c r="J3241" s="468" t="s">
        <v>9219</v>
      </c>
      <c r="K3241" s="468" t="s">
        <v>9219</v>
      </c>
      <c r="L3241" s="468" t="s">
        <v>2354</v>
      </c>
    </row>
    <row r="3242" spans="1:12" x14ac:dyDescent="0.25">
      <c r="A3242" s="468" t="s">
        <v>220</v>
      </c>
      <c r="B3242" s="468" t="s">
        <v>5430</v>
      </c>
      <c r="C3242" s="468" t="s">
        <v>6724</v>
      </c>
      <c r="D3242" s="468" t="s">
        <v>6725</v>
      </c>
      <c r="F3242" s="470">
        <v>4</v>
      </c>
      <c r="G3242" s="468">
        <v>53.002000000000002</v>
      </c>
      <c r="H3242" s="479">
        <v>212.00800000000001</v>
      </c>
      <c r="I3242" s="468" t="s">
        <v>9218</v>
      </c>
      <c r="J3242" s="468" t="s">
        <v>9219</v>
      </c>
      <c r="K3242" s="468" t="s">
        <v>9219</v>
      </c>
      <c r="L3242" s="468" t="s">
        <v>2354</v>
      </c>
    </row>
    <row r="3243" spans="1:12" x14ac:dyDescent="0.25">
      <c r="A3243" s="468" t="s">
        <v>220</v>
      </c>
      <c r="B3243" s="468" t="s">
        <v>5430</v>
      </c>
      <c r="C3243" s="468" t="s">
        <v>6726</v>
      </c>
      <c r="D3243" s="468" t="s">
        <v>8236</v>
      </c>
      <c r="F3243" s="470">
        <v>1</v>
      </c>
      <c r="G3243" s="468">
        <v>34.720999999999997</v>
      </c>
      <c r="H3243" s="479">
        <v>34.720999999999997</v>
      </c>
      <c r="I3243" s="468" t="s">
        <v>9218</v>
      </c>
      <c r="J3243" s="468" t="s">
        <v>9219</v>
      </c>
      <c r="K3243" s="468" t="s">
        <v>9219</v>
      </c>
      <c r="L3243" s="468" t="s">
        <v>2354</v>
      </c>
    </row>
    <row r="3244" spans="1:12" x14ac:dyDescent="0.25">
      <c r="A3244" s="468" t="s">
        <v>220</v>
      </c>
      <c r="B3244" s="468" t="s">
        <v>5430</v>
      </c>
      <c r="C3244" s="468" t="s">
        <v>6728</v>
      </c>
      <c r="D3244" s="468" t="s">
        <v>8237</v>
      </c>
      <c r="F3244" s="470">
        <v>7</v>
      </c>
      <c r="G3244" s="468">
        <v>18.068999999999999</v>
      </c>
      <c r="H3244" s="479">
        <v>126.48299999999999</v>
      </c>
      <c r="I3244" s="468" t="s">
        <v>9218</v>
      </c>
      <c r="J3244" s="468" t="s">
        <v>9219</v>
      </c>
      <c r="K3244" s="468" t="s">
        <v>9219</v>
      </c>
      <c r="L3244" s="468" t="s">
        <v>2354</v>
      </c>
    </row>
    <row r="3245" spans="1:12" x14ac:dyDescent="0.25">
      <c r="A3245" s="468" t="s">
        <v>220</v>
      </c>
      <c r="B3245" s="468" t="s">
        <v>5430</v>
      </c>
      <c r="C3245" s="468" t="s">
        <v>3955</v>
      </c>
      <c r="D3245" s="468" t="s">
        <v>8238</v>
      </c>
      <c r="F3245" s="470">
        <v>2</v>
      </c>
      <c r="G3245" s="468">
        <v>83.718000000000004</v>
      </c>
      <c r="H3245" s="479">
        <v>167.43600000000001</v>
      </c>
      <c r="I3245" s="468" t="s">
        <v>9218</v>
      </c>
      <c r="J3245" s="468" t="s">
        <v>9219</v>
      </c>
      <c r="K3245" s="468" t="s">
        <v>9219</v>
      </c>
      <c r="L3245" s="468" t="s">
        <v>2354</v>
      </c>
    </row>
    <row r="3246" spans="1:12" x14ac:dyDescent="0.25">
      <c r="A3246" s="468" t="s">
        <v>220</v>
      </c>
      <c r="B3246" s="468" t="s">
        <v>5430</v>
      </c>
      <c r="C3246" s="468" t="s">
        <v>3995</v>
      </c>
      <c r="D3246" s="468" t="s">
        <v>8239</v>
      </c>
      <c r="F3246" s="470">
        <v>5</v>
      </c>
      <c r="G3246" s="468">
        <v>108.324</v>
      </c>
      <c r="H3246" s="479">
        <v>541.62</v>
      </c>
      <c r="I3246" s="468" t="s">
        <v>9218</v>
      </c>
      <c r="J3246" s="468" t="s">
        <v>9219</v>
      </c>
      <c r="K3246" s="468" t="s">
        <v>9219</v>
      </c>
      <c r="L3246" s="468" t="s">
        <v>2354</v>
      </c>
    </row>
    <row r="3247" spans="1:12" x14ac:dyDescent="0.25">
      <c r="A3247" s="468" t="s">
        <v>220</v>
      </c>
      <c r="B3247" s="468" t="s">
        <v>5430</v>
      </c>
      <c r="C3247" s="468" t="s">
        <v>6743</v>
      </c>
      <c r="D3247" s="468" t="s">
        <v>6744</v>
      </c>
      <c r="F3247" s="470">
        <v>1</v>
      </c>
      <c r="G3247" s="468">
        <v>82.65</v>
      </c>
      <c r="H3247" s="479">
        <v>82.65</v>
      </c>
      <c r="I3247" s="468" t="s">
        <v>9218</v>
      </c>
      <c r="J3247" s="468" t="s">
        <v>9219</v>
      </c>
      <c r="K3247" s="468" t="s">
        <v>9219</v>
      </c>
      <c r="L3247" s="468" t="s">
        <v>2354</v>
      </c>
    </row>
    <row r="3248" spans="1:12" x14ac:dyDescent="0.25">
      <c r="A3248" s="468" t="s">
        <v>220</v>
      </c>
      <c r="B3248" s="468" t="s">
        <v>5430</v>
      </c>
      <c r="C3248" s="468" t="s">
        <v>6747</v>
      </c>
      <c r="D3248" s="468" t="s">
        <v>8241</v>
      </c>
      <c r="F3248" s="470">
        <v>5</v>
      </c>
      <c r="G3248" s="468">
        <v>74.048000000000002</v>
      </c>
      <c r="H3248" s="479">
        <v>370.24</v>
      </c>
      <c r="I3248" s="468" t="s">
        <v>9218</v>
      </c>
      <c r="J3248" s="468" t="s">
        <v>9219</v>
      </c>
      <c r="K3248" s="468" t="s">
        <v>9219</v>
      </c>
      <c r="L3248" s="468" t="s">
        <v>2354</v>
      </c>
    </row>
    <row r="3249" spans="1:12" x14ac:dyDescent="0.25">
      <c r="A3249" s="468" t="s">
        <v>220</v>
      </c>
      <c r="B3249" s="468" t="s">
        <v>5430</v>
      </c>
      <c r="C3249" s="468" t="s">
        <v>6749</v>
      </c>
      <c r="D3249" s="468" t="s">
        <v>8242</v>
      </c>
      <c r="F3249" s="470">
        <v>1</v>
      </c>
      <c r="G3249" s="468">
        <v>1.1679999999999999</v>
      </c>
      <c r="H3249" s="479">
        <v>1.1679999999999999</v>
      </c>
      <c r="I3249" s="468" t="s">
        <v>9218</v>
      </c>
      <c r="J3249" s="468" t="s">
        <v>9219</v>
      </c>
      <c r="K3249" s="468" t="s">
        <v>9219</v>
      </c>
      <c r="L3249" s="468" t="s">
        <v>2354</v>
      </c>
    </row>
    <row r="3250" spans="1:12" x14ac:dyDescent="0.25">
      <c r="A3250" s="468" t="s">
        <v>220</v>
      </c>
      <c r="B3250" s="468" t="s">
        <v>5430</v>
      </c>
      <c r="C3250" s="468" t="s">
        <v>6751</v>
      </c>
      <c r="D3250" s="468" t="s">
        <v>8243</v>
      </c>
      <c r="F3250" s="470">
        <v>7</v>
      </c>
      <c r="G3250" s="468">
        <v>10.744</v>
      </c>
      <c r="H3250" s="479">
        <v>75.207999999999998</v>
      </c>
      <c r="I3250" s="468" t="s">
        <v>9218</v>
      </c>
      <c r="J3250" s="468" t="s">
        <v>9219</v>
      </c>
      <c r="K3250" s="468" t="s">
        <v>9219</v>
      </c>
      <c r="L3250" s="468" t="s">
        <v>2354</v>
      </c>
    </row>
    <row r="3251" spans="1:12" x14ac:dyDescent="0.25">
      <c r="A3251" s="468" t="s">
        <v>220</v>
      </c>
      <c r="B3251" s="468" t="s">
        <v>5430</v>
      </c>
      <c r="C3251" s="468" t="s">
        <v>6753</v>
      </c>
      <c r="D3251" s="468" t="s">
        <v>8244</v>
      </c>
      <c r="F3251" s="470">
        <v>2</v>
      </c>
      <c r="H3251" s="479">
        <v>0</v>
      </c>
      <c r="I3251" s="468" t="s">
        <v>9218</v>
      </c>
      <c r="J3251" s="468" t="s">
        <v>9219</v>
      </c>
      <c r="K3251" s="468" t="s">
        <v>9219</v>
      </c>
      <c r="L3251" s="468" t="s">
        <v>2354</v>
      </c>
    </row>
    <row r="3252" spans="1:12" x14ac:dyDescent="0.25">
      <c r="A3252" s="468" t="s">
        <v>220</v>
      </c>
      <c r="B3252" s="468" t="s">
        <v>5430</v>
      </c>
      <c r="C3252" s="468" t="s">
        <v>6755</v>
      </c>
      <c r="D3252" s="468" t="s">
        <v>8245</v>
      </c>
      <c r="F3252" s="470">
        <v>1</v>
      </c>
      <c r="H3252" s="479">
        <v>0</v>
      </c>
      <c r="I3252" s="468" t="s">
        <v>9218</v>
      </c>
      <c r="J3252" s="468" t="s">
        <v>9219</v>
      </c>
      <c r="K3252" s="468" t="s">
        <v>9219</v>
      </c>
      <c r="L3252" s="468" t="s">
        <v>2354</v>
      </c>
    </row>
    <row r="3253" spans="1:12" x14ac:dyDescent="0.25">
      <c r="A3253" s="468" t="s">
        <v>220</v>
      </c>
      <c r="B3253" s="468" t="s">
        <v>5430</v>
      </c>
      <c r="C3253" s="468" t="s">
        <v>6757</v>
      </c>
      <c r="D3253" s="468" t="s">
        <v>8246</v>
      </c>
      <c r="F3253" s="470">
        <v>1</v>
      </c>
      <c r="H3253" s="479">
        <v>0</v>
      </c>
      <c r="I3253" s="468" t="s">
        <v>9218</v>
      </c>
      <c r="J3253" s="468" t="s">
        <v>9219</v>
      </c>
      <c r="K3253" s="468" t="s">
        <v>9219</v>
      </c>
      <c r="L3253" s="468" t="s">
        <v>2354</v>
      </c>
    </row>
    <row r="3254" spans="1:12" x14ac:dyDescent="0.25">
      <c r="A3254" s="468" t="s">
        <v>220</v>
      </c>
      <c r="B3254" s="468" t="s">
        <v>5430</v>
      </c>
      <c r="C3254" s="468" t="s">
        <v>6759</v>
      </c>
      <c r="D3254" s="468" t="s">
        <v>8247</v>
      </c>
      <c r="F3254" s="470">
        <v>2</v>
      </c>
      <c r="H3254" s="479">
        <v>0</v>
      </c>
      <c r="I3254" s="468" t="s">
        <v>9218</v>
      </c>
      <c r="J3254" s="468" t="s">
        <v>9219</v>
      </c>
      <c r="K3254" s="468" t="s">
        <v>9219</v>
      </c>
      <c r="L3254" s="468" t="s">
        <v>2354</v>
      </c>
    </row>
    <row r="3255" spans="1:12" x14ac:dyDescent="0.25">
      <c r="A3255" s="468" t="s">
        <v>220</v>
      </c>
      <c r="B3255" s="468" t="s">
        <v>5430</v>
      </c>
      <c r="C3255" s="468" t="s">
        <v>6761</v>
      </c>
      <c r="D3255" s="468" t="s">
        <v>8248</v>
      </c>
      <c r="F3255" s="470">
        <v>2</v>
      </c>
      <c r="H3255" s="479">
        <v>0</v>
      </c>
      <c r="I3255" s="468" t="s">
        <v>9218</v>
      </c>
      <c r="J3255" s="468" t="s">
        <v>9219</v>
      </c>
      <c r="K3255" s="468" t="s">
        <v>9219</v>
      </c>
      <c r="L3255" s="468" t="s">
        <v>2354</v>
      </c>
    </row>
    <row r="3256" spans="1:12" x14ac:dyDescent="0.25">
      <c r="A3256" s="468" t="s">
        <v>220</v>
      </c>
      <c r="B3256" s="468" t="s">
        <v>5430</v>
      </c>
      <c r="C3256" s="468" t="s">
        <v>6763</v>
      </c>
      <c r="D3256" s="468" t="s">
        <v>8249</v>
      </c>
      <c r="F3256" s="470">
        <v>2</v>
      </c>
      <c r="G3256" s="468">
        <v>70.090999999999994</v>
      </c>
      <c r="H3256" s="479">
        <v>140.18199999999999</v>
      </c>
      <c r="I3256" s="468" t="s">
        <v>9218</v>
      </c>
      <c r="J3256" s="468" t="s">
        <v>9219</v>
      </c>
      <c r="K3256" s="468" t="s">
        <v>9219</v>
      </c>
      <c r="L3256" s="468" t="s">
        <v>2354</v>
      </c>
    </row>
    <row r="3257" spans="1:12" x14ac:dyDescent="0.25">
      <c r="A3257" s="468" t="s">
        <v>220</v>
      </c>
      <c r="B3257" s="468" t="s">
        <v>5430</v>
      </c>
      <c r="C3257" s="468" t="s">
        <v>6765</v>
      </c>
      <c r="D3257" s="468" t="s">
        <v>8250</v>
      </c>
      <c r="F3257" s="470">
        <v>3</v>
      </c>
      <c r="G3257" s="468">
        <v>44.814</v>
      </c>
      <c r="H3257" s="479">
        <v>134.44200000000001</v>
      </c>
      <c r="I3257" s="468" t="s">
        <v>9218</v>
      </c>
      <c r="J3257" s="468" t="s">
        <v>9219</v>
      </c>
      <c r="K3257" s="468" t="s">
        <v>9219</v>
      </c>
      <c r="L3257" s="468" t="s">
        <v>2354</v>
      </c>
    </row>
    <row r="3258" spans="1:12" x14ac:dyDescent="0.25">
      <c r="A3258" s="468" t="s">
        <v>220</v>
      </c>
      <c r="B3258" s="468" t="s">
        <v>5430</v>
      </c>
      <c r="C3258" s="468" t="s">
        <v>6767</v>
      </c>
      <c r="D3258" s="468" t="s">
        <v>8251</v>
      </c>
      <c r="F3258" s="470">
        <v>1</v>
      </c>
      <c r="G3258" s="468">
        <v>1.087</v>
      </c>
      <c r="H3258" s="479">
        <v>1.087</v>
      </c>
      <c r="I3258" s="468" t="s">
        <v>9218</v>
      </c>
      <c r="J3258" s="468" t="s">
        <v>9219</v>
      </c>
      <c r="K3258" s="468" t="s">
        <v>9219</v>
      </c>
      <c r="L3258" s="468" t="s">
        <v>2354</v>
      </c>
    </row>
    <row r="3259" spans="1:12" x14ac:dyDescent="0.25">
      <c r="A3259" s="468" t="s">
        <v>220</v>
      </c>
      <c r="B3259" s="468" t="s">
        <v>5430</v>
      </c>
      <c r="C3259" s="468" t="s">
        <v>6769</v>
      </c>
      <c r="D3259" s="468" t="s">
        <v>6770</v>
      </c>
      <c r="F3259" s="470">
        <v>2</v>
      </c>
      <c r="G3259" s="468">
        <v>126.664</v>
      </c>
      <c r="H3259" s="479">
        <v>253.328</v>
      </c>
      <c r="I3259" s="468" t="s">
        <v>9218</v>
      </c>
      <c r="J3259" s="468" t="s">
        <v>9219</v>
      </c>
      <c r="K3259" s="468" t="s">
        <v>9219</v>
      </c>
      <c r="L3259" s="468" t="s">
        <v>2354</v>
      </c>
    </row>
    <row r="3260" spans="1:12" x14ac:dyDescent="0.25">
      <c r="A3260" s="468" t="s">
        <v>220</v>
      </c>
      <c r="B3260" s="468" t="s">
        <v>5430</v>
      </c>
      <c r="C3260" s="468" t="s">
        <v>6771</v>
      </c>
      <c r="D3260" s="468" t="s">
        <v>8252</v>
      </c>
      <c r="F3260" s="470">
        <v>1</v>
      </c>
      <c r="G3260" s="468">
        <v>152</v>
      </c>
      <c r="H3260" s="479">
        <v>152</v>
      </c>
      <c r="I3260" s="468" t="s">
        <v>9218</v>
      </c>
      <c r="J3260" s="468" t="s">
        <v>9219</v>
      </c>
      <c r="K3260" s="468" t="s">
        <v>9219</v>
      </c>
      <c r="L3260" s="468" t="s">
        <v>2354</v>
      </c>
    </row>
    <row r="3261" spans="1:12" x14ac:dyDescent="0.25">
      <c r="A3261" s="468" t="s">
        <v>220</v>
      </c>
      <c r="B3261" s="468" t="s">
        <v>5430</v>
      </c>
      <c r="C3261" s="468" t="s">
        <v>4031</v>
      </c>
      <c r="D3261" s="468" t="s">
        <v>8253</v>
      </c>
      <c r="F3261" s="470">
        <v>1</v>
      </c>
      <c r="G3261" s="468">
        <v>143.149</v>
      </c>
      <c r="H3261" s="479">
        <v>143.149</v>
      </c>
      <c r="I3261" s="468" t="s">
        <v>9218</v>
      </c>
      <c r="J3261" s="468" t="s">
        <v>9219</v>
      </c>
      <c r="K3261" s="468" t="s">
        <v>9219</v>
      </c>
      <c r="L3261" s="468" t="s">
        <v>2354</v>
      </c>
    </row>
    <row r="3262" spans="1:12" x14ac:dyDescent="0.25">
      <c r="A3262" s="468" t="s">
        <v>220</v>
      </c>
      <c r="B3262" s="468" t="s">
        <v>5430</v>
      </c>
      <c r="C3262" s="468" t="s">
        <v>4033</v>
      </c>
      <c r="D3262" s="468" t="s">
        <v>8254</v>
      </c>
      <c r="F3262" s="470">
        <v>1</v>
      </c>
      <c r="G3262" s="468">
        <v>161.96</v>
      </c>
      <c r="H3262" s="479">
        <v>161.96</v>
      </c>
      <c r="I3262" s="468" t="s">
        <v>9218</v>
      </c>
      <c r="J3262" s="468" t="s">
        <v>9219</v>
      </c>
      <c r="K3262" s="468" t="s">
        <v>9219</v>
      </c>
      <c r="L3262" s="468" t="s">
        <v>2354</v>
      </c>
    </row>
    <row r="3263" spans="1:12" x14ac:dyDescent="0.25">
      <c r="A3263" s="468" t="s">
        <v>220</v>
      </c>
      <c r="B3263" s="468" t="s">
        <v>5430</v>
      </c>
      <c r="C3263" s="468" t="s">
        <v>6773</v>
      </c>
      <c r="D3263" s="468" t="s">
        <v>8255</v>
      </c>
      <c r="F3263" s="470">
        <v>9</v>
      </c>
      <c r="G3263" s="468">
        <v>32.106999999999999</v>
      </c>
      <c r="H3263" s="479">
        <v>288.96299999999997</v>
      </c>
      <c r="I3263" s="468" t="s">
        <v>9218</v>
      </c>
      <c r="J3263" s="468" t="s">
        <v>9219</v>
      </c>
      <c r="K3263" s="468" t="s">
        <v>9219</v>
      </c>
      <c r="L3263" s="468" t="s">
        <v>2354</v>
      </c>
    </row>
    <row r="3264" spans="1:12" x14ac:dyDescent="0.25">
      <c r="A3264" s="468" t="s">
        <v>220</v>
      </c>
      <c r="B3264" s="468" t="s">
        <v>5430</v>
      </c>
      <c r="C3264" s="468" t="s">
        <v>6775</v>
      </c>
      <c r="D3264" s="468" t="s">
        <v>8256</v>
      </c>
      <c r="F3264" s="470">
        <v>10</v>
      </c>
      <c r="G3264" s="468">
        <v>20.434999999999999</v>
      </c>
      <c r="H3264" s="479">
        <v>204.35</v>
      </c>
      <c r="I3264" s="468" t="s">
        <v>9218</v>
      </c>
      <c r="J3264" s="468" t="s">
        <v>9219</v>
      </c>
      <c r="K3264" s="468" t="s">
        <v>9219</v>
      </c>
      <c r="L3264" s="468" t="s">
        <v>2354</v>
      </c>
    </row>
    <row r="3265" spans="1:12" x14ac:dyDescent="0.25">
      <c r="A3265" s="468" t="s">
        <v>220</v>
      </c>
      <c r="B3265" s="468" t="s">
        <v>5430</v>
      </c>
      <c r="C3265" s="468" t="s">
        <v>6777</v>
      </c>
      <c r="D3265" s="468" t="s">
        <v>6778</v>
      </c>
      <c r="F3265" s="470">
        <v>2</v>
      </c>
      <c r="G3265" s="468">
        <v>256.18700000000001</v>
      </c>
      <c r="H3265" s="479">
        <v>512.37400000000002</v>
      </c>
      <c r="I3265" s="468" t="s">
        <v>9218</v>
      </c>
      <c r="J3265" s="468" t="s">
        <v>9219</v>
      </c>
      <c r="K3265" s="468" t="s">
        <v>9219</v>
      </c>
      <c r="L3265" s="468" t="s">
        <v>2354</v>
      </c>
    </row>
    <row r="3266" spans="1:12" x14ac:dyDescent="0.25">
      <c r="A3266" s="468" t="s">
        <v>220</v>
      </c>
      <c r="B3266" s="468" t="s">
        <v>5430</v>
      </c>
      <c r="C3266" s="468" t="s">
        <v>4039</v>
      </c>
      <c r="D3266" s="468" t="s">
        <v>8257</v>
      </c>
      <c r="F3266" s="470">
        <v>1</v>
      </c>
      <c r="G3266" s="468">
        <v>70.956000000000003</v>
      </c>
      <c r="H3266" s="479">
        <v>70.956000000000003</v>
      </c>
      <c r="I3266" s="468" t="s">
        <v>9218</v>
      </c>
      <c r="J3266" s="468" t="s">
        <v>9219</v>
      </c>
      <c r="K3266" s="468" t="s">
        <v>9219</v>
      </c>
      <c r="L3266" s="468" t="s">
        <v>2354</v>
      </c>
    </row>
    <row r="3267" spans="1:12" x14ac:dyDescent="0.25">
      <c r="A3267" s="468" t="s">
        <v>220</v>
      </c>
      <c r="B3267" s="468" t="s">
        <v>5430</v>
      </c>
      <c r="C3267" s="468" t="s">
        <v>4045</v>
      </c>
      <c r="D3267" s="468" t="s">
        <v>8258</v>
      </c>
      <c r="F3267" s="470">
        <v>1</v>
      </c>
      <c r="G3267" s="468">
        <v>141.928</v>
      </c>
      <c r="H3267" s="479">
        <v>141.928</v>
      </c>
      <c r="I3267" s="468" t="s">
        <v>9218</v>
      </c>
      <c r="J3267" s="468" t="s">
        <v>9219</v>
      </c>
      <c r="K3267" s="468" t="s">
        <v>9219</v>
      </c>
      <c r="L3267" s="468" t="s">
        <v>2354</v>
      </c>
    </row>
    <row r="3268" spans="1:12" x14ac:dyDescent="0.25">
      <c r="A3268" s="468" t="s">
        <v>220</v>
      </c>
      <c r="B3268" s="468" t="s">
        <v>5430</v>
      </c>
      <c r="C3268" s="468" t="s">
        <v>6779</v>
      </c>
      <c r="D3268" s="468" t="s">
        <v>6780</v>
      </c>
      <c r="F3268" s="470">
        <v>2</v>
      </c>
      <c r="G3268" s="468">
        <v>354.71</v>
      </c>
      <c r="H3268" s="479">
        <v>709.42</v>
      </c>
      <c r="I3268" s="468" t="s">
        <v>9218</v>
      </c>
      <c r="J3268" s="468" t="s">
        <v>9219</v>
      </c>
      <c r="K3268" s="468" t="s">
        <v>9219</v>
      </c>
      <c r="L3268" s="468" t="s">
        <v>2354</v>
      </c>
    </row>
    <row r="3269" spans="1:12" x14ac:dyDescent="0.25">
      <c r="A3269" s="468" t="s">
        <v>220</v>
      </c>
      <c r="B3269" s="468" t="s">
        <v>5430</v>
      </c>
      <c r="C3269" s="468" t="s">
        <v>4079</v>
      </c>
      <c r="D3269" s="468" t="s">
        <v>8259</v>
      </c>
      <c r="F3269" s="470">
        <v>3</v>
      </c>
      <c r="G3269" s="468">
        <v>86.111999999999995</v>
      </c>
      <c r="H3269" s="479">
        <v>258.33600000000001</v>
      </c>
      <c r="I3269" s="468" t="s">
        <v>9218</v>
      </c>
      <c r="J3269" s="468" t="s">
        <v>9219</v>
      </c>
      <c r="K3269" s="468" t="s">
        <v>9219</v>
      </c>
      <c r="L3269" s="468" t="s">
        <v>2354</v>
      </c>
    </row>
    <row r="3270" spans="1:12" x14ac:dyDescent="0.25">
      <c r="A3270" s="468" t="s">
        <v>220</v>
      </c>
      <c r="B3270" s="468" t="s">
        <v>5430</v>
      </c>
      <c r="C3270" s="468" t="s">
        <v>6791</v>
      </c>
      <c r="D3270" s="468" t="s">
        <v>6792</v>
      </c>
      <c r="F3270" s="470">
        <v>1</v>
      </c>
      <c r="G3270" s="468">
        <v>514.08000000000004</v>
      </c>
      <c r="H3270" s="479">
        <v>514.08000000000004</v>
      </c>
      <c r="I3270" s="468" t="s">
        <v>9218</v>
      </c>
      <c r="J3270" s="468" t="s">
        <v>9219</v>
      </c>
      <c r="K3270" s="468" t="s">
        <v>9219</v>
      </c>
      <c r="L3270" s="468" t="s">
        <v>2354</v>
      </c>
    </row>
    <row r="3271" spans="1:12" x14ac:dyDescent="0.25">
      <c r="A3271" s="468" t="s">
        <v>220</v>
      </c>
      <c r="B3271" s="468" t="s">
        <v>5430</v>
      </c>
      <c r="C3271" s="468" t="s">
        <v>6793</v>
      </c>
      <c r="D3271" s="468" t="s">
        <v>8260</v>
      </c>
      <c r="F3271" s="470">
        <v>1</v>
      </c>
      <c r="G3271" s="468">
        <v>294.14</v>
      </c>
      <c r="H3271" s="479">
        <v>294.14</v>
      </c>
      <c r="I3271" s="468" t="s">
        <v>9218</v>
      </c>
      <c r="J3271" s="468" t="s">
        <v>9219</v>
      </c>
      <c r="K3271" s="468" t="s">
        <v>9219</v>
      </c>
      <c r="L3271" s="468" t="s">
        <v>2354</v>
      </c>
    </row>
    <row r="3272" spans="1:12" x14ac:dyDescent="0.25">
      <c r="A3272" s="468" t="s">
        <v>220</v>
      </c>
      <c r="B3272" s="468" t="s">
        <v>5430</v>
      </c>
      <c r="C3272" s="468" t="s">
        <v>6795</v>
      </c>
      <c r="D3272" s="468" t="s">
        <v>6796</v>
      </c>
      <c r="F3272" s="470">
        <v>1</v>
      </c>
      <c r="G3272" s="468">
        <v>23.62</v>
      </c>
      <c r="H3272" s="479">
        <v>23.62</v>
      </c>
      <c r="I3272" s="468" t="s">
        <v>9218</v>
      </c>
      <c r="J3272" s="468" t="s">
        <v>9219</v>
      </c>
      <c r="K3272" s="468" t="s">
        <v>9219</v>
      </c>
      <c r="L3272" s="468" t="s">
        <v>2354</v>
      </c>
    </row>
    <row r="3273" spans="1:12" x14ac:dyDescent="0.25">
      <c r="A3273" s="468" t="s">
        <v>220</v>
      </c>
      <c r="B3273" s="468" t="s">
        <v>5430</v>
      </c>
      <c r="C3273" s="468" t="s">
        <v>4089</v>
      </c>
      <c r="D3273" s="468" t="s">
        <v>4090</v>
      </c>
      <c r="F3273" s="470">
        <v>1</v>
      </c>
      <c r="G3273" s="468">
        <v>19.533999999999999</v>
      </c>
      <c r="H3273" s="479">
        <v>19.533999999999999</v>
      </c>
      <c r="I3273" s="468" t="s">
        <v>9218</v>
      </c>
      <c r="J3273" s="468" t="s">
        <v>9219</v>
      </c>
      <c r="K3273" s="468" t="s">
        <v>9219</v>
      </c>
      <c r="L3273" s="468" t="s">
        <v>2354</v>
      </c>
    </row>
    <row r="3274" spans="1:12" x14ac:dyDescent="0.25">
      <c r="A3274" s="468" t="s">
        <v>220</v>
      </c>
      <c r="B3274" s="468" t="s">
        <v>5430</v>
      </c>
      <c r="C3274" s="468" t="s">
        <v>4093</v>
      </c>
      <c r="D3274" s="468" t="s">
        <v>8261</v>
      </c>
      <c r="F3274" s="470">
        <v>3</v>
      </c>
      <c r="G3274" s="468">
        <v>21.510999999999999</v>
      </c>
      <c r="H3274" s="479">
        <v>64.533000000000001</v>
      </c>
      <c r="I3274" s="468" t="s">
        <v>9218</v>
      </c>
      <c r="J3274" s="468" t="s">
        <v>9219</v>
      </c>
      <c r="K3274" s="468" t="s">
        <v>9219</v>
      </c>
      <c r="L3274" s="468" t="s">
        <v>2354</v>
      </c>
    </row>
    <row r="3275" spans="1:12" x14ac:dyDescent="0.25">
      <c r="A3275" s="468" t="s">
        <v>220</v>
      </c>
      <c r="B3275" s="468" t="s">
        <v>5430</v>
      </c>
      <c r="C3275" s="468" t="s">
        <v>6797</v>
      </c>
      <c r="D3275" s="468" t="s">
        <v>8262</v>
      </c>
      <c r="F3275" s="470">
        <v>3</v>
      </c>
      <c r="G3275" s="468">
        <v>40.435000000000002</v>
      </c>
      <c r="H3275" s="479">
        <v>121.30500000000001</v>
      </c>
      <c r="I3275" s="468" t="s">
        <v>9218</v>
      </c>
      <c r="J3275" s="468" t="s">
        <v>9219</v>
      </c>
      <c r="K3275" s="468" t="s">
        <v>9219</v>
      </c>
      <c r="L3275" s="468" t="s">
        <v>2354</v>
      </c>
    </row>
    <row r="3276" spans="1:12" x14ac:dyDescent="0.25">
      <c r="A3276" s="468" t="s">
        <v>220</v>
      </c>
      <c r="B3276" s="468" t="s">
        <v>5430</v>
      </c>
      <c r="C3276" s="468" t="s">
        <v>6799</v>
      </c>
      <c r="D3276" s="468" t="s">
        <v>8263</v>
      </c>
      <c r="F3276" s="470">
        <v>2</v>
      </c>
      <c r="G3276" s="468">
        <v>49.363999999999997</v>
      </c>
      <c r="H3276" s="479">
        <v>98.727999999999994</v>
      </c>
      <c r="I3276" s="468" t="s">
        <v>9218</v>
      </c>
      <c r="J3276" s="468" t="s">
        <v>9219</v>
      </c>
      <c r="K3276" s="468" t="s">
        <v>9219</v>
      </c>
      <c r="L3276" s="468" t="s">
        <v>2354</v>
      </c>
    </row>
    <row r="3277" spans="1:12" x14ac:dyDescent="0.25">
      <c r="A3277" s="468" t="s">
        <v>220</v>
      </c>
      <c r="B3277" s="468" t="s">
        <v>5430</v>
      </c>
      <c r="C3277" s="468" t="s">
        <v>4099</v>
      </c>
      <c r="D3277" s="468" t="s">
        <v>8264</v>
      </c>
      <c r="F3277" s="470">
        <v>2</v>
      </c>
      <c r="G3277" s="468">
        <v>35.564999999999998</v>
      </c>
      <c r="H3277" s="479">
        <v>71.13</v>
      </c>
      <c r="I3277" s="468" t="s">
        <v>9218</v>
      </c>
      <c r="J3277" s="468" t="s">
        <v>9219</v>
      </c>
      <c r="K3277" s="468" t="s">
        <v>9219</v>
      </c>
      <c r="L3277" s="468" t="s">
        <v>2354</v>
      </c>
    </row>
    <row r="3278" spans="1:12" x14ac:dyDescent="0.25">
      <c r="A3278" s="468" t="s">
        <v>220</v>
      </c>
      <c r="B3278" s="468" t="s">
        <v>5430</v>
      </c>
      <c r="C3278" s="468" t="s">
        <v>6803</v>
      </c>
      <c r="D3278" s="468" t="s">
        <v>8266</v>
      </c>
      <c r="F3278" s="470">
        <v>3</v>
      </c>
      <c r="G3278" s="468">
        <v>29.016999999999999</v>
      </c>
      <c r="H3278" s="479">
        <v>87.051000000000002</v>
      </c>
      <c r="I3278" s="468" t="s">
        <v>9218</v>
      </c>
      <c r="J3278" s="468" t="s">
        <v>9219</v>
      </c>
      <c r="K3278" s="468" t="s">
        <v>9219</v>
      </c>
      <c r="L3278" s="468" t="s">
        <v>2354</v>
      </c>
    </row>
    <row r="3279" spans="1:12" x14ac:dyDescent="0.25">
      <c r="A3279" s="468" t="s">
        <v>220</v>
      </c>
      <c r="B3279" s="468" t="s">
        <v>5430</v>
      </c>
      <c r="C3279" s="468" t="s">
        <v>4105</v>
      </c>
      <c r="D3279" s="468" t="s">
        <v>8267</v>
      </c>
      <c r="F3279" s="470">
        <v>3</v>
      </c>
      <c r="G3279" s="468">
        <v>162.81</v>
      </c>
      <c r="H3279" s="479">
        <v>488.43</v>
      </c>
      <c r="I3279" s="468" t="s">
        <v>9218</v>
      </c>
      <c r="J3279" s="468" t="s">
        <v>9219</v>
      </c>
      <c r="K3279" s="468" t="s">
        <v>9219</v>
      </c>
      <c r="L3279" s="468" t="s">
        <v>2354</v>
      </c>
    </row>
    <row r="3280" spans="1:12" x14ac:dyDescent="0.25">
      <c r="A3280" s="468" t="s">
        <v>220</v>
      </c>
      <c r="B3280" s="468" t="s">
        <v>5430</v>
      </c>
      <c r="C3280" s="468" t="s">
        <v>8268</v>
      </c>
      <c r="D3280" s="468" t="s">
        <v>8269</v>
      </c>
      <c r="F3280" s="470">
        <v>1</v>
      </c>
      <c r="G3280" s="468">
        <v>91.44</v>
      </c>
      <c r="H3280" s="479">
        <v>91.44</v>
      </c>
      <c r="I3280" s="468" t="s">
        <v>9218</v>
      </c>
      <c r="J3280" s="468" t="s">
        <v>9219</v>
      </c>
      <c r="K3280" s="468" t="s">
        <v>9219</v>
      </c>
      <c r="L3280" s="468" t="s">
        <v>2354</v>
      </c>
    </row>
    <row r="3281" spans="1:12" x14ac:dyDescent="0.25">
      <c r="A3281" s="468" t="s">
        <v>220</v>
      </c>
      <c r="B3281" s="468" t="s">
        <v>5430</v>
      </c>
      <c r="C3281" s="468" t="s">
        <v>6807</v>
      </c>
      <c r="D3281" s="468" t="s">
        <v>8270</v>
      </c>
      <c r="F3281" s="470">
        <v>1</v>
      </c>
      <c r="G3281" s="468">
        <v>57.844000000000001</v>
      </c>
      <c r="H3281" s="479">
        <v>57.844000000000001</v>
      </c>
      <c r="I3281" s="468" t="s">
        <v>9218</v>
      </c>
      <c r="J3281" s="468" t="s">
        <v>9219</v>
      </c>
      <c r="K3281" s="468" t="s">
        <v>9219</v>
      </c>
      <c r="L3281" s="468" t="s">
        <v>2354</v>
      </c>
    </row>
    <row r="3282" spans="1:12" x14ac:dyDescent="0.25">
      <c r="A3282" s="468" t="s">
        <v>220</v>
      </c>
      <c r="B3282" s="468" t="s">
        <v>5430</v>
      </c>
      <c r="C3282" s="468" t="s">
        <v>6809</v>
      </c>
      <c r="D3282" s="468" t="s">
        <v>8271</v>
      </c>
      <c r="F3282" s="470">
        <v>2</v>
      </c>
      <c r="G3282" s="468">
        <v>138.006</v>
      </c>
      <c r="H3282" s="479">
        <v>276.012</v>
      </c>
      <c r="I3282" s="468" t="s">
        <v>9218</v>
      </c>
      <c r="J3282" s="468" t="s">
        <v>9219</v>
      </c>
      <c r="K3282" s="468" t="s">
        <v>9219</v>
      </c>
      <c r="L3282" s="468" t="s">
        <v>2354</v>
      </c>
    </row>
    <row r="3283" spans="1:12" x14ac:dyDescent="0.25">
      <c r="A3283" s="468" t="s">
        <v>220</v>
      </c>
      <c r="B3283" s="468" t="s">
        <v>5430</v>
      </c>
      <c r="C3283" s="468" t="s">
        <v>6811</v>
      </c>
      <c r="D3283" s="468" t="s">
        <v>6812</v>
      </c>
      <c r="F3283" s="470">
        <v>1</v>
      </c>
      <c r="G3283" s="468">
        <v>158.322</v>
      </c>
      <c r="H3283" s="479">
        <v>158.322</v>
      </c>
      <c r="I3283" s="468" t="s">
        <v>9218</v>
      </c>
      <c r="J3283" s="468" t="s">
        <v>9219</v>
      </c>
      <c r="K3283" s="468" t="s">
        <v>9219</v>
      </c>
      <c r="L3283" s="468" t="s">
        <v>2354</v>
      </c>
    </row>
    <row r="3284" spans="1:12" x14ac:dyDescent="0.25">
      <c r="A3284" s="468" t="s">
        <v>220</v>
      </c>
      <c r="B3284" s="468" t="s">
        <v>5430</v>
      </c>
      <c r="C3284" s="468" t="s">
        <v>6813</v>
      </c>
      <c r="D3284" s="468" t="s">
        <v>8272</v>
      </c>
      <c r="F3284" s="470">
        <v>2</v>
      </c>
      <c r="G3284" s="468">
        <v>27.905000000000001</v>
      </c>
      <c r="H3284" s="479">
        <v>55.81</v>
      </c>
      <c r="I3284" s="468" t="s">
        <v>9218</v>
      </c>
      <c r="J3284" s="468" t="s">
        <v>9219</v>
      </c>
      <c r="K3284" s="468" t="s">
        <v>9219</v>
      </c>
      <c r="L3284" s="468" t="s">
        <v>2354</v>
      </c>
    </row>
    <row r="3285" spans="1:12" x14ac:dyDescent="0.25">
      <c r="A3285" s="468" t="s">
        <v>220</v>
      </c>
      <c r="B3285" s="468" t="s">
        <v>5430</v>
      </c>
      <c r="C3285" s="468" t="s">
        <v>6817</v>
      </c>
      <c r="D3285" s="468" t="s">
        <v>8274</v>
      </c>
      <c r="F3285" s="470">
        <v>2</v>
      </c>
      <c r="G3285" s="468">
        <v>23.648</v>
      </c>
      <c r="H3285" s="479">
        <v>47.295999999999999</v>
      </c>
      <c r="I3285" s="468" t="s">
        <v>9218</v>
      </c>
      <c r="J3285" s="468" t="s">
        <v>9219</v>
      </c>
      <c r="K3285" s="468" t="s">
        <v>9219</v>
      </c>
      <c r="L3285" s="468" t="s">
        <v>2354</v>
      </c>
    </row>
    <row r="3286" spans="1:12" x14ac:dyDescent="0.25">
      <c r="A3286" s="468" t="s">
        <v>220</v>
      </c>
      <c r="B3286" s="468" t="s">
        <v>5430</v>
      </c>
      <c r="C3286" s="468" t="s">
        <v>6819</v>
      </c>
      <c r="D3286" s="468" t="s">
        <v>8275</v>
      </c>
      <c r="F3286" s="470">
        <v>1</v>
      </c>
      <c r="G3286" s="468">
        <v>167.148</v>
      </c>
      <c r="H3286" s="479">
        <v>167.148</v>
      </c>
      <c r="I3286" s="468" t="s">
        <v>9218</v>
      </c>
      <c r="J3286" s="468" t="s">
        <v>9219</v>
      </c>
      <c r="K3286" s="468" t="s">
        <v>9219</v>
      </c>
      <c r="L3286" s="468" t="s">
        <v>2354</v>
      </c>
    </row>
    <row r="3287" spans="1:12" x14ac:dyDescent="0.25">
      <c r="A3287" s="468" t="s">
        <v>220</v>
      </c>
      <c r="B3287" s="468" t="s">
        <v>5430</v>
      </c>
      <c r="C3287" s="468" t="s">
        <v>6821</v>
      </c>
      <c r="D3287" s="468" t="s">
        <v>8276</v>
      </c>
      <c r="F3287" s="470">
        <v>1</v>
      </c>
      <c r="G3287" s="468">
        <v>25.14</v>
      </c>
      <c r="H3287" s="479">
        <v>25.14</v>
      </c>
      <c r="I3287" s="468" t="s">
        <v>9218</v>
      </c>
      <c r="J3287" s="468" t="s">
        <v>9219</v>
      </c>
      <c r="K3287" s="468" t="s">
        <v>9219</v>
      </c>
      <c r="L3287" s="468" t="s">
        <v>2354</v>
      </c>
    </row>
    <row r="3288" spans="1:12" x14ac:dyDescent="0.25">
      <c r="A3288" s="468" t="s">
        <v>220</v>
      </c>
      <c r="B3288" s="468" t="s">
        <v>5430</v>
      </c>
      <c r="C3288" s="468" t="s">
        <v>8277</v>
      </c>
      <c r="D3288" s="468" t="s">
        <v>8278</v>
      </c>
      <c r="F3288" s="470">
        <v>1</v>
      </c>
      <c r="H3288" s="479">
        <v>0</v>
      </c>
      <c r="I3288" s="468" t="s">
        <v>9218</v>
      </c>
      <c r="J3288" s="468" t="s">
        <v>9219</v>
      </c>
      <c r="K3288" s="468" t="s">
        <v>9219</v>
      </c>
      <c r="L3288" s="468" t="s">
        <v>2354</v>
      </c>
    </row>
    <row r="3289" spans="1:12" x14ac:dyDescent="0.25">
      <c r="A3289" s="468" t="s">
        <v>220</v>
      </c>
      <c r="B3289" s="468" t="s">
        <v>5430</v>
      </c>
      <c r="C3289" s="468" t="s">
        <v>8279</v>
      </c>
      <c r="D3289" s="468" t="s">
        <v>8280</v>
      </c>
      <c r="F3289" s="470">
        <v>1</v>
      </c>
      <c r="H3289" s="479">
        <v>0</v>
      </c>
      <c r="I3289" s="468" t="s">
        <v>9218</v>
      </c>
      <c r="J3289" s="468" t="s">
        <v>9219</v>
      </c>
      <c r="K3289" s="468" t="s">
        <v>9219</v>
      </c>
      <c r="L3289" s="468" t="s">
        <v>2354</v>
      </c>
    </row>
    <row r="3290" spans="1:12" x14ac:dyDescent="0.25">
      <c r="A3290" s="468" t="s">
        <v>220</v>
      </c>
      <c r="B3290" s="468" t="s">
        <v>5430</v>
      </c>
      <c r="C3290" s="468" t="s">
        <v>8281</v>
      </c>
      <c r="D3290" s="468" t="s">
        <v>8282</v>
      </c>
      <c r="F3290" s="470">
        <v>1</v>
      </c>
      <c r="H3290" s="479">
        <v>0</v>
      </c>
      <c r="I3290" s="468" t="s">
        <v>9218</v>
      </c>
      <c r="J3290" s="468" t="s">
        <v>9219</v>
      </c>
      <c r="K3290" s="468" t="s">
        <v>9219</v>
      </c>
      <c r="L3290" s="468" t="s">
        <v>2354</v>
      </c>
    </row>
    <row r="3291" spans="1:12" x14ac:dyDescent="0.25">
      <c r="A3291" s="468" t="s">
        <v>220</v>
      </c>
      <c r="B3291" s="468" t="s">
        <v>5430</v>
      </c>
      <c r="C3291" s="468" t="s">
        <v>6829</v>
      </c>
      <c r="D3291" s="468" t="s">
        <v>8283</v>
      </c>
      <c r="F3291" s="470">
        <v>2</v>
      </c>
      <c r="G3291" s="468">
        <v>55.569000000000003</v>
      </c>
      <c r="H3291" s="479">
        <v>111.13800000000001</v>
      </c>
      <c r="I3291" s="468" t="s">
        <v>9218</v>
      </c>
      <c r="J3291" s="468" t="s">
        <v>9219</v>
      </c>
      <c r="K3291" s="468" t="s">
        <v>9219</v>
      </c>
      <c r="L3291" s="468" t="s">
        <v>2354</v>
      </c>
    </row>
    <row r="3292" spans="1:12" x14ac:dyDescent="0.25">
      <c r="A3292" s="468" t="s">
        <v>220</v>
      </c>
      <c r="B3292" s="468" t="s">
        <v>5430</v>
      </c>
      <c r="C3292" s="468" t="s">
        <v>4133</v>
      </c>
      <c r="D3292" s="468" t="s">
        <v>8284</v>
      </c>
      <c r="F3292" s="470">
        <v>4</v>
      </c>
      <c r="G3292" s="468">
        <v>200.01300000000001</v>
      </c>
      <c r="H3292" s="479">
        <v>800.05200000000002</v>
      </c>
      <c r="I3292" s="468" t="s">
        <v>9218</v>
      </c>
      <c r="J3292" s="468" t="s">
        <v>9219</v>
      </c>
      <c r="K3292" s="468" t="s">
        <v>9219</v>
      </c>
      <c r="L3292" s="468" t="s">
        <v>2354</v>
      </c>
    </row>
    <row r="3293" spans="1:12" x14ac:dyDescent="0.25">
      <c r="A3293" s="468" t="s">
        <v>220</v>
      </c>
      <c r="B3293" s="468" t="s">
        <v>5430</v>
      </c>
      <c r="C3293" s="468" t="s">
        <v>8285</v>
      </c>
      <c r="D3293" s="468" t="s">
        <v>8286</v>
      </c>
      <c r="F3293" s="470">
        <v>2</v>
      </c>
      <c r="G3293" s="468">
        <v>274.899</v>
      </c>
      <c r="H3293" s="479">
        <v>549.798</v>
      </c>
      <c r="I3293" s="468" t="s">
        <v>9218</v>
      </c>
      <c r="J3293" s="468" t="s">
        <v>9219</v>
      </c>
      <c r="K3293" s="468" t="s">
        <v>9219</v>
      </c>
      <c r="L3293" s="468" t="s">
        <v>2354</v>
      </c>
    </row>
    <row r="3294" spans="1:12" x14ac:dyDescent="0.25">
      <c r="A3294" s="468" t="s">
        <v>220</v>
      </c>
      <c r="B3294" s="468" t="s">
        <v>5430</v>
      </c>
      <c r="C3294" s="468" t="s">
        <v>6833</v>
      </c>
      <c r="D3294" s="468" t="s">
        <v>8287</v>
      </c>
      <c r="F3294" s="470">
        <v>8</v>
      </c>
      <c r="G3294" s="468">
        <v>11.853999999999999</v>
      </c>
      <c r="H3294" s="479">
        <v>94.831999999999994</v>
      </c>
      <c r="I3294" s="468" t="s">
        <v>9218</v>
      </c>
      <c r="J3294" s="468" t="s">
        <v>9219</v>
      </c>
      <c r="K3294" s="468" t="s">
        <v>9219</v>
      </c>
      <c r="L3294" s="468" t="s">
        <v>2354</v>
      </c>
    </row>
    <row r="3295" spans="1:12" x14ac:dyDescent="0.25">
      <c r="A3295" s="468" t="s">
        <v>220</v>
      </c>
      <c r="B3295" s="468" t="s">
        <v>5430</v>
      </c>
      <c r="C3295" s="468" t="s">
        <v>6835</v>
      </c>
      <c r="D3295" s="468" t="s">
        <v>8288</v>
      </c>
      <c r="F3295" s="470">
        <v>1</v>
      </c>
      <c r="G3295" s="468">
        <v>9.4499999999999993</v>
      </c>
      <c r="H3295" s="479">
        <v>9.4499999999999993</v>
      </c>
      <c r="I3295" s="468" t="s">
        <v>9218</v>
      </c>
      <c r="J3295" s="468" t="s">
        <v>9219</v>
      </c>
      <c r="K3295" s="468" t="s">
        <v>9219</v>
      </c>
      <c r="L3295" s="468" t="s">
        <v>2354</v>
      </c>
    </row>
    <row r="3296" spans="1:12" x14ac:dyDescent="0.25">
      <c r="A3296" s="468" t="s">
        <v>220</v>
      </c>
      <c r="B3296" s="468" t="s">
        <v>5430</v>
      </c>
      <c r="C3296" s="468" t="s">
        <v>6837</v>
      </c>
      <c r="D3296" s="468" t="s">
        <v>8289</v>
      </c>
      <c r="F3296" s="470">
        <v>1</v>
      </c>
      <c r="G3296" s="468">
        <v>12.6</v>
      </c>
      <c r="H3296" s="479">
        <v>12.6</v>
      </c>
      <c r="I3296" s="468" t="s">
        <v>9218</v>
      </c>
      <c r="J3296" s="468" t="s">
        <v>9219</v>
      </c>
      <c r="K3296" s="468" t="s">
        <v>9219</v>
      </c>
      <c r="L3296" s="468" t="s">
        <v>2354</v>
      </c>
    </row>
    <row r="3297" spans="1:12" x14ac:dyDescent="0.25">
      <c r="A3297" s="468" t="s">
        <v>220</v>
      </c>
      <c r="B3297" s="468" t="s">
        <v>5430</v>
      </c>
      <c r="C3297" s="468" t="s">
        <v>6839</v>
      </c>
      <c r="D3297" s="468" t="s">
        <v>8290</v>
      </c>
      <c r="F3297" s="470">
        <v>1</v>
      </c>
      <c r="G3297" s="468">
        <v>14.4</v>
      </c>
      <c r="H3297" s="479">
        <v>14.4</v>
      </c>
      <c r="I3297" s="468" t="s">
        <v>9218</v>
      </c>
      <c r="J3297" s="468" t="s">
        <v>9219</v>
      </c>
      <c r="K3297" s="468" t="s">
        <v>9219</v>
      </c>
      <c r="L3297" s="468" t="s">
        <v>2354</v>
      </c>
    </row>
    <row r="3298" spans="1:12" x14ac:dyDescent="0.25">
      <c r="A3298" s="468" t="s">
        <v>220</v>
      </c>
      <c r="B3298" s="468" t="s">
        <v>5430</v>
      </c>
      <c r="C3298" s="468" t="s">
        <v>6841</v>
      </c>
      <c r="D3298" s="468" t="s">
        <v>8291</v>
      </c>
      <c r="F3298" s="470">
        <v>10</v>
      </c>
      <c r="G3298" s="468">
        <v>7.2140000000000004</v>
      </c>
      <c r="H3298" s="479">
        <v>72.14</v>
      </c>
      <c r="I3298" s="468" t="s">
        <v>9218</v>
      </c>
      <c r="J3298" s="468" t="s">
        <v>9219</v>
      </c>
      <c r="K3298" s="468" t="s">
        <v>9219</v>
      </c>
      <c r="L3298" s="468" t="s">
        <v>2354</v>
      </c>
    </row>
    <row r="3299" spans="1:12" x14ac:dyDescent="0.25">
      <c r="A3299" s="468" t="s">
        <v>220</v>
      </c>
      <c r="B3299" s="468" t="s">
        <v>5430</v>
      </c>
      <c r="C3299" s="468" t="s">
        <v>6843</v>
      </c>
      <c r="D3299" s="468" t="s">
        <v>8292</v>
      </c>
      <c r="F3299" s="470">
        <v>7</v>
      </c>
      <c r="G3299" s="468">
        <v>6.1369999999999996</v>
      </c>
      <c r="H3299" s="479">
        <v>42.958999999999996</v>
      </c>
      <c r="I3299" s="468" t="s">
        <v>9218</v>
      </c>
      <c r="J3299" s="468" t="s">
        <v>9219</v>
      </c>
      <c r="K3299" s="468" t="s">
        <v>9219</v>
      </c>
      <c r="L3299" s="468" t="s">
        <v>2354</v>
      </c>
    </row>
    <row r="3300" spans="1:12" x14ac:dyDescent="0.25">
      <c r="A3300" s="468" t="s">
        <v>220</v>
      </c>
      <c r="B3300" s="468" t="s">
        <v>5430</v>
      </c>
      <c r="C3300" s="468" t="s">
        <v>4141</v>
      </c>
      <c r="D3300" s="468" t="s">
        <v>8293</v>
      </c>
      <c r="F3300" s="470">
        <v>6</v>
      </c>
      <c r="G3300" s="468">
        <v>0.47970000000000007</v>
      </c>
      <c r="H3300" s="479">
        <v>2.8782000000000005</v>
      </c>
      <c r="I3300" s="468" t="s">
        <v>9218</v>
      </c>
      <c r="J3300" s="468" t="s">
        <v>9219</v>
      </c>
      <c r="K3300" s="468" t="s">
        <v>9219</v>
      </c>
      <c r="L3300" s="468" t="s">
        <v>2354</v>
      </c>
    </row>
    <row r="3301" spans="1:12" x14ac:dyDescent="0.25">
      <c r="A3301" s="468" t="s">
        <v>220</v>
      </c>
      <c r="B3301" s="468" t="s">
        <v>5430</v>
      </c>
      <c r="C3301" s="468" t="s">
        <v>4143</v>
      </c>
      <c r="D3301" s="468" t="s">
        <v>8294</v>
      </c>
      <c r="F3301" s="470">
        <v>2</v>
      </c>
      <c r="G3301" s="468">
        <v>5</v>
      </c>
      <c r="H3301" s="479">
        <v>10</v>
      </c>
      <c r="I3301" s="468" t="s">
        <v>9218</v>
      </c>
      <c r="J3301" s="468" t="s">
        <v>9219</v>
      </c>
      <c r="K3301" s="468" t="s">
        <v>9219</v>
      </c>
      <c r="L3301" s="468" t="s">
        <v>2354</v>
      </c>
    </row>
    <row r="3302" spans="1:12" x14ac:dyDescent="0.25">
      <c r="A3302" s="468" t="s">
        <v>220</v>
      </c>
      <c r="B3302" s="468" t="s">
        <v>5430</v>
      </c>
      <c r="C3302" s="468" t="s">
        <v>4145</v>
      </c>
      <c r="D3302" s="468" t="s">
        <v>8295</v>
      </c>
      <c r="F3302" s="470">
        <v>9</v>
      </c>
      <c r="G3302" s="468">
        <v>0.16800000000000001</v>
      </c>
      <c r="H3302" s="479">
        <v>1.512</v>
      </c>
      <c r="I3302" s="468" t="s">
        <v>9218</v>
      </c>
      <c r="J3302" s="468" t="s">
        <v>9219</v>
      </c>
      <c r="K3302" s="468" t="s">
        <v>9219</v>
      </c>
      <c r="L3302" s="468" t="s">
        <v>2354</v>
      </c>
    </row>
    <row r="3303" spans="1:12" x14ac:dyDescent="0.25">
      <c r="A3303" s="468" t="s">
        <v>220</v>
      </c>
      <c r="B3303" s="468" t="s">
        <v>5430</v>
      </c>
      <c r="C3303" s="468" t="s">
        <v>4147</v>
      </c>
      <c r="D3303" s="468" t="s">
        <v>8296</v>
      </c>
      <c r="F3303" s="470">
        <v>6</v>
      </c>
      <c r="G3303" s="468">
        <v>1.012</v>
      </c>
      <c r="H3303" s="479">
        <v>6.0720000000000001</v>
      </c>
      <c r="I3303" s="468" t="s">
        <v>9218</v>
      </c>
      <c r="J3303" s="468" t="s">
        <v>9219</v>
      </c>
      <c r="K3303" s="468" t="s">
        <v>9219</v>
      </c>
      <c r="L3303" s="468" t="s">
        <v>2354</v>
      </c>
    </row>
    <row r="3304" spans="1:12" x14ac:dyDescent="0.25">
      <c r="A3304" s="468" t="s">
        <v>220</v>
      </c>
      <c r="B3304" s="468" t="s">
        <v>5430</v>
      </c>
      <c r="C3304" s="468" t="s">
        <v>6845</v>
      </c>
      <c r="D3304" s="468" t="s">
        <v>8297</v>
      </c>
      <c r="F3304" s="470">
        <v>18</v>
      </c>
      <c r="G3304" s="468">
        <v>1.155</v>
      </c>
      <c r="H3304" s="479">
        <v>20.79</v>
      </c>
      <c r="I3304" s="468" t="s">
        <v>9218</v>
      </c>
      <c r="J3304" s="468" t="s">
        <v>9219</v>
      </c>
      <c r="K3304" s="468" t="s">
        <v>9219</v>
      </c>
      <c r="L3304" s="468" t="s">
        <v>2354</v>
      </c>
    </row>
    <row r="3305" spans="1:12" x14ac:dyDescent="0.25">
      <c r="A3305" s="468" t="s">
        <v>220</v>
      </c>
      <c r="B3305" s="468" t="s">
        <v>5430</v>
      </c>
      <c r="C3305" s="468" t="s">
        <v>6846</v>
      </c>
      <c r="D3305" s="468" t="s">
        <v>8298</v>
      </c>
      <c r="F3305" s="470">
        <v>1</v>
      </c>
      <c r="G3305" s="468">
        <v>15.271000000000001</v>
      </c>
      <c r="H3305" s="479">
        <v>15.271000000000001</v>
      </c>
      <c r="I3305" s="468" t="s">
        <v>9218</v>
      </c>
      <c r="J3305" s="468" t="s">
        <v>9219</v>
      </c>
      <c r="K3305" s="468" t="s">
        <v>9219</v>
      </c>
      <c r="L3305" s="468" t="s">
        <v>2354</v>
      </c>
    </row>
    <row r="3306" spans="1:12" x14ac:dyDescent="0.25">
      <c r="A3306" s="468" t="s">
        <v>220</v>
      </c>
      <c r="B3306" s="468" t="s">
        <v>5430</v>
      </c>
      <c r="C3306" s="468" t="s">
        <v>6847</v>
      </c>
      <c r="D3306" s="468" t="s">
        <v>8299</v>
      </c>
      <c r="F3306" s="470">
        <v>4</v>
      </c>
      <c r="G3306" s="468">
        <v>1.72</v>
      </c>
      <c r="H3306" s="479">
        <v>6.88</v>
      </c>
      <c r="I3306" s="468" t="s">
        <v>9218</v>
      </c>
      <c r="J3306" s="468" t="s">
        <v>9219</v>
      </c>
      <c r="K3306" s="468" t="s">
        <v>9219</v>
      </c>
      <c r="L3306" s="468" t="s">
        <v>2354</v>
      </c>
    </row>
    <row r="3307" spans="1:12" x14ac:dyDescent="0.25">
      <c r="A3307" s="468" t="s">
        <v>220</v>
      </c>
      <c r="B3307" s="468" t="s">
        <v>5430</v>
      </c>
      <c r="C3307" s="468" t="s">
        <v>6849</v>
      </c>
      <c r="D3307" s="468" t="s">
        <v>8300</v>
      </c>
      <c r="F3307" s="470">
        <v>36</v>
      </c>
      <c r="G3307" s="468">
        <v>0.98199999999999998</v>
      </c>
      <c r="H3307" s="479">
        <v>35.351999999999997</v>
      </c>
      <c r="I3307" s="468" t="s">
        <v>9218</v>
      </c>
      <c r="J3307" s="468" t="s">
        <v>9219</v>
      </c>
      <c r="K3307" s="468" t="s">
        <v>9219</v>
      </c>
      <c r="L3307" s="468" t="s">
        <v>2354</v>
      </c>
    </row>
    <row r="3308" spans="1:12" x14ac:dyDescent="0.25">
      <c r="A3308" s="468" t="s">
        <v>220</v>
      </c>
      <c r="B3308" s="468" t="s">
        <v>5430</v>
      </c>
      <c r="C3308" s="468" t="s">
        <v>6851</v>
      </c>
      <c r="D3308" s="468" t="s">
        <v>8301</v>
      </c>
      <c r="F3308" s="470">
        <v>5</v>
      </c>
      <c r="G3308" s="468">
        <v>0.75</v>
      </c>
      <c r="H3308" s="479">
        <v>3.75</v>
      </c>
      <c r="I3308" s="468" t="s">
        <v>9218</v>
      </c>
      <c r="J3308" s="468" t="s">
        <v>9219</v>
      </c>
      <c r="K3308" s="468" t="s">
        <v>9219</v>
      </c>
      <c r="L3308" s="468" t="s">
        <v>2354</v>
      </c>
    </row>
    <row r="3309" spans="1:12" x14ac:dyDescent="0.25">
      <c r="A3309" s="468" t="s">
        <v>220</v>
      </c>
      <c r="B3309" s="468" t="s">
        <v>5430</v>
      </c>
      <c r="C3309" s="468" t="s">
        <v>4155</v>
      </c>
      <c r="D3309" s="468" t="s">
        <v>8302</v>
      </c>
      <c r="F3309" s="470">
        <v>18</v>
      </c>
      <c r="G3309" s="468">
        <v>0.78100000000000003</v>
      </c>
      <c r="H3309" s="479">
        <v>14.058</v>
      </c>
      <c r="I3309" s="468" t="s">
        <v>9218</v>
      </c>
      <c r="J3309" s="468" t="s">
        <v>9219</v>
      </c>
      <c r="K3309" s="468" t="s">
        <v>9219</v>
      </c>
      <c r="L3309" s="468" t="s">
        <v>2354</v>
      </c>
    </row>
    <row r="3310" spans="1:12" x14ac:dyDescent="0.25">
      <c r="A3310" s="468" t="s">
        <v>220</v>
      </c>
      <c r="B3310" s="468" t="s">
        <v>5430</v>
      </c>
      <c r="C3310" s="468" t="s">
        <v>6853</v>
      </c>
      <c r="D3310" s="468" t="s">
        <v>6854</v>
      </c>
      <c r="F3310" s="470">
        <v>59</v>
      </c>
      <c r="G3310" s="468">
        <v>1.72</v>
      </c>
      <c r="H3310" s="479">
        <v>101.48</v>
      </c>
      <c r="I3310" s="468" t="s">
        <v>9218</v>
      </c>
      <c r="J3310" s="468" t="s">
        <v>9219</v>
      </c>
      <c r="K3310" s="468" t="s">
        <v>9219</v>
      </c>
      <c r="L3310" s="468" t="s">
        <v>2354</v>
      </c>
    </row>
    <row r="3311" spans="1:12" x14ac:dyDescent="0.25">
      <c r="A3311" s="468" t="s">
        <v>220</v>
      </c>
      <c r="B3311" s="468" t="s">
        <v>5430</v>
      </c>
      <c r="C3311" s="468" t="s">
        <v>6855</v>
      </c>
      <c r="D3311" s="468" t="s">
        <v>6856</v>
      </c>
      <c r="F3311" s="470">
        <v>18</v>
      </c>
      <c r="G3311" s="468">
        <v>0.75</v>
      </c>
      <c r="H3311" s="479">
        <v>13.5</v>
      </c>
      <c r="I3311" s="468" t="s">
        <v>9218</v>
      </c>
      <c r="J3311" s="468" t="s">
        <v>9219</v>
      </c>
      <c r="K3311" s="468" t="s">
        <v>9219</v>
      </c>
      <c r="L3311" s="468" t="s">
        <v>2354</v>
      </c>
    </row>
    <row r="3312" spans="1:12" x14ac:dyDescent="0.25">
      <c r="A3312" s="468" t="s">
        <v>220</v>
      </c>
      <c r="B3312" s="468" t="s">
        <v>5430</v>
      </c>
      <c r="C3312" s="468" t="s">
        <v>6857</v>
      </c>
      <c r="D3312" s="468" t="s">
        <v>6858</v>
      </c>
      <c r="F3312" s="470">
        <v>29</v>
      </c>
      <c r="G3312" s="468">
        <v>1.72</v>
      </c>
      <c r="H3312" s="479">
        <v>49.88</v>
      </c>
      <c r="I3312" s="468" t="s">
        <v>9218</v>
      </c>
      <c r="J3312" s="468" t="s">
        <v>9219</v>
      </c>
      <c r="K3312" s="468" t="s">
        <v>9219</v>
      </c>
      <c r="L3312" s="468" t="s">
        <v>2354</v>
      </c>
    </row>
    <row r="3313" spans="1:12" x14ac:dyDescent="0.25">
      <c r="A3313" s="468" t="s">
        <v>220</v>
      </c>
      <c r="B3313" s="468" t="s">
        <v>5430</v>
      </c>
      <c r="C3313" s="468" t="s">
        <v>6859</v>
      </c>
      <c r="D3313" s="468" t="s">
        <v>6860</v>
      </c>
      <c r="F3313" s="470">
        <v>5</v>
      </c>
      <c r="G3313" s="468">
        <v>0.19800000000000001</v>
      </c>
      <c r="H3313" s="479">
        <v>0.99</v>
      </c>
      <c r="I3313" s="468" t="s">
        <v>9218</v>
      </c>
      <c r="J3313" s="468" t="s">
        <v>9219</v>
      </c>
      <c r="K3313" s="468" t="s">
        <v>9219</v>
      </c>
      <c r="L3313" s="468" t="s">
        <v>2354</v>
      </c>
    </row>
    <row r="3314" spans="1:12" x14ac:dyDescent="0.25">
      <c r="A3314" s="468" t="s">
        <v>220</v>
      </c>
      <c r="B3314" s="468" t="s">
        <v>5430</v>
      </c>
      <c r="C3314" s="468" t="s">
        <v>8303</v>
      </c>
      <c r="D3314" s="468" t="s">
        <v>8304</v>
      </c>
      <c r="F3314" s="470">
        <v>3</v>
      </c>
      <c r="G3314" s="468">
        <v>8.5500000000000007</v>
      </c>
      <c r="H3314" s="479">
        <v>25.650000000000002</v>
      </c>
      <c r="I3314" s="468" t="s">
        <v>9218</v>
      </c>
      <c r="J3314" s="468" t="s">
        <v>9219</v>
      </c>
      <c r="K3314" s="468" t="s">
        <v>9219</v>
      </c>
      <c r="L3314" s="468" t="s">
        <v>2354</v>
      </c>
    </row>
    <row r="3315" spans="1:12" x14ac:dyDescent="0.25">
      <c r="A3315" s="468" t="s">
        <v>220</v>
      </c>
      <c r="B3315" s="468" t="s">
        <v>5430</v>
      </c>
      <c r="C3315" s="468" t="s">
        <v>4175</v>
      </c>
      <c r="D3315" s="468" t="s">
        <v>4176</v>
      </c>
      <c r="F3315" s="470">
        <v>1</v>
      </c>
      <c r="G3315" s="468">
        <v>1.9390000000000001</v>
      </c>
      <c r="H3315" s="479">
        <v>1.9390000000000001</v>
      </c>
      <c r="I3315" s="468" t="s">
        <v>9218</v>
      </c>
      <c r="J3315" s="468" t="s">
        <v>9219</v>
      </c>
      <c r="K3315" s="468" t="s">
        <v>9219</v>
      </c>
      <c r="L3315" s="468" t="s">
        <v>2354</v>
      </c>
    </row>
    <row r="3316" spans="1:12" x14ac:dyDescent="0.25">
      <c r="A3316" s="468" t="s">
        <v>220</v>
      </c>
      <c r="B3316" s="468" t="s">
        <v>5430</v>
      </c>
      <c r="C3316" s="468" t="s">
        <v>4179</v>
      </c>
      <c r="D3316" s="468" t="s">
        <v>8305</v>
      </c>
      <c r="F3316" s="470">
        <v>18</v>
      </c>
      <c r="G3316" s="468">
        <v>1.1879999999999999</v>
      </c>
      <c r="H3316" s="479">
        <v>21.384</v>
      </c>
      <c r="I3316" s="468" t="s">
        <v>9218</v>
      </c>
      <c r="J3316" s="468" t="s">
        <v>9219</v>
      </c>
      <c r="K3316" s="468" t="s">
        <v>9219</v>
      </c>
      <c r="L3316" s="468" t="s">
        <v>2354</v>
      </c>
    </row>
    <row r="3317" spans="1:12" x14ac:dyDescent="0.25">
      <c r="A3317" s="468" t="s">
        <v>220</v>
      </c>
      <c r="B3317" s="468" t="s">
        <v>5430</v>
      </c>
      <c r="C3317" s="468" t="s">
        <v>4181</v>
      </c>
      <c r="D3317" s="468" t="s">
        <v>8306</v>
      </c>
      <c r="F3317" s="470">
        <v>13</v>
      </c>
      <c r="G3317" s="468">
        <v>0.505</v>
      </c>
      <c r="H3317" s="479">
        <v>6.5650000000000004</v>
      </c>
      <c r="I3317" s="468" t="s">
        <v>9218</v>
      </c>
      <c r="J3317" s="468" t="s">
        <v>9219</v>
      </c>
      <c r="K3317" s="468" t="s">
        <v>9219</v>
      </c>
      <c r="L3317" s="468" t="s">
        <v>2354</v>
      </c>
    </row>
    <row r="3318" spans="1:12" x14ac:dyDescent="0.25">
      <c r="A3318" s="468" t="s">
        <v>220</v>
      </c>
      <c r="B3318" s="468" t="s">
        <v>5430</v>
      </c>
      <c r="C3318" s="468" t="s">
        <v>4185</v>
      </c>
      <c r="D3318" s="468" t="s">
        <v>8307</v>
      </c>
      <c r="F3318" s="470">
        <v>2</v>
      </c>
      <c r="G3318" s="468">
        <v>0.58399999999999996</v>
      </c>
      <c r="H3318" s="479">
        <v>1.1679999999999999</v>
      </c>
      <c r="I3318" s="468" t="s">
        <v>9218</v>
      </c>
      <c r="J3318" s="468" t="s">
        <v>9219</v>
      </c>
      <c r="K3318" s="468" t="s">
        <v>9219</v>
      </c>
      <c r="L3318" s="468" t="s">
        <v>2354</v>
      </c>
    </row>
    <row r="3319" spans="1:12" x14ac:dyDescent="0.25">
      <c r="A3319" s="468" t="s">
        <v>220</v>
      </c>
      <c r="B3319" s="468" t="s">
        <v>5430</v>
      </c>
      <c r="C3319" s="468" t="s">
        <v>4187</v>
      </c>
      <c r="D3319" s="468" t="s">
        <v>8308</v>
      </c>
      <c r="F3319" s="470">
        <v>28</v>
      </c>
      <c r="G3319" s="468">
        <v>0.501</v>
      </c>
      <c r="H3319" s="479">
        <v>14.028</v>
      </c>
      <c r="I3319" s="468" t="s">
        <v>9218</v>
      </c>
      <c r="J3319" s="468" t="s">
        <v>9219</v>
      </c>
      <c r="K3319" s="468" t="s">
        <v>9219</v>
      </c>
      <c r="L3319" s="468" t="s">
        <v>2354</v>
      </c>
    </row>
    <row r="3320" spans="1:12" x14ac:dyDescent="0.25">
      <c r="A3320" s="468" t="s">
        <v>220</v>
      </c>
      <c r="B3320" s="468" t="s">
        <v>5430</v>
      </c>
      <c r="C3320" s="468" t="s">
        <v>4189</v>
      </c>
      <c r="D3320" s="468" t="s">
        <v>4190</v>
      </c>
      <c r="F3320" s="470">
        <v>79</v>
      </c>
      <c r="G3320" s="468">
        <v>0.185</v>
      </c>
      <c r="H3320" s="479">
        <v>14.615</v>
      </c>
      <c r="I3320" s="468" t="s">
        <v>9218</v>
      </c>
      <c r="J3320" s="468" t="s">
        <v>9219</v>
      </c>
      <c r="K3320" s="468" t="s">
        <v>9219</v>
      </c>
      <c r="L3320" s="468" t="s">
        <v>2354</v>
      </c>
    </row>
    <row r="3321" spans="1:12" x14ac:dyDescent="0.25">
      <c r="A3321" s="468" t="s">
        <v>220</v>
      </c>
      <c r="B3321" s="468" t="s">
        <v>5430</v>
      </c>
      <c r="C3321" s="468" t="s">
        <v>6870</v>
      </c>
      <c r="D3321" s="468" t="s">
        <v>8309</v>
      </c>
      <c r="F3321" s="470">
        <v>2</v>
      </c>
      <c r="G3321" s="468">
        <v>44.555</v>
      </c>
      <c r="H3321" s="479">
        <v>89.11</v>
      </c>
      <c r="I3321" s="468" t="s">
        <v>9218</v>
      </c>
      <c r="J3321" s="468" t="s">
        <v>9219</v>
      </c>
      <c r="K3321" s="468" t="s">
        <v>9219</v>
      </c>
      <c r="L3321" s="468" t="s">
        <v>2354</v>
      </c>
    </row>
    <row r="3322" spans="1:12" x14ac:dyDescent="0.25">
      <c r="A3322" s="468" t="s">
        <v>220</v>
      </c>
      <c r="B3322" s="468" t="s">
        <v>5430</v>
      </c>
      <c r="C3322" s="468" t="s">
        <v>8310</v>
      </c>
      <c r="D3322" s="468" t="s">
        <v>8311</v>
      </c>
      <c r="F3322" s="470">
        <v>2</v>
      </c>
      <c r="G3322" s="468">
        <v>421.01499999999999</v>
      </c>
      <c r="H3322" s="479">
        <v>842.03</v>
      </c>
      <c r="I3322" s="468" t="s">
        <v>9218</v>
      </c>
      <c r="J3322" s="468" t="s">
        <v>9219</v>
      </c>
      <c r="K3322" s="468" t="s">
        <v>9219</v>
      </c>
      <c r="L3322" s="468" t="s">
        <v>2354</v>
      </c>
    </row>
    <row r="3323" spans="1:12" x14ac:dyDescent="0.25">
      <c r="A3323" s="468" t="s">
        <v>220</v>
      </c>
      <c r="B3323" s="468" t="s">
        <v>5430</v>
      </c>
      <c r="C3323" s="468" t="s">
        <v>6874</v>
      </c>
      <c r="D3323" s="468" t="s">
        <v>6875</v>
      </c>
      <c r="F3323" s="470">
        <v>1</v>
      </c>
      <c r="G3323" s="468">
        <v>450.45</v>
      </c>
      <c r="H3323" s="479">
        <v>450.45</v>
      </c>
      <c r="I3323" s="468" t="s">
        <v>9218</v>
      </c>
      <c r="J3323" s="468" t="s">
        <v>9219</v>
      </c>
      <c r="K3323" s="468" t="s">
        <v>9219</v>
      </c>
      <c r="L3323" s="468" t="s">
        <v>2354</v>
      </c>
    </row>
    <row r="3324" spans="1:12" x14ac:dyDescent="0.25">
      <c r="A3324" s="468" t="s">
        <v>220</v>
      </c>
      <c r="B3324" s="468" t="s">
        <v>5430</v>
      </c>
      <c r="C3324" s="468" t="s">
        <v>8312</v>
      </c>
      <c r="D3324" s="468" t="s">
        <v>6877</v>
      </c>
      <c r="F3324" s="470">
        <v>8</v>
      </c>
      <c r="G3324" s="468">
        <v>450.49700000000001</v>
      </c>
      <c r="H3324" s="479">
        <v>3603.9760000000001</v>
      </c>
      <c r="I3324" s="468" t="s">
        <v>9218</v>
      </c>
      <c r="J3324" s="468" t="s">
        <v>9219</v>
      </c>
      <c r="K3324" s="468" t="s">
        <v>9219</v>
      </c>
      <c r="L3324" s="468" t="s">
        <v>2354</v>
      </c>
    </row>
    <row r="3325" spans="1:12" x14ac:dyDescent="0.25">
      <c r="A3325" s="468" t="s">
        <v>220</v>
      </c>
      <c r="B3325" s="468" t="s">
        <v>5430</v>
      </c>
      <c r="C3325" s="468" t="s">
        <v>6878</v>
      </c>
      <c r="D3325" s="468" t="s">
        <v>6879</v>
      </c>
      <c r="F3325" s="470">
        <v>3</v>
      </c>
      <c r="G3325" s="468">
        <v>172.03800000000001</v>
      </c>
      <c r="H3325" s="479">
        <v>516.11400000000003</v>
      </c>
      <c r="I3325" s="468" t="s">
        <v>9218</v>
      </c>
      <c r="J3325" s="468" t="s">
        <v>9219</v>
      </c>
      <c r="K3325" s="468" t="s">
        <v>9219</v>
      </c>
      <c r="L3325" s="468" t="s">
        <v>2354</v>
      </c>
    </row>
    <row r="3326" spans="1:12" x14ac:dyDescent="0.25">
      <c r="A3326" s="468" t="s">
        <v>220</v>
      </c>
      <c r="B3326" s="468" t="s">
        <v>5430</v>
      </c>
      <c r="C3326" s="468" t="s">
        <v>4241</v>
      </c>
      <c r="D3326" s="468" t="s">
        <v>8313</v>
      </c>
      <c r="F3326" s="470">
        <v>2</v>
      </c>
      <c r="G3326" s="468">
        <v>156.249</v>
      </c>
      <c r="H3326" s="479">
        <v>312.49799999999999</v>
      </c>
      <c r="I3326" s="468" t="s">
        <v>9218</v>
      </c>
      <c r="J3326" s="468" t="s">
        <v>9219</v>
      </c>
      <c r="K3326" s="468" t="s">
        <v>9219</v>
      </c>
      <c r="L3326" s="468" t="s">
        <v>2354</v>
      </c>
    </row>
    <row r="3327" spans="1:12" x14ac:dyDescent="0.25">
      <c r="A3327" s="468" t="s">
        <v>220</v>
      </c>
      <c r="B3327" s="468" t="s">
        <v>5430</v>
      </c>
      <c r="C3327" s="468" t="s">
        <v>4243</v>
      </c>
      <c r="D3327" s="468" t="s">
        <v>8314</v>
      </c>
      <c r="F3327" s="470">
        <v>4</v>
      </c>
      <c r="G3327" s="468">
        <v>85.167000000000002</v>
      </c>
      <c r="H3327" s="479">
        <v>340.66800000000001</v>
      </c>
      <c r="I3327" s="468" t="s">
        <v>9218</v>
      </c>
      <c r="J3327" s="468" t="s">
        <v>9219</v>
      </c>
      <c r="K3327" s="468" t="s">
        <v>9219</v>
      </c>
      <c r="L3327" s="468" t="s">
        <v>2354</v>
      </c>
    </row>
    <row r="3328" spans="1:12" x14ac:dyDescent="0.25">
      <c r="A3328" s="468" t="s">
        <v>220</v>
      </c>
      <c r="B3328" s="468" t="s">
        <v>5430</v>
      </c>
      <c r="C3328" s="468" t="s">
        <v>4245</v>
      </c>
      <c r="D3328" s="468" t="s">
        <v>8315</v>
      </c>
      <c r="F3328" s="470">
        <v>6</v>
      </c>
      <c r="G3328" s="468">
        <v>17.042999999999999</v>
      </c>
      <c r="H3328" s="479">
        <v>102.258</v>
      </c>
      <c r="I3328" s="468" t="s">
        <v>9218</v>
      </c>
      <c r="J3328" s="468" t="s">
        <v>9219</v>
      </c>
      <c r="K3328" s="468" t="s">
        <v>9219</v>
      </c>
      <c r="L3328" s="468" t="s">
        <v>2354</v>
      </c>
    </row>
    <row r="3329" spans="1:12" x14ac:dyDescent="0.25">
      <c r="A3329" s="468" t="s">
        <v>220</v>
      </c>
      <c r="B3329" s="468" t="s">
        <v>5430</v>
      </c>
      <c r="C3329" s="468" t="s">
        <v>4247</v>
      </c>
      <c r="D3329" s="468" t="s">
        <v>8316</v>
      </c>
      <c r="F3329" s="470">
        <v>1</v>
      </c>
      <c r="G3329" s="468">
        <v>84.238</v>
      </c>
      <c r="H3329" s="479">
        <v>84.238</v>
      </c>
      <c r="I3329" s="468" t="s">
        <v>9218</v>
      </c>
      <c r="J3329" s="468" t="s">
        <v>9219</v>
      </c>
      <c r="K3329" s="468" t="s">
        <v>9219</v>
      </c>
      <c r="L3329" s="468" t="s">
        <v>2354</v>
      </c>
    </row>
    <row r="3330" spans="1:12" x14ac:dyDescent="0.25">
      <c r="A3330" s="468" t="s">
        <v>220</v>
      </c>
      <c r="B3330" s="468" t="s">
        <v>5430</v>
      </c>
      <c r="C3330" s="468" t="s">
        <v>8317</v>
      </c>
      <c r="D3330" s="468" t="s">
        <v>8318</v>
      </c>
      <c r="F3330" s="470">
        <v>5</v>
      </c>
      <c r="G3330" s="468">
        <v>89</v>
      </c>
      <c r="H3330" s="479">
        <v>445</v>
      </c>
      <c r="I3330" s="468" t="s">
        <v>9218</v>
      </c>
      <c r="J3330" s="468" t="s">
        <v>9219</v>
      </c>
      <c r="K3330" s="468" t="s">
        <v>9219</v>
      </c>
      <c r="L3330" s="468" t="s">
        <v>2354</v>
      </c>
    </row>
    <row r="3331" spans="1:12" x14ac:dyDescent="0.25">
      <c r="A3331" s="468" t="s">
        <v>220</v>
      </c>
      <c r="B3331" s="468" t="s">
        <v>5430</v>
      </c>
      <c r="C3331" s="468" t="s">
        <v>6881</v>
      </c>
      <c r="D3331" s="468" t="s">
        <v>8319</v>
      </c>
      <c r="F3331" s="470">
        <v>6</v>
      </c>
      <c r="G3331" s="468">
        <v>16.544</v>
      </c>
      <c r="H3331" s="479">
        <v>99.26400000000001</v>
      </c>
      <c r="I3331" s="468" t="s">
        <v>9218</v>
      </c>
      <c r="J3331" s="468" t="s">
        <v>9219</v>
      </c>
      <c r="K3331" s="468" t="s">
        <v>9219</v>
      </c>
      <c r="L3331" s="468" t="s">
        <v>2354</v>
      </c>
    </row>
    <row r="3332" spans="1:12" x14ac:dyDescent="0.25">
      <c r="A3332" s="468" t="s">
        <v>220</v>
      </c>
      <c r="B3332" s="468" t="s">
        <v>5430</v>
      </c>
      <c r="C3332" s="468" t="s">
        <v>6883</v>
      </c>
      <c r="D3332" s="468" t="s">
        <v>8320</v>
      </c>
      <c r="F3332" s="470">
        <v>2</v>
      </c>
      <c r="G3332" s="468">
        <v>88.55</v>
      </c>
      <c r="H3332" s="479">
        <v>177.1</v>
      </c>
      <c r="I3332" s="468" t="s">
        <v>9218</v>
      </c>
      <c r="J3332" s="468" t="s">
        <v>9219</v>
      </c>
      <c r="K3332" s="468" t="s">
        <v>9219</v>
      </c>
      <c r="L3332" s="468" t="s">
        <v>2354</v>
      </c>
    </row>
    <row r="3333" spans="1:12" x14ac:dyDescent="0.25">
      <c r="A3333" s="468" t="s">
        <v>220</v>
      </c>
      <c r="B3333" s="468" t="s">
        <v>5430</v>
      </c>
      <c r="C3333" s="468" t="s">
        <v>6885</v>
      </c>
      <c r="D3333" s="468" t="s">
        <v>6886</v>
      </c>
      <c r="F3333" s="470">
        <v>2</v>
      </c>
      <c r="G3333" s="468">
        <v>157.5</v>
      </c>
      <c r="H3333" s="479">
        <v>315</v>
      </c>
      <c r="I3333" s="468" t="s">
        <v>9218</v>
      </c>
      <c r="J3333" s="468" t="s">
        <v>9219</v>
      </c>
      <c r="K3333" s="468" t="s">
        <v>9219</v>
      </c>
      <c r="L3333" s="468" t="s">
        <v>2354</v>
      </c>
    </row>
    <row r="3334" spans="1:12" x14ac:dyDescent="0.25">
      <c r="A3334" s="468" t="s">
        <v>220</v>
      </c>
      <c r="B3334" s="468" t="s">
        <v>5430</v>
      </c>
      <c r="C3334" s="468" t="s">
        <v>6887</v>
      </c>
      <c r="D3334" s="468" t="s">
        <v>8321</v>
      </c>
      <c r="F3334" s="470">
        <v>3</v>
      </c>
      <c r="G3334" s="468">
        <v>167.01900000000001</v>
      </c>
      <c r="H3334" s="479">
        <v>501.05700000000002</v>
      </c>
      <c r="I3334" s="468" t="s">
        <v>9218</v>
      </c>
      <c r="J3334" s="468" t="s">
        <v>9219</v>
      </c>
      <c r="K3334" s="468" t="s">
        <v>9219</v>
      </c>
      <c r="L3334" s="468" t="s">
        <v>2354</v>
      </c>
    </row>
    <row r="3335" spans="1:12" x14ac:dyDescent="0.25">
      <c r="A3335" s="468" t="s">
        <v>220</v>
      </c>
      <c r="B3335" s="468" t="s">
        <v>5430</v>
      </c>
      <c r="C3335" s="468" t="s">
        <v>6889</v>
      </c>
      <c r="D3335" s="468" t="s">
        <v>8322</v>
      </c>
      <c r="F3335" s="470">
        <v>2</v>
      </c>
      <c r="G3335" s="468">
        <v>89.1</v>
      </c>
      <c r="H3335" s="479">
        <v>178.2</v>
      </c>
      <c r="I3335" s="468" t="s">
        <v>9218</v>
      </c>
      <c r="J3335" s="468" t="s">
        <v>9219</v>
      </c>
      <c r="K3335" s="468" t="s">
        <v>9219</v>
      </c>
      <c r="L3335" s="468" t="s">
        <v>2354</v>
      </c>
    </row>
    <row r="3336" spans="1:12" x14ac:dyDescent="0.25">
      <c r="A3336" s="468" t="s">
        <v>220</v>
      </c>
      <c r="B3336" s="468" t="s">
        <v>5430</v>
      </c>
      <c r="C3336" s="468" t="s">
        <v>6891</v>
      </c>
      <c r="D3336" s="468" t="s">
        <v>8323</v>
      </c>
      <c r="F3336" s="470">
        <v>1</v>
      </c>
      <c r="G3336" s="468">
        <v>50.32</v>
      </c>
      <c r="H3336" s="479">
        <v>50.32</v>
      </c>
      <c r="I3336" s="468" t="s">
        <v>9218</v>
      </c>
      <c r="J3336" s="468" t="s">
        <v>9219</v>
      </c>
      <c r="K3336" s="468" t="s">
        <v>9219</v>
      </c>
      <c r="L3336" s="468" t="s">
        <v>2354</v>
      </c>
    </row>
    <row r="3337" spans="1:12" x14ac:dyDescent="0.25">
      <c r="A3337" s="468" t="s">
        <v>220</v>
      </c>
      <c r="B3337" s="468" t="s">
        <v>5430</v>
      </c>
      <c r="C3337" s="468" t="s">
        <v>6893</v>
      </c>
      <c r="D3337" s="468" t="s">
        <v>8324</v>
      </c>
      <c r="F3337" s="470">
        <v>5</v>
      </c>
      <c r="G3337" s="468">
        <v>86.003</v>
      </c>
      <c r="H3337" s="479">
        <v>430.01499999999999</v>
      </c>
      <c r="I3337" s="468" t="s">
        <v>9218</v>
      </c>
      <c r="J3337" s="468" t="s">
        <v>9219</v>
      </c>
      <c r="K3337" s="468" t="s">
        <v>9219</v>
      </c>
      <c r="L3337" s="468" t="s">
        <v>2354</v>
      </c>
    </row>
    <row r="3338" spans="1:12" x14ac:dyDescent="0.25">
      <c r="A3338" s="468" t="s">
        <v>220</v>
      </c>
      <c r="B3338" s="468" t="s">
        <v>5430</v>
      </c>
      <c r="C3338" s="468" t="s">
        <v>6895</v>
      </c>
      <c r="D3338" s="468" t="s">
        <v>8325</v>
      </c>
      <c r="F3338" s="470">
        <v>5</v>
      </c>
      <c r="G3338" s="468">
        <v>21.434000000000001</v>
      </c>
      <c r="H3338" s="479">
        <v>107.17</v>
      </c>
      <c r="I3338" s="468" t="s">
        <v>9218</v>
      </c>
      <c r="J3338" s="468" t="s">
        <v>9219</v>
      </c>
      <c r="K3338" s="468" t="s">
        <v>9219</v>
      </c>
      <c r="L3338" s="468" t="s">
        <v>2354</v>
      </c>
    </row>
    <row r="3339" spans="1:12" x14ac:dyDescent="0.25">
      <c r="A3339" s="468" t="s">
        <v>220</v>
      </c>
      <c r="B3339" s="468" t="s">
        <v>5430</v>
      </c>
      <c r="C3339" s="468" t="s">
        <v>6897</v>
      </c>
      <c r="D3339" s="468" t="s">
        <v>8326</v>
      </c>
      <c r="F3339" s="470">
        <v>1</v>
      </c>
      <c r="G3339" s="468">
        <v>10.391999999999999</v>
      </c>
      <c r="H3339" s="479">
        <v>10.391999999999999</v>
      </c>
      <c r="I3339" s="468" t="s">
        <v>9218</v>
      </c>
      <c r="J3339" s="468" t="s">
        <v>9219</v>
      </c>
      <c r="K3339" s="468" t="s">
        <v>9219</v>
      </c>
      <c r="L3339" s="468" t="s">
        <v>2354</v>
      </c>
    </row>
    <row r="3340" spans="1:12" x14ac:dyDescent="0.25">
      <c r="A3340" s="468" t="s">
        <v>220</v>
      </c>
      <c r="B3340" s="468" t="s">
        <v>5430</v>
      </c>
      <c r="C3340" s="468" t="s">
        <v>6899</v>
      </c>
      <c r="D3340" s="468" t="s">
        <v>8327</v>
      </c>
      <c r="F3340" s="470">
        <v>1</v>
      </c>
      <c r="G3340" s="468">
        <v>108.249</v>
      </c>
      <c r="H3340" s="479">
        <v>108.249</v>
      </c>
      <c r="I3340" s="468" t="s">
        <v>9218</v>
      </c>
      <c r="J3340" s="468" t="s">
        <v>9219</v>
      </c>
      <c r="K3340" s="468" t="s">
        <v>9219</v>
      </c>
      <c r="L3340" s="468" t="s">
        <v>2354</v>
      </c>
    </row>
    <row r="3341" spans="1:12" x14ac:dyDescent="0.25">
      <c r="A3341" s="468" t="s">
        <v>220</v>
      </c>
      <c r="B3341" s="468" t="s">
        <v>5430</v>
      </c>
      <c r="C3341" s="468" t="s">
        <v>6901</v>
      </c>
      <c r="D3341" s="468" t="s">
        <v>8328</v>
      </c>
      <c r="F3341" s="470">
        <v>4</v>
      </c>
      <c r="G3341" s="468">
        <v>300</v>
      </c>
      <c r="H3341" s="479">
        <v>1200</v>
      </c>
      <c r="I3341" s="468" t="s">
        <v>9218</v>
      </c>
      <c r="J3341" s="468" t="s">
        <v>9219</v>
      </c>
      <c r="K3341" s="468" t="s">
        <v>9219</v>
      </c>
      <c r="L3341" s="468" t="s">
        <v>2354</v>
      </c>
    </row>
    <row r="3342" spans="1:12" x14ac:dyDescent="0.25">
      <c r="A3342" s="468" t="s">
        <v>220</v>
      </c>
      <c r="B3342" s="468" t="s">
        <v>5430</v>
      </c>
      <c r="C3342" s="468" t="s">
        <v>4295</v>
      </c>
      <c r="D3342" s="468" t="s">
        <v>8329</v>
      </c>
      <c r="F3342" s="470">
        <v>6</v>
      </c>
      <c r="G3342" s="468">
        <v>83.861000000000004</v>
      </c>
      <c r="H3342" s="479">
        <v>503.16600000000005</v>
      </c>
      <c r="I3342" s="468" t="s">
        <v>9218</v>
      </c>
      <c r="J3342" s="468" t="s">
        <v>9219</v>
      </c>
      <c r="K3342" s="468" t="s">
        <v>9219</v>
      </c>
      <c r="L3342" s="468" t="s">
        <v>2354</v>
      </c>
    </row>
    <row r="3343" spans="1:12" x14ac:dyDescent="0.25">
      <c r="A3343" s="468" t="s">
        <v>220</v>
      </c>
      <c r="B3343" s="468" t="s">
        <v>5430</v>
      </c>
      <c r="C3343" s="468" t="s">
        <v>6903</v>
      </c>
      <c r="D3343" s="468" t="s">
        <v>8330</v>
      </c>
      <c r="F3343" s="470">
        <v>1</v>
      </c>
      <c r="G3343" s="468">
        <v>91</v>
      </c>
      <c r="H3343" s="479">
        <v>91</v>
      </c>
      <c r="I3343" s="468" t="s">
        <v>9218</v>
      </c>
      <c r="J3343" s="468" t="s">
        <v>9219</v>
      </c>
      <c r="K3343" s="468" t="s">
        <v>9219</v>
      </c>
      <c r="L3343" s="468" t="s">
        <v>2354</v>
      </c>
    </row>
    <row r="3344" spans="1:12" x14ac:dyDescent="0.25">
      <c r="A3344" s="468" t="s">
        <v>220</v>
      </c>
      <c r="B3344" s="468" t="s">
        <v>5430</v>
      </c>
      <c r="C3344" s="468" t="s">
        <v>4301</v>
      </c>
      <c r="D3344" s="468" t="s">
        <v>8331</v>
      </c>
      <c r="F3344" s="470">
        <v>6</v>
      </c>
      <c r="G3344" s="468">
        <v>130.36099999999999</v>
      </c>
      <c r="H3344" s="479">
        <v>782.16599999999994</v>
      </c>
      <c r="I3344" s="468" t="s">
        <v>9218</v>
      </c>
      <c r="J3344" s="468" t="s">
        <v>9219</v>
      </c>
      <c r="K3344" s="468" t="s">
        <v>9219</v>
      </c>
      <c r="L3344" s="468" t="s">
        <v>2354</v>
      </c>
    </row>
    <row r="3345" spans="1:12" x14ac:dyDescent="0.25">
      <c r="A3345" s="468" t="s">
        <v>220</v>
      </c>
      <c r="B3345" s="468" t="s">
        <v>5430</v>
      </c>
      <c r="C3345" s="468" t="s">
        <v>4303</v>
      </c>
      <c r="D3345" s="468" t="s">
        <v>8332</v>
      </c>
      <c r="F3345" s="470">
        <v>14</v>
      </c>
      <c r="G3345" s="468">
        <v>85.5</v>
      </c>
      <c r="H3345" s="479">
        <v>1197</v>
      </c>
      <c r="I3345" s="468" t="s">
        <v>9218</v>
      </c>
      <c r="J3345" s="468" t="s">
        <v>9219</v>
      </c>
      <c r="K3345" s="468" t="s">
        <v>9219</v>
      </c>
      <c r="L3345" s="468" t="s">
        <v>2354</v>
      </c>
    </row>
    <row r="3346" spans="1:12" x14ac:dyDescent="0.25">
      <c r="A3346" s="468" t="s">
        <v>220</v>
      </c>
      <c r="B3346" s="468" t="s">
        <v>5430</v>
      </c>
      <c r="C3346" s="468" t="s">
        <v>8333</v>
      </c>
      <c r="D3346" s="468" t="s">
        <v>8334</v>
      </c>
      <c r="F3346" s="470">
        <v>4</v>
      </c>
      <c r="G3346" s="468">
        <v>138.339</v>
      </c>
      <c r="H3346" s="479">
        <v>553.35599999999999</v>
      </c>
      <c r="I3346" s="468" t="s">
        <v>9218</v>
      </c>
      <c r="J3346" s="468" t="s">
        <v>9219</v>
      </c>
      <c r="K3346" s="468" t="s">
        <v>9219</v>
      </c>
      <c r="L3346" s="468" t="s">
        <v>2354</v>
      </c>
    </row>
    <row r="3347" spans="1:12" x14ac:dyDescent="0.25">
      <c r="A3347" s="468" t="s">
        <v>220</v>
      </c>
      <c r="B3347" s="468" t="s">
        <v>5430</v>
      </c>
      <c r="C3347" s="468" t="s">
        <v>6907</v>
      </c>
      <c r="D3347" s="468" t="s">
        <v>8335</v>
      </c>
      <c r="F3347" s="470">
        <v>4</v>
      </c>
      <c r="G3347" s="468">
        <v>203.059</v>
      </c>
      <c r="H3347" s="479">
        <v>812.23599999999999</v>
      </c>
      <c r="I3347" s="468" t="s">
        <v>9218</v>
      </c>
      <c r="J3347" s="468" t="s">
        <v>9219</v>
      </c>
      <c r="K3347" s="468" t="s">
        <v>9219</v>
      </c>
      <c r="L3347" s="468" t="s">
        <v>2354</v>
      </c>
    </row>
    <row r="3348" spans="1:12" x14ac:dyDescent="0.25">
      <c r="A3348" s="468" t="s">
        <v>220</v>
      </c>
      <c r="B3348" s="468" t="s">
        <v>5430</v>
      </c>
      <c r="C3348" s="468" t="s">
        <v>8336</v>
      </c>
      <c r="D3348" s="468" t="s">
        <v>8337</v>
      </c>
      <c r="F3348" s="470">
        <v>1</v>
      </c>
      <c r="G3348" s="468">
        <v>219.06</v>
      </c>
      <c r="H3348" s="479">
        <v>219.06</v>
      </c>
      <c r="I3348" s="468" t="s">
        <v>9218</v>
      </c>
      <c r="J3348" s="468" t="s">
        <v>9219</v>
      </c>
      <c r="K3348" s="468" t="s">
        <v>9219</v>
      </c>
      <c r="L3348" s="468" t="s">
        <v>2354</v>
      </c>
    </row>
    <row r="3349" spans="1:12" x14ac:dyDescent="0.25">
      <c r="A3349" s="468" t="s">
        <v>220</v>
      </c>
      <c r="B3349" s="468" t="s">
        <v>5430</v>
      </c>
      <c r="C3349" s="468" t="s">
        <v>6911</v>
      </c>
      <c r="D3349" s="468" t="s">
        <v>8338</v>
      </c>
      <c r="F3349" s="470">
        <v>5</v>
      </c>
      <c r="G3349" s="468">
        <v>108.461</v>
      </c>
      <c r="H3349" s="479">
        <v>542.30499999999995</v>
      </c>
      <c r="I3349" s="468" t="s">
        <v>9218</v>
      </c>
      <c r="J3349" s="468" t="s">
        <v>9219</v>
      </c>
      <c r="K3349" s="468" t="s">
        <v>9219</v>
      </c>
      <c r="L3349" s="468" t="s">
        <v>2354</v>
      </c>
    </row>
    <row r="3350" spans="1:12" x14ac:dyDescent="0.25">
      <c r="A3350" s="468" t="s">
        <v>220</v>
      </c>
      <c r="B3350" s="468" t="s">
        <v>5430</v>
      </c>
      <c r="C3350" s="468" t="s">
        <v>6913</v>
      </c>
      <c r="D3350" s="468" t="s">
        <v>8339</v>
      </c>
      <c r="F3350" s="470">
        <v>1</v>
      </c>
      <c r="G3350" s="468">
        <v>279.18</v>
      </c>
      <c r="H3350" s="479">
        <v>279.18</v>
      </c>
      <c r="I3350" s="468" t="s">
        <v>9218</v>
      </c>
      <c r="J3350" s="468" t="s">
        <v>9219</v>
      </c>
      <c r="K3350" s="468" t="s">
        <v>9219</v>
      </c>
      <c r="L3350" s="468" t="s">
        <v>2354</v>
      </c>
    </row>
    <row r="3351" spans="1:12" x14ac:dyDescent="0.25">
      <c r="A3351" s="468" t="s">
        <v>220</v>
      </c>
      <c r="B3351" s="468" t="s">
        <v>5430</v>
      </c>
      <c r="C3351" s="468" t="s">
        <v>6915</v>
      </c>
      <c r="D3351" s="468" t="s">
        <v>8340</v>
      </c>
      <c r="F3351" s="470">
        <v>1</v>
      </c>
      <c r="G3351" s="468">
        <v>279.18</v>
      </c>
      <c r="H3351" s="479">
        <v>279.18</v>
      </c>
      <c r="I3351" s="468" t="s">
        <v>9218</v>
      </c>
      <c r="J3351" s="468" t="s">
        <v>9219</v>
      </c>
      <c r="K3351" s="468" t="s">
        <v>9219</v>
      </c>
      <c r="L3351" s="468" t="s">
        <v>2354</v>
      </c>
    </row>
    <row r="3352" spans="1:12" x14ac:dyDescent="0.25">
      <c r="A3352" s="468" t="s">
        <v>220</v>
      </c>
      <c r="B3352" s="468" t="s">
        <v>5430</v>
      </c>
      <c r="C3352" s="468" t="s">
        <v>6917</v>
      </c>
      <c r="D3352" s="468" t="s">
        <v>8341</v>
      </c>
      <c r="F3352" s="470">
        <v>7</v>
      </c>
      <c r="G3352" s="468">
        <v>227.02699999999999</v>
      </c>
      <c r="H3352" s="479">
        <v>1589.1889999999999</v>
      </c>
      <c r="I3352" s="468" t="s">
        <v>9218</v>
      </c>
      <c r="J3352" s="468" t="s">
        <v>9219</v>
      </c>
      <c r="K3352" s="468" t="s">
        <v>9219</v>
      </c>
      <c r="L3352" s="468" t="s">
        <v>2354</v>
      </c>
    </row>
    <row r="3353" spans="1:12" x14ac:dyDescent="0.25">
      <c r="A3353" s="468" t="s">
        <v>220</v>
      </c>
      <c r="B3353" s="468" t="s">
        <v>5430</v>
      </c>
      <c r="C3353" s="468" t="s">
        <v>6919</v>
      </c>
      <c r="D3353" s="468" t="s">
        <v>8342</v>
      </c>
      <c r="F3353" s="470">
        <v>1</v>
      </c>
      <c r="G3353" s="468">
        <v>124.07899999999999</v>
      </c>
      <c r="H3353" s="479">
        <v>124.07899999999999</v>
      </c>
      <c r="I3353" s="468" t="s">
        <v>9218</v>
      </c>
      <c r="J3353" s="468" t="s">
        <v>9219</v>
      </c>
      <c r="K3353" s="468" t="s">
        <v>9219</v>
      </c>
      <c r="L3353" s="468" t="s">
        <v>2354</v>
      </c>
    </row>
    <row r="3354" spans="1:12" x14ac:dyDescent="0.25">
      <c r="A3354" s="468" t="s">
        <v>220</v>
      </c>
      <c r="B3354" s="468" t="s">
        <v>5430</v>
      </c>
      <c r="C3354" s="468" t="s">
        <v>6921</v>
      </c>
      <c r="D3354" s="468" t="s">
        <v>8343</v>
      </c>
      <c r="F3354" s="470">
        <v>1</v>
      </c>
      <c r="G3354" s="468">
        <v>89.9</v>
      </c>
      <c r="H3354" s="479">
        <v>89.9</v>
      </c>
      <c r="I3354" s="468" t="s">
        <v>9218</v>
      </c>
      <c r="J3354" s="468" t="s">
        <v>9219</v>
      </c>
      <c r="K3354" s="468" t="s">
        <v>9219</v>
      </c>
      <c r="L3354" s="468" t="s">
        <v>2354</v>
      </c>
    </row>
    <row r="3355" spans="1:12" x14ac:dyDescent="0.25">
      <c r="A3355" s="468" t="s">
        <v>220</v>
      </c>
      <c r="B3355" s="468" t="s">
        <v>5430</v>
      </c>
      <c r="C3355" s="468" t="s">
        <v>6923</v>
      </c>
      <c r="D3355" s="468" t="s">
        <v>8344</v>
      </c>
      <c r="F3355" s="470">
        <v>1</v>
      </c>
      <c r="G3355" s="468">
        <v>182.75800000000001</v>
      </c>
      <c r="H3355" s="479">
        <v>182.75800000000001</v>
      </c>
      <c r="I3355" s="468" t="s">
        <v>9218</v>
      </c>
      <c r="J3355" s="468" t="s">
        <v>9219</v>
      </c>
      <c r="K3355" s="468" t="s">
        <v>9219</v>
      </c>
      <c r="L3355" s="468" t="s">
        <v>2354</v>
      </c>
    </row>
    <row r="3356" spans="1:12" x14ac:dyDescent="0.25">
      <c r="A3356" s="468" t="s">
        <v>220</v>
      </c>
      <c r="B3356" s="468" t="s">
        <v>5430</v>
      </c>
      <c r="C3356" s="468" t="s">
        <v>6925</v>
      </c>
      <c r="D3356" s="468" t="s">
        <v>8345</v>
      </c>
      <c r="F3356" s="470">
        <v>8</v>
      </c>
      <c r="G3356" s="468">
        <v>113.4</v>
      </c>
      <c r="H3356" s="479">
        <v>907.2</v>
      </c>
      <c r="I3356" s="468" t="s">
        <v>9218</v>
      </c>
      <c r="J3356" s="468" t="s">
        <v>9219</v>
      </c>
      <c r="K3356" s="468" t="s">
        <v>9219</v>
      </c>
      <c r="L3356" s="468" t="s">
        <v>2354</v>
      </c>
    </row>
    <row r="3357" spans="1:12" x14ac:dyDescent="0.25">
      <c r="A3357" s="468" t="s">
        <v>220</v>
      </c>
      <c r="B3357" s="468" t="s">
        <v>5430</v>
      </c>
      <c r="C3357" s="468" t="s">
        <v>6927</v>
      </c>
      <c r="D3357" s="468" t="s">
        <v>8346</v>
      </c>
      <c r="F3357" s="470">
        <v>4</v>
      </c>
      <c r="G3357" s="468">
        <v>225.26300000000001</v>
      </c>
      <c r="H3357" s="479">
        <v>901.05200000000002</v>
      </c>
      <c r="I3357" s="468" t="s">
        <v>9218</v>
      </c>
      <c r="J3357" s="468" t="s">
        <v>9219</v>
      </c>
      <c r="K3357" s="468" t="s">
        <v>9219</v>
      </c>
      <c r="L3357" s="468" t="s">
        <v>2354</v>
      </c>
    </row>
    <row r="3358" spans="1:12" x14ac:dyDescent="0.25">
      <c r="A3358" s="468" t="s">
        <v>220</v>
      </c>
      <c r="B3358" s="468" t="s">
        <v>5430</v>
      </c>
      <c r="C3358" s="468" t="s">
        <v>6929</v>
      </c>
      <c r="D3358" s="468" t="s">
        <v>8347</v>
      </c>
      <c r="F3358" s="470">
        <v>3</v>
      </c>
      <c r="G3358" s="468">
        <v>107.42400000000001</v>
      </c>
      <c r="H3358" s="479">
        <v>322.27200000000005</v>
      </c>
      <c r="I3358" s="468" t="s">
        <v>9218</v>
      </c>
      <c r="J3358" s="468" t="s">
        <v>9219</v>
      </c>
      <c r="K3358" s="468" t="s">
        <v>9219</v>
      </c>
      <c r="L3358" s="468" t="s">
        <v>2354</v>
      </c>
    </row>
    <row r="3359" spans="1:12" x14ac:dyDescent="0.25">
      <c r="A3359" s="468" t="s">
        <v>220</v>
      </c>
      <c r="B3359" s="468" t="s">
        <v>5430</v>
      </c>
      <c r="C3359" s="468" t="s">
        <v>6931</v>
      </c>
      <c r="D3359" s="468" t="s">
        <v>8348</v>
      </c>
      <c r="F3359" s="470">
        <v>4</v>
      </c>
      <c r="G3359" s="468">
        <v>78.825000000000003</v>
      </c>
      <c r="H3359" s="479">
        <v>315.3</v>
      </c>
      <c r="I3359" s="468" t="s">
        <v>9218</v>
      </c>
      <c r="J3359" s="468" t="s">
        <v>9219</v>
      </c>
      <c r="K3359" s="468" t="s">
        <v>9219</v>
      </c>
      <c r="L3359" s="468" t="s">
        <v>2354</v>
      </c>
    </row>
    <row r="3360" spans="1:12" x14ac:dyDescent="0.25">
      <c r="A3360" s="468" t="s">
        <v>220</v>
      </c>
      <c r="B3360" s="468" t="s">
        <v>5430</v>
      </c>
      <c r="C3360" s="468" t="s">
        <v>6933</v>
      </c>
      <c r="D3360" s="468" t="s">
        <v>8349</v>
      </c>
      <c r="F3360" s="470">
        <v>4</v>
      </c>
      <c r="G3360" s="468">
        <v>86.463999999999999</v>
      </c>
      <c r="H3360" s="479">
        <v>345.85599999999999</v>
      </c>
      <c r="I3360" s="468" t="s">
        <v>9218</v>
      </c>
      <c r="J3360" s="468" t="s">
        <v>9219</v>
      </c>
      <c r="K3360" s="468" t="s">
        <v>9219</v>
      </c>
      <c r="L3360" s="468" t="s">
        <v>2354</v>
      </c>
    </row>
    <row r="3361" spans="1:12" x14ac:dyDescent="0.25">
      <c r="A3361" s="468" t="s">
        <v>220</v>
      </c>
      <c r="B3361" s="468" t="s">
        <v>5430</v>
      </c>
      <c r="C3361" s="468" t="s">
        <v>6935</v>
      </c>
      <c r="D3361" s="468" t="s">
        <v>8350</v>
      </c>
      <c r="F3361" s="470">
        <v>5</v>
      </c>
      <c r="G3361" s="468">
        <v>105.40600000000001</v>
      </c>
      <c r="H3361" s="479">
        <v>527.03</v>
      </c>
      <c r="I3361" s="468" t="s">
        <v>9218</v>
      </c>
      <c r="J3361" s="468" t="s">
        <v>9219</v>
      </c>
      <c r="K3361" s="468" t="s">
        <v>9219</v>
      </c>
      <c r="L3361" s="468" t="s">
        <v>2354</v>
      </c>
    </row>
    <row r="3362" spans="1:12" x14ac:dyDescent="0.25">
      <c r="A3362" s="468" t="s">
        <v>220</v>
      </c>
      <c r="B3362" s="468" t="s">
        <v>5430</v>
      </c>
      <c r="C3362" s="468" t="s">
        <v>6937</v>
      </c>
      <c r="D3362" s="468" t="s">
        <v>8351</v>
      </c>
      <c r="F3362" s="470">
        <v>6</v>
      </c>
      <c r="G3362" s="468">
        <v>122.715</v>
      </c>
      <c r="H3362" s="479">
        <v>736.29</v>
      </c>
      <c r="I3362" s="468" t="s">
        <v>9218</v>
      </c>
      <c r="J3362" s="468" t="s">
        <v>9219</v>
      </c>
      <c r="K3362" s="468" t="s">
        <v>9219</v>
      </c>
      <c r="L3362" s="468" t="s">
        <v>2354</v>
      </c>
    </row>
    <row r="3363" spans="1:12" x14ac:dyDescent="0.25">
      <c r="A3363" s="468" t="s">
        <v>220</v>
      </c>
      <c r="B3363" s="468" t="s">
        <v>5430</v>
      </c>
      <c r="C3363" s="468" t="s">
        <v>6939</v>
      </c>
      <c r="D3363" s="468" t="s">
        <v>8352</v>
      </c>
      <c r="F3363" s="470">
        <v>4</v>
      </c>
      <c r="G3363" s="468">
        <v>150.27600000000001</v>
      </c>
      <c r="H3363" s="479">
        <v>601.10400000000004</v>
      </c>
      <c r="I3363" s="468" t="s">
        <v>9218</v>
      </c>
      <c r="J3363" s="468" t="s">
        <v>9219</v>
      </c>
      <c r="K3363" s="468" t="s">
        <v>9219</v>
      </c>
      <c r="L3363" s="468" t="s">
        <v>2354</v>
      </c>
    </row>
    <row r="3364" spans="1:12" x14ac:dyDescent="0.25">
      <c r="A3364" s="468" t="s">
        <v>220</v>
      </c>
      <c r="B3364" s="468" t="s">
        <v>5430</v>
      </c>
      <c r="C3364" s="468" t="s">
        <v>6941</v>
      </c>
      <c r="D3364" s="468" t="s">
        <v>8353</v>
      </c>
      <c r="F3364" s="470">
        <v>3</v>
      </c>
      <c r="G3364" s="468">
        <v>219.06</v>
      </c>
      <c r="H3364" s="479">
        <v>657.18000000000006</v>
      </c>
      <c r="I3364" s="468" t="s">
        <v>9218</v>
      </c>
      <c r="J3364" s="468" t="s">
        <v>9219</v>
      </c>
      <c r="K3364" s="468" t="s">
        <v>9219</v>
      </c>
      <c r="L3364" s="468" t="s">
        <v>2354</v>
      </c>
    </row>
    <row r="3365" spans="1:12" x14ac:dyDescent="0.25">
      <c r="A3365" s="468" t="s">
        <v>220</v>
      </c>
      <c r="B3365" s="468" t="s">
        <v>5430</v>
      </c>
      <c r="C3365" s="468" t="s">
        <v>6944</v>
      </c>
      <c r="D3365" s="468" t="s">
        <v>8354</v>
      </c>
      <c r="F3365" s="470">
        <v>1</v>
      </c>
      <c r="G3365" s="468">
        <v>11</v>
      </c>
      <c r="H3365" s="479">
        <v>11</v>
      </c>
      <c r="I3365" s="468" t="s">
        <v>9218</v>
      </c>
      <c r="J3365" s="468" t="s">
        <v>9219</v>
      </c>
      <c r="K3365" s="468" t="s">
        <v>9219</v>
      </c>
      <c r="L3365" s="468" t="s">
        <v>2354</v>
      </c>
    </row>
    <row r="3366" spans="1:12" x14ac:dyDescent="0.25">
      <c r="A3366" s="468" t="s">
        <v>220</v>
      </c>
      <c r="B3366" s="468" t="s">
        <v>5430</v>
      </c>
      <c r="C3366" s="468" t="s">
        <v>6946</v>
      </c>
      <c r="D3366" s="468" t="s">
        <v>8355</v>
      </c>
      <c r="F3366" s="470">
        <v>1</v>
      </c>
      <c r="G3366" s="468">
        <v>11</v>
      </c>
      <c r="H3366" s="479">
        <v>11</v>
      </c>
      <c r="I3366" s="468" t="s">
        <v>9218</v>
      </c>
      <c r="J3366" s="468" t="s">
        <v>9219</v>
      </c>
      <c r="K3366" s="468" t="s">
        <v>9219</v>
      </c>
      <c r="L3366" s="468" t="s">
        <v>2354</v>
      </c>
    </row>
    <row r="3367" spans="1:12" x14ac:dyDescent="0.25">
      <c r="A3367" s="468" t="s">
        <v>220</v>
      </c>
      <c r="B3367" s="468" t="s">
        <v>5430</v>
      </c>
      <c r="C3367" s="468" t="s">
        <v>6948</v>
      </c>
      <c r="D3367" s="468" t="s">
        <v>8356</v>
      </c>
      <c r="F3367" s="470">
        <v>1</v>
      </c>
      <c r="G3367" s="468">
        <v>11</v>
      </c>
      <c r="H3367" s="479">
        <v>11</v>
      </c>
      <c r="I3367" s="468" t="s">
        <v>9218</v>
      </c>
      <c r="J3367" s="468" t="s">
        <v>9219</v>
      </c>
      <c r="K3367" s="468" t="s">
        <v>9219</v>
      </c>
      <c r="L3367" s="468" t="s">
        <v>2354</v>
      </c>
    </row>
    <row r="3368" spans="1:12" x14ac:dyDescent="0.25">
      <c r="A3368" s="468" t="s">
        <v>220</v>
      </c>
      <c r="B3368" s="468" t="s">
        <v>5430</v>
      </c>
      <c r="C3368" s="468" t="s">
        <v>6950</v>
      </c>
      <c r="D3368" s="468" t="s">
        <v>8357</v>
      </c>
      <c r="F3368" s="470">
        <v>1</v>
      </c>
      <c r="G3368" s="468">
        <v>11</v>
      </c>
      <c r="H3368" s="479">
        <v>11</v>
      </c>
      <c r="I3368" s="468" t="s">
        <v>9218</v>
      </c>
      <c r="J3368" s="468" t="s">
        <v>9219</v>
      </c>
      <c r="K3368" s="468" t="s">
        <v>9219</v>
      </c>
      <c r="L3368" s="468" t="s">
        <v>2354</v>
      </c>
    </row>
    <row r="3369" spans="1:12" x14ac:dyDescent="0.25">
      <c r="A3369" s="468" t="s">
        <v>220</v>
      </c>
      <c r="B3369" s="468" t="s">
        <v>5430</v>
      </c>
      <c r="C3369" s="468" t="s">
        <v>6952</v>
      </c>
      <c r="D3369" s="468" t="s">
        <v>8358</v>
      </c>
      <c r="F3369" s="470">
        <v>1</v>
      </c>
      <c r="G3369" s="468">
        <v>11</v>
      </c>
      <c r="H3369" s="479">
        <v>11</v>
      </c>
      <c r="I3369" s="468" t="s">
        <v>9218</v>
      </c>
      <c r="J3369" s="468" t="s">
        <v>9219</v>
      </c>
      <c r="K3369" s="468" t="s">
        <v>9219</v>
      </c>
      <c r="L3369" s="468" t="s">
        <v>2354</v>
      </c>
    </row>
    <row r="3370" spans="1:12" x14ac:dyDescent="0.25">
      <c r="A3370" s="468" t="s">
        <v>220</v>
      </c>
      <c r="B3370" s="468" t="s">
        <v>5430</v>
      </c>
      <c r="C3370" s="468" t="s">
        <v>4355</v>
      </c>
      <c r="D3370" s="468" t="s">
        <v>4356</v>
      </c>
      <c r="F3370" s="470">
        <v>7</v>
      </c>
      <c r="G3370" s="468">
        <v>2.831</v>
      </c>
      <c r="H3370" s="479">
        <v>19.817</v>
      </c>
      <c r="I3370" s="468" t="s">
        <v>9218</v>
      </c>
      <c r="J3370" s="468" t="s">
        <v>9219</v>
      </c>
      <c r="K3370" s="468" t="s">
        <v>9219</v>
      </c>
      <c r="L3370" s="468" t="s">
        <v>2354</v>
      </c>
    </row>
    <row r="3371" spans="1:12" x14ac:dyDescent="0.25">
      <c r="A3371" s="468" t="s">
        <v>220</v>
      </c>
      <c r="B3371" s="468" t="s">
        <v>5430</v>
      </c>
      <c r="C3371" s="468" t="s">
        <v>8359</v>
      </c>
      <c r="D3371" s="468" t="s">
        <v>8360</v>
      </c>
      <c r="F3371" s="470">
        <v>4</v>
      </c>
      <c r="G3371" s="468">
        <v>2.7</v>
      </c>
      <c r="H3371" s="479">
        <v>10.8</v>
      </c>
      <c r="I3371" s="468" t="s">
        <v>9218</v>
      </c>
      <c r="J3371" s="468" t="s">
        <v>9219</v>
      </c>
      <c r="K3371" s="468" t="s">
        <v>9219</v>
      </c>
      <c r="L3371" s="468" t="s">
        <v>2354</v>
      </c>
    </row>
    <row r="3372" spans="1:12" x14ac:dyDescent="0.25">
      <c r="A3372" s="468" t="s">
        <v>220</v>
      </c>
      <c r="B3372" s="468" t="s">
        <v>5430</v>
      </c>
      <c r="C3372" s="468" t="s">
        <v>4391</v>
      </c>
      <c r="D3372" s="468" t="s">
        <v>8361</v>
      </c>
      <c r="F3372" s="470">
        <v>2</v>
      </c>
      <c r="G3372" s="468">
        <v>58.24</v>
      </c>
      <c r="H3372" s="479">
        <v>116.48</v>
      </c>
      <c r="I3372" s="468" t="s">
        <v>9218</v>
      </c>
      <c r="J3372" s="468" t="s">
        <v>9219</v>
      </c>
      <c r="K3372" s="468" t="s">
        <v>9219</v>
      </c>
      <c r="L3372" s="468" t="s">
        <v>2354</v>
      </c>
    </row>
    <row r="3373" spans="1:12" x14ac:dyDescent="0.25">
      <c r="A3373" s="468" t="s">
        <v>220</v>
      </c>
      <c r="B3373" s="468" t="s">
        <v>5430</v>
      </c>
      <c r="C3373" s="468" t="s">
        <v>8362</v>
      </c>
      <c r="D3373" s="468" t="s">
        <v>8363</v>
      </c>
      <c r="F3373" s="470">
        <v>4</v>
      </c>
      <c r="G3373" s="468">
        <v>1.1819999999999999</v>
      </c>
      <c r="H3373" s="479">
        <v>4.7279999999999998</v>
      </c>
      <c r="I3373" s="468" t="s">
        <v>9218</v>
      </c>
      <c r="J3373" s="468" t="s">
        <v>9219</v>
      </c>
      <c r="K3373" s="468" t="s">
        <v>9219</v>
      </c>
      <c r="L3373" s="468" t="s">
        <v>2354</v>
      </c>
    </row>
    <row r="3374" spans="1:12" x14ac:dyDescent="0.25">
      <c r="A3374" s="468" t="s">
        <v>220</v>
      </c>
      <c r="B3374" s="468" t="s">
        <v>5430</v>
      </c>
      <c r="C3374" s="468" t="s">
        <v>4401</v>
      </c>
      <c r="D3374" s="468" t="s">
        <v>8364</v>
      </c>
      <c r="F3374" s="470">
        <v>4</v>
      </c>
      <c r="G3374" s="468">
        <v>54.311</v>
      </c>
      <c r="H3374" s="479">
        <v>217.244</v>
      </c>
      <c r="I3374" s="468" t="s">
        <v>9218</v>
      </c>
      <c r="J3374" s="468" t="s">
        <v>9219</v>
      </c>
      <c r="K3374" s="468" t="s">
        <v>9219</v>
      </c>
      <c r="L3374" s="468" t="s">
        <v>2354</v>
      </c>
    </row>
    <row r="3375" spans="1:12" x14ac:dyDescent="0.25">
      <c r="A3375" s="468" t="s">
        <v>220</v>
      </c>
      <c r="B3375" s="468" t="s">
        <v>5430</v>
      </c>
      <c r="C3375" s="468" t="s">
        <v>4407</v>
      </c>
      <c r="D3375" s="468" t="s">
        <v>4408</v>
      </c>
      <c r="F3375" s="470">
        <v>4</v>
      </c>
      <c r="G3375" s="468">
        <v>48.040999999999997</v>
      </c>
      <c r="H3375" s="479">
        <v>192.16399999999999</v>
      </c>
      <c r="I3375" s="468" t="s">
        <v>9218</v>
      </c>
      <c r="J3375" s="468" t="s">
        <v>9219</v>
      </c>
      <c r="K3375" s="468" t="s">
        <v>9219</v>
      </c>
      <c r="L3375" s="468" t="s">
        <v>2354</v>
      </c>
    </row>
    <row r="3376" spans="1:12" x14ac:dyDescent="0.25">
      <c r="A3376" s="468" t="s">
        <v>220</v>
      </c>
      <c r="B3376" s="468" t="s">
        <v>5430</v>
      </c>
      <c r="C3376" s="468" t="s">
        <v>4415</v>
      </c>
      <c r="D3376" s="468" t="s">
        <v>4416</v>
      </c>
      <c r="F3376" s="470">
        <v>4</v>
      </c>
      <c r="G3376" s="468">
        <v>3.173</v>
      </c>
      <c r="H3376" s="479">
        <v>12.692</v>
      </c>
      <c r="I3376" s="468" t="s">
        <v>9218</v>
      </c>
      <c r="J3376" s="468" t="s">
        <v>9219</v>
      </c>
      <c r="K3376" s="468" t="s">
        <v>9219</v>
      </c>
      <c r="L3376" s="468" t="s">
        <v>2354</v>
      </c>
    </row>
    <row r="3377" spans="1:12" x14ac:dyDescent="0.25">
      <c r="A3377" s="468" t="s">
        <v>220</v>
      </c>
      <c r="B3377" s="468" t="s">
        <v>5430</v>
      </c>
      <c r="C3377" s="468" t="s">
        <v>4421</v>
      </c>
      <c r="D3377" s="468" t="s">
        <v>4422</v>
      </c>
      <c r="F3377" s="470">
        <v>3</v>
      </c>
      <c r="G3377" s="468">
        <v>32.884999999999998</v>
      </c>
      <c r="H3377" s="479">
        <v>98.655000000000001</v>
      </c>
      <c r="I3377" s="468" t="s">
        <v>9218</v>
      </c>
      <c r="J3377" s="468" t="s">
        <v>9219</v>
      </c>
      <c r="K3377" s="468" t="s">
        <v>9219</v>
      </c>
      <c r="L3377" s="468" t="s">
        <v>2354</v>
      </c>
    </row>
    <row r="3378" spans="1:12" x14ac:dyDescent="0.25">
      <c r="A3378" s="468" t="s">
        <v>220</v>
      </c>
      <c r="B3378" s="468" t="s">
        <v>5430</v>
      </c>
      <c r="C3378" s="468" t="s">
        <v>6965</v>
      </c>
      <c r="D3378" s="468" t="s">
        <v>8365</v>
      </c>
      <c r="F3378" s="470">
        <v>1</v>
      </c>
      <c r="G3378" s="468">
        <v>10.967000000000001</v>
      </c>
      <c r="H3378" s="479">
        <v>10.967000000000001</v>
      </c>
      <c r="I3378" s="468" t="s">
        <v>9218</v>
      </c>
      <c r="J3378" s="468" t="s">
        <v>9219</v>
      </c>
      <c r="K3378" s="468" t="s">
        <v>9219</v>
      </c>
      <c r="L3378" s="468" t="s">
        <v>2354</v>
      </c>
    </row>
    <row r="3379" spans="1:12" x14ac:dyDescent="0.25">
      <c r="A3379" s="468" t="s">
        <v>220</v>
      </c>
      <c r="B3379" s="468" t="s">
        <v>5430</v>
      </c>
      <c r="C3379" s="468" t="s">
        <v>6967</v>
      </c>
      <c r="D3379" s="468" t="s">
        <v>8366</v>
      </c>
      <c r="F3379" s="470">
        <v>2</v>
      </c>
      <c r="G3379" s="468">
        <v>10.967000000000001</v>
      </c>
      <c r="H3379" s="479">
        <v>21.934000000000001</v>
      </c>
      <c r="I3379" s="468" t="s">
        <v>9218</v>
      </c>
      <c r="J3379" s="468" t="s">
        <v>9219</v>
      </c>
      <c r="K3379" s="468" t="s">
        <v>9219</v>
      </c>
      <c r="L3379" s="468" t="s">
        <v>2354</v>
      </c>
    </row>
    <row r="3380" spans="1:12" x14ac:dyDescent="0.25">
      <c r="A3380" s="468" t="s">
        <v>220</v>
      </c>
      <c r="B3380" s="468" t="s">
        <v>5430</v>
      </c>
      <c r="C3380" s="468" t="s">
        <v>6969</v>
      </c>
      <c r="D3380" s="468" t="s">
        <v>8367</v>
      </c>
      <c r="F3380" s="470">
        <v>1</v>
      </c>
      <c r="G3380" s="468">
        <v>10.967000000000001</v>
      </c>
      <c r="H3380" s="479">
        <v>10.967000000000001</v>
      </c>
      <c r="I3380" s="468" t="s">
        <v>9218</v>
      </c>
      <c r="J3380" s="468" t="s">
        <v>9219</v>
      </c>
      <c r="K3380" s="468" t="s">
        <v>9219</v>
      </c>
      <c r="L3380" s="468" t="s">
        <v>2354</v>
      </c>
    </row>
    <row r="3381" spans="1:12" x14ac:dyDescent="0.25">
      <c r="A3381" s="468" t="s">
        <v>220</v>
      </c>
      <c r="B3381" s="468" t="s">
        <v>5430</v>
      </c>
      <c r="C3381" s="468" t="s">
        <v>6971</v>
      </c>
      <c r="D3381" s="468" t="s">
        <v>8368</v>
      </c>
      <c r="F3381" s="470">
        <v>9</v>
      </c>
      <c r="G3381" s="468">
        <v>5.4950000000000001</v>
      </c>
      <c r="H3381" s="479">
        <v>49.454999999999998</v>
      </c>
      <c r="I3381" s="468" t="s">
        <v>9218</v>
      </c>
      <c r="J3381" s="468" t="s">
        <v>9219</v>
      </c>
      <c r="K3381" s="468" t="s">
        <v>9219</v>
      </c>
      <c r="L3381" s="468" t="s">
        <v>2354</v>
      </c>
    </row>
    <row r="3382" spans="1:12" x14ac:dyDescent="0.25">
      <c r="A3382" s="468" t="s">
        <v>220</v>
      </c>
      <c r="B3382" s="468" t="s">
        <v>5430</v>
      </c>
      <c r="C3382" s="468" t="s">
        <v>8369</v>
      </c>
      <c r="D3382" s="468" t="s">
        <v>8370</v>
      </c>
      <c r="F3382" s="470">
        <v>29</v>
      </c>
      <c r="G3382" s="468">
        <v>11.337999999999999</v>
      </c>
      <c r="H3382" s="479">
        <v>328.80199999999996</v>
      </c>
      <c r="I3382" s="468" t="s">
        <v>9218</v>
      </c>
      <c r="J3382" s="468" t="s">
        <v>9219</v>
      </c>
      <c r="K3382" s="468" t="s">
        <v>9219</v>
      </c>
      <c r="L3382" s="468" t="s">
        <v>2354</v>
      </c>
    </row>
    <row r="3383" spans="1:12" x14ac:dyDescent="0.25">
      <c r="A3383" s="468" t="s">
        <v>220</v>
      </c>
      <c r="B3383" s="468" t="s">
        <v>5430</v>
      </c>
      <c r="C3383" s="468" t="s">
        <v>4434</v>
      </c>
      <c r="D3383" s="468" t="s">
        <v>8371</v>
      </c>
      <c r="F3383" s="470">
        <v>4</v>
      </c>
      <c r="G3383" s="468">
        <v>38.649000000000001</v>
      </c>
      <c r="H3383" s="479">
        <v>154.596</v>
      </c>
      <c r="I3383" s="468" t="s">
        <v>9218</v>
      </c>
      <c r="J3383" s="468" t="s">
        <v>9219</v>
      </c>
      <c r="K3383" s="468" t="s">
        <v>9219</v>
      </c>
      <c r="L3383" s="468" t="s">
        <v>2354</v>
      </c>
    </row>
    <row r="3384" spans="1:12" x14ac:dyDescent="0.25">
      <c r="A3384" s="468" t="s">
        <v>220</v>
      </c>
      <c r="B3384" s="468" t="s">
        <v>5430</v>
      </c>
      <c r="C3384" s="468" t="s">
        <v>6974</v>
      </c>
      <c r="D3384" s="468" t="s">
        <v>8372</v>
      </c>
      <c r="F3384" s="470">
        <v>1</v>
      </c>
      <c r="G3384" s="468">
        <v>7.4279999999999999</v>
      </c>
      <c r="H3384" s="479">
        <v>7.4279999999999999</v>
      </c>
      <c r="I3384" s="468" t="s">
        <v>9218</v>
      </c>
      <c r="J3384" s="468" t="s">
        <v>9219</v>
      </c>
      <c r="K3384" s="468" t="s">
        <v>9219</v>
      </c>
      <c r="L3384" s="468" t="s">
        <v>2354</v>
      </c>
    </row>
    <row r="3385" spans="1:12" x14ac:dyDescent="0.25">
      <c r="A3385" s="468" t="s">
        <v>220</v>
      </c>
      <c r="B3385" s="468" t="s">
        <v>5430</v>
      </c>
      <c r="C3385" s="468" t="s">
        <v>8373</v>
      </c>
      <c r="D3385" s="468" t="s">
        <v>8374</v>
      </c>
      <c r="F3385" s="470">
        <v>1</v>
      </c>
      <c r="G3385" s="468">
        <v>164.148</v>
      </c>
      <c r="H3385" s="479">
        <v>164.148</v>
      </c>
      <c r="I3385" s="468" t="s">
        <v>9218</v>
      </c>
      <c r="J3385" s="468" t="s">
        <v>9219</v>
      </c>
      <c r="K3385" s="468" t="s">
        <v>9219</v>
      </c>
      <c r="L3385" s="468" t="s">
        <v>2354</v>
      </c>
    </row>
    <row r="3386" spans="1:12" x14ac:dyDescent="0.25">
      <c r="A3386" s="468" t="s">
        <v>220</v>
      </c>
      <c r="B3386" s="468" t="s">
        <v>5430</v>
      </c>
      <c r="C3386" s="468" t="s">
        <v>6977</v>
      </c>
      <c r="D3386" s="468" t="s">
        <v>8375</v>
      </c>
      <c r="F3386" s="470">
        <v>1</v>
      </c>
      <c r="G3386" s="468">
        <v>6.806</v>
      </c>
      <c r="H3386" s="479">
        <v>6.806</v>
      </c>
      <c r="I3386" s="468" t="s">
        <v>9218</v>
      </c>
      <c r="J3386" s="468" t="s">
        <v>9219</v>
      </c>
      <c r="K3386" s="468" t="s">
        <v>9219</v>
      </c>
      <c r="L3386" s="468" t="s">
        <v>2354</v>
      </c>
    </row>
    <row r="3387" spans="1:12" x14ac:dyDescent="0.25">
      <c r="A3387" s="468" t="s">
        <v>220</v>
      </c>
      <c r="B3387" s="468" t="s">
        <v>5430</v>
      </c>
      <c r="C3387" s="468" t="s">
        <v>6979</v>
      </c>
      <c r="D3387" s="468" t="s">
        <v>8376</v>
      </c>
      <c r="F3387" s="470">
        <v>1</v>
      </c>
      <c r="G3387" s="468">
        <v>171</v>
      </c>
      <c r="H3387" s="479">
        <v>171</v>
      </c>
      <c r="I3387" s="468" t="s">
        <v>9218</v>
      </c>
      <c r="J3387" s="468" t="s">
        <v>9219</v>
      </c>
      <c r="K3387" s="468" t="s">
        <v>9219</v>
      </c>
      <c r="L3387" s="468" t="s">
        <v>2354</v>
      </c>
    </row>
    <row r="3388" spans="1:12" x14ac:dyDescent="0.25">
      <c r="A3388" s="468" t="s">
        <v>220</v>
      </c>
      <c r="B3388" s="468" t="s">
        <v>5430</v>
      </c>
      <c r="C3388" s="468" t="s">
        <v>6981</v>
      </c>
      <c r="D3388" s="468" t="s">
        <v>8377</v>
      </c>
      <c r="F3388" s="470">
        <v>1</v>
      </c>
      <c r="G3388" s="468">
        <v>133.63900000000001</v>
      </c>
      <c r="H3388" s="479">
        <v>133.63900000000001</v>
      </c>
      <c r="I3388" s="468" t="s">
        <v>9218</v>
      </c>
      <c r="J3388" s="468" t="s">
        <v>9219</v>
      </c>
      <c r="K3388" s="468" t="s">
        <v>9219</v>
      </c>
      <c r="L3388" s="468" t="s">
        <v>2354</v>
      </c>
    </row>
    <row r="3389" spans="1:12" x14ac:dyDescent="0.25">
      <c r="A3389" s="468" t="s">
        <v>220</v>
      </c>
      <c r="B3389" s="468" t="s">
        <v>5430</v>
      </c>
      <c r="C3389" s="468" t="s">
        <v>4379</v>
      </c>
      <c r="D3389" s="468" t="s">
        <v>8378</v>
      </c>
      <c r="F3389" s="470">
        <v>16</v>
      </c>
      <c r="G3389" s="468">
        <v>7.9169999999999998</v>
      </c>
      <c r="H3389" s="479">
        <v>126.672</v>
      </c>
      <c r="I3389" s="468" t="s">
        <v>9218</v>
      </c>
      <c r="J3389" s="468" t="s">
        <v>9219</v>
      </c>
      <c r="K3389" s="468" t="s">
        <v>9219</v>
      </c>
      <c r="L3389" s="468" t="s">
        <v>2354</v>
      </c>
    </row>
    <row r="3390" spans="1:12" x14ac:dyDescent="0.25">
      <c r="A3390" s="468" t="s">
        <v>220</v>
      </c>
      <c r="B3390" s="468" t="s">
        <v>5430</v>
      </c>
      <c r="C3390" s="468" t="s">
        <v>6983</v>
      </c>
      <c r="D3390" s="468" t="s">
        <v>8379</v>
      </c>
      <c r="F3390" s="470">
        <v>2</v>
      </c>
      <c r="G3390" s="468">
        <v>124.973</v>
      </c>
      <c r="H3390" s="479">
        <v>249.946</v>
      </c>
      <c r="I3390" s="468" t="s">
        <v>9218</v>
      </c>
      <c r="J3390" s="468" t="s">
        <v>9219</v>
      </c>
      <c r="K3390" s="468" t="s">
        <v>9219</v>
      </c>
      <c r="L3390" s="468" t="s">
        <v>2354</v>
      </c>
    </row>
    <row r="3391" spans="1:12" x14ac:dyDescent="0.25">
      <c r="A3391" s="468" t="s">
        <v>220</v>
      </c>
      <c r="B3391" s="468" t="s">
        <v>5430</v>
      </c>
      <c r="C3391" s="468" t="s">
        <v>8380</v>
      </c>
      <c r="D3391" s="468" t="s">
        <v>8381</v>
      </c>
      <c r="F3391" s="470">
        <v>1</v>
      </c>
      <c r="G3391" s="468">
        <v>172.48500000000001</v>
      </c>
      <c r="H3391" s="479">
        <v>172.48500000000001</v>
      </c>
      <c r="I3391" s="468" t="s">
        <v>9218</v>
      </c>
      <c r="J3391" s="468" t="s">
        <v>9219</v>
      </c>
      <c r="K3391" s="468" t="s">
        <v>9219</v>
      </c>
      <c r="L3391" s="468" t="s">
        <v>2354</v>
      </c>
    </row>
    <row r="3392" spans="1:12" x14ac:dyDescent="0.25">
      <c r="A3392" s="468" t="s">
        <v>220</v>
      </c>
      <c r="B3392" s="468" t="s">
        <v>5430</v>
      </c>
      <c r="C3392" s="468" t="s">
        <v>4494</v>
      </c>
      <c r="D3392" s="468" t="s">
        <v>8383</v>
      </c>
      <c r="F3392" s="470">
        <v>20</v>
      </c>
      <c r="G3392" s="468">
        <v>14.776999999999999</v>
      </c>
      <c r="H3392" s="479">
        <v>295.53999999999996</v>
      </c>
      <c r="I3392" s="468" t="s">
        <v>9218</v>
      </c>
      <c r="J3392" s="468" t="s">
        <v>9219</v>
      </c>
      <c r="K3392" s="468" t="s">
        <v>9219</v>
      </c>
      <c r="L3392" s="468" t="s">
        <v>2354</v>
      </c>
    </row>
    <row r="3393" spans="1:12" x14ac:dyDescent="0.25">
      <c r="A3393" s="468" t="s">
        <v>220</v>
      </c>
      <c r="B3393" s="468" t="s">
        <v>5430</v>
      </c>
      <c r="C3393" s="468" t="s">
        <v>6988</v>
      </c>
      <c r="D3393" s="468" t="s">
        <v>6989</v>
      </c>
      <c r="F3393" s="470">
        <v>2</v>
      </c>
      <c r="G3393" s="468">
        <v>9.3620000000000001</v>
      </c>
      <c r="H3393" s="479">
        <v>18.724</v>
      </c>
      <c r="I3393" s="468" t="s">
        <v>9218</v>
      </c>
      <c r="J3393" s="468" t="s">
        <v>9219</v>
      </c>
      <c r="K3393" s="468" t="s">
        <v>9219</v>
      </c>
      <c r="L3393" s="468" t="s">
        <v>2354</v>
      </c>
    </row>
    <row r="3394" spans="1:12" x14ac:dyDescent="0.25">
      <c r="A3394" s="468" t="s">
        <v>220</v>
      </c>
      <c r="B3394" s="468" t="s">
        <v>5430</v>
      </c>
      <c r="C3394" s="468" t="s">
        <v>4001</v>
      </c>
      <c r="D3394" s="468" t="s">
        <v>8384</v>
      </c>
      <c r="F3394" s="470">
        <v>8</v>
      </c>
      <c r="G3394" s="468">
        <v>62.5</v>
      </c>
      <c r="H3394" s="479">
        <v>500</v>
      </c>
      <c r="I3394" s="468" t="s">
        <v>9218</v>
      </c>
      <c r="J3394" s="468" t="s">
        <v>9219</v>
      </c>
      <c r="K3394" s="468" t="s">
        <v>9219</v>
      </c>
      <c r="L3394" s="468" t="s">
        <v>2354</v>
      </c>
    </row>
    <row r="3395" spans="1:12" x14ac:dyDescent="0.25">
      <c r="A3395" s="468" t="s">
        <v>220</v>
      </c>
      <c r="B3395" s="468" t="s">
        <v>5430</v>
      </c>
      <c r="C3395" s="468" t="s">
        <v>6990</v>
      </c>
      <c r="D3395" s="468" t="s">
        <v>8385</v>
      </c>
      <c r="F3395" s="470">
        <v>1</v>
      </c>
      <c r="G3395" s="468">
        <v>32.340000000000003</v>
      </c>
      <c r="H3395" s="479">
        <v>32.340000000000003</v>
      </c>
      <c r="I3395" s="468" t="s">
        <v>9218</v>
      </c>
      <c r="J3395" s="468" t="s">
        <v>9219</v>
      </c>
      <c r="K3395" s="468" t="s">
        <v>9219</v>
      </c>
      <c r="L3395" s="468" t="s">
        <v>2354</v>
      </c>
    </row>
    <row r="3396" spans="1:12" x14ac:dyDescent="0.25">
      <c r="A3396" s="468" t="s">
        <v>220</v>
      </c>
      <c r="B3396" s="468" t="s">
        <v>5430</v>
      </c>
      <c r="C3396" s="468" t="s">
        <v>8386</v>
      </c>
      <c r="D3396" s="468" t="s">
        <v>6993</v>
      </c>
      <c r="F3396" s="470">
        <v>20</v>
      </c>
      <c r="G3396" s="468">
        <v>1.3480000000000001</v>
      </c>
      <c r="H3396" s="479">
        <v>26.96</v>
      </c>
      <c r="I3396" s="468" t="s">
        <v>9218</v>
      </c>
      <c r="J3396" s="468" t="s">
        <v>9219</v>
      </c>
      <c r="K3396" s="468" t="s">
        <v>9219</v>
      </c>
      <c r="L3396" s="468" t="s">
        <v>2354</v>
      </c>
    </row>
    <row r="3397" spans="1:12" x14ac:dyDescent="0.25">
      <c r="A3397" s="468" t="s">
        <v>220</v>
      </c>
      <c r="B3397" s="468" t="s">
        <v>5430</v>
      </c>
      <c r="C3397" s="468" t="s">
        <v>4508</v>
      </c>
      <c r="D3397" s="468" t="s">
        <v>8387</v>
      </c>
      <c r="F3397" s="470">
        <v>10</v>
      </c>
      <c r="G3397" s="468">
        <v>19.321999999999999</v>
      </c>
      <c r="H3397" s="479">
        <v>193.22</v>
      </c>
      <c r="I3397" s="468" t="s">
        <v>9218</v>
      </c>
      <c r="J3397" s="468" t="s">
        <v>9219</v>
      </c>
      <c r="K3397" s="468" t="s">
        <v>9219</v>
      </c>
      <c r="L3397" s="468" t="s">
        <v>2354</v>
      </c>
    </row>
    <row r="3398" spans="1:12" x14ac:dyDescent="0.25">
      <c r="A3398" s="468" t="s">
        <v>220</v>
      </c>
      <c r="B3398" s="468" t="s">
        <v>5430</v>
      </c>
      <c r="C3398" s="468" t="s">
        <v>6994</v>
      </c>
      <c r="D3398" s="468" t="s">
        <v>8388</v>
      </c>
      <c r="F3398" s="470">
        <v>1</v>
      </c>
      <c r="G3398" s="468">
        <v>86.861999999999995</v>
      </c>
      <c r="H3398" s="479">
        <v>86.861999999999995</v>
      </c>
      <c r="I3398" s="468" t="s">
        <v>9218</v>
      </c>
      <c r="J3398" s="468" t="s">
        <v>9219</v>
      </c>
      <c r="K3398" s="468" t="s">
        <v>9219</v>
      </c>
      <c r="L3398" s="468" t="s">
        <v>2354</v>
      </c>
    </row>
    <row r="3399" spans="1:12" x14ac:dyDescent="0.25">
      <c r="A3399" s="468" t="s">
        <v>220</v>
      </c>
      <c r="B3399" s="468" t="s">
        <v>5430</v>
      </c>
      <c r="C3399" s="468" t="s">
        <v>6996</v>
      </c>
      <c r="D3399" s="468" t="s">
        <v>6997</v>
      </c>
      <c r="F3399" s="470">
        <v>7</v>
      </c>
      <c r="G3399" s="468">
        <v>64.986000000000004</v>
      </c>
      <c r="H3399" s="479">
        <v>454.90200000000004</v>
      </c>
      <c r="I3399" s="468" t="s">
        <v>9218</v>
      </c>
      <c r="J3399" s="468" t="s">
        <v>9219</v>
      </c>
      <c r="K3399" s="468" t="s">
        <v>9219</v>
      </c>
      <c r="L3399" s="468" t="s">
        <v>2354</v>
      </c>
    </row>
    <row r="3400" spans="1:12" x14ac:dyDescent="0.25">
      <c r="A3400" s="468" t="s">
        <v>220</v>
      </c>
      <c r="B3400" s="468" t="s">
        <v>5430</v>
      </c>
      <c r="C3400" s="468" t="s">
        <v>6998</v>
      </c>
      <c r="D3400" s="468" t="s">
        <v>6999</v>
      </c>
      <c r="F3400" s="470">
        <v>4</v>
      </c>
      <c r="G3400" s="468">
        <v>85.569000000000003</v>
      </c>
      <c r="H3400" s="479">
        <v>342.27600000000001</v>
      </c>
      <c r="I3400" s="468" t="s">
        <v>9218</v>
      </c>
      <c r="J3400" s="468" t="s">
        <v>9219</v>
      </c>
      <c r="K3400" s="468" t="s">
        <v>9219</v>
      </c>
      <c r="L3400" s="468" t="s">
        <v>2354</v>
      </c>
    </row>
    <row r="3401" spans="1:12" x14ac:dyDescent="0.25">
      <c r="A3401" s="468" t="s">
        <v>220</v>
      </c>
      <c r="B3401" s="468" t="s">
        <v>5430</v>
      </c>
      <c r="C3401" s="468" t="s">
        <v>7000</v>
      </c>
      <c r="D3401" s="468" t="s">
        <v>8389</v>
      </c>
      <c r="F3401" s="470">
        <v>10</v>
      </c>
      <c r="G3401" s="468">
        <v>41.704999999999998</v>
      </c>
      <c r="H3401" s="479">
        <v>417.04999999999995</v>
      </c>
      <c r="I3401" s="468" t="s">
        <v>9218</v>
      </c>
      <c r="J3401" s="468" t="s">
        <v>9219</v>
      </c>
      <c r="K3401" s="468" t="s">
        <v>9219</v>
      </c>
      <c r="L3401" s="468" t="s">
        <v>2354</v>
      </c>
    </row>
    <row r="3402" spans="1:12" x14ac:dyDescent="0.25">
      <c r="A3402" s="468" t="s">
        <v>220</v>
      </c>
      <c r="B3402" s="468" t="s">
        <v>5430</v>
      </c>
      <c r="C3402" s="468" t="s">
        <v>7006</v>
      </c>
      <c r="D3402" s="468" t="s">
        <v>8390</v>
      </c>
      <c r="F3402" s="470">
        <v>2</v>
      </c>
      <c r="G3402" s="468">
        <v>41.814</v>
      </c>
      <c r="H3402" s="479">
        <v>83.628</v>
      </c>
      <c r="I3402" s="468" t="s">
        <v>9218</v>
      </c>
      <c r="J3402" s="468" t="s">
        <v>9219</v>
      </c>
      <c r="K3402" s="468" t="s">
        <v>9219</v>
      </c>
      <c r="L3402" s="468" t="s">
        <v>2354</v>
      </c>
    </row>
    <row r="3403" spans="1:12" x14ac:dyDescent="0.25">
      <c r="A3403" s="468" t="s">
        <v>220</v>
      </c>
      <c r="B3403" s="468" t="s">
        <v>5430</v>
      </c>
      <c r="C3403" s="468" t="s">
        <v>7014</v>
      </c>
      <c r="D3403" s="468" t="s">
        <v>8391</v>
      </c>
      <c r="F3403" s="470">
        <v>2</v>
      </c>
      <c r="G3403" s="468">
        <v>3.85</v>
      </c>
      <c r="H3403" s="479">
        <v>7.7</v>
      </c>
      <c r="I3403" s="468" t="s">
        <v>9218</v>
      </c>
      <c r="J3403" s="468" t="s">
        <v>9219</v>
      </c>
      <c r="K3403" s="468" t="s">
        <v>9219</v>
      </c>
      <c r="L3403" s="468" t="s">
        <v>2354</v>
      </c>
    </row>
    <row r="3404" spans="1:12" x14ac:dyDescent="0.25">
      <c r="A3404" s="468" t="s">
        <v>220</v>
      </c>
      <c r="B3404" s="468" t="s">
        <v>5430</v>
      </c>
      <c r="C3404" s="468" t="s">
        <v>8392</v>
      </c>
      <c r="D3404" s="468" t="s">
        <v>4529</v>
      </c>
      <c r="F3404" s="470">
        <v>3</v>
      </c>
      <c r="G3404" s="468">
        <v>92.9</v>
      </c>
      <c r="H3404" s="479">
        <v>278.70000000000005</v>
      </c>
      <c r="I3404" s="468" t="s">
        <v>9218</v>
      </c>
      <c r="J3404" s="468" t="s">
        <v>9219</v>
      </c>
      <c r="K3404" s="468" t="s">
        <v>9219</v>
      </c>
      <c r="L3404" s="468" t="s">
        <v>2354</v>
      </c>
    </row>
    <row r="3405" spans="1:12" x14ac:dyDescent="0.25">
      <c r="A3405" s="468" t="s">
        <v>220</v>
      </c>
      <c r="B3405" s="468" t="s">
        <v>5430</v>
      </c>
      <c r="C3405" s="468" t="s">
        <v>8393</v>
      </c>
      <c r="D3405" s="468" t="s">
        <v>4531</v>
      </c>
      <c r="F3405" s="470">
        <v>14</v>
      </c>
      <c r="G3405" s="468">
        <v>13.714</v>
      </c>
      <c r="H3405" s="479">
        <v>191.99600000000001</v>
      </c>
      <c r="I3405" s="468" t="s">
        <v>9218</v>
      </c>
      <c r="J3405" s="468" t="s">
        <v>9219</v>
      </c>
      <c r="K3405" s="468" t="s">
        <v>9219</v>
      </c>
      <c r="L3405" s="468" t="s">
        <v>2354</v>
      </c>
    </row>
    <row r="3406" spans="1:12" x14ac:dyDescent="0.25">
      <c r="A3406" s="468" t="s">
        <v>220</v>
      </c>
      <c r="B3406" s="468" t="s">
        <v>5430</v>
      </c>
      <c r="C3406" s="468" t="s">
        <v>8394</v>
      </c>
      <c r="D3406" s="468" t="s">
        <v>4533</v>
      </c>
      <c r="F3406" s="470">
        <v>4</v>
      </c>
      <c r="G3406" s="468">
        <v>49.009</v>
      </c>
      <c r="H3406" s="479">
        <v>196.036</v>
      </c>
      <c r="I3406" s="468" t="s">
        <v>9218</v>
      </c>
      <c r="J3406" s="468" t="s">
        <v>9219</v>
      </c>
      <c r="K3406" s="468" t="s">
        <v>9219</v>
      </c>
      <c r="L3406" s="468" t="s">
        <v>2354</v>
      </c>
    </row>
    <row r="3407" spans="1:12" x14ac:dyDescent="0.25">
      <c r="A3407" s="468" t="s">
        <v>220</v>
      </c>
      <c r="B3407" s="468" t="s">
        <v>5430</v>
      </c>
      <c r="C3407" s="468" t="s">
        <v>7020</v>
      </c>
      <c r="D3407" s="468" t="s">
        <v>8395</v>
      </c>
      <c r="F3407" s="470">
        <v>22</v>
      </c>
      <c r="G3407" s="468">
        <v>9.2050000000000001</v>
      </c>
      <c r="H3407" s="479">
        <v>202.51</v>
      </c>
      <c r="I3407" s="468" t="s">
        <v>9218</v>
      </c>
      <c r="J3407" s="468" t="s">
        <v>9219</v>
      </c>
      <c r="K3407" s="468" t="s">
        <v>9219</v>
      </c>
      <c r="L3407" s="468" t="s">
        <v>2354</v>
      </c>
    </row>
    <row r="3408" spans="1:12" x14ac:dyDescent="0.25">
      <c r="A3408" s="468" t="s">
        <v>220</v>
      </c>
      <c r="B3408" s="468" t="s">
        <v>5430</v>
      </c>
      <c r="C3408" s="468" t="s">
        <v>4550</v>
      </c>
      <c r="D3408" s="468" t="s">
        <v>8396</v>
      </c>
      <c r="F3408" s="470">
        <v>3</v>
      </c>
      <c r="G3408" s="468">
        <v>11.145</v>
      </c>
      <c r="H3408" s="479">
        <v>33.435000000000002</v>
      </c>
      <c r="I3408" s="468" t="s">
        <v>9218</v>
      </c>
      <c r="J3408" s="468" t="s">
        <v>9219</v>
      </c>
      <c r="K3408" s="468" t="s">
        <v>9219</v>
      </c>
      <c r="L3408" s="468" t="s">
        <v>2354</v>
      </c>
    </row>
    <row r="3409" spans="1:12" x14ac:dyDescent="0.25">
      <c r="A3409" s="468" t="s">
        <v>220</v>
      </c>
      <c r="B3409" s="468" t="s">
        <v>5430</v>
      </c>
      <c r="C3409" s="468" t="s">
        <v>4552</v>
      </c>
      <c r="D3409" s="468" t="s">
        <v>4553</v>
      </c>
      <c r="F3409" s="470">
        <v>18</v>
      </c>
      <c r="G3409" s="468">
        <v>1.3939999999999999</v>
      </c>
      <c r="H3409" s="479">
        <v>25.091999999999999</v>
      </c>
      <c r="I3409" s="468" t="s">
        <v>9218</v>
      </c>
      <c r="J3409" s="468" t="s">
        <v>9219</v>
      </c>
      <c r="K3409" s="468" t="s">
        <v>9219</v>
      </c>
      <c r="L3409" s="468" t="s">
        <v>2354</v>
      </c>
    </row>
    <row r="3410" spans="1:12" x14ac:dyDescent="0.25">
      <c r="A3410" s="468" t="s">
        <v>220</v>
      </c>
      <c r="B3410" s="468" t="s">
        <v>5430</v>
      </c>
      <c r="C3410" s="468" t="s">
        <v>4554</v>
      </c>
      <c r="D3410" s="468" t="s">
        <v>8397</v>
      </c>
      <c r="F3410" s="470">
        <v>7</v>
      </c>
      <c r="G3410" s="468">
        <v>10.648</v>
      </c>
      <c r="H3410" s="479">
        <v>74.536000000000001</v>
      </c>
      <c r="I3410" s="468" t="s">
        <v>9218</v>
      </c>
      <c r="J3410" s="468" t="s">
        <v>9219</v>
      </c>
      <c r="K3410" s="468" t="s">
        <v>9219</v>
      </c>
      <c r="L3410" s="468" t="s">
        <v>2354</v>
      </c>
    </row>
    <row r="3411" spans="1:12" x14ac:dyDescent="0.25">
      <c r="A3411" s="468" t="s">
        <v>220</v>
      </c>
      <c r="B3411" s="468" t="s">
        <v>5430</v>
      </c>
      <c r="C3411" s="468" t="s">
        <v>4556</v>
      </c>
      <c r="D3411" s="468" t="s">
        <v>4557</v>
      </c>
      <c r="F3411" s="470">
        <v>2</v>
      </c>
      <c r="G3411" s="468">
        <v>19.187999999999999</v>
      </c>
      <c r="H3411" s="479">
        <v>38.375999999999998</v>
      </c>
      <c r="I3411" s="468" t="s">
        <v>9218</v>
      </c>
      <c r="J3411" s="468" t="s">
        <v>9219</v>
      </c>
      <c r="K3411" s="468" t="s">
        <v>9219</v>
      </c>
      <c r="L3411" s="468" t="s">
        <v>2354</v>
      </c>
    </row>
    <row r="3412" spans="1:12" x14ac:dyDescent="0.25">
      <c r="A3412" s="468" t="s">
        <v>220</v>
      </c>
      <c r="B3412" s="468" t="s">
        <v>5430</v>
      </c>
      <c r="C3412" s="468" t="s">
        <v>7051</v>
      </c>
      <c r="D3412" s="468" t="s">
        <v>8398</v>
      </c>
      <c r="F3412" s="470">
        <v>6</v>
      </c>
      <c r="G3412" s="468">
        <v>62</v>
      </c>
      <c r="H3412" s="479">
        <v>372</v>
      </c>
      <c r="I3412" s="468" t="s">
        <v>9218</v>
      </c>
      <c r="J3412" s="468" t="s">
        <v>9219</v>
      </c>
      <c r="K3412" s="468" t="s">
        <v>9219</v>
      </c>
      <c r="L3412" s="468" t="s">
        <v>2354</v>
      </c>
    </row>
    <row r="3413" spans="1:12" x14ac:dyDescent="0.25">
      <c r="A3413" s="468" t="s">
        <v>220</v>
      </c>
      <c r="B3413" s="468" t="s">
        <v>5430</v>
      </c>
      <c r="C3413" s="468" t="s">
        <v>7053</v>
      </c>
      <c r="D3413" s="468" t="s">
        <v>8399</v>
      </c>
      <c r="F3413" s="470">
        <v>6</v>
      </c>
      <c r="G3413" s="468">
        <v>62</v>
      </c>
      <c r="H3413" s="479">
        <v>372</v>
      </c>
      <c r="I3413" s="468" t="s">
        <v>9218</v>
      </c>
      <c r="J3413" s="468" t="s">
        <v>9219</v>
      </c>
      <c r="K3413" s="468" t="s">
        <v>9219</v>
      </c>
      <c r="L3413" s="468" t="s">
        <v>2354</v>
      </c>
    </row>
    <row r="3414" spans="1:12" x14ac:dyDescent="0.25">
      <c r="A3414" s="468" t="s">
        <v>220</v>
      </c>
      <c r="B3414" s="468" t="s">
        <v>5430</v>
      </c>
      <c r="C3414" s="468" t="s">
        <v>4560</v>
      </c>
      <c r="D3414" s="468" t="s">
        <v>8400</v>
      </c>
      <c r="F3414" s="470">
        <v>5</v>
      </c>
      <c r="G3414" s="468">
        <v>8.9359999999999999</v>
      </c>
      <c r="H3414" s="479">
        <v>44.68</v>
      </c>
      <c r="I3414" s="468" t="s">
        <v>9218</v>
      </c>
      <c r="J3414" s="468" t="s">
        <v>9219</v>
      </c>
      <c r="K3414" s="468" t="s">
        <v>9219</v>
      </c>
      <c r="L3414" s="468" t="s">
        <v>2354</v>
      </c>
    </row>
    <row r="3415" spans="1:12" x14ac:dyDescent="0.25">
      <c r="A3415" s="468" t="s">
        <v>220</v>
      </c>
      <c r="B3415" s="468" t="s">
        <v>5430</v>
      </c>
      <c r="C3415" s="468" t="s">
        <v>7021</v>
      </c>
      <c r="D3415" s="468" t="s">
        <v>8401</v>
      </c>
      <c r="F3415" s="470">
        <v>2</v>
      </c>
      <c r="G3415" s="468">
        <v>19.085999999999999</v>
      </c>
      <c r="H3415" s="479">
        <v>38.171999999999997</v>
      </c>
      <c r="I3415" s="468" t="s">
        <v>9218</v>
      </c>
      <c r="J3415" s="468" t="s">
        <v>9219</v>
      </c>
      <c r="K3415" s="468" t="s">
        <v>9219</v>
      </c>
      <c r="L3415" s="468" t="s">
        <v>2354</v>
      </c>
    </row>
    <row r="3416" spans="1:12" x14ac:dyDescent="0.25">
      <c r="A3416" s="468" t="s">
        <v>220</v>
      </c>
      <c r="B3416" s="468" t="s">
        <v>5430</v>
      </c>
      <c r="C3416" s="468" t="s">
        <v>8402</v>
      </c>
      <c r="D3416" s="468" t="s">
        <v>8403</v>
      </c>
      <c r="F3416" s="470">
        <v>2</v>
      </c>
      <c r="G3416" s="468">
        <v>11.183999999999999</v>
      </c>
      <c r="H3416" s="479">
        <v>22.367999999999999</v>
      </c>
      <c r="I3416" s="468" t="s">
        <v>9218</v>
      </c>
      <c r="J3416" s="468" t="s">
        <v>9219</v>
      </c>
      <c r="K3416" s="468" t="s">
        <v>9219</v>
      </c>
      <c r="L3416" s="468" t="s">
        <v>2354</v>
      </c>
    </row>
    <row r="3417" spans="1:12" x14ac:dyDescent="0.25">
      <c r="A3417" s="468" t="s">
        <v>220</v>
      </c>
      <c r="B3417" s="468" t="s">
        <v>5430</v>
      </c>
      <c r="C3417" s="468" t="s">
        <v>7025</v>
      </c>
      <c r="D3417" s="468" t="s">
        <v>8404</v>
      </c>
      <c r="F3417" s="470">
        <v>1</v>
      </c>
      <c r="G3417" s="468">
        <v>39.695999999999998</v>
      </c>
      <c r="H3417" s="479">
        <v>39.695999999999998</v>
      </c>
      <c r="I3417" s="468" t="s">
        <v>9218</v>
      </c>
      <c r="J3417" s="468" t="s">
        <v>9219</v>
      </c>
      <c r="K3417" s="468" t="s">
        <v>9219</v>
      </c>
      <c r="L3417" s="468" t="s">
        <v>2354</v>
      </c>
    </row>
    <row r="3418" spans="1:12" x14ac:dyDescent="0.25">
      <c r="A3418" s="468" t="s">
        <v>220</v>
      </c>
      <c r="B3418" s="468" t="s">
        <v>5430</v>
      </c>
      <c r="C3418" s="468" t="s">
        <v>7029</v>
      </c>
      <c r="D3418" s="468" t="s">
        <v>8406</v>
      </c>
      <c r="F3418" s="470">
        <v>50</v>
      </c>
      <c r="G3418" s="468">
        <v>2.577</v>
      </c>
      <c r="H3418" s="479">
        <v>128.85</v>
      </c>
      <c r="I3418" s="468" t="s">
        <v>9218</v>
      </c>
      <c r="J3418" s="468" t="s">
        <v>9219</v>
      </c>
      <c r="K3418" s="468" t="s">
        <v>9219</v>
      </c>
      <c r="L3418" s="468" t="s">
        <v>2354</v>
      </c>
    </row>
    <row r="3419" spans="1:12" x14ac:dyDescent="0.25">
      <c r="A3419" s="468" t="s">
        <v>220</v>
      </c>
      <c r="B3419" s="468" t="s">
        <v>5430</v>
      </c>
      <c r="C3419" s="468" t="s">
        <v>7031</v>
      </c>
      <c r="D3419" s="468" t="s">
        <v>8407</v>
      </c>
      <c r="F3419" s="470">
        <v>3</v>
      </c>
      <c r="G3419" s="468">
        <v>20.16</v>
      </c>
      <c r="H3419" s="479">
        <v>60.480000000000004</v>
      </c>
      <c r="I3419" s="468" t="s">
        <v>9218</v>
      </c>
      <c r="J3419" s="468" t="s">
        <v>9219</v>
      </c>
      <c r="K3419" s="468" t="s">
        <v>9219</v>
      </c>
      <c r="L3419" s="468" t="s">
        <v>2354</v>
      </c>
    </row>
    <row r="3420" spans="1:12" x14ac:dyDescent="0.25">
      <c r="A3420" s="468" t="s">
        <v>220</v>
      </c>
      <c r="B3420" s="468" t="s">
        <v>5430</v>
      </c>
      <c r="C3420" s="468" t="s">
        <v>7033</v>
      </c>
      <c r="D3420" s="468" t="s">
        <v>8408</v>
      </c>
      <c r="F3420" s="470">
        <v>3</v>
      </c>
      <c r="G3420" s="468">
        <v>20.16</v>
      </c>
      <c r="H3420" s="479">
        <v>60.480000000000004</v>
      </c>
      <c r="I3420" s="468" t="s">
        <v>9218</v>
      </c>
      <c r="J3420" s="468" t="s">
        <v>9219</v>
      </c>
      <c r="K3420" s="468" t="s">
        <v>9219</v>
      </c>
      <c r="L3420" s="468" t="s">
        <v>2354</v>
      </c>
    </row>
    <row r="3421" spans="1:12" x14ac:dyDescent="0.25">
      <c r="A3421" s="468" t="s">
        <v>220</v>
      </c>
      <c r="B3421" s="468" t="s">
        <v>5430</v>
      </c>
      <c r="C3421" s="468" t="s">
        <v>7043</v>
      </c>
      <c r="D3421" s="468" t="s">
        <v>8409</v>
      </c>
      <c r="F3421" s="470">
        <v>1</v>
      </c>
      <c r="G3421" s="468">
        <v>93.05</v>
      </c>
      <c r="H3421" s="479">
        <v>93.05</v>
      </c>
      <c r="I3421" s="468" t="s">
        <v>9218</v>
      </c>
      <c r="J3421" s="468" t="s">
        <v>9219</v>
      </c>
      <c r="K3421" s="468" t="s">
        <v>9219</v>
      </c>
      <c r="L3421" s="468" t="s">
        <v>2354</v>
      </c>
    </row>
    <row r="3422" spans="1:12" x14ac:dyDescent="0.25">
      <c r="A3422" s="468" t="s">
        <v>220</v>
      </c>
      <c r="B3422" s="468" t="s">
        <v>5430</v>
      </c>
      <c r="C3422" s="468" t="s">
        <v>7045</v>
      </c>
      <c r="D3422" s="468" t="s">
        <v>8410</v>
      </c>
      <c r="F3422" s="470">
        <v>1</v>
      </c>
      <c r="G3422" s="468">
        <v>233.38200000000001</v>
      </c>
      <c r="H3422" s="479">
        <v>233.38200000000001</v>
      </c>
      <c r="I3422" s="468" t="s">
        <v>9218</v>
      </c>
      <c r="J3422" s="468" t="s">
        <v>9219</v>
      </c>
      <c r="K3422" s="468" t="s">
        <v>9219</v>
      </c>
      <c r="L3422" s="468" t="s">
        <v>2354</v>
      </c>
    </row>
    <row r="3423" spans="1:12" x14ac:dyDescent="0.25">
      <c r="A3423" s="468" t="s">
        <v>220</v>
      </c>
      <c r="B3423" s="468" t="s">
        <v>5430</v>
      </c>
      <c r="C3423" s="468" t="s">
        <v>7047</v>
      </c>
      <c r="D3423" s="468" t="s">
        <v>8411</v>
      </c>
      <c r="F3423" s="470">
        <v>10</v>
      </c>
      <c r="G3423" s="468">
        <v>9.766</v>
      </c>
      <c r="H3423" s="479">
        <v>97.66</v>
      </c>
      <c r="I3423" s="468" t="s">
        <v>9218</v>
      </c>
      <c r="J3423" s="468" t="s">
        <v>9219</v>
      </c>
      <c r="K3423" s="468" t="s">
        <v>9219</v>
      </c>
      <c r="L3423" s="468" t="s">
        <v>2354</v>
      </c>
    </row>
    <row r="3424" spans="1:12" x14ac:dyDescent="0.25">
      <c r="A3424" s="468" t="s">
        <v>220</v>
      </c>
      <c r="B3424" s="468" t="s">
        <v>5430</v>
      </c>
      <c r="C3424" s="468" t="s">
        <v>7051</v>
      </c>
      <c r="D3424" s="468" t="s">
        <v>8412</v>
      </c>
      <c r="F3424" s="470">
        <v>5</v>
      </c>
      <c r="G3424" s="468">
        <v>28.792000000000002</v>
      </c>
      <c r="H3424" s="479">
        <v>143.96</v>
      </c>
      <c r="I3424" s="468" t="s">
        <v>9218</v>
      </c>
      <c r="J3424" s="468" t="s">
        <v>9219</v>
      </c>
      <c r="K3424" s="468" t="s">
        <v>9219</v>
      </c>
      <c r="L3424" s="468" t="s">
        <v>2354</v>
      </c>
    </row>
    <row r="3425" spans="1:12" x14ac:dyDescent="0.25">
      <c r="A3425" s="468" t="s">
        <v>220</v>
      </c>
      <c r="B3425" s="468" t="s">
        <v>5430</v>
      </c>
      <c r="C3425" s="468" t="s">
        <v>7053</v>
      </c>
      <c r="D3425" s="468" t="s">
        <v>8413</v>
      </c>
      <c r="F3425" s="470">
        <v>7</v>
      </c>
      <c r="G3425" s="468">
        <v>29.617000000000001</v>
      </c>
      <c r="H3425" s="479">
        <v>207.31900000000002</v>
      </c>
      <c r="I3425" s="468" t="s">
        <v>9218</v>
      </c>
      <c r="J3425" s="468" t="s">
        <v>9219</v>
      </c>
      <c r="K3425" s="468" t="s">
        <v>9219</v>
      </c>
      <c r="L3425" s="468" t="s">
        <v>2354</v>
      </c>
    </row>
    <row r="3426" spans="1:12" x14ac:dyDescent="0.25">
      <c r="A3426" s="468" t="s">
        <v>220</v>
      </c>
      <c r="B3426" s="468" t="s">
        <v>5430</v>
      </c>
      <c r="C3426" s="468" t="s">
        <v>7055</v>
      </c>
      <c r="D3426" s="468" t="s">
        <v>8414</v>
      </c>
      <c r="F3426" s="470">
        <v>1</v>
      </c>
      <c r="G3426" s="468">
        <v>284</v>
      </c>
      <c r="H3426" s="479">
        <v>284</v>
      </c>
      <c r="I3426" s="468" t="s">
        <v>9218</v>
      </c>
      <c r="J3426" s="468" t="s">
        <v>9219</v>
      </c>
      <c r="K3426" s="468" t="s">
        <v>9219</v>
      </c>
      <c r="L3426" s="468" t="s">
        <v>2354</v>
      </c>
    </row>
    <row r="3427" spans="1:12" x14ac:dyDescent="0.25">
      <c r="A3427" s="468" t="s">
        <v>220</v>
      </c>
      <c r="B3427" s="468" t="s">
        <v>5430</v>
      </c>
      <c r="C3427" s="468" t="s">
        <v>7057</v>
      </c>
      <c r="D3427" s="468" t="s">
        <v>8415</v>
      </c>
      <c r="F3427" s="470">
        <v>15</v>
      </c>
      <c r="G3427" s="468">
        <v>8.9169999999999998</v>
      </c>
      <c r="H3427" s="479">
        <v>133.755</v>
      </c>
      <c r="I3427" s="468" t="s">
        <v>9218</v>
      </c>
      <c r="J3427" s="468" t="s">
        <v>9219</v>
      </c>
      <c r="K3427" s="468" t="s">
        <v>9219</v>
      </c>
      <c r="L3427" s="468" t="s">
        <v>2354</v>
      </c>
    </row>
    <row r="3428" spans="1:12" x14ac:dyDescent="0.25">
      <c r="A3428" s="468" t="s">
        <v>220</v>
      </c>
      <c r="B3428" s="468" t="s">
        <v>5430</v>
      </c>
      <c r="C3428" s="468" t="s">
        <v>7067</v>
      </c>
      <c r="D3428" s="468" t="s">
        <v>8416</v>
      </c>
      <c r="F3428" s="470">
        <v>1</v>
      </c>
      <c r="G3428" s="468">
        <v>1.089</v>
      </c>
      <c r="H3428" s="479">
        <v>1.089</v>
      </c>
      <c r="I3428" s="468" t="s">
        <v>9218</v>
      </c>
      <c r="J3428" s="468" t="s">
        <v>9219</v>
      </c>
      <c r="K3428" s="468" t="s">
        <v>9219</v>
      </c>
      <c r="L3428" s="468" t="s">
        <v>2354</v>
      </c>
    </row>
    <row r="3429" spans="1:12" x14ac:dyDescent="0.25">
      <c r="A3429" s="468" t="s">
        <v>220</v>
      </c>
      <c r="B3429" s="468" t="s">
        <v>5430</v>
      </c>
      <c r="C3429" s="468" t="s">
        <v>7069</v>
      </c>
      <c r="D3429" s="468" t="s">
        <v>8417</v>
      </c>
      <c r="F3429" s="470">
        <v>1</v>
      </c>
      <c r="G3429" s="468">
        <v>365.5</v>
      </c>
      <c r="H3429" s="479">
        <v>365.5</v>
      </c>
      <c r="I3429" s="468" t="s">
        <v>9218</v>
      </c>
      <c r="J3429" s="468" t="s">
        <v>9219</v>
      </c>
      <c r="K3429" s="468" t="s">
        <v>9219</v>
      </c>
      <c r="L3429" s="468" t="s">
        <v>2354</v>
      </c>
    </row>
    <row r="3430" spans="1:12" x14ac:dyDescent="0.25">
      <c r="A3430" s="468" t="s">
        <v>220</v>
      </c>
      <c r="B3430" s="468" t="s">
        <v>5430</v>
      </c>
      <c r="C3430" s="468" t="s">
        <v>7071</v>
      </c>
      <c r="D3430" s="468" t="s">
        <v>8418</v>
      </c>
      <c r="F3430" s="470">
        <v>1</v>
      </c>
      <c r="G3430" s="468">
        <v>833.5</v>
      </c>
      <c r="H3430" s="479">
        <v>833.5</v>
      </c>
      <c r="I3430" s="468" t="s">
        <v>9218</v>
      </c>
      <c r="J3430" s="468" t="s">
        <v>9219</v>
      </c>
      <c r="K3430" s="468" t="s">
        <v>9219</v>
      </c>
      <c r="L3430" s="468" t="s">
        <v>2354</v>
      </c>
    </row>
    <row r="3431" spans="1:12" x14ac:dyDescent="0.25">
      <c r="A3431" s="468" t="s">
        <v>220</v>
      </c>
      <c r="B3431" s="468" t="s">
        <v>5430</v>
      </c>
      <c r="C3431" s="468" t="s">
        <v>7073</v>
      </c>
      <c r="D3431" s="468" t="s">
        <v>8419</v>
      </c>
      <c r="F3431" s="470">
        <v>1</v>
      </c>
      <c r="G3431" s="468">
        <v>667.68</v>
      </c>
      <c r="H3431" s="479">
        <v>667.68</v>
      </c>
      <c r="I3431" s="468" t="s">
        <v>9218</v>
      </c>
      <c r="J3431" s="468" t="s">
        <v>9219</v>
      </c>
      <c r="K3431" s="468" t="s">
        <v>9219</v>
      </c>
      <c r="L3431" s="468" t="s">
        <v>2354</v>
      </c>
    </row>
    <row r="3432" spans="1:12" x14ac:dyDescent="0.25">
      <c r="A3432" s="468" t="s">
        <v>220</v>
      </c>
      <c r="B3432" s="468" t="s">
        <v>5430</v>
      </c>
      <c r="C3432" s="468" t="s">
        <v>7075</v>
      </c>
      <c r="D3432" s="468" t="s">
        <v>7076</v>
      </c>
      <c r="F3432" s="470">
        <v>4</v>
      </c>
      <c r="G3432" s="468">
        <v>24.48</v>
      </c>
      <c r="H3432" s="479">
        <v>97.92</v>
      </c>
      <c r="I3432" s="468" t="s">
        <v>9218</v>
      </c>
      <c r="J3432" s="468" t="s">
        <v>9219</v>
      </c>
      <c r="K3432" s="468" t="s">
        <v>9219</v>
      </c>
      <c r="L3432" s="468" t="s">
        <v>2354</v>
      </c>
    </row>
    <row r="3433" spans="1:12" x14ac:dyDescent="0.25">
      <c r="A3433" s="468" t="s">
        <v>220</v>
      </c>
      <c r="B3433" s="468" t="s">
        <v>5430</v>
      </c>
      <c r="C3433" s="468" t="s">
        <v>8420</v>
      </c>
      <c r="D3433" s="468" t="s">
        <v>8421</v>
      </c>
      <c r="F3433" s="470">
        <v>4</v>
      </c>
      <c r="G3433" s="468">
        <v>34.496000000000002</v>
      </c>
      <c r="H3433" s="479">
        <v>137.98400000000001</v>
      </c>
      <c r="I3433" s="468" t="s">
        <v>9218</v>
      </c>
      <c r="J3433" s="468" t="s">
        <v>9219</v>
      </c>
      <c r="K3433" s="468" t="s">
        <v>9219</v>
      </c>
      <c r="L3433" s="468" t="s">
        <v>2354</v>
      </c>
    </row>
    <row r="3434" spans="1:12" x14ac:dyDescent="0.25">
      <c r="A3434" s="468" t="s">
        <v>220</v>
      </c>
      <c r="B3434" s="468" t="s">
        <v>5430</v>
      </c>
      <c r="C3434" s="468" t="s">
        <v>7079</v>
      </c>
      <c r="D3434" s="468" t="s">
        <v>8422</v>
      </c>
      <c r="F3434" s="470">
        <v>3</v>
      </c>
      <c r="G3434" s="468">
        <v>22.109000000000002</v>
      </c>
      <c r="H3434" s="479">
        <v>66.326999999999998</v>
      </c>
      <c r="I3434" s="468" t="s">
        <v>9218</v>
      </c>
      <c r="J3434" s="468" t="s">
        <v>9219</v>
      </c>
      <c r="K3434" s="468" t="s">
        <v>9219</v>
      </c>
      <c r="L3434" s="468" t="s">
        <v>2354</v>
      </c>
    </row>
    <row r="3435" spans="1:12" x14ac:dyDescent="0.25">
      <c r="A3435" s="468" t="s">
        <v>220</v>
      </c>
      <c r="B3435" s="468" t="s">
        <v>5430</v>
      </c>
      <c r="C3435" s="468" t="s">
        <v>7083</v>
      </c>
      <c r="D3435" s="468" t="s">
        <v>8423</v>
      </c>
      <c r="F3435" s="470">
        <v>16</v>
      </c>
      <c r="G3435" s="468">
        <v>16.242000000000001</v>
      </c>
      <c r="H3435" s="479">
        <v>259.87200000000001</v>
      </c>
      <c r="I3435" s="468" t="s">
        <v>9218</v>
      </c>
      <c r="J3435" s="468" t="s">
        <v>9219</v>
      </c>
      <c r="K3435" s="468" t="s">
        <v>9219</v>
      </c>
      <c r="L3435" s="468" t="s">
        <v>2354</v>
      </c>
    </row>
    <row r="3436" spans="1:12" x14ac:dyDescent="0.25">
      <c r="A3436" s="468" t="s">
        <v>220</v>
      </c>
      <c r="B3436" s="468" t="s">
        <v>5430</v>
      </c>
      <c r="C3436" s="468" t="s">
        <v>7091</v>
      </c>
      <c r="D3436" s="468" t="s">
        <v>8424</v>
      </c>
      <c r="F3436" s="470">
        <v>2</v>
      </c>
      <c r="G3436" s="468">
        <v>13.64</v>
      </c>
      <c r="H3436" s="479">
        <v>27.28</v>
      </c>
      <c r="I3436" s="468" t="s">
        <v>9218</v>
      </c>
      <c r="J3436" s="468" t="s">
        <v>9219</v>
      </c>
      <c r="K3436" s="468" t="s">
        <v>9219</v>
      </c>
      <c r="L3436" s="468" t="s">
        <v>2354</v>
      </c>
    </row>
    <row r="3437" spans="1:12" x14ac:dyDescent="0.25">
      <c r="A3437" s="468" t="s">
        <v>220</v>
      </c>
      <c r="B3437" s="468" t="s">
        <v>5430</v>
      </c>
      <c r="C3437" s="468" t="s">
        <v>7093</v>
      </c>
      <c r="D3437" s="468" t="s">
        <v>7094</v>
      </c>
      <c r="F3437" s="470">
        <v>1</v>
      </c>
      <c r="G3437" s="468">
        <v>7.6959999999999997</v>
      </c>
      <c r="H3437" s="479">
        <v>7.6959999999999997</v>
      </c>
      <c r="I3437" s="468" t="s">
        <v>9218</v>
      </c>
      <c r="J3437" s="468" t="s">
        <v>9219</v>
      </c>
      <c r="K3437" s="468" t="s">
        <v>9219</v>
      </c>
      <c r="L3437" s="468" t="s">
        <v>2354</v>
      </c>
    </row>
    <row r="3438" spans="1:12" x14ac:dyDescent="0.25">
      <c r="A3438" s="468" t="s">
        <v>220</v>
      </c>
      <c r="B3438" s="468" t="s">
        <v>5430</v>
      </c>
      <c r="C3438" s="468" t="s">
        <v>8425</v>
      </c>
      <c r="D3438" s="468" t="s">
        <v>8426</v>
      </c>
      <c r="F3438" s="470">
        <v>0.5</v>
      </c>
      <c r="G3438" s="468">
        <v>80.73</v>
      </c>
      <c r="H3438" s="479">
        <v>40.365000000000002</v>
      </c>
      <c r="I3438" s="468" t="s">
        <v>9218</v>
      </c>
      <c r="J3438" s="468" t="s">
        <v>9219</v>
      </c>
      <c r="K3438" s="468" t="s">
        <v>9219</v>
      </c>
      <c r="L3438" s="468" t="s">
        <v>2354</v>
      </c>
    </row>
    <row r="3439" spans="1:12" x14ac:dyDescent="0.25">
      <c r="A3439" s="468" t="s">
        <v>220</v>
      </c>
      <c r="B3439" s="468" t="s">
        <v>5430</v>
      </c>
      <c r="C3439" s="468" t="s">
        <v>7129</v>
      </c>
      <c r="D3439" s="468" t="s">
        <v>8427</v>
      </c>
      <c r="F3439" s="470">
        <v>44</v>
      </c>
      <c r="G3439" s="468">
        <v>6.2</v>
      </c>
      <c r="H3439" s="479">
        <v>272.8</v>
      </c>
      <c r="I3439" s="468" t="s">
        <v>9218</v>
      </c>
      <c r="J3439" s="468" t="s">
        <v>9219</v>
      </c>
      <c r="K3439" s="468" t="s">
        <v>9219</v>
      </c>
      <c r="L3439" s="468" t="s">
        <v>2354</v>
      </c>
    </row>
    <row r="3440" spans="1:12" x14ac:dyDescent="0.25">
      <c r="A3440" s="468" t="s">
        <v>220</v>
      </c>
      <c r="B3440" s="468" t="s">
        <v>5430</v>
      </c>
      <c r="C3440" s="468" t="s">
        <v>7131</v>
      </c>
      <c r="D3440" s="468" t="s">
        <v>8428</v>
      </c>
      <c r="F3440" s="470">
        <v>8</v>
      </c>
      <c r="G3440" s="468">
        <v>20</v>
      </c>
      <c r="H3440" s="479">
        <v>160</v>
      </c>
      <c r="I3440" s="468" t="s">
        <v>9218</v>
      </c>
      <c r="J3440" s="468" t="s">
        <v>9219</v>
      </c>
      <c r="K3440" s="468" t="s">
        <v>9219</v>
      </c>
      <c r="L3440" s="468" t="s">
        <v>2354</v>
      </c>
    </row>
    <row r="3441" spans="1:12" x14ac:dyDescent="0.25">
      <c r="A3441" s="468" t="s">
        <v>220</v>
      </c>
      <c r="B3441" s="468" t="s">
        <v>5430</v>
      </c>
      <c r="C3441" s="468" t="s">
        <v>7142</v>
      </c>
      <c r="D3441" s="468" t="s">
        <v>8429</v>
      </c>
      <c r="F3441" s="470">
        <v>1</v>
      </c>
      <c r="H3441" s="479">
        <v>0</v>
      </c>
      <c r="I3441" s="468" t="s">
        <v>9218</v>
      </c>
      <c r="J3441" s="468" t="s">
        <v>9219</v>
      </c>
      <c r="K3441" s="468" t="s">
        <v>9219</v>
      </c>
      <c r="L3441" s="468" t="s">
        <v>2354</v>
      </c>
    </row>
    <row r="3442" spans="1:12" x14ac:dyDescent="0.25">
      <c r="A3442" s="468" t="s">
        <v>220</v>
      </c>
      <c r="B3442" s="468" t="s">
        <v>5430</v>
      </c>
      <c r="C3442" s="468" t="s">
        <v>7144</v>
      </c>
      <c r="D3442" s="468" t="s">
        <v>8430</v>
      </c>
      <c r="F3442" s="470">
        <v>1</v>
      </c>
      <c r="G3442" s="468">
        <v>38.46</v>
      </c>
      <c r="H3442" s="479">
        <v>38.46</v>
      </c>
      <c r="I3442" s="468" t="s">
        <v>9218</v>
      </c>
      <c r="J3442" s="468" t="s">
        <v>9219</v>
      </c>
      <c r="K3442" s="468" t="s">
        <v>9219</v>
      </c>
      <c r="L3442" s="468" t="s">
        <v>2354</v>
      </c>
    </row>
    <row r="3443" spans="1:12" x14ac:dyDescent="0.25">
      <c r="A3443" s="468" t="s">
        <v>220</v>
      </c>
      <c r="B3443" s="468" t="s">
        <v>5430</v>
      </c>
      <c r="C3443" s="468" t="s">
        <v>7146</v>
      </c>
      <c r="D3443" s="468" t="s">
        <v>8431</v>
      </c>
      <c r="F3443" s="470">
        <v>2</v>
      </c>
      <c r="G3443" s="468">
        <v>32.965000000000003</v>
      </c>
      <c r="H3443" s="479">
        <v>65.930000000000007</v>
      </c>
      <c r="I3443" s="468" t="s">
        <v>9218</v>
      </c>
      <c r="J3443" s="468" t="s">
        <v>9219</v>
      </c>
      <c r="K3443" s="468" t="s">
        <v>9219</v>
      </c>
      <c r="L3443" s="468" t="s">
        <v>2354</v>
      </c>
    </row>
    <row r="3444" spans="1:12" x14ac:dyDescent="0.25">
      <c r="A3444" s="468" t="s">
        <v>220</v>
      </c>
      <c r="B3444" s="468" t="s">
        <v>5430</v>
      </c>
      <c r="C3444" s="468" t="s">
        <v>7148</v>
      </c>
      <c r="D3444" s="468" t="s">
        <v>8432</v>
      </c>
      <c r="F3444" s="470">
        <v>2</v>
      </c>
      <c r="G3444" s="468">
        <v>16.483000000000001</v>
      </c>
      <c r="H3444" s="479">
        <v>32.966000000000001</v>
      </c>
      <c r="I3444" s="468" t="s">
        <v>9218</v>
      </c>
      <c r="J3444" s="468" t="s">
        <v>9219</v>
      </c>
      <c r="K3444" s="468" t="s">
        <v>9219</v>
      </c>
      <c r="L3444" s="468" t="s">
        <v>2354</v>
      </c>
    </row>
    <row r="3445" spans="1:12" x14ac:dyDescent="0.25">
      <c r="A3445" s="468" t="s">
        <v>220</v>
      </c>
      <c r="B3445" s="468" t="s">
        <v>5430</v>
      </c>
      <c r="C3445" s="468" t="s">
        <v>7150</v>
      </c>
      <c r="D3445" s="468" t="s">
        <v>8433</v>
      </c>
      <c r="F3445" s="470">
        <v>1</v>
      </c>
      <c r="G3445" s="468">
        <v>21.978000000000002</v>
      </c>
      <c r="H3445" s="479">
        <v>21.978000000000002</v>
      </c>
      <c r="I3445" s="468" t="s">
        <v>9218</v>
      </c>
      <c r="J3445" s="468" t="s">
        <v>9219</v>
      </c>
      <c r="K3445" s="468" t="s">
        <v>9219</v>
      </c>
      <c r="L3445" s="468" t="s">
        <v>2354</v>
      </c>
    </row>
    <row r="3446" spans="1:12" x14ac:dyDescent="0.25">
      <c r="A3446" s="468" t="s">
        <v>220</v>
      </c>
      <c r="B3446" s="468" t="s">
        <v>5430</v>
      </c>
      <c r="C3446" s="468" t="s">
        <v>7155</v>
      </c>
      <c r="D3446" s="468" t="s">
        <v>8434</v>
      </c>
      <c r="F3446" s="470">
        <v>28</v>
      </c>
      <c r="G3446" s="468">
        <v>38</v>
      </c>
      <c r="H3446" s="479">
        <v>1064</v>
      </c>
      <c r="I3446" s="468" t="s">
        <v>9218</v>
      </c>
      <c r="J3446" s="468" t="s">
        <v>9219</v>
      </c>
      <c r="K3446" s="468" t="s">
        <v>9219</v>
      </c>
      <c r="L3446" s="468" t="s">
        <v>2354</v>
      </c>
    </row>
    <row r="3447" spans="1:12" x14ac:dyDescent="0.25">
      <c r="A3447" s="468" t="s">
        <v>220</v>
      </c>
      <c r="B3447" s="468" t="s">
        <v>5430</v>
      </c>
      <c r="C3447" s="468" t="s">
        <v>7157</v>
      </c>
      <c r="D3447" s="468" t="s">
        <v>8435</v>
      </c>
      <c r="F3447" s="470">
        <v>1</v>
      </c>
      <c r="G3447" s="468">
        <v>350</v>
      </c>
      <c r="H3447" s="479">
        <v>350</v>
      </c>
      <c r="I3447" s="468" t="s">
        <v>9218</v>
      </c>
      <c r="J3447" s="468" t="s">
        <v>9219</v>
      </c>
      <c r="K3447" s="468" t="s">
        <v>9219</v>
      </c>
      <c r="L3447" s="468" t="s">
        <v>2354</v>
      </c>
    </row>
    <row r="3448" spans="1:12" x14ac:dyDescent="0.25">
      <c r="A3448" s="468" t="s">
        <v>220</v>
      </c>
      <c r="B3448" s="468" t="s">
        <v>5430</v>
      </c>
      <c r="C3448" s="468" t="s">
        <v>7159</v>
      </c>
      <c r="D3448" s="468" t="s">
        <v>8436</v>
      </c>
      <c r="F3448" s="470">
        <v>7</v>
      </c>
      <c r="G3448" s="468">
        <v>52.52</v>
      </c>
      <c r="H3448" s="479">
        <v>367.64000000000004</v>
      </c>
      <c r="I3448" s="468" t="s">
        <v>9218</v>
      </c>
      <c r="J3448" s="468" t="s">
        <v>9219</v>
      </c>
      <c r="K3448" s="468" t="s">
        <v>9219</v>
      </c>
      <c r="L3448" s="468" t="s">
        <v>2354</v>
      </c>
    </row>
    <row r="3449" spans="1:12" x14ac:dyDescent="0.25">
      <c r="A3449" s="468" t="s">
        <v>220</v>
      </c>
      <c r="B3449" s="468" t="s">
        <v>5430</v>
      </c>
      <c r="C3449" s="468" t="s">
        <v>7190</v>
      </c>
      <c r="D3449" s="468" t="s">
        <v>8437</v>
      </c>
      <c r="F3449" s="470">
        <v>10</v>
      </c>
      <c r="G3449" s="468">
        <v>3.0489999999999999</v>
      </c>
      <c r="H3449" s="479">
        <v>30.49</v>
      </c>
      <c r="I3449" s="468" t="s">
        <v>9218</v>
      </c>
      <c r="J3449" s="468" t="s">
        <v>9219</v>
      </c>
      <c r="K3449" s="468" t="s">
        <v>9219</v>
      </c>
      <c r="L3449" s="468" t="s">
        <v>2354</v>
      </c>
    </row>
    <row r="3450" spans="1:12" x14ac:dyDescent="0.25">
      <c r="A3450" s="468" t="s">
        <v>220</v>
      </c>
      <c r="B3450" s="468" t="s">
        <v>5430</v>
      </c>
      <c r="C3450" s="468" t="s">
        <v>8438</v>
      </c>
      <c r="D3450" s="468" t="s">
        <v>8439</v>
      </c>
      <c r="F3450" s="470">
        <v>4</v>
      </c>
      <c r="G3450" s="468">
        <v>2.536</v>
      </c>
      <c r="H3450" s="479">
        <v>10.144</v>
      </c>
      <c r="I3450" s="468" t="s">
        <v>9218</v>
      </c>
      <c r="J3450" s="468" t="s">
        <v>9219</v>
      </c>
      <c r="K3450" s="468" t="s">
        <v>9219</v>
      </c>
      <c r="L3450" s="468" t="s">
        <v>2354</v>
      </c>
    </row>
    <row r="3451" spans="1:12" x14ac:dyDescent="0.25">
      <c r="A3451" s="468" t="s">
        <v>220</v>
      </c>
      <c r="B3451" s="468" t="s">
        <v>5430</v>
      </c>
      <c r="C3451" s="468" t="s">
        <v>8440</v>
      </c>
      <c r="D3451" s="468" t="s">
        <v>8441</v>
      </c>
      <c r="F3451" s="470">
        <v>8</v>
      </c>
      <c r="G3451" s="468">
        <v>426.08</v>
      </c>
      <c r="H3451" s="479">
        <v>3408.64</v>
      </c>
      <c r="I3451" s="468" t="s">
        <v>9218</v>
      </c>
      <c r="J3451" s="468" t="s">
        <v>9219</v>
      </c>
      <c r="K3451" s="468" t="s">
        <v>9219</v>
      </c>
      <c r="L3451" s="468" t="s">
        <v>2354</v>
      </c>
    </row>
    <row r="3452" spans="1:12" x14ac:dyDescent="0.25">
      <c r="A3452" s="468" t="s">
        <v>220</v>
      </c>
      <c r="B3452" s="468" t="s">
        <v>5430</v>
      </c>
      <c r="C3452" s="468" t="s">
        <v>8442</v>
      </c>
      <c r="D3452" s="468" t="s">
        <v>8443</v>
      </c>
      <c r="F3452" s="470">
        <v>1</v>
      </c>
      <c r="G3452" s="468">
        <v>31.756</v>
      </c>
      <c r="H3452" s="479">
        <v>31.756</v>
      </c>
      <c r="I3452" s="468" t="s">
        <v>9218</v>
      </c>
      <c r="J3452" s="468" t="s">
        <v>9219</v>
      </c>
      <c r="K3452" s="468" t="s">
        <v>9219</v>
      </c>
      <c r="L3452" s="468" t="s">
        <v>2354</v>
      </c>
    </row>
    <row r="3453" spans="1:12" x14ac:dyDescent="0.25">
      <c r="A3453" s="468" t="s">
        <v>220</v>
      </c>
      <c r="B3453" s="468" t="s">
        <v>5430</v>
      </c>
      <c r="C3453" s="468" t="s">
        <v>7214</v>
      </c>
      <c r="D3453" s="468" t="s">
        <v>8444</v>
      </c>
      <c r="F3453" s="470">
        <v>12</v>
      </c>
      <c r="G3453" s="468">
        <v>22.725000000000001</v>
      </c>
      <c r="H3453" s="479">
        <v>272.70000000000005</v>
      </c>
      <c r="I3453" s="468" t="s">
        <v>9218</v>
      </c>
      <c r="J3453" s="468" t="s">
        <v>9219</v>
      </c>
      <c r="K3453" s="468" t="s">
        <v>9219</v>
      </c>
      <c r="L3453" s="468" t="s">
        <v>2354</v>
      </c>
    </row>
    <row r="3454" spans="1:12" x14ac:dyDescent="0.25">
      <c r="A3454" s="468" t="s">
        <v>220</v>
      </c>
      <c r="B3454" s="468" t="s">
        <v>5430</v>
      </c>
      <c r="C3454" s="468" t="s">
        <v>7225</v>
      </c>
      <c r="D3454" s="468" t="s">
        <v>8445</v>
      </c>
      <c r="F3454" s="470">
        <v>1</v>
      </c>
      <c r="G3454" s="468">
        <v>54.99</v>
      </c>
      <c r="H3454" s="479">
        <v>54.99</v>
      </c>
      <c r="I3454" s="468" t="s">
        <v>9218</v>
      </c>
      <c r="J3454" s="468" t="s">
        <v>9219</v>
      </c>
      <c r="K3454" s="468" t="s">
        <v>9219</v>
      </c>
      <c r="L3454" s="468" t="s">
        <v>2354</v>
      </c>
    </row>
    <row r="3455" spans="1:12" x14ac:dyDescent="0.25">
      <c r="A3455" s="468" t="s">
        <v>220</v>
      </c>
      <c r="B3455" s="468" t="s">
        <v>5430</v>
      </c>
      <c r="C3455" s="468" t="s">
        <v>7227</v>
      </c>
      <c r="D3455" s="468" t="s">
        <v>8446</v>
      </c>
      <c r="F3455" s="470">
        <v>1</v>
      </c>
      <c r="G3455" s="468">
        <v>6.4349999999999996</v>
      </c>
      <c r="H3455" s="479">
        <v>6.4349999999999996</v>
      </c>
      <c r="I3455" s="468" t="s">
        <v>9218</v>
      </c>
      <c r="J3455" s="468" t="s">
        <v>9219</v>
      </c>
      <c r="K3455" s="468" t="s">
        <v>9219</v>
      </c>
      <c r="L3455" s="468" t="s">
        <v>2354</v>
      </c>
    </row>
    <row r="3456" spans="1:12" x14ac:dyDescent="0.25">
      <c r="A3456" s="468" t="s">
        <v>220</v>
      </c>
      <c r="B3456" s="468" t="s">
        <v>5430</v>
      </c>
      <c r="C3456" s="468" t="s">
        <v>7229</v>
      </c>
      <c r="D3456" s="468" t="s">
        <v>8447</v>
      </c>
      <c r="F3456" s="470">
        <v>8</v>
      </c>
      <c r="G3456" s="468">
        <v>28</v>
      </c>
      <c r="H3456" s="479">
        <v>224</v>
      </c>
      <c r="I3456" s="468" t="s">
        <v>9218</v>
      </c>
      <c r="J3456" s="468" t="s">
        <v>9219</v>
      </c>
      <c r="K3456" s="468" t="s">
        <v>9219</v>
      </c>
      <c r="L3456" s="468" t="s">
        <v>2354</v>
      </c>
    </row>
    <row r="3457" spans="1:12" x14ac:dyDescent="0.25">
      <c r="A3457" s="468" t="s">
        <v>220</v>
      </c>
      <c r="B3457" s="468" t="s">
        <v>5430</v>
      </c>
      <c r="C3457" s="468" t="s">
        <v>7231</v>
      </c>
      <c r="D3457" s="468" t="s">
        <v>8448</v>
      </c>
      <c r="F3457" s="470">
        <v>10</v>
      </c>
      <c r="G3457" s="468">
        <v>25.65</v>
      </c>
      <c r="H3457" s="479">
        <v>256.5</v>
      </c>
      <c r="I3457" s="468" t="s">
        <v>9218</v>
      </c>
      <c r="J3457" s="468" t="s">
        <v>9219</v>
      </c>
      <c r="K3457" s="468" t="s">
        <v>9219</v>
      </c>
      <c r="L3457" s="468" t="s">
        <v>2354</v>
      </c>
    </row>
    <row r="3458" spans="1:12" x14ac:dyDescent="0.25">
      <c r="A3458" s="468" t="s">
        <v>220</v>
      </c>
      <c r="B3458" s="468" t="s">
        <v>5430</v>
      </c>
      <c r="C3458" s="468" t="s">
        <v>7235</v>
      </c>
      <c r="D3458" s="468" t="s">
        <v>8449</v>
      </c>
      <c r="F3458" s="470">
        <v>100</v>
      </c>
      <c r="G3458" s="468">
        <v>13.736000000000001</v>
      </c>
      <c r="H3458" s="479">
        <v>1373.6000000000001</v>
      </c>
      <c r="I3458" s="468" t="s">
        <v>9218</v>
      </c>
      <c r="J3458" s="468" t="s">
        <v>9219</v>
      </c>
      <c r="K3458" s="468" t="s">
        <v>9219</v>
      </c>
      <c r="L3458" s="468" t="s">
        <v>2354</v>
      </c>
    </row>
    <row r="3459" spans="1:12" x14ac:dyDescent="0.25">
      <c r="A3459" s="468" t="s">
        <v>220</v>
      </c>
      <c r="B3459" s="468" t="s">
        <v>5430</v>
      </c>
      <c r="C3459" s="468" t="s">
        <v>7252</v>
      </c>
      <c r="D3459" s="468" t="s">
        <v>9438</v>
      </c>
      <c r="F3459" s="470">
        <v>1</v>
      </c>
      <c r="G3459" s="468">
        <v>269.51400000000001</v>
      </c>
      <c r="H3459" s="479">
        <v>269.51400000000001</v>
      </c>
      <c r="I3459" s="468" t="s">
        <v>9218</v>
      </c>
      <c r="J3459" s="468" t="s">
        <v>9219</v>
      </c>
      <c r="K3459" s="468" t="s">
        <v>9219</v>
      </c>
      <c r="L3459" s="468" t="s">
        <v>2354</v>
      </c>
    </row>
    <row r="3460" spans="1:12" x14ac:dyDescent="0.25">
      <c r="A3460" s="468" t="s">
        <v>220</v>
      </c>
      <c r="B3460" s="468" t="s">
        <v>5430</v>
      </c>
      <c r="C3460" s="468" t="s">
        <v>7254</v>
      </c>
      <c r="D3460" s="468" t="s">
        <v>8450</v>
      </c>
      <c r="F3460" s="470">
        <v>6</v>
      </c>
      <c r="G3460" s="468">
        <v>10.301</v>
      </c>
      <c r="H3460" s="479">
        <v>61.805999999999997</v>
      </c>
      <c r="I3460" s="468" t="s">
        <v>9218</v>
      </c>
      <c r="J3460" s="468" t="s">
        <v>9219</v>
      </c>
      <c r="K3460" s="468" t="s">
        <v>9219</v>
      </c>
      <c r="L3460" s="468" t="s">
        <v>2354</v>
      </c>
    </row>
    <row r="3461" spans="1:12" x14ac:dyDescent="0.25">
      <c r="A3461" s="468" t="s">
        <v>220</v>
      </c>
      <c r="B3461" s="468" t="s">
        <v>5430</v>
      </c>
      <c r="C3461" s="468" t="s">
        <v>7256</v>
      </c>
      <c r="D3461" s="468" t="s">
        <v>7257</v>
      </c>
      <c r="F3461" s="470">
        <v>1</v>
      </c>
      <c r="G3461" s="468">
        <v>4.6749999999999998</v>
      </c>
      <c r="H3461" s="479">
        <v>4.6749999999999998</v>
      </c>
      <c r="I3461" s="468" t="s">
        <v>9218</v>
      </c>
      <c r="J3461" s="468" t="s">
        <v>9219</v>
      </c>
      <c r="K3461" s="468" t="s">
        <v>9219</v>
      </c>
      <c r="L3461" s="468" t="s">
        <v>2354</v>
      </c>
    </row>
    <row r="3462" spans="1:12" x14ac:dyDescent="0.25">
      <c r="A3462" s="468" t="s">
        <v>220</v>
      </c>
      <c r="B3462" s="468" t="s">
        <v>5430</v>
      </c>
      <c r="C3462" s="468" t="s">
        <v>7260</v>
      </c>
      <c r="D3462" s="468" t="s">
        <v>8451</v>
      </c>
      <c r="F3462" s="470">
        <v>11</v>
      </c>
      <c r="G3462" s="468">
        <v>3.5223300000000002</v>
      </c>
      <c r="H3462" s="479">
        <v>38.745630000000006</v>
      </c>
      <c r="I3462" s="468" t="s">
        <v>9218</v>
      </c>
      <c r="J3462" s="468" t="s">
        <v>9219</v>
      </c>
      <c r="K3462" s="468" t="s">
        <v>9219</v>
      </c>
      <c r="L3462" s="468" t="s">
        <v>2354</v>
      </c>
    </row>
    <row r="3463" spans="1:12" x14ac:dyDescent="0.25">
      <c r="A3463" s="468" t="s">
        <v>220</v>
      </c>
      <c r="B3463" s="468" t="s">
        <v>5430</v>
      </c>
      <c r="C3463" s="468" t="s">
        <v>7262</v>
      </c>
      <c r="D3463" s="468" t="s">
        <v>8452</v>
      </c>
      <c r="F3463" s="470">
        <v>9</v>
      </c>
      <c r="H3463" s="479">
        <v>0</v>
      </c>
      <c r="I3463" s="468" t="s">
        <v>9218</v>
      </c>
      <c r="J3463" s="468" t="s">
        <v>9219</v>
      </c>
      <c r="K3463" s="468" t="s">
        <v>9219</v>
      </c>
      <c r="L3463" s="468" t="s">
        <v>2354</v>
      </c>
    </row>
    <row r="3464" spans="1:12" x14ac:dyDescent="0.25">
      <c r="A3464" s="468" t="s">
        <v>220</v>
      </c>
      <c r="B3464" s="468" t="s">
        <v>5430</v>
      </c>
      <c r="C3464" s="468" t="s">
        <v>7268</v>
      </c>
      <c r="D3464" s="468" t="s">
        <v>8453</v>
      </c>
      <c r="F3464" s="470">
        <v>2</v>
      </c>
      <c r="G3464" s="468">
        <v>28.763000000000002</v>
      </c>
      <c r="H3464" s="479">
        <v>57.526000000000003</v>
      </c>
      <c r="I3464" s="468" t="s">
        <v>9218</v>
      </c>
      <c r="J3464" s="468" t="s">
        <v>9219</v>
      </c>
      <c r="K3464" s="468" t="s">
        <v>9219</v>
      </c>
      <c r="L3464" s="468" t="s">
        <v>2354</v>
      </c>
    </row>
    <row r="3465" spans="1:12" x14ac:dyDescent="0.25">
      <c r="A3465" s="468" t="s">
        <v>220</v>
      </c>
      <c r="B3465" s="468" t="s">
        <v>5430</v>
      </c>
      <c r="C3465" s="468" t="s">
        <v>8454</v>
      </c>
      <c r="D3465" s="468" t="s">
        <v>8455</v>
      </c>
      <c r="F3465" s="470">
        <v>10</v>
      </c>
      <c r="G3465" s="468">
        <v>30.803000000000001</v>
      </c>
      <c r="H3465" s="479">
        <v>308.03000000000003</v>
      </c>
      <c r="I3465" s="468" t="s">
        <v>9218</v>
      </c>
      <c r="J3465" s="468" t="s">
        <v>9219</v>
      </c>
      <c r="K3465" s="468" t="s">
        <v>9219</v>
      </c>
      <c r="L3465" s="468" t="s">
        <v>2354</v>
      </c>
    </row>
    <row r="3466" spans="1:12" x14ac:dyDescent="0.25">
      <c r="A3466" s="468" t="s">
        <v>220</v>
      </c>
      <c r="B3466" s="468" t="s">
        <v>5430</v>
      </c>
      <c r="C3466" s="468" t="s">
        <v>7270</v>
      </c>
      <c r="D3466" s="468" t="s">
        <v>8456</v>
      </c>
      <c r="F3466" s="470">
        <v>1</v>
      </c>
      <c r="G3466" s="468">
        <v>16.350999999999999</v>
      </c>
      <c r="H3466" s="479">
        <v>16.350999999999999</v>
      </c>
      <c r="I3466" s="468" t="s">
        <v>9218</v>
      </c>
      <c r="J3466" s="468" t="s">
        <v>9219</v>
      </c>
      <c r="K3466" s="468" t="s">
        <v>9219</v>
      </c>
      <c r="L3466" s="468" t="s">
        <v>2354</v>
      </c>
    </row>
    <row r="3467" spans="1:12" x14ac:dyDescent="0.25">
      <c r="A3467" s="468" t="s">
        <v>220</v>
      </c>
      <c r="B3467" s="468" t="s">
        <v>5430</v>
      </c>
      <c r="C3467" s="468" t="s">
        <v>7272</v>
      </c>
      <c r="D3467" s="468" t="s">
        <v>7273</v>
      </c>
      <c r="F3467" s="470">
        <v>1</v>
      </c>
      <c r="G3467" s="468">
        <v>291.2</v>
      </c>
      <c r="H3467" s="479">
        <v>291.2</v>
      </c>
      <c r="I3467" s="468" t="s">
        <v>9218</v>
      </c>
      <c r="J3467" s="468" t="s">
        <v>9219</v>
      </c>
      <c r="K3467" s="468" t="s">
        <v>9219</v>
      </c>
      <c r="L3467" s="468" t="s">
        <v>2354</v>
      </c>
    </row>
    <row r="3468" spans="1:12" x14ac:dyDescent="0.25">
      <c r="A3468" s="468" t="s">
        <v>220</v>
      </c>
      <c r="B3468" s="468" t="s">
        <v>5430</v>
      </c>
      <c r="C3468" s="468" t="s">
        <v>7274</v>
      </c>
      <c r="D3468" s="468" t="s">
        <v>7275</v>
      </c>
      <c r="F3468" s="470">
        <v>1</v>
      </c>
      <c r="G3468" s="468">
        <v>143.97999999999999</v>
      </c>
      <c r="H3468" s="479">
        <v>143.97999999999999</v>
      </c>
      <c r="I3468" s="468" t="s">
        <v>9218</v>
      </c>
      <c r="J3468" s="468" t="s">
        <v>9219</v>
      </c>
      <c r="K3468" s="468" t="s">
        <v>9219</v>
      </c>
      <c r="L3468" s="468" t="s">
        <v>2354</v>
      </c>
    </row>
    <row r="3469" spans="1:12" x14ac:dyDescent="0.25">
      <c r="A3469" s="468" t="s">
        <v>220</v>
      </c>
      <c r="B3469" s="468" t="s">
        <v>5430</v>
      </c>
      <c r="C3469" s="468" t="s">
        <v>7276</v>
      </c>
      <c r="D3469" s="468" t="s">
        <v>8457</v>
      </c>
      <c r="F3469" s="470">
        <v>3</v>
      </c>
      <c r="G3469" s="468">
        <v>151.28700000000001</v>
      </c>
      <c r="H3469" s="479">
        <v>453.86099999999999</v>
      </c>
      <c r="I3469" s="468" t="s">
        <v>9218</v>
      </c>
      <c r="J3469" s="468" t="s">
        <v>9219</v>
      </c>
      <c r="K3469" s="468" t="s">
        <v>9219</v>
      </c>
      <c r="L3469" s="468" t="s">
        <v>2354</v>
      </c>
    </row>
    <row r="3470" spans="1:12" x14ac:dyDescent="0.25">
      <c r="A3470" s="468" t="s">
        <v>220</v>
      </c>
      <c r="B3470" s="468" t="s">
        <v>5430</v>
      </c>
      <c r="C3470" s="468" t="s">
        <v>7278</v>
      </c>
      <c r="D3470" s="468" t="s">
        <v>8458</v>
      </c>
      <c r="F3470" s="470">
        <v>1</v>
      </c>
      <c r="G3470" s="468">
        <v>133.333</v>
      </c>
      <c r="H3470" s="479">
        <v>133.333</v>
      </c>
      <c r="I3470" s="468" t="s">
        <v>9218</v>
      </c>
      <c r="J3470" s="468" t="s">
        <v>9219</v>
      </c>
      <c r="K3470" s="468" t="s">
        <v>9219</v>
      </c>
      <c r="L3470" s="468" t="s">
        <v>2354</v>
      </c>
    </row>
    <row r="3471" spans="1:12" x14ac:dyDescent="0.25">
      <c r="A3471" s="468" t="s">
        <v>220</v>
      </c>
      <c r="B3471" s="468" t="s">
        <v>5430</v>
      </c>
      <c r="C3471" s="468" t="s">
        <v>8459</v>
      </c>
      <c r="D3471" s="468" t="s">
        <v>8460</v>
      </c>
      <c r="F3471" s="470">
        <v>8</v>
      </c>
      <c r="G3471" s="468">
        <v>36.03</v>
      </c>
      <c r="H3471" s="479">
        <v>288.24</v>
      </c>
      <c r="I3471" s="468" t="s">
        <v>9218</v>
      </c>
      <c r="J3471" s="468" t="s">
        <v>9219</v>
      </c>
      <c r="K3471" s="468" t="s">
        <v>9219</v>
      </c>
      <c r="L3471" s="468" t="s">
        <v>2354</v>
      </c>
    </row>
    <row r="3472" spans="1:12" x14ac:dyDescent="0.25">
      <c r="A3472" s="468" t="s">
        <v>220</v>
      </c>
      <c r="B3472" s="468" t="s">
        <v>5430</v>
      </c>
      <c r="C3472" s="468" t="s">
        <v>7280</v>
      </c>
      <c r="D3472" s="468" t="s">
        <v>7281</v>
      </c>
      <c r="F3472" s="470">
        <v>1</v>
      </c>
      <c r="G3472" s="468">
        <v>19.125</v>
      </c>
      <c r="H3472" s="479">
        <v>19.125</v>
      </c>
      <c r="I3472" s="468" t="s">
        <v>9218</v>
      </c>
      <c r="J3472" s="468" t="s">
        <v>9219</v>
      </c>
      <c r="K3472" s="468" t="s">
        <v>9219</v>
      </c>
      <c r="L3472" s="468" t="s">
        <v>2354</v>
      </c>
    </row>
    <row r="3473" spans="1:12" x14ac:dyDescent="0.25">
      <c r="A3473" s="468" t="s">
        <v>220</v>
      </c>
      <c r="B3473" s="468" t="s">
        <v>5430</v>
      </c>
      <c r="C3473" s="468" t="s">
        <v>8461</v>
      </c>
      <c r="D3473" s="468" t="s">
        <v>7283</v>
      </c>
      <c r="F3473" s="470">
        <v>20</v>
      </c>
      <c r="G3473" s="468">
        <v>5.4690000000000003</v>
      </c>
      <c r="H3473" s="479">
        <v>109.38000000000001</v>
      </c>
      <c r="I3473" s="468" t="s">
        <v>9218</v>
      </c>
      <c r="J3473" s="468" t="s">
        <v>9219</v>
      </c>
      <c r="K3473" s="468" t="s">
        <v>9219</v>
      </c>
      <c r="L3473" s="468" t="s">
        <v>2354</v>
      </c>
    </row>
    <row r="3474" spans="1:12" x14ac:dyDescent="0.25">
      <c r="A3474" s="468" t="s">
        <v>220</v>
      </c>
      <c r="B3474" s="468" t="s">
        <v>5430</v>
      </c>
      <c r="C3474" s="468" t="s">
        <v>8462</v>
      </c>
      <c r="D3474" s="468" t="s">
        <v>8463</v>
      </c>
      <c r="F3474" s="470">
        <v>1</v>
      </c>
      <c r="G3474" s="468">
        <v>40.372</v>
      </c>
      <c r="H3474" s="479">
        <v>40.372</v>
      </c>
      <c r="I3474" s="468" t="s">
        <v>9218</v>
      </c>
      <c r="J3474" s="468" t="s">
        <v>9219</v>
      </c>
      <c r="K3474" s="468" t="s">
        <v>9219</v>
      </c>
      <c r="L3474" s="468" t="s">
        <v>2354</v>
      </c>
    </row>
    <row r="3475" spans="1:12" x14ac:dyDescent="0.25">
      <c r="A3475" s="468" t="s">
        <v>220</v>
      </c>
      <c r="B3475" s="468" t="s">
        <v>5430</v>
      </c>
      <c r="C3475" s="468" t="s">
        <v>7286</v>
      </c>
      <c r="D3475" s="468" t="s">
        <v>8464</v>
      </c>
      <c r="F3475" s="470">
        <v>1</v>
      </c>
      <c r="G3475" s="468">
        <v>97.703000000000003</v>
      </c>
      <c r="H3475" s="479">
        <v>97.703000000000003</v>
      </c>
      <c r="I3475" s="468" t="s">
        <v>9218</v>
      </c>
      <c r="J3475" s="468" t="s">
        <v>9219</v>
      </c>
      <c r="K3475" s="468" t="s">
        <v>9219</v>
      </c>
      <c r="L3475" s="468" t="s">
        <v>2354</v>
      </c>
    </row>
    <row r="3476" spans="1:12" x14ac:dyDescent="0.25">
      <c r="A3476" s="468" t="s">
        <v>220</v>
      </c>
      <c r="B3476" s="468" t="s">
        <v>5430</v>
      </c>
      <c r="C3476" s="468" t="s">
        <v>7292</v>
      </c>
      <c r="D3476" s="468" t="s">
        <v>8465</v>
      </c>
      <c r="F3476" s="470">
        <v>1</v>
      </c>
      <c r="G3476" s="468">
        <v>71.822999999999993</v>
      </c>
      <c r="H3476" s="479">
        <v>71.822999999999993</v>
      </c>
      <c r="I3476" s="468" t="s">
        <v>9218</v>
      </c>
      <c r="J3476" s="468" t="s">
        <v>9219</v>
      </c>
      <c r="K3476" s="468" t="s">
        <v>9219</v>
      </c>
      <c r="L3476" s="468" t="s">
        <v>2354</v>
      </c>
    </row>
    <row r="3477" spans="1:12" x14ac:dyDescent="0.25">
      <c r="A3477" s="468" t="s">
        <v>220</v>
      </c>
      <c r="B3477" s="468" t="s">
        <v>5430</v>
      </c>
      <c r="C3477" s="468" t="s">
        <v>7294</v>
      </c>
      <c r="D3477" s="468" t="s">
        <v>8466</v>
      </c>
      <c r="F3477" s="470">
        <v>3</v>
      </c>
      <c r="G3477" s="468">
        <v>23.536000000000001</v>
      </c>
      <c r="H3477" s="479">
        <v>70.608000000000004</v>
      </c>
      <c r="I3477" s="468" t="s">
        <v>9218</v>
      </c>
      <c r="J3477" s="468" t="s">
        <v>9219</v>
      </c>
      <c r="K3477" s="468" t="s">
        <v>9219</v>
      </c>
      <c r="L3477" s="468" t="s">
        <v>2354</v>
      </c>
    </row>
    <row r="3478" spans="1:12" x14ac:dyDescent="0.25">
      <c r="A3478" s="468" t="s">
        <v>220</v>
      </c>
      <c r="B3478" s="468" t="s">
        <v>5430</v>
      </c>
      <c r="C3478" s="468" t="s">
        <v>7296</v>
      </c>
      <c r="D3478" s="468" t="s">
        <v>8467</v>
      </c>
      <c r="F3478" s="470">
        <v>4</v>
      </c>
      <c r="G3478" s="468">
        <v>36.125</v>
      </c>
      <c r="H3478" s="479">
        <v>144.5</v>
      </c>
      <c r="I3478" s="468" t="s">
        <v>9218</v>
      </c>
      <c r="J3478" s="468" t="s">
        <v>9219</v>
      </c>
      <c r="K3478" s="468" t="s">
        <v>9219</v>
      </c>
      <c r="L3478" s="468" t="s">
        <v>2354</v>
      </c>
    </row>
    <row r="3479" spans="1:12" x14ac:dyDescent="0.25">
      <c r="A3479" s="468" t="s">
        <v>220</v>
      </c>
      <c r="B3479" s="468" t="s">
        <v>5430</v>
      </c>
      <c r="C3479" s="468" t="s">
        <v>7300</v>
      </c>
      <c r="D3479" s="468" t="s">
        <v>8468</v>
      </c>
      <c r="F3479" s="470">
        <v>10</v>
      </c>
      <c r="G3479" s="468">
        <v>18.908000000000001</v>
      </c>
      <c r="H3479" s="479">
        <v>189.08</v>
      </c>
      <c r="I3479" s="468" t="s">
        <v>9218</v>
      </c>
      <c r="J3479" s="468" t="s">
        <v>9219</v>
      </c>
      <c r="K3479" s="468" t="s">
        <v>9219</v>
      </c>
      <c r="L3479" s="468" t="s">
        <v>2354</v>
      </c>
    </row>
    <row r="3480" spans="1:12" x14ac:dyDescent="0.25">
      <c r="A3480" s="468" t="s">
        <v>220</v>
      </c>
      <c r="B3480" s="468" t="s">
        <v>5430</v>
      </c>
      <c r="C3480" s="468" t="s">
        <v>7302</v>
      </c>
      <c r="D3480" s="468" t="s">
        <v>8469</v>
      </c>
      <c r="F3480" s="470">
        <v>5</v>
      </c>
      <c r="G3480" s="468">
        <v>19.975000000000001</v>
      </c>
      <c r="H3480" s="479">
        <v>99.875</v>
      </c>
      <c r="I3480" s="468" t="s">
        <v>9218</v>
      </c>
      <c r="J3480" s="468" t="s">
        <v>9219</v>
      </c>
      <c r="K3480" s="468" t="s">
        <v>9219</v>
      </c>
      <c r="L3480" s="468" t="s">
        <v>2354</v>
      </c>
    </row>
    <row r="3481" spans="1:12" x14ac:dyDescent="0.25">
      <c r="A3481" s="468" t="s">
        <v>220</v>
      </c>
      <c r="B3481" s="468" t="s">
        <v>5430</v>
      </c>
      <c r="C3481" s="468" t="s">
        <v>7304</v>
      </c>
      <c r="D3481" s="468" t="s">
        <v>8470</v>
      </c>
      <c r="F3481" s="470">
        <v>5</v>
      </c>
      <c r="G3481" s="468">
        <v>28.236999999999998</v>
      </c>
      <c r="H3481" s="479">
        <v>141.185</v>
      </c>
      <c r="I3481" s="468" t="s">
        <v>9218</v>
      </c>
      <c r="J3481" s="468" t="s">
        <v>9219</v>
      </c>
      <c r="K3481" s="468" t="s">
        <v>9219</v>
      </c>
      <c r="L3481" s="468" t="s">
        <v>2354</v>
      </c>
    </row>
    <row r="3482" spans="1:12" x14ac:dyDescent="0.25">
      <c r="A3482" s="468" t="s">
        <v>220</v>
      </c>
      <c r="B3482" s="468" t="s">
        <v>5430</v>
      </c>
      <c r="C3482" s="468" t="s">
        <v>7306</v>
      </c>
      <c r="D3482" s="468" t="s">
        <v>8471</v>
      </c>
      <c r="F3482" s="470">
        <v>3</v>
      </c>
      <c r="G3482" s="468">
        <v>70</v>
      </c>
      <c r="H3482" s="479">
        <v>210</v>
      </c>
      <c r="I3482" s="468" t="s">
        <v>9218</v>
      </c>
      <c r="J3482" s="468" t="s">
        <v>9219</v>
      </c>
      <c r="K3482" s="468" t="s">
        <v>9219</v>
      </c>
      <c r="L3482" s="468" t="s">
        <v>2354</v>
      </c>
    </row>
    <row r="3483" spans="1:12" x14ac:dyDescent="0.25">
      <c r="A3483" s="468" t="s">
        <v>220</v>
      </c>
      <c r="B3483" s="468" t="s">
        <v>5430</v>
      </c>
      <c r="C3483" s="468" t="s">
        <v>7308</v>
      </c>
      <c r="D3483" s="468" t="s">
        <v>8472</v>
      </c>
      <c r="F3483" s="470">
        <v>2</v>
      </c>
      <c r="G3483" s="468">
        <v>70</v>
      </c>
      <c r="H3483" s="479">
        <v>140</v>
      </c>
      <c r="I3483" s="468" t="s">
        <v>9218</v>
      </c>
      <c r="J3483" s="468" t="s">
        <v>9219</v>
      </c>
      <c r="K3483" s="468" t="s">
        <v>9219</v>
      </c>
      <c r="L3483" s="468" t="s">
        <v>2354</v>
      </c>
    </row>
    <row r="3484" spans="1:12" x14ac:dyDescent="0.25">
      <c r="A3484" s="468" t="s">
        <v>220</v>
      </c>
      <c r="B3484" s="468" t="s">
        <v>5430</v>
      </c>
      <c r="C3484" s="468" t="s">
        <v>7312</v>
      </c>
      <c r="D3484" s="468" t="s">
        <v>8473</v>
      </c>
      <c r="F3484" s="470">
        <v>1</v>
      </c>
      <c r="G3484" s="468">
        <v>377.78399999999999</v>
      </c>
      <c r="H3484" s="479">
        <v>377.78399999999999</v>
      </c>
      <c r="I3484" s="468" t="s">
        <v>9218</v>
      </c>
      <c r="J3484" s="468" t="s">
        <v>9219</v>
      </c>
      <c r="K3484" s="468" t="s">
        <v>9219</v>
      </c>
      <c r="L3484" s="468" t="s">
        <v>2354</v>
      </c>
    </row>
    <row r="3485" spans="1:12" x14ac:dyDescent="0.25">
      <c r="A3485" s="468" t="s">
        <v>220</v>
      </c>
      <c r="B3485" s="468" t="s">
        <v>5430</v>
      </c>
      <c r="C3485" s="468" t="s">
        <v>7314</v>
      </c>
      <c r="D3485" s="468" t="s">
        <v>7315</v>
      </c>
      <c r="F3485" s="470">
        <v>2</v>
      </c>
      <c r="G3485" s="468">
        <v>28.763000000000002</v>
      </c>
      <c r="H3485" s="479">
        <v>57.526000000000003</v>
      </c>
      <c r="I3485" s="468" t="s">
        <v>9218</v>
      </c>
      <c r="J3485" s="468" t="s">
        <v>9219</v>
      </c>
      <c r="K3485" s="468" t="s">
        <v>9219</v>
      </c>
      <c r="L3485" s="468" t="s">
        <v>2354</v>
      </c>
    </row>
    <row r="3486" spans="1:12" x14ac:dyDescent="0.25">
      <c r="A3486" s="468" t="s">
        <v>220</v>
      </c>
      <c r="B3486" s="468" t="s">
        <v>5430</v>
      </c>
      <c r="C3486" s="468" t="s">
        <v>5303</v>
      </c>
      <c r="D3486" s="468" t="s">
        <v>8475</v>
      </c>
      <c r="F3486" s="470">
        <v>2</v>
      </c>
      <c r="G3486" s="468">
        <v>367.673</v>
      </c>
      <c r="H3486" s="479">
        <v>735.346</v>
      </c>
      <c r="I3486" s="468" t="s">
        <v>9218</v>
      </c>
      <c r="J3486" s="468" t="s">
        <v>9219</v>
      </c>
      <c r="K3486" s="468" t="s">
        <v>9219</v>
      </c>
      <c r="L3486" s="468" t="s">
        <v>2354</v>
      </c>
    </row>
    <row r="3487" spans="1:12" x14ac:dyDescent="0.25">
      <c r="A3487" s="468" t="s">
        <v>220</v>
      </c>
      <c r="B3487" s="468" t="s">
        <v>5430</v>
      </c>
      <c r="C3487" s="468" t="s">
        <v>7334</v>
      </c>
      <c r="D3487" s="468" t="s">
        <v>8476</v>
      </c>
      <c r="F3487" s="470">
        <v>3</v>
      </c>
      <c r="G3487" s="468">
        <v>426.077</v>
      </c>
      <c r="H3487" s="479">
        <v>1278.231</v>
      </c>
      <c r="I3487" s="468" t="s">
        <v>9218</v>
      </c>
      <c r="J3487" s="468" t="s">
        <v>9219</v>
      </c>
      <c r="K3487" s="468" t="s">
        <v>9219</v>
      </c>
      <c r="L3487" s="468" t="s">
        <v>2354</v>
      </c>
    </row>
    <row r="3488" spans="1:12" x14ac:dyDescent="0.25">
      <c r="A3488" s="468" t="s">
        <v>220</v>
      </c>
      <c r="B3488" s="468" t="s">
        <v>5430</v>
      </c>
      <c r="C3488" s="468" t="s">
        <v>5305</v>
      </c>
      <c r="D3488" s="468" t="s">
        <v>8477</v>
      </c>
      <c r="F3488" s="470">
        <v>1</v>
      </c>
      <c r="G3488" s="468">
        <v>529.03499999999997</v>
      </c>
      <c r="H3488" s="479">
        <v>529.03499999999997</v>
      </c>
      <c r="I3488" s="468" t="s">
        <v>9218</v>
      </c>
      <c r="J3488" s="468" t="s">
        <v>9219</v>
      </c>
      <c r="K3488" s="468" t="s">
        <v>9219</v>
      </c>
      <c r="L3488" s="468" t="s">
        <v>2354</v>
      </c>
    </row>
    <row r="3489" spans="1:12" x14ac:dyDescent="0.25">
      <c r="A3489" s="468" t="s">
        <v>220</v>
      </c>
      <c r="B3489" s="468" t="s">
        <v>5430</v>
      </c>
      <c r="C3489" s="468" t="s">
        <v>7336</v>
      </c>
      <c r="D3489" s="468" t="s">
        <v>8478</v>
      </c>
      <c r="F3489" s="470">
        <v>1</v>
      </c>
      <c r="G3489" s="468">
        <v>377.142</v>
      </c>
      <c r="H3489" s="479">
        <v>377.142</v>
      </c>
      <c r="I3489" s="468" t="s">
        <v>9218</v>
      </c>
      <c r="J3489" s="468" t="s">
        <v>9219</v>
      </c>
      <c r="K3489" s="468" t="s">
        <v>9219</v>
      </c>
      <c r="L3489" s="468" t="s">
        <v>2354</v>
      </c>
    </row>
    <row r="3490" spans="1:12" x14ac:dyDescent="0.25">
      <c r="A3490" s="468" t="s">
        <v>220</v>
      </c>
      <c r="B3490" s="468" t="s">
        <v>5430</v>
      </c>
      <c r="C3490" s="468" t="s">
        <v>5307</v>
      </c>
      <c r="D3490" s="468" t="s">
        <v>8479</v>
      </c>
      <c r="F3490" s="470">
        <v>2</v>
      </c>
      <c r="G3490" s="468">
        <v>646.53200000000004</v>
      </c>
      <c r="H3490" s="479">
        <v>1293.0640000000001</v>
      </c>
      <c r="I3490" s="468" t="s">
        <v>9218</v>
      </c>
      <c r="J3490" s="468" t="s">
        <v>9219</v>
      </c>
      <c r="K3490" s="468" t="s">
        <v>9219</v>
      </c>
      <c r="L3490" s="468" t="s">
        <v>2354</v>
      </c>
    </row>
    <row r="3491" spans="1:12" x14ac:dyDescent="0.25">
      <c r="A3491" s="468" t="s">
        <v>220</v>
      </c>
      <c r="B3491" s="468" t="s">
        <v>5430</v>
      </c>
      <c r="C3491" s="468" t="s">
        <v>7338</v>
      </c>
      <c r="D3491" s="468" t="s">
        <v>8480</v>
      </c>
      <c r="F3491" s="470">
        <v>1</v>
      </c>
      <c r="G3491" s="468">
        <v>372.10500000000002</v>
      </c>
      <c r="H3491" s="479">
        <v>372.10500000000002</v>
      </c>
      <c r="I3491" s="468" t="s">
        <v>9218</v>
      </c>
      <c r="J3491" s="468" t="s">
        <v>9219</v>
      </c>
      <c r="K3491" s="468" t="s">
        <v>9219</v>
      </c>
      <c r="L3491" s="468" t="s">
        <v>2354</v>
      </c>
    </row>
    <row r="3492" spans="1:12" x14ac:dyDescent="0.25">
      <c r="A3492" s="468" t="s">
        <v>220</v>
      </c>
      <c r="B3492" s="468" t="s">
        <v>5430</v>
      </c>
      <c r="C3492" s="468" t="s">
        <v>7340</v>
      </c>
      <c r="D3492" s="468" t="s">
        <v>8481</v>
      </c>
      <c r="F3492" s="470">
        <v>1</v>
      </c>
      <c r="G3492" s="468">
        <v>1.681</v>
      </c>
      <c r="H3492" s="479">
        <v>1.681</v>
      </c>
      <c r="I3492" s="468" t="s">
        <v>9218</v>
      </c>
      <c r="J3492" s="468" t="s">
        <v>9219</v>
      </c>
      <c r="K3492" s="468" t="s">
        <v>9219</v>
      </c>
      <c r="L3492" s="468" t="s">
        <v>2354</v>
      </c>
    </row>
    <row r="3493" spans="1:12" x14ac:dyDescent="0.25">
      <c r="A3493" s="468" t="s">
        <v>220</v>
      </c>
      <c r="B3493" s="468" t="s">
        <v>5430</v>
      </c>
      <c r="C3493" s="468" t="s">
        <v>7342</v>
      </c>
      <c r="D3493" s="468" t="s">
        <v>7343</v>
      </c>
      <c r="F3493" s="470">
        <v>1</v>
      </c>
      <c r="G3493" s="468">
        <v>10.81</v>
      </c>
      <c r="H3493" s="479">
        <v>10.81</v>
      </c>
      <c r="I3493" s="468" t="s">
        <v>9218</v>
      </c>
      <c r="J3493" s="468" t="s">
        <v>9219</v>
      </c>
      <c r="K3493" s="468" t="s">
        <v>9219</v>
      </c>
      <c r="L3493" s="468" t="s">
        <v>2354</v>
      </c>
    </row>
    <row r="3494" spans="1:12" x14ac:dyDescent="0.25">
      <c r="A3494" s="468" t="s">
        <v>220</v>
      </c>
      <c r="B3494" s="468" t="s">
        <v>5430</v>
      </c>
      <c r="C3494" s="468" t="s">
        <v>8482</v>
      </c>
      <c r="D3494" s="468" t="s">
        <v>8483</v>
      </c>
      <c r="F3494" s="470">
        <v>27</v>
      </c>
      <c r="G3494" s="468">
        <v>5.6929999999999996</v>
      </c>
      <c r="H3494" s="479">
        <v>153.71099999999998</v>
      </c>
      <c r="I3494" s="468" t="s">
        <v>9218</v>
      </c>
      <c r="J3494" s="468" t="s">
        <v>9219</v>
      </c>
      <c r="K3494" s="468" t="s">
        <v>9219</v>
      </c>
      <c r="L3494" s="468" t="s">
        <v>2354</v>
      </c>
    </row>
    <row r="3495" spans="1:12" x14ac:dyDescent="0.25">
      <c r="A3495" s="468" t="s">
        <v>220</v>
      </c>
      <c r="B3495" s="468" t="s">
        <v>5430</v>
      </c>
      <c r="C3495" s="468" t="s">
        <v>7346</v>
      </c>
      <c r="D3495" s="468" t="s">
        <v>8484</v>
      </c>
      <c r="F3495" s="470">
        <v>4</v>
      </c>
      <c r="G3495" s="468">
        <v>14.1</v>
      </c>
      <c r="H3495" s="479">
        <v>56.4</v>
      </c>
      <c r="I3495" s="468" t="s">
        <v>9218</v>
      </c>
      <c r="J3495" s="468" t="s">
        <v>9219</v>
      </c>
      <c r="K3495" s="468" t="s">
        <v>9219</v>
      </c>
      <c r="L3495" s="468" t="s">
        <v>2354</v>
      </c>
    </row>
    <row r="3496" spans="1:12" x14ac:dyDescent="0.25">
      <c r="A3496" s="468" t="s">
        <v>220</v>
      </c>
      <c r="B3496" s="468" t="s">
        <v>5430</v>
      </c>
      <c r="C3496" s="468" t="s">
        <v>8485</v>
      </c>
      <c r="D3496" s="468" t="s">
        <v>8486</v>
      </c>
      <c r="F3496" s="470">
        <v>1</v>
      </c>
      <c r="G3496" s="468">
        <v>220.99</v>
      </c>
      <c r="H3496" s="479">
        <v>220.99</v>
      </c>
      <c r="I3496" s="468" t="s">
        <v>9218</v>
      </c>
      <c r="J3496" s="468" t="s">
        <v>9219</v>
      </c>
      <c r="K3496" s="468" t="s">
        <v>9219</v>
      </c>
      <c r="L3496" s="468" t="s">
        <v>2354</v>
      </c>
    </row>
    <row r="3497" spans="1:12" x14ac:dyDescent="0.25">
      <c r="A3497" s="468" t="s">
        <v>220</v>
      </c>
      <c r="B3497" s="468" t="s">
        <v>5430</v>
      </c>
      <c r="C3497" s="468" t="s">
        <v>9439</v>
      </c>
      <c r="D3497" s="468" t="s">
        <v>9440</v>
      </c>
      <c r="F3497" s="470">
        <v>2</v>
      </c>
      <c r="G3497" s="468">
        <v>595</v>
      </c>
      <c r="H3497" s="479">
        <v>1190</v>
      </c>
      <c r="I3497" s="468" t="s">
        <v>9218</v>
      </c>
      <c r="J3497" s="468" t="s">
        <v>9219</v>
      </c>
      <c r="K3497" s="468" t="s">
        <v>9219</v>
      </c>
      <c r="L3497" s="468" t="s">
        <v>2354</v>
      </c>
    </row>
    <row r="3498" spans="1:12" x14ac:dyDescent="0.25">
      <c r="A3498" s="468" t="s">
        <v>220</v>
      </c>
      <c r="B3498" s="468" t="s">
        <v>5430</v>
      </c>
      <c r="C3498" s="468" t="s">
        <v>8487</v>
      </c>
      <c r="D3498" s="468" t="s">
        <v>8488</v>
      </c>
      <c r="F3498" s="470">
        <v>19</v>
      </c>
      <c r="G3498" s="468">
        <v>13.166</v>
      </c>
      <c r="H3498" s="479">
        <v>250.154</v>
      </c>
      <c r="I3498" s="468" t="s">
        <v>9218</v>
      </c>
      <c r="J3498" s="468" t="s">
        <v>9219</v>
      </c>
      <c r="K3498" s="468" t="s">
        <v>9219</v>
      </c>
      <c r="L3498" s="468" t="s">
        <v>2354</v>
      </c>
    </row>
    <row r="3499" spans="1:12" x14ac:dyDescent="0.25">
      <c r="A3499" s="468" t="s">
        <v>220</v>
      </c>
      <c r="B3499" s="468" t="s">
        <v>5430</v>
      </c>
      <c r="C3499" s="468" t="s">
        <v>5544</v>
      </c>
      <c r="D3499" s="468" t="s">
        <v>8489</v>
      </c>
      <c r="E3499" s="468" t="s">
        <v>2387</v>
      </c>
      <c r="F3499" s="470">
        <v>5</v>
      </c>
      <c r="G3499" s="468">
        <v>3.218</v>
      </c>
      <c r="H3499" s="479">
        <v>16.09</v>
      </c>
      <c r="I3499" s="468" t="s">
        <v>9218</v>
      </c>
      <c r="J3499" s="468" t="s">
        <v>9219</v>
      </c>
      <c r="K3499" s="468" t="s">
        <v>9219</v>
      </c>
      <c r="L3499" s="468" t="s">
        <v>2354</v>
      </c>
    </row>
    <row r="3500" spans="1:12" x14ac:dyDescent="0.25">
      <c r="A3500" s="468" t="s">
        <v>220</v>
      </c>
      <c r="B3500" s="468" t="s">
        <v>5430</v>
      </c>
      <c r="C3500" s="468" t="s">
        <v>5678</v>
      </c>
      <c r="D3500" s="468" t="s">
        <v>8490</v>
      </c>
      <c r="E3500" s="468" t="s">
        <v>545</v>
      </c>
      <c r="F3500" s="470">
        <v>7</v>
      </c>
      <c r="G3500" s="468">
        <v>105</v>
      </c>
      <c r="H3500" s="479">
        <v>735</v>
      </c>
      <c r="I3500" s="468" t="s">
        <v>9218</v>
      </c>
      <c r="J3500" s="468" t="s">
        <v>9219</v>
      </c>
      <c r="K3500" s="468" t="s">
        <v>9219</v>
      </c>
      <c r="L3500" s="468" t="s">
        <v>2354</v>
      </c>
    </row>
    <row r="3501" spans="1:12" x14ac:dyDescent="0.25">
      <c r="A3501" s="468" t="s">
        <v>220</v>
      </c>
      <c r="B3501" s="468" t="s">
        <v>5430</v>
      </c>
      <c r="C3501" s="468" t="s">
        <v>5680</v>
      </c>
      <c r="D3501" s="468" t="s">
        <v>8491</v>
      </c>
      <c r="E3501" s="468" t="s">
        <v>545</v>
      </c>
      <c r="F3501" s="470">
        <v>16</v>
      </c>
      <c r="G3501" s="468">
        <v>8.7989999999999995</v>
      </c>
      <c r="H3501" s="479">
        <v>140.78399999999999</v>
      </c>
      <c r="I3501" s="468" t="s">
        <v>9218</v>
      </c>
      <c r="J3501" s="468" t="s">
        <v>9219</v>
      </c>
      <c r="K3501" s="468" t="s">
        <v>9219</v>
      </c>
      <c r="L3501" s="468" t="s">
        <v>2354</v>
      </c>
    </row>
    <row r="3502" spans="1:12" x14ac:dyDescent="0.25">
      <c r="A3502" s="468" t="s">
        <v>220</v>
      </c>
      <c r="B3502" s="468" t="s">
        <v>5430</v>
      </c>
      <c r="C3502" s="468" t="s">
        <v>2706</v>
      </c>
      <c r="D3502" s="468" t="s">
        <v>8492</v>
      </c>
      <c r="E3502" s="468" t="s">
        <v>545</v>
      </c>
      <c r="F3502" s="470">
        <v>14</v>
      </c>
      <c r="G3502" s="468">
        <v>40.369999999999997</v>
      </c>
      <c r="H3502" s="479">
        <v>565.17999999999995</v>
      </c>
      <c r="I3502" s="468" t="s">
        <v>9218</v>
      </c>
      <c r="J3502" s="468" t="s">
        <v>9219</v>
      </c>
      <c r="K3502" s="468" t="s">
        <v>9219</v>
      </c>
      <c r="L3502" s="468" t="s">
        <v>2354</v>
      </c>
    </row>
    <row r="3503" spans="1:12" x14ac:dyDescent="0.25">
      <c r="A3503" s="468" t="s">
        <v>220</v>
      </c>
      <c r="B3503" s="468" t="s">
        <v>5430</v>
      </c>
      <c r="C3503" s="468" t="s">
        <v>5682</v>
      </c>
      <c r="D3503" s="468" t="s">
        <v>5683</v>
      </c>
      <c r="E3503" s="468" t="s">
        <v>545</v>
      </c>
      <c r="F3503" s="470">
        <v>10</v>
      </c>
      <c r="G3503" s="468">
        <v>34.466999999999999</v>
      </c>
      <c r="H3503" s="479">
        <v>344.66999999999996</v>
      </c>
      <c r="I3503" s="468" t="s">
        <v>9218</v>
      </c>
      <c r="J3503" s="468" t="s">
        <v>9219</v>
      </c>
      <c r="K3503" s="468" t="s">
        <v>9219</v>
      </c>
      <c r="L3503" s="468" t="s">
        <v>2354</v>
      </c>
    </row>
    <row r="3504" spans="1:12" x14ac:dyDescent="0.25">
      <c r="A3504" s="468" t="s">
        <v>220</v>
      </c>
      <c r="B3504" s="468" t="s">
        <v>5430</v>
      </c>
      <c r="C3504" s="468" t="s">
        <v>2712</v>
      </c>
      <c r="D3504" s="468" t="s">
        <v>8493</v>
      </c>
      <c r="E3504" s="468" t="s">
        <v>545</v>
      </c>
      <c r="F3504" s="470">
        <v>7</v>
      </c>
      <c r="G3504" s="468">
        <v>30.114000000000001</v>
      </c>
      <c r="H3504" s="479">
        <v>210.798</v>
      </c>
      <c r="I3504" s="468" t="s">
        <v>9218</v>
      </c>
      <c r="J3504" s="468" t="s">
        <v>9219</v>
      </c>
      <c r="K3504" s="468" t="s">
        <v>9219</v>
      </c>
      <c r="L3504" s="468" t="s">
        <v>2354</v>
      </c>
    </row>
    <row r="3505" spans="1:12" x14ac:dyDescent="0.25">
      <c r="A3505" s="468" t="s">
        <v>220</v>
      </c>
      <c r="B3505" s="468" t="s">
        <v>5430</v>
      </c>
      <c r="C3505" s="468" t="s">
        <v>8494</v>
      </c>
      <c r="D3505" s="468" t="s">
        <v>5685</v>
      </c>
      <c r="E3505" s="468" t="s">
        <v>545</v>
      </c>
      <c r="F3505" s="470">
        <v>15</v>
      </c>
      <c r="G3505" s="468">
        <v>29.474</v>
      </c>
      <c r="H3505" s="479">
        <v>442.11</v>
      </c>
      <c r="I3505" s="468" t="s">
        <v>9218</v>
      </c>
      <c r="J3505" s="468" t="s">
        <v>9219</v>
      </c>
      <c r="K3505" s="468" t="s">
        <v>9219</v>
      </c>
      <c r="L3505" s="468" t="s">
        <v>2354</v>
      </c>
    </row>
    <row r="3506" spans="1:12" x14ac:dyDescent="0.25">
      <c r="A3506" s="468" t="s">
        <v>220</v>
      </c>
      <c r="B3506" s="468" t="s">
        <v>5430</v>
      </c>
      <c r="C3506" s="468" t="s">
        <v>2716</v>
      </c>
      <c r="D3506" s="468" t="s">
        <v>2717</v>
      </c>
      <c r="E3506" s="468" t="s">
        <v>545</v>
      </c>
      <c r="F3506" s="470">
        <v>18</v>
      </c>
      <c r="G3506" s="468">
        <v>20.587</v>
      </c>
      <c r="H3506" s="479">
        <v>370.56599999999997</v>
      </c>
      <c r="I3506" s="468" t="s">
        <v>9218</v>
      </c>
      <c r="J3506" s="468" t="s">
        <v>9219</v>
      </c>
      <c r="K3506" s="468" t="s">
        <v>9219</v>
      </c>
      <c r="L3506" s="468" t="s">
        <v>2354</v>
      </c>
    </row>
    <row r="3507" spans="1:12" x14ac:dyDescent="0.25">
      <c r="A3507" s="468" t="s">
        <v>220</v>
      </c>
      <c r="B3507" s="468" t="s">
        <v>5430</v>
      </c>
      <c r="C3507" s="468" t="s">
        <v>2718</v>
      </c>
      <c r="D3507" s="468" t="s">
        <v>2719</v>
      </c>
      <c r="E3507" s="468" t="s">
        <v>545</v>
      </c>
      <c r="F3507" s="470">
        <v>20</v>
      </c>
      <c r="G3507" s="468">
        <v>29.707999999999998</v>
      </c>
      <c r="H3507" s="479">
        <v>594.16</v>
      </c>
      <c r="I3507" s="468" t="s">
        <v>9218</v>
      </c>
      <c r="J3507" s="468" t="s">
        <v>9219</v>
      </c>
      <c r="K3507" s="468" t="s">
        <v>9219</v>
      </c>
      <c r="L3507" s="468" t="s">
        <v>2354</v>
      </c>
    </row>
    <row r="3508" spans="1:12" x14ac:dyDescent="0.25">
      <c r="A3508" s="468" t="s">
        <v>220</v>
      </c>
      <c r="B3508" s="468" t="s">
        <v>5430</v>
      </c>
      <c r="D3508" s="468" t="s">
        <v>9441</v>
      </c>
      <c r="E3508" s="468" t="s">
        <v>545</v>
      </c>
      <c r="F3508" s="470">
        <v>15</v>
      </c>
      <c r="G3508" s="468">
        <v>3.1760000000000002</v>
      </c>
      <c r="H3508" s="479">
        <v>47.64</v>
      </c>
      <c r="I3508" s="468" t="s">
        <v>9218</v>
      </c>
      <c r="J3508" s="468" t="s">
        <v>9219</v>
      </c>
      <c r="K3508" s="468" t="s">
        <v>9219</v>
      </c>
      <c r="L3508" s="468" t="s">
        <v>2354</v>
      </c>
    </row>
    <row r="3509" spans="1:12" x14ac:dyDescent="0.25">
      <c r="A3509" s="468" t="s">
        <v>220</v>
      </c>
      <c r="B3509" s="468" t="s">
        <v>5430</v>
      </c>
      <c r="D3509" s="468" t="s">
        <v>9442</v>
      </c>
      <c r="E3509" s="468" t="s">
        <v>545</v>
      </c>
      <c r="F3509" s="470">
        <v>10</v>
      </c>
      <c r="G3509" s="468">
        <v>8.6999999999999994E-2</v>
      </c>
      <c r="H3509" s="479">
        <v>0.86999999999999988</v>
      </c>
      <c r="I3509" s="468" t="s">
        <v>9218</v>
      </c>
      <c r="J3509" s="468" t="s">
        <v>9219</v>
      </c>
      <c r="K3509" s="468" t="s">
        <v>9219</v>
      </c>
      <c r="L3509" s="468" t="s">
        <v>2354</v>
      </c>
    </row>
    <row r="3510" spans="1:12" x14ac:dyDescent="0.25">
      <c r="A3510" s="468" t="s">
        <v>220</v>
      </c>
      <c r="B3510" s="468" t="s">
        <v>5430</v>
      </c>
      <c r="D3510" s="468" t="s">
        <v>9443</v>
      </c>
      <c r="E3510" s="468" t="s">
        <v>545</v>
      </c>
      <c r="F3510" s="470">
        <v>5</v>
      </c>
      <c r="G3510" s="468">
        <v>1.0469999999999999</v>
      </c>
      <c r="H3510" s="479">
        <v>5.2349999999999994</v>
      </c>
      <c r="I3510" s="468" t="s">
        <v>9218</v>
      </c>
      <c r="J3510" s="468" t="s">
        <v>9219</v>
      </c>
      <c r="K3510" s="468" t="s">
        <v>9219</v>
      </c>
      <c r="L3510" s="468" t="s">
        <v>2354</v>
      </c>
    </row>
    <row r="3511" spans="1:12" x14ac:dyDescent="0.25">
      <c r="A3511" s="468" t="s">
        <v>220</v>
      </c>
      <c r="B3511" s="468" t="s">
        <v>5430</v>
      </c>
      <c r="D3511" s="468" t="s">
        <v>9444</v>
      </c>
      <c r="E3511" s="468" t="s">
        <v>545</v>
      </c>
      <c r="F3511" s="470">
        <v>5</v>
      </c>
      <c r="G3511" s="468">
        <v>35.28</v>
      </c>
      <c r="H3511" s="479">
        <v>176.4</v>
      </c>
      <c r="I3511" s="468" t="s">
        <v>9218</v>
      </c>
      <c r="J3511" s="468" t="s">
        <v>9219</v>
      </c>
      <c r="K3511" s="468" t="s">
        <v>9219</v>
      </c>
      <c r="L3511" s="468" t="s">
        <v>2354</v>
      </c>
    </row>
    <row r="3512" spans="1:12" x14ac:dyDescent="0.25">
      <c r="A3512" s="468" t="s">
        <v>220</v>
      </c>
      <c r="B3512" s="468" t="s">
        <v>5430</v>
      </c>
      <c r="D3512" s="468" t="s">
        <v>9445</v>
      </c>
      <c r="E3512" s="468" t="s">
        <v>545</v>
      </c>
      <c r="F3512" s="470">
        <v>5</v>
      </c>
      <c r="G3512" s="468">
        <v>1.96</v>
      </c>
      <c r="H3512" s="479">
        <v>9.8000000000000007</v>
      </c>
      <c r="I3512" s="468" t="s">
        <v>9218</v>
      </c>
      <c r="J3512" s="468" t="s">
        <v>9219</v>
      </c>
      <c r="K3512" s="468" t="s">
        <v>9219</v>
      </c>
      <c r="L3512" s="468" t="s">
        <v>2354</v>
      </c>
    </row>
    <row r="3513" spans="1:12" x14ac:dyDescent="0.25">
      <c r="A3513" s="468" t="s">
        <v>220</v>
      </c>
      <c r="B3513" s="468" t="s">
        <v>5430</v>
      </c>
      <c r="D3513" s="468" t="s">
        <v>9446</v>
      </c>
      <c r="E3513" s="468" t="s">
        <v>545</v>
      </c>
      <c r="F3513" s="470">
        <v>5</v>
      </c>
      <c r="G3513" s="468">
        <v>3.0259999999999998</v>
      </c>
      <c r="H3513" s="479">
        <v>15.129999999999999</v>
      </c>
      <c r="I3513" s="468" t="s">
        <v>9218</v>
      </c>
      <c r="J3513" s="468" t="s">
        <v>9219</v>
      </c>
      <c r="K3513" s="468" t="s">
        <v>9219</v>
      </c>
      <c r="L3513" s="468" t="s">
        <v>2354</v>
      </c>
    </row>
    <row r="3514" spans="1:12" x14ac:dyDescent="0.25">
      <c r="A3514" s="468" t="s">
        <v>220</v>
      </c>
      <c r="B3514" s="468" t="s">
        <v>5430</v>
      </c>
      <c r="D3514" s="468" t="s">
        <v>9447</v>
      </c>
      <c r="E3514" s="468" t="s">
        <v>545</v>
      </c>
      <c r="F3514" s="470">
        <v>4</v>
      </c>
      <c r="G3514" s="468">
        <v>5.3849999999999998</v>
      </c>
      <c r="H3514" s="479">
        <v>21.54</v>
      </c>
      <c r="I3514" s="468" t="s">
        <v>9218</v>
      </c>
      <c r="J3514" s="468" t="s">
        <v>9219</v>
      </c>
      <c r="K3514" s="468" t="s">
        <v>9219</v>
      </c>
      <c r="L3514" s="468" t="s">
        <v>2354</v>
      </c>
    </row>
    <row r="3515" spans="1:12" x14ac:dyDescent="0.25">
      <c r="A3515" s="468" t="s">
        <v>220</v>
      </c>
      <c r="B3515" s="468" t="s">
        <v>5430</v>
      </c>
      <c r="D3515" s="468" t="s">
        <v>9448</v>
      </c>
      <c r="E3515" s="468" t="s">
        <v>545</v>
      </c>
      <c r="F3515" s="470">
        <v>5</v>
      </c>
      <c r="G3515" s="468">
        <v>5.1589999999999998</v>
      </c>
      <c r="H3515" s="479">
        <v>25.794999999999998</v>
      </c>
      <c r="I3515" s="468" t="s">
        <v>9218</v>
      </c>
      <c r="J3515" s="468" t="s">
        <v>9219</v>
      </c>
      <c r="K3515" s="468" t="s">
        <v>9219</v>
      </c>
      <c r="L3515" s="468" t="s">
        <v>2354</v>
      </c>
    </row>
    <row r="3516" spans="1:12" x14ac:dyDescent="0.25">
      <c r="A3516" s="468" t="s">
        <v>220</v>
      </c>
      <c r="B3516" s="468" t="s">
        <v>5430</v>
      </c>
      <c r="D3516" s="468" t="s">
        <v>9449</v>
      </c>
      <c r="E3516" s="468" t="s">
        <v>545</v>
      </c>
      <c r="F3516" s="470">
        <v>5</v>
      </c>
      <c r="G3516" s="468">
        <v>13.534000000000001</v>
      </c>
      <c r="H3516" s="479">
        <v>67.67</v>
      </c>
      <c r="I3516" s="468" t="s">
        <v>9218</v>
      </c>
      <c r="J3516" s="468" t="s">
        <v>9219</v>
      </c>
      <c r="K3516" s="468" t="s">
        <v>9219</v>
      </c>
      <c r="L3516" s="468" t="s">
        <v>2354</v>
      </c>
    </row>
    <row r="3517" spans="1:12" x14ac:dyDescent="0.25">
      <c r="A3517" s="468" t="s">
        <v>220</v>
      </c>
      <c r="B3517" s="468" t="s">
        <v>5430</v>
      </c>
      <c r="C3517" s="468" t="s">
        <v>2720</v>
      </c>
      <c r="D3517" s="468" t="s">
        <v>2721</v>
      </c>
      <c r="E3517" s="468" t="s">
        <v>545</v>
      </c>
      <c r="F3517" s="470">
        <v>20</v>
      </c>
      <c r="G3517" s="468">
        <v>17.7</v>
      </c>
      <c r="H3517" s="479">
        <v>354</v>
      </c>
      <c r="I3517" s="468" t="s">
        <v>9218</v>
      </c>
      <c r="J3517" s="468" t="s">
        <v>9219</v>
      </c>
      <c r="K3517" s="468" t="s">
        <v>9219</v>
      </c>
      <c r="L3517" s="468" t="s">
        <v>2354</v>
      </c>
    </row>
    <row r="3518" spans="1:12" x14ac:dyDescent="0.25">
      <c r="A3518" s="468" t="s">
        <v>220</v>
      </c>
      <c r="B3518" s="468" t="s">
        <v>5430</v>
      </c>
      <c r="C3518" s="468" t="s">
        <v>2722</v>
      </c>
      <c r="D3518" s="468" t="s">
        <v>2723</v>
      </c>
      <c r="E3518" s="468" t="s">
        <v>545</v>
      </c>
      <c r="F3518" s="470">
        <v>25</v>
      </c>
      <c r="G3518" s="468">
        <v>18.088000000000001</v>
      </c>
      <c r="H3518" s="479">
        <v>452.20000000000005</v>
      </c>
      <c r="I3518" s="468" t="s">
        <v>9218</v>
      </c>
      <c r="J3518" s="468" t="s">
        <v>9219</v>
      </c>
      <c r="K3518" s="468" t="s">
        <v>9219</v>
      </c>
      <c r="L3518" s="468" t="s">
        <v>2354</v>
      </c>
    </row>
    <row r="3519" spans="1:12" x14ac:dyDescent="0.25">
      <c r="A3519" s="468" t="s">
        <v>220</v>
      </c>
      <c r="B3519" s="468" t="s">
        <v>5430</v>
      </c>
      <c r="D3519" s="468" t="s">
        <v>9450</v>
      </c>
      <c r="E3519" s="468" t="s">
        <v>545</v>
      </c>
      <c r="F3519" s="470">
        <v>20</v>
      </c>
      <c r="G3519" s="468">
        <v>52.5</v>
      </c>
      <c r="H3519" s="479">
        <v>1050</v>
      </c>
      <c r="I3519" s="468" t="s">
        <v>9218</v>
      </c>
      <c r="J3519" s="468" t="s">
        <v>9219</v>
      </c>
      <c r="K3519" s="468" t="s">
        <v>9219</v>
      </c>
      <c r="L3519" s="468" t="s">
        <v>2354</v>
      </c>
    </row>
    <row r="3520" spans="1:12" x14ac:dyDescent="0.25">
      <c r="A3520" s="468" t="s">
        <v>220</v>
      </c>
      <c r="B3520" s="468" t="s">
        <v>5430</v>
      </c>
      <c r="C3520" s="468" t="s">
        <v>2724</v>
      </c>
      <c r="D3520" s="468" t="s">
        <v>2725</v>
      </c>
      <c r="E3520" s="468" t="s">
        <v>545</v>
      </c>
      <c r="F3520" s="470">
        <v>14</v>
      </c>
      <c r="G3520" s="468">
        <v>36.405000000000001</v>
      </c>
      <c r="H3520" s="479">
        <v>509.67</v>
      </c>
      <c r="I3520" s="468" t="s">
        <v>9218</v>
      </c>
      <c r="J3520" s="468" t="s">
        <v>9219</v>
      </c>
      <c r="K3520" s="468" t="s">
        <v>9219</v>
      </c>
      <c r="L3520" s="468" t="s">
        <v>2354</v>
      </c>
    </row>
    <row r="3521" spans="1:12" x14ac:dyDescent="0.25">
      <c r="A3521" s="468" t="s">
        <v>220</v>
      </c>
      <c r="B3521" s="468" t="s">
        <v>5430</v>
      </c>
      <c r="C3521" s="468" t="s">
        <v>2726</v>
      </c>
      <c r="D3521" s="468" t="s">
        <v>2727</v>
      </c>
      <c r="E3521" s="468" t="s">
        <v>545</v>
      </c>
      <c r="F3521" s="470">
        <v>8.6999999999999993</v>
      </c>
      <c r="G3521" s="468">
        <v>48.222000000000001</v>
      </c>
      <c r="H3521" s="479">
        <v>419.53139999999996</v>
      </c>
      <c r="I3521" s="468" t="s">
        <v>9218</v>
      </c>
      <c r="J3521" s="468" t="s">
        <v>9219</v>
      </c>
      <c r="K3521" s="468" t="s">
        <v>9219</v>
      </c>
      <c r="L3521" s="468" t="s">
        <v>2354</v>
      </c>
    </row>
    <row r="3522" spans="1:12" x14ac:dyDescent="0.25">
      <c r="A3522" s="468" t="s">
        <v>220</v>
      </c>
      <c r="B3522" s="468" t="s">
        <v>5430</v>
      </c>
      <c r="C3522" s="468" t="s">
        <v>5787</v>
      </c>
      <c r="D3522" s="468" t="s">
        <v>5788</v>
      </c>
      <c r="E3522" s="468" t="s">
        <v>545</v>
      </c>
      <c r="F3522" s="470">
        <v>100</v>
      </c>
      <c r="G3522" s="468">
        <v>2.0499999999999998</v>
      </c>
      <c r="H3522" s="479">
        <v>204.99999999999997</v>
      </c>
      <c r="I3522" s="468" t="s">
        <v>9218</v>
      </c>
      <c r="J3522" s="468" t="s">
        <v>9219</v>
      </c>
      <c r="K3522" s="468" t="s">
        <v>9219</v>
      </c>
      <c r="L3522" s="468" t="s">
        <v>2354</v>
      </c>
    </row>
    <row r="3523" spans="1:12" x14ac:dyDescent="0.25">
      <c r="A3523" s="468" t="s">
        <v>220</v>
      </c>
      <c r="B3523" s="468" t="s">
        <v>5430</v>
      </c>
      <c r="C3523" s="468" t="s">
        <v>3145</v>
      </c>
      <c r="D3523" s="468" t="s">
        <v>8495</v>
      </c>
      <c r="F3523" s="470">
        <v>48</v>
      </c>
      <c r="G3523" s="468">
        <v>3.306</v>
      </c>
      <c r="H3523" s="479">
        <v>158.68799999999999</v>
      </c>
      <c r="I3523" s="468" t="s">
        <v>9218</v>
      </c>
      <c r="J3523" s="468" t="s">
        <v>9219</v>
      </c>
      <c r="K3523" s="468" t="s">
        <v>9219</v>
      </c>
      <c r="L3523" s="468" t="s">
        <v>2354</v>
      </c>
    </row>
    <row r="3524" spans="1:12" x14ac:dyDescent="0.25">
      <c r="A3524" s="468" t="s">
        <v>220</v>
      </c>
      <c r="B3524" s="468" t="s">
        <v>5430</v>
      </c>
      <c r="C3524" s="468" t="s">
        <v>6234</v>
      </c>
      <c r="D3524" s="468" t="s">
        <v>8496</v>
      </c>
      <c r="F3524" s="470">
        <v>30</v>
      </c>
      <c r="G3524" s="468">
        <v>3.3170000000000002</v>
      </c>
      <c r="H3524" s="479">
        <v>99.51</v>
      </c>
      <c r="I3524" s="468" t="s">
        <v>9218</v>
      </c>
      <c r="J3524" s="468" t="s">
        <v>9219</v>
      </c>
      <c r="K3524" s="468" t="s">
        <v>9219</v>
      </c>
      <c r="L3524" s="468" t="s">
        <v>2354</v>
      </c>
    </row>
    <row r="3525" spans="1:12" x14ac:dyDescent="0.25">
      <c r="A3525" s="468" t="s">
        <v>220</v>
      </c>
      <c r="B3525" s="468" t="s">
        <v>5430</v>
      </c>
      <c r="C3525" s="468" t="s">
        <v>3149</v>
      </c>
      <c r="D3525" s="468" t="s">
        <v>8497</v>
      </c>
      <c r="F3525" s="470">
        <v>52</v>
      </c>
      <c r="G3525" s="468">
        <v>1.631</v>
      </c>
      <c r="H3525" s="479">
        <v>84.811999999999998</v>
      </c>
      <c r="I3525" s="468" t="s">
        <v>9218</v>
      </c>
      <c r="J3525" s="468" t="s">
        <v>9219</v>
      </c>
      <c r="K3525" s="468" t="s">
        <v>9219</v>
      </c>
      <c r="L3525" s="468" t="s">
        <v>2354</v>
      </c>
    </row>
    <row r="3526" spans="1:12" x14ac:dyDescent="0.25">
      <c r="A3526" s="468" t="s">
        <v>220</v>
      </c>
      <c r="B3526" s="468" t="s">
        <v>5430</v>
      </c>
      <c r="C3526" s="468" t="s">
        <v>3153</v>
      </c>
      <c r="D3526" s="468" t="s">
        <v>8498</v>
      </c>
      <c r="F3526" s="470">
        <v>20</v>
      </c>
      <c r="G3526" s="468">
        <v>4.1769999999999996</v>
      </c>
      <c r="H3526" s="479">
        <v>83.539999999999992</v>
      </c>
      <c r="I3526" s="468" t="s">
        <v>9218</v>
      </c>
      <c r="J3526" s="468" t="s">
        <v>9219</v>
      </c>
      <c r="K3526" s="468" t="s">
        <v>9219</v>
      </c>
      <c r="L3526" s="468" t="s">
        <v>2354</v>
      </c>
    </row>
    <row r="3527" spans="1:12" x14ac:dyDescent="0.25">
      <c r="A3527" s="468" t="s">
        <v>220</v>
      </c>
      <c r="B3527" s="468" t="s">
        <v>5430</v>
      </c>
      <c r="C3527" s="468" t="s">
        <v>6235</v>
      </c>
      <c r="D3527" s="468" t="s">
        <v>8499</v>
      </c>
      <c r="F3527" s="470">
        <v>1</v>
      </c>
      <c r="G3527" s="468">
        <v>8.5250000000000004</v>
      </c>
      <c r="H3527" s="479">
        <v>8.5250000000000004</v>
      </c>
      <c r="I3527" s="468" t="s">
        <v>9218</v>
      </c>
      <c r="J3527" s="468" t="s">
        <v>9219</v>
      </c>
      <c r="K3527" s="468" t="s">
        <v>9219</v>
      </c>
      <c r="L3527" s="468" t="s">
        <v>2354</v>
      </c>
    </row>
    <row r="3528" spans="1:12" x14ac:dyDescent="0.25">
      <c r="A3528" s="468" t="s">
        <v>220</v>
      </c>
      <c r="B3528" s="468" t="s">
        <v>5430</v>
      </c>
      <c r="C3528" s="468" t="s">
        <v>6237</v>
      </c>
      <c r="D3528" s="468" t="s">
        <v>8500</v>
      </c>
      <c r="F3528" s="470">
        <v>23</v>
      </c>
      <c r="G3528" s="468">
        <v>8.702</v>
      </c>
      <c r="H3528" s="479">
        <v>200.14599999999999</v>
      </c>
      <c r="I3528" s="468" t="s">
        <v>9218</v>
      </c>
      <c r="J3528" s="468" t="s">
        <v>9219</v>
      </c>
      <c r="K3528" s="468" t="s">
        <v>9219</v>
      </c>
      <c r="L3528" s="468" t="s">
        <v>2354</v>
      </c>
    </row>
    <row r="3529" spans="1:12" x14ac:dyDescent="0.25">
      <c r="A3529" s="468" t="s">
        <v>220</v>
      </c>
      <c r="B3529" s="468" t="s">
        <v>5430</v>
      </c>
      <c r="C3529" s="468" t="s">
        <v>6239</v>
      </c>
      <c r="D3529" s="468" t="s">
        <v>8501</v>
      </c>
      <c r="F3529" s="470">
        <v>10</v>
      </c>
      <c r="G3529" s="468">
        <v>13.973000000000001</v>
      </c>
      <c r="H3529" s="479">
        <v>139.73000000000002</v>
      </c>
      <c r="I3529" s="468" t="s">
        <v>9218</v>
      </c>
      <c r="J3529" s="468" t="s">
        <v>9219</v>
      </c>
      <c r="K3529" s="468" t="s">
        <v>9219</v>
      </c>
      <c r="L3529" s="468" t="s">
        <v>2354</v>
      </c>
    </row>
    <row r="3530" spans="1:12" x14ac:dyDescent="0.25">
      <c r="A3530" s="468" t="s">
        <v>220</v>
      </c>
      <c r="B3530" s="468" t="s">
        <v>5430</v>
      </c>
      <c r="C3530" s="468" t="s">
        <v>6241</v>
      </c>
      <c r="D3530" s="468" t="s">
        <v>8502</v>
      </c>
      <c r="F3530" s="470">
        <v>16</v>
      </c>
      <c r="G3530" s="468">
        <v>4.7530000000000001</v>
      </c>
      <c r="H3530" s="479">
        <v>76.048000000000002</v>
      </c>
      <c r="I3530" s="468" t="s">
        <v>9218</v>
      </c>
      <c r="J3530" s="468" t="s">
        <v>9219</v>
      </c>
      <c r="K3530" s="468" t="s">
        <v>9219</v>
      </c>
      <c r="L3530" s="468" t="s">
        <v>2354</v>
      </c>
    </row>
    <row r="3531" spans="1:12" x14ac:dyDescent="0.25">
      <c r="A3531" s="468" t="s">
        <v>220</v>
      </c>
      <c r="B3531" s="468" t="s">
        <v>5430</v>
      </c>
      <c r="C3531" s="468" t="s">
        <v>6243</v>
      </c>
      <c r="D3531" s="468" t="s">
        <v>8503</v>
      </c>
      <c r="F3531" s="470">
        <v>3</v>
      </c>
      <c r="G3531" s="468">
        <v>1.89</v>
      </c>
      <c r="H3531" s="479">
        <v>5.67</v>
      </c>
      <c r="I3531" s="468" t="s">
        <v>9218</v>
      </c>
      <c r="J3531" s="468" t="s">
        <v>9219</v>
      </c>
      <c r="K3531" s="468" t="s">
        <v>9219</v>
      </c>
      <c r="L3531" s="468" t="s">
        <v>2354</v>
      </c>
    </row>
    <row r="3532" spans="1:12" x14ac:dyDescent="0.25">
      <c r="A3532" s="468" t="s">
        <v>220</v>
      </c>
      <c r="B3532" s="468" t="s">
        <v>5430</v>
      </c>
      <c r="C3532" s="468" t="s">
        <v>6245</v>
      </c>
      <c r="D3532" s="468" t="s">
        <v>8504</v>
      </c>
      <c r="F3532" s="470">
        <v>7</v>
      </c>
      <c r="G3532" s="468">
        <v>45.441000000000003</v>
      </c>
      <c r="H3532" s="479">
        <v>318.08699999999999</v>
      </c>
      <c r="I3532" s="468" t="s">
        <v>9218</v>
      </c>
      <c r="J3532" s="468" t="s">
        <v>9219</v>
      </c>
      <c r="K3532" s="468" t="s">
        <v>9219</v>
      </c>
      <c r="L3532" s="468" t="s">
        <v>2354</v>
      </c>
    </row>
    <row r="3533" spans="1:12" x14ac:dyDescent="0.25">
      <c r="A3533" s="468" t="s">
        <v>220</v>
      </c>
      <c r="B3533" s="468" t="s">
        <v>5430</v>
      </c>
      <c r="C3533" s="468" t="s">
        <v>6247</v>
      </c>
      <c r="D3533" s="468" t="s">
        <v>8505</v>
      </c>
      <c r="F3533" s="470">
        <v>22</v>
      </c>
      <c r="G3533" s="468">
        <v>8.4109999999999996</v>
      </c>
      <c r="H3533" s="479">
        <v>185.042</v>
      </c>
      <c r="I3533" s="468" t="s">
        <v>9218</v>
      </c>
      <c r="J3533" s="468" t="s">
        <v>9219</v>
      </c>
      <c r="K3533" s="468" t="s">
        <v>9219</v>
      </c>
      <c r="L3533" s="468" t="s">
        <v>2354</v>
      </c>
    </row>
    <row r="3534" spans="1:12" x14ac:dyDescent="0.25">
      <c r="A3534" s="468" t="s">
        <v>220</v>
      </c>
      <c r="B3534" s="468" t="s">
        <v>5430</v>
      </c>
      <c r="C3534" s="468" t="s">
        <v>8506</v>
      </c>
      <c r="D3534" s="468" t="s">
        <v>8507</v>
      </c>
      <c r="F3534" s="470">
        <v>1</v>
      </c>
      <c r="G3534" s="468">
        <v>17.094000000000001</v>
      </c>
      <c r="H3534" s="479">
        <v>17.094000000000001</v>
      </c>
      <c r="I3534" s="468" t="s">
        <v>9218</v>
      </c>
      <c r="J3534" s="468" t="s">
        <v>9219</v>
      </c>
      <c r="K3534" s="468" t="s">
        <v>9219</v>
      </c>
      <c r="L3534" s="468" t="s">
        <v>2354</v>
      </c>
    </row>
    <row r="3535" spans="1:12" x14ac:dyDescent="0.25">
      <c r="A3535" s="468" t="s">
        <v>220</v>
      </c>
      <c r="B3535" s="468" t="s">
        <v>5430</v>
      </c>
      <c r="C3535" s="468" t="s">
        <v>6249</v>
      </c>
      <c r="D3535" s="468" t="s">
        <v>8508</v>
      </c>
      <c r="F3535" s="470">
        <v>35</v>
      </c>
      <c r="G3535" s="468">
        <v>2.8570000000000002</v>
      </c>
      <c r="H3535" s="479">
        <v>99.995000000000005</v>
      </c>
      <c r="I3535" s="468" t="s">
        <v>9218</v>
      </c>
      <c r="J3535" s="468" t="s">
        <v>9219</v>
      </c>
      <c r="K3535" s="468" t="s">
        <v>9219</v>
      </c>
      <c r="L3535" s="468" t="s">
        <v>2354</v>
      </c>
    </row>
    <row r="3536" spans="1:12" x14ac:dyDescent="0.25">
      <c r="A3536" s="468" t="s">
        <v>220</v>
      </c>
      <c r="B3536" s="468" t="s">
        <v>5430</v>
      </c>
      <c r="C3536" s="468" t="s">
        <v>3165</v>
      </c>
      <c r="D3536" s="468" t="s">
        <v>8509</v>
      </c>
      <c r="F3536" s="470">
        <v>40</v>
      </c>
      <c r="G3536" s="468">
        <v>0.67500000000000004</v>
      </c>
      <c r="H3536" s="479">
        <v>27</v>
      </c>
      <c r="I3536" s="468" t="s">
        <v>9218</v>
      </c>
      <c r="J3536" s="468" t="s">
        <v>9219</v>
      </c>
      <c r="K3536" s="468" t="s">
        <v>9219</v>
      </c>
      <c r="L3536" s="468" t="s">
        <v>2354</v>
      </c>
    </row>
    <row r="3537" spans="1:12" x14ac:dyDescent="0.25">
      <c r="A3537" s="468" t="s">
        <v>220</v>
      </c>
      <c r="B3537" s="468" t="s">
        <v>5430</v>
      </c>
      <c r="C3537" s="468" t="s">
        <v>6253</v>
      </c>
      <c r="D3537" s="468" t="s">
        <v>8510</v>
      </c>
      <c r="F3537" s="470">
        <v>1</v>
      </c>
      <c r="G3537" s="468">
        <v>35.167999999999999</v>
      </c>
      <c r="H3537" s="479">
        <v>35.167999999999999</v>
      </c>
      <c r="I3537" s="468" t="s">
        <v>9218</v>
      </c>
      <c r="J3537" s="468" t="s">
        <v>9219</v>
      </c>
      <c r="K3537" s="468" t="s">
        <v>9219</v>
      </c>
      <c r="L3537" s="468" t="s">
        <v>2354</v>
      </c>
    </row>
    <row r="3538" spans="1:12" x14ac:dyDescent="0.25">
      <c r="A3538" s="468" t="s">
        <v>220</v>
      </c>
      <c r="B3538" s="468" t="s">
        <v>5430</v>
      </c>
      <c r="C3538" s="468" t="s">
        <v>3167</v>
      </c>
      <c r="D3538" s="468" t="s">
        <v>8511</v>
      </c>
      <c r="F3538" s="470">
        <v>1</v>
      </c>
      <c r="G3538" s="468">
        <v>57.436999999999998</v>
      </c>
      <c r="H3538" s="479">
        <v>57.436999999999998</v>
      </c>
      <c r="I3538" s="468" t="s">
        <v>9218</v>
      </c>
      <c r="J3538" s="468" t="s">
        <v>9219</v>
      </c>
      <c r="K3538" s="468" t="s">
        <v>9219</v>
      </c>
      <c r="L3538" s="468" t="s">
        <v>2354</v>
      </c>
    </row>
    <row r="3539" spans="1:12" x14ac:dyDescent="0.25">
      <c r="A3539" s="468" t="s">
        <v>220</v>
      </c>
      <c r="B3539" s="468" t="s">
        <v>5430</v>
      </c>
      <c r="C3539" s="468" t="s">
        <v>6255</v>
      </c>
      <c r="D3539" s="468" t="s">
        <v>8512</v>
      </c>
      <c r="F3539" s="470">
        <v>1</v>
      </c>
      <c r="G3539" s="468">
        <v>35.167999999999999</v>
      </c>
      <c r="H3539" s="479">
        <v>35.167999999999999</v>
      </c>
      <c r="I3539" s="468" t="s">
        <v>9218</v>
      </c>
      <c r="J3539" s="468" t="s">
        <v>9219</v>
      </c>
      <c r="K3539" s="468" t="s">
        <v>9219</v>
      </c>
      <c r="L3539" s="468" t="s">
        <v>2354</v>
      </c>
    </row>
    <row r="3540" spans="1:12" x14ac:dyDescent="0.25">
      <c r="A3540" s="468" t="s">
        <v>220</v>
      </c>
      <c r="B3540" s="468" t="s">
        <v>5430</v>
      </c>
      <c r="C3540" s="468" t="s">
        <v>6257</v>
      </c>
      <c r="D3540" s="468" t="s">
        <v>8513</v>
      </c>
      <c r="F3540" s="470">
        <v>2</v>
      </c>
      <c r="G3540" s="468">
        <v>48.454000000000001</v>
      </c>
      <c r="H3540" s="479">
        <v>96.908000000000001</v>
      </c>
      <c r="I3540" s="468" t="s">
        <v>9218</v>
      </c>
      <c r="J3540" s="468" t="s">
        <v>9219</v>
      </c>
      <c r="K3540" s="468" t="s">
        <v>9219</v>
      </c>
      <c r="L3540" s="468" t="s">
        <v>2354</v>
      </c>
    </row>
    <row r="3541" spans="1:12" x14ac:dyDescent="0.25">
      <c r="A3541" s="468" t="s">
        <v>220</v>
      </c>
      <c r="B3541" s="468" t="s">
        <v>5430</v>
      </c>
      <c r="C3541" s="468" t="s">
        <v>6259</v>
      </c>
      <c r="D3541" s="468" t="s">
        <v>8514</v>
      </c>
      <c r="F3541" s="470">
        <v>2</v>
      </c>
      <c r="G3541" s="468">
        <v>48.454000000000001</v>
      </c>
      <c r="H3541" s="479">
        <v>96.908000000000001</v>
      </c>
      <c r="I3541" s="468" t="s">
        <v>9218</v>
      </c>
      <c r="J3541" s="468" t="s">
        <v>9219</v>
      </c>
      <c r="K3541" s="468" t="s">
        <v>9219</v>
      </c>
      <c r="L3541" s="468" t="s">
        <v>2354</v>
      </c>
    </row>
    <row r="3542" spans="1:12" x14ac:dyDescent="0.25">
      <c r="A3542" s="468" t="s">
        <v>220</v>
      </c>
      <c r="B3542" s="468" t="s">
        <v>5430</v>
      </c>
      <c r="C3542" s="468" t="s">
        <v>6261</v>
      </c>
      <c r="D3542" s="468" t="s">
        <v>8515</v>
      </c>
      <c r="F3542" s="470">
        <v>2</v>
      </c>
      <c r="G3542" s="468">
        <v>58.637</v>
      </c>
      <c r="H3542" s="479">
        <v>117.274</v>
      </c>
      <c r="I3542" s="468" t="s">
        <v>9218</v>
      </c>
      <c r="J3542" s="468" t="s">
        <v>9219</v>
      </c>
      <c r="K3542" s="468" t="s">
        <v>9219</v>
      </c>
      <c r="L3542" s="468" t="s">
        <v>2354</v>
      </c>
    </row>
    <row r="3543" spans="1:12" x14ac:dyDescent="0.25">
      <c r="A3543" s="468" t="s">
        <v>220</v>
      </c>
      <c r="B3543" s="468" t="s">
        <v>5430</v>
      </c>
      <c r="C3543" s="468" t="s">
        <v>5452</v>
      </c>
      <c r="D3543" s="468" t="s">
        <v>8516</v>
      </c>
      <c r="F3543" s="470">
        <v>1</v>
      </c>
      <c r="G3543" s="468">
        <v>1.8</v>
      </c>
      <c r="H3543" s="479">
        <v>1.8</v>
      </c>
      <c r="I3543" s="468" t="s">
        <v>9218</v>
      </c>
      <c r="J3543" s="468" t="s">
        <v>9219</v>
      </c>
      <c r="K3543" s="468" t="s">
        <v>9219</v>
      </c>
      <c r="L3543" s="468" t="s">
        <v>2354</v>
      </c>
    </row>
    <row r="3544" spans="1:12" x14ac:dyDescent="0.25">
      <c r="A3544" s="468" t="s">
        <v>220</v>
      </c>
      <c r="B3544" s="468" t="s">
        <v>5430</v>
      </c>
      <c r="C3544" s="468" t="s">
        <v>6263</v>
      </c>
      <c r="D3544" s="468" t="s">
        <v>8517</v>
      </c>
      <c r="F3544" s="470">
        <v>3</v>
      </c>
      <c r="G3544" s="468">
        <v>113.399</v>
      </c>
      <c r="H3544" s="479">
        <v>340.197</v>
      </c>
      <c r="I3544" s="468" t="s">
        <v>9218</v>
      </c>
      <c r="J3544" s="468" t="s">
        <v>9219</v>
      </c>
      <c r="K3544" s="468" t="s">
        <v>9219</v>
      </c>
      <c r="L3544" s="468" t="s">
        <v>2354</v>
      </c>
    </row>
    <row r="3545" spans="1:12" x14ac:dyDescent="0.25">
      <c r="A3545" s="468" t="s">
        <v>220</v>
      </c>
      <c r="B3545" s="468" t="s">
        <v>5430</v>
      </c>
      <c r="C3545" s="468" t="s">
        <v>3203</v>
      </c>
      <c r="D3545" s="468" t="s">
        <v>8518</v>
      </c>
      <c r="F3545" s="470">
        <v>37</v>
      </c>
      <c r="G3545" s="468">
        <v>0.58699999999999997</v>
      </c>
      <c r="H3545" s="479">
        <v>21.718999999999998</v>
      </c>
      <c r="I3545" s="468" t="s">
        <v>9218</v>
      </c>
      <c r="J3545" s="468" t="s">
        <v>9219</v>
      </c>
      <c r="K3545" s="468" t="s">
        <v>9219</v>
      </c>
      <c r="L3545" s="468" t="s">
        <v>2354</v>
      </c>
    </row>
    <row r="3546" spans="1:12" x14ac:dyDescent="0.25">
      <c r="A3546" s="468" t="s">
        <v>220</v>
      </c>
      <c r="B3546" s="468" t="s">
        <v>5430</v>
      </c>
      <c r="C3546" s="468" t="s">
        <v>5372</v>
      </c>
      <c r="D3546" s="468" t="s">
        <v>8519</v>
      </c>
      <c r="F3546" s="470">
        <v>81</v>
      </c>
      <c r="G3546" s="468">
        <v>0.70399999999999996</v>
      </c>
      <c r="H3546" s="479">
        <v>57.023999999999994</v>
      </c>
      <c r="I3546" s="468" t="s">
        <v>9218</v>
      </c>
      <c r="J3546" s="468" t="s">
        <v>9219</v>
      </c>
      <c r="K3546" s="468" t="s">
        <v>9219</v>
      </c>
      <c r="L3546" s="468" t="s">
        <v>2354</v>
      </c>
    </row>
    <row r="3547" spans="1:12" x14ac:dyDescent="0.25">
      <c r="A3547" s="468" t="s">
        <v>220</v>
      </c>
      <c r="B3547" s="468" t="s">
        <v>5430</v>
      </c>
      <c r="C3547" s="468" t="s">
        <v>6265</v>
      </c>
      <c r="D3547" s="468" t="s">
        <v>8520</v>
      </c>
      <c r="F3547" s="470">
        <v>34</v>
      </c>
      <c r="G3547" s="468">
        <v>0.77400000000000002</v>
      </c>
      <c r="H3547" s="479">
        <v>26.316000000000003</v>
      </c>
      <c r="I3547" s="468" t="s">
        <v>9218</v>
      </c>
      <c r="J3547" s="468" t="s">
        <v>9219</v>
      </c>
      <c r="K3547" s="468" t="s">
        <v>9219</v>
      </c>
      <c r="L3547" s="468" t="s">
        <v>2354</v>
      </c>
    </row>
    <row r="3548" spans="1:12" x14ac:dyDescent="0.25">
      <c r="A3548" s="468" t="s">
        <v>220</v>
      </c>
      <c r="B3548" s="468" t="s">
        <v>5430</v>
      </c>
      <c r="C3548" s="468" t="s">
        <v>3205</v>
      </c>
      <c r="D3548" s="468" t="s">
        <v>8521</v>
      </c>
      <c r="F3548" s="470">
        <v>41</v>
      </c>
      <c r="G3548" s="468">
        <v>1.627</v>
      </c>
      <c r="H3548" s="479">
        <v>66.706999999999994</v>
      </c>
      <c r="I3548" s="468" t="s">
        <v>9218</v>
      </c>
      <c r="J3548" s="468" t="s">
        <v>9219</v>
      </c>
      <c r="K3548" s="468" t="s">
        <v>9219</v>
      </c>
      <c r="L3548" s="468" t="s">
        <v>2354</v>
      </c>
    </row>
    <row r="3549" spans="1:12" x14ac:dyDescent="0.25">
      <c r="A3549" s="468" t="s">
        <v>220</v>
      </c>
      <c r="B3549" s="468" t="s">
        <v>5430</v>
      </c>
      <c r="C3549" s="468" t="s">
        <v>3207</v>
      </c>
      <c r="D3549" s="468" t="s">
        <v>8522</v>
      </c>
      <c r="F3549" s="470">
        <v>47</v>
      </c>
      <c r="G3549" s="468">
        <v>2.3969999999999998</v>
      </c>
      <c r="H3549" s="479">
        <v>112.65899999999999</v>
      </c>
      <c r="I3549" s="468" t="s">
        <v>9218</v>
      </c>
      <c r="J3549" s="468" t="s">
        <v>9219</v>
      </c>
      <c r="K3549" s="468" t="s">
        <v>9219</v>
      </c>
      <c r="L3549" s="468" t="s">
        <v>2354</v>
      </c>
    </row>
    <row r="3550" spans="1:12" x14ac:dyDescent="0.25">
      <c r="A3550" s="468" t="s">
        <v>220</v>
      </c>
      <c r="B3550" s="468" t="s">
        <v>5430</v>
      </c>
      <c r="C3550" s="468" t="s">
        <v>6270</v>
      </c>
      <c r="D3550" s="468" t="s">
        <v>6271</v>
      </c>
      <c r="F3550" s="470">
        <v>34</v>
      </c>
      <c r="G3550" s="468">
        <v>11.939</v>
      </c>
      <c r="H3550" s="479">
        <v>405.92599999999999</v>
      </c>
      <c r="I3550" s="468" t="s">
        <v>9218</v>
      </c>
      <c r="J3550" s="468" t="s">
        <v>9219</v>
      </c>
      <c r="K3550" s="468" t="s">
        <v>9219</v>
      </c>
      <c r="L3550" s="468" t="s">
        <v>2354</v>
      </c>
    </row>
    <row r="3551" spans="1:12" x14ac:dyDescent="0.25">
      <c r="A3551" s="468" t="s">
        <v>220</v>
      </c>
      <c r="B3551" s="468" t="s">
        <v>5430</v>
      </c>
      <c r="C3551" s="468" t="s">
        <v>6272</v>
      </c>
      <c r="D3551" s="468" t="s">
        <v>6273</v>
      </c>
      <c r="F3551" s="470">
        <v>10</v>
      </c>
      <c r="G3551" s="468">
        <v>0.36599999999999999</v>
      </c>
      <c r="H3551" s="479">
        <v>3.66</v>
      </c>
      <c r="I3551" s="468" t="s">
        <v>9218</v>
      </c>
      <c r="J3551" s="468" t="s">
        <v>9219</v>
      </c>
      <c r="K3551" s="468" t="s">
        <v>9219</v>
      </c>
      <c r="L3551" s="468" t="s">
        <v>2354</v>
      </c>
    </row>
    <row r="3552" spans="1:12" x14ac:dyDescent="0.25">
      <c r="A3552" s="468" t="s">
        <v>220</v>
      </c>
      <c r="B3552" s="468" t="s">
        <v>5430</v>
      </c>
      <c r="C3552" s="468" t="s">
        <v>3211</v>
      </c>
      <c r="D3552" s="468" t="s">
        <v>3212</v>
      </c>
      <c r="F3552" s="470">
        <v>28</v>
      </c>
      <c r="G3552" s="468">
        <v>0.41299999999999998</v>
      </c>
      <c r="H3552" s="479">
        <v>11.564</v>
      </c>
      <c r="I3552" s="468" t="s">
        <v>9218</v>
      </c>
      <c r="J3552" s="468" t="s">
        <v>9219</v>
      </c>
      <c r="K3552" s="468" t="s">
        <v>9219</v>
      </c>
      <c r="L3552" s="468" t="s">
        <v>2354</v>
      </c>
    </row>
    <row r="3553" spans="1:12" x14ac:dyDescent="0.25">
      <c r="A3553" s="468" t="s">
        <v>220</v>
      </c>
      <c r="B3553" s="468" t="s">
        <v>5430</v>
      </c>
      <c r="C3553" s="468" t="s">
        <v>3219</v>
      </c>
      <c r="D3553" s="468" t="s">
        <v>3220</v>
      </c>
      <c r="F3553" s="470">
        <v>22</v>
      </c>
      <c r="G3553" s="468">
        <v>0.746</v>
      </c>
      <c r="H3553" s="479">
        <v>16.411999999999999</v>
      </c>
      <c r="I3553" s="468" t="s">
        <v>9218</v>
      </c>
      <c r="J3553" s="468" t="s">
        <v>9219</v>
      </c>
      <c r="K3553" s="468" t="s">
        <v>9219</v>
      </c>
      <c r="L3553" s="468" t="s">
        <v>2354</v>
      </c>
    </row>
    <row r="3554" spans="1:12" x14ac:dyDescent="0.25">
      <c r="A3554" s="468" t="s">
        <v>220</v>
      </c>
      <c r="B3554" s="468" t="s">
        <v>5430</v>
      </c>
      <c r="C3554" s="468" t="s">
        <v>3455</v>
      </c>
      <c r="D3554" s="468" t="s">
        <v>3456</v>
      </c>
      <c r="F3554" s="470">
        <v>128.5</v>
      </c>
      <c r="G3554" s="468">
        <v>2.2690000000000001</v>
      </c>
      <c r="H3554" s="479">
        <v>291.56650000000002</v>
      </c>
      <c r="I3554" s="468" t="s">
        <v>9218</v>
      </c>
      <c r="J3554" s="468" t="s">
        <v>9219</v>
      </c>
      <c r="K3554" s="468" t="s">
        <v>9219</v>
      </c>
      <c r="L3554" s="468" t="s">
        <v>2354</v>
      </c>
    </row>
    <row r="3555" spans="1:12" x14ac:dyDescent="0.25">
      <c r="A3555" s="468" t="s">
        <v>220</v>
      </c>
      <c r="B3555" s="468" t="s">
        <v>5430</v>
      </c>
      <c r="C3555" s="468" t="s">
        <v>3457</v>
      </c>
      <c r="D3555" s="468" t="s">
        <v>3458</v>
      </c>
      <c r="F3555" s="470">
        <v>58</v>
      </c>
      <c r="G3555" s="468">
        <v>2.1920000000000002</v>
      </c>
      <c r="H3555" s="479">
        <v>127.13600000000001</v>
      </c>
      <c r="I3555" s="468" t="s">
        <v>9218</v>
      </c>
      <c r="J3555" s="468" t="s">
        <v>9219</v>
      </c>
      <c r="K3555" s="468" t="s">
        <v>9219</v>
      </c>
      <c r="L3555" s="468" t="s">
        <v>2354</v>
      </c>
    </row>
    <row r="3556" spans="1:12" x14ac:dyDescent="0.25">
      <c r="A3556" s="468" t="s">
        <v>220</v>
      </c>
      <c r="B3556" s="468" t="s">
        <v>5430</v>
      </c>
      <c r="D3556" s="468" t="s">
        <v>3460</v>
      </c>
      <c r="F3556" s="470">
        <v>95</v>
      </c>
      <c r="G3556" s="468">
        <v>4.0759999999999996</v>
      </c>
      <c r="H3556" s="479">
        <v>387.21999999999997</v>
      </c>
      <c r="I3556" s="468" t="s">
        <v>9218</v>
      </c>
      <c r="J3556" s="468" t="s">
        <v>9219</v>
      </c>
      <c r="K3556" s="468" t="s">
        <v>9219</v>
      </c>
      <c r="L3556" s="468" t="s">
        <v>2354</v>
      </c>
    </row>
    <row r="3557" spans="1:12" x14ac:dyDescent="0.25">
      <c r="A3557" s="468" t="s">
        <v>220</v>
      </c>
      <c r="B3557" s="468" t="s">
        <v>5430</v>
      </c>
      <c r="C3557" s="468" t="s">
        <v>3461</v>
      </c>
      <c r="D3557" s="468" t="s">
        <v>3462</v>
      </c>
      <c r="F3557" s="470">
        <v>95</v>
      </c>
      <c r="G3557" s="468">
        <v>4.0759999999999996</v>
      </c>
      <c r="H3557" s="479">
        <v>387.21999999999997</v>
      </c>
      <c r="I3557" s="468" t="s">
        <v>9218</v>
      </c>
      <c r="J3557" s="468" t="s">
        <v>9219</v>
      </c>
      <c r="K3557" s="468" t="s">
        <v>9219</v>
      </c>
      <c r="L3557" s="468" t="s">
        <v>2354</v>
      </c>
    </row>
    <row r="3558" spans="1:12" x14ac:dyDescent="0.25">
      <c r="A3558" s="468" t="s">
        <v>220</v>
      </c>
      <c r="B3558" s="468" t="s">
        <v>5430</v>
      </c>
      <c r="C3558" s="468" t="s">
        <v>3545</v>
      </c>
      <c r="D3558" s="468" t="s">
        <v>3546</v>
      </c>
      <c r="F3558" s="470">
        <v>11</v>
      </c>
      <c r="G3558" s="468">
        <v>3.0289999999999999</v>
      </c>
      <c r="H3558" s="479">
        <v>33.319000000000003</v>
      </c>
      <c r="I3558" s="468" t="s">
        <v>9218</v>
      </c>
      <c r="J3558" s="468" t="s">
        <v>9219</v>
      </c>
      <c r="K3558" s="468" t="s">
        <v>9219</v>
      </c>
      <c r="L3558" s="468" t="s">
        <v>2354</v>
      </c>
    </row>
    <row r="3559" spans="1:12" x14ac:dyDescent="0.25">
      <c r="A3559" s="468" t="s">
        <v>220</v>
      </c>
      <c r="B3559" s="468" t="s">
        <v>5430</v>
      </c>
      <c r="C3559" s="468" t="s">
        <v>3547</v>
      </c>
      <c r="D3559" s="468" t="s">
        <v>3548</v>
      </c>
      <c r="F3559" s="470">
        <v>32</v>
      </c>
      <c r="G3559" s="468">
        <v>3.7629999999999999</v>
      </c>
      <c r="H3559" s="479">
        <v>120.416</v>
      </c>
      <c r="I3559" s="468" t="s">
        <v>9218</v>
      </c>
      <c r="J3559" s="468" t="s">
        <v>9219</v>
      </c>
      <c r="K3559" s="468" t="s">
        <v>9219</v>
      </c>
      <c r="L3559" s="468" t="s">
        <v>2354</v>
      </c>
    </row>
    <row r="3560" spans="1:12" x14ac:dyDescent="0.25">
      <c r="A3560" s="468" t="s">
        <v>220</v>
      </c>
      <c r="B3560" s="468" t="s">
        <v>5430</v>
      </c>
      <c r="C3560" s="468" t="s">
        <v>3549</v>
      </c>
      <c r="D3560" s="468" t="s">
        <v>3550</v>
      </c>
      <c r="F3560" s="470">
        <v>19</v>
      </c>
      <c r="G3560" s="468">
        <v>9.8109999999999999</v>
      </c>
      <c r="H3560" s="479">
        <v>186.40899999999999</v>
      </c>
      <c r="I3560" s="468" t="s">
        <v>9218</v>
      </c>
      <c r="J3560" s="468" t="s">
        <v>9219</v>
      </c>
      <c r="K3560" s="468" t="s">
        <v>9219</v>
      </c>
      <c r="L3560" s="468" t="s">
        <v>2354</v>
      </c>
    </row>
    <row r="3561" spans="1:12" x14ac:dyDescent="0.25">
      <c r="A3561" s="468" t="s">
        <v>220</v>
      </c>
      <c r="B3561" s="468" t="s">
        <v>5430</v>
      </c>
      <c r="C3561" s="468" t="s">
        <v>3551</v>
      </c>
      <c r="D3561" s="468" t="s">
        <v>8523</v>
      </c>
      <c r="F3561" s="470">
        <v>24</v>
      </c>
      <c r="G3561" s="468">
        <v>5.367</v>
      </c>
      <c r="H3561" s="479">
        <v>128.80799999999999</v>
      </c>
      <c r="I3561" s="468" t="s">
        <v>9218</v>
      </c>
      <c r="J3561" s="468" t="s">
        <v>9219</v>
      </c>
      <c r="K3561" s="468" t="s">
        <v>9219</v>
      </c>
      <c r="L3561" s="468" t="s">
        <v>2354</v>
      </c>
    </row>
    <row r="3562" spans="1:12" x14ac:dyDescent="0.25">
      <c r="A3562" s="468" t="s">
        <v>220</v>
      </c>
      <c r="B3562" s="468" t="s">
        <v>5430</v>
      </c>
      <c r="C3562" s="468" t="s">
        <v>3553</v>
      </c>
      <c r="D3562" s="468" t="s">
        <v>3554</v>
      </c>
      <c r="F3562" s="470">
        <v>28</v>
      </c>
      <c r="G3562" s="468">
        <v>3.18</v>
      </c>
      <c r="H3562" s="479">
        <v>89.04</v>
      </c>
      <c r="I3562" s="468" t="s">
        <v>9218</v>
      </c>
      <c r="J3562" s="468" t="s">
        <v>9219</v>
      </c>
      <c r="K3562" s="468" t="s">
        <v>9219</v>
      </c>
      <c r="L3562" s="468" t="s">
        <v>2354</v>
      </c>
    </row>
    <row r="3563" spans="1:12" x14ac:dyDescent="0.25">
      <c r="A3563" s="468" t="s">
        <v>220</v>
      </c>
      <c r="B3563" s="468" t="s">
        <v>5430</v>
      </c>
      <c r="C3563" s="468" t="s">
        <v>3555</v>
      </c>
      <c r="D3563" s="468" t="s">
        <v>3556</v>
      </c>
      <c r="F3563" s="470">
        <v>37</v>
      </c>
      <c r="G3563" s="468">
        <v>3.823</v>
      </c>
      <c r="H3563" s="479">
        <v>141.45099999999999</v>
      </c>
      <c r="I3563" s="468" t="s">
        <v>9218</v>
      </c>
      <c r="J3563" s="468" t="s">
        <v>9219</v>
      </c>
      <c r="K3563" s="468" t="s">
        <v>9219</v>
      </c>
      <c r="L3563" s="468" t="s">
        <v>2354</v>
      </c>
    </row>
    <row r="3564" spans="1:12" x14ac:dyDescent="0.25">
      <c r="A3564" s="468" t="s">
        <v>220</v>
      </c>
      <c r="B3564" s="468" t="s">
        <v>5430</v>
      </c>
      <c r="C3564" s="468" t="s">
        <v>3561</v>
      </c>
      <c r="D3564" s="468" t="s">
        <v>8524</v>
      </c>
      <c r="F3564" s="470">
        <v>30</v>
      </c>
      <c r="G3564" s="468">
        <v>0.748</v>
      </c>
      <c r="H3564" s="479">
        <v>22.44</v>
      </c>
      <c r="I3564" s="468" t="s">
        <v>9218</v>
      </c>
      <c r="J3564" s="468" t="s">
        <v>9219</v>
      </c>
      <c r="K3564" s="468" t="s">
        <v>9219</v>
      </c>
      <c r="L3564" s="468" t="s">
        <v>2354</v>
      </c>
    </row>
    <row r="3565" spans="1:12" x14ac:dyDescent="0.25">
      <c r="A3565" s="468" t="s">
        <v>220</v>
      </c>
      <c r="B3565" s="468" t="s">
        <v>5430</v>
      </c>
      <c r="C3565" s="468" t="s">
        <v>3563</v>
      </c>
      <c r="D3565" s="468" t="s">
        <v>3564</v>
      </c>
      <c r="F3565" s="470">
        <v>23</v>
      </c>
      <c r="G3565" s="468">
        <v>2.1869999999999998</v>
      </c>
      <c r="H3565" s="479">
        <v>50.300999999999995</v>
      </c>
      <c r="I3565" s="468" t="s">
        <v>9218</v>
      </c>
      <c r="J3565" s="468" t="s">
        <v>9219</v>
      </c>
      <c r="K3565" s="468" t="s">
        <v>9219</v>
      </c>
      <c r="L3565" s="468" t="s">
        <v>2354</v>
      </c>
    </row>
    <row r="3566" spans="1:12" x14ac:dyDescent="0.25">
      <c r="A3566" s="468" t="s">
        <v>220</v>
      </c>
      <c r="B3566" s="468" t="s">
        <v>5430</v>
      </c>
      <c r="C3566" s="468" t="s">
        <v>3565</v>
      </c>
      <c r="D3566" s="468" t="s">
        <v>8525</v>
      </c>
      <c r="F3566" s="470">
        <v>34</v>
      </c>
      <c r="G3566" s="468">
        <v>2.8460000000000001</v>
      </c>
      <c r="H3566" s="479">
        <v>96.76400000000001</v>
      </c>
      <c r="I3566" s="468" t="s">
        <v>9218</v>
      </c>
      <c r="J3566" s="468" t="s">
        <v>9219</v>
      </c>
      <c r="K3566" s="468" t="s">
        <v>9219</v>
      </c>
      <c r="L3566" s="468" t="s">
        <v>2354</v>
      </c>
    </row>
    <row r="3567" spans="1:12" x14ac:dyDescent="0.25">
      <c r="A3567" s="468" t="s">
        <v>220</v>
      </c>
      <c r="B3567" s="468" t="s">
        <v>5430</v>
      </c>
      <c r="C3567" s="468" t="s">
        <v>3567</v>
      </c>
      <c r="D3567" s="468" t="s">
        <v>3568</v>
      </c>
      <c r="F3567" s="470">
        <v>8</v>
      </c>
      <c r="G3567" s="468">
        <v>5.67</v>
      </c>
      <c r="H3567" s="479">
        <v>45.36</v>
      </c>
      <c r="I3567" s="468" t="s">
        <v>9218</v>
      </c>
      <c r="J3567" s="468" t="s">
        <v>9219</v>
      </c>
      <c r="K3567" s="468" t="s">
        <v>9219</v>
      </c>
      <c r="L3567" s="468" t="s">
        <v>2354</v>
      </c>
    </row>
    <row r="3568" spans="1:12" x14ac:dyDescent="0.25">
      <c r="A3568" s="468" t="s">
        <v>220</v>
      </c>
      <c r="B3568" s="468" t="s">
        <v>5430</v>
      </c>
      <c r="C3568" s="468" t="s">
        <v>3571</v>
      </c>
      <c r="D3568" s="468" t="s">
        <v>3572</v>
      </c>
      <c r="F3568" s="470">
        <v>11</v>
      </c>
      <c r="G3568" s="468">
        <v>13.548999999999999</v>
      </c>
      <c r="H3568" s="479">
        <v>149.03899999999999</v>
      </c>
      <c r="I3568" s="468" t="s">
        <v>9218</v>
      </c>
      <c r="J3568" s="468" t="s">
        <v>9219</v>
      </c>
      <c r="K3568" s="468" t="s">
        <v>9219</v>
      </c>
      <c r="L3568" s="468" t="s">
        <v>2354</v>
      </c>
    </row>
    <row r="3569" spans="1:12" x14ac:dyDescent="0.25">
      <c r="A3569" s="468" t="s">
        <v>220</v>
      </c>
      <c r="B3569" s="468" t="s">
        <v>5430</v>
      </c>
      <c r="C3569" s="468" t="s">
        <v>6479</v>
      </c>
      <c r="D3569" s="468" t="s">
        <v>8526</v>
      </c>
      <c r="F3569" s="470">
        <v>1</v>
      </c>
      <c r="G3569" s="468">
        <v>30.553999999999998</v>
      </c>
      <c r="H3569" s="479">
        <v>30.553999999999998</v>
      </c>
      <c r="I3569" s="468" t="s">
        <v>9218</v>
      </c>
      <c r="J3569" s="468" t="s">
        <v>9219</v>
      </c>
      <c r="K3569" s="468" t="s">
        <v>9219</v>
      </c>
      <c r="L3569" s="468" t="s">
        <v>2354</v>
      </c>
    </row>
    <row r="3570" spans="1:12" x14ac:dyDescent="0.25">
      <c r="A3570" s="468" t="s">
        <v>220</v>
      </c>
      <c r="B3570" s="468" t="s">
        <v>5430</v>
      </c>
      <c r="C3570" s="468" t="s">
        <v>2411</v>
      </c>
      <c r="D3570" s="468" t="s">
        <v>6481</v>
      </c>
      <c r="F3570" s="470">
        <v>50</v>
      </c>
      <c r="G3570" s="468">
        <v>2.89</v>
      </c>
      <c r="H3570" s="479">
        <v>144.5</v>
      </c>
      <c r="I3570" s="468" t="s">
        <v>9218</v>
      </c>
      <c r="J3570" s="468" t="s">
        <v>9219</v>
      </c>
      <c r="K3570" s="468" t="s">
        <v>9219</v>
      </c>
      <c r="L3570" s="468" t="s">
        <v>2354</v>
      </c>
    </row>
    <row r="3571" spans="1:12" x14ac:dyDescent="0.25">
      <c r="A3571" s="468" t="s">
        <v>220</v>
      </c>
      <c r="B3571" s="468" t="s">
        <v>5430</v>
      </c>
      <c r="C3571" s="468" t="s">
        <v>3575</v>
      </c>
      <c r="D3571" s="468" t="s">
        <v>3576</v>
      </c>
      <c r="F3571" s="470">
        <v>3</v>
      </c>
      <c r="G3571" s="468">
        <v>3.2650000000000001</v>
      </c>
      <c r="H3571" s="479">
        <v>9.7949999999999999</v>
      </c>
      <c r="I3571" s="468" t="s">
        <v>9218</v>
      </c>
      <c r="J3571" s="468" t="s">
        <v>9219</v>
      </c>
      <c r="K3571" s="468" t="s">
        <v>9219</v>
      </c>
      <c r="L3571" s="468" t="s">
        <v>2354</v>
      </c>
    </row>
    <row r="3572" spans="1:12" x14ac:dyDescent="0.25">
      <c r="A3572" s="468" t="s">
        <v>220</v>
      </c>
      <c r="B3572" s="468" t="s">
        <v>5430</v>
      </c>
      <c r="C3572" s="468" t="s">
        <v>3577</v>
      </c>
      <c r="D3572" s="468" t="s">
        <v>8527</v>
      </c>
      <c r="F3572" s="470">
        <v>15</v>
      </c>
      <c r="G3572" s="468">
        <v>9.3550000000000004</v>
      </c>
      <c r="H3572" s="479">
        <v>140.32500000000002</v>
      </c>
      <c r="I3572" s="468" t="s">
        <v>9218</v>
      </c>
      <c r="J3572" s="468" t="s">
        <v>9219</v>
      </c>
      <c r="K3572" s="468" t="s">
        <v>9219</v>
      </c>
      <c r="L3572" s="468" t="s">
        <v>2354</v>
      </c>
    </row>
    <row r="3573" spans="1:12" x14ac:dyDescent="0.25">
      <c r="A3573" s="468" t="s">
        <v>220</v>
      </c>
      <c r="B3573" s="468" t="s">
        <v>5430</v>
      </c>
      <c r="C3573" s="468" t="s">
        <v>3579</v>
      </c>
      <c r="D3573" s="468" t="s">
        <v>3580</v>
      </c>
      <c r="F3573" s="470">
        <v>54</v>
      </c>
      <c r="G3573" s="468">
        <v>2.7450000000000001</v>
      </c>
      <c r="H3573" s="479">
        <v>148.23000000000002</v>
      </c>
      <c r="I3573" s="468" t="s">
        <v>9218</v>
      </c>
      <c r="J3573" s="468" t="s">
        <v>9219</v>
      </c>
      <c r="K3573" s="468" t="s">
        <v>9219</v>
      </c>
      <c r="L3573" s="468" t="s">
        <v>2354</v>
      </c>
    </row>
    <row r="3574" spans="1:12" x14ac:dyDescent="0.25">
      <c r="A3574" s="468" t="s">
        <v>220</v>
      </c>
      <c r="B3574" s="468" t="s">
        <v>5430</v>
      </c>
      <c r="C3574" s="468" t="s">
        <v>8528</v>
      </c>
      <c r="D3574" s="468" t="s">
        <v>6493</v>
      </c>
      <c r="F3574" s="470">
        <v>2</v>
      </c>
      <c r="G3574" s="468">
        <v>4.2</v>
      </c>
      <c r="H3574" s="479">
        <v>8.4</v>
      </c>
      <c r="I3574" s="468" t="s">
        <v>9218</v>
      </c>
      <c r="J3574" s="468" t="s">
        <v>9219</v>
      </c>
      <c r="K3574" s="468" t="s">
        <v>9219</v>
      </c>
      <c r="L3574" s="468" t="s">
        <v>2354</v>
      </c>
    </row>
    <row r="3575" spans="1:12" x14ac:dyDescent="0.25">
      <c r="A3575" s="468" t="s">
        <v>220</v>
      </c>
      <c r="B3575" s="468" t="s">
        <v>5430</v>
      </c>
      <c r="C3575" s="468" t="s">
        <v>3583</v>
      </c>
      <c r="D3575" s="468" t="s">
        <v>3584</v>
      </c>
      <c r="F3575" s="470">
        <v>59</v>
      </c>
      <c r="G3575" s="468">
        <v>2.5510000000000002</v>
      </c>
      <c r="H3575" s="479">
        <v>150.50900000000001</v>
      </c>
      <c r="I3575" s="468" t="s">
        <v>9218</v>
      </c>
      <c r="J3575" s="468" t="s">
        <v>9219</v>
      </c>
      <c r="K3575" s="468" t="s">
        <v>9219</v>
      </c>
      <c r="L3575" s="468" t="s">
        <v>2354</v>
      </c>
    </row>
    <row r="3576" spans="1:12" x14ac:dyDescent="0.25">
      <c r="A3576" s="468" t="s">
        <v>220</v>
      </c>
      <c r="B3576" s="468" t="s">
        <v>5430</v>
      </c>
      <c r="C3576" s="468" t="s">
        <v>3585</v>
      </c>
      <c r="D3576" s="468" t="s">
        <v>3586</v>
      </c>
      <c r="F3576" s="470">
        <v>29</v>
      </c>
      <c r="G3576" s="468">
        <v>2.8050000000000002</v>
      </c>
      <c r="H3576" s="479">
        <v>81.344999999999999</v>
      </c>
      <c r="I3576" s="468" t="s">
        <v>9218</v>
      </c>
      <c r="J3576" s="468" t="s">
        <v>9219</v>
      </c>
      <c r="K3576" s="468" t="s">
        <v>9219</v>
      </c>
      <c r="L3576" s="468" t="s">
        <v>2354</v>
      </c>
    </row>
    <row r="3577" spans="1:12" x14ac:dyDescent="0.25">
      <c r="A3577" s="468" t="s">
        <v>220</v>
      </c>
      <c r="B3577" s="468" t="s">
        <v>5430</v>
      </c>
      <c r="C3577" s="468" t="s">
        <v>3591</v>
      </c>
      <c r="D3577" s="468" t="s">
        <v>3592</v>
      </c>
      <c r="F3577" s="470">
        <v>32</v>
      </c>
      <c r="G3577" s="468">
        <v>2.6930000000000001</v>
      </c>
      <c r="H3577" s="479">
        <v>86.176000000000002</v>
      </c>
      <c r="I3577" s="468" t="s">
        <v>9218</v>
      </c>
      <c r="J3577" s="468" t="s">
        <v>9219</v>
      </c>
      <c r="K3577" s="468" t="s">
        <v>9219</v>
      </c>
      <c r="L3577" s="468" t="s">
        <v>2354</v>
      </c>
    </row>
    <row r="3578" spans="1:12" x14ac:dyDescent="0.25">
      <c r="A3578" s="468" t="s">
        <v>220</v>
      </c>
      <c r="B3578" s="468" t="s">
        <v>5430</v>
      </c>
      <c r="C3578" s="468" t="s">
        <v>3593</v>
      </c>
      <c r="D3578" s="468" t="s">
        <v>3594</v>
      </c>
      <c r="F3578" s="470">
        <v>1</v>
      </c>
      <c r="G3578" s="468">
        <v>3.379</v>
      </c>
      <c r="H3578" s="479">
        <v>3.379</v>
      </c>
      <c r="I3578" s="468" t="s">
        <v>9218</v>
      </c>
      <c r="J3578" s="468" t="s">
        <v>9219</v>
      </c>
      <c r="K3578" s="468" t="s">
        <v>9219</v>
      </c>
      <c r="L3578" s="468" t="s">
        <v>2354</v>
      </c>
    </row>
    <row r="3579" spans="1:12" x14ac:dyDescent="0.25">
      <c r="A3579" s="468" t="s">
        <v>220</v>
      </c>
      <c r="B3579" s="468" t="s">
        <v>5430</v>
      </c>
      <c r="C3579" s="468" t="s">
        <v>6497</v>
      </c>
      <c r="D3579" s="468" t="s">
        <v>6498</v>
      </c>
      <c r="F3579" s="470">
        <v>33</v>
      </c>
      <c r="G3579" s="468">
        <v>3.25</v>
      </c>
      <c r="H3579" s="479">
        <v>107.25</v>
      </c>
      <c r="I3579" s="468" t="s">
        <v>9218</v>
      </c>
      <c r="J3579" s="468" t="s">
        <v>9219</v>
      </c>
      <c r="K3579" s="468" t="s">
        <v>9219</v>
      </c>
      <c r="L3579" s="468" t="s">
        <v>2354</v>
      </c>
    </row>
    <row r="3580" spans="1:12" x14ac:dyDescent="0.25">
      <c r="A3580" s="468" t="s">
        <v>220</v>
      </c>
      <c r="B3580" s="468" t="s">
        <v>5430</v>
      </c>
      <c r="C3580" s="468" t="s">
        <v>3727</v>
      </c>
      <c r="D3580" s="468" t="s">
        <v>3728</v>
      </c>
      <c r="F3580" s="470">
        <v>35</v>
      </c>
      <c r="G3580" s="468">
        <v>4.9390000000000001</v>
      </c>
      <c r="H3580" s="479">
        <v>172.86500000000001</v>
      </c>
      <c r="I3580" s="468" t="s">
        <v>9218</v>
      </c>
      <c r="J3580" s="468" t="s">
        <v>9219</v>
      </c>
      <c r="K3580" s="468" t="s">
        <v>9219</v>
      </c>
      <c r="L3580" s="468" t="s">
        <v>2354</v>
      </c>
    </row>
    <row r="3581" spans="1:12" x14ac:dyDescent="0.25">
      <c r="A3581" s="468" t="s">
        <v>220</v>
      </c>
      <c r="B3581" s="468" t="s">
        <v>5430</v>
      </c>
      <c r="C3581" s="468" t="s">
        <v>3729</v>
      </c>
      <c r="D3581" s="468" t="s">
        <v>3730</v>
      </c>
      <c r="F3581" s="470">
        <v>15</v>
      </c>
      <c r="G3581" s="468">
        <v>2.7490000000000001</v>
      </c>
      <c r="H3581" s="479">
        <v>41.234999999999999</v>
      </c>
      <c r="I3581" s="468" t="s">
        <v>9218</v>
      </c>
      <c r="J3581" s="468" t="s">
        <v>9219</v>
      </c>
      <c r="K3581" s="468" t="s">
        <v>9219</v>
      </c>
      <c r="L3581" s="468" t="s">
        <v>2354</v>
      </c>
    </row>
    <row r="3582" spans="1:12" x14ac:dyDescent="0.25">
      <c r="A3582" s="468" t="s">
        <v>220</v>
      </c>
      <c r="B3582" s="468" t="s">
        <v>5430</v>
      </c>
      <c r="C3582" s="468" t="s">
        <v>3731</v>
      </c>
      <c r="D3582" s="468" t="s">
        <v>3732</v>
      </c>
      <c r="F3582" s="470">
        <v>14</v>
      </c>
      <c r="G3582" s="468">
        <v>3.0939999999999999</v>
      </c>
      <c r="H3582" s="479">
        <v>43.315999999999995</v>
      </c>
      <c r="I3582" s="468" t="s">
        <v>9218</v>
      </c>
      <c r="J3582" s="468" t="s">
        <v>9219</v>
      </c>
      <c r="K3582" s="468" t="s">
        <v>9219</v>
      </c>
      <c r="L3582" s="468" t="s">
        <v>2354</v>
      </c>
    </row>
    <row r="3583" spans="1:12" x14ac:dyDescent="0.25">
      <c r="A3583" s="468" t="s">
        <v>220</v>
      </c>
      <c r="B3583" s="468" t="s">
        <v>5430</v>
      </c>
      <c r="C3583" s="468" t="s">
        <v>3733</v>
      </c>
      <c r="D3583" s="468" t="s">
        <v>3734</v>
      </c>
      <c r="F3583" s="470">
        <v>10</v>
      </c>
      <c r="G3583" s="468">
        <v>5.4249999999999998</v>
      </c>
      <c r="H3583" s="479">
        <v>54.25</v>
      </c>
      <c r="I3583" s="468" t="s">
        <v>9218</v>
      </c>
      <c r="J3583" s="468" t="s">
        <v>9219</v>
      </c>
      <c r="K3583" s="468" t="s">
        <v>9219</v>
      </c>
      <c r="L3583" s="468" t="s">
        <v>2354</v>
      </c>
    </row>
    <row r="3584" spans="1:12" x14ac:dyDescent="0.25">
      <c r="A3584" s="468" t="s">
        <v>220</v>
      </c>
      <c r="B3584" s="468" t="s">
        <v>5430</v>
      </c>
      <c r="C3584" s="468" t="s">
        <v>3735</v>
      </c>
      <c r="D3584" s="468" t="s">
        <v>3736</v>
      </c>
      <c r="F3584" s="470">
        <v>7</v>
      </c>
      <c r="G3584" s="468">
        <v>5.0039999999999996</v>
      </c>
      <c r="H3584" s="479">
        <v>35.027999999999999</v>
      </c>
      <c r="I3584" s="468" t="s">
        <v>9218</v>
      </c>
      <c r="J3584" s="468" t="s">
        <v>9219</v>
      </c>
      <c r="K3584" s="468" t="s">
        <v>9219</v>
      </c>
      <c r="L3584" s="468" t="s">
        <v>2354</v>
      </c>
    </row>
    <row r="3585" spans="1:12" x14ac:dyDescent="0.25">
      <c r="A3585" s="468" t="s">
        <v>220</v>
      </c>
      <c r="B3585" s="468" t="s">
        <v>5430</v>
      </c>
      <c r="C3585" s="468" t="s">
        <v>5374</v>
      </c>
      <c r="D3585" s="468" t="s">
        <v>5375</v>
      </c>
      <c r="F3585" s="470">
        <v>2</v>
      </c>
      <c r="G3585" s="468">
        <v>3.3000000000000002E-2</v>
      </c>
      <c r="H3585" s="479">
        <v>6.6000000000000003E-2</v>
      </c>
      <c r="I3585" s="468" t="s">
        <v>9218</v>
      </c>
      <c r="J3585" s="468" t="s">
        <v>9219</v>
      </c>
      <c r="K3585" s="468" t="s">
        <v>9219</v>
      </c>
      <c r="L3585" s="468" t="s">
        <v>2354</v>
      </c>
    </row>
    <row r="3586" spans="1:12" x14ac:dyDescent="0.25">
      <c r="A3586" s="468" t="s">
        <v>220</v>
      </c>
      <c r="B3586" s="468" t="s">
        <v>5430</v>
      </c>
      <c r="C3586" s="468" t="s">
        <v>6702</v>
      </c>
      <c r="D3586" s="468" t="s">
        <v>8529</v>
      </c>
      <c r="F3586" s="470">
        <v>2</v>
      </c>
      <c r="G3586" s="468">
        <v>33.011000000000003</v>
      </c>
      <c r="H3586" s="479">
        <v>66.022000000000006</v>
      </c>
      <c r="I3586" s="468" t="s">
        <v>9218</v>
      </c>
      <c r="J3586" s="468" t="s">
        <v>9219</v>
      </c>
      <c r="K3586" s="468" t="s">
        <v>9219</v>
      </c>
      <c r="L3586" s="468" t="s">
        <v>2354</v>
      </c>
    </row>
    <row r="3587" spans="1:12" x14ac:dyDescent="0.25">
      <c r="A3587" s="468" t="s">
        <v>220</v>
      </c>
      <c r="B3587" s="468" t="s">
        <v>5430</v>
      </c>
      <c r="C3587" s="468" t="s">
        <v>6722</v>
      </c>
      <c r="D3587" s="468" t="s">
        <v>8530</v>
      </c>
      <c r="F3587" s="470">
        <v>4</v>
      </c>
      <c r="G3587" s="468">
        <v>12.02</v>
      </c>
      <c r="H3587" s="479">
        <v>48.08</v>
      </c>
      <c r="I3587" s="468" t="s">
        <v>9218</v>
      </c>
      <c r="J3587" s="468" t="s">
        <v>9219</v>
      </c>
      <c r="K3587" s="468" t="s">
        <v>9219</v>
      </c>
      <c r="L3587" s="468" t="s">
        <v>2354</v>
      </c>
    </row>
    <row r="3588" spans="1:12" x14ac:dyDescent="0.25">
      <c r="A3588" s="468" t="s">
        <v>220</v>
      </c>
      <c r="B3588" s="468" t="s">
        <v>5430</v>
      </c>
      <c r="C3588" s="468" t="s">
        <v>5444</v>
      </c>
      <c r="D3588" s="468" t="s">
        <v>8531</v>
      </c>
      <c r="F3588" s="470">
        <v>82</v>
      </c>
      <c r="G3588" s="468">
        <v>3.8340000000000001</v>
      </c>
      <c r="H3588" s="479">
        <v>314.38800000000003</v>
      </c>
      <c r="I3588" s="468" t="s">
        <v>9218</v>
      </c>
      <c r="J3588" s="468" t="s">
        <v>9219</v>
      </c>
      <c r="K3588" s="468" t="s">
        <v>9219</v>
      </c>
      <c r="L3588" s="468" t="s">
        <v>2354</v>
      </c>
    </row>
    <row r="3589" spans="1:12" x14ac:dyDescent="0.25">
      <c r="A3589" s="468" t="s">
        <v>220</v>
      </c>
      <c r="B3589" s="468" t="s">
        <v>5430</v>
      </c>
      <c r="C3589" s="468" t="s">
        <v>8532</v>
      </c>
      <c r="D3589" s="468" t="s">
        <v>6731</v>
      </c>
      <c r="F3589" s="470">
        <v>20</v>
      </c>
      <c r="G3589" s="468">
        <v>0.86199999999999999</v>
      </c>
      <c r="H3589" s="479">
        <v>17.239999999999998</v>
      </c>
      <c r="I3589" s="468" t="s">
        <v>9218</v>
      </c>
      <c r="J3589" s="468" t="s">
        <v>9219</v>
      </c>
      <c r="K3589" s="468" t="s">
        <v>9219</v>
      </c>
      <c r="L3589" s="468" t="s">
        <v>2354</v>
      </c>
    </row>
    <row r="3590" spans="1:12" x14ac:dyDescent="0.25">
      <c r="A3590" s="468" t="s">
        <v>220</v>
      </c>
      <c r="B3590" s="468" t="s">
        <v>5430</v>
      </c>
      <c r="C3590" s="468" t="s">
        <v>5376</v>
      </c>
      <c r="D3590" s="468" t="s">
        <v>5377</v>
      </c>
      <c r="F3590" s="470">
        <v>50</v>
      </c>
      <c r="G3590" s="468">
        <v>1.02</v>
      </c>
      <c r="H3590" s="479">
        <v>51</v>
      </c>
      <c r="I3590" s="468" t="s">
        <v>9218</v>
      </c>
      <c r="J3590" s="468" t="s">
        <v>9219</v>
      </c>
      <c r="K3590" s="468" t="s">
        <v>9219</v>
      </c>
      <c r="L3590" s="468" t="s">
        <v>2354</v>
      </c>
    </row>
    <row r="3591" spans="1:12" x14ac:dyDescent="0.25">
      <c r="A3591" s="468" t="s">
        <v>220</v>
      </c>
      <c r="B3591" s="468" t="s">
        <v>5430</v>
      </c>
      <c r="C3591" s="468" t="s">
        <v>3961</v>
      </c>
      <c r="D3591" s="468" t="s">
        <v>8533</v>
      </c>
      <c r="F3591" s="470">
        <v>100</v>
      </c>
      <c r="G3591" s="468">
        <v>0.97</v>
      </c>
      <c r="H3591" s="479">
        <v>97</v>
      </c>
      <c r="I3591" s="468" t="s">
        <v>9218</v>
      </c>
      <c r="J3591" s="468" t="s">
        <v>9219</v>
      </c>
      <c r="K3591" s="468" t="s">
        <v>9219</v>
      </c>
      <c r="L3591" s="468" t="s">
        <v>2354</v>
      </c>
    </row>
    <row r="3592" spans="1:12" x14ac:dyDescent="0.25">
      <c r="A3592" s="468" t="s">
        <v>220</v>
      </c>
      <c r="B3592" s="468" t="s">
        <v>5430</v>
      </c>
      <c r="C3592" s="468" t="s">
        <v>6732</v>
      </c>
      <c r="D3592" s="468" t="s">
        <v>8534</v>
      </c>
      <c r="F3592" s="470">
        <v>100</v>
      </c>
      <c r="G3592" s="468">
        <v>0.96499999999999997</v>
      </c>
      <c r="H3592" s="479">
        <v>96.5</v>
      </c>
      <c r="I3592" s="468" t="s">
        <v>9218</v>
      </c>
      <c r="J3592" s="468" t="s">
        <v>9219</v>
      </c>
      <c r="K3592" s="468" t="s">
        <v>9219</v>
      </c>
      <c r="L3592" s="468" t="s">
        <v>2354</v>
      </c>
    </row>
    <row r="3593" spans="1:12" x14ac:dyDescent="0.25">
      <c r="A3593" s="468" t="s">
        <v>220</v>
      </c>
      <c r="B3593" s="468" t="s">
        <v>5430</v>
      </c>
      <c r="C3593" s="468" t="s">
        <v>3969</v>
      </c>
      <c r="D3593" s="468" t="s">
        <v>8535</v>
      </c>
      <c r="F3593" s="470">
        <v>50</v>
      </c>
      <c r="G3593" s="468">
        <v>2.6579999999999999</v>
      </c>
      <c r="H3593" s="479">
        <v>132.9</v>
      </c>
      <c r="I3593" s="468" t="s">
        <v>9218</v>
      </c>
      <c r="J3593" s="468" t="s">
        <v>9219</v>
      </c>
      <c r="K3593" s="468" t="s">
        <v>9219</v>
      </c>
      <c r="L3593" s="468" t="s">
        <v>2354</v>
      </c>
    </row>
    <row r="3594" spans="1:12" x14ac:dyDescent="0.25">
      <c r="A3594" s="468" t="s">
        <v>220</v>
      </c>
      <c r="B3594" s="468" t="s">
        <v>5430</v>
      </c>
      <c r="C3594" s="468" t="s">
        <v>8536</v>
      </c>
      <c r="D3594" s="468" t="s">
        <v>8537</v>
      </c>
      <c r="F3594" s="470">
        <v>50</v>
      </c>
      <c r="G3594" s="468">
        <v>2.8010000000000002</v>
      </c>
      <c r="H3594" s="479">
        <v>140.05000000000001</v>
      </c>
      <c r="I3594" s="468" t="s">
        <v>9218</v>
      </c>
      <c r="J3594" s="468" t="s">
        <v>9219</v>
      </c>
      <c r="K3594" s="468" t="s">
        <v>9219</v>
      </c>
      <c r="L3594" s="468" t="s">
        <v>2354</v>
      </c>
    </row>
    <row r="3595" spans="1:12" x14ac:dyDescent="0.25">
      <c r="A3595" s="468" t="s">
        <v>220</v>
      </c>
      <c r="B3595" s="468" t="s">
        <v>5430</v>
      </c>
      <c r="C3595" s="468" t="s">
        <v>6734</v>
      </c>
      <c r="D3595" s="468" t="s">
        <v>8538</v>
      </c>
      <c r="F3595" s="470">
        <v>30</v>
      </c>
      <c r="G3595" s="468">
        <v>14.518000000000001</v>
      </c>
      <c r="H3595" s="479">
        <v>435.54</v>
      </c>
      <c r="I3595" s="468" t="s">
        <v>9218</v>
      </c>
      <c r="J3595" s="468" t="s">
        <v>9219</v>
      </c>
      <c r="K3595" s="468" t="s">
        <v>9219</v>
      </c>
      <c r="L3595" s="468" t="s">
        <v>2354</v>
      </c>
    </row>
    <row r="3596" spans="1:12" x14ac:dyDescent="0.25">
      <c r="A3596" s="468" t="s">
        <v>220</v>
      </c>
      <c r="B3596" s="468" t="s">
        <v>5430</v>
      </c>
      <c r="C3596" s="468" t="s">
        <v>8539</v>
      </c>
      <c r="D3596" s="468" t="s">
        <v>8540</v>
      </c>
      <c r="F3596" s="470">
        <v>2</v>
      </c>
      <c r="G3596" s="468">
        <v>6.1310000000000002</v>
      </c>
      <c r="H3596" s="479">
        <v>12.262</v>
      </c>
      <c r="I3596" s="468" t="s">
        <v>9218</v>
      </c>
      <c r="J3596" s="468" t="s">
        <v>9219</v>
      </c>
      <c r="K3596" s="468" t="s">
        <v>9219</v>
      </c>
      <c r="L3596" s="468" t="s">
        <v>2354</v>
      </c>
    </row>
    <row r="3597" spans="1:12" x14ac:dyDescent="0.25">
      <c r="A3597" s="468" t="s">
        <v>220</v>
      </c>
      <c r="B3597" s="468" t="s">
        <v>5430</v>
      </c>
      <c r="C3597" s="468" t="s">
        <v>3977</v>
      </c>
      <c r="D3597" s="468" t="s">
        <v>3978</v>
      </c>
      <c r="F3597" s="470">
        <v>35</v>
      </c>
      <c r="G3597" s="468">
        <v>3.8530000000000002</v>
      </c>
      <c r="H3597" s="479">
        <v>134.85500000000002</v>
      </c>
      <c r="I3597" s="468" t="s">
        <v>9218</v>
      </c>
      <c r="J3597" s="468" t="s">
        <v>9219</v>
      </c>
      <c r="K3597" s="468" t="s">
        <v>9219</v>
      </c>
      <c r="L3597" s="468" t="s">
        <v>2354</v>
      </c>
    </row>
    <row r="3598" spans="1:12" x14ac:dyDescent="0.25">
      <c r="A3598" s="468" t="s">
        <v>220</v>
      </c>
      <c r="B3598" s="468" t="s">
        <v>5430</v>
      </c>
      <c r="C3598" s="468" t="s">
        <v>3979</v>
      </c>
      <c r="D3598" s="468" t="s">
        <v>3980</v>
      </c>
      <c r="F3598" s="470">
        <v>21</v>
      </c>
      <c r="G3598" s="468">
        <v>3.9249999999999998</v>
      </c>
      <c r="H3598" s="479">
        <v>82.424999999999997</v>
      </c>
      <c r="I3598" s="468" t="s">
        <v>9218</v>
      </c>
      <c r="J3598" s="468" t="s">
        <v>9219</v>
      </c>
      <c r="K3598" s="468" t="s">
        <v>9219</v>
      </c>
      <c r="L3598" s="468" t="s">
        <v>2354</v>
      </c>
    </row>
    <row r="3599" spans="1:12" x14ac:dyDescent="0.25">
      <c r="A3599" s="468" t="s">
        <v>220</v>
      </c>
      <c r="B3599" s="468" t="s">
        <v>5430</v>
      </c>
      <c r="C3599" s="468" t="s">
        <v>3981</v>
      </c>
      <c r="D3599" s="468" t="s">
        <v>3982</v>
      </c>
      <c r="F3599" s="470">
        <v>80</v>
      </c>
      <c r="G3599" s="468">
        <v>5.694</v>
      </c>
      <c r="H3599" s="479">
        <v>455.52</v>
      </c>
      <c r="I3599" s="468" t="s">
        <v>9218</v>
      </c>
      <c r="J3599" s="468" t="s">
        <v>9219</v>
      </c>
      <c r="K3599" s="468" t="s">
        <v>9219</v>
      </c>
      <c r="L3599" s="468" t="s">
        <v>2354</v>
      </c>
    </row>
    <row r="3600" spans="1:12" x14ac:dyDescent="0.25">
      <c r="A3600" s="468" t="s">
        <v>220</v>
      </c>
      <c r="B3600" s="468" t="s">
        <v>5430</v>
      </c>
      <c r="C3600" s="468" t="s">
        <v>3983</v>
      </c>
      <c r="D3600" s="468" t="s">
        <v>8541</v>
      </c>
      <c r="F3600" s="470">
        <v>10</v>
      </c>
      <c r="G3600" s="468">
        <v>0.61199999999999999</v>
      </c>
      <c r="H3600" s="479">
        <v>6.12</v>
      </c>
      <c r="I3600" s="468" t="s">
        <v>9218</v>
      </c>
      <c r="J3600" s="468" t="s">
        <v>9219</v>
      </c>
      <c r="K3600" s="468" t="s">
        <v>9219</v>
      </c>
      <c r="L3600" s="468" t="s">
        <v>2354</v>
      </c>
    </row>
    <row r="3601" spans="1:12" x14ac:dyDescent="0.25">
      <c r="A3601" s="468" t="s">
        <v>220</v>
      </c>
      <c r="B3601" s="468" t="s">
        <v>5430</v>
      </c>
      <c r="C3601" s="468" t="s">
        <v>8542</v>
      </c>
      <c r="D3601" s="468" t="s">
        <v>8543</v>
      </c>
      <c r="F3601" s="470">
        <v>4</v>
      </c>
      <c r="G3601" s="468">
        <v>29.866</v>
      </c>
      <c r="H3601" s="479">
        <v>119.464</v>
      </c>
      <c r="I3601" s="468" t="s">
        <v>9218</v>
      </c>
      <c r="J3601" s="468" t="s">
        <v>9219</v>
      </c>
      <c r="K3601" s="468" t="s">
        <v>9219</v>
      </c>
      <c r="L3601" s="468" t="s">
        <v>2354</v>
      </c>
    </row>
    <row r="3602" spans="1:12" x14ac:dyDescent="0.25">
      <c r="A3602" s="468" t="s">
        <v>220</v>
      </c>
      <c r="B3602" s="468" t="s">
        <v>5430</v>
      </c>
      <c r="C3602" s="468" t="s">
        <v>3987</v>
      </c>
      <c r="D3602" s="468" t="s">
        <v>3988</v>
      </c>
      <c r="F3602" s="470">
        <v>120</v>
      </c>
      <c r="G3602" s="468">
        <v>4.43</v>
      </c>
      <c r="H3602" s="479">
        <v>531.59999999999991</v>
      </c>
      <c r="I3602" s="468" t="s">
        <v>9218</v>
      </c>
      <c r="J3602" s="468" t="s">
        <v>9219</v>
      </c>
      <c r="K3602" s="468" t="s">
        <v>9219</v>
      </c>
      <c r="L3602" s="468" t="s">
        <v>2354</v>
      </c>
    </row>
    <row r="3603" spans="1:12" x14ac:dyDescent="0.25">
      <c r="A3603" s="468" t="s">
        <v>220</v>
      </c>
      <c r="B3603" s="468" t="s">
        <v>5430</v>
      </c>
      <c r="C3603" s="468" t="s">
        <v>6739</v>
      </c>
      <c r="D3603" s="468" t="s">
        <v>6740</v>
      </c>
      <c r="F3603" s="470">
        <v>25</v>
      </c>
      <c r="G3603" s="468">
        <v>10.377000000000001</v>
      </c>
      <c r="H3603" s="479">
        <v>259.42500000000001</v>
      </c>
      <c r="I3603" s="468" t="s">
        <v>9218</v>
      </c>
      <c r="J3603" s="468" t="s">
        <v>9219</v>
      </c>
      <c r="K3603" s="468" t="s">
        <v>9219</v>
      </c>
      <c r="L3603" s="468" t="s">
        <v>2354</v>
      </c>
    </row>
    <row r="3604" spans="1:12" x14ac:dyDescent="0.25">
      <c r="A3604" s="468" t="s">
        <v>220</v>
      </c>
      <c r="B3604" s="468" t="s">
        <v>5430</v>
      </c>
      <c r="C3604" s="468" t="s">
        <v>6741</v>
      </c>
      <c r="D3604" s="468" t="s">
        <v>6742</v>
      </c>
      <c r="F3604" s="470">
        <v>20</v>
      </c>
      <c r="G3604" s="468">
        <v>6.4160000000000004</v>
      </c>
      <c r="H3604" s="479">
        <v>128.32</v>
      </c>
      <c r="I3604" s="468" t="s">
        <v>9218</v>
      </c>
      <c r="J3604" s="468" t="s">
        <v>9219</v>
      </c>
      <c r="K3604" s="468" t="s">
        <v>9219</v>
      </c>
      <c r="L3604" s="468" t="s">
        <v>2354</v>
      </c>
    </row>
    <row r="3605" spans="1:12" x14ac:dyDescent="0.25">
      <c r="A3605" s="468" t="s">
        <v>220</v>
      </c>
      <c r="B3605" s="468" t="s">
        <v>5430</v>
      </c>
      <c r="C3605" s="468" t="s">
        <v>8544</v>
      </c>
      <c r="D3605" s="468" t="s">
        <v>8545</v>
      </c>
      <c r="F3605" s="470">
        <v>45</v>
      </c>
      <c r="G3605" s="468">
        <v>1.84</v>
      </c>
      <c r="H3605" s="479">
        <v>82.8</v>
      </c>
      <c r="I3605" s="468" t="s">
        <v>9218</v>
      </c>
      <c r="J3605" s="468" t="s">
        <v>9219</v>
      </c>
      <c r="K3605" s="468" t="s">
        <v>9219</v>
      </c>
      <c r="L3605" s="468" t="s">
        <v>2354</v>
      </c>
    </row>
    <row r="3606" spans="1:12" x14ac:dyDescent="0.25">
      <c r="A3606" s="468" t="s">
        <v>220</v>
      </c>
      <c r="B3606" s="468" t="s">
        <v>5430</v>
      </c>
      <c r="C3606" s="468" t="s">
        <v>4049</v>
      </c>
      <c r="D3606" s="468" t="s">
        <v>8546</v>
      </c>
      <c r="F3606" s="470">
        <v>189</v>
      </c>
      <c r="G3606" s="468">
        <v>0.68700000000000006</v>
      </c>
      <c r="H3606" s="479">
        <v>129.84300000000002</v>
      </c>
      <c r="I3606" s="468" t="s">
        <v>9218</v>
      </c>
      <c r="J3606" s="468" t="s">
        <v>9219</v>
      </c>
      <c r="K3606" s="468" t="s">
        <v>9219</v>
      </c>
      <c r="L3606" s="468" t="s">
        <v>2354</v>
      </c>
    </row>
    <row r="3607" spans="1:12" x14ac:dyDescent="0.25">
      <c r="A3607" s="468" t="s">
        <v>220</v>
      </c>
      <c r="B3607" s="468" t="s">
        <v>5430</v>
      </c>
      <c r="C3607" s="468" t="s">
        <v>6781</v>
      </c>
      <c r="D3607" s="468" t="s">
        <v>8547</v>
      </c>
      <c r="F3607" s="470">
        <v>55</v>
      </c>
      <c r="G3607" s="468">
        <v>3.4660000000000002</v>
      </c>
      <c r="H3607" s="479">
        <v>190.63000000000002</v>
      </c>
      <c r="I3607" s="468" t="s">
        <v>9218</v>
      </c>
      <c r="J3607" s="468" t="s">
        <v>9219</v>
      </c>
      <c r="K3607" s="468" t="s">
        <v>9219</v>
      </c>
      <c r="L3607" s="468" t="s">
        <v>2354</v>
      </c>
    </row>
    <row r="3608" spans="1:12" x14ac:dyDescent="0.25">
      <c r="A3608" s="468" t="s">
        <v>220</v>
      </c>
      <c r="B3608" s="468" t="s">
        <v>5430</v>
      </c>
      <c r="C3608" s="468" t="s">
        <v>4051</v>
      </c>
      <c r="D3608" s="468" t="s">
        <v>8548</v>
      </c>
      <c r="F3608" s="470">
        <v>47</v>
      </c>
      <c r="G3608" s="468">
        <v>2.5299999999999998</v>
      </c>
      <c r="H3608" s="479">
        <v>118.91</v>
      </c>
      <c r="I3608" s="468" t="s">
        <v>9218</v>
      </c>
      <c r="J3608" s="468" t="s">
        <v>9219</v>
      </c>
      <c r="K3608" s="468" t="s">
        <v>9219</v>
      </c>
      <c r="L3608" s="468" t="s">
        <v>2354</v>
      </c>
    </row>
    <row r="3609" spans="1:12" x14ac:dyDescent="0.25">
      <c r="A3609" s="468" t="s">
        <v>220</v>
      </c>
      <c r="B3609" s="468" t="s">
        <v>5430</v>
      </c>
      <c r="C3609" s="468" t="s">
        <v>6783</v>
      </c>
      <c r="D3609" s="468" t="s">
        <v>6784</v>
      </c>
      <c r="F3609" s="470">
        <v>200</v>
      </c>
      <c r="G3609" s="468">
        <v>8.5999999999999993E-2</v>
      </c>
      <c r="H3609" s="479">
        <v>17.2</v>
      </c>
      <c r="I3609" s="468" t="s">
        <v>9218</v>
      </c>
      <c r="J3609" s="468" t="s">
        <v>9219</v>
      </c>
      <c r="K3609" s="468" t="s">
        <v>9219</v>
      </c>
      <c r="L3609" s="468" t="s">
        <v>2354</v>
      </c>
    </row>
    <row r="3610" spans="1:12" x14ac:dyDescent="0.25">
      <c r="A3610" s="468" t="s">
        <v>220</v>
      </c>
      <c r="B3610" s="468" t="s">
        <v>5430</v>
      </c>
      <c r="C3610" s="468" t="s">
        <v>6785</v>
      </c>
      <c r="D3610" s="468" t="s">
        <v>6786</v>
      </c>
      <c r="F3610" s="470">
        <v>200</v>
      </c>
      <c r="G3610" s="468">
        <v>0.11700000000000001</v>
      </c>
      <c r="H3610" s="479">
        <v>23.400000000000002</v>
      </c>
      <c r="I3610" s="468" t="s">
        <v>9218</v>
      </c>
      <c r="J3610" s="468" t="s">
        <v>9219</v>
      </c>
      <c r="K3610" s="468" t="s">
        <v>9219</v>
      </c>
      <c r="L3610" s="468" t="s">
        <v>2354</v>
      </c>
    </row>
    <row r="3611" spans="1:12" x14ac:dyDescent="0.25">
      <c r="A3611" s="468" t="s">
        <v>220</v>
      </c>
      <c r="B3611" s="468" t="s">
        <v>5430</v>
      </c>
      <c r="C3611" s="468" t="s">
        <v>8549</v>
      </c>
      <c r="D3611" s="468" t="s">
        <v>6788</v>
      </c>
      <c r="F3611" s="470">
        <v>20</v>
      </c>
      <c r="G3611" s="468">
        <v>1.2170000000000001</v>
      </c>
      <c r="H3611" s="479">
        <v>24.340000000000003</v>
      </c>
      <c r="I3611" s="468" t="s">
        <v>9218</v>
      </c>
      <c r="J3611" s="468" t="s">
        <v>9219</v>
      </c>
      <c r="K3611" s="468" t="s">
        <v>9219</v>
      </c>
      <c r="L3611" s="468" t="s">
        <v>2354</v>
      </c>
    </row>
    <row r="3612" spans="1:12" x14ac:dyDescent="0.25">
      <c r="A3612" s="468" t="s">
        <v>220</v>
      </c>
      <c r="B3612" s="468" t="s">
        <v>5430</v>
      </c>
      <c r="C3612" s="468" t="s">
        <v>4061</v>
      </c>
      <c r="D3612" s="468" t="s">
        <v>4062</v>
      </c>
      <c r="F3612" s="470">
        <v>150</v>
      </c>
      <c r="G3612" s="468">
        <v>0.219</v>
      </c>
      <c r="H3612" s="479">
        <v>32.85</v>
      </c>
      <c r="I3612" s="468" t="s">
        <v>9218</v>
      </c>
      <c r="J3612" s="468" t="s">
        <v>9219</v>
      </c>
      <c r="K3612" s="468" t="s">
        <v>9219</v>
      </c>
      <c r="L3612" s="468" t="s">
        <v>2354</v>
      </c>
    </row>
    <row r="3613" spans="1:12" x14ac:dyDescent="0.25">
      <c r="A3613" s="468" t="s">
        <v>220</v>
      </c>
      <c r="B3613" s="468" t="s">
        <v>5430</v>
      </c>
      <c r="C3613" s="468" t="s">
        <v>4063</v>
      </c>
      <c r="D3613" s="468" t="s">
        <v>4064</v>
      </c>
      <c r="F3613" s="470">
        <v>156</v>
      </c>
      <c r="G3613" s="468">
        <v>0.375</v>
      </c>
      <c r="H3613" s="479">
        <v>58.5</v>
      </c>
      <c r="I3613" s="468" t="s">
        <v>9218</v>
      </c>
      <c r="J3613" s="468" t="s">
        <v>9219</v>
      </c>
      <c r="K3613" s="468" t="s">
        <v>9219</v>
      </c>
      <c r="L3613" s="468" t="s">
        <v>2354</v>
      </c>
    </row>
    <row r="3614" spans="1:12" x14ac:dyDescent="0.25">
      <c r="A3614" s="468" t="s">
        <v>220</v>
      </c>
      <c r="B3614" s="468" t="s">
        <v>5430</v>
      </c>
      <c r="C3614" s="468" t="s">
        <v>4065</v>
      </c>
      <c r="D3614" s="468" t="s">
        <v>4066</v>
      </c>
      <c r="F3614" s="470">
        <v>45</v>
      </c>
      <c r="G3614" s="468">
        <v>0.254</v>
      </c>
      <c r="H3614" s="479">
        <v>11.43</v>
      </c>
      <c r="I3614" s="468" t="s">
        <v>9218</v>
      </c>
      <c r="J3614" s="468" t="s">
        <v>9219</v>
      </c>
      <c r="K3614" s="468" t="s">
        <v>9219</v>
      </c>
      <c r="L3614" s="468" t="s">
        <v>2354</v>
      </c>
    </row>
    <row r="3615" spans="1:12" x14ac:dyDescent="0.25">
      <c r="A3615" s="468" t="s">
        <v>220</v>
      </c>
      <c r="B3615" s="468" t="s">
        <v>5430</v>
      </c>
      <c r="C3615" s="468" t="s">
        <v>4067</v>
      </c>
      <c r="D3615" s="468" t="s">
        <v>4068</v>
      </c>
      <c r="F3615" s="470">
        <v>50</v>
      </c>
      <c r="G3615" s="468">
        <v>0.193</v>
      </c>
      <c r="H3615" s="479">
        <v>9.65</v>
      </c>
      <c r="I3615" s="468" t="s">
        <v>9218</v>
      </c>
      <c r="J3615" s="468" t="s">
        <v>9219</v>
      </c>
      <c r="K3615" s="468" t="s">
        <v>9219</v>
      </c>
      <c r="L3615" s="468" t="s">
        <v>2354</v>
      </c>
    </row>
    <row r="3616" spans="1:12" x14ac:dyDescent="0.25">
      <c r="A3616" s="468" t="s">
        <v>220</v>
      </c>
      <c r="B3616" s="468" t="s">
        <v>5430</v>
      </c>
      <c r="C3616" s="468" t="s">
        <v>4069</v>
      </c>
      <c r="D3616" s="468" t="s">
        <v>4070</v>
      </c>
      <c r="F3616" s="470">
        <v>190</v>
      </c>
      <c r="G3616" s="468">
        <v>0.442</v>
      </c>
      <c r="H3616" s="479">
        <v>83.98</v>
      </c>
      <c r="I3616" s="468" t="s">
        <v>9218</v>
      </c>
      <c r="J3616" s="468" t="s">
        <v>9219</v>
      </c>
      <c r="K3616" s="468" t="s">
        <v>9219</v>
      </c>
      <c r="L3616" s="468" t="s">
        <v>2354</v>
      </c>
    </row>
    <row r="3617" spans="1:12" x14ac:dyDescent="0.25">
      <c r="A3617" s="468" t="s">
        <v>220</v>
      </c>
      <c r="B3617" s="468" t="s">
        <v>5430</v>
      </c>
      <c r="C3617" s="468" t="s">
        <v>4071</v>
      </c>
      <c r="D3617" s="468" t="s">
        <v>8550</v>
      </c>
      <c r="F3617" s="470">
        <v>81</v>
      </c>
      <c r="G3617" s="468">
        <v>0.42899999999999999</v>
      </c>
      <c r="H3617" s="479">
        <v>34.749000000000002</v>
      </c>
      <c r="I3617" s="468" t="s">
        <v>9218</v>
      </c>
      <c r="J3617" s="468" t="s">
        <v>9219</v>
      </c>
      <c r="K3617" s="468" t="s">
        <v>9219</v>
      </c>
      <c r="L3617" s="468" t="s">
        <v>2354</v>
      </c>
    </row>
    <row r="3618" spans="1:12" x14ac:dyDescent="0.25">
      <c r="A3618" s="468" t="s">
        <v>220</v>
      </c>
      <c r="B3618" s="468" t="s">
        <v>5430</v>
      </c>
      <c r="C3618" s="468" t="s">
        <v>4073</v>
      </c>
      <c r="D3618" s="468" t="s">
        <v>4074</v>
      </c>
      <c r="F3618" s="470">
        <v>210</v>
      </c>
      <c r="G3618" s="468">
        <v>0.58399999999999996</v>
      </c>
      <c r="H3618" s="479">
        <v>122.63999999999999</v>
      </c>
      <c r="I3618" s="468" t="s">
        <v>9218</v>
      </c>
      <c r="J3618" s="468" t="s">
        <v>9219</v>
      </c>
      <c r="K3618" s="468" t="s">
        <v>9219</v>
      </c>
      <c r="L3618" s="468" t="s">
        <v>2354</v>
      </c>
    </row>
    <row r="3619" spans="1:12" x14ac:dyDescent="0.25">
      <c r="A3619" s="468" t="s">
        <v>220</v>
      </c>
      <c r="B3619" s="468" t="s">
        <v>5430</v>
      </c>
      <c r="C3619" s="468" t="s">
        <v>8551</v>
      </c>
      <c r="D3619" s="468" t="s">
        <v>8552</v>
      </c>
      <c r="F3619" s="470">
        <v>100</v>
      </c>
      <c r="G3619" s="468">
        <v>1.044</v>
      </c>
      <c r="H3619" s="479">
        <v>104.4</v>
      </c>
      <c r="I3619" s="468" t="s">
        <v>9218</v>
      </c>
      <c r="J3619" s="468" t="s">
        <v>9219</v>
      </c>
      <c r="K3619" s="468" t="s">
        <v>9219</v>
      </c>
      <c r="L3619" s="468" t="s">
        <v>2354</v>
      </c>
    </row>
    <row r="3620" spans="1:12" x14ac:dyDescent="0.25">
      <c r="A3620" s="468" t="s">
        <v>220</v>
      </c>
      <c r="B3620" s="468" t="s">
        <v>5430</v>
      </c>
      <c r="C3620" s="468" t="s">
        <v>6789</v>
      </c>
      <c r="D3620" s="468" t="s">
        <v>8553</v>
      </c>
      <c r="F3620" s="470">
        <v>192</v>
      </c>
      <c r="G3620" s="468">
        <v>0.38100000000000001</v>
      </c>
      <c r="H3620" s="479">
        <v>73.152000000000001</v>
      </c>
      <c r="I3620" s="468" t="s">
        <v>9218</v>
      </c>
      <c r="J3620" s="468" t="s">
        <v>9219</v>
      </c>
      <c r="K3620" s="468" t="s">
        <v>9219</v>
      </c>
      <c r="L3620" s="468" t="s">
        <v>2354</v>
      </c>
    </row>
    <row r="3621" spans="1:12" x14ac:dyDescent="0.25">
      <c r="A3621" s="468" t="s">
        <v>220</v>
      </c>
      <c r="B3621" s="468" t="s">
        <v>5430</v>
      </c>
      <c r="C3621" s="468" t="s">
        <v>8554</v>
      </c>
      <c r="D3621" s="468" t="s">
        <v>8555</v>
      </c>
      <c r="F3621" s="470">
        <v>50</v>
      </c>
      <c r="G3621" s="468">
        <v>0.46500000000000002</v>
      </c>
      <c r="H3621" s="479">
        <v>23.25</v>
      </c>
      <c r="I3621" s="468" t="s">
        <v>9218</v>
      </c>
      <c r="J3621" s="468" t="s">
        <v>9219</v>
      </c>
      <c r="K3621" s="468" t="s">
        <v>9219</v>
      </c>
      <c r="L3621" s="468" t="s">
        <v>2354</v>
      </c>
    </row>
    <row r="3622" spans="1:12" x14ac:dyDescent="0.25">
      <c r="A3622" s="468" t="s">
        <v>220</v>
      </c>
      <c r="B3622" s="468" t="s">
        <v>5430</v>
      </c>
      <c r="C3622" s="468" t="s">
        <v>6865</v>
      </c>
      <c r="D3622" s="468" t="s">
        <v>8556</v>
      </c>
      <c r="F3622" s="470">
        <v>58</v>
      </c>
      <c r="G3622" s="468">
        <v>7.4379999999999997</v>
      </c>
      <c r="H3622" s="479">
        <v>431.404</v>
      </c>
      <c r="I3622" s="468" t="s">
        <v>9218</v>
      </c>
      <c r="J3622" s="468" t="s">
        <v>9219</v>
      </c>
      <c r="K3622" s="468" t="s">
        <v>9219</v>
      </c>
      <c r="L3622" s="468" t="s">
        <v>2354</v>
      </c>
    </row>
    <row r="3623" spans="1:12" x14ac:dyDescent="0.25">
      <c r="A3623" s="468" t="s">
        <v>220</v>
      </c>
      <c r="B3623" s="468" t="s">
        <v>5430</v>
      </c>
      <c r="C3623" s="468" t="s">
        <v>4199</v>
      </c>
      <c r="D3623" s="468" t="s">
        <v>8557</v>
      </c>
      <c r="F3623" s="470">
        <v>2</v>
      </c>
      <c r="G3623" s="468">
        <v>5.952</v>
      </c>
      <c r="H3623" s="479">
        <v>11.904</v>
      </c>
      <c r="I3623" s="468" t="s">
        <v>9218</v>
      </c>
      <c r="J3623" s="468" t="s">
        <v>9219</v>
      </c>
      <c r="K3623" s="468" t="s">
        <v>9219</v>
      </c>
      <c r="L3623" s="468" t="s">
        <v>2354</v>
      </c>
    </row>
    <row r="3624" spans="1:12" x14ac:dyDescent="0.25">
      <c r="A3624" s="468" t="s">
        <v>220</v>
      </c>
      <c r="B3624" s="468" t="s">
        <v>5430</v>
      </c>
      <c r="C3624" s="468" t="s">
        <v>4201</v>
      </c>
      <c r="D3624" s="468" t="s">
        <v>8558</v>
      </c>
      <c r="F3624" s="470">
        <v>44</v>
      </c>
      <c r="G3624" s="468">
        <v>3.577</v>
      </c>
      <c r="H3624" s="479">
        <v>157.38800000000001</v>
      </c>
      <c r="I3624" s="468" t="s">
        <v>9218</v>
      </c>
      <c r="J3624" s="468" t="s">
        <v>9219</v>
      </c>
      <c r="K3624" s="468" t="s">
        <v>9219</v>
      </c>
      <c r="L3624" s="468" t="s">
        <v>2354</v>
      </c>
    </row>
    <row r="3625" spans="1:12" x14ac:dyDescent="0.25">
      <c r="A3625" s="468" t="s">
        <v>220</v>
      </c>
      <c r="B3625" s="468" t="s">
        <v>5430</v>
      </c>
      <c r="C3625" s="468" t="s">
        <v>4203</v>
      </c>
      <c r="D3625" s="468" t="s">
        <v>8559</v>
      </c>
      <c r="F3625" s="470">
        <v>4</v>
      </c>
      <c r="G3625" s="468">
        <v>5.4139999999999997</v>
      </c>
      <c r="H3625" s="479">
        <v>21.655999999999999</v>
      </c>
      <c r="I3625" s="468" t="s">
        <v>9218</v>
      </c>
      <c r="J3625" s="468" t="s">
        <v>9219</v>
      </c>
      <c r="K3625" s="468" t="s">
        <v>9219</v>
      </c>
      <c r="L3625" s="468" t="s">
        <v>2354</v>
      </c>
    </row>
    <row r="3626" spans="1:12" x14ac:dyDescent="0.25">
      <c r="A3626" s="468" t="s">
        <v>220</v>
      </c>
      <c r="B3626" s="468" t="s">
        <v>5430</v>
      </c>
      <c r="C3626" s="468" t="s">
        <v>6866</v>
      </c>
      <c r="D3626" s="468" t="s">
        <v>8560</v>
      </c>
      <c r="F3626" s="470">
        <v>15</v>
      </c>
      <c r="G3626" s="468">
        <v>9.5120000000000005</v>
      </c>
      <c r="H3626" s="479">
        <v>142.68</v>
      </c>
      <c r="I3626" s="468" t="s">
        <v>9218</v>
      </c>
      <c r="J3626" s="468" t="s">
        <v>9219</v>
      </c>
      <c r="K3626" s="468" t="s">
        <v>9219</v>
      </c>
      <c r="L3626" s="468" t="s">
        <v>2354</v>
      </c>
    </row>
    <row r="3627" spans="1:12" x14ac:dyDescent="0.25">
      <c r="A3627" s="468" t="s">
        <v>220</v>
      </c>
      <c r="B3627" s="468" t="s">
        <v>5430</v>
      </c>
      <c r="C3627" s="468" t="s">
        <v>4205</v>
      </c>
      <c r="D3627" s="468" t="s">
        <v>8561</v>
      </c>
      <c r="F3627" s="470">
        <v>7</v>
      </c>
      <c r="G3627" s="468">
        <v>2.548</v>
      </c>
      <c r="H3627" s="479">
        <v>17.835999999999999</v>
      </c>
      <c r="I3627" s="468" t="s">
        <v>9218</v>
      </c>
      <c r="J3627" s="468" t="s">
        <v>9219</v>
      </c>
      <c r="K3627" s="468" t="s">
        <v>9219</v>
      </c>
      <c r="L3627" s="468" t="s">
        <v>2354</v>
      </c>
    </row>
    <row r="3628" spans="1:12" x14ac:dyDescent="0.25">
      <c r="A3628" s="468" t="s">
        <v>220</v>
      </c>
      <c r="B3628" s="468" t="s">
        <v>5430</v>
      </c>
      <c r="C3628" s="468" t="s">
        <v>4207</v>
      </c>
      <c r="D3628" s="468" t="s">
        <v>8562</v>
      </c>
      <c r="F3628" s="470">
        <v>44</v>
      </c>
      <c r="G3628" s="468">
        <v>2.609</v>
      </c>
      <c r="H3628" s="479">
        <v>114.79599999999999</v>
      </c>
      <c r="I3628" s="468" t="s">
        <v>9218</v>
      </c>
      <c r="J3628" s="468" t="s">
        <v>9219</v>
      </c>
      <c r="K3628" s="468" t="s">
        <v>9219</v>
      </c>
      <c r="L3628" s="468" t="s">
        <v>2354</v>
      </c>
    </row>
    <row r="3629" spans="1:12" x14ac:dyDescent="0.25">
      <c r="A3629" s="468" t="s">
        <v>220</v>
      </c>
      <c r="B3629" s="468" t="s">
        <v>5430</v>
      </c>
      <c r="C3629" s="468" t="s">
        <v>4209</v>
      </c>
      <c r="D3629" s="468" t="s">
        <v>8563</v>
      </c>
      <c r="F3629" s="470">
        <v>29</v>
      </c>
      <c r="G3629" s="468">
        <v>4.2359999999999998</v>
      </c>
      <c r="H3629" s="479">
        <v>122.84399999999999</v>
      </c>
      <c r="I3629" s="468" t="s">
        <v>9218</v>
      </c>
      <c r="J3629" s="468" t="s">
        <v>9219</v>
      </c>
      <c r="K3629" s="468" t="s">
        <v>9219</v>
      </c>
      <c r="L3629" s="468" t="s">
        <v>2354</v>
      </c>
    </row>
    <row r="3630" spans="1:12" x14ac:dyDescent="0.25">
      <c r="A3630" s="468" t="s">
        <v>220</v>
      </c>
      <c r="B3630" s="468" t="s">
        <v>5430</v>
      </c>
      <c r="C3630" s="468" t="s">
        <v>4217</v>
      </c>
      <c r="D3630" s="468" t="s">
        <v>4218</v>
      </c>
      <c r="F3630" s="470">
        <v>102</v>
      </c>
      <c r="G3630" s="468">
        <v>0.26600000000000001</v>
      </c>
      <c r="H3630" s="479">
        <v>27.132000000000001</v>
      </c>
      <c r="I3630" s="468" t="s">
        <v>9218</v>
      </c>
      <c r="J3630" s="468" t="s">
        <v>9219</v>
      </c>
      <c r="K3630" s="468" t="s">
        <v>9219</v>
      </c>
      <c r="L3630" s="468" t="s">
        <v>2354</v>
      </c>
    </row>
    <row r="3631" spans="1:12" x14ac:dyDescent="0.25">
      <c r="A3631" s="468" t="s">
        <v>220</v>
      </c>
      <c r="B3631" s="468" t="s">
        <v>5430</v>
      </c>
      <c r="C3631" s="468" t="s">
        <v>6868</v>
      </c>
      <c r="D3631" s="468" t="s">
        <v>8564</v>
      </c>
      <c r="F3631" s="470">
        <v>3</v>
      </c>
      <c r="G3631" s="468">
        <v>3.0569999999999999</v>
      </c>
      <c r="H3631" s="479">
        <v>9.1709999999999994</v>
      </c>
      <c r="I3631" s="468" t="s">
        <v>9218</v>
      </c>
      <c r="J3631" s="468" t="s">
        <v>9219</v>
      </c>
      <c r="K3631" s="468" t="s">
        <v>9219</v>
      </c>
      <c r="L3631" s="468" t="s">
        <v>2354</v>
      </c>
    </row>
    <row r="3632" spans="1:12" x14ac:dyDescent="0.25">
      <c r="A3632" s="468" t="s">
        <v>220</v>
      </c>
      <c r="B3632" s="468" t="s">
        <v>5430</v>
      </c>
      <c r="C3632" s="468" t="s">
        <v>4343</v>
      </c>
      <c r="D3632" s="468" t="s">
        <v>8565</v>
      </c>
      <c r="F3632" s="470">
        <v>23</v>
      </c>
      <c r="G3632" s="468">
        <v>1.425</v>
      </c>
      <c r="H3632" s="479">
        <v>32.774999999999999</v>
      </c>
      <c r="I3632" s="468" t="s">
        <v>9218</v>
      </c>
      <c r="J3632" s="468" t="s">
        <v>9219</v>
      </c>
      <c r="K3632" s="468" t="s">
        <v>9219</v>
      </c>
      <c r="L3632" s="468" t="s">
        <v>2354</v>
      </c>
    </row>
    <row r="3633" spans="1:12" x14ac:dyDescent="0.25">
      <c r="A3633" s="468" t="s">
        <v>220</v>
      </c>
      <c r="B3633" s="468" t="s">
        <v>5430</v>
      </c>
      <c r="C3633" s="468" t="s">
        <v>6954</v>
      </c>
      <c r="D3633" s="468" t="s">
        <v>6955</v>
      </c>
      <c r="F3633" s="470">
        <v>1</v>
      </c>
      <c r="G3633" s="468">
        <v>2.7090000000000001</v>
      </c>
      <c r="H3633" s="479">
        <v>2.7090000000000001</v>
      </c>
      <c r="I3633" s="468" t="s">
        <v>9218</v>
      </c>
      <c r="J3633" s="468" t="s">
        <v>9219</v>
      </c>
      <c r="K3633" s="468" t="s">
        <v>9219</v>
      </c>
      <c r="L3633" s="468" t="s">
        <v>2354</v>
      </c>
    </row>
    <row r="3634" spans="1:12" x14ac:dyDescent="0.25">
      <c r="A3634" s="468" t="s">
        <v>220</v>
      </c>
      <c r="B3634" s="468" t="s">
        <v>5430</v>
      </c>
      <c r="C3634" s="468" t="s">
        <v>4371</v>
      </c>
      <c r="D3634" s="468" t="s">
        <v>4372</v>
      </c>
      <c r="F3634" s="470">
        <v>12</v>
      </c>
      <c r="G3634" s="468">
        <v>0.33600000000000002</v>
      </c>
      <c r="H3634" s="479">
        <v>4.032</v>
      </c>
      <c r="I3634" s="468" t="s">
        <v>9218</v>
      </c>
      <c r="J3634" s="468" t="s">
        <v>9219</v>
      </c>
      <c r="K3634" s="468" t="s">
        <v>9219</v>
      </c>
      <c r="L3634" s="468" t="s">
        <v>2354</v>
      </c>
    </row>
    <row r="3635" spans="1:12" x14ac:dyDescent="0.25">
      <c r="A3635" s="468" t="s">
        <v>220</v>
      </c>
      <c r="B3635" s="468" t="s">
        <v>5430</v>
      </c>
      <c r="C3635" s="468" t="s">
        <v>4375</v>
      </c>
      <c r="D3635" s="468" t="s">
        <v>4376</v>
      </c>
      <c r="F3635" s="470">
        <v>76</v>
      </c>
      <c r="G3635" s="468">
        <v>0.65200000000000002</v>
      </c>
      <c r="H3635" s="479">
        <v>49.552</v>
      </c>
      <c r="I3635" s="468" t="s">
        <v>9218</v>
      </c>
      <c r="J3635" s="468" t="s">
        <v>9219</v>
      </c>
      <c r="K3635" s="468" t="s">
        <v>9219</v>
      </c>
      <c r="L3635" s="468" t="s">
        <v>2354</v>
      </c>
    </row>
    <row r="3636" spans="1:12" x14ac:dyDescent="0.25">
      <c r="A3636" s="468" t="s">
        <v>220</v>
      </c>
      <c r="B3636" s="468" t="s">
        <v>5430</v>
      </c>
      <c r="C3636" s="468" t="s">
        <v>6957</v>
      </c>
      <c r="D3636" s="468" t="s">
        <v>6958</v>
      </c>
      <c r="F3636" s="470">
        <v>1</v>
      </c>
      <c r="G3636" s="468">
        <v>2.427</v>
      </c>
      <c r="H3636" s="479">
        <v>2.427</v>
      </c>
      <c r="I3636" s="468" t="s">
        <v>9218</v>
      </c>
      <c r="J3636" s="468" t="s">
        <v>9219</v>
      </c>
      <c r="K3636" s="468" t="s">
        <v>9219</v>
      </c>
      <c r="L3636" s="468" t="s">
        <v>2354</v>
      </c>
    </row>
    <row r="3637" spans="1:12" x14ac:dyDescent="0.25">
      <c r="A3637" s="468" t="s">
        <v>220</v>
      </c>
      <c r="B3637" s="468" t="s">
        <v>5430</v>
      </c>
      <c r="C3637" s="468" t="s">
        <v>6959</v>
      </c>
      <c r="D3637" s="468" t="s">
        <v>6960</v>
      </c>
      <c r="F3637" s="470">
        <v>2</v>
      </c>
      <c r="G3637" s="468">
        <v>2.4239999999999999</v>
      </c>
      <c r="H3637" s="479">
        <v>4.8479999999999999</v>
      </c>
      <c r="I3637" s="468" t="s">
        <v>9218</v>
      </c>
      <c r="J3637" s="468" t="s">
        <v>9219</v>
      </c>
      <c r="K3637" s="468" t="s">
        <v>9219</v>
      </c>
      <c r="L3637" s="468" t="s">
        <v>2354</v>
      </c>
    </row>
    <row r="3638" spans="1:12" x14ac:dyDescent="0.25">
      <c r="A3638" s="468" t="s">
        <v>220</v>
      </c>
      <c r="B3638" s="468" t="s">
        <v>5430</v>
      </c>
      <c r="C3638" s="468" t="s">
        <v>4377</v>
      </c>
      <c r="D3638" s="468" t="s">
        <v>4378</v>
      </c>
      <c r="F3638" s="470">
        <v>27</v>
      </c>
      <c r="G3638" s="468">
        <v>1.6259999999999999</v>
      </c>
      <c r="H3638" s="479">
        <v>43.901999999999994</v>
      </c>
      <c r="I3638" s="468" t="s">
        <v>9218</v>
      </c>
      <c r="J3638" s="468" t="s">
        <v>9219</v>
      </c>
      <c r="K3638" s="468" t="s">
        <v>9219</v>
      </c>
      <c r="L3638" s="468" t="s">
        <v>2354</v>
      </c>
    </row>
    <row r="3639" spans="1:12" x14ac:dyDescent="0.25">
      <c r="A3639" s="468" t="s">
        <v>220</v>
      </c>
      <c r="B3639" s="468" t="s">
        <v>5430</v>
      </c>
      <c r="C3639" s="468" t="s">
        <v>6961</v>
      </c>
      <c r="D3639" s="468" t="s">
        <v>8566</v>
      </c>
      <c r="F3639" s="470">
        <v>1</v>
      </c>
      <c r="G3639" s="468">
        <v>16.632000000000001</v>
      </c>
      <c r="H3639" s="479">
        <v>16.632000000000001</v>
      </c>
      <c r="I3639" s="468" t="s">
        <v>9218</v>
      </c>
      <c r="J3639" s="468" t="s">
        <v>9219</v>
      </c>
      <c r="K3639" s="468" t="s">
        <v>9219</v>
      </c>
      <c r="L3639" s="468" t="s">
        <v>2354</v>
      </c>
    </row>
    <row r="3640" spans="1:12" x14ac:dyDescent="0.25">
      <c r="A3640" s="468" t="s">
        <v>220</v>
      </c>
      <c r="B3640" s="468" t="s">
        <v>5430</v>
      </c>
      <c r="C3640" s="468" t="s">
        <v>4381</v>
      </c>
      <c r="D3640" s="468" t="s">
        <v>4382</v>
      </c>
      <c r="F3640" s="470">
        <v>1</v>
      </c>
      <c r="G3640" s="468">
        <v>1.149</v>
      </c>
      <c r="H3640" s="479">
        <v>1.149</v>
      </c>
      <c r="I3640" s="468" t="s">
        <v>9218</v>
      </c>
      <c r="J3640" s="468" t="s">
        <v>9219</v>
      </c>
      <c r="K3640" s="468" t="s">
        <v>9219</v>
      </c>
      <c r="L3640" s="468" t="s">
        <v>2354</v>
      </c>
    </row>
    <row r="3641" spans="1:12" x14ac:dyDescent="0.25">
      <c r="A3641" s="468" t="s">
        <v>220</v>
      </c>
      <c r="B3641" s="468" t="s">
        <v>5430</v>
      </c>
      <c r="C3641" s="468" t="s">
        <v>4395</v>
      </c>
      <c r="D3641" s="468" t="s">
        <v>4396</v>
      </c>
      <c r="F3641" s="470">
        <v>17</v>
      </c>
      <c r="G3641" s="468">
        <v>6.9710000000000001</v>
      </c>
      <c r="H3641" s="479">
        <v>118.50700000000001</v>
      </c>
      <c r="I3641" s="468" t="s">
        <v>9218</v>
      </c>
      <c r="J3641" s="468" t="s">
        <v>9219</v>
      </c>
      <c r="K3641" s="468" t="s">
        <v>9219</v>
      </c>
      <c r="L3641" s="468" t="s">
        <v>2354</v>
      </c>
    </row>
    <row r="3642" spans="1:12" x14ac:dyDescent="0.25">
      <c r="A3642" s="468" t="s">
        <v>220</v>
      </c>
      <c r="B3642" s="468" t="s">
        <v>5430</v>
      </c>
      <c r="C3642" s="468" t="s">
        <v>8567</v>
      </c>
      <c r="D3642" s="468" t="s">
        <v>8568</v>
      </c>
      <c r="F3642" s="470">
        <v>3</v>
      </c>
      <c r="G3642" s="468">
        <v>7.7629999999999999</v>
      </c>
      <c r="H3642" s="479">
        <v>23.289000000000001</v>
      </c>
      <c r="I3642" s="468" t="s">
        <v>9218</v>
      </c>
      <c r="J3642" s="468" t="s">
        <v>9219</v>
      </c>
      <c r="K3642" s="468" t="s">
        <v>9219</v>
      </c>
      <c r="L3642" s="468" t="s">
        <v>2354</v>
      </c>
    </row>
    <row r="3643" spans="1:12" x14ac:dyDescent="0.25">
      <c r="A3643" s="468" t="s">
        <v>220</v>
      </c>
      <c r="B3643" s="468" t="s">
        <v>5430</v>
      </c>
      <c r="C3643" s="468" t="s">
        <v>4403</v>
      </c>
      <c r="D3643" s="468" t="s">
        <v>8569</v>
      </c>
      <c r="F3643" s="470">
        <v>20</v>
      </c>
      <c r="G3643" s="468">
        <v>1.133</v>
      </c>
      <c r="H3643" s="479">
        <v>22.66</v>
      </c>
      <c r="I3643" s="468" t="s">
        <v>9218</v>
      </c>
      <c r="J3643" s="468" t="s">
        <v>9219</v>
      </c>
      <c r="K3643" s="468" t="s">
        <v>9219</v>
      </c>
      <c r="L3643" s="468" t="s">
        <v>2354</v>
      </c>
    </row>
    <row r="3644" spans="1:12" x14ac:dyDescent="0.25">
      <c r="A3644" s="468" t="s">
        <v>220</v>
      </c>
      <c r="B3644" s="468" t="s">
        <v>5430</v>
      </c>
      <c r="C3644" s="468" t="s">
        <v>6963</v>
      </c>
      <c r="D3644" s="468" t="s">
        <v>8570</v>
      </c>
      <c r="F3644" s="470">
        <v>5</v>
      </c>
      <c r="G3644" s="468">
        <v>12.914999999999999</v>
      </c>
      <c r="H3644" s="479">
        <v>64.574999999999989</v>
      </c>
      <c r="I3644" s="468" t="s">
        <v>9218</v>
      </c>
      <c r="J3644" s="468" t="s">
        <v>9219</v>
      </c>
      <c r="K3644" s="468" t="s">
        <v>9219</v>
      </c>
      <c r="L3644" s="468" t="s">
        <v>2354</v>
      </c>
    </row>
    <row r="3645" spans="1:12" x14ac:dyDescent="0.25">
      <c r="A3645" s="468" t="s">
        <v>220</v>
      </c>
      <c r="B3645" s="468" t="s">
        <v>5430</v>
      </c>
      <c r="C3645" s="468" t="s">
        <v>5410</v>
      </c>
      <c r="D3645" s="468" t="s">
        <v>8571</v>
      </c>
      <c r="F3645" s="470">
        <v>1</v>
      </c>
      <c r="G3645" s="468">
        <v>5.4089999999999998</v>
      </c>
      <c r="H3645" s="479">
        <v>5.4089999999999998</v>
      </c>
      <c r="I3645" s="468" t="s">
        <v>9218</v>
      </c>
      <c r="J3645" s="468" t="s">
        <v>9219</v>
      </c>
      <c r="K3645" s="468" t="s">
        <v>9219</v>
      </c>
      <c r="L3645" s="468" t="s">
        <v>2354</v>
      </c>
    </row>
    <row r="3646" spans="1:12" x14ac:dyDescent="0.25">
      <c r="A3646" s="468" t="s">
        <v>220</v>
      </c>
      <c r="B3646" s="468" t="s">
        <v>5430</v>
      </c>
      <c r="C3646" s="468" t="s">
        <v>4442</v>
      </c>
      <c r="D3646" s="468" t="s">
        <v>8572</v>
      </c>
      <c r="F3646" s="470">
        <v>10</v>
      </c>
      <c r="G3646" s="468">
        <v>0.22700000000000001</v>
      </c>
      <c r="H3646" s="479">
        <v>2.27</v>
      </c>
      <c r="I3646" s="468" t="s">
        <v>9218</v>
      </c>
      <c r="J3646" s="468" t="s">
        <v>9219</v>
      </c>
      <c r="K3646" s="468" t="s">
        <v>9219</v>
      </c>
      <c r="L3646" s="468" t="s">
        <v>2354</v>
      </c>
    </row>
    <row r="3647" spans="1:12" x14ac:dyDescent="0.25">
      <c r="A3647" s="468" t="s">
        <v>220</v>
      </c>
      <c r="B3647" s="468" t="s">
        <v>5430</v>
      </c>
      <c r="C3647" s="468" t="s">
        <v>4444</v>
      </c>
      <c r="D3647" s="468" t="s">
        <v>8573</v>
      </c>
      <c r="F3647" s="470">
        <v>2</v>
      </c>
      <c r="G3647" s="468">
        <v>0.30199999999999999</v>
      </c>
      <c r="H3647" s="479">
        <v>0.60399999999999998</v>
      </c>
      <c r="I3647" s="468" t="s">
        <v>9218</v>
      </c>
      <c r="J3647" s="468" t="s">
        <v>9219</v>
      </c>
      <c r="K3647" s="468" t="s">
        <v>9219</v>
      </c>
      <c r="L3647" s="468" t="s">
        <v>2354</v>
      </c>
    </row>
    <row r="3648" spans="1:12" x14ac:dyDescent="0.25">
      <c r="A3648" s="468" t="s">
        <v>220</v>
      </c>
      <c r="B3648" s="468" t="s">
        <v>5430</v>
      </c>
      <c r="C3648" s="468" t="s">
        <v>4446</v>
      </c>
      <c r="D3648" s="468" t="s">
        <v>8574</v>
      </c>
      <c r="F3648" s="470">
        <v>7</v>
      </c>
      <c r="G3648" s="468">
        <v>0.34200000000000003</v>
      </c>
      <c r="H3648" s="479">
        <v>2.3940000000000001</v>
      </c>
      <c r="I3648" s="468" t="s">
        <v>9218</v>
      </c>
      <c r="J3648" s="468" t="s">
        <v>9219</v>
      </c>
      <c r="K3648" s="468" t="s">
        <v>9219</v>
      </c>
      <c r="L3648" s="468" t="s">
        <v>2354</v>
      </c>
    </row>
    <row r="3649" spans="1:12" x14ac:dyDescent="0.25">
      <c r="A3649" s="468" t="s">
        <v>220</v>
      </c>
      <c r="B3649" s="468" t="s">
        <v>5430</v>
      </c>
      <c r="C3649" s="468" t="s">
        <v>8575</v>
      </c>
      <c r="D3649" s="468" t="s">
        <v>8576</v>
      </c>
      <c r="F3649" s="470">
        <v>3</v>
      </c>
      <c r="G3649" s="468">
        <v>0.41299999999999998</v>
      </c>
      <c r="H3649" s="479">
        <v>1.2389999999999999</v>
      </c>
      <c r="I3649" s="468" t="s">
        <v>9218</v>
      </c>
      <c r="J3649" s="468" t="s">
        <v>9219</v>
      </c>
      <c r="K3649" s="468" t="s">
        <v>9219</v>
      </c>
      <c r="L3649" s="468" t="s">
        <v>2354</v>
      </c>
    </row>
    <row r="3650" spans="1:12" x14ac:dyDescent="0.25">
      <c r="A3650" s="468" t="s">
        <v>220</v>
      </c>
      <c r="B3650" s="468" t="s">
        <v>5430</v>
      </c>
      <c r="C3650" s="468" t="s">
        <v>4464</v>
      </c>
      <c r="D3650" s="468" t="s">
        <v>4465</v>
      </c>
      <c r="F3650" s="470">
        <v>300</v>
      </c>
      <c r="G3650" s="468">
        <v>6.4000000000000001E-2</v>
      </c>
      <c r="H3650" s="479">
        <v>19.2</v>
      </c>
      <c r="I3650" s="468" t="s">
        <v>9218</v>
      </c>
      <c r="J3650" s="468" t="s">
        <v>9219</v>
      </c>
      <c r="K3650" s="468" t="s">
        <v>9219</v>
      </c>
      <c r="L3650" s="468" t="s">
        <v>2354</v>
      </c>
    </row>
    <row r="3651" spans="1:12" x14ac:dyDescent="0.25">
      <c r="A3651" s="468" t="s">
        <v>220</v>
      </c>
      <c r="B3651" s="468" t="s">
        <v>5430</v>
      </c>
      <c r="C3651" s="468" t="s">
        <v>4490</v>
      </c>
      <c r="D3651" s="468" t="s">
        <v>4491</v>
      </c>
      <c r="F3651" s="470">
        <v>21</v>
      </c>
      <c r="G3651" s="468">
        <v>0.78800000000000003</v>
      </c>
      <c r="H3651" s="479">
        <v>16.548000000000002</v>
      </c>
      <c r="I3651" s="468" t="s">
        <v>9218</v>
      </c>
      <c r="J3651" s="468" t="s">
        <v>9219</v>
      </c>
      <c r="K3651" s="468" t="s">
        <v>9219</v>
      </c>
      <c r="L3651" s="468" t="s">
        <v>2354</v>
      </c>
    </row>
    <row r="3652" spans="1:12" x14ac:dyDescent="0.25">
      <c r="A3652" s="468" t="s">
        <v>220</v>
      </c>
      <c r="B3652" s="468" t="s">
        <v>5430</v>
      </c>
      <c r="C3652" s="468" t="s">
        <v>4514</v>
      </c>
      <c r="D3652" s="468" t="s">
        <v>8577</v>
      </c>
      <c r="F3652" s="470">
        <v>5</v>
      </c>
      <c r="G3652" s="468">
        <v>2.4390000000000001</v>
      </c>
      <c r="H3652" s="479">
        <v>12.195</v>
      </c>
      <c r="I3652" s="468" t="s">
        <v>9218</v>
      </c>
      <c r="J3652" s="468" t="s">
        <v>9219</v>
      </c>
      <c r="K3652" s="468" t="s">
        <v>9219</v>
      </c>
      <c r="L3652" s="468" t="s">
        <v>2354</v>
      </c>
    </row>
    <row r="3653" spans="1:12" x14ac:dyDescent="0.25">
      <c r="A3653" s="468" t="s">
        <v>220</v>
      </c>
      <c r="B3653" s="468" t="s">
        <v>5430</v>
      </c>
      <c r="C3653" s="468" t="s">
        <v>4516</v>
      </c>
      <c r="D3653" s="468" t="s">
        <v>8578</v>
      </c>
      <c r="F3653" s="470">
        <v>23</v>
      </c>
      <c r="G3653" s="468">
        <v>2.7120000000000002</v>
      </c>
      <c r="H3653" s="479">
        <v>62.376000000000005</v>
      </c>
      <c r="I3653" s="468" t="s">
        <v>9218</v>
      </c>
      <c r="J3653" s="468" t="s">
        <v>9219</v>
      </c>
      <c r="K3653" s="468" t="s">
        <v>9219</v>
      </c>
      <c r="L3653" s="468" t="s">
        <v>2354</v>
      </c>
    </row>
    <row r="3654" spans="1:12" x14ac:dyDescent="0.25">
      <c r="A3654" s="468" t="s">
        <v>220</v>
      </c>
      <c r="B3654" s="468" t="s">
        <v>5430</v>
      </c>
      <c r="C3654" s="468" t="s">
        <v>4518</v>
      </c>
      <c r="D3654" s="468" t="s">
        <v>8579</v>
      </c>
      <c r="F3654" s="470">
        <v>32</v>
      </c>
      <c r="G3654" s="468">
        <v>6.2869999999999999</v>
      </c>
      <c r="H3654" s="479">
        <v>201.184</v>
      </c>
      <c r="I3654" s="468" t="s">
        <v>9218</v>
      </c>
      <c r="J3654" s="468" t="s">
        <v>9219</v>
      </c>
      <c r="K3654" s="468" t="s">
        <v>9219</v>
      </c>
      <c r="L3654" s="468" t="s">
        <v>2354</v>
      </c>
    </row>
    <row r="3655" spans="1:12" x14ac:dyDescent="0.25">
      <c r="A3655" s="468" t="s">
        <v>220</v>
      </c>
      <c r="B3655" s="468" t="s">
        <v>5430</v>
      </c>
      <c r="C3655" s="468" t="s">
        <v>7002</v>
      </c>
      <c r="D3655" s="468" t="s">
        <v>8580</v>
      </c>
      <c r="F3655" s="470">
        <v>4</v>
      </c>
      <c r="G3655" s="468">
        <v>5.7080000000000002</v>
      </c>
      <c r="H3655" s="479">
        <v>22.832000000000001</v>
      </c>
      <c r="I3655" s="468" t="s">
        <v>9218</v>
      </c>
      <c r="J3655" s="468" t="s">
        <v>9219</v>
      </c>
      <c r="K3655" s="468" t="s">
        <v>9219</v>
      </c>
      <c r="L3655" s="468" t="s">
        <v>2354</v>
      </c>
    </row>
    <row r="3656" spans="1:12" x14ac:dyDescent="0.25">
      <c r="A3656" s="468" t="s">
        <v>220</v>
      </c>
      <c r="B3656" s="468" t="s">
        <v>5430</v>
      </c>
      <c r="C3656" s="468" t="s">
        <v>7004</v>
      </c>
      <c r="D3656" s="468" t="s">
        <v>8581</v>
      </c>
      <c r="F3656" s="470">
        <v>10</v>
      </c>
      <c r="G3656" s="468">
        <v>3.93</v>
      </c>
      <c r="H3656" s="479">
        <v>39.300000000000004</v>
      </c>
      <c r="I3656" s="468" t="s">
        <v>9218</v>
      </c>
      <c r="J3656" s="468" t="s">
        <v>9219</v>
      </c>
      <c r="K3656" s="468" t="s">
        <v>9219</v>
      </c>
      <c r="L3656" s="468" t="s">
        <v>2354</v>
      </c>
    </row>
    <row r="3657" spans="1:12" x14ac:dyDescent="0.25">
      <c r="A3657" s="468" t="s">
        <v>220</v>
      </c>
      <c r="B3657" s="468" t="s">
        <v>5430</v>
      </c>
      <c r="C3657" s="468" t="s">
        <v>7008</v>
      </c>
      <c r="D3657" s="468" t="s">
        <v>8582</v>
      </c>
      <c r="F3657" s="470">
        <v>200</v>
      </c>
      <c r="G3657" s="468">
        <v>0.157</v>
      </c>
      <c r="H3657" s="479">
        <v>31.4</v>
      </c>
      <c r="I3657" s="468" t="s">
        <v>9218</v>
      </c>
      <c r="J3657" s="468" t="s">
        <v>9219</v>
      </c>
      <c r="K3657" s="468" t="s">
        <v>9219</v>
      </c>
      <c r="L3657" s="468" t="s">
        <v>2354</v>
      </c>
    </row>
    <row r="3658" spans="1:12" x14ac:dyDescent="0.25">
      <c r="A3658" s="468" t="s">
        <v>220</v>
      </c>
      <c r="B3658" s="468" t="s">
        <v>5430</v>
      </c>
      <c r="C3658" s="468" t="s">
        <v>7010</v>
      </c>
      <c r="D3658" s="468" t="s">
        <v>8583</v>
      </c>
      <c r="F3658" s="470">
        <v>200</v>
      </c>
      <c r="G3658" s="468">
        <v>0.20100000000000001</v>
      </c>
      <c r="H3658" s="479">
        <v>40.200000000000003</v>
      </c>
      <c r="I3658" s="468" t="s">
        <v>9218</v>
      </c>
      <c r="J3658" s="468" t="s">
        <v>9219</v>
      </c>
      <c r="K3658" s="468" t="s">
        <v>9219</v>
      </c>
      <c r="L3658" s="468" t="s">
        <v>2354</v>
      </c>
    </row>
    <row r="3659" spans="1:12" x14ac:dyDescent="0.25">
      <c r="A3659" s="468" t="s">
        <v>220</v>
      </c>
      <c r="B3659" s="468" t="s">
        <v>5430</v>
      </c>
      <c r="C3659" s="468" t="s">
        <v>7012</v>
      </c>
      <c r="D3659" s="468" t="s">
        <v>8584</v>
      </c>
      <c r="F3659" s="470">
        <v>300</v>
      </c>
      <c r="G3659" s="468">
        <v>0.215</v>
      </c>
      <c r="H3659" s="479">
        <v>64.5</v>
      </c>
      <c r="I3659" s="468" t="s">
        <v>9218</v>
      </c>
      <c r="J3659" s="468" t="s">
        <v>9219</v>
      </c>
      <c r="K3659" s="468" t="s">
        <v>9219</v>
      </c>
      <c r="L3659" s="468" t="s">
        <v>2354</v>
      </c>
    </row>
    <row r="3660" spans="1:12" x14ac:dyDescent="0.25">
      <c r="A3660" s="468" t="s">
        <v>220</v>
      </c>
      <c r="B3660" s="468" t="s">
        <v>5430</v>
      </c>
      <c r="C3660" s="468" t="s">
        <v>8585</v>
      </c>
      <c r="D3660" s="468" t="s">
        <v>8586</v>
      </c>
      <c r="F3660" s="470">
        <v>1</v>
      </c>
      <c r="G3660" s="468">
        <v>5.891</v>
      </c>
      <c r="H3660" s="479">
        <v>5.891</v>
      </c>
      <c r="I3660" s="468" t="s">
        <v>9218</v>
      </c>
      <c r="J3660" s="468" t="s">
        <v>9219</v>
      </c>
      <c r="K3660" s="468" t="s">
        <v>9219</v>
      </c>
      <c r="L3660" s="468" t="s">
        <v>2354</v>
      </c>
    </row>
    <row r="3661" spans="1:12" x14ac:dyDescent="0.25">
      <c r="A3661" s="468" t="s">
        <v>220</v>
      </c>
      <c r="B3661" s="468" t="s">
        <v>5430</v>
      </c>
      <c r="C3661" s="468" t="s">
        <v>7016</v>
      </c>
      <c r="D3661" s="468" t="s">
        <v>7017</v>
      </c>
      <c r="F3661" s="470">
        <v>1</v>
      </c>
      <c r="G3661" s="468">
        <v>4.1479999999999997</v>
      </c>
      <c r="H3661" s="479">
        <v>4.1479999999999997</v>
      </c>
      <c r="I3661" s="468" t="s">
        <v>9218</v>
      </c>
      <c r="J3661" s="468" t="s">
        <v>9219</v>
      </c>
      <c r="K3661" s="468" t="s">
        <v>9219</v>
      </c>
      <c r="L3661" s="468" t="s">
        <v>2354</v>
      </c>
    </row>
    <row r="3662" spans="1:12" x14ac:dyDescent="0.25">
      <c r="A3662" s="468" t="s">
        <v>220</v>
      </c>
      <c r="B3662" s="468" t="s">
        <v>5430</v>
      </c>
      <c r="C3662" s="468" t="s">
        <v>7018</v>
      </c>
      <c r="D3662" s="468" t="s">
        <v>8587</v>
      </c>
      <c r="F3662" s="470">
        <v>2</v>
      </c>
      <c r="G3662" s="468">
        <v>3.597</v>
      </c>
      <c r="H3662" s="479">
        <v>7.194</v>
      </c>
      <c r="I3662" s="468" t="s">
        <v>9218</v>
      </c>
      <c r="J3662" s="468" t="s">
        <v>9219</v>
      </c>
      <c r="K3662" s="468" t="s">
        <v>9219</v>
      </c>
      <c r="L3662" s="468" t="s">
        <v>2354</v>
      </c>
    </row>
    <row r="3663" spans="1:12" x14ac:dyDescent="0.25">
      <c r="A3663" s="468" t="s">
        <v>220</v>
      </c>
      <c r="B3663" s="468" t="s">
        <v>5430</v>
      </c>
      <c r="C3663" s="468" t="s">
        <v>4548</v>
      </c>
      <c r="D3663" s="468" t="s">
        <v>4549</v>
      </c>
      <c r="F3663" s="470">
        <v>13</v>
      </c>
      <c r="G3663" s="468">
        <v>1.26</v>
      </c>
      <c r="H3663" s="479">
        <v>16.38</v>
      </c>
      <c r="I3663" s="468" t="s">
        <v>9218</v>
      </c>
      <c r="J3663" s="468" t="s">
        <v>9219</v>
      </c>
      <c r="K3663" s="468" t="s">
        <v>9219</v>
      </c>
      <c r="L3663" s="468" t="s">
        <v>2354</v>
      </c>
    </row>
    <row r="3664" spans="1:12" x14ac:dyDescent="0.25">
      <c r="A3664" s="468" t="s">
        <v>220</v>
      </c>
      <c r="B3664" s="468" t="s">
        <v>5430</v>
      </c>
      <c r="C3664" s="468" t="s">
        <v>8588</v>
      </c>
      <c r="D3664" s="468" t="s">
        <v>8589</v>
      </c>
      <c r="F3664" s="470">
        <v>9</v>
      </c>
      <c r="G3664" s="468">
        <v>0.45800000000000002</v>
      </c>
      <c r="H3664" s="479">
        <v>4.1219999999999999</v>
      </c>
      <c r="I3664" s="468" t="s">
        <v>9218</v>
      </c>
      <c r="J3664" s="468" t="s">
        <v>9219</v>
      </c>
      <c r="K3664" s="468" t="s">
        <v>9219</v>
      </c>
      <c r="L3664" s="468" t="s">
        <v>2354</v>
      </c>
    </row>
    <row r="3665" spans="1:12" x14ac:dyDescent="0.25">
      <c r="A3665" s="468" t="s">
        <v>220</v>
      </c>
      <c r="B3665" s="468" t="s">
        <v>5430</v>
      </c>
      <c r="C3665" s="468" t="s">
        <v>8590</v>
      </c>
      <c r="D3665" s="468" t="s">
        <v>8591</v>
      </c>
      <c r="F3665" s="470">
        <v>10</v>
      </c>
      <c r="G3665" s="468">
        <v>1.1459999999999999</v>
      </c>
      <c r="H3665" s="479">
        <v>11.459999999999999</v>
      </c>
      <c r="I3665" s="468" t="s">
        <v>9218</v>
      </c>
      <c r="J3665" s="468" t="s">
        <v>9219</v>
      </c>
      <c r="K3665" s="468" t="s">
        <v>9219</v>
      </c>
      <c r="L3665" s="468" t="s">
        <v>2354</v>
      </c>
    </row>
    <row r="3666" spans="1:12" x14ac:dyDescent="0.25">
      <c r="A3666" s="468" t="s">
        <v>220</v>
      </c>
      <c r="B3666" s="468" t="s">
        <v>5430</v>
      </c>
      <c r="C3666" s="468" t="s">
        <v>8592</v>
      </c>
      <c r="D3666" s="468" t="s">
        <v>8593</v>
      </c>
      <c r="F3666" s="470">
        <v>7</v>
      </c>
      <c r="G3666" s="468">
        <v>1.48</v>
      </c>
      <c r="H3666" s="479">
        <v>10.36</v>
      </c>
      <c r="I3666" s="468" t="s">
        <v>9218</v>
      </c>
      <c r="J3666" s="468" t="s">
        <v>9219</v>
      </c>
      <c r="K3666" s="468" t="s">
        <v>9219</v>
      </c>
      <c r="L3666" s="468" t="s">
        <v>2354</v>
      </c>
    </row>
    <row r="3667" spans="1:12" x14ac:dyDescent="0.25">
      <c r="A3667" s="468" t="s">
        <v>220</v>
      </c>
      <c r="B3667" s="468" t="s">
        <v>5430</v>
      </c>
      <c r="C3667" s="468" t="s">
        <v>8594</v>
      </c>
      <c r="D3667" s="468" t="s">
        <v>8595</v>
      </c>
      <c r="F3667" s="470">
        <v>10</v>
      </c>
      <c r="G3667" s="468">
        <v>3.4119999999999999</v>
      </c>
      <c r="H3667" s="479">
        <v>34.119999999999997</v>
      </c>
      <c r="I3667" s="468" t="s">
        <v>9218</v>
      </c>
      <c r="J3667" s="468" t="s">
        <v>9219</v>
      </c>
      <c r="K3667" s="468" t="s">
        <v>9219</v>
      </c>
      <c r="L3667" s="468" t="s">
        <v>2354</v>
      </c>
    </row>
    <row r="3668" spans="1:12" x14ac:dyDescent="0.25">
      <c r="A3668" s="468" t="s">
        <v>220</v>
      </c>
      <c r="B3668" s="468" t="s">
        <v>5430</v>
      </c>
      <c r="C3668" s="468" t="s">
        <v>8596</v>
      </c>
      <c r="D3668" s="468" t="s">
        <v>7050</v>
      </c>
      <c r="F3668" s="470">
        <v>1</v>
      </c>
      <c r="G3668" s="468">
        <v>10.659000000000001</v>
      </c>
      <c r="H3668" s="479">
        <v>10.659000000000001</v>
      </c>
      <c r="I3668" s="468" t="s">
        <v>9218</v>
      </c>
      <c r="J3668" s="468" t="s">
        <v>9219</v>
      </c>
      <c r="K3668" s="468" t="s">
        <v>9219</v>
      </c>
      <c r="L3668" s="468" t="s">
        <v>2354</v>
      </c>
    </row>
    <row r="3669" spans="1:12" x14ac:dyDescent="0.25">
      <c r="A3669" s="468" t="s">
        <v>220</v>
      </c>
      <c r="B3669" s="468" t="s">
        <v>5430</v>
      </c>
      <c r="C3669" s="468" t="s">
        <v>4588</v>
      </c>
      <c r="D3669" s="468" t="s">
        <v>4589</v>
      </c>
      <c r="F3669" s="470">
        <v>101</v>
      </c>
      <c r="G3669" s="468">
        <v>0.621</v>
      </c>
      <c r="H3669" s="479">
        <v>62.720999999999997</v>
      </c>
      <c r="I3669" s="468" t="s">
        <v>9218</v>
      </c>
      <c r="J3669" s="468" t="s">
        <v>9219</v>
      </c>
      <c r="K3669" s="468" t="s">
        <v>9219</v>
      </c>
      <c r="L3669" s="468" t="s">
        <v>2354</v>
      </c>
    </row>
    <row r="3670" spans="1:12" x14ac:dyDescent="0.25">
      <c r="A3670" s="468" t="s">
        <v>220</v>
      </c>
      <c r="B3670" s="468" t="s">
        <v>5430</v>
      </c>
      <c r="C3670" s="468" t="s">
        <v>4590</v>
      </c>
      <c r="D3670" s="468" t="s">
        <v>4591</v>
      </c>
      <c r="F3670" s="470">
        <v>43</v>
      </c>
      <c r="G3670" s="468">
        <v>0.72399999999999998</v>
      </c>
      <c r="H3670" s="479">
        <v>31.131999999999998</v>
      </c>
      <c r="I3670" s="468" t="s">
        <v>9218</v>
      </c>
      <c r="J3670" s="468" t="s">
        <v>9219</v>
      </c>
      <c r="K3670" s="468" t="s">
        <v>9219</v>
      </c>
      <c r="L3670" s="468" t="s">
        <v>2354</v>
      </c>
    </row>
    <row r="3671" spans="1:12" x14ac:dyDescent="0.25">
      <c r="A3671" s="468" t="s">
        <v>220</v>
      </c>
      <c r="B3671" s="468" t="s">
        <v>5430</v>
      </c>
      <c r="C3671" s="468" t="s">
        <v>4594</v>
      </c>
      <c r="D3671" s="468" t="s">
        <v>4595</v>
      </c>
      <c r="F3671" s="470">
        <v>4.5</v>
      </c>
      <c r="G3671" s="468">
        <v>15.881</v>
      </c>
      <c r="H3671" s="479">
        <v>71.464500000000001</v>
      </c>
      <c r="I3671" s="468" t="s">
        <v>9218</v>
      </c>
      <c r="J3671" s="468" t="s">
        <v>9219</v>
      </c>
      <c r="K3671" s="468" t="s">
        <v>9219</v>
      </c>
      <c r="L3671" s="468" t="s">
        <v>2354</v>
      </c>
    </row>
    <row r="3672" spans="1:12" x14ac:dyDescent="0.25">
      <c r="A3672" s="468" t="s">
        <v>220</v>
      </c>
      <c r="B3672" s="468" t="s">
        <v>5430</v>
      </c>
      <c r="C3672" s="468" t="s">
        <v>8597</v>
      </c>
      <c r="D3672" s="468" t="s">
        <v>8598</v>
      </c>
      <c r="F3672" s="470">
        <v>75</v>
      </c>
      <c r="G3672" s="468">
        <v>1.37</v>
      </c>
      <c r="H3672" s="479">
        <v>102.75000000000001</v>
      </c>
      <c r="I3672" s="468" t="s">
        <v>9218</v>
      </c>
      <c r="J3672" s="468" t="s">
        <v>9219</v>
      </c>
      <c r="K3672" s="468" t="s">
        <v>9219</v>
      </c>
      <c r="L3672" s="468" t="s">
        <v>2354</v>
      </c>
    </row>
    <row r="3673" spans="1:12" x14ac:dyDescent="0.25">
      <c r="A3673" s="468" t="s">
        <v>220</v>
      </c>
      <c r="B3673" s="468" t="s">
        <v>5430</v>
      </c>
      <c r="C3673" s="468" t="s">
        <v>7059</v>
      </c>
      <c r="D3673" s="468" t="s">
        <v>4607</v>
      </c>
      <c r="F3673" s="470">
        <v>68</v>
      </c>
      <c r="G3673" s="468">
        <v>7.444</v>
      </c>
      <c r="H3673" s="479">
        <v>506.19200000000001</v>
      </c>
      <c r="I3673" s="468" t="s">
        <v>9218</v>
      </c>
      <c r="J3673" s="468" t="s">
        <v>9219</v>
      </c>
      <c r="K3673" s="468" t="s">
        <v>9219</v>
      </c>
      <c r="L3673" s="468" t="s">
        <v>2354</v>
      </c>
    </row>
    <row r="3674" spans="1:12" x14ac:dyDescent="0.25">
      <c r="A3674" s="468" t="s">
        <v>220</v>
      </c>
      <c r="B3674" s="468" t="s">
        <v>5430</v>
      </c>
      <c r="C3674" s="468" t="s">
        <v>4608</v>
      </c>
      <c r="D3674" s="468" t="s">
        <v>4609</v>
      </c>
      <c r="F3674" s="470">
        <v>23</v>
      </c>
      <c r="G3674" s="468">
        <v>2.3239999999999998</v>
      </c>
      <c r="H3674" s="479">
        <v>53.451999999999998</v>
      </c>
      <c r="I3674" s="468" t="s">
        <v>9218</v>
      </c>
      <c r="J3674" s="468" t="s">
        <v>9219</v>
      </c>
      <c r="K3674" s="468" t="s">
        <v>9219</v>
      </c>
      <c r="L3674" s="468" t="s">
        <v>2354</v>
      </c>
    </row>
    <row r="3675" spans="1:12" x14ac:dyDescent="0.25">
      <c r="A3675" s="468" t="s">
        <v>220</v>
      </c>
      <c r="B3675" s="468" t="s">
        <v>5430</v>
      </c>
      <c r="C3675" s="468" t="s">
        <v>8599</v>
      </c>
      <c r="D3675" s="468" t="s">
        <v>4609</v>
      </c>
      <c r="F3675" s="470">
        <v>46</v>
      </c>
      <c r="G3675" s="468">
        <v>2.4609999999999999</v>
      </c>
      <c r="H3675" s="479">
        <v>113.20599999999999</v>
      </c>
      <c r="I3675" s="468" t="s">
        <v>9218</v>
      </c>
      <c r="J3675" s="468" t="s">
        <v>9219</v>
      </c>
      <c r="K3675" s="468" t="s">
        <v>9219</v>
      </c>
      <c r="L3675" s="468" t="s">
        <v>2354</v>
      </c>
    </row>
    <row r="3676" spans="1:12" x14ac:dyDescent="0.25">
      <c r="A3676" s="468" t="s">
        <v>220</v>
      </c>
      <c r="B3676" s="468" t="s">
        <v>5430</v>
      </c>
      <c r="C3676" s="468" t="s">
        <v>4614</v>
      </c>
      <c r="D3676" s="468" t="s">
        <v>8600</v>
      </c>
      <c r="F3676" s="470">
        <v>84</v>
      </c>
      <c r="G3676" s="468">
        <v>3.7570000000000001</v>
      </c>
      <c r="H3676" s="479">
        <v>315.58800000000002</v>
      </c>
      <c r="I3676" s="468" t="s">
        <v>9218</v>
      </c>
      <c r="J3676" s="468" t="s">
        <v>9219</v>
      </c>
      <c r="K3676" s="468" t="s">
        <v>9219</v>
      </c>
      <c r="L3676" s="468" t="s">
        <v>2354</v>
      </c>
    </row>
    <row r="3677" spans="1:12" x14ac:dyDescent="0.25">
      <c r="A3677" s="468" t="s">
        <v>220</v>
      </c>
      <c r="B3677" s="468" t="s">
        <v>5430</v>
      </c>
      <c r="C3677" s="468" t="s">
        <v>4616</v>
      </c>
      <c r="D3677" s="468" t="s">
        <v>8601</v>
      </c>
      <c r="F3677" s="470">
        <v>139</v>
      </c>
      <c r="G3677" s="468">
        <v>1.476</v>
      </c>
      <c r="H3677" s="479">
        <v>205.16399999999999</v>
      </c>
      <c r="I3677" s="468" t="s">
        <v>9218</v>
      </c>
      <c r="J3677" s="468" t="s">
        <v>9219</v>
      </c>
      <c r="K3677" s="468" t="s">
        <v>9219</v>
      </c>
      <c r="L3677" s="468" t="s">
        <v>2354</v>
      </c>
    </row>
    <row r="3678" spans="1:12" x14ac:dyDescent="0.25">
      <c r="A3678" s="468" t="s">
        <v>220</v>
      </c>
      <c r="B3678" s="468" t="s">
        <v>5430</v>
      </c>
      <c r="C3678" s="468" t="s">
        <v>7060</v>
      </c>
      <c r="D3678" s="468" t="s">
        <v>8602</v>
      </c>
      <c r="F3678" s="470">
        <v>7</v>
      </c>
      <c r="G3678" s="468">
        <v>0.95599999999999996</v>
      </c>
      <c r="H3678" s="479">
        <v>6.6920000000000002</v>
      </c>
      <c r="I3678" s="468" t="s">
        <v>9218</v>
      </c>
      <c r="J3678" s="468" t="s">
        <v>9219</v>
      </c>
      <c r="K3678" s="468" t="s">
        <v>9219</v>
      </c>
      <c r="L3678" s="468" t="s">
        <v>2354</v>
      </c>
    </row>
    <row r="3679" spans="1:12" x14ac:dyDescent="0.25">
      <c r="A3679" s="468" t="s">
        <v>220</v>
      </c>
      <c r="B3679" s="468" t="s">
        <v>5430</v>
      </c>
      <c r="C3679" s="468" t="s">
        <v>4618</v>
      </c>
      <c r="D3679" s="468" t="s">
        <v>4619</v>
      </c>
      <c r="F3679" s="470">
        <v>3</v>
      </c>
      <c r="G3679" s="468">
        <v>22.452000000000002</v>
      </c>
      <c r="H3679" s="479">
        <v>67.356000000000009</v>
      </c>
      <c r="I3679" s="468" t="s">
        <v>9218</v>
      </c>
      <c r="J3679" s="468" t="s">
        <v>9219</v>
      </c>
      <c r="K3679" s="468" t="s">
        <v>9219</v>
      </c>
      <c r="L3679" s="468" t="s">
        <v>2354</v>
      </c>
    </row>
    <row r="3680" spans="1:12" x14ac:dyDescent="0.25">
      <c r="A3680" s="468" t="s">
        <v>220</v>
      </c>
      <c r="B3680" s="468" t="s">
        <v>5430</v>
      </c>
      <c r="C3680" s="468" t="s">
        <v>7063</v>
      </c>
      <c r="D3680" s="468" t="s">
        <v>8603</v>
      </c>
      <c r="F3680" s="470">
        <v>200</v>
      </c>
      <c r="G3680" s="468">
        <v>0.11799999999999999</v>
      </c>
      <c r="H3680" s="479">
        <v>23.599999999999998</v>
      </c>
      <c r="I3680" s="468" t="s">
        <v>9218</v>
      </c>
      <c r="J3680" s="468" t="s">
        <v>9219</v>
      </c>
      <c r="K3680" s="468" t="s">
        <v>9219</v>
      </c>
      <c r="L3680" s="468" t="s">
        <v>2354</v>
      </c>
    </row>
    <row r="3681" spans="1:12" x14ac:dyDescent="0.25">
      <c r="A3681" s="468" t="s">
        <v>220</v>
      </c>
      <c r="B3681" s="468" t="s">
        <v>5430</v>
      </c>
      <c r="C3681" s="468" t="s">
        <v>7065</v>
      </c>
      <c r="D3681" s="468" t="s">
        <v>7066</v>
      </c>
      <c r="F3681" s="470">
        <v>99</v>
      </c>
      <c r="G3681" s="468">
        <v>2.496</v>
      </c>
      <c r="H3681" s="479">
        <v>247.10400000000001</v>
      </c>
      <c r="I3681" s="468" t="s">
        <v>9218</v>
      </c>
      <c r="J3681" s="468" t="s">
        <v>9219</v>
      </c>
      <c r="K3681" s="468" t="s">
        <v>9219</v>
      </c>
      <c r="L3681" s="468" t="s">
        <v>2354</v>
      </c>
    </row>
    <row r="3682" spans="1:12" x14ac:dyDescent="0.25">
      <c r="A3682" s="468" t="s">
        <v>220</v>
      </c>
      <c r="B3682" s="468" t="s">
        <v>5430</v>
      </c>
      <c r="C3682" s="468" t="s">
        <v>4636</v>
      </c>
      <c r="D3682" s="468" t="s">
        <v>4637</v>
      </c>
      <c r="F3682" s="470">
        <v>20</v>
      </c>
      <c r="G3682" s="468">
        <v>0.182</v>
      </c>
      <c r="H3682" s="479">
        <v>3.6399999999999997</v>
      </c>
      <c r="I3682" s="468" t="s">
        <v>9218</v>
      </c>
      <c r="J3682" s="468" t="s">
        <v>9219</v>
      </c>
      <c r="K3682" s="468" t="s">
        <v>9219</v>
      </c>
      <c r="L3682" s="468" t="s">
        <v>2354</v>
      </c>
    </row>
    <row r="3683" spans="1:12" x14ac:dyDescent="0.25">
      <c r="A3683" s="468" t="s">
        <v>220</v>
      </c>
      <c r="B3683" s="468" t="s">
        <v>5430</v>
      </c>
      <c r="C3683" s="468" t="s">
        <v>4640</v>
      </c>
      <c r="D3683" s="468" t="s">
        <v>4641</v>
      </c>
      <c r="F3683" s="470">
        <v>20</v>
      </c>
      <c r="G3683" s="468">
        <v>0.86299999999999999</v>
      </c>
      <c r="H3683" s="479">
        <v>17.259999999999998</v>
      </c>
      <c r="I3683" s="468" t="s">
        <v>9218</v>
      </c>
      <c r="J3683" s="468" t="s">
        <v>9219</v>
      </c>
      <c r="K3683" s="468" t="s">
        <v>9219</v>
      </c>
      <c r="L3683" s="468" t="s">
        <v>2354</v>
      </c>
    </row>
    <row r="3684" spans="1:12" x14ac:dyDescent="0.25">
      <c r="A3684" s="468" t="s">
        <v>220</v>
      </c>
      <c r="B3684" s="468" t="s">
        <v>5430</v>
      </c>
      <c r="C3684" s="468" t="s">
        <v>7081</v>
      </c>
      <c r="D3684" s="468" t="s">
        <v>8604</v>
      </c>
      <c r="F3684" s="470">
        <v>156</v>
      </c>
      <c r="G3684" s="468">
        <v>0.64100000000000001</v>
      </c>
      <c r="H3684" s="479">
        <v>99.996000000000009</v>
      </c>
      <c r="I3684" s="468" t="s">
        <v>9218</v>
      </c>
      <c r="J3684" s="468" t="s">
        <v>9219</v>
      </c>
      <c r="K3684" s="468" t="s">
        <v>9219</v>
      </c>
      <c r="L3684" s="468" t="s">
        <v>2354</v>
      </c>
    </row>
    <row r="3685" spans="1:12" x14ac:dyDescent="0.25">
      <c r="A3685" s="468" t="s">
        <v>220</v>
      </c>
      <c r="B3685" s="468" t="s">
        <v>5430</v>
      </c>
      <c r="C3685" s="468" t="s">
        <v>4642</v>
      </c>
      <c r="D3685" s="468" t="s">
        <v>8605</v>
      </c>
      <c r="F3685" s="470">
        <v>393</v>
      </c>
      <c r="G3685" s="468">
        <v>0.28000000000000003</v>
      </c>
      <c r="H3685" s="479">
        <v>110.04</v>
      </c>
      <c r="I3685" s="468" t="s">
        <v>9218</v>
      </c>
      <c r="J3685" s="468" t="s">
        <v>9219</v>
      </c>
      <c r="K3685" s="468" t="s">
        <v>9219</v>
      </c>
      <c r="L3685" s="468" t="s">
        <v>2354</v>
      </c>
    </row>
    <row r="3686" spans="1:12" x14ac:dyDescent="0.25">
      <c r="A3686" s="468" t="s">
        <v>220</v>
      </c>
      <c r="B3686" s="468" t="s">
        <v>5430</v>
      </c>
      <c r="C3686" s="468" t="s">
        <v>4644</v>
      </c>
      <c r="D3686" s="468" t="s">
        <v>8606</v>
      </c>
      <c r="F3686" s="470">
        <v>2</v>
      </c>
      <c r="G3686" s="468">
        <v>0.56599999999999995</v>
      </c>
      <c r="H3686" s="479">
        <v>1.1319999999999999</v>
      </c>
      <c r="I3686" s="468" t="s">
        <v>9218</v>
      </c>
      <c r="J3686" s="468" t="s">
        <v>9219</v>
      </c>
      <c r="K3686" s="468" t="s">
        <v>9219</v>
      </c>
      <c r="L3686" s="468" t="s">
        <v>2354</v>
      </c>
    </row>
    <row r="3687" spans="1:12" x14ac:dyDescent="0.25">
      <c r="A3687" s="468" t="s">
        <v>220</v>
      </c>
      <c r="B3687" s="468" t="s">
        <v>5430</v>
      </c>
      <c r="C3687" s="468" t="s">
        <v>4648</v>
      </c>
      <c r="D3687" s="468" t="s">
        <v>8607</v>
      </c>
      <c r="F3687" s="470">
        <v>416</v>
      </c>
      <c r="G3687" s="468">
        <v>0.22600000000000001</v>
      </c>
      <c r="H3687" s="479">
        <v>94.016000000000005</v>
      </c>
      <c r="I3687" s="468" t="s">
        <v>9218</v>
      </c>
      <c r="J3687" s="468" t="s">
        <v>9219</v>
      </c>
      <c r="K3687" s="468" t="s">
        <v>9219</v>
      </c>
      <c r="L3687" s="468" t="s">
        <v>2354</v>
      </c>
    </row>
    <row r="3688" spans="1:12" x14ac:dyDescent="0.25">
      <c r="A3688" s="468" t="s">
        <v>220</v>
      </c>
      <c r="B3688" s="468" t="s">
        <v>5430</v>
      </c>
      <c r="C3688" s="468" t="s">
        <v>4650</v>
      </c>
      <c r="D3688" s="468" t="s">
        <v>4651</v>
      </c>
      <c r="F3688" s="470">
        <v>33</v>
      </c>
      <c r="G3688" s="468">
        <v>0.32200000000000001</v>
      </c>
      <c r="H3688" s="479">
        <v>10.625999999999999</v>
      </c>
      <c r="I3688" s="468" t="s">
        <v>9218</v>
      </c>
      <c r="J3688" s="468" t="s">
        <v>9219</v>
      </c>
      <c r="K3688" s="468" t="s">
        <v>9219</v>
      </c>
      <c r="L3688" s="468" t="s">
        <v>2354</v>
      </c>
    </row>
    <row r="3689" spans="1:12" x14ac:dyDescent="0.25">
      <c r="A3689" s="468" t="s">
        <v>220</v>
      </c>
      <c r="B3689" s="468" t="s">
        <v>5430</v>
      </c>
      <c r="C3689" s="468" t="s">
        <v>4658</v>
      </c>
      <c r="D3689" s="468" t="s">
        <v>8608</v>
      </c>
      <c r="F3689" s="470">
        <v>59</v>
      </c>
      <c r="G3689" s="468">
        <v>0.46800000000000003</v>
      </c>
      <c r="H3689" s="479">
        <v>27.612000000000002</v>
      </c>
      <c r="I3689" s="468" t="s">
        <v>9218</v>
      </c>
      <c r="J3689" s="468" t="s">
        <v>9219</v>
      </c>
      <c r="K3689" s="468" t="s">
        <v>9219</v>
      </c>
      <c r="L3689" s="468" t="s">
        <v>2354</v>
      </c>
    </row>
    <row r="3690" spans="1:12" x14ac:dyDescent="0.25">
      <c r="A3690" s="468" t="s">
        <v>220</v>
      </c>
      <c r="B3690" s="468" t="s">
        <v>5430</v>
      </c>
      <c r="C3690" s="468" t="s">
        <v>4662</v>
      </c>
      <c r="D3690" s="468" t="s">
        <v>8609</v>
      </c>
      <c r="F3690" s="470">
        <v>307</v>
      </c>
      <c r="G3690" s="468">
        <v>0.20599999999999999</v>
      </c>
      <c r="H3690" s="479">
        <v>63.241999999999997</v>
      </c>
      <c r="I3690" s="468" t="s">
        <v>9218</v>
      </c>
      <c r="J3690" s="468" t="s">
        <v>9219</v>
      </c>
      <c r="K3690" s="468" t="s">
        <v>9219</v>
      </c>
      <c r="L3690" s="468" t="s">
        <v>2354</v>
      </c>
    </row>
    <row r="3691" spans="1:12" x14ac:dyDescent="0.25">
      <c r="A3691" s="468" t="s">
        <v>220</v>
      </c>
      <c r="B3691" s="468" t="s">
        <v>5430</v>
      </c>
      <c r="C3691" s="468" t="s">
        <v>4664</v>
      </c>
      <c r="D3691" s="468" t="s">
        <v>8610</v>
      </c>
      <c r="F3691" s="470">
        <v>112</v>
      </c>
      <c r="G3691" s="468">
        <v>0.33200000000000002</v>
      </c>
      <c r="H3691" s="479">
        <v>37.184000000000005</v>
      </c>
      <c r="I3691" s="468" t="s">
        <v>9218</v>
      </c>
      <c r="J3691" s="468" t="s">
        <v>9219</v>
      </c>
      <c r="K3691" s="468" t="s">
        <v>9219</v>
      </c>
      <c r="L3691" s="468" t="s">
        <v>2354</v>
      </c>
    </row>
    <row r="3692" spans="1:12" x14ac:dyDescent="0.25">
      <c r="A3692" s="468" t="s">
        <v>220</v>
      </c>
      <c r="B3692" s="468" t="s">
        <v>5430</v>
      </c>
      <c r="C3692" s="468" t="s">
        <v>4666</v>
      </c>
      <c r="D3692" s="468" t="s">
        <v>8611</v>
      </c>
      <c r="F3692" s="470">
        <v>347</v>
      </c>
      <c r="G3692" s="468">
        <v>0.26900000000000002</v>
      </c>
      <c r="H3692" s="479">
        <v>93.343000000000004</v>
      </c>
      <c r="I3692" s="468" t="s">
        <v>9218</v>
      </c>
      <c r="J3692" s="468" t="s">
        <v>9219</v>
      </c>
      <c r="K3692" s="468" t="s">
        <v>9219</v>
      </c>
      <c r="L3692" s="468" t="s">
        <v>2354</v>
      </c>
    </row>
    <row r="3693" spans="1:12" x14ac:dyDescent="0.25">
      <c r="A3693" s="468" t="s">
        <v>220</v>
      </c>
      <c r="B3693" s="468" t="s">
        <v>5430</v>
      </c>
      <c r="C3693" s="468" t="s">
        <v>4668</v>
      </c>
      <c r="D3693" s="468" t="s">
        <v>8612</v>
      </c>
      <c r="F3693" s="470">
        <v>90</v>
      </c>
      <c r="G3693" s="468">
        <v>1.45</v>
      </c>
      <c r="H3693" s="479">
        <v>130.5</v>
      </c>
      <c r="I3693" s="468" t="s">
        <v>9218</v>
      </c>
      <c r="J3693" s="468" t="s">
        <v>9219</v>
      </c>
      <c r="K3693" s="468" t="s">
        <v>9219</v>
      </c>
      <c r="L3693" s="468" t="s">
        <v>2354</v>
      </c>
    </row>
    <row r="3694" spans="1:12" x14ac:dyDescent="0.25">
      <c r="A3694" s="468" t="s">
        <v>220</v>
      </c>
      <c r="B3694" s="468" t="s">
        <v>5430</v>
      </c>
      <c r="C3694" s="468" t="s">
        <v>4670</v>
      </c>
      <c r="D3694" s="468" t="s">
        <v>8613</v>
      </c>
      <c r="F3694" s="470">
        <v>83</v>
      </c>
      <c r="G3694" s="468">
        <v>0.48299999999999998</v>
      </c>
      <c r="H3694" s="479">
        <v>40.088999999999999</v>
      </c>
      <c r="I3694" s="468" t="s">
        <v>9218</v>
      </c>
      <c r="J3694" s="468" t="s">
        <v>9219</v>
      </c>
      <c r="K3694" s="468" t="s">
        <v>9219</v>
      </c>
      <c r="L3694" s="468" t="s">
        <v>2354</v>
      </c>
    </row>
    <row r="3695" spans="1:12" x14ac:dyDescent="0.25">
      <c r="A3695" s="468" t="s">
        <v>220</v>
      </c>
      <c r="B3695" s="468" t="s">
        <v>5430</v>
      </c>
      <c r="C3695" s="468" t="s">
        <v>4672</v>
      </c>
      <c r="D3695" s="468" t="s">
        <v>8614</v>
      </c>
      <c r="F3695" s="470">
        <v>55</v>
      </c>
      <c r="G3695" s="468">
        <v>1.1259999999999999</v>
      </c>
      <c r="H3695" s="479">
        <v>61.929999999999993</v>
      </c>
      <c r="I3695" s="468" t="s">
        <v>9218</v>
      </c>
      <c r="J3695" s="468" t="s">
        <v>9219</v>
      </c>
      <c r="K3695" s="468" t="s">
        <v>9219</v>
      </c>
      <c r="L3695" s="468" t="s">
        <v>2354</v>
      </c>
    </row>
    <row r="3696" spans="1:12" x14ac:dyDescent="0.25">
      <c r="A3696" s="468" t="s">
        <v>220</v>
      </c>
      <c r="B3696" s="468" t="s">
        <v>5430</v>
      </c>
      <c r="C3696" s="468" t="s">
        <v>4674</v>
      </c>
      <c r="D3696" s="468" t="s">
        <v>8615</v>
      </c>
      <c r="F3696" s="470">
        <v>105</v>
      </c>
      <c r="G3696" s="468">
        <v>1.3779999999999999</v>
      </c>
      <c r="H3696" s="479">
        <v>144.69</v>
      </c>
      <c r="I3696" s="468" t="s">
        <v>9218</v>
      </c>
      <c r="J3696" s="468" t="s">
        <v>9219</v>
      </c>
      <c r="K3696" s="468" t="s">
        <v>9219</v>
      </c>
      <c r="L3696" s="468" t="s">
        <v>2354</v>
      </c>
    </row>
    <row r="3697" spans="1:12" x14ac:dyDescent="0.25">
      <c r="A3697" s="468" t="s">
        <v>220</v>
      </c>
      <c r="B3697" s="468" t="s">
        <v>5430</v>
      </c>
      <c r="C3697" s="468" t="s">
        <v>4676</v>
      </c>
      <c r="D3697" s="468" t="s">
        <v>8616</v>
      </c>
      <c r="F3697" s="470">
        <v>219</v>
      </c>
      <c r="G3697" s="468">
        <v>1.2330000000000001</v>
      </c>
      <c r="H3697" s="479">
        <v>270.02700000000004</v>
      </c>
      <c r="I3697" s="468" t="s">
        <v>9218</v>
      </c>
      <c r="J3697" s="468" t="s">
        <v>9219</v>
      </c>
      <c r="K3697" s="468" t="s">
        <v>9219</v>
      </c>
      <c r="L3697" s="468" t="s">
        <v>2354</v>
      </c>
    </row>
    <row r="3698" spans="1:12" x14ac:dyDescent="0.25">
      <c r="A3698" s="468" t="s">
        <v>220</v>
      </c>
      <c r="B3698" s="468" t="s">
        <v>5430</v>
      </c>
      <c r="C3698" s="468" t="s">
        <v>7085</v>
      </c>
      <c r="D3698" s="468" t="s">
        <v>8617</v>
      </c>
      <c r="F3698" s="470">
        <v>10</v>
      </c>
      <c r="G3698" s="468">
        <v>1.6759999999999999</v>
      </c>
      <c r="H3698" s="479">
        <v>16.759999999999998</v>
      </c>
      <c r="I3698" s="468" t="s">
        <v>9218</v>
      </c>
      <c r="J3698" s="468" t="s">
        <v>9219</v>
      </c>
      <c r="K3698" s="468" t="s">
        <v>9219</v>
      </c>
      <c r="L3698" s="468" t="s">
        <v>2354</v>
      </c>
    </row>
    <row r="3699" spans="1:12" x14ac:dyDescent="0.25">
      <c r="A3699" s="468" t="s">
        <v>220</v>
      </c>
      <c r="B3699" s="468" t="s">
        <v>5430</v>
      </c>
      <c r="C3699" s="468" t="s">
        <v>4678</v>
      </c>
      <c r="D3699" s="468" t="s">
        <v>8618</v>
      </c>
      <c r="F3699" s="470">
        <v>102</v>
      </c>
      <c r="G3699" s="468">
        <v>0.31900000000000001</v>
      </c>
      <c r="H3699" s="479">
        <v>32.538000000000004</v>
      </c>
      <c r="I3699" s="468" t="s">
        <v>9218</v>
      </c>
      <c r="J3699" s="468" t="s">
        <v>9219</v>
      </c>
      <c r="K3699" s="468" t="s">
        <v>9219</v>
      </c>
      <c r="L3699" s="468" t="s">
        <v>2354</v>
      </c>
    </row>
    <row r="3700" spans="1:12" x14ac:dyDescent="0.25">
      <c r="A3700" s="468" t="s">
        <v>220</v>
      </c>
      <c r="B3700" s="468" t="s">
        <v>5430</v>
      </c>
      <c r="C3700" s="468" t="s">
        <v>4680</v>
      </c>
      <c r="D3700" s="468" t="s">
        <v>8619</v>
      </c>
      <c r="F3700" s="470">
        <v>177</v>
      </c>
      <c r="G3700" s="468">
        <v>0.47599999999999998</v>
      </c>
      <c r="H3700" s="479">
        <v>84.251999999999995</v>
      </c>
      <c r="I3700" s="468" t="s">
        <v>9218</v>
      </c>
      <c r="J3700" s="468" t="s">
        <v>9219</v>
      </c>
      <c r="K3700" s="468" t="s">
        <v>9219</v>
      </c>
      <c r="L3700" s="468" t="s">
        <v>2354</v>
      </c>
    </row>
    <row r="3701" spans="1:12" x14ac:dyDescent="0.25">
      <c r="A3701" s="468" t="s">
        <v>220</v>
      </c>
      <c r="B3701" s="468" t="s">
        <v>5430</v>
      </c>
      <c r="C3701" s="468" t="s">
        <v>5382</v>
      </c>
      <c r="D3701" s="468" t="s">
        <v>8620</v>
      </c>
      <c r="F3701" s="470">
        <v>276</v>
      </c>
      <c r="G3701" s="468">
        <v>0.45100000000000001</v>
      </c>
      <c r="H3701" s="479">
        <v>124.476</v>
      </c>
      <c r="I3701" s="468" t="s">
        <v>9218</v>
      </c>
      <c r="J3701" s="468" t="s">
        <v>9219</v>
      </c>
      <c r="K3701" s="468" t="s">
        <v>9219</v>
      </c>
      <c r="L3701" s="468" t="s">
        <v>2354</v>
      </c>
    </row>
    <row r="3702" spans="1:12" x14ac:dyDescent="0.25">
      <c r="A3702" s="468" t="s">
        <v>220</v>
      </c>
      <c r="B3702" s="468" t="s">
        <v>5430</v>
      </c>
      <c r="C3702" s="468" t="s">
        <v>4682</v>
      </c>
      <c r="D3702" s="468" t="s">
        <v>8621</v>
      </c>
      <c r="F3702" s="470">
        <v>186</v>
      </c>
      <c r="G3702" s="468">
        <v>0.879</v>
      </c>
      <c r="H3702" s="479">
        <v>163.494</v>
      </c>
      <c r="I3702" s="468" t="s">
        <v>9218</v>
      </c>
      <c r="J3702" s="468" t="s">
        <v>9219</v>
      </c>
      <c r="K3702" s="468" t="s">
        <v>9219</v>
      </c>
      <c r="L3702" s="468" t="s">
        <v>2354</v>
      </c>
    </row>
    <row r="3703" spans="1:12" x14ac:dyDescent="0.25">
      <c r="A3703" s="468" t="s">
        <v>220</v>
      </c>
      <c r="B3703" s="468" t="s">
        <v>5430</v>
      </c>
      <c r="C3703" s="468" t="s">
        <v>4684</v>
      </c>
      <c r="D3703" s="468" t="s">
        <v>8622</v>
      </c>
      <c r="F3703" s="470">
        <v>5</v>
      </c>
      <c r="G3703" s="468">
        <v>11.692</v>
      </c>
      <c r="H3703" s="479">
        <v>58.46</v>
      </c>
      <c r="I3703" s="468" t="s">
        <v>9218</v>
      </c>
      <c r="J3703" s="468" t="s">
        <v>9219</v>
      </c>
      <c r="K3703" s="468" t="s">
        <v>9219</v>
      </c>
      <c r="L3703" s="468" t="s">
        <v>2354</v>
      </c>
    </row>
    <row r="3704" spans="1:12" x14ac:dyDescent="0.25">
      <c r="A3704" s="468" t="s">
        <v>220</v>
      </c>
      <c r="B3704" s="468" t="s">
        <v>5430</v>
      </c>
      <c r="C3704" s="468" t="s">
        <v>7087</v>
      </c>
      <c r="D3704" s="468" t="s">
        <v>7088</v>
      </c>
      <c r="F3704" s="470">
        <v>1</v>
      </c>
      <c r="G3704" s="468">
        <v>31.827999999999999</v>
      </c>
      <c r="H3704" s="479">
        <v>31.827999999999999</v>
      </c>
      <c r="I3704" s="468" t="s">
        <v>9218</v>
      </c>
      <c r="J3704" s="468" t="s">
        <v>9219</v>
      </c>
      <c r="K3704" s="468" t="s">
        <v>9219</v>
      </c>
      <c r="L3704" s="468" t="s">
        <v>2354</v>
      </c>
    </row>
    <row r="3705" spans="1:12" x14ac:dyDescent="0.25">
      <c r="A3705" s="468" t="s">
        <v>220</v>
      </c>
      <c r="B3705" s="468" t="s">
        <v>5430</v>
      </c>
      <c r="C3705" s="468" t="s">
        <v>4690</v>
      </c>
      <c r="D3705" s="468" t="s">
        <v>8623</v>
      </c>
      <c r="F3705" s="470">
        <v>200</v>
      </c>
      <c r="G3705" s="468">
        <v>0.78700000000000003</v>
      </c>
      <c r="H3705" s="479">
        <v>157.4</v>
      </c>
      <c r="I3705" s="468" t="s">
        <v>9218</v>
      </c>
      <c r="J3705" s="468" t="s">
        <v>9219</v>
      </c>
      <c r="K3705" s="468" t="s">
        <v>9219</v>
      </c>
      <c r="L3705" s="468" t="s">
        <v>2354</v>
      </c>
    </row>
    <row r="3706" spans="1:12" x14ac:dyDescent="0.25">
      <c r="A3706" s="468" t="s">
        <v>220</v>
      </c>
      <c r="B3706" s="468" t="s">
        <v>5430</v>
      </c>
      <c r="C3706" s="468" t="s">
        <v>4696</v>
      </c>
      <c r="D3706" s="468" t="s">
        <v>8624</v>
      </c>
      <c r="F3706" s="470">
        <v>224</v>
      </c>
      <c r="G3706" s="468">
        <v>1.014</v>
      </c>
      <c r="H3706" s="479">
        <v>227.136</v>
      </c>
      <c r="I3706" s="468" t="s">
        <v>9218</v>
      </c>
      <c r="J3706" s="468" t="s">
        <v>9219</v>
      </c>
      <c r="K3706" s="468" t="s">
        <v>9219</v>
      </c>
      <c r="L3706" s="468" t="s">
        <v>2354</v>
      </c>
    </row>
    <row r="3707" spans="1:12" x14ac:dyDescent="0.25">
      <c r="A3707" s="468" t="s">
        <v>220</v>
      </c>
      <c r="B3707" s="468" t="s">
        <v>5430</v>
      </c>
      <c r="C3707" s="468" t="s">
        <v>7089</v>
      </c>
      <c r="D3707" s="468" t="s">
        <v>8625</v>
      </c>
      <c r="F3707" s="470">
        <v>187</v>
      </c>
      <c r="G3707" s="468">
        <v>0.35499999999999998</v>
      </c>
      <c r="H3707" s="479">
        <v>66.384999999999991</v>
      </c>
      <c r="I3707" s="468" t="s">
        <v>9218</v>
      </c>
      <c r="J3707" s="468" t="s">
        <v>9219</v>
      </c>
      <c r="K3707" s="468" t="s">
        <v>9219</v>
      </c>
      <c r="L3707" s="468" t="s">
        <v>2354</v>
      </c>
    </row>
    <row r="3708" spans="1:12" x14ac:dyDescent="0.25">
      <c r="A3708" s="468" t="s">
        <v>220</v>
      </c>
      <c r="B3708" s="468" t="s">
        <v>5430</v>
      </c>
      <c r="C3708" s="468" t="s">
        <v>4698</v>
      </c>
      <c r="D3708" s="468" t="s">
        <v>8626</v>
      </c>
      <c r="F3708" s="470">
        <v>232</v>
      </c>
      <c r="G3708" s="468">
        <v>0.83299999999999996</v>
      </c>
      <c r="H3708" s="479">
        <v>193.256</v>
      </c>
      <c r="I3708" s="468" t="s">
        <v>9218</v>
      </c>
      <c r="J3708" s="468" t="s">
        <v>9219</v>
      </c>
      <c r="K3708" s="468" t="s">
        <v>9219</v>
      </c>
      <c r="L3708" s="468" t="s">
        <v>2354</v>
      </c>
    </row>
    <row r="3709" spans="1:12" x14ac:dyDescent="0.25">
      <c r="A3709" s="468" t="s">
        <v>220</v>
      </c>
      <c r="B3709" s="468" t="s">
        <v>5430</v>
      </c>
      <c r="C3709" s="468" t="s">
        <v>4702</v>
      </c>
      <c r="D3709" s="468" t="s">
        <v>8627</v>
      </c>
      <c r="F3709" s="470">
        <v>220</v>
      </c>
      <c r="G3709" s="468">
        <v>0.11600000000000001</v>
      </c>
      <c r="H3709" s="479">
        <v>25.52</v>
      </c>
      <c r="I3709" s="468" t="s">
        <v>9218</v>
      </c>
      <c r="J3709" s="468" t="s">
        <v>9219</v>
      </c>
      <c r="K3709" s="468" t="s">
        <v>9219</v>
      </c>
      <c r="L3709" s="468" t="s">
        <v>2354</v>
      </c>
    </row>
    <row r="3710" spans="1:12" x14ac:dyDescent="0.25">
      <c r="A3710" s="468" t="s">
        <v>220</v>
      </c>
      <c r="B3710" s="468" t="s">
        <v>5430</v>
      </c>
      <c r="C3710" s="468" t="s">
        <v>7095</v>
      </c>
      <c r="D3710" s="468" t="s">
        <v>8628</v>
      </c>
      <c r="F3710" s="470">
        <v>196</v>
      </c>
      <c r="G3710" s="468">
        <v>0.628</v>
      </c>
      <c r="H3710" s="479">
        <v>123.08799999999999</v>
      </c>
      <c r="I3710" s="468" t="s">
        <v>9218</v>
      </c>
      <c r="J3710" s="468" t="s">
        <v>9219</v>
      </c>
      <c r="K3710" s="468" t="s">
        <v>9219</v>
      </c>
      <c r="L3710" s="468" t="s">
        <v>2354</v>
      </c>
    </row>
    <row r="3711" spans="1:12" x14ac:dyDescent="0.25">
      <c r="A3711" s="468" t="s">
        <v>220</v>
      </c>
      <c r="B3711" s="468" t="s">
        <v>5430</v>
      </c>
      <c r="C3711" s="468" t="s">
        <v>7097</v>
      </c>
      <c r="D3711" s="468" t="s">
        <v>8629</v>
      </c>
      <c r="F3711" s="470">
        <v>160</v>
      </c>
      <c r="G3711" s="468">
        <v>1.1339999999999999</v>
      </c>
      <c r="H3711" s="479">
        <v>181.44</v>
      </c>
      <c r="I3711" s="468" t="s">
        <v>9218</v>
      </c>
      <c r="J3711" s="468" t="s">
        <v>9219</v>
      </c>
      <c r="K3711" s="468" t="s">
        <v>9219</v>
      </c>
      <c r="L3711" s="468" t="s">
        <v>2354</v>
      </c>
    </row>
    <row r="3712" spans="1:12" x14ac:dyDescent="0.25">
      <c r="A3712" s="468" t="s">
        <v>220</v>
      </c>
      <c r="B3712" s="468" t="s">
        <v>5430</v>
      </c>
      <c r="C3712" s="468" t="s">
        <v>4706</v>
      </c>
      <c r="D3712" s="468" t="s">
        <v>4707</v>
      </c>
      <c r="F3712" s="470">
        <v>1</v>
      </c>
      <c r="G3712" s="468">
        <v>30.81</v>
      </c>
      <c r="H3712" s="479">
        <v>30.81</v>
      </c>
      <c r="I3712" s="468" t="s">
        <v>9218</v>
      </c>
      <c r="J3712" s="468" t="s">
        <v>9219</v>
      </c>
      <c r="K3712" s="468" t="s">
        <v>9219</v>
      </c>
      <c r="L3712" s="468" t="s">
        <v>2354</v>
      </c>
    </row>
    <row r="3713" spans="1:12" x14ac:dyDescent="0.25">
      <c r="A3713" s="468" t="s">
        <v>220</v>
      </c>
      <c r="B3713" s="468" t="s">
        <v>5430</v>
      </c>
      <c r="C3713" s="468" t="s">
        <v>7099</v>
      </c>
      <c r="D3713" s="468" t="s">
        <v>7100</v>
      </c>
      <c r="F3713" s="470">
        <v>35</v>
      </c>
      <c r="G3713" s="468">
        <v>2.1739999999999999</v>
      </c>
      <c r="H3713" s="479">
        <v>76.09</v>
      </c>
      <c r="I3713" s="468" t="s">
        <v>9218</v>
      </c>
      <c r="J3713" s="468" t="s">
        <v>9219</v>
      </c>
      <c r="K3713" s="468" t="s">
        <v>9219</v>
      </c>
      <c r="L3713" s="468" t="s">
        <v>2354</v>
      </c>
    </row>
    <row r="3714" spans="1:12" x14ac:dyDescent="0.25">
      <c r="A3714" s="468" t="s">
        <v>220</v>
      </c>
      <c r="B3714" s="468" t="s">
        <v>5430</v>
      </c>
      <c r="C3714" s="468" t="s">
        <v>8630</v>
      </c>
      <c r="D3714" s="468" t="s">
        <v>8631</v>
      </c>
      <c r="F3714" s="470">
        <v>1</v>
      </c>
      <c r="G3714" s="468">
        <v>7.3310000000000004</v>
      </c>
      <c r="H3714" s="479">
        <v>7.3310000000000004</v>
      </c>
      <c r="I3714" s="468" t="s">
        <v>9218</v>
      </c>
      <c r="J3714" s="468" t="s">
        <v>9219</v>
      </c>
      <c r="K3714" s="468" t="s">
        <v>9219</v>
      </c>
      <c r="L3714" s="468" t="s">
        <v>2354</v>
      </c>
    </row>
    <row r="3715" spans="1:12" x14ac:dyDescent="0.25">
      <c r="A3715" s="468" t="s">
        <v>220</v>
      </c>
      <c r="B3715" s="468" t="s">
        <v>5430</v>
      </c>
      <c r="C3715" s="468" t="s">
        <v>7101</v>
      </c>
      <c r="D3715" s="468" t="s">
        <v>8632</v>
      </c>
      <c r="F3715" s="470">
        <v>83</v>
      </c>
      <c r="G3715" s="468">
        <v>0.41799999999999998</v>
      </c>
      <c r="H3715" s="479">
        <v>34.693999999999996</v>
      </c>
      <c r="I3715" s="468" t="s">
        <v>9218</v>
      </c>
      <c r="J3715" s="468" t="s">
        <v>9219</v>
      </c>
      <c r="K3715" s="468" t="s">
        <v>9219</v>
      </c>
      <c r="L3715" s="468" t="s">
        <v>2354</v>
      </c>
    </row>
    <row r="3716" spans="1:12" x14ac:dyDescent="0.25">
      <c r="A3716" s="468" t="s">
        <v>220</v>
      </c>
      <c r="B3716" s="468" t="s">
        <v>5430</v>
      </c>
      <c r="C3716" s="468" t="s">
        <v>8633</v>
      </c>
      <c r="D3716" s="468" t="s">
        <v>8634</v>
      </c>
      <c r="F3716" s="470">
        <v>1</v>
      </c>
      <c r="G3716" s="468">
        <v>228.15</v>
      </c>
      <c r="H3716" s="479">
        <v>228.15</v>
      </c>
      <c r="I3716" s="468" t="s">
        <v>9218</v>
      </c>
      <c r="J3716" s="468" t="s">
        <v>9219</v>
      </c>
      <c r="K3716" s="468" t="s">
        <v>9219</v>
      </c>
      <c r="L3716" s="468" t="s">
        <v>2354</v>
      </c>
    </row>
    <row r="3717" spans="1:12" x14ac:dyDescent="0.25">
      <c r="A3717" s="468" t="s">
        <v>220</v>
      </c>
      <c r="B3717" s="468" t="s">
        <v>5430</v>
      </c>
      <c r="C3717" s="468" t="s">
        <v>7103</v>
      </c>
      <c r="D3717" s="468" t="s">
        <v>8635</v>
      </c>
      <c r="F3717" s="470">
        <v>6</v>
      </c>
      <c r="G3717" s="468">
        <v>11.206</v>
      </c>
      <c r="H3717" s="479">
        <v>67.23599999999999</v>
      </c>
      <c r="I3717" s="468" t="s">
        <v>9218</v>
      </c>
      <c r="J3717" s="468" t="s">
        <v>9219</v>
      </c>
      <c r="K3717" s="468" t="s">
        <v>9219</v>
      </c>
      <c r="L3717" s="468" t="s">
        <v>2354</v>
      </c>
    </row>
    <row r="3718" spans="1:12" x14ac:dyDescent="0.25">
      <c r="A3718" s="468" t="s">
        <v>220</v>
      </c>
      <c r="B3718" s="468" t="s">
        <v>5430</v>
      </c>
      <c r="C3718" s="468" t="s">
        <v>7105</v>
      </c>
      <c r="D3718" s="468" t="s">
        <v>7106</v>
      </c>
      <c r="F3718" s="470">
        <v>25</v>
      </c>
      <c r="G3718" s="468">
        <v>23.515999999999998</v>
      </c>
      <c r="H3718" s="479">
        <v>587.9</v>
      </c>
      <c r="I3718" s="468" t="s">
        <v>9218</v>
      </c>
      <c r="J3718" s="468" t="s">
        <v>9219</v>
      </c>
      <c r="K3718" s="468" t="s">
        <v>9219</v>
      </c>
      <c r="L3718" s="468" t="s">
        <v>2354</v>
      </c>
    </row>
    <row r="3719" spans="1:12" x14ac:dyDescent="0.25">
      <c r="A3719" s="468" t="s">
        <v>220</v>
      </c>
      <c r="B3719" s="468" t="s">
        <v>5430</v>
      </c>
      <c r="C3719" s="468" t="s">
        <v>7107</v>
      </c>
      <c r="D3719" s="468" t="s">
        <v>8636</v>
      </c>
      <c r="F3719" s="470">
        <v>222</v>
      </c>
      <c r="G3719" s="468">
        <v>0.222</v>
      </c>
      <c r="H3719" s="479">
        <v>49.283999999999999</v>
      </c>
      <c r="I3719" s="468" t="s">
        <v>9218</v>
      </c>
      <c r="J3719" s="468" t="s">
        <v>9219</v>
      </c>
      <c r="K3719" s="468" t="s">
        <v>9219</v>
      </c>
      <c r="L3719" s="468" t="s">
        <v>2354</v>
      </c>
    </row>
    <row r="3720" spans="1:12" x14ac:dyDescent="0.25">
      <c r="A3720" s="468" t="s">
        <v>220</v>
      </c>
      <c r="B3720" s="468" t="s">
        <v>5430</v>
      </c>
      <c r="C3720" s="468" t="s">
        <v>7109</v>
      </c>
      <c r="D3720" s="468" t="s">
        <v>8637</v>
      </c>
      <c r="F3720" s="470">
        <v>100</v>
      </c>
      <c r="G3720" s="468">
        <v>0.29299999999999998</v>
      </c>
      <c r="H3720" s="479">
        <v>29.299999999999997</v>
      </c>
      <c r="I3720" s="468" t="s">
        <v>9218</v>
      </c>
      <c r="J3720" s="468" t="s">
        <v>9219</v>
      </c>
      <c r="K3720" s="468" t="s">
        <v>9219</v>
      </c>
      <c r="L3720" s="468" t="s">
        <v>2354</v>
      </c>
    </row>
    <row r="3721" spans="1:12" x14ac:dyDescent="0.25">
      <c r="A3721" s="468" t="s">
        <v>220</v>
      </c>
      <c r="B3721" s="468" t="s">
        <v>5430</v>
      </c>
      <c r="C3721" s="468" t="s">
        <v>7111</v>
      </c>
      <c r="D3721" s="468" t="s">
        <v>8638</v>
      </c>
      <c r="F3721" s="470">
        <v>46</v>
      </c>
      <c r="G3721" s="468">
        <v>8.8999999999999996E-2</v>
      </c>
      <c r="H3721" s="479">
        <v>4.0939999999999994</v>
      </c>
      <c r="I3721" s="468" t="s">
        <v>9218</v>
      </c>
      <c r="J3721" s="468" t="s">
        <v>9219</v>
      </c>
      <c r="K3721" s="468" t="s">
        <v>9219</v>
      </c>
      <c r="L3721" s="468" t="s">
        <v>2354</v>
      </c>
    </row>
    <row r="3722" spans="1:12" x14ac:dyDescent="0.25">
      <c r="A3722" s="468" t="s">
        <v>220</v>
      </c>
      <c r="B3722" s="468" t="s">
        <v>5430</v>
      </c>
      <c r="C3722" s="468" t="s">
        <v>4714</v>
      </c>
      <c r="D3722" s="468" t="s">
        <v>8639</v>
      </c>
      <c r="F3722" s="470">
        <v>68</v>
      </c>
      <c r="G3722" s="468">
        <v>0.311</v>
      </c>
      <c r="H3722" s="479">
        <v>21.148</v>
      </c>
      <c r="I3722" s="468" t="s">
        <v>9218</v>
      </c>
      <c r="J3722" s="468" t="s">
        <v>9219</v>
      </c>
      <c r="K3722" s="468" t="s">
        <v>9219</v>
      </c>
      <c r="L3722" s="468" t="s">
        <v>2354</v>
      </c>
    </row>
    <row r="3723" spans="1:12" x14ac:dyDescent="0.25">
      <c r="A3723" s="468" t="s">
        <v>220</v>
      </c>
      <c r="B3723" s="468" t="s">
        <v>5430</v>
      </c>
      <c r="C3723" s="468" t="s">
        <v>4716</v>
      </c>
      <c r="D3723" s="468" t="s">
        <v>8640</v>
      </c>
      <c r="F3723" s="470">
        <v>136</v>
      </c>
      <c r="G3723" s="468">
        <v>0.95699999999999996</v>
      </c>
      <c r="H3723" s="479">
        <v>130.15199999999999</v>
      </c>
      <c r="I3723" s="468" t="s">
        <v>9218</v>
      </c>
      <c r="J3723" s="468" t="s">
        <v>9219</v>
      </c>
      <c r="K3723" s="468" t="s">
        <v>9219</v>
      </c>
      <c r="L3723" s="468" t="s">
        <v>2354</v>
      </c>
    </row>
    <row r="3724" spans="1:12" x14ac:dyDescent="0.25">
      <c r="A3724" s="468" t="s">
        <v>220</v>
      </c>
      <c r="B3724" s="468" t="s">
        <v>5430</v>
      </c>
      <c r="C3724" s="468" t="s">
        <v>7113</v>
      </c>
      <c r="D3724" s="468" t="s">
        <v>8641</v>
      </c>
      <c r="F3724" s="470">
        <v>100</v>
      </c>
      <c r="G3724" s="468">
        <v>0.20300000000000001</v>
      </c>
      <c r="H3724" s="479">
        <v>20.3</v>
      </c>
      <c r="I3724" s="468" t="s">
        <v>9218</v>
      </c>
      <c r="J3724" s="468" t="s">
        <v>9219</v>
      </c>
      <c r="K3724" s="468" t="s">
        <v>9219</v>
      </c>
      <c r="L3724" s="468" t="s">
        <v>2354</v>
      </c>
    </row>
    <row r="3725" spans="1:12" x14ac:dyDescent="0.25">
      <c r="A3725" s="468" t="s">
        <v>220</v>
      </c>
      <c r="B3725" s="468" t="s">
        <v>5430</v>
      </c>
      <c r="C3725" s="468" t="s">
        <v>4718</v>
      </c>
      <c r="D3725" s="468" t="s">
        <v>8642</v>
      </c>
      <c r="F3725" s="470">
        <v>80</v>
      </c>
      <c r="G3725" s="468">
        <v>0.59499999999999997</v>
      </c>
      <c r="H3725" s="479">
        <v>47.599999999999994</v>
      </c>
      <c r="I3725" s="468" t="s">
        <v>9218</v>
      </c>
      <c r="J3725" s="468" t="s">
        <v>9219</v>
      </c>
      <c r="K3725" s="468" t="s">
        <v>9219</v>
      </c>
      <c r="L3725" s="468" t="s">
        <v>2354</v>
      </c>
    </row>
    <row r="3726" spans="1:12" x14ac:dyDescent="0.25">
      <c r="A3726" s="468" t="s">
        <v>220</v>
      </c>
      <c r="B3726" s="468" t="s">
        <v>5430</v>
      </c>
      <c r="C3726" s="468" t="s">
        <v>7115</v>
      </c>
      <c r="D3726" s="468" t="s">
        <v>8643</v>
      </c>
      <c r="F3726" s="470">
        <v>556</v>
      </c>
      <c r="G3726" s="468">
        <v>0.55600000000000005</v>
      </c>
      <c r="H3726" s="479">
        <v>309.13600000000002</v>
      </c>
      <c r="I3726" s="468" t="s">
        <v>9218</v>
      </c>
      <c r="J3726" s="468" t="s">
        <v>9219</v>
      </c>
      <c r="K3726" s="468" t="s">
        <v>9219</v>
      </c>
      <c r="L3726" s="468" t="s">
        <v>2354</v>
      </c>
    </row>
    <row r="3727" spans="1:12" x14ac:dyDescent="0.25">
      <c r="A3727" s="468" t="s">
        <v>220</v>
      </c>
      <c r="B3727" s="468" t="s">
        <v>5430</v>
      </c>
      <c r="C3727" s="468" t="s">
        <v>4738</v>
      </c>
      <c r="D3727" s="468" t="s">
        <v>4739</v>
      </c>
      <c r="F3727" s="470">
        <v>111</v>
      </c>
      <c r="G3727" s="468">
        <v>0.21299999999999999</v>
      </c>
      <c r="H3727" s="479">
        <v>23.643000000000001</v>
      </c>
      <c r="I3727" s="468" t="s">
        <v>9218</v>
      </c>
      <c r="J3727" s="468" t="s">
        <v>9219</v>
      </c>
      <c r="K3727" s="468" t="s">
        <v>9219</v>
      </c>
      <c r="L3727" s="468" t="s">
        <v>2354</v>
      </c>
    </row>
    <row r="3728" spans="1:12" x14ac:dyDescent="0.25">
      <c r="A3728" s="468" t="s">
        <v>220</v>
      </c>
      <c r="B3728" s="468" t="s">
        <v>5430</v>
      </c>
      <c r="C3728" s="468" t="s">
        <v>7117</v>
      </c>
      <c r="D3728" s="468" t="s">
        <v>7118</v>
      </c>
      <c r="F3728" s="470">
        <v>0.5</v>
      </c>
      <c r="G3728" s="468">
        <v>5.3380000000000001</v>
      </c>
      <c r="H3728" s="479">
        <v>2.669</v>
      </c>
      <c r="I3728" s="468" t="s">
        <v>9218</v>
      </c>
      <c r="J3728" s="468" t="s">
        <v>9219</v>
      </c>
      <c r="K3728" s="468" t="s">
        <v>9219</v>
      </c>
      <c r="L3728" s="468" t="s">
        <v>2354</v>
      </c>
    </row>
    <row r="3729" spans="1:12" x14ac:dyDescent="0.25">
      <c r="A3729" s="468" t="s">
        <v>220</v>
      </c>
      <c r="B3729" s="468" t="s">
        <v>5430</v>
      </c>
      <c r="C3729" s="468" t="s">
        <v>7119</v>
      </c>
      <c r="D3729" s="468" t="s">
        <v>7120</v>
      </c>
      <c r="F3729" s="470">
        <v>4</v>
      </c>
      <c r="G3729" s="468">
        <v>52.667000000000002</v>
      </c>
      <c r="H3729" s="479">
        <v>210.66800000000001</v>
      </c>
      <c r="I3729" s="468" t="s">
        <v>9218</v>
      </c>
      <c r="J3729" s="468" t="s">
        <v>9219</v>
      </c>
      <c r="K3729" s="468" t="s">
        <v>9219</v>
      </c>
      <c r="L3729" s="468" t="s">
        <v>2354</v>
      </c>
    </row>
    <row r="3730" spans="1:12" x14ac:dyDescent="0.25">
      <c r="A3730" s="468" t="s">
        <v>220</v>
      </c>
      <c r="B3730" s="468" t="s">
        <v>5430</v>
      </c>
      <c r="C3730" s="468" t="s">
        <v>7121</v>
      </c>
      <c r="D3730" s="468" t="s">
        <v>8644</v>
      </c>
      <c r="F3730" s="470">
        <v>4</v>
      </c>
      <c r="G3730" s="468">
        <v>26.882999999999999</v>
      </c>
      <c r="H3730" s="479">
        <v>107.532</v>
      </c>
      <c r="I3730" s="468" t="s">
        <v>9218</v>
      </c>
      <c r="J3730" s="468" t="s">
        <v>9219</v>
      </c>
      <c r="K3730" s="468" t="s">
        <v>9219</v>
      </c>
      <c r="L3730" s="468" t="s">
        <v>2354</v>
      </c>
    </row>
    <row r="3731" spans="1:12" x14ac:dyDescent="0.25">
      <c r="A3731" s="468" t="s">
        <v>220</v>
      </c>
      <c r="B3731" s="468" t="s">
        <v>5430</v>
      </c>
      <c r="C3731" s="468" t="s">
        <v>7122</v>
      </c>
      <c r="D3731" s="468" t="s">
        <v>8645</v>
      </c>
      <c r="F3731" s="470">
        <v>5</v>
      </c>
      <c r="G3731" s="468">
        <v>33.822000000000003</v>
      </c>
      <c r="H3731" s="479">
        <v>169.11</v>
      </c>
      <c r="I3731" s="468" t="s">
        <v>9218</v>
      </c>
      <c r="J3731" s="468" t="s">
        <v>9219</v>
      </c>
      <c r="K3731" s="468" t="s">
        <v>9219</v>
      </c>
      <c r="L3731" s="468" t="s">
        <v>2354</v>
      </c>
    </row>
    <row r="3732" spans="1:12" x14ac:dyDescent="0.25">
      <c r="A3732" s="468" t="s">
        <v>220</v>
      </c>
      <c r="B3732" s="468" t="s">
        <v>5430</v>
      </c>
      <c r="C3732" s="468" t="s">
        <v>7123</v>
      </c>
      <c r="D3732" s="468" t="s">
        <v>8646</v>
      </c>
      <c r="F3732" s="470">
        <v>1</v>
      </c>
      <c r="G3732" s="468">
        <v>69</v>
      </c>
      <c r="H3732" s="479">
        <v>69</v>
      </c>
      <c r="I3732" s="468" t="s">
        <v>9218</v>
      </c>
      <c r="J3732" s="468" t="s">
        <v>9219</v>
      </c>
      <c r="K3732" s="468" t="s">
        <v>9219</v>
      </c>
      <c r="L3732" s="468" t="s">
        <v>2354</v>
      </c>
    </row>
    <row r="3733" spans="1:12" x14ac:dyDescent="0.25">
      <c r="A3733" s="468" t="s">
        <v>220</v>
      </c>
      <c r="B3733" s="468" t="s">
        <v>5430</v>
      </c>
      <c r="C3733" s="468" t="s">
        <v>4752</v>
      </c>
      <c r="D3733" s="468" t="s">
        <v>8647</v>
      </c>
      <c r="F3733" s="470">
        <v>50</v>
      </c>
      <c r="G3733" s="468">
        <v>5.4669999999999996</v>
      </c>
      <c r="H3733" s="479">
        <v>273.34999999999997</v>
      </c>
      <c r="I3733" s="468" t="s">
        <v>9218</v>
      </c>
      <c r="J3733" s="468" t="s">
        <v>9219</v>
      </c>
      <c r="K3733" s="468" t="s">
        <v>9219</v>
      </c>
      <c r="L3733" s="468" t="s">
        <v>2354</v>
      </c>
    </row>
    <row r="3734" spans="1:12" x14ac:dyDescent="0.25">
      <c r="A3734" s="468" t="s">
        <v>220</v>
      </c>
      <c r="B3734" s="468" t="s">
        <v>5430</v>
      </c>
      <c r="C3734" s="468" t="s">
        <v>7125</v>
      </c>
      <c r="D3734" s="468" t="s">
        <v>7126</v>
      </c>
      <c r="F3734" s="470">
        <v>4</v>
      </c>
      <c r="G3734" s="468">
        <v>35.518000000000001</v>
      </c>
      <c r="H3734" s="479">
        <v>142.072</v>
      </c>
      <c r="I3734" s="468" t="s">
        <v>9218</v>
      </c>
      <c r="J3734" s="468" t="s">
        <v>9219</v>
      </c>
      <c r="K3734" s="468" t="s">
        <v>9219</v>
      </c>
      <c r="L3734" s="468" t="s">
        <v>2354</v>
      </c>
    </row>
    <row r="3735" spans="1:12" x14ac:dyDescent="0.25">
      <c r="A3735" s="468" t="s">
        <v>220</v>
      </c>
      <c r="B3735" s="468" t="s">
        <v>5430</v>
      </c>
      <c r="C3735" s="468" t="s">
        <v>7127</v>
      </c>
      <c r="D3735" s="468" t="s">
        <v>8648</v>
      </c>
      <c r="F3735" s="470">
        <v>82</v>
      </c>
      <c r="G3735" s="468">
        <v>0.55300000000000005</v>
      </c>
      <c r="H3735" s="479">
        <v>45.346000000000004</v>
      </c>
      <c r="I3735" s="468" t="s">
        <v>9218</v>
      </c>
      <c r="J3735" s="468" t="s">
        <v>9219</v>
      </c>
      <c r="K3735" s="468" t="s">
        <v>9219</v>
      </c>
      <c r="L3735" s="468" t="s">
        <v>2354</v>
      </c>
    </row>
    <row r="3736" spans="1:12" x14ac:dyDescent="0.25">
      <c r="A3736" s="468" t="s">
        <v>220</v>
      </c>
      <c r="B3736" s="468" t="s">
        <v>5430</v>
      </c>
      <c r="C3736" s="468" t="s">
        <v>4760</v>
      </c>
      <c r="D3736" s="468" t="s">
        <v>8649</v>
      </c>
      <c r="F3736" s="470">
        <v>100</v>
      </c>
      <c r="G3736" s="468">
        <v>0.13500000000000001</v>
      </c>
      <c r="H3736" s="479">
        <v>13.5</v>
      </c>
      <c r="I3736" s="468" t="s">
        <v>9218</v>
      </c>
      <c r="J3736" s="468" t="s">
        <v>9219</v>
      </c>
      <c r="K3736" s="468" t="s">
        <v>9219</v>
      </c>
      <c r="L3736" s="468" t="s">
        <v>2354</v>
      </c>
    </row>
    <row r="3737" spans="1:12" x14ac:dyDescent="0.25">
      <c r="A3737" s="468" t="s">
        <v>220</v>
      </c>
      <c r="B3737" s="468" t="s">
        <v>5430</v>
      </c>
      <c r="C3737" s="468" t="s">
        <v>7133</v>
      </c>
      <c r="D3737" s="468" t="s">
        <v>8650</v>
      </c>
      <c r="F3737" s="470">
        <v>14</v>
      </c>
      <c r="G3737" s="468">
        <v>2.1179999999999999</v>
      </c>
      <c r="H3737" s="479">
        <v>29.651999999999997</v>
      </c>
      <c r="I3737" s="468" t="s">
        <v>9218</v>
      </c>
      <c r="J3737" s="468" t="s">
        <v>9219</v>
      </c>
      <c r="K3737" s="468" t="s">
        <v>9219</v>
      </c>
      <c r="L3737" s="468" t="s">
        <v>2354</v>
      </c>
    </row>
    <row r="3738" spans="1:12" x14ac:dyDescent="0.25">
      <c r="A3738" s="468" t="s">
        <v>220</v>
      </c>
      <c r="B3738" s="468" t="s">
        <v>5430</v>
      </c>
      <c r="C3738" s="468" t="s">
        <v>7135</v>
      </c>
      <c r="D3738" s="468" t="s">
        <v>7136</v>
      </c>
      <c r="F3738" s="470">
        <v>4</v>
      </c>
      <c r="G3738" s="468">
        <v>46.283000000000001</v>
      </c>
      <c r="H3738" s="479">
        <v>185.13200000000001</v>
      </c>
      <c r="I3738" s="468" t="s">
        <v>9218</v>
      </c>
      <c r="J3738" s="468" t="s">
        <v>9219</v>
      </c>
      <c r="K3738" s="468" t="s">
        <v>9219</v>
      </c>
      <c r="L3738" s="468" t="s">
        <v>2354</v>
      </c>
    </row>
    <row r="3739" spans="1:12" x14ac:dyDescent="0.25">
      <c r="A3739" s="468" t="s">
        <v>220</v>
      </c>
      <c r="B3739" s="468" t="s">
        <v>5430</v>
      </c>
      <c r="C3739" s="468" t="s">
        <v>7137</v>
      </c>
      <c r="D3739" s="468" t="s">
        <v>8651</v>
      </c>
      <c r="F3739" s="470">
        <v>85</v>
      </c>
      <c r="G3739" s="468">
        <v>1.587</v>
      </c>
      <c r="H3739" s="479">
        <v>134.89500000000001</v>
      </c>
      <c r="I3739" s="468" t="s">
        <v>9218</v>
      </c>
      <c r="J3739" s="468" t="s">
        <v>9219</v>
      </c>
      <c r="K3739" s="468" t="s">
        <v>9219</v>
      </c>
      <c r="L3739" s="468" t="s">
        <v>2354</v>
      </c>
    </row>
    <row r="3740" spans="1:12" x14ac:dyDescent="0.25">
      <c r="A3740" s="468" t="s">
        <v>220</v>
      </c>
      <c r="B3740" s="468" t="s">
        <v>5430</v>
      </c>
      <c r="C3740" s="468" t="s">
        <v>7139</v>
      </c>
      <c r="D3740" s="468" t="s">
        <v>8652</v>
      </c>
      <c r="F3740" s="470">
        <v>94</v>
      </c>
      <c r="G3740" s="468">
        <v>1.3160000000000001</v>
      </c>
      <c r="H3740" s="479">
        <v>123.70400000000001</v>
      </c>
      <c r="I3740" s="468" t="s">
        <v>9218</v>
      </c>
      <c r="J3740" s="468" t="s">
        <v>9219</v>
      </c>
      <c r="K3740" s="468" t="s">
        <v>9219</v>
      </c>
      <c r="L3740" s="468" t="s">
        <v>2354</v>
      </c>
    </row>
    <row r="3741" spans="1:12" x14ac:dyDescent="0.25">
      <c r="A3741" s="468" t="s">
        <v>220</v>
      </c>
      <c r="B3741" s="468" t="s">
        <v>5430</v>
      </c>
      <c r="C3741" s="468" t="s">
        <v>7141</v>
      </c>
      <c r="D3741" s="468" t="s">
        <v>8653</v>
      </c>
      <c r="F3741" s="470">
        <v>178</v>
      </c>
      <c r="G3741" s="468">
        <v>0.04</v>
      </c>
      <c r="H3741" s="479">
        <v>7.12</v>
      </c>
      <c r="I3741" s="468" t="s">
        <v>9218</v>
      </c>
      <c r="J3741" s="468" t="s">
        <v>9219</v>
      </c>
      <c r="K3741" s="468" t="s">
        <v>9219</v>
      </c>
      <c r="L3741" s="468" t="s">
        <v>2354</v>
      </c>
    </row>
    <row r="3742" spans="1:12" x14ac:dyDescent="0.25">
      <c r="A3742" s="468" t="s">
        <v>220</v>
      </c>
      <c r="B3742" s="468" t="s">
        <v>5430</v>
      </c>
      <c r="C3742" s="468" t="s">
        <v>7152</v>
      </c>
      <c r="D3742" s="468" t="s">
        <v>8654</v>
      </c>
      <c r="F3742" s="470">
        <v>194</v>
      </c>
      <c r="G3742" s="468">
        <v>0.17199999999999999</v>
      </c>
      <c r="H3742" s="479">
        <v>33.367999999999995</v>
      </c>
      <c r="I3742" s="468" t="s">
        <v>9218</v>
      </c>
      <c r="J3742" s="468" t="s">
        <v>9219</v>
      </c>
      <c r="K3742" s="468" t="s">
        <v>9219</v>
      </c>
      <c r="L3742" s="468" t="s">
        <v>2354</v>
      </c>
    </row>
    <row r="3743" spans="1:12" x14ac:dyDescent="0.25">
      <c r="A3743" s="468" t="s">
        <v>220</v>
      </c>
      <c r="B3743" s="468" t="s">
        <v>5430</v>
      </c>
      <c r="C3743" s="468" t="s">
        <v>4772</v>
      </c>
      <c r="D3743" s="468" t="s">
        <v>4773</v>
      </c>
      <c r="F3743" s="470">
        <v>140</v>
      </c>
      <c r="G3743" s="468">
        <v>0.39500000000000002</v>
      </c>
      <c r="H3743" s="479">
        <v>55.300000000000004</v>
      </c>
      <c r="I3743" s="468" t="s">
        <v>9218</v>
      </c>
      <c r="J3743" s="468" t="s">
        <v>9219</v>
      </c>
      <c r="K3743" s="468" t="s">
        <v>9219</v>
      </c>
      <c r="L3743" s="468" t="s">
        <v>2354</v>
      </c>
    </row>
    <row r="3744" spans="1:12" x14ac:dyDescent="0.25">
      <c r="A3744" s="468" t="s">
        <v>220</v>
      </c>
      <c r="B3744" s="468" t="s">
        <v>5430</v>
      </c>
      <c r="C3744" s="468" t="s">
        <v>4788</v>
      </c>
      <c r="D3744" s="468" t="s">
        <v>8655</v>
      </c>
      <c r="F3744" s="470">
        <v>47</v>
      </c>
      <c r="G3744" s="468">
        <v>0.109</v>
      </c>
      <c r="H3744" s="479">
        <v>5.1230000000000002</v>
      </c>
      <c r="I3744" s="468" t="s">
        <v>9218</v>
      </c>
      <c r="J3744" s="468" t="s">
        <v>9219</v>
      </c>
      <c r="K3744" s="468" t="s">
        <v>9219</v>
      </c>
      <c r="L3744" s="468" t="s">
        <v>2354</v>
      </c>
    </row>
    <row r="3745" spans="1:12" x14ac:dyDescent="0.25">
      <c r="A3745" s="468" t="s">
        <v>220</v>
      </c>
      <c r="B3745" s="468" t="s">
        <v>5430</v>
      </c>
      <c r="C3745" s="468" t="s">
        <v>4796</v>
      </c>
      <c r="D3745" s="468" t="s">
        <v>8656</v>
      </c>
      <c r="F3745" s="470">
        <v>23</v>
      </c>
      <c r="G3745" s="468">
        <v>5.5E-2</v>
      </c>
      <c r="H3745" s="479">
        <v>1.2649999999999999</v>
      </c>
      <c r="I3745" s="468" t="s">
        <v>9218</v>
      </c>
      <c r="J3745" s="468" t="s">
        <v>9219</v>
      </c>
      <c r="K3745" s="468" t="s">
        <v>9219</v>
      </c>
      <c r="L3745" s="468" t="s">
        <v>2354</v>
      </c>
    </row>
    <row r="3746" spans="1:12" x14ac:dyDescent="0.25">
      <c r="A3746" s="468" t="s">
        <v>220</v>
      </c>
      <c r="B3746" s="468" t="s">
        <v>5430</v>
      </c>
      <c r="C3746" s="468" t="s">
        <v>4798</v>
      </c>
      <c r="D3746" s="468" t="s">
        <v>8657</v>
      </c>
      <c r="F3746" s="470">
        <v>210</v>
      </c>
      <c r="G3746" s="468">
        <v>4.3999999999999997E-2</v>
      </c>
      <c r="H3746" s="479">
        <v>9.24</v>
      </c>
      <c r="I3746" s="468" t="s">
        <v>9218</v>
      </c>
      <c r="J3746" s="468" t="s">
        <v>9219</v>
      </c>
      <c r="K3746" s="468" t="s">
        <v>9219</v>
      </c>
      <c r="L3746" s="468" t="s">
        <v>2354</v>
      </c>
    </row>
    <row r="3747" spans="1:12" x14ac:dyDescent="0.25">
      <c r="A3747" s="468" t="s">
        <v>220</v>
      </c>
      <c r="B3747" s="468" t="s">
        <v>5430</v>
      </c>
      <c r="C3747" s="468" t="s">
        <v>8658</v>
      </c>
      <c r="D3747" s="468" t="s">
        <v>8656</v>
      </c>
      <c r="F3747" s="470">
        <v>220</v>
      </c>
      <c r="G3747" s="468">
        <v>5.3999999999999999E-2</v>
      </c>
      <c r="H3747" s="479">
        <v>11.879999999999999</v>
      </c>
      <c r="I3747" s="468" t="s">
        <v>9218</v>
      </c>
      <c r="J3747" s="468" t="s">
        <v>9219</v>
      </c>
      <c r="K3747" s="468" t="s">
        <v>9219</v>
      </c>
      <c r="L3747" s="468" t="s">
        <v>2354</v>
      </c>
    </row>
    <row r="3748" spans="1:12" x14ac:dyDescent="0.25">
      <c r="A3748" s="468" t="s">
        <v>220</v>
      </c>
      <c r="B3748" s="468" t="s">
        <v>5430</v>
      </c>
      <c r="C3748" s="468" t="s">
        <v>7162</v>
      </c>
      <c r="D3748" s="468" t="s">
        <v>8659</v>
      </c>
      <c r="F3748" s="470">
        <v>100</v>
      </c>
      <c r="G3748" s="468">
        <v>1.5129999999999999</v>
      </c>
      <c r="H3748" s="479">
        <v>151.29999999999998</v>
      </c>
      <c r="I3748" s="468" t="s">
        <v>9218</v>
      </c>
      <c r="J3748" s="468" t="s">
        <v>9219</v>
      </c>
      <c r="K3748" s="468" t="s">
        <v>9219</v>
      </c>
      <c r="L3748" s="468" t="s">
        <v>2354</v>
      </c>
    </row>
    <row r="3749" spans="1:12" x14ac:dyDescent="0.25">
      <c r="A3749" s="468" t="s">
        <v>220</v>
      </c>
      <c r="B3749" s="468" t="s">
        <v>5430</v>
      </c>
      <c r="C3749" s="468" t="s">
        <v>7164</v>
      </c>
      <c r="D3749" s="468" t="s">
        <v>8660</v>
      </c>
      <c r="F3749" s="470">
        <v>320</v>
      </c>
      <c r="G3749" s="468">
        <v>7.0999999999999994E-2</v>
      </c>
      <c r="H3749" s="479">
        <v>22.72</v>
      </c>
      <c r="I3749" s="468" t="s">
        <v>9218</v>
      </c>
      <c r="J3749" s="468" t="s">
        <v>9219</v>
      </c>
      <c r="K3749" s="468" t="s">
        <v>9219</v>
      </c>
      <c r="L3749" s="468" t="s">
        <v>2354</v>
      </c>
    </row>
    <row r="3750" spans="1:12" x14ac:dyDescent="0.25">
      <c r="A3750" s="468" t="s">
        <v>220</v>
      </c>
      <c r="B3750" s="468" t="s">
        <v>5430</v>
      </c>
      <c r="C3750" s="468" t="s">
        <v>4802</v>
      </c>
      <c r="D3750" s="468" t="s">
        <v>8661</v>
      </c>
      <c r="F3750" s="470">
        <v>272</v>
      </c>
      <c r="G3750" s="468">
        <v>5.1999999999999998E-2</v>
      </c>
      <c r="H3750" s="479">
        <v>14.144</v>
      </c>
      <c r="I3750" s="468" t="s">
        <v>9218</v>
      </c>
      <c r="J3750" s="468" t="s">
        <v>9219</v>
      </c>
      <c r="K3750" s="468" t="s">
        <v>9219</v>
      </c>
      <c r="L3750" s="468" t="s">
        <v>2354</v>
      </c>
    </row>
    <row r="3751" spans="1:12" x14ac:dyDescent="0.25">
      <c r="A3751" s="468" t="s">
        <v>220</v>
      </c>
      <c r="B3751" s="468" t="s">
        <v>5430</v>
      </c>
      <c r="C3751" s="468" t="s">
        <v>4804</v>
      </c>
      <c r="D3751" s="468" t="s">
        <v>8662</v>
      </c>
      <c r="F3751" s="470">
        <v>204</v>
      </c>
      <c r="G3751" s="468">
        <v>7.0999999999999994E-2</v>
      </c>
      <c r="H3751" s="479">
        <v>14.483999999999998</v>
      </c>
      <c r="I3751" s="468" t="s">
        <v>9218</v>
      </c>
      <c r="J3751" s="468" t="s">
        <v>9219</v>
      </c>
      <c r="K3751" s="468" t="s">
        <v>9219</v>
      </c>
      <c r="L3751" s="468" t="s">
        <v>2354</v>
      </c>
    </row>
    <row r="3752" spans="1:12" x14ac:dyDescent="0.25">
      <c r="A3752" s="468" t="s">
        <v>220</v>
      </c>
      <c r="B3752" s="468" t="s">
        <v>5430</v>
      </c>
      <c r="C3752" s="468" t="s">
        <v>4808</v>
      </c>
      <c r="D3752" s="468" t="s">
        <v>8663</v>
      </c>
      <c r="F3752" s="470">
        <v>308</v>
      </c>
      <c r="G3752" s="468">
        <v>0.183</v>
      </c>
      <c r="H3752" s="479">
        <v>56.363999999999997</v>
      </c>
      <c r="I3752" s="468" t="s">
        <v>9218</v>
      </c>
      <c r="J3752" s="468" t="s">
        <v>9219</v>
      </c>
      <c r="K3752" s="468" t="s">
        <v>9219</v>
      </c>
      <c r="L3752" s="468" t="s">
        <v>2354</v>
      </c>
    </row>
    <row r="3753" spans="1:12" x14ac:dyDescent="0.25">
      <c r="A3753" s="468" t="s">
        <v>220</v>
      </c>
      <c r="B3753" s="468" t="s">
        <v>5430</v>
      </c>
      <c r="C3753" s="468" t="s">
        <v>4810</v>
      </c>
      <c r="D3753" s="468" t="s">
        <v>8664</v>
      </c>
      <c r="F3753" s="470">
        <v>230</v>
      </c>
      <c r="G3753" s="468">
        <v>0.1</v>
      </c>
      <c r="H3753" s="479">
        <v>23</v>
      </c>
      <c r="I3753" s="468" t="s">
        <v>9218</v>
      </c>
      <c r="J3753" s="468" t="s">
        <v>9219</v>
      </c>
      <c r="K3753" s="468" t="s">
        <v>9219</v>
      </c>
      <c r="L3753" s="468" t="s">
        <v>2354</v>
      </c>
    </row>
    <row r="3754" spans="1:12" x14ac:dyDescent="0.25">
      <c r="A3754" s="468" t="s">
        <v>220</v>
      </c>
      <c r="B3754" s="468" t="s">
        <v>5430</v>
      </c>
      <c r="C3754" s="468" t="s">
        <v>4812</v>
      </c>
      <c r="D3754" s="468" t="s">
        <v>8665</v>
      </c>
      <c r="F3754" s="470">
        <v>87</v>
      </c>
      <c r="G3754" s="468">
        <v>0.24099999999999999</v>
      </c>
      <c r="H3754" s="479">
        <v>20.966999999999999</v>
      </c>
      <c r="I3754" s="468" t="s">
        <v>9218</v>
      </c>
      <c r="J3754" s="468" t="s">
        <v>9219</v>
      </c>
      <c r="K3754" s="468" t="s">
        <v>9219</v>
      </c>
      <c r="L3754" s="468" t="s">
        <v>2354</v>
      </c>
    </row>
    <row r="3755" spans="1:12" x14ac:dyDescent="0.25">
      <c r="A3755" s="468" t="s">
        <v>220</v>
      </c>
      <c r="B3755" s="468" t="s">
        <v>5430</v>
      </c>
      <c r="C3755" s="468" t="s">
        <v>4814</v>
      </c>
      <c r="D3755" s="468" t="s">
        <v>8666</v>
      </c>
      <c r="F3755" s="470">
        <v>507</v>
      </c>
      <c r="G3755" s="468">
        <v>0.17899999999999999</v>
      </c>
      <c r="H3755" s="479">
        <v>90.753</v>
      </c>
      <c r="I3755" s="468" t="s">
        <v>9218</v>
      </c>
      <c r="J3755" s="468" t="s">
        <v>9219</v>
      </c>
      <c r="K3755" s="468" t="s">
        <v>9219</v>
      </c>
      <c r="L3755" s="468" t="s">
        <v>2354</v>
      </c>
    </row>
    <row r="3756" spans="1:12" x14ac:dyDescent="0.25">
      <c r="A3756" s="468" t="s">
        <v>220</v>
      </c>
      <c r="B3756" s="468" t="s">
        <v>5430</v>
      </c>
      <c r="C3756" s="468" t="s">
        <v>4816</v>
      </c>
      <c r="D3756" s="468" t="s">
        <v>8667</v>
      </c>
      <c r="F3756" s="470">
        <v>312</v>
      </c>
      <c r="G3756" s="468">
        <v>0.26500000000000001</v>
      </c>
      <c r="H3756" s="479">
        <v>82.68</v>
      </c>
      <c r="I3756" s="468" t="s">
        <v>9218</v>
      </c>
      <c r="J3756" s="468" t="s">
        <v>9219</v>
      </c>
      <c r="K3756" s="468" t="s">
        <v>9219</v>
      </c>
      <c r="L3756" s="468" t="s">
        <v>2354</v>
      </c>
    </row>
    <row r="3757" spans="1:12" x14ac:dyDescent="0.25">
      <c r="A3757" s="468" t="s">
        <v>220</v>
      </c>
      <c r="B3757" s="468" t="s">
        <v>5430</v>
      </c>
      <c r="C3757" s="468" t="s">
        <v>7166</v>
      </c>
      <c r="D3757" s="468" t="s">
        <v>8668</v>
      </c>
      <c r="F3757" s="470">
        <v>26</v>
      </c>
      <c r="G3757" s="468">
        <v>0.56899999999999995</v>
      </c>
      <c r="H3757" s="479">
        <v>14.793999999999999</v>
      </c>
      <c r="I3757" s="468" t="s">
        <v>9218</v>
      </c>
      <c r="J3757" s="468" t="s">
        <v>9219</v>
      </c>
      <c r="K3757" s="468" t="s">
        <v>9219</v>
      </c>
      <c r="L3757" s="468" t="s">
        <v>2354</v>
      </c>
    </row>
    <row r="3758" spans="1:12" x14ac:dyDescent="0.25">
      <c r="A3758" s="468" t="s">
        <v>220</v>
      </c>
      <c r="B3758" s="468" t="s">
        <v>5430</v>
      </c>
      <c r="C3758" s="468" t="s">
        <v>7168</v>
      </c>
      <c r="D3758" s="468" t="s">
        <v>8669</v>
      </c>
      <c r="F3758" s="470">
        <v>45</v>
      </c>
      <c r="G3758" s="468">
        <v>0.624</v>
      </c>
      <c r="H3758" s="479">
        <v>28.08</v>
      </c>
      <c r="I3758" s="468" t="s">
        <v>9218</v>
      </c>
      <c r="J3758" s="468" t="s">
        <v>9219</v>
      </c>
      <c r="K3758" s="468" t="s">
        <v>9219</v>
      </c>
      <c r="L3758" s="468" t="s">
        <v>2354</v>
      </c>
    </row>
    <row r="3759" spans="1:12" x14ac:dyDescent="0.25">
      <c r="A3759" s="468" t="s">
        <v>220</v>
      </c>
      <c r="B3759" s="468" t="s">
        <v>5430</v>
      </c>
      <c r="C3759" s="468" t="s">
        <v>4820</v>
      </c>
      <c r="D3759" s="468" t="s">
        <v>8670</v>
      </c>
      <c r="F3759" s="470">
        <v>161</v>
      </c>
      <c r="G3759" s="468">
        <v>0.30499999999999999</v>
      </c>
      <c r="H3759" s="479">
        <v>49.104999999999997</v>
      </c>
      <c r="I3759" s="468" t="s">
        <v>9218</v>
      </c>
      <c r="J3759" s="468" t="s">
        <v>9219</v>
      </c>
      <c r="K3759" s="468" t="s">
        <v>9219</v>
      </c>
      <c r="L3759" s="468" t="s">
        <v>2354</v>
      </c>
    </row>
    <row r="3760" spans="1:12" x14ac:dyDescent="0.25">
      <c r="A3760" s="468" t="s">
        <v>220</v>
      </c>
      <c r="B3760" s="468" t="s">
        <v>5430</v>
      </c>
      <c r="C3760" s="468" t="s">
        <v>4822</v>
      </c>
      <c r="D3760" s="468" t="s">
        <v>8671</v>
      </c>
      <c r="F3760" s="470">
        <v>249</v>
      </c>
      <c r="G3760" s="468">
        <v>0.36299999999999999</v>
      </c>
      <c r="H3760" s="479">
        <v>90.387</v>
      </c>
      <c r="I3760" s="468" t="s">
        <v>9218</v>
      </c>
      <c r="J3760" s="468" t="s">
        <v>9219</v>
      </c>
      <c r="K3760" s="468" t="s">
        <v>9219</v>
      </c>
      <c r="L3760" s="468" t="s">
        <v>2354</v>
      </c>
    </row>
    <row r="3761" spans="1:12" x14ac:dyDescent="0.25">
      <c r="A3761" s="468" t="s">
        <v>220</v>
      </c>
      <c r="B3761" s="468" t="s">
        <v>5430</v>
      </c>
      <c r="C3761" s="468" t="s">
        <v>4824</v>
      </c>
      <c r="D3761" s="468" t="s">
        <v>8672</v>
      </c>
      <c r="F3761" s="470">
        <v>150</v>
      </c>
      <c r="G3761" s="468">
        <v>1.734</v>
      </c>
      <c r="H3761" s="479">
        <v>260.10000000000002</v>
      </c>
      <c r="I3761" s="468" t="s">
        <v>9218</v>
      </c>
      <c r="J3761" s="468" t="s">
        <v>9219</v>
      </c>
      <c r="K3761" s="468" t="s">
        <v>9219</v>
      </c>
      <c r="L3761" s="468" t="s">
        <v>2354</v>
      </c>
    </row>
    <row r="3762" spans="1:12" x14ac:dyDescent="0.25">
      <c r="A3762" s="468" t="s">
        <v>220</v>
      </c>
      <c r="B3762" s="468" t="s">
        <v>5430</v>
      </c>
      <c r="C3762" s="468" t="s">
        <v>7170</v>
      </c>
      <c r="D3762" s="468" t="s">
        <v>8673</v>
      </c>
      <c r="F3762" s="470">
        <v>42</v>
      </c>
      <c r="G3762" s="468">
        <v>0.26200000000000001</v>
      </c>
      <c r="H3762" s="479">
        <v>11.004000000000001</v>
      </c>
      <c r="I3762" s="468" t="s">
        <v>9218</v>
      </c>
      <c r="J3762" s="468" t="s">
        <v>9219</v>
      </c>
      <c r="K3762" s="468" t="s">
        <v>9219</v>
      </c>
      <c r="L3762" s="468" t="s">
        <v>2354</v>
      </c>
    </row>
    <row r="3763" spans="1:12" x14ac:dyDescent="0.25">
      <c r="A3763" s="468" t="s">
        <v>220</v>
      </c>
      <c r="B3763" s="468" t="s">
        <v>5430</v>
      </c>
      <c r="C3763" s="468" t="s">
        <v>4826</v>
      </c>
      <c r="D3763" s="468" t="s">
        <v>8674</v>
      </c>
      <c r="F3763" s="470">
        <v>192</v>
      </c>
      <c r="G3763" s="468">
        <v>1.111</v>
      </c>
      <c r="H3763" s="479">
        <v>213.31200000000001</v>
      </c>
      <c r="I3763" s="468" t="s">
        <v>9218</v>
      </c>
      <c r="J3763" s="468" t="s">
        <v>9219</v>
      </c>
      <c r="K3763" s="468" t="s">
        <v>9219</v>
      </c>
      <c r="L3763" s="468" t="s">
        <v>2354</v>
      </c>
    </row>
    <row r="3764" spans="1:12" x14ac:dyDescent="0.25">
      <c r="A3764" s="468" t="s">
        <v>220</v>
      </c>
      <c r="B3764" s="468" t="s">
        <v>5430</v>
      </c>
      <c r="C3764" s="468" t="s">
        <v>7172</v>
      </c>
      <c r="D3764" s="468" t="s">
        <v>8675</v>
      </c>
      <c r="F3764" s="470">
        <v>37</v>
      </c>
      <c r="G3764" s="468">
        <v>1.2789999999999999</v>
      </c>
      <c r="H3764" s="479">
        <v>47.322999999999993</v>
      </c>
      <c r="I3764" s="468" t="s">
        <v>9218</v>
      </c>
      <c r="J3764" s="468" t="s">
        <v>9219</v>
      </c>
      <c r="K3764" s="468" t="s">
        <v>9219</v>
      </c>
      <c r="L3764" s="468" t="s">
        <v>2354</v>
      </c>
    </row>
    <row r="3765" spans="1:12" x14ac:dyDescent="0.25">
      <c r="A3765" s="468" t="s">
        <v>220</v>
      </c>
      <c r="B3765" s="468" t="s">
        <v>5430</v>
      </c>
      <c r="D3765" s="468" t="s">
        <v>9451</v>
      </c>
      <c r="F3765" s="470">
        <v>310</v>
      </c>
      <c r="G3765" s="468">
        <v>6.0000000000000001E-3</v>
      </c>
      <c r="H3765" s="479">
        <v>1.86</v>
      </c>
      <c r="I3765" s="468" t="s">
        <v>9218</v>
      </c>
      <c r="J3765" s="468" t="s">
        <v>9219</v>
      </c>
      <c r="K3765" s="468" t="s">
        <v>9219</v>
      </c>
      <c r="L3765" s="468" t="s">
        <v>2354</v>
      </c>
    </row>
    <row r="3766" spans="1:12" x14ac:dyDescent="0.25">
      <c r="A3766" s="468" t="s">
        <v>220</v>
      </c>
      <c r="B3766" s="468" t="s">
        <v>5430</v>
      </c>
      <c r="D3766" s="468" t="s">
        <v>9452</v>
      </c>
      <c r="F3766" s="470">
        <v>310</v>
      </c>
      <c r="G3766" s="468">
        <v>8.0000000000000002E-3</v>
      </c>
      <c r="H3766" s="479">
        <v>2.48</v>
      </c>
      <c r="I3766" s="468" t="s">
        <v>9218</v>
      </c>
      <c r="J3766" s="468" t="s">
        <v>9219</v>
      </c>
      <c r="K3766" s="468" t="s">
        <v>9219</v>
      </c>
      <c r="L3766" s="468" t="s">
        <v>2354</v>
      </c>
    </row>
    <row r="3767" spans="1:12" x14ac:dyDescent="0.25">
      <c r="A3767" s="468" t="s">
        <v>220</v>
      </c>
      <c r="B3767" s="468" t="s">
        <v>5430</v>
      </c>
      <c r="C3767" s="468" t="s">
        <v>4830</v>
      </c>
      <c r="D3767" s="468" t="s">
        <v>8676</v>
      </c>
      <c r="F3767" s="470">
        <v>210</v>
      </c>
      <c r="G3767" s="468">
        <v>0.113</v>
      </c>
      <c r="H3767" s="479">
        <v>23.73</v>
      </c>
      <c r="I3767" s="468" t="s">
        <v>9218</v>
      </c>
      <c r="J3767" s="468" t="s">
        <v>9219</v>
      </c>
      <c r="K3767" s="468" t="s">
        <v>9219</v>
      </c>
      <c r="L3767" s="468" t="s">
        <v>2354</v>
      </c>
    </row>
    <row r="3768" spans="1:12" x14ac:dyDescent="0.25">
      <c r="A3768" s="468" t="s">
        <v>220</v>
      </c>
      <c r="B3768" s="468" t="s">
        <v>5430</v>
      </c>
      <c r="C3768" s="468" t="s">
        <v>4832</v>
      </c>
      <c r="D3768" s="468" t="s">
        <v>8677</v>
      </c>
      <c r="F3768" s="470">
        <v>67</v>
      </c>
      <c r="G3768" s="468">
        <v>0.188</v>
      </c>
      <c r="H3768" s="479">
        <v>12.596</v>
      </c>
      <c r="I3768" s="468" t="s">
        <v>9218</v>
      </c>
      <c r="J3768" s="468" t="s">
        <v>9219</v>
      </c>
      <c r="K3768" s="468" t="s">
        <v>9219</v>
      </c>
      <c r="L3768" s="468" t="s">
        <v>2354</v>
      </c>
    </row>
    <row r="3769" spans="1:12" x14ac:dyDescent="0.25">
      <c r="A3769" s="468" t="s">
        <v>220</v>
      </c>
      <c r="B3769" s="468" t="s">
        <v>5430</v>
      </c>
      <c r="C3769" s="468" t="s">
        <v>4834</v>
      </c>
      <c r="D3769" s="468" t="s">
        <v>8678</v>
      </c>
      <c r="F3769" s="470">
        <v>554</v>
      </c>
      <c r="G3769" s="468">
        <v>6.2E-2</v>
      </c>
      <c r="H3769" s="479">
        <v>34.347999999999999</v>
      </c>
      <c r="I3769" s="468" t="s">
        <v>9218</v>
      </c>
      <c r="J3769" s="468" t="s">
        <v>9219</v>
      </c>
      <c r="K3769" s="468" t="s">
        <v>9219</v>
      </c>
      <c r="L3769" s="468" t="s">
        <v>2354</v>
      </c>
    </row>
    <row r="3770" spans="1:12" x14ac:dyDescent="0.25">
      <c r="A3770" s="468" t="s">
        <v>220</v>
      </c>
      <c r="B3770" s="468" t="s">
        <v>5430</v>
      </c>
      <c r="C3770" s="468" t="s">
        <v>4836</v>
      </c>
      <c r="D3770" s="468" t="s">
        <v>8679</v>
      </c>
      <c r="F3770" s="470">
        <v>49</v>
      </c>
      <c r="G3770" s="468">
        <v>1.4219999999999999</v>
      </c>
      <c r="H3770" s="479">
        <v>69.677999999999997</v>
      </c>
      <c r="I3770" s="468" t="s">
        <v>9218</v>
      </c>
      <c r="J3770" s="468" t="s">
        <v>9219</v>
      </c>
      <c r="K3770" s="468" t="s">
        <v>9219</v>
      </c>
      <c r="L3770" s="468" t="s">
        <v>2354</v>
      </c>
    </row>
    <row r="3771" spans="1:12" x14ac:dyDescent="0.25">
      <c r="A3771" s="468" t="s">
        <v>220</v>
      </c>
      <c r="B3771" s="468" t="s">
        <v>5430</v>
      </c>
      <c r="C3771" s="468" t="s">
        <v>4838</v>
      </c>
      <c r="D3771" s="468" t="s">
        <v>8680</v>
      </c>
      <c r="F3771" s="470">
        <v>10</v>
      </c>
      <c r="G3771" s="468">
        <v>0.85499999999999998</v>
      </c>
      <c r="H3771" s="479">
        <v>8.5500000000000007</v>
      </c>
      <c r="I3771" s="468" t="s">
        <v>9218</v>
      </c>
      <c r="J3771" s="468" t="s">
        <v>9219</v>
      </c>
      <c r="K3771" s="468" t="s">
        <v>9219</v>
      </c>
      <c r="L3771" s="468" t="s">
        <v>2354</v>
      </c>
    </row>
    <row r="3772" spans="1:12" x14ac:dyDescent="0.25">
      <c r="A3772" s="468" t="s">
        <v>220</v>
      </c>
      <c r="B3772" s="468" t="s">
        <v>5430</v>
      </c>
      <c r="C3772" s="468" t="s">
        <v>4840</v>
      </c>
      <c r="D3772" s="468" t="s">
        <v>8681</v>
      </c>
      <c r="F3772" s="470">
        <v>85</v>
      </c>
      <c r="G3772" s="468">
        <v>0.40500000000000003</v>
      </c>
      <c r="H3772" s="479">
        <v>34.425000000000004</v>
      </c>
      <c r="I3772" s="468" t="s">
        <v>9218</v>
      </c>
      <c r="J3772" s="468" t="s">
        <v>9219</v>
      </c>
      <c r="K3772" s="468" t="s">
        <v>9219</v>
      </c>
      <c r="L3772" s="468" t="s">
        <v>2354</v>
      </c>
    </row>
    <row r="3773" spans="1:12" x14ac:dyDescent="0.25">
      <c r="A3773" s="468" t="s">
        <v>220</v>
      </c>
      <c r="B3773" s="468" t="s">
        <v>5430</v>
      </c>
      <c r="C3773" s="468" t="s">
        <v>4842</v>
      </c>
      <c r="D3773" s="468" t="s">
        <v>8682</v>
      </c>
      <c r="F3773" s="470">
        <v>160</v>
      </c>
      <c r="G3773" s="468">
        <v>9.7000000000000003E-2</v>
      </c>
      <c r="H3773" s="479">
        <v>15.52</v>
      </c>
      <c r="I3773" s="468" t="s">
        <v>9218</v>
      </c>
      <c r="J3773" s="468" t="s">
        <v>9219</v>
      </c>
      <c r="K3773" s="468" t="s">
        <v>9219</v>
      </c>
      <c r="L3773" s="468" t="s">
        <v>2354</v>
      </c>
    </row>
    <row r="3774" spans="1:12" x14ac:dyDescent="0.25">
      <c r="A3774" s="468" t="s">
        <v>220</v>
      </c>
      <c r="B3774" s="468" t="s">
        <v>5430</v>
      </c>
      <c r="C3774" s="468" t="s">
        <v>4846</v>
      </c>
      <c r="D3774" s="468" t="s">
        <v>8683</v>
      </c>
      <c r="F3774" s="470">
        <v>176</v>
      </c>
      <c r="G3774" s="468">
        <v>7.0999999999999994E-2</v>
      </c>
      <c r="H3774" s="479">
        <v>12.495999999999999</v>
      </c>
      <c r="I3774" s="468" t="s">
        <v>9218</v>
      </c>
      <c r="J3774" s="468" t="s">
        <v>9219</v>
      </c>
      <c r="K3774" s="468" t="s">
        <v>9219</v>
      </c>
      <c r="L3774" s="468" t="s">
        <v>2354</v>
      </c>
    </row>
    <row r="3775" spans="1:12" x14ac:dyDescent="0.25">
      <c r="A3775" s="468" t="s">
        <v>220</v>
      </c>
      <c r="B3775" s="468" t="s">
        <v>5430</v>
      </c>
      <c r="C3775" s="468" t="s">
        <v>4848</v>
      </c>
      <c r="D3775" s="468" t="s">
        <v>8684</v>
      </c>
      <c r="F3775" s="470">
        <v>372</v>
      </c>
      <c r="G3775" s="468">
        <v>8.6999999999999994E-2</v>
      </c>
      <c r="H3775" s="479">
        <v>32.363999999999997</v>
      </c>
      <c r="I3775" s="468" t="s">
        <v>9218</v>
      </c>
      <c r="J3775" s="468" t="s">
        <v>9219</v>
      </c>
      <c r="K3775" s="468" t="s">
        <v>9219</v>
      </c>
      <c r="L3775" s="468" t="s">
        <v>2354</v>
      </c>
    </row>
    <row r="3776" spans="1:12" x14ac:dyDescent="0.25">
      <c r="A3776" s="468" t="s">
        <v>220</v>
      </c>
      <c r="B3776" s="468" t="s">
        <v>5430</v>
      </c>
      <c r="C3776" s="468" t="s">
        <v>4854</v>
      </c>
      <c r="D3776" s="468" t="s">
        <v>8685</v>
      </c>
      <c r="F3776" s="470">
        <v>90</v>
      </c>
      <c r="G3776" s="468">
        <v>0.15</v>
      </c>
      <c r="H3776" s="479">
        <v>13.5</v>
      </c>
      <c r="I3776" s="468" t="s">
        <v>9218</v>
      </c>
      <c r="J3776" s="468" t="s">
        <v>9219</v>
      </c>
      <c r="K3776" s="468" t="s">
        <v>9219</v>
      </c>
      <c r="L3776" s="468" t="s">
        <v>2354</v>
      </c>
    </row>
    <row r="3777" spans="1:12" x14ac:dyDescent="0.25">
      <c r="A3777" s="468" t="s">
        <v>220</v>
      </c>
      <c r="B3777" s="468" t="s">
        <v>5430</v>
      </c>
      <c r="C3777" s="468" t="s">
        <v>4856</v>
      </c>
      <c r="D3777" s="468" t="s">
        <v>8686</v>
      </c>
      <c r="F3777" s="470">
        <v>184</v>
      </c>
      <c r="G3777" s="468">
        <v>0.85299999999999998</v>
      </c>
      <c r="H3777" s="479">
        <v>156.952</v>
      </c>
      <c r="I3777" s="468" t="s">
        <v>9218</v>
      </c>
      <c r="J3777" s="468" t="s">
        <v>9219</v>
      </c>
      <c r="K3777" s="468" t="s">
        <v>9219</v>
      </c>
      <c r="L3777" s="468" t="s">
        <v>2354</v>
      </c>
    </row>
    <row r="3778" spans="1:12" x14ac:dyDescent="0.25">
      <c r="A3778" s="468" t="s">
        <v>220</v>
      </c>
      <c r="B3778" s="468" t="s">
        <v>5430</v>
      </c>
      <c r="C3778" s="468" t="s">
        <v>4858</v>
      </c>
      <c r="D3778" s="468" t="s">
        <v>8687</v>
      </c>
      <c r="F3778" s="470">
        <v>94</v>
      </c>
      <c r="G3778" s="468">
        <v>0.38300000000000001</v>
      </c>
      <c r="H3778" s="479">
        <v>36.002000000000002</v>
      </c>
      <c r="I3778" s="468" t="s">
        <v>9218</v>
      </c>
      <c r="J3778" s="468" t="s">
        <v>9219</v>
      </c>
      <c r="K3778" s="468" t="s">
        <v>9219</v>
      </c>
      <c r="L3778" s="468" t="s">
        <v>2354</v>
      </c>
    </row>
    <row r="3779" spans="1:12" x14ac:dyDescent="0.25">
      <c r="A3779" s="468" t="s">
        <v>220</v>
      </c>
      <c r="B3779" s="468" t="s">
        <v>5430</v>
      </c>
      <c r="C3779" s="468" t="s">
        <v>4860</v>
      </c>
      <c r="D3779" s="468" t="s">
        <v>8688</v>
      </c>
      <c r="F3779" s="470">
        <v>100</v>
      </c>
      <c r="G3779" s="468">
        <v>0.44700000000000001</v>
      </c>
      <c r="H3779" s="479">
        <v>44.7</v>
      </c>
      <c r="I3779" s="468" t="s">
        <v>9218</v>
      </c>
      <c r="J3779" s="468" t="s">
        <v>9219</v>
      </c>
      <c r="K3779" s="468" t="s">
        <v>9219</v>
      </c>
      <c r="L3779" s="468" t="s">
        <v>2354</v>
      </c>
    </row>
    <row r="3780" spans="1:12" x14ac:dyDescent="0.25">
      <c r="A3780" s="468" t="s">
        <v>220</v>
      </c>
      <c r="B3780" s="468" t="s">
        <v>5430</v>
      </c>
      <c r="C3780" s="468" t="s">
        <v>4867</v>
      </c>
      <c r="D3780" s="468" t="s">
        <v>8689</v>
      </c>
      <c r="F3780" s="470">
        <v>138</v>
      </c>
      <c r="G3780" s="468">
        <v>0.32600000000000001</v>
      </c>
      <c r="H3780" s="479">
        <v>44.988</v>
      </c>
      <c r="I3780" s="468" t="s">
        <v>9218</v>
      </c>
      <c r="J3780" s="468" t="s">
        <v>9219</v>
      </c>
      <c r="K3780" s="468" t="s">
        <v>9219</v>
      </c>
      <c r="L3780" s="468" t="s">
        <v>2354</v>
      </c>
    </row>
    <row r="3781" spans="1:12" x14ac:dyDescent="0.25">
      <c r="A3781" s="468" t="s">
        <v>220</v>
      </c>
      <c r="B3781" s="468" t="s">
        <v>5430</v>
      </c>
      <c r="C3781" s="468" t="s">
        <v>4869</v>
      </c>
      <c r="D3781" s="468" t="s">
        <v>8690</v>
      </c>
      <c r="F3781" s="470">
        <v>8</v>
      </c>
      <c r="G3781" s="468">
        <v>0.83717239130434784</v>
      </c>
      <c r="H3781" s="479">
        <v>6.6973791304347827</v>
      </c>
      <c r="I3781" s="468" t="s">
        <v>9218</v>
      </c>
      <c r="J3781" s="468" t="s">
        <v>9219</v>
      </c>
      <c r="K3781" s="468" t="s">
        <v>9219</v>
      </c>
      <c r="L3781" s="468" t="s">
        <v>2354</v>
      </c>
    </row>
    <row r="3782" spans="1:12" x14ac:dyDescent="0.25">
      <c r="A3782" s="468" t="s">
        <v>220</v>
      </c>
      <c r="B3782" s="468" t="s">
        <v>5430</v>
      </c>
      <c r="C3782" s="468" t="s">
        <v>4873</v>
      </c>
      <c r="D3782" s="468" t="s">
        <v>8691</v>
      </c>
      <c r="F3782" s="470">
        <v>400</v>
      </c>
      <c r="G3782" s="468">
        <v>0.63200000000000001</v>
      </c>
      <c r="H3782" s="479">
        <v>252.8</v>
      </c>
      <c r="I3782" s="468" t="s">
        <v>9218</v>
      </c>
      <c r="J3782" s="468" t="s">
        <v>9219</v>
      </c>
      <c r="K3782" s="468" t="s">
        <v>9219</v>
      </c>
      <c r="L3782" s="468" t="s">
        <v>2354</v>
      </c>
    </row>
    <row r="3783" spans="1:12" x14ac:dyDescent="0.25">
      <c r="A3783" s="468" t="s">
        <v>220</v>
      </c>
      <c r="B3783" s="468" t="s">
        <v>5430</v>
      </c>
      <c r="C3783" s="468" t="s">
        <v>4901</v>
      </c>
      <c r="D3783" s="468" t="s">
        <v>8692</v>
      </c>
      <c r="F3783" s="470">
        <v>100</v>
      </c>
      <c r="G3783" s="468">
        <v>0.218</v>
      </c>
      <c r="H3783" s="479">
        <v>21.8</v>
      </c>
      <c r="I3783" s="468" t="s">
        <v>9218</v>
      </c>
      <c r="J3783" s="468" t="s">
        <v>9219</v>
      </c>
      <c r="K3783" s="468" t="s">
        <v>9219</v>
      </c>
      <c r="L3783" s="468" t="s">
        <v>2354</v>
      </c>
    </row>
    <row r="3784" spans="1:12" x14ac:dyDescent="0.25">
      <c r="A3784" s="468" t="s">
        <v>220</v>
      </c>
      <c r="B3784" s="468" t="s">
        <v>5430</v>
      </c>
      <c r="C3784" s="468" t="s">
        <v>7175</v>
      </c>
      <c r="D3784" s="468" t="s">
        <v>8693</v>
      </c>
      <c r="F3784" s="470">
        <v>210</v>
      </c>
      <c r="G3784" s="468">
        <v>0.28199999999999997</v>
      </c>
      <c r="H3784" s="479">
        <v>59.219999999999992</v>
      </c>
      <c r="I3784" s="468" t="s">
        <v>9218</v>
      </c>
      <c r="J3784" s="468" t="s">
        <v>9219</v>
      </c>
      <c r="K3784" s="468" t="s">
        <v>9219</v>
      </c>
      <c r="L3784" s="468" t="s">
        <v>2354</v>
      </c>
    </row>
    <row r="3785" spans="1:12" x14ac:dyDescent="0.25">
      <c r="A3785" s="468" t="s">
        <v>220</v>
      </c>
      <c r="B3785" s="468" t="s">
        <v>5430</v>
      </c>
      <c r="C3785" s="468" t="s">
        <v>4905</v>
      </c>
      <c r="D3785" s="468" t="s">
        <v>8694</v>
      </c>
      <c r="F3785" s="470">
        <v>10</v>
      </c>
      <c r="G3785" s="468">
        <v>0.44500000000000001</v>
      </c>
      <c r="H3785" s="479">
        <v>4.45</v>
      </c>
      <c r="I3785" s="468" t="s">
        <v>9218</v>
      </c>
      <c r="J3785" s="468" t="s">
        <v>9219</v>
      </c>
      <c r="K3785" s="468" t="s">
        <v>9219</v>
      </c>
      <c r="L3785" s="468" t="s">
        <v>2354</v>
      </c>
    </row>
    <row r="3786" spans="1:12" x14ac:dyDescent="0.25">
      <c r="A3786" s="468" t="s">
        <v>220</v>
      </c>
      <c r="B3786" s="468" t="s">
        <v>5430</v>
      </c>
      <c r="C3786" s="468" t="s">
        <v>8695</v>
      </c>
      <c r="D3786" s="468" t="s">
        <v>8696</v>
      </c>
      <c r="F3786" s="470">
        <v>100</v>
      </c>
      <c r="G3786" s="468">
        <v>0.49299999999999999</v>
      </c>
      <c r="H3786" s="479">
        <v>49.3</v>
      </c>
      <c r="I3786" s="468" t="s">
        <v>9218</v>
      </c>
      <c r="J3786" s="468" t="s">
        <v>9219</v>
      </c>
      <c r="K3786" s="468" t="s">
        <v>9219</v>
      </c>
      <c r="L3786" s="468" t="s">
        <v>2354</v>
      </c>
    </row>
    <row r="3787" spans="1:12" x14ac:dyDescent="0.25">
      <c r="A3787" s="468" t="s">
        <v>220</v>
      </c>
      <c r="B3787" s="468" t="s">
        <v>5430</v>
      </c>
      <c r="C3787" s="468" t="s">
        <v>4909</v>
      </c>
      <c r="D3787" s="468" t="s">
        <v>8697</v>
      </c>
      <c r="F3787" s="470">
        <v>245</v>
      </c>
      <c r="G3787" s="468">
        <v>0.78200000000000003</v>
      </c>
      <c r="H3787" s="479">
        <v>191.59</v>
      </c>
      <c r="I3787" s="468" t="s">
        <v>9218</v>
      </c>
      <c r="J3787" s="468" t="s">
        <v>9219</v>
      </c>
      <c r="K3787" s="468" t="s">
        <v>9219</v>
      </c>
      <c r="L3787" s="468" t="s">
        <v>2354</v>
      </c>
    </row>
    <row r="3788" spans="1:12" x14ac:dyDescent="0.25">
      <c r="A3788" s="468" t="s">
        <v>220</v>
      </c>
      <c r="B3788" s="468" t="s">
        <v>5430</v>
      </c>
      <c r="C3788" s="468" t="s">
        <v>7180</v>
      </c>
      <c r="D3788" s="468" t="s">
        <v>8698</v>
      </c>
      <c r="F3788" s="470">
        <v>122</v>
      </c>
      <c r="G3788" s="468">
        <v>1.1060000000000001</v>
      </c>
      <c r="H3788" s="479">
        <v>134.93200000000002</v>
      </c>
      <c r="I3788" s="468" t="s">
        <v>9218</v>
      </c>
      <c r="J3788" s="468" t="s">
        <v>9219</v>
      </c>
      <c r="K3788" s="468" t="s">
        <v>9219</v>
      </c>
      <c r="L3788" s="468" t="s">
        <v>2354</v>
      </c>
    </row>
    <row r="3789" spans="1:12" x14ac:dyDescent="0.25">
      <c r="A3789" s="468" t="s">
        <v>220</v>
      </c>
      <c r="B3789" s="468" t="s">
        <v>5430</v>
      </c>
      <c r="C3789" s="468" t="s">
        <v>7182</v>
      </c>
      <c r="D3789" s="468" t="s">
        <v>8699</v>
      </c>
      <c r="F3789" s="470">
        <v>163</v>
      </c>
      <c r="G3789" s="468">
        <v>1.25</v>
      </c>
      <c r="H3789" s="479">
        <v>203.75</v>
      </c>
      <c r="I3789" s="468" t="s">
        <v>9218</v>
      </c>
      <c r="J3789" s="468" t="s">
        <v>9219</v>
      </c>
      <c r="K3789" s="468" t="s">
        <v>9219</v>
      </c>
      <c r="L3789" s="468" t="s">
        <v>2354</v>
      </c>
    </row>
    <row r="3790" spans="1:12" x14ac:dyDescent="0.25">
      <c r="A3790" s="468" t="s">
        <v>220</v>
      </c>
      <c r="B3790" s="468" t="s">
        <v>5430</v>
      </c>
      <c r="C3790" s="468" t="s">
        <v>4919</v>
      </c>
      <c r="D3790" s="468" t="s">
        <v>8700</v>
      </c>
      <c r="F3790" s="470">
        <v>184</v>
      </c>
      <c r="G3790" s="468">
        <v>1.2E-2</v>
      </c>
      <c r="H3790" s="479">
        <v>2.2080000000000002</v>
      </c>
      <c r="I3790" s="468" t="s">
        <v>9218</v>
      </c>
      <c r="J3790" s="468" t="s">
        <v>9219</v>
      </c>
      <c r="K3790" s="468" t="s">
        <v>9219</v>
      </c>
      <c r="L3790" s="468" t="s">
        <v>2354</v>
      </c>
    </row>
    <row r="3791" spans="1:12" x14ac:dyDescent="0.25">
      <c r="A3791" s="468" t="s">
        <v>220</v>
      </c>
      <c r="B3791" s="468" t="s">
        <v>5430</v>
      </c>
      <c r="C3791" s="468" t="s">
        <v>4921</v>
      </c>
      <c r="D3791" s="468" t="s">
        <v>4922</v>
      </c>
      <c r="F3791" s="470">
        <v>870</v>
      </c>
      <c r="G3791" s="468">
        <v>1.7000000000000001E-2</v>
      </c>
      <c r="H3791" s="479">
        <v>14.790000000000001</v>
      </c>
      <c r="I3791" s="468" t="s">
        <v>9218</v>
      </c>
      <c r="J3791" s="468" t="s">
        <v>9219</v>
      </c>
      <c r="K3791" s="468" t="s">
        <v>9219</v>
      </c>
      <c r="L3791" s="468" t="s">
        <v>2354</v>
      </c>
    </row>
    <row r="3792" spans="1:12" x14ac:dyDescent="0.25">
      <c r="A3792" s="468" t="s">
        <v>220</v>
      </c>
      <c r="B3792" s="468" t="s">
        <v>5430</v>
      </c>
      <c r="C3792" s="468" t="s">
        <v>4923</v>
      </c>
      <c r="D3792" s="468" t="s">
        <v>4924</v>
      </c>
      <c r="F3792" s="470">
        <v>728</v>
      </c>
      <c r="G3792" s="468">
        <v>3.4000000000000002E-2</v>
      </c>
      <c r="H3792" s="479">
        <v>24.752000000000002</v>
      </c>
      <c r="I3792" s="468" t="s">
        <v>9218</v>
      </c>
      <c r="J3792" s="468" t="s">
        <v>9219</v>
      </c>
      <c r="K3792" s="468" t="s">
        <v>9219</v>
      </c>
      <c r="L3792" s="468" t="s">
        <v>2354</v>
      </c>
    </row>
    <row r="3793" spans="1:12" x14ac:dyDescent="0.25">
      <c r="A3793" s="468" t="s">
        <v>220</v>
      </c>
      <c r="B3793" s="468" t="s">
        <v>5430</v>
      </c>
      <c r="C3793" s="468" t="s">
        <v>4925</v>
      </c>
      <c r="D3793" s="468" t="s">
        <v>4926</v>
      </c>
      <c r="F3793" s="470">
        <v>552</v>
      </c>
      <c r="G3793" s="468">
        <v>7.1999999999999995E-2</v>
      </c>
      <c r="H3793" s="479">
        <v>39.744</v>
      </c>
      <c r="I3793" s="468" t="s">
        <v>9218</v>
      </c>
      <c r="J3793" s="468" t="s">
        <v>9219</v>
      </c>
      <c r="K3793" s="468" t="s">
        <v>9219</v>
      </c>
      <c r="L3793" s="468" t="s">
        <v>2354</v>
      </c>
    </row>
    <row r="3794" spans="1:12" x14ac:dyDescent="0.25">
      <c r="A3794" s="468" t="s">
        <v>220</v>
      </c>
      <c r="B3794" s="468" t="s">
        <v>5430</v>
      </c>
      <c r="C3794" s="468" t="s">
        <v>4927</v>
      </c>
      <c r="D3794" s="468" t="s">
        <v>8701</v>
      </c>
      <c r="F3794" s="470">
        <v>365</v>
      </c>
      <c r="G3794" s="468">
        <v>0.11</v>
      </c>
      <c r="H3794" s="479">
        <v>40.15</v>
      </c>
      <c r="I3794" s="468" t="s">
        <v>9218</v>
      </c>
      <c r="J3794" s="468" t="s">
        <v>9219</v>
      </c>
      <c r="K3794" s="468" t="s">
        <v>9219</v>
      </c>
      <c r="L3794" s="468" t="s">
        <v>2354</v>
      </c>
    </row>
    <row r="3795" spans="1:12" x14ac:dyDescent="0.25">
      <c r="A3795" s="468" t="s">
        <v>220</v>
      </c>
      <c r="B3795" s="468" t="s">
        <v>5430</v>
      </c>
      <c r="C3795" s="468" t="s">
        <v>4929</v>
      </c>
      <c r="D3795" s="468" t="s">
        <v>8702</v>
      </c>
      <c r="F3795" s="470">
        <v>110</v>
      </c>
      <c r="G3795" s="468">
        <v>0.34499999999999997</v>
      </c>
      <c r="H3795" s="479">
        <v>37.949999999999996</v>
      </c>
      <c r="I3795" s="468" t="s">
        <v>9218</v>
      </c>
      <c r="J3795" s="468" t="s">
        <v>9219</v>
      </c>
      <c r="K3795" s="468" t="s">
        <v>9219</v>
      </c>
      <c r="L3795" s="468" t="s">
        <v>2354</v>
      </c>
    </row>
    <row r="3796" spans="1:12" x14ac:dyDescent="0.25">
      <c r="A3796" s="468" t="s">
        <v>220</v>
      </c>
      <c r="B3796" s="468" t="s">
        <v>5430</v>
      </c>
      <c r="C3796" s="468" t="s">
        <v>4937</v>
      </c>
      <c r="D3796" s="468" t="s">
        <v>8703</v>
      </c>
      <c r="F3796" s="470">
        <v>10</v>
      </c>
      <c r="G3796" s="468">
        <v>0.16200000000000001</v>
      </c>
      <c r="H3796" s="479">
        <v>1.62</v>
      </c>
      <c r="I3796" s="468" t="s">
        <v>9218</v>
      </c>
      <c r="J3796" s="468" t="s">
        <v>9219</v>
      </c>
      <c r="K3796" s="468" t="s">
        <v>9219</v>
      </c>
      <c r="L3796" s="468" t="s">
        <v>2354</v>
      </c>
    </row>
    <row r="3797" spans="1:12" x14ac:dyDescent="0.25">
      <c r="A3797" s="468" t="s">
        <v>220</v>
      </c>
      <c r="B3797" s="468" t="s">
        <v>5430</v>
      </c>
      <c r="C3797" s="468" t="s">
        <v>4939</v>
      </c>
      <c r="D3797" s="468" t="s">
        <v>8704</v>
      </c>
      <c r="F3797" s="470">
        <v>68</v>
      </c>
      <c r="G3797" s="468">
        <v>0.432</v>
      </c>
      <c r="H3797" s="479">
        <v>29.376000000000001</v>
      </c>
      <c r="I3797" s="468" t="s">
        <v>9218</v>
      </c>
      <c r="J3797" s="468" t="s">
        <v>9219</v>
      </c>
      <c r="K3797" s="468" t="s">
        <v>9219</v>
      </c>
      <c r="L3797" s="468" t="s">
        <v>2354</v>
      </c>
    </row>
    <row r="3798" spans="1:12" x14ac:dyDescent="0.25">
      <c r="A3798" s="468" t="s">
        <v>220</v>
      </c>
      <c r="B3798" s="468" t="s">
        <v>5430</v>
      </c>
      <c r="C3798" s="468" t="s">
        <v>4943</v>
      </c>
      <c r="D3798" s="468" t="s">
        <v>8705</v>
      </c>
      <c r="F3798" s="470">
        <v>20</v>
      </c>
      <c r="G3798" s="468">
        <v>5.1999999999999998E-2</v>
      </c>
      <c r="H3798" s="479">
        <v>1.04</v>
      </c>
      <c r="I3798" s="468" t="s">
        <v>9218</v>
      </c>
      <c r="J3798" s="468" t="s">
        <v>9219</v>
      </c>
      <c r="K3798" s="468" t="s">
        <v>9219</v>
      </c>
      <c r="L3798" s="468" t="s">
        <v>2354</v>
      </c>
    </row>
    <row r="3799" spans="1:12" x14ac:dyDescent="0.25">
      <c r="A3799" s="468" t="s">
        <v>220</v>
      </c>
      <c r="B3799" s="468" t="s">
        <v>5430</v>
      </c>
      <c r="C3799" s="468" t="s">
        <v>4945</v>
      </c>
      <c r="D3799" s="468" t="s">
        <v>8706</v>
      </c>
      <c r="F3799" s="470">
        <v>4</v>
      </c>
      <c r="G3799" s="468">
        <v>9.0999999999999998E-2</v>
      </c>
      <c r="H3799" s="479">
        <v>0.36399999999999999</v>
      </c>
      <c r="I3799" s="468" t="s">
        <v>9218</v>
      </c>
      <c r="J3799" s="468" t="s">
        <v>9219</v>
      </c>
      <c r="K3799" s="468" t="s">
        <v>9219</v>
      </c>
      <c r="L3799" s="468" t="s">
        <v>2354</v>
      </c>
    </row>
    <row r="3800" spans="1:12" x14ac:dyDescent="0.25">
      <c r="A3800" s="468" t="s">
        <v>220</v>
      </c>
      <c r="B3800" s="468" t="s">
        <v>5430</v>
      </c>
      <c r="C3800" s="468" t="s">
        <v>4959</v>
      </c>
      <c r="D3800" s="468" t="s">
        <v>8707</v>
      </c>
      <c r="F3800" s="470">
        <v>33</v>
      </c>
      <c r="G3800" s="468">
        <v>0.28199999999999997</v>
      </c>
      <c r="H3800" s="479">
        <v>9.3059999999999992</v>
      </c>
      <c r="I3800" s="468" t="s">
        <v>9218</v>
      </c>
      <c r="J3800" s="468" t="s">
        <v>9219</v>
      </c>
      <c r="K3800" s="468" t="s">
        <v>9219</v>
      </c>
      <c r="L3800" s="468" t="s">
        <v>2354</v>
      </c>
    </row>
    <row r="3801" spans="1:12" x14ac:dyDescent="0.25">
      <c r="A3801" s="468" t="s">
        <v>220</v>
      </c>
      <c r="B3801" s="468" t="s">
        <v>5430</v>
      </c>
      <c r="C3801" s="468" t="s">
        <v>4961</v>
      </c>
      <c r="D3801" s="468" t="s">
        <v>8708</v>
      </c>
      <c r="F3801" s="470">
        <v>21</v>
      </c>
      <c r="G3801" s="468">
        <v>1.331</v>
      </c>
      <c r="H3801" s="479">
        <v>27.951000000000001</v>
      </c>
      <c r="I3801" s="468" t="s">
        <v>9218</v>
      </c>
      <c r="J3801" s="468" t="s">
        <v>9219</v>
      </c>
      <c r="K3801" s="468" t="s">
        <v>9219</v>
      </c>
      <c r="L3801" s="468" t="s">
        <v>2354</v>
      </c>
    </row>
    <row r="3802" spans="1:12" x14ac:dyDescent="0.25">
      <c r="A3802" s="468" t="s">
        <v>220</v>
      </c>
      <c r="B3802" s="468" t="s">
        <v>5430</v>
      </c>
      <c r="C3802" s="468" t="s">
        <v>4963</v>
      </c>
      <c r="D3802" s="468" t="s">
        <v>8709</v>
      </c>
      <c r="F3802" s="470">
        <v>16</v>
      </c>
      <c r="G3802" s="468">
        <v>1.9410000000000001</v>
      </c>
      <c r="H3802" s="479">
        <v>31.056000000000001</v>
      </c>
      <c r="I3802" s="468" t="s">
        <v>9218</v>
      </c>
      <c r="J3802" s="468" t="s">
        <v>9219</v>
      </c>
      <c r="K3802" s="468" t="s">
        <v>9219</v>
      </c>
      <c r="L3802" s="468" t="s">
        <v>2354</v>
      </c>
    </row>
    <row r="3803" spans="1:12" x14ac:dyDescent="0.25">
      <c r="A3803" s="468" t="s">
        <v>220</v>
      </c>
      <c r="B3803" s="468" t="s">
        <v>5430</v>
      </c>
      <c r="C3803" s="468" t="s">
        <v>4965</v>
      </c>
      <c r="D3803" s="468" t="s">
        <v>8710</v>
      </c>
      <c r="F3803" s="470">
        <v>18</v>
      </c>
      <c r="G3803" s="468">
        <v>1.5629999999999999</v>
      </c>
      <c r="H3803" s="479">
        <v>28.134</v>
      </c>
      <c r="I3803" s="468" t="s">
        <v>9218</v>
      </c>
      <c r="J3803" s="468" t="s">
        <v>9219</v>
      </c>
      <c r="K3803" s="468" t="s">
        <v>9219</v>
      </c>
      <c r="L3803" s="468" t="s">
        <v>2354</v>
      </c>
    </row>
    <row r="3804" spans="1:12" x14ac:dyDescent="0.25">
      <c r="A3804" s="468" t="s">
        <v>220</v>
      </c>
      <c r="B3804" s="468" t="s">
        <v>5430</v>
      </c>
      <c r="C3804" s="468" t="s">
        <v>4967</v>
      </c>
      <c r="D3804" s="468" t="s">
        <v>8711</v>
      </c>
      <c r="F3804" s="470">
        <v>10</v>
      </c>
      <c r="G3804" s="468">
        <v>4.2560000000000002</v>
      </c>
      <c r="H3804" s="479">
        <v>42.56</v>
      </c>
      <c r="I3804" s="468" t="s">
        <v>9218</v>
      </c>
      <c r="J3804" s="468" t="s">
        <v>9219</v>
      </c>
      <c r="K3804" s="468" t="s">
        <v>9219</v>
      </c>
      <c r="L3804" s="468" t="s">
        <v>2354</v>
      </c>
    </row>
    <row r="3805" spans="1:12" x14ac:dyDescent="0.25">
      <c r="A3805" s="468" t="s">
        <v>220</v>
      </c>
      <c r="B3805" s="468" t="s">
        <v>5430</v>
      </c>
      <c r="C3805" s="468" t="s">
        <v>4969</v>
      </c>
      <c r="D3805" s="468" t="s">
        <v>8712</v>
      </c>
      <c r="F3805" s="470">
        <v>14</v>
      </c>
      <c r="G3805" s="468">
        <v>6.1120000000000001</v>
      </c>
      <c r="H3805" s="479">
        <v>85.567999999999998</v>
      </c>
      <c r="I3805" s="468" t="s">
        <v>9218</v>
      </c>
      <c r="J3805" s="468" t="s">
        <v>9219</v>
      </c>
      <c r="K3805" s="468" t="s">
        <v>9219</v>
      </c>
      <c r="L3805" s="468" t="s">
        <v>2354</v>
      </c>
    </row>
    <row r="3806" spans="1:12" x14ac:dyDescent="0.25">
      <c r="A3806" s="468" t="s">
        <v>220</v>
      </c>
      <c r="B3806" s="468" t="s">
        <v>5430</v>
      </c>
      <c r="C3806" s="468" t="s">
        <v>4971</v>
      </c>
      <c r="D3806" s="468" t="s">
        <v>8713</v>
      </c>
      <c r="F3806" s="470">
        <v>11</v>
      </c>
      <c r="G3806" s="468">
        <v>7.36</v>
      </c>
      <c r="H3806" s="479">
        <v>80.960000000000008</v>
      </c>
      <c r="I3806" s="468" t="s">
        <v>9218</v>
      </c>
      <c r="J3806" s="468" t="s">
        <v>9219</v>
      </c>
      <c r="K3806" s="468" t="s">
        <v>9219</v>
      </c>
      <c r="L3806" s="468" t="s">
        <v>2354</v>
      </c>
    </row>
    <row r="3807" spans="1:12" x14ac:dyDescent="0.25">
      <c r="A3807" s="468" t="s">
        <v>220</v>
      </c>
      <c r="B3807" s="468" t="s">
        <v>5430</v>
      </c>
      <c r="C3807" s="468" t="s">
        <v>4973</v>
      </c>
      <c r="D3807" s="468" t="s">
        <v>8714</v>
      </c>
      <c r="F3807" s="470">
        <v>290</v>
      </c>
      <c r="G3807" s="468">
        <v>7.0000000000000001E-3</v>
      </c>
      <c r="H3807" s="479">
        <v>2.0300000000000002</v>
      </c>
      <c r="I3807" s="468" t="s">
        <v>9218</v>
      </c>
      <c r="J3807" s="468" t="s">
        <v>9219</v>
      </c>
      <c r="K3807" s="468" t="s">
        <v>9219</v>
      </c>
      <c r="L3807" s="468" t="s">
        <v>2354</v>
      </c>
    </row>
    <row r="3808" spans="1:12" x14ac:dyDescent="0.25">
      <c r="A3808" s="468" t="s">
        <v>220</v>
      </c>
      <c r="B3808" s="468" t="s">
        <v>5430</v>
      </c>
      <c r="C3808" s="468" t="s">
        <v>4975</v>
      </c>
      <c r="D3808" s="468" t="s">
        <v>8715</v>
      </c>
      <c r="F3808" s="470">
        <v>920</v>
      </c>
      <c r="G3808" s="468">
        <v>1.4999999999999999E-2</v>
      </c>
      <c r="H3808" s="479">
        <v>13.799999999999999</v>
      </c>
      <c r="I3808" s="468" t="s">
        <v>9218</v>
      </c>
      <c r="J3808" s="468" t="s">
        <v>9219</v>
      </c>
      <c r="K3808" s="468" t="s">
        <v>9219</v>
      </c>
      <c r="L3808" s="468" t="s">
        <v>2354</v>
      </c>
    </row>
    <row r="3809" spans="1:12" x14ac:dyDescent="0.25">
      <c r="A3809" s="468" t="s">
        <v>220</v>
      </c>
      <c r="B3809" s="468" t="s">
        <v>5430</v>
      </c>
      <c r="C3809" s="468" t="s">
        <v>4977</v>
      </c>
      <c r="D3809" s="468" t="s">
        <v>8716</v>
      </c>
      <c r="F3809" s="470">
        <v>826</v>
      </c>
      <c r="G3809" s="468">
        <v>1.9E-2</v>
      </c>
      <c r="H3809" s="479">
        <v>15.693999999999999</v>
      </c>
      <c r="I3809" s="468" t="s">
        <v>9218</v>
      </c>
      <c r="J3809" s="468" t="s">
        <v>9219</v>
      </c>
      <c r="K3809" s="468" t="s">
        <v>9219</v>
      </c>
      <c r="L3809" s="468" t="s">
        <v>2354</v>
      </c>
    </row>
    <row r="3810" spans="1:12" x14ac:dyDescent="0.25">
      <c r="A3810" s="468" t="s">
        <v>220</v>
      </c>
      <c r="B3810" s="468" t="s">
        <v>5430</v>
      </c>
      <c r="C3810" s="468" t="s">
        <v>4979</v>
      </c>
      <c r="D3810" s="468" t="s">
        <v>8717</v>
      </c>
      <c r="F3810" s="470">
        <v>960</v>
      </c>
      <c r="G3810" s="468">
        <v>3.5999999999999997E-2</v>
      </c>
      <c r="H3810" s="479">
        <v>34.559999999999995</v>
      </c>
      <c r="I3810" s="468" t="s">
        <v>9218</v>
      </c>
      <c r="J3810" s="468" t="s">
        <v>9219</v>
      </c>
      <c r="K3810" s="468" t="s">
        <v>9219</v>
      </c>
      <c r="L3810" s="468" t="s">
        <v>2354</v>
      </c>
    </row>
    <row r="3811" spans="1:12" x14ac:dyDescent="0.25">
      <c r="A3811" s="468" t="s">
        <v>220</v>
      </c>
      <c r="B3811" s="468" t="s">
        <v>5430</v>
      </c>
      <c r="C3811" s="468" t="s">
        <v>4981</v>
      </c>
      <c r="D3811" s="468" t="s">
        <v>8718</v>
      </c>
      <c r="F3811" s="470">
        <v>884</v>
      </c>
      <c r="G3811" s="468">
        <v>7.8E-2</v>
      </c>
      <c r="H3811" s="479">
        <v>68.951999999999998</v>
      </c>
      <c r="I3811" s="468" t="s">
        <v>9218</v>
      </c>
      <c r="J3811" s="468" t="s">
        <v>9219</v>
      </c>
      <c r="K3811" s="468" t="s">
        <v>9219</v>
      </c>
      <c r="L3811" s="468" t="s">
        <v>2354</v>
      </c>
    </row>
    <row r="3812" spans="1:12" x14ac:dyDescent="0.25">
      <c r="A3812" s="468" t="s">
        <v>220</v>
      </c>
      <c r="B3812" s="468" t="s">
        <v>5430</v>
      </c>
      <c r="C3812" s="468" t="s">
        <v>4983</v>
      </c>
      <c r="D3812" s="468" t="s">
        <v>8719</v>
      </c>
      <c r="F3812" s="470">
        <v>394</v>
      </c>
      <c r="G3812" s="468">
        <v>0.129</v>
      </c>
      <c r="H3812" s="479">
        <v>50.826000000000001</v>
      </c>
      <c r="I3812" s="468" t="s">
        <v>9218</v>
      </c>
      <c r="J3812" s="468" t="s">
        <v>9219</v>
      </c>
      <c r="K3812" s="468" t="s">
        <v>9219</v>
      </c>
      <c r="L3812" s="468" t="s">
        <v>2354</v>
      </c>
    </row>
    <row r="3813" spans="1:12" x14ac:dyDescent="0.25">
      <c r="A3813" s="468" t="s">
        <v>220</v>
      </c>
      <c r="B3813" s="468" t="s">
        <v>5430</v>
      </c>
      <c r="C3813" s="468" t="s">
        <v>4985</v>
      </c>
      <c r="D3813" s="468" t="s">
        <v>8720</v>
      </c>
      <c r="F3813" s="470">
        <v>608</v>
      </c>
      <c r="G3813" s="468">
        <v>0.106</v>
      </c>
      <c r="H3813" s="479">
        <v>64.447999999999993</v>
      </c>
      <c r="I3813" s="468" t="s">
        <v>9218</v>
      </c>
      <c r="J3813" s="468" t="s">
        <v>9219</v>
      </c>
      <c r="K3813" s="468" t="s">
        <v>9219</v>
      </c>
      <c r="L3813" s="468" t="s">
        <v>2354</v>
      </c>
    </row>
    <row r="3814" spans="1:12" x14ac:dyDescent="0.25">
      <c r="A3814" s="468" t="s">
        <v>220</v>
      </c>
      <c r="B3814" s="468" t="s">
        <v>5430</v>
      </c>
      <c r="C3814" s="468" t="s">
        <v>7185</v>
      </c>
      <c r="D3814" s="468" t="s">
        <v>8721</v>
      </c>
      <c r="F3814" s="470">
        <v>100</v>
      </c>
      <c r="G3814" s="468">
        <v>0.17299999999999999</v>
      </c>
      <c r="H3814" s="479">
        <v>17.299999999999997</v>
      </c>
      <c r="I3814" s="468" t="s">
        <v>9218</v>
      </c>
      <c r="J3814" s="468" t="s">
        <v>9219</v>
      </c>
      <c r="K3814" s="468" t="s">
        <v>9219</v>
      </c>
      <c r="L3814" s="468" t="s">
        <v>2354</v>
      </c>
    </row>
    <row r="3815" spans="1:12" x14ac:dyDescent="0.25">
      <c r="A3815" s="468" t="s">
        <v>220</v>
      </c>
      <c r="B3815" s="468" t="s">
        <v>5430</v>
      </c>
      <c r="C3815" s="468" t="s">
        <v>5012</v>
      </c>
      <c r="D3815" s="468" t="s">
        <v>5013</v>
      </c>
      <c r="F3815" s="470">
        <v>110</v>
      </c>
      <c r="G3815" s="468">
        <v>2.8000000000000001E-2</v>
      </c>
      <c r="H3815" s="479">
        <v>3.08</v>
      </c>
      <c r="I3815" s="468" t="s">
        <v>9218</v>
      </c>
      <c r="J3815" s="468" t="s">
        <v>9219</v>
      </c>
      <c r="K3815" s="468" t="s">
        <v>9219</v>
      </c>
      <c r="L3815" s="468" t="s">
        <v>2354</v>
      </c>
    </row>
    <row r="3816" spans="1:12" x14ac:dyDescent="0.25">
      <c r="A3816" s="468" t="s">
        <v>220</v>
      </c>
      <c r="B3816" s="468" t="s">
        <v>5430</v>
      </c>
      <c r="C3816" s="468" t="s">
        <v>5014</v>
      </c>
      <c r="D3816" s="468" t="s">
        <v>8722</v>
      </c>
      <c r="F3816" s="470">
        <v>121</v>
      </c>
      <c r="G3816" s="468">
        <v>0.04</v>
      </c>
      <c r="H3816" s="479">
        <v>4.84</v>
      </c>
      <c r="I3816" s="468" t="s">
        <v>9218</v>
      </c>
      <c r="J3816" s="468" t="s">
        <v>9219</v>
      </c>
      <c r="K3816" s="468" t="s">
        <v>9219</v>
      </c>
      <c r="L3816" s="468" t="s">
        <v>2354</v>
      </c>
    </row>
    <row r="3817" spans="1:12" x14ac:dyDescent="0.25">
      <c r="A3817" s="468" t="s">
        <v>220</v>
      </c>
      <c r="B3817" s="468" t="s">
        <v>5430</v>
      </c>
      <c r="C3817" s="468" t="s">
        <v>8723</v>
      </c>
      <c r="D3817" s="468" t="s">
        <v>8724</v>
      </c>
      <c r="F3817" s="470">
        <v>100</v>
      </c>
      <c r="G3817" s="468">
        <v>0.14299999999999999</v>
      </c>
      <c r="H3817" s="479">
        <v>14.299999999999999</v>
      </c>
      <c r="I3817" s="468" t="s">
        <v>9218</v>
      </c>
      <c r="J3817" s="468" t="s">
        <v>9219</v>
      </c>
      <c r="K3817" s="468" t="s">
        <v>9219</v>
      </c>
      <c r="L3817" s="468" t="s">
        <v>2354</v>
      </c>
    </row>
    <row r="3818" spans="1:12" x14ac:dyDescent="0.25">
      <c r="A3818" s="468" t="s">
        <v>220</v>
      </c>
      <c r="B3818" s="468" t="s">
        <v>5430</v>
      </c>
      <c r="D3818" s="468" t="s">
        <v>9453</v>
      </c>
      <c r="F3818" s="470">
        <v>15</v>
      </c>
      <c r="G3818" s="468">
        <v>9.8279999999999994</v>
      </c>
      <c r="H3818" s="479">
        <v>147.41999999999999</v>
      </c>
      <c r="I3818" s="468" t="s">
        <v>9218</v>
      </c>
      <c r="J3818" s="468" t="s">
        <v>9219</v>
      </c>
      <c r="K3818" s="468" t="s">
        <v>9219</v>
      </c>
      <c r="L3818" s="468" t="s">
        <v>2354</v>
      </c>
    </row>
    <row r="3819" spans="1:12" x14ac:dyDescent="0.25">
      <c r="A3819" s="468" t="s">
        <v>220</v>
      </c>
      <c r="B3819" s="468" t="s">
        <v>5430</v>
      </c>
      <c r="C3819" s="468" t="s">
        <v>5050</v>
      </c>
      <c r="D3819" s="468" t="s">
        <v>8725</v>
      </c>
      <c r="F3819" s="470">
        <v>10</v>
      </c>
      <c r="G3819" s="468">
        <v>1.1359999999999999</v>
      </c>
      <c r="H3819" s="479">
        <v>11.36</v>
      </c>
      <c r="I3819" s="468" t="s">
        <v>9218</v>
      </c>
      <c r="J3819" s="468" t="s">
        <v>9219</v>
      </c>
      <c r="K3819" s="468" t="s">
        <v>9219</v>
      </c>
      <c r="L3819" s="468" t="s">
        <v>2354</v>
      </c>
    </row>
    <row r="3820" spans="1:12" x14ac:dyDescent="0.25">
      <c r="A3820" s="468" t="s">
        <v>220</v>
      </c>
      <c r="B3820" s="468" t="s">
        <v>5430</v>
      </c>
      <c r="C3820" s="468" t="s">
        <v>5054</v>
      </c>
      <c r="D3820" s="468" t="s">
        <v>8726</v>
      </c>
      <c r="F3820" s="470">
        <v>4</v>
      </c>
      <c r="G3820" s="468">
        <v>0.16800000000000001</v>
      </c>
      <c r="H3820" s="479">
        <v>0.67200000000000004</v>
      </c>
      <c r="I3820" s="468" t="s">
        <v>9218</v>
      </c>
      <c r="J3820" s="468" t="s">
        <v>9219</v>
      </c>
      <c r="K3820" s="468" t="s">
        <v>9219</v>
      </c>
      <c r="L3820" s="468" t="s">
        <v>2354</v>
      </c>
    </row>
    <row r="3821" spans="1:12" x14ac:dyDescent="0.25">
      <c r="A3821" s="468" t="s">
        <v>220</v>
      </c>
      <c r="B3821" s="468" t="s">
        <v>5430</v>
      </c>
      <c r="C3821" s="468" t="s">
        <v>8727</v>
      </c>
      <c r="D3821" s="468" t="s">
        <v>8728</v>
      </c>
      <c r="F3821" s="470">
        <v>61</v>
      </c>
      <c r="G3821" s="468">
        <v>1.8180000000000001</v>
      </c>
      <c r="H3821" s="479">
        <v>110.89800000000001</v>
      </c>
      <c r="I3821" s="468" t="s">
        <v>9218</v>
      </c>
      <c r="J3821" s="468" t="s">
        <v>9219</v>
      </c>
      <c r="K3821" s="468" t="s">
        <v>9219</v>
      </c>
      <c r="L3821" s="468" t="s">
        <v>2354</v>
      </c>
    </row>
    <row r="3822" spans="1:12" x14ac:dyDescent="0.25">
      <c r="A3822" s="468" t="s">
        <v>220</v>
      </c>
      <c r="B3822" s="468" t="s">
        <v>5430</v>
      </c>
      <c r="D3822" s="468" t="s">
        <v>9454</v>
      </c>
      <c r="F3822" s="470">
        <v>104</v>
      </c>
      <c r="G3822" s="468">
        <v>0.14799999999999999</v>
      </c>
      <c r="H3822" s="479">
        <v>15.391999999999999</v>
      </c>
      <c r="I3822" s="468" t="s">
        <v>9218</v>
      </c>
      <c r="J3822" s="468" t="s">
        <v>9219</v>
      </c>
      <c r="K3822" s="468" t="s">
        <v>9219</v>
      </c>
      <c r="L3822" s="468" t="s">
        <v>2354</v>
      </c>
    </row>
    <row r="3823" spans="1:12" x14ac:dyDescent="0.25">
      <c r="A3823" s="468" t="s">
        <v>220</v>
      </c>
      <c r="B3823" s="468" t="s">
        <v>5430</v>
      </c>
      <c r="C3823" s="468" t="s">
        <v>7189</v>
      </c>
      <c r="D3823" s="468" t="s">
        <v>8729</v>
      </c>
      <c r="F3823" s="470">
        <v>4</v>
      </c>
      <c r="G3823" s="468">
        <v>2.1949999999999998</v>
      </c>
      <c r="H3823" s="479">
        <v>8.7799999999999994</v>
      </c>
      <c r="I3823" s="468" t="s">
        <v>9218</v>
      </c>
      <c r="J3823" s="468" t="s">
        <v>9219</v>
      </c>
      <c r="K3823" s="468" t="s">
        <v>9219</v>
      </c>
      <c r="L3823" s="468" t="s">
        <v>2354</v>
      </c>
    </row>
    <row r="3824" spans="1:12" x14ac:dyDescent="0.25">
      <c r="A3824" s="468" t="s">
        <v>220</v>
      </c>
      <c r="B3824" s="468" t="s">
        <v>5430</v>
      </c>
      <c r="C3824" s="468" t="s">
        <v>5066</v>
      </c>
      <c r="D3824" s="468" t="s">
        <v>8730</v>
      </c>
      <c r="F3824" s="470">
        <v>83</v>
      </c>
      <c r="G3824" s="468">
        <v>0.32100000000000001</v>
      </c>
      <c r="H3824" s="479">
        <v>26.643000000000001</v>
      </c>
      <c r="I3824" s="468" t="s">
        <v>9218</v>
      </c>
      <c r="J3824" s="468" t="s">
        <v>9219</v>
      </c>
      <c r="K3824" s="468" t="s">
        <v>9219</v>
      </c>
      <c r="L3824" s="468" t="s">
        <v>2354</v>
      </c>
    </row>
    <row r="3825" spans="1:12" x14ac:dyDescent="0.25">
      <c r="A3825" s="468" t="s">
        <v>220</v>
      </c>
      <c r="B3825" s="468" t="s">
        <v>5430</v>
      </c>
      <c r="C3825" s="468" t="s">
        <v>7194</v>
      </c>
      <c r="D3825" s="468" t="s">
        <v>8731</v>
      </c>
      <c r="F3825" s="470">
        <v>60</v>
      </c>
      <c r="G3825" s="468">
        <v>0.34699999999999998</v>
      </c>
      <c r="H3825" s="479">
        <v>20.82</v>
      </c>
      <c r="I3825" s="468" t="s">
        <v>9218</v>
      </c>
      <c r="J3825" s="468" t="s">
        <v>9219</v>
      </c>
      <c r="K3825" s="468" t="s">
        <v>9219</v>
      </c>
      <c r="L3825" s="468" t="s">
        <v>2354</v>
      </c>
    </row>
    <row r="3826" spans="1:12" x14ac:dyDescent="0.25">
      <c r="A3826" s="468" t="s">
        <v>220</v>
      </c>
      <c r="B3826" s="468" t="s">
        <v>5430</v>
      </c>
      <c r="C3826" s="468" t="s">
        <v>7196</v>
      </c>
      <c r="D3826" s="468" t="s">
        <v>8732</v>
      </c>
      <c r="F3826" s="470">
        <v>11</v>
      </c>
      <c r="G3826" s="468">
        <v>0.25800000000000001</v>
      </c>
      <c r="H3826" s="479">
        <v>2.8380000000000001</v>
      </c>
      <c r="I3826" s="468" t="s">
        <v>9218</v>
      </c>
      <c r="J3826" s="468" t="s">
        <v>9219</v>
      </c>
      <c r="K3826" s="468" t="s">
        <v>9219</v>
      </c>
      <c r="L3826" s="468" t="s">
        <v>2354</v>
      </c>
    </row>
    <row r="3827" spans="1:12" x14ac:dyDescent="0.25">
      <c r="A3827" s="468" t="s">
        <v>220</v>
      </c>
      <c r="B3827" s="468" t="s">
        <v>5430</v>
      </c>
      <c r="C3827" s="468" t="s">
        <v>7198</v>
      </c>
      <c r="D3827" s="468" t="s">
        <v>8733</v>
      </c>
      <c r="F3827" s="470">
        <v>100</v>
      </c>
      <c r="G3827" s="468">
        <v>0.18</v>
      </c>
      <c r="H3827" s="479">
        <v>18</v>
      </c>
      <c r="I3827" s="468" t="s">
        <v>9218</v>
      </c>
      <c r="J3827" s="468" t="s">
        <v>9219</v>
      </c>
      <c r="K3827" s="468" t="s">
        <v>9219</v>
      </c>
      <c r="L3827" s="468" t="s">
        <v>2354</v>
      </c>
    </row>
    <row r="3828" spans="1:12" x14ac:dyDescent="0.25">
      <c r="A3828" s="468" t="s">
        <v>220</v>
      </c>
      <c r="B3828" s="468" t="s">
        <v>5430</v>
      </c>
      <c r="C3828" s="468" t="s">
        <v>5080</v>
      </c>
      <c r="D3828" s="468" t="s">
        <v>8734</v>
      </c>
      <c r="F3828" s="470">
        <v>8</v>
      </c>
      <c r="G3828" s="468">
        <v>17.158999999999999</v>
      </c>
      <c r="H3828" s="479">
        <v>137.27199999999999</v>
      </c>
      <c r="I3828" s="468" t="s">
        <v>9218</v>
      </c>
      <c r="J3828" s="468" t="s">
        <v>9219</v>
      </c>
      <c r="K3828" s="468" t="s">
        <v>9219</v>
      </c>
      <c r="L3828" s="468" t="s">
        <v>2354</v>
      </c>
    </row>
    <row r="3829" spans="1:12" x14ac:dyDescent="0.25">
      <c r="A3829" s="468" t="s">
        <v>220</v>
      </c>
      <c r="B3829" s="468" t="s">
        <v>5430</v>
      </c>
      <c r="C3829" s="468" t="s">
        <v>5082</v>
      </c>
      <c r="D3829" s="468" t="s">
        <v>8735</v>
      </c>
      <c r="F3829" s="470">
        <v>6</v>
      </c>
      <c r="G3829" s="468">
        <v>22.751999999999999</v>
      </c>
      <c r="H3829" s="479">
        <v>136.512</v>
      </c>
      <c r="I3829" s="468" t="s">
        <v>9218</v>
      </c>
      <c r="J3829" s="468" t="s">
        <v>9219</v>
      </c>
      <c r="K3829" s="468" t="s">
        <v>9219</v>
      </c>
      <c r="L3829" s="468" t="s">
        <v>2354</v>
      </c>
    </row>
    <row r="3830" spans="1:12" x14ac:dyDescent="0.25">
      <c r="A3830" s="468" t="s">
        <v>220</v>
      </c>
      <c r="B3830" s="468" t="s">
        <v>5430</v>
      </c>
      <c r="C3830" s="468" t="s">
        <v>7200</v>
      </c>
      <c r="D3830" s="468" t="s">
        <v>8736</v>
      </c>
      <c r="F3830" s="470">
        <v>40</v>
      </c>
      <c r="G3830" s="468">
        <v>0.29799999999999999</v>
      </c>
      <c r="H3830" s="479">
        <v>11.92</v>
      </c>
      <c r="I3830" s="468" t="s">
        <v>9218</v>
      </c>
      <c r="J3830" s="468" t="s">
        <v>9219</v>
      </c>
      <c r="K3830" s="468" t="s">
        <v>9219</v>
      </c>
      <c r="L3830" s="468" t="s">
        <v>2354</v>
      </c>
    </row>
    <row r="3831" spans="1:12" x14ac:dyDescent="0.25">
      <c r="A3831" s="468" t="s">
        <v>220</v>
      </c>
      <c r="B3831" s="468" t="s">
        <v>5430</v>
      </c>
      <c r="C3831" s="468" t="s">
        <v>7202</v>
      </c>
      <c r="D3831" s="468" t="s">
        <v>8737</v>
      </c>
      <c r="F3831" s="470">
        <v>71</v>
      </c>
      <c r="G3831" s="468">
        <v>3.3690000000000002</v>
      </c>
      <c r="H3831" s="479">
        <v>239.19900000000001</v>
      </c>
      <c r="I3831" s="468" t="s">
        <v>9218</v>
      </c>
      <c r="J3831" s="468" t="s">
        <v>9219</v>
      </c>
      <c r="K3831" s="468" t="s">
        <v>9219</v>
      </c>
      <c r="L3831" s="468" t="s">
        <v>2354</v>
      </c>
    </row>
    <row r="3832" spans="1:12" x14ac:dyDescent="0.25">
      <c r="A3832" s="468" t="s">
        <v>220</v>
      </c>
      <c r="B3832" s="468" t="s">
        <v>5430</v>
      </c>
      <c r="C3832" s="468" t="s">
        <v>7204</v>
      </c>
      <c r="D3832" s="468" t="s">
        <v>8738</v>
      </c>
      <c r="F3832" s="470">
        <v>29</v>
      </c>
      <c r="G3832" s="468">
        <v>0.42599999999999999</v>
      </c>
      <c r="H3832" s="479">
        <v>12.353999999999999</v>
      </c>
      <c r="I3832" s="468" t="s">
        <v>9218</v>
      </c>
      <c r="J3832" s="468" t="s">
        <v>9219</v>
      </c>
      <c r="K3832" s="468" t="s">
        <v>9219</v>
      </c>
      <c r="L3832" s="468" t="s">
        <v>2354</v>
      </c>
    </row>
    <row r="3833" spans="1:12" x14ac:dyDescent="0.25">
      <c r="A3833" s="468" t="s">
        <v>220</v>
      </c>
      <c r="B3833" s="468" t="s">
        <v>5430</v>
      </c>
      <c r="C3833" s="468" t="s">
        <v>7206</v>
      </c>
      <c r="D3833" s="468" t="s">
        <v>8739</v>
      </c>
      <c r="F3833" s="470">
        <v>37</v>
      </c>
      <c r="G3833" s="468">
        <v>2.8079999999999998</v>
      </c>
      <c r="H3833" s="479">
        <v>103.89599999999999</v>
      </c>
      <c r="I3833" s="468" t="s">
        <v>9218</v>
      </c>
      <c r="J3833" s="468" t="s">
        <v>9219</v>
      </c>
      <c r="K3833" s="468" t="s">
        <v>9219</v>
      </c>
      <c r="L3833" s="468" t="s">
        <v>2354</v>
      </c>
    </row>
    <row r="3834" spans="1:12" x14ac:dyDescent="0.25">
      <c r="A3834" s="468" t="s">
        <v>220</v>
      </c>
      <c r="B3834" s="468" t="s">
        <v>5430</v>
      </c>
      <c r="C3834" s="468" t="s">
        <v>5092</v>
      </c>
      <c r="D3834" s="468" t="s">
        <v>8740</v>
      </c>
      <c r="F3834" s="470">
        <v>8</v>
      </c>
      <c r="G3834" s="468">
        <v>6.4870000000000001</v>
      </c>
      <c r="H3834" s="479">
        <v>51.896000000000001</v>
      </c>
      <c r="I3834" s="468" t="s">
        <v>9218</v>
      </c>
      <c r="J3834" s="468" t="s">
        <v>9219</v>
      </c>
      <c r="K3834" s="468" t="s">
        <v>9219</v>
      </c>
      <c r="L3834" s="468" t="s">
        <v>2354</v>
      </c>
    </row>
    <row r="3835" spans="1:12" x14ac:dyDescent="0.25">
      <c r="A3835" s="468" t="s">
        <v>220</v>
      </c>
      <c r="B3835" s="468" t="s">
        <v>5430</v>
      </c>
      <c r="C3835" s="468" t="s">
        <v>5116</v>
      </c>
      <c r="D3835" s="468" t="s">
        <v>8741</v>
      </c>
      <c r="F3835" s="470">
        <v>100</v>
      </c>
      <c r="G3835" s="468">
        <v>5.1999999999999998E-2</v>
      </c>
      <c r="H3835" s="479">
        <v>5.2</v>
      </c>
      <c r="I3835" s="468" t="s">
        <v>9218</v>
      </c>
      <c r="J3835" s="468" t="s">
        <v>9219</v>
      </c>
      <c r="K3835" s="468" t="s">
        <v>9219</v>
      </c>
      <c r="L3835" s="468" t="s">
        <v>2354</v>
      </c>
    </row>
    <row r="3836" spans="1:12" x14ac:dyDescent="0.25">
      <c r="A3836" s="468" t="s">
        <v>220</v>
      </c>
      <c r="B3836" s="468" t="s">
        <v>5430</v>
      </c>
      <c r="C3836" s="468" t="s">
        <v>5118</v>
      </c>
      <c r="D3836" s="468" t="s">
        <v>8742</v>
      </c>
      <c r="F3836" s="470">
        <v>6</v>
      </c>
      <c r="G3836" s="468">
        <v>33.947000000000003</v>
      </c>
      <c r="H3836" s="479">
        <v>203.68200000000002</v>
      </c>
      <c r="I3836" s="468" t="s">
        <v>9218</v>
      </c>
      <c r="J3836" s="468" t="s">
        <v>9219</v>
      </c>
      <c r="K3836" s="468" t="s">
        <v>9219</v>
      </c>
      <c r="L3836" s="468" t="s">
        <v>2354</v>
      </c>
    </row>
    <row r="3837" spans="1:12" x14ac:dyDescent="0.25">
      <c r="A3837" s="468" t="s">
        <v>220</v>
      </c>
      <c r="B3837" s="468" t="s">
        <v>5430</v>
      </c>
      <c r="C3837" s="468" t="s">
        <v>5120</v>
      </c>
      <c r="D3837" s="468" t="s">
        <v>8743</v>
      </c>
      <c r="F3837" s="470">
        <v>100</v>
      </c>
      <c r="G3837" s="468">
        <v>0.25800000000000001</v>
      </c>
      <c r="H3837" s="479">
        <v>25.8</v>
      </c>
      <c r="I3837" s="468" t="s">
        <v>9218</v>
      </c>
      <c r="J3837" s="468" t="s">
        <v>9219</v>
      </c>
      <c r="K3837" s="468" t="s">
        <v>9219</v>
      </c>
      <c r="L3837" s="468" t="s">
        <v>2354</v>
      </c>
    </row>
    <row r="3838" spans="1:12" x14ac:dyDescent="0.25">
      <c r="A3838" s="468" t="s">
        <v>220</v>
      </c>
      <c r="B3838" s="468" t="s">
        <v>5430</v>
      </c>
      <c r="C3838" s="468" t="s">
        <v>8744</v>
      </c>
      <c r="D3838" s="468" t="s">
        <v>8745</v>
      </c>
      <c r="F3838" s="470">
        <v>20</v>
      </c>
      <c r="G3838" s="468">
        <v>1.2310000000000001</v>
      </c>
      <c r="H3838" s="479">
        <v>24.62</v>
      </c>
      <c r="I3838" s="468" t="s">
        <v>9218</v>
      </c>
      <c r="J3838" s="468" t="s">
        <v>9219</v>
      </c>
      <c r="K3838" s="468" t="s">
        <v>9219</v>
      </c>
      <c r="L3838" s="468" t="s">
        <v>2354</v>
      </c>
    </row>
    <row r="3839" spans="1:12" x14ac:dyDescent="0.25">
      <c r="A3839" s="468" t="s">
        <v>220</v>
      </c>
      <c r="B3839" s="468" t="s">
        <v>5430</v>
      </c>
      <c r="C3839" s="468" t="s">
        <v>8746</v>
      </c>
      <c r="D3839" s="468" t="s">
        <v>8747</v>
      </c>
      <c r="F3839" s="470">
        <v>49</v>
      </c>
      <c r="G3839" s="468">
        <v>3.7</v>
      </c>
      <c r="H3839" s="479">
        <v>181.3</v>
      </c>
      <c r="I3839" s="468" t="s">
        <v>9218</v>
      </c>
      <c r="J3839" s="468" t="s">
        <v>9219</v>
      </c>
      <c r="K3839" s="468" t="s">
        <v>9219</v>
      </c>
      <c r="L3839" s="468" t="s">
        <v>2354</v>
      </c>
    </row>
    <row r="3840" spans="1:12" x14ac:dyDescent="0.25">
      <c r="A3840" s="468" t="s">
        <v>220</v>
      </c>
      <c r="B3840" s="468" t="s">
        <v>5430</v>
      </c>
      <c r="C3840" s="468" t="s">
        <v>5138</v>
      </c>
      <c r="D3840" s="468" t="s">
        <v>8748</v>
      </c>
      <c r="F3840" s="470">
        <v>15</v>
      </c>
      <c r="G3840" s="468">
        <v>8.1000000000000003E-2</v>
      </c>
      <c r="H3840" s="479">
        <v>1.2150000000000001</v>
      </c>
      <c r="I3840" s="468" t="s">
        <v>9218</v>
      </c>
      <c r="J3840" s="468" t="s">
        <v>9219</v>
      </c>
      <c r="K3840" s="468" t="s">
        <v>9219</v>
      </c>
      <c r="L3840" s="468" t="s">
        <v>2354</v>
      </c>
    </row>
    <row r="3841" spans="1:12" x14ac:dyDescent="0.25">
      <c r="A3841" s="468" t="s">
        <v>220</v>
      </c>
      <c r="B3841" s="468" t="s">
        <v>5430</v>
      </c>
      <c r="C3841" s="468" t="s">
        <v>5142</v>
      </c>
      <c r="D3841" s="468" t="s">
        <v>8749</v>
      </c>
      <c r="F3841" s="470">
        <v>191</v>
      </c>
      <c r="G3841" s="468">
        <v>6.2290000000000001</v>
      </c>
      <c r="H3841" s="479">
        <v>1189.739</v>
      </c>
      <c r="I3841" s="468" t="s">
        <v>9218</v>
      </c>
      <c r="J3841" s="468" t="s">
        <v>9219</v>
      </c>
      <c r="K3841" s="468" t="s">
        <v>9219</v>
      </c>
      <c r="L3841" s="468" t="s">
        <v>2354</v>
      </c>
    </row>
    <row r="3842" spans="1:12" x14ac:dyDescent="0.25">
      <c r="A3842" s="468" t="s">
        <v>220</v>
      </c>
      <c r="B3842" s="468" t="s">
        <v>5430</v>
      </c>
      <c r="C3842" s="468" t="s">
        <v>8750</v>
      </c>
      <c r="D3842" s="468" t="s">
        <v>8751</v>
      </c>
      <c r="F3842" s="470">
        <v>11</v>
      </c>
      <c r="G3842" s="468">
        <v>14.132</v>
      </c>
      <c r="H3842" s="479">
        <v>155.452</v>
      </c>
      <c r="I3842" s="468" t="s">
        <v>9218</v>
      </c>
      <c r="J3842" s="468" t="s">
        <v>9219</v>
      </c>
      <c r="K3842" s="468" t="s">
        <v>9219</v>
      </c>
      <c r="L3842" s="468" t="s">
        <v>2354</v>
      </c>
    </row>
    <row r="3843" spans="1:12" x14ac:dyDescent="0.25">
      <c r="A3843" s="468" t="s">
        <v>220</v>
      </c>
      <c r="B3843" s="468" t="s">
        <v>5430</v>
      </c>
      <c r="C3843" s="468" t="s">
        <v>7210</v>
      </c>
      <c r="D3843" s="468" t="s">
        <v>8752</v>
      </c>
      <c r="F3843" s="470">
        <v>200</v>
      </c>
      <c r="G3843" s="468">
        <v>2.4729999999999999</v>
      </c>
      <c r="H3843" s="479">
        <v>494.59999999999997</v>
      </c>
      <c r="I3843" s="468" t="s">
        <v>9218</v>
      </c>
      <c r="J3843" s="468" t="s">
        <v>9219</v>
      </c>
      <c r="K3843" s="468" t="s">
        <v>9219</v>
      </c>
      <c r="L3843" s="468" t="s">
        <v>2354</v>
      </c>
    </row>
    <row r="3844" spans="1:12" x14ac:dyDescent="0.25">
      <c r="A3844" s="468" t="s">
        <v>220</v>
      </c>
      <c r="B3844" s="468" t="s">
        <v>5430</v>
      </c>
      <c r="C3844" s="468" t="s">
        <v>7212</v>
      </c>
      <c r="D3844" s="468" t="s">
        <v>8753</v>
      </c>
      <c r="F3844" s="470">
        <v>638</v>
      </c>
      <c r="G3844" s="468">
        <v>0.85799999999999998</v>
      </c>
      <c r="H3844" s="479">
        <v>547.404</v>
      </c>
      <c r="I3844" s="468" t="s">
        <v>9218</v>
      </c>
      <c r="J3844" s="468" t="s">
        <v>9219</v>
      </c>
      <c r="K3844" s="468" t="s">
        <v>9219</v>
      </c>
      <c r="L3844" s="468" t="s">
        <v>2354</v>
      </c>
    </row>
    <row r="3845" spans="1:12" x14ac:dyDescent="0.25">
      <c r="A3845" s="468" t="s">
        <v>220</v>
      </c>
      <c r="B3845" s="468" t="s">
        <v>5430</v>
      </c>
      <c r="C3845" s="468" t="s">
        <v>5146</v>
      </c>
      <c r="D3845" s="468" t="s">
        <v>8754</v>
      </c>
      <c r="F3845" s="470">
        <v>60</v>
      </c>
      <c r="G3845" s="468">
        <v>0.874</v>
      </c>
      <c r="H3845" s="479">
        <v>52.44</v>
      </c>
      <c r="I3845" s="468" t="s">
        <v>9218</v>
      </c>
      <c r="J3845" s="468" t="s">
        <v>9219</v>
      </c>
      <c r="K3845" s="468" t="s">
        <v>9219</v>
      </c>
      <c r="L3845" s="468" t="s">
        <v>2354</v>
      </c>
    </row>
    <row r="3846" spans="1:12" x14ac:dyDescent="0.25">
      <c r="A3846" s="468" t="s">
        <v>220</v>
      </c>
      <c r="B3846" s="468" t="s">
        <v>5430</v>
      </c>
      <c r="C3846" s="468" t="s">
        <v>5156</v>
      </c>
      <c r="D3846" s="468" t="s">
        <v>8755</v>
      </c>
      <c r="F3846" s="470">
        <v>6</v>
      </c>
      <c r="G3846" s="468">
        <v>47.826999999999998</v>
      </c>
      <c r="H3846" s="479">
        <v>286.96199999999999</v>
      </c>
      <c r="I3846" s="468" t="s">
        <v>9218</v>
      </c>
      <c r="J3846" s="468" t="s">
        <v>9219</v>
      </c>
      <c r="K3846" s="468" t="s">
        <v>9219</v>
      </c>
      <c r="L3846" s="468" t="s">
        <v>2354</v>
      </c>
    </row>
    <row r="3847" spans="1:12" x14ac:dyDescent="0.25">
      <c r="A3847" s="468" t="s">
        <v>220</v>
      </c>
      <c r="B3847" s="468" t="s">
        <v>5430</v>
      </c>
      <c r="C3847" s="468" t="s">
        <v>7216</v>
      </c>
      <c r="D3847" s="468" t="s">
        <v>8756</v>
      </c>
      <c r="F3847" s="470">
        <v>100</v>
      </c>
      <c r="G3847" s="468">
        <v>0.95699999999999996</v>
      </c>
      <c r="H3847" s="479">
        <v>95.7</v>
      </c>
      <c r="I3847" s="468" t="s">
        <v>9218</v>
      </c>
      <c r="J3847" s="468" t="s">
        <v>9219</v>
      </c>
      <c r="K3847" s="468" t="s">
        <v>9219</v>
      </c>
      <c r="L3847" s="468" t="s">
        <v>2354</v>
      </c>
    </row>
    <row r="3848" spans="1:12" x14ac:dyDescent="0.25">
      <c r="A3848" s="468" t="s">
        <v>220</v>
      </c>
      <c r="B3848" s="468" t="s">
        <v>5430</v>
      </c>
      <c r="C3848" s="468" t="s">
        <v>7218</v>
      </c>
      <c r="D3848" s="468" t="s">
        <v>8620</v>
      </c>
      <c r="F3848" s="470">
        <v>100</v>
      </c>
      <c r="G3848" s="468">
        <v>2.25</v>
      </c>
      <c r="H3848" s="479">
        <v>225</v>
      </c>
      <c r="I3848" s="468" t="s">
        <v>9218</v>
      </c>
      <c r="J3848" s="468" t="s">
        <v>9219</v>
      </c>
      <c r="K3848" s="468" t="s">
        <v>9219</v>
      </c>
      <c r="L3848" s="468" t="s">
        <v>2354</v>
      </c>
    </row>
    <row r="3849" spans="1:12" x14ac:dyDescent="0.25">
      <c r="A3849" s="468" t="s">
        <v>220</v>
      </c>
      <c r="B3849" s="468" t="s">
        <v>5430</v>
      </c>
      <c r="C3849" s="468" t="s">
        <v>7219</v>
      </c>
      <c r="D3849" s="468" t="s">
        <v>8757</v>
      </c>
      <c r="F3849" s="470">
        <v>50</v>
      </c>
      <c r="G3849" s="468">
        <v>2.65</v>
      </c>
      <c r="H3849" s="479">
        <v>132.5</v>
      </c>
      <c r="I3849" s="468" t="s">
        <v>9218</v>
      </c>
      <c r="J3849" s="468" t="s">
        <v>9219</v>
      </c>
      <c r="K3849" s="468" t="s">
        <v>9219</v>
      </c>
      <c r="L3849" s="468" t="s">
        <v>2354</v>
      </c>
    </row>
    <row r="3850" spans="1:12" x14ac:dyDescent="0.25">
      <c r="A3850" s="468" t="s">
        <v>220</v>
      </c>
      <c r="B3850" s="468" t="s">
        <v>5430</v>
      </c>
      <c r="C3850" s="468" t="s">
        <v>7221</v>
      </c>
      <c r="D3850" s="468" t="s">
        <v>8758</v>
      </c>
      <c r="F3850" s="470">
        <v>48</v>
      </c>
      <c r="G3850" s="468">
        <v>2.15</v>
      </c>
      <c r="H3850" s="479">
        <v>103.19999999999999</v>
      </c>
      <c r="I3850" s="468" t="s">
        <v>9218</v>
      </c>
      <c r="J3850" s="468" t="s">
        <v>9219</v>
      </c>
      <c r="K3850" s="468" t="s">
        <v>9219</v>
      </c>
      <c r="L3850" s="468" t="s">
        <v>2354</v>
      </c>
    </row>
    <row r="3851" spans="1:12" x14ac:dyDescent="0.25">
      <c r="A3851" s="468" t="s">
        <v>220</v>
      </c>
      <c r="B3851" s="468" t="s">
        <v>5430</v>
      </c>
      <c r="C3851" s="468" t="s">
        <v>7223</v>
      </c>
      <c r="D3851" s="468" t="s">
        <v>8759</v>
      </c>
      <c r="F3851" s="470">
        <v>50</v>
      </c>
      <c r="G3851" s="468">
        <v>2.95</v>
      </c>
      <c r="H3851" s="479">
        <v>147.5</v>
      </c>
      <c r="I3851" s="468" t="s">
        <v>9218</v>
      </c>
      <c r="J3851" s="468" t="s">
        <v>9219</v>
      </c>
      <c r="K3851" s="468" t="s">
        <v>9219</v>
      </c>
      <c r="L3851" s="468" t="s">
        <v>2354</v>
      </c>
    </row>
    <row r="3852" spans="1:12" x14ac:dyDescent="0.25">
      <c r="A3852" s="468" t="s">
        <v>220</v>
      </c>
      <c r="B3852" s="468" t="s">
        <v>5430</v>
      </c>
      <c r="C3852" s="468" t="s">
        <v>7233</v>
      </c>
      <c r="D3852" s="468" t="s">
        <v>8760</v>
      </c>
      <c r="F3852" s="470">
        <v>1</v>
      </c>
      <c r="G3852" s="468">
        <v>0.54900000000000004</v>
      </c>
      <c r="H3852" s="479">
        <v>0.54900000000000004</v>
      </c>
      <c r="I3852" s="468" t="s">
        <v>9218</v>
      </c>
      <c r="J3852" s="468" t="s">
        <v>9219</v>
      </c>
      <c r="K3852" s="468" t="s">
        <v>9219</v>
      </c>
      <c r="L3852" s="468" t="s">
        <v>2354</v>
      </c>
    </row>
    <row r="3853" spans="1:12" x14ac:dyDescent="0.25">
      <c r="A3853" s="468" t="s">
        <v>220</v>
      </c>
      <c r="B3853" s="468" t="s">
        <v>5430</v>
      </c>
      <c r="C3853" s="468" t="s">
        <v>7237</v>
      </c>
      <c r="D3853" s="468" t="s">
        <v>8761</v>
      </c>
      <c r="F3853" s="470">
        <v>83</v>
      </c>
      <c r="G3853" s="468">
        <v>1.972</v>
      </c>
      <c r="H3853" s="479">
        <v>163.67599999999999</v>
      </c>
      <c r="I3853" s="468" t="s">
        <v>9218</v>
      </c>
      <c r="J3853" s="468" t="s">
        <v>9219</v>
      </c>
      <c r="K3853" s="468" t="s">
        <v>9219</v>
      </c>
      <c r="L3853" s="468" t="s">
        <v>2354</v>
      </c>
    </row>
    <row r="3854" spans="1:12" x14ac:dyDescent="0.25">
      <c r="A3854" s="468" t="s">
        <v>220</v>
      </c>
      <c r="B3854" s="468" t="s">
        <v>5430</v>
      </c>
      <c r="C3854" s="468" t="s">
        <v>8762</v>
      </c>
      <c r="D3854" s="468" t="s">
        <v>8763</v>
      </c>
      <c r="F3854" s="470">
        <v>1</v>
      </c>
      <c r="G3854" s="468">
        <v>2.218</v>
      </c>
      <c r="H3854" s="479">
        <v>2.218</v>
      </c>
      <c r="I3854" s="468" t="s">
        <v>9218</v>
      </c>
      <c r="J3854" s="468" t="s">
        <v>9219</v>
      </c>
      <c r="K3854" s="468" t="s">
        <v>9219</v>
      </c>
      <c r="L3854" s="468" t="s">
        <v>2354</v>
      </c>
    </row>
    <row r="3855" spans="1:12" x14ac:dyDescent="0.25">
      <c r="A3855" s="468" t="s">
        <v>220</v>
      </c>
      <c r="B3855" s="468" t="s">
        <v>5430</v>
      </c>
      <c r="C3855" s="468" t="s">
        <v>7239</v>
      </c>
      <c r="D3855" s="468" t="s">
        <v>8764</v>
      </c>
      <c r="F3855" s="470">
        <v>5</v>
      </c>
      <c r="G3855" s="468">
        <v>17.922000000000001</v>
      </c>
      <c r="H3855" s="479">
        <v>89.61</v>
      </c>
      <c r="I3855" s="468" t="s">
        <v>9218</v>
      </c>
      <c r="J3855" s="468" t="s">
        <v>9219</v>
      </c>
      <c r="K3855" s="468" t="s">
        <v>9219</v>
      </c>
      <c r="L3855" s="468" t="s">
        <v>2354</v>
      </c>
    </row>
    <row r="3856" spans="1:12" x14ac:dyDescent="0.25">
      <c r="A3856" s="468" t="s">
        <v>220</v>
      </c>
      <c r="B3856" s="468" t="s">
        <v>5430</v>
      </c>
      <c r="C3856" s="468" t="s">
        <v>5160</v>
      </c>
      <c r="D3856" s="468" t="s">
        <v>5161</v>
      </c>
      <c r="F3856" s="470">
        <v>2.7</v>
      </c>
      <c r="G3856" s="468">
        <v>7.4459999999999997</v>
      </c>
      <c r="H3856" s="479">
        <v>20.104200000000002</v>
      </c>
      <c r="I3856" s="468" t="s">
        <v>9218</v>
      </c>
      <c r="J3856" s="468" t="s">
        <v>9219</v>
      </c>
      <c r="K3856" s="468" t="s">
        <v>9219</v>
      </c>
      <c r="L3856" s="468" t="s">
        <v>2354</v>
      </c>
    </row>
    <row r="3857" spans="1:12" x14ac:dyDescent="0.25">
      <c r="A3857" s="468" t="s">
        <v>220</v>
      </c>
      <c r="B3857" s="468" t="s">
        <v>5430</v>
      </c>
      <c r="C3857" s="468" t="s">
        <v>7242</v>
      </c>
      <c r="D3857" s="468" t="s">
        <v>8765</v>
      </c>
      <c r="F3857" s="470">
        <v>5.7</v>
      </c>
      <c r="G3857" s="468">
        <v>10.862</v>
      </c>
      <c r="H3857" s="479">
        <v>61.913400000000003</v>
      </c>
      <c r="I3857" s="468" t="s">
        <v>9218</v>
      </c>
      <c r="J3857" s="468" t="s">
        <v>9219</v>
      </c>
      <c r="K3857" s="468" t="s">
        <v>9219</v>
      </c>
      <c r="L3857" s="468" t="s">
        <v>2354</v>
      </c>
    </row>
    <row r="3858" spans="1:12" x14ac:dyDescent="0.25">
      <c r="A3858" s="468" t="s">
        <v>220</v>
      </c>
      <c r="B3858" s="468" t="s">
        <v>5430</v>
      </c>
      <c r="C3858" s="468" t="s">
        <v>5166</v>
      </c>
      <c r="D3858" s="468" t="s">
        <v>5167</v>
      </c>
      <c r="F3858" s="470">
        <v>2</v>
      </c>
      <c r="G3858" s="468">
        <v>7.0140000000000002</v>
      </c>
      <c r="H3858" s="479">
        <v>14.028</v>
      </c>
      <c r="I3858" s="468" t="s">
        <v>9218</v>
      </c>
      <c r="J3858" s="468" t="s">
        <v>9219</v>
      </c>
      <c r="K3858" s="468" t="s">
        <v>9219</v>
      </c>
      <c r="L3858" s="468" t="s">
        <v>2354</v>
      </c>
    </row>
    <row r="3859" spans="1:12" x14ac:dyDescent="0.25">
      <c r="A3859" s="468" t="s">
        <v>220</v>
      </c>
      <c r="B3859" s="468" t="s">
        <v>5430</v>
      </c>
      <c r="D3859" s="468" t="s">
        <v>8766</v>
      </c>
      <c r="F3859" s="470">
        <v>100</v>
      </c>
      <c r="G3859" s="468">
        <v>0.11600000000000001</v>
      </c>
      <c r="H3859" s="479">
        <v>11.600000000000001</v>
      </c>
      <c r="I3859" s="468" t="s">
        <v>9218</v>
      </c>
      <c r="J3859" s="468" t="s">
        <v>9219</v>
      </c>
      <c r="K3859" s="468" t="s">
        <v>9219</v>
      </c>
      <c r="L3859" s="468" t="s">
        <v>2354</v>
      </c>
    </row>
    <row r="3860" spans="1:12" x14ac:dyDescent="0.25">
      <c r="A3860" s="468" t="s">
        <v>220</v>
      </c>
      <c r="B3860" s="468" t="s">
        <v>5430</v>
      </c>
      <c r="C3860" s="468" t="s">
        <v>5172</v>
      </c>
      <c r="D3860" s="468" t="s">
        <v>5173</v>
      </c>
      <c r="F3860" s="470">
        <v>4</v>
      </c>
      <c r="G3860" s="468">
        <v>1.6459999999999999</v>
      </c>
      <c r="H3860" s="479">
        <v>6.5839999999999996</v>
      </c>
      <c r="I3860" s="468" t="s">
        <v>9218</v>
      </c>
      <c r="J3860" s="468" t="s">
        <v>9219</v>
      </c>
      <c r="K3860" s="468" t="s">
        <v>9219</v>
      </c>
      <c r="L3860" s="468" t="s">
        <v>2354</v>
      </c>
    </row>
    <row r="3861" spans="1:12" x14ac:dyDescent="0.25">
      <c r="A3861" s="468" t="s">
        <v>220</v>
      </c>
      <c r="B3861" s="468" t="s">
        <v>5430</v>
      </c>
      <c r="D3861" s="468" t="s">
        <v>9455</v>
      </c>
      <c r="F3861" s="470">
        <v>4</v>
      </c>
      <c r="G3861" s="468">
        <v>4.5309999999999997</v>
      </c>
      <c r="H3861" s="479">
        <v>18.123999999999999</v>
      </c>
      <c r="I3861" s="468" t="s">
        <v>9218</v>
      </c>
      <c r="J3861" s="468" t="s">
        <v>9219</v>
      </c>
      <c r="K3861" s="468" t="s">
        <v>9219</v>
      </c>
      <c r="L3861" s="468" t="s">
        <v>2354</v>
      </c>
    </row>
    <row r="3862" spans="1:12" x14ac:dyDescent="0.25">
      <c r="A3862" s="468" t="s">
        <v>220</v>
      </c>
      <c r="B3862" s="468" t="s">
        <v>5430</v>
      </c>
      <c r="D3862" s="468" t="s">
        <v>9456</v>
      </c>
      <c r="F3862" s="470">
        <v>4</v>
      </c>
      <c r="G3862" s="468">
        <v>15.532999999999999</v>
      </c>
      <c r="H3862" s="479">
        <v>62.131999999999998</v>
      </c>
      <c r="I3862" s="468" t="s">
        <v>9218</v>
      </c>
      <c r="J3862" s="468" t="s">
        <v>9219</v>
      </c>
      <c r="K3862" s="468" t="s">
        <v>9219</v>
      </c>
      <c r="L3862" s="468" t="s">
        <v>2354</v>
      </c>
    </row>
    <row r="3863" spans="1:12" x14ac:dyDescent="0.25">
      <c r="A3863" s="468" t="s">
        <v>220</v>
      </c>
      <c r="B3863" s="468" t="s">
        <v>5430</v>
      </c>
      <c r="D3863" s="468" t="s">
        <v>9457</v>
      </c>
      <c r="F3863" s="470">
        <v>4</v>
      </c>
      <c r="G3863" s="468">
        <v>8.6880000000000006</v>
      </c>
      <c r="H3863" s="479">
        <v>34.752000000000002</v>
      </c>
      <c r="I3863" s="468" t="s">
        <v>9218</v>
      </c>
      <c r="J3863" s="468" t="s">
        <v>9219</v>
      </c>
      <c r="K3863" s="468" t="s">
        <v>9219</v>
      </c>
      <c r="L3863" s="468" t="s">
        <v>2354</v>
      </c>
    </row>
    <row r="3864" spans="1:12" x14ac:dyDescent="0.25">
      <c r="A3864" s="468" t="s">
        <v>220</v>
      </c>
      <c r="B3864" s="468" t="s">
        <v>5430</v>
      </c>
      <c r="D3864" s="468" t="s">
        <v>9458</v>
      </c>
      <c r="F3864" s="470">
        <v>6</v>
      </c>
      <c r="G3864" s="468">
        <v>5.74</v>
      </c>
      <c r="H3864" s="479">
        <v>34.44</v>
      </c>
      <c r="I3864" s="468" t="s">
        <v>9218</v>
      </c>
      <c r="J3864" s="468" t="s">
        <v>9219</v>
      </c>
      <c r="K3864" s="468" t="s">
        <v>9219</v>
      </c>
      <c r="L3864" s="468" t="s">
        <v>2354</v>
      </c>
    </row>
    <row r="3865" spans="1:12" x14ac:dyDescent="0.25">
      <c r="A3865" s="468" t="s">
        <v>220</v>
      </c>
      <c r="B3865" s="468" t="s">
        <v>5430</v>
      </c>
      <c r="D3865" s="468" t="s">
        <v>9459</v>
      </c>
      <c r="F3865" s="470">
        <v>6</v>
      </c>
      <c r="G3865" s="468">
        <v>4.915</v>
      </c>
      <c r="H3865" s="479">
        <v>29.490000000000002</v>
      </c>
      <c r="I3865" s="468" t="s">
        <v>9218</v>
      </c>
      <c r="J3865" s="468" t="s">
        <v>9219</v>
      </c>
      <c r="K3865" s="468" t="s">
        <v>9219</v>
      </c>
      <c r="L3865" s="468" t="s">
        <v>2354</v>
      </c>
    </row>
    <row r="3866" spans="1:12" x14ac:dyDescent="0.25">
      <c r="A3866" s="468" t="s">
        <v>220</v>
      </c>
      <c r="B3866" s="468" t="s">
        <v>5430</v>
      </c>
      <c r="D3866" s="468" t="s">
        <v>9460</v>
      </c>
      <c r="F3866" s="470">
        <v>6</v>
      </c>
      <c r="G3866" s="468">
        <v>7.766</v>
      </c>
      <c r="H3866" s="479">
        <v>46.596000000000004</v>
      </c>
      <c r="I3866" s="468" t="s">
        <v>9218</v>
      </c>
      <c r="J3866" s="468" t="s">
        <v>9219</v>
      </c>
      <c r="K3866" s="468" t="s">
        <v>9219</v>
      </c>
      <c r="L3866" s="468" t="s">
        <v>2354</v>
      </c>
    </row>
    <row r="3867" spans="1:12" x14ac:dyDescent="0.25">
      <c r="A3867" s="468" t="s">
        <v>220</v>
      </c>
      <c r="B3867" s="468" t="s">
        <v>5430</v>
      </c>
      <c r="D3867" s="468" t="s">
        <v>9461</v>
      </c>
      <c r="F3867" s="470">
        <v>6</v>
      </c>
      <c r="G3867" s="468">
        <v>3.9329999999999998</v>
      </c>
      <c r="H3867" s="479">
        <v>23.597999999999999</v>
      </c>
      <c r="I3867" s="468" t="s">
        <v>9218</v>
      </c>
      <c r="J3867" s="468" t="s">
        <v>9219</v>
      </c>
      <c r="K3867" s="468" t="s">
        <v>9219</v>
      </c>
      <c r="L3867" s="468" t="s">
        <v>2354</v>
      </c>
    </row>
    <row r="3868" spans="1:12" x14ac:dyDescent="0.25">
      <c r="A3868" s="468" t="s">
        <v>220</v>
      </c>
      <c r="B3868" s="468" t="s">
        <v>5430</v>
      </c>
      <c r="D3868" s="468" t="s">
        <v>9462</v>
      </c>
      <c r="F3868" s="470">
        <v>11</v>
      </c>
      <c r="G3868" s="468">
        <v>2.8839999999999999</v>
      </c>
      <c r="H3868" s="479">
        <v>31.724</v>
      </c>
      <c r="I3868" s="468" t="s">
        <v>9218</v>
      </c>
      <c r="J3868" s="468" t="s">
        <v>9219</v>
      </c>
      <c r="K3868" s="468" t="s">
        <v>9219</v>
      </c>
      <c r="L3868" s="468" t="s">
        <v>2354</v>
      </c>
    </row>
    <row r="3869" spans="1:12" x14ac:dyDescent="0.25">
      <c r="A3869" s="468" t="s">
        <v>220</v>
      </c>
      <c r="B3869" s="468" t="s">
        <v>5430</v>
      </c>
      <c r="D3869" s="468" t="s">
        <v>9463</v>
      </c>
      <c r="F3869" s="470">
        <v>11</v>
      </c>
      <c r="G3869" s="468">
        <v>2.7629999999999999</v>
      </c>
      <c r="H3869" s="479">
        <v>30.393000000000001</v>
      </c>
      <c r="I3869" s="468" t="s">
        <v>9218</v>
      </c>
      <c r="J3869" s="468" t="s">
        <v>9219</v>
      </c>
      <c r="K3869" s="468" t="s">
        <v>9219</v>
      </c>
      <c r="L3869" s="468" t="s">
        <v>2354</v>
      </c>
    </row>
    <row r="3870" spans="1:12" x14ac:dyDescent="0.25">
      <c r="A3870" s="468" t="s">
        <v>220</v>
      </c>
      <c r="B3870" s="468" t="s">
        <v>5430</v>
      </c>
      <c r="D3870" s="468" t="s">
        <v>9464</v>
      </c>
      <c r="F3870" s="470">
        <v>11</v>
      </c>
      <c r="G3870" s="468">
        <v>1.9139999999999999</v>
      </c>
      <c r="H3870" s="479">
        <v>21.053999999999998</v>
      </c>
      <c r="I3870" s="468" t="s">
        <v>9218</v>
      </c>
      <c r="J3870" s="468" t="s">
        <v>9219</v>
      </c>
      <c r="K3870" s="468" t="s">
        <v>9219</v>
      </c>
      <c r="L3870" s="468" t="s">
        <v>2354</v>
      </c>
    </row>
    <row r="3871" spans="1:12" x14ac:dyDescent="0.25">
      <c r="A3871" s="468" t="s">
        <v>220</v>
      </c>
      <c r="B3871" s="468" t="s">
        <v>5430</v>
      </c>
      <c r="D3871" s="468" t="s">
        <v>9465</v>
      </c>
      <c r="F3871" s="470">
        <v>11</v>
      </c>
      <c r="G3871" s="468">
        <v>1.4730000000000001</v>
      </c>
      <c r="H3871" s="479">
        <v>16.202999999999999</v>
      </c>
      <c r="I3871" s="468" t="s">
        <v>9218</v>
      </c>
      <c r="J3871" s="468" t="s">
        <v>9219</v>
      </c>
      <c r="K3871" s="468" t="s">
        <v>9219</v>
      </c>
      <c r="L3871" s="468" t="s">
        <v>2354</v>
      </c>
    </row>
    <row r="3872" spans="1:12" x14ac:dyDescent="0.25">
      <c r="A3872" s="468" t="s">
        <v>220</v>
      </c>
      <c r="B3872" s="468" t="s">
        <v>5430</v>
      </c>
      <c r="D3872" s="468" t="s">
        <v>9466</v>
      </c>
      <c r="F3872" s="470">
        <v>11</v>
      </c>
      <c r="G3872" s="468">
        <v>1.381</v>
      </c>
      <c r="H3872" s="479">
        <v>15.191000000000001</v>
      </c>
      <c r="I3872" s="468" t="s">
        <v>9218</v>
      </c>
      <c r="J3872" s="468" t="s">
        <v>9219</v>
      </c>
      <c r="K3872" s="468" t="s">
        <v>9219</v>
      </c>
      <c r="L3872" s="468" t="s">
        <v>2354</v>
      </c>
    </row>
    <row r="3873" spans="1:12" x14ac:dyDescent="0.25">
      <c r="A3873" s="468" t="s">
        <v>220</v>
      </c>
      <c r="B3873" s="468" t="s">
        <v>5430</v>
      </c>
      <c r="D3873" s="468" t="s">
        <v>9467</v>
      </c>
      <c r="F3873" s="470">
        <v>11</v>
      </c>
      <c r="G3873" s="468">
        <v>1.2769999999999999</v>
      </c>
      <c r="H3873" s="479">
        <v>14.046999999999999</v>
      </c>
      <c r="I3873" s="468" t="s">
        <v>9218</v>
      </c>
      <c r="J3873" s="468" t="s">
        <v>9219</v>
      </c>
      <c r="K3873" s="468" t="s">
        <v>9219</v>
      </c>
      <c r="L3873" s="468" t="s">
        <v>2354</v>
      </c>
    </row>
    <row r="3874" spans="1:12" x14ac:dyDescent="0.25">
      <c r="A3874" s="468" t="s">
        <v>220</v>
      </c>
      <c r="B3874" s="468" t="s">
        <v>5430</v>
      </c>
      <c r="D3874" s="468" t="s">
        <v>9468</v>
      </c>
      <c r="F3874" s="470">
        <v>11</v>
      </c>
      <c r="G3874" s="468">
        <v>0.95599999999999996</v>
      </c>
      <c r="H3874" s="479">
        <v>10.516</v>
      </c>
      <c r="I3874" s="468" t="s">
        <v>9218</v>
      </c>
      <c r="J3874" s="468" t="s">
        <v>9219</v>
      </c>
      <c r="K3874" s="468" t="s">
        <v>9219</v>
      </c>
      <c r="L3874" s="468" t="s">
        <v>2354</v>
      </c>
    </row>
    <row r="3875" spans="1:12" x14ac:dyDescent="0.25">
      <c r="A3875" s="468" t="s">
        <v>220</v>
      </c>
      <c r="B3875" s="468" t="s">
        <v>5430</v>
      </c>
      <c r="D3875" s="468" t="s">
        <v>9469</v>
      </c>
      <c r="F3875" s="470">
        <v>11</v>
      </c>
      <c r="G3875" s="468">
        <v>0.75700000000000001</v>
      </c>
      <c r="H3875" s="479">
        <v>8.327</v>
      </c>
      <c r="I3875" s="468" t="s">
        <v>9218</v>
      </c>
      <c r="J3875" s="468" t="s">
        <v>9219</v>
      </c>
      <c r="K3875" s="468" t="s">
        <v>9219</v>
      </c>
      <c r="L3875" s="468" t="s">
        <v>2354</v>
      </c>
    </row>
    <row r="3876" spans="1:12" x14ac:dyDescent="0.25">
      <c r="A3876" s="468" t="s">
        <v>220</v>
      </c>
      <c r="B3876" s="468" t="s">
        <v>5430</v>
      </c>
      <c r="D3876" s="468" t="s">
        <v>9470</v>
      </c>
      <c r="F3876" s="470">
        <v>11</v>
      </c>
      <c r="G3876" s="468">
        <v>0.80300000000000005</v>
      </c>
      <c r="H3876" s="479">
        <v>8.8330000000000002</v>
      </c>
      <c r="I3876" s="468" t="s">
        <v>9218</v>
      </c>
      <c r="J3876" s="468" t="s">
        <v>9219</v>
      </c>
      <c r="K3876" s="468" t="s">
        <v>9219</v>
      </c>
      <c r="L3876" s="468" t="s">
        <v>2354</v>
      </c>
    </row>
    <row r="3877" spans="1:12" x14ac:dyDescent="0.25">
      <c r="A3877" s="468" t="s">
        <v>220</v>
      </c>
      <c r="B3877" s="468" t="s">
        <v>5430</v>
      </c>
      <c r="D3877" s="468" t="s">
        <v>9471</v>
      </c>
      <c r="F3877" s="470">
        <v>11</v>
      </c>
      <c r="G3877" s="468">
        <v>0.59899999999999998</v>
      </c>
      <c r="H3877" s="479">
        <v>6.5889999999999995</v>
      </c>
      <c r="I3877" s="468" t="s">
        <v>9218</v>
      </c>
      <c r="J3877" s="468" t="s">
        <v>9219</v>
      </c>
      <c r="K3877" s="468" t="s">
        <v>9219</v>
      </c>
      <c r="L3877" s="468" t="s">
        <v>2354</v>
      </c>
    </row>
    <row r="3878" spans="1:12" x14ac:dyDescent="0.25">
      <c r="A3878" s="468" t="s">
        <v>220</v>
      </c>
      <c r="B3878" s="468" t="s">
        <v>5430</v>
      </c>
      <c r="C3878" s="468" t="s">
        <v>5174</v>
      </c>
      <c r="D3878" s="468" t="s">
        <v>8767</v>
      </c>
      <c r="F3878" s="470">
        <v>3</v>
      </c>
      <c r="G3878" s="468">
        <v>2.3849999999999998</v>
      </c>
      <c r="H3878" s="479">
        <v>7.1549999999999994</v>
      </c>
      <c r="I3878" s="468" t="s">
        <v>9218</v>
      </c>
      <c r="J3878" s="468" t="s">
        <v>9219</v>
      </c>
      <c r="K3878" s="468" t="s">
        <v>9219</v>
      </c>
      <c r="L3878" s="468" t="s">
        <v>2354</v>
      </c>
    </row>
    <row r="3879" spans="1:12" x14ac:dyDescent="0.25">
      <c r="A3879" s="468" t="s">
        <v>220</v>
      </c>
      <c r="B3879" s="468" t="s">
        <v>5430</v>
      </c>
      <c r="C3879" s="468" t="s">
        <v>5176</v>
      </c>
      <c r="D3879" s="468" t="s">
        <v>8768</v>
      </c>
      <c r="F3879" s="470">
        <v>2</v>
      </c>
      <c r="G3879" s="468">
        <v>2.9940000000000002</v>
      </c>
      <c r="H3879" s="479">
        <v>5.9880000000000004</v>
      </c>
      <c r="I3879" s="468" t="s">
        <v>9218</v>
      </c>
      <c r="J3879" s="468" t="s">
        <v>9219</v>
      </c>
      <c r="K3879" s="468" t="s">
        <v>9219</v>
      </c>
      <c r="L3879" s="468" t="s">
        <v>2354</v>
      </c>
    </row>
    <row r="3880" spans="1:12" x14ac:dyDescent="0.25">
      <c r="A3880" s="468" t="s">
        <v>220</v>
      </c>
      <c r="B3880" s="468" t="s">
        <v>5430</v>
      </c>
      <c r="C3880" s="468" t="s">
        <v>5178</v>
      </c>
      <c r="D3880" s="468" t="s">
        <v>8769</v>
      </c>
      <c r="F3880" s="470">
        <v>2</v>
      </c>
      <c r="G3880" s="468">
        <v>5.125</v>
      </c>
      <c r="H3880" s="479">
        <v>10.25</v>
      </c>
      <c r="I3880" s="468" t="s">
        <v>9218</v>
      </c>
      <c r="J3880" s="468" t="s">
        <v>9219</v>
      </c>
      <c r="K3880" s="468" t="s">
        <v>9219</v>
      </c>
      <c r="L3880" s="468" t="s">
        <v>2354</v>
      </c>
    </row>
    <row r="3881" spans="1:12" x14ac:dyDescent="0.25">
      <c r="A3881" s="468" t="s">
        <v>220</v>
      </c>
      <c r="B3881" s="468" t="s">
        <v>5430</v>
      </c>
      <c r="C3881" s="468" t="s">
        <v>5182</v>
      </c>
      <c r="D3881" s="468" t="s">
        <v>8770</v>
      </c>
      <c r="F3881" s="470">
        <v>2</v>
      </c>
      <c r="G3881" s="468">
        <v>13.792</v>
      </c>
      <c r="H3881" s="479">
        <v>27.584</v>
      </c>
      <c r="I3881" s="468" t="s">
        <v>9218</v>
      </c>
      <c r="J3881" s="468" t="s">
        <v>9219</v>
      </c>
      <c r="K3881" s="468" t="s">
        <v>9219</v>
      </c>
      <c r="L3881" s="468" t="s">
        <v>2354</v>
      </c>
    </row>
    <row r="3882" spans="1:12" x14ac:dyDescent="0.25">
      <c r="A3882" s="468" t="s">
        <v>220</v>
      </c>
      <c r="B3882" s="468" t="s">
        <v>5430</v>
      </c>
      <c r="C3882" s="468" t="s">
        <v>5184</v>
      </c>
      <c r="D3882" s="468" t="s">
        <v>8771</v>
      </c>
      <c r="F3882" s="470">
        <v>3</v>
      </c>
      <c r="G3882" s="468">
        <v>8.4939999999999998</v>
      </c>
      <c r="H3882" s="479">
        <v>25.481999999999999</v>
      </c>
      <c r="I3882" s="468" t="s">
        <v>9218</v>
      </c>
      <c r="J3882" s="468" t="s">
        <v>9219</v>
      </c>
      <c r="K3882" s="468" t="s">
        <v>9219</v>
      </c>
      <c r="L3882" s="468" t="s">
        <v>2354</v>
      </c>
    </row>
    <row r="3883" spans="1:12" x14ac:dyDescent="0.25">
      <c r="A3883" s="468" t="s">
        <v>220</v>
      </c>
      <c r="B3883" s="468" t="s">
        <v>5430</v>
      </c>
      <c r="C3883" s="468" t="s">
        <v>7248</v>
      </c>
      <c r="D3883" s="468" t="s">
        <v>7249</v>
      </c>
      <c r="F3883" s="470">
        <v>1</v>
      </c>
      <c r="G3883" s="468">
        <v>29.51</v>
      </c>
      <c r="H3883" s="479">
        <v>29.51</v>
      </c>
      <c r="I3883" s="468" t="s">
        <v>9218</v>
      </c>
      <c r="J3883" s="468" t="s">
        <v>9219</v>
      </c>
      <c r="K3883" s="468" t="s">
        <v>9219</v>
      </c>
      <c r="L3883" s="468" t="s">
        <v>2354</v>
      </c>
    </row>
    <row r="3884" spans="1:12" x14ac:dyDescent="0.25">
      <c r="A3884" s="468" t="s">
        <v>220</v>
      </c>
      <c r="B3884" s="468" t="s">
        <v>5430</v>
      </c>
      <c r="C3884" s="468" t="s">
        <v>5186</v>
      </c>
      <c r="D3884" s="468" t="s">
        <v>8772</v>
      </c>
      <c r="F3884" s="470">
        <v>4</v>
      </c>
      <c r="G3884" s="468">
        <v>5.03</v>
      </c>
      <c r="H3884" s="479">
        <v>20.12</v>
      </c>
      <c r="I3884" s="468" t="s">
        <v>9218</v>
      </c>
      <c r="J3884" s="468" t="s">
        <v>9219</v>
      </c>
      <c r="K3884" s="468" t="s">
        <v>9219</v>
      </c>
      <c r="L3884" s="468" t="s">
        <v>2354</v>
      </c>
    </row>
    <row r="3885" spans="1:12" x14ac:dyDescent="0.25">
      <c r="A3885" s="468" t="s">
        <v>220</v>
      </c>
      <c r="B3885" s="468" t="s">
        <v>5430</v>
      </c>
      <c r="C3885" s="468" t="s">
        <v>8773</v>
      </c>
      <c r="D3885" s="468" t="s">
        <v>8774</v>
      </c>
      <c r="F3885" s="470">
        <v>1</v>
      </c>
      <c r="G3885" s="468">
        <v>14.441000000000001</v>
      </c>
      <c r="H3885" s="479">
        <v>14.441000000000001</v>
      </c>
      <c r="I3885" s="468" t="s">
        <v>9218</v>
      </c>
      <c r="J3885" s="468" t="s">
        <v>9219</v>
      </c>
      <c r="K3885" s="468" t="s">
        <v>9219</v>
      </c>
      <c r="L3885" s="468" t="s">
        <v>2354</v>
      </c>
    </row>
    <row r="3886" spans="1:12" x14ac:dyDescent="0.25">
      <c r="A3886" s="468" t="s">
        <v>220</v>
      </c>
      <c r="B3886" s="468" t="s">
        <v>5430</v>
      </c>
      <c r="C3886" s="468" t="s">
        <v>8775</v>
      </c>
      <c r="D3886" s="468" t="s">
        <v>8776</v>
      </c>
      <c r="F3886" s="470">
        <v>1</v>
      </c>
      <c r="G3886" s="468">
        <v>13.958</v>
      </c>
      <c r="H3886" s="479">
        <v>13.958</v>
      </c>
      <c r="I3886" s="468" t="s">
        <v>9218</v>
      </c>
      <c r="J3886" s="468" t="s">
        <v>9219</v>
      </c>
      <c r="K3886" s="468" t="s">
        <v>9219</v>
      </c>
      <c r="L3886" s="468" t="s">
        <v>2354</v>
      </c>
    </row>
    <row r="3887" spans="1:12" x14ac:dyDescent="0.25">
      <c r="A3887" s="468" t="s">
        <v>220</v>
      </c>
      <c r="B3887" s="468" t="s">
        <v>5430</v>
      </c>
      <c r="C3887" s="468" t="s">
        <v>7250</v>
      </c>
      <c r="D3887" s="468" t="s">
        <v>8777</v>
      </c>
      <c r="F3887" s="470">
        <v>1</v>
      </c>
      <c r="G3887" s="468">
        <v>129.803</v>
      </c>
      <c r="H3887" s="479">
        <v>129.803</v>
      </c>
      <c r="I3887" s="468" t="s">
        <v>9218</v>
      </c>
      <c r="J3887" s="468" t="s">
        <v>9219</v>
      </c>
      <c r="K3887" s="468" t="s">
        <v>9219</v>
      </c>
      <c r="L3887" s="468" t="s">
        <v>2354</v>
      </c>
    </row>
    <row r="3888" spans="1:12" x14ac:dyDescent="0.25">
      <c r="A3888" s="468" t="s">
        <v>220</v>
      </c>
      <c r="B3888" s="468" t="s">
        <v>5430</v>
      </c>
      <c r="C3888" s="468" t="s">
        <v>5198</v>
      </c>
      <c r="D3888" s="468" t="s">
        <v>8778</v>
      </c>
      <c r="F3888" s="470">
        <v>1</v>
      </c>
      <c r="G3888" s="468">
        <v>1.3360000000000001</v>
      </c>
      <c r="H3888" s="479">
        <v>1.3360000000000001</v>
      </c>
      <c r="I3888" s="468" t="s">
        <v>9218</v>
      </c>
      <c r="J3888" s="468" t="s">
        <v>9219</v>
      </c>
      <c r="K3888" s="468" t="s">
        <v>9219</v>
      </c>
      <c r="L3888" s="468" t="s">
        <v>2354</v>
      </c>
    </row>
    <row r="3889" spans="1:12" x14ac:dyDescent="0.25">
      <c r="A3889" s="468" t="s">
        <v>220</v>
      </c>
      <c r="B3889" s="468" t="s">
        <v>5430</v>
      </c>
      <c r="C3889" s="468" t="s">
        <v>5200</v>
      </c>
      <c r="D3889" s="468" t="s">
        <v>8779</v>
      </c>
      <c r="F3889" s="470">
        <v>20</v>
      </c>
      <c r="G3889" s="468">
        <v>0.33700000000000002</v>
      </c>
      <c r="H3889" s="479">
        <v>6.74</v>
      </c>
      <c r="I3889" s="468" t="s">
        <v>9218</v>
      </c>
      <c r="J3889" s="468" t="s">
        <v>9219</v>
      </c>
      <c r="K3889" s="468" t="s">
        <v>9219</v>
      </c>
      <c r="L3889" s="468" t="s">
        <v>2354</v>
      </c>
    </row>
    <row r="3890" spans="1:12" x14ac:dyDescent="0.25">
      <c r="A3890" s="468" t="s">
        <v>220</v>
      </c>
      <c r="B3890" s="468" t="s">
        <v>5430</v>
      </c>
      <c r="C3890" s="468" t="s">
        <v>5204</v>
      </c>
      <c r="D3890" s="468" t="s">
        <v>8780</v>
      </c>
      <c r="F3890" s="470">
        <v>1</v>
      </c>
      <c r="G3890" s="468">
        <v>2.7010000000000001</v>
      </c>
      <c r="H3890" s="479">
        <v>2.7010000000000001</v>
      </c>
      <c r="I3890" s="468" t="s">
        <v>9218</v>
      </c>
      <c r="J3890" s="468" t="s">
        <v>9219</v>
      </c>
      <c r="K3890" s="468" t="s">
        <v>9219</v>
      </c>
      <c r="L3890" s="468" t="s">
        <v>2354</v>
      </c>
    </row>
    <row r="3891" spans="1:12" x14ac:dyDescent="0.25">
      <c r="A3891" s="468" t="s">
        <v>220</v>
      </c>
      <c r="B3891" s="468" t="s">
        <v>5430</v>
      </c>
      <c r="C3891" s="468" t="s">
        <v>5208</v>
      </c>
      <c r="D3891" s="468" t="s">
        <v>5209</v>
      </c>
      <c r="F3891" s="470">
        <v>1</v>
      </c>
      <c r="G3891" s="468">
        <v>3.1779999999999999</v>
      </c>
      <c r="H3891" s="479">
        <v>3.1779999999999999</v>
      </c>
      <c r="I3891" s="468" t="s">
        <v>9218</v>
      </c>
      <c r="J3891" s="468" t="s">
        <v>9219</v>
      </c>
      <c r="K3891" s="468" t="s">
        <v>9219</v>
      </c>
      <c r="L3891" s="468" t="s">
        <v>2354</v>
      </c>
    </row>
    <row r="3892" spans="1:12" x14ac:dyDescent="0.25">
      <c r="A3892" s="468" t="s">
        <v>220</v>
      </c>
      <c r="B3892" s="468" t="s">
        <v>5430</v>
      </c>
      <c r="C3892" s="468" t="s">
        <v>5210</v>
      </c>
      <c r="D3892" s="468" t="s">
        <v>5211</v>
      </c>
      <c r="F3892" s="470">
        <v>1</v>
      </c>
      <c r="G3892" s="468">
        <v>1.5680000000000001</v>
      </c>
      <c r="H3892" s="479">
        <v>1.5680000000000001</v>
      </c>
      <c r="I3892" s="468" t="s">
        <v>9218</v>
      </c>
      <c r="J3892" s="468" t="s">
        <v>9219</v>
      </c>
      <c r="K3892" s="468" t="s">
        <v>9219</v>
      </c>
      <c r="L3892" s="468" t="s">
        <v>2354</v>
      </c>
    </row>
    <row r="3893" spans="1:12" x14ac:dyDescent="0.25">
      <c r="A3893" s="468" t="s">
        <v>220</v>
      </c>
      <c r="B3893" s="468" t="s">
        <v>5430</v>
      </c>
      <c r="C3893" s="468" t="s">
        <v>5212</v>
      </c>
      <c r="D3893" s="468" t="s">
        <v>5213</v>
      </c>
      <c r="F3893" s="470">
        <v>1</v>
      </c>
      <c r="G3893" s="468">
        <v>3.6669999999999998</v>
      </c>
      <c r="H3893" s="479">
        <v>3.6669999999999998</v>
      </c>
      <c r="I3893" s="468" t="s">
        <v>9218</v>
      </c>
      <c r="J3893" s="468" t="s">
        <v>9219</v>
      </c>
      <c r="K3893" s="468" t="s">
        <v>9219</v>
      </c>
      <c r="L3893" s="468" t="s">
        <v>2354</v>
      </c>
    </row>
    <row r="3894" spans="1:12" x14ac:dyDescent="0.25">
      <c r="A3894" s="468" t="s">
        <v>220</v>
      </c>
      <c r="B3894" s="468" t="s">
        <v>5430</v>
      </c>
      <c r="C3894" s="468" t="s">
        <v>5216</v>
      </c>
      <c r="D3894" s="468" t="s">
        <v>5217</v>
      </c>
      <c r="F3894" s="470">
        <v>4</v>
      </c>
      <c r="G3894" s="468">
        <v>4.1879999999999997</v>
      </c>
      <c r="H3894" s="479">
        <v>16.751999999999999</v>
      </c>
      <c r="I3894" s="468" t="s">
        <v>9218</v>
      </c>
      <c r="J3894" s="468" t="s">
        <v>9219</v>
      </c>
      <c r="K3894" s="468" t="s">
        <v>9219</v>
      </c>
      <c r="L3894" s="468" t="s">
        <v>2354</v>
      </c>
    </row>
    <row r="3895" spans="1:12" x14ac:dyDescent="0.25">
      <c r="A3895" s="468" t="s">
        <v>220</v>
      </c>
      <c r="B3895" s="468" t="s">
        <v>5430</v>
      </c>
      <c r="C3895" s="468" t="s">
        <v>5218</v>
      </c>
      <c r="D3895" s="468" t="s">
        <v>5219</v>
      </c>
      <c r="F3895" s="470">
        <v>2</v>
      </c>
      <c r="G3895" s="468">
        <v>6.718</v>
      </c>
      <c r="H3895" s="479">
        <v>13.436</v>
      </c>
      <c r="I3895" s="468" t="s">
        <v>9218</v>
      </c>
      <c r="J3895" s="468" t="s">
        <v>9219</v>
      </c>
      <c r="K3895" s="468" t="s">
        <v>9219</v>
      </c>
      <c r="L3895" s="468" t="s">
        <v>2354</v>
      </c>
    </row>
    <row r="3896" spans="1:12" x14ac:dyDescent="0.25">
      <c r="A3896" s="468" t="s">
        <v>220</v>
      </c>
      <c r="B3896" s="468" t="s">
        <v>5430</v>
      </c>
      <c r="C3896" s="468" t="s">
        <v>5392</v>
      </c>
      <c r="D3896" s="468" t="s">
        <v>8781</v>
      </c>
      <c r="F3896" s="470">
        <v>2</v>
      </c>
      <c r="G3896" s="468">
        <v>3.2890000000000001</v>
      </c>
      <c r="H3896" s="479">
        <v>6.5780000000000003</v>
      </c>
      <c r="I3896" s="468" t="s">
        <v>9218</v>
      </c>
      <c r="J3896" s="468" t="s">
        <v>9219</v>
      </c>
      <c r="K3896" s="468" t="s">
        <v>9219</v>
      </c>
      <c r="L3896" s="468" t="s">
        <v>2354</v>
      </c>
    </row>
    <row r="3897" spans="1:12" x14ac:dyDescent="0.25">
      <c r="A3897" s="468" t="s">
        <v>220</v>
      </c>
      <c r="B3897" s="468" t="s">
        <v>5430</v>
      </c>
      <c r="C3897" s="468" t="s">
        <v>8782</v>
      </c>
      <c r="D3897" s="468" t="s">
        <v>8783</v>
      </c>
      <c r="F3897" s="470">
        <v>40</v>
      </c>
      <c r="G3897" s="468">
        <v>3.9E-2</v>
      </c>
      <c r="H3897" s="479">
        <v>1.56</v>
      </c>
      <c r="I3897" s="468" t="s">
        <v>9218</v>
      </c>
      <c r="J3897" s="468" t="s">
        <v>9219</v>
      </c>
      <c r="K3897" s="468" t="s">
        <v>9219</v>
      </c>
      <c r="L3897" s="468" t="s">
        <v>2354</v>
      </c>
    </row>
    <row r="3898" spans="1:12" x14ac:dyDescent="0.25">
      <c r="A3898" s="468" t="s">
        <v>220</v>
      </c>
      <c r="B3898" s="468" t="s">
        <v>5430</v>
      </c>
      <c r="C3898" s="468" t="s">
        <v>7258</v>
      </c>
      <c r="D3898" s="468" t="s">
        <v>8784</v>
      </c>
      <c r="F3898" s="470">
        <v>5</v>
      </c>
      <c r="G3898" s="468">
        <v>3.7214999999999998</v>
      </c>
      <c r="H3898" s="479">
        <v>18.607499999999998</v>
      </c>
      <c r="I3898" s="468" t="s">
        <v>9218</v>
      </c>
      <c r="J3898" s="468" t="s">
        <v>9219</v>
      </c>
      <c r="K3898" s="468" t="s">
        <v>9219</v>
      </c>
      <c r="L3898" s="468" t="s">
        <v>2354</v>
      </c>
    </row>
    <row r="3899" spans="1:12" x14ac:dyDescent="0.25">
      <c r="A3899" s="468" t="s">
        <v>220</v>
      </c>
      <c r="B3899" s="468" t="s">
        <v>5430</v>
      </c>
      <c r="C3899" s="468" t="s">
        <v>7264</v>
      </c>
      <c r="D3899" s="468" t="s">
        <v>7265</v>
      </c>
      <c r="F3899" s="470">
        <v>1</v>
      </c>
      <c r="G3899" s="468">
        <v>11.702</v>
      </c>
      <c r="H3899" s="479">
        <v>11.702</v>
      </c>
      <c r="I3899" s="468" t="s">
        <v>9218</v>
      </c>
      <c r="J3899" s="468" t="s">
        <v>9219</v>
      </c>
      <c r="K3899" s="468" t="s">
        <v>9219</v>
      </c>
      <c r="L3899" s="468" t="s">
        <v>2354</v>
      </c>
    </row>
    <row r="3900" spans="1:12" x14ac:dyDescent="0.25">
      <c r="A3900" s="468" t="s">
        <v>220</v>
      </c>
      <c r="B3900" s="468" t="s">
        <v>5430</v>
      </c>
      <c r="C3900" s="468" t="s">
        <v>8785</v>
      </c>
      <c r="D3900" s="468" t="s">
        <v>8786</v>
      </c>
      <c r="F3900" s="470">
        <v>2</v>
      </c>
      <c r="G3900" s="468">
        <v>46.155000000000001</v>
      </c>
      <c r="H3900" s="479">
        <v>92.31</v>
      </c>
      <c r="I3900" s="468" t="s">
        <v>9218</v>
      </c>
      <c r="J3900" s="468" t="s">
        <v>9219</v>
      </c>
      <c r="K3900" s="468" t="s">
        <v>9219</v>
      </c>
      <c r="L3900" s="468" t="s">
        <v>2354</v>
      </c>
    </row>
    <row r="3901" spans="1:12" x14ac:dyDescent="0.25">
      <c r="A3901" s="468" t="s">
        <v>220</v>
      </c>
      <c r="B3901" s="468" t="s">
        <v>5430</v>
      </c>
      <c r="C3901" s="468" t="s">
        <v>8787</v>
      </c>
      <c r="D3901" s="468" t="s">
        <v>8788</v>
      </c>
      <c r="F3901" s="470">
        <v>4</v>
      </c>
      <c r="G3901" s="468">
        <v>71.91</v>
      </c>
      <c r="H3901" s="479">
        <v>287.64</v>
      </c>
      <c r="I3901" s="468" t="s">
        <v>9218</v>
      </c>
      <c r="J3901" s="468" t="s">
        <v>9219</v>
      </c>
      <c r="K3901" s="468" t="s">
        <v>9219</v>
      </c>
      <c r="L3901" s="468" t="s">
        <v>2354</v>
      </c>
    </row>
    <row r="3902" spans="1:12" x14ac:dyDescent="0.25">
      <c r="A3902" s="468" t="s">
        <v>220</v>
      </c>
      <c r="B3902" s="468" t="s">
        <v>5430</v>
      </c>
      <c r="C3902" s="468" t="s">
        <v>7298</v>
      </c>
      <c r="D3902" s="468" t="s">
        <v>7299</v>
      </c>
      <c r="F3902" s="470">
        <v>20</v>
      </c>
      <c r="G3902" s="468">
        <v>0.48199999999999998</v>
      </c>
      <c r="H3902" s="479">
        <v>9.64</v>
      </c>
      <c r="I3902" s="468" t="s">
        <v>9218</v>
      </c>
      <c r="J3902" s="468" t="s">
        <v>9219</v>
      </c>
      <c r="K3902" s="468" t="s">
        <v>9219</v>
      </c>
      <c r="L3902" s="468" t="s">
        <v>2354</v>
      </c>
    </row>
    <row r="3903" spans="1:12" x14ac:dyDescent="0.25">
      <c r="A3903" s="468" t="s">
        <v>220</v>
      </c>
      <c r="B3903" s="468" t="s">
        <v>5430</v>
      </c>
      <c r="C3903" s="468" t="s">
        <v>7316</v>
      </c>
      <c r="D3903" s="468" t="s">
        <v>7317</v>
      </c>
      <c r="F3903" s="470">
        <v>3</v>
      </c>
      <c r="G3903" s="468">
        <v>4.9800000000000004</v>
      </c>
      <c r="H3903" s="479">
        <v>14.940000000000001</v>
      </c>
      <c r="I3903" s="468" t="s">
        <v>9218</v>
      </c>
      <c r="J3903" s="468" t="s">
        <v>9219</v>
      </c>
      <c r="K3903" s="468" t="s">
        <v>9219</v>
      </c>
      <c r="L3903" s="468" t="s">
        <v>2354</v>
      </c>
    </row>
    <row r="3904" spans="1:12" x14ac:dyDescent="0.25">
      <c r="A3904" s="468" t="s">
        <v>220</v>
      </c>
      <c r="B3904" s="468" t="s">
        <v>5430</v>
      </c>
      <c r="C3904" s="468" t="s">
        <v>5463</v>
      </c>
      <c r="D3904" s="468" t="s">
        <v>5464</v>
      </c>
      <c r="F3904" s="470">
        <v>100</v>
      </c>
      <c r="G3904" s="468">
        <v>0.86299999999999999</v>
      </c>
      <c r="H3904" s="479">
        <v>86.3</v>
      </c>
      <c r="I3904" s="468" t="s">
        <v>9218</v>
      </c>
      <c r="J3904" s="468" t="s">
        <v>9219</v>
      </c>
      <c r="K3904" s="468" t="s">
        <v>9219</v>
      </c>
      <c r="L3904" s="468" t="s">
        <v>2354</v>
      </c>
    </row>
    <row r="3905" spans="1:12" x14ac:dyDescent="0.25">
      <c r="A3905" s="468" t="s">
        <v>220</v>
      </c>
      <c r="B3905" s="468" t="s">
        <v>5430</v>
      </c>
      <c r="C3905" s="468" t="s">
        <v>7320</v>
      </c>
      <c r="D3905" s="468" t="s">
        <v>8790</v>
      </c>
      <c r="F3905" s="470">
        <v>9</v>
      </c>
      <c r="G3905" s="468">
        <v>30.977</v>
      </c>
      <c r="H3905" s="479">
        <v>278.79300000000001</v>
      </c>
      <c r="I3905" s="468" t="s">
        <v>9218</v>
      </c>
      <c r="J3905" s="468" t="s">
        <v>9219</v>
      </c>
      <c r="K3905" s="468" t="s">
        <v>9219</v>
      </c>
      <c r="L3905" s="468" t="s">
        <v>2354</v>
      </c>
    </row>
    <row r="3906" spans="1:12" x14ac:dyDescent="0.25">
      <c r="A3906" s="468" t="s">
        <v>220</v>
      </c>
      <c r="B3906" s="468" t="s">
        <v>5430</v>
      </c>
      <c r="C3906" s="468" t="s">
        <v>8791</v>
      </c>
      <c r="D3906" s="468" t="s">
        <v>8792</v>
      </c>
      <c r="F3906" s="470">
        <v>23</v>
      </c>
      <c r="G3906" s="468">
        <v>1.292</v>
      </c>
      <c r="H3906" s="479">
        <v>29.716000000000001</v>
      </c>
      <c r="I3906" s="468" t="s">
        <v>9218</v>
      </c>
      <c r="J3906" s="468" t="s">
        <v>9219</v>
      </c>
      <c r="K3906" s="468" t="s">
        <v>9219</v>
      </c>
      <c r="L3906" s="468" t="s">
        <v>2354</v>
      </c>
    </row>
    <row r="3907" spans="1:12" x14ac:dyDescent="0.25">
      <c r="A3907" s="468" t="s">
        <v>220</v>
      </c>
      <c r="B3907" s="468" t="s">
        <v>5430</v>
      </c>
      <c r="C3907" s="468" t="s">
        <v>5296</v>
      </c>
      <c r="D3907" s="468" t="s">
        <v>2392</v>
      </c>
      <c r="F3907" s="470">
        <v>1</v>
      </c>
      <c r="G3907" s="468">
        <v>1.1759999999999999</v>
      </c>
      <c r="H3907" s="479">
        <v>1.1759999999999999</v>
      </c>
      <c r="I3907" s="468" t="s">
        <v>9218</v>
      </c>
      <c r="J3907" s="468" t="s">
        <v>9219</v>
      </c>
      <c r="K3907" s="468" t="s">
        <v>9219</v>
      </c>
      <c r="L3907" s="468" t="s">
        <v>2354</v>
      </c>
    </row>
    <row r="3908" spans="1:12" x14ac:dyDescent="0.25">
      <c r="A3908" s="468" t="s">
        <v>220</v>
      </c>
      <c r="B3908" s="468" t="s">
        <v>5430</v>
      </c>
      <c r="C3908" s="468" t="s">
        <v>5297</v>
      </c>
      <c r="D3908" s="468" t="s">
        <v>5298</v>
      </c>
      <c r="F3908" s="470">
        <v>15</v>
      </c>
      <c r="G3908" s="468">
        <v>1.873</v>
      </c>
      <c r="H3908" s="479">
        <v>28.094999999999999</v>
      </c>
      <c r="I3908" s="468" t="s">
        <v>9218</v>
      </c>
      <c r="J3908" s="468" t="s">
        <v>9219</v>
      </c>
      <c r="K3908" s="468" t="s">
        <v>9219</v>
      </c>
      <c r="L3908" s="468" t="s">
        <v>2354</v>
      </c>
    </row>
    <row r="3909" spans="1:12" x14ac:dyDescent="0.25">
      <c r="A3909" s="468" t="s">
        <v>220</v>
      </c>
      <c r="B3909" s="468" t="s">
        <v>5430</v>
      </c>
      <c r="C3909" s="468" t="s">
        <v>8793</v>
      </c>
      <c r="D3909" s="468" t="s">
        <v>7323</v>
      </c>
      <c r="F3909" s="470">
        <v>2</v>
      </c>
      <c r="G3909" s="468">
        <v>51.368000000000002</v>
      </c>
      <c r="H3909" s="479">
        <v>102.736</v>
      </c>
      <c r="I3909" s="468" t="s">
        <v>9218</v>
      </c>
      <c r="J3909" s="468" t="s">
        <v>9219</v>
      </c>
      <c r="K3909" s="468" t="s">
        <v>9219</v>
      </c>
      <c r="L3909" s="468" t="s">
        <v>2354</v>
      </c>
    </row>
    <row r="3910" spans="1:12" x14ac:dyDescent="0.25">
      <c r="A3910" s="468" t="s">
        <v>220</v>
      </c>
      <c r="B3910" s="468" t="s">
        <v>5430</v>
      </c>
      <c r="C3910" s="468" t="s">
        <v>7324</v>
      </c>
      <c r="D3910" s="468" t="s">
        <v>7325</v>
      </c>
      <c r="F3910" s="470">
        <v>2</v>
      </c>
      <c r="G3910" s="468">
        <v>51.62</v>
      </c>
      <c r="H3910" s="479">
        <v>103.24</v>
      </c>
      <c r="I3910" s="468" t="s">
        <v>9218</v>
      </c>
      <c r="J3910" s="468" t="s">
        <v>9219</v>
      </c>
      <c r="K3910" s="468" t="s">
        <v>9219</v>
      </c>
      <c r="L3910" s="468" t="s">
        <v>2354</v>
      </c>
    </row>
    <row r="3911" spans="1:12" x14ac:dyDescent="0.25">
      <c r="A3911" s="468" t="s">
        <v>220</v>
      </c>
      <c r="B3911" s="468" t="s">
        <v>5430</v>
      </c>
      <c r="C3911" s="468" t="s">
        <v>7326</v>
      </c>
      <c r="D3911" s="468" t="s">
        <v>7327</v>
      </c>
      <c r="F3911" s="470">
        <v>10</v>
      </c>
      <c r="G3911" s="468">
        <v>6.1059999999999999</v>
      </c>
      <c r="H3911" s="479">
        <v>61.06</v>
      </c>
      <c r="I3911" s="468" t="s">
        <v>9218</v>
      </c>
      <c r="J3911" s="468" t="s">
        <v>9219</v>
      </c>
      <c r="K3911" s="468" t="s">
        <v>9219</v>
      </c>
      <c r="L3911" s="468" t="s">
        <v>2354</v>
      </c>
    </row>
    <row r="3912" spans="1:12" x14ac:dyDescent="0.25">
      <c r="A3912" s="468" t="s">
        <v>220</v>
      </c>
      <c r="B3912" s="468" t="s">
        <v>5430</v>
      </c>
      <c r="C3912" s="468" t="s">
        <v>7328</v>
      </c>
      <c r="D3912" s="468" t="s">
        <v>8794</v>
      </c>
      <c r="F3912" s="470">
        <v>1</v>
      </c>
      <c r="G3912" s="468">
        <v>72.594999999999999</v>
      </c>
      <c r="H3912" s="479">
        <v>72.594999999999999</v>
      </c>
      <c r="I3912" s="468" t="s">
        <v>9218</v>
      </c>
      <c r="J3912" s="468" t="s">
        <v>9219</v>
      </c>
      <c r="K3912" s="468" t="s">
        <v>9219</v>
      </c>
      <c r="L3912" s="468" t="s">
        <v>2354</v>
      </c>
    </row>
    <row r="3913" spans="1:12" x14ac:dyDescent="0.25">
      <c r="A3913" s="468" t="s">
        <v>220</v>
      </c>
      <c r="B3913" s="468" t="s">
        <v>5430</v>
      </c>
      <c r="C3913" s="468" t="s">
        <v>7330</v>
      </c>
      <c r="D3913" s="468" t="s">
        <v>7331</v>
      </c>
      <c r="F3913" s="470">
        <v>6</v>
      </c>
      <c r="G3913" s="468">
        <v>1.7410000000000001</v>
      </c>
      <c r="H3913" s="479">
        <v>10.446000000000002</v>
      </c>
      <c r="I3913" s="468" t="s">
        <v>9218</v>
      </c>
      <c r="J3913" s="468" t="s">
        <v>9219</v>
      </c>
      <c r="K3913" s="468" t="s">
        <v>9219</v>
      </c>
      <c r="L3913" s="468" t="s">
        <v>2354</v>
      </c>
    </row>
    <row r="3914" spans="1:12" x14ac:dyDescent="0.25">
      <c r="A3914" s="468" t="s">
        <v>220</v>
      </c>
      <c r="B3914" s="468" t="s">
        <v>5430</v>
      </c>
      <c r="C3914" s="468" t="s">
        <v>7332</v>
      </c>
      <c r="D3914" s="468" t="s">
        <v>7333</v>
      </c>
      <c r="F3914" s="470">
        <v>1</v>
      </c>
      <c r="G3914" s="468">
        <v>107.669</v>
      </c>
      <c r="H3914" s="479">
        <v>107.669</v>
      </c>
      <c r="I3914" s="468" t="s">
        <v>9218</v>
      </c>
      <c r="J3914" s="468" t="s">
        <v>9219</v>
      </c>
      <c r="K3914" s="468" t="s">
        <v>9219</v>
      </c>
      <c r="L3914" s="468" t="s">
        <v>2354</v>
      </c>
    </row>
    <row r="3915" spans="1:12" x14ac:dyDescent="0.25">
      <c r="A3915" s="468" t="s">
        <v>220</v>
      </c>
      <c r="B3915" s="468" t="s">
        <v>5430</v>
      </c>
      <c r="C3915" s="468" t="s">
        <v>8795</v>
      </c>
      <c r="D3915" s="468" t="s">
        <v>8796</v>
      </c>
      <c r="F3915" s="470">
        <v>1</v>
      </c>
      <c r="G3915" s="468">
        <v>0.44700000000000001</v>
      </c>
      <c r="H3915" s="479">
        <v>0.44700000000000001</v>
      </c>
      <c r="I3915" s="468" t="s">
        <v>9218</v>
      </c>
      <c r="J3915" s="468" t="s">
        <v>9219</v>
      </c>
      <c r="K3915" s="468" t="s">
        <v>9219</v>
      </c>
      <c r="L3915" s="468" t="s">
        <v>2354</v>
      </c>
    </row>
    <row r="3916" spans="1:12" x14ac:dyDescent="0.25">
      <c r="A3916" s="468" t="s">
        <v>220</v>
      </c>
      <c r="B3916" s="468" t="s">
        <v>5430</v>
      </c>
      <c r="C3916" s="468" t="s">
        <v>8797</v>
      </c>
      <c r="D3916" s="468" t="s">
        <v>8798</v>
      </c>
      <c r="F3916" s="470">
        <v>1</v>
      </c>
      <c r="G3916" s="468">
        <v>8.25</v>
      </c>
      <c r="H3916" s="479">
        <v>8.25</v>
      </c>
      <c r="I3916" s="468" t="s">
        <v>9218</v>
      </c>
      <c r="J3916" s="468" t="s">
        <v>9219</v>
      </c>
      <c r="K3916" s="468" t="s">
        <v>9219</v>
      </c>
      <c r="L3916" s="468" t="s">
        <v>2354</v>
      </c>
    </row>
    <row r="3917" spans="1:12" x14ac:dyDescent="0.25">
      <c r="A3917" s="468" t="s">
        <v>220</v>
      </c>
      <c r="B3917" s="468" t="s">
        <v>5430</v>
      </c>
      <c r="C3917" s="468" t="s">
        <v>3229</v>
      </c>
      <c r="D3917" s="468" t="s">
        <v>3230</v>
      </c>
      <c r="F3917" s="470">
        <v>7</v>
      </c>
      <c r="G3917" s="468">
        <v>0.59399999999999997</v>
      </c>
      <c r="H3917" s="479">
        <v>4.1579999999999995</v>
      </c>
      <c r="I3917" s="468" t="s">
        <v>9218</v>
      </c>
      <c r="J3917" s="468" t="s">
        <v>9219</v>
      </c>
      <c r="K3917" s="468" t="s">
        <v>9219</v>
      </c>
      <c r="L3917" s="468" t="s">
        <v>2354</v>
      </c>
    </row>
    <row r="3918" spans="1:12" x14ac:dyDescent="0.25">
      <c r="A3918" s="468" t="s">
        <v>220</v>
      </c>
      <c r="B3918" s="468" t="s">
        <v>5430</v>
      </c>
      <c r="C3918" s="468" t="s">
        <v>8799</v>
      </c>
      <c r="D3918" s="468" t="s">
        <v>6277</v>
      </c>
      <c r="F3918" s="470">
        <v>3</v>
      </c>
      <c r="G3918" s="468">
        <v>2.25</v>
      </c>
      <c r="H3918" s="479">
        <v>6.75</v>
      </c>
      <c r="I3918" s="468" t="s">
        <v>9218</v>
      </c>
      <c r="J3918" s="468" t="s">
        <v>9219</v>
      </c>
      <c r="K3918" s="468" t="s">
        <v>9219</v>
      </c>
      <c r="L3918" s="468" t="s">
        <v>2354</v>
      </c>
    </row>
    <row r="3919" spans="1:12" x14ac:dyDescent="0.25">
      <c r="A3919" s="468" t="s">
        <v>220</v>
      </c>
      <c r="B3919" s="468" t="s">
        <v>5430</v>
      </c>
      <c r="C3919" s="468" t="s">
        <v>6278</v>
      </c>
      <c r="D3919" s="468" t="s">
        <v>6279</v>
      </c>
      <c r="F3919" s="470">
        <v>10</v>
      </c>
      <c r="G3919" s="468">
        <v>1.21</v>
      </c>
      <c r="H3919" s="479">
        <v>12.1</v>
      </c>
      <c r="I3919" s="468" t="s">
        <v>9218</v>
      </c>
      <c r="J3919" s="468" t="s">
        <v>9219</v>
      </c>
      <c r="K3919" s="468" t="s">
        <v>9219</v>
      </c>
      <c r="L3919" s="468" t="s">
        <v>2354</v>
      </c>
    </row>
    <row r="3920" spans="1:12" x14ac:dyDescent="0.25">
      <c r="A3920" s="468" t="s">
        <v>220</v>
      </c>
      <c r="B3920" s="468" t="s">
        <v>5430</v>
      </c>
      <c r="C3920" s="468" t="s">
        <v>6280</v>
      </c>
      <c r="D3920" s="468" t="s">
        <v>6281</v>
      </c>
      <c r="F3920" s="470">
        <v>1</v>
      </c>
      <c r="G3920" s="468">
        <v>3.8149999999999999</v>
      </c>
      <c r="H3920" s="479">
        <v>3.8149999999999999</v>
      </c>
      <c r="I3920" s="468" t="s">
        <v>9218</v>
      </c>
      <c r="J3920" s="468" t="s">
        <v>9219</v>
      </c>
      <c r="K3920" s="468" t="s">
        <v>9219</v>
      </c>
      <c r="L3920" s="468" t="s">
        <v>2354</v>
      </c>
    </row>
    <row r="3921" spans="1:12" x14ac:dyDescent="0.25">
      <c r="A3921" s="468" t="s">
        <v>220</v>
      </c>
      <c r="B3921" s="468" t="s">
        <v>5430</v>
      </c>
      <c r="C3921" s="468" t="s">
        <v>3249</v>
      </c>
      <c r="D3921" s="468" t="s">
        <v>3250</v>
      </c>
      <c r="F3921" s="470">
        <v>8</v>
      </c>
      <c r="G3921" s="468">
        <v>8.7940000000000005</v>
      </c>
      <c r="H3921" s="479">
        <v>70.352000000000004</v>
      </c>
      <c r="I3921" s="468" t="s">
        <v>9218</v>
      </c>
      <c r="J3921" s="468" t="s">
        <v>9219</v>
      </c>
      <c r="K3921" s="468" t="s">
        <v>9219</v>
      </c>
      <c r="L3921" s="468" t="s">
        <v>2354</v>
      </c>
    </row>
    <row r="3922" spans="1:12" x14ac:dyDescent="0.25">
      <c r="A3922" s="468" t="s">
        <v>220</v>
      </c>
      <c r="B3922" s="468" t="s">
        <v>5430</v>
      </c>
      <c r="C3922" s="468" t="s">
        <v>8800</v>
      </c>
      <c r="D3922" s="468" t="s">
        <v>6283</v>
      </c>
      <c r="F3922" s="470">
        <v>6</v>
      </c>
      <c r="G3922" s="468">
        <v>2.4409999999999998</v>
      </c>
      <c r="H3922" s="479">
        <v>14.645999999999999</v>
      </c>
      <c r="I3922" s="468" t="s">
        <v>9218</v>
      </c>
      <c r="J3922" s="468" t="s">
        <v>9219</v>
      </c>
      <c r="K3922" s="468" t="s">
        <v>9219</v>
      </c>
      <c r="L3922" s="468" t="s">
        <v>2354</v>
      </c>
    </row>
    <row r="3923" spans="1:12" x14ac:dyDescent="0.25">
      <c r="A3923" s="468" t="s">
        <v>220</v>
      </c>
      <c r="B3923" s="468" t="s">
        <v>5430</v>
      </c>
      <c r="C3923" s="468" t="s">
        <v>3251</v>
      </c>
      <c r="D3923" s="468" t="s">
        <v>3252</v>
      </c>
      <c r="F3923" s="470">
        <v>5</v>
      </c>
      <c r="G3923" s="468">
        <v>3.0470000000000002</v>
      </c>
      <c r="H3923" s="479">
        <v>15.235000000000001</v>
      </c>
      <c r="I3923" s="468" t="s">
        <v>9218</v>
      </c>
      <c r="J3923" s="468" t="s">
        <v>9219</v>
      </c>
      <c r="K3923" s="468" t="s">
        <v>9219</v>
      </c>
      <c r="L3923" s="468" t="s">
        <v>2354</v>
      </c>
    </row>
    <row r="3924" spans="1:12" x14ac:dyDescent="0.25">
      <c r="A3924" s="468" t="s">
        <v>220</v>
      </c>
      <c r="B3924" s="468" t="s">
        <v>5430</v>
      </c>
      <c r="C3924" s="468" t="s">
        <v>6284</v>
      </c>
      <c r="D3924" s="468" t="s">
        <v>6285</v>
      </c>
      <c r="F3924" s="470">
        <v>8</v>
      </c>
      <c r="G3924" s="468">
        <v>0.64800000000000002</v>
      </c>
      <c r="H3924" s="479">
        <v>5.1840000000000002</v>
      </c>
      <c r="I3924" s="468" t="s">
        <v>9218</v>
      </c>
      <c r="J3924" s="468" t="s">
        <v>9219</v>
      </c>
      <c r="K3924" s="468" t="s">
        <v>9219</v>
      </c>
      <c r="L3924" s="468" t="s">
        <v>2354</v>
      </c>
    </row>
    <row r="3925" spans="1:12" x14ac:dyDescent="0.25">
      <c r="A3925" s="468" t="s">
        <v>220</v>
      </c>
      <c r="B3925" s="468" t="s">
        <v>5430</v>
      </c>
      <c r="C3925" s="468" t="s">
        <v>6286</v>
      </c>
      <c r="D3925" s="468" t="s">
        <v>6287</v>
      </c>
      <c r="F3925" s="470">
        <v>4</v>
      </c>
      <c r="G3925" s="468">
        <v>7.2919999999999998</v>
      </c>
      <c r="H3925" s="479">
        <v>29.167999999999999</v>
      </c>
      <c r="I3925" s="468" t="s">
        <v>9218</v>
      </c>
      <c r="J3925" s="468" t="s">
        <v>9219</v>
      </c>
      <c r="K3925" s="468" t="s">
        <v>9219</v>
      </c>
      <c r="L3925" s="468" t="s">
        <v>2354</v>
      </c>
    </row>
    <row r="3926" spans="1:12" x14ac:dyDescent="0.25">
      <c r="A3926" s="468" t="s">
        <v>220</v>
      </c>
      <c r="B3926" s="468" t="s">
        <v>5430</v>
      </c>
      <c r="C3926" s="468" t="s">
        <v>6288</v>
      </c>
      <c r="D3926" s="468" t="s">
        <v>6289</v>
      </c>
      <c r="F3926" s="470">
        <v>10</v>
      </c>
      <c r="G3926" s="468">
        <v>1.9550000000000001</v>
      </c>
      <c r="H3926" s="479">
        <v>19.55</v>
      </c>
      <c r="I3926" s="468" t="s">
        <v>9218</v>
      </c>
      <c r="J3926" s="468" t="s">
        <v>9219</v>
      </c>
      <c r="K3926" s="468" t="s">
        <v>9219</v>
      </c>
      <c r="L3926" s="468" t="s">
        <v>2354</v>
      </c>
    </row>
    <row r="3927" spans="1:12" x14ac:dyDescent="0.25">
      <c r="A3927" s="468" t="s">
        <v>220</v>
      </c>
      <c r="B3927" s="468" t="s">
        <v>5430</v>
      </c>
      <c r="C3927" s="468" t="s">
        <v>6290</v>
      </c>
      <c r="D3927" s="468" t="s">
        <v>6291</v>
      </c>
      <c r="F3927" s="470">
        <v>13</v>
      </c>
      <c r="G3927" s="468">
        <v>2.5779999999999998</v>
      </c>
      <c r="H3927" s="479">
        <v>33.513999999999996</v>
      </c>
      <c r="I3927" s="468" t="s">
        <v>9218</v>
      </c>
      <c r="J3927" s="468" t="s">
        <v>9219</v>
      </c>
      <c r="K3927" s="468" t="s">
        <v>9219</v>
      </c>
      <c r="L3927" s="468" t="s">
        <v>2354</v>
      </c>
    </row>
    <row r="3928" spans="1:12" x14ac:dyDescent="0.25">
      <c r="A3928" s="468" t="s">
        <v>220</v>
      </c>
      <c r="B3928" s="468" t="s">
        <v>5430</v>
      </c>
      <c r="C3928" s="468" t="s">
        <v>6292</v>
      </c>
      <c r="D3928" s="468" t="s">
        <v>6293</v>
      </c>
      <c r="F3928" s="470">
        <v>11</v>
      </c>
      <c r="G3928" s="468">
        <v>0.38</v>
      </c>
      <c r="H3928" s="479">
        <v>4.18</v>
      </c>
      <c r="I3928" s="468" t="s">
        <v>9218</v>
      </c>
      <c r="J3928" s="468" t="s">
        <v>9219</v>
      </c>
      <c r="K3928" s="468" t="s">
        <v>9219</v>
      </c>
      <c r="L3928" s="468" t="s">
        <v>2354</v>
      </c>
    </row>
    <row r="3929" spans="1:12" x14ac:dyDescent="0.25">
      <c r="A3929" s="468" t="s">
        <v>220</v>
      </c>
      <c r="B3929" s="468" t="s">
        <v>5430</v>
      </c>
      <c r="C3929" s="468" t="s">
        <v>6294</v>
      </c>
      <c r="D3929" s="468" t="s">
        <v>6295</v>
      </c>
      <c r="F3929" s="470">
        <v>1</v>
      </c>
      <c r="G3929" s="468">
        <v>12.339</v>
      </c>
      <c r="H3929" s="479">
        <v>12.339</v>
      </c>
      <c r="I3929" s="468" t="s">
        <v>9218</v>
      </c>
      <c r="J3929" s="468" t="s">
        <v>9219</v>
      </c>
      <c r="K3929" s="468" t="s">
        <v>9219</v>
      </c>
      <c r="L3929" s="468" t="s">
        <v>2354</v>
      </c>
    </row>
    <row r="3930" spans="1:12" x14ac:dyDescent="0.25">
      <c r="A3930" s="468" t="s">
        <v>220</v>
      </c>
      <c r="B3930" s="468" t="s">
        <v>5430</v>
      </c>
      <c r="C3930" s="468" t="s">
        <v>6296</v>
      </c>
      <c r="D3930" s="468" t="s">
        <v>6297</v>
      </c>
      <c r="F3930" s="470">
        <v>1</v>
      </c>
      <c r="G3930" s="468">
        <v>14.28</v>
      </c>
      <c r="H3930" s="479">
        <v>14.28</v>
      </c>
      <c r="I3930" s="468" t="s">
        <v>9218</v>
      </c>
      <c r="J3930" s="468" t="s">
        <v>9219</v>
      </c>
      <c r="K3930" s="468" t="s">
        <v>9219</v>
      </c>
      <c r="L3930" s="468" t="s">
        <v>2354</v>
      </c>
    </row>
    <row r="3931" spans="1:12" x14ac:dyDescent="0.25">
      <c r="A3931" s="468" t="s">
        <v>220</v>
      </c>
      <c r="B3931" s="468" t="s">
        <v>5430</v>
      </c>
      <c r="C3931" s="468" t="s">
        <v>6298</v>
      </c>
      <c r="D3931" s="468" t="s">
        <v>6299</v>
      </c>
      <c r="F3931" s="470">
        <v>3</v>
      </c>
      <c r="G3931" s="468">
        <v>10.417999999999999</v>
      </c>
      <c r="H3931" s="479">
        <v>31.253999999999998</v>
      </c>
      <c r="I3931" s="468" t="s">
        <v>9218</v>
      </c>
      <c r="J3931" s="468" t="s">
        <v>9219</v>
      </c>
      <c r="K3931" s="468" t="s">
        <v>9219</v>
      </c>
      <c r="L3931" s="468" t="s">
        <v>2354</v>
      </c>
    </row>
    <row r="3932" spans="1:12" x14ac:dyDescent="0.25">
      <c r="A3932" s="468" t="s">
        <v>220</v>
      </c>
      <c r="B3932" s="468" t="s">
        <v>5430</v>
      </c>
      <c r="C3932" s="468" t="s">
        <v>3257</v>
      </c>
      <c r="D3932" s="468" t="s">
        <v>3258</v>
      </c>
      <c r="F3932" s="470">
        <v>6</v>
      </c>
      <c r="G3932" s="468">
        <v>13.747</v>
      </c>
      <c r="H3932" s="479">
        <v>82.481999999999999</v>
      </c>
      <c r="I3932" s="468" t="s">
        <v>9218</v>
      </c>
      <c r="J3932" s="468" t="s">
        <v>9219</v>
      </c>
      <c r="K3932" s="468" t="s">
        <v>9219</v>
      </c>
      <c r="L3932" s="468" t="s">
        <v>2354</v>
      </c>
    </row>
    <row r="3933" spans="1:12" x14ac:dyDescent="0.25">
      <c r="A3933" s="468" t="s">
        <v>220</v>
      </c>
      <c r="B3933" s="468" t="s">
        <v>5430</v>
      </c>
      <c r="C3933" s="468" t="s">
        <v>6300</v>
      </c>
      <c r="D3933" s="468" t="s">
        <v>6301</v>
      </c>
      <c r="F3933" s="470">
        <v>5</v>
      </c>
      <c r="G3933" s="468">
        <v>15.805999999999999</v>
      </c>
      <c r="H3933" s="479">
        <v>79.03</v>
      </c>
      <c r="I3933" s="468" t="s">
        <v>9218</v>
      </c>
      <c r="J3933" s="468" t="s">
        <v>9219</v>
      </c>
      <c r="K3933" s="468" t="s">
        <v>9219</v>
      </c>
      <c r="L3933" s="468" t="s">
        <v>2354</v>
      </c>
    </row>
    <row r="3934" spans="1:12" x14ac:dyDescent="0.25">
      <c r="A3934" s="468" t="s">
        <v>220</v>
      </c>
      <c r="B3934" s="468" t="s">
        <v>5430</v>
      </c>
      <c r="C3934" s="468" t="s">
        <v>6302</v>
      </c>
      <c r="D3934" s="468" t="e">
        <v>#N/A</v>
      </c>
      <c r="F3934" s="470">
        <v>6</v>
      </c>
      <c r="G3934" s="468">
        <v>6.64</v>
      </c>
      <c r="H3934" s="479">
        <v>39.839999999999996</v>
      </c>
      <c r="I3934" s="468" t="s">
        <v>9218</v>
      </c>
      <c r="J3934" s="468" t="s">
        <v>9219</v>
      </c>
      <c r="K3934" s="468" t="s">
        <v>9219</v>
      </c>
      <c r="L3934" s="468" t="s">
        <v>2354</v>
      </c>
    </row>
    <row r="3935" spans="1:12" x14ac:dyDescent="0.25">
      <c r="A3935" s="468" t="s">
        <v>220</v>
      </c>
      <c r="B3935" s="468" t="s">
        <v>5430</v>
      </c>
      <c r="C3935" s="468" t="s">
        <v>6304</v>
      </c>
      <c r="D3935" s="468" t="s">
        <v>6305</v>
      </c>
      <c r="F3935" s="470">
        <v>10</v>
      </c>
      <c r="G3935" s="468">
        <v>19.2</v>
      </c>
      <c r="H3935" s="479">
        <v>192</v>
      </c>
      <c r="I3935" s="468" t="s">
        <v>9218</v>
      </c>
      <c r="J3935" s="468" t="s">
        <v>9219</v>
      </c>
      <c r="K3935" s="468" t="s">
        <v>9219</v>
      </c>
      <c r="L3935" s="468" t="s">
        <v>2354</v>
      </c>
    </row>
    <row r="3936" spans="1:12" x14ac:dyDescent="0.25">
      <c r="A3936" s="468" t="s">
        <v>220</v>
      </c>
      <c r="B3936" s="468" t="s">
        <v>5430</v>
      </c>
      <c r="C3936" s="468" t="s">
        <v>8801</v>
      </c>
      <c r="D3936" s="468" t="s">
        <v>6307</v>
      </c>
      <c r="F3936" s="470">
        <v>8</v>
      </c>
      <c r="G3936" s="468">
        <v>7.56</v>
      </c>
      <c r="H3936" s="479">
        <v>60.48</v>
      </c>
      <c r="I3936" s="468" t="s">
        <v>9218</v>
      </c>
      <c r="J3936" s="468" t="s">
        <v>9219</v>
      </c>
      <c r="K3936" s="468" t="s">
        <v>9219</v>
      </c>
      <c r="L3936" s="468" t="s">
        <v>2354</v>
      </c>
    </row>
    <row r="3937" spans="1:12" x14ac:dyDescent="0.25">
      <c r="A3937" s="468" t="s">
        <v>220</v>
      </c>
      <c r="B3937" s="468" t="s">
        <v>5430</v>
      </c>
      <c r="C3937" s="468" t="s">
        <v>8802</v>
      </c>
      <c r="D3937" s="468" t="s">
        <v>3266</v>
      </c>
      <c r="F3937" s="470">
        <v>3</v>
      </c>
      <c r="G3937" s="468">
        <v>12.682</v>
      </c>
      <c r="H3937" s="479">
        <v>38.045999999999999</v>
      </c>
      <c r="I3937" s="468" t="s">
        <v>9218</v>
      </c>
      <c r="J3937" s="468" t="s">
        <v>9219</v>
      </c>
      <c r="K3937" s="468" t="s">
        <v>9219</v>
      </c>
      <c r="L3937" s="468" t="s">
        <v>2354</v>
      </c>
    </row>
    <row r="3938" spans="1:12" x14ac:dyDescent="0.25">
      <c r="A3938" s="468" t="s">
        <v>220</v>
      </c>
      <c r="B3938" s="468" t="s">
        <v>5430</v>
      </c>
      <c r="C3938" s="468" t="s">
        <v>6308</v>
      </c>
      <c r="D3938" s="468" t="s">
        <v>6309</v>
      </c>
      <c r="F3938" s="470">
        <v>2</v>
      </c>
      <c r="G3938" s="468">
        <v>6.1230000000000002</v>
      </c>
      <c r="H3938" s="479">
        <v>12.246</v>
      </c>
      <c r="I3938" s="468" t="s">
        <v>9218</v>
      </c>
      <c r="J3938" s="468" t="s">
        <v>9219</v>
      </c>
      <c r="K3938" s="468" t="s">
        <v>9219</v>
      </c>
      <c r="L3938" s="468" t="s">
        <v>2354</v>
      </c>
    </row>
    <row r="3939" spans="1:12" x14ac:dyDescent="0.25">
      <c r="A3939" s="468" t="s">
        <v>220</v>
      </c>
      <c r="B3939" s="468" t="s">
        <v>5430</v>
      </c>
      <c r="C3939" s="468" t="s">
        <v>6310</v>
      </c>
      <c r="D3939" s="468" t="s">
        <v>6311</v>
      </c>
      <c r="F3939" s="470">
        <v>5</v>
      </c>
      <c r="G3939" s="468">
        <v>22.92</v>
      </c>
      <c r="H3939" s="479">
        <v>114.60000000000001</v>
      </c>
      <c r="I3939" s="468" t="s">
        <v>9218</v>
      </c>
      <c r="J3939" s="468" t="s">
        <v>9219</v>
      </c>
      <c r="K3939" s="468" t="s">
        <v>9219</v>
      </c>
      <c r="L3939" s="468" t="s">
        <v>2354</v>
      </c>
    </row>
    <row r="3940" spans="1:12" x14ac:dyDescent="0.25">
      <c r="A3940" s="468" t="s">
        <v>220</v>
      </c>
      <c r="B3940" s="468" t="s">
        <v>5430</v>
      </c>
      <c r="C3940" s="468" t="s">
        <v>6312</v>
      </c>
      <c r="D3940" s="468" t="s">
        <v>6313</v>
      </c>
      <c r="F3940" s="470">
        <v>4</v>
      </c>
      <c r="G3940" s="468">
        <v>20.780999999999999</v>
      </c>
      <c r="H3940" s="479">
        <v>83.123999999999995</v>
      </c>
      <c r="I3940" s="468" t="s">
        <v>9218</v>
      </c>
      <c r="J3940" s="468" t="s">
        <v>9219</v>
      </c>
      <c r="K3940" s="468" t="s">
        <v>9219</v>
      </c>
      <c r="L3940" s="468" t="s">
        <v>2354</v>
      </c>
    </row>
    <row r="3941" spans="1:12" x14ac:dyDescent="0.25">
      <c r="A3941" s="468" t="s">
        <v>220</v>
      </c>
      <c r="B3941" s="468" t="s">
        <v>5430</v>
      </c>
      <c r="C3941" s="468" t="s">
        <v>3273</v>
      </c>
      <c r="D3941" s="468" t="s">
        <v>3274</v>
      </c>
      <c r="F3941" s="470">
        <v>17</v>
      </c>
      <c r="G3941" s="468">
        <v>12.333</v>
      </c>
      <c r="H3941" s="479">
        <v>209.661</v>
      </c>
      <c r="I3941" s="468" t="s">
        <v>9218</v>
      </c>
      <c r="J3941" s="468" t="s">
        <v>9219</v>
      </c>
      <c r="K3941" s="468" t="s">
        <v>9219</v>
      </c>
      <c r="L3941" s="468" t="s">
        <v>2354</v>
      </c>
    </row>
    <row r="3942" spans="1:12" x14ac:dyDescent="0.25">
      <c r="A3942" s="468" t="s">
        <v>220</v>
      </c>
      <c r="B3942" s="468" t="s">
        <v>5430</v>
      </c>
      <c r="C3942" s="468" t="s">
        <v>3277</v>
      </c>
      <c r="D3942" s="468" t="s">
        <v>3278</v>
      </c>
      <c r="F3942" s="470">
        <v>10</v>
      </c>
      <c r="G3942" s="468">
        <v>1.081</v>
      </c>
      <c r="H3942" s="479">
        <v>10.809999999999999</v>
      </c>
      <c r="I3942" s="468" t="s">
        <v>9218</v>
      </c>
      <c r="J3942" s="468" t="s">
        <v>9219</v>
      </c>
      <c r="K3942" s="468" t="s">
        <v>9219</v>
      </c>
      <c r="L3942" s="468" t="s">
        <v>2354</v>
      </c>
    </row>
    <row r="3943" spans="1:12" x14ac:dyDescent="0.25">
      <c r="A3943" s="468" t="s">
        <v>220</v>
      </c>
      <c r="B3943" s="468" t="s">
        <v>5430</v>
      </c>
      <c r="C3943" s="468" t="s">
        <v>3279</v>
      </c>
      <c r="D3943" s="468" t="s">
        <v>3280</v>
      </c>
      <c r="F3943" s="470">
        <v>10</v>
      </c>
      <c r="G3943" s="468">
        <v>2.4079999999999999</v>
      </c>
      <c r="H3943" s="479">
        <v>24.08</v>
      </c>
      <c r="I3943" s="468" t="s">
        <v>9218</v>
      </c>
      <c r="J3943" s="468" t="s">
        <v>9219</v>
      </c>
      <c r="K3943" s="468" t="s">
        <v>9219</v>
      </c>
      <c r="L3943" s="468" t="s">
        <v>2354</v>
      </c>
    </row>
    <row r="3944" spans="1:12" x14ac:dyDescent="0.25">
      <c r="A3944" s="468" t="s">
        <v>220</v>
      </c>
      <c r="B3944" s="468" t="s">
        <v>5430</v>
      </c>
      <c r="C3944" s="468" t="s">
        <v>3287</v>
      </c>
      <c r="D3944" s="468" t="s">
        <v>3288</v>
      </c>
      <c r="F3944" s="470">
        <v>12</v>
      </c>
      <c r="G3944" s="468">
        <v>9.798</v>
      </c>
      <c r="H3944" s="479">
        <v>117.57599999999999</v>
      </c>
      <c r="I3944" s="468" t="s">
        <v>9218</v>
      </c>
      <c r="J3944" s="468" t="s">
        <v>9219</v>
      </c>
      <c r="K3944" s="468" t="s">
        <v>9219</v>
      </c>
      <c r="L3944" s="468" t="s">
        <v>2354</v>
      </c>
    </row>
    <row r="3945" spans="1:12" x14ac:dyDescent="0.25">
      <c r="A3945" s="468" t="s">
        <v>220</v>
      </c>
      <c r="B3945" s="468" t="s">
        <v>5430</v>
      </c>
      <c r="C3945" s="468" t="s">
        <v>6315</v>
      </c>
      <c r="D3945" s="468" t="s">
        <v>6316</v>
      </c>
      <c r="F3945" s="470">
        <v>5</v>
      </c>
      <c r="G3945" s="468">
        <v>16</v>
      </c>
      <c r="H3945" s="479">
        <v>80</v>
      </c>
      <c r="I3945" s="468" t="s">
        <v>9218</v>
      </c>
      <c r="J3945" s="468" t="s">
        <v>9219</v>
      </c>
      <c r="K3945" s="468" t="s">
        <v>9219</v>
      </c>
      <c r="L3945" s="468" t="s">
        <v>2354</v>
      </c>
    </row>
    <row r="3946" spans="1:12" x14ac:dyDescent="0.25">
      <c r="A3946" s="468" t="s">
        <v>220</v>
      </c>
      <c r="B3946" s="468" t="s">
        <v>5430</v>
      </c>
      <c r="C3946" s="468" t="s">
        <v>3293</v>
      </c>
      <c r="D3946" s="468" t="s">
        <v>3294</v>
      </c>
      <c r="F3946" s="470">
        <v>4</v>
      </c>
      <c r="G3946" s="468">
        <v>1.292</v>
      </c>
      <c r="H3946" s="479">
        <v>5.1680000000000001</v>
      </c>
      <c r="I3946" s="468" t="s">
        <v>9218</v>
      </c>
      <c r="J3946" s="468" t="s">
        <v>9219</v>
      </c>
      <c r="K3946" s="468" t="s">
        <v>9219</v>
      </c>
      <c r="L3946" s="468" t="s">
        <v>2354</v>
      </c>
    </row>
    <row r="3947" spans="1:12" x14ac:dyDescent="0.25">
      <c r="A3947" s="468" t="s">
        <v>220</v>
      </c>
      <c r="B3947" s="468" t="s">
        <v>5430</v>
      </c>
      <c r="C3947" s="468" t="s">
        <v>3295</v>
      </c>
      <c r="D3947" s="468" t="s">
        <v>3296</v>
      </c>
      <c r="F3947" s="470">
        <v>2</v>
      </c>
      <c r="G3947" s="468">
        <v>3.3119999999999998</v>
      </c>
      <c r="H3947" s="479">
        <v>6.6239999999999997</v>
      </c>
      <c r="I3947" s="468" t="s">
        <v>9218</v>
      </c>
      <c r="J3947" s="468" t="s">
        <v>9219</v>
      </c>
      <c r="K3947" s="468" t="s">
        <v>9219</v>
      </c>
      <c r="L3947" s="468" t="s">
        <v>2354</v>
      </c>
    </row>
    <row r="3948" spans="1:12" x14ac:dyDescent="0.25">
      <c r="A3948" s="468" t="s">
        <v>220</v>
      </c>
      <c r="B3948" s="468" t="s">
        <v>5430</v>
      </c>
      <c r="C3948" s="468" t="s">
        <v>6317</v>
      </c>
      <c r="D3948" s="468" t="s">
        <v>6318</v>
      </c>
      <c r="F3948" s="470">
        <v>3</v>
      </c>
      <c r="G3948" s="468">
        <v>4.5519999999999996</v>
      </c>
      <c r="H3948" s="479">
        <v>13.655999999999999</v>
      </c>
      <c r="I3948" s="468" t="s">
        <v>9218</v>
      </c>
      <c r="J3948" s="468" t="s">
        <v>9219</v>
      </c>
      <c r="K3948" s="468" t="s">
        <v>9219</v>
      </c>
      <c r="L3948" s="468" t="s">
        <v>2354</v>
      </c>
    </row>
    <row r="3949" spans="1:12" x14ac:dyDescent="0.25">
      <c r="A3949" s="468" t="s">
        <v>220</v>
      </c>
      <c r="B3949" s="468" t="s">
        <v>5430</v>
      </c>
      <c r="C3949" s="468" t="s">
        <v>3303</v>
      </c>
      <c r="D3949" s="468" t="s">
        <v>3304</v>
      </c>
      <c r="F3949" s="470">
        <v>11</v>
      </c>
      <c r="G3949" s="468">
        <v>6.04</v>
      </c>
      <c r="H3949" s="479">
        <v>66.44</v>
      </c>
      <c r="I3949" s="468" t="s">
        <v>9218</v>
      </c>
      <c r="J3949" s="468" t="s">
        <v>9219</v>
      </c>
      <c r="K3949" s="468" t="s">
        <v>9219</v>
      </c>
      <c r="L3949" s="468" t="s">
        <v>2354</v>
      </c>
    </row>
    <row r="3950" spans="1:12" x14ac:dyDescent="0.25">
      <c r="A3950" s="468" t="s">
        <v>220</v>
      </c>
      <c r="B3950" s="468" t="s">
        <v>5430</v>
      </c>
      <c r="C3950" s="468" t="s">
        <v>6320</v>
      </c>
      <c r="D3950" s="468" t="s">
        <v>6321</v>
      </c>
      <c r="F3950" s="470">
        <v>24</v>
      </c>
      <c r="G3950" s="468">
        <v>2.2120000000000002</v>
      </c>
      <c r="H3950" s="479">
        <v>53.088000000000008</v>
      </c>
      <c r="I3950" s="468" t="s">
        <v>9218</v>
      </c>
      <c r="J3950" s="468" t="s">
        <v>9219</v>
      </c>
      <c r="K3950" s="468" t="s">
        <v>9219</v>
      </c>
      <c r="L3950" s="468" t="s">
        <v>2354</v>
      </c>
    </row>
    <row r="3951" spans="1:12" x14ac:dyDescent="0.25">
      <c r="A3951" s="468" t="s">
        <v>220</v>
      </c>
      <c r="B3951" s="468" t="s">
        <v>5430</v>
      </c>
      <c r="C3951" s="468" t="s">
        <v>6322</v>
      </c>
      <c r="D3951" s="468" t="s">
        <v>3308</v>
      </c>
      <c r="F3951" s="470">
        <v>7</v>
      </c>
      <c r="G3951" s="468">
        <v>2.0830000000000002</v>
      </c>
      <c r="H3951" s="479">
        <v>14.581000000000001</v>
      </c>
      <c r="I3951" s="468" t="s">
        <v>9218</v>
      </c>
      <c r="J3951" s="468" t="s">
        <v>9219</v>
      </c>
      <c r="K3951" s="468" t="s">
        <v>9219</v>
      </c>
      <c r="L3951" s="468" t="s">
        <v>2354</v>
      </c>
    </row>
    <row r="3952" spans="1:12" x14ac:dyDescent="0.25">
      <c r="A3952" s="468" t="s">
        <v>220</v>
      </c>
      <c r="B3952" s="468" t="s">
        <v>5430</v>
      </c>
      <c r="C3952" s="468" t="s">
        <v>6323</v>
      </c>
      <c r="D3952" s="468" t="s">
        <v>6324</v>
      </c>
      <c r="F3952" s="470">
        <v>1</v>
      </c>
      <c r="G3952" s="468">
        <v>9.9819999999999993</v>
      </c>
      <c r="H3952" s="479">
        <v>9.9819999999999993</v>
      </c>
      <c r="I3952" s="468" t="s">
        <v>9218</v>
      </c>
      <c r="J3952" s="468" t="s">
        <v>9219</v>
      </c>
      <c r="K3952" s="468" t="s">
        <v>9219</v>
      </c>
      <c r="L3952" s="468" t="s">
        <v>2354</v>
      </c>
    </row>
    <row r="3953" spans="1:12" x14ac:dyDescent="0.25">
      <c r="A3953" s="468" t="s">
        <v>220</v>
      </c>
      <c r="B3953" s="468" t="s">
        <v>5430</v>
      </c>
      <c r="C3953" s="468" t="s">
        <v>3317</v>
      </c>
      <c r="D3953" s="468" t="s">
        <v>5340</v>
      </c>
      <c r="F3953" s="470">
        <v>10</v>
      </c>
      <c r="G3953" s="468">
        <v>1.796</v>
      </c>
      <c r="H3953" s="479">
        <v>17.96</v>
      </c>
      <c r="I3953" s="468" t="s">
        <v>9218</v>
      </c>
      <c r="J3953" s="468" t="s">
        <v>9219</v>
      </c>
      <c r="K3953" s="468" t="s">
        <v>9219</v>
      </c>
      <c r="L3953" s="468" t="s">
        <v>2354</v>
      </c>
    </row>
    <row r="3954" spans="1:12" x14ac:dyDescent="0.25">
      <c r="A3954" s="468" t="s">
        <v>220</v>
      </c>
      <c r="B3954" s="468" t="s">
        <v>5430</v>
      </c>
      <c r="C3954" s="468" t="s">
        <v>3319</v>
      </c>
      <c r="D3954" s="468" t="s">
        <v>3320</v>
      </c>
      <c r="F3954" s="470">
        <v>10</v>
      </c>
      <c r="G3954" s="468">
        <v>1.403</v>
      </c>
      <c r="H3954" s="479">
        <v>14.030000000000001</v>
      </c>
      <c r="I3954" s="468" t="s">
        <v>9218</v>
      </c>
      <c r="J3954" s="468" t="s">
        <v>9219</v>
      </c>
      <c r="K3954" s="468" t="s">
        <v>9219</v>
      </c>
      <c r="L3954" s="468" t="s">
        <v>2354</v>
      </c>
    </row>
    <row r="3955" spans="1:12" x14ac:dyDescent="0.25">
      <c r="A3955" s="468" t="s">
        <v>220</v>
      </c>
      <c r="B3955" s="468" t="s">
        <v>5430</v>
      </c>
      <c r="C3955" s="468" t="s">
        <v>6325</v>
      </c>
      <c r="D3955" s="468" t="s">
        <v>6326</v>
      </c>
      <c r="F3955" s="470">
        <v>2</v>
      </c>
      <c r="G3955" s="468">
        <v>5.0170000000000003</v>
      </c>
      <c r="H3955" s="479">
        <v>10.034000000000001</v>
      </c>
      <c r="I3955" s="468" t="s">
        <v>9218</v>
      </c>
      <c r="J3955" s="468" t="s">
        <v>9219</v>
      </c>
      <c r="K3955" s="468" t="s">
        <v>9219</v>
      </c>
      <c r="L3955" s="468" t="s">
        <v>2354</v>
      </c>
    </row>
    <row r="3956" spans="1:12" x14ac:dyDescent="0.25">
      <c r="A3956" s="468" t="s">
        <v>220</v>
      </c>
      <c r="B3956" s="468" t="s">
        <v>5430</v>
      </c>
      <c r="C3956" s="468" t="s">
        <v>3321</v>
      </c>
      <c r="D3956" s="468" t="s">
        <v>3322</v>
      </c>
      <c r="F3956" s="470">
        <v>18</v>
      </c>
      <c r="G3956" s="468">
        <v>1.244</v>
      </c>
      <c r="H3956" s="479">
        <v>22.391999999999999</v>
      </c>
      <c r="I3956" s="468" t="s">
        <v>9218</v>
      </c>
      <c r="J3956" s="468" t="s">
        <v>9219</v>
      </c>
      <c r="K3956" s="468" t="s">
        <v>9219</v>
      </c>
      <c r="L3956" s="468" t="s">
        <v>2354</v>
      </c>
    </row>
    <row r="3957" spans="1:12" x14ac:dyDescent="0.25">
      <c r="A3957" s="468" t="s">
        <v>220</v>
      </c>
      <c r="B3957" s="468" t="s">
        <v>5430</v>
      </c>
      <c r="C3957" s="468" t="s">
        <v>3323</v>
      </c>
      <c r="D3957" s="468" t="s">
        <v>3324</v>
      </c>
      <c r="F3957" s="470">
        <v>51</v>
      </c>
      <c r="G3957" s="468">
        <v>0.64500000000000002</v>
      </c>
      <c r="H3957" s="479">
        <v>32.895000000000003</v>
      </c>
      <c r="I3957" s="468" t="s">
        <v>9218</v>
      </c>
      <c r="J3957" s="468" t="s">
        <v>9219</v>
      </c>
      <c r="K3957" s="468" t="s">
        <v>9219</v>
      </c>
      <c r="L3957" s="468" t="s">
        <v>2354</v>
      </c>
    </row>
    <row r="3958" spans="1:12" x14ac:dyDescent="0.25">
      <c r="A3958" s="468" t="s">
        <v>220</v>
      </c>
      <c r="B3958" s="468" t="s">
        <v>5430</v>
      </c>
      <c r="C3958" s="468" t="s">
        <v>6327</v>
      </c>
      <c r="D3958" s="468" t="s">
        <v>6328</v>
      </c>
      <c r="F3958" s="470">
        <v>50</v>
      </c>
      <c r="G3958" s="468">
        <v>1.0880000000000001</v>
      </c>
      <c r="H3958" s="479">
        <v>54.400000000000006</v>
      </c>
      <c r="I3958" s="468" t="s">
        <v>9218</v>
      </c>
      <c r="J3958" s="468" t="s">
        <v>9219</v>
      </c>
      <c r="K3958" s="468" t="s">
        <v>9219</v>
      </c>
      <c r="L3958" s="468" t="s">
        <v>2354</v>
      </c>
    </row>
    <row r="3959" spans="1:12" x14ac:dyDescent="0.25">
      <c r="A3959" s="468" t="s">
        <v>220</v>
      </c>
      <c r="B3959" s="468" t="s">
        <v>5430</v>
      </c>
      <c r="C3959" s="468" t="s">
        <v>3325</v>
      </c>
      <c r="D3959" s="468" t="s">
        <v>3326</v>
      </c>
      <c r="F3959" s="470">
        <v>50</v>
      </c>
      <c r="G3959" s="468">
        <v>0.99399999999999999</v>
      </c>
      <c r="H3959" s="479">
        <v>49.7</v>
      </c>
      <c r="I3959" s="468" t="s">
        <v>9218</v>
      </c>
      <c r="J3959" s="468" t="s">
        <v>9219</v>
      </c>
      <c r="K3959" s="468" t="s">
        <v>9219</v>
      </c>
      <c r="L3959" s="468" t="s">
        <v>2354</v>
      </c>
    </row>
    <row r="3960" spans="1:12" x14ac:dyDescent="0.25">
      <c r="A3960" s="468" t="s">
        <v>220</v>
      </c>
      <c r="B3960" s="468" t="s">
        <v>5430</v>
      </c>
      <c r="C3960" s="468" t="s">
        <v>6329</v>
      </c>
      <c r="D3960" s="468" t="s">
        <v>6330</v>
      </c>
      <c r="F3960" s="470">
        <v>37</v>
      </c>
      <c r="G3960" s="468">
        <v>0.61199999999999999</v>
      </c>
      <c r="H3960" s="479">
        <v>22.643999999999998</v>
      </c>
      <c r="I3960" s="468" t="s">
        <v>9218</v>
      </c>
      <c r="J3960" s="468" t="s">
        <v>9219</v>
      </c>
      <c r="K3960" s="468" t="s">
        <v>9219</v>
      </c>
      <c r="L3960" s="468" t="s">
        <v>2354</v>
      </c>
    </row>
    <row r="3961" spans="1:12" x14ac:dyDescent="0.25">
      <c r="A3961" s="468" t="s">
        <v>220</v>
      </c>
      <c r="B3961" s="468" t="s">
        <v>5430</v>
      </c>
      <c r="C3961" s="468" t="s">
        <v>8803</v>
      </c>
      <c r="D3961" s="468" t="s">
        <v>6332</v>
      </c>
      <c r="F3961" s="470">
        <v>4</v>
      </c>
      <c r="G3961" s="468">
        <v>0.67300000000000004</v>
      </c>
      <c r="H3961" s="479">
        <v>2.6920000000000002</v>
      </c>
      <c r="I3961" s="468" t="s">
        <v>9218</v>
      </c>
      <c r="J3961" s="468" t="s">
        <v>9219</v>
      </c>
      <c r="K3961" s="468" t="s">
        <v>9219</v>
      </c>
      <c r="L3961" s="468" t="s">
        <v>2354</v>
      </c>
    </row>
    <row r="3962" spans="1:12" x14ac:dyDescent="0.25">
      <c r="A3962" s="468" t="s">
        <v>220</v>
      </c>
      <c r="B3962" s="468" t="s">
        <v>5430</v>
      </c>
      <c r="C3962" s="468" t="s">
        <v>6333</v>
      </c>
      <c r="D3962" s="468" t="s">
        <v>6334</v>
      </c>
      <c r="F3962" s="470">
        <v>10</v>
      </c>
      <c r="G3962" s="468">
        <v>1.6160000000000001</v>
      </c>
      <c r="H3962" s="479">
        <v>16.16</v>
      </c>
      <c r="I3962" s="468" t="s">
        <v>9218</v>
      </c>
      <c r="J3962" s="468" t="s">
        <v>9219</v>
      </c>
      <c r="K3962" s="468" t="s">
        <v>9219</v>
      </c>
      <c r="L3962" s="468" t="s">
        <v>2354</v>
      </c>
    </row>
    <row r="3963" spans="1:12" x14ac:dyDescent="0.25">
      <c r="A3963" s="468" t="s">
        <v>220</v>
      </c>
      <c r="B3963" s="468" t="s">
        <v>5430</v>
      </c>
      <c r="C3963" s="468" t="s">
        <v>3329</v>
      </c>
      <c r="D3963" s="468" t="s">
        <v>3330</v>
      </c>
      <c r="F3963" s="470">
        <v>25</v>
      </c>
      <c r="G3963" s="468">
        <v>1.0629999999999999</v>
      </c>
      <c r="H3963" s="479">
        <v>26.574999999999999</v>
      </c>
      <c r="I3963" s="468" t="s">
        <v>9218</v>
      </c>
      <c r="J3963" s="468" t="s">
        <v>9219</v>
      </c>
      <c r="K3963" s="468" t="s">
        <v>9219</v>
      </c>
      <c r="L3963" s="468" t="s">
        <v>2354</v>
      </c>
    </row>
    <row r="3964" spans="1:12" x14ac:dyDescent="0.25">
      <c r="A3964" s="468" t="s">
        <v>220</v>
      </c>
      <c r="B3964" s="468" t="s">
        <v>5430</v>
      </c>
      <c r="C3964" s="468" t="s">
        <v>6335</v>
      </c>
      <c r="D3964" s="468" t="s">
        <v>6336</v>
      </c>
      <c r="F3964" s="470">
        <v>54</v>
      </c>
      <c r="G3964" s="468">
        <v>0.38300000000000001</v>
      </c>
      <c r="H3964" s="479">
        <v>20.682000000000002</v>
      </c>
      <c r="I3964" s="468" t="s">
        <v>9218</v>
      </c>
      <c r="J3964" s="468" t="s">
        <v>9219</v>
      </c>
      <c r="K3964" s="468" t="s">
        <v>9219</v>
      </c>
      <c r="L3964" s="468" t="s">
        <v>2354</v>
      </c>
    </row>
    <row r="3965" spans="1:12" x14ac:dyDescent="0.25">
      <c r="A3965" s="468" t="s">
        <v>220</v>
      </c>
      <c r="B3965" s="468" t="s">
        <v>5430</v>
      </c>
      <c r="C3965" s="468" t="s">
        <v>6337</v>
      </c>
      <c r="D3965" s="468" t="s">
        <v>6338</v>
      </c>
      <c r="F3965" s="470">
        <v>42</v>
      </c>
      <c r="G3965" s="468">
        <v>0.371</v>
      </c>
      <c r="H3965" s="479">
        <v>15.582000000000001</v>
      </c>
      <c r="I3965" s="468" t="s">
        <v>9218</v>
      </c>
      <c r="J3965" s="468" t="s">
        <v>9219</v>
      </c>
      <c r="K3965" s="468" t="s">
        <v>9219</v>
      </c>
      <c r="L3965" s="468" t="s">
        <v>2354</v>
      </c>
    </row>
    <row r="3966" spans="1:12" x14ac:dyDescent="0.25">
      <c r="A3966" s="468" t="s">
        <v>220</v>
      </c>
      <c r="B3966" s="468" t="s">
        <v>5430</v>
      </c>
      <c r="C3966" s="468" t="s">
        <v>6339</v>
      </c>
      <c r="D3966" s="468" t="s">
        <v>6340</v>
      </c>
      <c r="F3966" s="470">
        <v>51</v>
      </c>
      <c r="G3966" s="468">
        <v>0.98299999999999998</v>
      </c>
      <c r="H3966" s="479">
        <v>50.133000000000003</v>
      </c>
      <c r="I3966" s="468" t="s">
        <v>9218</v>
      </c>
      <c r="J3966" s="468" t="s">
        <v>9219</v>
      </c>
      <c r="K3966" s="468" t="s">
        <v>9219</v>
      </c>
      <c r="L3966" s="468" t="s">
        <v>2354</v>
      </c>
    </row>
    <row r="3967" spans="1:12" x14ac:dyDescent="0.25">
      <c r="A3967" s="468" t="s">
        <v>220</v>
      </c>
      <c r="B3967" s="468" t="s">
        <v>5430</v>
      </c>
      <c r="C3967" s="468" t="s">
        <v>3337</v>
      </c>
      <c r="D3967" s="468" t="s">
        <v>3338</v>
      </c>
      <c r="F3967" s="470">
        <v>19</v>
      </c>
      <c r="G3967" s="468">
        <v>0.75700000000000001</v>
      </c>
      <c r="H3967" s="479">
        <v>14.383000000000001</v>
      </c>
      <c r="I3967" s="468" t="s">
        <v>9218</v>
      </c>
      <c r="J3967" s="468" t="s">
        <v>9219</v>
      </c>
      <c r="K3967" s="468" t="s">
        <v>9219</v>
      </c>
      <c r="L3967" s="468" t="s">
        <v>2354</v>
      </c>
    </row>
    <row r="3968" spans="1:12" x14ac:dyDescent="0.25">
      <c r="A3968" s="468" t="s">
        <v>220</v>
      </c>
      <c r="B3968" s="468" t="s">
        <v>5430</v>
      </c>
      <c r="C3968" s="468" t="s">
        <v>3339</v>
      </c>
      <c r="D3968" s="468" t="s">
        <v>3340</v>
      </c>
      <c r="F3968" s="470">
        <v>20</v>
      </c>
      <c r="G3968" s="468">
        <v>1.02</v>
      </c>
      <c r="H3968" s="479">
        <v>20.399999999999999</v>
      </c>
      <c r="I3968" s="468" t="s">
        <v>9218</v>
      </c>
      <c r="J3968" s="468" t="s">
        <v>9219</v>
      </c>
      <c r="K3968" s="468" t="s">
        <v>9219</v>
      </c>
      <c r="L3968" s="468" t="s">
        <v>2354</v>
      </c>
    </row>
    <row r="3969" spans="1:12" x14ac:dyDescent="0.25">
      <c r="A3969" s="468" t="s">
        <v>220</v>
      </c>
      <c r="B3969" s="468" t="s">
        <v>5430</v>
      </c>
      <c r="C3969" s="468" t="s">
        <v>6341</v>
      </c>
      <c r="D3969" s="468" t="s">
        <v>6342</v>
      </c>
      <c r="F3969" s="470">
        <v>4</v>
      </c>
      <c r="G3969" s="468">
        <v>5.7290000000000001</v>
      </c>
      <c r="H3969" s="479">
        <v>22.916</v>
      </c>
      <c r="I3969" s="468" t="s">
        <v>9218</v>
      </c>
      <c r="J3969" s="468" t="s">
        <v>9219</v>
      </c>
      <c r="K3969" s="468" t="s">
        <v>9219</v>
      </c>
      <c r="L3969" s="468" t="s">
        <v>2354</v>
      </c>
    </row>
    <row r="3970" spans="1:12" x14ac:dyDescent="0.25">
      <c r="A3970" s="468" t="s">
        <v>220</v>
      </c>
      <c r="B3970" s="468" t="s">
        <v>5430</v>
      </c>
      <c r="C3970" s="468" t="s">
        <v>6343</v>
      </c>
      <c r="D3970" s="468" t="s">
        <v>6344</v>
      </c>
      <c r="F3970" s="470">
        <v>1</v>
      </c>
      <c r="G3970" s="468">
        <v>7.9390000000000001</v>
      </c>
      <c r="H3970" s="479">
        <v>7.9390000000000001</v>
      </c>
      <c r="I3970" s="468" t="s">
        <v>9218</v>
      </c>
      <c r="J3970" s="468" t="s">
        <v>9219</v>
      </c>
      <c r="K3970" s="468" t="s">
        <v>9219</v>
      </c>
      <c r="L3970" s="468" t="s">
        <v>2354</v>
      </c>
    </row>
    <row r="3971" spans="1:12" x14ac:dyDescent="0.25">
      <c r="A3971" s="468" t="s">
        <v>220</v>
      </c>
      <c r="B3971" s="468" t="s">
        <v>5430</v>
      </c>
      <c r="C3971" s="468" t="s">
        <v>3349</v>
      </c>
      <c r="D3971" s="468" t="s">
        <v>3350</v>
      </c>
      <c r="F3971" s="470">
        <v>29</v>
      </c>
      <c r="G3971" s="468">
        <v>1.4370000000000001</v>
      </c>
      <c r="H3971" s="479">
        <v>41.673000000000002</v>
      </c>
      <c r="I3971" s="468" t="s">
        <v>9218</v>
      </c>
      <c r="J3971" s="468" t="s">
        <v>9219</v>
      </c>
      <c r="K3971" s="468" t="s">
        <v>9219</v>
      </c>
      <c r="L3971" s="468" t="s">
        <v>2354</v>
      </c>
    </row>
    <row r="3972" spans="1:12" x14ac:dyDescent="0.25">
      <c r="A3972" s="468" t="s">
        <v>220</v>
      </c>
      <c r="B3972" s="468" t="s">
        <v>5430</v>
      </c>
      <c r="C3972" s="468" t="s">
        <v>6345</v>
      </c>
      <c r="D3972" s="468" t="e">
        <v>#N/A</v>
      </c>
      <c r="F3972" s="470">
        <v>8</v>
      </c>
      <c r="G3972" s="468">
        <v>7.0730000000000004</v>
      </c>
      <c r="H3972" s="479">
        <v>56.584000000000003</v>
      </c>
      <c r="I3972" s="468" t="s">
        <v>9218</v>
      </c>
      <c r="J3972" s="468" t="s">
        <v>9219</v>
      </c>
      <c r="K3972" s="468" t="s">
        <v>9219</v>
      </c>
      <c r="L3972" s="468" t="s">
        <v>2354</v>
      </c>
    </row>
    <row r="3973" spans="1:12" x14ac:dyDescent="0.25">
      <c r="A3973" s="468" t="s">
        <v>220</v>
      </c>
      <c r="B3973" s="468" t="s">
        <v>5430</v>
      </c>
      <c r="C3973" s="468" t="s">
        <v>6347</v>
      </c>
      <c r="D3973" s="468" t="s">
        <v>6348</v>
      </c>
      <c r="F3973" s="470">
        <v>10</v>
      </c>
      <c r="G3973" s="468">
        <v>19.492000000000001</v>
      </c>
      <c r="H3973" s="479">
        <v>194.92000000000002</v>
      </c>
      <c r="I3973" s="468" t="s">
        <v>9218</v>
      </c>
      <c r="J3973" s="468" t="s">
        <v>9219</v>
      </c>
      <c r="K3973" s="468" t="s">
        <v>9219</v>
      </c>
      <c r="L3973" s="468" t="s">
        <v>2354</v>
      </c>
    </row>
    <row r="3974" spans="1:12" x14ac:dyDescent="0.25">
      <c r="A3974" s="468" t="s">
        <v>220</v>
      </c>
      <c r="B3974" s="468" t="s">
        <v>5430</v>
      </c>
      <c r="C3974" s="468" t="s">
        <v>6349</v>
      </c>
      <c r="D3974" s="468" t="s">
        <v>6350</v>
      </c>
      <c r="F3974" s="470">
        <v>30</v>
      </c>
      <c r="G3974" s="468">
        <v>0.36699999999999999</v>
      </c>
      <c r="H3974" s="479">
        <v>11.01</v>
      </c>
      <c r="I3974" s="468" t="s">
        <v>9218</v>
      </c>
      <c r="J3974" s="468" t="s">
        <v>9219</v>
      </c>
      <c r="K3974" s="468" t="s">
        <v>9219</v>
      </c>
      <c r="L3974" s="468" t="s">
        <v>2354</v>
      </c>
    </row>
    <row r="3975" spans="1:12" x14ac:dyDescent="0.25">
      <c r="A3975" s="468" t="s">
        <v>220</v>
      </c>
      <c r="B3975" s="468" t="s">
        <v>5430</v>
      </c>
      <c r="C3975" s="468" t="s">
        <v>3361</v>
      </c>
      <c r="D3975" s="468" t="s">
        <v>3362</v>
      </c>
      <c r="F3975" s="470">
        <v>21</v>
      </c>
      <c r="G3975" s="468">
        <v>5.7160000000000002</v>
      </c>
      <c r="H3975" s="479">
        <v>120.036</v>
      </c>
      <c r="I3975" s="468" t="s">
        <v>9218</v>
      </c>
      <c r="J3975" s="468" t="s">
        <v>9219</v>
      </c>
      <c r="K3975" s="468" t="s">
        <v>9219</v>
      </c>
      <c r="L3975" s="468" t="s">
        <v>2354</v>
      </c>
    </row>
    <row r="3976" spans="1:12" x14ac:dyDescent="0.25">
      <c r="A3976" s="468" t="s">
        <v>220</v>
      </c>
      <c r="B3976" s="468" t="s">
        <v>5430</v>
      </c>
      <c r="C3976" s="468" t="s">
        <v>3363</v>
      </c>
      <c r="D3976" s="468" t="s">
        <v>3364</v>
      </c>
      <c r="F3976" s="470">
        <v>36</v>
      </c>
      <c r="G3976" s="468">
        <v>1.2450000000000001</v>
      </c>
      <c r="H3976" s="479">
        <v>44.820000000000007</v>
      </c>
      <c r="I3976" s="468" t="s">
        <v>9218</v>
      </c>
      <c r="J3976" s="468" t="s">
        <v>9219</v>
      </c>
      <c r="K3976" s="468" t="s">
        <v>9219</v>
      </c>
      <c r="L3976" s="468" t="s">
        <v>2354</v>
      </c>
    </row>
    <row r="3977" spans="1:12" x14ac:dyDescent="0.25">
      <c r="A3977" s="468" t="s">
        <v>220</v>
      </c>
      <c r="B3977" s="468" t="s">
        <v>5430</v>
      </c>
      <c r="C3977" s="468" t="s">
        <v>3399</v>
      </c>
      <c r="D3977" s="468" t="s">
        <v>8804</v>
      </c>
      <c r="F3977" s="470">
        <v>16</v>
      </c>
      <c r="G3977" s="468">
        <v>1.65</v>
      </c>
      <c r="H3977" s="479">
        <v>26.4</v>
      </c>
      <c r="I3977" s="468" t="s">
        <v>9218</v>
      </c>
      <c r="J3977" s="468" t="s">
        <v>9219</v>
      </c>
      <c r="K3977" s="468" t="s">
        <v>9219</v>
      </c>
      <c r="L3977" s="468" t="s">
        <v>2354</v>
      </c>
    </row>
    <row r="3978" spans="1:12" x14ac:dyDescent="0.25">
      <c r="A3978" s="468" t="s">
        <v>220</v>
      </c>
      <c r="B3978" s="468" t="s">
        <v>5430</v>
      </c>
      <c r="C3978" s="468" t="s">
        <v>6371</v>
      </c>
      <c r="D3978" s="468" t="s">
        <v>8805</v>
      </c>
      <c r="F3978" s="470">
        <v>10</v>
      </c>
      <c r="G3978" s="468">
        <v>0.95299999999999996</v>
      </c>
      <c r="H3978" s="479">
        <v>9.5299999999999994</v>
      </c>
      <c r="I3978" s="468" t="s">
        <v>9218</v>
      </c>
      <c r="J3978" s="468" t="s">
        <v>9219</v>
      </c>
      <c r="K3978" s="468" t="s">
        <v>9219</v>
      </c>
      <c r="L3978" s="468" t="s">
        <v>2354</v>
      </c>
    </row>
    <row r="3979" spans="1:12" x14ac:dyDescent="0.25">
      <c r="A3979" s="468" t="s">
        <v>220</v>
      </c>
      <c r="B3979" s="468" t="s">
        <v>5430</v>
      </c>
      <c r="C3979" s="468" t="s">
        <v>3465</v>
      </c>
      <c r="D3979" s="468" t="s">
        <v>8806</v>
      </c>
      <c r="F3979" s="470">
        <v>2</v>
      </c>
      <c r="G3979" s="468">
        <v>6.3949999999999996</v>
      </c>
      <c r="H3979" s="479">
        <v>12.79</v>
      </c>
      <c r="I3979" s="468" t="s">
        <v>9218</v>
      </c>
      <c r="J3979" s="468" t="s">
        <v>9219</v>
      </c>
      <c r="K3979" s="468" t="s">
        <v>9219</v>
      </c>
      <c r="L3979" s="468" t="s">
        <v>2354</v>
      </c>
    </row>
    <row r="3980" spans="1:12" x14ac:dyDescent="0.25">
      <c r="A3980" s="468" t="s">
        <v>220</v>
      </c>
      <c r="B3980" s="468" t="s">
        <v>5430</v>
      </c>
      <c r="C3980" s="468" t="s">
        <v>6453</v>
      </c>
      <c r="D3980" s="468" t="s">
        <v>6454</v>
      </c>
      <c r="F3980" s="470">
        <v>7</v>
      </c>
      <c r="G3980" s="468">
        <v>11.196</v>
      </c>
      <c r="H3980" s="479">
        <v>78.372</v>
      </c>
      <c r="I3980" s="468" t="s">
        <v>9218</v>
      </c>
      <c r="J3980" s="468" t="s">
        <v>9219</v>
      </c>
      <c r="K3980" s="468" t="s">
        <v>9219</v>
      </c>
      <c r="L3980" s="468" t="s">
        <v>2354</v>
      </c>
    </row>
    <row r="3981" spans="1:12" x14ac:dyDescent="0.25">
      <c r="A3981" s="468" t="s">
        <v>220</v>
      </c>
      <c r="B3981" s="468" t="s">
        <v>5430</v>
      </c>
      <c r="C3981" s="468" t="s">
        <v>6455</v>
      </c>
      <c r="D3981" s="468" t="s">
        <v>8807</v>
      </c>
      <c r="F3981" s="470">
        <v>4</v>
      </c>
      <c r="G3981" s="468">
        <v>14.2</v>
      </c>
      <c r="H3981" s="479">
        <v>56.8</v>
      </c>
      <c r="I3981" s="468" t="s">
        <v>9218</v>
      </c>
      <c r="J3981" s="468" t="s">
        <v>9219</v>
      </c>
      <c r="K3981" s="468" t="s">
        <v>9219</v>
      </c>
      <c r="L3981" s="468" t="s">
        <v>2354</v>
      </c>
    </row>
    <row r="3982" spans="1:12" x14ac:dyDescent="0.25">
      <c r="A3982" s="468" t="s">
        <v>220</v>
      </c>
      <c r="B3982" s="468" t="s">
        <v>5430</v>
      </c>
      <c r="C3982" s="468" t="s">
        <v>6457</v>
      </c>
      <c r="D3982" s="468" t="s">
        <v>6458</v>
      </c>
      <c r="F3982" s="470">
        <v>21</v>
      </c>
      <c r="G3982" s="468">
        <v>1.629</v>
      </c>
      <c r="H3982" s="479">
        <v>34.209000000000003</v>
      </c>
      <c r="I3982" s="468" t="s">
        <v>9218</v>
      </c>
      <c r="J3982" s="468" t="s">
        <v>9219</v>
      </c>
      <c r="K3982" s="468" t="s">
        <v>9219</v>
      </c>
      <c r="L3982" s="468" t="s">
        <v>2354</v>
      </c>
    </row>
    <row r="3983" spans="1:12" x14ac:dyDescent="0.25">
      <c r="A3983" s="468" t="s">
        <v>220</v>
      </c>
      <c r="B3983" s="468" t="s">
        <v>5430</v>
      </c>
      <c r="C3983" s="468" t="s">
        <v>3501</v>
      </c>
      <c r="D3983" s="468" t="s">
        <v>3502</v>
      </c>
      <c r="F3983" s="470">
        <v>5</v>
      </c>
      <c r="G3983" s="468">
        <v>4.6280000000000001</v>
      </c>
      <c r="H3983" s="479">
        <v>23.14</v>
      </c>
      <c r="I3983" s="468" t="s">
        <v>9218</v>
      </c>
      <c r="J3983" s="468" t="s">
        <v>9219</v>
      </c>
      <c r="K3983" s="468" t="s">
        <v>9219</v>
      </c>
      <c r="L3983" s="468" t="s">
        <v>2354</v>
      </c>
    </row>
    <row r="3984" spans="1:12" x14ac:dyDescent="0.25">
      <c r="A3984" s="468" t="s">
        <v>220</v>
      </c>
      <c r="B3984" s="468" t="s">
        <v>5430</v>
      </c>
      <c r="C3984" s="468" t="s">
        <v>6459</v>
      </c>
      <c r="D3984" s="468" t="s">
        <v>6460</v>
      </c>
      <c r="F3984" s="470">
        <v>10</v>
      </c>
      <c r="G3984" s="468">
        <v>1.2110000000000001</v>
      </c>
      <c r="H3984" s="479">
        <v>12.110000000000001</v>
      </c>
      <c r="I3984" s="468" t="s">
        <v>9218</v>
      </c>
      <c r="J3984" s="468" t="s">
        <v>9219</v>
      </c>
      <c r="K3984" s="468" t="s">
        <v>9219</v>
      </c>
      <c r="L3984" s="468" t="s">
        <v>2354</v>
      </c>
    </row>
    <row r="3985" spans="1:12" x14ac:dyDescent="0.25">
      <c r="A3985" s="468" t="s">
        <v>220</v>
      </c>
      <c r="B3985" s="468" t="s">
        <v>5430</v>
      </c>
      <c r="C3985" s="468" t="s">
        <v>3503</v>
      </c>
      <c r="D3985" s="468" t="s">
        <v>3504</v>
      </c>
      <c r="F3985" s="470">
        <v>29</v>
      </c>
      <c r="G3985" s="468">
        <v>2.23</v>
      </c>
      <c r="H3985" s="479">
        <v>64.67</v>
      </c>
      <c r="I3985" s="468" t="s">
        <v>9218</v>
      </c>
      <c r="J3985" s="468" t="s">
        <v>9219</v>
      </c>
      <c r="K3985" s="468" t="s">
        <v>9219</v>
      </c>
      <c r="L3985" s="468" t="s">
        <v>2354</v>
      </c>
    </row>
    <row r="3986" spans="1:12" x14ac:dyDescent="0.25">
      <c r="A3986" s="468" t="s">
        <v>220</v>
      </c>
      <c r="B3986" s="468" t="s">
        <v>5430</v>
      </c>
      <c r="C3986" s="468" t="s">
        <v>6461</v>
      </c>
      <c r="D3986" s="468" t="s">
        <v>6462</v>
      </c>
      <c r="F3986" s="470">
        <v>4</v>
      </c>
      <c r="G3986" s="468">
        <v>0.28399999999999997</v>
      </c>
      <c r="H3986" s="479">
        <v>1.1359999999999999</v>
      </c>
      <c r="I3986" s="468" t="s">
        <v>9218</v>
      </c>
      <c r="J3986" s="468" t="s">
        <v>9219</v>
      </c>
      <c r="K3986" s="468" t="s">
        <v>9219</v>
      </c>
      <c r="L3986" s="468" t="s">
        <v>2354</v>
      </c>
    </row>
    <row r="3987" spans="1:12" x14ac:dyDescent="0.25">
      <c r="A3987" s="468" t="s">
        <v>220</v>
      </c>
      <c r="B3987" s="468" t="s">
        <v>5430</v>
      </c>
      <c r="C3987" s="468" t="s">
        <v>6463</v>
      </c>
      <c r="D3987" s="468" t="s">
        <v>6464</v>
      </c>
      <c r="F3987" s="470">
        <v>19</v>
      </c>
      <c r="G3987" s="468">
        <v>1.018</v>
      </c>
      <c r="H3987" s="479">
        <v>19.341999999999999</v>
      </c>
      <c r="I3987" s="468" t="s">
        <v>9218</v>
      </c>
      <c r="J3987" s="468" t="s">
        <v>9219</v>
      </c>
      <c r="K3987" s="468" t="s">
        <v>9219</v>
      </c>
      <c r="L3987" s="468" t="s">
        <v>2354</v>
      </c>
    </row>
    <row r="3988" spans="1:12" x14ac:dyDescent="0.25">
      <c r="A3988" s="468" t="s">
        <v>220</v>
      </c>
      <c r="B3988" s="468" t="s">
        <v>5430</v>
      </c>
      <c r="C3988" s="468" t="s">
        <v>3505</v>
      </c>
      <c r="D3988" s="468" t="s">
        <v>3506</v>
      </c>
      <c r="F3988" s="470">
        <v>3</v>
      </c>
      <c r="G3988" s="468">
        <v>11.22</v>
      </c>
      <c r="H3988" s="479">
        <v>33.660000000000004</v>
      </c>
      <c r="I3988" s="468" t="s">
        <v>9218</v>
      </c>
      <c r="J3988" s="468" t="s">
        <v>9219</v>
      </c>
      <c r="K3988" s="468" t="s">
        <v>9219</v>
      </c>
      <c r="L3988" s="468" t="s">
        <v>2354</v>
      </c>
    </row>
    <row r="3989" spans="1:12" x14ac:dyDescent="0.25">
      <c r="A3989" s="468" t="s">
        <v>220</v>
      </c>
      <c r="B3989" s="468" t="s">
        <v>5430</v>
      </c>
      <c r="C3989" s="468" t="s">
        <v>6465</v>
      </c>
      <c r="D3989" s="468" t="s">
        <v>3536</v>
      </c>
      <c r="F3989" s="470">
        <v>5</v>
      </c>
      <c r="G3989" s="468">
        <v>8.67</v>
      </c>
      <c r="H3989" s="479">
        <v>43.35</v>
      </c>
      <c r="I3989" s="468" t="s">
        <v>9218</v>
      </c>
      <c r="J3989" s="468" t="s">
        <v>9219</v>
      </c>
      <c r="K3989" s="468" t="s">
        <v>9219</v>
      </c>
      <c r="L3989" s="468" t="s">
        <v>2354</v>
      </c>
    </row>
    <row r="3990" spans="1:12" x14ac:dyDescent="0.25">
      <c r="A3990" s="468" t="s">
        <v>220</v>
      </c>
      <c r="B3990" s="468" t="s">
        <v>5430</v>
      </c>
      <c r="C3990" s="468" t="s">
        <v>6466</v>
      </c>
      <c r="D3990" s="468" t="s">
        <v>6467</v>
      </c>
      <c r="F3990" s="470">
        <v>12</v>
      </c>
      <c r="G3990" s="468">
        <v>2.6779999999999999</v>
      </c>
      <c r="H3990" s="479">
        <v>32.135999999999996</v>
      </c>
      <c r="I3990" s="468" t="s">
        <v>9218</v>
      </c>
      <c r="J3990" s="468" t="s">
        <v>9219</v>
      </c>
      <c r="K3990" s="468" t="s">
        <v>9219</v>
      </c>
      <c r="L3990" s="468" t="s">
        <v>2354</v>
      </c>
    </row>
    <row r="3991" spans="1:12" x14ac:dyDescent="0.25">
      <c r="A3991" s="468" t="s">
        <v>220</v>
      </c>
      <c r="B3991" s="468" t="s">
        <v>5430</v>
      </c>
      <c r="C3991" s="468" t="s">
        <v>6468</v>
      </c>
      <c r="D3991" s="468" t="s">
        <v>8808</v>
      </c>
      <c r="F3991" s="470">
        <v>1</v>
      </c>
      <c r="G3991" s="468">
        <v>4.1079999999999997</v>
      </c>
      <c r="H3991" s="479">
        <v>4.1079999999999997</v>
      </c>
      <c r="I3991" s="468" t="s">
        <v>9218</v>
      </c>
      <c r="J3991" s="468" t="s">
        <v>9219</v>
      </c>
      <c r="K3991" s="468" t="s">
        <v>9219</v>
      </c>
      <c r="L3991" s="468" t="s">
        <v>2354</v>
      </c>
    </row>
    <row r="3992" spans="1:12" x14ac:dyDescent="0.25">
      <c r="A3992" s="468" t="s">
        <v>220</v>
      </c>
      <c r="B3992" s="468" t="s">
        <v>5430</v>
      </c>
      <c r="C3992" s="468" t="s">
        <v>6470</v>
      </c>
      <c r="D3992" s="468" t="s">
        <v>6471</v>
      </c>
      <c r="F3992" s="470">
        <v>14</v>
      </c>
      <c r="G3992" s="468">
        <v>4.2</v>
      </c>
      <c r="H3992" s="479">
        <v>58.800000000000004</v>
      </c>
      <c r="I3992" s="468" t="s">
        <v>9218</v>
      </c>
      <c r="J3992" s="468" t="s">
        <v>9219</v>
      </c>
      <c r="K3992" s="468" t="s">
        <v>9219</v>
      </c>
      <c r="L3992" s="468" t="s">
        <v>2354</v>
      </c>
    </row>
    <row r="3993" spans="1:12" x14ac:dyDescent="0.25">
      <c r="A3993" s="468" t="s">
        <v>220</v>
      </c>
      <c r="B3993" s="468" t="s">
        <v>5430</v>
      </c>
      <c r="C3993" s="468" t="s">
        <v>6472</v>
      </c>
      <c r="D3993" s="468" t="s">
        <v>6473</v>
      </c>
      <c r="F3993" s="470">
        <v>9</v>
      </c>
      <c r="G3993" s="468">
        <v>4.6749999999999998</v>
      </c>
      <c r="H3993" s="479">
        <v>42.074999999999996</v>
      </c>
      <c r="I3993" s="468" t="s">
        <v>9218</v>
      </c>
      <c r="J3993" s="468" t="s">
        <v>9219</v>
      </c>
      <c r="K3993" s="468" t="s">
        <v>9219</v>
      </c>
      <c r="L3993" s="468" t="s">
        <v>2354</v>
      </c>
    </row>
    <row r="3994" spans="1:12" x14ac:dyDescent="0.25">
      <c r="A3994" s="468" t="s">
        <v>220</v>
      </c>
      <c r="B3994" s="468" t="s">
        <v>5430</v>
      </c>
      <c r="C3994" s="468" t="s">
        <v>3521</v>
      </c>
      <c r="D3994" s="468" t="s">
        <v>3522</v>
      </c>
      <c r="F3994" s="470">
        <v>1</v>
      </c>
      <c r="G3994" s="468">
        <v>4.0460000000000003</v>
      </c>
      <c r="H3994" s="479">
        <v>4.0460000000000003</v>
      </c>
      <c r="I3994" s="468" t="s">
        <v>9218</v>
      </c>
      <c r="J3994" s="468" t="s">
        <v>9219</v>
      </c>
      <c r="K3994" s="468" t="s">
        <v>9219</v>
      </c>
      <c r="L3994" s="468" t="s">
        <v>2354</v>
      </c>
    </row>
    <row r="3995" spans="1:12" x14ac:dyDescent="0.25">
      <c r="A3995" s="468" t="s">
        <v>220</v>
      </c>
      <c r="B3995" s="468" t="s">
        <v>5430</v>
      </c>
      <c r="C3995" s="468" t="s">
        <v>3523</v>
      </c>
      <c r="D3995" s="468" t="s">
        <v>3524</v>
      </c>
      <c r="F3995" s="470">
        <v>10</v>
      </c>
      <c r="G3995" s="468">
        <v>1.296</v>
      </c>
      <c r="H3995" s="479">
        <v>12.96</v>
      </c>
      <c r="I3995" s="468" t="s">
        <v>9218</v>
      </c>
      <c r="J3995" s="468" t="s">
        <v>9219</v>
      </c>
      <c r="K3995" s="468" t="s">
        <v>9219</v>
      </c>
      <c r="L3995" s="468" t="s">
        <v>2354</v>
      </c>
    </row>
    <row r="3996" spans="1:12" x14ac:dyDescent="0.25">
      <c r="A3996" s="468" t="s">
        <v>220</v>
      </c>
      <c r="B3996" s="468" t="s">
        <v>5430</v>
      </c>
      <c r="C3996" s="468" t="s">
        <v>3525</v>
      </c>
      <c r="D3996" s="468" t="s">
        <v>3526</v>
      </c>
      <c r="F3996" s="470">
        <v>9</v>
      </c>
      <c r="G3996" s="468">
        <v>0.80800000000000005</v>
      </c>
      <c r="H3996" s="479">
        <v>7.2720000000000002</v>
      </c>
      <c r="I3996" s="468" t="s">
        <v>9218</v>
      </c>
      <c r="J3996" s="468" t="s">
        <v>9219</v>
      </c>
      <c r="K3996" s="468" t="s">
        <v>9219</v>
      </c>
      <c r="L3996" s="468" t="s">
        <v>2354</v>
      </c>
    </row>
    <row r="3997" spans="1:12" x14ac:dyDescent="0.25">
      <c r="A3997" s="468" t="s">
        <v>220</v>
      </c>
      <c r="B3997" s="468" t="s">
        <v>5430</v>
      </c>
      <c r="C3997" s="468" t="s">
        <v>3527</v>
      </c>
      <c r="D3997" s="468" t="s">
        <v>3528</v>
      </c>
      <c r="F3997" s="470">
        <v>5</v>
      </c>
      <c r="G3997" s="468">
        <v>1.0660000000000001</v>
      </c>
      <c r="H3997" s="479">
        <v>5.33</v>
      </c>
      <c r="I3997" s="468" t="s">
        <v>9218</v>
      </c>
      <c r="J3997" s="468" t="s">
        <v>9219</v>
      </c>
      <c r="K3997" s="468" t="s">
        <v>9219</v>
      </c>
      <c r="L3997" s="468" t="s">
        <v>2354</v>
      </c>
    </row>
    <row r="3998" spans="1:12" x14ac:dyDescent="0.25">
      <c r="A3998" s="468" t="s">
        <v>220</v>
      </c>
      <c r="B3998" s="468" t="s">
        <v>5430</v>
      </c>
      <c r="C3998" s="468" t="s">
        <v>3529</v>
      </c>
      <c r="D3998" s="468" t="s">
        <v>8809</v>
      </c>
      <c r="F3998" s="470">
        <v>6</v>
      </c>
      <c r="G3998" s="468">
        <v>3.97</v>
      </c>
      <c r="H3998" s="479">
        <v>23.82</v>
      </c>
      <c r="I3998" s="468" t="s">
        <v>9218</v>
      </c>
      <c r="J3998" s="468" t="s">
        <v>9219</v>
      </c>
      <c r="K3998" s="468" t="s">
        <v>9219</v>
      </c>
      <c r="L3998" s="468" t="s">
        <v>2354</v>
      </c>
    </row>
    <row r="3999" spans="1:12" x14ac:dyDescent="0.25">
      <c r="A3999" s="468" t="s">
        <v>220</v>
      </c>
      <c r="B3999" s="468" t="s">
        <v>5430</v>
      </c>
      <c r="C3999" s="468" t="s">
        <v>3533</v>
      </c>
      <c r="D3999" s="468" t="s">
        <v>3534</v>
      </c>
      <c r="F3999" s="470">
        <v>10</v>
      </c>
      <c r="G3999" s="468">
        <v>1.548</v>
      </c>
      <c r="H3999" s="479">
        <v>15.48</v>
      </c>
      <c r="I3999" s="468" t="s">
        <v>9218</v>
      </c>
      <c r="J3999" s="468" t="s">
        <v>9219</v>
      </c>
      <c r="K3999" s="468" t="s">
        <v>9219</v>
      </c>
      <c r="L3999" s="468" t="s">
        <v>2354</v>
      </c>
    </row>
    <row r="4000" spans="1:12" x14ac:dyDescent="0.25">
      <c r="A4000" s="468" t="s">
        <v>220</v>
      </c>
      <c r="B4000" s="468" t="s">
        <v>5430</v>
      </c>
      <c r="C4000" s="468" t="s">
        <v>8810</v>
      </c>
      <c r="D4000" s="468" t="s">
        <v>8811</v>
      </c>
      <c r="F4000" s="470">
        <v>2</v>
      </c>
      <c r="G4000" s="468">
        <v>1.375</v>
      </c>
      <c r="H4000" s="479">
        <v>2.75</v>
      </c>
      <c r="I4000" s="468" t="s">
        <v>9218</v>
      </c>
      <c r="J4000" s="468" t="s">
        <v>9219</v>
      </c>
      <c r="K4000" s="468" t="s">
        <v>9219</v>
      </c>
      <c r="L4000" s="468" t="s">
        <v>2354</v>
      </c>
    </row>
    <row r="4001" spans="1:12" x14ac:dyDescent="0.25">
      <c r="A4001" s="468" t="s">
        <v>220</v>
      </c>
      <c r="B4001" s="468" t="s">
        <v>5430</v>
      </c>
      <c r="C4001" s="468" t="s">
        <v>3537</v>
      </c>
      <c r="D4001" s="468" t="s">
        <v>8812</v>
      </c>
      <c r="F4001" s="470">
        <v>5</v>
      </c>
      <c r="G4001" s="468">
        <v>9.7370000000000001</v>
      </c>
      <c r="H4001" s="479">
        <v>48.685000000000002</v>
      </c>
      <c r="I4001" s="468" t="s">
        <v>9218</v>
      </c>
      <c r="J4001" s="468" t="s">
        <v>9219</v>
      </c>
      <c r="K4001" s="468" t="s">
        <v>9219</v>
      </c>
      <c r="L4001" s="468" t="s">
        <v>2354</v>
      </c>
    </row>
    <row r="4002" spans="1:12" x14ac:dyDescent="0.25">
      <c r="A4002" s="468" t="s">
        <v>220</v>
      </c>
      <c r="B4002" s="468" t="s">
        <v>5430</v>
      </c>
      <c r="C4002" s="468" t="s">
        <v>6482</v>
      </c>
      <c r="D4002" s="468" t="s">
        <v>6483</v>
      </c>
      <c r="F4002" s="470">
        <v>3</v>
      </c>
      <c r="G4002" s="468">
        <v>26.393000000000001</v>
      </c>
      <c r="H4002" s="479">
        <v>79.179000000000002</v>
      </c>
      <c r="I4002" s="468" t="s">
        <v>9218</v>
      </c>
      <c r="J4002" s="468" t="s">
        <v>9219</v>
      </c>
      <c r="K4002" s="468" t="s">
        <v>9219</v>
      </c>
      <c r="L4002" s="468" t="s">
        <v>2354</v>
      </c>
    </row>
    <row r="4003" spans="1:12" x14ac:dyDescent="0.25">
      <c r="A4003" s="468" t="s">
        <v>220</v>
      </c>
      <c r="B4003" s="468" t="s">
        <v>5430</v>
      </c>
      <c r="C4003" s="468" t="s">
        <v>6484</v>
      </c>
      <c r="D4003" s="468" t="s">
        <v>6485</v>
      </c>
      <c r="F4003" s="470">
        <v>14</v>
      </c>
      <c r="G4003" s="468">
        <v>6.4619999999999997</v>
      </c>
      <c r="H4003" s="479">
        <v>90.467999999999989</v>
      </c>
      <c r="I4003" s="468" t="s">
        <v>9218</v>
      </c>
      <c r="J4003" s="468" t="s">
        <v>9219</v>
      </c>
      <c r="K4003" s="468" t="s">
        <v>9219</v>
      </c>
      <c r="L4003" s="468" t="s">
        <v>2354</v>
      </c>
    </row>
    <row r="4004" spans="1:12" x14ac:dyDescent="0.25">
      <c r="A4004" s="468" t="s">
        <v>220</v>
      </c>
      <c r="B4004" s="468" t="s">
        <v>5430</v>
      </c>
      <c r="C4004" s="468" t="s">
        <v>6486</v>
      </c>
      <c r="D4004" s="468" t="s">
        <v>6487</v>
      </c>
      <c r="F4004" s="470">
        <v>1</v>
      </c>
      <c r="G4004" s="468">
        <v>7.2249999999999996</v>
      </c>
      <c r="H4004" s="479">
        <v>7.2249999999999996</v>
      </c>
      <c r="I4004" s="468" t="s">
        <v>9218</v>
      </c>
      <c r="J4004" s="468" t="s">
        <v>9219</v>
      </c>
      <c r="K4004" s="468" t="s">
        <v>9219</v>
      </c>
      <c r="L4004" s="468" t="s">
        <v>2354</v>
      </c>
    </row>
    <row r="4005" spans="1:12" x14ac:dyDescent="0.25">
      <c r="A4005" s="468" t="s">
        <v>220</v>
      </c>
      <c r="B4005" s="468" t="s">
        <v>5430</v>
      </c>
      <c r="C4005" s="468" t="s">
        <v>6488</v>
      </c>
      <c r="D4005" s="468" t="s">
        <v>8813</v>
      </c>
      <c r="F4005" s="470">
        <v>4</v>
      </c>
      <c r="G4005" s="468">
        <v>7.7350000000000003</v>
      </c>
      <c r="H4005" s="479">
        <v>30.94</v>
      </c>
      <c r="I4005" s="468" t="s">
        <v>9218</v>
      </c>
      <c r="J4005" s="468" t="s">
        <v>9219</v>
      </c>
      <c r="K4005" s="468" t="s">
        <v>9219</v>
      </c>
      <c r="L4005" s="468" t="s">
        <v>2354</v>
      </c>
    </row>
    <row r="4006" spans="1:12" x14ac:dyDescent="0.25">
      <c r="A4006" s="468" t="s">
        <v>220</v>
      </c>
      <c r="B4006" s="468" t="s">
        <v>5430</v>
      </c>
      <c r="C4006" s="468" t="s">
        <v>6490</v>
      </c>
      <c r="D4006" s="468" t="s">
        <v>8814</v>
      </c>
      <c r="F4006" s="470">
        <v>9</v>
      </c>
      <c r="G4006" s="468">
        <v>6.1630000000000003</v>
      </c>
      <c r="H4006" s="479">
        <v>55.466999999999999</v>
      </c>
      <c r="I4006" s="468" t="s">
        <v>9218</v>
      </c>
      <c r="J4006" s="468" t="s">
        <v>9219</v>
      </c>
      <c r="K4006" s="468" t="s">
        <v>9219</v>
      </c>
      <c r="L4006" s="468" t="s">
        <v>2354</v>
      </c>
    </row>
    <row r="4007" spans="1:12" x14ac:dyDescent="0.25">
      <c r="A4007" s="468" t="s">
        <v>220</v>
      </c>
      <c r="B4007" s="468" t="s">
        <v>5430</v>
      </c>
      <c r="C4007" s="468" t="s">
        <v>6495</v>
      </c>
      <c r="D4007" s="468" t="s">
        <v>8815</v>
      </c>
      <c r="F4007" s="470">
        <v>1</v>
      </c>
      <c r="G4007" s="468">
        <v>7.2880000000000003</v>
      </c>
      <c r="H4007" s="479">
        <v>7.2880000000000003</v>
      </c>
      <c r="I4007" s="468" t="s">
        <v>9218</v>
      </c>
      <c r="J4007" s="468" t="s">
        <v>9219</v>
      </c>
      <c r="K4007" s="468" t="s">
        <v>9219</v>
      </c>
      <c r="L4007" s="468" t="s">
        <v>2354</v>
      </c>
    </row>
    <row r="4008" spans="1:12" x14ac:dyDescent="0.25">
      <c r="A4008" s="468" t="s">
        <v>220</v>
      </c>
      <c r="B4008" s="468" t="s">
        <v>5430</v>
      </c>
      <c r="C4008" s="468" t="s">
        <v>6499</v>
      </c>
      <c r="D4008" s="468" t="s">
        <v>6500</v>
      </c>
      <c r="F4008" s="470">
        <v>2</v>
      </c>
      <c r="G4008" s="468">
        <v>47.558</v>
      </c>
      <c r="H4008" s="479">
        <v>95.116</v>
      </c>
      <c r="I4008" s="468" t="s">
        <v>9218</v>
      </c>
      <c r="J4008" s="468" t="s">
        <v>9219</v>
      </c>
      <c r="K4008" s="468" t="s">
        <v>9219</v>
      </c>
      <c r="L4008" s="468" t="s">
        <v>2354</v>
      </c>
    </row>
    <row r="4009" spans="1:12" x14ac:dyDescent="0.25">
      <c r="A4009" s="468" t="s">
        <v>220</v>
      </c>
      <c r="B4009" s="468" t="s">
        <v>5430</v>
      </c>
      <c r="C4009" s="468" t="s">
        <v>6501</v>
      </c>
      <c r="D4009" s="468" t="s">
        <v>6502</v>
      </c>
      <c r="F4009" s="470">
        <v>1</v>
      </c>
      <c r="G4009" s="468">
        <v>23.387</v>
      </c>
      <c r="H4009" s="479">
        <v>23.387</v>
      </c>
      <c r="I4009" s="468" t="s">
        <v>9218</v>
      </c>
      <c r="J4009" s="468" t="s">
        <v>9219</v>
      </c>
      <c r="K4009" s="468" t="s">
        <v>9219</v>
      </c>
      <c r="L4009" s="468" t="s">
        <v>2354</v>
      </c>
    </row>
    <row r="4010" spans="1:12" x14ac:dyDescent="0.25">
      <c r="A4010" s="468" t="s">
        <v>220</v>
      </c>
      <c r="B4010" s="468" t="s">
        <v>5430</v>
      </c>
      <c r="C4010" s="468" t="s">
        <v>8816</v>
      </c>
      <c r="D4010" s="468" t="s">
        <v>8817</v>
      </c>
      <c r="F4010" s="470">
        <v>7</v>
      </c>
      <c r="G4010" s="468">
        <v>2.1240000000000001</v>
      </c>
      <c r="H4010" s="479">
        <v>14.868</v>
      </c>
      <c r="I4010" s="468" t="s">
        <v>9218</v>
      </c>
      <c r="J4010" s="468" t="s">
        <v>9219</v>
      </c>
      <c r="K4010" s="468" t="s">
        <v>9219</v>
      </c>
      <c r="L4010" s="468" t="s">
        <v>2354</v>
      </c>
    </row>
    <row r="4011" spans="1:12" x14ac:dyDescent="0.25">
      <c r="A4011" s="468" t="s">
        <v>220</v>
      </c>
      <c r="B4011" s="468" t="s">
        <v>5430</v>
      </c>
      <c r="C4011" s="468" t="s">
        <v>6505</v>
      </c>
      <c r="D4011" s="468" t="s">
        <v>6506</v>
      </c>
      <c r="F4011" s="470">
        <v>1</v>
      </c>
      <c r="G4011" s="468">
        <v>14.16</v>
      </c>
      <c r="H4011" s="479">
        <v>14.16</v>
      </c>
      <c r="I4011" s="468" t="s">
        <v>9218</v>
      </c>
      <c r="J4011" s="468" t="s">
        <v>9219</v>
      </c>
      <c r="K4011" s="468" t="s">
        <v>9219</v>
      </c>
      <c r="L4011" s="468" t="s">
        <v>2354</v>
      </c>
    </row>
    <row r="4012" spans="1:12" x14ac:dyDescent="0.25">
      <c r="A4012" s="468" t="s">
        <v>220</v>
      </c>
      <c r="B4012" s="468" t="s">
        <v>5430</v>
      </c>
      <c r="C4012" s="468" t="s">
        <v>6507</v>
      </c>
      <c r="D4012" s="468" t="s">
        <v>6508</v>
      </c>
      <c r="F4012" s="470">
        <v>5</v>
      </c>
      <c r="G4012" s="468">
        <v>21.523</v>
      </c>
      <c r="H4012" s="479">
        <v>107.61499999999999</v>
      </c>
      <c r="I4012" s="468" t="s">
        <v>9218</v>
      </c>
      <c r="J4012" s="468" t="s">
        <v>9219</v>
      </c>
      <c r="K4012" s="468" t="s">
        <v>9219</v>
      </c>
      <c r="L4012" s="468" t="s">
        <v>2354</v>
      </c>
    </row>
    <row r="4013" spans="1:12" x14ac:dyDescent="0.25">
      <c r="A4013" s="468" t="s">
        <v>220</v>
      </c>
      <c r="B4013" s="468" t="s">
        <v>5430</v>
      </c>
      <c r="C4013" s="468" t="s">
        <v>6509</v>
      </c>
      <c r="D4013" s="468" t="s">
        <v>8818</v>
      </c>
      <c r="F4013" s="470">
        <v>4</v>
      </c>
      <c r="G4013" s="468">
        <v>29.44</v>
      </c>
      <c r="H4013" s="479">
        <v>117.76</v>
      </c>
      <c r="I4013" s="468" t="s">
        <v>9218</v>
      </c>
      <c r="J4013" s="468" t="s">
        <v>9219</v>
      </c>
      <c r="K4013" s="468" t="s">
        <v>9219</v>
      </c>
      <c r="L4013" s="468" t="s">
        <v>2354</v>
      </c>
    </row>
    <row r="4014" spans="1:12" x14ac:dyDescent="0.25">
      <c r="A4014" s="468" t="s">
        <v>220</v>
      </c>
      <c r="B4014" s="468" t="s">
        <v>5430</v>
      </c>
      <c r="C4014" s="468" t="s">
        <v>6511</v>
      </c>
      <c r="D4014" s="468" t="s">
        <v>8819</v>
      </c>
      <c r="F4014" s="470">
        <v>9</v>
      </c>
      <c r="G4014" s="468">
        <v>17.102</v>
      </c>
      <c r="H4014" s="479">
        <v>153.91800000000001</v>
      </c>
      <c r="I4014" s="468" t="s">
        <v>9218</v>
      </c>
      <c r="J4014" s="468" t="s">
        <v>9219</v>
      </c>
      <c r="K4014" s="468" t="s">
        <v>9219</v>
      </c>
      <c r="L4014" s="468" t="s">
        <v>2354</v>
      </c>
    </row>
    <row r="4015" spans="1:12" x14ac:dyDescent="0.25">
      <c r="A4015" s="468" t="s">
        <v>220</v>
      </c>
      <c r="B4015" s="468" t="s">
        <v>5430</v>
      </c>
      <c r="C4015" s="468" t="s">
        <v>6513</v>
      </c>
      <c r="D4015" s="468" t="s">
        <v>6514</v>
      </c>
      <c r="F4015" s="470">
        <v>2</v>
      </c>
      <c r="G4015" s="468">
        <v>24.225000000000001</v>
      </c>
      <c r="H4015" s="479">
        <v>48.45</v>
      </c>
      <c r="I4015" s="468" t="s">
        <v>9218</v>
      </c>
      <c r="J4015" s="468" t="s">
        <v>9219</v>
      </c>
      <c r="K4015" s="468" t="s">
        <v>9219</v>
      </c>
      <c r="L4015" s="468" t="s">
        <v>2354</v>
      </c>
    </row>
    <row r="4016" spans="1:12" x14ac:dyDescent="0.25">
      <c r="A4016" s="468" t="s">
        <v>220</v>
      </c>
      <c r="B4016" s="468" t="s">
        <v>5430</v>
      </c>
      <c r="C4016" s="468" t="s">
        <v>6515</v>
      </c>
      <c r="D4016" s="468" t="s">
        <v>6516</v>
      </c>
      <c r="F4016" s="470">
        <v>12</v>
      </c>
      <c r="G4016" s="468">
        <v>8.6739999999999995</v>
      </c>
      <c r="H4016" s="479">
        <v>104.08799999999999</v>
      </c>
      <c r="I4016" s="468" t="s">
        <v>9218</v>
      </c>
      <c r="J4016" s="468" t="s">
        <v>9219</v>
      </c>
      <c r="K4016" s="468" t="s">
        <v>9219</v>
      </c>
      <c r="L4016" s="468" t="s">
        <v>2354</v>
      </c>
    </row>
    <row r="4017" spans="1:12" x14ac:dyDescent="0.25">
      <c r="A4017" s="468" t="s">
        <v>220</v>
      </c>
      <c r="B4017" s="468" t="s">
        <v>5430</v>
      </c>
      <c r="C4017" s="468" t="s">
        <v>3595</v>
      </c>
      <c r="D4017" s="468" t="s">
        <v>3596</v>
      </c>
      <c r="F4017" s="470">
        <v>51</v>
      </c>
      <c r="G4017" s="468">
        <v>4.1440000000000001</v>
      </c>
      <c r="H4017" s="479">
        <v>211.34399999999999</v>
      </c>
      <c r="I4017" s="468" t="s">
        <v>9218</v>
      </c>
      <c r="J4017" s="468" t="s">
        <v>9219</v>
      </c>
      <c r="K4017" s="468" t="s">
        <v>9219</v>
      </c>
      <c r="L4017" s="468" t="s">
        <v>2354</v>
      </c>
    </row>
    <row r="4018" spans="1:12" x14ac:dyDescent="0.25">
      <c r="A4018" s="468" t="s">
        <v>220</v>
      </c>
      <c r="B4018" s="468" t="s">
        <v>5430</v>
      </c>
      <c r="C4018" s="468" t="s">
        <v>3597</v>
      </c>
      <c r="D4018" s="468" t="s">
        <v>3598</v>
      </c>
      <c r="F4018" s="470">
        <v>70</v>
      </c>
      <c r="G4018" s="468">
        <v>3.0649999999999999</v>
      </c>
      <c r="H4018" s="479">
        <v>214.54999999999998</v>
      </c>
      <c r="I4018" s="468" t="s">
        <v>9218</v>
      </c>
      <c r="J4018" s="468" t="s">
        <v>9219</v>
      </c>
      <c r="K4018" s="468" t="s">
        <v>9219</v>
      </c>
      <c r="L4018" s="468" t="s">
        <v>2354</v>
      </c>
    </row>
    <row r="4019" spans="1:12" x14ac:dyDescent="0.25">
      <c r="A4019" s="468" t="s">
        <v>220</v>
      </c>
      <c r="B4019" s="468" t="s">
        <v>5430</v>
      </c>
      <c r="C4019" s="468" t="s">
        <v>3599</v>
      </c>
      <c r="D4019" s="468" t="s">
        <v>3600</v>
      </c>
      <c r="F4019" s="470">
        <v>41</v>
      </c>
      <c r="G4019" s="468">
        <v>3.8130000000000002</v>
      </c>
      <c r="H4019" s="479">
        <v>156.333</v>
      </c>
      <c r="I4019" s="468" t="s">
        <v>9218</v>
      </c>
      <c r="J4019" s="468" t="s">
        <v>9219</v>
      </c>
      <c r="K4019" s="468" t="s">
        <v>9219</v>
      </c>
      <c r="L4019" s="468" t="s">
        <v>2354</v>
      </c>
    </row>
    <row r="4020" spans="1:12" x14ac:dyDescent="0.25">
      <c r="A4020" s="468" t="s">
        <v>220</v>
      </c>
      <c r="B4020" s="468" t="s">
        <v>5430</v>
      </c>
      <c r="C4020" s="468" t="s">
        <v>6519</v>
      </c>
      <c r="D4020" s="468" t="s">
        <v>8820</v>
      </c>
      <c r="F4020" s="470">
        <v>4</v>
      </c>
      <c r="G4020" s="468">
        <v>72.22</v>
      </c>
      <c r="H4020" s="479">
        <v>288.88</v>
      </c>
      <c r="I4020" s="468" t="s">
        <v>9218</v>
      </c>
      <c r="J4020" s="468" t="s">
        <v>9219</v>
      </c>
      <c r="K4020" s="468" t="s">
        <v>9219</v>
      </c>
      <c r="L4020" s="468" t="s">
        <v>2354</v>
      </c>
    </row>
    <row r="4021" spans="1:12" x14ac:dyDescent="0.25">
      <c r="A4021" s="468" t="s">
        <v>220</v>
      </c>
      <c r="B4021" s="468" t="s">
        <v>5430</v>
      </c>
      <c r="C4021" s="468" t="s">
        <v>2440</v>
      </c>
      <c r="D4021" s="468" t="s">
        <v>6521</v>
      </c>
      <c r="F4021" s="470">
        <v>32</v>
      </c>
      <c r="G4021" s="468">
        <v>2.6179999999999999</v>
      </c>
      <c r="H4021" s="479">
        <v>83.775999999999996</v>
      </c>
      <c r="I4021" s="468" t="s">
        <v>9218</v>
      </c>
      <c r="J4021" s="468" t="s">
        <v>9219</v>
      </c>
      <c r="K4021" s="468" t="s">
        <v>9219</v>
      </c>
      <c r="L4021" s="468" t="s">
        <v>2354</v>
      </c>
    </row>
    <row r="4022" spans="1:12" x14ac:dyDescent="0.25">
      <c r="A4022" s="468" t="s">
        <v>220</v>
      </c>
      <c r="B4022" s="468" t="s">
        <v>5430</v>
      </c>
      <c r="C4022" s="468" t="s">
        <v>6522</v>
      </c>
      <c r="D4022" s="468" t="s">
        <v>8821</v>
      </c>
      <c r="F4022" s="470">
        <v>2</v>
      </c>
      <c r="G4022" s="468">
        <v>12.813000000000001</v>
      </c>
      <c r="H4022" s="479">
        <v>25.626000000000001</v>
      </c>
      <c r="I4022" s="468" t="s">
        <v>9218</v>
      </c>
      <c r="J4022" s="468" t="s">
        <v>9219</v>
      </c>
      <c r="K4022" s="468" t="s">
        <v>9219</v>
      </c>
      <c r="L4022" s="468" t="s">
        <v>2354</v>
      </c>
    </row>
    <row r="4023" spans="1:12" x14ac:dyDescent="0.25">
      <c r="A4023" s="468" t="s">
        <v>220</v>
      </c>
      <c r="B4023" s="468" t="s">
        <v>5430</v>
      </c>
      <c r="C4023" s="468" t="s">
        <v>6524</v>
      </c>
      <c r="D4023" s="468" t="s">
        <v>6525</v>
      </c>
      <c r="F4023" s="470">
        <v>1</v>
      </c>
      <c r="G4023" s="468">
        <v>31.875</v>
      </c>
      <c r="H4023" s="479">
        <v>31.875</v>
      </c>
      <c r="I4023" s="468" t="s">
        <v>9218</v>
      </c>
      <c r="J4023" s="468" t="s">
        <v>9219</v>
      </c>
      <c r="K4023" s="468" t="s">
        <v>9219</v>
      </c>
      <c r="L4023" s="468" t="s">
        <v>2354</v>
      </c>
    </row>
    <row r="4024" spans="1:12" x14ac:dyDescent="0.25">
      <c r="A4024" s="468" t="s">
        <v>220</v>
      </c>
      <c r="B4024" s="468" t="s">
        <v>5430</v>
      </c>
      <c r="C4024" s="468" t="s">
        <v>6526</v>
      </c>
      <c r="D4024" s="468" t="s">
        <v>6527</v>
      </c>
      <c r="F4024" s="470">
        <v>9</v>
      </c>
      <c r="G4024" s="468">
        <v>4.7240000000000002</v>
      </c>
      <c r="H4024" s="479">
        <v>42.516000000000005</v>
      </c>
      <c r="I4024" s="468" t="s">
        <v>9218</v>
      </c>
      <c r="J4024" s="468" t="s">
        <v>9219</v>
      </c>
      <c r="K4024" s="468" t="s">
        <v>9219</v>
      </c>
      <c r="L4024" s="468" t="s">
        <v>2354</v>
      </c>
    </row>
    <row r="4025" spans="1:12" x14ac:dyDescent="0.25">
      <c r="A4025" s="468" t="s">
        <v>220</v>
      </c>
      <c r="B4025" s="468" t="s">
        <v>5430</v>
      </c>
      <c r="C4025" s="468" t="s">
        <v>6528</v>
      </c>
      <c r="D4025" s="468" t="s">
        <v>8822</v>
      </c>
      <c r="F4025" s="470">
        <v>10</v>
      </c>
      <c r="G4025" s="468">
        <v>23.387</v>
      </c>
      <c r="H4025" s="479">
        <v>233.87</v>
      </c>
      <c r="I4025" s="468" t="s">
        <v>9218</v>
      </c>
      <c r="J4025" s="468" t="s">
        <v>9219</v>
      </c>
      <c r="K4025" s="468" t="s">
        <v>9219</v>
      </c>
      <c r="L4025" s="468" t="s">
        <v>2354</v>
      </c>
    </row>
    <row r="4026" spans="1:12" x14ac:dyDescent="0.25">
      <c r="A4026" s="468" t="s">
        <v>220</v>
      </c>
      <c r="B4026" s="468" t="s">
        <v>5430</v>
      </c>
      <c r="C4026" s="468" t="s">
        <v>6530</v>
      </c>
      <c r="D4026" s="468" t="s">
        <v>8823</v>
      </c>
      <c r="F4026" s="470">
        <v>7</v>
      </c>
      <c r="H4026" s="479">
        <v>0</v>
      </c>
      <c r="I4026" s="468" t="s">
        <v>9218</v>
      </c>
      <c r="J4026" s="468" t="s">
        <v>9219</v>
      </c>
      <c r="K4026" s="468" t="s">
        <v>9219</v>
      </c>
      <c r="L4026" s="468" t="s">
        <v>2354</v>
      </c>
    </row>
    <row r="4027" spans="1:12" x14ac:dyDescent="0.25">
      <c r="A4027" s="468" t="s">
        <v>220</v>
      </c>
      <c r="B4027" s="468" t="s">
        <v>5430</v>
      </c>
      <c r="C4027" s="468" t="s">
        <v>8824</v>
      </c>
      <c r="D4027" s="468" t="s">
        <v>8825</v>
      </c>
      <c r="F4027" s="470">
        <v>29</v>
      </c>
      <c r="G4027" s="468">
        <v>5.3129999999999997</v>
      </c>
      <c r="H4027" s="479">
        <v>154.077</v>
      </c>
      <c r="I4027" s="468" t="s">
        <v>9218</v>
      </c>
      <c r="J4027" s="468" t="s">
        <v>9219</v>
      </c>
      <c r="K4027" s="468" t="s">
        <v>9219</v>
      </c>
      <c r="L4027" s="468" t="s">
        <v>2354</v>
      </c>
    </row>
    <row r="4028" spans="1:12" x14ac:dyDescent="0.25">
      <c r="A4028" s="468" t="s">
        <v>220</v>
      </c>
      <c r="B4028" s="468" t="s">
        <v>5430</v>
      </c>
      <c r="C4028" s="468" t="s">
        <v>6534</v>
      </c>
      <c r="D4028" s="468" t="s">
        <v>6535</v>
      </c>
      <c r="F4028" s="470">
        <v>1</v>
      </c>
      <c r="G4028" s="468">
        <v>8.3659999999999997</v>
      </c>
      <c r="H4028" s="479">
        <v>8.3659999999999997</v>
      </c>
      <c r="I4028" s="468" t="s">
        <v>9218</v>
      </c>
      <c r="J4028" s="468" t="s">
        <v>9219</v>
      </c>
      <c r="K4028" s="468" t="s">
        <v>9219</v>
      </c>
      <c r="L4028" s="468" t="s">
        <v>2354</v>
      </c>
    </row>
    <row r="4029" spans="1:12" x14ac:dyDescent="0.25">
      <c r="A4029" s="468" t="s">
        <v>220</v>
      </c>
      <c r="B4029" s="468" t="s">
        <v>5430</v>
      </c>
      <c r="C4029" s="468" t="s">
        <v>2433</v>
      </c>
      <c r="D4029" s="468" t="s">
        <v>8826</v>
      </c>
      <c r="F4029" s="470">
        <v>48</v>
      </c>
      <c r="G4029" s="468">
        <v>4.84</v>
      </c>
      <c r="H4029" s="479">
        <v>232.32</v>
      </c>
      <c r="I4029" s="468" t="s">
        <v>9218</v>
      </c>
      <c r="J4029" s="468" t="s">
        <v>9219</v>
      </c>
      <c r="K4029" s="468" t="s">
        <v>9219</v>
      </c>
      <c r="L4029" s="468" t="s">
        <v>2354</v>
      </c>
    </row>
    <row r="4030" spans="1:12" x14ac:dyDescent="0.25">
      <c r="A4030" s="468" t="s">
        <v>220</v>
      </c>
      <c r="B4030" s="468" t="s">
        <v>5430</v>
      </c>
      <c r="C4030" s="468" t="s">
        <v>8827</v>
      </c>
      <c r="D4030" s="468" t="s">
        <v>8828</v>
      </c>
      <c r="F4030" s="470">
        <v>22</v>
      </c>
      <c r="G4030" s="468">
        <v>5.52</v>
      </c>
      <c r="H4030" s="479">
        <v>121.44</v>
      </c>
      <c r="I4030" s="468" t="s">
        <v>9218</v>
      </c>
      <c r="J4030" s="468" t="s">
        <v>9219</v>
      </c>
      <c r="K4030" s="468" t="s">
        <v>9219</v>
      </c>
      <c r="L4030" s="468" t="s">
        <v>2354</v>
      </c>
    </row>
    <row r="4031" spans="1:12" x14ac:dyDescent="0.25">
      <c r="A4031" s="468" t="s">
        <v>220</v>
      </c>
      <c r="B4031" s="468" t="s">
        <v>5430</v>
      </c>
      <c r="C4031" s="468" t="s">
        <v>8829</v>
      </c>
      <c r="D4031" s="468" t="s">
        <v>6540</v>
      </c>
      <c r="F4031" s="470">
        <v>6</v>
      </c>
      <c r="G4031" s="468">
        <v>12.8</v>
      </c>
      <c r="H4031" s="479">
        <v>76.800000000000011</v>
      </c>
      <c r="I4031" s="468" t="s">
        <v>9218</v>
      </c>
      <c r="J4031" s="468" t="s">
        <v>9219</v>
      </c>
      <c r="K4031" s="468" t="s">
        <v>9219</v>
      </c>
      <c r="L4031" s="468" t="s">
        <v>2354</v>
      </c>
    </row>
    <row r="4032" spans="1:12" x14ac:dyDescent="0.25">
      <c r="A4032" s="468" t="s">
        <v>220</v>
      </c>
      <c r="B4032" s="468" t="s">
        <v>5430</v>
      </c>
      <c r="C4032" s="468" t="s">
        <v>8830</v>
      </c>
      <c r="D4032" s="468" t="s">
        <v>8831</v>
      </c>
      <c r="F4032" s="470">
        <v>4</v>
      </c>
      <c r="G4032" s="468">
        <v>25.6</v>
      </c>
      <c r="H4032" s="479">
        <v>102.4</v>
      </c>
      <c r="I4032" s="468" t="s">
        <v>9218</v>
      </c>
      <c r="J4032" s="468" t="s">
        <v>9219</v>
      </c>
      <c r="K4032" s="468" t="s">
        <v>9219</v>
      </c>
      <c r="L4032" s="468" t="s">
        <v>2354</v>
      </c>
    </row>
    <row r="4033" spans="1:12" x14ac:dyDescent="0.25">
      <c r="A4033" s="468" t="s">
        <v>220</v>
      </c>
      <c r="B4033" s="468" t="s">
        <v>5430</v>
      </c>
      <c r="C4033" s="468" t="s">
        <v>8832</v>
      </c>
      <c r="D4033" s="468" t="s">
        <v>8833</v>
      </c>
      <c r="F4033" s="470">
        <v>10</v>
      </c>
      <c r="G4033" s="468">
        <v>22.4</v>
      </c>
      <c r="H4033" s="479">
        <v>224</v>
      </c>
      <c r="I4033" s="468" t="s">
        <v>9218</v>
      </c>
      <c r="J4033" s="468" t="s">
        <v>9219</v>
      </c>
      <c r="K4033" s="468" t="s">
        <v>9219</v>
      </c>
      <c r="L4033" s="468" t="s">
        <v>2354</v>
      </c>
    </row>
    <row r="4034" spans="1:12" x14ac:dyDescent="0.25">
      <c r="A4034" s="468" t="s">
        <v>220</v>
      </c>
      <c r="B4034" s="468" t="s">
        <v>5430</v>
      </c>
      <c r="C4034" s="468" t="s">
        <v>8834</v>
      </c>
      <c r="D4034" s="468" t="s">
        <v>6546</v>
      </c>
      <c r="F4034" s="470">
        <v>10</v>
      </c>
      <c r="G4034" s="468">
        <v>11.2</v>
      </c>
      <c r="H4034" s="479">
        <v>112</v>
      </c>
      <c r="I4034" s="468" t="s">
        <v>9218</v>
      </c>
      <c r="J4034" s="468" t="s">
        <v>9219</v>
      </c>
      <c r="K4034" s="468" t="s">
        <v>9219</v>
      </c>
      <c r="L4034" s="468" t="s">
        <v>2354</v>
      </c>
    </row>
    <row r="4035" spans="1:12" x14ac:dyDescent="0.25">
      <c r="A4035" s="468" t="s">
        <v>220</v>
      </c>
      <c r="B4035" s="468" t="s">
        <v>5430</v>
      </c>
      <c r="C4035" s="468" t="s">
        <v>6547</v>
      </c>
      <c r="D4035" s="468" t="s">
        <v>8835</v>
      </c>
      <c r="F4035" s="470">
        <v>3</v>
      </c>
      <c r="G4035" s="468">
        <v>34.295000000000002</v>
      </c>
      <c r="H4035" s="479">
        <v>102.88500000000001</v>
      </c>
      <c r="I4035" s="468" t="s">
        <v>9218</v>
      </c>
      <c r="J4035" s="468" t="s">
        <v>9219</v>
      </c>
      <c r="K4035" s="468" t="s">
        <v>9219</v>
      </c>
      <c r="L4035" s="468" t="s">
        <v>2354</v>
      </c>
    </row>
    <row r="4036" spans="1:12" x14ac:dyDescent="0.25">
      <c r="A4036" s="468" t="s">
        <v>220</v>
      </c>
      <c r="B4036" s="468" t="s">
        <v>5430</v>
      </c>
      <c r="C4036" s="468" t="s">
        <v>8836</v>
      </c>
      <c r="D4036" s="468" t="s">
        <v>8837</v>
      </c>
      <c r="F4036" s="470">
        <v>2</v>
      </c>
      <c r="G4036" s="468">
        <v>133.22499999999999</v>
      </c>
      <c r="H4036" s="479">
        <v>266.45</v>
      </c>
      <c r="I4036" s="468" t="s">
        <v>9218</v>
      </c>
      <c r="J4036" s="468" t="s">
        <v>9219</v>
      </c>
      <c r="K4036" s="468" t="s">
        <v>9219</v>
      </c>
      <c r="L4036" s="468" t="s">
        <v>2354</v>
      </c>
    </row>
    <row r="4037" spans="1:12" x14ac:dyDescent="0.25">
      <c r="A4037" s="468" t="s">
        <v>220</v>
      </c>
      <c r="B4037" s="468" t="s">
        <v>5430</v>
      </c>
      <c r="C4037" s="468" t="s">
        <v>6549</v>
      </c>
      <c r="D4037" s="468" t="s">
        <v>6550</v>
      </c>
      <c r="F4037" s="470">
        <v>10</v>
      </c>
      <c r="G4037" s="468">
        <v>1.8</v>
      </c>
      <c r="H4037" s="479">
        <v>18</v>
      </c>
      <c r="I4037" s="468" t="s">
        <v>9218</v>
      </c>
      <c r="J4037" s="468" t="s">
        <v>9219</v>
      </c>
      <c r="K4037" s="468" t="s">
        <v>9219</v>
      </c>
      <c r="L4037" s="468" t="s">
        <v>2354</v>
      </c>
    </row>
    <row r="4038" spans="1:12" x14ac:dyDescent="0.25">
      <c r="A4038" s="468" t="s">
        <v>220</v>
      </c>
      <c r="B4038" s="468" t="s">
        <v>5430</v>
      </c>
      <c r="C4038" s="468" t="s">
        <v>6551</v>
      </c>
      <c r="D4038" s="468" t="s">
        <v>8838</v>
      </c>
      <c r="F4038" s="470">
        <v>4</v>
      </c>
      <c r="G4038" s="468">
        <v>7.65</v>
      </c>
      <c r="H4038" s="479">
        <v>30.6</v>
      </c>
      <c r="I4038" s="468" t="s">
        <v>9218</v>
      </c>
      <c r="J4038" s="468" t="s">
        <v>9219</v>
      </c>
      <c r="K4038" s="468" t="s">
        <v>9219</v>
      </c>
      <c r="L4038" s="468" t="s">
        <v>2354</v>
      </c>
    </row>
    <row r="4039" spans="1:12" x14ac:dyDescent="0.25">
      <c r="A4039" s="468" t="s">
        <v>220</v>
      </c>
      <c r="B4039" s="468" t="s">
        <v>5430</v>
      </c>
      <c r="C4039" s="468" t="s">
        <v>6553</v>
      </c>
      <c r="D4039" s="468" t="s">
        <v>8839</v>
      </c>
      <c r="F4039" s="470">
        <v>10</v>
      </c>
      <c r="G4039" s="468">
        <v>8.6270000000000007</v>
      </c>
      <c r="H4039" s="479">
        <v>86.27000000000001</v>
      </c>
      <c r="I4039" s="468" t="s">
        <v>9218</v>
      </c>
      <c r="J4039" s="468" t="s">
        <v>9219</v>
      </c>
      <c r="K4039" s="468" t="s">
        <v>9219</v>
      </c>
      <c r="L4039" s="468" t="s">
        <v>2354</v>
      </c>
    </row>
    <row r="4040" spans="1:12" x14ac:dyDescent="0.25">
      <c r="A4040" s="468" t="s">
        <v>220</v>
      </c>
      <c r="B4040" s="468" t="s">
        <v>5430</v>
      </c>
      <c r="C4040" s="468" t="s">
        <v>6555</v>
      </c>
      <c r="D4040" s="468" t="s">
        <v>8840</v>
      </c>
      <c r="F4040" s="470">
        <v>4</v>
      </c>
      <c r="G4040" s="468">
        <v>36.270000000000003</v>
      </c>
      <c r="H4040" s="479">
        <v>145.08000000000001</v>
      </c>
      <c r="I4040" s="468" t="s">
        <v>9218</v>
      </c>
      <c r="J4040" s="468" t="s">
        <v>9219</v>
      </c>
      <c r="K4040" s="468" t="s">
        <v>9219</v>
      </c>
      <c r="L4040" s="468" t="s">
        <v>2354</v>
      </c>
    </row>
    <row r="4041" spans="1:12" x14ac:dyDescent="0.25">
      <c r="A4041" s="468" t="s">
        <v>220</v>
      </c>
      <c r="B4041" s="468" t="s">
        <v>5430</v>
      </c>
      <c r="C4041" s="468" t="s">
        <v>6557</v>
      </c>
      <c r="D4041" s="468" t="s">
        <v>8841</v>
      </c>
      <c r="F4041" s="470">
        <v>4</v>
      </c>
      <c r="G4041" s="468">
        <v>36.799999999999997</v>
      </c>
      <c r="H4041" s="479">
        <v>147.19999999999999</v>
      </c>
      <c r="I4041" s="468" t="s">
        <v>9218</v>
      </c>
      <c r="J4041" s="468" t="s">
        <v>9219</v>
      </c>
      <c r="K4041" s="468" t="s">
        <v>9219</v>
      </c>
      <c r="L4041" s="468" t="s">
        <v>2354</v>
      </c>
    </row>
    <row r="4042" spans="1:12" x14ac:dyDescent="0.25">
      <c r="A4042" s="468" t="s">
        <v>220</v>
      </c>
      <c r="B4042" s="468" t="s">
        <v>5430</v>
      </c>
      <c r="C4042" s="468" t="s">
        <v>2407</v>
      </c>
      <c r="D4042" s="468" t="s">
        <v>8842</v>
      </c>
      <c r="F4042" s="470">
        <v>1</v>
      </c>
      <c r="G4042" s="468">
        <v>19.437000000000001</v>
      </c>
      <c r="H4042" s="479">
        <v>19.437000000000001</v>
      </c>
      <c r="I4042" s="468" t="s">
        <v>9218</v>
      </c>
      <c r="J4042" s="468" t="s">
        <v>9219</v>
      </c>
      <c r="K4042" s="468" t="s">
        <v>9219</v>
      </c>
      <c r="L4042" s="468" t="s">
        <v>2354</v>
      </c>
    </row>
    <row r="4043" spans="1:12" x14ac:dyDescent="0.25">
      <c r="A4043" s="468" t="s">
        <v>220</v>
      </c>
      <c r="B4043" s="468" t="s">
        <v>5430</v>
      </c>
      <c r="C4043" s="468" t="s">
        <v>6559</v>
      </c>
      <c r="D4043" s="468" t="s">
        <v>8843</v>
      </c>
      <c r="F4043" s="470">
        <v>2</v>
      </c>
      <c r="G4043" s="468">
        <v>16.751999999999999</v>
      </c>
      <c r="H4043" s="479">
        <v>33.503999999999998</v>
      </c>
      <c r="I4043" s="468" t="s">
        <v>9218</v>
      </c>
      <c r="J4043" s="468" t="s">
        <v>9219</v>
      </c>
      <c r="K4043" s="468" t="s">
        <v>9219</v>
      </c>
      <c r="L4043" s="468" t="s">
        <v>2354</v>
      </c>
    </row>
    <row r="4044" spans="1:12" x14ac:dyDescent="0.25">
      <c r="A4044" s="468" t="s">
        <v>220</v>
      </c>
      <c r="B4044" s="468" t="s">
        <v>5430</v>
      </c>
      <c r="C4044" s="468" t="s">
        <v>3637</v>
      </c>
      <c r="D4044" s="468" t="s">
        <v>8844</v>
      </c>
      <c r="F4044" s="470">
        <v>13</v>
      </c>
      <c r="G4044" s="468">
        <v>2.2730000000000001</v>
      </c>
      <c r="H4044" s="479">
        <v>29.549000000000003</v>
      </c>
      <c r="I4044" s="468" t="s">
        <v>9218</v>
      </c>
      <c r="J4044" s="468" t="s">
        <v>9219</v>
      </c>
      <c r="K4044" s="468" t="s">
        <v>9219</v>
      </c>
      <c r="L4044" s="468" t="s">
        <v>2354</v>
      </c>
    </row>
    <row r="4045" spans="1:12" x14ac:dyDescent="0.25">
      <c r="A4045" s="468" t="s">
        <v>220</v>
      </c>
      <c r="B4045" s="468" t="s">
        <v>5430</v>
      </c>
      <c r="C4045" s="468" t="s">
        <v>3639</v>
      </c>
      <c r="D4045" s="468" t="s">
        <v>3640</v>
      </c>
      <c r="F4045" s="470">
        <v>5</v>
      </c>
      <c r="G4045" s="468">
        <v>2.1179999999999999</v>
      </c>
      <c r="H4045" s="479">
        <v>10.59</v>
      </c>
      <c r="I4045" s="468" t="s">
        <v>9218</v>
      </c>
      <c r="J4045" s="468" t="s">
        <v>9219</v>
      </c>
      <c r="K4045" s="468" t="s">
        <v>9219</v>
      </c>
      <c r="L4045" s="468" t="s">
        <v>2354</v>
      </c>
    </row>
    <row r="4046" spans="1:12" x14ac:dyDescent="0.25">
      <c r="A4046" s="468" t="s">
        <v>220</v>
      </c>
      <c r="B4046" s="468" t="s">
        <v>5430</v>
      </c>
      <c r="C4046" s="468" t="s">
        <v>3641</v>
      </c>
      <c r="D4046" s="468" t="s">
        <v>3642</v>
      </c>
      <c r="F4046" s="470">
        <v>7</v>
      </c>
      <c r="G4046" s="468">
        <v>2.694</v>
      </c>
      <c r="H4046" s="479">
        <v>18.858000000000001</v>
      </c>
      <c r="I4046" s="468" t="s">
        <v>9218</v>
      </c>
      <c r="J4046" s="468" t="s">
        <v>9219</v>
      </c>
      <c r="K4046" s="468" t="s">
        <v>9219</v>
      </c>
      <c r="L4046" s="468" t="s">
        <v>2354</v>
      </c>
    </row>
    <row r="4047" spans="1:12" x14ac:dyDescent="0.25">
      <c r="A4047" s="468" t="s">
        <v>220</v>
      </c>
      <c r="B4047" s="468" t="s">
        <v>5430</v>
      </c>
      <c r="C4047" s="468" t="s">
        <v>3645</v>
      </c>
      <c r="D4047" s="468" t="s">
        <v>8845</v>
      </c>
      <c r="F4047" s="470">
        <v>11</v>
      </c>
      <c r="G4047" s="468">
        <v>4.08</v>
      </c>
      <c r="H4047" s="479">
        <v>44.88</v>
      </c>
      <c r="I4047" s="468" t="s">
        <v>9218</v>
      </c>
      <c r="J4047" s="468" t="s">
        <v>9219</v>
      </c>
      <c r="K4047" s="468" t="s">
        <v>9219</v>
      </c>
      <c r="L4047" s="468" t="s">
        <v>2354</v>
      </c>
    </row>
    <row r="4048" spans="1:12" x14ac:dyDescent="0.25">
      <c r="A4048" s="468" t="s">
        <v>220</v>
      </c>
      <c r="B4048" s="468" t="s">
        <v>5430</v>
      </c>
      <c r="C4048" s="468" t="s">
        <v>3647</v>
      </c>
      <c r="D4048" s="468" t="s">
        <v>8846</v>
      </c>
      <c r="F4048" s="470">
        <v>5</v>
      </c>
      <c r="G4048" s="468">
        <v>3.8759999999999999</v>
      </c>
      <c r="H4048" s="479">
        <v>19.38</v>
      </c>
      <c r="I4048" s="468" t="s">
        <v>9218</v>
      </c>
      <c r="J4048" s="468" t="s">
        <v>9219</v>
      </c>
      <c r="K4048" s="468" t="s">
        <v>9219</v>
      </c>
      <c r="L4048" s="468" t="s">
        <v>2354</v>
      </c>
    </row>
    <row r="4049" spans="1:12" x14ac:dyDescent="0.25">
      <c r="A4049" s="468" t="s">
        <v>220</v>
      </c>
      <c r="B4049" s="468" t="s">
        <v>5430</v>
      </c>
      <c r="C4049" s="468" t="s">
        <v>3649</v>
      </c>
      <c r="D4049" s="468" t="s">
        <v>3650</v>
      </c>
      <c r="F4049" s="470">
        <v>8</v>
      </c>
      <c r="G4049" s="468">
        <v>5.0270000000000001</v>
      </c>
      <c r="H4049" s="479">
        <v>40.216000000000001</v>
      </c>
      <c r="I4049" s="468" t="s">
        <v>9218</v>
      </c>
      <c r="J4049" s="468" t="s">
        <v>9219</v>
      </c>
      <c r="K4049" s="468" t="s">
        <v>9219</v>
      </c>
      <c r="L4049" s="468" t="s">
        <v>2354</v>
      </c>
    </row>
    <row r="4050" spans="1:12" x14ac:dyDescent="0.25">
      <c r="A4050" s="468" t="s">
        <v>220</v>
      </c>
      <c r="B4050" s="468" t="s">
        <v>5430</v>
      </c>
      <c r="C4050" s="468" t="s">
        <v>3655</v>
      </c>
      <c r="D4050" s="468" t="s">
        <v>3656</v>
      </c>
      <c r="F4050" s="470">
        <v>44</v>
      </c>
      <c r="G4050" s="468">
        <v>3.774</v>
      </c>
      <c r="H4050" s="479">
        <v>166.05600000000001</v>
      </c>
      <c r="I4050" s="468" t="s">
        <v>9218</v>
      </c>
      <c r="J4050" s="468" t="s">
        <v>9219</v>
      </c>
      <c r="K4050" s="468" t="s">
        <v>9219</v>
      </c>
      <c r="L4050" s="468" t="s">
        <v>2354</v>
      </c>
    </row>
    <row r="4051" spans="1:12" x14ac:dyDescent="0.25">
      <c r="A4051" s="468" t="s">
        <v>220</v>
      </c>
      <c r="B4051" s="468" t="s">
        <v>5430</v>
      </c>
      <c r="C4051" s="468" t="s">
        <v>8847</v>
      </c>
      <c r="D4051" s="468" t="s">
        <v>8848</v>
      </c>
      <c r="F4051" s="470">
        <v>2</v>
      </c>
      <c r="G4051" s="468">
        <v>2.6419999999999999</v>
      </c>
      <c r="H4051" s="479">
        <v>5.2839999999999998</v>
      </c>
      <c r="I4051" s="468" t="s">
        <v>9218</v>
      </c>
      <c r="J4051" s="468" t="s">
        <v>9219</v>
      </c>
      <c r="K4051" s="468" t="s">
        <v>9219</v>
      </c>
      <c r="L4051" s="468" t="s">
        <v>2354</v>
      </c>
    </row>
    <row r="4052" spans="1:12" x14ac:dyDescent="0.25">
      <c r="A4052" s="468" t="s">
        <v>220</v>
      </c>
      <c r="B4052" s="468" t="s">
        <v>5430</v>
      </c>
      <c r="C4052" s="468" t="s">
        <v>8849</v>
      </c>
      <c r="D4052" s="468" t="s">
        <v>8850</v>
      </c>
      <c r="F4052" s="470">
        <v>2</v>
      </c>
      <c r="H4052" s="479">
        <v>0</v>
      </c>
      <c r="I4052" s="468" t="s">
        <v>9218</v>
      </c>
      <c r="J4052" s="468" t="s">
        <v>9219</v>
      </c>
      <c r="K4052" s="468" t="s">
        <v>9219</v>
      </c>
      <c r="L4052" s="468" t="s">
        <v>2354</v>
      </c>
    </row>
    <row r="4053" spans="1:12" x14ac:dyDescent="0.25">
      <c r="A4053" s="468" t="s">
        <v>220</v>
      </c>
      <c r="B4053" s="468" t="s">
        <v>5430</v>
      </c>
      <c r="C4053" s="468" t="s">
        <v>3657</v>
      </c>
      <c r="D4053" s="468" t="s">
        <v>8851</v>
      </c>
      <c r="F4053" s="470">
        <v>5</v>
      </c>
      <c r="G4053" s="468">
        <v>6.1280000000000001</v>
      </c>
      <c r="H4053" s="479">
        <v>30.64</v>
      </c>
      <c r="I4053" s="468" t="s">
        <v>9218</v>
      </c>
      <c r="J4053" s="468" t="s">
        <v>9219</v>
      </c>
      <c r="K4053" s="468" t="s">
        <v>9219</v>
      </c>
      <c r="L4053" s="468" t="s">
        <v>2354</v>
      </c>
    </row>
    <row r="4054" spans="1:12" x14ac:dyDescent="0.25">
      <c r="A4054" s="468" t="s">
        <v>220</v>
      </c>
      <c r="B4054" s="468" t="s">
        <v>5430</v>
      </c>
      <c r="C4054" s="468" t="s">
        <v>3663</v>
      </c>
      <c r="D4054" s="468" t="s">
        <v>8852</v>
      </c>
      <c r="F4054" s="470">
        <v>12</v>
      </c>
      <c r="G4054" s="468">
        <v>3.093</v>
      </c>
      <c r="H4054" s="479">
        <v>37.116</v>
      </c>
      <c r="I4054" s="468" t="s">
        <v>9218</v>
      </c>
      <c r="J4054" s="468" t="s">
        <v>9219</v>
      </c>
      <c r="K4054" s="468" t="s">
        <v>9219</v>
      </c>
      <c r="L4054" s="468" t="s">
        <v>2354</v>
      </c>
    </row>
    <row r="4055" spans="1:12" x14ac:dyDescent="0.25">
      <c r="A4055" s="468" t="s">
        <v>220</v>
      </c>
      <c r="B4055" s="468" t="s">
        <v>5430</v>
      </c>
      <c r="C4055" s="468" t="s">
        <v>6563</v>
      </c>
      <c r="D4055" s="468" t="s">
        <v>8853</v>
      </c>
      <c r="F4055" s="470">
        <v>1</v>
      </c>
      <c r="G4055" s="468">
        <v>1.0920000000000001</v>
      </c>
      <c r="H4055" s="479">
        <v>1.0920000000000001</v>
      </c>
      <c r="I4055" s="468" t="s">
        <v>9218</v>
      </c>
      <c r="J4055" s="468" t="s">
        <v>9219</v>
      </c>
      <c r="K4055" s="468" t="s">
        <v>9219</v>
      </c>
      <c r="L4055" s="468" t="s">
        <v>2354</v>
      </c>
    </row>
    <row r="4056" spans="1:12" x14ac:dyDescent="0.25">
      <c r="A4056" s="468" t="s">
        <v>220</v>
      </c>
      <c r="B4056" s="468" t="s">
        <v>5430</v>
      </c>
      <c r="C4056" s="468" t="s">
        <v>3667</v>
      </c>
      <c r="D4056" s="468" t="s">
        <v>8854</v>
      </c>
      <c r="F4056" s="470">
        <v>10</v>
      </c>
      <c r="G4056" s="468">
        <v>1.4650000000000001</v>
      </c>
      <c r="H4056" s="479">
        <v>14.65</v>
      </c>
      <c r="I4056" s="468" t="s">
        <v>9218</v>
      </c>
      <c r="J4056" s="468" t="s">
        <v>9219</v>
      </c>
      <c r="K4056" s="468" t="s">
        <v>9219</v>
      </c>
      <c r="L4056" s="468" t="s">
        <v>2354</v>
      </c>
    </row>
    <row r="4057" spans="1:12" x14ac:dyDescent="0.25">
      <c r="A4057" s="468" t="s">
        <v>220</v>
      </c>
      <c r="B4057" s="468" t="s">
        <v>5430</v>
      </c>
      <c r="C4057" s="468" t="s">
        <v>6565</v>
      </c>
      <c r="D4057" s="468" t="s">
        <v>6566</v>
      </c>
      <c r="F4057" s="470">
        <v>2</v>
      </c>
      <c r="G4057" s="468">
        <v>7.6159999999999997</v>
      </c>
      <c r="H4057" s="479">
        <v>15.231999999999999</v>
      </c>
      <c r="I4057" s="468" t="s">
        <v>9218</v>
      </c>
      <c r="J4057" s="468" t="s">
        <v>9219</v>
      </c>
      <c r="K4057" s="468" t="s">
        <v>9219</v>
      </c>
      <c r="L4057" s="468" t="s">
        <v>2354</v>
      </c>
    </row>
    <row r="4058" spans="1:12" x14ac:dyDescent="0.25">
      <c r="A4058" s="468" t="s">
        <v>220</v>
      </c>
      <c r="B4058" s="468" t="s">
        <v>5430</v>
      </c>
      <c r="C4058" s="468" t="s">
        <v>6567</v>
      </c>
      <c r="D4058" s="468" t="s">
        <v>8855</v>
      </c>
      <c r="F4058" s="470">
        <v>8</v>
      </c>
      <c r="G4058" s="468">
        <v>1.161</v>
      </c>
      <c r="H4058" s="479">
        <v>9.2880000000000003</v>
      </c>
      <c r="I4058" s="468" t="s">
        <v>9218</v>
      </c>
      <c r="J4058" s="468" t="s">
        <v>9219</v>
      </c>
      <c r="K4058" s="468" t="s">
        <v>9219</v>
      </c>
      <c r="L4058" s="468" t="s">
        <v>2354</v>
      </c>
    </row>
    <row r="4059" spans="1:12" x14ac:dyDescent="0.25">
      <c r="A4059" s="468" t="s">
        <v>220</v>
      </c>
      <c r="B4059" s="468" t="s">
        <v>5430</v>
      </c>
      <c r="C4059" s="468" t="s">
        <v>6569</v>
      </c>
      <c r="D4059" s="468" t="s">
        <v>8856</v>
      </c>
      <c r="F4059" s="470">
        <v>9</v>
      </c>
      <c r="G4059" s="468">
        <v>3.2269999999999999</v>
      </c>
      <c r="H4059" s="479">
        <v>29.042999999999999</v>
      </c>
      <c r="I4059" s="468" t="s">
        <v>9218</v>
      </c>
      <c r="J4059" s="468" t="s">
        <v>9219</v>
      </c>
      <c r="K4059" s="468" t="s">
        <v>9219</v>
      </c>
      <c r="L4059" s="468" t="s">
        <v>2354</v>
      </c>
    </row>
    <row r="4060" spans="1:12" x14ac:dyDescent="0.25">
      <c r="A4060" s="468" t="s">
        <v>220</v>
      </c>
      <c r="B4060" s="468" t="s">
        <v>5430</v>
      </c>
      <c r="C4060" s="468" t="s">
        <v>6571</v>
      </c>
      <c r="D4060" s="468" t="s">
        <v>6572</v>
      </c>
      <c r="F4060" s="470">
        <v>3</v>
      </c>
      <c r="G4060" s="468">
        <v>1.361</v>
      </c>
      <c r="H4060" s="479">
        <v>4.0830000000000002</v>
      </c>
      <c r="I4060" s="468" t="s">
        <v>9218</v>
      </c>
      <c r="J4060" s="468" t="s">
        <v>9219</v>
      </c>
      <c r="K4060" s="468" t="s">
        <v>9219</v>
      </c>
      <c r="L4060" s="468" t="s">
        <v>2354</v>
      </c>
    </row>
    <row r="4061" spans="1:12" x14ac:dyDescent="0.25">
      <c r="A4061" s="468" t="s">
        <v>220</v>
      </c>
      <c r="B4061" s="468" t="s">
        <v>5430</v>
      </c>
      <c r="C4061" s="468" t="s">
        <v>6573</v>
      </c>
      <c r="D4061" s="468" t="s">
        <v>6574</v>
      </c>
      <c r="F4061" s="470">
        <v>30</v>
      </c>
      <c r="G4061" s="468">
        <v>0.38300000000000001</v>
      </c>
      <c r="H4061" s="479">
        <v>11.49</v>
      </c>
      <c r="I4061" s="468" t="s">
        <v>9218</v>
      </c>
      <c r="J4061" s="468" t="s">
        <v>9219</v>
      </c>
      <c r="K4061" s="468" t="s">
        <v>9219</v>
      </c>
      <c r="L4061" s="468" t="s">
        <v>2354</v>
      </c>
    </row>
    <row r="4062" spans="1:12" x14ac:dyDescent="0.25">
      <c r="A4062" s="468" t="s">
        <v>220</v>
      </c>
      <c r="B4062" s="468" t="s">
        <v>5430</v>
      </c>
      <c r="C4062" s="468" t="s">
        <v>6575</v>
      </c>
      <c r="D4062" s="468" t="s">
        <v>8857</v>
      </c>
      <c r="F4062" s="470">
        <v>2</v>
      </c>
      <c r="G4062" s="468">
        <v>2.97</v>
      </c>
      <c r="H4062" s="479">
        <v>5.94</v>
      </c>
      <c r="I4062" s="468" t="s">
        <v>9218</v>
      </c>
      <c r="J4062" s="468" t="s">
        <v>9219</v>
      </c>
      <c r="K4062" s="468" t="s">
        <v>9219</v>
      </c>
      <c r="L4062" s="468" t="s">
        <v>2354</v>
      </c>
    </row>
    <row r="4063" spans="1:12" x14ac:dyDescent="0.25">
      <c r="A4063" s="468" t="s">
        <v>220</v>
      </c>
      <c r="B4063" s="468" t="s">
        <v>5430</v>
      </c>
      <c r="C4063" s="468" t="s">
        <v>3683</v>
      </c>
      <c r="D4063" s="468" t="s">
        <v>3684</v>
      </c>
      <c r="F4063" s="470">
        <v>6</v>
      </c>
      <c r="G4063" s="468">
        <v>2.7029999999999998</v>
      </c>
      <c r="H4063" s="479">
        <v>16.218</v>
      </c>
      <c r="I4063" s="468" t="s">
        <v>9218</v>
      </c>
      <c r="J4063" s="468" t="s">
        <v>9219</v>
      </c>
      <c r="K4063" s="468" t="s">
        <v>9219</v>
      </c>
      <c r="L4063" s="468" t="s">
        <v>2354</v>
      </c>
    </row>
    <row r="4064" spans="1:12" x14ac:dyDescent="0.25">
      <c r="A4064" s="468" t="s">
        <v>220</v>
      </c>
      <c r="B4064" s="468" t="s">
        <v>5430</v>
      </c>
      <c r="C4064" s="468" t="s">
        <v>3687</v>
      </c>
      <c r="D4064" s="468" t="s">
        <v>8858</v>
      </c>
      <c r="F4064" s="470">
        <v>2</v>
      </c>
      <c r="G4064" s="468">
        <v>2.2970000000000002</v>
      </c>
      <c r="H4064" s="479">
        <v>4.5940000000000003</v>
      </c>
      <c r="I4064" s="468" t="s">
        <v>9218</v>
      </c>
      <c r="J4064" s="468" t="s">
        <v>9219</v>
      </c>
      <c r="K4064" s="468" t="s">
        <v>9219</v>
      </c>
      <c r="L4064" s="468" t="s">
        <v>2354</v>
      </c>
    </row>
    <row r="4065" spans="1:12" x14ac:dyDescent="0.25">
      <c r="A4065" s="468" t="s">
        <v>220</v>
      </c>
      <c r="B4065" s="468" t="s">
        <v>5430</v>
      </c>
      <c r="C4065" s="468" t="s">
        <v>3689</v>
      </c>
      <c r="D4065" s="468" t="s">
        <v>8859</v>
      </c>
      <c r="F4065" s="470">
        <v>5</v>
      </c>
      <c r="G4065" s="468">
        <v>1.5469999999999999</v>
      </c>
      <c r="H4065" s="479">
        <v>7.7349999999999994</v>
      </c>
      <c r="I4065" s="468" t="s">
        <v>9218</v>
      </c>
      <c r="J4065" s="468" t="s">
        <v>9219</v>
      </c>
      <c r="K4065" s="468" t="s">
        <v>9219</v>
      </c>
      <c r="L4065" s="468" t="s">
        <v>2354</v>
      </c>
    </row>
    <row r="4066" spans="1:12" x14ac:dyDescent="0.25">
      <c r="A4066" s="468" t="s">
        <v>220</v>
      </c>
      <c r="B4066" s="468" t="s">
        <v>5430</v>
      </c>
      <c r="C4066" s="468" t="s">
        <v>3691</v>
      </c>
      <c r="D4066" s="468" t="s">
        <v>3692</v>
      </c>
      <c r="F4066" s="470">
        <v>2</v>
      </c>
      <c r="G4066" s="468">
        <v>1.1140000000000001</v>
      </c>
      <c r="H4066" s="479">
        <v>2.2280000000000002</v>
      </c>
      <c r="I4066" s="468" t="s">
        <v>9218</v>
      </c>
      <c r="J4066" s="468" t="s">
        <v>9219</v>
      </c>
      <c r="K4066" s="468" t="s">
        <v>9219</v>
      </c>
      <c r="L4066" s="468" t="s">
        <v>2354</v>
      </c>
    </row>
    <row r="4067" spans="1:12" x14ac:dyDescent="0.25">
      <c r="A4067" s="468" t="s">
        <v>220</v>
      </c>
      <c r="B4067" s="468" t="s">
        <v>5430</v>
      </c>
      <c r="C4067" s="468" t="s">
        <v>3693</v>
      </c>
      <c r="D4067" s="468" t="s">
        <v>8860</v>
      </c>
      <c r="F4067" s="470">
        <v>9</v>
      </c>
      <c r="G4067" s="468">
        <v>2.7610000000000001</v>
      </c>
      <c r="H4067" s="479">
        <v>24.849</v>
      </c>
      <c r="I4067" s="468" t="s">
        <v>9218</v>
      </c>
      <c r="J4067" s="468" t="s">
        <v>9219</v>
      </c>
      <c r="K4067" s="468" t="s">
        <v>9219</v>
      </c>
      <c r="L4067" s="468" t="s">
        <v>2354</v>
      </c>
    </row>
    <row r="4068" spans="1:12" x14ac:dyDescent="0.25">
      <c r="A4068" s="468" t="s">
        <v>220</v>
      </c>
      <c r="B4068" s="468" t="s">
        <v>5430</v>
      </c>
      <c r="C4068" s="468" t="s">
        <v>6577</v>
      </c>
      <c r="D4068" s="468" t="s">
        <v>8861</v>
      </c>
      <c r="F4068" s="470">
        <v>1</v>
      </c>
      <c r="G4068" s="468">
        <v>1.234</v>
      </c>
      <c r="H4068" s="479">
        <v>1.234</v>
      </c>
      <c r="I4068" s="468" t="s">
        <v>9218</v>
      </c>
      <c r="J4068" s="468" t="s">
        <v>9219</v>
      </c>
      <c r="K4068" s="468" t="s">
        <v>9219</v>
      </c>
      <c r="L4068" s="468" t="s">
        <v>2354</v>
      </c>
    </row>
    <row r="4069" spans="1:12" x14ac:dyDescent="0.25">
      <c r="A4069" s="468" t="s">
        <v>220</v>
      </c>
      <c r="B4069" s="468" t="s">
        <v>5430</v>
      </c>
      <c r="C4069" s="468" t="s">
        <v>6579</v>
      </c>
      <c r="D4069" s="468" t="s">
        <v>8862</v>
      </c>
      <c r="F4069" s="470">
        <v>2</v>
      </c>
      <c r="G4069" s="468">
        <v>4.0970000000000004</v>
      </c>
      <c r="H4069" s="479">
        <v>8.1940000000000008</v>
      </c>
      <c r="I4069" s="468" t="s">
        <v>9218</v>
      </c>
      <c r="J4069" s="468" t="s">
        <v>9219</v>
      </c>
      <c r="K4069" s="468" t="s">
        <v>9219</v>
      </c>
      <c r="L4069" s="468" t="s">
        <v>2354</v>
      </c>
    </row>
    <row r="4070" spans="1:12" x14ac:dyDescent="0.25">
      <c r="A4070" s="468" t="s">
        <v>220</v>
      </c>
      <c r="B4070" s="468" t="s">
        <v>5430</v>
      </c>
      <c r="C4070" s="468" t="s">
        <v>6581</v>
      </c>
      <c r="D4070" s="468" t="s">
        <v>6582</v>
      </c>
      <c r="F4070" s="470">
        <v>8</v>
      </c>
      <c r="G4070" s="468">
        <v>13.279</v>
      </c>
      <c r="H4070" s="479">
        <v>106.232</v>
      </c>
      <c r="I4070" s="468" t="s">
        <v>9218</v>
      </c>
      <c r="J4070" s="468" t="s">
        <v>9219</v>
      </c>
      <c r="K4070" s="468" t="s">
        <v>9219</v>
      </c>
      <c r="L4070" s="468" t="s">
        <v>2354</v>
      </c>
    </row>
    <row r="4071" spans="1:12" x14ac:dyDescent="0.25">
      <c r="A4071" s="468" t="s">
        <v>220</v>
      </c>
      <c r="B4071" s="468" t="s">
        <v>5430</v>
      </c>
      <c r="C4071" s="468" t="s">
        <v>6583</v>
      </c>
      <c r="D4071" s="468" t="s">
        <v>6584</v>
      </c>
      <c r="F4071" s="470">
        <v>10</v>
      </c>
      <c r="G4071" s="468">
        <v>3.7829999999999999</v>
      </c>
      <c r="H4071" s="479">
        <v>37.83</v>
      </c>
      <c r="I4071" s="468" t="s">
        <v>9218</v>
      </c>
      <c r="J4071" s="468" t="s">
        <v>9219</v>
      </c>
      <c r="K4071" s="468" t="s">
        <v>9219</v>
      </c>
      <c r="L4071" s="468" t="s">
        <v>2354</v>
      </c>
    </row>
    <row r="4072" spans="1:12" x14ac:dyDescent="0.25">
      <c r="A4072" s="468" t="s">
        <v>220</v>
      </c>
      <c r="B4072" s="468" t="s">
        <v>5430</v>
      </c>
      <c r="C4072" s="468" t="s">
        <v>6585</v>
      </c>
      <c r="D4072" s="468" t="s">
        <v>6586</v>
      </c>
      <c r="F4072" s="470">
        <v>3</v>
      </c>
      <c r="G4072" s="468">
        <v>0.86699999999999999</v>
      </c>
      <c r="H4072" s="479">
        <v>2.601</v>
      </c>
      <c r="I4072" s="468" t="s">
        <v>9218</v>
      </c>
      <c r="J4072" s="468" t="s">
        <v>9219</v>
      </c>
      <c r="K4072" s="468" t="s">
        <v>9219</v>
      </c>
      <c r="L4072" s="468" t="s">
        <v>2354</v>
      </c>
    </row>
    <row r="4073" spans="1:12" x14ac:dyDescent="0.25">
      <c r="A4073" s="468" t="s">
        <v>220</v>
      </c>
      <c r="B4073" s="468" t="s">
        <v>5430</v>
      </c>
      <c r="C4073" s="468" t="s">
        <v>6587</v>
      </c>
      <c r="D4073" s="468" t="s">
        <v>6588</v>
      </c>
      <c r="F4073" s="470">
        <v>32</v>
      </c>
      <c r="G4073" s="468">
        <v>0.51</v>
      </c>
      <c r="H4073" s="479">
        <v>16.32</v>
      </c>
      <c r="I4073" s="468" t="s">
        <v>9218</v>
      </c>
      <c r="J4073" s="468" t="s">
        <v>9219</v>
      </c>
      <c r="K4073" s="468" t="s">
        <v>9219</v>
      </c>
      <c r="L4073" s="468" t="s">
        <v>2354</v>
      </c>
    </row>
    <row r="4074" spans="1:12" x14ac:dyDescent="0.25">
      <c r="A4074" s="468" t="s">
        <v>220</v>
      </c>
      <c r="B4074" s="468" t="s">
        <v>5430</v>
      </c>
      <c r="C4074" s="468" t="s">
        <v>6589</v>
      </c>
      <c r="D4074" s="468" t="s">
        <v>6590</v>
      </c>
      <c r="F4074" s="470">
        <v>5</v>
      </c>
      <c r="G4074" s="468">
        <v>1.504</v>
      </c>
      <c r="H4074" s="479">
        <v>7.52</v>
      </c>
      <c r="I4074" s="468" t="s">
        <v>9218</v>
      </c>
      <c r="J4074" s="468" t="s">
        <v>9219</v>
      </c>
      <c r="K4074" s="468" t="s">
        <v>9219</v>
      </c>
      <c r="L4074" s="468" t="s">
        <v>2354</v>
      </c>
    </row>
    <row r="4075" spans="1:12" x14ac:dyDescent="0.25">
      <c r="A4075" s="468" t="s">
        <v>220</v>
      </c>
      <c r="B4075" s="468" t="s">
        <v>5430</v>
      </c>
      <c r="C4075" s="468" t="s">
        <v>3709</v>
      </c>
      <c r="D4075" s="468" t="s">
        <v>8863</v>
      </c>
      <c r="F4075" s="470">
        <v>9</v>
      </c>
      <c r="G4075" s="468">
        <v>8.8970000000000002</v>
      </c>
      <c r="H4075" s="479">
        <v>80.073000000000008</v>
      </c>
      <c r="I4075" s="468" t="s">
        <v>9218</v>
      </c>
      <c r="J4075" s="468" t="s">
        <v>9219</v>
      </c>
      <c r="K4075" s="468" t="s">
        <v>9219</v>
      </c>
      <c r="L4075" s="468" t="s">
        <v>2354</v>
      </c>
    </row>
    <row r="4076" spans="1:12" x14ac:dyDescent="0.25">
      <c r="A4076" s="468" t="s">
        <v>220</v>
      </c>
      <c r="B4076" s="468" t="s">
        <v>5430</v>
      </c>
      <c r="C4076" s="468" t="s">
        <v>6591</v>
      </c>
      <c r="D4076" s="468" t="s">
        <v>8864</v>
      </c>
      <c r="F4076" s="470">
        <v>9</v>
      </c>
      <c r="G4076" s="468">
        <v>7.6470000000000002</v>
      </c>
      <c r="H4076" s="479">
        <v>68.823000000000008</v>
      </c>
      <c r="I4076" s="468" t="s">
        <v>9218</v>
      </c>
      <c r="J4076" s="468" t="s">
        <v>9219</v>
      </c>
      <c r="K4076" s="468" t="s">
        <v>9219</v>
      </c>
      <c r="L4076" s="468" t="s">
        <v>2354</v>
      </c>
    </row>
    <row r="4077" spans="1:12" x14ac:dyDescent="0.25">
      <c r="A4077" s="468" t="s">
        <v>220</v>
      </c>
      <c r="B4077" s="468" t="s">
        <v>5430</v>
      </c>
      <c r="C4077" s="468" t="s">
        <v>6593</v>
      </c>
      <c r="D4077" s="468" t="s">
        <v>6594</v>
      </c>
      <c r="F4077" s="470">
        <v>1</v>
      </c>
      <c r="G4077" s="468">
        <v>7.7549999999999999</v>
      </c>
      <c r="H4077" s="479">
        <v>7.7549999999999999</v>
      </c>
      <c r="I4077" s="468" t="s">
        <v>9218</v>
      </c>
      <c r="J4077" s="468" t="s">
        <v>9219</v>
      </c>
      <c r="K4077" s="468" t="s">
        <v>9219</v>
      </c>
      <c r="L4077" s="468" t="s">
        <v>2354</v>
      </c>
    </row>
    <row r="4078" spans="1:12" x14ac:dyDescent="0.25">
      <c r="A4078" s="468" t="s">
        <v>220</v>
      </c>
      <c r="B4078" s="468" t="s">
        <v>5430</v>
      </c>
      <c r="C4078" s="468" t="s">
        <v>6595</v>
      </c>
      <c r="D4078" s="468" t="s">
        <v>6596</v>
      </c>
      <c r="F4078" s="470">
        <v>2</v>
      </c>
      <c r="G4078" s="468">
        <v>0.86699999999999999</v>
      </c>
      <c r="H4078" s="479">
        <v>1.734</v>
      </c>
      <c r="I4078" s="468" t="s">
        <v>9218</v>
      </c>
      <c r="J4078" s="468" t="s">
        <v>9219</v>
      </c>
      <c r="K4078" s="468" t="s">
        <v>9219</v>
      </c>
      <c r="L4078" s="468" t="s">
        <v>2354</v>
      </c>
    </row>
    <row r="4079" spans="1:12" x14ac:dyDescent="0.25">
      <c r="A4079" s="468" t="s">
        <v>220</v>
      </c>
      <c r="B4079" s="468" t="s">
        <v>5430</v>
      </c>
      <c r="C4079" s="468" t="s">
        <v>6597</v>
      </c>
      <c r="D4079" s="468" t="s">
        <v>8865</v>
      </c>
      <c r="F4079" s="470">
        <v>2</v>
      </c>
      <c r="G4079" s="468">
        <v>5.4480000000000004</v>
      </c>
      <c r="H4079" s="479">
        <v>10.896000000000001</v>
      </c>
      <c r="I4079" s="468" t="s">
        <v>9218</v>
      </c>
      <c r="J4079" s="468" t="s">
        <v>9219</v>
      </c>
      <c r="K4079" s="468" t="s">
        <v>9219</v>
      </c>
      <c r="L4079" s="468" t="s">
        <v>2354</v>
      </c>
    </row>
    <row r="4080" spans="1:12" x14ac:dyDescent="0.25">
      <c r="A4080" s="468" t="s">
        <v>220</v>
      </c>
      <c r="B4080" s="468" t="s">
        <v>5430</v>
      </c>
      <c r="C4080" s="468" t="s">
        <v>3739</v>
      </c>
      <c r="D4080" s="468" t="s">
        <v>8866</v>
      </c>
      <c r="F4080" s="470">
        <v>7</v>
      </c>
      <c r="G4080" s="468">
        <v>3.0430000000000001</v>
      </c>
      <c r="H4080" s="479">
        <v>21.301000000000002</v>
      </c>
      <c r="I4080" s="468" t="s">
        <v>9218</v>
      </c>
      <c r="J4080" s="468" t="s">
        <v>9219</v>
      </c>
      <c r="K4080" s="468" t="s">
        <v>9219</v>
      </c>
      <c r="L4080" s="468" t="s">
        <v>2354</v>
      </c>
    </row>
    <row r="4081" spans="1:12" x14ac:dyDescent="0.25">
      <c r="A4081" s="468" t="s">
        <v>220</v>
      </c>
      <c r="B4081" s="468" t="s">
        <v>5430</v>
      </c>
      <c r="C4081" s="468" t="s">
        <v>3741</v>
      </c>
      <c r="D4081" s="468" t="s">
        <v>3742</v>
      </c>
      <c r="F4081" s="470">
        <v>8</v>
      </c>
      <c r="G4081" s="468">
        <v>2.1070000000000002</v>
      </c>
      <c r="H4081" s="479">
        <v>16.856000000000002</v>
      </c>
      <c r="I4081" s="468" t="s">
        <v>9218</v>
      </c>
      <c r="J4081" s="468" t="s">
        <v>9219</v>
      </c>
      <c r="K4081" s="468" t="s">
        <v>9219</v>
      </c>
      <c r="L4081" s="468" t="s">
        <v>2354</v>
      </c>
    </row>
    <row r="4082" spans="1:12" x14ac:dyDescent="0.25">
      <c r="A4082" s="468" t="s">
        <v>220</v>
      </c>
      <c r="B4082" s="468" t="s">
        <v>5430</v>
      </c>
      <c r="C4082" s="468" t="s">
        <v>3745</v>
      </c>
      <c r="D4082" s="468" t="s">
        <v>8867</v>
      </c>
      <c r="F4082" s="470">
        <v>10</v>
      </c>
      <c r="G4082" s="468">
        <v>3.1779999999999999</v>
      </c>
      <c r="H4082" s="479">
        <v>31.78</v>
      </c>
      <c r="I4082" s="468" t="s">
        <v>9218</v>
      </c>
      <c r="J4082" s="468" t="s">
        <v>9219</v>
      </c>
      <c r="K4082" s="468" t="s">
        <v>9219</v>
      </c>
      <c r="L4082" s="468" t="s">
        <v>2354</v>
      </c>
    </row>
    <row r="4083" spans="1:12" x14ac:dyDescent="0.25">
      <c r="A4083" s="468" t="s">
        <v>220</v>
      </c>
      <c r="B4083" s="468" t="s">
        <v>5430</v>
      </c>
      <c r="C4083" s="468" t="s">
        <v>6603</v>
      </c>
      <c r="D4083" s="468" t="s">
        <v>6604</v>
      </c>
      <c r="F4083" s="470">
        <v>8</v>
      </c>
      <c r="G4083" s="468">
        <v>9.8780000000000001</v>
      </c>
      <c r="H4083" s="479">
        <v>79.024000000000001</v>
      </c>
      <c r="I4083" s="468" t="s">
        <v>9218</v>
      </c>
      <c r="J4083" s="468" t="s">
        <v>9219</v>
      </c>
      <c r="K4083" s="468" t="s">
        <v>9219</v>
      </c>
      <c r="L4083" s="468" t="s">
        <v>2354</v>
      </c>
    </row>
    <row r="4084" spans="1:12" x14ac:dyDescent="0.25">
      <c r="A4084" s="468" t="s">
        <v>220</v>
      </c>
      <c r="B4084" s="468" t="s">
        <v>5430</v>
      </c>
      <c r="C4084" s="468" t="s">
        <v>6605</v>
      </c>
      <c r="D4084" s="468" t="s">
        <v>8868</v>
      </c>
      <c r="F4084" s="470">
        <v>18.13</v>
      </c>
      <c r="G4084" s="468">
        <v>36.197000000000003</v>
      </c>
      <c r="H4084" s="479">
        <v>656.25161000000003</v>
      </c>
      <c r="I4084" s="468" t="s">
        <v>9218</v>
      </c>
      <c r="J4084" s="468" t="s">
        <v>9219</v>
      </c>
      <c r="K4084" s="468" t="s">
        <v>9219</v>
      </c>
      <c r="L4084" s="468" t="s">
        <v>2354</v>
      </c>
    </row>
    <row r="4085" spans="1:12" x14ac:dyDescent="0.25">
      <c r="A4085" s="468" t="s">
        <v>220</v>
      </c>
      <c r="B4085" s="468" t="s">
        <v>5430</v>
      </c>
      <c r="C4085" s="468" t="s">
        <v>6607</v>
      </c>
      <c r="D4085" s="468" t="s">
        <v>6608</v>
      </c>
      <c r="F4085" s="470">
        <v>3</v>
      </c>
      <c r="G4085" s="468">
        <v>2.3279999999999998</v>
      </c>
      <c r="H4085" s="479">
        <v>6.984</v>
      </c>
      <c r="I4085" s="468" t="s">
        <v>9218</v>
      </c>
      <c r="J4085" s="468" t="s">
        <v>9219</v>
      </c>
      <c r="K4085" s="468" t="s">
        <v>9219</v>
      </c>
      <c r="L4085" s="468" t="s">
        <v>2354</v>
      </c>
    </row>
    <row r="4086" spans="1:12" x14ac:dyDescent="0.25">
      <c r="A4086" s="468" t="s">
        <v>220</v>
      </c>
      <c r="B4086" s="468" t="s">
        <v>5430</v>
      </c>
      <c r="C4086" s="468" t="s">
        <v>6609</v>
      </c>
      <c r="D4086" s="468" t="s">
        <v>8869</v>
      </c>
      <c r="F4086" s="470">
        <v>6</v>
      </c>
      <c r="G4086" s="468">
        <v>20.314</v>
      </c>
      <c r="H4086" s="479">
        <v>121.884</v>
      </c>
      <c r="I4086" s="468" t="s">
        <v>9218</v>
      </c>
      <c r="J4086" s="468" t="s">
        <v>9219</v>
      </c>
      <c r="K4086" s="468" t="s">
        <v>9219</v>
      </c>
      <c r="L4086" s="468" t="s">
        <v>2354</v>
      </c>
    </row>
    <row r="4087" spans="1:12" x14ac:dyDescent="0.25">
      <c r="A4087" s="468" t="s">
        <v>220</v>
      </c>
      <c r="B4087" s="468" t="s">
        <v>5430</v>
      </c>
      <c r="C4087" s="468" t="s">
        <v>6611</v>
      </c>
      <c r="D4087" s="468" t="s">
        <v>6612</v>
      </c>
      <c r="F4087" s="470">
        <v>20</v>
      </c>
      <c r="G4087" s="468">
        <v>1.974</v>
      </c>
      <c r="H4087" s="479">
        <v>39.479999999999997</v>
      </c>
      <c r="I4087" s="468" t="s">
        <v>9218</v>
      </c>
      <c r="J4087" s="468" t="s">
        <v>9219</v>
      </c>
      <c r="K4087" s="468" t="s">
        <v>9219</v>
      </c>
      <c r="L4087" s="468" t="s">
        <v>2354</v>
      </c>
    </row>
    <row r="4088" spans="1:12" x14ac:dyDescent="0.25">
      <c r="A4088" s="468" t="s">
        <v>220</v>
      </c>
      <c r="B4088" s="468" t="s">
        <v>5430</v>
      </c>
      <c r="C4088" s="468" t="s">
        <v>6613</v>
      </c>
      <c r="D4088" s="468" t="s">
        <v>8870</v>
      </c>
      <c r="F4088" s="470">
        <v>18</v>
      </c>
      <c r="G4088" s="468">
        <v>56.277000000000001</v>
      </c>
      <c r="H4088" s="479">
        <v>1012.986</v>
      </c>
      <c r="I4088" s="468" t="s">
        <v>9218</v>
      </c>
      <c r="J4088" s="468" t="s">
        <v>9219</v>
      </c>
      <c r="K4088" s="468" t="s">
        <v>9219</v>
      </c>
      <c r="L4088" s="468" t="s">
        <v>2354</v>
      </c>
    </row>
    <row r="4089" spans="1:12" x14ac:dyDescent="0.25">
      <c r="A4089" s="468" t="s">
        <v>220</v>
      </c>
      <c r="B4089" s="468" t="s">
        <v>5430</v>
      </c>
      <c r="C4089" s="468" t="s">
        <v>8871</v>
      </c>
      <c r="D4089" s="468" t="s">
        <v>8872</v>
      </c>
      <c r="F4089" s="470">
        <v>8</v>
      </c>
      <c r="G4089" s="468">
        <v>20.795000000000002</v>
      </c>
      <c r="H4089" s="479">
        <v>166.36</v>
      </c>
      <c r="I4089" s="468" t="s">
        <v>9218</v>
      </c>
      <c r="J4089" s="468" t="s">
        <v>9219</v>
      </c>
      <c r="K4089" s="468" t="s">
        <v>9219</v>
      </c>
      <c r="L4089" s="468" t="s">
        <v>2354</v>
      </c>
    </row>
    <row r="4090" spans="1:12" x14ac:dyDescent="0.25">
      <c r="A4090" s="468" t="s">
        <v>220</v>
      </c>
      <c r="B4090" s="468" t="s">
        <v>5430</v>
      </c>
      <c r="C4090" s="468" t="s">
        <v>8873</v>
      </c>
      <c r="D4090" s="468" t="s">
        <v>8874</v>
      </c>
      <c r="F4090" s="470">
        <v>18</v>
      </c>
      <c r="G4090" s="468">
        <v>3.5219999999999998</v>
      </c>
      <c r="H4090" s="479">
        <v>63.395999999999994</v>
      </c>
      <c r="I4090" s="468" t="s">
        <v>9218</v>
      </c>
      <c r="J4090" s="468" t="s">
        <v>9219</v>
      </c>
      <c r="K4090" s="468" t="s">
        <v>9219</v>
      </c>
      <c r="L4090" s="468" t="s">
        <v>2354</v>
      </c>
    </row>
    <row r="4091" spans="1:12" x14ac:dyDescent="0.25">
      <c r="A4091" s="468" t="s">
        <v>220</v>
      </c>
      <c r="B4091" s="468" t="s">
        <v>5430</v>
      </c>
      <c r="C4091" s="468" t="s">
        <v>8875</v>
      </c>
      <c r="D4091" s="468" t="s">
        <v>8876</v>
      </c>
      <c r="F4091" s="470">
        <v>12</v>
      </c>
      <c r="G4091" s="468">
        <v>5.806</v>
      </c>
      <c r="H4091" s="479">
        <v>69.671999999999997</v>
      </c>
      <c r="I4091" s="468" t="s">
        <v>9218</v>
      </c>
      <c r="J4091" s="468" t="s">
        <v>9219</v>
      </c>
      <c r="K4091" s="468" t="s">
        <v>9219</v>
      </c>
      <c r="L4091" s="468" t="s">
        <v>2354</v>
      </c>
    </row>
    <row r="4092" spans="1:12" x14ac:dyDescent="0.25">
      <c r="A4092" s="468" t="s">
        <v>220</v>
      </c>
      <c r="B4092" s="468" t="s">
        <v>5430</v>
      </c>
      <c r="C4092" s="468" t="s">
        <v>8877</v>
      </c>
      <c r="D4092" s="468" t="s">
        <v>8878</v>
      </c>
      <c r="F4092" s="470">
        <v>20</v>
      </c>
      <c r="G4092" s="468">
        <v>8.7140000000000004</v>
      </c>
      <c r="H4092" s="479">
        <v>174.28</v>
      </c>
      <c r="I4092" s="468" t="s">
        <v>9218</v>
      </c>
      <c r="J4092" s="468" t="s">
        <v>9219</v>
      </c>
      <c r="K4092" s="468" t="s">
        <v>9219</v>
      </c>
      <c r="L4092" s="468" t="s">
        <v>2354</v>
      </c>
    </row>
    <row r="4093" spans="1:12" x14ac:dyDescent="0.25">
      <c r="A4093" s="468" t="s">
        <v>220</v>
      </c>
      <c r="B4093" s="468" t="s">
        <v>5430</v>
      </c>
      <c r="C4093" s="468" t="s">
        <v>8879</v>
      </c>
      <c r="D4093" s="468" t="s">
        <v>6616</v>
      </c>
      <c r="F4093" s="470">
        <v>8</v>
      </c>
      <c r="G4093" s="468">
        <v>4.41</v>
      </c>
      <c r="H4093" s="479">
        <v>35.28</v>
      </c>
      <c r="I4093" s="468" t="s">
        <v>9218</v>
      </c>
      <c r="J4093" s="468" t="s">
        <v>9219</v>
      </c>
      <c r="K4093" s="468" t="s">
        <v>9219</v>
      </c>
      <c r="L4093" s="468" t="s">
        <v>2354</v>
      </c>
    </row>
    <row r="4094" spans="1:12" x14ac:dyDescent="0.25">
      <c r="A4094" s="468" t="s">
        <v>220</v>
      </c>
      <c r="B4094" s="468" t="s">
        <v>5430</v>
      </c>
      <c r="C4094" s="468" t="s">
        <v>6617</v>
      </c>
      <c r="D4094" s="468" t="s">
        <v>8880</v>
      </c>
      <c r="F4094" s="470">
        <v>6</v>
      </c>
      <c r="G4094" s="468">
        <v>23.122</v>
      </c>
      <c r="H4094" s="479">
        <v>138.732</v>
      </c>
      <c r="I4094" s="468" t="s">
        <v>9218</v>
      </c>
      <c r="J4094" s="468" t="s">
        <v>9219</v>
      </c>
      <c r="K4094" s="468" t="s">
        <v>9219</v>
      </c>
      <c r="L4094" s="468" t="s">
        <v>2354</v>
      </c>
    </row>
    <row r="4095" spans="1:12" x14ac:dyDescent="0.25">
      <c r="A4095" s="468" t="s">
        <v>220</v>
      </c>
      <c r="B4095" s="468" t="s">
        <v>5430</v>
      </c>
      <c r="C4095" s="468" t="s">
        <v>6619</v>
      </c>
      <c r="D4095" s="468" t="s">
        <v>6620</v>
      </c>
      <c r="F4095" s="470">
        <v>1</v>
      </c>
      <c r="G4095" s="468">
        <v>21.448</v>
      </c>
      <c r="H4095" s="479">
        <v>21.448</v>
      </c>
      <c r="I4095" s="468" t="s">
        <v>9218</v>
      </c>
      <c r="J4095" s="468" t="s">
        <v>9219</v>
      </c>
      <c r="K4095" s="468" t="s">
        <v>9219</v>
      </c>
      <c r="L4095" s="468" t="s">
        <v>2354</v>
      </c>
    </row>
    <row r="4096" spans="1:12" x14ac:dyDescent="0.25">
      <c r="A4096" s="468" t="s">
        <v>220</v>
      </c>
      <c r="B4096" s="468" t="s">
        <v>5430</v>
      </c>
      <c r="C4096" s="468" t="s">
        <v>8881</v>
      </c>
      <c r="D4096" s="468" t="s">
        <v>8882</v>
      </c>
      <c r="F4096" s="470">
        <v>2</v>
      </c>
      <c r="G4096" s="468">
        <v>8.9250000000000007</v>
      </c>
      <c r="H4096" s="479">
        <v>17.850000000000001</v>
      </c>
      <c r="I4096" s="468" t="s">
        <v>9218</v>
      </c>
      <c r="J4096" s="468" t="s">
        <v>9219</v>
      </c>
      <c r="K4096" s="468" t="s">
        <v>9219</v>
      </c>
      <c r="L4096" s="468" t="s">
        <v>2354</v>
      </c>
    </row>
    <row r="4097" spans="1:12" x14ac:dyDescent="0.25">
      <c r="A4097" s="468" t="s">
        <v>220</v>
      </c>
      <c r="B4097" s="468" t="s">
        <v>5430</v>
      </c>
      <c r="C4097" s="468" t="s">
        <v>6621</v>
      </c>
      <c r="D4097" s="468" t="s">
        <v>6622</v>
      </c>
      <c r="F4097" s="470">
        <v>1</v>
      </c>
      <c r="G4097" s="468">
        <v>268.62599999999998</v>
      </c>
      <c r="H4097" s="479">
        <v>268.62599999999998</v>
      </c>
      <c r="I4097" s="468" t="s">
        <v>9218</v>
      </c>
      <c r="J4097" s="468" t="s">
        <v>9219</v>
      </c>
      <c r="K4097" s="468" t="s">
        <v>9219</v>
      </c>
      <c r="L4097" s="468" t="s">
        <v>2354</v>
      </c>
    </row>
    <row r="4098" spans="1:12" x14ac:dyDescent="0.25">
      <c r="A4098" s="468" t="s">
        <v>220</v>
      </c>
      <c r="B4098" s="468" t="s">
        <v>5430</v>
      </c>
      <c r="C4098" s="468" t="s">
        <v>3783</v>
      </c>
      <c r="D4098" s="468" t="s">
        <v>3784</v>
      </c>
      <c r="F4098" s="470">
        <v>1</v>
      </c>
      <c r="G4098" s="468">
        <v>73.983999999999995</v>
      </c>
      <c r="H4098" s="479">
        <v>73.983999999999995</v>
      </c>
      <c r="I4098" s="468" t="s">
        <v>9218</v>
      </c>
      <c r="J4098" s="468" t="s">
        <v>9219</v>
      </c>
      <c r="K4098" s="468" t="s">
        <v>9219</v>
      </c>
      <c r="L4098" s="468" t="s">
        <v>2354</v>
      </c>
    </row>
    <row r="4099" spans="1:12" x14ac:dyDescent="0.25">
      <c r="A4099" s="468" t="s">
        <v>220</v>
      </c>
      <c r="B4099" s="468" t="s">
        <v>5430</v>
      </c>
      <c r="C4099" s="468" t="s">
        <v>6623</v>
      </c>
      <c r="D4099" s="468" t="s">
        <v>6624</v>
      </c>
      <c r="F4099" s="470">
        <v>3</v>
      </c>
      <c r="G4099" s="468">
        <v>86.572999999999993</v>
      </c>
      <c r="H4099" s="479">
        <v>259.71899999999999</v>
      </c>
      <c r="I4099" s="468" t="s">
        <v>9218</v>
      </c>
      <c r="J4099" s="468" t="s">
        <v>9219</v>
      </c>
      <c r="K4099" s="468" t="s">
        <v>9219</v>
      </c>
      <c r="L4099" s="468" t="s">
        <v>2354</v>
      </c>
    </row>
    <row r="4100" spans="1:12" x14ac:dyDescent="0.25">
      <c r="A4100" s="468" t="s">
        <v>220</v>
      </c>
      <c r="B4100" s="468" t="s">
        <v>5430</v>
      </c>
      <c r="C4100" s="468" t="s">
        <v>6625</v>
      </c>
      <c r="D4100" s="468" t="s">
        <v>6626</v>
      </c>
      <c r="F4100" s="470">
        <v>2</v>
      </c>
      <c r="G4100" s="468">
        <v>88.498000000000005</v>
      </c>
      <c r="H4100" s="479">
        <v>176.99600000000001</v>
      </c>
      <c r="I4100" s="468" t="s">
        <v>9218</v>
      </c>
      <c r="J4100" s="468" t="s">
        <v>9219</v>
      </c>
      <c r="K4100" s="468" t="s">
        <v>9219</v>
      </c>
      <c r="L4100" s="468" t="s">
        <v>2354</v>
      </c>
    </row>
    <row r="4101" spans="1:12" x14ac:dyDescent="0.25">
      <c r="A4101" s="468" t="s">
        <v>220</v>
      </c>
      <c r="B4101" s="468" t="s">
        <v>5430</v>
      </c>
      <c r="C4101" s="468" t="s">
        <v>3785</v>
      </c>
      <c r="D4101" s="468" t="s">
        <v>3786</v>
      </c>
      <c r="F4101" s="470">
        <v>4</v>
      </c>
      <c r="G4101" s="468">
        <v>7.6120000000000001</v>
      </c>
      <c r="H4101" s="479">
        <v>30.448</v>
      </c>
      <c r="I4101" s="468" t="s">
        <v>9218</v>
      </c>
      <c r="J4101" s="468" t="s">
        <v>9219</v>
      </c>
      <c r="K4101" s="468" t="s">
        <v>9219</v>
      </c>
      <c r="L4101" s="468" t="s">
        <v>2354</v>
      </c>
    </row>
    <row r="4102" spans="1:12" x14ac:dyDescent="0.25">
      <c r="A4102" s="468" t="s">
        <v>220</v>
      </c>
      <c r="B4102" s="468" t="s">
        <v>5430</v>
      </c>
      <c r="C4102" s="468" t="s">
        <v>6628</v>
      </c>
      <c r="D4102" s="468" t="s">
        <v>6629</v>
      </c>
      <c r="F4102" s="470">
        <v>2</v>
      </c>
      <c r="G4102" s="468">
        <v>9.8670000000000009</v>
      </c>
      <c r="H4102" s="479">
        <v>19.734000000000002</v>
      </c>
      <c r="I4102" s="468" t="s">
        <v>9218</v>
      </c>
      <c r="J4102" s="468" t="s">
        <v>9219</v>
      </c>
      <c r="K4102" s="468" t="s">
        <v>9219</v>
      </c>
      <c r="L4102" s="468" t="s">
        <v>2354</v>
      </c>
    </row>
    <row r="4103" spans="1:12" x14ac:dyDescent="0.25">
      <c r="A4103" s="468" t="s">
        <v>220</v>
      </c>
      <c r="B4103" s="468" t="s">
        <v>5430</v>
      </c>
      <c r="C4103" s="468" t="s">
        <v>6630</v>
      </c>
      <c r="D4103" s="468" t="s">
        <v>6631</v>
      </c>
      <c r="F4103" s="470">
        <v>8</v>
      </c>
      <c r="G4103" s="468">
        <v>23.82</v>
      </c>
      <c r="H4103" s="479">
        <v>190.56</v>
      </c>
      <c r="I4103" s="468" t="s">
        <v>9218</v>
      </c>
      <c r="J4103" s="468" t="s">
        <v>9219</v>
      </c>
      <c r="K4103" s="468" t="s">
        <v>9219</v>
      </c>
      <c r="L4103" s="468" t="s">
        <v>2354</v>
      </c>
    </row>
    <row r="4104" spans="1:12" x14ac:dyDescent="0.25">
      <c r="A4104" s="468" t="s">
        <v>220</v>
      </c>
      <c r="B4104" s="468" t="s">
        <v>5430</v>
      </c>
      <c r="C4104" s="468" t="s">
        <v>6632</v>
      </c>
      <c r="D4104" s="468" t="s">
        <v>6633</v>
      </c>
      <c r="F4104" s="470">
        <v>8</v>
      </c>
      <c r="G4104" s="468">
        <v>25.847999999999999</v>
      </c>
      <c r="H4104" s="479">
        <v>206.78399999999999</v>
      </c>
      <c r="I4104" s="468" t="s">
        <v>9218</v>
      </c>
      <c r="J4104" s="468" t="s">
        <v>9219</v>
      </c>
      <c r="K4104" s="468" t="s">
        <v>9219</v>
      </c>
      <c r="L4104" s="468" t="s">
        <v>2354</v>
      </c>
    </row>
    <row r="4105" spans="1:12" x14ac:dyDescent="0.25">
      <c r="A4105" s="468" t="s">
        <v>220</v>
      </c>
      <c r="B4105" s="468" t="s">
        <v>5430</v>
      </c>
      <c r="C4105" s="468" t="s">
        <v>3791</v>
      </c>
      <c r="D4105" s="468" t="s">
        <v>3792</v>
      </c>
      <c r="F4105" s="470">
        <v>5</v>
      </c>
      <c r="G4105" s="468">
        <v>35.191000000000003</v>
      </c>
      <c r="H4105" s="479">
        <v>175.95500000000001</v>
      </c>
      <c r="I4105" s="468" t="s">
        <v>9218</v>
      </c>
      <c r="J4105" s="468" t="s">
        <v>9219</v>
      </c>
      <c r="K4105" s="468" t="s">
        <v>9219</v>
      </c>
      <c r="L4105" s="468" t="s">
        <v>2354</v>
      </c>
    </row>
    <row r="4106" spans="1:12" x14ac:dyDescent="0.25">
      <c r="A4106" s="468" t="s">
        <v>220</v>
      </c>
      <c r="B4106" s="468" t="s">
        <v>5430</v>
      </c>
      <c r="C4106" s="468" t="s">
        <v>6634</v>
      </c>
      <c r="D4106" s="468" t="s">
        <v>8883</v>
      </c>
      <c r="F4106" s="470">
        <v>2</v>
      </c>
      <c r="G4106" s="468">
        <v>11.648</v>
      </c>
      <c r="H4106" s="479">
        <v>23.295999999999999</v>
      </c>
      <c r="I4106" s="468" t="s">
        <v>9218</v>
      </c>
      <c r="J4106" s="468" t="s">
        <v>9219</v>
      </c>
      <c r="K4106" s="468" t="s">
        <v>9219</v>
      </c>
      <c r="L4106" s="468" t="s">
        <v>2354</v>
      </c>
    </row>
    <row r="4107" spans="1:12" x14ac:dyDescent="0.25">
      <c r="A4107" s="468" t="s">
        <v>220</v>
      </c>
      <c r="B4107" s="468" t="s">
        <v>5430</v>
      </c>
      <c r="C4107" s="468" t="s">
        <v>6696</v>
      </c>
      <c r="D4107" s="468" t="s">
        <v>6697</v>
      </c>
      <c r="F4107" s="470">
        <v>110</v>
      </c>
      <c r="G4107" s="468">
        <v>0.66</v>
      </c>
      <c r="H4107" s="479">
        <v>72.600000000000009</v>
      </c>
      <c r="I4107" s="468" t="s">
        <v>9218</v>
      </c>
      <c r="J4107" s="468" t="s">
        <v>9219</v>
      </c>
      <c r="K4107" s="468" t="s">
        <v>9219</v>
      </c>
      <c r="L4107" s="468" t="s">
        <v>2354</v>
      </c>
    </row>
    <row r="4108" spans="1:12" x14ac:dyDescent="0.25">
      <c r="A4108" s="468" t="s">
        <v>220</v>
      </c>
      <c r="B4108" s="468" t="s">
        <v>5430</v>
      </c>
      <c r="C4108" s="468" t="s">
        <v>6698</v>
      </c>
      <c r="D4108" s="468" t="s">
        <v>6699</v>
      </c>
      <c r="F4108" s="470">
        <v>2</v>
      </c>
      <c r="G4108" s="468">
        <v>18.105</v>
      </c>
      <c r="H4108" s="479">
        <v>36.21</v>
      </c>
      <c r="I4108" s="468" t="s">
        <v>9218</v>
      </c>
      <c r="J4108" s="468" t="s">
        <v>9219</v>
      </c>
      <c r="K4108" s="468" t="s">
        <v>9219</v>
      </c>
      <c r="L4108" s="468" t="s">
        <v>2354</v>
      </c>
    </row>
    <row r="4109" spans="1:12" x14ac:dyDescent="0.25">
      <c r="A4109" s="468" t="s">
        <v>220</v>
      </c>
      <c r="B4109" s="468" t="s">
        <v>5430</v>
      </c>
      <c r="C4109" s="468" t="s">
        <v>6700</v>
      </c>
      <c r="D4109" s="468" t="s">
        <v>6701</v>
      </c>
      <c r="F4109" s="470">
        <v>1</v>
      </c>
      <c r="G4109" s="468">
        <v>11.24</v>
      </c>
      <c r="H4109" s="479">
        <v>11.24</v>
      </c>
      <c r="I4109" s="468" t="s">
        <v>9218</v>
      </c>
      <c r="J4109" s="468" t="s">
        <v>9219</v>
      </c>
      <c r="K4109" s="468" t="s">
        <v>9219</v>
      </c>
      <c r="L4109" s="468" t="s">
        <v>2354</v>
      </c>
    </row>
    <row r="4110" spans="1:12" x14ac:dyDescent="0.25">
      <c r="A4110" s="468" t="s">
        <v>220</v>
      </c>
      <c r="B4110" s="468" t="s">
        <v>5430</v>
      </c>
      <c r="C4110" s="468" t="s">
        <v>6704</v>
      </c>
      <c r="D4110" s="468" t="s">
        <v>8884</v>
      </c>
      <c r="F4110" s="470">
        <v>1</v>
      </c>
      <c r="G4110" s="468">
        <v>271.39999999999998</v>
      </c>
      <c r="H4110" s="479">
        <v>271.39999999999998</v>
      </c>
      <c r="I4110" s="468" t="s">
        <v>9218</v>
      </c>
      <c r="J4110" s="468" t="s">
        <v>9219</v>
      </c>
      <c r="K4110" s="468" t="s">
        <v>9219</v>
      </c>
      <c r="L4110" s="468" t="s">
        <v>2354</v>
      </c>
    </row>
    <row r="4111" spans="1:12" x14ac:dyDescent="0.25">
      <c r="A4111" s="468" t="s">
        <v>220</v>
      </c>
      <c r="B4111" s="468" t="s">
        <v>5430</v>
      </c>
      <c r="C4111" s="468" t="s">
        <v>6706</v>
      </c>
      <c r="D4111" s="468" t="s">
        <v>6707</v>
      </c>
      <c r="F4111" s="470">
        <v>3</v>
      </c>
      <c r="G4111" s="468">
        <v>7.6079999999999997</v>
      </c>
      <c r="H4111" s="479">
        <v>22.823999999999998</v>
      </c>
      <c r="I4111" s="468" t="s">
        <v>9218</v>
      </c>
      <c r="J4111" s="468" t="s">
        <v>9219</v>
      </c>
      <c r="K4111" s="468" t="s">
        <v>9219</v>
      </c>
      <c r="L4111" s="468" t="s">
        <v>2354</v>
      </c>
    </row>
    <row r="4112" spans="1:12" x14ac:dyDescent="0.25">
      <c r="A4112" s="468" t="s">
        <v>220</v>
      </c>
      <c r="B4112" s="468" t="s">
        <v>5430</v>
      </c>
      <c r="C4112" s="468" t="s">
        <v>6708</v>
      </c>
      <c r="D4112" s="468" t="s">
        <v>6709</v>
      </c>
      <c r="F4112" s="470">
        <v>2</v>
      </c>
      <c r="G4112" s="468">
        <v>4.7220000000000004</v>
      </c>
      <c r="H4112" s="479">
        <v>9.4440000000000008</v>
      </c>
      <c r="I4112" s="468" t="s">
        <v>9218</v>
      </c>
      <c r="J4112" s="468" t="s">
        <v>9219</v>
      </c>
      <c r="K4112" s="468" t="s">
        <v>9219</v>
      </c>
      <c r="L4112" s="468" t="s">
        <v>2354</v>
      </c>
    </row>
    <row r="4113" spans="1:12" x14ac:dyDescent="0.25">
      <c r="A4113" s="468" t="s">
        <v>220</v>
      </c>
      <c r="B4113" s="468" t="s">
        <v>5430</v>
      </c>
      <c r="C4113" s="468" t="s">
        <v>6710</v>
      </c>
      <c r="D4113" s="468" t="s">
        <v>6711</v>
      </c>
      <c r="F4113" s="470">
        <v>1</v>
      </c>
      <c r="G4113" s="468">
        <v>3.165</v>
      </c>
      <c r="H4113" s="479">
        <v>3.165</v>
      </c>
      <c r="I4113" s="468" t="s">
        <v>9218</v>
      </c>
      <c r="J4113" s="468" t="s">
        <v>9219</v>
      </c>
      <c r="K4113" s="468" t="s">
        <v>9219</v>
      </c>
      <c r="L4113" s="468" t="s">
        <v>2354</v>
      </c>
    </row>
    <row r="4114" spans="1:12" x14ac:dyDescent="0.25">
      <c r="A4114" s="468" t="s">
        <v>220</v>
      </c>
      <c r="B4114" s="468" t="s">
        <v>5430</v>
      </c>
      <c r="C4114" s="468" t="s">
        <v>8885</v>
      </c>
      <c r="D4114" s="468" t="s">
        <v>8886</v>
      </c>
      <c r="F4114" s="470">
        <v>1</v>
      </c>
      <c r="G4114" s="468">
        <v>208.67500000000001</v>
      </c>
      <c r="H4114" s="479">
        <v>208.67500000000001</v>
      </c>
      <c r="I4114" s="468" t="s">
        <v>9218</v>
      </c>
      <c r="J4114" s="468" t="s">
        <v>9219</v>
      </c>
      <c r="K4114" s="468" t="s">
        <v>9219</v>
      </c>
      <c r="L4114" s="468" t="s">
        <v>2354</v>
      </c>
    </row>
    <row r="4115" spans="1:12" x14ac:dyDescent="0.25">
      <c r="A4115" s="468" t="s">
        <v>220</v>
      </c>
      <c r="B4115" s="468" t="s">
        <v>5430</v>
      </c>
      <c r="C4115" s="468" t="s">
        <v>6714</v>
      </c>
      <c r="D4115" s="468" t="s">
        <v>6715</v>
      </c>
      <c r="F4115" s="470">
        <v>46</v>
      </c>
      <c r="G4115" s="468">
        <v>0.114</v>
      </c>
      <c r="H4115" s="479">
        <v>5.2439999999999998</v>
      </c>
      <c r="I4115" s="468" t="s">
        <v>9218</v>
      </c>
      <c r="J4115" s="468" t="s">
        <v>9219</v>
      </c>
      <c r="K4115" s="468" t="s">
        <v>9219</v>
      </c>
      <c r="L4115" s="468" t="s">
        <v>2354</v>
      </c>
    </row>
    <row r="4116" spans="1:12" x14ac:dyDescent="0.25">
      <c r="A4116" s="468" t="s">
        <v>220</v>
      </c>
      <c r="B4116" s="468" t="s">
        <v>5430</v>
      </c>
      <c r="C4116" s="468" t="s">
        <v>6716</v>
      </c>
      <c r="D4116" s="468" t="s">
        <v>8887</v>
      </c>
      <c r="F4116" s="470">
        <v>2</v>
      </c>
      <c r="G4116" s="468">
        <v>5.702</v>
      </c>
      <c r="H4116" s="479">
        <v>11.404</v>
      </c>
      <c r="I4116" s="468" t="s">
        <v>9218</v>
      </c>
      <c r="J4116" s="468" t="s">
        <v>9219</v>
      </c>
      <c r="K4116" s="468" t="s">
        <v>9219</v>
      </c>
      <c r="L4116" s="468" t="s">
        <v>2354</v>
      </c>
    </row>
    <row r="4117" spans="1:12" x14ac:dyDescent="0.25">
      <c r="A4117" s="468" t="s">
        <v>220</v>
      </c>
      <c r="B4117" s="468" t="s">
        <v>5430</v>
      </c>
      <c r="C4117" s="468" t="s">
        <v>8888</v>
      </c>
      <c r="D4117" s="468" t="s">
        <v>8889</v>
      </c>
      <c r="F4117" s="470">
        <v>2</v>
      </c>
      <c r="G4117" s="468">
        <v>200</v>
      </c>
      <c r="H4117" s="479">
        <v>400</v>
      </c>
      <c r="I4117" s="468" t="s">
        <v>9218</v>
      </c>
      <c r="J4117" s="468" t="s">
        <v>9219</v>
      </c>
      <c r="K4117" s="468" t="s">
        <v>9219</v>
      </c>
      <c r="L4117" s="468" t="s">
        <v>2354</v>
      </c>
    </row>
    <row r="4118" spans="1:12" x14ac:dyDescent="0.25">
      <c r="A4118" s="468" t="s">
        <v>220</v>
      </c>
      <c r="B4118" s="468" t="s">
        <v>5430</v>
      </c>
      <c r="C4118" s="468" t="s">
        <v>3939</v>
      </c>
      <c r="D4118" s="468" t="s">
        <v>3940</v>
      </c>
      <c r="F4118" s="470">
        <v>1</v>
      </c>
      <c r="G4118" s="468">
        <v>22.12</v>
      </c>
      <c r="H4118" s="479">
        <v>22.12</v>
      </c>
      <c r="I4118" s="468" t="s">
        <v>9218</v>
      </c>
      <c r="J4118" s="468" t="s">
        <v>9219</v>
      </c>
      <c r="K4118" s="468" t="s">
        <v>9219</v>
      </c>
      <c r="L4118" s="468" t="s">
        <v>2354</v>
      </c>
    </row>
    <row r="4119" spans="1:12" x14ac:dyDescent="0.25">
      <c r="A4119" s="468" t="s">
        <v>220</v>
      </c>
      <c r="B4119" s="468" t="s">
        <v>5430</v>
      </c>
      <c r="C4119" s="468" t="s">
        <v>7077</v>
      </c>
      <c r="D4119" s="468" t="s">
        <v>7078</v>
      </c>
      <c r="F4119" s="470">
        <v>17</v>
      </c>
      <c r="G4119" s="468">
        <v>1.022</v>
      </c>
      <c r="H4119" s="479">
        <v>17.373999999999999</v>
      </c>
      <c r="I4119" s="468" t="s">
        <v>9218</v>
      </c>
      <c r="J4119" s="468" t="s">
        <v>9219</v>
      </c>
      <c r="K4119" s="468" t="s">
        <v>9219</v>
      </c>
      <c r="L4119" s="468" t="s">
        <v>2354</v>
      </c>
    </row>
    <row r="4120" spans="1:12" x14ac:dyDescent="0.25">
      <c r="A4120" s="468" t="s">
        <v>220</v>
      </c>
      <c r="B4120" s="468" t="s">
        <v>5430</v>
      </c>
      <c r="D4120" s="468" t="s">
        <v>8890</v>
      </c>
      <c r="F4120" s="470">
        <v>2</v>
      </c>
      <c r="G4120" s="468">
        <v>39.615000000000002</v>
      </c>
      <c r="H4120" s="479">
        <v>79.23</v>
      </c>
      <c r="I4120" s="468" t="s">
        <v>9218</v>
      </c>
      <c r="J4120" s="468" t="s">
        <v>9219</v>
      </c>
      <c r="K4120" s="468" t="s">
        <v>9219</v>
      </c>
      <c r="L4120" s="468" t="s">
        <v>2354</v>
      </c>
    </row>
    <row r="4121" spans="1:12" x14ac:dyDescent="0.25">
      <c r="A4121" s="468" t="s">
        <v>220</v>
      </c>
      <c r="B4121" s="468" t="s">
        <v>5430</v>
      </c>
      <c r="C4121" s="468" t="s">
        <v>8891</v>
      </c>
      <c r="D4121" s="468" t="s">
        <v>8892</v>
      </c>
      <c r="F4121" s="470">
        <v>5</v>
      </c>
      <c r="G4121" s="468">
        <v>39.615000000000002</v>
      </c>
      <c r="H4121" s="479">
        <v>198.07500000000002</v>
      </c>
      <c r="I4121" s="468" t="s">
        <v>9218</v>
      </c>
      <c r="J4121" s="468" t="s">
        <v>9219</v>
      </c>
      <c r="K4121" s="468" t="s">
        <v>9219</v>
      </c>
      <c r="L4121" s="468" t="s">
        <v>2354</v>
      </c>
    </row>
    <row r="4122" spans="1:12" x14ac:dyDescent="0.25">
      <c r="A4122" s="468" t="s">
        <v>220</v>
      </c>
      <c r="B4122" s="468" t="s">
        <v>5430</v>
      </c>
      <c r="C4122" s="468" t="s">
        <v>7348</v>
      </c>
      <c r="D4122" s="468" t="s">
        <v>7349</v>
      </c>
      <c r="F4122" s="470">
        <v>2</v>
      </c>
      <c r="G4122" s="468">
        <v>2.6349999999999998</v>
      </c>
      <c r="H4122" s="479">
        <v>5.27</v>
      </c>
      <c r="I4122" s="468" t="s">
        <v>9218</v>
      </c>
      <c r="J4122" s="468" t="s">
        <v>9219</v>
      </c>
      <c r="K4122" s="468" t="s">
        <v>9219</v>
      </c>
      <c r="L4122" s="468" t="s">
        <v>2354</v>
      </c>
    </row>
    <row r="4123" spans="1:12" x14ac:dyDescent="0.25">
      <c r="A4123" s="468" t="s">
        <v>220</v>
      </c>
      <c r="B4123" s="468" t="s">
        <v>5430</v>
      </c>
      <c r="C4123" s="468" t="s">
        <v>7350</v>
      </c>
      <c r="D4123" s="468" t="s">
        <v>7351</v>
      </c>
      <c r="F4123" s="470">
        <v>8</v>
      </c>
      <c r="G4123" s="468">
        <v>6.7640000000000002</v>
      </c>
      <c r="H4123" s="479">
        <v>54.112000000000002</v>
      </c>
      <c r="I4123" s="468" t="s">
        <v>9218</v>
      </c>
      <c r="J4123" s="468" t="s">
        <v>9219</v>
      </c>
      <c r="K4123" s="468" t="s">
        <v>9219</v>
      </c>
      <c r="L4123" s="468" t="s">
        <v>2354</v>
      </c>
    </row>
    <row r="4124" spans="1:12" x14ac:dyDescent="0.25">
      <c r="A4124" s="468" t="s">
        <v>220</v>
      </c>
      <c r="B4124" s="468" t="s">
        <v>5430</v>
      </c>
      <c r="D4124" s="468" t="s">
        <v>9472</v>
      </c>
      <c r="E4124" s="468" t="s">
        <v>545</v>
      </c>
      <c r="F4124" s="470">
        <v>1</v>
      </c>
      <c r="G4124" s="468">
        <v>101.045</v>
      </c>
      <c r="H4124" s="479">
        <v>101.045</v>
      </c>
      <c r="I4124" s="468" t="s">
        <v>9218</v>
      </c>
      <c r="J4124" s="468" t="s">
        <v>9219</v>
      </c>
      <c r="K4124" s="468" t="s">
        <v>9219</v>
      </c>
      <c r="L4124" s="468" t="s">
        <v>2354</v>
      </c>
    </row>
    <row r="4125" spans="1:12" x14ac:dyDescent="0.25">
      <c r="A4125" s="468" t="s">
        <v>220</v>
      </c>
      <c r="B4125" s="468" t="s">
        <v>5430</v>
      </c>
      <c r="D4125" s="468" t="s">
        <v>8894</v>
      </c>
      <c r="E4125" s="468" t="s">
        <v>545</v>
      </c>
      <c r="F4125" s="470">
        <v>1</v>
      </c>
      <c r="G4125" s="468">
        <v>1868.001</v>
      </c>
      <c r="H4125" s="479">
        <v>1868.001</v>
      </c>
      <c r="I4125" s="468" t="s">
        <v>9218</v>
      </c>
      <c r="J4125" s="468" t="s">
        <v>9219</v>
      </c>
      <c r="K4125" s="468" t="s">
        <v>9219</v>
      </c>
      <c r="L4125" s="468" t="s">
        <v>2354</v>
      </c>
    </row>
    <row r="4126" spans="1:12" x14ac:dyDescent="0.25">
      <c r="A4126" s="468" t="s">
        <v>220</v>
      </c>
      <c r="B4126" s="468" t="s">
        <v>5430</v>
      </c>
      <c r="D4126" s="468" t="s">
        <v>9473</v>
      </c>
      <c r="E4126" s="468" t="s">
        <v>545</v>
      </c>
      <c r="F4126" s="470">
        <v>4</v>
      </c>
      <c r="G4126" s="468">
        <v>36</v>
      </c>
      <c r="H4126" s="479">
        <v>144</v>
      </c>
      <c r="I4126" s="468" t="s">
        <v>9218</v>
      </c>
      <c r="J4126" s="468" t="s">
        <v>9219</v>
      </c>
      <c r="K4126" s="468" t="s">
        <v>9219</v>
      </c>
      <c r="L4126" s="468" t="s">
        <v>2354</v>
      </c>
    </row>
    <row r="4127" spans="1:12" x14ac:dyDescent="0.25">
      <c r="A4127" s="468" t="s">
        <v>220</v>
      </c>
      <c r="B4127" s="468" t="s">
        <v>5430</v>
      </c>
      <c r="D4127" s="468" t="s">
        <v>9474</v>
      </c>
      <c r="E4127" s="468" t="s">
        <v>545</v>
      </c>
      <c r="F4127" s="470">
        <v>4</v>
      </c>
      <c r="G4127" s="468">
        <v>90</v>
      </c>
      <c r="H4127" s="479">
        <v>360</v>
      </c>
      <c r="I4127" s="468" t="s">
        <v>9218</v>
      </c>
      <c r="J4127" s="468" t="s">
        <v>9219</v>
      </c>
      <c r="K4127" s="468" t="s">
        <v>9219</v>
      </c>
      <c r="L4127" s="468" t="s">
        <v>2354</v>
      </c>
    </row>
    <row r="4128" spans="1:12" x14ac:dyDescent="0.25">
      <c r="A4128" s="468" t="s">
        <v>220</v>
      </c>
      <c r="B4128" s="468" t="s">
        <v>5430</v>
      </c>
      <c r="D4128" s="468" t="s">
        <v>9475</v>
      </c>
      <c r="E4128" s="468" t="s">
        <v>545</v>
      </c>
      <c r="F4128" s="470">
        <v>1</v>
      </c>
      <c r="G4128" s="468">
        <v>44.625999999999998</v>
      </c>
      <c r="H4128" s="479">
        <v>44.625999999999998</v>
      </c>
      <c r="I4128" s="468" t="s">
        <v>9218</v>
      </c>
      <c r="J4128" s="468" t="s">
        <v>9219</v>
      </c>
      <c r="K4128" s="468" t="s">
        <v>9219</v>
      </c>
      <c r="L4128" s="468" t="s">
        <v>2354</v>
      </c>
    </row>
    <row r="4129" spans="1:12" x14ac:dyDescent="0.25">
      <c r="A4129" s="468" t="s">
        <v>220</v>
      </c>
      <c r="B4129" s="468" t="s">
        <v>5430</v>
      </c>
      <c r="D4129" s="468" t="s">
        <v>9476</v>
      </c>
      <c r="E4129" s="468" t="s">
        <v>545</v>
      </c>
      <c r="F4129" s="470">
        <v>3</v>
      </c>
      <c r="G4129" s="468">
        <v>301.28100000000001</v>
      </c>
      <c r="H4129" s="479">
        <v>903.84300000000007</v>
      </c>
      <c r="I4129" s="468" t="s">
        <v>9218</v>
      </c>
      <c r="J4129" s="468" t="s">
        <v>9219</v>
      </c>
      <c r="K4129" s="468" t="s">
        <v>9219</v>
      </c>
      <c r="L4129" s="468" t="s">
        <v>2354</v>
      </c>
    </row>
    <row r="4130" spans="1:12" x14ac:dyDescent="0.25">
      <c r="A4130" s="468" t="s">
        <v>220</v>
      </c>
      <c r="B4130" s="468" t="s">
        <v>5430</v>
      </c>
      <c r="C4130" s="468" t="s">
        <v>9439</v>
      </c>
      <c r="D4130" s="468" t="s">
        <v>9477</v>
      </c>
      <c r="E4130" s="468" t="s">
        <v>545</v>
      </c>
      <c r="F4130" s="470">
        <v>1</v>
      </c>
      <c r="G4130" s="468">
        <v>595</v>
      </c>
      <c r="H4130" s="479">
        <v>595</v>
      </c>
      <c r="I4130" s="468" t="s">
        <v>9218</v>
      </c>
      <c r="J4130" s="468" t="s">
        <v>9219</v>
      </c>
      <c r="K4130" s="468" t="s">
        <v>9219</v>
      </c>
      <c r="L4130" s="468" t="s">
        <v>2354</v>
      </c>
    </row>
    <row r="4131" spans="1:12" x14ac:dyDescent="0.25">
      <c r="A4131" s="468" t="s">
        <v>220</v>
      </c>
      <c r="B4131" s="468" t="s">
        <v>5430</v>
      </c>
      <c r="D4131" s="468" t="s">
        <v>9478</v>
      </c>
      <c r="E4131" s="468" t="s">
        <v>545</v>
      </c>
      <c r="F4131" s="470">
        <v>1</v>
      </c>
      <c r="G4131" s="468">
        <v>59.951999999999998</v>
      </c>
      <c r="H4131" s="479">
        <v>59.951999999999998</v>
      </c>
      <c r="I4131" s="468" t="s">
        <v>9218</v>
      </c>
      <c r="J4131" s="468" t="s">
        <v>9219</v>
      </c>
      <c r="K4131" s="468" t="s">
        <v>9219</v>
      </c>
      <c r="L4131" s="468" t="s">
        <v>2354</v>
      </c>
    </row>
    <row r="4132" spans="1:12" x14ac:dyDescent="0.25">
      <c r="A4132" s="468" t="s">
        <v>220</v>
      </c>
      <c r="B4132" s="468" t="s">
        <v>5430</v>
      </c>
      <c r="D4132" s="468" t="s">
        <v>9479</v>
      </c>
      <c r="E4132" s="468" t="s">
        <v>1894</v>
      </c>
      <c r="F4132" s="470">
        <v>20</v>
      </c>
      <c r="G4132" s="468">
        <v>2.7</v>
      </c>
      <c r="H4132" s="479">
        <v>54</v>
      </c>
      <c r="I4132" s="468" t="s">
        <v>9218</v>
      </c>
      <c r="J4132" s="468" t="s">
        <v>9219</v>
      </c>
      <c r="K4132" s="468" t="s">
        <v>9219</v>
      </c>
      <c r="L4132" s="468" t="s">
        <v>2354</v>
      </c>
    </row>
    <row r="4133" spans="1:12" x14ac:dyDescent="0.25">
      <c r="A4133" s="468" t="s">
        <v>587</v>
      </c>
      <c r="B4133" s="468" t="s">
        <v>591</v>
      </c>
      <c r="C4133" s="468" t="s">
        <v>600</v>
      </c>
      <c r="D4133" s="468" t="s">
        <v>601</v>
      </c>
      <c r="E4133" s="468" t="s">
        <v>535</v>
      </c>
      <c r="F4133" s="470">
        <v>23.7</v>
      </c>
      <c r="G4133" s="468">
        <v>7.4710374702688611</v>
      </c>
      <c r="H4133" s="479">
        <v>177.063588045372</v>
      </c>
      <c r="I4133" s="480" t="s">
        <v>9009</v>
      </c>
      <c r="J4133" s="468" t="s">
        <v>9013</v>
      </c>
      <c r="K4133" s="468" t="s">
        <v>9014</v>
      </c>
      <c r="L4133" s="468" t="s">
        <v>536</v>
      </c>
    </row>
    <row r="4134" spans="1:12" x14ac:dyDescent="0.25">
      <c r="A4134" s="468" t="s">
        <v>587</v>
      </c>
      <c r="B4134" s="468" t="s">
        <v>591</v>
      </c>
      <c r="C4134" s="468" t="s">
        <v>602</v>
      </c>
      <c r="D4134" s="468" t="s">
        <v>603</v>
      </c>
      <c r="E4134" s="468" t="s">
        <v>535</v>
      </c>
      <c r="F4134" s="470">
        <v>145.19999999999999</v>
      </c>
      <c r="G4134" s="468">
        <v>7.0485055291013108</v>
      </c>
      <c r="H4134" s="479">
        <v>1023.4430028255102</v>
      </c>
      <c r="I4134" s="480" t="s">
        <v>9009</v>
      </c>
      <c r="J4134" s="468" t="s">
        <v>9013</v>
      </c>
      <c r="K4134" s="468" t="s">
        <v>9014</v>
      </c>
      <c r="L4134" s="468" t="s">
        <v>536</v>
      </c>
    </row>
    <row r="4135" spans="1:12" x14ac:dyDescent="0.25">
      <c r="A4135" s="468" t="s">
        <v>587</v>
      </c>
      <c r="B4135" s="468" t="s">
        <v>591</v>
      </c>
      <c r="C4135" s="468" t="s">
        <v>604</v>
      </c>
      <c r="D4135" s="468" t="s">
        <v>605</v>
      </c>
      <c r="E4135" s="468" t="s">
        <v>535</v>
      </c>
      <c r="F4135" s="470">
        <v>53.3</v>
      </c>
      <c r="G4135" s="468">
        <v>7.4597273456662458</v>
      </c>
      <c r="H4135" s="479">
        <v>397.60346752401091</v>
      </c>
      <c r="I4135" s="480" t="s">
        <v>9009</v>
      </c>
      <c r="J4135" s="468" t="s">
        <v>9013</v>
      </c>
      <c r="K4135" s="468" t="s">
        <v>9014</v>
      </c>
      <c r="L4135" s="468" t="s">
        <v>536</v>
      </c>
    </row>
    <row r="4136" spans="1:12" x14ac:dyDescent="0.25">
      <c r="A4136" s="468" t="s">
        <v>587</v>
      </c>
      <c r="B4136" s="468" t="s">
        <v>591</v>
      </c>
      <c r="C4136" s="468" t="s">
        <v>606</v>
      </c>
      <c r="D4136" s="468" t="s">
        <v>607</v>
      </c>
      <c r="E4136" s="468" t="s">
        <v>535</v>
      </c>
      <c r="F4136" s="470">
        <v>849.02599999999995</v>
      </c>
      <c r="G4136" s="468">
        <v>7.7544167830568647</v>
      </c>
      <c r="H4136" s="479">
        <v>6583.7014636516369</v>
      </c>
      <c r="I4136" s="480" t="s">
        <v>9009</v>
      </c>
      <c r="J4136" s="468" t="s">
        <v>9013</v>
      </c>
      <c r="K4136" s="468" t="s">
        <v>9014</v>
      </c>
      <c r="L4136" s="468" t="s">
        <v>536</v>
      </c>
    </row>
    <row r="4137" spans="1:12" x14ac:dyDescent="0.25">
      <c r="A4137" s="468" t="s">
        <v>587</v>
      </c>
      <c r="B4137" s="468" t="s">
        <v>591</v>
      </c>
      <c r="C4137" s="468" t="s">
        <v>608</v>
      </c>
      <c r="D4137" s="468" t="s">
        <v>609</v>
      </c>
      <c r="E4137" s="468" t="s">
        <v>535</v>
      </c>
      <c r="F4137" s="470">
        <v>121.2</v>
      </c>
      <c r="G4137" s="468">
        <v>8.4769598691220054</v>
      </c>
      <c r="H4137" s="479">
        <v>1027.4075361375872</v>
      </c>
      <c r="I4137" s="480" t="s">
        <v>9009</v>
      </c>
      <c r="J4137" s="468" t="s">
        <v>9013</v>
      </c>
      <c r="K4137" s="468" t="s">
        <v>9014</v>
      </c>
      <c r="L4137" s="468" t="s">
        <v>536</v>
      </c>
    </row>
    <row r="4138" spans="1:12" x14ac:dyDescent="0.25">
      <c r="A4138" s="468" t="s">
        <v>587</v>
      </c>
      <c r="B4138" s="468" t="s">
        <v>591</v>
      </c>
      <c r="C4138" s="468" t="s">
        <v>610</v>
      </c>
      <c r="D4138" s="468" t="s">
        <v>611</v>
      </c>
      <c r="E4138" s="468" t="s">
        <v>535</v>
      </c>
      <c r="F4138" s="470">
        <v>16.716000000000001</v>
      </c>
      <c r="G4138" s="468">
        <v>7.456365273215118</v>
      </c>
      <c r="H4138" s="479">
        <v>124.64060190706392</v>
      </c>
      <c r="I4138" s="480" t="s">
        <v>9009</v>
      </c>
      <c r="J4138" s="468" t="s">
        <v>9013</v>
      </c>
      <c r="K4138" s="468" t="s">
        <v>9014</v>
      </c>
      <c r="L4138" s="468" t="s">
        <v>536</v>
      </c>
    </row>
    <row r="4139" spans="1:12" x14ac:dyDescent="0.25">
      <c r="A4139" s="468" t="s">
        <v>587</v>
      </c>
      <c r="B4139" s="468" t="s">
        <v>591</v>
      </c>
      <c r="C4139" s="468" t="s">
        <v>612</v>
      </c>
      <c r="D4139" s="468" t="s">
        <v>613</v>
      </c>
      <c r="E4139" s="468" t="s">
        <v>535</v>
      </c>
      <c r="F4139" s="470">
        <v>41.408000000000001</v>
      </c>
      <c r="G4139" s="468">
        <v>7.2346773919839906</v>
      </c>
      <c r="H4139" s="479">
        <v>299.57352144727309</v>
      </c>
      <c r="I4139" s="480" t="s">
        <v>9009</v>
      </c>
      <c r="J4139" s="468" t="s">
        <v>9013</v>
      </c>
      <c r="K4139" s="468" t="s">
        <v>9010</v>
      </c>
      <c r="L4139" s="468" t="s">
        <v>536</v>
      </c>
    </row>
    <row r="4140" spans="1:12" x14ac:dyDescent="0.25">
      <c r="A4140" s="468" t="s">
        <v>587</v>
      </c>
      <c r="B4140" s="468" t="s">
        <v>591</v>
      </c>
      <c r="C4140" s="468" t="s">
        <v>614</v>
      </c>
      <c r="D4140" s="468" t="s">
        <v>615</v>
      </c>
      <c r="E4140" s="468" t="s">
        <v>535</v>
      </c>
      <c r="F4140" s="470">
        <v>352.66</v>
      </c>
      <c r="G4140" s="468">
        <v>8.8391259371829669</v>
      </c>
      <c r="H4140" s="479">
        <v>3117.2061530069454</v>
      </c>
      <c r="I4140" s="480" t="s">
        <v>9009</v>
      </c>
      <c r="J4140" s="468" t="s">
        <v>9013</v>
      </c>
      <c r="K4140" s="468" t="s">
        <v>9014</v>
      </c>
      <c r="L4140" s="468" t="s">
        <v>536</v>
      </c>
    </row>
    <row r="4141" spans="1:12" x14ac:dyDescent="0.25">
      <c r="A4141" s="468" t="s">
        <v>587</v>
      </c>
      <c r="B4141" s="468" t="s">
        <v>591</v>
      </c>
      <c r="C4141" s="468" t="s">
        <v>618</v>
      </c>
      <c r="D4141" s="468" t="s">
        <v>619</v>
      </c>
      <c r="E4141" s="468" t="s">
        <v>535</v>
      </c>
      <c r="F4141" s="470">
        <v>238.76</v>
      </c>
      <c r="G4141" s="468">
        <v>7.4253484164325663</v>
      </c>
      <c r="H4141" s="479">
        <v>1772.8761879074395</v>
      </c>
      <c r="I4141" s="480" t="s">
        <v>9009</v>
      </c>
      <c r="J4141" s="468" t="s">
        <v>9013</v>
      </c>
      <c r="K4141" s="468" t="s">
        <v>9014</v>
      </c>
      <c r="L4141" s="468" t="s">
        <v>536</v>
      </c>
    </row>
    <row r="4142" spans="1:12" x14ac:dyDescent="0.25">
      <c r="A4142" s="468" t="s">
        <v>587</v>
      </c>
      <c r="B4142" s="468" t="s">
        <v>591</v>
      </c>
      <c r="C4142" s="468" t="s">
        <v>622</v>
      </c>
      <c r="D4142" s="468" t="s">
        <v>623</v>
      </c>
      <c r="E4142" s="468" t="s">
        <v>535</v>
      </c>
      <c r="F4142" s="470">
        <v>81</v>
      </c>
      <c r="G4142" s="468">
        <v>7.421391560100254</v>
      </c>
      <c r="H4142" s="479">
        <v>601.13271636812055</v>
      </c>
      <c r="I4142" s="480" t="s">
        <v>9009</v>
      </c>
      <c r="J4142" s="468" t="s">
        <v>9013</v>
      </c>
      <c r="K4142" s="468" t="s">
        <v>9014</v>
      </c>
      <c r="L4142" s="468" t="s">
        <v>536</v>
      </c>
    </row>
    <row r="4143" spans="1:12" x14ac:dyDescent="0.25">
      <c r="A4143" s="468" t="s">
        <v>587</v>
      </c>
      <c r="B4143" s="468" t="s">
        <v>591</v>
      </c>
      <c r="C4143" s="468" t="s">
        <v>624</v>
      </c>
      <c r="D4143" s="468" t="s">
        <v>625</v>
      </c>
      <c r="E4143" s="468" t="s">
        <v>535</v>
      </c>
      <c r="F4143" s="470">
        <v>188.1</v>
      </c>
      <c r="G4143" s="468">
        <v>7.4209478247389118</v>
      </c>
      <c r="H4143" s="479">
        <v>1395.8802858333893</v>
      </c>
      <c r="I4143" s="480" t="s">
        <v>9009</v>
      </c>
      <c r="J4143" s="468" t="s">
        <v>9013</v>
      </c>
      <c r="K4143" s="468" t="s">
        <v>9014</v>
      </c>
      <c r="L4143" s="468" t="s">
        <v>536</v>
      </c>
    </row>
    <row r="4144" spans="1:12" x14ac:dyDescent="0.25">
      <c r="A4144" s="468" t="s">
        <v>587</v>
      </c>
      <c r="B4144" s="468" t="s">
        <v>591</v>
      </c>
      <c r="C4144" s="468" t="s">
        <v>626</v>
      </c>
      <c r="D4144" s="468" t="s">
        <v>627</v>
      </c>
      <c r="E4144" s="468" t="s">
        <v>535</v>
      </c>
      <c r="F4144" s="470">
        <v>195.61500000000001</v>
      </c>
      <c r="G4144" s="468">
        <v>7.4935420431253537</v>
      </c>
      <c r="H4144" s="479">
        <v>1465.849226765966</v>
      </c>
      <c r="I4144" s="480" t="s">
        <v>9009</v>
      </c>
      <c r="J4144" s="468" t="s">
        <v>9013</v>
      </c>
      <c r="K4144" s="468" t="s">
        <v>9014</v>
      </c>
      <c r="L4144" s="468" t="s">
        <v>536</v>
      </c>
    </row>
    <row r="4145" spans="1:12" x14ac:dyDescent="0.25">
      <c r="A4145" s="468" t="s">
        <v>587</v>
      </c>
      <c r="B4145" s="468" t="s">
        <v>591</v>
      </c>
      <c r="C4145" s="468" t="s">
        <v>628</v>
      </c>
      <c r="D4145" s="468" t="s">
        <v>629</v>
      </c>
      <c r="E4145" s="468" t="s">
        <v>535</v>
      </c>
      <c r="F4145" s="470">
        <v>38.74</v>
      </c>
      <c r="G4145" s="468">
        <v>8.0632541509475111</v>
      </c>
      <c r="H4145" s="479">
        <v>312.37046580770658</v>
      </c>
      <c r="I4145" s="480" t="s">
        <v>9009</v>
      </c>
      <c r="J4145" s="468" t="s">
        <v>9013</v>
      </c>
      <c r="K4145" s="468" t="s">
        <v>9014</v>
      </c>
      <c r="L4145" s="468" t="s">
        <v>536</v>
      </c>
    </row>
    <row r="4146" spans="1:12" x14ac:dyDescent="0.25">
      <c r="A4146" s="468" t="s">
        <v>587</v>
      </c>
      <c r="B4146" s="468" t="s">
        <v>591</v>
      </c>
      <c r="C4146" s="468" t="s">
        <v>630</v>
      </c>
      <c r="D4146" s="468" t="s">
        <v>631</v>
      </c>
      <c r="E4146" s="468" t="s">
        <v>535</v>
      </c>
      <c r="F4146" s="470">
        <v>40.020000000000003</v>
      </c>
      <c r="G4146" s="468">
        <v>7.1336770756969887</v>
      </c>
      <c r="H4146" s="479">
        <v>285.48975656939353</v>
      </c>
      <c r="I4146" s="480" t="s">
        <v>9009</v>
      </c>
      <c r="J4146" s="468" t="s">
        <v>9013</v>
      </c>
      <c r="K4146" s="468" t="s">
        <v>9014</v>
      </c>
      <c r="L4146" s="468" t="s">
        <v>536</v>
      </c>
    </row>
    <row r="4147" spans="1:12" x14ac:dyDescent="0.25">
      <c r="A4147" s="468" t="s">
        <v>587</v>
      </c>
      <c r="B4147" s="468" t="s">
        <v>591</v>
      </c>
      <c r="C4147" s="468" t="s">
        <v>632</v>
      </c>
      <c r="D4147" s="468" t="s">
        <v>633</v>
      </c>
      <c r="E4147" s="468" t="s">
        <v>535</v>
      </c>
      <c r="F4147" s="470">
        <v>690.14400000000001</v>
      </c>
      <c r="G4147" s="468">
        <v>8.3070030131974235</v>
      </c>
      <c r="H4147" s="479">
        <v>5733.0282875401226</v>
      </c>
      <c r="I4147" s="480" t="s">
        <v>9009</v>
      </c>
      <c r="J4147" s="468" t="s">
        <v>9013</v>
      </c>
      <c r="K4147" s="468" t="s">
        <v>9014</v>
      </c>
      <c r="L4147" s="468" t="s">
        <v>536</v>
      </c>
    </row>
    <row r="4148" spans="1:12" x14ac:dyDescent="0.25">
      <c r="A4148" s="468" t="s">
        <v>587</v>
      </c>
      <c r="B4148" s="468" t="s">
        <v>591</v>
      </c>
      <c r="C4148" s="468" t="s">
        <v>634</v>
      </c>
      <c r="D4148" s="468" t="s">
        <v>635</v>
      </c>
      <c r="E4148" s="468" t="s">
        <v>535</v>
      </c>
      <c r="F4148" s="470">
        <v>189.7</v>
      </c>
      <c r="G4148" s="468">
        <v>8.370490004042308</v>
      </c>
      <c r="H4148" s="479">
        <v>1587.8819537668257</v>
      </c>
      <c r="I4148" s="480" t="s">
        <v>9009</v>
      </c>
      <c r="J4148" s="468" t="s">
        <v>9013</v>
      </c>
      <c r="K4148" s="468" t="s">
        <v>9014</v>
      </c>
      <c r="L4148" s="468" t="s">
        <v>536</v>
      </c>
    </row>
    <row r="4149" spans="1:12" x14ac:dyDescent="0.25">
      <c r="A4149" s="468" t="s">
        <v>587</v>
      </c>
      <c r="B4149" s="468" t="s">
        <v>591</v>
      </c>
      <c r="C4149" s="468" t="s">
        <v>690</v>
      </c>
      <c r="D4149" s="468" t="s">
        <v>691</v>
      </c>
      <c r="E4149" s="468" t="s">
        <v>535</v>
      </c>
      <c r="F4149" s="470">
        <v>126.36</v>
      </c>
      <c r="G4149" s="468">
        <v>8.2738020600404418</v>
      </c>
      <c r="H4149" s="479">
        <v>1045.4776283067101</v>
      </c>
      <c r="I4149" s="480" t="s">
        <v>9009</v>
      </c>
      <c r="J4149" s="468" t="s">
        <v>9013</v>
      </c>
      <c r="K4149" s="468" t="s">
        <v>9010</v>
      </c>
      <c r="L4149" s="468" t="s">
        <v>536</v>
      </c>
    </row>
    <row r="4150" spans="1:12" x14ac:dyDescent="0.25">
      <c r="A4150" s="468" t="s">
        <v>587</v>
      </c>
      <c r="B4150" s="468" t="s">
        <v>591</v>
      </c>
      <c r="C4150" s="468" t="s">
        <v>7462</v>
      </c>
      <c r="D4150" s="468" t="s">
        <v>7732</v>
      </c>
      <c r="E4150" s="468" t="s">
        <v>535</v>
      </c>
      <c r="F4150" s="470">
        <v>79.900000000000006</v>
      </c>
      <c r="G4150" s="468">
        <v>7.7037627471332772</v>
      </c>
      <c r="H4150" s="479">
        <v>615.53064349594888</v>
      </c>
      <c r="I4150" s="480" t="s">
        <v>9009</v>
      </c>
      <c r="J4150" s="468" t="s">
        <v>9013</v>
      </c>
      <c r="K4150" s="468" t="s">
        <v>9014</v>
      </c>
      <c r="L4150" s="468" t="s">
        <v>536</v>
      </c>
    </row>
    <row r="4151" spans="1:12" x14ac:dyDescent="0.25">
      <c r="A4151" s="468" t="s">
        <v>587</v>
      </c>
      <c r="B4151" s="468" t="s">
        <v>591</v>
      </c>
      <c r="C4151" s="468" t="s">
        <v>620</v>
      </c>
      <c r="D4151" s="468" t="s">
        <v>621</v>
      </c>
      <c r="E4151" s="468" t="s">
        <v>535</v>
      </c>
      <c r="F4151" s="470">
        <v>20.175000000000001</v>
      </c>
      <c r="G4151" s="468">
        <v>7.4202376821592075</v>
      </c>
      <c r="H4151" s="479">
        <v>149.70329523756203</v>
      </c>
      <c r="I4151" s="480" t="s">
        <v>9009</v>
      </c>
      <c r="J4151" s="468" t="s">
        <v>9013</v>
      </c>
      <c r="K4151" s="468" t="s">
        <v>9010</v>
      </c>
      <c r="L4151" s="468" t="s">
        <v>536</v>
      </c>
    </row>
    <row r="4152" spans="1:12" x14ac:dyDescent="0.25">
      <c r="A4152" s="468" t="s">
        <v>587</v>
      </c>
      <c r="B4152" s="468" t="s">
        <v>591</v>
      </c>
      <c r="C4152" s="468" t="s">
        <v>7738</v>
      </c>
      <c r="D4152" s="468" t="s">
        <v>9480</v>
      </c>
      <c r="E4152" s="468" t="s">
        <v>535</v>
      </c>
      <c r="F4152" s="470">
        <v>17.742999999999999</v>
      </c>
      <c r="G4152" s="468">
        <v>7.9509638181415774</v>
      </c>
      <c r="H4152" s="479">
        <v>141.07395102528599</v>
      </c>
      <c r="I4152" s="480" t="s">
        <v>9009</v>
      </c>
      <c r="J4152" s="468" t="s">
        <v>9013</v>
      </c>
      <c r="K4152" s="468" t="s">
        <v>9010</v>
      </c>
      <c r="L4152" s="468" t="s">
        <v>536</v>
      </c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2:N356"/>
  <sheetViews>
    <sheetView topLeftCell="B1" workbookViewId="0">
      <pane ySplit="2" topLeftCell="A287" activePane="bottomLeft" state="frozen"/>
      <selection activeCell="I47" sqref="I47"/>
      <selection pane="bottomLeft" activeCell="I47" sqref="I47"/>
    </sheetView>
  </sheetViews>
  <sheetFormatPr baseColWidth="10" defaultRowHeight="15" x14ac:dyDescent="0.25"/>
  <cols>
    <col min="1" max="1" width="11.5703125" customWidth="1"/>
    <col min="2" max="2" width="23.7109375" style="302" bestFit="1" customWidth="1"/>
    <col min="3" max="3" width="14.42578125" style="305" bestFit="1" customWidth="1"/>
    <col min="4" max="4" width="16.7109375" style="305" customWidth="1"/>
    <col min="5" max="5" width="16.85546875" style="305" customWidth="1"/>
    <col min="6" max="6" width="15.42578125" style="305" customWidth="1"/>
    <col min="7" max="7" width="14.42578125" style="305" bestFit="1" customWidth="1"/>
    <col min="8" max="9" width="12.7109375" style="305" bestFit="1" customWidth="1"/>
    <col min="10" max="10" width="25.5703125" style="302" customWidth="1"/>
    <col min="11" max="11" width="14.42578125" style="302" customWidth="1"/>
    <col min="12" max="12" width="11.42578125" style="302"/>
    <col min="13" max="13" width="14.140625" style="302" bestFit="1" customWidth="1"/>
    <col min="14" max="16384" width="11.42578125" style="302"/>
  </cols>
  <sheetData>
    <row r="2" spans="1:14" ht="11.25" x14ac:dyDescent="0.2">
      <c r="A2" s="6" t="s">
        <v>1</v>
      </c>
      <c r="B2" s="6" t="s">
        <v>0</v>
      </c>
      <c r="C2" s="7" t="s">
        <v>5</v>
      </c>
      <c r="D2" s="7" t="s">
        <v>2</v>
      </c>
      <c r="E2" s="7" t="s">
        <v>260</v>
      </c>
      <c r="F2" s="7" t="s">
        <v>218</v>
      </c>
      <c r="G2" s="7" t="s">
        <v>219</v>
      </c>
      <c r="H2" s="7" t="s">
        <v>6</v>
      </c>
      <c r="I2" s="7" t="s">
        <v>217</v>
      </c>
      <c r="J2" s="6" t="s">
        <v>412</v>
      </c>
    </row>
    <row r="3" spans="1:14" s="9" customFormat="1" ht="11.25" customHeight="1" x14ac:dyDescent="0.2">
      <c r="A3" s="10">
        <v>10100000</v>
      </c>
      <c r="B3" s="10" t="s">
        <v>7</v>
      </c>
      <c r="C3" s="11">
        <v>-13500000</v>
      </c>
      <c r="D3" s="11">
        <v>0</v>
      </c>
      <c r="E3" s="11">
        <v>0</v>
      </c>
      <c r="F3" s="13">
        <f>SUMIF('OD 12-24'!A:A,A3,'OD 12-24'!D:D)</f>
        <v>0</v>
      </c>
      <c r="G3" s="13">
        <f>SUMIF('OD 12-24'!A:A,A3,'OD 12-24'!E:E)</f>
        <v>0</v>
      </c>
      <c r="H3" s="14">
        <f t="shared" ref="H3:H66" si="0">+D3+F3-E3-G3</f>
        <v>0</v>
      </c>
      <c r="I3" s="14">
        <f t="shared" ref="I3:I66" si="1">+H3+C3</f>
        <v>-13500000</v>
      </c>
      <c r="J3" s="8" t="s">
        <v>8</v>
      </c>
      <c r="K3" s="8"/>
      <c r="M3" s="339"/>
      <c r="N3" s="315"/>
    </row>
    <row r="4" spans="1:14" s="9" customFormat="1" ht="11.25" customHeight="1" x14ac:dyDescent="0.2">
      <c r="A4" s="10">
        <v>11101000</v>
      </c>
      <c r="B4" s="10" t="s">
        <v>9</v>
      </c>
      <c r="C4" s="11">
        <v>-1200000</v>
      </c>
      <c r="D4" s="11">
        <v>0</v>
      </c>
      <c r="E4" s="11">
        <v>0</v>
      </c>
      <c r="F4" s="13">
        <f>SUMIF('OD 12-24'!A:A,A4,'OD 12-24'!D:D)</f>
        <v>0</v>
      </c>
      <c r="G4" s="13">
        <f>SUMIF('OD 12-24'!A:A,A4,'OD 12-24'!E:E)</f>
        <v>0</v>
      </c>
      <c r="H4" s="14">
        <f t="shared" si="0"/>
        <v>0</v>
      </c>
      <c r="I4" s="14">
        <f t="shared" si="1"/>
        <v>-1200000</v>
      </c>
      <c r="J4" s="8" t="s">
        <v>10</v>
      </c>
      <c r="K4" s="8"/>
      <c r="M4" s="339"/>
      <c r="N4" s="315"/>
    </row>
    <row r="5" spans="1:14" s="9" customFormat="1" ht="11.25" customHeight="1" x14ac:dyDescent="0.2">
      <c r="A5" s="10">
        <v>12100000</v>
      </c>
      <c r="B5" s="10" t="s">
        <v>11</v>
      </c>
      <c r="C5" s="11">
        <v>-22014748.230402432</v>
      </c>
      <c r="D5" s="11">
        <v>0</v>
      </c>
      <c r="E5" s="11">
        <v>0</v>
      </c>
      <c r="F5" s="13">
        <f>SUMIF('OD 12-24'!A:A,A5,'OD 12-24'!D:D)</f>
        <v>0</v>
      </c>
      <c r="G5" s="13">
        <f>SUMIF('OD 12-24'!A:A,A5,'OD 12-24'!E:E)</f>
        <v>0</v>
      </c>
      <c r="H5" s="14">
        <f t="shared" si="0"/>
        <v>0</v>
      </c>
      <c r="I5" s="14">
        <f t="shared" si="1"/>
        <v>-22014748.230402432</v>
      </c>
      <c r="J5" s="8" t="s">
        <v>12</v>
      </c>
      <c r="K5" s="8"/>
      <c r="M5" s="339"/>
      <c r="N5" s="315"/>
    </row>
    <row r="6" spans="1:14" s="9" customFormat="1" ht="11.25" customHeight="1" x14ac:dyDescent="0.2">
      <c r="A6" s="10">
        <v>12200000</v>
      </c>
      <c r="B6" s="10" t="s">
        <v>272</v>
      </c>
      <c r="C6" s="11">
        <v>0</v>
      </c>
      <c r="D6" s="11">
        <v>0</v>
      </c>
      <c r="E6" s="11">
        <v>0</v>
      </c>
      <c r="F6" s="13">
        <f>SUMIF('OD 12-24'!A:A,A6,'OD 12-24'!D:D)</f>
        <v>0</v>
      </c>
      <c r="G6" s="13">
        <f>SUMIF('OD 12-24'!A:A,A6,'OD 12-24'!E:E)</f>
        <v>0</v>
      </c>
      <c r="H6" s="14">
        <f t="shared" si="0"/>
        <v>0</v>
      </c>
      <c r="I6" s="14">
        <f t="shared" si="1"/>
        <v>0</v>
      </c>
      <c r="J6" s="8"/>
      <c r="K6" s="8"/>
      <c r="M6" s="339"/>
      <c r="N6" s="315"/>
    </row>
    <row r="7" spans="1:14" s="9" customFormat="1" ht="11.25" customHeight="1" x14ac:dyDescent="0.2">
      <c r="A7" s="10">
        <v>12800000</v>
      </c>
      <c r="B7" s="10" t="s">
        <v>13</v>
      </c>
      <c r="C7" s="11">
        <v>3126298.01</v>
      </c>
      <c r="D7" s="11">
        <v>0</v>
      </c>
      <c r="E7" s="11">
        <v>0</v>
      </c>
      <c r="F7" s="13">
        <f>SUMIF('OD 12-24'!A:A,A7,'OD 12-24'!D:D)</f>
        <v>0</v>
      </c>
      <c r="G7" s="13">
        <f>SUMIF('OD 12-24'!A:A,A7,'OD 12-24'!E:E)</f>
        <v>0</v>
      </c>
      <c r="H7" s="14">
        <f t="shared" si="0"/>
        <v>0</v>
      </c>
      <c r="I7" s="14">
        <f t="shared" si="1"/>
        <v>3126298.01</v>
      </c>
      <c r="J7" s="8" t="s">
        <v>14</v>
      </c>
      <c r="K7" s="8"/>
      <c r="M7" s="339"/>
      <c r="N7" s="315"/>
    </row>
    <row r="8" spans="1:14" s="9" customFormat="1" ht="11.25" customHeight="1" x14ac:dyDescent="0.2">
      <c r="A8" s="10">
        <v>13000000</v>
      </c>
      <c r="B8" s="10" t="s">
        <v>273</v>
      </c>
      <c r="C8" s="11">
        <v>0</v>
      </c>
      <c r="D8" s="11">
        <v>0</v>
      </c>
      <c r="E8" s="11">
        <v>0</v>
      </c>
      <c r="F8" s="13">
        <f>SUMIF('OD 12-24'!A:A,A8,'OD 12-24'!D:D)</f>
        <v>0</v>
      </c>
      <c r="G8" s="13">
        <f>SUMIF('OD 12-24'!A:A,A8,'OD 12-24'!E:E)</f>
        <v>0</v>
      </c>
      <c r="H8" s="14">
        <f t="shared" si="0"/>
        <v>0</v>
      </c>
      <c r="I8" s="14">
        <f t="shared" si="1"/>
        <v>0</v>
      </c>
      <c r="J8" s="8"/>
      <c r="K8" s="8"/>
      <c r="M8" s="339"/>
      <c r="N8" s="315"/>
    </row>
    <row r="9" spans="1:14" s="9" customFormat="1" ht="11.25" customHeight="1" x14ac:dyDescent="0.2">
      <c r="A9" s="10">
        <v>14500000</v>
      </c>
      <c r="B9" s="10" t="s">
        <v>15</v>
      </c>
      <c r="C9" s="11">
        <v>-3479108.84</v>
      </c>
      <c r="D9" s="11">
        <v>0</v>
      </c>
      <c r="E9" s="11">
        <v>0</v>
      </c>
      <c r="F9" s="13">
        <f>SUMIF('OD 12-24'!A:A,A9,'OD 12-24'!D:D)</f>
        <v>0</v>
      </c>
      <c r="G9" s="13">
        <f>SUMIF('OD 12-24'!A:A,A9,'OD 12-24'!E:E)</f>
        <v>0</v>
      </c>
      <c r="H9" s="14">
        <f t="shared" si="0"/>
        <v>0</v>
      </c>
      <c r="I9" s="14">
        <f t="shared" si="1"/>
        <v>-3479108.84</v>
      </c>
      <c r="J9" s="8" t="s">
        <v>16</v>
      </c>
      <c r="K9" s="8"/>
      <c r="M9" s="339"/>
      <c r="N9" s="315"/>
    </row>
    <row r="10" spans="1:14" s="9" customFormat="1" ht="11.25" customHeight="1" x14ac:dyDescent="0.2">
      <c r="A10" s="10">
        <v>14508000</v>
      </c>
      <c r="B10" s="10" t="s">
        <v>17</v>
      </c>
      <c r="C10" s="11">
        <v>2662861.7680000002</v>
      </c>
      <c r="D10" s="11">
        <v>0</v>
      </c>
      <c r="E10" s="11">
        <v>0</v>
      </c>
      <c r="F10" s="13">
        <f>SUMIF('OD 12-24'!A:A,A10,'OD 12-24'!D:D)</f>
        <v>1582028.689</v>
      </c>
      <c r="G10" s="13">
        <f>SUMIF('OD 12-24'!A:A,A10,'OD 12-24'!E:E)</f>
        <v>1338639.6599999999</v>
      </c>
      <c r="H10" s="14">
        <f t="shared" si="0"/>
        <v>243389.0290000001</v>
      </c>
      <c r="I10" s="14">
        <f t="shared" si="1"/>
        <v>2906250.7970000003</v>
      </c>
      <c r="J10" s="8" t="s">
        <v>18</v>
      </c>
      <c r="K10" s="8"/>
      <c r="M10" s="339"/>
      <c r="N10" s="315"/>
    </row>
    <row r="11" spans="1:14" s="9" customFormat="1" ht="11.25" customHeight="1" x14ac:dyDescent="0.2">
      <c r="A11" s="10">
        <v>15100000</v>
      </c>
      <c r="B11" s="10" t="s">
        <v>19</v>
      </c>
      <c r="C11" s="11">
        <v>-231535.016</v>
      </c>
      <c r="D11" s="11">
        <v>0</v>
      </c>
      <c r="E11" s="11">
        <v>0</v>
      </c>
      <c r="F11" s="13">
        <f>SUMIF('OD 12-24'!A:A,A11,'OD 12-24'!D:D)</f>
        <v>420000</v>
      </c>
      <c r="G11" s="13">
        <f>SUMIF('OD 12-24'!A:A,A11,'OD 12-24'!E:E)</f>
        <v>540000</v>
      </c>
      <c r="H11" s="14">
        <f t="shared" si="0"/>
        <v>-120000</v>
      </c>
      <c r="I11" s="14">
        <f t="shared" si="1"/>
        <v>-351535.016</v>
      </c>
      <c r="J11" s="8" t="s">
        <v>20</v>
      </c>
      <c r="K11" s="8"/>
      <c r="M11" s="339"/>
      <c r="N11" s="315"/>
    </row>
    <row r="12" spans="1:14" s="9" customFormat="1" ht="11.25" customHeight="1" x14ac:dyDescent="0.2">
      <c r="A12" s="10">
        <v>16210250</v>
      </c>
      <c r="B12" s="10" t="s">
        <v>274</v>
      </c>
      <c r="C12" s="11">
        <v>0</v>
      </c>
      <c r="D12" s="11">
        <v>0</v>
      </c>
      <c r="E12" s="11">
        <v>0</v>
      </c>
      <c r="F12" s="13">
        <f>SUMIF('OD 12-24'!A:A,A12,'OD 12-24'!D:D)</f>
        <v>0</v>
      </c>
      <c r="G12" s="13">
        <f>SUMIF('OD 12-24'!A:A,A12,'OD 12-24'!E:E)</f>
        <v>0</v>
      </c>
      <c r="H12" s="14">
        <f t="shared" si="0"/>
        <v>0</v>
      </c>
      <c r="I12" s="14">
        <f t="shared" si="1"/>
        <v>0</v>
      </c>
      <c r="J12" s="8"/>
      <c r="K12" s="8"/>
      <c r="M12" s="339"/>
      <c r="N12" s="315"/>
    </row>
    <row r="13" spans="1:14" s="9" customFormat="1" ht="11.25" customHeight="1" x14ac:dyDescent="0.2">
      <c r="A13" s="10">
        <v>16210500</v>
      </c>
      <c r="B13" s="10" t="s">
        <v>21</v>
      </c>
      <c r="C13" s="11">
        <v>-1416666.6629999988</v>
      </c>
      <c r="D13" s="11">
        <v>0</v>
      </c>
      <c r="E13" s="11">
        <v>0</v>
      </c>
      <c r="F13" s="13">
        <f>SUMIF('OD 12-24'!A:A,A13,'OD 12-24'!D:D)</f>
        <v>586666</v>
      </c>
      <c r="G13" s="13">
        <f>SUMIF('OD 12-24'!A:A,A13,'OD 12-24'!E:E)</f>
        <v>0</v>
      </c>
      <c r="H13" s="14">
        <f t="shared" si="0"/>
        <v>586666</v>
      </c>
      <c r="I13" s="14">
        <f t="shared" si="1"/>
        <v>-830000.66299999878</v>
      </c>
      <c r="J13" s="8" t="s">
        <v>22</v>
      </c>
      <c r="K13" s="8"/>
      <c r="M13" s="339"/>
      <c r="N13" s="315"/>
    </row>
    <row r="14" spans="1:14" s="9" customFormat="1" ht="11.25" customHeight="1" x14ac:dyDescent="0.2">
      <c r="A14" s="10">
        <v>16210960</v>
      </c>
      <c r="B14" s="10" t="s">
        <v>275</v>
      </c>
      <c r="C14" s="11">
        <v>0</v>
      </c>
      <c r="D14" s="11">
        <v>0</v>
      </c>
      <c r="E14" s="11">
        <v>0</v>
      </c>
      <c r="F14" s="13">
        <f>SUMIF('OD 12-24'!A:A,A14,'OD 12-24'!D:D)</f>
        <v>0</v>
      </c>
      <c r="G14" s="13">
        <f>SUMIF('OD 12-24'!A:A,A14,'OD 12-24'!E:E)</f>
        <v>0</v>
      </c>
      <c r="H14" s="14">
        <f t="shared" si="0"/>
        <v>0</v>
      </c>
      <c r="I14" s="14">
        <f t="shared" si="1"/>
        <v>0</v>
      </c>
      <c r="J14" s="8"/>
      <c r="K14" s="8"/>
      <c r="M14" s="339"/>
      <c r="N14" s="315"/>
    </row>
    <row r="15" spans="1:14" s="9" customFormat="1" ht="11.25" customHeight="1" x14ac:dyDescent="0.2">
      <c r="A15" s="10">
        <v>16400000</v>
      </c>
      <c r="B15" s="10" t="s">
        <v>276</v>
      </c>
      <c r="C15" s="11">
        <v>-103582.68900000001</v>
      </c>
      <c r="D15" s="11">
        <v>0</v>
      </c>
      <c r="E15" s="11">
        <v>334713.73499999999</v>
      </c>
      <c r="F15" s="13">
        <f>SUMIF('OD 12-24'!A:A,A15,'OD 12-24'!D:D)</f>
        <v>78552.648000000001</v>
      </c>
      <c r="G15" s="13">
        <f>SUMIF('OD 12-24'!A:A,A15,'OD 12-24'!E:E)</f>
        <v>0</v>
      </c>
      <c r="H15" s="14">
        <f t="shared" si="0"/>
        <v>-256161.087</v>
      </c>
      <c r="I15" s="14">
        <f t="shared" si="1"/>
        <v>-359743.77600000001</v>
      </c>
      <c r="J15" s="8" t="s">
        <v>22</v>
      </c>
      <c r="K15" s="8"/>
      <c r="M15" s="339"/>
      <c r="N15" s="315"/>
    </row>
    <row r="16" spans="1:14" s="9" customFormat="1" ht="11.25" customHeight="1" x14ac:dyDescent="0.2">
      <c r="A16" s="10">
        <v>18800000</v>
      </c>
      <c r="B16" s="10" t="s">
        <v>23</v>
      </c>
      <c r="C16" s="11">
        <v>0</v>
      </c>
      <c r="D16" s="11">
        <v>0</v>
      </c>
      <c r="E16" s="11">
        <v>0</v>
      </c>
      <c r="F16" s="13">
        <f>SUMIF('OD 12-24'!A:A,A16,'OD 12-24'!D:D)</f>
        <v>0</v>
      </c>
      <c r="G16" s="13">
        <f>SUMIF('OD 12-24'!A:A,A16,'OD 12-24'!E:E)</f>
        <v>0</v>
      </c>
      <c r="H16" s="14">
        <f t="shared" si="0"/>
        <v>0</v>
      </c>
      <c r="I16" s="14">
        <f t="shared" si="1"/>
        <v>0</v>
      </c>
      <c r="J16" s="8"/>
      <c r="K16" s="8"/>
      <c r="M16" s="339"/>
      <c r="N16" s="315"/>
    </row>
    <row r="17" spans="1:14" s="9" customFormat="1" ht="11.25" customHeight="1" x14ac:dyDescent="0.2">
      <c r="A17" s="10">
        <v>21100000</v>
      </c>
      <c r="B17" s="10" t="s">
        <v>277</v>
      </c>
      <c r="C17" s="11">
        <v>0</v>
      </c>
      <c r="D17" s="11">
        <v>0</v>
      </c>
      <c r="E17" s="11">
        <v>0</v>
      </c>
      <c r="F17" s="13">
        <f>SUMIF('OD 12-24'!A:A,A17,'OD 12-24'!D:D)</f>
        <v>0</v>
      </c>
      <c r="G17" s="13">
        <f>SUMIF('OD 12-24'!A:A,A17,'OD 12-24'!E:E)</f>
        <v>0</v>
      </c>
      <c r="H17" s="14">
        <f t="shared" si="0"/>
        <v>0</v>
      </c>
      <c r="I17" s="14">
        <f t="shared" si="1"/>
        <v>0</v>
      </c>
      <c r="J17" s="8"/>
      <c r="K17" s="8"/>
      <c r="M17" s="339"/>
      <c r="N17" s="315"/>
    </row>
    <row r="18" spans="1:14" s="9" customFormat="1" ht="11.25" customHeight="1" x14ac:dyDescent="0.2">
      <c r="A18" s="10">
        <v>21300000</v>
      </c>
      <c r="B18" s="10" t="s">
        <v>24</v>
      </c>
      <c r="C18" s="11">
        <v>93173.926999999996</v>
      </c>
      <c r="D18" s="11">
        <v>47987.78</v>
      </c>
      <c r="E18" s="11">
        <v>0</v>
      </c>
      <c r="F18" s="13">
        <f>SUMIF('OD 12-24'!A:A,A18,'OD 12-24'!D:D)</f>
        <v>42950.400000000001</v>
      </c>
      <c r="G18" s="13">
        <f>SUMIF('OD 12-24'!A:A,A18,'OD 12-24'!E:E)</f>
        <v>42950.400000000001</v>
      </c>
      <c r="H18" s="14">
        <f t="shared" si="0"/>
        <v>47987.779999999992</v>
      </c>
      <c r="I18" s="14">
        <f t="shared" si="1"/>
        <v>141161.70699999999</v>
      </c>
      <c r="J18" s="8" t="s">
        <v>25</v>
      </c>
      <c r="K18" s="8"/>
      <c r="M18" s="339"/>
      <c r="N18" s="315"/>
    </row>
    <row r="19" spans="1:14" s="9" customFormat="1" ht="11.25" customHeight="1" x14ac:dyDescent="0.2">
      <c r="A19" s="10">
        <v>22000000</v>
      </c>
      <c r="B19" s="10" t="s">
        <v>278</v>
      </c>
      <c r="C19" s="11">
        <v>0</v>
      </c>
      <c r="D19" s="11">
        <v>0</v>
      </c>
      <c r="E19" s="11">
        <v>0</v>
      </c>
      <c r="F19" s="13">
        <f>SUMIF('OD 12-24'!A:A,A19,'OD 12-24'!D:D)</f>
        <v>0</v>
      </c>
      <c r="G19" s="13">
        <f>SUMIF('OD 12-24'!A:A,A19,'OD 12-24'!E:E)</f>
        <v>0</v>
      </c>
      <c r="H19" s="14">
        <f t="shared" si="0"/>
        <v>0</v>
      </c>
      <c r="I19" s="14">
        <f t="shared" si="1"/>
        <v>0</v>
      </c>
      <c r="J19" s="8"/>
      <c r="K19" s="8"/>
      <c r="M19" s="339"/>
      <c r="N19" s="315"/>
    </row>
    <row r="20" spans="1:14" s="9" customFormat="1" ht="11.25" customHeight="1" x14ac:dyDescent="0.2">
      <c r="A20" s="10">
        <v>22100000</v>
      </c>
      <c r="B20" s="10" t="s">
        <v>26</v>
      </c>
      <c r="C20" s="11">
        <v>1275724</v>
      </c>
      <c r="D20" s="11">
        <v>0</v>
      </c>
      <c r="E20" s="11">
        <v>0</v>
      </c>
      <c r="F20" s="13">
        <f>SUMIF('OD 12-24'!A:A,A20,'OD 12-24'!D:D)</f>
        <v>0</v>
      </c>
      <c r="G20" s="13">
        <f>SUMIF('OD 12-24'!A:A,A20,'OD 12-24'!E:E)</f>
        <v>0</v>
      </c>
      <c r="H20" s="14">
        <f t="shared" si="0"/>
        <v>0</v>
      </c>
      <c r="I20" s="14">
        <f t="shared" si="1"/>
        <v>1275724</v>
      </c>
      <c r="J20" s="8" t="s">
        <v>25</v>
      </c>
      <c r="K20" s="8"/>
      <c r="M20" s="339"/>
      <c r="N20" s="315"/>
    </row>
    <row r="21" spans="1:14" s="9" customFormat="1" ht="11.25" customHeight="1" x14ac:dyDescent="0.2">
      <c r="A21" s="10">
        <v>22160000</v>
      </c>
      <c r="B21" s="10" t="s">
        <v>27</v>
      </c>
      <c r="C21" s="11">
        <v>161921.53600000002</v>
      </c>
      <c r="D21" s="11">
        <v>0</v>
      </c>
      <c r="E21" s="11">
        <v>0</v>
      </c>
      <c r="F21" s="13">
        <f>SUMIF('OD 12-24'!A:A,A21,'OD 12-24'!D:D)</f>
        <v>0</v>
      </c>
      <c r="G21" s="13">
        <f>SUMIF('OD 12-24'!A:A,A21,'OD 12-24'!E:E)</f>
        <v>0</v>
      </c>
      <c r="H21" s="14">
        <f t="shared" si="0"/>
        <v>0</v>
      </c>
      <c r="I21" s="14">
        <f t="shared" si="1"/>
        <v>161921.53600000002</v>
      </c>
      <c r="J21" s="8" t="s">
        <v>25</v>
      </c>
      <c r="K21" s="8"/>
      <c r="M21" s="339"/>
      <c r="N21" s="315"/>
    </row>
    <row r="22" spans="1:14" s="9" customFormat="1" ht="11.25" customHeight="1" x14ac:dyDescent="0.2">
      <c r="A22" s="10">
        <v>22200000</v>
      </c>
      <c r="B22" s="10" t="s">
        <v>28</v>
      </c>
      <c r="C22" s="11">
        <v>9174898.748999998</v>
      </c>
      <c r="D22" s="11">
        <v>0</v>
      </c>
      <c r="E22" s="11">
        <v>0</v>
      </c>
      <c r="F22" s="13">
        <f>SUMIF('OD 12-24'!A:A,A22,'OD 12-24'!D:D)</f>
        <v>0</v>
      </c>
      <c r="G22" s="13">
        <f>SUMIF('OD 12-24'!A:A,A22,'OD 12-24'!E:E)</f>
        <v>0</v>
      </c>
      <c r="H22" s="14">
        <f t="shared" si="0"/>
        <v>0</v>
      </c>
      <c r="I22" s="14">
        <f t="shared" si="1"/>
        <v>9174898.748999998</v>
      </c>
      <c r="J22" s="8" t="s">
        <v>25</v>
      </c>
      <c r="K22" s="8"/>
      <c r="M22" s="339"/>
      <c r="N22" s="315"/>
    </row>
    <row r="23" spans="1:14" s="9" customFormat="1" ht="11.25" customHeight="1" x14ac:dyDescent="0.2">
      <c r="A23" s="10">
        <v>22250000</v>
      </c>
      <c r="B23" s="10" t="s">
        <v>29</v>
      </c>
      <c r="C23" s="11">
        <v>696674.05799999996</v>
      </c>
      <c r="D23" s="11">
        <v>73543.22</v>
      </c>
      <c r="E23" s="11">
        <v>7695.5219999999999</v>
      </c>
      <c r="F23" s="13">
        <f>SUMIF('OD 12-24'!A:A,A23,'OD 12-24'!D:D)</f>
        <v>0</v>
      </c>
      <c r="G23" s="13">
        <f>SUMIF('OD 12-24'!A:A,A23,'OD 12-24'!E:E)</f>
        <v>0</v>
      </c>
      <c r="H23" s="14">
        <f t="shared" si="0"/>
        <v>65847.698000000004</v>
      </c>
      <c r="I23" s="14">
        <f t="shared" si="1"/>
        <v>762521.75599999994</v>
      </c>
      <c r="J23" s="8" t="s">
        <v>25</v>
      </c>
      <c r="K23" s="8"/>
      <c r="M23" s="339"/>
      <c r="N23" s="315"/>
    </row>
    <row r="24" spans="1:14" s="9" customFormat="1" ht="11.25" customHeight="1" x14ac:dyDescent="0.2">
      <c r="A24" s="10">
        <v>22300000</v>
      </c>
      <c r="B24" s="10" t="s">
        <v>30</v>
      </c>
      <c r="C24" s="11">
        <v>73570.611000000004</v>
      </c>
      <c r="D24" s="11">
        <v>26392</v>
      </c>
      <c r="E24" s="11">
        <v>0</v>
      </c>
      <c r="F24" s="13">
        <f>SUMIF('OD 12-24'!A:A,A24,'OD 12-24'!D:D)</f>
        <v>0</v>
      </c>
      <c r="G24" s="13">
        <f>SUMIF('OD 12-24'!A:A,A24,'OD 12-24'!E:E)</f>
        <v>0</v>
      </c>
      <c r="H24" s="14">
        <f t="shared" si="0"/>
        <v>26392</v>
      </c>
      <c r="I24" s="14">
        <f t="shared" si="1"/>
        <v>99962.611000000004</v>
      </c>
      <c r="J24" s="8" t="s">
        <v>25</v>
      </c>
      <c r="K24" s="8"/>
      <c r="M24" s="339"/>
      <c r="N24" s="315"/>
    </row>
    <row r="25" spans="1:14" s="9" customFormat="1" ht="11.25" customHeight="1" x14ac:dyDescent="0.2">
      <c r="A25" s="10">
        <v>22310000</v>
      </c>
      <c r="B25" s="10" t="s">
        <v>31</v>
      </c>
      <c r="C25" s="11">
        <v>0</v>
      </c>
      <c r="D25" s="11">
        <v>7949.9240000000009</v>
      </c>
      <c r="E25" s="11">
        <v>0</v>
      </c>
      <c r="F25" s="13">
        <f>SUMIF('OD 12-24'!A:A,A25,'OD 12-24'!D:D)</f>
        <v>0</v>
      </c>
      <c r="G25" s="13">
        <f>SUMIF('OD 12-24'!A:A,A25,'OD 12-24'!E:E)</f>
        <v>0</v>
      </c>
      <c r="H25" s="14">
        <f t="shared" si="0"/>
        <v>7949.9240000000009</v>
      </c>
      <c r="I25" s="14">
        <f t="shared" si="1"/>
        <v>7949.9240000000009</v>
      </c>
      <c r="J25" s="8" t="s">
        <v>25</v>
      </c>
      <c r="K25" s="8"/>
      <c r="M25" s="339"/>
      <c r="N25" s="315"/>
    </row>
    <row r="26" spans="1:14" s="9" customFormat="1" ht="11.25" customHeight="1" x14ac:dyDescent="0.2">
      <c r="A26" s="10">
        <v>22340000</v>
      </c>
      <c r="B26" s="10" t="s">
        <v>32</v>
      </c>
      <c r="C26" s="11">
        <v>24676096.882049002</v>
      </c>
      <c r="D26" s="11">
        <v>413045.8175</v>
      </c>
      <c r="E26" s="11">
        <v>331367.50800000003</v>
      </c>
      <c r="F26" s="13">
        <f>SUMIF('OD 12-24'!A:A,A26,'OD 12-24'!D:D)</f>
        <v>9020</v>
      </c>
      <c r="G26" s="13">
        <f>SUMIF('OD 12-24'!A:A,A26,'OD 12-24'!E:E)</f>
        <v>9020</v>
      </c>
      <c r="H26" s="14">
        <f t="shared" si="0"/>
        <v>81678.309499999974</v>
      </c>
      <c r="I26" s="14">
        <f t="shared" si="1"/>
        <v>24757775.191549003</v>
      </c>
      <c r="J26" s="8" t="s">
        <v>25</v>
      </c>
      <c r="K26" s="8"/>
      <c r="M26" s="339"/>
      <c r="N26" s="315"/>
    </row>
    <row r="27" spans="1:14" s="9" customFormat="1" ht="11.25" customHeight="1" x14ac:dyDescent="0.2">
      <c r="A27" s="10">
        <v>22350000</v>
      </c>
      <c r="B27" s="10" t="s">
        <v>33</v>
      </c>
      <c r="C27" s="11">
        <v>651798.13449999969</v>
      </c>
      <c r="D27" s="11">
        <v>39100.328999999998</v>
      </c>
      <c r="E27" s="11">
        <v>0</v>
      </c>
      <c r="F27" s="13">
        <f>SUMIF('OD 12-24'!A:A,A27,'OD 12-24'!D:D)</f>
        <v>15062.4</v>
      </c>
      <c r="G27" s="13">
        <f>SUMIF('OD 12-24'!A:A,A27,'OD 12-24'!E:E)</f>
        <v>15062.4</v>
      </c>
      <c r="H27" s="14">
        <f t="shared" si="0"/>
        <v>39100.328999999998</v>
      </c>
      <c r="I27" s="14">
        <f t="shared" si="1"/>
        <v>690898.46349999972</v>
      </c>
      <c r="J27" s="8" t="s">
        <v>25</v>
      </c>
      <c r="K27" s="8"/>
      <c r="M27" s="339"/>
      <c r="N27" s="315"/>
    </row>
    <row r="28" spans="1:14" s="9" customFormat="1" ht="11.25" customHeight="1" x14ac:dyDescent="0.2">
      <c r="A28" s="10">
        <v>22370000</v>
      </c>
      <c r="B28" s="10" t="s">
        <v>34</v>
      </c>
      <c r="C28" s="11">
        <v>901593.20599999989</v>
      </c>
      <c r="D28" s="11">
        <v>8125.4519999999993</v>
      </c>
      <c r="E28" s="11">
        <v>8125.4519999999993</v>
      </c>
      <c r="F28" s="13">
        <f>SUMIF('OD 12-24'!A:A,A28,'OD 12-24'!D:D)</f>
        <v>0</v>
      </c>
      <c r="G28" s="13">
        <f>SUMIF('OD 12-24'!A:A,A28,'OD 12-24'!E:E)</f>
        <v>0</v>
      </c>
      <c r="H28" s="14">
        <f t="shared" si="0"/>
        <v>0</v>
      </c>
      <c r="I28" s="14">
        <f t="shared" si="1"/>
        <v>901593.20599999989</v>
      </c>
      <c r="J28" s="8" t="s">
        <v>25</v>
      </c>
      <c r="K28" s="8"/>
      <c r="M28" s="339"/>
      <c r="N28" s="315"/>
    </row>
    <row r="29" spans="1:14" s="9" customFormat="1" ht="11.25" customHeight="1" x14ac:dyDescent="0.2">
      <c r="A29" s="10">
        <v>22400000</v>
      </c>
      <c r="B29" s="10" t="s">
        <v>35</v>
      </c>
      <c r="C29" s="11">
        <v>1176312.6140000001</v>
      </c>
      <c r="D29" s="11">
        <v>64102.11</v>
      </c>
      <c r="E29" s="11">
        <v>53728.61</v>
      </c>
      <c r="F29" s="13">
        <f>SUMIF('OD 12-24'!A:A,A29,'OD 12-24'!D:D)</f>
        <v>0</v>
      </c>
      <c r="G29" s="13">
        <f>SUMIF('OD 12-24'!A:A,A29,'OD 12-24'!E:E)</f>
        <v>0</v>
      </c>
      <c r="H29" s="14">
        <f t="shared" si="0"/>
        <v>10373.5</v>
      </c>
      <c r="I29" s="14">
        <f t="shared" si="1"/>
        <v>1186686.1140000001</v>
      </c>
      <c r="J29" s="8" t="s">
        <v>25</v>
      </c>
      <c r="K29" s="8"/>
      <c r="M29" s="339"/>
      <c r="N29" s="315"/>
    </row>
    <row r="30" spans="1:14" s="9" customFormat="1" ht="11.25" customHeight="1" x14ac:dyDescent="0.2">
      <c r="A30" s="10">
        <v>22810000</v>
      </c>
      <c r="B30" s="10" t="s">
        <v>36</v>
      </c>
      <c r="C30" s="11">
        <v>0</v>
      </c>
      <c r="D30" s="11">
        <v>0</v>
      </c>
      <c r="E30" s="11">
        <v>0</v>
      </c>
      <c r="F30" s="13">
        <f>SUMIF('OD 12-24'!A:A,A30,'OD 12-24'!D:D)</f>
        <v>0</v>
      </c>
      <c r="G30" s="13">
        <f>SUMIF('OD 12-24'!A:A,A30,'OD 12-24'!E:E)</f>
        <v>0</v>
      </c>
      <c r="H30" s="14">
        <f t="shared" si="0"/>
        <v>0</v>
      </c>
      <c r="I30" s="14">
        <f t="shared" si="1"/>
        <v>0</v>
      </c>
      <c r="J30" s="8"/>
      <c r="K30" s="8"/>
      <c r="M30" s="339"/>
      <c r="N30" s="315"/>
    </row>
    <row r="31" spans="1:14" s="9" customFormat="1" ht="11.25" customHeight="1" x14ac:dyDescent="0.2">
      <c r="A31" s="10">
        <v>22820000</v>
      </c>
      <c r="B31" s="10" t="s">
        <v>37</v>
      </c>
      <c r="C31" s="11">
        <v>281171.26415</v>
      </c>
      <c r="D31" s="11">
        <v>32467.32</v>
      </c>
      <c r="E31" s="11">
        <v>313.10000000000002</v>
      </c>
      <c r="F31" s="13">
        <f>SUMIF('OD 12-24'!A:A,A31,'OD 12-24'!D:D)</f>
        <v>0</v>
      </c>
      <c r="G31" s="13">
        <f>SUMIF('OD 12-24'!A:A,A31,'OD 12-24'!E:E)</f>
        <v>0</v>
      </c>
      <c r="H31" s="14">
        <f t="shared" si="0"/>
        <v>32154.22</v>
      </c>
      <c r="I31" s="14">
        <f t="shared" si="1"/>
        <v>313325.48415000003</v>
      </c>
      <c r="J31" s="8" t="s">
        <v>25</v>
      </c>
      <c r="K31" s="8"/>
      <c r="M31" s="339"/>
      <c r="N31" s="315"/>
    </row>
    <row r="32" spans="1:14" s="9" customFormat="1" ht="11.25" customHeight="1" x14ac:dyDescent="0.2">
      <c r="A32" s="10">
        <v>22830000</v>
      </c>
      <c r="B32" s="10" t="s">
        <v>279</v>
      </c>
      <c r="C32" s="11">
        <v>243796.16828599994</v>
      </c>
      <c r="D32" s="11">
        <v>33598.847999999998</v>
      </c>
      <c r="E32" s="11">
        <v>0</v>
      </c>
      <c r="F32" s="13">
        <f>SUMIF('OD 12-24'!A:A,A32,'OD 12-24'!D:D)</f>
        <v>12816.754000000001</v>
      </c>
      <c r="G32" s="13">
        <f>SUMIF('OD 12-24'!A:A,A32,'OD 12-24'!E:E)</f>
        <v>12816.754000000001</v>
      </c>
      <c r="H32" s="14">
        <f t="shared" si="0"/>
        <v>33598.847999999998</v>
      </c>
      <c r="I32" s="14">
        <f t="shared" si="1"/>
        <v>277395.01628599991</v>
      </c>
      <c r="J32" s="8" t="s">
        <v>25</v>
      </c>
      <c r="K32" s="8"/>
      <c r="M32" s="339"/>
      <c r="N32" s="315"/>
    </row>
    <row r="33" spans="1:14" s="9" customFormat="1" ht="11.25" customHeight="1" x14ac:dyDescent="0.2">
      <c r="A33" s="10">
        <v>23000000</v>
      </c>
      <c r="B33" s="10" t="s">
        <v>280</v>
      </c>
      <c r="C33" s="11">
        <v>2.0000000404252205E-5</v>
      </c>
      <c r="D33" s="11">
        <v>0</v>
      </c>
      <c r="E33" s="11">
        <v>0</v>
      </c>
      <c r="F33" s="13">
        <f>SUMIF('OD 12-24'!A:A,A33,'OD 12-24'!D:D)</f>
        <v>0</v>
      </c>
      <c r="G33" s="13">
        <f>SUMIF('OD 12-24'!A:A,A33,'OD 12-24'!E:E)</f>
        <v>0</v>
      </c>
      <c r="H33" s="14">
        <f t="shared" si="0"/>
        <v>0</v>
      </c>
      <c r="I33" s="14">
        <f t="shared" si="1"/>
        <v>2.0000000404252205E-5</v>
      </c>
      <c r="J33" s="8"/>
      <c r="K33" s="8"/>
      <c r="M33" s="339"/>
      <c r="N33" s="315"/>
    </row>
    <row r="34" spans="1:14" s="9" customFormat="1" ht="11.25" customHeight="1" x14ac:dyDescent="0.2">
      <c r="A34" s="10">
        <v>23100000</v>
      </c>
      <c r="B34" s="10" t="s">
        <v>7399</v>
      </c>
      <c r="C34" s="11">
        <v>0</v>
      </c>
      <c r="D34" s="11">
        <v>17045.8</v>
      </c>
      <c r="E34" s="11">
        <v>0</v>
      </c>
      <c r="F34" s="13">
        <f>SUMIF('OD 12-24'!A:A,A34,'OD 12-24'!D:D)</f>
        <v>0</v>
      </c>
      <c r="G34" s="13">
        <f>SUMIF('OD 12-24'!A:A,A34,'OD 12-24'!E:E)</f>
        <v>0</v>
      </c>
      <c r="H34" s="14">
        <f t="shared" si="0"/>
        <v>17045.8</v>
      </c>
      <c r="I34" s="14">
        <f t="shared" si="1"/>
        <v>17045.8</v>
      </c>
      <c r="J34" s="8" t="s">
        <v>25</v>
      </c>
      <c r="K34" s="8"/>
      <c r="M34" s="339"/>
      <c r="N34" s="315"/>
    </row>
    <row r="35" spans="1:14" s="9" customFormat="1" ht="11.25" customHeight="1" x14ac:dyDescent="0.2">
      <c r="A35" s="10">
        <v>23200000</v>
      </c>
      <c r="B35" s="10" t="s">
        <v>38</v>
      </c>
      <c r="C35" s="11">
        <v>404721.24329749867</v>
      </c>
      <c r="D35" s="11">
        <v>161.595</v>
      </c>
      <c r="E35" s="11">
        <v>144.87899999999999</v>
      </c>
      <c r="F35" s="13">
        <f>SUMIF('OD 12-24'!A:A,A35,'OD 12-24'!D:D)</f>
        <v>0</v>
      </c>
      <c r="G35" s="13">
        <f>SUMIF('OD 12-24'!A:A,A35,'OD 12-24'!E:E)</f>
        <v>0</v>
      </c>
      <c r="H35" s="14">
        <f t="shared" si="0"/>
        <v>16.716000000000008</v>
      </c>
      <c r="I35" s="14">
        <f t="shared" si="1"/>
        <v>404737.95929749869</v>
      </c>
      <c r="J35" s="8" t="s">
        <v>25</v>
      </c>
      <c r="K35" s="8"/>
      <c r="M35" s="339"/>
      <c r="N35" s="315"/>
    </row>
    <row r="36" spans="1:14" s="9" customFormat="1" ht="11.25" customHeight="1" x14ac:dyDescent="0.2">
      <c r="A36" s="10">
        <v>23220000</v>
      </c>
      <c r="B36" s="10" t="s">
        <v>39</v>
      </c>
      <c r="C36" s="11">
        <v>0</v>
      </c>
      <c r="D36" s="11">
        <v>0</v>
      </c>
      <c r="E36" s="11">
        <v>0</v>
      </c>
      <c r="F36" s="13">
        <f>SUMIF('OD 12-24'!A:A,A36,'OD 12-24'!D:D)</f>
        <v>0</v>
      </c>
      <c r="G36" s="13">
        <f>SUMIF('OD 12-24'!A:A,A36,'OD 12-24'!E:E)</f>
        <v>0</v>
      </c>
      <c r="H36" s="14">
        <f t="shared" si="0"/>
        <v>0</v>
      </c>
      <c r="I36" s="14">
        <f t="shared" si="1"/>
        <v>0</v>
      </c>
      <c r="J36" s="8" t="s">
        <v>25</v>
      </c>
      <c r="K36" s="8"/>
      <c r="M36" s="339"/>
      <c r="N36" s="315"/>
    </row>
    <row r="37" spans="1:14" s="9" customFormat="1" ht="11.25" customHeight="1" x14ac:dyDescent="0.2">
      <c r="A37" s="10">
        <v>23225000</v>
      </c>
      <c r="B37" s="10" t="s">
        <v>281</v>
      </c>
      <c r="C37" s="11">
        <v>0</v>
      </c>
      <c r="D37" s="11">
        <v>0</v>
      </c>
      <c r="E37" s="11">
        <v>0</v>
      </c>
      <c r="F37" s="13">
        <f>SUMIF('OD 12-24'!A:A,A37,'OD 12-24'!D:D)</f>
        <v>0</v>
      </c>
      <c r="G37" s="13">
        <f>SUMIF('OD 12-24'!A:A,A37,'OD 12-24'!E:E)</f>
        <v>0</v>
      </c>
      <c r="H37" s="14">
        <f t="shared" si="0"/>
        <v>0</v>
      </c>
      <c r="I37" s="14">
        <f t="shared" si="1"/>
        <v>0</v>
      </c>
      <c r="J37" s="8"/>
      <c r="K37" s="8"/>
      <c r="M37" s="339"/>
      <c r="N37" s="315"/>
    </row>
    <row r="38" spans="1:14" s="9" customFormat="1" ht="11.25" customHeight="1" x14ac:dyDescent="0.2">
      <c r="A38" s="10">
        <v>23231000</v>
      </c>
      <c r="B38" s="10" t="s">
        <v>282</v>
      </c>
      <c r="C38" s="11">
        <v>0</v>
      </c>
      <c r="D38" s="11">
        <v>0</v>
      </c>
      <c r="E38" s="11">
        <v>0</v>
      </c>
      <c r="F38" s="13">
        <f>SUMIF('OD 12-24'!A:A,A38,'OD 12-24'!D:D)</f>
        <v>0</v>
      </c>
      <c r="G38" s="13">
        <f>SUMIF('OD 12-24'!A:A,A38,'OD 12-24'!E:E)</f>
        <v>0</v>
      </c>
      <c r="H38" s="14">
        <f t="shared" si="0"/>
        <v>0</v>
      </c>
      <c r="I38" s="14">
        <f t="shared" si="1"/>
        <v>0</v>
      </c>
      <c r="J38" s="8"/>
      <c r="K38" s="8"/>
      <c r="M38" s="339"/>
      <c r="N38" s="315"/>
    </row>
    <row r="39" spans="1:14" s="9" customFormat="1" ht="11.25" customHeight="1" x14ac:dyDescent="0.2">
      <c r="A39" s="10">
        <v>23237000</v>
      </c>
      <c r="B39" s="10" t="s">
        <v>283</v>
      </c>
      <c r="C39" s="11">
        <v>0</v>
      </c>
      <c r="D39" s="11">
        <v>0</v>
      </c>
      <c r="E39" s="11">
        <v>0</v>
      </c>
      <c r="F39" s="13">
        <f>SUMIF('OD 12-24'!A:A,A39,'OD 12-24'!D:D)</f>
        <v>0</v>
      </c>
      <c r="G39" s="13">
        <f>SUMIF('OD 12-24'!A:A,A39,'OD 12-24'!E:E)</f>
        <v>0</v>
      </c>
      <c r="H39" s="14">
        <f t="shared" si="0"/>
        <v>0</v>
      </c>
      <c r="I39" s="14">
        <f t="shared" si="1"/>
        <v>0</v>
      </c>
      <c r="J39" s="8"/>
      <c r="K39" s="8"/>
      <c r="M39" s="339"/>
      <c r="N39" s="315"/>
    </row>
    <row r="40" spans="1:14" s="9" customFormat="1" ht="11.25" customHeight="1" x14ac:dyDescent="0.2">
      <c r="A40" s="10">
        <v>23250000</v>
      </c>
      <c r="B40" s="10" t="s">
        <v>284</v>
      </c>
      <c r="C40" s="11">
        <v>0</v>
      </c>
      <c r="D40" s="11">
        <v>0</v>
      </c>
      <c r="E40" s="11">
        <v>0</v>
      </c>
      <c r="F40" s="13">
        <f>SUMIF('OD 12-24'!A:A,A40,'OD 12-24'!D:D)</f>
        <v>0</v>
      </c>
      <c r="G40" s="13">
        <f>SUMIF('OD 12-24'!A:A,A40,'OD 12-24'!E:E)</f>
        <v>0</v>
      </c>
      <c r="H40" s="14">
        <f t="shared" si="0"/>
        <v>0</v>
      </c>
      <c r="I40" s="14">
        <f t="shared" si="1"/>
        <v>0</v>
      </c>
      <c r="J40" s="8"/>
      <c r="K40" s="8"/>
      <c r="M40" s="339"/>
      <c r="N40" s="315"/>
    </row>
    <row r="41" spans="1:14" s="9" customFormat="1" ht="11.25" customHeight="1" x14ac:dyDescent="0.2">
      <c r="A41" s="10">
        <v>23800000</v>
      </c>
      <c r="B41" s="10" t="s">
        <v>285</v>
      </c>
      <c r="C41" s="11">
        <v>0</v>
      </c>
      <c r="D41" s="11">
        <v>0</v>
      </c>
      <c r="E41" s="11">
        <v>0</v>
      </c>
      <c r="F41" s="13">
        <f>SUMIF('OD 12-24'!A:A,A41,'OD 12-24'!D:D)</f>
        <v>0</v>
      </c>
      <c r="G41" s="13">
        <f>SUMIF('OD 12-24'!A:A,A41,'OD 12-24'!E:E)</f>
        <v>0</v>
      </c>
      <c r="H41" s="14">
        <f t="shared" si="0"/>
        <v>0</v>
      </c>
      <c r="I41" s="14">
        <f t="shared" si="1"/>
        <v>0</v>
      </c>
      <c r="J41" s="8"/>
      <c r="K41" s="8"/>
      <c r="M41" s="339"/>
      <c r="N41" s="315"/>
    </row>
    <row r="42" spans="1:14" s="9" customFormat="1" ht="11.25" customHeight="1" x14ac:dyDescent="0.2">
      <c r="A42" s="10">
        <v>24000000</v>
      </c>
      <c r="B42" s="10" t="s">
        <v>40</v>
      </c>
      <c r="C42" s="11">
        <v>770033.75899999996</v>
      </c>
      <c r="D42" s="11">
        <v>502070.6</v>
      </c>
      <c r="E42" s="11">
        <v>94339.096999999994</v>
      </c>
      <c r="F42" s="13">
        <f>SUMIF('OD 12-24'!A:A,A42,'OD 12-24'!D:D)</f>
        <v>0</v>
      </c>
      <c r="G42" s="13">
        <f>SUMIF('OD 12-24'!A:A,A42,'OD 12-24'!E:E)</f>
        <v>0</v>
      </c>
      <c r="H42" s="14">
        <f t="shared" si="0"/>
        <v>407731.50299999997</v>
      </c>
      <c r="I42" s="14">
        <f t="shared" si="1"/>
        <v>1177765.2619999999</v>
      </c>
      <c r="J42" s="8" t="s">
        <v>25</v>
      </c>
      <c r="K42" s="8"/>
      <c r="M42" s="339"/>
      <c r="N42" s="315"/>
    </row>
    <row r="43" spans="1:14" s="9" customFormat="1" ht="11.25" customHeight="1" x14ac:dyDescent="0.2">
      <c r="A43" s="10">
        <v>25100000</v>
      </c>
      <c r="B43" s="10" t="s">
        <v>286</v>
      </c>
      <c r="C43" s="11">
        <v>0</v>
      </c>
      <c r="D43" s="11">
        <v>0</v>
      </c>
      <c r="E43" s="11">
        <v>0</v>
      </c>
      <c r="F43" s="13">
        <f>SUMIF('OD 12-24'!A:A,A43,'OD 12-24'!D:D)</f>
        <v>0</v>
      </c>
      <c r="G43" s="13">
        <f>SUMIF('OD 12-24'!A:A,A43,'OD 12-24'!E:E)</f>
        <v>0</v>
      </c>
      <c r="H43" s="14">
        <f t="shared" si="0"/>
        <v>0</v>
      </c>
      <c r="I43" s="14">
        <f t="shared" si="1"/>
        <v>0</v>
      </c>
      <c r="J43" s="8"/>
      <c r="K43" s="8"/>
      <c r="M43" s="339"/>
      <c r="N43" s="315"/>
    </row>
    <row r="44" spans="1:14" s="9" customFormat="1" ht="11.25" customHeight="1" x14ac:dyDescent="0.2">
      <c r="A44" s="10">
        <v>25110000</v>
      </c>
      <c r="B44" s="10" t="s">
        <v>41</v>
      </c>
      <c r="C44" s="11">
        <v>266820</v>
      </c>
      <c r="D44" s="11">
        <v>0</v>
      </c>
      <c r="E44" s="11">
        <v>0</v>
      </c>
      <c r="F44" s="13">
        <f>SUMIF('OD 12-24'!A:A,A44,'OD 12-24'!D:D)</f>
        <v>0</v>
      </c>
      <c r="G44" s="13">
        <f>SUMIF('OD 12-24'!A:A,A44,'OD 12-24'!E:E)</f>
        <v>0</v>
      </c>
      <c r="H44" s="14">
        <f t="shared" si="0"/>
        <v>0</v>
      </c>
      <c r="I44" s="14">
        <f t="shared" si="1"/>
        <v>266820</v>
      </c>
      <c r="J44" s="8" t="s">
        <v>42</v>
      </c>
      <c r="K44" s="8"/>
      <c r="M44" s="339"/>
      <c r="N44" s="315"/>
    </row>
    <row r="45" spans="1:14" s="9" customFormat="1" ht="11.25" customHeight="1" x14ac:dyDescent="0.2">
      <c r="A45" s="10">
        <v>25120000</v>
      </c>
      <c r="B45" s="10" t="s">
        <v>287</v>
      </c>
      <c r="C45" s="11">
        <v>512700</v>
      </c>
      <c r="D45" s="11">
        <v>0</v>
      </c>
      <c r="E45" s="11">
        <v>0</v>
      </c>
      <c r="F45" s="13">
        <f>SUMIF('OD 12-24'!A:A,A45,'OD 12-24'!D:D)</f>
        <v>0</v>
      </c>
      <c r="G45" s="13">
        <f>SUMIF('OD 12-24'!A:A,A45,'OD 12-24'!E:E)</f>
        <v>0</v>
      </c>
      <c r="H45" s="14">
        <f t="shared" si="0"/>
        <v>0</v>
      </c>
      <c r="I45" s="14">
        <f t="shared" si="1"/>
        <v>512700</v>
      </c>
      <c r="J45" s="8" t="s">
        <v>42</v>
      </c>
      <c r="K45" s="8"/>
      <c r="M45" s="339"/>
      <c r="N45" s="315"/>
    </row>
    <row r="46" spans="1:14" s="9" customFormat="1" ht="11.25" customHeight="1" x14ac:dyDescent="0.2">
      <c r="A46" s="10">
        <v>25130000</v>
      </c>
      <c r="B46" s="10" t="s">
        <v>43</v>
      </c>
      <c r="C46" s="11">
        <v>677000</v>
      </c>
      <c r="D46" s="11">
        <v>0</v>
      </c>
      <c r="E46" s="11">
        <v>0</v>
      </c>
      <c r="F46" s="13">
        <f>SUMIF('OD 12-24'!A:A,A46,'OD 12-24'!D:D)</f>
        <v>0</v>
      </c>
      <c r="G46" s="13">
        <f>SUMIF('OD 12-24'!A:A,A46,'OD 12-24'!E:E)</f>
        <v>0</v>
      </c>
      <c r="H46" s="14">
        <f t="shared" si="0"/>
        <v>0</v>
      </c>
      <c r="I46" s="14">
        <f t="shared" si="1"/>
        <v>677000</v>
      </c>
      <c r="J46" s="8" t="s">
        <v>42</v>
      </c>
      <c r="K46" s="8"/>
      <c r="M46" s="339"/>
      <c r="N46" s="315"/>
    </row>
    <row r="47" spans="1:14" s="9" customFormat="1" ht="11.25" customHeight="1" x14ac:dyDescent="0.2">
      <c r="A47" s="10">
        <v>25140000</v>
      </c>
      <c r="B47" s="10" t="s">
        <v>44</v>
      </c>
      <c r="C47" s="11">
        <v>3150000</v>
      </c>
      <c r="D47" s="11">
        <v>0</v>
      </c>
      <c r="E47" s="11">
        <v>0</v>
      </c>
      <c r="F47" s="13">
        <f>SUMIF('OD 12-24'!A:A,A47,'OD 12-24'!D:D)</f>
        <v>0</v>
      </c>
      <c r="G47" s="13">
        <f>SUMIF('OD 12-24'!A:A,A47,'OD 12-24'!E:E)</f>
        <v>0</v>
      </c>
      <c r="H47" s="14">
        <f t="shared" si="0"/>
        <v>0</v>
      </c>
      <c r="I47" s="14">
        <f t="shared" si="1"/>
        <v>3150000</v>
      </c>
      <c r="J47" s="8" t="s">
        <v>42</v>
      </c>
      <c r="K47" s="8"/>
      <c r="M47" s="339"/>
      <c r="N47" s="315"/>
    </row>
    <row r="48" spans="1:14" s="9" customFormat="1" ht="11.25" customHeight="1" x14ac:dyDescent="0.2">
      <c r="A48" s="10">
        <v>25150000</v>
      </c>
      <c r="B48" s="10" t="s">
        <v>387</v>
      </c>
      <c r="C48" s="11">
        <v>319680</v>
      </c>
      <c r="D48" s="11">
        <v>0</v>
      </c>
      <c r="E48" s="11">
        <v>0</v>
      </c>
      <c r="F48" s="13">
        <f>SUMIF('OD 12-24'!A:A,A48,'OD 12-24'!D:D)</f>
        <v>0</v>
      </c>
      <c r="G48" s="13">
        <f>SUMIF('OD 12-24'!A:A,A48,'OD 12-24'!E:E)</f>
        <v>0</v>
      </c>
      <c r="H48" s="14">
        <f t="shared" si="0"/>
        <v>0</v>
      </c>
      <c r="I48" s="14">
        <f t="shared" si="1"/>
        <v>319680</v>
      </c>
      <c r="J48" s="8" t="s">
        <v>42</v>
      </c>
      <c r="K48" s="8"/>
      <c r="M48" s="339"/>
      <c r="N48" s="315"/>
    </row>
    <row r="49" spans="1:14" s="9" customFormat="1" ht="11.25" customHeight="1" x14ac:dyDescent="0.2">
      <c r="A49" s="10">
        <v>25700000</v>
      </c>
      <c r="B49" s="10" t="s">
        <v>288</v>
      </c>
      <c r="C49" s="11">
        <v>0</v>
      </c>
      <c r="D49" s="11">
        <v>0</v>
      </c>
      <c r="E49" s="11">
        <v>0</v>
      </c>
      <c r="F49" s="13">
        <f>SUMIF('OD 12-24'!A:A,A49,'OD 12-24'!D:D)</f>
        <v>0</v>
      </c>
      <c r="G49" s="13">
        <f>SUMIF('OD 12-24'!A:A,A49,'OD 12-24'!E:E)</f>
        <v>0</v>
      </c>
      <c r="H49" s="14">
        <f t="shared" si="0"/>
        <v>0</v>
      </c>
      <c r="I49" s="14">
        <f t="shared" si="1"/>
        <v>0</v>
      </c>
      <c r="J49" s="8" t="s">
        <v>42</v>
      </c>
      <c r="K49" s="8"/>
      <c r="M49" s="339"/>
      <c r="N49" s="315"/>
    </row>
    <row r="50" spans="1:14" s="9" customFormat="1" ht="11.25" customHeight="1" x14ac:dyDescent="0.2">
      <c r="A50" s="10">
        <v>25810000</v>
      </c>
      <c r="B50" s="10" t="s">
        <v>289</v>
      </c>
      <c r="C50" s="11">
        <v>0</v>
      </c>
      <c r="D50" s="11">
        <v>0</v>
      </c>
      <c r="E50" s="11">
        <v>0</v>
      </c>
      <c r="F50" s="13">
        <f>SUMIF('OD 12-24'!A:A,A50,'OD 12-24'!D:D)</f>
        <v>0</v>
      </c>
      <c r="G50" s="13">
        <f>SUMIF('OD 12-24'!A:A,A50,'OD 12-24'!E:E)</f>
        <v>0</v>
      </c>
      <c r="H50" s="14">
        <f t="shared" si="0"/>
        <v>0</v>
      </c>
      <c r="I50" s="14">
        <f t="shared" si="1"/>
        <v>0</v>
      </c>
      <c r="J50" s="8"/>
      <c r="K50" s="8"/>
      <c r="M50" s="339"/>
      <c r="N50" s="315"/>
    </row>
    <row r="51" spans="1:14" s="9" customFormat="1" ht="11.25" customHeight="1" x14ac:dyDescent="0.2">
      <c r="A51" s="10">
        <v>26400000</v>
      </c>
      <c r="B51" s="10" t="s">
        <v>290</v>
      </c>
      <c r="C51" s="11">
        <v>0</v>
      </c>
      <c r="D51" s="11">
        <v>100</v>
      </c>
      <c r="E51" s="11">
        <v>100</v>
      </c>
      <c r="F51" s="13">
        <f>SUMIF('OD 12-24'!A:A,A51,'OD 12-24'!D:D)</f>
        <v>0</v>
      </c>
      <c r="G51" s="13">
        <f>SUMIF('OD 12-24'!A:A,A51,'OD 12-24'!E:E)</f>
        <v>0</v>
      </c>
      <c r="H51" s="14">
        <f t="shared" si="0"/>
        <v>0</v>
      </c>
      <c r="I51" s="14">
        <f t="shared" si="1"/>
        <v>0</v>
      </c>
      <c r="J51" s="8"/>
      <c r="K51" s="8"/>
      <c r="M51" s="339"/>
      <c r="N51" s="315"/>
    </row>
    <row r="52" spans="1:14" s="9" customFormat="1" ht="11.25" customHeight="1" x14ac:dyDescent="0.2">
      <c r="A52" s="10">
        <v>26430000</v>
      </c>
      <c r="B52" s="10" t="s">
        <v>291</v>
      </c>
      <c r="C52" s="11">
        <v>0</v>
      </c>
      <c r="D52" s="11">
        <v>141500</v>
      </c>
      <c r="E52" s="11">
        <v>141500</v>
      </c>
      <c r="F52" s="13">
        <f>SUMIF('OD 12-24'!A:A,A52,'OD 12-24'!D:D)</f>
        <v>0</v>
      </c>
      <c r="G52" s="13">
        <f>SUMIF('OD 12-24'!A:A,A52,'OD 12-24'!E:E)</f>
        <v>0</v>
      </c>
      <c r="H52" s="14">
        <f t="shared" si="0"/>
        <v>0</v>
      </c>
      <c r="I52" s="14">
        <f t="shared" si="1"/>
        <v>0</v>
      </c>
      <c r="J52" s="8"/>
      <c r="K52" s="8"/>
      <c r="M52" s="339"/>
      <c r="N52" s="315"/>
    </row>
    <row r="53" spans="1:14" s="9" customFormat="1" ht="11.25" customHeight="1" x14ac:dyDescent="0.2">
      <c r="A53" s="10">
        <v>26500000</v>
      </c>
      <c r="B53" s="10" t="s">
        <v>45</v>
      </c>
      <c r="C53" s="11">
        <v>0</v>
      </c>
      <c r="D53" s="11">
        <v>0</v>
      </c>
      <c r="E53" s="11">
        <v>0</v>
      </c>
      <c r="F53" s="13">
        <f>SUMIF('OD 12-24'!A:A,A53,'OD 12-24'!D:D)</f>
        <v>0</v>
      </c>
      <c r="G53" s="13">
        <f>SUMIF('OD 12-24'!A:A,A53,'OD 12-24'!E:E)</f>
        <v>0</v>
      </c>
      <c r="H53" s="14">
        <f t="shared" si="0"/>
        <v>0</v>
      </c>
      <c r="I53" s="14">
        <f t="shared" si="1"/>
        <v>0</v>
      </c>
      <c r="J53" s="8" t="s">
        <v>46</v>
      </c>
      <c r="K53" s="8"/>
      <c r="M53" s="339"/>
      <c r="N53" s="315"/>
    </row>
    <row r="54" spans="1:14" s="9" customFormat="1" ht="11.25" customHeight="1" x14ac:dyDescent="0.2">
      <c r="A54" s="10">
        <v>26510000</v>
      </c>
      <c r="B54" s="10" t="s">
        <v>292</v>
      </c>
      <c r="C54" s="11">
        <v>0</v>
      </c>
      <c r="D54" s="11">
        <v>0</v>
      </c>
      <c r="E54" s="11">
        <v>0</v>
      </c>
      <c r="F54" s="13">
        <f>SUMIF('OD 12-24'!A:A,A54,'OD 12-24'!D:D)</f>
        <v>0</v>
      </c>
      <c r="G54" s="13">
        <f>SUMIF('OD 12-24'!A:A,A54,'OD 12-24'!E:E)</f>
        <v>0</v>
      </c>
      <c r="H54" s="14">
        <f t="shared" si="0"/>
        <v>0</v>
      </c>
      <c r="I54" s="14">
        <f t="shared" si="1"/>
        <v>0</v>
      </c>
      <c r="J54" s="8"/>
      <c r="K54" s="8"/>
      <c r="M54" s="339"/>
      <c r="N54" s="315"/>
    </row>
    <row r="55" spans="1:14" s="9" customFormat="1" ht="11.25" customHeight="1" x14ac:dyDescent="0.2">
      <c r="A55" s="10">
        <v>26550000</v>
      </c>
      <c r="B55" s="10" t="s">
        <v>293</v>
      </c>
      <c r="C55" s="11">
        <v>0</v>
      </c>
      <c r="D55" s="11">
        <v>0</v>
      </c>
      <c r="E55" s="11">
        <v>0</v>
      </c>
      <c r="F55" s="13">
        <f>SUMIF('OD 12-24'!A:A,A55,'OD 12-24'!D:D)</f>
        <v>0</v>
      </c>
      <c r="G55" s="13">
        <f>SUMIF('OD 12-24'!A:A,A55,'OD 12-24'!E:E)</f>
        <v>0</v>
      </c>
      <c r="H55" s="14">
        <f t="shared" si="0"/>
        <v>0</v>
      </c>
      <c r="I55" s="14">
        <f t="shared" si="1"/>
        <v>0</v>
      </c>
      <c r="J55" s="8"/>
      <c r="K55" s="8"/>
      <c r="M55" s="339"/>
      <c r="N55" s="315"/>
    </row>
    <row r="56" spans="1:14" s="9" customFormat="1" ht="11.25" customHeight="1" x14ac:dyDescent="0.2">
      <c r="A56" s="10">
        <v>26580000</v>
      </c>
      <c r="B56" s="10" t="s">
        <v>23</v>
      </c>
      <c r="C56" s="11">
        <v>5771.2</v>
      </c>
      <c r="D56" s="11">
        <v>0</v>
      </c>
      <c r="E56" s="11">
        <v>0</v>
      </c>
      <c r="F56" s="13">
        <f>SUMIF('OD 12-24'!A:A,A56,'OD 12-24'!D:D)</f>
        <v>0</v>
      </c>
      <c r="G56" s="13">
        <f>SUMIF('OD 12-24'!A:A,A56,'OD 12-24'!E:E)</f>
        <v>0</v>
      </c>
      <c r="H56" s="14">
        <f t="shared" si="0"/>
        <v>0</v>
      </c>
      <c r="I56" s="14">
        <f t="shared" si="1"/>
        <v>5771.2</v>
      </c>
      <c r="J56" s="8" t="s">
        <v>46</v>
      </c>
      <c r="K56" s="8"/>
      <c r="M56" s="339"/>
      <c r="N56" s="315"/>
    </row>
    <row r="57" spans="1:14" s="9" customFormat="1" ht="11.25" customHeight="1" x14ac:dyDescent="0.2">
      <c r="A57" s="10">
        <v>27100000</v>
      </c>
      <c r="B57" s="10" t="s">
        <v>294</v>
      </c>
      <c r="C57" s="11">
        <v>0</v>
      </c>
      <c r="D57" s="11">
        <v>0</v>
      </c>
      <c r="E57" s="11">
        <v>0</v>
      </c>
      <c r="F57" s="13">
        <f>SUMIF('OD 12-24'!A:A,A57,'OD 12-24'!D:D)</f>
        <v>0</v>
      </c>
      <c r="G57" s="13">
        <f>SUMIF('OD 12-24'!A:A,A57,'OD 12-24'!E:E)</f>
        <v>0</v>
      </c>
      <c r="H57" s="14">
        <f t="shared" si="0"/>
        <v>0</v>
      </c>
      <c r="I57" s="14">
        <f t="shared" si="1"/>
        <v>0</v>
      </c>
      <c r="J57" s="8"/>
      <c r="K57" s="8"/>
      <c r="M57" s="339"/>
      <c r="N57" s="315"/>
    </row>
    <row r="58" spans="1:14" s="9" customFormat="1" ht="11.25" customHeight="1" x14ac:dyDescent="0.2">
      <c r="A58" s="10">
        <v>28100000</v>
      </c>
      <c r="B58" s="10" t="s">
        <v>295</v>
      </c>
      <c r="C58" s="11">
        <v>0</v>
      </c>
      <c r="D58" s="11">
        <v>0</v>
      </c>
      <c r="E58" s="11">
        <v>0</v>
      </c>
      <c r="F58" s="13">
        <f>SUMIF('OD 12-24'!A:A,A58,'OD 12-24'!D:D)</f>
        <v>0</v>
      </c>
      <c r="G58" s="13">
        <f>SUMIF('OD 12-24'!A:A,A58,'OD 12-24'!E:E)</f>
        <v>0</v>
      </c>
      <c r="H58" s="14">
        <f t="shared" si="0"/>
        <v>0</v>
      </c>
      <c r="I58" s="14">
        <f t="shared" si="1"/>
        <v>0</v>
      </c>
      <c r="J58" s="8"/>
      <c r="K58" s="8"/>
      <c r="M58" s="339"/>
      <c r="N58" s="315"/>
    </row>
    <row r="59" spans="1:14" s="9" customFormat="1" ht="11.25" customHeight="1" x14ac:dyDescent="0.2">
      <c r="A59" s="10">
        <v>28110000</v>
      </c>
      <c r="B59" s="10" t="s">
        <v>296</v>
      </c>
      <c r="C59" s="11">
        <v>0</v>
      </c>
      <c r="D59" s="11">
        <v>0</v>
      </c>
      <c r="E59" s="11">
        <v>0</v>
      </c>
      <c r="F59" s="13">
        <f>SUMIF('OD 12-24'!A:A,A59,'OD 12-24'!D:D)</f>
        <v>0</v>
      </c>
      <c r="G59" s="13">
        <f>SUMIF('OD 12-24'!A:A,A59,'OD 12-24'!E:E)</f>
        <v>0</v>
      </c>
      <c r="H59" s="14">
        <f t="shared" si="0"/>
        <v>0</v>
      </c>
      <c r="I59" s="14">
        <f t="shared" si="1"/>
        <v>0</v>
      </c>
      <c r="J59" s="8"/>
      <c r="K59" s="8"/>
      <c r="M59" s="339"/>
      <c r="N59" s="315"/>
    </row>
    <row r="60" spans="1:14" s="9" customFormat="1" ht="11.25" customHeight="1" x14ac:dyDescent="0.2">
      <c r="A60" s="10">
        <v>28130000</v>
      </c>
      <c r="B60" s="10" t="s">
        <v>8979</v>
      </c>
      <c r="C60" s="11">
        <v>-75004.895999999993</v>
      </c>
      <c r="D60" s="11">
        <v>0</v>
      </c>
      <c r="E60" s="11">
        <v>0</v>
      </c>
      <c r="F60" s="13">
        <f>SUMIF('OD 12-24'!A:A,A60,'OD 12-24'!D:D)</f>
        <v>81494.475999999995</v>
      </c>
      <c r="G60" s="13">
        <f>SUMIF('OD 12-24'!A:A,A60,'OD 12-24'!E:E)</f>
        <v>94805.332999999999</v>
      </c>
      <c r="H60" s="14">
        <f t="shared" si="0"/>
        <v>-13310.857000000004</v>
      </c>
      <c r="I60" s="14">
        <f t="shared" si="1"/>
        <v>-88315.752999999997</v>
      </c>
      <c r="J60" s="8" t="s">
        <v>47</v>
      </c>
      <c r="K60" s="8"/>
      <c r="M60" s="339"/>
      <c r="N60" s="315"/>
    </row>
    <row r="61" spans="1:14" s="9" customFormat="1" ht="11.25" customHeight="1" x14ac:dyDescent="0.2">
      <c r="A61" s="10">
        <v>28216000</v>
      </c>
      <c r="B61" s="10" t="s">
        <v>48</v>
      </c>
      <c r="C61" s="11">
        <v>-148352.71299999999</v>
      </c>
      <c r="D61" s="11">
        <v>0</v>
      </c>
      <c r="E61" s="11">
        <v>0</v>
      </c>
      <c r="F61" s="13">
        <f>SUMIF('OD 12-24'!A:A,A61,'OD 12-24'!D:D)</f>
        <v>15436.151</v>
      </c>
      <c r="G61" s="13">
        <f>SUMIF('OD 12-24'!A:A,A61,'OD 12-24'!E:E)</f>
        <v>18257.481</v>
      </c>
      <c r="H61" s="14">
        <f t="shared" si="0"/>
        <v>-2821.33</v>
      </c>
      <c r="I61" s="14">
        <f t="shared" si="1"/>
        <v>-151174.04299999998</v>
      </c>
      <c r="J61" s="8" t="s">
        <v>47</v>
      </c>
      <c r="K61" s="8"/>
      <c r="M61" s="339"/>
      <c r="N61" s="315"/>
    </row>
    <row r="62" spans="1:14" s="9" customFormat="1" ht="11.25" customHeight="1" x14ac:dyDescent="0.2">
      <c r="A62" s="10">
        <v>28220000</v>
      </c>
      <c r="B62" s="10" t="s">
        <v>49</v>
      </c>
      <c r="C62" s="11">
        <v>-3729152.5419999999</v>
      </c>
      <c r="D62" s="11">
        <v>0</v>
      </c>
      <c r="E62" s="11">
        <v>0</v>
      </c>
      <c r="F62" s="13">
        <f>SUMIF('OD 12-24'!A:A,A62,'OD 12-24'!D:D)</f>
        <v>2517134.5720000002</v>
      </c>
      <c r="G62" s="13">
        <f>SUMIF('OD 12-24'!A:A,A62,'OD 12-24'!E:E)</f>
        <v>2977201.7319999998</v>
      </c>
      <c r="H62" s="14">
        <f t="shared" si="0"/>
        <v>-460067.15999999968</v>
      </c>
      <c r="I62" s="14">
        <f t="shared" si="1"/>
        <v>-4189219.7019999996</v>
      </c>
      <c r="J62" s="8" t="s">
        <v>47</v>
      </c>
      <c r="K62" s="8"/>
      <c r="M62" s="339"/>
      <c r="N62" s="315"/>
    </row>
    <row r="63" spans="1:14" s="9" customFormat="1" ht="11.25" customHeight="1" x14ac:dyDescent="0.2">
      <c r="A63" s="10">
        <v>28225000</v>
      </c>
      <c r="B63" s="10" t="s">
        <v>50</v>
      </c>
      <c r="C63" s="11">
        <v>-271826.14399999997</v>
      </c>
      <c r="D63" s="11">
        <v>0</v>
      </c>
      <c r="E63" s="11">
        <v>0</v>
      </c>
      <c r="F63" s="13">
        <f>SUMIF('OD 12-24'!A:A,A63,'OD 12-24'!D:D)</f>
        <v>425762.98800000001</v>
      </c>
      <c r="G63" s="13">
        <f>SUMIF('OD 12-24'!A:A,A63,'OD 12-24'!E:E)</f>
        <v>499995.978</v>
      </c>
      <c r="H63" s="14">
        <f t="shared" si="0"/>
        <v>-74232.989999999991</v>
      </c>
      <c r="I63" s="14">
        <f t="shared" si="1"/>
        <v>-346059.13399999996</v>
      </c>
      <c r="J63" s="8" t="s">
        <v>47</v>
      </c>
      <c r="K63" s="8"/>
      <c r="M63" s="339"/>
      <c r="N63" s="315"/>
    </row>
    <row r="64" spans="1:14" s="9" customFormat="1" ht="11.25" customHeight="1" x14ac:dyDescent="0.2">
      <c r="A64" s="10">
        <v>28230000</v>
      </c>
      <c r="B64" s="10" t="s">
        <v>263</v>
      </c>
      <c r="C64" s="11">
        <v>-43130.395000000004</v>
      </c>
      <c r="D64" s="11">
        <v>0</v>
      </c>
      <c r="E64" s="11">
        <v>0</v>
      </c>
      <c r="F64" s="13">
        <f>SUMIF('OD 12-24'!A:A,A64,'OD 12-24'!D:D)</f>
        <v>154557.95600000001</v>
      </c>
      <c r="G64" s="13">
        <f>SUMIF('OD 12-24'!A:A,A64,'OD 12-24'!E:E)</f>
        <v>184781.35699999999</v>
      </c>
      <c r="H64" s="14">
        <f t="shared" si="0"/>
        <v>-30223.400999999983</v>
      </c>
      <c r="I64" s="14">
        <f t="shared" si="1"/>
        <v>-73353.795999999988</v>
      </c>
      <c r="J64" s="8" t="s">
        <v>47</v>
      </c>
      <c r="K64" s="8"/>
      <c r="M64" s="339"/>
      <c r="N64" s="315"/>
    </row>
    <row r="65" spans="1:14" s="9" customFormat="1" ht="11.25" customHeight="1" x14ac:dyDescent="0.2">
      <c r="A65" s="10">
        <v>28231000</v>
      </c>
      <c r="B65" s="10" t="s">
        <v>402</v>
      </c>
      <c r="C65" s="11">
        <v>0</v>
      </c>
      <c r="D65" s="11">
        <v>0</v>
      </c>
      <c r="E65" s="11">
        <v>0</v>
      </c>
      <c r="F65" s="13">
        <f>SUMIF('OD 12-24'!A:A,A65,'OD 12-24'!D:D)</f>
        <v>11271.21</v>
      </c>
      <c r="G65" s="13">
        <f>SUMIF('OD 12-24'!A:A,A65,'OD 12-24'!E:E)</f>
        <v>15443.87</v>
      </c>
      <c r="H65" s="14">
        <f t="shared" si="0"/>
        <v>-4172.6600000000017</v>
      </c>
      <c r="I65" s="14">
        <f t="shared" si="1"/>
        <v>-4172.6600000000017</v>
      </c>
      <c r="J65" s="8" t="s">
        <v>47</v>
      </c>
      <c r="K65" s="8"/>
      <c r="M65" s="339"/>
      <c r="N65" s="315"/>
    </row>
    <row r="66" spans="1:14" s="9" customFormat="1" ht="11.25" customHeight="1" x14ac:dyDescent="0.2">
      <c r="A66" s="10">
        <v>28234000</v>
      </c>
      <c r="B66" s="10" t="s">
        <v>51</v>
      </c>
      <c r="C66" s="11">
        <v>-15867226.817000002</v>
      </c>
      <c r="D66" s="11">
        <v>308083.82999999996</v>
      </c>
      <c r="E66" s="11">
        <v>0</v>
      </c>
      <c r="F66" s="13">
        <f>SUMIF('OD 12-24'!A:A,A66,'OD 12-24'!D:D)</f>
        <v>8929374.1030000001</v>
      </c>
      <c r="G66" s="13">
        <f>SUMIF('OD 12-24'!A:A,A66,'OD 12-24'!E:E)</f>
        <v>10564651.658</v>
      </c>
      <c r="H66" s="14">
        <f t="shared" si="0"/>
        <v>-1327193.7249999996</v>
      </c>
      <c r="I66" s="14">
        <f t="shared" si="1"/>
        <v>-17194420.542000003</v>
      </c>
      <c r="J66" s="8" t="s">
        <v>47</v>
      </c>
      <c r="K66" s="8"/>
      <c r="M66" s="339"/>
      <c r="N66" s="315"/>
    </row>
    <row r="67" spans="1:14" s="9" customFormat="1" ht="11.25" customHeight="1" x14ac:dyDescent="0.2">
      <c r="A67" s="10">
        <v>28235000</v>
      </c>
      <c r="B67" s="10" t="s">
        <v>52</v>
      </c>
      <c r="C67" s="11">
        <v>-355370.76600000006</v>
      </c>
      <c r="D67" s="11">
        <v>0</v>
      </c>
      <c r="E67" s="11">
        <v>0</v>
      </c>
      <c r="F67" s="13">
        <f>SUMIF('OD 12-24'!A:A,A67,'OD 12-24'!D:D)</f>
        <v>321253.58399999997</v>
      </c>
      <c r="G67" s="13">
        <f>SUMIF('OD 12-24'!A:A,A67,'OD 12-24'!E:E)</f>
        <v>379736.15899999999</v>
      </c>
      <c r="H67" s="14">
        <f t="shared" ref="H67:H130" si="2">+D67+F67-E67-G67</f>
        <v>-58482.575000000012</v>
      </c>
      <c r="I67" s="14">
        <f t="shared" ref="I67:I130" si="3">+H67+C67</f>
        <v>-413853.34100000007</v>
      </c>
      <c r="J67" s="8" t="s">
        <v>47</v>
      </c>
      <c r="K67" s="8"/>
      <c r="M67" s="339"/>
      <c r="N67" s="315"/>
    </row>
    <row r="68" spans="1:14" s="9" customFormat="1" ht="11.25" customHeight="1" x14ac:dyDescent="0.2">
      <c r="A68" s="10">
        <v>28237000</v>
      </c>
      <c r="B68" s="10" t="s">
        <v>53</v>
      </c>
      <c r="C68" s="11">
        <v>-756166.84899999993</v>
      </c>
      <c r="D68" s="11">
        <v>0</v>
      </c>
      <c r="E68" s="11">
        <v>0</v>
      </c>
      <c r="F68" s="13">
        <f>SUMIF('OD 12-24'!A:A,A68,'OD 12-24'!D:D)</f>
        <v>227484.307</v>
      </c>
      <c r="G68" s="13">
        <f>SUMIF('OD 12-24'!A:A,A68,'OD 12-24'!E:E)</f>
        <v>264738.76400000002</v>
      </c>
      <c r="H68" s="14">
        <f t="shared" si="2"/>
        <v>-37254.457000000024</v>
      </c>
      <c r="I68" s="14">
        <f t="shared" si="3"/>
        <v>-793421.30599999998</v>
      </c>
      <c r="J68" s="8" t="s">
        <v>47</v>
      </c>
      <c r="K68" s="8"/>
      <c r="M68" s="339"/>
      <c r="N68" s="315"/>
    </row>
    <row r="69" spans="1:14" s="9" customFormat="1" ht="11.25" customHeight="1" x14ac:dyDescent="0.2">
      <c r="A69" s="10">
        <v>28240000</v>
      </c>
      <c r="B69" s="10" t="s">
        <v>54</v>
      </c>
      <c r="C69" s="11">
        <v>-641382.64299999992</v>
      </c>
      <c r="D69" s="11">
        <v>30121.977999999996</v>
      </c>
      <c r="E69" s="11">
        <v>0</v>
      </c>
      <c r="F69" s="13">
        <f>SUMIF('OD 12-24'!A:A,A69,'OD 12-24'!D:D)</f>
        <v>1006246.524</v>
      </c>
      <c r="G69" s="13">
        <f>SUMIF('OD 12-24'!A:A,A69,'OD 12-24'!E:E)</f>
        <v>1183166.933</v>
      </c>
      <c r="H69" s="14">
        <f t="shared" si="2"/>
        <v>-146798.43099999998</v>
      </c>
      <c r="I69" s="14">
        <f t="shared" si="3"/>
        <v>-788181.07399999991</v>
      </c>
      <c r="J69" s="8" t="s">
        <v>47</v>
      </c>
      <c r="K69" s="8"/>
      <c r="M69" s="339"/>
      <c r="N69" s="315"/>
    </row>
    <row r="70" spans="1:14" s="9" customFormat="1" ht="11.25" customHeight="1" x14ac:dyDescent="0.2">
      <c r="A70" s="10">
        <v>28282000</v>
      </c>
      <c r="B70" s="10" t="s">
        <v>55</v>
      </c>
      <c r="C70" s="11">
        <v>-227110.92800000001</v>
      </c>
      <c r="D70" s="11">
        <v>0</v>
      </c>
      <c r="E70" s="11">
        <v>0</v>
      </c>
      <c r="F70" s="13">
        <f>SUMIF('OD 12-24'!A:A,A70,'OD 12-24'!D:D)</f>
        <v>301120.571</v>
      </c>
      <c r="G70" s="13">
        <f>SUMIF('OD 12-24'!A:A,A70,'OD 12-24'!E:E)</f>
        <v>357490.71100000001</v>
      </c>
      <c r="H70" s="14">
        <f t="shared" si="2"/>
        <v>-56370.140000000014</v>
      </c>
      <c r="I70" s="14">
        <f t="shared" si="3"/>
        <v>-283481.06800000003</v>
      </c>
      <c r="J70" s="8" t="s">
        <v>47</v>
      </c>
      <c r="K70" s="8"/>
      <c r="M70" s="339"/>
      <c r="N70" s="315"/>
    </row>
    <row r="71" spans="1:14" s="9" customFormat="1" ht="11.25" customHeight="1" x14ac:dyDescent="0.2">
      <c r="A71" s="10">
        <v>28283000</v>
      </c>
      <c r="B71" s="10" t="s">
        <v>264</v>
      </c>
      <c r="C71" s="11">
        <v>-129025.63500000001</v>
      </c>
      <c r="D71" s="11">
        <v>0</v>
      </c>
      <c r="E71" s="11">
        <v>0</v>
      </c>
      <c r="F71" s="13">
        <f>SUMIF('OD 12-24'!A:A,A71,'OD 12-24'!D:D)</f>
        <v>262370.13099999999</v>
      </c>
      <c r="G71" s="13">
        <f>SUMIF('OD 12-24'!A:A,A71,'OD 12-24'!E:E)</f>
        <v>312856.52799999999</v>
      </c>
      <c r="H71" s="14">
        <f t="shared" si="2"/>
        <v>-50486.396999999997</v>
      </c>
      <c r="I71" s="14">
        <f t="shared" si="3"/>
        <v>-179512.03200000001</v>
      </c>
      <c r="J71" s="8" t="s">
        <v>47</v>
      </c>
      <c r="K71" s="8"/>
      <c r="M71" s="339"/>
      <c r="N71" s="315"/>
    </row>
    <row r="72" spans="1:14" s="9" customFormat="1" ht="11.25" customHeight="1" x14ac:dyDescent="0.2">
      <c r="A72" s="10">
        <v>28400000</v>
      </c>
      <c r="B72" s="10" t="s">
        <v>56</v>
      </c>
      <c r="C72" s="11">
        <v>-480076.72500000009</v>
      </c>
      <c r="D72" s="11">
        <v>94339.096999999994</v>
      </c>
      <c r="E72" s="11">
        <v>0</v>
      </c>
      <c r="F72" s="13">
        <f>SUMIF('OD 12-24'!A:A,A72,'OD 12-24'!D:D)</f>
        <v>817246.01199999999</v>
      </c>
      <c r="G72" s="13">
        <f>SUMIF('OD 12-24'!A:A,A72,'OD 12-24'!E:E)</f>
        <v>971575.701</v>
      </c>
      <c r="H72" s="14">
        <f t="shared" si="2"/>
        <v>-59990.592000000062</v>
      </c>
      <c r="I72" s="14">
        <f t="shared" si="3"/>
        <v>-540067.31700000016</v>
      </c>
      <c r="J72" s="8" t="s">
        <v>47</v>
      </c>
      <c r="K72" s="8"/>
      <c r="M72" s="339"/>
      <c r="N72" s="315"/>
    </row>
    <row r="73" spans="1:14" s="9" customFormat="1" ht="11.25" customHeight="1" x14ac:dyDescent="0.2">
      <c r="A73" s="10">
        <v>29220000</v>
      </c>
      <c r="B73" s="10" t="s">
        <v>297</v>
      </c>
      <c r="C73" s="11">
        <v>0</v>
      </c>
      <c r="D73" s="11">
        <v>0</v>
      </c>
      <c r="E73" s="11">
        <v>0</v>
      </c>
      <c r="F73" s="13">
        <f>SUMIF('OD 12-24'!A:A,A73,'OD 12-24'!D:D)</f>
        <v>0</v>
      </c>
      <c r="G73" s="13">
        <f>SUMIF('OD 12-24'!A:A,A73,'OD 12-24'!E:E)</f>
        <v>0</v>
      </c>
      <c r="H73" s="14">
        <f t="shared" si="2"/>
        <v>0</v>
      </c>
      <c r="I73" s="14">
        <f t="shared" si="3"/>
        <v>0</v>
      </c>
      <c r="J73" s="8"/>
      <c r="K73" s="8"/>
      <c r="M73" s="339"/>
      <c r="N73" s="315"/>
    </row>
    <row r="74" spans="1:14" s="9" customFormat="1" ht="11.25" customHeight="1" x14ac:dyDescent="0.2">
      <c r="A74" s="10">
        <v>29234000</v>
      </c>
      <c r="B74" s="10" t="s">
        <v>388</v>
      </c>
      <c r="C74" s="11">
        <v>-223876.883</v>
      </c>
      <c r="D74" s="11">
        <v>59797.479000000007</v>
      </c>
      <c r="E74" s="11">
        <v>0</v>
      </c>
      <c r="F74" s="13">
        <f>SUMIF('OD 12-24'!A:A,A74,'OD 12-24'!D:D)</f>
        <v>400000</v>
      </c>
      <c r="G74" s="13">
        <f>SUMIF('OD 12-24'!A:A,A74,'OD 12-24'!E:E)</f>
        <v>627693.68799999997</v>
      </c>
      <c r="H74" s="14">
        <f t="shared" si="2"/>
        <v>-167896.20899999997</v>
      </c>
      <c r="I74" s="14">
        <f t="shared" si="3"/>
        <v>-391773.09199999995</v>
      </c>
      <c r="J74" s="8" t="s">
        <v>401</v>
      </c>
      <c r="K74" s="8"/>
      <c r="M74" s="339"/>
      <c r="N74" s="315"/>
    </row>
    <row r="75" spans="1:14" s="9" customFormat="1" ht="11.25" customHeight="1" x14ac:dyDescent="0.2">
      <c r="A75" s="10">
        <v>29235000</v>
      </c>
      <c r="B75" s="10" t="s">
        <v>389</v>
      </c>
      <c r="C75" s="11">
        <v>-8171.429000000001</v>
      </c>
      <c r="D75" s="11">
        <v>0</v>
      </c>
      <c r="E75" s="11">
        <v>0</v>
      </c>
      <c r="F75" s="13">
        <f>SUMIF('OD 12-24'!A:A,A75,'OD 12-24'!D:D)</f>
        <v>0</v>
      </c>
      <c r="G75" s="13">
        <f>SUMIF('OD 12-24'!A:A,A75,'OD 12-24'!E:E)</f>
        <v>0</v>
      </c>
      <c r="H75" s="14">
        <f t="shared" si="2"/>
        <v>0</v>
      </c>
      <c r="I75" s="14">
        <f t="shared" si="3"/>
        <v>-8171.429000000001</v>
      </c>
      <c r="J75" s="8" t="s">
        <v>401</v>
      </c>
      <c r="K75" s="8"/>
      <c r="M75" s="339"/>
      <c r="N75" s="315"/>
    </row>
    <row r="76" spans="1:14" s="9" customFormat="1" ht="11.25" customHeight="1" x14ac:dyDescent="0.2">
      <c r="A76" s="10">
        <v>29282000</v>
      </c>
      <c r="B76" s="10" t="s">
        <v>298</v>
      </c>
      <c r="C76" s="11">
        <v>0</v>
      </c>
      <c r="D76" s="11">
        <v>0</v>
      </c>
      <c r="E76" s="11">
        <v>0</v>
      </c>
      <c r="F76" s="13">
        <f>SUMIF('OD 12-24'!A:A,A76,'OD 12-24'!D:D)</f>
        <v>0</v>
      </c>
      <c r="G76" s="13">
        <f>SUMIF('OD 12-24'!A:A,A76,'OD 12-24'!E:E)</f>
        <v>0</v>
      </c>
      <c r="H76" s="14">
        <f t="shared" si="2"/>
        <v>0</v>
      </c>
      <c r="I76" s="14">
        <f t="shared" si="3"/>
        <v>0</v>
      </c>
      <c r="J76" s="8"/>
      <c r="K76" s="8"/>
      <c r="M76" s="339"/>
      <c r="N76" s="315"/>
    </row>
    <row r="77" spans="1:14" s="9" customFormat="1" ht="11.25" customHeight="1" x14ac:dyDescent="0.2">
      <c r="A77" s="10">
        <v>29286500</v>
      </c>
      <c r="B77" s="10" t="s">
        <v>299</v>
      </c>
      <c r="C77" s="11">
        <v>0</v>
      </c>
      <c r="D77" s="11">
        <v>0</v>
      </c>
      <c r="E77" s="11">
        <v>0</v>
      </c>
      <c r="F77" s="13">
        <f>SUMIF('OD 12-24'!A:A,A77,'OD 12-24'!D:D)</f>
        <v>0</v>
      </c>
      <c r="G77" s="13">
        <f>SUMIF('OD 12-24'!A:A,A77,'OD 12-24'!E:E)</f>
        <v>0</v>
      </c>
      <c r="H77" s="14">
        <f t="shared" si="2"/>
        <v>0</v>
      </c>
      <c r="I77" s="14">
        <f t="shared" si="3"/>
        <v>0</v>
      </c>
      <c r="J77" s="8" t="s">
        <v>25</v>
      </c>
      <c r="K77" s="8"/>
      <c r="M77" s="339"/>
      <c r="N77" s="315"/>
    </row>
    <row r="78" spans="1:14" s="9" customFormat="1" ht="11.25" customHeight="1" x14ac:dyDescent="0.2">
      <c r="A78" s="10">
        <v>29700000</v>
      </c>
      <c r="B78" s="10" t="s">
        <v>57</v>
      </c>
      <c r="C78" s="11">
        <v>-29257.384999999998</v>
      </c>
      <c r="D78" s="11">
        <v>0</v>
      </c>
      <c r="E78" s="11">
        <v>0</v>
      </c>
      <c r="F78" s="13">
        <f>SUMIF('OD 12-24'!A:A,A78,'OD 12-24'!D:D)</f>
        <v>0</v>
      </c>
      <c r="G78" s="13">
        <f>SUMIF('OD 12-24'!A:A,A78,'OD 12-24'!E:E)</f>
        <v>0</v>
      </c>
      <c r="H78" s="14">
        <f t="shared" si="2"/>
        <v>0</v>
      </c>
      <c r="I78" s="14">
        <f t="shared" si="3"/>
        <v>-29257.384999999998</v>
      </c>
      <c r="J78" s="8" t="s">
        <v>58</v>
      </c>
      <c r="K78" s="8"/>
      <c r="M78" s="339"/>
      <c r="N78" s="315"/>
    </row>
    <row r="79" spans="1:14" s="9" customFormat="1" ht="11.25" customHeight="1" x14ac:dyDescent="0.2">
      <c r="A79" s="10">
        <v>31100000</v>
      </c>
      <c r="B79" s="10" t="s">
        <v>59</v>
      </c>
      <c r="C79" s="11">
        <v>9520075.0200000107</v>
      </c>
      <c r="D79" s="11">
        <v>0</v>
      </c>
      <c r="E79" s="11">
        <v>9520075.0199999996</v>
      </c>
      <c r="F79" s="13">
        <f>SUMIF('OD 12-24'!A:A,A79,'OD 12-24'!D:D)</f>
        <v>155282692.28119999</v>
      </c>
      <c r="G79" s="13">
        <f>SUMIF('OD 12-24'!A:A,A79,'OD 12-24'!E:E)</f>
        <v>140745458.85620001</v>
      </c>
      <c r="H79" s="14">
        <f t="shared" si="2"/>
        <v>5017158.4049999714</v>
      </c>
      <c r="I79" s="14">
        <f t="shared" si="3"/>
        <v>14537233.424999982</v>
      </c>
      <c r="J79" s="8" t="s">
        <v>60</v>
      </c>
      <c r="K79" s="8"/>
      <c r="M79" s="339"/>
      <c r="N79" s="315"/>
    </row>
    <row r="80" spans="1:14" s="9" customFormat="1" ht="11.25" customHeight="1" x14ac:dyDescent="0.2">
      <c r="A80" s="10">
        <v>31200000</v>
      </c>
      <c r="B80" s="10" t="s">
        <v>390</v>
      </c>
      <c r="C80" s="11">
        <v>1881173.9139999996</v>
      </c>
      <c r="D80" s="11">
        <v>0</v>
      </c>
      <c r="E80" s="11">
        <v>1881173.9140000001</v>
      </c>
      <c r="F80" s="13">
        <f>SUMIF('OD 12-24'!A:A,A80,'OD 12-24'!D:D)</f>
        <v>7223406.0990000004</v>
      </c>
      <c r="G80" s="13">
        <f>SUMIF('OD 12-24'!A:A,A80,'OD 12-24'!E:E)</f>
        <v>5854753.227</v>
      </c>
      <c r="H80" s="14">
        <f t="shared" si="2"/>
        <v>-512521.04199999943</v>
      </c>
      <c r="I80" s="14">
        <f t="shared" si="3"/>
        <v>1368652.8720000002</v>
      </c>
      <c r="J80" s="8" t="s">
        <v>60</v>
      </c>
      <c r="K80" s="8"/>
      <c r="M80" s="339"/>
      <c r="N80" s="315"/>
    </row>
    <row r="81" spans="1:14" s="9" customFormat="1" ht="11.25" customHeight="1" x14ac:dyDescent="0.2">
      <c r="A81" s="10">
        <v>32200000</v>
      </c>
      <c r="B81" s="10" t="s">
        <v>61</v>
      </c>
      <c r="C81" s="11">
        <v>662156.42899999954</v>
      </c>
      <c r="D81" s="11">
        <v>0</v>
      </c>
      <c r="E81" s="11">
        <v>662156.429</v>
      </c>
      <c r="F81" s="13">
        <f>SUMIF('OD 12-24'!A:A,A81,'OD 12-24'!D:D)</f>
        <v>9969956.1744999997</v>
      </c>
      <c r="G81" s="13">
        <f>SUMIF('OD 12-24'!A:A,A81,'OD 12-24'!E:E)</f>
        <v>9358523.2255000006</v>
      </c>
      <c r="H81" s="14">
        <f t="shared" si="2"/>
        <v>-50723.480000000447</v>
      </c>
      <c r="I81" s="14">
        <f t="shared" si="3"/>
        <v>611432.94899999909</v>
      </c>
      <c r="J81" s="8" t="s">
        <v>60</v>
      </c>
      <c r="K81" s="8"/>
      <c r="M81" s="339"/>
      <c r="N81" s="315"/>
    </row>
    <row r="82" spans="1:14" s="9" customFormat="1" ht="11.25" customHeight="1" x14ac:dyDescent="0.2">
      <c r="A82" s="10">
        <v>33100000</v>
      </c>
      <c r="B82" s="10" t="s">
        <v>62</v>
      </c>
      <c r="C82" s="11">
        <v>3435380.2890000008</v>
      </c>
      <c r="D82" s="11">
        <v>0</v>
      </c>
      <c r="E82" s="11">
        <v>3435380.2889999999</v>
      </c>
      <c r="F82" s="13">
        <f>SUMIF('OD 12-24'!A:A,A82,'OD 12-24'!D:D)</f>
        <v>60997927.780400001</v>
      </c>
      <c r="G82" s="13">
        <f>SUMIF('OD 12-24'!A:A,A82,'OD 12-24'!E:E)</f>
        <v>54964978.217399999</v>
      </c>
      <c r="H82" s="14">
        <f t="shared" si="2"/>
        <v>2597569.2740000039</v>
      </c>
      <c r="I82" s="14">
        <f t="shared" si="3"/>
        <v>6032949.5630000047</v>
      </c>
      <c r="J82" s="8" t="s">
        <v>60</v>
      </c>
      <c r="K82" s="8"/>
      <c r="M82" s="339"/>
      <c r="N82" s="315"/>
    </row>
    <row r="83" spans="1:14" s="9" customFormat="1" ht="11.25" customHeight="1" x14ac:dyDescent="0.2">
      <c r="A83" s="10">
        <v>33500000</v>
      </c>
      <c r="B83" s="10" t="s">
        <v>300</v>
      </c>
      <c r="C83" s="11">
        <v>0</v>
      </c>
      <c r="D83" s="11">
        <v>0</v>
      </c>
      <c r="E83" s="11">
        <v>0</v>
      </c>
      <c r="F83" s="13">
        <f>SUMIF('OD 12-24'!A:A,A83,'OD 12-24'!D:D)</f>
        <v>0</v>
      </c>
      <c r="G83" s="13">
        <f>SUMIF('OD 12-24'!A:A,A83,'OD 12-24'!E:E)</f>
        <v>0</v>
      </c>
      <c r="H83" s="14">
        <f t="shared" si="2"/>
        <v>0</v>
      </c>
      <c r="I83" s="14">
        <f t="shared" si="3"/>
        <v>0</v>
      </c>
      <c r="J83" s="8"/>
      <c r="K83" s="8"/>
      <c r="M83" s="339"/>
      <c r="N83" s="315"/>
    </row>
    <row r="84" spans="1:14" s="9" customFormat="1" ht="11.25" customHeight="1" x14ac:dyDescent="0.2">
      <c r="A84" s="10">
        <v>34100000</v>
      </c>
      <c r="B84" s="10" t="s">
        <v>301</v>
      </c>
      <c r="C84" s="11">
        <v>0</v>
      </c>
      <c r="D84" s="11">
        <v>0</v>
      </c>
      <c r="E84" s="11">
        <v>0</v>
      </c>
      <c r="F84" s="13">
        <f>SUMIF('OD 12-24'!A:A,A84,'OD 12-24'!D:D)</f>
        <v>0</v>
      </c>
      <c r="G84" s="13">
        <f>SUMIF('OD 12-24'!A:A,A84,'OD 12-24'!E:E)</f>
        <v>0</v>
      </c>
      <c r="H84" s="14">
        <f t="shared" si="2"/>
        <v>0</v>
      </c>
      <c r="I84" s="14">
        <f t="shared" si="3"/>
        <v>0</v>
      </c>
      <c r="J84" s="8"/>
      <c r="K84" s="8"/>
      <c r="M84" s="339"/>
      <c r="N84" s="315"/>
    </row>
    <row r="85" spans="1:14" s="9" customFormat="1" ht="11.25" customHeight="1" x14ac:dyDescent="0.2">
      <c r="A85" s="10">
        <v>35500000</v>
      </c>
      <c r="B85" s="10" t="s">
        <v>63</v>
      </c>
      <c r="C85" s="11">
        <v>1674504.0189999994</v>
      </c>
      <c r="D85" s="11">
        <v>0</v>
      </c>
      <c r="E85" s="11">
        <v>1674504.0190000001</v>
      </c>
      <c r="F85" s="13">
        <f>SUMIF('OD 12-24'!A:A,A85,'OD 12-24'!D:D)</f>
        <v>18108143.91</v>
      </c>
      <c r="G85" s="13">
        <f>SUMIF('OD 12-24'!A:A,A85,'OD 12-24'!E:E)</f>
        <v>17786463.848999999</v>
      </c>
      <c r="H85" s="14">
        <f t="shared" si="2"/>
        <v>-1352823.9579999987</v>
      </c>
      <c r="I85" s="14">
        <f t="shared" si="3"/>
        <v>321680.06100000069</v>
      </c>
      <c r="J85" s="8" t="s">
        <v>60</v>
      </c>
      <c r="K85" s="8"/>
      <c r="M85" s="339"/>
      <c r="N85" s="315"/>
    </row>
    <row r="86" spans="1:14" s="9" customFormat="1" ht="11.25" customHeight="1" x14ac:dyDescent="0.2">
      <c r="A86" s="10">
        <v>39000000</v>
      </c>
      <c r="B86" s="10" t="s">
        <v>64</v>
      </c>
      <c r="C86" s="11">
        <v>-208158.11300000001</v>
      </c>
      <c r="D86" s="11">
        <v>0</v>
      </c>
      <c r="E86" s="11">
        <v>0</v>
      </c>
      <c r="F86" s="13">
        <f>SUMIF('OD 12-24'!A:A,A86,'OD 12-24'!D:D)</f>
        <v>2402431.1340000001</v>
      </c>
      <c r="G86" s="13">
        <f>SUMIF('OD 12-24'!A:A,A86,'OD 12-24'!E:E)</f>
        <v>2900187.3220000002</v>
      </c>
      <c r="H86" s="14">
        <f t="shared" si="2"/>
        <v>-497756.18800000008</v>
      </c>
      <c r="I86" s="14">
        <f t="shared" si="3"/>
        <v>-705914.30100000009</v>
      </c>
      <c r="J86" s="8" t="s">
        <v>65</v>
      </c>
      <c r="K86" s="8"/>
      <c r="M86" s="339"/>
      <c r="N86" s="315"/>
    </row>
    <row r="87" spans="1:14" s="9" customFormat="1" ht="11.25" customHeight="1" x14ac:dyDescent="0.2">
      <c r="A87" s="10">
        <v>40100000</v>
      </c>
      <c r="B87" s="10" t="s">
        <v>66</v>
      </c>
      <c r="C87" s="11">
        <v>-2875441.9530395269</v>
      </c>
      <c r="D87" s="11">
        <v>27823756.172049999</v>
      </c>
      <c r="E87" s="11">
        <v>28168436.889679998</v>
      </c>
      <c r="F87" s="13">
        <f>SUMIF('OD 12-24'!A:A,A87,'OD 12-24'!D:D)</f>
        <v>823434.255</v>
      </c>
      <c r="G87" s="13">
        <f>SUMIF('OD 12-24'!A:A,A87,'OD 12-24'!E:E)</f>
        <v>823434.255</v>
      </c>
      <c r="H87" s="14">
        <f t="shared" si="2"/>
        <v>-344680.71762999997</v>
      </c>
      <c r="I87" s="14">
        <f t="shared" si="3"/>
        <v>-3220122.6706695268</v>
      </c>
      <c r="J87" s="8" t="s">
        <v>67</v>
      </c>
      <c r="K87" s="8"/>
      <c r="M87" s="339"/>
      <c r="N87" s="315"/>
    </row>
    <row r="88" spans="1:14" s="9" customFormat="1" ht="11.25" customHeight="1" x14ac:dyDescent="0.2">
      <c r="A88" s="10">
        <v>40300000</v>
      </c>
      <c r="B88" s="10" t="s">
        <v>68</v>
      </c>
      <c r="C88" s="11">
        <v>-970419.35000000149</v>
      </c>
      <c r="D88" s="11">
        <v>1736686.523</v>
      </c>
      <c r="E88" s="11">
        <v>999821.19000000006</v>
      </c>
      <c r="F88" s="13">
        <f>SUMIF('OD 12-24'!A:A,A88,'OD 12-24'!D:D)</f>
        <v>0</v>
      </c>
      <c r="G88" s="13">
        <f>SUMIF('OD 12-24'!A:A,A88,'OD 12-24'!E:E)</f>
        <v>0</v>
      </c>
      <c r="H88" s="14">
        <f t="shared" si="2"/>
        <v>736865.33299999998</v>
      </c>
      <c r="I88" s="14">
        <f t="shared" si="3"/>
        <v>-233554.01700000151</v>
      </c>
      <c r="J88" s="8" t="s">
        <v>67</v>
      </c>
      <c r="K88" s="8"/>
      <c r="M88" s="339"/>
      <c r="N88" s="315"/>
    </row>
    <row r="89" spans="1:14" s="9" customFormat="1" ht="11.25" customHeight="1" x14ac:dyDescent="0.2">
      <c r="A89" s="10">
        <v>40301000</v>
      </c>
      <c r="B89" s="10" t="s">
        <v>302</v>
      </c>
      <c r="C89" s="11">
        <v>0</v>
      </c>
      <c r="D89" s="11">
        <v>0</v>
      </c>
      <c r="E89" s="11">
        <v>0</v>
      </c>
      <c r="F89" s="13">
        <f>SUMIF('OD 12-24'!A:A,A89,'OD 12-24'!D:D)</f>
        <v>0</v>
      </c>
      <c r="G89" s="13">
        <f>SUMIF('OD 12-24'!A:A,A89,'OD 12-24'!E:E)</f>
        <v>0</v>
      </c>
      <c r="H89" s="14">
        <f t="shared" si="2"/>
        <v>0</v>
      </c>
      <c r="I89" s="14">
        <f t="shared" si="3"/>
        <v>0</v>
      </c>
      <c r="J89" s="8"/>
      <c r="K89" s="8"/>
      <c r="M89" s="339"/>
      <c r="N89" s="315"/>
    </row>
    <row r="90" spans="1:14" s="9" customFormat="1" ht="11.25" customHeight="1" x14ac:dyDescent="0.2">
      <c r="A90" s="10">
        <v>40400000</v>
      </c>
      <c r="B90" s="10" t="s">
        <v>69</v>
      </c>
      <c r="C90" s="11">
        <v>9.999983012676239E-5</v>
      </c>
      <c r="D90" s="11">
        <v>0</v>
      </c>
      <c r="E90" s="11">
        <v>0</v>
      </c>
      <c r="F90" s="13">
        <f>SUMIF('OD 12-24'!A:A,A90,'OD 12-24'!D:D)</f>
        <v>0</v>
      </c>
      <c r="G90" s="13">
        <f>SUMIF('OD 12-24'!A:A,A90,'OD 12-24'!E:E)</f>
        <v>0</v>
      </c>
      <c r="H90" s="14">
        <f t="shared" si="2"/>
        <v>0</v>
      </c>
      <c r="I90" s="14">
        <f t="shared" si="3"/>
        <v>9.999983012676239E-5</v>
      </c>
      <c r="J90" s="8"/>
      <c r="K90" s="8"/>
      <c r="M90" s="339"/>
      <c r="N90" s="315"/>
    </row>
    <row r="91" spans="1:14" s="9" customFormat="1" ht="11.25" customHeight="1" x14ac:dyDescent="0.2">
      <c r="A91" s="10">
        <v>40470000</v>
      </c>
      <c r="B91" s="10" t="s">
        <v>303</v>
      </c>
      <c r="C91" s="11">
        <v>0</v>
      </c>
      <c r="D91" s="11">
        <v>0</v>
      </c>
      <c r="E91" s="11">
        <v>0</v>
      </c>
      <c r="F91" s="13">
        <f>SUMIF('OD 12-24'!A:A,A91,'OD 12-24'!D:D)</f>
        <v>0</v>
      </c>
      <c r="G91" s="13">
        <f>SUMIF('OD 12-24'!A:A,A91,'OD 12-24'!E:E)</f>
        <v>0</v>
      </c>
      <c r="H91" s="14">
        <f t="shared" si="2"/>
        <v>0</v>
      </c>
      <c r="I91" s="14">
        <f t="shared" si="3"/>
        <v>0</v>
      </c>
      <c r="J91" s="8"/>
      <c r="K91" s="8"/>
      <c r="M91" s="339"/>
      <c r="N91" s="315"/>
    </row>
    <row r="92" spans="1:14" s="9" customFormat="1" ht="11.25" customHeight="1" x14ac:dyDescent="0.2">
      <c r="A92" s="10">
        <v>40600000</v>
      </c>
      <c r="B92" s="10" t="s">
        <v>70</v>
      </c>
      <c r="C92" s="11">
        <v>-3111690.4287486374</v>
      </c>
      <c r="D92" s="11">
        <v>4533559.1824025</v>
      </c>
      <c r="E92" s="11">
        <v>3529683.879743</v>
      </c>
      <c r="F92" s="13">
        <f>SUMIF('OD 12-24'!A:A,A92,'OD 12-24'!D:D)</f>
        <v>6725829.9680000003</v>
      </c>
      <c r="G92" s="13">
        <f>SUMIF('OD 12-24'!A:A,A92,'OD 12-24'!E:E)</f>
        <v>7899879.5279999999</v>
      </c>
      <c r="H92" s="14">
        <f t="shared" si="2"/>
        <v>-170174.2573404992</v>
      </c>
      <c r="I92" s="14">
        <f t="shared" si="3"/>
        <v>-3281864.6860891366</v>
      </c>
      <c r="J92" s="8" t="s">
        <v>67</v>
      </c>
      <c r="K92" s="8"/>
      <c r="M92" s="339"/>
      <c r="N92" s="315"/>
    </row>
    <row r="93" spans="1:14" s="9" customFormat="1" ht="11.25" customHeight="1" x14ac:dyDescent="0.2">
      <c r="A93" s="10">
        <v>40800000</v>
      </c>
      <c r="B93" s="10" t="s">
        <v>71</v>
      </c>
      <c r="C93" s="11">
        <v>-4980</v>
      </c>
      <c r="D93" s="11">
        <v>0</v>
      </c>
      <c r="E93" s="11">
        <v>0</v>
      </c>
      <c r="F93" s="13">
        <f>SUMIF('OD 12-24'!A:A,A93,'OD 12-24'!D:D)</f>
        <v>0</v>
      </c>
      <c r="G93" s="13">
        <f>SUMIF('OD 12-24'!A:A,A93,'OD 12-24'!E:E)</f>
        <v>0</v>
      </c>
      <c r="H93" s="14">
        <f t="shared" si="2"/>
        <v>0</v>
      </c>
      <c r="I93" s="14">
        <f t="shared" si="3"/>
        <v>-4980</v>
      </c>
      <c r="J93" s="8" t="s">
        <v>67</v>
      </c>
      <c r="K93" s="8"/>
      <c r="M93" s="339"/>
      <c r="N93" s="315"/>
    </row>
    <row r="94" spans="1:14" s="9" customFormat="1" ht="11.25" customHeight="1" x14ac:dyDescent="0.2">
      <c r="A94" s="10">
        <v>40810000</v>
      </c>
      <c r="B94" s="10" t="s">
        <v>391</v>
      </c>
      <c r="C94" s="11">
        <v>-41980.576999999997</v>
      </c>
      <c r="D94" s="11">
        <v>40054.247000000003</v>
      </c>
      <c r="E94" s="11">
        <v>3169.0909999999994</v>
      </c>
      <c r="F94" s="13">
        <f>SUMIF('OD 12-24'!A:A,A94,'OD 12-24'!D:D)</f>
        <v>5123.701</v>
      </c>
      <c r="G94" s="13">
        <f>SUMIF('OD 12-24'!A:A,A94,'OD 12-24'!E:E)</f>
        <v>20928.241999999998</v>
      </c>
      <c r="H94" s="14">
        <f t="shared" si="2"/>
        <v>21080.615000000005</v>
      </c>
      <c r="I94" s="14">
        <f t="shared" si="3"/>
        <v>-20899.961999999992</v>
      </c>
      <c r="J94" s="8" t="s">
        <v>67</v>
      </c>
      <c r="K94" s="8"/>
      <c r="M94" s="339"/>
      <c r="N94" s="315"/>
    </row>
    <row r="95" spans="1:14" s="9" customFormat="1" ht="11.25" customHeight="1" x14ac:dyDescent="0.2">
      <c r="A95" s="10">
        <v>40860000</v>
      </c>
      <c r="B95" s="10" t="s">
        <v>304</v>
      </c>
      <c r="C95" s="11">
        <v>0</v>
      </c>
      <c r="D95" s="11">
        <v>0</v>
      </c>
      <c r="E95" s="11">
        <v>0</v>
      </c>
      <c r="F95" s="13">
        <f>SUMIF('OD 12-24'!A:A,A95,'OD 12-24'!D:D)</f>
        <v>0</v>
      </c>
      <c r="G95" s="13">
        <f>SUMIF('OD 12-24'!A:A,A95,'OD 12-24'!E:E)</f>
        <v>0</v>
      </c>
      <c r="H95" s="14">
        <f t="shared" si="2"/>
        <v>0</v>
      </c>
      <c r="I95" s="14">
        <f t="shared" si="3"/>
        <v>0</v>
      </c>
      <c r="J95" s="8"/>
      <c r="K95" s="8"/>
      <c r="M95" s="339"/>
      <c r="N95" s="315"/>
    </row>
    <row r="96" spans="1:14" s="9" customFormat="1" ht="11.25" customHeight="1" x14ac:dyDescent="0.2">
      <c r="A96" s="10">
        <v>40910000</v>
      </c>
      <c r="B96" s="10" t="s">
        <v>72</v>
      </c>
      <c r="C96" s="11">
        <v>0</v>
      </c>
      <c r="D96" s="11">
        <v>0</v>
      </c>
      <c r="E96" s="11">
        <v>0</v>
      </c>
      <c r="F96" s="13">
        <f>SUMIF('OD 12-24'!A:A,A96,'OD 12-24'!D:D)</f>
        <v>0</v>
      </c>
      <c r="G96" s="13">
        <f>SUMIF('OD 12-24'!A:A,A96,'OD 12-24'!E:E)</f>
        <v>0</v>
      </c>
      <c r="H96" s="14">
        <f t="shared" si="2"/>
        <v>0</v>
      </c>
      <c r="I96" s="14">
        <f t="shared" si="3"/>
        <v>0</v>
      </c>
      <c r="J96" s="8" t="s">
        <v>78</v>
      </c>
      <c r="K96" s="8"/>
      <c r="M96" s="339"/>
      <c r="N96" s="315"/>
    </row>
    <row r="97" spans="1:14" s="9" customFormat="1" ht="11.25" customHeight="1" x14ac:dyDescent="0.2">
      <c r="A97" s="465">
        <v>41100000</v>
      </c>
      <c r="B97" s="465" t="s">
        <v>73</v>
      </c>
      <c r="C97" s="16">
        <v>15614197.010682464</v>
      </c>
      <c r="D97" s="16">
        <v>35974056.906999998</v>
      </c>
      <c r="E97" s="16">
        <v>35577931.318000004</v>
      </c>
      <c r="F97" s="466">
        <f>SUMIF('OD 12-24'!A:A,A97,'OD 12-24'!D:D)</f>
        <v>4033105.8640000001</v>
      </c>
      <c r="G97" s="466">
        <f>SUMIF('OD 12-24'!A:A,A97,'OD 12-24'!E:E)</f>
        <v>4033105.8640000001</v>
      </c>
      <c r="H97" s="467">
        <f t="shared" si="2"/>
        <v>396125.5889999941</v>
      </c>
      <c r="I97" s="467">
        <f t="shared" si="3"/>
        <v>16010322.599682458</v>
      </c>
      <c r="J97" s="8" t="s">
        <v>74</v>
      </c>
      <c r="K97" s="8"/>
      <c r="M97" s="339"/>
      <c r="N97" s="315"/>
    </row>
    <row r="98" spans="1:14" s="9" customFormat="1" ht="11.25" customHeight="1" x14ac:dyDescent="0.2">
      <c r="A98" s="10">
        <v>41301000</v>
      </c>
      <c r="B98" s="10" t="s">
        <v>305</v>
      </c>
      <c r="C98" s="11">
        <v>0</v>
      </c>
      <c r="D98" s="11">
        <v>0</v>
      </c>
      <c r="E98" s="11">
        <v>0</v>
      </c>
      <c r="F98" s="13">
        <f>SUMIF('OD 12-24'!A:A,A98,'OD 12-24'!D:D)</f>
        <v>0</v>
      </c>
      <c r="G98" s="13">
        <f>SUMIF('OD 12-24'!A:A,A98,'OD 12-24'!E:E)</f>
        <v>0</v>
      </c>
      <c r="H98" s="14">
        <f t="shared" si="2"/>
        <v>0</v>
      </c>
      <c r="I98" s="14">
        <f t="shared" si="3"/>
        <v>0</v>
      </c>
      <c r="J98" s="8"/>
      <c r="K98" s="8"/>
      <c r="M98" s="339"/>
      <c r="N98" s="315"/>
    </row>
    <row r="99" spans="1:14" s="9" customFormat="1" ht="11.25" customHeight="1" x14ac:dyDescent="0.2">
      <c r="A99" s="10">
        <v>41500000</v>
      </c>
      <c r="B99" s="10" t="s">
        <v>75</v>
      </c>
      <c r="C99" s="11">
        <v>3350188.1832604855</v>
      </c>
      <c r="D99" s="11">
        <v>10299657.779999999</v>
      </c>
      <c r="E99" s="11">
        <v>6284452.1699999999</v>
      </c>
      <c r="F99" s="13">
        <f>SUMIF('OD 12-24'!A:A,A99,'OD 12-24'!D:D)</f>
        <v>3757277.7850000001</v>
      </c>
      <c r="G99" s="13">
        <f>SUMIF('OD 12-24'!A:A,A99,'OD 12-24'!E:E)</f>
        <v>3857342.92</v>
      </c>
      <c r="H99" s="14">
        <f t="shared" si="2"/>
        <v>3915140.4749999996</v>
      </c>
      <c r="I99" s="14">
        <f t="shared" si="3"/>
        <v>7265328.6582604852</v>
      </c>
      <c r="J99" s="8" t="s">
        <v>74</v>
      </c>
      <c r="K99" s="8"/>
      <c r="M99" s="339"/>
      <c r="N99" s="315"/>
    </row>
    <row r="100" spans="1:14" s="9" customFormat="1" ht="11.25" customHeight="1" x14ac:dyDescent="0.2">
      <c r="A100" s="10">
        <v>41601000</v>
      </c>
      <c r="B100" s="10" t="s">
        <v>306</v>
      </c>
      <c r="C100" s="11">
        <v>0</v>
      </c>
      <c r="D100" s="11">
        <v>0</v>
      </c>
      <c r="E100" s="11">
        <v>0</v>
      </c>
      <c r="F100" s="13">
        <f>SUMIF('OD 12-24'!A:A,A100,'OD 12-24'!D:D)</f>
        <v>0</v>
      </c>
      <c r="G100" s="13">
        <f>SUMIF('OD 12-24'!A:A,A100,'OD 12-24'!E:E)</f>
        <v>0</v>
      </c>
      <c r="H100" s="14">
        <f t="shared" si="2"/>
        <v>0</v>
      </c>
      <c r="I100" s="14">
        <f t="shared" si="3"/>
        <v>0</v>
      </c>
      <c r="J100" s="8"/>
      <c r="K100" s="8"/>
      <c r="M100" s="339"/>
      <c r="N100" s="315"/>
    </row>
    <row r="101" spans="1:14" s="9" customFormat="1" ht="11.25" customHeight="1" x14ac:dyDescent="0.2">
      <c r="A101" s="10">
        <v>41800000</v>
      </c>
      <c r="B101" s="10" t="s">
        <v>307</v>
      </c>
      <c r="C101" s="11">
        <v>0</v>
      </c>
      <c r="D101" s="11">
        <v>0</v>
      </c>
      <c r="E101" s="11">
        <v>0</v>
      </c>
      <c r="F101" s="13">
        <f>SUMIF('OD 12-24'!A:A,A101,'OD 12-24'!D:D)</f>
        <v>0</v>
      </c>
      <c r="G101" s="13">
        <f>SUMIF('OD 12-24'!A:A,A101,'OD 12-24'!E:E)</f>
        <v>0</v>
      </c>
      <c r="H101" s="14">
        <f t="shared" si="2"/>
        <v>0</v>
      </c>
      <c r="I101" s="14">
        <f t="shared" si="3"/>
        <v>0</v>
      </c>
      <c r="J101" s="8"/>
      <c r="K101" s="8"/>
      <c r="M101" s="339"/>
      <c r="N101" s="315"/>
    </row>
    <row r="102" spans="1:14" s="9" customFormat="1" ht="11.25" customHeight="1" x14ac:dyDescent="0.2">
      <c r="A102" s="10">
        <v>41910000</v>
      </c>
      <c r="B102" s="10" t="s">
        <v>308</v>
      </c>
      <c r="C102" s="11">
        <v>0</v>
      </c>
      <c r="D102" s="11">
        <v>0</v>
      </c>
      <c r="E102" s="11">
        <v>0</v>
      </c>
      <c r="F102" s="13">
        <f>SUMIF('OD 12-24'!A:A,A102,'OD 12-24'!D:D)</f>
        <v>0</v>
      </c>
      <c r="G102" s="13">
        <f>SUMIF('OD 12-24'!A:A,A102,'OD 12-24'!E:E)</f>
        <v>0</v>
      </c>
      <c r="H102" s="14">
        <f t="shared" si="2"/>
        <v>0</v>
      </c>
      <c r="I102" s="14">
        <f t="shared" si="3"/>
        <v>0</v>
      </c>
      <c r="J102" s="8"/>
      <c r="K102" s="8"/>
      <c r="M102" s="339"/>
      <c r="N102" s="315"/>
    </row>
    <row r="103" spans="1:14" s="9" customFormat="1" ht="11.25" customHeight="1" x14ac:dyDescent="0.2">
      <c r="A103" s="10">
        <v>42100000</v>
      </c>
      <c r="B103" s="10" t="s">
        <v>76</v>
      </c>
      <c r="C103" s="11">
        <v>0</v>
      </c>
      <c r="D103" s="11">
        <v>240</v>
      </c>
      <c r="E103" s="11">
        <v>240</v>
      </c>
      <c r="F103" s="13">
        <f>SUMIF('OD 12-24'!A:A,A103,'OD 12-24'!D:D)</f>
        <v>0</v>
      </c>
      <c r="G103" s="13">
        <f>SUMIF('OD 12-24'!A:A,A103,'OD 12-24'!E:E)</f>
        <v>0</v>
      </c>
      <c r="H103" s="14">
        <f t="shared" si="2"/>
        <v>0</v>
      </c>
      <c r="I103" s="14">
        <f t="shared" si="3"/>
        <v>0</v>
      </c>
      <c r="J103" s="8"/>
      <c r="K103" s="8"/>
      <c r="M103" s="339"/>
      <c r="N103" s="315"/>
    </row>
    <row r="104" spans="1:14" s="9" customFormat="1" ht="11.25" customHeight="1" x14ac:dyDescent="0.2">
      <c r="A104" s="10">
        <v>42110000</v>
      </c>
      <c r="B104" s="10" t="s">
        <v>309</v>
      </c>
      <c r="C104" s="11">
        <v>0</v>
      </c>
      <c r="D104" s="11">
        <v>0</v>
      </c>
      <c r="E104" s="11">
        <v>0</v>
      </c>
      <c r="F104" s="13">
        <f>SUMIF('OD 12-24'!A:A,A104,'OD 12-24'!D:D)</f>
        <v>0</v>
      </c>
      <c r="G104" s="13">
        <f>SUMIF('OD 12-24'!A:A,A104,'OD 12-24'!E:E)</f>
        <v>0</v>
      </c>
      <c r="H104" s="14">
        <f t="shared" si="2"/>
        <v>0</v>
      </c>
      <c r="I104" s="14">
        <f t="shared" si="3"/>
        <v>0</v>
      </c>
      <c r="J104" s="8"/>
      <c r="K104" s="8"/>
      <c r="M104" s="339"/>
      <c r="N104" s="315"/>
    </row>
    <row r="105" spans="1:14" s="9" customFormat="1" ht="11.25" customHeight="1" x14ac:dyDescent="0.2">
      <c r="A105" s="10">
        <v>42120000</v>
      </c>
      <c r="B105" s="10" t="s">
        <v>77</v>
      </c>
      <c r="C105" s="11">
        <v>21139.859999999986</v>
      </c>
      <c r="D105" s="11">
        <v>95555</v>
      </c>
      <c r="E105" s="11">
        <v>39654.993999999999</v>
      </c>
      <c r="F105" s="13">
        <f>SUMIF('OD 12-24'!A:A,A105,'OD 12-24'!D:D)</f>
        <v>0</v>
      </c>
      <c r="G105" s="13">
        <f>SUMIF('OD 12-24'!A:A,A105,'OD 12-24'!E:E)</f>
        <v>0</v>
      </c>
      <c r="H105" s="14">
        <f t="shared" si="2"/>
        <v>55900.006000000001</v>
      </c>
      <c r="I105" s="14">
        <f t="shared" si="3"/>
        <v>77039.86599999998</v>
      </c>
      <c r="J105" s="8" t="s">
        <v>78</v>
      </c>
      <c r="K105" s="8"/>
      <c r="M105" s="339"/>
      <c r="N105" s="315"/>
    </row>
    <row r="106" spans="1:14" s="9" customFormat="1" ht="11.25" customHeight="1" x14ac:dyDescent="0.2">
      <c r="A106" s="10">
        <v>42400000</v>
      </c>
      <c r="B106" s="10" t="s">
        <v>79</v>
      </c>
      <c r="C106" s="11">
        <v>0</v>
      </c>
      <c r="D106" s="11">
        <v>0</v>
      </c>
      <c r="E106" s="11">
        <v>0</v>
      </c>
      <c r="F106" s="13">
        <f>SUMIF('OD 12-24'!A:A,A106,'OD 12-24'!D:D)</f>
        <v>0</v>
      </c>
      <c r="G106" s="13">
        <f>SUMIF('OD 12-24'!A:A,A106,'OD 12-24'!E:E)</f>
        <v>0</v>
      </c>
      <c r="H106" s="14">
        <f t="shared" si="2"/>
        <v>0</v>
      </c>
      <c r="I106" s="14">
        <f t="shared" si="3"/>
        <v>0</v>
      </c>
      <c r="J106" s="8"/>
      <c r="K106" s="8"/>
      <c r="M106" s="339"/>
      <c r="N106" s="315"/>
    </row>
    <row r="107" spans="1:14" s="9" customFormat="1" ht="11.25" customHeight="1" x14ac:dyDescent="0.2">
      <c r="A107" s="10">
        <v>42500000</v>
      </c>
      <c r="B107" s="10" t="s">
        <v>80</v>
      </c>
      <c r="C107" s="11">
        <v>-180820.1429999955</v>
      </c>
      <c r="D107" s="11">
        <v>1985710.3160000001</v>
      </c>
      <c r="E107" s="11">
        <v>1808940.2309999999</v>
      </c>
      <c r="F107" s="13">
        <f>SUMIF('OD 12-24'!A:A,A107,'OD 12-24'!D:D)</f>
        <v>0</v>
      </c>
      <c r="G107" s="13">
        <f>SUMIF('OD 12-24'!A:A,A107,'OD 12-24'!E:E)</f>
        <v>0</v>
      </c>
      <c r="H107" s="14">
        <f t="shared" si="2"/>
        <v>176770.0850000002</v>
      </c>
      <c r="I107" s="14">
        <f t="shared" si="3"/>
        <v>-4050.0579999953043</v>
      </c>
      <c r="J107" s="8" t="s">
        <v>81</v>
      </c>
      <c r="K107" s="8"/>
      <c r="M107" s="339"/>
      <c r="N107" s="315"/>
    </row>
    <row r="108" spans="1:14" s="9" customFormat="1" ht="11.25" customHeight="1" x14ac:dyDescent="0.2">
      <c r="A108" s="10">
        <v>42700000</v>
      </c>
      <c r="B108" s="10" t="s">
        <v>310</v>
      </c>
      <c r="C108" s="11">
        <v>0</v>
      </c>
      <c r="D108" s="11">
        <v>0</v>
      </c>
      <c r="E108" s="11">
        <v>0</v>
      </c>
      <c r="F108" s="13">
        <f>SUMIF('OD 12-24'!A:A,A108,'OD 12-24'!D:D)</f>
        <v>0</v>
      </c>
      <c r="G108" s="13">
        <f>SUMIF('OD 12-24'!A:A,A108,'OD 12-24'!E:E)</f>
        <v>0</v>
      </c>
      <c r="H108" s="14">
        <f t="shared" si="2"/>
        <v>0</v>
      </c>
      <c r="I108" s="14">
        <f t="shared" si="3"/>
        <v>0</v>
      </c>
      <c r="J108" s="8"/>
      <c r="K108" s="8"/>
      <c r="M108" s="339"/>
      <c r="N108" s="315"/>
    </row>
    <row r="109" spans="1:14" s="9" customFormat="1" ht="11.25" customHeight="1" x14ac:dyDescent="0.2">
      <c r="A109" s="10">
        <v>42710000</v>
      </c>
      <c r="B109" s="10" t="s">
        <v>82</v>
      </c>
      <c r="C109" s="11">
        <v>-2433.5259999999907</v>
      </c>
      <c r="D109" s="11">
        <v>5208.05</v>
      </c>
      <c r="E109" s="11">
        <v>4477.2719999999999</v>
      </c>
      <c r="F109" s="13">
        <f>SUMIF('OD 12-24'!A:A,A109,'OD 12-24'!D:D)</f>
        <v>0</v>
      </c>
      <c r="G109" s="13">
        <f>SUMIF('OD 12-24'!A:A,A109,'OD 12-24'!E:E)</f>
        <v>0</v>
      </c>
      <c r="H109" s="14">
        <f t="shared" si="2"/>
        <v>730.77800000000025</v>
      </c>
      <c r="I109" s="14">
        <f t="shared" si="3"/>
        <v>-1702.7479999999905</v>
      </c>
      <c r="J109" s="8" t="s">
        <v>81</v>
      </c>
      <c r="K109" s="8"/>
      <c r="M109" s="339"/>
      <c r="N109" s="315"/>
    </row>
    <row r="110" spans="1:14" s="9" customFormat="1" ht="11.25" customHeight="1" x14ac:dyDescent="0.2">
      <c r="A110" s="10">
        <v>42820000</v>
      </c>
      <c r="B110" s="10" t="s">
        <v>83</v>
      </c>
      <c r="C110" s="11">
        <v>-245931.41399999941</v>
      </c>
      <c r="D110" s="11">
        <v>245931.41399999996</v>
      </c>
      <c r="E110" s="11">
        <v>0</v>
      </c>
      <c r="F110" s="13">
        <f>SUMIF('OD 12-24'!A:A,A110,'OD 12-24'!D:D)</f>
        <v>3569487.4890000001</v>
      </c>
      <c r="G110" s="13">
        <f>SUMIF('OD 12-24'!A:A,A110,'OD 12-24'!E:E)</f>
        <v>3829487.4890000001</v>
      </c>
      <c r="H110" s="14">
        <f t="shared" si="2"/>
        <v>-14068.586000000127</v>
      </c>
      <c r="I110" s="14">
        <f t="shared" si="3"/>
        <v>-259999.99999999953</v>
      </c>
      <c r="J110" s="8" t="s">
        <v>81</v>
      </c>
      <c r="K110" s="8"/>
      <c r="M110" s="339"/>
      <c r="N110" s="315"/>
    </row>
    <row r="111" spans="1:14" s="9" customFormat="1" ht="11.25" customHeight="1" x14ac:dyDescent="0.2">
      <c r="A111" s="10">
        <v>43200000</v>
      </c>
      <c r="B111" s="10" t="s">
        <v>311</v>
      </c>
      <c r="C111" s="11">
        <v>0</v>
      </c>
      <c r="D111" s="11">
        <v>0</v>
      </c>
      <c r="E111" s="11">
        <v>0</v>
      </c>
      <c r="F111" s="13">
        <f>SUMIF('OD 12-24'!A:A,A111,'OD 12-24'!D:D)</f>
        <v>0</v>
      </c>
      <c r="G111" s="13">
        <f>SUMIF('OD 12-24'!A:A,A111,'OD 12-24'!E:E)</f>
        <v>0</v>
      </c>
      <c r="H111" s="14">
        <f t="shared" si="2"/>
        <v>0</v>
      </c>
      <c r="I111" s="14">
        <f t="shared" si="3"/>
        <v>0</v>
      </c>
      <c r="J111" s="8"/>
      <c r="K111" s="8"/>
      <c r="M111" s="339"/>
      <c r="N111" s="315"/>
    </row>
    <row r="112" spans="1:14" s="9" customFormat="1" ht="11.25" customHeight="1" x14ac:dyDescent="0.2">
      <c r="A112" s="10">
        <v>43210000</v>
      </c>
      <c r="B112" s="10" t="s">
        <v>84</v>
      </c>
      <c r="C112" s="11">
        <v>0</v>
      </c>
      <c r="D112" s="11">
        <v>363939.17099999997</v>
      </c>
      <c r="E112" s="11">
        <v>427283.592</v>
      </c>
      <c r="F112" s="13">
        <f>SUMIF('OD 12-24'!A:A,A112,'OD 12-24'!D:D)</f>
        <v>0</v>
      </c>
      <c r="G112" s="13">
        <f>SUMIF('OD 12-24'!A:A,A112,'OD 12-24'!E:E)</f>
        <v>0</v>
      </c>
      <c r="H112" s="14">
        <f t="shared" si="2"/>
        <v>-63344.421000000031</v>
      </c>
      <c r="I112" s="14">
        <f t="shared" si="3"/>
        <v>-63344.421000000031</v>
      </c>
      <c r="J112" s="8" t="s">
        <v>81</v>
      </c>
      <c r="K112" s="8"/>
      <c r="M112" s="339"/>
      <c r="N112" s="315"/>
    </row>
    <row r="113" spans="1:14" s="9" customFormat="1" ht="11.25" customHeight="1" x14ac:dyDescent="0.2">
      <c r="A113" s="10">
        <v>43211000</v>
      </c>
      <c r="B113" s="10" t="s">
        <v>312</v>
      </c>
      <c r="C113" s="11">
        <v>0</v>
      </c>
      <c r="D113" s="11">
        <v>2549.4430000000002</v>
      </c>
      <c r="E113" s="11">
        <v>2549.4430000000002</v>
      </c>
      <c r="F113" s="13">
        <f>SUMIF('OD 12-24'!A:A,A113,'OD 12-24'!D:D)</f>
        <v>0</v>
      </c>
      <c r="G113" s="13">
        <f>SUMIF('OD 12-24'!A:A,A113,'OD 12-24'!E:E)</f>
        <v>0</v>
      </c>
      <c r="H113" s="14">
        <f t="shared" si="2"/>
        <v>0</v>
      </c>
      <c r="I113" s="14">
        <f t="shared" si="3"/>
        <v>0</v>
      </c>
      <c r="J113" s="8" t="s">
        <v>81</v>
      </c>
      <c r="K113" s="8"/>
      <c r="M113" s="339"/>
      <c r="N113" s="315"/>
    </row>
    <row r="114" spans="1:14" s="9" customFormat="1" ht="11.25" customHeight="1" x14ac:dyDescent="0.2">
      <c r="A114" s="10">
        <v>43211500</v>
      </c>
      <c r="B114" s="10" t="s">
        <v>85</v>
      </c>
      <c r="C114" s="11">
        <v>0</v>
      </c>
      <c r="D114" s="11">
        <v>149.95400000000001</v>
      </c>
      <c r="E114" s="11">
        <v>149.95499999999998</v>
      </c>
      <c r="F114" s="13">
        <f>SUMIF('OD 12-24'!A:A,A114,'OD 12-24'!D:D)</f>
        <v>0</v>
      </c>
      <c r="G114" s="13">
        <f>SUMIF('OD 12-24'!A:A,A114,'OD 12-24'!E:E)</f>
        <v>0</v>
      </c>
      <c r="H114" s="14">
        <f t="shared" si="2"/>
        <v>-9.9999999997635314E-4</v>
      </c>
      <c r="I114" s="14">
        <f t="shared" si="3"/>
        <v>-9.9999999997635314E-4</v>
      </c>
      <c r="J114" s="8" t="s">
        <v>81</v>
      </c>
      <c r="K114" s="8"/>
      <c r="M114" s="339"/>
      <c r="N114" s="315"/>
    </row>
    <row r="115" spans="1:14" s="9" customFormat="1" ht="11.25" customHeight="1" x14ac:dyDescent="0.2">
      <c r="A115" s="10">
        <v>43212500</v>
      </c>
      <c r="B115" s="10" t="s">
        <v>313</v>
      </c>
      <c r="C115" s="11">
        <v>0</v>
      </c>
      <c r="D115" s="11">
        <v>0</v>
      </c>
      <c r="E115" s="11">
        <v>0</v>
      </c>
      <c r="F115" s="13">
        <f>SUMIF('OD 12-24'!A:A,A115,'OD 12-24'!D:D)</f>
        <v>0</v>
      </c>
      <c r="G115" s="13">
        <f>SUMIF('OD 12-24'!A:A,A115,'OD 12-24'!E:E)</f>
        <v>0</v>
      </c>
      <c r="H115" s="14">
        <f t="shared" si="2"/>
        <v>0</v>
      </c>
      <c r="I115" s="14">
        <f t="shared" si="3"/>
        <v>0</v>
      </c>
      <c r="J115" s="8"/>
      <c r="K115" s="8"/>
      <c r="M115" s="339"/>
      <c r="N115" s="315"/>
    </row>
    <row r="116" spans="1:14" s="9" customFormat="1" ht="11.25" customHeight="1" x14ac:dyDescent="0.2">
      <c r="A116" s="10">
        <v>43215000</v>
      </c>
      <c r="B116" s="10" t="s">
        <v>314</v>
      </c>
      <c r="C116" s="11">
        <v>0</v>
      </c>
      <c r="D116" s="11">
        <v>0</v>
      </c>
      <c r="E116" s="11">
        <v>0</v>
      </c>
      <c r="F116" s="13">
        <f>SUMIF('OD 12-24'!A:A,A116,'OD 12-24'!D:D)</f>
        <v>0</v>
      </c>
      <c r="G116" s="13">
        <f>SUMIF('OD 12-24'!A:A,A116,'OD 12-24'!E:E)</f>
        <v>0</v>
      </c>
      <c r="H116" s="14">
        <f t="shared" si="2"/>
        <v>0</v>
      </c>
      <c r="I116" s="14">
        <f t="shared" si="3"/>
        <v>0</v>
      </c>
      <c r="J116" s="8"/>
      <c r="K116" s="8"/>
      <c r="M116" s="339"/>
      <c r="N116" s="315"/>
    </row>
    <row r="117" spans="1:14" s="9" customFormat="1" ht="11.25" customHeight="1" x14ac:dyDescent="0.2">
      <c r="A117" s="10">
        <v>43220000</v>
      </c>
      <c r="B117" s="10" t="s">
        <v>86</v>
      </c>
      <c r="C117" s="11">
        <v>0</v>
      </c>
      <c r="D117" s="11">
        <v>42808.722999999998</v>
      </c>
      <c r="E117" s="11">
        <v>42808.759000000005</v>
      </c>
      <c r="F117" s="13">
        <f>SUMIF('OD 12-24'!A:A,A117,'OD 12-24'!D:D)</f>
        <v>0</v>
      </c>
      <c r="G117" s="13">
        <f>SUMIF('OD 12-24'!A:A,A117,'OD 12-24'!E:E)</f>
        <v>0</v>
      </c>
      <c r="H117" s="14">
        <f t="shared" si="2"/>
        <v>-3.6000000007334165E-2</v>
      </c>
      <c r="I117" s="14">
        <f t="shared" si="3"/>
        <v>-3.6000000007334165E-2</v>
      </c>
      <c r="J117" s="8" t="s">
        <v>81</v>
      </c>
      <c r="K117" s="8"/>
      <c r="M117" s="339"/>
      <c r="N117" s="315"/>
    </row>
    <row r="118" spans="1:14" s="9" customFormat="1" ht="11.25" customHeight="1" x14ac:dyDescent="0.2">
      <c r="A118" s="10">
        <v>43220050</v>
      </c>
      <c r="B118" s="10" t="s">
        <v>315</v>
      </c>
      <c r="C118" s="11">
        <v>4.7000000002299203E-2</v>
      </c>
      <c r="D118" s="11">
        <v>2.98</v>
      </c>
      <c r="E118" s="11">
        <v>2.98</v>
      </c>
      <c r="F118" s="13">
        <f>SUMIF('OD 12-24'!A:A,A118,'OD 12-24'!D:D)</f>
        <v>0</v>
      </c>
      <c r="G118" s="13">
        <f>SUMIF('OD 12-24'!A:A,A118,'OD 12-24'!E:E)</f>
        <v>0</v>
      </c>
      <c r="H118" s="14">
        <f t="shared" si="2"/>
        <v>0</v>
      </c>
      <c r="I118" s="14">
        <f t="shared" si="3"/>
        <v>4.7000000002299203E-2</v>
      </c>
      <c r="J118" s="8" t="s">
        <v>78</v>
      </c>
      <c r="K118" s="8"/>
      <c r="M118" s="339"/>
      <c r="N118" s="315"/>
    </row>
    <row r="119" spans="1:14" s="9" customFormat="1" ht="11.25" customHeight="1" x14ac:dyDescent="0.2">
      <c r="A119" s="10">
        <v>43220100</v>
      </c>
      <c r="B119" s="10" t="s">
        <v>87</v>
      </c>
      <c r="C119" s="11">
        <v>0</v>
      </c>
      <c r="D119" s="11">
        <v>90107.307000000001</v>
      </c>
      <c r="E119" s="11">
        <v>112477.73000000001</v>
      </c>
      <c r="F119" s="13">
        <f>SUMIF('OD 12-24'!A:A,A119,'OD 12-24'!D:D)</f>
        <v>0</v>
      </c>
      <c r="G119" s="13">
        <f>SUMIF('OD 12-24'!A:A,A119,'OD 12-24'!E:E)</f>
        <v>0</v>
      </c>
      <c r="H119" s="14">
        <f t="shared" si="2"/>
        <v>-22370.42300000001</v>
      </c>
      <c r="I119" s="14">
        <f t="shared" si="3"/>
        <v>-22370.42300000001</v>
      </c>
      <c r="J119" s="8" t="s">
        <v>81</v>
      </c>
      <c r="K119" s="8"/>
      <c r="M119" s="339"/>
      <c r="N119" s="315"/>
    </row>
    <row r="120" spans="1:14" s="9" customFormat="1" ht="11.25" customHeight="1" x14ac:dyDescent="0.2">
      <c r="A120" s="10">
        <v>43220300</v>
      </c>
      <c r="B120" s="10" t="s">
        <v>88</v>
      </c>
      <c r="C120" s="11">
        <v>0</v>
      </c>
      <c r="D120" s="11">
        <v>1789.9489999999998</v>
      </c>
      <c r="E120" s="11">
        <v>1857.779</v>
      </c>
      <c r="F120" s="13">
        <f>SUMIF('OD 12-24'!A:A,A120,'OD 12-24'!D:D)</f>
        <v>0</v>
      </c>
      <c r="G120" s="13">
        <f>SUMIF('OD 12-24'!A:A,A120,'OD 12-24'!E:E)</f>
        <v>0</v>
      </c>
      <c r="H120" s="14">
        <f t="shared" si="2"/>
        <v>-67.830000000000155</v>
      </c>
      <c r="I120" s="14">
        <f t="shared" si="3"/>
        <v>-67.830000000000155</v>
      </c>
      <c r="J120" s="8" t="s">
        <v>81</v>
      </c>
      <c r="K120" s="8"/>
      <c r="M120" s="339"/>
      <c r="N120" s="315"/>
    </row>
    <row r="121" spans="1:14" s="9" customFormat="1" ht="11.25" customHeight="1" x14ac:dyDescent="0.2">
      <c r="A121" s="10">
        <v>43221000</v>
      </c>
      <c r="B121" s="10" t="s">
        <v>89</v>
      </c>
      <c r="C121" s="11">
        <v>0</v>
      </c>
      <c r="D121" s="11">
        <v>0</v>
      </c>
      <c r="E121" s="11">
        <v>0</v>
      </c>
      <c r="F121" s="13">
        <f>SUMIF('OD 12-24'!A:A,A121,'OD 12-24'!D:D)</f>
        <v>0</v>
      </c>
      <c r="G121" s="13">
        <f>SUMIF('OD 12-24'!A:A,A121,'OD 12-24'!E:E)</f>
        <v>0</v>
      </c>
      <c r="H121" s="14">
        <f t="shared" si="2"/>
        <v>0</v>
      </c>
      <c r="I121" s="14">
        <f t="shared" si="3"/>
        <v>0</v>
      </c>
      <c r="J121" s="8" t="s">
        <v>81</v>
      </c>
      <c r="K121" s="8"/>
      <c r="M121" s="339"/>
      <c r="N121" s="315"/>
    </row>
    <row r="122" spans="1:14" s="9" customFormat="1" ht="11.25" customHeight="1" x14ac:dyDescent="0.2">
      <c r="A122" s="10">
        <v>43222000</v>
      </c>
      <c r="B122" s="10" t="s">
        <v>316</v>
      </c>
      <c r="C122" s="11">
        <v>0</v>
      </c>
      <c r="D122" s="11">
        <v>81636.790000000008</v>
      </c>
      <c r="E122" s="11">
        <v>81636.790000000008</v>
      </c>
      <c r="F122" s="13">
        <f>SUMIF('OD 12-24'!A:A,A122,'OD 12-24'!D:D)</f>
        <v>0</v>
      </c>
      <c r="G122" s="13">
        <f>SUMIF('OD 12-24'!A:A,A122,'OD 12-24'!E:E)</f>
        <v>0</v>
      </c>
      <c r="H122" s="14">
        <f t="shared" si="2"/>
        <v>0</v>
      </c>
      <c r="I122" s="14">
        <f t="shared" si="3"/>
        <v>0</v>
      </c>
      <c r="J122" s="8" t="s">
        <v>78</v>
      </c>
      <c r="K122" s="8"/>
      <c r="M122" s="339"/>
      <c r="N122" s="315"/>
    </row>
    <row r="123" spans="1:14" s="9" customFormat="1" ht="11.25" customHeight="1" x14ac:dyDescent="0.2">
      <c r="A123" s="10">
        <v>43223000</v>
      </c>
      <c r="B123" s="10" t="s">
        <v>90</v>
      </c>
      <c r="C123" s="11">
        <v>-40912.060000000027</v>
      </c>
      <c r="D123" s="11">
        <v>49788.745000000003</v>
      </c>
      <c r="E123" s="11">
        <v>9946.5839999999989</v>
      </c>
      <c r="F123" s="13">
        <f>SUMIF('OD 12-24'!A:A,A123,'OD 12-24'!D:D)</f>
        <v>0</v>
      </c>
      <c r="G123" s="13">
        <f>SUMIF('OD 12-24'!A:A,A123,'OD 12-24'!E:E)</f>
        <v>0</v>
      </c>
      <c r="H123" s="14">
        <f t="shared" si="2"/>
        <v>39842.161000000007</v>
      </c>
      <c r="I123" s="14">
        <f t="shared" si="3"/>
        <v>-1069.8990000000194</v>
      </c>
      <c r="J123" s="8" t="s">
        <v>81</v>
      </c>
      <c r="K123" s="8"/>
      <c r="M123" s="339"/>
      <c r="N123" s="315"/>
    </row>
    <row r="124" spans="1:14" s="9" customFormat="1" ht="11.25" customHeight="1" x14ac:dyDescent="0.2">
      <c r="A124" s="10">
        <v>43310000</v>
      </c>
      <c r="B124" s="10" t="s">
        <v>317</v>
      </c>
      <c r="C124" s="11">
        <v>0</v>
      </c>
      <c r="D124" s="11">
        <v>0</v>
      </c>
      <c r="E124" s="11">
        <v>0</v>
      </c>
      <c r="F124" s="13">
        <f>SUMIF('OD 12-24'!A:A,A124,'OD 12-24'!D:D)</f>
        <v>0</v>
      </c>
      <c r="G124" s="13">
        <f>SUMIF('OD 12-24'!A:A,A124,'OD 12-24'!E:E)</f>
        <v>0</v>
      </c>
      <c r="H124" s="14">
        <f t="shared" si="2"/>
        <v>0</v>
      </c>
      <c r="I124" s="14">
        <f t="shared" si="3"/>
        <v>0</v>
      </c>
      <c r="J124" s="8"/>
      <c r="K124" s="8"/>
      <c r="M124" s="339"/>
      <c r="N124" s="315"/>
    </row>
    <row r="125" spans="1:14" s="9" customFormat="1" ht="11.25" customHeight="1" x14ac:dyDescent="0.2">
      <c r="A125" s="10">
        <v>43400000</v>
      </c>
      <c r="B125" s="10" t="s">
        <v>91</v>
      </c>
      <c r="C125" s="11">
        <v>967729.65199999954</v>
      </c>
      <c r="D125" s="11">
        <v>0</v>
      </c>
      <c r="E125" s="11">
        <v>0</v>
      </c>
      <c r="F125" s="13">
        <f>SUMIF('OD 12-24'!A:A,A125,'OD 12-24'!D:D)</f>
        <v>0</v>
      </c>
      <c r="G125" s="13">
        <f>SUMIF('OD 12-24'!A:A,A125,'OD 12-24'!E:E)</f>
        <v>0</v>
      </c>
      <c r="H125" s="14">
        <f t="shared" si="2"/>
        <v>0</v>
      </c>
      <c r="I125" s="14">
        <f t="shared" si="3"/>
        <v>967729.65199999954</v>
      </c>
      <c r="J125" s="8" t="s">
        <v>78</v>
      </c>
      <c r="K125" s="8"/>
      <c r="M125" s="339"/>
      <c r="N125" s="315"/>
    </row>
    <row r="126" spans="1:14" s="9" customFormat="1" ht="11.25" customHeight="1" x14ac:dyDescent="0.2">
      <c r="A126" s="10">
        <v>43410000</v>
      </c>
      <c r="B126" s="10" t="s">
        <v>318</v>
      </c>
      <c r="C126" s="11">
        <v>0</v>
      </c>
      <c r="D126" s="11">
        <v>192564.35399999999</v>
      </c>
      <c r="E126" s="11">
        <v>0</v>
      </c>
      <c r="F126" s="13">
        <f>SUMIF('OD 12-24'!A:A,A126,'OD 12-24'!D:D)</f>
        <v>0</v>
      </c>
      <c r="G126" s="13">
        <f>SUMIF('OD 12-24'!A:A,A126,'OD 12-24'!E:E)</f>
        <v>0</v>
      </c>
      <c r="H126" s="14">
        <f t="shared" si="2"/>
        <v>192564.35399999999</v>
      </c>
      <c r="I126" s="14">
        <f t="shared" si="3"/>
        <v>192564.35399999999</v>
      </c>
      <c r="J126" s="8" t="s">
        <v>78</v>
      </c>
      <c r="K126" s="8"/>
      <c r="M126" s="339"/>
      <c r="N126" s="315"/>
    </row>
    <row r="127" spans="1:14" s="9" customFormat="1" ht="11.25" customHeight="1" x14ac:dyDescent="0.2">
      <c r="A127" s="10">
        <v>43420000</v>
      </c>
      <c r="B127" s="10" t="s">
        <v>92</v>
      </c>
      <c r="C127" s="11">
        <v>0</v>
      </c>
      <c r="D127" s="11">
        <v>0</v>
      </c>
      <c r="E127" s="11">
        <v>0</v>
      </c>
      <c r="F127" s="13">
        <f>SUMIF('OD 12-24'!A:A,A127,'OD 12-24'!D:D)</f>
        <v>0</v>
      </c>
      <c r="G127" s="13">
        <f>SUMIF('OD 12-24'!A:A,A127,'OD 12-24'!E:E)</f>
        <v>0</v>
      </c>
      <c r="H127" s="14">
        <f t="shared" si="2"/>
        <v>0</v>
      </c>
      <c r="I127" s="14">
        <f t="shared" si="3"/>
        <v>0</v>
      </c>
      <c r="J127" s="8"/>
      <c r="K127" s="8"/>
      <c r="M127" s="339"/>
      <c r="N127" s="315"/>
    </row>
    <row r="128" spans="1:14" s="9" customFormat="1" ht="11.25" customHeight="1" x14ac:dyDescent="0.2">
      <c r="A128" s="10">
        <v>43430000</v>
      </c>
      <c r="B128" s="10" t="s">
        <v>319</v>
      </c>
      <c r="C128" s="11">
        <v>0</v>
      </c>
      <c r="D128" s="11">
        <v>135.946</v>
      </c>
      <c r="E128" s="11">
        <v>135.946</v>
      </c>
      <c r="F128" s="13">
        <f>SUMIF('OD 12-24'!A:A,A128,'OD 12-24'!D:D)</f>
        <v>0</v>
      </c>
      <c r="G128" s="13">
        <f>SUMIF('OD 12-24'!A:A,A128,'OD 12-24'!E:E)</f>
        <v>0</v>
      </c>
      <c r="H128" s="14">
        <f t="shared" si="2"/>
        <v>0</v>
      </c>
      <c r="I128" s="14">
        <f t="shared" si="3"/>
        <v>0</v>
      </c>
      <c r="J128" s="8" t="s">
        <v>78</v>
      </c>
      <c r="K128" s="8"/>
      <c r="M128" s="339"/>
      <c r="N128" s="315"/>
    </row>
    <row r="129" spans="1:14" s="9" customFormat="1" ht="11.25" customHeight="1" x14ac:dyDescent="0.2">
      <c r="A129" s="10">
        <v>43440000</v>
      </c>
      <c r="B129" s="10" t="s">
        <v>320</v>
      </c>
      <c r="C129" s="11">
        <v>0</v>
      </c>
      <c r="D129" s="11">
        <v>6135.9</v>
      </c>
      <c r="E129" s="11">
        <v>6135.9</v>
      </c>
      <c r="F129" s="13">
        <f>SUMIF('OD 12-24'!A:A,A129,'OD 12-24'!D:D)</f>
        <v>0</v>
      </c>
      <c r="G129" s="13">
        <f>SUMIF('OD 12-24'!A:A,A129,'OD 12-24'!E:E)</f>
        <v>0</v>
      </c>
      <c r="H129" s="14">
        <f t="shared" si="2"/>
        <v>0</v>
      </c>
      <c r="I129" s="14">
        <f t="shared" si="3"/>
        <v>0</v>
      </c>
      <c r="J129" s="8" t="s">
        <v>78</v>
      </c>
      <c r="K129" s="8"/>
      <c r="M129" s="339"/>
      <c r="N129" s="315"/>
    </row>
    <row r="130" spans="1:14" s="9" customFormat="1" ht="11.25" customHeight="1" x14ac:dyDescent="0.2">
      <c r="A130" s="10">
        <v>43500000</v>
      </c>
      <c r="B130" s="10" t="s">
        <v>321</v>
      </c>
      <c r="C130" s="11">
        <v>-70408.270000000484</v>
      </c>
      <c r="D130" s="11">
        <v>413181.31799999997</v>
      </c>
      <c r="E130" s="11">
        <v>557840.52599999995</v>
      </c>
      <c r="F130" s="13">
        <f>SUMIF('OD 12-24'!A:A,A130,'OD 12-24'!D:D)</f>
        <v>0</v>
      </c>
      <c r="G130" s="13">
        <f>SUMIF('OD 12-24'!A:A,A130,'OD 12-24'!E:E)</f>
        <v>0</v>
      </c>
      <c r="H130" s="14">
        <f t="shared" si="2"/>
        <v>-144659.20799999998</v>
      </c>
      <c r="I130" s="14">
        <f t="shared" si="3"/>
        <v>-215067.47800000047</v>
      </c>
      <c r="J130" s="8" t="s">
        <v>81</v>
      </c>
      <c r="K130" s="8"/>
      <c r="M130" s="339"/>
      <c r="N130" s="315"/>
    </row>
    <row r="131" spans="1:14" s="9" customFormat="1" ht="11.25" customHeight="1" x14ac:dyDescent="0.2">
      <c r="A131" s="10">
        <v>43600000</v>
      </c>
      <c r="B131" s="10" t="s">
        <v>93</v>
      </c>
      <c r="C131" s="11">
        <v>697619.66200000048</v>
      </c>
      <c r="D131" s="11">
        <v>4297647.4519999996</v>
      </c>
      <c r="E131" s="11">
        <v>3251350.9689999996</v>
      </c>
      <c r="F131" s="13">
        <f>SUMIF('OD 12-24'!A:A,A131,'OD 12-24'!D:D)</f>
        <v>0</v>
      </c>
      <c r="G131" s="13">
        <f>SUMIF('OD 12-24'!A:A,A131,'OD 12-24'!E:E)</f>
        <v>0</v>
      </c>
      <c r="H131" s="14">
        <f t="shared" ref="H131:H194" si="4">+D131+F131-E131-G131</f>
        <v>1046296.483</v>
      </c>
      <c r="I131" s="14">
        <f t="shared" ref="I131:I194" si="5">+H131+C131</f>
        <v>1743916.1450000005</v>
      </c>
      <c r="J131" s="8" t="s">
        <v>78</v>
      </c>
      <c r="K131" s="8"/>
      <c r="M131" s="339"/>
      <c r="N131" s="315"/>
    </row>
    <row r="132" spans="1:14" s="9" customFormat="1" ht="11.25" customHeight="1" x14ac:dyDescent="0.2">
      <c r="A132" s="10">
        <v>43625000</v>
      </c>
      <c r="B132" s="10" t="s">
        <v>94</v>
      </c>
      <c r="C132" s="11">
        <v>0</v>
      </c>
      <c r="D132" s="11">
        <v>130883.23000000001</v>
      </c>
      <c r="E132" s="11">
        <v>160561.60500000001</v>
      </c>
      <c r="F132" s="13">
        <f>SUMIF('OD 12-24'!A:A,A132,'OD 12-24'!D:D)</f>
        <v>30688.393</v>
      </c>
      <c r="G132" s="13">
        <f>SUMIF('OD 12-24'!A:A,A132,'OD 12-24'!E:E)</f>
        <v>30688.393</v>
      </c>
      <c r="H132" s="14">
        <f t="shared" si="4"/>
        <v>-29678.374999999989</v>
      </c>
      <c r="I132" s="14">
        <f t="shared" si="5"/>
        <v>-29678.374999999989</v>
      </c>
      <c r="J132" s="8" t="s">
        <v>81</v>
      </c>
      <c r="K132" s="8"/>
      <c r="M132" s="339"/>
      <c r="N132" s="315"/>
    </row>
    <row r="133" spans="1:14" s="9" customFormat="1" ht="11.25" customHeight="1" x14ac:dyDescent="0.2">
      <c r="A133" s="10">
        <v>43627000</v>
      </c>
      <c r="B133" s="10" t="s">
        <v>95</v>
      </c>
      <c r="C133" s="11">
        <v>1.0999999940395355E-2</v>
      </c>
      <c r="D133" s="11">
        <v>916182.61</v>
      </c>
      <c r="E133" s="11">
        <v>1123931.2080000001</v>
      </c>
      <c r="F133" s="13">
        <f>SUMIF('OD 12-24'!A:A,A133,'OD 12-24'!D:D)</f>
        <v>214818.74900000001</v>
      </c>
      <c r="G133" s="13">
        <f>SUMIF('OD 12-24'!A:A,A133,'OD 12-24'!E:E)</f>
        <v>214818.74900000001</v>
      </c>
      <c r="H133" s="14">
        <f t="shared" si="4"/>
        <v>-207748.59800000017</v>
      </c>
      <c r="I133" s="14">
        <f t="shared" si="5"/>
        <v>-207748.58700000023</v>
      </c>
      <c r="J133" s="8" t="s">
        <v>81</v>
      </c>
      <c r="K133" s="8"/>
      <c r="M133" s="339"/>
      <c r="N133" s="315"/>
    </row>
    <row r="134" spans="1:14" s="9" customFormat="1" ht="11.25" customHeight="1" x14ac:dyDescent="0.2">
      <c r="A134" s="10">
        <v>43630600</v>
      </c>
      <c r="B134" s="10" t="s">
        <v>322</v>
      </c>
      <c r="C134" s="11">
        <v>0</v>
      </c>
      <c r="D134" s="11">
        <v>0</v>
      </c>
      <c r="E134" s="11">
        <v>0</v>
      </c>
      <c r="F134" s="13">
        <f>SUMIF('OD 12-24'!A:A,A134,'OD 12-24'!D:D)</f>
        <v>0</v>
      </c>
      <c r="G134" s="13">
        <f>SUMIF('OD 12-24'!A:A,A134,'OD 12-24'!E:E)</f>
        <v>0</v>
      </c>
      <c r="H134" s="14">
        <f t="shared" si="4"/>
        <v>0</v>
      </c>
      <c r="I134" s="14">
        <f t="shared" si="5"/>
        <v>0</v>
      </c>
      <c r="J134" s="8"/>
      <c r="K134" s="8"/>
      <c r="M134" s="339"/>
      <c r="N134" s="315"/>
    </row>
    <row r="135" spans="1:14" s="9" customFormat="1" ht="11.25" customHeight="1" x14ac:dyDescent="0.2">
      <c r="A135" s="10">
        <v>43630700</v>
      </c>
      <c r="B135" s="10" t="s">
        <v>96</v>
      </c>
      <c r="C135" s="11">
        <v>6400.8769999999786</v>
      </c>
      <c r="D135" s="11">
        <v>16250.905999999999</v>
      </c>
      <c r="E135" s="11">
        <v>16560.518</v>
      </c>
      <c r="F135" s="13">
        <f>SUMIF('OD 12-24'!A:A,A135,'OD 12-24'!D:D)</f>
        <v>0</v>
      </c>
      <c r="G135" s="13">
        <f>SUMIF('OD 12-24'!A:A,A135,'OD 12-24'!E:E)</f>
        <v>0</v>
      </c>
      <c r="H135" s="14">
        <f t="shared" si="4"/>
        <v>-309.61200000000099</v>
      </c>
      <c r="I135" s="14">
        <f t="shared" si="5"/>
        <v>6091.2649999999776</v>
      </c>
      <c r="J135" s="8" t="s">
        <v>78</v>
      </c>
      <c r="K135" s="8"/>
      <c r="M135" s="339"/>
      <c r="N135" s="315"/>
    </row>
    <row r="136" spans="1:14" s="9" customFormat="1" ht="11.25" customHeight="1" x14ac:dyDescent="0.2">
      <c r="A136" s="10">
        <v>43631000</v>
      </c>
      <c r="B136" s="10" t="s">
        <v>323</v>
      </c>
      <c r="C136" s="11">
        <v>0</v>
      </c>
      <c r="D136" s="11">
        <v>0</v>
      </c>
      <c r="E136" s="11">
        <v>0</v>
      </c>
      <c r="F136" s="13">
        <f>SUMIF('OD 12-24'!A:A,A136,'OD 12-24'!D:D)</f>
        <v>0</v>
      </c>
      <c r="G136" s="13">
        <f>SUMIF('OD 12-24'!A:A,A136,'OD 12-24'!E:E)</f>
        <v>0</v>
      </c>
      <c r="H136" s="14">
        <f t="shared" si="4"/>
        <v>0</v>
      </c>
      <c r="I136" s="14">
        <f t="shared" si="5"/>
        <v>0</v>
      </c>
      <c r="J136" s="8"/>
      <c r="K136" s="8"/>
      <c r="M136" s="339"/>
      <c r="N136" s="315"/>
    </row>
    <row r="137" spans="1:14" s="9" customFormat="1" ht="11.25" customHeight="1" x14ac:dyDescent="0.2">
      <c r="A137" s="10">
        <v>43631300</v>
      </c>
      <c r="B137" s="10" t="s">
        <v>324</v>
      </c>
      <c r="C137" s="11">
        <v>0</v>
      </c>
      <c r="D137" s="11">
        <v>12157.746000000001</v>
      </c>
      <c r="E137" s="11">
        <v>9802.0349999999999</v>
      </c>
      <c r="F137" s="13">
        <f>SUMIF('OD 12-24'!A:A,A137,'OD 12-24'!D:D)</f>
        <v>0</v>
      </c>
      <c r="G137" s="13">
        <f>SUMIF('OD 12-24'!A:A,A137,'OD 12-24'!E:E)</f>
        <v>0</v>
      </c>
      <c r="H137" s="14">
        <f t="shared" si="4"/>
        <v>2355.7110000000011</v>
      </c>
      <c r="I137" s="14">
        <f t="shared" si="5"/>
        <v>2355.7110000000011</v>
      </c>
      <c r="J137" s="8" t="s">
        <v>78</v>
      </c>
      <c r="K137" s="8"/>
      <c r="M137" s="339"/>
      <c r="N137" s="315"/>
    </row>
    <row r="138" spans="1:14" s="9" customFormat="1" ht="11.25" customHeight="1" x14ac:dyDescent="0.2">
      <c r="A138" s="10">
        <v>43631800</v>
      </c>
      <c r="B138" s="10" t="s">
        <v>325</v>
      </c>
      <c r="C138" s="11">
        <v>0</v>
      </c>
      <c r="D138" s="11">
        <v>0</v>
      </c>
      <c r="E138" s="11">
        <v>0</v>
      </c>
      <c r="F138" s="13">
        <f>SUMIF('OD 12-24'!A:A,A138,'OD 12-24'!D:D)</f>
        <v>0</v>
      </c>
      <c r="G138" s="13">
        <f>SUMIF('OD 12-24'!A:A,A138,'OD 12-24'!E:E)</f>
        <v>0</v>
      </c>
      <c r="H138" s="14">
        <f t="shared" si="4"/>
        <v>0</v>
      </c>
      <c r="I138" s="14">
        <f t="shared" si="5"/>
        <v>0</v>
      </c>
      <c r="J138" s="8"/>
      <c r="K138" s="8"/>
      <c r="M138" s="339"/>
      <c r="N138" s="315"/>
    </row>
    <row r="139" spans="1:14" s="9" customFormat="1" ht="11.25" customHeight="1" x14ac:dyDescent="0.2">
      <c r="A139" s="10">
        <v>43631900</v>
      </c>
      <c r="B139" s="10" t="s">
        <v>97</v>
      </c>
      <c r="C139" s="11">
        <v>-3.9999932050704956E-3</v>
      </c>
      <c r="D139" s="11">
        <v>4512761.108</v>
      </c>
      <c r="E139" s="11">
        <v>3389247.0739999996</v>
      </c>
      <c r="F139" s="13">
        <f>SUMIF('OD 12-24'!A:A,A139,'OD 12-24'!D:D)</f>
        <v>0</v>
      </c>
      <c r="G139" s="13">
        <f>SUMIF('OD 12-24'!A:A,A139,'OD 12-24'!E:E)</f>
        <v>0</v>
      </c>
      <c r="H139" s="14">
        <f t="shared" si="4"/>
        <v>1123514.0340000005</v>
      </c>
      <c r="I139" s="14">
        <f t="shared" si="5"/>
        <v>1123514.0300000072</v>
      </c>
      <c r="J139" s="8" t="s">
        <v>78</v>
      </c>
      <c r="K139" s="8"/>
      <c r="M139" s="339"/>
      <c r="N139" s="315"/>
    </row>
    <row r="140" spans="1:14" s="9" customFormat="1" ht="11.25" customHeight="1" x14ac:dyDescent="0.2">
      <c r="A140" s="10">
        <v>43661800</v>
      </c>
      <c r="B140" s="10" t="s">
        <v>326</v>
      </c>
      <c r="C140" s="11">
        <v>0</v>
      </c>
      <c r="D140" s="11">
        <v>0</v>
      </c>
      <c r="E140" s="11">
        <v>0</v>
      </c>
      <c r="F140" s="13">
        <f>SUMIF('OD 12-24'!A:A,A140,'OD 12-24'!D:D)</f>
        <v>0</v>
      </c>
      <c r="G140" s="13">
        <f>SUMIF('OD 12-24'!A:A,A140,'OD 12-24'!E:E)</f>
        <v>0</v>
      </c>
      <c r="H140" s="14">
        <f t="shared" si="4"/>
        <v>0</v>
      </c>
      <c r="I140" s="14">
        <f t="shared" si="5"/>
        <v>0</v>
      </c>
      <c r="J140" s="8"/>
      <c r="K140" s="8"/>
      <c r="M140" s="339"/>
      <c r="N140" s="315"/>
    </row>
    <row r="141" spans="1:14" s="9" customFormat="1" ht="11.25" customHeight="1" x14ac:dyDescent="0.2">
      <c r="A141" s="465">
        <v>43671000</v>
      </c>
      <c r="B141" s="465" t="s">
        <v>98</v>
      </c>
      <c r="C141" s="16">
        <v>0</v>
      </c>
      <c r="D141" s="16">
        <v>2777728.8160000006</v>
      </c>
      <c r="E141" s="16">
        <v>3387889.96</v>
      </c>
      <c r="F141" s="466">
        <f>SUMIF('OD 12-24'!A:A,A141,'OD 12-24'!D:D)</f>
        <v>643940.79099999997</v>
      </c>
      <c r="G141" s="466">
        <f>SUMIF('OD 12-24'!A:A,A141,'OD 12-24'!E:E)</f>
        <v>643940.79099999997</v>
      </c>
      <c r="H141" s="467">
        <f t="shared" si="4"/>
        <v>-610161.14399999916</v>
      </c>
      <c r="I141" s="467">
        <f t="shared" si="5"/>
        <v>-610161.14399999916</v>
      </c>
      <c r="J141" s="8" t="s">
        <v>81</v>
      </c>
      <c r="K141" s="8"/>
      <c r="M141" s="339"/>
      <c r="N141" s="315"/>
    </row>
    <row r="142" spans="1:14" s="9" customFormat="1" ht="11.25" customHeight="1" x14ac:dyDescent="0.2">
      <c r="A142" s="465">
        <v>43700000</v>
      </c>
      <c r="B142" s="465" t="s">
        <v>99</v>
      </c>
      <c r="C142" s="16">
        <v>0</v>
      </c>
      <c r="D142" s="16">
        <v>21</v>
      </c>
      <c r="E142" s="16">
        <v>29</v>
      </c>
      <c r="F142" s="466">
        <f>SUMIF('OD 12-24'!A:A,A142,'OD 12-24'!D:D)</f>
        <v>3</v>
      </c>
      <c r="G142" s="466">
        <f>SUMIF('OD 12-24'!A:A,A142,'OD 12-24'!E:E)</f>
        <v>3</v>
      </c>
      <c r="H142" s="467">
        <f t="shared" si="4"/>
        <v>-8</v>
      </c>
      <c r="I142" s="467">
        <f t="shared" si="5"/>
        <v>-8</v>
      </c>
      <c r="J142" s="8" t="s">
        <v>81</v>
      </c>
      <c r="K142" s="8"/>
      <c r="M142" s="339"/>
      <c r="N142" s="315"/>
    </row>
    <row r="143" spans="1:14" s="9" customFormat="1" ht="11.25" customHeight="1" x14ac:dyDescent="0.2">
      <c r="A143" s="10">
        <v>43720000</v>
      </c>
      <c r="B143" s="10" t="s">
        <v>327</v>
      </c>
      <c r="C143" s="11">
        <v>0</v>
      </c>
      <c r="D143" s="11">
        <v>0</v>
      </c>
      <c r="E143" s="11">
        <v>0</v>
      </c>
      <c r="F143" s="13">
        <f>SUMIF('OD 12-24'!A:A,A143,'OD 12-24'!D:D)</f>
        <v>0</v>
      </c>
      <c r="G143" s="13">
        <f>SUMIF('OD 12-24'!A:A,A143,'OD 12-24'!E:E)</f>
        <v>0</v>
      </c>
      <c r="H143" s="14">
        <f t="shared" si="4"/>
        <v>0</v>
      </c>
      <c r="I143" s="14">
        <f t="shared" si="5"/>
        <v>0</v>
      </c>
      <c r="J143" s="8"/>
      <c r="K143" s="8"/>
      <c r="M143" s="339"/>
      <c r="N143" s="315"/>
    </row>
    <row r="144" spans="1:14" s="9" customFormat="1" ht="11.25" customHeight="1" x14ac:dyDescent="0.2">
      <c r="A144" s="10">
        <v>43756000</v>
      </c>
      <c r="B144" s="10" t="s">
        <v>328</v>
      </c>
      <c r="C144" s="11">
        <v>0</v>
      </c>
      <c r="D144" s="11">
        <v>0</v>
      </c>
      <c r="E144" s="11">
        <v>0</v>
      </c>
      <c r="F144" s="13">
        <f>SUMIF('OD 12-24'!A:A,A144,'OD 12-24'!D:D)</f>
        <v>0</v>
      </c>
      <c r="G144" s="13">
        <f>SUMIF('OD 12-24'!A:A,A144,'OD 12-24'!E:E)</f>
        <v>0</v>
      </c>
      <c r="H144" s="14">
        <f t="shared" si="4"/>
        <v>0</v>
      </c>
      <c r="I144" s="14">
        <f t="shared" si="5"/>
        <v>0</v>
      </c>
      <c r="J144" s="8"/>
      <c r="K144" s="8"/>
      <c r="M144" s="339"/>
      <c r="N144" s="315"/>
    </row>
    <row r="145" spans="1:14" s="9" customFormat="1" ht="11.25" customHeight="1" x14ac:dyDescent="0.2">
      <c r="A145" s="10">
        <v>44100000</v>
      </c>
      <c r="B145" s="10" t="s">
        <v>329</v>
      </c>
      <c r="C145" s="11">
        <v>0</v>
      </c>
      <c r="D145" s="11">
        <v>0</v>
      </c>
      <c r="E145" s="11">
        <v>0</v>
      </c>
      <c r="F145" s="13">
        <f>SUMIF('OD 12-24'!A:A,A145,'OD 12-24'!D:D)</f>
        <v>0</v>
      </c>
      <c r="G145" s="13">
        <f>SUMIF('OD 12-24'!A:A,A145,'OD 12-24'!E:E)</f>
        <v>0</v>
      </c>
      <c r="H145" s="14">
        <f t="shared" si="4"/>
        <v>0</v>
      </c>
      <c r="I145" s="14">
        <f t="shared" si="5"/>
        <v>0</v>
      </c>
      <c r="J145" s="8"/>
      <c r="K145" s="8"/>
      <c r="M145" s="339"/>
      <c r="N145" s="315"/>
    </row>
    <row r="146" spans="1:14" s="9" customFormat="1" ht="11.25" customHeight="1" x14ac:dyDescent="0.2">
      <c r="A146" s="10">
        <v>44101000</v>
      </c>
      <c r="B146" s="10" t="s">
        <v>7717</v>
      </c>
      <c r="C146" s="11">
        <v>0</v>
      </c>
      <c r="D146" s="11">
        <v>0</v>
      </c>
      <c r="E146" s="11">
        <v>0</v>
      </c>
      <c r="F146" s="13">
        <f>SUMIF('OD 12-24'!A:A,A146,'OD 12-24'!D:D)</f>
        <v>0</v>
      </c>
      <c r="G146" s="13">
        <f>SUMIF('OD 12-24'!A:A,A146,'OD 12-24'!E:E)</f>
        <v>0</v>
      </c>
      <c r="H146" s="14">
        <f t="shared" si="4"/>
        <v>0</v>
      </c>
      <c r="I146" s="14">
        <f t="shared" si="5"/>
        <v>0</v>
      </c>
      <c r="J146" s="8"/>
      <c r="K146" s="8"/>
      <c r="M146" s="339"/>
      <c r="N146" s="315"/>
    </row>
    <row r="147" spans="1:14" s="9" customFormat="1" ht="11.25" customHeight="1" x14ac:dyDescent="0.2">
      <c r="A147" s="10">
        <v>44200000</v>
      </c>
      <c r="B147" s="10" t="s">
        <v>330</v>
      </c>
      <c r="C147" s="11">
        <v>0</v>
      </c>
      <c r="D147" s="11">
        <v>0</v>
      </c>
      <c r="E147" s="11">
        <v>0</v>
      </c>
      <c r="F147" s="13">
        <f>SUMIF('OD 12-24'!A:A,A147,'OD 12-24'!D:D)</f>
        <v>0</v>
      </c>
      <c r="G147" s="13">
        <f>SUMIF('OD 12-24'!A:A,A147,'OD 12-24'!E:E)</f>
        <v>0</v>
      </c>
      <c r="H147" s="14">
        <f t="shared" si="4"/>
        <v>0</v>
      </c>
      <c r="I147" s="14">
        <f t="shared" si="5"/>
        <v>0</v>
      </c>
      <c r="J147" s="8"/>
      <c r="K147" s="8"/>
      <c r="M147" s="339"/>
      <c r="N147" s="315"/>
    </row>
    <row r="148" spans="1:14" s="9" customFormat="1" ht="11.25" customHeight="1" x14ac:dyDescent="0.2">
      <c r="A148" s="10">
        <v>44201000</v>
      </c>
      <c r="B148" s="10" t="s">
        <v>331</v>
      </c>
      <c r="C148" s="11">
        <v>44498.300999999978</v>
      </c>
      <c r="D148" s="11">
        <v>0</v>
      </c>
      <c r="E148" s="11">
        <v>44498.302000000003</v>
      </c>
      <c r="F148" s="13">
        <f>SUMIF('OD 12-24'!A:A,A148,'OD 12-24'!D:D)</f>
        <v>0</v>
      </c>
      <c r="G148" s="13">
        <f>SUMIF('OD 12-24'!A:A,A148,'OD 12-24'!E:E)</f>
        <v>0</v>
      </c>
      <c r="H148" s="14">
        <f t="shared" si="4"/>
        <v>-44498.302000000003</v>
      </c>
      <c r="I148" s="14">
        <f t="shared" si="5"/>
        <v>-1.0000000256695785E-3</v>
      </c>
      <c r="J148" s="8" t="s">
        <v>81</v>
      </c>
      <c r="K148" s="8"/>
      <c r="M148" s="339"/>
      <c r="N148" s="315"/>
    </row>
    <row r="149" spans="1:14" s="9" customFormat="1" ht="11.25" customHeight="1" x14ac:dyDescent="0.2">
      <c r="A149" s="10">
        <v>44202000</v>
      </c>
      <c r="B149" s="10" t="s">
        <v>332</v>
      </c>
      <c r="C149" s="11">
        <v>0</v>
      </c>
      <c r="D149" s="11">
        <v>0</v>
      </c>
      <c r="E149" s="11">
        <v>0</v>
      </c>
      <c r="F149" s="13">
        <f>SUMIF('OD 12-24'!A:A,A149,'OD 12-24'!D:D)</f>
        <v>0</v>
      </c>
      <c r="G149" s="13">
        <f>SUMIF('OD 12-24'!A:A,A149,'OD 12-24'!E:E)</f>
        <v>0</v>
      </c>
      <c r="H149" s="14">
        <f t="shared" si="4"/>
        <v>0</v>
      </c>
      <c r="I149" s="14">
        <f t="shared" si="5"/>
        <v>0</v>
      </c>
      <c r="J149" s="8"/>
      <c r="K149" s="8"/>
      <c r="M149" s="339"/>
      <c r="N149" s="315"/>
    </row>
    <row r="150" spans="1:14" s="9" customFormat="1" ht="11.25" customHeight="1" x14ac:dyDescent="0.2">
      <c r="A150" s="10">
        <v>44203000</v>
      </c>
      <c r="B150" s="10" t="s">
        <v>333</v>
      </c>
      <c r="C150" s="11">
        <v>0</v>
      </c>
      <c r="D150" s="11">
        <v>0</v>
      </c>
      <c r="E150" s="11">
        <v>0</v>
      </c>
      <c r="F150" s="13">
        <f>SUMIF('OD 12-24'!A:A,A150,'OD 12-24'!D:D)</f>
        <v>0</v>
      </c>
      <c r="G150" s="13">
        <f>SUMIF('OD 12-24'!A:A,A150,'OD 12-24'!E:E)</f>
        <v>0</v>
      </c>
      <c r="H150" s="14">
        <f t="shared" si="4"/>
        <v>0</v>
      </c>
      <c r="I150" s="14">
        <f t="shared" si="5"/>
        <v>0</v>
      </c>
      <c r="J150" s="8"/>
      <c r="K150" s="8"/>
      <c r="M150" s="339"/>
      <c r="N150" s="315"/>
    </row>
    <row r="151" spans="1:14" s="9" customFormat="1" ht="11.25" customHeight="1" x14ac:dyDescent="0.2">
      <c r="A151" s="10">
        <v>44204000</v>
      </c>
      <c r="B151" s="10" t="s">
        <v>334</v>
      </c>
      <c r="C151" s="11">
        <v>0</v>
      </c>
      <c r="D151" s="11">
        <v>0</v>
      </c>
      <c r="E151" s="11">
        <v>0</v>
      </c>
      <c r="F151" s="13">
        <f>SUMIF('OD 12-24'!A:A,A151,'OD 12-24'!D:D)</f>
        <v>0</v>
      </c>
      <c r="G151" s="13">
        <f>SUMIF('OD 12-24'!A:A,A151,'OD 12-24'!E:E)</f>
        <v>0</v>
      </c>
      <c r="H151" s="14">
        <f t="shared" si="4"/>
        <v>0</v>
      </c>
      <c r="I151" s="14">
        <f t="shared" si="5"/>
        <v>0</v>
      </c>
      <c r="J151" s="8"/>
      <c r="K151" s="8"/>
      <c r="M151" s="339"/>
      <c r="N151" s="315"/>
    </row>
    <row r="152" spans="1:14" s="9" customFormat="1" ht="11.25" customHeight="1" x14ac:dyDescent="0.2">
      <c r="A152" s="10">
        <v>44205000</v>
      </c>
      <c r="B152" s="10" t="s">
        <v>335</v>
      </c>
      <c r="C152" s="11">
        <v>0</v>
      </c>
      <c r="D152" s="11">
        <v>0</v>
      </c>
      <c r="E152" s="11">
        <v>0</v>
      </c>
      <c r="F152" s="13">
        <f>SUMIF('OD 12-24'!A:A,A152,'OD 12-24'!D:D)</f>
        <v>0</v>
      </c>
      <c r="G152" s="13">
        <f>SUMIF('OD 12-24'!A:A,A152,'OD 12-24'!E:E)</f>
        <v>0</v>
      </c>
      <c r="H152" s="14">
        <f t="shared" si="4"/>
        <v>0</v>
      </c>
      <c r="I152" s="14">
        <f t="shared" si="5"/>
        <v>0</v>
      </c>
      <c r="J152" s="8"/>
      <c r="K152" s="8"/>
      <c r="M152" s="339"/>
      <c r="N152" s="315"/>
    </row>
    <row r="153" spans="1:14" s="9" customFormat="1" ht="11.25" customHeight="1" x14ac:dyDescent="0.2">
      <c r="A153" s="10">
        <v>44206000</v>
      </c>
      <c r="B153" s="10" t="s">
        <v>100</v>
      </c>
      <c r="C153" s="11">
        <v>-439999.99999999988</v>
      </c>
      <c r="D153" s="11">
        <v>145000</v>
      </c>
      <c r="E153" s="11">
        <v>0</v>
      </c>
      <c r="F153" s="13">
        <f>SUMIF('OD 12-24'!A:A,A153,'OD 12-24'!D:D)</f>
        <v>0</v>
      </c>
      <c r="G153" s="13">
        <f>SUMIF('OD 12-24'!A:A,A153,'OD 12-24'!E:E)</f>
        <v>0</v>
      </c>
      <c r="H153" s="14">
        <f t="shared" si="4"/>
        <v>145000</v>
      </c>
      <c r="I153" s="14">
        <f t="shared" si="5"/>
        <v>-294999.99999999988</v>
      </c>
      <c r="J153" s="8" t="s">
        <v>81</v>
      </c>
      <c r="K153" s="8"/>
      <c r="M153" s="339"/>
      <c r="N153" s="315"/>
    </row>
    <row r="154" spans="1:14" s="9" customFormat="1" ht="11.25" customHeight="1" x14ac:dyDescent="0.2">
      <c r="A154" s="10">
        <v>44207000</v>
      </c>
      <c r="B154" s="10" t="s">
        <v>336</v>
      </c>
      <c r="C154" s="11">
        <v>165000</v>
      </c>
      <c r="D154" s="11">
        <v>60000</v>
      </c>
      <c r="E154" s="11">
        <v>0</v>
      </c>
      <c r="F154" s="13">
        <f>SUMIF('OD 12-24'!A:A,A154,'OD 12-24'!D:D)</f>
        <v>0</v>
      </c>
      <c r="G154" s="13">
        <f>SUMIF('OD 12-24'!A:A,A154,'OD 12-24'!E:E)</f>
        <v>0</v>
      </c>
      <c r="H154" s="14">
        <f t="shared" si="4"/>
        <v>60000</v>
      </c>
      <c r="I154" s="14">
        <f t="shared" si="5"/>
        <v>225000</v>
      </c>
      <c r="J154" s="8" t="s">
        <v>78</v>
      </c>
      <c r="K154" s="8"/>
      <c r="M154" s="339"/>
      <c r="N154" s="315"/>
    </row>
    <row r="155" spans="1:14" s="9" customFormat="1" ht="11.25" customHeight="1" x14ac:dyDescent="0.2">
      <c r="A155" s="10">
        <v>44208000</v>
      </c>
      <c r="B155" s="10" t="s">
        <v>337</v>
      </c>
      <c r="C155" s="11">
        <v>2270.971</v>
      </c>
      <c r="D155" s="11">
        <v>0</v>
      </c>
      <c r="E155" s="11">
        <v>0</v>
      </c>
      <c r="F155" s="13">
        <f>SUMIF('OD 12-24'!A:A,A155,'OD 12-24'!D:D)</f>
        <v>0</v>
      </c>
      <c r="G155" s="13">
        <f>SUMIF('OD 12-24'!A:A,A155,'OD 12-24'!E:E)</f>
        <v>0</v>
      </c>
      <c r="H155" s="14">
        <f t="shared" si="4"/>
        <v>0</v>
      </c>
      <c r="I155" s="14">
        <f t="shared" si="5"/>
        <v>2270.971</v>
      </c>
      <c r="J155" s="8" t="s">
        <v>78</v>
      </c>
      <c r="K155" s="8"/>
      <c r="M155" s="339"/>
      <c r="N155" s="315"/>
    </row>
    <row r="156" spans="1:14" s="9" customFormat="1" ht="11.25" customHeight="1" x14ac:dyDescent="0.2">
      <c r="A156" s="10">
        <v>44209000</v>
      </c>
      <c r="B156" s="10" t="s">
        <v>392</v>
      </c>
      <c r="C156" s="11">
        <v>3626.8820000002161</v>
      </c>
      <c r="D156" s="11">
        <v>0</v>
      </c>
      <c r="E156" s="11">
        <v>0</v>
      </c>
      <c r="F156" s="13">
        <f>SUMIF('OD 12-24'!A:A,A156,'OD 12-24'!D:D)</f>
        <v>0</v>
      </c>
      <c r="G156" s="13">
        <f>SUMIF('OD 12-24'!A:A,A156,'OD 12-24'!E:E)</f>
        <v>0</v>
      </c>
      <c r="H156" s="14">
        <f t="shared" si="4"/>
        <v>0</v>
      </c>
      <c r="I156" s="14">
        <f t="shared" si="5"/>
        <v>3626.8820000002161</v>
      </c>
      <c r="J156" s="8" t="s">
        <v>78</v>
      </c>
      <c r="K156" s="8"/>
      <c r="M156" s="339"/>
      <c r="N156" s="315"/>
    </row>
    <row r="157" spans="1:14" s="9" customFormat="1" ht="11.25" customHeight="1" x14ac:dyDescent="0.2">
      <c r="A157" s="10">
        <v>44210000</v>
      </c>
      <c r="B157" s="10" t="s">
        <v>338</v>
      </c>
      <c r="C157" s="11">
        <v>0</v>
      </c>
      <c r="D157" s="11">
        <v>0</v>
      </c>
      <c r="E157" s="11">
        <v>0</v>
      </c>
      <c r="F157" s="13">
        <f>SUMIF('OD 12-24'!A:A,A157,'OD 12-24'!D:D)</f>
        <v>0</v>
      </c>
      <c r="G157" s="13">
        <f>SUMIF('OD 12-24'!A:A,A157,'OD 12-24'!E:E)</f>
        <v>0</v>
      </c>
      <c r="H157" s="14">
        <f t="shared" si="4"/>
        <v>0</v>
      </c>
      <c r="I157" s="14">
        <f t="shared" si="5"/>
        <v>0</v>
      </c>
      <c r="J157" s="8"/>
      <c r="K157" s="8"/>
      <c r="M157" s="339"/>
      <c r="N157" s="315"/>
    </row>
    <row r="158" spans="1:14" s="9" customFormat="1" ht="11.25" customHeight="1" x14ac:dyDescent="0.2">
      <c r="A158" s="10">
        <v>44600000</v>
      </c>
      <c r="B158" s="10" t="s">
        <v>339</v>
      </c>
      <c r="C158" s="11">
        <v>0</v>
      </c>
      <c r="D158" s="11">
        <v>0</v>
      </c>
      <c r="E158" s="11">
        <v>0</v>
      </c>
      <c r="F158" s="13">
        <f>SUMIF('OD 12-24'!A:A,A158,'OD 12-24'!D:D)</f>
        <v>0</v>
      </c>
      <c r="G158" s="13">
        <f>SUMIF('OD 12-24'!A:A,A158,'OD 12-24'!E:E)</f>
        <v>0</v>
      </c>
      <c r="H158" s="14">
        <f t="shared" si="4"/>
        <v>0</v>
      </c>
      <c r="I158" s="14">
        <f t="shared" si="5"/>
        <v>0</v>
      </c>
      <c r="J158" s="8"/>
      <c r="K158" s="8"/>
      <c r="M158" s="339"/>
      <c r="N158" s="315"/>
    </row>
    <row r="159" spans="1:14" s="9" customFormat="1" ht="11.25" customHeight="1" x14ac:dyDescent="0.2">
      <c r="A159" s="10">
        <v>44700000</v>
      </c>
      <c r="B159" s="10" t="s">
        <v>101</v>
      </c>
      <c r="C159" s="11">
        <v>0</v>
      </c>
      <c r="D159" s="11">
        <v>0</v>
      </c>
      <c r="E159" s="11">
        <v>0</v>
      </c>
      <c r="F159" s="13">
        <f>SUMIF('OD 12-24'!A:A,A159,'OD 12-24'!D:D)</f>
        <v>0</v>
      </c>
      <c r="G159" s="13">
        <f>SUMIF('OD 12-24'!A:A,A159,'OD 12-24'!E:E)</f>
        <v>0</v>
      </c>
      <c r="H159" s="14">
        <f t="shared" si="4"/>
        <v>0</v>
      </c>
      <c r="I159" s="14">
        <f t="shared" si="5"/>
        <v>0</v>
      </c>
      <c r="J159" s="8"/>
      <c r="K159" s="8"/>
      <c r="M159" s="339"/>
      <c r="N159" s="315"/>
    </row>
    <row r="160" spans="1:14" s="9" customFormat="1" ht="11.25" customHeight="1" x14ac:dyDescent="0.2">
      <c r="A160" s="10">
        <v>45000000</v>
      </c>
      <c r="B160" s="10" t="s">
        <v>102</v>
      </c>
      <c r="C160" s="11">
        <v>-12700</v>
      </c>
      <c r="D160" s="11">
        <v>0</v>
      </c>
      <c r="E160" s="11">
        <v>0</v>
      </c>
      <c r="F160" s="13">
        <f>SUMIF('OD 12-24'!A:A,A160,'OD 12-24'!D:D)</f>
        <v>0</v>
      </c>
      <c r="G160" s="13">
        <f>SUMIF('OD 12-24'!A:A,A160,'OD 12-24'!E:E)</f>
        <v>0</v>
      </c>
      <c r="H160" s="14">
        <f t="shared" si="4"/>
        <v>0</v>
      </c>
      <c r="I160" s="14">
        <f t="shared" si="5"/>
        <v>-12700</v>
      </c>
      <c r="J160" s="8" t="s">
        <v>81</v>
      </c>
      <c r="K160" s="8"/>
      <c r="M160" s="339"/>
      <c r="N160" s="315"/>
    </row>
    <row r="161" spans="1:14" s="9" customFormat="1" ht="11.25" customHeight="1" x14ac:dyDescent="0.2">
      <c r="A161" s="10">
        <v>45200000</v>
      </c>
      <c r="B161" s="10" t="s">
        <v>103</v>
      </c>
      <c r="C161" s="11">
        <v>-2500</v>
      </c>
      <c r="D161" s="11">
        <v>56000</v>
      </c>
      <c r="E161" s="11">
        <v>56000</v>
      </c>
      <c r="F161" s="13">
        <f>SUMIF('OD 12-24'!A:A,A161,'OD 12-24'!D:D)</f>
        <v>0</v>
      </c>
      <c r="G161" s="13">
        <f>SUMIF('OD 12-24'!A:A,A161,'OD 12-24'!E:E)</f>
        <v>0</v>
      </c>
      <c r="H161" s="14">
        <f t="shared" si="4"/>
        <v>0</v>
      </c>
      <c r="I161" s="14">
        <f t="shared" si="5"/>
        <v>-2500</v>
      </c>
      <c r="J161" s="8" t="s">
        <v>81</v>
      </c>
      <c r="K161" s="8"/>
      <c r="M161" s="339"/>
      <c r="N161" s="315"/>
    </row>
    <row r="162" spans="1:14" s="9" customFormat="1" ht="11.25" customHeight="1" x14ac:dyDescent="0.2">
      <c r="A162" s="10">
        <v>45310000</v>
      </c>
      <c r="B162" s="10" t="s">
        <v>104</v>
      </c>
      <c r="C162" s="11">
        <v>-244010.37100000028</v>
      </c>
      <c r="D162" s="11">
        <v>500113.12299999996</v>
      </c>
      <c r="E162" s="11">
        <v>348811.36799999996</v>
      </c>
      <c r="F162" s="13">
        <f>SUMIF('OD 12-24'!A:A,A162,'OD 12-24'!D:D)</f>
        <v>829459.68700000003</v>
      </c>
      <c r="G162" s="13">
        <f>SUMIF('OD 12-24'!A:A,A162,'OD 12-24'!E:E)</f>
        <v>962096.11399999994</v>
      </c>
      <c r="H162" s="14">
        <f t="shared" si="4"/>
        <v>18665.328000000096</v>
      </c>
      <c r="I162" s="14">
        <f t="shared" si="5"/>
        <v>-225345.04300000018</v>
      </c>
      <c r="J162" s="8" t="s">
        <v>81</v>
      </c>
      <c r="K162" s="8"/>
      <c r="M162" s="339"/>
      <c r="N162" s="315"/>
    </row>
    <row r="163" spans="1:14" s="9" customFormat="1" ht="11.25" customHeight="1" x14ac:dyDescent="0.2">
      <c r="A163" s="10">
        <v>45700000</v>
      </c>
      <c r="B163" s="10" t="s">
        <v>105</v>
      </c>
      <c r="C163" s="11">
        <v>7122.9679999998771</v>
      </c>
      <c r="D163" s="11">
        <v>0</v>
      </c>
      <c r="E163" s="11">
        <v>0</v>
      </c>
      <c r="F163" s="13">
        <f>SUMIF('OD 12-24'!A:A,A163,'OD 12-24'!D:D)</f>
        <v>0</v>
      </c>
      <c r="G163" s="13">
        <f>SUMIF('OD 12-24'!A:A,A163,'OD 12-24'!E:E)</f>
        <v>0</v>
      </c>
      <c r="H163" s="14">
        <f t="shared" si="4"/>
        <v>0</v>
      </c>
      <c r="I163" s="14">
        <f t="shared" si="5"/>
        <v>7122.9679999998771</v>
      </c>
      <c r="J163" s="8" t="s">
        <v>78</v>
      </c>
      <c r="K163" s="8"/>
      <c r="M163" s="339"/>
      <c r="N163" s="315"/>
    </row>
    <row r="164" spans="1:14" s="9" customFormat="1" ht="11.25" customHeight="1" x14ac:dyDescent="0.2">
      <c r="A164" s="10">
        <v>45860000</v>
      </c>
      <c r="B164" s="10" t="s">
        <v>106</v>
      </c>
      <c r="C164" s="11">
        <v>-1872970.182</v>
      </c>
      <c r="D164" s="11">
        <v>894462.15700000001</v>
      </c>
      <c r="E164" s="11">
        <v>197370.59700000001</v>
      </c>
      <c r="F164" s="13">
        <f>SUMIF('OD 12-24'!A:A,A164,'OD 12-24'!D:D)</f>
        <v>13676379.568</v>
      </c>
      <c r="G164" s="13">
        <f>SUMIF('OD 12-24'!A:A,A164,'OD 12-24'!E:E)</f>
        <v>15506470.107000001</v>
      </c>
      <c r="H164" s="14">
        <f t="shared" si="4"/>
        <v>-1132998.9790000003</v>
      </c>
      <c r="I164" s="14">
        <f t="shared" si="5"/>
        <v>-3005969.1610000003</v>
      </c>
      <c r="J164" s="8" t="s">
        <v>81</v>
      </c>
      <c r="K164" s="8"/>
      <c r="M164" s="339"/>
      <c r="N164" s="315"/>
    </row>
    <row r="165" spans="1:14" s="9" customFormat="1" ht="11.25" customHeight="1" x14ac:dyDescent="0.2">
      <c r="A165" s="10">
        <v>45870000</v>
      </c>
      <c r="B165" s="10" t="s">
        <v>107</v>
      </c>
      <c r="C165" s="11">
        <v>38770.517999999225</v>
      </c>
      <c r="D165" s="11">
        <v>0</v>
      </c>
      <c r="E165" s="11">
        <v>38770.517999999996</v>
      </c>
      <c r="F165" s="13">
        <f>SUMIF('OD 12-24'!A:A,A165,'OD 12-24'!D:D)</f>
        <v>781411.69</v>
      </c>
      <c r="G165" s="13">
        <f>SUMIF('OD 12-24'!A:A,A165,'OD 12-24'!E:E)</f>
        <v>761130.09400000004</v>
      </c>
      <c r="H165" s="14">
        <f t="shared" si="4"/>
        <v>-18488.922000000137</v>
      </c>
      <c r="I165" s="14">
        <f t="shared" si="5"/>
        <v>20281.595999999088</v>
      </c>
      <c r="J165" s="8" t="s">
        <v>78</v>
      </c>
      <c r="K165" s="8"/>
      <c r="M165" s="339"/>
      <c r="N165" s="315"/>
    </row>
    <row r="166" spans="1:14" s="9" customFormat="1" ht="11.25" customHeight="1" x14ac:dyDescent="0.2">
      <c r="A166" s="10">
        <v>46100000</v>
      </c>
      <c r="B166" s="10" t="s">
        <v>340</v>
      </c>
      <c r="C166" s="11">
        <v>0</v>
      </c>
      <c r="D166" s="11">
        <v>26222.382999999994</v>
      </c>
      <c r="E166" s="11">
        <v>26222.382999999994</v>
      </c>
      <c r="F166" s="13">
        <f>SUMIF('OD 12-24'!A:A,A166,'OD 12-24'!D:D)</f>
        <v>0</v>
      </c>
      <c r="G166" s="13">
        <f>SUMIF('OD 12-24'!A:A,A166,'OD 12-24'!E:E)</f>
        <v>0</v>
      </c>
      <c r="H166" s="14">
        <f t="shared" si="4"/>
        <v>0</v>
      </c>
      <c r="I166" s="14">
        <f t="shared" si="5"/>
        <v>0</v>
      </c>
      <c r="J166" s="8"/>
      <c r="K166" s="8"/>
      <c r="M166" s="339"/>
      <c r="N166" s="315"/>
    </row>
    <row r="167" spans="1:14" s="9" customFormat="1" ht="11.25" customHeight="1" x14ac:dyDescent="0.2">
      <c r="A167" s="10">
        <v>46800000</v>
      </c>
      <c r="B167" s="10" t="s">
        <v>108</v>
      </c>
      <c r="C167" s="11">
        <v>0</v>
      </c>
      <c r="D167" s="11">
        <v>0</v>
      </c>
      <c r="E167" s="11">
        <v>0</v>
      </c>
      <c r="F167" s="13">
        <f>SUMIF('OD 12-24'!A:A,A167,'OD 12-24'!D:D)</f>
        <v>0</v>
      </c>
      <c r="G167" s="13">
        <f>SUMIF('OD 12-24'!A:A,A167,'OD 12-24'!E:E)</f>
        <v>0</v>
      </c>
      <c r="H167" s="14">
        <f t="shared" si="4"/>
        <v>0</v>
      </c>
      <c r="I167" s="14">
        <f t="shared" si="5"/>
        <v>0</v>
      </c>
      <c r="J167" s="8"/>
      <c r="K167" s="8"/>
      <c r="M167" s="339"/>
      <c r="N167" s="315"/>
    </row>
    <row r="168" spans="1:14" s="9" customFormat="1" ht="11.25" customHeight="1" x14ac:dyDescent="0.2">
      <c r="A168" s="10">
        <v>47100000</v>
      </c>
      <c r="B168" s="10" t="s">
        <v>109</v>
      </c>
      <c r="C168" s="11">
        <v>222018.92184599978</v>
      </c>
      <c r="D168" s="11">
        <v>523.68799999999999</v>
      </c>
      <c r="E168" s="11">
        <v>221330.79699999996</v>
      </c>
      <c r="F168" s="13">
        <f>SUMIF('OD 12-24'!A:A,A168,'OD 12-24'!D:D)</f>
        <v>2328833.8840000001</v>
      </c>
      <c r="G168" s="13">
        <f>SUMIF('OD 12-24'!A:A,A168,'OD 12-24'!E:E)</f>
        <v>1983780.872</v>
      </c>
      <c r="H168" s="14">
        <f t="shared" si="4"/>
        <v>124245.9030000004</v>
      </c>
      <c r="I168" s="14">
        <f t="shared" si="5"/>
        <v>346264.82484600018</v>
      </c>
      <c r="J168" s="8" t="s">
        <v>78</v>
      </c>
      <c r="K168" s="8"/>
      <c r="M168" s="339"/>
      <c r="N168" s="315"/>
    </row>
    <row r="169" spans="1:14" s="9" customFormat="1" ht="11.25" customHeight="1" x14ac:dyDescent="0.2">
      <c r="A169" s="10">
        <v>47200000</v>
      </c>
      <c r="B169" s="10" t="s">
        <v>341</v>
      </c>
      <c r="C169" s="11">
        <v>0</v>
      </c>
      <c r="D169" s="11">
        <v>0</v>
      </c>
      <c r="E169" s="11">
        <v>0</v>
      </c>
      <c r="F169" s="13">
        <f>SUMIF('OD 12-24'!A:A,A169,'OD 12-24'!D:D)</f>
        <v>0</v>
      </c>
      <c r="G169" s="13">
        <f>SUMIF('OD 12-24'!A:A,A169,'OD 12-24'!E:E)</f>
        <v>0</v>
      </c>
      <c r="H169" s="14">
        <f t="shared" si="4"/>
        <v>0</v>
      </c>
      <c r="I169" s="14">
        <f t="shared" si="5"/>
        <v>0</v>
      </c>
      <c r="J169" s="8"/>
      <c r="K169" s="8"/>
      <c r="M169" s="339"/>
      <c r="N169" s="315"/>
    </row>
    <row r="170" spans="1:14" s="9" customFormat="1" ht="11.25" customHeight="1" x14ac:dyDescent="0.2">
      <c r="A170" s="10">
        <v>49100000</v>
      </c>
      <c r="B170" s="10" t="s">
        <v>110</v>
      </c>
      <c r="C170" s="11">
        <v>-457129.14999999991</v>
      </c>
      <c r="D170" s="11">
        <v>0</v>
      </c>
      <c r="E170" s="11">
        <v>0</v>
      </c>
      <c r="F170" s="13">
        <f>SUMIF('OD 12-24'!A:A,A170,'OD 12-24'!D:D)</f>
        <v>2850000</v>
      </c>
      <c r="G170" s="13">
        <f>SUMIF('OD 12-24'!A:A,A170,'OD 12-24'!E:E)</f>
        <v>3323988.5890000002</v>
      </c>
      <c r="H170" s="14">
        <f t="shared" si="4"/>
        <v>-473988.58900000015</v>
      </c>
      <c r="I170" s="14">
        <f t="shared" si="5"/>
        <v>-931117.73900000006</v>
      </c>
      <c r="J170" s="8" t="s">
        <v>111</v>
      </c>
      <c r="K170" s="8"/>
      <c r="M170" s="339"/>
      <c r="N170" s="315"/>
    </row>
    <row r="171" spans="1:14" s="9" customFormat="1" ht="11.25" customHeight="1" x14ac:dyDescent="0.2">
      <c r="A171" s="10">
        <v>49600000</v>
      </c>
      <c r="B171" s="10" t="s">
        <v>112</v>
      </c>
      <c r="C171" s="11">
        <v>-288613.68499999994</v>
      </c>
      <c r="D171" s="11">
        <v>0</v>
      </c>
      <c r="E171" s="11">
        <v>0</v>
      </c>
      <c r="F171" s="13">
        <f>SUMIF('OD 12-24'!A:A,A171,'OD 12-24'!D:D)</f>
        <v>0</v>
      </c>
      <c r="G171" s="13">
        <f>SUMIF('OD 12-24'!A:A,A171,'OD 12-24'!E:E)</f>
        <v>0</v>
      </c>
      <c r="H171" s="14">
        <f t="shared" si="4"/>
        <v>0</v>
      </c>
      <c r="I171" s="14">
        <f t="shared" si="5"/>
        <v>-288613.68499999994</v>
      </c>
      <c r="J171" s="8" t="s">
        <v>113</v>
      </c>
      <c r="K171" s="8"/>
      <c r="M171" s="339"/>
      <c r="N171" s="315"/>
    </row>
    <row r="172" spans="1:14" s="9" customFormat="1" ht="11.25" customHeight="1" x14ac:dyDescent="0.2">
      <c r="A172" s="10">
        <v>50130000</v>
      </c>
      <c r="B172" s="10" t="s">
        <v>114</v>
      </c>
      <c r="C172" s="11">
        <v>-6000000</v>
      </c>
      <c r="D172" s="11">
        <v>12000000</v>
      </c>
      <c r="E172" s="11">
        <v>12000000</v>
      </c>
      <c r="F172" s="13">
        <f>SUMIF('OD 12-24'!A:A,A172,'OD 12-24'!D:D)</f>
        <v>0</v>
      </c>
      <c r="G172" s="13">
        <f>SUMIF('OD 12-24'!A:A,A172,'OD 12-24'!E:E)</f>
        <v>0</v>
      </c>
      <c r="H172" s="14">
        <f t="shared" si="4"/>
        <v>0</v>
      </c>
      <c r="I172" s="14">
        <f t="shared" si="5"/>
        <v>-6000000</v>
      </c>
      <c r="J172" s="8" t="s">
        <v>115</v>
      </c>
      <c r="K172" s="8"/>
      <c r="M172" s="339"/>
      <c r="N172" s="315"/>
    </row>
    <row r="173" spans="1:14" s="9" customFormat="1" ht="11.25" customHeight="1" x14ac:dyDescent="0.2">
      <c r="A173" s="10">
        <v>50140000</v>
      </c>
      <c r="B173" s="10" t="s">
        <v>116</v>
      </c>
      <c r="C173" s="11">
        <v>-4000000</v>
      </c>
      <c r="D173" s="11">
        <v>8000000</v>
      </c>
      <c r="E173" s="11">
        <v>8000000</v>
      </c>
      <c r="F173" s="13">
        <f>SUMIF('OD 12-24'!A:A,A173,'OD 12-24'!D:D)</f>
        <v>0</v>
      </c>
      <c r="G173" s="13">
        <f>SUMIF('OD 12-24'!A:A,A173,'OD 12-24'!E:E)</f>
        <v>0</v>
      </c>
      <c r="H173" s="14">
        <f t="shared" si="4"/>
        <v>0</v>
      </c>
      <c r="I173" s="14">
        <f t="shared" si="5"/>
        <v>-4000000</v>
      </c>
      <c r="J173" s="8" t="s">
        <v>115</v>
      </c>
      <c r="K173" s="8"/>
      <c r="M173" s="339"/>
      <c r="N173" s="315"/>
    </row>
    <row r="174" spans="1:14" s="9" customFormat="1" ht="11.25" customHeight="1" x14ac:dyDescent="0.2">
      <c r="A174" s="10">
        <v>50500000</v>
      </c>
      <c r="B174" s="10" t="s">
        <v>117</v>
      </c>
      <c r="C174" s="11">
        <v>-625000.00400000252</v>
      </c>
      <c r="D174" s="11">
        <v>312500</v>
      </c>
      <c r="E174" s="11">
        <v>0</v>
      </c>
      <c r="F174" s="13">
        <f>SUMIF('OD 12-24'!A:A,A174,'OD 12-24'!D:D)</f>
        <v>0</v>
      </c>
      <c r="G174" s="13">
        <f>SUMIF('OD 12-24'!A:A,A174,'OD 12-24'!E:E)</f>
        <v>586666</v>
      </c>
      <c r="H174" s="14">
        <f t="shared" si="4"/>
        <v>-274166</v>
      </c>
      <c r="I174" s="14">
        <f t="shared" si="5"/>
        <v>-899166.00400000252</v>
      </c>
      <c r="J174" s="8" t="s">
        <v>115</v>
      </c>
      <c r="K174" s="8"/>
      <c r="M174" s="339"/>
      <c r="N174" s="315"/>
    </row>
    <row r="175" spans="1:14" s="9" customFormat="1" ht="11.25" customHeight="1" x14ac:dyDescent="0.2">
      <c r="A175" s="10">
        <v>50515000</v>
      </c>
      <c r="B175" s="10" t="s">
        <v>118</v>
      </c>
      <c r="C175" s="11">
        <v>-131871.57899999991</v>
      </c>
      <c r="D175" s="11">
        <v>100443.50900000001</v>
      </c>
      <c r="E175" s="11">
        <v>177069.25399999999</v>
      </c>
      <c r="F175" s="13">
        <f>SUMIF('OD 12-24'!A:A,A175,'OD 12-24'!D:D)</f>
        <v>0</v>
      </c>
      <c r="G175" s="13">
        <f>SUMIF('OD 12-24'!A:A,A175,'OD 12-24'!E:E)</f>
        <v>78552.648000000001</v>
      </c>
      <c r="H175" s="14">
        <f t="shared" si="4"/>
        <v>-155178.39299999998</v>
      </c>
      <c r="I175" s="14">
        <f t="shared" si="5"/>
        <v>-287049.97199999989</v>
      </c>
      <c r="J175" s="8" t="s">
        <v>115</v>
      </c>
      <c r="K175" s="8"/>
      <c r="M175" s="339"/>
      <c r="N175" s="315"/>
    </row>
    <row r="176" spans="1:14" s="9" customFormat="1" ht="11.25" customHeight="1" x14ac:dyDescent="0.2">
      <c r="A176" s="10">
        <v>50610100</v>
      </c>
      <c r="B176" s="10" t="s">
        <v>342</v>
      </c>
      <c r="C176" s="11">
        <v>0</v>
      </c>
      <c r="D176" s="11">
        <v>0</v>
      </c>
      <c r="E176" s="11">
        <v>0</v>
      </c>
      <c r="F176" s="13">
        <f>SUMIF('OD 12-24'!A:A,A176,'OD 12-24'!D:D)</f>
        <v>0</v>
      </c>
      <c r="G176" s="13">
        <f>SUMIF('OD 12-24'!A:A,A176,'OD 12-24'!E:E)</f>
        <v>0</v>
      </c>
      <c r="H176" s="14">
        <f t="shared" si="4"/>
        <v>0</v>
      </c>
      <c r="I176" s="14">
        <f t="shared" si="5"/>
        <v>0</v>
      </c>
      <c r="J176" s="8"/>
      <c r="K176" s="8"/>
      <c r="M176" s="339"/>
      <c r="N176" s="315"/>
    </row>
    <row r="177" spans="1:14" s="9" customFormat="1" ht="11.25" customHeight="1" x14ac:dyDescent="0.2">
      <c r="A177" s="10">
        <v>50610900</v>
      </c>
      <c r="B177" s="10" t="s">
        <v>119</v>
      </c>
      <c r="C177" s="11">
        <v>-1347864.9606235027</v>
      </c>
      <c r="D177" s="11">
        <v>1359732.8840000001</v>
      </c>
      <c r="E177" s="11">
        <v>11867.923000000001</v>
      </c>
      <c r="F177" s="13">
        <f>SUMIF('OD 12-24'!A:A,A177,'OD 12-24'!D:D)</f>
        <v>0</v>
      </c>
      <c r="G177" s="13">
        <f>SUMIF('OD 12-24'!A:A,A177,'OD 12-24'!E:E)</f>
        <v>0</v>
      </c>
      <c r="H177" s="14">
        <f t="shared" si="4"/>
        <v>1347864.9610000001</v>
      </c>
      <c r="I177" s="14">
        <f t="shared" si="5"/>
        <v>3.7649739533662796E-4</v>
      </c>
      <c r="J177" s="8" t="s">
        <v>115</v>
      </c>
      <c r="K177" s="8"/>
      <c r="M177" s="339"/>
      <c r="N177" s="315"/>
    </row>
    <row r="178" spans="1:14" s="9" customFormat="1" ht="11.25" customHeight="1" x14ac:dyDescent="0.2">
      <c r="A178" s="10">
        <v>50630000</v>
      </c>
      <c r="B178" s="10" t="s">
        <v>343</v>
      </c>
      <c r="C178" s="11">
        <v>-443000</v>
      </c>
      <c r="D178" s="11">
        <v>443000</v>
      </c>
      <c r="E178" s="11">
        <v>0</v>
      </c>
      <c r="F178" s="13">
        <f>SUMIF('OD 12-24'!A:A,A178,'OD 12-24'!D:D)</f>
        <v>0</v>
      </c>
      <c r="G178" s="13">
        <f>SUMIF('OD 12-24'!A:A,A178,'OD 12-24'!E:E)</f>
        <v>0</v>
      </c>
      <c r="H178" s="14">
        <f t="shared" si="4"/>
        <v>443000</v>
      </c>
      <c r="I178" s="14">
        <f t="shared" si="5"/>
        <v>0</v>
      </c>
      <c r="J178" s="8" t="s">
        <v>115</v>
      </c>
      <c r="K178" s="8"/>
      <c r="M178" s="339"/>
      <c r="N178" s="315"/>
    </row>
    <row r="179" spans="1:14" s="9" customFormat="1" ht="11.25" customHeight="1" x14ac:dyDescent="0.2">
      <c r="A179" s="10">
        <v>50800000</v>
      </c>
      <c r="B179" s="10" t="s">
        <v>344</v>
      </c>
      <c r="C179" s="11">
        <v>-31533.957000000002</v>
      </c>
      <c r="D179" s="11">
        <v>31533.957000000002</v>
      </c>
      <c r="E179" s="11">
        <v>0</v>
      </c>
      <c r="F179" s="13">
        <f>SUMIF('OD 12-24'!A:A,A179,'OD 12-24'!D:D)</f>
        <v>0</v>
      </c>
      <c r="G179" s="13">
        <f>SUMIF('OD 12-24'!A:A,A179,'OD 12-24'!E:E)</f>
        <v>0</v>
      </c>
      <c r="H179" s="14">
        <f t="shared" si="4"/>
        <v>31533.957000000002</v>
      </c>
      <c r="I179" s="14">
        <f t="shared" si="5"/>
        <v>0</v>
      </c>
      <c r="J179" s="8" t="s">
        <v>115</v>
      </c>
      <c r="K179" s="8"/>
      <c r="M179" s="339"/>
      <c r="N179" s="315"/>
    </row>
    <row r="180" spans="1:14" s="9" customFormat="1" ht="11.25" customHeight="1" x14ac:dyDescent="0.2">
      <c r="A180" s="10">
        <v>52000000</v>
      </c>
      <c r="B180" s="10" t="s">
        <v>345</v>
      </c>
      <c r="C180" s="11">
        <v>0</v>
      </c>
      <c r="D180" s="11">
        <v>0</v>
      </c>
      <c r="E180" s="11">
        <v>0</v>
      </c>
      <c r="F180" s="13">
        <f>SUMIF('OD 12-24'!A:A,A180,'OD 12-24'!D:D)</f>
        <v>0</v>
      </c>
      <c r="G180" s="13">
        <f>SUMIF('OD 12-24'!A:A,A180,'OD 12-24'!E:E)</f>
        <v>0</v>
      </c>
      <c r="H180" s="14">
        <f t="shared" si="4"/>
        <v>0</v>
      </c>
      <c r="I180" s="14">
        <f t="shared" si="5"/>
        <v>0</v>
      </c>
      <c r="J180" s="8"/>
      <c r="K180" s="8"/>
      <c r="M180" s="339"/>
      <c r="N180" s="315"/>
    </row>
    <row r="181" spans="1:14" s="9" customFormat="1" ht="11.25" customHeight="1" x14ac:dyDescent="0.2">
      <c r="A181" s="10">
        <v>52001100</v>
      </c>
      <c r="B181" s="10" t="s">
        <v>346</v>
      </c>
      <c r="C181" s="11">
        <v>0</v>
      </c>
      <c r="D181" s="11">
        <v>0</v>
      </c>
      <c r="E181" s="11">
        <v>0</v>
      </c>
      <c r="F181" s="13">
        <f>SUMIF('OD 12-24'!A:A,A181,'OD 12-24'!D:D)</f>
        <v>0</v>
      </c>
      <c r="G181" s="13">
        <f>SUMIF('OD 12-24'!A:A,A181,'OD 12-24'!E:E)</f>
        <v>0</v>
      </c>
      <c r="H181" s="14">
        <f t="shared" si="4"/>
        <v>0</v>
      </c>
      <c r="I181" s="14">
        <f t="shared" si="5"/>
        <v>0</v>
      </c>
      <c r="J181" s="8"/>
      <c r="K181" s="8"/>
      <c r="M181" s="339"/>
      <c r="N181" s="315"/>
    </row>
    <row r="182" spans="1:14" s="9" customFormat="1" ht="11.25" customHeight="1" x14ac:dyDescent="0.2">
      <c r="A182" s="10">
        <v>53140000</v>
      </c>
      <c r="B182" s="10" t="s">
        <v>347</v>
      </c>
      <c r="C182" s="11">
        <v>0</v>
      </c>
      <c r="D182" s="11">
        <v>0</v>
      </c>
      <c r="E182" s="11">
        <v>0</v>
      </c>
      <c r="F182" s="13">
        <f>SUMIF('OD 12-24'!A:A,A182,'OD 12-24'!D:D)</f>
        <v>0</v>
      </c>
      <c r="G182" s="13">
        <f>SUMIF('OD 12-24'!A:A,A182,'OD 12-24'!E:E)</f>
        <v>0</v>
      </c>
      <c r="H182" s="14">
        <f t="shared" si="4"/>
        <v>0</v>
      </c>
      <c r="I182" s="14">
        <f t="shared" si="5"/>
        <v>0</v>
      </c>
      <c r="J182" s="8"/>
      <c r="K182" s="8"/>
      <c r="M182" s="339"/>
      <c r="N182" s="315"/>
    </row>
    <row r="183" spans="1:14" s="9" customFormat="1" ht="11.25" x14ac:dyDescent="0.2">
      <c r="A183" s="10">
        <v>53200000</v>
      </c>
      <c r="B183" s="10" t="s">
        <v>120</v>
      </c>
      <c r="C183" s="11">
        <v>185799.56100001931</v>
      </c>
      <c r="D183" s="11">
        <v>18118709.096999999</v>
      </c>
      <c r="E183" s="11">
        <v>18108158.072999999</v>
      </c>
      <c r="F183" s="13">
        <f>SUMIF('OD 12-24'!A:A,A183,'OD 12-24'!D:D)</f>
        <v>0</v>
      </c>
      <c r="G183" s="13">
        <f>SUMIF('OD 12-24'!A:A,A183,'OD 12-24'!E:E)</f>
        <v>0</v>
      </c>
      <c r="H183" s="14">
        <f t="shared" si="4"/>
        <v>10551.024000000209</v>
      </c>
      <c r="I183" s="14">
        <f t="shared" si="5"/>
        <v>196350.58500001952</v>
      </c>
      <c r="J183" s="8" t="s">
        <v>121</v>
      </c>
      <c r="K183" s="8"/>
      <c r="M183" s="339"/>
      <c r="N183" s="315"/>
    </row>
    <row r="184" spans="1:14" s="9" customFormat="1" ht="11.25" customHeight="1" x14ac:dyDescent="0.2">
      <c r="A184" s="10">
        <v>53201000</v>
      </c>
      <c r="B184" s="10" t="s">
        <v>348</v>
      </c>
      <c r="C184" s="11">
        <v>0</v>
      </c>
      <c r="D184" s="11">
        <v>0</v>
      </c>
      <c r="E184" s="11">
        <v>0</v>
      </c>
      <c r="F184" s="13">
        <f>SUMIF('OD 12-24'!A:A,A184,'OD 12-24'!D:D)</f>
        <v>0</v>
      </c>
      <c r="G184" s="13">
        <f>SUMIF('OD 12-24'!A:A,A184,'OD 12-24'!E:E)</f>
        <v>0</v>
      </c>
      <c r="H184" s="14">
        <f t="shared" si="4"/>
        <v>0</v>
      </c>
      <c r="I184" s="14">
        <f t="shared" si="5"/>
        <v>0</v>
      </c>
      <c r="J184" s="8"/>
      <c r="K184" s="8"/>
      <c r="M184" s="339"/>
      <c r="N184" s="315"/>
    </row>
    <row r="185" spans="1:14" s="9" customFormat="1" ht="11.25" x14ac:dyDescent="0.2">
      <c r="A185" s="10">
        <v>53202000</v>
      </c>
      <c r="B185" s="10" t="s">
        <v>122</v>
      </c>
      <c r="C185" s="11">
        <v>435.74199999962002</v>
      </c>
      <c r="D185" s="11">
        <v>0</v>
      </c>
      <c r="E185" s="11">
        <v>0</v>
      </c>
      <c r="F185" s="13">
        <f>SUMIF('OD 12-24'!A:A,A185,'OD 12-24'!D:D)</f>
        <v>0</v>
      </c>
      <c r="G185" s="13">
        <f>SUMIF('OD 12-24'!A:A,A185,'OD 12-24'!E:E)</f>
        <v>0</v>
      </c>
      <c r="H185" s="14">
        <f t="shared" si="4"/>
        <v>0</v>
      </c>
      <c r="I185" s="14">
        <f t="shared" si="5"/>
        <v>435.74199999962002</v>
      </c>
      <c r="J185" s="8" t="s">
        <v>121</v>
      </c>
      <c r="K185" s="8"/>
      <c r="M185" s="339"/>
      <c r="N185" s="315"/>
    </row>
    <row r="186" spans="1:14" s="9" customFormat="1" ht="11.25" x14ac:dyDescent="0.2">
      <c r="A186" s="10">
        <v>53203000</v>
      </c>
      <c r="B186" s="10" t="s">
        <v>349</v>
      </c>
      <c r="C186" s="11">
        <v>159807.23199999891</v>
      </c>
      <c r="D186" s="11">
        <v>411886.78200000001</v>
      </c>
      <c r="E186" s="11">
        <v>565400.86600000004</v>
      </c>
      <c r="F186" s="13">
        <f>SUMIF('OD 12-24'!A:A,A186,'OD 12-24'!D:D)</f>
        <v>0</v>
      </c>
      <c r="G186" s="13">
        <f>SUMIF('OD 12-24'!A:A,A186,'OD 12-24'!E:E)</f>
        <v>0</v>
      </c>
      <c r="H186" s="14">
        <f t="shared" si="4"/>
        <v>-153514.08400000003</v>
      </c>
      <c r="I186" s="14">
        <f t="shared" si="5"/>
        <v>6293.1479999988806</v>
      </c>
      <c r="J186" s="8" t="s">
        <v>121</v>
      </c>
      <c r="K186" s="8"/>
      <c r="M186" s="339"/>
      <c r="N186" s="315"/>
    </row>
    <row r="187" spans="1:14" s="9" customFormat="1" ht="11.25" customHeight="1" x14ac:dyDescent="0.2">
      <c r="A187" s="10">
        <v>53204000</v>
      </c>
      <c r="B187" s="10" t="s">
        <v>350</v>
      </c>
      <c r="C187" s="11">
        <v>0</v>
      </c>
      <c r="D187" s="11">
        <v>0</v>
      </c>
      <c r="E187" s="11">
        <v>0</v>
      </c>
      <c r="F187" s="13">
        <f>SUMIF('OD 12-24'!A:A,A187,'OD 12-24'!D:D)</f>
        <v>0</v>
      </c>
      <c r="G187" s="13">
        <f>SUMIF('OD 12-24'!A:A,A187,'OD 12-24'!E:E)</f>
        <v>0</v>
      </c>
      <c r="H187" s="14">
        <f t="shared" si="4"/>
        <v>0</v>
      </c>
      <c r="I187" s="14">
        <f t="shared" si="5"/>
        <v>0</v>
      </c>
      <c r="J187" s="8"/>
      <c r="K187" s="8"/>
      <c r="M187" s="339"/>
      <c r="N187" s="315"/>
    </row>
    <row r="188" spans="1:14" s="9" customFormat="1" ht="11.25" customHeight="1" x14ac:dyDescent="0.2">
      <c r="A188" s="10">
        <v>53204100</v>
      </c>
      <c r="B188" s="10" t="s">
        <v>351</v>
      </c>
      <c r="C188" s="11">
        <v>0</v>
      </c>
      <c r="D188" s="11">
        <v>0</v>
      </c>
      <c r="E188" s="11">
        <v>0</v>
      </c>
      <c r="F188" s="13">
        <f>SUMIF('OD 12-24'!A:A,A188,'OD 12-24'!D:D)</f>
        <v>0</v>
      </c>
      <c r="G188" s="13">
        <f>SUMIF('OD 12-24'!A:A,A188,'OD 12-24'!E:E)</f>
        <v>0</v>
      </c>
      <c r="H188" s="14">
        <f t="shared" si="4"/>
        <v>0</v>
      </c>
      <c r="I188" s="14">
        <f t="shared" si="5"/>
        <v>0</v>
      </c>
      <c r="J188" s="8"/>
      <c r="K188" s="8"/>
      <c r="M188" s="339"/>
      <c r="N188" s="315"/>
    </row>
    <row r="189" spans="1:14" s="9" customFormat="1" ht="11.25" x14ac:dyDescent="0.2">
      <c r="A189" s="10">
        <v>53204500</v>
      </c>
      <c r="B189" s="10" t="s">
        <v>123</v>
      </c>
      <c r="C189" s="11">
        <v>5874.02</v>
      </c>
      <c r="D189" s="11">
        <v>0</v>
      </c>
      <c r="E189" s="11">
        <v>0</v>
      </c>
      <c r="F189" s="13">
        <f>SUMIF('OD 12-24'!A:A,A189,'OD 12-24'!D:D)</f>
        <v>0</v>
      </c>
      <c r="G189" s="13">
        <f>SUMIF('OD 12-24'!A:A,A189,'OD 12-24'!E:E)</f>
        <v>0</v>
      </c>
      <c r="H189" s="14">
        <f t="shared" si="4"/>
        <v>0</v>
      </c>
      <c r="I189" s="14">
        <f t="shared" si="5"/>
        <v>5874.02</v>
      </c>
      <c r="J189" s="8" t="s">
        <v>121</v>
      </c>
      <c r="K189" s="8"/>
      <c r="M189" s="339"/>
      <c r="N189" s="315"/>
    </row>
    <row r="190" spans="1:14" s="9" customFormat="1" ht="11.25" x14ac:dyDescent="0.2">
      <c r="A190" s="10">
        <v>53205000</v>
      </c>
      <c r="B190" s="10" t="s">
        <v>124</v>
      </c>
      <c r="C190" s="11">
        <v>12925.083999991417</v>
      </c>
      <c r="D190" s="11">
        <v>0</v>
      </c>
      <c r="E190" s="11">
        <v>0</v>
      </c>
      <c r="F190" s="13">
        <f>SUMIF('OD 12-24'!A:A,A190,'OD 12-24'!D:D)</f>
        <v>0</v>
      </c>
      <c r="G190" s="13">
        <f>SUMIF('OD 12-24'!A:A,A190,'OD 12-24'!E:E)</f>
        <v>0</v>
      </c>
      <c r="H190" s="14">
        <f t="shared" si="4"/>
        <v>0</v>
      </c>
      <c r="I190" s="14">
        <f t="shared" si="5"/>
        <v>12925.083999991417</v>
      </c>
      <c r="J190" s="8" t="s">
        <v>121</v>
      </c>
      <c r="K190" s="8"/>
      <c r="M190" s="339"/>
      <c r="N190" s="315"/>
    </row>
    <row r="191" spans="1:14" s="9" customFormat="1" ht="11.25" x14ac:dyDescent="0.2">
      <c r="A191" s="10">
        <v>53205300</v>
      </c>
      <c r="B191" s="10" t="s">
        <v>125</v>
      </c>
      <c r="C191" s="11">
        <v>0</v>
      </c>
      <c r="D191" s="11">
        <v>0</v>
      </c>
      <c r="E191" s="11">
        <v>0</v>
      </c>
      <c r="F191" s="13">
        <f>SUMIF('OD 12-24'!A:A,A191,'OD 12-24'!D:D)</f>
        <v>0</v>
      </c>
      <c r="G191" s="13">
        <f>SUMIF('OD 12-24'!A:A,A191,'OD 12-24'!E:E)</f>
        <v>0</v>
      </c>
      <c r="H191" s="14">
        <f t="shared" si="4"/>
        <v>0</v>
      </c>
      <c r="I191" s="14">
        <f t="shared" si="5"/>
        <v>0</v>
      </c>
      <c r="J191" s="8" t="s">
        <v>121</v>
      </c>
      <c r="K191" s="8"/>
      <c r="M191" s="339"/>
      <c r="N191" s="315"/>
    </row>
    <row r="192" spans="1:14" s="9" customFormat="1" ht="11.25" customHeight="1" x14ac:dyDescent="0.2">
      <c r="A192" s="10">
        <v>53205400</v>
      </c>
      <c r="B192" s="10" t="s">
        <v>126</v>
      </c>
      <c r="C192" s="11">
        <v>0</v>
      </c>
      <c r="D192" s="11">
        <v>0</v>
      </c>
      <c r="E192" s="11">
        <v>0</v>
      </c>
      <c r="F192" s="13">
        <f>SUMIF('OD 12-24'!A:A,A192,'OD 12-24'!D:D)</f>
        <v>0</v>
      </c>
      <c r="G192" s="13">
        <f>SUMIF('OD 12-24'!A:A,A192,'OD 12-24'!E:E)</f>
        <v>0</v>
      </c>
      <c r="H192" s="14">
        <f t="shared" si="4"/>
        <v>0</v>
      </c>
      <c r="I192" s="14">
        <f t="shared" si="5"/>
        <v>0</v>
      </c>
      <c r="J192" s="8"/>
      <c r="K192" s="8"/>
      <c r="M192" s="339"/>
      <c r="N192" s="315"/>
    </row>
    <row r="193" spans="1:14" s="9" customFormat="1" ht="11.25" customHeight="1" x14ac:dyDescent="0.2">
      <c r="A193" s="10">
        <v>53205500</v>
      </c>
      <c r="B193" s="10" t="s">
        <v>127</v>
      </c>
      <c r="C193" s="11">
        <v>0</v>
      </c>
      <c r="D193" s="11">
        <v>0</v>
      </c>
      <c r="E193" s="11">
        <v>0</v>
      </c>
      <c r="F193" s="13">
        <f>SUMIF('OD 12-24'!A:A,A193,'OD 12-24'!D:D)</f>
        <v>0</v>
      </c>
      <c r="G193" s="13">
        <f>SUMIF('OD 12-24'!A:A,A193,'OD 12-24'!E:E)</f>
        <v>0</v>
      </c>
      <c r="H193" s="14">
        <f t="shared" si="4"/>
        <v>0</v>
      </c>
      <c r="I193" s="14">
        <f t="shared" si="5"/>
        <v>0</v>
      </c>
      <c r="J193" s="8"/>
      <c r="K193" s="8"/>
      <c r="M193" s="339"/>
      <c r="N193" s="315"/>
    </row>
    <row r="194" spans="1:14" s="9" customFormat="1" ht="11.25" customHeight="1" x14ac:dyDescent="0.2">
      <c r="A194" s="10">
        <v>53205600</v>
      </c>
      <c r="B194" s="10" t="s">
        <v>128</v>
      </c>
      <c r="C194" s="11">
        <v>-3300983.9089999795</v>
      </c>
      <c r="D194" s="11">
        <v>44848528.753000006</v>
      </c>
      <c r="E194" s="11">
        <v>44713682.435000002</v>
      </c>
      <c r="F194" s="13">
        <f>SUMIF('OD 12-24'!A:A,A194,'OD 12-24'!D:D)</f>
        <v>0</v>
      </c>
      <c r="G194" s="13">
        <f>SUMIF('OD 12-24'!A:A,A194,'OD 12-24'!E:E)</f>
        <v>0</v>
      </c>
      <c r="H194" s="14">
        <f t="shared" si="4"/>
        <v>134846.3180000037</v>
      </c>
      <c r="I194" s="14">
        <f t="shared" si="5"/>
        <v>-3166137.5909999758</v>
      </c>
      <c r="J194" s="8" t="s">
        <v>115</v>
      </c>
      <c r="K194" s="8"/>
      <c r="M194" s="339"/>
      <c r="N194" s="315"/>
    </row>
    <row r="195" spans="1:14" s="9" customFormat="1" ht="11.25" x14ac:dyDescent="0.2">
      <c r="A195" s="10">
        <v>53205700</v>
      </c>
      <c r="B195" s="10" t="s">
        <v>129</v>
      </c>
      <c r="C195" s="11">
        <v>1964289.2105972022</v>
      </c>
      <c r="D195" s="11">
        <v>19549582.457999997</v>
      </c>
      <c r="E195" s="11">
        <v>19746644.77</v>
      </c>
      <c r="F195" s="13">
        <f>SUMIF('OD 12-24'!A:A,A195,'OD 12-24'!D:D)</f>
        <v>3978060.7673999998</v>
      </c>
      <c r="G195" s="13">
        <f>SUMIF('OD 12-24'!A:A,A195,'OD 12-24'!E:E)</f>
        <v>4097150.8834000002</v>
      </c>
      <c r="H195" s="14">
        <f t="shared" ref="H195:H262" si="6">+D195+F195-E195-G195</f>
        <v>-316152.42800000263</v>
      </c>
      <c r="I195" s="14">
        <f t="shared" ref="I195:I262" si="7">+H195+C195</f>
        <v>1648136.7825971995</v>
      </c>
      <c r="J195" s="8" t="s">
        <v>121</v>
      </c>
      <c r="K195" s="8"/>
      <c r="M195" s="339"/>
      <c r="N195" s="315"/>
    </row>
    <row r="196" spans="1:14" s="9" customFormat="1" ht="11.25" customHeight="1" x14ac:dyDescent="0.2">
      <c r="A196" s="10">
        <v>53205800</v>
      </c>
      <c r="B196" s="10" t="s">
        <v>130</v>
      </c>
      <c r="C196" s="11">
        <v>-66996.353000000119</v>
      </c>
      <c r="D196" s="11">
        <v>0</v>
      </c>
      <c r="E196" s="11">
        <v>925.05899999999997</v>
      </c>
      <c r="F196" s="13">
        <f>SUMIF('OD 12-24'!A:A,A196,'OD 12-24'!D:D)</f>
        <v>562.84100000000001</v>
      </c>
      <c r="G196" s="13">
        <f>SUMIF('OD 12-24'!A:A,A196,'OD 12-24'!E:E)</f>
        <v>517.85299999999995</v>
      </c>
      <c r="H196" s="14">
        <f t="shared" si="6"/>
        <v>-880.07099999999991</v>
      </c>
      <c r="I196" s="14">
        <f t="shared" si="7"/>
        <v>-67876.424000000115</v>
      </c>
      <c r="J196" s="8" t="s">
        <v>115</v>
      </c>
      <c r="K196" s="8"/>
      <c r="M196" s="339"/>
      <c r="N196" s="315"/>
    </row>
    <row r="197" spans="1:14" s="9" customFormat="1" ht="11.25" customHeight="1" x14ac:dyDescent="0.2">
      <c r="A197" s="10">
        <v>53207000</v>
      </c>
      <c r="B197" s="10" t="s">
        <v>352</v>
      </c>
      <c r="C197" s="11">
        <v>0</v>
      </c>
      <c r="D197" s="11">
        <v>0</v>
      </c>
      <c r="E197" s="11">
        <v>0</v>
      </c>
      <c r="F197" s="13">
        <f>SUMIF('OD 12-24'!A:A,A197,'OD 12-24'!D:D)</f>
        <v>0</v>
      </c>
      <c r="G197" s="13">
        <f>SUMIF('OD 12-24'!A:A,A197,'OD 12-24'!E:E)</f>
        <v>0</v>
      </c>
      <c r="H197" s="14">
        <f t="shared" si="6"/>
        <v>0</v>
      </c>
      <c r="I197" s="14">
        <f t="shared" si="7"/>
        <v>0</v>
      </c>
      <c r="J197" s="8"/>
      <c r="K197" s="8"/>
      <c r="M197" s="339"/>
      <c r="N197" s="315"/>
    </row>
    <row r="198" spans="1:14" s="9" customFormat="1" ht="11.25" customHeight="1" x14ac:dyDescent="0.2">
      <c r="A198" s="10">
        <v>53207100</v>
      </c>
      <c r="B198" s="10" t="s">
        <v>353</v>
      </c>
      <c r="C198" s="11">
        <v>0</v>
      </c>
      <c r="D198" s="11">
        <v>0</v>
      </c>
      <c r="E198" s="11">
        <v>0</v>
      </c>
      <c r="F198" s="13">
        <f>SUMIF('OD 12-24'!A:A,A198,'OD 12-24'!D:D)</f>
        <v>0</v>
      </c>
      <c r="G198" s="13">
        <f>SUMIF('OD 12-24'!A:A,A198,'OD 12-24'!E:E)</f>
        <v>0</v>
      </c>
      <c r="H198" s="14">
        <f t="shared" si="6"/>
        <v>0</v>
      </c>
      <c r="I198" s="14">
        <f t="shared" si="7"/>
        <v>0</v>
      </c>
      <c r="J198" s="8"/>
      <c r="K198" s="8"/>
      <c r="M198" s="339"/>
      <c r="N198" s="315"/>
    </row>
    <row r="199" spans="1:14" s="9" customFormat="1" ht="11.25" customHeight="1" x14ac:dyDescent="0.2">
      <c r="A199" s="10">
        <v>53207200</v>
      </c>
      <c r="B199" s="10" t="s">
        <v>354</v>
      </c>
      <c r="C199" s="11">
        <v>0</v>
      </c>
      <c r="D199" s="11">
        <v>0</v>
      </c>
      <c r="E199" s="11">
        <v>0</v>
      </c>
      <c r="F199" s="13">
        <f>SUMIF('OD 12-24'!A:A,A199,'OD 12-24'!D:D)</f>
        <v>0</v>
      </c>
      <c r="G199" s="13">
        <f>SUMIF('OD 12-24'!A:A,A199,'OD 12-24'!E:E)</f>
        <v>0</v>
      </c>
      <c r="H199" s="14">
        <f t="shared" si="6"/>
        <v>0</v>
      </c>
      <c r="I199" s="14">
        <f t="shared" si="7"/>
        <v>0</v>
      </c>
      <c r="J199" s="8"/>
      <c r="K199" s="8"/>
      <c r="M199" s="339"/>
      <c r="N199" s="315"/>
    </row>
    <row r="200" spans="1:14" s="9" customFormat="1" ht="11.25" x14ac:dyDescent="0.2">
      <c r="A200" s="10">
        <v>53208000</v>
      </c>
      <c r="B200" s="10" t="s">
        <v>355</v>
      </c>
      <c r="C200" s="11">
        <v>485.66199999954551</v>
      </c>
      <c r="D200" s="11">
        <v>0</v>
      </c>
      <c r="E200" s="11">
        <v>0</v>
      </c>
      <c r="F200" s="13">
        <f>SUMIF('OD 12-24'!A:A,A200,'OD 12-24'!D:D)</f>
        <v>0</v>
      </c>
      <c r="G200" s="13">
        <f>SUMIF('OD 12-24'!A:A,A200,'OD 12-24'!E:E)</f>
        <v>0</v>
      </c>
      <c r="H200" s="14">
        <f t="shared" si="6"/>
        <v>0</v>
      </c>
      <c r="I200" s="14">
        <f t="shared" si="7"/>
        <v>485.66199999954551</v>
      </c>
      <c r="J200" s="8" t="s">
        <v>121</v>
      </c>
      <c r="K200" s="8"/>
      <c r="M200" s="339"/>
      <c r="N200" s="315"/>
    </row>
    <row r="201" spans="1:14" s="9" customFormat="1" ht="11.25" customHeight="1" x14ac:dyDescent="0.2">
      <c r="A201" s="10">
        <v>53208100</v>
      </c>
      <c r="B201" s="10" t="s">
        <v>356</v>
      </c>
      <c r="C201" s="11">
        <v>0</v>
      </c>
      <c r="D201" s="11">
        <v>0</v>
      </c>
      <c r="E201" s="11">
        <v>0</v>
      </c>
      <c r="F201" s="13">
        <f>SUMIF('OD 12-24'!A:A,A201,'OD 12-24'!D:D)</f>
        <v>0</v>
      </c>
      <c r="G201" s="13">
        <f>SUMIF('OD 12-24'!A:A,A201,'OD 12-24'!E:E)</f>
        <v>0</v>
      </c>
      <c r="H201" s="14">
        <f t="shared" si="6"/>
        <v>0</v>
      </c>
      <c r="I201" s="14">
        <f t="shared" si="7"/>
        <v>0</v>
      </c>
      <c r="J201" s="8"/>
      <c r="K201" s="8"/>
      <c r="M201" s="339"/>
      <c r="N201" s="315"/>
    </row>
    <row r="202" spans="1:14" s="9" customFormat="1" ht="11.25" customHeight="1" x14ac:dyDescent="0.2">
      <c r="A202" s="10">
        <v>53208500</v>
      </c>
      <c r="B202" s="10" t="s">
        <v>357</v>
      </c>
      <c r="C202" s="11">
        <v>0</v>
      </c>
      <c r="D202" s="11">
        <v>0</v>
      </c>
      <c r="E202" s="11">
        <v>0</v>
      </c>
      <c r="F202" s="13">
        <f>SUMIF('OD 12-24'!A:A,A202,'OD 12-24'!D:D)</f>
        <v>0</v>
      </c>
      <c r="G202" s="13">
        <f>SUMIF('OD 12-24'!A:A,A202,'OD 12-24'!E:E)</f>
        <v>0</v>
      </c>
      <c r="H202" s="14">
        <f t="shared" si="6"/>
        <v>0</v>
      </c>
      <c r="I202" s="14">
        <f t="shared" si="7"/>
        <v>0</v>
      </c>
      <c r="J202" s="8"/>
      <c r="K202" s="8"/>
      <c r="M202" s="339"/>
      <c r="N202" s="315"/>
    </row>
    <row r="203" spans="1:14" s="9" customFormat="1" ht="11.25" customHeight="1" x14ac:dyDescent="0.2">
      <c r="A203" s="10">
        <v>54000000</v>
      </c>
      <c r="B203" s="10" t="s">
        <v>358</v>
      </c>
      <c r="C203" s="11">
        <v>0</v>
      </c>
      <c r="D203" s="11">
        <v>16489.436000000002</v>
      </c>
      <c r="E203" s="11">
        <v>16489.436000000002</v>
      </c>
      <c r="F203" s="13">
        <f>SUMIF('OD 12-24'!A:A,A203,'OD 12-24'!D:D)</f>
        <v>0</v>
      </c>
      <c r="G203" s="13">
        <f>SUMIF('OD 12-24'!A:A,A203,'OD 12-24'!E:E)</f>
        <v>0</v>
      </c>
      <c r="H203" s="14">
        <f t="shared" si="6"/>
        <v>0</v>
      </c>
      <c r="I203" s="14">
        <f t="shared" si="7"/>
        <v>0</v>
      </c>
      <c r="J203" s="8"/>
      <c r="K203" s="8"/>
      <c r="M203" s="339"/>
      <c r="N203" s="315"/>
    </row>
    <row r="204" spans="1:14" s="9" customFormat="1" ht="11.25" x14ac:dyDescent="0.2">
      <c r="A204" s="10">
        <v>54100000</v>
      </c>
      <c r="B204" s="10" t="s">
        <v>131</v>
      </c>
      <c r="C204" s="11">
        <v>17</v>
      </c>
      <c r="D204" s="11">
        <v>49435.644000000008</v>
      </c>
      <c r="E204" s="11">
        <v>41078.178999999996</v>
      </c>
      <c r="F204" s="13">
        <f>SUMIF('OD 12-24'!A:A,A204,'OD 12-24'!D:D)</f>
        <v>0</v>
      </c>
      <c r="G204" s="13">
        <f>SUMIF('OD 12-24'!A:A,A204,'OD 12-24'!E:E)</f>
        <v>0</v>
      </c>
      <c r="H204" s="14">
        <f t="shared" si="6"/>
        <v>8357.4650000000111</v>
      </c>
      <c r="I204" s="14">
        <f t="shared" si="7"/>
        <v>8374.4650000000111</v>
      </c>
      <c r="J204" s="8" t="s">
        <v>121</v>
      </c>
      <c r="K204" s="8"/>
      <c r="M204" s="339"/>
      <c r="N204" s="315"/>
    </row>
    <row r="205" spans="1:14" s="9" customFormat="1" ht="11.25" customHeight="1" x14ac:dyDescent="0.2">
      <c r="A205" s="10">
        <v>54300000</v>
      </c>
      <c r="B205" s="10" t="s">
        <v>359</v>
      </c>
      <c r="C205" s="11">
        <v>0</v>
      </c>
      <c r="D205" s="11">
        <v>0</v>
      </c>
      <c r="E205" s="11">
        <v>0</v>
      </c>
      <c r="F205" s="13">
        <f>SUMIF('OD 12-24'!A:A,A205,'OD 12-24'!D:D)</f>
        <v>0</v>
      </c>
      <c r="G205" s="13">
        <f>SUMIF('OD 12-24'!A:A,A205,'OD 12-24'!E:E)</f>
        <v>0</v>
      </c>
      <c r="H205" s="14">
        <f t="shared" si="6"/>
        <v>0</v>
      </c>
      <c r="I205" s="14">
        <f t="shared" si="7"/>
        <v>0</v>
      </c>
      <c r="J205" s="8"/>
      <c r="K205" s="8"/>
      <c r="M205" s="339"/>
      <c r="N205" s="315"/>
    </row>
    <row r="206" spans="1:14" s="9" customFormat="1" ht="11.25" x14ac:dyDescent="0.2">
      <c r="A206" s="10">
        <v>55010000</v>
      </c>
      <c r="B206" s="10" t="s">
        <v>132</v>
      </c>
      <c r="C206" s="11">
        <v>3000</v>
      </c>
      <c r="D206" s="11">
        <v>0</v>
      </c>
      <c r="E206" s="11">
        <v>0</v>
      </c>
      <c r="F206" s="13">
        <f>SUMIF('OD 12-24'!A:A,A206,'OD 12-24'!D:D)</f>
        <v>0</v>
      </c>
      <c r="G206" s="13">
        <f>SUMIF('OD 12-24'!A:A,A206,'OD 12-24'!E:E)</f>
        <v>0</v>
      </c>
      <c r="H206" s="14">
        <f t="shared" si="6"/>
        <v>0</v>
      </c>
      <c r="I206" s="14">
        <f t="shared" si="7"/>
        <v>3000</v>
      </c>
      <c r="J206" s="8" t="s">
        <v>121</v>
      </c>
      <c r="K206" s="8"/>
      <c r="M206" s="339"/>
      <c r="N206" s="315"/>
    </row>
    <row r="207" spans="1:14" s="9" customFormat="1" ht="11.25" x14ac:dyDescent="0.2">
      <c r="A207" s="10">
        <v>55011000</v>
      </c>
      <c r="B207" s="10" t="s">
        <v>133</v>
      </c>
      <c r="C207" s="11">
        <v>0</v>
      </c>
      <c r="D207" s="11">
        <v>0</v>
      </c>
      <c r="E207" s="11">
        <v>0</v>
      </c>
      <c r="F207" s="13">
        <f>SUMIF('OD 12-24'!A:A,A207,'OD 12-24'!D:D)</f>
        <v>0</v>
      </c>
      <c r="G207" s="13">
        <f>SUMIF('OD 12-24'!A:A,A207,'OD 12-24'!E:E)</f>
        <v>0</v>
      </c>
      <c r="H207" s="14">
        <f t="shared" si="6"/>
        <v>0</v>
      </c>
      <c r="I207" s="14">
        <f t="shared" si="7"/>
        <v>0</v>
      </c>
      <c r="J207" s="8" t="s">
        <v>121</v>
      </c>
      <c r="K207" s="8"/>
      <c r="M207" s="339"/>
      <c r="N207" s="315"/>
    </row>
    <row r="208" spans="1:14" s="9" customFormat="1" ht="11.25" x14ac:dyDescent="0.2">
      <c r="A208" s="10">
        <v>58000000</v>
      </c>
      <c r="B208" s="10" t="s">
        <v>134</v>
      </c>
      <c r="C208" s="11">
        <v>0</v>
      </c>
      <c r="D208" s="11">
        <v>0</v>
      </c>
      <c r="E208" s="11">
        <v>0</v>
      </c>
      <c r="F208" s="13">
        <f>SUMIF('OD 12-24'!A:A,A208,'OD 12-24'!D:D)</f>
        <v>0</v>
      </c>
      <c r="G208" s="13">
        <f>SUMIF('OD 12-24'!A:A,A208,'OD 12-24'!E:E)</f>
        <v>0</v>
      </c>
      <c r="H208" s="14">
        <f t="shared" si="6"/>
        <v>0</v>
      </c>
      <c r="I208" s="14">
        <f t="shared" si="7"/>
        <v>0</v>
      </c>
      <c r="J208" s="8" t="s">
        <v>121</v>
      </c>
      <c r="K208" s="8"/>
      <c r="M208" s="339"/>
      <c r="N208" s="315"/>
    </row>
    <row r="209" spans="1:14" s="9" customFormat="1" ht="11.25" customHeight="1" x14ac:dyDescent="0.2">
      <c r="A209" s="10">
        <v>58001000</v>
      </c>
      <c r="B209" s="10" t="s">
        <v>135</v>
      </c>
      <c r="C209" s="11">
        <v>-1.9999593496322632E-4</v>
      </c>
      <c r="D209" s="11">
        <v>0</v>
      </c>
      <c r="E209" s="11">
        <v>0</v>
      </c>
      <c r="F209" s="13">
        <f>SUMIF('OD 12-24'!A:A,A209,'OD 12-24'!D:D)</f>
        <v>0</v>
      </c>
      <c r="G209" s="13">
        <f>SUMIF('OD 12-24'!A:A,A209,'OD 12-24'!E:E)</f>
        <v>0</v>
      </c>
      <c r="H209" s="14">
        <f t="shared" si="6"/>
        <v>0</v>
      </c>
      <c r="I209" s="14">
        <f t="shared" si="7"/>
        <v>-1.9999593496322632E-4</v>
      </c>
      <c r="J209" s="8"/>
      <c r="K209" s="8"/>
      <c r="M209" s="339"/>
      <c r="N209" s="315"/>
    </row>
    <row r="210" spans="1:14" s="9" customFormat="1" ht="11.25" customHeight="1" x14ac:dyDescent="0.2">
      <c r="A210" s="10">
        <v>58002000</v>
      </c>
      <c r="B210" s="10" t="s">
        <v>360</v>
      </c>
      <c r="C210" s="11">
        <v>0</v>
      </c>
      <c r="D210" s="11">
        <v>0</v>
      </c>
      <c r="E210" s="11">
        <v>0</v>
      </c>
      <c r="F210" s="13">
        <f>SUMIF('OD 12-24'!A:A,A210,'OD 12-24'!D:D)</f>
        <v>0</v>
      </c>
      <c r="G210" s="13">
        <f>SUMIF('OD 12-24'!A:A,A210,'OD 12-24'!E:E)</f>
        <v>0</v>
      </c>
      <c r="H210" s="14">
        <f t="shared" si="6"/>
        <v>0</v>
      </c>
      <c r="I210" s="14">
        <f t="shared" si="7"/>
        <v>0</v>
      </c>
      <c r="J210" s="8"/>
      <c r="K210" s="8"/>
      <c r="M210" s="339"/>
      <c r="N210" s="315"/>
    </row>
    <row r="211" spans="1:14" s="9" customFormat="1" ht="11.25" customHeight="1" x14ac:dyDescent="0.2">
      <c r="A211" s="10">
        <v>58003000</v>
      </c>
      <c r="B211" s="10" t="s">
        <v>136</v>
      </c>
      <c r="C211" s="11">
        <v>1.0100007057189941E-4</v>
      </c>
      <c r="D211" s="11">
        <v>4014351.1680000001</v>
      </c>
      <c r="E211" s="11">
        <v>4014351.1680000001</v>
      </c>
      <c r="F211" s="13">
        <f>SUMIF('OD 12-24'!A:A,A211,'OD 12-24'!D:D)</f>
        <v>0</v>
      </c>
      <c r="G211" s="13">
        <f>SUMIF('OD 12-24'!A:A,A211,'OD 12-24'!E:E)</f>
        <v>0</v>
      </c>
      <c r="H211" s="14">
        <f t="shared" si="6"/>
        <v>0</v>
      </c>
      <c r="I211" s="14">
        <f t="shared" si="7"/>
        <v>1.0100007057189941E-4</v>
      </c>
      <c r="J211" s="8"/>
      <c r="K211" s="8"/>
      <c r="M211" s="339"/>
      <c r="N211" s="315"/>
    </row>
    <row r="212" spans="1:14" s="9" customFormat="1" ht="11.25" customHeight="1" x14ac:dyDescent="0.2">
      <c r="A212" s="10">
        <v>58004000</v>
      </c>
      <c r="B212" s="10" t="s">
        <v>361</v>
      </c>
      <c r="C212" s="11">
        <v>0</v>
      </c>
      <c r="D212" s="11">
        <v>0</v>
      </c>
      <c r="E212" s="11">
        <v>0</v>
      </c>
      <c r="F212" s="13">
        <f>SUMIF('OD 12-24'!A:A,A212,'OD 12-24'!D:D)</f>
        <v>0</v>
      </c>
      <c r="G212" s="13">
        <f>SUMIF('OD 12-24'!A:A,A212,'OD 12-24'!E:E)</f>
        <v>0</v>
      </c>
      <c r="H212" s="14">
        <f t="shared" si="6"/>
        <v>0</v>
      </c>
      <c r="I212" s="14">
        <f t="shared" si="7"/>
        <v>0</v>
      </c>
      <c r="J212" s="8"/>
      <c r="K212" s="8"/>
      <c r="M212" s="339"/>
      <c r="N212" s="315"/>
    </row>
    <row r="213" spans="1:14" s="9" customFormat="1" ht="11.25" x14ac:dyDescent="0.2">
      <c r="A213" s="10">
        <v>58005000</v>
      </c>
      <c r="B213" s="10" t="s">
        <v>362</v>
      </c>
      <c r="C213" s="11">
        <v>3.8483738899230957E-4</v>
      </c>
      <c r="D213" s="11">
        <v>14903183.635</v>
      </c>
      <c r="E213" s="11">
        <v>14903183.635</v>
      </c>
      <c r="F213" s="13">
        <f>SUMIF('OD 12-24'!A:A,A213,'OD 12-24'!D:D)</f>
        <v>0</v>
      </c>
      <c r="G213" s="13">
        <f>SUMIF('OD 12-24'!A:A,A213,'OD 12-24'!E:E)</f>
        <v>0</v>
      </c>
      <c r="H213" s="14">
        <f t="shared" si="6"/>
        <v>0</v>
      </c>
      <c r="I213" s="14">
        <f t="shared" si="7"/>
        <v>3.8483738899230957E-4</v>
      </c>
      <c r="J213" s="8" t="s">
        <v>121</v>
      </c>
      <c r="K213" s="8"/>
      <c r="M213" s="339"/>
      <c r="N213" s="315"/>
    </row>
    <row r="214" spans="1:14" s="9" customFormat="1" ht="11.25" customHeight="1" x14ac:dyDescent="0.2">
      <c r="A214" s="10">
        <v>60110110</v>
      </c>
      <c r="B214" s="10" t="s">
        <v>403</v>
      </c>
      <c r="C214" s="11">
        <v>0</v>
      </c>
      <c r="D214" s="11">
        <v>1136780.078</v>
      </c>
      <c r="E214" s="11">
        <v>1136780.078</v>
      </c>
      <c r="F214" s="13">
        <f>SUMIF('OD 12-24'!A:A,A214,'OD 12-24'!D:D)</f>
        <v>5575661.7970000003</v>
      </c>
      <c r="G214" s="13">
        <f>SUMIF('OD 12-24'!A:A,A214,'OD 12-24'!E:E)</f>
        <v>4207008.9249999998</v>
      </c>
      <c r="H214" s="14">
        <f t="shared" si="6"/>
        <v>1368652.8720000004</v>
      </c>
      <c r="I214" s="14">
        <f t="shared" si="7"/>
        <v>1368652.8720000004</v>
      </c>
      <c r="J214" s="8" t="s">
        <v>138</v>
      </c>
      <c r="K214" s="8" t="s">
        <v>509</v>
      </c>
      <c r="M214" s="339"/>
      <c r="N214" s="315"/>
    </row>
    <row r="215" spans="1:14" s="9" customFormat="1" ht="11.25" customHeight="1" x14ac:dyDescent="0.2">
      <c r="A215" s="10">
        <v>60110212</v>
      </c>
      <c r="B215" s="10" t="s">
        <v>7391</v>
      </c>
      <c r="C215" s="11">
        <v>0</v>
      </c>
      <c r="D215" s="11">
        <v>35898.511500000001</v>
      </c>
      <c r="E215" s="11">
        <v>0</v>
      </c>
      <c r="F215" s="13">
        <f>SUMIF('OD 12-24'!A:A,A215,'OD 12-24'!D:D)</f>
        <v>0</v>
      </c>
      <c r="G215" s="13">
        <f>SUMIF('OD 12-24'!A:A,A215,'OD 12-24'!E:E)</f>
        <v>0</v>
      </c>
      <c r="H215" s="14">
        <f t="shared" si="6"/>
        <v>35898.511500000001</v>
      </c>
      <c r="I215" s="14">
        <f t="shared" si="7"/>
        <v>35898.511500000001</v>
      </c>
      <c r="J215" s="8" t="s">
        <v>138</v>
      </c>
      <c r="K215" s="8" t="s">
        <v>509</v>
      </c>
      <c r="M215" s="339"/>
      <c r="N215" s="315"/>
    </row>
    <row r="216" spans="1:14" s="9" customFormat="1" ht="11.25" customHeight="1" x14ac:dyDescent="0.2">
      <c r="A216" s="10">
        <v>60110210</v>
      </c>
      <c r="B216" s="10" t="s">
        <v>137</v>
      </c>
      <c r="C216" s="11">
        <v>0</v>
      </c>
      <c r="D216" s="11">
        <v>930883.04216550011</v>
      </c>
      <c r="E216" s="11">
        <v>0</v>
      </c>
      <c r="F216" s="13">
        <f>SUMIF('OD 12-24'!A:A,A216,'OD 12-24'!D:D)</f>
        <v>0</v>
      </c>
      <c r="G216" s="13">
        <f>SUMIF('OD 12-24'!A:A,A216,'OD 12-24'!E:E)</f>
        <v>0</v>
      </c>
      <c r="H216" s="14">
        <f t="shared" si="6"/>
        <v>930883.04216550011</v>
      </c>
      <c r="I216" s="14">
        <f t="shared" si="7"/>
        <v>930883.04216550011</v>
      </c>
      <c r="J216" s="8" t="s">
        <v>138</v>
      </c>
      <c r="K216" s="8" t="s">
        <v>509</v>
      </c>
      <c r="M216" s="339"/>
      <c r="N216" s="315"/>
    </row>
    <row r="217" spans="1:14" s="9" customFormat="1" ht="11.25" customHeight="1" x14ac:dyDescent="0.2">
      <c r="A217" s="10">
        <v>60110211</v>
      </c>
      <c r="B217" s="10" t="s">
        <v>363</v>
      </c>
      <c r="C217" s="11">
        <v>0</v>
      </c>
      <c r="D217" s="11">
        <v>179698.33161950001</v>
      </c>
      <c r="E217" s="11">
        <v>0</v>
      </c>
      <c r="F217" s="13">
        <f>SUMIF('OD 12-24'!A:A,A217,'OD 12-24'!D:D)</f>
        <v>0</v>
      </c>
      <c r="G217" s="13">
        <f>SUMIF('OD 12-24'!A:A,A217,'OD 12-24'!E:E)</f>
        <v>0</v>
      </c>
      <c r="H217" s="14">
        <f t="shared" si="6"/>
        <v>179698.33161950001</v>
      </c>
      <c r="I217" s="14">
        <f t="shared" si="7"/>
        <v>179698.33161950001</v>
      </c>
      <c r="J217" s="8" t="s">
        <v>138</v>
      </c>
      <c r="K217" s="8" t="s">
        <v>509</v>
      </c>
      <c r="M217" s="339"/>
      <c r="N217" s="315"/>
    </row>
    <row r="218" spans="1:14" s="9" customFormat="1" ht="11.25" customHeight="1" x14ac:dyDescent="0.2">
      <c r="A218" s="10">
        <v>60110213</v>
      </c>
      <c r="B218" s="10" t="s">
        <v>364</v>
      </c>
      <c r="C218" s="11">
        <v>0</v>
      </c>
      <c r="D218" s="11">
        <v>5211.6000000000004</v>
      </c>
      <c r="E218" s="11">
        <v>0</v>
      </c>
      <c r="F218" s="13">
        <f>SUMIF('OD 12-24'!A:A,A218,'OD 12-24'!D:D)</f>
        <v>768</v>
      </c>
      <c r="G218" s="13">
        <f>SUMIF('OD 12-24'!A:A,A218,'OD 12-24'!E:E)</f>
        <v>768</v>
      </c>
      <c r="H218" s="14">
        <f t="shared" si="6"/>
        <v>5211.6000000000004</v>
      </c>
      <c r="I218" s="14">
        <f t="shared" si="7"/>
        <v>5211.6000000000004</v>
      </c>
      <c r="J218" s="8" t="s">
        <v>138</v>
      </c>
      <c r="K218" s="8" t="s">
        <v>509</v>
      </c>
      <c r="M218" s="339"/>
      <c r="N218" s="315"/>
    </row>
    <row r="219" spans="1:14" s="9" customFormat="1" ht="11.25" customHeight="1" x14ac:dyDescent="0.2">
      <c r="A219" s="10">
        <v>60110220</v>
      </c>
      <c r="B219" s="10" t="s">
        <v>139</v>
      </c>
      <c r="C219" s="11">
        <v>0</v>
      </c>
      <c r="D219" s="11">
        <v>999799.90972350002</v>
      </c>
      <c r="E219" s="11">
        <v>12546.76</v>
      </c>
      <c r="F219" s="13">
        <f>SUMIF('OD 12-24'!A:A,A219,'OD 12-24'!D:D)</f>
        <v>0</v>
      </c>
      <c r="G219" s="13">
        <f>SUMIF('OD 12-24'!A:A,A219,'OD 12-24'!E:E)</f>
        <v>0</v>
      </c>
      <c r="H219" s="14">
        <f t="shared" si="6"/>
        <v>987253.14972350001</v>
      </c>
      <c r="I219" s="14">
        <f t="shared" si="7"/>
        <v>987253.14972350001</v>
      </c>
      <c r="J219" s="8" t="s">
        <v>138</v>
      </c>
      <c r="K219" s="8" t="s">
        <v>509</v>
      </c>
      <c r="M219" s="339"/>
      <c r="N219" s="315"/>
    </row>
    <row r="220" spans="1:14" s="9" customFormat="1" ht="11.25" customHeight="1" x14ac:dyDescent="0.2">
      <c r="A220" s="10">
        <v>60110230</v>
      </c>
      <c r="B220" s="10" t="s">
        <v>7566</v>
      </c>
      <c r="C220" s="11">
        <v>0</v>
      </c>
      <c r="D220" s="11">
        <v>71024.114700000006</v>
      </c>
      <c r="E220" s="11">
        <v>0</v>
      </c>
      <c r="F220" s="13">
        <f>SUMIF('OD 12-24'!A:A,A220,'OD 12-24'!D:D)</f>
        <v>0</v>
      </c>
      <c r="G220" s="13">
        <f>SUMIF('OD 12-24'!A:A,A220,'OD 12-24'!E:E)</f>
        <v>0</v>
      </c>
      <c r="H220" s="14">
        <f t="shared" si="6"/>
        <v>71024.114700000006</v>
      </c>
      <c r="I220" s="14">
        <f t="shared" si="7"/>
        <v>71024.114700000006</v>
      </c>
      <c r="J220" s="8" t="s">
        <v>138</v>
      </c>
      <c r="K220" s="8" t="s">
        <v>509</v>
      </c>
      <c r="M220" s="339"/>
      <c r="N220" s="315"/>
    </row>
    <row r="221" spans="1:14" s="9" customFormat="1" ht="11.25" customHeight="1" x14ac:dyDescent="0.2">
      <c r="A221" s="10">
        <v>60110300</v>
      </c>
      <c r="B221" s="10" t="s">
        <v>140</v>
      </c>
      <c r="C221" s="11">
        <v>0</v>
      </c>
      <c r="D221" s="11">
        <v>38549.676284000001</v>
      </c>
      <c r="E221" s="11">
        <v>8655.4889999999996</v>
      </c>
      <c r="F221" s="13">
        <f>SUMIF('OD 12-24'!A:A,A221,'OD 12-24'!D:D)</f>
        <v>0</v>
      </c>
      <c r="G221" s="13">
        <f>SUMIF('OD 12-24'!A:A,A221,'OD 12-24'!E:E)</f>
        <v>0</v>
      </c>
      <c r="H221" s="14">
        <f t="shared" si="6"/>
        <v>29894.187284</v>
      </c>
      <c r="I221" s="14">
        <f t="shared" si="7"/>
        <v>29894.187284</v>
      </c>
      <c r="J221" s="8" t="s">
        <v>138</v>
      </c>
      <c r="K221" s="8" t="s">
        <v>509</v>
      </c>
      <c r="M221" s="339"/>
      <c r="N221" s="315"/>
    </row>
    <row r="222" spans="1:14" s="9" customFormat="1" ht="11.25" customHeight="1" x14ac:dyDescent="0.2">
      <c r="A222" s="10">
        <v>60110310</v>
      </c>
      <c r="B222" s="10" t="s">
        <v>141</v>
      </c>
      <c r="C222" s="11">
        <v>0</v>
      </c>
      <c r="D222" s="11">
        <v>52975.259999999995</v>
      </c>
      <c r="E222" s="11">
        <v>0</v>
      </c>
      <c r="F222" s="13">
        <f>SUMIF('OD 12-24'!A:A,A222,'OD 12-24'!D:D)</f>
        <v>0</v>
      </c>
      <c r="G222" s="13">
        <f>SUMIF('OD 12-24'!A:A,A222,'OD 12-24'!E:E)</f>
        <v>0</v>
      </c>
      <c r="H222" s="14">
        <f t="shared" si="6"/>
        <v>52975.259999999995</v>
      </c>
      <c r="I222" s="14">
        <f t="shared" si="7"/>
        <v>52975.259999999995</v>
      </c>
      <c r="J222" s="8" t="s">
        <v>138</v>
      </c>
      <c r="K222" s="8" t="s">
        <v>509</v>
      </c>
      <c r="M222" s="339"/>
      <c r="N222" s="315"/>
    </row>
    <row r="223" spans="1:14" s="9" customFormat="1" ht="11.25" customHeight="1" x14ac:dyDescent="0.2">
      <c r="A223" s="10">
        <v>60110320</v>
      </c>
      <c r="B223" s="10" t="s">
        <v>142</v>
      </c>
      <c r="C223" s="11">
        <v>0</v>
      </c>
      <c r="D223" s="11">
        <v>44893.273368999995</v>
      </c>
      <c r="E223" s="11">
        <v>0</v>
      </c>
      <c r="F223" s="13">
        <f>SUMIF('OD 12-24'!A:A,A223,'OD 12-24'!D:D)</f>
        <v>0</v>
      </c>
      <c r="G223" s="13">
        <f>SUMIF('OD 12-24'!A:A,A223,'OD 12-24'!E:E)</f>
        <v>0</v>
      </c>
      <c r="H223" s="14">
        <f t="shared" si="6"/>
        <v>44893.273368999995</v>
      </c>
      <c r="I223" s="14">
        <f t="shared" si="7"/>
        <v>44893.273368999995</v>
      </c>
      <c r="J223" s="8" t="s">
        <v>138</v>
      </c>
      <c r="K223" s="8" t="s">
        <v>509</v>
      </c>
      <c r="M223" s="339"/>
      <c r="N223" s="315"/>
    </row>
    <row r="224" spans="1:14" s="9" customFormat="1" ht="11.25" customHeight="1" x14ac:dyDescent="0.2">
      <c r="A224" s="10">
        <v>60110330</v>
      </c>
      <c r="B224" s="10" t="s">
        <v>143</v>
      </c>
      <c r="C224" s="11">
        <v>0</v>
      </c>
      <c r="D224" s="11">
        <v>27966.137999999999</v>
      </c>
      <c r="E224" s="11">
        <v>0</v>
      </c>
      <c r="F224" s="13">
        <f>SUMIF('OD 12-24'!A:A,A224,'OD 12-24'!D:D)</f>
        <v>0</v>
      </c>
      <c r="G224" s="13">
        <f>SUMIF('OD 12-24'!A:A,A224,'OD 12-24'!E:E)</f>
        <v>0</v>
      </c>
      <c r="H224" s="14">
        <f t="shared" si="6"/>
        <v>27966.137999999999</v>
      </c>
      <c r="I224" s="14">
        <f t="shared" si="7"/>
        <v>27966.137999999999</v>
      </c>
      <c r="J224" s="8" t="s">
        <v>138</v>
      </c>
      <c r="K224" s="8" t="s">
        <v>509</v>
      </c>
      <c r="M224" s="339"/>
      <c r="N224" s="315"/>
    </row>
    <row r="225" spans="1:14" s="9" customFormat="1" ht="11.25" customHeight="1" x14ac:dyDescent="0.2">
      <c r="A225" s="10">
        <v>60110350</v>
      </c>
      <c r="B225" s="10" t="s">
        <v>261</v>
      </c>
      <c r="C225" s="11">
        <v>0</v>
      </c>
      <c r="D225" s="11">
        <v>0</v>
      </c>
      <c r="E225" s="11">
        <v>0</v>
      </c>
      <c r="F225" s="13">
        <f>SUMIF('OD 12-24'!A:A,A225,'OD 12-24'!D:D)</f>
        <v>0</v>
      </c>
      <c r="G225" s="13">
        <f>SUMIF('OD 12-24'!A:A,A225,'OD 12-24'!E:E)</f>
        <v>0</v>
      </c>
      <c r="H225" s="14">
        <f t="shared" si="6"/>
        <v>0</v>
      </c>
      <c r="I225" s="14">
        <f t="shared" si="7"/>
        <v>0</v>
      </c>
      <c r="J225" s="8" t="s">
        <v>138</v>
      </c>
      <c r="K225" s="8" t="s">
        <v>509</v>
      </c>
      <c r="M225" s="339"/>
      <c r="N225" s="315"/>
    </row>
    <row r="226" spans="1:14" s="9" customFormat="1" ht="11.25" customHeight="1" x14ac:dyDescent="0.2">
      <c r="A226" s="10">
        <v>60110500</v>
      </c>
      <c r="B226" s="10" t="s">
        <v>144</v>
      </c>
      <c r="C226" s="11">
        <v>0</v>
      </c>
      <c r="D226" s="11">
        <v>4673.6639999999998</v>
      </c>
      <c r="E226" s="11">
        <v>0.14899999999999999</v>
      </c>
      <c r="F226" s="13">
        <f>SUMIF('OD 12-24'!A:A,A226,'OD 12-24'!D:D)</f>
        <v>7502.2709999999997</v>
      </c>
      <c r="G226" s="13">
        <f>SUMIF('OD 12-24'!A:A,A226,'OD 12-24'!E:E)</f>
        <v>7502.2709999999997</v>
      </c>
      <c r="H226" s="14">
        <f t="shared" si="6"/>
        <v>4673.5150000000003</v>
      </c>
      <c r="I226" s="14">
        <f t="shared" si="7"/>
        <v>4673.5150000000003</v>
      </c>
      <c r="J226" s="8" t="s">
        <v>138</v>
      </c>
      <c r="K226" s="8" t="s">
        <v>509</v>
      </c>
      <c r="M226" s="339"/>
      <c r="N226" s="315"/>
    </row>
    <row r="227" spans="1:14" s="9" customFormat="1" ht="11.25" customHeight="1" x14ac:dyDescent="0.2">
      <c r="A227" s="10">
        <v>60110600</v>
      </c>
      <c r="B227" s="10" t="s">
        <v>145</v>
      </c>
      <c r="C227" s="11">
        <v>0</v>
      </c>
      <c r="D227" s="11">
        <v>22070.402999999998</v>
      </c>
      <c r="E227" s="11">
        <v>0</v>
      </c>
      <c r="F227" s="13">
        <f>SUMIF('OD 12-24'!A:A,A227,'OD 12-24'!D:D)</f>
        <v>0</v>
      </c>
      <c r="G227" s="13">
        <f>SUMIF('OD 12-24'!A:A,A227,'OD 12-24'!E:E)</f>
        <v>0</v>
      </c>
      <c r="H227" s="14">
        <f t="shared" si="6"/>
        <v>22070.402999999998</v>
      </c>
      <c r="I227" s="14">
        <f t="shared" si="7"/>
        <v>22070.402999999998</v>
      </c>
      <c r="J227" s="8" t="s">
        <v>138</v>
      </c>
      <c r="K227" s="8" t="s">
        <v>509</v>
      </c>
      <c r="M227" s="339"/>
      <c r="N227" s="315"/>
    </row>
    <row r="228" spans="1:14" s="9" customFormat="1" ht="11.25" customHeight="1" x14ac:dyDescent="0.2">
      <c r="A228" s="10">
        <v>60110700</v>
      </c>
      <c r="B228" s="10" t="s">
        <v>146</v>
      </c>
      <c r="C228" s="11">
        <v>0</v>
      </c>
      <c r="D228" s="11">
        <v>204.67500000000001</v>
      </c>
      <c r="E228" s="11">
        <v>0</v>
      </c>
      <c r="F228" s="13">
        <f>SUMIF('OD 12-24'!A:A,A228,'OD 12-24'!D:D)</f>
        <v>0</v>
      </c>
      <c r="G228" s="13">
        <f>SUMIF('OD 12-24'!A:A,A228,'OD 12-24'!E:E)</f>
        <v>0</v>
      </c>
      <c r="H228" s="14">
        <f t="shared" si="6"/>
        <v>204.67500000000001</v>
      </c>
      <c r="I228" s="14">
        <f t="shared" si="7"/>
        <v>204.67500000000001</v>
      </c>
      <c r="J228" s="8" t="s">
        <v>138</v>
      </c>
      <c r="K228" s="8" t="s">
        <v>509</v>
      </c>
      <c r="M228" s="339"/>
      <c r="N228" s="315"/>
    </row>
    <row r="229" spans="1:14" s="9" customFormat="1" ht="11.25" customHeight="1" x14ac:dyDescent="0.2">
      <c r="A229" s="10">
        <v>60110900</v>
      </c>
      <c r="B229" s="10" t="s">
        <v>147</v>
      </c>
      <c r="C229" s="11">
        <v>0</v>
      </c>
      <c r="D229" s="11">
        <v>216410.44100000002</v>
      </c>
      <c r="E229" s="11">
        <v>808</v>
      </c>
      <c r="F229" s="13">
        <f>SUMIF('OD 12-24'!A:A,A229,'OD 12-24'!D:D)</f>
        <v>219792.07699999999</v>
      </c>
      <c r="G229" s="13">
        <f>SUMIF('OD 12-24'!A:A,A229,'OD 12-24'!E:E)</f>
        <v>219792.07699999999</v>
      </c>
      <c r="H229" s="14">
        <f t="shared" si="6"/>
        <v>215602.44100000005</v>
      </c>
      <c r="I229" s="14">
        <f t="shared" si="7"/>
        <v>215602.44100000005</v>
      </c>
      <c r="J229" s="8" t="s">
        <v>138</v>
      </c>
      <c r="K229" s="8" t="s">
        <v>509</v>
      </c>
      <c r="M229" s="339"/>
      <c r="N229" s="315"/>
    </row>
    <row r="230" spans="1:14" s="9" customFormat="1" ht="11.25" customHeight="1" x14ac:dyDescent="0.2">
      <c r="A230" s="10">
        <v>60111000</v>
      </c>
      <c r="B230" s="10" t="s">
        <v>148</v>
      </c>
      <c r="C230" s="11">
        <v>0</v>
      </c>
      <c r="D230" s="11">
        <v>0</v>
      </c>
      <c r="E230" s="11">
        <v>0</v>
      </c>
      <c r="F230" s="13">
        <f>SUMIF('OD 12-24'!A:A,A230,'OD 12-24'!D:D)</f>
        <v>0</v>
      </c>
      <c r="G230" s="13">
        <f>SUMIF('OD 12-24'!A:A,A230,'OD 12-24'!E:E)</f>
        <v>0</v>
      </c>
      <c r="H230" s="14">
        <f t="shared" si="6"/>
        <v>0</v>
      </c>
      <c r="I230" s="14">
        <f t="shared" si="7"/>
        <v>0</v>
      </c>
      <c r="J230" s="8" t="s">
        <v>138</v>
      </c>
      <c r="K230" s="8" t="s">
        <v>509</v>
      </c>
      <c r="M230" s="339"/>
      <c r="N230" s="315"/>
    </row>
    <row r="231" spans="1:14" s="9" customFormat="1" ht="11.25" customHeight="1" x14ac:dyDescent="0.2">
      <c r="A231" s="10">
        <v>60111010</v>
      </c>
      <c r="B231" s="10" t="s">
        <v>393</v>
      </c>
      <c r="C231" s="11">
        <v>0</v>
      </c>
      <c r="D231" s="11">
        <v>3838</v>
      </c>
      <c r="E231" s="11">
        <v>0</v>
      </c>
      <c r="F231" s="13">
        <f>SUMIF('OD 12-24'!A:A,A231,'OD 12-24'!D:D)</f>
        <v>0</v>
      </c>
      <c r="G231" s="13">
        <f>SUMIF('OD 12-24'!A:A,A231,'OD 12-24'!E:E)</f>
        <v>0</v>
      </c>
      <c r="H231" s="14">
        <f t="shared" si="6"/>
        <v>3838</v>
      </c>
      <c r="I231" s="14">
        <f t="shared" si="7"/>
        <v>3838</v>
      </c>
      <c r="J231" s="8" t="s">
        <v>138</v>
      </c>
      <c r="K231" s="8" t="s">
        <v>509</v>
      </c>
      <c r="M231" s="339"/>
      <c r="N231" s="315"/>
    </row>
    <row r="232" spans="1:14" s="9" customFormat="1" ht="11.25" customHeight="1" x14ac:dyDescent="0.2">
      <c r="A232" s="10">
        <v>60120100</v>
      </c>
      <c r="B232" s="10" t="s">
        <v>149</v>
      </c>
      <c r="C232" s="11">
        <v>0</v>
      </c>
      <c r="D232" s="11">
        <v>595256.70542199991</v>
      </c>
      <c r="E232" s="11">
        <v>9063.0944025000008</v>
      </c>
      <c r="F232" s="13">
        <f>SUMIF('OD 12-24'!A:A,A232,'OD 12-24'!D:D)</f>
        <v>0</v>
      </c>
      <c r="G232" s="13">
        <f>SUMIF('OD 12-24'!A:A,A232,'OD 12-24'!E:E)</f>
        <v>0</v>
      </c>
      <c r="H232" s="14">
        <f t="shared" si="6"/>
        <v>586193.61101949995</v>
      </c>
      <c r="I232" s="14">
        <f t="shared" si="7"/>
        <v>586193.61101949995</v>
      </c>
      <c r="J232" s="8" t="s">
        <v>138</v>
      </c>
      <c r="K232" s="8" t="s">
        <v>509</v>
      </c>
      <c r="M232" s="339"/>
      <c r="N232" s="315"/>
    </row>
    <row r="233" spans="1:14" s="9" customFormat="1" ht="11.25" customHeight="1" x14ac:dyDescent="0.2">
      <c r="A233" s="10">
        <v>60120200</v>
      </c>
      <c r="B233" s="10" t="s">
        <v>8977</v>
      </c>
      <c r="C233" s="11">
        <v>0</v>
      </c>
      <c r="D233" s="11">
        <v>0</v>
      </c>
      <c r="E233" s="11">
        <v>0</v>
      </c>
      <c r="F233" s="13">
        <f>SUMIF('OD 12-24'!A:A,A233,'OD 12-24'!D:D)</f>
        <v>492</v>
      </c>
      <c r="G233" s="13">
        <f>SUMIF('OD 12-24'!A:A,A233,'OD 12-24'!E:E)</f>
        <v>492</v>
      </c>
      <c r="H233" s="14">
        <f t="shared" si="6"/>
        <v>0</v>
      </c>
      <c r="I233" s="14">
        <f t="shared" si="7"/>
        <v>0</v>
      </c>
      <c r="J233" s="8" t="s">
        <v>138</v>
      </c>
      <c r="K233" s="8" t="s">
        <v>509</v>
      </c>
      <c r="M233" s="339"/>
      <c r="N233" s="315"/>
    </row>
    <row r="234" spans="1:14" s="9" customFormat="1" ht="11.25" customHeight="1" x14ac:dyDescent="0.2">
      <c r="A234" s="10">
        <v>60120300</v>
      </c>
      <c r="B234" s="10" t="s">
        <v>150</v>
      </c>
      <c r="C234" s="11">
        <v>0</v>
      </c>
      <c r="D234" s="11">
        <v>5793476.767</v>
      </c>
      <c r="E234" s="11">
        <v>72828.75</v>
      </c>
      <c r="F234" s="13">
        <f>SUMIF('OD 12-24'!A:A,A234,'OD 12-24'!D:D)</f>
        <v>476925.11</v>
      </c>
      <c r="G234" s="13">
        <f>SUMIF('OD 12-24'!A:A,A234,'OD 12-24'!E:E)</f>
        <v>476925.11</v>
      </c>
      <c r="H234" s="14">
        <f t="shared" si="6"/>
        <v>5720648.017</v>
      </c>
      <c r="I234" s="14">
        <f t="shared" si="7"/>
        <v>5720648.017</v>
      </c>
      <c r="J234" s="8" t="s">
        <v>138</v>
      </c>
      <c r="K234" s="8" t="s">
        <v>509</v>
      </c>
      <c r="M234" s="339"/>
      <c r="N234" s="315"/>
    </row>
    <row r="235" spans="1:14" s="9" customFormat="1" ht="11.25" customHeight="1" x14ac:dyDescent="0.2">
      <c r="A235" s="10">
        <v>60120400</v>
      </c>
      <c r="B235" s="10" t="s">
        <v>365</v>
      </c>
      <c r="C235" s="11">
        <v>0</v>
      </c>
      <c r="D235" s="11">
        <v>1031190.03</v>
      </c>
      <c r="E235" s="11">
        <v>0</v>
      </c>
      <c r="F235" s="13">
        <f>SUMIF('OD 12-24'!A:A,A235,'OD 12-24'!D:D)</f>
        <v>170767.3</v>
      </c>
      <c r="G235" s="13">
        <f>SUMIF('OD 12-24'!A:A,A235,'OD 12-24'!E:E)</f>
        <v>332101.09000000003</v>
      </c>
      <c r="H235" s="14">
        <f t="shared" si="6"/>
        <v>869856.24</v>
      </c>
      <c r="I235" s="14">
        <f t="shared" si="7"/>
        <v>869856.24</v>
      </c>
      <c r="J235" s="8" t="s">
        <v>138</v>
      </c>
      <c r="K235" s="8" t="s">
        <v>509</v>
      </c>
      <c r="M235" s="339"/>
      <c r="N235" s="315"/>
    </row>
    <row r="236" spans="1:14" s="9" customFormat="1" ht="11.25" customHeight="1" x14ac:dyDescent="0.2">
      <c r="A236" s="10">
        <v>60120800</v>
      </c>
      <c r="B236" s="10" t="s">
        <v>151</v>
      </c>
      <c r="C236" s="11">
        <v>0</v>
      </c>
      <c r="D236" s="11">
        <v>448219.5</v>
      </c>
      <c r="E236" s="11">
        <v>0</v>
      </c>
      <c r="F236" s="13">
        <f>SUMIF('OD 12-24'!A:A,A236,'OD 12-24'!D:D)</f>
        <v>322696</v>
      </c>
      <c r="G236" s="13">
        <f>SUMIF('OD 12-24'!A:A,A236,'OD 12-24'!E:E)</f>
        <v>145607</v>
      </c>
      <c r="H236" s="14">
        <f t="shared" si="6"/>
        <v>625308.5</v>
      </c>
      <c r="I236" s="14">
        <f t="shared" si="7"/>
        <v>625308.5</v>
      </c>
      <c r="J236" s="8" t="s">
        <v>138</v>
      </c>
      <c r="K236" s="8" t="s">
        <v>509</v>
      </c>
      <c r="M236" s="339"/>
      <c r="N236" s="315"/>
    </row>
    <row r="237" spans="1:14" s="9" customFormat="1" ht="11.25" customHeight="1" x14ac:dyDescent="0.2">
      <c r="A237" s="10">
        <v>60120900</v>
      </c>
      <c r="B237" s="10" t="s">
        <v>7393</v>
      </c>
      <c r="C237" s="11">
        <v>0</v>
      </c>
      <c r="D237" s="11">
        <v>135633.4173375</v>
      </c>
      <c r="E237" s="11">
        <v>0</v>
      </c>
      <c r="F237" s="13">
        <f>SUMIF('OD 12-24'!A:A,A237,'OD 12-24'!D:D)</f>
        <v>0</v>
      </c>
      <c r="G237" s="13">
        <f>SUMIF('OD 12-24'!A:A,A237,'OD 12-24'!E:E)</f>
        <v>0</v>
      </c>
      <c r="H237" s="14">
        <f t="shared" si="6"/>
        <v>135633.4173375</v>
      </c>
      <c r="I237" s="14">
        <f t="shared" si="7"/>
        <v>135633.4173375</v>
      </c>
      <c r="J237" s="8" t="s">
        <v>138</v>
      </c>
      <c r="K237" s="8" t="s">
        <v>509</v>
      </c>
      <c r="M237" s="339"/>
      <c r="N237" s="315"/>
    </row>
    <row r="238" spans="1:14" s="9" customFormat="1" ht="11.25" customHeight="1" x14ac:dyDescent="0.2">
      <c r="A238" s="10">
        <v>60121010</v>
      </c>
      <c r="B238" s="10" t="s">
        <v>152</v>
      </c>
      <c r="C238" s="11">
        <v>0</v>
      </c>
      <c r="D238" s="11">
        <v>8602591.3661035001</v>
      </c>
      <c r="E238" s="11">
        <v>0</v>
      </c>
      <c r="F238" s="13">
        <f>SUMIF('OD 12-24'!A:A,A238,'OD 12-24'!D:D)</f>
        <v>0</v>
      </c>
      <c r="G238" s="13">
        <f>SUMIF('OD 12-24'!A:A,A238,'OD 12-24'!E:E)</f>
        <v>0</v>
      </c>
      <c r="H238" s="14">
        <f t="shared" si="6"/>
        <v>8602591.3661035001</v>
      </c>
      <c r="I238" s="14">
        <f t="shared" si="7"/>
        <v>8602591.3661035001</v>
      </c>
      <c r="J238" s="8" t="s">
        <v>138</v>
      </c>
      <c r="K238" s="8" t="s">
        <v>509</v>
      </c>
      <c r="M238" s="339"/>
      <c r="N238" s="315"/>
    </row>
    <row r="239" spans="1:14" s="9" customFormat="1" ht="11.25" customHeight="1" x14ac:dyDescent="0.2">
      <c r="A239" s="10">
        <v>60121020</v>
      </c>
      <c r="B239" s="10" t="s">
        <v>153</v>
      </c>
      <c r="C239" s="11">
        <v>0</v>
      </c>
      <c r="D239" s="11">
        <v>4664</v>
      </c>
      <c r="E239" s="11">
        <v>4664</v>
      </c>
      <c r="F239" s="13">
        <f>SUMIF('OD 12-24'!A:A,A239,'OD 12-24'!D:D)</f>
        <v>0</v>
      </c>
      <c r="G239" s="13">
        <f>SUMIF('OD 12-24'!A:A,A239,'OD 12-24'!E:E)</f>
        <v>0</v>
      </c>
      <c r="H239" s="14">
        <f t="shared" si="6"/>
        <v>0</v>
      </c>
      <c r="I239" s="14">
        <f t="shared" si="7"/>
        <v>0</v>
      </c>
      <c r="J239" s="8" t="s">
        <v>138</v>
      </c>
      <c r="K239" s="8" t="s">
        <v>509</v>
      </c>
      <c r="M239" s="339"/>
      <c r="N239" s="315"/>
    </row>
    <row r="240" spans="1:14" s="9" customFormat="1" ht="11.25" customHeight="1" x14ac:dyDescent="0.2">
      <c r="A240" s="10">
        <v>60121031</v>
      </c>
      <c r="B240" s="10" t="s">
        <v>394</v>
      </c>
      <c r="C240" s="11">
        <v>0</v>
      </c>
      <c r="D240" s="11">
        <v>83243.112670000002</v>
      </c>
      <c r="E240" s="11">
        <v>0</v>
      </c>
      <c r="F240" s="13">
        <f>SUMIF('OD 12-24'!A:A,A240,'OD 12-24'!D:D)</f>
        <v>0</v>
      </c>
      <c r="G240" s="13">
        <f>SUMIF('OD 12-24'!A:A,A240,'OD 12-24'!E:E)</f>
        <v>0</v>
      </c>
      <c r="H240" s="14">
        <f t="shared" si="6"/>
        <v>83243.112670000002</v>
      </c>
      <c r="I240" s="14">
        <f t="shared" si="7"/>
        <v>83243.112670000002</v>
      </c>
      <c r="J240" s="8" t="s">
        <v>138</v>
      </c>
      <c r="K240" s="8" t="s">
        <v>509</v>
      </c>
      <c r="M240" s="339"/>
      <c r="N240" s="315"/>
    </row>
    <row r="241" spans="1:14" s="9" customFormat="1" ht="11.25" customHeight="1" x14ac:dyDescent="0.2">
      <c r="A241" s="10">
        <v>60121032</v>
      </c>
      <c r="B241" s="10" t="s">
        <v>8973</v>
      </c>
      <c r="C241" s="11">
        <v>0</v>
      </c>
      <c r="D241" s="11">
        <v>10482.185000000001</v>
      </c>
      <c r="E241" s="11">
        <v>0</v>
      </c>
      <c r="F241" s="13">
        <f>SUMIF('OD 12-24'!A:A,A241,'OD 12-24'!D:D)</f>
        <v>0</v>
      </c>
      <c r="G241" s="13">
        <f>SUMIF('OD 12-24'!A:A,A241,'OD 12-24'!E:E)</f>
        <v>0</v>
      </c>
      <c r="H241" s="14">
        <f t="shared" si="6"/>
        <v>10482.185000000001</v>
      </c>
      <c r="I241" s="14">
        <f t="shared" si="7"/>
        <v>10482.185000000001</v>
      </c>
      <c r="J241" s="8" t="s">
        <v>138</v>
      </c>
      <c r="K241" s="8" t="s">
        <v>509</v>
      </c>
      <c r="M241" s="339"/>
      <c r="N241" s="315"/>
    </row>
    <row r="242" spans="1:14" s="9" customFormat="1" ht="11.25" customHeight="1" x14ac:dyDescent="0.2">
      <c r="A242" s="10">
        <v>60121033</v>
      </c>
      <c r="B242" s="10" t="s">
        <v>7718</v>
      </c>
      <c r="C242" s="11">
        <v>0</v>
      </c>
      <c r="D242" s="11">
        <v>6154.0569999999989</v>
      </c>
      <c r="E242" s="11">
        <v>0</v>
      </c>
      <c r="F242" s="13">
        <f>SUMIF('OD 12-24'!A:A,A242,'OD 12-24'!D:D)</f>
        <v>0</v>
      </c>
      <c r="G242" s="13">
        <f>SUMIF('OD 12-24'!A:A,A242,'OD 12-24'!E:E)</f>
        <v>0</v>
      </c>
      <c r="H242" s="14">
        <f t="shared" si="6"/>
        <v>6154.0569999999989</v>
      </c>
      <c r="I242" s="14">
        <f t="shared" si="7"/>
        <v>6154.0569999999989</v>
      </c>
      <c r="J242" s="8" t="s">
        <v>138</v>
      </c>
      <c r="K242" s="8" t="s">
        <v>509</v>
      </c>
      <c r="M242" s="339"/>
      <c r="N242" s="315"/>
    </row>
    <row r="243" spans="1:14" s="9" customFormat="1" ht="11.25" customHeight="1" x14ac:dyDescent="0.2">
      <c r="A243" s="10">
        <v>60121035</v>
      </c>
      <c r="B243" s="10" t="s">
        <v>395</v>
      </c>
      <c r="C243" s="11">
        <v>0</v>
      </c>
      <c r="D243" s="11">
        <v>2180.3129999999996</v>
      </c>
      <c r="E243" s="11">
        <v>0</v>
      </c>
      <c r="F243" s="13">
        <f>SUMIF('OD 12-24'!A:A,A243,'OD 12-24'!D:D)</f>
        <v>0</v>
      </c>
      <c r="G243" s="13">
        <f>SUMIF('OD 12-24'!A:A,A243,'OD 12-24'!E:E)</f>
        <v>0</v>
      </c>
      <c r="H243" s="14">
        <f t="shared" si="6"/>
        <v>2180.3129999999996</v>
      </c>
      <c r="I243" s="14">
        <f t="shared" si="7"/>
        <v>2180.3129999999996</v>
      </c>
      <c r="J243" s="8" t="s">
        <v>138</v>
      </c>
      <c r="K243" s="8" t="s">
        <v>509</v>
      </c>
      <c r="M243" s="339"/>
      <c r="N243" s="315"/>
    </row>
    <row r="244" spans="1:14" s="9" customFormat="1" ht="11.25" customHeight="1" x14ac:dyDescent="0.2">
      <c r="A244" s="10">
        <v>60121040</v>
      </c>
      <c r="B244" s="10" t="s">
        <v>7720</v>
      </c>
      <c r="C244" s="11">
        <v>0</v>
      </c>
      <c r="D244" s="11">
        <v>2058.75</v>
      </c>
      <c r="E244" s="11">
        <v>0</v>
      </c>
      <c r="F244" s="13">
        <f>SUMIF('OD 12-24'!A:A,A244,'OD 12-24'!D:D)</f>
        <v>0</v>
      </c>
      <c r="G244" s="13">
        <f>SUMIF('OD 12-24'!A:A,A244,'OD 12-24'!E:E)</f>
        <v>0</v>
      </c>
      <c r="H244" s="14">
        <f t="shared" si="6"/>
        <v>2058.75</v>
      </c>
      <c r="I244" s="14">
        <f t="shared" si="7"/>
        <v>2058.75</v>
      </c>
      <c r="J244" s="8" t="s">
        <v>138</v>
      </c>
      <c r="K244" s="8" t="s">
        <v>509</v>
      </c>
      <c r="M244" s="339"/>
      <c r="N244" s="315"/>
    </row>
    <row r="245" spans="1:14" s="9" customFormat="1" ht="11.25" customHeight="1" x14ac:dyDescent="0.2">
      <c r="A245" s="10">
        <v>60121210</v>
      </c>
      <c r="B245" s="10" t="s">
        <v>7400</v>
      </c>
      <c r="C245" s="11">
        <v>0</v>
      </c>
      <c r="D245" s="11">
        <v>121168.9972735</v>
      </c>
      <c r="E245" s="11">
        <v>0</v>
      </c>
      <c r="F245" s="13">
        <f>SUMIF('OD 12-24'!A:A,A245,'OD 12-24'!D:D)</f>
        <v>0</v>
      </c>
      <c r="G245" s="13">
        <f>SUMIF('OD 12-24'!A:A,A245,'OD 12-24'!E:E)</f>
        <v>0</v>
      </c>
      <c r="H245" s="14">
        <f t="shared" si="6"/>
        <v>121168.9972735</v>
      </c>
      <c r="I245" s="14">
        <f t="shared" si="7"/>
        <v>121168.9972735</v>
      </c>
      <c r="J245" s="8" t="s">
        <v>138</v>
      </c>
      <c r="K245" s="8" t="s">
        <v>509</v>
      </c>
      <c r="M245" s="339"/>
      <c r="N245" s="315"/>
    </row>
    <row r="246" spans="1:14" s="9" customFormat="1" ht="11.25" customHeight="1" x14ac:dyDescent="0.2">
      <c r="A246" s="10">
        <v>60121400</v>
      </c>
      <c r="B246" s="10" t="s">
        <v>7570</v>
      </c>
      <c r="C246" s="11">
        <v>0</v>
      </c>
      <c r="D246" s="11">
        <v>53858.292479999989</v>
      </c>
      <c r="E246" s="11">
        <v>0</v>
      </c>
      <c r="F246" s="13">
        <f>SUMIF('OD 12-24'!A:A,A246,'OD 12-24'!D:D)</f>
        <v>0</v>
      </c>
      <c r="G246" s="13">
        <f>SUMIF('OD 12-24'!A:A,A246,'OD 12-24'!E:E)</f>
        <v>0</v>
      </c>
      <c r="H246" s="14">
        <f t="shared" si="6"/>
        <v>53858.292479999989</v>
      </c>
      <c r="I246" s="14">
        <f t="shared" si="7"/>
        <v>53858.292479999989</v>
      </c>
      <c r="J246" s="8" t="s">
        <v>138</v>
      </c>
      <c r="K246" s="8" t="s">
        <v>509</v>
      </c>
      <c r="M246" s="339"/>
      <c r="N246" s="315"/>
    </row>
    <row r="247" spans="1:14" s="9" customFormat="1" ht="11.25" customHeight="1" x14ac:dyDescent="0.2">
      <c r="A247" s="10">
        <v>60121500</v>
      </c>
      <c r="B247" s="10" t="s">
        <v>404</v>
      </c>
      <c r="C247" s="11">
        <v>0</v>
      </c>
      <c r="D247" s="11">
        <v>43200</v>
      </c>
      <c r="E247" s="11">
        <v>0</v>
      </c>
      <c r="F247" s="13">
        <f>SUMIF('OD 12-24'!A:A,A247,'OD 12-24'!D:D)</f>
        <v>154800</v>
      </c>
      <c r="G247" s="13">
        <f>SUMIF('OD 12-24'!A:A,A247,'OD 12-24'!E:E)</f>
        <v>154800</v>
      </c>
      <c r="H247" s="14">
        <f t="shared" si="6"/>
        <v>43200</v>
      </c>
      <c r="I247" s="14">
        <f t="shared" si="7"/>
        <v>43200</v>
      </c>
      <c r="J247" s="8" t="s">
        <v>138</v>
      </c>
      <c r="K247" s="8" t="s">
        <v>509</v>
      </c>
      <c r="M247" s="339"/>
      <c r="N247" s="315"/>
    </row>
    <row r="248" spans="1:14" s="9" customFormat="1" ht="11.25" customHeight="1" x14ac:dyDescent="0.2">
      <c r="A248" s="10">
        <v>60121600</v>
      </c>
      <c r="B248" s="10" t="s">
        <v>154</v>
      </c>
      <c r="C248" s="11">
        <v>0</v>
      </c>
      <c r="D248" s="11">
        <v>270336</v>
      </c>
      <c r="E248" s="11">
        <v>0</v>
      </c>
      <c r="F248" s="13">
        <f>SUMIF('OD 12-24'!A:A,A248,'OD 12-24'!D:D)</f>
        <v>0</v>
      </c>
      <c r="G248" s="13">
        <f>SUMIF('OD 12-24'!A:A,A248,'OD 12-24'!E:E)</f>
        <v>0</v>
      </c>
      <c r="H248" s="14">
        <f t="shared" si="6"/>
        <v>270336</v>
      </c>
      <c r="I248" s="14">
        <f t="shared" si="7"/>
        <v>270336</v>
      </c>
      <c r="J248" s="8" t="s">
        <v>138</v>
      </c>
      <c r="K248" s="8" t="s">
        <v>509</v>
      </c>
      <c r="M248" s="339"/>
      <c r="N248" s="315"/>
    </row>
    <row r="249" spans="1:14" s="9" customFormat="1" ht="11.25" customHeight="1" x14ac:dyDescent="0.2">
      <c r="A249" s="10">
        <v>60121900</v>
      </c>
      <c r="B249" s="10" t="s">
        <v>7568</v>
      </c>
      <c r="C249" s="11">
        <v>0</v>
      </c>
      <c r="D249" s="11">
        <v>33763.75</v>
      </c>
      <c r="E249" s="11">
        <v>0</v>
      </c>
      <c r="F249" s="13">
        <f>SUMIF('OD 12-24'!A:A,A249,'OD 12-24'!D:D)</f>
        <v>0</v>
      </c>
      <c r="G249" s="13">
        <f>SUMIF('OD 12-24'!A:A,A249,'OD 12-24'!E:E)</f>
        <v>0</v>
      </c>
      <c r="H249" s="14">
        <f t="shared" si="6"/>
        <v>33763.75</v>
      </c>
      <c r="I249" s="14">
        <f t="shared" si="7"/>
        <v>33763.75</v>
      </c>
      <c r="J249" s="8" t="s">
        <v>138</v>
      </c>
      <c r="K249" s="8" t="s">
        <v>509</v>
      </c>
      <c r="M249" s="339"/>
      <c r="N249" s="315"/>
    </row>
    <row r="250" spans="1:14" s="9" customFormat="1" ht="11.25" customHeight="1" x14ac:dyDescent="0.2">
      <c r="A250" s="10">
        <v>60122100</v>
      </c>
      <c r="B250" s="10" t="s">
        <v>155</v>
      </c>
      <c r="C250" s="11">
        <v>0</v>
      </c>
      <c r="D250" s="11">
        <v>86985</v>
      </c>
      <c r="E250" s="11">
        <v>1485</v>
      </c>
      <c r="F250" s="13">
        <f>SUMIF('OD 12-24'!A:A,A250,'OD 12-24'!D:D)</f>
        <v>26730</v>
      </c>
      <c r="G250" s="13">
        <f>SUMIF('OD 12-24'!A:A,A250,'OD 12-24'!E:E)</f>
        <v>26730</v>
      </c>
      <c r="H250" s="14">
        <f t="shared" si="6"/>
        <v>85500</v>
      </c>
      <c r="I250" s="14">
        <f t="shared" si="7"/>
        <v>85500</v>
      </c>
      <c r="J250" s="8" t="s">
        <v>138</v>
      </c>
      <c r="K250" s="8" t="s">
        <v>509</v>
      </c>
      <c r="M250" s="339"/>
      <c r="N250" s="315"/>
    </row>
    <row r="251" spans="1:14" s="9" customFormat="1" ht="11.25" customHeight="1" x14ac:dyDescent="0.2">
      <c r="A251" s="10">
        <v>60122200</v>
      </c>
      <c r="B251" s="10" t="s">
        <v>156</v>
      </c>
      <c r="C251" s="11">
        <v>0</v>
      </c>
      <c r="D251" s="11">
        <v>54164.048999999999</v>
      </c>
      <c r="E251" s="11">
        <v>0</v>
      </c>
      <c r="F251" s="13">
        <f>SUMIF('OD 12-24'!A:A,A251,'OD 12-24'!D:D)</f>
        <v>12789</v>
      </c>
      <c r="G251" s="13">
        <f>SUMIF('OD 12-24'!A:A,A251,'OD 12-24'!E:E)</f>
        <v>12789</v>
      </c>
      <c r="H251" s="14">
        <f t="shared" si="6"/>
        <v>54164.048999999999</v>
      </c>
      <c r="I251" s="14">
        <f t="shared" si="7"/>
        <v>54164.048999999999</v>
      </c>
      <c r="J251" s="8" t="s">
        <v>138</v>
      </c>
      <c r="K251" s="8" t="s">
        <v>509</v>
      </c>
      <c r="M251" s="339"/>
      <c r="N251" s="315"/>
    </row>
    <row r="252" spans="1:14" s="9" customFormat="1" ht="11.25" customHeight="1" x14ac:dyDescent="0.2">
      <c r="A252" s="10">
        <v>60122400</v>
      </c>
      <c r="B252" s="10" t="s">
        <v>7396</v>
      </c>
      <c r="C252" s="11">
        <v>0</v>
      </c>
      <c r="D252" s="11">
        <v>9701.7119999999995</v>
      </c>
      <c r="E252" s="11">
        <v>0</v>
      </c>
      <c r="F252" s="13">
        <f>SUMIF('OD 12-24'!A:A,A252,'OD 12-24'!D:D)</f>
        <v>0</v>
      </c>
      <c r="G252" s="13">
        <f>SUMIF('OD 12-24'!A:A,A252,'OD 12-24'!E:E)</f>
        <v>0</v>
      </c>
      <c r="H252" s="14">
        <f t="shared" si="6"/>
        <v>9701.7119999999995</v>
      </c>
      <c r="I252" s="14">
        <f t="shared" si="7"/>
        <v>9701.7119999999995</v>
      </c>
      <c r="J252" s="8" t="s">
        <v>138</v>
      </c>
      <c r="K252" s="8" t="s">
        <v>509</v>
      </c>
      <c r="M252" s="339"/>
      <c r="N252" s="315"/>
    </row>
    <row r="253" spans="1:14" s="9" customFormat="1" ht="11.25" customHeight="1" x14ac:dyDescent="0.2">
      <c r="A253" s="10">
        <v>60122410</v>
      </c>
      <c r="B253" s="10" t="s">
        <v>366</v>
      </c>
      <c r="C253" s="11">
        <v>0</v>
      </c>
      <c r="D253" s="11">
        <v>2300</v>
      </c>
      <c r="E253" s="11">
        <v>0</v>
      </c>
      <c r="F253" s="13">
        <f>SUMIF('OD 12-24'!A:A,A253,'OD 12-24'!D:D)</f>
        <v>0</v>
      </c>
      <c r="G253" s="13">
        <f>SUMIF('OD 12-24'!A:A,A253,'OD 12-24'!E:E)</f>
        <v>0</v>
      </c>
      <c r="H253" s="14">
        <f t="shared" si="6"/>
        <v>2300</v>
      </c>
      <c r="I253" s="14">
        <f t="shared" si="7"/>
        <v>2300</v>
      </c>
      <c r="J253" s="8" t="s">
        <v>138</v>
      </c>
      <c r="K253" s="8" t="s">
        <v>509</v>
      </c>
      <c r="M253" s="339"/>
      <c r="N253" s="315"/>
    </row>
    <row r="254" spans="1:14" s="9" customFormat="1" ht="11.25" customHeight="1" x14ac:dyDescent="0.2">
      <c r="A254" s="10">
        <v>60122411</v>
      </c>
      <c r="B254" s="10" t="s">
        <v>367</v>
      </c>
      <c r="C254" s="11">
        <v>0</v>
      </c>
      <c r="D254" s="11">
        <v>35610</v>
      </c>
      <c r="E254" s="11">
        <v>0</v>
      </c>
      <c r="F254" s="13">
        <f>SUMIF('OD 12-24'!A:A,A254,'OD 12-24'!D:D)</f>
        <v>1474.8</v>
      </c>
      <c r="G254" s="13">
        <f>SUMIF('OD 12-24'!A:A,A254,'OD 12-24'!E:E)</f>
        <v>1474.8</v>
      </c>
      <c r="H254" s="14">
        <f t="shared" si="6"/>
        <v>35610</v>
      </c>
      <c r="I254" s="14">
        <f t="shared" si="7"/>
        <v>35610</v>
      </c>
      <c r="J254" s="8" t="s">
        <v>138</v>
      </c>
      <c r="K254" s="8" t="s">
        <v>509</v>
      </c>
      <c r="M254" s="339"/>
      <c r="N254" s="315"/>
    </row>
    <row r="255" spans="1:14" s="9" customFormat="1" ht="11.25" customHeight="1" x14ac:dyDescent="0.2">
      <c r="A255" s="10">
        <v>60122510</v>
      </c>
      <c r="B255" s="10" t="s">
        <v>368</v>
      </c>
      <c r="C255" s="11">
        <v>0</v>
      </c>
      <c r="D255" s="11">
        <v>20828.246000000003</v>
      </c>
      <c r="E255" s="11">
        <v>0</v>
      </c>
      <c r="F255" s="13">
        <f>SUMIF('OD 12-24'!A:A,A255,'OD 12-24'!D:D)</f>
        <v>8168.6719999999996</v>
      </c>
      <c r="G255" s="13">
        <f>SUMIF('OD 12-24'!A:A,A255,'OD 12-24'!E:E)</f>
        <v>6249.6040000000003</v>
      </c>
      <c r="H255" s="14">
        <f t="shared" si="6"/>
        <v>22747.314000000002</v>
      </c>
      <c r="I255" s="14">
        <f t="shared" si="7"/>
        <v>22747.314000000002</v>
      </c>
      <c r="J255" s="8" t="s">
        <v>138</v>
      </c>
      <c r="K255" s="8" t="s">
        <v>509</v>
      </c>
      <c r="M255" s="339"/>
      <c r="N255" s="315"/>
    </row>
    <row r="256" spans="1:14" s="9" customFormat="1" ht="11.25" customHeight="1" x14ac:dyDescent="0.2">
      <c r="A256" s="10">
        <v>60122520</v>
      </c>
      <c r="B256" s="10" t="s">
        <v>396</v>
      </c>
      <c r="C256" s="11">
        <v>0</v>
      </c>
      <c r="D256" s="11">
        <v>2517.7220000000002</v>
      </c>
      <c r="E256" s="11">
        <v>0</v>
      </c>
      <c r="F256" s="13">
        <f>SUMIF('OD 12-24'!A:A,A256,'OD 12-24'!D:D)</f>
        <v>0</v>
      </c>
      <c r="G256" s="13">
        <f>SUMIF('OD 12-24'!A:A,A256,'OD 12-24'!E:E)</f>
        <v>0</v>
      </c>
      <c r="H256" s="14">
        <f t="shared" si="6"/>
        <v>2517.7220000000002</v>
      </c>
      <c r="I256" s="14">
        <f t="shared" si="7"/>
        <v>2517.7220000000002</v>
      </c>
      <c r="J256" s="8" t="s">
        <v>138</v>
      </c>
      <c r="K256" s="8" t="s">
        <v>509</v>
      </c>
      <c r="M256" s="339"/>
      <c r="N256" s="315"/>
    </row>
    <row r="257" spans="1:14" s="9" customFormat="1" ht="11.25" customHeight="1" x14ac:dyDescent="0.2">
      <c r="A257" s="10">
        <v>60122700</v>
      </c>
      <c r="B257" s="10" t="s">
        <v>7567</v>
      </c>
      <c r="C257" s="11">
        <v>0</v>
      </c>
      <c r="D257" s="11">
        <v>9500.0399999999991</v>
      </c>
      <c r="E257" s="11">
        <v>0</v>
      </c>
      <c r="F257" s="13">
        <f>SUMIF('OD 12-24'!A:A,A257,'OD 12-24'!D:D)</f>
        <v>12212.5</v>
      </c>
      <c r="G257" s="13">
        <f>SUMIF('OD 12-24'!A:A,A257,'OD 12-24'!E:E)</f>
        <v>12212.5</v>
      </c>
      <c r="H257" s="14">
        <f t="shared" si="6"/>
        <v>9500.0400000000009</v>
      </c>
      <c r="I257" s="14">
        <f t="shared" si="7"/>
        <v>9500.0400000000009</v>
      </c>
      <c r="J257" s="8" t="s">
        <v>138</v>
      </c>
      <c r="K257" s="8" t="s">
        <v>509</v>
      </c>
      <c r="M257" s="339"/>
      <c r="N257" s="315"/>
    </row>
    <row r="258" spans="1:14" s="9" customFormat="1" ht="11.25" customHeight="1" x14ac:dyDescent="0.2">
      <c r="A258" s="10">
        <v>60171000</v>
      </c>
      <c r="B258" s="10" t="s">
        <v>369</v>
      </c>
      <c r="C258" s="11">
        <v>0</v>
      </c>
      <c r="D258" s="11">
        <v>308342.39199999999</v>
      </c>
      <c r="E258" s="11">
        <v>325.53100000000001</v>
      </c>
      <c r="F258" s="13">
        <f>SUMIF('OD 12-24'!A:A,A258,'OD 12-24'!D:D)</f>
        <v>475739.19900000002</v>
      </c>
      <c r="G258" s="13">
        <f>SUMIF('OD 12-24'!A:A,A258,'OD 12-24'!E:E)</f>
        <v>450589.09</v>
      </c>
      <c r="H258" s="14">
        <f t="shared" si="6"/>
        <v>333166.97000000003</v>
      </c>
      <c r="I258" s="14">
        <f t="shared" si="7"/>
        <v>333166.97000000003</v>
      </c>
      <c r="J258" s="8" t="s">
        <v>138</v>
      </c>
      <c r="K258" s="8" t="s">
        <v>509</v>
      </c>
      <c r="M258" s="339"/>
      <c r="N258" s="315"/>
    </row>
    <row r="259" spans="1:14" s="9" customFormat="1" ht="11.25" customHeight="1" x14ac:dyDescent="0.2">
      <c r="A259" s="10">
        <v>60172000</v>
      </c>
      <c r="B259" s="10" t="s">
        <v>169</v>
      </c>
      <c r="C259" s="11">
        <v>0</v>
      </c>
      <c r="D259" s="11">
        <v>504932.49100000004</v>
      </c>
      <c r="E259" s="11">
        <v>1970.4739999999997</v>
      </c>
      <c r="F259" s="13">
        <f>SUMIF('OD 12-24'!A:A,A259,'OD 12-24'!D:D)</f>
        <v>1166255.5619999999</v>
      </c>
      <c r="G259" s="13">
        <f>SUMIF('OD 12-24'!A:A,A259,'OD 12-24'!E:E)</f>
        <v>1094910.594</v>
      </c>
      <c r="H259" s="14">
        <f t="shared" si="6"/>
        <v>574306.98499999987</v>
      </c>
      <c r="I259" s="14">
        <f t="shared" si="7"/>
        <v>574306.98499999987</v>
      </c>
      <c r="J259" s="8" t="s">
        <v>138</v>
      </c>
      <c r="K259" s="8" t="s">
        <v>509</v>
      </c>
      <c r="M259" s="339"/>
      <c r="N259" s="315"/>
    </row>
    <row r="260" spans="1:14" s="9" customFormat="1" ht="11.25" customHeight="1" x14ac:dyDescent="0.2">
      <c r="A260" s="10">
        <v>60173000</v>
      </c>
      <c r="B260" s="10" t="s">
        <v>170</v>
      </c>
      <c r="C260" s="11">
        <v>0</v>
      </c>
      <c r="D260" s="11">
        <v>59780.155999999995</v>
      </c>
      <c r="E260" s="11">
        <v>16484.29</v>
      </c>
      <c r="F260" s="13">
        <f>SUMIF('OD 12-24'!A:A,A260,'OD 12-24'!D:D)</f>
        <v>78495.595000000001</v>
      </c>
      <c r="G260" s="13">
        <f>SUMIF('OD 12-24'!A:A,A260,'OD 12-24'!E:E)</f>
        <v>78495.595000000001</v>
      </c>
      <c r="H260" s="14">
        <f t="shared" si="6"/>
        <v>43295.86599999998</v>
      </c>
      <c r="I260" s="14">
        <f t="shared" si="7"/>
        <v>43295.86599999998</v>
      </c>
      <c r="J260" s="8" t="s">
        <v>138</v>
      </c>
      <c r="K260" s="8" t="s">
        <v>509</v>
      </c>
      <c r="M260" s="339"/>
      <c r="N260" s="315"/>
    </row>
    <row r="261" spans="1:14" s="9" customFormat="1" ht="11.25" customHeight="1" x14ac:dyDescent="0.2">
      <c r="A261" s="10">
        <v>60191000</v>
      </c>
      <c r="B261" s="10" t="s">
        <v>158</v>
      </c>
      <c r="C261" s="11">
        <v>0</v>
      </c>
      <c r="D261" s="11">
        <v>949885.04003999999</v>
      </c>
      <c r="E261" s="11">
        <v>20826.707000000002</v>
      </c>
      <c r="F261" s="13">
        <f>SUMIF('OD 12-24'!A:A,A261,'OD 12-24'!D:D)</f>
        <v>14226.008</v>
      </c>
      <c r="G261" s="13">
        <f>SUMIF('OD 12-24'!A:A,A261,'OD 12-24'!E:E)</f>
        <v>14226.008</v>
      </c>
      <c r="H261" s="14">
        <f t="shared" si="6"/>
        <v>929058.33303999994</v>
      </c>
      <c r="I261" s="14">
        <f t="shared" si="7"/>
        <v>929058.33303999994</v>
      </c>
      <c r="J261" s="8" t="s">
        <v>138</v>
      </c>
      <c r="K261" s="8" t="s">
        <v>509</v>
      </c>
      <c r="M261" s="339"/>
      <c r="N261" s="315"/>
    </row>
    <row r="262" spans="1:14" s="9" customFormat="1" ht="11.25" customHeight="1" x14ac:dyDescent="0.2">
      <c r="A262" s="10">
        <v>60215000</v>
      </c>
      <c r="B262" s="10" t="s">
        <v>370</v>
      </c>
      <c r="C262" s="11">
        <v>0</v>
      </c>
      <c r="D262" s="11">
        <v>0</v>
      </c>
      <c r="E262" s="11">
        <v>0</v>
      </c>
      <c r="F262" s="13">
        <f>SUMIF('OD 12-24'!A:A,A262,'OD 12-24'!D:D)</f>
        <v>0</v>
      </c>
      <c r="G262" s="13">
        <f>SUMIF('OD 12-24'!A:A,A262,'OD 12-24'!E:E)</f>
        <v>0</v>
      </c>
      <c r="H262" s="14">
        <f t="shared" si="6"/>
        <v>0</v>
      </c>
      <c r="I262" s="14">
        <f t="shared" si="7"/>
        <v>0</v>
      </c>
      <c r="J262" s="8" t="s">
        <v>138</v>
      </c>
      <c r="K262" s="8" t="s">
        <v>509</v>
      </c>
      <c r="M262" s="339"/>
      <c r="N262" s="315"/>
    </row>
    <row r="263" spans="1:14" s="9" customFormat="1" ht="11.25" customHeight="1" x14ac:dyDescent="0.2">
      <c r="A263" s="10">
        <v>60216000</v>
      </c>
      <c r="B263" s="10" t="s">
        <v>371</v>
      </c>
      <c r="C263" s="11">
        <v>0</v>
      </c>
      <c r="D263" s="11">
        <v>293619.22151249996</v>
      </c>
      <c r="E263" s="11">
        <v>0</v>
      </c>
      <c r="F263" s="13">
        <f>SUMIF('OD 12-24'!A:A,A263,'OD 12-24'!D:D)</f>
        <v>0</v>
      </c>
      <c r="G263" s="13">
        <f>SUMIF('OD 12-24'!A:A,A263,'OD 12-24'!E:E)</f>
        <v>0</v>
      </c>
      <c r="H263" s="14">
        <f t="shared" ref="H263:H326" si="8">+D263+F263-E263-G263</f>
        <v>293619.22151249996</v>
      </c>
      <c r="I263" s="14">
        <f t="shared" ref="I263:I326" si="9">+H263+C263</f>
        <v>293619.22151249996</v>
      </c>
      <c r="J263" s="8" t="s">
        <v>138</v>
      </c>
      <c r="K263" s="8" t="s">
        <v>509</v>
      </c>
      <c r="M263" s="339"/>
      <c r="N263" s="315"/>
    </row>
    <row r="264" spans="1:14" s="9" customFormat="1" ht="11.25" customHeight="1" x14ac:dyDescent="0.2">
      <c r="A264" s="10">
        <v>60260200</v>
      </c>
      <c r="B264" s="10" t="s">
        <v>372</v>
      </c>
      <c r="C264" s="11">
        <v>0</v>
      </c>
      <c r="D264" s="11">
        <v>5886.3</v>
      </c>
      <c r="E264" s="11">
        <v>0</v>
      </c>
      <c r="F264" s="13">
        <f>SUMIF('OD 12-24'!A:A,A264,'OD 12-24'!D:D)</f>
        <v>4836.8</v>
      </c>
      <c r="G264" s="13">
        <f>SUMIF('OD 12-24'!A:A,A264,'OD 12-24'!E:E)</f>
        <v>4836.8</v>
      </c>
      <c r="H264" s="14">
        <f t="shared" si="8"/>
        <v>5886.3</v>
      </c>
      <c r="I264" s="14">
        <f t="shared" si="9"/>
        <v>5886.3</v>
      </c>
      <c r="J264" s="8" t="s">
        <v>138</v>
      </c>
      <c r="K264" s="8" t="s">
        <v>509</v>
      </c>
      <c r="M264" s="339"/>
      <c r="N264" s="315"/>
    </row>
    <row r="265" spans="1:14" s="9" customFormat="1" ht="11.25" customHeight="1" x14ac:dyDescent="0.2">
      <c r="A265" s="10">
        <v>60260300</v>
      </c>
      <c r="B265" s="10" t="s">
        <v>160</v>
      </c>
      <c r="C265" s="11">
        <v>0</v>
      </c>
      <c r="D265" s="11">
        <v>66229.751000000004</v>
      </c>
      <c r="E265" s="11">
        <v>1624.701</v>
      </c>
      <c r="F265" s="13">
        <f>SUMIF('OD 12-24'!A:A,A265,'OD 12-24'!D:D)</f>
        <v>0</v>
      </c>
      <c r="G265" s="13">
        <f>SUMIF('OD 12-24'!A:A,A265,'OD 12-24'!E:E)</f>
        <v>0</v>
      </c>
      <c r="H265" s="14">
        <f t="shared" si="8"/>
        <v>64605.05</v>
      </c>
      <c r="I265" s="14">
        <f t="shared" si="9"/>
        <v>64605.05</v>
      </c>
      <c r="J265" s="8" t="s">
        <v>138</v>
      </c>
      <c r="K265" s="8" t="s">
        <v>509</v>
      </c>
      <c r="M265" s="339"/>
      <c r="N265" s="315"/>
    </row>
    <row r="266" spans="1:14" s="9" customFormat="1" ht="11.25" customHeight="1" x14ac:dyDescent="0.2">
      <c r="A266" s="10">
        <v>60260400</v>
      </c>
      <c r="B266" s="10" t="s">
        <v>161</v>
      </c>
      <c r="C266" s="11">
        <v>0</v>
      </c>
      <c r="D266" s="11">
        <v>49032.882999999994</v>
      </c>
      <c r="E266" s="11">
        <v>0</v>
      </c>
      <c r="F266" s="13">
        <f>SUMIF('OD 12-24'!A:A,A266,'OD 12-24'!D:D)</f>
        <v>36855</v>
      </c>
      <c r="G266" s="13">
        <f>SUMIF('OD 12-24'!A:A,A266,'OD 12-24'!E:E)</f>
        <v>32621.4</v>
      </c>
      <c r="H266" s="14">
        <f t="shared" si="8"/>
        <v>53266.483</v>
      </c>
      <c r="I266" s="14">
        <f t="shared" si="9"/>
        <v>53266.483</v>
      </c>
      <c r="J266" s="8" t="s">
        <v>138</v>
      </c>
      <c r="K266" s="8" t="s">
        <v>509</v>
      </c>
      <c r="M266" s="339"/>
      <c r="N266" s="315"/>
    </row>
    <row r="267" spans="1:14" s="9" customFormat="1" ht="11.25" customHeight="1" x14ac:dyDescent="0.2">
      <c r="A267" s="10">
        <v>60260500</v>
      </c>
      <c r="B267" s="10" t="s">
        <v>162</v>
      </c>
      <c r="C267" s="11">
        <v>0</v>
      </c>
      <c r="D267" s="11">
        <v>28395.449000000001</v>
      </c>
      <c r="E267" s="11">
        <v>0</v>
      </c>
      <c r="F267" s="13">
        <f>SUMIF('OD 12-24'!A:A,A267,'OD 12-24'!D:D)</f>
        <v>0</v>
      </c>
      <c r="G267" s="13">
        <f>SUMIF('OD 12-24'!A:A,A267,'OD 12-24'!E:E)</f>
        <v>0</v>
      </c>
      <c r="H267" s="14">
        <f t="shared" si="8"/>
        <v>28395.449000000001</v>
      </c>
      <c r="I267" s="14">
        <f t="shared" si="9"/>
        <v>28395.449000000001</v>
      </c>
      <c r="J267" s="8" t="s">
        <v>138</v>
      </c>
      <c r="K267" s="8" t="s">
        <v>509</v>
      </c>
      <c r="M267" s="339"/>
      <c r="N267" s="315"/>
    </row>
    <row r="268" spans="1:14" s="9" customFormat="1" ht="11.25" customHeight="1" x14ac:dyDescent="0.2">
      <c r="A268" s="10">
        <v>60260600</v>
      </c>
      <c r="B268" s="10" t="s">
        <v>7401</v>
      </c>
      <c r="C268" s="11">
        <v>0</v>
      </c>
      <c r="D268" s="11">
        <v>1222.0999999999999</v>
      </c>
      <c r="E268" s="11">
        <v>0</v>
      </c>
      <c r="F268" s="13">
        <f>SUMIF('OD 12-24'!A:A,A268,'OD 12-24'!D:D)</f>
        <v>393.9</v>
      </c>
      <c r="G268" s="13">
        <f>SUMIF('OD 12-24'!A:A,A268,'OD 12-24'!E:E)</f>
        <v>393.9</v>
      </c>
      <c r="H268" s="14">
        <f t="shared" si="8"/>
        <v>1222.0999999999999</v>
      </c>
      <c r="I268" s="14">
        <f t="shared" si="9"/>
        <v>1222.0999999999999</v>
      </c>
      <c r="J268" s="8" t="s">
        <v>138</v>
      </c>
      <c r="K268" s="8" t="s">
        <v>509</v>
      </c>
      <c r="M268" s="339"/>
      <c r="N268" s="315"/>
    </row>
    <row r="269" spans="1:14" s="9" customFormat="1" ht="11.25" customHeight="1" x14ac:dyDescent="0.2">
      <c r="A269" s="10">
        <v>60260700</v>
      </c>
      <c r="B269" s="10" t="s">
        <v>163</v>
      </c>
      <c r="C269" s="11">
        <v>0</v>
      </c>
      <c r="D269" s="11">
        <v>55378.3</v>
      </c>
      <c r="E269" s="11">
        <v>3368.35</v>
      </c>
      <c r="F269" s="13">
        <f>SUMIF('OD 12-24'!A:A,A269,'OD 12-24'!D:D)</f>
        <v>5845.7</v>
      </c>
      <c r="G269" s="13">
        <f>SUMIF('OD 12-24'!A:A,A269,'OD 12-24'!E:E)</f>
        <v>5845.7</v>
      </c>
      <c r="H269" s="14">
        <f t="shared" si="8"/>
        <v>52009.950000000004</v>
      </c>
      <c r="I269" s="14">
        <f t="shared" si="9"/>
        <v>52009.950000000004</v>
      </c>
      <c r="J269" s="8" t="s">
        <v>138</v>
      </c>
      <c r="K269" s="8" t="s">
        <v>509</v>
      </c>
      <c r="M269" s="339"/>
      <c r="N269" s="315"/>
    </row>
    <row r="270" spans="1:14" s="9" customFormat="1" ht="11.25" customHeight="1" x14ac:dyDescent="0.2">
      <c r="A270" s="10">
        <v>60262000</v>
      </c>
      <c r="B270" s="10" t="s">
        <v>164</v>
      </c>
      <c r="C270" s="11">
        <v>0</v>
      </c>
      <c r="D270" s="11">
        <v>116916.20369749998</v>
      </c>
      <c r="E270" s="11">
        <v>0</v>
      </c>
      <c r="F270" s="13">
        <f>SUMIF('OD 12-24'!A:A,A270,'OD 12-24'!D:D)</f>
        <v>39385.928999999996</v>
      </c>
      <c r="G270" s="13">
        <f>SUMIF('OD 12-24'!A:A,A270,'OD 12-24'!E:E)</f>
        <v>36925.928999999996</v>
      </c>
      <c r="H270" s="14">
        <f t="shared" si="8"/>
        <v>119376.20369749996</v>
      </c>
      <c r="I270" s="14">
        <f t="shared" si="9"/>
        <v>119376.20369749996</v>
      </c>
      <c r="J270" s="8" t="s">
        <v>138</v>
      </c>
      <c r="K270" s="8" t="s">
        <v>509</v>
      </c>
      <c r="M270" s="339"/>
      <c r="N270" s="315"/>
    </row>
    <row r="271" spans="1:14" s="9" customFormat="1" ht="11.25" customHeight="1" x14ac:dyDescent="0.2">
      <c r="A271" s="10">
        <v>60263000</v>
      </c>
      <c r="B271" s="10" t="s">
        <v>165</v>
      </c>
      <c r="C271" s="11">
        <v>0</v>
      </c>
      <c r="D271" s="11">
        <v>30597.542000000005</v>
      </c>
      <c r="E271" s="11">
        <v>3446.625</v>
      </c>
      <c r="F271" s="13">
        <f>SUMIF('OD 12-24'!A:A,A271,'OD 12-24'!D:D)</f>
        <v>16099.643</v>
      </c>
      <c r="G271" s="13">
        <f>SUMIF('OD 12-24'!A:A,A271,'OD 12-24'!E:E)</f>
        <v>16099.643</v>
      </c>
      <c r="H271" s="14">
        <f t="shared" si="8"/>
        <v>27150.917000000005</v>
      </c>
      <c r="I271" s="14">
        <f t="shared" si="9"/>
        <v>27150.917000000005</v>
      </c>
      <c r="J271" s="8" t="s">
        <v>138</v>
      </c>
      <c r="K271" s="8" t="s">
        <v>509</v>
      </c>
      <c r="M271" s="339"/>
      <c r="N271" s="315"/>
    </row>
    <row r="272" spans="1:14" s="9" customFormat="1" ht="11.25" customHeight="1" x14ac:dyDescent="0.2">
      <c r="A272" s="10">
        <v>60310000</v>
      </c>
      <c r="B272" s="10" t="s">
        <v>265</v>
      </c>
      <c r="C272" s="11">
        <v>0</v>
      </c>
      <c r="D272" s="11">
        <v>10656855.097999999</v>
      </c>
      <c r="E272" s="11">
        <v>1136780.078</v>
      </c>
      <c r="F272" s="13">
        <f>SUMIF('OD 12-24'!A:A,A272,'OD 12-24'!D:D)</f>
        <v>144952467.7802</v>
      </c>
      <c r="G272" s="13">
        <f>SUMIF('OD 12-24'!A:A,A272,'OD 12-24'!E:E)</f>
        <v>160858354.0772</v>
      </c>
      <c r="H272" s="14">
        <f t="shared" si="8"/>
        <v>-6385811.27700001</v>
      </c>
      <c r="I272" s="14">
        <f t="shared" si="9"/>
        <v>-6385811.27700001</v>
      </c>
      <c r="J272" s="8" t="s">
        <v>138</v>
      </c>
      <c r="K272" s="8" t="s">
        <v>509</v>
      </c>
      <c r="M272" s="339"/>
      <c r="N272" s="315"/>
    </row>
    <row r="273" spans="1:14" s="9" customFormat="1" ht="11.25" customHeight="1" x14ac:dyDescent="0.2">
      <c r="A273" s="10">
        <v>60330000</v>
      </c>
      <c r="B273" s="10" t="s">
        <v>266</v>
      </c>
      <c r="C273" s="11">
        <v>0</v>
      </c>
      <c r="D273" s="11">
        <v>662156.429</v>
      </c>
      <c r="E273" s="11">
        <v>0</v>
      </c>
      <c r="F273" s="13">
        <f>SUMIF('OD 12-24'!A:A,A273,'OD 12-24'!D:D)</f>
        <v>9358523.2255000006</v>
      </c>
      <c r="G273" s="13">
        <f>SUMIF('OD 12-24'!A:A,A273,'OD 12-24'!E:E)</f>
        <v>9969956.1744999997</v>
      </c>
      <c r="H273" s="14">
        <f t="shared" si="8"/>
        <v>50723.480000000447</v>
      </c>
      <c r="I273" s="14">
        <f t="shared" si="9"/>
        <v>50723.480000000447</v>
      </c>
      <c r="J273" s="8" t="s">
        <v>157</v>
      </c>
      <c r="K273" s="8" t="s">
        <v>512</v>
      </c>
      <c r="M273" s="339"/>
      <c r="N273" s="315"/>
    </row>
    <row r="274" spans="1:14" s="9" customFormat="1" ht="11.25" customHeight="1" x14ac:dyDescent="0.2">
      <c r="A274" s="10">
        <v>60401000</v>
      </c>
      <c r="B274" s="10" t="s">
        <v>166</v>
      </c>
      <c r="C274" s="11">
        <v>0</v>
      </c>
      <c r="D274" s="11">
        <v>0</v>
      </c>
      <c r="E274" s="11">
        <v>0</v>
      </c>
      <c r="F274" s="13">
        <f>SUMIF('OD 12-24'!A:A,A274,'OD 12-24'!D:D)</f>
        <v>1084475.0009999999</v>
      </c>
      <c r="G274" s="13">
        <f>SUMIF('OD 12-24'!A:A,A274,'OD 12-24'!E:E)</f>
        <v>921959.00100000005</v>
      </c>
      <c r="H274" s="14">
        <f t="shared" si="8"/>
        <v>162515.99999999988</v>
      </c>
      <c r="I274" s="14">
        <f t="shared" si="9"/>
        <v>162515.99999999988</v>
      </c>
      <c r="J274" s="8" t="s">
        <v>157</v>
      </c>
      <c r="K274" s="8" t="s">
        <v>512</v>
      </c>
      <c r="M274" s="339"/>
      <c r="N274" s="315"/>
    </row>
    <row r="275" spans="1:14" s="9" customFormat="1" ht="11.25" customHeight="1" x14ac:dyDescent="0.2">
      <c r="A275" s="10">
        <v>60502000</v>
      </c>
      <c r="B275" s="10" t="s">
        <v>167</v>
      </c>
      <c r="C275" s="11">
        <v>0</v>
      </c>
      <c r="D275" s="11">
        <v>380948.91202500003</v>
      </c>
      <c r="E275" s="11">
        <v>30590.612050000003</v>
      </c>
      <c r="F275" s="13">
        <f>SUMIF('OD 12-24'!A:A,A275,'OD 12-24'!D:D)</f>
        <v>97905.712</v>
      </c>
      <c r="G275" s="13">
        <f>SUMIF('OD 12-24'!A:A,A275,'OD 12-24'!E:E)</f>
        <v>97905.712</v>
      </c>
      <c r="H275" s="14">
        <f t="shared" si="8"/>
        <v>350358.29997500003</v>
      </c>
      <c r="I275" s="14">
        <f t="shared" si="9"/>
        <v>350358.29997500003</v>
      </c>
      <c r="J275" s="8" t="s">
        <v>157</v>
      </c>
      <c r="K275" s="8" t="s">
        <v>512</v>
      </c>
      <c r="M275" s="339"/>
      <c r="N275" s="315"/>
    </row>
    <row r="276" spans="1:14" s="9" customFormat="1" ht="11.25" customHeight="1" x14ac:dyDescent="0.2">
      <c r="A276" s="10">
        <v>60504000</v>
      </c>
      <c r="B276" s="10" t="s">
        <v>168</v>
      </c>
      <c r="C276" s="11">
        <v>0</v>
      </c>
      <c r="D276" s="11">
        <v>10120.42</v>
      </c>
      <c r="E276" s="11">
        <v>0</v>
      </c>
      <c r="F276" s="13">
        <f>SUMIF('OD 12-24'!A:A,A276,'OD 12-24'!D:D)</f>
        <v>0</v>
      </c>
      <c r="G276" s="13">
        <f>SUMIF('OD 12-24'!A:A,A276,'OD 12-24'!E:E)</f>
        <v>0</v>
      </c>
      <c r="H276" s="14">
        <f t="shared" si="8"/>
        <v>10120.42</v>
      </c>
      <c r="I276" s="14">
        <f t="shared" si="9"/>
        <v>10120.42</v>
      </c>
      <c r="J276" s="8" t="s">
        <v>157</v>
      </c>
      <c r="K276" s="8" t="s">
        <v>512</v>
      </c>
      <c r="M276" s="339"/>
      <c r="N276" s="315"/>
    </row>
    <row r="277" spans="1:14" s="9" customFormat="1" ht="11.25" customHeight="1" x14ac:dyDescent="0.2">
      <c r="A277" s="10">
        <v>60614000</v>
      </c>
      <c r="B277" s="10" t="s">
        <v>171</v>
      </c>
      <c r="C277" s="11">
        <v>0</v>
      </c>
      <c r="D277" s="11">
        <v>138557.33100000001</v>
      </c>
      <c r="E277" s="11">
        <v>4625</v>
      </c>
      <c r="F277" s="13">
        <f>SUMIF('OD 12-24'!A:A,A277,'OD 12-24'!D:D)</f>
        <v>7104.1120000000001</v>
      </c>
      <c r="G277" s="13">
        <f>SUMIF('OD 12-24'!A:A,A277,'OD 12-24'!E:E)</f>
        <v>7104.1120000000001</v>
      </c>
      <c r="H277" s="14">
        <f t="shared" si="8"/>
        <v>133932.33100000001</v>
      </c>
      <c r="I277" s="14">
        <f t="shared" si="9"/>
        <v>133932.33100000001</v>
      </c>
      <c r="J277" s="8" t="s">
        <v>157</v>
      </c>
      <c r="K277" s="8" t="s">
        <v>512</v>
      </c>
      <c r="M277" s="339"/>
      <c r="N277" s="315"/>
    </row>
    <row r="278" spans="1:14" s="9" customFormat="1" ht="11.25" customHeight="1" x14ac:dyDescent="0.2">
      <c r="A278" s="10">
        <v>60620000</v>
      </c>
      <c r="B278" s="10" t="s">
        <v>172</v>
      </c>
      <c r="C278" s="11">
        <v>0</v>
      </c>
      <c r="D278" s="11">
        <v>22312.112000000001</v>
      </c>
      <c r="E278" s="11">
        <v>117.64400000000001</v>
      </c>
      <c r="F278" s="13">
        <f>SUMIF('OD 12-24'!A:A,A278,'OD 12-24'!D:D)</f>
        <v>14743.460999999999</v>
      </c>
      <c r="G278" s="13">
        <f>SUMIF('OD 12-24'!A:A,A278,'OD 12-24'!E:E)</f>
        <v>10648.688</v>
      </c>
      <c r="H278" s="14">
        <f t="shared" si="8"/>
        <v>26289.241000000002</v>
      </c>
      <c r="I278" s="14">
        <f t="shared" si="9"/>
        <v>26289.241000000002</v>
      </c>
      <c r="J278" s="8" t="s">
        <v>157</v>
      </c>
      <c r="K278" s="8" t="s">
        <v>512</v>
      </c>
      <c r="M278" s="339"/>
      <c r="N278" s="315"/>
    </row>
    <row r="279" spans="1:14" s="9" customFormat="1" ht="11.25" customHeight="1" x14ac:dyDescent="0.2">
      <c r="A279" s="10">
        <v>60650000</v>
      </c>
      <c r="B279" s="10" t="s">
        <v>373</v>
      </c>
      <c r="C279" s="11">
        <v>0</v>
      </c>
      <c r="D279" s="11">
        <v>9450</v>
      </c>
      <c r="E279" s="11">
        <v>0</v>
      </c>
      <c r="F279" s="13">
        <f>SUMIF('OD 12-24'!A:A,A279,'OD 12-24'!D:D)</f>
        <v>4050</v>
      </c>
      <c r="G279" s="13">
        <f>SUMIF('OD 12-24'!A:A,A279,'OD 12-24'!E:E)</f>
        <v>4050</v>
      </c>
      <c r="H279" s="14">
        <f t="shared" si="8"/>
        <v>9450</v>
      </c>
      <c r="I279" s="14">
        <f t="shared" si="9"/>
        <v>9450</v>
      </c>
      <c r="J279" s="8" t="s">
        <v>138</v>
      </c>
      <c r="K279" s="8" t="s">
        <v>509</v>
      </c>
      <c r="M279" s="339"/>
      <c r="N279" s="315"/>
    </row>
    <row r="280" spans="1:14" s="9" customFormat="1" ht="11.25" customHeight="1" x14ac:dyDescent="0.2">
      <c r="A280" s="10">
        <v>60660000</v>
      </c>
      <c r="B280" s="10" t="s">
        <v>173</v>
      </c>
      <c r="C280" s="11">
        <v>0</v>
      </c>
      <c r="D280" s="11">
        <v>11600.875</v>
      </c>
      <c r="E280" s="11">
        <v>0</v>
      </c>
      <c r="F280" s="13">
        <f>SUMIF('OD 12-24'!A:A,A280,'OD 12-24'!D:D)</f>
        <v>1227.5</v>
      </c>
      <c r="G280" s="13">
        <f>SUMIF('OD 12-24'!A:A,A280,'OD 12-24'!E:E)</f>
        <v>982</v>
      </c>
      <c r="H280" s="14">
        <f t="shared" si="8"/>
        <v>11846.375</v>
      </c>
      <c r="I280" s="14">
        <f t="shared" si="9"/>
        <v>11846.375</v>
      </c>
      <c r="J280" s="8" t="s">
        <v>157</v>
      </c>
      <c r="K280" s="8" t="s">
        <v>512</v>
      </c>
      <c r="M280" s="339"/>
      <c r="N280" s="315"/>
    </row>
    <row r="281" spans="1:14" s="9" customFormat="1" ht="11.25" customHeight="1" x14ac:dyDescent="0.2">
      <c r="A281" s="10">
        <v>60670000</v>
      </c>
      <c r="B281" s="10" t="s">
        <v>174</v>
      </c>
      <c r="C281" s="11">
        <v>0</v>
      </c>
      <c r="D281" s="11">
        <v>8020.6600000000008</v>
      </c>
      <c r="E281" s="11">
        <v>0</v>
      </c>
      <c r="F281" s="13">
        <f>SUMIF('OD 12-24'!A:A,A281,'OD 12-24'!D:D)</f>
        <v>4891.5349999999999</v>
      </c>
      <c r="G281" s="13">
        <f>SUMIF('OD 12-24'!A:A,A281,'OD 12-24'!E:E)</f>
        <v>4891.5349999999999</v>
      </c>
      <c r="H281" s="14">
        <f t="shared" si="8"/>
        <v>8020.66</v>
      </c>
      <c r="I281" s="14">
        <f t="shared" si="9"/>
        <v>8020.66</v>
      </c>
      <c r="J281" s="8" t="s">
        <v>157</v>
      </c>
      <c r="K281" s="8" t="s">
        <v>512</v>
      </c>
      <c r="M281" s="339"/>
      <c r="N281" s="315"/>
    </row>
    <row r="282" spans="1:14" s="9" customFormat="1" ht="11.25" customHeight="1" x14ac:dyDescent="0.2">
      <c r="A282" s="10">
        <v>60671000</v>
      </c>
      <c r="B282" s="10" t="s">
        <v>374</v>
      </c>
      <c r="C282" s="11">
        <v>0</v>
      </c>
      <c r="D282" s="11">
        <v>93438.708000000013</v>
      </c>
      <c r="E282" s="11">
        <v>0</v>
      </c>
      <c r="F282" s="13">
        <f>SUMIF('OD 12-24'!A:A,A282,'OD 12-24'!D:D)</f>
        <v>13634.6</v>
      </c>
      <c r="G282" s="13">
        <f>SUMIF('OD 12-24'!A:A,A282,'OD 12-24'!E:E)</f>
        <v>13634.6</v>
      </c>
      <c r="H282" s="14">
        <f t="shared" si="8"/>
        <v>93438.708000000013</v>
      </c>
      <c r="I282" s="14">
        <f t="shared" si="9"/>
        <v>93438.708000000013</v>
      </c>
      <c r="J282" s="8" t="s">
        <v>157</v>
      </c>
      <c r="K282" s="8" t="s">
        <v>512</v>
      </c>
      <c r="M282" s="339"/>
      <c r="N282" s="315"/>
    </row>
    <row r="283" spans="1:14" s="9" customFormat="1" ht="11.25" customHeight="1" x14ac:dyDescent="0.2">
      <c r="A283" s="10">
        <v>61400000</v>
      </c>
      <c r="B283" s="10" t="s">
        <v>175</v>
      </c>
      <c r="C283" s="11">
        <v>0</v>
      </c>
      <c r="D283" s="11">
        <v>35702.775999999998</v>
      </c>
      <c r="E283" s="11">
        <v>0</v>
      </c>
      <c r="F283" s="13">
        <f>SUMIF('OD 12-24'!A:A,A283,'OD 12-24'!D:D)</f>
        <v>0</v>
      </c>
      <c r="G283" s="13">
        <f>SUMIF('OD 12-24'!A:A,A283,'OD 12-24'!E:E)</f>
        <v>0</v>
      </c>
      <c r="H283" s="14">
        <f t="shared" si="8"/>
        <v>35702.775999999998</v>
      </c>
      <c r="I283" s="14">
        <f t="shared" si="9"/>
        <v>35702.775999999998</v>
      </c>
      <c r="J283" s="8" t="s">
        <v>157</v>
      </c>
      <c r="K283" s="8" t="s">
        <v>512</v>
      </c>
      <c r="M283" s="339"/>
      <c r="N283" s="315"/>
    </row>
    <row r="284" spans="1:14" s="9" customFormat="1" ht="11.25" customHeight="1" x14ac:dyDescent="0.2">
      <c r="A284" s="10">
        <v>61500000</v>
      </c>
      <c r="B284" s="10" t="s">
        <v>176</v>
      </c>
      <c r="C284" s="11">
        <v>0</v>
      </c>
      <c r="D284" s="11">
        <v>250151.45600000001</v>
      </c>
      <c r="E284" s="11">
        <v>89683.87</v>
      </c>
      <c r="F284" s="13">
        <f>SUMIF('OD 12-24'!A:A,A284,'OD 12-24'!D:D)</f>
        <v>101145.573</v>
      </c>
      <c r="G284" s="13">
        <f>SUMIF('OD 12-24'!A:A,A284,'OD 12-24'!E:E)</f>
        <v>101145.573</v>
      </c>
      <c r="H284" s="14">
        <f t="shared" si="8"/>
        <v>160467.58599999998</v>
      </c>
      <c r="I284" s="14">
        <f t="shared" si="9"/>
        <v>160467.58599999998</v>
      </c>
      <c r="J284" s="8" t="s">
        <v>157</v>
      </c>
      <c r="K284" s="8" t="s">
        <v>512</v>
      </c>
      <c r="M284" s="339"/>
      <c r="N284" s="315"/>
    </row>
    <row r="285" spans="1:14" s="9" customFormat="1" ht="11.25" customHeight="1" x14ac:dyDescent="0.2">
      <c r="A285" s="10">
        <v>61501000</v>
      </c>
      <c r="B285" s="10" t="s">
        <v>177</v>
      </c>
      <c r="C285" s="11">
        <v>0</v>
      </c>
      <c r="D285" s="11">
        <v>124343.28400000001</v>
      </c>
      <c r="E285" s="11">
        <v>1905.373</v>
      </c>
      <c r="F285" s="13">
        <f>SUMIF('OD 12-24'!A:A,A285,'OD 12-24'!D:D)</f>
        <v>44211.341999999997</v>
      </c>
      <c r="G285" s="13">
        <f>SUMIF('OD 12-24'!A:A,A285,'OD 12-24'!E:E)</f>
        <v>41359.741999999998</v>
      </c>
      <c r="H285" s="14">
        <f t="shared" si="8"/>
        <v>125289.51100000003</v>
      </c>
      <c r="I285" s="14">
        <f t="shared" si="9"/>
        <v>125289.51100000003</v>
      </c>
      <c r="J285" s="8" t="s">
        <v>157</v>
      </c>
      <c r="K285" s="8" t="s">
        <v>512</v>
      </c>
      <c r="M285" s="339"/>
      <c r="N285" s="315"/>
    </row>
    <row r="286" spans="1:14" s="9" customFormat="1" ht="11.25" customHeight="1" x14ac:dyDescent="0.2">
      <c r="A286" s="10">
        <v>61600000</v>
      </c>
      <c r="B286" s="10" t="s">
        <v>397</v>
      </c>
      <c r="C286" s="11">
        <v>0</v>
      </c>
      <c r="D286" s="11">
        <v>39737.199999999997</v>
      </c>
      <c r="E286" s="11">
        <v>0</v>
      </c>
      <c r="F286" s="13">
        <f>SUMIF('OD 12-24'!A:A,A286,'OD 12-24'!D:D)</f>
        <v>73892.266000000003</v>
      </c>
      <c r="G286" s="13">
        <f>SUMIF('OD 12-24'!A:A,A286,'OD 12-24'!E:E)</f>
        <v>73892.266000000003</v>
      </c>
      <c r="H286" s="14">
        <f t="shared" si="8"/>
        <v>39737.199999999997</v>
      </c>
      <c r="I286" s="14">
        <f t="shared" si="9"/>
        <v>39737.199999999997</v>
      </c>
      <c r="J286" s="8" t="s">
        <v>157</v>
      </c>
      <c r="K286" s="8" t="s">
        <v>512</v>
      </c>
      <c r="M286" s="339"/>
      <c r="N286" s="315"/>
    </row>
    <row r="287" spans="1:14" s="9" customFormat="1" ht="11.25" customHeight="1" x14ac:dyDescent="0.2">
      <c r="A287" s="10">
        <v>61603000</v>
      </c>
      <c r="B287" s="10" t="s">
        <v>178</v>
      </c>
      <c r="C287" s="11">
        <v>0</v>
      </c>
      <c r="D287" s="11">
        <v>29988.795000000002</v>
      </c>
      <c r="E287" s="11">
        <v>28310.018</v>
      </c>
      <c r="F287" s="13">
        <f>SUMIF('OD 12-24'!A:A,A287,'OD 12-24'!D:D)</f>
        <v>251360.448</v>
      </c>
      <c r="G287" s="13">
        <f>SUMIF('OD 12-24'!A:A,A287,'OD 12-24'!E:E)</f>
        <v>211826.20800000001</v>
      </c>
      <c r="H287" s="14">
        <f t="shared" si="8"/>
        <v>41213.016999999993</v>
      </c>
      <c r="I287" s="14">
        <f t="shared" si="9"/>
        <v>41213.016999999993</v>
      </c>
      <c r="J287" s="8" t="s">
        <v>157</v>
      </c>
      <c r="K287" s="8" t="s">
        <v>512</v>
      </c>
      <c r="M287" s="339"/>
      <c r="N287" s="315"/>
    </row>
    <row r="288" spans="1:14" s="9" customFormat="1" ht="11.25" customHeight="1" x14ac:dyDescent="0.2">
      <c r="A288" s="10">
        <v>61607000</v>
      </c>
      <c r="B288" s="10" t="s">
        <v>179</v>
      </c>
      <c r="C288" s="11">
        <v>0</v>
      </c>
      <c r="D288" s="11">
        <v>0</v>
      </c>
      <c r="E288" s="11">
        <v>0</v>
      </c>
      <c r="F288" s="13">
        <f>SUMIF('OD 12-24'!A:A,A288,'OD 12-24'!D:D)</f>
        <v>0</v>
      </c>
      <c r="G288" s="13">
        <f>SUMIF('OD 12-24'!A:A,A288,'OD 12-24'!E:E)</f>
        <v>0</v>
      </c>
      <c r="H288" s="14">
        <f t="shared" si="8"/>
        <v>0</v>
      </c>
      <c r="I288" s="14">
        <f t="shared" si="9"/>
        <v>0</v>
      </c>
      <c r="J288" s="8" t="s">
        <v>157</v>
      </c>
      <c r="K288" s="8" t="s">
        <v>512</v>
      </c>
      <c r="M288" s="339"/>
      <c r="N288" s="315"/>
    </row>
    <row r="289" spans="1:14" s="9" customFormat="1" ht="11.25" customHeight="1" x14ac:dyDescent="0.2">
      <c r="A289" s="10">
        <v>62120000</v>
      </c>
      <c r="B289" s="10" t="s">
        <v>180</v>
      </c>
      <c r="C289" s="11">
        <v>0</v>
      </c>
      <c r="D289" s="11">
        <v>24021.48</v>
      </c>
      <c r="E289" s="11">
        <v>0</v>
      </c>
      <c r="F289" s="13">
        <f>SUMIF('OD 12-24'!A:A,A289,'OD 12-24'!D:D)</f>
        <v>0</v>
      </c>
      <c r="G289" s="13">
        <f>SUMIF('OD 12-24'!A:A,A289,'OD 12-24'!E:E)</f>
        <v>0</v>
      </c>
      <c r="H289" s="14">
        <f t="shared" si="8"/>
        <v>24021.48</v>
      </c>
      <c r="I289" s="14">
        <f t="shared" si="9"/>
        <v>24021.48</v>
      </c>
      <c r="J289" s="8" t="s">
        <v>157</v>
      </c>
      <c r="K289" s="8" t="s">
        <v>512</v>
      </c>
      <c r="M289" s="339"/>
      <c r="N289" s="315"/>
    </row>
    <row r="290" spans="1:14" s="9" customFormat="1" ht="11.25" customHeight="1" x14ac:dyDescent="0.2">
      <c r="A290" s="10">
        <v>62200000</v>
      </c>
      <c r="B290" s="10" t="s">
        <v>181</v>
      </c>
      <c r="C290" s="11">
        <v>0</v>
      </c>
      <c r="D290" s="11">
        <v>25529.16</v>
      </c>
      <c r="E290" s="11">
        <v>0</v>
      </c>
      <c r="F290" s="13">
        <f>SUMIF('OD 12-24'!A:A,A290,'OD 12-24'!D:D)</f>
        <v>199042.64199999999</v>
      </c>
      <c r="G290" s="13">
        <f>SUMIF('OD 12-24'!A:A,A290,'OD 12-24'!E:E)</f>
        <v>99521.320999999996</v>
      </c>
      <c r="H290" s="14">
        <f t="shared" si="8"/>
        <v>125050.481</v>
      </c>
      <c r="I290" s="14">
        <f t="shared" si="9"/>
        <v>125050.481</v>
      </c>
      <c r="J290" s="8" t="s">
        <v>157</v>
      </c>
      <c r="K290" s="8" t="s">
        <v>512</v>
      </c>
      <c r="M290" s="339"/>
      <c r="N290" s="315"/>
    </row>
    <row r="291" spans="1:14" s="9" customFormat="1" ht="11.25" customHeight="1" x14ac:dyDescent="0.2">
      <c r="A291" s="10">
        <v>62210000</v>
      </c>
      <c r="B291" s="10" t="s">
        <v>398</v>
      </c>
      <c r="C291" s="11">
        <v>0</v>
      </c>
      <c r="D291" s="11">
        <v>37114</v>
      </c>
      <c r="E291" s="11">
        <v>0</v>
      </c>
      <c r="F291" s="13">
        <f>SUMIF('OD 12-24'!A:A,A291,'OD 12-24'!D:D)</f>
        <v>30333.332999999999</v>
      </c>
      <c r="G291" s="13">
        <f>SUMIF('OD 12-24'!A:A,A291,'OD 12-24'!E:E)</f>
        <v>33800</v>
      </c>
      <c r="H291" s="14">
        <f t="shared" si="8"/>
        <v>33647.332999999999</v>
      </c>
      <c r="I291" s="14">
        <f t="shared" si="9"/>
        <v>33647.332999999999</v>
      </c>
      <c r="J291" s="8" t="s">
        <v>157</v>
      </c>
      <c r="K291" s="8" t="s">
        <v>512</v>
      </c>
      <c r="M291" s="339"/>
      <c r="N291" s="315"/>
    </row>
    <row r="292" spans="1:14" s="9" customFormat="1" ht="11.25" customHeight="1" x14ac:dyDescent="0.2">
      <c r="A292" s="10">
        <v>62230000</v>
      </c>
      <c r="B292" s="10" t="s">
        <v>375</v>
      </c>
      <c r="C292" s="11">
        <v>0</v>
      </c>
      <c r="D292" s="11">
        <v>5951.6</v>
      </c>
      <c r="E292" s="11">
        <v>0</v>
      </c>
      <c r="F292" s="13">
        <f>SUMIF('OD 12-24'!A:A,A292,'OD 12-24'!D:D)</f>
        <v>60513.398000000001</v>
      </c>
      <c r="G292" s="13">
        <f>SUMIF('OD 12-24'!A:A,A292,'OD 12-24'!E:E)</f>
        <v>60513.398000000001</v>
      </c>
      <c r="H292" s="14">
        <f t="shared" si="8"/>
        <v>5951.6000000000058</v>
      </c>
      <c r="I292" s="14">
        <f t="shared" si="9"/>
        <v>5951.6000000000058</v>
      </c>
      <c r="J292" s="8" t="s">
        <v>157</v>
      </c>
      <c r="K292" s="8" t="s">
        <v>512</v>
      </c>
      <c r="M292" s="339"/>
      <c r="N292" s="315"/>
    </row>
    <row r="293" spans="1:14" s="9" customFormat="1" ht="11.25" customHeight="1" x14ac:dyDescent="0.2">
      <c r="A293" s="10">
        <v>62240000</v>
      </c>
      <c r="B293" s="10" t="s">
        <v>267</v>
      </c>
      <c r="C293" s="11">
        <v>0</v>
      </c>
      <c r="D293" s="11">
        <v>50952.55</v>
      </c>
      <c r="E293" s="11">
        <v>523.68799999999999</v>
      </c>
      <c r="F293" s="13">
        <f>SUMIF('OD 12-24'!A:A,A293,'OD 12-24'!D:D)</f>
        <v>257167.9</v>
      </c>
      <c r="G293" s="13">
        <f>SUMIF('OD 12-24'!A:A,A293,'OD 12-24'!E:E)</f>
        <v>259372.9</v>
      </c>
      <c r="H293" s="14">
        <f t="shared" si="8"/>
        <v>48223.861999999994</v>
      </c>
      <c r="I293" s="14">
        <f t="shared" si="9"/>
        <v>48223.861999999994</v>
      </c>
      <c r="J293" s="8" t="s">
        <v>157</v>
      </c>
      <c r="K293" s="8" t="s">
        <v>512</v>
      </c>
      <c r="M293" s="339"/>
      <c r="N293" s="315"/>
    </row>
    <row r="294" spans="1:14" s="9" customFormat="1" ht="11.25" customHeight="1" x14ac:dyDescent="0.2">
      <c r="A294" s="10">
        <v>62250000</v>
      </c>
      <c r="B294" s="10" t="s">
        <v>268</v>
      </c>
      <c r="C294" s="11">
        <v>0</v>
      </c>
      <c r="D294" s="11">
        <v>0</v>
      </c>
      <c r="E294" s="11">
        <v>0</v>
      </c>
      <c r="F294" s="13">
        <f>SUMIF('OD 12-24'!A:A,A294,'OD 12-24'!D:D)</f>
        <v>300000</v>
      </c>
      <c r="G294" s="13">
        <f>SUMIF('OD 12-24'!A:A,A294,'OD 12-24'!E:E)</f>
        <v>255000</v>
      </c>
      <c r="H294" s="14">
        <f t="shared" si="8"/>
        <v>45000</v>
      </c>
      <c r="I294" s="14">
        <f t="shared" si="9"/>
        <v>45000</v>
      </c>
      <c r="J294" s="8" t="s">
        <v>157</v>
      </c>
      <c r="K294" s="8" t="s">
        <v>512</v>
      </c>
      <c r="M294" s="339"/>
      <c r="N294" s="315"/>
    </row>
    <row r="295" spans="1:14" s="9" customFormat="1" ht="11.25" customHeight="1" x14ac:dyDescent="0.2">
      <c r="A295" s="10">
        <v>62260000</v>
      </c>
      <c r="B295" s="10" t="s">
        <v>7402</v>
      </c>
      <c r="C295" s="11">
        <v>0</v>
      </c>
      <c r="D295" s="11">
        <v>1618</v>
      </c>
      <c r="E295" s="11">
        <v>0</v>
      </c>
      <c r="F295" s="13">
        <f>SUMIF('OD 12-24'!A:A,A295,'OD 12-24'!D:D)</f>
        <v>60000</v>
      </c>
      <c r="G295" s="13">
        <f>SUMIF('OD 12-24'!A:A,A295,'OD 12-24'!E:E)</f>
        <v>50000</v>
      </c>
      <c r="H295" s="14">
        <f t="shared" si="8"/>
        <v>11618</v>
      </c>
      <c r="I295" s="14">
        <f t="shared" si="9"/>
        <v>11618</v>
      </c>
      <c r="J295" s="8" t="s">
        <v>157</v>
      </c>
      <c r="K295" s="8" t="s">
        <v>512</v>
      </c>
      <c r="M295" s="339"/>
      <c r="N295" s="315"/>
    </row>
    <row r="296" spans="1:14" s="9" customFormat="1" ht="11.25" customHeight="1" x14ac:dyDescent="0.2">
      <c r="A296" s="10">
        <v>62270000</v>
      </c>
      <c r="B296" s="10" t="s">
        <v>399</v>
      </c>
      <c r="C296" s="11">
        <v>0</v>
      </c>
      <c r="D296" s="11">
        <v>7415.5860000000002</v>
      </c>
      <c r="E296" s="11">
        <v>0</v>
      </c>
      <c r="F296" s="13">
        <f>SUMIF('OD 12-24'!A:A,A296,'OD 12-24'!D:D)</f>
        <v>4450.84</v>
      </c>
      <c r="G296" s="13">
        <f>SUMIF('OD 12-24'!A:A,A296,'OD 12-24'!E:E)</f>
        <v>4450.84</v>
      </c>
      <c r="H296" s="14">
        <f t="shared" si="8"/>
        <v>7415.5859999999993</v>
      </c>
      <c r="I296" s="14">
        <f t="shared" si="9"/>
        <v>7415.5859999999993</v>
      </c>
      <c r="J296" s="8" t="s">
        <v>157</v>
      </c>
      <c r="K296" s="8" t="s">
        <v>512</v>
      </c>
      <c r="M296" s="339"/>
      <c r="N296" s="315"/>
    </row>
    <row r="297" spans="1:14" s="9" customFormat="1" ht="11.25" customHeight="1" x14ac:dyDescent="0.2">
      <c r="A297" s="10">
        <v>62280000</v>
      </c>
      <c r="B297" s="10" t="s">
        <v>7721</v>
      </c>
      <c r="C297" s="11">
        <v>0</v>
      </c>
      <c r="D297" s="11">
        <v>27980</v>
      </c>
      <c r="E297" s="11">
        <v>24780</v>
      </c>
      <c r="F297" s="13">
        <f>SUMIF('OD 12-24'!A:A,A297,'OD 12-24'!D:D)</f>
        <v>6480</v>
      </c>
      <c r="G297" s="13">
        <f>SUMIF('OD 12-24'!A:A,A297,'OD 12-24'!E:E)</f>
        <v>6480</v>
      </c>
      <c r="H297" s="14">
        <f t="shared" si="8"/>
        <v>3200</v>
      </c>
      <c r="I297" s="14">
        <f t="shared" si="9"/>
        <v>3200</v>
      </c>
      <c r="J297" s="8" t="s">
        <v>157</v>
      </c>
      <c r="K297" s="8" t="s">
        <v>512</v>
      </c>
      <c r="M297" s="339"/>
      <c r="N297" s="315"/>
    </row>
    <row r="298" spans="1:14" s="9" customFormat="1" ht="11.25" customHeight="1" x14ac:dyDescent="0.2">
      <c r="A298" s="10">
        <v>62300000</v>
      </c>
      <c r="B298" s="10" t="s">
        <v>182</v>
      </c>
      <c r="C298" s="11">
        <v>0</v>
      </c>
      <c r="D298" s="11">
        <v>8814</v>
      </c>
      <c r="E298" s="11">
        <v>0</v>
      </c>
      <c r="F298" s="13">
        <f>SUMIF('OD 12-24'!A:A,A298,'OD 12-24'!D:D)</f>
        <v>759000</v>
      </c>
      <c r="G298" s="13">
        <f>SUMIF('OD 12-24'!A:A,A298,'OD 12-24'!E:E)</f>
        <v>759000</v>
      </c>
      <c r="H298" s="14">
        <f t="shared" si="8"/>
        <v>8814</v>
      </c>
      <c r="I298" s="14">
        <f t="shared" si="9"/>
        <v>8814</v>
      </c>
      <c r="J298" s="8" t="s">
        <v>157</v>
      </c>
      <c r="K298" s="8" t="s">
        <v>512</v>
      </c>
      <c r="M298" s="339"/>
      <c r="N298" s="315"/>
    </row>
    <row r="299" spans="1:14" s="9" customFormat="1" ht="11.25" customHeight="1" x14ac:dyDescent="0.2">
      <c r="A299" s="10">
        <v>62301000</v>
      </c>
      <c r="B299" s="10" t="s">
        <v>7397</v>
      </c>
      <c r="C299" s="11">
        <v>0</v>
      </c>
      <c r="D299" s="11">
        <v>49912.9</v>
      </c>
      <c r="E299" s="11">
        <v>8315</v>
      </c>
      <c r="F299" s="13">
        <f>SUMIF('OD 12-24'!A:A,A299,'OD 12-24'!D:D)</f>
        <v>0</v>
      </c>
      <c r="G299" s="13">
        <f>SUMIF('OD 12-24'!A:A,A299,'OD 12-24'!E:E)</f>
        <v>0</v>
      </c>
      <c r="H299" s="14">
        <f t="shared" si="8"/>
        <v>41597.9</v>
      </c>
      <c r="I299" s="14">
        <f t="shared" si="9"/>
        <v>41597.9</v>
      </c>
      <c r="J299" s="8" t="s">
        <v>157</v>
      </c>
      <c r="K299" s="8" t="s">
        <v>512</v>
      </c>
      <c r="M299" s="339"/>
      <c r="N299" s="315"/>
    </row>
    <row r="300" spans="1:14" s="9" customFormat="1" ht="11.25" customHeight="1" x14ac:dyDescent="0.2">
      <c r="A300" s="10">
        <v>62410000</v>
      </c>
      <c r="B300" s="10" t="s">
        <v>183</v>
      </c>
      <c r="C300" s="11">
        <v>0</v>
      </c>
      <c r="D300" s="11">
        <v>25713.8</v>
      </c>
      <c r="E300" s="11">
        <v>0</v>
      </c>
      <c r="F300" s="13">
        <f>SUMIF('OD 12-24'!A:A,A300,'OD 12-24'!D:D)</f>
        <v>0</v>
      </c>
      <c r="G300" s="13">
        <f>SUMIF('OD 12-24'!A:A,A300,'OD 12-24'!E:E)</f>
        <v>0</v>
      </c>
      <c r="H300" s="14">
        <f t="shared" si="8"/>
        <v>25713.8</v>
      </c>
      <c r="I300" s="14">
        <f t="shared" si="9"/>
        <v>25713.8</v>
      </c>
      <c r="J300" s="8" t="s">
        <v>157</v>
      </c>
      <c r="K300" s="8" t="s">
        <v>512</v>
      </c>
      <c r="M300" s="339"/>
      <c r="N300" s="315"/>
    </row>
    <row r="301" spans="1:14" s="9" customFormat="1" ht="11.25" customHeight="1" x14ac:dyDescent="0.2">
      <c r="A301" s="10">
        <v>62420000</v>
      </c>
      <c r="B301" s="10" t="s">
        <v>184</v>
      </c>
      <c r="C301" s="11">
        <v>0</v>
      </c>
      <c r="D301" s="11">
        <v>420</v>
      </c>
      <c r="E301" s="11">
        <v>0</v>
      </c>
      <c r="F301" s="13">
        <f>SUMIF('OD 12-24'!A:A,A301,'OD 12-24'!D:D)</f>
        <v>0</v>
      </c>
      <c r="G301" s="13">
        <f>SUMIF('OD 12-24'!A:A,A301,'OD 12-24'!E:E)</f>
        <v>0</v>
      </c>
      <c r="H301" s="14">
        <f t="shared" si="8"/>
        <v>420</v>
      </c>
      <c r="I301" s="14">
        <f t="shared" si="9"/>
        <v>420</v>
      </c>
      <c r="J301" s="8" t="s">
        <v>157</v>
      </c>
      <c r="K301" s="8" t="s">
        <v>512</v>
      </c>
      <c r="M301" s="339"/>
      <c r="N301" s="315"/>
    </row>
    <row r="302" spans="1:14" s="9" customFormat="1" ht="11.25" customHeight="1" x14ac:dyDescent="0.2">
      <c r="A302" s="10">
        <v>62430000</v>
      </c>
      <c r="B302" s="10" t="s">
        <v>159</v>
      </c>
      <c r="C302" s="11">
        <v>0</v>
      </c>
      <c r="D302" s="11">
        <v>579912.06500000006</v>
      </c>
      <c r="E302" s="11">
        <v>18196.150000000001</v>
      </c>
      <c r="F302" s="13">
        <f>SUMIF('OD 12-24'!A:A,A302,'OD 12-24'!D:D)</f>
        <v>307608.45</v>
      </c>
      <c r="G302" s="13">
        <f>SUMIF('OD 12-24'!A:A,A302,'OD 12-24'!E:E)</f>
        <v>307608.45</v>
      </c>
      <c r="H302" s="14">
        <f t="shared" si="8"/>
        <v>561715.91500000004</v>
      </c>
      <c r="I302" s="14">
        <f t="shared" si="9"/>
        <v>561715.91500000004</v>
      </c>
      <c r="J302" s="8" t="s">
        <v>157</v>
      </c>
      <c r="K302" s="8" t="s">
        <v>512</v>
      </c>
      <c r="L302" s="339"/>
      <c r="M302" s="339"/>
      <c r="N302" s="315"/>
    </row>
    <row r="303" spans="1:14" s="9" customFormat="1" ht="11.25" customHeight="1" x14ac:dyDescent="0.2">
      <c r="A303" s="10">
        <v>62500000</v>
      </c>
      <c r="B303" s="10" t="s">
        <v>185</v>
      </c>
      <c r="C303" s="11">
        <v>0</v>
      </c>
      <c r="D303" s="11">
        <v>4581.2150000000001</v>
      </c>
      <c r="E303" s="11">
        <v>2039.8370000000002</v>
      </c>
      <c r="F303" s="13">
        <f>SUMIF('OD 12-24'!A:A,A303,'OD 12-24'!D:D)</f>
        <v>0</v>
      </c>
      <c r="G303" s="13">
        <f>SUMIF('OD 12-24'!A:A,A303,'OD 12-24'!E:E)</f>
        <v>0</v>
      </c>
      <c r="H303" s="14">
        <f t="shared" si="8"/>
        <v>2541.3779999999997</v>
      </c>
      <c r="I303" s="14">
        <f t="shared" si="9"/>
        <v>2541.3779999999997</v>
      </c>
      <c r="J303" s="8" t="s">
        <v>157</v>
      </c>
      <c r="K303" s="8" t="s">
        <v>512</v>
      </c>
      <c r="M303" s="339"/>
      <c r="N303" s="315"/>
    </row>
    <row r="304" spans="1:14" s="9" customFormat="1" ht="11.25" customHeight="1" x14ac:dyDescent="0.2">
      <c r="A304" s="10">
        <v>62510000</v>
      </c>
      <c r="B304" s="10" t="s">
        <v>7571</v>
      </c>
      <c r="C304" s="11">
        <v>0</v>
      </c>
      <c r="D304" s="11">
        <v>51963</v>
      </c>
      <c r="E304" s="11">
        <v>0</v>
      </c>
      <c r="F304" s="13">
        <f>SUMIF('OD 12-24'!A:A,A304,'OD 12-24'!D:D)</f>
        <v>140000</v>
      </c>
      <c r="G304" s="13">
        <f>SUMIF('OD 12-24'!A:A,A304,'OD 12-24'!E:E)</f>
        <v>120000</v>
      </c>
      <c r="H304" s="14">
        <f t="shared" si="8"/>
        <v>71963</v>
      </c>
      <c r="I304" s="14">
        <f t="shared" si="9"/>
        <v>71963</v>
      </c>
      <c r="J304" s="8" t="s">
        <v>157</v>
      </c>
      <c r="K304" s="8" t="s">
        <v>512</v>
      </c>
      <c r="M304" s="339"/>
      <c r="N304" s="315"/>
    </row>
    <row r="305" spans="1:14" s="9" customFormat="1" ht="11.25" customHeight="1" x14ac:dyDescent="0.2">
      <c r="A305" s="10">
        <v>62520000</v>
      </c>
      <c r="B305" s="10" t="s">
        <v>7403</v>
      </c>
      <c r="C305" s="11">
        <v>0</v>
      </c>
      <c r="D305" s="11">
        <v>4776</v>
      </c>
      <c r="E305" s="11">
        <v>0</v>
      </c>
      <c r="F305" s="13">
        <f>SUMIF('OD 12-24'!A:A,A305,'OD 12-24'!D:D)</f>
        <v>0</v>
      </c>
      <c r="G305" s="13">
        <f>SUMIF('OD 12-24'!A:A,A305,'OD 12-24'!E:E)</f>
        <v>0</v>
      </c>
      <c r="H305" s="14">
        <f t="shared" si="8"/>
        <v>4776</v>
      </c>
      <c r="I305" s="14">
        <f t="shared" si="9"/>
        <v>4776</v>
      </c>
      <c r="J305" s="8" t="s">
        <v>157</v>
      </c>
      <c r="K305" s="8" t="s">
        <v>512</v>
      </c>
      <c r="M305" s="339"/>
      <c r="N305" s="315"/>
    </row>
    <row r="306" spans="1:14" s="9" customFormat="1" ht="11.25" customHeight="1" x14ac:dyDescent="0.2">
      <c r="A306" s="10">
        <v>62570000</v>
      </c>
      <c r="B306" s="10" t="s">
        <v>186</v>
      </c>
      <c r="C306" s="11">
        <v>0</v>
      </c>
      <c r="D306" s="11">
        <v>67271.944999999992</v>
      </c>
      <c r="E306" s="11">
        <v>857.94299999999998</v>
      </c>
      <c r="F306" s="13">
        <f>SUMIF('OD 12-24'!A:A,A306,'OD 12-24'!D:D)</f>
        <v>0</v>
      </c>
      <c r="G306" s="13">
        <f>SUMIF('OD 12-24'!A:A,A306,'OD 12-24'!E:E)</f>
        <v>0</v>
      </c>
      <c r="H306" s="14">
        <f t="shared" si="8"/>
        <v>66414.001999999993</v>
      </c>
      <c r="I306" s="14">
        <f t="shared" si="9"/>
        <v>66414.001999999993</v>
      </c>
      <c r="J306" s="8" t="s">
        <v>157</v>
      </c>
      <c r="K306" s="8" t="s">
        <v>512</v>
      </c>
      <c r="M306" s="339"/>
      <c r="N306" s="315"/>
    </row>
    <row r="307" spans="1:14" s="9" customFormat="1" ht="11.25" customHeight="1" x14ac:dyDescent="0.2">
      <c r="A307" s="10">
        <v>62571000</v>
      </c>
      <c r="B307" s="10" t="s">
        <v>376</v>
      </c>
      <c r="C307" s="11">
        <v>0</v>
      </c>
      <c r="D307" s="11">
        <v>6158.5559999999996</v>
      </c>
      <c r="E307" s="11">
        <v>0</v>
      </c>
      <c r="F307" s="13">
        <f>SUMIF('OD 12-24'!A:A,A307,'OD 12-24'!D:D)</f>
        <v>0</v>
      </c>
      <c r="G307" s="13">
        <f>SUMIF('OD 12-24'!A:A,A307,'OD 12-24'!E:E)</f>
        <v>0</v>
      </c>
      <c r="H307" s="14">
        <f t="shared" si="8"/>
        <v>6158.5559999999996</v>
      </c>
      <c r="I307" s="14">
        <f t="shared" si="9"/>
        <v>6158.5559999999996</v>
      </c>
      <c r="J307" s="8" t="s">
        <v>157</v>
      </c>
      <c r="K307" s="8" t="s">
        <v>512</v>
      </c>
      <c r="M307" s="339"/>
      <c r="N307" s="315"/>
    </row>
    <row r="308" spans="1:14" s="9" customFormat="1" ht="11.25" customHeight="1" x14ac:dyDescent="0.2">
      <c r="A308" s="10">
        <v>62572000</v>
      </c>
      <c r="B308" s="10" t="s">
        <v>377</v>
      </c>
      <c r="C308" s="11">
        <v>0</v>
      </c>
      <c r="D308" s="11">
        <v>8608.07</v>
      </c>
      <c r="E308" s="11">
        <v>0</v>
      </c>
      <c r="F308" s="13">
        <f>SUMIF('OD 12-24'!A:A,A308,'OD 12-24'!D:D)</f>
        <v>0</v>
      </c>
      <c r="G308" s="13">
        <f>SUMIF('OD 12-24'!A:A,A308,'OD 12-24'!E:E)</f>
        <v>0</v>
      </c>
      <c r="H308" s="14">
        <f t="shared" si="8"/>
        <v>8608.07</v>
      </c>
      <c r="I308" s="14">
        <f t="shared" si="9"/>
        <v>8608.07</v>
      </c>
      <c r="J308" s="8" t="s">
        <v>157</v>
      </c>
      <c r="K308" s="8" t="s">
        <v>512</v>
      </c>
      <c r="M308" s="339"/>
      <c r="N308" s="315"/>
    </row>
    <row r="309" spans="1:14" s="9" customFormat="1" ht="11.25" customHeight="1" x14ac:dyDescent="0.2">
      <c r="A309" s="10">
        <v>62573000</v>
      </c>
      <c r="B309" s="10" t="s">
        <v>378</v>
      </c>
      <c r="C309" s="11">
        <v>0</v>
      </c>
      <c r="D309" s="11">
        <v>1165.5840000000001</v>
      </c>
      <c r="E309" s="11">
        <v>0</v>
      </c>
      <c r="F309" s="13">
        <f>SUMIF('OD 12-24'!A:A,A309,'OD 12-24'!D:D)</f>
        <v>0</v>
      </c>
      <c r="G309" s="13">
        <f>SUMIF('OD 12-24'!A:A,A309,'OD 12-24'!E:E)</f>
        <v>0</v>
      </c>
      <c r="H309" s="14">
        <f t="shared" si="8"/>
        <v>1165.5840000000001</v>
      </c>
      <c r="I309" s="14">
        <f t="shared" si="9"/>
        <v>1165.5840000000001</v>
      </c>
      <c r="J309" s="8" t="s">
        <v>157</v>
      </c>
      <c r="K309" s="8" t="s">
        <v>512</v>
      </c>
      <c r="M309" s="339"/>
      <c r="N309" s="315"/>
    </row>
    <row r="310" spans="1:14" s="9" customFormat="1" ht="11.25" customHeight="1" x14ac:dyDescent="0.2">
      <c r="A310" s="10">
        <v>62580000</v>
      </c>
      <c r="B310" s="10" t="s">
        <v>187</v>
      </c>
      <c r="C310" s="11">
        <v>0</v>
      </c>
      <c r="D310" s="11">
        <v>2459.65</v>
      </c>
      <c r="E310" s="11">
        <v>0</v>
      </c>
      <c r="F310" s="13">
        <f>SUMIF('OD 12-24'!A:A,A310,'OD 12-24'!D:D)</f>
        <v>0</v>
      </c>
      <c r="G310" s="13">
        <f>SUMIF('OD 12-24'!A:A,A310,'OD 12-24'!E:E)</f>
        <v>0</v>
      </c>
      <c r="H310" s="14">
        <f t="shared" si="8"/>
        <v>2459.65</v>
      </c>
      <c r="I310" s="14">
        <f t="shared" si="9"/>
        <v>2459.65</v>
      </c>
      <c r="J310" s="8" t="s">
        <v>157</v>
      </c>
      <c r="K310" s="8" t="s">
        <v>512</v>
      </c>
      <c r="M310" s="339"/>
      <c r="N310" s="315"/>
    </row>
    <row r="311" spans="1:14" s="9" customFormat="1" ht="11.25" customHeight="1" x14ac:dyDescent="0.2">
      <c r="A311" s="10">
        <v>62600000</v>
      </c>
      <c r="B311" s="10" t="s">
        <v>188</v>
      </c>
      <c r="C311" s="11">
        <v>0</v>
      </c>
      <c r="D311" s="11">
        <v>19899.704999999998</v>
      </c>
      <c r="E311" s="11">
        <v>0</v>
      </c>
      <c r="F311" s="13">
        <f>SUMIF('OD 12-24'!A:A,A311,'OD 12-24'!D:D)</f>
        <v>23938.421999999999</v>
      </c>
      <c r="G311" s="13">
        <f>SUMIF('OD 12-24'!A:A,A311,'OD 12-24'!E:E)</f>
        <v>23938.421999999999</v>
      </c>
      <c r="H311" s="14">
        <f t="shared" si="8"/>
        <v>19899.704999999994</v>
      </c>
      <c r="I311" s="14">
        <f t="shared" si="9"/>
        <v>19899.704999999994</v>
      </c>
      <c r="J311" s="8" t="s">
        <v>157</v>
      </c>
      <c r="K311" s="8" t="s">
        <v>512</v>
      </c>
      <c r="M311" s="339"/>
      <c r="N311" s="315"/>
    </row>
    <row r="312" spans="1:14" s="9" customFormat="1" ht="11.25" customHeight="1" x14ac:dyDescent="0.2">
      <c r="A312" s="10">
        <v>62780000</v>
      </c>
      <c r="B312" s="10" t="s">
        <v>189</v>
      </c>
      <c r="C312" s="11">
        <v>0</v>
      </c>
      <c r="D312" s="11">
        <v>100926.06199999999</v>
      </c>
      <c r="E312" s="11">
        <v>250.798</v>
      </c>
      <c r="F312" s="13">
        <f>SUMIF('OD 12-24'!A:A,A312,'OD 12-24'!D:D)</f>
        <v>206179.45</v>
      </c>
      <c r="G312" s="13">
        <f>SUMIF('OD 12-24'!A:A,A312,'OD 12-24'!E:E)</f>
        <v>190808.53</v>
      </c>
      <c r="H312" s="14">
        <f t="shared" si="8"/>
        <v>116046.18399999998</v>
      </c>
      <c r="I312" s="14">
        <f t="shared" si="9"/>
        <v>116046.18399999998</v>
      </c>
      <c r="J312" s="8" t="s">
        <v>195</v>
      </c>
      <c r="K312" s="8" t="s">
        <v>517</v>
      </c>
      <c r="M312" s="339"/>
      <c r="N312" s="315"/>
    </row>
    <row r="313" spans="1:14" s="9" customFormat="1" ht="11.25" customHeight="1" x14ac:dyDescent="0.2">
      <c r="A313" s="10">
        <v>63300000</v>
      </c>
      <c r="B313" s="10" t="s">
        <v>269</v>
      </c>
      <c r="C313" s="11">
        <v>0</v>
      </c>
      <c r="D313" s="11">
        <v>0</v>
      </c>
      <c r="E313" s="11">
        <v>0</v>
      </c>
      <c r="F313" s="13">
        <f>SUMIF('OD 12-24'!A:A,A313,'OD 12-24'!D:D)</f>
        <v>812500.00100000005</v>
      </c>
      <c r="G313" s="13">
        <f>SUMIF('OD 12-24'!A:A,A313,'OD 12-24'!E:E)</f>
        <v>687500.00100000005</v>
      </c>
      <c r="H313" s="14">
        <f>+D313+F313-E313-G313</f>
        <v>125000</v>
      </c>
      <c r="I313" s="14">
        <f>+H313+C313</f>
        <v>125000</v>
      </c>
      <c r="J313" s="8" t="s">
        <v>157</v>
      </c>
      <c r="K313" s="8" t="s">
        <v>512</v>
      </c>
      <c r="M313" s="339"/>
      <c r="N313" s="315"/>
    </row>
    <row r="314" spans="1:14" s="9" customFormat="1" ht="11.25" customHeight="1" x14ac:dyDescent="0.2">
      <c r="A314" s="10">
        <v>63601000</v>
      </c>
      <c r="B314" s="10" t="s">
        <v>7572</v>
      </c>
      <c r="C314" s="11">
        <v>0</v>
      </c>
      <c r="D314" s="11">
        <v>20878.022000000001</v>
      </c>
      <c r="E314" s="11">
        <v>0</v>
      </c>
      <c r="F314" s="13">
        <f>SUMIF('OD 12-24'!A:A,A314,'OD 12-24'!D:D)</f>
        <v>0</v>
      </c>
      <c r="G314" s="13">
        <f>SUMIF('OD 12-24'!A:A,A314,'OD 12-24'!E:E)</f>
        <v>0</v>
      </c>
      <c r="H314" s="14">
        <f t="shared" si="8"/>
        <v>20878.022000000001</v>
      </c>
      <c r="I314" s="14">
        <f t="shared" si="9"/>
        <v>20878.022000000001</v>
      </c>
      <c r="J314" s="8" t="s">
        <v>190</v>
      </c>
      <c r="K314" s="8" t="s">
        <v>519</v>
      </c>
      <c r="M314" s="339"/>
      <c r="N314" s="315"/>
    </row>
    <row r="315" spans="1:14" s="9" customFormat="1" ht="11.25" customHeight="1" x14ac:dyDescent="0.2">
      <c r="A315" s="10">
        <v>63602000</v>
      </c>
      <c r="B315" s="10" t="s">
        <v>7573</v>
      </c>
      <c r="C315" s="11">
        <v>0</v>
      </c>
      <c r="D315" s="11">
        <v>51240.869000000006</v>
      </c>
      <c r="E315" s="11">
        <v>31766.782999999996</v>
      </c>
      <c r="F315" s="13">
        <f>SUMIF('OD 12-24'!A:A,A315,'OD 12-24'!D:D)</f>
        <v>0</v>
      </c>
      <c r="G315" s="13">
        <f>SUMIF('OD 12-24'!A:A,A315,'OD 12-24'!E:E)</f>
        <v>0</v>
      </c>
      <c r="H315" s="14">
        <f t="shared" si="8"/>
        <v>19474.08600000001</v>
      </c>
      <c r="I315" s="14">
        <f t="shared" si="9"/>
        <v>19474.08600000001</v>
      </c>
      <c r="J315" s="8" t="s">
        <v>7715</v>
      </c>
      <c r="K315" s="8" t="s">
        <v>7716</v>
      </c>
      <c r="M315" s="339"/>
      <c r="N315" s="315"/>
    </row>
    <row r="316" spans="1:14" s="9" customFormat="1" ht="11.25" customHeight="1" x14ac:dyDescent="0.2">
      <c r="A316" s="10">
        <v>63610000</v>
      </c>
      <c r="B316" s="10" t="s">
        <v>7398</v>
      </c>
      <c r="C316" s="11">
        <v>0</v>
      </c>
      <c r="D316" s="11">
        <v>4680.0479999999998</v>
      </c>
      <c r="E316" s="11">
        <v>300</v>
      </c>
      <c r="F316" s="13">
        <f>SUMIF('OD 12-24'!A:A,A316,'OD 12-24'!D:D)</f>
        <v>0</v>
      </c>
      <c r="G316" s="13">
        <f>SUMIF('OD 12-24'!A:A,A316,'OD 12-24'!E:E)</f>
        <v>0</v>
      </c>
      <c r="H316" s="14">
        <f t="shared" si="8"/>
        <v>4380.0479999999998</v>
      </c>
      <c r="I316" s="14">
        <f t="shared" si="9"/>
        <v>4380.0479999999998</v>
      </c>
      <c r="J316" s="8" t="s">
        <v>190</v>
      </c>
      <c r="K316" s="8" t="s">
        <v>519</v>
      </c>
      <c r="M316" s="339"/>
      <c r="N316" s="315"/>
    </row>
    <row r="317" spans="1:14" s="9" customFormat="1" ht="11.25" customHeight="1" x14ac:dyDescent="0.2">
      <c r="A317" s="10">
        <v>64001000</v>
      </c>
      <c r="B317" s="10" t="s">
        <v>191</v>
      </c>
      <c r="C317" s="11">
        <v>0</v>
      </c>
      <c r="D317" s="11">
        <v>2420410.65</v>
      </c>
      <c r="E317" s="11">
        <v>281311.75100000005</v>
      </c>
      <c r="F317" s="13">
        <f>SUMIF('OD 12-24'!A:A,A317,'OD 12-24'!D:D)</f>
        <v>413518.88400000002</v>
      </c>
      <c r="G317" s="13">
        <f>SUMIF('OD 12-24'!A:A,A317,'OD 12-24'!E:E)</f>
        <v>413518.88400000002</v>
      </c>
      <c r="H317" s="14">
        <f t="shared" si="8"/>
        <v>2139098.8989999997</v>
      </c>
      <c r="I317" s="14">
        <f t="shared" si="9"/>
        <v>2139098.8989999997</v>
      </c>
      <c r="J317" s="8" t="s">
        <v>192</v>
      </c>
      <c r="K317" s="8" t="s">
        <v>511</v>
      </c>
      <c r="M317" s="339"/>
      <c r="N317" s="315"/>
    </row>
    <row r="318" spans="1:14" s="9" customFormat="1" ht="11.25" customHeight="1" x14ac:dyDescent="0.2">
      <c r="A318" s="10">
        <v>64001100</v>
      </c>
      <c r="B318" s="10" t="s">
        <v>408</v>
      </c>
      <c r="C318" s="11">
        <v>0</v>
      </c>
      <c r="D318" s="11">
        <v>0</v>
      </c>
      <c r="E318" s="11">
        <v>0</v>
      </c>
      <c r="F318" s="13">
        <f>SUMIF('OD 12-24'!A:A,A318,'OD 12-24'!D:D)</f>
        <v>1950000</v>
      </c>
      <c r="G318" s="13">
        <f>SUMIF('OD 12-24'!A:A,A318,'OD 12-24'!E:E)</f>
        <v>1650000</v>
      </c>
      <c r="H318" s="14">
        <f t="shared" si="8"/>
        <v>300000</v>
      </c>
      <c r="I318" s="14">
        <f t="shared" si="9"/>
        <v>300000</v>
      </c>
      <c r="J318" s="8" t="s">
        <v>192</v>
      </c>
      <c r="K318" s="8" t="s">
        <v>511</v>
      </c>
      <c r="M318" s="339"/>
      <c r="N318" s="315"/>
    </row>
    <row r="319" spans="1:14" s="9" customFormat="1" ht="11.25" customHeight="1" x14ac:dyDescent="0.2">
      <c r="A319" s="10">
        <v>64020000</v>
      </c>
      <c r="B319" s="10" t="s">
        <v>406</v>
      </c>
      <c r="C319" s="11">
        <v>0</v>
      </c>
      <c r="D319" s="11">
        <v>0</v>
      </c>
      <c r="E319" s="11">
        <v>0</v>
      </c>
      <c r="F319" s="13">
        <f>SUMIF('OD 12-24'!A:A,A319,'OD 12-24'!D:D)</f>
        <v>2631535.14</v>
      </c>
      <c r="G319" s="13">
        <f>SUMIF('OD 12-24'!A:A,A319,'OD 12-24'!E:E)</f>
        <v>2263928.5070000002</v>
      </c>
      <c r="H319" s="14">
        <f t="shared" si="8"/>
        <v>367606.63299999991</v>
      </c>
      <c r="I319" s="14">
        <f t="shared" si="9"/>
        <v>367606.63299999991</v>
      </c>
      <c r="J319" s="8" t="s">
        <v>192</v>
      </c>
      <c r="K319" s="8" t="s">
        <v>511</v>
      </c>
      <c r="M319" s="339"/>
      <c r="N319" s="315"/>
    </row>
    <row r="320" spans="1:14" s="9" customFormat="1" ht="11.25" customHeight="1" x14ac:dyDescent="0.2">
      <c r="A320" s="10">
        <v>64280000</v>
      </c>
      <c r="B320" s="10" t="s">
        <v>193</v>
      </c>
      <c r="C320" s="11">
        <v>0</v>
      </c>
      <c r="D320" s="11">
        <v>39080</v>
      </c>
      <c r="E320" s="11">
        <v>39080</v>
      </c>
      <c r="F320" s="13">
        <f>SUMIF('OD 12-24'!A:A,A320,'OD 12-24'!D:D)</f>
        <v>0</v>
      </c>
      <c r="G320" s="13">
        <f>SUMIF('OD 12-24'!A:A,A320,'OD 12-24'!E:E)</f>
        <v>0</v>
      </c>
      <c r="H320" s="14">
        <f t="shared" si="8"/>
        <v>0</v>
      </c>
      <c r="I320" s="14">
        <f t="shared" si="9"/>
        <v>0</v>
      </c>
      <c r="J320" s="8" t="s">
        <v>192</v>
      </c>
      <c r="K320" s="8" t="s">
        <v>511</v>
      </c>
      <c r="M320" s="339"/>
      <c r="N320" s="315"/>
    </row>
    <row r="321" spans="1:14" s="9" customFormat="1" ht="11.25" customHeight="1" x14ac:dyDescent="0.2">
      <c r="A321" s="10">
        <v>64600100</v>
      </c>
      <c r="B321" s="10" t="s">
        <v>407</v>
      </c>
      <c r="C321" s="11">
        <v>0</v>
      </c>
      <c r="D321" s="11">
        <v>1686.6510000000003</v>
      </c>
      <c r="E321" s="11">
        <v>247618.065</v>
      </c>
      <c r="F321" s="13">
        <f>SUMIF('OD 12-24'!A:A,A321,'OD 12-24'!D:D)</f>
        <v>3829487.4890000001</v>
      </c>
      <c r="G321" s="13">
        <f>SUMIF('OD 12-24'!A:A,A321,'OD 12-24'!E:E)</f>
        <v>3569487.4890000001</v>
      </c>
      <c r="H321" s="14">
        <f t="shared" si="8"/>
        <v>14068.586000000127</v>
      </c>
      <c r="I321" s="14">
        <f t="shared" si="9"/>
        <v>14068.586000000127</v>
      </c>
      <c r="J321" s="8" t="s">
        <v>192</v>
      </c>
      <c r="K321" s="8" t="s">
        <v>511</v>
      </c>
      <c r="M321" s="339"/>
      <c r="N321" s="315"/>
    </row>
    <row r="322" spans="1:14" s="9" customFormat="1" ht="11.25" customHeight="1" x14ac:dyDescent="0.2">
      <c r="A322" s="10">
        <v>64603000</v>
      </c>
      <c r="B322" s="10" t="s">
        <v>7404</v>
      </c>
      <c r="C322" s="11">
        <v>0</v>
      </c>
      <c r="D322" s="11">
        <v>14367.25</v>
      </c>
      <c r="E322" s="11">
        <v>0</v>
      </c>
      <c r="F322" s="13">
        <f>SUMIF('OD 12-24'!A:A,A322,'OD 12-24'!D:D)</f>
        <v>3192</v>
      </c>
      <c r="G322" s="13">
        <f>SUMIF('OD 12-24'!A:A,A322,'OD 12-24'!E:E)</f>
        <v>3192</v>
      </c>
      <c r="H322" s="14">
        <f t="shared" si="8"/>
        <v>14367.25</v>
      </c>
      <c r="I322" s="14">
        <f t="shared" si="9"/>
        <v>14367.25</v>
      </c>
      <c r="J322" s="8" t="s">
        <v>192</v>
      </c>
      <c r="K322" s="8" t="s">
        <v>511</v>
      </c>
      <c r="M322" s="339"/>
      <c r="N322" s="315"/>
    </row>
    <row r="323" spans="1:14" s="9" customFormat="1" ht="11.25" customHeight="1" x14ac:dyDescent="0.2">
      <c r="A323" s="10">
        <v>64720000</v>
      </c>
      <c r="B323" s="10" t="s">
        <v>194</v>
      </c>
      <c r="C323" s="11">
        <v>0</v>
      </c>
      <c r="D323" s="11">
        <v>130644.997</v>
      </c>
      <c r="E323" s="11">
        <v>21778.701000000001</v>
      </c>
      <c r="F323" s="13">
        <f>SUMIF('OD 12-24'!A:A,A323,'OD 12-24'!D:D)</f>
        <v>962096.11399999994</v>
      </c>
      <c r="G323" s="13">
        <f>SUMIF('OD 12-24'!A:A,A323,'OD 12-24'!E:E)</f>
        <v>829459.68700000003</v>
      </c>
      <c r="H323" s="14">
        <f t="shared" si="8"/>
        <v>241502.72300000011</v>
      </c>
      <c r="I323" s="14">
        <f t="shared" si="9"/>
        <v>241502.72300000011</v>
      </c>
      <c r="J323" s="8" t="s">
        <v>192</v>
      </c>
      <c r="K323" s="8" t="s">
        <v>511</v>
      </c>
      <c r="M323" s="339"/>
      <c r="N323" s="315"/>
    </row>
    <row r="324" spans="1:14" s="9" customFormat="1" ht="11.25" customHeight="1" x14ac:dyDescent="0.2">
      <c r="A324" s="10">
        <v>65110000</v>
      </c>
      <c r="B324" s="10" t="s">
        <v>385</v>
      </c>
      <c r="C324" s="11">
        <v>0</v>
      </c>
      <c r="D324" s="11">
        <v>179840.37700000001</v>
      </c>
      <c r="E324" s="11">
        <v>84401.901999999987</v>
      </c>
      <c r="F324" s="13">
        <f>SUMIF('OD 12-24'!A:A,A324,'OD 12-24'!D:D)</f>
        <v>136285.06599999999</v>
      </c>
      <c r="G324" s="13">
        <f>SUMIF('OD 12-24'!A:A,A324,'OD 12-24'!E:E)</f>
        <v>121616.49800000001</v>
      </c>
      <c r="H324" s="14">
        <f t="shared" si="8"/>
        <v>110107.04299999996</v>
      </c>
      <c r="I324" s="14">
        <f t="shared" si="9"/>
        <v>110107.04299999996</v>
      </c>
      <c r="J324" s="8" t="s">
        <v>195</v>
      </c>
      <c r="K324" s="8" t="s">
        <v>517</v>
      </c>
      <c r="M324" s="339"/>
      <c r="N324" s="315"/>
    </row>
    <row r="325" spans="1:14" s="9" customFormat="1" ht="11.25" customHeight="1" x14ac:dyDescent="0.2">
      <c r="A325" s="10">
        <v>65110200</v>
      </c>
      <c r="B325" s="10" t="s">
        <v>196</v>
      </c>
      <c r="C325" s="11">
        <v>0</v>
      </c>
      <c r="D325" s="11">
        <v>294958.07399999996</v>
      </c>
      <c r="E325" s="11">
        <v>0</v>
      </c>
      <c r="F325" s="13">
        <f>SUMIF('OD 12-24'!A:A,A325,'OD 12-24'!D:D)</f>
        <v>565062.63419999997</v>
      </c>
      <c r="G325" s="13">
        <f>SUMIF('OD 12-24'!A:A,A325,'OD 12-24'!E:E)</f>
        <v>635300.67819999997</v>
      </c>
      <c r="H325" s="14">
        <f t="shared" si="8"/>
        <v>224720.03000000003</v>
      </c>
      <c r="I325" s="14">
        <f t="shared" si="9"/>
        <v>224720.03000000003</v>
      </c>
      <c r="J325" s="8" t="s">
        <v>195</v>
      </c>
      <c r="K325" s="8" t="s">
        <v>517</v>
      </c>
      <c r="M325" s="339"/>
      <c r="N325" s="315"/>
    </row>
    <row r="326" spans="1:14" s="9" customFormat="1" ht="11.25" customHeight="1" x14ac:dyDescent="0.2">
      <c r="A326" s="10">
        <v>65110400</v>
      </c>
      <c r="B326" s="10" t="s">
        <v>197</v>
      </c>
      <c r="C326" s="11">
        <v>0</v>
      </c>
      <c r="D326" s="11">
        <v>453009.33299999998</v>
      </c>
      <c r="E326" s="11">
        <v>0</v>
      </c>
      <c r="F326" s="13">
        <f>SUMIF('OD 12-24'!A:A,A326,'OD 12-24'!D:D)</f>
        <v>867688.41079999995</v>
      </c>
      <c r="G326" s="13">
        <f>SUMIF('OD 12-24'!A:A,A326,'OD 12-24'!E:E)</f>
        <v>975497.92180000001</v>
      </c>
      <c r="H326" s="14">
        <f t="shared" si="8"/>
        <v>345199.82199999981</v>
      </c>
      <c r="I326" s="14">
        <f t="shared" si="9"/>
        <v>345199.82199999981</v>
      </c>
      <c r="J326" s="8" t="s">
        <v>195</v>
      </c>
      <c r="K326" s="8" t="s">
        <v>517</v>
      </c>
      <c r="M326" s="339"/>
      <c r="N326" s="315"/>
    </row>
    <row r="327" spans="1:14" s="9" customFormat="1" ht="11.25" customHeight="1" x14ac:dyDescent="0.2">
      <c r="A327" s="10">
        <v>65115000</v>
      </c>
      <c r="B327" s="10" t="s">
        <v>379</v>
      </c>
      <c r="C327" s="11">
        <v>0</v>
      </c>
      <c r="D327" s="11">
        <v>31128.445</v>
      </c>
      <c r="E327" s="11">
        <v>2060.0309999999999</v>
      </c>
      <c r="F327" s="13">
        <f>SUMIF('OD 12-24'!A:A,A327,'OD 12-24'!D:D)</f>
        <v>2903.0230000000001</v>
      </c>
      <c r="G327" s="13">
        <f>SUMIF('OD 12-24'!A:A,A327,'OD 12-24'!E:E)</f>
        <v>2903.0230000000001</v>
      </c>
      <c r="H327" s="14">
        <f t="shared" ref="H327:H354" si="10">+D327+F327-E327-G327</f>
        <v>29068.414000000001</v>
      </c>
      <c r="I327" s="14">
        <f t="shared" ref="I327:I354" si="11">+H327+C327</f>
        <v>29068.414000000001</v>
      </c>
      <c r="J327" s="8" t="s">
        <v>195</v>
      </c>
      <c r="K327" s="8" t="s">
        <v>517</v>
      </c>
      <c r="M327" s="339"/>
      <c r="N327" s="315"/>
    </row>
    <row r="328" spans="1:14" s="9" customFormat="1" ht="11.25" customHeight="1" x14ac:dyDescent="0.2">
      <c r="A328" s="10">
        <v>65150000</v>
      </c>
      <c r="B328" s="10" t="s">
        <v>270</v>
      </c>
      <c r="C328" s="11">
        <v>0</v>
      </c>
      <c r="D328" s="11">
        <v>0</v>
      </c>
      <c r="E328" s="11">
        <v>0</v>
      </c>
      <c r="F328" s="13">
        <f>SUMIF('OD 12-24'!A:A,A328,'OD 12-24'!D:D)</f>
        <v>204248.76800000001</v>
      </c>
      <c r="G328" s="13">
        <f>SUMIF('OD 12-24'!A:A,A328,'OD 12-24'!E:E)</f>
        <v>175272.33</v>
      </c>
      <c r="H328" s="14">
        <f t="shared" si="10"/>
        <v>28976.438000000024</v>
      </c>
      <c r="I328" s="14">
        <f t="shared" si="11"/>
        <v>28976.438000000024</v>
      </c>
      <c r="J328" s="8" t="s">
        <v>195</v>
      </c>
      <c r="K328" s="8" t="s">
        <v>517</v>
      </c>
      <c r="M328" s="339"/>
      <c r="N328" s="315"/>
    </row>
    <row r="329" spans="1:14" s="9" customFormat="1" ht="11.25" customHeight="1" x14ac:dyDescent="0.2">
      <c r="A329" s="10">
        <v>65190000</v>
      </c>
      <c r="B329" s="10" t="s">
        <v>198</v>
      </c>
      <c r="C329" s="11">
        <v>0</v>
      </c>
      <c r="D329" s="11">
        <v>90197.441999999995</v>
      </c>
      <c r="E329" s="11">
        <v>0</v>
      </c>
      <c r="F329" s="13">
        <f>SUMIF('OD 12-24'!A:A,A329,'OD 12-24'!D:D)</f>
        <v>796841.39399999997</v>
      </c>
      <c r="G329" s="13">
        <f>SUMIF('OD 12-24'!A:A,A329,'OD 12-24'!E:E)</f>
        <v>716813.05200000003</v>
      </c>
      <c r="H329" s="14">
        <f t="shared" si="10"/>
        <v>170225.78399999999</v>
      </c>
      <c r="I329" s="14">
        <f t="shared" si="11"/>
        <v>170225.78399999999</v>
      </c>
      <c r="J329" s="8" t="s">
        <v>195</v>
      </c>
      <c r="K329" s="8" t="s">
        <v>517</v>
      </c>
      <c r="M329" s="339"/>
      <c r="N329" s="315"/>
    </row>
    <row r="330" spans="1:14" s="9" customFormat="1" ht="11.25" customHeight="1" x14ac:dyDescent="0.2">
      <c r="A330" s="10">
        <v>65500000</v>
      </c>
      <c r="B330" s="10" t="s">
        <v>400</v>
      </c>
      <c r="C330" s="11">
        <v>0</v>
      </c>
      <c r="D330" s="11">
        <v>19683.219000000001</v>
      </c>
      <c r="E330" s="11">
        <v>15431.621999999999</v>
      </c>
      <c r="F330" s="13">
        <f>SUMIF('OD 12-24'!A:A,A330,'OD 12-24'!D:D)</f>
        <v>423642.92540000001</v>
      </c>
      <c r="G330" s="13">
        <f>SUMIF('OD 12-24'!A:A,A330,'OD 12-24'!E:E)</f>
        <v>337202.72039999999</v>
      </c>
      <c r="H330" s="14">
        <f t="shared" si="10"/>
        <v>90691.802000000025</v>
      </c>
      <c r="I330" s="14">
        <f t="shared" si="11"/>
        <v>90691.802000000025</v>
      </c>
      <c r="J330" s="8" t="s">
        <v>195</v>
      </c>
      <c r="K330" s="8" t="s">
        <v>517</v>
      </c>
      <c r="M330" s="339"/>
      <c r="N330" s="315"/>
    </row>
    <row r="331" spans="1:14" s="9" customFormat="1" ht="11.25" customHeight="1" x14ac:dyDescent="0.2">
      <c r="A331" s="10">
        <v>66520000</v>
      </c>
      <c r="B331" s="10" t="s">
        <v>200</v>
      </c>
      <c r="C331" s="11">
        <v>0</v>
      </c>
      <c r="D331" s="11">
        <v>44093.329000000005</v>
      </c>
      <c r="E331" s="11">
        <v>0</v>
      </c>
      <c r="F331" s="13">
        <f>SUMIF('OD 12-24'!A:A,A331,'OD 12-24'!D:D)</f>
        <v>117948.3</v>
      </c>
      <c r="G331" s="13">
        <f>SUMIF('OD 12-24'!A:A,A331,'OD 12-24'!E:E)</f>
        <v>117948.3</v>
      </c>
      <c r="H331" s="14">
        <f t="shared" si="10"/>
        <v>44093.329000000012</v>
      </c>
      <c r="I331" s="14">
        <f t="shared" si="11"/>
        <v>44093.329000000012</v>
      </c>
      <c r="J331" s="8" t="s">
        <v>157</v>
      </c>
      <c r="K331" s="8" t="s">
        <v>512</v>
      </c>
      <c r="M331" s="339"/>
      <c r="N331" s="315"/>
    </row>
    <row r="332" spans="1:14" s="9" customFormat="1" ht="11.25" customHeight="1" x14ac:dyDescent="0.2">
      <c r="A332" s="10">
        <v>66540000</v>
      </c>
      <c r="B332" s="10" t="s">
        <v>201</v>
      </c>
      <c r="C332" s="11">
        <v>0</v>
      </c>
      <c r="D332" s="11">
        <v>6275.8280000000004</v>
      </c>
      <c r="E332" s="11">
        <v>20</v>
      </c>
      <c r="F332" s="13">
        <f>SUMIF('OD 12-24'!A:A,A332,'OD 12-24'!D:D)</f>
        <v>0</v>
      </c>
      <c r="G332" s="13">
        <f>SUMIF('OD 12-24'!A:A,A332,'OD 12-24'!E:E)</f>
        <v>0</v>
      </c>
      <c r="H332" s="14">
        <f t="shared" si="10"/>
        <v>6255.8280000000004</v>
      </c>
      <c r="I332" s="14">
        <f t="shared" si="11"/>
        <v>6255.8280000000004</v>
      </c>
      <c r="J332" s="8" t="s">
        <v>157</v>
      </c>
      <c r="K332" s="8" t="s">
        <v>512</v>
      </c>
      <c r="M332" s="339"/>
      <c r="N332" s="315"/>
    </row>
    <row r="333" spans="1:14" s="9" customFormat="1" ht="11.25" customHeight="1" x14ac:dyDescent="0.2">
      <c r="A333" s="10">
        <v>66550000</v>
      </c>
      <c r="B333" s="10" t="s">
        <v>202</v>
      </c>
      <c r="C333" s="11">
        <v>0</v>
      </c>
      <c r="D333" s="11">
        <v>14853.088</v>
      </c>
      <c r="E333" s="11">
        <v>0</v>
      </c>
      <c r="F333" s="13">
        <f>SUMIF('OD 12-24'!A:A,A333,'OD 12-24'!D:D)</f>
        <v>70200</v>
      </c>
      <c r="G333" s="13">
        <f>SUMIF('OD 12-24'!A:A,A333,'OD 12-24'!E:E)</f>
        <v>59400</v>
      </c>
      <c r="H333" s="14">
        <f t="shared" si="10"/>
        <v>25653.088000000003</v>
      </c>
      <c r="I333" s="14">
        <f t="shared" si="11"/>
        <v>25653.088000000003</v>
      </c>
      <c r="J333" s="8" t="s">
        <v>157</v>
      </c>
      <c r="K333" s="8" t="s">
        <v>512</v>
      </c>
      <c r="M333" s="339"/>
      <c r="N333" s="315"/>
    </row>
    <row r="334" spans="1:14" s="9" customFormat="1" ht="11.25" customHeight="1" x14ac:dyDescent="0.2">
      <c r="A334" s="10">
        <v>68112000</v>
      </c>
      <c r="B334" s="10" t="s">
        <v>271</v>
      </c>
      <c r="C334" s="11">
        <v>0</v>
      </c>
      <c r="D334" s="11">
        <v>0</v>
      </c>
      <c r="E334" s="11">
        <v>0</v>
      </c>
      <c r="F334" s="13">
        <f>SUMIF('OD 12-24'!A:A,A334,'OD 12-24'!D:D)</f>
        <v>19155420.896000002</v>
      </c>
      <c r="G334" s="13">
        <f>SUMIF('OD 12-24'!A:A,A334,'OD 12-24'!E:E)</f>
        <v>16061293.588</v>
      </c>
      <c r="H334" s="14">
        <f t="shared" si="10"/>
        <v>3094127.3080000021</v>
      </c>
      <c r="I334" s="14">
        <f t="shared" si="11"/>
        <v>3094127.3080000021</v>
      </c>
      <c r="J334" s="8" t="s">
        <v>203</v>
      </c>
      <c r="K334" s="8" t="s">
        <v>7578</v>
      </c>
      <c r="M334" s="339"/>
      <c r="N334" s="315"/>
    </row>
    <row r="335" spans="1:14" s="9" customFormat="1" ht="11.25" customHeight="1" x14ac:dyDescent="0.2">
      <c r="A335" s="10">
        <v>68150000</v>
      </c>
      <c r="B335" s="10" t="s">
        <v>9481</v>
      </c>
      <c r="C335" s="11">
        <v>0</v>
      </c>
      <c r="D335" s="11">
        <v>0</v>
      </c>
      <c r="E335" s="11">
        <v>0</v>
      </c>
      <c r="F335" s="13">
        <f>SUMIF('OD 12-24'!A:A,A335,'OD 12-24'!D:D)</f>
        <v>540000</v>
      </c>
      <c r="G335" s="13">
        <f>SUMIF('OD 12-24'!A:A,A335,'OD 12-24'!E:E)</f>
        <v>420000</v>
      </c>
      <c r="H335" s="14">
        <f t="shared" si="10"/>
        <v>120000</v>
      </c>
      <c r="I335" s="14">
        <f t="shared" si="11"/>
        <v>120000</v>
      </c>
      <c r="J335" s="8" t="s">
        <v>7715</v>
      </c>
      <c r="K335" s="8" t="s">
        <v>7716</v>
      </c>
      <c r="M335" s="339"/>
      <c r="N335" s="315"/>
    </row>
    <row r="336" spans="1:14" s="9" customFormat="1" ht="11.25" customHeight="1" x14ac:dyDescent="0.2">
      <c r="A336" s="10">
        <v>68170000</v>
      </c>
      <c r="B336" s="10" t="s">
        <v>7577</v>
      </c>
      <c r="C336" s="11">
        <v>0</v>
      </c>
      <c r="D336" s="11">
        <v>0</v>
      </c>
      <c r="E336" s="11">
        <v>0</v>
      </c>
      <c r="F336" s="13">
        <f>SUMIF('OD 12-24'!A:A,A336,'OD 12-24'!D:D)</f>
        <v>4173988.5890000002</v>
      </c>
      <c r="G336" s="13">
        <f>SUMIF('OD 12-24'!A:A,A336,'OD 12-24'!E:E)</f>
        <v>3575000</v>
      </c>
      <c r="H336" s="14">
        <f t="shared" si="10"/>
        <v>598988.58900000015</v>
      </c>
      <c r="I336" s="14">
        <f t="shared" si="11"/>
        <v>598988.58900000015</v>
      </c>
      <c r="J336" s="8" t="s">
        <v>7715</v>
      </c>
      <c r="K336" s="8" t="s">
        <v>7716</v>
      </c>
      <c r="M336" s="339"/>
      <c r="N336" s="315"/>
    </row>
    <row r="337" spans="1:14" s="9" customFormat="1" ht="11.25" customHeight="1" x14ac:dyDescent="0.2">
      <c r="A337" s="10">
        <v>68180000</v>
      </c>
      <c r="B337" s="10" t="s">
        <v>8976</v>
      </c>
      <c r="C337" s="11">
        <v>0</v>
      </c>
      <c r="D337" s="11">
        <v>0</v>
      </c>
      <c r="E337" s="11">
        <v>0</v>
      </c>
      <c r="F337" s="13">
        <f>SUMIF('OD 12-24'!A:A,A337,'OD 12-24'!D:D)</f>
        <v>2900187.3220000002</v>
      </c>
      <c r="G337" s="13">
        <f>SUMIF('OD 12-24'!A:A,A337,'OD 12-24'!E:E)</f>
        <v>2402431.1340000001</v>
      </c>
      <c r="H337" s="14">
        <f t="shared" si="10"/>
        <v>497756.18800000008</v>
      </c>
      <c r="I337" s="14">
        <f t="shared" si="11"/>
        <v>497756.18800000008</v>
      </c>
      <c r="J337" s="8" t="s">
        <v>7715</v>
      </c>
      <c r="K337" s="8" t="s">
        <v>7716</v>
      </c>
      <c r="M337" s="339"/>
      <c r="N337" s="315"/>
    </row>
    <row r="338" spans="1:14" s="9" customFormat="1" ht="11.25" customHeight="1" x14ac:dyDescent="0.2">
      <c r="A338" s="10">
        <v>70000000</v>
      </c>
      <c r="B338" s="10" t="s">
        <v>205</v>
      </c>
      <c r="C338" s="11">
        <v>0</v>
      </c>
      <c r="D338" s="11">
        <v>2461421.327</v>
      </c>
      <c r="E338" s="11">
        <v>16708605.272</v>
      </c>
      <c r="F338" s="13">
        <f>SUMIF('OD 12-24'!A:A,A338,'OD 12-24'!D:D)</f>
        <v>3068854.2719999999</v>
      </c>
      <c r="G338" s="13">
        <f>SUMIF('OD 12-24'!A:A,A338,'OD 12-24'!E:E)</f>
        <v>3068854.2719999999</v>
      </c>
      <c r="H338" s="14">
        <f t="shared" si="10"/>
        <v>-14247183.945</v>
      </c>
      <c r="I338" s="14">
        <f t="shared" si="11"/>
        <v>-14247183.945</v>
      </c>
      <c r="J338" s="8" t="s">
        <v>206</v>
      </c>
      <c r="K338" s="8" t="s">
        <v>505</v>
      </c>
      <c r="M338" s="339"/>
      <c r="N338" s="315"/>
    </row>
    <row r="339" spans="1:14" s="9" customFormat="1" ht="11.25" customHeight="1" x14ac:dyDescent="0.2">
      <c r="A339" s="10">
        <v>70102000</v>
      </c>
      <c r="B339" s="10" t="s">
        <v>207</v>
      </c>
      <c r="C339" s="11">
        <v>0</v>
      </c>
      <c r="D339" s="11">
        <v>211188.95200000002</v>
      </c>
      <c r="E339" s="11">
        <v>22992856.235999998</v>
      </c>
      <c r="F339" s="13">
        <f>SUMIF('OD 12-24'!A:A,A339,'OD 12-24'!D:D)</f>
        <v>3757277.7850000001</v>
      </c>
      <c r="G339" s="13">
        <f>SUMIF('OD 12-24'!A:A,A339,'OD 12-24'!E:E)</f>
        <v>3757277.7850000001</v>
      </c>
      <c r="H339" s="14">
        <f t="shared" si="10"/>
        <v>-22781667.283999998</v>
      </c>
      <c r="I339" s="14">
        <f t="shared" si="11"/>
        <v>-22781667.283999998</v>
      </c>
      <c r="J339" s="8" t="s">
        <v>227</v>
      </c>
      <c r="K339" s="8" t="s">
        <v>504</v>
      </c>
      <c r="M339" s="339"/>
      <c r="N339" s="315"/>
    </row>
    <row r="340" spans="1:14" s="9" customFormat="1" ht="11.25" customHeight="1" x14ac:dyDescent="0.2">
      <c r="A340" s="10">
        <v>70103000</v>
      </c>
      <c r="B340" s="10" t="s">
        <v>380</v>
      </c>
      <c r="C340" s="11">
        <v>0</v>
      </c>
      <c r="D340" s="11">
        <v>0</v>
      </c>
      <c r="E340" s="11">
        <v>4065</v>
      </c>
      <c r="F340" s="13">
        <f>SUMIF('OD 12-24'!A:A,A340,'OD 12-24'!D:D)</f>
        <v>0</v>
      </c>
      <c r="G340" s="13">
        <f>SUMIF('OD 12-24'!A:A,A340,'OD 12-24'!E:E)</f>
        <v>0</v>
      </c>
      <c r="H340" s="14">
        <f t="shared" si="10"/>
        <v>-4065</v>
      </c>
      <c r="I340" s="14">
        <f t="shared" si="11"/>
        <v>-4065</v>
      </c>
      <c r="J340" s="8" t="s">
        <v>206</v>
      </c>
      <c r="K340" s="8" t="s">
        <v>505</v>
      </c>
      <c r="M340" s="339"/>
      <c r="N340" s="315"/>
    </row>
    <row r="341" spans="1:14" s="9" customFormat="1" ht="11.25" customHeight="1" x14ac:dyDescent="0.2">
      <c r="A341" s="465">
        <v>70600000</v>
      </c>
      <c r="B341" s="465" t="s">
        <v>381</v>
      </c>
      <c r="C341" s="16">
        <v>0</v>
      </c>
      <c r="D341" s="16">
        <v>83709.7</v>
      </c>
      <c r="E341" s="16">
        <v>477844.52500000002</v>
      </c>
      <c r="F341" s="466">
        <f>SUMIF('OD 12-24'!A:A,A341,'OD 12-24'!D:D)</f>
        <v>736589.96799999999</v>
      </c>
      <c r="G341" s="466">
        <f>SUMIF('OD 12-24'!A:A,A341,'OD 12-24'!E:E)</f>
        <v>736589.96799999999</v>
      </c>
      <c r="H341" s="467">
        <f t="shared" si="10"/>
        <v>-394134.82500000007</v>
      </c>
      <c r="I341" s="467">
        <f t="shared" si="11"/>
        <v>-394134.82500000007</v>
      </c>
      <c r="J341" s="8" t="s">
        <v>214</v>
      </c>
      <c r="K341" s="8" t="s">
        <v>506</v>
      </c>
      <c r="M341" s="339"/>
      <c r="N341" s="315"/>
    </row>
    <row r="342" spans="1:14" s="9" customFormat="1" ht="11.25" customHeight="1" x14ac:dyDescent="0.2">
      <c r="A342" s="10">
        <v>70600100</v>
      </c>
      <c r="B342" s="10" t="s">
        <v>7574</v>
      </c>
      <c r="C342" s="11">
        <v>0</v>
      </c>
      <c r="D342" s="11">
        <v>0</v>
      </c>
      <c r="E342" s="11">
        <v>4972.8629999999994</v>
      </c>
      <c r="F342" s="13">
        <f>SUMIF('OD 12-24'!A:A,A342,'OD 12-24'!D:D)</f>
        <v>0</v>
      </c>
      <c r="G342" s="13">
        <f>SUMIF('OD 12-24'!A:A,A342,'OD 12-24'!E:E)</f>
        <v>0</v>
      </c>
      <c r="H342" s="14">
        <f t="shared" si="10"/>
        <v>-4972.8629999999994</v>
      </c>
      <c r="I342" s="14">
        <f t="shared" si="11"/>
        <v>-4972.8629999999994</v>
      </c>
      <c r="J342" s="8" t="s">
        <v>214</v>
      </c>
      <c r="K342" s="8" t="s">
        <v>506</v>
      </c>
      <c r="M342" s="339"/>
      <c r="N342" s="315"/>
    </row>
    <row r="343" spans="1:14" s="9" customFormat="1" ht="11.25" customHeight="1" x14ac:dyDescent="0.2">
      <c r="A343" s="10">
        <v>70600500</v>
      </c>
      <c r="B343" s="10" t="s">
        <v>208</v>
      </c>
      <c r="C343" s="11">
        <v>0</v>
      </c>
      <c r="D343" s="11">
        <v>38770.517999999996</v>
      </c>
      <c r="E343" s="11">
        <v>60430.23</v>
      </c>
      <c r="F343" s="13">
        <f>SUMIF('OD 12-24'!A:A,A343,'OD 12-24'!D:D)</f>
        <v>99340.785000000003</v>
      </c>
      <c r="G343" s="13">
        <f>SUMIF('OD 12-24'!A:A,A343,'OD 12-24'!E:E)</f>
        <v>119622.38099999999</v>
      </c>
      <c r="H343" s="14">
        <f t="shared" si="10"/>
        <v>-41941.30799999999</v>
      </c>
      <c r="I343" s="14">
        <f t="shared" si="11"/>
        <v>-41941.30799999999</v>
      </c>
      <c r="J343" s="8" t="s">
        <v>214</v>
      </c>
      <c r="K343" s="8" t="s">
        <v>506</v>
      </c>
      <c r="M343" s="339"/>
      <c r="N343" s="315"/>
    </row>
    <row r="344" spans="1:14" s="9" customFormat="1" ht="11.25" customHeight="1" x14ac:dyDescent="0.2">
      <c r="A344" s="10">
        <v>71340000</v>
      </c>
      <c r="B344" s="10" t="s">
        <v>382</v>
      </c>
      <c r="C344" s="11">
        <v>0</v>
      </c>
      <c r="D344" s="11">
        <v>744393.83599999989</v>
      </c>
      <c r="E344" s="11">
        <v>0</v>
      </c>
      <c r="F344" s="13">
        <f>SUMIF('OD 12-24'!A:A,A344,'OD 12-24'!D:D)</f>
        <v>2233181.5079999999</v>
      </c>
      <c r="G344" s="13">
        <f>SUMIF('OD 12-24'!A:A,A344,'OD 12-24'!E:E)</f>
        <v>2233181.5079999999</v>
      </c>
      <c r="H344" s="14">
        <f t="shared" si="10"/>
        <v>744393.83599999966</v>
      </c>
      <c r="I344" s="14">
        <f t="shared" si="11"/>
        <v>744393.83599999966</v>
      </c>
      <c r="J344" s="8" t="s">
        <v>210</v>
      </c>
      <c r="K344" s="8" t="s">
        <v>508</v>
      </c>
      <c r="M344" s="339"/>
      <c r="N344" s="315"/>
    </row>
    <row r="345" spans="1:14" s="9" customFormat="1" ht="11.25" customHeight="1" x14ac:dyDescent="0.2">
      <c r="A345" s="10">
        <v>71350000</v>
      </c>
      <c r="B345" s="10" t="s">
        <v>209</v>
      </c>
      <c r="C345" s="11">
        <v>0</v>
      </c>
      <c r="D345" s="11">
        <v>5109884.3080000002</v>
      </c>
      <c r="E345" s="11">
        <v>0</v>
      </c>
      <c r="F345" s="13">
        <f>SUMIF('OD 12-24'!A:A,A345,'OD 12-24'!D:D)</f>
        <v>72751442.067399994</v>
      </c>
      <c r="G345" s="13">
        <f>SUMIF('OD 12-24'!A:A,A345,'OD 12-24'!E:E)</f>
        <v>79106071.691400006</v>
      </c>
      <c r="H345" s="14">
        <f t="shared" si="10"/>
        <v>-1244745.3160000145</v>
      </c>
      <c r="I345" s="14">
        <f t="shared" si="11"/>
        <v>-1244745.3160000145</v>
      </c>
      <c r="J345" s="8" t="s">
        <v>210</v>
      </c>
      <c r="K345" s="8" t="s">
        <v>508</v>
      </c>
      <c r="M345" s="339"/>
      <c r="N345" s="315"/>
    </row>
    <row r="346" spans="1:14" s="9" customFormat="1" ht="11.25" customHeight="1" x14ac:dyDescent="0.2">
      <c r="A346" s="10">
        <v>73601000</v>
      </c>
      <c r="B346" s="10" t="s">
        <v>211</v>
      </c>
      <c r="C346" s="11">
        <v>0</v>
      </c>
      <c r="D346" s="11">
        <v>0</v>
      </c>
      <c r="E346" s="11">
        <v>74991.596999999994</v>
      </c>
      <c r="F346" s="13">
        <f>SUMIF('OD 12-24'!A:A,A346,'OD 12-24'!D:D)</f>
        <v>0</v>
      </c>
      <c r="G346" s="13">
        <f>SUMIF('OD 12-24'!A:A,A346,'OD 12-24'!E:E)</f>
        <v>0</v>
      </c>
      <c r="H346" s="14">
        <f t="shared" si="10"/>
        <v>-74991.596999999994</v>
      </c>
      <c r="I346" s="14">
        <f t="shared" si="11"/>
        <v>-74991.596999999994</v>
      </c>
      <c r="J346" s="8" t="s">
        <v>214</v>
      </c>
      <c r="K346" s="8" t="s">
        <v>506</v>
      </c>
      <c r="M346" s="339"/>
      <c r="N346" s="315"/>
    </row>
    <row r="347" spans="1:14" s="9" customFormat="1" ht="11.25" customHeight="1" x14ac:dyDescent="0.2">
      <c r="A347" s="10">
        <v>73602000</v>
      </c>
      <c r="B347" s="10" t="s">
        <v>8975</v>
      </c>
      <c r="C347" s="11">
        <v>0</v>
      </c>
      <c r="D347" s="11">
        <v>0</v>
      </c>
      <c r="E347" s="11">
        <v>180</v>
      </c>
      <c r="F347" s="13">
        <f>SUMIF('OD 12-24'!A:A,A347,'OD 12-24'!D:D)</f>
        <v>0</v>
      </c>
      <c r="G347" s="13">
        <f>SUMIF('OD 12-24'!A:A,A347,'OD 12-24'!E:E)</f>
        <v>0</v>
      </c>
      <c r="H347" s="14">
        <f t="shared" si="10"/>
        <v>-180</v>
      </c>
      <c r="I347" s="14">
        <f t="shared" si="11"/>
        <v>-180</v>
      </c>
      <c r="J347" s="8" t="s">
        <v>214</v>
      </c>
      <c r="K347" s="8" t="s">
        <v>506</v>
      </c>
      <c r="M347" s="339"/>
      <c r="N347" s="315"/>
    </row>
    <row r="348" spans="1:14" s="9" customFormat="1" ht="11.25" customHeight="1" x14ac:dyDescent="0.2">
      <c r="A348" s="10">
        <v>73900000</v>
      </c>
      <c r="B348" s="10" t="s">
        <v>213</v>
      </c>
      <c r="C348" s="11">
        <v>0</v>
      </c>
      <c r="D348" s="11">
        <v>0</v>
      </c>
      <c r="E348" s="11">
        <v>0</v>
      </c>
      <c r="F348" s="13">
        <f>SUMIF('OD 12-24'!A:A,A348,'OD 12-24'!D:D)</f>
        <v>1338639.6599999999</v>
      </c>
      <c r="G348" s="13">
        <f>SUMIF('OD 12-24'!A:A,A348,'OD 12-24'!E:E)</f>
        <v>1582028.689</v>
      </c>
      <c r="H348" s="14">
        <f>+D348+F348-E348-G348</f>
        <v>-243389.0290000001</v>
      </c>
      <c r="I348" s="14">
        <f>+H348+C348</f>
        <v>-243389.0290000001</v>
      </c>
      <c r="J348" s="8" t="s">
        <v>214</v>
      </c>
      <c r="K348" s="8" t="s">
        <v>506</v>
      </c>
      <c r="M348" s="339"/>
      <c r="N348" s="315"/>
    </row>
    <row r="349" spans="1:14" s="9" customFormat="1" ht="11.25" customHeight="1" x14ac:dyDescent="0.2">
      <c r="A349" s="10">
        <v>74100000</v>
      </c>
      <c r="B349" s="10" t="s">
        <v>8980</v>
      </c>
      <c r="C349" s="11">
        <v>0</v>
      </c>
      <c r="D349" s="11">
        <v>0</v>
      </c>
      <c r="E349" s="11">
        <v>5128.4340000000002</v>
      </c>
      <c r="F349" s="13">
        <f>SUMIF('OD 12-24'!A:A,A349,'OD 12-24'!D:D)</f>
        <v>0</v>
      </c>
      <c r="G349" s="13">
        <f>SUMIF('OD 12-24'!A:A,A349,'OD 12-24'!E:E)</f>
        <v>0</v>
      </c>
      <c r="H349" s="14">
        <f>+D349+F349-E349-G349</f>
        <v>-5128.4340000000002</v>
      </c>
      <c r="I349" s="14">
        <f>+H349+C349</f>
        <v>-5128.4340000000002</v>
      </c>
      <c r="J349" s="8" t="s">
        <v>214</v>
      </c>
      <c r="K349" s="8" t="s">
        <v>506</v>
      </c>
      <c r="M349" s="339"/>
      <c r="N349" s="315"/>
    </row>
    <row r="350" spans="1:14" s="9" customFormat="1" ht="11.25" customHeight="1" x14ac:dyDescent="0.2">
      <c r="A350" s="10">
        <v>75000000</v>
      </c>
      <c r="B350" s="10" t="s">
        <v>7575</v>
      </c>
      <c r="C350" s="11">
        <v>0</v>
      </c>
      <c r="D350" s="11">
        <v>0</v>
      </c>
      <c r="E350" s="11">
        <v>1043.3700000000001</v>
      </c>
      <c r="F350" s="13">
        <f>SUMIF('OD 12-24'!A:A,A350,'OD 12-24'!D:D)</f>
        <v>0</v>
      </c>
      <c r="G350" s="13">
        <f>SUMIF('OD 12-24'!A:A,A350,'OD 12-24'!E:E)</f>
        <v>0</v>
      </c>
      <c r="H350" s="14">
        <f t="shared" si="10"/>
        <v>-1043.3700000000001</v>
      </c>
      <c r="I350" s="14">
        <f t="shared" si="11"/>
        <v>-1043.3700000000001</v>
      </c>
      <c r="J350" s="8" t="s">
        <v>195</v>
      </c>
      <c r="K350" s="8" t="s">
        <v>517</v>
      </c>
      <c r="M350" s="339"/>
      <c r="N350" s="315"/>
    </row>
    <row r="351" spans="1:14" s="9" customFormat="1" ht="11.25" customHeight="1" x14ac:dyDescent="0.2">
      <c r="A351" s="10">
        <v>75600000</v>
      </c>
      <c r="B351" s="10" t="s">
        <v>215</v>
      </c>
      <c r="C351" s="11">
        <v>0</v>
      </c>
      <c r="D351" s="11">
        <v>1E-3</v>
      </c>
      <c r="E351" s="11">
        <v>11478.505000000001</v>
      </c>
      <c r="F351" s="13">
        <f>SUMIF('OD 12-24'!A:A,A351,'OD 12-24'!D:D)</f>
        <v>107855.012</v>
      </c>
      <c r="G351" s="13">
        <f>SUMIF('OD 12-24'!A:A,A351,'OD 12-24'!E:E)</f>
        <v>81243.839999999997</v>
      </c>
      <c r="H351" s="14">
        <f t="shared" si="10"/>
        <v>15132.668000000005</v>
      </c>
      <c r="I351" s="14">
        <f t="shared" si="11"/>
        <v>15132.668000000005</v>
      </c>
      <c r="J351" s="8" t="s">
        <v>195</v>
      </c>
      <c r="K351" s="8" t="s">
        <v>517</v>
      </c>
      <c r="M351" s="339"/>
      <c r="N351" s="315"/>
    </row>
    <row r="352" spans="1:14" s="9" customFormat="1" ht="11.25" customHeight="1" x14ac:dyDescent="0.2">
      <c r="A352" s="10">
        <v>77000000</v>
      </c>
      <c r="B352" s="10" t="s">
        <v>216</v>
      </c>
      <c r="C352" s="11">
        <v>0</v>
      </c>
      <c r="D352" s="11">
        <v>0</v>
      </c>
      <c r="E352" s="11">
        <v>1</v>
      </c>
      <c r="F352" s="13">
        <f>SUMIF('OD 12-24'!A:A,A352,'OD 12-24'!D:D)</f>
        <v>0</v>
      </c>
      <c r="G352" s="13">
        <f>SUMIF('OD 12-24'!A:A,A352,'OD 12-24'!E:E)</f>
        <v>0</v>
      </c>
      <c r="H352" s="14">
        <f t="shared" si="10"/>
        <v>-1</v>
      </c>
      <c r="I352" s="14">
        <f t="shared" si="11"/>
        <v>-1</v>
      </c>
      <c r="J352" s="8" t="s">
        <v>212</v>
      </c>
      <c r="K352" s="8" t="s">
        <v>518</v>
      </c>
      <c r="M352" s="339"/>
      <c r="N352" s="315"/>
    </row>
    <row r="353" spans="1:14" s="9" customFormat="1" ht="11.25" customHeight="1" x14ac:dyDescent="0.2">
      <c r="A353" s="10">
        <v>78000000</v>
      </c>
      <c r="B353" s="10" t="s">
        <v>7576</v>
      </c>
      <c r="C353" s="11">
        <v>0</v>
      </c>
      <c r="D353" s="11">
        <v>0</v>
      </c>
      <c r="E353" s="11">
        <v>59797.479000000007</v>
      </c>
      <c r="F353" s="13">
        <f>SUMIF('OD 12-24'!A:A,A353,'OD 12-24'!D:D)</f>
        <v>0</v>
      </c>
      <c r="G353" s="13">
        <f>SUMIF('OD 12-24'!A:A,A353,'OD 12-24'!E:E)</f>
        <v>0</v>
      </c>
      <c r="H353" s="14">
        <f t="shared" si="10"/>
        <v>-59797.479000000007</v>
      </c>
      <c r="I353" s="14">
        <f t="shared" si="11"/>
        <v>-59797.479000000007</v>
      </c>
      <c r="J353" s="8" t="s">
        <v>7715</v>
      </c>
      <c r="K353" s="8" t="s">
        <v>7716</v>
      </c>
      <c r="M353" s="339"/>
      <c r="N353" s="315"/>
    </row>
    <row r="354" spans="1:14" s="9" customFormat="1" ht="11.25" customHeight="1" x14ac:dyDescent="0.2">
      <c r="A354" s="10">
        <v>79999999</v>
      </c>
      <c r="B354" s="10" t="s">
        <v>383</v>
      </c>
      <c r="C354" s="11">
        <v>-2.6040943339467049E-4</v>
      </c>
      <c r="D354" s="11">
        <v>0</v>
      </c>
      <c r="E354" s="11">
        <v>0</v>
      </c>
      <c r="F354" s="13">
        <f>SUMIF('OD 12-24'!A:A,A354,'OD 12-24'!D:D)</f>
        <v>0</v>
      </c>
      <c r="G354" s="13">
        <f>SUMIF('OD 12-24'!A:A,A354,'OD 12-24'!E:E)</f>
        <v>0</v>
      </c>
      <c r="H354" s="14">
        <f t="shared" si="10"/>
        <v>0</v>
      </c>
      <c r="I354" s="14">
        <f t="shared" si="11"/>
        <v>-2.6040943339467049E-4</v>
      </c>
      <c r="J354" s="8"/>
      <c r="K354" s="8"/>
      <c r="M354" s="339"/>
      <c r="N354" s="315"/>
    </row>
    <row r="355" spans="1:14" ht="15" customHeight="1" x14ac:dyDescent="0.25">
      <c r="C355" s="344">
        <f>SUM(C3:C354)</f>
        <v>2.0954757928848267E-8</v>
      </c>
      <c r="D355" s="344">
        <f t="shared" ref="D355:I355" si="12">SUM(D3:D354)</f>
        <v>274143195.1008755</v>
      </c>
      <c r="E355" s="344">
        <f t="shared" si="12"/>
        <v>274143195.10087544</v>
      </c>
      <c r="F355" s="344">
        <f t="shared" si="12"/>
        <v>608294013.15500033</v>
      </c>
      <c r="G355" s="344">
        <f t="shared" si="12"/>
        <v>608205468.72900009</v>
      </c>
      <c r="H355" s="344">
        <f t="shared" si="12"/>
        <v>88544.425999958112</v>
      </c>
      <c r="I355" s="344">
        <f t="shared" si="12"/>
        <v>88544.425999991174</v>
      </c>
      <c r="L355" s="9"/>
      <c r="M355" s="339"/>
      <c r="N355" s="315"/>
    </row>
    <row r="356" spans="1:14" x14ac:dyDescent="0.25">
      <c r="L356" s="9"/>
      <c r="M356" s="339"/>
    </row>
  </sheetData>
  <autoFilter ref="A2:K355" xr:uid="{00000000-0009-0000-0000-000028000000}"/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K338"/>
  <sheetViews>
    <sheetView workbookViewId="0">
      <pane ySplit="1" topLeftCell="A274" activePane="bottomLeft" state="frozen"/>
      <selection activeCell="I47" sqref="I47"/>
      <selection pane="bottomLeft" activeCell="I47" sqref="I47"/>
    </sheetView>
  </sheetViews>
  <sheetFormatPr baseColWidth="10" defaultColWidth="11.42578125" defaultRowHeight="11.25" x14ac:dyDescent="0.2"/>
  <cols>
    <col min="1" max="1" width="14.42578125" style="302" bestFit="1" customWidth="1"/>
    <col min="2" max="2" width="23.7109375" style="302" bestFit="1" customWidth="1"/>
    <col min="3" max="3" width="15.140625" style="305" bestFit="1" customWidth="1"/>
    <col min="4" max="5" width="13.28515625" style="305" bestFit="1" customWidth="1"/>
    <col min="6" max="7" width="14.42578125" style="305" bestFit="1" customWidth="1"/>
    <col min="8" max="8" width="13.140625" style="305" bestFit="1" customWidth="1"/>
    <col min="9" max="9" width="13.28515625" style="305" bestFit="1" customWidth="1"/>
    <col min="10" max="10" width="25" style="302" customWidth="1"/>
    <col min="11" max="16384" width="11.42578125" style="302"/>
  </cols>
  <sheetData>
    <row r="1" spans="1:11" x14ac:dyDescent="0.2">
      <c r="A1" s="6"/>
      <c r="B1" s="6"/>
      <c r="C1" s="7"/>
      <c r="D1" s="7"/>
      <c r="E1" s="7"/>
      <c r="F1" s="7"/>
      <c r="G1" s="7"/>
      <c r="H1" s="7"/>
      <c r="I1" s="7"/>
      <c r="J1" s="6"/>
    </row>
    <row r="2" spans="1:11" x14ac:dyDescent="0.2">
      <c r="A2" s="10" t="s">
        <v>1</v>
      </c>
      <c r="B2" s="10" t="s">
        <v>0</v>
      </c>
      <c r="C2" s="11" t="s">
        <v>5</v>
      </c>
      <c r="D2" s="11" t="s">
        <v>2</v>
      </c>
      <c r="E2" s="11" t="s">
        <v>260</v>
      </c>
      <c r="F2" s="13" t="s">
        <v>218</v>
      </c>
      <c r="G2" s="13" t="s">
        <v>219</v>
      </c>
      <c r="H2" s="14" t="s">
        <v>6</v>
      </c>
      <c r="I2" s="14" t="s">
        <v>217</v>
      </c>
      <c r="J2" s="8" t="s">
        <v>384</v>
      </c>
    </row>
    <row r="3" spans="1:11" x14ac:dyDescent="0.2">
      <c r="A3" s="10">
        <v>10100000</v>
      </c>
      <c r="B3" s="10" t="s">
        <v>7</v>
      </c>
      <c r="C3" s="11">
        <v>-13500000</v>
      </c>
      <c r="D3" s="11">
        <v>0</v>
      </c>
      <c r="E3" s="11">
        <v>0</v>
      </c>
      <c r="F3" s="13">
        <v>0</v>
      </c>
      <c r="G3" s="13">
        <v>0</v>
      </c>
      <c r="H3" s="14">
        <v>0</v>
      </c>
      <c r="I3" s="14">
        <v>-13500000</v>
      </c>
      <c r="J3" s="8" t="s">
        <v>8</v>
      </c>
      <c r="K3" s="8"/>
    </row>
    <row r="4" spans="1:11" x14ac:dyDescent="0.2">
      <c r="A4" s="10">
        <v>11101000</v>
      </c>
      <c r="B4" s="10" t="s">
        <v>9</v>
      </c>
      <c r="C4" s="11">
        <v>-1200000</v>
      </c>
      <c r="D4" s="11">
        <v>0</v>
      </c>
      <c r="E4" s="11">
        <v>0</v>
      </c>
      <c r="F4" s="13">
        <v>0</v>
      </c>
      <c r="G4" s="13">
        <v>0</v>
      </c>
      <c r="H4" s="14">
        <v>0</v>
      </c>
      <c r="I4" s="14">
        <v>-1200000</v>
      </c>
      <c r="J4" s="8" t="s">
        <v>10</v>
      </c>
      <c r="K4" s="8"/>
    </row>
    <row r="5" spans="1:11" x14ac:dyDescent="0.2">
      <c r="A5" s="10">
        <v>12100000</v>
      </c>
      <c r="B5" s="10" t="s">
        <v>11</v>
      </c>
      <c r="C5" s="11">
        <v>-17992372.004645001</v>
      </c>
      <c r="D5" s="11">
        <v>0</v>
      </c>
      <c r="E5" s="11">
        <v>0</v>
      </c>
      <c r="F5" s="13">
        <v>0</v>
      </c>
      <c r="G5" s="13">
        <v>0</v>
      </c>
      <c r="H5" s="14">
        <v>0</v>
      </c>
      <c r="I5" s="14">
        <v>-17992372.004645001</v>
      </c>
      <c r="J5" s="8" t="s">
        <v>12</v>
      </c>
      <c r="K5" s="8"/>
    </row>
    <row r="6" spans="1:11" x14ac:dyDescent="0.2">
      <c r="A6" s="10">
        <v>12200000</v>
      </c>
      <c r="B6" s="10" t="s">
        <v>272</v>
      </c>
      <c r="C6" s="11">
        <v>0</v>
      </c>
      <c r="D6" s="11">
        <v>0</v>
      </c>
      <c r="E6" s="11">
        <v>0</v>
      </c>
      <c r="F6" s="13">
        <v>0</v>
      </c>
      <c r="G6" s="13">
        <v>0</v>
      </c>
      <c r="H6" s="14">
        <v>0</v>
      </c>
      <c r="I6" s="14">
        <v>0</v>
      </c>
      <c r="J6" s="8"/>
      <c r="K6" s="8"/>
    </row>
    <row r="7" spans="1:11" x14ac:dyDescent="0.2">
      <c r="A7" s="10">
        <v>12800000</v>
      </c>
      <c r="B7" s="10" t="s">
        <v>13</v>
      </c>
      <c r="C7" s="11">
        <v>3022190.1950000003</v>
      </c>
      <c r="D7" s="11">
        <v>0</v>
      </c>
      <c r="E7" s="11">
        <v>0</v>
      </c>
      <c r="F7" s="13">
        <v>0</v>
      </c>
      <c r="G7" s="13">
        <v>0</v>
      </c>
      <c r="H7" s="14">
        <v>0</v>
      </c>
      <c r="I7" s="14">
        <v>3022190.1950000003</v>
      </c>
      <c r="J7" s="8" t="s">
        <v>14</v>
      </c>
      <c r="K7" s="8"/>
    </row>
    <row r="8" spans="1:11" x14ac:dyDescent="0.2">
      <c r="A8" s="10">
        <v>13000000</v>
      </c>
      <c r="B8" s="10" t="s">
        <v>273</v>
      </c>
      <c r="C8" s="11">
        <v>0</v>
      </c>
      <c r="D8" s="11">
        <v>0</v>
      </c>
      <c r="E8" s="11">
        <v>0</v>
      </c>
      <c r="F8" s="13">
        <v>0</v>
      </c>
      <c r="G8" s="13">
        <v>0</v>
      </c>
      <c r="H8" s="14">
        <v>0</v>
      </c>
      <c r="I8" s="14">
        <v>0</v>
      </c>
      <c r="J8" s="8"/>
      <c r="K8" s="8"/>
    </row>
    <row r="9" spans="1:11" x14ac:dyDescent="0.2">
      <c r="A9" s="10">
        <v>14500000</v>
      </c>
      <c r="B9" s="10" t="s">
        <v>15</v>
      </c>
      <c r="C9" s="11">
        <v>-3479108.84</v>
      </c>
      <c r="D9" s="11">
        <v>0</v>
      </c>
      <c r="E9" s="11">
        <v>0</v>
      </c>
      <c r="F9" s="13">
        <v>0</v>
      </c>
      <c r="G9" s="13">
        <v>0</v>
      </c>
      <c r="H9" s="14">
        <v>0</v>
      </c>
      <c r="I9" s="14">
        <v>-3479108.84</v>
      </c>
      <c r="J9" s="8" t="s">
        <v>16</v>
      </c>
      <c r="K9" s="8"/>
    </row>
    <row r="10" spans="1:11" x14ac:dyDescent="0.2">
      <c r="A10" s="10">
        <v>14508000</v>
      </c>
      <c r="B10" s="10" t="s">
        <v>17</v>
      </c>
      <c r="C10" s="11">
        <v>2519725.9849999999</v>
      </c>
      <c r="D10" s="11">
        <v>0</v>
      </c>
      <c r="E10" s="11">
        <v>0</v>
      </c>
      <c r="F10" s="13">
        <v>21896.933000000001</v>
      </c>
      <c r="G10" s="13">
        <v>0</v>
      </c>
      <c r="H10" s="14">
        <v>21896.933000000001</v>
      </c>
      <c r="I10" s="14">
        <v>2541622.9180000001</v>
      </c>
      <c r="J10" s="8" t="s">
        <v>18</v>
      </c>
      <c r="K10" s="8"/>
    </row>
    <row r="11" spans="1:11" x14ac:dyDescent="0.2">
      <c r="A11" s="10">
        <v>15100000</v>
      </c>
      <c r="B11" s="10" t="s">
        <v>19</v>
      </c>
      <c r="C11" s="11">
        <v>-231535.016</v>
      </c>
      <c r="D11" s="11">
        <v>0</v>
      </c>
      <c r="E11" s="11">
        <v>0</v>
      </c>
      <c r="F11" s="13">
        <v>0</v>
      </c>
      <c r="G11" s="13">
        <v>0</v>
      </c>
      <c r="H11" s="14">
        <v>0</v>
      </c>
      <c r="I11" s="14">
        <v>-231535.016</v>
      </c>
      <c r="J11" s="8" t="s">
        <v>20</v>
      </c>
      <c r="K11" s="8"/>
    </row>
    <row r="12" spans="1:11" x14ac:dyDescent="0.2">
      <c r="A12" s="10">
        <v>16210250</v>
      </c>
      <c r="B12" s="10" t="s">
        <v>274</v>
      </c>
      <c r="C12" s="11">
        <v>0</v>
      </c>
      <c r="D12" s="11">
        <v>0</v>
      </c>
      <c r="E12" s="11">
        <v>0</v>
      </c>
      <c r="F12" s="13">
        <v>0</v>
      </c>
      <c r="G12" s="13">
        <v>0</v>
      </c>
      <c r="H12" s="14">
        <v>0</v>
      </c>
      <c r="I12" s="14">
        <v>0</v>
      </c>
      <c r="J12" s="8"/>
      <c r="K12" s="8"/>
    </row>
    <row r="13" spans="1:11" x14ac:dyDescent="0.2">
      <c r="A13" s="10">
        <v>16210500</v>
      </c>
      <c r="B13" s="10" t="s">
        <v>21</v>
      </c>
      <c r="C13" s="11">
        <v>-2041666.6629999988</v>
      </c>
      <c r="D13" s="11">
        <v>0</v>
      </c>
      <c r="E13" s="11">
        <v>0</v>
      </c>
      <c r="F13" s="13">
        <v>0</v>
      </c>
      <c r="G13" s="13">
        <v>0</v>
      </c>
      <c r="H13" s="14">
        <v>0</v>
      </c>
      <c r="I13" s="14">
        <v>-2041666.6629999988</v>
      </c>
      <c r="J13" s="8" t="s">
        <v>22</v>
      </c>
      <c r="K13" s="8"/>
    </row>
    <row r="14" spans="1:11" x14ac:dyDescent="0.2">
      <c r="A14" s="10">
        <v>16210960</v>
      </c>
      <c r="B14" s="10" t="s">
        <v>275</v>
      </c>
      <c r="C14" s="11">
        <v>0</v>
      </c>
      <c r="D14" s="11">
        <v>0</v>
      </c>
      <c r="E14" s="11">
        <v>0</v>
      </c>
      <c r="F14" s="13">
        <v>0</v>
      </c>
      <c r="G14" s="13">
        <v>0</v>
      </c>
      <c r="H14" s="14">
        <v>0</v>
      </c>
      <c r="I14" s="14">
        <v>0</v>
      </c>
      <c r="J14" s="8"/>
      <c r="K14" s="8"/>
    </row>
    <row r="15" spans="1:11" x14ac:dyDescent="0.2">
      <c r="A15" s="10">
        <v>16400000</v>
      </c>
      <c r="B15" s="10" t="s">
        <v>276</v>
      </c>
      <c r="C15" s="11">
        <v>-235466.95700000023</v>
      </c>
      <c r="D15" s="11">
        <v>0</v>
      </c>
      <c r="E15" s="11">
        <v>0</v>
      </c>
      <c r="F15" s="13">
        <v>0</v>
      </c>
      <c r="G15" s="13">
        <v>0</v>
      </c>
      <c r="H15" s="14">
        <v>0</v>
      </c>
      <c r="I15" s="14">
        <v>-235466.95700000023</v>
      </c>
      <c r="J15" s="8" t="s">
        <v>22</v>
      </c>
      <c r="K15" s="8"/>
    </row>
    <row r="16" spans="1:11" x14ac:dyDescent="0.2">
      <c r="A16" s="10">
        <v>18800000</v>
      </c>
      <c r="B16" s="10" t="s">
        <v>23</v>
      </c>
      <c r="C16" s="11">
        <v>0</v>
      </c>
      <c r="D16" s="11">
        <v>0</v>
      </c>
      <c r="E16" s="11">
        <v>0</v>
      </c>
      <c r="F16" s="13">
        <v>0</v>
      </c>
      <c r="G16" s="13">
        <v>0</v>
      </c>
      <c r="H16" s="14">
        <v>0</v>
      </c>
      <c r="I16" s="14">
        <v>0</v>
      </c>
      <c r="J16" s="8"/>
      <c r="K16" s="8"/>
    </row>
    <row r="17" spans="1:11" x14ac:dyDescent="0.2">
      <c r="A17" s="10">
        <v>21100000</v>
      </c>
      <c r="B17" s="10" t="s">
        <v>277</v>
      </c>
      <c r="C17" s="11">
        <v>0</v>
      </c>
      <c r="D17" s="11">
        <v>0</v>
      </c>
      <c r="E17" s="11">
        <v>0</v>
      </c>
      <c r="F17" s="13">
        <v>0</v>
      </c>
      <c r="G17" s="13">
        <v>0</v>
      </c>
      <c r="H17" s="14">
        <v>0</v>
      </c>
      <c r="I17" s="14">
        <v>0</v>
      </c>
      <c r="J17" s="8"/>
      <c r="K17" s="8"/>
    </row>
    <row r="18" spans="1:11" x14ac:dyDescent="0.2">
      <c r="A18" s="10">
        <v>21300000</v>
      </c>
      <c r="B18" s="10" t="s">
        <v>24</v>
      </c>
      <c r="C18" s="11">
        <v>82659.226999999999</v>
      </c>
      <c r="D18" s="11">
        <v>0</v>
      </c>
      <c r="E18" s="11">
        <v>0</v>
      </c>
      <c r="F18" s="13">
        <v>0</v>
      </c>
      <c r="G18" s="13">
        <v>0</v>
      </c>
      <c r="H18" s="14">
        <v>0</v>
      </c>
      <c r="I18" s="14">
        <v>82659.226999999999</v>
      </c>
      <c r="J18" s="8" t="s">
        <v>25</v>
      </c>
      <c r="K18" s="8"/>
    </row>
    <row r="19" spans="1:11" x14ac:dyDescent="0.2">
      <c r="A19" s="10">
        <v>22000000</v>
      </c>
      <c r="B19" s="10" t="s">
        <v>278</v>
      </c>
      <c r="C19" s="11">
        <v>0</v>
      </c>
      <c r="D19" s="11">
        <v>0</v>
      </c>
      <c r="E19" s="11">
        <v>0</v>
      </c>
      <c r="F19" s="13">
        <v>0</v>
      </c>
      <c r="G19" s="13">
        <v>0</v>
      </c>
      <c r="H19" s="14">
        <v>0</v>
      </c>
      <c r="I19" s="14">
        <v>0</v>
      </c>
      <c r="J19" s="8"/>
      <c r="K19" s="8"/>
    </row>
    <row r="20" spans="1:11" x14ac:dyDescent="0.2">
      <c r="A20" s="10">
        <v>22100000</v>
      </c>
      <c r="B20" s="10" t="s">
        <v>26</v>
      </c>
      <c r="C20" s="11">
        <v>1275724</v>
      </c>
      <c r="D20" s="11">
        <v>0</v>
      </c>
      <c r="E20" s="11">
        <v>0</v>
      </c>
      <c r="F20" s="13">
        <v>0</v>
      </c>
      <c r="G20" s="13">
        <v>0</v>
      </c>
      <c r="H20" s="14">
        <v>0</v>
      </c>
      <c r="I20" s="14">
        <v>1275724</v>
      </c>
      <c r="J20" s="8" t="s">
        <v>25</v>
      </c>
      <c r="K20" s="8"/>
    </row>
    <row r="21" spans="1:11" x14ac:dyDescent="0.2">
      <c r="A21" s="10">
        <v>22160000</v>
      </c>
      <c r="B21" s="10" t="s">
        <v>27</v>
      </c>
      <c r="C21" s="11">
        <v>161921.53600000002</v>
      </c>
      <c r="D21" s="11">
        <v>0</v>
      </c>
      <c r="E21" s="11">
        <v>0</v>
      </c>
      <c r="F21" s="13">
        <v>0</v>
      </c>
      <c r="G21" s="13">
        <v>0</v>
      </c>
      <c r="H21" s="14">
        <v>0</v>
      </c>
      <c r="I21" s="14">
        <v>161921.53600000002</v>
      </c>
      <c r="J21" s="8" t="s">
        <v>25</v>
      </c>
      <c r="K21" s="8"/>
    </row>
    <row r="22" spans="1:11" x14ac:dyDescent="0.2">
      <c r="A22" s="10">
        <v>22200000</v>
      </c>
      <c r="B22" s="10" t="s">
        <v>28</v>
      </c>
      <c r="C22" s="11">
        <v>9027583.0759999994</v>
      </c>
      <c r="D22" s="11">
        <v>0</v>
      </c>
      <c r="E22" s="11">
        <v>0</v>
      </c>
      <c r="F22" s="13">
        <v>0</v>
      </c>
      <c r="G22" s="13">
        <v>0</v>
      </c>
      <c r="H22" s="14">
        <v>0</v>
      </c>
      <c r="I22" s="14">
        <v>9027583.0759999994</v>
      </c>
      <c r="J22" s="8" t="s">
        <v>25</v>
      </c>
      <c r="K22" s="8"/>
    </row>
    <row r="23" spans="1:11" x14ac:dyDescent="0.2">
      <c r="A23" s="10">
        <v>22250000</v>
      </c>
      <c r="B23" s="10" t="s">
        <v>29</v>
      </c>
      <c r="C23" s="11">
        <v>684244.44699999993</v>
      </c>
      <c r="D23" s="11">
        <v>900.9</v>
      </c>
      <c r="E23" s="11">
        <v>0</v>
      </c>
      <c r="F23" s="13">
        <v>0</v>
      </c>
      <c r="G23" s="13">
        <v>0</v>
      </c>
      <c r="H23" s="14">
        <v>900.9</v>
      </c>
      <c r="I23" s="14">
        <v>685145.34699999995</v>
      </c>
      <c r="J23" s="8" t="s">
        <v>25</v>
      </c>
      <c r="K23" s="8"/>
    </row>
    <row r="24" spans="1:11" x14ac:dyDescent="0.2">
      <c r="A24" s="10">
        <v>22300000</v>
      </c>
      <c r="B24" s="10" t="s">
        <v>30</v>
      </c>
      <c r="C24" s="11">
        <v>70370.611000000004</v>
      </c>
      <c r="D24" s="11">
        <v>0</v>
      </c>
      <c r="E24" s="11">
        <v>0</v>
      </c>
      <c r="F24" s="13">
        <v>0</v>
      </c>
      <c r="G24" s="13">
        <v>0</v>
      </c>
      <c r="H24" s="14">
        <v>0</v>
      </c>
      <c r="I24" s="14">
        <v>70370.611000000004</v>
      </c>
      <c r="J24" s="8" t="s">
        <v>25</v>
      </c>
      <c r="K24" s="8"/>
    </row>
    <row r="25" spans="1:11" x14ac:dyDescent="0.2">
      <c r="A25" s="10">
        <v>22310000</v>
      </c>
      <c r="B25" s="10" t="s">
        <v>31</v>
      </c>
      <c r="C25" s="11">
        <v>0</v>
      </c>
      <c r="D25" s="11">
        <v>0</v>
      </c>
      <c r="E25" s="11">
        <v>0</v>
      </c>
      <c r="F25" s="13">
        <v>0</v>
      </c>
      <c r="G25" s="13">
        <v>0</v>
      </c>
      <c r="H25" s="14">
        <v>0</v>
      </c>
      <c r="I25" s="14">
        <v>0</v>
      </c>
      <c r="J25" s="8"/>
      <c r="K25" s="8"/>
    </row>
    <row r="26" spans="1:11" x14ac:dyDescent="0.2">
      <c r="A26" s="10">
        <v>22340000</v>
      </c>
      <c r="B26" s="10" t="s">
        <v>32</v>
      </c>
      <c r="C26" s="11">
        <v>24190222.656411499</v>
      </c>
      <c r="D26" s="11">
        <v>77351.426999999996</v>
      </c>
      <c r="E26" s="11">
        <v>0</v>
      </c>
      <c r="F26" s="13">
        <v>0</v>
      </c>
      <c r="G26" s="13">
        <v>0</v>
      </c>
      <c r="H26" s="14">
        <v>77351.426999999996</v>
      </c>
      <c r="I26" s="14">
        <v>24267574.0834115</v>
      </c>
      <c r="J26" s="8" t="s">
        <v>25</v>
      </c>
      <c r="K26" s="8"/>
    </row>
    <row r="27" spans="1:11" x14ac:dyDescent="0.2">
      <c r="A27" s="10">
        <v>22350000</v>
      </c>
      <c r="B27" s="10" t="s">
        <v>33</v>
      </c>
      <c r="C27" s="11">
        <v>611186.41449999984</v>
      </c>
      <c r="D27" s="11">
        <v>23739.377</v>
      </c>
      <c r="E27" s="11">
        <v>0</v>
      </c>
      <c r="F27" s="13">
        <v>0</v>
      </c>
      <c r="G27" s="13">
        <v>0</v>
      </c>
      <c r="H27" s="14">
        <v>23739.377</v>
      </c>
      <c r="I27" s="14">
        <v>634925.79149999982</v>
      </c>
      <c r="J27" s="8" t="s">
        <v>25</v>
      </c>
      <c r="K27" s="8"/>
    </row>
    <row r="28" spans="1:11" x14ac:dyDescent="0.2">
      <c r="A28" s="10">
        <v>22370000</v>
      </c>
      <c r="B28" s="10" t="s">
        <v>34</v>
      </c>
      <c r="C28" s="11">
        <v>879252.85599999991</v>
      </c>
      <c r="D28" s="11">
        <v>500</v>
      </c>
      <c r="E28" s="11">
        <v>0</v>
      </c>
      <c r="F28" s="13">
        <v>0</v>
      </c>
      <c r="G28" s="13">
        <v>0</v>
      </c>
      <c r="H28" s="14">
        <v>500</v>
      </c>
      <c r="I28" s="14">
        <v>879752.85599999991</v>
      </c>
      <c r="J28" s="8" t="s">
        <v>25</v>
      </c>
      <c r="K28" s="8"/>
    </row>
    <row r="29" spans="1:11" x14ac:dyDescent="0.2">
      <c r="A29" s="10">
        <v>22400000</v>
      </c>
      <c r="B29" s="10" t="s">
        <v>35</v>
      </c>
      <c r="C29" s="11">
        <v>952007.8629999999</v>
      </c>
      <c r="D29" s="11">
        <v>0</v>
      </c>
      <c r="E29" s="11">
        <v>0</v>
      </c>
      <c r="F29" s="13">
        <v>0</v>
      </c>
      <c r="G29" s="13">
        <v>0</v>
      </c>
      <c r="H29" s="14">
        <v>0</v>
      </c>
      <c r="I29" s="14">
        <v>952007.8629999999</v>
      </c>
      <c r="J29" s="8" t="s">
        <v>25</v>
      </c>
      <c r="K29" s="8"/>
    </row>
    <row r="30" spans="1:11" x14ac:dyDescent="0.2">
      <c r="A30" s="10">
        <v>22810000</v>
      </c>
      <c r="B30" s="10" t="s">
        <v>36</v>
      </c>
      <c r="C30" s="11">
        <v>0</v>
      </c>
      <c r="D30" s="11">
        <v>0</v>
      </c>
      <c r="E30" s="11">
        <v>0</v>
      </c>
      <c r="F30" s="13">
        <v>0</v>
      </c>
      <c r="G30" s="13">
        <v>0</v>
      </c>
      <c r="H30" s="14">
        <v>0</v>
      </c>
      <c r="I30" s="14">
        <v>0</v>
      </c>
      <c r="J30" s="8"/>
      <c r="K30" s="8"/>
    </row>
    <row r="31" spans="1:11" x14ac:dyDescent="0.2">
      <c r="A31" s="10">
        <v>22820000</v>
      </c>
      <c r="B31" s="10" t="s">
        <v>37</v>
      </c>
      <c r="C31" s="11">
        <v>257124.01714999997</v>
      </c>
      <c r="D31" s="11">
        <v>3012.83</v>
      </c>
      <c r="E31" s="11">
        <v>951.42000000000007</v>
      </c>
      <c r="F31" s="13">
        <v>0</v>
      </c>
      <c r="G31" s="13">
        <v>0</v>
      </c>
      <c r="H31" s="14">
        <v>2061.41</v>
      </c>
      <c r="I31" s="14">
        <v>259185.42714999997</v>
      </c>
      <c r="J31" s="8" t="s">
        <v>25</v>
      </c>
      <c r="K31" s="8"/>
    </row>
    <row r="32" spans="1:11" x14ac:dyDescent="0.2">
      <c r="A32" s="10">
        <v>22830000</v>
      </c>
      <c r="B32" s="10" t="s">
        <v>279</v>
      </c>
      <c r="C32" s="11">
        <v>211999.64728599996</v>
      </c>
      <c r="D32" s="11">
        <v>3365</v>
      </c>
      <c r="E32" s="11">
        <v>0</v>
      </c>
      <c r="F32" s="13">
        <v>0</v>
      </c>
      <c r="G32" s="13">
        <v>0</v>
      </c>
      <c r="H32" s="14">
        <v>3365</v>
      </c>
      <c r="I32" s="14">
        <v>215364.64728599996</v>
      </c>
      <c r="J32" s="8" t="s">
        <v>25</v>
      </c>
      <c r="K32" s="8"/>
    </row>
    <row r="33" spans="1:11" x14ac:dyDescent="0.2">
      <c r="A33" s="10">
        <v>23000000</v>
      </c>
      <c r="B33" s="10" t="s">
        <v>280</v>
      </c>
      <c r="C33" s="11">
        <v>2.0000000404252205E-5</v>
      </c>
      <c r="D33" s="11">
        <v>0</v>
      </c>
      <c r="E33" s="11">
        <v>0</v>
      </c>
      <c r="F33" s="13">
        <v>0</v>
      </c>
      <c r="G33" s="13">
        <v>0</v>
      </c>
      <c r="H33" s="14">
        <v>0</v>
      </c>
      <c r="I33" s="14">
        <v>2.0000000404252205E-5</v>
      </c>
      <c r="J33" s="8"/>
      <c r="K33" s="8"/>
    </row>
    <row r="34" spans="1:11" x14ac:dyDescent="0.2">
      <c r="A34" s="10">
        <v>23200000</v>
      </c>
      <c r="B34" s="10" t="s">
        <v>38</v>
      </c>
      <c r="C34" s="11">
        <v>432889.95829749899</v>
      </c>
      <c r="D34" s="11">
        <v>0</v>
      </c>
      <c r="E34" s="11">
        <v>0</v>
      </c>
      <c r="F34" s="13">
        <v>0</v>
      </c>
      <c r="G34" s="13">
        <v>0</v>
      </c>
      <c r="H34" s="14">
        <v>0</v>
      </c>
      <c r="I34" s="14">
        <v>432889.95829749899</v>
      </c>
      <c r="J34" s="8" t="s">
        <v>25</v>
      </c>
      <c r="K34" s="8"/>
    </row>
    <row r="35" spans="1:11" x14ac:dyDescent="0.2">
      <c r="A35" s="10">
        <v>23220000</v>
      </c>
      <c r="B35" s="10" t="s">
        <v>39</v>
      </c>
      <c r="C35" s="11">
        <v>131869.7919999974</v>
      </c>
      <c r="D35" s="11">
        <v>7445.8809999999994</v>
      </c>
      <c r="E35" s="11">
        <v>0</v>
      </c>
      <c r="F35" s="13">
        <v>0</v>
      </c>
      <c r="G35" s="13">
        <v>0</v>
      </c>
      <c r="H35" s="14">
        <v>7445.8809999999994</v>
      </c>
      <c r="I35" s="14">
        <v>139315.67299999739</v>
      </c>
      <c r="J35" s="8" t="s">
        <v>25</v>
      </c>
      <c r="K35" s="8"/>
    </row>
    <row r="36" spans="1:11" x14ac:dyDescent="0.2">
      <c r="A36" s="10">
        <v>23225000</v>
      </c>
      <c r="B36" s="10" t="s">
        <v>281</v>
      </c>
      <c r="C36" s="11">
        <v>0</v>
      </c>
      <c r="D36" s="11">
        <v>0</v>
      </c>
      <c r="E36" s="11">
        <v>0</v>
      </c>
      <c r="F36" s="13">
        <v>0</v>
      </c>
      <c r="G36" s="13">
        <v>0</v>
      </c>
      <c r="H36" s="14">
        <v>0</v>
      </c>
      <c r="I36" s="14">
        <v>0</v>
      </c>
      <c r="J36" s="8"/>
      <c r="K36" s="8"/>
    </row>
    <row r="37" spans="1:11" x14ac:dyDescent="0.2">
      <c r="A37" s="10">
        <v>23231000</v>
      </c>
      <c r="B37" s="10" t="s">
        <v>282</v>
      </c>
      <c r="C37" s="11">
        <v>0</v>
      </c>
      <c r="D37" s="11">
        <v>0</v>
      </c>
      <c r="E37" s="11">
        <v>0</v>
      </c>
      <c r="F37" s="13">
        <v>0</v>
      </c>
      <c r="G37" s="13">
        <v>0</v>
      </c>
      <c r="H37" s="14">
        <v>0</v>
      </c>
      <c r="I37" s="14">
        <v>0</v>
      </c>
      <c r="J37" s="8"/>
      <c r="K37" s="8"/>
    </row>
    <row r="38" spans="1:11" x14ac:dyDescent="0.2">
      <c r="A38" s="10">
        <v>23237000</v>
      </c>
      <c r="B38" s="10" t="s">
        <v>283</v>
      </c>
      <c r="C38" s="11">
        <v>0</v>
      </c>
      <c r="D38" s="11">
        <v>0</v>
      </c>
      <c r="E38" s="11">
        <v>0</v>
      </c>
      <c r="F38" s="13">
        <v>0</v>
      </c>
      <c r="G38" s="13">
        <v>0</v>
      </c>
      <c r="H38" s="14">
        <v>0</v>
      </c>
      <c r="I38" s="14">
        <v>0</v>
      </c>
      <c r="J38" s="8"/>
      <c r="K38" s="8"/>
    </row>
    <row r="39" spans="1:11" x14ac:dyDescent="0.2">
      <c r="A39" s="10">
        <v>23250000</v>
      </c>
      <c r="B39" s="10" t="s">
        <v>284</v>
      </c>
      <c r="C39" s="11">
        <v>0</v>
      </c>
      <c r="D39" s="11">
        <v>0</v>
      </c>
      <c r="E39" s="11">
        <v>0</v>
      </c>
      <c r="F39" s="13">
        <v>0</v>
      </c>
      <c r="G39" s="13">
        <v>0</v>
      </c>
      <c r="H39" s="14">
        <v>0</v>
      </c>
      <c r="I39" s="14">
        <v>0</v>
      </c>
      <c r="J39" s="8"/>
      <c r="K39" s="8"/>
    </row>
    <row r="40" spans="1:11" x14ac:dyDescent="0.2">
      <c r="A40" s="10">
        <v>23800000</v>
      </c>
      <c r="B40" s="10" t="s">
        <v>285</v>
      </c>
      <c r="C40" s="11">
        <v>0</v>
      </c>
      <c r="D40" s="11">
        <v>0</v>
      </c>
      <c r="E40" s="11">
        <v>0</v>
      </c>
      <c r="F40" s="13">
        <v>0</v>
      </c>
      <c r="G40" s="13">
        <v>0</v>
      </c>
      <c r="H40" s="14">
        <v>0</v>
      </c>
      <c r="I40" s="14">
        <v>0</v>
      </c>
      <c r="J40" s="8"/>
      <c r="K40" s="8"/>
    </row>
    <row r="41" spans="1:11" x14ac:dyDescent="0.2">
      <c r="A41" s="10">
        <v>24000000</v>
      </c>
      <c r="B41" s="10" t="s">
        <v>40</v>
      </c>
      <c r="C41" s="11">
        <v>790367.65</v>
      </c>
      <c r="D41" s="11">
        <v>0</v>
      </c>
      <c r="E41" s="11">
        <v>0</v>
      </c>
      <c r="F41" s="13">
        <v>0</v>
      </c>
      <c r="G41" s="13">
        <v>0</v>
      </c>
      <c r="H41" s="14">
        <v>0</v>
      </c>
      <c r="I41" s="14">
        <v>790367.65</v>
      </c>
      <c r="J41" s="8" t="s">
        <v>25</v>
      </c>
      <c r="K41" s="8"/>
    </row>
    <row r="42" spans="1:11" x14ac:dyDescent="0.2">
      <c r="A42" s="10">
        <v>25100000</v>
      </c>
      <c r="B42" s="10" t="s">
        <v>286</v>
      </c>
      <c r="C42" s="11">
        <v>0</v>
      </c>
      <c r="D42" s="11">
        <v>0</v>
      </c>
      <c r="E42" s="11">
        <v>0</v>
      </c>
      <c r="F42" s="13">
        <v>0</v>
      </c>
      <c r="G42" s="13">
        <v>0</v>
      </c>
      <c r="H42" s="14">
        <v>0</v>
      </c>
      <c r="I42" s="14">
        <v>0</v>
      </c>
      <c r="J42" s="8"/>
      <c r="K42" s="8"/>
    </row>
    <row r="43" spans="1:11" x14ac:dyDescent="0.2">
      <c r="A43" s="10">
        <v>25110000</v>
      </c>
      <c r="B43" s="10" t="s">
        <v>41</v>
      </c>
      <c r="C43" s="11">
        <v>266820</v>
      </c>
      <c r="D43" s="11">
        <v>0</v>
      </c>
      <c r="E43" s="11">
        <v>0</v>
      </c>
      <c r="F43" s="13">
        <v>0</v>
      </c>
      <c r="G43" s="13">
        <v>0</v>
      </c>
      <c r="H43" s="14">
        <v>0</v>
      </c>
      <c r="I43" s="14">
        <v>266820</v>
      </c>
      <c r="J43" s="8" t="s">
        <v>42</v>
      </c>
      <c r="K43" s="8"/>
    </row>
    <row r="44" spans="1:11" x14ac:dyDescent="0.2">
      <c r="A44" s="10">
        <v>25120000</v>
      </c>
      <c r="B44" s="10" t="s">
        <v>287</v>
      </c>
      <c r="C44" s="11">
        <v>512700</v>
      </c>
      <c r="D44" s="11">
        <v>0</v>
      </c>
      <c r="E44" s="11">
        <v>0</v>
      </c>
      <c r="F44" s="13">
        <v>0</v>
      </c>
      <c r="G44" s="13">
        <v>0</v>
      </c>
      <c r="H44" s="14">
        <v>0</v>
      </c>
      <c r="I44" s="14">
        <v>512700</v>
      </c>
      <c r="J44" s="8" t="s">
        <v>42</v>
      </c>
      <c r="K44" s="8"/>
    </row>
    <row r="45" spans="1:11" x14ac:dyDescent="0.2">
      <c r="A45" s="10">
        <v>25130000</v>
      </c>
      <c r="B45" s="10" t="s">
        <v>43</v>
      </c>
      <c r="C45" s="11">
        <v>677000</v>
      </c>
      <c r="D45" s="11">
        <v>0</v>
      </c>
      <c r="E45" s="11">
        <v>0</v>
      </c>
      <c r="F45" s="13">
        <v>0</v>
      </c>
      <c r="G45" s="13">
        <v>0</v>
      </c>
      <c r="H45" s="14">
        <v>0</v>
      </c>
      <c r="I45" s="14">
        <v>677000</v>
      </c>
      <c r="J45" s="8" t="s">
        <v>42</v>
      </c>
      <c r="K45" s="8"/>
    </row>
    <row r="46" spans="1:11" x14ac:dyDescent="0.2">
      <c r="A46" s="10">
        <v>25140000</v>
      </c>
      <c r="B46" s="10" t="s">
        <v>44</v>
      </c>
      <c r="C46" s="11">
        <v>3150000</v>
      </c>
      <c r="D46" s="11">
        <v>0</v>
      </c>
      <c r="E46" s="11">
        <v>0</v>
      </c>
      <c r="F46" s="13">
        <v>0</v>
      </c>
      <c r="G46" s="13">
        <v>0</v>
      </c>
      <c r="H46" s="14">
        <v>0</v>
      </c>
      <c r="I46" s="14">
        <v>3150000</v>
      </c>
      <c r="J46" s="8" t="s">
        <v>42</v>
      </c>
      <c r="K46" s="8"/>
    </row>
    <row r="47" spans="1:11" x14ac:dyDescent="0.2">
      <c r="A47" s="10">
        <v>25700000</v>
      </c>
      <c r="B47" s="10" t="s">
        <v>288</v>
      </c>
      <c r="C47" s="11">
        <v>0</v>
      </c>
      <c r="D47" s="11">
        <v>0</v>
      </c>
      <c r="E47" s="11">
        <v>0</v>
      </c>
      <c r="F47" s="13">
        <v>0</v>
      </c>
      <c r="G47" s="13">
        <v>0</v>
      </c>
      <c r="H47" s="14">
        <v>0</v>
      </c>
      <c r="I47" s="14">
        <v>0</v>
      </c>
      <c r="J47" s="8" t="s">
        <v>42</v>
      </c>
      <c r="K47" s="8"/>
    </row>
    <row r="48" spans="1:11" x14ac:dyDescent="0.2">
      <c r="A48" s="10">
        <v>25810000</v>
      </c>
      <c r="B48" s="10" t="s">
        <v>289</v>
      </c>
      <c r="C48" s="11">
        <v>0</v>
      </c>
      <c r="D48" s="11">
        <v>0</v>
      </c>
      <c r="E48" s="11">
        <v>0</v>
      </c>
      <c r="F48" s="13">
        <v>0</v>
      </c>
      <c r="G48" s="13">
        <v>0</v>
      </c>
      <c r="H48" s="14">
        <v>0</v>
      </c>
      <c r="I48" s="14">
        <v>0</v>
      </c>
      <c r="J48" s="8"/>
      <c r="K48" s="8"/>
    </row>
    <row r="49" spans="1:11" x14ac:dyDescent="0.2">
      <c r="A49" s="10">
        <v>26400000</v>
      </c>
      <c r="B49" s="10" t="s">
        <v>290</v>
      </c>
      <c r="C49" s="11">
        <v>0</v>
      </c>
      <c r="D49" s="11">
        <v>0</v>
      </c>
      <c r="E49" s="11">
        <v>0</v>
      </c>
      <c r="F49" s="13">
        <v>0</v>
      </c>
      <c r="G49" s="13">
        <v>0</v>
      </c>
      <c r="H49" s="14">
        <v>0</v>
      </c>
      <c r="I49" s="14">
        <v>0</v>
      </c>
      <c r="J49" s="8"/>
      <c r="K49" s="8"/>
    </row>
    <row r="50" spans="1:11" x14ac:dyDescent="0.2">
      <c r="A50" s="10">
        <v>26430000</v>
      </c>
      <c r="B50" s="10" t="s">
        <v>291</v>
      </c>
      <c r="C50" s="11">
        <v>0</v>
      </c>
      <c r="D50" s="11">
        <v>0</v>
      </c>
      <c r="E50" s="11">
        <v>0</v>
      </c>
      <c r="F50" s="13">
        <v>0</v>
      </c>
      <c r="G50" s="13">
        <v>0</v>
      </c>
      <c r="H50" s="14">
        <v>0</v>
      </c>
      <c r="I50" s="14">
        <v>0</v>
      </c>
      <c r="J50" s="8"/>
      <c r="K50" s="8"/>
    </row>
    <row r="51" spans="1:11" x14ac:dyDescent="0.2">
      <c r="A51" s="10">
        <v>26500000</v>
      </c>
      <c r="B51" s="10" t="s">
        <v>45</v>
      </c>
      <c r="C51" s="11">
        <v>105597.1440000002</v>
      </c>
      <c r="D51" s="11">
        <v>0</v>
      </c>
      <c r="E51" s="11">
        <v>0</v>
      </c>
      <c r="F51" s="13">
        <v>0</v>
      </c>
      <c r="G51" s="13">
        <v>0</v>
      </c>
      <c r="H51" s="14">
        <v>0</v>
      </c>
      <c r="I51" s="14">
        <v>105597.1440000002</v>
      </c>
      <c r="J51" s="8" t="s">
        <v>46</v>
      </c>
      <c r="K51" s="8"/>
    </row>
    <row r="52" spans="1:11" x14ac:dyDescent="0.2">
      <c r="A52" s="10">
        <v>26510000</v>
      </c>
      <c r="B52" s="10" t="s">
        <v>292</v>
      </c>
      <c r="C52" s="11">
        <v>0</v>
      </c>
      <c r="D52" s="11">
        <v>0</v>
      </c>
      <c r="E52" s="11">
        <v>0</v>
      </c>
      <c r="F52" s="13">
        <v>0</v>
      </c>
      <c r="G52" s="13">
        <v>0</v>
      </c>
      <c r="H52" s="14">
        <v>0</v>
      </c>
      <c r="I52" s="14">
        <v>0</v>
      </c>
      <c r="J52" s="8"/>
      <c r="K52" s="8"/>
    </row>
    <row r="53" spans="1:11" x14ac:dyDescent="0.2">
      <c r="A53" s="10">
        <v>26550000</v>
      </c>
      <c r="B53" s="10" t="s">
        <v>293</v>
      </c>
      <c r="C53" s="11">
        <v>0</v>
      </c>
      <c r="D53" s="11">
        <v>0</v>
      </c>
      <c r="E53" s="11">
        <v>0</v>
      </c>
      <c r="F53" s="13">
        <v>0</v>
      </c>
      <c r="G53" s="13">
        <v>0</v>
      </c>
      <c r="H53" s="14">
        <v>0</v>
      </c>
      <c r="I53" s="14">
        <v>0</v>
      </c>
      <c r="J53" s="8"/>
      <c r="K53" s="8"/>
    </row>
    <row r="54" spans="1:11" x14ac:dyDescent="0.2">
      <c r="A54" s="10">
        <v>27100000</v>
      </c>
      <c r="B54" s="10" t="s">
        <v>294</v>
      </c>
      <c r="C54" s="11">
        <v>0</v>
      </c>
      <c r="D54" s="11">
        <v>0</v>
      </c>
      <c r="E54" s="11">
        <v>0</v>
      </c>
      <c r="F54" s="13">
        <v>0</v>
      </c>
      <c r="G54" s="13">
        <v>0</v>
      </c>
      <c r="H54" s="14">
        <v>0</v>
      </c>
      <c r="I54" s="14">
        <v>0</v>
      </c>
      <c r="J54" s="8"/>
      <c r="K54" s="8"/>
    </row>
    <row r="55" spans="1:11" x14ac:dyDescent="0.2">
      <c r="A55" s="10">
        <v>28100000</v>
      </c>
      <c r="B55" s="10" t="s">
        <v>295</v>
      </c>
      <c r="C55" s="11">
        <v>0</v>
      </c>
      <c r="D55" s="11">
        <v>0</v>
      </c>
      <c r="E55" s="11">
        <v>0</v>
      </c>
      <c r="F55" s="13">
        <v>0</v>
      </c>
      <c r="G55" s="13">
        <v>0</v>
      </c>
      <c r="H55" s="14">
        <v>0</v>
      </c>
      <c r="I55" s="14">
        <v>0</v>
      </c>
      <c r="J55" s="8"/>
      <c r="K55" s="8"/>
    </row>
    <row r="56" spans="1:11" x14ac:dyDescent="0.2">
      <c r="A56" s="10">
        <v>28110000</v>
      </c>
      <c r="B56" s="10" t="s">
        <v>296</v>
      </c>
      <c r="C56" s="11">
        <v>0</v>
      </c>
      <c r="D56" s="11">
        <v>0</v>
      </c>
      <c r="E56" s="11">
        <v>0</v>
      </c>
      <c r="F56" s="13">
        <v>0</v>
      </c>
      <c r="G56" s="13">
        <v>0</v>
      </c>
      <c r="H56" s="14">
        <v>0</v>
      </c>
      <c r="I56" s="14">
        <v>0</v>
      </c>
      <c r="J56" s="8"/>
      <c r="K56" s="8"/>
    </row>
    <row r="57" spans="1:11" x14ac:dyDescent="0.2">
      <c r="A57" s="10">
        <v>28130000</v>
      </c>
      <c r="B57" s="10" t="s">
        <v>8979</v>
      </c>
      <c r="C57" s="11">
        <v>-70147.874999999985</v>
      </c>
      <c r="D57" s="11">
        <v>0</v>
      </c>
      <c r="E57" s="11">
        <v>0</v>
      </c>
      <c r="F57" s="13">
        <v>0</v>
      </c>
      <c r="G57" s="13">
        <v>498.40800000000002</v>
      </c>
      <c r="H57" s="14">
        <v>-498.40800000000002</v>
      </c>
      <c r="I57" s="14">
        <v>-70646.282999999981</v>
      </c>
      <c r="J57" s="8" t="s">
        <v>47</v>
      </c>
      <c r="K57" s="8"/>
    </row>
    <row r="58" spans="1:11" x14ac:dyDescent="0.2">
      <c r="A58" s="10">
        <v>28216000</v>
      </c>
      <c r="B58" s="10" t="s">
        <v>48</v>
      </c>
      <c r="C58" s="11">
        <v>-146698.56400000001</v>
      </c>
      <c r="D58" s="11">
        <v>0</v>
      </c>
      <c r="E58" s="11">
        <v>0</v>
      </c>
      <c r="F58" s="13">
        <v>0</v>
      </c>
      <c r="G58" s="13">
        <v>231.89</v>
      </c>
      <c r="H58" s="14">
        <v>-231.89</v>
      </c>
      <c r="I58" s="14">
        <v>-146930.45400000003</v>
      </c>
      <c r="J58" s="8" t="s">
        <v>47</v>
      </c>
      <c r="K58" s="8"/>
    </row>
    <row r="59" spans="1:11" x14ac:dyDescent="0.2">
      <c r="A59" s="10">
        <v>28220000</v>
      </c>
      <c r="B59" s="10" t="s">
        <v>49</v>
      </c>
      <c r="C59" s="11">
        <v>-3463744.9679999999</v>
      </c>
      <c r="D59" s="11">
        <v>0</v>
      </c>
      <c r="E59" s="11">
        <v>0</v>
      </c>
      <c r="F59" s="13">
        <v>0</v>
      </c>
      <c r="G59" s="13">
        <v>37206.669000000002</v>
      </c>
      <c r="H59" s="14">
        <v>-37206.669000000002</v>
      </c>
      <c r="I59" s="14">
        <v>-3500951.6370000001</v>
      </c>
      <c r="J59" s="8" t="s">
        <v>47</v>
      </c>
      <c r="K59" s="8"/>
    </row>
    <row r="60" spans="1:11" x14ac:dyDescent="0.2">
      <c r="A60" s="10">
        <v>28225000</v>
      </c>
      <c r="B60" s="10" t="s">
        <v>50</v>
      </c>
      <c r="C60" s="11">
        <v>-231949.166</v>
      </c>
      <c r="D60" s="11">
        <v>0</v>
      </c>
      <c r="E60" s="11">
        <v>0</v>
      </c>
      <c r="F60" s="13">
        <v>0</v>
      </c>
      <c r="G60" s="13">
        <v>5083.4809999999998</v>
      </c>
      <c r="H60" s="14">
        <v>-5083.4809999999998</v>
      </c>
      <c r="I60" s="14">
        <v>-237032.647</v>
      </c>
      <c r="J60" s="8" t="s">
        <v>47</v>
      </c>
      <c r="K60" s="8"/>
    </row>
    <row r="61" spans="1:11" x14ac:dyDescent="0.2">
      <c r="A61" s="10">
        <v>28230000</v>
      </c>
      <c r="B61" s="10" t="s">
        <v>263</v>
      </c>
      <c r="C61" s="11">
        <v>-31650.946</v>
      </c>
      <c r="D61" s="11">
        <v>0</v>
      </c>
      <c r="E61" s="11">
        <v>0</v>
      </c>
      <c r="F61" s="13">
        <v>0</v>
      </c>
      <c r="G61" s="13">
        <v>1913.9259999999999</v>
      </c>
      <c r="H61" s="14">
        <v>-1913.9259999999999</v>
      </c>
      <c r="I61" s="14">
        <v>-33564.872000000003</v>
      </c>
      <c r="J61" s="8" t="s">
        <v>47</v>
      </c>
      <c r="K61" s="8"/>
    </row>
    <row r="62" spans="1:11" x14ac:dyDescent="0.2">
      <c r="A62" s="10">
        <v>28234000</v>
      </c>
      <c r="B62" s="10" t="s">
        <v>51</v>
      </c>
      <c r="C62" s="11">
        <v>-14931998.951000001</v>
      </c>
      <c r="D62" s="11">
        <v>0</v>
      </c>
      <c r="E62" s="11">
        <v>0</v>
      </c>
      <c r="F62" s="13">
        <v>0</v>
      </c>
      <c r="G62" s="13">
        <v>134948.886</v>
      </c>
      <c r="H62" s="14">
        <v>-134948.886</v>
      </c>
      <c r="I62" s="14">
        <v>-15066947.837000001</v>
      </c>
      <c r="J62" s="8" t="s">
        <v>47</v>
      </c>
      <c r="K62" s="8"/>
    </row>
    <row r="63" spans="1:11" x14ac:dyDescent="0.2">
      <c r="A63" s="10">
        <v>28235000</v>
      </c>
      <c r="B63" s="10" t="s">
        <v>52</v>
      </c>
      <c r="C63" s="11">
        <v>-319102.70299999998</v>
      </c>
      <c r="D63" s="11">
        <v>0</v>
      </c>
      <c r="E63" s="11">
        <v>0</v>
      </c>
      <c r="F63" s="13">
        <v>0</v>
      </c>
      <c r="G63" s="13">
        <v>6431.1319999999996</v>
      </c>
      <c r="H63" s="14">
        <v>-6431.1319999999996</v>
      </c>
      <c r="I63" s="14">
        <v>-325533.83499999996</v>
      </c>
      <c r="J63" s="8" t="s">
        <v>47</v>
      </c>
      <c r="K63" s="8"/>
    </row>
    <row r="64" spans="1:11" x14ac:dyDescent="0.2">
      <c r="A64" s="10">
        <v>28237000</v>
      </c>
      <c r="B64" s="10" t="s">
        <v>53</v>
      </c>
      <c r="C64" s="11">
        <v>-742429.63399999996</v>
      </c>
      <c r="D64" s="11">
        <v>0</v>
      </c>
      <c r="E64" s="11">
        <v>0</v>
      </c>
      <c r="F64" s="13">
        <v>0</v>
      </c>
      <c r="G64" s="13">
        <v>1808.0809999999999</v>
      </c>
      <c r="H64" s="14">
        <v>-1808.0809999999999</v>
      </c>
      <c r="I64" s="14">
        <v>-744237.71499999997</v>
      </c>
      <c r="J64" s="8" t="s">
        <v>47</v>
      </c>
      <c r="K64" s="8"/>
    </row>
    <row r="65" spans="1:11" x14ac:dyDescent="0.2">
      <c r="A65" s="10">
        <v>28240000</v>
      </c>
      <c r="B65" s="10" t="s">
        <v>54</v>
      </c>
      <c r="C65" s="11">
        <v>-553586.97</v>
      </c>
      <c r="D65" s="11">
        <v>0</v>
      </c>
      <c r="E65" s="11">
        <v>0</v>
      </c>
      <c r="F65" s="13">
        <v>0</v>
      </c>
      <c r="G65" s="13">
        <v>11130.312</v>
      </c>
      <c r="H65" s="14">
        <v>-11130.312</v>
      </c>
      <c r="I65" s="14">
        <v>-564717.28200000001</v>
      </c>
      <c r="J65" s="8" t="s">
        <v>47</v>
      </c>
      <c r="K65" s="8"/>
    </row>
    <row r="66" spans="1:11" x14ac:dyDescent="0.2">
      <c r="A66" s="10">
        <v>28282000</v>
      </c>
      <c r="B66" s="10" t="s">
        <v>55</v>
      </c>
      <c r="C66" s="11">
        <v>-197524.88</v>
      </c>
      <c r="D66" s="11">
        <v>0</v>
      </c>
      <c r="E66" s="11">
        <v>0</v>
      </c>
      <c r="F66" s="13">
        <v>0</v>
      </c>
      <c r="G66" s="13">
        <v>4330.5839999999998</v>
      </c>
      <c r="H66" s="14">
        <v>-4330.5839999999998</v>
      </c>
      <c r="I66" s="14">
        <v>-201855.46400000001</v>
      </c>
      <c r="J66" s="8" t="s">
        <v>47</v>
      </c>
      <c r="K66" s="8"/>
    </row>
    <row r="67" spans="1:11" x14ac:dyDescent="0.2">
      <c r="A67" s="10">
        <v>28283000</v>
      </c>
      <c r="B67" s="10" t="s">
        <v>264</v>
      </c>
      <c r="C67" s="11">
        <v>-108232.12100000001</v>
      </c>
      <c r="D67" s="11">
        <v>0</v>
      </c>
      <c r="E67" s="11">
        <v>0</v>
      </c>
      <c r="F67" s="13">
        <v>0</v>
      </c>
      <c r="G67" s="13">
        <v>1880.616</v>
      </c>
      <c r="H67" s="14">
        <v>-1880.616</v>
      </c>
      <c r="I67" s="14">
        <v>-110112.73700000001</v>
      </c>
      <c r="J67" s="8" t="s">
        <v>47</v>
      </c>
      <c r="K67" s="8"/>
    </row>
    <row r="68" spans="1:11" x14ac:dyDescent="0.2">
      <c r="A68" s="10">
        <v>28400000</v>
      </c>
      <c r="B68" s="10" t="s">
        <v>56</v>
      </c>
      <c r="C68" s="11">
        <v>-454770.67799999984</v>
      </c>
      <c r="D68" s="11">
        <v>0</v>
      </c>
      <c r="E68" s="11">
        <v>0</v>
      </c>
      <c r="F68" s="13">
        <v>0</v>
      </c>
      <c r="G68" s="13">
        <v>6648.0770000000002</v>
      </c>
      <c r="H68" s="14">
        <v>-6648.0770000000002</v>
      </c>
      <c r="I68" s="14">
        <v>-461418.75499999983</v>
      </c>
      <c r="J68" s="8" t="s">
        <v>47</v>
      </c>
      <c r="K68" s="8"/>
    </row>
    <row r="69" spans="1:11" x14ac:dyDescent="0.2">
      <c r="A69" s="10">
        <v>29220000</v>
      </c>
      <c r="B69" s="10" t="s">
        <v>297</v>
      </c>
      <c r="C69" s="11">
        <v>0</v>
      </c>
      <c r="D69" s="11">
        <v>0</v>
      </c>
      <c r="E69" s="11">
        <v>0</v>
      </c>
      <c r="F69" s="13">
        <v>0</v>
      </c>
      <c r="G69" s="13">
        <v>0</v>
      </c>
      <c r="H69" s="14">
        <v>0</v>
      </c>
      <c r="I69" s="14">
        <v>0</v>
      </c>
      <c r="J69" s="8"/>
      <c r="K69" s="8"/>
    </row>
    <row r="70" spans="1:11" x14ac:dyDescent="0.2">
      <c r="A70" s="10">
        <v>29234000</v>
      </c>
      <c r="B70" s="10" t="s">
        <v>388</v>
      </c>
      <c r="C70" s="11">
        <v>-223876.883</v>
      </c>
      <c r="D70" s="11">
        <v>0</v>
      </c>
      <c r="E70" s="11">
        <v>0</v>
      </c>
      <c r="F70" s="13">
        <v>0</v>
      </c>
      <c r="G70" s="13">
        <v>0</v>
      </c>
      <c r="H70" s="14">
        <v>0</v>
      </c>
      <c r="I70" s="14">
        <v>-223876.883</v>
      </c>
      <c r="J70" s="8" t="s">
        <v>401</v>
      </c>
      <c r="K70" s="8"/>
    </row>
    <row r="71" spans="1:11" x14ac:dyDescent="0.2">
      <c r="A71" s="10">
        <v>29235000</v>
      </c>
      <c r="B71" s="10" t="s">
        <v>389</v>
      </c>
      <c r="C71" s="11">
        <v>-8171.429000000001</v>
      </c>
      <c r="D71" s="11">
        <v>0</v>
      </c>
      <c r="E71" s="11">
        <v>0</v>
      </c>
      <c r="F71" s="13">
        <v>0</v>
      </c>
      <c r="G71" s="13">
        <v>0</v>
      </c>
      <c r="H71" s="14">
        <v>0</v>
      </c>
      <c r="I71" s="14">
        <v>-8171.429000000001</v>
      </c>
      <c r="J71" s="8" t="s">
        <v>401</v>
      </c>
      <c r="K71" s="8"/>
    </row>
    <row r="72" spans="1:11" x14ac:dyDescent="0.2">
      <c r="A72" s="10">
        <v>29282000</v>
      </c>
      <c r="B72" s="10" t="s">
        <v>298</v>
      </c>
      <c r="C72" s="11">
        <v>0</v>
      </c>
      <c r="D72" s="11">
        <v>0</v>
      </c>
      <c r="E72" s="11">
        <v>0</v>
      </c>
      <c r="F72" s="13">
        <v>0</v>
      </c>
      <c r="G72" s="13">
        <v>0</v>
      </c>
      <c r="H72" s="14">
        <v>0</v>
      </c>
      <c r="I72" s="14">
        <v>0</v>
      </c>
      <c r="J72" s="8"/>
      <c r="K72" s="8"/>
    </row>
    <row r="73" spans="1:11" x14ac:dyDescent="0.2">
      <c r="A73" s="10">
        <v>29286500</v>
      </c>
      <c r="B73" s="10" t="s">
        <v>299</v>
      </c>
      <c r="C73" s="11">
        <v>0</v>
      </c>
      <c r="D73" s="11">
        <v>0</v>
      </c>
      <c r="E73" s="11">
        <v>0</v>
      </c>
      <c r="F73" s="13">
        <v>0</v>
      </c>
      <c r="G73" s="13">
        <v>0</v>
      </c>
      <c r="H73" s="14">
        <v>0</v>
      </c>
      <c r="I73" s="14">
        <v>0</v>
      </c>
      <c r="J73" s="8" t="s">
        <v>25</v>
      </c>
      <c r="K73" s="8"/>
    </row>
    <row r="74" spans="1:11" x14ac:dyDescent="0.2">
      <c r="A74" s="10">
        <v>29700000</v>
      </c>
      <c r="B74" s="10" t="s">
        <v>57</v>
      </c>
      <c r="C74" s="11">
        <v>-29257.384999999998</v>
      </c>
      <c r="D74" s="11">
        <v>0</v>
      </c>
      <c r="E74" s="11">
        <v>0</v>
      </c>
      <c r="F74" s="13">
        <v>0</v>
      </c>
      <c r="G74" s="13">
        <v>0</v>
      </c>
      <c r="H74" s="14">
        <v>0</v>
      </c>
      <c r="I74" s="14">
        <v>-29257.384999999998</v>
      </c>
      <c r="J74" s="8" t="s">
        <v>58</v>
      </c>
      <c r="K74" s="8"/>
    </row>
    <row r="75" spans="1:11" x14ac:dyDescent="0.2">
      <c r="A75" s="10">
        <v>31100000</v>
      </c>
      <c r="B75" s="10" t="s">
        <v>59</v>
      </c>
      <c r="C75" s="11">
        <v>11027560.325900003</v>
      </c>
      <c r="D75" s="11">
        <v>0</v>
      </c>
      <c r="E75" s="11">
        <v>0</v>
      </c>
      <c r="F75" s="13">
        <v>10245362.843</v>
      </c>
      <c r="G75" s="13">
        <v>11027560.3259</v>
      </c>
      <c r="H75" s="14">
        <v>-782197.48289999925</v>
      </c>
      <c r="I75" s="14">
        <v>10245362.843000004</v>
      </c>
      <c r="J75" s="8" t="s">
        <v>60</v>
      </c>
      <c r="K75" s="8"/>
    </row>
    <row r="76" spans="1:11" x14ac:dyDescent="0.2">
      <c r="A76" s="10">
        <v>31200000</v>
      </c>
      <c r="B76" s="10" t="s">
        <v>390</v>
      </c>
      <c r="C76" s="11">
        <v>0</v>
      </c>
      <c r="D76" s="11">
        <v>0</v>
      </c>
      <c r="E76" s="11">
        <v>0</v>
      </c>
      <c r="F76" s="13">
        <v>0</v>
      </c>
      <c r="G76" s="13">
        <v>0</v>
      </c>
      <c r="H76" s="14">
        <v>0</v>
      </c>
      <c r="I76" s="14">
        <v>0</v>
      </c>
      <c r="J76" s="8"/>
      <c r="K76" s="8"/>
    </row>
    <row r="77" spans="1:11" x14ac:dyDescent="0.2">
      <c r="A77" s="10">
        <v>32200000</v>
      </c>
      <c r="B77" s="10" t="s">
        <v>61</v>
      </c>
      <c r="C77" s="11">
        <v>696643.57010000059</v>
      </c>
      <c r="D77" s="11">
        <v>0</v>
      </c>
      <c r="E77" s="11">
        <v>0</v>
      </c>
      <c r="F77" s="13">
        <v>733778.89099999995</v>
      </c>
      <c r="G77" s="13">
        <v>696643.57010000001</v>
      </c>
      <c r="H77" s="14">
        <v>37135.320899999933</v>
      </c>
      <c r="I77" s="14">
        <v>733778.89100000053</v>
      </c>
      <c r="J77" s="8" t="s">
        <v>60</v>
      </c>
      <c r="K77" s="8"/>
    </row>
    <row r="78" spans="1:11" x14ac:dyDescent="0.2">
      <c r="A78" s="10">
        <v>33100000</v>
      </c>
      <c r="B78" s="10" t="s">
        <v>62</v>
      </c>
      <c r="C78" s="11">
        <v>1246000.0003999998</v>
      </c>
      <c r="D78" s="11">
        <v>0</v>
      </c>
      <c r="E78" s="11">
        <v>0</v>
      </c>
      <c r="F78" s="13">
        <v>7232662.2680000002</v>
      </c>
      <c r="G78" s="13">
        <v>1246000.0004</v>
      </c>
      <c r="H78" s="14">
        <v>5986662.2675999999</v>
      </c>
      <c r="I78" s="14">
        <v>7232662.2679999992</v>
      </c>
      <c r="J78" s="8" t="s">
        <v>60</v>
      </c>
      <c r="K78" s="8"/>
    </row>
    <row r="79" spans="1:11" x14ac:dyDescent="0.2">
      <c r="A79" s="10">
        <v>33500000</v>
      </c>
      <c r="B79" s="10" t="s">
        <v>300</v>
      </c>
      <c r="C79" s="11">
        <v>0</v>
      </c>
      <c r="D79" s="11">
        <v>0</v>
      </c>
      <c r="E79" s="11">
        <v>0</v>
      </c>
      <c r="F79" s="13">
        <v>0</v>
      </c>
      <c r="G79" s="13">
        <v>0</v>
      </c>
      <c r="H79" s="14">
        <v>0</v>
      </c>
      <c r="I79" s="14">
        <v>0</v>
      </c>
      <c r="J79" s="8"/>
      <c r="K79" s="8"/>
    </row>
    <row r="80" spans="1:11" x14ac:dyDescent="0.2">
      <c r="A80" s="10">
        <v>34100000</v>
      </c>
      <c r="B80" s="10" t="s">
        <v>301</v>
      </c>
      <c r="C80" s="11">
        <v>0</v>
      </c>
      <c r="D80" s="11">
        <v>0</v>
      </c>
      <c r="E80" s="11">
        <v>0</v>
      </c>
      <c r="F80" s="13">
        <v>0</v>
      </c>
      <c r="G80" s="13">
        <v>0</v>
      </c>
      <c r="H80" s="14">
        <v>0</v>
      </c>
      <c r="I80" s="14">
        <v>0</v>
      </c>
      <c r="J80" s="8"/>
      <c r="K80" s="8"/>
    </row>
    <row r="81" spans="1:11" x14ac:dyDescent="0.2">
      <c r="A81" s="10">
        <v>35500000</v>
      </c>
      <c r="B81" s="10" t="s">
        <v>63</v>
      </c>
      <c r="C81" s="11">
        <v>7103257.6275999993</v>
      </c>
      <c r="D81" s="11">
        <v>0</v>
      </c>
      <c r="E81" s="11">
        <v>0</v>
      </c>
      <c r="F81" s="13">
        <v>562793.92299999995</v>
      </c>
      <c r="G81" s="13">
        <v>7103257.6276000002</v>
      </c>
      <c r="H81" s="14">
        <v>-6540463.7046000008</v>
      </c>
      <c r="I81" s="14">
        <v>562793.92299999855</v>
      </c>
      <c r="J81" s="8" t="s">
        <v>60</v>
      </c>
      <c r="K81" s="8"/>
    </row>
    <row r="82" spans="1:11" x14ac:dyDescent="0.2">
      <c r="A82" s="10">
        <v>39000000</v>
      </c>
      <c r="B82" s="10" t="s">
        <v>64</v>
      </c>
      <c r="C82" s="11">
        <v>-208158.11300000001</v>
      </c>
      <c r="D82" s="11">
        <v>0</v>
      </c>
      <c r="E82" s="11">
        <v>0</v>
      </c>
      <c r="F82" s="13">
        <v>0</v>
      </c>
      <c r="G82" s="13">
        <v>0</v>
      </c>
      <c r="H82" s="14">
        <v>0</v>
      </c>
      <c r="I82" s="14">
        <v>-208158.11300000001</v>
      </c>
      <c r="J82" s="8" t="s">
        <v>65</v>
      </c>
      <c r="K82" s="8"/>
    </row>
    <row r="83" spans="1:11" x14ac:dyDescent="0.2">
      <c r="A83" s="10">
        <v>40100000</v>
      </c>
      <c r="B83" s="10" t="s">
        <v>66</v>
      </c>
      <c r="C83" s="11">
        <v>-3477602.2872880311</v>
      </c>
      <c r="D83" s="11">
        <v>5879302.1819749996</v>
      </c>
      <c r="E83" s="11">
        <v>5780884.2299719993</v>
      </c>
      <c r="F83" s="13">
        <v>0</v>
      </c>
      <c r="G83" s="13">
        <v>0</v>
      </c>
      <c r="H83" s="14">
        <v>98417.952003000304</v>
      </c>
      <c r="I83" s="14">
        <v>-3379184.3352850308</v>
      </c>
      <c r="J83" s="8" t="s">
        <v>67</v>
      </c>
      <c r="K83" s="8"/>
    </row>
    <row r="84" spans="1:11" x14ac:dyDescent="0.2">
      <c r="A84" s="10">
        <v>40300000</v>
      </c>
      <c r="B84" s="10" t="s">
        <v>68</v>
      </c>
      <c r="C84" s="11">
        <v>-340481.55100000673</v>
      </c>
      <c r="D84" s="11">
        <v>191063.97100000002</v>
      </c>
      <c r="E84" s="11">
        <v>131009.30100000001</v>
      </c>
      <c r="F84" s="13">
        <v>0</v>
      </c>
      <c r="G84" s="13">
        <v>0</v>
      </c>
      <c r="H84" s="14">
        <v>60054.670000000013</v>
      </c>
      <c r="I84" s="14">
        <v>-280426.88100000669</v>
      </c>
      <c r="J84" s="8" t="s">
        <v>67</v>
      </c>
      <c r="K84" s="8"/>
    </row>
    <row r="85" spans="1:11" x14ac:dyDescent="0.2">
      <c r="A85" s="10">
        <v>40301000</v>
      </c>
      <c r="B85" s="10" t="s">
        <v>302</v>
      </c>
      <c r="C85" s="11">
        <v>0</v>
      </c>
      <c r="D85" s="11">
        <v>0</v>
      </c>
      <c r="E85" s="11">
        <v>0</v>
      </c>
      <c r="F85" s="13">
        <v>0</v>
      </c>
      <c r="G85" s="13">
        <v>0</v>
      </c>
      <c r="H85" s="14">
        <v>0</v>
      </c>
      <c r="I85" s="14">
        <v>0</v>
      </c>
      <c r="J85" s="8"/>
      <c r="K85" s="8"/>
    </row>
    <row r="86" spans="1:11" x14ac:dyDescent="0.2">
      <c r="A86" s="10">
        <v>40400000</v>
      </c>
      <c r="B86" s="10" t="s">
        <v>69</v>
      </c>
      <c r="C86" s="11">
        <v>9.999983012676239E-5</v>
      </c>
      <c r="D86" s="11">
        <v>0</v>
      </c>
      <c r="E86" s="11">
        <v>0</v>
      </c>
      <c r="F86" s="13">
        <v>0</v>
      </c>
      <c r="G86" s="13">
        <v>0</v>
      </c>
      <c r="H86" s="14">
        <v>0</v>
      </c>
      <c r="I86" s="14">
        <v>9.999983012676239E-5</v>
      </c>
      <c r="J86" s="8"/>
      <c r="K86" s="8"/>
    </row>
    <row r="87" spans="1:11" x14ac:dyDescent="0.2">
      <c r="A87" s="10">
        <v>40470000</v>
      </c>
      <c r="B87" s="10" t="s">
        <v>303</v>
      </c>
      <c r="C87" s="11">
        <v>0</v>
      </c>
      <c r="D87" s="11">
        <v>0</v>
      </c>
      <c r="E87" s="11">
        <v>0</v>
      </c>
      <c r="F87" s="13">
        <v>0</v>
      </c>
      <c r="G87" s="13">
        <v>0</v>
      </c>
      <c r="H87" s="14">
        <v>0</v>
      </c>
      <c r="I87" s="14">
        <v>0</v>
      </c>
      <c r="J87" s="8"/>
      <c r="K87" s="8"/>
    </row>
    <row r="88" spans="1:11" x14ac:dyDescent="0.2">
      <c r="A88" s="10">
        <v>40600000</v>
      </c>
      <c r="B88" s="10" t="s">
        <v>70</v>
      </c>
      <c r="C88" s="11">
        <v>-3413634.5418686038</v>
      </c>
      <c r="D88" s="11">
        <v>2938298.7357919998</v>
      </c>
      <c r="E88" s="11">
        <v>1317596.081728</v>
      </c>
      <c r="F88" s="13">
        <v>0</v>
      </c>
      <c r="G88" s="13">
        <v>0</v>
      </c>
      <c r="H88" s="14">
        <v>1620702.6540639999</v>
      </c>
      <c r="I88" s="14">
        <v>-1792931.8878046039</v>
      </c>
      <c r="J88" s="8" t="s">
        <v>67</v>
      </c>
      <c r="K88" s="8"/>
    </row>
    <row r="89" spans="1:11" x14ac:dyDescent="0.2">
      <c r="A89" s="10">
        <v>40800000</v>
      </c>
      <c r="B89" s="10" t="s">
        <v>71</v>
      </c>
      <c r="C89" s="11">
        <v>-4980</v>
      </c>
      <c r="D89" s="16">
        <v>0</v>
      </c>
      <c r="E89" s="11">
        <v>0</v>
      </c>
      <c r="F89" s="13">
        <v>0</v>
      </c>
      <c r="G89" s="13">
        <v>0</v>
      </c>
      <c r="H89" s="14">
        <v>0</v>
      </c>
      <c r="I89" s="14">
        <v>-4980</v>
      </c>
      <c r="J89" s="8" t="s">
        <v>67</v>
      </c>
      <c r="K89" s="8"/>
    </row>
    <row r="90" spans="1:11" x14ac:dyDescent="0.2">
      <c r="A90" s="10">
        <v>40860000</v>
      </c>
      <c r="B90" s="10" t="s">
        <v>304</v>
      </c>
      <c r="C90" s="11">
        <v>0</v>
      </c>
      <c r="D90" s="11">
        <v>0</v>
      </c>
      <c r="E90" s="11">
        <v>0</v>
      </c>
      <c r="F90" s="13">
        <v>0</v>
      </c>
      <c r="G90" s="13">
        <v>0</v>
      </c>
      <c r="H90" s="14">
        <v>0</v>
      </c>
      <c r="I90" s="14">
        <v>0</v>
      </c>
      <c r="J90" s="8"/>
      <c r="K90" s="8"/>
    </row>
    <row r="91" spans="1:11" x14ac:dyDescent="0.2">
      <c r="A91" s="10">
        <v>40910000</v>
      </c>
      <c r="B91" s="10" t="s">
        <v>72</v>
      </c>
      <c r="C91" s="11">
        <v>-14501.861000000383</v>
      </c>
      <c r="D91" s="11">
        <v>14501.861000000001</v>
      </c>
      <c r="E91" s="11">
        <v>0</v>
      </c>
      <c r="F91" s="13">
        <v>0</v>
      </c>
      <c r="G91" s="13">
        <v>0</v>
      </c>
      <c r="H91" s="14">
        <v>14501.861000000001</v>
      </c>
      <c r="I91" s="14">
        <v>-3.8198777474462986E-10</v>
      </c>
      <c r="J91" s="8" t="s">
        <v>78</v>
      </c>
      <c r="K91" s="8"/>
    </row>
    <row r="92" spans="1:11" x14ac:dyDescent="0.2">
      <c r="A92" s="10">
        <v>41100000</v>
      </c>
      <c r="B92" s="10" t="s">
        <v>73</v>
      </c>
      <c r="C92" s="11">
        <v>13114108.745182473</v>
      </c>
      <c r="D92" s="11">
        <v>4215848.9189999998</v>
      </c>
      <c r="E92" s="11">
        <v>4278288.2239999995</v>
      </c>
      <c r="F92" s="13">
        <v>0</v>
      </c>
      <c r="G92" s="13">
        <v>0</v>
      </c>
      <c r="H92" s="14">
        <v>-62439.304999999702</v>
      </c>
      <c r="I92" s="14">
        <v>13051669.440182474</v>
      </c>
      <c r="J92" s="8" t="s">
        <v>74</v>
      </c>
      <c r="K92" s="8"/>
    </row>
    <row r="93" spans="1:11" x14ac:dyDescent="0.2">
      <c r="A93" s="10">
        <v>41301000</v>
      </c>
      <c r="B93" s="10" t="s">
        <v>305</v>
      </c>
      <c r="C93" s="11">
        <v>0</v>
      </c>
      <c r="D93" s="11">
        <v>0</v>
      </c>
      <c r="E93" s="11">
        <v>0</v>
      </c>
      <c r="F93" s="13">
        <v>0</v>
      </c>
      <c r="G93" s="13">
        <v>0</v>
      </c>
      <c r="H93" s="14">
        <v>0</v>
      </c>
      <c r="I93" s="14">
        <v>0</v>
      </c>
      <c r="J93" s="8"/>
      <c r="K93" s="8"/>
    </row>
    <row r="94" spans="1:11" x14ac:dyDescent="0.2">
      <c r="A94" s="10">
        <v>41500000</v>
      </c>
      <c r="B94" s="10" t="s">
        <v>75</v>
      </c>
      <c r="C94" s="11">
        <v>2045590.2781354787</v>
      </c>
      <c r="D94" s="11">
        <v>384246.47899999999</v>
      </c>
      <c r="E94" s="11">
        <v>183575.766</v>
      </c>
      <c r="F94" s="13">
        <v>0</v>
      </c>
      <c r="G94" s="13">
        <v>0</v>
      </c>
      <c r="H94" s="14">
        <v>200670.71299999999</v>
      </c>
      <c r="I94" s="14">
        <v>2246260.991135479</v>
      </c>
      <c r="J94" s="8" t="s">
        <v>74</v>
      </c>
      <c r="K94" s="8"/>
    </row>
    <row r="95" spans="1:11" x14ac:dyDescent="0.2">
      <c r="A95" s="10">
        <v>41601000</v>
      </c>
      <c r="B95" s="10" t="s">
        <v>306</v>
      </c>
      <c r="C95" s="11">
        <v>0</v>
      </c>
      <c r="D95" s="11">
        <v>0</v>
      </c>
      <c r="E95" s="11">
        <v>0</v>
      </c>
      <c r="F95" s="13">
        <v>0</v>
      </c>
      <c r="G95" s="13">
        <v>0</v>
      </c>
      <c r="H95" s="14">
        <v>0</v>
      </c>
      <c r="I95" s="14">
        <v>0</v>
      </c>
      <c r="J95" s="8"/>
      <c r="K95" s="8"/>
    </row>
    <row r="96" spans="1:11" x14ac:dyDescent="0.2">
      <c r="A96" s="10">
        <v>41800000</v>
      </c>
      <c r="B96" s="10" t="s">
        <v>307</v>
      </c>
      <c r="C96" s="11">
        <v>0</v>
      </c>
      <c r="D96" s="11">
        <v>0</v>
      </c>
      <c r="E96" s="11">
        <v>0</v>
      </c>
      <c r="F96" s="13">
        <v>0</v>
      </c>
      <c r="G96" s="13">
        <v>0</v>
      </c>
      <c r="H96" s="14">
        <v>0</v>
      </c>
      <c r="I96" s="14">
        <v>0</v>
      </c>
      <c r="J96" s="8"/>
      <c r="K96" s="8"/>
    </row>
    <row r="97" spans="1:11" x14ac:dyDescent="0.2">
      <c r="A97" s="10">
        <v>41910000</v>
      </c>
      <c r="B97" s="10" t="s">
        <v>308</v>
      </c>
      <c r="C97" s="11">
        <v>0</v>
      </c>
      <c r="D97" s="11">
        <v>0</v>
      </c>
      <c r="E97" s="11">
        <v>0</v>
      </c>
      <c r="F97" s="13">
        <v>0</v>
      </c>
      <c r="G97" s="13">
        <v>0</v>
      </c>
      <c r="H97" s="14">
        <v>0</v>
      </c>
      <c r="I97" s="14">
        <v>0</v>
      </c>
      <c r="J97" s="8"/>
      <c r="K97" s="8"/>
    </row>
    <row r="98" spans="1:11" x14ac:dyDescent="0.2">
      <c r="A98" s="10">
        <v>42100000</v>
      </c>
      <c r="B98" s="10" t="s">
        <v>76</v>
      </c>
      <c r="C98" s="11">
        <v>0</v>
      </c>
      <c r="D98" s="11">
        <v>0</v>
      </c>
      <c r="E98" s="11">
        <v>0</v>
      </c>
      <c r="F98" s="13">
        <v>0</v>
      </c>
      <c r="G98" s="13">
        <v>0</v>
      </c>
      <c r="H98" s="14">
        <v>0</v>
      </c>
      <c r="I98" s="14">
        <v>0</v>
      </c>
      <c r="J98" s="8"/>
      <c r="K98" s="8"/>
    </row>
    <row r="99" spans="1:11" x14ac:dyDescent="0.2">
      <c r="A99" s="10">
        <v>42110000</v>
      </c>
      <c r="B99" s="10" t="s">
        <v>309</v>
      </c>
      <c r="C99" s="11">
        <v>0</v>
      </c>
      <c r="D99" s="11">
        <v>0</v>
      </c>
      <c r="E99" s="11">
        <v>0</v>
      </c>
      <c r="F99" s="13">
        <v>0</v>
      </c>
      <c r="G99" s="13">
        <v>0</v>
      </c>
      <c r="H99" s="14">
        <v>0</v>
      </c>
      <c r="I99" s="14">
        <v>0</v>
      </c>
      <c r="J99" s="8"/>
      <c r="K99" s="8"/>
    </row>
    <row r="100" spans="1:11" x14ac:dyDescent="0.2">
      <c r="A100" s="10">
        <v>42120000</v>
      </c>
      <c r="B100" s="10" t="s">
        <v>77</v>
      </c>
      <c r="C100" s="11">
        <v>20591.006999999983</v>
      </c>
      <c r="D100" s="11">
        <v>39000</v>
      </c>
      <c r="E100" s="11">
        <v>5950</v>
      </c>
      <c r="F100" s="13">
        <v>0</v>
      </c>
      <c r="G100" s="13">
        <v>0</v>
      </c>
      <c r="H100" s="14">
        <v>33050</v>
      </c>
      <c r="I100" s="14">
        <v>53641.006999999983</v>
      </c>
      <c r="J100" s="8" t="s">
        <v>78</v>
      </c>
      <c r="K100" s="8"/>
    </row>
    <row r="101" spans="1:11" x14ac:dyDescent="0.2">
      <c r="A101" s="10">
        <v>42400000</v>
      </c>
      <c r="B101" s="10" t="s">
        <v>79</v>
      </c>
      <c r="C101" s="11">
        <v>0</v>
      </c>
      <c r="D101" s="11">
        <v>0</v>
      </c>
      <c r="E101" s="11">
        <v>0</v>
      </c>
      <c r="F101" s="13">
        <v>0</v>
      </c>
      <c r="G101" s="13">
        <v>0</v>
      </c>
      <c r="H101" s="14">
        <v>0</v>
      </c>
      <c r="I101" s="14">
        <v>0</v>
      </c>
      <c r="J101" s="8"/>
      <c r="K101" s="8"/>
    </row>
    <row r="102" spans="1:11" x14ac:dyDescent="0.2">
      <c r="A102" s="10">
        <v>42500000</v>
      </c>
      <c r="B102" s="10" t="s">
        <v>80</v>
      </c>
      <c r="C102" s="11">
        <v>-26059.18400000059</v>
      </c>
      <c r="D102" s="11">
        <v>244626.56800000003</v>
      </c>
      <c r="E102" s="11">
        <v>244803.329</v>
      </c>
      <c r="F102" s="13">
        <v>0</v>
      </c>
      <c r="G102" s="13">
        <v>0</v>
      </c>
      <c r="H102" s="14">
        <v>-176.7609999999695</v>
      </c>
      <c r="I102" s="14">
        <v>-26235.94500000056</v>
      </c>
      <c r="J102" s="8" t="s">
        <v>81</v>
      </c>
      <c r="K102" s="8"/>
    </row>
    <row r="103" spans="1:11" x14ac:dyDescent="0.2">
      <c r="A103" s="10">
        <v>42700000</v>
      </c>
      <c r="B103" s="10" t="s">
        <v>310</v>
      </c>
      <c r="C103" s="11">
        <v>0</v>
      </c>
      <c r="D103" s="11">
        <v>0</v>
      </c>
      <c r="E103" s="11">
        <v>0</v>
      </c>
      <c r="F103" s="13">
        <v>0</v>
      </c>
      <c r="G103" s="13">
        <v>0</v>
      </c>
      <c r="H103" s="14">
        <v>0</v>
      </c>
      <c r="I103" s="14">
        <v>0</v>
      </c>
      <c r="J103" s="8"/>
      <c r="K103" s="8"/>
    </row>
    <row r="104" spans="1:11" x14ac:dyDescent="0.2">
      <c r="A104" s="10">
        <v>42710000</v>
      </c>
      <c r="B104" s="10" t="s">
        <v>82</v>
      </c>
      <c r="C104" s="11">
        <v>-3740.9440000000013</v>
      </c>
      <c r="D104" s="11">
        <v>0</v>
      </c>
      <c r="E104" s="11">
        <v>1246.9839999999999</v>
      </c>
      <c r="F104" s="13">
        <v>0</v>
      </c>
      <c r="G104" s="13">
        <v>0</v>
      </c>
      <c r="H104" s="14">
        <v>-1246.9839999999999</v>
      </c>
      <c r="I104" s="14">
        <v>-4987.9280000000017</v>
      </c>
      <c r="J104" s="8" t="s">
        <v>81</v>
      </c>
      <c r="K104" s="8"/>
    </row>
    <row r="105" spans="1:11" x14ac:dyDescent="0.2">
      <c r="A105" s="10">
        <v>42820000</v>
      </c>
      <c r="B105" s="10" t="s">
        <v>83</v>
      </c>
      <c r="C105" s="11">
        <v>-238390.29099999997</v>
      </c>
      <c r="D105" s="11">
        <v>238390.29100000003</v>
      </c>
      <c r="E105" s="11">
        <v>256085.008</v>
      </c>
      <c r="F105" s="13">
        <v>0</v>
      </c>
      <c r="G105" s="13">
        <v>0</v>
      </c>
      <c r="H105" s="14">
        <v>-17694.716999999975</v>
      </c>
      <c r="I105" s="14">
        <v>-256085.00799999994</v>
      </c>
      <c r="J105" s="8" t="s">
        <v>81</v>
      </c>
      <c r="K105" s="8"/>
    </row>
    <row r="106" spans="1:11" x14ac:dyDescent="0.2">
      <c r="A106" s="10">
        <v>43200000</v>
      </c>
      <c r="B106" s="10" t="s">
        <v>311</v>
      </c>
      <c r="C106" s="11">
        <v>0</v>
      </c>
      <c r="D106" s="11">
        <v>0</v>
      </c>
      <c r="E106" s="11">
        <v>0</v>
      </c>
      <c r="F106" s="13">
        <v>0</v>
      </c>
      <c r="G106" s="13">
        <v>0</v>
      </c>
      <c r="H106" s="14">
        <v>0</v>
      </c>
      <c r="I106" s="14">
        <v>0</v>
      </c>
      <c r="J106" s="8"/>
      <c r="K106" s="8"/>
    </row>
    <row r="107" spans="1:11" x14ac:dyDescent="0.2">
      <c r="A107" s="10">
        <v>43210000</v>
      </c>
      <c r="B107" s="10" t="s">
        <v>84</v>
      </c>
      <c r="C107" s="11">
        <v>-51690.160999999964</v>
      </c>
      <c r="D107" s="11">
        <v>101762.556</v>
      </c>
      <c r="E107" s="11">
        <v>50072.395000000004</v>
      </c>
      <c r="F107" s="13">
        <v>0</v>
      </c>
      <c r="G107" s="13">
        <v>0</v>
      </c>
      <c r="H107" s="14">
        <v>51690.160999999993</v>
      </c>
      <c r="I107" s="14">
        <v>0</v>
      </c>
      <c r="J107" s="8" t="s">
        <v>81</v>
      </c>
      <c r="K107" s="8"/>
    </row>
    <row r="108" spans="1:11" x14ac:dyDescent="0.2">
      <c r="A108" s="10">
        <v>43211000</v>
      </c>
      <c r="B108" s="10" t="s">
        <v>312</v>
      </c>
      <c r="C108" s="11">
        <v>0</v>
      </c>
      <c r="D108" s="11">
        <v>317.94600000000003</v>
      </c>
      <c r="E108" s="11">
        <v>317.94600000000003</v>
      </c>
      <c r="F108" s="13">
        <v>0</v>
      </c>
      <c r="G108" s="13">
        <v>0</v>
      </c>
      <c r="H108" s="14">
        <v>0</v>
      </c>
      <c r="I108" s="14">
        <v>0</v>
      </c>
      <c r="J108" s="8" t="s">
        <v>78</v>
      </c>
      <c r="K108" s="8"/>
    </row>
    <row r="109" spans="1:11" x14ac:dyDescent="0.2">
      <c r="A109" s="10">
        <v>43211500</v>
      </c>
      <c r="B109" s="10" t="s">
        <v>85</v>
      </c>
      <c r="C109" s="11">
        <v>0</v>
      </c>
      <c r="D109" s="11">
        <v>0</v>
      </c>
      <c r="E109" s="11">
        <v>0</v>
      </c>
      <c r="F109" s="13">
        <v>0</v>
      </c>
      <c r="G109" s="13">
        <v>0</v>
      </c>
      <c r="H109" s="14">
        <v>0</v>
      </c>
      <c r="I109" s="14">
        <v>0</v>
      </c>
      <c r="J109" s="8"/>
      <c r="K109" s="8"/>
    </row>
    <row r="110" spans="1:11" x14ac:dyDescent="0.2">
      <c r="A110" s="10">
        <v>43212500</v>
      </c>
      <c r="B110" s="10" t="s">
        <v>313</v>
      </c>
      <c r="C110" s="11">
        <v>0</v>
      </c>
      <c r="D110" s="11">
        <v>0</v>
      </c>
      <c r="E110" s="11">
        <v>0</v>
      </c>
      <c r="F110" s="13">
        <v>0</v>
      </c>
      <c r="G110" s="13">
        <v>0</v>
      </c>
      <c r="H110" s="14">
        <v>0</v>
      </c>
      <c r="I110" s="14">
        <v>0</v>
      </c>
      <c r="J110" s="8"/>
      <c r="K110" s="8"/>
    </row>
    <row r="111" spans="1:11" x14ac:dyDescent="0.2">
      <c r="A111" s="10">
        <v>43215000</v>
      </c>
      <c r="B111" s="10" t="s">
        <v>314</v>
      </c>
      <c r="C111" s="11">
        <v>0</v>
      </c>
      <c r="D111" s="11">
        <v>32.941999999999993</v>
      </c>
      <c r="E111" s="11">
        <v>32.941999999999993</v>
      </c>
      <c r="F111" s="13">
        <v>0</v>
      </c>
      <c r="G111" s="13">
        <v>0</v>
      </c>
      <c r="H111" s="14">
        <v>0</v>
      </c>
      <c r="I111" s="14">
        <v>0</v>
      </c>
      <c r="J111" s="8"/>
      <c r="K111" s="8"/>
    </row>
    <row r="112" spans="1:11" x14ac:dyDescent="0.2">
      <c r="A112" s="10">
        <v>43220000</v>
      </c>
      <c r="B112" s="10" t="s">
        <v>86</v>
      </c>
      <c r="C112" s="11">
        <v>0</v>
      </c>
      <c r="D112" s="11">
        <v>0</v>
      </c>
      <c r="E112" s="11">
        <v>0</v>
      </c>
      <c r="F112" s="13">
        <v>0</v>
      </c>
      <c r="G112" s="13">
        <v>0</v>
      </c>
      <c r="H112" s="14">
        <v>0</v>
      </c>
      <c r="I112" s="14">
        <v>0</v>
      </c>
      <c r="J112" s="8" t="s">
        <v>81</v>
      </c>
      <c r="K112" s="8"/>
    </row>
    <row r="113" spans="1:11" x14ac:dyDescent="0.2">
      <c r="A113" s="10">
        <v>43220050</v>
      </c>
      <c r="B113" s="10" t="s">
        <v>315</v>
      </c>
      <c r="C113" s="11">
        <v>-259.76200000000063</v>
      </c>
      <c r="D113" s="11">
        <v>536.45399999999995</v>
      </c>
      <c r="E113" s="11">
        <v>276.64400000000001</v>
      </c>
      <c r="F113" s="13">
        <v>0</v>
      </c>
      <c r="G113" s="13">
        <v>0</v>
      </c>
      <c r="H113" s="14">
        <v>259.80999999999995</v>
      </c>
      <c r="I113" s="14">
        <v>4.7999999999319698E-2</v>
      </c>
      <c r="J113" s="8" t="s">
        <v>78</v>
      </c>
      <c r="K113" s="8"/>
    </row>
    <row r="114" spans="1:11" x14ac:dyDescent="0.2">
      <c r="A114" s="10">
        <v>43220100</v>
      </c>
      <c r="B114" s="10" t="s">
        <v>87</v>
      </c>
      <c r="C114" s="11">
        <v>-19554.357000000069</v>
      </c>
      <c r="D114" s="11">
        <v>37876.891000000003</v>
      </c>
      <c r="E114" s="11">
        <v>18322.536</v>
      </c>
      <c r="F114" s="13">
        <v>0</v>
      </c>
      <c r="G114" s="13">
        <v>0</v>
      </c>
      <c r="H114" s="14">
        <v>19554.355000000003</v>
      </c>
      <c r="I114" s="14">
        <v>-2.0000000658910722E-3</v>
      </c>
      <c r="J114" s="8" t="s">
        <v>81</v>
      </c>
      <c r="K114" s="8"/>
    </row>
    <row r="115" spans="1:11" x14ac:dyDescent="0.2">
      <c r="A115" s="10">
        <v>43220300</v>
      </c>
      <c r="B115" s="10" t="s">
        <v>88</v>
      </c>
      <c r="C115" s="11">
        <v>-42.846999999999866</v>
      </c>
      <c r="D115" s="11">
        <v>154.381</v>
      </c>
      <c r="E115" s="11">
        <v>111.48200000000001</v>
      </c>
      <c r="F115" s="13">
        <v>0</v>
      </c>
      <c r="G115" s="13">
        <v>0</v>
      </c>
      <c r="H115" s="14">
        <v>42.898999999999987</v>
      </c>
      <c r="I115" s="14">
        <v>5.2000000000120394E-2</v>
      </c>
      <c r="J115" s="8" t="s">
        <v>78</v>
      </c>
      <c r="K115" s="8"/>
    </row>
    <row r="116" spans="1:11" x14ac:dyDescent="0.2">
      <c r="A116" s="10">
        <v>43221000</v>
      </c>
      <c r="B116" s="10" t="s">
        <v>89</v>
      </c>
      <c r="C116" s="11">
        <v>33.33200000002148</v>
      </c>
      <c r="D116" s="11">
        <v>94.443999999999988</v>
      </c>
      <c r="E116" s="11">
        <v>94.443999999999988</v>
      </c>
      <c r="F116" s="13">
        <v>0</v>
      </c>
      <c r="G116" s="13">
        <v>0</v>
      </c>
      <c r="H116" s="14">
        <v>0</v>
      </c>
      <c r="I116" s="14">
        <v>33.33200000002148</v>
      </c>
      <c r="J116" s="8" t="s">
        <v>78</v>
      </c>
      <c r="K116" s="8"/>
    </row>
    <row r="117" spans="1:11" x14ac:dyDescent="0.2">
      <c r="A117" s="10">
        <v>43222000</v>
      </c>
      <c r="B117" s="10" t="s">
        <v>316</v>
      </c>
      <c r="C117" s="11">
        <v>0</v>
      </c>
      <c r="D117" s="11">
        <v>0</v>
      </c>
      <c r="E117" s="11">
        <v>0</v>
      </c>
      <c r="F117" s="13">
        <v>0</v>
      </c>
      <c r="G117" s="13">
        <v>0</v>
      </c>
      <c r="H117" s="14">
        <v>0</v>
      </c>
      <c r="I117" s="14">
        <v>0</v>
      </c>
      <c r="J117" s="8" t="s">
        <v>81</v>
      </c>
      <c r="K117" s="8"/>
    </row>
    <row r="118" spans="1:11" x14ac:dyDescent="0.2">
      <c r="A118" s="10">
        <v>43223000</v>
      </c>
      <c r="B118" s="10" t="s">
        <v>90</v>
      </c>
      <c r="C118" s="11">
        <v>-924.97200000000521</v>
      </c>
      <c r="D118" s="11">
        <v>2707.6809999999996</v>
      </c>
      <c r="E118" s="11">
        <v>1286.1489999999999</v>
      </c>
      <c r="F118" s="13">
        <v>0</v>
      </c>
      <c r="G118" s="13">
        <v>0</v>
      </c>
      <c r="H118" s="14">
        <v>1421.5319999999997</v>
      </c>
      <c r="I118" s="14">
        <v>496.55999999999449</v>
      </c>
      <c r="J118" s="8" t="s">
        <v>78</v>
      </c>
      <c r="K118" s="8"/>
    </row>
    <row r="119" spans="1:11" x14ac:dyDescent="0.2">
      <c r="A119" s="10">
        <v>43310000</v>
      </c>
      <c r="B119" s="10" t="s">
        <v>317</v>
      </c>
      <c r="C119" s="11">
        <v>0</v>
      </c>
      <c r="D119" s="11">
        <v>0</v>
      </c>
      <c r="E119" s="11">
        <v>0</v>
      </c>
      <c r="F119" s="13">
        <v>0</v>
      </c>
      <c r="G119" s="13">
        <v>0</v>
      </c>
      <c r="H119" s="14">
        <v>0</v>
      </c>
      <c r="I119" s="14">
        <v>0</v>
      </c>
      <c r="J119" s="8"/>
      <c r="K119" s="8"/>
    </row>
    <row r="120" spans="1:11" x14ac:dyDescent="0.2">
      <c r="A120" s="10">
        <v>43400000</v>
      </c>
      <c r="B120" s="10" t="s">
        <v>91</v>
      </c>
      <c r="C120" s="11">
        <v>790449.57000000007</v>
      </c>
      <c r="D120" s="11">
        <v>0</v>
      </c>
      <c r="E120" s="11">
        <v>0</v>
      </c>
      <c r="F120" s="13">
        <v>0</v>
      </c>
      <c r="G120" s="13">
        <v>0</v>
      </c>
      <c r="H120" s="14">
        <v>0</v>
      </c>
      <c r="I120" s="14">
        <v>790449.57000000007</v>
      </c>
      <c r="J120" s="8" t="s">
        <v>78</v>
      </c>
      <c r="K120" s="8"/>
    </row>
    <row r="121" spans="1:11" x14ac:dyDescent="0.2">
      <c r="A121" s="10">
        <v>43410000</v>
      </c>
      <c r="B121" s="10" t="s">
        <v>318</v>
      </c>
      <c r="C121" s="11">
        <v>153519.90699999977</v>
      </c>
      <c r="D121" s="11">
        <v>24362.097000000002</v>
      </c>
      <c r="E121" s="11">
        <v>0</v>
      </c>
      <c r="F121" s="13">
        <v>100000</v>
      </c>
      <c r="G121" s="13">
        <v>0</v>
      </c>
      <c r="H121" s="14">
        <v>124362.09700000001</v>
      </c>
      <c r="I121" s="14">
        <v>277882.00399999978</v>
      </c>
      <c r="J121" s="8" t="s">
        <v>78</v>
      </c>
      <c r="K121" s="8"/>
    </row>
    <row r="122" spans="1:11" x14ac:dyDescent="0.2">
      <c r="A122" s="10">
        <v>43420000</v>
      </c>
      <c r="B122" s="10" t="s">
        <v>92</v>
      </c>
      <c r="C122" s="11">
        <v>0</v>
      </c>
      <c r="D122" s="11">
        <v>0</v>
      </c>
      <c r="E122" s="11">
        <v>0</v>
      </c>
      <c r="F122" s="13">
        <v>0</v>
      </c>
      <c r="G122" s="13">
        <v>0</v>
      </c>
      <c r="H122" s="14">
        <v>0</v>
      </c>
      <c r="I122" s="14">
        <v>0</v>
      </c>
      <c r="J122" s="8"/>
      <c r="K122" s="8"/>
    </row>
    <row r="123" spans="1:11" x14ac:dyDescent="0.2">
      <c r="A123" s="10">
        <v>43430000</v>
      </c>
      <c r="B123" s="10" t="s">
        <v>319</v>
      </c>
      <c r="C123" s="11">
        <v>0</v>
      </c>
      <c r="D123" s="11">
        <v>652.53599999999994</v>
      </c>
      <c r="E123" s="11">
        <v>652.53599999999994</v>
      </c>
      <c r="F123" s="13">
        <v>0</v>
      </c>
      <c r="G123" s="13">
        <v>0</v>
      </c>
      <c r="H123" s="14">
        <v>0</v>
      </c>
      <c r="I123" s="14">
        <v>0</v>
      </c>
      <c r="J123" s="8" t="s">
        <v>78</v>
      </c>
      <c r="K123" s="8"/>
    </row>
    <row r="124" spans="1:11" x14ac:dyDescent="0.2">
      <c r="A124" s="10">
        <v>43440000</v>
      </c>
      <c r="B124" s="10" t="s">
        <v>320</v>
      </c>
      <c r="C124" s="11">
        <v>0</v>
      </c>
      <c r="D124" s="11">
        <v>0</v>
      </c>
      <c r="E124" s="11">
        <v>0</v>
      </c>
      <c r="F124" s="13">
        <v>0</v>
      </c>
      <c r="G124" s="13">
        <v>0</v>
      </c>
      <c r="H124" s="14">
        <v>0</v>
      </c>
      <c r="I124" s="14">
        <v>0</v>
      </c>
      <c r="J124" s="8" t="s">
        <v>78</v>
      </c>
      <c r="K124" s="8"/>
    </row>
    <row r="125" spans="1:11" x14ac:dyDescent="0.2">
      <c r="A125" s="10">
        <v>43500000</v>
      </c>
      <c r="B125" s="10" t="s">
        <v>321</v>
      </c>
      <c r="C125" s="11">
        <v>-166686.60500000001</v>
      </c>
      <c r="D125" s="11">
        <v>0</v>
      </c>
      <c r="E125" s="11">
        <v>0</v>
      </c>
      <c r="F125" s="13">
        <v>0</v>
      </c>
      <c r="G125" s="13">
        <v>0</v>
      </c>
      <c r="H125" s="14">
        <v>0</v>
      </c>
      <c r="I125" s="14">
        <v>-166686.60500000001</v>
      </c>
      <c r="J125" s="8" t="s">
        <v>81</v>
      </c>
      <c r="K125" s="8"/>
    </row>
    <row r="126" spans="1:11" x14ac:dyDescent="0.2">
      <c r="A126" s="10">
        <v>43600000</v>
      </c>
      <c r="B126" s="10" t="s">
        <v>93</v>
      </c>
      <c r="C126" s="11">
        <v>831517.1639999887</v>
      </c>
      <c r="D126" s="11">
        <v>1645619.963</v>
      </c>
      <c r="E126" s="11">
        <v>1433602.8830000001</v>
      </c>
      <c r="F126" s="13">
        <v>0</v>
      </c>
      <c r="G126" s="13">
        <v>0</v>
      </c>
      <c r="H126" s="14">
        <v>212017.07999999984</v>
      </c>
      <c r="I126" s="14">
        <v>1043534.2439999885</v>
      </c>
      <c r="J126" s="8" t="s">
        <v>78</v>
      </c>
      <c r="K126" s="8"/>
    </row>
    <row r="127" spans="1:11" x14ac:dyDescent="0.2">
      <c r="A127" s="10">
        <v>43625000</v>
      </c>
      <c r="B127" s="10" t="s">
        <v>94</v>
      </c>
      <c r="C127" s="11">
        <v>-21960.705000000133</v>
      </c>
      <c r="D127" s="11">
        <v>49851.942999999999</v>
      </c>
      <c r="E127" s="11">
        <v>27891.235999999997</v>
      </c>
      <c r="F127" s="13">
        <v>0</v>
      </c>
      <c r="G127" s="13">
        <v>0</v>
      </c>
      <c r="H127" s="14">
        <v>21960.707000000002</v>
      </c>
      <c r="I127" s="14">
        <v>1.9999998694402166E-3</v>
      </c>
      <c r="J127" s="8" t="s">
        <v>78</v>
      </c>
      <c r="K127" s="8"/>
    </row>
    <row r="128" spans="1:11" x14ac:dyDescent="0.2">
      <c r="A128" s="10">
        <v>43627000</v>
      </c>
      <c r="B128" s="10" t="s">
        <v>95</v>
      </c>
      <c r="C128" s="11">
        <v>-153724.91399999987</v>
      </c>
      <c r="D128" s="11">
        <v>348963.57999999996</v>
      </c>
      <c r="E128" s="11">
        <v>195238.64499999999</v>
      </c>
      <c r="F128" s="13">
        <v>0</v>
      </c>
      <c r="G128" s="13">
        <v>0</v>
      </c>
      <c r="H128" s="14">
        <v>153724.93499999997</v>
      </c>
      <c r="I128" s="14">
        <v>2.1000000095227733E-2</v>
      </c>
      <c r="J128" s="8" t="s">
        <v>78</v>
      </c>
      <c r="K128" s="8"/>
    </row>
    <row r="129" spans="1:11" x14ac:dyDescent="0.2">
      <c r="A129" s="10">
        <v>43630600</v>
      </c>
      <c r="B129" s="10" t="s">
        <v>322</v>
      </c>
      <c r="C129" s="11">
        <v>0</v>
      </c>
      <c r="D129" s="11">
        <v>0</v>
      </c>
      <c r="E129" s="11">
        <v>0</v>
      </c>
      <c r="F129" s="13">
        <v>0</v>
      </c>
      <c r="G129" s="13">
        <v>0</v>
      </c>
      <c r="H129" s="14">
        <v>0</v>
      </c>
      <c r="I129" s="14">
        <v>0</v>
      </c>
      <c r="J129" s="8"/>
      <c r="K129" s="8"/>
    </row>
    <row r="130" spans="1:11" x14ac:dyDescent="0.2">
      <c r="A130" s="10">
        <v>43630700</v>
      </c>
      <c r="B130" s="10" t="s">
        <v>96</v>
      </c>
      <c r="C130" s="11">
        <v>588.52099999999973</v>
      </c>
      <c r="D130" s="11">
        <v>476881.63600000006</v>
      </c>
      <c r="E130" s="11">
        <v>477470.15700000001</v>
      </c>
      <c r="F130" s="13">
        <v>0</v>
      </c>
      <c r="G130" s="13">
        <v>0</v>
      </c>
      <c r="H130" s="14">
        <v>-588.52099999994971</v>
      </c>
      <c r="I130" s="14">
        <v>5.0022208597511053E-11</v>
      </c>
      <c r="J130" s="8" t="s">
        <v>78</v>
      </c>
      <c r="K130" s="8"/>
    </row>
    <row r="131" spans="1:11" x14ac:dyDescent="0.2">
      <c r="A131" s="10">
        <v>43631000</v>
      </c>
      <c r="B131" s="10" t="s">
        <v>323</v>
      </c>
      <c r="C131" s="11">
        <v>0</v>
      </c>
      <c r="D131" s="11">
        <v>0</v>
      </c>
      <c r="E131" s="11">
        <v>0</v>
      </c>
      <c r="F131" s="13">
        <v>0</v>
      </c>
      <c r="G131" s="13">
        <v>0</v>
      </c>
      <c r="H131" s="14">
        <v>0</v>
      </c>
      <c r="I131" s="14">
        <v>0</v>
      </c>
      <c r="J131" s="8"/>
      <c r="K131" s="8"/>
    </row>
    <row r="132" spans="1:11" x14ac:dyDescent="0.2">
      <c r="A132" s="10">
        <v>43631300</v>
      </c>
      <c r="B132" s="10" t="s">
        <v>324</v>
      </c>
      <c r="C132" s="11">
        <v>1790.772999999992</v>
      </c>
      <c r="D132" s="11">
        <v>1561.6950000000002</v>
      </c>
      <c r="E132" s="11">
        <v>4897.9490000000005</v>
      </c>
      <c r="F132" s="13">
        <v>0</v>
      </c>
      <c r="G132" s="13">
        <v>0</v>
      </c>
      <c r="H132" s="14">
        <v>-3336.2540000000004</v>
      </c>
      <c r="I132" s="14">
        <v>-1545.4810000000084</v>
      </c>
      <c r="J132" s="8" t="s">
        <v>81</v>
      </c>
      <c r="K132" s="8"/>
    </row>
    <row r="133" spans="1:11" x14ac:dyDescent="0.2">
      <c r="A133" s="10">
        <v>43631800</v>
      </c>
      <c r="B133" s="10" t="s">
        <v>325</v>
      </c>
      <c r="C133" s="11">
        <v>0</v>
      </c>
      <c r="D133" s="11">
        <v>0</v>
      </c>
      <c r="E133" s="11">
        <v>0</v>
      </c>
      <c r="F133" s="13">
        <v>0</v>
      </c>
      <c r="G133" s="13">
        <v>0</v>
      </c>
      <c r="H133" s="14">
        <v>0</v>
      </c>
      <c r="I133" s="14">
        <v>0</v>
      </c>
      <c r="J133" s="8"/>
      <c r="K133" s="8"/>
    </row>
    <row r="134" spans="1:11" x14ac:dyDescent="0.2">
      <c r="A134" s="10">
        <v>43631900</v>
      </c>
      <c r="B134" s="10" t="s">
        <v>97</v>
      </c>
      <c r="C134" s="11">
        <v>819837.9019999993</v>
      </c>
      <c r="D134" s="11">
        <v>447204.91500000004</v>
      </c>
      <c r="E134" s="11">
        <v>1250803.2760000001</v>
      </c>
      <c r="F134" s="13">
        <v>0</v>
      </c>
      <c r="G134" s="13">
        <v>0</v>
      </c>
      <c r="H134" s="14">
        <v>-803598.36100000003</v>
      </c>
      <c r="I134" s="14">
        <v>16239.54099999927</v>
      </c>
      <c r="J134" s="8" t="s">
        <v>78</v>
      </c>
      <c r="K134" s="8"/>
    </row>
    <row r="135" spans="1:11" x14ac:dyDescent="0.2">
      <c r="A135" s="10">
        <v>43661800</v>
      </c>
      <c r="B135" s="10" t="s">
        <v>326</v>
      </c>
      <c r="C135" s="11">
        <v>0</v>
      </c>
      <c r="D135" s="11">
        <v>0</v>
      </c>
      <c r="E135" s="11">
        <v>0</v>
      </c>
      <c r="F135" s="13">
        <v>0</v>
      </c>
      <c r="G135" s="13">
        <v>0</v>
      </c>
      <c r="H135" s="14">
        <v>0</v>
      </c>
      <c r="I135" s="14">
        <v>0</v>
      </c>
      <c r="J135" s="8"/>
      <c r="K135" s="8"/>
    </row>
    <row r="136" spans="1:11" x14ac:dyDescent="0.2">
      <c r="A136" s="10">
        <v>43671000</v>
      </c>
      <c r="B136" s="10" t="s">
        <v>98</v>
      </c>
      <c r="C136" s="11">
        <v>-475820.91500000213</v>
      </c>
      <c r="D136" s="11">
        <v>1052412.4269999999</v>
      </c>
      <c r="E136" s="11">
        <v>576133.07499999995</v>
      </c>
      <c r="F136" s="13">
        <v>0</v>
      </c>
      <c r="G136" s="13">
        <v>0</v>
      </c>
      <c r="H136" s="14">
        <v>476279.35199999996</v>
      </c>
      <c r="I136" s="14">
        <v>458.43699999782257</v>
      </c>
      <c r="J136" s="8" t="s">
        <v>78</v>
      </c>
      <c r="K136" s="8"/>
    </row>
    <row r="137" spans="1:11" x14ac:dyDescent="0.2">
      <c r="A137" s="10">
        <v>43700000</v>
      </c>
      <c r="B137" s="10" t="s">
        <v>99</v>
      </c>
      <c r="C137" s="11">
        <v>-5</v>
      </c>
      <c r="D137" s="11">
        <v>9</v>
      </c>
      <c r="E137" s="11">
        <v>4</v>
      </c>
      <c r="F137" s="13">
        <v>0</v>
      </c>
      <c r="G137" s="13">
        <v>0</v>
      </c>
      <c r="H137" s="14">
        <v>5</v>
      </c>
      <c r="I137" s="14">
        <v>0</v>
      </c>
      <c r="J137" s="8" t="s">
        <v>81</v>
      </c>
      <c r="K137" s="8"/>
    </row>
    <row r="138" spans="1:11" x14ac:dyDescent="0.2">
      <c r="A138" s="10">
        <v>43720000</v>
      </c>
      <c r="B138" s="10" t="s">
        <v>327</v>
      </c>
      <c r="C138" s="11">
        <v>-1843.7079999999999</v>
      </c>
      <c r="D138" s="11">
        <v>0</v>
      </c>
      <c r="E138" s="11">
        <v>0</v>
      </c>
      <c r="F138" s="13">
        <v>0</v>
      </c>
      <c r="G138" s="13">
        <v>0</v>
      </c>
      <c r="H138" s="14">
        <v>0</v>
      </c>
      <c r="I138" s="14">
        <v>-1843.7079999999999</v>
      </c>
      <c r="J138" s="8" t="s">
        <v>81</v>
      </c>
      <c r="K138" s="8"/>
    </row>
    <row r="139" spans="1:11" x14ac:dyDescent="0.2">
      <c r="A139" s="10">
        <v>43756000</v>
      </c>
      <c r="B139" s="10" t="s">
        <v>328</v>
      </c>
      <c r="C139" s="11">
        <v>0</v>
      </c>
      <c r="D139" s="11">
        <v>0</v>
      </c>
      <c r="E139" s="11">
        <v>0</v>
      </c>
      <c r="F139" s="13">
        <v>0</v>
      </c>
      <c r="G139" s="13">
        <v>0</v>
      </c>
      <c r="H139" s="14">
        <v>0</v>
      </c>
      <c r="I139" s="14">
        <v>0</v>
      </c>
      <c r="J139" s="8"/>
      <c r="K139" s="8"/>
    </row>
    <row r="140" spans="1:11" x14ac:dyDescent="0.2">
      <c r="A140" s="10">
        <v>44100000</v>
      </c>
      <c r="B140" s="10" t="s">
        <v>329</v>
      </c>
      <c r="C140" s="11">
        <v>0</v>
      </c>
      <c r="D140" s="11">
        <v>0</v>
      </c>
      <c r="E140" s="11">
        <v>0</v>
      </c>
      <c r="F140" s="13">
        <v>0</v>
      </c>
      <c r="G140" s="13">
        <v>0</v>
      </c>
      <c r="H140" s="14">
        <v>0</v>
      </c>
      <c r="I140" s="14">
        <v>0</v>
      </c>
      <c r="J140" s="8"/>
      <c r="K140" s="8"/>
    </row>
    <row r="141" spans="1:11" x14ac:dyDescent="0.2">
      <c r="A141" s="10">
        <v>44101000</v>
      </c>
      <c r="B141" s="10" t="s">
        <v>7717</v>
      </c>
      <c r="C141" s="11">
        <v>51670</v>
      </c>
      <c r="D141" s="11">
        <v>5396.353000000001</v>
      </c>
      <c r="E141" s="11">
        <v>0</v>
      </c>
      <c r="F141" s="13">
        <v>0</v>
      </c>
      <c r="G141" s="13">
        <v>0</v>
      </c>
      <c r="H141" s="14">
        <v>5396.353000000001</v>
      </c>
      <c r="I141" s="14">
        <v>57066.353000000003</v>
      </c>
      <c r="J141" s="8" t="s">
        <v>78</v>
      </c>
      <c r="K141" s="8"/>
    </row>
    <row r="142" spans="1:11" x14ac:dyDescent="0.2">
      <c r="A142" s="10">
        <v>44200000</v>
      </c>
      <c r="B142" s="10" t="s">
        <v>330</v>
      </c>
      <c r="C142" s="11">
        <v>0</v>
      </c>
      <c r="D142" s="11">
        <v>0</v>
      </c>
      <c r="E142" s="11">
        <v>0</v>
      </c>
      <c r="F142" s="13">
        <v>0</v>
      </c>
      <c r="G142" s="13">
        <v>0</v>
      </c>
      <c r="H142" s="14">
        <v>0</v>
      </c>
      <c r="I142" s="14">
        <v>0</v>
      </c>
      <c r="J142" s="8"/>
      <c r="K142" s="8"/>
    </row>
    <row r="143" spans="1:11" x14ac:dyDescent="0.2">
      <c r="A143" s="10">
        <v>44201000</v>
      </c>
      <c r="B143" s="10" t="s">
        <v>331</v>
      </c>
      <c r="C143" s="11">
        <v>0</v>
      </c>
      <c r="D143" s="11">
        <v>0</v>
      </c>
      <c r="E143" s="11">
        <v>0</v>
      </c>
      <c r="F143" s="13">
        <v>0</v>
      </c>
      <c r="G143" s="13">
        <v>0</v>
      </c>
      <c r="H143" s="14">
        <v>0</v>
      </c>
      <c r="I143" s="14">
        <v>0</v>
      </c>
      <c r="J143" s="8"/>
      <c r="K143" s="8"/>
    </row>
    <row r="144" spans="1:11" x14ac:dyDescent="0.2">
      <c r="A144" s="10">
        <v>44202000</v>
      </c>
      <c r="B144" s="10" t="s">
        <v>332</v>
      </c>
      <c r="C144" s="11">
        <v>0</v>
      </c>
      <c r="D144" s="11">
        <v>0</v>
      </c>
      <c r="E144" s="11">
        <v>0</v>
      </c>
      <c r="F144" s="13">
        <v>0</v>
      </c>
      <c r="G144" s="13">
        <v>0</v>
      </c>
      <c r="H144" s="14">
        <v>0</v>
      </c>
      <c r="I144" s="14">
        <v>0</v>
      </c>
      <c r="J144" s="8"/>
      <c r="K144" s="8"/>
    </row>
    <row r="145" spans="1:11" x14ac:dyDescent="0.2">
      <c r="A145" s="10">
        <v>44203000</v>
      </c>
      <c r="B145" s="10" t="s">
        <v>333</v>
      </c>
      <c r="C145" s="11">
        <v>0</v>
      </c>
      <c r="D145" s="11">
        <v>0</v>
      </c>
      <c r="E145" s="11">
        <v>0</v>
      </c>
      <c r="F145" s="13">
        <v>0</v>
      </c>
      <c r="G145" s="13">
        <v>0</v>
      </c>
      <c r="H145" s="14">
        <v>0</v>
      </c>
      <c r="I145" s="14">
        <v>0</v>
      </c>
      <c r="J145" s="8"/>
      <c r="K145" s="8"/>
    </row>
    <row r="146" spans="1:11" x14ac:dyDescent="0.2">
      <c r="A146" s="10">
        <v>44204000</v>
      </c>
      <c r="B146" s="10" t="s">
        <v>334</v>
      </c>
      <c r="C146" s="11">
        <v>0</v>
      </c>
      <c r="D146" s="11">
        <v>0</v>
      </c>
      <c r="E146" s="11">
        <v>0</v>
      </c>
      <c r="F146" s="13">
        <v>0</v>
      </c>
      <c r="G146" s="13">
        <v>0</v>
      </c>
      <c r="H146" s="14">
        <v>0</v>
      </c>
      <c r="I146" s="14">
        <v>0</v>
      </c>
      <c r="J146" s="8"/>
      <c r="K146" s="8"/>
    </row>
    <row r="147" spans="1:11" x14ac:dyDescent="0.2">
      <c r="A147" s="10">
        <v>44205000</v>
      </c>
      <c r="B147" s="10" t="s">
        <v>335</v>
      </c>
      <c r="C147" s="11">
        <v>0</v>
      </c>
      <c r="D147" s="11">
        <v>0</v>
      </c>
      <c r="E147" s="11">
        <v>0</v>
      </c>
      <c r="F147" s="13">
        <v>0</v>
      </c>
      <c r="G147" s="13">
        <v>0</v>
      </c>
      <c r="H147" s="14">
        <v>0</v>
      </c>
      <c r="I147" s="14">
        <v>0</v>
      </c>
      <c r="J147" s="8"/>
      <c r="K147" s="8"/>
    </row>
    <row r="148" spans="1:11" x14ac:dyDescent="0.2">
      <c r="A148" s="10">
        <v>44206000</v>
      </c>
      <c r="B148" s="10" t="s">
        <v>100</v>
      </c>
      <c r="C148" s="11">
        <v>-669999.99999999988</v>
      </c>
      <c r="D148" s="11">
        <v>0</v>
      </c>
      <c r="E148" s="11">
        <v>0</v>
      </c>
      <c r="F148" s="13">
        <v>0</v>
      </c>
      <c r="G148" s="13">
        <v>0</v>
      </c>
      <c r="H148" s="14">
        <v>0</v>
      </c>
      <c r="I148" s="14">
        <v>-669999.99999999988</v>
      </c>
      <c r="J148" s="8" t="s">
        <v>81</v>
      </c>
      <c r="K148" s="8"/>
    </row>
    <row r="149" spans="1:11" x14ac:dyDescent="0.2">
      <c r="A149" s="10">
        <v>44207000</v>
      </c>
      <c r="B149" s="10" t="s">
        <v>336</v>
      </c>
      <c r="C149" s="11">
        <v>85000</v>
      </c>
      <c r="D149" s="11">
        <v>0</v>
      </c>
      <c r="E149" s="11">
        <v>0</v>
      </c>
      <c r="F149" s="13">
        <v>0</v>
      </c>
      <c r="G149" s="13">
        <v>0</v>
      </c>
      <c r="H149" s="14">
        <v>0</v>
      </c>
      <c r="I149" s="14">
        <v>85000</v>
      </c>
      <c r="J149" s="8" t="s">
        <v>78</v>
      </c>
      <c r="K149" s="8"/>
    </row>
    <row r="150" spans="1:11" x14ac:dyDescent="0.2">
      <c r="A150" s="10">
        <v>44208000</v>
      </c>
      <c r="B150" s="10" t="s">
        <v>337</v>
      </c>
      <c r="C150" s="11">
        <v>2270.971</v>
      </c>
      <c r="D150" s="11">
        <v>0</v>
      </c>
      <c r="E150" s="11">
        <v>0</v>
      </c>
      <c r="F150" s="13">
        <v>0</v>
      </c>
      <c r="G150" s="13">
        <v>0</v>
      </c>
      <c r="H150" s="14">
        <v>0</v>
      </c>
      <c r="I150" s="14">
        <v>2270.971</v>
      </c>
      <c r="J150" s="8" t="s">
        <v>78</v>
      </c>
      <c r="K150" s="8"/>
    </row>
    <row r="151" spans="1:11" x14ac:dyDescent="0.2">
      <c r="A151" s="10">
        <v>44209000</v>
      </c>
      <c r="B151" s="10" t="s">
        <v>392</v>
      </c>
      <c r="C151" s="11">
        <v>-1400000</v>
      </c>
      <c r="D151" s="11">
        <v>3715.2280000000001</v>
      </c>
      <c r="E151" s="11">
        <v>88.346000000000004</v>
      </c>
      <c r="F151" s="13">
        <v>0</v>
      </c>
      <c r="G151" s="13">
        <v>0</v>
      </c>
      <c r="H151" s="14">
        <v>3626.8820000000001</v>
      </c>
      <c r="I151" s="14">
        <v>-1396373.118</v>
      </c>
      <c r="J151" s="8" t="s">
        <v>81</v>
      </c>
      <c r="K151" s="8"/>
    </row>
    <row r="152" spans="1:11" x14ac:dyDescent="0.2">
      <c r="A152" s="10">
        <v>44210000</v>
      </c>
      <c r="B152" s="10" t="s">
        <v>338</v>
      </c>
      <c r="C152" s="11">
        <v>0</v>
      </c>
      <c r="D152" s="11">
        <v>0</v>
      </c>
      <c r="E152" s="11">
        <v>0</v>
      </c>
      <c r="F152" s="13">
        <v>0</v>
      </c>
      <c r="G152" s="13">
        <v>0</v>
      </c>
      <c r="H152" s="14">
        <v>0</v>
      </c>
      <c r="I152" s="14">
        <v>0</v>
      </c>
      <c r="J152" s="8"/>
      <c r="K152" s="8"/>
    </row>
    <row r="153" spans="1:11" x14ac:dyDescent="0.2">
      <c r="A153" s="10">
        <v>44600000</v>
      </c>
      <c r="B153" s="10" t="s">
        <v>339</v>
      </c>
      <c r="C153" s="11">
        <v>0</v>
      </c>
      <c r="D153" s="11">
        <v>0</v>
      </c>
      <c r="E153" s="11">
        <v>0</v>
      </c>
      <c r="F153" s="13">
        <v>0</v>
      </c>
      <c r="G153" s="13">
        <v>0</v>
      </c>
      <c r="H153" s="14">
        <v>0</v>
      </c>
      <c r="I153" s="14">
        <v>0</v>
      </c>
      <c r="J153" s="8"/>
      <c r="K153" s="8"/>
    </row>
    <row r="154" spans="1:11" x14ac:dyDescent="0.2">
      <c r="A154" s="10">
        <v>44700000</v>
      </c>
      <c r="B154" s="10" t="s">
        <v>101</v>
      </c>
      <c r="C154" s="11">
        <v>0</v>
      </c>
      <c r="D154" s="11">
        <v>0</v>
      </c>
      <c r="E154" s="11">
        <v>0</v>
      </c>
      <c r="F154" s="13">
        <v>0</v>
      </c>
      <c r="G154" s="13">
        <v>0</v>
      </c>
      <c r="H154" s="14">
        <v>0</v>
      </c>
      <c r="I154" s="14">
        <v>0</v>
      </c>
      <c r="J154" s="8"/>
      <c r="K154" s="8"/>
    </row>
    <row r="155" spans="1:11" x14ac:dyDescent="0.2">
      <c r="A155" s="10">
        <v>45000000</v>
      </c>
      <c r="B155" s="10" t="s">
        <v>102</v>
      </c>
      <c r="C155" s="11">
        <v>-12699.999999999534</v>
      </c>
      <c r="D155" s="11">
        <v>0</v>
      </c>
      <c r="E155" s="11">
        <v>0</v>
      </c>
      <c r="F155" s="13">
        <v>0</v>
      </c>
      <c r="G155" s="13">
        <v>0</v>
      </c>
      <c r="H155" s="14">
        <v>0</v>
      </c>
      <c r="I155" s="14">
        <v>-12699.999999999534</v>
      </c>
      <c r="J155" s="8" t="s">
        <v>81</v>
      </c>
      <c r="K155" s="8"/>
    </row>
    <row r="156" spans="1:11" x14ac:dyDescent="0.2">
      <c r="A156" s="10">
        <v>45200000</v>
      </c>
      <c r="B156" s="10" t="s">
        <v>103</v>
      </c>
      <c r="C156" s="11">
        <v>0</v>
      </c>
      <c r="D156" s="11">
        <v>0</v>
      </c>
      <c r="E156" s="11">
        <v>0</v>
      </c>
      <c r="F156" s="13">
        <v>0</v>
      </c>
      <c r="G156" s="13">
        <v>0</v>
      </c>
      <c r="H156" s="14">
        <v>0</v>
      </c>
      <c r="I156" s="14">
        <v>0</v>
      </c>
      <c r="J156" s="8" t="s">
        <v>81</v>
      </c>
      <c r="K156" s="8"/>
    </row>
    <row r="157" spans="1:11" x14ac:dyDescent="0.2">
      <c r="A157" s="10">
        <v>45310000</v>
      </c>
      <c r="B157" s="10" t="s">
        <v>104</v>
      </c>
      <c r="C157" s="11">
        <v>-114479.79600000009</v>
      </c>
      <c r="D157" s="11">
        <v>11125.392</v>
      </c>
      <c r="E157" s="11">
        <v>114467.94099999999</v>
      </c>
      <c r="F157" s="13">
        <v>57406.173999999999</v>
      </c>
      <c r="G157" s="13">
        <v>0</v>
      </c>
      <c r="H157" s="14">
        <v>-45936.375</v>
      </c>
      <c r="I157" s="14">
        <v>-160416.17100000009</v>
      </c>
      <c r="J157" s="8" t="s">
        <v>81</v>
      </c>
      <c r="K157" s="8"/>
    </row>
    <row r="158" spans="1:11" x14ac:dyDescent="0.2">
      <c r="A158" s="10">
        <v>45700000</v>
      </c>
      <c r="B158" s="10" t="s">
        <v>105</v>
      </c>
      <c r="C158" s="11">
        <v>5876</v>
      </c>
      <c r="D158" s="11">
        <v>0</v>
      </c>
      <c r="E158" s="11">
        <v>0</v>
      </c>
      <c r="F158" s="13">
        <v>0</v>
      </c>
      <c r="G158" s="13">
        <v>0</v>
      </c>
      <c r="H158" s="14">
        <v>0</v>
      </c>
      <c r="I158" s="14">
        <v>5876</v>
      </c>
      <c r="J158" s="8" t="s">
        <v>78</v>
      </c>
      <c r="K158" s="8"/>
    </row>
    <row r="159" spans="1:11" x14ac:dyDescent="0.2">
      <c r="A159" s="10">
        <v>45860000</v>
      </c>
      <c r="B159" s="10" t="s">
        <v>106</v>
      </c>
      <c r="C159" s="11">
        <v>-1172610.6701999994</v>
      </c>
      <c r="D159" s="11">
        <v>27123.945</v>
      </c>
      <c r="E159" s="11">
        <v>0</v>
      </c>
      <c r="F159" s="13">
        <v>346582.50400000002</v>
      </c>
      <c r="G159" s="13">
        <v>467240.08240000001</v>
      </c>
      <c r="H159" s="14">
        <v>-93533.633399999992</v>
      </c>
      <c r="I159" s="14">
        <v>-1266144.3035999993</v>
      </c>
      <c r="J159" s="8" t="s">
        <v>81</v>
      </c>
      <c r="K159" s="8"/>
    </row>
    <row r="160" spans="1:11" x14ac:dyDescent="0.2">
      <c r="A160" s="10">
        <v>45870000</v>
      </c>
      <c r="B160" s="10" t="s">
        <v>107</v>
      </c>
      <c r="C160" s="11">
        <v>16096.500000000004</v>
      </c>
      <c r="D160" s="11">
        <v>0</v>
      </c>
      <c r="E160" s="11">
        <v>0</v>
      </c>
      <c r="F160" s="13">
        <v>3219.3</v>
      </c>
      <c r="G160" s="13">
        <v>0</v>
      </c>
      <c r="H160" s="14">
        <v>3219.3</v>
      </c>
      <c r="I160" s="14">
        <v>19315.800000000003</v>
      </c>
      <c r="J160" s="8" t="s">
        <v>78</v>
      </c>
      <c r="K160" s="8"/>
    </row>
    <row r="161" spans="1:11" x14ac:dyDescent="0.2">
      <c r="A161" s="10">
        <v>46100000</v>
      </c>
      <c r="B161" s="10" t="s">
        <v>340</v>
      </c>
      <c r="C161" s="11">
        <v>0</v>
      </c>
      <c r="D161" s="11">
        <v>0</v>
      </c>
      <c r="E161" s="11">
        <v>0</v>
      </c>
      <c r="F161" s="13">
        <v>0</v>
      </c>
      <c r="G161" s="13">
        <v>0</v>
      </c>
      <c r="H161" s="14">
        <v>0</v>
      </c>
      <c r="I161" s="14">
        <v>0</v>
      </c>
      <c r="J161" s="8"/>
      <c r="K161" s="8"/>
    </row>
    <row r="162" spans="1:11" x14ac:dyDescent="0.2">
      <c r="A162" s="10">
        <v>46800000</v>
      </c>
      <c r="B162" s="10" t="s">
        <v>108</v>
      </c>
      <c r="C162" s="11">
        <v>0</v>
      </c>
      <c r="D162" s="11">
        <v>0</v>
      </c>
      <c r="E162" s="11">
        <v>0</v>
      </c>
      <c r="F162" s="13">
        <v>0</v>
      </c>
      <c r="G162" s="13">
        <v>0</v>
      </c>
      <c r="H162" s="14">
        <v>0</v>
      </c>
      <c r="I162" s="14">
        <v>0</v>
      </c>
      <c r="J162" s="8"/>
      <c r="K162" s="8"/>
    </row>
    <row r="163" spans="1:11" x14ac:dyDescent="0.2">
      <c r="A163" s="10">
        <v>47100000</v>
      </c>
      <c r="B163" s="10" t="s">
        <v>109</v>
      </c>
      <c r="C163" s="11">
        <v>147616.80484600016</v>
      </c>
      <c r="D163" s="11">
        <v>194791.66699999999</v>
      </c>
      <c r="E163" s="11">
        <v>412590.359</v>
      </c>
      <c r="F163" s="13">
        <v>341325.56650000002</v>
      </c>
      <c r="G163" s="13">
        <v>112194.0891</v>
      </c>
      <c r="H163" s="14">
        <v>11332.785399999979</v>
      </c>
      <c r="I163" s="14">
        <v>158949.59024600015</v>
      </c>
      <c r="J163" s="8" t="s">
        <v>78</v>
      </c>
      <c r="K163" s="8"/>
    </row>
    <row r="164" spans="1:11" x14ac:dyDescent="0.2">
      <c r="A164" s="10">
        <v>47200000</v>
      </c>
      <c r="B164" s="10" t="s">
        <v>341</v>
      </c>
      <c r="C164" s="11">
        <v>0</v>
      </c>
      <c r="D164" s="11">
        <v>0</v>
      </c>
      <c r="E164" s="11">
        <v>0</v>
      </c>
      <c r="F164" s="13">
        <v>0</v>
      </c>
      <c r="G164" s="13">
        <v>0</v>
      </c>
      <c r="H164" s="14">
        <v>0</v>
      </c>
      <c r="I164" s="14">
        <v>0</v>
      </c>
      <c r="J164" s="8"/>
      <c r="K164" s="8"/>
    </row>
    <row r="165" spans="1:11" x14ac:dyDescent="0.2">
      <c r="A165" s="10">
        <v>49100000</v>
      </c>
      <c r="B165" s="10" t="s">
        <v>110</v>
      </c>
      <c r="C165" s="11">
        <v>-457129.14999999991</v>
      </c>
      <c r="D165" s="11">
        <v>0</v>
      </c>
      <c r="E165" s="11">
        <v>0</v>
      </c>
      <c r="F165" s="13">
        <v>0</v>
      </c>
      <c r="G165" s="13">
        <v>0</v>
      </c>
      <c r="H165" s="14">
        <v>0</v>
      </c>
      <c r="I165" s="14">
        <v>-457129.14999999991</v>
      </c>
      <c r="J165" s="8" t="s">
        <v>111</v>
      </c>
      <c r="K165" s="8"/>
    </row>
    <row r="166" spans="1:11" x14ac:dyDescent="0.2">
      <c r="A166" s="10">
        <v>49600000</v>
      </c>
      <c r="B166" s="10" t="s">
        <v>112</v>
      </c>
      <c r="C166" s="11">
        <v>-288613.68499999994</v>
      </c>
      <c r="D166" s="11">
        <v>0</v>
      </c>
      <c r="E166" s="11">
        <v>0</v>
      </c>
      <c r="F166" s="13">
        <v>0</v>
      </c>
      <c r="G166" s="13">
        <v>0</v>
      </c>
      <c r="H166" s="14">
        <v>0</v>
      </c>
      <c r="I166" s="14">
        <v>-288613.68499999994</v>
      </c>
      <c r="J166" s="8" t="s">
        <v>113</v>
      </c>
      <c r="K166" s="8"/>
    </row>
    <row r="167" spans="1:11" x14ac:dyDescent="0.2">
      <c r="A167" s="10">
        <v>50130000</v>
      </c>
      <c r="B167" s="10" t="s">
        <v>114</v>
      </c>
      <c r="C167" s="11">
        <v>-6000000</v>
      </c>
      <c r="D167" s="11">
        <v>6000000</v>
      </c>
      <c r="E167" s="11">
        <v>6000000</v>
      </c>
      <c r="F167" s="13">
        <v>0</v>
      </c>
      <c r="G167" s="13">
        <v>0</v>
      </c>
      <c r="H167" s="14">
        <v>0</v>
      </c>
      <c r="I167" s="14">
        <v>-6000000</v>
      </c>
      <c r="J167" s="8" t="s">
        <v>115</v>
      </c>
      <c r="K167" s="8"/>
    </row>
    <row r="168" spans="1:11" x14ac:dyDescent="0.2">
      <c r="A168" s="10">
        <v>50140000</v>
      </c>
      <c r="B168" s="10" t="s">
        <v>116</v>
      </c>
      <c r="C168" s="11">
        <v>-4000000</v>
      </c>
      <c r="D168" s="11">
        <v>4000000</v>
      </c>
      <c r="E168" s="11">
        <v>4000000</v>
      </c>
      <c r="F168" s="13">
        <v>0</v>
      </c>
      <c r="G168" s="13">
        <v>0</v>
      </c>
      <c r="H168" s="14">
        <v>0</v>
      </c>
      <c r="I168" s="14">
        <v>-4000000</v>
      </c>
      <c r="J168" s="8" t="s">
        <v>115</v>
      </c>
      <c r="K168" s="8"/>
    </row>
    <row r="169" spans="1:11" x14ac:dyDescent="0.2">
      <c r="A169" s="10">
        <v>50500000</v>
      </c>
      <c r="B169" s="10" t="s">
        <v>117</v>
      </c>
      <c r="C169" s="11">
        <v>-312500.00400000135</v>
      </c>
      <c r="D169" s="11">
        <v>0</v>
      </c>
      <c r="E169" s="11">
        <v>0</v>
      </c>
      <c r="F169" s="13">
        <v>0</v>
      </c>
      <c r="G169" s="13">
        <v>0</v>
      </c>
      <c r="H169" s="14">
        <v>0</v>
      </c>
      <c r="I169" s="14">
        <v>-312500.00400000135</v>
      </c>
      <c r="J169" s="8" t="s">
        <v>115</v>
      </c>
      <c r="K169" s="8"/>
    </row>
    <row r="170" spans="1:11" x14ac:dyDescent="0.2">
      <c r="A170" s="10">
        <v>50515000</v>
      </c>
      <c r="B170" s="10" t="s">
        <v>118</v>
      </c>
      <c r="C170" s="11">
        <v>-68812.809000000139</v>
      </c>
      <c r="D170" s="11">
        <v>9491.5149999999994</v>
      </c>
      <c r="E170" s="11">
        <v>0</v>
      </c>
      <c r="F170" s="13">
        <v>0</v>
      </c>
      <c r="G170" s="13">
        <v>0</v>
      </c>
      <c r="H170" s="14">
        <v>9491.5149999999994</v>
      </c>
      <c r="I170" s="14">
        <v>-59321.29400000014</v>
      </c>
      <c r="J170" s="8" t="s">
        <v>115</v>
      </c>
      <c r="K170" s="8"/>
    </row>
    <row r="171" spans="1:11" x14ac:dyDescent="0.2">
      <c r="A171" s="10">
        <v>50610100</v>
      </c>
      <c r="B171" s="10" t="s">
        <v>342</v>
      </c>
      <c r="C171" s="11">
        <v>0</v>
      </c>
      <c r="D171" s="11">
        <v>0</v>
      </c>
      <c r="E171" s="11">
        <v>0</v>
      </c>
      <c r="F171" s="13">
        <v>0</v>
      </c>
      <c r="G171" s="13">
        <v>0</v>
      </c>
      <c r="H171" s="14">
        <v>0</v>
      </c>
      <c r="I171" s="14">
        <v>0</v>
      </c>
      <c r="J171" s="8"/>
      <c r="K171" s="8"/>
    </row>
    <row r="172" spans="1:11" x14ac:dyDescent="0.2">
      <c r="A172" s="10">
        <v>50610900</v>
      </c>
      <c r="B172" s="10" t="s">
        <v>119</v>
      </c>
      <c r="C172" s="11">
        <v>3.7650018930435181E-4</v>
      </c>
      <c r="D172" s="11">
        <v>3554162.2097669998</v>
      </c>
      <c r="E172" s="11">
        <v>4374255.7047669999</v>
      </c>
      <c r="F172" s="13">
        <v>0</v>
      </c>
      <c r="G172" s="13">
        <v>15761.423699999999</v>
      </c>
      <c r="H172" s="14">
        <v>-835854.91870000015</v>
      </c>
      <c r="I172" s="14">
        <v>-835854.91832349997</v>
      </c>
      <c r="J172" s="8" t="s">
        <v>115</v>
      </c>
      <c r="K172" s="8"/>
    </row>
    <row r="173" spans="1:11" x14ac:dyDescent="0.2">
      <c r="A173" s="10">
        <v>50630000</v>
      </c>
      <c r="B173" s="10" t="s">
        <v>343</v>
      </c>
      <c r="C173" s="11">
        <v>0</v>
      </c>
      <c r="D173" s="11">
        <v>0</v>
      </c>
      <c r="E173" s="11">
        <v>0</v>
      </c>
      <c r="F173" s="13">
        <v>0</v>
      </c>
      <c r="G173" s="13">
        <v>0</v>
      </c>
      <c r="H173" s="14">
        <v>0</v>
      </c>
      <c r="I173" s="14">
        <v>0</v>
      </c>
      <c r="J173" s="8"/>
      <c r="K173" s="8"/>
    </row>
    <row r="174" spans="1:11" x14ac:dyDescent="0.2">
      <c r="A174" s="10">
        <v>50800000</v>
      </c>
      <c r="B174" s="10" t="s">
        <v>344</v>
      </c>
      <c r="C174" s="11">
        <v>0</v>
      </c>
      <c r="D174" s="11">
        <v>0</v>
      </c>
      <c r="E174" s="11">
        <v>0</v>
      </c>
      <c r="F174" s="13">
        <v>0</v>
      </c>
      <c r="G174" s="13">
        <v>0</v>
      </c>
      <c r="H174" s="14">
        <v>0</v>
      </c>
      <c r="I174" s="14">
        <v>0</v>
      </c>
      <c r="J174" s="8" t="s">
        <v>115</v>
      </c>
      <c r="K174" s="8"/>
    </row>
    <row r="175" spans="1:11" x14ac:dyDescent="0.2">
      <c r="A175" s="10">
        <v>52000000</v>
      </c>
      <c r="B175" s="10" t="s">
        <v>345</v>
      </c>
      <c r="C175" s="11">
        <v>0</v>
      </c>
      <c r="D175" s="11">
        <v>0</v>
      </c>
      <c r="E175" s="11">
        <v>0</v>
      </c>
      <c r="F175" s="13">
        <v>0</v>
      </c>
      <c r="G175" s="13">
        <v>0</v>
      </c>
      <c r="H175" s="14">
        <v>0</v>
      </c>
      <c r="I175" s="14">
        <v>0</v>
      </c>
      <c r="J175" s="8"/>
      <c r="K175" s="8"/>
    </row>
    <row r="176" spans="1:11" x14ac:dyDescent="0.2">
      <c r="A176" s="10">
        <v>52001100</v>
      </c>
      <c r="B176" s="10" t="s">
        <v>346</v>
      </c>
      <c r="C176" s="11">
        <v>0</v>
      </c>
      <c r="D176" s="11">
        <v>0</v>
      </c>
      <c r="E176" s="11">
        <v>0</v>
      </c>
      <c r="F176" s="13">
        <v>0</v>
      </c>
      <c r="G176" s="13">
        <v>0</v>
      </c>
      <c r="H176" s="14">
        <v>0</v>
      </c>
      <c r="I176" s="14">
        <v>0</v>
      </c>
      <c r="J176" s="8"/>
      <c r="K176" s="8"/>
    </row>
    <row r="177" spans="1:11" x14ac:dyDescent="0.2">
      <c r="A177" s="10">
        <v>53140000</v>
      </c>
      <c r="B177" s="10" t="s">
        <v>347</v>
      </c>
      <c r="C177" s="11">
        <v>0</v>
      </c>
      <c r="D177" s="11">
        <v>0</v>
      </c>
      <c r="E177" s="11">
        <v>0</v>
      </c>
      <c r="F177" s="13">
        <v>0</v>
      </c>
      <c r="G177" s="13">
        <v>0</v>
      </c>
      <c r="H177" s="14">
        <v>0</v>
      </c>
      <c r="I177" s="14">
        <v>0</v>
      </c>
      <c r="J177" s="8"/>
      <c r="K177" s="8"/>
    </row>
    <row r="178" spans="1:11" x14ac:dyDescent="0.2">
      <c r="A178" s="10">
        <v>53200000</v>
      </c>
      <c r="B178" s="10" t="s">
        <v>120</v>
      </c>
      <c r="C178" s="11">
        <v>140585.13800000027</v>
      </c>
      <c r="D178" s="11">
        <v>2273000</v>
      </c>
      <c r="E178" s="11">
        <v>2308376.4280000003</v>
      </c>
      <c r="F178" s="13">
        <v>0</v>
      </c>
      <c r="G178" s="13">
        <v>0</v>
      </c>
      <c r="H178" s="14">
        <v>-35376.428000000305</v>
      </c>
      <c r="I178" s="14">
        <v>105208.70999999996</v>
      </c>
      <c r="J178" s="8" t="s">
        <v>121</v>
      </c>
      <c r="K178" s="8"/>
    </row>
    <row r="179" spans="1:11" x14ac:dyDescent="0.2">
      <c r="A179" s="10">
        <v>53201000</v>
      </c>
      <c r="B179" s="10" t="s">
        <v>348</v>
      </c>
      <c r="C179" s="11">
        <v>0</v>
      </c>
      <c r="D179" s="11">
        <v>0</v>
      </c>
      <c r="E179" s="11">
        <v>0</v>
      </c>
      <c r="F179" s="13">
        <v>0</v>
      </c>
      <c r="G179" s="13">
        <v>0</v>
      </c>
      <c r="H179" s="14">
        <v>0</v>
      </c>
      <c r="I179" s="14">
        <v>0</v>
      </c>
      <c r="J179" s="8"/>
      <c r="K179" s="8"/>
    </row>
    <row r="180" spans="1:11" x14ac:dyDescent="0.2">
      <c r="A180" s="10">
        <v>53202000</v>
      </c>
      <c r="B180" s="10" t="s">
        <v>122</v>
      </c>
      <c r="C180" s="11">
        <v>435.74199999962002</v>
      </c>
      <c r="D180" s="11">
        <v>0</v>
      </c>
      <c r="E180" s="11">
        <v>0</v>
      </c>
      <c r="F180" s="13">
        <v>0</v>
      </c>
      <c r="G180" s="13">
        <v>0</v>
      </c>
      <c r="H180" s="14">
        <v>0</v>
      </c>
      <c r="I180" s="14">
        <v>435.74199999962002</v>
      </c>
      <c r="J180" s="8" t="s">
        <v>121</v>
      </c>
      <c r="K180" s="8"/>
    </row>
    <row r="181" spans="1:11" x14ac:dyDescent="0.2">
      <c r="A181" s="10">
        <v>53203000</v>
      </c>
      <c r="B181" s="10" t="s">
        <v>349</v>
      </c>
      <c r="C181" s="11">
        <v>58976.476999999955</v>
      </c>
      <c r="D181" s="11">
        <v>236774.33600000004</v>
      </c>
      <c r="E181" s="11">
        <v>187287.28899999999</v>
      </c>
      <c r="F181" s="13">
        <v>0</v>
      </c>
      <c r="G181" s="13">
        <v>0</v>
      </c>
      <c r="H181" s="14">
        <v>49487.04700000005</v>
      </c>
      <c r="I181" s="14">
        <v>108463.524</v>
      </c>
      <c r="J181" s="8" t="s">
        <v>121</v>
      </c>
      <c r="K181" s="8"/>
    </row>
    <row r="182" spans="1:11" x14ac:dyDescent="0.2">
      <c r="A182" s="10">
        <v>53204000</v>
      </c>
      <c r="B182" s="10" t="s">
        <v>350</v>
      </c>
      <c r="C182" s="11">
        <v>0</v>
      </c>
      <c r="D182" s="11">
        <v>0</v>
      </c>
      <c r="E182" s="11">
        <v>0</v>
      </c>
      <c r="F182" s="13">
        <v>0</v>
      </c>
      <c r="G182" s="13">
        <v>0</v>
      </c>
      <c r="H182" s="14">
        <v>0</v>
      </c>
      <c r="I182" s="14">
        <v>0</v>
      </c>
      <c r="J182" s="8"/>
      <c r="K182" s="8"/>
    </row>
    <row r="183" spans="1:11" x14ac:dyDescent="0.2">
      <c r="A183" s="10">
        <v>53204100</v>
      </c>
      <c r="B183" s="10" t="s">
        <v>351</v>
      </c>
      <c r="C183" s="11">
        <v>0</v>
      </c>
      <c r="D183" s="11">
        <v>0</v>
      </c>
      <c r="E183" s="11">
        <v>0</v>
      </c>
      <c r="F183" s="13">
        <v>0</v>
      </c>
      <c r="G183" s="13">
        <v>0</v>
      </c>
      <c r="H183" s="14">
        <v>0</v>
      </c>
      <c r="I183" s="14">
        <v>0</v>
      </c>
      <c r="J183" s="8"/>
      <c r="K183" s="8"/>
    </row>
    <row r="184" spans="1:11" x14ac:dyDescent="0.2">
      <c r="A184" s="10">
        <v>53204500</v>
      </c>
      <c r="B184" s="10" t="s">
        <v>123</v>
      </c>
      <c r="C184" s="11">
        <v>5874.02</v>
      </c>
      <c r="D184" s="11">
        <v>0</v>
      </c>
      <c r="E184" s="11">
        <v>0</v>
      </c>
      <c r="F184" s="13">
        <v>0</v>
      </c>
      <c r="G184" s="13">
        <v>0</v>
      </c>
      <c r="H184" s="14">
        <v>0</v>
      </c>
      <c r="I184" s="14">
        <v>5874.02</v>
      </c>
      <c r="J184" s="8" t="s">
        <v>121</v>
      </c>
      <c r="K184" s="8"/>
    </row>
    <row r="185" spans="1:11" x14ac:dyDescent="0.2">
      <c r="A185" s="10">
        <v>53205000</v>
      </c>
      <c r="B185" s="10" t="s">
        <v>124</v>
      </c>
      <c r="C185" s="11">
        <v>25865.723999977112</v>
      </c>
      <c r="D185" s="11">
        <v>0</v>
      </c>
      <c r="E185" s="11">
        <v>20495.361000000001</v>
      </c>
      <c r="F185" s="13">
        <v>0</v>
      </c>
      <c r="G185" s="13">
        <v>0</v>
      </c>
      <c r="H185" s="14">
        <v>-20495.361000000001</v>
      </c>
      <c r="I185" s="14">
        <v>5370.362999977111</v>
      </c>
      <c r="J185" s="8" t="s">
        <v>121</v>
      </c>
      <c r="K185" s="8"/>
    </row>
    <row r="186" spans="1:11" x14ac:dyDescent="0.2">
      <c r="A186" s="10">
        <v>53205300</v>
      </c>
      <c r="B186" s="10" t="s">
        <v>125</v>
      </c>
      <c r="C186" s="11">
        <v>0</v>
      </c>
      <c r="D186" s="11">
        <v>0</v>
      </c>
      <c r="E186" s="11">
        <v>0</v>
      </c>
      <c r="F186" s="13">
        <v>0</v>
      </c>
      <c r="G186" s="13">
        <v>0</v>
      </c>
      <c r="H186" s="14">
        <v>0</v>
      </c>
      <c r="I186" s="14">
        <v>0</v>
      </c>
      <c r="J186" s="8" t="s">
        <v>121</v>
      </c>
      <c r="K186" s="8"/>
    </row>
    <row r="187" spans="1:11" x14ac:dyDescent="0.2">
      <c r="A187" s="10">
        <v>53205400</v>
      </c>
      <c r="B187" s="10" t="s">
        <v>126</v>
      </c>
      <c r="C187" s="11">
        <v>0</v>
      </c>
      <c r="D187" s="11">
        <v>0</v>
      </c>
      <c r="E187" s="11">
        <v>0</v>
      </c>
      <c r="F187" s="13">
        <v>0</v>
      </c>
      <c r="G187" s="13">
        <v>0</v>
      </c>
      <c r="H187" s="14">
        <v>0</v>
      </c>
      <c r="I187" s="14">
        <v>0</v>
      </c>
      <c r="J187" s="8"/>
      <c r="K187" s="8"/>
    </row>
    <row r="188" spans="1:11" x14ac:dyDescent="0.2">
      <c r="A188" s="10">
        <v>53205500</v>
      </c>
      <c r="B188" s="10" t="s">
        <v>127</v>
      </c>
      <c r="C188" s="11">
        <v>0</v>
      </c>
      <c r="D188" s="11">
        <v>0</v>
      </c>
      <c r="E188" s="11">
        <v>0</v>
      </c>
      <c r="F188" s="13">
        <v>0</v>
      </c>
      <c r="G188" s="13">
        <v>0</v>
      </c>
      <c r="H188" s="14">
        <v>0</v>
      </c>
      <c r="I188" s="14">
        <v>0</v>
      </c>
      <c r="J188" s="8"/>
      <c r="K188" s="8"/>
    </row>
    <row r="189" spans="1:11" x14ac:dyDescent="0.2">
      <c r="A189" s="10">
        <v>53205600</v>
      </c>
      <c r="B189" s="10" t="s">
        <v>128</v>
      </c>
      <c r="C189" s="11">
        <v>-4192366.3069999367</v>
      </c>
      <c r="D189" s="11">
        <v>12266731.745000001</v>
      </c>
      <c r="E189" s="11">
        <v>13093081.992000001</v>
      </c>
      <c r="F189" s="13">
        <v>0</v>
      </c>
      <c r="G189" s="13">
        <v>0</v>
      </c>
      <c r="H189" s="14">
        <v>-826350.24699999951</v>
      </c>
      <c r="I189" s="14">
        <v>-5018716.5539999362</v>
      </c>
      <c r="J189" s="8" t="s">
        <v>115</v>
      </c>
      <c r="K189" s="8"/>
    </row>
    <row r="190" spans="1:11" x14ac:dyDescent="0.2">
      <c r="A190" s="10">
        <v>53205700</v>
      </c>
      <c r="B190" s="10" t="s">
        <v>129</v>
      </c>
      <c r="C190" s="11">
        <v>323161.8917222023</v>
      </c>
      <c r="D190" s="11">
        <v>1582380.6</v>
      </c>
      <c r="E190" s="11">
        <v>1006434.6129999999</v>
      </c>
      <c r="F190" s="13">
        <v>0</v>
      </c>
      <c r="G190" s="13">
        <v>0</v>
      </c>
      <c r="H190" s="14">
        <v>575945.9870000002</v>
      </c>
      <c r="I190" s="14">
        <v>899107.8787222025</v>
      </c>
      <c r="J190" s="8" t="s">
        <v>121</v>
      </c>
      <c r="K190" s="8"/>
    </row>
    <row r="191" spans="1:11" x14ac:dyDescent="0.2">
      <c r="A191" s="10">
        <v>53205800</v>
      </c>
      <c r="B191" s="10" t="s">
        <v>130</v>
      </c>
      <c r="C191" s="11">
        <v>826555.7070000004</v>
      </c>
      <c r="D191" s="11">
        <v>647237.402</v>
      </c>
      <c r="E191" s="11">
        <v>1014129.675</v>
      </c>
      <c r="F191" s="13">
        <v>0</v>
      </c>
      <c r="G191" s="13">
        <v>0</v>
      </c>
      <c r="H191" s="14">
        <v>-366892.27300000004</v>
      </c>
      <c r="I191" s="14">
        <v>459663.43400000036</v>
      </c>
      <c r="J191" s="8" t="s">
        <v>121</v>
      </c>
      <c r="K191" s="8"/>
    </row>
    <row r="192" spans="1:11" x14ac:dyDescent="0.2">
      <c r="A192" s="10">
        <v>53207000</v>
      </c>
      <c r="B192" s="10" t="s">
        <v>352</v>
      </c>
      <c r="C192" s="11">
        <v>0</v>
      </c>
      <c r="D192" s="11">
        <v>0</v>
      </c>
      <c r="E192" s="11">
        <v>0</v>
      </c>
      <c r="F192" s="13">
        <v>0</v>
      </c>
      <c r="G192" s="13">
        <v>0</v>
      </c>
      <c r="H192" s="14">
        <v>0</v>
      </c>
      <c r="I192" s="14">
        <v>0</v>
      </c>
      <c r="J192" s="8"/>
      <c r="K192" s="8"/>
    </row>
    <row r="193" spans="1:11" x14ac:dyDescent="0.2">
      <c r="A193" s="10">
        <v>53207100</v>
      </c>
      <c r="B193" s="10" t="s">
        <v>353</v>
      </c>
      <c r="C193" s="11">
        <v>0</v>
      </c>
      <c r="D193" s="11">
        <v>0</v>
      </c>
      <c r="E193" s="11">
        <v>0</v>
      </c>
      <c r="F193" s="13">
        <v>0</v>
      </c>
      <c r="G193" s="13">
        <v>0</v>
      </c>
      <c r="H193" s="14">
        <v>0</v>
      </c>
      <c r="I193" s="14">
        <v>0</v>
      </c>
      <c r="J193" s="8"/>
      <c r="K193" s="8"/>
    </row>
    <row r="194" spans="1:11" x14ac:dyDescent="0.2">
      <c r="A194" s="10">
        <v>53207200</v>
      </c>
      <c r="B194" s="10" t="s">
        <v>354</v>
      </c>
      <c r="C194" s="11">
        <v>0</v>
      </c>
      <c r="D194" s="11">
        <v>0</v>
      </c>
      <c r="E194" s="11">
        <v>0</v>
      </c>
      <c r="F194" s="13">
        <v>0</v>
      </c>
      <c r="G194" s="13">
        <v>0</v>
      </c>
      <c r="H194" s="14">
        <v>0</v>
      </c>
      <c r="I194" s="14">
        <v>0</v>
      </c>
      <c r="J194" s="8"/>
      <c r="K194" s="8"/>
    </row>
    <row r="195" spans="1:11" x14ac:dyDescent="0.2">
      <c r="A195" s="10">
        <v>53208000</v>
      </c>
      <c r="B195" s="10" t="s">
        <v>355</v>
      </c>
      <c r="C195" s="11">
        <v>485.66199999954551</v>
      </c>
      <c r="D195" s="11">
        <v>0</v>
      </c>
      <c r="E195" s="11">
        <v>0</v>
      </c>
      <c r="F195" s="13">
        <v>0</v>
      </c>
      <c r="G195" s="13">
        <v>0</v>
      </c>
      <c r="H195" s="14">
        <v>0</v>
      </c>
      <c r="I195" s="14">
        <v>485.66199999954551</v>
      </c>
      <c r="J195" s="8" t="s">
        <v>121</v>
      </c>
      <c r="K195" s="8"/>
    </row>
    <row r="196" spans="1:11" x14ac:dyDescent="0.2">
      <c r="A196" s="10">
        <v>53208100</v>
      </c>
      <c r="B196" s="10" t="s">
        <v>356</v>
      </c>
      <c r="C196" s="11">
        <v>0</v>
      </c>
      <c r="D196" s="11">
        <v>0</v>
      </c>
      <c r="E196" s="11">
        <v>0</v>
      </c>
      <c r="F196" s="13">
        <v>0</v>
      </c>
      <c r="G196" s="13">
        <v>0</v>
      </c>
      <c r="H196" s="14">
        <v>0</v>
      </c>
      <c r="I196" s="14">
        <v>0</v>
      </c>
      <c r="J196" s="8"/>
      <c r="K196" s="8"/>
    </row>
    <row r="197" spans="1:11" x14ac:dyDescent="0.2">
      <c r="A197" s="10">
        <v>53208500</v>
      </c>
      <c r="B197" s="10" t="s">
        <v>357</v>
      </c>
      <c r="C197" s="11">
        <v>0</v>
      </c>
      <c r="D197" s="11">
        <v>0</v>
      </c>
      <c r="E197" s="11">
        <v>0</v>
      </c>
      <c r="F197" s="13">
        <v>0</v>
      </c>
      <c r="G197" s="13">
        <v>0</v>
      </c>
      <c r="H197" s="14">
        <v>0</v>
      </c>
      <c r="I197" s="14">
        <v>0</v>
      </c>
      <c r="J197" s="8"/>
      <c r="K197" s="8"/>
    </row>
    <row r="198" spans="1:11" x14ac:dyDescent="0.2">
      <c r="A198" s="10">
        <v>54000000</v>
      </c>
      <c r="B198" s="10" t="s">
        <v>358</v>
      </c>
      <c r="C198" s="11">
        <v>0</v>
      </c>
      <c r="D198" s="11">
        <v>0</v>
      </c>
      <c r="E198" s="11">
        <v>0</v>
      </c>
      <c r="F198" s="13">
        <v>0</v>
      </c>
      <c r="G198" s="13">
        <v>0</v>
      </c>
      <c r="H198" s="14">
        <v>0</v>
      </c>
      <c r="I198" s="14">
        <v>0</v>
      </c>
      <c r="J198" s="8"/>
      <c r="K198" s="8"/>
    </row>
    <row r="199" spans="1:11" x14ac:dyDescent="0.2">
      <c r="A199" s="10">
        <v>54100000</v>
      </c>
      <c r="B199" s="10" t="s">
        <v>131</v>
      </c>
      <c r="C199" s="11">
        <v>0</v>
      </c>
      <c r="D199" s="11">
        <v>2967.8809999999999</v>
      </c>
      <c r="E199" s="11">
        <v>2967.8809999999999</v>
      </c>
      <c r="F199" s="13">
        <v>0</v>
      </c>
      <c r="G199" s="13">
        <v>0</v>
      </c>
      <c r="H199" s="14">
        <v>0</v>
      </c>
      <c r="I199" s="14">
        <v>0</v>
      </c>
      <c r="J199" s="8" t="s">
        <v>115</v>
      </c>
      <c r="K199" s="8"/>
    </row>
    <row r="200" spans="1:11" x14ac:dyDescent="0.2">
      <c r="A200" s="10">
        <v>54300000</v>
      </c>
      <c r="B200" s="10" t="s">
        <v>359</v>
      </c>
      <c r="C200" s="11">
        <v>0</v>
      </c>
      <c r="D200" s="11">
        <v>0</v>
      </c>
      <c r="E200" s="11">
        <v>0</v>
      </c>
      <c r="F200" s="13">
        <v>0</v>
      </c>
      <c r="G200" s="13">
        <v>0</v>
      </c>
      <c r="H200" s="14">
        <v>0</v>
      </c>
      <c r="I200" s="14">
        <v>0</v>
      </c>
      <c r="J200" s="8"/>
      <c r="K200" s="8"/>
    </row>
    <row r="201" spans="1:11" x14ac:dyDescent="0.2">
      <c r="A201" s="10">
        <v>55010000</v>
      </c>
      <c r="B201" s="10" t="s">
        <v>132</v>
      </c>
      <c r="C201" s="11">
        <v>3000</v>
      </c>
      <c r="D201" s="11">
        <v>0</v>
      </c>
      <c r="E201" s="11">
        <v>0</v>
      </c>
      <c r="F201" s="13">
        <v>0</v>
      </c>
      <c r="G201" s="13">
        <v>0</v>
      </c>
      <c r="H201" s="14">
        <v>0</v>
      </c>
      <c r="I201" s="14">
        <v>3000</v>
      </c>
      <c r="J201" s="8" t="s">
        <v>121</v>
      </c>
      <c r="K201" s="8"/>
    </row>
    <row r="202" spans="1:11" x14ac:dyDescent="0.2">
      <c r="A202" s="10">
        <v>55011000</v>
      </c>
      <c r="B202" s="10" t="s">
        <v>133</v>
      </c>
      <c r="C202" s="11">
        <v>0</v>
      </c>
      <c r="D202" s="11">
        <v>0</v>
      </c>
      <c r="E202" s="11">
        <v>0</v>
      </c>
      <c r="F202" s="13">
        <v>0</v>
      </c>
      <c r="G202" s="13">
        <v>0</v>
      </c>
      <c r="H202" s="14">
        <v>0</v>
      </c>
      <c r="I202" s="14">
        <v>0</v>
      </c>
      <c r="J202" s="8" t="s">
        <v>121</v>
      </c>
      <c r="K202" s="8"/>
    </row>
    <row r="203" spans="1:11" x14ac:dyDescent="0.2">
      <c r="A203" s="10">
        <v>58000000</v>
      </c>
      <c r="B203" s="10" t="s">
        <v>134</v>
      </c>
      <c r="C203" s="11">
        <v>0</v>
      </c>
      <c r="D203" s="11">
        <v>0</v>
      </c>
      <c r="E203" s="11">
        <v>0</v>
      </c>
      <c r="F203" s="13">
        <v>0</v>
      </c>
      <c r="G203" s="13">
        <v>0</v>
      </c>
      <c r="H203" s="14">
        <v>0</v>
      </c>
      <c r="I203" s="14">
        <v>0</v>
      </c>
      <c r="J203" s="8" t="s">
        <v>121</v>
      </c>
      <c r="K203" s="8"/>
    </row>
    <row r="204" spans="1:11" x14ac:dyDescent="0.2">
      <c r="A204" s="10">
        <v>58001000</v>
      </c>
      <c r="B204" s="10" t="s">
        <v>135</v>
      </c>
      <c r="C204" s="11">
        <v>-1.9999593496322632E-4</v>
      </c>
      <c r="D204" s="11">
        <v>0</v>
      </c>
      <c r="E204" s="11">
        <v>0</v>
      </c>
      <c r="F204" s="13">
        <v>0</v>
      </c>
      <c r="G204" s="13">
        <v>0</v>
      </c>
      <c r="H204" s="14">
        <v>0</v>
      </c>
      <c r="I204" s="14">
        <v>-1.9999593496322632E-4</v>
      </c>
      <c r="J204" s="8"/>
      <c r="K204" s="8"/>
    </row>
    <row r="205" spans="1:11" x14ac:dyDescent="0.2">
      <c r="A205" s="10">
        <v>58002000</v>
      </c>
      <c r="B205" s="10" t="s">
        <v>360</v>
      </c>
      <c r="C205" s="11">
        <v>0</v>
      </c>
      <c r="D205" s="11">
        <v>0</v>
      </c>
      <c r="E205" s="11">
        <v>0</v>
      </c>
      <c r="F205" s="13">
        <v>0</v>
      </c>
      <c r="G205" s="13">
        <v>0</v>
      </c>
      <c r="H205" s="14">
        <v>0</v>
      </c>
      <c r="I205" s="14">
        <v>0</v>
      </c>
      <c r="J205" s="8"/>
      <c r="K205" s="8"/>
    </row>
    <row r="206" spans="1:11" x14ac:dyDescent="0.2">
      <c r="A206" s="10">
        <v>58003000</v>
      </c>
      <c r="B206" s="10" t="s">
        <v>136</v>
      </c>
      <c r="C206" s="11">
        <v>1.0100007057189941E-4</v>
      </c>
      <c r="D206" s="11">
        <v>334612.06</v>
      </c>
      <c r="E206" s="11">
        <v>334612.06</v>
      </c>
      <c r="F206" s="13">
        <v>0</v>
      </c>
      <c r="G206" s="13">
        <v>0</v>
      </c>
      <c r="H206" s="14">
        <v>0</v>
      </c>
      <c r="I206" s="14">
        <v>1.0100007057189941E-4</v>
      </c>
      <c r="J206" s="8"/>
      <c r="K206" s="8"/>
    </row>
    <row r="207" spans="1:11" x14ac:dyDescent="0.2">
      <c r="A207" s="10">
        <v>58004000</v>
      </c>
      <c r="B207" s="10" t="s">
        <v>361</v>
      </c>
      <c r="C207" s="11">
        <v>0</v>
      </c>
      <c r="D207" s="11">
        <v>0</v>
      </c>
      <c r="E207" s="11">
        <v>0</v>
      </c>
      <c r="F207" s="13">
        <v>0</v>
      </c>
      <c r="G207" s="13">
        <v>0</v>
      </c>
      <c r="H207" s="14">
        <v>0</v>
      </c>
      <c r="I207" s="14">
        <v>0</v>
      </c>
      <c r="J207" s="8"/>
      <c r="K207" s="8"/>
    </row>
    <row r="208" spans="1:11" x14ac:dyDescent="0.2">
      <c r="A208" s="10">
        <v>58005000</v>
      </c>
      <c r="B208" s="10" t="s">
        <v>362</v>
      </c>
      <c r="C208" s="11">
        <v>3.8483738899230957E-4</v>
      </c>
      <c r="D208" s="11">
        <v>2020180.7369999997</v>
      </c>
      <c r="E208" s="11">
        <v>2020180.7369999997</v>
      </c>
      <c r="F208" s="13">
        <v>0</v>
      </c>
      <c r="G208" s="13">
        <v>0</v>
      </c>
      <c r="H208" s="14">
        <v>0</v>
      </c>
      <c r="I208" s="14">
        <v>3.8483738899230957E-4</v>
      </c>
      <c r="J208" s="8" t="s">
        <v>121</v>
      </c>
      <c r="K208" s="8"/>
    </row>
    <row r="209" spans="1:11" x14ac:dyDescent="0.2">
      <c r="A209" s="10">
        <v>60110210</v>
      </c>
      <c r="B209" s="10" t="s">
        <v>137</v>
      </c>
      <c r="C209" s="11">
        <v>945550.17626000009</v>
      </c>
      <c r="D209" s="11">
        <v>23434.059840000002</v>
      </c>
      <c r="E209" s="11">
        <v>0</v>
      </c>
      <c r="F209" s="13">
        <v>0</v>
      </c>
      <c r="G209" s="13">
        <v>0</v>
      </c>
      <c r="H209" s="14">
        <v>23434.059840000002</v>
      </c>
      <c r="I209" s="14">
        <v>968984.2361000001</v>
      </c>
      <c r="J209" s="8" t="s">
        <v>138</v>
      </c>
      <c r="K209" s="8" t="s">
        <v>509</v>
      </c>
    </row>
    <row r="210" spans="1:11" x14ac:dyDescent="0.2">
      <c r="A210" s="10">
        <v>60110211</v>
      </c>
      <c r="B210" s="10" t="s">
        <v>363</v>
      </c>
      <c r="C210" s="11">
        <v>148362.380443</v>
      </c>
      <c r="D210" s="11">
        <v>0</v>
      </c>
      <c r="E210" s="11">
        <v>0</v>
      </c>
      <c r="F210" s="13">
        <v>0</v>
      </c>
      <c r="G210" s="13">
        <v>0</v>
      </c>
      <c r="H210" s="14">
        <v>0</v>
      </c>
      <c r="I210" s="14">
        <v>148362.380443</v>
      </c>
      <c r="J210" s="8" t="s">
        <v>138</v>
      </c>
      <c r="K210" s="8" t="s">
        <v>509</v>
      </c>
    </row>
    <row r="211" spans="1:11" x14ac:dyDescent="0.2">
      <c r="A211" s="10">
        <v>60110212</v>
      </c>
      <c r="B211" s="10" t="s">
        <v>7391</v>
      </c>
      <c r="C211" s="11">
        <v>20941.896000000001</v>
      </c>
      <c r="D211" s="11">
        <v>0</v>
      </c>
      <c r="E211" s="11">
        <v>0</v>
      </c>
      <c r="F211" s="13">
        <v>0</v>
      </c>
      <c r="G211" s="13">
        <v>0</v>
      </c>
      <c r="H211" s="14">
        <v>0</v>
      </c>
      <c r="I211" s="14">
        <v>20941.896000000001</v>
      </c>
      <c r="J211" s="8" t="s">
        <v>138</v>
      </c>
      <c r="K211" s="8" t="s">
        <v>509</v>
      </c>
    </row>
    <row r="212" spans="1:11" x14ac:dyDescent="0.2">
      <c r="A212" s="10">
        <v>60110213</v>
      </c>
      <c r="B212" s="10" t="s">
        <v>364</v>
      </c>
      <c r="C212" s="11">
        <v>6060</v>
      </c>
      <c r="D212" s="11">
        <v>0</v>
      </c>
      <c r="E212" s="11">
        <v>0</v>
      </c>
      <c r="F212" s="13">
        <v>0</v>
      </c>
      <c r="G212" s="13">
        <v>0</v>
      </c>
      <c r="H212" s="14">
        <v>0</v>
      </c>
      <c r="I212" s="14">
        <v>6060</v>
      </c>
      <c r="J212" s="8" t="s">
        <v>138</v>
      </c>
      <c r="K212" s="8" t="s">
        <v>509</v>
      </c>
    </row>
    <row r="213" spans="1:11" x14ac:dyDescent="0.2">
      <c r="A213" s="10">
        <v>60110220</v>
      </c>
      <c r="B213" s="10" t="s">
        <v>139</v>
      </c>
      <c r="C213" s="11">
        <v>1199458.9969019999</v>
      </c>
      <c r="D213" s="11">
        <v>36629.417915999991</v>
      </c>
      <c r="E213" s="11">
        <v>0</v>
      </c>
      <c r="F213" s="13">
        <v>0</v>
      </c>
      <c r="G213" s="13">
        <v>0</v>
      </c>
      <c r="H213" s="14">
        <v>36629.417915999991</v>
      </c>
      <c r="I213" s="14">
        <v>1236088.4148179998</v>
      </c>
      <c r="J213" s="8" t="s">
        <v>138</v>
      </c>
      <c r="K213" s="8" t="s">
        <v>509</v>
      </c>
    </row>
    <row r="214" spans="1:11" x14ac:dyDescent="0.2">
      <c r="A214" s="10">
        <v>60110300</v>
      </c>
      <c r="B214" s="10" t="s">
        <v>140</v>
      </c>
      <c r="C214" s="11">
        <v>111341.39767499999</v>
      </c>
      <c r="D214" s="11">
        <v>0</v>
      </c>
      <c r="E214" s="11">
        <v>0</v>
      </c>
      <c r="F214" s="13">
        <v>0</v>
      </c>
      <c r="G214" s="13">
        <v>0</v>
      </c>
      <c r="H214" s="14">
        <v>0</v>
      </c>
      <c r="I214" s="14">
        <v>111341.39767499999</v>
      </c>
      <c r="J214" s="8" t="s">
        <v>138</v>
      </c>
      <c r="K214" s="8" t="s">
        <v>509</v>
      </c>
    </row>
    <row r="215" spans="1:11" x14ac:dyDescent="0.2">
      <c r="A215" s="10">
        <v>60110310</v>
      </c>
      <c r="B215" s="10" t="s">
        <v>141</v>
      </c>
      <c r="C215" s="11">
        <v>66928.86</v>
      </c>
      <c r="D215" s="11">
        <v>0</v>
      </c>
      <c r="E215" s="11">
        <v>0</v>
      </c>
      <c r="F215" s="13">
        <v>0</v>
      </c>
      <c r="G215" s="13">
        <v>0</v>
      </c>
      <c r="H215" s="14">
        <v>0</v>
      </c>
      <c r="I215" s="14">
        <v>66928.86</v>
      </c>
      <c r="J215" s="8" t="s">
        <v>138</v>
      </c>
      <c r="K215" s="8" t="s">
        <v>509</v>
      </c>
    </row>
    <row r="216" spans="1:11" x14ac:dyDescent="0.2">
      <c r="A216" s="10">
        <v>60110320</v>
      </c>
      <c r="B216" s="10" t="s">
        <v>142</v>
      </c>
      <c r="C216" s="11">
        <v>45670.185417000001</v>
      </c>
      <c r="D216" s="11">
        <v>14645.954420999999</v>
      </c>
      <c r="E216" s="11">
        <v>0</v>
      </c>
      <c r="F216" s="13">
        <v>0</v>
      </c>
      <c r="G216" s="13">
        <v>0</v>
      </c>
      <c r="H216" s="14">
        <v>14645.954420999999</v>
      </c>
      <c r="I216" s="14">
        <v>60316.139838000003</v>
      </c>
      <c r="J216" s="8" t="s">
        <v>138</v>
      </c>
      <c r="K216" s="8" t="s">
        <v>509</v>
      </c>
    </row>
    <row r="217" spans="1:11" x14ac:dyDescent="0.2">
      <c r="A217" s="10">
        <v>60110330</v>
      </c>
      <c r="B217" s="10" t="s">
        <v>143</v>
      </c>
      <c r="C217" s="11">
        <v>42121.61220000001</v>
      </c>
      <c r="D217" s="11">
        <v>0</v>
      </c>
      <c r="E217" s="11">
        <v>0</v>
      </c>
      <c r="F217" s="13">
        <v>0</v>
      </c>
      <c r="G217" s="13">
        <v>0</v>
      </c>
      <c r="H217" s="14">
        <v>0</v>
      </c>
      <c r="I217" s="14">
        <v>42121.61220000001</v>
      </c>
      <c r="J217" s="8" t="s">
        <v>138</v>
      </c>
      <c r="K217" s="8" t="s">
        <v>509</v>
      </c>
    </row>
    <row r="218" spans="1:11" x14ac:dyDescent="0.2">
      <c r="A218" s="10">
        <v>60110350</v>
      </c>
      <c r="B218" s="10" t="s">
        <v>261</v>
      </c>
      <c r="C218" s="11">
        <v>5382.0619999999999</v>
      </c>
      <c r="D218" s="11">
        <v>0</v>
      </c>
      <c r="E218" s="11">
        <v>0</v>
      </c>
      <c r="F218" s="13">
        <v>0</v>
      </c>
      <c r="G218" s="13">
        <v>0</v>
      </c>
      <c r="H218" s="14">
        <v>0</v>
      </c>
      <c r="I218" s="14">
        <v>5382.0619999999999</v>
      </c>
      <c r="J218" s="8" t="s">
        <v>138</v>
      </c>
      <c r="K218" s="8" t="s">
        <v>509</v>
      </c>
    </row>
    <row r="219" spans="1:11" x14ac:dyDescent="0.2">
      <c r="A219" s="10">
        <v>60110400</v>
      </c>
      <c r="B219" s="10" t="s">
        <v>7392</v>
      </c>
      <c r="C219" s="11">
        <v>310.84859999999998</v>
      </c>
      <c r="D219" s="11">
        <v>1262.4951999999998</v>
      </c>
      <c r="E219" s="16">
        <v>0</v>
      </c>
      <c r="F219" s="13">
        <v>0</v>
      </c>
      <c r="G219" s="13">
        <v>0</v>
      </c>
      <c r="H219" s="14">
        <v>1262.4951999999998</v>
      </c>
      <c r="I219" s="14">
        <v>1573.3437999999999</v>
      </c>
      <c r="J219" s="8" t="s">
        <v>138</v>
      </c>
      <c r="K219" s="8" t="s">
        <v>509</v>
      </c>
    </row>
    <row r="220" spans="1:11" x14ac:dyDescent="0.2">
      <c r="A220" s="10">
        <v>60110500</v>
      </c>
      <c r="B220" s="10" t="s">
        <v>144</v>
      </c>
      <c r="C220" s="11">
        <v>15274.245000000001</v>
      </c>
      <c r="D220" s="11">
        <v>750.505</v>
      </c>
      <c r="E220" s="11">
        <v>0</v>
      </c>
      <c r="F220" s="13">
        <v>0</v>
      </c>
      <c r="G220" s="13">
        <v>0</v>
      </c>
      <c r="H220" s="14">
        <v>750.505</v>
      </c>
      <c r="I220" s="14">
        <v>16024.75</v>
      </c>
      <c r="J220" s="8" t="s">
        <v>138</v>
      </c>
      <c r="K220" s="8" t="s">
        <v>509</v>
      </c>
    </row>
    <row r="221" spans="1:11" x14ac:dyDescent="0.2">
      <c r="A221" s="10">
        <v>60110600</v>
      </c>
      <c r="B221" s="10" t="s">
        <v>145</v>
      </c>
      <c r="C221" s="11">
        <v>13100.588</v>
      </c>
      <c r="D221" s="11">
        <v>2977.549</v>
      </c>
      <c r="E221" s="11">
        <v>0</v>
      </c>
      <c r="F221" s="13">
        <v>0</v>
      </c>
      <c r="G221" s="13">
        <v>0</v>
      </c>
      <c r="H221" s="14">
        <v>2977.549</v>
      </c>
      <c r="I221" s="14">
        <v>16078.136999999999</v>
      </c>
      <c r="J221" s="8" t="s">
        <v>138</v>
      </c>
      <c r="K221" s="8" t="s">
        <v>509</v>
      </c>
    </row>
    <row r="222" spans="1:11" x14ac:dyDescent="0.2">
      <c r="A222" s="10">
        <v>60110700</v>
      </c>
      <c r="B222" s="10" t="s">
        <v>146</v>
      </c>
      <c r="C222" s="11">
        <v>9152.2970000000005</v>
      </c>
      <c r="D222" s="11">
        <v>2456.1</v>
      </c>
      <c r="E222" s="11">
        <v>0</v>
      </c>
      <c r="F222" s="13">
        <v>0</v>
      </c>
      <c r="G222" s="13">
        <v>0</v>
      </c>
      <c r="H222" s="14">
        <v>2456.1</v>
      </c>
      <c r="I222" s="14">
        <v>11608.397000000001</v>
      </c>
      <c r="J222" s="8" t="s">
        <v>138</v>
      </c>
      <c r="K222" s="8" t="s">
        <v>509</v>
      </c>
    </row>
    <row r="223" spans="1:11" x14ac:dyDescent="0.2">
      <c r="A223" s="10">
        <v>60110900</v>
      </c>
      <c r="B223" s="10" t="s">
        <v>147</v>
      </c>
      <c r="C223" s="11">
        <v>185849.74799999999</v>
      </c>
      <c r="D223" s="11">
        <v>31691.503999999997</v>
      </c>
      <c r="E223" s="11">
        <v>281.03100000000001</v>
      </c>
      <c r="F223" s="13">
        <v>0</v>
      </c>
      <c r="G223" s="13">
        <v>2303.6410000000001</v>
      </c>
      <c r="H223" s="14">
        <v>29106.831999999999</v>
      </c>
      <c r="I223" s="14">
        <v>214956.58</v>
      </c>
      <c r="J223" s="8" t="s">
        <v>138</v>
      </c>
      <c r="K223" s="8" t="s">
        <v>509</v>
      </c>
    </row>
    <row r="224" spans="1:11" x14ac:dyDescent="0.2">
      <c r="A224" s="10">
        <v>60111000</v>
      </c>
      <c r="B224" s="10" t="s">
        <v>148</v>
      </c>
      <c r="C224" s="11">
        <v>6002.0369999999994</v>
      </c>
      <c r="D224" s="11">
        <v>4783.0569999999998</v>
      </c>
      <c r="E224" s="11">
        <v>0</v>
      </c>
      <c r="F224" s="13">
        <v>0</v>
      </c>
      <c r="G224" s="13">
        <v>0</v>
      </c>
      <c r="H224" s="14">
        <v>4783.0569999999998</v>
      </c>
      <c r="I224" s="14">
        <v>10785.093999999999</v>
      </c>
      <c r="J224" s="8" t="s">
        <v>138</v>
      </c>
      <c r="K224" s="8" t="s">
        <v>509</v>
      </c>
    </row>
    <row r="225" spans="1:11" x14ac:dyDescent="0.2">
      <c r="A225" s="10">
        <v>60111010</v>
      </c>
      <c r="B225" s="10" t="s">
        <v>393</v>
      </c>
      <c r="C225" s="11">
        <v>626.20000000000005</v>
      </c>
      <c r="D225" s="11">
        <v>404</v>
      </c>
      <c r="E225" s="11">
        <v>0</v>
      </c>
      <c r="F225" s="13">
        <v>0</v>
      </c>
      <c r="G225" s="13">
        <v>0</v>
      </c>
      <c r="H225" s="14">
        <v>404</v>
      </c>
      <c r="I225" s="14">
        <v>1030.2</v>
      </c>
      <c r="J225" s="8" t="s">
        <v>138</v>
      </c>
      <c r="K225" s="8" t="s">
        <v>509</v>
      </c>
    </row>
    <row r="226" spans="1:11" x14ac:dyDescent="0.2">
      <c r="A226" s="10">
        <v>60120100</v>
      </c>
      <c r="B226" s="10" t="s">
        <v>149</v>
      </c>
      <c r="C226" s="11">
        <v>893522.93861950003</v>
      </c>
      <c r="D226" s="16">
        <v>143570.16537350003</v>
      </c>
      <c r="E226" s="11">
        <v>0</v>
      </c>
      <c r="F226" s="13">
        <v>0</v>
      </c>
      <c r="G226" s="13">
        <v>0</v>
      </c>
      <c r="H226" s="14">
        <v>143570.16537350003</v>
      </c>
      <c r="I226" s="14">
        <v>1037093.103993</v>
      </c>
      <c r="J226" s="8" t="s">
        <v>138</v>
      </c>
      <c r="K226" s="8" t="s">
        <v>509</v>
      </c>
    </row>
    <row r="227" spans="1:11" x14ac:dyDescent="0.2">
      <c r="A227" s="10">
        <v>60120300</v>
      </c>
      <c r="B227" s="10" t="s">
        <v>150</v>
      </c>
      <c r="C227" s="12">
        <v>4897341.51</v>
      </c>
      <c r="D227" s="11">
        <v>1175565.4300000002</v>
      </c>
      <c r="E227" s="11">
        <v>0</v>
      </c>
      <c r="F227" s="13">
        <v>25640</v>
      </c>
      <c r="G227" s="13">
        <v>173941.8</v>
      </c>
      <c r="H227" s="14">
        <v>1027263.6300000001</v>
      </c>
      <c r="I227" s="14">
        <v>5924605.1399999997</v>
      </c>
      <c r="J227" s="8" t="s">
        <v>138</v>
      </c>
      <c r="K227" s="8" t="s">
        <v>509</v>
      </c>
    </row>
    <row r="228" spans="1:11" x14ac:dyDescent="0.2">
      <c r="A228" s="10">
        <v>60120400</v>
      </c>
      <c r="B228" s="10" t="s">
        <v>365</v>
      </c>
      <c r="C228" s="12">
        <v>884469.90999999992</v>
      </c>
      <c r="D228" s="11">
        <v>151580.79999999999</v>
      </c>
      <c r="E228" s="11">
        <v>0</v>
      </c>
      <c r="F228" s="13">
        <v>0</v>
      </c>
      <c r="G228" s="13">
        <v>0</v>
      </c>
      <c r="H228" s="14">
        <v>151580.79999999999</v>
      </c>
      <c r="I228" s="14">
        <v>1036050.71</v>
      </c>
      <c r="J228" s="8" t="s">
        <v>138</v>
      </c>
      <c r="K228" s="8" t="s">
        <v>509</v>
      </c>
    </row>
    <row r="229" spans="1:11" x14ac:dyDescent="0.2">
      <c r="A229" s="10">
        <v>60120900</v>
      </c>
      <c r="B229" s="10" t="s">
        <v>7393</v>
      </c>
      <c r="C229" s="11">
        <v>35598.535244999999</v>
      </c>
      <c r="D229" s="11">
        <v>0</v>
      </c>
      <c r="E229" s="11">
        <v>0</v>
      </c>
      <c r="F229" s="13">
        <v>0</v>
      </c>
      <c r="G229" s="13">
        <v>0</v>
      </c>
      <c r="H229" s="14">
        <v>0</v>
      </c>
      <c r="I229" s="14">
        <v>35598.535244999999</v>
      </c>
      <c r="J229" s="8" t="s">
        <v>138</v>
      </c>
      <c r="K229" s="8" t="s">
        <v>509</v>
      </c>
    </row>
    <row r="230" spans="1:11" x14ac:dyDescent="0.2">
      <c r="A230" s="10">
        <v>60121010</v>
      </c>
      <c r="B230" s="10" t="s">
        <v>152</v>
      </c>
      <c r="C230" s="11">
        <v>2544569.570731</v>
      </c>
      <c r="D230" s="11">
        <v>0</v>
      </c>
      <c r="E230" s="11">
        <v>0</v>
      </c>
      <c r="F230" s="13">
        <v>0</v>
      </c>
      <c r="G230" s="13">
        <v>0</v>
      </c>
      <c r="H230" s="14">
        <v>0</v>
      </c>
      <c r="I230" s="14">
        <v>2544569.570731</v>
      </c>
      <c r="J230" s="8" t="s">
        <v>138</v>
      </c>
      <c r="K230" s="8" t="s">
        <v>509</v>
      </c>
    </row>
    <row r="231" spans="1:11" x14ac:dyDescent="0.2">
      <c r="A231" s="10">
        <v>60121031</v>
      </c>
      <c r="B231" s="10" t="s">
        <v>394</v>
      </c>
      <c r="C231" s="11">
        <v>20663.760000000002</v>
      </c>
      <c r="D231" s="11">
        <v>0</v>
      </c>
      <c r="E231" s="11">
        <v>0</v>
      </c>
      <c r="F231" s="13">
        <v>0</v>
      </c>
      <c r="G231" s="13">
        <v>0</v>
      </c>
      <c r="H231" s="14">
        <v>0</v>
      </c>
      <c r="I231" s="14">
        <v>20663.760000000002</v>
      </c>
      <c r="J231" s="8" t="s">
        <v>138</v>
      </c>
      <c r="K231" s="8" t="s">
        <v>509</v>
      </c>
    </row>
    <row r="232" spans="1:11" x14ac:dyDescent="0.2">
      <c r="A232" s="10">
        <v>60121032</v>
      </c>
      <c r="B232" s="10" t="s">
        <v>8973</v>
      </c>
      <c r="C232" s="11">
        <v>9936.5</v>
      </c>
      <c r="D232" s="11">
        <v>0</v>
      </c>
      <c r="E232" s="11">
        <v>0</v>
      </c>
      <c r="F232" s="13">
        <v>0</v>
      </c>
      <c r="G232" s="13">
        <v>0</v>
      </c>
      <c r="H232" s="14">
        <v>0</v>
      </c>
      <c r="I232" s="14">
        <v>9936.5</v>
      </c>
      <c r="J232" s="8" t="s">
        <v>138</v>
      </c>
      <c r="K232" s="8" t="s">
        <v>509</v>
      </c>
    </row>
    <row r="233" spans="1:11" x14ac:dyDescent="0.2">
      <c r="A233" s="10">
        <v>60121033</v>
      </c>
      <c r="B233" s="10" t="s">
        <v>7718</v>
      </c>
      <c r="C233" s="11">
        <v>6596.5079999999998</v>
      </c>
      <c r="D233" s="11">
        <v>0</v>
      </c>
      <c r="E233" s="11">
        <v>0</v>
      </c>
      <c r="F233" s="13">
        <v>0</v>
      </c>
      <c r="G233" s="13">
        <v>0</v>
      </c>
      <c r="H233" s="14">
        <v>0</v>
      </c>
      <c r="I233" s="14">
        <v>6596.5079999999998</v>
      </c>
      <c r="J233" s="8" t="s">
        <v>138</v>
      </c>
      <c r="K233" s="8" t="s">
        <v>509</v>
      </c>
    </row>
    <row r="234" spans="1:11" x14ac:dyDescent="0.2">
      <c r="A234" s="10">
        <v>60121035</v>
      </c>
      <c r="B234" s="10" t="s">
        <v>395</v>
      </c>
      <c r="C234" s="11">
        <v>0</v>
      </c>
      <c r="D234" s="11">
        <v>692.16300000000001</v>
      </c>
      <c r="E234" s="11">
        <v>0</v>
      </c>
      <c r="F234" s="13">
        <v>0</v>
      </c>
      <c r="G234" s="13">
        <v>0</v>
      </c>
      <c r="H234" s="14">
        <v>692.16300000000001</v>
      </c>
      <c r="I234" s="14">
        <v>692.16300000000001</v>
      </c>
      <c r="J234" s="8" t="s">
        <v>138</v>
      </c>
      <c r="K234" s="8" t="s">
        <v>509</v>
      </c>
    </row>
    <row r="235" spans="1:11" x14ac:dyDescent="0.2">
      <c r="A235" s="10">
        <v>60121036</v>
      </c>
      <c r="B235" s="10" t="s">
        <v>7394</v>
      </c>
      <c r="C235" s="11">
        <v>576.17600000000004</v>
      </c>
      <c r="D235" s="11">
        <v>0</v>
      </c>
      <c r="E235" s="11">
        <v>0</v>
      </c>
      <c r="F235" s="13">
        <v>0</v>
      </c>
      <c r="G235" s="13">
        <v>0</v>
      </c>
      <c r="H235" s="14">
        <v>0</v>
      </c>
      <c r="I235" s="14">
        <v>576.17600000000004</v>
      </c>
      <c r="J235" s="8" t="s">
        <v>138</v>
      </c>
      <c r="K235" s="8" t="s">
        <v>509</v>
      </c>
    </row>
    <row r="236" spans="1:11" x14ac:dyDescent="0.2">
      <c r="A236" s="10">
        <v>60121040</v>
      </c>
      <c r="B236" s="10" t="s">
        <v>7720</v>
      </c>
      <c r="C236" s="11">
        <v>147239.20000000001</v>
      </c>
      <c r="D236" s="11">
        <v>0</v>
      </c>
      <c r="E236" s="11">
        <v>0</v>
      </c>
      <c r="F236" s="13">
        <v>0</v>
      </c>
      <c r="G236" s="13">
        <v>147239.20000000001</v>
      </c>
      <c r="H236" s="14">
        <v>-147239.20000000001</v>
      </c>
      <c r="I236" s="14">
        <v>0</v>
      </c>
      <c r="J236" s="8" t="s">
        <v>138</v>
      </c>
      <c r="K236" s="8" t="s">
        <v>509</v>
      </c>
    </row>
    <row r="237" spans="1:11" x14ac:dyDescent="0.2">
      <c r="A237" s="10">
        <v>60121200</v>
      </c>
      <c r="B237" s="10" t="s">
        <v>7395</v>
      </c>
      <c r="C237" s="11">
        <v>1435</v>
      </c>
      <c r="D237" s="11">
        <v>0</v>
      </c>
      <c r="E237" s="11">
        <v>0</v>
      </c>
      <c r="F237" s="13">
        <v>0</v>
      </c>
      <c r="G237" s="13">
        <v>0</v>
      </c>
      <c r="H237" s="14">
        <v>0</v>
      </c>
      <c r="I237" s="14">
        <v>1435</v>
      </c>
      <c r="J237" s="8" t="s">
        <v>138</v>
      </c>
      <c r="K237" s="8" t="s">
        <v>509</v>
      </c>
    </row>
    <row r="238" spans="1:11" x14ac:dyDescent="0.2">
      <c r="A238" s="10">
        <v>60121210</v>
      </c>
      <c r="B238" s="10" t="s">
        <v>7400</v>
      </c>
      <c r="C238" s="11">
        <v>0</v>
      </c>
      <c r="D238" s="11">
        <v>65626.954710499995</v>
      </c>
      <c r="E238" s="11">
        <v>0</v>
      </c>
      <c r="F238" s="13">
        <v>0</v>
      </c>
      <c r="G238" s="13">
        <v>0</v>
      </c>
      <c r="H238" s="14">
        <v>65626.954710499995</v>
      </c>
      <c r="I238" s="14">
        <v>65626.954710499995</v>
      </c>
      <c r="J238" s="8" t="s">
        <v>138</v>
      </c>
      <c r="K238" s="8" t="s">
        <v>509</v>
      </c>
    </row>
    <row r="239" spans="1:11" x14ac:dyDescent="0.2">
      <c r="A239" s="10">
        <v>60121400</v>
      </c>
      <c r="B239" s="10" t="s">
        <v>7570</v>
      </c>
      <c r="C239" s="11">
        <v>12694.809599999999</v>
      </c>
      <c r="D239" s="11">
        <v>26271.590399999997</v>
      </c>
      <c r="E239" s="11">
        <v>0</v>
      </c>
      <c r="F239" s="13">
        <v>0</v>
      </c>
      <c r="G239" s="13">
        <v>0</v>
      </c>
      <c r="H239" s="14">
        <v>26271.590399999997</v>
      </c>
      <c r="I239" s="14">
        <v>38966.399999999994</v>
      </c>
      <c r="J239" s="8" t="s">
        <v>138</v>
      </c>
      <c r="K239" s="8" t="s">
        <v>509</v>
      </c>
    </row>
    <row r="240" spans="1:11" x14ac:dyDescent="0.2">
      <c r="A240" s="10">
        <v>60121500</v>
      </c>
      <c r="B240" s="10" t="s">
        <v>404</v>
      </c>
      <c r="C240" s="11">
        <v>61072.5</v>
      </c>
      <c r="D240" s="11">
        <v>0</v>
      </c>
      <c r="E240" s="11">
        <v>0</v>
      </c>
      <c r="F240" s="13">
        <v>0</v>
      </c>
      <c r="G240" s="13">
        <v>0</v>
      </c>
      <c r="H240" s="14">
        <v>0</v>
      </c>
      <c r="I240" s="14">
        <v>61072.5</v>
      </c>
      <c r="J240" s="8" t="s">
        <v>138</v>
      </c>
      <c r="K240" s="8" t="s">
        <v>509</v>
      </c>
    </row>
    <row r="241" spans="1:11" x14ac:dyDescent="0.2">
      <c r="A241" s="10">
        <v>60121600</v>
      </c>
      <c r="B241" s="10" t="s">
        <v>154</v>
      </c>
      <c r="C241" s="11">
        <v>265093.2</v>
      </c>
      <c r="D241" s="11">
        <v>36120</v>
      </c>
      <c r="E241" s="11">
        <v>0</v>
      </c>
      <c r="F241" s="13">
        <v>0</v>
      </c>
      <c r="G241" s="13">
        <v>0</v>
      </c>
      <c r="H241" s="14">
        <v>36120</v>
      </c>
      <c r="I241" s="14">
        <v>301213.2</v>
      </c>
      <c r="J241" s="8" t="s">
        <v>138</v>
      </c>
      <c r="K241" s="8" t="s">
        <v>509</v>
      </c>
    </row>
    <row r="242" spans="1:11" x14ac:dyDescent="0.2">
      <c r="A242" s="10">
        <v>60121900</v>
      </c>
      <c r="B242" s="10" t="s">
        <v>7568</v>
      </c>
      <c r="C242" s="11">
        <v>78280.84</v>
      </c>
      <c r="D242" s="11">
        <v>0</v>
      </c>
      <c r="E242" s="11">
        <v>0</v>
      </c>
      <c r="F242" s="13">
        <v>0</v>
      </c>
      <c r="G242" s="13">
        <v>35000.839999999997</v>
      </c>
      <c r="H242" s="14">
        <v>-35000.839999999997</v>
      </c>
      <c r="I242" s="14">
        <v>43280</v>
      </c>
      <c r="J242" s="8" t="s">
        <v>138</v>
      </c>
      <c r="K242" s="8" t="s">
        <v>509</v>
      </c>
    </row>
    <row r="243" spans="1:11" x14ac:dyDescent="0.2">
      <c r="A243" s="10">
        <v>60122100</v>
      </c>
      <c r="B243" s="10" t="s">
        <v>155</v>
      </c>
      <c r="C243" s="11">
        <v>104349.2</v>
      </c>
      <c r="D243" s="11">
        <v>0</v>
      </c>
      <c r="E243" s="11">
        <v>0</v>
      </c>
      <c r="F243" s="13">
        <v>0</v>
      </c>
      <c r="G243" s="13">
        <v>0</v>
      </c>
      <c r="H243" s="14">
        <v>0</v>
      </c>
      <c r="I243" s="14">
        <v>104349.2</v>
      </c>
      <c r="J243" s="8" t="s">
        <v>138</v>
      </c>
      <c r="K243" s="8" t="s">
        <v>509</v>
      </c>
    </row>
    <row r="244" spans="1:11" x14ac:dyDescent="0.2">
      <c r="A244" s="10">
        <v>60122200</v>
      </c>
      <c r="B244" s="10" t="s">
        <v>156</v>
      </c>
      <c r="C244" s="11">
        <v>48263.896000000001</v>
      </c>
      <c r="D244" s="11">
        <v>0</v>
      </c>
      <c r="E244" s="11">
        <v>0</v>
      </c>
      <c r="F244" s="13">
        <v>0</v>
      </c>
      <c r="G244" s="13">
        <v>0</v>
      </c>
      <c r="H244" s="14">
        <v>0</v>
      </c>
      <c r="I244" s="14">
        <v>48263.896000000001</v>
      </c>
      <c r="J244" s="8" t="s">
        <v>138</v>
      </c>
      <c r="K244" s="8" t="s">
        <v>509</v>
      </c>
    </row>
    <row r="245" spans="1:11" x14ac:dyDescent="0.2">
      <c r="A245" s="10">
        <v>60122400</v>
      </c>
      <c r="B245" s="10" t="s">
        <v>7396</v>
      </c>
      <c r="C245" s="11">
        <v>19151.856</v>
      </c>
      <c r="D245" s="11">
        <v>0</v>
      </c>
      <c r="E245" s="11">
        <v>0</v>
      </c>
      <c r="F245" s="13">
        <v>0</v>
      </c>
      <c r="G245" s="13">
        <v>0</v>
      </c>
      <c r="H245" s="14">
        <v>0</v>
      </c>
      <c r="I245" s="14">
        <v>19151.856</v>
      </c>
      <c r="J245" s="8" t="s">
        <v>138</v>
      </c>
      <c r="K245" s="8" t="s">
        <v>509</v>
      </c>
    </row>
    <row r="246" spans="1:11" x14ac:dyDescent="0.2">
      <c r="A246" s="10">
        <v>60122410</v>
      </c>
      <c r="B246" s="10" t="s">
        <v>366</v>
      </c>
      <c r="C246" s="11">
        <v>5050</v>
      </c>
      <c r="D246" s="11">
        <v>0</v>
      </c>
      <c r="E246" s="11">
        <v>0</v>
      </c>
      <c r="F246" s="13">
        <v>0</v>
      </c>
      <c r="G246" s="13">
        <v>0</v>
      </c>
      <c r="H246" s="14">
        <v>0</v>
      </c>
      <c r="I246" s="14">
        <v>5050</v>
      </c>
      <c r="J246" s="8" t="s">
        <v>138</v>
      </c>
      <c r="K246" s="8" t="s">
        <v>509</v>
      </c>
    </row>
    <row r="247" spans="1:11" x14ac:dyDescent="0.2">
      <c r="A247" s="10">
        <v>60122411</v>
      </c>
      <c r="B247" s="10" t="s">
        <v>367</v>
      </c>
      <c r="C247" s="11">
        <v>20706.5</v>
      </c>
      <c r="D247" s="11">
        <v>0</v>
      </c>
      <c r="E247" s="11">
        <v>0</v>
      </c>
      <c r="F247" s="13">
        <v>465.1</v>
      </c>
      <c r="G247" s="13">
        <v>0</v>
      </c>
      <c r="H247" s="14">
        <v>465.1</v>
      </c>
      <c r="I247" s="14">
        <v>21171.599999999999</v>
      </c>
      <c r="J247" s="8" t="s">
        <v>138</v>
      </c>
      <c r="K247" s="8" t="s">
        <v>509</v>
      </c>
    </row>
    <row r="248" spans="1:11" x14ac:dyDescent="0.2">
      <c r="A248" s="10">
        <v>60122510</v>
      </c>
      <c r="B248" s="10" t="s">
        <v>368</v>
      </c>
      <c r="C248" s="11">
        <v>16577.871999999999</v>
      </c>
      <c r="D248" s="11">
        <v>3015.05</v>
      </c>
      <c r="E248" s="11">
        <v>0</v>
      </c>
      <c r="F248" s="13">
        <v>0</v>
      </c>
      <c r="G248" s="13">
        <v>0</v>
      </c>
      <c r="H248" s="14">
        <v>3015.05</v>
      </c>
      <c r="I248" s="14">
        <v>19592.921999999999</v>
      </c>
      <c r="J248" s="8" t="s">
        <v>138</v>
      </c>
      <c r="K248" s="8" t="s">
        <v>509</v>
      </c>
    </row>
    <row r="249" spans="1:11" x14ac:dyDescent="0.2">
      <c r="A249" s="10">
        <v>60122520</v>
      </c>
      <c r="B249" s="10" t="s">
        <v>396</v>
      </c>
      <c r="C249" s="11">
        <v>4118.0550000000003</v>
      </c>
      <c r="D249" s="11">
        <v>422.4</v>
      </c>
      <c r="E249" s="11">
        <v>0</v>
      </c>
      <c r="F249" s="13">
        <v>0</v>
      </c>
      <c r="G249" s="13">
        <v>0</v>
      </c>
      <c r="H249" s="14">
        <v>422.4</v>
      </c>
      <c r="I249" s="14">
        <v>4540.4549999999999</v>
      </c>
      <c r="J249" s="8" t="s">
        <v>138</v>
      </c>
      <c r="K249" s="8" t="s">
        <v>509</v>
      </c>
    </row>
    <row r="250" spans="1:11" x14ac:dyDescent="0.2">
      <c r="A250" s="10">
        <v>60122700</v>
      </c>
      <c r="B250" s="10" t="s">
        <v>7567</v>
      </c>
      <c r="C250" s="11">
        <v>7010.9359999999997</v>
      </c>
      <c r="D250" s="11">
        <v>0</v>
      </c>
      <c r="E250" s="11">
        <v>0</v>
      </c>
      <c r="F250" s="13">
        <v>0</v>
      </c>
      <c r="G250" s="13">
        <v>0</v>
      </c>
      <c r="H250" s="14">
        <v>0</v>
      </c>
      <c r="I250" s="14">
        <v>7010.9359999999997</v>
      </c>
      <c r="J250" s="8" t="s">
        <v>138</v>
      </c>
      <c r="K250" s="8" t="s">
        <v>509</v>
      </c>
    </row>
    <row r="251" spans="1:11" x14ac:dyDescent="0.2">
      <c r="A251" s="10">
        <v>60171000</v>
      </c>
      <c r="B251" s="10" t="s">
        <v>369</v>
      </c>
      <c r="C251" s="11">
        <v>326234.74800000002</v>
      </c>
      <c r="D251" s="11">
        <v>74050.695999999996</v>
      </c>
      <c r="E251" s="11">
        <v>0</v>
      </c>
      <c r="F251" s="13">
        <v>0</v>
      </c>
      <c r="G251" s="13">
        <v>0</v>
      </c>
      <c r="H251" s="14">
        <v>74050.695999999996</v>
      </c>
      <c r="I251" s="14">
        <v>400285.44400000002</v>
      </c>
      <c r="J251" s="8" t="s">
        <v>138</v>
      </c>
      <c r="K251" s="8" t="s">
        <v>509</v>
      </c>
    </row>
    <row r="252" spans="1:11" x14ac:dyDescent="0.2">
      <c r="A252" s="10">
        <v>60172000</v>
      </c>
      <c r="B252" s="10" t="s">
        <v>169</v>
      </c>
      <c r="C252" s="11">
        <v>529383.62399999995</v>
      </c>
      <c r="D252" s="11">
        <v>105434.83300000001</v>
      </c>
      <c r="E252" s="11">
        <v>0</v>
      </c>
      <c r="F252" s="13">
        <v>0</v>
      </c>
      <c r="G252" s="13">
        <v>0</v>
      </c>
      <c r="H252" s="14">
        <v>105434.83300000001</v>
      </c>
      <c r="I252" s="14">
        <v>634818.45699999994</v>
      </c>
      <c r="J252" s="8" t="s">
        <v>138</v>
      </c>
      <c r="K252" s="8" t="s">
        <v>509</v>
      </c>
    </row>
    <row r="253" spans="1:11" x14ac:dyDescent="0.2">
      <c r="A253" s="10">
        <v>60173000</v>
      </c>
      <c r="B253" s="10" t="s">
        <v>170</v>
      </c>
      <c r="C253" s="11">
        <v>62032.204000000012</v>
      </c>
      <c r="D253" s="11">
        <v>15093.044</v>
      </c>
      <c r="E253" s="11">
        <v>0</v>
      </c>
      <c r="F253" s="13">
        <v>0</v>
      </c>
      <c r="G253" s="13">
        <v>9525.9290000000001</v>
      </c>
      <c r="H253" s="14">
        <v>5567.1149999999998</v>
      </c>
      <c r="I253" s="14">
        <v>67599.319000000018</v>
      </c>
      <c r="J253" s="8" t="s">
        <v>138</v>
      </c>
      <c r="K253" s="8" t="s">
        <v>509</v>
      </c>
    </row>
    <row r="254" spans="1:11" x14ac:dyDescent="0.2">
      <c r="A254" s="10">
        <v>60191000</v>
      </c>
      <c r="B254" s="10" t="s">
        <v>158</v>
      </c>
      <c r="C254" s="11">
        <v>776761.47597799997</v>
      </c>
      <c r="D254" s="11">
        <v>83990.158575999987</v>
      </c>
      <c r="E254" s="11">
        <v>190.09700000000001</v>
      </c>
      <c r="F254" s="13">
        <v>0</v>
      </c>
      <c r="G254" s="13">
        <v>0</v>
      </c>
      <c r="H254" s="14">
        <v>83800.061575999993</v>
      </c>
      <c r="I254" s="14">
        <v>860561.53755399992</v>
      </c>
      <c r="J254" s="8" t="s">
        <v>138</v>
      </c>
      <c r="K254" s="8" t="s">
        <v>509</v>
      </c>
    </row>
    <row r="255" spans="1:11" x14ac:dyDescent="0.2">
      <c r="A255" s="10">
        <v>60215000</v>
      </c>
      <c r="B255" s="10" t="s">
        <v>370</v>
      </c>
      <c r="C255" s="11">
        <v>24171.527000000002</v>
      </c>
      <c r="D255" s="11">
        <v>0</v>
      </c>
      <c r="E255" s="11">
        <v>0</v>
      </c>
      <c r="F255" s="13">
        <v>0</v>
      </c>
      <c r="G255" s="13">
        <v>0</v>
      </c>
      <c r="H255" s="14">
        <v>0</v>
      </c>
      <c r="I255" s="14">
        <v>24171.527000000002</v>
      </c>
      <c r="J255" s="8" t="s">
        <v>138</v>
      </c>
      <c r="K255" s="8" t="s">
        <v>509</v>
      </c>
    </row>
    <row r="256" spans="1:11" x14ac:dyDescent="0.2">
      <c r="A256" s="10">
        <v>60216000</v>
      </c>
      <c r="B256" s="10" t="s">
        <v>371</v>
      </c>
      <c r="C256" s="11">
        <v>318012.90743399999</v>
      </c>
      <c r="D256" s="11">
        <v>66155.199695999996</v>
      </c>
      <c r="E256" s="11">
        <v>0</v>
      </c>
      <c r="F256" s="13">
        <v>0</v>
      </c>
      <c r="G256" s="13">
        <v>0</v>
      </c>
      <c r="H256" s="14">
        <v>66155.199695999996</v>
      </c>
      <c r="I256" s="14">
        <v>384168.10713000002</v>
      </c>
      <c r="J256" s="8" t="s">
        <v>138</v>
      </c>
      <c r="K256" s="8" t="s">
        <v>509</v>
      </c>
    </row>
    <row r="257" spans="1:11" x14ac:dyDescent="0.2">
      <c r="A257" s="10">
        <v>60260200</v>
      </c>
      <c r="B257" s="10" t="s">
        <v>372</v>
      </c>
      <c r="C257" s="11">
        <v>190048.94500000001</v>
      </c>
      <c r="D257" s="11">
        <v>0</v>
      </c>
      <c r="E257" s="11">
        <v>0</v>
      </c>
      <c r="F257" s="13">
        <v>0</v>
      </c>
      <c r="G257" s="13">
        <v>0</v>
      </c>
      <c r="H257" s="14">
        <v>0</v>
      </c>
      <c r="I257" s="14">
        <v>190048.94500000001</v>
      </c>
      <c r="J257" s="8" t="s">
        <v>138</v>
      </c>
      <c r="K257" s="8" t="s">
        <v>509</v>
      </c>
    </row>
    <row r="258" spans="1:11" x14ac:dyDescent="0.2">
      <c r="A258" s="10">
        <v>60260300</v>
      </c>
      <c r="B258" s="10" t="s">
        <v>160</v>
      </c>
      <c r="C258" s="12">
        <v>1074.1620000000112</v>
      </c>
      <c r="D258" s="11">
        <v>0</v>
      </c>
      <c r="E258" s="11">
        <v>0</v>
      </c>
      <c r="F258" s="13">
        <v>0</v>
      </c>
      <c r="G258" s="13">
        <v>0</v>
      </c>
      <c r="H258" s="14">
        <v>0</v>
      </c>
      <c r="I258" s="14">
        <v>1074.1620000000112</v>
      </c>
      <c r="J258" s="8" t="s">
        <v>138</v>
      </c>
      <c r="K258" s="8" t="s">
        <v>509</v>
      </c>
    </row>
    <row r="259" spans="1:11" x14ac:dyDescent="0.2">
      <c r="A259" s="10">
        <v>60260400</v>
      </c>
      <c r="B259" s="10" t="s">
        <v>161</v>
      </c>
      <c r="C259" s="11">
        <v>54597.114000000001</v>
      </c>
      <c r="D259" s="11">
        <v>3979.8</v>
      </c>
      <c r="E259" s="11">
        <v>0</v>
      </c>
      <c r="F259" s="13">
        <v>0</v>
      </c>
      <c r="G259" s="13">
        <v>0</v>
      </c>
      <c r="H259" s="14">
        <v>3979.8</v>
      </c>
      <c r="I259" s="14">
        <v>58576.914000000004</v>
      </c>
      <c r="J259" s="8" t="s">
        <v>138</v>
      </c>
      <c r="K259" s="8" t="s">
        <v>509</v>
      </c>
    </row>
    <row r="260" spans="1:11" x14ac:dyDescent="0.2">
      <c r="A260" s="10">
        <v>60260500</v>
      </c>
      <c r="B260" s="10" t="s">
        <v>162</v>
      </c>
      <c r="C260" s="11">
        <v>22920</v>
      </c>
      <c r="D260" s="11">
        <v>0</v>
      </c>
      <c r="E260" s="11">
        <v>0</v>
      </c>
      <c r="F260" s="13">
        <v>0</v>
      </c>
      <c r="G260" s="13">
        <v>0</v>
      </c>
      <c r="H260" s="14">
        <v>0</v>
      </c>
      <c r="I260" s="14">
        <v>22920</v>
      </c>
      <c r="J260" s="8" t="s">
        <v>138</v>
      </c>
      <c r="K260" s="8" t="s">
        <v>509</v>
      </c>
    </row>
    <row r="261" spans="1:11" x14ac:dyDescent="0.2">
      <c r="A261" s="10">
        <v>60260600</v>
      </c>
      <c r="B261" s="10" t="s">
        <v>7401</v>
      </c>
      <c r="C261" s="11">
        <v>0</v>
      </c>
      <c r="D261" s="11">
        <v>439.35300000000007</v>
      </c>
      <c r="E261" s="11">
        <v>0</v>
      </c>
      <c r="F261" s="13">
        <v>0</v>
      </c>
      <c r="G261" s="13">
        <v>0</v>
      </c>
      <c r="H261" s="14">
        <v>439.35300000000007</v>
      </c>
      <c r="I261" s="14">
        <v>439.35300000000007</v>
      </c>
      <c r="J261" s="8" t="s">
        <v>138</v>
      </c>
      <c r="K261" s="8" t="s">
        <v>509</v>
      </c>
    </row>
    <row r="262" spans="1:11" x14ac:dyDescent="0.2">
      <c r="A262" s="10">
        <v>60260700</v>
      </c>
      <c r="B262" s="10" t="s">
        <v>163</v>
      </c>
      <c r="C262" s="11">
        <v>56010.6</v>
      </c>
      <c r="D262" s="11">
        <v>17190.2</v>
      </c>
      <c r="E262" s="11">
        <v>0</v>
      </c>
      <c r="F262" s="13">
        <v>4125</v>
      </c>
      <c r="G262" s="13">
        <v>0</v>
      </c>
      <c r="H262" s="14">
        <v>21315.200000000001</v>
      </c>
      <c r="I262" s="14">
        <v>77325.8</v>
      </c>
      <c r="J262" s="8" t="s">
        <v>138</v>
      </c>
      <c r="K262" s="8" t="s">
        <v>509</v>
      </c>
    </row>
    <row r="263" spans="1:11" x14ac:dyDescent="0.2">
      <c r="A263" s="10">
        <v>60262000</v>
      </c>
      <c r="B263" s="10" t="s">
        <v>164</v>
      </c>
      <c r="C263" s="11">
        <v>129508.08919999999</v>
      </c>
      <c r="D263" s="11">
        <v>13304.249599999999</v>
      </c>
      <c r="E263" s="11">
        <v>0</v>
      </c>
      <c r="F263" s="13">
        <v>0</v>
      </c>
      <c r="G263" s="13">
        <v>6750</v>
      </c>
      <c r="H263" s="14">
        <v>6554.2495999999992</v>
      </c>
      <c r="I263" s="14">
        <v>136062.3388</v>
      </c>
      <c r="J263" s="8" t="s">
        <v>138</v>
      </c>
      <c r="K263" s="8" t="s">
        <v>509</v>
      </c>
    </row>
    <row r="264" spans="1:11" x14ac:dyDescent="0.2">
      <c r="A264" s="10">
        <v>60263000</v>
      </c>
      <c r="B264" s="10" t="s">
        <v>165</v>
      </c>
      <c r="C264" s="11">
        <v>26858.992000000006</v>
      </c>
      <c r="D264" s="11">
        <v>2090.0720000000001</v>
      </c>
      <c r="E264" s="11">
        <v>0</v>
      </c>
      <c r="F264" s="13">
        <v>0</v>
      </c>
      <c r="G264" s="13">
        <v>0</v>
      </c>
      <c r="H264" s="14">
        <v>2090.0720000000001</v>
      </c>
      <c r="I264" s="14">
        <v>28949.064000000006</v>
      </c>
      <c r="J264" s="8" t="s">
        <v>138</v>
      </c>
      <c r="K264" s="8" t="s">
        <v>509</v>
      </c>
    </row>
    <row r="265" spans="1:11" x14ac:dyDescent="0.2">
      <c r="A265" s="10">
        <v>60310000</v>
      </c>
      <c r="B265" s="10" t="s">
        <v>265</v>
      </c>
      <c r="C265" s="11">
        <v>-902455.6548999995</v>
      </c>
      <c r="D265" s="11">
        <v>0</v>
      </c>
      <c r="E265" s="11">
        <v>0</v>
      </c>
      <c r="F265" s="13">
        <v>11027560.3259</v>
      </c>
      <c r="G265" s="13">
        <v>10245362.843</v>
      </c>
      <c r="H265" s="14">
        <v>782197.48289999925</v>
      </c>
      <c r="I265" s="14">
        <v>-120258.17200000025</v>
      </c>
      <c r="J265" s="8" t="s">
        <v>138</v>
      </c>
      <c r="K265" s="8" t="s">
        <v>509</v>
      </c>
    </row>
    <row r="266" spans="1:11" x14ac:dyDescent="0.2">
      <c r="A266" s="10">
        <v>60330000</v>
      </c>
      <c r="B266" s="10" t="s">
        <v>266</v>
      </c>
      <c r="C266" s="11">
        <v>-113012.91910000006</v>
      </c>
      <c r="D266" s="11">
        <v>0</v>
      </c>
      <c r="E266" s="11">
        <v>0</v>
      </c>
      <c r="F266" s="13">
        <v>696643.57010000001</v>
      </c>
      <c r="G266" s="13">
        <v>733778.89099999995</v>
      </c>
      <c r="H266" s="14">
        <v>-37135.320899999933</v>
      </c>
      <c r="I266" s="14">
        <v>-150148.24</v>
      </c>
      <c r="J266" s="8" t="s">
        <v>157</v>
      </c>
      <c r="K266" s="8" t="s">
        <v>512</v>
      </c>
    </row>
    <row r="267" spans="1:11" x14ac:dyDescent="0.2">
      <c r="A267" s="10">
        <v>60401000</v>
      </c>
      <c r="B267" s="10" t="s">
        <v>166</v>
      </c>
      <c r="C267" s="11">
        <v>0</v>
      </c>
      <c r="D267" s="11">
        <v>0</v>
      </c>
      <c r="E267" s="11">
        <v>0</v>
      </c>
      <c r="F267" s="13">
        <v>125000</v>
      </c>
      <c r="G267" s="13">
        <v>0</v>
      </c>
      <c r="H267" s="14">
        <v>125000</v>
      </c>
      <c r="I267" s="14">
        <v>125000</v>
      </c>
      <c r="J267" s="8" t="s">
        <v>157</v>
      </c>
      <c r="K267" s="8" t="s">
        <v>512</v>
      </c>
    </row>
    <row r="268" spans="1:11" x14ac:dyDescent="0.2">
      <c r="A268" s="10">
        <v>60502000</v>
      </c>
      <c r="B268" s="10" t="s">
        <v>167</v>
      </c>
      <c r="C268" s="11">
        <v>260234.82837499992</v>
      </c>
      <c r="D268" s="11">
        <v>111772.3302</v>
      </c>
      <c r="E268" s="11">
        <v>10992.9</v>
      </c>
      <c r="F268" s="13">
        <v>24363.52</v>
      </c>
      <c r="G268" s="13">
        <v>26127.88</v>
      </c>
      <c r="H268" s="14">
        <v>99015.070199999987</v>
      </c>
      <c r="I268" s="14">
        <v>359249.89857499988</v>
      </c>
      <c r="J268" s="8" t="s">
        <v>157</v>
      </c>
      <c r="K268" s="8" t="s">
        <v>512</v>
      </c>
    </row>
    <row r="269" spans="1:11" x14ac:dyDescent="0.2">
      <c r="A269" s="10">
        <v>60504000</v>
      </c>
      <c r="B269" s="10" t="s">
        <v>168</v>
      </c>
      <c r="C269" s="11">
        <v>1600</v>
      </c>
      <c r="D269" s="11">
        <v>0</v>
      </c>
      <c r="E269" s="11">
        <v>0</v>
      </c>
      <c r="F269" s="13">
        <v>0</v>
      </c>
      <c r="G269" s="13">
        <v>0</v>
      </c>
      <c r="H269" s="14">
        <v>0</v>
      </c>
      <c r="I269" s="14">
        <v>1600</v>
      </c>
      <c r="J269" s="8" t="s">
        <v>157</v>
      </c>
      <c r="K269" s="8" t="s">
        <v>512</v>
      </c>
    </row>
    <row r="270" spans="1:11" x14ac:dyDescent="0.2">
      <c r="A270" s="10">
        <v>60614000</v>
      </c>
      <c r="B270" s="10" t="s">
        <v>171</v>
      </c>
      <c r="C270" s="11">
        <v>89254.214000000007</v>
      </c>
      <c r="D270" s="11">
        <v>16529.555</v>
      </c>
      <c r="E270" s="11">
        <v>0</v>
      </c>
      <c r="F270" s="13">
        <v>0</v>
      </c>
      <c r="G270" s="13">
        <v>0</v>
      </c>
      <c r="H270" s="14">
        <v>16529.555</v>
      </c>
      <c r="I270" s="14">
        <v>105783.769</v>
      </c>
      <c r="J270" s="8" t="s">
        <v>157</v>
      </c>
      <c r="K270" s="8" t="s">
        <v>512</v>
      </c>
    </row>
    <row r="271" spans="1:11" x14ac:dyDescent="0.2">
      <c r="A271" s="10">
        <v>60620000</v>
      </c>
      <c r="B271" s="10" t="s">
        <v>172</v>
      </c>
      <c r="C271" s="11">
        <v>9074.3990000000013</v>
      </c>
      <c r="D271" s="11">
        <v>3209.645</v>
      </c>
      <c r="E271" s="11">
        <v>0</v>
      </c>
      <c r="F271" s="13">
        <v>221</v>
      </c>
      <c r="G271" s="13">
        <v>0</v>
      </c>
      <c r="H271" s="14">
        <v>3430.645</v>
      </c>
      <c r="I271" s="14">
        <v>12505.044000000002</v>
      </c>
      <c r="J271" s="8" t="s">
        <v>157</v>
      </c>
      <c r="K271" s="8" t="s">
        <v>512</v>
      </c>
    </row>
    <row r="272" spans="1:11" x14ac:dyDescent="0.2">
      <c r="A272" s="10">
        <v>60650000</v>
      </c>
      <c r="B272" s="10" t="s">
        <v>373</v>
      </c>
      <c r="C272" s="11">
        <v>2550</v>
      </c>
      <c r="D272" s="11">
        <v>1350</v>
      </c>
      <c r="E272" s="11">
        <v>0</v>
      </c>
      <c r="F272" s="13">
        <v>0</v>
      </c>
      <c r="G272" s="13">
        <v>0</v>
      </c>
      <c r="H272" s="14">
        <v>1350</v>
      </c>
      <c r="I272" s="14">
        <v>3900</v>
      </c>
      <c r="J272" s="8" t="s">
        <v>138</v>
      </c>
      <c r="K272" s="8" t="s">
        <v>509</v>
      </c>
    </row>
    <row r="273" spans="1:11" x14ac:dyDescent="0.2">
      <c r="A273" s="10">
        <v>60660000</v>
      </c>
      <c r="B273" s="10" t="s">
        <v>173</v>
      </c>
      <c r="C273" s="11">
        <v>9116.0410000000011</v>
      </c>
      <c r="D273" s="11">
        <v>5004.33</v>
      </c>
      <c r="E273" s="11">
        <v>0</v>
      </c>
      <c r="F273" s="13">
        <v>0</v>
      </c>
      <c r="G273" s="13">
        <v>0</v>
      </c>
      <c r="H273" s="14">
        <v>5004.33</v>
      </c>
      <c r="I273" s="14">
        <v>14120.371000000001</v>
      </c>
      <c r="J273" s="8" t="s">
        <v>157</v>
      </c>
      <c r="K273" s="8" t="s">
        <v>512</v>
      </c>
    </row>
    <row r="274" spans="1:11" x14ac:dyDescent="0.2">
      <c r="A274" s="10">
        <v>60670000</v>
      </c>
      <c r="B274" s="10" t="s">
        <v>174</v>
      </c>
      <c r="C274" s="11">
        <v>7083.44</v>
      </c>
      <c r="D274" s="11">
        <v>99.6</v>
      </c>
      <c r="E274" s="11">
        <v>0</v>
      </c>
      <c r="F274" s="13">
        <v>0</v>
      </c>
      <c r="G274" s="13">
        <v>0</v>
      </c>
      <c r="H274" s="14">
        <v>99.6</v>
      </c>
      <c r="I274" s="14">
        <v>7183.04</v>
      </c>
      <c r="J274" s="8" t="s">
        <v>157</v>
      </c>
      <c r="K274" s="8" t="s">
        <v>512</v>
      </c>
    </row>
    <row r="275" spans="1:11" x14ac:dyDescent="0.2">
      <c r="A275" s="10">
        <v>60671000</v>
      </c>
      <c r="B275" s="10" t="s">
        <v>374</v>
      </c>
      <c r="C275" s="11">
        <v>60558.854000000007</v>
      </c>
      <c r="D275" s="11">
        <v>7480.8819999999996</v>
      </c>
      <c r="E275" s="11">
        <v>0</v>
      </c>
      <c r="F275" s="13">
        <v>0</v>
      </c>
      <c r="G275" s="13">
        <v>0</v>
      </c>
      <c r="H275" s="14">
        <v>7480.8819999999996</v>
      </c>
      <c r="I275" s="14">
        <v>68039.736000000004</v>
      </c>
      <c r="J275" s="8" t="s">
        <v>157</v>
      </c>
      <c r="K275" s="8" t="s">
        <v>512</v>
      </c>
    </row>
    <row r="276" spans="1:11" x14ac:dyDescent="0.2">
      <c r="A276" s="10">
        <v>60672000</v>
      </c>
      <c r="B276" s="10" t="s">
        <v>7569</v>
      </c>
      <c r="C276" s="11">
        <v>3369.5</v>
      </c>
      <c r="D276" s="11">
        <v>0</v>
      </c>
      <c r="E276" s="11">
        <v>0</v>
      </c>
      <c r="F276" s="13">
        <v>0</v>
      </c>
      <c r="G276" s="13">
        <v>0</v>
      </c>
      <c r="H276" s="14">
        <v>0</v>
      </c>
      <c r="I276" s="14">
        <v>3369.5</v>
      </c>
      <c r="J276" s="8" t="s">
        <v>157</v>
      </c>
      <c r="K276" s="8" t="s">
        <v>512</v>
      </c>
    </row>
    <row r="277" spans="1:11" x14ac:dyDescent="0.2">
      <c r="A277" s="10">
        <v>60700000</v>
      </c>
      <c r="B277" s="10" t="s">
        <v>7719</v>
      </c>
      <c r="C277" s="11">
        <v>15708</v>
      </c>
      <c r="D277" s="11">
        <v>0</v>
      </c>
      <c r="E277" s="11">
        <v>0</v>
      </c>
      <c r="F277" s="13">
        <v>15708</v>
      </c>
      <c r="G277" s="13">
        <v>15708</v>
      </c>
      <c r="H277" s="14">
        <v>0</v>
      </c>
      <c r="I277" s="14">
        <v>15708</v>
      </c>
      <c r="J277" s="8" t="s">
        <v>157</v>
      </c>
      <c r="K277" s="8" t="s">
        <v>512</v>
      </c>
    </row>
    <row r="278" spans="1:11" x14ac:dyDescent="0.2">
      <c r="A278" s="10">
        <v>61400000</v>
      </c>
      <c r="B278" s="10" t="s">
        <v>175</v>
      </c>
      <c r="C278" s="11">
        <v>14041.663999999997</v>
      </c>
      <c r="D278" s="11">
        <v>994.44399999999985</v>
      </c>
      <c r="E278" s="11">
        <v>0</v>
      </c>
      <c r="F278" s="13">
        <v>0</v>
      </c>
      <c r="G278" s="13">
        <v>0</v>
      </c>
      <c r="H278" s="14">
        <v>994.44399999999985</v>
      </c>
      <c r="I278" s="14">
        <v>15036.107999999997</v>
      </c>
      <c r="J278" s="8" t="s">
        <v>157</v>
      </c>
      <c r="K278" s="8" t="s">
        <v>512</v>
      </c>
    </row>
    <row r="279" spans="1:11" x14ac:dyDescent="0.2">
      <c r="A279" s="10">
        <v>61500000</v>
      </c>
      <c r="B279" s="10" t="s">
        <v>176</v>
      </c>
      <c r="C279" s="11">
        <v>102065.74999999999</v>
      </c>
      <c r="D279" s="11">
        <v>23514.915000000001</v>
      </c>
      <c r="E279" s="11">
        <v>16131.045000000002</v>
      </c>
      <c r="F279" s="13">
        <v>17428.485000000001</v>
      </c>
      <c r="G279" s="13">
        <v>15152.017</v>
      </c>
      <c r="H279" s="14">
        <v>9660.3379999999997</v>
      </c>
      <c r="I279" s="14">
        <v>111726.08799999999</v>
      </c>
      <c r="J279" s="8" t="s">
        <v>157</v>
      </c>
      <c r="K279" s="8" t="s">
        <v>512</v>
      </c>
    </row>
    <row r="280" spans="1:11" x14ac:dyDescent="0.2">
      <c r="A280" s="10">
        <v>61501000</v>
      </c>
      <c r="B280" s="10" t="s">
        <v>177</v>
      </c>
      <c r="C280" s="11">
        <v>117683.66099999998</v>
      </c>
      <c r="D280" s="11">
        <v>9840.7819999999992</v>
      </c>
      <c r="E280" s="11">
        <v>2641</v>
      </c>
      <c r="F280" s="13">
        <v>1190</v>
      </c>
      <c r="G280" s="13">
        <v>6471.8289999999997</v>
      </c>
      <c r="H280" s="14">
        <v>1917.9529999999995</v>
      </c>
      <c r="I280" s="14">
        <v>119601.61399999997</v>
      </c>
      <c r="J280" s="8" t="s">
        <v>157</v>
      </c>
      <c r="K280" s="8" t="s">
        <v>512</v>
      </c>
    </row>
    <row r="281" spans="1:11" x14ac:dyDescent="0.2">
      <c r="A281" s="10">
        <v>61600000</v>
      </c>
      <c r="B281" s="10" t="s">
        <v>397</v>
      </c>
      <c r="C281" s="11">
        <v>7782.9</v>
      </c>
      <c r="D281" s="11">
        <v>7720</v>
      </c>
      <c r="E281" s="11">
        <v>0</v>
      </c>
      <c r="F281" s="13">
        <v>0</v>
      </c>
      <c r="G281" s="13">
        <v>2573.3330000000001</v>
      </c>
      <c r="H281" s="14">
        <v>5146.6669999999995</v>
      </c>
      <c r="I281" s="14">
        <v>12929.566999999999</v>
      </c>
      <c r="J281" s="8" t="s">
        <v>157</v>
      </c>
      <c r="K281" s="8" t="s">
        <v>512</v>
      </c>
    </row>
    <row r="282" spans="1:11" x14ac:dyDescent="0.2">
      <c r="A282" s="10">
        <v>61603000</v>
      </c>
      <c r="B282" s="10" t="s">
        <v>178</v>
      </c>
      <c r="C282" s="11">
        <v>18508.039000000001</v>
      </c>
      <c r="D282" s="11">
        <v>0</v>
      </c>
      <c r="E282" s="11">
        <v>0</v>
      </c>
      <c r="F282" s="13">
        <v>2359.1680999999999</v>
      </c>
      <c r="G282" s="13">
        <v>0</v>
      </c>
      <c r="H282" s="14">
        <v>2359.1680999999999</v>
      </c>
      <c r="I282" s="14">
        <v>20867.2071</v>
      </c>
      <c r="J282" s="8" t="s">
        <v>157</v>
      </c>
      <c r="K282" s="8" t="s">
        <v>512</v>
      </c>
    </row>
    <row r="283" spans="1:11" x14ac:dyDescent="0.2">
      <c r="A283" s="10">
        <v>61607000</v>
      </c>
      <c r="B283" s="10" t="s">
        <v>179</v>
      </c>
      <c r="C283" s="11">
        <v>6137.9999999999982</v>
      </c>
      <c r="D283" s="11">
        <v>0</v>
      </c>
      <c r="E283" s="11">
        <v>0</v>
      </c>
      <c r="F283" s="13">
        <v>1227.5999999999999</v>
      </c>
      <c r="G283" s="13">
        <v>0</v>
      </c>
      <c r="H283" s="14">
        <v>1227.5999999999999</v>
      </c>
      <c r="I283" s="14">
        <v>7365.5999999999985</v>
      </c>
      <c r="J283" s="8" t="s">
        <v>157</v>
      </c>
      <c r="K283" s="8" t="s">
        <v>512</v>
      </c>
    </row>
    <row r="284" spans="1:11" x14ac:dyDescent="0.2">
      <c r="A284" s="10">
        <v>62120000</v>
      </c>
      <c r="B284" s="10" t="s">
        <v>180</v>
      </c>
      <c r="C284" s="11">
        <v>26190.82</v>
      </c>
      <c r="D284" s="11">
        <v>3475</v>
      </c>
      <c r="E284" s="11">
        <v>0</v>
      </c>
      <c r="F284" s="13">
        <v>0</v>
      </c>
      <c r="G284" s="13">
        <v>0</v>
      </c>
      <c r="H284" s="14">
        <v>3475</v>
      </c>
      <c r="I284" s="14">
        <v>29665.82</v>
      </c>
      <c r="J284" s="8" t="s">
        <v>157</v>
      </c>
      <c r="K284" s="8" t="s">
        <v>512</v>
      </c>
    </row>
    <row r="285" spans="1:11" x14ac:dyDescent="0.2">
      <c r="A285" s="10">
        <v>62200000</v>
      </c>
      <c r="B285" s="10" t="s">
        <v>181</v>
      </c>
      <c r="C285" s="11">
        <v>5200.0010000000002</v>
      </c>
      <c r="D285" s="11">
        <v>0</v>
      </c>
      <c r="E285" s="11">
        <v>0</v>
      </c>
      <c r="F285" s="13">
        <v>866.66700000000003</v>
      </c>
      <c r="G285" s="13">
        <v>0</v>
      </c>
      <c r="H285" s="14">
        <v>866.66700000000003</v>
      </c>
      <c r="I285" s="14">
        <v>6066.6680000000006</v>
      </c>
      <c r="J285" s="8" t="s">
        <v>157</v>
      </c>
      <c r="K285" s="8" t="s">
        <v>512</v>
      </c>
    </row>
    <row r="286" spans="1:11" x14ac:dyDescent="0.2">
      <c r="A286" s="10">
        <v>62210000</v>
      </c>
      <c r="B286" s="10" t="s">
        <v>398</v>
      </c>
      <c r="C286" s="11">
        <v>425</v>
      </c>
      <c r="D286" s="11">
        <v>2260.5039999999999</v>
      </c>
      <c r="E286" s="11">
        <v>0</v>
      </c>
      <c r="F286" s="13">
        <v>0</v>
      </c>
      <c r="G286" s="13">
        <v>0</v>
      </c>
      <c r="H286" s="14">
        <v>2260.5039999999999</v>
      </c>
      <c r="I286" s="14">
        <v>2685.5039999999999</v>
      </c>
      <c r="J286" s="8" t="s">
        <v>157</v>
      </c>
      <c r="K286" s="8" t="s">
        <v>512</v>
      </c>
    </row>
    <row r="287" spans="1:11" x14ac:dyDescent="0.2">
      <c r="A287" s="10">
        <v>62230000</v>
      </c>
      <c r="B287" s="10" t="s">
        <v>375</v>
      </c>
      <c r="C287" s="11">
        <v>8225.3709999999992</v>
      </c>
      <c r="D287" s="11">
        <v>363.6</v>
      </c>
      <c r="E287" s="11">
        <v>0</v>
      </c>
      <c r="F287" s="13">
        <v>0</v>
      </c>
      <c r="G287" s="13">
        <v>0</v>
      </c>
      <c r="H287" s="14">
        <v>363.6</v>
      </c>
      <c r="I287" s="14">
        <v>8588.9709999999995</v>
      </c>
      <c r="J287" s="8" t="s">
        <v>157</v>
      </c>
      <c r="K287" s="8" t="s">
        <v>512</v>
      </c>
    </row>
    <row r="288" spans="1:11" x14ac:dyDescent="0.2">
      <c r="A288" s="10">
        <v>62240000</v>
      </c>
      <c r="B288" s="10" t="s">
        <v>267</v>
      </c>
      <c r="C288" s="11">
        <v>16322.815199999997</v>
      </c>
      <c r="D288" s="11">
        <v>0</v>
      </c>
      <c r="E288" s="11">
        <v>0</v>
      </c>
      <c r="F288" s="13">
        <v>2865.5630000000001</v>
      </c>
      <c r="G288" s="13">
        <v>0</v>
      </c>
      <c r="H288" s="14">
        <v>2865.5630000000001</v>
      </c>
      <c r="I288" s="14">
        <v>19188.378199999999</v>
      </c>
      <c r="J288" s="8" t="s">
        <v>157</v>
      </c>
      <c r="K288" s="8" t="s">
        <v>512</v>
      </c>
    </row>
    <row r="289" spans="1:11" x14ac:dyDescent="0.2">
      <c r="A289" s="10">
        <v>62250000</v>
      </c>
      <c r="B289" s="10" t="s">
        <v>268</v>
      </c>
      <c r="C289" s="11">
        <v>25000</v>
      </c>
      <c r="D289" s="11">
        <v>0</v>
      </c>
      <c r="E289" s="11">
        <v>0</v>
      </c>
      <c r="F289" s="13">
        <v>5000</v>
      </c>
      <c r="G289" s="13">
        <v>0</v>
      </c>
      <c r="H289" s="14">
        <v>5000</v>
      </c>
      <c r="I289" s="14">
        <v>30000</v>
      </c>
      <c r="J289" s="8" t="s">
        <v>157</v>
      </c>
      <c r="K289" s="8" t="s">
        <v>512</v>
      </c>
    </row>
    <row r="290" spans="1:11" x14ac:dyDescent="0.2">
      <c r="A290" s="10">
        <v>62260000</v>
      </c>
      <c r="B290" s="10" t="s">
        <v>7402</v>
      </c>
      <c r="C290" s="11">
        <v>3469.8</v>
      </c>
      <c r="D290" s="11">
        <v>12891.553</v>
      </c>
      <c r="E290" s="11">
        <v>0</v>
      </c>
      <c r="F290" s="13">
        <v>0</v>
      </c>
      <c r="G290" s="13">
        <v>0</v>
      </c>
      <c r="H290" s="14">
        <v>12891.553</v>
      </c>
      <c r="I290" s="14">
        <v>16361.352999999999</v>
      </c>
      <c r="J290" s="8" t="s">
        <v>157</v>
      </c>
      <c r="K290" s="8" t="s">
        <v>512</v>
      </c>
    </row>
    <row r="291" spans="1:11" x14ac:dyDescent="0.2">
      <c r="A291" s="10">
        <v>62270000</v>
      </c>
      <c r="B291" s="10" t="s">
        <v>399</v>
      </c>
      <c r="C291" s="11">
        <v>490.93500000000006</v>
      </c>
      <c r="D291" s="11">
        <v>0</v>
      </c>
      <c r="E291" s="11">
        <v>0</v>
      </c>
      <c r="F291" s="13">
        <v>0</v>
      </c>
      <c r="G291" s="13">
        <v>0</v>
      </c>
      <c r="H291" s="14">
        <v>0</v>
      </c>
      <c r="I291" s="14">
        <v>490.93500000000006</v>
      </c>
      <c r="J291" s="8" t="s">
        <v>157</v>
      </c>
      <c r="K291" s="8" t="s">
        <v>512</v>
      </c>
    </row>
    <row r="292" spans="1:11" x14ac:dyDescent="0.2">
      <c r="A292" s="10">
        <v>62300000</v>
      </c>
      <c r="B292" s="10" t="s">
        <v>182</v>
      </c>
      <c r="C292" s="11">
        <v>37500</v>
      </c>
      <c r="D292" s="11">
        <v>0</v>
      </c>
      <c r="E292" s="11">
        <v>0</v>
      </c>
      <c r="F292" s="13">
        <v>7500</v>
      </c>
      <c r="G292" s="13">
        <v>0</v>
      </c>
      <c r="H292" s="14">
        <v>7500</v>
      </c>
      <c r="I292" s="14">
        <v>45000</v>
      </c>
      <c r="J292" s="8" t="s">
        <v>157</v>
      </c>
      <c r="K292" s="8" t="s">
        <v>512</v>
      </c>
    </row>
    <row r="293" spans="1:11" x14ac:dyDescent="0.2">
      <c r="A293" s="10">
        <v>62301000</v>
      </c>
      <c r="B293" s="10" t="s">
        <v>7397</v>
      </c>
      <c r="C293" s="11">
        <v>14799.689999999999</v>
      </c>
      <c r="D293" s="11">
        <v>14180</v>
      </c>
      <c r="E293" s="11">
        <v>0</v>
      </c>
      <c r="F293" s="13">
        <v>0</v>
      </c>
      <c r="G293" s="13">
        <v>0</v>
      </c>
      <c r="H293" s="14">
        <v>14180</v>
      </c>
      <c r="I293" s="14">
        <v>28979.69</v>
      </c>
      <c r="J293" s="8" t="s">
        <v>157</v>
      </c>
      <c r="K293" s="8" t="s">
        <v>512</v>
      </c>
    </row>
    <row r="294" spans="1:11" x14ac:dyDescent="0.2">
      <c r="A294" s="10">
        <v>62410000</v>
      </c>
      <c r="B294" s="10" t="s">
        <v>183</v>
      </c>
      <c r="C294" s="11">
        <v>4194.7060000000001</v>
      </c>
      <c r="D294" s="11">
        <v>1560</v>
      </c>
      <c r="E294" s="11">
        <v>0</v>
      </c>
      <c r="F294" s="13">
        <v>0</v>
      </c>
      <c r="G294" s="13">
        <v>1214.7059999999999</v>
      </c>
      <c r="H294" s="14">
        <v>345.2940000000001</v>
      </c>
      <c r="I294" s="14">
        <v>4540</v>
      </c>
      <c r="J294" s="8" t="s">
        <v>157</v>
      </c>
      <c r="K294" s="8" t="s">
        <v>512</v>
      </c>
    </row>
    <row r="295" spans="1:11" x14ac:dyDescent="0.2">
      <c r="A295" s="10">
        <v>62430000</v>
      </c>
      <c r="B295" s="10" t="s">
        <v>159</v>
      </c>
      <c r="C295" s="11">
        <v>289477.8</v>
      </c>
      <c r="D295" s="11">
        <v>21810.1</v>
      </c>
      <c r="E295" s="11">
        <v>0</v>
      </c>
      <c r="F295" s="13">
        <v>0</v>
      </c>
      <c r="G295" s="13">
        <v>0</v>
      </c>
      <c r="H295" s="14">
        <v>21810.1</v>
      </c>
      <c r="I295" s="14">
        <v>311287.89999999997</v>
      </c>
      <c r="J295" s="8" t="s">
        <v>157</v>
      </c>
      <c r="K295" s="8" t="s">
        <v>512</v>
      </c>
    </row>
    <row r="296" spans="1:11" x14ac:dyDescent="0.2">
      <c r="A296" s="10">
        <v>62500000</v>
      </c>
      <c r="B296" s="10" t="s">
        <v>185</v>
      </c>
      <c r="C296" s="11">
        <v>606.6</v>
      </c>
      <c r="D296" s="11">
        <v>25.5</v>
      </c>
      <c r="E296" s="11">
        <v>0</v>
      </c>
      <c r="F296" s="13">
        <v>0</v>
      </c>
      <c r="G296" s="13">
        <v>0</v>
      </c>
      <c r="H296" s="14">
        <v>25.5</v>
      </c>
      <c r="I296" s="14">
        <v>632.1</v>
      </c>
      <c r="J296" s="8" t="s">
        <v>157</v>
      </c>
      <c r="K296" s="8" t="s">
        <v>512</v>
      </c>
    </row>
    <row r="297" spans="1:11" x14ac:dyDescent="0.2">
      <c r="A297" s="10">
        <v>62510000</v>
      </c>
      <c r="B297" s="10" t="s">
        <v>7571</v>
      </c>
      <c r="C297" s="11">
        <v>5831</v>
      </c>
      <c r="D297" s="11">
        <v>0</v>
      </c>
      <c r="E297" s="11">
        <v>0</v>
      </c>
      <c r="F297" s="13">
        <v>0</v>
      </c>
      <c r="G297" s="13">
        <v>0</v>
      </c>
      <c r="H297" s="14">
        <v>0</v>
      </c>
      <c r="I297" s="14">
        <v>5831</v>
      </c>
      <c r="J297" s="8" t="s">
        <v>157</v>
      </c>
      <c r="K297" s="8" t="s">
        <v>512</v>
      </c>
    </row>
    <row r="298" spans="1:11" x14ac:dyDescent="0.2">
      <c r="A298" s="10">
        <v>62520000</v>
      </c>
      <c r="B298" s="10" t="s">
        <v>7403</v>
      </c>
      <c r="C298" s="11">
        <v>22316</v>
      </c>
      <c r="D298" s="11">
        <v>0</v>
      </c>
      <c r="E298" s="11">
        <v>0</v>
      </c>
      <c r="F298" s="13">
        <v>0</v>
      </c>
      <c r="G298" s="13">
        <v>0</v>
      </c>
      <c r="H298" s="14">
        <v>0</v>
      </c>
      <c r="I298" s="14">
        <v>22316</v>
      </c>
      <c r="J298" s="8" t="s">
        <v>157</v>
      </c>
      <c r="K298" s="8" t="s">
        <v>512</v>
      </c>
    </row>
    <row r="299" spans="1:11" x14ac:dyDescent="0.2">
      <c r="A299" s="10">
        <v>62570000</v>
      </c>
      <c r="B299" s="10" t="s">
        <v>186</v>
      </c>
      <c r="C299" s="11">
        <v>12656.9</v>
      </c>
      <c r="D299" s="11">
        <v>4250</v>
      </c>
      <c r="E299" s="11">
        <v>0</v>
      </c>
      <c r="F299" s="13">
        <v>0</v>
      </c>
      <c r="G299" s="13">
        <v>0</v>
      </c>
      <c r="H299" s="14">
        <v>4250</v>
      </c>
      <c r="I299" s="14">
        <v>16906.900000000001</v>
      </c>
      <c r="J299" s="8" t="s">
        <v>157</v>
      </c>
      <c r="K299" s="8" t="s">
        <v>512</v>
      </c>
    </row>
    <row r="300" spans="1:11" x14ac:dyDescent="0.2">
      <c r="A300" s="10">
        <v>62571000</v>
      </c>
      <c r="B300" s="10" t="s">
        <v>376</v>
      </c>
      <c r="C300" s="11">
        <v>7932.7019999999993</v>
      </c>
      <c r="D300" s="11">
        <v>1389.2</v>
      </c>
      <c r="E300" s="11">
        <v>0</v>
      </c>
      <c r="F300" s="13">
        <v>0</v>
      </c>
      <c r="G300" s="13">
        <v>0</v>
      </c>
      <c r="H300" s="14">
        <v>1389.2</v>
      </c>
      <c r="I300" s="14">
        <v>9321.902</v>
      </c>
      <c r="J300" s="8" t="s">
        <v>157</v>
      </c>
      <c r="K300" s="8" t="s">
        <v>512</v>
      </c>
    </row>
    <row r="301" spans="1:11" x14ac:dyDescent="0.2">
      <c r="A301" s="10">
        <v>62572000</v>
      </c>
      <c r="B301" s="10" t="s">
        <v>377</v>
      </c>
      <c r="C301" s="11">
        <v>2523.1999999999998</v>
      </c>
      <c r="D301" s="11">
        <v>2880</v>
      </c>
      <c r="E301" s="11">
        <v>0</v>
      </c>
      <c r="F301" s="13">
        <v>0</v>
      </c>
      <c r="G301" s="13">
        <v>0</v>
      </c>
      <c r="H301" s="14">
        <v>2880</v>
      </c>
      <c r="I301" s="14">
        <v>5403.2</v>
      </c>
      <c r="J301" s="8" t="s">
        <v>157</v>
      </c>
      <c r="K301" s="8" t="s">
        <v>512</v>
      </c>
    </row>
    <row r="302" spans="1:11" x14ac:dyDescent="0.2">
      <c r="A302" s="10">
        <v>62573000</v>
      </c>
      <c r="B302" s="10" t="s">
        <v>378</v>
      </c>
      <c r="C302" s="11">
        <v>2557.2159999999999</v>
      </c>
      <c r="D302" s="11">
        <v>0</v>
      </c>
      <c r="E302" s="11">
        <v>0</v>
      </c>
      <c r="F302" s="13">
        <v>0</v>
      </c>
      <c r="G302" s="13">
        <v>0</v>
      </c>
      <c r="H302" s="14">
        <v>0</v>
      </c>
      <c r="I302" s="14">
        <v>2557.2159999999999</v>
      </c>
      <c r="J302" s="8" t="s">
        <v>157</v>
      </c>
      <c r="K302" s="8" t="s">
        <v>512</v>
      </c>
    </row>
    <row r="303" spans="1:11" x14ac:dyDescent="0.2">
      <c r="A303" s="10">
        <v>62580000</v>
      </c>
      <c r="B303" s="10" t="s">
        <v>187</v>
      </c>
      <c r="C303" s="11">
        <v>7512.75</v>
      </c>
      <c r="D303" s="11">
        <v>5022.25</v>
      </c>
      <c r="E303" s="11">
        <v>0</v>
      </c>
      <c r="F303" s="13">
        <v>0</v>
      </c>
      <c r="G303" s="13">
        <v>0</v>
      </c>
      <c r="H303" s="14">
        <v>5022.25</v>
      </c>
      <c r="I303" s="14">
        <v>12535</v>
      </c>
      <c r="J303" s="8" t="s">
        <v>157</v>
      </c>
      <c r="K303" s="8" t="s">
        <v>512</v>
      </c>
    </row>
    <row r="304" spans="1:11" x14ac:dyDescent="0.2">
      <c r="A304" s="10">
        <v>62600000</v>
      </c>
      <c r="B304" s="10" t="s">
        <v>188</v>
      </c>
      <c r="C304" s="11">
        <v>18469.113999999998</v>
      </c>
      <c r="D304" s="11">
        <v>1542.8129999999999</v>
      </c>
      <c r="E304" s="11">
        <v>0</v>
      </c>
      <c r="F304" s="13">
        <v>0</v>
      </c>
      <c r="G304" s="13">
        <v>0</v>
      </c>
      <c r="H304" s="14">
        <v>1542.8129999999999</v>
      </c>
      <c r="I304" s="14">
        <v>20011.926999999996</v>
      </c>
      <c r="J304" s="8" t="s">
        <v>157</v>
      </c>
      <c r="K304" s="8" t="s">
        <v>512</v>
      </c>
    </row>
    <row r="305" spans="1:11" x14ac:dyDescent="0.2">
      <c r="A305" s="10">
        <v>62780000</v>
      </c>
      <c r="B305" s="10" t="s">
        <v>189</v>
      </c>
      <c r="C305" s="11">
        <v>81756.176000000036</v>
      </c>
      <c r="D305" s="11">
        <v>4726.0789999999997</v>
      </c>
      <c r="E305" s="11">
        <v>0</v>
      </c>
      <c r="F305" s="13">
        <v>10934.868</v>
      </c>
      <c r="G305" s="13">
        <v>0</v>
      </c>
      <c r="H305" s="14">
        <v>15660.947</v>
      </c>
      <c r="I305" s="14">
        <v>97417.123000000036</v>
      </c>
      <c r="J305" s="8" t="s">
        <v>195</v>
      </c>
      <c r="K305" s="8" t="s">
        <v>517</v>
      </c>
    </row>
    <row r="306" spans="1:11" x14ac:dyDescent="0.2">
      <c r="A306" s="10">
        <v>63300000</v>
      </c>
      <c r="B306" s="10" t="s">
        <v>269</v>
      </c>
      <c r="C306" s="11">
        <v>52083.33</v>
      </c>
      <c r="D306" s="11">
        <v>0</v>
      </c>
      <c r="E306" s="11">
        <v>0</v>
      </c>
      <c r="F306" s="13">
        <v>10416.665999999999</v>
      </c>
      <c r="G306" s="13">
        <v>0</v>
      </c>
      <c r="H306" s="14">
        <v>10416.665999999999</v>
      </c>
      <c r="I306" s="14">
        <v>62499.995999999999</v>
      </c>
      <c r="J306" s="8" t="s">
        <v>157</v>
      </c>
      <c r="K306" s="8" t="s">
        <v>512</v>
      </c>
    </row>
    <row r="307" spans="1:11" x14ac:dyDescent="0.2">
      <c r="A307" s="10">
        <v>63610000</v>
      </c>
      <c r="B307" s="10" t="s">
        <v>7398</v>
      </c>
      <c r="C307" s="11">
        <v>1342.0889999999999</v>
      </c>
      <c r="D307" s="11">
        <v>300</v>
      </c>
      <c r="E307" s="11">
        <v>0</v>
      </c>
      <c r="F307" s="13">
        <v>0</v>
      </c>
      <c r="G307" s="13">
        <v>0</v>
      </c>
      <c r="H307" s="14">
        <v>300</v>
      </c>
      <c r="I307" s="14">
        <v>1642.0889999999999</v>
      </c>
      <c r="J307" s="8" t="s">
        <v>190</v>
      </c>
      <c r="K307" s="8" t="s">
        <v>519</v>
      </c>
    </row>
    <row r="308" spans="1:11" x14ac:dyDescent="0.2">
      <c r="A308" s="10">
        <v>64001000</v>
      </c>
      <c r="B308" s="10" t="s">
        <v>191</v>
      </c>
      <c r="C308" s="11">
        <v>1781187.625</v>
      </c>
      <c r="D308" s="11">
        <v>317324.31900000002</v>
      </c>
      <c r="E308" s="11">
        <v>0</v>
      </c>
      <c r="F308" s="13">
        <v>175606.93100000001</v>
      </c>
      <c r="G308" s="13">
        <v>0</v>
      </c>
      <c r="H308" s="14">
        <v>492931.25</v>
      </c>
      <c r="I308" s="14">
        <v>2274118.875</v>
      </c>
      <c r="J308" s="8" t="s">
        <v>192</v>
      </c>
      <c r="K308" s="8" t="s">
        <v>511</v>
      </c>
    </row>
    <row r="309" spans="1:11" x14ac:dyDescent="0.2">
      <c r="A309" s="10">
        <v>64600100</v>
      </c>
      <c r="B309" s="10" t="s">
        <v>407</v>
      </c>
      <c r="C309" s="11">
        <v>47986.249000000069</v>
      </c>
      <c r="D309" s="11">
        <v>256085.008</v>
      </c>
      <c r="E309" s="11">
        <v>238390.29100000003</v>
      </c>
      <c r="F309" s="13">
        <v>0</v>
      </c>
      <c r="G309" s="13">
        <v>0</v>
      </c>
      <c r="H309" s="14">
        <v>17694.716999999975</v>
      </c>
      <c r="I309" s="14">
        <v>65680.966000000044</v>
      </c>
      <c r="J309" s="8" t="s">
        <v>192</v>
      </c>
      <c r="K309" s="8" t="s">
        <v>511</v>
      </c>
    </row>
    <row r="310" spans="1:11" x14ac:dyDescent="0.2">
      <c r="A310" s="10">
        <v>64720000</v>
      </c>
      <c r="B310" s="10" t="s">
        <v>194</v>
      </c>
      <c r="C310" s="11">
        <v>152787.36500000002</v>
      </c>
      <c r="D310" s="11">
        <v>86362.479000000007</v>
      </c>
      <c r="E310" s="11">
        <v>0</v>
      </c>
      <c r="F310" s="13">
        <v>0</v>
      </c>
      <c r="G310" s="13">
        <v>57406.173999999999</v>
      </c>
      <c r="H310" s="14">
        <v>28956.305000000008</v>
      </c>
      <c r="I310" s="14">
        <v>181743.67000000004</v>
      </c>
      <c r="J310" s="8" t="s">
        <v>192</v>
      </c>
      <c r="K310" s="8" t="s">
        <v>511</v>
      </c>
    </row>
    <row r="311" spans="1:11" x14ac:dyDescent="0.2">
      <c r="A311" s="10">
        <v>65110000</v>
      </c>
      <c r="B311" s="10" t="s">
        <v>385</v>
      </c>
      <c r="C311" s="11">
        <v>63447.708000000013</v>
      </c>
      <c r="D311" s="11">
        <v>0</v>
      </c>
      <c r="E311" s="11">
        <v>0</v>
      </c>
      <c r="F311" s="13">
        <v>7188.6750000000002</v>
      </c>
      <c r="G311" s="13">
        <v>0</v>
      </c>
      <c r="H311" s="14">
        <v>7188.6750000000002</v>
      </c>
      <c r="I311" s="14">
        <v>70636.383000000016</v>
      </c>
      <c r="J311" s="8" t="s">
        <v>195</v>
      </c>
      <c r="K311" s="8" t="s">
        <v>517</v>
      </c>
    </row>
    <row r="312" spans="1:11" x14ac:dyDescent="0.2">
      <c r="A312" s="10">
        <v>65110200</v>
      </c>
      <c r="B312" s="10" t="s">
        <v>196</v>
      </c>
      <c r="C312" s="11">
        <v>162707.40800000002</v>
      </c>
      <c r="D312" s="11">
        <v>178054.63099999999</v>
      </c>
      <c r="E312" s="11">
        <v>0</v>
      </c>
      <c r="F312" s="13">
        <v>42585.7408</v>
      </c>
      <c r="G312" s="13">
        <v>162707.4088</v>
      </c>
      <c r="H312" s="14">
        <v>57932.962999999989</v>
      </c>
      <c r="I312" s="14">
        <v>220640.37100000001</v>
      </c>
      <c r="J312" s="8" t="s">
        <v>195</v>
      </c>
      <c r="K312" s="8" t="s">
        <v>517</v>
      </c>
    </row>
    <row r="313" spans="1:11" x14ac:dyDescent="0.2">
      <c r="A313" s="10">
        <v>65110400</v>
      </c>
      <c r="B313" s="10" t="s">
        <v>197</v>
      </c>
      <c r="C313" s="11">
        <v>176044.82400000002</v>
      </c>
      <c r="D313" s="11">
        <v>273494.06100000005</v>
      </c>
      <c r="E313" s="11">
        <v>0</v>
      </c>
      <c r="F313" s="13">
        <v>65515.1852</v>
      </c>
      <c r="G313" s="13">
        <v>176044.8247</v>
      </c>
      <c r="H313" s="14">
        <v>162964.42150000005</v>
      </c>
      <c r="I313" s="14">
        <v>339009.24550000008</v>
      </c>
      <c r="J313" s="8" t="s">
        <v>195</v>
      </c>
      <c r="K313" s="8" t="s">
        <v>517</v>
      </c>
    </row>
    <row r="314" spans="1:11" x14ac:dyDescent="0.2">
      <c r="A314" s="10">
        <v>65115000</v>
      </c>
      <c r="B314" s="10" t="s">
        <v>379</v>
      </c>
      <c r="C314" s="11">
        <v>18735.246000000003</v>
      </c>
      <c r="D314" s="11">
        <v>3421.8979999999997</v>
      </c>
      <c r="E314" s="11">
        <v>0</v>
      </c>
      <c r="F314" s="13">
        <v>0</v>
      </c>
      <c r="G314" s="13">
        <v>0</v>
      </c>
      <c r="H314" s="14">
        <v>3421.8979999999997</v>
      </c>
      <c r="I314" s="14">
        <v>22157.144000000004</v>
      </c>
      <c r="J314" s="8" t="s">
        <v>195</v>
      </c>
      <c r="K314" s="8" t="s">
        <v>517</v>
      </c>
    </row>
    <row r="315" spans="1:11" x14ac:dyDescent="0.2">
      <c r="A315" s="10">
        <v>65150000</v>
      </c>
      <c r="B315" s="10" t="s">
        <v>270</v>
      </c>
      <c r="C315" s="11">
        <v>65286.576000000001</v>
      </c>
      <c r="D315" s="11">
        <v>0</v>
      </c>
      <c r="E315" s="11">
        <v>0</v>
      </c>
      <c r="F315" s="13">
        <v>13610.959000000001</v>
      </c>
      <c r="G315" s="13">
        <v>0</v>
      </c>
      <c r="H315" s="14">
        <v>13610.959000000001</v>
      </c>
      <c r="I315" s="14">
        <v>78897.535000000003</v>
      </c>
      <c r="J315" s="8" t="s">
        <v>195</v>
      </c>
      <c r="K315" s="8" t="s">
        <v>517</v>
      </c>
    </row>
    <row r="316" spans="1:11" x14ac:dyDescent="0.2">
      <c r="A316" s="10">
        <v>65190000</v>
      </c>
      <c r="B316" s="10" t="s">
        <v>198</v>
      </c>
      <c r="C316" s="11">
        <v>138199.52899999998</v>
      </c>
      <c r="D316" s="11">
        <v>0</v>
      </c>
      <c r="E316" s="11">
        <v>0</v>
      </c>
      <c r="F316" s="13">
        <v>25903.7183</v>
      </c>
      <c r="G316" s="13">
        <v>0</v>
      </c>
      <c r="H316" s="14">
        <v>25903.7183</v>
      </c>
      <c r="I316" s="14">
        <v>164103.24729999999</v>
      </c>
      <c r="J316" s="8" t="s">
        <v>195</v>
      </c>
      <c r="K316" s="8" t="s">
        <v>517</v>
      </c>
    </row>
    <row r="317" spans="1:11" x14ac:dyDescent="0.2">
      <c r="A317" s="10">
        <v>65500000</v>
      </c>
      <c r="B317" s="10" t="s">
        <v>400</v>
      </c>
      <c r="C317" s="11">
        <v>36888.215999999993</v>
      </c>
      <c r="D317" s="11">
        <v>80936.160000000003</v>
      </c>
      <c r="E317" s="11">
        <v>69619.598000000013</v>
      </c>
      <c r="F317" s="13">
        <v>8572.7487000000001</v>
      </c>
      <c r="G317" s="13">
        <v>0</v>
      </c>
      <c r="H317" s="14">
        <v>19889.310699999987</v>
      </c>
      <c r="I317" s="14">
        <v>56777.52669999998</v>
      </c>
      <c r="J317" s="8" t="s">
        <v>195</v>
      </c>
      <c r="K317" s="8" t="s">
        <v>517</v>
      </c>
    </row>
    <row r="318" spans="1:11" x14ac:dyDescent="0.2">
      <c r="A318" s="10">
        <v>66500000</v>
      </c>
      <c r="B318" s="10" t="s">
        <v>8974</v>
      </c>
      <c r="C318" s="11">
        <v>-496.64600000000002</v>
      </c>
      <c r="D318" s="11">
        <v>0</v>
      </c>
      <c r="E318" s="11">
        <v>0</v>
      </c>
      <c r="F318" s="13">
        <v>0</v>
      </c>
      <c r="G318" s="13">
        <v>0</v>
      </c>
      <c r="H318" s="14">
        <v>0</v>
      </c>
      <c r="I318" s="14">
        <v>-496.64600000000002</v>
      </c>
      <c r="J318" s="8" t="s">
        <v>157</v>
      </c>
      <c r="K318" s="8" t="s">
        <v>512</v>
      </c>
    </row>
    <row r="319" spans="1:11" x14ac:dyDescent="0.2">
      <c r="A319" s="10">
        <v>66520000</v>
      </c>
      <c r="B319" s="10" t="s">
        <v>200</v>
      </c>
      <c r="C319" s="11">
        <v>34803.221999999994</v>
      </c>
      <c r="D319" s="11">
        <v>15160.986999999999</v>
      </c>
      <c r="E319" s="11">
        <v>0</v>
      </c>
      <c r="F319" s="13">
        <v>0</v>
      </c>
      <c r="G319" s="13">
        <v>7146.6620000000003</v>
      </c>
      <c r="H319" s="14">
        <v>8014.3249999999989</v>
      </c>
      <c r="I319" s="14">
        <v>42817.546999999991</v>
      </c>
      <c r="J319" s="8" t="s">
        <v>157</v>
      </c>
      <c r="K319" s="8" t="s">
        <v>512</v>
      </c>
    </row>
    <row r="320" spans="1:11" x14ac:dyDescent="0.2">
      <c r="A320" s="10">
        <v>66540000</v>
      </c>
      <c r="B320" s="10" t="s">
        <v>201</v>
      </c>
      <c r="C320" s="11">
        <v>5019.2280000000001</v>
      </c>
      <c r="D320" s="11">
        <v>411.08800000000002</v>
      </c>
      <c r="E320" s="11">
        <v>0</v>
      </c>
      <c r="F320" s="13">
        <v>0</v>
      </c>
      <c r="G320" s="13">
        <v>0</v>
      </c>
      <c r="H320" s="14">
        <v>411.08800000000002</v>
      </c>
      <c r="I320" s="14">
        <v>5430.3159999999998</v>
      </c>
      <c r="J320" s="8" t="s">
        <v>157</v>
      </c>
      <c r="K320" s="8" t="s">
        <v>512</v>
      </c>
    </row>
    <row r="321" spans="1:11" x14ac:dyDescent="0.2">
      <c r="A321" s="10">
        <v>66550000</v>
      </c>
      <c r="B321" s="10" t="s">
        <v>202</v>
      </c>
      <c r="C321" s="11">
        <v>5480.3189999999995</v>
      </c>
      <c r="D321" s="11">
        <v>0</v>
      </c>
      <c r="E321" s="11">
        <v>0</v>
      </c>
      <c r="F321" s="13">
        <v>900</v>
      </c>
      <c r="G321" s="13">
        <v>0</v>
      </c>
      <c r="H321" s="14">
        <v>900</v>
      </c>
      <c r="I321" s="14">
        <v>6380.3189999999995</v>
      </c>
      <c r="J321" s="8" t="s">
        <v>157</v>
      </c>
      <c r="K321" s="8" t="s">
        <v>512</v>
      </c>
    </row>
    <row r="322" spans="1:11" x14ac:dyDescent="0.2">
      <c r="A322" s="10">
        <v>68112000</v>
      </c>
      <c r="B322" s="10" t="s">
        <v>271</v>
      </c>
      <c r="C322" s="11">
        <v>998048.36499999999</v>
      </c>
      <c r="D322" s="11">
        <v>0</v>
      </c>
      <c r="E322" s="11">
        <v>0</v>
      </c>
      <c r="F322" s="13">
        <v>212112.06200000001</v>
      </c>
      <c r="G322" s="13">
        <v>0</v>
      </c>
      <c r="H322" s="14">
        <v>212112.06200000001</v>
      </c>
      <c r="I322" s="14">
        <v>1210160.4269999999</v>
      </c>
      <c r="J322" s="8" t="s">
        <v>203</v>
      </c>
      <c r="K322" s="8" t="s">
        <v>7578</v>
      </c>
    </row>
    <row r="323" spans="1:11" x14ac:dyDescent="0.2">
      <c r="A323" s="10">
        <v>68180000</v>
      </c>
      <c r="B323" s="10" t="s">
        <v>8976</v>
      </c>
      <c r="C323" s="11">
        <v>0</v>
      </c>
      <c r="D323" s="11">
        <v>0</v>
      </c>
      <c r="E323" s="11">
        <v>0</v>
      </c>
      <c r="F323" s="13">
        <v>0</v>
      </c>
      <c r="G323" s="13">
        <v>0</v>
      </c>
      <c r="H323" s="14">
        <v>0</v>
      </c>
      <c r="I323" s="14">
        <v>0</v>
      </c>
      <c r="J323" s="8" t="s">
        <v>203</v>
      </c>
      <c r="K323" s="8" t="s">
        <v>7716</v>
      </c>
    </row>
    <row r="324" spans="1:11" x14ac:dyDescent="0.2">
      <c r="A324" s="10">
        <v>70000000</v>
      </c>
      <c r="B324" s="10" t="s">
        <v>205</v>
      </c>
      <c r="C324" s="11">
        <v>-10639615.110999998</v>
      </c>
      <c r="D324" s="11">
        <v>61798.970999999998</v>
      </c>
      <c r="E324" s="11">
        <v>2833330.0430000001</v>
      </c>
      <c r="F324" s="13">
        <v>0</v>
      </c>
      <c r="G324" s="13">
        <v>0</v>
      </c>
      <c r="H324" s="14">
        <v>-2771531.0720000002</v>
      </c>
      <c r="I324" s="14">
        <v>-13411146.182999998</v>
      </c>
      <c r="J324" s="8" t="s">
        <v>206</v>
      </c>
      <c r="K324" s="8" t="s">
        <v>505</v>
      </c>
    </row>
    <row r="325" spans="1:11" x14ac:dyDescent="0.2">
      <c r="A325" s="10">
        <v>70102000</v>
      </c>
      <c r="B325" s="10" t="s">
        <v>207</v>
      </c>
      <c r="C325" s="11">
        <v>-7238107.7958800001</v>
      </c>
      <c r="D325" s="11">
        <v>1000</v>
      </c>
      <c r="E325" s="11">
        <v>872140.15800000005</v>
      </c>
      <c r="F325" s="13">
        <v>0</v>
      </c>
      <c r="G325" s="13">
        <v>0</v>
      </c>
      <c r="H325" s="14">
        <v>-871140.15800000005</v>
      </c>
      <c r="I325" s="14">
        <v>-8109247.9538799999</v>
      </c>
      <c r="J325" s="8" t="s">
        <v>227</v>
      </c>
      <c r="K325" s="8" t="s">
        <v>504</v>
      </c>
    </row>
    <row r="326" spans="1:11" x14ac:dyDescent="0.2">
      <c r="A326" s="10">
        <v>70103000</v>
      </c>
      <c r="B326" s="10" t="s">
        <v>380</v>
      </c>
      <c r="C326" s="11">
        <v>-20545</v>
      </c>
      <c r="D326" s="11">
        <v>0</v>
      </c>
      <c r="E326" s="11">
        <v>18925</v>
      </c>
      <c r="F326" s="13">
        <v>0</v>
      </c>
      <c r="G326" s="13">
        <v>0</v>
      </c>
      <c r="H326" s="14">
        <v>-18925</v>
      </c>
      <c r="I326" s="14">
        <v>-39470</v>
      </c>
      <c r="J326" s="8" t="s">
        <v>206</v>
      </c>
      <c r="K326" s="8" t="s">
        <v>505</v>
      </c>
    </row>
    <row r="327" spans="1:11" x14ac:dyDescent="0.2">
      <c r="A327" s="10">
        <v>70600000</v>
      </c>
      <c r="B327" s="10" t="s">
        <v>381</v>
      </c>
      <c r="C327" s="11">
        <v>-140625.38</v>
      </c>
      <c r="D327" s="11">
        <v>0</v>
      </c>
      <c r="E327" s="11">
        <v>0</v>
      </c>
      <c r="F327" s="13">
        <v>0</v>
      </c>
      <c r="G327" s="13">
        <v>0</v>
      </c>
      <c r="H327" s="14">
        <v>0</v>
      </c>
      <c r="I327" s="14">
        <v>-140625.38</v>
      </c>
      <c r="J327" s="8" t="s">
        <v>206</v>
      </c>
      <c r="K327" s="8" t="s">
        <v>505</v>
      </c>
    </row>
    <row r="328" spans="1:11" x14ac:dyDescent="0.2">
      <c r="A328" s="10">
        <v>70600500</v>
      </c>
      <c r="B328" s="10" t="s">
        <v>208</v>
      </c>
      <c r="C328" s="11">
        <v>-16096.5</v>
      </c>
      <c r="D328" s="11">
        <v>0</v>
      </c>
      <c r="E328" s="11">
        <v>0</v>
      </c>
      <c r="F328" s="13">
        <v>0</v>
      </c>
      <c r="G328" s="13">
        <v>3219.3</v>
      </c>
      <c r="H328" s="14">
        <v>-3219.3</v>
      </c>
      <c r="I328" s="14">
        <v>-19315.8</v>
      </c>
      <c r="J328" s="8" t="s">
        <v>214</v>
      </c>
      <c r="K328" s="8" t="s">
        <v>506</v>
      </c>
    </row>
    <row r="329" spans="1:11" x14ac:dyDescent="0.2">
      <c r="A329" s="10">
        <v>71340000</v>
      </c>
      <c r="B329" s="10" t="s">
        <v>382</v>
      </c>
      <c r="C329" s="11">
        <v>0</v>
      </c>
      <c r="D329" s="11">
        <v>0</v>
      </c>
      <c r="E329" s="11">
        <v>0</v>
      </c>
      <c r="F329" s="13">
        <v>0</v>
      </c>
      <c r="G329" s="13">
        <v>0</v>
      </c>
      <c r="H329" s="14">
        <v>0</v>
      </c>
      <c r="I329" s="14">
        <v>0</v>
      </c>
      <c r="J329" s="8" t="s">
        <v>210</v>
      </c>
      <c r="K329" s="8" t="s">
        <v>508</v>
      </c>
    </row>
    <row r="330" spans="1:11" x14ac:dyDescent="0.2">
      <c r="A330" s="10">
        <v>71350000</v>
      </c>
      <c r="B330" s="10" t="s">
        <v>209</v>
      </c>
      <c r="C330" s="11">
        <v>-3356755.7129999995</v>
      </c>
      <c r="D330" s="11">
        <v>0</v>
      </c>
      <c r="E330" s="11">
        <v>0</v>
      </c>
      <c r="F330" s="13">
        <v>8349257.6279999996</v>
      </c>
      <c r="G330" s="13">
        <v>7795456.1909999996</v>
      </c>
      <c r="H330" s="14">
        <v>553801.43699999992</v>
      </c>
      <c r="I330" s="14">
        <v>-2802954.2759999996</v>
      </c>
      <c r="J330" s="8" t="s">
        <v>210</v>
      </c>
      <c r="K330" s="8" t="s">
        <v>508</v>
      </c>
    </row>
    <row r="331" spans="1:11" x14ac:dyDescent="0.2">
      <c r="A331" s="10">
        <v>73601000</v>
      </c>
      <c r="B331" s="10" t="s">
        <v>211</v>
      </c>
      <c r="C331" s="11">
        <v>-42</v>
      </c>
      <c r="D331" s="11">
        <v>0</v>
      </c>
      <c r="E331" s="11">
        <v>0</v>
      </c>
      <c r="F331" s="13">
        <v>0</v>
      </c>
      <c r="G331" s="13">
        <v>0</v>
      </c>
      <c r="H331" s="14">
        <v>0</v>
      </c>
      <c r="I331" s="14">
        <v>-42</v>
      </c>
      <c r="J331" s="8" t="s">
        <v>214</v>
      </c>
      <c r="K331" s="8" t="s">
        <v>506</v>
      </c>
    </row>
    <row r="332" spans="1:11" x14ac:dyDescent="0.2">
      <c r="A332" s="10">
        <v>73602000</v>
      </c>
      <c r="B332" s="10" t="s">
        <v>8975</v>
      </c>
      <c r="C332" s="11">
        <v>-6.0000000000000001E-3</v>
      </c>
      <c r="D332" s="11">
        <v>0</v>
      </c>
      <c r="E332" s="11">
        <v>0</v>
      </c>
      <c r="F332" s="13">
        <v>0</v>
      </c>
      <c r="G332" s="13">
        <v>0</v>
      </c>
      <c r="H332" s="14">
        <v>0</v>
      </c>
      <c r="I332" s="14">
        <v>-6.0000000000000001E-3</v>
      </c>
      <c r="J332" s="8" t="s">
        <v>214</v>
      </c>
      <c r="K332" s="8" t="s">
        <v>506</v>
      </c>
    </row>
    <row r="333" spans="1:11" x14ac:dyDescent="0.2">
      <c r="A333" s="10">
        <v>75000000</v>
      </c>
      <c r="B333" s="10" t="s">
        <v>7575</v>
      </c>
      <c r="C333" s="11">
        <v>0</v>
      </c>
      <c r="D333" s="11">
        <v>0</v>
      </c>
      <c r="E333" s="11">
        <v>1747.3849999999998</v>
      </c>
      <c r="F333" s="13">
        <v>0</v>
      </c>
      <c r="G333" s="13">
        <v>0</v>
      </c>
      <c r="H333" s="14">
        <v>-1747.3849999999998</v>
      </c>
      <c r="I333" s="14">
        <v>-1747.3849999999998</v>
      </c>
      <c r="J333" s="8" t="s">
        <v>195</v>
      </c>
      <c r="K333" s="8" t="s">
        <v>517</v>
      </c>
    </row>
    <row r="334" spans="1:11" x14ac:dyDescent="0.2">
      <c r="A334" s="10">
        <v>75600000</v>
      </c>
      <c r="B334" s="10" t="s">
        <v>215</v>
      </c>
      <c r="C334" s="11">
        <v>-947.93999999999994</v>
      </c>
      <c r="D334" s="11">
        <v>69961.012000000002</v>
      </c>
      <c r="E334" s="11">
        <v>143163.50400000002</v>
      </c>
      <c r="F334" s="13">
        <v>0</v>
      </c>
      <c r="G334" s="13">
        <v>0</v>
      </c>
      <c r="H334" s="14">
        <v>-73202.492000000013</v>
      </c>
      <c r="I334" s="14">
        <v>-74150.432000000015</v>
      </c>
      <c r="J334" s="8" t="s">
        <v>195</v>
      </c>
      <c r="K334" s="8" t="s">
        <v>517</v>
      </c>
    </row>
    <row r="335" spans="1:11" x14ac:dyDescent="0.2">
      <c r="A335" s="10">
        <v>73900000</v>
      </c>
      <c r="B335" s="10" t="s">
        <v>213</v>
      </c>
      <c r="C335" s="11">
        <v>-109484.66499999999</v>
      </c>
      <c r="D335" s="11">
        <v>0</v>
      </c>
      <c r="E335" s="11">
        <v>0</v>
      </c>
      <c r="F335" s="13">
        <v>0</v>
      </c>
      <c r="G335" s="13">
        <v>21896.933000000001</v>
      </c>
      <c r="H335" s="14">
        <v>-21896.933000000001</v>
      </c>
      <c r="I335" s="14">
        <v>-131381.598</v>
      </c>
      <c r="J335" s="8" t="s">
        <v>214</v>
      </c>
      <c r="K335" s="8" t="s">
        <v>506</v>
      </c>
    </row>
    <row r="336" spans="1:11" x14ac:dyDescent="0.2">
      <c r="A336" s="10">
        <v>77000000</v>
      </c>
      <c r="B336" s="10" t="s">
        <v>216</v>
      </c>
      <c r="C336" s="11">
        <v>-5.71</v>
      </c>
      <c r="D336" s="11">
        <v>0</v>
      </c>
      <c r="E336" s="11">
        <v>0</v>
      </c>
      <c r="F336" s="13">
        <v>0</v>
      </c>
      <c r="G336" s="13">
        <v>0</v>
      </c>
      <c r="H336" s="14">
        <v>0</v>
      </c>
      <c r="I336" s="14">
        <v>-5.71</v>
      </c>
      <c r="J336" s="8" t="s">
        <v>212</v>
      </c>
      <c r="K336" s="8" t="s">
        <v>518</v>
      </c>
    </row>
    <row r="337" spans="1:10" x14ac:dyDescent="0.2">
      <c r="A337" s="10">
        <v>79999999</v>
      </c>
      <c r="B337" s="10" t="s">
        <v>383</v>
      </c>
      <c r="C337" s="11">
        <v>-2.6040943339467049E-4</v>
      </c>
      <c r="D337" s="11">
        <v>0</v>
      </c>
      <c r="E337" s="11">
        <v>0</v>
      </c>
      <c r="F337" s="13">
        <v>0</v>
      </c>
      <c r="G337" s="13">
        <v>0</v>
      </c>
      <c r="H337" s="14">
        <v>0</v>
      </c>
      <c r="I337" s="14">
        <v>-2.6040943339467049E-4</v>
      </c>
      <c r="J337" s="8"/>
    </row>
    <row r="338" spans="1:10" s="460" customFormat="1" ht="12" x14ac:dyDescent="0.2">
      <c r="C338" s="344">
        <v>5.0963840330986443E-5</v>
      </c>
      <c r="D338" s="344">
        <v>55334119.077467009</v>
      </c>
      <c r="E338" s="344">
        <v>55334119.077466995</v>
      </c>
      <c r="F338" s="461">
        <v>40525797.583600007</v>
      </c>
      <c r="G338" s="461">
        <v>40525797.583700001</v>
      </c>
      <c r="H338" s="462">
        <v>-1.0000019028666429E-4</v>
      </c>
      <c r="I338" s="462">
        <v>-4.9018745776230332E-5</v>
      </c>
      <c r="J338" s="463"/>
    </row>
  </sheetData>
  <autoFilter ref="A1:J338" xr:uid="{00000000-0009-0000-0000-000029000000}"/>
  <pageMargins left="0.7" right="0.7" top="0.75" bottom="0.75" header="0.3" footer="0.3"/>
  <pageSetup paperSize="9" orientation="portrait" horizontalDpi="0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G106"/>
  <sheetViews>
    <sheetView workbookViewId="0">
      <selection activeCell="I47" sqref="I47"/>
    </sheetView>
  </sheetViews>
  <sheetFormatPr baseColWidth="10" defaultRowHeight="11.25" x14ac:dyDescent="0.2"/>
  <cols>
    <col min="1" max="1" width="10.42578125" style="302" bestFit="1" customWidth="1"/>
    <col min="2" max="2" width="28" style="302" bestFit="1" customWidth="1"/>
    <col min="3" max="3" width="12" style="302" bestFit="1" customWidth="1"/>
    <col min="4" max="4" width="13.42578125" style="302" bestFit="1" customWidth="1"/>
    <col min="5" max="5" width="13.7109375" style="302" bestFit="1" customWidth="1"/>
    <col min="6" max="7" width="13.28515625" style="302" bestFit="1" customWidth="1"/>
    <col min="8" max="16384" width="11.42578125" style="302"/>
  </cols>
  <sheetData>
    <row r="1" spans="1:7" x14ac:dyDescent="0.2">
      <c r="A1" s="2" t="s">
        <v>4</v>
      </c>
      <c r="B1" s="2" t="s">
        <v>0</v>
      </c>
      <c r="C1" s="3" t="s">
        <v>5</v>
      </c>
      <c r="D1" s="3" t="s">
        <v>2</v>
      </c>
      <c r="E1" s="3" t="s">
        <v>3</v>
      </c>
      <c r="F1" s="3" t="s">
        <v>6</v>
      </c>
      <c r="G1" s="3" t="s">
        <v>262</v>
      </c>
    </row>
    <row r="2" spans="1:7" x14ac:dyDescent="0.2">
      <c r="A2" s="507">
        <v>13000000</v>
      </c>
      <c r="B2" s="508" t="s">
        <v>273</v>
      </c>
      <c r="C2" s="508">
        <v>-1E-4</v>
      </c>
      <c r="D2" s="508">
        <v>0</v>
      </c>
      <c r="E2" s="508">
        <v>0</v>
      </c>
      <c r="F2" s="508">
        <v>0</v>
      </c>
      <c r="G2" s="508">
        <v>-1E-4</v>
      </c>
    </row>
    <row r="3" spans="1:7" x14ac:dyDescent="0.2">
      <c r="A3" s="509">
        <v>14508000</v>
      </c>
      <c r="B3" s="508" t="s">
        <v>17</v>
      </c>
      <c r="C3" s="508">
        <v>0</v>
      </c>
      <c r="D3" s="508">
        <v>425930.8</v>
      </c>
      <c r="E3" s="508">
        <v>304236.28499999997</v>
      </c>
      <c r="F3" s="508">
        <v>121694.515</v>
      </c>
      <c r="G3" s="508">
        <v>121694.515</v>
      </c>
    </row>
    <row r="4" spans="1:7" x14ac:dyDescent="0.2">
      <c r="A4" s="509">
        <v>15100000</v>
      </c>
      <c r="B4" s="508" t="s">
        <v>19</v>
      </c>
      <c r="C4" s="508">
        <v>0</v>
      </c>
      <c r="D4" s="508">
        <v>0</v>
      </c>
      <c r="E4" s="508">
        <v>20000</v>
      </c>
      <c r="F4" s="508">
        <v>-20000</v>
      </c>
      <c r="G4" s="508">
        <v>-20000</v>
      </c>
    </row>
    <row r="5" spans="1:7" x14ac:dyDescent="0.2">
      <c r="A5" s="509">
        <v>22825000</v>
      </c>
      <c r="B5" s="510"/>
      <c r="C5" s="508">
        <v>2.0000000000000001E-4</v>
      </c>
      <c r="D5" s="508">
        <v>0</v>
      </c>
      <c r="E5" s="508">
        <v>0</v>
      </c>
      <c r="F5" s="508">
        <v>0</v>
      </c>
      <c r="G5" s="508">
        <v>2.0000000000000001E-4</v>
      </c>
    </row>
    <row r="6" spans="1:7" x14ac:dyDescent="0.2">
      <c r="A6" s="509">
        <v>28130000</v>
      </c>
      <c r="B6" s="508" t="s">
        <v>24</v>
      </c>
      <c r="C6" s="508">
        <v>1E-4</v>
      </c>
      <c r="D6" s="508">
        <v>12683.691999999999</v>
      </c>
      <c r="E6" s="508">
        <v>18481.440999999999</v>
      </c>
      <c r="F6" s="508">
        <v>-5797.7489999999998</v>
      </c>
      <c r="G6" s="508">
        <v>-5797.7488999999996</v>
      </c>
    </row>
    <row r="7" spans="1:7" x14ac:dyDescent="0.2">
      <c r="A7" s="509">
        <v>28216000</v>
      </c>
      <c r="B7" s="508" t="s">
        <v>48</v>
      </c>
      <c r="C7" s="508">
        <v>4.0000000000000002E-4</v>
      </c>
      <c r="D7" s="508">
        <v>3478.3510000000001</v>
      </c>
      <c r="E7" s="508">
        <v>4877.4210000000003</v>
      </c>
      <c r="F7" s="508">
        <v>-1399.07</v>
      </c>
      <c r="G7" s="508">
        <v>-1399.0696</v>
      </c>
    </row>
    <row r="8" spans="1:7" x14ac:dyDescent="0.2">
      <c r="A8" s="509">
        <v>28220000</v>
      </c>
      <c r="B8" s="508" t="s">
        <v>49</v>
      </c>
      <c r="C8" s="508">
        <v>-2.0000000000000001E-4</v>
      </c>
      <c r="D8" s="508">
        <v>567206.08799999999</v>
      </c>
      <c r="E8" s="508">
        <v>795348.98100000003</v>
      </c>
      <c r="F8" s="508">
        <v>-228142.89300000001</v>
      </c>
      <c r="G8" s="508">
        <v>-228142.89319999999</v>
      </c>
    </row>
    <row r="9" spans="1:7" x14ac:dyDescent="0.2">
      <c r="A9" s="509">
        <v>28225000</v>
      </c>
      <c r="B9" s="508" t="s">
        <v>50</v>
      </c>
      <c r="C9" s="508">
        <v>4.0000000000000002E-4</v>
      </c>
      <c r="D9" s="508">
        <v>106342.166</v>
      </c>
      <c r="E9" s="508">
        <v>144579.42600000001</v>
      </c>
      <c r="F9" s="508">
        <v>-38237.26</v>
      </c>
      <c r="G9" s="508">
        <v>-38237.259599999998</v>
      </c>
    </row>
    <row r="10" spans="1:7" x14ac:dyDescent="0.2">
      <c r="A10" s="509">
        <v>28230000</v>
      </c>
      <c r="B10" s="508" t="s">
        <v>263</v>
      </c>
      <c r="C10" s="508">
        <v>0</v>
      </c>
      <c r="D10" s="508">
        <v>31489.710999999999</v>
      </c>
      <c r="E10" s="508">
        <v>45038.03</v>
      </c>
      <c r="F10" s="508">
        <v>-13548.319</v>
      </c>
      <c r="G10" s="508">
        <v>-13548.319</v>
      </c>
    </row>
    <row r="11" spans="1:7" x14ac:dyDescent="0.2">
      <c r="A11" s="509">
        <v>28231000</v>
      </c>
      <c r="B11" s="508" t="s">
        <v>402</v>
      </c>
      <c r="C11" s="508">
        <v>0</v>
      </c>
      <c r="D11" s="508">
        <v>972.13900000000001</v>
      </c>
      <c r="E11" s="508">
        <v>1546.68</v>
      </c>
      <c r="F11" s="508">
        <v>-574.54100000000005</v>
      </c>
      <c r="G11" s="508">
        <v>-574.54100000000005</v>
      </c>
    </row>
    <row r="12" spans="1:7" x14ac:dyDescent="0.2">
      <c r="A12" s="509">
        <v>28234000</v>
      </c>
      <c r="B12" s="508" t="s">
        <v>51</v>
      </c>
      <c r="C12" s="508">
        <v>-4.0000000000000002E-4</v>
      </c>
      <c r="D12" s="508">
        <v>2020542.3559999999</v>
      </c>
      <c r="E12" s="508">
        <v>2834294.34</v>
      </c>
      <c r="F12" s="508">
        <v>-813751.98400000005</v>
      </c>
      <c r="G12" s="508">
        <v>-813751.98439999996</v>
      </c>
    </row>
    <row r="13" spans="1:7" x14ac:dyDescent="0.2">
      <c r="A13" s="509">
        <v>28235000</v>
      </c>
      <c r="B13" s="508" t="s">
        <v>52</v>
      </c>
      <c r="C13" s="508">
        <v>0</v>
      </c>
      <c r="D13" s="508">
        <v>71258.508000000002</v>
      </c>
      <c r="E13" s="508">
        <v>100361.55100000001</v>
      </c>
      <c r="F13" s="508">
        <v>-29103.043000000001</v>
      </c>
      <c r="G13" s="508">
        <v>-29103.043000000001</v>
      </c>
    </row>
    <row r="14" spans="1:7" x14ac:dyDescent="0.2">
      <c r="A14" s="509">
        <v>28237000</v>
      </c>
      <c r="B14" s="508" t="s">
        <v>53</v>
      </c>
      <c r="C14" s="508">
        <v>-2.0000000000000001E-4</v>
      </c>
      <c r="D14" s="508">
        <v>43923.514999999999</v>
      </c>
      <c r="E14" s="508">
        <v>69741.370999999999</v>
      </c>
      <c r="F14" s="508">
        <v>-25817.856</v>
      </c>
      <c r="G14" s="508">
        <v>-25817.856199999998</v>
      </c>
    </row>
    <row r="15" spans="1:7" x14ac:dyDescent="0.2">
      <c r="A15" s="509">
        <v>28240000</v>
      </c>
      <c r="B15" s="508" t="s">
        <v>54</v>
      </c>
      <c r="C15" s="508">
        <v>-2.9999999999999997E-4</v>
      </c>
      <c r="D15" s="508">
        <v>218974.853</v>
      </c>
      <c r="E15" s="508">
        <v>317222.348</v>
      </c>
      <c r="F15" s="508">
        <v>-98247.494999999995</v>
      </c>
      <c r="G15" s="508">
        <v>-98247.495299999995</v>
      </c>
    </row>
    <row r="16" spans="1:7" x14ac:dyDescent="0.2">
      <c r="A16" s="509">
        <v>28282000</v>
      </c>
      <c r="B16" s="508" t="s">
        <v>55</v>
      </c>
      <c r="C16" s="508">
        <v>2.0000000000000001E-4</v>
      </c>
      <c r="D16" s="508">
        <v>66760.608999999997</v>
      </c>
      <c r="E16" s="508">
        <v>93721.906000000003</v>
      </c>
      <c r="F16" s="508">
        <v>-26961.296999999999</v>
      </c>
      <c r="G16" s="508">
        <v>-26961.2968</v>
      </c>
    </row>
    <row r="17" spans="1:7" x14ac:dyDescent="0.2">
      <c r="A17" s="509">
        <v>28283000</v>
      </c>
      <c r="B17" s="508" t="s">
        <v>7389</v>
      </c>
      <c r="C17" s="508">
        <v>1E-4</v>
      </c>
      <c r="D17" s="508">
        <v>56807.434000000001</v>
      </c>
      <c r="E17" s="508">
        <v>79942.467999999993</v>
      </c>
      <c r="F17" s="508">
        <v>-23135.034</v>
      </c>
      <c r="G17" s="508">
        <v>-23135.033899999999</v>
      </c>
    </row>
    <row r="18" spans="1:7" x14ac:dyDescent="0.2">
      <c r="A18" s="509">
        <v>28400000</v>
      </c>
      <c r="B18" s="508" t="s">
        <v>56</v>
      </c>
      <c r="C18" s="508">
        <v>0</v>
      </c>
      <c r="D18" s="508">
        <v>163396.20300000001</v>
      </c>
      <c r="E18" s="508">
        <v>239862.867</v>
      </c>
      <c r="F18" s="508">
        <v>-76466.664000000004</v>
      </c>
      <c r="G18" s="508">
        <v>-76466.664000000004</v>
      </c>
    </row>
    <row r="19" spans="1:7" x14ac:dyDescent="0.2">
      <c r="A19" s="509">
        <v>31100000</v>
      </c>
      <c r="B19" s="508" t="s">
        <v>59</v>
      </c>
      <c r="C19" s="508">
        <v>0</v>
      </c>
      <c r="D19" s="508">
        <v>87582203.967099994</v>
      </c>
      <c r="E19" s="508">
        <v>77012658.370100006</v>
      </c>
      <c r="F19" s="508">
        <v>10569545.596999999</v>
      </c>
      <c r="G19" s="508">
        <v>10569545.596999999</v>
      </c>
    </row>
    <row r="20" spans="1:7" x14ac:dyDescent="0.2">
      <c r="A20" s="509">
        <v>31200000</v>
      </c>
      <c r="B20" s="508" t="s">
        <v>390</v>
      </c>
      <c r="C20" s="508">
        <v>0</v>
      </c>
      <c r="D20" s="508">
        <v>3111337.3169999998</v>
      </c>
      <c r="E20" s="508">
        <v>3111337.3169999998</v>
      </c>
      <c r="F20" s="508">
        <v>0</v>
      </c>
      <c r="G20" s="508">
        <v>0</v>
      </c>
    </row>
    <row r="21" spans="1:7" x14ac:dyDescent="0.2">
      <c r="A21" s="509">
        <v>32200000</v>
      </c>
      <c r="B21" s="508" t="s">
        <v>61</v>
      </c>
      <c r="C21" s="508">
        <v>0</v>
      </c>
      <c r="D21" s="508">
        <v>5928172.3435000004</v>
      </c>
      <c r="E21" s="508">
        <v>5208259.3365000002</v>
      </c>
      <c r="F21" s="508">
        <v>719913.00699999998</v>
      </c>
      <c r="G21" s="508">
        <v>719913.00699999998</v>
      </c>
    </row>
    <row r="22" spans="1:7" x14ac:dyDescent="0.2">
      <c r="A22" s="509">
        <v>33100000</v>
      </c>
      <c r="B22" s="508" t="s">
        <v>62</v>
      </c>
      <c r="C22" s="508">
        <v>0</v>
      </c>
      <c r="D22" s="508">
        <v>32768899.0458</v>
      </c>
      <c r="E22" s="508">
        <v>29111152.112799998</v>
      </c>
      <c r="F22" s="508">
        <v>3657746.9330000002</v>
      </c>
      <c r="G22" s="508">
        <v>3657746.9330000002</v>
      </c>
    </row>
    <row r="23" spans="1:7" x14ac:dyDescent="0.2">
      <c r="A23" s="509">
        <v>35500000</v>
      </c>
      <c r="B23" s="508" t="s">
        <v>63</v>
      </c>
      <c r="C23" s="508">
        <v>0</v>
      </c>
      <c r="D23" s="508">
        <v>14283940.282</v>
      </c>
      <c r="E23" s="508">
        <v>13834876.142999999</v>
      </c>
      <c r="F23" s="508">
        <v>449064.13900000002</v>
      </c>
      <c r="G23" s="508">
        <v>449064.13900000002</v>
      </c>
    </row>
    <row r="24" spans="1:7" x14ac:dyDescent="0.2">
      <c r="A24" s="509">
        <v>39000000</v>
      </c>
      <c r="B24" s="508" t="s">
        <v>64</v>
      </c>
      <c r="C24" s="508">
        <v>0</v>
      </c>
      <c r="D24" s="508">
        <v>150000</v>
      </c>
      <c r="E24" s="508">
        <v>350000</v>
      </c>
      <c r="F24" s="508">
        <v>-200000</v>
      </c>
      <c r="G24" s="508">
        <v>-200000</v>
      </c>
    </row>
    <row r="25" spans="1:7" x14ac:dyDescent="0.2">
      <c r="A25" s="509">
        <v>40100000</v>
      </c>
      <c r="B25" s="511" t="s">
        <v>66</v>
      </c>
      <c r="C25" s="508">
        <v>0</v>
      </c>
      <c r="D25" s="508">
        <v>0</v>
      </c>
      <c r="E25" s="508">
        <v>0</v>
      </c>
      <c r="F25" s="508">
        <v>0</v>
      </c>
      <c r="G25" s="508">
        <v>0</v>
      </c>
    </row>
    <row r="26" spans="1:7" x14ac:dyDescent="0.2">
      <c r="A26" s="509">
        <v>40120000</v>
      </c>
      <c r="B26" s="511" t="s">
        <v>386</v>
      </c>
      <c r="C26" s="508">
        <v>2.9999999999999997E-4</v>
      </c>
      <c r="D26" s="508">
        <v>0</v>
      </c>
      <c r="E26" s="508">
        <v>0</v>
      </c>
      <c r="F26" s="508">
        <v>0</v>
      </c>
      <c r="G26" s="508">
        <v>2.9999999999999997E-4</v>
      </c>
    </row>
    <row r="27" spans="1:7" x14ac:dyDescent="0.2">
      <c r="A27" s="509">
        <v>40600000</v>
      </c>
      <c r="B27" s="511" t="s">
        <v>70</v>
      </c>
      <c r="C27" s="508">
        <v>0</v>
      </c>
      <c r="D27" s="508">
        <v>1367960.067</v>
      </c>
      <c r="E27" s="508">
        <v>1210085.723</v>
      </c>
      <c r="F27" s="508">
        <v>157874.34400000001</v>
      </c>
      <c r="G27" s="508">
        <v>157874.34400000001</v>
      </c>
    </row>
    <row r="28" spans="1:7" x14ac:dyDescent="0.2">
      <c r="A28" s="509">
        <v>40800000</v>
      </c>
      <c r="B28" s="511" t="s">
        <v>71</v>
      </c>
      <c r="C28" s="508">
        <v>1E-4</v>
      </c>
      <c r="D28" s="508">
        <v>0</v>
      </c>
      <c r="E28" s="508">
        <v>0</v>
      </c>
      <c r="F28" s="508">
        <v>0</v>
      </c>
      <c r="G28" s="508">
        <v>1E-4</v>
      </c>
    </row>
    <row r="29" spans="1:7" x14ac:dyDescent="0.2">
      <c r="A29" s="509">
        <v>40810000</v>
      </c>
      <c r="B29" s="511" t="s">
        <v>391</v>
      </c>
      <c r="C29" s="508">
        <v>0</v>
      </c>
      <c r="D29" s="508">
        <v>1931.701</v>
      </c>
      <c r="E29" s="508">
        <v>3527.701</v>
      </c>
      <c r="F29" s="508">
        <v>-1596</v>
      </c>
      <c r="G29" s="508">
        <v>-1596</v>
      </c>
    </row>
    <row r="30" spans="1:7" x14ac:dyDescent="0.2">
      <c r="A30" s="509">
        <v>41100000</v>
      </c>
      <c r="B30" s="511" t="s">
        <v>73</v>
      </c>
      <c r="C30" s="508">
        <v>-4.0000000000000002E-4</v>
      </c>
      <c r="D30" s="508">
        <v>0</v>
      </c>
      <c r="E30" s="508">
        <v>0</v>
      </c>
      <c r="F30" s="508">
        <v>0</v>
      </c>
      <c r="G30" s="508">
        <v>-4.0000000000000002E-4</v>
      </c>
    </row>
    <row r="31" spans="1:7" x14ac:dyDescent="0.2">
      <c r="A31" s="509">
        <v>41500000</v>
      </c>
      <c r="B31" s="511" t="s">
        <v>75</v>
      </c>
      <c r="C31" s="508">
        <v>-4.0000000000000002E-4</v>
      </c>
      <c r="D31" s="508">
        <v>3757277.7850000001</v>
      </c>
      <c r="E31" s="508">
        <v>3757277.7850000001</v>
      </c>
      <c r="F31" s="508">
        <v>0</v>
      </c>
      <c r="G31" s="508">
        <v>-4.0000000000000002E-4</v>
      </c>
    </row>
    <row r="32" spans="1:7" x14ac:dyDescent="0.2">
      <c r="A32" s="509">
        <v>41800000</v>
      </c>
      <c r="B32" s="511" t="s">
        <v>307</v>
      </c>
      <c r="C32" s="508">
        <v>4.0000000000000002E-4</v>
      </c>
      <c r="D32" s="508">
        <v>0</v>
      </c>
      <c r="E32" s="508">
        <v>0</v>
      </c>
      <c r="F32" s="508">
        <v>0</v>
      </c>
      <c r="G32" s="508">
        <v>4.0000000000000002E-4</v>
      </c>
    </row>
    <row r="33" spans="1:7" x14ac:dyDescent="0.2">
      <c r="A33" s="509">
        <v>42820000</v>
      </c>
      <c r="B33" s="508" t="s">
        <v>83</v>
      </c>
      <c r="C33" s="508">
        <v>0</v>
      </c>
      <c r="D33" s="508">
        <v>2072982.4890000001</v>
      </c>
      <c r="E33" s="508">
        <v>2316817.4890000001</v>
      </c>
      <c r="F33" s="508">
        <v>-243835</v>
      </c>
      <c r="G33" s="508">
        <v>-243835</v>
      </c>
    </row>
    <row r="34" spans="1:7" x14ac:dyDescent="0.2">
      <c r="A34" s="509">
        <v>45310000</v>
      </c>
      <c r="B34" s="508" t="s">
        <v>104</v>
      </c>
      <c r="C34" s="508">
        <v>0</v>
      </c>
      <c r="D34" s="508">
        <v>389766.71500000003</v>
      </c>
      <c r="E34" s="508">
        <v>501923.42</v>
      </c>
      <c r="F34" s="508">
        <v>-112156.705</v>
      </c>
      <c r="G34" s="508">
        <v>-112156.705</v>
      </c>
    </row>
    <row r="35" spans="1:7" x14ac:dyDescent="0.2">
      <c r="A35" s="509">
        <v>45860000</v>
      </c>
      <c r="B35" s="508" t="s">
        <v>106</v>
      </c>
      <c r="C35" s="508">
        <v>-2.9999999999999997E-4</v>
      </c>
      <c r="D35" s="508">
        <v>4254037.2280000001</v>
      </c>
      <c r="E35" s="508">
        <v>5579395.2050000001</v>
      </c>
      <c r="F35" s="508">
        <v>-1325357.977</v>
      </c>
      <c r="G35" s="508">
        <v>-1325357.9772999999</v>
      </c>
    </row>
    <row r="36" spans="1:7" x14ac:dyDescent="0.2">
      <c r="A36" s="509">
        <v>45870000</v>
      </c>
      <c r="B36" s="508" t="s">
        <v>107</v>
      </c>
      <c r="C36" s="508">
        <v>0</v>
      </c>
      <c r="D36" s="508">
        <v>48636.794999999998</v>
      </c>
      <c r="E36" s="508">
        <v>48636.794999999998</v>
      </c>
      <c r="F36" s="508">
        <v>0</v>
      </c>
      <c r="G36" s="508">
        <v>0</v>
      </c>
    </row>
    <row r="37" spans="1:7" x14ac:dyDescent="0.2">
      <c r="A37" s="509">
        <v>47100000</v>
      </c>
      <c r="B37" s="508" t="s">
        <v>109</v>
      </c>
      <c r="C37" s="508">
        <v>1E-4</v>
      </c>
      <c r="D37" s="508">
        <v>1199763.1569999999</v>
      </c>
      <c r="E37" s="508">
        <v>808337.14399999997</v>
      </c>
      <c r="F37" s="508">
        <v>391426.01299999998</v>
      </c>
      <c r="G37" s="508">
        <v>391426.01309999998</v>
      </c>
    </row>
    <row r="38" spans="1:7" x14ac:dyDescent="0.2">
      <c r="A38" s="509">
        <v>49100000</v>
      </c>
      <c r="B38" s="508" t="s">
        <v>110</v>
      </c>
      <c r="C38" s="508">
        <v>0</v>
      </c>
      <c r="D38" s="508">
        <v>600000</v>
      </c>
      <c r="E38" s="508">
        <v>850000</v>
      </c>
      <c r="F38" s="508">
        <v>-250000</v>
      </c>
      <c r="G38" s="508">
        <v>-250000</v>
      </c>
    </row>
    <row r="39" spans="1:7" x14ac:dyDescent="0.2">
      <c r="A39" s="509">
        <v>53205700</v>
      </c>
      <c r="B39" s="508" t="s">
        <v>129</v>
      </c>
      <c r="C39" s="508">
        <v>0</v>
      </c>
      <c r="D39" s="508">
        <v>371764.54340000002</v>
      </c>
      <c r="E39" s="508">
        <v>554503.19339999999</v>
      </c>
      <c r="F39" s="508">
        <v>-182738.65</v>
      </c>
      <c r="G39" s="508">
        <v>-182738.65</v>
      </c>
    </row>
    <row r="40" spans="1:7" x14ac:dyDescent="0.2">
      <c r="A40" s="509">
        <v>53205800</v>
      </c>
      <c r="B40" s="508" t="s">
        <v>130</v>
      </c>
      <c r="C40" s="508">
        <v>0</v>
      </c>
      <c r="D40" s="508">
        <v>388.15100000000001</v>
      </c>
      <c r="E40" s="508">
        <v>312.416</v>
      </c>
      <c r="F40" s="508">
        <v>75.734999999999999</v>
      </c>
      <c r="G40" s="508">
        <v>75.734999999999999</v>
      </c>
    </row>
    <row r="41" spans="1:7" x14ac:dyDescent="0.2">
      <c r="A41" s="509">
        <v>60110110</v>
      </c>
      <c r="B41" s="508" t="s">
        <v>403</v>
      </c>
      <c r="C41" s="508">
        <v>0</v>
      </c>
      <c r="D41" s="508">
        <v>1463593.0149999999</v>
      </c>
      <c r="E41" s="508">
        <v>1463593.0149999999</v>
      </c>
      <c r="F41" s="508">
        <v>0</v>
      </c>
      <c r="G41" s="508">
        <v>0</v>
      </c>
    </row>
    <row r="42" spans="1:7" x14ac:dyDescent="0.2">
      <c r="A42" s="509">
        <v>60110500</v>
      </c>
      <c r="B42" s="508" t="s">
        <v>144</v>
      </c>
      <c r="C42" s="508">
        <v>0</v>
      </c>
      <c r="D42" s="508">
        <v>3677.7440000000001</v>
      </c>
      <c r="E42" s="508">
        <v>3677.7440000000001</v>
      </c>
      <c r="F42" s="508">
        <v>0</v>
      </c>
      <c r="G42" s="508">
        <v>0</v>
      </c>
    </row>
    <row r="43" spans="1:7" x14ac:dyDescent="0.2">
      <c r="A43" s="509">
        <v>60110900</v>
      </c>
      <c r="B43" s="508" t="s">
        <v>147</v>
      </c>
      <c r="C43" s="508">
        <v>0</v>
      </c>
      <c r="D43" s="508">
        <v>160189.03599999999</v>
      </c>
      <c r="E43" s="508">
        <v>127808.44899999999</v>
      </c>
      <c r="F43" s="508">
        <v>32380.587</v>
      </c>
      <c r="G43" s="508">
        <v>32380.587</v>
      </c>
    </row>
    <row r="44" spans="1:7" x14ac:dyDescent="0.2">
      <c r="A44" s="509">
        <v>60120200</v>
      </c>
      <c r="B44" s="508" t="s">
        <v>8977</v>
      </c>
      <c r="C44" s="508">
        <v>0</v>
      </c>
      <c r="D44" s="508">
        <v>492</v>
      </c>
      <c r="E44" s="508">
        <v>0</v>
      </c>
      <c r="F44" s="508">
        <v>492</v>
      </c>
      <c r="G44" s="508">
        <v>492</v>
      </c>
    </row>
    <row r="45" spans="1:7" x14ac:dyDescent="0.2">
      <c r="A45" s="509">
        <v>60120300</v>
      </c>
      <c r="B45" s="508" t="s">
        <v>409</v>
      </c>
      <c r="C45" s="508">
        <v>0</v>
      </c>
      <c r="D45" s="508">
        <v>426285.11</v>
      </c>
      <c r="E45" s="508">
        <v>378688.11</v>
      </c>
      <c r="F45" s="508">
        <v>47597</v>
      </c>
      <c r="G45" s="508">
        <v>47597</v>
      </c>
    </row>
    <row r="46" spans="1:7" x14ac:dyDescent="0.2">
      <c r="A46" s="509">
        <v>60120400</v>
      </c>
      <c r="B46" s="508" t="s">
        <v>410</v>
      </c>
      <c r="C46" s="508">
        <v>0</v>
      </c>
      <c r="D46" s="508">
        <v>0</v>
      </c>
      <c r="E46" s="508">
        <v>157330.79999999999</v>
      </c>
      <c r="F46" s="508">
        <v>-157330.79999999999</v>
      </c>
      <c r="G46" s="508">
        <v>-157330.79999999999</v>
      </c>
    </row>
    <row r="47" spans="1:7" x14ac:dyDescent="0.2">
      <c r="A47" s="509">
        <v>60121500</v>
      </c>
      <c r="B47" s="508" t="s">
        <v>404</v>
      </c>
      <c r="C47" s="508">
        <v>0</v>
      </c>
      <c r="D47" s="508">
        <v>154800</v>
      </c>
      <c r="E47" s="508">
        <v>99000</v>
      </c>
      <c r="F47" s="508">
        <v>55800</v>
      </c>
      <c r="G47" s="508">
        <v>55800</v>
      </c>
    </row>
    <row r="48" spans="1:7" x14ac:dyDescent="0.2">
      <c r="A48" s="509">
        <v>60122100</v>
      </c>
      <c r="B48" s="508" t="s">
        <v>155</v>
      </c>
      <c r="C48" s="508">
        <v>0</v>
      </c>
      <c r="D48" s="508">
        <v>26730</v>
      </c>
      <c r="E48" s="508">
        <v>26730</v>
      </c>
      <c r="F48" s="508">
        <v>0</v>
      </c>
      <c r="G48" s="508">
        <v>0</v>
      </c>
    </row>
    <row r="49" spans="1:7" x14ac:dyDescent="0.2">
      <c r="A49" s="509">
        <v>60122200</v>
      </c>
      <c r="B49" s="508" t="s">
        <v>156</v>
      </c>
      <c r="C49" s="508">
        <v>0</v>
      </c>
      <c r="D49" s="508">
        <v>12789</v>
      </c>
      <c r="E49" s="508">
        <v>12789</v>
      </c>
      <c r="F49" s="508">
        <v>0</v>
      </c>
      <c r="G49" s="508">
        <v>0</v>
      </c>
    </row>
    <row r="50" spans="1:7" x14ac:dyDescent="0.2">
      <c r="A50" s="509">
        <v>60122411</v>
      </c>
      <c r="B50" s="508" t="s">
        <v>367</v>
      </c>
      <c r="C50" s="508">
        <v>0</v>
      </c>
      <c r="D50" s="508">
        <v>1154.8</v>
      </c>
      <c r="E50" s="508">
        <v>1154.8</v>
      </c>
      <c r="F50" s="508">
        <v>0</v>
      </c>
      <c r="G50" s="508">
        <v>0</v>
      </c>
    </row>
    <row r="51" spans="1:7" x14ac:dyDescent="0.2">
      <c r="A51" s="509">
        <v>60122510</v>
      </c>
      <c r="B51" s="508" t="s">
        <v>368</v>
      </c>
      <c r="C51" s="508">
        <v>0</v>
      </c>
      <c r="D51" s="508">
        <v>1931.701</v>
      </c>
      <c r="E51" s="508">
        <v>1931.701</v>
      </c>
      <c r="F51" s="508">
        <v>0</v>
      </c>
      <c r="G51" s="508">
        <v>0</v>
      </c>
    </row>
    <row r="52" spans="1:7" x14ac:dyDescent="0.2">
      <c r="A52" s="509">
        <v>60122700</v>
      </c>
      <c r="B52" s="508" t="s">
        <v>7567</v>
      </c>
      <c r="C52" s="508">
        <v>0</v>
      </c>
      <c r="D52" s="508">
        <v>12212.5</v>
      </c>
      <c r="E52" s="508">
        <v>12212.5</v>
      </c>
      <c r="F52" s="508">
        <v>0</v>
      </c>
      <c r="G52" s="508">
        <v>0</v>
      </c>
    </row>
    <row r="53" spans="1:7" x14ac:dyDescent="0.2">
      <c r="A53" s="509">
        <v>60171000</v>
      </c>
      <c r="B53" s="508" t="s">
        <v>369</v>
      </c>
      <c r="C53" s="508">
        <v>0</v>
      </c>
      <c r="D53" s="508">
        <v>304956.96799999999</v>
      </c>
      <c r="E53" s="508">
        <v>239932.95</v>
      </c>
      <c r="F53" s="508">
        <v>65024.017999999996</v>
      </c>
      <c r="G53" s="508">
        <v>65024.017999999996</v>
      </c>
    </row>
    <row r="54" spans="1:7" x14ac:dyDescent="0.2">
      <c r="A54" s="509">
        <v>60172000</v>
      </c>
      <c r="B54" s="508" t="s">
        <v>169</v>
      </c>
      <c r="C54" s="508">
        <v>0</v>
      </c>
      <c r="D54" s="508">
        <v>500478.42099999997</v>
      </c>
      <c r="E54" s="508">
        <v>398935.30300000001</v>
      </c>
      <c r="F54" s="508">
        <v>101543.118</v>
      </c>
      <c r="G54" s="508">
        <v>101543.118</v>
      </c>
    </row>
    <row r="55" spans="1:7" x14ac:dyDescent="0.2">
      <c r="A55" s="509">
        <v>60173000</v>
      </c>
      <c r="B55" s="508" t="s">
        <v>170</v>
      </c>
      <c r="C55" s="508">
        <v>0</v>
      </c>
      <c r="D55" s="508">
        <v>42681.502</v>
      </c>
      <c r="E55" s="508">
        <v>36089.076999999997</v>
      </c>
      <c r="F55" s="508">
        <v>6592.4250000000002</v>
      </c>
      <c r="G55" s="508">
        <v>6592.4250000000002</v>
      </c>
    </row>
    <row r="56" spans="1:7" x14ac:dyDescent="0.2">
      <c r="A56" s="509">
        <v>60260400</v>
      </c>
      <c r="B56" s="508" t="s">
        <v>161</v>
      </c>
      <c r="C56" s="508">
        <v>0</v>
      </c>
      <c r="D56" s="508">
        <v>9653.4</v>
      </c>
      <c r="E56" s="508">
        <v>9653.4</v>
      </c>
      <c r="F56" s="508">
        <v>0</v>
      </c>
      <c r="G56" s="508">
        <v>0</v>
      </c>
    </row>
    <row r="57" spans="1:7" x14ac:dyDescent="0.2">
      <c r="A57" s="509">
        <v>60260700</v>
      </c>
      <c r="B57" s="508" t="s">
        <v>163</v>
      </c>
      <c r="C57" s="508">
        <v>0</v>
      </c>
      <c r="D57" s="508">
        <v>5845.7</v>
      </c>
      <c r="E57" s="508">
        <v>5845.7</v>
      </c>
      <c r="F57" s="508">
        <v>0</v>
      </c>
      <c r="G57" s="508">
        <v>0</v>
      </c>
    </row>
    <row r="58" spans="1:7" x14ac:dyDescent="0.2">
      <c r="A58" s="509">
        <v>60262000</v>
      </c>
      <c r="B58" s="508" t="s">
        <v>164</v>
      </c>
      <c r="C58" s="508">
        <v>0</v>
      </c>
      <c r="D58" s="508">
        <v>13960</v>
      </c>
      <c r="E58" s="508">
        <v>10085</v>
      </c>
      <c r="F58" s="508">
        <v>3875</v>
      </c>
      <c r="G58" s="508">
        <v>3875</v>
      </c>
    </row>
    <row r="59" spans="1:7" x14ac:dyDescent="0.2">
      <c r="A59" s="509">
        <v>60263000</v>
      </c>
      <c r="B59" s="508" t="s">
        <v>165</v>
      </c>
      <c r="C59" s="508">
        <v>0</v>
      </c>
      <c r="D59" s="508">
        <v>3249.402</v>
      </c>
      <c r="E59" s="508">
        <v>1624.701</v>
      </c>
      <c r="F59" s="508">
        <v>1624.701</v>
      </c>
      <c r="G59" s="508">
        <v>1624.701</v>
      </c>
    </row>
    <row r="60" spans="1:7" x14ac:dyDescent="0.2">
      <c r="A60" s="509">
        <v>60310000</v>
      </c>
      <c r="B60" s="508" t="s">
        <v>265</v>
      </c>
      <c r="C60" s="508">
        <v>0</v>
      </c>
      <c r="D60" s="508">
        <v>78476251.384100005</v>
      </c>
      <c r="E60" s="508">
        <v>89045796.981099993</v>
      </c>
      <c r="F60" s="508">
        <v>-10569545.596999999</v>
      </c>
      <c r="G60" s="508">
        <v>-10569545.596999999</v>
      </c>
    </row>
    <row r="61" spans="1:7" x14ac:dyDescent="0.2">
      <c r="A61" s="509">
        <v>60330000</v>
      </c>
      <c r="B61" s="508" t="s">
        <v>266</v>
      </c>
      <c r="C61" s="508">
        <v>0</v>
      </c>
      <c r="D61" s="508">
        <v>5208259.3365000002</v>
      </c>
      <c r="E61" s="508">
        <v>5928172.3435000004</v>
      </c>
      <c r="F61" s="508">
        <v>-719913.00699999998</v>
      </c>
      <c r="G61" s="508">
        <v>-719913.00699999998</v>
      </c>
    </row>
    <row r="62" spans="1:7" x14ac:dyDescent="0.2">
      <c r="A62" s="509">
        <v>60401000</v>
      </c>
      <c r="B62" s="508" t="s">
        <v>166</v>
      </c>
      <c r="C62" s="508">
        <v>0</v>
      </c>
      <c r="D62" s="508">
        <v>312524.00099999999</v>
      </c>
      <c r="E62" s="508">
        <v>231266.00099999999</v>
      </c>
      <c r="F62" s="508">
        <v>81258</v>
      </c>
      <c r="G62" s="508">
        <v>81258</v>
      </c>
    </row>
    <row r="63" spans="1:7" x14ac:dyDescent="0.2">
      <c r="A63" s="509">
        <v>60502000</v>
      </c>
      <c r="B63" s="508" t="s">
        <v>167</v>
      </c>
      <c r="C63" s="508">
        <v>0</v>
      </c>
      <c r="D63" s="508">
        <v>58469.224000000002</v>
      </c>
      <c r="E63" s="508">
        <v>55336.315999999999</v>
      </c>
      <c r="F63" s="508">
        <v>3132.9079999999999</v>
      </c>
      <c r="G63" s="508">
        <v>3132.9079999999999</v>
      </c>
    </row>
    <row r="64" spans="1:7" x14ac:dyDescent="0.2">
      <c r="A64" s="509">
        <v>60620000</v>
      </c>
      <c r="B64" s="508" t="s">
        <v>172</v>
      </c>
      <c r="C64" s="508">
        <v>0</v>
      </c>
      <c r="D64" s="508">
        <v>2667.7</v>
      </c>
      <c r="E64" s="508">
        <v>2367.6999999999998</v>
      </c>
      <c r="F64" s="508">
        <v>300</v>
      </c>
      <c r="G64" s="508">
        <v>300</v>
      </c>
    </row>
    <row r="65" spans="1:7" x14ac:dyDescent="0.2">
      <c r="A65" s="509">
        <v>60650000</v>
      </c>
      <c r="B65" s="508" t="s">
        <v>373</v>
      </c>
      <c r="C65" s="508">
        <v>0</v>
      </c>
      <c r="D65" s="508">
        <v>1350</v>
      </c>
      <c r="E65" s="508">
        <v>1350</v>
      </c>
      <c r="F65" s="508">
        <v>0</v>
      </c>
      <c r="G65" s="508">
        <v>0</v>
      </c>
    </row>
    <row r="66" spans="1:7" x14ac:dyDescent="0.2">
      <c r="A66" s="509">
        <v>60670000</v>
      </c>
      <c r="B66" s="508" t="s">
        <v>174</v>
      </c>
      <c r="C66" s="508">
        <v>0</v>
      </c>
      <c r="D66" s="508">
        <v>2193.3000000000002</v>
      </c>
      <c r="E66" s="508">
        <v>0</v>
      </c>
      <c r="F66" s="508">
        <v>2193.3000000000002</v>
      </c>
      <c r="G66" s="508">
        <v>2193.3000000000002</v>
      </c>
    </row>
    <row r="67" spans="1:7" x14ac:dyDescent="0.2">
      <c r="A67" s="509">
        <v>60671000</v>
      </c>
      <c r="B67" s="508" t="s">
        <v>374</v>
      </c>
      <c r="C67" s="508">
        <v>0</v>
      </c>
      <c r="D67" s="508">
        <v>13634.6</v>
      </c>
      <c r="E67" s="508">
        <v>13634.6</v>
      </c>
      <c r="F67" s="508">
        <v>0</v>
      </c>
      <c r="G67" s="508">
        <v>0</v>
      </c>
    </row>
    <row r="68" spans="1:7" x14ac:dyDescent="0.2">
      <c r="A68" s="509">
        <v>61500000</v>
      </c>
      <c r="B68" s="508" t="s">
        <v>176</v>
      </c>
      <c r="C68" s="508">
        <v>0</v>
      </c>
      <c r="D68" s="508">
        <v>63225.974999999999</v>
      </c>
      <c r="E68" s="508">
        <v>63225.974999999999</v>
      </c>
      <c r="F68" s="508">
        <v>0</v>
      </c>
      <c r="G68" s="508">
        <v>0</v>
      </c>
    </row>
    <row r="69" spans="1:7" x14ac:dyDescent="0.2">
      <c r="A69" s="509">
        <v>61501000</v>
      </c>
      <c r="B69" s="508" t="s">
        <v>177</v>
      </c>
      <c r="C69" s="508">
        <v>0</v>
      </c>
      <c r="D69" s="508">
        <v>6335.5969999999998</v>
      </c>
      <c r="E69" s="508">
        <v>2891.5970000000002</v>
      </c>
      <c r="F69" s="508">
        <v>3444</v>
      </c>
      <c r="G69" s="508">
        <v>3444</v>
      </c>
    </row>
    <row r="70" spans="1:7" x14ac:dyDescent="0.2">
      <c r="A70" s="509">
        <v>61600000</v>
      </c>
      <c r="B70" s="508" t="s">
        <v>397</v>
      </c>
      <c r="C70" s="508">
        <v>0</v>
      </c>
      <c r="D70" s="508">
        <v>42966</v>
      </c>
      <c r="E70" s="508">
        <v>52904.932999999997</v>
      </c>
      <c r="F70" s="508">
        <v>-9938.9330000000009</v>
      </c>
      <c r="G70" s="508">
        <v>-9938.9330000000009</v>
      </c>
    </row>
    <row r="71" spans="1:7" x14ac:dyDescent="0.2">
      <c r="A71" s="509">
        <v>61603000</v>
      </c>
      <c r="B71" s="508" t="s">
        <v>178</v>
      </c>
      <c r="C71" s="508">
        <v>0</v>
      </c>
      <c r="D71" s="508">
        <v>63572.807999999997</v>
      </c>
      <c r="E71" s="508">
        <v>43805.688000000002</v>
      </c>
      <c r="F71" s="508">
        <v>19767.12</v>
      </c>
      <c r="G71" s="508">
        <v>19767.12</v>
      </c>
    </row>
    <row r="72" spans="1:7" x14ac:dyDescent="0.2">
      <c r="A72" s="509">
        <v>62230000</v>
      </c>
      <c r="B72" s="508" t="s">
        <v>375</v>
      </c>
      <c r="C72" s="508">
        <v>0</v>
      </c>
      <c r="D72" s="508">
        <v>10800</v>
      </c>
      <c r="E72" s="508">
        <v>1000</v>
      </c>
      <c r="F72" s="508">
        <v>9800</v>
      </c>
      <c r="G72" s="508">
        <v>9800</v>
      </c>
    </row>
    <row r="73" spans="1:7" x14ac:dyDescent="0.2">
      <c r="A73" s="509">
        <v>62240000</v>
      </c>
      <c r="B73" s="508" t="s">
        <v>267</v>
      </c>
      <c r="C73" s="508">
        <v>0</v>
      </c>
      <c r="D73" s="508">
        <v>175341.75</v>
      </c>
      <c r="E73" s="508">
        <v>198720.65</v>
      </c>
      <c r="F73" s="508">
        <v>-23378.9</v>
      </c>
      <c r="G73" s="508">
        <v>-23378.9</v>
      </c>
    </row>
    <row r="74" spans="1:7" x14ac:dyDescent="0.2">
      <c r="A74" s="509">
        <v>62250000</v>
      </c>
      <c r="B74" s="508" t="s">
        <v>268</v>
      </c>
      <c r="C74" s="508">
        <v>0</v>
      </c>
      <c r="D74" s="508">
        <v>67500</v>
      </c>
      <c r="E74" s="508">
        <v>37500</v>
      </c>
      <c r="F74" s="508">
        <v>30000</v>
      </c>
      <c r="G74" s="508">
        <v>30000</v>
      </c>
    </row>
    <row r="75" spans="1:7" x14ac:dyDescent="0.2">
      <c r="A75" s="509">
        <v>62270000</v>
      </c>
      <c r="B75" s="508" t="s">
        <v>399</v>
      </c>
      <c r="C75" s="508">
        <v>0</v>
      </c>
      <c r="D75" s="508">
        <v>4450.84</v>
      </c>
      <c r="E75" s="508">
        <v>0</v>
      </c>
      <c r="F75" s="508">
        <v>4450.84</v>
      </c>
      <c r="G75" s="508">
        <v>4450.84</v>
      </c>
    </row>
    <row r="76" spans="1:7" x14ac:dyDescent="0.2">
      <c r="A76" s="509">
        <v>62300000</v>
      </c>
      <c r="B76" s="508" t="s">
        <v>182</v>
      </c>
      <c r="C76" s="508">
        <v>0</v>
      </c>
      <c r="D76" s="508">
        <v>241500</v>
      </c>
      <c r="E76" s="508">
        <v>172500</v>
      </c>
      <c r="F76" s="508">
        <v>69000</v>
      </c>
      <c r="G76" s="508">
        <v>69000</v>
      </c>
    </row>
    <row r="77" spans="1:7" x14ac:dyDescent="0.2">
      <c r="A77" s="509">
        <v>62430000</v>
      </c>
      <c r="B77" s="508" t="s">
        <v>159</v>
      </c>
      <c r="C77" s="508">
        <v>0</v>
      </c>
      <c r="D77" s="508">
        <v>93756.45</v>
      </c>
      <c r="E77" s="508">
        <v>42256.45</v>
      </c>
      <c r="F77" s="508">
        <v>51500</v>
      </c>
      <c r="G77" s="508">
        <v>51500</v>
      </c>
    </row>
    <row r="78" spans="1:7" x14ac:dyDescent="0.2">
      <c r="A78" s="509">
        <v>62510000</v>
      </c>
      <c r="B78" s="508" t="s">
        <v>7571</v>
      </c>
      <c r="C78" s="508">
        <v>0</v>
      </c>
      <c r="D78" s="508">
        <v>20000</v>
      </c>
      <c r="E78" s="508">
        <v>0</v>
      </c>
      <c r="F78" s="508">
        <v>20000</v>
      </c>
      <c r="G78" s="508">
        <v>20000</v>
      </c>
    </row>
    <row r="79" spans="1:7" x14ac:dyDescent="0.2">
      <c r="A79" s="509">
        <v>62600000</v>
      </c>
      <c r="B79" s="508" t="s">
        <v>188</v>
      </c>
      <c r="C79" s="508">
        <v>0</v>
      </c>
      <c r="D79" s="508">
        <v>13128</v>
      </c>
      <c r="E79" s="508">
        <v>13128</v>
      </c>
      <c r="F79" s="508">
        <v>0</v>
      </c>
      <c r="G79" s="508">
        <v>0</v>
      </c>
    </row>
    <row r="80" spans="1:7" x14ac:dyDescent="0.2">
      <c r="A80" s="509">
        <v>62780000</v>
      </c>
      <c r="B80" s="508" t="s">
        <v>189</v>
      </c>
      <c r="C80" s="508">
        <v>0</v>
      </c>
      <c r="D80" s="508">
        <v>121851.208</v>
      </c>
      <c r="E80" s="508">
        <v>98531.231</v>
      </c>
      <c r="F80" s="508">
        <v>23319.976999999999</v>
      </c>
      <c r="G80" s="508">
        <v>23319.976999999999</v>
      </c>
    </row>
    <row r="81" spans="1:7" x14ac:dyDescent="0.2">
      <c r="A81" s="509">
        <v>63300000</v>
      </c>
      <c r="B81" s="508" t="s">
        <v>269</v>
      </c>
      <c r="C81" s="508">
        <v>0</v>
      </c>
      <c r="D81" s="508">
        <v>218750.00099999999</v>
      </c>
      <c r="E81" s="508">
        <v>156250.00099999999</v>
      </c>
      <c r="F81" s="508">
        <v>62500</v>
      </c>
      <c r="G81" s="508">
        <v>62500</v>
      </c>
    </row>
    <row r="82" spans="1:7" x14ac:dyDescent="0.2">
      <c r="A82" s="509">
        <v>64001000</v>
      </c>
      <c r="B82" s="508" t="s">
        <v>191</v>
      </c>
      <c r="C82" s="508">
        <v>0</v>
      </c>
      <c r="D82" s="508">
        <v>413518.88400000002</v>
      </c>
      <c r="E82" s="508">
        <v>413518.88400000002</v>
      </c>
      <c r="F82" s="508">
        <v>0</v>
      </c>
      <c r="G82" s="508">
        <v>0</v>
      </c>
    </row>
    <row r="83" spans="1:7" x14ac:dyDescent="0.2">
      <c r="A83" s="509">
        <v>64001100</v>
      </c>
      <c r="B83" s="508" t="s">
        <v>405</v>
      </c>
      <c r="C83" s="508">
        <v>0</v>
      </c>
      <c r="D83" s="508">
        <v>525000</v>
      </c>
      <c r="E83" s="508">
        <v>375000</v>
      </c>
      <c r="F83" s="508">
        <v>150000</v>
      </c>
      <c r="G83" s="508">
        <v>150000</v>
      </c>
    </row>
    <row r="84" spans="1:7" x14ac:dyDescent="0.2">
      <c r="A84" s="509">
        <v>64020000</v>
      </c>
      <c r="B84" s="508" t="s">
        <v>406</v>
      </c>
      <c r="C84" s="508">
        <v>0</v>
      </c>
      <c r="D84" s="508">
        <v>753788.64800000004</v>
      </c>
      <c r="E84" s="508">
        <v>552436.66700000002</v>
      </c>
      <c r="F84" s="508">
        <v>201351.981</v>
      </c>
      <c r="G84" s="508">
        <v>201351.981</v>
      </c>
    </row>
    <row r="85" spans="1:7" x14ac:dyDescent="0.2">
      <c r="A85" s="509">
        <v>64600100</v>
      </c>
      <c r="B85" s="508" t="s">
        <v>407</v>
      </c>
      <c r="C85" s="508">
        <v>0</v>
      </c>
      <c r="D85" s="508">
        <v>2316817.4890000001</v>
      </c>
      <c r="E85" s="508">
        <v>2072982.4890000001</v>
      </c>
      <c r="F85" s="508">
        <v>243835</v>
      </c>
      <c r="G85" s="508">
        <v>243835</v>
      </c>
    </row>
    <row r="86" spans="1:7" x14ac:dyDescent="0.2">
      <c r="A86" s="509">
        <v>64603000</v>
      </c>
      <c r="B86" s="508" t="s">
        <v>7404</v>
      </c>
      <c r="C86" s="508">
        <v>0</v>
      </c>
      <c r="D86" s="508">
        <v>1596</v>
      </c>
      <c r="E86" s="508">
        <v>0</v>
      </c>
      <c r="F86" s="508">
        <v>1596</v>
      </c>
      <c r="G86" s="508">
        <v>1596</v>
      </c>
    </row>
    <row r="87" spans="1:7" x14ac:dyDescent="0.2">
      <c r="A87" s="509">
        <v>64720000</v>
      </c>
      <c r="B87" s="508" t="s">
        <v>194</v>
      </c>
      <c r="C87" s="508">
        <v>0</v>
      </c>
      <c r="D87" s="508">
        <v>501923.42</v>
      </c>
      <c r="E87" s="508">
        <v>389766.71500000003</v>
      </c>
      <c r="F87" s="508">
        <v>112156.705</v>
      </c>
      <c r="G87" s="508">
        <v>112156.705</v>
      </c>
    </row>
    <row r="88" spans="1:7" x14ac:dyDescent="0.2">
      <c r="A88" s="509">
        <v>65110000</v>
      </c>
      <c r="B88" s="508" t="s">
        <v>8978</v>
      </c>
      <c r="C88" s="508">
        <v>0</v>
      </c>
      <c r="D88" s="508">
        <v>19392.053</v>
      </c>
      <c r="E88" s="508">
        <v>0</v>
      </c>
      <c r="F88" s="508">
        <v>19392.053</v>
      </c>
      <c r="G88" s="508">
        <v>19392.053</v>
      </c>
    </row>
    <row r="89" spans="1:7" x14ac:dyDescent="0.2">
      <c r="A89" s="509">
        <v>65110200</v>
      </c>
      <c r="B89" s="508" t="s">
        <v>196</v>
      </c>
      <c r="C89" s="508">
        <v>0</v>
      </c>
      <c r="D89" s="508">
        <v>222753.45199999999</v>
      </c>
      <c r="E89" s="508">
        <v>301877.261</v>
      </c>
      <c r="F89" s="508">
        <v>-79123.808999999994</v>
      </c>
      <c r="G89" s="508">
        <v>-79123.808999999994</v>
      </c>
    </row>
    <row r="90" spans="1:7" x14ac:dyDescent="0.2">
      <c r="A90" s="509">
        <v>65110400</v>
      </c>
      <c r="B90" s="508" t="s">
        <v>197</v>
      </c>
      <c r="C90" s="508">
        <v>0</v>
      </c>
      <c r="D90" s="508">
        <v>342264.41399999999</v>
      </c>
      <c r="E90" s="508">
        <v>463717.98499999999</v>
      </c>
      <c r="F90" s="508">
        <v>-121453.571</v>
      </c>
      <c r="G90" s="508">
        <v>-121453.571</v>
      </c>
    </row>
    <row r="91" spans="1:7" x14ac:dyDescent="0.2">
      <c r="A91" s="509">
        <v>65150000</v>
      </c>
      <c r="B91" s="508" t="s">
        <v>270</v>
      </c>
      <c r="C91" s="508">
        <v>0</v>
      </c>
      <c r="D91" s="508">
        <v>61037.809000000001</v>
      </c>
      <c r="E91" s="508">
        <v>44346.302000000003</v>
      </c>
      <c r="F91" s="508">
        <v>16691.507000000001</v>
      </c>
      <c r="G91" s="508">
        <v>16691.507000000001</v>
      </c>
    </row>
    <row r="92" spans="1:7" x14ac:dyDescent="0.2">
      <c r="A92" s="509">
        <v>65190000</v>
      </c>
      <c r="B92" s="508" t="s">
        <v>198</v>
      </c>
      <c r="C92" s="508">
        <v>0</v>
      </c>
      <c r="D92" s="508">
        <v>443357.1</v>
      </c>
      <c r="E92" s="508">
        <v>353159.658</v>
      </c>
      <c r="F92" s="508">
        <v>90197.441999999995</v>
      </c>
      <c r="G92" s="508">
        <v>90197.441999999995</v>
      </c>
    </row>
    <row r="93" spans="1:7" x14ac:dyDescent="0.2">
      <c r="A93" s="509">
        <v>65500000</v>
      </c>
      <c r="B93" s="508" t="s">
        <v>7722</v>
      </c>
      <c r="C93" s="508">
        <v>0</v>
      </c>
      <c r="D93" s="508">
        <v>42049.773399999998</v>
      </c>
      <c r="E93" s="508">
        <v>17185.467400000001</v>
      </c>
      <c r="F93" s="508">
        <v>24864.306</v>
      </c>
      <c r="G93" s="508">
        <v>24864.306</v>
      </c>
    </row>
    <row r="94" spans="1:7" x14ac:dyDescent="0.2">
      <c r="A94" s="509">
        <v>66520000</v>
      </c>
      <c r="B94" s="508" t="s">
        <v>200</v>
      </c>
      <c r="C94" s="508">
        <v>0</v>
      </c>
      <c r="D94" s="508">
        <v>55820.951000000001</v>
      </c>
      <c r="E94" s="508">
        <v>40532.951000000001</v>
      </c>
      <c r="F94" s="508">
        <v>15288</v>
      </c>
      <c r="G94" s="508">
        <v>15288</v>
      </c>
    </row>
    <row r="95" spans="1:7" x14ac:dyDescent="0.2">
      <c r="A95" s="509">
        <v>66550000</v>
      </c>
      <c r="B95" s="508" t="s">
        <v>202</v>
      </c>
      <c r="C95" s="508">
        <v>0</v>
      </c>
      <c r="D95" s="508">
        <v>18900</v>
      </c>
      <c r="E95" s="508">
        <v>13500</v>
      </c>
      <c r="F95" s="508">
        <v>5400</v>
      </c>
      <c r="G95" s="508">
        <v>5400</v>
      </c>
    </row>
    <row r="96" spans="1:7" x14ac:dyDescent="0.2">
      <c r="A96" s="509">
        <v>68112000</v>
      </c>
      <c r="B96" s="508" t="s">
        <v>7390</v>
      </c>
      <c r="C96" s="508">
        <v>0</v>
      </c>
      <c r="D96" s="508">
        <v>4913744.8310000002</v>
      </c>
      <c r="E96" s="508">
        <v>3476319.6260000002</v>
      </c>
      <c r="F96" s="508">
        <v>1437425.2050000001</v>
      </c>
      <c r="G96" s="508">
        <v>1437425.2050000001</v>
      </c>
    </row>
    <row r="97" spans="1:7" x14ac:dyDescent="0.2">
      <c r="A97" s="509">
        <v>68150000</v>
      </c>
      <c r="B97" s="508" t="s">
        <v>9481</v>
      </c>
      <c r="C97" s="508">
        <v>0</v>
      </c>
      <c r="D97" s="508">
        <v>20000</v>
      </c>
      <c r="E97" s="508">
        <v>0</v>
      </c>
      <c r="F97" s="508">
        <v>20000</v>
      </c>
      <c r="G97" s="508">
        <v>20000</v>
      </c>
    </row>
    <row r="98" spans="1:7" x14ac:dyDescent="0.2">
      <c r="A98" s="509">
        <v>68170000</v>
      </c>
      <c r="B98" s="508" t="s">
        <v>7577</v>
      </c>
      <c r="C98" s="508">
        <v>0</v>
      </c>
      <c r="D98" s="508">
        <v>1000000</v>
      </c>
      <c r="E98" s="508">
        <v>675000</v>
      </c>
      <c r="F98" s="508">
        <v>325000</v>
      </c>
      <c r="G98" s="508">
        <v>325000</v>
      </c>
    </row>
    <row r="99" spans="1:7" x14ac:dyDescent="0.2">
      <c r="A99" s="509">
        <v>68180000</v>
      </c>
      <c r="B99" s="508" t="s">
        <v>8976</v>
      </c>
      <c r="C99" s="508">
        <v>0</v>
      </c>
      <c r="D99" s="508">
        <v>350000</v>
      </c>
      <c r="E99" s="508">
        <v>150000</v>
      </c>
      <c r="F99" s="508">
        <v>200000</v>
      </c>
      <c r="G99" s="508">
        <v>200000</v>
      </c>
    </row>
    <row r="100" spans="1:7" x14ac:dyDescent="0.2">
      <c r="A100" s="509">
        <v>70102000</v>
      </c>
      <c r="B100" s="508" t="s">
        <v>207</v>
      </c>
      <c r="C100" s="508">
        <v>0</v>
      </c>
      <c r="D100" s="508">
        <v>3757277.7850000001</v>
      </c>
      <c r="E100" s="508">
        <v>3757277.7850000001</v>
      </c>
      <c r="F100" s="508">
        <v>0</v>
      </c>
      <c r="G100" s="508">
        <v>0</v>
      </c>
    </row>
    <row r="101" spans="1:7" x14ac:dyDescent="0.2">
      <c r="A101" s="509">
        <v>70600500</v>
      </c>
      <c r="B101" s="508" t="s">
        <v>208</v>
      </c>
      <c r="C101" s="508">
        <v>0</v>
      </c>
      <c r="D101" s="508">
        <v>48636.794999999998</v>
      </c>
      <c r="E101" s="508">
        <v>48636.794999999998</v>
      </c>
      <c r="F101" s="508">
        <v>0</v>
      </c>
      <c r="G101" s="508">
        <v>0</v>
      </c>
    </row>
    <row r="102" spans="1:7" x14ac:dyDescent="0.2">
      <c r="A102" s="509">
        <v>71340000</v>
      </c>
      <c r="B102" s="508" t="s">
        <v>382</v>
      </c>
      <c r="C102" s="508">
        <v>0</v>
      </c>
      <c r="D102" s="508">
        <v>2233181.5079999999</v>
      </c>
      <c r="E102" s="508">
        <v>2233181.5079999999</v>
      </c>
      <c r="F102" s="508">
        <v>0</v>
      </c>
      <c r="G102" s="508">
        <v>0</v>
      </c>
    </row>
    <row r="103" spans="1:7" x14ac:dyDescent="0.2">
      <c r="A103" s="509">
        <v>71350000</v>
      </c>
      <c r="B103" s="508" t="s">
        <v>209</v>
      </c>
      <c r="C103" s="508">
        <v>0</v>
      </c>
      <c r="D103" s="508">
        <v>42946028.256800003</v>
      </c>
      <c r="E103" s="508">
        <v>47052839.3288</v>
      </c>
      <c r="F103" s="508">
        <v>-4106811.0720000002</v>
      </c>
      <c r="G103" s="508">
        <v>-4106811.0720000002</v>
      </c>
    </row>
    <row r="104" spans="1:7" x14ac:dyDescent="0.2">
      <c r="A104" s="509">
        <v>73900000</v>
      </c>
      <c r="B104" s="508" t="s">
        <v>213</v>
      </c>
      <c r="C104" s="508">
        <v>0</v>
      </c>
      <c r="D104" s="508">
        <v>304236.28499999997</v>
      </c>
      <c r="E104" s="508">
        <v>425930.8</v>
      </c>
      <c r="F104" s="508">
        <v>-121694.515</v>
      </c>
      <c r="G104" s="508">
        <v>-121694.515</v>
      </c>
    </row>
    <row r="105" spans="1:7" x14ac:dyDescent="0.2">
      <c r="A105" s="509">
        <v>75600000</v>
      </c>
      <c r="B105" s="508" t="s">
        <v>215</v>
      </c>
      <c r="C105" s="508">
        <v>0</v>
      </c>
      <c r="D105" s="508">
        <v>22961.578000000001</v>
      </c>
      <c r="E105" s="508">
        <v>23037.312999999998</v>
      </c>
      <c r="F105" s="508">
        <v>-75.734999999999999</v>
      </c>
      <c r="G105" s="508">
        <v>-75.734999999999999</v>
      </c>
    </row>
    <row r="106" spans="1:7" x14ac:dyDescent="0.2">
      <c r="C106" s="303">
        <f>SUM(C2:C105)</f>
        <v>1.7618285302889447E-19</v>
      </c>
      <c r="D106" s="303">
        <f t="shared" ref="D106:G106" si="0">SUM(D2:D105)</f>
        <v>311356323.5176</v>
      </c>
      <c r="E106" s="303">
        <f t="shared" si="0"/>
        <v>311356323.51759994</v>
      </c>
      <c r="F106" s="303">
        <f t="shared" si="0"/>
        <v>-1.3964012168798945E-9</v>
      </c>
      <c r="G106" s="303">
        <f t="shared" si="0"/>
        <v>-1.3964012168798945E-9</v>
      </c>
    </row>
  </sheetData>
  <autoFilter ref="A1:G57" xr:uid="{00000000-0009-0000-0000-00002A000000}"/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00B050"/>
  </sheetPr>
  <dimension ref="A1:M4156"/>
  <sheetViews>
    <sheetView topLeftCell="A271" workbookViewId="0">
      <selection activeCell="G327" sqref="G327"/>
    </sheetView>
  </sheetViews>
  <sheetFormatPr baseColWidth="10" defaultColWidth="16.7109375" defaultRowHeight="11.25" x14ac:dyDescent="0.2"/>
  <cols>
    <col min="1" max="1" width="6.28515625" style="537" customWidth="1"/>
    <col min="2" max="2" width="6.42578125" style="537" customWidth="1"/>
    <col min="3" max="3" width="12" style="537" customWidth="1"/>
    <col min="4" max="4" width="21.7109375" style="537" customWidth="1"/>
    <col min="5" max="5" width="6.85546875" style="537" customWidth="1"/>
    <col min="6" max="6" width="14.7109375" style="540" customWidth="1"/>
    <col min="7" max="7" width="13.5703125" style="541" customWidth="1"/>
    <col min="8" max="8" width="16.7109375" style="541"/>
    <col min="9" max="9" width="13.85546875" style="537" customWidth="1"/>
    <col min="10" max="10" width="14.7109375" style="537" customWidth="1"/>
    <col min="11" max="11" width="15.7109375" style="537" customWidth="1"/>
    <col min="12" max="16384" width="16.7109375" style="537"/>
  </cols>
  <sheetData>
    <row r="1" spans="1:12" ht="12" thickBot="1" x14ac:dyDescent="0.25"/>
    <row r="2" spans="1:12" ht="15" x14ac:dyDescent="0.25">
      <c r="C2" s="582" t="s">
        <v>7563</v>
      </c>
      <c r="D2" s="583" t="s">
        <v>7564</v>
      </c>
    </row>
    <row r="3" spans="1:12" ht="15" x14ac:dyDescent="0.25">
      <c r="C3" s="576" t="s">
        <v>1911</v>
      </c>
      <c r="D3" s="577">
        <v>709926.13465431624</v>
      </c>
    </row>
    <row r="4" spans="1:12" ht="15" x14ac:dyDescent="0.25">
      <c r="C4" s="576" t="s">
        <v>541</v>
      </c>
      <c r="D4" s="577">
        <v>10596495.458452433</v>
      </c>
    </row>
    <row r="5" spans="1:12" ht="15" x14ac:dyDescent="0.25">
      <c r="C5" s="576" t="s">
        <v>2354</v>
      </c>
      <c r="D5" s="577">
        <v>706682.7150807773</v>
      </c>
    </row>
    <row r="6" spans="1:12" ht="15" x14ac:dyDescent="0.25">
      <c r="C6" s="576" t="s">
        <v>536</v>
      </c>
      <c r="D6" s="577">
        <v>3451314.4058106663</v>
      </c>
    </row>
    <row r="7" spans="1:12" ht="15.75" thickBot="1" x14ac:dyDescent="0.3">
      <c r="C7" s="584" t="s">
        <v>7565</v>
      </c>
      <c r="D7" s="585">
        <v>15464418.713998195</v>
      </c>
    </row>
    <row r="9" spans="1:12" x14ac:dyDescent="0.2">
      <c r="H9" s="541">
        <f>+H11-D7</f>
        <v>122397.05678213201</v>
      </c>
      <c r="I9" s="591" t="s">
        <v>9647</v>
      </c>
    </row>
    <row r="10" spans="1:12" ht="12" thickBot="1" x14ac:dyDescent="0.25"/>
    <row r="11" spans="1:12" ht="12" thickBot="1" x14ac:dyDescent="0.25">
      <c r="D11" s="538" t="s">
        <v>9533</v>
      </c>
      <c r="E11" s="539"/>
      <c r="H11" s="575">
        <f>SUM(H14:H4162)</f>
        <v>15586815.770780327</v>
      </c>
      <c r="I11" s="542"/>
      <c r="J11" s="543"/>
      <c r="K11" s="544"/>
    </row>
    <row r="13" spans="1:12" x14ac:dyDescent="0.2">
      <c r="A13" s="513" t="s">
        <v>524</v>
      </c>
      <c r="B13" s="513" t="s">
        <v>525</v>
      </c>
      <c r="C13" s="513" t="s">
        <v>526</v>
      </c>
      <c r="D13" s="513" t="s">
        <v>527</v>
      </c>
      <c r="E13" s="513" t="s">
        <v>528</v>
      </c>
      <c r="F13" s="528" t="s">
        <v>9534</v>
      </c>
      <c r="G13" s="528" t="s">
        <v>7406</v>
      </c>
      <c r="H13" s="528" t="s">
        <v>7407</v>
      </c>
      <c r="I13" s="528" t="s">
        <v>8989</v>
      </c>
      <c r="J13" s="528" t="s">
        <v>8990</v>
      </c>
      <c r="K13" s="528" t="s">
        <v>9645</v>
      </c>
      <c r="L13" s="514" t="s">
        <v>7579</v>
      </c>
    </row>
    <row r="14" spans="1:12" x14ac:dyDescent="0.2">
      <c r="A14" s="515" t="s">
        <v>747</v>
      </c>
      <c r="B14" s="515" t="s">
        <v>781</v>
      </c>
      <c r="C14" s="515" t="s">
        <v>784</v>
      </c>
      <c r="D14" s="515" t="s">
        <v>785</v>
      </c>
      <c r="E14" s="515" t="s">
        <v>535</v>
      </c>
      <c r="F14" s="516">
        <v>104906</v>
      </c>
      <c r="G14" s="545">
        <v>3.2268057706265343</v>
      </c>
      <c r="H14" s="545">
        <v>338511.28617334721</v>
      </c>
      <c r="I14" s="546" t="s">
        <v>8992</v>
      </c>
      <c r="J14" s="547" t="s">
        <v>8993</v>
      </c>
      <c r="K14" s="547" t="s">
        <v>8994</v>
      </c>
      <c r="L14" s="537" t="s">
        <v>541</v>
      </c>
    </row>
    <row r="15" spans="1:12" x14ac:dyDescent="0.2">
      <c r="A15" s="515" t="s">
        <v>747</v>
      </c>
      <c r="B15" s="515" t="s">
        <v>781</v>
      </c>
      <c r="C15" s="515" t="s">
        <v>757</v>
      </c>
      <c r="D15" s="515" t="s">
        <v>758</v>
      </c>
      <c r="E15" s="515" t="s">
        <v>535</v>
      </c>
      <c r="F15" s="516">
        <v>37</v>
      </c>
      <c r="G15" s="545">
        <v>18.295329273500254</v>
      </c>
      <c r="H15" s="545">
        <v>676.92718311950944</v>
      </c>
      <c r="I15" s="546" t="s">
        <v>8992</v>
      </c>
      <c r="J15" s="547" t="s">
        <v>541</v>
      </c>
      <c r="K15" s="547" t="s">
        <v>8996</v>
      </c>
      <c r="L15" s="537" t="s">
        <v>541</v>
      </c>
    </row>
    <row r="16" spans="1:12" x14ac:dyDescent="0.2">
      <c r="A16" s="515" t="s">
        <v>747</v>
      </c>
      <c r="B16" s="515" t="s">
        <v>781</v>
      </c>
      <c r="C16" s="515" t="s">
        <v>759</v>
      </c>
      <c r="D16" s="515" t="s">
        <v>760</v>
      </c>
      <c r="E16" s="515" t="s">
        <v>535</v>
      </c>
      <c r="F16" s="516">
        <v>23</v>
      </c>
      <c r="G16" s="545">
        <v>214.09332923336098</v>
      </c>
      <c r="H16" s="545">
        <v>4924.1465723673027</v>
      </c>
      <c r="I16" s="546" t="s">
        <v>8992</v>
      </c>
      <c r="J16" s="547" t="s">
        <v>541</v>
      </c>
      <c r="K16" s="547" t="s">
        <v>8996</v>
      </c>
      <c r="L16" s="537" t="s">
        <v>541</v>
      </c>
    </row>
    <row r="17" spans="1:12" x14ac:dyDescent="0.2">
      <c r="A17" s="515" t="s">
        <v>747</v>
      </c>
      <c r="B17" s="515" t="s">
        <v>781</v>
      </c>
      <c r="C17" s="515" t="s">
        <v>705</v>
      </c>
      <c r="D17" s="515" t="s">
        <v>792</v>
      </c>
      <c r="E17" s="515" t="s">
        <v>535</v>
      </c>
      <c r="F17" s="516">
        <v>25</v>
      </c>
      <c r="G17" s="545">
        <v>3.1348770077786101</v>
      </c>
      <c r="H17" s="545">
        <v>78.371925194465248</v>
      </c>
      <c r="I17" s="546" t="s">
        <v>8992</v>
      </c>
      <c r="J17" s="547" t="s">
        <v>541</v>
      </c>
      <c r="K17" s="547" t="s">
        <v>8996</v>
      </c>
      <c r="L17" s="537" t="s">
        <v>541</v>
      </c>
    </row>
    <row r="18" spans="1:12" x14ac:dyDescent="0.2">
      <c r="A18" s="515" t="s">
        <v>747</v>
      </c>
      <c r="B18" s="515" t="s">
        <v>748</v>
      </c>
      <c r="C18" s="515" t="s">
        <v>751</v>
      </c>
      <c r="D18" s="515" t="s">
        <v>7689</v>
      </c>
      <c r="E18" s="515" t="s">
        <v>535</v>
      </c>
      <c r="F18" s="516">
        <v>707</v>
      </c>
      <c r="G18" s="545">
        <v>33.640619722298368</v>
      </c>
      <c r="H18" s="545">
        <v>23783.918143664945</v>
      </c>
      <c r="I18" s="546" t="s">
        <v>8992</v>
      </c>
      <c r="J18" s="547" t="s">
        <v>541</v>
      </c>
      <c r="K18" s="547" t="s">
        <v>8996</v>
      </c>
      <c r="L18" s="537" t="s">
        <v>541</v>
      </c>
    </row>
    <row r="19" spans="1:12" x14ac:dyDescent="0.2">
      <c r="A19" s="515" t="s">
        <v>747</v>
      </c>
      <c r="B19" s="515" t="s">
        <v>748</v>
      </c>
      <c r="C19" s="515" t="s">
        <v>778</v>
      </c>
      <c r="D19" s="515" t="s">
        <v>7690</v>
      </c>
      <c r="E19" s="515" t="s">
        <v>535</v>
      </c>
      <c r="F19" s="516">
        <v>950</v>
      </c>
      <c r="G19" s="545">
        <v>33.640619722298368</v>
      </c>
      <c r="H19" s="545">
        <v>31958.58873618345</v>
      </c>
      <c r="I19" s="546" t="s">
        <v>8992</v>
      </c>
      <c r="J19" s="547" t="s">
        <v>541</v>
      </c>
      <c r="K19" s="547" t="s">
        <v>8996</v>
      </c>
      <c r="L19" s="537" t="s">
        <v>541</v>
      </c>
    </row>
    <row r="20" spans="1:12" x14ac:dyDescent="0.2">
      <c r="A20" s="515" t="s">
        <v>747</v>
      </c>
      <c r="B20" s="515" t="s">
        <v>748</v>
      </c>
      <c r="C20" s="515" t="s">
        <v>753</v>
      </c>
      <c r="D20" s="515" t="s">
        <v>754</v>
      </c>
      <c r="E20" s="515" t="s">
        <v>535</v>
      </c>
      <c r="F20" s="516">
        <v>5350</v>
      </c>
      <c r="G20" s="545">
        <v>1.4955574987911482</v>
      </c>
      <c r="H20" s="545">
        <v>8001.2326185326428</v>
      </c>
      <c r="I20" s="546" t="s">
        <v>8992</v>
      </c>
      <c r="J20" s="547" t="s">
        <v>541</v>
      </c>
      <c r="K20" s="547" t="s">
        <v>8996</v>
      </c>
      <c r="L20" s="537" t="s">
        <v>541</v>
      </c>
    </row>
    <row r="21" spans="1:12" x14ac:dyDescent="0.2">
      <c r="A21" s="515" t="s">
        <v>747</v>
      </c>
      <c r="B21" s="515" t="s">
        <v>748</v>
      </c>
      <c r="C21" s="515" t="s">
        <v>755</v>
      </c>
      <c r="D21" s="515" t="s">
        <v>7691</v>
      </c>
      <c r="E21" s="515" t="s">
        <v>535</v>
      </c>
      <c r="F21" s="516">
        <v>16400</v>
      </c>
      <c r="G21" s="545">
        <v>4.6102952500472769</v>
      </c>
      <c r="H21" s="545">
        <v>75608.842100775335</v>
      </c>
      <c r="I21" s="546" t="s">
        <v>8992</v>
      </c>
      <c r="J21" s="547" t="s">
        <v>541</v>
      </c>
      <c r="K21" s="547" t="s">
        <v>8996</v>
      </c>
      <c r="L21" s="537" t="s">
        <v>541</v>
      </c>
    </row>
    <row r="22" spans="1:12" x14ac:dyDescent="0.2">
      <c r="A22" s="515" t="s">
        <v>747</v>
      </c>
      <c r="B22" s="515" t="s">
        <v>748</v>
      </c>
      <c r="C22" s="515" t="s">
        <v>757</v>
      </c>
      <c r="D22" s="515" t="s">
        <v>758</v>
      </c>
      <c r="E22" s="515" t="s">
        <v>535</v>
      </c>
      <c r="F22" s="516">
        <v>800</v>
      </c>
      <c r="G22" s="545">
        <v>18.295329273500254</v>
      </c>
      <c r="H22" s="545">
        <v>14636.263418800203</v>
      </c>
      <c r="I22" s="546" t="s">
        <v>8992</v>
      </c>
      <c r="J22" s="547" t="s">
        <v>541</v>
      </c>
      <c r="K22" s="547" t="s">
        <v>8996</v>
      </c>
      <c r="L22" s="537" t="s">
        <v>541</v>
      </c>
    </row>
    <row r="23" spans="1:12" x14ac:dyDescent="0.2">
      <c r="A23" s="515" t="s">
        <v>747</v>
      </c>
      <c r="B23" s="515" t="s">
        <v>748</v>
      </c>
      <c r="C23" s="515" t="s">
        <v>763</v>
      </c>
      <c r="D23" s="515" t="s">
        <v>764</v>
      </c>
      <c r="E23" s="515" t="s">
        <v>535</v>
      </c>
      <c r="F23" s="516">
        <v>1910</v>
      </c>
      <c r="G23" s="545">
        <v>52.620531216794689</v>
      </c>
      <c r="H23" s="545">
        <v>100505.21462407785</v>
      </c>
      <c r="I23" s="546" t="s">
        <v>8992</v>
      </c>
      <c r="J23" s="547" t="s">
        <v>541</v>
      </c>
      <c r="K23" s="547" t="s">
        <v>8996</v>
      </c>
      <c r="L23" s="537" t="s">
        <v>541</v>
      </c>
    </row>
    <row r="24" spans="1:12" x14ac:dyDescent="0.2">
      <c r="A24" s="515" t="s">
        <v>747</v>
      </c>
      <c r="B24" s="515" t="s">
        <v>748</v>
      </c>
      <c r="C24" s="515" t="s">
        <v>705</v>
      </c>
      <c r="D24" s="515" t="s">
        <v>7692</v>
      </c>
      <c r="E24" s="515" t="s">
        <v>535</v>
      </c>
      <c r="F24" s="516">
        <v>1400</v>
      </c>
      <c r="G24" s="545">
        <v>3.1348770077786101</v>
      </c>
      <c r="H24" s="545">
        <v>4388.827810890054</v>
      </c>
      <c r="I24" s="546" t="s">
        <v>8992</v>
      </c>
      <c r="J24" s="547" t="s">
        <v>541</v>
      </c>
      <c r="K24" s="547" t="s">
        <v>8996</v>
      </c>
      <c r="L24" s="537" t="s">
        <v>541</v>
      </c>
    </row>
    <row r="25" spans="1:12" x14ac:dyDescent="0.2">
      <c r="A25" s="515" t="s">
        <v>747</v>
      </c>
      <c r="B25" s="515" t="s">
        <v>748</v>
      </c>
      <c r="C25" s="515" t="s">
        <v>767</v>
      </c>
      <c r="D25" s="515" t="s">
        <v>768</v>
      </c>
      <c r="E25" s="515" t="s">
        <v>535</v>
      </c>
      <c r="F25" s="516">
        <v>133870</v>
      </c>
      <c r="G25" s="545">
        <v>1.3063477063447397</v>
      </c>
      <c r="H25" s="545">
        <v>174880.76744837032</v>
      </c>
      <c r="I25" s="546" t="s">
        <v>8992</v>
      </c>
      <c r="J25" s="547" t="s">
        <v>541</v>
      </c>
      <c r="K25" s="547" t="s">
        <v>8996</v>
      </c>
      <c r="L25" s="537" t="s">
        <v>541</v>
      </c>
    </row>
    <row r="26" spans="1:12" x14ac:dyDescent="0.2">
      <c r="A26" s="515" t="s">
        <v>747</v>
      </c>
      <c r="B26" s="515" t="s">
        <v>748</v>
      </c>
      <c r="C26" s="515" t="s">
        <v>765</v>
      </c>
      <c r="D26" s="515" t="s">
        <v>766</v>
      </c>
      <c r="E26" s="515" t="s">
        <v>535</v>
      </c>
      <c r="F26" s="516">
        <v>98882</v>
      </c>
      <c r="G26" s="545">
        <v>0.1243315607746641</v>
      </c>
      <c r="H26" s="545">
        <v>12294.153392520337</v>
      </c>
      <c r="I26" s="546" t="s">
        <v>8992</v>
      </c>
      <c r="J26" s="547" t="s">
        <v>541</v>
      </c>
      <c r="K26" s="547" t="s">
        <v>8996</v>
      </c>
      <c r="L26" s="537" t="s">
        <v>541</v>
      </c>
    </row>
    <row r="27" spans="1:12" x14ac:dyDescent="0.2">
      <c r="A27" s="515" t="s">
        <v>747</v>
      </c>
      <c r="B27" s="515" t="s">
        <v>748</v>
      </c>
      <c r="C27" s="515" t="s">
        <v>775</v>
      </c>
      <c r="D27" s="515" t="s">
        <v>7693</v>
      </c>
      <c r="E27" s="515" t="s">
        <v>535</v>
      </c>
      <c r="F27" s="516">
        <v>8450</v>
      </c>
      <c r="G27" s="545">
        <v>2.7142732054286474</v>
      </c>
      <c r="H27" s="545">
        <v>22935.608585872069</v>
      </c>
      <c r="I27" s="546" t="s">
        <v>8992</v>
      </c>
      <c r="J27" s="547" t="s">
        <v>541</v>
      </c>
      <c r="K27" s="547" t="s">
        <v>8996</v>
      </c>
      <c r="L27" s="537" t="s">
        <v>541</v>
      </c>
    </row>
    <row r="28" spans="1:12" x14ac:dyDescent="0.2">
      <c r="A28" s="515" t="s">
        <v>747</v>
      </c>
      <c r="B28" s="515" t="s">
        <v>748</v>
      </c>
      <c r="C28" s="515" t="s">
        <v>7694</v>
      </c>
      <c r="D28" s="515" t="s">
        <v>7695</v>
      </c>
      <c r="E28" s="515" t="s">
        <v>535</v>
      </c>
      <c r="F28" s="516">
        <v>1042</v>
      </c>
      <c r="G28" s="545">
        <v>6.3141038910597755</v>
      </c>
      <c r="H28" s="545">
        <v>6579.2962544842858</v>
      </c>
      <c r="I28" s="546" t="s">
        <v>8992</v>
      </c>
      <c r="J28" s="547" t="s">
        <v>8993</v>
      </c>
      <c r="K28" s="547" t="s">
        <v>8994</v>
      </c>
      <c r="L28" s="537" t="s">
        <v>541</v>
      </c>
    </row>
    <row r="29" spans="1:12" x14ac:dyDescent="0.2">
      <c r="A29" s="515" t="s">
        <v>747</v>
      </c>
      <c r="B29" s="515" t="s">
        <v>748</v>
      </c>
      <c r="C29" s="515" t="s">
        <v>7696</v>
      </c>
      <c r="D29" s="515" t="s">
        <v>7697</v>
      </c>
      <c r="E29" s="515" t="s">
        <v>535</v>
      </c>
      <c r="F29" s="516">
        <v>1104</v>
      </c>
      <c r="G29" s="545">
        <v>5.639100619708219</v>
      </c>
      <c r="H29" s="545">
        <v>6225.567084157874</v>
      </c>
      <c r="I29" s="546" t="s">
        <v>8992</v>
      </c>
      <c r="J29" s="547" t="s">
        <v>8993</v>
      </c>
      <c r="K29" s="547" t="s">
        <v>8994</v>
      </c>
      <c r="L29" s="537" t="s">
        <v>541</v>
      </c>
    </row>
    <row r="30" spans="1:12" x14ac:dyDescent="0.2">
      <c r="A30" s="515" t="s">
        <v>747</v>
      </c>
      <c r="B30" s="515" t="s">
        <v>748</v>
      </c>
      <c r="C30" s="515" t="s">
        <v>675</v>
      </c>
      <c r="D30" s="515" t="s">
        <v>777</v>
      </c>
      <c r="E30" s="515" t="s">
        <v>535</v>
      </c>
      <c r="F30" s="516">
        <v>1036</v>
      </c>
      <c r="G30" s="545">
        <v>6.1099127858658475</v>
      </c>
      <c r="H30" s="545">
        <v>6329.869646157018</v>
      </c>
      <c r="I30" s="546" t="s">
        <v>8992</v>
      </c>
      <c r="J30" s="547" t="s">
        <v>8993</v>
      </c>
      <c r="K30" s="547" t="s">
        <v>8994</v>
      </c>
      <c r="L30" s="537" t="s">
        <v>541</v>
      </c>
    </row>
    <row r="31" spans="1:12" x14ac:dyDescent="0.2">
      <c r="A31" s="515" t="s">
        <v>747</v>
      </c>
      <c r="B31" s="515" t="s">
        <v>748</v>
      </c>
      <c r="C31" s="515" t="s">
        <v>769</v>
      </c>
      <c r="D31" s="515" t="s">
        <v>9000</v>
      </c>
      <c r="E31" s="515" t="s">
        <v>535</v>
      </c>
      <c r="F31" s="516">
        <v>406</v>
      </c>
      <c r="G31" s="545">
        <v>54.277015258012213</v>
      </c>
      <c r="H31" s="545">
        <v>22036.468194752957</v>
      </c>
      <c r="I31" s="546" t="s">
        <v>8992</v>
      </c>
      <c r="J31" s="547" t="s">
        <v>8993</v>
      </c>
      <c r="K31" s="547" t="s">
        <v>9001</v>
      </c>
      <c r="L31" s="537" t="s">
        <v>541</v>
      </c>
    </row>
    <row r="32" spans="1:12" x14ac:dyDescent="0.2">
      <c r="A32" s="515" t="s">
        <v>747</v>
      </c>
      <c r="B32" s="515" t="s">
        <v>748</v>
      </c>
      <c r="C32" s="515" t="s">
        <v>769</v>
      </c>
      <c r="D32" s="515" t="s">
        <v>7701</v>
      </c>
      <c r="E32" s="515" t="s">
        <v>535</v>
      </c>
      <c r="F32" s="516">
        <v>776</v>
      </c>
      <c r="G32" s="545">
        <v>54.277015258012213</v>
      </c>
      <c r="H32" s="545">
        <v>42118.963840217475</v>
      </c>
      <c r="I32" s="546" t="s">
        <v>8992</v>
      </c>
      <c r="J32" s="547" t="s">
        <v>8993</v>
      </c>
      <c r="K32" s="547" t="s">
        <v>9001</v>
      </c>
      <c r="L32" s="537" t="s">
        <v>541</v>
      </c>
    </row>
    <row r="33" spans="1:12" x14ac:dyDescent="0.2">
      <c r="A33" s="515" t="s">
        <v>747</v>
      </c>
      <c r="B33" s="515" t="s">
        <v>748</v>
      </c>
      <c r="C33" s="515" t="s">
        <v>771</v>
      </c>
      <c r="D33" s="515" t="s">
        <v>7702</v>
      </c>
      <c r="E33" s="515" t="s">
        <v>535</v>
      </c>
      <c r="F33" s="516">
        <v>2474</v>
      </c>
      <c r="G33" s="545">
        <v>42.639605245741372</v>
      </c>
      <c r="H33" s="545">
        <v>105490.38337796416</v>
      </c>
      <c r="I33" s="546" t="s">
        <v>8992</v>
      </c>
      <c r="J33" s="547" t="s">
        <v>8993</v>
      </c>
      <c r="K33" s="547" t="s">
        <v>9001</v>
      </c>
      <c r="L33" s="537" t="s">
        <v>541</v>
      </c>
    </row>
    <row r="34" spans="1:12" x14ac:dyDescent="0.2">
      <c r="A34" s="515" t="s">
        <v>747</v>
      </c>
      <c r="B34" s="515" t="s">
        <v>748</v>
      </c>
      <c r="C34" s="515" t="s">
        <v>9002</v>
      </c>
      <c r="D34" s="515" t="s">
        <v>7703</v>
      </c>
      <c r="E34" s="515" t="s">
        <v>535</v>
      </c>
      <c r="F34" s="516">
        <v>41</v>
      </c>
      <c r="G34" s="545">
        <v>42.639605245741372</v>
      </c>
      <c r="H34" s="545">
        <v>1748.2238150753963</v>
      </c>
      <c r="I34" s="546" t="s">
        <v>8992</v>
      </c>
      <c r="J34" s="547" t="s">
        <v>8993</v>
      </c>
      <c r="K34" s="547" t="s">
        <v>9001</v>
      </c>
      <c r="L34" s="537" t="s">
        <v>541</v>
      </c>
    </row>
    <row r="35" spans="1:12" x14ac:dyDescent="0.2">
      <c r="A35" s="515" t="s">
        <v>747</v>
      </c>
      <c r="B35" s="515" t="s">
        <v>781</v>
      </c>
      <c r="C35" s="515" t="s">
        <v>778</v>
      </c>
      <c r="D35" s="515" t="s">
        <v>7690</v>
      </c>
      <c r="E35" s="515" t="s">
        <v>535</v>
      </c>
      <c r="F35" s="516">
        <v>25</v>
      </c>
      <c r="G35" s="545">
        <v>33.640619722298368</v>
      </c>
      <c r="H35" s="545">
        <v>841.01549305745925</v>
      </c>
      <c r="I35" s="546" t="s">
        <v>8992</v>
      </c>
      <c r="J35" s="547" t="s">
        <v>541</v>
      </c>
      <c r="K35" s="547" t="s">
        <v>8996</v>
      </c>
      <c r="L35" s="537" t="s">
        <v>541</v>
      </c>
    </row>
    <row r="36" spans="1:12" x14ac:dyDescent="0.2">
      <c r="A36" s="515" t="s">
        <v>747</v>
      </c>
      <c r="B36" s="515" t="s">
        <v>781</v>
      </c>
      <c r="C36" s="515" t="s">
        <v>763</v>
      </c>
      <c r="D36" s="515" t="s">
        <v>764</v>
      </c>
      <c r="E36" s="515" t="s">
        <v>535</v>
      </c>
      <c r="F36" s="516">
        <v>39.700000000000003</v>
      </c>
      <c r="G36" s="545">
        <v>52.620531216794689</v>
      </c>
      <c r="H36" s="545">
        <v>2089.0350893067493</v>
      </c>
      <c r="I36" s="546" t="s">
        <v>8992</v>
      </c>
      <c r="J36" s="547" t="s">
        <v>541</v>
      </c>
      <c r="K36" s="547" t="s">
        <v>8996</v>
      </c>
      <c r="L36" s="537" t="s">
        <v>541</v>
      </c>
    </row>
    <row r="37" spans="1:12" x14ac:dyDescent="0.2">
      <c r="A37" s="515" t="s">
        <v>747</v>
      </c>
      <c r="B37" s="515" t="s">
        <v>781</v>
      </c>
      <c r="C37" s="515"/>
      <c r="D37" s="515" t="s">
        <v>9004</v>
      </c>
      <c r="E37" s="515" t="s">
        <v>535</v>
      </c>
      <c r="F37" s="516">
        <v>910</v>
      </c>
      <c r="G37" s="545">
        <v>4.2888151613722041</v>
      </c>
      <c r="H37" s="545">
        <v>3902.8217968487056</v>
      </c>
      <c r="I37" s="546" t="s">
        <v>8992</v>
      </c>
      <c r="J37" s="547" t="s">
        <v>8993</v>
      </c>
      <c r="K37" s="547" t="s">
        <v>8994</v>
      </c>
      <c r="L37" s="537" t="s">
        <v>541</v>
      </c>
    </row>
    <row r="38" spans="1:12" x14ac:dyDescent="0.2">
      <c r="A38" s="515" t="s">
        <v>747</v>
      </c>
      <c r="B38" s="515" t="s">
        <v>748</v>
      </c>
      <c r="C38" s="515" t="s">
        <v>759</v>
      </c>
      <c r="D38" s="515" t="s">
        <v>760</v>
      </c>
      <c r="E38" s="515" t="s">
        <v>535</v>
      </c>
      <c r="F38" s="516">
        <v>50</v>
      </c>
      <c r="G38" s="545">
        <v>214.09332923336098</v>
      </c>
      <c r="H38" s="545">
        <v>10704.666461668048</v>
      </c>
      <c r="I38" s="546" t="s">
        <v>8992</v>
      </c>
      <c r="J38" s="547" t="s">
        <v>541</v>
      </c>
      <c r="K38" s="547" t="s">
        <v>8996</v>
      </c>
      <c r="L38" s="537" t="s">
        <v>541</v>
      </c>
    </row>
    <row r="39" spans="1:12" x14ac:dyDescent="0.2">
      <c r="A39" s="547" t="s">
        <v>587</v>
      </c>
      <c r="B39" s="547" t="s">
        <v>591</v>
      </c>
      <c r="C39" s="547" t="s">
        <v>598</v>
      </c>
      <c r="D39" s="547" t="s">
        <v>599</v>
      </c>
      <c r="E39" s="547" t="s">
        <v>535</v>
      </c>
      <c r="F39" s="548">
        <v>12505.6</v>
      </c>
      <c r="G39" s="545">
        <v>7.449205280821972</v>
      </c>
      <c r="H39" s="545">
        <v>93156.781559847252</v>
      </c>
      <c r="I39" s="546" t="s">
        <v>9009</v>
      </c>
      <c r="J39" s="547" t="s">
        <v>536</v>
      </c>
      <c r="K39" s="547" t="s">
        <v>9010</v>
      </c>
      <c r="L39" s="537" t="s">
        <v>536</v>
      </c>
    </row>
    <row r="40" spans="1:12" x14ac:dyDescent="0.2">
      <c r="A40" s="547" t="s">
        <v>587</v>
      </c>
      <c r="B40" s="547" t="s">
        <v>591</v>
      </c>
      <c r="C40" s="547" t="s">
        <v>7424</v>
      </c>
      <c r="D40" s="547" t="s">
        <v>7425</v>
      </c>
      <c r="E40" s="547" t="s">
        <v>535</v>
      </c>
      <c r="F40" s="548">
        <v>2898</v>
      </c>
      <c r="G40" s="545">
        <v>7.3408803923012265</v>
      </c>
      <c r="H40" s="545">
        <v>21273.871376888954</v>
      </c>
      <c r="I40" s="546" t="s">
        <v>9009</v>
      </c>
      <c r="J40" s="547" t="s">
        <v>536</v>
      </c>
      <c r="K40" s="547" t="s">
        <v>9010</v>
      </c>
      <c r="L40" s="537" t="s">
        <v>536</v>
      </c>
    </row>
    <row r="41" spans="1:12" x14ac:dyDescent="0.2">
      <c r="A41" s="547" t="s">
        <v>587</v>
      </c>
      <c r="B41" s="547" t="s">
        <v>591</v>
      </c>
      <c r="C41" s="547" t="s">
        <v>672</v>
      </c>
      <c r="D41" s="547" t="s">
        <v>9646</v>
      </c>
      <c r="E41" s="547" t="s">
        <v>535</v>
      </c>
      <c r="F41" s="549">
        <v>4800</v>
      </c>
      <c r="G41" s="545">
        <v>6.4940517579050558</v>
      </c>
      <c r="H41" s="545">
        <v>31171.448437944269</v>
      </c>
      <c r="I41" s="550" t="s">
        <v>9009</v>
      </c>
      <c r="J41" s="547" t="s">
        <v>9011</v>
      </c>
      <c r="K41" s="547" t="s">
        <v>8994</v>
      </c>
      <c r="L41" s="537" t="s">
        <v>541</v>
      </c>
    </row>
    <row r="42" spans="1:12" x14ac:dyDescent="0.2">
      <c r="A42" s="547" t="s">
        <v>587</v>
      </c>
      <c r="B42" s="547" t="s">
        <v>591</v>
      </c>
      <c r="C42" s="547" t="s">
        <v>675</v>
      </c>
      <c r="D42" s="547" t="s">
        <v>7426</v>
      </c>
      <c r="E42" s="547" t="s">
        <v>535</v>
      </c>
      <c r="F42" s="549">
        <v>11500</v>
      </c>
      <c r="G42" s="545">
        <v>6.1947233793024967</v>
      </c>
      <c r="H42" s="545">
        <v>71239.318861978711</v>
      </c>
      <c r="I42" s="546" t="s">
        <v>9009</v>
      </c>
      <c r="J42" s="547" t="s">
        <v>9011</v>
      </c>
      <c r="K42" s="547" t="s">
        <v>8994</v>
      </c>
      <c r="L42" s="537" t="s">
        <v>541</v>
      </c>
    </row>
    <row r="43" spans="1:12" x14ac:dyDescent="0.2">
      <c r="A43" s="547" t="s">
        <v>587</v>
      </c>
      <c r="B43" s="547" t="s">
        <v>591</v>
      </c>
      <c r="C43" s="547" t="s">
        <v>677</v>
      </c>
      <c r="D43" s="547" t="s">
        <v>7427</v>
      </c>
      <c r="E43" s="547" t="s">
        <v>535</v>
      </c>
      <c r="F43" s="549">
        <v>12500</v>
      </c>
      <c r="G43" s="545">
        <v>6.0948458178326259</v>
      </c>
      <c r="H43" s="545">
        <v>76185.572722907818</v>
      </c>
      <c r="I43" s="546" t="s">
        <v>9009</v>
      </c>
      <c r="J43" s="547" t="s">
        <v>9011</v>
      </c>
      <c r="K43" s="547" t="s">
        <v>8994</v>
      </c>
      <c r="L43" s="537" t="s">
        <v>541</v>
      </c>
    </row>
    <row r="44" spans="1:12" x14ac:dyDescent="0.2">
      <c r="A44" s="547" t="s">
        <v>587</v>
      </c>
      <c r="B44" s="547" t="s">
        <v>591</v>
      </c>
      <c r="C44" s="547" t="s">
        <v>7408</v>
      </c>
      <c r="D44" s="547" t="s">
        <v>7429</v>
      </c>
      <c r="E44" s="547" t="s">
        <v>535</v>
      </c>
      <c r="F44" s="551">
        <v>25780</v>
      </c>
      <c r="G44" s="545">
        <v>7.4127739116593805</v>
      </c>
      <c r="H44" s="545">
        <v>191101.31144257882</v>
      </c>
      <c r="I44" s="546" t="s">
        <v>9009</v>
      </c>
      <c r="J44" s="547" t="s">
        <v>536</v>
      </c>
      <c r="K44" s="547" t="s">
        <v>9010</v>
      </c>
      <c r="L44" s="537" t="s">
        <v>541</v>
      </c>
    </row>
    <row r="45" spans="1:12" x14ac:dyDescent="0.2">
      <c r="A45" s="547" t="s">
        <v>587</v>
      </c>
      <c r="B45" s="547" t="s">
        <v>591</v>
      </c>
      <c r="C45" s="547" t="s">
        <v>7422</v>
      </c>
      <c r="D45" s="547" t="s">
        <v>7430</v>
      </c>
      <c r="E45" s="547" t="s">
        <v>535</v>
      </c>
      <c r="F45" s="551">
        <v>41548.199999999997</v>
      </c>
      <c r="G45" s="545">
        <v>7.4420407775387227</v>
      </c>
      <c r="H45" s="545">
        <v>309203.39863333432</v>
      </c>
      <c r="I45" s="546" t="s">
        <v>9009</v>
      </c>
      <c r="J45" s="547" t="s">
        <v>536</v>
      </c>
      <c r="K45" s="547" t="s">
        <v>9010</v>
      </c>
      <c r="L45" s="537" t="s">
        <v>541</v>
      </c>
    </row>
    <row r="46" spans="1:12" x14ac:dyDescent="0.2">
      <c r="A46" s="547" t="s">
        <v>587</v>
      </c>
      <c r="B46" s="547" t="s">
        <v>591</v>
      </c>
      <c r="C46" s="547" t="s">
        <v>7431</v>
      </c>
      <c r="D46" s="547" t="s">
        <v>7432</v>
      </c>
      <c r="E46" s="547" t="s">
        <v>535</v>
      </c>
      <c r="F46" s="552">
        <v>3000</v>
      </c>
      <c r="G46" s="545">
        <v>6.8292631106061528</v>
      </c>
      <c r="H46" s="545">
        <v>20487.789331818458</v>
      </c>
      <c r="I46" s="546" t="s">
        <v>9009</v>
      </c>
      <c r="J46" s="547" t="s">
        <v>536</v>
      </c>
      <c r="K46" s="547" t="s">
        <v>9010</v>
      </c>
      <c r="L46" s="537" t="s">
        <v>541</v>
      </c>
    </row>
    <row r="47" spans="1:12" x14ac:dyDescent="0.2">
      <c r="A47" s="547" t="s">
        <v>587</v>
      </c>
      <c r="B47" s="547" t="s">
        <v>591</v>
      </c>
      <c r="C47" s="547" t="s">
        <v>539</v>
      </c>
      <c r="D47" s="547" t="s">
        <v>749</v>
      </c>
      <c r="E47" s="547" t="s">
        <v>535</v>
      </c>
      <c r="F47" s="549">
        <v>500</v>
      </c>
      <c r="G47" s="545">
        <v>6.3141038910597755</v>
      </c>
      <c r="H47" s="545">
        <v>3157.0519455298877</v>
      </c>
      <c r="I47" s="546" t="s">
        <v>9009</v>
      </c>
      <c r="J47" s="547" t="s">
        <v>9011</v>
      </c>
      <c r="K47" s="547" t="s">
        <v>8994</v>
      </c>
      <c r="L47" s="537" t="s">
        <v>541</v>
      </c>
    </row>
    <row r="48" spans="1:12" x14ac:dyDescent="0.2">
      <c r="A48" s="547" t="s">
        <v>587</v>
      </c>
      <c r="B48" s="547" t="s">
        <v>591</v>
      </c>
      <c r="C48" s="547" t="s">
        <v>600</v>
      </c>
      <c r="D48" s="547" t="s">
        <v>601</v>
      </c>
      <c r="E48" s="547" t="s">
        <v>535</v>
      </c>
      <c r="F48" s="548">
        <v>56.879999999999995</v>
      </c>
      <c r="G48" s="545">
        <v>7.4710374702688611</v>
      </c>
      <c r="H48" s="545">
        <v>424.95261130889281</v>
      </c>
      <c r="I48" s="546" t="s">
        <v>9009</v>
      </c>
      <c r="J48" s="547" t="s">
        <v>9013</v>
      </c>
      <c r="K48" s="547" t="s">
        <v>9014</v>
      </c>
      <c r="L48" s="537" t="s">
        <v>541</v>
      </c>
    </row>
    <row r="49" spans="1:13" x14ac:dyDescent="0.2">
      <c r="A49" s="547" t="s">
        <v>587</v>
      </c>
      <c r="B49" s="547" t="s">
        <v>591</v>
      </c>
      <c r="C49" s="547" t="s">
        <v>622</v>
      </c>
      <c r="D49" s="547" t="s">
        <v>623</v>
      </c>
      <c r="E49" s="547" t="s">
        <v>535</v>
      </c>
      <c r="F49" s="548">
        <v>185.4</v>
      </c>
      <c r="G49" s="545">
        <v>7.421391560100254</v>
      </c>
      <c r="H49" s="545">
        <v>1375.9259952425871</v>
      </c>
      <c r="I49" s="546" t="s">
        <v>9009</v>
      </c>
      <c r="J49" s="547" t="s">
        <v>9013</v>
      </c>
      <c r="K49" s="547" t="s">
        <v>9014</v>
      </c>
      <c r="L49" s="537" t="s">
        <v>541</v>
      </c>
    </row>
    <row r="50" spans="1:13" x14ac:dyDescent="0.2">
      <c r="A50" s="547" t="s">
        <v>587</v>
      </c>
      <c r="B50" s="547" t="s">
        <v>591</v>
      </c>
      <c r="C50" s="547" t="s">
        <v>7464</v>
      </c>
      <c r="D50" s="547" t="s">
        <v>7465</v>
      </c>
      <c r="E50" s="547" t="s">
        <v>535</v>
      </c>
      <c r="F50" s="548">
        <v>596</v>
      </c>
      <c r="G50" s="545">
        <v>8.4029636771717744</v>
      </c>
      <c r="H50" s="545">
        <v>5008.1663515943774</v>
      </c>
      <c r="I50" s="546" t="s">
        <v>9009</v>
      </c>
      <c r="J50" s="547" t="s">
        <v>9013</v>
      </c>
      <c r="K50" s="547" t="s">
        <v>9014</v>
      </c>
      <c r="L50" s="537" t="s">
        <v>541</v>
      </c>
    </row>
    <row r="51" spans="1:13" x14ac:dyDescent="0.2">
      <c r="A51" s="547" t="s">
        <v>587</v>
      </c>
      <c r="B51" s="547" t="s">
        <v>591</v>
      </c>
      <c r="C51" s="547" t="s">
        <v>9041</v>
      </c>
      <c r="D51" s="547" t="s">
        <v>9045</v>
      </c>
      <c r="E51" s="547" t="s">
        <v>535</v>
      </c>
      <c r="F51" s="551">
        <v>730</v>
      </c>
      <c r="G51" s="545">
        <v>7.3930071495839798</v>
      </c>
      <c r="H51" s="545">
        <v>5396.8952191963053</v>
      </c>
      <c r="I51" s="546" t="s">
        <v>9009</v>
      </c>
      <c r="J51" s="547" t="s">
        <v>536</v>
      </c>
      <c r="K51" s="547" t="s">
        <v>9010</v>
      </c>
      <c r="L51" s="537" t="s">
        <v>541</v>
      </c>
    </row>
    <row r="52" spans="1:13" x14ac:dyDescent="0.2">
      <c r="A52" s="547" t="s">
        <v>587</v>
      </c>
      <c r="B52" s="547" t="s">
        <v>591</v>
      </c>
      <c r="C52" s="547" t="s">
        <v>7412</v>
      </c>
      <c r="D52" s="547" t="s">
        <v>538</v>
      </c>
      <c r="E52" s="547" t="s">
        <v>535</v>
      </c>
      <c r="F52" s="551">
        <v>1700.0000000000002</v>
      </c>
      <c r="G52" s="545">
        <v>7.4184099269603552</v>
      </c>
      <c r="H52" s="545">
        <v>12611.296875832606</v>
      </c>
      <c r="I52" s="546" t="s">
        <v>9009</v>
      </c>
      <c r="J52" s="547" t="s">
        <v>536</v>
      </c>
      <c r="K52" s="547" t="s">
        <v>9010</v>
      </c>
      <c r="L52" s="537" t="s">
        <v>536</v>
      </c>
    </row>
    <row r="53" spans="1:13" x14ac:dyDescent="0.2">
      <c r="A53" s="547" t="s">
        <v>587</v>
      </c>
      <c r="B53" s="547" t="s">
        <v>591</v>
      </c>
      <c r="C53" s="547" t="s">
        <v>7410</v>
      </c>
      <c r="D53" s="547" t="s">
        <v>9088</v>
      </c>
      <c r="E53" s="547" t="s">
        <v>535</v>
      </c>
      <c r="F53" s="551">
        <v>2980</v>
      </c>
      <c r="G53" s="545">
        <v>7.3617335712088465</v>
      </c>
      <c r="H53" s="545">
        <v>21937.966042202363</v>
      </c>
      <c r="I53" s="546" t="s">
        <v>9009</v>
      </c>
      <c r="J53" s="547" t="s">
        <v>536</v>
      </c>
      <c r="K53" s="547" t="s">
        <v>9010</v>
      </c>
      <c r="L53" s="537" t="s">
        <v>536</v>
      </c>
    </row>
    <row r="54" spans="1:13" x14ac:dyDescent="0.2">
      <c r="A54" s="553" t="s">
        <v>747</v>
      </c>
      <c r="B54" s="547" t="s">
        <v>588</v>
      </c>
      <c r="C54" s="547"/>
      <c r="D54" s="547" t="s">
        <v>9089</v>
      </c>
      <c r="E54" s="547" t="s">
        <v>535</v>
      </c>
      <c r="F54" s="548">
        <v>16535</v>
      </c>
      <c r="G54" s="545">
        <v>6.1947233793024967</v>
      </c>
      <c r="H54" s="545">
        <v>102429.75107676678</v>
      </c>
      <c r="I54" s="546" t="s">
        <v>9009</v>
      </c>
      <c r="J54" s="547" t="s">
        <v>9011</v>
      </c>
      <c r="K54" s="547" t="s">
        <v>8994</v>
      </c>
      <c r="L54" s="537" t="s">
        <v>541</v>
      </c>
    </row>
    <row r="55" spans="1:13" x14ac:dyDescent="0.2">
      <c r="A55" s="547" t="s">
        <v>747</v>
      </c>
      <c r="B55" s="547" t="s">
        <v>588</v>
      </c>
      <c r="C55" s="547"/>
      <c r="D55" s="547" t="s">
        <v>9535</v>
      </c>
      <c r="E55" s="547" t="s">
        <v>535</v>
      </c>
      <c r="F55" s="548">
        <v>3691</v>
      </c>
      <c r="G55" s="545">
        <v>4.0761528340373578</v>
      </c>
      <c r="H55" s="545">
        <v>15045.080110431887</v>
      </c>
      <c r="I55" s="546" t="s">
        <v>9009</v>
      </c>
      <c r="J55" s="547" t="s">
        <v>9011</v>
      </c>
      <c r="K55" s="547" t="s">
        <v>8994</v>
      </c>
      <c r="L55" s="537" t="s">
        <v>541</v>
      </c>
    </row>
    <row r="56" spans="1:13" x14ac:dyDescent="0.2">
      <c r="A56" s="547" t="s">
        <v>747</v>
      </c>
      <c r="B56" s="547" t="s">
        <v>588</v>
      </c>
      <c r="C56" s="547"/>
      <c r="D56" s="547" t="s">
        <v>9132</v>
      </c>
      <c r="E56" s="547" t="s">
        <v>535</v>
      </c>
      <c r="F56" s="548">
        <v>3046</v>
      </c>
      <c r="G56" s="545">
        <v>2.2000000000000002</v>
      </c>
      <c r="H56" s="545">
        <v>6701.2000000000007</v>
      </c>
      <c r="I56" s="546" t="s">
        <v>9009</v>
      </c>
      <c r="J56" s="547" t="s">
        <v>9011</v>
      </c>
      <c r="K56" s="547" t="s">
        <v>8996</v>
      </c>
      <c r="L56" s="537" t="s">
        <v>541</v>
      </c>
    </row>
    <row r="57" spans="1:13" x14ac:dyDescent="0.2">
      <c r="A57" s="547" t="s">
        <v>587</v>
      </c>
      <c r="B57" s="547" t="s">
        <v>588</v>
      </c>
      <c r="C57" s="547" t="s">
        <v>642</v>
      </c>
      <c r="D57" s="547" t="s">
        <v>643</v>
      </c>
      <c r="E57" s="547" t="s">
        <v>639</v>
      </c>
      <c r="F57" s="552">
        <v>37280</v>
      </c>
      <c r="G57" s="545">
        <v>0.17960028418424487</v>
      </c>
      <c r="H57" s="545">
        <v>6695.4985943886486</v>
      </c>
      <c r="I57" s="546" t="s">
        <v>9009</v>
      </c>
      <c r="J57" s="547" t="s">
        <v>9011</v>
      </c>
      <c r="K57" s="547" t="s">
        <v>9038</v>
      </c>
      <c r="L57" s="537" t="s">
        <v>541</v>
      </c>
    </row>
    <row r="58" spans="1:13" x14ac:dyDescent="0.2">
      <c r="A58" s="547" t="s">
        <v>587</v>
      </c>
      <c r="B58" s="547" t="s">
        <v>588</v>
      </c>
      <c r="C58" s="547" t="s">
        <v>637</v>
      </c>
      <c r="D58" s="547" t="s">
        <v>638</v>
      </c>
      <c r="E58" s="547" t="s">
        <v>639</v>
      </c>
      <c r="F58" s="552">
        <v>618160</v>
      </c>
      <c r="G58" s="545">
        <v>0.17261068236144589</v>
      </c>
      <c r="H58" s="545">
        <v>106701.01940855139</v>
      </c>
      <c r="I58" s="546" t="s">
        <v>9009</v>
      </c>
      <c r="J58" s="547" t="s">
        <v>9011</v>
      </c>
      <c r="K58" s="547" t="s">
        <v>9038</v>
      </c>
      <c r="L58" s="537" t="s">
        <v>541</v>
      </c>
    </row>
    <row r="59" spans="1:13" x14ac:dyDescent="0.2">
      <c r="A59" s="547" t="s">
        <v>587</v>
      </c>
      <c r="B59" s="547" t="s">
        <v>588</v>
      </c>
      <c r="C59" s="547" t="s">
        <v>713</v>
      </c>
      <c r="D59" s="547" t="s">
        <v>714</v>
      </c>
      <c r="E59" s="547" t="s">
        <v>639</v>
      </c>
      <c r="F59" s="552">
        <v>52320</v>
      </c>
      <c r="G59" s="545">
        <v>0.15580064491637435</v>
      </c>
      <c r="H59" s="545">
        <v>8151.4897420247062</v>
      </c>
      <c r="I59" s="546" t="s">
        <v>9009</v>
      </c>
      <c r="J59" s="547" t="s">
        <v>9011</v>
      </c>
      <c r="K59" s="547" t="s">
        <v>9038</v>
      </c>
      <c r="L59" s="537" t="s">
        <v>541</v>
      </c>
    </row>
    <row r="60" spans="1:13" x14ac:dyDescent="0.2">
      <c r="A60" s="547" t="s">
        <v>587</v>
      </c>
      <c r="B60" s="547" t="s">
        <v>588</v>
      </c>
      <c r="C60" s="547" t="s">
        <v>640</v>
      </c>
      <c r="D60" s="547" t="s">
        <v>641</v>
      </c>
      <c r="E60" s="547" t="s">
        <v>639</v>
      </c>
      <c r="F60" s="552">
        <v>411520</v>
      </c>
      <c r="G60" s="545">
        <v>0.17268881474205081</v>
      </c>
      <c r="H60" s="545">
        <v>71064.901042648751</v>
      </c>
      <c r="I60" s="546" t="s">
        <v>9009</v>
      </c>
      <c r="J60" s="547" t="s">
        <v>9011</v>
      </c>
      <c r="K60" s="547" t="s">
        <v>9038</v>
      </c>
      <c r="L60" s="537" t="s">
        <v>541</v>
      </c>
    </row>
    <row r="61" spans="1:13" x14ac:dyDescent="0.2">
      <c r="A61" s="578" t="s">
        <v>587</v>
      </c>
      <c r="B61" s="578" t="s">
        <v>588</v>
      </c>
      <c r="C61" s="578" t="s">
        <v>736</v>
      </c>
      <c r="D61" s="578" t="s">
        <v>7447</v>
      </c>
      <c r="E61" s="578" t="s">
        <v>639</v>
      </c>
      <c r="F61" s="549">
        <v>251544</v>
      </c>
      <c r="G61" s="579">
        <v>0.13900000000000001</v>
      </c>
      <c r="H61" s="579">
        <v>34964.616000000002</v>
      </c>
      <c r="I61" s="580" t="s">
        <v>9009</v>
      </c>
      <c r="J61" s="578" t="s">
        <v>9011</v>
      </c>
      <c r="K61" s="578" t="s">
        <v>9038</v>
      </c>
      <c r="L61" s="591" t="s">
        <v>541</v>
      </c>
      <c r="M61" s="581" t="s">
        <v>9647</v>
      </c>
    </row>
    <row r="62" spans="1:13" x14ac:dyDescent="0.2">
      <c r="A62" s="547" t="s">
        <v>587</v>
      </c>
      <c r="B62" s="547" t="s">
        <v>588</v>
      </c>
      <c r="C62" s="547" t="s">
        <v>715</v>
      </c>
      <c r="D62" s="547" t="s">
        <v>716</v>
      </c>
      <c r="E62" s="547" t="s">
        <v>639</v>
      </c>
      <c r="F62" s="552">
        <v>52960</v>
      </c>
      <c r="G62" s="545">
        <v>1.1673196483156583</v>
      </c>
      <c r="H62" s="545">
        <v>61821.248574797261</v>
      </c>
      <c r="I62" s="546" t="s">
        <v>9009</v>
      </c>
      <c r="J62" s="547" t="s">
        <v>9011</v>
      </c>
      <c r="K62" s="547" t="s">
        <v>9038</v>
      </c>
      <c r="L62" s="537" t="s">
        <v>541</v>
      </c>
    </row>
    <row r="63" spans="1:13" x14ac:dyDescent="0.2">
      <c r="A63" s="547" t="s">
        <v>587</v>
      </c>
      <c r="B63" s="547" t="s">
        <v>588</v>
      </c>
      <c r="C63" s="547" t="s">
        <v>717</v>
      </c>
      <c r="D63" s="547" t="s">
        <v>718</v>
      </c>
      <c r="E63" s="547" t="s">
        <v>639</v>
      </c>
      <c r="F63" s="552">
        <v>36948</v>
      </c>
      <c r="G63" s="545">
        <v>1.1673196483156583</v>
      </c>
      <c r="H63" s="545">
        <v>43130.126365966942</v>
      </c>
      <c r="I63" s="546" t="s">
        <v>9009</v>
      </c>
      <c r="J63" s="547" t="s">
        <v>9011</v>
      </c>
      <c r="K63" s="547" t="s">
        <v>9038</v>
      </c>
      <c r="L63" s="537" t="s">
        <v>541</v>
      </c>
    </row>
    <row r="64" spans="1:13" x14ac:dyDescent="0.2">
      <c r="A64" s="547" t="s">
        <v>587</v>
      </c>
      <c r="B64" s="547" t="s">
        <v>588</v>
      </c>
      <c r="C64" s="547" t="s">
        <v>666</v>
      </c>
      <c r="D64" s="547" t="s">
        <v>667</v>
      </c>
      <c r="E64" s="547" t="s">
        <v>535</v>
      </c>
      <c r="F64" s="552">
        <v>160</v>
      </c>
      <c r="G64" s="545">
        <v>14.447026627672727</v>
      </c>
      <c r="H64" s="545">
        <v>2311.5242604276364</v>
      </c>
      <c r="I64" s="546" t="s">
        <v>9009</v>
      </c>
      <c r="J64" s="547" t="s">
        <v>9011</v>
      </c>
      <c r="K64" s="547" t="s">
        <v>8996</v>
      </c>
      <c r="L64" s="537" t="s">
        <v>541</v>
      </c>
    </row>
    <row r="65" spans="1:13" x14ac:dyDescent="0.2">
      <c r="A65" s="547" t="s">
        <v>587</v>
      </c>
      <c r="B65" s="547" t="s">
        <v>588</v>
      </c>
      <c r="C65" s="547" t="s">
        <v>668</v>
      </c>
      <c r="D65" s="547" t="s">
        <v>669</v>
      </c>
      <c r="E65" s="547" t="s">
        <v>535</v>
      </c>
      <c r="F65" s="552">
        <v>640</v>
      </c>
      <c r="G65" s="545">
        <v>13.541652250000004</v>
      </c>
      <c r="H65" s="545">
        <v>8666.6574400000027</v>
      </c>
      <c r="I65" s="546" t="s">
        <v>9009</v>
      </c>
      <c r="J65" s="547" t="s">
        <v>9011</v>
      </c>
      <c r="K65" s="547" t="s">
        <v>8996</v>
      </c>
      <c r="L65" s="537" t="s">
        <v>541</v>
      </c>
    </row>
    <row r="66" spans="1:13" x14ac:dyDescent="0.2">
      <c r="A66" s="547" t="s">
        <v>587</v>
      </c>
      <c r="B66" s="547" t="s">
        <v>588</v>
      </c>
      <c r="C66" s="547" t="s">
        <v>721</v>
      </c>
      <c r="D66" s="547" t="s">
        <v>722</v>
      </c>
      <c r="E66" s="547" t="s">
        <v>535</v>
      </c>
      <c r="F66" s="552">
        <v>5020</v>
      </c>
      <c r="G66" s="545">
        <v>15.308191433220287</v>
      </c>
      <c r="H66" s="545">
        <v>76847.120994765835</v>
      </c>
      <c r="I66" s="546" t="s">
        <v>9009</v>
      </c>
      <c r="J66" s="547" t="s">
        <v>9011</v>
      </c>
      <c r="K66" s="547" t="s">
        <v>8996</v>
      </c>
      <c r="L66" s="537" t="s">
        <v>541</v>
      </c>
    </row>
    <row r="67" spans="1:13" x14ac:dyDescent="0.2">
      <c r="A67" s="547" t="s">
        <v>587</v>
      </c>
      <c r="B67" s="547" t="s">
        <v>588</v>
      </c>
      <c r="C67" s="547" t="s">
        <v>725</v>
      </c>
      <c r="D67" s="547" t="s">
        <v>726</v>
      </c>
      <c r="E67" s="547" t="s">
        <v>535</v>
      </c>
      <c r="F67" s="552">
        <v>9200</v>
      </c>
      <c r="G67" s="545">
        <v>13.594315293010286</v>
      </c>
      <c r="H67" s="545">
        <v>125067.70069569463</v>
      </c>
      <c r="I67" s="546" t="s">
        <v>9009</v>
      </c>
      <c r="J67" s="547" t="s">
        <v>9011</v>
      </c>
      <c r="K67" s="547" t="s">
        <v>8996</v>
      </c>
      <c r="L67" s="537" t="s">
        <v>541</v>
      </c>
    </row>
    <row r="68" spans="1:13" x14ac:dyDescent="0.2">
      <c r="A68" s="547" t="s">
        <v>587</v>
      </c>
      <c r="B68" s="547" t="s">
        <v>588</v>
      </c>
      <c r="C68" s="547"/>
      <c r="D68" s="547" t="s">
        <v>738</v>
      </c>
      <c r="E68" s="547" t="s">
        <v>535</v>
      </c>
      <c r="F68" s="552">
        <v>2027</v>
      </c>
      <c r="G68" s="545">
        <v>14.477203179506267</v>
      </c>
      <c r="H68" s="545">
        <v>29345.290844859202</v>
      </c>
      <c r="I68" s="546" t="s">
        <v>9009</v>
      </c>
      <c r="J68" s="547" t="s">
        <v>9011</v>
      </c>
      <c r="K68" s="547" t="s">
        <v>8996</v>
      </c>
      <c r="L68" s="537" t="s">
        <v>541</v>
      </c>
    </row>
    <row r="69" spans="1:13" x14ac:dyDescent="0.2">
      <c r="A69" s="578" t="s">
        <v>587</v>
      </c>
      <c r="B69" s="578" t="s">
        <v>588</v>
      </c>
      <c r="C69" s="578" t="s">
        <v>727</v>
      </c>
      <c r="D69" s="578" t="s">
        <v>728</v>
      </c>
      <c r="E69" s="578" t="s">
        <v>535</v>
      </c>
      <c r="F69" s="549">
        <v>3100</v>
      </c>
      <c r="G69" s="579">
        <v>13.827783737305175</v>
      </c>
      <c r="H69" s="579">
        <v>42866.129585645998</v>
      </c>
      <c r="I69" s="580" t="s">
        <v>9009</v>
      </c>
      <c r="J69" s="578" t="s">
        <v>9011</v>
      </c>
      <c r="K69" s="578" t="s">
        <v>8996</v>
      </c>
      <c r="L69" s="591" t="s">
        <v>541</v>
      </c>
      <c r="M69" s="581" t="s">
        <v>9647</v>
      </c>
    </row>
    <row r="70" spans="1:13" x14ac:dyDescent="0.2">
      <c r="A70" s="547" t="s">
        <v>587</v>
      </c>
      <c r="B70" s="547" t="s">
        <v>588</v>
      </c>
      <c r="C70" s="547" t="s">
        <v>589</v>
      </c>
      <c r="D70" s="547" t="s">
        <v>590</v>
      </c>
      <c r="E70" s="547" t="s">
        <v>535</v>
      </c>
      <c r="F70" s="552">
        <v>125</v>
      </c>
      <c r="G70" s="545">
        <v>12.59525825408878</v>
      </c>
      <c r="H70" s="545">
        <v>1574.4072817610975</v>
      </c>
      <c r="I70" s="546" t="s">
        <v>9009</v>
      </c>
      <c r="J70" s="547" t="s">
        <v>9011</v>
      </c>
      <c r="K70" s="547" t="s">
        <v>8996</v>
      </c>
      <c r="L70" s="537" t="s">
        <v>541</v>
      </c>
    </row>
    <row r="71" spans="1:13" x14ac:dyDescent="0.2">
      <c r="A71" s="547" t="s">
        <v>587</v>
      </c>
      <c r="B71" s="547" t="s">
        <v>588</v>
      </c>
      <c r="C71" s="547" t="s">
        <v>644</v>
      </c>
      <c r="D71" s="547" t="s">
        <v>645</v>
      </c>
      <c r="E71" s="547" t="s">
        <v>545</v>
      </c>
      <c r="F71" s="552">
        <v>4204</v>
      </c>
      <c r="G71" s="545">
        <v>0.9110590188837957</v>
      </c>
      <c r="H71" s="545">
        <v>3830.092115387477</v>
      </c>
      <c r="I71" s="546" t="s">
        <v>9009</v>
      </c>
      <c r="J71" s="547" t="s">
        <v>9011</v>
      </c>
      <c r="K71" s="547" t="s">
        <v>8996</v>
      </c>
      <c r="L71" s="537" t="s">
        <v>541</v>
      </c>
    </row>
    <row r="72" spans="1:13" x14ac:dyDescent="0.2">
      <c r="A72" s="547" t="s">
        <v>587</v>
      </c>
      <c r="B72" s="547" t="s">
        <v>588</v>
      </c>
      <c r="C72" s="547" t="s">
        <v>646</v>
      </c>
      <c r="D72" s="547" t="s">
        <v>647</v>
      </c>
      <c r="E72" s="547" t="s">
        <v>545</v>
      </c>
      <c r="F72" s="552">
        <v>1140</v>
      </c>
      <c r="G72" s="545">
        <v>1.2732299853104208</v>
      </c>
      <c r="H72" s="545">
        <v>1451.4821832538796</v>
      </c>
      <c r="I72" s="546" t="s">
        <v>9009</v>
      </c>
      <c r="J72" s="547" t="s">
        <v>9011</v>
      </c>
      <c r="K72" s="547" t="s">
        <v>8996</v>
      </c>
      <c r="L72" s="537" t="s">
        <v>541</v>
      </c>
    </row>
    <row r="73" spans="1:13" x14ac:dyDescent="0.2">
      <c r="A73" s="547" t="s">
        <v>587</v>
      </c>
      <c r="B73" s="547" t="s">
        <v>588</v>
      </c>
      <c r="C73" s="547" t="s">
        <v>648</v>
      </c>
      <c r="D73" s="547" t="s">
        <v>649</v>
      </c>
      <c r="E73" s="547" t="s">
        <v>545</v>
      </c>
      <c r="F73" s="552">
        <v>5342</v>
      </c>
      <c r="G73" s="545">
        <v>1.1599999999999999</v>
      </c>
      <c r="H73" s="545">
        <v>6196.7199999999993</v>
      </c>
      <c r="I73" s="546" t="s">
        <v>9009</v>
      </c>
      <c r="J73" s="547" t="s">
        <v>9011</v>
      </c>
      <c r="K73" s="547" t="s">
        <v>8996</v>
      </c>
      <c r="L73" s="537" t="s">
        <v>541</v>
      </c>
    </row>
    <row r="74" spans="1:13" x14ac:dyDescent="0.2">
      <c r="A74" s="547" t="s">
        <v>587</v>
      </c>
      <c r="B74" s="547" t="s">
        <v>588</v>
      </c>
      <c r="C74" s="547" t="s">
        <v>650</v>
      </c>
      <c r="D74" s="547" t="s">
        <v>651</v>
      </c>
      <c r="E74" s="547" t="s">
        <v>545</v>
      </c>
      <c r="F74" s="552">
        <v>4073</v>
      </c>
      <c r="G74" s="545">
        <v>1.5528073028453109</v>
      </c>
      <c r="H74" s="545">
        <v>6324.5841444889511</v>
      </c>
      <c r="I74" s="546" t="s">
        <v>9009</v>
      </c>
      <c r="J74" s="547" t="s">
        <v>9011</v>
      </c>
      <c r="K74" s="547" t="s">
        <v>8996</v>
      </c>
      <c r="L74" s="537" t="s">
        <v>541</v>
      </c>
    </row>
    <row r="75" spans="1:13" x14ac:dyDescent="0.2">
      <c r="A75" s="547" t="s">
        <v>587</v>
      </c>
      <c r="B75" s="547" t="s">
        <v>588</v>
      </c>
      <c r="C75" s="547" t="s">
        <v>652</v>
      </c>
      <c r="D75" s="547" t="s">
        <v>653</v>
      </c>
      <c r="E75" s="547" t="s">
        <v>545</v>
      </c>
      <c r="F75" s="552">
        <v>10189</v>
      </c>
      <c r="G75" s="545">
        <v>1.9902010856751384</v>
      </c>
      <c r="H75" s="545">
        <v>20278.158861943986</v>
      </c>
      <c r="I75" s="546" t="s">
        <v>9009</v>
      </c>
      <c r="J75" s="547" t="s">
        <v>9011</v>
      </c>
      <c r="K75" s="547" t="s">
        <v>8996</v>
      </c>
      <c r="L75" s="537" t="s">
        <v>541</v>
      </c>
    </row>
    <row r="76" spans="1:13" x14ac:dyDescent="0.2">
      <c r="A76" s="547" t="s">
        <v>587</v>
      </c>
      <c r="B76" s="547" t="s">
        <v>588</v>
      </c>
      <c r="C76" s="547" t="s">
        <v>654</v>
      </c>
      <c r="D76" s="547" t="s">
        <v>655</v>
      </c>
      <c r="E76" s="547" t="s">
        <v>545</v>
      </c>
      <c r="F76" s="552">
        <v>5437</v>
      </c>
      <c r="G76" s="545">
        <v>2.0631118638677806</v>
      </c>
      <c r="H76" s="545">
        <v>11217.139203849123</v>
      </c>
      <c r="I76" s="546" t="s">
        <v>9009</v>
      </c>
      <c r="J76" s="547" t="s">
        <v>9011</v>
      </c>
      <c r="K76" s="547" t="s">
        <v>8996</v>
      </c>
      <c r="L76" s="537" t="s">
        <v>541</v>
      </c>
    </row>
    <row r="77" spans="1:13" x14ac:dyDescent="0.2">
      <c r="A77" s="547" t="s">
        <v>587</v>
      </c>
      <c r="B77" s="547" t="s">
        <v>588</v>
      </c>
      <c r="C77" s="547" t="s">
        <v>656</v>
      </c>
      <c r="D77" s="547" t="s">
        <v>657</v>
      </c>
      <c r="E77" s="547" t="s">
        <v>545</v>
      </c>
      <c r="F77" s="552">
        <v>5424</v>
      </c>
      <c r="G77" s="545">
        <v>2.5473276361234856</v>
      </c>
      <c r="H77" s="545">
        <v>13816.705098333785</v>
      </c>
      <c r="I77" s="546" t="s">
        <v>9009</v>
      </c>
      <c r="J77" s="547" t="s">
        <v>9011</v>
      </c>
      <c r="K77" s="547" t="s">
        <v>8996</v>
      </c>
      <c r="L77" s="537" t="s">
        <v>541</v>
      </c>
    </row>
    <row r="78" spans="1:13" x14ac:dyDescent="0.2">
      <c r="A78" s="547" t="s">
        <v>587</v>
      </c>
      <c r="B78" s="547" t="s">
        <v>588</v>
      </c>
      <c r="C78" s="547"/>
      <c r="D78" s="547" t="s">
        <v>671</v>
      </c>
      <c r="E78" s="547" t="s">
        <v>535</v>
      </c>
      <c r="F78" s="552">
        <v>17</v>
      </c>
      <c r="G78" s="545">
        <v>0</v>
      </c>
      <c r="H78" s="545">
        <v>0</v>
      </c>
      <c r="I78" s="546" t="s">
        <v>9009</v>
      </c>
      <c r="J78" s="547" t="s">
        <v>9147</v>
      </c>
      <c r="K78" s="547" t="s">
        <v>8996</v>
      </c>
      <c r="L78" s="537" t="s">
        <v>541</v>
      </c>
    </row>
    <row r="79" spans="1:13" x14ac:dyDescent="0.2">
      <c r="A79" s="547" t="s">
        <v>587</v>
      </c>
      <c r="B79" s="547" t="s">
        <v>588</v>
      </c>
      <c r="C79" s="547" t="s">
        <v>723</v>
      </c>
      <c r="D79" s="547" t="s">
        <v>724</v>
      </c>
      <c r="E79" s="547" t="s">
        <v>535</v>
      </c>
      <c r="F79" s="552">
        <v>130</v>
      </c>
      <c r="G79" s="545">
        <v>26.512264150943395</v>
      </c>
      <c r="H79" s="545">
        <v>3446.5943396226412</v>
      </c>
      <c r="I79" s="546" t="s">
        <v>9009</v>
      </c>
      <c r="J79" s="547" t="s">
        <v>9147</v>
      </c>
      <c r="K79" s="547" t="s">
        <v>8996</v>
      </c>
      <c r="L79" s="537" t="s">
        <v>541</v>
      </c>
    </row>
    <row r="80" spans="1:13" x14ac:dyDescent="0.2">
      <c r="A80" s="547" t="s">
        <v>587</v>
      </c>
      <c r="B80" s="547" t="s">
        <v>588</v>
      </c>
      <c r="C80" s="547" t="s">
        <v>662</v>
      </c>
      <c r="D80" s="547" t="s">
        <v>663</v>
      </c>
      <c r="E80" s="547" t="s">
        <v>535</v>
      </c>
      <c r="F80" s="552">
        <v>11.200000000000003</v>
      </c>
      <c r="G80" s="545">
        <v>4.9006256153924221</v>
      </c>
      <c r="H80" s="545">
        <v>54.887006892395142</v>
      </c>
      <c r="I80" s="546" t="s">
        <v>9009</v>
      </c>
      <c r="J80" s="547" t="s">
        <v>9201</v>
      </c>
      <c r="K80" s="547" t="s">
        <v>8996</v>
      </c>
      <c r="L80" s="537" t="s">
        <v>541</v>
      </c>
    </row>
    <row r="81" spans="1:12" x14ac:dyDescent="0.2">
      <c r="A81" s="547" t="s">
        <v>587</v>
      </c>
      <c r="B81" s="547" t="s">
        <v>588</v>
      </c>
      <c r="C81" s="547" t="s">
        <v>734</v>
      </c>
      <c r="D81" s="547" t="s">
        <v>735</v>
      </c>
      <c r="E81" s="547" t="s">
        <v>545</v>
      </c>
      <c r="F81" s="552">
        <v>140</v>
      </c>
      <c r="G81" s="545">
        <v>0.2525</v>
      </c>
      <c r="H81" s="545">
        <v>35.35</v>
      </c>
      <c r="I81" s="546" t="s">
        <v>9009</v>
      </c>
      <c r="J81" s="547" t="s">
        <v>9147</v>
      </c>
      <c r="K81" s="547" t="s">
        <v>8996</v>
      </c>
      <c r="L81" s="537" t="s">
        <v>541</v>
      </c>
    </row>
    <row r="82" spans="1:12" x14ac:dyDescent="0.2">
      <c r="A82" s="547" t="s">
        <v>587</v>
      </c>
      <c r="B82" s="547" t="s">
        <v>588</v>
      </c>
      <c r="C82" s="547" t="s">
        <v>658</v>
      </c>
      <c r="D82" s="547" t="s">
        <v>7679</v>
      </c>
      <c r="E82" s="547" t="s">
        <v>545</v>
      </c>
      <c r="F82" s="552">
        <v>3000</v>
      </c>
      <c r="G82" s="545">
        <v>0.19110291891891892</v>
      </c>
      <c r="H82" s="545">
        <v>573.30875675675679</v>
      </c>
      <c r="I82" s="546" t="s">
        <v>9009</v>
      </c>
      <c r="J82" s="547" t="s">
        <v>9147</v>
      </c>
      <c r="K82" s="547" t="s">
        <v>8996</v>
      </c>
      <c r="L82" s="537" t="s">
        <v>541</v>
      </c>
    </row>
    <row r="83" spans="1:12" x14ac:dyDescent="0.2">
      <c r="A83" s="547" t="s">
        <v>587</v>
      </c>
      <c r="B83" s="547" t="s">
        <v>588</v>
      </c>
      <c r="C83" s="547" t="s">
        <v>682</v>
      </c>
      <c r="D83" s="547" t="s">
        <v>683</v>
      </c>
      <c r="E83" s="547" t="s">
        <v>545</v>
      </c>
      <c r="F83" s="552">
        <v>5000</v>
      </c>
      <c r="G83" s="545">
        <v>0.20200000000000001</v>
      </c>
      <c r="H83" s="545">
        <v>1010.0000000000001</v>
      </c>
      <c r="I83" s="546" t="s">
        <v>9009</v>
      </c>
      <c r="J83" s="547" t="s">
        <v>9147</v>
      </c>
      <c r="K83" s="547" t="s">
        <v>8996</v>
      </c>
      <c r="L83" s="537" t="s">
        <v>541</v>
      </c>
    </row>
    <row r="84" spans="1:12" x14ac:dyDescent="0.2">
      <c r="A84" s="547" t="s">
        <v>587</v>
      </c>
      <c r="B84" s="547" t="s">
        <v>588</v>
      </c>
      <c r="C84" s="547" t="s">
        <v>660</v>
      </c>
      <c r="D84" s="547" t="s">
        <v>661</v>
      </c>
      <c r="E84" s="547" t="s">
        <v>545</v>
      </c>
      <c r="F84" s="552">
        <v>3000</v>
      </c>
      <c r="G84" s="545">
        <v>0.20165972222222223</v>
      </c>
      <c r="H84" s="545">
        <v>604.97916666666663</v>
      </c>
      <c r="I84" s="546" t="s">
        <v>9009</v>
      </c>
      <c r="J84" s="547" t="s">
        <v>9147</v>
      </c>
      <c r="K84" s="547" t="s">
        <v>8996</v>
      </c>
      <c r="L84" s="537" t="s">
        <v>541</v>
      </c>
    </row>
    <row r="85" spans="1:12" x14ac:dyDescent="0.2">
      <c r="A85" s="547" t="s">
        <v>587</v>
      </c>
      <c r="B85" s="547" t="s">
        <v>588</v>
      </c>
      <c r="C85" s="547" t="s">
        <v>664</v>
      </c>
      <c r="D85" s="547" t="s">
        <v>665</v>
      </c>
      <c r="E85" s="547" t="s">
        <v>545</v>
      </c>
      <c r="F85" s="552">
        <v>60</v>
      </c>
      <c r="G85" s="545">
        <v>3.2738407209731339</v>
      </c>
      <c r="H85" s="545">
        <v>196.43044325838804</v>
      </c>
      <c r="I85" s="546" t="s">
        <v>9009</v>
      </c>
      <c r="J85" s="547" t="s">
        <v>9147</v>
      </c>
      <c r="K85" s="547" t="s">
        <v>8996</v>
      </c>
      <c r="L85" s="537" t="s">
        <v>541</v>
      </c>
    </row>
    <row r="86" spans="1:12" x14ac:dyDescent="0.2">
      <c r="A86" s="547" t="s">
        <v>587</v>
      </c>
      <c r="B86" s="547" t="s">
        <v>588</v>
      </c>
      <c r="C86" s="547" t="s">
        <v>688</v>
      </c>
      <c r="D86" s="547" t="s">
        <v>689</v>
      </c>
      <c r="E86" s="547" t="s">
        <v>545</v>
      </c>
      <c r="F86" s="552">
        <v>8</v>
      </c>
      <c r="G86" s="545">
        <v>352.43900000000002</v>
      </c>
      <c r="H86" s="545">
        <v>2819.5120000000002</v>
      </c>
      <c r="I86" s="546" t="s">
        <v>9009</v>
      </c>
      <c r="J86" s="547" t="s">
        <v>9147</v>
      </c>
      <c r="K86" s="547" t="s">
        <v>8996</v>
      </c>
      <c r="L86" s="537" t="s">
        <v>541</v>
      </c>
    </row>
    <row r="87" spans="1:12" x14ac:dyDescent="0.2">
      <c r="A87" s="547" t="s">
        <v>587</v>
      </c>
      <c r="B87" s="547" t="s">
        <v>588</v>
      </c>
      <c r="C87" s="547" t="s">
        <v>680</v>
      </c>
      <c r="D87" s="547" t="s">
        <v>681</v>
      </c>
      <c r="E87" s="547" t="s">
        <v>545</v>
      </c>
      <c r="F87" s="552">
        <v>33</v>
      </c>
      <c r="G87" s="545">
        <v>5.4087843099460295</v>
      </c>
      <c r="H87" s="545">
        <v>178.48988222821899</v>
      </c>
      <c r="I87" s="546" t="s">
        <v>9009</v>
      </c>
      <c r="J87" s="547" t="s">
        <v>9147</v>
      </c>
      <c r="K87" s="547" t="s">
        <v>8996</v>
      </c>
      <c r="L87" s="537" t="s">
        <v>541</v>
      </c>
    </row>
    <row r="88" spans="1:12" x14ac:dyDescent="0.2">
      <c r="A88" s="547" t="s">
        <v>587</v>
      </c>
      <c r="B88" s="547" t="s">
        <v>588</v>
      </c>
      <c r="C88" s="547" t="s">
        <v>700</v>
      </c>
      <c r="D88" s="547" t="s">
        <v>701</v>
      </c>
      <c r="E88" s="547" t="s">
        <v>545</v>
      </c>
      <c r="F88" s="552">
        <v>2</v>
      </c>
      <c r="G88" s="545">
        <v>30.505706430295458</v>
      </c>
      <c r="H88" s="545">
        <v>61.011412860590916</v>
      </c>
      <c r="I88" s="546" t="s">
        <v>9009</v>
      </c>
      <c r="J88" s="547" t="s">
        <v>9147</v>
      </c>
      <c r="K88" s="547" t="s">
        <v>8996</v>
      </c>
      <c r="L88" s="537" t="s">
        <v>541</v>
      </c>
    </row>
    <row r="89" spans="1:12" x14ac:dyDescent="0.2">
      <c r="A89" s="547" t="s">
        <v>587</v>
      </c>
      <c r="B89" s="547" t="s">
        <v>588</v>
      </c>
      <c r="C89" s="547" t="s">
        <v>729</v>
      </c>
      <c r="D89" s="547" t="s">
        <v>730</v>
      </c>
      <c r="E89" s="547" t="s">
        <v>545</v>
      </c>
      <c r="F89" s="552">
        <v>100</v>
      </c>
      <c r="G89" s="545">
        <v>109.33333333333331</v>
      </c>
      <c r="H89" s="545">
        <v>10933.333333333332</v>
      </c>
      <c r="I89" s="546" t="s">
        <v>9009</v>
      </c>
      <c r="J89" s="547" t="s">
        <v>9201</v>
      </c>
      <c r="K89" s="547" t="s">
        <v>8996</v>
      </c>
      <c r="L89" s="537" t="s">
        <v>541</v>
      </c>
    </row>
    <row r="90" spans="1:12" x14ac:dyDescent="0.2">
      <c r="A90" s="547" t="s">
        <v>587</v>
      </c>
      <c r="B90" s="547" t="s">
        <v>588</v>
      </c>
      <c r="C90" s="547" t="s">
        <v>731</v>
      </c>
      <c r="D90" s="547" t="s">
        <v>732</v>
      </c>
      <c r="E90" s="547" t="s">
        <v>545</v>
      </c>
      <c r="F90" s="552">
        <v>1</v>
      </c>
      <c r="G90" s="545">
        <v>153.66428571428574</v>
      </c>
      <c r="H90" s="545">
        <v>153.66428571428574</v>
      </c>
      <c r="I90" s="546" t="s">
        <v>9009</v>
      </c>
      <c r="J90" s="547" t="s">
        <v>9201</v>
      </c>
      <c r="K90" s="547" t="s">
        <v>8996</v>
      </c>
      <c r="L90" s="537" t="s">
        <v>541</v>
      </c>
    </row>
    <row r="91" spans="1:12" x14ac:dyDescent="0.2">
      <c r="A91" s="547" t="s">
        <v>587</v>
      </c>
      <c r="B91" s="547" t="s">
        <v>588</v>
      </c>
      <c r="C91" s="547"/>
      <c r="D91" s="547" t="s">
        <v>733</v>
      </c>
      <c r="E91" s="547" t="s">
        <v>535</v>
      </c>
      <c r="F91" s="552">
        <v>110</v>
      </c>
      <c r="G91" s="545">
        <v>0</v>
      </c>
      <c r="H91" s="545">
        <v>0</v>
      </c>
      <c r="I91" s="546" t="s">
        <v>9009</v>
      </c>
      <c r="J91" s="547" t="s">
        <v>9147</v>
      </c>
      <c r="K91" s="547" t="s">
        <v>8996</v>
      </c>
      <c r="L91" s="537" t="s">
        <v>541</v>
      </c>
    </row>
    <row r="92" spans="1:12" x14ac:dyDescent="0.2">
      <c r="A92" s="547" t="s">
        <v>587</v>
      </c>
      <c r="B92" s="547" t="s">
        <v>588</v>
      </c>
      <c r="C92" s="547"/>
      <c r="D92" s="547" t="s">
        <v>7680</v>
      </c>
      <c r="E92" s="547" t="s">
        <v>535</v>
      </c>
      <c r="F92" s="552">
        <v>225</v>
      </c>
      <c r="G92" s="545">
        <v>0</v>
      </c>
      <c r="H92" s="545">
        <v>0</v>
      </c>
      <c r="I92" s="546" t="s">
        <v>9009</v>
      </c>
      <c r="J92" s="547" t="s">
        <v>9147</v>
      </c>
      <c r="K92" s="547" t="s">
        <v>8996</v>
      </c>
      <c r="L92" s="537" t="s">
        <v>541</v>
      </c>
    </row>
    <row r="93" spans="1:12" x14ac:dyDescent="0.2">
      <c r="A93" s="547" t="s">
        <v>587</v>
      </c>
      <c r="B93" s="547" t="s">
        <v>588</v>
      </c>
      <c r="C93" s="547" t="s">
        <v>719</v>
      </c>
      <c r="D93" s="547" t="s">
        <v>720</v>
      </c>
      <c r="E93" s="547" t="s">
        <v>545</v>
      </c>
      <c r="F93" s="552">
        <v>161600</v>
      </c>
      <c r="G93" s="545">
        <v>0.21457018061935432</v>
      </c>
      <c r="H93" s="545">
        <v>34674.541188087656</v>
      </c>
      <c r="I93" s="546" t="s">
        <v>9009</v>
      </c>
      <c r="J93" s="547" t="s">
        <v>9011</v>
      </c>
      <c r="K93" s="547" t="s">
        <v>8996</v>
      </c>
      <c r="L93" s="537" t="s">
        <v>541</v>
      </c>
    </row>
    <row r="94" spans="1:12" x14ac:dyDescent="0.2">
      <c r="A94" s="547" t="s">
        <v>587</v>
      </c>
      <c r="B94" s="547" t="s">
        <v>588</v>
      </c>
      <c r="C94" s="547" t="s">
        <v>736</v>
      </c>
      <c r="D94" s="547" t="s">
        <v>737</v>
      </c>
      <c r="E94" s="547" t="s">
        <v>639</v>
      </c>
      <c r="F94" s="554">
        <v>79296</v>
      </c>
      <c r="G94" s="545">
        <v>0.13900000000000001</v>
      </c>
      <c r="H94" s="545">
        <v>11022.144</v>
      </c>
      <c r="I94" s="546" t="s">
        <v>9009</v>
      </c>
      <c r="J94" s="547" t="s">
        <v>9011</v>
      </c>
      <c r="K94" s="547" t="s">
        <v>9038</v>
      </c>
      <c r="L94" s="537" t="s">
        <v>541</v>
      </c>
    </row>
    <row r="95" spans="1:12" x14ac:dyDescent="0.2">
      <c r="A95" s="547" t="s">
        <v>587</v>
      </c>
      <c r="B95" s="547" t="s">
        <v>588</v>
      </c>
      <c r="C95" s="547" t="s">
        <v>1117</v>
      </c>
      <c r="D95" s="547" t="s">
        <v>7681</v>
      </c>
      <c r="E95" s="547" t="s">
        <v>545</v>
      </c>
      <c r="F95" s="552">
        <v>12325</v>
      </c>
      <c r="G95" s="545">
        <v>0.65004816140349075</v>
      </c>
      <c r="H95" s="545">
        <v>8011.8435892980233</v>
      </c>
      <c r="I95" s="546" t="s">
        <v>9009</v>
      </c>
      <c r="J95" s="547" t="s">
        <v>9011</v>
      </c>
      <c r="K95" s="547" t="s">
        <v>8996</v>
      </c>
      <c r="L95" s="537" t="s">
        <v>541</v>
      </c>
    </row>
    <row r="96" spans="1:12" x14ac:dyDescent="0.2">
      <c r="A96" s="547" t="s">
        <v>587</v>
      </c>
      <c r="B96" s="547" t="s">
        <v>588</v>
      </c>
      <c r="C96" s="547" t="s">
        <v>739</v>
      </c>
      <c r="D96" s="547" t="s">
        <v>7682</v>
      </c>
      <c r="E96" s="547" t="s">
        <v>545</v>
      </c>
      <c r="F96" s="552">
        <v>10528</v>
      </c>
      <c r="G96" s="545">
        <v>1.0414720120690593</v>
      </c>
      <c r="H96" s="545">
        <v>10964.617343063055</v>
      </c>
      <c r="I96" s="546" t="s">
        <v>9009</v>
      </c>
      <c r="J96" s="547" t="s">
        <v>9011</v>
      </c>
      <c r="K96" s="547" t="s">
        <v>8996</v>
      </c>
      <c r="L96" s="537" t="s">
        <v>541</v>
      </c>
    </row>
    <row r="97" spans="1:12" x14ac:dyDescent="0.2">
      <c r="A97" s="547" t="s">
        <v>587</v>
      </c>
      <c r="B97" s="547" t="s">
        <v>588</v>
      </c>
      <c r="C97" s="547" t="s">
        <v>1120</v>
      </c>
      <c r="D97" s="547" t="s">
        <v>7683</v>
      </c>
      <c r="E97" s="547" t="s">
        <v>545</v>
      </c>
      <c r="F97" s="552">
        <v>5376</v>
      </c>
      <c r="G97" s="545">
        <v>1.4600870270368946</v>
      </c>
      <c r="H97" s="545">
        <v>7849.4278573503452</v>
      </c>
      <c r="I97" s="546" t="s">
        <v>9009</v>
      </c>
      <c r="J97" s="547" t="s">
        <v>9011</v>
      </c>
      <c r="K97" s="547" t="s">
        <v>8996</v>
      </c>
      <c r="L97" s="537" t="s">
        <v>541</v>
      </c>
    </row>
    <row r="98" spans="1:12" x14ac:dyDescent="0.2">
      <c r="A98" s="547" t="s">
        <v>587</v>
      </c>
      <c r="B98" s="547" t="s">
        <v>588</v>
      </c>
      <c r="C98" s="547" t="s">
        <v>743</v>
      </c>
      <c r="D98" s="547" t="s">
        <v>7749</v>
      </c>
      <c r="E98" s="547" t="s">
        <v>545</v>
      </c>
      <c r="F98" s="552">
        <v>12850</v>
      </c>
      <c r="G98" s="545">
        <v>0.50519924585659148</v>
      </c>
      <c r="H98" s="545">
        <v>6491.810309257201</v>
      </c>
      <c r="I98" s="546" t="s">
        <v>9009</v>
      </c>
      <c r="J98" s="547" t="s">
        <v>9011</v>
      </c>
      <c r="K98" s="547" t="s">
        <v>8996</v>
      </c>
      <c r="L98" s="537" t="s">
        <v>541</v>
      </c>
    </row>
    <row r="99" spans="1:12" x14ac:dyDescent="0.2">
      <c r="A99" s="547" t="s">
        <v>587</v>
      </c>
      <c r="B99" s="547" t="s">
        <v>588</v>
      </c>
      <c r="C99" s="547" t="s">
        <v>745</v>
      </c>
      <c r="D99" s="547" t="s">
        <v>7684</v>
      </c>
      <c r="E99" s="547" t="s">
        <v>545</v>
      </c>
      <c r="F99" s="552">
        <v>16313</v>
      </c>
      <c r="G99" s="545">
        <v>0.60196053975898778</v>
      </c>
      <c r="H99" s="545">
        <v>9819.7822850883676</v>
      </c>
      <c r="I99" s="546" t="s">
        <v>9009</v>
      </c>
      <c r="J99" s="547" t="s">
        <v>9011</v>
      </c>
      <c r="K99" s="547" t="s">
        <v>8996</v>
      </c>
      <c r="L99" s="537" t="s">
        <v>541</v>
      </c>
    </row>
    <row r="100" spans="1:12" x14ac:dyDescent="0.2">
      <c r="A100" s="547" t="s">
        <v>587</v>
      </c>
      <c r="B100" s="547" t="s">
        <v>588</v>
      </c>
      <c r="C100" s="547"/>
      <c r="D100" s="547" t="s">
        <v>9215</v>
      </c>
      <c r="E100" s="547" t="s">
        <v>545</v>
      </c>
      <c r="F100" s="552">
        <v>100</v>
      </c>
      <c r="G100" s="545">
        <v>12.023999999999999</v>
      </c>
      <c r="H100" s="545">
        <v>1202.3999999999999</v>
      </c>
      <c r="I100" s="546" t="s">
        <v>9009</v>
      </c>
      <c r="J100" s="547" t="s">
        <v>9147</v>
      </c>
      <c r="K100" s="547" t="s">
        <v>8996</v>
      </c>
      <c r="L100" s="537" t="s">
        <v>541</v>
      </c>
    </row>
    <row r="101" spans="1:12" x14ac:dyDescent="0.2">
      <c r="A101" s="547" t="s">
        <v>587</v>
      </c>
      <c r="B101" s="547" t="s">
        <v>588</v>
      </c>
      <c r="C101" s="547" t="s">
        <v>1797</v>
      </c>
      <c r="D101" s="547" t="s">
        <v>9216</v>
      </c>
      <c r="E101" s="547" t="s">
        <v>545</v>
      </c>
      <c r="F101" s="552">
        <v>200</v>
      </c>
      <c r="G101" s="545">
        <v>12.024027149321267</v>
      </c>
      <c r="H101" s="545">
        <v>2404.8054298642533</v>
      </c>
      <c r="I101" s="546" t="s">
        <v>9009</v>
      </c>
      <c r="J101" s="547" t="s">
        <v>9147</v>
      </c>
      <c r="K101" s="547" t="s">
        <v>8996</v>
      </c>
      <c r="L101" s="537" t="s">
        <v>541</v>
      </c>
    </row>
    <row r="102" spans="1:12" x14ac:dyDescent="0.2">
      <c r="A102" s="547" t="s">
        <v>587</v>
      </c>
      <c r="B102" s="547" t="s">
        <v>591</v>
      </c>
      <c r="C102" s="547" t="s">
        <v>602</v>
      </c>
      <c r="D102" s="547" t="s">
        <v>603</v>
      </c>
      <c r="E102" s="547" t="s">
        <v>535</v>
      </c>
      <c r="F102" s="548">
        <v>145.19999999999999</v>
      </c>
      <c r="G102" s="545">
        <v>7.0485055291013108</v>
      </c>
      <c r="H102" s="545">
        <v>1023.4430028255102</v>
      </c>
      <c r="I102" s="546" t="s">
        <v>9009</v>
      </c>
      <c r="J102" s="547" t="s">
        <v>9013</v>
      </c>
      <c r="K102" s="547" t="s">
        <v>9014</v>
      </c>
      <c r="L102" s="537" t="s">
        <v>536</v>
      </c>
    </row>
    <row r="103" spans="1:12" x14ac:dyDescent="0.2">
      <c r="A103" s="547" t="s">
        <v>587</v>
      </c>
      <c r="B103" s="547" t="s">
        <v>591</v>
      </c>
      <c r="C103" s="547" t="s">
        <v>604</v>
      </c>
      <c r="D103" s="547" t="s">
        <v>605</v>
      </c>
      <c r="E103" s="547" t="s">
        <v>535</v>
      </c>
      <c r="F103" s="548">
        <v>53.3</v>
      </c>
      <c r="G103" s="545">
        <v>7.4597273456662458</v>
      </c>
      <c r="H103" s="545">
        <v>397.60346752401091</v>
      </c>
      <c r="I103" s="546" t="s">
        <v>9009</v>
      </c>
      <c r="J103" s="547" t="s">
        <v>9013</v>
      </c>
      <c r="K103" s="547" t="s">
        <v>9014</v>
      </c>
      <c r="L103" s="537" t="s">
        <v>536</v>
      </c>
    </row>
    <row r="104" spans="1:12" x14ac:dyDescent="0.2">
      <c r="A104" s="547" t="s">
        <v>587</v>
      </c>
      <c r="B104" s="547" t="s">
        <v>591</v>
      </c>
      <c r="C104" s="547" t="s">
        <v>606</v>
      </c>
      <c r="D104" s="547" t="s">
        <v>607</v>
      </c>
      <c r="E104" s="547" t="s">
        <v>535</v>
      </c>
      <c r="F104" s="548">
        <v>849.02599999999995</v>
      </c>
      <c r="G104" s="545">
        <v>7.7544167830568647</v>
      </c>
      <c r="H104" s="545">
        <v>6583.7014636516369</v>
      </c>
      <c r="I104" s="546" t="s">
        <v>9009</v>
      </c>
      <c r="J104" s="547" t="s">
        <v>9013</v>
      </c>
      <c r="K104" s="547" t="s">
        <v>9014</v>
      </c>
      <c r="L104" s="537" t="s">
        <v>536</v>
      </c>
    </row>
    <row r="105" spans="1:12" x14ac:dyDescent="0.2">
      <c r="A105" s="547" t="s">
        <v>587</v>
      </c>
      <c r="B105" s="547" t="s">
        <v>591</v>
      </c>
      <c r="C105" s="547" t="s">
        <v>608</v>
      </c>
      <c r="D105" s="547" t="s">
        <v>609</v>
      </c>
      <c r="E105" s="547" t="s">
        <v>535</v>
      </c>
      <c r="F105" s="548">
        <v>121.2</v>
      </c>
      <c r="G105" s="545">
        <v>8.4769598691220054</v>
      </c>
      <c r="H105" s="545">
        <v>1027.4075361375872</v>
      </c>
      <c r="I105" s="546" t="s">
        <v>9009</v>
      </c>
      <c r="J105" s="547" t="s">
        <v>9013</v>
      </c>
      <c r="K105" s="547" t="s">
        <v>9014</v>
      </c>
      <c r="L105" s="537" t="s">
        <v>536</v>
      </c>
    </row>
    <row r="106" spans="1:12" x14ac:dyDescent="0.2">
      <c r="A106" s="547" t="s">
        <v>587</v>
      </c>
      <c r="B106" s="547" t="s">
        <v>591</v>
      </c>
      <c r="C106" s="547" t="s">
        <v>610</v>
      </c>
      <c r="D106" s="547" t="s">
        <v>611</v>
      </c>
      <c r="E106" s="547" t="s">
        <v>535</v>
      </c>
      <c r="F106" s="548">
        <v>16.716000000000001</v>
      </c>
      <c r="G106" s="545">
        <v>7.456365273215118</v>
      </c>
      <c r="H106" s="545">
        <v>124.64060190706392</v>
      </c>
      <c r="I106" s="546" t="s">
        <v>9009</v>
      </c>
      <c r="J106" s="547" t="s">
        <v>9013</v>
      </c>
      <c r="K106" s="547" t="s">
        <v>9014</v>
      </c>
      <c r="L106" s="537" t="s">
        <v>536</v>
      </c>
    </row>
    <row r="107" spans="1:12" x14ac:dyDescent="0.2">
      <c r="A107" s="547" t="s">
        <v>587</v>
      </c>
      <c r="B107" s="547" t="s">
        <v>591</v>
      </c>
      <c r="C107" s="547" t="s">
        <v>612</v>
      </c>
      <c r="D107" s="547" t="s">
        <v>613</v>
      </c>
      <c r="E107" s="547" t="s">
        <v>535</v>
      </c>
      <c r="F107" s="548">
        <v>65.994</v>
      </c>
      <c r="G107" s="545">
        <v>7.2346773919839906</v>
      </c>
      <c r="H107" s="545">
        <v>477.44529980659149</v>
      </c>
      <c r="I107" s="546" t="s">
        <v>9009</v>
      </c>
      <c r="J107" s="547" t="s">
        <v>9013</v>
      </c>
      <c r="K107" s="547" t="s">
        <v>9010</v>
      </c>
      <c r="L107" s="537" t="s">
        <v>536</v>
      </c>
    </row>
    <row r="108" spans="1:12" x14ac:dyDescent="0.2">
      <c r="A108" s="547" t="s">
        <v>587</v>
      </c>
      <c r="B108" s="547" t="s">
        <v>591</v>
      </c>
      <c r="C108" s="547" t="s">
        <v>614</v>
      </c>
      <c r="D108" s="547" t="s">
        <v>615</v>
      </c>
      <c r="E108" s="547" t="s">
        <v>535</v>
      </c>
      <c r="F108" s="548">
        <v>352.65999999999997</v>
      </c>
      <c r="G108" s="545">
        <v>8.8391259371829669</v>
      </c>
      <c r="H108" s="545">
        <v>3117.206153006945</v>
      </c>
      <c r="I108" s="546" t="s">
        <v>9009</v>
      </c>
      <c r="J108" s="547" t="s">
        <v>9013</v>
      </c>
      <c r="K108" s="547" t="s">
        <v>9014</v>
      </c>
      <c r="L108" s="537" t="s">
        <v>536</v>
      </c>
    </row>
    <row r="109" spans="1:12" x14ac:dyDescent="0.2">
      <c r="A109" s="547" t="s">
        <v>587</v>
      </c>
      <c r="B109" s="547" t="s">
        <v>591</v>
      </c>
      <c r="C109" s="547" t="s">
        <v>618</v>
      </c>
      <c r="D109" s="547" t="s">
        <v>619</v>
      </c>
      <c r="E109" s="547" t="s">
        <v>535</v>
      </c>
      <c r="F109" s="548">
        <v>238.76</v>
      </c>
      <c r="G109" s="545">
        <v>7.4253484164325663</v>
      </c>
      <c r="H109" s="545">
        <v>1772.8761879074395</v>
      </c>
      <c r="I109" s="546" t="s">
        <v>9009</v>
      </c>
      <c r="J109" s="547" t="s">
        <v>9013</v>
      </c>
      <c r="K109" s="547" t="s">
        <v>9014</v>
      </c>
      <c r="L109" s="537" t="s">
        <v>536</v>
      </c>
    </row>
    <row r="110" spans="1:12" x14ac:dyDescent="0.2">
      <c r="A110" s="547" t="s">
        <v>587</v>
      </c>
      <c r="B110" s="547" t="s">
        <v>591</v>
      </c>
      <c r="C110" s="547" t="s">
        <v>624</v>
      </c>
      <c r="D110" s="547" t="s">
        <v>625</v>
      </c>
      <c r="E110" s="547" t="s">
        <v>535</v>
      </c>
      <c r="F110" s="548">
        <v>188.1</v>
      </c>
      <c r="G110" s="545">
        <v>7.4209478247389118</v>
      </c>
      <c r="H110" s="545">
        <v>1395.8802858333893</v>
      </c>
      <c r="I110" s="546" t="s">
        <v>9009</v>
      </c>
      <c r="J110" s="547" t="s">
        <v>9013</v>
      </c>
      <c r="K110" s="547" t="s">
        <v>9014</v>
      </c>
      <c r="L110" s="537" t="s">
        <v>536</v>
      </c>
    </row>
    <row r="111" spans="1:12" x14ac:dyDescent="0.2">
      <c r="A111" s="547" t="s">
        <v>587</v>
      </c>
      <c r="B111" s="547" t="s">
        <v>591</v>
      </c>
      <c r="C111" s="547" t="s">
        <v>626</v>
      </c>
      <c r="D111" s="547" t="s">
        <v>627</v>
      </c>
      <c r="E111" s="547" t="s">
        <v>535</v>
      </c>
      <c r="F111" s="548">
        <v>255.99</v>
      </c>
      <c r="G111" s="545">
        <v>7.4935420431253537</v>
      </c>
      <c r="H111" s="545">
        <v>1918.2718276196595</v>
      </c>
      <c r="I111" s="546" t="s">
        <v>9009</v>
      </c>
      <c r="J111" s="547" t="s">
        <v>9013</v>
      </c>
      <c r="K111" s="547" t="s">
        <v>9014</v>
      </c>
      <c r="L111" s="537" t="s">
        <v>536</v>
      </c>
    </row>
    <row r="112" spans="1:12" x14ac:dyDescent="0.2">
      <c r="A112" s="547" t="s">
        <v>587</v>
      </c>
      <c r="B112" s="547" t="s">
        <v>591</v>
      </c>
      <c r="C112" s="547" t="s">
        <v>628</v>
      </c>
      <c r="D112" s="547" t="s">
        <v>629</v>
      </c>
      <c r="E112" s="547" t="s">
        <v>535</v>
      </c>
      <c r="F112" s="548">
        <v>38.74</v>
      </c>
      <c r="G112" s="545">
        <v>8.0632541509475111</v>
      </c>
      <c r="H112" s="545">
        <v>312.37046580770658</v>
      </c>
      <c r="I112" s="546" t="s">
        <v>9009</v>
      </c>
      <c r="J112" s="547" t="s">
        <v>9013</v>
      </c>
      <c r="K112" s="547" t="s">
        <v>9014</v>
      </c>
      <c r="L112" s="537" t="s">
        <v>536</v>
      </c>
    </row>
    <row r="113" spans="1:12" x14ac:dyDescent="0.2">
      <c r="A113" s="547" t="s">
        <v>587</v>
      </c>
      <c r="B113" s="547" t="s">
        <v>591</v>
      </c>
      <c r="C113" s="547" t="s">
        <v>630</v>
      </c>
      <c r="D113" s="547" t="s">
        <v>631</v>
      </c>
      <c r="E113" s="547" t="s">
        <v>535</v>
      </c>
      <c r="F113" s="548">
        <v>40.020000000000003</v>
      </c>
      <c r="G113" s="545">
        <v>7.1336770756969887</v>
      </c>
      <c r="H113" s="545">
        <v>285.48975656939353</v>
      </c>
      <c r="I113" s="546" t="s">
        <v>9009</v>
      </c>
      <c r="J113" s="547" t="s">
        <v>9013</v>
      </c>
      <c r="K113" s="547" t="s">
        <v>9014</v>
      </c>
      <c r="L113" s="537" t="s">
        <v>536</v>
      </c>
    </row>
    <row r="114" spans="1:12" x14ac:dyDescent="0.2">
      <c r="A114" s="547" t="s">
        <v>587</v>
      </c>
      <c r="B114" s="547" t="s">
        <v>591</v>
      </c>
      <c r="C114" s="547" t="s">
        <v>632</v>
      </c>
      <c r="D114" s="547" t="s">
        <v>633</v>
      </c>
      <c r="E114" s="547" t="s">
        <v>535</v>
      </c>
      <c r="F114" s="548">
        <v>698.99200000000008</v>
      </c>
      <c r="G114" s="545">
        <v>8.3070030131974235</v>
      </c>
      <c r="H114" s="545">
        <v>5806.5286502008939</v>
      </c>
      <c r="I114" s="546" t="s">
        <v>9009</v>
      </c>
      <c r="J114" s="547" t="s">
        <v>9013</v>
      </c>
      <c r="K114" s="547" t="s">
        <v>9014</v>
      </c>
      <c r="L114" s="537" t="s">
        <v>536</v>
      </c>
    </row>
    <row r="115" spans="1:12" x14ac:dyDescent="0.2">
      <c r="A115" s="547" t="s">
        <v>587</v>
      </c>
      <c r="B115" s="547" t="s">
        <v>591</v>
      </c>
      <c r="C115" s="547" t="s">
        <v>634</v>
      </c>
      <c r="D115" s="547" t="s">
        <v>635</v>
      </c>
      <c r="E115" s="547" t="s">
        <v>535</v>
      </c>
      <c r="F115" s="548">
        <v>189.7</v>
      </c>
      <c r="G115" s="545">
        <v>8.370490004042308</v>
      </c>
      <c r="H115" s="545">
        <v>1587.8819537668257</v>
      </c>
      <c r="I115" s="546" t="s">
        <v>9009</v>
      </c>
      <c r="J115" s="547" t="s">
        <v>9013</v>
      </c>
      <c r="K115" s="547" t="s">
        <v>9014</v>
      </c>
      <c r="L115" s="537" t="s">
        <v>536</v>
      </c>
    </row>
    <row r="116" spans="1:12" x14ac:dyDescent="0.2">
      <c r="A116" s="547" t="s">
        <v>587</v>
      </c>
      <c r="B116" s="547" t="s">
        <v>591</v>
      </c>
      <c r="C116" s="547" t="s">
        <v>690</v>
      </c>
      <c r="D116" s="547" t="s">
        <v>691</v>
      </c>
      <c r="E116" s="547" t="s">
        <v>535</v>
      </c>
      <c r="F116" s="548">
        <v>126.35999999999999</v>
      </c>
      <c r="G116" s="545">
        <v>8.2738020600404418</v>
      </c>
      <c r="H116" s="545">
        <v>1045.4776283067101</v>
      </c>
      <c r="I116" s="546" t="s">
        <v>9009</v>
      </c>
      <c r="J116" s="547" t="s">
        <v>9013</v>
      </c>
      <c r="K116" s="547" t="s">
        <v>9010</v>
      </c>
      <c r="L116" s="537" t="s">
        <v>536</v>
      </c>
    </row>
    <row r="117" spans="1:12" x14ac:dyDescent="0.2">
      <c r="A117" s="547" t="s">
        <v>587</v>
      </c>
      <c r="B117" s="547" t="s">
        <v>591</v>
      </c>
      <c r="C117" s="547" t="s">
        <v>7462</v>
      </c>
      <c r="D117" s="547" t="s">
        <v>7732</v>
      </c>
      <c r="E117" s="547" t="s">
        <v>535</v>
      </c>
      <c r="F117" s="548">
        <v>79.900000000000006</v>
      </c>
      <c r="G117" s="545">
        <v>7.7037627471332772</v>
      </c>
      <c r="H117" s="545">
        <v>615.53064349594888</v>
      </c>
      <c r="I117" s="546" t="s">
        <v>9009</v>
      </c>
      <c r="J117" s="547" t="s">
        <v>9013</v>
      </c>
      <c r="K117" s="547" t="s">
        <v>9014</v>
      </c>
      <c r="L117" s="537" t="s">
        <v>536</v>
      </c>
    </row>
    <row r="118" spans="1:12" x14ac:dyDescent="0.2">
      <c r="A118" s="547" t="s">
        <v>587</v>
      </c>
      <c r="B118" s="547" t="s">
        <v>591</v>
      </c>
      <c r="C118" s="547" t="s">
        <v>620</v>
      </c>
      <c r="D118" s="547" t="s">
        <v>621</v>
      </c>
      <c r="E118" s="547" t="s">
        <v>535</v>
      </c>
      <c r="F118" s="548">
        <v>20.175000000000001</v>
      </c>
      <c r="G118" s="545">
        <v>7.4202376821592075</v>
      </c>
      <c r="H118" s="545">
        <v>149.70329523756203</v>
      </c>
      <c r="I118" s="546" t="s">
        <v>9009</v>
      </c>
      <c r="J118" s="547" t="s">
        <v>9013</v>
      </c>
      <c r="K118" s="547" t="s">
        <v>9010</v>
      </c>
      <c r="L118" s="537" t="s">
        <v>536</v>
      </c>
    </row>
    <row r="119" spans="1:12" x14ac:dyDescent="0.2">
      <c r="A119" s="547" t="s">
        <v>587</v>
      </c>
      <c r="B119" s="547" t="s">
        <v>591</v>
      </c>
      <c r="C119" s="547" t="s">
        <v>7738</v>
      </c>
      <c r="D119" s="547" t="s">
        <v>9480</v>
      </c>
      <c r="E119" s="547" t="s">
        <v>535</v>
      </c>
      <c r="F119" s="548">
        <v>17.742999999999999</v>
      </c>
      <c r="G119" s="545">
        <v>7.9509638181415774</v>
      </c>
      <c r="H119" s="545">
        <v>141.07395102528599</v>
      </c>
      <c r="I119" s="546" t="s">
        <v>9009</v>
      </c>
      <c r="J119" s="547" t="s">
        <v>9013</v>
      </c>
      <c r="K119" s="547" t="s">
        <v>9010</v>
      </c>
      <c r="L119" s="537" t="s">
        <v>536</v>
      </c>
    </row>
    <row r="120" spans="1:12" x14ac:dyDescent="0.2">
      <c r="A120" s="547" t="s">
        <v>587</v>
      </c>
      <c r="B120" s="547" t="s">
        <v>591</v>
      </c>
      <c r="C120" s="547"/>
      <c r="D120" s="547" t="s">
        <v>9484</v>
      </c>
      <c r="E120" s="547" t="s">
        <v>535</v>
      </c>
      <c r="F120" s="548">
        <v>2038</v>
      </c>
      <c r="G120" s="545">
        <v>6.0948458178326259</v>
      </c>
      <c r="H120" s="545">
        <v>12421.295776742892</v>
      </c>
      <c r="I120" s="546" t="s">
        <v>9009</v>
      </c>
      <c r="J120" s="547" t="s">
        <v>536</v>
      </c>
      <c r="K120" s="547" t="s">
        <v>9010</v>
      </c>
      <c r="L120" s="537" t="s">
        <v>536</v>
      </c>
    </row>
    <row r="121" spans="1:12" x14ac:dyDescent="0.2">
      <c r="A121" s="547" t="s">
        <v>587</v>
      </c>
      <c r="B121" s="547" t="s">
        <v>591</v>
      </c>
      <c r="C121" s="547"/>
      <c r="D121" s="547" t="s">
        <v>9485</v>
      </c>
      <c r="E121" s="547" t="s">
        <v>535</v>
      </c>
      <c r="F121" s="548">
        <v>960</v>
      </c>
      <c r="G121" s="545">
        <v>6.0948458178326259</v>
      </c>
      <c r="H121" s="545">
        <v>5851.0519851193212</v>
      </c>
      <c r="I121" s="546" t="s">
        <v>9009</v>
      </c>
      <c r="J121" s="547" t="s">
        <v>536</v>
      </c>
      <c r="K121" s="547" t="s">
        <v>9010</v>
      </c>
      <c r="L121" s="537" t="s">
        <v>536</v>
      </c>
    </row>
    <row r="122" spans="1:12" x14ac:dyDescent="0.2">
      <c r="A122" s="547" t="s">
        <v>587</v>
      </c>
      <c r="B122" s="547" t="s">
        <v>591</v>
      </c>
      <c r="C122" s="547"/>
      <c r="D122" s="547" t="s">
        <v>9486</v>
      </c>
      <c r="E122" s="547" t="s">
        <v>535</v>
      </c>
      <c r="F122" s="549">
        <v>345</v>
      </c>
      <c r="G122" s="545">
        <v>5.639100619708219</v>
      </c>
      <c r="H122" s="545">
        <v>1945.4897137993355</v>
      </c>
      <c r="I122" s="546" t="s">
        <v>9009</v>
      </c>
      <c r="J122" s="547" t="s">
        <v>9011</v>
      </c>
      <c r="K122" s="547" t="s">
        <v>8994</v>
      </c>
      <c r="L122" s="537" t="s">
        <v>541</v>
      </c>
    </row>
    <row r="123" spans="1:12" x14ac:dyDescent="0.2">
      <c r="A123" s="547" t="s">
        <v>747</v>
      </c>
      <c r="B123" s="547" t="s">
        <v>588</v>
      </c>
      <c r="C123" s="547"/>
      <c r="D123" s="547" t="s">
        <v>9487</v>
      </c>
      <c r="E123" s="547" t="s">
        <v>535</v>
      </c>
      <c r="F123" s="548">
        <v>3512</v>
      </c>
      <c r="G123" s="545">
        <v>6.8292631106061528</v>
      </c>
      <c r="H123" s="545">
        <v>23984.37204444881</v>
      </c>
      <c r="I123" s="546" t="s">
        <v>9009</v>
      </c>
      <c r="J123" s="547" t="s">
        <v>536</v>
      </c>
      <c r="K123" s="547" t="s">
        <v>9010</v>
      </c>
      <c r="L123" s="537" t="s">
        <v>536</v>
      </c>
    </row>
    <row r="124" spans="1:12" x14ac:dyDescent="0.2">
      <c r="A124" s="515" t="s">
        <v>747</v>
      </c>
      <c r="B124" s="515" t="s">
        <v>781</v>
      </c>
      <c r="C124" s="515" t="s">
        <v>799</v>
      </c>
      <c r="D124" s="515" t="s">
        <v>9536</v>
      </c>
      <c r="E124" s="515" t="s">
        <v>535</v>
      </c>
      <c r="F124" s="516">
        <v>1200</v>
      </c>
      <c r="G124" s="545">
        <v>5.003994495928489</v>
      </c>
      <c r="H124" s="545">
        <v>6004.7933951141868</v>
      </c>
      <c r="I124" s="546" t="s">
        <v>8992</v>
      </c>
      <c r="J124" s="547" t="s">
        <v>8993</v>
      </c>
      <c r="K124" s="547" t="s">
        <v>8994</v>
      </c>
      <c r="L124" s="537" t="s">
        <v>541</v>
      </c>
    </row>
    <row r="125" spans="1:12" x14ac:dyDescent="0.2">
      <c r="A125" s="515" t="s">
        <v>747</v>
      </c>
      <c r="B125" s="515" t="s">
        <v>781</v>
      </c>
      <c r="C125" s="515" t="s">
        <v>799</v>
      </c>
      <c r="D125" s="515" t="s">
        <v>9488</v>
      </c>
      <c r="E125" s="515" t="s">
        <v>535</v>
      </c>
      <c r="F125" s="516">
        <v>2449</v>
      </c>
      <c r="G125" s="545">
        <v>5.003994495928489</v>
      </c>
      <c r="H125" s="545">
        <v>12254.78252052887</v>
      </c>
      <c r="I125" s="546" t="s">
        <v>8992</v>
      </c>
      <c r="J125" s="547" t="s">
        <v>8993</v>
      </c>
      <c r="K125" s="547" t="s">
        <v>8994</v>
      </c>
      <c r="L125" s="537" t="s">
        <v>541</v>
      </c>
    </row>
    <row r="126" spans="1:12" x14ac:dyDescent="0.2">
      <c r="A126" s="515" t="s">
        <v>747</v>
      </c>
      <c r="B126" s="515" t="s">
        <v>748</v>
      </c>
      <c r="C126" s="547" t="s">
        <v>761</v>
      </c>
      <c r="D126" s="547" t="s">
        <v>7700</v>
      </c>
      <c r="E126" s="515" t="s">
        <v>535</v>
      </c>
      <c r="F126" s="552">
        <v>1299</v>
      </c>
      <c r="G126" s="545">
        <v>72.074803882763177</v>
      </c>
      <c r="H126" s="545">
        <v>93625.170243709363</v>
      </c>
      <c r="I126" s="547" t="s">
        <v>8992</v>
      </c>
      <c r="J126" s="547" t="s">
        <v>8993</v>
      </c>
      <c r="K126" s="547" t="s">
        <v>9001</v>
      </c>
      <c r="L126" s="537" t="s">
        <v>541</v>
      </c>
    </row>
    <row r="127" spans="1:12" x14ac:dyDescent="0.2">
      <c r="A127" s="547" t="s">
        <v>220</v>
      </c>
      <c r="B127" s="547" t="s">
        <v>702</v>
      </c>
      <c r="C127" s="547" t="s">
        <v>703</v>
      </c>
      <c r="D127" s="547" t="s">
        <v>704</v>
      </c>
      <c r="E127" s="547" t="s">
        <v>535</v>
      </c>
      <c r="F127" s="552">
        <v>110510.40000000001</v>
      </c>
      <c r="G127" s="545">
        <v>0.60004535706660311</v>
      </c>
      <c r="H127" s="545">
        <v>66311.252427573141</v>
      </c>
      <c r="I127" s="547" t="s">
        <v>9009</v>
      </c>
      <c r="J127" s="547" t="s">
        <v>9015</v>
      </c>
      <c r="K127" s="547" t="s">
        <v>8996</v>
      </c>
      <c r="L127" s="537" t="s">
        <v>541</v>
      </c>
    </row>
    <row r="128" spans="1:12" x14ac:dyDescent="0.2">
      <c r="A128" s="547" t="s">
        <v>220</v>
      </c>
      <c r="B128" s="547" t="s">
        <v>702</v>
      </c>
      <c r="C128" s="547" t="s">
        <v>705</v>
      </c>
      <c r="D128" s="547" t="s">
        <v>706</v>
      </c>
      <c r="E128" s="547" t="s">
        <v>535</v>
      </c>
      <c r="F128" s="552">
        <v>1300</v>
      </c>
      <c r="G128" s="545">
        <v>3.0983137803156655</v>
      </c>
      <c r="H128" s="545">
        <v>4027.8079144103654</v>
      </c>
      <c r="I128" s="547" t="s">
        <v>9009</v>
      </c>
      <c r="J128" s="547" t="s">
        <v>9015</v>
      </c>
      <c r="K128" s="547" t="s">
        <v>8996</v>
      </c>
      <c r="L128" s="537" t="s">
        <v>541</v>
      </c>
    </row>
    <row r="129" spans="1:12" x14ac:dyDescent="0.2">
      <c r="A129" s="547" t="s">
        <v>220</v>
      </c>
      <c r="B129" s="547" t="s">
        <v>702</v>
      </c>
      <c r="C129" s="547" t="s">
        <v>707</v>
      </c>
      <c r="D129" s="547" t="s">
        <v>373</v>
      </c>
      <c r="E129" s="547" t="s">
        <v>535</v>
      </c>
      <c r="F129" s="552">
        <v>750</v>
      </c>
      <c r="G129" s="545">
        <v>1.35</v>
      </c>
      <c r="H129" s="545">
        <v>1012.5000000000001</v>
      </c>
      <c r="I129" s="547" t="s">
        <v>9009</v>
      </c>
      <c r="J129" s="547" t="s">
        <v>9015</v>
      </c>
      <c r="K129" s="547" t="s">
        <v>8996</v>
      </c>
      <c r="L129" s="537" t="s">
        <v>541</v>
      </c>
    </row>
    <row r="130" spans="1:12" x14ac:dyDescent="0.2">
      <c r="A130" s="547" t="s">
        <v>220</v>
      </c>
      <c r="B130" s="547" t="s">
        <v>702</v>
      </c>
      <c r="C130" s="547"/>
      <c r="D130" s="547" t="s">
        <v>709</v>
      </c>
      <c r="E130" s="547" t="s">
        <v>535</v>
      </c>
      <c r="F130" s="552">
        <v>2978.5</v>
      </c>
      <c r="G130" s="545">
        <v>0.20851474104664602</v>
      </c>
      <c r="H130" s="545">
        <v>621.06115620743515</v>
      </c>
      <c r="I130" s="547" t="s">
        <v>9009</v>
      </c>
      <c r="J130" s="547" t="s">
        <v>9015</v>
      </c>
      <c r="K130" s="547" t="s">
        <v>8996</v>
      </c>
      <c r="L130" s="537" t="s">
        <v>541</v>
      </c>
    </row>
    <row r="131" spans="1:12" x14ac:dyDescent="0.2">
      <c r="A131" s="547" t="s">
        <v>220</v>
      </c>
      <c r="B131" s="547" t="s">
        <v>702</v>
      </c>
      <c r="C131" s="547"/>
      <c r="D131" s="547" t="s">
        <v>710</v>
      </c>
      <c r="E131" s="547" t="s">
        <v>535</v>
      </c>
      <c r="F131" s="552">
        <v>2800</v>
      </c>
      <c r="G131" s="545">
        <v>0.20851474104664602</v>
      </c>
      <c r="H131" s="545">
        <v>583.84127493060885</v>
      </c>
      <c r="I131" s="547" t="s">
        <v>9009</v>
      </c>
      <c r="J131" s="547" t="s">
        <v>9015</v>
      </c>
      <c r="K131" s="547" t="s">
        <v>8996</v>
      </c>
      <c r="L131" s="537" t="s">
        <v>541</v>
      </c>
    </row>
    <row r="132" spans="1:12" x14ac:dyDescent="0.2">
      <c r="A132" s="547" t="s">
        <v>220</v>
      </c>
      <c r="B132" s="547" t="s">
        <v>702</v>
      </c>
      <c r="C132" s="547" t="s">
        <v>7584</v>
      </c>
      <c r="D132" s="547" t="s">
        <v>711</v>
      </c>
      <c r="E132" s="547" t="s">
        <v>535</v>
      </c>
      <c r="F132" s="552">
        <v>12000</v>
      </c>
      <c r="G132" s="545">
        <v>0.02</v>
      </c>
      <c r="H132" s="545">
        <v>240</v>
      </c>
      <c r="I132" s="547" t="s">
        <v>9009</v>
      </c>
      <c r="J132" s="547" t="s">
        <v>9015</v>
      </c>
      <c r="K132" s="547" t="s">
        <v>8996</v>
      </c>
      <c r="L132" s="537" t="s">
        <v>541</v>
      </c>
    </row>
    <row r="133" spans="1:12" x14ac:dyDescent="0.2">
      <c r="A133" s="547" t="s">
        <v>220</v>
      </c>
      <c r="B133" s="547" t="s">
        <v>702</v>
      </c>
      <c r="C133" s="547"/>
      <c r="D133" s="547" t="s">
        <v>712</v>
      </c>
      <c r="E133" s="547" t="s">
        <v>535</v>
      </c>
      <c r="F133" s="552">
        <v>775</v>
      </c>
      <c r="G133" s="545">
        <v>1.25</v>
      </c>
      <c r="H133" s="545">
        <v>968.75</v>
      </c>
      <c r="I133" s="547" t="s">
        <v>9009</v>
      </c>
      <c r="J133" s="547" t="s">
        <v>9015</v>
      </c>
      <c r="K133" s="547" t="s">
        <v>8996</v>
      </c>
      <c r="L133" s="537" t="s">
        <v>541</v>
      </c>
    </row>
    <row r="134" spans="1:12" x14ac:dyDescent="0.2">
      <c r="A134" s="547" t="s">
        <v>220</v>
      </c>
      <c r="B134" s="547" t="s">
        <v>532</v>
      </c>
      <c r="C134" s="547" t="s">
        <v>7408</v>
      </c>
      <c r="D134" s="547" t="s">
        <v>7685</v>
      </c>
      <c r="E134" s="547" t="s">
        <v>535</v>
      </c>
      <c r="F134" s="555">
        <v>3628.8</v>
      </c>
      <c r="G134" s="545">
        <v>7.4127739116593805</v>
      </c>
      <c r="H134" s="545">
        <v>26899.473970629562</v>
      </c>
      <c r="I134" s="547" t="s">
        <v>9009</v>
      </c>
      <c r="J134" s="547" t="s">
        <v>536</v>
      </c>
      <c r="K134" s="547" t="s">
        <v>9010</v>
      </c>
      <c r="L134" s="537" t="s">
        <v>536</v>
      </c>
    </row>
    <row r="135" spans="1:12" x14ac:dyDescent="0.2">
      <c r="A135" s="547" t="s">
        <v>220</v>
      </c>
      <c r="B135" s="547" t="s">
        <v>532</v>
      </c>
      <c r="C135" s="547" t="s">
        <v>7408</v>
      </c>
      <c r="D135" s="547" t="s">
        <v>9489</v>
      </c>
      <c r="E135" s="547" t="s">
        <v>535</v>
      </c>
      <c r="F135" s="552">
        <v>20124.384000000002</v>
      </c>
      <c r="G135" s="545">
        <v>7.4127739116593805</v>
      </c>
      <c r="H135" s="545">
        <v>149177.50870341546</v>
      </c>
      <c r="I135" s="547" t="s">
        <v>9009</v>
      </c>
      <c r="J135" s="547" t="s">
        <v>536</v>
      </c>
      <c r="K135" s="547" t="s">
        <v>9010</v>
      </c>
      <c r="L135" s="537" t="s">
        <v>536</v>
      </c>
    </row>
    <row r="136" spans="1:12" x14ac:dyDescent="0.2">
      <c r="A136" s="547" t="s">
        <v>220</v>
      </c>
      <c r="B136" s="547" t="s">
        <v>532</v>
      </c>
      <c r="C136" s="547" t="s">
        <v>7422</v>
      </c>
      <c r="D136" s="547" t="s">
        <v>7686</v>
      </c>
      <c r="E136" s="547" t="s">
        <v>535</v>
      </c>
      <c r="F136" s="555">
        <v>2325.6</v>
      </c>
      <c r="G136" s="545">
        <v>7.4420407775387227</v>
      </c>
      <c r="H136" s="545">
        <v>17307.210032244053</v>
      </c>
      <c r="I136" s="547" t="s">
        <v>9009</v>
      </c>
      <c r="J136" s="547" t="s">
        <v>536</v>
      </c>
      <c r="K136" s="547" t="s">
        <v>9010</v>
      </c>
      <c r="L136" s="537" t="s">
        <v>536</v>
      </c>
    </row>
    <row r="137" spans="1:12" x14ac:dyDescent="0.2">
      <c r="A137" s="547" t="s">
        <v>220</v>
      </c>
      <c r="B137" s="547" t="s">
        <v>532</v>
      </c>
      <c r="C137" s="547" t="s">
        <v>7422</v>
      </c>
      <c r="D137" s="547" t="s">
        <v>9490</v>
      </c>
      <c r="E137" s="547" t="s">
        <v>535</v>
      </c>
      <c r="F137" s="552">
        <v>19528.02</v>
      </c>
      <c r="G137" s="545">
        <v>7.4420407775387227</v>
      </c>
      <c r="H137" s="545">
        <v>145328.32114459173</v>
      </c>
      <c r="I137" s="547" t="s">
        <v>9009</v>
      </c>
      <c r="J137" s="547" t="s">
        <v>536</v>
      </c>
      <c r="K137" s="547" t="s">
        <v>9010</v>
      </c>
      <c r="L137" s="537" t="s">
        <v>536</v>
      </c>
    </row>
    <row r="138" spans="1:12" x14ac:dyDescent="0.2">
      <c r="A138" s="547" t="s">
        <v>220</v>
      </c>
      <c r="B138" s="547" t="s">
        <v>802</v>
      </c>
      <c r="C138" s="547" t="s">
        <v>7410</v>
      </c>
      <c r="D138" s="547" t="s">
        <v>7742</v>
      </c>
      <c r="E138" s="547" t="s">
        <v>535</v>
      </c>
      <c r="F138" s="548">
        <v>2369</v>
      </c>
      <c r="G138" s="545">
        <v>7.3617335712088465</v>
      </c>
      <c r="H138" s="545">
        <v>17439.946830193756</v>
      </c>
      <c r="I138" s="547" t="s">
        <v>9009</v>
      </c>
      <c r="J138" s="547" t="s">
        <v>536</v>
      </c>
      <c r="K138" s="547" t="s">
        <v>9010</v>
      </c>
      <c r="L138" s="537" t="s">
        <v>536</v>
      </c>
    </row>
    <row r="139" spans="1:12" x14ac:dyDescent="0.2">
      <c r="A139" s="547" t="s">
        <v>220</v>
      </c>
      <c r="B139" s="547" t="s">
        <v>532</v>
      </c>
      <c r="C139" s="547" t="s">
        <v>539</v>
      </c>
      <c r="D139" s="547" t="s">
        <v>9036</v>
      </c>
      <c r="E139" s="547" t="s">
        <v>535</v>
      </c>
      <c r="F139" s="549">
        <v>2037</v>
      </c>
      <c r="G139" s="545">
        <v>6.3141038910597755</v>
      </c>
      <c r="H139" s="545">
        <v>12861.829626088762</v>
      </c>
      <c r="I139" s="547" t="s">
        <v>9009</v>
      </c>
      <c r="J139" s="547" t="s">
        <v>9011</v>
      </c>
      <c r="K139" s="547" t="s">
        <v>8994</v>
      </c>
      <c r="L139" s="537" t="s">
        <v>541</v>
      </c>
    </row>
    <row r="140" spans="1:12" x14ac:dyDescent="0.2">
      <c r="A140" s="547" t="s">
        <v>220</v>
      </c>
      <c r="B140" s="547" t="s">
        <v>532</v>
      </c>
      <c r="C140" s="547" t="s">
        <v>539</v>
      </c>
      <c r="D140" s="547" t="s">
        <v>9037</v>
      </c>
      <c r="E140" s="547" t="s">
        <v>535</v>
      </c>
      <c r="F140" s="549">
        <v>2975</v>
      </c>
      <c r="G140" s="545">
        <v>6.3141038910597755</v>
      </c>
      <c r="H140" s="545">
        <v>18784.459075902832</v>
      </c>
      <c r="I140" s="547" t="s">
        <v>9009</v>
      </c>
      <c r="J140" s="547" t="s">
        <v>9011</v>
      </c>
      <c r="K140" s="547" t="s">
        <v>8994</v>
      </c>
      <c r="L140" s="537" t="s">
        <v>541</v>
      </c>
    </row>
    <row r="141" spans="1:12" x14ac:dyDescent="0.2">
      <c r="A141" s="547" t="s">
        <v>220</v>
      </c>
      <c r="B141" s="547" t="s">
        <v>532</v>
      </c>
      <c r="C141" s="547" t="s">
        <v>1113</v>
      </c>
      <c r="D141" s="547" t="s">
        <v>1114</v>
      </c>
      <c r="E141" s="547" t="s">
        <v>639</v>
      </c>
      <c r="F141" s="552">
        <v>1335</v>
      </c>
      <c r="G141" s="545">
        <v>2.3547234064806553</v>
      </c>
      <c r="H141" s="545">
        <v>3143.5557476516747</v>
      </c>
      <c r="I141" s="547" t="s">
        <v>9009</v>
      </c>
      <c r="J141" s="547" t="s">
        <v>9011</v>
      </c>
      <c r="K141" s="547" t="s">
        <v>9038</v>
      </c>
      <c r="L141" s="537" t="s">
        <v>541</v>
      </c>
    </row>
    <row r="142" spans="1:12" x14ac:dyDescent="0.2">
      <c r="A142" s="547" t="s">
        <v>220</v>
      </c>
      <c r="B142" s="547" t="s">
        <v>532</v>
      </c>
      <c r="C142" s="547" t="s">
        <v>1115</v>
      </c>
      <c r="D142" s="547" t="s">
        <v>1116</v>
      </c>
      <c r="E142" s="547" t="s">
        <v>639</v>
      </c>
      <c r="F142" s="552">
        <v>2496</v>
      </c>
      <c r="G142" s="545">
        <v>3.0112839398343723</v>
      </c>
      <c r="H142" s="545">
        <v>7516.1647138265935</v>
      </c>
      <c r="I142" s="547" t="s">
        <v>9009</v>
      </c>
      <c r="J142" s="547" t="s">
        <v>9011</v>
      </c>
      <c r="K142" s="547" t="s">
        <v>9038</v>
      </c>
      <c r="L142" s="537" t="s">
        <v>541</v>
      </c>
    </row>
    <row r="143" spans="1:12" x14ac:dyDescent="0.2">
      <c r="A143" s="547" t="s">
        <v>220</v>
      </c>
      <c r="B143" s="547" t="s">
        <v>532</v>
      </c>
      <c r="C143" s="547" t="s">
        <v>9041</v>
      </c>
      <c r="D143" s="547" t="s">
        <v>9537</v>
      </c>
      <c r="E143" s="547" t="s">
        <v>535</v>
      </c>
      <c r="F143" s="552">
        <v>14125.208000000001</v>
      </c>
      <c r="G143" s="545">
        <v>7.3930071495839798</v>
      </c>
      <c r="H143" s="545">
        <v>104427.76373336083</v>
      </c>
      <c r="I143" s="547" t="s">
        <v>9009</v>
      </c>
      <c r="J143" s="547" t="s">
        <v>536</v>
      </c>
      <c r="K143" s="547" t="s">
        <v>9010</v>
      </c>
      <c r="L143" s="537" t="s">
        <v>536</v>
      </c>
    </row>
    <row r="144" spans="1:12" x14ac:dyDescent="0.2">
      <c r="A144" s="547" t="s">
        <v>220</v>
      </c>
      <c r="B144" s="547" t="s">
        <v>532</v>
      </c>
      <c r="C144" s="547" t="s">
        <v>7412</v>
      </c>
      <c r="D144" s="547" t="s">
        <v>9538</v>
      </c>
      <c r="E144" s="547" t="s">
        <v>535</v>
      </c>
      <c r="F144" s="552">
        <v>14178</v>
      </c>
      <c r="G144" s="545">
        <v>7.4184099269603552</v>
      </c>
      <c r="H144" s="545">
        <v>105178.21594444392</v>
      </c>
      <c r="I144" s="547" t="s">
        <v>9009</v>
      </c>
      <c r="J144" s="547" t="s">
        <v>536</v>
      </c>
      <c r="K144" s="547" t="s">
        <v>9010</v>
      </c>
      <c r="L144" s="537" t="s">
        <v>536</v>
      </c>
    </row>
    <row r="145" spans="1:12" x14ac:dyDescent="0.2">
      <c r="A145" s="547" t="s">
        <v>220</v>
      </c>
      <c r="B145" s="547" t="s">
        <v>802</v>
      </c>
      <c r="C145" s="547" t="s">
        <v>7412</v>
      </c>
      <c r="D145" s="547" t="s">
        <v>9066</v>
      </c>
      <c r="E145" s="547" t="s">
        <v>535</v>
      </c>
      <c r="F145" s="548">
        <v>1392</v>
      </c>
      <c r="G145" s="545">
        <v>7.4184099269603552</v>
      </c>
      <c r="H145" s="545">
        <v>10326.426618328815</v>
      </c>
      <c r="I145" s="547" t="s">
        <v>9009</v>
      </c>
      <c r="J145" s="547" t="s">
        <v>536</v>
      </c>
      <c r="K145" s="547" t="s">
        <v>9010</v>
      </c>
      <c r="L145" s="537" t="s">
        <v>536</v>
      </c>
    </row>
    <row r="146" spans="1:12" x14ac:dyDescent="0.2">
      <c r="A146" s="547" t="s">
        <v>220</v>
      </c>
      <c r="B146" s="547" t="s">
        <v>7593</v>
      </c>
      <c r="C146" s="547" t="s">
        <v>7408</v>
      </c>
      <c r="D146" s="547" t="s">
        <v>7408</v>
      </c>
      <c r="E146" s="547" t="s">
        <v>535</v>
      </c>
      <c r="F146" s="548">
        <v>319.87200000000001</v>
      </c>
      <c r="G146" s="545">
        <v>7.4127739116593805</v>
      </c>
      <c r="H146" s="545">
        <v>2371.1388166703096</v>
      </c>
      <c r="I146" s="547" t="s">
        <v>9009</v>
      </c>
      <c r="J146" s="547" t="s">
        <v>536</v>
      </c>
      <c r="K146" s="547" t="s">
        <v>9010</v>
      </c>
      <c r="L146" s="537" t="s">
        <v>536</v>
      </c>
    </row>
    <row r="147" spans="1:12" x14ac:dyDescent="0.2">
      <c r="A147" s="547" t="s">
        <v>220</v>
      </c>
      <c r="B147" s="547" t="s">
        <v>7593</v>
      </c>
      <c r="C147" s="547" t="s">
        <v>7422</v>
      </c>
      <c r="D147" s="547" t="s">
        <v>7422</v>
      </c>
      <c r="E147" s="547" t="s">
        <v>535</v>
      </c>
      <c r="F147" s="548">
        <v>291.31200000000001</v>
      </c>
      <c r="G147" s="545">
        <v>7.4420407775387227</v>
      </c>
      <c r="H147" s="545">
        <v>2167.9557829863606</v>
      </c>
      <c r="I147" s="547" t="s">
        <v>9009</v>
      </c>
      <c r="J147" s="547" t="s">
        <v>536</v>
      </c>
      <c r="K147" s="547" t="s">
        <v>9010</v>
      </c>
      <c r="L147" s="537" t="s">
        <v>536</v>
      </c>
    </row>
    <row r="148" spans="1:12" x14ac:dyDescent="0.2">
      <c r="A148" s="547" t="s">
        <v>220</v>
      </c>
      <c r="B148" s="547" t="s">
        <v>7593</v>
      </c>
      <c r="C148" s="547" t="s">
        <v>2071</v>
      </c>
      <c r="D148" s="547" t="s">
        <v>7495</v>
      </c>
      <c r="E148" s="547" t="s">
        <v>545</v>
      </c>
      <c r="F148" s="552">
        <v>3</v>
      </c>
      <c r="G148" s="545">
        <v>73.340594033614138</v>
      </c>
      <c r="H148" s="545">
        <v>220.02178210084242</v>
      </c>
      <c r="I148" s="547" t="s">
        <v>9009</v>
      </c>
      <c r="J148" s="547" t="s">
        <v>9023</v>
      </c>
      <c r="K148" s="547" t="s">
        <v>9024</v>
      </c>
      <c r="L148" s="537" t="s">
        <v>536</v>
      </c>
    </row>
    <row r="149" spans="1:12" x14ac:dyDescent="0.2">
      <c r="A149" s="547" t="s">
        <v>220</v>
      </c>
      <c r="B149" s="547" t="s">
        <v>7593</v>
      </c>
      <c r="C149" s="547" t="s">
        <v>7597</v>
      </c>
      <c r="D149" s="547" t="s">
        <v>7497</v>
      </c>
      <c r="E149" s="547" t="s">
        <v>545</v>
      </c>
      <c r="F149" s="552">
        <v>3</v>
      </c>
      <c r="G149" s="545">
        <v>122.01405510908974</v>
      </c>
      <c r="H149" s="545">
        <v>366.04216532726923</v>
      </c>
      <c r="I149" s="547" t="s">
        <v>9009</v>
      </c>
      <c r="J149" s="547" t="s">
        <v>9023</v>
      </c>
      <c r="K149" s="547" t="s">
        <v>9024</v>
      </c>
      <c r="L149" s="537" t="s">
        <v>536</v>
      </c>
    </row>
    <row r="150" spans="1:12" x14ac:dyDescent="0.2">
      <c r="A150" s="547" t="s">
        <v>220</v>
      </c>
      <c r="B150" s="547" t="s">
        <v>7593</v>
      </c>
      <c r="C150" s="547" t="s">
        <v>2135</v>
      </c>
      <c r="D150" s="547" t="s">
        <v>9069</v>
      </c>
      <c r="E150" s="547" t="s">
        <v>545</v>
      </c>
      <c r="F150" s="552">
        <v>3</v>
      </c>
      <c r="G150" s="545">
        <v>82.320529215297384</v>
      </c>
      <c r="H150" s="545">
        <v>246.96158764589217</v>
      </c>
      <c r="I150" s="547" t="s">
        <v>9009</v>
      </c>
      <c r="J150" s="547" t="s">
        <v>9023</v>
      </c>
      <c r="K150" s="547" t="s">
        <v>9024</v>
      </c>
      <c r="L150" s="537" t="s">
        <v>536</v>
      </c>
    </row>
    <row r="151" spans="1:12" x14ac:dyDescent="0.2">
      <c r="A151" s="547" t="s">
        <v>220</v>
      </c>
      <c r="B151" s="547" t="s">
        <v>7593</v>
      </c>
      <c r="C151" s="547" t="s">
        <v>2075</v>
      </c>
      <c r="D151" s="547" t="s">
        <v>7500</v>
      </c>
      <c r="E151" s="547" t="s">
        <v>545</v>
      </c>
      <c r="F151" s="552">
        <v>3</v>
      </c>
      <c r="G151" s="545">
        <v>60.597108982258398</v>
      </c>
      <c r="H151" s="545">
        <v>181.7913269467752</v>
      </c>
      <c r="I151" s="547" t="s">
        <v>9009</v>
      </c>
      <c r="J151" s="547" t="s">
        <v>9023</v>
      </c>
      <c r="K151" s="547" t="s">
        <v>9024</v>
      </c>
      <c r="L151" s="537" t="s">
        <v>536</v>
      </c>
    </row>
    <row r="152" spans="1:12" x14ac:dyDescent="0.2">
      <c r="A152" s="547" t="s">
        <v>220</v>
      </c>
      <c r="B152" s="547" t="s">
        <v>7593</v>
      </c>
      <c r="C152" s="547" t="s">
        <v>9029</v>
      </c>
      <c r="D152" s="547" t="s">
        <v>9070</v>
      </c>
      <c r="E152" s="547" t="s">
        <v>545</v>
      </c>
      <c r="F152" s="552">
        <v>3</v>
      </c>
      <c r="G152" s="545">
        <v>108.13184729626168</v>
      </c>
      <c r="H152" s="545">
        <v>324.39554188878503</v>
      </c>
      <c r="I152" s="547" t="s">
        <v>9009</v>
      </c>
      <c r="J152" s="547" t="s">
        <v>9023</v>
      </c>
      <c r="K152" s="547" t="s">
        <v>9024</v>
      </c>
      <c r="L152" s="537" t="s">
        <v>536</v>
      </c>
    </row>
    <row r="153" spans="1:12" x14ac:dyDescent="0.2">
      <c r="A153" s="547" t="s">
        <v>220</v>
      </c>
      <c r="B153" s="547" t="s">
        <v>7593</v>
      </c>
      <c r="C153" s="547" t="s">
        <v>2082</v>
      </c>
      <c r="D153" s="547" t="s">
        <v>7502</v>
      </c>
      <c r="E153" s="547" t="s">
        <v>545</v>
      </c>
      <c r="F153" s="552">
        <v>3</v>
      </c>
      <c r="G153" s="545">
        <v>68.724629957053821</v>
      </c>
      <c r="H153" s="545">
        <v>206.17388987116146</v>
      </c>
      <c r="I153" s="547" t="s">
        <v>9009</v>
      </c>
      <c r="J153" s="547" t="s">
        <v>9023</v>
      </c>
      <c r="K153" s="547" t="s">
        <v>9024</v>
      </c>
      <c r="L153" s="537" t="s">
        <v>536</v>
      </c>
    </row>
    <row r="154" spans="1:12" x14ac:dyDescent="0.2">
      <c r="A154" s="547" t="s">
        <v>220</v>
      </c>
      <c r="B154" s="547" t="s">
        <v>7593</v>
      </c>
      <c r="C154" s="547" t="s">
        <v>2088</v>
      </c>
      <c r="D154" s="547" t="s">
        <v>7504</v>
      </c>
      <c r="E154" s="547" t="s">
        <v>545</v>
      </c>
      <c r="F154" s="552">
        <v>3</v>
      </c>
      <c r="G154" s="545">
        <v>86.213221732088158</v>
      </c>
      <c r="H154" s="545">
        <v>258.63966519626445</v>
      </c>
      <c r="I154" s="547" t="s">
        <v>9009</v>
      </c>
      <c r="J154" s="547" t="s">
        <v>9023</v>
      </c>
      <c r="K154" s="547" t="s">
        <v>9024</v>
      </c>
      <c r="L154" s="537" t="s">
        <v>536</v>
      </c>
    </row>
    <row r="155" spans="1:12" x14ac:dyDescent="0.2">
      <c r="A155" s="547" t="s">
        <v>220</v>
      </c>
      <c r="B155" s="547" t="s">
        <v>7593</v>
      </c>
      <c r="C155" s="547" t="s">
        <v>7531</v>
      </c>
      <c r="D155" s="547" t="s">
        <v>7506</v>
      </c>
      <c r="E155" s="547" t="s">
        <v>545</v>
      </c>
      <c r="F155" s="552">
        <v>3</v>
      </c>
      <c r="G155" s="545">
        <v>102.65399824172911</v>
      </c>
      <c r="H155" s="545">
        <v>307.96199472518731</v>
      </c>
      <c r="I155" s="547" t="s">
        <v>9009</v>
      </c>
      <c r="J155" s="547" t="s">
        <v>9023</v>
      </c>
      <c r="K155" s="547" t="s">
        <v>9024</v>
      </c>
      <c r="L155" s="537" t="s">
        <v>536</v>
      </c>
    </row>
    <row r="156" spans="1:12" x14ac:dyDescent="0.2">
      <c r="A156" s="547" t="s">
        <v>220</v>
      </c>
      <c r="B156" s="547" t="s">
        <v>7593</v>
      </c>
      <c r="C156" s="547" t="s">
        <v>2092</v>
      </c>
      <c r="D156" s="547" t="s">
        <v>7507</v>
      </c>
      <c r="E156" s="547" t="s">
        <v>545</v>
      </c>
      <c r="F156" s="552">
        <v>3</v>
      </c>
      <c r="G156" s="545">
        <v>119.75196790760265</v>
      </c>
      <c r="H156" s="545">
        <v>359.25590372280794</v>
      </c>
      <c r="I156" s="547" t="s">
        <v>9009</v>
      </c>
      <c r="J156" s="547" t="s">
        <v>9023</v>
      </c>
      <c r="K156" s="547" t="s">
        <v>9024</v>
      </c>
      <c r="L156" s="537" t="s">
        <v>536</v>
      </c>
    </row>
    <row r="157" spans="1:12" x14ac:dyDescent="0.2">
      <c r="A157" s="547" t="s">
        <v>220</v>
      </c>
      <c r="B157" s="547" t="s">
        <v>7593</v>
      </c>
      <c r="C157" s="547" t="s">
        <v>2098</v>
      </c>
      <c r="D157" s="547" t="s">
        <v>7503</v>
      </c>
      <c r="E157" s="547" t="s">
        <v>545</v>
      </c>
      <c r="F157" s="552">
        <v>3</v>
      </c>
      <c r="G157" s="545">
        <v>224.44572611741114</v>
      </c>
      <c r="H157" s="545">
        <v>673.33717835223342</v>
      </c>
      <c r="I157" s="547" t="s">
        <v>9009</v>
      </c>
      <c r="J157" s="547" t="s">
        <v>9023</v>
      </c>
      <c r="K157" s="547" t="s">
        <v>9024</v>
      </c>
      <c r="L157" s="537" t="s">
        <v>536</v>
      </c>
    </row>
    <row r="158" spans="1:12" x14ac:dyDescent="0.2">
      <c r="A158" s="547" t="s">
        <v>220</v>
      </c>
      <c r="B158" s="547" t="s">
        <v>7593</v>
      </c>
      <c r="C158" s="547" t="s">
        <v>2074</v>
      </c>
      <c r="D158" s="547" t="s">
        <v>7513</v>
      </c>
      <c r="E158" s="547" t="s">
        <v>545</v>
      </c>
      <c r="F158" s="552">
        <v>3</v>
      </c>
      <c r="G158" s="545">
        <v>57.605556537142405</v>
      </c>
      <c r="H158" s="545">
        <v>172.81666961142722</v>
      </c>
      <c r="I158" s="547" t="s">
        <v>9009</v>
      </c>
      <c r="J158" s="547" t="s">
        <v>9023</v>
      </c>
      <c r="K158" s="547" t="s">
        <v>9024</v>
      </c>
      <c r="L158" s="537" t="s">
        <v>536</v>
      </c>
    </row>
    <row r="159" spans="1:12" x14ac:dyDescent="0.2">
      <c r="A159" s="547" t="s">
        <v>220</v>
      </c>
      <c r="B159" s="547" t="s">
        <v>7593</v>
      </c>
      <c r="C159" s="547" t="s">
        <v>2079</v>
      </c>
      <c r="D159" s="547" t="s">
        <v>7524</v>
      </c>
      <c r="E159" s="547" t="s">
        <v>545</v>
      </c>
      <c r="F159" s="552">
        <v>2</v>
      </c>
      <c r="G159" s="545">
        <v>58.024124209097899</v>
      </c>
      <c r="H159" s="545">
        <v>116.0482484181958</v>
      </c>
      <c r="I159" s="547" t="s">
        <v>9009</v>
      </c>
      <c r="J159" s="547" t="s">
        <v>9023</v>
      </c>
      <c r="K159" s="547" t="s">
        <v>9024</v>
      </c>
      <c r="L159" s="537" t="s">
        <v>536</v>
      </c>
    </row>
    <row r="160" spans="1:12" x14ac:dyDescent="0.2">
      <c r="A160" s="547" t="s">
        <v>220</v>
      </c>
      <c r="B160" s="547" t="s">
        <v>7593</v>
      </c>
      <c r="C160" s="547" t="s">
        <v>7598</v>
      </c>
      <c r="D160" s="547" t="s">
        <v>9491</v>
      </c>
      <c r="E160" s="547" t="s">
        <v>545</v>
      </c>
      <c r="F160" s="552">
        <v>2</v>
      </c>
      <c r="G160" s="545">
        <v>88.953202641804936</v>
      </c>
      <c r="H160" s="545">
        <v>177.90640528360987</v>
      </c>
      <c r="I160" s="547" t="s">
        <v>9009</v>
      </c>
      <c r="J160" s="547" t="s">
        <v>9023</v>
      </c>
      <c r="K160" s="547" t="s">
        <v>9024</v>
      </c>
      <c r="L160" s="537" t="s">
        <v>536</v>
      </c>
    </row>
    <row r="161" spans="1:12" x14ac:dyDescent="0.2">
      <c r="A161" s="547" t="s">
        <v>220</v>
      </c>
      <c r="B161" s="547" t="s">
        <v>7593</v>
      </c>
      <c r="C161" s="547" t="s">
        <v>9071</v>
      </c>
      <c r="D161" s="547" t="s">
        <v>9072</v>
      </c>
      <c r="E161" s="547" t="s">
        <v>545</v>
      </c>
      <c r="F161" s="552">
        <v>3</v>
      </c>
      <c r="G161" s="545">
        <v>74.081456758427706</v>
      </c>
      <c r="H161" s="545">
        <v>222.24437027528313</v>
      </c>
      <c r="I161" s="547" t="s">
        <v>9009</v>
      </c>
      <c r="J161" s="547" t="s">
        <v>9023</v>
      </c>
      <c r="K161" s="547" t="s">
        <v>9024</v>
      </c>
      <c r="L161" s="537" t="s">
        <v>536</v>
      </c>
    </row>
    <row r="162" spans="1:12" x14ac:dyDescent="0.2">
      <c r="A162" s="547" t="s">
        <v>220</v>
      </c>
      <c r="B162" s="547" t="s">
        <v>7593</v>
      </c>
      <c r="C162" s="547" t="s">
        <v>2072</v>
      </c>
      <c r="D162" s="547" t="s">
        <v>7517</v>
      </c>
      <c r="E162" s="547" t="s">
        <v>545</v>
      </c>
      <c r="F162" s="552">
        <v>4</v>
      </c>
      <c r="G162" s="545">
        <v>85.295615832357655</v>
      </c>
      <c r="H162" s="545">
        <v>341.18246332943062</v>
      </c>
      <c r="I162" s="547" t="s">
        <v>9009</v>
      </c>
      <c r="J162" s="547" t="s">
        <v>9023</v>
      </c>
      <c r="K162" s="547" t="s">
        <v>9024</v>
      </c>
      <c r="L162" s="537" t="s">
        <v>536</v>
      </c>
    </row>
    <row r="163" spans="1:12" x14ac:dyDescent="0.2">
      <c r="A163" s="547" t="s">
        <v>220</v>
      </c>
      <c r="B163" s="547" t="s">
        <v>7593</v>
      </c>
      <c r="C163" s="547" t="s">
        <v>2076</v>
      </c>
      <c r="D163" s="547" t="s">
        <v>7520</v>
      </c>
      <c r="E163" s="547" t="s">
        <v>545</v>
      </c>
      <c r="F163" s="552">
        <v>3</v>
      </c>
      <c r="G163" s="545">
        <v>91.295004755193162</v>
      </c>
      <c r="H163" s="545">
        <v>273.88501426557946</v>
      </c>
      <c r="I163" s="547" t="s">
        <v>9009</v>
      </c>
      <c r="J163" s="547" t="s">
        <v>9023</v>
      </c>
      <c r="K163" s="547" t="s">
        <v>9024</v>
      </c>
      <c r="L163" s="537" t="s">
        <v>536</v>
      </c>
    </row>
    <row r="164" spans="1:12" x14ac:dyDescent="0.2">
      <c r="A164" s="547" t="s">
        <v>220</v>
      </c>
      <c r="B164" s="547" t="s">
        <v>7593</v>
      </c>
      <c r="C164" s="547" t="s">
        <v>2112</v>
      </c>
      <c r="D164" s="547" t="s">
        <v>7522</v>
      </c>
      <c r="E164" s="547" t="s">
        <v>545</v>
      </c>
      <c r="F164" s="552">
        <v>3</v>
      </c>
      <c r="G164" s="545">
        <v>113.42010531317611</v>
      </c>
      <c r="H164" s="545">
        <v>340.26031593952831</v>
      </c>
      <c r="I164" s="547" t="s">
        <v>9009</v>
      </c>
      <c r="J164" s="547" t="s">
        <v>9023</v>
      </c>
      <c r="K164" s="547" t="s">
        <v>9024</v>
      </c>
      <c r="L164" s="537" t="s">
        <v>536</v>
      </c>
    </row>
    <row r="165" spans="1:12" x14ac:dyDescent="0.2">
      <c r="A165" s="547" t="s">
        <v>220</v>
      </c>
      <c r="B165" s="547" t="s">
        <v>7593</v>
      </c>
      <c r="C165" s="547" t="s">
        <v>7598</v>
      </c>
      <c r="D165" s="547" t="s">
        <v>7515</v>
      </c>
      <c r="E165" s="547" t="s">
        <v>545</v>
      </c>
      <c r="F165" s="552">
        <v>4</v>
      </c>
      <c r="G165" s="545">
        <v>88.953202641804936</v>
      </c>
      <c r="H165" s="545">
        <v>355.81281056721974</v>
      </c>
      <c r="I165" s="547" t="s">
        <v>9009</v>
      </c>
      <c r="J165" s="547" t="s">
        <v>9023</v>
      </c>
      <c r="K165" s="547" t="s">
        <v>9024</v>
      </c>
      <c r="L165" s="537" t="s">
        <v>536</v>
      </c>
    </row>
    <row r="166" spans="1:12" x14ac:dyDescent="0.2">
      <c r="A166" s="547" t="s">
        <v>220</v>
      </c>
      <c r="B166" s="547" t="s">
        <v>7593</v>
      </c>
      <c r="C166" s="547" t="s">
        <v>2138</v>
      </c>
      <c r="D166" s="547" t="s">
        <v>9073</v>
      </c>
      <c r="E166" s="547" t="s">
        <v>545</v>
      </c>
      <c r="F166" s="552">
        <v>2</v>
      </c>
      <c r="G166" s="545">
        <v>57.947599557165105</v>
      </c>
      <c r="H166" s="545">
        <v>115.89519911433021</v>
      </c>
      <c r="I166" s="547" t="s">
        <v>9009</v>
      </c>
      <c r="J166" s="547" t="s">
        <v>9023</v>
      </c>
      <c r="K166" s="547" t="s">
        <v>9024</v>
      </c>
      <c r="L166" s="537" t="s">
        <v>536</v>
      </c>
    </row>
    <row r="167" spans="1:12" x14ac:dyDescent="0.2">
      <c r="A167" s="547" t="s">
        <v>220</v>
      </c>
      <c r="B167" s="547" t="s">
        <v>7593</v>
      </c>
      <c r="C167" s="547" t="s">
        <v>2086</v>
      </c>
      <c r="D167" s="547" t="s">
        <v>7527</v>
      </c>
      <c r="E167" s="547" t="s">
        <v>545</v>
      </c>
      <c r="F167" s="552">
        <v>3</v>
      </c>
      <c r="G167" s="545">
        <v>102.92023225102506</v>
      </c>
      <c r="H167" s="545">
        <v>308.76069675307519</v>
      </c>
      <c r="I167" s="547" t="s">
        <v>9009</v>
      </c>
      <c r="J167" s="547" t="s">
        <v>9023</v>
      </c>
      <c r="K167" s="547" t="s">
        <v>9024</v>
      </c>
      <c r="L167" s="537" t="s">
        <v>536</v>
      </c>
    </row>
    <row r="168" spans="1:12" x14ac:dyDescent="0.2">
      <c r="A168" s="547" t="s">
        <v>220</v>
      </c>
      <c r="B168" s="547" t="s">
        <v>7593</v>
      </c>
      <c r="C168" s="547" t="s">
        <v>2134</v>
      </c>
      <c r="D168" s="547" t="s">
        <v>9074</v>
      </c>
      <c r="E168" s="547" t="s">
        <v>545</v>
      </c>
      <c r="F168" s="552">
        <v>3</v>
      </c>
      <c r="G168" s="545">
        <v>72.706083669160094</v>
      </c>
      <c r="H168" s="545">
        <v>218.1182510074803</v>
      </c>
      <c r="I168" s="547" t="s">
        <v>9009</v>
      </c>
      <c r="J168" s="547" t="s">
        <v>9023</v>
      </c>
      <c r="K168" s="547" t="s">
        <v>9024</v>
      </c>
      <c r="L168" s="537" t="s">
        <v>536</v>
      </c>
    </row>
    <row r="169" spans="1:12" x14ac:dyDescent="0.2">
      <c r="A169" s="547" t="s">
        <v>220</v>
      </c>
      <c r="B169" s="547" t="s">
        <v>7593</v>
      </c>
      <c r="C169" s="547" t="s">
        <v>2136</v>
      </c>
      <c r="D169" s="547" t="s">
        <v>9070</v>
      </c>
      <c r="E169" s="547" t="s">
        <v>545</v>
      </c>
      <c r="F169" s="552">
        <v>3</v>
      </c>
      <c r="G169" s="545">
        <v>107.34856384398095</v>
      </c>
      <c r="H169" s="545">
        <v>322.04569153194285</v>
      </c>
      <c r="I169" s="547" t="s">
        <v>9009</v>
      </c>
      <c r="J169" s="547" t="s">
        <v>9023</v>
      </c>
      <c r="K169" s="547" t="s">
        <v>9024</v>
      </c>
      <c r="L169" s="537" t="s">
        <v>536</v>
      </c>
    </row>
    <row r="170" spans="1:12" x14ac:dyDescent="0.2">
      <c r="A170" s="547" t="s">
        <v>220</v>
      </c>
      <c r="B170" s="547" t="s">
        <v>7593</v>
      </c>
      <c r="C170" s="547" t="s">
        <v>2097</v>
      </c>
      <c r="D170" s="547" t="s">
        <v>7494</v>
      </c>
      <c r="E170" s="547" t="s">
        <v>545</v>
      </c>
      <c r="F170" s="552">
        <v>3</v>
      </c>
      <c r="G170" s="545">
        <v>180.81096792493096</v>
      </c>
      <c r="H170" s="545">
        <v>542.43290377479286</v>
      </c>
      <c r="I170" s="547" t="s">
        <v>9009</v>
      </c>
      <c r="J170" s="547" t="s">
        <v>9023</v>
      </c>
      <c r="K170" s="547" t="s">
        <v>9024</v>
      </c>
      <c r="L170" s="537" t="s">
        <v>536</v>
      </c>
    </row>
    <row r="171" spans="1:12" x14ac:dyDescent="0.2">
      <c r="A171" s="547" t="s">
        <v>220</v>
      </c>
      <c r="B171" s="547" t="s">
        <v>7593</v>
      </c>
      <c r="C171" s="547" t="s">
        <v>2087</v>
      </c>
      <c r="D171" s="547" t="s">
        <v>7529</v>
      </c>
      <c r="E171" s="547" t="s">
        <v>545</v>
      </c>
      <c r="F171" s="552">
        <v>3</v>
      </c>
      <c r="G171" s="545">
        <v>130.48334584556275</v>
      </c>
      <c r="H171" s="545">
        <v>391.45003753668823</v>
      </c>
      <c r="I171" s="547" t="s">
        <v>9009</v>
      </c>
      <c r="J171" s="547" t="s">
        <v>9023</v>
      </c>
      <c r="K171" s="547" t="s">
        <v>9024</v>
      </c>
      <c r="L171" s="537" t="s">
        <v>536</v>
      </c>
    </row>
    <row r="172" spans="1:12" x14ac:dyDescent="0.2">
      <c r="A172" s="547" t="s">
        <v>220</v>
      </c>
      <c r="B172" s="547" t="s">
        <v>702</v>
      </c>
      <c r="C172" s="547"/>
      <c r="D172" s="547" t="s">
        <v>708</v>
      </c>
      <c r="E172" s="547" t="s">
        <v>535</v>
      </c>
      <c r="F172" s="552">
        <v>10625</v>
      </c>
      <c r="G172" s="545">
        <v>0.20851474104664602</v>
      </c>
      <c r="H172" s="545">
        <v>2215.469123620614</v>
      </c>
      <c r="I172" s="547" t="s">
        <v>9009</v>
      </c>
      <c r="J172" s="547" t="s">
        <v>9015</v>
      </c>
      <c r="K172" s="547" t="s">
        <v>8996</v>
      </c>
      <c r="L172" s="537" t="s">
        <v>541</v>
      </c>
    </row>
    <row r="173" spans="1:12" x14ac:dyDescent="0.2">
      <c r="A173" s="547" t="s">
        <v>220</v>
      </c>
      <c r="B173" s="547" t="s">
        <v>7593</v>
      </c>
      <c r="C173" s="547" t="s">
        <v>2079</v>
      </c>
      <c r="D173" s="547" t="s">
        <v>9077</v>
      </c>
      <c r="E173" s="547" t="s">
        <v>545</v>
      </c>
      <c r="F173" s="552">
        <v>3</v>
      </c>
      <c r="G173" s="545">
        <v>58.024124209097899</v>
      </c>
      <c r="H173" s="545">
        <v>174.0723726272937</v>
      </c>
      <c r="I173" s="547" t="s">
        <v>9009</v>
      </c>
      <c r="J173" s="547" t="s">
        <v>9023</v>
      </c>
      <c r="K173" s="547" t="s">
        <v>9024</v>
      </c>
      <c r="L173" s="537" t="s">
        <v>536</v>
      </c>
    </row>
    <row r="174" spans="1:12" x14ac:dyDescent="0.2">
      <c r="A174" s="547" t="s">
        <v>220</v>
      </c>
      <c r="B174" s="547" t="s">
        <v>7593</v>
      </c>
      <c r="C174" s="547" t="s">
        <v>2079</v>
      </c>
      <c r="D174" s="547" t="s">
        <v>9078</v>
      </c>
      <c r="E174" s="547" t="s">
        <v>545</v>
      </c>
      <c r="F174" s="552">
        <v>2</v>
      </c>
      <c r="G174" s="545">
        <v>58.024124209097899</v>
      </c>
      <c r="H174" s="545">
        <v>116.0482484181958</v>
      </c>
      <c r="I174" s="547" t="s">
        <v>9009</v>
      </c>
      <c r="J174" s="547" t="s">
        <v>9023</v>
      </c>
      <c r="K174" s="547" t="s">
        <v>9024</v>
      </c>
      <c r="L174" s="537" t="s">
        <v>536</v>
      </c>
    </row>
    <row r="175" spans="1:12" x14ac:dyDescent="0.2">
      <c r="A175" s="547" t="s">
        <v>220</v>
      </c>
      <c r="B175" s="547" t="s">
        <v>7593</v>
      </c>
      <c r="C175" s="547" t="s">
        <v>2094</v>
      </c>
      <c r="D175" s="547" t="s">
        <v>9079</v>
      </c>
      <c r="E175" s="547" t="s">
        <v>545</v>
      </c>
      <c r="F175" s="552">
        <v>3</v>
      </c>
      <c r="G175" s="545">
        <v>148.47895189180289</v>
      </c>
      <c r="H175" s="545">
        <v>445.43685567540865</v>
      </c>
      <c r="I175" s="547" t="s">
        <v>9009</v>
      </c>
      <c r="J175" s="547" t="s">
        <v>9023</v>
      </c>
      <c r="K175" s="547" t="s">
        <v>9024</v>
      </c>
      <c r="L175" s="537" t="s">
        <v>536</v>
      </c>
    </row>
    <row r="176" spans="1:12" x14ac:dyDescent="0.2">
      <c r="A176" s="547" t="s">
        <v>220</v>
      </c>
      <c r="B176" s="547" t="s">
        <v>7593</v>
      </c>
      <c r="C176" s="547" t="s">
        <v>2097</v>
      </c>
      <c r="D176" s="547" t="s">
        <v>1979</v>
      </c>
      <c r="E176" s="547" t="s">
        <v>545</v>
      </c>
      <c r="F176" s="552">
        <v>3</v>
      </c>
      <c r="G176" s="545">
        <v>180.81096792493096</v>
      </c>
      <c r="H176" s="545">
        <v>542.43290377479286</v>
      </c>
      <c r="I176" s="547" t="s">
        <v>9009</v>
      </c>
      <c r="J176" s="547" t="s">
        <v>9023</v>
      </c>
      <c r="K176" s="547" t="s">
        <v>9024</v>
      </c>
      <c r="L176" s="537" t="s">
        <v>536</v>
      </c>
    </row>
    <row r="177" spans="1:12" x14ac:dyDescent="0.2">
      <c r="A177" s="547" t="s">
        <v>220</v>
      </c>
      <c r="B177" s="547" t="s">
        <v>582</v>
      </c>
      <c r="C177" s="547" t="s">
        <v>1914</v>
      </c>
      <c r="D177" s="547" t="s">
        <v>9097</v>
      </c>
      <c r="E177" s="547" t="s">
        <v>545</v>
      </c>
      <c r="F177" s="552">
        <v>4</v>
      </c>
      <c r="G177" s="545">
        <v>100.36157692410224</v>
      </c>
      <c r="H177" s="545">
        <v>401.44630769640895</v>
      </c>
      <c r="I177" s="547" t="s">
        <v>9009</v>
      </c>
      <c r="J177" s="547" t="s">
        <v>9019</v>
      </c>
      <c r="K177" s="547" t="s">
        <v>9020</v>
      </c>
      <c r="L177" s="537" t="s">
        <v>1911</v>
      </c>
    </row>
    <row r="178" spans="1:12" x14ac:dyDescent="0.2">
      <c r="A178" s="547" t="s">
        <v>220</v>
      </c>
      <c r="B178" s="547" t="s">
        <v>582</v>
      </c>
      <c r="C178" s="547" t="s">
        <v>1920</v>
      </c>
      <c r="D178" s="547" t="s">
        <v>9098</v>
      </c>
      <c r="E178" s="547" t="s">
        <v>545</v>
      </c>
      <c r="F178" s="552">
        <v>2</v>
      </c>
      <c r="G178" s="545">
        <v>69.509026206000897</v>
      </c>
      <c r="H178" s="545">
        <v>139.01805241200179</v>
      </c>
      <c r="I178" s="547" t="s">
        <v>9009</v>
      </c>
      <c r="J178" s="547" t="s">
        <v>9019</v>
      </c>
      <c r="K178" s="547" t="s">
        <v>9020</v>
      </c>
      <c r="L178" s="537" t="s">
        <v>1911</v>
      </c>
    </row>
    <row r="179" spans="1:12" x14ac:dyDescent="0.2">
      <c r="A179" s="547" t="s">
        <v>220</v>
      </c>
      <c r="B179" s="547" t="s">
        <v>7593</v>
      </c>
      <c r="C179" s="547" t="s">
        <v>539</v>
      </c>
      <c r="D179" s="547" t="s">
        <v>9036</v>
      </c>
      <c r="E179" s="547" t="s">
        <v>535</v>
      </c>
      <c r="F179" s="549">
        <v>124.3</v>
      </c>
      <c r="G179" s="545">
        <v>6.3141038910597755</v>
      </c>
      <c r="H179" s="545">
        <v>784.84311365873009</v>
      </c>
      <c r="I179" s="547" t="s">
        <v>9009</v>
      </c>
      <c r="J179" s="547" t="s">
        <v>9011</v>
      </c>
      <c r="K179" s="547" t="s">
        <v>8994</v>
      </c>
      <c r="L179" s="537" t="s">
        <v>541</v>
      </c>
    </row>
    <row r="180" spans="1:12" x14ac:dyDescent="0.2">
      <c r="A180" s="547" t="s">
        <v>220</v>
      </c>
      <c r="B180" s="547" t="s">
        <v>532</v>
      </c>
      <c r="C180" s="547" t="s">
        <v>857</v>
      </c>
      <c r="D180" s="547" t="s">
        <v>858</v>
      </c>
      <c r="E180" s="547" t="s">
        <v>545</v>
      </c>
      <c r="F180" s="552">
        <v>807</v>
      </c>
      <c r="G180" s="545">
        <v>5.8814204624571929</v>
      </c>
      <c r="H180" s="545">
        <v>4746.3063132029547</v>
      </c>
      <c r="I180" s="547" t="s">
        <v>9009</v>
      </c>
      <c r="J180" s="547" t="s">
        <v>9011</v>
      </c>
      <c r="K180" s="547" t="s">
        <v>9068</v>
      </c>
      <c r="L180" s="537" t="s">
        <v>541</v>
      </c>
    </row>
    <row r="181" spans="1:12" x14ac:dyDescent="0.2">
      <c r="A181" s="547" t="s">
        <v>220</v>
      </c>
      <c r="B181" s="547" t="s">
        <v>582</v>
      </c>
      <c r="C181" s="547" t="s">
        <v>1958</v>
      </c>
      <c r="D181" s="547" t="s">
        <v>9492</v>
      </c>
      <c r="E181" s="547" t="s">
        <v>545</v>
      </c>
      <c r="F181" s="552">
        <v>1</v>
      </c>
      <c r="G181" s="545">
        <v>130.48334584556275</v>
      </c>
      <c r="H181" s="545">
        <v>130.48334584556275</v>
      </c>
      <c r="I181" s="547" t="s">
        <v>9009</v>
      </c>
      <c r="J181" s="547" t="s">
        <v>9019</v>
      </c>
      <c r="K181" s="547" t="s">
        <v>9020</v>
      </c>
      <c r="L181" s="537" t="s">
        <v>1911</v>
      </c>
    </row>
    <row r="182" spans="1:12" x14ac:dyDescent="0.2">
      <c r="A182" s="547" t="s">
        <v>220</v>
      </c>
      <c r="B182" s="547" t="s">
        <v>7593</v>
      </c>
      <c r="C182" s="547" t="s">
        <v>859</v>
      </c>
      <c r="D182" s="556" t="s">
        <v>860</v>
      </c>
      <c r="E182" s="547" t="s">
        <v>545</v>
      </c>
      <c r="F182" s="552">
        <v>68</v>
      </c>
      <c r="G182" s="545">
        <v>5.8228035664593607</v>
      </c>
      <c r="H182" s="545">
        <v>395.95064251923651</v>
      </c>
      <c r="I182" s="547" t="s">
        <v>9009</v>
      </c>
      <c r="J182" s="547" t="s">
        <v>9011</v>
      </c>
      <c r="K182" s="547" t="s">
        <v>9068</v>
      </c>
      <c r="L182" s="537" t="s">
        <v>541</v>
      </c>
    </row>
    <row r="183" spans="1:12" x14ac:dyDescent="0.2">
      <c r="A183" s="547" t="s">
        <v>220</v>
      </c>
      <c r="B183" s="547" t="s">
        <v>532</v>
      </c>
      <c r="C183" s="547" t="s">
        <v>9041</v>
      </c>
      <c r="D183" s="547" t="s">
        <v>9493</v>
      </c>
      <c r="E183" s="547" t="s">
        <v>535</v>
      </c>
      <c r="F183" s="557">
        <v>1752</v>
      </c>
      <c r="G183" s="558">
        <v>7.3930071495839798</v>
      </c>
      <c r="H183" s="545">
        <v>12952.548526071132</v>
      </c>
      <c r="I183" s="547" t="s">
        <v>9009</v>
      </c>
      <c r="J183" s="547" t="s">
        <v>536</v>
      </c>
      <c r="K183" s="547" t="s">
        <v>9010</v>
      </c>
      <c r="L183" s="537" t="s">
        <v>536</v>
      </c>
    </row>
    <row r="184" spans="1:12" x14ac:dyDescent="0.2">
      <c r="A184" s="547" t="s">
        <v>220</v>
      </c>
      <c r="B184" s="547" t="s">
        <v>532</v>
      </c>
      <c r="C184" s="547" t="s">
        <v>7412</v>
      </c>
      <c r="D184" s="547" t="s">
        <v>9494</v>
      </c>
      <c r="E184" s="547" t="s">
        <v>535</v>
      </c>
      <c r="F184" s="555">
        <v>1632.0000000000002</v>
      </c>
      <c r="G184" s="545">
        <v>7.4184099269603552</v>
      </c>
      <c r="H184" s="545">
        <v>12106.845000799301</v>
      </c>
      <c r="I184" s="547" t="s">
        <v>9009</v>
      </c>
      <c r="J184" s="547" t="s">
        <v>536</v>
      </c>
      <c r="K184" s="547" t="s">
        <v>9010</v>
      </c>
      <c r="L184" s="537" t="s">
        <v>536</v>
      </c>
    </row>
    <row r="185" spans="1:12" x14ac:dyDescent="0.2">
      <c r="A185" s="547" t="s">
        <v>220</v>
      </c>
      <c r="B185" s="547" t="s">
        <v>802</v>
      </c>
      <c r="C185" s="547" t="s">
        <v>7408</v>
      </c>
      <c r="D185" s="547" t="s">
        <v>9497</v>
      </c>
      <c r="E185" s="547" t="s">
        <v>535</v>
      </c>
      <c r="F185" s="548">
        <v>435</v>
      </c>
      <c r="G185" s="545">
        <v>7.4127739116593805</v>
      </c>
      <c r="H185" s="545">
        <v>3224.5566515718306</v>
      </c>
      <c r="I185" s="547" t="s">
        <v>9009</v>
      </c>
      <c r="J185" s="547" t="s">
        <v>536</v>
      </c>
      <c r="K185" s="547" t="s">
        <v>9010</v>
      </c>
      <c r="L185" s="537" t="s">
        <v>536</v>
      </c>
    </row>
    <row r="186" spans="1:12" x14ac:dyDescent="0.2">
      <c r="A186" s="547" t="s">
        <v>220</v>
      </c>
      <c r="B186" s="547" t="s">
        <v>802</v>
      </c>
      <c r="C186" s="547" t="s">
        <v>9041</v>
      </c>
      <c r="D186" s="547" t="s">
        <v>9498</v>
      </c>
      <c r="E186" s="547" t="s">
        <v>535</v>
      </c>
      <c r="F186" s="548">
        <v>731</v>
      </c>
      <c r="G186" s="545">
        <v>7.3930071495839798</v>
      </c>
      <c r="H186" s="545">
        <v>5404.2882263458896</v>
      </c>
      <c r="I186" s="547" t="s">
        <v>9009</v>
      </c>
      <c r="J186" s="547" t="s">
        <v>536</v>
      </c>
      <c r="K186" s="547" t="s">
        <v>9010</v>
      </c>
      <c r="L186" s="537" t="s">
        <v>536</v>
      </c>
    </row>
    <row r="187" spans="1:12" x14ac:dyDescent="0.2">
      <c r="A187" s="547" t="s">
        <v>220</v>
      </c>
      <c r="B187" s="547" t="s">
        <v>802</v>
      </c>
      <c r="C187" s="547" t="s">
        <v>7423</v>
      </c>
      <c r="D187" s="547" t="s">
        <v>9499</v>
      </c>
      <c r="E187" s="547" t="s">
        <v>535</v>
      </c>
      <c r="F187" s="548">
        <v>2620</v>
      </c>
      <c r="G187" s="545">
        <v>7.4510794700919156</v>
      </c>
      <c r="H187" s="545">
        <v>19521.828211640819</v>
      </c>
      <c r="I187" s="547" t="s">
        <v>9009</v>
      </c>
      <c r="J187" s="547" t="s">
        <v>536</v>
      </c>
      <c r="K187" s="547" t="s">
        <v>9010</v>
      </c>
      <c r="L187" s="537" t="s">
        <v>536</v>
      </c>
    </row>
    <row r="188" spans="1:12" x14ac:dyDescent="0.2">
      <c r="A188" s="547" t="s">
        <v>220</v>
      </c>
      <c r="B188" s="547" t="s">
        <v>532</v>
      </c>
      <c r="C188" s="547" t="s">
        <v>827</v>
      </c>
      <c r="D188" s="547" t="s">
        <v>9500</v>
      </c>
      <c r="E188" s="547" t="s">
        <v>545</v>
      </c>
      <c r="F188" s="552">
        <v>16</v>
      </c>
      <c r="G188" s="545">
        <v>7.9457692462815732</v>
      </c>
      <c r="H188" s="545">
        <v>127.13230794050517</v>
      </c>
      <c r="I188" s="547" t="s">
        <v>9009</v>
      </c>
      <c r="J188" s="547" t="s">
        <v>9011</v>
      </c>
      <c r="K188" s="547" t="s">
        <v>9068</v>
      </c>
      <c r="L188" s="537" t="s">
        <v>541</v>
      </c>
    </row>
    <row r="189" spans="1:12" x14ac:dyDescent="0.2">
      <c r="A189" s="547" t="s">
        <v>220</v>
      </c>
      <c r="B189" s="547" t="s">
        <v>532</v>
      </c>
      <c r="C189" s="547" t="s">
        <v>813</v>
      </c>
      <c r="D189" s="547" t="s">
        <v>9501</v>
      </c>
      <c r="E189" s="547" t="s">
        <v>545</v>
      </c>
      <c r="F189" s="552">
        <v>908</v>
      </c>
      <c r="G189" s="545">
        <v>8.3328387556776438</v>
      </c>
      <c r="H189" s="545">
        <v>7566.217590155301</v>
      </c>
      <c r="I189" s="547" t="s">
        <v>9009</v>
      </c>
      <c r="J189" s="547" t="s">
        <v>9011</v>
      </c>
      <c r="K189" s="547" t="s">
        <v>9068</v>
      </c>
      <c r="L189" s="537" t="s">
        <v>541</v>
      </c>
    </row>
    <row r="190" spans="1:12" x14ac:dyDescent="0.2">
      <c r="A190" s="547" t="s">
        <v>220</v>
      </c>
      <c r="B190" s="547" t="s">
        <v>532</v>
      </c>
      <c r="C190" s="547" t="s">
        <v>9084</v>
      </c>
      <c r="D190" s="547" t="s">
        <v>9085</v>
      </c>
      <c r="E190" s="547" t="s">
        <v>545</v>
      </c>
      <c r="F190" s="552">
        <v>71</v>
      </c>
      <c r="G190" s="545">
        <v>7.8736921901764845</v>
      </c>
      <c r="H190" s="545">
        <v>559.0321455025304</v>
      </c>
      <c r="I190" s="547" t="s">
        <v>9009</v>
      </c>
      <c r="J190" s="547" t="s">
        <v>9011</v>
      </c>
      <c r="K190" s="547" t="s">
        <v>9068</v>
      </c>
      <c r="L190" s="537" t="s">
        <v>541</v>
      </c>
    </row>
    <row r="191" spans="1:12" x14ac:dyDescent="0.2">
      <c r="A191" s="547" t="s">
        <v>220</v>
      </c>
      <c r="B191" s="547" t="s">
        <v>532</v>
      </c>
      <c r="C191" s="547" t="s">
        <v>7533</v>
      </c>
      <c r="D191" s="547" t="s">
        <v>9082</v>
      </c>
      <c r="E191" s="547" t="s">
        <v>545</v>
      </c>
      <c r="F191" s="552">
        <v>30</v>
      </c>
      <c r="G191" s="545">
        <v>4.9356752418747734</v>
      </c>
      <c r="H191" s="545">
        <v>148.0702572562432</v>
      </c>
      <c r="I191" s="547" t="s">
        <v>9009</v>
      </c>
      <c r="J191" s="547" t="s">
        <v>9011</v>
      </c>
      <c r="K191" s="547" t="s">
        <v>9068</v>
      </c>
      <c r="L191" s="537" t="s">
        <v>541</v>
      </c>
    </row>
    <row r="192" spans="1:12" x14ac:dyDescent="0.2">
      <c r="A192" s="547" t="s">
        <v>220</v>
      </c>
      <c r="B192" s="547" t="s">
        <v>532</v>
      </c>
      <c r="C192" s="547" t="s">
        <v>7414</v>
      </c>
      <c r="D192" s="547" t="s">
        <v>9502</v>
      </c>
      <c r="E192" s="547" t="s">
        <v>545</v>
      </c>
      <c r="F192" s="552">
        <v>617.4</v>
      </c>
      <c r="G192" s="545">
        <v>7.4510794700919156</v>
      </c>
      <c r="H192" s="545">
        <v>4600.2964648347488</v>
      </c>
      <c r="I192" s="547" t="s">
        <v>9009</v>
      </c>
      <c r="J192" s="547" t="s">
        <v>536</v>
      </c>
      <c r="K192" s="547" t="s">
        <v>9010</v>
      </c>
      <c r="L192" s="537" t="s">
        <v>536</v>
      </c>
    </row>
    <row r="193" spans="1:12" x14ac:dyDescent="0.2">
      <c r="A193" s="547" t="s">
        <v>220</v>
      </c>
      <c r="B193" s="547" t="s">
        <v>532</v>
      </c>
      <c r="C193" s="547" t="s">
        <v>7413</v>
      </c>
      <c r="D193" s="547" t="s">
        <v>9503</v>
      </c>
      <c r="E193" s="547" t="s">
        <v>545</v>
      </c>
      <c r="F193" s="552">
        <v>561.83399999999995</v>
      </c>
      <c r="G193" s="545">
        <v>7.4518087643638884</v>
      </c>
      <c r="H193" s="545">
        <v>4186.6795253176206</v>
      </c>
      <c r="I193" s="547" t="s">
        <v>9009</v>
      </c>
      <c r="J193" s="547" t="s">
        <v>536</v>
      </c>
      <c r="K193" s="547" t="s">
        <v>9010</v>
      </c>
      <c r="L193" s="537" t="s">
        <v>536</v>
      </c>
    </row>
    <row r="194" spans="1:12" x14ac:dyDescent="0.2">
      <c r="A194" s="547" t="s">
        <v>220</v>
      </c>
      <c r="B194" s="547" t="s">
        <v>2152</v>
      </c>
      <c r="C194" s="547" t="s">
        <v>827</v>
      </c>
      <c r="D194" s="547" t="s">
        <v>828</v>
      </c>
      <c r="E194" s="547" t="s">
        <v>545</v>
      </c>
      <c r="F194" s="559">
        <v>283</v>
      </c>
      <c r="G194" s="545">
        <v>7.9457692462815732</v>
      </c>
      <c r="H194" s="545">
        <v>2248.6526966976853</v>
      </c>
      <c r="I194" s="547" t="s">
        <v>9009</v>
      </c>
      <c r="J194" s="547" t="s">
        <v>9011</v>
      </c>
      <c r="K194" s="547" t="s">
        <v>9068</v>
      </c>
      <c r="L194" s="537" t="s">
        <v>541</v>
      </c>
    </row>
    <row r="195" spans="1:12" x14ac:dyDescent="0.2">
      <c r="A195" s="547" t="s">
        <v>220</v>
      </c>
      <c r="B195" s="547" t="s">
        <v>2152</v>
      </c>
      <c r="C195" s="547" t="s">
        <v>849</v>
      </c>
      <c r="D195" s="547" t="s">
        <v>850</v>
      </c>
      <c r="E195" s="547" t="s">
        <v>545</v>
      </c>
      <c r="F195" s="559">
        <v>144</v>
      </c>
      <c r="G195" s="545">
        <v>4.3059139447251029</v>
      </c>
      <c r="H195" s="545">
        <v>620.05160804041486</v>
      </c>
      <c r="I195" s="547" t="s">
        <v>9009</v>
      </c>
      <c r="J195" s="547" t="s">
        <v>9011</v>
      </c>
      <c r="K195" s="547" t="s">
        <v>9068</v>
      </c>
      <c r="L195" s="537" t="s">
        <v>541</v>
      </c>
    </row>
    <row r="196" spans="1:12" x14ac:dyDescent="0.2">
      <c r="A196" s="547" t="s">
        <v>220</v>
      </c>
      <c r="B196" s="547" t="s">
        <v>2152</v>
      </c>
      <c r="C196" s="547" t="s">
        <v>851</v>
      </c>
      <c r="D196" s="547" t="s">
        <v>852</v>
      </c>
      <c r="E196" s="547" t="s">
        <v>545</v>
      </c>
      <c r="F196" s="559">
        <v>216</v>
      </c>
      <c r="G196" s="545">
        <v>5.4451132845537913</v>
      </c>
      <c r="H196" s="545">
        <v>1176.1444694636189</v>
      </c>
      <c r="I196" s="547" t="s">
        <v>9009</v>
      </c>
      <c r="J196" s="547" t="s">
        <v>9011</v>
      </c>
      <c r="K196" s="547" t="s">
        <v>9068</v>
      </c>
      <c r="L196" s="537" t="s">
        <v>541</v>
      </c>
    </row>
    <row r="197" spans="1:12" x14ac:dyDescent="0.2">
      <c r="A197" s="547" t="s">
        <v>220</v>
      </c>
      <c r="B197" s="547" t="s">
        <v>2152</v>
      </c>
      <c r="C197" s="547" t="s">
        <v>857</v>
      </c>
      <c r="D197" s="547" t="s">
        <v>858</v>
      </c>
      <c r="E197" s="547" t="s">
        <v>545</v>
      </c>
      <c r="F197" s="559">
        <v>123</v>
      </c>
      <c r="G197" s="545">
        <v>5.8814204624571929</v>
      </c>
      <c r="H197" s="545">
        <v>723.41471688223476</v>
      </c>
      <c r="I197" s="547" t="s">
        <v>9009</v>
      </c>
      <c r="J197" s="547" t="s">
        <v>9011</v>
      </c>
      <c r="K197" s="547" t="s">
        <v>9068</v>
      </c>
      <c r="L197" s="537" t="s">
        <v>541</v>
      </c>
    </row>
    <row r="198" spans="1:12" x14ac:dyDescent="0.2">
      <c r="A198" s="547" t="s">
        <v>220</v>
      </c>
      <c r="B198" s="547" t="s">
        <v>2152</v>
      </c>
      <c r="C198" s="547" t="s">
        <v>2153</v>
      </c>
      <c r="D198" s="547" t="s">
        <v>2154</v>
      </c>
      <c r="E198" s="547" t="s">
        <v>545</v>
      </c>
      <c r="F198" s="559">
        <v>211</v>
      </c>
      <c r="G198" s="545">
        <v>9.7258153946003176</v>
      </c>
      <c r="H198" s="545">
        <v>2052.1470482606669</v>
      </c>
      <c r="I198" s="547" t="s">
        <v>9009</v>
      </c>
      <c r="J198" s="547" t="s">
        <v>9011</v>
      </c>
      <c r="K198" s="547" t="s">
        <v>9068</v>
      </c>
      <c r="L198" s="537" t="s">
        <v>541</v>
      </c>
    </row>
    <row r="199" spans="1:12" x14ac:dyDescent="0.2">
      <c r="A199" s="547" t="s">
        <v>220</v>
      </c>
      <c r="B199" s="547" t="s">
        <v>2152</v>
      </c>
      <c r="C199" s="547" t="s">
        <v>876</v>
      </c>
      <c r="D199" s="547" t="s">
        <v>877</v>
      </c>
      <c r="E199" s="547" t="s">
        <v>545</v>
      </c>
      <c r="F199" s="559">
        <v>153</v>
      </c>
      <c r="G199" s="545">
        <v>7.8736921901764845</v>
      </c>
      <c r="H199" s="545">
        <v>1204.674905097002</v>
      </c>
      <c r="I199" s="547" t="s">
        <v>9009</v>
      </c>
      <c r="J199" s="547" t="s">
        <v>9011</v>
      </c>
      <c r="K199" s="547" t="s">
        <v>9068</v>
      </c>
      <c r="L199" s="537" t="s">
        <v>541</v>
      </c>
    </row>
    <row r="200" spans="1:12" x14ac:dyDescent="0.2">
      <c r="A200" s="547" t="s">
        <v>220</v>
      </c>
      <c r="B200" s="547" t="s">
        <v>2152</v>
      </c>
      <c r="C200" s="547" t="s">
        <v>882</v>
      </c>
      <c r="D200" s="547" t="s">
        <v>883</v>
      </c>
      <c r="E200" s="547" t="s">
        <v>545</v>
      </c>
      <c r="F200" s="559">
        <v>172</v>
      </c>
      <c r="G200" s="545">
        <v>11.834600059067652</v>
      </c>
      <c r="H200" s="545">
        <v>2035.5512101596362</v>
      </c>
      <c r="I200" s="547" t="s">
        <v>9009</v>
      </c>
      <c r="J200" s="547" t="s">
        <v>9011</v>
      </c>
      <c r="K200" s="547" t="s">
        <v>9068</v>
      </c>
      <c r="L200" s="537" t="s">
        <v>541</v>
      </c>
    </row>
    <row r="201" spans="1:12" x14ac:dyDescent="0.2">
      <c r="A201" s="547" t="s">
        <v>220</v>
      </c>
      <c r="B201" s="547" t="s">
        <v>2152</v>
      </c>
      <c r="C201" s="547" t="s">
        <v>890</v>
      </c>
      <c r="D201" s="547" t="s">
        <v>891</v>
      </c>
      <c r="E201" s="547" t="s">
        <v>545</v>
      </c>
      <c r="F201" s="559">
        <v>175</v>
      </c>
      <c r="G201" s="545">
        <v>16.100236678529633</v>
      </c>
      <c r="H201" s="545">
        <v>2817.5414187426859</v>
      </c>
      <c r="I201" s="547" t="s">
        <v>9009</v>
      </c>
      <c r="J201" s="547" t="s">
        <v>9011</v>
      </c>
      <c r="K201" s="547" t="s">
        <v>9068</v>
      </c>
      <c r="L201" s="537" t="s">
        <v>541</v>
      </c>
    </row>
    <row r="202" spans="1:12" x14ac:dyDescent="0.2">
      <c r="A202" s="547" t="s">
        <v>220</v>
      </c>
      <c r="B202" s="547" t="s">
        <v>2152</v>
      </c>
      <c r="C202" s="547" t="s">
        <v>894</v>
      </c>
      <c r="D202" s="547" t="s">
        <v>895</v>
      </c>
      <c r="E202" s="547" t="s">
        <v>545</v>
      </c>
      <c r="F202" s="559">
        <v>19</v>
      </c>
      <c r="G202" s="545">
        <v>23.699721802336637</v>
      </c>
      <c r="H202" s="545">
        <v>450.29471424439612</v>
      </c>
      <c r="I202" s="547" t="s">
        <v>9009</v>
      </c>
      <c r="J202" s="547" t="s">
        <v>9011</v>
      </c>
      <c r="K202" s="547" t="s">
        <v>9068</v>
      </c>
      <c r="L202" s="537" t="s">
        <v>541</v>
      </c>
    </row>
    <row r="203" spans="1:12" x14ac:dyDescent="0.2">
      <c r="A203" s="547" t="s">
        <v>220</v>
      </c>
      <c r="B203" s="547" t="s">
        <v>2152</v>
      </c>
      <c r="C203" s="547" t="s">
        <v>902</v>
      </c>
      <c r="D203" s="547" t="s">
        <v>903</v>
      </c>
      <c r="E203" s="547" t="s">
        <v>545</v>
      </c>
      <c r="F203" s="559">
        <v>131</v>
      </c>
      <c r="G203" s="545">
        <v>8.2255219304087159</v>
      </c>
      <c r="H203" s="545">
        <v>1077.5433728835417</v>
      </c>
      <c r="I203" s="547" t="s">
        <v>9009</v>
      </c>
      <c r="J203" s="547" t="s">
        <v>9011</v>
      </c>
      <c r="K203" s="547" t="s">
        <v>9068</v>
      </c>
      <c r="L203" s="537" t="s">
        <v>541</v>
      </c>
    </row>
    <row r="204" spans="1:12" x14ac:dyDescent="0.2">
      <c r="A204" s="547" t="s">
        <v>220</v>
      </c>
      <c r="B204" s="547" t="s">
        <v>2152</v>
      </c>
      <c r="C204" s="547" t="s">
        <v>813</v>
      </c>
      <c r="D204" s="547" t="s">
        <v>904</v>
      </c>
      <c r="E204" s="547" t="s">
        <v>545</v>
      </c>
      <c r="F204" s="559">
        <v>111</v>
      </c>
      <c r="G204" s="545">
        <v>8.3328387556776438</v>
      </c>
      <c r="H204" s="545">
        <v>924.94510188021843</v>
      </c>
      <c r="I204" s="547" t="s">
        <v>9009</v>
      </c>
      <c r="J204" s="547" t="s">
        <v>9011</v>
      </c>
      <c r="K204" s="547" t="s">
        <v>9068</v>
      </c>
      <c r="L204" s="537" t="s">
        <v>541</v>
      </c>
    </row>
    <row r="205" spans="1:12" x14ac:dyDescent="0.2">
      <c r="A205" s="547" t="s">
        <v>220</v>
      </c>
      <c r="B205" s="547" t="s">
        <v>2152</v>
      </c>
      <c r="C205" s="547" t="s">
        <v>2155</v>
      </c>
      <c r="D205" s="547" t="s">
        <v>2156</v>
      </c>
      <c r="E205" s="547" t="s">
        <v>545</v>
      </c>
      <c r="F205" s="559">
        <v>736</v>
      </c>
      <c r="G205" s="545">
        <v>7.5318441523671078</v>
      </c>
      <c r="H205" s="545">
        <v>5543.4372961421914</v>
      </c>
      <c r="I205" s="547" t="s">
        <v>9009</v>
      </c>
      <c r="J205" s="547" t="s">
        <v>9011</v>
      </c>
      <c r="K205" s="547" t="s">
        <v>9068</v>
      </c>
      <c r="L205" s="537" t="s">
        <v>541</v>
      </c>
    </row>
    <row r="206" spans="1:12" x14ac:dyDescent="0.2">
      <c r="A206" s="547" t="s">
        <v>220</v>
      </c>
      <c r="B206" s="547" t="s">
        <v>2152</v>
      </c>
      <c r="C206" s="547" t="s">
        <v>909</v>
      </c>
      <c r="D206" s="547" t="s">
        <v>2157</v>
      </c>
      <c r="E206" s="547" t="s">
        <v>545</v>
      </c>
      <c r="F206" s="559">
        <v>360</v>
      </c>
      <c r="G206" s="545">
        <v>5.3465483171323109</v>
      </c>
      <c r="H206" s="545">
        <v>1924.7573941676319</v>
      </c>
      <c r="I206" s="547" t="s">
        <v>9009</v>
      </c>
      <c r="J206" s="547" t="s">
        <v>9011</v>
      </c>
      <c r="K206" s="547" t="s">
        <v>9068</v>
      </c>
      <c r="L206" s="537" t="s">
        <v>541</v>
      </c>
    </row>
    <row r="207" spans="1:12" x14ac:dyDescent="0.2">
      <c r="A207" s="547" t="s">
        <v>220</v>
      </c>
      <c r="B207" s="547" t="s">
        <v>2152</v>
      </c>
      <c r="C207" s="547" t="s">
        <v>911</v>
      </c>
      <c r="D207" s="547" t="s">
        <v>2158</v>
      </c>
      <c r="E207" s="547" t="s">
        <v>545</v>
      </c>
      <c r="F207" s="559">
        <v>770</v>
      </c>
      <c r="G207" s="545">
        <v>5.6279861703687351</v>
      </c>
      <c r="H207" s="545">
        <v>4333.5493511839259</v>
      </c>
      <c r="I207" s="547" t="s">
        <v>9009</v>
      </c>
      <c r="J207" s="547" t="s">
        <v>9011</v>
      </c>
      <c r="K207" s="547" t="s">
        <v>9068</v>
      </c>
      <c r="L207" s="537" t="s">
        <v>541</v>
      </c>
    </row>
    <row r="208" spans="1:12" x14ac:dyDescent="0.2">
      <c r="A208" s="547" t="s">
        <v>220</v>
      </c>
      <c r="B208" s="547" t="s">
        <v>2152</v>
      </c>
      <c r="C208" s="547" t="s">
        <v>913</v>
      </c>
      <c r="D208" s="547" t="s">
        <v>2159</v>
      </c>
      <c r="E208" s="547" t="s">
        <v>545</v>
      </c>
      <c r="F208" s="559">
        <v>1320</v>
      </c>
      <c r="G208" s="545">
        <v>5.854190761007608</v>
      </c>
      <c r="H208" s="545">
        <v>7727.5318045300428</v>
      </c>
      <c r="I208" s="547" t="s">
        <v>9009</v>
      </c>
      <c r="J208" s="547" t="s">
        <v>9011</v>
      </c>
      <c r="K208" s="547" t="s">
        <v>9068</v>
      </c>
      <c r="L208" s="537" t="s">
        <v>541</v>
      </c>
    </row>
    <row r="209" spans="1:12" x14ac:dyDescent="0.2">
      <c r="A209" s="547" t="s">
        <v>220</v>
      </c>
      <c r="B209" s="547" t="s">
        <v>2152</v>
      </c>
      <c r="C209" s="547" t="s">
        <v>937</v>
      </c>
      <c r="D209" s="547" t="s">
        <v>2160</v>
      </c>
      <c r="E209" s="547" t="s">
        <v>545</v>
      </c>
      <c r="F209" s="559">
        <v>1908</v>
      </c>
      <c r="G209" s="545">
        <v>3.9316464368815778</v>
      </c>
      <c r="H209" s="545">
        <v>7501.5814015700507</v>
      </c>
      <c r="I209" s="547" t="s">
        <v>9009</v>
      </c>
      <c r="J209" s="547" t="s">
        <v>9011</v>
      </c>
      <c r="K209" s="547" t="s">
        <v>9068</v>
      </c>
      <c r="L209" s="537" t="s">
        <v>541</v>
      </c>
    </row>
    <row r="210" spans="1:12" x14ac:dyDescent="0.2">
      <c r="A210" s="547" t="s">
        <v>220</v>
      </c>
      <c r="B210" s="547" t="s">
        <v>2152</v>
      </c>
      <c r="C210" s="547" t="s">
        <v>957</v>
      </c>
      <c r="D210" s="547" t="s">
        <v>958</v>
      </c>
      <c r="E210" s="547" t="s">
        <v>545</v>
      </c>
      <c r="F210" s="559">
        <v>650</v>
      </c>
      <c r="G210" s="545">
        <v>4.3222877881831794</v>
      </c>
      <c r="H210" s="545">
        <v>2809.4870623190668</v>
      </c>
      <c r="I210" s="547" t="s">
        <v>9009</v>
      </c>
      <c r="J210" s="547" t="s">
        <v>9011</v>
      </c>
      <c r="K210" s="547" t="s">
        <v>9068</v>
      </c>
      <c r="L210" s="537" t="s">
        <v>541</v>
      </c>
    </row>
    <row r="211" spans="1:12" x14ac:dyDescent="0.2">
      <c r="A211" s="547" t="s">
        <v>220</v>
      </c>
      <c r="B211" s="547" t="s">
        <v>2152</v>
      </c>
      <c r="C211" s="547" t="s">
        <v>959</v>
      </c>
      <c r="D211" s="547" t="s">
        <v>2161</v>
      </c>
      <c r="E211" s="547" t="s">
        <v>545</v>
      </c>
      <c r="F211" s="559">
        <v>3941</v>
      </c>
      <c r="G211" s="545">
        <v>4.8473673058411544</v>
      </c>
      <c r="H211" s="545">
        <v>19103.474552319989</v>
      </c>
      <c r="I211" s="547" t="s">
        <v>9009</v>
      </c>
      <c r="J211" s="547" t="s">
        <v>9011</v>
      </c>
      <c r="K211" s="547" t="s">
        <v>9068</v>
      </c>
      <c r="L211" s="537" t="s">
        <v>541</v>
      </c>
    </row>
    <row r="212" spans="1:12" x14ac:dyDescent="0.2">
      <c r="A212" s="547" t="s">
        <v>220</v>
      </c>
      <c r="B212" s="547" t="s">
        <v>2152</v>
      </c>
      <c r="C212" s="547" t="s">
        <v>971</v>
      </c>
      <c r="D212" s="547" t="s">
        <v>2162</v>
      </c>
      <c r="E212" s="547" t="s">
        <v>545</v>
      </c>
      <c r="F212" s="559">
        <v>2199</v>
      </c>
      <c r="G212" s="545">
        <v>4.9620482233337002</v>
      </c>
      <c r="H212" s="545">
        <v>10911.544043110807</v>
      </c>
      <c r="I212" s="547" t="s">
        <v>9009</v>
      </c>
      <c r="J212" s="547" t="s">
        <v>9011</v>
      </c>
      <c r="K212" s="547" t="s">
        <v>9068</v>
      </c>
      <c r="L212" s="537" t="s">
        <v>541</v>
      </c>
    </row>
    <row r="213" spans="1:12" x14ac:dyDescent="0.2">
      <c r="A213" s="547" t="s">
        <v>220</v>
      </c>
      <c r="B213" s="547" t="s">
        <v>2152</v>
      </c>
      <c r="C213" s="547" t="s">
        <v>985</v>
      </c>
      <c r="D213" s="547" t="s">
        <v>2163</v>
      </c>
      <c r="E213" s="547" t="s">
        <v>545</v>
      </c>
      <c r="F213" s="559">
        <v>5746</v>
      </c>
      <c r="G213" s="545">
        <v>5.9880505636578114</v>
      </c>
      <c r="H213" s="545">
        <v>34407.338538777782</v>
      </c>
      <c r="I213" s="547" t="s">
        <v>9009</v>
      </c>
      <c r="J213" s="547" t="s">
        <v>9011</v>
      </c>
      <c r="K213" s="547" t="s">
        <v>9068</v>
      </c>
      <c r="L213" s="537" t="s">
        <v>541</v>
      </c>
    </row>
    <row r="214" spans="1:12" x14ac:dyDescent="0.2">
      <c r="A214" s="547" t="s">
        <v>220</v>
      </c>
      <c r="B214" s="547" t="s">
        <v>2152</v>
      </c>
      <c r="C214" s="547" t="s">
        <v>1007</v>
      </c>
      <c r="D214" s="547" t="s">
        <v>2164</v>
      </c>
      <c r="E214" s="547" t="s">
        <v>545</v>
      </c>
      <c r="F214" s="559">
        <v>661</v>
      </c>
      <c r="G214" s="545">
        <v>7.0411855665611025</v>
      </c>
      <c r="H214" s="545">
        <v>4654.223659496889</v>
      </c>
      <c r="I214" s="547" t="s">
        <v>9009</v>
      </c>
      <c r="J214" s="547" t="s">
        <v>9011</v>
      </c>
      <c r="K214" s="547" t="s">
        <v>9068</v>
      </c>
      <c r="L214" s="537" t="s">
        <v>541</v>
      </c>
    </row>
    <row r="215" spans="1:12" x14ac:dyDescent="0.2">
      <c r="A215" s="547" t="s">
        <v>220</v>
      </c>
      <c r="B215" s="547" t="s">
        <v>2152</v>
      </c>
      <c r="C215" s="547" t="s">
        <v>1009</v>
      </c>
      <c r="D215" s="547" t="s">
        <v>2165</v>
      </c>
      <c r="E215" s="547" t="s">
        <v>545</v>
      </c>
      <c r="F215" s="559">
        <v>210</v>
      </c>
      <c r="G215" s="545">
        <v>7.1245275922579561</v>
      </c>
      <c r="H215" s="545">
        <v>1496.1507943741708</v>
      </c>
      <c r="I215" s="547" t="s">
        <v>9009</v>
      </c>
      <c r="J215" s="547" t="s">
        <v>9011</v>
      </c>
      <c r="K215" s="547" t="s">
        <v>9068</v>
      </c>
      <c r="L215" s="537" t="s">
        <v>541</v>
      </c>
    </row>
    <row r="216" spans="1:12" x14ac:dyDescent="0.2">
      <c r="A216" s="547" t="s">
        <v>220</v>
      </c>
      <c r="B216" s="547" t="s">
        <v>2152</v>
      </c>
      <c r="C216" s="547" t="s">
        <v>2166</v>
      </c>
      <c r="D216" s="547" t="s">
        <v>2167</v>
      </c>
      <c r="E216" s="547" t="s">
        <v>545</v>
      </c>
      <c r="F216" s="559">
        <v>1164</v>
      </c>
      <c r="G216" s="545">
        <v>7.6764845528992485</v>
      </c>
      <c r="H216" s="545">
        <v>8935.4280195747251</v>
      </c>
      <c r="I216" s="547" t="s">
        <v>9009</v>
      </c>
      <c r="J216" s="547" t="s">
        <v>9011</v>
      </c>
      <c r="K216" s="547" t="s">
        <v>9068</v>
      </c>
      <c r="L216" s="537" t="s">
        <v>541</v>
      </c>
    </row>
    <row r="217" spans="1:12" x14ac:dyDescent="0.2">
      <c r="A217" s="547" t="s">
        <v>220</v>
      </c>
      <c r="B217" s="547" t="s">
        <v>2152</v>
      </c>
      <c r="C217" s="547" t="s">
        <v>2168</v>
      </c>
      <c r="D217" s="547" t="s">
        <v>2169</v>
      </c>
      <c r="E217" s="547" t="s">
        <v>545</v>
      </c>
      <c r="F217" s="559">
        <v>455</v>
      </c>
      <c r="G217" s="545">
        <v>7.560044501699501</v>
      </c>
      <c r="H217" s="545">
        <v>3439.8202482732731</v>
      </c>
      <c r="I217" s="547" t="s">
        <v>9009</v>
      </c>
      <c r="J217" s="547" t="s">
        <v>9011</v>
      </c>
      <c r="K217" s="547" t="s">
        <v>9068</v>
      </c>
      <c r="L217" s="537" t="s">
        <v>541</v>
      </c>
    </row>
    <row r="218" spans="1:12" x14ac:dyDescent="0.2">
      <c r="A218" s="547" t="s">
        <v>220</v>
      </c>
      <c r="B218" s="547" t="s">
        <v>2152</v>
      </c>
      <c r="C218" s="547" t="s">
        <v>1021</v>
      </c>
      <c r="D218" s="547" t="s">
        <v>1022</v>
      </c>
      <c r="E218" s="547" t="s">
        <v>545</v>
      </c>
      <c r="F218" s="559">
        <v>139</v>
      </c>
      <c r="G218" s="545">
        <v>4.3210521017805297</v>
      </c>
      <c r="H218" s="545">
        <v>600.6262421474936</v>
      </c>
      <c r="I218" s="547" t="s">
        <v>9009</v>
      </c>
      <c r="J218" s="547" t="s">
        <v>9011</v>
      </c>
      <c r="K218" s="547" t="s">
        <v>9068</v>
      </c>
      <c r="L218" s="537" t="s">
        <v>541</v>
      </c>
    </row>
    <row r="219" spans="1:12" x14ac:dyDescent="0.2">
      <c r="A219" s="547" t="s">
        <v>220</v>
      </c>
      <c r="B219" s="547" t="s">
        <v>2152</v>
      </c>
      <c r="C219" s="547" t="s">
        <v>1027</v>
      </c>
      <c r="D219" s="547" t="s">
        <v>9210</v>
      </c>
      <c r="E219" s="547" t="s">
        <v>545</v>
      </c>
      <c r="F219" s="559">
        <v>784</v>
      </c>
      <c r="G219" s="545">
        <v>10.890478945301657</v>
      </c>
      <c r="H219" s="545">
        <v>8538.1354931164988</v>
      </c>
      <c r="I219" s="547" t="s">
        <v>9009</v>
      </c>
      <c r="J219" s="547" t="s">
        <v>9011</v>
      </c>
      <c r="K219" s="547" t="s">
        <v>9068</v>
      </c>
      <c r="L219" s="537" t="s">
        <v>541</v>
      </c>
    </row>
    <row r="220" spans="1:12" x14ac:dyDescent="0.2">
      <c r="A220" s="547" t="s">
        <v>220</v>
      </c>
      <c r="B220" s="547" t="s">
        <v>2152</v>
      </c>
      <c r="C220" s="547" t="s">
        <v>1031</v>
      </c>
      <c r="D220" s="547" t="s">
        <v>1032</v>
      </c>
      <c r="E220" s="547" t="s">
        <v>545</v>
      </c>
      <c r="F220" s="559">
        <v>306</v>
      </c>
      <c r="G220" s="545">
        <v>6.3177269143451706</v>
      </c>
      <c r="H220" s="545">
        <v>1933.2244357896222</v>
      </c>
      <c r="I220" s="547" t="s">
        <v>9009</v>
      </c>
      <c r="J220" s="547" t="s">
        <v>9011</v>
      </c>
      <c r="K220" s="547" t="s">
        <v>9068</v>
      </c>
      <c r="L220" s="537" t="s">
        <v>541</v>
      </c>
    </row>
    <row r="221" spans="1:12" x14ac:dyDescent="0.2">
      <c r="A221" s="547" t="s">
        <v>220</v>
      </c>
      <c r="B221" s="547" t="s">
        <v>2152</v>
      </c>
      <c r="C221" s="547" t="s">
        <v>1033</v>
      </c>
      <c r="D221" s="547" t="s">
        <v>9211</v>
      </c>
      <c r="E221" s="547" t="s">
        <v>545</v>
      </c>
      <c r="F221" s="559">
        <v>32</v>
      </c>
      <c r="G221" s="545">
        <v>3.4670000000000001</v>
      </c>
      <c r="H221" s="545">
        <v>110.944</v>
      </c>
      <c r="I221" s="547" t="s">
        <v>9009</v>
      </c>
      <c r="J221" s="547" t="s">
        <v>9011</v>
      </c>
      <c r="K221" s="547" t="s">
        <v>9068</v>
      </c>
      <c r="L221" s="537" t="s">
        <v>541</v>
      </c>
    </row>
    <row r="222" spans="1:12" x14ac:dyDescent="0.2">
      <c r="A222" s="547" t="s">
        <v>220</v>
      </c>
      <c r="B222" s="547" t="s">
        <v>2152</v>
      </c>
      <c r="C222" s="547" t="s">
        <v>1035</v>
      </c>
      <c r="D222" s="547" t="s">
        <v>9212</v>
      </c>
      <c r="E222" s="547" t="s">
        <v>545</v>
      </c>
      <c r="F222" s="559">
        <v>958</v>
      </c>
      <c r="G222" s="545">
        <v>7.4506442602233012</v>
      </c>
      <c r="H222" s="545">
        <v>7137.7172012939227</v>
      </c>
      <c r="I222" s="547" t="s">
        <v>9009</v>
      </c>
      <c r="J222" s="547" t="s">
        <v>9011</v>
      </c>
      <c r="K222" s="547" t="s">
        <v>9068</v>
      </c>
      <c r="L222" s="537" t="s">
        <v>541</v>
      </c>
    </row>
    <row r="223" spans="1:12" x14ac:dyDescent="0.2">
      <c r="A223" s="547" t="s">
        <v>220</v>
      </c>
      <c r="B223" s="547" t="s">
        <v>2152</v>
      </c>
      <c r="C223" s="547" t="s">
        <v>1037</v>
      </c>
      <c r="D223" s="547" t="s">
        <v>9213</v>
      </c>
      <c r="E223" s="547" t="s">
        <v>545</v>
      </c>
      <c r="F223" s="559">
        <v>163</v>
      </c>
      <c r="G223" s="545">
        <v>8.9541844410378246</v>
      </c>
      <c r="H223" s="545">
        <v>1459.5320638891653</v>
      </c>
      <c r="I223" s="547" t="s">
        <v>9009</v>
      </c>
      <c r="J223" s="547" t="s">
        <v>9011</v>
      </c>
      <c r="K223" s="547" t="s">
        <v>9068</v>
      </c>
      <c r="L223" s="537" t="s">
        <v>541</v>
      </c>
    </row>
    <row r="224" spans="1:12" x14ac:dyDescent="0.2">
      <c r="A224" s="547" t="s">
        <v>220</v>
      </c>
      <c r="B224" s="547" t="s">
        <v>2152</v>
      </c>
      <c r="C224" s="547" t="s">
        <v>1039</v>
      </c>
      <c r="D224" s="547" t="s">
        <v>9214</v>
      </c>
      <c r="E224" s="547" t="s">
        <v>545</v>
      </c>
      <c r="F224" s="559">
        <v>49</v>
      </c>
      <c r="G224" s="545">
        <v>12.199833565124555</v>
      </c>
      <c r="H224" s="545">
        <v>597.79184469110317</v>
      </c>
      <c r="I224" s="547" t="s">
        <v>9009</v>
      </c>
      <c r="J224" s="547" t="s">
        <v>9011</v>
      </c>
      <c r="K224" s="547" t="s">
        <v>9068</v>
      </c>
      <c r="L224" s="537" t="s">
        <v>541</v>
      </c>
    </row>
    <row r="225" spans="1:12" x14ac:dyDescent="0.2">
      <c r="A225" s="547" t="s">
        <v>220</v>
      </c>
      <c r="B225" s="547" t="s">
        <v>2152</v>
      </c>
      <c r="C225" s="547" t="s">
        <v>1146</v>
      </c>
      <c r="D225" s="547" t="s">
        <v>2170</v>
      </c>
      <c r="E225" s="547" t="s">
        <v>545</v>
      </c>
      <c r="F225" s="559">
        <v>1400</v>
      </c>
      <c r="G225" s="545">
        <v>0.04</v>
      </c>
      <c r="H225" s="545">
        <v>56</v>
      </c>
      <c r="I225" s="547" t="s">
        <v>9009</v>
      </c>
      <c r="J225" s="547" t="s">
        <v>9015</v>
      </c>
      <c r="K225" s="547" t="s">
        <v>8996</v>
      </c>
      <c r="L225" s="537" t="s">
        <v>541</v>
      </c>
    </row>
    <row r="226" spans="1:12" x14ac:dyDescent="0.2">
      <c r="A226" s="547" t="s">
        <v>220</v>
      </c>
      <c r="B226" s="547" t="s">
        <v>2152</v>
      </c>
      <c r="C226" s="547" t="s">
        <v>2171</v>
      </c>
      <c r="D226" s="547" t="s">
        <v>2172</v>
      </c>
      <c r="E226" s="547" t="s">
        <v>545</v>
      </c>
      <c r="F226" s="559">
        <v>2670</v>
      </c>
      <c r="G226" s="545">
        <v>0.27994328621908127</v>
      </c>
      <c r="H226" s="545">
        <v>747.44857420494702</v>
      </c>
      <c r="I226" s="547" t="s">
        <v>9009</v>
      </c>
      <c r="J226" s="547" t="s">
        <v>9015</v>
      </c>
      <c r="K226" s="547" t="s">
        <v>8996</v>
      </c>
      <c r="L226" s="537" t="s">
        <v>541</v>
      </c>
    </row>
    <row r="227" spans="1:12" x14ac:dyDescent="0.2">
      <c r="A227" s="547" t="s">
        <v>220</v>
      </c>
      <c r="B227" s="547" t="s">
        <v>2152</v>
      </c>
      <c r="C227" s="547" t="s">
        <v>2173</v>
      </c>
      <c r="D227" s="547" t="s">
        <v>2174</v>
      </c>
      <c r="E227" s="547" t="s">
        <v>545</v>
      </c>
      <c r="F227" s="559">
        <v>1500</v>
      </c>
      <c r="G227" s="545">
        <v>0.21687358490566039</v>
      </c>
      <c r="H227" s="545">
        <v>325.3103773584906</v>
      </c>
      <c r="I227" s="547" t="s">
        <v>9009</v>
      </c>
      <c r="J227" s="547" t="s">
        <v>9015</v>
      </c>
      <c r="K227" s="547" t="s">
        <v>8996</v>
      </c>
      <c r="L227" s="537" t="s">
        <v>541</v>
      </c>
    </row>
    <row r="228" spans="1:12" x14ac:dyDescent="0.2">
      <c r="A228" s="547" t="s">
        <v>220</v>
      </c>
      <c r="B228" s="547" t="s">
        <v>2152</v>
      </c>
      <c r="C228" s="547" t="s">
        <v>2175</v>
      </c>
      <c r="D228" s="547" t="s">
        <v>2176</v>
      </c>
      <c r="E228" s="547" t="s">
        <v>545</v>
      </c>
      <c r="F228" s="559">
        <v>400</v>
      </c>
      <c r="G228" s="545">
        <v>0.13</v>
      </c>
      <c r="H228" s="545">
        <v>52</v>
      </c>
      <c r="I228" s="547" t="s">
        <v>9009</v>
      </c>
      <c r="J228" s="547" t="s">
        <v>9015</v>
      </c>
      <c r="K228" s="547" t="s">
        <v>8996</v>
      </c>
      <c r="L228" s="537" t="s">
        <v>541</v>
      </c>
    </row>
    <row r="229" spans="1:12" x14ac:dyDescent="0.2">
      <c r="A229" s="547" t="s">
        <v>220</v>
      </c>
      <c r="B229" s="547" t="s">
        <v>2152</v>
      </c>
      <c r="C229" s="547" t="s">
        <v>2177</v>
      </c>
      <c r="D229" s="547" t="s">
        <v>2178</v>
      </c>
      <c r="E229" s="547" t="s">
        <v>545</v>
      </c>
      <c r="F229" s="559">
        <v>150</v>
      </c>
      <c r="G229" s="545">
        <v>2.9794999999999998</v>
      </c>
      <c r="H229" s="545">
        <v>446.92499999999995</v>
      </c>
      <c r="I229" s="547" t="s">
        <v>9009</v>
      </c>
      <c r="J229" s="547" t="s">
        <v>9015</v>
      </c>
      <c r="K229" s="547" t="s">
        <v>8996</v>
      </c>
      <c r="L229" s="537" t="s">
        <v>541</v>
      </c>
    </row>
    <row r="230" spans="1:12" x14ac:dyDescent="0.2">
      <c r="A230" s="547" t="s">
        <v>220</v>
      </c>
      <c r="B230" s="547" t="s">
        <v>2152</v>
      </c>
      <c r="C230" s="547" t="s">
        <v>2179</v>
      </c>
      <c r="D230" s="547" t="s">
        <v>2180</v>
      </c>
      <c r="E230" s="547" t="s">
        <v>545</v>
      </c>
      <c r="F230" s="559">
        <v>1500</v>
      </c>
      <c r="G230" s="545">
        <v>0.25755</v>
      </c>
      <c r="H230" s="545">
        <v>386.32499999999999</v>
      </c>
      <c r="I230" s="547" t="s">
        <v>9009</v>
      </c>
      <c r="J230" s="547" t="s">
        <v>9015</v>
      </c>
      <c r="K230" s="547" t="s">
        <v>8996</v>
      </c>
      <c r="L230" s="537" t="s">
        <v>541</v>
      </c>
    </row>
    <row r="231" spans="1:12" x14ac:dyDescent="0.2">
      <c r="A231" s="547" t="s">
        <v>220</v>
      </c>
      <c r="B231" s="547" t="s">
        <v>2152</v>
      </c>
      <c r="C231" s="547" t="s">
        <v>2181</v>
      </c>
      <c r="D231" s="547" t="s">
        <v>2182</v>
      </c>
      <c r="E231" s="547" t="s">
        <v>545</v>
      </c>
      <c r="F231" s="559">
        <v>500</v>
      </c>
      <c r="G231" s="545">
        <v>0.31655998148353298</v>
      </c>
      <c r="H231" s="545">
        <v>158.27999074176648</v>
      </c>
      <c r="I231" s="547" t="s">
        <v>9009</v>
      </c>
      <c r="J231" s="547" t="s">
        <v>9015</v>
      </c>
      <c r="K231" s="547" t="s">
        <v>8996</v>
      </c>
      <c r="L231" s="537" t="s">
        <v>541</v>
      </c>
    </row>
    <row r="232" spans="1:12" x14ac:dyDescent="0.2">
      <c r="A232" s="547" t="s">
        <v>220</v>
      </c>
      <c r="B232" s="547" t="s">
        <v>2152</v>
      </c>
      <c r="C232" s="547" t="s">
        <v>2183</v>
      </c>
      <c r="D232" s="547" t="s">
        <v>2184</v>
      </c>
      <c r="E232" s="547" t="s">
        <v>545</v>
      </c>
      <c r="F232" s="559">
        <v>1000</v>
      </c>
      <c r="G232" s="545">
        <v>0.24745</v>
      </c>
      <c r="H232" s="545">
        <v>247.45000000000002</v>
      </c>
      <c r="I232" s="547" t="s">
        <v>9009</v>
      </c>
      <c r="J232" s="547" t="s">
        <v>9015</v>
      </c>
      <c r="K232" s="547" t="s">
        <v>8996</v>
      </c>
      <c r="L232" s="537" t="s">
        <v>541</v>
      </c>
    </row>
    <row r="233" spans="1:12" x14ac:dyDescent="0.2">
      <c r="A233" s="547" t="s">
        <v>220</v>
      </c>
      <c r="B233" s="547" t="s">
        <v>2152</v>
      </c>
      <c r="C233" s="547" t="s">
        <v>2185</v>
      </c>
      <c r="D233" s="547" t="s">
        <v>2186</v>
      </c>
      <c r="E233" s="547" t="s">
        <v>545</v>
      </c>
      <c r="F233" s="559">
        <v>1000</v>
      </c>
      <c r="G233" s="545">
        <v>0.38031635542247016</v>
      </c>
      <c r="H233" s="545">
        <v>380.31635542247017</v>
      </c>
      <c r="I233" s="547" t="s">
        <v>9009</v>
      </c>
      <c r="J233" s="547" t="s">
        <v>9015</v>
      </c>
      <c r="K233" s="547" t="s">
        <v>8996</v>
      </c>
      <c r="L233" s="537" t="s">
        <v>541</v>
      </c>
    </row>
    <row r="234" spans="1:12" x14ac:dyDescent="0.2">
      <c r="A234" s="547" t="s">
        <v>220</v>
      </c>
      <c r="B234" s="547" t="s">
        <v>2152</v>
      </c>
      <c r="C234" s="547" t="s">
        <v>2187</v>
      </c>
      <c r="D234" s="547" t="s">
        <v>2188</v>
      </c>
      <c r="E234" s="547" t="s">
        <v>545</v>
      </c>
      <c r="F234" s="559">
        <v>2500</v>
      </c>
      <c r="G234" s="545">
        <v>0.34593227430373091</v>
      </c>
      <c r="H234" s="545">
        <v>864.83068575932725</v>
      </c>
      <c r="I234" s="547" t="s">
        <v>9009</v>
      </c>
      <c r="J234" s="547" t="s">
        <v>9015</v>
      </c>
      <c r="K234" s="547" t="s">
        <v>8996</v>
      </c>
      <c r="L234" s="537" t="s">
        <v>541</v>
      </c>
    </row>
    <row r="235" spans="1:12" x14ac:dyDescent="0.2">
      <c r="A235" s="547" t="s">
        <v>220</v>
      </c>
      <c r="B235" s="547" t="s">
        <v>2152</v>
      </c>
      <c r="C235" s="547" t="s">
        <v>2189</v>
      </c>
      <c r="D235" s="547" t="s">
        <v>2190</v>
      </c>
      <c r="E235" s="547" t="s">
        <v>545</v>
      </c>
      <c r="F235" s="559">
        <v>3000</v>
      </c>
      <c r="G235" s="545">
        <v>0.52613787528868361</v>
      </c>
      <c r="H235" s="545">
        <v>1578.4136258660508</v>
      </c>
      <c r="I235" s="547" t="s">
        <v>9009</v>
      </c>
      <c r="J235" s="547" t="s">
        <v>9015</v>
      </c>
      <c r="K235" s="547" t="s">
        <v>8996</v>
      </c>
      <c r="L235" s="537" t="s">
        <v>541</v>
      </c>
    </row>
    <row r="236" spans="1:12" x14ac:dyDescent="0.2">
      <c r="A236" s="547" t="s">
        <v>220</v>
      </c>
      <c r="B236" s="547" t="s">
        <v>2152</v>
      </c>
      <c r="C236" s="547" t="s">
        <v>2191</v>
      </c>
      <c r="D236" s="547" t="s">
        <v>2192</v>
      </c>
      <c r="E236" s="547" t="s">
        <v>545</v>
      </c>
      <c r="F236" s="559">
        <v>2000</v>
      </c>
      <c r="G236" s="545">
        <v>0.25755</v>
      </c>
      <c r="H236" s="545">
        <v>515.1</v>
      </c>
      <c r="I236" s="547" t="s">
        <v>9009</v>
      </c>
      <c r="J236" s="547" t="s">
        <v>9015</v>
      </c>
      <c r="K236" s="547" t="s">
        <v>8996</v>
      </c>
      <c r="L236" s="537" t="s">
        <v>541</v>
      </c>
    </row>
    <row r="237" spans="1:12" x14ac:dyDescent="0.2">
      <c r="A237" s="547" t="s">
        <v>220</v>
      </c>
      <c r="B237" s="547" t="s">
        <v>2152</v>
      </c>
      <c r="C237" s="547" t="s">
        <v>2193</v>
      </c>
      <c r="D237" s="547" t="s">
        <v>2194</v>
      </c>
      <c r="E237" s="547" t="s">
        <v>545</v>
      </c>
      <c r="F237" s="559">
        <v>3000</v>
      </c>
      <c r="G237" s="545">
        <v>0.23520000000000002</v>
      </c>
      <c r="H237" s="545">
        <v>705.6</v>
      </c>
      <c r="I237" s="547" t="s">
        <v>9009</v>
      </c>
      <c r="J237" s="547" t="s">
        <v>9015</v>
      </c>
      <c r="K237" s="547" t="s">
        <v>8996</v>
      </c>
      <c r="L237" s="537" t="s">
        <v>541</v>
      </c>
    </row>
    <row r="238" spans="1:12" x14ac:dyDescent="0.2">
      <c r="A238" s="547" t="s">
        <v>220</v>
      </c>
      <c r="B238" s="547" t="s">
        <v>2152</v>
      </c>
      <c r="C238" s="547" t="s">
        <v>2195</v>
      </c>
      <c r="D238" s="547" t="s">
        <v>2196</v>
      </c>
      <c r="E238" s="547" t="s">
        <v>545</v>
      </c>
      <c r="F238" s="559">
        <v>500</v>
      </c>
      <c r="G238" s="545">
        <v>0.24</v>
      </c>
      <c r="H238" s="545">
        <v>120</v>
      </c>
      <c r="I238" s="547" t="s">
        <v>9009</v>
      </c>
      <c r="J238" s="547" t="s">
        <v>9015</v>
      </c>
      <c r="K238" s="547" t="s">
        <v>8996</v>
      </c>
      <c r="L238" s="537" t="s">
        <v>541</v>
      </c>
    </row>
    <row r="239" spans="1:12" x14ac:dyDescent="0.2">
      <c r="A239" s="547" t="s">
        <v>220</v>
      </c>
      <c r="B239" s="547" t="s">
        <v>2152</v>
      </c>
      <c r="C239" s="547" t="s">
        <v>2197</v>
      </c>
      <c r="D239" s="547" t="s">
        <v>2198</v>
      </c>
      <c r="E239" s="547" t="s">
        <v>545</v>
      </c>
      <c r="F239" s="559">
        <v>3100</v>
      </c>
      <c r="G239" s="545">
        <v>0.27929999999999999</v>
      </c>
      <c r="H239" s="545">
        <v>865.82999999999993</v>
      </c>
      <c r="I239" s="547" t="s">
        <v>9009</v>
      </c>
      <c r="J239" s="547" t="s">
        <v>9015</v>
      </c>
      <c r="K239" s="547" t="s">
        <v>8996</v>
      </c>
      <c r="L239" s="537" t="s">
        <v>541</v>
      </c>
    </row>
    <row r="240" spans="1:12" x14ac:dyDescent="0.2">
      <c r="A240" s="547" t="s">
        <v>220</v>
      </c>
      <c r="B240" s="547" t="s">
        <v>2152</v>
      </c>
      <c r="C240" s="547" t="s">
        <v>1306</v>
      </c>
      <c r="D240" s="547" t="s">
        <v>1307</v>
      </c>
      <c r="E240" s="547" t="s">
        <v>545</v>
      </c>
      <c r="F240" s="559">
        <v>1500</v>
      </c>
      <c r="G240" s="545">
        <v>0.30528988899645421</v>
      </c>
      <c r="H240" s="545">
        <v>457.9348334946813</v>
      </c>
      <c r="I240" s="547" t="s">
        <v>9009</v>
      </c>
      <c r="J240" s="547" t="s">
        <v>9015</v>
      </c>
      <c r="K240" s="547" t="s">
        <v>8996</v>
      </c>
      <c r="L240" s="537" t="s">
        <v>541</v>
      </c>
    </row>
    <row r="241" spans="1:12" x14ac:dyDescent="0.2">
      <c r="A241" s="547" t="s">
        <v>220</v>
      </c>
      <c r="B241" s="547" t="s">
        <v>2152</v>
      </c>
      <c r="C241" s="547" t="s">
        <v>1308</v>
      </c>
      <c r="D241" s="547" t="s">
        <v>1309</v>
      </c>
      <c r="E241" s="547" t="s">
        <v>545</v>
      </c>
      <c r="F241" s="559">
        <v>2500</v>
      </c>
      <c r="G241" s="545">
        <v>0.54727052307402646</v>
      </c>
      <c r="H241" s="545">
        <v>1368.1763076850661</v>
      </c>
      <c r="I241" s="547" t="s">
        <v>9009</v>
      </c>
      <c r="J241" s="547" t="s">
        <v>9015</v>
      </c>
      <c r="K241" s="547" t="s">
        <v>8996</v>
      </c>
      <c r="L241" s="537" t="s">
        <v>541</v>
      </c>
    </row>
    <row r="242" spans="1:12" x14ac:dyDescent="0.2">
      <c r="A242" s="547" t="s">
        <v>220</v>
      </c>
      <c r="B242" s="547" t="s">
        <v>2152</v>
      </c>
      <c r="C242" s="547" t="s">
        <v>2199</v>
      </c>
      <c r="D242" s="547" t="s">
        <v>2200</v>
      </c>
      <c r="E242" s="547" t="s">
        <v>545</v>
      </c>
      <c r="F242" s="559">
        <v>4512</v>
      </c>
      <c r="G242" s="545">
        <v>0.5179883361683012</v>
      </c>
      <c r="H242" s="545">
        <v>2337.163372791375</v>
      </c>
      <c r="I242" s="547" t="s">
        <v>9009</v>
      </c>
      <c r="J242" s="547" t="s">
        <v>9015</v>
      </c>
      <c r="K242" s="547" t="s">
        <v>8996</v>
      </c>
      <c r="L242" s="537" t="s">
        <v>541</v>
      </c>
    </row>
    <row r="243" spans="1:12" x14ac:dyDescent="0.2">
      <c r="A243" s="547" t="s">
        <v>220</v>
      </c>
      <c r="B243" s="547" t="s">
        <v>2152</v>
      </c>
      <c r="C243" s="547" t="s">
        <v>1310</v>
      </c>
      <c r="D243" s="547" t="s">
        <v>1311</v>
      </c>
      <c r="E243" s="547" t="s">
        <v>545</v>
      </c>
      <c r="F243" s="559">
        <v>400</v>
      </c>
      <c r="G243" s="545">
        <v>1.3230641258607909</v>
      </c>
      <c r="H243" s="545">
        <v>529.22565034431636</v>
      </c>
      <c r="I243" s="547" t="s">
        <v>9009</v>
      </c>
      <c r="J243" s="547" t="s">
        <v>9015</v>
      </c>
      <c r="K243" s="547" t="s">
        <v>8996</v>
      </c>
      <c r="L243" s="537" t="s">
        <v>541</v>
      </c>
    </row>
    <row r="244" spans="1:12" x14ac:dyDescent="0.2">
      <c r="A244" s="547" t="s">
        <v>220</v>
      </c>
      <c r="B244" s="547" t="s">
        <v>2152</v>
      </c>
      <c r="C244" s="547" t="s">
        <v>2201</v>
      </c>
      <c r="D244" s="547" t="s">
        <v>2202</v>
      </c>
      <c r="E244" s="547" t="s">
        <v>545</v>
      </c>
      <c r="F244" s="559">
        <v>1700</v>
      </c>
      <c r="G244" s="545">
        <v>0.5252</v>
      </c>
      <c r="H244" s="545">
        <v>892.84</v>
      </c>
      <c r="I244" s="547" t="s">
        <v>9009</v>
      </c>
      <c r="J244" s="547" t="s">
        <v>9015</v>
      </c>
      <c r="K244" s="547" t="s">
        <v>8996</v>
      </c>
      <c r="L244" s="537" t="s">
        <v>541</v>
      </c>
    </row>
    <row r="245" spans="1:12" x14ac:dyDescent="0.2">
      <c r="A245" s="547" t="s">
        <v>220</v>
      </c>
      <c r="B245" s="547" t="s">
        <v>2152</v>
      </c>
      <c r="C245" s="547" t="s">
        <v>2203</v>
      </c>
      <c r="D245" s="547" t="s">
        <v>2204</v>
      </c>
      <c r="E245" s="547" t="s">
        <v>545</v>
      </c>
      <c r="F245" s="559">
        <v>2922</v>
      </c>
      <c r="G245" s="545">
        <v>0.43394054054054054</v>
      </c>
      <c r="H245" s="545">
        <v>1267.9742594594595</v>
      </c>
      <c r="I245" s="547" t="s">
        <v>9009</v>
      </c>
      <c r="J245" s="547" t="s">
        <v>9015</v>
      </c>
      <c r="K245" s="547" t="s">
        <v>8996</v>
      </c>
      <c r="L245" s="537" t="s">
        <v>541</v>
      </c>
    </row>
    <row r="246" spans="1:12" x14ac:dyDescent="0.2">
      <c r="A246" s="547" t="s">
        <v>220</v>
      </c>
      <c r="B246" s="547" t="s">
        <v>2152</v>
      </c>
      <c r="C246" s="547" t="s">
        <v>2205</v>
      </c>
      <c r="D246" s="547" t="s">
        <v>2206</v>
      </c>
      <c r="E246" s="547" t="s">
        <v>545</v>
      </c>
      <c r="F246" s="559">
        <v>500</v>
      </c>
      <c r="G246" s="545">
        <v>0.30804999999999999</v>
      </c>
      <c r="H246" s="545">
        <v>154.02500000000001</v>
      </c>
      <c r="I246" s="547" t="s">
        <v>9009</v>
      </c>
      <c r="J246" s="547" t="s">
        <v>9015</v>
      </c>
      <c r="K246" s="547" t="s">
        <v>8996</v>
      </c>
      <c r="L246" s="537" t="s">
        <v>541</v>
      </c>
    </row>
    <row r="247" spans="1:12" x14ac:dyDescent="0.2">
      <c r="A247" s="547" t="s">
        <v>220</v>
      </c>
      <c r="B247" s="547" t="s">
        <v>2152</v>
      </c>
      <c r="C247" s="547" t="s">
        <v>2207</v>
      </c>
      <c r="D247" s="547" t="s">
        <v>2208</v>
      </c>
      <c r="E247" s="547" t="s">
        <v>545</v>
      </c>
      <c r="F247" s="559">
        <v>1000</v>
      </c>
      <c r="G247" s="545">
        <v>0.38887059473350172</v>
      </c>
      <c r="H247" s="545">
        <v>388.87059473350172</v>
      </c>
      <c r="I247" s="547" t="s">
        <v>9009</v>
      </c>
      <c r="J247" s="547" t="s">
        <v>9015</v>
      </c>
      <c r="K247" s="547" t="s">
        <v>8996</v>
      </c>
      <c r="L247" s="537" t="s">
        <v>541</v>
      </c>
    </row>
    <row r="248" spans="1:12" x14ac:dyDescent="0.2">
      <c r="A248" s="547" t="s">
        <v>220</v>
      </c>
      <c r="B248" s="547" t="s">
        <v>2152</v>
      </c>
      <c r="C248" s="547" t="s">
        <v>2209</v>
      </c>
      <c r="D248" s="547" t="s">
        <v>2210</v>
      </c>
      <c r="E248" s="547" t="s">
        <v>545</v>
      </c>
      <c r="F248" s="559">
        <v>1500</v>
      </c>
      <c r="G248" s="545">
        <v>0.27777639182522906</v>
      </c>
      <c r="H248" s="545">
        <v>416.66458773784359</v>
      </c>
      <c r="I248" s="547" t="s">
        <v>9009</v>
      </c>
      <c r="J248" s="547" t="s">
        <v>9015</v>
      </c>
      <c r="K248" s="547" t="s">
        <v>8996</v>
      </c>
      <c r="L248" s="537" t="s">
        <v>541</v>
      </c>
    </row>
    <row r="249" spans="1:12" x14ac:dyDescent="0.2">
      <c r="A249" s="547" t="s">
        <v>220</v>
      </c>
      <c r="B249" s="547" t="s">
        <v>2152</v>
      </c>
      <c r="C249" s="547" t="s">
        <v>2211</v>
      </c>
      <c r="D249" s="547" t="s">
        <v>2212</v>
      </c>
      <c r="E249" s="547" t="s">
        <v>545</v>
      </c>
      <c r="F249" s="559">
        <v>2000</v>
      </c>
      <c r="G249" s="545">
        <v>0.5252</v>
      </c>
      <c r="H249" s="545">
        <v>1050.4000000000001</v>
      </c>
      <c r="I249" s="547" t="s">
        <v>9009</v>
      </c>
      <c r="J249" s="547" t="s">
        <v>9015</v>
      </c>
      <c r="K249" s="547" t="s">
        <v>8996</v>
      </c>
      <c r="L249" s="537" t="s">
        <v>541</v>
      </c>
    </row>
    <row r="250" spans="1:12" x14ac:dyDescent="0.2">
      <c r="A250" s="547" t="s">
        <v>220</v>
      </c>
      <c r="B250" s="547" t="s">
        <v>2152</v>
      </c>
      <c r="C250" s="547" t="s">
        <v>2213</v>
      </c>
      <c r="D250" s="547" t="s">
        <v>2214</v>
      </c>
      <c r="E250" s="547" t="s">
        <v>545</v>
      </c>
      <c r="F250" s="559">
        <v>1000</v>
      </c>
      <c r="G250" s="545">
        <v>0.17728474576271186</v>
      </c>
      <c r="H250" s="545">
        <v>177.28474576271185</v>
      </c>
      <c r="I250" s="547" t="s">
        <v>9009</v>
      </c>
      <c r="J250" s="547" t="s">
        <v>9015</v>
      </c>
      <c r="K250" s="547" t="s">
        <v>8996</v>
      </c>
      <c r="L250" s="537" t="s">
        <v>541</v>
      </c>
    </row>
    <row r="251" spans="1:12" x14ac:dyDescent="0.2">
      <c r="A251" s="547" t="s">
        <v>220</v>
      </c>
      <c r="B251" s="547" t="s">
        <v>2152</v>
      </c>
      <c r="C251" s="547" t="s">
        <v>2215</v>
      </c>
      <c r="D251" s="547" t="s">
        <v>2216</v>
      </c>
      <c r="E251" s="547" t="s">
        <v>545</v>
      </c>
      <c r="F251" s="559">
        <v>2600</v>
      </c>
      <c r="G251" s="545">
        <v>0.2643177602198557</v>
      </c>
      <c r="H251" s="545">
        <v>687.22617657162482</v>
      </c>
      <c r="I251" s="547" t="s">
        <v>9009</v>
      </c>
      <c r="J251" s="547" t="s">
        <v>9015</v>
      </c>
      <c r="K251" s="547" t="s">
        <v>8996</v>
      </c>
      <c r="L251" s="537" t="s">
        <v>541</v>
      </c>
    </row>
    <row r="252" spans="1:12" x14ac:dyDescent="0.2">
      <c r="A252" s="547" t="s">
        <v>220</v>
      </c>
      <c r="B252" s="547" t="s">
        <v>2152</v>
      </c>
      <c r="C252" s="547" t="s">
        <v>2217</v>
      </c>
      <c r="D252" s="547" t="s">
        <v>2218</v>
      </c>
      <c r="E252" s="547" t="s">
        <v>545</v>
      </c>
      <c r="F252" s="559">
        <v>2000</v>
      </c>
      <c r="G252" s="545">
        <v>0.21210000000000001</v>
      </c>
      <c r="H252" s="545">
        <v>424.20000000000005</v>
      </c>
      <c r="I252" s="547" t="s">
        <v>9009</v>
      </c>
      <c r="J252" s="547" t="s">
        <v>9015</v>
      </c>
      <c r="K252" s="547" t="s">
        <v>8996</v>
      </c>
      <c r="L252" s="537" t="s">
        <v>541</v>
      </c>
    </row>
    <row r="253" spans="1:12" x14ac:dyDescent="0.2">
      <c r="A253" s="547" t="s">
        <v>220</v>
      </c>
      <c r="B253" s="547" t="s">
        <v>2152</v>
      </c>
      <c r="C253" s="547" t="s">
        <v>2219</v>
      </c>
      <c r="D253" s="547" t="s">
        <v>2220</v>
      </c>
      <c r="E253" s="547" t="s">
        <v>545</v>
      </c>
      <c r="F253" s="559">
        <v>1100</v>
      </c>
      <c r="G253" s="545">
        <v>0.31303508531644125</v>
      </c>
      <c r="H253" s="545">
        <v>344.3385938480854</v>
      </c>
      <c r="I253" s="547" t="s">
        <v>9009</v>
      </c>
      <c r="J253" s="547" t="s">
        <v>9015</v>
      </c>
      <c r="K253" s="547" t="s">
        <v>8996</v>
      </c>
      <c r="L253" s="537" t="s">
        <v>541</v>
      </c>
    </row>
    <row r="254" spans="1:12" x14ac:dyDescent="0.2">
      <c r="A254" s="547" t="s">
        <v>220</v>
      </c>
      <c r="B254" s="547" t="s">
        <v>2152</v>
      </c>
      <c r="C254" s="547" t="s">
        <v>2221</v>
      </c>
      <c r="D254" s="547" t="s">
        <v>2222</v>
      </c>
      <c r="E254" s="547" t="s">
        <v>545</v>
      </c>
      <c r="F254" s="559">
        <v>2100</v>
      </c>
      <c r="G254" s="545">
        <v>0.36359999999999998</v>
      </c>
      <c r="H254" s="545">
        <v>763.56</v>
      </c>
      <c r="I254" s="547" t="s">
        <v>9009</v>
      </c>
      <c r="J254" s="547" t="s">
        <v>9015</v>
      </c>
      <c r="K254" s="547" t="s">
        <v>8996</v>
      </c>
      <c r="L254" s="537" t="s">
        <v>541</v>
      </c>
    </row>
    <row r="255" spans="1:12" x14ac:dyDescent="0.2">
      <c r="A255" s="547" t="s">
        <v>220</v>
      </c>
      <c r="B255" s="547" t="s">
        <v>2152</v>
      </c>
      <c r="C255" s="547" t="s">
        <v>2223</v>
      </c>
      <c r="D255" s="547" t="s">
        <v>2224</v>
      </c>
      <c r="E255" s="547" t="s">
        <v>545</v>
      </c>
      <c r="F255" s="559">
        <v>1000</v>
      </c>
      <c r="G255" s="545">
        <v>0.2727</v>
      </c>
      <c r="H255" s="545">
        <v>272.7</v>
      </c>
      <c r="I255" s="547" t="s">
        <v>9009</v>
      </c>
      <c r="J255" s="547" t="s">
        <v>9015</v>
      </c>
      <c r="K255" s="547" t="s">
        <v>8996</v>
      </c>
      <c r="L255" s="537" t="s">
        <v>541</v>
      </c>
    </row>
    <row r="256" spans="1:12" x14ac:dyDescent="0.2">
      <c r="A256" s="547" t="s">
        <v>220</v>
      </c>
      <c r="B256" s="547" t="s">
        <v>2152</v>
      </c>
      <c r="C256" s="547" t="s">
        <v>2225</v>
      </c>
      <c r="D256" s="547" t="s">
        <v>2226</v>
      </c>
      <c r="E256" s="547" t="s">
        <v>545</v>
      </c>
      <c r="F256" s="559">
        <v>500</v>
      </c>
      <c r="G256" s="545">
        <v>0.30804999999999999</v>
      </c>
      <c r="H256" s="545">
        <v>154.02500000000001</v>
      </c>
      <c r="I256" s="547" t="s">
        <v>9009</v>
      </c>
      <c r="J256" s="547" t="s">
        <v>9015</v>
      </c>
      <c r="K256" s="547" t="s">
        <v>8996</v>
      </c>
      <c r="L256" s="537" t="s">
        <v>541</v>
      </c>
    </row>
    <row r="257" spans="1:12" x14ac:dyDescent="0.2">
      <c r="A257" s="547" t="s">
        <v>220</v>
      </c>
      <c r="B257" s="547" t="s">
        <v>2152</v>
      </c>
      <c r="C257" s="547" t="s">
        <v>2227</v>
      </c>
      <c r="D257" s="547" t="s">
        <v>2228</v>
      </c>
      <c r="E257" s="547" t="s">
        <v>545</v>
      </c>
      <c r="F257" s="559">
        <v>1000</v>
      </c>
      <c r="G257" s="545">
        <v>0.60599999999999998</v>
      </c>
      <c r="H257" s="545">
        <v>606</v>
      </c>
      <c r="I257" s="547" t="s">
        <v>9009</v>
      </c>
      <c r="J257" s="547" t="s">
        <v>9015</v>
      </c>
      <c r="K257" s="547" t="s">
        <v>8996</v>
      </c>
      <c r="L257" s="537" t="s">
        <v>541</v>
      </c>
    </row>
    <row r="258" spans="1:12" x14ac:dyDescent="0.2">
      <c r="A258" s="547" t="s">
        <v>220</v>
      </c>
      <c r="B258" s="547" t="s">
        <v>2152</v>
      </c>
      <c r="C258" s="547" t="s">
        <v>2229</v>
      </c>
      <c r="D258" s="547" t="s">
        <v>2230</v>
      </c>
      <c r="E258" s="547" t="s">
        <v>545</v>
      </c>
      <c r="F258" s="559">
        <v>2000</v>
      </c>
      <c r="G258" s="545">
        <v>0.23786557377049181</v>
      </c>
      <c r="H258" s="545">
        <v>475.73114754098361</v>
      </c>
      <c r="I258" s="547" t="s">
        <v>9009</v>
      </c>
      <c r="J258" s="547" t="s">
        <v>9015</v>
      </c>
      <c r="K258" s="547" t="s">
        <v>8996</v>
      </c>
      <c r="L258" s="537" t="s">
        <v>541</v>
      </c>
    </row>
    <row r="259" spans="1:12" x14ac:dyDescent="0.2">
      <c r="A259" s="547" t="s">
        <v>220</v>
      </c>
      <c r="B259" s="547" t="s">
        <v>2152</v>
      </c>
      <c r="C259" s="547" t="s">
        <v>2231</v>
      </c>
      <c r="D259" s="547" t="s">
        <v>2232</v>
      </c>
      <c r="E259" s="547" t="s">
        <v>545</v>
      </c>
      <c r="F259" s="559">
        <v>2000</v>
      </c>
      <c r="G259" s="545">
        <v>0.29795000000000005</v>
      </c>
      <c r="H259" s="545">
        <v>595.90000000000009</v>
      </c>
      <c r="I259" s="547" t="s">
        <v>9009</v>
      </c>
      <c r="J259" s="547" t="s">
        <v>9015</v>
      </c>
      <c r="K259" s="547" t="s">
        <v>8996</v>
      </c>
      <c r="L259" s="537" t="s">
        <v>541</v>
      </c>
    </row>
    <row r="260" spans="1:12" x14ac:dyDescent="0.2">
      <c r="A260" s="547" t="s">
        <v>220</v>
      </c>
      <c r="B260" s="547" t="s">
        <v>2152</v>
      </c>
      <c r="C260" s="547" t="s">
        <v>2233</v>
      </c>
      <c r="D260" s="547" t="s">
        <v>2234</v>
      </c>
      <c r="E260" s="547" t="s">
        <v>545</v>
      </c>
      <c r="F260" s="559">
        <v>5630</v>
      </c>
      <c r="G260" s="545">
        <v>0.36707888008272732</v>
      </c>
      <c r="H260" s="545">
        <v>2066.6540948657548</v>
      </c>
      <c r="I260" s="547" t="s">
        <v>9009</v>
      </c>
      <c r="J260" s="547" t="s">
        <v>9015</v>
      </c>
      <c r="K260" s="547" t="s">
        <v>8996</v>
      </c>
      <c r="L260" s="537" t="s">
        <v>541</v>
      </c>
    </row>
    <row r="261" spans="1:12" x14ac:dyDescent="0.2">
      <c r="A261" s="547" t="s">
        <v>220</v>
      </c>
      <c r="B261" s="547" t="s">
        <v>2152</v>
      </c>
      <c r="C261" s="547" t="s">
        <v>1428</v>
      </c>
      <c r="D261" s="547" t="s">
        <v>1429</v>
      </c>
      <c r="E261" s="547" t="s">
        <v>545</v>
      </c>
      <c r="F261" s="559">
        <v>8600</v>
      </c>
      <c r="G261" s="545">
        <v>0.39836501182033096</v>
      </c>
      <c r="H261" s="545">
        <v>3425.9391016548461</v>
      </c>
      <c r="I261" s="547" t="s">
        <v>9009</v>
      </c>
      <c r="J261" s="547" t="s">
        <v>9015</v>
      </c>
      <c r="K261" s="547" t="s">
        <v>8996</v>
      </c>
      <c r="L261" s="537" t="s">
        <v>541</v>
      </c>
    </row>
    <row r="262" spans="1:12" x14ac:dyDescent="0.2">
      <c r="A262" s="547" t="s">
        <v>220</v>
      </c>
      <c r="B262" s="547" t="s">
        <v>2152</v>
      </c>
      <c r="C262" s="547" t="s">
        <v>1430</v>
      </c>
      <c r="D262" s="547" t="s">
        <v>1431</v>
      </c>
      <c r="E262" s="547" t="s">
        <v>545</v>
      </c>
      <c r="F262" s="559">
        <v>8750</v>
      </c>
      <c r="G262" s="545">
        <v>0.3723225924795418</v>
      </c>
      <c r="H262" s="545">
        <v>3257.8226841959909</v>
      </c>
      <c r="I262" s="547" t="s">
        <v>9009</v>
      </c>
      <c r="J262" s="547" t="s">
        <v>9015</v>
      </c>
      <c r="K262" s="547" t="s">
        <v>8996</v>
      </c>
      <c r="L262" s="537" t="s">
        <v>541</v>
      </c>
    </row>
    <row r="263" spans="1:12" x14ac:dyDescent="0.2">
      <c r="A263" s="547" t="s">
        <v>220</v>
      </c>
      <c r="B263" s="547" t="s">
        <v>2152</v>
      </c>
      <c r="C263" s="547" t="s">
        <v>1432</v>
      </c>
      <c r="D263" s="547" t="s">
        <v>1433</v>
      </c>
      <c r="E263" s="547" t="s">
        <v>545</v>
      </c>
      <c r="F263" s="559">
        <v>7800</v>
      </c>
      <c r="G263" s="545">
        <v>0.47470000000000007</v>
      </c>
      <c r="H263" s="545">
        <v>3702.6600000000003</v>
      </c>
      <c r="I263" s="547" t="s">
        <v>9009</v>
      </c>
      <c r="J263" s="547" t="s">
        <v>9015</v>
      </c>
      <c r="K263" s="547" t="s">
        <v>8996</v>
      </c>
      <c r="L263" s="537" t="s">
        <v>541</v>
      </c>
    </row>
    <row r="264" spans="1:12" x14ac:dyDescent="0.2">
      <c r="A264" s="547" t="s">
        <v>220</v>
      </c>
      <c r="B264" s="547" t="s">
        <v>2152</v>
      </c>
      <c r="C264" s="547" t="s">
        <v>1434</v>
      </c>
      <c r="D264" s="547" t="s">
        <v>1435</v>
      </c>
      <c r="E264" s="547" t="s">
        <v>545</v>
      </c>
      <c r="F264" s="559">
        <v>6096</v>
      </c>
      <c r="G264" s="545">
        <v>0.48984999999999995</v>
      </c>
      <c r="H264" s="545">
        <v>2986.1255999999998</v>
      </c>
      <c r="I264" s="547" t="s">
        <v>9009</v>
      </c>
      <c r="J264" s="547" t="s">
        <v>9015</v>
      </c>
      <c r="K264" s="547" t="s">
        <v>8996</v>
      </c>
      <c r="L264" s="537" t="s">
        <v>541</v>
      </c>
    </row>
    <row r="265" spans="1:12" x14ac:dyDescent="0.2">
      <c r="A265" s="547" t="s">
        <v>220</v>
      </c>
      <c r="B265" s="547" t="s">
        <v>2152</v>
      </c>
      <c r="C265" s="547" t="s">
        <v>2235</v>
      </c>
      <c r="D265" s="547" t="s">
        <v>1437</v>
      </c>
      <c r="E265" s="547" t="s">
        <v>545</v>
      </c>
      <c r="F265" s="559">
        <v>6500</v>
      </c>
      <c r="G265" s="545">
        <v>0.63629999999999998</v>
      </c>
      <c r="H265" s="545">
        <v>4135.95</v>
      </c>
      <c r="I265" s="547" t="s">
        <v>9009</v>
      </c>
      <c r="J265" s="547" t="s">
        <v>9015</v>
      </c>
      <c r="K265" s="547" t="s">
        <v>8996</v>
      </c>
      <c r="L265" s="537" t="s">
        <v>541</v>
      </c>
    </row>
    <row r="266" spans="1:12" x14ac:dyDescent="0.2">
      <c r="A266" s="547" t="s">
        <v>220</v>
      </c>
      <c r="B266" s="547" t="s">
        <v>2152</v>
      </c>
      <c r="C266" s="547" t="s">
        <v>2236</v>
      </c>
      <c r="D266" s="547" t="s">
        <v>2237</v>
      </c>
      <c r="E266" s="547" t="s">
        <v>545</v>
      </c>
      <c r="F266" s="559">
        <v>3000</v>
      </c>
      <c r="G266" s="545">
        <v>0.1</v>
      </c>
      <c r="H266" s="545">
        <v>300</v>
      </c>
      <c r="I266" s="547" t="s">
        <v>9009</v>
      </c>
      <c r="J266" s="547" t="s">
        <v>9015</v>
      </c>
      <c r="K266" s="547" t="s">
        <v>8996</v>
      </c>
      <c r="L266" s="537" t="s">
        <v>541</v>
      </c>
    </row>
    <row r="267" spans="1:12" x14ac:dyDescent="0.2">
      <c r="A267" s="547" t="s">
        <v>220</v>
      </c>
      <c r="B267" s="547" t="s">
        <v>2152</v>
      </c>
      <c r="C267" s="547" t="s">
        <v>2238</v>
      </c>
      <c r="D267" s="547" t="s">
        <v>2239</v>
      </c>
      <c r="E267" s="547" t="s">
        <v>545</v>
      </c>
      <c r="F267" s="559">
        <v>2500</v>
      </c>
      <c r="G267" s="545">
        <v>0.06</v>
      </c>
      <c r="H267" s="545">
        <v>150</v>
      </c>
      <c r="I267" s="547" t="s">
        <v>9009</v>
      </c>
      <c r="J267" s="547" t="s">
        <v>9015</v>
      </c>
      <c r="K267" s="547" t="s">
        <v>8996</v>
      </c>
      <c r="L267" s="537" t="s">
        <v>541</v>
      </c>
    </row>
    <row r="268" spans="1:12" x14ac:dyDescent="0.2">
      <c r="A268" s="547" t="s">
        <v>220</v>
      </c>
      <c r="B268" s="547" t="s">
        <v>2152</v>
      </c>
      <c r="C268" s="547" t="s">
        <v>2240</v>
      </c>
      <c r="D268" s="547" t="s">
        <v>2241</v>
      </c>
      <c r="E268" s="547" t="s">
        <v>545</v>
      </c>
      <c r="F268" s="559">
        <v>2500</v>
      </c>
      <c r="G268" s="545">
        <v>0.2518296529968454</v>
      </c>
      <c r="H268" s="545">
        <v>629.57413249211345</v>
      </c>
      <c r="I268" s="547" t="s">
        <v>9009</v>
      </c>
      <c r="J268" s="547" t="s">
        <v>9015</v>
      </c>
      <c r="K268" s="547" t="s">
        <v>8996</v>
      </c>
      <c r="L268" s="537" t="s">
        <v>541</v>
      </c>
    </row>
    <row r="269" spans="1:12" x14ac:dyDescent="0.2">
      <c r="A269" s="547" t="s">
        <v>220</v>
      </c>
      <c r="B269" s="547" t="s">
        <v>2152</v>
      </c>
      <c r="C269" s="547" t="s">
        <v>2242</v>
      </c>
      <c r="D269" s="547" t="s">
        <v>2243</v>
      </c>
      <c r="E269" s="547" t="s">
        <v>545</v>
      </c>
      <c r="F269" s="559">
        <v>2000</v>
      </c>
      <c r="G269" s="545">
        <v>0.22724999999999995</v>
      </c>
      <c r="H269" s="545">
        <v>454.49999999999989</v>
      </c>
      <c r="I269" s="547" t="s">
        <v>9009</v>
      </c>
      <c r="J269" s="547" t="s">
        <v>9015</v>
      </c>
      <c r="K269" s="547" t="s">
        <v>8996</v>
      </c>
      <c r="L269" s="537" t="s">
        <v>541</v>
      </c>
    </row>
    <row r="270" spans="1:12" x14ac:dyDescent="0.2">
      <c r="A270" s="547" t="s">
        <v>220</v>
      </c>
      <c r="B270" s="547" t="s">
        <v>2152</v>
      </c>
      <c r="C270" s="547" t="s">
        <v>2244</v>
      </c>
      <c r="D270" s="547" t="s">
        <v>2245</v>
      </c>
      <c r="E270" s="547" t="s">
        <v>545</v>
      </c>
      <c r="F270" s="559">
        <v>1500</v>
      </c>
      <c r="G270" s="545">
        <v>0.27659480063693587</v>
      </c>
      <c r="H270" s="545">
        <v>414.89220095540378</v>
      </c>
      <c r="I270" s="547" t="s">
        <v>9009</v>
      </c>
      <c r="J270" s="547" t="s">
        <v>9015</v>
      </c>
      <c r="K270" s="547" t="s">
        <v>8996</v>
      </c>
      <c r="L270" s="537" t="s">
        <v>541</v>
      </c>
    </row>
    <row r="271" spans="1:12" x14ac:dyDescent="0.2">
      <c r="A271" s="547" t="s">
        <v>220</v>
      </c>
      <c r="B271" s="547" t="s">
        <v>2152</v>
      </c>
      <c r="C271" s="547" t="s">
        <v>2246</v>
      </c>
      <c r="D271" s="547" t="s">
        <v>2247</v>
      </c>
      <c r="E271" s="547" t="s">
        <v>545</v>
      </c>
      <c r="F271" s="559">
        <v>2200</v>
      </c>
      <c r="G271" s="545">
        <v>0.30299999999999999</v>
      </c>
      <c r="H271" s="545">
        <v>666.6</v>
      </c>
      <c r="I271" s="547" t="s">
        <v>9009</v>
      </c>
      <c r="J271" s="547" t="s">
        <v>9015</v>
      </c>
      <c r="K271" s="547" t="s">
        <v>8996</v>
      </c>
      <c r="L271" s="537" t="s">
        <v>541</v>
      </c>
    </row>
    <row r="272" spans="1:12" x14ac:dyDescent="0.2">
      <c r="A272" s="547" t="s">
        <v>220</v>
      </c>
      <c r="B272" s="547" t="s">
        <v>2152</v>
      </c>
      <c r="C272" s="547" t="s">
        <v>2248</v>
      </c>
      <c r="D272" s="547" t="s">
        <v>2249</v>
      </c>
      <c r="E272" s="547" t="s">
        <v>545</v>
      </c>
      <c r="F272" s="559">
        <v>2200</v>
      </c>
      <c r="G272" s="545">
        <v>0.30299999999999999</v>
      </c>
      <c r="H272" s="545">
        <v>666.6</v>
      </c>
      <c r="I272" s="547" t="s">
        <v>9009</v>
      </c>
      <c r="J272" s="547" t="s">
        <v>9015</v>
      </c>
      <c r="K272" s="547" t="s">
        <v>8996</v>
      </c>
      <c r="L272" s="537" t="s">
        <v>541</v>
      </c>
    </row>
    <row r="273" spans="1:12" x14ac:dyDescent="0.2">
      <c r="A273" s="547" t="s">
        <v>220</v>
      </c>
      <c r="B273" s="547" t="s">
        <v>2152</v>
      </c>
      <c r="C273" s="547" t="s">
        <v>2250</v>
      </c>
      <c r="D273" s="547" t="s">
        <v>2251</v>
      </c>
      <c r="E273" s="547" t="s">
        <v>545</v>
      </c>
      <c r="F273" s="559">
        <v>3000</v>
      </c>
      <c r="G273" s="545">
        <v>0.37010515374331554</v>
      </c>
      <c r="H273" s="545">
        <v>1110.3154612299465</v>
      </c>
      <c r="I273" s="547" t="s">
        <v>9009</v>
      </c>
      <c r="J273" s="547" t="s">
        <v>9015</v>
      </c>
      <c r="K273" s="547" t="s">
        <v>8996</v>
      </c>
      <c r="L273" s="537" t="s">
        <v>541</v>
      </c>
    </row>
    <row r="274" spans="1:12" x14ac:dyDescent="0.2">
      <c r="A274" s="547" t="s">
        <v>220</v>
      </c>
      <c r="B274" s="547" t="s">
        <v>2152</v>
      </c>
      <c r="C274" s="547" t="s">
        <v>2252</v>
      </c>
      <c r="D274" s="547" t="s">
        <v>2253</v>
      </c>
      <c r="E274" s="547" t="s">
        <v>545</v>
      </c>
      <c r="F274" s="559">
        <v>1000</v>
      </c>
      <c r="G274" s="545">
        <v>0.82820000000000005</v>
      </c>
      <c r="H274" s="545">
        <v>828.2</v>
      </c>
      <c r="I274" s="547" t="s">
        <v>9009</v>
      </c>
      <c r="J274" s="547" t="s">
        <v>9015</v>
      </c>
      <c r="K274" s="547" t="s">
        <v>8996</v>
      </c>
      <c r="L274" s="537" t="s">
        <v>541</v>
      </c>
    </row>
    <row r="275" spans="1:12" x14ac:dyDescent="0.2">
      <c r="A275" s="547" t="s">
        <v>220</v>
      </c>
      <c r="B275" s="547" t="s">
        <v>2152</v>
      </c>
      <c r="C275" s="547" t="s">
        <v>2254</v>
      </c>
      <c r="D275" s="547" t="s">
        <v>2255</v>
      </c>
      <c r="E275" s="547" t="s">
        <v>545</v>
      </c>
      <c r="F275" s="559">
        <v>2300</v>
      </c>
      <c r="G275" s="545">
        <v>0.1340995507705729</v>
      </c>
      <c r="H275" s="545">
        <v>308.42896677231766</v>
      </c>
      <c r="I275" s="547" t="s">
        <v>9009</v>
      </c>
      <c r="J275" s="547" t="s">
        <v>9015</v>
      </c>
      <c r="K275" s="547" t="s">
        <v>8996</v>
      </c>
      <c r="L275" s="537" t="s">
        <v>541</v>
      </c>
    </row>
    <row r="276" spans="1:12" x14ac:dyDescent="0.2">
      <c r="A276" s="547" t="s">
        <v>220</v>
      </c>
      <c r="B276" s="547" t="s">
        <v>2152</v>
      </c>
      <c r="C276" s="547" t="s">
        <v>2256</v>
      </c>
      <c r="D276" s="547" t="s">
        <v>2257</v>
      </c>
      <c r="E276" s="547" t="s">
        <v>545</v>
      </c>
      <c r="F276" s="559">
        <v>500</v>
      </c>
      <c r="G276" s="545">
        <v>7.5999999999999998E-2</v>
      </c>
      <c r="H276" s="545">
        <v>38</v>
      </c>
      <c r="I276" s="547" t="s">
        <v>9009</v>
      </c>
      <c r="J276" s="547" t="s">
        <v>9015</v>
      </c>
      <c r="K276" s="547" t="s">
        <v>8996</v>
      </c>
      <c r="L276" s="537" t="s">
        <v>541</v>
      </c>
    </row>
    <row r="277" spans="1:12" x14ac:dyDescent="0.2">
      <c r="A277" s="547" t="s">
        <v>220</v>
      </c>
      <c r="B277" s="547" t="s">
        <v>2152</v>
      </c>
      <c r="C277" s="547" t="s">
        <v>2258</v>
      </c>
      <c r="D277" s="547" t="s">
        <v>2259</v>
      </c>
      <c r="E277" s="547" t="s">
        <v>545</v>
      </c>
      <c r="F277" s="559">
        <v>1000</v>
      </c>
      <c r="G277" s="545">
        <v>0.10545201249132548</v>
      </c>
      <c r="H277" s="545">
        <v>105.45201249132548</v>
      </c>
      <c r="I277" s="547" t="s">
        <v>9009</v>
      </c>
      <c r="J277" s="547" t="s">
        <v>9015</v>
      </c>
      <c r="K277" s="547" t="s">
        <v>8996</v>
      </c>
      <c r="L277" s="537" t="s">
        <v>541</v>
      </c>
    </row>
    <row r="278" spans="1:12" x14ac:dyDescent="0.2">
      <c r="A278" s="547" t="s">
        <v>220</v>
      </c>
      <c r="B278" s="547" t="s">
        <v>2152</v>
      </c>
      <c r="C278" s="547" t="s">
        <v>2260</v>
      </c>
      <c r="D278" s="547" t="s">
        <v>2261</v>
      </c>
      <c r="E278" s="547" t="s">
        <v>545</v>
      </c>
      <c r="F278" s="559">
        <v>2400</v>
      </c>
      <c r="G278" s="545">
        <v>0.30299999999999999</v>
      </c>
      <c r="H278" s="545">
        <v>727.19999999999993</v>
      </c>
      <c r="I278" s="547" t="s">
        <v>9009</v>
      </c>
      <c r="J278" s="547" t="s">
        <v>9015</v>
      </c>
      <c r="K278" s="547" t="s">
        <v>8996</v>
      </c>
      <c r="L278" s="537" t="s">
        <v>541</v>
      </c>
    </row>
    <row r="279" spans="1:12" x14ac:dyDescent="0.2">
      <c r="A279" s="547" t="s">
        <v>220</v>
      </c>
      <c r="B279" s="547" t="s">
        <v>2152</v>
      </c>
      <c r="C279" s="547" t="s">
        <v>2262</v>
      </c>
      <c r="D279" s="547" t="s">
        <v>2263</v>
      </c>
      <c r="E279" s="547" t="s">
        <v>545</v>
      </c>
      <c r="F279" s="559">
        <v>2000</v>
      </c>
      <c r="G279" s="545">
        <v>0.26722962706336201</v>
      </c>
      <c r="H279" s="545">
        <v>534.45925412672398</v>
      </c>
      <c r="I279" s="547" t="s">
        <v>9009</v>
      </c>
      <c r="J279" s="547" t="s">
        <v>9015</v>
      </c>
      <c r="K279" s="547" t="s">
        <v>8996</v>
      </c>
      <c r="L279" s="537" t="s">
        <v>541</v>
      </c>
    </row>
    <row r="280" spans="1:12" x14ac:dyDescent="0.2">
      <c r="A280" s="547" t="s">
        <v>220</v>
      </c>
      <c r="B280" s="547" t="s">
        <v>2152</v>
      </c>
      <c r="C280" s="547" t="s">
        <v>2266</v>
      </c>
      <c r="D280" s="547" t="s">
        <v>2267</v>
      </c>
      <c r="E280" s="547" t="s">
        <v>545</v>
      </c>
      <c r="F280" s="559">
        <v>2000</v>
      </c>
      <c r="G280" s="545">
        <v>0.29289999999999999</v>
      </c>
      <c r="H280" s="545">
        <v>585.79999999999995</v>
      </c>
      <c r="I280" s="547" t="s">
        <v>9009</v>
      </c>
      <c r="J280" s="547" t="s">
        <v>9015</v>
      </c>
      <c r="K280" s="547" t="s">
        <v>8996</v>
      </c>
      <c r="L280" s="537" t="s">
        <v>541</v>
      </c>
    </row>
    <row r="281" spans="1:12" x14ac:dyDescent="0.2">
      <c r="A281" s="547" t="s">
        <v>220</v>
      </c>
      <c r="B281" s="547" t="s">
        <v>2152</v>
      </c>
      <c r="C281" s="547" t="s">
        <v>2268</v>
      </c>
      <c r="D281" s="547" t="s">
        <v>2269</v>
      </c>
      <c r="E281" s="547" t="s">
        <v>545</v>
      </c>
      <c r="F281" s="559">
        <v>2500</v>
      </c>
      <c r="G281" s="545">
        <v>0.14661583064481437</v>
      </c>
      <c r="H281" s="545">
        <v>366.53957661203594</v>
      </c>
      <c r="I281" s="547" t="s">
        <v>9009</v>
      </c>
      <c r="J281" s="547" t="s">
        <v>9015</v>
      </c>
      <c r="K281" s="547" t="s">
        <v>8996</v>
      </c>
      <c r="L281" s="537" t="s">
        <v>541</v>
      </c>
    </row>
    <row r="282" spans="1:12" x14ac:dyDescent="0.2">
      <c r="A282" s="547" t="s">
        <v>220</v>
      </c>
      <c r="B282" s="547" t="s">
        <v>2152</v>
      </c>
      <c r="C282" s="547" t="s">
        <v>2270</v>
      </c>
      <c r="D282" s="547" t="s">
        <v>2271</v>
      </c>
      <c r="E282" s="547" t="s">
        <v>545</v>
      </c>
      <c r="F282" s="559">
        <v>1000</v>
      </c>
      <c r="G282" s="545">
        <v>0.18640952380952377</v>
      </c>
      <c r="H282" s="545">
        <v>186.40952380952376</v>
      </c>
      <c r="I282" s="547" t="s">
        <v>9009</v>
      </c>
      <c r="J282" s="547" t="s">
        <v>9015</v>
      </c>
      <c r="K282" s="547" t="s">
        <v>8996</v>
      </c>
      <c r="L282" s="537" t="s">
        <v>541</v>
      </c>
    </row>
    <row r="283" spans="1:12" x14ac:dyDescent="0.2">
      <c r="A283" s="547" t="s">
        <v>220</v>
      </c>
      <c r="B283" s="547" t="s">
        <v>2152</v>
      </c>
      <c r="C283" s="547" t="s">
        <v>2272</v>
      </c>
      <c r="D283" s="547" t="s">
        <v>2273</v>
      </c>
      <c r="E283" s="547" t="s">
        <v>545</v>
      </c>
      <c r="F283" s="559">
        <v>1000</v>
      </c>
      <c r="G283" s="545">
        <v>0.20049655340859748</v>
      </c>
      <c r="H283" s="545">
        <v>200.49655340859749</v>
      </c>
      <c r="I283" s="547" t="s">
        <v>9009</v>
      </c>
      <c r="J283" s="547" t="s">
        <v>9015</v>
      </c>
      <c r="K283" s="547" t="s">
        <v>8996</v>
      </c>
      <c r="L283" s="537" t="s">
        <v>541</v>
      </c>
    </row>
    <row r="284" spans="1:12" x14ac:dyDescent="0.2">
      <c r="A284" s="547" t="s">
        <v>220</v>
      </c>
      <c r="B284" s="547" t="s">
        <v>2152</v>
      </c>
      <c r="C284" s="547" t="s">
        <v>2274</v>
      </c>
      <c r="D284" s="547" t="s">
        <v>2275</v>
      </c>
      <c r="E284" s="547" t="s">
        <v>545</v>
      </c>
      <c r="F284" s="559">
        <v>2000</v>
      </c>
      <c r="G284" s="545">
        <v>8.0799999999999997E-2</v>
      </c>
      <c r="H284" s="545">
        <v>161.6</v>
      </c>
      <c r="I284" s="547" t="s">
        <v>9009</v>
      </c>
      <c r="J284" s="547" t="s">
        <v>9015</v>
      </c>
      <c r="K284" s="547" t="s">
        <v>8996</v>
      </c>
      <c r="L284" s="537" t="s">
        <v>541</v>
      </c>
    </row>
    <row r="285" spans="1:12" x14ac:dyDescent="0.2">
      <c r="A285" s="547" t="s">
        <v>220</v>
      </c>
      <c r="B285" s="547" t="s">
        <v>2152</v>
      </c>
      <c r="C285" s="547" t="s">
        <v>2276</v>
      </c>
      <c r="D285" s="547" t="s">
        <v>2277</v>
      </c>
      <c r="E285" s="547" t="s">
        <v>545</v>
      </c>
      <c r="F285" s="559">
        <v>700</v>
      </c>
      <c r="G285" s="545">
        <v>0.22219999999999998</v>
      </c>
      <c r="H285" s="545">
        <v>155.54</v>
      </c>
      <c r="I285" s="547" t="s">
        <v>9009</v>
      </c>
      <c r="J285" s="547" t="s">
        <v>9015</v>
      </c>
      <c r="K285" s="547" t="s">
        <v>8996</v>
      </c>
      <c r="L285" s="537" t="s">
        <v>541</v>
      </c>
    </row>
    <row r="286" spans="1:12" x14ac:dyDescent="0.2">
      <c r="A286" s="547" t="s">
        <v>220</v>
      </c>
      <c r="B286" s="547" t="s">
        <v>2152</v>
      </c>
      <c r="C286" s="547" t="s">
        <v>2278</v>
      </c>
      <c r="D286" s="547" t="s">
        <v>2279</v>
      </c>
      <c r="E286" s="547" t="s">
        <v>545</v>
      </c>
      <c r="F286" s="559">
        <v>1000</v>
      </c>
      <c r="G286" s="545">
        <v>0.27158617327144191</v>
      </c>
      <c r="H286" s="545">
        <v>271.58617327144191</v>
      </c>
      <c r="I286" s="547" t="s">
        <v>9009</v>
      </c>
      <c r="J286" s="547" t="s">
        <v>9015</v>
      </c>
      <c r="K286" s="547" t="s">
        <v>8996</v>
      </c>
      <c r="L286" s="537" t="s">
        <v>541</v>
      </c>
    </row>
    <row r="287" spans="1:12" x14ac:dyDescent="0.2">
      <c r="A287" s="547" t="s">
        <v>220</v>
      </c>
      <c r="B287" s="547" t="s">
        <v>2152</v>
      </c>
      <c r="C287" s="547" t="s">
        <v>2280</v>
      </c>
      <c r="D287" s="547" t="s">
        <v>2281</v>
      </c>
      <c r="E287" s="547" t="s">
        <v>545</v>
      </c>
      <c r="F287" s="559">
        <v>1700</v>
      </c>
      <c r="G287" s="545">
        <v>0.25646241902594008</v>
      </c>
      <c r="H287" s="545">
        <v>435.98611234409816</v>
      </c>
      <c r="I287" s="547" t="s">
        <v>9009</v>
      </c>
      <c r="J287" s="547" t="s">
        <v>9015</v>
      </c>
      <c r="K287" s="547" t="s">
        <v>8996</v>
      </c>
      <c r="L287" s="537" t="s">
        <v>541</v>
      </c>
    </row>
    <row r="288" spans="1:12" x14ac:dyDescent="0.2">
      <c r="A288" s="547" t="s">
        <v>220</v>
      </c>
      <c r="B288" s="547" t="s">
        <v>2152</v>
      </c>
      <c r="C288" s="547" t="s">
        <v>2282</v>
      </c>
      <c r="D288" s="547" t="s">
        <v>2283</v>
      </c>
      <c r="E288" s="547" t="s">
        <v>545</v>
      </c>
      <c r="F288" s="559">
        <v>1000</v>
      </c>
      <c r="G288" s="545">
        <v>0.24569383034335271</v>
      </c>
      <c r="H288" s="545">
        <v>245.69383034335272</v>
      </c>
      <c r="I288" s="547" t="s">
        <v>9009</v>
      </c>
      <c r="J288" s="547" t="s">
        <v>9015</v>
      </c>
      <c r="K288" s="547" t="s">
        <v>8996</v>
      </c>
      <c r="L288" s="537" t="s">
        <v>541</v>
      </c>
    </row>
    <row r="289" spans="1:12" x14ac:dyDescent="0.2">
      <c r="A289" s="547" t="s">
        <v>220</v>
      </c>
      <c r="B289" s="547" t="s">
        <v>2152</v>
      </c>
      <c r="C289" s="547" t="s">
        <v>2284</v>
      </c>
      <c r="D289" s="547" t="s">
        <v>2285</v>
      </c>
      <c r="E289" s="547" t="s">
        <v>545</v>
      </c>
      <c r="F289" s="559">
        <v>2000</v>
      </c>
      <c r="G289" s="545">
        <v>0.17410476190476185</v>
      </c>
      <c r="H289" s="545">
        <v>348.20952380952372</v>
      </c>
      <c r="I289" s="547" t="s">
        <v>9009</v>
      </c>
      <c r="J289" s="547" t="s">
        <v>9015</v>
      </c>
      <c r="K289" s="547" t="s">
        <v>8996</v>
      </c>
      <c r="L289" s="537" t="s">
        <v>541</v>
      </c>
    </row>
    <row r="290" spans="1:12" x14ac:dyDescent="0.2">
      <c r="A290" s="547" t="s">
        <v>220</v>
      </c>
      <c r="B290" s="547" t="s">
        <v>2152</v>
      </c>
      <c r="C290" s="547" t="s">
        <v>2286</v>
      </c>
      <c r="D290" s="547" t="s">
        <v>2287</v>
      </c>
      <c r="E290" s="547" t="s">
        <v>545</v>
      </c>
      <c r="F290" s="559">
        <v>2000</v>
      </c>
      <c r="G290" s="545">
        <v>0.2525</v>
      </c>
      <c r="H290" s="545">
        <v>505</v>
      </c>
      <c r="I290" s="547" t="s">
        <v>9009</v>
      </c>
      <c r="J290" s="547" t="s">
        <v>9015</v>
      </c>
      <c r="K290" s="547" t="s">
        <v>8996</v>
      </c>
      <c r="L290" s="537" t="s">
        <v>541</v>
      </c>
    </row>
    <row r="291" spans="1:12" x14ac:dyDescent="0.2">
      <c r="A291" s="547" t="s">
        <v>220</v>
      </c>
      <c r="B291" s="547" t="s">
        <v>2152</v>
      </c>
      <c r="C291" s="547" t="s">
        <v>2288</v>
      </c>
      <c r="D291" s="547" t="s">
        <v>2289</v>
      </c>
      <c r="E291" s="547" t="s">
        <v>545</v>
      </c>
      <c r="F291" s="559">
        <v>2000</v>
      </c>
      <c r="G291" s="545">
        <v>0.26352316456834513</v>
      </c>
      <c r="H291" s="545">
        <v>527.04632913669025</v>
      </c>
      <c r="I291" s="547" t="s">
        <v>9009</v>
      </c>
      <c r="J291" s="547" t="s">
        <v>9015</v>
      </c>
      <c r="K291" s="547" t="s">
        <v>8996</v>
      </c>
      <c r="L291" s="537" t="s">
        <v>541</v>
      </c>
    </row>
    <row r="292" spans="1:12" x14ac:dyDescent="0.2">
      <c r="A292" s="547" t="s">
        <v>220</v>
      </c>
      <c r="B292" s="547" t="s">
        <v>2152</v>
      </c>
      <c r="C292" s="547" t="s">
        <v>2290</v>
      </c>
      <c r="D292" s="547" t="s">
        <v>2291</v>
      </c>
      <c r="E292" s="547" t="s">
        <v>545</v>
      </c>
      <c r="F292" s="559">
        <v>1900</v>
      </c>
      <c r="G292" s="545">
        <v>0.10610834090417477</v>
      </c>
      <c r="H292" s="545">
        <v>201.60584771793208</v>
      </c>
      <c r="I292" s="547" t="s">
        <v>9009</v>
      </c>
      <c r="J292" s="547" t="s">
        <v>9015</v>
      </c>
      <c r="K292" s="547" t="s">
        <v>8996</v>
      </c>
      <c r="L292" s="537" t="s">
        <v>541</v>
      </c>
    </row>
    <row r="293" spans="1:12" x14ac:dyDescent="0.2">
      <c r="A293" s="547" t="s">
        <v>220</v>
      </c>
      <c r="B293" s="547" t="s">
        <v>2152</v>
      </c>
      <c r="C293" s="547" t="s">
        <v>1504</v>
      </c>
      <c r="D293" s="547" t="s">
        <v>1505</v>
      </c>
      <c r="E293" s="547" t="s">
        <v>545</v>
      </c>
      <c r="F293" s="559">
        <v>460</v>
      </c>
      <c r="G293" s="545">
        <v>0.30071575047882365</v>
      </c>
      <c r="H293" s="545">
        <v>138.32924522025888</v>
      </c>
      <c r="I293" s="547" t="s">
        <v>9009</v>
      </c>
      <c r="J293" s="547" t="s">
        <v>9015</v>
      </c>
      <c r="K293" s="547" t="s">
        <v>8996</v>
      </c>
      <c r="L293" s="537" t="s">
        <v>541</v>
      </c>
    </row>
    <row r="294" spans="1:12" x14ac:dyDescent="0.2">
      <c r="A294" s="547" t="s">
        <v>220</v>
      </c>
      <c r="B294" s="547" t="s">
        <v>2152</v>
      </c>
      <c r="C294" s="547" t="s">
        <v>2292</v>
      </c>
      <c r="D294" s="547" t="s">
        <v>2293</v>
      </c>
      <c r="E294" s="547" t="s">
        <v>545</v>
      </c>
      <c r="F294" s="559">
        <v>3500</v>
      </c>
      <c r="G294" s="545">
        <v>0.125</v>
      </c>
      <c r="H294" s="545">
        <v>437.5</v>
      </c>
      <c r="I294" s="547" t="s">
        <v>9009</v>
      </c>
      <c r="J294" s="547" t="s">
        <v>9015</v>
      </c>
      <c r="K294" s="547" t="s">
        <v>8996</v>
      </c>
      <c r="L294" s="537" t="s">
        <v>541</v>
      </c>
    </row>
    <row r="295" spans="1:12" x14ac:dyDescent="0.2">
      <c r="A295" s="547" t="s">
        <v>220</v>
      </c>
      <c r="B295" s="547" t="s">
        <v>2152</v>
      </c>
      <c r="C295" s="547" t="s">
        <v>2294</v>
      </c>
      <c r="D295" s="547" t="s">
        <v>2295</v>
      </c>
      <c r="E295" s="547" t="s">
        <v>545</v>
      </c>
      <c r="F295" s="559">
        <v>1000</v>
      </c>
      <c r="G295" s="545">
        <v>3.3489166387679951E-2</v>
      </c>
      <c r="H295" s="545">
        <v>33.489166387679951</v>
      </c>
      <c r="I295" s="547" t="s">
        <v>9009</v>
      </c>
      <c r="J295" s="547" t="s">
        <v>9015</v>
      </c>
      <c r="K295" s="547" t="s">
        <v>8996</v>
      </c>
      <c r="L295" s="537" t="s">
        <v>541</v>
      </c>
    </row>
    <row r="296" spans="1:12" x14ac:dyDescent="0.2">
      <c r="A296" s="547" t="s">
        <v>220</v>
      </c>
      <c r="B296" s="547" t="s">
        <v>2152</v>
      </c>
      <c r="C296" s="547" t="s">
        <v>2296</v>
      </c>
      <c r="D296" s="547" t="s">
        <v>2297</v>
      </c>
      <c r="E296" s="547" t="s">
        <v>545</v>
      </c>
      <c r="F296" s="559">
        <v>1000</v>
      </c>
      <c r="G296" s="545">
        <v>0.15866131221719457</v>
      </c>
      <c r="H296" s="545">
        <v>158.66131221719456</v>
      </c>
      <c r="I296" s="547" t="s">
        <v>9009</v>
      </c>
      <c r="J296" s="547" t="s">
        <v>9015</v>
      </c>
      <c r="K296" s="547" t="s">
        <v>8996</v>
      </c>
      <c r="L296" s="537" t="s">
        <v>541</v>
      </c>
    </row>
    <row r="297" spans="1:12" x14ac:dyDescent="0.2">
      <c r="A297" s="547" t="s">
        <v>220</v>
      </c>
      <c r="B297" s="547" t="s">
        <v>2152</v>
      </c>
      <c r="C297" s="547" t="s">
        <v>2298</v>
      </c>
      <c r="D297" s="547" t="s">
        <v>2299</v>
      </c>
      <c r="E297" s="547" t="s">
        <v>545</v>
      </c>
      <c r="F297" s="559">
        <v>3400</v>
      </c>
      <c r="G297" s="545">
        <v>0.17169999999999999</v>
      </c>
      <c r="H297" s="545">
        <v>583.78</v>
      </c>
      <c r="I297" s="547" t="s">
        <v>9009</v>
      </c>
      <c r="J297" s="547" t="s">
        <v>9015</v>
      </c>
      <c r="K297" s="547" t="s">
        <v>8996</v>
      </c>
      <c r="L297" s="537" t="s">
        <v>541</v>
      </c>
    </row>
    <row r="298" spans="1:12" x14ac:dyDescent="0.2">
      <c r="A298" s="547" t="s">
        <v>220</v>
      </c>
      <c r="B298" s="547" t="s">
        <v>2152</v>
      </c>
      <c r="C298" s="547" t="s">
        <v>2300</v>
      </c>
      <c r="D298" s="547" t="s">
        <v>2301</v>
      </c>
      <c r="E298" s="547" t="s">
        <v>545</v>
      </c>
      <c r="F298" s="559">
        <v>5000</v>
      </c>
      <c r="G298" s="545">
        <v>0.17729165545879538</v>
      </c>
      <c r="H298" s="545">
        <v>886.45827729397695</v>
      </c>
      <c r="I298" s="547" t="s">
        <v>9009</v>
      </c>
      <c r="J298" s="547" t="s">
        <v>9015</v>
      </c>
      <c r="K298" s="547" t="s">
        <v>8996</v>
      </c>
      <c r="L298" s="537" t="s">
        <v>541</v>
      </c>
    </row>
    <row r="299" spans="1:12" x14ac:dyDescent="0.2">
      <c r="A299" s="547" t="s">
        <v>220</v>
      </c>
      <c r="B299" s="547" t="s">
        <v>2152</v>
      </c>
      <c r="C299" s="547" t="s">
        <v>2302</v>
      </c>
      <c r="D299" s="547" t="s">
        <v>2303</v>
      </c>
      <c r="E299" s="547" t="s">
        <v>545</v>
      </c>
      <c r="F299" s="559">
        <v>3463</v>
      </c>
      <c r="G299" s="545">
        <v>0.20228623237993706</v>
      </c>
      <c r="H299" s="545">
        <v>700.51722273172209</v>
      </c>
      <c r="I299" s="547" t="s">
        <v>9009</v>
      </c>
      <c r="J299" s="547" t="s">
        <v>9015</v>
      </c>
      <c r="K299" s="547" t="s">
        <v>8996</v>
      </c>
      <c r="L299" s="537" t="s">
        <v>541</v>
      </c>
    </row>
    <row r="300" spans="1:12" x14ac:dyDescent="0.2">
      <c r="A300" s="547" t="s">
        <v>220</v>
      </c>
      <c r="B300" s="547" t="s">
        <v>2152</v>
      </c>
      <c r="C300" s="547" t="s">
        <v>1516</v>
      </c>
      <c r="D300" s="547" t="s">
        <v>1517</v>
      </c>
      <c r="E300" s="547" t="s">
        <v>545</v>
      </c>
      <c r="F300" s="559">
        <v>2600</v>
      </c>
      <c r="G300" s="545">
        <v>0.35295722527875129</v>
      </c>
      <c r="H300" s="545">
        <v>917.6887857247533</v>
      </c>
      <c r="I300" s="547" t="s">
        <v>9009</v>
      </c>
      <c r="J300" s="547" t="s">
        <v>9015</v>
      </c>
      <c r="K300" s="547" t="s">
        <v>8996</v>
      </c>
      <c r="L300" s="537" t="s">
        <v>541</v>
      </c>
    </row>
    <row r="301" spans="1:12" x14ac:dyDescent="0.2">
      <c r="A301" s="547" t="s">
        <v>220</v>
      </c>
      <c r="B301" s="547" t="s">
        <v>2152</v>
      </c>
      <c r="C301" s="547" t="s">
        <v>2304</v>
      </c>
      <c r="D301" s="547" t="s">
        <v>2305</v>
      </c>
      <c r="E301" s="547" t="s">
        <v>545</v>
      </c>
      <c r="F301" s="559">
        <v>2000</v>
      </c>
      <c r="G301" s="545">
        <v>0.12548780487804878</v>
      </c>
      <c r="H301" s="545">
        <v>250.97560975609755</v>
      </c>
      <c r="I301" s="547" t="s">
        <v>9009</v>
      </c>
      <c r="J301" s="547" t="s">
        <v>9015</v>
      </c>
      <c r="K301" s="547" t="s">
        <v>8996</v>
      </c>
      <c r="L301" s="537" t="s">
        <v>541</v>
      </c>
    </row>
    <row r="302" spans="1:12" x14ac:dyDescent="0.2">
      <c r="A302" s="547" t="s">
        <v>220</v>
      </c>
      <c r="B302" s="547" t="s">
        <v>2152</v>
      </c>
      <c r="C302" s="547" t="s">
        <v>2306</v>
      </c>
      <c r="D302" s="547" t="s">
        <v>2307</v>
      </c>
      <c r="E302" s="547" t="s">
        <v>545</v>
      </c>
      <c r="F302" s="559">
        <v>6400</v>
      </c>
      <c r="G302" s="545">
        <v>0.24233607594936707</v>
      </c>
      <c r="H302" s="545">
        <v>1550.9508860759493</v>
      </c>
      <c r="I302" s="547" t="s">
        <v>9009</v>
      </c>
      <c r="J302" s="547" t="s">
        <v>9015</v>
      </c>
      <c r="K302" s="547" t="s">
        <v>8996</v>
      </c>
      <c r="L302" s="537" t="s">
        <v>541</v>
      </c>
    </row>
    <row r="303" spans="1:12" x14ac:dyDescent="0.2">
      <c r="A303" s="547" t="s">
        <v>220</v>
      </c>
      <c r="B303" s="547" t="s">
        <v>2152</v>
      </c>
      <c r="C303" s="547" t="s">
        <v>1518</v>
      </c>
      <c r="D303" s="547" t="s">
        <v>1519</v>
      </c>
      <c r="E303" s="547" t="s">
        <v>545</v>
      </c>
      <c r="F303" s="559">
        <v>3100</v>
      </c>
      <c r="G303" s="545">
        <v>0.23626010935804323</v>
      </c>
      <c r="H303" s="545">
        <v>732.40633900993396</v>
      </c>
      <c r="I303" s="547" t="s">
        <v>9009</v>
      </c>
      <c r="J303" s="547" t="s">
        <v>9015</v>
      </c>
      <c r="K303" s="547" t="s">
        <v>8996</v>
      </c>
      <c r="L303" s="537" t="s">
        <v>541</v>
      </c>
    </row>
    <row r="304" spans="1:12" x14ac:dyDescent="0.2">
      <c r="A304" s="547" t="s">
        <v>220</v>
      </c>
      <c r="B304" s="547" t="s">
        <v>2152</v>
      </c>
      <c r="C304" s="547" t="s">
        <v>2308</v>
      </c>
      <c r="D304" s="547" t="s">
        <v>2309</v>
      </c>
      <c r="E304" s="547" t="s">
        <v>545</v>
      </c>
      <c r="F304" s="559">
        <v>6000</v>
      </c>
      <c r="G304" s="545">
        <v>7.0699999999999999E-2</v>
      </c>
      <c r="H304" s="545">
        <v>424.2</v>
      </c>
      <c r="I304" s="547" t="s">
        <v>9009</v>
      </c>
      <c r="J304" s="547" t="s">
        <v>9015</v>
      </c>
      <c r="K304" s="547" t="s">
        <v>8996</v>
      </c>
      <c r="L304" s="537" t="s">
        <v>541</v>
      </c>
    </row>
    <row r="305" spans="1:12" x14ac:dyDescent="0.2">
      <c r="A305" s="547" t="s">
        <v>220</v>
      </c>
      <c r="B305" s="547" t="s">
        <v>2152</v>
      </c>
      <c r="C305" s="547" t="s">
        <v>1553</v>
      </c>
      <c r="D305" s="547" t="s">
        <v>1554</v>
      </c>
      <c r="E305" s="547" t="s">
        <v>545</v>
      </c>
      <c r="F305" s="559">
        <v>47600</v>
      </c>
      <c r="G305" s="545">
        <v>0.18981843787297309</v>
      </c>
      <c r="H305" s="545">
        <v>9035.357642753519</v>
      </c>
      <c r="I305" s="547" t="s">
        <v>9009</v>
      </c>
      <c r="J305" s="547" t="s">
        <v>9015</v>
      </c>
      <c r="K305" s="547" t="s">
        <v>8996</v>
      </c>
      <c r="L305" s="537" t="s">
        <v>541</v>
      </c>
    </row>
    <row r="306" spans="1:12" x14ac:dyDescent="0.2">
      <c r="A306" s="547" t="s">
        <v>220</v>
      </c>
      <c r="B306" s="547" t="s">
        <v>2152</v>
      </c>
      <c r="C306" s="547" t="s">
        <v>2310</v>
      </c>
      <c r="D306" s="547" t="s">
        <v>2311</v>
      </c>
      <c r="E306" s="547" t="s">
        <v>545</v>
      </c>
      <c r="F306" s="559">
        <v>1000</v>
      </c>
      <c r="G306" s="545">
        <v>0.25987967479674801</v>
      </c>
      <c r="H306" s="545">
        <v>259.87967479674802</v>
      </c>
      <c r="I306" s="547" t="s">
        <v>9009</v>
      </c>
      <c r="J306" s="547" t="s">
        <v>9015</v>
      </c>
      <c r="K306" s="547" t="s">
        <v>8996</v>
      </c>
      <c r="L306" s="537" t="s">
        <v>541</v>
      </c>
    </row>
    <row r="307" spans="1:12" x14ac:dyDescent="0.2">
      <c r="A307" s="547" t="s">
        <v>220</v>
      </c>
      <c r="B307" s="547" t="s">
        <v>2152</v>
      </c>
      <c r="C307" s="547" t="s">
        <v>2312</v>
      </c>
      <c r="D307" s="547" t="s">
        <v>2313</v>
      </c>
      <c r="E307" s="547" t="s">
        <v>545</v>
      </c>
      <c r="F307" s="559">
        <v>2500</v>
      </c>
      <c r="G307" s="545">
        <v>0.33096666666666663</v>
      </c>
      <c r="H307" s="545">
        <v>827.41666666666663</v>
      </c>
      <c r="I307" s="547" t="s">
        <v>9009</v>
      </c>
      <c r="J307" s="547" t="s">
        <v>9015</v>
      </c>
      <c r="K307" s="547" t="s">
        <v>8996</v>
      </c>
      <c r="L307" s="537" t="s">
        <v>541</v>
      </c>
    </row>
    <row r="308" spans="1:12" x14ac:dyDescent="0.2">
      <c r="A308" s="547" t="s">
        <v>220</v>
      </c>
      <c r="B308" s="547" t="s">
        <v>2152</v>
      </c>
      <c r="C308" s="547" t="s">
        <v>2314</v>
      </c>
      <c r="D308" s="547" t="s">
        <v>2315</v>
      </c>
      <c r="E308" s="547" t="s">
        <v>545</v>
      </c>
      <c r="F308" s="559">
        <v>3500</v>
      </c>
      <c r="G308" s="545">
        <v>0.13561250000000002</v>
      </c>
      <c r="H308" s="545">
        <v>474.64375000000007</v>
      </c>
      <c r="I308" s="547" t="s">
        <v>9009</v>
      </c>
      <c r="J308" s="547" t="s">
        <v>9015</v>
      </c>
      <c r="K308" s="547" t="s">
        <v>8996</v>
      </c>
      <c r="L308" s="537" t="s">
        <v>541</v>
      </c>
    </row>
    <row r="309" spans="1:12" x14ac:dyDescent="0.2">
      <c r="A309" s="547" t="s">
        <v>220</v>
      </c>
      <c r="B309" s="547" t="s">
        <v>2152</v>
      </c>
      <c r="C309" s="547" t="s">
        <v>2316</v>
      </c>
      <c r="D309" s="547" t="s">
        <v>2317</v>
      </c>
      <c r="E309" s="547" t="s">
        <v>545</v>
      </c>
      <c r="F309" s="559">
        <v>2000</v>
      </c>
      <c r="G309" s="545">
        <v>0.22847999999999999</v>
      </c>
      <c r="H309" s="545">
        <v>456.96</v>
      </c>
      <c r="I309" s="547" t="s">
        <v>9009</v>
      </c>
      <c r="J309" s="547" t="s">
        <v>9015</v>
      </c>
      <c r="K309" s="547" t="s">
        <v>8996</v>
      </c>
      <c r="L309" s="537" t="s">
        <v>541</v>
      </c>
    </row>
    <row r="310" spans="1:12" x14ac:dyDescent="0.2">
      <c r="A310" s="547" t="s">
        <v>220</v>
      </c>
      <c r="B310" s="547" t="s">
        <v>2152</v>
      </c>
      <c r="C310" s="547" t="s">
        <v>2318</v>
      </c>
      <c r="D310" s="547" t="s">
        <v>2319</v>
      </c>
      <c r="E310" s="547" t="s">
        <v>545</v>
      </c>
      <c r="F310" s="559">
        <v>2500</v>
      </c>
      <c r="G310" s="545">
        <v>6.4000000000000001E-2</v>
      </c>
      <c r="H310" s="545">
        <v>160</v>
      </c>
      <c r="I310" s="547" t="s">
        <v>9009</v>
      </c>
      <c r="J310" s="547" t="s">
        <v>9015</v>
      </c>
      <c r="K310" s="547" t="s">
        <v>8996</v>
      </c>
      <c r="L310" s="537" t="s">
        <v>541</v>
      </c>
    </row>
    <row r="311" spans="1:12" x14ac:dyDescent="0.2">
      <c r="A311" s="547" t="s">
        <v>220</v>
      </c>
      <c r="B311" s="547" t="s">
        <v>2152</v>
      </c>
      <c r="C311" s="547" t="s">
        <v>1663</v>
      </c>
      <c r="D311" s="547" t="s">
        <v>1664</v>
      </c>
      <c r="E311" s="547" t="s">
        <v>545</v>
      </c>
      <c r="F311" s="559">
        <v>3500</v>
      </c>
      <c r="G311" s="545">
        <v>9.6687558107738575E-2</v>
      </c>
      <c r="H311" s="545">
        <v>338.40645337708503</v>
      </c>
      <c r="I311" s="547" t="s">
        <v>9009</v>
      </c>
      <c r="J311" s="547" t="s">
        <v>9015</v>
      </c>
      <c r="K311" s="547" t="s">
        <v>8996</v>
      </c>
      <c r="L311" s="537" t="s">
        <v>541</v>
      </c>
    </row>
    <row r="312" spans="1:12" x14ac:dyDescent="0.2">
      <c r="A312" s="547" t="s">
        <v>220</v>
      </c>
      <c r="B312" s="547" t="s">
        <v>2152</v>
      </c>
      <c r="C312" s="547" t="s">
        <v>2320</v>
      </c>
      <c r="D312" s="547" t="s">
        <v>2321</v>
      </c>
      <c r="E312" s="547" t="s">
        <v>545</v>
      </c>
      <c r="F312" s="559">
        <v>3000</v>
      </c>
      <c r="G312" s="545">
        <v>0.185</v>
      </c>
      <c r="H312" s="545">
        <v>555</v>
      </c>
      <c r="I312" s="547" t="s">
        <v>9009</v>
      </c>
      <c r="J312" s="547" t="s">
        <v>9015</v>
      </c>
      <c r="K312" s="547" t="s">
        <v>8996</v>
      </c>
      <c r="L312" s="537" t="s">
        <v>541</v>
      </c>
    </row>
    <row r="313" spans="1:12" x14ac:dyDescent="0.2">
      <c r="A313" s="547" t="s">
        <v>220</v>
      </c>
      <c r="B313" s="547" t="s">
        <v>2152</v>
      </c>
      <c r="C313" s="547" t="s">
        <v>2322</v>
      </c>
      <c r="D313" s="547" t="s">
        <v>2323</v>
      </c>
      <c r="E313" s="547" t="s">
        <v>545</v>
      </c>
      <c r="F313" s="559">
        <v>2500</v>
      </c>
      <c r="G313" s="545">
        <v>0.185</v>
      </c>
      <c r="H313" s="545">
        <v>462.5</v>
      </c>
      <c r="I313" s="547" t="s">
        <v>9009</v>
      </c>
      <c r="J313" s="547" t="s">
        <v>9015</v>
      </c>
      <c r="K313" s="547" t="s">
        <v>8996</v>
      </c>
      <c r="L313" s="537" t="s">
        <v>541</v>
      </c>
    </row>
    <row r="314" spans="1:12" x14ac:dyDescent="0.2">
      <c r="A314" s="547" t="s">
        <v>220</v>
      </c>
      <c r="B314" s="547" t="s">
        <v>2152</v>
      </c>
      <c r="C314" s="547" t="s">
        <v>2324</v>
      </c>
      <c r="D314" s="547" t="s">
        <v>2325</v>
      </c>
      <c r="E314" s="547" t="s">
        <v>545</v>
      </c>
      <c r="F314" s="559">
        <v>3000</v>
      </c>
      <c r="G314" s="545">
        <v>0.16160000000000002</v>
      </c>
      <c r="H314" s="545">
        <v>484.80000000000007</v>
      </c>
      <c r="I314" s="547" t="s">
        <v>9009</v>
      </c>
      <c r="J314" s="547" t="s">
        <v>9015</v>
      </c>
      <c r="K314" s="547" t="s">
        <v>8996</v>
      </c>
      <c r="L314" s="537" t="s">
        <v>541</v>
      </c>
    </row>
    <row r="315" spans="1:12" x14ac:dyDescent="0.2">
      <c r="A315" s="547" t="s">
        <v>220</v>
      </c>
      <c r="B315" s="547" t="s">
        <v>2152</v>
      </c>
      <c r="C315" s="547" t="s">
        <v>2326</v>
      </c>
      <c r="D315" s="547" t="s">
        <v>2327</v>
      </c>
      <c r="E315" s="547" t="s">
        <v>545</v>
      </c>
      <c r="F315" s="559">
        <v>1000</v>
      </c>
      <c r="G315" s="545">
        <v>0.16159999999999999</v>
      </c>
      <c r="H315" s="545">
        <v>161.6</v>
      </c>
      <c r="I315" s="547" t="s">
        <v>9009</v>
      </c>
      <c r="J315" s="547" t="s">
        <v>9015</v>
      </c>
      <c r="K315" s="547" t="s">
        <v>8996</v>
      </c>
      <c r="L315" s="537" t="s">
        <v>541</v>
      </c>
    </row>
    <row r="316" spans="1:12" x14ac:dyDescent="0.2">
      <c r="A316" s="547" t="s">
        <v>220</v>
      </c>
      <c r="B316" s="547" t="s">
        <v>2152</v>
      </c>
      <c r="C316" s="547" t="s">
        <v>2328</v>
      </c>
      <c r="D316" s="547" t="s">
        <v>1760</v>
      </c>
      <c r="E316" s="547" t="s">
        <v>545</v>
      </c>
      <c r="F316" s="559">
        <v>8130</v>
      </c>
      <c r="G316" s="545">
        <v>0.3076781762451164</v>
      </c>
      <c r="H316" s="545">
        <v>2501.4235728727963</v>
      </c>
      <c r="I316" s="547" t="s">
        <v>9009</v>
      </c>
      <c r="J316" s="547" t="s">
        <v>9015</v>
      </c>
      <c r="K316" s="547" t="s">
        <v>8996</v>
      </c>
      <c r="L316" s="537" t="s">
        <v>541</v>
      </c>
    </row>
    <row r="317" spans="1:12" x14ac:dyDescent="0.2">
      <c r="A317" s="547" t="s">
        <v>220</v>
      </c>
      <c r="B317" s="547" t="s">
        <v>2152</v>
      </c>
      <c r="C317" s="547" t="s">
        <v>2329</v>
      </c>
      <c r="D317" s="547" t="s">
        <v>1762</v>
      </c>
      <c r="E317" s="547" t="s">
        <v>545</v>
      </c>
      <c r="F317" s="559">
        <v>10900</v>
      </c>
      <c r="G317" s="545">
        <v>0.480290245331912</v>
      </c>
      <c r="H317" s="545">
        <v>5235.1636741178409</v>
      </c>
      <c r="I317" s="547" t="s">
        <v>9009</v>
      </c>
      <c r="J317" s="547" t="s">
        <v>9015</v>
      </c>
      <c r="K317" s="547" t="s">
        <v>8996</v>
      </c>
      <c r="L317" s="537" t="s">
        <v>541</v>
      </c>
    </row>
    <row r="318" spans="1:12" x14ac:dyDescent="0.2">
      <c r="A318" s="547" t="s">
        <v>220</v>
      </c>
      <c r="B318" s="547" t="s">
        <v>2152</v>
      </c>
      <c r="C318" s="547" t="s">
        <v>2330</v>
      </c>
      <c r="D318" s="547" t="s">
        <v>1764</v>
      </c>
      <c r="E318" s="547" t="s">
        <v>545</v>
      </c>
      <c r="F318" s="559">
        <v>10000</v>
      </c>
      <c r="G318" s="545">
        <v>0.48134959417034645</v>
      </c>
      <c r="H318" s="545">
        <v>4813.4959417034643</v>
      </c>
      <c r="I318" s="547" t="s">
        <v>9009</v>
      </c>
      <c r="J318" s="547" t="s">
        <v>9015</v>
      </c>
      <c r="K318" s="547" t="s">
        <v>8996</v>
      </c>
      <c r="L318" s="537" t="s">
        <v>541</v>
      </c>
    </row>
    <row r="319" spans="1:12" x14ac:dyDescent="0.2">
      <c r="A319" s="547" t="s">
        <v>220</v>
      </c>
      <c r="B319" s="547" t="s">
        <v>2152</v>
      </c>
      <c r="C319" s="547" t="s">
        <v>2331</v>
      </c>
      <c r="D319" s="547" t="s">
        <v>1766</v>
      </c>
      <c r="E319" s="547" t="s">
        <v>545</v>
      </c>
      <c r="F319" s="559">
        <v>7870</v>
      </c>
      <c r="G319" s="545">
        <v>0.5252</v>
      </c>
      <c r="H319" s="545">
        <v>4133.3239999999996</v>
      </c>
      <c r="I319" s="547" t="s">
        <v>9009</v>
      </c>
      <c r="J319" s="547" t="s">
        <v>9015</v>
      </c>
      <c r="K319" s="547" t="s">
        <v>8996</v>
      </c>
      <c r="L319" s="537" t="s">
        <v>541</v>
      </c>
    </row>
    <row r="320" spans="1:12" x14ac:dyDescent="0.2">
      <c r="A320" s="547" t="s">
        <v>220</v>
      </c>
      <c r="B320" s="547" t="s">
        <v>2152</v>
      </c>
      <c r="C320" s="547" t="s">
        <v>1767</v>
      </c>
      <c r="D320" s="547" t="s">
        <v>1768</v>
      </c>
      <c r="E320" s="547" t="s">
        <v>545</v>
      </c>
      <c r="F320" s="559">
        <v>5396</v>
      </c>
      <c r="G320" s="545">
        <v>0.51541355407119638</v>
      </c>
      <c r="H320" s="545">
        <v>2781.1715377681758</v>
      </c>
      <c r="I320" s="547" t="s">
        <v>9009</v>
      </c>
      <c r="J320" s="547" t="s">
        <v>9015</v>
      </c>
      <c r="K320" s="547" t="s">
        <v>8996</v>
      </c>
      <c r="L320" s="537" t="s">
        <v>541</v>
      </c>
    </row>
    <row r="321" spans="1:13" x14ac:dyDescent="0.2">
      <c r="A321" s="547" t="s">
        <v>220</v>
      </c>
      <c r="B321" s="547" t="s">
        <v>2152</v>
      </c>
      <c r="C321" s="547" t="s">
        <v>1769</v>
      </c>
      <c r="D321" s="547" t="s">
        <v>1770</v>
      </c>
      <c r="E321" s="547" t="s">
        <v>545</v>
      </c>
      <c r="F321" s="559">
        <v>8200</v>
      </c>
      <c r="G321" s="545">
        <v>0.68175000000000008</v>
      </c>
      <c r="H321" s="545">
        <v>5590.35</v>
      </c>
      <c r="I321" s="547" t="s">
        <v>9009</v>
      </c>
      <c r="J321" s="547" t="s">
        <v>9015</v>
      </c>
      <c r="K321" s="547" t="s">
        <v>8996</v>
      </c>
      <c r="L321" s="537" t="s">
        <v>541</v>
      </c>
    </row>
    <row r="322" spans="1:13" x14ac:dyDescent="0.2">
      <c r="A322" s="547" t="s">
        <v>220</v>
      </c>
      <c r="B322" s="547" t="s">
        <v>2152</v>
      </c>
      <c r="C322" s="547" t="s">
        <v>2332</v>
      </c>
      <c r="D322" s="547" t="s">
        <v>2333</v>
      </c>
      <c r="E322" s="547" t="s">
        <v>545</v>
      </c>
      <c r="F322" s="559">
        <v>1397</v>
      </c>
      <c r="G322" s="545">
        <v>3.0804999999999998</v>
      </c>
      <c r="H322" s="545">
        <v>4303.4584999999997</v>
      </c>
      <c r="I322" s="547" t="s">
        <v>9009</v>
      </c>
      <c r="J322" s="547" t="s">
        <v>9015</v>
      </c>
      <c r="K322" s="547" t="s">
        <v>8996</v>
      </c>
      <c r="L322" s="537" t="s">
        <v>541</v>
      </c>
    </row>
    <row r="323" spans="1:13" x14ac:dyDescent="0.2">
      <c r="A323" s="547" t="s">
        <v>220</v>
      </c>
      <c r="B323" s="547" t="s">
        <v>2152</v>
      </c>
      <c r="C323" s="547" t="s">
        <v>2334</v>
      </c>
      <c r="D323" s="547" t="s">
        <v>2335</v>
      </c>
      <c r="E323" s="547" t="s">
        <v>545</v>
      </c>
      <c r="F323" s="559">
        <v>1255</v>
      </c>
      <c r="G323" s="545">
        <v>3.0804999999999998</v>
      </c>
      <c r="H323" s="545">
        <v>3866.0274999999997</v>
      </c>
      <c r="I323" s="547" t="s">
        <v>9009</v>
      </c>
      <c r="J323" s="547" t="s">
        <v>9015</v>
      </c>
      <c r="K323" s="547" t="s">
        <v>8996</v>
      </c>
      <c r="L323" s="537" t="s">
        <v>541</v>
      </c>
    </row>
    <row r="324" spans="1:13" x14ac:dyDescent="0.2">
      <c r="A324" s="578" t="s">
        <v>220</v>
      </c>
      <c r="B324" s="578" t="s">
        <v>2152</v>
      </c>
      <c r="C324" s="578" t="s">
        <v>1899</v>
      </c>
      <c r="D324" s="578" t="s">
        <v>1900</v>
      </c>
      <c r="E324" s="578" t="s">
        <v>535</v>
      </c>
      <c r="F324" s="579">
        <v>2260</v>
      </c>
      <c r="G324" s="579">
        <v>19.719606724089633</v>
      </c>
      <c r="H324" s="579">
        <v>44566.311196442599</v>
      </c>
      <c r="I324" s="578" t="s">
        <v>9009</v>
      </c>
      <c r="J324" s="578" t="s">
        <v>9011</v>
      </c>
      <c r="K324" s="578" t="s">
        <v>8996</v>
      </c>
      <c r="L324" s="591" t="s">
        <v>541</v>
      </c>
      <c r="M324" s="581" t="s">
        <v>9647</v>
      </c>
    </row>
    <row r="325" spans="1:13" x14ac:dyDescent="0.2">
      <c r="A325" s="547" t="s">
        <v>220</v>
      </c>
      <c r="B325" s="547" t="s">
        <v>7448</v>
      </c>
      <c r="C325" s="547" t="s">
        <v>7600</v>
      </c>
      <c r="D325" s="547" t="s">
        <v>1998</v>
      </c>
      <c r="E325" s="547" t="s">
        <v>545</v>
      </c>
      <c r="F325" s="552">
        <v>38</v>
      </c>
      <c r="G325" s="545">
        <v>70.520665564620202</v>
      </c>
      <c r="H325" s="545">
        <v>2679.7852914555679</v>
      </c>
      <c r="I325" s="547" t="s">
        <v>9009</v>
      </c>
      <c r="J325" s="547" t="s">
        <v>9019</v>
      </c>
      <c r="K325" s="547" t="s">
        <v>9020</v>
      </c>
      <c r="L325" s="537" t="s">
        <v>1911</v>
      </c>
    </row>
    <row r="326" spans="1:13" x14ac:dyDescent="0.2">
      <c r="A326" s="547" t="s">
        <v>220</v>
      </c>
      <c r="B326" s="547" t="s">
        <v>7448</v>
      </c>
      <c r="C326" s="547" t="s">
        <v>2007</v>
      </c>
      <c r="D326" s="547" t="s">
        <v>2007</v>
      </c>
      <c r="E326" s="547" t="s">
        <v>545</v>
      </c>
      <c r="F326" s="552">
        <v>84</v>
      </c>
      <c r="G326" s="545">
        <v>120.1</v>
      </c>
      <c r="H326" s="545">
        <v>10088.4</v>
      </c>
      <c r="I326" s="547" t="s">
        <v>9009</v>
      </c>
      <c r="J326" s="547" t="s">
        <v>9019</v>
      </c>
      <c r="K326" s="547" t="s">
        <v>9020</v>
      </c>
      <c r="L326" s="537" t="s">
        <v>1911</v>
      </c>
    </row>
    <row r="327" spans="1:13" x14ac:dyDescent="0.2">
      <c r="A327" s="547" t="s">
        <v>220</v>
      </c>
      <c r="B327" s="547" t="s">
        <v>7448</v>
      </c>
      <c r="C327" s="547" t="s">
        <v>2008</v>
      </c>
      <c r="D327" s="547" t="s">
        <v>2008</v>
      </c>
      <c r="E327" s="547" t="s">
        <v>545</v>
      </c>
      <c r="F327" s="552">
        <v>71</v>
      </c>
      <c r="G327" s="545">
        <v>120.10000000000001</v>
      </c>
      <c r="H327" s="545">
        <v>8527.1</v>
      </c>
      <c r="I327" s="547" t="s">
        <v>9009</v>
      </c>
      <c r="J327" s="547" t="s">
        <v>9019</v>
      </c>
      <c r="K327" s="547" t="s">
        <v>9020</v>
      </c>
      <c r="L327" s="537" t="s">
        <v>1911</v>
      </c>
    </row>
    <row r="328" spans="1:13" x14ac:dyDescent="0.2">
      <c r="A328" s="547" t="s">
        <v>220</v>
      </c>
      <c r="B328" s="547" t="s">
        <v>7448</v>
      </c>
      <c r="C328" s="547" t="s">
        <v>1936</v>
      </c>
      <c r="D328" s="547" t="s">
        <v>2052</v>
      </c>
      <c r="E328" s="547" t="s">
        <v>545</v>
      </c>
      <c r="F328" s="552">
        <v>22</v>
      </c>
      <c r="G328" s="545">
        <v>67.614958005157533</v>
      </c>
      <c r="H328" s="545">
        <v>1487.5290761134656</v>
      </c>
      <c r="I328" s="547" t="s">
        <v>9009</v>
      </c>
      <c r="J328" s="547" t="s">
        <v>9019</v>
      </c>
      <c r="K328" s="547" t="s">
        <v>9020</v>
      </c>
      <c r="L328" s="537" t="s">
        <v>1911</v>
      </c>
    </row>
    <row r="329" spans="1:13" x14ac:dyDescent="0.2">
      <c r="A329" s="547" t="s">
        <v>220</v>
      </c>
      <c r="B329" s="547" t="s">
        <v>7448</v>
      </c>
      <c r="C329" s="547" t="s">
        <v>7601</v>
      </c>
      <c r="D329" s="547" t="s">
        <v>9021</v>
      </c>
      <c r="E329" s="547" t="s">
        <v>545</v>
      </c>
      <c r="F329" s="552">
        <v>42</v>
      </c>
      <c r="G329" s="545">
        <v>107.19954031499476</v>
      </c>
      <c r="H329" s="545">
        <v>4502.3806932297803</v>
      </c>
      <c r="I329" s="547" t="s">
        <v>9009</v>
      </c>
      <c r="J329" s="547" t="s">
        <v>9019</v>
      </c>
      <c r="K329" s="547" t="s">
        <v>9020</v>
      </c>
      <c r="L329" s="537" t="s">
        <v>1911</v>
      </c>
    </row>
    <row r="330" spans="1:13" x14ac:dyDescent="0.2">
      <c r="A330" s="547" t="s">
        <v>220</v>
      </c>
      <c r="B330" s="547" t="s">
        <v>7448</v>
      </c>
      <c r="C330" s="547" t="s">
        <v>7602</v>
      </c>
      <c r="D330" s="547" t="s">
        <v>9022</v>
      </c>
      <c r="E330" s="547" t="s">
        <v>545</v>
      </c>
      <c r="F330" s="552">
        <v>191</v>
      </c>
      <c r="G330" s="545">
        <v>106.99129289231436</v>
      </c>
      <c r="H330" s="545">
        <v>20435.336942432044</v>
      </c>
      <c r="I330" s="547" t="s">
        <v>9009</v>
      </c>
      <c r="J330" s="547" t="s">
        <v>9019</v>
      </c>
      <c r="K330" s="547" t="s">
        <v>9020</v>
      </c>
      <c r="L330" s="537" t="s">
        <v>1911</v>
      </c>
    </row>
    <row r="331" spans="1:13" x14ac:dyDescent="0.2">
      <c r="A331" s="547" t="s">
        <v>220</v>
      </c>
      <c r="B331" s="547" t="s">
        <v>7448</v>
      </c>
      <c r="C331" s="547" t="s">
        <v>7461</v>
      </c>
      <c r="D331" s="547" t="s">
        <v>2060</v>
      </c>
      <c r="E331" s="547" t="s">
        <v>545</v>
      </c>
      <c r="F331" s="552">
        <v>36</v>
      </c>
      <c r="G331" s="545">
        <v>117.71201190019173</v>
      </c>
      <c r="H331" s="545">
        <v>4237.6324284069024</v>
      </c>
      <c r="I331" s="547" t="s">
        <v>9009</v>
      </c>
      <c r="J331" s="547" t="s">
        <v>9019</v>
      </c>
      <c r="K331" s="547" t="s">
        <v>9020</v>
      </c>
      <c r="L331" s="537" t="s">
        <v>1911</v>
      </c>
    </row>
    <row r="332" spans="1:13" x14ac:dyDescent="0.2">
      <c r="A332" s="547" t="s">
        <v>220</v>
      </c>
      <c r="B332" s="547" t="s">
        <v>7448</v>
      </c>
      <c r="C332" s="547" t="s">
        <v>1938</v>
      </c>
      <c r="D332" s="547" t="s">
        <v>2062</v>
      </c>
      <c r="E332" s="547" t="s">
        <v>545</v>
      </c>
      <c r="F332" s="552">
        <v>44</v>
      </c>
      <c r="G332" s="545">
        <v>102.93403396390786</v>
      </c>
      <c r="H332" s="545">
        <v>4529.0974944119462</v>
      </c>
      <c r="I332" s="547" t="s">
        <v>9009</v>
      </c>
      <c r="J332" s="547" t="s">
        <v>9019</v>
      </c>
      <c r="K332" s="547" t="s">
        <v>9020</v>
      </c>
      <c r="L332" s="537" t="s">
        <v>1911</v>
      </c>
    </row>
    <row r="333" spans="1:13" x14ac:dyDescent="0.2">
      <c r="A333" s="547" t="s">
        <v>220</v>
      </c>
      <c r="B333" s="547" t="s">
        <v>2063</v>
      </c>
      <c r="C333" s="547" t="s">
        <v>2065</v>
      </c>
      <c r="D333" s="547" t="s">
        <v>7604</v>
      </c>
      <c r="E333" s="547" t="s">
        <v>545</v>
      </c>
      <c r="F333" s="552">
        <v>45</v>
      </c>
      <c r="G333" s="560">
        <v>79.008884752092499</v>
      </c>
      <c r="H333" s="545">
        <v>3555.3998138441625</v>
      </c>
      <c r="I333" s="547" t="s">
        <v>9009</v>
      </c>
      <c r="J333" s="547" t="s">
        <v>9023</v>
      </c>
      <c r="K333" s="547" t="s">
        <v>9024</v>
      </c>
      <c r="L333" s="537" t="s">
        <v>536</v>
      </c>
    </row>
    <row r="334" spans="1:13" x14ac:dyDescent="0.2">
      <c r="A334" s="547" t="s">
        <v>220</v>
      </c>
      <c r="B334" s="547" t="s">
        <v>2063</v>
      </c>
      <c r="C334" s="547" t="s">
        <v>2066</v>
      </c>
      <c r="D334" s="547" t="s">
        <v>7479</v>
      </c>
      <c r="E334" s="547" t="s">
        <v>545</v>
      </c>
      <c r="F334" s="552">
        <v>20</v>
      </c>
      <c r="G334" s="560">
        <v>91.193467462990142</v>
      </c>
      <c r="H334" s="545">
        <v>1823.8693492598029</v>
      </c>
      <c r="I334" s="547" t="s">
        <v>9009</v>
      </c>
      <c r="J334" s="547" t="s">
        <v>9023</v>
      </c>
      <c r="K334" s="547" t="s">
        <v>9024</v>
      </c>
      <c r="L334" s="537" t="s">
        <v>536</v>
      </c>
    </row>
    <row r="335" spans="1:13" x14ac:dyDescent="0.2">
      <c r="A335" s="547" t="s">
        <v>220</v>
      </c>
      <c r="B335" s="547" t="s">
        <v>2063</v>
      </c>
      <c r="C335" s="547" t="s">
        <v>2067</v>
      </c>
      <c r="D335" s="547" t="s">
        <v>7488</v>
      </c>
      <c r="E335" s="547" t="s">
        <v>545</v>
      </c>
      <c r="F335" s="552">
        <v>290</v>
      </c>
      <c r="G335" s="560">
        <v>118.05740899636066</v>
      </c>
      <c r="H335" s="545">
        <v>34236.64860894459</v>
      </c>
      <c r="I335" s="547" t="s">
        <v>9009</v>
      </c>
      <c r="J335" s="547" t="s">
        <v>9023</v>
      </c>
      <c r="K335" s="547" t="s">
        <v>9024</v>
      </c>
      <c r="L335" s="537" t="s">
        <v>536</v>
      </c>
    </row>
    <row r="336" spans="1:13" x14ac:dyDescent="0.2">
      <c r="A336" s="547" t="s">
        <v>220</v>
      </c>
      <c r="B336" s="547" t="s">
        <v>2063</v>
      </c>
      <c r="C336" s="547" t="s">
        <v>2068</v>
      </c>
      <c r="D336" s="547" t="s">
        <v>7605</v>
      </c>
      <c r="E336" s="547" t="s">
        <v>545</v>
      </c>
      <c r="F336" s="552">
        <v>21</v>
      </c>
      <c r="G336" s="560">
        <v>62.017837610952384</v>
      </c>
      <c r="H336" s="545">
        <v>1302.3745898300001</v>
      </c>
      <c r="I336" s="547" t="s">
        <v>9009</v>
      </c>
      <c r="J336" s="547" t="s">
        <v>9023</v>
      </c>
      <c r="K336" s="547" t="s">
        <v>9024</v>
      </c>
      <c r="L336" s="537" t="s">
        <v>536</v>
      </c>
    </row>
    <row r="337" spans="1:12" x14ac:dyDescent="0.2">
      <c r="A337" s="547" t="s">
        <v>220</v>
      </c>
      <c r="B337" s="547" t="s">
        <v>2063</v>
      </c>
      <c r="C337" s="547" t="s">
        <v>2069</v>
      </c>
      <c r="D337" s="547" t="s">
        <v>7606</v>
      </c>
      <c r="E337" s="547" t="s">
        <v>545</v>
      </c>
      <c r="F337" s="552">
        <v>80</v>
      </c>
      <c r="G337" s="560">
        <v>62.453044942328575</v>
      </c>
      <c r="H337" s="545">
        <v>4996.243595386286</v>
      </c>
      <c r="I337" s="547" t="s">
        <v>9009</v>
      </c>
      <c r="J337" s="547" t="s">
        <v>9023</v>
      </c>
      <c r="K337" s="547" t="s">
        <v>9024</v>
      </c>
      <c r="L337" s="537" t="s">
        <v>536</v>
      </c>
    </row>
    <row r="338" spans="1:12" x14ac:dyDescent="0.2">
      <c r="A338" s="547" t="s">
        <v>220</v>
      </c>
      <c r="B338" s="547" t="s">
        <v>2063</v>
      </c>
      <c r="C338" s="547" t="s">
        <v>2070</v>
      </c>
      <c r="D338" s="547" t="s">
        <v>7606</v>
      </c>
      <c r="E338" s="547" t="s">
        <v>545</v>
      </c>
      <c r="F338" s="552">
        <v>120</v>
      </c>
      <c r="G338" s="560">
        <v>58.628104339135277</v>
      </c>
      <c r="H338" s="545">
        <v>7035.3725206962336</v>
      </c>
      <c r="I338" s="547" t="s">
        <v>9009</v>
      </c>
      <c r="J338" s="547" t="s">
        <v>9023</v>
      </c>
      <c r="K338" s="547" t="s">
        <v>9024</v>
      </c>
      <c r="L338" s="537" t="s">
        <v>536</v>
      </c>
    </row>
    <row r="339" spans="1:12" x14ac:dyDescent="0.2">
      <c r="A339" s="547" t="s">
        <v>220</v>
      </c>
      <c r="B339" s="547" t="s">
        <v>2063</v>
      </c>
      <c r="C339" s="547" t="s">
        <v>2071</v>
      </c>
      <c r="D339" s="547" t="s">
        <v>1927</v>
      </c>
      <c r="E339" s="547" t="s">
        <v>545</v>
      </c>
      <c r="F339" s="552">
        <v>4</v>
      </c>
      <c r="G339" s="560">
        <v>73.340594033614138</v>
      </c>
      <c r="H339" s="545">
        <v>293.36237613445655</v>
      </c>
      <c r="I339" s="547" t="s">
        <v>9009</v>
      </c>
      <c r="J339" s="547" t="s">
        <v>9023</v>
      </c>
      <c r="K339" s="547" t="s">
        <v>9024</v>
      </c>
      <c r="L339" s="537" t="s">
        <v>536</v>
      </c>
    </row>
    <row r="340" spans="1:12" x14ac:dyDescent="0.2">
      <c r="A340" s="547" t="s">
        <v>220</v>
      </c>
      <c r="B340" s="547" t="s">
        <v>2063</v>
      </c>
      <c r="C340" s="547" t="s">
        <v>2073</v>
      </c>
      <c r="D340" s="547" t="s">
        <v>7607</v>
      </c>
      <c r="E340" s="547" t="s">
        <v>545</v>
      </c>
      <c r="F340" s="552">
        <v>93</v>
      </c>
      <c r="G340" s="560">
        <v>54.569500774404673</v>
      </c>
      <c r="H340" s="545">
        <v>5074.9635720196347</v>
      </c>
      <c r="I340" s="547" t="s">
        <v>9009</v>
      </c>
      <c r="J340" s="547" t="s">
        <v>9023</v>
      </c>
      <c r="K340" s="547" t="s">
        <v>9024</v>
      </c>
      <c r="L340" s="537" t="s">
        <v>536</v>
      </c>
    </row>
    <row r="341" spans="1:12" x14ac:dyDescent="0.2">
      <c r="A341" s="547" t="s">
        <v>220</v>
      </c>
      <c r="B341" s="547" t="s">
        <v>2063</v>
      </c>
      <c r="C341" s="547" t="s">
        <v>2074</v>
      </c>
      <c r="D341" s="547" t="s">
        <v>7608</v>
      </c>
      <c r="E341" s="547" t="s">
        <v>545</v>
      </c>
      <c r="F341" s="552">
        <v>80</v>
      </c>
      <c r="G341" s="560">
        <v>57.605556537142405</v>
      </c>
      <c r="H341" s="545">
        <v>4608.4445229713929</v>
      </c>
      <c r="I341" s="547" t="s">
        <v>9009</v>
      </c>
      <c r="J341" s="547" t="s">
        <v>9023</v>
      </c>
      <c r="K341" s="547" t="s">
        <v>9024</v>
      </c>
      <c r="L341" s="537" t="s">
        <v>536</v>
      </c>
    </row>
    <row r="342" spans="1:12" x14ac:dyDescent="0.2">
      <c r="A342" s="547" t="s">
        <v>220</v>
      </c>
      <c r="B342" s="547" t="s">
        <v>2063</v>
      </c>
      <c r="C342" s="547" t="s">
        <v>2076</v>
      </c>
      <c r="D342" s="547" t="s">
        <v>7609</v>
      </c>
      <c r="E342" s="547" t="s">
        <v>545</v>
      </c>
      <c r="F342" s="552">
        <v>1</v>
      </c>
      <c r="G342" s="560">
        <v>91.295004755193162</v>
      </c>
      <c r="H342" s="545">
        <v>91.295004755193162</v>
      </c>
      <c r="I342" s="547" t="s">
        <v>9009</v>
      </c>
      <c r="J342" s="547" t="s">
        <v>9023</v>
      </c>
      <c r="K342" s="547" t="s">
        <v>9024</v>
      </c>
      <c r="L342" s="537" t="s">
        <v>536</v>
      </c>
    </row>
    <row r="343" spans="1:12" x14ac:dyDescent="0.2">
      <c r="A343" s="547" t="s">
        <v>220</v>
      </c>
      <c r="B343" s="547" t="s">
        <v>2063</v>
      </c>
      <c r="C343" s="547" t="s">
        <v>2077</v>
      </c>
      <c r="D343" s="547" t="s">
        <v>7610</v>
      </c>
      <c r="E343" s="547" t="s">
        <v>545</v>
      </c>
      <c r="F343" s="552">
        <v>26</v>
      </c>
      <c r="G343" s="560">
        <v>96.938008737320715</v>
      </c>
      <c r="H343" s="545">
        <v>2520.3882271703387</v>
      </c>
      <c r="I343" s="547" t="s">
        <v>9009</v>
      </c>
      <c r="J343" s="547" t="s">
        <v>9023</v>
      </c>
      <c r="K343" s="547" t="s">
        <v>9024</v>
      </c>
      <c r="L343" s="537" t="s">
        <v>536</v>
      </c>
    </row>
    <row r="344" spans="1:12" x14ac:dyDescent="0.2">
      <c r="A344" s="547" t="s">
        <v>220</v>
      </c>
      <c r="B344" s="547" t="s">
        <v>2063</v>
      </c>
      <c r="C344" s="547" t="s">
        <v>2078</v>
      </c>
      <c r="D344" s="547" t="s">
        <v>7478</v>
      </c>
      <c r="E344" s="547" t="s">
        <v>545</v>
      </c>
      <c r="F344" s="552">
        <v>573</v>
      </c>
      <c r="G344" s="560">
        <v>94.855421780273829</v>
      </c>
      <c r="H344" s="545">
        <v>54352.156680096901</v>
      </c>
      <c r="I344" s="547" t="s">
        <v>9009</v>
      </c>
      <c r="J344" s="547" t="s">
        <v>9023</v>
      </c>
      <c r="K344" s="547" t="s">
        <v>9024</v>
      </c>
      <c r="L344" s="537" t="s">
        <v>536</v>
      </c>
    </row>
    <row r="345" spans="1:12" x14ac:dyDescent="0.2">
      <c r="A345" s="547" t="s">
        <v>220</v>
      </c>
      <c r="B345" s="547" t="s">
        <v>2063</v>
      </c>
      <c r="C345" s="547" t="s">
        <v>7597</v>
      </c>
      <c r="D345" s="547" t="s">
        <v>7456</v>
      </c>
      <c r="E345" s="547" t="s">
        <v>545</v>
      </c>
      <c r="F345" s="552">
        <v>15</v>
      </c>
      <c r="G345" s="560">
        <v>122.01405510908974</v>
      </c>
      <c r="H345" s="545">
        <v>1830.2108266363462</v>
      </c>
      <c r="I345" s="547" t="s">
        <v>9009</v>
      </c>
      <c r="J345" s="547" t="s">
        <v>9023</v>
      </c>
      <c r="K345" s="547" t="s">
        <v>9024</v>
      </c>
      <c r="L345" s="537" t="s">
        <v>536</v>
      </c>
    </row>
    <row r="346" spans="1:12" x14ac:dyDescent="0.2">
      <c r="A346" s="547" t="s">
        <v>220</v>
      </c>
      <c r="B346" s="547" t="s">
        <v>2063</v>
      </c>
      <c r="C346" s="547" t="s">
        <v>7611</v>
      </c>
      <c r="D346" s="547" t="s">
        <v>7612</v>
      </c>
      <c r="E346" s="547" t="s">
        <v>545</v>
      </c>
      <c r="F346" s="552">
        <v>505</v>
      </c>
      <c r="G346" s="560">
        <v>129.13387861005873</v>
      </c>
      <c r="H346" s="545">
        <v>65212.608698079661</v>
      </c>
      <c r="I346" s="547" t="s">
        <v>9009</v>
      </c>
      <c r="J346" s="547" t="s">
        <v>9023</v>
      </c>
      <c r="K346" s="547" t="s">
        <v>9024</v>
      </c>
      <c r="L346" s="537" t="s">
        <v>536</v>
      </c>
    </row>
    <row r="347" spans="1:12" x14ac:dyDescent="0.2">
      <c r="A347" s="547" t="s">
        <v>220</v>
      </c>
      <c r="B347" s="547" t="s">
        <v>2063</v>
      </c>
      <c r="C347" s="547" t="s">
        <v>2087</v>
      </c>
      <c r="D347" s="547" t="s">
        <v>7490</v>
      </c>
      <c r="E347" s="547" t="s">
        <v>545</v>
      </c>
      <c r="F347" s="552">
        <v>324</v>
      </c>
      <c r="G347" s="560">
        <v>130.48334584556275</v>
      </c>
      <c r="H347" s="545">
        <v>42276.604053962328</v>
      </c>
      <c r="I347" s="547" t="s">
        <v>9009</v>
      </c>
      <c r="J347" s="547" t="s">
        <v>9023</v>
      </c>
      <c r="K347" s="547" t="s">
        <v>9024</v>
      </c>
      <c r="L347" s="537" t="s">
        <v>536</v>
      </c>
    </row>
    <row r="348" spans="1:12" x14ac:dyDescent="0.2">
      <c r="A348" s="547" t="s">
        <v>220</v>
      </c>
      <c r="B348" s="547" t="s">
        <v>2063</v>
      </c>
      <c r="C348" s="547" t="s">
        <v>2088</v>
      </c>
      <c r="D348" s="547" t="s">
        <v>7486</v>
      </c>
      <c r="E348" s="547" t="s">
        <v>545</v>
      </c>
      <c r="F348" s="552">
        <v>2567</v>
      </c>
      <c r="G348" s="560">
        <v>86.213221732088158</v>
      </c>
      <c r="H348" s="545">
        <v>221309.3401862703</v>
      </c>
      <c r="I348" s="547" t="s">
        <v>9009</v>
      </c>
      <c r="J348" s="547" t="s">
        <v>9023</v>
      </c>
      <c r="K348" s="547" t="s">
        <v>9024</v>
      </c>
      <c r="L348" s="537" t="s">
        <v>536</v>
      </c>
    </row>
    <row r="349" spans="1:12" x14ac:dyDescent="0.2">
      <c r="A349" s="547" t="s">
        <v>220</v>
      </c>
      <c r="B349" s="547" t="s">
        <v>2063</v>
      </c>
      <c r="C349" s="547" t="s">
        <v>821</v>
      </c>
      <c r="D349" s="547" t="s">
        <v>822</v>
      </c>
      <c r="E349" s="547" t="s">
        <v>545</v>
      </c>
      <c r="F349" s="552">
        <v>325</v>
      </c>
      <c r="G349" s="560">
        <v>89.112669576956108</v>
      </c>
      <c r="H349" s="545">
        <v>28961.617612510734</v>
      </c>
      <c r="I349" s="547" t="s">
        <v>9009</v>
      </c>
      <c r="J349" s="547" t="s">
        <v>9023</v>
      </c>
      <c r="K349" s="547" t="s">
        <v>9024</v>
      </c>
      <c r="L349" s="537" t="s">
        <v>536</v>
      </c>
    </row>
    <row r="350" spans="1:12" x14ac:dyDescent="0.2">
      <c r="A350" s="547" t="s">
        <v>220</v>
      </c>
      <c r="B350" s="547" t="s">
        <v>2063</v>
      </c>
      <c r="C350" s="547" t="s">
        <v>2091</v>
      </c>
      <c r="D350" s="547" t="s">
        <v>7484</v>
      </c>
      <c r="E350" s="547" t="s">
        <v>545</v>
      </c>
      <c r="F350" s="552">
        <v>162</v>
      </c>
      <c r="G350" s="560">
        <v>121.9715777999086</v>
      </c>
      <c r="H350" s="545">
        <v>19759.395603585195</v>
      </c>
      <c r="I350" s="547" t="s">
        <v>9009</v>
      </c>
      <c r="J350" s="547" t="s">
        <v>9023</v>
      </c>
      <c r="K350" s="547" t="s">
        <v>9024</v>
      </c>
      <c r="L350" s="537" t="s">
        <v>536</v>
      </c>
    </row>
    <row r="351" spans="1:12" x14ac:dyDescent="0.2">
      <c r="A351" s="547" t="s">
        <v>220</v>
      </c>
      <c r="B351" s="547" t="s">
        <v>2063</v>
      </c>
      <c r="C351" s="547" t="s">
        <v>2092</v>
      </c>
      <c r="D351" s="547" t="s">
        <v>7491</v>
      </c>
      <c r="E351" s="547" t="s">
        <v>545</v>
      </c>
      <c r="F351" s="552">
        <v>745</v>
      </c>
      <c r="G351" s="560">
        <v>119.75196790760265</v>
      </c>
      <c r="H351" s="545">
        <v>89215.216091163966</v>
      </c>
      <c r="I351" s="547" t="s">
        <v>9009</v>
      </c>
      <c r="J351" s="547" t="s">
        <v>9023</v>
      </c>
      <c r="K351" s="547" t="s">
        <v>9024</v>
      </c>
      <c r="L351" s="537" t="s">
        <v>536</v>
      </c>
    </row>
    <row r="352" spans="1:12" x14ac:dyDescent="0.2">
      <c r="A352" s="547" t="s">
        <v>220</v>
      </c>
      <c r="B352" s="547" t="s">
        <v>2063</v>
      </c>
      <c r="C352" s="547" t="s">
        <v>7622</v>
      </c>
      <c r="D352" s="547" t="s">
        <v>7623</v>
      </c>
      <c r="E352" s="547" t="s">
        <v>545</v>
      </c>
      <c r="F352" s="552">
        <v>34</v>
      </c>
      <c r="G352" s="560">
        <v>95.707268276369589</v>
      </c>
      <c r="H352" s="545">
        <v>3254.0471213965661</v>
      </c>
      <c r="I352" s="547" t="s">
        <v>9009</v>
      </c>
      <c r="J352" s="547" t="s">
        <v>9023</v>
      </c>
      <c r="K352" s="547" t="s">
        <v>9024</v>
      </c>
      <c r="L352" s="537" t="s">
        <v>536</v>
      </c>
    </row>
    <row r="353" spans="1:12" x14ac:dyDescent="0.2">
      <c r="A353" s="547" t="s">
        <v>220</v>
      </c>
      <c r="B353" s="547" t="s">
        <v>2063</v>
      </c>
      <c r="C353" s="547" t="s">
        <v>7631</v>
      </c>
      <c r="D353" s="547" t="s">
        <v>7752</v>
      </c>
      <c r="E353" s="547" t="s">
        <v>545</v>
      </c>
      <c r="F353" s="552">
        <v>312</v>
      </c>
      <c r="G353" s="560">
        <v>53.361335118244675</v>
      </c>
      <c r="H353" s="545">
        <v>16648.736556892338</v>
      </c>
      <c r="I353" s="547" t="s">
        <v>9009</v>
      </c>
      <c r="J353" s="547" t="s">
        <v>9023</v>
      </c>
      <c r="K353" s="547" t="s">
        <v>9024</v>
      </c>
      <c r="L353" s="537" t="s">
        <v>536</v>
      </c>
    </row>
    <row r="354" spans="1:12" x14ac:dyDescent="0.2">
      <c r="A354" s="547" t="s">
        <v>220</v>
      </c>
      <c r="B354" s="547" t="s">
        <v>2063</v>
      </c>
      <c r="C354" s="547" t="s">
        <v>7634</v>
      </c>
      <c r="D354" s="547" t="s">
        <v>7635</v>
      </c>
      <c r="E354" s="547" t="s">
        <v>545</v>
      </c>
      <c r="F354" s="552">
        <v>457</v>
      </c>
      <c r="G354" s="560">
        <v>59.140007179103414</v>
      </c>
      <c r="H354" s="545">
        <v>27026.983280850262</v>
      </c>
      <c r="I354" s="547" t="s">
        <v>9009</v>
      </c>
      <c r="J354" s="547" t="s">
        <v>9023</v>
      </c>
      <c r="K354" s="547" t="s">
        <v>9024</v>
      </c>
      <c r="L354" s="537" t="s">
        <v>536</v>
      </c>
    </row>
    <row r="355" spans="1:12" x14ac:dyDescent="0.2">
      <c r="A355" s="547" t="s">
        <v>220</v>
      </c>
      <c r="B355" s="547" t="s">
        <v>2063</v>
      </c>
      <c r="C355" s="547" t="s">
        <v>2123</v>
      </c>
      <c r="D355" s="547" t="s">
        <v>7636</v>
      </c>
      <c r="E355" s="547" t="s">
        <v>545</v>
      </c>
      <c r="F355" s="552">
        <v>414</v>
      </c>
      <c r="G355" s="560">
        <v>94.226177099213487</v>
      </c>
      <c r="H355" s="545">
        <v>39009.637319074383</v>
      </c>
      <c r="I355" s="547" t="s">
        <v>9009</v>
      </c>
      <c r="J355" s="547" t="s">
        <v>9023</v>
      </c>
      <c r="K355" s="547" t="s">
        <v>9024</v>
      </c>
      <c r="L355" s="537" t="s">
        <v>536</v>
      </c>
    </row>
    <row r="356" spans="1:12" x14ac:dyDescent="0.2">
      <c r="A356" s="547" t="s">
        <v>220</v>
      </c>
      <c r="B356" s="547" t="s">
        <v>2063</v>
      </c>
      <c r="C356" s="547" t="s">
        <v>7639</v>
      </c>
      <c r="D356" s="547" t="s">
        <v>7640</v>
      </c>
      <c r="E356" s="547" t="s">
        <v>545</v>
      </c>
      <c r="F356" s="552">
        <v>1485</v>
      </c>
      <c r="G356" s="560">
        <v>48.378093674009328</v>
      </c>
      <c r="H356" s="545">
        <v>71841.469105903845</v>
      </c>
      <c r="I356" s="547" t="s">
        <v>9009</v>
      </c>
      <c r="J356" s="547" t="s">
        <v>9023</v>
      </c>
      <c r="K356" s="547" t="s">
        <v>9024</v>
      </c>
      <c r="L356" s="537" t="s">
        <v>536</v>
      </c>
    </row>
    <row r="357" spans="1:12" x14ac:dyDescent="0.2">
      <c r="A357" s="547" t="s">
        <v>220</v>
      </c>
      <c r="B357" s="547" t="s">
        <v>2063</v>
      </c>
      <c r="C357" s="547" t="s">
        <v>2136</v>
      </c>
      <c r="D357" s="547" t="s">
        <v>7645</v>
      </c>
      <c r="E357" s="547" t="s">
        <v>545</v>
      </c>
      <c r="F357" s="552">
        <v>510</v>
      </c>
      <c r="G357" s="560">
        <v>107.34856384398095</v>
      </c>
      <c r="H357" s="545">
        <v>54747.767560430286</v>
      </c>
      <c r="I357" s="547" t="s">
        <v>9009</v>
      </c>
      <c r="J357" s="547" t="s">
        <v>9023</v>
      </c>
      <c r="K357" s="547" t="s">
        <v>9024</v>
      </c>
      <c r="L357" s="537" t="s">
        <v>536</v>
      </c>
    </row>
    <row r="358" spans="1:12" x14ac:dyDescent="0.2">
      <c r="A358" s="547" t="s">
        <v>220</v>
      </c>
      <c r="B358" s="547" t="s">
        <v>2063</v>
      </c>
      <c r="C358" s="547" t="s">
        <v>2076</v>
      </c>
      <c r="D358" s="547" t="s">
        <v>7609</v>
      </c>
      <c r="E358" s="547" t="s">
        <v>545</v>
      </c>
      <c r="F358" s="552">
        <v>99</v>
      </c>
      <c r="G358" s="560">
        <v>91.295004755193162</v>
      </c>
      <c r="H358" s="545">
        <v>9038.2054707641237</v>
      </c>
      <c r="I358" s="547" t="s">
        <v>9009</v>
      </c>
      <c r="J358" s="547" t="s">
        <v>9023</v>
      </c>
      <c r="K358" s="547" t="s">
        <v>9024</v>
      </c>
      <c r="L358" s="537" t="s">
        <v>536</v>
      </c>
    </row>
    <row r="359" spans="1:12" x14ac:dyDescent="0.2">
      <c r="A359" s="547" t="s">
        <v>220</v>
      </c>
      <c r="B359" s="547" t="s">
        <v>2063</v>
      </c>
      <c r="C359" s="547" t="s">
        <v>9027</v>
      </c>
      <c r="D359" s="547" t="s">
        <v>9028</v>
      </c>
      <c r="E359" s="547" t="s">
        <v>545</v>
      </c>
      <c r="F359" s="552">
        <v>31</v>
      </c>
      <c r="G359" s="560">
        <v>105.14249120749017</v>
      </c>
      <c r="H359" s="545">
        <v>3259.417227432195</v>
      </c>
      <c r="I359" s="547" t="s">
        <v>9009</v>
      </c>
      <c r="J359" s="547" t="s">
        <v>9023</v>
      </c>
      <c r="K359" s="547" t="s">
        <v>9024</v>
      </c>
      <c r="L359" s="537" t="s">
        <v>536</v>
      </c>
    </row>
    <row r="360" spans="1:12" x14ac:dyDescent="0.2">
      <c r="A360" s="547" t="s">
        <v>220</v>
      </c>
      <c r="B360" s="547" t="s">
        <v>2063</v>
      </c>
      <c r="C360" s="547" t="s">
        <v>2151</v>
      </c>
      <c r="D360" s="547" t="s">
        <v>7626</v>
      </c>
      <c r="E360" s="547" t="s">
        <v>545</v>
      </c>
      <c r="F360" s="552">
        <v>30</v>
      </c>
      <c r="G360" s="560">
        <v>108.50455003875166</v>
      </c>
      <c r="H360" s="545">
        <v>3255.1365011625498</v>
      </c>
      <c r="I360" s="547" t="s">
        <v>9009</v>
      </c>
      <c r="J360" s="547" t="s">
        <v>9023</v>
      </c>
      <c r="K360" s="547" t="s">
        <v>9024</v>
      </c>
      <c r="L360" s="537" t="s">
        <v>536</v>
      </c>
    </row>
    <row r="361" spans="1:12" x14ac:dyDescent="0.2">
      <c r="A361" s="547" t="s">
        <v>220</v>
      </c>
      <c r="B361" s="547" t="s">
        <v>2063</v>
      </c>
      <c r="C361" s="547" t="s">
        <v>2141</v>
      </c>
      <c r="D361" s="547" t="s">
        <v>7649</v>
      </c>
      <c r="E361" s="547" t="s">
        <v>545</v>
      </c>
      <c r="F361" s="552">
        <v>132</v>
      </c>
      <c r="G361" s="560">
        <v>72.690253470847153</v>
      </c>
      <c r="H361" s="545">
        <v>9595.1134581518236</v>
      </c>
      <c r="I361" s="547" t="s">
        <v>9009</v>
      </c>
      <c r="J361" s="547" t="s">
        <v>9023</v>
      </c>
      <c r="K361" s="547" t="s">
        <v>9024</v>
      </c>
      <c r="L361" s="537" t="s">
        <v>536</v>
      </c>
    </row>
    <row r="362" spans="1:12" x14ac:dyDescent="0.2">
      <c r="A362" s="547" t="s">
        <v>220</v>
      </c>
      <c r="B362" s="547" t="s">
        <v>2063</v>
      </c>
      <c r="C362" s="547" t="s">
        <v>7508</v>
      </c>
      <c r="D362" s="547" t="s">
        <v>7604</v>
      </c>
      <c r="E362" s="547" t="s">
        <v>545</v>
      </c>
      <c r="F362" s="552">
        <v>20</v>
      </c>
      <c r="G362" s="560">
        <v>73.907105357728199</v>
      </c>
      <c r="H362" s="545">
        <v>1478.142107154564</v>
      </c>
      <c r="I362" s="547" t="s">
        <v>9009</v>
      </c>
      <c r="J362" s="547" t="s">
        <v>9023</v>
      </c>
      <c r="K362" s="547" t="s">
        <v>9024</v>
      </c>
      <c r="L362" s="537" t="s">
        <v>536</v>
      </c>
    </row>
    <row r="363" spans="1:12" x14ac:dyDescent="0.2">
      <c r="A363" s="547" t="s">
        <v>220</v>
      </c>
      <c r="B363" s="547" t="s">
        <v>2063</v>
      </c>
      <c r="C363" s="547" t="s">
        <v>7652</v>
      </c>
      <c r="D363" s="547" t="s">
        <v>7653</v>
      </c>
      <c r="E363" s="547" t="s">
        <v>545</v>
      </c>
      <c r="F363" s="552">
        <v>880</v>
      </c>
      <c r="G363" s="560">
        <v>85.566789816282565</v>
      </c>
      <c r="H363" s="545">
        <v>75298.775038328662</v>
      </c>
      <c r="I363" s="547" t="s">
        <v>9009</v>
      </c>
      <c r="J363" s="547" t="s">
        <v>9023</v>
      </c>
      <c r="K363" s="547" t="s">
        <v>9024</v>
      </c>
      <c r="L363" s="537" t="s">
        <v>536</v>
      </c>
    </row>
    <row r="364" spans="1:12" x14ac:dyDescent="0.2">
      <c r="A364" s="547" t="s">
        <v>220</v>
      </c>
      <c r="B364" s="547" t="s">
        <v>2063</v>
      </c>
      <c r="C364" s="547" t="s">
        <v>7654</v>
      </c>
      <c r="D364" s="547" t="s">
        <v>7655</v>
      </c>
      <c r="E364" s="547" t="s">
        <v>545</v>
      </c>
      <c r="F364" s="552">
        <v>1239</v>
      </c>
      <c r="G364" s="560">
        <v>91.915233131790458</v>
      </c>
      <c r="H364" s="545">
        <v>113882.97385028838</v>
      </c>
      <c r="I364" s="547" t="s">
        <v>9009</v>
      </c>
      <c r="J364" s="547" t="s">
        <v>9023</v>
      </c>
      <c r="K364" s="547" t="s">
        <v>9024</v>
      </c>
      <c r="L364" s="537" t="s">
        <v>536</v>
      </c>
    </row>
    <row r="365" spans="1:12" x14ac:dyDescent="0.2">
      <c r="A365" s="547" t="s">
        <v>220</v>
      </c>
      <c r="B365" s="547" t="s">
        <v>2063</v>
      </c>
      <c r="C365" s="547" t="s">
        <v>2075</v>
      </c>
      <c r="D365" s="547" t="s">
        <v>7656</v>
      </c>
      <c r="E365" s="547" t="s">
        <v>545</v>
      </c>
      <c r="F365" s="552">
        <v>1003</v>
      </c>
      <c r="G365" s="560">
        <v>60.597108982258398</v>
      </c>
      <c r="H365" s="545">
        <v>60778.900309205172</v>
      </c>
      <c r="I365" s="547" t="s">
        <v>9009</v>
      </c>
      <c r="J365" s="547" t="s">
        <v>9023</v>
      </c>
      <c r="K365" s="547" t="s">
        <v>9024</v>
      </c>
      <c r="L365" s="537" t="s">
        <v>536</v>
      </c>
    </row>
    <row r="366" spans="1:12" x14ac:dyDescent="0.2">
      <c r="A366" s="547" t="s">
        <v>220</v>
      </c>
      <c r="B366" s="547" t="s">
        <v>7455</v>
      </c>
      <c r="C366" s="547" t="s">
        <v>2064</v>
      </c>
      <c r="D366" s="547" t="s">
        <v>7603</v>
      </c>
      <c r="E366" s="547" t="s">
        <v>545</v>
      </c>
      <c r="F366" s="561">
        <v>79</v>
      </c>
      <c r="G366" s="545">
        <v>66.721491131367998</v>
      </c>
      <c r="H366" s="545">
        <v>5270.9977993780722</v>
      </c>
      <c r="I366" s="547" t="s">
        <v>9009</v>
      </c>
      <c r="J366" s="547" t="s">
        <v>9023</v>
      </c>
      <c r="K366" s="547" t="s">
        <v>9024</v>
      </c>
      <c r="L366" s="537" t="s">
        <v>536</v>
      </c>
    </row>
    <row r="367" spans="1:12" x14ac:dyDescent="0.2">
      <c r="A367" s="547" t="s">
        <v>220</v>
      </c>
      <c r="B367" s="547" t="s">
        <v>7455</v>
      </c>
      <c r="C367" s="547" t="s">
        <v>2066</v>
      </c>
      <c r="D367" s="547" t="s">
        <v>7479</v>
      </c>
      <c r="E367" s="547" t="s">
        <v>545</v>
      </c>
      <c r="F367" s="552">
        <v>30</v>
      </c>
      <c r="G367" s="560">
        <v>91.193467462990142</v>
      </c>
      <c r="H367" s="545">
        <v>2735.8040238897042</v>
      </c>
      <c r="I367" s="547" t="s">
        <v>9009</v>
      </c>
      <c r="J367" s="547" t="s">
        <v>9023</v>
      </c>
      <c r="K367" s="547" t="s">
        <v>9024</v>
      </c>
      <c r="L367" s="537" t="s">
        <v>536</v>
      </c>
    </row>
    <row r="368" spans="1:12" x14ac:dyDescent="0.2">
      <c r="A368" s="547" t="s">
        <v>220</v>
      </c>
      <c r="B368" s="547" t="s">
        <v>7455</v>
      </c>
      <c r="C368" s="547" t="s">
        <v>2067</v>
      </c>
      <c r="D368" s="547" t="s">
        <v>7488</v>
      </c>
      <c r="E368" s="547" t="s">
        <v>545</v>
      </c>
      <c r="F368" s="561">
        <v>155</v>
      </c>
      <c r="G368" s="545">
        <v>118.05740899636066</v>
      </c>
      <c r="H368" s="545">
        <v>18298.898394435902</v>
      </c>
      <c r="I368" s="547" t="s">
        <v>9009</v>
      </c>
      <c r="J368" s="547" t="s">
        <v>9023</v>
      </c>
      <c r="K368" s="547" t="s">
        <v>9024</v>
      </c>
      <c r="L368" s="537" t="s">
        <v>536</v>
      </c>
    </row>
    <row r="369" spans="1:12" x14ac:dyDescent="0.2">
      <c r="A369" s="547" t="s">
        <v>220</v>
      </c>
      <c r="B369" s="547" t="s">
        <v>7455</v>
      </c>
      <c r="C369" s="547" t="s">
        <v>2069</v>
      </c>
      <c r="D369" s="547" t="s">
        <v>7606</v>
      </c>
      <c r="E369" s="547" t="s">
        <v>545</v>
      </c>
      <c r="F369" s="552">
        <v>70</v>
      </c>
      <c r="G369" s="545">
        <v>62.453044942328575</v>
      </c>
      <c r="H369" s="545">
        <v>4371.713145963</v>
      </c>
      <c r="I369" s="547" t="s">
        <v>9009</v>
      </c>
      <c r="J369" s="547" t="s">
        <v>9023</v>
      </c>
      <c r="K369" s="547" t="s">
        <v>9024</v>
      </c>
      <c r="L369" s="537" t="s">
        <v>536</v>
      </c>
    </row>
    <row r="370" spans="1:12" x14ac:dyDescent="0.2">
      <c r="A370" s="547" t="s">
        <v>220</v>
      </c>
      <c r="B370" s="547" t="s">
        <v>7455</v>
      </c>
      <c r="C370" s="547" t="s">
        <v>2073</v>
      </c>
      <c r="D370" s="547" t="s">
        <v>7607</v>
      </c>
      <c r="E370" s="547" t="s">
        <v>545</v>
      </c>
      <c r="F370" s="552">
        <v>160</v>
      </c>
      <c r="G370" s="545">
        <v>54.569500774404673</v>
      </c>
      <c r="H370" s="545">
        <v>8731.1201239047477</v>
      </c>
      <c r="I370" s="547" t="s">
        <v>9009</v>
      </c>
      <c r="J370" s="547" t="s">
        <v>9023</v>
      </c>
      <c r="K370" s="547" t="s">
        <v>9024</v>
      </c>
      <c r="L370" s="537" t="s">
        <v>536</v>
      </c>
    </row>
    <row r="371" spans="1:12" x14ac:dyDescent="0.2">
      <c r="A371" s="547" t="s">
        <v>220</v>
      </c>
      <c r="B371" s="547" t="s">
        <v>7455</v>
      </c>
      <c r="C371" s="547" t="s">
        <v>2078</v>
      </c>
      <c r="D371" s="547" t="s">
        <v>7478</v>
      </c>
      <c r="E371" s="547" t="s">
        <v>545</v>
      </c>
      <c r="F371" s="552">
        <v>138</v>
      </c>
      <c r="G371" s="545">
        <v>94.855421780273829</v>
      </c>
      <c r="H371" s="545">
        <v>13090.048205677789</v>
      </c>
      <c r="I371" s="547" t="s">
        <v>9009</v>
      </c>
      <c r="J371" s="547" t="s">
        <v>9023</v>
      </c>
      <c r="K371" s="547" t="s">
        <v>9024</v>
      </c>
      <c r="L371" s="537" t="s">
        <v>536</v>
      </c>
    </row>
    <row r="372" spans="1:12" x14ac:dyDescent="0.2">
      <c r="A372" s="547" t="s">
        <v>220</v>
      </c>
      <c r="B372" s="547" t="s">
        <v>7455</v>
      </c>
      <c r="C372" s="547" t="s">
        <v>7611</v>
      </c>
      <c r="D372" s="547" t="s">
        <v>7612</v>
      </c>
      <c r="E372" s="547" t="s">
        <v>545</v>
      </c>
      <c r="F372" s="552">
        <v>295</v>
      </c>
      <c r="G372" s="545">
        <v>129.13387861005873</v>
      </c>
      <c r="H372" s="545">
        <v>38094.494189967329</v>
      </c>
      <c r="I372" s="547" t="s">
        <v>9009</v>
      </c>
      <c r="J372" s="547" t="s">
        <v>9023</v>
      </c>
      <c r="K372" s="547" t="s">
        <v>9024</v>
      </c>
      <c r="L372" s="537" t="s">
        <v>536</v>
      </c>
    </row>
    <row r="373" spans="1:12" x14ac:dyDescent="0.2">
      <c r="A373" s="547" t="s">
        <v>220</v>
      </c>
      <c r="B373" s="547" t="s">
        <v>7455</v>
      </c>
      <c r="C373" s="547" t="s">
        <v>2087</v>
      </c>
      <c r="D373" s="547" t="s">
        <v>7490</v>
      </c>
      <c r="E373" s="547" t="s">
        <v>545</v>
      </c>
      <c r="F373" s="552">
        <v>19</v>
      </c>
      <c r="G373" s="545">
        <v>130.48334584556275</v>
      </c>
      <c r="H373" s="545">
        <v>2479.1835710656924</v>
      </c>
      <c r="I373" s="547" t="s">
        <v>9009</v>
      </c>
      <c r="J373" s="547" t="s">
        <v>9023</v>
      </c>
      <c r="K373" s="547" t="s">
        <v>9024</v>
      </c>
      <c r="L373" s="537" t="s">
        <v>536</v>
      </c>
    </row>
    <row r="374" spans="1:12" x14ac:dyDescent="0.2">
      <c r="A374" s="547" t="s">
        <v>220</v>
      </c>
      <c r="B374" s="547" t="s">
        <v>7455</v>
      </c>
      <c r="C374" s="547" t="s">
        <v>2088</v>
      </c>
      <c r="D374" s="547" t="s">
        <v>7486</v>
      </c>
      <c r="E374" s="547" t="s">
        <v>545</v>
      </c>
      <c r="F374" s="552">
        <v>619</v>
      </c>
      <c r="G374" s="545">
        <v>86.213221732088158</v>
      </c>
      <c r="H374" s="545">
        <v>53365.984252162569</v>
      </c>
      <c r="I374" s="547" t="s">
        <v>9009</v>
      </c>
      <c r="J374" s="547" t="s">
        <v>9023</v>
      </c>
      <c r="K374" s="547" t="s">
        <v>9024</v>
      </c>
      <c r="L374" s="537" t="s">
        <v>536</v>
      </c>
    </row>
    <row r="375" spans="1:12" x14ac:dyDescent="0.2">
      <c r="A375" s="547" t="s">
        <v>220</v>
      </c>
      <c r="B375" s="547" t="s">
        <v>7455</v>
      </c>
      <c r="C375" s="547" t="s">
        <v>821</v>
      </c>
      <c r="D375" s="547" t="s">
        <v>822</v>
      </c>
      <c r="E375" s="547" t="s">
        <v>545</v>
      </c>
      <c r="F375" s="552">
        <v>400</v>
      </c>
      <c r="G375" s="545">
        <v>89.112669576956108</v>
      </c>
      <c r="H375" s="545">
        <v>35645.067830782442</v>
      </c>
      <c r="I375" s="547" t="s">
        <v>9009</v>
      </c>
      <c r="J375" s="547" t="s">
        <v>9023</v>
      </c>
      <c r="K375" s="547" t="s">
        <v>9024</v>
      </c>
      <c r="L375" s="537" t="s">
        <v>536</v>
      </c>
    </row>
    <row r="376" spans="1:12" x14ac:dyDescent="0.2">
      <c r="A376" s="547" t="s">
        <v>220</v>
      </c>
      <c r="B376" s="547" t="s">
        <v>7455</v>
      </c>
      <c r="C376" s="547" t="s">
        <v>2090</v>
      </c>
      <c r="D376" s="547" t="s">
        <v>7484</v>
      </c>
      <c r="E376" s="547" t="s">
        <v>545</v>
      </c>
      <c r="F376" s="552">
        <v>7</v>
      </c>
      <c r="G376" s="545">
        <v>121.25789888101848</v>
      </c>
      <c r="H376" s="545">
        <v>848.80529216712932</v>
      </c>
      <c r="I376" s="547" t="s">
        <v>9009</v>
      </c>
      <c r="J376" s="547" t="s">
        <v>9023</v>
      </c>
      <c r="K376" s="547" t="s">
        <v>9024</v>
      </c>
      <c r="L376" s="537" t="s">
        <v>536</v>
      </c>
    </row>
    <row r="377" spans="1:12" x14ac:dyDescent="0.2">
      <c r="A377" s="547" t="s">
        <v>220</v>
      </c>
      <c r="B377" s="547" t="s">
        <v>7455</v>
      </c>
      <c r="C377" s="547" t="s">
        <v>2071</v>
      </c>
      <c r="D377" s="547" t="s">
        <v>7658</v>
      </c>
      <c r="E377" s="547" t="s">
        <v>545</v>
      </c>
      <c r="F377" s="552">
        <v>45</v>
      </c>
      <c r="G377" s="545">
        <v>73.340594033614138</v>
      </c>
      <c r="H377" s="545">
        <v>3300.3267315126363</v>
      </c>
      <c r="I377" s="547" t="s">
        <v>9009</v>
      </c>
      <c r="J377" s="547" t="s">
        <v>9023</v>
      </c>
      <c r="K377" s="547" t="s">
        <v>9024</v>
      </c>
      <c r="L377" s="537" t="s">
        <v>536</v>
      </c>
    </row>
    <row r="378" spans="1:12" x14ac:dyDescent="0.2">
      <c r="A378" s="547" t="s">
        <v>220</v>
      </c>
      <c r="B378" s="547" t="s">
        <v>7455</v>
      </c>
      <c r="C378" s="547" t="s">
        <v>2136</v>
      </c>
      <c r="D378" s="547" t="s">
        <v>7645</v>
      </c>
      <c r="E378" s="547" t="s">
        <v>545</v>
      </c>
      <c r="F378" s="552">
        <v>1</v>
      </c>
      <c r="G378" s="545">
        <v>107.34856384398095</v>
      </c>
      <c r="H378" s="545">
        <v>107.34856384398095</v>
      </c>
      <c r="I378" s="547" t="s">
        <v>9009</v>
      </c>
      <c r="J378" s="547" t="s">
        <v>9023</v>
      </c>
      <c r="K378" s="547" t="s">
        <v>9024</v>
      </c>
      <c r="L378" s="537" t="s">
        <v>536</v>
      </c>
    </row>
    <row r="379" spans="1:12" x14ac:dyDescent="0.2">
      <c r="A379" s="547" t="s">
        <v>220</v>
      </c>
      <c r="B379" s="547" t="s">
        <v>7455</v>
      </c>
      <c r="C379" s="547" t="s">
        <v>9027</v>
      </c>
      <c r="D379" s="547" t="s">
        <v>7626</v>
      </c>
      <c r="E379" s="547" t="s">
        <v>545</v>
      </c>
      <c r="F379" s="552">
        <v>5</v>
      </c>
      <c r="G379" s="545">
        <v>105.14249120749017</v>
      </c>
      <c r="H379" s="545">
        <v>525.71245603745081</v>
      </c>
      <c r="I379" s="547" t="s">
        <v>9009</v>
      </c>
      <c r="J379" s="547" t="s">
        <v>9023</v>
      </c>
      <c r="K379" s="547" t="s">
        <v>9024</v>
      </c>
      <c r="L379" s="537" t="s">
        <v>536</v>
      </c>
    </row>
    <row r="380" spans="1:12" x14ac:dyDescent="0.2">
      <c r="A380" s="547" t="s">
        <v>220</v>
      </c>
      <c r="B380" s="547" t="s">
        <v>2063</v>
      </c>
      <c r="C380" s="547" t="s">
        <v>2106</v>
      </c>
      <c r="D380" s="547" t="s">
        <v>2106</v>
      </c>
      <c r="E380" s="547" t="s">
        <v>545</v>
      </c>
      <c r="F380" s="552">
        <v>302</v>
      </c>
      <c r="G380" s="560">
        <v>159.59694941386559</v>
      </c>
      <c r="H380" s="545">
        <v>48198.278722987408</v>
      </c>
      <c r="I380" s="547" t="s">
        <v>9009</v>
      </c>
      <c r="J380" s="547" t="s">
        <v>9023</v>
      </c>
      <c r="K380" s="547" t="s">
        <v>9024</v>
      </c>
      <c r="L380" s="537" t="s">
        <v>536</v>
      </c>
    </row>
    <row r="381" spans="1:12" x14ac:dyDescent="0.2">
      <c r="A381" s="547" t="s">
        <v>220</v>
      </c>
      <c r="B381" s="547" t="s">
        <v>2063</v>
      </c>
      <c r="C381" s="547" t="s">
        <v>2107</v>
      </c>
      <c r="D381" s="547" t="s">
        <v>2107</v>
      </c>
      <c r="E381" s="547" t="s">
        <v>545</v>
      </c>
      <c r="F381" s="552">
        <v>197</v>
      </c>
      <c r="G381" s="560">
        <v>160.10382203415</v>
      </c>
      <c r="H381" s="545">
        <v>31540.452940727551</v>
      </c>
      <c r="I381" s="547" t="s">
        <v>9009</v>
      </c>
      <c r="J381" s="547" t="s">
        <v>9023</v>
      </c>
      <c r="K381" s="547" t="s">
        <v>9024</v>
      </c>
      <c r="L381" s="537" t="s">
        <v>536</v>
      </c>
    </row>
    <row r="382" spans="1:12" x14ac:dyDescent="0.2">
      <c r="A382" s="547" t="s">
        <v>220</v>
      </c>
      <c r="B382" s="547" t="s">
        <v>2063</v>
      </c>
      <c r="C382" s="547" t="s">
        <v>2075</v>
      </c>
      <c r="D382" s="547" t="s">
        <v>2052</v>
      </c>
      <c r="E382" s="547" t="s">
        <v>545</v>
      </c>
      <c r="F382" s="552">
        <v>39</v>
      </c>
      <c r="G382" s="560">
        <v>60.597108982258398</v>
      </c>
      <c r="H382" s="545">
        <v>2363.2872503080775</v>
      </c>
      <c r="I382" s="547" t="s">
        <v>9009</v>
      </c>
      <c r="J382" s="547" t="s">
        <v>9023</v>
      </c>
      <c r="K382" s="547" t="s">
        <v>9024</v>
      </c>
      <c r="L382" s="537" t="s">
        <v>536</v>
      </c>
    </row>
    <row r="383" spans="1:12" x14ac:dyDescent="0.2">
      <c r="A383" s="547" t="s">
        <v>220</v>
      </c>
      <c r="B383" s="547" t="s">
        <v>2063</v>
      </c>
      <c r="C383" s="547" t="s">
        <v>9030</v>
      </c>
      <c r="D383" s="547" t="s">
        <v>2054</v>
      </c>
      <c r="E383" s="547" t="s">
        <v>545</v>
      </c>
      <c r="F383" s="552">
        <v>106</v>
      </c>
      <c r="G383" s="560">
        <v>87.148678417598987</v>
      </c>
      <c r="H383" s="545">
        <v>9237.7599122654919</v>
      </c>
      <c r="I383" s="547" t="s">
        <v>9009</v>
      </c>
      <c r="J383" s="547" t="s">
        <v>9023</v>
      </c>
      <c r="K383" s="547" t="s">
        <v>9024</v>
      </c>
      <c r="L383" s="537" t="s">
        <v>536</v>
      </c>
    </row>
    <row r="384" spans="1:12" x14ac:dyDescent="0.2">
      <c r="A384" s="547" t="s">
        <v>220</v>
      </c>
      <c r="B384" s="547" t="s">
        <v>2063</v>
      </c>
      <c r="C384" s="547" t="s">
        <v>2150</v>
      </c>
      <c r="D384" s="547" t="s">
        <v>2056</v>
      </c>
      <c r="E384" s="547" t="s">
        <v>545</v>
      </c>
      <c r="F384" s="552">
        <v>113</v>
      </c>
      <c r="G384" s="560">
        <v>86.565121001814035</v>
      </c>
      <c r="H384" s="545">
        <v>9781.8586732049862</v>
      </c>
      <c r="I384" s="547" t="s">
        <v>9009</v>
      </c>
      <c r="J384" s="547" t="s">
        <v>9023</v>
      </c>
      <c r="K384" s="547" t="s">
        <v>9024</v>
      </c>
      <c r="L384" s="537" t="s">
        <v>536</v>
      </c>
    </row>
    <row r="385" spans="1:12" x14ac:dyDescent="0.2">
      <c r="A385" s="547" t="s">
        <v>220</v>
      </c>
      <c r="B385" s="547" t="s">
        <v>7448</v>
      </c>
      <c r="C385" s="547" t="s">
        <v>1909</v>
      </c>
      <c r="D385" s="547" t="s">
        <v>7603</v>
      </c>
      <c r="E385" s="547" t="s">
        <v>545</v>
      </c>
      <c r="F385" s="561">
        <v>412</v>
      </c>
      <c r="G385" s="545">
        <v>74.094522871855034</v>
      </c>
      <c r="H385" s="545">
        <v>30526.943423204273</v>
      </c>
      <c r="I385" s="547" t="s">
        <v>9009</v>
      </c>
      <c r="J385" s="547" t="s">
        <v>9019</v>
      </c>
      <c r="K385" s="547" t="s">
        <v>9020</v>
      </c>
      <c r="L385" s="537" t="s">
        <v>1911</v>
      </c>
    </row>
    <row r="386" spans="1:12" x14ac:dyDescent="0.2">
      <c r="A386" s="547" t="s">
        <v>220</v>
      </c>
      <c r="B386" s="547" t="s">
        <v>7448</v>
      </c>
      <c r="C386" s="547" t="s">
        <v>1912</v>
      </c>
      <c r="D386" s="547" t="s">
        <v>7604</v>
      </c>
      <c r="E386" s="547" t="s">
        <v>545</v>
      </c>
      <c r="F386" s="552">
        <v>292</v>
      </c>
      <c r="G386" s="545">
        <v>87.054581736686956</v>
      </c>
      <c r="H386" s="545">
        <v>25419.937867112592</v>
      </c>
      <c r="I386" s="547" t="s">
        <v>9009</v>
      </c>
      <c r="J386" s="547" t="s">
        <v>9019</v>
      </c>
      <c r="K386" s="547" t="s">
        <v>9020</v>
      </c>
      <c r="L386" s="537" t="s">
        <v>1911</v>
      </c>
    </row>
    <row r="387" spans="1:12" x14ac:dyDescent="0.2">
      <c r="A387" s="547" t="s">
        <v>220</v>
      </c>
      <c r="B387" s="547" t="s">
        <v>7448</v>
      </c>
      <c r="C387" s="547" t="s">
        <v>1916</v>
      </c>
      <c r="D387" s="547" t="s">
        <v>7488</v>
      </c>
      <c r="E387" s="547" t="s">
        <v>545</v>
      </c>
      <c r="F387" s="552">
        <v>25</v>
      </c>
      <c r="G387" s="545">
        <v>129.97339121518311</v>
      </c>
      <c r="H387" s="545">
        <v>3249.3347803795778</v>
      </c>
      <c r="I387" s="547" t="s">
        <v>9009</v>
      </c>
      <c r="J387" s="547" t="s">
        <v>9019</v>
      </c>
      <c r="K387" s="547" t="s">
        <v>9020</v>
      </c>
      <c r="L387" s="537" t="s">
        <v>1911</v>
      </c>
    </row>
    <row r="388" spans="1:12" x14ac:dyDescent="0.2">
      <c r="A388" s="547" t="s">
        <v>220</v>
      </c>
      <c r="B388" s="547" t="s">
        <v>7448</v>
      </c>
      <c r="C388" s="547" t="s">
        <v>1920</v>
      </c>
      <c r="D388" s="547" t="s">
        <v>7606</v>
      </c>
      <c r="E388" s="547" t="s">
        <v>545</v>
      </c>
      <c r="F388" s="552">
        <v>253</v>
      </c>
      <c r="G388" s="545">
        <v>69.509026206000897</v>
      </c>
      <c r="H388" s="545">
        <v>17585.783630118225</v>
      </c>
      <c r="I388" s="547" t="s">
        <v>9009</v>
      </c>
      <c r="J388" s="547" t="s">
        <v>9019</v>
      </c>
      <c r="K388" s="547" t="s">
        <v>9020</v>
      </c>
      <c r="L388" s="537" t="s">
        <v>1911</v>
      </c>
    </row>
    <row r="389" spans="1:12" x14ac:dyDescent="0.2">
      <c r="A389" s="547" t="s">
        <v>220</v>
      </c>
      <c r="B389" s="547" t="s">
        <v>7448</v>
      </c>
      <c r="C389" s="547" t="s">
        <v>1926</v>
      </c>
      <c r="D389" s="547" t="s">
        <v>1927</v>
      </c>
      <c r="E389" s="547" t="s">
        <v>545</v>
      </c>
      <c r="F389" s="552">
        <v>11</v>
      </c>
      <c r="G389" s="545">
        <v>81.02888467183837</v>
      </c>
      <c r="H389" s="545">
        <v>891.31773139022209</v>
      </c>
      <c r="I389" s="547" t="s">
        <v>9009</v>
      </c>
      <c r="J389" s="547" t="s">
        <v>9019</v>
      </c>
      <c r="K389" s="547" t="s">
        <v>9024</v>
      </c>
      <c r="L389" s="537" t="s">
        <v>1911</v>
      </c>
    </row>
    <row r="390" spans="1:12" x14ac:dyDescent="0.2">
      <c r="A390" s="547" t="s">
        <v>220</v>
      </c>
      <c r="B390" s="547" t="s">
        <v>7448</v>
      </c>
      <c r="C390" s="547" t="s">
        <v>1940</v>
      </c>
      <c r="D390" s="547" t="s">
        <v>7660</v>
      </c>
      <c r="E390" s="547" t="s">
        <v>545</v>
      </c>
      <c r="F390" s="552">
        <v>210</v>
      </c>
      <c r="G390" s="545">
        <v>112.23658549928935</v>
      </c>
      <c r="H390" s="545">
        <v>23569.682954850763</v>
      </c>
      <c r="I390" s="547" t="s">
        <v>9009</v>
      </c>
      <c r="J390" s="547" t="s">
        <v>9019</v>
      </c>
      <c r="K390" s="547" t="s">
        <v>9020</v>
      </c>
      <c r="L390" s="537" t="s">
        <v>1911</v>
      </c>
    </row>
    <row r="391" spans="1:12" x14ac:dyDescent="0.2">
      <c r="A391" s="547" t="s">
        <v>220</v>
      </c>
      <c r="B391" s="547" t="s">
        <v>7448</v>
      </c>
      <c r="C391" s="547" t="s">
        <v>7662</v>
      </c>
      <c r="D391" s="547" t="s">
        <v>9031</v>
      </c>
      <c r="E391" s="547" t="s">
        <v>545</v>
      </c>
      <c r="F391" s="552">
        <v>35</v>
      </c>
      <c r="G391" s="545">
        <v>150.80792283160068</v>
      </c>
      <c r="H391" s="545">
        <v>5278.2772991060237</v>
      </c>
      <c r="I391" s="547" t="s">
        <v>9009</v>
      </c>
      <c r="J391" s="547" t="s">
        <v>9019</v>
      </c>
      <c r="K391" s="547" t="s">
        <v>9020</v>
      </c>
      <c r="L391" s="537" t="s">
        <v>1911</v>
      </c>
    </row>
    <row r="392" spans="1:12" x14ac:dyDescent="0.2">
      <c r="A392" s="547" t="s">
        <v>220</v>
      </c>
      <c r="B392" s="547" t="s">
        <v>7448</v>
      </c>
      <c r="C392" s="547" t="s">
        <v>1950</v>
      </c>
      <c r="D392" s="547" t="s">
        <v>7476</v>
      </c>
      <c r="E392" s="547" t="s">
        <v>545</v>
      </c>
      <c r="F392" s="552">
        <v>481</v>
      </c>
      <c r="G392" s="545">
        <v>74.893476231035251</v>
      </c>
      <c r="H392" s="545">
        <v>36023.762067127958</v>
      </c>
      <c r="I392" s="547" t="s">
        <v>9009</v>
      </c>
      <c r="J392" s="547" t="s">
        <v>9019</v>
      </c>
      <c r="K392" s="547" t="s">
        <v>9020</v>
      </c>
      <c r="L392" s="537" t="s">
        <v>1911</v>
      </c>
    </row>
    <row r="393" spans="1:12" x14ac:dyDescent="0.2">
      <c r="A393" s="547" t="s">
        <v>220</v>
      </c>
      <c r="B393" s="547" t="s">
        <v>7448</v>
      </c>
      <c r="C393" s="547" t="s">
        <v>1952</v>
      </c>
      <c r="D393" s="547" t="s">
        <v>7614</v>
      </c>
      <c r="E393" s="547" t="s">
        <v>545</v>
      </c>
      <c r="F393" s="552">
        <v>311</v>
      </c>
      <c r="G393" s="545">
        <v>86.901618002848323</v>
      </c>
      <c r="H393" s="545">
        <v>27026.40319888583</v>
      </c>
      <c r="I393" s="547" t="s">
        <v>9009</v>
      </c>
      <c r="J393" s="547" t="s">
        <v>9019</v>
      </c>
      <c r="K393" s="547" t="s">
        <v>9020</v>
      </c>
      <c r="L393" s="537" t="s">
        <v>1911</v>
      </c>
    </row>
    <row r="394" spans="1:12" x14ac:dyDescent="0.2">
      <c r="A394" s="547" t="s">
        <v>220</v>
      </c>
      <c r="B394" s="547" t="s">
        <v>7448</v>
      </c>
      <c r="C394" s="547" t="s">
        <v>1954</v>
      </c>
      <c r="D394" s="547" t="s">
        <v>7650</v>
      </c>
      <c r="E394" s="547" t="s">
        <v>545</v>
      </c>
      <c r="F394" s="552">
        <v>2</v>
      </c>
      <c r="G394" s="545">
        <v>85.575237385842428</v>
      </c>
      <c r="H394" s="545">
        <v>171.15047477168486</v>
      </c>
      <c r="I394" s="547" t="s">
        <v>9009</v>
      </c>
      <c r="J394" s="547" t="s">
        <v>9019</v>
      </c>
      <c r="K394" s="547" t="s">
        <v>9020</v>
      </c>
      <c r="L394" s="537" t="s">
        <v>1911</v>
      </c>
    </row>
    <row r="395" spans="1:12" x14ac:dyDescent="0.2">
      <c r="A395" s="547" t="s">
        <v>220</v>
      </c>
      <c r="B395" s="547" t="s">
        <v>7448</v>
      </c>
      <c r="C395" s="547" t="s">
        <v>1956</v>
      </c>
      <c r="D395" s="547" t="s">
        <v>7615</v>
      </c>
      <c r="E395" s="547" t="s">
        <v>545</v>
      </c>
      <c r="F395" s="552">
        <v>269</v>
      </c>
      <c r="G395" s="545">
        <v>110.60775417600553</v>
      </c>
      <c r="H395" s="545">
        <v>29753.485873345486</v>
      </c>
      <c r="I395" s="547" t="s">
        <v>9009</v>
      </c>
      <c r="J395" s="547" t="s">
        <v>9019</v>
      </c>
      <c r="K395" s="547" t="s">
        <v>9020</v>
      </c>
      <c r="L395" s="537" t="s">
        <v>1911</v>
      </c>
    </row>
    <row r="396" spans="1:12" x14ac:dyDescent="0.2">
      <c r="A396" s="547" t="s">
        <v>220</v>
      </c>
      <c r="B396" s="547" t="s">
        <v>7448</v>
      </c>
      <c r="C396" s="547" t="s">
        <v>1962</v>
      </c>
      <c r="D396" s="547" t="s">
        <v>822</v>
      </c>
      <c r="E396" s="547" t="s">
        <v>545</v>
      </c>
      <c r="F396" s="552">
        <v>355</v>
      </c>
      <c r="G396" s="545">
        <v>96.859817652799123</v>
      </c>
      <c r="H396" s="545">
        <v>34385.235266743686</v>
      </c>
      <c r="I396" s="547" t="s">
        <v>9009</v>
      </c>
      <c r="J396" s="547" t="s">
        <v>9019</v>
      </c>
      <c r="K396" s="547" t="s">
        <v>9020</v>
      </c>
      <c r="L396" s="537" t="s">
        <v>1911</v>
      </c>
    </row>
    <row r="397" spans="1:12" x14ac:dyDescent="0.2">
      <c r="A397" s="547" t="s">
        <v>220</v>
      </c>
      <c r="B397" s="547" t="s">
        <v>7448</v>
      </c>
      <c r="C397" s="547" t="s">
        <v>1966</v>
      </c>
      <c r="D397" s="547" t="s">
        <v>7484</v>
      </c>
      <c r="E397" s="547" t="s">
        <v>545</v>
      </c>
      <c r="F397" s="552">
        <v>224</v>
      </c>
      <c r="G397" s="545">
        <v>131.47381911189891</v>
      </c>
      <c r="H397" s="545">
        <v>29450.135481065354</v>
      </c>
      <c r="I397" s="547" t="s">
        <v>9009</v>
      </c>
      <c r="J397" s="547" t="s">
        <v>9019</v>
      </c>
      <c r="K397" s="547" t="s">
        <v>9020</v>
      </c>
      <c r="L397" s="537" t="s">
        <v>1911</v>
      </c>
    </row>
    <row r="398" spans="1:12" x14ac:dyDescent="0.2">
      <c r="A398" s="547" t="s">
        <v>220</v>
      </c>
      <c r="B398" s="547" t="s">
        <v>7448</v>
      </c>
      <c r="C398" s="547" t="s">
        <v>1970</v>
      </c>
      <c r="D398" s="547" t="s">
        <v>7491</v>
      </c>
      <c r="E398" s="547" t="s">
        <v>545</v>
      </c>
      <c r="F398" s="552">
        <v>47</v>
      </c>
      <c r="G398" s="545">
        <v>131.08737595715405</v>
      </c>
      <c r="H398" s="545">
        <v>6161.1066699862404</v>
      </c>
      <c r="I398" s="547" t="s">
        <v>9009</v>
      </c>
      <c r="J398" s="547" t="s">
        <v>9019</v>
      </c>
      <c r="K398" s="547" t="s">
        <v>9020</v>
      </c>
      <c r="L398" s="537" t="s">
        <v>1911</v>
      </c>
    </row>
    <row r="399" spans="1:12" x14ac:dyDescent="0.2">
      <c r="A399" s="547" t="s">
        <v>220</v>
      </c>
      <c r="B399" s="547" t="s">
        <v>7448</v>
      </c>
      <c r="C399" s="547" t="s">
        <v>1972</v>
      </c>
      <c r="D399" s="547" t="s">
        <v>7754</v>
      </c>
      <c r="E399" s="547" t="s">
        <v>545</v>
      </c>
      <c r="F399" s="552">
        <v>74</v>
      </c>
      <c r="G399" s="545">
        <v>145.36661809965864</v>
      </c>
      <c r="H399" s="545">
        <v>10757.129739374739</v>
      </c>
      <c r="I399" s="547" t="s">
        <v>9009</v>
      </c>
      <c r="J399" s="547" t="s">
        <v>9019</v>
      </c>
      <c r="K399" s="547" t="s">
        <v>9020</v>
      </c>
      <c r="L399" s="537" t="s">
        <v>1911</v>
      </c>
    </row>
    <row r="400" spans="1:12" x14ac:dyDescent="0.2">
      <c r="A400" s="547" t="s">
        <v>220</v>
      </c>
      <c r="B400" s="547" t="s">
        <v>7448</v>
      </c>
      <c r="C400" s="547" t="s">
        <v>1978</v>
      </c>
      <c r="D400" s="547" t="s">
        <v>9032</v>
      </c>
      <c r="E400" s="547" t="s">
        <v>545</v>
      </c>
      <c r="F400" s="552">
        <v>21</v>
      </c>
      <c r="G400" s="545">
        <v>173.99018771961212</v>
      </c>
      <c r="H400" s="545">
        <v>3653.7939421118544</v>
      </c>
      <c r="I400" s="547" t="s">
        <v>9009</v>
      </c>
      <c r="J400" s="547" t="s">
        <v>9019</v>
      </c>
      <c r="K400" s="547" t="s">
        <v>9020</v>
      </c>
      <c r="L400" s="537" t="s">
        <v>1911</v>
      </c>
    </row>
    <row r="401" spans="1:12" x14ac:dyDescent="0.2">
      <c r="A401" s="547" t="s">
        <v>220</v>
      </c>
      <c r="B401" s="547" t="s">
        <v>7448</v>
      </c>
      <c r="C401" s="547" t="s">
        <v>1984</v>
      </c>
      <c r="D401" s="547" t="s">
        <v>1985</v>
      </c>
      <c r="E401" s="547" t="s">
        <v>545</v>
      </c>
      <c r="F401" s="552">
        <v>5</v>
      </c>
      <c r="G401" s="545">
        <v>245.1132728527048</v>
      </c>
      <c r="H401" s="545">
        <v>1225.5663642635241</v>
      </c>
      <c r="I401" s="547" t="s">
        <v>9009</v>
      </c>
      <c r="J401" s="547" t="s">
        <v>9019</v>
      </c>
      <c r="K401" s="547" t="s">
        <v>9020</v>
      </c>
      <c r="L401" s="537" t="s">
        <v>1911</v>
      </c>
    </row>
    <row r="402" spans="1:12" x14ac:dyDescent="0.2">
      <c r="A402" s="547" t="s">
        <v>220</v>
      </c>
      <c r="B402" s="547" t="s">
        <v>7448</v>
      </c>
      <c r="C402" s="547" t="s">
        <v>7663</v>
      </c>
      <c r="D402" s="547" t="s">
        <v>7664</v>
      </c>
      <c r="E402" s="547" t="s">
        <v>545</v>
      </c>
      <c r="F402" s="552">
        <v>7</v>
      </c>
      <c r="G402" s="545">
        <v>103.38320446006901</v>
      </c>
      <c r="H402" s="545">
        <v>723.68243122048307</v>
      </c>
      <c r="I402" s="547" t="s">
        <v>9009</v>
      </c>
      <c r="J402" s="547" t="s">
        <v>9019</v>
      </c>
      <c r="K402" s="547" t="s">
        <v>9020</v>
      </c>
      <c r="L402" s="537" t="s">
        <v>1911</v>
      </c>
    </row>
    <row r="403" spans="1:12" x14ac:dyDescent="0.2">
      <c r="A403" s="547" t="s">
        <v>220</v>
      </c>
      <c r="B403" s="547" t="s">
        <v>7448</v>
      </c>
      <c r="C403" s="547" t="s">
        <v>7663</v>
      </c>
      <c r="D403" s="547" t="s">
        <v>9033</v>
      </c>
      <c r="E403" s="547" t="s">
        <v>545</v>
      </c>
      <c r="F403" s="552">
        <v>39</v>
      </c>
      <c r="G403" s="545">
        <v>103.38320446006901</v>
      </c>
      <c r="H403" s="545">
        <v>4031.9449739426914</v>
      </c>
      <c r="I403" s="547" t="s">
        <v>9009</v>
      </c>
      <c r="J403" s="547" t="s">
        <v>9019</v>
      </c>
      <c r="K403" s="547" t="s">
        <v>9020</v>
      </c>
      <c r="L403" s="537" t="s">
        <v>1911</v>
      </c>
    </row>
    <row r="404" spans="1:12" x14ac:dyDescent="0.2">
      <c r="A404" s="547" t="s">
        <v>220</v>
      </c>
      <c r="B404" s="547" t="s">
        <v>7448</v>
      </c>
      <c r="C404" s="547" t="s">
        <v>2011</v>
      </c>
      <c r="D404" s="547" t="s">
        <v>9034</v>
      </c>
      <c r="E404" s="547" t="s">
        <v>545</v>
      </c>
      <c r="F404" s="552">
        <v>26</v>
      </c>
      <c r="G404" s="545">
        <v>57.741660368323707</v>
      </c>
      <c r="H404" s="545">
        <v>1501.2831695764164</v>
      </c>
      <c r="I404" s="547" t="s">
        <v>9009</v>
      </c>
      <c r="J404" s="547" t="s">
        <v>9019</v>
      </c>
      <c r="K404" s="547" t="s">
        <v>9020</v>
      </c>
      <c r="L404" s="537" t="s">
        <v>1911</v>
      </c>
    </row>
    <row r="405" spans="1:12" x14ac:dyDescent="0.2">
      <c r="A405" s="547" t="s">
        <v>220</v>
      </c>
      <c r="B405" s="547" t="s">
        <v>7448</v>
      </c>
      <c r="C405" s="547" t="s">
        <v>1999</v>
      </c>
      <c r="D405" s="547" t="s">
        <v>7665</v>
      </c>
      <c r="E405" s="547" t="s">
        <v>545</v>
      </c>
      <c r="F405" s="552">
        <v>29</v>
      </c>
      <c r="G405" s="545">
        <v>80.815612666997779</v>
      </c>
      <c r="H405" s="545">
        <v>2343.6527673429355</v>
      </c>
      <c r="I405" s="547" t="s">
        <v>9009</v>
      </c>
      <c r="J405" s="547" t="s">
        <v>9019</v>
      </c>
      <c r="K405" s="547" t="s">
        <v>9020</v>
      </c>
      <c r="L405" s="537" t="s">
        <v>1911</v>
      </c>
    </row>
    <row r="406" spans="1:12" x14ac:dyDescent="0.2">
      <c r="A406" s="547" t="s">
        <v>220</v>
      </c>
      <c r="B406" s="547" t="s">
        <v>7448</v>
      </c>
      <c r="C406" s="547" t="s">
        <v>2001</v>
      </c>
      <c r="D406" s="547" t="s">
        <v>7636</v>
      </c>
      <c r="E406" s="547" t="s">
        <v>545</v>
      </c>
      <c r="F406" s="552">
        <v>6</v>
      </c>
      <c r="G406" s="545">
        <v>102.29609554580271</v>
      </c>
      <c r="H406" s="545">
        <v>613.77657327481631</v>
      </c>
      <c r="I406" s="547" t="s">
        <v>9009</v>
      </c>
      <c r="J406" s="547" t="s">
        <v>9019</v>
      </c>
      <c r="K406" s="547" t="s">
        <v>9020</v>
      </c>
      <c r="L406" s="537" t="s">
        <v>1911</v>
      </c>
    </row>
    <row r="407" spans="1:12" x14ac:dyDescent="0.2">
      <c r="A407" s="547" t="s">
        <v>220</v>
      </c>
      <c r="B407" s="547" t="s">
        <v>7448</v>
      </c>
      <c r="C407" s="547" t="s">
        <v>7666</v>
      </c>
      <c r="D407" s="547" t="s">
        <v>7638</v>
      </c>
      <c r="E407" s="547" t="s">
        <v>545</v>
      </c>
      <c r="F407" s="552">
        <v>5</v>
      </c>
      <c r="G407" s="545">
        <v>180.81290741434344</v>
      </c>
      <c r="H407" s="545">
        <v>904.06453707171727</v>
      </c>
      <c r="I407" s="547" t="s">
        <v>9009</v>
      </c>
      <c r="J407" s="547" t="s">
        <v>9019</v>
      </c>
      <c r="K407" s="547" t="s">
        <v>9020</v>
      </c>
      <c r="L407" s="537" t="s">
        <v>1911</v>
      </c>
    </row>
    <row r="408" spans="1:12" x14ac:dyDescent="0.2">
      <c r="A408" s="547" t="s">
        <v>220</v>
      </c>
      <c r="B408" s="547" t="s">
        <v>7448</v>
      </c>
      <c r="C408" s="547" t="s">
        <v>2005</v>
      </c>
      <c r="D408" s="547" t="s">
        <v>7485</v>
      </c>
      <c r="E408" s="547" t="s">
        <v>545</v>
      </c>
      <c r="F408" s="562">
        <v>63</v>
      </c>
      <c r="G408" s="545">
        <v>195.2606249552575</v>
      </c>
      <c r="H408" s="545">
        <v>12301.419372181223</v>
      </c>
      <c r="I408" s="547" t="s">
        <v>9009</v>
      </c>
      <c r="J408" s="547" t="s">
        <v>9019</v>
      </c>
      <c r="K408" s="547" t="s">
        <v>9020</v>
      </c>
      <c r="L408" s="537" t="s">
        <v>1911</v>
      </c>
    </row>
    <row r="409" spans="1:12" x14ac:dyDescent="0.2">
      <c r="A409" s="547" t="s">
        <v>220</v>
      </c>
      <c r="B409" s="547" t="s">
        <v>7448</v>
      </c>
      <c r="C409" s="547" t="s">
        <v>7667</v>
      </c>
      <c r="D409" s="547" t="s">
        <v>7640</v>
      </c>
      <c r="E409" s="547" t="s">
        <v>545</v>
      </c>
      <c r="F409" s="552">
        <v>11</v>
      </c>
      <c r="G409" s="545">
        <v>52.779607939278513</v>
      </c>
      <c r="H409" s="545">
        <v>580.57568733206369</v>
      </c>
      <c r="I409" s="547" t="s">
        <v>9009</v>
      </c>
      <c r="J409" s="547" t="s">
        <v>9019</v>
      </c>
      <c r="K409" s="547" t="s">
        <v>9020</v>
      </c>
      <c r="L409" s="537" t="s">
        <v>1911</v>
      </c>
    </row>
    <row r="410" spans="1:12" x14ac:dyDescent="0.2">
      <c r="A410" s="547" t="s">
        <v>220</v>
      </c>
      <c r="B410" s="547" t="s">
        <v>7448</v>
      </c>
      <c r="C410" s="547" t="s">
        <v>2015</v>
      </c>
      <c r="D410" s="547" t="s">
        <v>9516</v>
      </c>
      <c r="E410" s="547" t="s">
        <v>545</v>
      </c>
      <c r="F410" s="552">
        <v>2</v>
      </c>
      <c r="G410" s="545">
        <v>72.279404777349683</v>
      </c>
      <c r="H410" s="545">
        <v>144.55880955469937</v>
      </c>
      <c r="I410" s="547" t="s">
        <v>9009</v>
      </c>
      <c r="J410" s="547" t="s">
        <v>9019</v>
      </c>
      <c r="K410" s="547" t="s">
        <v>9020</v>
      </c>
      <c r="L410" s="537" t="s">
        <v>1911</v>
      </c>
    </row>
    <row r="411" spans="1:12" x14ac:dyDescent="0.2">
      <c r="A411" s="547" t="s">
        <v>220</v>
      </c>
      <c r="B411" s="547" t="s">
        <v>7448</v>
      </c>
      <c r="C411" s="547" t="s">
        <v>2024</v>
      </c>
      <c r="D411" s="547" t="s">
        <v>7645</v>
      </c>
      <c r="E411" s="547" t="s">
        <v>545</v>
      </c>
      <c r="F411" s="552">
        <v>11</v>
      </c>
      <c r="G411" s="545">
        <v>119.05990697199263</v>
      </c>
      <c r="H411" s="545">
        <v>1309.658976691919</v>
      </c>
      <c r="I411" s="547" t="s">
        <v>9009</v>
      </c>
      <c r="J411" s="547" t="s">
        <v>9019</v>
      </c>
      <c r="K411" s="547" t="s">
        <v>9020</v>
      </c>
      <c r="L411" s="537" t="s">
        <v>1911</v>
      </c>
    </row>
    <row r="412" spans="1:12" x14ac:dyDescent="0.2">
      <c r="A412" s="547" t="s">
        <v>220</v>
      </c>
      <c r="B412" s="547" t="s">
        <v>7448</v>
      </c>
      <c r="C412" s="547" t="s">
        <v>7460</v>
      </c>
      <c r="D412" s="547" t="s">
        <v>9035</v>
      </c>
      <c r="E412" s="547" t="s">
        <v>545</v>
      </c>
      <c r="F412" s="552">
        <v>12</v>
      </c>
      <c r="G412" s="545">
        <v>115.75575790394885</v>
      </c>
      <c r="H412" s="545">
        <v>1389.0690948473862</v>
      </c>
      <c r="I412" s="547" t="s">
        <v>9009</v>
      </c>
      <c r="J412" s="547" t="s">
        <v>9019</v>
      </c>
      <c r="K412" s="547" t="s">
        <v>9020</v>
      </c>
      <c r="L412" s="537" t="s">
        <v>1911</v>
      </c>
    </row>
    <row r="413" spans="1:12" x14ac:dyDescent="0.2">
      <c r="A413" s="547" t="s">
        <v>220</v>
      </c>
      <c r="B413" s="547" t="s">
        <v>7448</v>
      </c>
      <c r="C413" s="547" t="s">
        <v>2040</v>
      </c>
      <c r="D413" s="547" t="s">
        <v>2041</v>
      </c>
      <c r="E413" s="547" t="s">
        <v>545</v>
      </c>
      <c r="F413" s="552">
        <v>4</v>
      </c>
      <c r="G413" s="545">
        <v>84.955916012677619</v>
      </c>
      <c r="H413" s="545">
        <v>339.82366405071048</v>
      </c>
      <c r="I413" s="547" t="s">
        <v>9009</v>
      </c>
      <c r="J413" s="547" t="s">
        <v>9019</v>
      </c>
      <c r="K413" s="547" t="s">
        <v>9020</v>
      </c>
      <c r="L413" s="537" t="s">
        <v>1911</v>
      </c>
    </row>
    <row r="414" spans="1:12" x14ac:dyDescent="0.2">
      <c r="A414" s="547" t="s">
        <v>220</v>
      </c>
      <c r="B414" s="547" t="s">
        <v>7448</v>
      </c>
      <c r="C414" s="547" t="s">
        <v>7672</v>
      </c>
      <c r="D414" s="547" t="s">
        <v>2043</v>
      </c>
      <c r="E414" s="547" t="s">
        <v>545</v>
      </c>
      <c r="F414" s="552">
        <v>15</v>
      </c>
      <c r="G414" s="545">
        <v>88.298832972197758</v>
      </c>
      <c r="H414" s="545">
        <v>1324.4824945829664</v>
      </c>
      <c r="I414" s="547" t="s">
        <v>9009</v>
      </c>
      <c r="J414" s="547" t="s">
        <v>9019</v>
      </c>
      <c r="K414" s="547" t="s">
        <v>9020</v>
      </c>
      <c r="L414" s="537" t="s">
        <v>1911</v>
      </c>
    </row>
    <row r="415" spans="1:12" x14ac:dyDescent="0.2">
      <c r="A415" s="547" t="s">
        <v>220</v>
      </c>
      <c r="B415" s="547" t="s">
        <v>7448</v>
      </c>
      <c r="C415" s="547" t="s">
        <v>1928</v>
      </c>
      <c r="D415" s="547" t="s">
        <v>2045</v>
      </c>
      <c r="E415" s="547" t="s">
        <v>545</v>
      </c>
      <c r="F415" s="552">
        <v>43</v>
      </c>
      <c r="G415" s="545">
        <v>95.586905078530918</v>
      </c>
      <c r="H415" s="545">
        <v>4110.2369183768296</v>
      </c>
      <c r="I415" s="547" t="s">
        <v>9009</v>
      </c>
      <c r="J415" s="547" t="s">
        <v>9019</v>
      </c>
      <c r="K415" s="547" t="s">
        <v>9020</v>
      </c>
      <c r="L415" s="537" t="s">
        <v>1911</v>
      </c>
    </row>
    <row r="416" spans="1:12" x14ac:dyDescent="0.2">
      <c r="A416" s="547" t="s">
        <v>220</v>
      </c>
      <c r="B416" s="547" t="s">
        <v>7448</v>
      </c>
      <c r="C416" s="547" t="s">
        <v>7480</v>
      </c>
      <c r="D416" s="547" t="s">
        <v>2047</v>
      </c>
      <c r="E416" s="547" t="s">
        <v>545</v>
      </c>
      <c r="F416" s="552">
        <v>1331</v>
      </c>
      <c r="G416" s="545">
        <v>92.809667083142187</v>
      </c>
      <c r="H416" s="545">
        <v>123529.66688766226</v>
      </c>
      <c r="I416" s="547" t="s">
        <v>9009</v>
      </c>
      <c r="J416" s="547" t="s">
        <v>9019</v>
      </c>
      <c r="K416" s="547" t="s">
        <v>9020</v>
      </c>
      <c r="L416" s="537" t="s">
        <v>1911</v>
      </c>
    </row>
    <row r="417" spans="1:12" x14ac:dyDescent="0.2">
      <c r="A417" s="547" t="s">
        <v>220</v>
      </c>
      <c r="B417" s="547" t="s">
        <v>7448</v>
      </c>
      <c r="C417" s="547" t="s">
        <v>7673</v>
      </c>
      <c r="D417" s="547" t="s">
        <v>2050</v>
      </c>
      <c r="E417" s="547" t="s">
        <v>545</v>
      </c>
      <c r="F417" s="552">
        <v>269</v>
      </c>
      <c r="G417" s="545">
        <v>113.97330203630511</v>
      </c>
      <c r="H417" s="545">
        <v>30658.818247766074</v>
      </c>
      <c r="I417" s="547" t="s">
        <v>9009</v>
      </c>
      <c r="J417" s="547" t="s">
        <v>9019</v>
      </c>
      <c r="K417" s="547" t="s">
        <v>9020</v>
      </c>
      <c r="L417" s="537" t="s">
        <v>1911</v>
      </c>
    </row>
    <row r="418" spans="1:12" x14ac:dyDescent="0.2">
      <c r="A418" s="547" t="s">
        <v>220</v>
      </c>
      <c r="B418" s="547" t="s">
        <v>2063</v>
      </c>
      <c r="C418" s="547" t="s">
        <v>2151</v>
      </c>
      <c r="D418" s="547" t="s">
        <v>7759</v>
      </c>
      <c r="E418" s="547" t="s">
        <v>545</v>
      </c>
      <c r="F418" s="552">
        <v>101</v>
      </c>
      <c r="G418" s="560">
        <v>108.50455003875166</v>
      </c>
      <c r="H418" s="545">
        <v>10958.959553913917</v>
      </c>
      <c r="I418" s="547" t="s">
        <v>9009</v>
      </c>
      <c r="J418" s="547" t="s">
        <v>9023</v>
      </c>
      <c r="K418" s="547" t="s">
        <v>9024</v>
      </c>
      <c r="L418" s="537" t="s">
        <v>536</v>
      </c>
    </row>
    <row r="419" spans="1:12" x14ac:dyDescent="0.2">
      <c r="A419" s="547" t="s">
        <v>220</v>
      </c>
      <c r="B419" s="547" t="s">
        <v>2063</v>
      </c>
      <c r="C419" s="547" t="s">
        <v>7629</v>
      </c>
      <c r="D419" s="547" t="s">
        <v>7762</v>
      </c>
      <c r="E419" s="547" t="s">
        <v>545</v>
      </c>
      <c r="F419" s="552">
        <v>86</v>
      </c>
      <c r="G419" s="560">
        <v>102.28051952823876</v>
      </c>
      <c r="H419" s="545">
        <v>8796.1246794285325</v>
      </c>
      <c r="I419" s="547" t="s">
        <v>9009</v>
      </c>
      <c r="J419" s="547" t="s">
        <v>9023</v>
      </c>
      <c r="K419" s="547" t="s">
        <v>9024</v>
      </c>
      <c r="L419" s="537" t="s">
        <v>536</v>
      </c>
    </row>
    <row r="420" spans="1:12" x14ac:dyDescent="0.2">
      <c r="A420" s="547" t="s">
        <v>220</v>
      </c>
      <c r="B420" s="547" t="s">
        <v>2063</v>
      </c>
      <c r="C420" s="547" t="s">
        <v>2129</v>
      </c>
      <c r="D420" s="547" t="s">
        <v>7765</v>
      </c>
      <c r="E420" s="547" t="s">
        <v>545</v>
      </c>
      <c r="F420" s="552">
        <v>694</v>
      </c>
      <c r="G420" s="560">
        <v>64.34474669636397</v>
      </c>
      <c r="H420" s="545">
        <v>44655.254207276594</v>
      </c>
      <c r="I420" s="547" t="s">
        <v>9009</v>
      </c>
      <c r="J420" s="547" t="s">
        <v>9023</v>
      </c>
      <c r="K420" s="547" t="s">
        <v>9024</v>
      </c>
      <c r="L420" s="537" t="s">
        <v>536</v>
      </c>
    </row>
    <row r="421" spans="1:12" x14ac:dyDescent="0.2">
      <c r="A421" s="547" t="s">
        <v>220</v>
      </c>
      <c r="B421" s="547" t="s">
        <v>2063</v>
      </c>
      <c r="C421" s="547" t="s">
        <v>7766</v>
      </c>
      <c r="D421" s="547" t="s">
        <v>7636</v>
      </c>
      <c r="E421" s="547" t="s">
        <v>545</v>
      </c>
      <c r="F421" s="552">
        <v>402</v>
      </c>
      <c r="G421" s="560">
        <v>94.008949032492907</v>
      </c>
      <c r="H421" s="545">
        <v>37791.597511062151</v>
      </c>
      <c r="I421" s="547" t="s">
        <v>9009</v>
      </c>
      <c r="J421" s="547" t="s">
        <v>9023</v>
      </c>
      <c r="K421" s="547" t="s">
        <v>9024</v>
      </c>
      <c r="L421" s="537" t="s">
        <v>536</v>
      </c>
    </row>
    <row r="422" spans="1:12" x14ac:dyDescent="0.2">
      <c r="A422" s="547" t="s">
        <v>220</v>
      </c>
      <c r="B422" s="547" t="s">
        <v>2063</v>
      </c>
      <c r="C422" s="547" t="s">
        <v>7767</v>
      </c>
      <c r="D422" s="547" t="s">
        <v>7768</v>
      </c>
      <c r="E422" s="547" t="s">
        <v>545</v>
      </c>
      <c r="F422" s="552">
        <v>485</v>
      </c>
      <c r="G422" s="560">
        <v>59.705741205673398</v>
      </c>
      <c r="H422" s="545">
        <v>28957.284484751599</v>
      </c>
      <c r="I422" s="547" t="s">
        <v>9009</v>
      </c>
      <c r="J422" s="547" t="s">
        <v>9023</v>
      </c>
      <c r="K422" s="547" t="s">
        <v>9024</v>
      </c>
      <c r="L422" s="537" t="s">
        <v>536</v>
      </c>
    </row>
    <row r="423" spans="1:12" x14ac:dyDescent="0.2">
      <c r="A423" s="547" t="s">
        <v>220</v>
      </c>
      <c r="B423" s="547" t="s">
        <v>7455</v>
      </c>
      <c r="C423" s="547" t="s">
        <v>2072</v>
      </c>
      <c r="D423" s="547" t="s">
        <v>7481</v>
      </c>
      <c r="E423" s="547" t="s">
        <v>545</v>
      </c>
      <c r="F423" s="552">
        <v>95</v>
      </c>
      <c r="G423" s="560">
        <v>85.295615832357655</v>
      </c>
      <c r="H423" s="545">
        <v>8103.0835040739776</v>
      </c>
      <c r="I423" s="547" t="s">
        <v>9009</v>
      </c>
      <c r="J423" s="547" t="s">
        <v>9023</v>
      </c>
      <c r="K423" s="547" t="s">
        <v>9024</v>
      </c>
      <c r="L423" s="537" t="s">
        <v>536</v>
      </c>
    </row>
    <row r="424" spans="1:12" x14ac:dyDescent="0.2">
      <c r="A424" s="547" t="s">
        <v>220</v>
      </c>
      <c r="B424" s="547" t="s">
        <v>7455</v>
      </c>
      <c r="C424" s="547" t="s">
        <v>2082</v>
      </c>
      <c r="D424" s="547" t="s">
        <v>7476</v>
      </c>
      <c r="E424" s="547" t="s">
        <v>545</v>
      </c>
      <c r="F424" s="561">
        <v>44</v>
      </c>
      <c r="G424" s="545">
        <v>68.724629957053821</v>
      </c>
      <c r="H424" s="545">
        <v>3023.8837181103681</v>
      </c>
      <c r="I424" s="547" t="s">
        <v>9009</v>
      </c>
      <c r="J424" s="547" t="s">
        <v>9023</v>
      </c>
      <c r="K424" s="547" t="s">
        <v>9024</v>
      </c>
      <c r="L424" s="537" t="s">
        <v>536</v>
      </c>
    </row>
    <row r="425" spans="1:12" x14ac:dyDescent="0.2">
      <c r="A425" s="547" t="s">
        <v>220</v>
      </c>
      <c r="B425" s="547" t="s">
        <v>7455</v>
      </c>
      <c r="C425" s="547" t="s">
        <v>2086</v>
      </c>
      <c r="D425" s="547" t="s">
        <v>7615</v>
      </c>
      <c r="E425" s="547" t="s">
        <v>545</v>
      </c>
      <c r="F425" s="552">
        <v>54</v>
      </c>
      <c r="G425" s="545">
        <v>102.92023225102506</v>
      </c>
      <c r="H425" s="545">
        <v>5557.6925415553533</v>
      </c>
      <c r="I425" s="547" t="s">
        <v>9009</v>
      </c>
      <c r="J425" s="547" t="s">
        <v>9023</v>
      </c>
      <c r="K425" s="547" t="s">
        <v>9024</v>
      </c>
      <c r="L425" s="537" t="s">
        <v>536</v>
      </c>
    </row>
    <row r="426" spans="1:12" x14ac:dyDescent="0.2">
      <c r="A426" s="547" t="s">
        <v>220</v>
      </c>
      <c r="B426" s="547" t="s">
        <v>7455</v>
      </c>
      <c r="C426" s="547" t="s">
        <v>7766</v>
      </c>
      <c r="D426" s="547" t="s">
        <v>7636</v>
      </c>
      <c r="E426" s="547" t="s">
        <v>545</v>
      </c>
      <c r="F426" s="552">
        <v>1</v>
      </c>
      <c r="G426" s="545">
        <v>94.008949032492907</v>
      </c>
      <c r="H426" s="545">
        <v>94.008949032492907</v>
      </c>
      <c r="I426" s="547" t="s">
        <v>9009</v>
      </c>
      <c r="J426" s="547" t="s">
        <v>9023</v>
      </c>
      <c r="K426" s="547" t="s">
        <v>9024</v>
      </c>
      <c r="L426" s="537" t="s">
        <v>536</v>
      </c>
    </row>
    <row r="427" spans="1:12" x14ac:dyDescent="0.2">
      <c r="A427" s="547" t="s">
        <v>220</v>
      </c>
      <c r="B427" s="547" t="s">
        <v>7455</v>
      </c>
      <c r="C427" s="547" t="s">
        <v>2065</v>
      </c>
      <c r="D427" s="547" t="s">
        <v>7604</v>
      </c>
      <c r="E427" s="547" t="s">
        <v>7771</v>
      </c>
      <c r="F427" s="552">
        <v>27</v>
      </c>
      <c r="G427" s="545">
        <v>79.008884752092499</v>
      </c>
      <c r="H427" s="545">
        <v>2133.2398883064975</v>
      </c>
      <c r="I427" s="547" t="s">
        <v>9009</v>
      </c>
      <c r="J427" s="547" t="s">
        <v>9023</v>
      </c>
      <c r="K427" s="547" t="s">
        <v>9024</v>
      </c>
      <c r="L427" s="537" t="s">
        <v>536</v>
      </c>
    </row>
    <row r="428" spans="1:12" x14ac:dyDescent="0.2">
      <c r="A428" s="547" t="s">
        <v>220</v>
      </c>
      <c r="B428" s="547" t="s">
        <v>7455</v>
      </c>
      <c r="C428" s="547" t="s">
        <v>2151</v>
      </c>
      <c r="D428" s="547" t="s">
        <v>7626</v>
      </c>
      <c r="E428" s="547" t="s">
        <v>7771</v>
      </c>
      <c r="F428" s="552">
        <v>10</v>
      </c>
      <c r="G428" s="545">
        <v>108.50455003875166</v>
      </c>
      <c r="H428" s="545">
        <v>1085.0455003875165</v>
      </c>
      <c r="I428" s="547" t="s">
        <v>9009</v>
      </c>
      <c r="J428" s="547" t="s">
        <v>9023</v>
      </c>
      <c r="K428" s="547" t="s">
        <v>9024</v>
      </c>
      <c r="L428" s="537" t="s">
        <v>536</v>
      </c>
    </row>
    <row r="429" spans="1:12" x14ac:dyDescent="0.2">
      <c r="A429" s="547" t="s">
        <v>220</v>
      </c>
      <c r="B429" s="547" t="s">
        <v>7455</v>
      </c>
      <c r="C429" s="547" t="s">
        <v>7639</v>
      </c>
      <c r="D429" s="547" t="s">
        <v>7772</v>
      </c>
      <c r="E429" s="547" t="s">
        <v>7771</v>
      </c>
      <c r="F429" s="552">
        <v>31</v>
      </c>
      <c r="G429" s="545">
        <v>48.378093674009328</v>
      </c>
      <c r="H429" s="545">
        <v>1499.7209038942892</v>
      </c>
      <c r="I429" s="547" t="s">
        <v>9009</v>
      </c>
      <c r="J429" s="547" t="s">
        <v>9023</v>
      </c>
      <c r="K429" s="547" t="s">
        <v>9024</v>
      </c>
      <c r="L429" s="537" t="s">
        <v>536</v>
      </c>
    </row>
    <row r="430" spans="1:12" x14ac:dyDescent="0.2">
      <c r="A430" s="547" t="s">
        <v>220</v>
      </c>
      <c r="B430" s="547" t="s">
        <v>7455</v>
      </c>
      <c r="C430" s="547" t="s">
        <v>2123</v>
      </c>
      <c r="D430" s="547" t="s">
        <v>7636</v>
      </c>
      <c r="E430" s="547" t="s">
        <v>7771</v>
      </c>
      <c r="F430" s="552">
        <v>1</v>
      </c>
      <c r="G430" s="545">
        <v>94.226177099213487</v>
      </c>
      <c r="H430" s="545">
        <v>94.226177099213487</v>
      </c>
      <c r="I430" s="547" t="s">
        <v>9009</v>
      </c>
      <c r="J430" s="547" t="s">
        <v>9023</v>
      </c>
      <c r="K430" s="547" t="s">
        <v>9024</v>
      </c>
      <c r="L430" s="537" t="s">
        <v>536</v>
      </c>
    </row>
    <row r="431" spans="1:12" x14ac:dyDescent="0.2">
      <c r="A431" s="547" t="s">
        <v>220</v>
      </c>
      <c r="B431" s="547" t="s">
        <v>7455</v>
      </c>
      <c r="C431" s="547" t="s">
        <v>2129</v>
      </c>
      <c r="D431" s="547" t="s">
        <v>7765</v>
      </c>
      <c r="E431" s="547" t="s">
        <v>7771</v>
      </c>
      <c r="F431" s="552">
        <v>1</v>
      </c>
      <c r="G431" s="560">
        <v>64.34474669636397</v>
      </c>
      <c r="H431" s="545">
        <v>64.34474669636397</v>
      </c>
      <c r="I431" s="547" t="s">
        <v>9009</v>
      </c>
      <c r="J431" s="547" t="s">
        <v>9023</v>
      </c>
      <c r="K431" s="547" t="s">
        <v>9024</v>
      </c>
      <c r="L431" s="537" t="s">
        <v>536</v>
      </c>
    </row>
    <row r="432" spans="1:12" x14ac:dyDescent="0.2">
      <c r="A432" s="547" t="s">
        <v>220</v>
      </c>
      <c r="B432" s="547" t="s">
        <v>7455</v>
      </c>
      <c r="C432" s="547" t="s">
        <v>2128</v>
      </c>
      <c r="D432" s="547" t="s">
        <v>7764</v>
      </c>
      <c r="E432" s="547" t="s">
        <v>7771</v>
      </c>
      <c r="F432" s="561">
        <v>5</v>
      </c>
      <c r="G432" s="545">
        <v>53.306000669920898</v>
      </c>
      <c r="H432" s="545">
        <v>266.5300033496045</v>
      </c>
      <c r="I432" s="547" t="s">
        <v>9009</v>
      </c>
      <c r="J432" s="547" t="s">
        <v>9023</v>
      </c>
      <c r="K432" s="547" t="s">
        <v>9024</v>
      </c>
      <c r="L432" s="537" t="s">
        <v>536</v>
      </c>
    </row>
    <row r="433" spans="1:12" x14ac:dyDescent="0.2">
      <c r="A433" s="547" t="s">
        <v>220</v>
      </c>
      <c r="B433" s="547" t="s">
        <v>7455</v>
      </c>
      <c r="C433" s="547" t="s">
        <v>7629</v>
      </c>
      <c r="D433" s="547" t="s">
        <v>7762</v>
      </c>
      <c r="E433" s="547" t="s">
        <v>7771</v>
      </c>
      <c r="F433" s="552">
        <v>3</v>
      </c>
      <c r="G433" s="545">
        <v>102.28051952823876</v>
      </c>
      <c r="H433" s="545">
        <v>306.84155858471627</v>
      </c>
      <c r="I433" s="547" t="s">
        <v>9009</v>
      </c>
      <c r="J433" s="547" t="s">
        <v>9023</v>
      </c>
      <c r="K433" s="547" t="s">
        <v>9024</v>
      </c>
      <c r="L433" s="537" t="s">
        <v>536</v>
      </c>
    </row>
    <row r="434" spans="1:12" x14ac:dyDescent="0.2">
      <c r="A434" s="547" t="s">
        <v>220</v>
      </c>
      <c r="B434" s="547" t="s">
        <v>7455</v>
      </c>
      <c r="C434" s="547" t="s">
        <v>7773</v>
      </c>
      <c r="D434" s="547" t="s">
        <v>7609</v>
      </c>
      <c r="E434" s="547" t="s">
        <v>7771</v>
      </c>
      <c r="F434" s="552">
        <v>7</v>
      </c>
      <c r="G434" s="545">
        <v>66.934492603606486</v>
      </c>
      <c r="H434" s="545">
        <v>468.5414482252454</v>
      </c>
      <c r="I434" s="547" t="s">
        <v>9009</v>
      </c>
      <c r="J434" s="547" t="s">
        <v>9023</v>
      </c>
      <c r="K434" s="547" t="s">
        <v>9024</v>
      </c>
      <c r="L434" s="537" t="s">
        <v>536</v>
      </c>
    </row>
    <row r="435" spans="1:12" x14ac:dyDescent="0.2">
      <c r="A435" s="547" t="s">
        <v>220</v>
      </c>
      <c r="B435" s="547" t="s">
        <v>7455</v>
      </c>
      <c r="C435" s="547" t="s">
        <v>7755</v>
      </c>
      <c r="D435" s="547" t="s">
        <v>7756</v>
      </c>
      <c r="E435" s="547" t="s">
        <v>7771</v>
      </c>
      <c r="F435" s="552">
        <v>3</v>
      </c>
      <c r="G435" s="545">
        <v>74.069567197914566</v>
      </c>
      <c r="H435" s="545">
        <v>222.20870159374368</v>
      </c>
      <c r="I435" s="547" t="s">
        <v>9009</v>
      </c>
      <c r="J435" s="547" t="s">
        <v>9023</v>
      </c>
      <c r="K435" s="547" t="s">
        <v>9024</v>
      </c>
      <c r="L435" s="537" t="s">
        <v>536</v>
      </c>
    </row>
    <row r="436" spans="1:12" x14ac:dyDescent="0.2">
      <c r="A436" s="547" t="s">
        <v>220</v>
      </c>
      <c r="B436" s="547" t="s">
        <v>7455</v>
      </c>
      <c r="C436" s="547" t="s">
        <v>2094</v>
      </c>
      <c r="D436" s="547" t="s">
        <v>7487</v>
      </c>
      <c r="E436" s="547" t="s">
        <v>7771</v>
      </c>
      <c r="F436" s="552">
        <v>4</v>
      </c>
      <c r="G436" s="545">
        <v>148.47895189180289</v>
      </c>
      <c r="H436" s="545">
        <v>593.91580756721157</v>
      </c>
      <c r="I436" s="547" t="s">
        <v>9009</v>
      </c>
      <c r="J436" s="547" t="s">
        <v>9023</v>
      </c>
      <c r="K436" s="547" t="s">
        <v>9024</v>
      </c>
      <c r="L436" s="537" t="s">
        <v>536</v>
      </c>
    </row>
    <row r="437" spans="1:12" x14ac:dyDescent="0.2">
      <c r="A437" s="547" t="s">
        <v>220</v>
      </c>
      <c r="B437" s="547" t="s">
        <v>7448</v>
      </c>
      <c r="C437" s="547" t="s">
        <v>7774</v>
      </c>
      <c r="D437" s="547" t="s">
        <v>7775</v>
      </c>
      <c r="E437" s="547" t="s">
        <v>7771</v>
      </c>
      <c r="F437" s="552">
        <v>149</v>
      </c>
      <c r="G437" s="545">
        <v>64.061854844986854</v>
      </c>
      <c r="H437" s="545">
        <v>9545.2163719030414</v>
      </c>
      <c r="I437" s="547" t="s">
        <v>9009</v>
      </c>
      <c r="J437" s="547" t="s">
        <v>9019</v>
      </c>
      <c r="K437" s="547" t="s">
        <v>9020</v>
      </c>
      <c r="L437" s="537" t="s">
        <v>1911</v>
      </c>
    </row>
    <row r="438" spans="1:12" x14ac:dyDescent="0.2">
      <c r="A438" s="547" t="s">
        <v>220</v>
      </c>
      <c r="B438" s="547" t="s">
        <v>7448</v>
      </c>
      <c r="C438" s="547" t="s">
        <v>7776</v>
      </c>
      <c r="D438" s="547" t="s">
        <v>7768</v>
      </c>
      <c r="E438" s="547" t="s">
        <v>7771</v>
      </c>
      <c r="F438" s="552">
        <v>5</v>
      </c>
      <c r="G438" s="545">
        <v>65.112027130684453</v>
      </c>
      <c r="H438" s="545">
        <v>325.56013565342226</v>
      </c>
      <c r="I438" s="547" t="s">
        <v>9009</v>
      </c>
      <c r="J438" s="547" t="s">
        <v>9019</v>
      </c>
      <c r="K438" s="547" t="s">
        <v>9020</v>
      </c>
      <c r="L438" s="537" t="s">
        <v>1911</v>
      </c>
    </row>
    <row r="439" spans="1:12" x14ac:dyDescent="0.2">
      <c r="A439" s="547" t="s">
        <v>220</v>
      </c>
      <c r="B439" s="547" t="s">
        <v>7448</v>
      </c>
      <c r="C439" s="547" t="s">
        <v>7779</v>
      </c>
      <c r="D439" s="547" t="s">
        <v>7780</v>
      </c>
      <c r="E439" s="547" t="s">
        <v>7771</v>
      </c>
      <c r="F439" s="552">
        <v>5</v>
      </c>
      <c r="G439" s="545">
        <v>102.00591757132779</v>
      </c>
      <c r="H439" s="545">
        <v>510.02958785663895</v>
      </c>
      <c r="I439" s="547" t="s">
        <v>9009</v>
      </c>
      <c r="J439" s="547" t="s">
        <v>9019</v>
      </c>
      <c r="K439" s="547" t="s">
        <v>9020</v>
      </c>
      <c r="L439" s="537" t="s">
        <v>1911</v>
      </c>
    </row>
    <row r="440" spans="1:12" x14ac:dyDescent="0.2">
      <c r="A440" s="547" t="s">
        <v>220</v>
      </c>
      <c r="B440" s="547" t="s">
        <v>7448</v>
      </c>
      <c r="C440" s="547" t="s">
        <v>7781</v>
      </c>
      <c r="D440" s="547" t="s">
        <v>7757</v>
      </c>
      <c r="E440" s="547" t="s">
        <v>7771</v>
      </c>
      <c r="F440" s="552">
        <v>12</v>
      </c>
      <c r="G440" s="545">
        <v>107.19954031499476</v>
      </c>
      <c r="H440" s="545">
        <v>1286.3944837799372</v>
      </c>
      <c r="I440" s="547" t="s">
        <v>9009</v>
      </c>
      <c r="J440" s="547" t="s">
        <v>9019</v>
      </c>
      <c r="K440" s="547" t="s">
        <v>9020</v>
      </c>
      <c r="L440" s="537" t="s">
        <v>1911</v>
      </c>
    </row>
    <row r="441" spans="1:12" x14ac:dyDescent="0.2">
      <c r="A441" s="547" t="s">
        <v>220</v>
      </c>
      <c r="B441" s="547" t="s">
        <v>2063</v>
      </c>
      <c r="C441" s="547" t="s">
        <v>2134</v>
      </c>
      <c r="D441" s="547" t="s">
        <v>9046</v>
      </c>
      <c r="E441" s="547" t="s">
        <v>545</v>
      </c>
      <c r="F441" s="552">
        <v>526</v>
      </c>
      <c r="G441" s="560">
        <v>72.706083669160094</v>
      </c>
      <c r="H441" s="545">
        <v>38243.400009978206</v>
      </c>
      <c r="I441" s="547" t="s">
        <v>9009</v>
      </c>
      <c r="J441" s="547" t="s">
        <v>9023</v>
      </c>
      <c r="K441" s="547" t="s">
        <v>9024</v>
      </c>
      <c r="L441" s="537" t="s">
        <v>536</v>
      </c>
    </row>
    <row r="442" spans="1:12" x14ac:dyDescent="0.2">
      <c r="A442" s="547" t="s">
        <v>220</v>
      </c>
      <c r="B442" s="547" t="s">
        <v>2063</v>
      </c>
      <c r="C442" s="547" t="s">
        <v>2072</v>
      </c>
      <c r="D442" s="547" t="s">
        <v>9047</v>
      </c>
      <c r="E442" s="547" t="s">
        <v>545</v>
      </c>
      <c r="F442" s="552">
        <v>20</v>
      </c>
      <c r="G442" s="560">
        <v>85.295615832357655</v>
      </c>
      <c r="H442" s="545">
        <v>1705.9123166471531</v>
      </c>
      <c r="I442" s="547" t="s">
        <v>9009</v>
      </c>
      <c r="J442" s="547" t="s">
        <v>9023</v>
      </c>
      <c r="K442" s="547" t="s">
        <v>9024</v>
      </c>
      <c r="L442" s="537" t="s">
        <v>536</v>
      </c>
    </row>
    <row r="443" spans="1:12" x14ac:dyDescent="0.2">
      <c r="A443" s="547" t="s">
        <v>220</v>
      </c>
      <c r="B443" s="547" t="s">
        <v>2063</v>
      </c>
      <c r="C443" s="547" t="s">
        <v>9048</v>
      </c>
      <c r="D443" s="547" t="s">
        <v>9049</v>
      </c>
      <c r="E443" s="547" t="s">
        <v>545</v>
      </c>
      <c r="F443" s="552">
        <v>913</v>
      </c>
      <c r="G443" s="560">
        <v>83.469227436028078</v>
      </c>
      <c r="H443" s="545">
        <v>76207.404649093631</v>
      </c>
      <c r="I443" s="547" t="s">
        <v>9009</v>
      </c>
      <c r="J443" s="547" t="s">
        <v>9023</v>
      </c>
      <c r="K443" s="547" t="s">
        <v>9024</v>
      </c>
      <c r="L443" s="537" t="s">
        <v>536</v>
      </c>
    </row>
    <row r="444" spans="1:12" x14ac:dyDescent="0.2">
      <c r="A444" s="547" t="s">
        <v>220</v>
      </c>
      <c r="B444" s="547" t="s">
        <v>2063</v>
      </c>
      <c r="C444" s="547" t="s">
        <v>9050</v>
      </c>
      <c r="D444" s="547" t="s">
        <v>7665</v>
      </c>
      <c r="E444" s="547" t="s">
        <v>545</v>
      </c>
      <c r="F444" s="552">
        <v>26</v>
      </c>
      <c r="G444" s="560">
        <v>75.591976440184197</v>
      </c>
      <c r="H444" s="545">
        <v>1965.3913874447892</v>
      </c>
      <c r="I444" s="547" t="s">
        <v>9009</v>
      </c>
      <c r="J444" s="547" t="s">
        <v>9023</v>
      </c>
      <c r="K444" s="547" t="s">
        <v>9024</v>
      </c>
      <c r="L444" s="537" t="s">
        <v>536</v>
      </c>
    </row>
    <row r="445" spans="1:12" x14ac:dyDescent="0.2">
      <c r="A445" s="547" t="s">
        <v>220</v>
      </c>
      <c r="B445" s="547" t="s">
        <v>2063</v>
      </c>
      <c r="C445" s="547" t="s">
        <v>9051</v>
      </c>
      <c r="D445" s="547" t="s">
        <v>9052</v>
      </c>
      <c r="E445" s="547" t="s">
        <v>545</v>
      </c>
      <c r="F445" s="552">
        <v>4</v>
      </c>
      <c r="G445" s="560">
        <v>192.14534412054931</v>
      </c>
      <c r="H445" s="545">
        <v>768.58137648219724</v>
      </c>
      <c r="I445" s="547" t="s">
        <v>9009</v>
      </c>
      <c r="J445" s="547" t="s">
        <v>9023</v>
      </c>
      <c r="K445" s="547" t="s">
        <v>9024</v>
      </c>
      <c r="L445" s="537" t="s">
        <v>536</v>
      </c>
    </row>
    <row r="446" spans="1:12" x14ac:dyDescent="0.2">
      <c r="A446" s="547" t="s">
        <v>220</v>
      </c>
      <c r="B446" s="547" t="s">
        <v>2063</v>
      </c>
      <c r="C446" s="547" t="s">
        <v>7773</v>
      </c>
      <c r="D446" s="547" t="s">
        <v>7757</v>
      </c>
      <c r="E446" s="547" t="s">
        <v>545</v>
      </c>
      <c r="F446" s="552">
        <v>80</v>
      </c>
      <c r="G446" s="560">
        <v>66.934492603606486</v>
      </c>
      <c r="H446" s="545">
        <v>5354.7594082885189</v>
      </c>
      <c r="I446" s="547" t="s">
        <v>9009</v>
      </c>
      <c r="J446" s="547" t="s">
        <v>9023</v>
      </c>
      <c r="K446" s="547" t="s">
        <v>9024</v>
      </c>
      <c r="L446" s="537" t="s">
        <v>536</v>
      </c>
    </row>
    <row r="447" spans="1:12" x14ac:dyDescent="0.2">
      <c r="A447" s="547" t="s">
        <v>220</v>
      </c>
      <c r="B447" s="547" t="s">
        <v>7455</v>
      </c>
      <c r="C447" s="547" t="s">
        <v>9055</v>
      </c>
      <c r="D447" s="547" t="s">
        <v>9056</v>
      </c>
      <c r="E447" s="547" t="s">
        <v>545</v>
      </c>
      <c r="F447" s="561">
        <v>1</v>
      </c>
      <c r="G447" s="545">
        <v>91.202859279279139</v>
      </c>
      <c r="H447" s="545">
        <v>91.202859279279139</v>
      </c>
      <c r="I447" s="547" t="s">
        <v>9009</v>
      </c>
      <c r="J447" s="547" t="s">
        <v>9023</v>
      </c>
      <c r="K447" s="547" t="s">
        <v>9024</v>
      </c>
      <c r="L447" s="537" t="s">
        <v>536</v>
      </c>
    </row>
    <row r="448" spans="1:12" x14ac:dyDescent="0.2">
      <c r="A448" s="547" t="s">
        <v>220</v>
      </c>
      <c r="B448" s="547" t="s">
        <v>7455</v>
      </c>
      <c r="C448" s="547" t="s">
        <v>7631</v>
      </c>
      <c r="D448" s="547" t="s">
        <v>7752</v>
      </c>
      <c r="E448" s="547" t="s">
        <v>545</v>
      </c>
      <c r="F448" s="552">
        <v>3</v>
      </c>
      <c r="G448" s="545">
        <v>53.361335118244675</v>
      </c>
      <c r="H448" s="545">
        <v>160.08400535473402</v>
      </c>
      <c r="I448" s="547" t="s">
        <v>9009</v>
      </c>
      <c r="J448" s="547" t="s">
        <v>9023</v>
      </c>
      <c r="K448" s="547" t="s">
        <v>9024</v>
      </c>
      <c r="L448" s="537" t="s">
        <v>536</v>
      </c>
    </row>
    <row r="449" spans="1:12" x14ac:dyDescent="0.2">
      <c r="A449" s="547" t="s">
        <v>220</v>
      </c>
      <c r="B449" s="547" t="s">
        <v>7455</v>
      </c>
      <c r="C449" s="547" t="s">
        <v>2138</v>
      </c>
      <c r="D449" s="547" t="s">
        <v>7648</v>
      </c>
      <c r="E449" s="547" t="s">
        <v>545</v>
      </c>
      <c r="F449" s="552">
        <v>13</v>
      </c>
      <c r="G449" s="545">
        <v>57.947599557165105</v>
      </c>
      <c r="H449" s="545">
        <v>753.31879424314639</v>
      </c>
      <c r="I449" s="547" t="s">
        <v>9009</v>
      </c>
      <c r="J449" s="547" t="s">
        <v>9023</v>
      </c>
      <c r="K449" s="547" t="s">
        <v>9024</v>
      </c>
      <c r="L449" s="537" t="s">
        <v>536</v>
      </c>
    </row>
    <row r="450" spans="1:12" x14ac:dyDescent="0.2">
      <c r="A450" s="547" t="s">
        <v>220</v>
      </c>
      <c r="B450" s="547" t="s">
        <v>7455</v>
      </c>
      <c r="C450" s="547" t="s">
        <v>2134</v>
      </c>
      <c r="D450" s="547" t="s">
        <v>9046</v>
      </c>
      <c r="E450" s="547" t="s">
        <v>545</v>
      </c>
      <c r="F450" s="552">
        <v>48</v>
      </c>
      <c r="G450" s="545">
        <v>72.706083669160094</v>
      </c>
      <c r="H450" s="545">
        <v>3489.8920161196847</v>
      </c>
      <c r="I450" s="547" t="s">
        <v>9009</v>
      </c>
      <c r="J450" s="547" t="s">
        <v>9023</v>
      </c>
      <c r="K450" s="547" t="s">
        <v>9024</v>
      </c>
      <c r="L450" s="537" t="s">
        <v>536</v>
      </c>
    </row>
    <row r="451" spans="1:12" x14ac:dyDescent="0.2">
      <c r="A451" s="547" t="s">
        <v>220</v>
      </c>
      <c r="B451" s="547" t="s">
        <v>7455</v>
      </c>
      <c r="C451" s="547" t="s">
        <v>2116</v>
      </c>
      <c r="D451" s="547" t="s">
        <v>9057</v>
      </c>
      <c r="E451" s="547" t="s">
        <v>545</v>
      </c>
      <c r="F451" s="552">
        <v>3</v>
      </c>
      <c r="G451" s="545">
        <v>63.12172266323816</v>
      </c>
      <c r="H451" s="545">
        <v>189.36516798971448</v>
      </c>
      <c r="I451" s="547" t="s">
        <v>9009</v>
      </c>
      <c r="J451" s="547" t="s">
        <v>9023</v>
      </c>
      <c r="K451" s="547" t="s">
        <v>9024</v>
      </c>
      <c r="L451" s="537" t="s">
        <v>536</v>
      </c>
    </row>
    <row r="452" spans="1:12" x14ac:dyDescent="0.2">
      <c r="A452" s="547" t="s">
        <v>220</v>
      </c>
      <c r="B452" s="547" t="s">
        <v>7455</v>
      </c>
      <c r="C452" s="547" t="s">
        <v>7763</v>
      </c>
      <c r="D452" s="547" t="s">
        <v>7764</v>
      </c>
      <c r="E452" s="547" t="s">
        <v>545</v>
      </c>
      <c r="F452" s="552">
        <v>11</v>
      </c>
      <c r="G452" s="545">
        <v>58.919145133075403</v>
      </c>
      <c r="H452" s="545">
        <v>648.11059646382944</v>
      </c>
      <c r="I452" s="547" t="s">
        <v>9009</v>
      </c>
      <c r="J452" s="547" t="s">
        <v>9023</v>
      </c>
      <c r="K452" s="547" t="s">
        <v>9024</v>
      </c>
      <c r="L452" s="537" t="s">
        <v>536</v>
      </c>
    </row>
    <row r="453" spans="1:12" x14ac:dyDescent="0.2">
      <c r="A453" s="547" t="s">
        <v>220</v>
      </c>
      <c r="B453" s="547" t="s">
        <v>7455</v>
      </c>
      <c r="C453" s="547" t="s">
        <v>7767</v>
      </c>
      <c r="D453" s="547" t="s">
        <v>7765</v>
      </c>
      <c r="E453" s="547" t="s">
        <v>545</v>
      </c>
      <c r="F453" s="552">
        <v>2</v>
      </c>
      <c r="G453" s="560">
        <v>59.705741205673398</v>
      </c>
      <c r="H453" s="545">
        <v>119.4114824113468</v>
      </c>
      <c r="I453" s="547" t="s">
        <v>9009</v>
      </c>
      <c r="J453" s="547" t="s">
        <v>9023</v>
      </c>
      <c r="K453" s="547" t="s">
        <v>9024</v>
      </c>
      <c r="L453" s="537" t="s">
        <v>536</v>
      </c>
    </row>
    <row r="454" spans="1:12" x14ac:dyDescent="0.2">
      <c r="A454" s="547" t="s">
        <v>220</v>
      </c>
      <c r="B454" s="547" t="s">
        <v>7455</v>
      </c>
      <c r="C454" s="547" t="s">
        <v>7641</v>
      </c>
      <c r="D454" s="547" t="s">
        <v>7778</v>
      </c>
      <c r="E454" s="547" t="s">
        <v>545</v>
      </c>
      <c r="F454" s="552">
        <v>22</v>
      </c>
      <c r="G454" s="560">
        <v>64.621282508738133</v>
      </c>
      <c r="H454" s="545">
        <v>1421.6682151922389</v>
      </c>
      <c r="I454" s="547" t="s">
        <v>9009</v>
      </c>
      <c r="J454" s="547" t="s">
        <v>9023</v>
      </c>
      <c r="K454" s="547" t="s">
        <v>9024</v>
      </c>
      <c r="L454" s="537" t="s">
        <v>536</v>
      </c>
    </row>
    <row r="455" spans="1:12" x14ac:dyDescent="0.2">
      <c r="A455" s="547" t="s">
        <v>220</v>
      </c>
      <c r="B455" s="547" t="s">
        <v>7455</v>
      </c>
      <c r="C455" s="547" t="s">
        <v>9058</v>
      </c>
      <c r="D455" s="547" t="s">
        <v>9059</v>
      </c>
      <c r="E455" s="547" t="s">
        <v>545</v>
      </c>
      <c r="F455" s="552">
        <v>4</v>
      </c>
      <c r="G455" s="560">
        <v>89.102147320797002</v>
      </c>
      <c r="H455" s="545">
        <v>356.40858928318801</v>
      </c>
      <c r="I455" s="547" t="s">
        <v>9009</v>
      </c>
      <c r="J455" s="547" t="s">
        <v>9023</v>
      </c>
      <c r="K455" s="547" t="s">
        <v>9024</v>
      </c>
      <c r="L455" s="537" t="s">
        <v>536</v>
      </c>
    </row>
    <row r="456" spans="1:12" x14ac:dyDescent="0.2">
      <c r="A456" s="547" t="s">
        <v>220</v>
      </c>
      <c r="B456" s="547" t="s">
        <v>7455</v>
      </c>
      <c r="C456" s="547" t="s">
        <v>7598</v>
      </c>
      <c r="D456" s="547" t="s">
        <v>7644</v>
      </c>
      <c r="E456" s="547" t="s">
        <v>545</v>
      </c>
      <c r="F456" s="552">
        <v>43</v>
      </c>
      <c r="G456" s="560">
        <v>88.953202641804936</v>
      </c>
      <c r="H456" s="545">
        <v>3824.9877135976121</v>
      </c>
      <c r="I456" s="547" t="s">
        <v>9009</v>
      </c>
      <c r="J456" s="547" t="s">
        <v>9023</v>
      </c>
      <c r="K456" s="547" t="s">
        <v>9024</v>
      </c>
      <c r="L456" s="537" t="s">
        <v>536</v>
      </c>
    </row>
    <row r="457" spans="1:12" x14ac:dyDescent="0.2">
      <c r="A457" s="547" t="s">
        <v>220</v>
      </c>
      <c r="B457" s="547" t="s">
        <v>7455</v>
      </c>
      <c r="C457" s="547" t="s">
        <v>7637</v>
      </c>
      <c r="D457" s="547" t="s">
        <v>7638</v>
      </c>
      <c r="E457" s="547" t="s">
        <v>545</v>
      </c>
      <c r="F457" s="561">
        <v>2</v>
      </c>
      <c r="G457" s="545">
        <v>163.73729882871601</v>
      </c>
      <c r="H457" s="545">
        <v>327.47459765743201</v>
      </c>
      <c r="I457" s="547" t="s">
        <v>9009</v>
      </c>
      <c r="J457" s="547" t="s">
        <v>9023</v>
      </c>
      <c r="K457" s="547" t="s">
        <v>9024</v>
      </c>
      <c r="L457" s="537" t="s">
        <v>536</v>
      </c>
    </row>
    <row r="458" spans="1:12" x14ac:dyDescent="0.2">
      <c r="A458" s="547" t="s">
        <v>220</v>
      </c>
      <c r="B458" s="547" t="s">
        <v>7448</v>
      </c>
      <c r="C458" s="547" t="s">
        <v>1948</v>
      </c>
      <c r="D458" s="547" t="s">
        <v>7613</v>
      </c>
      <c r="E458" s="547" t="s">
        <v>545</v>
      </c>
      <c r="F458" s="552">
        <v>804</v>
      </c>
      <c r="G458" s="545">
        <v>62.808687355754884</v>
      </c>
      <c r="H458" s="545">
        <v>50498.184634026926</v>
      </c>
      <c r="I458" s="547" t="s">
        <v>9009</v>
      </c>
      <c r="J458" s="547" t="s">
        <v>9019</v>
      </c>
      <c r="K458" s="547" t="s">
        <v>9020</v>
      </c>
      <c r="L458" s="537" t="s">
        <v>1911</v>
      </c>
    </row>
    <row r="459" spans="1:12" x14ac:dyDescent="0.2">
      <c r="A459" s="547" t="s">
        <v>220</v>
      </c>
      <c r="B459" s="547" t="s">
        <v>7448</v>
      </c>
      <c r="C459" s="547" t="s">
        <v>1990</v>
      </c>
      <c r="D459" s="547" t="s">
        <v>9060</v>
      </c>
      <c r="E459" s="547" t="s">
        <v>545</v>
      </c>
      <c r="F459" s="552">
        <v>30</v>
      </c>
      <c r="G459" s="545">
        <v>57.244539381781181</v>
      </c>
      <c r="H459" s="545">
        <v>1717.3361814534355</v>
      </c>
      <c r="I459" s="547" t="s">
        <v>9009</v>
      </c>
      <c r="J459" s="547" t="s">
        <v>9019</v>
      </c>
      <c r="K459" s="547" t="s">
        <v>9020</v>
      </c>
      <c r="L459" s="537" t="s">
        <v>1911</v>
      </c>
    </row>
    <row r="460" spans="1:12" x14ac:dyDescent="0.2">
      <c r="A460" s="547" t="s">
        <v>220</v>
      </c>
      <c r="B460" s="547" t="s">
        <v>7448</v>
      </c>
      <c r="C460" s="547" t="s">
        <v>2031</v>
      </c>
      <c r="D460" s="547" t="s">
        <v>7648</v>
      </c>
      <c r="E460" s="547" t="s">
        <v>545</v>
      </c>
      <c r="F460" s="552">
        <v>13</v>
      </c>
      <c r="G460" s="545">
        <v>61.985182199121589</v>
      </c>
      <c r="H460" s="545">
        <v>805.80736858858063</v>
      </c>
      <c r="I460" s="547" t="s">
        <v>9009</v>
      </c>
      <c r="J460" s="547" t="s">
        <v>9019</v>
      </c>
      <c r="K460" s="547" t="s">
        <v>9020</v>
      </c>
      <c r="L460" s="537" t="s">
        <v>1911</v>
      </c>
    </row>
    <row r="461" spans="1:12" x14ac:dyDescent="0.2">
      <c r="A461" s="547" t="s">
        <v>220</v>
      </c>
      <c r="B461" s="547" t="s">
        <v>7448</v>
      </c>
      <c r="C461" s="547" t="s">
        <v>2019</v>
      </c>
      <c r="D461" s="547" t="s">
        <v>7643</v>
      </c>
      <c r="E461" s="547" t="s">
        <v>545</v>
      </c>
      <c r="F461" s="552">
        <v>30</v>
      </c>
      <c r="G461" s="545">
        <v>87.226551196142339</v>
      </c>
      <c r="H461" s="545">
        <v>2616.7965358842703</v>
      </c>
      <c r="I461" s="547" t="s">
        <v>9009</v>
      </c>
      <c r="J461" s="547" t="s">
        <v>9019</v>
      </c>
      <c r="K461" s="547" t="s">
        <v>9020</v>
      </c>
      <c r="L461" s="537" t="s">
        <v>1911</v>
      </c>
    </row>
    <row r="462" spans="1:12" x14ac:dyDescent="0.2">
      <c r="A462" s="547" t="s">
        <v>220</v>
      </c>
      <c r="B462" s="547" t="s">
        <v>7448</v>
      </c>
      <c r="C462" s="547" t="s">
        <v>9061</v>
      </c>
      <c r="D462" s="547" t="s">
        <v>9054</v>
      </c>
      <c r="E462" s="547" t="s">
        <v>545</v>
      </c>
      <c r="F462" s="552">
        <v>1</v>
      </c>
      <c r="G462" s="545">
        <v>237.63046907179017</v>
      </c>
      <c r="H462" s="545">
        <v>237.63046907179017</v>
      </c>
      <c r="I462" s="547" t="s">
        <v>9009</v>
      </c>
      <c r="J462" s="547" t="s">
        <v>9019</v>
      </c>
      <c r="K462" s="547" t="s">
        <v>9020</v>
      </c>
      <c r="L462" s="537" t="s">
        <v>1911</v>
      </c>
    </row>
    <row r="463" spans="1:12" x14ac:dyDescent="0.2">
      <c r="A463" s="547" t="s">
        <v>220</v>
      </c>
      <c r="B463" s="547" t="s">
        <v>7448</v>
      </c>
      <c r="C463" s="547" t="s">
        <v>2061</v>
      </c>
      <c r="D463" s="547" t="s">
        <v>9063</v>
      </c>
      <c r="E463" s="547" t="s">
        <v>545</v>
      </c>
      <c r="F463" s="552">
        <v>5</v>
      </c>
      <c r="G463" s="545">
        <v>102.93403396390786</v>
      </c>
      <c r="H463" s="545">
        <v>514.6701698195393</v>
      </c>
      <c r="I463" s="547" t="s">
        <v>9009</v>
      </c>
      <c r="J463" s="547" t="s">
        <v>9019</v>
      </c>
      <c r="K463" s="547" t="s">
        <v>9020</v>
      </c>
      <c r="L463" s="537" t="s">
        <v>1911</v>
      </c>
    </row>
    <row r="464" spans="1:12" x14ac:dyDescent="0.2">
      <c r="A464" s="547" t="s">
        <v>220</v>
      </c>
      <c r="B464" s="547" t="s">
        <v>7448</v>
      </c>
      <c r="C464" s="547" t="s">
        <v>1942</v>
      </c>
      <c r="D464" s="547" t="s">
        <v>7478</v>
      </c>
      <c r="E464" s="547" t="s">
        <v>545</v>
      </c>
      <c r="F464" s="552">
        <v>49</v>
      </c>
      <c r="G464" s="545">
        <v>112.036015593396</v>
      </c>
      <c r="H464" s="545">
        <v>5489.7647640764044</v>
      </c>
      <c r="I464" s="547" t="s">
        <v>9009</v>
      </c>
      <c r="J464" s="547" t="s">
        <v>9019</v>
      </c>
      <c r="K464" s="547" t="s">
        <v>9020</v>
      </c>
      <c r="L464" s="537" t="s">
        <v>1911</v>
      </c>
    </row>
    <row r="465" spans="1:12" x14ac:dyDescent="0.2">
      <c r="A465" s="547" t="s">
        <v>220</v>
      </c>
      <c r="B465" s="547" t="s">
        <v>7448</v>
      </c>
      <c r="C465" s="547" t="s">
        <v>2017</v>
      </c>
      <c r="D465" s="547" t="s">
        <v>9064</v>
      </c>
      <c r="E465" s="547" t="s">
        <v>545</v>
      </c>
      <c r="F465" s="552">
        <v>23</v>
      </c>
      <c r="G465" s="545">
        <v>87.871967619304328</v>
      </c>
      <c r="H465" s="545">
        <v>2021.0552552439995</v>
      </c>
      <c r="I465" s="547" t="s">
        <v>9009</v>
      </c>
      <c r="J465" s="547" t="s">
        <v>9019</v>
      </c>
      <c r="K465" s="547" t="s">
        <v>9020</v>
      </c>
      <c r="L465" s="537" t="s">
        <v>1911</v>
      </c>
    </row>
    <row r="466" spans="1:12" x14ac:dyDescent="0.2">
      <c r="A466" s="547" t="s">
        <v>220</v>
      </c>
      <c r="B466" s="547" t="s">
        <v>7448</v>
      </c>
      <c r="C466" s="547" t="s">
        <v>1924</v>
      </c>
      <c r="D466" s="547" t="s">
        <v>9046</v>
      </c>
      <c r="E466" s="547" t="s">
        <v>7771</v>
      </c>
      <c r="F466" s="552">
        <v>285</v>
      </c>
      <c r="G466" s="545">
        <v>80.36830241742453</v>
      </c>
      <c r="H466" s="545">
        <v>22904.966188965991</v>
      </c>
      <c r="I466" s="547" t="s">
        <v>9009</v>
      </c>
      <c r="J466" s="547" t="s">
        <v>9019</v>
      </c>
      <c r="K466" s="547" t="s">
        <v>9020</v>
      </c>
      <c r="L466" s="537" t="s">
        <v>1911</v>
      </c>
    </row>
    <row r="467" spans="1:12" x14ac:dyDescent="0.2">
      <c r="A467" s="547" t="s">
        <v>220</v>
      </c>
      <c r="B467" s="547" t="s">
        <v>7448</v>
      </c>
      <c r="C467" s="547" t="s">
        <v>2037</v>
      </c>
      <c r="D467" s="547" t="s">
        <v>9065</v>
      </c>
      <c r="E467" s="547" t="s">
        <v>7771</v>
      </c>
      <c r="F467" s="552">
        <v>19</v>
      </c>
      <c r="G467" s="545">
        <v>86.106426384816942</v>
      </c>
      <c r="H467" s="545">
        <v>1636.022101311522</v>
      </c>
      <c r="I467" s="547" t="s">
        <v>9009</v>
      </c>
      <c r="J467" s="547" t="s">
        <v>9019</v>
      </c>
      <c r="K467" s="547" t="s">
        <v>9020</v>
      </c>
      <c r="L467" s="537" t="s">
        <v>1911</v>
      </c>
    </row>
    <row r="468" spans="1:12" x14ac:dyDescent="0.2">
      <c r="A468" s="547" t="s">
        <v>220</v>
      </c>
      <c r="B468" s="547" t="s">
        <v>2063</v>
      </c>
      <c r="C468" s="547" t="s">
        <v>2103</v>
      </c>
      <c r="D468" s="547" t="s">
        <v>2103</v>
      </c>
      <c r="E468" s="547" t="s">
        <v>545</v>
      </c>
      <c r="F468" s="552">
        <v>216</v>
      </c>
      <c r="G468" s="560">
        <v>200.0903661965707</v>
      </c>
      <c r="H468" s="545">
        <v>43219.51909845927</v>
      </c>
      <c r="I468" s="547" t="s">
        <v>9009</v>
      </c>
      <c r="J468" s="547" t="s">
        <v>9023</v>
      </c>
      <c r="K468" s="547" t="s">
        <v>9020</v>
      </c>
      <c r="L468" s="537" t="s">
        <v>536</v>
      </c>
    </row>
    <row r="469" spans="1:12" x14ac:dyDescent="0.2">
      <c r="A469" s="547" t="s">
        <v>220</v>
      </c>
      <c r="B469" s="547" t="s">
        <v>2063</v>
      </c>
      <c r="C469" s="547" t="s">
        <v>7629</v>
      </c>
      <c r="D469" s="547" t="s">
        <v>9126</v>
      </c>
      <c r="E469" s="547" t="s">
        <v>545</v>
      </c>
      <c r="F469" s="552">
        <v>146</v>
      </c>
      <c r="G469" s="560">
        <v>102.28051952823876</v>
      </c>
      <c r="H469" s="545">
        <v>14932.955851122859</v>
      </c>
      <c r="I469" s="547" t="s">
        <v>9009</v>
      </c>
      <c r="J469" s="547" t="s">
        <v>9023</v>
      </c>
      <c r="K469" s="547" t="s">
        <v>9024</v>
      </c>
      <c r="L469" s="537" t="s">
        <v>536</v>
      </c>
    </row>
    <row r="470" spans="1:12" x14ac:dyDescent="0.2">
      <c r="A470" s="547" t="s">
        <v>220</v>
      </c>
      <c r="B470" s="547" t="s">
        <v>2063</v>
      </c>
      <c r="C470" s="547" t="s">
        <v>2132</v>
      </c>
      <c r="D470" s="547" t="s">
        <v>9064</v>
      </c>
      <c r="E470" s="547" t="s">
        <v>545</v>
      </c>
      <c r="F470" s="552">
        <v>401</v>
      </c>
      <c r="G470" s="560">
        <v>68.718163274408298</v>
      </c>
      <c r="H470" s="545">
        <v>27555.983473037726</v>
      </c>
      <c r="I470" s="547" t="s">
        <v>9009</v>
      </c>
      <c r="J470" s="547" t="s">
        <v>9023</v>
      </c>
      <c r="K470" s="547" t="s">
        <v>9024</v>
      </c>
      <c r="L470" s="537" t="s">
        <v>536</v>
      </c>
    </row>
    <row r="471" spans="1:12" x14ac:dyDescent="0.2">
      <c r="A471" s="547" t="s">
        <v>220</v>
      </c>
      <c r="B471" s="547" t="s">
        <v>2063</v>
      </c>
      <c r="C471" s="547" t="s">
        <v>9071</v>
      </c>
      <c r="D471" s="547" t="s">
        <v>9046</v>
      </c>
      <c r="E471" s="547" t="s">
        <v>545</v>
      </c>
      <c r="F471" s="552">
        <v>72</v>
      </c>
      <c r="G471" s="560">
        <v>74.081456758427706</v>
      </c>
      <c r="H471" s="545">
        <v>5333.8648866067952</v>
      </c>
      <c r="I471" s="547" t="s">
        <v>9009</v>
      </c>
      <c r="J471" s="547" t="s">
        <v>9023</v>
      </c>
      <c r="K471" s="547" t="s">
        <v>9024</v>
      </c>
      <c r="L471" s="537" t="s">
        <v>536</v>
      </c>
    </row>
    <row r="472" spans="1:12" x14ac:dyDescent="0.2">
      <c r="A472" s="547" t="s">
        <v>220</v>
      </c>
      <c r="B472" s="547" t="s">
        <v>2063</v>
      </c>
      <c r="C472" s="547" t="s">
        <v>9055</v>
      </c>
      <c r="D472" s="547" t="s">
        <v>9056</v>
      </c>
      <c r="E472" s="547" t="s">
        <v>545</v>
      </c>
      <c r="F472" s="552">
        <v>75</v>
      </c>
      <c r="G472" s="560">
        <v>91.202859279279139</v>
      </c>
      <c r="H472" s="545">
        <v>6840.214445945935</v>
      </c>
      <c r="I472" s="547" t="s">
        <v>9009</v>
      </c>
      <c r="J472" s="547" t="s">
        <v>9023</v>
      </c>
      <c r="K472" s="547" t="s">
        <v>9024</v>
      </c>
      <c r="L472" s="537" t="s">
        <v>536</v>
      </c>
    </row>
    <row r="473" spans="1:12" x14ac:dyDescent="0.2">
      <c r="A473" s="547" t="s">
        <v>220</v>
      </c>
      <c r="B473" s="547" t="s">
        <v>2063</v>
      </c>
      <c r="C473" s="547" t="s">
        <v>2089</v>
      </c>
      <c r="D473" s="547" t="s">
        <v>7616</v>
      </c>
      <c r="E473" s="547" t="s">
        <v>545</v>
      </c>
      <c r="F473" s="552">
        <v>26</v>
      </c>
      <c r="G473" s="560">
        <v>118.90132330264071</v>
      </c>
      <c r="H473" s="545">
        <v>3091.4344058686584</v>
      </c>
      <c r="I473" s="547" t="s">
        <v>9009</v>
      </c>
      <c r="J473" s="547" t="s">
        <v>9023</v>
      </c>
      <c r="K473" s="547" t="s">
        <v>9024</v>
      </c>
      <c r="L473" s="537" t="s">
        <v>536</v>
      </c>
    </row>
    <row r="474" spans="1:12" x14ac:dyDescent="0.2">
      <c r="A474" s="547" t="s">
        <v>220</v>
      </c>
      <c r="B474" s="547" t="s">
        <v>2063</v>
      </c>
      <c r="C474" s="547" t="s">
        <v>9127</v>
      </c>
      <c r="D474" s="547" t="s">
        <v>9128</v>
      </c>
      <c r="E474" s="547" t="s">
        <v>545</v>
      </c>
      <c r="F474" s="552">
        <v>62</v>
      </c>
      <c r="G474" s="560">
        <v>83.845136136870181</v>
      </c>
      <c r="H474" s="545">
        <v>5198.3984404859511</v>
      </c>
      <c r="I474" s="547" t="s">
        <v>9009</v>
      </c>
      <c r="J474" s="547" t="s">
        <v>9023</v>
      </c>
      <c r="K474" s="547" t="s">
        <v>9024</v>
      </c>
      <c r="L474" s="537" t="s">
        <v>536</v>
      </c>
    </row>
    <row r="475" spans="1:12" x14ac:dyDescent="0.2">
      <c r="A475" s="547" t="s">
        <v>220</v>
      </c>
      <c r="B475" s="547" t="s">
        <v>2063</v>
      </c>
      <c r="C475" s="547" t="s">
        <v>2133</v>
      </c>
      <c r="D475" s="547" t="s">
        <v>9130</v>
      </c>
      <c r="E475" s="547" t="s">
        <v>545</v>
      </c>
      <c r="F475" s="552">
        <v>607</v>
      </c>
      <c r="G475" s="560">
        <v>79.477198565576956</v>
      </c>
      <c r="H475" s="545">
        <v>48242.659529305209</v>
      </c>
      <c r="I475" s="547" t="s">
        <v>9009</v>
      </c>
      <c r="J475" s="547" t="s">
        <v>9023</v>
      </c>
      <c r="K475" s="547" t="s">
        <v>9024</v>
      </c>
      <c r="L475" s="537" t="s">
        <v>536</v>
      </c>
    </row>
    <row r="476" spans="1:12" x14ac:dyDescent="0.2">
      <c r="A476" s="547" t="s">
        <v>220</v>
      </c>
      <c r="B476" s="547" t="s">
        <v>2063</v>
      </c>
      <c r="C476" s="547" t="s">
        <v>9058</v>
      </c>
      <c r="D476" s="547" t="s">
        <v>7479</v>
      </c>
      <c r="E476" s="547" t="s">
        <v>545</v>
      </c>
      <c r="F476" s="552">
        <v>723</v>
      </c>
      <c r="G476" s="560">
        <v>89.102147320797002</v>
      </c>
      <c r="H476" s="545">
        <v>64420.852512936232</v>
      </c>
      <c r="I476" s="547" t="s">
        <v>9009</v>
      </c>
      <c r="J476" s="547" t="s">
        <v>9023</v>
      </c>
      <c r="K476" s="547" t="s">
        <v>9024</v>
      </c>
      <c r="L476" s="537" t="s">
        <v>536</v>
      </c>
    </row>
    <row r="477" spans="1:12" x14ac:dyDescent="0.2">
      <c r="A477" s="547" t="s">
        <v>220</v>
      </c>
      <c r="B477" s="547" t="s">
        <v>2063</v>
      </c>
      <c r="C477" s="547" t="s">
        <v>7627</v>
      </c>
      <c r="D477" s="547" t="s">
        <v>7628</v>
      </c>
      <c r="E477" s="547" t="s">
        <v>545</v>
      </c>
      <c r="F477" s="552">
        <v>66</v>
      </c>
      <c r="G477" s="560">
        <v>96.8183545413969</v>
      </c>
      <c r="H477" s="545">
        <v>6390.0113997321951</v>
      </c>
      <c r="I477" s="547" t="s">
        <v>9009</v>
      </c>
      <c r="J477" s="547" t="s">
        <v>9023</v>
      </c>
      <c r="K477" s="547" t="s">
        <v>9024</v>
      </c>
      <c r="L477" s="537" t="s">
        <v>536</v>
      </c>
    </row>
    <row r="478" spans="1:12" x14ac:dyDescent="0.2">
      <c r="A478" s="547" t="s">
        <v>220</v>
      </c>
      <c r="B478" s="547" t="s">
        <v>7448</v>
      </c>
      <c r="C478" s="547" t="s">
        <v>1960</v>
      </c>
      <c r="D478" s="547" t="s">
        <v>7486</v>
      </c>
      <c r="E478" s="547" t="s">
        <v>545</v>
      </c>
      <c r="F478" s="561">
        <v>77</v>
      </c>
      <c r="G478" s="545">
        <v>94.068134875860096</v>
      </c>
      <c r="H478" s="545">
        <v>7243.2463854412272</v>
      </c>
      <c r="I478" s="547" t="s">
        <v>9009</v>
      </c>
      <c r="J478" s="547" t="s">
        <v>9019</v>
      </c>
      <c r="K478" s="547" t="s">
        <v>9020</v>
      </c>
      <c r="L478" s="537" t="s">
        <v>1911</v>
      </c>
    </row>
    <row r="479" spans="1:12" x14ac:dyDescent="0.2">
      <c r="A479" s="547" t="s">
        <v>220</v>
      </c>
      <c r="B479" s="547" t="s">
        <v>7448</v>
      </c>
      <c r="C479" s="547" t="s">
        <v>1980</v>
      </c>
      <c r="D479" s="547" t="s">
        <v>7619</v>
      </c>
      <c r="E479" s="547" t="s">
        <v>545</v>
      </c>
      <c r="F479" s="552">
        <v>28</v>
      </c>
      <c r="G479" s="545">
        <v>195.87890694626205</v>
      </c>
      <c r="H479" s="545">
        <v>5484.6093944953373</v>
      </c>
      <c r="I479" s="547" t="s">
        <v>9009</v>
      </c>
      <c r="J479" s="547" t="s">
        <v>9019</v>
      </c>
      <c r="K479" s="547" t="s">
        <v>9020</v>
      </c>
      <c r="L479" s="537" t="s">
        <v>1911</v>
      </c>
    </row>
    <row r="480" spans="1:12" x14ac:dyDescent="0.2">
      <c r="A480" s="547" t="s">
        <v>220</v>
      </c>
      <c r="B480" s="547" t="s">
        <v>7448</v>
      </c>
      <c r="C480" s="547" t="s">
        <v>9517</v>
      </c>
      <c r="D480" s="547" t="s">
        <v>9128</v>
      </c>
      <c r="E480" s="547" t="s">
        <v>545</v>
      </c>
      <c r="F480" s="552">
        <v>10</v>
      </c>
      <c r="G480" s="545">
        <v>102.93403396390786</v>
      </c>
      <c r="H480" s="545">
        <v>1029.3403396390786</v>
      </c>
      <c r="I480" s="547" t="s">
        <v>9009</v>
      </c>
      <c r="J480" s="547" t="s">
        <v>9019</v>
      </c>
      <c r="K480" s="547" t="s">
        <v>9020</v>
      </c>
      <c r="L480" s="537" t="s">
        <v>1911</v>
      </c>
    </row>
    <row r="481" spans="1:12" x14ac:dyDescent="0.2">
      <c r="A481" s="547" t="s">
        <v>220</v>
      </c>
      <c r="B481" s="547" t="s">
        <v>7448</v>
      </c>
      <c r="C481" s="547" t="s">
        <v>9134</v>
      </c>
      <c r="D481" s="547" t="s">
        <v>7644</v>
      </c>
      <c r="E481" s="547" t="s">
        <v>545</v>
      </c>
      <c r="F481" s="552">
        <v>24</v>
      </c>
      <c r="G481" s="545">
        <v>96.637171545536262</v>
      </c>
      <c r="H481" s="545">
        <v>2319.2921170928703</v>
      </c>
      <c r="I481" s="547" t="s">
        <v>9009</v>
      </c>
      <c r="J481" s="547" t="s">
        <v>9019</v>
      </c>
      <c r="K481" s="547" t="s">
        <v>9020</v>
      </c>
      <c r="L481" s="537" t="s">
        <v>1911</v>
      </c>
    </row>
    <row r="482" spans="1:12" x14ac:dyDescent="0.2">
      <c r="A482" s="547" t="s">
        <v>220</v>
      </c>
      <c r="B482" s="547" t="s">
        <v>7448</v>
      </c>
      <c r="C482" s="547" t="s">
        <v>9135</v>
      </c>
      <c r="D482" s="547" t="s">
        <v>9136</v>
      </c>
      <c r="E482" s="547" t="s">
        <v>545</v>
      </c>
      <c r="F482" s="552">
        <v>595</v>
      </c>
      <c r="G482" s="545">
        <v>69.509026206000897</v>
      </c>
      <c r="H482" s="545">
        <v>41357.870592570536</v>
      </c>
      <c r="I482" s="547" t="s">
        <v>9009</v>
      </c>
      <c r="J482" s="547" t="s">
        <v>9019</v>
      </c>
      <c r="K482" s="547" t="s">
        <v>9020</v>
      </c>
      <c r="L482" s="537" t="s">
        <v>1911</v>
      </c>
    </row>
    <row r="483" spans="1:12" x14ac:dyDescent="0.2">
      <c r="A483" s="547" t="s">
        <v>220</v>
      </c>
      <c r="B483" s="547" t="s">
        <v>7455</v>
      </c>
      <c r="C483" s="547" t="s">
        <v>2089</v>
      </c>
      <c r="D483" s="547" t="s">
        <v>7491</v>
      </c>
      <c r="E483" s="547" t="s">
        <v>545</v>
      </c>
      <c r="F483" s="552">
        <v>4</v>
      </c>
      <c r="G483" s="545">
        <v>118.90132330264071</v>
      </c>
      <c r="H483" s="545">
        <v>475.60529321056282</v>
      </c>
      <c r="I483" s="547" t="s">
        <v>9009</v>
      </c>
      <c r="J483" s="547" t="s">
        <v>9023</v>
      </c>
      <c r="K483" s="547" t="s">
        <v>9024</v>
      </c>
      <c r="L483" s="537" t="s">
        <v>536</v>
      </c>
    </row>
    <row r="484" spans="1:12" x14ac:dyDescent="0.2">
      <c r="A484" s="547" t="s">
        <v>220</v>
      </c>
      <c r="B484" s="547" t="s">
        <v>7455</v>
      </c>
      <c r="C484" s="547" t="s">
        <v>2076</v>
      </c>
      <c r="D484" s="547" t="s">
        <v>7609</v>
      </c>
      <c r="E484" s="547" t="s">
        <v>545</v>
      </c>
      <c r="F484" s="552">
        <v>2</v>
      </c>
      <c r="G484" s="545">
        <v>91.295004755193162</v>
      </c>
      <c r="H484" s="545">
        <v>182.59000951038632</v>
      </c>
      <c r="I484" s="547" t="s">
        <v>9009</v>
      </c>
      <c r="J484" s="547" t="s">
        <v>9023</v>
      </c>
      <c r="K484" s="547" t="s">
        <v>9024</v>
      </c>
      <c r="L484" s="537" t="s">
        <v>536</v>
      </c>
    </row>
    <row r="485" spans="1:12" x14ac:dyDescent="0.2">
      <c r="A485" s="547" t="s">
        <v>220</v>
      </c>
      <c r="B485" s="547" t="s">
        <v>7455</v>
      </c>
      <c r="C485" s="547" t="s">
        <v>2103</v>
      </c>
      <c r="D485" s="547" t="s">
        <v>2103</v>
      </c>
      <c r="E485" s="547" t="s">
        <v>545</v>
      </c>
      <c r="F485" s="552">
        <v>5</v>
      </c>
      <c r="G485" s="545">
        <v>200.0903661965707</v>
      </c>
      <c r="H485" s="545">
        <v>1000.4518309828535</v>
      </c>
      <c r="I485" s="547" t="s">
        <v>9009</v>
      </c>
      <c r="J485" s="547" t="s">
        <v>9023</v>
      </c>
      <c r="K485" s="547" t="s">
        <v>9020</v>
      </c>
      <c r="L485" s="537" t="s">
        <v>536</v>
      </c>
    </row>
    <row r="486" spans="1:12" x14ac:dyDescent="0.2">
      <c r="A486" s="547" t="s">
        <v>220</v>
      </c>
      <c r="B486" s="547" t="s">
        <v>7455</v>
      </c>
      <c r="C486" s="547" t="s">
        <v>9050</v>
      </c>
      <c r="D486" s="547" t="s">
        <v>7665</v>
      </c>
      <c r="E486" s="547" t="s">
        <v>545</v>
      </c>
      <c r="F486" s="552">
        <v>6</v>
      </c>
      <c r="G486" s="560">
        <v>75.591976440184197</v>
      </c>
      <c r="H486" s="545">
        <v>453.55185864110518</v>
      </c>
      <c r="I486" s="547" t="s">
        <v>9009</v>
      </c>
      <c r="J486" s="547" t="s">
        <v>9023</v>
      </c>
      <c r="K486" s="547" t="s">
        <v>9024</v>
      </c>
      <c r="L486" s="537" t="s">
        <v>536</v>
      </c>
    </row>
    <row r="487" spans="1:12" x14ac:dyDescent="0.2">
      <c r="A487" s="547" t="s">
        <v>220</v>
      </c>
      <c r="B487" s="547" t="s">
        <v>7455</v>
      </c>
      <c r="C487" s="547" t="s">
        <v>2082</v>
      </c>
      <c r="D487" s="547" t="s">
        <v>9131</v>
      </c>
      <c r="E487" s="547" t="s">
        <v>545</v>
      </c>
      <c r="F487" s="561">
        <v>2</v>
      </c>
      <c r="G487" s="545">
        <v>68.724629957053821</v>
      </c>
      <c r="H487" s="545">
        <v>137.44925991410764</v>
      </c>
      <c r="I487" s="547" t="s">
        <v>9009</v>
      </c>
      <c r="J487" s="547" t="s">
        <v>9023</v>
      </c>
      <c r="K487" s="547" t="s">
        <v>9024</v>
      </c>
      <c r="L487" s="537" t="s">
        <v>536</v>
      </c>
    </row>
    <row r="488" spans="1:12" x14ac:dyDescent="0.2">
      <c r="A488" s="547" t="s">
        <v>220</v>
      </c>
      <c r="B488" s="547" t="s">
        <v>7455</v>
      </c>
      <c r="C488" s="547" t="s">
        <v>2075</v>
      </c>
      <c r="D488" s="547" t="s">
        <v>2052</v>
      </c>
      <c r="E488" s="547" t="s">
        <v>545</v>
      </c>
      <c r="F488" s="552">
        <v>108</v>
      </c>
      <c r="G488" s="545">
        <v>60.597108982258398</v>
      </c>
      <c r="H488" s="545">
        <v>6544.487770083907</v>
      </c>
      <c r="I488" s="547" t="s">
        <v>9009</v>
      </c>
      <c r="J488" s="547" t="s">
        <v>9023</v>
      </c>
      <c r="K488" s="547" t="s">
        <v>9024</v>
      </c>
      <c r="L488" s="537" t="s">
        <v>536</v>
      </c>
    </row>
    <row r="489" spans="1:12" x14ac:dyDescent="0.2">
      <c r="A489" s="547" t="s">
        <v>220</v>
      </c>
      <c r="B489" s="547" t="s">
        <v>7448</v>
      </c>
      <c r="C489" s="547" t="s">
        <v>580</v>
      </c>
      <c r="D489" s="547" t="s">
        <v>7479</v>
      </c>
      <c r="E489" s="547" t="s">
        <v>545</v>
      </c>
      <c r="F489" s="552">
        <v>3</v>
      </c>
      <c r="G489" s="545">
        <v>99.219025733438031</v>
      </c>
      <c r="H489" s="545">
        <v>297.65707720031412</v>
      </c>
      <c r="I489" s="547" t="s">
        <v>9009</v>
      </c>
      <c r="J489" s="547" t="s">
        <v>9019</v>
      </c>
      <c r="K489" s="547" t="s">
        <v>9020</v>
      </c>
      <c r="L489" s="537" t="s">
        <v>1911</v>
      </c>
    </row>
    <row r="490" spans="1:12" x14ac:dyDescent="0.2">
      <c r="A490" s="547" t="s">
        <v>220</v>
      </c>
      <c r="B490" s="547" t="s">
        <v>7448</v>
      </c>
      <c r="C490" s="547" t="s">
        <v>1918</v>
      </c>
      <c r="D490" s="547" t="s">
        <v>7605</v>
      </c>
      <c r="E490" s="547" t="s">
        <v>545</v>
      </c>
      <c r="F490" s="552">
        <v>37</v>
      </c>
      <c r="G490" s="545">
        <v>69.331871819353637</v>
      </c>
      <c r="H490" s="545">
        <v>2565.2792573160846</v>
      </c>
      <c r="I490" s="547" t="s">
        <v>9009</v>
      </c>
      <c r="J490" s="547" t="s">
        <v>9019</v>
      </c>
      <c r="K490" s="547" t="s">
        <v>9020</v>
      </c>
      <c r="L490" s="537" t="s">
        <v>1911</v>
      </c>
    </row>
    <row r="491" spans="1:12" x14ac:dyDescent="0.2">
      <c r="A491" s="547" t="s">
        <v>220</v>
      </c>
      <c r="B491" s="547" t="s">
        <v>7448</v>
      </c>
      <c r="C491" s="547" t="s">
        <v>1958</v>
      </c>
      <c r="D491" s="547" t="s">
        <v>7490</v>
      </c>
      <c r="E491" s="547" t="s">
        <v>545</v>
      </c>
      <c r="F491" s="552">
        <v>32</v>
      </c>
      <c r="G491" s="545">
        <v>141.83175579967033</v>
      </c>
      <c r="H491" s="545">
        <v>4538.6161855894507</v>
      </c>
      <c r="I491" s="547" t="s">
        <v>9009</v>
      </c>
      <c r="J491" s="547" t="s">
        <v>9019</v>
      </c>
      <c r="K491" s="547" t="s">
        <v>9020</v>
      </c>
      <c r="L491" s="537" t="s">
        <v>1911</v>
      </c>
    </row>
    <row r="492" spans="1:12" x14ac:dyDescent="0.2">
      <c r="A492" s="547" t="s">
        <v>220</v>
      </c>
      <c r="B492" s="547" t="s">
        <v>2063</v>
      </c>
      <c r="C492" s="547" t="s">
        <v>2064</v>
      </c>
      <c r="D492" s="547" t="s">
        <v>7603</v>
      </c>
      <c r="E492" s="547" t="s">
        <v>545</v>
      </c>
      <c r="F492" s="552">
        <v>23</v>
      </c>
      <c r="G492" s="560">
        <v>69.038657690277304</v>
      </c>
      <c r="H492" s="545">
        <v>1587.889126876378</v>
      </c>
      <c r="I492" s="547" t="s">
        <v>9009</v>
      </c>
      <c r="J492" s="547" t="s">
        <v>9023</v>
      </c>
      <c r="K492" s="547" t="s">
        <v>9024</v>
      </c>
      <c r="L492" s="537" t="s">
        <v>536</v>
      </c>
    </row>
    <row r="493" spans="1:12" x14ac:dyDescent="0.2">
      <c r="A493" s="547" t="s">
        <v>220</v>
      </c>
      <c r="B493" s="547" t="s">
        <v>2063</v>
      </c>
      <c r="C493" s="547" t="s">
        <v>2079</v>
      </c>
      <c r="D493" s="547" t="s">
        <v>7613</v>
      </c>
      <c r="E493" s="547" t="s">
        <v>545</v>
      </c>
      <c r="F493" s="552">
        <v>92</v>
      </c>
      <c r="G493" s="560">
        <v>58.545744942198652</v>
      </c>
      <c r="H493" s="545">
        <v>5386.208534682276</v>
      </c>
      <c r="I493" s="547" t="s">
        <v>9009</v>
      </c>
      <c r="J493" s="547" t="s">
        <v>9023</v>
      </c>
      <c r="K493" s="547" t="s">
        <v>9024</v>
      </c>
      <c r="L493" s="537" t="s">
        <v>536</v>
      </c>
    </row>
    <row r="494" spans="1:12" x14ac:dyDescent="0.2">
      <c r="A494" s="547" t="s">
        <v>220</v>
      </c>
      <c r="B494" s="547" t="s">
        <v>2063</v>
      </c>
      <c r="C494" s="547" t="s">
        <v>2082</v>
      </c>
      <c r="D494" s="547" t="s">
        <v>7476</v>
      </c>
      <c r="E494" s="547" t="s">
        <v>545</v>
      </c>
      <c r="F494" s="552">
        <v>11</v>
      </c>
      <c r="G494" s="560">
        <v>69.057887414408484</v>
      </c>
      <c r="H494" s="545">
        <v>759.63676155849328</v>
      </c>
      <c r="I494" s="547" t="s">
        <v>9009</v>
      </c>
      <c r="J494" s="547" t="s">
        <v>9023</v>
      </c>
      <c r="K494" s="547" t="s">
        <v>9024</v>
      </c>
      <c r="L494" s="537" t="s">
        <v>536</v>
      </c>
    </row>
    <row r="495" spans="1:12" x14ac:dyDescent="0.2">
      <c r="A495" s="547" t="s">
        <v>220</v>
      </c>
      <c r="B495" s="547" t="s">
        <v>2063</v>
      </c>
      <c r="C495" s="547" t="s">
        <v>2117</v>
      </c>
      <c r="D495" s="547" t="s">
        <v>9518</v>
      </c>
      <c r="E495" s="547" t="s">
        <v>545</v>
      </c>
      <c r="F495" s="552">
        <v>35</v>
      </c>
      <c r="G495" s="560">
        <v>69.057887414408484</v>
      </c>
      <c r="H495" s="545">
        <v>2417.0260595042969</v>
      </c>
      <c r="I495" s="547" t="s">
        <v>9009</v>
      </c>
      <c r="J495" s="547" t="s">
        <v>9023</v>
      </c>
      <c r="K495" s="547" t="s">
        <v>9024</v>
      </c>
      <c r="L495" s="537" t="s">
        <v>536</v>
      </c>
    </row>
    <row r="496" spans="1:12" x14ac:dyDescent="0.2">
      <c r="A496" s="547" t="s">
        <v>220</v>
      </c>
      <c r="B496" s="547" t="s">
        <v>2063</v>
      </c>
      <c r="C496" s="547" t="s">
        <v>9519</v>
      </c>
      <c r="D496" s="547" t="s">
        <v>9131</v>
      </c>
      <c r="E496" s="547" t="s">
        <v>545</v>
      </c>
      <c r="F496" s="552">
        <v>184</v>
      </c>
      <c r="G496" s="560">
        <v>69.057887414408484</v>
      </c>
      <c r="H496" s="545">
        <v>12706.65128425116</v>
      </c>
      <c r="I496" s="547" t="s">
        <v>9009</v>
      </c>
      <c r="J496" s="547" t="s">
        <v>9023</v>
      </c>
      <c r="K496" s="547" t="s">
        <v>9024</v>
      </c>
      <c r="L496" s="537" t="s">
        <v>536</v>
      </c>
    </row>
    <row r="497" spans="1:12" x14ac:dyDescent="0.2">
      <c r="A497" s="547" t="s">
        <v>220</v>
      </c>
      <c r="B497" s="547" t="s">
        <v>2063</v>
      </c>
      <c r="C497" s="547" t="s">
        <v>2086</v>
      </c>
      <c r="D497" s="547" t="s">
        <v>7615</v>
      </c>
      <c r="E497" s="547" t="s">
        <v>545</v>
      </c>
      <c r="F497" s="552">
        <v>101</v>
      </c>
      <c r="G497" s="560">
        <v>103.49284180557109</v>
      </c>
      <c r="H497" s="545">
        <v>10452.777022362679</v>
      </c>
      <c r="I497" s="547" t="s">
        <v>9009</v>
      </c>
      <c r="J497" s="547" t="s">
        <v>9023</v>
      </c>
      <c r="K497" s="547" t="s">
        <v>9024</v>
      </c>
      <c r="L497" s="537" t="s">
        <v>536</v>
      </c>
    </row>
    <row r="498" spans="1:12" x14ac:dyDescent="0.2">
      <c r="A498" s="547" t="s">
        <v>220</v>
      </c>
      <c r="B498" s="547" t="s">
        <v>2063</v>
      </c>
      <c r="C498" s="547" t="s">
        <v>9520</v>
      </c>
      <c r="D498" s="547" t="s">
        <v>9521</v>
      </c>
      <c r="E498" s="547" t="s">
        <v>545</v>
      </c>
      <c r="F498" s="552">
        <v>42</v>
      </c>
      <c r="G498" s="560">
        <v>107.34856384398095</v>
      </c>
      <c r="H498" s="545">
        <v>4508.6396814472</v>
      </c>
      <c r="I498" s="547" t="s">
        <v>9009</v>
      </c>
      <c r="J498" s="547" t="s">
        <v>9023</v>
      </c>
      <c r="K498" s="547" t="s">
        <v>9024</v>
      </c>
      <c r="L498" s="537" t="s">
        <v>536</v>
      </c>
    </row>
    <row r="499" spans="1:12" x14ac:dyDescent="0.2">
      <c r="A499" s="547" t="s">
        <v>220</v>
      </c>
      <c r="B499" s="547" t="s">
        <v>2063</v>
      </c>
      <c r="C499" s="547" t="s">
        <v>7760</v>
      </c>
      <c r="D499" s="547" t="s">
        <v>7761</v>
      </c>
      <c r="E499" s="547" t="s">
        <v>545</v>
      </c>
      <c r="F499" s="552">
        <v>51</v>
      </c>
      <c r="G499" s="560">
        <v>76.213221732088201</v>
      </c>
      <c r="H499" s="545">
        <v>3886.8743083364984</v>
      </c>
      <c r="I499" s="547" t="s">
        <v>9009</v>
      </c>
      <c r="J499" s="547" t="s">
        <v>9023</v>
      </c>
      <c r="K499" s="547" t="s">
        <v>9024</v>
      </c>
      <c r="L499" s="537" t="s">
        <v>536</v>
      </c>
    </row>
    <row r="500" spans="1:12" x14ac:dyDescent="0.2">
      <c r="A500" s="547" t="s">
        <v>220</v>
      </c>
      <c r="B500" s="547" t="s">
        <v>2063</v>
      </c>
      <c r="C500" s="547" t="s">
        <v>2096</v>
      </c>
      <c r="D500" s="547" t="s">
        <v>7618</v>
      </c>
      <c r="E500" s="547" t="s">
        <v>545</v>
      </c>
      <c r="F500" s="552">
        <v>42</v>
      </c>
      <c r="G500" s="560">
        <v>159.41117284642456</v>
      </c>
      <c r="H500" s="545">
        <v>6695.269259549832</v>
      </c>
      <c r="I500" s="547" t="s">
        <v>9009</v>
      </c>
      <c r="J500" s="547" t="s">
        <v>9023</v>
      </c>
      <c r="K500" s="547" t="s">
        <v>9024</v>
      </c>
      <c r="L500" s="537" t="s">
        <v>536</v>
      </c>
    </row>
    <row r="501" spans="1:12" x14ac:dyDescent="0.2">
      <c r="A501" s="547" t="s">
        <v>220</v>
      </c>
      <c r="B501" s="547" t="s">
        <v>2063</v>
      </c>
      <c r="C501" s="547" t="s">
        <v>2097</v>
      </c>
      <c r="D501" s="547" t="s">
        <v>7619</v>
      </c>
      <c r="E501" s="547" t="s">
        <v>545</v>
      </c>
      <c r="F501" s="552">
        <v>91</v>
      </c>
      <c r="G501" s="560">
        <v>180.81096792493096</v>
      </c>
      <c r="H501" s="545">
        <v>16453.798081168719</v>
      </c>
      <c r="I501" s="547" t="s">
        <v>9009</v>
      </c>
      <c r="J501" s="547" t="s">
        <v>9023</v>
      </c>
      <c r="K501" s="547" t="s">
        <v>9024</v>
      </c>
      <c r="L501" s="537" t="s">
        <v>536</v>
      </c>
    </row>
    <row r="502" spans="1:12" x14ac:dyDescent="0.2">
      <c r="A502" s="547" t="s">
        <v>220</v>
      </c>
      <c r="B502" s="547" t="s">
        <v>2063</v>
      </c>
      <c r="C502" s="547" t="s">
        <v>7620</v>
      </c>
      <c r="D502" s="547" t="s">
        <v>7457</v>
      </c>
      <c r="E502" s="547" t="s">
        <v>545</v>
      </c>
      <c r="F502" s="552">
        <v>100</v>
      </c>
      <c r="G502" s="560">
        <v>207.19813862212391</v>
      </c>
      <c r="H502" s="545">
        <v>20719.813862212392</v>
      </c>
      <c r="I502" s="547" t="s">
        <v>9009</v>
      </c>
      <c r="J502" s="547" t="s">
        <v>9023</v>
      </c>
      <c r="K502" s="547" t="s">
        <v>9024</v>
      </c>
      <c r="L502" s="537" t="s">
        <v>536</v>
      </c>
    </row>
    <row r="503" spans="1:12" x14ac:dyDescent="0.2">
      <c r="A503" s="547" t="s">
        <v>220</v>
      </c>
      <c r="B503" s="547" t="s">
        <v>2063</v>
      </c>
      <c r="C503" s="547" t="s">
        <v>2121</v>
      </c>
      <c r="D503" s="547" t="s">
        <v>7485</v>
      </c>
      <c r="E503" s="547" t="s">
        <v>545</v>
      </c>
      <c r="F503" s="552">
        <v>92</v>
      </c>
      <c r="G503" s="560">
        <v>175.81096792493099</v>
      </c>
      <c r="H503" s="545">
        <v>16174.609049093651</v>
      </c>
      <c r="I503" s="547" t="s">
        <v>9009</v>
      </c>
      <c r="J503" s="547" t="s">
        <v>9023</v>
      </c>
      <c r="K503" s="547" t="s">
        <v>9024</v>
      </c>
      <c r="L503" s="537" t="s">
        <v>536</v>
      </c>
    </row>
    <row r="504" spans="1:12" x14ac:dyDescent="0.2">
      <c r="A504" s="547" t="s">
        <v>220</v>
      </c>
      <c r="B504" s="547" t="s">
        <v>2063</v>
      </c>
      <c r="C504" s="547" t="s">
        <v>9522</v>
      </c>
      <c r="D504" s="547" t="s">
        <v>7619</v>
      </c>
      <c r="E504" s="547" t="s">
        <v>545</v>
      </c>
      <c r="F504" s="552">
        <v>40</v>
      </c>
      <c r="G504" s="560">
        <v>182.05372606381286</v>
      </c>
      <c r="H504" s="545">
        <v>7282.1490425525144</v>
      </c>
      <c r="I504" s="547" t="s">
        <v>9009</v>
      </c>
      <c r="J504" s="547" t="s">
        <v>9023</v>
      </c>
      <c r="K504" s="547" t="s">
        <v>9024</v>
      </c>
      <c r="L504" s="537" t="s">
        <v>536</v>
      </c>
    </row>
    <row r="505" spans="1:12" x14ac:dyDescent="0.2">
      <c r="A505" s="547" t="s">
        <v>220</v>
      </c>
      <c r="B505" s="547" t="s">
        <v>2063</v>
      </c>
      <c r="C505" s="547" t="s">
        <v>2150</v>
      </c>
      <c r="D505" s="547" t="s">
        <v>9523</v>
      </c>
      <c r="E505" s="547" t="s">
        <v>545</v>
      </c>
      <c r="F505" s="552">
        <v>35</v>
      </c>
      <c r="G505" s="560">
        <v>83.535000260854574</v>
      </c>
      <c r="H505" s="545">
        <v>2923.7250091299102</v>
      </c>
      <c r="I505" s="547" t="s">
        <v>9009</v>
      </c>
      <c r="J505" s="547" t="s">
        <v>9023</v>
      </c>
      <c r="K505" s="547" t="s">
        <v>9024</v>
      </c>
      <c r="L505" s="537" t="s">
        <v>536</v>
      </c>
    </row>
    <row r="506" spans="1:12" x14ac:dyDescent="0.2">
      <c r="A506" s="547" t="s">
        <v>220</v>
      </c>
      <c r="B506" s="547" t="s">
        <v>2063</v>
      </c>
      <c r="C506" s="547" t="s">
        <v>9524</v>
      </c>
      <c r="D506" s="547" t="s">
        <v>9525</v>
      </c>
      <c r="E506" s="547" t="s">
        <v>545</v>
      </c>
      <c r="F506" s="552">
        <v>70</v>
      </c>
      <c r="G506" s="560">
        <v>120.220212714619</v>
      </c>
      <c r="H506" s="545">
        <v>8415.4148900233304</v>
      </c>
      <c r="I506" s="547" t="s">
        <v>9009</v>
      </c>
      <c r="J506" s="547" t="s">
        <v>9023</v>
      </c>
      <c r="K506" s="547" t="s">
        <v>9024</v>
      </c>
      <c r="L506" s="537" t="s">
        <v>536</v>
      </c>
    </row>
    <row r="507" spans="1:12" x14ac:dyDescent="0.2">
      <c r="A507" s="547" t="s">
        <v>220</v>
      </c>
      <c r="B507" s="547" t="s">
        <v>7455</v>
      </c>
      <c r="C507" s="547" t="s">
        <v>2079</v>
      </c>
      <c r="D507" s="547" t="s">
        <v>7613</v>
      </c>
      <c r="E507" s="547" t="s">
        <v>545</v>
      </c>
      <c r="F507" s="561">
        <v>127</v>
      </c>
      <c r="G507" s="545">
        <v>58.545744942198652</v>
      </c>
      <c r="H507" s="545">
        <v>7435.3096076592292</v>
      </c>
      <c r="I507" s="547" t="s">
        <v>9009</v>
      </c>
      <c r="J507" s="547" t="s">
        <v>9023</v>
      </c>
      <c r="K507" s="547" t="s">
        <v>9024</v>
      </c>
      <c r="L507" s="537" t="s">
        <v>536</v>
      </c>
    </row>
    <row r="508" spans="1:12" x14ac:dyDescent="0.2">
      <c r="A508" s="547" t="s">
        <v>220</v>
      </c>
      <c r="B508" s="547" t="s">
        <v>7455</v>
      </c>
      <c r="C508" s="547" t="s">
        <v>7620</v>
      </c>
      <c r="D508" s="547" t="s">
        <v>7457</v>
      </c>
      <c r="E508" s="547" t="s">
        <v>545</v>
      </c>
      <c r="F508" s="552">
        <v>11</v>
      </c>
      <c r="G508" s="545">
        <v>207.19813862212391</v>
      </c>
      <c r="H508" s="545">
        <v>2279.1795248433627</v>
      </c>
      <c r="I508" s="547" t="s">
        <v>9009</v>
      </c>
      <c r="J508" s="547" t="s">
        <v>9023</v>
      </c>
      <c r="K508" s="547" t="s">
        <v>9024</v>
      </c>
      <c r="L508" s="537" t="s">
        <v>536</v>
      </c>
    </row>
    <row r="509" spans="1:12" x14ac:dyDescent="0.2">
      <c r="A509" s="547" t="s">
        <v>220</v>
      </c>
      <c r="B509" s="547" t="s">
        <v>7455</v>
      </c>
      <c r="C509" s="547" t="s">
        <v>2098</v>
      </c>
      <c r="D509" s="547" t="s">
        <v>7459</v>
      </c>
      <c r="E509" s="547" t="s">
        <v>545</v>
      </c>
      <c r="F509" s="552">
        <v>8</v>
      </c>
      <c r="G509" s="545">
        <v>226.29442684939949</v>
      </c>
      <c r="H509" s="545">
        <v>1810.3554147951959</v>
      </c>
      <c r="I509" s="547" t="s">
        <v>9009</v>
      </c>
      <c r="J509" s="547" t="s">
        <v>9023</v>
      </c>
      <c r="K509" s="547" t="s">
        <v>9024</v>
      </c>
      <c r="L509" s="537" t="s">
        <v>536</v>
      </c>
    </row>
    <row r="510" spans="1:12" x14ac:dyDescent="0.2">
      <c r="A510" s="547" t="s">
        <v>220</v>
      </c>
      <c r="B510" s="547" t="s">
        <v>7455</v>
      </c>
      <c r="C510" s="547" t="s">
        <v>9053</v>
      </c>
      <c r="D510" s="547" t="s">
        <v>7459</v>
      </c>
      <c r="E510" s="547" t="s">
        <v>545</v>
      </c>
      <c r="F510" s="552">
        <v>1</v>
      </c>
      <c r="G510" s="545">
        <v>220.13378595377878</v>
      </c>
      <c r="H510" s="545">
        <v>220.13378595377878</v>
      </c>
      <c r="I510" s="547" t="s">
        <v>9009</v>
      </c>
      <c r="J510" s="547" t="s">
        <v>9023</v>
      </c>
      <c r="K510" s="547" t="s">
        <v>9024</v>
      </c>
      <c r="L510" s="537" t="s">
        <v>536</v>
      </c>
    </row>
    <row r="511" spans="1:12" x14ac:dyDescent="0.2">
      <c r="A511" s="547" t="s">
        <v>220</v>
      </c>
      <c r="B511" s="547" t="s">
        <v>532</v>
      </c>
      <c r="C511" s="556" t="s">
        <v>859</v>
      </c>
      <c r="D511" s="556" t="s">
        <v>860</v>
      </c>
      <c r="E511" s="547" t="s">
        <v>545</v>
      </c>
      <c r="F511" s="552">
        <v>1241</v>
      </c>
      <c r="G511" s="545">
        <v>5.8228035664593607</v>
      </c>
      <c r="H511" s="545">
        <v>7226.0992259760669</v>
      </c>
      <c r="I511" s="547" t="s">
        <v>9009</v>
      </c>
      <c r="J511" s="547" t="s">
        <v>9011</v>
      </c>
      <c r="K511" s="547" t="s">
        <v>9068</v>
      </c>
      <c r="L511" s="537" t="s">
        <v>541</v>
      </c>
    </row>
    <row r="512" spans="1:12" x14ac:dyDescent="0.2">
      <c r="A512" s="547" t="s">
        <v>220</v>
      </c>
      <c r="B512" s="547" t="s">
        <v>532</v>
      </c>
      <c r="C512" s="554" t="s">
        <v>1071</v>
      </c>
      <c r="D512" s="556" t="s">
        <v>9539</v>
      </c>
      <c r="E512" s="547" t="s">
        <v>545</v>
      </c>
      <c r="F512" s="552">
        <v>550</v>
      </c>
      <c r="G512" s="545">
        <v>4.6824795990752524</v>
      </c>
      <c r="H512" s="545">
        <v>2575.3637794913889</v>
      </c>
      <c r="I512" s="547" t="s">
        <v>9009</v>
      </c>
      <c r="J512" s="547" t="s">
        <v>9011</v>
      </c>
      <c r="K512" s="547" t="s">
        <v>9068</v>
      </c>
      <c r="L512" s="537" t="s">
        <v>541</v>
      </c>
    </row>
    <row r="513" spans="1:12" x14ac:dyDescent="0.2">
      <c r="A513" s="547" t="s">
        <v>220</v>
      </c>
      <c r="B513" s="547" t="s">
        <v>532</v>
      </c>
      <c r="C513" s="547" t="s">
        <v>975</v>
      </c>
      <c r="D513" s="547" t="s">
        <v>976</v>
      </c>
      <c r="E513" s="547" t="s">
        <v>545</v>
      </c>
      <c r="F513" s="552">
        <v>2171</v>
      </c>
      <c r="G513" s="545">
        <v>5.5717188019478296</v>
      </c>
      <c r="H513" s="545">
        <v>12096.201519028738</v>
      </c>
      <c r="I513" s="547" t="s">
        <v>9009</v>
      </c>
      <c r="J513" s="547" t="s">
        <v>9011</v>
      </c>
      <c r="K513" s="547" t="s">
        <v>9068</v>
      </c>
      <c r="L513" s="537" t="s">
        <v>541</v>
      </c>
    </row>
    <row r="514" spans="1:12" x14ac:dyDescent="0.2">
      <c r="A514" s="547" t="s">
        <v>220</v>
      </c>
      <c r="B514" s="547" t="s">
        <v>532</v>
      </c>
      <c r="C514" s="547" t="s">
        <v>1071</v>
      </c>
      <c r="D514" s="547" t="s">
        <v>1072</v>
      </c>
      <c r="E514" s="547" t="s">
        <v>545</v>
      </c>
      <c r="F514" s="552">
        <v>817</v>
      </c>
      <c r="G514" s="545">
        <v>4.6824795990752524</v>
      </c>
      <c r="H514" s="545">
        <v>3825.5858324444812</v>
      </c>
      <c r="I514" s="547" t="s">
        <v>9009</v>
      </c>
      <c r="J514" s="547" t="s">
        <v>9011</v>
      </c>
      <c r="K514" s="547" t="s">
        <v>9068</v>
      </c>
      <c r="L514" s="537" t="s">
        <v>541</v>
      </c>
    </row>
    <row r="515" spans="1:12" x14ac:dyDescent="0.2">
      <c r="A515" s="547" t="s">
        <v>220</v>
      </c>
      <c r="B515" s="547" t="s">
        <v>532</v>
      </c>
      <c r="C515" s="547" t="s">
        <v>813</v>
      </c>
      <c r="D515" s="547" t="s">
        <v>9501</v>
      </c>
      <c r="E515" s="547" t="s">
        <v>545</v>
      </c>
      <c r="F515" s="552">
        <v>426</v>
      </c>
      <c r="G515" s="545">
        <v>8.3328387556776438</v>
      </c>
      <c r="H515" s="545">
        <v>3549.7893099186763</v>
      </c>
      <c r="I515" s="547" t="s">
        <v>9009</v>
      </c>
      <c r="J515" s="547" t="s">
        <v>9011</v>
      </c>
      <c r="K515" s="547" t="s">
        <v>9068</v>
      </c>
      <c r="L515" s="537" t="s">
        <v>541</v>
      </c>
    </row>
    <row r="516" spans="1:12" x14ac:dyDescent="0.2">
      <c r="A516" s="547" t="s">
        <v>220</v>
      </c>
      <c r="B516" s="547" t="s">
        <v>532</v>
      </c>
      <c r="C516" s="547" t="s">
        <v>1071</v>
      </c>
      <c r="D516" s="547" t="s">
        <v>1072</v>
      </c>
      <c r="E516" s="547" t="s">
        <v>545</v>
      </c>
      <c r="F516" s="552">
        <v>440</v>
      </c>
      <c r="G516" s="545">
        <v>4.6824795990752524</v>
      </c>
      <c r="H516" s="545">
        <v>2060.2910235931108</v>
      </c>
      <c r="I516" s="547" t="s">
        <v>9009</v>
      </c>
      <c r="J516" s="547" t="s">
        <v>9011</v>
      </c>
      <c r="K516" s="547" t="s">
        <v>9068</v>
      </c>
      <c r="L516" s="537" t="s">
        <v>541</v>
      </c>
    </row>
    <row r="517" spans="1:12" x14ac:dyDescent="0.2">
      <c r="A517" s="547" t="s">
        <v>587</v>
      </c>
      <c r="B517" s="547" t="s">
        <v>591</v>
      </c>
      <c r="C517" s="547"/>
      <c r="D517" s="547" t="s">
        <v>9540</v>
      </c>
      <c r="E517" s="547" t="s">
        <v>535</v>
      </c>
      <c r="F517" s="548">
        <v>2588</v>
      </c>
      <c r="G517" s="545">
        <v>6.1947233793024967</v>
      </c>
      <c r="H517" s="545">
        <v>16031.944105634862</v>
      </c>
      <c r="I517" s="546" t="s">
        <v>9009</v>
      </c>
      <c r="J517" s="547" t="s">
        <v>536</v>
      </c>
      <c r="K517" s="547" t="s">
        <v>9010</v>
      </c>
      <c r="L517" s="537" t="s">
        <v>536</v>
      </c>
    </row>
    <row r="518" spans="1:12" x14ac:dyDescent="0.2">
      <c r="A518" s="547" t="s">
        <v>587</v>
      </c>
      <c r="B518" s="547" t="s">
        <v>591</v>
      </c>
      <c r="C518" s="547"/>
      <c r="D518" s="547" t="s">
        <v>9541</v>
      </c>
      <c r="E518" s="547" t="s">
        <v>535</v>
      </c>
      <c r="F518" s="548">
        <v>2500</v>
      </c>
      <c r="G518" s="545">
        <v>6.0948458178326259</v>
      </c>
      <c r="H518" s="545">
        <v>15237.114544581565</v>
      </c>
      <c r="I518" s="546" t="s">
        <v>9009</v>
      </c>
      <c r="J518" s="547" t="s">
        <v>536</v>
      </c>
      <c r="K518" s="547" t="s">
        <v>9010</v>
      </c>
      <c r="L518" s="537" t="s">
        <v>536</v>
      </c>
    </row>
    <row r="519" spans="1:12" x14ac:dyDescent="0.2">
      <c r="A519" s="529" t="s">
        <v>587</v>
      </c>
      <c r="B519" s="547" t="s">
        <v>591</v>
      </c>
      <c r="C519" s="515" t="s">
        <v>675</v>
      </c>
      <c r="D519" s="515" t="s">
        <v>777</v>
      </c>
      <c r="E519" s="515" t="s">
        <v>535</v>
      </c>
      <c r="F519" s="563">
        <v>1223</v>
      </c>
      <c r="G519" s="545">
        <v>6.1099127858658475</v>
      </c>
      <c r="H519" s="545">
        <v>7472.4233371139317</v>
      </c>
      <c r="I519" s="546" t="s">
        <v>9009</v>
      </c>
      <c r="J519" s="547" t="s">
        <v>9011</v>
      </c>
      <c r="K519" s="547" t="s">
        <v>8994</v>
      </c>
      <c r="L519" s="537" t="s">
        <v>541</v>
      </c>
    </row>
    <row r="520" spans="1:12" x14ac:dyDescent="0.2">
      <c r="A520" s="547" t="s">
        <v>587</v>
      </c>
      <c r="B520" s="547" t="s">
        <v>591</v>
      </c>
      <c r="C520" s="547" t="s">
        <v>7414</v>
      </c>
      <c r="D520" s="547" t="s">
        <v>9495</v>
      </c>
      <c r="E520" s="547" t="s">
        <v>535</v>
      </c>
      <c r="F520" s="551">
        <v>17850</v>
      </c>
      <c r="G520" s="545">
        <v>7.4510794700919156</v>
      </c>
      <c r="H520" s="545">
        <v>133001.76854114069</v>
      </c>
      <c r="I520" s="550" t="s">
        <v>9009</v>
      </c>
      <c r="J520" s="547" t="s">
        <v>536</v>
      </c>
      <c r="K520" s="547" t="s">
        <v>9010</v>
      </c>
      <c r="L520" s="537" t="s">
        <v>536</v>
      </c>
    </row>
    <row r="521" spans="1:12" x14ac:dyDescent="0.2">
      <c r="A521" s="547" t="s">
        <v>587</v>
      </c>
      <c r="B521" s="547" t="s">
        <v>591</v>
      </c>
      <c r="C521" s="547" t="s">
        <v>7413</v>
      </c>
      <c r="D521" s="547" t="s">
        <v>9496</v>
      </c>
      <c r="E521" s="547" t="s">
        <v>535</v>
      </c>
      <c r="F521" s="551">
        <v>22932</v>
      </c>
      <c r="G521" s="545">
        <v>7.4518087643638884</v>
      </c>
      <c r="H521" s="545">
        <v>170884.87858439269</v>
      </c>
      <c r="I521" s="550" t="s">
        <v>9009</v>
      </c>
      <c r="J521" s="547" t="s">
        <v>536</v>
      </c>
      <c r="K521" s="547" t="s">
        <v>9010</v>
      </c>
      <c r="L521" s="537" t="s">
        <v>536</v>
      </c>
    </row>
    <row r="522" spans="1:12" x14ac:dyDescent="0.2">
      <c r="A522" s="547" t="s">
        <v>587</v>
      </c>
      <c r="B522" s="547" t="s">
        <v>591</v>
      </c>
      <c r="C522" s="530" t="s">
        <v>9095</v>
      </c>
      <c r="D522" s="547" t="s">
        <v>9542</v>
      </c>
      <c r="E522" s="547" t="s">
        <v>535</v>
      </c>
      <c r="F522" s="548">
        <v>25.68</v>
      </c>
      <c r="G522" s="545">
        <v>0</v>
      </c>
      <c r="H522" s="545">
        <v>0</v>
      </c>
      <c r="I522" s="546" t="s">
        <v>9009</v>
      </c>
      <c r="J522" s="547" t="s">
        <v>9013</v>
      </c>
      <c r="K522" s="547" t="s">
        <v>9014</v>
      </c>
      <c r="L522" s="537" t="s">
        <v>536</v>
      </c>
    </row>
    <row r="523" spans="1:12" x14ac:dyDescent="0.2">
      <c r="A523" s="547" t="s">
        <v>587</v>
      </c>
      <c r="B523" s="547" t="s">
        <v>591</v>
      </c>
      <c r="C523" s="530" t="s">
        <v>9091</v>
      </c>
      <c r="D523" s="547" t="s">
        <v>9543</v>
      </c>
      <c r="E523" s="547" t="s">
        <v>535</v>
      </c>
      <c r="F523" s="552">
        <v>120.96000000000001</v>
      </c>
      <c r="G523" s="545">
        <v>0</v>
      </c>
      <c r="H523" s="545">
        <v>0</v>
      </c>
      <c r="I523" s="546" t="s">
        <v>9009</v>
      </c>
      <c r="J523" s="547" t="s">
        <v>9013</v>
      </c>
      <c r="K523" s="547" t="s">
        <v>9014</v>
      </c>
      <c r="L523" s="537" t="s">
        <v>536</v>
      </c>
    </row>
    <row r="524" spans="1:12" x14ac:dyDescent="0.2">
      <c r="A524" s="547" t="s">
        <v>587</v>
      </c>
      <c r="B524" s="547" t="s">
        <v>591</v>
      </c>
      <c r="C524" s="530" t="s">
        <v>9093</v>
      </c>
      <c r="D524" s="547" t="s">
        <v>9544</v>
      </c>
      <c r="E524" s="547" t="s">
        <v>535</v>
      </c>
      <c r="F524" s="552">
        <v>13.56</v>
      </c>
      <c r="G524" s="545">
        <v>0</v>
      </c>
      <c r="H524" s="545">
        <v>0</v>
      </c>
      <c r="I524" s="546" t="s">
        <v>9009</v>
      </c>
      <c r="J524" s="547" t="s">
        <v>9013</v>
      </c>
      <c r="K524" s="547" t="s">
        <v>9014</v>
      </c>
      <c r="L524" s="537" t="s">
        <v>536</v>
      </c>
    </row>
    <row r="525" spans="1:12" x14ac:dyDescent="0.2">
      <c r="A525" s="547" t="s">
        <v>747</v>
      </c>
      <c r="B525" s="547" t="s">
        <v>588</v>
      </c>
      <c r="C525" s="547"/>
      <c r="D525" s="547" t="s">
        <v>9545</v>
      </c>
      <c r="E525" s="547" t="s">
        <v>535</v>
      </c>
      <c r="F525" s="548">
        <v>11445</v>
      </c>
      <c r="G525" s="545">
        <v>4.0761528340373578</v>
      </c>
      <c r="H525" s="545">
        <v>46651.569185557557</v>
      </c>
      <c r="I525" s="546" t="s">
        <v>9009</v>
      </c>
      <c r="J525" s="547" t="s">
        <v>9011</v>
      </c>
      <c r="K525" s="547" t="s">
        <v>8994</v>
      </c>
      <c r="L525" s="537" t="s">
        <v>541</v>
      </c>
    </row>
    <row r="526" spans="1:12" x14ac:dyDescent="0.2">
      <c r="A526" s="515" t="s">
        <v>747</v>
      </c>
      <c r="B526" s="515" t="s">
        <v>748</v>
      </c>
      <c r="C526" s="515" t="s">
        <v>782</v>
      </c>
      <c r="D526" s="515" t="s">
        <v>783</v>
      </c>
      <c r="E526" s="515" t="s">
        <v>535</v>
      </c>
      <c r="F526" s="516">
        <v>44483</v>
      </c>
      <c r="G526" s="545">
        <v>2.1937261647956099</v>
      </c>
      <c r="H526" s="545">
        <v>97583.520988603108</v>
      </c>
      <c r="I526" s="546" t="s">
        <v>8992</v>
      </c>
      <c r="J526" s="547" t="s">
        <v>8993</v>
      </c>
      <c r="K526" s="547" t="s">
        <v>8994</v>
      </c>
      <c r="L526" s="537" t="s">
        <v>541</v>
      </c>
    </row>
    <row r="527" spans="1:12" x14ac:dyDescent="0.2">
      <c r="A527" s="515" t="s">
        <v>747</v>
      </c>
      <c r="B527" s="515" t="s">
        <v>748</v>
      </c>
      <c r="C527" s="515" t="s">
        <v>8997</v>
      </c>
      <c r="D527" s="547" t="s">
        <v>8998</v>
      </c>
      <c r="E527" s="515" t="s">
        <v>535</v>
      </c>
      <c r="F527" s="552">
        <v>76</v>
      </c>
      <c r="G527" s="545">
        <v>5.8275862068965516</v>
      </c>
      <c r="H527" s="545">
        <v>442.89655172413791</v>
      </c>
      <c r="I527" s="546" t="s">
        <v>8992</v>
      </c>
      <c r="J527" s="547" t="s">
        <v>541</v>
      </c>
      <c r="K527" s="547" t="s">
        <v>8996</v>
      </c>
      <c r="L527" s="537" t="s">
        <v>541</v>
      </c>
    </row>
    <row r="528" spans="1:12" x14ac:dyDescent="0.2">
      <c r="A528" s="515" t="s">
        <v>747</v>
      </c>
      <c r="B528" s="515" t="s">
        <v>748</v>
      </c>
      <c r="C528" s="547" t="s">
        <v>539</v>
      </c>
      <c r="D528" s="547" t="s">
        <v>9036</v>
      </c>
      <c r="E528" s="547" t="s">
        <v>535</v>
      </c>
      <c r="F528" s="552">
        <v>2755</v>
      </c>
      <c r="G528" s="545">
        <v>6.3141038910597755</v>
      </c>
      <c r="H528" s="545">
        <v>17395.356219869682</v>
      </c>
      <c r="I528" s="547" t="s">
        <v>9009</v>
      </c>
      <c r="J528" s="547" t="s">
        <v>9011</v>
      </c>
      <c r="K528" s="547" t="s">
        <v>8994</v>
      </c>
      <c r="L528" s="537" t="s">
        <v>541</v>
      </c>
    </row>
    <row r="529" spans="1:12" x14ac:dyDescent="0.2">
      <c r="A529" s="547" t="s">
        <v>747</v>
      </c>
      <c r="B529" s="547" t="s">
        <v>748</v>
      </c>
      <c r="C529" s="547" t="s">
        <v>7704</v>
      </c>
      <c r="D529" s="547" t="s">
        <v>7705</v>
      </c>
      <c r="E529" s="547" t="s">
        <v>535</v>
      </c>
      <c r="F529" s="552">
        <v>1541</v>
      </c>
      <c r="G529" s="545">
        <v>46.331171230862196</v>
      </c>
      <c r="H529" s="545">
        <v>71396.33486675864</v>
      </c>
      <c r="I529" s="546" t="s">
        <v>8992</v>
      </c>
      <c r="J529" s="547" t="s">
        <v>8993</v>
      </c>
      <c r="K529" s="547" t="s">
        <v>9001</v>
      </c>
      <c r="L529" s="537" t="s">
        <v>541</v>
      </c>
    </row>
    <row r="530" spans="1:12" x14ac:dyDescent="0.2">
      <c r="A530" s="547" t="s">
        <v>220</v>
      </c>
      <c r="B530" s="547" t="s">
        <v>2063</v>
      </c>
      <c r="C530" s="547" t="s">
        <v>2094</v>
      </c>
      <c r="D530" s="547" t="s">
        <v>7487</v>
      </c>
      <c r="E530" s="547" t="s">
        <v>545</v>
      </c>
      <c r="F530" s="552">
        <v>485</v>
      </c>
      <c r="G530" s="560">
        <v>148.4789519</v>
      </c>
      <c r="H530" s="545">
        <v>72012.291671500003</v>
      </c>
      <c r="I530" s="547" t="s">
        <v>9546</v>
      </c>
      <c r="J530" s="547" t="s">
        <v>9023</v>
      </c>
      <c r="K530" s="547" t="s">
        <v>9024</v>
      </c>
      <c r="L530" s="537" t="s">
        <v>536</v>
      </c>
    </row>
    <row r="531" spans="1:12" x14ac:dyDescent="0.2">
      <c r="A531" s="537" t="s">
        <v>220</v>
      </c>
      <c r="B531" s="547" t="s">
        <v>2063</v>
      </c>
      <c r="C531" s="547" t="s">
        <v>2128</v>
      </c>
      <c r="D531" s="547" t="s">
        <v>9547</v>
      </c>
      <c r="E531" s="547" t="s">
        <v>7771</v>
      </c>
      <c r="F531" s="552">
        <v>2032</v>
      </c>
      <c r="G531" s="560">
        <v>53.306000669920898</v>
      </c>
      <c r="H531" s="545">
        <v>108317.79336127927</v>
      </c>
      <c r="I531" s="547" t="s">
        <v>9009</v>
      </c>
      <c r="J531" s="547" t="s">
        <v>9023</v>
      </c>
      <c r="K531" s="547" t="s">
        <v>9024</v>
      </c>
      <c r="L531" s="537" t="s">
        <v>536</v>
      </c>
    </row>
    <row r="532" spans="1:12" x14ac:dyDescent="0.2">
      <c r="A532" s="547" t="s">
        <v>220</v>
      </c>
      <c r="B532" s="547" t="s">
        <v>2063</v>
      </c>
      <c r="C532" s="556" t="s">
        <v>2085</v>
      </c>
      <c r="D532" s="556" t="s">
        <v>7614</v>
      </c>
      <c r="E532" s="547" t="s">
        <v>545</v>
      </c>
      <c r="F532" s="552">
        <v>1</v>
      </c>
      <c r="G532" s="545">
        <v>50</v>
      </c>
      <c r="H532" s="545">
        <v>50</v>
      </c>
      <c r="I532" s="537" t="s">
        <v>9009</v>
      </c>
      <c r="J532" s="547" t="s">
        <v>9023</v>
      </c>
      <c r="K532" s="547" t="s">
        <v>9024</v>
      </c>
      <c r="L532" s="537" t="s">
        <v>536</v>
      </c>
    </row>
    <row r="533" spans="1:12" x14ac:dyDescent="0.2">
      <c r="A533" s="547" t="s">
        <v>220</v>
      </c>
      <c r="B533" s="547" t="s">
        <v>2063</v>
      </c>
      <c r="C533" s="556" t="s">
        <v>2093</v>
      </c>
      <c r="D533" s="556" t="s">
        <v>7754</v>
      </c>
      <c r="E533" s="547" t="s">
        <v>545</v>
      </c>
      <c r="F533" s="552">
        <v>84</v>
      </c>
      <c r="G533" s="545">
        <v>145.36661809965864</v>
      </c>
      <c r="H533" s="545">
        <v>12210.795920371325</v>
      </c>
      <c r="I533" s="537" t="s">
        <v>9009</v>
      </c>
      <c r="J533" s="547" t="s">
        <v>9023</v>
      </c>
      <c r="K533" s="547" t="s">
        <v>9024</v>
      </c>
      <c r="L533" s="537" t="s">
        <v>536</v>
      </c>
    </row>
    <row r="534" spans="1:12" x14ac:dyDescent="0.2">
      <c r="A534" s="547" t="s">
        <v>220</v>
      </c>
      <c r="B534" s="547" t="s">
        <v>2063</v>
      </c>
      <c r="C534" s="556" t="s">
        <v>7637</v>
      </c>
      <c r="D534" s="556" t="s">
        <v>7638</v>
      </c>
      <c r="E534" s="547" t="s">
        <v>545</v>
      </c>
      <c r="F534" s="552">
        <v>141</v>
      </c>
      <c r="G534" s="545">
        <v>163.73729882871601</v>
      </c>
      <c r="H534" s="545">
        <v>23086.959134848956</v>
      </c>
      <c r="I534" s="537" t="s">
        <v>9009</v>
      </c>
      <c r="J534" s="547" t="s">
        <v>9023</v>
      </c>
      <c r="K534" s="547" t="s">
        <v>9024</v>
      </c>
      <c r="L534" s="537" t="s">
        <v>536</v>
      </c>
    </row>
    <row r="535" spans="1:12" x14ac:dyDescent="0.2">
      <c r="A535" s="547" t="s">
        <v>220</v>
      </c>
      <c r="B535" s="547" t="s">
        <v>2063</v>
      </c>
      <c r="C535" s="556" t="s">
        <v>2098</v>
      </c>
      <c r="D535" s="556" t="s">
        <v>7459</v>
      </c>
      <c r="E535" s="547" t="s">
        <v>545</v>
      </c>
      <c r="F535" s="552">
        <v>11</v>
      </c>
      <c r="G535" s="545">
        <v>224.44572611741114</v>
      </c>
      <c r="H535" s="545">
        <v>2468.9029872915225</v>
      </c>
      <c r="I535" s="537" t="s">
        <v>9009</v>
      </c>
      <c r="J535" s="547" t="s">
        <v>9023</v>
      </c>
      <c r="K535" s="547" t="s">
        <v>9024</v>
      </c>
      <c r="L535" s="537" t="s">
        <v>536</v>
      </c>
    </row>
    <row r="536" spans="1:12" x14ac:dyDescent="0.2">
      <c r="A536" s="547" t="s">
        <v>220</v>
      </c>
      <c r="B536" s="547" t="s">
        <v>2063</v>
      </c>
      <c r="C536" s="556" t="s">
        <v>7512</v>
      </c>
      <c r="D536" s="556" t="s">
        <v>9548</v>
      </c>
      <c r="E536" s="547" t="s">
        <v>545</v>
      </c>
      <c r="F536" s="564">
        <v>295</v>
      </c>
      <c r="G536" s="531">
        <v>44.638225602729463</v>
      </c>
      <c r="H536" s="545">
        <v>13168.276552805191</v>
      </c>
      <c r="I536" s="547" t="s">
        <v>9009</v>
      </c>
      <c r="J536" s="547" t="s">
        <v>9019</v>
      </c>
      <c r="K536" s="547" t="s">
        <v>9020</v>
      </c>
      <c r="L536" s="537" t="s">
        <v>1911</v>
      </c>
    </row>
    <row r="537" spans="1:12" x14ac:dyDescent="0.2">
      <c r="A537" s="547" t="s">
        <v>220</v>
      </c>
      <c r="B537" s="547" t="s">
        <v>7455</v>
      </c>
      <c r="C537" s="556" t="s">
        <v>2085</v>
      </c>
      <c r="D537" s="556" t="s">
        <v>7614</v>
      </c>
      <c r="E537" s="547" t="s">
        <v>545</v>
      </c>
      <c r="F537" s="552">
        <v>10</v>
      </c>
      <c r="G537" s="545">
        <v>50</v>
      </c>
      <c r="H537" s="545">
        <v>500</v>
      </c>
      <c r="I537" s="537" t="s">
        <v>9009</v>
      </c>
      <c r="J537" s="547" t="s">
        <v>9023</v>
      </c>
      <c r="K537" s="547" t="s">
        <v>9024</v>
      </c>
      <c r="L537" s="537" t="s">
        <v>536</v>
      </c>
    </row>
    <row r="538" spans="1:12" x14ac:dyDescent="0.2">
      <c r="A538" s="547" t="s">
        <v>220</v>
      </c>
      <c r="B538" s="547" t="s">
        <v>7455</v>
      </c>
      <c r="C538" s="556" t="s">
        <v>2093</v>
      </c>
      <c r="D538" s="556" t="s">
        <v>7754</v>
      </c>
      <c r="E538" s="547" t="s">
        <v>545</v>
      </c>
      <c r="F538" s="552">
        <v>7</v>
      </c>
      <c r="G538" s="545">
        <v>145.36661809965864</v>
      </c>
      <c r="H538" s="545">
        <v>1017.5663266976105</v>
      </c>
      <c r="I538" s="537" t="s">
        <v>9009</v>
      </c>
      <c r="J538" s="547" t="s">
        <v>9023</v>
      </c>
      <c r="K538" s="547" t="s">
        <v>9024</v>
      </c>
      <c r="L538" s="537" t="s">
        <v>536</v>
      </c>
    </row>
    <row r="539" spans="1:12" x14ac:dyDescent="0.2">
      <c r="A539" s="547" t="s">
        <v>220</v>
      </c>
      <c r="B539" s="547" t="s">
        <v>7455</v>
      </c>
      <c r="C539" s="547" t="s">
        <v>7622</v>
      </c>
      <c r="D539" s="547" t="s">
        <v>7623</v>
      </c>
      <c r="E539" s="547" t="s">
        <v>545</v>
      </c>
      <c r="F539" s="552">
        <v>20</v>
      </c>
      <c r="G539" s="545">
        <v>95.707268276369589</v>
      </c>
      <c r="H539" s="545">
        <v>1914.1453655273917</v>
      </c>
      <c r="I539" s="547" t="s">
        <v>9009</v>
      </c>
      <c r="J539" s="547" t="s">
        <v>9023</v>
      </c>
      <c r="K539" s="547" t="s">
        <v>9024</v>
      </c>
      <c r="L539" s="537" t="s">
        <v>536</v>
      </c>
    </row>
    <row r="540" spans="1:12" x14ac:dyDescent="0.2">
      <c r="A540" s="547" t="s">
        <v>220</v>
      </c>
      <c r="B540" s="547" t="s">
        <v>7448</v>
      </c>
      <c r="C540" s="556" t="s">
        <v>1974</v>
      </c>
      <c r="D540" s="556" t="s">
        <v>7487</v>
      </c>
      <c r="E540" s="547" t="s">
        <v>545</v>
      </c>
      <c r="F540" s="552">
        <v>64</v>
      </c>
      <c r="G540" s="545">
        <v>2</v>
      </c>
      <c r="H540" s="545">
        <v>128</v>
      </c>
      <c r="I540" s="547" t="s">
        <v>9009</v>
      </c>
      <c r="J540" s="547" t="s">
        <v>9019</v>
      </c>
      <c r="K540" s="547" t="s">
        <v>9020</v>
      </c>
      <c r="L540" s="537" t="s">
        <v>1911</v>
      </c>
    </row>
    <row r="541" spans="1:12" x14ac:dyDescent="0.2">
      <c r="A541" s="547" t="s">
        <v>220</v>
      </c>
      <c r="B541" s="547" t="s">
        <v>7448</v>
      </c>
      <c r="C541" s="565" t="s">
        <v>7657</v>
      </c>
      <c r="D541" s="565" t="s">
        <v>7457</v>
      </c>
      <c r="E541" s="566" t="s">
        <v>545</v>
      </c>
      <c r="F541" s="564">
        <v>9</v>
      </c>
      <c r="G541" s="545">
        <v>1</v>
      </c>
      <c r="H541" s="545">
        <v>9</v>
      </c>
      <c r="I541" s="566" t="s">
        <v>9009</v>
      </c>
      <c r="J541" s="566" t="s">
        <v>9019</v>
      </c>
      <c r="K541" s="566" t="s">
        <v>9020</v>
      </c>
      <c r="L541" s="537" t="s">
        <v>1911</v>
      </c>
    </row>
    <row r="542" spans="1:12" x14ac:dyDescent="0.2">
      <c r="A542" s="547" t="s">
        <v>220</v>
      </c>
      <c r="B542" s="547" t="s">
        <v>7448</v>
      </c>
      <c r="C542" s="532" t="s">
        <v>1932</v>
      </c>
      <c r="D542" s="547" t="s">
        <v>9549</v>
      </c>
      <c r="E542" s="547" t="s">
        <v>545</v>
      </c>
      <c r="F542" s="552">
        <v>177</v>
      </c>
      <c r="G542" s="545">
        <v>13</v>
      </c>
      <c r="H542" s="545">
        <v>2301</v>
      </c>
      <c r="I542" s="547" t="s">
        <v>9009</v>
      </c>
      <c r="J542" s="547" t="s">
        <v>9019</v>
      </c>
      <c r="K542" s="547" t="s">
        <v>9020</v>
      </c>
      <c r="L542" s="537" t="s">
        <v>1911</v>
      </c>
    </row>
    <row r="543" spans="1:12" x14ac:dyDescent="0.2">
      <c r="A543" s="547" t="s">
        <v>747</v>
      </c>
      <c r="B543" s="547" t="s">
        <v>588</v>
      </c>
      <c r="C543" s="547"/>
      <c r="D543" s="547" t="s">
        <v>9550</v>
      </c>
      <c r="E543" s="547" t="s">
        <v>535</v>
      </c>
      <c r="F543" s="548">
        <v>8663</v>
      </c>
      <c r="G543" s="545">
        <v>4.0761528340373578</v>
      </c>
      <c r="H543" s="545">
        <v>35311.712001265631</v>
      </c>
      <c r="I543" s="546" t="s">
        <v>9009</v>
      </c>
      <c r="J543" s="547" t="s">
        <v>9011</v>
      </c>
      <c r="K543" s="547" t="s">
        <v>8994</v>
      </c>
      <c r="L543" s="537" t="s">
        <v>541</v>
      </c>
    </row>
    <row r="544" spans="1:12" x14ac:dyDescent="0.2">
      <c r="A544" s="547" t="s">
        <v>220</v>
      </c>
      <c r="B544" s="547" t="s">
        <v>588</v>
      </c>
      <c r="C544" s="547" t="s">
        <v>825</v>
      </c>
      <c r="D544" s="547" t="s">
        <v>826</v>
      </c>
      <c r="E544" s="547" t="s">
        <v>545</v>
      </c>
      <c r="F544" s="567">
        <v>220</v>
      </c>
      <c r="G544" s="545">
        <v>12.373890012648957</v>
      </c>
      <c r="H544" s="545">
        <v>2722.2558027827704</v>
      </c>
      <c r="I544" s="547" t="s">
        <v>9009</v>
      </c>
      <c r="J544" s="547" t="s">
        <v>9011</v>
      </c>
      <c r="K544" s="547" t="s">
        <v>9068</v>
      </c>
      <c r="L544" s="537" t="s">
        <v>541</v>
      </c>
    </row>
    <row r="545" spans="1:12" x14ac:dyDescent="0.2">
      <c r="A545" s="547" t="s">
        <v>220</v>
      </c>
      <c r="B545" s="547" t="s">
        <v>588</v>
      </c>
      <c r="C545" s="547" t="s">
        <v>827</v>
      </c>
      <c r="D545" s="547" t="s">
        <v>828</v>
      </c>
      <c r="E545" s="547" t="s">
        <v>545</v>
      </c>
      <c r="F545" s="567">
        <v>325</v>
      </c>
      <c r="G545" s="545">
        <v>7.9457692462815732</v>
      </c>
      <c r="H545" s="545">
        <v>2582.3750050415115</v>
      </c>
      <c r="I545" s="547" t="s">
        <v>9009</v>
      </c>
      <c r="J545" s="547" t="s">
        <v>9011</v>
      </c>
      <c r="K545" s="547" t="s">
        <v>9068</v>
      </c>
      <c r="L545" s="537" t="s">
        <v>541</v>
      </c>
    </row>
    <row r="546" spans="1:12" x14ac:dyDescent="0.2">
      <c r="A546" s="547" t="s">
        <v>220</v>
      </c>
      <c r="B546" s="547" t="s">
        <v>588</v>
      </c>
      <c r="C546" s="547" t="s">
        <v>829</v>
      </c>
      <c r="D546" s="547" t="s">
        <v>830</v>
      </c>
      <c r="E546" s="547" t="s">
        <v>545</v>
      </c>
      <c r="F546" s="567">
        <v>4051</v>
      </c>
      <c r="G546" s="545">
        <v>7.9462486792276881</v>
      </c>
      <c r="H546" s="545">
        <v>32190.253399551366</v>
      </c>
      <c r="I546" s="547" t="s">
        <v>9009</v>
      </c>
      <c r="J546" s="547" t="s">
        <v>9011</v>
      </c>
      <c r="K546" s="547" t="s">
        <v>9068</v>
      </c>
      <c r="L546" s="537" t="s">
        <v>541</v>
      </c>
    </row>
    <row r="547" spans="1:12" x14ac:dyDescent="0.2">
      <c r="A547" s="547" t="s">
        <v>220</v>
      </c>
      <c r="B547" s="547" t="s">
        <v>588</v>
      </c>
      <c r="C547" s="547" t="s">
        <v>833</v>
      </c>
      <c r="D547" s="547" t="s">
        <v>834</v>
      </c>
      <c r="E547" s="547" t="s">
        <v>545</v>
      </c>
      <c r="F547" s="567">
        <v>13037</v>
      </c>
      <c r="G547" s="545">
        <v>5.1668278697492651</v>
      </c>
      <c r="H547" s="545">
        <v>67359.934937921164</v>
      </c>
      <c r="I547" s="547" t="s">
        <v>9009</v>
      </c>
      <c r="J547" s="547" t="s">
        <v>9011</v>
      </c>
      <c r="K547" s="547" t="s">
        <v>9068</v>
      </c>
      <c r="L547" s="537" t="s">
        <v>541</v>
      </c>
    </row>
    <row r="548" spans="1:12" x14ac:dyDescent="0.2">
      <c r="A548" s="547" t="s">
        <v>220</v>
      </c>
      <c r="B548" s="547" t="s">
        <v>588</v>
      </c>
      <c r="C548" s="547" t="s">
        <v>835</v>
      </c>
      <c r="D548" s="547" t="s">
        <v>836</v>
      </c>
      <c r="E548" s="547" t="s">
        <v>545</v>
      </c>
      <c r="F548" s="567">
        <v>1120</v>
      </c>
      <c r="G548" s="545">
        <v>4.2500357223489855</v>
      </c>
      <c r="H548" s="545">
        <v>4760.040009030864</v>
      </c>
      <c r="I548" s="547" t="s">
        <v>9009</v>
      </c>
      <c r="J548" s="547" t="s">
        <v>9011</v>
      </c>
      <c r="K548" s="547" t="s">
        <v>9068</v>
      </c>
      <c r="L548" s="537" t="s">
        <v>541</v>
      </c>
    </row>
    <row r="549" spans="1:12" x14ac:dyDescent="0.2">
      <c r="A549" s="547" t="s">
        <v>220</v>
      </c>
      <c r="B549" s="547" t="s">
        <v>588</v>
      </c>
      <c r="C549" s="547" t="s">
        <v>839</v>
      </c>
      <c r="D549" s="547" t="s">
        <v>840</v>
      </c>
      <c r="E549" s="547" t="s">
        <v>545</v>
      </c>
      <c r="F549" s="567">
        <v>5083</v>
      </c>
      <c r="G549" s="545">
        <v>5.1154657991648422</v>
      </c>
      <c r="H549" s="545">
        <v>26001.912657154891</v>
      </c>
      <c r="I549" s="547" t="s">
        <v>9009</v>
      </c>
      <c r="J549" s="547" t="s">
        <v>9011</v>
      </c>
      <c r="K549" s="547" t="s">
        <v>9068</v>
      </c>
      <c r="L549" s="537" t="s">
        <v>541</v>
      </c>
    </row>
    <row r="550" spans="1:12" x14ac:dyDescent="0.2">
      <c r="A550" s="547" t="s">
        <v>220</v>
      </c>
      <c r="B550" s="547" t="s">
        <v>588</v>
      </c>
      <c r="C550" s="547" t="s">
        <v>841</v>
      </c>
      <c r="D550" s="547" t="s">
        <v>842</v>
      </c>
      <c r="E550" s="547" t="s">
        <v>545</v>
      </c>
      <c r="F550" s="567">
        <v>2925</v>
      </c>
      <c r="G550" s="545">
        <v>4.1249721771996413</v>
      </c>
      <c r="H550" s="545">
        <v>12065.543618308951</v>
      </c>
      <c r="I550" s="547" t="s">
        <v>9009</v>
      </c>
      <c r="J550" s="547" t="s">
        <v>9011</v>
      </c>
      <c r="K550" s="547" t="s">
        <v>9068</v>
      </c>
      <c r="L550" s="537" t="s">
        <v>541</v>
      </c>
    </row>
    <row r="551" spans="1:12" x14ac:dyDescent="0.2">
      <c r="A551" s="547" t="s">
        <v>220</v>
      </c>
      <c r="B551" s="547" t="s">
        <v>588</v>
      </c>
      <c r="C551" s="547" t="s">
        <v>843</v>
      </c>
      <c r="D551" s="547" t="s">
        <v>844</v>
      </c>
      <c r="E551" s="547" t="s">
        <v>545</v>
      </c>
      <c r="F551" s="567">
        <v>4383</v>
      </c>
      <c r="G551" s="545">
        <v>5.9648175593552235</v>
      </c>
      <c r="H551" s="545">
        <v>26143.795362653946</v>
      </c>
      <c r="I551" s="547" t="s">
        <v>9009</v>
      </c>
      <c r="J551" s="547" t="s">
        <v>9011</v>
      </c>
      <c r="K551" s="547" t="s">
        <v>9068</v>
      </c>
      <c r="L551" s="537" t="s">
        <v>541</v>
      </c>
    </row>
    <row r="552" spans="1:12" x14ac:dyDescent="0.2">
      <c r="A552" s="547" t="s">
        <v>220</v>
      </c>
      <c r="B552" s="547" t="s">
        <v>588</v>
      </c>
      <c r="C552" s="547" t="s">
        <v>845</v>
      </c>
      <c r="D552" s="547" t="s">
        <v>846</v>
      </c>
      <c r="E552" s="547" t="s">
        <v>545</v>
      </c>
      <c r="F552" s="567">
        <v>4003</v>
      </c>
      <c r="G552" s="545">
        <v>5.3068947294929183</v>
      </c>
      <c r="H552" s="545">
        <v>21243.499602160151</v>
      </c>
      <c r="I552" s="547" t="s">
        <v>9009</v>
      </c>
      <c r="J552" s="547" t="s">
        <v>9011</v>
      </c>
      <c r="K552" s="547" t="s">
        <v>9068</v>
      </c>
      <c r="L552" s="537" t="s">
        <v>541</v>
      </c>
    </row>
    <row r="553" spans="1:12" x14ac:dyDescent="0.2">
      <c r="A553" s="547" t="s">
        <v>220</v>
      </c>
      <c r="B553" s="547" t="s">
        <v>588</v>
      </c>
      <c r="C553" s="547" t="s">
        <v>847</v>
      </c>
      <c r="D553" s="547" t="s">
        <v>848</v>
      </c>
      <c r="E553" s="547" t="s">
        <v>7771</v>
      </c>
      <c r="F553" s="567">
        <v>2807</v>
      </c>
      <c r="G553" s="545">
        <v>5.7323337064227609</v>
      </c>
      <c r="H553" s="545">
        <v>16090.66071392869</v>
      </c>
      <c r="I553" s="547" t="s">
        <v>9009</v>
      </c>
      <c r="J553" s="547" t="s">
        <v>9011</v>
      </c>
      <c r="K553" s="547" t="s">
        <v>9068</v>
      </c>
      <c r="L553" s="537" t="s">
        <v>541</v>
      </c>
    </row>
    <row r="554" spans="1:12" x14ac:dyDescent="0.2">
      <c r="A554" s="547" t="s">
        <v>220</v>
      </c>
      <c r="B554" s="547" t="s">
        <v>588</v>
      </c>
      <c r="C554" s="547" t="s">
        <v>849</v>
      </c>
      <c r="D554" s="547" t="s">
        <v>850</v>
      </c>
      <c r="E554" s="547" t="s">
        <v>545</v>
      </c>
      <c r="F554" s="567">
        <v>288</v>
      </c>
      <c r="G554" s="545">
        <v>4.3059139447251029</v>
      </c>
      <c r="H554" s="545">
        <v>1240.1032160808297</v>
      </c>
      <c r="I554" s="547" t="s">
        <v>9009</v>
      </c>
      <c r="J554" s="547" t="s">
        <v>9011</v>
      </c>
      <c r="K554" s="547" t="s">
        <v>9068</v>
      </c>
      <c r="L554" s="537" t="s">
        <v>541</v>
      </c>
    </row>
    <row r="555" spans="1:12" x14ac:dyDescent="0.2">
      <c r="A555" s="547" t="s">
        <v>220</v>
      </c>
      <c r="B555" s="547" t="s">
        <v>588</v>
      </c>
      <c r="C555" s="547" t="s">
        <v>851</v>
      </c>
      <c r="D555" s="547" t="s">
        <v>852</v>
      </c>
      <c r="E555" s="547" t="s">
        <v>545</v>
      </c>
      <c r="F555" s="567">
        <v>11931</v>
      </c>
      <c r="G555" s="545">
        <v>5.4451132845537913</v>
      </c>
      <c r="H555" s="545">
        <v>64965.646598011284</v>
      </c>
      <c r="I555" s="547" t="s">
        <v>9009</v>
      </c>
      <c r="J555" s="547" t="s">
        <v>9011</v>
      </c>
      <c r="K555" s="547" t="s">
        <v>9068</v>
      </c>
      <c r="L555" s="537" t="s">
        <v>541</v>
      </c>
    </row>
    <row r="556" spans="1:12" x14ac:dyDescent="0.2">
      <c r="A556" s="547" t="s">
        <v>220</v>
      </c>
      <c r="B556" s="547" t="s">
        <v>588</v>
      </c>
      <c r="C556" s="547" t="s">
        <v>7533</v>
      </c>
      <c r="D556" s="547" t="s">
        <v>7534</v>
      </c>
      <c r="E556" s="547" t="s">
        <v>545</v>
      </c>
      <c r="F556" s="567">
        <v>4266</v>
      </c>
      <c r="G556" s="545">
        <v>4.9356752418747734</v>
      </c>
      <c r="H556" s="545">
        <v>21055.590581837783</v>
      </c>
      <c r="I556" s="547" t="s">
        <v>9009</v>
      </c>
      <c r="J556" s="547" t="s">
        <v>9011</v>
      </c>
      <c r="K556" s="547" t="s">
        <v>9068</v>
      </c>
      <c r="L556" s="537" t="s">
        <v>541</v>
      </c>
    </row>
    <row r="557" spans="1:12" x14ac:dyDescent="0.2">
      <c r="A557" s="547" t="s">
        <v>220</v>
      </c>
      <c r="B557" s="547" t="s">
        <v>588</v>
      </c>
      <c r="C557" s="547" t="s">
        <v>853</v>
      </c>
      <c r="D557" s="547" t="s">
        <v>854</v>
      </c>
      <c r="E557" s="547" t="s">
        <v>545</v>
      </c>
      <c r="F557" s="567">
        <v>10282</v>
      </c>
      <c r="G557" s="545">
        <v>3.7180408974358974</v>
      </c>
      <c r="H557" s="545">
        <v>38228.8965074359</v>
      </c>
      <c r="I557" s="547" t="s">
        <v>9009</v>
      </c>
      <c r="J557" s="547" t="s">
        <v>9011</v>
      </c>
      <c r="K557" s="547" t="s">
        <v>9068</v>
      </c>
      <c r="L557" s="537" t="s">
        <v>541</v>
      </c>
    </row>
    <row r="558" spans="1:12" x14ac:dyDescent="0.2">
      <c r="A558" s="547" t="s">
        <v>220</v>
      </c>
      <c r="B558" s="547" t="s">
        <v>588</v>
      </c>
      <c r="C558" s="547" t="s">
        <v>855</v>
      </c>
      <c r="D558" s="547" t="s">
        <v>856</v>
      </c>
      <c r="E558" s="547" t="s">
        <v>545</v>
      </c>
      <c r="F558" s="567">
        <v>2019</v>
      </c>
      <c r="G558" s="545">
        <v>3.5545831049279544</v>
      </c>
      <c r="H558" s="545">
        <v>7176.7032888495396</v>
      </c>
      <c r="I558" s="547" t="s">
        <v>9009</v>
      </c>
      <c r="J558" s="547" t="s">
        <v>9011</v>
      </c>
      <c r="K558" s="547" t="s">
        <v>9068</v>
      </c>
      <c r="L558" s="537" t="s">
        <v>541</v>
      </c>
    </row>
    <row r="559" spans="1:12" x14ac:dyDescent="0.2">
      <c r="A559" s="547" t="s">
        <v>220</v>
      </c>
      <c r="B559" s="547" t="s">
        <v>588</v>
      </c>
      <c r="C559" s="547" t="s">
        <v>859</v>
      </c>
      <c r="D559" s="547" t="s">
        <v>860</v>
      </c>
      <c r="E559" s="547" t="s">
        <v>545</v>
      </c>
      <c r="F559" s="567">
        <v>5903</v>
      </c>
      <c r="G559" s="545">
        <v>5.8228035664593607</v>
      </c>
      <c r="H559" s="545">
        <v>34372.009452809609</v>
      </c>
      <c r="I559" s="547" t="s">
        <v>9009</v>
      </c>
      <c r="J559" s="547" t="s">
        <v>9011</v>
      </c>
      <c r="K559" s="547" t="s">
        <v>9068</v>
      </c>
      <c r="L559" s="537" t="s">
        <v>541</v>
      </c>
    </row>
    <row r="560" spans="1:12" x14ac:dyDescent="0.2">
      <c r="A560" s="547" t="s">
        <v>220</v>
      </c>
      <c r="B560" s="547" t="s">
        <v>588</v>
      </c>
      <c r="C560" s="547" t="s">
        <v>861</v>
      </c>
      <c r="D560" s="547" t="s">
        <v>862</v>
      </c>
      <c r="E560" s="547" t="s">
        <v>545</v>
      </c>
      <c r="F560" s="567">
        <v>842</v>
      </c>
      <c r="G560" s="545">
        <v>5.9680923504620749</v>
      </c>
      <c r="H560" s="545">
        <v>5025.1337590890671</v>
      </c>
      <c r="I560" s="547" t="s">
        <v>9009</v>
      </c>
      <c r="J560" s="547" t="s">
        <v>9011</v>
      </c>
      <c r="K560" s="547" t="s">
        <v>9068</v>
      </c>
      <c r="L560" s="537" t="s">
        <v>541</v>
      </c>
    </row>
    <row r="561" spans="1:12" x14ac:dyDescent="0.2">
      <c r="A561" s="547" t="s">
        <v>220</v>
      </c>
      <c r="B561" s="547" t="s">
        <v>588</v>
      </c>
      <c r="C561" s="547" t="s">
        <v>863</v>
      </c>
      <c r="D561" s="547" t="s">
        <v>864</v>
      </c>
      <c r="E561" s="547" t="s">
        <v>545</v>
      </c>
      <c r="F561" s="567">
        <v>66</v>
      </c>
      <c r="G561" s="545">
        <v>3.4771593863103991</v>
      </c>
      <c r="H561" s="545">
        <v>229.49251949648635</v>
      </c>
      <c r="I561" s="547" t="s">
        <v>9009</v>
      </c>
      <c r="J561" s="547" t="s">
        <v>9011</v>
      </c>
      <c r="K561" s="547" t="s">
        <v>9068</v>
      </c>
      <c r="L561" s="537" t="s">
        <v>541</v>
      </c>
    </row>
    <row r="562" spans="1:12" x14ac:dyDescent="0.2">
      <c r="A562" s="547" t="s">
        <v>220</v>
      </c>
      <c r="B562" s="547" t="s">
        <v>588</v>
      </c>
      <c r="C562" s="547" t="s">
        <v>865</v>
      </c>
      <c r="D562" s="547" t="s">
        <v>866</v>
      </c>
      <c r="E562" s="547" t="s">
        <v>9551</v>
      </c>
      <c r="F562" s="567">
        <v>558</v>
      </c>
      <c r="G562" s="545">
        <v>6.3368180094906368</v>
      </c>
      <c r="H562" s="545">
        <v>3535.9444492957755</v>
      </c>
      <c r="I562" s="547" t="s">
        <v>9009</v>
      </c>
      <c r="J562" s="547" t="s">
        <v>9011</v>
      </c>
      <c r="K562" s="547" t="s">
        <v>9068</v>
      </c>
      <c r="L562" s="537" t="s">
        <v>541</v>
      </c>
    </row>
    <row r="563" spans="1:12" x14ac:dyDescent="0.2">
      <c r="A563" s="547" t="s">
        <v>220</v>
      </c>
      <c r="B563" s="547" t="s">
        <v>588</v>
      </c>
      <c r="C563" s="547" t="s">
        <v>867</v>
      </c>
      <c r="D563" s="547" t="s">
        <v>868</v>
      </c>
      <c r="E563" s="547" t="s">
        <v>545</v>
      </c>
      <c r="F563" s="567">
        <v>122</v>
      </c>
      <c r="G563" s="545">
        <v>4.346584430574163</v>
      </c>
      <c r="H563" s="545">
        <v>530.28330053004788</v>
      </c>
      <c r="I563" s="547" t="s">
        <v>9009</v>
      </c>
      <c r="J563" s="547" t="s">
        <v>9011</v>
      </c>
      <c r="K563" s="547" t="s">
        <v>9068</v>
      </c>
      <c r="L563" s="537" t="s">
        <v>541</v>
      </c>
    </row>
    <row r="564" spans="1:12" x14ac:dyDescent="0.2">
      <c r="A564" s="547" t="s">
        <v>220</v>
      </c>
      <c r="B564" s="547" t="s">
        <v>588</v>
      </c>
      <c r="C564" s="547" t="s">
        <v>871</v>
      </c>
      <c r="D564" s="547" t="s">
        <v>872</v>
      </c>
      <c r="E564" s="547" t="s">
        <v>545</v>
      </c>
      <c r="F564" s="567">
        <v>5332</v>
      </c>
      <c r="G564" s="545">
        <v>6.0525073216653693</v>
      </c>
      <c r="H564" s="545">
        <v>32271.969039119751</v>
      </c>
      <c r="I564" s="547" t="s">
        <v>9009</v>
      </c>
      <c r="J564" s="547" t="s">
        <v>9011</v>
      </c>
      <c r="K564" s="547" t="s">
        <v>9068</v>
      </c>
      <c r="L564" s="537" t="s">
        <v>541</v>
      </c>
    </row>
    <row r="565" spans="1:12" x14ac:dyDescent="0.2">
      <c r="A565" s="547" t="s">
        <v>220</v>
      </c>
      <c r="B565" s="547" t="s">
        <v>588</v>
      </c>
      <c r="C565" s="547" t="s">
        <v>873</v>
      </c>
      <c r="D565" s="547" t="s">
        <v>874</v>
      </c>
      <c r="E565" s="547" t="s">
        <v>9552</v>
      </c>
      <c r="F565" s="567">
        <v>33</v>
      </c>
      <c r="G565" s="545">
        <v>6.0525073216653693</v>
      </c>
      <c r="H565" s="545">
        <v>199.73274161495718</v>
      </c>
      <c r="I565" s="547" t="s">
        <v>9009</v>
      </c>
      <c r="J565" s="547" t="s">
        <v>9011</v>
      </c>
      <c r="K565" s="547" t="s">
        <v>9068</v>
      </c>
      <c r="L565" s="537" t="s">
        <v>541</v>
      </c>
    </row>
    <row r="566" spans="1:12" x14ac:dyDescent="0.2">
      <c r="A566" s="547" t="s">
        <v>220</v>
      </c>
      <c r="B566" s="547" t="s">
        <v>588</v>
      </c>
      <c r="C566" s="547" t="s">
        <v>9504</v>
      </c>
      <c r="D566" s="547" t="s">
        <v>9505</v>
      </c>
      <c r="E566" s="547" t="s">
        <v>545</v>
      </c>
      <c r="F566" s="567">
        <v>720</v>
      </c>
      <c r="G566" s="545">
        <v>9.7532263775230952</v>
      </c>
      <c r="H566" s="545">
        <v>7022.3229918166289</v>
      </c>
      <c r="I566" s="547" t="s">
        <v>9009</v>
      </c>
      <c r="J566" s="547" t="s">
        <v>9011</v>
      </c>
      <c r="K566" s="547" t="s">
        <v>9068</v>
      </c>
      <c r="L566" s="537" t="s">
        <v>541</v>
      </c>
    </row>
    <row r="567" spans="1:12" x14ac:dyDescent="0.2">
      <c r="A567" s="547" t="s">
        <v>220</v>
      </c>
      <c r="B567" s="547" t="s">
        <v>588</v>
      </c>
      <c r="C567" s="547" t="s">
        <v>817</v>
      </c>
      <c r="D567" s="547" t="s">
        <v>875</v>
      </c>
      <c r="E567" s="547" t="s">
        <v>545</v>
      </c>
      <c r="F567" s="567">
        <v>5712</v>
      </c>
      <c r="G567" s="545">
        <v>7.8065805469060585</v>
      </c>
      <c r="H567" s="545">
        <v>44591.188083927409</v>
      </c>
      <c r="I567" s="547" t="s">
        <v>9009</v>
      </c>
      <c r="J567" s="547" t="s">
        <v>9011</v>
      </c>
      <c r="K567" s="547" t="s">
        <v>9068</v>
      </c>
      <c r="L567" s="537" t="s">
        <v>541</v>
      </c>
    </row>
    <row r="568" spans="1:12" x14ac:dyDescent="0.2">
      <c r="A568" s="547" t="s">
        <v>220</v>
      </c>
      <c r="B568" s="547" t="s">
        <v>588</v>
      </c>
      <c r="C568" s="547" t="s">
        <v>876</v>
      </c>
      <c r="D568" s="547" t="s">
        <v>877</v>
      </c>
      <c r="E568" s="547" t="s">
        <v>545</v>
      </c>
      <c r="F568" s="567">
        <v>3808</v>
      </c>
      <c r="G568" s="545">
        <v>7.8736921901764845</v>
      </c>
      <c r="H568" s="545">
        <v>29983.019860192053</v>
      </c>
      <c r="I568" s="547" t="s">
        <v>9009</v>
      </c>
      <c r="J568" s="547" t="s">
        <v>9011</v>
      </c>
      <c r="K568" s="547" t="s">
        <v>9068</v>
      </c>
      <c r="L568" s="537" t="s">
        <v>541</v>
      </c>
    </row>
    <row r="569" spans="1:12" x14ac:dyDescent="0.2">
      <c r="A569" s="547" t="s">
        <v>220</v>
      </c>
      <c r="B569" s="547" t="s">
        <v>588</v>
      </c>
      <c r="C569" s="547" t="s">
        <v>878</v>
      </c>
      <c r="D569" s="547" t="s">
        <v>879</v>
      </c>
      <c r="E569" s="547" t="s">
        <v>545</v>
      </c>
      <c r="F569" s="567">
        <v>1320</v>
      </c>
      <c r="G569" s="545">
        <v>9.9993470477053403</v>
      </c>
      <c r="H569" s="545">
        <v>13199.13810297105</v>
      </c>
      <c r="I569" s="547" t="s">
        <v>9009</v>
      </c>
      <c r="J569" s="547" t="s">
        <v>9011</v>
      </c>
      <c r="K569" s="547" t="s">
        <v>9068</v>
      </c>
      <c r="L569" s="537" t="s">
        <v>541</v>
      </c>
    </row>
    <row r="570" spans="1:12" x14ac:dyDescent="0.2">
      <c r="A570" s="547" t="s">
        <v>220</v>
      </c>
      <c r="B570" s="547" t="s">
        <v>588</v>
      </c>
      <c r="C570" s="547" t="s">
        <v>882</v>
      </c>
      <c r="D570" s="547" t="s">
        <v>883</v>
      </c>
      <c r="E570" s="547" t="s">
        <v>545</v>
      </c>
      <c r="F570" s="567">
        <v>281</v>
      </c>
      <c r="G570" s="545">
        <v>11.834600059067652</v>
      </c>
      <c r="H570" s="545">
        <v>3325.5226165980102</v>
      </c>
      <c r="I570" s="547" t="s">
        <v>9009</v>
      </c>
      <c r="J570" s="547" t="s">
        <v>9011</v>
      </c>
      <c r="K570" s="547" t="s">
        <v>9068</v>
      </c>
      <c r="L570" s="537" t="s">
        <v>541</v>
      </c>
    </row>
    <row r="571" spans="1:12" x14ac:dyDescent="0.2">
      <c r="A571" s="547" t="s">
        <v>220</v>
      </c>
      <c r="B571" s="547" t="s">
        <v>588</v>
      </c>
      <c r="C571" s="547" t="s">
        <v>7535</v>
      </c>
      <c r="D571" s="547" t="s">
        <v>889</v>
      </c>
      <c r="E571" s="547" t="s">
        <v>545</v>
      </c>
      <c r="F571" s="567">
        <v>981</v>
      </c>
      <c r="G571" s="545">
        <v>11.353998807833781</v>
      </c>
      <c r="H571" s="545">
        <v>11138.272830484939</v>
      </c>
      <c r="I571" s="547" t="s">
        <v>9009</v>
      </c>
      <c r="J571" s="547" t="s">
        <v>9011</v>
      </c>
      <c r="K571" s="547" t="s">
        <v>9068</v>
      </c>
      <c r="L571" s="537" t="s">
        <v>541</v>
      </c>
    </row>
    <row r="572" spans="1:12" x14ac:dyDescent="0.2">
      <c r="A572" s="547" t="s">
        <v>220</v>
      </c>
      <c r="B572" s="547" t="s">
        <v>588</v>
      </c>
      <c r="C572" s="547" t="s">
        <v>894</v>
      </c>
      <c r="D572" s="547" t="s">
        <v>895</v>
      </c>
      <c r="E572" s="547" t="s">
        <v>545</v>
      </c>
      <c r="F572" s="567">
        <v>729</v>
      </c>
      <c r="G572" s="545">
        <v>23.699721802336637</v>
      </c>
      <c r="H572" s="545">
        <v>17277.09719390341</v>
      </c>
      <c r="I572" s="547" t="s">
        <v>9009</v>
      </c>
      <c r="J572" s="547" t="s">
        <v>9011</v>
      </c>
      <c r="K572" s="547" t="s">
        <v>9068</v>
      </c>
      <c r="L572" s="537" t="s">
        <v>541</v>
      </c>
    </row>
    <row r="573" spans="1:12" x14ac:dyDescent="0.2">
      <c r="A573" s="547" t="s">
        <v>220</v>
      </c>
      <c r="B573" s="547" t="s">
        <v>588</v>
      </c>
      <c r="C573" s="547" t="s">
        <v>896</v>
      </c>
      <c r="D573" s="547" t="s">
        <v>897</v>
      </c>
      <c r="E573" s="547" t="s">
        <v>545</v>
      </c>
      <c r="F573" s="567">
        <v>712</v>
      </c>
      <c r="G573" s="545">
        <v>18.647961786293347</v>
      </c>
      <c r="H573" s="545">
        <v>13277.348791840863</v>
      </c>
      <c r="I573" s="547" t="s">
        <v>9009</v>
      </c>
      <c r="J573" s="547" t="s">
        <v>9011</v>
      </c>
      <c r="K573" s="547" t="s">
        <v>9068</v>
      </c>
      <c r="L573" s="537" t="s">
        <v>541</v>
      </c>
    </row>
    <row r="574" spans="1:12" x14ac:dyDescent="0.2">
      <c r="A574" s="547" t="s">
        <v>220</v>
      </c>
      <c r="B574" s="547" t="s">
        <v>588</v>
      </c>
      <c r="C574" s="547" t="s">
        <v>898</v>
      </c>
      <c r="D574" s="547" t="s">
        <v>899</v>
      </c>
      <c r="E574" s="547" t="s">
        <v>545</v>
      </c>
      <c r="F574" s="567">
        <v>60</v>
      </c>
      <c r="G574" s="545">
        <v>14.21146013360571</v>
      </c>
      <c r="H574" s="545">
        <v>852.68760801634266</v>
      </c>
      <c r="I574" s="547" t="s">
        <v>9009</v>
      </c>
      <c r="J574" s="547" t="s">
        <v>9011</v>
      </c>
      <c r="K574" s="547" t="s">
        <v>9068</v>
      </c>
      <c r="L574" s="537" t="s">
        <v>541</v>
      </c>
    </row>
    <row r="575" spans="1:12" x14ac:dyDescent="0.2">
      <c r="A575" s="547" t="s">
        <v>220</v>
      </c>
      <c r="B575" s="547" t="s">
        <v>588</v>
      </c>
      <c r="C575" s="547" t="s">
        <v>900</v>
      </c>
      <c r="D575" s="547" t="s">
        <v>901</v>
      </c>
      <c r="E575" s="547" t="s">
        <v>545</v>
      </c>
      <c r="F575" s="567">
        <v>100</v>
      </c>
      <c r="G575" s="545">
        <v>12.246265453746195</v>
      </c>
      <c r="H575" s="545">
        <v>1224.6265453746196</v>
      </c>
      <c r="I575" s="547" t="s">
        <v>9009</v>
      </c>
      <c r="J575" s="547" t="s">
        <v>9011</v>
      </c>
      <c r="K575" s="547" t="s">
        <v>9068</v>
      </c>
      <c r="L575" s="537" t="s">
        <v>541</v>
      </c>
    </row>
    <row r="576" spans="1:12" x14ac:dyDescent="0.2">
      <c r="A576" s="547" t="s">
        <v>220</v>
      </c>
      <c r="B576" s="547" t="s">
        <v>588</v>
      </c>
      <c r="C576" s="547" t="s">
        <v>902</v>
      </c>
      <c r="D576" s="547" t="s">
        <v>903</v>
      </c>
      <c r="E576" s="547" t="s">
        <v>545</v>
      </c>
      <c r="F576" s="567">
        <v>365</v>
      </c>
      <c r="G576" s="545">
        <v>8.2255219304087159</v>
      </c>
      <c r="H576" s="545">
        <v>3002.3155045991812</v>
      </c>
      <c r="I576" s="547" t="s">
        <v>9009</v>
      </c>
      <c r="J576" s="547" t="s">
        <v>9011</v>
      </c>
      <c r="K576" s="547" t="s">
        <v>9068</v>
      </c>
      <c r="L576" s="537" t="s">
        <v>541</v>
      </c>
    </row>
    <row r="577" spans="1:12" x14ac:dyDescent="0.2">
      <c r="A577" s="547" t="s">
        <v>220</v>
      </c>
      <c r="B577" s="547" t="s">
        <v>588</v>
      </c>
      <c r="C577" s="547" t="s">
        <v>9506</v>
      </c>
      <c r="D577" s="547" t="s">
        <v>9507</v>
      </c>
      <c r="E577" s="547" t="s">
        <v>545</v>
      </c>
      <c r="F577" s="567">
        <v>320</v>
      </c>
      <c r="G577" s="545">
        <v>6.766</v>
      </c>
      <c r="H577" s="545">
        <v>2165.12</v>
      </c>
      <c r="I577" s="547" t="s">
        <v>9009</v>
      </c>
      <c r="J577" s="547" t="s">
        <v>9011</v>
      </c>
      <c r="K577" s="547" t="s">
        <v>9068</v>
      </c>
      <c r="L577" s="537" t="s">
        <v>541</v>
      </c>
    </row>
    <row r="578" spans="1:12" x14ac:dyDescent="0.2">
      <c r="A578" s="547" t="s">
        <v>220</v>
      </c>
      <c r="B578" s="547" t="s">
        <v>588</v>
      </c>
      <c r="C578" s="547" t="s">
        <v>813</v>
      </c>
      <c r="D578" s="547" t="s">
        <v>904</v>
      </c>
      <c r="E578" s="547" t="s">
        <v>545</v>
      </c>
      <c r="F578" s="567">
        <v>3839</v>
      </c>
      <c r="G578" s="545">
        <v>8.3328387556776438</v>
      </c>
      <c r="H578" s="545">
        <v>31989.767983046473</v>
      </c>
      <c r="I578" s="547" t="s">
        <v>9009</v>
      </c>
      <c r="J578" s="547" t="s">
        <v>9011</v>
      </c>
      <c r="K578" s="547" t="s">
        <v>9068</v>
      </c>
      <c r="L578" s="537" t="s">
        <v>541</v>
      </c>
    </row>
    <row r="579" spans="1:12" x14ac:dyDescent="0.2">
      <c r="A579" s="547" t="s">
        <v>220</v>
      </c>
      <c r="B579" s="547" t="s">
        <v>588</v>
      </c>
      <c r="C579" s="547" t="s">
        <v>905</v>
      </c>
      <c r="D579" s="547" t="s">
        <v>906</v>
      </c>
      <c r="E579" s="547" t="s">
        <v>545</v>
      </c>
      <c r="F579" s="567">
        <v>384</v>
      </c>
      <c r="G579" s="545">
        <v>6.8624613913190524</v>
      </c>
      <c r="H579" s="545">
        <v>2635.1851742665162</v>
      </c>
      <c r="I579" s="547" t="s">
        <v>9009</v>
      </c>
      <c r="J579" s="547" t="s">
        <v>9011</v>
      </c>
      <c r="K579" s="547" t="s">
        <v>9068</v>
      </c>
      <c r="L579" s="537" t="s">
        <v>541</v>
      </c>
    </row>
    <row r="580" spans="1:12" x14ac:dyDescent="0.2">
      <c r="A580" s="547" t="s">
        <v>220</v>
      </c>
      <c r="B580" s="547" t="s">
        <v>588</v>
      </c>
      <c r="C580" s="547" t="s">
        <v>907</v>
      </c>
      <c r="D580" s="547" t="s">
        <v>908</v>
      </c>
      <c r="E580" s="547" t="s">
        <v>545</v>
      </c>
      <c r="F580" s="567">
        <v>104</v>
      </c>
      <c r="G580" s="545">
        <v>36.09955101660929</v>
      </c>
      <c r="H580" s="545">
        <v>3754.3533057273662</v>
      </c>
      <c r="I580" s="547" t="s">
        <v>9009</v>
      </c>
      <c r="J580" s="547" t="s">
        <v>9011</v>
      </c>
      <c r="K580" s="547" t="s">
        <v>9068</v>
      </c>
      <c r="L580" s="537" t="s">
        <v>541</v>
      </c>
    </row>
    <row r="581" spans="1:12" x14ac:dyDescent="0.2">
      <c r="A581" s="547" t="s">
        <v>220</v>
      </c>
      <c r="B581" s="547" t="s">
        <v>588</v>
      </c>
      <c r="C581" s="547" t="s">
        <v>909</v>
      </c>
      <c r="D581" s="547" t="s">
        <v>910</v>
      </c>
      <c r="E581" s="547" t="s">
        <v>545</v>
      </c>
      <c r="F581" s="567">
        <v>1099</v>
      </c>
      <c r="G581" s="545">
        <v>5.3465483171323109</v>
      </c>
      <c r="H581" s="545">
        <v>5875.8566005284101</v>
      </c>
      <c r="I581" s="547" t="s">
        <v>9009</v>
      </c>
      <c r="J581" s="547" t="s">
        <v>9011</v>
      </c>
      <c r="K581" s="547" t="s">
        <v>9068</v>
      </c>
      <c r="L581" s="537" t="s">
        <v>541</v>
      </c>
    </row>
    <row r="582" spans="1:12" x14ac:dyDescent="0.2">
      <c r="A582" s="547" t="s">
        <v>220</v>
      </c>
      <c r="B582" s="547" t="s">
        <v>588</v>
      </c>
      <c r="C582" s="547" t="s">
        <v>911</v>
      </c>
      <c r="D582" s="547" t="s">
        <v>912</v>
      </c>
      <c r="E582" s="547" t="s">
        <v>545</v>
      </c>
      <c r="F582" s="567">
        <v>2551</v>
      </c>
      <c r="G582" s="545">
        <v>5.6279861703687351</v>
      </c>
      <c r="H582" s="545">
        <v>14356.992720610644</v>
      </c>
      <c r="I582" s="547" t="s">
        <v>9009</v>
      </c>
      <c r="J582" s="547" t="s">
        <v>9011</v>
      </c>
      <c r="K582" s="547" t="s">
        <v>9068</v>
      </c>
      <c r="L582" s="537" t="s">
        <v>541</v>
      </c>
    </row>
    <row r="583" spans="1:12" x14ac:dyDescent="0.2">
      <c r="A583" s="547" t="s">
        <v>220</v>
      </c>
      <c r="B583" s="547" t="s">
        <v>588</v>
      </c>
      <c r="C583" s="547" t="s">
        <v>913</v>
      </c>
      <c r="D583" s="547" t="s">
        <v>914</v>
      </c>
      <c r="E583" s="547" t="s">
        <v>545</v>
      </c>
      <c r="F583" s="567">
        <v>2890</v>
      </c>
      <c r="G583" s="545">
        <v>5.854190761007608</v>
      </c>
      <c r="H583" s="545">
        <v>16918.611299311986</v>
      </c>
      <c r="I583" s="547" t="s">
        <v>9009</v>
      </c>
      <c r="J583" s="547" t="s">
        <v>9011</v>
      </c>
      <c r="K583" s="547" t="s">
        <v>9068</v>
      </c>
      <c r="L583" s="537" t="s">
        <v>541</v>
      </c>
    </row>
    <row r="584" spans="1:12" x14ac:dyDescent="0.2">
      <c r="A584" s="547" t="s">
        <v>220</v>
      </c>
      <c r="B584" s="547" t="s">
        <v>588</v>
      </c>
      <c r="C584" s="547" t="s">
        <v>915</v>
      </c>
      <c r="D584" s="547" t="s">
        <v>916</v>
      </c>
      <c r="E584" s="547" t="s">
        <v>545</v>
      </c>
      <c r="F584" s="567">
        <v>220</v>
      </c>
      <c r="G584" s="545">
        <v>7.4250694049188937</v>
      </c>
      <c r="H584" s="545">
        <v>1633.5152690821567</v>
      </c>
      <c r="I584" s="547" t="s">
        <v>9009</v>
      </c>
      <c r="J584" s="547" t="s">
        <v>9011</v>
      </c>
      <c r="K584" s="547" t="s">
        <v>9068</v>
      </c>
      <c r="L584" s="537" t="s">
        <v>541</v>
      </c>
    </row>
    <row r="585" spans="1:12" x14ac:dyDescent="0.2">
      <c r="A585" s="547" t="s">
        <v>220</v>
      </c>
      <c r="B585" s="547" t="s">
        <v>588</v>
      </c>
      <c r="C585" s="547" t="s">
        <v>917</v>
      </c>
      <c r="D585" s="547" t="s">
        <v>918</v>
      </c>
      <c r="E585" s="547" t="s">
        <v>545</v>
      </c>
      <c r="F585" s="567">
        <v>229</v>
      </c>
      <c r="G585" s="545">
        <v>4.5909629006197479</v>
      </c>
      <c r="H585" s="545">
        <v>1051.3305042419222</v>
      </c>
      <c r="I585" s="547" t="s">
        <v>9009</v>
      </c>
      <c r="J585" s="547" t="s">
        <v>9011</v>
      </c>
      <c r="K585" s="547" t="s">
        <v>9068</v>
      </c>
      <c r="L585" s="537" t="s">
        <v>541</v>
      </c>
    </row>
    <row r="586" spans="1:12" x14ac:dyDescent="0.2">
      <c r="A586" s="547" t="s">
        <v>220</v>
      </c>
      <c r="B586" s="547" t="s">
        <v>588</v>
      </c>
      <c r="C586" s="547" t="s">
        <v>919</v>
      </c>
      <c r="D586" s="547" t="s">
        <v>920</v>
      </c>
      <c r="E586" s="547" t="s">
        <v>545</v>
      </c>
      <c r="F586" s="567">
        <v>4000</v>
      </c>
      <c r="G586" s="545">
        <v>3.7437745150000001</v>
      </c>
      <c r="H586" s="545">
        <v>14975.09806</v>
      </c>
      <c r="I586" s="547" t="s">
        <v>9009</v>
      </c>
      <c r="J586" s="547" t="s">
        <v>9011</v>
      </c>
      <c r="K586" s="547" t="s">
        <v>9068</v>
      </c>
      <c r="L586" s="537" t="s">
        <v>541</v>
      </c>
    </row>
    <row r="587" spans="1:12" x14ac:dyDescent="0.2">
      <c r="A587" s="547" t="s">
        <v>220</v>
      </c>
      <c r="B587" s="547" t="s">
        <v>588</v>
      </c>
      <c r="C587" s="547" t="s">
        <v>921</v>
      </c>
      <c r="D587" s="547" t="s">
        <v>922</v>
      </c>
      <c r="E587" s="547" t="s">
        <v>545</v>
      </c>
      <c r="F587" s="567">
        <v>2501</v>
      </c>
      <c r="G587" s="545">
        <v>4.4514939447333353</v>
      </c>
      <c r="H587" s="545">
        <v>11133.186355778071</v>
      </c>
      <c r="I587" s="547" t="s">
        <v>9009</v>
      </c>
      <c r="J587" s="547" t="s">
        <v>9011</v>
      </c>
      <c r="K587" s="547" t="s">
        <v>9068</v>
      </c>
      <c r="L587" s="537" t="s">
        <v>541</v>
      </c>
    </row>
    <row r="588" spans="1:12" x14ac:dyDescent="0.2">
      <c r="A588" s="547" t="s">
        <v>220</v>
      </c>
      <c r="B588" s="547" t="s">
        <v>588</v>
      </c>
      <c r="C588" s="547" t="s">
        <v>923</v>
      </c>
      <c r="D588" s="547" t="s">
        <v>924</v>
      </c>
      <c r="E588" s="547" t="s">
        <v>545</v>
      </c>
      <c r="F588" s="567">
        <v>33</v>
      </c>
      <c r="G588" s="545">
        <v>1.8058866423822733</v>
      </c>
      <c r="H588" s="545">
        <v>59.594259198615021</v>
      </c>
      <c r="I588" s="547" t="s">
        <v>9009</v>
      </c>
      <c r="J588" s="547" t="s">
        <v>9011</v>
      </c>
      <c r="K588" s="547" t="s">
        <v>9068</v>
      </c>
      <c r="L588" s="537" t="s">
        <v>541</v>
      </c>
    </row>
    <row r="589" spans="1:12" x14ac:dyDescent="0.2">
      <c r="A589" s="547" t="s">
        <v>220</v>
      </c>
      <c r="B589" s="547" t="s">
        <v>588</v>
      </c>
      <c r="C589" s="547" t="s">
        <v>925</v>
      </c>
      <c r="D589" s="547" t="s">
        <v>926</v>
      </c>
      <c r="E589" s="547" t="s">
        <v>545</v>
      </c>
      <c r="F589" s="567">
        <v>100</v>
      </c>
      <c r="G589" s="545">
        <v>1.6838572466932886</v>
      </c>
      <c r="H589" s="545">
        <v>168.38572466932885</v>
      </c>
      <c r="I589" s="547" t="s">
        <v>9009</v>
      </c>
      <c r="J589" s="547" t="s">
        <v>9011</v>
      </c>
      <c r="K589" s="547" t="s">
        <v>9068</v>
      </c>
      <c r="L589" s="537" t="s">
        <v>541</v>
      </c>
    </row>
    <row r="590" spans="1:12" x14ac:dyDescent="0.2">
      <c r="A590" s="547" t="s">
        <v>220</v>
      </c>
      <c r="B590" s="547" t="s">
        <v>588</v>
      </c>
      <c r="C590" s="547" t="s">
        <v>927</v>
      </c>
      <c r="D590" s="547" t="s">
        <v>928</v>
      </c>
      <c r="E590" s="547" t="s">
        <v>545</v>
      </c>
      <c r="F590" s="567">
        <v>166</v>
      </c>
      <c r="G590" s="545">
        <v>1.7375056995890412</v>
      </c>
      <c r="H590" s="545">
        <v>288.42594613178085</v>
      </c>
      <c r="I590" s="547" t="s">
        <v>9009</v>
      </c>
      <c r="J590" s="547" t="s">
        <v>9011</v>
      </c>
      <c r="K590" s="547" t="s">
        <v>9068</v>
      </c>
      <c r="L590" s="537" t="s">
        <v>541</v>
      </c>
    </row>
    <row r="591" spans="1:12" x14ac:dyDescent="0.2">
      <c r="A591" s="547" t="s">
        <v>220</v>
      </c>
      <c r="B591" s="547" t="s">
        <v>588</v>
      </c>
      <c r="C591" s="547" t="s">
        <v>929</v>
      </c>
      <c r="D591" s="547" t="s">
        <v>930</v>
      </c>
      <c r="E591" s="547" t="s">
        <v>545</v>
      </c>
      <c r="F591" s="567">
        <v>2400</v>
      </c>
      <c r="G591" s="545">
        <v>3.1509544104832674</v>
      </c>
      <c r="H591" s="545">
        <v>7562.2905851598416</v>
      </c>
      <c r="I591" s="547" t="s">
        <v>9009</v>
      </c>
      <c r="J591" s="547" t="s">
        <v>9011</v>
      </c>
      <c r="K591" s="547" t="s">
        <v>9068</v>
      </c>
      <c r="L591" s="537" t="s">
        <v>541</v>
      </c>
    </row>
    <row r="592" spans="1:12" x14ac:dyDescent="0.2">
      <c r="A592" s="547" t="s">
        <v>220</v>
      </c>
      <c r="B592" s="547" t="s">
        <v>588</v>
      </c>
      <c r="C592" s="547" t="s">
        <v>931</v>
      </c>
      <c r="D592" s="547" t="s">
        <v>932</v>
      </c>
      <c r="E592" s="547" t="s">
        <v>545</v>
      </c>
      <c r="F592" s="567">
        <v>600</v>
      </c>
      <c r="G592" s="545">
        <v>3.1509544104832674</v>
      </c>
      <c r="H592" s="545">
        <v>1890.5726462899604</v>
      </c>
      <c r="I592" s="547" t="s">
        <v>9009</v>
      </c>
      <c r="J592" s="547" t="s">
        <v>9011</v>
      </c>
      <c r="K592" s="547" t="s">
        <v>9068</v>
      </c>
      <c r="L592" s="537" t="s">
        <v>541</v>
      </c>
    </row>
    <row r="593" spans="1:12" x14ac:dyDescent="0.2">
      <c r="A593" s="547" t="s">
        <v>220</v>
      </c>
      <c r="B593" s="547" t="s">
        <v>588</v>
      </c>
      <c r="C593" s="547" t="s">
        <v>933</v>
      </c>
      <c r="D593" s="547" t="s">
        <v>934</v>
      </c>
      <c r="E593" s="547" t="s">
        <v>545</v>
      </c>
      <c r="F593" s="567">
        <v>126</v>
      </c>
      <c r="G593" s="545">
        <v>3.587914531954393</v>
      </c>
      <c r="H593" s="545">
        <v>452.07723102625351</v>
      </c>
      <c r="I593" s="547" t="s">
        <v>9009</v>
      </c>
      <c r="J593" s="547" t="s">
        <v>9011</v>
      </c>
      <c r="K593" s="547" t="s">
        <v>9068</v>
      </c>
      <c r="L593" s="537" t="s">
        <v>541</v>
      </c>
    </row>
    <row r="594" spans="1:12" x14ac:dyDescent="0.2">
      <c r="A594" s="547" t="s">
        <v>220</v>
      </c>
      <c r="B594" s="547" t="s">
        <v>588</v>
      </c>
      <c r="C594" s="547" t="s">
        <v>935</v>
      </c>
      <c r="D594" s="547" t="s">
        <v>936</v>
      </c>
      <c r="E594" s="547" t="s">
        <v>545</v>
      </c>
      <c r="F594" s="567">
        <v>112</v>
      </c>
      <c r="G594" s="545">
        <v>3.6576161250341985</v>
      </c>
      <c r="H594" s="545">
        <v>409.65300600383023</v>
      </c>
      <c r="I594" s="547" t="s">
        <v>9009</v>
      </c>
      <c r="J594" s="547" t="s">
        <v>9011</v>
      </c>
      <c r="K594" s="547" t="s">
        <v>9068</v>
      </c>
      <c r="L594" s="537" t="s">
        <v>541</v>
      </c>
    </row>
    <row r="595" spans="1:12" x14ac:dyDescent="0.2">
      <c r="A595" s="547" t="s">
        <v>220</v>
      </c>
      <c r="B595" s="547" t="s">
        <v>588</v>
      </c>
      <c r="C595" s="547" t="s">
        <v>937</v>
      </c>
      <c r="D595" s="547" t="s">
        <v>938</v>
      </c>
      <c r="E595" s="547" t="s">
        <v>545</v>
      </c>
      <c r="F595" s="567">
        <v>2813</v>
      </c>
      <c r="G595" s="545">
        <v>3.9316464368815778</v>
      </c>
      <c r="H595" s="545">
        <v>11059.721426947879</v>
      </c>
      <c r="I595" s="547" t="s">
        <v>9009</v>
      </c>
      <c r="J595" s="547" t="s">
        <v>9011</v>
      </c>
      <c r="K595" s="547" t="s">
        <v>9068</v>
      </c>
      <c r="L595" s="537" t="s">
        <v>541</v>
      </c>
    </row>
    <row r="596" spans="1:12" x14ac:dyDescent="0.2">
      <c r="A596" s="547" t="s">
        <v>220</v>
      </c>
      <c r="B596" s="547" t="s">
        <v>588</v>
      </c>
      <c r="C596" s="547" t="s">
        <v>939</v>
      </c>
      <c r="D596" s="547" t="s">
        <v>940</v>
      </c>
      <c r="E596" s="547" t="s">
        <v>545</v>
      </c>
      <c r="F596" s="567">
        <v>5208</v>
      </c>
      <c r="G596" s="545">
        <v>4.0455078400798747</v>
      </c>
      <c r="H596" s="545">
        <v>21069.004831135986</v>
      </c>
      <c r="I596" s="547" t="s">
        <v>9009</v>
      </c>
      <c r="J596" s="547" t="s">
        <v>9011</v>
      </c>
      <c r="K596" s="547" t="s">
        <v>9068</v>
      </c>
      <c r="L596" s="537" t="s">
        <v>541</v>
      </c>
    </row>
    <row r="597" spans="1:12" x14ac:dyDescent="0.2">
      <c r="A597" s="547" t="s">
        <v>220</v>
      </c>
      <c r="B597" s="547" t="s">
        <v>588</v>
      </c>
      <c r="C597" s="547" t="s">
        <v>941</v>
      </c>
      <c r="D597" s="547" t="s">
        <v>942</v>
      </c>
      <c r="E597" s="547" t="s">
        <v>545</v>
      </c>
      <c r="F597" s="567">
        <v>182</v>
      </c>
      <c r="G597" s="545">
        <v>0.24200000000000002</v>
      </c>
      <c r="H597" s="545">
        <v>44.044000000000004</v>
      </c>
      <c r="I597" s="547" t="s">
        <v>9009</v>
      </c>
      <c r="J597" s="547" t="s">
        <v>9015</v>
      </c>
      <c r="K597" s="547" t="s">
        <v>9068</v>
      </c>
      <c r="L597" s="537" t="s">
        <v>541</v>
      </c>
    </row>
    <row r="598" spans="1:12" x14ac:dyDescent="0.2">
      <c r="A598" s="547" t="s">
        <v>220</v>
      </c>
      <c r="B598" s="547" t="s">
        <v>588</v>
      </c>
      <c r="C598" s="547" t="s">
        <v>943</v>
      </c>
      <c r="D598" s="547" t="s">
        <v>944</v>
      </c>
      <c r="E598" s="547" t="s">
        <v>545</v>
      </c>
      <c r="F598" s="567">
        <v>414</v>
      </c>
      <c r="G598" s="545">
        <v>4.8445442390232882</v>
      </c>
      <c r="H598" s="545">
        <v>2005.6413149556413</v>
      </c>
      <c r="I598" s="547" t="s">
        <v>9009</v>
      </c>
      <c r="J598" s="547" t="s">
        <v>9011</v>
      </c>
      <c r="K598" s="547" t="s">
        <v>9068</v>
      </c>
      <c r="L598" s="537" t="s">
        <v>541</v>
      </c>
    </row>
    <row r="599" spans="1:12" x14ac:dyDescent="0.2">
      <c r="A599" s="547" t="s">
        <v>220</v>
      </c>
      <c r="B599" s="547" t="s">
        <v>588</v>
      </c>
      <c r="C599" s="547" t="s">
        <v>945</v>
      </c>
      <c r="D599" s="547" t="s">
        <v>946</v>
      </c>
      <c r="E599" s="547" t="s">
        <v>545</v>
      </c>
      <c r="F599" s="567">
        <v>774</v>
      </c>
      <c r="G599" s="545">
        <v>4.07</v>
      </c>
      <c r="H599" s="545">
        <v>3150.1800000000003</v>
      </c>
      <c r="I599" s="547" t="s">
        <v>9009</v>
      </c>
      <c r="J599" s="547" t="s">
        <v>9011</v>
      </c>
      <c r="K599" s="547" t="s">
        <v>9068</v>
      </c>
      <c r="L599" s="537" t="s">
        <v>541</v>
      </c>
    </row>
    <row r="600" spans="1:12" x14ac:dyDescent="0.2">
      <c r="A600" s="547" t="s">
        <v>220</v>
      </c>
      <c r="B600" s="547" t="s">
        <v>588</v>
      </c>
      <c r="C600" s="547" t="s">
        <v>947</v>
      </c>
      <c r="D600" s="547" t="s">
        <v>948</v>
      </c>
      <c r="E600" s="547" t="s">
        <v>545</v>
      </c>
      <c r="F600" s="567">
        <v>51</v>
      </c>
      <c r="G600" s="545">
        <v>5.2794782884201883</v>
      </c>
      <c r="H600" s="545">
        <v>269.25339270942959</v>
      </c>
      <c r="I600" s="547" t="s">
        <v>9009</v>
      </c>
      <c r="J600" s="547" t="s">
        <v>9011</v>
      </c>
      <c r="K600" s="547" t="s">
        <v>9068</v>
      </c>
      <c r="L600" s="537" t="s">
        <v>541</v>
      </c>
    </row>
    <row r="601" spans="1:12" x14ac:dyDescent="0.2">
      <c r="A601" s="547" t="s">
        <v>220</v>
      </c>
      <c r="B601" s="547" t="s">
        <v>588</v>
      </c>
      <c r="C601" s="547" t="s">
        <v>949</v>
      </c>
      <c r="D601" s="547" t="s">
        <v>950</v>
      </c>
      <c r="E601" s="547" t="s">
        <v>545</v>
      </c>
      <c r="F601" s="567">
        <v>2560</v>
      </c>
      <c r="G601" s="545">
        <v>4.6089807827158351</v>
      </c>
      <c r="H601" s="545">
        <v>11798.990803752538</v>
      </c>
      <c r="I601" s="547" t="s">
        <v>9009</v>
      </c>
      <c r="J601" s="547" t="s">
        <v>9011</v>
      </c>
      <c r="K601" s="547" t="s">
        <v>9068</v>
      </c>
      <c r="L601" s="537" t="s">
        <v>541</v>
      </c>
    </row>
    <row r="602" spans="1:12" x14ac:dyDescent="0.2">
      <c r="A602" s="547" t="s">
        <v>220</v>
      </c>
      <c r="B602" s="547" t="s">
        <v>588</v>
      </c>
      <c r="C602" s="547" t="s">
        <v>951</v>
      </c>
      <c r="D602" s="547" t="s">
        <v>952</v>
      </c>
      <c r="E602" s="547" t="s">
        <v>545</v>
      </c>
      <c r="F602" s="567">
        <v>449</v>
      </c>
      <c r="G602" s="545">
        <v>4.803858124576502</v>
      </c>
      <c r="H602" s="545">
        <v>2156.9322979348494</v>
      </c>
      <c r="I602" s="547" t="s">
        <v>9009</v>
      </c>
      <c r="J602" s="547" t="s">
        <v>9011</v>
      </c>
      <c r="K602" s="547" t="s">
        <v>9068</v>
      </c>
      <c r="L602" s="537" t="s">
        <v>541</v>
      </c>
    </row>
    <row r="603" spans="1:12" x14ac:dyDescent="0.2">
      <c r="A603" s="547" t="s">
        <v>220</v>
      </c>
      <c r="B603" s="547" t="s">
        <v>588</v>
      </c>
      <c r="C603" s="547" t="s">
        <v>953</v>
      </c>
      <c r="D603" s="547" t="s">
        <v>954</v>
      </c>
      <c r="E603" s="547" t="s">
        <v>545</v>
      </c>
      <c r="F603" s="567">
        <v>20427</v>
      </c>
      <c r="G603" s="545">
        <v>4.4752385734609357</v>
      </c>
      <c r="H603" s="545">
        <v>91415.698340086528</v>
      </c>
      <c r="I603" s="547" t="s">
        <v>9009</v>
      </c>
      <c r="J603" s="547" t="s">
        <v>9011</v>
      </c>
      <c r="K603" s="547" t="s">
        <v>9068</v>
      </c>
      <c r="L603" s="537" t="s">
        <v>541</v>
      </c>
    </row>
    <row r="604" spans="1:12" x14ac:dyDescent="0.2">
      <c r="A604" s="547" t="s">
        <v>220</v>
      </c>
      <c r="B604" s="547" t="s">
        <v>588</v>
      </c>
      <c r="C604" s="547" t="s">
        <v>9553</v>
      </c>
      <c r="D604" s="547" t="s">
        <v>9554</v>
      </c>
      <c r="E604" s="547" t="s">
        <v>545</v>
      </c>
      <c r="F604" s="567">
        <v>6300</v>
      </c>
      <c r="G604" s="545">
        <v>3.8521045100000002</v>
      </c>
      <c r="H604" s="545">
        <v>24268.258413</v>
      </c>
      <c r="I604" s="547" t="s">
        <v>9009</v>
      </c>
      <c r="J604" s="547" t="s">
        <v>9011</v>
      </c>
      <c r="K604" s="547" t="s">
        <v>9068</v>
      </c>
      <c r="L604" s="537" t="s">
        <v>541</v>
      </c>
    </row>
    <row r="605" spans="1:12" x14ac:dyDescent="0.2">
      <c r="A605" s="547" t="s">
        <v>220</v>
      </c>
      <c r="B605" s="547" t="s">
        <v>588</v>
      </c>
      <c r="C605" s="547" t="s">
        <v>955</v>
      </c>
      <c r="D605" s="547" t="s">
        <v>956</v>
      </c>
      <c r="E605" s="547" t="s">
        <v>545</v>
      </c>
      <c r="F605" s="567">
        <v>6432</v>
      </c>
      <c r="G605" s="545">
        <v>4.3893574056383295</v>
      </c>
      <c r="H605" s="545">
        <v>28232.346833065734</v>
      </c>
      <c r="I605" s="547" t="s">
        <v>9009</v>
      </c>
      <c r="J605" s="547" t="s">
        <v>9011</v>
      </c>
      <c r="K605" s="547" t="s">
        <v>9068</v>
      </c>
      <c r="L605" s="537" t="s">
        <v>541</v>
      </c>
    </row>
    <row r="606" spans="1:12" x14ac:dyDescent="0.2">
      <c r="A606" s="547" t="s">
        <v>220</v>
      </c>
      <c r="B606" s="547" t="s">
        <v>588</v>
      </c>
      <c r="C606" s="547" t="s">
        <v>957</v>
      </c>
      <c r="D606" s="547" t="s">
        <v>958</v>
      </c>
      <c r="E606" s="547" t="s">
        <v>545</v>
      </c>
      <c r="F606" s="567">
        <v>2005</v>
      </c>
      <c r="G606" s="545">
        <v>4.3222877881831794</v>
      </c>
      <c r="H606" s="545">
        <v>8666.1870153072741</v>
      </c>
      <c r="I606" s="547" t="s">
        <v>9009</v>
      </c>
      <c r="J606" s="547" t="s">
        <v>9011</v>
      </c>
      <c r="K606" s="547" t="s">
        <v>9068</v>
      </c>
      <c r="L606" s="537" t="s">
        <v>541</v>
      </c>
    </row>
    <row r="607" spans="1:12" x14ac:dyDescent="0.2">
      <c r="A607" s="547" t="s">
        <v>220</v>
      </c>
      <c r="B607" s="547" t="s">
        <v>588</v>
      </c>
      <c r="C607" s="547" t="s">
        <v>959</v>
      </c>
      <c r="D607" s="547" t="s">
        <v>960</v>
      </c>
      <c r="E607" s="547" t="s">
        <v>545</v>
      </c>
      <c r="F607" s="567">
        <v>9756</v>
      </c>
      <c r="G607" s="545">
        <v>4.8473673058411544</v>
      </c>
      <c r="H607" s="545">
        <v>47290.915435786301</v>
      </c>
      <c r="I607" s="547" t="s">
        <v>9009</v>
      </c>
      <c r="J607" s="547" t="s">
        <v>9011</v>
      </c>
      <c r="K607" s="547" t="s">
        <v>9068</v>
      </c>
      <c r="L607" s="537" t="s">
        <v>541</v>
      </c>
    </row>
    <row r="608" spans="1:12" x14ac:dyDescent="0.2">
      <c r="A608" s="547" t="s">
        <v>220</v>
      </c>
      <c r="B608" s="547" t="s">
        <v>588</v>
      </c>
      <c r="C608" s="547" t="s">
        <v>961</v>
      </c>
      <c r="D608" s="547" t="s">
        <v>962</v>
      </c>
      <c r="E608" s="547" t="s">
        <v>545</v>
      </c>
      <c r="F608" s="567">
        <v>118</v>
      </c>
      <c r="G608" s="545">
        <v>4.9036150838996004</v>
      </c>
      <c r="H608" s="545">
        <v>578.62657990015282</v>
      </c>
      <c r="I608" s="547" t="s">
        <v>9009</v>
      </c>
      <c r="J608" s="547" t="s">
        <v>9011</v>
      </c>
      <c r="K608" s="547" t="s">
        <v>9068</v>
      </c>
      <c r="L608" s="537" t="s">
        <v>541</v>
      </c>
    </row>
    <row r="609" spans="1:12" x14ac:dyDescent="0.2">
      <c r="A609" s="547" t="s">
        <v>220</v>
      </c>
      <c r="B609" s="547" t="s">
        <v>588</v>
      </c>
      <c r="C609" s="547" t="s">
        <v>963</v>
      </c>
      <c r="D609" s="547" t="s">
        <v>964</v>
      </c>
      <c r="E609" s="547" t="s">
        <v>545</v>
      </c>
      <c r="F609" s="567">
        <v>1280</v>
      </c>
      <c r="G609" s="545">
        <v>3.2293108743729602</v>
      </c>
      <c r="H609" s="545">
        <v>4133.5179191973893</v>
      </c>
      <c r="I609" s="547" t="s">
        <v>9009</v>
      </c>
      <c r="J609" s="547" t="s">
        <v>9011</v>
      </c>
      <c r="K609" s="547" t="s">
        <v>9068</v>
      </c>
      <c r="L609" s="537" t="s">
        <v>541</v>
      </c>
    </row>
    <row r="610" spans="1:12" x14ac:dyDescent="0.2">
      <c r="A610" s="547" t="s">
        <v>220</v>
      </c>
      <c r="B610" s="547" t="s">
        <v>588</v>
      </c>
      <c r="C610" s="547" t="s">
        <v>965</v>
      </c>
      <c r="D610" s="547" t="s">
        <v>966</v>
      </c>
      <c r="E610" s="547" t="s">
        <v>545</v>
      </c>
      <c r="F610" s="567">
        <v>384</v>
      </c>
      <c r="G610" s="545">
        <v>5.5569070193330568</v>
      </c>
      <c r="H610" s="545">
        <v>2133.8522954238938</v>
      </c>
      <c r="I610" s="547" t="s">
        <v>9009</v>
      </c>
      <c r="J610" s="547" t="s">
        <v>9011</v>
      </c>
      <c r="K610" s="547" t="s">
        <v>9068</v>
      </c>
      <c r="L610" s="537" t="s">
        <v>541</v>
      </c>
    </row>
    <row r="611" spans="1:12" x14ac:dyDescent="0.2">
      <c r="A611" s="547" t="s">
        <v>220</v>
      </c>
      <c r="B611" s="547" t="s">
        <v>588</v>
      </c>
      <c r="C611" s="547" t="s">
        <v>967</v>
      </c>
      <c r="D611" s="547" t="s">
        <v>968</v>
      </c>
      <c r="E611" s="547" t="s">
        <v>545</v>
      </c>
      <c r="F611" s="567">
        <v>3500</v>
      </c>
      <c r="G611" s="545">
        <v>4.8250600596433681</v>
      </c>
      <c r="H611" s="545">
        <v>16887.710208751789</v>
      </c>
      <c r="I611" s="547" t="s">
        <v>9009</v>
      </c>
      <c r="J611" s="547" t="s">
        <v>9011</v>
      </c>
      <c r="K611" s="547" t="s">
        <v>9068</v>
      </c>
      <c r="L611" s="537" t="s">
        <v>541</v>
      </c>
    </row>
    <row r="612" spans="1:12" x14ac:dyDescent="0.2">
      <c r="A612" s="547" t="s">
        <v>220</v>
      </c>
      <c r="B612" s="547" t="s">
        <v>588</v>
      </c>
      <c r="C612" s="547" t="s">
        <v>969</v>
      </c>
      <c r="D612" s="547" t="s">
        <v>970</v>
      </c>
      <c r="E612" s="547" t="s">
        <v>545</v>
      </c>
      <c r="F612" s="567">
        <v>21859</v>
      </c>
      <c r="G612" s="545">
        <v>4.6029109337060783</v>
      </c>
      <c r="H612" s="545">
        <v>100615.03009988116</v>
      </c>
      <c r="I612" s="547" t="s">
        <v>9009</v>
      </c>
      <c r="J612" s="547" t="s">
        <v>9011</v>
      </c>
      <c r="K612" s="547" t="s">
        <v>9068</v>
      </c>
      <c r="L612" s="537" t="s">
        <v>541</v>
      </c>
    </row>
    <row r="613" spans="1:12" x14ac:dyDescent="0.2">
      <c r="A613" s="547" t="s">
        <v>220</v>
      </c>
      <c r="B613" s="547" t="s">
        <v>588</v>
      </c>
      <c r="C613" s="547" t="s">
        <v>9555</v>
      </c>
      <c r="D613" s="547" t="s">
        <v>9556</v>
      </c>
      <c r="E613" s="547" t="s">
        <v>545</v>
      </c>
      <c r="F613" s="567">
        <v>2673</v>
      </c>
      <c r="G613" s="545">
        <v>3.9738102450000006</v>
      </c>
      <c r="H613" s="545">
        <v>10621.994784885001</v>
      </c>
      <c r="I613" s="547" t="s">
        <v>9009</v>
      </c>
      <c r="J613" s="547" t="s">
        <v>9011</v>
      </c>
      <c r="K613" s="547" t="s">
        <v>9068</v>
      </c>
      <c r="L613" s="537" t="s">
        <v>541</v>
      </c>
    </row>
    <row r="614" spans="1:12" x14ac:dyDescent="0.2">
      <c r="A614" s="547" t="s">
        <v>220</v>
      </c>
      <c r="B614" s="547" t="s">
        <v>588</v>
      </c>
      <c r="C614" s="547" t="s">
        <v>971</v>
      </c>
      <c r="D614" s="547" t="s">
        <v>972</v>
      </c>
      <c r="E614" s="547" t="s">
        <v>545</v>
      </c>
      <c r="F614" s="567">
        <v>6739</v>
      </c>
      <c r="G614" s="545">
        <v>4.9620482233337002</v>
      </c>
      <c r="H614" s="545">
        <v>33439.242977045804</v>
      </c>
      <c r="I614" s="547" t="s">
        <v>9009</v>
      </c>
      <c r="J614" s="547" t="s">
        <v>9011</v>
      </c>
      <c r="K614" s="547" t="s">
        <v>9068</v>
      </c>
      <c r="L614" s="537" t="s">
        <v>541</v>
      </c>
    </row>
    <row r="615" spans="1:12" x14ac:dyDescent="0.2">
      <c r="A615" s="547" t="s">
        <v>220</v>
      </c>
      <c r="B615" s="547" t="s">
        <v>588</v>
      </c>
      <c r="C615" s="547" t="s">
        <v>973</v>
      </c>
      <c r="D615" s="547" t="s">
        <v>974</v>
      </c>
      <c r="E615" s="547" t="s">
        <v>545</v>
      </c>
      <c r="F615" s="567">
        <v>35</v>
      </c>
      <c r="G615" s="545">
        <v>6.2201157594826944</v>
      </c>
      <c r="H615" s="545">
        <v>217.7040515818943</v>
      </c>
      <c r="I615" s="547" t="s">
        <v>9009</v>
      </c>
      <c r="J615" s="547" t="s">
        <v>9011</v>
      </c>
      <c r="K615" s="547" t="s">
        <v>9068</v>
      </c>
      <c r="L615" s="537" t="s">
        <v>541</v>
      </c>
    </row>
    <row r="616" spans="1:12" x14ac:dyDescent="0.2">
      <c r="A616" s="547" t="s">
        <v>220</v>
      </c>
      <c r="B616" s="547" t="s">
        <v>588</v>
      </c>
      <c r="C616" s="547" t="s">
        <v>975</v>
      </c>
      <c r="D616" s="547" t="s">
        <v>976</v>
      </c>
      <c r="E616" s="547" t="s">
        <v>545</v>
      </c>
      <c r="F616" s="567">
        <v>29</v>
      </c>
      <c r="G616" s="545">
        <v>5.5717188019478296</v>
      </c>
      <c r="H616" s="545">
        <v>161.57984525648706</v>
      </c>
      <c r="I616" s="547" t="s">
        <v>9009</v>
      </c>
      <c r="J616" s="547" t="s">
        <v>9011</v>
      </c>
      <c r="K616" s="547" t="s">
        <v>9068</v>
      </c>
      <c r="L616" s="537" t="s">
        <v>541</v>
      </c>
    </row>
    <row r="617" spans="1:12" x14ac:dyDescent="0.2">
      <c r="A617" s="547" t="s">
        <v>220</v>
      </c>
      <c r="B617" s="547" t="s">
        <v>588</v>
      </c>
      <c r="C617" s="547" t="s">
        <v>977</v>
      </c>
      <c r="D617" s="547" t="s">
        <v>978</v>
      </c>
      <c r="E617" s="547" t="s">
        <v>545</v>
      </c>
      <c r="F617" s="567">
        <v>44</v>
      </c>
      <c r="G617" s="545">
        <v>6.8493448357360753</v>
      </c>
      <c r="H617" s="545">
        <v>301.3711727723873</v>
      </c>
      <c r="I617" s="547" t="s">
        <v>9009</v>
      </c>
      <c r="J617" s="547" t="s">
        <v>9011</v>
      </c>
      <c r="K617" s="547" t="s">
        <v>9068</v>
      </c>
      <c r="L617" s="537" t="s">
        <v>541</v>
      </c>
    </row>
    <row r="618" spans="1:12" x14ac:dyDescent="0.2">
      <c r="A618" s="547" t="s">
        <v>220</v>
      </c>
      <c r="B618" s="547" t="s">
        <v>588</v>
      </c>
      <c r="C618" s="547" t="s">
        <v>979</v>
      </c>
      <c r="D618" s="547" t="s">
        <v>980</v>
      </c>
      <c r="E618" s="547" t="s">
        <v>545</v>
      </c>
      <c r="F618" s="567">
        <v>1738</v>
      </c>
      <c r="G618" s="545">
        <v>5.0414773035907157</v>
      </c>
      <c r="H618" s="545">
        <v>8762.0875536406638</v>
      </c>
      <c r="I618" s="547" t="s">
        <v>9009</v>
      </c>
      <c r="J618" s="547" t="s">
        <v>9011</v>
      </c>
      <c r="K618" s="547" t="s">
        <v>9068</v>
      </c>
      <c r="L618" s="537" t="s">
        <v>541</v>
      </c>
    </row>
    <row r="619" spans="1:12" x14ac:dyDescent="0.2">
      <c r="A619" s="547" t="s">
        <v>220</v>
      </c>
      <c r="B619" s="547" t="s">
        <v>588</v>
      </c>
      <c r="C619" s="547" t="s">
        <v>981</v>
      </c>
      <c r="D619" s="547" t="s">
        <v>982</v>
      </c>
      <c r="E619" s="547" t="s">
        <v>545</v>
      </c>
      <c r="F619" s="567">
        <v>22741</v>
      </c>
      <c r="G619" s="545">
        <v>4.7084261795078524</v>
      </c>
      <c r="H619" s="545">
        <v>107074.31974818806</v>
      </c>
      <c r="I619" s="547" t="s">
        <v>9009</v>
      </c>
      <c r="J619" s="547" t="s">
        <v>9011</v>
      </c>
      <c r="K619" s="547" t="s">
        <v>9068</v>
      </c>
      <c r="L619" s="537" t="s">
        <v>541</v>
      </c>
    </row>
    <row r="620" spans="1:12" x14ac:dyDescent="0.2">
      <c r="A620" s="547" t="s">
        <v>220</v>
      </c>
      <c r="B620" s="547" t="s">
        <v>588</v>
      </c>
      <c r="C620" s="547" t="s">
        <v>9557</v>
      </c>
      <c r="D620" s="547" t="s">
        <v>9558</v>
      </c>
      <c r="E620" s="547" t="s">
        <v>545</v>
      </c>
      <c r="F620" s="567">
        <v>4752</v>
      </c>
      <c r="G620" s="545">
        <v>4.0813563099999994</v>
      </c>
      <c r="H620" s="545">
        <v>19394.605185119999</v>
      </c>
      <c r="I620" s="547" t="s">
        <v>9009</v>
      </c>
      <c r="J620" s="547" t="s">
        <v>9011</v>
      </c>
      <c r="K620" s="547" t="s">
        <v>9068</v>
      </c>
      <c r="L620" s="537" t="s">
        <v>541</v>
      </c>
    </row>
    <row r="621" spans="1:12" x14ac:dyDescent="0.2">
      <c r="A621" s="547" t="s">
        <v>220</v>
      </c>
      <c r="B621" s="547" t="s">
        <v>588</v>
      </c>
      <c r="C621" s="547" t="s">
        <v>983</v>
      </c>
      <c r="D621" s="547" t="s">
        <v>984</v>
      </c>
      <c r="E621" s="547" t="s">
        <v>545</v>
      </c>
      <c r="F621" s="567">
        <v>1520</v>
      </c>
      <c r="G621" s="545">
        <v>5.9459098552887735</v>
      </c>
      <c r="H621" s="545">
        <v>9037.7829800389354</v>
      </c>
      <c r="I621" s="547" t="s">
        <v>9009</v>
      </c>
      <c r="J621" s="547" t="s">
        <v>9011</v>
      </c>
      <c r="K621" s="547" t="s">
        <v>9068</v>
      </c>
      <c r="L621" s="537" t="s">
        <v>541</v>
      </c>
    </row>
    <row r="622" spans="1:12" x14ac:dyDescent="0.2">
      <c r="A622" s="547" t="s">
        <v>220</v>
      </c>
      <c r="B622" s="547" t="s">
        <v>588</v>
      </c>
      <c r="C622" s="547" t="s">
        <v>985</v>
      </c>
      <c r="D622" s="547" t="s">
        <v>986</v>
      </c>
      <c r="E622" s="547" t="s">
        <v>545</v>
      </c>
      <c r="F622" s="567">
        <v>3828</v>
      </c>
      <c r="G622" s="545">
        <v>5.9880505636578114</v>
      </c>
      <c r="H622" s="545">
        <v>22922.257557682104</v>
      </c>
      <c r="I622" s="547" t="s">
        <v>9009</v>
      </c>
      <c r="J622" s="547" t="s">
        <v>9011</v>
      </c>
      <c r="K622" s="547" t="s">
        <v>9068</v>
      </c>
      <c r="L622" s="537" t="s">
        <v>541</v>
      </c>
    </row>
    <row r="623" spans="1:12" x14ac:dyDescent="0.2">
      <c r="A623" s="547" t="s">
        <v>220</v>
      </c>
      <c r="B623" s="547" t="s">
        <v>588</v>
      </c>
      <c r="C623" s="547" t="s">
        <v>987</v>
      </c>
      <c r="D623" s="547" t="s">
        <v>988</v>
      </c>
      <c r="E623" s="547" t="s">
        <v>9559</v>
      </c>
      <c r="F623" s="567">
        <v>1130</v>
      </c>
      <c r="G623" s="545">
        <v>0.45100000000000001</v>
      </c>
      <c r="H623" s="545">
        <v>509.63</v>
      </c>
      <c r="I623" s="547" t="s">
        <v>9009</v>
      </c>
      <c r="J623" s="547" t="s">
        <v>9015</v>
      </c>
      <c r="K623" s="547" t="s">
        <v>9068</v>
      </c>
      <c r="L623" s="537" t="s">
        <v>541</v>
      </c>
    </row>
    <row r="624" spans="1:12" x14ac:dyDescent="0.2">
      <c r="A624" s="547" t="s">
        <v>220</v>
      </c>
      <c r="B624" s="547" t="s">
        <v>588</v>
      </c>
      <c r="C624" s="547" t="s">
        <v>989</v>
      </c>
      <c r="D624" s="547" t="s">
        <v>990</v>
      </c>
      <c r="E624" s="547" t="s">
        <v>545</v>
      </c>
      <c r="F624" s="567">
        <v>27</v>
      </c>
      <c r="G624" s="545">
        <v>6.4735627942378278</v>
      </c>
      <c r="H624" s="545">
        <v>174.78619544442134</v>
      </c>
      <c r="I624" s="547" t="s">
        <v>9009</v>
      </c>
      <c r="J624" s="547" t="s">
        <v>9011</v>
      </c>
      <c r="K624" s="547" t="s">
        <v>9068</v>
      </c>
      <c r="L624" s="537" t="s">
        <v>541</v>
      </c>
    </row>
    <row r="625" spans="1:12" x14ac:dyDescent="0.2">
      <c r="A625" s="547" t="s">
        <v>220</v>
      </c>
      <c r="B625" s="547" t="s">
        <v>588</v>
      </c>
      <c r="C625" s="547" t="s">
        <v>991</v>
      </c>
      <c r="D625" s="547" t="s">
        <v>992</v>
      </c>
      <c r="E625" s="547" t="s">
        <v>545</v>
      </c>
      <c r="F625" s="567">
        <v>862</v>
      </c>
      <c r="G625" s="545">
        <v>4.2218079140908236</v>
      </c>
      <c r="H625" s="545">
        <v>3639.1984219462897</v>
      </c>
      <c r="I625" s="547" t="s">
        <v>9009</v>
      </c>
      <c r="J625" s="547" t="s">
        <v>9011</v>
      </c>
      <c r="K625" s="547" t="s">
        <v>9068</v>
      </c>
      <c r="L625" s="537" t="s">
        <v>541</v>
      </c>
    </row>
    <row r="626" spans="1:12" x14ac:dyDescent="0.2">
      <c r="A626" s="547" t="s">
        <v>220</v>
      </c>
      <c r="B626" s="547" t="s">
        <v>588</v>
      </c>
      <c r="C626" s="547" t="s">
        <v>993</v>
      </c>
      <c r="D626" s="547" t="s">
        <v>994</v>
      </c>
      <c r="E626" s="547" t="s">
        <v>545</v>
      </c>
      <c r="F626" s="567">
        <v>127</v>
      </c>
      <c r="G626" s="545">
        <v>3.6604320471050991</v>
      </c>
      <c r="H626" s="545">
        <v>464.8748699823476</v>
      </c>
      <c r="I626" s="547" t="s">
        <v>9009</v>
      </c>
      <c r="J626" s="547" t="s">
        <v>9011</v>
      </c>
      <c r="K626" s="547" t="s">
        <v>9068</v>
      </c>
      <c r="L626" s="537" t="s">
        <v>541</v>
      </c>
    </row>
    <row r="627" spans="1:12" x14ac:dyDescent="0.2">
      <c r="A627" s="547" t="s">
        <v>220</v>
      </c>
      <c r="B627" s="547" t="s">
        <v>588</v>
      </c>
      <c r="C627" s="547" t="s">
        <v>995</v>
      </c>
      <c r="D627" s="547" t="s">
        <v>996</v>
      </c>
      <c r="E627" s="547" t="s">
        <v>545</v>
      </c>
      <c r="F627" s="567">
        <v>916</v>
      </c>
      <c r="G627" s="545">
        <v>5.0516859086628108</v>
      </c>
      <c r="H627" s="545">
        <v>4627.3442923351349</v>
      </c>
      <c r="I627" s="547" t="s">
        <v>9009</v>
      </c>
      <c r="J627" s="547" t="s">
        <v>9011</v>
      </c>
      <c r="K627" s="547" t="s">
        <v>9068</v>
      </c>
      <c r="L627" s="537" t="s">
        <v>541</v>
      </c>
    </row>
    <row r="628" spans="1:12" x14ac:dyDescent="0.2">
      <c r="A628" s="547" t="s">
        <v>220</v>
      </c>
      <c r="B628" s="547" t="s">
        <v>588</v>
      </c>
      <c r="C628" s="547" t="s">
        <v>999</v>
      </c>
      <c r="D628" s="547" t="s">
        <v>1000</v>
      </c>
      <c r="E628" s="547" t="s">
        <v>545</v>
      </c>
      <c r="F628" s="567">
        <v>8237</v>
      </c>
      <c r="G628" s="545">
        <v>5.088898269844405</v>
      </c>
      <c r="H628" s="545">
        <v>41917.255048708364</v>
      </c>
      <c r="I628" s="547" t="s">
        <v>9009</v>
      </c>
      <c r="J628" s="547" t="s">
        <v>9011</v>
      </c>
      <c r="K628" s="547" t="s">
        <v>9068</v>
      </c>
      <c r="L628" s="537" t="s">
        <v>541</v>
      </c>
    </row>
    <row r="629" spans="1:12" x14ac:dyDescent="0.2">
      <c r="A629" s="547" t="s">
        <v>220</v>
      </c>
      <c r="B629" s="547" t="s">
        <v>588</v>
      </c>
      <c r="C629" s="547" t="s">
        <v>9560</v>
      </c>
      <c r="D629" s="547" t="s">
        <v>9561</v>
      </c>
      <c r="E629" s="547" t="s">
        <v>545</v>
      </c>
      <c r="F629" s="567">
        <v>6534</v>
      </c>
      <c r="G629" s="545">
        <v>4.3830921350000001</v>
      </c>
      <c r="H629" s="545">
        <v>28639.12401009</v>
      </c>
      <c r="I629" s="547" t="s">
        <v>9009</v>
      </c>
      <c r="J629" s="547" t="s">
        <v>9011</v>
      </c>
      <c r="K629" s="547" t="s">
        <v>9068</v>
      </c>
      <c r="L629" s="537" t="s">
        <v>541</v>
      </c>
    </row>
    <row r="630" spans="1:12" x14ac:dyDescent="0.2">
      <c r="A630" s="547" t="s">
        <v>220</v>
      </c>
      <c r="B630" s="547" t="s">
        <v>588</v>
      </c>
      <c r="C630" s="547" t="s">
        <v>1001</v>
      </c>
      <c r="D630" s="547" t="s">
        <v>9562</v>
      </c>
      <c r="E630" s="547" t="s">
        <v>545</v>
      </c>
      <c r="F630" s="567">
        <v>160</v>
      </c>
      <c r="G630" s="545">
        <v>9.0035729357088083</v>
      </c>
      <c r="H630" s="545">
        <v>1440.5716697134094</v>
      </c>
      <c r="I630" s="547" t="s">
        <v>9009</v>
      </c>
      <c r="J630" s="547" t="s">
        <v>9011</v>
      </c>
      <c r="K630" s="547" t="s">
        <v>9068</v>
      </c>
      <c r="L630" s="537" t="s">
        <v>541</v>
      </c>
    </row>
    <row r="631" spans="1:12" x14ac:dyDescent="0.2">
      <c r="A631" s="547" t="s">
        <v>220</v>
      </c>
      <c r="B631" s="547" t="s">
        <v>588</v>
      </c>
      <c r="C631" s="547" t="s">
        <v>819</v>
      </c>
      <c r="D631" s="547" t="s">
        <v>820</v>
      </c>
      <c r="E631" s="547" t="s">
        <v>545</v>
      </c>
      <c r="F631" s="567">
        <v>2015</v>
      </c>
      <c r="G631" s="545">
        <v>3.1313794519336722</v>
      </c>
      <c r="H631" s="545">
        <v>6309.7295956463495</v>
      </c>
      <c r="I631" s="547" t="s">
        <v>9009</v>
      </c>
      <c r="J631" s="547" t="s">
        <v>9011</v>
      </c>
      <c r="K631" s="547" t="s">
        <v>9068</v>
      </c>
      <c r="L631" s="537" t="s">
        <v>541</v>
      </c>
    </row>
    <row r="632" spans="1:12" x14ac:dyDescent="0.2">
      <c r="A632" s="547" t="s">
        <v>220</v>
      </c>
      <c r="B632" s="547" t="s">
        <v>588</v>
      </c>
      <c r="C632" s="547" t="s">
        <v>1003</v>
      </c>
      <c r="D632" s="547" t="s">
        <v>1004</v>
      </c>
      <c r="E632" s="547" t="s">
        <v>545</v>
      </c>
      <c r="F632" s="567">
        <v>241</v>
      </c>
      <c r="G632" s="545">
        <v>4.0065036896362285</v>
      </c>
      <c r="H632" s="545">
        <v>965.56738920233101</v>
      </c>
      <c r="I632" s="547" t="s">
        <v>9009</v>
      </c>
      <c r="J632" s="547" t="s">
        <v>9011</v>
      </c>
      <c r="K632" s="547" t="s">
        <v>9068</v>
      </c>
      <c r="L632" s="537" t="s">
        <v>541</v>
      </c>
    </row>
    <row r="633" spans="1:12" x14ac:dyDescent="0.2">
      <c r="A633" s="547" t="s">
        <v>220</v>
      </c>
      <c r="B633" s="547" t="s">
        <v>588</v>
      </c>
      <c r="C633" s="547" t="s">
        <v>1005</v>
      </c>
      <c r="D633" s="547" t="s">
        <v>1006</v>
      </c>
      <c r="E633" s="547" t="s">
        <v>545</v>
      </c>
      <c r="F633" s="567">
        <v>758</v>
      </c>
      <c r="G633" s="545">
        <v>3.0321303557388903</v>
      </c>
      <c r="H633" s="545">
        <v>2298.354809650079</v>
      </c>
      <c r="I633" s="547" t="s">
        <v>9009</v>
      </c>
      <c r="J633" s="547" t="s">
        <v>9011</v>
      </c>
      <c r="K633" s="547" t="s">
        <v>9068</v>
      </c>
      <c r="L633" s="537" t="s">
        <v>541</v>
      </c>
    </row>
    <row r="634" spans="1:12" x14ac:dyDescent="0.2">
      <c r="A634" s="547" t="s">
        <v>220</v>
      </c>
      <c r="B634" s="547" t="s">
        <v>588</v>
      </c>
      <c r="C634" s="547" t="s">
        <v>1011</v>
      </c>
      <c r="D634" s="547" t="s">
        <v>1012</v>
      </c>
      <c r="E634" s="547" t="s">
        <v>545</v>
      </c>
      <c r="F634" s="567">
        <v>2784</v>
      </c>
      <c r="G634" s="545">
        <v>3.769799894278504</v>
      </c>
      <c r="H634" s="545">
        <v>10495.122905671355</v>
      </c>
      <c r="I634" s="547" t="s">
        <v>9009</v>
      </c>
      <c r="J634" s="547" t="s">
        <v>9011</v>
      </c>
      <c r="K634" s="547" t="s">
        <v>9068</v>
      </c>
      <c r="L634" s="537" t="s">
        <v>541</v>
      </c>
    </row>
    <row r="635" spans="1:12" x14ac:dyDescent="0.2">
      <c r="A635" s="547" t="s">
        <v>220</v>
      </c>
      <c r="B635" s="547" t="s">
        <v>588</v>
      </c>
      <c r="C635" s="547" t="s">
        <v>1013</v>
      </c>
      <c r="D635" s="547" t="s">
        <v>1014</v>
      </c>
      <c r="E635" s="547" t="s">
        <v>545</v>
      </c>
      <c r="F635" s="567">
        <v>1401</v>
      </c>
      <c r="G635" s="545">
        <v>3.8129929573168058</v>
      </c>
      <c r="H635" s="545">
        <v>5342.0031332008448</v>
      </c>
      <c r="I635" s="547" t="s">
        <v>9009</v>
      </c>
      <c r="J635" s="547" t="s">
        <v>9011</v>
      </c>
      <c r="K635" s="547" t="s">
        <v>9068</v>
      </c>
      <c r="L635" s="537" t="s">
        <v>541</v>
      </c>
    </row>
    <row r="636" spans="1:12" x14ac:dyDescent="0.2">
      <c r="A636" s="547" t="s">
        <v>220</v>
      </c>
      <c r="B636" s="547" t="s">
        <v>588</v>
      </c>
      <c r="C636" s="547" t="s">
        <v>1015</v>
      </c>
      <c r="D636" s="547" t="s">
        <v>1016</v>
      </c>
      <c r="E636" s="547" t="s">
        <v>545</v>
      </c>
      <c r="F636" s="567">
        <v>394</v>
      </c>
      <c r="G636" s="545">
        <v>4.0292730848688931</v>
      </c>
      <c r="H636" s="545">
        <v>1587.5335954383438</v>
      </c>
      <c r="I636" s="547" t="s">
        <v>9009</v>
      </c>
      <c r="J636" s="547" t="s">
        <v>9011</v>
      </c>
      <c r="K636" s="547" t="s">
        <v>9068</v>
      </c>
      <c r="L636" s="537" t="s">
        <v>541</v>
      </c>
    </row>
    <row r="637" spans="1:12" x14ac:dyDescent="0.2">
      <c r="A637" s="547" t="s">
        <v>220</v>
      </c>
      <c r="B637" s="547" t="s">
        <v>588</v>
      </c>
      <c r="C637" s="547" t="s">
        <v>1017</v>
      </c>
      <c r="D637" s="547" t="s">
        <v>1018</v>
      </c>
      <c r="E637" s="547" t="s">
        <v>545</v>
      </c>
      <c r="F637" s="567">
        <v>1210</v>
      </c>
      <c r="G637" s="545">
        <v>5.5221161193719572</v>
      </c>
      <c r="H637" s="545">
        <v>6681.760504440068</v>
      </c>
      <c r="I637" s="547" t="s">
        <v>9009</v>
      </c>
      <c r="J637" s="547" t="s">
        <v>9011</v>
      </c>
      <c r="K637" s="547" t="s">
        <v>9068</v>
      </c>
      <c r="L637" s="537" t="s">
        <v>541</v>
      </c>
    </row>
    <row r="638" spans="1:12" x14ac:dyDescent="0.2">
      <c r="A638" s="547" t="s">
        <v>220</v>
      </c>
      <c r="B638" s="547" t="s">
        <v>588</v>
      </c>
      <c r="C638" s="547" t="s">
        <v>1019</v>
      </c>
      <c r="D638" s="547" t="s">
        <v>1020</v>
      </c>
      <c r="E638" s="547" t="s">
        <v>545</v>
      </c>
      <c r="F638" s="567">
        <v>61</v>
      </c>
      <c r="G638" s="545">
        <v>3.799210713387116</v>
      </c>
      <c r="H638" s="545">
        <v>231.75185351661409</v>
      </c>
      <c r="I638" s="547" t="s">
        <v>9009</v>
      </c>
      <c r="J638" s="547" t="s">
        <v>9011</v>
      </c>
      <c r="K638" s="547" t="s">
        <v>9068</v>
      </c>
      <c r="L638" s="537" t="s">
        <v>541</v>
      </c>
    </row>
    <row r="639" spans="1:12" x14ac:dyDescent="0.2">
      <c r="A639" s="547" t="s">
        <v>220</v>
      </c>
      <c r="B639" s="547" t="s">
        <v>588</v>
      </c>
      <c r="C639" s="547" t="s">
        <v>1023</v>
      </c>
      <c r="D639" s="547" t="s">
        <v>1024</v>
      </c>
      <c r="E639" s="547" t="s">
        <v>545</v>
      </c>
      <c r="F639" s="567">
        <v>416</v>
      </c>
      <c r="G639" s="545">
        <v>5.5029647552872767</v>
      </c>
      <c r="H639" s="545">
        <v>2289.2333381995072</v>
      </c>
      <c r="I639" s="547" t="s">
        <v>9009</v>
      </c>
      <c r="J639" s="547" t="s">
        <v>9011</v>
      </c>
      <c r="K639" s="547" t="s">
        <v>9068</v>
      </c>
      <c r="L639" s="537" t="s">
        <v>541</v>
      </c>
    </row>
    <row r="640" spans="1:12" x14ac:dyDescent="0.2">
      <c r="A640" s="547" t="s">
        <v>220</v>
      </c>
      <c r="B640" s="547" t="s">
        <v>588</v>
      </c>
      <c r="C640" s="547" t="s">
        <v>1031</v>
      </c>
      <c r="D640" s="547" t="s">
        <v>1032</v>
      </c>
      <c r="E640" s="547" t="s">
        <v>545</v>
      </c>
      <c r="F640" s="567">
        <v>770</v>
      </c>
      <c r="G640" s="545">
        <v>6.3177269143451706</v>
      </c>
      <c r="H640" s="545">
        <v>4864.6497240457811</v>
      </c>
      <c r="I640" s="547" t="s">
        <v>9009</v>
      </c>
      <c r="J640" s="547" t="s">
        <v>9011</v>
      </c>
      <c r="K640" s="547" t="s">
        <v>9068</v>
      </c>
      <c r="L640" s="537" t="s">
        <v>541</v>
      </c>
    </row>
    <row r="641" spans="1:12" x14ac:dyDescent="0.2">
      <c r="A641" s="547" t="s">
        <v>220</v>
      </c>
      <c r="B641" s="547" t="s">
        <v>588</v>
      </c>
      <c r="C641" s="547" t="s">
        <v>1043</v>
      </c>
      <c r="D641" s="547" t="s">
        <v>1044</v>
      </c>
      <c r="E641" s="547" t="s">
        <v>545</v>
      </c>
      <c r="F641" s="567">
        <v>703</v>
      </c>
      <c r="G641" s="545">
        <v>7.4538456825029256</v>
      </c>
      <c r="H641" s="545">
        <v>5240.053514799557</v>
      </c>
      <c r="I641" s="547" t="s">
        <v>9009</v>
      </c>
      <c r="J641" s="547" t="s">
        <v>9011</v>
      </c>
      <c r="K641" s="547" t="s">
        <v>9068</v>
      </c>
      <c r="L641" s="537" t="s">
        <v>541</v>
      </c>
    </row>
    <row r="642" spans="1:12" x14ac:dyDescent="0.2">
      <c r="A642" s="547" t="s">
        <v>220</v>
      </c>
      <c r="B642" s="547" t="s">
        <v>588</v>
      </c>
      <c r="C642" s="547" t="s">
        <v>1045</v>
      </c>
      <c r="D642" s="547" t="s">
        <v>1046</v>
      </c>
      <c r="E642" s="547" t="s">
        <v>545</v>
      </c>
      <c r="F642" s="567">
        <v>92</v>
      </c>
      <c r="G642" s="545">
        <v>4.8170351583590918</v>
      </c>
      <c r="H642" s="545">
        <v>443.16723456903645</v>
      </c>
      <c r="I642" s="547" t="s">
        <v>9009</v>
      </c>
      <c r="J642" s="547" t="s">
        <v>9011</v>
      </c>
      <c r="K642" s="547" t="s">
        <v>9068</v>
      </c>
      <c r="L642" s="537" t="s">
        <v>541</v>
      </c>
    </row>
    <row r="643" spans="1:12" x14ac:dyDescent="0.2">
      <c r="A643" s="547" t="s">
        <v>220</v>
      </c>
      <c r="B643" s="547" t="s">
        <v>588</v>
      </c>
      <c r="C643" s="547" t="s">
        <v>1047</v>
      </c>
      <c r="D643" s="547" t="s">
        <v>1048</v>
      </c>
      <c r="E643" s="547" t="s">
        <v>545</v>
      </c>
      <c r="F643" s="567">
        <v>743</v>
      </c>
      <c r="G643" s="545">
        <v>8.5418546470319363</v>
      </c>
      <c r="H643" s="545">
        <v>6346.5980027447285</v>
      </c>
      <c r="I643" s="547" t="s">
        <v>9009</v>
      </c>
      <c r="J643" s="547" t="s">
        <v>9011</v>
      </c>
      <c r="K643" s="547" t="s">
        <v>9068</v>
      </c>
      <c r="L643" s="537" t="s">
        <v>541</v>
      </c>
    </row>
    <row r="644" spans="1:12" x14ac:dyDescent="0.2">
      <c r="A644" s="547" t="s">
        <v>220</v>
      </c>
      <c r="B644" s="547" t="s">
        <v>588</v>
      </c>
      <c r="C644" s="547" t="s">
        <v>1049</v>
      </c>
      <c r="D644" s="547" t="s">
        <v>1050</v>
      </c>
      <c r="E644" s="547" t="s">
        <v>545</v>
      </c>
      <c r="F644" s="567">
        <v>326</v>
      </c>
      <c r="G644" s="545">
        <v>7.1065880653533515</v>
      </c>
      <c r="H644" s="545">
        <v>2316.7477093051925</v>
      </c>
      <c r="I644" s="547" t="s">
        <v>9009</v>
      </c>
      <c r="J644" s="547" t="s">
        <v>9011</v>
      </c>
      <c r="K644" s="547" t="s">
        <v>9068</v>
      </c>
      <c r="L644" s="537" t="s">
        <v>541</v>
      </c>
    </row>
    <row r="645" spans="1:12" x14ac:dyDescent="0.2">
      <c r="A645" s="547" t="s">
        <v>220</v>
      </c>
      <c r="B645" s="547" t="s">
        <v>588</v>
      </c>
      <c r="C645" s="547" t="s">
        <v>1051</v>
      </c>
      <c r="D645" s="547" t="s">
        <v>1052</v>
      </c>
      <c r="E645" s="547" t="s">
        <v>545</v>
      </c>
      <c r="F645" s="567">
        <v>752</v>
      </c>
      <c r="G645" s="545">
        <v>12.986919601584198</v>
      </c>
      <c r="H645" s="545">
        <v>9766.1635403913169</v>
      </c>
      <c r="I645" s="547" t="s">
        <v>9009</v>
      </c>
      <c r="J645" s="547" t="s">
        <v>9011</v>
      </c>
      <c r="K645" s="547" t="s">
        <v>9068</v>
      </c>
      <c r="L645" s="537" t="s">
        <v>541</v>
      </c>
    </row>
    <row r="646" spans="1:12" x14ac:dyDescent="0.2">
      <c r="A646" s="547" t="s">
        <v>220</v>
      </c>
      <c r="B646" s="547" t="s">
        <v>588</v>
      </c>
      <c r="C646" s="547" t="s">
        <v>1053</v>
      </c>
      <c r="D646" s="547" t="s">
        <v>1054</v>
      </c>
      <c r="E646" s="547" t="s">
        <v>545</v>
      </c>
      <c r="F646" s="567">
        <v>100</v>
      </c>
      <c r="G646" s="545">
        <v>5.5004412631232924</v>
      </c>
      <c r="H646" s="545">
        <v>550.04412631232924</v>
      </c>
      <c r="I646" s="547" t="s">
        <v>9009</v>
      </c>
      <c r="J646" s="547" t="s">
        <v>9011</v>
      </c>
      <c r="K646" s="547" t="s">
        <v>9068</v>
      </c>
      <c r="L646" s="537" t="s">
        <v>541</v>
      </c>
    </row>
    <row r="647" spans="1:12" x14ac:dyDescent="0.2">
      <c r="A647" s="547" t="s">
        <v>220</v>
      </c>
      <c r="B647" s="547" t="s">
        <v>588</v>
      </c>
      <c r="C647" s="547" t="s">
        <v>1055</v>
      </c>
      <c r="D647" s="547" t="s">
        <v>1056</v>
      </c>
      <c r="E647" s="547" t="s">
        <v>545</v>
      </c>
      <c r="F647" s="567">
        <v>134</v>
      </c>
      <c r="G647" s="545">
        <v>5.3951399315746089</v>
      </c>
      <c r="H647" s="545">
        <v>722.9487508309976</v>
      </c>
      <c r="I647" s="547" t="s">
        <v>9009</v>
      </c>
      <c r="J647" s="547" t="s">
        <v>9011</v>
      </c>
      <c r="K647" s="547" t="s">
        <v>9068</v>
      </c>
      <c r="L647" s="537" t="s">
        <v>541</v>
      </c>
    </row>
    <row r="648" spans="1:12" x14ac:dyDescent="0.2">
      <c r="A648" s="547" t="s">
        <v>220</v>
      </c>
      <c r="B648" s="547" t="s">
        <v>588</v>
      </c>
      <c r="C648" s="547" t="s">
        <v>1057</v>
      </c>
      <c r="D648" s="547" t="s">
        <v>1058</v>
      </c>
      <c r="E648" s="547" t="s">
        <v>545</v>
      </c>
      <c r="F648" s="567">
        <v>640</v>
      </c>
      <c r="G648" s="545">
        <v>6.390525900598095</v>
      </c>
      <c r="H648" s="545">
        <v>4089.9365763827809</v>
      </c>
      <c r="I648" s="547" t="s">
        <v>9009</v>
      </c>
      <c r="J648" s="547" t="s">
        <v>9011</v>
      </c>
      <c r="K648" s="547" t="s">
        <v>9068</v>
      </c>
      <c r="L648" s="537" t="s">
        <v>541</v>
      </c>
    </row>
    <row r="649" spans="1:12" x14ac:dyDescent="0.2">
      <c r="A649" s="547" t="s">
        <v>220</v>
      </c>
      <c r="B649" s="547" t="s">
        <v>588</v>
      </c>
      <c r="C649" s="547" t="s">
        <v>1059</v>
      </c>
      <c r="D649" s="547" t="s">
        <v>1060</v>
      </c>
      <c r="E649" s="547" t="s">
        <v>545</v>
      </c>
      <c r="F649" s="567">
        <v>484</v>
      </c>
      <c r="G649" s="545">
        <v>3.2336327000489491</v>
      </c>
      <c r="H649" s="545">
        <v>1565.0782268236915</v>
      </c>
      <c r="I649" s="547" t="s">
        <v>9009</v>
      </c>
      <c r="J649" s="547" t="s">
        <v>9011</v>
      </c>
      <c r="K649" s="547" t="s">
        <v>9068</v>
      </c>
      <c r="L649" s="537" t="s">
        <v>541</v>
      </c>
    </row>
    <row r="650" spans="1:12" x14ac:dyDescent="0.2">
      <c r="A650" s="547" t="s">
        <v>220</v>
      </c>
      <c r="B650" s="547" t="s">
        <v>588</v>
      </c>
      <c r="C650" s="547" t="s">
        <v>1061</v>
      </c>
      <c r="D650" s="547" t="s">
        <v>1062</v>
      </c>
      <c r="E650" s="547" t="s">
        <v>545</v>
      </c>
      <c r="F650" s="567">
        <v>169</v>
      </c>
      <c r="G650" s="545">
        <v>2.9343711995187785</v>
      </c>
      <c r="H650" s="545">
        <v>495.90873271867355</v>
      </c>
      <c r="I650" s="547" t="s">
        <v>9009</v>
      </c>
      <c r="J650" s="547" t="s">
        <v>9011</v>
      </c>
      <c r="K650" s="547" t="s">
        <v>9068</v>
      </c>
      <c r="L650" s="537" t="s">
        <v>541</v>
      </c>
    </row>
    <row r="651" spans="1:12" x14ac:dyDescent="0.2">
      <c r="A651" s="547" t="s">
        <v>220</v>
      </c>
      <c r="B651" s="547" t="s">
        <v>588</v>
      </c>
      <c r="C651" s="547" t="s">
        <v>1063</v>
      </c>
      <c r="D651" s="547" t="s">
        <v>1064</v>
      </c>
      <c r="E651" s="547" t="s">
        <v>545</v>
      </c>
      <c r="F651" s="567">
        <v>69</v>
      </c>
      <c r="G651" s="545">
        <v>2.934371199518778</v>
      </c>
      <c r="H651" s="545">
        <v>202.47161276679569</v>
      </c>
      <c r="I651" s="547" t="s">
        <v>9009</v>
      </c>
      <c r="J651" s="547" t="s">
        <v>9011</v>
      </c>
      <c r="K651" s="547" t="s">
        <v>9068</v>
      </c>
      <c r="L651" s="537" t="s">
        <v>541</v>
      </c>
    </row>
    <row r="652" spans="1:12" x14ac:dyDescent="0.2">
      <c r="A652" s="547" t="s">
        <v>220</v>
      </c>
      <c r="B652" s="547" t="s">
        <v>588</v>
      </c>
      <c r="C652" s="547" t="s">
        <v>1065</v>
      </c>
      <c r="D652" s="547" t="s">
        <v>1066</v>
      </c>
      <c r="E652" s="547" t="s">
        <v>545</v>
      </c>
      <c r="F652" s="567">
        <v>340</v>
      </c>
      <c r="G652" s="545">
        <v>4.7065467692809513</v>
      </c>
      <c r="H652" s="545">
        <v>1600.2259015555235</v>
      </c>
      <c r="I652" s="547" t="s">
        <v>9009</v>
      </c>
      <c r="J652" s="547" t="s">
        <v>9011</v>
      </c>
      <c r="K652" s="547" t="s">
        <v>9068</v>
      </c>
      <c r="L652" s="537" t="s">
        <v>541</v>
      </c>
    </row>
    <row r="653" spans="1:12" x14ac:dyDescent="0.2">
      <c r="A653" s="547" t="s">
        <v>220</v>
      </c>
      <c r="B653" s="547" t="s">
        <v>588</v>
      </c>
      <c r="C653" s="547" t="s">
        <v>1067</v>
      </c>
      <c r="D653" s="547" t="s">
        <v>1068</v>
      </c>
      <c r="E653" s="547" t="s">
        <v>545</v>
      </c>
      <c r="F653" s="567">
        <v>1920</v>
      </c>
      <c r="G653" s="545">
        <v>4.4630730216745906</v>
      </c>
      <c r="H653" s="545">
        <v>8569.1002016152142</v>
      </c>
      <c r="I653" s="547" t="s">
        <v>9009</v>
      </c>
      <c r="J653" s="547" t="s">
        <v>9011</v>
      </c>
      <c r="K653" s="547" t="s">
        <v>9068</v>
      </c>
      <c r="L653" s="537" t="s">
        <v>541</v>
      </c>
    </row>
    <row r="654" spans="1:12" x14ac:dyDescent="0.2">
      <c r="A654" s="547" t="s">
        <v>220</v>
      </c>
      <c r="B654" s="547" t="s">
        <v>588</v>
      </c>
      <c r="C654" s="547" t="s">
        <v>1069</v>
      </c>
      <c r="D654" s="547" t="s">
        <v>1070</v>
      </c>
      <c r="E654" s="547" t="s">
        <v>545</v>
      </c>
      <c r="F654" s="567">
        <v>735</v>
      </c>
      <c r="G654" s="545">
        <v>4.4968846514170711</v>
      </c>
      <c r="H654" s="545">
        <v>3305.210218791547</v>
      </c>
      <c r="I654" s="547" t="s">
        <v>9009</v>
      </c>
      <c r="J654" s="547" t="s">
        <v>9011</v>
      </c>
      <c r="K654" s="547" t="s">
        <v>9068</v>
      </c>
      <c r="L654" s="537" t="s">
        <v>541</v>
      </c>
    </row>
    <row r="655" spans="1:12" x14ac:dyDescent="0.2">
      <c r="A655" s="547" t="s">
        <v>220</v>
      </c>
      <c r="B655" s="547" t="s">
        <v>588</v>
      </c>
      <c r="C655" s="547" t="s">
        <v>9508</v>
      </c>
      <c r="D655" s="547" t="s">
        <v>9509</v>
      </c>
      <c r="E655" s="547" t="s">
        <v>545</v>
      </c>
      <c r="F655" s="567">
        <v>324</v>
      </c>
      <c r="G655" s="545">
        <v>6.1760000000000002</v>
      </c>
      <c r="H655" s="545">
        <v>2001.0240000000001</v>
      </c>
      <c r="I655" s="547" t="s">
        <v>9009</v>
      </c>
      <c r="J655" s="547" t="s">
        <v>9011</v>
      </c>
      <c r="K655" s="547" t="s">
        <v>9068</v>
      </c>
      <c r="L655" s="537" t="s">
        <v>541</v>
      </c>
    </row>
    <row r="656" spans="1:12" x14ac:dyDescent="0.2">
      <c r="A656" s="547" t="s">
        <v>220</v>
      </c>
      <c r="B656" s="547" t="s">
        <v>588</v>
      </c>
      <c r="C656" s="547" t="s">
        <v>1071</v>
      </c>
      <c r="D656" s="547" t="s">
        <v>1072</v>
      </c>
      <c r="E656" s="547" t="s">
        <v>545</v>
      </c>
      <c r="F656" s="567">
        <v>1332</v>
      </c>
      <c r="G656" s="545">
        <v>4.6824795990752524</v>
      </c>
      <c r="H656" s="545">
        <v>6237.0628259682362</v>
      </c>
      <c r="I656" s="547" t="s">
        <v>9009</v>
      </c>
      <c r="J656" s="547" t="s">
        <v>9011</v>
      </c>
      <c r="K656" s="547" t="s">
        <v>9068</v>
      </c>
      <c r="L656" s="537" t="s">
        <v>541</v>
      </c>
    </row>
    <row r="657" spans="1:12" x14ac:dyDescent="0.2">
      <c r="A657" s="547" t="s">
        <v>220</v>
      </c>
      <c r="B657" s="547" t="s">
        <v>588</v>
      </c>
      <c r="C657" s="547" t="s">
        <v>1073</v>
      </c>
      <c r="D657" s="547" t="s">
        <v>1074</v>
      </c>
      <c r="E657" s="547" t="s">
        <v>545</v>
      </c>
      <c r="F657" s="567">
        <v>2161</v>
      </c>
      <c r="G657" s="545">
        <v>4.6826123881533972</v>
      </c>
      <c r="H657" s="545">
        <v>10119.125370799491</v>
      </c>
      <c r="I657" s="547" t="s">
        <v>9009</v>
      </c>
      <c r="J657" s="547" t="s">
        <v>9011</v>
      </c>
      <c r="K657" s="547" t="s">
        <v>9068</v>
      </c>
      <c r="L657" s="537" t="s">
        <v>541</v>
      </c>
    </row>
    <row r="658" spans="1:12" x14ac:dyDescent="0.2">
      <c r="A658" s="547" t="s">
        <v>220</v>
      </c>
      <c r="B658" s="547" t="s">
        <v>588</v>
      </c>
      <c r="C658" s="547" t="s">
        <v>1075</v>
      </c>
      <c r="D658" s="547" t="s">
        <v>1076</v>
      </c>
      <c r="E658" s="547" t="s">
        <v>545</v>
      </c>
      <c r="F658" s="567">
        <v>252</v>
      </c>
      <c r="G658" s="545">
        <v>3.7557741381350422</v>
      </c>
      <c r="H658" s="545">
        <v>946.4550828100306</v>
      </c>
      <c r="I658" s="547" t="s">
        <v>9009</v>
      </c>
      <c r="J658" s="547" t="s">
        <v>9011</v>
      </c>
      <c r="K658" s="547" t="s">
        <v>9068</v>
      </c>
      <c r="L658" s="537" t="s">
        <v>541</v>
      </c>
    </row>
    <row r="659" spans="1:12" x14ac:dyDescent="0.2">
      <c r="A659" s="547" t="s">
        <v>220</v>
      </c>
      <c r="B659" s="547" t="s">
        <v>588</v>
      </c>
      <c r="C659" s="547" t="s">
        <v>1077</v>
      </c>
      <c r="D659" s="547" t="s">
        <v>1078</v>
      </c>
      <c r="E659" s="547" t="s">
        <v>545</v>
      </c>
      <c r="F659" s="567">
        <v>220</v>
      </c>
      <c r="G659" s="545">
        <v>3.7910068628949665</v>
      </c>
      <c r="H659" s="545">
        <v>834.02150983689262</v>
      </c>
      <c r="I659" s="547" t="s">
        <v>9009</v>
      </c>
      <c r="J659" s="547" t="s">
        <v>9011</v>
      </c>
      <c r="K659" s="547" t="s">
        <v>9068</v>
      </c>
      <c r="L659" s="537" t="s">
        <v>541</v>
      </c>
    </row>
    <row r="660" spans="1:12" x14ac:dyDescent="0.2">
      <c r="A660" s="547" t="s">
        <v>220</v>
      </c>
      <c r="B660" s="547" t="s">
        <v>588</v>
      </c>
      <c r="C660" s="547" t="s">
        <v>1079</v>
      </c>
      <c r="D660" s="547" t="s">
        <v>1080</v>
      </c>
      <c r="E660" s="547" t="s">
        <v>545</v>
      </c>
      <c r="F660" s="567">
        <v>416</v>
      </c>
      <c r="G660" s="545">
        <v>3.5997570689072611</v>
      </c>
      <c r="H660" s="545">
        <v>1497.4989406654206</v>
      </c>
      <c r="I660" s="547" t="s">
        <v>9009</v>
      </c>
      <c r="J660" s="547" t="s">
        <v>9011</v>
      </c>
      <c r="K660" s="547" t="s">
        <v>9068</v>
      </c>
      <c r="L660" s="537" t="s">
        <v>541</v>
      </c>
    </row>
    <row r="661" spans="1:12" x14ac:dyDescent="0.2">
      <c r="A661" s="547" t="s">
        <v>220</v>
      </c>
      <c r="B661" s="547" t="s">
        <v>588</v>
      </c>
      <c r="C661" s="547" t="s">
        <v>1081</v>
      </c>
      <c r="D661" s="547" t="s">
        <v>1082</v>
      </c>
      <c r="E661" s="547" t="s">
        <v>545</v>
      </c>
      <c r="F661" s="567">
        <v>258</v>
      </c>
      <c r="G661" s="545">
        <v>3.6825427709029004</v>
      </c>
      <c r="H661" s="545">
        <v>950.0960348929483</v>
      </c>
      <c r="I661" s="547" t="s">
        <v>9009</v>
      </c>
      <c r="J661" s="547" t="s">
        <v>9011</v>
      </c>
      <c r="K661" s="547" t="s">
        <v>9068</v>
      </c>
      <c r="L661" s="537" t="s">
        <v>541</v>
      </c>
    </row>
    <row r="662" spans="1:12" x14ac:dyDescent="0.2">
      <c r="A662" s="547" t="s">
        <v>220</v>
      </c>
      <c r="B662" s="547" t="s">
        <v>588</v>
      </c>
      <c r="C662" s="547" t="s">
        <v>1083</v>
      </c>
      <c r="D662" s="547" t="s">
        <v>1084</v>
      </c>
      <c r="E662" s="547" t="s">
        <v>545</v>
      </c>
      <c r="F662" s="567">
        <v>110</v>
      </c>
      <c r="G662" s="545">
        <v>14.521924566237061</v>
      </c>
      <c r="H662" s="545">
        <v>1597.4117022860767</v>
      </c>
      <c r="I662" s="547" t="s">
        <v>9009</v>
      </c>
      <c r="J662" s="547" t="s">
        <v>9011</v>
      </c>
      <c r="K662" s="547" t="s">
        <v>9068</v>
      </c>
      <c r="L662" s="537" t="s">
        <v>541</v>
      </c>
    </row>
    <row r="663" spans="1:12" x14ac:dyDescent="0.2">
      <c r="A663" s="547" t="s">
        <v>220</v>
      </c>
      <c r="B663" s="547" t="s">
        <v>588</v>
      </c>
      <c r="C663" s="547" t="s">
        <v>1085</v>
      </c>
      <c r="D663" s="547" t="s">
        <v>1086</v>
      </c>
      <c r="E663" s="547" t="s">
        <v>545</v>
      </c>
      <c r="F663" s="567">
        <v>201</v>
      </c>
      <c r="G663" s="545">
        <v>5.5481160630178872</v>
      </c>
      <c r="H663" s="545">
        <v>1115.1713286665954</v>
      </c>
      <c r="I663" s="547" t="s">
        <v>9009</v>
      </c>
      <c r="J663" s="547" t="s">
        <v>9011</v>
      </c>
      <c r="K663" s="547" t="s">
        <v>9068</v>
      </c>
      <c r="L663" s="537" t="s">
        <v>541</v>
      </c>
    </row>
    <row r="664" spans="1:12" x14ac:dyDescent="0.2">
      <c r="A664" s="547" t="s">
        <v>220</v>
      </c>
      <c r="B664" s="547" t="s">
        <v>588</v>
      </c>
      <c r="C664" s="547" t="s">
        <v>1087</v>
      </c>
      <c r="D664" s="547" t="s">
        <v>1088</v>
      </c>
      <c r="E664" s="547" t="s">
        <v>545</v>
      </c>
      <c r="F664" s="567">
        <v>1208</v>
      </c>
      <c r="G664" s="545">
        <v>6.061147378368406</v>
      </c>
      <c r="H664" s="545">
        <v>7321.8660330690345</v>
      </c>
      <c r="I664" s="547" t="s">
        <v>9009</v>
      </c>
      <c r="J664" s="547" t="s">
        <v>9011</v>
      </c>
      <c r="K664" s="547" t="s">
        <v>9068</v>
      </c>
      <c r="L664" s="537" t="s">
        <v>541</v>
      </c>
    </row>
    <row r="665" spans="1:12" x14ac:dyDescent="0.2">
      <c r="A665" s="547" t="s">
        <v>220</v>
      </c>
      <c r="B665" s="547" t="s">
        <v>588</v>
      </c>
      <c r="C665" s="547" t="s">
        <v>1089</v>
      </c>
      <c r="D665" s="547" t="s">
        <v>1090</v>
      </c>
      <c r="E665" s="547" t="s">
        <v>545</v>
      </c>
      <c r="F665" s="567">
        <v>1497</v>
      </c>
      <c r="G665" s="545">
        <v>6.1706129697112155</v>
      </c>
      <c r="H665" s="545">
        <v>9237.4076156576903</v>
      </c>
      <c r="I665" s="547" t="s">
        <v>9009</v>
      </c>
      <c r="J665" s="547" t="s">
        <v>9011</v>
      </c>
      <c r="K665" s="547" t="s">
        <v>9068</v>
      </c>
      <c r="L665" s="537" t="s">
        <v>541</v>
      </c>
    </row>
    <row r="666" spans="1:12" x14ac:dyDescent="0.2">
      <c r="A666" s="547" t="s">
        <v>220</v>
      </c>
      <c r="B666" s="547" t="s">
        <v>588</v>
      </c>
      <c r="C666" s="547" t="s">
        <v>1091</v>
      </c>
      <c r="D666" s="547" t="s">
        <v>1092</v>
      </c>
      <c r="E666" s="547" t="s">
        <v>545</v>
      </c>
      <c r="F666" s="567">
        <v>112</v>
      </c>
      <c r="G666" s="545">
        <v>5.9537973873009085</v>
      </c>
      <c r="H666" s="545">
        <v>666.82530737770173</v>
      </c>
      <c r="I666" s="547" t="s">
        <v>9009</v>
      </c>
      <c r="J666" s="547" t="s">
        <v>9011</v>
      </c>
      <c r="K666" s="547" t="s">
        <v>9068</v>
      </c>
      <c r="L666" s="537" t="s">
        <v>541</v>
      </c>
    </row>
    <row r="667" spans="1:12" x14ac:dyDescent="0.2">
      <c r="A667" s="547" t="s">
        <v>220</v>
      </c>
      <c r="B667" s="547" t="s">
        <v>588</v>
      </c>
      <c r="C667" s="547" t="s">
        <v>1093</v>
      </c>
      <c r="D667" s="547" t="s">
        <v>1094</v>
      </c>
      <c r="E667" s="547" t="s">
        <v>545</v>
      </c>
      <c r="F667" s="567">
        <v>2588</v>
      </c>
      <c r="G667" s="545">
        <v>3.7604213644548654</v>
      </c>
      <c r="H667" s="545">
        <v>9731.9704912091911</v>
      </c>
      <c r="I667" s="547" t="s">
        <v>9009</v>
      </c>
      <c r="J667" s="547" t="s">
        <v>9011</v>
      </c>
      <c r="K667" s="547" t="s">
        <v>9068</v>
      </c>
      <c r="L667" s="537" t="s">
        <v>541</v>
      </c>
    </row>
    <row r="668" spans="1:12" x14ac:dyDescent="0.2">
      <c r="A668" s="547" t="s">
        <v>220</v>
      </c>
      <c r="B668" s="547" t="s">
        <v>588</v>
      </c>
      <c r="C668" s="547" t="s">
        <v>1095</v>
      </c>
      <c r="D668" s="547" t="s">
        <v>1096</v>
      </c>
      <c r="E668" s="547" t="s">
        <v>545</v>
      </c>
      <c r="F668" s="567">
        <v>816</v>
      </c>
      <c r="G668" s="545">
        <v>3.7259121124582602</v>
      </c>
      <c r="H668" s="545">
        <v>3040.3442837659404</v>
      </c>
      <c r="I668" s="547" t="s">
        <v>9009</v>
      </c>
      <c r="J668" s="547" t="s">
        <v>9011</v>
      </c>
      <c r="K668" s="547" t="s">
        <v>9068</v>
      </c>
      <c r="L668" s="537" t="s">
        <v>541</v>
      </c>
    </row>
    <row r="669" spans="1:12" x14ac:dyDescent="0.2">
      <c r="A669" s="547" t="s">
        <v>220</v>
      </c>
      <c r="B669" s="547" t="s">
        <v>588</v>
      </c>
      <c r="C669" s="547" t="s">
        <v>1097</v>
      </c>
      <c r="D669" s="547" t="s">
        <v>1098</v>
      </c>
      <c r="E669" s="547" t="s">
        <v>545</v>
      </c>
      <c r="F669" s="567">
        <v>794</v>
      </c>
      <c r="G669" s="545">
        <v>6.4336815331759523</v>
      </c>
      <c r="H669" s="545">
        <v>5108.3431373417061</v>
      </c>
      <c r="I669" s="547" t="s">
        <v>9009</v>
      </c>
      <c r="J669" s="547" t="s">
        <v>9011</v>
      </c>
      <c r="K669" s="547" t="s">
        <v>9068</v>
      </c>
      <c r="L669" s="537" t="s">
        <v>541</v>
      </c>
    </row>
    <row r="670" spans="1:12" x14ac:dyDescent="0.2">
      <c r="A670" s="547" t="s">
        <v>220</v>
      </c>
      <c r="B670" s="547" t="s">
        <v>588</v>
      </c>
      <c r="C670" s="547" t="s">
        <v>1099</v>
      </c>
      <c r="D670" s="547" t="s">
        <v>1100</v>
      </c>
      <c r="E670" s="547" t="s">
        <v>545</v>
      </c>
      <c r="F670" s="567">
        <v>560</v>
      </c>
      <c r="G670" s="545">
        <v>6.5476639429128749</v>
      </c>
      <c r="H670" s="545">
        <v>3666.6918080312098</v>
      </c>
      <c r="I670" s="547" t="s">
        <v>9009</v>
      </c>
      <c r="J670" s="547" t="s">
        <v>9011</v>
      </c>
      <c r="K670" s="547" t="s">
        <v>9068</v>
      </c>
      <c r="L670" s="537" t="s">
        <v>541</v>
      </c>
    </row>
    <row r="671" spans="1:12" x14ac:dyDescent="0.2">
      <c r="A671" s="547" t="s">
        <v>220</v>
      </c>
      <c r="B671" s="547" t="s">
        <v>588</v>
      </c>
      <c r="C671" s="547" t="s">
        <v>1101</v>
      </c>
      <c r="D671" s="547" t="s">
        <v>9563</v>
      </c>
      <c r="E671" s="547" t="s">
        <v>545</v>
      </c>
      <c r="F671" s="567">
        <v>1000</v>
      </c>
      <c r="G671" s="545">
        <v>3.4723737049999999</v>
      </c>
      <c r="H671" s="545">
        <v>3472.373705</v>
      </c>
      <c r="I671" s="547" t="s">
        <v>9009</v>
      </c>
      <c r="J671" s="547" t="s">
        <v>9011</v>
      </c>
      <c r="K671" s="547" t="s">
        <v>9068</v>
      </c>
      <c r="L671" s="537" t="s">
        <v>541</v>
      </c>
    </row>
    <row r="672" spans="1:12" x14ac:dyDescent="0.2">
      <c r="A672" s="547" t="s">
        <v>220</v>
      </c>
      <c r="B672" s="547" t="s">
        <v>588</v>
      </c>
      <c r="C672" s="547" t="s">
        <v>1103</v>
      </c>
      <c r="D672" s="547" t="s">
        <v>1104</v>
      </c>
      <c r="E672" s="547" t="s">
        <v>545</v>
      </c>
      <c r="F672" s="567">
        <v>1081</v>
      </c>
      <c r="G672" s="545">
        <v>3.9785766482005323</v>
      </c>
      <c r="H672" s="545">
        <v>4300.8413567047755</v>
      </c>
      <c r="I672" s="547" t="s">
        <v>9009</v>
      </c>
      <c r="J672" s="547" t="s">
        <v>9011</v>
      </c>
      <c r="K672" s="547" t="s">
        <v>9068</v>
      </c>
      <c r="L672" s="537" t="s">
        <v>541</v>
      </c>
    </row>
    <row r="673" spans="1:12" x14ac:dyDescent="0.2">
      <c r="A673" s="547" t="s">
        <v>220</v>
      </c>
      <c r="B673" s="547" t="s">
        <v>588</v>
      </c>
      <c r="C673" s="547" t="s">
        <v>1105</v>
      </c>
      <c r="D673" s="547" t="s">
        <v>7674</v>
      </c>
      <c r="E673" s="547" t="s">
        <v>545</v>
      </c>
      <c r="F673" s="567">
        <v>994</v>
      </c>
      <c r="G673" s="545">
        <v>3.976761247413934</v>
      </c>
      <c r="H673" s="545">
        <v>3952.9006799294502</v>
      </c>
      <c r="I673" s="547" t="s">
        <v>9009</v>
      </c>
      <c r="J673" s="547" t="s">
        <v>9011</v>
      </c>
      <c r="K673" s="547" t="s">
        <v>9068</v>
      </c>
      <c r="L673" s="537" t="s">
        <v>541</v>
      </c>
    </row>
    <row r="674" spans="1:12" x14ac:dyDescent="0.2">
      <c r="A674" s="547" t="s">
        <v>220</v>
      </c>
      <c r="B674" s="547" t="s">
        <v>588</v>
      </c>
      <c r="C674" s="547" t="s">
        <v>1107</v>
      </c>
      <c r="D674" s="547" t="s">
        <v>1108</v>
      </c>
      <c r="E674" s="547" t="s">
        <v>639</v>
      </c>
      <c r="F674" s="567">
        <v>4934</v>
      </c>
      <c r="G674" s="545">
        <v>3.1653547978026206</v>
      </c>
      <c r="H674" s="545">
        <v>15617.86057235813</v>
      </c>
      <c r="I674" s="547" t="s">
        <v>9009</v>
      </c>
      <c r="J674" s="547" t="s">
        <v>9011</v>
      </c>
      <c r="K674" s="547" t="s">
        <v>9038</v>
      </c>
      <c r="L674" s="537" t="s">
        <v>541</v>
      </c>
    </row>
    <row r="675" spans="1:12" x14ac:dyDescent="0.2">
      <c r="A675" s="547" t="s">
        <v>220</v>
      </c>
      <c r="B675" s="547" t="s">
        <v>588</v>
      </c>
      <c r="C675" s="547" t="s">
        <v>1109</v>
      </c>
      <c r="D675" s="547" t="s">
        <v>9139</v>
      </c>
      <c r="E675" s="547" t="s">
        <v>639</v>
      </c>
      <c r="F675" s="567">
        <v>3973</v>
      </c>
      <c r="G675" s="545">
        <v>6.8234158705656993</v>
      </c>
      <c r="H675" s="545">
        <v>27109.431253757524</v>
      </c>
      <c r="I675" s="547" t="s">
        <v>9009</v>
      </c>
      <c r="J675" s="547" t="s">
        <v>9011</v>
      </c>
      <c r="K675" s="547" t="s">
        <v>9038</v>
      </c>
      <c r="L675" s="537" t="s">
        <v>541</v>
      </c>
    </row>
    <row r="676" spans="1:12" x14ac:dyDescent="0.2">
      <c r="A676" s="547" t="s">
        <v>220</v>
      </c>
      <c r="B676" s="547" t="s">
        <v>588</v>
      </c>
      <c r="C676" s="547" t="s">
        <v>1111</v>
      </c>
      <c r="D676" s="547" t="s">
        <v>1112</v>
      </c>
      <c r="E676" s="547" t="s">
        <v>639</v>
      </c>
      <c r="F676" s="567">
        <v>37203</v>
      </c>
      <c r="G676" s="545">
        <v>2.2287063344745457</v>
      </c>
      <c r="H676" s="545">
        <v>82914.561761456527</v>
      </c>
      <c r="I676" s="547" t="s">
        <v>9009</v>
      </c>
      <c r="J676" s="547" t="s">
        <v>9011</v>
      </c>
      <c r="K676" s="547" t="s">
        <v>9038</v>
      </c>
      <c r="L676" s="537" t="s">
        <v>541</v>
      </c>
    </row>
    <row r="677" spans="1:12" x14ac:dyDescent="0.2">
      <c r="A677" s="547" t="s">
        <v>220</v>
      </c>
      <c r="B677" s="547" t="s">
        <v>588</v>
      </c>
      <c r="C677" s="547" t="s">
        <v>1113</v>
      </c>
      <c r="D677" s="547" t="s">
        <v>1114</v>
      </c>
      <c r="E677" s="547" t="s">
        <v>639</v>
      </c>
      <c r="F677" s="567">
        <v>62553</v>
      </c>
      <c r="G677" s="545">
        <v>2.3547234064806553</v>
      </c>
      <c r="H677" s="545">
        <v>147295.01324558441</v>
      </c>
      <c r="I677" s="547" t="s">
        <v>9009</v>
      </c>
      <c r="J677" s="547" t="s">
        <v>9011</v>
      </c>
      <c r="K677" s="547" t="s">
        <v>9038</v>
      </c>
      <c r="L677" s="537" t="s">
        <v>541</v>
      </c>
    </row>
    <row r="678" spans="1:12" x14ac:dyDescent="0.2">
      <c r="A678" s="547" t="s">
        <v>220</v>
      </c>
      <c r="B678" s="547" t="s">
        <v>588</v>
      </c>
      <c r="C678" s="547" t="s">
        <v>1122</v>
      </c>
      <c r="D678" s="547" t="s">
        <v>1123</v>
      </c>
      <c r="E678" s="547" t="s">
        <v>545</v>
      </c>
      <c r="F678" s="567">
        <v>1000</v>
      </c>
      <c r="G678" s="545">
        <v>0.74569773950216922</v>
      </c>
      <c r="H678" s="545">
        <v>745.69773950216927</v>
      </c>
      <c r="I678" s="547" t="s">
        <v>9009</v>
      </c>
      <c r="J678" s="547" t="s">
        <v>9015</v>
      </c>
      <c r="K678" s="547" t="s">
        <v>8996</v>
      </c>
      <c r="L678" s="537" t="s">
        <v>541</v>
      </c>
    </row>
    <row r="679" spans="1:12" x14ac:dyDescent="0.2">
      <c r="A679" s="547" t="s">
        <v>220</v>
      </c>
      <c r="B679" s="547" t="s">
        <v>588</v>
      </c>
      <c r="C679" s="547" t="s">
        <v>1124</v>
      </c>
      <c r="D679" s="547" t="s">
        <v>1125</v>
      </c>
      <c r="E679" s="547" t="s">
        <v>545</v>
      </c>
      <c r="F679" s="567">
        <v>5000</v>
      </c>
      <c r="G679" s="545">
        <v>0.16800000000000001</v>
      </c>
      <c r="H679" s="545">
        <v>840</v>
      </c>
      <c r="I679" s="547" t="s">
        <v>9009</v>
      </c>
      <c r="J679" s="547" t="s">
        <v>9015</v>
      </c>
      <c r="K679" s="547" t="s">
        <v>8996</v>
      </c>
      <c r="L679" s="537" t="s">
        <v>541</v>
      </c>
    </row>
    <row r="680" spans="1:12" x14ac:dyDescent="0.2">
      <c r="A680" s="547" t="s">
        <v>220</v>
      </c>
      <c r="B680" s="547" t="s">
        <v>588</v>
      </c>
      <c r="C680" s="547" t="s">
        <v>1126</v>
      </c>
      <c r="D680" s="547" t="s">
        <v>1127</v>
      </c>
      <c r="E680" s="547" t="s">
        <v>545</v>
      </c>
      <c r="F680" s="567">
        <v>2800</v>
      </c>
      <c r="G680" s="545">
        <v>0.17177000000000001</v>
      </c>
      <c r="H680" s="545">
        <v>480.95600000000002</v>
      </c>
      <c r="I680" s="547" t="s">
        <v>9009</v>
      </c>
      <c r="J680" s="547" t="s">
        <v>9015</v>
      </c>
      <c r="K680" s="547" t="s">
        <v>8996</v>
      </c>
      <c r="L680" s="537" t="s">
        <v>541</v>
      </c>
    </row>
    <row r="681" spans="1:12" x14ac:dyDescent="0.2">
      <c r="A681" s="547" t="s">
        <v>220</v>
      </c>
      <c r="B681" s="547" t="s">
        <v>588</v>
      </c>
      <c r="C681" s="547" t="s">
        <v>1128</v>
      </c>
      <c r="D681" s="547" t="s">
        <v>1129</v>
      </c>
      <c r="E681" s="547" t="s">
        <v>545</v>
      </c>
      <c r="F681" s="567">
        <v>5200</v>
      </c>
      <c r="G681" s="545">
        <v>0.54003838002969673</v>
      </c>
      <c r="H681" s="545">
        <v>2808.1995761544231</v>
      </c>
      <c r="I681" s="547" t="s">
        <v>9009</v>
      </c>
      <c r="J681" s="547" t="s">
        <v>9015</v>
      </c>
      <c r="K681" s="547" t="s">
        <v>8996</v>
      </c>
      <c r="L681" s="537" t="s">
        <v>541</v>
      </c>
    </row>
    <row r="682" spans="1:12" x14ac:dyDescent="0.2">
      <c r="A682" s="547" t="s">
        <v>220</v>
      </c>
      <c r="B682" s="547" t="s">
        <v>588</v>
      </c>
      <c r="C682" s="547" t="s">
        <v>1130</v>
      </c>
      <c r="D682" s="547" t="s">
        <v>1131</v>
      </c>
      <c r="E682" s="547" t="s">
        <v>545</v>
      </c>
      <c r="F682" s="567">
        <v>14000</v>
      </c>
      <c r="G682" s="545">
        <v>4.2423225523259056E-2</v>
      </c>
      <c r="H682" s="545">
        <v>593.92515732562674</v>
      </c>
      <c r="I682" s="547" t="s">
        <v>9009</v>
      </c>
      <c r="J682" s="547" t="s">
        <v>9015</v>
      </c>
      <c r="K682" s="547" t="s">
        <v>8996</v>
      </c>
      <c r="L682" s="537" t="s">
        <v>541</v>
      </c>
    </row>
    <row r="683" spans="1:12" x14ac:dyDescent="0.2">
      <c r="A683" s="547" t="s">
        <v>220</v>
      </c>
      <c r="B683" s="547" t="s">
        <v>588</v>
      </c>
      <c r="C683" s="547" t="s">
        <v>1132</v>
      </c>
      <c r="D683" s="547" t="s">
        <v>1133</v>
      </c>
      <c r="E683" s="547" t="s">
        <v>545</v>
      </c>
      <c r="F683" s="567">
        <v>550</v>
      </c>
      <c r="G683" s="545">
        <v>0.26982530896707219</v>
      </c>
      <c r="H683" s="545">
        <v>148.4039199318897</v>
      </c>
      <c r="I683" s="547" t="s">
        <v>9009</v>
      </c>
      <c r="J683" s="547" t="s">
        <v>9015</v>
      </c>
      <c r="K683" s="547" t="s">
        <v>8996</v>
      </c>
      <c r="L683" s="537" t="s">
        <v>541</v>
      </c>
    </row>
    <row r="684" spans="1:12" x14ac:dyDescent="0.2">
      <c r="A684" s="547" t="s">
        <v>220</v>
      </c>
      <c r="B684" s="547" t="s">
        <v>588</v>
      </c>
      <c r="C684" s="547" t="s">
        <v>1134</v>
      </c>
      <c r="D684" s="547" t="s">
        <v>1135</v>
      </c>
      <c r="E684" s="547" t="s">
        <v>545</v>
      </c>
      <c r="F684" s="567">
        <v>8000</v>
      </c>
      <c r="G684" s="545">
        <v>7.2081642607498053E-2</v>
      </c>
      <c r="H684" s="545">
        <v>576.65314085998443</v>
      </c>
      <c r="I684" s="547" t="s">
        <v>9009</v>
      </c>
      <c r="J684" s="547" t="s">
        <v>9015</v>
      </c>
      <c r="K684" s="547" t="s">
        <v>8996</v>
      </c>
      <c r="L684" s="537" t="s">
        <v>541</v>
      </c>
    </row>
    <row r="685" spans="1:12" x14ac:dyDescent="0.2">
      <c r="A685" s="547" t="s">
        <v>220</v>
      </c>
      <c r="B685" s="547" t="s">
        <v>588</v>
      </c>
      <c r="C685" s="547" t="s">
        <v>1136</v>
      </c>
      <c r="D685" s="547" t="s">
        <v>1137</v>
      </c>
      <c r="E685" s="547" t="s">
        <v>545</v>
      </c>
      <c r="F685" s="567">
        <v>91000</v>
      </c>
      <c r="G685" s="545">
        <v>0.12688580882770911</v>
      </c>
      <c r="H685" s="545">
        <v>11546.608603321529</v>
      </c>
      <c r="I685" s="547" t="s">
        <v>9009</v>
      </c>
      <c r="J685" s="547" t="s">
        <v>9015</v>
      </c>
      <c r="K685" s="547" t="s">
        <v>8996</v>
      </c>
      <c r="L685" s="537" t="s">
        <v>541</v>
      </c>
    </row>
    <row r="686" spans="1:12" x14ac:dyDescent="0.2">
      <c r="A686" s="547" t="s">
        <v>220</v>
      </c>
      <c r="B686" s="547" t="s">
        <v>588</v>
      </c>
      <c r="C686" s="547" t="s">
        <v>1138</v>
      </c>
      <c r="D686" s="547" t="s">
        <v>1139</v>
      </c>
      <c r="E686" s="547" t="s">
        <v>545</v>
      </c>
      <c r="F686" s="567">
        <v>126000</v>
      </c>
      <c r="G686" s="545">
        <v>0.12030651236000431</v>
      </c>
      <c r="H686" s="545">
        <v>15158.620557360542</v>
      </c>
      <c r="I686" s="547" t="s">
        <v>9009</v>
      </c>
      <c r="J686" s="547" t="s">
        <v>9015</v>
      </c>
      <c r="K686" s="547" t="s">
        <v>8996</v>
      </c>
      <c r="L686" s="537" t="s">
        <v>541</v>
      </c>
    </row>
    <row r="687" spans="1:12" x14ac:dyDescent="0.2">
      <c r="A687" s="547" t="s">
        <v>220</v>
      </c>
      <c r="B687" s="547" t="s">
        <v>588</v>
      </c>
      <c r="C687" s="547" t="s">
        <v>1140</v>
      </c>
      <c r="D687" s="547" t="s">
        <v>1141</v>
      </c>
      <c r="E687" s="547" t="s">
        <v>545</v>
      </c>
      <c r="F687" s="567">
        <v>39000</v>
      </c>
      <c r="G687" s="545">
        <v>9.9137774151080577E-2</v>
      </c>
      <c r="H687" s="545">
        <v>3866.3731918921426</v>
      </c>
      <c r="I687" s="547" t="s">
        <v>9009</v>
      </c>
      <c r="J687" s="547" t="s">
        <v>9015</v>
      </c>
      <c r="K687" s="547" t="s">
        <v>8996</v>
      </c>
      <c r="L687" s="537" t="s">
        <v>541</v>
      </c>
    </row>
    <row r="688" spans="1:12" x14ac:dyDescent="0.2">
      <c r="A688" s="547" t="s">
        <v>220</v>
      </c>
      <c r="B688" s="547" t="s">
        <v>588</v>
      </c>
      <c r="C688" s="547" t="s">
        <v>1142</v>
      </c>
      <c r="D688" s="547" t="s">
        <v>1143</v>
      </c>
      <c r="E688" s="547" t="s">
        <v>545</v>
      </c>
      <c r="F688" s="567">
        <v>58500</v>
      </c>
      <c r="G688" s="545">
        <v>0.11538675798219111</v>
      </c>
      <c r="H688" s="545">
        <v>6750.1253419581799</v>
      </c>
      <c r="I688" s="547" t="s">
        <v>9009</v>
      </c>
      <c r="J688" s="547" t="s">
        <v>9015</v>
      </c>
      <c r="K688" s="547" t="s">
        <v>8996</v>
      </c>
      <c r="L688" s="537" t="s">
        <v>541</v>
      </c>
    </row>
    <row r="689" spans="1:12" x14ac:dyDescent="0.2">
      <c r="A689" s="547" t="s">
        <v>220</v>
      </c>
      <c r="B689" s="547" t="s">
        <v>588</v>
      </c>
      <c r="C689" s="547" t="s">
        <v>1144</v>
      </c>
      <c r="D689" s="547" t="s">
        <v>1145</v>
      </c>
      <c r="E689" s="547" t="s">
        <v>545</v>
      </c>
      <c r="F689" s="567">
        <v>8200</v>
      </c>
      <c r="G689" s="545">
        <v>6.2E-2</v>
      </c>
      <c r="H689" s="545">
        <v>508.4</v>
      </c>
      <c r="I689" s="547" t="s">
        <v>9009</v>
      </c>
      <c r="J689" s="547" t="s">
        <v>9015</v>
      </c>
      <c r="K689" s="547" t="s">
        <v>8996</v>
      </c>
      <c r="L689" s="537" t="s">
        <v>541</v>
      </c>
    </row>
    <row r="690" spans="1:12" x14ac:dyDescent="0.2">
      <c r="A690" s="547" t="s">
        <v>220</v>
      </c>
      <c r="B690" s="547" t="s">
        <v>588</v>
      </c>
      <c r="C690" s="547" t="s">
        <v>1146</v>
      </c>
      <c r="D690" s="547" t="s">
        <v>1147</v>
      </c>
      <c r="E690" s="547" t="s">
        <v>545</v>
      </c>
      <c r="F690" s="567">
        <v>1100</v>
      </c>
      <c r="G690" s="545">
        <v>0.04</v>
      </c>
      <c r="H690" s="545">
        <v>44</v>
      </c>
      <c r="I690" s="547" t="s">
        <v>9009</v>
      </c>
      <c r="J690" s="547" t="s">
        <v>9015</v>
      </c>
      <c r="K690" s="547" t="s">
        <v>8996</v>
      </c>
      <c r="L690" s="537" t="s">
        <v>541</v>
      </c>
    </row>
    <row r="691" spans="1:12" x14ac:dyDescent="0.2">
      <c r="A691" s="547" t="s">
        <v>220</v>
      </c>
      <c r="B691" s="547" t="s">
        <v>588</v>
      </c>
      <c r="C691" s="547" t="s">
        <v>1150</v>
      </c>
      <c r="D691" s="547" t="s">
        <v>1151</v>
      </c>
      <c r="E691" s="547" t="s">
        <v>545</v>
      </c>
      <c r="F691" s="567">
        <v>39000</v>
      </c>
      <c r="G691" s="545">
        <v>9.294162627161931E-2</v>
      </c>
      <c r="H691" s="545">
        <v>3624.7234245931531</v>
      </c>
      <c r="I691" s="547" t="s">
        <v>9009</v>
      </c>
      <c r="J691" s="547" t="s">
        <v>9015</v>
      </c>
      <c r="K691" s="547" t="s">
        <v>8996</v>
      </c>
      <c r="L691" s="537" t="s">
        <v>541</v>
      </c>
    </row>
    <row r="692" spans="1:12" x14ac:dyDescent="0.2">
      <c r="A692" s="547" t="s">
        <v>220</v>
      </c>
      <c r="B692" s="547" t="s">
        <v>588</v>
      </c>
      <c r="C692" s="547" t="s">
        <v>1152</v>
      </c>
      <c r="D692" s="547" t="s">
        <v>1153</v>
      </c>
      <c r="E692" s="547" t="s">
        <v>545</v>
      </c>
      <c r="F692" s="567">
        <v>13000</v>
      </c>
      <c r="G692" s="545">
        <v>0.45058882505142306</v>
      </c>
      <c r="H692" s="545">
        <v>5857.6547256684999</v>
      </c>
      <c r="I692" s="547" t="s">
        <v>9009</v>
      </c>
      <c r="J692" s="547" t="s">
        <v>9015</v>
      </c>
      <c r="K692" s="547" t="s">
        <v>8996</v>
      </c>
      <c r="L692" s="537" t="s">
        <v>541</v>
      </c>
    </row>
    <row r="693" spans="1:12" x14ac:dyDescent="0.2">
      <c r="A693" s="547" t="s">
        <v>220</v>
      </c>
      <c r="B693" s="547" t="s">
        <v>588</v>
      </c>
      <c r="C693" s="547" t="s">
        <v>1154</v>
      </c>
      <c r="D693" s="547" t="s">
        <v>1155</v>
      </c>
      <c r="E693" s="547" t="s">
        <v>545</v>
      </c>
      <c r="F693" s="567">
        <v>4000</v>
      </c>
      <c r="G693" s="545">
        <v>0.45058882505142306</v>
      </c>
      <c r="H693" s="545">
        <v>1802.3553002056922</v>
      </c>
      <c r="I693" s="547" t="s">
        <v>9009</v>
      </c>
      <c r="J693" s="547" t="s">
        <v>9015</v>
      </c>
      <c r="K693" s="547" t="s">
        <v>8996</v>
      </c>
      <c r="L693" s="537" t="s">
        <v>541</v>
      </c>
    </row>
    <row r="694" spans="1:12" x14ac:dyDescent="0.2">
      <c r="A694" s="547" t="s">
        <v>220</v>
      </c>
      <c r="B694" s="547" t="s">
        <v>588</v>
      </c>
      <c r="C694" s="547" t="s">
        <v>1156</v>
      </c>
      <c r="D694" s="547" t="s">
        <v>1157</v>
      </c>
      <c r="E694" s="547" t="s">
        <v>545</v>
      </c>
      <c r="F694" s="567">
        <v>39000</v>
      </c>
      <c r="G694" s="545">
        <v>0.20857667735914859</v>
      </c>
      <c r="H694" s="545">
        <v>8134.4904170067948</v>
      </c>
      <c r="I694" s="547" t="s">
        <v>9009</v>
      </c>
      <c r="J694" s="547" t="s">
        <v>9015</v>
      </c>
      <c r="K694" s="547" t="s">
        <v>8996</v>
      </c>
      <c r="L694" s="537" t="s">
        <v>541</v>
      </c>
    </row>
    <row r="695" spans="1:12" x14ac:dyDescent="0.2">
      <c r="A695" s="547" t="s">
        <v>220</v>
      </c>
      <c r="B695" s="547" t="s">
        <v>588</v>
      </c>
      <c r="C695" s="547" t="s">
        <v>1158</v>
      </c>
      <c r="D695" s="547" t="s">
        <v>1159</v>
      </c>
      <c r="E695" s="547" t="s">
        <v>545</v>
      </c>
      <c r="F695" s="567">
        <v>36960</v>
      </c>
      <c r="G695" s="545">
        <v>1.0299507058430681</v>
      </c>
      <c r="H695" s="545">
        <v>38066.978087959797</v>
      </c>
      <c r="I695" s="547" t="s">
        <v>9009</v>
      </c>
      <c r="J695" s="547" t="s">
        <v>9015</v>
      </c>
      <c r="K695" s="547" t="s">
        <v>8996</v>
      </c>
      <c r="L695" s="537" t="s">
        <v>541</v>
      </c>
    </row>
    <row r="696" spans="1:12" x14ac:dyDescent="0.2">
      <c r="A696" s="547" t="s">
        <v>220</v>
      </c>
      <c r="B696" s="547" t="s">
        <v>588</v>
      </c>
      <c r="C696" s="547" t="s">
        <v>1160</v>
      </c>
      <c r="D696" s="547" t="s">
        <v>1161</v>
      </c>
      <c r="E696" s="547" t="s">
        <v>545</v>
      </c>
      <c r="F696" s="567">
        <v>6000</v>
      </c>
      <c r="G696" s="545">
        <v>7.2081642607498053E-2</v>
      </c>
      <c r="H696" s="545">
        <v>432.48985564498832</v>
      </c>
      <c r="I696" s="547" t="s">
        <v>9009</v>
      </c>
      <c r="J696" s="547" t="s">
        <v>9015</v>
      </c>
      <c r="K696" s="547" t="s">
        <v>8996</v>
      </c>
      <c r="L696" s="537" t="s">
        <v>541</v>
      </c>
    </row>
    <row r="697" spans="1:12" x14ac:dyDescent="0.2">
      <c r="A697" s="547" t="s">
        <v>220</v>
      </c>
      <c r="B697" s="547" t="s">
        <v>588</v>
      </c>
      <c r="C697" s="547" t="s">
        <v>1162</v>
      </c>
      <c r="D697" s="547" t="s">
        <v>1163</v>
      </c>
      <c r="E697" s="547" t="s">
        <v>545</v>
      </c>
      <c r="F697" s="567">
        <v>93480</v>
      </c>
      <c r="G697" s="545">
        <v>0.11979794529420783</v>
      </c>
      <c r="H697" s="545">
        <v>11198.711926102547</v>
      </c>
      <c r="I697" s="547" t="s">
        <v>9009</v>
      </c>
      <c r="J697" s="547" t="s">
        <v>9015</v>
      </c>
      <c r="K697" s="547" t="s">
        <v>8996</v>
      </c>
      <c r="L697" s="537" t="s">
        <v>541</v>
      </c>
    </row>
    <row r="698" spans="1:12" x14ac:dyDescent="0.2">
      <c r="A698" s="547" t="s">
        <v>220</v>
      </c>
      <c r="B698" s="547" t="s">
        <v>588</v>
      </c>
      <c r="C698" s="547" t="s">
        <v>1164</v>
      </c>
      <c r="D698" s="547" t="s">
        <v>1165</v>
      </c>
      <c r="E698" s="547" t="s">
        <v>545</v>
      </c>
      <c r="F698" s="567">
        <v>40000</v>
      </c>
      <c r="G698" s="545">
        <v>1.2058452589383868</v>
      </c>
      <c r="H698" s="545">
        <v>48233.810357535469</v>
      </c>
      <c r="I698" s="547" t="s">
        <v>9009</v>
      </c>
      <c r="J698" s="547" t="s">
        <v>9015</v>
      </c>
      <c r="K698" s="547" t="s">
        <v>8996</v>
      </c>
      <c r="L698" s="537" t="s">
        <v>541</v>
      </c>
    </row>
    <row r="699" spans="1:12" x14ac:dyDescent="0.2">
      <c r="A699" s="547" t="s">
        <v>220</v>
      </c>
      <c r="B699" s="547" t="s">
        <v>588</v>
      </c>
      <c r="C699" s="547" t="s">
        <v>1166</v>
      </c>
      <c r="D699" s="547" t="s">
        <v>1167</v>
      </c>
      <c r="E699" s="547" t="s">
        <v>545</v>
      </c>
      <c r="F699" s="567">
        <v>82500</v>
      </c>
      <c r="G699" s="545">
        <v>0.3353815087095105</v>
      </c>
      <c r="H699" s="545">
        <v>27668.974468534616</v>
      </c>
      <c r="I699" s="547" t="s">
        <v>9009</v>
      </c>
      <c r="J699" s="547" t="s">
        <v>9015</v>
      </c>
      <c r="K699" s="547" t="s">
        <v>8996</v>
      </c>
      <c r="L699" s="537" t="s">
        <v>541</v>
      </c>
    </row>
    <row r="700" spans="1:12" x14ac:dyDescent="0.2">
      <c r="A700" s="547" t="s">
        <v>220</v>
      </c>
      <c r="B700" s="547" t="s">
        <v>588</v>
      </c>
      <c r="C700" s="547" t="s">
        <v>1168</v>
      </c>
      <c r="D700" s="547" t="s">
        <v>1169</v>
      </c>
      <c r="E700" s="547" t="s">
        <v>545</v>
      </c>
      <c r="F700" s="567">
        <v>104000</v>
      </c>
      <c r="G700" s="545">
        <v>0.12701501758475559</v>
      </c>
      <c r="H700" s="545">
        <v>13209.561828814582</v>
      </c>
      <c r="I700" s="547" t="s">
        <v>9009</v>
      </c>
      <c r="J700" s="547" t="s">
        <v>9015</v>
      </c>
      <c r="K700" s="547" t="s">
        <v>8996</v>
      </c>
      <c r="L700" s="537" t="s">
        <v>541</v>
      </c>
    </row>
    <row r="701" spans="1:12" x14ac:dyDescent="0.2">
      <c r="A701" s="547" t="s">
        <v>220</v>
      </c>
      <c r="B701" s="547" t="s">
        <v>588</v>
      </c>
      <c r="C701" s="547" t="s">
        <v>1170</v>
      </c>
      <c r="D701" s="547" t="s">
        <v>1171</v>
      </c>
      <c r="E701" s="547" t="s">
        <v>545</v>
      </c>
      <c r="F701" s="567">
        <v>2300</v>
      </c>
      <c r="G701" s="545">
        <v>0.93449681548994601</v>
      </c>
      <c r="H701" s="545">
        <v>2149.3426756268759</v>
      </c>
      <c r="I701" s="547" t="s">
        <v>9009</v>
      </c>
      <c r="J701" s="547" t="s">
        <v>9015</v>
      </c>
      <c r="K701" s="547" t="s">
        <v>8996</v>
      </c>
      <c r="L701" s="537" t="s">
        <v>541</v>
      </c>
    </row>
    <row r="702" spans="1:12" x14ac:dyDescent="0.2">
      <c r="A702" s="547" t="s">
        <v>220</v>
      </c>
      <c r="B702" s="547" t="s">
        <v>588</v>
      </c>
      <c r="C702" s="547" t="s">
        <v>1172</v>
      </c>
      <c r="D702" s="547" t="s">
        <v>1173</v>
      </c>
      <c r="E702" s="547" t="s">
        <v>545</v>
      </c>
      <c r="F702" s="567">
        <v>17000</v>
      </c>
      <c r="G702" s="545">
        <v>0.45292966504642573</v>
      </c>
      <c r="H702" s="545">
        <v>7699.8043057892373</v>
      </c>
      <c r="I702" s="547" t="s">
        <v>9009</v>
      </c>
      <c r="J702" s="547" t="s">
        <v>9015</v>
      </c>
      <c r="K702" s="547" t="s">
        <v>8996</v>
      </c>
      <c r="L702" s="537" t="s">
        <v>541</v>
      </c>
    </row>
    <row r="703" spans="1:12" x14ac:dyDescent="0.2">
      <c r="A703" s="547" t="s">
        <v>220</v>
      </c>
      <c r="B703" s="547" t="s">
        <v>588</v>
      </c>
      <c r="C703" s="547" t="s">
        <v>7536</v>
      </c>
      <c r="D703" s="547" t="s">
        <v>7537</v>
      </c>
      <c r="E703" s="547" t="s">
        <v>545</v>
      </c>
      <c r="F703" s="567">
        <v>93000</v>
      </c>
      <c r="G703" s="545">
        <v>0.40744079999999994</v>
      </c>
      <c r="H703" s="545">
        <v>37891.994399999996</v>
      </c>
      <c r="I703" s="547" t="s">
        <v>9009</v>
      </c>
      <c r="J703" s="547" t="s">
        <v>9015</v>
      </c>
      <c r="K703" s="547" t="s">
        <v>8996</v>
      </c>
      <c r="L703" s="537" t="s">
        <v>541</v>
      </c>
    </row>
    <row r="704" spans="1:12" x14ac:dyDescent="0.2">
      <c r="A704" s="547" t="s">
        <v>220</v>
      </c>
      <c r="B704" s="547" t="s">
        <v>588</v>
      </c>
      <c r="C704" s="547" t="s">
        <v>9510</v>
      </c>
      <c r="D704" s="547" t="s">
        <v>9511</v>
      </c>
      <c r="E704" s="547" t="s">
        <v>545</v>
      </c>
      <c r="F704" s="567">
        <v>55500</v>
      </c>
      <c r="G704" s="545">
        <v>0.69261170000000005</v>
      </c>
      <c r="H704" s="545">
        <v>38439.949350000003</v>
      </c>
      <c r="I704" s="547" t="s">
        <v>8992</v>
      </c>
      <c r="J704" s="547" t="s">
        <v>541</v>
      </c>
      <c r="K704" s="547" t="s">
        <v>8996</v>
      </c>
      <c r="L704" s="537" t="s">
        <v>541</v>
      </c>
    </row>
    <row r="705" spans="1:12" x14ac:dyDescent="0.2">
      <c r="A705" s="547" t="s">
        <v>220</v>
      </c>
      <c r="B705" s="547" t="s">
        <v>588</v>
      </c>
      <c r="C705" s="547" t="s">
        <v>1180</v>
      </c>
      <c r="D705" s="547" t="s">
        <v>1181</v>
      </c>
      <c r="E705" s="547" t="s">
        <v>545</v>
      </c>
      <c r="F705" s="567">
        <v>53000</v>
      </c>
      <c r="G705" s="545">
        <v>8.9777293041835862E-2</v>
      </c>
      <c r="H705" s="545">
        <v>4758.1965312173006</v>
      </c>
      <c r="I705" s="547" t="s">
        <v>9009</v>
      </c>
      <c r="J705" s="547" t="s">
        <v>9015</v>
      </c>
      <c r="K705" s="547" t="s">
        <v>8996</v>
      </c>
      <c r="L705" s="537" t="s">
        <v>541</v>
      </c>
    </row>
    <row r="706" spans="1:12" x14ac:dyDescent="0.2">
      <c r="A706" s="547" t="s">
        <v>220</v>
      </c>
      <c r="B706" s="547" t="s">
        <v>588</v>
      </c>
      <c r="C706" s="547" t="s">
        <v>1182</v>
      </c>
      <c r="D706" s="547" t="s">
        <v>1183</v>
      </c>
      <c r="E706" s="547" t="s">
        <v>545</v>
      </c>
      <c r="F706" s="567">
        <v>8000</v>
      </c>
      <c r="G706" s="545">
        <v>5.0160191444765453E-2</v>
      </c>
      <c r="H706" s="545">
        <v>401.28153155812362</v>
      </c>
      <c r="I706" s="547" t="s">
        <v>9009</v>
      </c>
      <c r="J706" s="547" t="s">
        <v>9015</v>
      </c>
      <c r="K706" s="547" t="s">
        <v>8996</v>
      </c>
      <c r="L706" s="537" t="s">
        <v>541</v>
      </c>
    </row>
    <row r="707" spans="1:12" x14ac:dyDescent="0.2">
      <c r="A707" s="547" t="s">
        <v>220</v>
      </c>
      <c r="B707" s="547" t="s">
        <v>588</v>
      </c>
      <c r="C707" s="547" t="s">
        <v>1184</v>
      </c>
      <c r="D707" s="547" t="s">
        <v>1185</v>
      </c>
      <c r="E707" s="547" t="s">
        <v>545</v>
      </c>
      <c r="F707" s="567">
        <v>9000</v>
      </c>
      <c r="G707" s="545">
        <v>5.8254564271935781E-2</v>
      </c>
      <c r="H707" s="545">
        <v>524.29107844742202</v>
      </c>
      <c r="I707" s="547" t="s">
        <v>9009</v>
      </c>
      <c r="J707" s="547" t="s">
        <v>9015</v>
      </c>
      <c r="K707" s="547" t="s">
        <v>8996</v>
      </c>
      <c r="L707" s="537" t="s">
        <v>541</v>
      </c>
    </row>
    <row r="708" spans="1:12" x14ac:dyDescent="0.2">
      <c r="A708" s="547" t="s">
        <v>220</v>
      </c>
      <c r="B708" s="547" t="s">
        <v>588</v>
      </c>
      <c r="C708" s="547" t="s">
        <v>1186</v>
      </c>
      <c r="D708" s="547" t="s">
        <v>1187</v>
      </c>
      <c r="E708" s="547" t="s">
        <v>545</v>
      </c>
      <c r="F708" s="567">
        <v>84000</v>
      </c>
      <c r="G708" s="545">
        <v>0.1156156465610106</v>
      </c>
      <c r="H708" s="545">
        <v>9711.7143111248897</v>
      </c>
      <c r="I708" s="547" t="s">
        <v>9009</v>
      </c>
      <c r="J708" s="547" t="s">
        <v>9015</v>
      </c>
      <c r="K708" s="547" t="s">
        <v>8996</v>
      </c>
      <c r="L708" s="537" t="s">
        <v>541</v>
      </c>
    </row>
    <row r="709" spans="1:12" x14ac:dyDescent="0.2">
      <c r="A709" s="547" t="s">
        <v>220</v>
      </c>
      <c r="B709" s="547" t="s">
        <v>588</v>
      </c>
      <c r="C709" s="547" t="s">
        <v>1188</v>
      </c>
      <c r="D709" s="547" t="s">
        <v>1189</v>
      </c>
      <c r="E709" s="547" t="s">
        <v>545</v>
      </c>
      <c r="F709" s="567">
        <v>48000</v>
      </c>
      <c r="G709" s="545">
        <v>0.11390237598642186</v>
      </c>
      <c r="H709" s="545">
        <v>5467.314047348249</v>
      </c>
      <c r="I709" s="547" t="s">
        <v>9009</v>
      </c>
      <c r="J709" s="547" t="s">
        <v>9015</v>
      </c>
      <c r="K709" s="547" t="s">
        <v>8996</v>
      </c>
      <c r="L709" s="537" t="s">
        <v>541</v>
      </c>
    </row>
    <row r="710" spans="1:12" x14ac:dyDescent="0.2">
      <c r="A710" s="547" t="s">
        <v>220</v>
      </c>
      <c r="B710" s="547" t="s">
        <v>588</v>
      </c>
      <c r="C710" s="547" t="s">
        <v>1190</v>
      </c>
      <c r="D710" s="547" t="s">
        <v>1191</v>
      </c>
      <c r="E710" s="547" t="s">
        <v>545</v>
      </c>
      <c r="F710" s="567">
        <v>15000</v>
      </c>
      <c r="G710" s="545">
        <v>0.10091700000000001</v>
      </c>
      <c r="H710" s="545">
        <v>1513.7550000000001</v>
      </c>
      <c r="I710" s="547" t="s">
        <v>9009</v>
      </c>
      <c r="J710" s="547" t="s">
        <v>9015</v>
      </c>
      <c r="K710" s="547" t="s">
        <v>8996</v>
      </c>
      <c r="L710" s="537" t="s">
        <v>541</v>
      </c>
    </row>
    <row r="711" spans="1:12" x14ac:dyDescent="0.2">
      <c r="A711" s="547" t="s">
        <v>220</v>
      </c>
      <c r="B711" s="547" t="s">
        <v>588</v>
      </c>
      <c r="C711" s="547" t="s">
        <v>1192</v>
      </c>
      <c r="D711" s="547" t="s">
        <v>1193</v>
      </c>
      <c r="E711" s="547" t="s">
        <v>545</v>
      </c>
      <c r="F711" s="567">
        <v>1400</v>
      </c>
      <c r="G711" s="545">
        <v>1.5958152173460489</v>
      </c>
      <c r="H711" s="545">
        <v>2234.1413042844683</v>
      </c>
      <c r="I711" s="547" t="s">
        <v>9009</v>
      </c>
      <c r="J711" s="547" t="s">
        <v>9015</v>
      </c>
      <c r="K711" s="547" t="s">
        <v>8996</v>
      </c>
      <c r="L711" s="537" t="s">
        <v>541</v>
      </c>
    </row>
    <row r="712" spans="1:12" x14ac:dyDescent="0.2">
      <c r="A712" s="547" t="s">
        <v>220</v>
      </c>
      <c r="B712" s="547" t="s">
        <v>588</v>
      </c>
      <c r="C712" s="547" t="s">
        <v>1194</v>
      </c>
      <c r="D712" s="547" t="s">
        <v>1195</v>
      </c>
      <c r="E712" s="547" t="s">
        <v>545</v>
      </c>
      <c r="F712" s="567">
        <v>1400</v>
      </c>
      <c r="G712" s="545">
        <v>1.5899074534561191</v>
      </c>
      <c r="H712" s="545">
        <v>2225.8704348385668</v>
      </c>
      <c r="I712" s="547" t="s">
        <v>9009</v>
      </c>
      <c r="J712" s="547" t="s">
        <v>9015</v>
      </c>
      <c r="K712" s="547" t="s">
        <v>8996</v>
      </c>
      <c r="L712" s="537" t="s">
        <v>541</v>
      </c>
    </row>
    <row r="713" spans="1:12" x14ac:dyDescent="0.2">
      <c r="A713" s="547" t="s">
        <v>220</v>
      </c>
      <c r="B713" s="547" t="s">
        <v>588</v>
      </c>
      <c r="C713" s="547" t="s">
        <v>1196</v>
      </c>
      <c r="D713" s="547" t="s">
        <v>1197</v>
      </c>
      <c r="E713" s="547" t="s">
        <v>545</v>
      </c>
      <c r="F713" s="567">
        <v>3300</v>
      </c>
      <c r="G713" s="545">
        <v>0.30656946187705758</v>
      </c>
      <c r="H713" s="545">
        <v>1011.67922419429</v>
      </c>
      <c r="I713" s="547" t="s">
        <v>9009</v>
      </c>
      <c r="J713" s="547" t="s">
        <v>9015</v>
      </c>
      <c r="K713" s="547" t="s">
        <v>8996</v>
      </c>
      <c r="L713" s="537" t="s">
        <v>541</v>
      </c>
    </row>
    <row r="714" spans="1:12" x14ac:dyDescent="0.2">
      <c r="A714" s="547" t="s">
        <v>220</v>
      </c>
      <c r="B714" s="547" t="s">
        <v>588</v>
      </c>
      <c r="C714" s="547" t="s">
        <v>1198</v>
      </c>
      <c r="D714" s="547" t="s">
        <v>1199</v>
      </c>
      <c r="E714" s="547" t="s">
        <v>545</v>
      </c>
      <c r="F714" s="567">
        <v>3400</v>
      </c>
      <c r="G714" s="545">
        <v>0.31121829529102618</v>
      </c>
      <c r="H714" s="545">
        <v>1058.142203989489</v>
      </c>
      <c r="I714" s="547" t="s">
        <v>9009</v>
      </c>
      <c r="J714" s="547" t="s">
        <v>9015</v>
      </c>
      <c r="K714" s="547" t="s">
        <v>8996</v>
      </c>
      <c r="L714" s="537" t="s">
        <v>541</v>
      </c>
    </row>
    <row r="715" spans="1:12" x14ac:dyDescent="0.2">
      <c r="A715" s="547" t="s">
        <v>220</v>
      </c>
      <c r="B715" s="547" t="s">
        <v>588</v>
      </c>
      <c r="C715" s="547" t="s">
        <v>1200</v>
      </c>
      <c r="D715" s="547" t="s">
        <v>1201</v>
      </c>
      <c r="E715" s="547" t="s">
        <v>545</v>
      </c>
      <c r="F715" s="567">
        <v>1650</v>
      </c>
      <c r="G715" s="545">
        <v>0.19247513901472693</v>
      </c>
      <c r="H715" s="545">
        <v>317.58397937429942</v>
      </c>
      <c r="I715" s="547" t="s">
        <v>9009</v>
      </c>
      <c r="J715" s="547" t="s">
        <v>9015</v>
      </c>
      <c r="K715" s="547" t="s">
        <v>8996</v>
      </c>
      <c r="L715" s="537" t="s">
        <v>541</v>
      </c>
    </row>
    <row r="716" spans="1:12" x14ac:dyDescent="0.2">
      <c r="A716" s="547" t="s">
        <v>220</v>
      </c>
      <c r="B716" s="547" t="s">
        <v>588</v>
      </c>
      <c r="C716" s="547" t="s">
        <v>1202</v>
      </c>
      <c r="D716" s="547" t="s">
        <v>1203</v>
      </c>
      <c r="E716" s="547" t="s">
        <v>545</v>
      </c>
      <c r="F716" s="567">
        <v>550</v>
      </c>
      <c r="G716" s="545">
        <v>0.19247513901472693</v>
      </c>
      <c r="H716" s="545">
        <v>105.86132645809981</v>
      </c>
      <c r="I716" s="547" t="s">
        <v>9009</v>
      </c>
      <c r="J716" s="547" t="s">
        <v>9015</v>
      </c>
      <c r="K716" s="547" t="s">
        <v>8996</v>
      </c>
      <c r="L716" s="537" t="s">
        <v>541</v>
      </c>
    </row>
    <row r="717" spans="1:12" x14ac:dyDescent="0.2">
      <c r="A717" s="547" t="s">
        <v>220</v>
      </c>
      <c r="B717" s="547" t="s">
        <v>588</v>
      </c>
      <c r="C717" s="547" t="s">
        <v>1204</v>
      </c>
      <c r="D717" s="547" t="s">
        <v>1205</v>
      </c>
      <c r="E717" s="547" t="s">
        <v>545</v>
      </c>
      <c r="F717" s="567">
        <v>38500</v>
      </c>
      <c r="G717" s="545">
        <v>3.8978021672145598E-2</v>
      </c>
      <c r="H717" s="545">
        <v>1500.6538343776056</v>
      </c>
      <c r="I717" s="547" t="s">
        <v>9009</v>
      </c>
      <c r="J717" s="547" t="s">
        <v>9015</v>
      </c>
      <c r="K717" s="547" t="s">
        <v>8996</v>
      </c>
      <c r="L717" s="537" t="s">
        <v>541</v>
      </c>
    </row>
    <row r="718" spans="1:12" x14ac:dyDescent="0.2">
      <c r="A718" s="547" t="s">
        <v>220</v>
      </c>
      <c r="B718" s="547" t="s">
        <v>588</v>
      </c>
      <c r="C718" s="547" t="s">
        <v>1206</v>
      </c>
      <c r="D718" s="547" t="s">
        <v>1207</v>
      </c>
      <c r="E718" s="547" t="s">
        <v>545</v>
      </c>
      <c r="F718" s="567">
        <v>21000</v>
      </c>
      <c r="G718" s="545">
        <v>2.9152998195158684E-2</v>
      </c>
      <c r="H718" s="545">
        <v>612.21296209833235</v>
      </c>
      <c r="I718" s="547" t="s">
        <v>9009</v>
      </c>
      <c r="J718" s="547" t="s">
        <v>9015</v>
      </c>
      <c r="K718" s="547" t="s">
        <v>8996</v>
      </c>
      <c r="L718" s="537" t="s">
        <v>541</v>
      </c>
    </row>
    <row r="719" spans="1:12" x14ac:dyDescent="0.2">
      <c r="A719" s="547" t="s">
        <v>220</v>
      </c>
      <c r="B719" s="547" t="s">
        <v>588</v>
      </c>
      <c r="C719" s="547" t="s">
        <v>1210</v>
      </c>
      <c r="D719" s="547" t="s">
        <v>1211</v>
      </c>
      <c r="E719" s="547" t="s">
        <v>545</v>
      </c>
      <c r="F719" s="567">
        <v>3500</v>
      </c>
      <c r="G719" s="545">
        <v>7.4069999999999997E-2</v>
      </c>
      <c r="H719" s="545">
        <v>259.245</v>
      </c>
      <c r="I719" s="547" t="s">
        <v>9009</v>
      </c>
      <c r="J719" s="547" t="s">
        <v>9015</v>
      </c>
      <c r="K719" s="547" t="s">
        <v>8996</v>
      </c>
      <c r="L719" s="537" t="s">
        <v>541</v>
      </c>
    </row>
    <row r="720" spans="1:12" x14ac:dyDescent="0.2">
      <c r="A720" s="547" t="s">
        <v>220</v>
      </c>
      <c r="B720" s="547" t="s">
        <v>588</v>
      </c>
      <c r="C720" s="547" t="s">
        <v>1212</v>
      </c>
      <c r="D720" s="547" t="s">
        <v>1213</v>
      </c>
      <c r="E720" s="547" t="s">
        <v>545</v>
      </c>
      <c r="F720" s="567">
        <v>31500</v>
      </c>
      <c r="G720" s="545">
        <v>0.02</v>
      </c>
      <c r="H720" s="545">
        <v>630</v>
      </c>
      <c r="I720" s="547" t="s">
        <v>9009</v>
      </c>
      <c r="J720" s="547" t="s">
        <v>9015</v>
      </c>
      <c r="K720" s="547" t="s">
        <v>8996</v>
      </c>
      <c r="L720" s="537" t="s">
        <v>541</v>
      </c>
    </row>
    <row r="721" spans="1:12" x14ac:dyDescent="0.2">
      <c r="A721" s="547" t="s">
        <v>220</v>
      </c>
      <c r="B721" s="547" t="s">
        <v>588</v>
      </c>
      <c r="C721" s="547" t="s">
        <v>1214</v>
      </c>
      <c r="D721" s="547" t="s">
        <v>1215</v>
      </c>
      <c r="E721" s="547" t="s">
        <v>545</v>
      </c>
      <c r="F721" s="567">
        <v>17500</v>
      </c>
      <c r="G721" s="545">
        <v>2.9388946604938272E-2</v>
      </c>
      <c r="H721" s="545">
        <v>514.30656558641977</v>
      </c>
      <c r="I721" s="547" t="s">
        <v>9009</v>
      </c>
      <c r="J721" s="547" t="s">
        <v>9015</v>
      </c>
      <c r="K721" s="547" t="s">
        <v>8996</v>
      </c>
      <c r="L721" s="537" t="s">
        <v>541</v>
      </c>
    </row>
    <row r="722" spans="1:12" x14ac:dyDescent="0.2">
      <c r="A722" s="547" t="s">
        <v>220</v>
      </c>
      <c r="B722" s="547" t="s">
        <v>588</v>
      </c>
      <c r="C722" s="547" t="s">
        <v>1216</v>
      </c>
      <c r="D722" s="547" t="s">
        <v>1217</v>
      </c>
      <c r="E722" s="547" t="s">
        <v>545</v>
      </c>
      <c r="F722" s="567">
        <v>16500</v>
      </c>
      <c r="G722" s="545">
        <v>0.21706792569123495</v>
      </c>
      <c r="H722" s="545">
        <v>3581.6207739053766</v>
      </c>
      <c r="I722" s="547" t="s">
        <v>9009</v>
      </c>
      <c r="J722" s="547" t="s">
        <v>9015</v>
      </c>
      <c r="K722" s="547" t="s">
        <v>8996</v>
      </c>
      <c r="L722" s="537" t="s">
        <v>541</v>
      </c>
    </row>
    <row r="723" spans="1:12" x14ac:dyDescent="0.2">
      <c r="A723" s="547" t="s">
        <v>220</v>
      </c>
      <c r="B723" s="547" t="s">
        <v>588</v>
      </c>
      <c r="C723" s="547" t="s">
        <v>1218</v>
      </c>
      <c r="D723" s="547" t="s">
        <v>1219</v>
      </c>
      <c r="E723" s="547" t="s">
        <v>545</v>
      </c>
      <c r="F723" s="567">
        <v>11500</v>
      </c>
      <c r="G723" s="545">
        <v>0.21673623060626437</v>
      </c>
      <c r="H723" s="545">
        <v>2492.4666519720404</v>
      </c>
      <c r="I723" s="547" t="s">
        <v>9009</v>
      </c>
      <c r="J723" s="547" t="s">
        <v>9015</v>
      </c>
      <c r="K723" s="547" t="s">
        <v>8996</v>
      </c>
      <c r="L723" s="537" t="s">
        <v>541</v>
      </c>
    </row>
    <row r="724" spans="1:12" x14ac:dyDescent="0.2">
      <c r="A724" s="547" t="s">
        <v>220</v>
      </c>
      <c r="B724" s="547" t="s">
        <v>588</v>
      </c>
      <c r="C724" s="547" t="s">
        <v>1220</v>
      </c>
      <c r="D724" s="547" t="s">
        <v>1221</v>
      </c>
      <c r="E724" s="547" t="s">
        <v>545</v>
      </c>
      <c r="F724" s="567">
        <v>12500</v>
      </c>
      <c r="G724" s="545">
        <v>0.31069942089151237</v>
      </c>
      <c r="H724" s="545">
        <v>3883.7427611439048</v>
      </c>
      <c r="I724" s="547" t="s">
        <v>9009</v>
      </c>
      <c r="J724" s="547" t="s">
        <v>9015</v>
      </c>
      <c r="K724" s="547" t="s">
        <v>8996</v>
      </c>
      <c r="L724" s="537" t="s">
        <v>541</v>
      </c>
    </row>
    <row r="725" spans="1:12" x14ac:dyDescent="0.2">
      <c r="A725" s="547" t="s">
        <v>220</v>
      </c>
      <c r="B725" s="547" t="s">
        <v>588</v>
      </c>
      <c r="C725" s="547" t="s">
        <v>1222</v>
      </c>
      <c r="D725" s="547" t="s">
        <v>1223</v>
      </c>
      <c r="E725" s="547" t="s">
        <v>545</v>
      </c>
      <c r="F725" s="567">
        <v>13000</v>
      </c>
      <c r="G725" s="545">
        <v>0.32341733686187341</v>
      </c>
      <c r="H725" s="545">
        <v>4204.4253792043546</v>
      </c>
      <c r="I725" s="547" t="s">
        <v>9009</v>
      </c>
      <c r="J725" s="547" t="s">
        <v>9015</v>
      </c>
      <c r="K725" s="547" t="s">
        <v>8996</v>
      </c>
      <c r="L725" s="537" t="s">
        <v>541</v>
      </c>
    </row>
    <row r="726" spans="1:12" x14ac:dyDescent="0.2">
      <c r="A726" s="547" t="s">
        <v>220</v>
      </c>
      <c r="B726" s="547" t="s">
        <v>588</v>
      </c>
      <c r="C726" s="547" t="s">
        <v>1224</v>
      </c>
      <c r="D726" s="547" t="s">
        <v>1225</v>
      </c>
      <c r="E726" s="547" t="s">
        <v>545</v>
      </c>
      <c r="F726" s="567">
        <v>500</v>
      </c>
      <c r="G726" s="545">
        <v>0.7689095750960816</v>
      </c>
      <c r="H726" s="545">
        <v>384.45478754804083</v>
      </c>
      <c r="I726" s="547" t="s">
        <v>9009</v>
      </c>
      <c r="J726" s="547" t="s">
        <v>9015</v>
      </c>
      <c r="K726" s="547" t="s">
        <v>8996</v>
      </c>
      <c r="L726" s="537" t="s">
        <v>541</v>
      </c>
    </row>
    <row r="727" spans="1:12" x14ac:dyDescent="0.2">
      <c r="A727" s="547" t="s">
        <v>220</v>
      </c>
      <c r="B727" s="547" t="s">
        <v>588</v>
      </c>
      <c r="C727" s="547" t="s">
        <v>1226</v>
      </c>
      <c r="D727" s="547" t="s">
        <v>1227</v>
      </c>
      <c r="E727" s="547" t="s">
        <v>545</v>
      </c>
      <c r="F727" s="567">
        <v>500</v>
      </c>
      <c r="G727" s="545">
        <v>0.76304576429719428</v>
      </c>
      <c r="H727" s="545">
        <v>381.52288214859715</v>
      </c>
      <c r="I727" s="547" t="s">
        <v>9009</v>
      </c>
      <c r="J727" s="547" t="s">
        <v>9015</v>
      </c>
      <c r="K727" s="547" t="s">
        <v>8996</v>
      </c>
      <c r="L727" s="537" t="s">
        <v>541</v>
      </c>
    </row>
    <row r="728" spans="1:12" x14ac:dyDescent="0.2">
      <c r="A728" s="547" t="s">
        <v>220</v>
      </c>
      <c r="B728" s="547" t="s">
        <v>588</v>
      </c>
      <c r="C728" s="547" t="s">
        <v>1228</v>
      </c>
      <c r="D728" s="547" t="s">
        <v>1229</v>
      </c>
      <c r="E728" s="547" t="s">
        <v>545</v>
      </c>
      <c r="F728" s="567">
        <v>52000</v>
      </c>
      <c r="G728" s="545">
        <v>0.19595903981459409</v>
      </c>
      <c r="H728" s="545">
        <v>10189.870070358893</v>
      </c>
      <c r="I728" s="547" t="s">
        <v>9009</v>
      </c>
      <c r="J728" s="547" t="s">
        <v>9015</v>
      </c>
      <c r="K728" s="547" t="s">
        <v>8996</v>
      </c>
      <c r="L728" s="537" t="s">
        <v>541</v>
      </c>
    </row>
    <row r="729" spans="1:12" x14ac:dyDescent="0.2">
      <c r="A729" s="547" t="s">
        <v>220</v>
      </c>
      <c r="B729" s="547" t="s">
        <v>588</v>
      </c>
      <c r="C729" s="547" t="s">
        <v>1230</v>
      </c>
      <c r="D729" s="547" t="s">
        <v>1231</v>
      </c>
      <c r="E729" s="547" t="s">
        <v>545</v>
      </c>
      <c r="F729" s="567">
        <v>61500</v>
      </c>
      <c r="G729" s="545">
        <v>0.21298721893710454</v>
      </c>
      <c r="H729" s="545">
        <v>13098.713964631928</v>
      </c>
      <c r="I729" s="547" t="s">
        <v>9009</v>
      </c>
      <c r="J729" s="547" t="s">
        <v>9015</v>
      </c>
      <c r="K729" s="547" t="s">
        <v>8996</v>
      </c>
      <c r="L729" s="537" t="s">
        <v>541</v>
      </c>
    </row>
    <row r="730" spans="1:12" x14ac:dyDescent="0.2">
      <c r="A730" s="547" t="s">
        <v>220</v>
      </c>
      <c r="B730" s="547" t="s">
        <v>588</v>
      </c>
      <c r="C730" s="547" t="s">
        <v>1232</v>
      </c>
      <c r="D730" s="547" t="s">
        <v>1233</v>
      </c>
      <c r="E730" s="547" t="s">
        <v>545</v>
      </c>
      <c r="F730" s="567">
        <v>19500</v>
      </c>
      <c r="G730" s="545">
        <v>0.21592086490107051</v>
      </c>
      <c r="H730" s="545">
        <v>4210.4568655708754</v>
      </c>
      <c r="I730" s="547" t="s">
        <v>9009</v>
      </c>
      <c r="J730" s="547" t="s">
        <v>9015</v>
      </c>
      <c r="K730" s="547" t="s">
        <v>8996</v>
      </c>
      <c r="L730" s="537" t="s">
        <v>541</v>
      </c>
    </row>
    <row r="731" spans="1:12" x14ac:dyDescent="0.2">
      <c r="A731" s="547" t="s">
        <v>220</v>
      </c>
      <c r="B731" s="547" t="s">
        <v>588</v>
      </c>
      <c r="C731" s="547" t="s">
        <v>1234</v>
      </c>
      <c r="D731" s="547" t="s">
        <v>1235</v>
      </c>
      <c r="E731" s="547" t="s">
        <v>545</v>
      </c>
      <c r="F731" s="567">
        <v>15000</v>
      </c>
      <c r="G731" s="545">
        <v>6.8861855497382204E-2</v>
      </c>
      <c r="H731" s="545">
        <v>1032.927832460733</v>
      </c>
      <c r="I731" s="547" t="s">
        <v>9009</v>
      </c>
      <c r="J731" s="547" t="s">
        <v>9015</v>
      </c>
      <c r="K731" s="547" t="s">
        <v>8996</v>
      </c>
      <c r="L731" s="537" t="s">
        <v>541</v>
      </c>
    </row>
    <row r="732" spans="1:12" x14ac:dyDescent="0.2">
      <c r="A732" s="547" t="s">
        <v>220</v>
      </c>
      <c r="B732" s="547" t="s">
        <v>588</v>
      </c>
      <c r="C732" s="547" t="s">
        <v>1236</v>
      </c>
      <c r="D732" s="547" t="s">
        <v>1237</v>
      </c>
      <c r="E732" s="547" t="s">
        <v>545</v>
      </c>
      <c r="F732" s="567">
        <v>700</v>
      </c>
      <c r="G732" s="545">
        <v>0.11899999999999998</v>
      </c>
      <c r="H732" s="545">
        <v>83.299999999999983</v>
      </c>
      <c r="I732" s="547" t="s">
        <v>9009</v>
      </c>
      <c r="J732" s="547" t="s">
        <v>9015</v>
      </c>
      <c r="K732" s="547" t="s">
        <v>8996</v>
      </c>
      <c r="L732" s="537" t="s">
        <v>541</v>
      </c>
    </row>
    <row r="733" spans="1:12" x14ac:dyDescent="0.2">
      <c r="A733" s="547" t="s">
        <v>220</v>
      </c>
      <c r="B733" s="547" t="s">
        <v>588</v>
      </c>
      <c r="C733" s="547" t="s">
        <v>1238</v>
      </c>
      <c r="D733" s="547" t="s">
        <v>1239</v>
      </c>
      <c r="E733" s="547" t="s">
        <v>545</v>
      </c>
      <c r="F733" s="567">
        <v>27500</v>
      </c>
      <c r="G733" s="545">
        <v>0.21616069729586479</v>
      </c>
      <c r="H733" s="545">
        <v>5944.4191756362816</v>
      </c>
      <c r="I733" s="547" t="s">
        <v>9009</v>
      </c>
      <c r="J733" s="547" t="s">
        <v>9015</v>
      </c>
      <c r="K733" s="547" t="s">
        <v>8996</v>
      </c>
      <c r="L733" s="537" t="s">
        <v>541</v>
      </c>
    </row>
    <row r="734" spans="1:12" x14ac:dyDescent="0.2">
      <c r="A734" s="547" t="s">
        <v>220</v>
      </c>
      <c r="B734" s="547" t="s">
        <v>588</v>
      </c>
      <c r="C734" s="547" t="s">
        <v>1240</v>
      </c>
      <c r="D734" s="547" t="s">
        <v>1241</v>
      </c>
      <c r="E734" s="547" t="s">
        <v>545</v>
      </c>
      <c r="F734" s="567">
        <v>15700</v>
      </c>
      <c r="G734" s="545">
        <v>0.2422969797566194</v>
      </c>
      <c r="H734" s="545">
        <v>3804.0625821789245</v>
      </c>
      <c r="I734" s="547" t="s">
        <v>9009</v>
      </c>
      <c r="J734" s="547" t="s">
        <v>9015</v>
      </c>
      <c r="K734" s="547" t="s">
        <v>8996</v>
      </c>
      <c r="L734" s="537" t="s">
        <v>541</v>
      </c>
    </row>
    <row r="735" spans="1:12" x14ac:dyDescent="0.2">
      <c r="A735" s="547" t="s">
        <v>220</v>
      </c>
      <c r="B735" s="547" t="s">
        <v>588</v>
      </c>
      <c r="C735" s="547" t="s">
        <v>1242</v>
      </c>
      <c r="D735" s="547" t="s">
        <v>1243</v>
      </c>
      <c r="E735" s="547" t="s">
        <v>545</v>
      </c>
      <c r="F735" s="567">
        <v>7750</v>
      </c>
      <c r="G735" s="545">
        <v>0.15</v>
      </c>
      <c r="H735" s="545">
        <v>1162.5</v>
      </c>
      <c r="I735" s="547" t="s">
        <v>9009</v>
      </c>
      <c r="J735" s="547" t="s">
        <v>9015</v>
      </c>
      <c r="K735" s="547" t="s">
        <v>8996</v>
      </c>
      <c r="L735" s="537" t="s">
        <v>541</v>
      </c>
    </row>
    <row r="736" spans="1:12" x14ac:dyDescent="0.2">
      <c r="A736" s="547" t="s">
        <v>220</v>
      </c>
      <c r="B736" s="547" t="s">
        <v>588</v>
      </c>
      <c r="C736" s="547" t="s">
        <v>1244</v>
      </c>
      <c r="D736" s="547" t="s">
        <v>1245</v>
      </c>
      <c r="E736" s="547" t="s">
        <v>545</v>
      </c>
      <c r="F736" s="567">
        <v>500</v>
      </c>
      <c r="G736" s="545">
        <v>0.27298834526912963</v>
      </c>
      <c r="H736" s="545">
        <v>136.49417263456482</v>
      </c>
      <c r="I736" s="547" t="s">
        <v>9009</v>
      </c>
      <c r="J736" s="547" t="s">
        <v>9015</v>
      </c>
      <c r="K736" s="547" t="s">
        <v>8996</v>
      </c>
      <c r="L736" s="537" t="s">
        <v>541</v>
      </c>
    </row>
    <row r="737" spans="1:12" x14ac:dyDescent="0.2">
      <c r="A737" s="547" t="s">
        <v>220</v>
      </c>
      <c r="B737" s="547" t="s">
        <v>588</v>
      </c>
      <c r="C737" s="547" t="s">
        <v>1246</v>
      </c>
      <c r="D737" s="547" t="s">
        <v>1247</v>
      </c>
      <c r="E737" s="547" t="s">
        <v>545</v>
      </c>
      <c r="F737" s="567">
        <v>13500</v>
      </c>
      <c r="G737" s="545">
        <v>0.27468642448940533</v>
      </c>
      <c r="H737" s="545">
        <v>3708.266730606972</v>
      </c>
      <c r="I737" s="547" t="s">
        <v>9009</v>
      </c>
      <c r="J737" s="547" t="s">
        <v>9015</v>
      </c>
      <c r="K737" s="547" t="s">
        <v>8996</v>
      </c>
      <c r="L737" s="537" t="s">
        <v>541</v>
      </c>
    </row>
    <row r="738" spans="1:12" x14ac:dyDescent="0.2">
      <c r="A738" s="547" t="s">
        <v>220</v>
      </c>
      <c r="B738" s="547" t="s">
        <v>588</v>
      </c>
      <c r="C738" s="547" t="s">
        <v>1248</v>
      </c>
      <c r="D738" s="547" t="s">
        <v>1249</v>
      </c>
      <c r="E738" s="547" t="s">
        <v>545</v>
      </c>
      <c r="F738" s="567">
        <v>300</v>
      </c>
      <c r="G738" s="545">
        <v>0.3805336722915485</v>
      </c>
      <c r="H738" s="545">
        <v>114.16010168746455</v>
      </c>
      <c r="I738" s="547" t="s">
        <v>9009</v>
      </c>
      <c r="J738" s="547" t="s">
        <v>9015</v>
      </c>
      <c r="K738" s="547" t="s">
        <v>8996</v>
      </c>
      <c r="L738" s="537" t="s">
        <v>541</v>
      </c>
    </row>
    <row r="739" spans="1:12" x14ac:dyDescent="0.2">
      <c r="A739" s="547" t="s">
        <v>220</v>
      </c>
      <c r="B739" s="547" t="s">
        <v>588</v>
      </c>
      <c r="C739" s="547" t="s">
        <v>1250</v>
      </c>
      <c r="D739" s="547" t="s">
        <v>1251</v>
      </c>
      <c r="E739" s="547" t="s">
        <v>545</v>
      </c>
      <c r="F739" s="567">
        <v>110</v>
      </c>
      <c r="G739" s="545">
        <v>0.44972161270819377</v>
      </c>
      <c r="H739" s="545">
        <v>49.469377397901312</v>
      </c>
      <c r="I739" s="547" t="s">
        <v>9009</v>
      </c>
      <c r="J739" s="547" t="s">
        <v>9015</v>
      </c>
      <c r="K739" s="547" t="s">
        <v>8996</v>
      </c>
      <c r="L739" s="537" t="s">
        <v>541</v>
      </c>
    </row>
    <row r="740" spans="1:12" x14ac:dyDescent="0.2">
      <c r="A740" s="547" t="s">
        <v>220</v>
      </c>
      <c r="B740" s="547" t="s">
        <v>588</v>
      </c>
      <c r="C740" s="547" t="s">
        <v>1252</v>
      </c>
      <c r="D740" s="547" t="s">
        <v>1253</v>
      </c>
      <c r="E740" s="547" t="s">
        <v>545</v>
      </c>
      <c r="F740" s="567">
        <v>2000</v>
      </c>
      <c r="G740" s="545">
        <v>0.48431558291651633</v>
      </c>
      <c r="H740" s="545">
        <v>968.6311658330327</v>
      </c>
      <c r="I740" s="547" t="s">
        <v>9009</v>
      </c>
      <c r="J740" s="547" t="s">
        <v>9015</v>
      </c>
      <c r="K740" s="547" t="s">
        <v>8996</v>
      </c>
      <c r="L740" s="537" t="s">
        <v>541</v>
      </c>
    </row>
    <row r="741" spans="1:12" x14ac:dyDescent="0.2">
      <c r="A741" s="547" t="s">
        <v>220</v>
      </c>
      <c r="B741" s="547" t="s">
        <v>588</v>
      </c>
      <c r="C741" s="547" t="s">
        <v>1254</v>
      </c>
      <c r="D741" s="547" t="s">
        <v>1255</v>
      </c>
      <c r="E741" s="547" t="s">
        <v>545</v>
      </c>
      <c r="F741" s="567">
        <v>552</v>
      </c>
      <c r="G741" s="545">
        <v>0.51890955312483877</v>
      </c>
      <c r="H741" s="545">
        <v>286.43807332491099</v>
      </c>
      <c r="I741" s="547" t="s">
        <v>9009</v>
      </c>
      <c r="J741" s="547" t="s">
        <v>9015</v>
      </c>
      <c r="K741" s="547" t="s">
        <v>8996</v>
      </c>
      <c r="L741" s="537" t="s">
        <v>541</v>
      </c>
    </row>
    <row r="742" spans="1:12" x14ac:dyDescent="0.2">
      <c r="A742" s="547" t="s">
        <v>220</v>
      </c>
      <c r="B742" s="547" t="s">
        <v>588</v>
      </c>
      <c r="C742" s="547" t="s">
        <v>1256</v>
      </c>
      <c r="D742" s="547" t="s">
        <v>1257</v>
      </c>
      <c r="E742" s="547" t="s">
        <v>545</v>
      </c>
      <c r="F742" s="567">
        <v>300</v>
      </c>
      <c r="G742" s="545">
        <v>0.51890955312483877</v>
      </c>
      <c r="H742" s="545">
        <v>155.67286593745163</v>
      </c>
      <c r="I742" s="547" t="s">
        <v>9009</v>
      </c>
      <c r="J742" s="547" t="s">
        <v>9015</v>
      </c>
      <c r="K742" s="547" t="s">
        <v>8996</v>
      </c>
      <c r="L742" s="537" t="s">
        <v>541</v>
      </c>
    </row>
    <row r="743" spans="1:12" x14ac:dyDescent="0.2">
      <c r="A743" s="547" t="s">
        <v>220</v>
      </c>
      <c r="B743" s="547" t="s">
        <v>588</v>
      </c>
      <c r="C743" s="547" t="s">
        <v>1258</v>
      </c>
      <c r="D743" s="547" t="s">
        <v>1259</v>
      </c>
      <c r="E743" s="547" t="s">
        <v>545</v>
      </c>
      <c r="F743" s="567">
        <v>300</v>
      </c>
      <c r="G743" s="545">
        <v>0.41512764249987105</v>
      </c>
      <c r="H743" s="545">
        <v>124.53829274996131</v>
      </c>
      <c r="I743" s="547" t="s">
        <v>9009</v>
      </c>
      <c r="J743" s="547" t="s">
        <v>9015</v>
      </c>
      <c r="K743" s="547" t="s">
        <v>8996</v>
      </c>
      <c r="L743" s="537" t="s">
        <v>541</v>
      </c>
    </row>
    <row r="744" spans="1:12" x14ac:dyDescent="0.2">
      <c r="A744" s="547" t="s">
        <v>220</v>
      </c>
      <c r="B744" s="547" t="s">
        <v>588</v>
      </c>
      <c r="C744" s="547" t="s">
        <v>1260</v>
      </c>
      <c r="D744" s="547" t="s">
        <v>1261</v>
      </c>
      <c r="E744" s="547" t="s">
        <v>545</v>
      </c>
      <c r="F744" s="567">
        <v>5950</v>
      </c>
      <c r="G744" s="545">
        <v>0.65728543395812911</v>
      </c>
      <c r="H744" s="545">
        <v>3910.8483320508681</v>
      </c>
      <c r="I744" s="547" t="s">
        <v>9009</v>
      </c>
      <c r="J744" s="547" t="s">
        <v>9015</v>
      </c>
      <c r="K744" s="547" t="s">
        <v>8996</v>
      </c>
      <c r="L744" s="537" t="s">
        <v>541</v>
      </c>
    </row>
    <row r="745" spans="1:12" x14ac:dyDescent="0.2">
      <c r="A745" s="547" t="s">
        <v>220</v>
      </c>
      <c r="B745" s="547" t="s">
        <v>588</v>
      </c>
      <c r="C745" s="547" t="s">
        <v>1262</v>
      </c>
      <c r="D745" s="547" t="s">
        <v>1263</v>
      </c>
      <c r="E745" s="547" t="s">
        <v>545</v>
      </c>
      <c r="F745" s="567">
        <v>25000</v>
      </c>
      <c r="G745" s="545">
        <v>5.2999999999999999E-2</v>
      </c>
      <c r="H745" s="545">
        <v>1325</v>
      </c>
      <c r="I745" s="547" t="s">
        <v>9009</v>
      </c>
      <c r="J745" s="547" t="s">
        <v>9015</v>
      </c>
      <c r="K745" s="547" t="s">
        <v>8996</v>
      </c>
      <c r="L745" s="537" t="s">
        <v>541</v>
      </c>
    </row>
    <row r="746" spans="1:12" x14ac:dyDescent="0.2">
      <c r="A746" s="547" t="s">
        <v>220</v>
      </c>
      <c r="B746" s="547" t="s">
        <v>588</v>
      </c>
      <c r="C746" s="547" t="s">
        <v>1264</v>
      </c>
      <c r="D746" s="547" t="s">
        <v>1265</v>
      </c>
      <c r="E746" s="547" t="s">
        <v>545</v>
      </c>
      <c r="F746" s="567">
        <v>6000</v>
      </c>
      <c r="G746" s="545">
        <v>5.6416434286875206E-2</v>
      </c>
      <c r="H746" s="545">
        <v>338.49860572125124</v>
      </c>
      <c r="I746" s="547" t="s">
        <v>9009</v>
      </c>
      <c r="J746" s="547" t="s">
        <v>9015</v>
      </c>
      <c r="K746" s="547" t="s">
        <v>8996</v>
      </c>
      <c r="L746" s="537" t="s">
        <v>541</v>
      </c>
    </row>
    <row r="747" spans="1:12" x14ac:dyDescent="0.2">
      <c r="A747" s="547" t="s">
        <v>220</v>
      </c>
      <c r="B747" s="547" t="s">
        <v>588</v>
      </c>
      <c r="C747" s="547" t="s">
        <v>1266</v>
      </c>
      <c r="D747" s="547" t="s">
        <v>1267</v>
      </c>
      <c r="E747" s="547" t="s">
        <v>545</v>
      </c>
      <c r="F747" s="567">
        <v>26800</v>
      </c>
      <c r="G747" s="545">
        <v>2.7019999999999992E-2</v>
      </c>
      <c r="H747" s="545">
        <v>724.13599999999974</v>
      </c>
      <c r="I747" s="547" t="s">
        <v>9009</v>
      </c>
      <c r="J747" s="547" t="s">
        <v>9015</v>
      </c>
      <c r="K747" s="547" t="s">
        <v>8996</v>
      </c>
      <c r="L747" s="537" t="s">
        <v>541</v>
      </c>
    </row>
    <row r="748" spans="1:12" x14ac:dyDescent="0.2">
      <c r="A748" s="547" t="s">
        <v>220</v>
      </c>
      <c r="B748" s="547" t="s">
        <v>588</v>
      </c>
      <c r="C748" s="547" t="s">
        <v>1268</v>
      </c>
      <c r="D748" s="547" t="s">
        <v>1269</v>
      </c>
      <c r="E748" s="547" t="s">
        <v>545</v>
      </c>
      <c r="F748" s="567">
        <v>22500</v>
      </c>
      <c r="G748" s="545">
        <v>2.7041560713295883E-2</v>
      </c>
      <c r="H748" s="545">
        <v>608.43511604915739</v>
      </c>
      <c r="I748" s="547" t="s">
        <v>9009</v>
      </c>
      <c r="J748" s="547" t="s">
        <v>9015</v>
      </c>
      <c r="K748" s="547" t="s">
        <v>8996</v>
      </c>
      <c r="L748" s="537" t="s">
        <v>541</v>
      </c>
    </row>
    <row r="749" spans="1:12" x14ac:dyDescent="0.2">
      <c r="A749" s="547" t="s">
        <v>220</v>
      </c>
      <c r="B749" s="547" t="s">
        <v>588</v>
      </c>
      <c r="C749" s="547" t="s">
        <v>1270</v>
      </c>
      <c r="D749" s="547" t="s">
        <v>1271</v>
      </c>
      <c r="E749" s="547" t="s">
        <v>545</v>
      </c>
      <c r="F749" s="567">
        <v>22500</v>
      </c>
      <c r="G749" s="545">
        <v>2.728495119508461E-2</v>
      </c>
      <c r="H749" s="545">
        <v>613.91140188940369</v>
      </c>
      <c r="I749" s="547" t="s">
        <v>9009</v>
      </c>
      <c r="J749" s="547" t="s">
        <v>9015</v>
      </c>
      <c r="K749" s="547" t="s">
        <v>8996</v>
      </c>
      <c r="L749" s="537" t="s">
        <v>541</v>
      </c>
    </row>
    <row r="750" spans="1:12" x14ac:dyDescent="0.2">
      <c r="A750" s="547" t="s">
        <v>220</v>
      </c>
      <c r="B750" s="547" t="s">
        <v>588</v>
      </c>
      <c r="C750" s="547" t="s">
        <v>1272</v>
      </c>
      <c r="D750" s="547" t="s">
        <v>1273</v>
      </c>
      <c r="E750" s="547" t="s">
        <v>545</v>
      </c>
      <c r="F750" s="567">
        <v>13500</v>
      </c>
      <c r="G750" s="545">
        <v>1.3510000000000001E-2</v>
      </c>
      <c r="H750" s="545">
        <v>182.38500000000002</v>
      </c>
      <c r="I750" s="547" t="s">
        <v>9009</v>
      </c>
      <c r="J750" s="547" t="s">
        <v>9015</v>
      </c>
      <c r="K750" s="547" t="s">
        <v>8996</v>
      </c>
      <c r="L750" s="537" t="s">
        <v>541</v>
      </c>
    </row>
    <row r="751" spans="1:12" x14ac:dyDescent="0.2">
      <c r="A751" s="547" t="s">
        <v>220</v>
      </c>
      <c r="B751" s="547" t="s">
        <v>588</v>
      </c>
      <c r="C751" s="547" t="s">
        <v>1274</v>
      </c>
      <c r="D751" s="547" t="s">
        <v>1275</v>
      </c>
      <c r="E751" s="547" t="s">
        <v>545</v>
      </c>
      <c r="F751" s="567">
        <v>7500</v>
      </c>
      <c r="G751" s="545">
        <v>7.3099999999999998E-2</v>
      </c>
      <c r="H751" s="545">
        <v>548.25</v>
      </c>
      <c r="I751" s="547" t="s">
        <v>9009</v>
      </c>
      <c r="J751" s="547" t="s">
        <v>9015</v>
      </c>
      <c r="K751" s="547" t="s">
        <v>8996</v>
      </c>
      <c r="L751" s="537" t="s">
        <v>541</v>
      </c>
    </row>
    <row r="752" spans="1:12" x14ac:dyDescent="0.2">
      <c r="A752" s="547" t="s">
        <v>220</v>
      </c>
      <c r="B752" s="547" t="s">
        <v>588</v>
      </c>
      <c r="C752" s="547" t="s">
        <v>1276</v>
      </c>
      <c r="D752" s="547" t="s">
        <v>1277</v>
      </c>
      <c r="E752" s="547" t="s">
        <v>545</v>
      </c>
      <c r="F752" s="567">
        <v>7500</v>
      </c>
      <c r="G752" s="545">
        <v>7.0514705882352938E-2</v>
      </c>
      <c r="H752" s="545">
        <v>528.86029411764707</v>
      </c>
      <c r="I752" s="547" t="s">
        <v>9009</v>
      </c>
      <c r="J752" s="547" t="s">
        <v>9015</v>
      </c>
      <c r="K752" s="547" t="s">
        <v>8996</v>
      </c>
      <c r="L752" s="537" t="s">
        <v>541</v>
      </c>
    </row>
    <row r="753" spans="1:12" x14ac:dyDescent="0.2">
      <c r="A753" s="547" t="s">
        <v>220</v>
      </c>
      <c r="B753" s="547" t="s">
        <v>588</v>
      </c>
      <c r="C753" s="547" t="s">
        <v>1278</v>
      </c>
      <c r="D753" s="547" t="s">
        <v>1279</v>
      </c>
      <c r="E753" s="547" t="s">
        <v>545</v>
      </c>
      <c r="F753" s="567">
        <v>7680</v>
      </c>
      <c r="G753" s="545">
        <v>1.7624734881306676</v>
      </c>
      <c r="H753" s="545">
        <v>13535.796388843528</v>
      </c>
      <c r="I753" s="547" t="s">
        <v>9009</v>
      </c>
      <c r="J753" s="547" t="s">
        <v>9015</v>
      </c>
      <c r="K753" s="547" t="s">
        <v>8996</v>
      </c>
      <c r="L753" s="537" t="s">
        <v>541</v>
      </c>
    </row>
    <row r="754" spans="1:12" x14ac:dyDescent="0.2">
      <c r="A754" s="547" t="s">
        <v>220</v>
      </c>
      <c r="B754" s="547" t="s">
        <v>588</v>
      </c>
      <c r="C754" s="547" t="s">
        <v>1280</v>
      </c>
      <c r="D754" s="547" t="s">
        <v>1281</v>
      </c>
      <c r="E754" s="547" t="s">
        <v>545</v>
      </c>
      <c r="F754" s="567">
        <v>3840</v>
      </c>
      <c r="G754" s="545">
        <v>1.815099252541148</v>
      </c>
      <c r="H754" s="545">
        <v>6969.9811297580081</v>
      </c>
      <c r="I754" s="547" t="s">
        <v>9009</v>
      </c>
      <c r="J754" s="547" t="s">
        <v>9015</v>
      </c>
      <c r="K754" s="547" t="s">
        <v>8996</v>
      </c>
      <c r="L754" s="537" t="s">
        <v>541</v>
      </c>
    </row>
    <row r="755" spans="1:12" x14ac:dyDescent="0.2">
      <c r="A755" s="547" t="s">
        <v>220</v>
      </c>
      <c r="B755" s="547" t="s">
        <v>588</v>
      </c>
      <c r="C755" s="547" t="s">
        <v>9512</v>
      </c>
      <c r="D755" s="547" t="s">
        <v>9513</v>
      </c>
      <c r="E755" s="547" t="s">
        <v>545</v>
      </c>
      <c r="F755" s="567">
        <v>300</v>
      </c>
      <c r="G755" s="545">
        <v>2.8410000000000002</v>
      </c>
      <c r="H755" s="545">
        <v>852.30000000000007</v>
      </c>
      <c r="I755" s="547" t="s">
        <v>9009</v>
      </c>
      <c r="J755" s="547" t="s">
        <v>9011</v>
      </c>
      <c r="K755" s="547" t="s">
        <v>9068</v>
      </c>
      <c r="L755" s="537" t="s">
        <v>541</v>
      </c>
    </row>
    <row r="756" spans="1:12" x14ac:dyDescent="0.2">
      <c r="A756" s="547" t="s">
        <v>220</v>
      </c>
      <c r="B756" s="547" t="s">
        <v>588</v>
      </c>
      <c r="C756" s="547" t="s">
        <v>1282</v>
      </c>
      <c r="D756" s="547" t="s">
        <v>1283</v>
      </c>
      <c r="E756" s="547" t="s">
        <v>545</v>
      </c>
      <c r="F756" s="567">
        <v>6144</v>
      </c>
      <c r="G756" s="545">
        <v>1.9190203489271775</v>
      </c>
      <c r="H756" s="545">
        <v>11790.461023808579</v>
      </c>
      <c r="I756" s="547" t="s">
        <v>9009</v>
      </c>
      <c r="J756" s="547" t="s">
        <v>9011</v>
      </c>
      <c r="K756" s="547" t="s">
        <v>9068</v>
      </c>
      <c r="L756" s="537" t="s">
        <v>541</v>
      </c>
    </row>
    <row r="757" spans="1:12" x14ac:dyDescent="0.2">
      <c r="A757" s="547" t="s">
        <v>220</v>
      </c>
      <c r="B757" s="547" t="s">
        <v>588</v>
      </c>
      <c r="C757" s="547" t="s">
        <v>9514</v>
      </c>
      <c r="D757" s="547" t="s">
        <v>9515</v>
      </c>
      <c r="E757" s="547" t="s">
        <v>545</v>
      </c>
      <c r="F757" s="567">
        <v>300</v>
      </c>
      <c r="G757" s="545">
        <v>2.9089999999999998</v>
      </c>
      <c r="H757" s="545">
        <v>872.69999999999993</v>
      </c>
      <c r="I757" s="547" t="s">
        <v>9009</v>
      </c>
      <c r="J757" s="547" t="s">
        <v>9011</v>
      </c>
      <c r="K757" s="547" t="s">
        <v>9068</v>
      </c>
      <c r="L757" s="537" t="s">
        <v>541</v>
      </c>
    </row>
    <row r="758" spans="1:12" x14ac:dyDescent="0.2">
      <c r="A758" s="547" t="s">
        <v>220</v>
      </c>
      <c r="B758" s="547" t="s">
        <v>588</v>
      </c>
      <c r="C758" s="547" t="s">
        <v>1284</v>
      </c>
      <c r="D758" s="547" t="s">
        <v>1285</v>
      </c>
      <c r="E758" s="547" t="s">
        <v>545</v>
      </c>
      <c r="F758" s="567">
        <v>28521</v>
      </c>
      <c r="G758" s="545">
        <v>1.4306902927484679</v>
      </c>
      <c r="H758" s="545">
        <v>40804.717839479054</v>
      </c>
      <c r="I758" s="547" t="s">
        <v>9009</v>
      </c>
      <c r="J758" s="547" t="s">
        <v>9015</v>
      </c>
      <c r="K758" s="547" t="s">
        <v>8996</v>
      </c>
      <c r="L758" s="537" t="s">
        <v>541</v>
      </c>
    </row>
    <row r="759" spans="1:12" x14ac:dyDescent="0.2">
      <c r="A759" s="547" t="s">
        <v>220</v>
      </c>
      <c r="B759" s="547" t="s">
        <v>588</v>
      </c>
      <c r="C759" s="547" t="s">
        <v>1286</v>
      </c>
      <c r="D759" s="547" t="s">
        <v>1287</v>
      </c>
      <c r="E759" s="547" t="s">
        <v>545</v>
      </c>
      <c r="F759" s="567">
        <v>3255</v>
      </c>
      <c r="G759" s="545">
        <v>1.4450582455291476</v>
      </c>
      <c r="H759" s="545">
        <v>4703.6645891973758</v>
      </c>
      <c r="I759" s="547" t="s">
        <v>9009</v>
      </c>
      <c r="J759" s="547" t="s">
        <v>9015</v>
      </c>
      <c r="K759" s="547" t="s">
        <v>8996</v>
      </c>
      <c r="L759" s="537" t="s">
        <v>541</v>
      </c>
    </row>
    <row r="760" spans="1:12" x14ac:dyDescent="0.2">
      <c r="A760" s="547" t="s">
        <v>220</v>
      </c>
      <c r="B760" s="547" t="s">
        <v>588</v>
      </c>
      <c r="C760" s="547" t="s">
        <v>1288</v>
      </c>
      <c r="D760" s="547" t="s">
        <v>1289</v>
      </c>
      <c r="E760" s="547" t="s">
        <v>545</v>
      </c>
      <c r="F760" s="567">
        <v>26862</v>
      </c>
      <c r="G760" s="545">
        <v>1.5269844123937151</v>
      </c>
      <c r="H760" s="545">
        <v>41017.855285719976</v>
      </c>
      <c r="I760" s="547" t="s">
        <v>9009</v>
      </c>
      <c r="J760" s="547" t="s">
        <v>9015</v>
      </c>
      <c r="K760" s="547" t="s">
        <v>8996</v>
      </c>
      <c r="L760" s="537" t="s">
        <v>541</v>
      </c>
    </row>
    <row r="761" spans="1:12" x14ac:dyDescent="0.2">
      <c r="A761" s="547" t="s">
        <v>220</v>
      </c>
      <c r="B761" s="547" t="s">
        <v>588</v>
      </c>
      <c r="C761" s="547" t="s">
        <v>1290</v>
      </c>
      <c r="D761" s="547" t="s">
        <v>1291</v>
      </c>
      <c r="E761" s="547" t="s">
        <v>545</v>
      </c>
      <c r="F761" s="567">
        <v>2880</v>
      </c>
      <c r="G761" s="545">
        <v>1.5853425593048702</v>
      </c>
      <c r="H761" s="545">
        <v>4565.7865707980263</v>
      </c>
      <c r="I761" s="547" t="s">
        <v>9009</v>
      </c>
      <c r="J761" s="547" t="s">
        <v>9015</v>
      </c>
      <c r="K761" s="547" t="s">
        <v>8996</v>
      </c>
      <c r="L761" s="537" t="s">
        <v>541</v>
      </c>
    </row>
    <row r="762" spans="1:12" x14ac:dyDescent="0.2">
      <c r="A762" s="547" t="s">
        <v>220</v>
      </c>
      <c r="B762" s="547" t="s">
        <v>588</v>
      </c>
      <c r="C762" s="547" t="s">
        <v>1292</v>
      </c>
      <c r="D762" s="547" t="s">
        <v>1293</v>
      </c>
      <c r="E762" s="547" t="s">
        <v>545</v>
      </c>
      <c r="F762" s="567">
        <v>31980</v>
      </c>
      <c r="G762" s="545">
        <v>1.5632770349360017</v>
      </c>
      <c r="H762" s="545">
        <v>49993.599577253335</v>
      </c>
      <c r="I762" s="547" t="s">
        <v>9009</v>
      </c>
      <c r="J762" s="547" t="s">
        <v>9015</v>
      </c>
      <c r="K762" s="547" t="s">
        <v>8996</v>
      </c>
      <c r="L762" s="537" t="s">
        <v>541</v>
      </c>
    </row>
    <row r="763" spans="1:12" x14ac:dyDescent="0.2">
      <c r="A763" s="547" t="s">
        <v>220</v>
      </c>
      <c r="B763" s="547" t="s">
        <v>588</v>
      </c>
      <c r="C763" s="547" t="s">
        <v>1294</v>
      </c>
      <c r="D763" s="547" t="s">
        <v>1295</v>
      </c>
      <c r="E763" s="547" t="s">
        <v>545</v>
      </c>
      <c r="F763" s="567">
        <v>2736</v>
      </c>
      <c r="G763" s="545">
        <v>1.7999036584262238</v>
      </c>
      <c r="H763" s="545">
        <v>4924.5364094541483</v>
      </c>
      <c r="I763" s="547" t="s">
        <v>9009</v>
      </c>
      <c r="J763" s="547" t="s">
        <v>9015</v>
      </c>
      <c r="K763" s="547" t="s">
        <v>8996</v>
      </c>
      <c r="L763" s="537" t="s">
        <v>541</v>
      </c>
    </row>
    <row r="764" spans="1:12" x14ac:dyDescent="0.2">
      <c r="A764" s="547" t="s">
        <v>220</v>
      </c>
      <c r="B764" s="547" t="s">
        <v>588</v>
      </c>
      <c r="C764" s="547" t="s">
        <v>1296</v>
      </c>
      <c r="D764" s="547" t="s">
        <v>1297</v>
      </c>
      <c r="E764" s="547" t="s">
        <v>545</v>
      </c>
      <c r="F764" s="567">
        <v>16722</v>
      </c>
      <c r="G764" s="545">
        <v>1.7182116831404433</v>
      </c>
      <c r="H764" s="545">
        <v>28731.935765474493</v>
      </c>
      <c r="I764" s="547" t="s">
        <v>9009</v>
      </c>
      <c r="J764" s="547" t="s">
        <v>9015</v>
      </c>
      <c r="K764" s="547" t="s">
        <v>8996</v>
      </c>
      <c r="L764" s="537" t="s">
        <v>541</v>
      </c>
    </row>
    <row r="765" spans="1:12" x14ac:dyDescent="0.2">
      <c r="A765" s="547" t="s">
        <v>220</v>
      </c>
      <c r="B765" s="547" t="s">
        <v>588</v>
      </c>
      <c r="C765" s="547" t="s">
        <v>1298</v>
      </c>
      <c r="D765" s="547" t="s">
        <v>1299</v>
      </c>
      <c r="E765" s="547" t="s">
        <v>545</v>
      </c>
      <c r="F765" s="567">
        <v>695</v>
      </c>
      <c r="G765" s="545">
        <v>1.905795172712855</v>
      </c>
      <c r="H765" s="545">
        <v>1324.5276450354343</v>
      </c>
      <c r="I765" s="547" t="s">
        <v>9009</v>
      </c>
      <c r="J765" s="547" t="s">
        <v>9015</v>
      </c>
      <c r="K765" s="547" t="s">
        <v>8996</v>
      </c>
      <c r="L765" s="537" t="s">
        <v>541</v>
      </c>
    </row>
    <row r="766" spans="1:12" x14ac:dyDescent="0.2">
      <c r="A766" s="547" t="s">
        <v>220</v>
      </c>
      <c r="B766" s="547" t="s">
        <v>588</v>
      </c>
      <c r="C766" s="547" t="s">
        <v>1300</v>
      </c>
      <c r="D766" s="547" t="s">
        <v>1301</v>
      </c>
      <c r="E766" s="547" t="s">
        <v>545</v>
      </c>
      <c r="F766" s="567">
        <v>2808</v>
      </c>
      <c r="G766" s="545">
        <v>1.546955414573195</v>
      </c>
      <c r="H766" s="545">
        <v>4343.8508041215318</v>
      </c>
      <c r="I766" s="547" t="s">
        <v>9009</v>
      </c>
      <c r="J766" s="547" t="s">
        <v>9015</v>
      </c>
      <c r="K766" s="547" t="s">
        <v>8996</v>
      </c>
      <c r="L766" s="537" t="s">
        <v>541</v>
      </c>
    </row>
    <row r="767" spans="1:12" x14ac:dyDescent="0.2">
      <c r="A767" s="547" t="s">
        <v>220</v>
      </c>
      <c r="B767" s="547" t="s">
        <v>588</v>
      </c>
      <c r="C767" s="547" t="s">
        <v>1302</v>
      </c>
      <c r="D767" s="547" t="s">
        <v>1303</v>
      </c>
      <c r="E767" s="547" t="s">
        <v>545</v>
      </c>
      <c r="F767" s="567">
        <v>3432</v>
      </c>
      <c r="G767" s="545">
        <v>1.667781071564256</v>
      </c>
      <c r="H767" s="545">
        <v>5723.8246376085272</v>
      </c>
      <c r="I767" s="547" t="s">
        <v>9009</v>
      </c>
      <c r="J767" s="547" t="s">
        <v>9015</v>
      </c>
      <c r="K767" s="547" t="s">
        <v>8996</v>
      </c>
      <c r="L767" s="537" t="s">
        <v>541</v>
      </c>
    </row>
    <row r="768" spans="1:12" x14ac:dyDescent="0.2">
      <c r="A768" s="547" t="s">
        <v>220</v>
      </c>
      <c r="B768" s="547" t="s">
        <v>588</v>
      </c>
      <c r="C768" s="547" t="s">
        <v>1306</v>
      </c>
      <c r="D768" s="547" t="s">
        <v>1307</v>
      </c>
      <c r="E768" s="547" t="s">
        <v>545</v>
      </c>
      <c r="F768" s="567">
        <v>1000</v>
      </c>
      <c r="G768" s="545">
        <v>0.30528988899645421</v>
      </c>
      <c r="H768" s="545">
        <v>305.28988899645418</v>
      </c>
      <c r="I768" s="547" t="s">
        <v>9009</v>
      </c>
      <c r="J768" s="547" t="s">
        <v>9015</v>
      </c>
      <c r="K768" s="547" t="s">
        <v>8996</v>
      </c>
      <c r="L768" s="537" t="s">
        <v>541</v>
      </c>
    </row>
    <row r="769" spans="1:12" x14ac:dyDescent="0.2">
      <c r="A769" s="547" t="s">
        <v>220</v>
      </c>
      <c r="B769" s="547" t="s">
        <v>588</v>
      </c>
      <c r="C769" s="547" t="s">
        <v>1308</v>
      </c>
      <c r="D769" s="547" t="s">
        <v>1309</v>
      </c>
      <c r="E769" s="547" t="s">
        <v>545</v>
      </c>
      <c r="F769" s="567">
        <v>2000</v>
      </c>
      <c r="G769" s="545">
        <v>0.54727052307402646</v>
      </c>
      <c r="H769" s="545">
        <v>1094.5410461480528</v>
      </c>
      <c r="I769" s="547" t="s">
        <v>9009</v>
      </c>
      <c r="J769" s="547" t="s">
        <v>9015</v>
      </c>
      <c r="K769" s="547" t="s">
        <v>8996</v>
      </c>
      <c r="L769" s="537" t="s">
        <v>541</v>
      </c>
    </row>
    <row r="770" spans="1:12" x14ac:dyDescent="0.2">
      <c r="A770" s="547" t="s">
        <v>220</v>
      </c>
      <c r="B770" s="547" t="s">
        <v>588</v>
      </c>
      <c r="C770" s="547" t="s">
        <v>1310</v>
      </c>
      <c r="D770" s="547" t="s">
        <v>1311</v>
      </c>
      <c r="E770" s="547" t="s">
        <v>545</v>
      </c>
      <c r="F770" s="567">
        <v>470</v>
      </c>
      <c r="G770" s="545">
        <v>1.3230641258607909</v>
      </c>
      <c r="H770" s="545">
        <v>621.84013915457172</v>
      </c>
      <c r="I770" s="547" t="s">
        <v>9009</v>
      </c>
      <c r="J770" s="547" t="s">
        <v>9015</v>
      </c>
      <c r="K770" s="547" t="s">
        <v>8996</v>
      </c>
      <c r="L770" s="537" t="s">
        <v>541</v>
      </c>
    </row>
    <row r="771" spans="1:12" x14ac:dyDescent="0.2">
      <c r="A771" s="547" t="s">
        <v>220</v>
      </c>
      <c r="B771" s="547" t="s">
        <v>588</v>
      </c>
      <c r="C771" s="547" t="s">
        <v>1312</v>
      </c>
      <c r="D771" s="547" t="s">
        <v>1313</v>
      </c>
      <c r="E771" s="547" t="s">
        <v>545</v>
      </c>
      <c r="F771" s="567">
        <v>500</v>
      </c>
      <c r="G771" s="545">
        <v>0.22800000000000001</v>
      </c>
      <c r="H771" s="545">
        <v>114</v>
      </c>
      <c r="I771" s="547" t="s">
        <v>9009</v>
      </c>
      <c r="J771" s="547" t="s">
        <v>9015</v>
      </c>
      <c r="K771" s="547" t="s">
        <v>8996</v>
      </c>
      <c r="L771" s="537" t="s">
        <v>541</v>
      </c>
    </row>
    <row r="772" spans="1:12" x14ac:dyDescent="0.2">
      <c r="A772" s="547" t="s">
        <v>220</v>
      </c>
      <c r="B772" s="547" t="s">
        <v>588</v>
      </c>
      <c r="C772" s="547" t="s">
        <v>1314</v>
      </c>
      <c r="D772" s="547" t="s">
        <v>1315</v>
      </c>
      <c r="E772" s="547" t="s">
        <v>545</v>
      </c>
      <c r="F772" s="567">
        <v>500</v>
      </c>
      <c r="G772" s="545">
        <v>0.28799999999999998</v>
      </c>
      <c r="H772" s="545">
        <v>144</v>
      </c>
      <c r="I772" s="547" t="s">
        <v>9009</v>
      </c>
      <c r="J772" s="547" t="s">
        <v>9015</v>
      </c>
      <c r="K772" s="547" t="s">
        <v>8996</v>
      </c>
      <c r="L772" s="537" t="s">
        <v>541</v>
      </c>
    </row>
    <row r="773" spans="1:12" x14ac:dyDescent="0.2">
      <c r="A773" s="547" t="s">
        <v>220</v>
      </c>
      <c r="B773" s="547" t="s">
        <v>588</v>
      </c>
      <c r="C773" s="547" t="s">
        <v>1316</v>
      </c>
      <c r="D773" s="547" t="s">
        <v>1317</v>
      </c>
      <c r="E773" s="547" t="s">
        <v>545</v>
      </c>
      <c r="F773" s="567">
        <v>2500</v>
      </c>
      <c r="G773" s="545">
        <v>0.55041091954022991</v>
      </c>
      <c r="H773" s="545">
        <v>1376.0272988505749</v>
      </c>
      <c r="I773" s="547" t="s">
        <v>9009</v>
      </c>
      <c r="J773" s="547" t="s">
        <v>9015</v>
      </c>
      <c r="K773" s="547" t="s">
        <v>8996</v>
      </c>
      <c r="L773" s="537" t="s">
        <v>541</v>
      </c>
    </row>
    <row r="774" spans="1:12" x14ac:dyDescent="0.2">
      <c r="A774" s="547" t="s">
        <v>220</v>
      </c>
      <c r="B774" s="547" t="s">
        <v>588</v>
      </c>
      <c r="C774" s="547" t="s">
        <v>1318</v>
      </c>
      <c r="D774" s="547" t="s">
        <v>1319</v>
      </c>
      <c r="E774" s="547" t="s">
        <v>545</v>
      </c>
      <c r="F774" s="567">
        <v>600</v>
      </c>
      <c r="G774" s="545">
        <v>0.60599999999999998</v>
      </c>
      <c r="H774" s="545">
        <v>363.59999999999997</v>
      </c>
      <c r="I774" s="547" t="s">
        <v>9009</v>
      </c>
      <c r="J774" s="547" t="s">
        <v>9015</v>
      </c>
      <c r="K774" s="547" t="s">
        <v>8996</v>
      </c>
      <c r="L774" s="537" t="s">
        <v>541</v>
      </c>
    </row>
    <row r="775" spans="1:12" x14ac:dyDescent="0.2">
      <c r="A775" s="547" t="s">
        <v>220</v>
      </c>
      <c r="B775" s="547" t="s">
        <v>588</v>
      </c>
      <c r="C775" s="547" t="s">
        <v>1320</v>
      </c>
      <c r="D775" s="547" t="s">
        <v>1321</v>
      </c>
      <c r="E775" s="547" t="s">
        <v>545</v>
      </c>
      <c r="F775" s="567">
        <v>1180</v>
      </c>
      <c r="G775" s="545">
        <v>0.37369999999999998</v>
      </c>
      <c r="H775" s="545">
        <v>440.96599999999995</v>
      </c>
      <c r="I775" s="547" t="s">
        <v>9009</v>
      </c>
      <c r="J775" s="547" t="s">
        <v>9015</v>
      </c>
      <c r="K775" s="547" t="s">
        <v>8996</v>
      </c>
      <c r="L775" s="537" t="s">
        <v>541</v>
      </c>
    </row>
    <row r="776" spans="1:12" x14ac:dyDescent="0.2">
      <c r="A776" s="547" t="s">
        <v>220</v>
      </c>
      <c r="B776" s="547" t="s">
        <v>588</v>
      </c>
      <c r="C776" s="547" t="s">
        <v>1322</v>
      </c>
      <c r="D776" s="547" t="s">
        <v>1323</v>
      </c>
      <c r="E776" s="547" t="s">
        <v>545</v>
      </c>
      <c r="F776" s="567">
        <v>1500</v>
      </c>
      <c r="G776" s="545">
        <v>0.62975590861764652</v>
      </c>
      <c r="H776" s="545">
        <v>944.63386292646976</v>
      </c>
      <c r="I776" s="547" t="s">
        <v>9009</v>
      </c>
      <c r="J776" s="547" t="s">
        <v>9015</v>
      </c>
      <c r="K776" s="547" t="s">
        <v>8996</v>
      </c>
      <c r="L776" s="537" t="s">
        <v>541</v>
      </c>
    </row>
    <row r="777" spans="1:12" x14ac:dyDescent="0.2">
      <c r="A777" s="547" t="s">
        <v>220</v>
      </c>
      <c r="B777" s="547" t="s">
        <v>588</v>
      </c>
      <c r="C777" s="547" t="s">
        <v>1324</v>
      </c>
      <c r="D777" s="547" t="s">
        <v>1325</v>
      </c>
      <c r="E777" s="547" t="s">
        <v>545</v>
      </c>
      <c r="F777" s="567">
        <v>2800</v>
      </c>
      <c r="G777" s="545">
        <v>0.68679999999999997</v>
      </c>
      <c r="H777" s="545">
        <v>1923.04</v>
      </c>
      <c r="I777" s="547" t="s">
        <v>9009</v>
      </c>
      <c r="J777" s="547" t="s">
        <v>9015</v>
      </c>
      <c r="K777" s="547" t="s">
        <v>8996</v>
      </c>
      <c r="L777" s="537" t="s">
        <v>541</v>
      </c>
    </row>
    <row r="778" spans="1:12" x14ac:dyDescent="0.2">
      <c r="A778" s="547" t="s">
        <v>220</v>
      </c>
      <c r="B778" s="547" t="s">
        <v>588</v>
      </c>
      <c r="C778" s="547" t="s">
        <v>1326</v>
      </c>
      <c r="D778" s="547" t="s">
        <v>1327</v>
      </c>
      <c r="E778" s="547" t="s">
        <v>545</v>
      </c>
      <c r="F778" s="567">
        <v>1500</v>
      </c>
      <c r="G778" s="545">
        <v>0.64555833333333335</v>
      </c>
      <c r="H778" s="545">
        <v>968.33749999999998</v>
      </c>
      <c r="I778" s="547" t="s">
        <v>9009</v>
      </c>
      <c r="J778" s="547" t="s">
        <v>9015</v>
      </c>
      <c r="K778" s="547" t="s">
        <v>8996</v>
      </c>
      <c r="L778" s="537" t="s">
        <v>541</v>
      </c>
    </row>
    <row r="779" spans="1:12" x14ac:dyDescent="0.2">
      <c r="A779" s="547" t="s">
        <v>220</v>
      </c>
      <c r="B779" s="547" t="s">
        <v>588</v>
      </c>
      <c r="C779" s="547" t="s">
        <v>1328</v>
      </c>
      <c r="D779" s="547" t="s">
        <v>1329</v>
      </c>
      <c r="E779" s="547" t="s">
        <v>545</v>
      </c>
      <c r="F779" s="567">
        <v>2500</v>
      </c>
      <c r="G779" s="545">
        <v>0.45070999999999994</v>
      </c>
      <c r="H779" s="545">
        <v>1126.7749999999999</v>
      </c>
      <c r="I779" s="547" t="s">
        <v>9009</v>
      </c>
      <c r="J779" s="547" t="s">
        <v>9015</v>
      </c>
      <c r="K779" s="547" t="s">
        <v>8996</v>
      </c>
      <c r="L779" s="537" t="s">
        <v>541</v>
      </c>
    </row>
    <row r="780" spans="1:12" x14ac:dyDescent="0.2">
      <c r="A780" s="547" t="s">
        <v>220</v>
      </c>
      <c r="B780" s="547" t="s">
        <v>588</v>
      </c>
      <c r="C780" s="547" t="s">
        <v>1330</v>
      </c>
      <c r="D780" s="547" t="s">
        <v>1331</v>
      </c>
      <c r="E780" s="547" t="s">
        <v>545</v>
      </c>
      <c r="F780" s="567">
        <v>5350</v>
      </c>
      <c r="G780" s="545">
        <v>0.361782387427524</v>
      </c>
      <c r="H780" s="545">
        <v>1935.5357727372534</v>
      </c>
      <c r="I780" s="547" t="s">
        <v>9009</v>
      </c>
      <c r="J780" s="547" t="s">
        <v>9015</v>
      </c>
      <c r="K780" s="547" t="s">
        <v>8996</v>
      </c>
      <c r="L780" s="537" t="s">
        <v>541</v>
      </c>
    </row>
    <row r="781" spans="1:12" x14ac:dyDescent="0.2">
      <c r="A781" s="547" t="s">
        <v>220</v>
      </c>
      <c r="B781" s="547" t="s">
        <v>588</v>
      </c>
      <c r="C781" s="547" t="s">
        <v>1332</v>
      </c>
      <c r="D781" s="547" t="s">
        <v>1333</v>
      </c>
      <c r="E781" s="547" t="s">
        <v>545</v>
      </c>
      <c r="F781" s="567">
        <v>3200</v>
      </c>
      <c r="G781" s="545">
        <v>0.34749713911225766</v>
      </c>
      <c r="H781" s="545">
        <v>1111.9908451592246</v>
      </c>
      <c r="I781" s="547" t="s">
        <v>9009</v>
      </c>
      <c r="J781" s="547" t="s">
        <v>9015</v>
      </c>
      <c r="K781" s="547" t="s">
        <v>8996</v>
      </c>
      <c r="L781" s="537" t="s">
        <v>541</v>
      </c>
    </row>
    <row r="782" spans="1:12" x14ac:dyDescent="0.2">
      <c r="A782" s="547" t="s">
        <v>220</v>
      </c>
      <c r="B782" s="547" t="s">
        <v>588</v>
      </c>
      <c r="C782" s="547" t="s">
        <v>1334</v>
      </c>
      <c r="D782" s="547" t="s">
        <v>1335</v>
      </c>
      <c r="E782" s="547" t="s">
        <v>545</v>
      </c>
      <c r="F782" s="567">
        <v>3900</v>
      </c>
      <c r="G782" s="545">
        <v>0.48724328487526236</v>
      </c>
      <c r="H782" s="545">
        <v>1900.2488110135232</v>
      </c>
      <c r="I782" s="547" t="s">
        <v>9009</v>
      </c>
      <c r="J782" s="547" t="s">
        <v>9015</v>
      </c>
      <c r="K782" s="547" t="s">
        <v>8996</v>
      </c>
      <c r="L782" s="537" t="s">
        <v>541</v>
      </c>
    </row>
    <row r="783" spans="1:12" x14ac:dyDescent="0.2">
      <c r="A783" s="547" t="s">
        <v>220</v>
      </c>
      <c r="B783" s="547" t="s">
        <v>588</v>
      </c>
      <c r="C783" s="547" t="s">
        <v>1336</v>
      </c>
      <c r="D783" s="547" t="s">
        <v>1337</v>
      </c>
      <c r="E783" s="547" t="s">
        <v>545</v>
      </c>
      <c r="F783" s="567">
        <v>1500</v>
      </c>
      <c r="G783" s="545">
        <v>0.60094999999999998</v>
      </c>
      <c r="H783" s="545">
        <v>901.42499999999995</v>
      </c>
      <c r="I783" s="547" t="s">
        <v>9009</v>
      </c>
      <c r="J783" s="547" t="s">
        <v>9015</v>
      </c>
      <c r="K783" s="547" t="s">
        <v>8996</v>
      </c>
      <c r="L783" s="537" t="s">
        <v>541</v>
      </c>
    </row>
    <row r="784" spans="1:12" x14ac:dyDescent="0.2">
      <c r="A784" s="547" t="s">
        <v>220</v>
      </c>
      <c r="B784" s="547" t="s">
        <v>588</v>
      </c>
      <c r="C784" s="547" t="s">
        <v>1338</v>
      </c>
      <c r="D784" s="547" t="s">
        <v>1339</v>
      </c>
      <c r="E784" s="547" t="s">
        <v>545</v>
      </c>
      <c r="F784" s="567">
        <v>5330</v>
      </c>
      <c r="G784" s="545">
        <v>0.58967420262664161</v>
      </c>
      <c r="H784" s="545">
        <v>3142.9634999999998</v>
      </c>
      <c r="I784" s="547" t="s">
        <v>9009</v>
      </c>
      <c r="J784" s="547" t="s">
        <v>9015</v>
      </c>
      <c r="K784" s="547" t="s">
        <v>8996</v>
      </c>
      <c r="L784" s="537" t="s">
        <v>541</v>
      </c>
    </row>
    <row r="785" spans="1:12" x14ac:dyDescent="0.2">
      <c r="A785" s="547" t="s">
        <v>220</v>
      </c>
      <c r="B785" s="547" t="s">
        <v>588</v>
      </c>
      <c r="C785" s="547" t="s">
        <v>1340</v>
      </c>
      <c r="D785" s="547" t="s">
        <v>1341</v>
      </c>
      <c r="E785" s="547" t="s">
        <v>545</v>
      </c>
      <c r="F785" s="567">
        <v>4630</v>
      </c>
      <c r="G785" s="545">
        <v>0.45450000000000002</v>
      </c>
      <c r="H785" s="545">
        <v>2104.335</v>
      </c>
      <c r="I785" s="547" t="s">
        <v>9009</v>
      </c>
      <c r="J785" s="547" t="s">
        <v>9015</v>
      </c>
      <c r="K785" s="547" t="s">
        <v>8996</v>
      </c>
      <c r="L785" s="537" t="s">
        <v>541</v>
      </c>
    </row>
    <row r="786" spans="1:12" x14ac:dyDescent="0.2">
      <c r="A786" s="547" t="s">
        <v>220</v>
      </c>
      <c r="B786" s="547" t="s">
        <v>588</v>
      </c>
      <c r="C786" s="547" t="s">
        <v>1342</v>
      </c>
      <c r="D786" s="547" t="s">
        <v>1343</v>
      </c>
      <c r="E786" s="547" t="s">
        <v>545</v>
      </c>
      <c r="F786" s="567">
        <v>2900</v>
      </c>
      <c r="G786" s="545">
        <v>0.45435242175697771</v>
      </c>
      <c r="H786" s="545">
        <v>1317.6220230952354</v>
      </c>
      <c r="I786" s="547" t="s">
        <v>9009</v>
      </c>
      <c r="J786" s="547" t="s">
        <v>9015</v>
      </c>
      <c r="K786" s="547" t="s">
        <v>8996</v>
      </c>
      <c r="L786" s="537" t="s">
        <v>541</v>
      </c>
    </row>
    <row r="787" spans="1:12" x14ac:dyDescent="0.2">
      <c r="A787" s="547" t="s">
        <v>220</v>
      </c>
      <c r="B787" s="547" t="s">
        <v>588</v>
      </c>
      <c r="C787" s="547" t="s">
        <v>1344</v>
      </c>
      <c r="D787" s="547" t="s">
        <v>1345</v>
      </c>
      <c r="E787" s="547" t="s">
        <v>545</v>
      </c>
      <c r="F787" s="567">
        <v>2540</v>
      </c>
      <c r="G787" s="545">
        <v>0.57739326597962448</v>
      </c>
      <c r="H787" s="545">
        <v>1466.5788955882463</v>
      </c>
      <c r="I787" s="547" t="s">
        <v>9009</v>
      </c>
      <c r="J787" s="547" t="s">
        <v>9015</v>
      </c>
      <c r="K787" s="547" t="s">
        <v>8996</v>
      </c>
      <c r="L787" s="537" t="s">
        <v>541</v>
      </c>
    </row>
    <row r="788" spans="1:12" x14ac:dyDescent="0.2">
      <c r="A788" s="547" t="s">
        <v>220</v>
      </c>
      <c r="B788" s="547" t="s">
        <v>588</v>
      </c>
      <c r="C788" s="547" t="s">
        <v>1346</v>
      </c>
      <c r="D788" s="547" t="s">
        <v>1347</v>
      </c>
      <c r="E788" s="547" t="s">
        <v>545</v>
      </c>
      <c r="F788" s="567">
        <v>4000</v>
      </c>
      <c r="G788" s="545">
        <v>0.48544954806954344</v>
      </c>
      <c r="H788" s="545">
        <v>1941.7981922781737</v>
      </c>
      <c r="I788" s="547" t="s">
        <v>9009</v>
      </c>
      <c r="J788" s="547" t="s">
        <v>9015</v>
      </c>
      <c r="K788" s="547" t="s">
        <v>8996</v>
      </c>
      <c r="L788" s="537" t="s">
        <v>541</v>
      </c>
    </row>
    <row r="789" spans="1:12" x14ac:dyDescent="0.2">
      <c r="A789" s="547" t="s">
        <v>220</v>
      </c>
      <c r="B789" s="547" t="s">
        <v>588</v>
      </c>
      <c r="C789" s="547" t="s">
        <v>1348</v>
      </c>
      <c r="D789" s="547" t="s">
        <v>1349</v>
      </c>
      <c r="E789" s="547" t="s">
        <v>545</v>
      </c>
      <c r="F789" s="567">
        <v>1500</v>
      </c>
      <c r="G789" s="545">
        <v>0.46460000000000001</v>
      </c>
      <c r="H789" s="545">
        <v>696.9</v>
      </c>
      <c r="I789" s="547" t="s">
        <v>9009</v>
      </c>
      <c r="J789" s="547" t="s">
        <v>9015</v>
      </c>
      <c r="K789" s="547" t="s">
        <v>8996</v>
      </c>
      <c r="L789" s="537" t="s">
        <v>541</v>
      </c>
    </row>
    <row r="790" spans="1:12" x14ac:dyDescent="0.2">
      <c r="A790" s="547" t="s">
        <v>220</v>
      </c>
      <c r="B790" s="547" t="s">
        <v>588</v>
      </c>
      <c r="C790" s="547" t="s">
        <v>1350</v>
      </c>
      <c r="D790" s="547" t="s">
        <v>1351</v>
      </c>
      <c r="E790" s="547" t="s">
        <v>545</v>
      </c>
      <c r="F790" s="567">
        <v>1000</v>
      </c>
      <c r="G790" s="545">
        <v>0.64144036697247697</v>
      </c>
      <c r="H790" s="545">
        <v>641.44036697247702</v>
      </c>
      <c r="I790" s="547" t="s">
        <v>9009</v>
      </c>
      <c r="J790" s="547" t="s">
        <v>9015</v>
      </c>
      <c r="K790" s="547" t="s">
        <v>8996</v>
      </c>
      <c r="L790" s="537" t="s">
        <v>541</v>
      </c>
    </row>
    <row r="791" spans="1:12" x14ac:dyDescent="0.2">
      <c r="A791" s="547" t="s">
        <v>220</v>
      </c>
      <c r="B791" s="547" t="s">
        <v>588</v>
      </c>
      <c r="C791" s="547" t="s">
        <v>1352</v>
      </c>
      <c r="D791" s="547" t="s">
        <v>1353</v>
      </c>
      <c r="E791" s="547" t="s">
        <v>545</v>
      </c>
      <c r="F791" s="567">
        <v>5350</v>
      </c>
      <c r="G791" s="545">
        <v>0.32950772655849936</v>
      </c>
      <c r="H791" s="545">
        <v>1762.8663370879715</v>
      </c>
      <c r="I791" s="547" t="s">
        <v>9009</v>
      </c>
      <c r="J791" s="547" t="s">
        <v>9015</v>
      </c>
      <c r="K791" s="547" t="s">
        <v>8996</v>
      </c>
      <c r="L791" s="537" t="s">
        <v>541</v>
      </c>
    </row>
    <row r="792" spans="1:12" x14ac:dyDescent="0.2">
      <c r="A792" s="547" t="s">
        <v>220</v>
      </c>
      <c r="B792" s="547" t="s">
        <v>588</v>
      </c>
      <c r="C792" s="547" t="s">
        <v>1356</v>
      </c>
      <c r="D792" s="547" t="s">
        <v>1357</v>
      </c>
      <c r="E792" s="547" t="s">
        <v>545</v>
      </c>
      <c r="F792" s="567">
        <v>5770</v>
      </c>
      <c r="G792" s="545">
        <v>0.42923067187584502</v>
      </c>
      <c r="H792" s="545">
        <v>2476.6609767236259</v>
      </c>
      <c r="I792" s="547" t="s">
        <v>9009</v>
      </c>
      <c r="J792" s="547" t="s">
        <v>9015</v>
      </c>
      <c r="K792" s="547" t="s">
        <v>8996</v>
      </c>
      <c r="L792" s="537" t="s">
        <v>541</v>
      </c>
    </row>
    <row r="793" spans="1:12" x14ac:dyDescent="0.2">
      <c r="A793" s="547" t="s">
        <v>220</v>
      </c>
      <c r="B793" s="547" t="s">
        <v>588</v>
      </c>
      <c r="C793" s="547" t="s">
        <v>1358</v>
      </c>
      <c r="D793" s="547" t="s">
        <v>1359</v>
      </c>
      <c r="E793" s="547" t="s">
        <v>545</v>
      </c>
      <c r="F793" s="567">
        <v>1550</v>
      </c>
      <c r="G793" s="545">
        <v>0.6006624603314159</v>
      </c>
      <c r="H793" s="545">
        <v>931.02681351369461</v>
      </c>
      <c r="I793" s="547" t="s">
        <v>9009</v>
      </c>
      <c r="J793" s="547" t="s">
        <v>9015</v>
      </c>
      <c r="K793" s="547" t="s">
        <v>8996</v>
      </c>
      <c r="L793" s="537" t="s">
        <v>541</v>
      </c>
    </row>
    <row r="794" spans="1:12" x14ac:dyDescent="0.2">
      <c r="A794" s="547" t="s">
        <v>220</v>
      </c>
      <c r="B794" s="547" t="s">
        <v>588</v>
      </c>
      <c r="C794" s="547" t="s">
        <v>7538</v>
      </c>
      <c r="D794" s="547" t="s">
        <v>7539</v>
      </c>
      <c r="E794" s="547" t="s">
        <v>545</v>
      </c>
      <c r="F794" s="567">
        <v>4000</v>
      </c>
      <c r="G794" s="545">
        <v>0.35349999999999998</v>
      </c>
      <c r="H794" s="545">
        <v>1414</v>
      </c>
      <c r="I794" s="547" t="s">
        <v>9009</v>
      </c>
      <c r="J794" s="547" t="s">
        <v>9015</v>
      </c>
      <c r="K794" s="547" t="s">
        <v>8996</v>
      </c>
      <c r="L794" s="537" t="s">
        <v>541</v>
      </c>
    </row>
    <row r="795" spans="1:12" x14ac:dyDescent="0.2">
      <c r="A795" s="547" t="s">
        <v>220</v>
      </c>
      <c r="B795" s="547" t="s">
        <v>588</v>
      </c>
      <c r="C795" s="547" t="s">
        <v>1360</v>
      </c>
      <c r="D795" s="547" t="s">
        <v>1361</v>
      </c>
      <c r="E795" s="547" t="s">
        <v>545</v>
      </c>
      <c r="F795" s="567">
        <v>2900</v>
      </c>
      <c r="G795" s="545">
        <v>0.34496445386064029</v>
      </c>
      <c r="H795" s="545">
        <v>1000.3969161958569</v>
      </c>
      <c r="I795" s="547" t="s">
        <v>9009</v>
      </c>
      <c r="J795" s="547" t="s">
        <v>9015</v>
      </c>
      <c r="K795" s="547" t="s">
        <v>8996</v>
      </c>
      <c r="L795" s="537" t="s">
        <v>541</v>
      </c>
    </row>
    <row r="796" spans="1:12" x14ac:dyDescent="0.2">
      <c r="A796" s="547" t="s">
        <v>220</v>
      </c>
      <c r="B796" s="547" t="s">
        <v>588</v>
      </c>
      <c r="C796" s="547" t="s">
        <v>1362</v>
      </c>
      <c r="D796" s="547" t="s">
        <v>1363</v>
      </c>
      <c r="E796" s="547" t="s">
        <v>545</v>
      </c>
      <c r="F796" s="567">
        <v>3080</v>
      </c>
      <c r="G796" s="545">
        <v>0.38379999999999992</v>
      </c>
      <c r="H796" s="545">
        <v>1182.1039999999998</v>
      </c>
      <c r="I796" s="547" t="s">
        <v>9009</v>
      </c>
      <c r="J796" s="547" t="s">
        <v>9015</v>
      </c>
      <c r="K796" s="547" t="s">
        <v>8996</v>
      </c>
      <c r="L796" s="537" t="s">
        <v>541</v>
      </c>
    </row>
    <row r="797" spans="1:12" x14ac:dyDescent="0.2">
      <c r="A797" s="547" t="s">
        <v>220</v>
      </c>
      <c r="B797" s="547" t="s">
        <v>588</v>
      </c>
      <c r="C797" s="547" t="s">
        <v>1364</v>
      </c>
      <c r="D797" s="547" t="s">
        <v>1365</v>
      </c>
      <c r="E797" s="547" t="s">
        <v>545</v>
      </c>
      <c r="F797" s="567">
        <v>4070</v>
      </c>
      <c r="G797" s="545">
        <v>0.38379999999999997</v>
      </c>
      <c r="H797" s="545">
        <v>1562.0659999999998</v>
      </c>
      <c r="I797" s="547" t="s">
        <v>9009</v>
      </c>
      <c r="J797" s="547" t="s">
        <v>9015</v>
      </c>
      <c r="K797" s="547" t="s">
        <v>8996</v>
      </c>
      <c r="L797" s="537" t="s">
        <v>541</v>
      </c>
    </row>
    <row r="798" spans="1:12" x14ac:dyDescent="0.2">
      <c r="A798" s="547" t="s">
        <v>220</v>
      </c>
      <c r="B798" s="547" t="s">
        <v>588</v>
      </c>
      <c r="C798" s="547" t="s">
        <v>1366</v>
      </c>
      <c r="D798" s="547" t="s">
        <v>1367</v>
      </c>
      <c r="E798" s="547" t="s">
        <v>545</v>
      </c>
      <c r="F798" s="567">
        <v>3086</v>
      </c>
      <c r="G798" s="545">
        <v>0.45450000000000007</v>
      </c>
      <c r="H798" s="545">
        <v>1402.5870000000002</v>
      </c>
      <c r="I798" s="547" t="s">
        <v>9009</v>
      </c>
      <c r="J798" s="547" t="s">
        <v>9015</v>
      </c>
      <c r="K798" s="547" t="s">
        <v>8996</v>
      </c>
      <c r="L798" s="537" t="s">
        <v>541</v>
      </c>
    </row>
    <row r="799" spans="1:12" x14ac:dyDescent="0.2">
      <c r="A799" s="547" t="s">
        <v>220</v>
      </c>
      <c r="B799" s="547" t="s">
        <v>588</v>
      </c>
      <c r="C799" s="547" t="s">
        <v>1368</v>
      </c>
      <c r="D799" s="547" t="s">
        <v>1369</v>
      </c>
      <c r="E799" s="547" t="s">
        <v>545</v>
      </c>
      <c r="F799" s="567">
        <v>3730</v>
      </c>
      <c r="G799" s="545">
        <v>0.42420000000000002</v>
      </c>
      <c r="H799" s="545">
        <v>1582.2660000000001</v>
      </c>
      <c r="I799" s="547" t="s">
        <v>9009</v>
      </c>
      <c r="J799" s="547" t="s">
        <v>9015</v>
      </c>
      <c r="K799" s="547" t="s">
        <v>8996</v>
      </c>
      <c r="L799" s="537" t="s">
        <v>541</v>
      </c>
    </row>
    <row r="800" spans="1:12" x14ac:dyDescent="0.2">
      <c r="A800" s="547" t="s">
        <v>220</v>
      </c>
      <c r="B800" s="547" t="s">
        <v>588</v>
      </c>
      <c r="C800" s="547" t="s">
        <v>1370</v>
      </c>
      <c r="D800" s="547" t="s">
        <v>1371</v>
      </c>
      <c r="E800" s="547" t="s">
        <v>545</v>
      </c>
      <c r="F800" s="567">
        <v>2500</v>
      </c>
      <c r="G800" s="545">
        <v>0.37874999999999998</v>
      </c>
      <c r="H800" s="545">
        <v>946.87499999999989</v>
      </c>
      <c r="I800" s="547" t="s">
        <v>9009</v>
      </c>
      <c r="J800" s="547" t="s">
        <v>9015</v>
      </c>
      <c r="K800" s="547" t="s">
        <v>8996</v>
      </c>
      <c r="L800" s="537" t="s">
        <v>541</v>
      </c>
    </row>
    <row r="801" spans="1:12" x14ac:dyDescent="0.2">
      <c r="A801" s="547" t="s">
        <v>220</v>
      </c>
      <c r="B801" s="547" t="s">
        <v>588</v>
      </c>
      <c r="C801" s="547" t="s">
        <v>1372</v>
      </c>
      <c r="D801" s="547" t="s">
        <v>1373</v>
      </c>
      <c r="E801" s="547" t="s">
        <v>545</v>
      </c>
      <c r="F801" s="567">
        <v>4600</v>
      </c>
      <c r="G801" s="545">
        <v>0.37369999999999998</v>
      </c>
      <c r="H801" s="545">
        <v>1719.02</v>
      </c>
      <c r="I801" s="547" t="s">
        <v>9009</v>
      </c>
      <c r="J801" s="547" t="s">
        <v>9015</v>
      </c>
      <c r="K801" s="547" t="s">
        <v>8996</v>
      </c>
      <c r="L801" s="537" t="s">
        <v>541</v>
      </c>
    </row>
    <row r="802" spans="1:12" x14ac:dyDescent="0.2">
      <c r="A802" s="547" t="s">
        <v>220</v>
      </c>
      <c r="B802" s="547" t="s">
        <v>588</v>
      </c>
      <c r="C802" s="547" t="s">
        <v>1374</v>
      </c>
      <c r="D802" s="547" t="s">
        <v>1375</v>
      </c>
      <c r="E802" s="547" t="s">
        <v>545</v>
      </c>
      <c r="F802" s="567">
        <v>2000</v>
      </c>
      <c r="G802" s="545">
        <v>0.45427777777777778</v>
      </c>
      <c r="H802" s="545">
        <v>908.55555555555554</v>
      </c>
      <c r="I802" s="547" t="s">
        <v>9009</v>
      </c>
      <c r="J802" s="547" t="s">
        <v>9015</v>
      </c>
      <c r="K802" s="547" t="s">
        <v>8996</v>
      </c>
      <c r="L802" s="537" t="s">
        <v>541</v>
      </c>
    </row>
    <row r="803" spans="1:12" x14ac:dyDescent="0.2">
      <c r="A803" s="547" t="s">
        <v>220</v>
      </c>
      <c r="B803" s="547" t="s">
        <v>588</v>
      </c>
      <c r="C803" s="547" t="s">
        <v>1376</v>
      </c>
      <c r="D803" s="547" t="s">
        <v>1377</v>
      </c>
      <c r="E803" s="547" t="s">
        <v>545</v>
      </c>
      <c r="F803" s="567">
        <v>2970</v>
      </c>
      <c r="G803" s="545">
        <v>0.42420000000000002</v>
      </c>
      <c r="H803" s="545">
        <v>1259.874</v>
      </c>
      <c r="I803" s="547" t="s">
        <v>9009</v>
      </c>
      <c r="J803" s="547" t="s">
        <v>9015</v>
      </c>
      <c r="K803" s="547" t="s">
        <v>8996</v>
      </c>
      <c r="L803" s="537" t="s">
        <v>541</v>
      </c>
    </row>
    <row r="804" spans="1:12" x14ac:dyDescent="0.2">
      <c r="A804" s="547" t="s">
        <v>220</v>
      </c>
      <c r="B804" s="547" t="s">
        <v>588</v>
      </c>
      <c r="C804" s="547" t="s">
        <v>1378</v>
      </c>
      <c r="D804" s="547" t="s">
        <v>1379</v>
      </c>
      <c r="E804" s="547" t="s">
        <v>545</v>
      </c>
      <c r="F804" s="567">
        <v>3000</v>
      </c>
      <c r="G804" s="545">
        <v>0.37369999999999992</v>
      </c>
      <c r="H804" s="545">
        <v>1121.0999999999997</v>
      </c>
      <c r="I804" s="547" t="s">
        <v>9009</v>
      </c>
      <c r="J804" s="547" t="s">
        <v>9015</v>
      </c>
      <c r="K804" s="547" t="s">
        <v>8996</v>
      </c>
      <c r="L804" s="537" t="s">
        <v>541</v>
      </c>
    </row>
    <row r="805" spans="1:12" x14ac:dyDescent="0.2">
      <c r="A805" s="547" t="s">
        <v>220</v>
      </c>
      <c r="B805" s="547" t="s">
        <v>588</v>
      </c>
      <c r="C805" s="547" t="s">
        <v>1380</v>
      </c>
      <c r="D805" s="547" t="s">
        <v>1381</v>
      </c>
      <c r="E805" s="547" t="s">
        <v>545</v>
      </c>
      <c r="F805" s="567">
        <v>3600</v>
      </c>
      <c r="G805" s="545">
        <v>0.47470000000000001</v>
      </c>
      <c r="H805" s="545">
        <v>1708.92</v>
      </c>
      <c r="I805" s="547" t="s">
        <v>9009</v>
      </c>
      <c r="J805" s="547" t="s">
        <v>9015</v>
      </c>
      <c r="K805" s="547" t="s">
        <v>8996</v>
      </c>
      <c r="L805" s="537" t="s">
        <v>541</v>
      </c>
    </row>
    <row r="806" spans="1:12" x14ac:dyDescent="0.2">
      <c r="A806" s="547" t="s">
        <v>220</v>
      </c>
      <c r="B806" s="547" t="s">
        <v>588</v>
      </c>
      <c r="C806" s="547" t="s">
        <v>1382</v>
      </c>
      <c r="D806" s="547" t="s">
        <v>1383</v>
      </c>
      <c r="E806" s="547" t="s">
        <v>545</v>
      </c>
      <c r="F806" s="567">
        <v>750</v>
      </c>
      <c r="G806" s="545">
        <v>0.70699999999999985</v>
      </c>
      <c r="H806" s="545">
        <v>530.24999999999989</v>
      </c>
      <c r="I806" s="547" t="s">
        <v>9009</v>
      </c>
      <c r="J806" s="547" t="s">
        <v>9015</v>
      </c>
      <c r="K806" s="547" t="s">
        <v>8996</v>
      </c>
      <c r="L806" s="537" t="s">
        <v>541</v>
      </c>
    </row>
    <row r="807" spans="1:12" x14ac:dyDescent="0.2">
      <c r="A807" s="547" t="s">
        <v>220</v>
      </c>
      <c r="B807" s="547" t="s">
        <v>588</v>
      </c>
      <c r="C807" s="547" t="s">
        <v>1384</v>
      </c>
      <c r="D807" s="547" t="s">
        <v>9564</v>
      </c>
      <c r="E807" s="547" t="s">
        <v>545</v>
      </c>
      <c r="F807" s="567">
        <v>900</v>
      </c>
      <c r="G807" s="545">
        <v>0.79285000000000005</v>
      </c>
      <c r="H807" s="545">
        <v>713.56500000000005</v>
      </c>
      <c r="I807" s="547" t="s">
        <v>9009</v>
      </c>
      <c r="J807" s="547" t="s">
        <v>9015</v>
      </c>
      <c r="K807" s="547" t="s">
        <v>8996</v>
      </c>
      <c r="L807" s="537" t="s">
        <v>541</v>
      </c>
    </row>
    <row r="808" spans="1:12" x14ac:dyDescent="0.2">
      <c r="A808" s="547" t="s">
        <v>220</v>
      </c>
      <c r="B808" s="547" t="s">
        <v>588</v>
      </c>
      <c r="C808" s="547" t="s">
        <v>1386</v>
      </c>
      <c r="D808" s="547" t="s">
        <v>1387</v>
      </c>
      <c r="E808" s="547" t="s">
        <v>9565</v>
      </c>
      <c r="F808" s="567">
        <v>700</v>
      </c>
      <c r="G808" s="545">
        <v>0.79285000000000005</v>
      </c>
      <c r="H808" s="545">
        <v>554.995</v>
      </c>
      <c r="I808" s="547" t="s">
        <v>9009</v>
      </c>
      <c r="J808" s="547" t="s">
        <v>9015</v>
      </c>
      <c r="K808" s="547" t="s">
        <v>8996</v>
      </c>
      <c r="L808" s="537" t="s">
        <v>541</v>
      </c>
    </row>
    <row r="809" spans="1:12" x14ac:dyDescent="0.2">
      <c r="A809" s="547" t="s">
        <v>220</v>
      </c>
      <c r="B809" s="547" t="s">
        <v>588</v>
      </c>
      <c r="C809" s="547" t="s">
        <v>1388</v>
      </c>
      <c r="D809" s="547" t="s">
        <v>1389</v>
      </c>
      <c r="E809" s="547" t="s">
        <v>545</v>
      </c>
      <c r="F809" s="567">
        <v>3500</v>
      </c>
      <c r="G809" s="545">
        <v>9.1999999999999998E-2</v>
      </c>
      <c r="H809" s="545">
        <v>322</v>
      </c>
      <c r="I809" s="547" t="s">
        <v>9009</v>
      </c>
      <c r="J809" s="547" t="s">
        <v>9015</v>
      </c>
      <c r="K809" s="547" t="s">
        <v>8996</v>
      </c>
      <c r="L809" s="537" t="s">
        <v>541</v>
      </c>
    </row>
    <row r="810" spans="1:12" x14ac:dyDescent="0.2">
      <c r="A810" s="547" t="s">
        <v>220</v>
      </c>
      <c r="B810" s="547" t="s">
        <v>588</v>
      </c>
      <c r="C810" s="547" t="s">
        <v>1390</v>
      </c>
      <c r="D810" s="547" t="s">
        <v>1391</v>
      </c>
      <c r="E810" s="547" t="s">
        <v>545</v>
      </c>
      <c r="F810" s="567">
        <v>1400</v>
      </c>
      <c r="G810" s="545">
        <v>9.2000000000000012E-2</v>
      </c>
      <c r="H810" s="545">
        <v>128.80000000000001</v>
      </c>
      <c r="I810" s="547" t="s">
        <v>9009</v>
      </c>
      <c r="J810" s="547" t="s">
        <v>9015</v>
      </c>
      <c r="K810" s="547" t="s">
        <v>8996</v>
      </c>
      <c r="L810" s="537" t="s">
        <v>541</v>
      </c>
    </row>
    <row r="811" spans="1:12" x14ac:dyDescent="0.2">
      <c r="A811" s="547" t="s">
        <v>220</v>
      </c>
      <c r="B811" s="547" t="s">
        <v>588</v>
      </c>
      <c r="C811" s="547" t="s">
        <v>1392</v>
      </c>
      <c r="D811" s="547" t="s">
        <v>1393</v>
      </c>
      <c r="E811" s="547" t="s">
        <v>545</v>
      </c>
      <c r="F811" s="567">
        <v>8500</v>
      </c>
      <c r="G811" s="545">
        <v>0.30073257356344602</v>
      </c>
      <c r="H811" s="545">
        <v>2556.226875289291</v>
      </c>
      <c r="I811" s="547" t="s">
        <v>9009</v>
      </c>
      <c r="J811" s="547" t="s">
        <v>9015</v>
      </c>
      <c r="K811" s="547" t="s">
        <v>8996</v>
      </c>
      <c r="L811" s="537" t="s">
        <v>541</v>
      </c>
    </row>
    <row r="812" spans="1:12" x14ac:dyDescent="0.2">
      <c r="A812" s="547" t="s">
        <v>220</v>
      </c>
      <c r="B812" s="547" t="s">
        <v>588</v>
      </c>
      <c r="C812" s="547" t="s">
        <v>1394</v>
      </c>
      <c r="D812" s="547" t="s">
        <v>1395</v>
      </c>
      <c r="E812" s="547" t="s">
        <v>545</v>
      </c>
      <c r="F812" s="567">
        <v>1400</v>
      </c>
      <c r="G812" s="545">
        <v>0.27</v>
      </c>
      <c r="H812" s="545">
        <v>378</v>
      </c>
      <c r="I812" s="547" t="s">
        <v>9009</v>
      </c>
      <c r="J812" s="547" t="s">
        <v>9015</v>
      </c>
      <c r="K812" s="547" t="s">
        <v>8996</v>
      </c>
      <c r="L812" s="537" t="s">
        <v>541</v>
      </c>
    </row>
    <row r="813" spans="1:12" x14ac:dyDescent="0.2">
      <c r="A813" s="547" t="s">
        <v>220</v>
      </c>
      <c r="B813" s="547" t="s">
        <v>588</v>
      </c>
      <c r="C813" s="547" t="s">
        <v>1396</v>
      </c>
      <c r="D813" s="547" t="s">
        <v>1397</v>
      </c>
      <c r="E813" s="547" t="s">
        <v>545</v>
      </c>
      <c r="F813" s="567">
        <v>2600</v>
      </c>
      <c r="G813" s="545">
        <v>0.42</v>
      </c>
      <c r="H813" s="545">
        <v>1092</v>
      </c>
      <c r="I813" s="547" t="s">
        <v>9009</v>
      </c>
      <c r="J813" s="547" t="s">
        <v>9015</v>
      </c>
      <c r="K813" s="547" t="s">
        <v>8996</v>
      </c>
      <c r="L813" s="537" t="s">
        <v>541</v>
      </c>
    </row>
    <row r="814" spans="1:12" x14ac:dyDescent="0.2">
      <c r="A814" s="547" t="s">
        <v>220</v>
      </c>
      <c r="B814" s="547" t="s">
        <v>588</v>
      </c>
      <c r="C814" s="547" t="s">
        <v>1398</v>
      </c>
      <c r="D814" s="547" t="s">
        <v>1399</v>
      </c>
      <c r="E814" s="547" t="s">
        <v>545</v>
      </c>
      <c r="F814" s="567">
        <v>1500</v>
      </c>
      <c r="G814" s="545">
        <v>0.23643</v>
      </c>
      <c r="H814" s="545">
        <v>354.64499999999998</v>
      </c>
      <c r="I814" s="547" t="s">
        <v>9009</v>
      </c>
      <c r="J814" s="547" t="s">
        <v>9015</v>
      </c>
      <c r="K814" s="547" t="s">
        <v>8996</v>
      </c>
      <c r="L814" s="537" t="s">
        <v>541</v>
      </c>
    </row>
    <row r="815" spans="1:12" x14ac:dyDescent="0.2">
      <c r="A815" s="547" t="s">
        <v>220</v>
      </c>
      <c r="B815" s="547" t="s">
        <v>588</v>
      </c>
      <c r="C815" s="547" t="s">
        <v>1400</v>
      </c>
      <c r="D815" s="547" t="s">
        <v>1401</v>
      </c>
      <c r="E815" s="547" t="s">
        <v>545</v>
      </c>
      <c r="F815" s="567">
        <v>8200</v>
      </c>
      <c r="G815" s="545">
        <v>0.30131539823084258</v>
      </c>
      <c r="H815" s="545">
        <v>2470.786265492909</v>
      </c>
      <c r="I815" s="547" t="s">
        <v>9009</v>
      </c>
      <c r="J815" s="547" t="s">
        <v>9015</v>
      </c>
      <c r="K815" s="547" t="s">
        <v>8996</v>
      </c>
      <c r="L815" s="537" t="s">
        <v>541</v>
      </c>
    </row>
    <row r="816" spans="1:12" x14ac:dyDescent="0.2">
      <c r="A816" s="547" t="s">
        <v>220</v>
      </c>
      <c r="B816" s="547" t="s">
        <v>588</v>
      </c>
      <c r="C816" s="547" t="s">
        <v>1402</v>
      </c>
      <c r="D816" s="547" t="s">
        <v>1403</v>
      </c>
      <c r="E816" s="547" t="s">
        <v>545</v>
      </c>
      <c r="F816" s="567">
        <v>2500</v>
      </c>
      <c r="G816" s="545">
        <v>0.28905333333333333</v>
      </c>
      <c r="H816" s="545">
        <v>722.63333333333333</v>
      </c>
      <c r="I816" s="547" t="s">
        <v>9009</v>
      </c>
      <c r="J816" s="547" t="s">
        <v>9015</v>
      </c>
      <c r="K816" s="547" t="s">
        <v>8996</v>
      </c>
      <c r="L816" s="537" t="s">
        <v>541</v>
      </c>
    </row>
    <row r="817" spans="1:12" x14ac:dyDescent="0.2">
      <c r="A817" s="547" t="s">
        <v>220</v>
      </c>
      <c r="B817" s="547" t="s">
        <v>588</v>
      </c>
      <c r="C817" s="547" t="s">
        <v>1404</v>
      </c>
      <c r="D817" s="547" t="s">
        <v>1405</v>
      </c>
      <c r="E817" s="547" t="s">
        <v>545</v>
      </c>
      <c r="F817" s="567">
        <v>2500</v>
      </c>
      <c r="G817" s="545">
        <v>0.42</v>
      </c>
      <c r="H817" s="545">
        <v>1050</v>
      </c>
      <c r="I817" s="547" t="s">
        <v>9009</v>
      </c>
      <c r="J817" s="547" t="s">
        <v>9015</v>
      </c>
      <c r="K817" s="547" t="s">
        <v>8996</v>
      </c>
      <c r="L817" s="537" t="s">
        <v>541</v>
      </c>
    </row>
    <row r="818" spans="1:12" x14ac:dyDescent="0.2">
      <c r="A818" s="547" t="s">
        <v>220</v>
      </c>
      <c r="B818" s="547" t="s">
        <v>588</v>
      </c>
      <c r="C818" s="547" t="s">
        <v>1406</v>
      </c>
      <c r="D818" s="547" t="s">
        <v>1407</v>
      </c>
      <c r="E818" s="547" t="s">
        <v>545</v>
      </c>
      <c r="F818" s="567">
        <v>1000</v>
      </c>
      <c r="G818" s="545">
        <v>0.2727</v>
      </c>
      <c r="H818" s="545">
        <v>272.7</v>
      </c>
      <c r="I818" s="547" t="s">
        <v>9009</v>
      </c>
      <c r="J818" s="547" t="s">
        <v>9015</v>
      </c>
      <c r="K818" s="547" t="s">
        <v>8996</v>
      </c>
      <c r="L818" s="537" t="s">
        <v>541</v>
      </c>
    </row>
    <row r="819" spans="1:12" x14ac:dyDescent="0.2">
      <c r="A819" s="547" t="s">
        <v>220</v>
      </c>
      <c r="B819" s="547" t="s">
        <v>588</v>
      </c>
      <c r="C819" s="547" t="s">
        <v>1408</v>
      </c>
      <c r="D819" s="547" t="s">
        <v>1409</v>
      </c>
      <c r="E819" s="547" t="s">
        <v>545</v>
      </c>
      <c r="F819" s="567">
        <v>3000</v>
      </c>
      <c r="G819" s="545">
        <v>0.29794999999999999</v>
      </c>
      <c r="H819" s="545">
        <v>893.85</v>
      </c>
      <c r="I819" s="547" t="s">
        <v>9009</v>
      </c>
      <c r="J819" s="547" t="s">
        <v>9015</v>
      </c>
      <c r="K819" s="547" t="s">
        <v>8996</v>
      </c>
      <c r="L819" s="537" t="s">
        <v>541</v>
      </c>
    </row>
    <row r="820" spans="1:12" x14ac:dyDescent="0.2">
      <c r="A820" s="547" t="s">
        <v>220</v>
      </c>
      <c r="B820" s="547" t="s">
        <v>588</v>
      </c>
      <c r="C820" s="547" t="s">
        <v>1410</v>
      </c>
      <c r="D820" s="547" t="s">
        <v>1411</v>
      </c>
      <c r="E820" s="547" t="s">
        <v>545</v>
      </c>
      <c r="F820" s="567">
        <v>2300</v>
      </c>
      <c r="G820" s="545">
        <v>0.2727</v>
      </c>
      <c r="H820" s="545">
        <v>627.21</v>
      </c>
      <c r="I820" s="547" t="s">
        <v>9009</v>
      </c>
      <c r="J820" s="547" t="s">
        <v>9015</v>
      </c>
      <c r="K820" s="547" t="s">
        <v>8996</v>
      </c>
      <c r="L820" s="537" t="s">
        <v>541</v>
      </c>
    </row>
    <row r="821" spans="1:12" x14ac:dyDescent="0.2">
      <c r="A821" s="547" t="s">
        <v>220</v>
      </c>
      <c r="B821" s="547" t="s">
        <v>588</v>
      </c>
      <c r="C821" s="547" t="s">
        <v>1412</v>
      </c>
      <c r="D821" s="547" t="s">
        <v>1413</v>
      </c>
      <c r="E821" s="547" t="s">
        <v>545</v>
      </c>
      <c r="F821" s="567">
        <v>2500</v>
      </c>
      <c r="G821" s="545">
        <v>0.29794999999999999</v>
      </c>
      <c r="H821" s="545">
        <v>744.875</v>
      </c>
      <c r="I821" s="547" t="s">
        <v>9009</v>
      </c>
      <c r="J821" s="547" t="s">
        <v>9015</v>
      </c>
      <c r="K821" s="547" t="s">
        <v>8996</v>
      </c>
      <c r="L821" s="537" t="s">
        <v>541</v>
      </c>
    </row>
    <row r="822" spans="1:12" x14ac:dyDescent="0.2">
      <c r="A822" s="547" t="s">
        <v>220</v>
      </c>
      <c r="B822" s="547" t="s">
        <v>588</v>
      </c>
      <c r="C822" s="547" t="s">
        <v>1414</v>
      </c>
      <c r="D822" s="547" t="s">
        <v>1415</v>
      </c>
      <c r="E822" s="547" t="s">
        <v>545</v>
      </c>
      <c r="F822" s="567">
        <v>5000</v>
      </c>
      <c r="G822" s="545">
        <v>0.33835000000000004</v>
      </c>
      <c r="H822" s="545">
        <v>1691.7500000000002</v>
      </c>
      <c r="I822" s="547" t="s">
        <v>9009</v>
      </c>
      <c r="J822" s="547" t="s">
        <v>9015</v>
      </c>
      <c r="K822" s="547" t="s">
        <v>8996</v>
      </c>
      <c r="L822" s="537" t="s">
        <v>541</v>
      </c>
    </row>
    <row r="823" spans="1:12" x14ac:dyDescent="0.2">
      <c r="A823" s="547" t="s">
        <v>220</v>
      </c>
      <c r="B823" s="547" t="s">
        <v>588</v>
      </c>
      <c r="C823" s="547" t="s">
        <v>1416</v>
      </c>
      <c r="D823" s="547" t="s">
        <v>1417</v>
      </c>
      <c r="E823" s="547" t="s">
        <v>545</v>
      </c>
      <c r="F823" s="567">
        <v>5100</v>
      </c>
      <c r="G823" s="545">
        <v>0.5252</v>
      </c>
      <c r="H823" s="545">
        <v>2678.52</v>
      </c>
      <c r="I823" s="547" t="s">
        <v>9009</v>
      </c>
      <c r="J823" s="547" t="s">
        <v>9015</v>
      </c>
      <c r="K823" s="547" t="s">
        <v>8996</v>
      </c>
      <c r="L823" s="537" t="s">
        <v>541</v>
      </c>
    </row>
    <row r="824" spans="1:12" x14ac:dyDescent="0.2">
      <c r="A824" s="547" t="s">
        <v>220</v>
      </c>
      <c r="B824" s="547" t="s">
        <v>588</v>
      </c>
      <c r="C824" s="547" t="s">
        <v>1418</v>
      </c>
      <c r="D824" s="547" t="s">
        <v>1419</v>
      </c>
      <c r="E824" s="547" t="s">
        <v>545</v>
      </c>
      <c r="F824" s="567">
        <v>5000</v>
      </c>
      <c r="G824" s="545">
        <v>0.18179999999999999</v>
      </c>
      <c r="H824" s="545">
        <v>909</v>
      </c>
      <c r="I824" s="547" t="s">
        <v>9009</v>
      </c>
      <c r="J824" s="547" t="s">
        <v>9015</v>
      </c>
      <c r="K824" s="547" t="s">
        <v>8996</v>
      </c>
      <c r="L824" s="537" t="s">
        <v>541</v>
      </c>
    </row>
    <row r="825" spans="1:12" x14ac:dyDescent="0.2">
      <c r="A825" s="547" t="s">
        <v>220</v>
      </c>
      <c r="B825" s="547" t="s">
        <v>588</v>
      </c>
      <c r="C825" s="547" t="s">
        <v>1420</v>
      </c>
      <c r="D825" s="547" t="s">
        <v>1421</v>
      </c>
      <c r="E825" s="547" t="s">
        <v>545</v>
      </c>
      <c r="F825" s="567">
        <v>1500</v>
      </c>
      <c r="G825" s="545">
        <v>0.45890873015873018</v>
      </c>
      <c r="H825" s="545">
        <v>688.3630952380953</v>
      </c>
      <c r="I825" s="547" t="s">
        <v>9009</v>
      </c>
      <c r="J825" s="547" t="s">
        <v>9015</v>
      </c>
      <c r="K825" s="547" t="s">
        <v>8996</v>
      </c>
      <c r="L825" s="537" t="s">
        <v>541</v>
      </c>
    </row>
    <row r="826" spans="1:12" x14ac:dyDescent="0.2">
      <c r="A826" s="547" t="s">
        <v>220</v>
      </c>
      <c r="B826" s="547" t="s">
        <v>588</v>
      </c>
      <c r="C826" s="547" t="s">
        <v>1422</v>
      </c>
      <c r="D826" s="547" t="s">
        <v>1423</v>
      </c>
      <c r="E826" s="547" t="s">
        <v>545</v>
      </c>
      <c r="F826" s="567">
        <v>3500</v>
      </c>
      <c r="G826" s="545">
        <v>0.48176999999999998</v>
      </c>
      <c r="H826" s="545">
        <v>1686.1949999999999</v>
      </c>
      <c r="I826" s="547" t="s">
        <v>9009</v>
      </c>
      <c r="J826" s="547" t="s">
        <v>9015</v>
      </c>
      <c r="K826" s="547" t="s">
        <v>8996</v>
      </c>
      <c r="L826" s="537" t="s">
        <v>541</v>
      </c>
    </row>
    <row r="827" spans="1:12" x14ac:dyDescent="0.2">
      <c r="A827" s="547" t="s">
        <v>220</v>
      </c>
      <c r="B827" s="547" t="s">
        <v>588</v>
      </c>
      <c r="C827" s="547" t="s">
        <v>1424</v>
      </c>
      <c r="D827" s="547" t="s">
        <v>1425</v>
      </c>
      <c r="E827" s="547" t="s">
        <v>545</v>
      </c>
      <c r="F827" s="567">
        <v>2000</v>
      </c>
      <c r="G827" s="545">
        <v>0.46925649350649351</v>
      </c>
      <c r="H827" s="545">
        <v>938.51298701298697</v>
      </c>
      <c r="I827" s="547" t="s">
        <v>9009</v>
      </c>
      <c r="J827" s="547" t="s">
        <v>9015</v>
      </c>
      <c r="K827" s="547" t="s">
        <v>8996</v>
      </c>
      <c r="L827" s="537" t="s">
        <v>541</v>
      </c>
    </row>
    <row r="828" spans="1:12" x14ac:dyDescent="0.2">
      <c r="A828" s="547" t="s">
        <v>220</v>
      </c>
      <c r="B828" s="547" t="s">
        <v>588</v>
      </c>
      <c r="C828" s="547" t="s">
        <v>1426</v>
      </c>
      <c r="D828" s="547" t="s">
        <v>1427</v>
      </c>
      <c r="E828" s="547" t="s">
        <v>545</v>
      </c>
      <c r="F828" s="567">
        <v>2500</v>
      </c>
      <c r="G828" s="545">
        <v>0.65649999999999997</v>
      </c>
      <c r="H828" s="545">
        <v>1641.25</v>
      </c>
      <c r="I828" s="547" t="s">
        <v>9009</v>
      </c>
      <c r="J828" s="547" t="s">
        <v>9015</v>
      </c>
      <c r="K828" s="547" t="s">
        <v>8996</v>
      </c>
      <c r="L828" s="537" t="s">
        <v>541</v>
      </c>
    </row>
    <row r="829" spans="1:12" x14ac:dyDescent="0.2">
      <c r="A829" s="547" t="s">
        <v>220</v>
      </c>
      <c r="B829" s="547" t="s">
        <v>588</v>
      </c>
      <c r="C829" s="547" t="s">
        <v>2233</v>
      </c>
      <c r="D829" s="547" t="s">
        <v>2234</v>
      </c>
      <c r="E829" s="547" t="s">
        <v>545</v>
      </c>
      <c r="F829" s="567">
        <v>2000</v>
      </c>
      <c r="G829" s="545">
        <v>0.36707888008272732</v>
      </c>
      <c r="H829" s="545">
        <v>734.15776016545465</v>
      </c>
      <c r="I829" s="547" t="s">
        <v>9009</v>
      </c>
      <c r="J829" s="547" t="s">
        <v>9015</v>
      </c>
      <c r="K829" s="547" t="s">
        <v>8996</v>
      </c>
      <c r="L829" s="537" t="s">
        <v>541</v>
      </c>
    </row>
    <row r="830" spans="1:12" x14ac:dyDescent="0.2">
      <c r="A830" s="547" t="s">
        <v>220</v>
      </c>
      <c r="B830" s="547" t="s">
        <v>588</v>
      </c>
      <c r="C830" s="547" t="s">
        <v>1428</v>
      </c>
      <c r="D830" s="547" t="s">
        <v>1429</v>
      </c>
      <c r="E830" s="547" t="s">
        <v>545</v>
      </c>
      <c r="F830" s="567">
        <v>2500</v>
      </c>
      <c r="G830" s="545">
        <v>0.39836501182033096</v>
      </c>
      <c r="H830" s="545">
        <v>995.91252955082746</v>
      </c>
      <c r="I830" s="547" t="s">
        <v>9009</v>
      </c>
      <c r="J830" s="547" t="s">
        <v>9015</v>
      </c>
      <c r="K830" s="547" t="s">
        <v>8996</v>
      </c>
      <c r="L830" s="537" t="s">
        <v>541</v>
      </c>
    </row>
    <row r="831" spans="1:12" x14ac:dyDescent="0.2">
      <c r="A831" s="547" t="s">
        <v>220</v>
      </c>
      <c r="B831" s="547" t="s">
        <v>588</v>
      </c>
      <c r="C831" s="547" t="s">
        <v>1430</v>
      </c>
      <c r="D831" s="547" t="s">
        <v>1431</v>
      </c>
      <c r="E831" s="547" t="s">
        <v>545</v>
      </c>
      <c r="F831" s="567">
        <v>2000</v>
      </c>
      <c r="G831" s="545">
        <v>0.3723225924795418</v>
      </c>
      <c r="H831" s="545">
        <v>744.64518495908362</v>
      </c>
      <c r="I831" s="547" t="s">
        <v>9009</v>
      </c>
      <c r="J831" s="547" t="s">
        <v>9015</v>
      </c>
      <c r="K831" s="547" t="s">
        <v>8996</v>
      </c>
      <c r="L831" s="537" t="s">
        <v>541</v>
      </c>
    </row>
    <row r="832" spans="1:12" x14ac:dyDescent="0.2">
      <c r="A832" s="547" t="s">
        <v>220</v>
      </c>
      <c r="B832" s="547" t="s">
        <v>588</v>
      </c>
      <c r="C832" s="547" t="s">
        <v>1432</v>
      </c>
      <c r="D832" s="547" t="s">
        <v>1433</v>
      </c>
      <c r="E832" s="547" t="s">
        <v>545</v>
      </c>
      <c r="F832" s="567">
        <v>2000</v>
      </c>
      <c r="G832" s="545">
        <v>0.47470000000000007</v>
      </c>
      <c r="H832" s="545">
        <v>949.40000000000009</v>
      </c>
      <c r="I832" s="547" t="s">
        <v>9009</v>
      </c>
      <c r="J832" s="547" t="s">
        <v>9015</v>
      </c>
      <c r="K832" s="547" t="s">
        <v>8996</v>
      </c>
      <c r="L832" s="537" t="s">
        <v>541</v>
      </c>
    </row>
    <row r="833" spans="1:12" x14ac:dyDescent="0.2">
      <c r="A833" s="547" t="s">
        <v>220</v>
      </c>
      <c r="B833" s="547" t="s">
        <v>588</v>
      </c>
      <c r="C833" s="547" t="s">
        <v>1434</v>
      </c>
      <c r="D833" s="547" t="s">
        <v>1435</v>
      </c>
      <c r="E833" s="547" t="s">
        <v>545</v>
      </c>
      <c r="F833" s="567">
        <v>1500</v>
      </c>
      <c r="G833" s="545">
        <v>0.48984999999999995</v>
      </c>
      <c r="H833" s="545">
        <v>734.77499999999998</v>
      </c>
      <c r="I833" s="547" t="s">
        <v>9009</v>
      </c>
      <c r="J833" s="547" t="s">
        <v>9015</v>
      </c>
      <c r="K833" s="547" t="s">
        <v>8996</v>
      </c>
      <c r="L833" s="537" t="s">
        <v>541</v>
      </c>
    </row>
    <row r="834" spans="1:12" x14ac:dyDescent="0.2">
      <c r="A834" s="547" t="s">
        <v>220</v>
      </c>
      <c r="B834" s="547" t="s">
        <v>588</v>
      </c>
      <c r="C834" s="547" t="s">
        <v>1436</v>
      </c>
      <c r="D834" s="547" t="s">
        <v>1437</v>
      </c>
      <c r="E834" s="547" t="s">
        <v>545</v>
      </c>
      <c r="F834" s="567">
        <v>2590</v>
      </c>
      <c r="G834" s="545">
        <v>0.63629999999999998</v>
      </c>
      <c r="H834" s="545">
        <v>1648.0170000000001</v>
      </c>
      <c r="I834" s="547" t="s">
        <v>9009</v>
      </c>
      <c r="J834" s="547" t="s">
        <v>9015</v>
      </c>
      <c r="K834" s="547" t="s">
        <v>8996</v>
      </c>
      <c r="L834" s="537" t="s">
        <v>541</v>
      </c>
    </row>
    <row r="835" spans="1:12" x14ac:dyDescent="0.2">
      <c r="A835" s="547" t="s">
        <v>220</v>
      </c>
      <c r="B835" s="547" t="s">
        <v>588</v>
      </c>
      <c r="C835" s="547" t="s">
        <v>7540</v>
      </c>
      <c r="D835" s="547" t="s">
        <v>7541</v>
      </c>
      <c r="E835" s="547" t="s">
        <v>545</v>
      </c>
      <c r="F835" s="567">
        <v>1000</v>
      </c>
      <c r="G835" s="545">
        <v>0.35349999999999998</v>
      </c>
      <c r="H835" s="545">
        <v>353.5</v>
      </c>
      <c r="I835" s="547" t="s">
        <v>9009</v>
      </c>
      <c r="J835" s="547" t="s">
        <v>9015</v>
      </c>
      <c r="K835" s="547" t="s">
        <v>8996</v>
      </c>
      <c r="L835" s="537" t="s">
        <v>541</v>
      </c>
    </row>
    <row r="836" spans="1:12" x14ac:dyDescent="0.2">
      <c r="A836" s="547" t="s">
        <v>220</v>
      </c>
      <c r="B836" s="547" t="s">
        <v>588</v>
      </c>
      <c r="C836" s="547" t="s">
        <v>1438</v>
      </c>
      <c r="D836" s="547" t="s">
        <v>1439</v>
      </c>
      <c r="E836" s="547" t="s">
        <v>545</v>
      </c>
      <c r="F836" s="567">
        <v>4000</v>
      </c>
      <c r="G836" s="545">
        <v>0.35349999999999998</v>
      </c>
      <c r="H836" s="545">
        <v>1414</v>
      </c>
      <c r="I836" s="547" t="s">
        <v>9009</v>
      </c>
      <c r="J836" s="547" t="s">
        <v>9015</v>
      </c>
      <c r="K836" s="547" t="s">
        <v>8996</v>
      </c>
      <c r="L836" s="537" t="s">
        <v>541</v>
      </c>
    </row>
    <row r="837" spans="1:12" x14ac:dyDescent="0.2">
      <c r="A837" s="547" t="s">
        <v>220</v>
      </c>
      <c r="B837" s="547" t="s">
        <v>588</v>
      </c>
      <c r="C837" s="547" t="s">
        <v>1440</v>
      </c>
      <c r="D837" s="547" t="s">
        <v>9566</v>
      </c>
      <c r="E837" s="547" t="s">
        <v>545</v>
      </c>
      <c r="F837" s="567">
        <v>870</v>
      </c>
      <c r="G837" s="545">
        <v>0.89385000000000003</v>
      </c>
      <c r="H837" s="545">
        <v>777.64949999999999</v>
      </c>
      <c r="I837" s="547" t="s">
        <v>9009</v>
      </c>
      <c r="J837" s="547" t="s">
        <v>9015</v>
      </c>
      <c r="K837" s="547" t="s">
        <v>8996</v>
      </c>
      <c r="L837" s="537" t="s">
        <v>541</v>
      </c>
    </row>
    <row r="838" spans="1:12" x14ac:dyDescent="0.2">
      <c r="A838" s="547" t="s">
        <v>220</v>
      </c>
      <c r="B838" s="547" t="s">
        <v>588</v>
      </c>
      <c r="C838" s="547" t="s">
        <v>1442</v>
      </c>
      <c r="D838" s="547" t="s">
        <v>1443</v>
      </c>
      <c r="E838" s="547" t="s">
        <v>545</v>
      </c>
      <c r="F838" s="567">
        <v>3240</v>
      </c>
      <c r="G838" s="545">
        <v>0.36098745437956203</v>
      </c>
      <c r="H838" s="545">
        <v>1169.599352189781</v>
      </c>
      <c r="I838" s="547" t="s">
        <v>9009</v>
      </c>
      <c r="J838" s="547" t="s">
        <v>9015</v>
      </c>
      <c r="K838" s="547" t="s">
        <v>8996</v>
      </c>
      <c r="L838" s="537" t="s">
        <v>541</v>
      </c>
    </row>
    <row r="839" spans="1:12" x14ac:dyDescent="0.2">
      <c r="A839" s="547" t="s">
        <v>220</v>
      </c>
      <c r="B839" s="547" t="s">
        <v>588</v>
      </c>
      <c r="C839" s="547" t="s">
        <v>7542</v>
      </c>
      <c r="D839" s="547" t="s">
        <v>7543</v>
      </c>
      <c r="E839" s="547" t="s">
        <v>545</v>
      </c>
      <c r="F839" s="567">
        <v>2500</v>
      </c>
      <c r="G839" s="545">
        <v>0.38609011697217932</v>
      </c>
      <c r="H839" s="545">
        <v>965.22529243044835</v>
      </c>
      <c r="I839" s="547" t="s">
        <v>9009</v>
      </c>
      <c r="J839" s="547" t="s">
        <v>9015</v>
      </c>
      <c r="K839" s="547" t="s">
        <v>8996</v>
      </c>
      <c r="L839" s="537" t="s">
        <v>541</v>
      </c>
    </row>
    <row r="840" spans="1:12" x14ac:dyDescent="0.2">
      <c r="A840" s="547" t="s">
        <v>220</v>
      </c>
      <c r="B840" s="547" t="s">
        <v>588</v>
      </c>
      <c r="C840" s="547" t="s">
        <v>7544</v>
      </c>
      <c r="D840" s="547" t="s">
        <v>7545</v>
      </c>
      <c r="E840" s="547" t="s">
        <v>545</v>
      </c>
      <c r="F840" s="567">
        <v>3500</v>
      </c>
      <c r="G840" s="545">
        <v>0.35349999999999998</v>
      </c>
      <c r="H840" s="545">
        <v>1237.25</v>
      </c>
      <c r="I840" s="547" t="s">
        <v>9009</v>
      </c>
      <c r="J840" s="547" t="s">
        <v>9015</v>
      </c>
      <c r="K840" s="547" t="s">
        <v>8996</v>
      </c>
      <c r="L840" s="537" t="s">
        <v>541</v>
      </c>
    </row>
    <row r="841" spans="1:12" x14ac:dyDescent="0.2">
      <c r="A841" s="547" t="s">
        <v>220</v>
      </c>
      <c r="B841" s="547" t="s">
        <v>588</v>
      </c>
      <c r="C841" s="547" t="s">
        <v>1444</v>
      </c>
      <c r="D841" s="547" t="s">
        <v>9567</v>
      </c>
      <c r="E841" s="547" t="s">
        <v>545</v>
      </c>
      <c r="F841" s="567">
        <v>810</v>
      </c>
      <c r="G841" s="545">
        <v>0.35349999999999998</v>
      </c>
      <c r="H841" s="545">
        <v>286.33499999999998</v>
      </c>
      <c r="I841" s="547" t="s">
        <v>9009</v>
      </c>
      <c r="J841" s="547" t="s">
        <v>9015</v>
      </c>
      <c r="K841" s="547" t="s">
        <v>8996</v>
      </c>
      <c r="L841" s="537" t="s">
        <v>541</v>
      </c>
    </row>
    <row r="842" spans="1:12" x14ac:dyDescent="0.2">
      <c r="A842" s="547" t="s">
        <v>220</v>
      </c>
      <c r="B842" s="547" t="s">
        <v>588</v>
      </c>
      <c r="C842" s="547" t="s">
        <v>1446</v>
      </c>
      <c r="D842" s="547" t="s">
        <v>1447</v>
      </c>
      <c r="E842" s="547" t="s">
        <v>545</v>
      </c>
      <c r="F842" s="567">
        <v>400</v>
      </c>
      <c r="G842" s="545">
        <v>0.70699999999999974</v>
      </c>
      <c r="H842" s="545">
        <v>282.7999999999999</v>
      </c>
      <c r="I842" s="547" t="s">
        <v>9009</v>
      </c>
      <c r="J842" s="547" t="s">
        <v>9015</v>
      </c>
      <c r="K842" s="547" t="s">
        <v>8996</v>
      </c>
      <c r="L842" s="537" t="s">
        <v>541</v>
      </c>
    </row>
    <row r="843" spans="1:12" x14ac:dyDescent="0.2">
      <c r="A843" s="547" t="s">
        <v>220</v>
      </c>
      <c r="B843" s="547" t="s">
        <v>588</v>
      </c>
      <c r="C843" s="547" t="s">
        <v>1448</v>
      </c>
      <c r="D843" s="547" t="s">
        <v>1449</v>
      </c>
      <c r="E843" s="547" t="s">
        <v>545</v>
      </c>
      <c r="F843" s="567">
        <v>1000</v>
      </c>
      <c r="G843" s="545">
        <v>8.0985849056603762E-2</v>
      </c>
      <c r="H843" s="545">
        <v>80.985849056603769</v>
      </c>
      <c r="I843" s="547" t="s">
        <v>9009</v>
      </c>
      <c r="J843" s="547" t="s">
        <v>9015</v>
      </c>
      <c r="K843" s="547" t="s">
        <v>8996</v>
      </c>
      <c r="L843" s="537" t="s">
        <v>541</v>
      </c>
    </row>
    <row r="844" spans="1:12" x14ac:dyDescent="0.2">
      <c r="A844" s="547" t="s">
        <v>220</v>
      </c>
      <c r="B844" s="547" t="s">
        <v>588</v>
      </c>
      <c r="C844" s="547" t="s">
        <v>1450</v>
      </c>
      <c r="D844" s="547" t="s">
        <v>1451</v>
      </c>
      <c r="E844" s="547" t="s">
        <v>545</v>
      </c>
      <c r="F844" s="567">
        <v>3000</v>
      </c>
      <c r="G844" s="545">
        <v>0.16148552711873129</v>
      </c>
      <c r="H844" s="545">
        <v>484.45658135619385</v>
      </c>
      <c r="I844" s="547" t="s">
        <v>9009</v>
      </c>
      <c r="J844" s="547" t="s">
        <v>9015</v>
      </c>
      <c r="K844" s="547" t="s">
        <v>8996</v>
      </c>
      <c r="L844" s="537" t="s">
        <v>541</v>
      </c>
    </row>
    <row r="845" spans="1:12" x14ac:dyDescent="0.2">
      <c r="A845" s="547" t="s">
        <v>220</v>
      </c>
      <c r="B845" s="547" t="s">
        <v>588</v>
      </c>
      <c r="C845" s="547" t="s">
        <v>1452</v>
      </c>
      <c r="D845" s="547" t="s">
        <v>1453</v>
      </c>
      <c r="E845" s="547" t="s">
        <v>545</v>
      </c>
      <c r="F845" s="567">
        <v>4000</v>
      </c>
      <c r="G845" s="545">
        <v>0.16159999999999997</v>
      </c>
      <c r="H845" s="545">
        <v>646.39999999999986</v>
      </c>
      <c r="I845" s="547" t="s">
        <v>9009</v>
      </c>
      <c r="J845" s="547" t="s">
        <v>9015</v>
      </c>
      <c r="K845" s="547" t="s">
        <v>8996</v>
      </c>
      <c r="L845" s="537" t="s">
        <v>541</v>
      </c>
    </row>
    <row r="846" spans="1:12" x14ac:dyDescent="0.2">
      <c r="A846" s="547" t="s">
        <v>220</v>
      </c>
      <c r="B846" s="547" t="s">
        <v>588</v>
      </c>
      <c r="C846" s="547" t="s">
        <v>1454</v>
      </c>
      <c r="D846" s="547" t="s">
        <v>1455</v>
      </c>
      <c r="E846" s="547" t="s">
        <v>545</v>
      </c>
      <c r="F846" s="567">
        <v>1000</v>
      </c>
      <c r="G846" s="545">
        <v>7.5999999999999998E-2</v>
      </c>
      <c r="H846" s="545">
        <v>76</v>
      </c>
      <c r="I846" s="547" t="s">
        <v>9009</v>
      </c>
      <c r="J846" s="547" t="s">
        <v>9015</v>
      </c>
      <c r="K846" s="547" t="s">
        <v>8996</v>
      </c>
      <c r="L846" s="537" t="s">
        <v>541</v>
      </c>
    </row>
    <row r="847" spans="1:12" x14ac:dyDescent="0.2">
      <c r="A847" s="547" t="s">
        <v>220</v>
      </c>
      <c r="B847" s="547" t="s">
        <v>588</v>
      </c>
      <c r="C847" s="547" t="s">
        <v>1458</v>
      </c>
      <c r="D847" s="547" t="s">
        <v>1459</v>
      </c>
      <c r="E847" s="547" t="s">
        <v>545</v>
      </c>
      <c r="F847" s="567">
        <v>1660</v>
      </c>
      <c r="G847" s="545">
        <v>0.16159999999999999</v>
      </c>
      <c r="H847" s="545">
        <v>268.25599999999997</v>
      </c>
      <c r="I847" s="547" t="s">
        <v>9009</v>
      </c>
      <c r="J847" s="547" t="s">
        <v>9015</v>
      </c>
      <c r="K847" s="547" t="s">
        <v>8996</v>
      </c>
      <c r="L847" s="537" t="s">
        <v>541</v>
      </c>
    </row>
    <row r="848" spans="1:12" x14ac:dyDescent="0.2">
      <c r="A848" s="547" t="s">
        <v>220</v>
      </c>
      <c r="B848" s="547" t="s">
        <v>588</v>
      </c>
      <c r="C848" s="547" t="s">
        <v>1460</v>
      </c>
      <c r="D848" s="547" t="s">
        <v>1461</v>
      </c>
      <c r="E848" s="547" t="s">
        <v>545</v>
      </c>
      <c r="F848" s="567">
        <v>3400</v>
      </c>
      <c r="G848" s="545">
        <v>0.27448235294117646</v>
      </c>
      <c r="H848" s="545">
        <v>933.2399999999999</v>
      </c>
      <c r="I848" s="547" t="s">
        <v>9009</v>
      </c>
      <c r="J848" s="547" t="s">
        <v>9015</v>
      </c>
      <c r="K848" s="547" t="s">
        <v>8996</v>
      </c>
      <c r="L848" s="537" t="s">
        <v>541</v>
      </c>
    </row>
    <row r="849" spans="1:12" x14ac:dyDescent="0.2">
      <c r="A849" s="547" t="s">
        <v>220</v>
      </c>
      <c r="B849" s="547" t="s">
        <v>588</v>
      </c>
      <c r="C849" s="547" t="s">
        <v>1462</v>
      </c>
      <c r="D849" s="547" t="s">
        <v>1463</v>
      </c>
      <c r="E849" s="547" t="s">
        <v>545</v>
      </c>
      <c r="F849" s="567">
        <v>1330</v>
      </c>
      <c r="G849" s="545">
        <v>0.27430750750750749</v>
      </c>
      <c r="H849" s="545">
        <v>364.82898498498497</v>
      </c>
      <c r="I849" s="547" t="s">
        <v>9009</v>
      </c>
      <c r="J849" s="547" t="s">
        <v>9015</v>
      </c>
      <c r="K849" s="547" t="s">
        <v>8996</v>
      </c>
      <c r="L849" s="537" t="s">
        <v>541</v>
      </c>
    </row>
    <row r="850" spans="1:12" x14ac:dyDescent="0.2">
      <c r="A850" s="547" t="s">
        <v>220</v>
      </c>
      <c r="B850" s="547" t="s">
        <v>588</v>
      </c>
      <c r="C850" s="547" t="s">
        <v>1464</v>
      </c>
      <c r="D850" s="547" t="s">
        <v>1465</v>
      </c>
      <c r="E850" s="547" t="s">
        <v>545</v>
      </c>
      <c r="F850" s="567">
        <v>2900</v>
      </c>
      <c r="G850" s="545">
        <v>0.35340619320324185</v>
      </c>
      <c r="H850" s="545">
        <v>1024.8779602894012</v>
      </c>
      <c r="I850" s="547" t="s">
        <v>9009</v>
      </c>
      <c r="J850" s="547" t="s">
        <v>9015</v>
      </c>
      <c r="K850" s="547" t="s">
        <v>8996</v>
      </c>
      <c r="L850" s="537" t="s">
        <v>541</v>
      </c>
    </row>
    <row r="851" spans="1:12" x14ac:dyDescent="0.2">
      <c r="A851" s="547" t="s">
        <v>220</v>
      </c>
      <c r="B851" s="547" t="s">
        <v>588</v>
      </c>
      <c r="C851" s="547" t="s">
        <v>1466</v>
      </c>
      <c r="D851" s="547" t="s">
        <v>1467</v>
      </c>
      <c r="E851" s="547" t="s">
        <v>545</v>
      </c>
      <c r="F851" s="567">
        <v>2500</v>
      </c>
      <c r="G851" s="545">
        <v>0.3526090337024263</v>
      </c>
      <c r="H851" s="545">
        <v>881.52258425606578</v>
      </c>
      <c r="I851" s="547" t="s">
        <v>9009</v>
      </c>
      <c r="J851" s="547" t="s">
        <v>9015</v>
      </c>
      <c r="K851" s="547" t="s">
        <v>8996</v>
      </c>
      <c r="L851" s="537" t="s">
        <v>541</v>
      </c>
    </row>
    <row r="852" spans="1:12" x14ac:dyDescent="0.2">
      <c r="A852" s="547" t="s">
        <v>220</v>
      </c>
      <c r="B852" s="547" t="s">
        <v>588</v>
      </c>
      <c r="C852" s="547" t="s">
        <v>1468</v>
      </c>
      <c r="D852" s="547" t="s">
        <v>1469</v>
      </c>
      <c r="E852" s="547" t="s">
        <v>545</v>
      </c>
      <c r="F852" s="567">
        <v>2800</v>
      </c>
      <c r="G852" s="545">
        <v>0.26841498652291107</v>
      </c>
      <c r="H852" s="545">
        <v>751.56196226415102</v>
      </c>
      <c r="I852" s="547" t="s">
        <v>9009</v>
      </c>
      <c r="J852" s="547" t="s">
        <v>9015</v>
      </c>
      <c r="K852" s="547" t="s">
        <v>8996</v>
      </c>
      <c r="L852" s="537" t="s">
        <v>541</v>
      </c>
    </row>
    <row r="853" spans="1:12" x14ac:dyDescent="0.2">
      <c r="A853" s="547" t="s">
        <v>220</v>
      </c>
      <c r="B853" s="547" t="s">
        <v>588</v>
      </c>
      <c r="C853" s="547" t="s">
        <v>1470</v>
      </c>
      <c r="D853" s="547" t="s">
        <v>1471</v>
      </c>
      <c r="E853" s="547" t="s">
        <v>545</v>
      </c>
      <c r="F853" s="567">
        <v>3880</v>
      </c>
      <c r="G853" s="545">
        <v>0.32753402061855674</v>
      </c>
      <c r="H853" s="545">
        <v>1270.8320000000001</v>
      </c>
      <c r="I853" s="547" t="s">
        <v>9009</v>
      </c>
      <c r="J853" s="547" t="s">
        <v>9015</v>
      </c>
      <c r="K853" s="547" t="s">
        <v>8996</v>
      </c>
      <c r="L853" s="537" t="s">
        <v>541</v>
      </c>
    </row>
    <row r="854" spans="1:12" x14ac:dyDescent="0.2">
      <c r="A854" s="547" t="s">
        <v>220</v>
      </c>
      <c r="B854" s="547" t="s">
        <v>588</v>
      </c>
      <c r="C854" s="547" t="s">
        <v>1472</v>
      </c>
      <c r="D854" s="547" t="s">
        <v>1473</v>
      </c>
      <c r="E854" s="547" t="s">
        <v>545</v>
      </c>
      <c r="F854" s="567">
        <v>4000</v>
      </c>
      <c r="G854" s="545">
        <v>0.35254885463933233</v>
      </c>
      <c r="H854" s="545">
        <v>1410.1954185573293</v>
      </c>
      <c r="I854" s="547" t="s">
        <v>9009</v>
      </c>
      <c r="J854" s="547" t="s">
        <v>9015</v>
      </c>
      <c r="K854" s="547" t="s">
        <v>8996</v>
      </c>
      <c r="L854" s="537" t="s">
        <v>541</v>
      </c>
    </row>
    <row r="855" spans="1:12" x14ac:dyDescent="0.2">
      <c r="A855" s="547" t="s">
        <v>220</v>
      </c>
      <c r="B855" s="547" t="s">
        <v>588</v>
      </c>
      <c r="C855" s="547" t="s">
        <v>1474</v>
      </c>
      <c r="D855" s="547" t="s">
        <v>1475</v>
      </c>
      <c r="E855" s="547" t="s">
        <v>545</v>
      </c>
      <c r="F855" s="567">
        <v>2500</v>
      </c>
      <c r="G855" s="545">
        <v>0.35349999999999998</v>
      </c>
      <c r="H855" s="545">
        <v>883.75</v>
      </c>
      <c r="I855" s="547" t="s">
        <v>9009</v>
      </c>
      <c r="J855" s="547" t="s">
        <v>9015</v>
      </c>
      <c r="K855" s="547" t="s">
        <v>8996</v>
      </c>
      <c r="L855" s="537" t="s">
        <v>541</v>
      </c>
    </row>
    <row r="856" spans="1:12" x14ac:dyDescent="0.2">
      <c r="A856" s="547" t="s">
        <v>220</v>
      </c>
      <c r="B856" s="547" t="s">
        <v>588</v>
      </c>
      <c r="C856" s="547" t="s">
        <v>1476</v>
      </c>
      <c r="D856" s="547" t="s">
        <v>1477</v>
      </c>
      <c r="E856" s="547" t="s">
        <v>545</v>
      </c>
      <c r="F856" s="567">
        <v>4530</v>
      </c>
      <c r="G856" s="545">
        <v>0.35803067599660765</v>
      </c>
      <c r="H856" s="545">
        <v>1621.8789622646327</v>
      </c>
      <c r="I856" s="547" t="s">
        <v>9009</v>
      </c>
      <c r="J856" s="547" t="s">
        <v>9015</v>
      </c>
      <c r="K856" s="547" t="s">
        <v>8996</v>
      </c>
      <c r="L856" s="537" t="s">
        <v>541</v>
      </c>
    </row>
    <row r="857" spans="1:12" x14ac:dyDescent="0.2">
      <c r="A857" s="547" t="s">
        <v>220</v>
      </c>
      <c r="B857" s="547" t="s">
        <v>588</v>
      </c>
      <c r="C857" s="547" t="s">
        <v>2264</v>
      </c>
      <c r="D857" s="547" t="s">
        <v>2265</v>
      </c>
      <c r="E857" s="547" t="s">
        <v>545</v>
      </c>
      <c r="F857" s="567">
        <v>3500</v>
      </c>
      <c r="G857" s="545">
        <v>0.35046659474671671</v>
      </c>
      <c r="H857" s="545">
        <v>1226.6330816135085</v>
      </c>
      <c r="I857" s="547" t="s">
        <v>9009</v>
      </c>
      <c r="J857" s="547" t="s">
        <v>9015</v>
      </c>
      <c r="K857" s="547" t="s">
        <v>8996</v>
      </c>
      <c r="L857" s="537" t="s">
        <v>541</v>
      </c>
    </row>
    <row r="858" spans="1:12" x14ac:dyDescent="0.2">
      <c r="A858" s="547" t="s">
        <v>220</v>
      </c>
      <c r="B858" s="547" t="s">
        <v>588</v>
      </c>
      <c r="C858" s="547" t="s">
        <v>1478</v>
      </c>
      <c r="D858" s="547" t="s">
        <v>1479</v>
      </c>
      <c r="E858" s="547" t="s">
        <v>545</v>
      </c>
      <c r="F858" s="567">
        <v>2600</v>
      </c>
      <c r="G858" s="545">
        <v>0.25755</v>
      </c>
      <c r="H858" s="545">
        <v>669.63</v>
      </c>
      <c r="I858" s="547" t="s">
        <v>9009</v>
      </c>
      <c r="J858" s="547" t="s">
        <v>9015</v>
      </c>
      <c r="K858" s="547" t="s">
        <v>8996</v>
      </c>
      <c r="L858" s="537" t="s">
        <v>541</v>
      </c>
    </row>
    <row r="859" spans="1:12" x14ac:dyDescent="0.2">
      <c r="A859" s="547" t="s">
        <v>220</v>
      </c>
      <c r="B859" s="547" t="s">
        <v>588</v>
      </c>
      <c r="C859" s="547" t="s">
        <v>1480</v>
      </c>
      <c r="D859" s="547" t="s">
        <v>1481</v>
      </c>
      <c r="E859" s="547" t="s">
        <v>545</v>
      </c>
      <c r="F859" s="567">
        <v>3000</v>
      </c>
      <c r="G859" s="545">
        <v>0.30804999999999999</v>
      </c>
      <c r="H859" s="545">
        <v>924.15</v>
      </c>
      <c r="I859" s="547" t="s">
        <v>9009</v>
      </c>
      <c r="J859" s="547" t="s">
        <v>9015</v>
      </c>
      <c r="K859" s="547" t="s">
        <v>8996</v>
      </c>
      <c r="L859" s="537" t="s">
        <v>541</v>
      </c>
    </row>
    <row r="860" spans="1:12" x14ac:dyDescent="0.2">
      <c r="A860" s="547" t="s">
        <v>220</v>
      </c>
      <c r="B860" s="547" t="s">
        <v>588</v>
      </c>
      <c r="C860" s="547" t="s">
        <v>1482</v>
      </c>
      <c r="D860" s="547" t="s">
        <v>1483</v>
      </c>
      <c r="E860" s="547" t="s">
        <v>545</v>
      </c>
      <c r="F860" s="567">
        <v>1720</v>
      </c>
      <c r="G860" s="545">
        <v>0.42419999999999997</v>
      </c>
      <c r="H860" s="545">
        <v>729.62399999999991</v>
      </c>
      <c r="I860" s="547" t="s">
        <v>9009</v>
      </c>
      <c r="J860" s="547" t="s">
        <v>9015</v>
      </c>
      <c r="K860" s="547" t="s">
        <v>8996</v>
      </c>
      <c r="L860" s="537" t="s">
        <v>541</v>
      </c>
    </row>
    <row r="861" spans="1:12" x14ac:dyDescent="0.2">
      <c r="A861" s="547" t="s">
        <v>220</v>
      </c>
      <c r="B861" s="547" t="s">
        <v>588</v>
      </c>
      <c r="C861" s="547" t="s">
        <v>7675</v>
      </c>
      <c r="D861" s="547" t="s">
        <v>7676</v>
      </c>
      <c r="E861" s="547" t="s">
        <v>545</v>
      </c>
      <c r="F861" s="567">
        <v>2000</v>
      </c>
      <c r="G861" s="545">
        <v>0.45450000000000002</v>
      </c>
      <c r="H861" s="545">
        <v>909</v>
      </c>
      <c r="I861" s="547" t="s">
        <v>9009</v>
      </c>
      <c r="J861" s="547" t="s">
        <v>9015</v>
      </c>
      <c r="K861" s="547" t="s">
        <v>8996</v>
      </c>
      <c r="L861" s="537" t="s">
        <v>541</v>
      </c>
    </row>
    <row r="862" spans="1:12" x14ac:dyDescent="0.2">
      <c r="A862" s="547" t="s">
        <v>220</v>
      </c>
      <c r="B862" s="547" t="s">
        <v>588</v>
      </c>
      <c r="C862" s="547" t="s">
        <v>1484</v>
      </c>
      <c r="D862" s="547" t="s">
        <v>1485</v>
      </c>
      <c r="E862" s="547" t="s">
        <v>545</v>
      </c>
      <c r="F862" s="567">
        <v>2000</v>
      </c>
      <c r="G862" s="545">
        <v>0.2828</v>
      </c>
      <c r="H862" s="545">
        <v>565.6</v>
      </c>
      <c r="I862" s="547" t="s">
        <v>9009</v>
      </c>
      <c r="J862" s="547" t="s">
        <v>9015</v>
      </c>
      <c r="K862" s="547" t="s">
        <v>8996</v>
      </c>
      <c r="L862" s="537" t="s">
        <v>541</v>
      </c>
    </row>
    <row r="863" spans="1:12" x14ac:dyDescent="0.2">
      <c r="A863" s="547" t="s">
        <v>220</v>
      </c>
      <c r="B863" s="547" t="s">
        <v>588</v>
      </c>
      <c r="C863" s="547" t="s">
        <v>1486</v>
      </c>
      <c r="D863" s="547" t="s">
        <v>1487</v>
      </c>
      <c r="E863" s="547" t="s">
        <v>545</v>
      </c>
      <c r="F863" s="567">
        <v>8000</v>
      </c>
      <c r="G863" s="545">
        <v>0.2828</v>
      </c>
      <c r="H863" s="545">
        <v>2262.4</v>
      </c>
      <c r="I863" s="547" t="s">
        <v>9009</v>
      </c>
      <c r="J863" s="547" t="s">
        <v>9015</v>
      </c>
      <c r="K863" s="547" t="s">
        <v>8996</v>
      </c>
      <c r="L863" s="537" t="s">
        <v>541</v>
      </c>
    </row>
    <row r="864" spans="1:12" x14ac:dyDescent="0.2">
      <c r="A864" s="547" t="s">
        <v>220</v>
      </c>
      <c r="B864" s="547" t="s">
        <v>588</v>
      </c>
      <c r="C864" s="547" t="s">
        <v>1488</v>
      </c>
      <c r="D864" s="547" t="s">
        <v>1489</v>
      </c>
      <c r="E864" s="547" t="s">
        <v>545</v>
      </c>
      <c r="F864" s="567">
        <v>3000</v>
      </c>
      <c r="G864" s="545">
        <v>0.35349999999999998</v>
      </c>
      <c r="H864" s="545">
        <v>1060.5</v>
      </c>
      <c r="I864" s="547" t="s">
        <v>9009</v>
      </c>
      <c r="J864" s="547" t="s">
        <v>9015</v>
      </c>
      <c r="K864" s="547" t="s">
        <v>8996</v>
      </c>
      <c r="L864" s="537" t="s">
        <v>541</v>
      </c>
    </row>
    <row r="865" spans="1:12" x14ac:dyDescent="0.2">
      <c r="A865" s="547" t="s">
        <v>220</v>
      </c>
      <c r="B865" s="547" t="s">
        <v>588</v>
      </c>
      <c r="C865" s="547" t="s">
        <v>1490</v>
      </c>
      <c r="D865" s="547" t="s">
        <v>1491</v>
      </c>
      <c r="E865" s="547" t="s">
        <v>545</v>
      </c>
      <c r="F865" s="567">
        <v>1500</v>
      </c>
      <c r="G865" s="545">
        <v>0.35349999999999998</v>
      </c>
      <c r="H865" s="545">
        <v>530.25</v>
      </c>
      <c r="I865" s="547" t="s">
        <v>9009</v>
      </c>
      <c r="J865" s="547" t="s">
        <v>9015</v>
      </c>
      <c r="K865" s="547" t="s">
        <v>8996</v>
      </c>
      <c r="L865" s="537" t="s">
        <v>541</v>
      </c>
    </row>
    <row r="866" spans="1:12" x14ac:dyDescent="0.2">
      <c r="A866" s="547" t="s">
        <v>220</v>
      </c>
      <c r="B866" s="547" t="s">
        <v>588</v>
      </c>
      <c r="C866" s="547" t="s">
        <v>1492</v>
      </c>
      <c r="D866" s="547" t="s">
        <v>1493</v>
      </c>
      <c r="E866" s="547" t="s">
        <v>545</v>
      </c>
      <c r="F866" s="567">
        <v>6900</v>
      </c>
      <c r="G866" s="545">
        <v>0.38380000000000003</v>
      </c>
      <c r="H866" s="545">
        <v>2648.2200000000003</v>
      </c>
      <c r="I866" s="547" t="s">
        <v>9009</v>
      </c>
      <c r="J866" s="547" t="s">
        <v>9015</v>
      </c>
      <c r="K866" s="547" t="s">
        <v>8996</v>
      </c>
      <c r="L866" s="537" t="s">
        <v>541</v>
      </c>
    </row>
    <row r="867" spans="1:12" x14ac:dyDescent="0.2">
      <c r="A867" s="547" t="s">
        <v>220</v>
      </c>
      <c r="B867" s="547" t="s">
        <v>588</v>
      </c>
      <c r="C867" s="547" t="s">
        <v>1494</v>
      </c>
      <c r="D867" s="547" t="s">
        <v>1495</v>
      </c>
      <c r="E867" s="547" t="s">
        <v>545</v>
      </c>
      <c r="F867" s="567">
        <v>5080</v>
      </c>
      <c r="G867" s="545">
        <v>0.38379999999999997</v>
      </c>
      <c r="H867" s="545">
        <v>1949.704</v>
      </c>
      <c r="I867" s="547" t="s">
        <v>9009</v>
      </c>
      <c r="J867" s="547" t="s">
        <v>9015</v>
      </c>
      <c r="K867" s="547" t="s">
        <v>8996</v>
      </c>
      <c r="L867" s="537" t="s">
        <v>541</v>
      </c>
    </row>
    <row r="868" spans="1:12" x14ac:dyDescent="0.2">
      <c r="A868" s="547" t="s">
        <v>220</v>
      </c>
      <c r="B868" s="547" t="s">
        <v>588</v>
      </c>
      <c r="C868" s="547" t="s">
        <v>7677</v>
      </c>
      <c r="D868" s="547" t="s">
        <v>7678</v>
      </c>
      <c r="E868" s="547" t="s">
        <v>545</v>
      </c>
      <c r="F868" s="567">
        <v>3000</v>
      </c>
      <c r="G868" s="545">
        <v>0.29794999999999999</v>
      </c>
      <c r="H868" s="545">
        <v>893.85</v>
      </c>
      <c r="I868" s="547" t="s">
        <v>9009</v>
      </c>
      <c r="J868" s="547" t="s">
        <v>9015</v>
      </c>
      <c r="K868" s="547" t="s">
        <v>8996</v>
      </c>
      <c r="L868" s="537" t="s">
        <v>541</v>
      </c>
    </row>
    <row r="869" spans="1:12" x14ac:dyDescent="0.2">
      <c r="A869" s="547" t="s">
        <v>220</v>
      </c>
      <c r="B869" s="547" t="s">
        <v>588</v>
      </c>
      <c r="C869" s="547" t="s">
        <v>1496</v>
      </c>
      <c r="D869" s="547" t="s">
        <v>1497</v>
      </c>
      <c r="E869" s="547" t="s">
        <v>545</v>
      </c>
      <c r="F869" s="567">
        <v>2580</v>
      </c>
      <c r="G869" s="545">
        <v>0.42420000000000002</v>
      </c>
      <c r="H869" s="545">
        <v>1094.4360000000001</v>
      </c>
      <c r="I869" s="547" t="s">
        <v>9009</v>
      </c>
      <c r="J869" s="547" t="s">
        <v>9015</v>
      </c>
      <c r="K869" s="547" t="s">
        <v>8996</v>
      </c>
      <c r="L869" s="537" t="s">
        <v>541</v>
      </c>
    </row>
    <row r="870" spans="1:12" x14ac:dyDescent="0.2">
      <c r="A870" s="547" t="s">
        <v>220</v>
      </c>
      <c r="B870" s="547" t="s">
        <v>588</v>
      </c>
      <c r="C870" s="547" t="s">
        <v>1498</v>
      </c>
      <c r="D870" s="547" t="s">
        <v>1499</v>
      </c>
      <c r="E870" s="547" t="s">
        <v>545</v>
      </c>
      <c r="F870" s="567">
        <v>1000</v>
      </c>
      <c r="G870" s="545">
        <v>0.30299999999999999</v>
      </c>
      <c r="H870" s="545">
        <v>303</v>
      </c>
      <c r="I870" s="547" t="s">
        <v>9009</v>
      </c>
      <c r="J870" s="547" t="s">
        <v>9015</v>
      </c>
      <c r="K870" s="547" t="s">
        <v>8996</v>
      </c>
      <c r="L870" s="537" t="s">
        <v>541</v>
      </c>
    </row>
    <row r="871" spans="1:12" x14ac:dyDescent="0.2">
      <c r="A871" s="547" t="s">
        <v>220</v>
      </c>
      <c r="B871" s="547" t="s">
        <v>588</v>
      </c>
      <c r="C871" s="547" t="s">
        <v>1500</v>
      </c>
      <c r="D871" s="547" t="s">
        <v>1501</v>
      </c>
      <c r="E871" s="547" t="s">
        <v>545</v>
      </c>
      <c r="F871" s="567">
        <v>979</v>
      </c>
      <c r="G871" s="545">
        <v>0.32319999999999999</v>
      </c>
      <c r="H871" s="545">
        <v>316.4128</v>
      </c>
      <c r="I871" s="547" t="s">
        <v>9009</v>
      </c>
      <c r="J871" s="547" t="s">
        <v>9015</v>
      </c>
      <c r="K871" s="547" t="s">
        <v>8996</v>
      </c>
      <c r="L871" s="537" t="s">
        <v>541</v>
      </c>
    </row>
    <row r="872" spans="1:12" x14ac:dyDescent="0.2">
      <c r="A872" s="547" t="s">
        <v>220</v>
      </c>
      <c r="B872" s="547" t="s">
        <v>588</v>
      </c>
      <c r="C872" s="547" t="s">
        <v>1502</v>
      </c>
      <c r="D872" s="547" t="s">
        <v>1503</v>
      </c>
      <c r="E872" s="547" t="s">
        <v>545</v>
      </c>
      <c r="F872" s="567">
        <v>4240</v>
      </c>
      <c r="G872" s="545">
        <v>0.29572057375788341</v>
      </c>
      <c r="H872" s="545">
        <v>1253.8552327334257</v>
      </c>
      <c r="I872" s="547" t="s">
        <v>9009</v>
      </c>
      <c r="J872" s="547" t="s">
        <v>9015</v>
      </c>
      <c r="K872" s="547" t="s">
        <v>8996</v>
      </c>
      <c r="L872" s="537" t="s">
        <v>541</v>
      </c>
    </row>
    <row r="873" spans="1:12" x14ac:dyDescent="0.2">
      <c r="A873" s="547" t="s">
        <v>220</v>
      </c>
      <c r="B873" s="547" t="s">
        <v>588</v>
      </c>
      <c r="C873" s="547" t="s">
        <v>1504</v>
      </c>
      <c r="D873" s="547" t="s">
        <v>1505</v>
      </c>
      <c r="E873" s="547" t="s">
        <v>545</v>
      </c>
      <c r="F873" s="567">
        <v>200</v>
      </c>
      <c r="G873" s="545">
        <v>0.30071575047882365</v>
      </c>
      <c r="H873" s="545">
        <v>60.143150095764732</v>
      </c>
      <c r="I873" s="547" t="s">
        <v>9009</v>
      </c>
      <c r="J873" s="547" t="s">
        <v>9015</v>
      </c>
      <c r="K873" s="547" t="s">
        <v>8996</v>
      </c>
      <c r="L873" s="537" t="s">
        <v>541</v>
      </c>
    </row>
    <row r="874" spans="1:12" x14ac:dyDescent="0.2">
      <c r="A874" s="547" t="s">
        <v>220</v>
      </c>
      <c r="B874" s="547" t="s">
        <v>588</v>
      </c>
      <c r="C874" s="547" t="s">
        <v>1506</v>
      </c>
      <c r="D874" s="547" t="s">
        <v>1507</v>
      </c>
      <c r="E874" s="547" t="s">
        <v>545</v>
      </c>
      <c r="F874" s="567">
        <v>3020</v>
      </c>
      <c r="G874" s="545">
        <v>0.34599201312275618</v>
      </c>
      <c r="H874" s="545">
        <v>1044.8958796307236</v>
      </c>
      <c r="I874" s="547" t="s">
        <v>9009</v>
      </c>
      <c r="J874" s="547" t="s">
        <v>9015</v>
      </c>
      <c r="K874" s="547" t="s">
        <v>8996</v>
      </c>
      <c r="L874" s="537" t="s">
        <v>541</v>
      </c>
    </row>
    <row r="875" spans="1:12" x14ac:dyDescent="0.2">
      <c r="A875" s="547" t="s">
        <v>220</v>
      </c>
      <c r="B875" s="547" t="s">
        <v>588</v>
      </c>
      <c r="C875" s="547" t="s">
        <v>1508</v>
      </c>
      <c r="D875" s="547" t="s">
        <v>1509</v>
      </c>
      <c r="E875" s="547" t="s">
        <v>545</v>
      </c>
      <c r="F875" s="567">
        <v>3700</v>
      </c>
      <c r="G875" s="545">
        <v>0.59084999999999988</v>
      </c>
      <c r="H875" s="545">
        <v>2186.1449999999995</v>
      </c>
      <c r="I875" s="547" t="s">
        <v>9009</v>
      </c>
      <c r="J875" s="547" t="s">
        <v>9015</v>
      </c>
      <c r="K875" s="547" t="s">
        <v>8996</v>
      </c>
      <c r="L875" s="537" t="s">
        <v>541</v>
      </c>
    </row>
    <row r="876" spans="1:12" x14ac:dyDescent="0.2">
      <c r="A876" s="547" t="s">
        <v>220</v>
      </c>
      <c r="B876" s="547" t="s">
        <v>588</v>
      </c>
      <c r="C876" s="547" t="s">
        <v>1510</v>
      </c>
      <c r="D876" s="547" t="s">
        <v>1511</v>
      </c>
      <c r="E876" s="547" t="s">
        <v>545</v>
      </c>
      <c r="F876" s="567">
        <v>3880</v>
      </c>
      <c r="G876" s="545">
        <v>0.42419999999999997</v>
      </c>
      <c r="H876" s="545">
        <v>1645.896</v>
      </c>
      <c r="I876" s="547" t="s">
        <v>9009</v>
      </c>
      <c r="J876" s="547" t="s">
        <v>9015</v>
      </c>
      <c r="K876" s="547" t="s">
        <v>8996</v>
      </c>
      <c r="L876" s="537" t="s">
        <v>541</v>
      </c>
    </row>
    <row r="877" spans="1:12" x14ac:dyDescent="0.2">
      <c r="A877" s="547" t="s">
        <v>220</v>
      </c>
      <c r="B877" s="547" t="s">
        <v>588</v>
      </c>
      <c r="C877" s="547" t="s">
        <v>1512</v>
      </c>
      <c r="D877" s="547" t="s">
        <v>1513</v>
      </c>
      <c r="E877" s="547" t="s">
        <v>545</v>
      </c>
      <c r="F877" s="567">
        <v>2000</v>
      </c>
      <c r="G877" s="545">
        <v>0.26480555555555563</v>
      </c>
      <c r="H877" s="545">
        <v>529.6111111111112</v>
      </c>
      <c r="I877" s="547" t="s">
        <v>9009</v>
      </c>
      <c r="J877" s="547" t="s">
        <v>9015</v>
      </c>
      <c r="K877" s="547" t="s">
        <v>8996</v>
      </c>
      <c r="L877" s="537" t="s">
        <v>541</v>
      </c>
    </row>
    <row r="878" spans="1:12" x14ac:dyDescent="0.2">
      <c r="A878" s="547" t="s">
        <v>220</v>
      </c>
      <c r="B878" s="547" t="s">
        <v>588</v>
      </c>
      <c r="C878" s="547" t="s">
        <v>1514</v>
      </c>
      <c r="D878" s="547" t="s">
        <v>1515</v>
      </c>
      <c r="E878" s="547" t="s">
        <v>545</v>
      </c>
      <c r="F878" s="567">
        <v>1379</v>
      </c>
      <c r="G878" s="545">
        <v>0.32319999999999999</v>
      </c>
      <c r="H878" s="545">
        <v>445.69279999999998</v>
      </c>
      <c r="I878" s="547" t="s">
        <v>9009</v>
      </c>
      <c r="J878" s="547" t="s">
        <v>9015</v>
      </c>
      <c r="K878" s="547" t="s">
        <v>8996</v>
      </c>
      <c r="L878" s="537" t="s">
        <v>541</v>
      </c>
    </row>
    <row r="879" spans="1:12" x14ac:dyDescent="0.2">
      <c r="A879" s="547" t="s">
        <v>220</v>
      </c>
      <c r="B879" s="547" t="s">
        <v>588</v>
      </c>
      <c r="C879" s="547" t="s">
        <v>1516</v>
      </c>
      <c r="D879" s="547" t="s">
        <v>1517</v>
      </c>
      <c r="E879" s="547" t="s">
        <v>545</v>
      </c>
      <c r="F879" s="567">
        <v>750</v>
      </c>
      <c r="G879" s="545">
        <v>0.35295722527875129</v>
      </c>
      <c r="H879" s="545">
        <v>264.71791895906347</v>
      </c>
      <c r="I879" s="547" t="s">
        <v>9009</v>
      </c>
      <c r="J879" s="547" t="s">
        <v>9015</v>
      </c>
      <c r="K879" s="547" t="s">
        <v>8996</v>
      </c>
      <c r="L879" s="537" t="s">
        <v>541</v>
      </c>
    </row>
    <row r="880" spans="1:12" x14ac:dyDescent="0.2">
      <c r="A880" s="547" t="s">
        <v>220</v>
      </c>
      <c r="B880" s="547" t="s">
        <v>588</v>
      </c>
      <c r="C880" s="547" t="s">
        <v>1518</v>
      </c>
      <c r="D880" s="547" t="s">
        <v>1519</v>
      </c>
      <c r="E880" s="547" t="s">
        <v>545</v>
      </c>
      <c r="F880" s="567">
        <v>1000</v>
      </c>
      <c r="G880" s="545">
        <v>0.23626010935804323</v>
      </c>
      <c r="H880" s="545">
        <v>236.26010935804322</v>
      </c>
      <c r="I880" s="547" t="s">
        <v>9009</v>
      </c>
      <c r="J880" s="547" t="s">
        <v>9015</v>
      </c>
      <c r="K880" s="547" t="s">
        <v>8996</v>
      </c>
      <c r="L880" s="537" t="s">
        <v>541</v>
      </c>
    </row>
    <row r="881" spans="1:12" x14ac:dyDescent="0.2">
      <c r="A881" s="547" t="s">
        <v>220</v>
      </c>
      <c r="B881" s="547" t="s">
        <v>588</v>
      </c>
      <c r="C881" s="547" t="s">
        <v>1520</v>
      </c>
      <c r="D881" s="547" t="s">
        <v>1521</v>
      </c>
      <c r="E881" s="547" t="s">
        <v>545</v>
      </c>
      <c r="F881" s="567">
        <v>94</v>
      </c>
      <c r="G881" s="545">
        <v>18.577833821086504</v>
      </c>
      <c r="H881" s="545">
        <v>1746.3163791821314</v>
      </c>
      <c r="I881" s="547" t="s">
        <v>9009</v>
      </c>
      <c r="J881" s="547" t="s">
        <v>9147</v>
      </c>
      <c r="K881" s="547" t="s">
        <v>8996</v>
      </c>
      <c r="L881" s="537" t="s">
        <v>541</v>
      </c>
    </row>
    <row r="882" spans="1:12" x14ac:dyDescent="0.2">
      <c r="A882" s="547" t="s">
        <v>220</v>
      </c>
      <c r="B882" s="547" t="s">
        <v>588</v>
      </c>
      <c r="C882" s="547" t="s">
        <v>1522</v>
      </c>
      <c r="D882" s="547" t="s">
        <v>1523</v>
      </c>
      <c r="E882" s="547" t="s">
        <v>545</v>
      </c>
      <c r="F882" s="567">
        <v>42000</v>
      </c>
      <c r="G882" s="545">
        <v>9.3566623832702436E-2</v>
      </c>
      <c r="H882" s="545">
        <v>3929.7982009735024</v>
      </c>
      <c r="I882" s="547" t="s">
        <v>9009</v>
      </c>
      <c r="J882" s="547" t="s">
        <v>9015</v>
      </c>
      <c r="K882" s="547" t="s">
        <v>8996</v>
      </c>
      <c r="L882" s="537" t="s">
        <v>541</v>
      </c>
    </row>
    <row r="883" spans="1:12" x14ac:dyDescent="0.2">
      <c r="A883" s="547" t="s">
        <v>220</v>
      </c>
      <c r="B883" s="547" t="s">
        <v>588</v>
      </c>
      <c r="C883" s="547" t="s">
        <v>7546</v>
      </c>
      <c r="D883" s="547" t="s">
        <v>7547</v>
      </c>
      <c r="E883" s="547" t="s">
        <v>545</v>
      </c>
      <c r="F883" s="567">
        <v>58</v>
      </c>
      <c r="G883" s="545">
        <v>3.3303421373425439</v>
      </c>
      <c r="H883" s="545">
        <v>193.15984396586754</v>
      </c>
      <c r="I883" s="547" t="s">
        <v>9009</v>
      </c>
      <c r="J883" s="547" t="s">
        <v>9015</v>
      </c>
      <c r="K883" s="547" t="s">
        <v>8996</v>
      </c>
      <c r="L883" s="537" t="s">
        <v>541</v>
      </c>
    </row>
    <row r="884" spans="1:12" x14ac:dyDescent="0.2">
      <c r="A884" s="547" t="s">
        <v>220</v>
      </c>
      <c r="B884" s="547" t="s">
        <v>588</v>
      </c>
      <c r="C884" s="547" t="s">
        <v>1524</v>
      </c>
      <c r="D884" s="547" t="s">
        <v>1525</v>
      </c>
      <c r="E884" s="547" t="s">
        <v>545</v>
      </c>
      <c r="F884" s="567">
        <v>10250</v>
      </c>
      <c r="G884" s="545">
        <v>0.20200000000000001</v>
      </c>
      <c r="H884" s="545">
        <v>2070.5</v>
      </c>
      <c r="I884" s="547" t="s">
        <v>9009</v>
      </c>
      <c r="J884" s="547" t="s">
        <v>9147</v>
      </c>
      <c r="K884" s="547" t="s">
        <v>8996</v>
      </c>
      <c r="L884" s="537" t="s">
        <v>541</v>
      </c>
    </row>
    <row r="885" spans="1:12" x14ac:dyDescent="0.2">
      <c r="A885" s="547" t="s">
        <v>220</v>
      </c>
      <c r="B885" s="547" t="s">
        <v>588</v>
      </c>
      <c r="C885" s="547" t="s">
        <v>1526</v>
      </c>
      <c r="D885" s="547" t="s">
        <v>1527</v>
      </c>
      <c r="E885" s="547" t="s">
        <v>545</v>
      </c>
      <c r="F885" s="567">
        <v>4500</v>
      </c>
      <c r="G885" s="545">
        <v>0.45450000000000002</v>
      </c>
      <c r="H885" s="545">
        <v>2045.25</v>
      </c>
      <c r="I885" s="547" t="s">
        <v>9009</v>
      </c>
      <c r="J885" s="547" t="s">
        <v>9015</v>
      </c>
      <c r="K885" s="547" t="s">
        <v>8996</v>
      </c>
      <c r="L885" s="537" t="s">
        <v>541</v>
      </c>
    </row>
    <row r="886" spans="1:12" x14ac:dyDescent="0.2">
      <c r="A886" s="547" t="s">
        <v>220</v>
      </c>
      <c r="B886" s="547" t="s">
        <v>588</v>
      </c>
      <c r="C886" s="547" t="s">
        <v>1528</v>
      </c>
      <c r="D886" s="547" t="s">
        <v>1529</v>
      </c>
      <c r="E886" s="547" t="s">
        <v>545</v>
      </c>
      <c r="F886" s="567">
        <v>5000</v>
      </c>
      <c r="G886" s="545">
        <v>8.0799999999999997E-2</v>
      </c>
      <c r="H886" s="545">
        <v>404</v>
      </c>
      <c r="I886" s="547" t="s">
        <v>9009</v>
      </c>
      <c r="J886" s="547" t="s">
        <v>9015</v>
      </c>
      <c r="K886" s="547" t="s">
        <v>8996</v>
      </c>
      <c r="L886" s="537" t="s">
        <v>541</v>
      </c>
    </row>
    <row r="887" spans="1:12" x14ac:dyDescent="0.2">
      <c r="A887" s="547" t="s">
        <v>220</v>
      </c>
      <c r="B887" s="547" t="s">
        <v>588</v>
      </c>
      <c r="C887" s="547" t="s">
        <v>1530</v>
      </c>
      <c r="D887" s="547" t="s">
        <v>1531</v>
      </c>
      <c r="E887" s="547" t="s">
        <v>545</v>
      </c>
      <c r="F887" s="567">
        <v>16500</v>
      </c>
      <c r="G887" s="545">
        <v>8.9890000000000012E-2</v>
      </c>
      <c r="H887" s="545">
        <v>1483.1850000000002</v>
      </c>
      <c r="I887" s="547" t="s">
        <v>9009</v>
      </c>
      <c r="J887" s="547" t="s">
        <v>9015</v>
      </c>
      <c r="K887" s="547" t="s">
        <v>8996</v>
      </c>
      <c r="L887" s="537" t="s">
        <v>541</v>
      </c>
    </row>
    <row r="888" spans="1:12" x14ac:dyDescent="0.2">
      <c r="A888" s="547" t="s">
        <v>220</v>
      </c>
      <c r="B888" s="547" t="s">
        <v>588</v>
      </c>
      <c r="C888" s="547" t="s">
        <v>658</v>
      </c>
      <c r="D888" s="547" t="s">
        <v>1532</v>
      </c>
      <c r="E888" s="547" t="s">
        <v>545</v>
      </c>
      <c r="F888" s="567">
        <v>4000</v>
      </c>
      <c r="G888" s="545">
        <v>0.19110291891891892</v>
      </c>
      <c r="H888" s="545">
        <v>764.41167567567572</v>
      </c>
      <c r="I888" s="547" t="s">
        <v>9009</v>
      </c>
      <c r="J888" s="547" t="s">
        <v>9147</v>
      </c>
      <c r="K888" s="547" t="s">
        <v>8996</v>
      </c>
      <c r="L888" s="537" t="s">
        <v>541</v>
      </c>
    </row>
    <row r="889" spans="1:12" x14ac:dyDescent="0.2">
      <c r="A889" s="547" t="s">
        <v>220</v>
      </c>
      <c r="B889" s="547" t="s">
        <v>588</v>
      </c>
      <c r="C889" s="547" t="s">
        <v>682</v>
      </c>
      <c r="D889" s="547" t="s">
        <v>683</v>
      </c>
      <c r="E889" s="547" t="s">
        <v>545</v>
      </c>
      <c r="F889" s="567">
        <v>3500</v>
      </c>
      <c r="G889" s="545">
        <v>0.20200000000000001</v>
      </c>
      <c r="H889" s="545">
        <v>707</v>
      </c>
      <c r="I889" s="547" t="s">
        <v>9009</v>
      </c>
      <c r="J889" s="547" t="s">
        <v>9147</v>
      </c>
      <c r="K889" s="547" t="s">
        <v>8996</v>
      </c>
      <c r="L889" s="537" t="s">
        <v>541</v>
      </c>
    </row>
    <row r="890" spans="1:12" x14ac:dyDescent="0.2">
      <c r="A890" s="547" t="s">
        <v>220</v>
      </c>
      <c r="B890" s="547" t="s">
        <v>588</v>
      </c>
      <c r="C890" s="547" t="s">
        <v>660</v>
      </c>
      <c r="D890" s="547" t="s">
        <v>661</v>
      </c>
      <c r="E890" s="547" t="s">
        <v>545</v>
      </c>
      <c r="F890" s="567">
        <v>500</v>
      </c>
      <c r="G890" s="545">
        <v>0.20165972222222223</v>
      </c>
      <c r="H890" s="545">
        <v>100.82986111111111</v>
      </c>
      <c r="I890" s="547" t="s">
        <v>9009</v>
      </c>
      <c r="J890" s="547" t="s">
        <v>9147</v>
      </c>
      <c r="K890" s="547" t="s">
        <v>8996</v>
      </c>
      <c r="L890" s="537" t="s">
        <v>541</v>
      </c>
    </row>
    <row r="891" spans="1:12" x14ac:dyDescent="0.2">
      <c r="A891" s="547" t="s">
        <v>220</v>
      </c>
      <c r="B891" s="547" t="s">
        <v>588</v>
      </c>
      <c r="C891" s="547" t="s">
        <v>684</v>
      </c>
      <c r="D891" s="547" t="s">
        <v>685</v>
      </c>
      <c r="E891" s="547" t="s">
        <v>545</v>
      </c>
      <c r="F891" s="567">
        <v>1000</v>
      </c>
      <c r="G891" s="545">
        <v>0.35349999999999998</v>
      </c>
      <c r="H891" s="545">
        <v>353.5</v>
      </c>
      <c r="I891" s="547" t="s">
        <v>9009</v>
      </c>
      <c r="J891" s="547" t="s">
        <v>9147</v>
      </c>
      <c r="K891" s="547" t="s">
        <v>8996</v>
      </c>
      <c r="L891" s="537" t="s">
        <v>541</v>
      </c>
    </row>
    <row r="892" spans="1:12" x14ac:dyDescent="0.2">
      <c r="A892" s="547" t="s">
        <v>220</v>
      </c>
      <c r="B892" s="547" t="s">
        <v>588</v>
      </c>
      <c r="C892" s="547" t="s">
        <v>686</v>
      </c>
      <c r="D892" s="547" t="s">
        <v>687</v>
      </c>
      <c r="E892" s="547" t="s">
        <v>545</v>
      </c>
      <c r="F892" s="567">
        <v>1000</v>
      </c>
      <c r="G892" s="545">
        <v>0.35349999999999998</v>
      </c>
      <c r="H892" s="545">
        <v>353.5</v>
      </c>
      <c r="I892" s="547" t="s">
        <v>9009</v>
      </c>
      <c r="J892" s="547" t="s">
        <v>9147</v>
      </c>
      <c r="K892" s="547" t="s">
        <v>8996</v>
      </c>
      <c r="L892" s="537" t="s">
        <v>541</v>
      </c>
    </row>
    <row r="893" spans="1:12" x14ac:dyDescent="0.2">
      <c r="A893" s="547" t="s">
        <v>220</v>
      </c>
      <c r="B893" s="547" t="s">
        <v>588</v>
      </c>
      <c r="C893" s="547" t="s">
        <v>1533</v>
      </c>
      <c r="D893" s="547" t="s">
        <v>1534</v>
      </c>
      <c r="E893" s="547" t="s">
        <v>545</v>
      </c>
      <c r="F893" s="567">
        <v>1750</v>
      </c>
      <c r="G893" s="545">
        <v>0.2014</v>
      </c>
      <c r="H893" s="545">
        <v>352.45</v>
      </c>
      <c r="I893" s="547" t="s">
        <v>9009</v>
      </c>
      <c r="J893" s="547" t="s">
        <v>9147</v>
      </c>
      <c r="K893" s="547" t="s">
        <v>8996</v>
      </c>
      <c r="L893" s="537" t="s">
        <v>541</v>
      </c>
    </row>
    <row r="894" spans="1:12" x14ac:dyDescent="0.2">
      <c r="A894" s="547" t="s">
        <v>220</v>
      </c>
      <c r="B894" s="547" t="s">
        <v>588</v>
      </c>
      <c r="C894" s="547" t="s">
        <v>1535</v>
      </c>
      <c r="D894" s="547" t="s">
        <v>1536</v>
      </c>
      <c r="E894" s="547" t="s">
        <v>545</v>
      </c>
      <c r="F894" s="567">
        <v>4000</v>
      </c>
      <c r="G894" s="545">
        <v>7.8508288043478272E-2</v>
      </c>
      <c r="H894" s="545">
        <v>314.03315217391309</v>
      </c>
      <c r="I894" s="547" t="s">
        <v>9009</v>
      </c>
      <c r="J894" s="547" t="s">
        <v>9015</v>
      </c>
      <c r="K894" s="547" t="s">
        <v>8996</v>
      </c>
      <c r="L894" s="537" t="s">
        <v>541</v>
      </c>
    </row>
    <row r="895" spans="1:12" x14ac:dyDescent="0.2">
      <c r="A895" s="547" t="s">
        <v>220</v>
      </c>
      <c r="B895" s="547" t="s">
        <v>588</v>
      </c>
      <c r="C895" s="547" t="s">
        <v>1537</v>
      </c>
      <c r="D895" s="547" t="s">
        <v>1538</v>
      </c>
      <c r="E895" s="547" t="s">
        <v>545</v>
      </c>
      <c r="F895" s="567">
        <v>55200</v>
      </c>
      <c r="G895" s="545">
        <v>0.19696939297302721</v>
      </c>
      <c r="H895" s="545">
        <v>10872.710492111102</v>
      </c>
      <c r="I895" s="547" t="s">
        <v>9009</v>
      </c>
      <c r="J895" s="547" t="s">
        <v>9015</v>
      </c>
      <c r="K895" s="547" t="s">
        <v>8996</v>
      </c>
      <c r="L895" s="537" t="s">
        <v>541</v>
      </c>
    </row>
    <row r="896" spans="1:12" x14ac:dyDescent="0.2">
      <c r="A896" s="547" t="s">
        <v>220</v>
      </c>
      <c r="B896" s="547" t="s">
        <v>588</v>
      </c>
      <c r="C896" s="547" t="s">
        <v>1539</v>
      </c>
      <c r="D896" s="547" t="s">
        <v>1540</v>
      </c>
      <c r="E896" s="547" t="s">
        <v>545</v>
      </c>
      <c r="F896" s="567">
        <v>7000</v>
      </c>
      <c r="G896" s="545">
        <v>0.11109999999999999</v>
      </c>
      <c r="H896" s="545">
        <v>777.69999999999993</v>
      </c>
      <c r="I896" s="547" t="s">
        <v>9009</v>
      </c>
      <c r="J896" s="547" t="s">
        <v>9015</v>
      </c>
      <c r="K896" s="547" t="s">
        <v>8996</v>
      </c>
      <c r="L896" s="537" t="s">
        <v>541</v>
      </c>
    </row>
    <row r="897" spans="1:12" x14ac:dyDescent="0.2">
      <c r="A897" s="547" t="s">
        <v>220</v>
      </c>
      <c r="B897" s="547" t="s">
        <v>588</v>
      </c>
      <c r="C897" s="547" t="s">
        <v>734</v>
      </c>
      <c r="D897" s="547" t="s">
        <v>735</v>
      </c>
      <c r="E897" s="547" t="s">
        <v>545</v>
      </c>
      <c r="F897" s="567">
        <v>1000</v>
      </c>
      <c r="G897" s="545">
        <v>0.2525</v>
      </c>
      <c r="H897" s="545">
        <v>252.5</v>
      </c>
      <c r="I897" s="547" t="s">
        <v>9009</v>
      </c>
      <c r="J897" s="547" t="s">
        <v>9147</v>
      </c>
      <c r="K897" s="547" t="s">
        <v>8996</v>
      </c>
      <c r="L897" s="537" t="s">
        <v>541</v>
      </c>
    </row>
    <row r="898" spans="1:12" x14ac:dyDescent="0.2">
      <c r="A898" s="547" t="s">
        <v>220</v>
      </c>
      <c r="B898" s="547" t="s">
        <v>588</v>
      </c>
      <c r="C898" s="547" t="s">
        <v>1541</v>
      </c>
      <c r="D898" s="547" t="s">
        <v>1542</v>
      </c>
      <c r="E898" s="547" t="s">
        <v>545</v>
      </c>
      <c r="F898" s="567">
        <v>3330</v>
      </c>
      <c r="G898" s="545">
        <v>0.13114636804544982</v>
      </c>
      <c r="H898" s="545">
        <v>436.71740559134793</v>
      </c>
      <c r="I898" s="547" t="s">
        <v>9009</v>
      </c>
      <c r="J898" s="547" t="s">
        <v>9015</v>
      </c>
      <c r="K898" s="547" t="s">
        <v>8996</v>
      </c>
      <c r="L898" s="537" t="s">
        <v>541</v>
      </c>
    </row>
    <row r="899" spans="1:12" x14ac:dyDescent="0.2">
      <c r="A899" s="547" t="s">
        <v>220</v>
      </c>
      <c r="B899" s="547" t="s">
        <v>588</v>
      </c>
      <c r="C899" s="547" t="s">
        <v>9568</v>
      </c>
      <c r="D899" s="547" t="s">
        <v>9569</v>
      </c>
      <c r="E899" s="547" t="s">
        <v>545</v>
      </c>
      <c r="F899" s="552">
        <v>7500</v>
      </c>
      <c r="G899" s="545">
        <v>0.1</v>
      </c>
      <c r="H899" s="545">
        <v>750</v>
      </c>
      <c r="I899" s="547" t="s">
        <v>9009</v>
      </c>
      <c r="J899" s="547" t="s">
        <v>9015</v>
      </c>
      <c r="K899" s="547" t="s">
        <v>8996</v>
      </c>
      <c r="L899" s="537" t="s">
        <v>541</v>
      </c>
    </row>
    <row r="900" spans="1:12" x14ac:dyDescent="0.2">
      <c r="A900" s="547" t="s">
        <v>220</v>
      </c>
      <c r="B900" s="547" t="s">
        <v>588</v>
      </c>
      <c r="C900" s="547" t="s">
        <v>9570</v>
      </c>
      <c r="D900" s="547" t="s">
        <v>9571</v>
      </c>
      <c r="E900" s="547" t="s">
        <v>545</v>
      </c>
      <c r="F900" s="552">
        <v>10000</v>
      </c>
      <c r="G900" s="545">
        <v>0.1</v>
      </c>
      <c r="H900" s="545">
        <v>1000</v>
      </c>
      <c r="I900" s="547" t="s">
        <v>9009</v>
      </c>
      <c r="J900" s="547" t="s">
        <v>9015</v>
      </c>
      <c r="K900" s="547" t="s">
        <v>8996</v>
      </c>
      <c r="L900" s="537" t="s">
        <v>541</v>
      </c>
    </row>
    <row r="901" spans="1:12" x14ac:dyDescent="0.2">
      <c r="A901" s="547" t="s">
        <v>220</v>
      </c>
      <c r="B901" s="547" t="s">
        <v>588</v>
      </c>
      <c r="C901" s="547" t="s">
        <v>9572</v>
      </c>
      <c r="D901" s="547" t="s">
        <v>9573</v>
      </c>
      <c r="E901" s="547" t="s">
        <v>545</v>
      </c>
      <c r="F901" s="552">
        <v>5000</v>
      </c>
      <c r="G901" s="545">
        <v>0.1</v>
      </c>
      <c r="H901" s="545">
        <v>500</v>
      </c>
      <c r="I901" s="547" t="s">
        <v>9009</v>
      </c>
      <c r="J901" s="547" t="s">
        <v>9015</v>
      </c>
      <c r="K901" s="547" t="s">
        <v>8996</v>
      </c>
      <c r="L901" s="537" t="s">
        <v>541</v>
      </c>
    </row>
    <row r="902" spans="1:12" x14ac:dyDescent="0.2">
      <c r="A902" s="547" t="s">
        <v>220</v>
      </c>
      <c r="B902" s="547" t="s">
        <v>588</v>
      </c>
      <c r="C902" s="547" t="s">
        <v>9574</v>
      </c>
      <c r="D902" s="547" t="s">
        <v>9575</v>
      </c>
      <c r="E902" s="547" t="s">
        <v>545</v>
      </c>
      <c r="F902" s="552">
        <v>5000</v>
      </c>
      <c r="G902" s="545">
        <v>0.13070000000000001</v>
      </c>
      <c r="H902" s="545">
        <v>653.5</v>
      </c>
      <c r="I902" s="547" t="s">
        <v>9009</v>
      </c>
      <c r="J902" s="547" t="s">
        <v>9015</v>
      </c>
      <c r="K902" s="547" t="s">
        <v>8996</v>
      </c>
      <c r="L902" s="537" t="s">
        <v>541</v>
      </c>
    </row>
    <row r="903" spans="1:12" x14ac:dyDescent="0.2">
      <c r="A903" s="547" t="s">
        <v>220</v>
      </c>
      <c r="B903" s="547" t="s">
        <v>588</v>
      </c>
      <c r="C903" s="547" t="s">
        <v>1543</v>
      </c>
      <c r="D903" s="547" t="s">
        <v>1544</v>
      </c>
      <c r="E903" s="547" t="s">
        <v>545</v>
      </c>
      <c r="F903" s="567">
        <v>37000</v>
      </c>
      <c r="G903" s="545">
        <v>2.5748804833685576E-2</v>
      </c>
      <c r="H903" s="545">
        <v>952.70577884636634</v>
      </c>
      <c r="I903" s="547" t="s">
        <v>9009</v>
      </c>
      <c r="J903" s="547" t="s">
        <v>9015</v>
      </c>
      <c r="K903" s="547" t="s">
        <v>8996</v>
      </c>
      <c r="L903" s="537" t="s">
        <v>541</v>
      </c>
    </row>
    <row r="904" spans="1:12" x14ac:dyDescent="0.2">
      <c r="A904" s="547" t="s">
        <v>220</v>
      </c>
      <c r="B904" s="547" t="s">
        <v>588</v>
      </c>
      <c r="C904" s="547" t="s">
        <v>1545</v>
      </c>
      <c r="D904" s="547" t="s">
        <v>1546</v>
      </c>
      <c r="E904" s="547" t="s">
        <v>545</v>
      </c>
      <c r="F904" s="567">
        <v>2000</v>
      </c>
      <c r="G904" s="545">
        <v>0.10309115209053761</v>
      </c>
      <c r="H904" s="545">
        <v>206.18230418107521</v>
      </c>
      <c r="I904" s="547" t="s">
        <v>9009</v>
      </c>
      <c r="J904" s="547" t="s">
        <v>9015</v>
      </c>
      <c r="K904" s="547" t="s">
        <v>8996</v>
      </c>
      <c r="L904" s="537" t="s">
        <v>541</v>
      </c>
    </row>
    <row r="905" spans="1:12" x14ac:dyDescent="0.2">
      <c r="A905" s="547" t="s">
        <v>220</v>
      </c>
      <c r="B905" s="547" t="s">
        <v>588</v>
      </c>
      <c r="C905" s="547" t="s">
        <v>1547</v>
      </c>
      <c r="D905" s="547" t="s">
        <v>1548</v>
      </c>
      <c r="E905" s="547" t="s">
        <v>545</v>
      </c>
      <c r="F905" s="567">
        <v>2000</v>
      </c>
      <c r="G905" s="545">
        <v>0.22</v>
      </c>
      <c r="H905" s="545">
        <v>440</v>
      </c>
      <c r="I905" s="547" t="s">
        <v>9009</v>
      </c>
      <c r="J905" s="547" t="s">
        <v>9015</v>
      </c>
      <c r="K905" s="547" t="s">
        <v>8996</v>
      </c>
      <c r="L905" s="537" t="s">
        <v>541</v>
      </c>
    </row>
    <row r="906" spans="1:12" x14ac:dyDescent="0.2">
      <c r="A906" s="547" t="s">
        <v>220</v>
      </c>
      <c r="B906" s="547" t="s">
        <v>588</v>
      </c>
      <c r="C906" s="547" t="s">
        <v>1549</v>
      </c>
      <c r="D906" s="547" t="s">
        <v>1550</v>
      </c>
      <c r="E906" s="547" t="s">
        <v>545</v>
      </c>
      <c r="F906" s="567">
        <v>1000</v>
      </c>
      <c r="G906" s="545">
        <v>0.22</v>
      </c>
      <c r="H906" s="545">
        <v>220</v>
      </c>
      <c r="I906" s="547" t="s">
        <v>9009</v>
      </c>
      <c r="J906" s="547" t="s">
        <v>9015</v>
      </c>
      <c r="K906" s="547" t="s">
        <v>8996</v>
      </c>
      <c r="L906" s="537" t="s">
        <v>541</v>
      </c>
    </row>
    <row r="907" spans="1:12" x14ac:dyDescent="0.2">
      <c r="A907" s="547" t="s">
        <v>220</v>
      </c>
      <c r="B907" s="547" t="s">
        <v>588</v>
      </c>
      <c r="C907" s="547" t="s">
        <v>1551</v>
      </c>
      <c r="D907" s="547" t="s">
        <v>1552</v>
      </c>
      <c r="E907" s="547" t="s">
        <v>545</v>
      </c>
      <c r="F907" s="567">
        <v>8000</v>
      </c>
      <c r="G907" s="545">
        <v>0.22</v>
      </c>
      <c r="H907" s="545">
        <v>1760</v>
      </c>
      <c r="I907" s="547" t="s">
        <v>9009</v>
      </c>
      <c r="J907" s="547" t="s">
        <v>9015</v>
      </c>
      <c r="K907" s="547" t="s">
        <v>8996</v>
      </c>
      <c r="L907" s="537" t="s">
        <v>541</v>
      </c>
    </row>
    <row r="908" spans="1:12" x14ac:dyDescent="0.2">
      <c r="A908" s="547" t="s">
        <v>220</v>
      </c>
      <c r="B908" s="547" t="s">
        <v>588</v>
      </c>
      <c r="C908" s="547" t="s">
        <v>1553</v>
      </c>
      <c r="D908" s="547" t="s">
        <v>1554</v>
      </c>
      <c r="E908" s="547" t="s">
        <v>545</v>
      </c>
      <c r="F908" s="567">
        <v>16600</v>
      </c>
      <c r="G908" s="545">
        <v>0.18981843787297309</v>
      </c>
      <c r="H908" s="545">
        <v>3150.9860686913535</v>
      </c>
      <c r="I908" s="547" t="s">
        <v>9009</v>
      </c>
      <c r="J908" s="547" t="s">
        <v>9015</v>
      </c>
      <c r="K908" s="547" t="s">
        <v>8996</v>
      </c>
      <c r="L908" s="537" t="s">
        <v>541</v>
      </c>
    </row>
    <row r="909" spans="1:12" x14ac:dyDescent="0.2">
      <c r="A909" s="547" t="s">
        <v>220</v>
      </c>
      <c r="B909" s="547" t="s">
        <v>588</v>
      </c>
      <c r="C909" s="547" t="s">
        <v>1555</v>
      </c>
      <c r="D909" s="547" t="s">
        <v>1556</v>
      </c>
      <c r="E909" s="547" t="s">
        <v>545</v>
      </c>
      <c r="F909" s="567">
        <v>1000</v>
      </c>
      <c r="G909" s="545">
        <v>4.632E-2</v>
      </c>
      <c r="H909" s="545">
        <v>46.32</v>
      </c>
      <c r="I909" s="547" t="s">
        <v>9009</v>
      </c>
      <c r="J909" s="547" t="s">
        <v>9015</v>
      </c>
      <c r="K909" s="547" t="s">
        <v>8996</v>
      </c>
      <c r="L909" s="537" t="s">
        <v>541</v>
      </c>
    </row>
    <row r="910" spans="1:12" x14ac:dyDescent="0.2">
      <c r="A910" s="547" t="s">
        <v>220</v>
      </c>
      <c r="B910" s="547" t="s">
        <v>588</v>
      </c>
      <c r="C910" s="547" t="s">
        <v>1557</v>
      </c>
      <c r="D910" s="547" t="s">
        <v>1558</v>
      </c>
      <c r="E910" s="547" t="s">
        <v>545</v>
      </c>
      <c r="F910" s="567">
        <v>3800</v>
      </c>
      <c r="G910" s="545">
        <v>0.04</v>
      </c>
      <c r="H910" s="545">
        <v>152</v>
      </c>
      <c r="I910" s="547" t="s">
        <v>9009</v>
      </c>
      <c r="J910" s="547" t="s">
        <v>9015</v>
      </c>
      <c r="K910" s="547" t="s">
        <v>8996</v>
      </c>
      <c r="L910" s="537" t="s">
        <v>541</v>
      </c>
    </row>
    <row r="911" spans="1:12" x14ac:dyDescent="0.2">
      <c r="A911" s="547" t="s">
        <v>220</v>
      </c>
      <c r="B911" s="547" t="s">
        <v>588</v>
      </c>
      <c r="C911" s="547" t="s">
        <v>1559</v>
      </c>
      <c r="D911" s="547" t="s">
        <v>1560</v>
      </c>
      <c r="E911" s="547" t="s">
        <v>545</v>
      </c>
      <c r="F911" s="567">
        <v>3500</v>
      </c>
      <c r="G911" s="545">
        <v>9.6970161290322585E-2</v>
      </c>
      <c r="H911" s="545">
        <v>339.39556451612907</v>
      </c>
      <c r="I911" s="547" t="s">
        <v>9009</v>
      </c>
      <c r="J911" s="547" t="s">
        <v>9015</v>
      </c>
      <c r="K911" s="547" t="s">
        <v>8996</v>
      </c>
      <c r="L911" s="537" t="s">
        <v>541</v>
      </c>
    </row>
    <row r="912" spans="1:12" x14ac:dyDescent="0.2">
      <c r="A912" s="547" t="s">
        <v>220</v>
      </c>
      <c r="B912" s="547" t="s">
        <v>588</v>
      </c>
      <c r="C912" s="547" t="s">
        <v>1561</v>
      </c>
      <c r="D912" s="547" t="s">
        <v>1562</v>
      </c>
      <c r="E912" s="547" t="s">
        <v>545</v>
      </c>
      <c r="F912" s="567">
        <v>6000</v>
      </c>
      <c r="G912" s="545">
        <v>0.04</v>
      </c>
      <c r="H912" s="545">
        <v>240</v>
      </c>
      <c r="I912" s="547" t="s">
        <v>9009</v>
      </c>
      <c r="J912" s="547" t="s">
        <v>9015</v>
      </c>
      <c r="K912" s="547" t="s">
        <v>8996</v>
      </c>
      <c r="L912" s="537" t="s">
        <v>541</v>
      </c>
    </row>
    <row r="913" spans="1:12" x14ac:dyDescent="0.2">
      <c r="A913" s="547" t="s">
        <v>220</v>
      </c>
      <c r="B913" s="547" t="s">
        <v>588</v>
      </c>
      <c r="C913" s="547" t="s">
        <v>1563</v>
      </c>
      <c r="D913" s="547" t="s">
        <v>1564</v>
      </c>
      <c r="E913" s="547" t="s">
        <v>545</v>
      </c>
      <c r="F913" s="567">
        <v>3000</v>
      </c>
      <c r="G913" s="545">
        <v>3.7999999999999999E-2</v>
      </c>
      <c r="H913" s="545">
        <v>114</v>
      </c>
      <c r="I913" s="547" t="s">
        <v>9009</v>
      </c>
      <c r="J913" s="547" t="s">
        <v>9015</v>
      </c>
      <c r="K913" s="547" t="s">
        <v>8996</v>
      </c>
      <c r="L913" s="537" t="s">
        <v>541</v>
      </c>
    </row>
    <row r="914" spans="1:12" x14ac:dyDescent="0.2">
      <c r="A914" s="547" t="s">
        <v>220</v>
      </c>
      <c r="B914" s="547" t="s">
        <v>588</v>
      </c>
      <c r="C914" s="547" t="s">
        <v>1565</v>
      </c>
      <c r="D914" s="547" t="s">
        <v>1566</v>
      </c>
      <c r="E914" s="547" t="s">
        <v>545</v>
      </c>
      <c r="F914" s="567">
        <v>2800</v>
      </c>
      <c r="G914" s="545">
        <v>0.04</v>
      </c>
      <c r="H914" s="545">
        <v>112</v>
      </c>
      <c r="I914" s="547" t="s">
        <v>9009</v>
      </c>
      <c r="J914" s="547" t="s">
        <v>9015</v>
      </c>
      <c r="K914" s="547" t="s">
        <v>8996</v>
      </c>
      <c r="L914" s="537" t="s">
        <v>541</v>
      </c>
    </row>
    <row r="915" spans="1:12" x14ac:dyDescent="0.2">
      <c r="A915" s="547" t="s">
        <v>220</v>
      </c>
      <c r="B915" s="547" t="s">
        <v>588</v>
      </c>
      <c r="C915" s="547" t="s">
        <v>1567</v>
      </c>
      <c r="D915" s="547" t="s">
        <v>1568</v>
      </c>
      <c r="E915" s="547" t="s">
        <v>545</v>
      </c>
      <c r="F915" s="567">
        <v>2000</v>
      </c>
      <c r="G915" s="545">
        <v>8.5849999999999996E-2</v>
      </c>
      <c r="H915" s="545">
        <v>171.7</v>
      </c>
      <c r="I915" s="547" t="s">
        <v>9009</v>
      </c>
      <c r="J915" s="547" t="s">
        <v>9015</v>
      </c>
      <c r="K915" s="547" t="s">
        <v>8996</v>
      </c>
      <c r="L915" s="537" t="s">
        <v>541</v>
      </c>
    </row>
    <row r="916" spans="1:12" x14ac:dyDescent="0.2">
      <c r="A916" s="547" t="s">
        <v>220</v>
      </c>
      <c r="B916" s="547" t="s">
        <v>588</v>
      </c>
      <c r="C916" s="547" t="s">
        <v>1569</v>
      </c>
      <c r="D916" s="547" t="s">
        <v>1570</v>
      </c>
      <c r="E916" s="547" t="s">
        <v>545</v>
      </c>
      <c r="F916" s="567">
        <v>3500</v>
      </c>
      <c r="G916" s="545">
        <v>4.632E-2</v>
      </c>
      <c r="H916" s="545">
        <v>162.12</v>
      </c>
      <c r="I916" s="547" t="s">
        <v>9009</v>
      </c>
      <c r="J916" s="547" t="s">
        <v>9015</v>
      </c>
      <c r="K916" s="547" t="s">
        <v>8996</v>
      </c>
      <c r="L916" s="537" t="s">
        <v>541</v>
      </c>
    </row>
    <row r="917" spans="1:12" x14ac:dyDescent="0.2">
      <c r="A917" s="547" t="s">
        <v>220</v>
      </c>
      <c r="B917" s="547" t="s">
        <v>588</v>
      </c>
      <c r="C917" s="547" t="s">
        <v>1571</v>
      </c>
      <c r="D917" s="547" t="s">
        <v>1572</v>
      </c>
      <c r="E917" s="547" t="s">
        <v>545</v>
      </c>
      <c r="F917" s="567">
        <v>1500</v>
      </c>
      <c r="G917" s="545">
        <v>0.1</v>
      </c>
      <c r="H917" s="545">
        <v>150</v>
      </c>
      <c r="I917" s="547" t="s">
        <v>9009</v>
      </c>
      <c r="J917" s="547" t="s">
        <v>9015</v>
      </c>
      <c r="K917" s="547" t="s">
        <v>8996</v>
      </c>
      <c r="L917" s="537" t="s">
        <v>541</v>
      </c>
    </row>
    <row r="918" spans="1:12" x14ac:dyDescent="0.2">
      <c r="A918" s="547" t="s">
        <v>220</v>
      </c>
      <c r="B918" s="547" t="s">
        <v>588</v>
      </c>
      <c r="C918" s="547" t="s">
        <v>1573</v>
      </c>
      <c r="D918" s="547" t="s">
        <v>1574</v>
      </c>
      <c r="E918" s="547" t="s">
        <v>545</v>
      </c>
      <c r="F918" s="567">
        <v>2000</v>
      </c>
      <c r="G918" s="545">
        <v>0.04</v>
      </c>
      <c r="H918" s="545">
        <v>80</v>
      </c>
      <c r="I918" s="547" t="s">
        <v>9009</v>
      </c>
      <c r="J918" s="547" t="s">
        <v>9015</v>
      </c>
      <c r="K918" s="547" t="s">
        <v>8996</v>
      </c>
      <c r="L918" s="537" t="s">
        <v>541</v>
      </c>
    </row>
    <row r="919" spans="1:12" x14ac:dyDescent="0.2">
      <c r="A919" s="547" t="s">
        <v>220</v>
      </c>
      <c r="B919" s="547" t="s">
        <v>588</v>
      </c>
      <c r="C919" s="547" t="s">
        <v>1575</v>
      </c>
      <c r="D919" s="547" t="s">
        <v>1576</v>
      </c>
      <c r="E919" s="547" t="s">
        <v>545</v>
      </c>
      <c r="F919" s="567">
        <v>2000</v>
      </c>
      <c r="G919" s="545">
        <v>0.04</v>
      </c>
      <c r="H919" s="545">
        <v>80</v>
      </c>
      <c r="I919" s="547" t="s">
        <v>9009</v>
      </c>
      <c r="J919" s="547" t="s">
        <v>9015</v>
      </c>
      <c r="K919" s="547" t="s">
        <v>8996</v>
      </c>
      <c r="L919" s="537" t="s">
        <v>541</v>
      </c>
    </row>
    <row r="920" spans="1:12" x14ac:dyDescent="0.2">
      <c r="A920" s="547" t="s">
        <v>220</v>
      </c>
      <c r="B920" s="547" t="s">
        <v>588</v>
      </c>
      <c r="C920" s="547" t="s">
        <v>1577</v>
      </c>
      <c r="D920" s="547" t="s">
        <v>1578</v>
      </c>
      <c r="E920" s="547" t="s">
        <v>545</v>
      </c>
      <c r="F920" s="567">
        <v>475</v>
      </c>
      <c r="G920" s="545">
        <v>0.02</v>
      </c>
      <c r="H920" s="545">
        <v>9.5</v>
      </c>
      <c r="I920" s="547" t="s">
        <v>9009</v>
      </c>
      <c r="J920" s="547" t="s">
        <v>9015</v>
      </c>
      <c r="K920" s="547" t="s">
        <v>8996</v>
      </c>
      <c r="L920" s="537" t="s">
        <v>541</v>
      </c>
    </row>
    <row r="921" spans="1:12" x14ac:dyDescent="0.2">
      <c r="A921" s="547" t="s">
        <v>220</v>
      </c>
      <c r="B921" s="547" t="s">
        <v>588</v>
      </c>
      <c r="C921" s="547" t="s">
        <v>1579</v>
      </c>
      <c r="D921" s="547" t="s">
        <v>1580</v>
      </c>
      <c r="E921" s="547" t="s">
        <v>545</v>
      </c>
      <c r="F921" s="567">
        <v>700</v>
      </c>
      <c r="G921" s="545">
        <v>0.02</v>
      </c>
      <c r="H921" s="545">
        <v>14</v>
      </c>
      <c r="I921" s="547" t="s">
        <v>9009</v>
      </c>
      <c r="J921" s="547" t="s">
        <v>9015</v>
      </c>
      <c r="K921" s="547" t="s">
        <v>8996</v>
      </c>
      <c r="L921" s="537" t="s">
        <v>541</v>
      </c>
    </row>
    <row r="922" spans="1:12" x14ac:dyDescent="0.2">
      <c r="A922" s="547" t="s">
        <v>220</v>
      </c>
      <c r="B922" s="547" t="s">
        <v>588</v>
      </c>
      <c r="C922" s="547" t="s">
        <v>1581</v>
      </c>
      <c r="D922" s="547" t="s">
        <v>1582</v>
      </c>
      <c r="E922" s="547" t="s">
        <v>545</v>
      </c>
      <c r="F922" s="567">
        <v>1500</v>
      </c>
      <c r="G922" s="545">
        <v>0.1</v>
      </c>
      <c r="H922" s="545">
        <v>150</v>
      </c>
      <c r="I922" s="547" t="s">
        <v>9009</v>
      </c>
      <c r="J922" s="547" t="s">
        <v>9015</v>
      </c>
      <c r="K922" s="547" t="s">
        <v>8996</v>
      </c>
      <c r="L922" s="537" t="s">
        <v>541</v>
      </c>
    </row>
    <row r="923" spans="1:12" x14ac:dyDescent="0.2">
      <c r="A923" s="547" t="s">
        <v>220</v>
      </c>
      <c r="B923" s="547" t="s">
        <v>588</v>
      </c>
      <c r="C923" s="547" t="s">
        <v>1583</v>
      </c>
      <c r="D923" s="547" t="s">
        <v>1584</v>
      </c>
      <c r="E923" s="547" t="s">
        <v>545</v>
      </c>
      <c r="F923" s="567">
        <v>800</v>
      </c>
      <c r="G923" s="545">
        <v>0.5</v>
      </c>
      <c r="H923" s="545">
        <v>400</v>
      </c>
      <c r="I923" s="547" t="s">
        <v>9009</v>
      </c>
      <c r="J923" s="547" t="s">
        <v>9015</v>
      </c>
      <c r="K923" s="547" t="s">
        <v>8996</v>
      </c>
      <c r="L923" s="537" t="s">
        <v>541</v>
      </c>
    </row>
    <row r="924" spans="1:12" x14ac:dyDescent="0.2">
      <c r="A924" s="547" t="s">
        <v>220</v>
      </c>
      <c r="B924" s="547" t="s">
        <v>588</v>
      </c>
      <c r="C924" s="547" t="s">
        <v>1585</v>
      </c>
      <c r="D924" s="547" t="s">
        <v>1586</v>
      </c>
      <c r="E924" s="547" t="s">
        <v>545</v>
      </c>
      <c r="F924" s="567">
        <v>500</v>
      </c>
      <c r="G924" s="545">
        <v>7.3804819277108427E-2</v>
      </c>
      <c r="H924" s="545">
        <v>36.902409638554211</v>
      </c>
      <c r="I924" s="547" t="s">
        <v>9009</v>
      </c>
      <c r="J924" s="547" t="s">
        <v>9015</v>
      </c>
      <c r="K924" s="547" t="s">
        <v>8996</v>
      </c>
      <c r="L924" s="537" t="s">
        <v>541</v>
      </c>
    </row>
    <row r="925" spans="1:12" x14ac:dyDescent="0.2">
      <c r="A925" s="547" t="s">
        <v>220</v>
      </c>
      <c r="B925" s="547" t="s">
        <v>588</v>
      </c>
      <c r="C925" s="547" t="s">
        <v>1587</v>
      </c>
      <c r="D925" s="547" t="s">
        <v>1588</v>
      </c>
      <c r="E925" s="547" t="s">
        <v>545</v>
      </c>
      <c r="F925" s="567">
        <v>2000</v>
      </c>
      <c r="G925" s="545">
        <v>0.19261557329462989</v>
      </c>
      <c r="H925" s="545">
        <v>385.23114658925977</v>
      </c>
      <c r="I925" s="547" t="s">
        <v>9009</v>
      </c>
      <c r="J925" s="547" t="s">
        <v>9015</v>
      </c>
      <c r="K925" s="547" t="s">
        <v>8996</v>
      </c>
      <c r="L925" s="537" t="s">
        <v>541</v>
      </c>
    </row>
    <row r="926" spans="1:12" x14ac:dyDescent="0.2">
      <c r="A926" s="547" t="s">
        <v>220</v>
      </c>
      <c r="B926" s="547" t="s">
        <v>588</v>
      </c>
      <c r="C926" s="547" t="s">
        <v>1589</v>
      </c>
      <c r="D926" s="547" t="s">
        <v>1590</v>
      </c>
      <c r="E926" s="547" t="s">
        <v>545</v>
      </c>
      <c r="F926" s="567">
        <v>3700</v>
      </c>
      <c r="G926" s="545">
        <v>0.16409220779220779</v>
      </c>
      <c r="H926" s="545">
        <v>607.14116883116878</v>
      </c>
      <c r="I926" s="547" t="s">
        <v>9009</v>
      </c>
      <c r="J926" s="547" t="s">
        <v>9015</v>
      </c>
      <c r="K926" s="547" t="s">
        <v>8996</v>
      </c>
      <c r="L926" s="537" t="s">
        <v>541</v>
      </c>
    </row>
    <row r="927" spans="1:12" x14ac:dyDescent="0.2">
      <c r="A927" s="547" t="s">
        <v>220</v>
      </c>
      <c r="B927" s="547" t="s">
        <v>588</v>
      </c>
      <c r="C927" s="547" t="s">
        <v>1591</v>
      </c>
      <c r="D927" s="547" t="s">
        <v>1592</v>
      </c>
      <c r="E927" s="547" t="s">
        <v>545</v>
      </c>
      <c r="F927" s="567">
        <v>2500</v>
      </c>
      <c r="G927" s="545">
        <v>6.239999999999999E-2</v>
      </c>
      <c r="H927" s="545">
        <v>155.99999999999997</v>
      </c>
      <c r="I927" s="547" t="s">
        <v>9009</v>
      </c>
      <c r="J927" s="547" t="s">
        <v>9015</v>
      </c>
      <c r="K927" s="547" t="s">
        <v>8996</v>
      </c>
      <c r="L927" s="537" t="s">
        <v>541</v>
      </c>
    </row>
    <row r="928" spans="1:12" x14ac:dyDescent="0.2">
      <c r="A928" s="547" t="s">
        <v>220</v>
      </c>
      <c r="B928" s="547" t="s">
        <v>588</v>
      </c>
      <c r="C928" s="547" t="s">
        <v>1593</v>
      </c>
      <c r="D928" s="547" t="s">
        <v>1594</v>
      </c>
      <c r="E928" s="547" t="s">
        <v>545</v>
      </c>
      <c r="F928" s="567">
        <v>7700</v>
      </c>
      <c r="G928" s="545">
        <v>0.14368813320825516</v>
      </c>
      <c r="H928" s="545">
        <v>1106.3986257035647</v>
      </c>
      <c r="I928" s="547" t="s">
        <v>9009</v>
      </c>
      <c r="J928" s="547" t="s">
        <v>9015</v>
      </c>
      <c r="K928" s="547" t="s">
        <v>8996</v>
      </c>
      <c r="L928" s="537" t="s">
        <v>541</v>
      </c>
    </row>
    <row r="929" spans="1:12" x14ac:dyDescent="0.2">
      <c r="A929" s="547" t="s">
        <v>220</v>
      </c>
      <c r="B929" s="547" t="s">
        <v>588</v>
      </c>
      <c r="C929" s="547" t="s">
        <v>1595</v>
      </c>
      <c r="D929" s="547" t="s">
        <v>1596</v>
      </c>
      <c r="E929" s="547" t="s">
        <v>545</v>
      </c>
      <c r="F929" s="567">
        <v>2000</v>
      </c>
      <c r="G929" s="545">
        <v>0.18179999999999999</v>
      </c>
      <c r="H929" s="545">
        <v>363.59999999999997</v>
      </c>
      <c r="I929" s="547" t="s">
        <v>9009</v>
      </c>
      <c r="J929" s="547" t="s">
        <v>9015</v>
      </c>
      <c r="K929" s="547" t="s">
        <v>8996</v>
      </c>
      <c r="L929" s="537" t="s">
        <v>541</v>
      </c>
    </row>
    <row r="930" spans="1:12" x14ac:dyDescent="0.2">
      <c r="A930" s="547" t="s">
        <v>220</v>
      </c>
      <c r="B930" s="547" t="s">
        <v>588</v>
      </c>
      <c r="C930" s="547" t="s">
        <v>1597</v>
      </c>
      <c r="D930" s="547" t="s">
        <v>1598</v>
      </c>
      <c r="E930" s="547" t="s">
        <v>545</v>
      </c>
      <c r="F930" s="567">
        <v>2000</v>
      </c>
      <c r="G930" s="545">
        <v>7.648421052631578E-2</v>
      </c>
      <c r="H930" s="545">
        <v>152.96842105263156</v>
      </c>
      <c r="I930" s="547" t="s">
        <v>9009</v>
      </c>
      <c r="J930" s="547" t="s">
        <v>9015</v>
      </c>
      <c r="K930" s="547" t="s">
        <v>8996</v>
      </c>
      <c r="L930" s="537" t="s">
        <v>541</v>
      </c>
    </row>
    <row r="931" spans="1:12" x14ac:dyDescent="0.2">
      <c r="A931" s="547" t="s">
        <v>220</v>
      </c>
      <c r="B931" s="547" t="s">
        <v>588</v>
      </c>
      <c r="C931" s="547" t="s">
        <v>1599</v>
      </c>
      <c r="D931" s="547" t="s">
        <v>1600</v>
      </c>
      <c r="E931" s="547" t="s">
        <v>545</v>
      </c>
      <c r="F931" s="567">
        <v>1000</v>
      </c>
      <c r="G931" s="545">
        <v>3.6799999999999999E-2</v>
      </c>
      <c r="H931" s="545">
        <v>36.799999999999997</v>
      </c>
      <c r="I931" s="547" t="s">
        <v>9009</v>
      </c>
      <c r="J931" s="547" t="s">
        <v>9015</v>
      </c>
      <c r="K931" s="547" t="s">
        <v>8996</v>
      </c>
      <c r="L931" s="537" t="s">
        <v>541</v>
      </c>
    </row>
    <row r="932" spans="1:12" x14ac:dyDescent="0.2">
      <c r="A932" s="547" t="s">
        <v>220</v>
      </c>
      <c r="B932" s="547" t="s">
        <v>588</v>
      </c>
      <c r="C932" s="547" t="s">
        <v>1601</v>
      </c>
      <c r="D932" s="547" t="s">
        <v>1602</v>
      </c>
      <c r="E932" s="547" t="s">
        <v>545</v>
      </c>
      <c r="F932" s="567">
        <v>2500</v>
      </c>
      <c r="G932" s="545">
        <v>0.24112265193370169</v>
      </c>
      <c r="H932" s="545">
        <v>602.80662983425418</v>
      </c>
      <c r="I932" s="547" t="s">
        <v>9009</v>
      </c>
      <c r="J932" s="547" t="s">
        <v>9015</v>
      </c>
      <c r="K932" s="547" t="s">
        <v>8996</v>
      </c>
      <c r="L932" s="537" t="s">
        <v>541</v>
      </c>
    </row>
    <row r="933" spans="1:12" x14ac:dyDescent="0.2">
      <c r="A933" s="547" t="s">
        <v>220</v>
      </c>
      <c r="B933" s="547" t="s">
        <v>588</v>
      </c>
      <c r="C933" s="547" t="s">
        <v>1603</v>
      </c>
      <c r="D933" s="547" t="s">
        <v>1604</v>
      </c>
      <c r="E933" s="547" t="s">
        <v>545</v>
      </c>
      <c r="F933" s="567">
        <v>1500</v>
      </c>
      <c r="G933" s="545">
        <v>0.217</v>
      </c>
      <c r="H933" s="545">
        <v>325.5</v>
      </c>
      <c r="I933" s="547" t="s">
        <v>9009</v>
      </c>
      <c r="J933" s="547" t="s">
        <v>9015</v>
      </c>
      <c r="K933" s="547" t="s">
        <v>8996</v>
      </c>
      <c r="L933" s="537" t="s">
        <v>541</v>
      </c>
    </row>
    <row r="934" spans="1:12" x14ac:dyDescent="0.2">
      <c r="A934" s="547" t="s">
        <v>220</v>
      </c>
      <c r="B934" s="547" t="s">
        <v>588</v>
      </c>
      <c r="C934" s="547" t="s">
        <v>1605</v>
      </c>
      <c r="D934" s="547" t="s">
        <v>1606</v>
      </c>
      <c r="E934" s="547" t="s">
        <v>545</v>
      </c>
      <c r="F934" s="567">
        <v>3700</v>
      </c>
      <c r="G934" s="545">
        <v>0.24612894736842103</v>
      </c>
      <c r="H934" s="545">
        <v>910.67710526315784</v>
      </c>
      <c r="I934" s="547" t="s">
        <v>9009</v>
      </c>
      <c r="J934" s="547" t="s">
        <v>9015</v>
      </c>
      <c r="K934" s="547" t="s">
        <v>8996</v>
      </c>
      <c r="L934" s="537" t="s">
        <v>541</v>
      </c>
    </row>
    <row r="935" spans="1:12" x14ac:dyDescent="0.2">
      <c r="A935" s="547" t="s">
        <v>220</v>
      </c>
      <c r="B935" s="547" t="s">
        <v>588</v>
      </c>
      <c r="C935" s="547" t="s">
        <v>1607</v>
      </c>
      <c r="D935" s="547" t="s">
        <v>1608</v>
      </c>
      <c r="E935" s="547" t="s">
        <v>545</v>
      </c>
      <c r="F935" s="567">
        <v>500</v>
      </c>
      <c r="G935" s="545">
        <v>0.221</v>
      </c>
      <c r="H935" s="545">
        <v>110.5</v>
      </c>
      <c r="I935" s="547" t="s">
        <v>9009</v>
      </c>
      <c r="J935" s="547" t="s">
        <v>9015</v>
      </c>
      <c r="K935" s="547" t="s">
        <v>8996</v>
      </c>
      <c r="L935" s="537" t="s">
        <v>541</v>
      </c>
    </row>
    <row r="936" spans="1:12" x14ac:dyDescent="0.2">
      <c r="A936" s="547" t="s">
        <v>220</v>
      </c>
      <c r="B936" s="547" t="s">
        <v>588</v>
      </c>
      <c r="C936" s="547" t="s">
        <v>1609</v>
      </c>
      <c r="D936" s="547" t="s">
        <v>1610</v>
      </c>
      <c r="E936" s="547" t="s">
        <v>545</v>
      </c>
      <c r="F936" s="567">
        <v>3000</v>
      </c>
      <c r="G936" s="545">
        <v>0.15185128205128204</v>
      </c>
      <c r="H936" s="545">
        <v>455.55384615384611</v>
      </c>
      <c r="I936" s="547" t="s">
        <v>9009</v>
      </c>
      <c r="J936" s="547" t="s">
        <v>9015</v>
      </c>
      <c r="K936" s="547" t="s">
        <v>8996</v>
      </c>
      <c r="L936" s="537" t="s">
        <v>541</v>
      </c>
    </row>
    <row r="937" spans="1:12" x14ac:dyDescent="0.2">
      <c r="A937" s="547" t="s">
        <v>220</v>
      </c>
      <c r="B937" s="547" t="s">
        <v>588</v>
      </c>
      <c r="C937" s="547" t="s">
        <v>1611</v>
      </c>
      <c r="D937" s="547" t="s">
        <v>1612</v>
      </c>
      <c r="E937" s="547" t="s">
        <v>545</v>
      </c>
      <c r="F937" s="567">
        <v>1000</v>
      </c>
      <c r="G937" s="545">
        <v>0.5</v>
      </c>
      <c r="H937" s="545">
        <v>500</v>
      </c>
      <c r="I937" s="547" t="s">
        <v>9009</v>
      </c>
      <c r="J937" s="547" t="s">
        <v>9015</v>
      </c>
      <c r="K937" s="547" t="s">
        <v>8996</v>
      </c>
      <c r="L937" s="537" t="s">
        <v>541</v>
      </c>
    </row>
    <row r="938" spans="1:12" x14ac:dyDescent="0.2">
      <c r="A938" s="547" t="s">
        <v>220</v>
      </c>
      <c r="B938" s="547" t="s">
        <v>588</v>
      </c>
      <c r="C938" s="547" t="s">
        <v>1613</v>
      </c>
      <c r="D938" s="547" t="s">
        <v>1614</v>
      </c>
      <c r="E938" s="547" t="s">
        <v>545</v>
      </c>
      <c r="F938" s="567">
        <v>5200</v>
      </c>
      <c r="G938" s="545">
        <v>0.15802043257091608</v>
      </c>
      <c r="H938" s="545">
        <v>821.70624936876357</v>
      </c>
      <c r="I938" s="547" t="s">
        <v>9009</v>
      </c>
      <c r="J938" s="547" t="s">
        <v>9015</v>
      </c>
      <c r="K938" s="547" t="s">
        <v>8996</v>
      </c>
      <c r="L938" s="537" t="s">
        <v>541</v>
      </c>
    </row>
    <row r="939" spans="1:12" x14ac:dyDescent="0.2">
      <c r="A939" s="547" t="s">
        <v>220</v>
      </c>
      <c r="B939" s="547" t="s">
        <v>588</v>
      </c>
      <c r="C939" s="547" t="s">
        <v>1615</v>
      </c>
      <c r="D939" s="547" t="s">
        <v>1616</v>
      </c>
      <c r="E939" s="547" t="s">
        <v>545</v>
      </c>
      <c r="F939" s="567">
        <v>9600</v>
      </c>
      <c r="G939" s="545">
        <v>0.159</v>
      </c>
      <c r="H939" s="545">
        <v>1526.4</v>
      </c>
      <c r="I939" s="547" t="s">
        <v>9009</v>
      </c>
      <c r="J939" s="547" t="s">
        <v>9015</v>
      </c>
      <c r="K939" s="547" t="s">
        <v>8996</v>
      </c>
      <c r="L939" s="537" t="s">
        <v>541</v>
      </c>
    </row>
    <row r="940" spans="1:12" x14ac:dyDescent="0.2">
      <c r="A940" s="547" t="s">
        <v>220</v>
      </c>
      <c r="B940" s="547" t="s">
        <v>588</v>
      </c>
      <c r="C940" s="547" t="s">
        <v>1617</v>
      </c>
      <c r="D940" s="547" t="s">
        <v>1618</v>
      </c>
      <c r="E940" s="547" t="s">
        <v>545</v>
      </c>
      <c r="F940" s="567">
        <v>2700</v>
      </c>
      <c r="G940" s="545">
        <v>0.18179999999999999</v>
      </c>
      <c r="H940" s="545">
        <v>490.85999999999996</v>
      </c>
      <c r="I940" s="547" t="s">
        <v>9009</v>
      </c>
      <c r="J940" s="547" t="s">
        <v>9015</v>
      </c>
      <c r="K940" s="547" t="s">
        <v>8996</v>
      </c>
      <c r="L940" s="537" t="s">
        <v>541</v>
      </c>
    </row>
    <row r="941" spans="1:12" x14ac:dyDescent="0.2">
      <c r="A941" s="547" t="s">
        <v>220</v>
      </c>
      <c r="B941" s="547" t="s">
        <v>588</v>
      </c>
      <c r="C941" s="547" t="s">
        <v>1619</v>
      </c>
      <c r="D941" s="547" t="s">
        <v>1620</v>
      </c>
      <c r="E941" s="547" t="s">
        <v>545</v>
      </c>
      <c r="F941" s="567">
        <v>7000</v>
      </c>
      <c r="G941" s="545">
        <v>6.565E-2</v>
      </c>
      <c r="H941" s="545">
        <v>459.55</v>
      </c>
      <c r="I941" s="547" t="s">
        <v>9009</v>
      </c>
      <c r="J941" s="547" t="s">
        <v>9015</v>
      </c>
      <c r="K941" s="547" t="s">
        <v>8996</v>
      </c>
      <c r="L941" s="537" t="s">
        <v>541</v>
      </c>
    </row>
    <row r="942" spans="1:12" x14ac:dyDescent="0.2">
      <c r="A942" s="547" t="s">
        <v>220</v>
      </c>
      <c r="B942" s="547" t="s">
        <v>588</v>
      </c>
      <c r="C942" s="547" t="s">
        <v>1621</v>
      </c>
      <c r="D942" s="547" t="s">
        <v>1622</v>
      </c>
      <c r="E942" s="547" t="s">
        <v>545</v>
      </c>
      <c r="F942" s="567">
        <v>1000</v>
      </c>
      <c r="G942" s="545">
        <v>0.2224008620689655</v>
      </c>
      <c r="H942" s="545">
        <v>222.40086206896549</v>
      </c>
      <c r="I942" s="547" t="s">
        <v>9009</v>
      </c>
      <c r="J942" s="547" t="s">
        <v>9015</v>
      </c>
      <c r="K942" s="547" t="s">
        <v>8996</v>
      </c>
      <c r="L942" s="537" t="s">
        <v>541</v>
      </c>
    </row>
    <row r="943" spans="1:12" x14ac:dyDescent="0.2">
      <c r="A943" s="547" t="s">
        <v>220</v>
      </c>
      <c r="B943" s="547" t="s">
        <v>588</v>
      </c>
      <c r="C943" s="547" t="s">
        <v>1623</v>
      </c>
      <c r="D943" s="547" t="s">
        <v>1624</v>
      </c>
      <c r="E943" s="547" t="s">
        <v>545</v>
      </c>
      <c r="F943" s="567">
        <v>1000</v>
      </c>
      <c r="G943" s="545">
        <v>0.221</v>
      </c>
      <c r="H943" s="545">
        <v>221</v>
      </c>
      <c r="I943" s="547" t="s">
        <v>9009</v>
      </c>
      <c r="J943" s="547" t="s">
        <v>9015</v>
      </c>
      <c r="K943" s="547" t="s">
        <v>8996</v>
      </c>
      <c r="L943" s="537" t="s">
        <v>541</v>
      </c>
    </row>
    <row r="944" spans="1:12" x14ac:dyDescent="0.2">
      <c r="A944" s="547" t="s">
        <v>220</v>
      </c>
      <c r="B944" s="547" t="s">
        <v>588</v>
      </c>
      <c r="C944" s="547" t="s">
        <v>1625</v>
      </c>
      <c r="D944" s="547" t="s">
        <v>1626</v>
      </c>
      <c r="E944" s="547" t="s">
        <v>545</v>
      </c>
      <c r="F944" s="567">
        <v>2100</v>
      </c>
      <c r="G944" s="545">
        <v>0.22500000000000001</v>
      </c>
      <c r="H944" s="545">
        <v>472.5</v>
      </c>
      <c r="I944" s="547" t="s">
        <v>9009</v>
      </c>
      <c r="J944" s="547" t="s">
        <v>9015</v>
      </c>
      <c r="K944" s="547" t="s">
        <v>8996</v>
      </c>
      <c r="L944" s="537" t="s">
        <v>541</v>
      </c>
    </row>
    <row r="945" spans="1:12" x14ac:dyDescent="0.2">
      <c r="A945" s="547" t="s">
        <v>220</v>
      </c>
      <c r="B945" s="547" t="s">
        <v>588</v>
      </c>
      <c r="C945" s="547" t="s">
        <v>1627</v>
      </c>
      <c r="D945" s="547" t="s">
        <v>1628</v>
      </c>
      <c r="E945" s="547" t="s">
        <v>545</v>
      </c>
      <c r="F945" s="567">
        <v>3500</v>
      </c>
      <c r="G945" s="545">
        <v>0.24947</v>
      </c>
      <c r="H945" s="545">
        <v>873.14499999999998</v>
      </c>
      <c r="I945" s="547" t="s">
        <v>9009</v>
      </c>
      <c r="J945" s="547" t="s">
        <v>9015</v>
      </c>
      <c r="K945" s="547" t="s">
        <v>8996</v>
      </c>
      <c r="L945" s="537" t="s">
        <v>541</v>
      </c>
    </row>
    <row r="946" spans="1:12" x14ac:dyDescent="0.2">
      <c r="A946" s="547" t="s">
        <v>220</v>
      </c>
      <c r="B946" s="547" t="s">
        <v>588</v>
      </c>
      <c r="C946" s="547" t="s">
        <v>1629</v>
      </c>
      <c r="D946" s="547" t="s">
        <v>1630</v>
      </c>
      <c r="E946" s="547" t="s">
        <v>545</v>
      </c>
      <c r="F946" s="567">
        <v>500</v>
      </c>
      <c r="G946" s="545">
        <v>5.8000000000000003E-2</v>
      </c>
      <c r="H946" s="545">
        <v>29</v>
      </c>
      <c r="I946" s="547" t="s">
        <v>9009</v>
      </c>
      <c r="J946" s="547" t="s">
        <v>9015</v>
      </c>
      <c r="K946" s="547" t="s">
        <v>8996</v>
      </c>
      <c r="L946" s="537" t="s">
        <v>541</v>
      </c>
    </row>
    <row r="947" spans="1:12" x14ac:dyDescent="0.2">
      <c r="A947" s="547" t="s">
        <v>220</v>
      </c>
      <c r="B947" s="547" t="s">
        <v>588</v>
      </c>
      <c r="C947" s="547" t="s">
        <v>1631</v>
      </c>
      <c r="D947" s="547" t="s">
        <v>1632</v>
      </c>
      <c r="E947" s="547" t="s">
        <v>545</v>
      </c>
      <c r="F947" s="567">
        <v>2200</v>
      </c>
      <c r="G947" s="545">
        <v>9.6559444444444448E-2</v>
      </c>
      <c r="H947" s="545">
        <v>212.43077777777779</v>
      </c>
      <c r="I947" s="547" t="s">
        <v>9009</v>
      </c>
      <c r="J947" s="547" t="s">
        <v>9015</v>
      </c>
      <c r="K947" s="547" t="s">
        <v>8996</v>
      </c>
      <c r="L947" s="537" t="s">
        <v>541</v>
      </c>
    </row>
    <row r="948" spans="1:12" x14ac:dyDescent="0.2">
      <c r="A948" s="547" t="s">
        <v>220</v>
      </c>
      <c r="B948" s="547" t="s">
        <v>588</v>
      </c>
      <c r="C948" s="547" t="s">
        <v>1633</v>
      </c>
      <c r="D948" s="547" t="s">
        <v>1634</v>
      </c>
      <c r="E948" s="547" t="s">
        <v>545</v>
      </c>
      <c r="F948" s="567">
        <v>2000</v>
      </c>
      <c r="G948" s="545">
        <v>0.18596489361702126</v>
      </c>
      <c r="H948" s="545">
        <v>371.92978723404252</v>
      </c>
      <c r="I948" s="547" t="s">
        <v>9009</v>
      </c>
      <c r="J948" s="547" t="s">
        <v>9015</v>
      </c>
      <c r="K948" s="547" t="s">
        <v>8996</v>
      </c>
      <c r="L948" s="537" t="s">
        <v>541</v>
      </c>
    </row>
    <row r="949" spans="1:12" x14ac:dyDescent="0.2">
      <c r="A949" s="547" t="s">
        <v>220</v>
      </c>
      <c r="B949" s="547" t="s">
        <v>588</v>
      </c>
      <c r="C949" s="547" t="s">
        <v>1635</v>
      </c>
      <c r="D949" s="547" t="s">
        <v>1636</v>
      </c>
      <c r="E949" s="547" t="s">
        <v>545</v>
      </c>
      <c r="F949" s="567">
        <v>2000</v>
      </c>
      <c r="G949" s="545">
        <v>0.22049999999999997</v>
      </c>
      <c r="H949" s="545">
        <v>440.99999999999994</v>
      </c>
      <c r="I949" s="547" t="s">
        <v>9009</v>
      </c>
      <c r="J949" s="547" t="s">
        <v>9015</v>
      </c>
      <c r="K949" s="547" t="s">
        <v>8996</v>
      </c>
      <c r="L949" s="537" t="s">
        <v>541</v>
      </c>
    </row>
    <row r="950" spans="1:12" x14ac:dyDescent="0.2">
      <c r="A950" s="547" t="s">
        <v>220</v>
      </c>
      <c r="B950" s="547" t="s">
        <v>588</v>
      </c>
      <c r="C950" s="547" t="s">
        <v>1637</v>
      </c>
      <c r="D950" s="547" t="s">
        <v>1638</v>
      </c>
      <c r="E950" s="547" t="s">
        <v>545</v>
      </c>
      <c r="F950" s="567">
        <v>3500</v>
      </c>
      <c r="G950" s="545">
        <v>0.21712999999999993</v>
      </c>
      <c r="H950" s="545">
        <v>759.95499999999981</v>
      </c>
      <c r="I950" s="547" t="s">
        <v>9009</v>
      </c>
      <c r="J950" s="547" t="s">
        <v>9015</v>
      </c>
      <c r="K950" s="547" t="s">
        <v>8996</v>
      </c>
      <c r="L950" s="537" t="s">
        <v>541</v>
      </c>
    </row>
    <row r="951" spans="1:12" x14ac:dyDescent="0.2">
      <c r="A951" s="547" t="s">
        <v>220</v>
      </c>
      <c r="B951" s="547" t="s">
        <v>588</v>
      </c>
      <c r="C951" s="547" t="s">
        <v>1639</v>
      </c>
      <c r="D951" s="547" t="s">
        <v>1640</v>
      </c>
      <c r="E951" s="547" t="s">
        <v>545</v>
      </c>
      <c r="F951" s="567">
        <v>2000</v>
      </c>
      <c r="G951" s="545">
        <v>0.10500000000000001</v>
      </c>
      <c r="H951" s="545">
        <v>210.00000000000003</v>
      </c>
      <c r="I951" s="547" t="s">
        <v>9009</v>
      </c>
      <c r="J951" s="547" t="s">
        <v>9015</v>
      </c>
      <c r="K951" s="547" t="s">
        <v>8996</v>
      </c>
      <c r="L951" s="537" t="s">
        <v>541</v>
      </c>
    </row>
    <row r="952" spans="1:12" x14ac:dyDescent="0.2">
      <c r="A952" s="547" t="s">
        <v>220</v>
      </c>
      <c r="B952" s="547" t="s">
        <v>588</v>
      </c>
      <c r="C952" s="547" t="s">
        <v>1641</v>
      </c>
      <c r="D952" s="547" t="s">
        <v>1642</v>
      </c>
      <c r="E952" s="547" t="s">
        <v>545</v>
      </c>
      <c r="F952" s="567">
        <v>2500</v>
      </c>
      <c r="G952" s="545">
        <v>0.21358551020408162</v>
      </c>
      <c r="H952" s="545">
        <v>533.96377551020407</v>
      </c>
      <c r="I952" s="547" t="s">
        <v>9009</v>
      </c>
      <c r="J952" s="547" t="s">
        <v>9015</v>
      </c>
      <c r="K952" s="547" t="s">
        <v>8996</v>
      </c>
      <c r="L952" s="537" t="s">
        <v>541</v>
      </c>
    </row>
    <row r="953" spans="1:12" x14ac:dyDescent="0.2">
      <c r="A953" s="547" t="s">
        <v>220</v>
      </c>
      <c r="B953" s="547" t="s">
        <v>588</v>
      </c>
      <c r="C953" s="547" t="s">
        <v>1643</v>
      </c>
      <c r="D953" s="547" t="s">
        <v>1644</v>
      </c>
      <c r="E953" s="547" t="s">
        <v>545</v>
      </c>
      <c r="F953" s="567">
        <v>2000</v>
      </c>
      <c r="G953" s="545">
        <v>0.155</v>
      </c>
      <c r="H953" s="545">
        <v>310</v>
      </c>
      <c r="I953" s="547" t="s">
        <v>9009</v>
      </c>
      <c r="J953" s="547" t="s">
        <v>9015</v>
      </c>
      <c r="K953" s="547" t="s">
        <v>8996</v>
      </c>
      <c r="L953" s="537" t="s">
        <v>541</v>
      </c>
    </row>
    <row r="954" spans="1:12" x14ac:dyDescent="0.2">
      <c r="A954" s="547" t="s">
        <v>220</v>
      </c>
      <c r="B954" s="547" t="s">
        <v>588</v>
      </c>
      <c r="C954" s="547" t="s">
        <v>1645</v>
      </c>
      <c r="D954" s="547" t="s">
        <v>1646</v>
      </c>
      <c r="E954" s="547" t="s">
        <v>545</v>
      </c>
      <c r="F954" s="567">
        <v>500</v>
      </c>
      <c r="G954" s="545">
        <v>6.720000000000001E-2</v>
      </c>
      <c r="H954" s="545">
        <v>33.6</v>
      </c>
      <c r="I954" s="547" t="s">
        <v>9009</v>
      </c>
      <c r="J954" s="547" t="s">
        <v>9015</v>
      </c>
      <c r="K954" s="547" t="s">
        <v>8996</v>
      </c>
      <c r="L954" s="537" t="s">
        <v>541</v>
      </c>
    </row>
    <row r="955" spans="1:12" x14ac:dyDescent="0.2">
      <c r="A955" s="547" t="s">
        <v>220</v>
      </c>
      <c r="B955" s="547" t="s">
        <v>588</v>
      </c>
      <c r="C955" s="547" t="s">
        <v>1647</v>
      </c>
      <c r="D955" s="547" t="s">
        <v>1648</v>
      </c>
      <c r="E955" s="547" t="s">
        <v>545</v>
      </c>
      <c r="F955" s="567">
        <v>3000</v>
      </c>
      <c r="G955" s="545">
        <v>3.0720000000000004E-2</v>
      </c>
      <c r="H955" s="545">
        <v>92.160000000000011</v>
      </c>
      <c r="I955" s="547" t="s">
        <v>9009</v>
      </c>
      <c r="J955" s="547" t="s">
        <v>9015</v>
      </c>
      <c r="K955" s="547" t="s">
        <v>8996</v>
      </c>
      <c r="L955" s="537" t="s">
        <v>541</v>
      </c>
    </row>
    <row r="956" spans="1:12" x14ac:dyDescent="0.2">
      <c r="A956" s="547" t="s">
        <v>220</v>
      </c>
      <c r="B956" s="547" t="s">
        <v>588</v>
      </c>
      <c r="C956" s="547" t="s">
        <v>1649</v>
      </c>
      <c r="D956" s="547" t="s">
        <v>1650</v>
      </c>
      <c r="E956" s="547" t="s">
        <v>545</v>
      </c>
      <c r="F956" s="567">
        <v>1000</v>
      </c>
      <c r="G956" s="545">
        <v>3.5000000000000003E-2</v>
      </c>
      <c r="H956" s="545">
        <v>35</v>
      </c>
      <c r="I956" s="547" t="s">
        <v>9009</v>
      </c>
      <c r="J956" s="547" t="s">
        <v>9015</v>
      </c>
      <c r="K956" s="547" t="s">
        <v>8996</v>
      </c>
      <c r="L956" s="537" t="s">
        <v>541</v>
      </c>
    </row>
    <row r="957" spans="1:12" x14ac:dyDescent="0.2">
      <c r="A957" s="547" t="s">
        <v>220</v>
      </c>
      <c r="B957" s="547" t="s">
        <v>588</v>
      </c>
      <c r="C957" s="547" t="s">
        <v>1651</v>
      </c>
      <c r="D957" s="547" t="s">
        <v>1652</v>
      </c>
      <c r="E957" s="547" t="s">
        <v>545</v>
      </c>
      <c r="F957" s="567">
        <v>3000</v>
      </c>
      <c r="G957" s="545">
        <v>6.720000000000001E-2</v>
      </c>
      <c r="H957" s="545">
        <v>201.60000000000002</v>
      </c>
      <c r="I957" s="547" t="s">
        <v>9009</v>
      </c>
      <c r="J957" s="547" t="s">
        <v>9015</v>
      </c>
      <c r="K957" s="547" t="s">
        <v>8996</v>
      </c>
      <c r="L957" s="537" t="s">
        <v>541</v>
      </c>
    </row>
    <row r="958" spans="1:12" x14ac:dyDescent="0.2">
      <c r="A958" s="547" t="s">
        <v>220</v>
      </c>
      <c r="B958" s="547" t="s">
        <v>588</v>
      </c>
      <c r="C958" s="547" t="s">
        <v>1653</v>
      </c>
      <c r="D958" s="547" t="s">
        <v>1654</v>
      </c>
      <c r="E958" s="547" t="s">
        <v>545</v>
      </c>
      <c r="F958" s="567">
        <v>4000</v>
      </c>
      <c r="G958" s="545">
        <v>0.228495</v>
      </c>
      <c r="H958" s="545">
        <v>913.98</v>
      </c>
      <c r="I958" s="547" t="s">
        <v>9009</v>
      </c>
      <c r="J958" s="547" t="s">
        <v>9015</v>
      </c>
      <c r="K958" s="547" t="s">
        <v>8996</v>
      </c>
      <c r="L958" s="537" t="s">
        <v>541</v>
      </c>
    </row>
    <row r="959" spans="1:12" x14ac:dyDescent="0.2">
      <c r="A959" s="547" t="s">
        <v>220</v>
      </c>
      <c r="B959" s="547" t="s">
        <v>588</v>
      </c>
      <c r="C959" s="547" t="s">
        <v>1655</v>
      </c>
      <c r="D959" s="547" t="s">
        <v>1656</v>
      </c>
      <c r="E959" s="547" t="s">
        <v>545</v>
      </c>
      <c r="F959" s="567">
        <v>1000</v>
      </c>
      <c r="G959" s="545">
        <v>0.14879999999999999</v>
      </c>
      <c r="H959" s="545">
        <v>148.79999999999998</v>
      </c>
      <c r="I959" s="547" t="s">
        <v>9009</v>
      </c>
      <c r="J959" s="547" t="s">
        <v>9015</v>
      </c>
      <c r="K959" s="547" t="s">
        <v>8996</v>
      </c>
      <c r="L959" s="537" t="s">
        <v>541</v>
      </c>
    </row>
    <row r="960" spans="1:12" x14ac:dyDescent="0.2">
      <c r="A960" s="547" t="s">
        <v>220</v>
      </c>
      <c r="B960" s="547" t="s">
        <v>588</v>
      </c>
      <c r="C960" s="547" t="s">
        <v>1657</v>
      </c>
      <c r="D960" s="547" t="s">
        <v>1658</v>
      </c>
      <c r="E960" s="547" t="s">
        <v>545</v>
      </c>
      <c r="F960" s="567">
        <v>3300</v>
      </c>
      <c r="G960" s="545">
        <v>0.1515</v>
      </c>
      <c r="H960" s="545">
        <v>499.95</v>
      </c>
      <c r="I960" s="547" t="s">
        <v>9009</v>
      </c>
      <c r="J960" s="547" t="s">
        <v>9015</v>
      </c>
      <c r="K960" s="547" t="s">
        <v>8996</v>
      </c>
      <c r="L960" s="537" t="s">
        <v>541</v>
      </c>
    </row>
    <row r="961" spans="1:12" x14ac:dyDescent="0.2">
      <c r="A961" s="547" t="s">
        <v>220</v>
      </c>
      <c r="B961" s="547" t="s">
        <v>588</v>
      </c>
      <c r="C961" s="547" t="s">
        <v>1659</v>
      </c>
      <c r="D961" s="547" t="s">
        <v>1660</v>
      </c>
      <c r="E961" s="547" t="s">
        <v>545</v>
      </c>
      <c r="F961" s="567">
        <v>1500</v>
      </c>
      <c r="G961" s="545">
        <v>3.3600000000000005E-2</v>
      </c>
      <c r="H961" s="545">
        <v>50.400000000000006</v>
      </c>
      <c r="I961" s="547" t="s">
        <v>9009</v>
      </c>
      <c r="J961" s="547" t="s">
        <v>9015</v>
      </c>
      <c r="K961" s="547" t="s">
        <v>8996</v>
      </c>
      <c r="L961" s="537" t="s">
        <v>541</v>
      </c>
    </row>
    <row r="962" spans="1:12" x14ac:dyDescent="0.2">
      <c r="A962" s="547" t="s">
        <v>220</v>
      </c>
      <c r="B962" s="547" t="s">
        <v>588</v>
      </c>
      <c r="C962" s="547" t="s">
        <v>1661</v>
      </c>
      <c r="D962" s="547" t="s">
        <v>1662</v>
      </c>
      <c r="E962" s="547" t="s">
        <v>545</v>
      </c>
      <c r="F962" s="567">
        <v>1000</v>
      </c>
      <c r="G962" s="545">
        <v>0.20316491228070174</v>
      </c>
      <c r="H962" s="545">
        <v>203.16491228070174</v>
      </c>
      <c r="I962" s="547" t="s">
        <v>9009</v>
      </c>
      <c r="J962" s="547" t="s">
        <v>9015</v>
      </c>
      <c r="K962" s="547" t="s">
        <v>8996</v>
      </c>
      <c r="L962" s="537" t="s">
        <v>541</v>
      </c>
    </row>
    <row r="963" spans="1:12" x14ac:dyDescent="0.2">
      <c r="A963" s="547" t="s">
        <v>220</v>
      </c>
      <c r="B963" s="547" t="s">
        <v>588</v>
      </c>
      <c r="C963" s="547" t="s">
        <v>1663</v>
      </c>
      <c r="D963" s="547" t="s">
        <v>1664</v>
      </c>
      <c r="E963" s="547" t="s">
        <v>545</v>
      </c>
      <c r="F963" s="567">
        <v>3400</v>
      </c>
      <c r="G963" s="545">
        <v>9.6687558107738575E-2</v>
      </c>
      <c r="H963" s="545">
        <v>328.73769756631117</v>
      </c>
      <c r="I963" s="547" t="s">
        <v>9009</v>
      </c>
      <c r="J963" s="547" t="s">
        <v>9015</v>
      </c>
      <c r="K963" s="547" t="s">
        <v>8996</v>
      </c>
      <c r="L963" s="537" t="s">
        <v>541</v>
      </c>
    </row>
    <row r="964" spans="1:12" x14ac:dyDescent="0.2">
      <c r="A964" s="547" t="s">
        <v>220</v>
      </c>
      <c r="B964" s="547" t="s">
        <v>588</v>
      </c>
      <c r="C964" s="547" t="s">
        <v>1665</v>
      </c>
      <c r="D964" s="547" t="s">
        <v>1666</v>
      </c>
      <c r="E964" s="547" t="s">
        <v>545</v>
      </c>
      <c r="F964" s="567">
        <v>2500</v>
      </c>
      <c r="G964" s="545">
        <v>0.216</v>
      </c>
      <c r="H964" s="545">
        <v>540</v>
      </c>
      <c r="I964" s="547" t="s">
        <v>9009</v>
      </c>
      <c r="J964" s="547" t="s">
        <v>9015</v>
      </c>
      <c r="K964" s="547" t="s">
        <v>8996</v>
      </c>
      <c r="L964" s="537" t="s">
        <v>541</v>
      </c>
    </row>
    <row r="965" spans="1:12" x14ac:dyDescent="0.2">
      <c r="A965" s="547" t="s">
        <v>220</v>
      </c>
      <c r="B965" s="547" t="s">
        <v>588</v>
      </c>
      <c r="C965" s="547" t="s">
        <v>1667</v>
      </c>
      <c r="D965" s="547" t="s">
        <v>1668</v>
      </c>
      <c r="E965" s="547" t="s">
        <v>545</v>
      </c>
      <c r="F965" s="567">
        <v>3500</v>
      </c>
      <c r="G965" s="545">
        <v>0.25755</v>
      </c>
      <c r="H965" s="545">
        <v>901.42499999999995</v>
      </c>
      <c r="I965" s="547" t="s">
        <v>9009</v>
      </c>
      <c r="J965" s="547" t="s">
        <v>9015</v>
      </c>
      <c r="K965" s="547" t="s">
        <v>8996</v>
      </c>
      <c r="L965" s="537" t="s">
        <v>541</v>
      </c>
    </row>
    <row r="966" spans="1:12" x14ac:dyDescent="0.2">
      <c r="A966" s="547" t="s">
        <v>220</v>
      </c>
      <c r="B966" s="547" t="s">
        <v>588</v>
      </c>
      <c r="C966" s="547" t="s">
        <v>1669</v>
      </c>
      <c r="D966" s="547" t="s">
        <v>1670</v>
      </c>
      <c r="E966" s="547" t="s">
        <v>545</v>
      </c>
      <c r="F966" s="567">
        <v>3300</v>
      </c>
      <c r="G966" s="545">
        <v>0.29289999999999999</v>
      </c>
      <c r="H966" s="545">
        <v>966.56999999999994</v>
      </c>
      <c r="I966" s="547" t="s">
        <v>9009</v>
      </c>
      <c r="J966" s="547" t="s">
        <v>9015</v>
      </c>
      <c r="K966" s="547" t="s">
        <v>8996</v>
      </c>
      <c r="L966" s="537" t="s">
        <v>541</v>
      </c>
    </row>
    <row r="967" spans="1:12" x14ac:dyDescent="0.2">
      <c r="A967" s="547" t="s">
        <v>220</v>
      </c>
      <c r="B967" s="547" t="s">
        <v>588</v>
      </c>
      <c r="C967" s="547" t="s">
        <v>1671</v>
      </c>
      <c r="D967" s="547" t="s">
        <v>1672</v>
      </c>
      <c r="E967" s="547" t="s">
        <v>545</v>
      </c>
      <c r="F967" s="567">
        <v>2500</v>
      </c>
      <c r="G967" s="545">
        <v>0.25755</v>
      </c>
      <c r="H967" s="545">
        <v>643.875</v>
      </c>
      <c r="I967" s="547" t="s">
        <v>9009</v>
      </c>
      <c r="J967" s="547" t="s">
        <v>9015</v>
      </c>
      <c r="K967" s="547" t="s">
        <v>8996</v>
      </c>
      <c r="L967" s="537" t="s">
        <v>541</v>
      </c>
    </row>
    <row r="968" spans="1:12" x14ac:dyDescent="0.2">
      <c r="A968" s="547" t="s">
        <v>220</v>
      </c>
      <c r="B968" s="547" t="s">
        <v>588</v>
      </c>
      <c r="C968" s="547" t="s">
        <v>1673</v>
      </c>
      <c r="D968" s="547" t="s">
        <v>1674</v>
      </c>
      <c r="E968" s="547" t="s">
        <v>545</v>
      </c>
      <c r="F968" s="567">
        <v>3000</v>
      </c>
      <c r="G968" s="545">
        <v>0.29289999999999999</v>
      </c>
      <c r="H968" s="545">
        <v>878.69999999999993</v>
      </c>
      <c r="I968" s="547" t="s">
        <v>9009</v>
      </c>
      <c r="J968" s="547" t="s">
        <v>9015</v>
      </c>
      <c r="K968" s="547" t="s">
        <v>8996</v>
      </c>
      <c r="L968" s="537" t="s">
        <v>541</v>
      </c>
    </row>
    <row r="969" spans="1:12" x14ac:dyDescent="0.2">
      <c r="A969" s="547" t="s">
        <v>220</v>
      </c>
      <c r="B969" s="547" t="s">
        <v>588</v>
      </c>
      <c r="C969" s="547" t="s">
        <v>1675</v>
      </c>
      <c r="D969" s="547" t="s">
        <v>1676</v>
      </c>
      <c r="E969" s="547" t="s">
        <v>545</v>
      </c>
      <c r="F969" s="567">
        <v>2000</v>
      </c>
      <c r="G969" s="545">
        <v>0.20705000000000004</v>
      </c>
      <c r="H969" s="545">
        <v>414.10000000000008</v>
      </c>
      <c r="I969" s="547" t="s">
        <v>9009</v>
      </c>
      <c r="J969" s="547" t="s">
        <v>9015</v>
      </c>
      <c r="K969" s="547" t="s">
        <v>8996</v>
      </c>
      <c r="L969" s="537" t="s">
        <v>541</v>
      </c>
    </row>
    <row r="970" spans="1:12" x14ac:dyDescent="0.2">
      <c r="A970" s="547" t="s">
        <v>220</v>
      </c>
      <c r="B970" s="547" t="s">
        <v>588</v>
      </c>
      <c r="C970" s="547" t="s">
        <v>1677</v>
      </c>
      <c r="D970" s="547" t="s">
        <v>1678</v>
      </c>
      <c r="E970" s="547" t="s">
        <v>545</v>
      </c>
      <c r="F970" s="567">
        <v>3000</v>
      </c>
      <c r="G970" s="545">
        <v>0.21210000000000001</v>
      </c>
      <c r="H970" s="545">
        <v>636.30000000000007</v>
      </c>
      <c r="I970" s="547" t="s">
        <v>9009</v>
      </c>
      <c r="J970" s="547" t="s">
        <v>9015</v>
      </c>
      <c r="K970" s="547" t="s">
        <v>8996</v>
      </c>
      <c r="L970" s="537" t="s">
        <v>541</v>
      </c>
    </row>
    <row r="971" spans="1:12" x14ac:dyDescent="0.2">
      <c r="A971" s="547" t="s">
        <v>220</v>
      </c>
      <c r="B971" s="547" t="s">
        <v>588</v>
      </c>
      <c r="C971" s="547" t="s">
        <v>1679</v>
      </c>
      <c r="D971" s="547" t="s">
        <v>1680</v>
      </c>
      <c r="E971" s="547" t="s">
        <v>545</v>
      </c>
      <c r="F971" s="567">
        <v>3700</v>
      </c>
      <c r="G971" s="545">
        <v>0.20891192341166234</v>
      </c>
      <c r="H971" s="545">
        <v>772.97411662315062</v>
      </c>
      <c r="I971" s="547" t="s">
        <v>9009</v>
      </c>
      <c r="J971" s="547" t="s">
        <v>9015</v>
      </c>
      <c r="K971" s="547" t="s">
        <v>8996</v>
      </c>
      <c r="L971" s="537" t="s">
        <v>541</v>
      </c>
    </row>
    <row r="972" spans="1:12" x14ac:dyDescent="0.2">
      <c r="A972" s="547" t="s">
        <v>220</v>
      </c>
      <c r="B972" s="547" t="s">
        <v>588</v>
      </c>
      <c r="C972" s="547" t="s">
        <v>1681</v>
      </c>
      <c r="D972" s="547" t="s">
        <v>1682</v>
      </c>
      <c r="E972" s="547" t="s">
        <v>545</v>
      </c>
      <c r="F972" s="567">
        <v>2220</v>
      </c>
      <c r="G972" s="545">
        <v>0.20388062827225134</v>
      </c>
      <c r="H972" s="545">
        <v>452.61499476439798</v>
      </c>
      <c r="I972" s="547" t="s">
        <v>9009</v>
      </c>
      <c r="J972" s="547" t="s">
        <v>9015</v>
      </c>
      <c r="K972" s="547" t="s">
        <v>8996</v>
      </c>
      <c r="L972" s="537" t="s">
        <v>541</v>
      </c>
    </row>
    <row r="973" spans="1:12" x14ac:dyDescent="0.2">
      <c r="A973" s="547" t="s">
        <v>220</v>
      </c>
      <c r="B973" s="547" t="s">
        <v>588</v>
      </c>
      <c r="C973" s="547" t="s">
        <v>1683</v>
      </c>
      <c r="D973" s="547" t="s">
        <v>1684</v>
      </c>
      <c r="E973" s="547" t="s">
        <v>545</v>
      </c>
      <c r="F973" s="567">
        <v>3820</v>
      </c>
      <c r="G973" s="545">
        <v>0.18387219917012451</v>
      </c>
      <c r="H973" s="545">
        <v>702.39180082987559</v>
      </c>
      <c r="I973" s="547" t="s">
        <v>9009</v>
      </c>
      <c r="J973" s="547" t="s">
        <v>9015</v>
      </c>
      <c r="K973" s="547" t="s">
        <v>8996</v>
      </c>
      <c r="L973" s="537" t="s">
        <v>541</v>
      </c>
    </row>
    <row r="974" spans="1:12" x14ac:dyDescent="0.2">
      <c r="A974" s="547" t="s">
        <v>220</v>
      </c>
      <c r="B974" s="547" t="s">
        <v>588</v>
      </c>
      <c r="C974" s="547" t="s">
        <v>1685</v>
      </c>
      <c r="D974" s="547" t="s">
        <v>1686</v>
      </c>
      <c r="E974" s="547" t="s">
        <v>545</v>
      </c>
      <c r="F974" s="567">
        <v>31000</v>
      </c>
      <c r="G974" s="545">
        <v>0.18173517307026654</v>
      </c>
      <c r="H974" s="545">
        <v>5633.7903651782626</v>
      </c>
      <c r="I974" s="547" t="s">
        <v>9009</v>
      </c>
      <c r="J974" s="547" t="s">
        <v>9015</v>
      </c>
      <c r="K974" s="547" t="s">
        <v>8996</v>
      </c>
      <c r="L974" s="537" t="s">
        <v>541</v>
      </c>
    </row>
    <row r="975" spans="1:12" x14ac:dyDescent="0.2">
      <c r="A975" s="547" t="s">
        <v>220</v>
      </c>
      <c r="B975" s="547" t="s">
        <v>588</v>
      </c>
      <c r="C975" s="547" t="s">
        <v>1687</v>
      </c>
      <c r="D975" s="547" t="s">
        <v>1688</v>
      </c>
      <c r="E975" s="547" t="s">
        <v>545</v>
      </c>
      <c r="F975" s="567">
        <v>2850</v>
      </c>
      <c r="G975" s="545">
        <v>0.21210000000000001</v>
      </c>
      <c r="H975" s="545">
        <v>604.48500000000001</v>
      </c>
      <c r="I975" s="547" t="s">
        <v>9009</v>
      </c>
      <c r="J975" s="547" t="s">
        <v>9015</v>
      </c>
      <c r="K975" s="547" t="s">
        <v>8996</v>
      </c>
      <c r="L975" s="537" t="s">
        <v>541</v>
      </c>
    </row>
    <row r="976" spans="1:12" x14ac:dyDescent="0.2">
      <c r="A976" s="547" t="s">
        <v>220</v>
      </c>
      <c r="B976" s="547" t="s">
        <v>588</v>
      </c>
      <c r="C976" s="547" t="s">
        <v>1689</v>
      </c>
      <c r="D976" s="547" t="s">
        <v>1690</v>
      </c>
      <c r="E976" s="547" t="s">
        <v>545</v>
      </c>
      <c r="F976" s="567">
        <v>2850</v>
      </c>
      <c r="G976" s="545">
        <v>0.2828</v>
      </c>
      <c r="H976" s="545">
        <v>805.98</v>
      </c>
      <c r="I976" s="547" t="s">
        <v>9009</v>
      </c>
      <c r="J976" s="547" t="s">
        <v>9015</v>
      </c>
      <c r="K976" s="547" t="s">
        <v>8996</v>
      </c>
      <c r="L976" s="537" t="s">
        <v>541</v>
      </c>
    </row>
    <row r="977" spans="1:12" x14ac:dyDescent="0.2">
      <c r="A977" s="547" t="s">
        <v>220</v>
      </c>
      <c r="B977" s="547" t="s">
        <v>588</v>
      </c>
      <c r="C977" s="547" t="s">
        <v>1691</v>
      </c>
      <c r="D977" s="547" t="s">
        <v>1692</v>
      </c>
      <c r="E977" s="547" t="s">
        <v>545</v>
      </c>
      <c r="F977" s="567">
        <v>2850</v>
      </c>
      <c r="G977" s="545">
        <v>0.21210000000000001</v>
      </c>
      <c r="H977" s="545">
        <v>604.48500000000001</v>
      </c>
      <c r="I977" s="547" t="s">
        <v>9009</v>
      </c>
      <c r="J977" s="547" t="s">
        <v>9015</v>
      </c>
      <c r="K977" s="547" t="s">
        <v>8996</v>
      </c>
      <c r="L977" s="537" t="s">
        <v>541</v>
      </c>
    </row>
    <row r="978" spans="1:12" x14ac:dyDescent="0.2">
      <c r="A978" s="547" t="s">
        <v>220</v>
      </c>
      <c r="B978" s="547" t="s">
        <v>588</v>
      </c>
      <c r="C978" s="547" t="s">
        <v>1693</v>
      </c>
      <c r="D978" s="547" t="s">
        <v>1694</v>
      </c>
      <c r="E978" s="547" t="s">
        <v>545</v>
      </c>
      <c r="F978" s="567">
        <v>2850</v>
      </c>
      <c r="G978" s="545">
        <v>0.30299999999999999</v>
      </c>
      <c r="H978" s="545">
        <v>863.55</v>
      </c>
      <c r="I978" s="547" t="s">
        <v>9009</v>
      </c>
      <c r="J978" s="547" t="s">
        <v>9015</v>
      </c>
      <c r="K978" s="547" t="s">
        <v>8996</v>
      </c>
      <c r="L978" s="537" t="s">
        <v>541</v>
      </c>
    </row>
    <row r="979" spans="1:12" x14ac:dyDescent="0.2">
      <c r="A979" s="547" t="s">
        <v>220</v>
      </c>
      <c r="B979" s="547" t="s">
        <v>588</v>
      </c>
      <c r="C979" s="547" t="s">
        <v>1695</v>
      </c>
      <c r="D979" s="547" t="s">
        <v>1696</v>
      </c>
      <c r="E979" s="547" t="s">
        <v>545</v>
      </c>
      <c r="F979" s="567">
        <v>2850</v>
      </c>
      <c r="G979" s="545">
        <v>0.21210000000000001</v>
      </c>
      <c r="H979" s="545">
        <v>604.48500000000001</v>
      </c>
      <c r="I979" s="547" t="s">
        <v>9009</v>
      </c>
      <c r="J979" s="547" t="s">
        <v>9015</v>
      </c>
      <c r="K979" s="547" t="s">
        <v>8996</v>
      </c>
      <c r="L979" s="537" t="s">
        <v>541</v>
      </c>
    </row>
    <row r="980" spans="1:12" x14ac:dyDescent="0.2">
      <c r="A980" s="547" t="s">
        <v>220</v>
      </c>
      <c r="B980" s="547" t="s">
        <v>588</v>
      </c>
      <c r="C980" s="547" t="s">
        <v>1697</v>
      </c>
      <c r="D980" s="547" t="s">
        <v>1698</v>
      </c>
      <c r="E980" s="547" t="s">
        <v>545</v>
      </c>
      <c r="F980" s="567">
        <v>2850</v>
      </c>
      <c r="G980" s="545">
        <v>0.30299999999999999</v>
      </c>
      <c r="H980" s="545">
        <v>863.55</v>
      </c>
      <c r="I980" s="547" t="s">
        <v>9009</v>
      </c>
      <c r="J980" s="547" t="s">
        <v>9015</v>
      </c>
      <c r="K980" s="547" t="s">
        <v>8996</v>
      </c>
      <c r="L980" s="537" t="s">
        <v>541</v>
      </c>
    </row>
    <row r="981" spans="1:12" x14ac:dyDescent="0.2">
      <c r="A981" s="547" t="s">
        <v>220</v>
      </c>
      <c r="B981" s="547" t="s">
        <v>588</v>
      </c>
      <c r="C981" s="547" t="s">
        <v>1699</v>
      </c>
      <c r="D981" s="547" t="s">
        <v>1700</v>
      </c>
      <c r="E981" s="547" t="s">
        <v>545</v>
      </c>
      <c r="F981" s="567">
        <v>2200</v>
      </c>
      <c r="G981" s="545">
        <v>0.2828</v>
      </c>
      <c r="H981" s="545">
        <v>622.16</v>
      </c>
      <c r="I981" s="547" t="s">
        <v>9009</v>
      </c>
      <c r="J981" s="547" t="s">
        <v>9015</v>
      </c>
      <c r="K981" s="547" t="s">
        <v>8996</v>
      </c>
      <c r="L981" s="537" t="s">
        <v>541</v>
      </c>
    </row>
    <row r="982" spans="1:12" x14ac:dyDescent="0.2">
      <c r="A982" s="547" t="s">
        <v>220</v>
      </c>
      <c r="B982" s="547" t="s">
        <v>588</v>
      </c>
      <c r="C982" s="547" t="s">
        <v>1701</v>
      </c>
      <c r="D982" s="547" t="s">
        <v>1702</v>
      </c>
      <c r="E982" s="547" t="s">
        <v>545</v>
      </c>
      <c r="F982" s="567">
        <v>2200</v>
      </c>
      <c r="G982" s="545">
        <v>0.2828</v>
      </c>
      <c r="H982" s="545">
        <v>622.16</v>
      </c>
      <c r="I982" s="547" t="s">
        <v>9009</v>
      </c>
      <c r="J982" s="547" t="s">
        <v>9015</v>
      </c>
      <c r="K982" s="547" t="s">
        <v>8996</v>
      </c>
      <c r="L982" s="537" t="s">
        <v>541</v>
      </c>
    </row>
    <row r="983" spans="1:12" x14ac:dyDescent="0.2">
      <c r="A983" s="547" t="s">
        <v>220</v>
      </c>
      <c r="B983" s="547" t="s">
        <v>588</v>
      </c>
      <c r="C983" s="547" t="s">
        <v>1703</v>
      </c>
      <c r="D983" s="547" t="s">
        <v>1704</v>
      </c>
      <c r="E983" s="547" t="s">
        <v>545</v>
      </c>
      <c r="F983" s="567">
        <v>2500</v>
      </c>
      <c r="G983" s="545">
        <v>0.34945999999999999</v>
      </c>
      <c r="H983" s="545">
        <v>873.65</v>
      </c>
      <c r="I983" s="547" t="s">
        <v>9009</v>
      </c>
      <c r="J983" s="547" t="s">
        <v>9015</v>
      </c>
      <c r="K983" s="547" t="s">
        <v>8996</v>
      </c>
      <c r="L983" s="537" t="s">
        <v>541</v>
      </c>
    </row>
    <row r="984" spans="1:12" x14ac:dyDescent="0.2">
      <c r="A984" s="547" t="s">
        <v>220</v>
      </c>
      <c r="B984" s="547" t="s">
        <v>588</v>
      </c>
      <c r="C984" s="547" t="s">
        <v>1705</v>
      </c>
      <c r="D984" s="547" t="s">
        <v>1706</v>
      </c>
      <c r="E984" s="547" t="s">
        <v>545</v>
      </c>
      <c r="F984" s="567">
        <v>2500</v>
      </c>
      <c r="G984" s="545">
        <v>0.34945999999999999</v>
      </c>
      <c r="H984" s="545">
        <v>873.65</v>
      </c>
      <c r="I984" s="547" t="s">
        <v>9009</v>
      </c>
      <c r="J984" s="547" t="s">
        <v>9015</v>
      </c>
      <c r="K984" s="547" t="s">
        <v>8996</v>
      </c>
      <c r="L984" s="537" t="s">
        <v>541</v>
      </c>
    </row>
    <row r="985" spans="1:12" x14ac:dyDescent="0.2">
      <c r="A985" s="547" t="s">
        <v>220</v>
      </c>
      <c r="B985" s="547" t="s">
        <v>588</v>
      </c>
      <c r="C985" s="547" t="s">
        <v>1707</v>
      </c>
      <c r="D985" s="547" t="s">
        <v>1708</v>
      </c>
      <c r="E985" s="547" t="s">
        <v>545</v>
      </c>
      <c r="F985" s="567">
        <v>2250</v>
      </c>
      <c r="G985" s="545">
        <v>0.40400000000000003</v>
      </c>
      <c r="H985" s="545">
        <v>909.00000000000011</v>
      </c>
      <c r="I985" s="547" t="s">
        <v>9009</v>
      </c>
      <c r="J985" s="547" t="s">
        <v>9015</v>
      </c>
      <c r="K985" s="547" t="s">
        <v>8996</v>
      </c>
      <c r="L985" s="537" t="s">
        <v>541</v>
      </c>
    </row>
    <row r="986" spans="1:12" x14ac:dyDescent="0.2">
      <c r="A986" s="547" t="s">
        <v>220</v>
      </c>
      <c r="B986" s="547" t="s">
        <v>588</v>
      </c>
      <c r="C986" s="547" t="s">
        <v>1709</v>
      </c>
      <c r="D986" s="547" t="s">
        <v>1710</v>
      </c>
      <c r="E986" s="547" t="s">
        <v>545</v>
      </c>
      <c r="F986" s="567">
        <v>2370</v>
      </c>
      <c r="G986" s="545">
        <v>0.40400000000000003</v>
      </c>
      <c r="H986" s="545">
        <v>957.48</v>
      </c>
      <c r="I986" s="547" t="s">
        <v>9009</v>
      </c>
      <c r="J986" s="547" t="s">
        <v>9015</v>
      </c>
      <c r="K986" s="547" t="s">
        <v>8996</v>
      </c>
      <c r="L986" s="537" t="s">
        <v>541</v>
      </c>
    </row>
    <row r="987" spans="1:12" x14ac:dyDescent="0.2">
      <c r="A987" s="547" t="s">
        <v>220</v>
      </c>
      <c r="B987" s="547" t="s">
        <v>588</v>
      </c>
      <c r="C987" s="547" t="s">
        <v>1711</v>
      </c>
      <c r="D987" s="547" t="s">
        <v>1712</v>
      </c>
      <c r="E987" s="547" t="s">
        <v>545</v>
      </c>
      <c r="F987" s="567">
        <v>1870</v>
      </c>
      <c r="G987" s="545">
        <v>0.45449999999999996</v>
      </c>
      <c r="H987" s="545">
        <v>849.91499999999996</v>
      </c>
      <c r="I987" s="547" t="s">
        <v>9009</v>
      </c>
      <c r="J987" s="547" t="s">
        <v>9015</v>
      </c>
      <c r="K987" s="547" t="s">
        <v>8996</v>
      </c>
      <c r="L987" s="537" t="s">
        <v>541</v>
      </c>
    </row>
    <row r="988" spans="1:12" x14ac:dyDescent="0.2">
      <c r="A988" s="547" t="s">
        <v>220</v>
      </c>
      <c r="B988" s="547" t="s">
        <v>588</v>
      </c>
      <c r="C988" s="547" t="s">
        <v>1713</v>
      </c>
      <c r="D988" s="547" t="s">
        <v>1714</v>
      </c>
      <c r="E988" s="547" t="s">
        <v>545</v>
      </c>
      <c r="F988" s="567">
        <v>2370</v>
      </c>
      <c r="G988" s="545">
        <v>0.55549999999999999</v>
      </c>
      <c r="H988" s="545">
        <v>1316.5350000000001</v>
      </c>
      <c r="I988" s="547" t="s">
        <v>9009</v>
      </c>
      <c r="J988" s="547" t="s">
        <v>9015</v>
      </c>
      <c r="K988" s="547" t="s">
        <v>8996</v>
      </c>
      <c r="L988" s="537" t="s">
        <v>541</v>
      </c>
    </row>
    <row r="989" spans="1:12" x14ac:dyDescent="0.2">
      <c r="A989" s="547" t="s">
        <v>220</v>
      </c>
      <c r="B989" s="547" t="s">
        <v>588</v>
      </c>
      <c r="C989" s="547" t="s">
        <v>1715</v>
      </c>
      <c r="D989" s="547" t="s">
        <v>1716</v>
      </c>
      <c r="E989" s="547" t="s">
        <v>545</v>
      </c>
      <c r="F989" s="567">
        <v>1000</v>
      </c>
      <c r="G989" s="545">
        <v>0.21210000000000001</v>
      </c>
      <c r="H989" s="545">
        <v>212.10000000000002</v>
      </c>
      <c r="I989" s="547" t="s">
        <v>9009</v>
      </c>
      <c r="J989" s="547" t="s">
        <v>9015</v>
      </c>
      <c r="K989" s="547" t="s">
        <v>8996</v>
      </c>
      <c r="L989" s="537" t="s">
        <v>541</v>
      </c>
    </row>
    <row r="990" spans="1:12" x14ac:dyDescent="0.2">
      <c r="A990" s="547" t="s">
        <v>220</v>
      </c>
      <c r="B990" s="547" t="s">
        <v>588</v>
      </c>
      <c r="C990" s="547" t="s">
        <v>1717</v>
      </c>
      <c r="D990" s="547" t="s">
        <v>1718</v>
      </c>
      <c r="E990" s="547" t="s">
        <v>545</v>
      </c>
      <c r="F990" s="567">
        <v>1000</v>
      </c>
      <c r="G990" s="545">
        <v>0.35349999999999998</v>
      </c>
      <c r="H990" s="545">
        <v>353.5</v>
      </c>
      <c r="I990" s="547" t="s">
        <v>9009</v>
      </c>
      <c r="J990" s="547" t="s">
        <v>9015</v>
      </c>
      <c r="K990" s="547" t="s">
        <v>8996</v>
      </c>
      <c r="L990" s="537" t="s">
        <v>541</v>
      </c>
    </row>
    <row r="991" spans="1:12" x14ac:dyDescent="0.2">
      <c r="A991" s="547" t="s">
        <v>220</v>
      </c>
      <c r="B991" s="547" t="s">
        <v>588</v>
      </c>
      <c r="C991" s="547" t="s">
        <v>1719</v>
      </c>
      <c r="D991" s="547" t="s">
        <v>1720</v>
      </c>
      <c r="E991" s="547" t="s">
        <v>545</v>
      </c>
      <c r="F991" s="567">
        <v>1250</v>
      </c>
      <c r="G991" s="545">
        <v>0.2525</v>
      </c>
      <c r="H991" s="545">
        <v>315.625</v>
      </c>
      <c r="I991" s="547" t="s">
        <v>9009</v>
      </c>
      <c r="J991" s="547" t="s">
        <v>9015</v>
      </c>
      <c r="K991" s="547" t="s">
        <v>8996</v>
      </c>
      <c r="L991" s="537" t="s">
        <v>541</v>
      </c>
    </row>
    <row r="992" spans="1:12" x14ac:dyDescent="0.2">
      <c r="A992" s="547" t="s">
        <v>220</v>
      </c>
      <c r="B992" s="547" t="s">
        <v>588</v>
      </c>
      <c r="C992" s="547" t="s">
        <v>1721</v>
      </c>
      <c r="D992" s="547" t="s">
        <v>1722</v>
      </c>
      <c r="E992" s="547" t="s">
        <v>545</v>
      </c>
      <c r="F992" s="567">
        <v>1250</v>
      </c>
      <c r="G992" s="545">
        <v>0.43935000000000002</v>
      </c>
      <c r="H992" s="545">
        <v>549.1875</v>
      </c>
      <c r="I992" s="547" t="s">
        <v>9009</v>
      </c>
      <c r="J992" s="547" t="s">
        <v>9015</v>
      </c>
      <c r="K992" s="547" t="s">
        <v>8996</v>
      </c>
      <c r="L992" s="537" t="s">
        <v>541</v>
      </c>
    </row>
    <row r="993" spans="1:12" x14ac:dyDescent="0.2">
      <c r="A993" s="547" t="s">
        <v>220</v>
      </c>
      <c r="B993" s="547" t="s">
        <v>588</v>
      </c>
      <c r="C993" s="547" t="s">
        <v>1723</v>
      </c>
      <c r="D993" s="547" t="s">
        <v>1724</v>
      </c>
      <c r="E993" s="547" t="s">
        <v>545</v>
      </c>
      <c r="F993" s="567">
        <v>1500</v>
      </c>
      <c r="G993" s="545">
        <v>0.2525</v>
      </c>
      <c r="H993" s="545">
        <v>378.75</v>
      </c>
      <c r="I993" s="547" t="s">
        <v>9009</v>
      </c>
      <c r="J993" s="547" t="s">
        <v>9015</v>
      </c>
      <c r="K993" s="547" t="s">
        <v>8996</v>
      </c>
      <c r="L993" s="537" t="s">
        <v>541</v>
      </c>
    </row>
    <row r="994" spans="1:12" x14ac:dyDescent="0.2">
      <c r="A994" s="547" t="s">
        <v>220</v>
      </c>
      <c r="B994" s="547" t="s">
        <v>588</v>
      </c>
      <c r="C994" s="547" t="s">
        <v>1725</v>
      </c>
      <c r="D994" s="547" t="s">
        <v>1726</v>
      </c>
      <c r="E994" s="547" t="s">
        <v>545</v>
      </c>
      <c r="F994" s="567">
        <v>1500</v>
      </c>
      <c r="G994" s="545">
        <v>0.43934999999999996</v>
      </c>
      <c r="H994" s="545">
        <v>659.02499999999998</v>
      </c>
      <c r="I994" s="547" t="s">
        <v>9009</v>
      </c>
      <c r="J994" s="547" t="s">
        <v>9015</v>
      </c>
      <c r="K994" s="547" t="s">
        <v>8996</v>
      </c>
      <c r="L994" s="537" t="s">
        <v>541</v>
      </c>
    </row>
    <row r="995" spans="1:12" x14ac:dyDescent="0.2">
      <c r="A995" s="547" t="s">
        <v>220</v>
      </c>
      <c r="B995" s="547" t="s">
        <v>588</v>
      </c>
      <c r="C995" s="547" t="s">
        <v>1727</v>
      </c>
      <c r="D995" s="547" t="s">
        <v>1728</v>
      </c>
      <c r="E995" s="547" t="s">
        <v>545</v>
      </c>
      <c r="F995" s="567">
        <v>2000</v>
      </c>
      <c r="G995" s="545">
        <v>0.42925000000000002</v>
      </c>
      <c r="H995" s="545">
        <v>858.5</v>
      </c>
      <c r="I995" s="547" t="s">
        <v>9009</v>
      </c>
      <c r="J995" s="547" t="s">
        <v>9015</v>
      </c>
      <c r="K995" s="547" t="s">
        <v>8996</v>
      </c>
      <c r="L995" s="537" t="s">
        <v>541</v>
      </c>
    </row>
    <row r="996" spans="1:12" x14ac:dyDescent="0.2">
      <c r="A996" s="547" t="s">
        <v>220</v>
      </c>
      <c r="B996" s="547" t="s">
        <v>588</v>
      </c>
      <c r="C996" s="547" t="s">
        <v>1729</v>
      </c>
      <c r="D996" s="547" t="s">
        <v>1730</v>
      </c>
      <c r="E996" s="547" t="s">
        <v>545</v>
      </c>
      <c r="F996" s="567">
        <v>2000</v>
      </c>
      <c r="G996" s="545">
        <v>0.42925000000000002</v>
      </c>
      <c r="H996" s="545">
        <v>858.5</v>
      </c>
      <c r="I996" s="547" t="s">
        <v>9009</v>
      </c>
      <c r="J996" s="547" t="s">
        <v>9015</v>
      </c>
      <c r="K996" s="547" t="s">
        <v>8996</v>
      </c>
      <c r="L996" s="537" t="s">
        <v>541</v>
      </c>
    </row>
    <row r="997" spans="1:12" x14ac:dyDescent="0.2">
      <c r="A997" s="547" t="s">
        <v>220</v>
      </c>
      <c r="B997" s="547" t="s">
        <v>588</v>
      </c>
      <c r="C997" s="547" t="s">
        <v>1731</v>
      </c>
      <c r="D997" s="547" t="s">
        <v>1732</v>
      </c>
      <c r="E997" s="547" t="s">
        <v>545</v>
      </c>
      <c r="F997" s="567">
        <v>1550</v>
      </c>
      <c r="G997" s="545">
        <v>0.42499999999999999</v>
      </c>
      <c r="H997" s="545">
        <v>658.75</v>
      </c>
      <c r="I997" s="547" t="s">
        <v>9009</v>
      </c>
      <c r="J997" s="547" t="s">
        <v>9015</v>
      </c>
      <c r="K997" s="547" t="s">
        <v>8996</v>
      </c>
      <c r="L997" s="537" t="s">
        <v>541</v>
      </c>
    </row>
    <row r="998" spans="1:12" x14ac:dyDescent="0.2">
      <c r="A998" s="547" t="s">
        <v>220</v>
      </c>
      <c r="B998" s="547" t="s">
        <v>588</v>
      </c>
      <c r="C998" s="547" t="s">
        <v>1733</v>
      </c>
      <c r="D998" s="547" t="s">
        <v>1734</v>
      </c>
      <c r="E998" s="547" t="s">
        <v>545</v>
      </c>
      <c r="F998" s="567">
        <v>1550</v>
      </c>
      <c r="G998" s="545">
        <v>0.42924999999999996</v>
      </c>
      <c r="H998" s="545">
        <v>665.33749999999998</v>
      </c>
      <c r="I998" s="547" t="s">
        <v>9009</v>
      </c>
      <c r="J998" s="547" t="s">
        <v>9015</v>
      </c>
      <c r="K998" s="547" t="s">
        <v>8996</v>
      </c>
      <c r="L998" s="537" t="s">
        <v>541</v>
      </c>
    </row>
    <row r="999" spans="1:12" x14ac:dyDescent="0.2">
      <c r="A999" s="547" t="s">
        <v>220</v>
      </c>
      <c r="B999" s="547" t="s">
        <v>588</v>
      </c>
      <c r="C999" s="547" t="s">
        <v>1735</v>
      </c>
      <c r="D999" s="547" t="s">
        <v>1736</v>
      </c>
      <c r="E999" s="547" t="s">
        <v>545</v>
      </c>
      <c r="F999" s="567">
        <v>1750</v>
      </c>
      <c r="G999" s="545">
        <v>0.47975000000000001</v>
      </c>
      <c r="H999" s="545">
        <v>839.5625</v>
      </c>
      <c r="I999" s="547" t="s">
        <v>9009</v>
      </c>
      <c r="J999" s="547" t="s">
        <v>9015</v>
      </c>
      <c r="K999" s="547" t="s">
        <v>8996</v>
      </c>
      <c r="L999" s="537" t="s">
        <v>541</v>
      </c>
    </row>
    <row r="1000" spans="1:12" x14ac:dyDescent="0.2">
      <c r="A1000" s="547" t="s">
        <v>220</v>
      </c>
      <c r="B1000" s="547" t="s">
        <v>588</v>
      </c>
      <c r="C1000" s="547" t="s">
        <v>1737</v>
      </c>
      <c r="D1000" s="547" t="s">
        <v>1738</v>
      </c>
      <c r="E1000" s="547" t="s">
        <v>545</v>
      </c>
      <c r="F1000" s="567">
        <v>1500</v>
      </c>
      <c r="G1000" s="545">
        <v>0.47975000000000001</v>
      </c>
      <c r="H1000" s="545">
        <v>719.625</v>
      </c>
      <c r="I1000" s="547" t="s">
        <v>9009</v>
      </c>
      <c r="J1000" s="547" t="s">
        <v>9015</v>
      </c>
      <c r="K1000" s="547" t="s">
        <v>8996</v>
      </c>
      <c r="L1000" s="537" t="s">
        <v>541</v>
      </c>
    </row>
    <row r="1001" spans="1:12" x14ac:dyDescent="0.2">
      <c r="A1001" s="547" t="s">
        <v>220</v>
      </c>
      <c r="B1001" s="547" t="s">
        <v>588</v>
      </c>
      <c r="C1001" s="547" t="s">
        <v>1739</v>
      </c>
      <c r="D1001" s="547" t="s">
        <v>1740</v>
      </c>
      <c r="E1001" s="547" t="s">
        <v>545</v>
      </c>
      <c r="F1001" s="567">
        <v>2250</v>
      </c>
      <c r="G1001" s="545">
        <v>0.47975000000000001</v>
      </c>
      <c r="H1001" s="545">
        <v>1079.4375</v>
      </c>
      <c r="I1001" s="547" t="s">
        <v>9009</v>
      </c>
      <c r="J1001" s="547" t="s">
        <v>9015</v>
      </c>
      <c r="K1001" s="547" t="s">
        <v>8996</v>
      </c>
      <c r="L1001" s="537" t="s">
        <v>541</v>
      </c>
    </row>
    <row r="1002" spans="1:12" x14ac:dyDescent="0.2">
      <c r="A1002" s="547" t="s">
        <v>220</v>
      </c>
      <c r="B1002" s="547" t="s">
        <v>588</v>
      </c>
      <c r="C1002" s="547" t="s">
        <v>1741</v>
      </c>
      <c r="D1002" s="547" t="s">
        <v>1742</v>
      </c>
      <c r="E1002" s="547" t="s">
        <v>545</v>
      </c>
      <c r="F1002" s="567">
        <v>2000</v>
      </c>
      <c r="G1002" s="545">
        <v>0.47975000000000001</v>
      </c>
      <c r="H1002" s="545">
        <v>959.5</v>
      </c>
      <c r="I1002" s="547" t="s">
        <v>9009</v>
      </c>
      <c r="J1002" s="547" t="s">
        <v>9015</v>
      </c>
      <c r="K1002" s="547" t="s">
        <v>8996</v>
      </c>
      <c r="L1002" s="537" t="s">
        <v>541</v>
      </c>
    </row>
    <row r="1003" spans="1:12" x14ac:dyDescent="0.2">
      <c r="A1003" s="547" t="s">
        <v>220</v>
      </c>
      <c r="B1003" s="547" t="s">
        <v>588</v>
      </c>
      <c r="C1003" s="547" t="s">
        <v>1743</v>
      </c>
      <c r="D1003" s="547" t="s">
        <v>1744</v>
      </c>
      <c r="E1003" s="547" t="s">
        <v>545</v>
      </c>
      <c r="F1003" s="567">
        <v>3500</v>
      </c>
      <c r="G1003" s="545">
        <v>0.60398000000000007</v>
      </c>
      <c r="H1003" s="545">
        <v>2113.9300000000003</v>
      </c>
      <c r="I1003" s="547" t="s">
        <v>9009</v>
      </c>
      <c r="J1003" s="547" t="s">
        <v>9015</v>
      </c>
      <c r="K1003" s="547" t="s">
        <v>8996</v>
      </c>
      <c r="L1003" s="537" t="s">
        <v>541</v>
      </c>
    </row>
    <row r="1004" spans="1:12" x14ac:dyDescent="0.2">
      <c r="A1004" s="547" t="s">
        <v>220</v>
      </c>
      <c r="B1004" s="547" t="s">
        <v>588</v>
      </c>
      <c r="C1004" s="547" t="s">
        <v>1745</v>
      </c>
      <c r="D1004" s="547" t="s">
        <v>1746</v>
      </c>
      <c r="E1004" s="547" t="s">
        <v>545</v>
      </c>
      <c r="F1004" s="567">
        <v>3500</v>
      </c>
      <c r="G1004" s="545">
        <v>0.61609999999999998</v>
      </c>
      <c r="H1004" s="545">
        <v>2156.35</v>
      </c>
      <c r="I1004" s="547" t="s">
        <v>9009</v>
      </c>
      <c r="J1004" s="547" t="s">
        <v>9015</v>
      </c>
      <c r="K1004" s="547" t="s">
        <v>8996</v>
      </c>
      <c r="L1004" s="537" t="s">
        <v>541</v>
      </c>
    </row>
    <row r="1005" spans="1:12" x14ac:dyDescent="0.2">
      <c r="A1005" s="547" t="s">
        <v>220</v>
      </c>
      <c r="B1005" s="547" t="s">
        <v>588</v>
      </c>
      <c r="C1005" s="547" t="s">
        <v>1747</v>
      </c>
      <c r="D1005" s="547" t="s">
        <v>1748</v>
      </c>
      <c r="E1005" s="547" t="s">
        <v>545</v>
      </c>
      <c r="F1005" s="567">
        <v>1500</v>
      </c>
      <c r="G1005" s="545">
        <v>0.61609999999999998</v>
      </c>
      <c r="H1005" s="545">
        <v>924.15</v>
      </c>
      <c r="I1005" s="547" t="s">
        <v>9009</v>
      </c>
      <c r="J1005" s="547" t="s">
        <v>9015</v>
      </c>
      <c r="K1005" s="547" t="s">
        <v>8996</v>
      </c>
      <c r="L1005" s="537" t="s">
        <v>541</v>
      </c>
    </row>
    <row r="1006" spans="1:12" x14ac:dyDescent="0.2">
      <c r="A1006" s="547" t="s">
        <v>220</v>
      </c>
      <c r="B1006" s="547" t="s">
        <v>588</v>
      </c>
      <c r="C1006" s="547" t="s">
        <v>1749</v>
      </c>
      <c r="D1006" s="547" t="s">
        <v>1750</v>
      </c>
      <c r="E1006" s="547" t="s">
        <v>545</v>
      </c>
      <c r="F1006" s="567">
        <v>2000</v>
      </c>
      <c r="G1006" s="545">
        <v>0.66154999999999997</v>
      </c>
      <c r="H1006" s="545">
        <v>1323.1</v>
      </c>
      <c r="I1006" s="547" t="s">
        <v>9009</v>
      </c>
      <c r="J1006" s="547" t="s">
        <v>9015</v>
      </c>
      <c r="K1006" s="547" t="s">
        <v>8996</v>
      </c>
      <c r="L1006" s="537" t="s">
        <v>541</v>
      </c>
    </row>
    <row r="1007" spans="1:12" x14ac:dyDescent="0.2">
      <c r="A1007" s="547" t="s">
        <v>220</v>
      </c>
      <c r="B1007" s="547" t="s">
        <v>588</v>
      </c>
      <c r="C1007" s="547" t="s">
        <v>1751</v>
      </c>
      <c r="D1007" s="547" t="s">
        <v>1752</v>
      </c>
      <c r="E1007" s="547" t="s">
        <v>545</v>
      </c>
      <c r="F1007" s="567">
        <v>500</v>
      </c>
      <c r="G1007" s="545">
        <v>0.66155000000000008</v>
      </c>
      <c r="H1007" s="545">
        <v>330.77500000000003</v>
      </c>
      <c r="I1007" s="547" t="s">
        <v>9009</v>
      </c>
      <c r="J1007" s="547" t="s">
        <v>9015</v>
      </c>
      <c r="K1007" s="547" t="s">
        <v>8996</v>
      </c>
      <c r="L1007" s="537" t="s">
        <v>541</v>
      </c>
    </row>
    <row r="1008" spans="1:12" x14ac:dyDescent="0.2">
      <c r="A1008" s="547" t="s">
        <v>220</v>
      </c>
      <c r="B1008" s="547" t="s">
        <v>588</v>
      </c>
      <c r="C1008" s="547" t="s">
        <v>1753</v>
      </c>
      <c r="D1008" s="547" t="s">
        <v>1754</v>
      </c>
      <c r="E1008" s="547" t="s">
        <v>545</v>
      </c>
      <c r="F1008" s="567">
        <v>1500</v>
      </c>
      <c r="G1008" s="545">
        <v>0.70194999999999996</v>
      </c>
      <c r="H1008" s="545">
        <v>1052.925</v>
      </c>
      <c r="I1008" s="547" t="s">
        <v>9009</v>
      </c>
      <c r="J1008" s="547" t="s">
        <v>9015</v>
      </c>
      <c r="K1008" s="547" t="s">
        <v>8996</v>
      </c>
      <c r="L1008" s="537" t="s">
        <v>541</v>
      </c>
    </row>
    <row r="1009" spans="1:12" x14ac:dyDescent="0.2">
      <c r="A1009" s="547" t="s">
        <v>220</v>
      </c>
      <c r="B1009" s="547" t="s">
        <v>588</v>
      </c>
      <c r="C1009" s="547" t="s">
        <v>1755</v>
      </c>
      <c r="D1009" s="547" t="s">
        <v>1756</v>
      </c>
      <c r="E1009" s="547" t="s">
        <v>545</v>
      </c>
      <c r="F1009" s="567">
        <v>1500</v>
      </c>
      <c r="G1009" s="545">
        <v>0.70194999999999996</v>
      </c>
      <c r="H1009" s="545">
        <v>1052.925</v>
      </c>
      <c r="I1009" s="547" t="s">
        <v>9009</v>
      </c>
      <c r="J1009" s="547" t="s">
        <v>9015</v>
      </c>
      <c r="K1009" s="547" t="s">
        <v>8996</v>
      </c>
      <c r="L1009" s="537" t="s">
        <v>541</v>
      </c>
    </row>
    <row r="1010" spans="1:12" x14ac:dyDescent="0.2">
      <c r="A1010" s="547" t="s">
        <v>220</v>
      </c>
      <c r="B1010" s="547" t="s">
        <v>588</v>
      </c>
      <c r="C1010" s="547" t="s">
        <v>1757</v>
      </c>
      <c r="D1010" s="547" t="s">
        <v>1758</v>
      </c>
      <c r="E1010" s="547" t="s">
        <v>545</v>
      </c>
      <c r="F1010" s="567">
        <v>1500</v>
      </c>
      <c r="G1010" s="545">
        <v>0.70194999999999996</v>
      </c>
      <c r="H1010" s="545">
        <v>1052.925</v>
      </c>
      <c r="I1010" s="547" t="s">
        <v>9009</v>
      </c>
      <c r="J1010" s="547" t="s">
        <v>9015</v>
      </c>
      <c r="K1010" s="547" t="s">
        <v>8996</v>
      </c>
      <c r="L1010" s="537" t="s">
        <v>541</v>
      </c>
    </row>
    <row r="1011" spans="1:12" x14ac:dyDescent="0.2">
      <c r="A1011" s="547" t="s">
        <v>220</v>
      </c>
      <c r="B1011" s="547" t="s">
        <v>588</v>
      </c>
      <c r="C1011" s="547" t="s">
        <v>1759</v>
      </c>
      <c r="D1011" s="547" t="s">
        <v>1760</v>
      </c>
      <c r="E1011" s="547" t="s">
        <v>545</v>
      </c>
      <c r="F1011" s="567">
        <v>2000</v>
      </c>
      <c r="G1011" s="545">
        <v>0.3076781762451164</v>
      </c>
      <c r="H1011" s="545">
        <v>615.35635249023278</v>
      </c>
      <c r="I1011" s="547" t="s">
        <v>9009</v>
      </c>
      <c r="J1011" s="547" t="s">
        <v>9015</v>
      </c>
      <c r="K1011" s="547" t="s">
        <v>8996</v>
      </c>
      <c r="L1011" s="537" t="s">
        <v>541</v>
      </c>
    </row>
    <row r="1012" spans="1:12" x14ac:dyDescent="0.2">
      <c r="A1012" s="547" t="s">
        <v>220</v>
      </c>
      <c r="B1012" s="547" t="s">
        <v>588</v>
      </c>
      <c r="C1012" s="547" t="s">
        <v>1761</v>
      </c>
      <c r="D1012" s="547" t="s">
        <v>1762</v>
      </c>
      <c r="E1012" s="547" t="s">
        <v>545</v>
      </c>
      <c r="F1012" s="567">
        <v>2000</v>
      </c>
      <c r="G1012" s="545">
        <v>0.480290245331912</v>
      </c>
      <c r="H1012" s="545">
        <v>960.58049066382398</v>
      </c>
      <c r="I1012" s="547" t="s">
        <v>9009</v>
      </c>
      <c r="J1012" s="547" t="s">
        <v>9015</v>
      </c>
      <c r="K1012" s="547" t="s">
        <v>8996</v>
      </c>
      <c r="L1012" s="537" t="s">
        <v>541</v>
      </c>
    </row>
    <row r="1013" spans="1:12" x14ac:dyDescent="0.2">
      <c r="A1013" s="547" t="s">
        <v>220</v>
      </c>
      <c r="B1013" s="547" t="s">
        <v>588</v>
      </c>
      <c r="C1013" s="547" t="s">
        <v>1763</v>
      </c>
      <c r="D1013" s="547" t="s">
        <v>1764</v>
      </c>
      <c r="E1013" s="547" t="s">
        <v>545</v>
      </c>
      <c r="F1013" s="567">
        <v>2000</v>
      </c>
      <c r="G1013" s="545">
        <v>0.48134959417034645</v>
      </c>
      <c r="H1013" s="545">
        <v>962.6991883406929</v>
      </c>
      <c r="I1013" s="547" t="s">
        <v>9009</v>
      </c>
      <c r="J1013" s="547" t="s">
        <v>9015</v>
      </c>
      <c r="K1013" s="547" t="s">
        <v>8996</v>
      </c>
      <c r="L1013" s="537" t="s">
        <v>541</v>
      </c>
    </row>
    <row r="1014" spans="1:12" x14ac:dyDescent="0.2">
      <c r="A1014" s="547" t="s">
        <v>220</v>
      </c>
      <c r="B1014" s="547" t="s">
        <v>588</v>
      </c>
      <c r="C1014" s="547" t="s">
        <v>1765</v>
      </c>
      <c r="D1014" s="547" t="s">
        <v>1766</v>
      </c>
      <c r="E1014" s="547" t="s">
        <v>545</v>
      </c>
      <c r="F1014" s="567">
        <v>2000</v>
      </c>
      <c r="G1014" s="545">
        <v>0.5252</v>
      </c>
      <c r="H1014" s="545">
        <v>1050.4000000000001</v>
      </c>
      <c r="I1014" s="547" t="s">
        <v>9009</v>
      </c>
      <c r="J1014" s="547" t="s">
        <v>9015</v>
      </c>
      <c r="K1014" s="547" t="s">
        <v>8996</v>
      </c>
      <c r="L1014" s="537" t="s">
        <v>541</v>
      </c>
    </row>
    <row r="1015" spans="1:12" x14ac:dyDescent="0.2">
      <c r="A1015" s="547" t="s">
        <v>220</v>
      </c>
      <c r="B1015" s="547" t="s">
        <v>588</v>
      </c>
      <c r="C1015" s="547" t="s">
        <v>1767</v>
      </c>
      <c r="D1015" s="547" t="s">
        <v>1768</v>
      </c>
      <c r="E1015" s="547" t="s">
        <v>545</v>
      </c>
      <c r="F1015" s="567">
        <v>3000</v>
      </c>
      <c r="G1015" s="545">
        <v>0.51541355407119638</v>
      </c>
      <c r="H1015" s="545">
        <v>1546.2406622135891</v>
      </c>
      <c r="I1015" s="547" t="s">
        <v>9009</v>
      </c>
      <c r="J1015" s="547" t="s">
        <v>9015</v>
      </c>
      <c r="K1015" s="547" t="s">
        <v>8996</v>
      </c>
      <c r="L1015" s="537" t="s">
        <v>541</v>
      </c>
    </row>
    <row r="1016" spans="1:12" x14ac:dyDescent="0.2">
      <c r="A1016" s="547" t="s">
        <v>220</v>
      </c>
      <c r="B1016" s="547" t="s">
        <v>588</v>
      </c>
      <c r="C1016" s="547" t="s">
        <v>1769</v>
      </c>
      <c r="D1016" s="547" t="s">
        <v>1770</v>
      </c>
      <c r="E1016" s="547" t="s">
        <v>545</v>
      </c>
      <c r="F1016" s="567">
        <v>2500</v>
      </c>
      <c r="G1016" s="545">
        <v>0.68175000000000008</v>
      </c>
      <c r="H1016" s="545">
        <v>1704.3750000000002</v>
      </c>
      <c r="I1016" s="547" t="s">
        <v>9009</v>
      </c>
      <c r="J1016" s="547" t="s">
        <v>9015</v>
      </c>
      <c r="K1016" s="547" t="s">
        <v>8996</v>
      </c>
      <c r="L1016" s="537" t="s">
        <v>541</v>
      </c>
    </row>
    <row r="1017" spans="1:12" x14ac:dyDescent="0.2">
      <c r="A1017" s="547" t="s">
        <v>220</v>
      </c>
      <c r="B1017" s="547" t="s">
        <v>588</v>
      </c>
      <c r="C1017" s="547" t="s">
        <v>1771</v>
      </c>
      <c r="D1017" s="547" t="s">
        <v>9576</v>
      </c>
      <c r="E1017" s="547" t="s">
        <v>545</v>
      </c>
      <c r="F1017" s="567">
        <v>48</v>
      </c>
      <c r="G1017" s="545">
        <v>0.39895000000000003</v>
      </c>
      <c r="H1017" s="545">
        <v>19.1496</v>
      </c>
      <c r="I1017" s="547" t="s">
        <v>9009</v>
      </c>
      <c r="J1017" s="547" t="s">
        <v>9015</v>
      </c>
      <c r="K1017" s="547" t="s">
        <v>8996</v>
      </c>
      <c r="L1017" s="537" t="s">
        <v>541</v>
      </c>
    </row>
    <row r="1018" spans="1:12" x14ac:dyDescent="0.2">
      <c r="A1018" s="547" t="s">
        <v>220</v>
      </c>
      <c r="B1018" s="547" t="s">
        <v>588</v>
      </c>
      <c r="C1018" s="547" t="s">
        <v>1773</v>
      </c>
      <c r="D1018" s="547" t="s">
        <v>1774</v>
      </c>
      <c r="E1018" s="547" t="s">
        <v>545</v>
      </c>
      <c r="F1018" s="567">
        <v>6498</v>
      </c>
      <c r="G1018" s="545">
        <v>0.47469999999999996</v>
      </c>
      <c r="H1018" s="545">
        <v>3084.6005999999998</v>
      </c>
      <c r="I1018" s="547" t="s">
        <v>9009</v>
      </c>
      <c r="J1018" s="547" t="s">
        <v>9015</v>
      </c>
      <c r="K1018" s="547" t="s">
        <v>8996</v>
      </c>
      <c r="L1018" s="537" t="s">
        <v>541</v>
      </c>
    </row>
    <row r="1019" spans="1:12" x14ac:dyDescent="0.2">
      <c r="A1019" s="547" t="s">
        <v>220</v>
      </c>
      <c r="B1019" s="547" t="s">
        <v>588</v>
      </c>
      <c r="C1019" s="547" t="s">
        <v>1775</v>
      </c>
      <c r="D1019" s="547" t="s">
        <v>1776</v>
      </c>
      <c r="E1019" s="547" t="s">
        <v>545</v>
      </c>
      <c r="F1019" s="567">
        <v>2730</v>
      </c>
      <c r="G1019" s="545">
        <v>0.505</v>
      </c>
      <c r="H1019" s="545">
        <v>1378.65</v>
      </c>
      <c r="I1019" s="547" t="s">
        <v>9009</v>
      </c>
      <c r="J1019" s="547" t="s">
        <v>9015</v>
      </c>
      <c r="K1019" s="547" t="s">
        <v>8996</v>
      </c>
      <c r="L1019" s="537" t="s">
        <v>541</v>
      </c>
    </row>
    <row r="1020" spans="1:12" x14ac:dyDescent="0.2">
      <c r="A1020" s="547" t="s">
        <v>220</v>
      </c>
      <c r="B1020" s="547" t="s">
        <v>588</v>
      </c>
      <c r="C1020" s="547" t="s">
        <v>1777</v>
      </c>
      <c r="D1020" s="547" t="s">
        <v>1778</v>
      </c>
      <c r="E1020" s="547" t="s">
        <v>545</v>
      </c>
      <c r="F1020" s="567">
        <v>6930</v>
      </c>
      <c r="G1020" s="545">
        <v>0.57569999999999999</v>
      </c>
      <c r="H1020" s="545">
        <v>3989.6010000000001</v>
      </c>
      <c r="I1020" s="547" t="s">
        <v>9009</v>
      </c>
      <c r="J1020" s="547" t="s">
        <v>9015</v>
      </c>
      <c r="K1020" s="547" t="s">
        <v>8996</v>
      </c>
      <c r="L1020" s="537" t="s">
        <v>541</v>
      </c>
    </row>
    <row r="1021" spans="1:12" x14ac:dyDescent="0.2">
      <c r="A1021" s="547" t="s">
        <v>220</v>
      </c>
      <c r="B1021" s="547" t="s">
        <v>588</v>
      </c>
      <c r="C1021" s="547" t="s">
        <v>1779</v>
      </c>
      <c r="D1021" s="547" t="s">
        <v>1780</v>
      </c>
      <c r="E1021" s="547" t="s">
        <v>545</v>
      </c>
      <c r="F1021" s="567">
        <v>2645</v>
      </c>
      <c r="G1021" s="545">
        <v>0.55044999999999999</v>
      </c>
      <c r="H1021" s="545">
        <v>1455.9402499999999</v>
      </c>
      <c r="I1021" s="547" t="s">
        <v>9009</v>
      </c>
      <c r="J1021" s="547" t="s">
        <v>9015</v>
      </c>
      <c r="K1021" s="547" t="s">
        <v>8996</v>
      </c>
      <c r="L1021" s="537" t="s">
        <v>541</v>
      </c>
    </row>
    <row r="1022" spans="1:12" x14ac:dyDescent="0.2">
      <c r="A1022" s="547" t="s">
        <v>220</v>
      </c>
      <c r="B1022" s="547" t="s">
        <v>588</v>
      </c>
      <c r="C1022" s="547" t="s">
        <v>1781</v>
      </c>
      <c r="D1022" s="547" t="s">
        <v>1782</v>
      </c>
      <c r="E1022" s="547" t="s">
        <v>545</v>
      </c>
      <c r="F1022" s="567">
        <v>3835</v>
      </c>
      <c r="G1022" s="545">
        <v>0.68679999999999997</v>
      </c>
      <c r="H1022" s="545">
        <v>2633.8779999999997</v>
      </c>
      <c r="I1022" s="547" t="s">
        <v>9009</v>
      </c>
      <c r="J1022" s="547" t="s">
        <v>9015</v>
      </c>
      <c r="K1022" s="547" t="s">
        <v>8996</v>
      </c>
      <c r="L1022" s="537" t="s">
        <v>541</v>
      </c>
    </row>
    <row r="1023" spans="1:12" x14ac:dyDescent="0.2">
      <c r="A1023" s="547" t="s">
        <v>220</v>
      </c>
      <c r="B1023" s="547" t="s">
        <v>588</v>
      </c>
      <c r="C1023" s="547" t="s">
        <v>1783</v>
      </c>
      <c r="D1023" s="547" t="s">
        <v>1784</v>
      </c>
      <c r="E1023" s="547" t="s">
        <v>545</v>
      </c>
      <c r="F1023" s="567">
        <v>2080</v>
      </c>
      <c r="G1023" s="545">
        <v>0.22219999999999998</v>
      </c>
      <c r="H1023" s="545">
        <v>462.17599999999999</v>
      </c>
      <c r="I1023" s="547" t="s">
        <v>9009</v>
      </c>
      <c r="J1023" s="547" t="s">
        <v>9015</v>
      </c>
      <c r="K1023" s="547" t="s">
        <v>8996</v>
      </c>
      <c r="L1023" s="537" t="s">
        <v>541</v>
      </c>
    </row>
    <row r="1024" spans="1:12" x14ac:dyDescent="0.2">
      <c r="A1024" s="547" t="s">
        <v>220</v>
      </c>
      <c r="B1024" s="547" t="s">
        <v>588</v>
      </c>
      <c r="C1024" s="547" t="s">
        <v>1785</v>
      </c>
      <c r="D1024" s="547" t="s">
        <v>1786</v>
      </c>
      <c r="E1024" s="547" t="s">
        <v>545</v>
      </c>
      <c r="F1024" s="567">
        <v>2860</v>
      </c>
      <c r="G1024" s="545">
        <v>0.38380000000000003</v>
      </c>
      <c r="H1024" s="545">
        <v>1097.6680000000001</v>
      </c>
      <c r="I1024" s="547" t="s">
        <v>9009</v>
      </c>
      <c r="J1024" s="547" t="s">
        <v>9015</v>
      </c>
      <c r="K1024" s="547" t="s">
        <v>8996</v>
      </c>
      <c r="L1024" s="537" t="s">
        <v>541</v>
      </c>
    </row>
    <row r="1025" spans="1:12" x14ac:dyDescent="0.2">
      <c r="A1025" s="547" t="s">
        <v>220</v>
      </c>
      <c r="B1025" s="547" t="s">
        <v>588</v>
      </c>
      <c r="C1025" s="547" t="s">
        <v>1787</v>
      </c>
      <c r="D1025" s="547" t="s">
        <v>1788</v>
      </c>
      <c r="E1025" s="547" t="s">
        <v>545</v>
      </c>
      <c r="F1025" s="567">
        <v>3480</v>
      </c>
      <c r="G1025" s="545">
        <v>0.38379999999999992</v>
      </c>
      <c r="H1025" s="545">
        <v>1335.6239999999998</v>
      </c>
      <c r="I1025" s="547" t="s">
        <v>9009</v>
      </c>
      <c r="J1025" s="547" t="s">
        <v>9015</v>
      </c>
      <c r="K1025" s="547" t="s">
        <v>8996</v>
      </c>
      <c r="L1025" s="537" t="s">
        <v>541</v>
      </c>
    </row>
    <row r="1026" spans="1:12" x14ac:dyDescent="0.2">
      <c r="A1026" s="547" t="s">
        <v>220</v>
      </c>
      <c r="B1026" s="547" t="s">
        <v>588</v>
      </c>
      <c r="C1026" s="547" t="s">
        <v>9149</v>
      </c>
      <c r="D1026" s="547" t="s">
        <v>9150</v>
      </c>
      <c r="E1026" s="547" t="s">
        <v>545</v>
      </c>
      <c r="F1026" s="567">
        <v>500</v>
      </c>
      <c r="G1026" s="545">
        <v>0.22220000000000001</v>
      </c>
      <c r="H1026" s="545">
        <v>111.10000000000001</v>
      </c>
      <c r="I1026" s="547" t="s">
        <v>9009</v>
      </c>
      <c r="J1026" s="547" t="s">
        <v>9015</v>
      </c>
      <c r="K1026" s="547" t="s">
        <v>8996</v>
      </c>
      <c r="L1026" s="537" t="s">
        <v>541</v>
      </c>
    </row>
    <row r="1027" spans="1:12" x14ac:dyDescent="0.2">
      <c r="A1027" s="547" t="s">
        <v>220</v>
      </c>
      <c r="B1027" s="547" t="s">
        <v>588</v>
      </c>
      <c r="C1027" s="547" t="s">
        <v>9151</v>
      </c>
      <c r="D1027" s="547" t="s">
        <v>9152</v>
      </c>
      <c r="E1027" s="547" t="s">
        <v>545</v>
      </c>
      <c r="F1027" s="567">
        <v>500</v>
      </c>
      <c r="G1027" s="545">
        <v>0.30804999999999999</v>
      </c>
      <c r="H1027" s="545">
        <v>154.02500000000001</v>
      </c>
      <c r="I1027" s="547" t="s">
        <v>9009</v>
      </c>
      <c r="J1027" s="547" t="s">
        <v>9015</v>
      </c>
      <c r="K1027" s="547" t="s">
        <v>8996</v>
      </c>
      <c r="L1027" s="537" t="s">
        <v>541</v>
      </c>
    </row>
    <row r="1028" spans="1:12" x14ac:dyDescent="0.2">
      <c r="A1028" s="547" t="s">
        <v>220</v>
      </c>
      <c r="B1028" s="547" t="s">
        <v>588</v>
      </c>
      <c r="C1028" s="547" t="s">
        <v>9153</v>
      </c>
      <c r="D1028" s="547" t="s">
        <v>9154</v>
      </c>
      <c r="E1028" s="547" t="s">
        <v>545</v>
      </c>
      <c r="F1028" s="567">
        <v>500</v>
      </c>
      <c r="G1028" s="545">
        <v>0.30804999999999999</v>
      </c>
      <c r="H1028" s="545">
        <v>154.02500000000001</v>
      </c>
      <c r="I1028" s="547" t="s">
        <v>9009</v>
      </c>
      <c r="J1028" s="547" t="s">
        <v>9015</v>
      </c>
      <c r="K1028" s="547" t="s">
        <v>8996</v>
      </c>
      <c r="L1028" s="537" t="s">
        <v>541</v>
      </c>
    </row>
    <row r="1029" spans="1:12" x14ac:dyDescent="0.2">
      <c r="A1029" s="547" t="s">
        <v>220</v>
      </c>
      <c r="B1029" s="547" t="s">
        <v>588</v>
      </c>
      <c r="C1029" s="547" t="s">
        <v>9155</v>
      </c>
      <c r="D1029" s="547" t="s">
        <v>9156</v>
      </c>
      <c r="E1029" s="547" t="s">
        <v>545</v>
      </c>
      <c r="F1029" s="567">
        <v>500</v>
      </c>
      <c r="G1029" s="545">
        <v>0.30804999999999999</v>
      </c>
      <c r="H1029" s="545">
        <v>154.02500000000001</v>
      </c>
      <c r="I1029" s="547" t="s">
        <v>9009</v>
      </c>
      <c r="J1029" s="547" t="s">
        <v>9015</v>
      </c>
      <c r="K1029" s="547" t="s">
        <v>8996</v>
      </c>
      <c r="L1029" s="537" t="s">
        <v>541</v>
      </c>
    </row>
    <row r="1030" spans="1:12" x14ac:dyDescent="0.2">
      <c r="A1030" s="547" t="s">
        <v>220</v>
      </c>
      <c r="B1030" s="547" t="s">
        <v>588</v>
      </c>
      <c r="C1030" s="547" t="s">
        <v>9157</v>
      </c>
      <c r="D1030" s="547" t="s">
        <v>9158</v>
      </c>
      <c r="E1030" s="547" t="s">
        <v>545</v>
      </c>
      <c r="F1030" s="567">
        <v>1250</v>
      </c>
      <c r="G1030" s="545">
        <v>0.30804999999999999</v>
      </c>
      <c r="H1030" s="545">
        <v>385.0625</v>
      </c>
      <c r="I1030" s="547" t="s">
        <v>9009</v>
      </c>
      <c r="J1030" s="547" t="s">
        <v>9015</v>
      </c>
      <c r="K1030" s="547" t="s">
        <v>8996</v>
      </c>
      <c r="L1030" s="537" t="s">
        <v>541</v>
      </c>
    </row>
    <row r="1031" spans="1:12" x14ac:dyDescent="0.2">
      <c r="A1031" s="547" t="s">
        <v>220</v>
      </c>
      <c r="B1031" s="547" t="s">
        <v>588</v>
      </c>
      <c r="C1031" s="547" t="s">
        <v>9159</v>
      </c>
      <c r="D1031" s="547" t="s">
        <v>9160</v>
      </c>
      <c r="E1031" s="547" t="s">
        <v>545</v>
      </c>
      <c r="F1031" s="567">
        <v>1250</v>
      </c>
      <c r="G1031" s="545">
        <v>0.30804999999999999</v>
      </c>
      <c r="H1031" s="545">
        <v>385.0625</v>
      </c>
      <c r="I1031" s="547" t="s">
        <v>9009</v>
      </c>
      <c r="J1031" s="547" t="s">
        <v>9015</v>
      </c>
      <c r="K1031" s="547" t="s">
        <v>8996</v>
      </c>
      <c r="L1031" s="537" t="s">
        <v>541</v>
      </c>
    </row>
    <row r="1032" spans="1:12" x14ac:dyDescent="0.2">
      <c r="A1032" s="547" t="s">
        <v>220</v>
      </c>
      <c r="B1032" s="547" t="s">
        <v>588</v>
      </c>
      <c r="C1032" s="547" t="s">
        <v>9161</v>
      </c>
      <c r="D1032" s="547" t="s">
        <v>9162</v>
      </c>
      <c r="E1032" s="547" t="s">
        <v>545</v>
      </c>
      <c r="F1032" s="567">
        <v>1000</v>
      </c>
      <c r="G1032" s="545">
        <v>0.30804999999999999</v>
      </c>
      <c r="H1032" s="545">
        <v>308.05</v>
      </c>
      <c r="I1032" s="547" t="s">
        <v>9009</v>
      </c>
      <c r="J1032" s="547" t="s">
        <v>9015</v>
      </c>
      <c r="K1032" s="547" t="s">
        <v>8996</v>
      </c>
      <c r="L1032" s="537" t="s">
        <v>541</v>
      </c>
    </row>
    <row r="1033" spans="1:12" x14ac:dyDescent="0.2">
      <c r="A1033" s="547" t="s">
        <v>220</v>
      </c>
      <c r="B1033" s="547" t="s">
        <v>588</v>
      </c>
      <c r="C1033" s="547" t="s">
        <v>9163</v>
      </c>
      <c r="D1033" s="547" t="s">
        <v>9164</v>
      </c>
      <c r="E1033" s="547" t="s">
        <v>545</v>
      </c>
      <c r="F1033" s="567">
        <v>1000</v>
      </c>
      <c r="G1033" s="545">
        <v>0.30804999999999999</v>
      </c>
      <c r="H1033" s="545">
        <v>308.05</v>
      </c>
      <c r="I1033" s="547" t="s">
        <v>9009</v>
      </c>
      <c r="J1033" s="547" t="s">
        <v>9015</v>
      </c>
      <c r="K1033" s="547" t="s">
        <v>8996</v>
      </c>
      <c r="L1033" s="537" t="s">
        <v>541</v>
      </c>
    </row>
    <row r="1034" spans="1:12" x14ac:dyDescent="0.2">
      <c r="A1034" s="547" t="s">
        <v>220</v>
      </c>
      <c r="B1034" s="547" t="s">
        <v>588</v>
      </c>
      <c r="C1034" s="547" t="s">
        <v>9165</v>
      </c>
      <c r="D1034" s="547" t="s">
        <v>9166</v>
      </c>
      <c r="E1034" s="547" t="s">
        <v>545</v>
      </c>
      <c r="F1034" s="567">
        <v>1000</v>
      </c>
      <c r="G1034" s="545">
        <v>0.35349999999999998</v>
      </c>
      <c r="H1034" s="545">
        <v>353.5</v>
      </c>
      <c r="I1034" s="547" t="s">
        <v>9009</v>
      </c>
      <c r="J1034" s="547" t="s">
        <v>9015</v>
      </c>
      <c r="K1034" s="547" t="s">
        <v>8996</v>
      </c>
      <c r="L1034" s="537" t="s">
        <v>541</v>
      </c>
    </row>
    <row r="1035" spans="1:12" x14ac:dyDescent="0.2">
      <c r="A1035" s="547" t="s">
        <v>220</v>
      </c>
      <c r="B1035" s="547" t="s">
        <v>588</v>
      </c>
      <c r="C1035" s="547" t="s">
        <v>9167</v>
      </c>
      <c r="D1035" s="547" t="s">
        <v>9168</v>
      </c>
      <c r="E1035" s="547" t="s">
        <v>545</v>
      </c>
      <c r="F1035" s="567">
        <v>1000</v>
      </c>
      <c r="G1035" s="545">
        <v>0.35349999999999998</v>
      </c>
      <c r="H1035" s="545">
        <v>353.5</v>
      </c>
      <c r="I1035" s="547" t="s">
        <v>9009</v>
      </c>
      <c r="J1035" s="547" t="s">
        <v>9015</v>
      </c>
      <c r="K1035" s="547" t="s">
        <v>8996</v>
      </c>
      <c r="L1035" s="537" t="s">
        <v>541</v>
      </c>
    </row>
    <row r="1036" spans="1:12" x14ac:dyDescent="0.2">
      <c r="A1036" s="547" t="s">
        <v>220</v>
      </c>
      <c r="B1036" s="547" t="s">
        <v>588</v>
      </c>
      <c r="C1036" s="547" t="s">
        <v>9169</v>
      </c>
      <c r="D1036" s="547" t="s">
        <v>9170</v>
      </c>
      <c r="E1036" s="547" t="s">
        <v>545</v>
      </c>
      <c r="F1036" s="567">
        <v>500</v>
      </c>
      <c r="G1036" s="545">
        <v>0.48985000000000001</v>
      </c>
      <c r="H1036" s="545">
        <v>244.92500000000001</v>
      </c>
      <c r="I1036" s="547" t="s">
        <v>9009</v>
      </c>
      <c r="J1036" s="547" t="s">
        <v>9015</v>
      </c>
      <c r="K1036" s="547" t="s">
        <v>8996</v>
      </c>
      <c r="L1036" s="537" t="s">
        <v>541</v>
      </c>
    </row>
    <row r="1037" spans="1:12" x14ac:dyDescent="0.2">
      <c r="A1037" s="547" t="s">
        <v>220</v>
      </c>
      <c r="B1037" s="547" t="s">
        <v>588</v>
      </c>
      <c r="C1037" s="547" t="s">
        <v>9171</v>
      </c>
      <c r="D1037" s="547" t="s">
        <v>9172</v>
      </c>
      <c r="E1037" s="547" t="s">
        <v>545</v>
      </c>
      <c r="F1037" s="567">
        <v>2200</v>
      </c>
      <c r="G1037" s="545">
        <v>0.48985000000000001</v>
      </c>
      <c r="H1037" s="545">
        <v>1077.67</v>
      </c>
      <c r="I1037" s="547" t="s">
        <v>9009</v>
      </c>
      <c r="J1037" s="547" t="s">
        <v>9015</v>
      </c>
      <c r="K1037" s="547" t="s">
        <v>8996</v>
      </c>
      <c r="L1037" s="537" t="s">
        <v>541</v>
      </c>
    </row>
    <row r="1038" spans="1:12" x14ac:dyDescent="0.2">
      <c r="A1038" s="547" t="s">
        <v>220</v>
      </c>
      <c r="B1038" s="547" t="s">
        <v>588</v>
      </c>
      <c r="C1038" s="547" t="s">
        <v>9173</v>
      </c>
      <c r="D1038" s="547" t="s">
        <v>9174</v>
      </c>
      <c r="E1038" s="547" t="s">
        <v>545</v>
      </c>
      <c r="F1038" s="567">
        <v>20</v>
      </c>
      <c r="G1038" s="545">
        <v>1.212</v>
      </c>
      <c r="H1038" s="545">
        <v>24.24</v>
      </c>
      <c r="I1038" s="547" t="s">
        <v>9009</v>
      </c>
      <c r="J1038" s="547" t="s">
        <v>9015</v>
      </c>
      <c r="K1038" s="547" t="s">
        <v>8996</v>
      </c>
      <c r="L1038" s="537" t="s">
        <v>541</v>
      </c>
    </row>
    <row r="1039" spans="1:12" x14ac:dyDescent="0.2">
      <c r="A1039" s="547" t="s">
        <v>220</v>
      </c>
      <c r="B1039" s="547" t="s">
        <v>588</v>
      </c>
      <c r="C1039" s="547" t="s">
        <v>9175</v>
      </c>
      <c r="D1039" s="547" t="s">
        <v>9176</v>
      </c>
      <c r="E1039" s="547" t="s">
        <v>545</v>
      </c>
      <c r="F1039" s="567">
        <v>1500</v>
      </c>
      <c r="G1039" s="545">
        <v>0.35349999999999998</v>
      </c>
      <c r="H1039" s="545">
        <v>530.25</v>
      </c>
      <c r="I1039" s="547" t="s">
        <v>9009</v>
      </c>
      <c r="J1039" s="547" t="s">
        <v>9015</v>
      </c>
      <c r="K1039" s="547" t="s">
        <v>8996</v>
      </c>
      <c r="L1039" s="537" t="s">
        <v>541</v>
      </c>
    </row>
    <row r="1040" spans="1:12" x14ac:dyDescent="0.2">
      <c r="A1040" s="547" t="s">
        <v>220</v>
      </c>
      <c r="B1040" s="547" t="s">
        <v>588</v>
      </c>
      <c r="C1040" s="547" t="s">
        <v>1789</v>
      </c>
      <c r="D1040" s="547" t="s">
        <v>1790</v>
      </c>
      <c r="E1040" s="547" t="s">
        <v>545</v>
      </c>
      <c r="F1040" s="567">
        <v>8300</v>
      </c>
      <c r="G1040" s="545">
        <v>0.11614816070087436</v>
      </c>
      <c r="H1040" s="545">
        <v>964.02973381725712</v>
      </c>
      <c r="I1040" s="547" t="s">
        <v>9009</v>
      </c>
      <c r="J1040" s="547" t="s">
        <v>9015</v>
      </c>
      <c r="K1040" s="547" t="s">
        <v>8996</v>
      </c>
      <c r="L1040" s="537" t="s">
        <v>541</v>
      </c>
    </row>
    <row r="1041" spans="1:12" x14ac:dyDescent="0.2">
      <c r="A1041" s="547" t="s">
        <v>220</v>
      </c>
      <c r="B1041" s="547" t="s">
        <v>588</v>
      </c>
      <c r="C1041" s="547" t="s">
        <v>1793</v>
      </c>
      <c r="D1041" s="547" t="s">
        <v>1794</v>
      </c>
      <c r="E1041" s="547" t="s">
        <v>545</v>
      </c>
      <c r="F1041" s="567">
        <v>7500</v>
      </c>
      <c r="G1041" s="545">
        <v>0.1313</v>
      </c>
      <c r="H1041" s="545">
        <v>984.75</v>
      </c>
      <c r="I1041" s="547" t="s">
        <v>9009</v>
      </c>
      <c r="J1041" s="547" t="s">
        <v>9015</v>
      </c>
      <c r="K1041" s="547" t="s">
        <v>8996</v>
      </c>
      <c r="L1041" s="537" t="s">
        <v>541</v>
      </c>
    </row>
    <row r="1042" spans="1:12" x14ac:dyDescent="0.2">
      <c r="A1042" s="547" t="s">
        <v>220</v>
      </c>
      <c r="B1042" s="547" t="s">
        <v>588</v>
      </c>
      <c r="C1042" s="547" t="s">
        <v>1795</v>
      </c>
      <c r="D1042" s="547" t="s">
        <v>1796</v>
      </c>
      <c r="E1042" s="547" t="s">
        <v>545</v>
      </c>
      <c r="F1042" s="567">
        <v>900</v>
      </c>
      <c r="G1042" s="545">
        <v>0.1212</v>
      </c>
      <c r="H1042" s="545">
        <v>109.08</v>
      </c>
      <c r="I1042" s="547" t="s">
        <v>9009</v>
      </c>
      <c r="J1042" s="547" t="s">
        <v>9015</v>
      </c>
      <c r="K1042" s="547" t="s">
        <v>8996</v>
      </c>
      <c r="L1042" s="537" t="s">
        <v>541</v>
      </c>
    </row>
    <row r="1043" spans="1:12" x14ac:dyDescent="0.2">
      <c r="A1043" s="547" t="s">
        <v>220</v>
      </c>
      <c r="B1043" s="547" t="s">
        <v>588</v>
      </c>
      <c r="C1043" s="547" t="s">
        <v>9577</v>
      </c>
      <c r="D1043" s="547" t="s">
        <v>9578</v>
      </c>
      <c r="E1043" s="547" t="s">
        <v>545</v>
      </c>
      <c r="F1043" s="552">
        <v>25000</v>
      </c>
      <c r="G1043" s="545">
        <v>0.1313</v>
      </c>
      <c r="H1043" s="545">
        <v>3282.5</v>
      </c>
      <c r="I1043" s="547" t="s">
        <v>9009</v>
      </c>
      <c r="J1043" s="547" t="s">
        <v>9015</v>
      </c>
      <c r="K1043" s="547" t="s">
        <v>8996</v>
      </c>
      <c r="L1043" s="537" t="s">
        <v>541</v>
      </c>
    </row>
    <row r="1044" spans="1:12" x14ac:dyDescent="0.2">
      <c r="A1044" s="547" t="s">
        <v>220</v>
      </c>
      <c r="B1044" s="547" t="s">
        <v>588</v>
      </c>
      <c r="C1044" s="547" t="s">
        <v>1797</v>
      </c>
      <c r="D1044" s="547" t="s">
        <v>1798</v>
      </c>
      <c r="E1044" s="547" t="s">
        <v>545</v>
      </c>
      <c r="F1044" s="567">
        <v>500</v>
      </c>
      <c r="G1044" s="545">
        <v>12.024027149321267</v>
      </c>
      <c r="H1044" s="545">
        <v>6012.0135746606329</v>
      </c>
      <c r="I1044" s="547" t="s">
        <v>9009</v>
      </c>
      <c r="J1044" s="547" t="s">
        <v>9147</v>
      </c>
      <c r="K1044" s="547" t="s">
        <v>8996</v>
      </c>
      <c r="L1044" s="537" t="s">
        <v>541</v>
      </c>
    </row>
    <row r="1045" spans="1:12" x14ac:dyDescent="0.2">
      <c r="A1045" s="547" t="s">
        <v>220</v>
      </c>
      <c r="B1045" s="547" t="s">
        <v>588</v>
      </c>
      <c r="C1045" s="547" t="s">
        <v>1799</v>
      </c>
      <c r="D1045" s="547" t="s">
        <v>1800</v>
      </c>
      <c r="E1045" s="547" t="s">
        <v>545</v>
      </c>
      <c r="F1045" s="567">
        <v>3065</v>
      </c>
      <c r="G1045" s="545">
        <v>0.51782191171884295</v>
      </c>
      <c r="H1045" s="545">
        <v>1587.1241594182536</v>
      </c>
      <c r="I1045" s="547" t="s">
        <v>9009</v>
      </c>
      <c r="J1045" s="547" t="s">
        <v>9015</v>
      </c>
      <c r="K1045" s="547" t="s">
        <v>8996</v>
      </c>
      <c r="L1045" s="537" t="s">
        <v>541</v>
      </c>
    </row>
    <row r="1046" spans="1:12" x14ac:dyDescent="0.2">
      <c r="A1046" s="547" t="s">
        <v>220</v>
      </c>
      <c r="B1046" s="547" t="s">
        <v>588</v>
      </c>
      <c r="C1046" s="547" t="s">
        <v>1801</v>
      </c>
      <c r="D1046" s="547" t="s">
        <v>1802</v>
      </c>
      <c r="E1046" s="547" t="s">
        <v>545</v>
      </c>
      <c r="F1046" s="567">
        <v>57</v>
      </c>
      <c r="G1046" s="545">
        <v>0.22000000000000003</v>
      </c>
      <c r="H1046" s="545">
        <v>12.540000000000001</v>
      </c>
      <c r="I1046" s="547" t="s">
        <v>9009</v>
      </c>
      <c r="J1046" s="547" t="s">
        <v>9015</v>
      </c>
      <c r="K1046" s="547" t="s">
        <v>8996</v>
      </c>
      <c r="L1046" s="537" t="s">
        <v>541</v>
      </c>
    </row>
    <row r="1047" spans="1:12" x14ac:dyDescent="0.2">
      <c r="A1047" s="547" t="s">
        <v>220</v>
      </c>
      <c r="B1047" s="547" t="s">
        <v>588</v>
      </c>
      <c r="C1047" s="547" t="s">
        <v>1803</v>
      </c>
      <c r="D1047" s="547" t="s">
        <v>1804</v>
      </c>
      <c r="E1047" s="547" t="s">
        <v>545</v>
      </c>
      <c r="F1047" s="567">
        <v>230</v>
      </c>
      <c r="G1047" s="545">
        <v>0.253</v>
      </c>
      <c r="H1047" s="545">
        <v>58.19</v>
      </c>
      <c r="I1047" s="547" t="s">
        <v>9009</v>
      </c>
      <c r="J1047" s="547" t="s">
        <v>9015</v>
      </c>
      <c r="K1047" s="547" t="s">
        <v>8996</v>
      </c>
      <c r="L1047" s="537" t="s">
        <v>541</v>
      </c>
    </row>
    <row r="1048" spans="1:12" x14ac:dyDescent="0.2">
      <c r="A1048" s="547" t="s">
        <v>220</v>
      </c>
      <c r="B1048" s="547" t="s">
        <v>588</v>
      </c>
      <c r="C1048" s="547" t="s">
        <v>1805</v>
      </c>
      <c r="D1048" s="547" t="s">
        <v>1806</v>
      </c>
      <c r="E1048" s="547" t="s">
        <v>545</v>
      </c>
      <c r="F1048" s="567">
        <v>35</v>
      </c>
      <c r="G1048" s="545">
        <v>0.29099999999999998</v>
      </c>
      <c r="H1048" s="545">
        <v>10.184999999999999</v>
      </c>
      <c r="I1048" s="547" t="s">
        <v>9009</v>
      </c>
      <c r="J1048" s="547" t="s">
        <v>9015</v>
      </c>
      <c r="K1048" s="547" t="s">
        <v>8996</v>
      </c>
      <c r="L1048" s="537" t="s">
        <v>541</v>
      </c>
    </row>
    <row r="1049" spans="1:12" x14ac:dyDescent="0.2">
      <c r="A1049" s="547" t="s">
        <v>220</v>
      </c>
      <c r="B1049" s="547" t="s">
        <v>588</v>
      </c>
      <c r="C1049" s="547" t="s">
        <v>1807</v>
      </c>
      <c r="D1049" s="547" t="s">
        <v>1808</v>
      </c>
      <c r="E1049" s="547" t="s">
        <v>545</v>
      </c>
      <c r="F1049" s="567">
        <v>168</v>
      </c>
      <c r="G1049" s="545">
        <v>0.10925000000000001</v>
      </c>
      <c r="H1049" s="545">
        <v>18.354000000000003</v>
      </c>
      <c r="I1049" s="547" t="s">
        <v>9009</v>
      </c>
      <c r="J1049" s="547" t="s">
        <v>9015</v>
      </c>
      <c r="K1049" s="547" t="s">
        <v>8996</v>
      </c>
      <c r="L1049" s="537" t="s">
        <v>541</v>
      </c>
    </row>
    <row r="1050" spans="1:12" x14ac:dyDescent="0.2">
      <c r="A1050" s="547" t="s">
        <v>220</v>
      </c>
      <c r="B1050" s="547" t="s">
        <v>588</v>
      </c>
      <c r="C1050" s="547" t="s">
        <v>1809</v>
      </c>
      <c r="D1050" s="547" t="s">
        <v>1810</v>
      </c>
      <c r="E1050" s="547" t="s">
        <v>545</v>
      </c>
      <c r="F1050" s="567">
        <v>340</v>
      </c>
      <c r="G1050" s="545">
        <v>0.13355081967213117</v>
      </c>
      <c r="H1050" s="545">
        <v>45.407278688524599</v>
      </c>
      <c r="I1050" s="547" t="s">
        <v>9009</v>
      </c>
      <c r="J1050" s="547" t="s">
        <v>9015</v>
      </c>
      <c r="K1050" s="547" t="s">
        <v>8996</v>
      </c>
      <c r="L1050" s="537" t="s">
        <v>541</v>
      </c>
    </row>
    <row r="1051" spans="1:12" x14ac:dyDescent="0.2">
      <c r="A1051" s="547" t="s">
        <v>220</v>
      </c>
      <c r="B1051" s="547" t="s">
        <v>588</v>
      </c>
      <c r="C1051" s="547" t="s">
        <v>1811</v>
      </c>
      <c r="D1051" s="547" t="s">
        <v>1812</v>
      </c>
      <c r="E1051" s="547" t="s">
        <v>545</v>
      </c>
      <c r="F1051" s="567">
        <v>103</v>
      </c>
      <c r="G1051" s="545">
        <v>0.152</v>
      </c>
      <c r="H1051" s="545">
        <v>15.655999999999999</v>
      </c>
      <c r="I1051" s="547" t="s">
        <v>9009</v>
      </c>
      <c r="J1051" s="547" t="s">
        <v>9015</v>
      </c>
      <c r="K1051" s="547" t="s">
        <v>8996</v>
      </c>
      <c r="L1051" s="537" t="s">
        <v>541</v>
      </c>
    </row>
    <row r="1052" spans="1:12" x14ac:dyDescent="0.2">
      <c r="A1052" s="547" t="s">
        <v>220</v>
      </c>
      <c r="B1052" s="547" t="s">
        <v>588</v>
      </c>
      <c r="C1052" s="547" t="s">
        <v>1813</v>
      </c>
      <c r="D1052" s="547" t="s">
        <v>1814</v>
      </c>
      <c r="E1052" s="547" t="s">
        <v>545</v>
      </c>
      <c r="F1052" s="567">
        <v>653</v>
      </c>
      <c r="G1052" s="545">
        <v>0.19</v>
      </c>
      <c r="H1052" s="545">
        <v>124.07000000000001</v>
      </c>
      <c r="I1052" s="547" t="s">
        <v>9009</v>
      </c>
      <c r="J1052" s="547" t="s">
        <v>9015</v>
      </c>
      <c r="K1052" s="547" t="s">
        <v>8996</v>
      </c>
      <c r="L1052" s="537" t="s">
        <v>541</v>
      </c>
    </row>
    <row r="1053" spans="1:12" x14ac:dyDescent="0.2">
      <c r="A1053" s="547" t="s">
        <v>220</v>
      </c>
      <c r="B1053" s="547" t="s">
        <v>588</v>
      </c>
      <c r="C1053" s="547" t="s">
        <v>1815</v>
      </c>
      <c r="D1053" s="547" t="s">
        <v>1816</v>
      </c>
      <c r="E1053" s="547" t="s">
        <v>545</v>
      </c>
      <c r="F1053" s="567">
        <v>14</v>
      </c>
      <c r="G1053" s="545">
        <v>0.11</v>
      </c>
      <c r="H1053" s="545">
        <v>1.54</v>
      </c>
      <c r="I1053" s="547" t="s">
        <v>9009</v>
      </c>
      <c r="J1053" s="547" t="s">
        <v>9015</v>
      </c>
      <c r="K1053" s="547" t="s">
        <v>8996</v>
      </c>
      <c r="L1053" s="537" t="s">
        <v>541</v>
      </c>
    </row>
    <row r="1054" spans="1:12" x14ac:dyDescent="0.2">
      <c r="A1054" s="547" t="s">
        <v>220</v>
      </c>
      <c r="B1054" s="547" t="s">
        <v>588</v>
      </c>
      <c r="C1054" s="547" t="s">
        <v>1817</v>
      </c>
      <c r="D1054" s="547" t="s">
        <v>1818</v>
      </c>
      <c r="E1054" s="547" t="s">
        <v>545</v>
      </c>
      <c r="F1054" s="567">
        <v>267</v>
      </c>
      <c r="G1054" s="545">
        <v>0.12654081632653061</v>
      </c>
      <c r="H1054" s="545">
        <v>33.786397959183674</v>
      </c>
      <c r="I1054" s="547" t="s">
        <v>9009</v>
      </c>
      <c r="J1054" s="547" t="s">
        <v>9015</v>
      </c>
      <c r="K1054" s="547" t="s">
        <v>8996</v>
      </c>
      <c r="L1054" s="537" t="s">
        <v>541</v>
      </c>
    </row>
    <row r="1055" spans="1:12" x14ac:dyDescent="0.2">
      <c r="A1055" s="547" t="s">
        <v>220</v>
      </c>
      <c r="B1055" s="547" t="s">
        <v>588</v>
      </c>
      <c r="C1055" s="547" t="s">
        <v>1819</v>
      </c>
      <c r="D1055" s="547" t="s">
        <v>1820</v>
      </c>
      <c r="E1055" s="547" t="s">
        <v>545</v>
      </c>
      <c r="F1055" s="567">
        <v>1000</v>
      </c>
      <c r="G1055" s="545">
        <v>0.14552119499394428</v>
      </c>
      <c r="H1055" s="545">
        <v>145.52119499394428</v>
      </c>
      <c r="I1055" s="547" t="s">
        <v>9009</v>
      </c>
      <c r="J1055" s="547" t="s">
        <v>9015</v>
      </c>
      <c r="K1055" s="547" t="s">
        <v>8996</v>
      </c>
      <c r="L1055" s="537" t="s">
        <v>541</v>
      </c>
    </row>
    <row r="1056" spans="1:12" x14ac:dyDescent="0.2">
      <c r="A1056" s="547" t="s">
        <v>220</v>
      </c>
      <c r="B1056" s="547" t="s">
        <v>588</v>
      </c>
      <c r="C1056" s="547" t="s">
        <v>1821</v>
      </c>
      <c r="D1056" s="547" t="s">
        <v>1822</v>
      </c>
      <c r="E1056" s="547" t="s">
        <v>545</v>
      </c>
      <c r="F1056" s="567">
        <v>780</v>
      </c>
      <c r="G1056" s="545">
        <v>5.3529999999999998</v>
      </c>
      <c r="H1056" s="545">
        <v>4175.34</v>
      </c>
      <c r="I1056" s="547" t="s">
        <v>9009</v>
      </c>
      <c r="J1056" s="547" t="s">
        <v>9015</v>
      </c>
      <c r="K1056" s="547" t="s">
        <v>8996</v>
      </c>
      <c r="L1056" s="537" t="s">
        <v>541</v>
      </c>
    </row>
    <row r="1057" spans="1:12" x14ac:dyDescent="0.2">
      <c r="A1057" s="547" t="s">
        <v>220</v>
      </c>
      <c r="B1057" s="547" t="s">
        <v>588</v>
      </c>
      <c r="C1057" s="547" t="s">
        <v>1823</v>
      </c>
      <c r="D1057" s="547" t="s">
        <v>1824</v>
      </c>
      <c r="E1057" s="547" t="s">
        <v>545</v>
      </c>
      <c r="F1057" s="567">
        <v>520</v>
      </c>
      <c r="G1057" s="545">
        <v>5.5549999999999997</v>
      </c>
      <c r="H1057" s="545">
        <v>2888.6</v>
      </c>
      <c r="I1057" s="547" t="s">
        <v>9009</v>
      </c>
      <c r="J1057" s="547" t="s">
        <v>9015</v>
      </c>
      <c r="K1057" s="547" t="s">
        <v>8996</v>
      </c>
      <c r="L1057" s="537" t="s">
        <v>541</v>
      </c>
    </row>
    <row r="1058" spans="1:12" x14ac:dyDescent="0.2">
      <c r="A1058" s="547" t="s">
        <v>220</v>
      </c>
      <c r="B1058" s="547" t="s">
        <v>588</v>
      </c>
      <c r="C1058" s="547" t="s">
        <v>1825</v>
      </c>
      <c r="D1058" s="547" t="s">
        <v>1826</v>
      </c>
      <c r="E1058" s="547" t="s">
        <v>545</v>
      </c>
      <c r="F1058" s="567">
        <v>895</v>
      </c>
      <c r="G1058" s="545">
        <v>4.8479999999999999</v>
      </c>
      <c r="H1058" s="545">
        <v>4338.96</v>
      </c>
      <c r="I1058" s="547" t="s">
        <v>9009</v>
      </c>
      <c r="J1058" s="547" t="s">
        <v>9015</v>
      </c>
      <c r="K1058" s="547" t="s">
        <v>8996</v>
      </c>
      <c r="L1058" s="537" t="s">
        <v>541</v>
      </c>
    </row>
    <row r="1059" spans="1:12" x14ac:dyDescent="0.2">
      <c r="A1059" s="547" t="s">
        <v>220</v>
      </c>
      <c r="B1059" s="547" t="s">
        <v>588</v>
      </c>
      <c r="C1059" s="547" t="s">
        <v>1827</v>
      </c>
      <c r="D1059" s="547" t="s">
        <v>1828</v>
      </c>
      <c r="E1059" s="547" t="s">
        <v>545</v>
      </c>
      <c r="F1059" s="567">
        <v>1000</v>
      </c>
      <c r="G1059" s="545">
        <v>7.3730000000000002</v>
      </c>
      <c r="H1059" s="545">
        <v>7373</v>
      </c>
      <c r="I1059" s="547" t="s">
        <v>9009</v>
      </c>
      <c r="J1059" s="547" t="s">
        <v>9015</v>
      </c>
      <c r="K1059" s="547" t="s">
        <v>8996</v>
      </c>
      <c r="L1059" s="537" t="s">
        <v>541</v>
      </c>
    </row>
    <row r="1060" spans="1:12" x14ac:dyDescent="0.2">
      <c r="A1060" s="547" t="s">
        <v>220</v>
      </c>
      <c r="B1060" s="547" t="s">
        <v>588</v>
      </c>
      <c r="C1060" s="547" t="s">
        <v>1829</v>
      </c>
      <c r="D1060" s="547" t="s">
        <v>1830</v>
      </c>
      <c r="E1060" s="547" t="s">
        <v>545</v>
      </c>
      <c r="F1060" s="567">
        <v>866</v>
      </c>
      <c r="G1060" s="545">
        <v>5.05</v>
      </c>
      <c r="H1060" s="545">
        <v>4373.3</v>
      </c>
      <c r="I1060" s="547" t="s">
        <v>9009</v>
      </c>
      <c r="J1060" s="547" t="s">
        <v>9015</v>
      </c>
      <c r="K1060" s="547" t="s">
        <v>8996</v>
      </c>
      <c r="L1060" s="537" t="s">
        <v>541</v>
      </c>
    </row>
    <row r="1061" spans="1:12" x14ac:dyDescent="0.2">
      <c r="A1061" s="547" t="s">
        <v>220</v>
      </c>
      <c r="B1061" s="547" t="s">
        <v>588</v>
      </c>
      <c r="C1061" s="547" t="s">
        <v>1831</v>
      </c>
      <c r="D1061" s="547" t="s">
        <v>1832</v>
      </c>
      <c r="E1061" s="547" t="s">
        <v>545</v>
      </c>
      <c r="F1061" s="567">
        <v>660</v>
      </c>
      <c r="G1061" s="545">
        <v>5.9589999999999996</v>
      </c>
      <c r="H1061" s="545">
        <v>3932.9399999999996</v>
      </c>
      <c r="I1061" s="547" t="s">
        <v>9009</v>
      </c>
      <c r="J1061" s="547" t="s">
        <v>9015</v>
      </c>
      <c r="K1061" s="547" t="s">
        <v>8996</v>
      </c>
      <c r="L1061" s="537" t="s">
        <v>541</v>
      </c>
    </row>
    <row r="1062" spans="1:12" x14ac:dyDescent="0.2">
      <c r="A1062" s="547" t="s">
        <v>220</v>
      </c>
      <c r="B1062" s="547" t="s">
        <v>588</v>
      </c>
      <c r="C1062" s="547" t="s">
        <v>1833</v>
      </c>
      <c r="D1062" s="547" t="s">
        <v>1834</v>
      </c>
      <c r="E1062" s="547" t="s">
        <v>545</v>
      </c>
      <c r="F1062" s="567">
        <v>750</v>
      </c>
      <c r="G1062" s="545">
        <v>6.3630000000000004</v>
      </c>
      <c r="H1062" s="545">
        <v>4772.25</v>
      </c>
      <c r="I1062" s="547" t="s">
        <v>9009</v>
      </c>
      <c r="J1062" s="547" t="s">
        <v>9015</v>
      </c>
      <c r="K1062" s="547" t="s">
        <v>8996</v>
      </c>
      <c r="L1062" s="537" t="s">
        <v>541</v>
      </c>
    </row>
    <row r="1063" spans="1:12" x14ac:dyDescent="0.2">
      <c r="A1063" s="547" t="s">
        <v>220</v>
      </c>
      <c r="B1063" s="547" t="s">
        <v>588</v>
      </c>
      <c r="C1063" s="547" t="s">
        <v>1835</v>
      </c>
      <c r="D1063" s="547" t="s">
        <v>1836</v>
      </c>
      <c r="E1063" s="547" t="s">
        <v>545</v>
      </c>
      <c r="F1063" s="567">
        <v>909</v>
      </c>
      <c r="G1063" s="545">
        <v>7.676000000000001</v>
      </c>
      <c r="H1063" s="545">
        <v>6977.4840000000013</v>
      </c>
      <c r="I1063" s="547" t="s">
        <v>9009</v>
      </c>
      <c r="J1063" s="547" t="s">
        <v>9015</v>
      </c>
      <c r="K1063" s="547" t="s">
        <v>8996</v>
      </c>
      <c r="L1063" s="537" t="s">
        <v>541</v>
      </c>
    </row>
    <row r="1064" spans="1:12" x14ac:dyDescent="0.2">
      <c r="A1064" s="547" t="s">
        <v>220</v>
      </c>
      <c r="B1064" s="547" t="s">
        <v>588</v>
      </c>
      <c r="C1064" s="547" t="s">
        <v>7548</v>
      </c>
      <c r="D1064" s="547" t="s">
        <v>7549</v>
      </c>
      <c r="E1064" s="547" t="s">
        <v>545</v>
      </c>
      <c r="F1064" s="567">
        <v>300</v>
      </c>
      <c r="G1064" s="545">
        <v>5.2519999999999998</v>
      </c>
      <c r="H1064" s="545">
        <v>1575.6</v>
      </c>
      <c r="I1064" s="547" t="s">
        <v>9009</v>
      </c>
      <c r="J1064" s="547" t="s">
        <v>9015</v>
      </c>
      <c r="K1064" s="547" t="s">
        <v>8996</v>
      </c>
      <c r="L1064" s="537" t="s">
        <v>541</v>
      </c>
    </row>
    <row r="1065" spans="1:12" x14ac:dyDescent="0.2">
      <c r="A1065" s="547" t="s">
        <v>220</v>
      </c>
      <c r="B1065" s="547" t="s">
        <v>588</v>
      </c>
      <c r="C1065" s="547" t="s">
        <v>1837</v>
      </c>
      <c r="D1065" s="547" t="s">
        <v>1838</v>
      </c>
      <c r="E1065" s="547" t="s">
        <v>545</v>
      </c>
      <c r="F1065" s="567">
        <v>1100</v>
      </c>
      <c r="G1065" s="545">
        <v>5.3529999999999998</v>
      </c>
      <c r="H1065" s="545">
        <v>5888.3</v>
      </c>
      <c r="I1065" s="547" t="s">
        <v>9009</v>
      </c>
      <c r="J1065" s="547" t="s">
        <v>9015</v>
      </c>
      <c r="K1065" s="547" t="s">
        <v>8996</v>
      </c>
      <c r="L1065" s="537" t="s">
        <v>541</v>
      </c>
    </row>
    <row r="1066" spans="1:12" x14ac:dyDescent="0.2">
      <c r="A1066" s="547" t="s">
        <v>220</v>
      </c>
      <c r="B1066" s="547" t="s">
        <v>588</v>
      </c>
      <c r="C1066" s="547" t="s">
        <v>1839</v>
      </c>
      <c r="D1066" s="547" t="s">
        <v>1840</v>
      </c>
      <c r="E1066" s="547" t="s">
        <v>545</v>
      </c>
      <c r="F1066" s="567">
        <v>464</v>
      </c>
      <c r="G1066" s="545">
        <v>5.5549999999999997</v>
      </c>
      <c r="H1066" s="545">
        <v>2577.52</v>
      </c>
      <c r="I1066" s="547" t="s">
        <v>9009</v>
      </c>
      <c r="J1066" s="547" t="s">
        <v>9015</v>
      </c>
      <c r="K1066" s="547" t="s">
        <v>8996</v>
      </c>
      <c r="L1066" s="537" t="s">
        <v>541</v>
      </c>
    </row>
    <row r="1067" spans="1:12" x14ac:dyDescent="0.2">
      <c r="A1067" s="547" t="s">
        <v>220</v>
      </c>
      <c r="B1067" s="547" t="s">
        <v>588</v>
      </c>
      <c r="C1067" s="547" t="s">
        <v>7550</v>
      </c>
      <c r="D1067" s="547" t="s">
        <v>7551</v>
      </c>
      <c r="E1067" s="547" t="s">
        <v>545</v>
      </c>
      <c r="F1067" s="567">
        <v>175</v>
      </c>
      <c r="G1067" s="545">
        <v>4.8479999999999999</v>
      </c>
      <c r="H1067" s="545">
        <v>848.4</v>
      </c>
      <c r="I1067" s="547" t="s">
        <v>9009</v>
      </c>
      <c r="J1067" s="547" t="s">
        <v>9015</v>
      </c>
      <c r="K1067" s="547" t="s">
        <v>8996</v>
      </c>
      <c r="L1067" s="537" t="s">
        <v>541</v>
      </c>
    </row>
    <row r="1068" spans="1:12" x14ac:dyDescent="0.2">
      <c r="A1068" s="547" t="s">
        <v>220</v>
      </c>
      <c r="B1068" s="547" t="s">
        <v>588</v>
      </c>
      <c r="C1068" s="547" t="s">
        <v>7552</v>
      </c>
      <c r="D1068" s="547" t="s">
        <v>7553</v>
      </c>
      <c r="E1068" s="547" t="s">
        <v>545</v>
      </c>
      <c r="F1068" s="567">
        <v>90</v>
      </c>
      <c r="G1068" s="545">
        <v>4.8479999999999999</v>
      </c>
      <c r="H1068" s="545">
        <v>436.32</v>
      </c>
      <c r="I1068" s="547" t="s">
        <v>9009</v>
      </c>
      <c r="J1068" s="547" t="s">
        <v>9015</v>
      </c>
      <c r="K1068" s="547" t="s">
        <v>8996</v>
      </c>
      <c r="L1068" s="537" t="s">
        <v>541</v>
      </c>
    </row>
    <row r="1069" spans="1:12" x14ac:dyDescent="0.2">
      <c r="A1069" s="547" t="s">
        <v>220</v>
      </c>
      <c r="B1069" s="547" t="s">
        <v>588</v>
      </c>
      <c r="C1069" s="547" t="s">
        <v>1841</v>
      </c>
      <c r="D1069" s="547" t="s">
        <v>1842</v>
      </c>
      <c r="E1069" s="547" t="s">
        <v>545</v>
      </c>
      <c r="F1069" s="567">
        <v>769</v>
      </c>
      <c r="G1069" s="545">
        <v>7.3730000000000002</v>
      </c>
      <c r="H1069" s="545">
        <v>5669.8370000000004</v>
      </c>
      <c r="I1069" s="547" t="s">
        <v>9009</v>
      </c>
      <c r="J1069" s="547" t="s">
        <v>9015</v>
      </c>
      <c r="K1069" s="547" t="s">
        <v>8996</v>
      </c>
      <c r="L1069" s="537" t="s">
        <v>541</v>
      </c>
    </row>
    <row r="1070" spans="1:12" x14ac:dyDescent="0.2">
      <c r="A1070" s="547" t="s">
        <v>220</v>
      </c>
      <c r="B1070" s="547" t="s">
        <v>588</v>
      </c>
      <c r="C1070" s="547" t="s">
        <v>1843</v>
      </c>
      <c r="D1070" s="547" t="s">
        <v>1844</v>
      </c>
      <c r="E1070" s="547" t="s">
        <v>545</v>
      </c>
      <c r="F1070" s="567">
        <v>975</v>
      </c>
      <c r="G1070" s="545">
        <v>7.3730000000000002</v>
      </c>
      <c r="H1070" s="545">
        <v>7188.6750000000002</v>
      </c>
      <c r="I1070" s="547" t="s">
        <v>9009</v>
      </c>
      <c r="J1070" s="547" t="s">
        <v>9015</v>
      </c>
      <c r="K1070" s="547" t="s">
        <v>8996</v>
      </c>
      <c r="L1070" s="537" t="s">
        <v>541</v>
      </c>
    </row>
    <row r="1071" spans="1:12" x14ac:dyDescent="0.2">
      <c r="A1071" s="547" t="s">
        <v>220</v>
      </c>
      <c r="B1071" s="547" t="s">
        <v>588</v>
      </c>
      <c r="C1071" s="547" t="s">
        <v>1845</v>
      </c>
      <c r="D1071" s="547" t="s">
        <v>1846</v>
      </c>
      <c r="E1071" s="547" t="s">
        <v>545</v>
      </c>
      <c r="F1071" s="567">
        <v>1083</v>
      </c>
      <c r="G1071" s="545">
        <v>4.8985000000000003</v>
      </c>
      <c r="H1071" s="545">
        <v>5305.0754999999999</v>
      </c>
      <c r="I1071" s="547" t="s">
        <v>9009</v>
      </c>
      <c r="J1071" s="547" t="s">
        <v>9015</v>
      </c>
      <c r="K1071" s="547" t="s">
        <v>8996</v>
      </c>
      <c r="L1071" s="537" t="s">
        <v>541</v>
      </c>
    </row>
    <row r="1072" spans="1:12" x14ac:dyDescent="0.2">
      <c r="A1072" s="547" t="s">
        <v>220</v>
      </c>
      <c r="B1072" s="547" t="s">
        <v>588</v>
      </c>
      <c r="C1072" s="547" t="s">
        <v>1847</v>
      </c>
      <c r="D1072" s="547" t="s">
        <v>1846</v>
      </c>
      <c r="E1072" s="547" t="s">
        <v>545</v>
      </c>
      <c r="F1072" s="567">
        <v>948</v>
      </c>
      <c r="G1072" s="545">
        <v>4.964672413793104</v>
      </c>
      <c r="H1072" s="545">
        <v>4706.5094482758623</v>
      </c>
      <c r="I1072" s="547" t="s">
        <v>9009</v>
      </c>
      <c r="J1072" s="547" t="s">
        <v>9015</v>
      </c>
      <c r="K1072" s="547" t="s">
        <v>8996</v>
      </c>
      <c r="L1072" s="537" t="s">
        <v>541</v>
      </c>
    </row>
    <row r="1073" spans="1:12" x14ac:dyDescent="0.2">
      <c r="A1073" s="547" t="s">
        <v>220</v>
      </c>
      <c r="B1073" s="547" t="s">
        <v>588</v>
      </c>
      <c r="C1073" s="547" t="s">
        <v>1848</v>
      </c>
      <c r="D1073" s="547" t="s">
        <v>1849</v>
      </c>
      <c r="E1073" s="547" t="s">
        <v>545</v>
      </c>
      <c r="F1073" s="567">
        <v>89</v>
      </c>
      <c r="G1073" s="545">
        <v>5.7569999999999997</v>
      </c>
      <c r="H1073" s="545">
        <v>512.37299999999993</v>
      </c>
      <c r="I1073" s="547" t="s">
        <v>9009</v>
      </c>
      <c r="J1073" s="547" t="s">
        <v>9015</v>
      </c>
      <c r="K1073" s="547" t="s">
        <v>8996</v>
      </c>
      <c r="L1073" s="537" t="s">
        <v>541</v>
      </c>
    </row>
    <row r="1074" spans="1:12" x14ac:dyDescent="0.2">
      <c r="A1074" s="547" t="s">
        <v>220</v>
      </c>
      <c r="B1074" s="547" t="s">
        <v>588</v>
      </c>
      <c r="C1074" s="547" t="s">
        <v>1850</v>
      </c>
      <c r="D1074" s="547" t="s">
        <v>1851</v>
      </c>
      <c r="E1074" s="547" t="s">
        <v>545</v>
      </c>
      <c r="F1074" s="567">
        <v>665</v>
      </c>
      <c r="G1074" s="545">
        <v>5.9589999999999996</v>
      </c>
      <c r="H1074" s="545">
        <v>3962.7349999999997</v>
      </c>
      <c r="I1074" s="547" t="s">
        <v>9009</v>
      </c>
      <c r="J1074" s="547" t="s">
        <v>9015</v>
      </c>
      <c r="K1074" s="547" t="s">
        <v>8996</v>
      </c>
      <c r="L1074" s="537" t="s">
        <v>541</v>
      </c>
    </row>
    <row r="1075" spans="1:12" x14ac:dyDescent="0.2">
      <c r="A1075" s="547" t="s">
        <v>220</v>
      </c>
      <c r="B1075" s="547" t="s">
        <v>588</v>
      </c>
      <c r="C1075" s="547" t="s">
        <v>1852</v>
      </c>
      <c r="D1075" s="547" t="s">
        <v>1853</v>
      </c>
      <c r="E1075" s="547" t="s">
        <v>545</v>
      </c>
      <c r="F1075" s="567">
        <v>40</v>
      </c>
      <c r="G1075" s="545">
        <v>6.1609999999999996</v>
      </c>
      <c r="H1075" s="545">
        <v>246.44</v>
      </c>
      <c r="I1075" s="547" t="s">
        <v>9009</v>
      </c>
      <c r="J1075" s="547" t="s">
        <v>9015</v>
      </c>
      <c r="K1075" s="547" t="s">
        <v>8996</v>
      </c>
      <c r="L1075" s="537" t="s">
        <v>541</v>
      </c>
    </row>
    <row r="1076" spans="1:12" x14ac:dyDescent="0.2">
      <c r="A1076" s="547" t="s">
        <v>220</v>
      </c>
      <c r="B1076" s="547" t="s">
        <v>588</v>
      </c>
      <c r="C1076" s="547" t="s">
        <v>7554</v>
      </c>
      <c r="D1076" s="547" t="s">
        <v>7555</v>
      </c>
      <c r="E1076" s="547" t="s">
        <v>545</v>
      </c>
      <c r="F1076" s="567">
        <v>39</v>
      </c>
      <c r="G1076" s="545">
        <v>6.1609999999999996</v>
      </c>
      <c r="H1076" s="545">
        <v>240.279</v>
      </c>
      <c r="I1076" s="547" t="s">
        <v>9009</v>
      </c>
      <c r="J1076" s="547" t="s">
        <v>9015</v>
      </c>
      <c r="K1076" s="547" t="s">
        <v>8996</v>
      </c>
      <c r="L1076" s="537" t="s">
        <v>541</v>
      </c>
    </row>
    <row r="1077" spans="1:12" x14ac:dyDescent="0.2">
      <c r="A1077" s="547" t="s">
        <v>220</v>
      </c>
      <c r="B1077" s="547" t="s">
        <v>588</v>
      </c>
      <c r="C1077" s="547" t="s">
        <v>1854</v>
      </c>
      <c r="D1077" s="547" t="s">
        <v>1855</v>
      </c>
      <c r="E1077" s="547" t="s">
        <v>545</v>
      </c>
      <c r="F1077" s="567">
        <v>825</v>
      </c>
      <c r="G1077" s="545">
        <v>6.3630000000000004</v>
      </c>
      <c r="H1077" s="545">
        <v>5249.4750000000004</v>
      </c>
      <c r="I1077" s="547" t="s">
        <v>9009</v>
      </c>
      <c r="J1077" s="547" t="s">
        <v>9015</v>
      </c>
      <c r="K1077" s="547" t="s">
        <v>8996</v>
      </c>
      <c r="L1077" s="537" t="s">
        <v>541</v>
      </c>
    </row>
    <row r="1078" spans="1:12" x14ac:dyDescent="0.2">
      <c r="A1078" s="547" t="s">
        <v>220</v>
      </c>
      <c r="B1078" s="547" t="s">
        <v>588</v>
      </c>
      <c r="C1078" s="547" t="s">
        <v>1856</v>
      </c>
      <c r="D1078" s="547" t="s">
        <v>1857</v>
      </c>
      <c r="E1078" s="547" t="s">
        <v>545</v>
      </c>
      <c r="F1078" s="567">
        <v>550</v>
      </c>
      <c r="G1078" s="545">
        <v>6.3630000000000004</v>
      </c>
      <c r="H1078" s="545">
        <v>3499.65</v>
      </c>
      <c r="I1078" s="547" t="s">
        <v>9009</v>
      </c>
      <c r="J1078" s="547" t="s">
        <v>9015</v>
      </c>
      <c r="K1078" s="547" t="s">
        <v>8996</v>
      </c>
      <c r="L1078" s="537" t="s">
        <v>541</v>
      </c>
    </row>
    <row r="1079" spans="1:12" x14ac:dyDescent="0.2">
      <c r="A1079" s="547" t="s">
        <v>220</v>
      </c>
      <c r="B1079" s="547" t="s">
        <v>588</v>
      </c>
      <c r="C1079" s="547" t="s">
        <v>1858</v>
      </c>
      <c r="D1079" s="547" t="s">
        <v>1859</v>
      </c>
      <c r="E1079" s="547" t="s">
        <v>545</v>
      </c>
      <c r="F1079" s="567">
        <v>600</v>
      </c>
      <c r="G1079" s="545">
        <v>7.6760000000000019</v>
      </c>
      <c r="H1079" s="545">
        <v>4605.6000000000013</v>
      </c>
      <c r="I1079" s="547" t="s">
        <v>9009</v>
      </c>
      <c r="J1079" s="547" t="s">
        <v>9015</v>
      </c>
      <c r="K1079" s="547" t="s">
        <v>8996</v>
      </c>
      <c r="L1079" s="537" t="s">
        <v>541</v>
      </c>
    </row>
    <row r="1080" spans="1:12" x14ac:dyDescent="0.2">
      <c r="A1080" s="547" t="s">
        <v>220</v>
      </c>
      <c r="B1080" s="547" t="s">
        <v>588</v>
      </c>
      <c r="C1080" s="547" t="s">
        <v>1860</v>
      </c>
      <c r="D1080" s="547" t="s">
        <v>1861</v>
      </c>
      <c r="E1080" s="547" t="s">
        <v>545</v>
      </c>
      <c r="F1080" s="567">
        <v>300</v>
      </c>
      <c r="G1080" s="545">
        <v>7.676000000000001</v>
      </c>
      <c r="H1080" s="545">
        <v>2302.8000000000002</v>
      </c>
      <c r="I1080" s="547" t="s">
        <v>9009</v>
      </c>
      <c r="J1080" s="547" t="s">
        <v>9015</v>
      </c>
      <c r="K1080" s="547" t="s">
        <v>8996</v>
      </c>
      <c r="L1080" s="537" t="s">
        <v>541</v>
      </c>
    </row>
    <row r="1081" spans="1:12" x14ac:dyDescent="0.2">
      <c r="A1081" s="547" t="s">
        <v>220</v>
      </c>
      <c r="B1081" s="547" t="s">
        <v>588</v>
      </c>
      <c r="C1081" s="547" t="s">
        <v>1862</v>
      </c>
      <c r="D1081" s="547" t="s">
        <v>1863</v>
      </c>
      <c r="E1081" s="547" t="s">
        <v>545</v>
      </c>
      <c r="F1081" s="567">
        <v>420</v>
      </c>
      <c r="G1081" s="545">
        <v>7.6760000000000002</v>
      </c>
      <c r="H1081" s="545">
        <v>3223.92</v>
      </c>
      <c r="I1081" s="547" t="s">
        <v>9009</v>
      </c>
      <c r="J1081" s="547" t="s">
        <v>9015</v>
      </c>
      <c r="K1081" s="547" t="s">
        <v>8996</v>
      </c>
      <c r="L1081" s="537" t="s">
        <v>541</v>
      </c>
    </row>
    <row r="1082" spans="1:12" x14ac:dyDescent="0.2">
      <c r="A1082" s="547" t="s">
        <v>220</v>
      </c>
      <c r="B1082" s="547" t="s">
        <v>588</v>
      </c>
      <c r="C1082" s="547" t="s">
        <v>1864</v>
      </c>
      <c r="D1082" s="547" t="s">
        <v>1865</v>
      </c>
      <c r="E1082" s="547" t="s">
        <v>545</v>
      </c>
      <c r="F1082" s="567">
        <v>80</v>
      </c>
      <c r="G1082" s="545">
        <v>0.52629617977528087</v>
      </c>
      <c r="H1082" s="545">
        <v>42.103694382022468</v>
      </c>
      <c r="I1082" s="547" t="s">
        <v>9009</v>
      </c>
      <c r="J1082" s="547" t="s">
        <v>9015</v>
      </c>
      <c r="K1082" s="547" t="s">
        <v>8996</v>
      </c>
      <c r="L1082" s="537" t="s">
        <v>541</v>
      </c>
    </row>
    <row r="1083" spans="1:12" x14ac:dyDescent="0.2">
      <c r="A1083" s="547" t="s">
        <v>220</v>
      </c>
      <c r="B1083" s="547" t="s">
        <v>588</v>
      </c>
      <c r="C1083" s="547" t="s">
        <v>7556</v>
      </c>
      <c r="D1083" s="547" t="s">
        <v>7557</v>
      </c>
      <c r="E1083" s="547" t="s">
        <v>545</v>
      </c>
      <c r="F1083" s="567">
        <v>600</v>
      </c>
      <c r="G1083" s="545">
        <v>0.39389999999999992</v>
      </c>
      <c r="H1083" s="545">
        <v>236.33999999999995</v>
      </c>
      <c r="I1083" s="547" t="s">
        <v>9009</v>
      </c>
      <c r="J1083" s="547" t="s">
        <v>9015</v>
      </c>
      <c r="K1083" s="547" t="s">
        <v>8996</v>
      </c>
      <c r="L1083" s="537" t="s">
        <v>541</v>
      </c>
    </row>
    <row r="1084" spans="1:12" x14ac:dyDescent="0.2">
      <c r="A1084" s="547" t="s">
        <v>220</v>
      </c>
      <c r="B1084" s="547" t="s">
        <v>588</v>
      </c>
      <c r="C1084" s="547" t="s">
        <v>7727</v>
      </c>
      <c r="D1084" s="547" t="s">
        <v>7728</v>
      </c>
      <c r="E1084" s="547" t="s">
        <v>545</v>
      </c>
      <c r="F1084" s="567">
        <v>90</v>
      </c>
      <c r="G1084" s="545">
        <v>0.35349999999999998</v>
      </c>
      <c r="H1084" s="545">
        <v>31.814999999999998</v>
      </c>
      <c r="I1084" s="547" t="s">
        <v>9009</v>
      </c>
      <c r="J1084" s="547" t="s">
        <v>9015</v>
      </c>
      <c r="K1084" s="547" t="s">
        <v>8996</v>
      </c>
      <c r="L1084" s="537" t="s">
        <v>541</v>
      </c>
    </row>
    <row r="1085" spans="1:12" x14ac:dyDescent="0.2">
      <c r="A1085" s="547" t="s">
        <v>220</v>
      </c>
      <c r="B1085" s="547" t="s">
        <v>588</v>
      </c>
      <c r="C1085" s="547" t="s">
        <v>7729</v>
      </c>
      <c r="D1085" s="547" t="s">
        <v>7730</v>
      </c>
      <c r="E1085" s="547" t="s">
        <v>545</v>
      </c>
      <c r="F1085" s="567">
        <v>435</v>
      </c>
      <c r="G1085" s="545">
        <v>0.2525</v>
      </c>
      <c r="H1085" s="545">
        <v>109.83750000000001</v>
      </c>
      <c r="I1085" s="547" t="s">
        <v>9009</v>
      </c>
      <c r="J1085" s="547" t="s">
        <v>9015</v>
      </c>
      <c r="K1085" s="547" t="s">
        <v>8996</v>
      </c>
      <c r="L1085" s="537" t="s">
        <v>541</v>
      </c>
    </row>
    <row r="1086" spans="1:12" x14ac:dyDescent="0.2">
      <c r="A1086" s="547" t="s">
        <v>220</v>
      </c>
      <c r="B1086" s="547" t="s">
        <v>588</v>
      </c>
      <c r="C1086" s="547" t="s">
        <v>9177</v>
      </c>
      <c r="D1086" s="547" t="s">
        <v>9178</v>
      </c>
      <c r="E1086" s="547" t="s">
        <v>545</v>
      </c>
      <c r="F1086" s="567">
        <v>4358</v>
      </c>
      <c r="G1086" s="545">
        <v>0.16361999999999999</v>
      </c>
      <c r="H1086" s="545">
        <v>713.05595999999991</v>
      </c>
      <c r="I1086" s="547" t="s">
        <v>9009</v>
      </c>
      <c r="J1086" s="547" t="s">
        <v>9015</v>
      </c>
      <c r="K1086" s="547" t="s">
        <v>8996</v>
      </c>
      <c r="L1086" s="537" t="s">
        <v>541</v>
      </c>
    </row>
    <row r="1087" spans="1:12" x14ac:dyDescent="0.2">
      <c r="A1087" s="547" t="s">
        <v>220</v>
      </c>
      <c r="B1087" s="547" t="s">
        <v>588</v>
      </c>
      <c r="C1087" s="547" t="s">
        <v>9179</v>
      </c>
      <c r="D1087" s="547" t="s">
        <v>9180</v>
      </c>
      <c r="E1087" s="547" t="s">
        <v>545</v>
      </c>
      <c r="F1087" s="567">
        <v>505</v>
      </c>
      <c r="G1087" s="545">
        <v>0.17271</v>
      </c>
      <c r="H1087" s="545">
        <v>87.218550000000008</v>
      </c>
      <c r="I1087" s="547" t="s">
        <v>9009</v>
      </c>
      <c r="J1087" s="547" t="s">
        <v>9015</v>
      </c>
      <c r="K1087" s="547" t="s">
        <v>8996</v>
      </c>
      <c r="L1087" s="537" t="s">
        <v>541</v>
      </c>
    </row>
    <row r="1088" spans="1:12" x14ac:dyDescent="0.2">
      <c r="A1088" s="547" t="s">
        <v>220</v>
      </c>
      <c r="B1088" s="547" t="s">
        <v>588</v>
      </c>
      <c r="C1088" s="547" t="s">
        <v>9181</v>
      </c>
      <c r="D1088" s="547" t="s">
        <v>9182</v>
      </c>
      <c r="E1088" s="547" t="s">
        <v>545</v>
      </c>
      <c r="F1088" s="567">
        <v>419</v>
      </c>
      <c r="G1088" s="545">
        <v>0.19997999999999999</v>
      </c>
      <c r="H1088" s="545">
        <v>83.791619999999995</v>
      </c>
      <c r="I1088" s="547" t="s">
        <v>9009</v>
      </c>
      <c r="J1088" s="547" t="s">
        <v>9015</v>
      </c>
      <c r="K1088" s="547" t="s">
        <v>8996</v>
      </c>
      <c r="L1088" s="537" t="s">
        <v>541</v>
      </c>
    </row>
    <row r="1089" spans="1:12" x14ac:dyDescent="0.2">
      <c r="A1089" s="547" t="s">
        <v>220</v>
      </c>
      <c r="B1089" s="547" t="s">
        <v>588</v>
      </c>
      <c r="C1089" s="547" t="s">
        <v>9183</v>
      </c>
      <c r="D1089" s="547" t="s">
        <v>9184</v>
      </c>
      <c r="E1089" s="547" t="s">
        <v>545</v>
      </c>
      <c r="F1089" s="567">
        <v>1218</v>
      </c>
      <c r="G1089" s="545">
        <v>0.2727</v>
      </c>
      <c r="H1089" s="545">
        <v>332.14859999999999</v>
      </c>
      <c r="I1089" s="547" t="s">
        <v>9009</v>
      </c>
      <c r="J1089" s="547" t="s">
        <v>9015</v>
      </c>
      <c r="K1089" s="547" t="s">
        <v>8996</v>
      </c>
      <c r="L1089" s="537" t="s">
        <v>541</v>
      </c>
    </row>
    <row r="1090" spans="1:12" x14ac:dyDescent="0.2">
      <c r="A1090" s="547" t="s">
        <v>220</v>
      </c>
      <c r="B1090" s="547" t="s">
        <v>588</v>
      </c>
      <c r="C1090" s="547" t="s">
        <v>9185</v>
      </c>
      <c r="D1090" s="547" t="s">
        <v>9186</v>
      </c>
      <c r="E1090" s="547" t="s">
        <v>545</v>
      </c>
      <c r="F1090" s="567">
        <v>765</v>
      </c>
      <c r="G1090" s="545">
        <v>0.43631999999999993</v>
      </c>
      <c r="H1090" s="545">
        <v>333.78479999999996</v>
      </c>
      <c r="I1090" s="547" t="s">
        <v>9009</v>
      </c>
      <c r="J1090" s="547" t="s">
        <v>9015</v>
      </c>
      <c r="K1090" s="547" t="s">
        <v>8996</v>
      </c>
      <c r="L1090" s="537" t="s">
        <v>541</v>
      </c>
    </row>
    <row r="1091" spans="1:12" x14ac:dyDescent="0.2">
      <c r="A1091" s="547" t="s">
        <v>220</v>
      </c>
      <c r="B1091" s="547" t="s">
        <v>588</v>
      </c>
      <c r="C1091" s="547" t="s">
        <v>9187</v>
      </c>
      <c r="D1091" s="547" t="s">
        <v>9188</v>
      </c>
      <c r="E1091" s="547" t="s">
        <v>545</v>
      </c>
      <c r="F1091" s="567">
        <v>611</v>
      </c>
      <c r="G1091" s="545">
        <v>0.50904000000000005</v>
      </c>
      <c r="H1091" s="545">
        <v>311.02344000000005</v>
      </c>
      <c r="I1091" s="547" t="s">
        <v>9009</v>
      </c>
      <c r="J1091" s="547" t="s">
        <v>9015</v>
      </c>
      <c r="K1091" s="547" t="s">
        <v>8996</v>
      </c>
      <c r="L1091" s="537" t="s">
        <v>541</v>
      </c>
    </row>
    <row r="1092" spans="1:12" x14ac:dyDescent="0.2">
      <c r="A1092" s="547" t="s">
        <v>220</v>
      </c>
      <c r="B1092" s="547" t="s">
        <v>588</v>
      </c>
      <c r="C1092" s="547" t="s">
        <v>9189</v>
      </c>
      <c r="D1092" s="547" t="s">
        <v>9190</v>
      </c>
      <c r="E1092" s="547" t="s">
        <v>545</v>
      </c>
      <c r="F1092" s="567">
        <v>1274</v>
      </c>
      <c r="G1092" s="545">
        <v>0.56357999999999997</v>
      </c>
      <c r="H1092" s="545">
        <v>718.00091999999995</v>
      </c>
      <c r="I1092" s="547" t="s">
        <v>9009</v>
      </c>
      <c r="J1092" s="547" t="s">
        <v>9015</v>
      </c>
      <c r="K1092" s="547" t="s">
        <v>8996</v>
      </c>
      <c r="L1092" s="537" t="s">
        <v>541</v>
      </c>
    </row>
    <row r="1093" spans="1:12" x14ac:dyDescent="0.2">
      <c r="A1093" s="547" t="s">
        <v>220</v>
      </c>
      <c r="B1093" s="547" t="s">
        <v>588</v>
      </c>
      <c r="C1093" s="547" t="s">
        <v>9191</v>
      </c>
      <c r="D1093" s="547" t="s">
        <v>9192</v>
      </c>
      <c r="E1093" s="547" t="s">
        <v>545</v>
      </c>
      <c r="F1093" s="567">
        <v>1038</v>
      </c>
      <c r="G1093" s="545">
        <v>0.292578901734104</v>
      </c>
      <c r="H1093" s="545">
        <v>303.69689999999997</v>
      </c>
      <c r="I1093" s="547" t="s">
        <v>9009</v>
      </c>
      <c r="J1093" s="547" t="s">
        <v>9015</v>
      </c>
      <c r="K1093" s="547" t="s">
        <v>8996</v>
      </c>
      <c r="L1093" s="537" t="s">
        <v>541</v>
      </c>
    </row>
    <row r="1094" spans="1:12" x14ac:dyDescent="0.2">
      <c r="A1094" s="547" t="s">
        <v>220</v>
      </c>
      <c r="B1094" s="547" t="s">
        <v>588</v>
      </c>
      <c r="C1094" s="547" t="s">
        <v>9193</v>
      </c>
      <c r="D1094" s="547" t="s">
        <v>9194</v>
      </c>
      <c r="E1094" s="547" t="s">
        <v>545</v>
      </c>
      <c r="F1094" s="567">
        <v>590</v>
      </c>
      <c r="G1094" s="545">
        <v>0.33329999999999999</v>
      </c>
      <c r="H1094" s="545">
        <v>196.64699999999999</v>
      </c>
      <c r="I1094" s="547" t="s">
        <v>9009</v>
      </c>
      <c r="J1094" s="547" t="s">
        <v>9015</v>
      </c>
      <c r="K1094" s="547" t="s">
        <v>8996</v>
      </c>
      <c r="L1094" s="537" t="s">
        <v>541</v>
      </c>
    </row>
    <row r="1095" spans="1:12" x14ac:dyDescent="0.2">
      <c r="A1095" s="547" t="s">
        <v>220</v>
      </c>
      <c r="B1095" s="547" t="s">
        <v>588</v>
      </c>
      <c r="C1095" s="547" t="s">
        <v>9195</v>
      </c>
      <c r="D1095" s="547" t="s">
        <v>9196</v>
      </c>
      <c r="E1095" s="547" t="s">
        <v>545</v>
      </c>
      <c r="F1095" s="567">
        <v>735</v>
      </c>
      <c r="G1095" s="545">
        <v>0.47469999999999996</v>
      </c>
      <c r="H1095" s="545">
        <v>348.90449999999998</v>
      </c>
      <c r="I1095" s="547" t="s">
        <v>9009</v>
      </c>
      <c r="J1095" s="547" t="s">
        <v>9015</v>
      </c>
      <c r="K1095" s="547" t="s">
        <v>8996</v>
      </c>
      <c r="L1095" s="537" t="s">
        <v>541</v>
      </c>
    </row>
    <row r="1096" spans="1:12" x14ac:dyDescent="0.2">
      <c r="A1096" s="547" t="s">
        <v>220</v>
      </c>
      <c r="B1096" s="547" t="s">
        <v>588</v>
      </c>
      <c r="C1096" s="547" t="s">
        <v>9197</v>
      </c>
      <c r="D1096" s="547" t="s">
        <v>9198</v>
      </c>
      <c r="E1096" s="547" t="s">
        <v>545</v>
      </c>
      <c r="F1096" s="567">
        <v>509</v>
      </c>
      <c r="G1096" s="545">
        <v>0.42723</v>
      </c>
      <c r="H1096" s="545">
        <v>217.46007</v>
      </c>
      <c r="I1096" s="547" t="s">
        <v>9009</v>
      </c>
      <c r="J1096" s="547" t="s">
        <v>9015</v>
      </c>
      <c r="K1096" s="547" t="s">
        <v>8996</v>
      </c>
      <c r="L1096" s="537" t="s">
        <v>541</v>
      </c>
    </row>
    <row r="1097" spans="1:12" x14ac:dyDescent="0.2">
      <c r="A1097" s="547" t="s">
        <v>220</v>
      </c>
      <c r="B1097" s="547" t="s">
        <v>588</v>
      </c>
      <c r="C1097" s="547" t="s">
        <v>9199</v>
      </c>
      <c r="D1097" s="547" t="s">
        <v>9200</v>
      </c>
      <c r="E1097" s="547" t="s">
        <v>545</v>
      </c>
      <c r="F1097" s="567">
        <v>1045</v>
      </c>
      <c r="G1097" s="545">
        <v>0.56006964593301434</v>
      </c>
      <c r="H1097" s="545">
        <v>585.27278000000001</v>
      </c>
      <c r="I1097" s="547" t="s">
        <v>9009</v>
      </c>
      <c r="J1097" s="547" t="s">
        <v>9015</v>
      </c>
      <c r="K1097" s="547" t="s">
        <v>8996</v>
      </c>
      <c r="L1097" s="537" t="s">
        <v>541</v>
      </c>
    </row>
    <row r="1098" spans="1:12" x14ac:dyDescent="0.2">
      <c r="A1098" s="547" t="s">
        <v>220</v>
      </c>
      <c r="B1098" s="547" t="s">
        <v>588</v>
      </c>
      <c r="C1098" s="547" t="s">
        <v>662</v>
      </c>
      <c r="D1098" s="547" t="s">
        <v>1866</v>
      </c>
      <c r="E1098" s="547" t="s">
        <v>535</v>
      </c>
      <c r="F1098" s="567">
        <v>1659.5</v>
      </c>
      <c r="G1098" s="545">
        <v>4.9006256153924221</v>
      </c>
      <c r="H1098" s="545">
        <v>8132.5882087437249</v>
      </c>
      <c r="I1098" s="547" t="s">
        <v>9009</v>
      </c>
      <c r="J1098" s="547" t="s">
        <v>9201</v>
      </c>
      <c r="K1098" s="547" t="s">
        <v>8996</v>
      </c>
      <c r="L1098" s="537" t="s">
        <v>541</v>
      </c>
    </row>
    <row r="1099" spans="1:12" x14ac:dyDescent="0.2">
      <c r="A1099" s="547" t="s">
        <v>220</v>
      </c>
      <c r="B1099" s="547" t="s">
        <v>588</v>
      </c>
      <c r="C1099" s="547" t="s">
        <v>1867</v>
      </c>
      <c r="D1099" s="547" t="s">
        <v>1868</v>
      </c>
      <c r="E1099" s="547" t="s">
        <v>535</v>
      </c>
      <c r="F1099" s="567">
        <v>112</v>
      </c>
      <c r="G1099" s="545">
        <v>5.0513671608459143</v>
      </c>
      <c r="H1099" s="545">
        <v>565.75312201474242</v>
      </c>
      <c r="I1099" s="547" t="s">
        <v>9009</v>
      </c>
      <c r="J1099" s="547" t="s">
        <v>9201</v>
      </c>
      <c r="K1099" s="547" t="s">
        <v>8996</v>
      </c>
      <c r="L1099" s="537" t="s">
        <v>541</v>
      </c>
    </row>
    <row r="1100" spans="1:12" x14ac:dyDescent="0.2">
      <c r="A1100" s="547" t="s">
        <v>220</v>
      </c>
      <c r="B1100" s="547" t="s">
        <v>588</v>
      </c>
      <c r="C1100" s="547" t="s">
        <v>1871</v>
      </c>
      <c r="D1100" s="547" t="s">
        <v>1872</v>
      </c>
      <c r="E1100" s="547" t="s">
        <v>535</v>
      </c>
      <c r="F1100" s="567">
        <v>4.5</v>
      </c>
      <c r="G1100" s="545">
        <v>6.9871818756729089</v>
      </c>
      <c r="H1100" s="545">
        <v>31.442318440528091</v>
      </c>
      <c r="I1100" s="547" t="s">
        <v>9009</v>
      </c>
      <c r="J1100" s="547" t="s">
        <v>9201</v>
      </c>
      <c r="K1100" s="547" t="s">
        <v>8996</v>
      </c>
      <c r="L1100" s="537" t="s">
        <v>541</v>
      </c>
    </row>
    <row r="1101" spans="1:12" x14ac:dyDescent="0.2">
      <c r="A1101" s="547" t="s">
        <v>220</v>
      </c>
      <c r="B1101" s="547" t="s">
        <v>588</v>
      </c>
      <c r="C1101" s="547" t="s">
        <v>1873</v>
      </c>
      <c r="D1101" s="547" t="s">
        <v>1874</v>
      </c>
      <c r="E1101" s="547" t="s">
        <v>535</v>
      </c>
      <c r="F1101" s="567">
        <v>923.4</v>
      </c>
      <c r="G1101" s="545">
        <v>4.8500000000000005</v>
      </c>
      <c r="H1101" s="545">
        <v>4478.4900000000007</v>
      </c>
      <c r="I1101" s="547" t="s">
        <v>9009</v>
      </c>
      <c r="J1101" s="547" t="s">
        <v>9201</v>
      </c>
      <c r="K1101" s="547" t="s">
        <v>8996</v>
      </c>
      <c r="L1101" s="537" t="s">
        <v>541</v>
      </c>
    </row>
    <row r="1102" spans="1:12" x14ac:dyDescent="0.2">
      <c r="A1102" s="547" t="s">
        <v>220</v>
      </c>
      <c r="B1102" s="547" t="s">
        <v>588</v>
      </c>
      <c r="C1102" s="547" t="s">
        <v>1875</v>
      </c>
      <c r="D1102" s="547" t="s">
        <v>1876</v>
      </c>
      <c r="E1102" s="547" t="s">
        <v>535</v>
      </c>
      <c r="F1102" s="567">
        <v>55.9</v>
      </c>
      <c r="G1102" s="545">
        <v>6.9886879616954651</v>
      </c>
      <c r="H1102" s="545">
        <v>390.66765705877651</v>
      </c>
      <c r="I1102" s="547" t="s">
        <v>9009</v>
      </c>
      <c r="J1102" s="547" t="s">
        <v>9201</v>
      </c>
      <c r="K1102" s="547" t="s">
        <v>8996</v>
      </c>
      <c r="L1102" s="537" t="s">
        <v>541</v>
      </c>
    </row>
    <row r="1103" spans="1:12" x14ac:dyDescent="0.2">
      <c r="A1103" s="547" t="s">
        <v>220</v>
      </c>
      <c r="B1103" s="547" t="s">
        <v>588</v>
      </c>
      <c r="C1103" s="547" t="s">
        <v>1877</v>
      </c>
      <c r="D1103" s="547" t="s">
        <v>1878</v>
      </c>
      <c r="E1103" s="547" t="s">
        <v>535</v>
      </c>
      <c r="F1103" s="567">
        <v>264.2</v>
      </c>
      <c r="G1103" s="545">
        <v>7.0987832461235545</v>
      </c>
      <c r="H1103" s="545">
        <v>1875.498533625843</v>
      </c>
      <c r="I1103" s="547" t="s">
        <v>9009</v>
      </c>
      <c r="J1103" s="547" t="s">
        <v>9201</v>
      </c>
      <c r="K1103" s="547" t="s">
        <v>8996</v>
      </c>
      <c r="L1103" s="537" t="s">
        <v>541</v>
      </c>
    </row>
    <row r="1104" spans="1:12" x14ac:dyDescent="0.2">
      <c r="A1104" s="547" t="s">
        <v>220</v>
      </c>
      <c r="B1104" s="547" t="s">
        <v>588</v>
      </c>
      <c r="C1104" s="547" t="s">
        <v>9202</v>
      </c>
      <c r="D1104" s="547" t="s">
        <v>9203</v>
      </c>
      <c r="E1104" s="547" t="s">
        <v>535</v>
      </c>
      <c r="F1104" s="567">
        <v>789.2</v>
      </c>
      <c r="G1104" s="545">
        <v>6.8</v>
      </c>
      <c r="H1104" s="545">
        <v>5366.56</v>
      </c>
      <c r="I1104" s="547" t="s">
        <v>9009</v>
      </c>
      <c r="J1104" s="547" t="s">
        <v>9201</v>
      </c>
      <c r="K1104" s="547" t="s">
        <v>8996</v>
      </c>
      <c r="L1104" s="537" t="s">
        <v>541</v>
      </c>
    </row>
    <row r="1105" spans="1:12" x14ac:dyDescent="0.2">
      <c r="A1105" s="547" t="s">
        <v>220</v>
      </c>
      <c r="B1105" s="547" t="s">
        <v>588</v>
      </c>
      <c r="C1105" s="547" t="s">
        <v>9204</v>
      </c>
      <c r="D1105" s="547" t="s">
        <v>9205</v>
      </c>
      <c r="E1105" s="547" t="s">
        <v>535</v>
      </c>
      <c r="F1105" s="567">
        <v>845.3</v>
      </c>
      <c r="G1105" s="545">
        <v>6.8</v>
      </c>
      <c r="H1105" s="545">
        <v>5748.04</v>
      </c>
      <c r="I1105" s="547" t="s">
        <v>9009</v>
      </c>
      <c r="J1105" s="547" t="s">
        <v>9201</v>
      </c>
      <c r="K1105" s="547" t="s">
        <v>8996</v>
      </c>
      <c r="L1105" s="537" t="s">
        <v>541</v>
      </c>
    </row>
    <row r="1106" spans="1:12" x14ac:dyDescent="0.2">
      <c r="A1106" s="547" t="s">
        <v>220</v>
      </c>
      <c r="B1106" s="547" t="s">
        <v>588</v>
      </c>
      <c r="C1106" s="547" t="s">
        <v>9206</v>
      </c>
      <c r="D1106" s="547" t="s">
        <v>9207</v>
      </c>
      <c r="E1106" s="547" t="s">
        <v>535</v>
      </c>
      <c r="F1106" s="567">
        <v>839.9</v>
      </c>
      <c r="G1106" s="545">
        <v>6.8</v>
      </c>
      <c r="H1106" s="545">
        <v>5711.32</v>
      </c>
      <c r="I1106" s="547" t="s">
        <v>9009</v>
      </c>
      <c r="J1106" s="547" t="s">
        <v>9201</v>
      </c>
      <c r="K1106" s="547" t="s">
        <v>8996</v>
      </c>
      <c r="L1106" s="537" t="s">
        <v>541</v>
      </c>
    </row>
    <row r="1107" spans="1:12" x14ac:dyDescent="0.2">
      <c r="A1107" s="547" t="s">
        <v>220</v>
      </c>
      <c r="B1107" s="547" t="s">
        <v>588</v>
      </c>
      <c r="C1107" s="547" t="s">
        <v>9208</v>
      </c>
      <c r="D1107" s="547" t="s">
        <v>9209</v>
      </c>
      <c r="E1107" s="547" t="s">
        <v>535</v>
      </c>
      <c r="F1107" s="567">
        <v>1616.2</v>
      </c>
      <c r="G1107" s="545">
        <v>6.8</v>
      </c>
      <c r="H1107" s="545">
        <v>10990.16</v>
      </c>
      <c r="I1107" s="547" t="s">
        <v>9009</v>
      </c>
      <c r="J1107" s="547" t="s">
        <v>9201</v>
      </c>
      <c r="K1107" s="547" t="s">
        <v>8996</v>
      </c>
      <c r="L1107" s="537" t="s">
        <v>541</v>
      </c>
    </row>
    <row r="1108" spans="1:12" x14ac:dyDescent="0.2">
      <c r="A1108" s="547" t="s">
        <v>220</v>
      </c>
      <c r="B1108" s="547" t="s">
        <v>588</v>
      </c>
      <c r="C1108" s="547" t="s">
        <v>1879</v>
      </c>
      <c r="D1108" s="547" t="s">
        <v>1880</v>
      </c>
      <c r="E1108" s="547" t="s">
        <v>545</v>
      </c>
      <c r="F1108" s="567">
        <v>150</v>
      </c>
      <c r="G1108" s="545">
        <v>6.0036179075248235</v>
      </c>
      <c r="H1108" s="545">
        <v>900.54268612872352</v>
      </c>
      <c r="I1108" s="547" t="s">
        <v>9009</v>
      </c>
      <c r="J1108" s="547" t="s">
        <v>9147</v>
      </c>
      <c r="K1108" s="547" t="s">
        <v>8996</v>
      </c>
      <c r="L1108" s="537" t="s">
        <v>541</v>
      </c>
    </row>
    <row r="1109" spans="1:12" x14ac:dyDescent="0.2">
      <c r="A1109" s="547" t="s">
        <v>220</v>
      </c>
      <c r="B1109" s="547" t="s">
        <v>588</v>
      </c>
      <c r="C1109" s="547" t="s">
        <v>1881</v>
      </c>
      <c r="D1109" s="547" t="s">
        <v>1882</v>
      </c>
      <c r="E1109" s="547" t="s">
        <v>545</v>
      </c>
      <c r="F1109" s="567">
        <v>557</v>
      </c>
      <c r="G1109" s="545">
        <v>29.731000435276307</v>
      </c>
      <c r="H1109" s="545">
        <v>16560.167242448904</v>
      </c>
      <c r="I1109" s="547" t="s">
        <v>9009</v>
      </c>
      <c r="J1109" s="547" t="s">
        <v>9201</v>
      </c>
      <c r="K1109" s="547" t="s">
        <v>8996</v>
      </c>
      <c r="L1109" s="537" t="s">
        <v>541</v>
      </c>
    </row>
    <row r="1110" spans="1:12" x14ac:dyDescent="0.2">
      <c r="A1110" s="547" t="s">
        <v>220</v>
      </c>
      <c r="B1110" s="547" t="s">
        <v>588</v>
      </c>
      <c r="C1110" s="547" t="s">
        <v>1883</v>
      </c>
      <c r="D1110" s="547" t="s">
        <v>1884</v>
      </c>
      <c r="E1110" s="547" t="s">
        <v>545</v>
      </c>
      <c r="F1110" s="567">
        <v>20</v>
      </c>
      <c r="G1110" s="545">
        <v>17</v>
      </c>
      <c r="H1110" s="545">
        <v>340</v>
      </c>
      <c r="I1110" s="547" t="s">
        <v>9009</v>
      </c>
      <c r="J1110" s="547" t="s">
        <v>9201</v>
      </c>
      <c r="K1110" s="547" t="s">
        <v>8996</v>
      </c>
      <c r="L1110" s="537" t="s">
        <v>541</v>
      </c>
    </row>
    <row r="1111" spans="1:12" x14ac:dyDescent="0.2">
      <c r="A1111" s="547" t="s">
        <v>220</v>
      </c>
      <c r="B1111" s="547" t="s">
        <v>588</v>
      </c>
      <c r="C1111" s="547" t="s">
        <v>1885</v>
      </c>
      <c r="D1111" s="547" t="s">
        <v>1886</v>
      </c>
      <c r="E1111" s="547" t="s">
        <v>545</v>
      </c>
      <c r="F1111" s="567">
        <v>10</v>
      </c>
      <c r="G1111" s="545">
        <v>17</v>
      </c>
      <c r="H1111" s="545">
        <v>170</v>
      </c>
      <c r="I1111" s="547" t="s">
        <v>9009</v>
      </c>
      <c r="J1111" s="547" t="s">
        <v>9201</v>
      </c>
      <c r="K1111" s="547" t="s">
        <v>8996</v>
      </c>
      <c r="L1111" s="537" t="s">
        <v>541</v>
      </c>
    </row>
    <row r="1112" spans="1:12" x14ac:dyDescent="0.2">
      <c r="A1112" s="547" t="s">
        <v>220</v>
      </c>
      <c r="B1112" s="547" t="s">
        <v>588</v>
      </c>
      <c r="C1112" s="547" t="s">
        <v>1887</v>
      </c>
      <c r="D1112" s="547" t="s">
        <v>1888</v>
      </c>
      <c r="E1112" s="547" t="s">
        <v>545</v>
      </c>
      <c r="F1112" s="567">
        <v>70</v>
      </c>
      <c r="G1112" s="545">
        <v>119</v>
      </c>
      <c r="H1112" s="545">
        <v>8330</v>
      </c>
      <c r="I1112" s="547" t="s">
        <v>9009</v>
      </c>
      <c r="J1112" s="547" t="s">
        <v>9201</v>
      </c>
      <c r="K1112" s="547" t="s">
        <v>8996</v>
      </c>
      <c r="L1112" s="537" t="s">
        <v>541</v>
      </c>
    </row>
    <row r="1113" spans="1:12" x14ac:dyDescent="0.2">
      <c r="A1113" s="547" t="s">
        <v>220</v>
      </c>
      <c r="B1113" s="547" t="s">
        <v>588</v>
      </c>
      <c r="C1113" s="547" t="s">
        <v>1889</v>
      </c>
      <c r="D1113" s="547" t="s">
        <v>1890</v>
      </c>
      <c r="E1113" s="547" t="s">
        <v>545</v>
      </c>
      <c r="F1113" s="567">
        <v>280</v>
      </c>
      <c r="G1113" s="545">
        <v>27.7</v>
      </c>
      <c r="H1113" s="545">
        <v>7756</v>
      </c>
      <c r="I1113" s="547" t="s">
        <v>9009</v>
      </c>
      <c r="J1113" s="547" t="s">
        <v>9201</v>
      </c>
      <c r="K1113" s="547" t="s">
        <v>8996</v>
      </c>
      <c r="L1113" s="537" t="s">
        <v>541</v>
      </c>
    </row>
    <row r="1114" spans="1:12" x14ac:dyDescent="0.2">
      <c r="A1114" s="547" t="s">
        <v>220</v>
      </c>
      <c r="B1114" s="547" t="s">
        <v>588</v>
      </c>
      <c r="C1114" s="547" t="s">
        <v>664</v>
      </c>
      <c r="D1114" s="547" t="s">
        <v>1891</v>
      </c>
      <c r="E1114" s="547" t="s">
        <v>545</v>
      </c>
      <c r="F1114" s="567">
        <v>70</v>
      </c>
      <c r="G1114" s="545">
        <v>3.2738407209731339</v>
      </c>
      <c r="H1114" s="545">
        <v>229.16885046811939</v>
      </c>
      <c r="I1114" s="547" t="s">
        <v>9009</v>
      </c>
      <c r="J1114" s="547" t="s">
        <v>9147</v>
      </c>
      <c r="K1114" s="547" t="s">
        <v>8996</v>
      </c>
      <c r="L1114" s="537" t="s">
        <v>541</v>
      </c>
    </row>
    <row r="1115" spans="1:12" x14ac:dyDescent="0.2">
      <c r="A1115" s="547" t="s">
        <v>220</v>
      </c>
      <c r="B1115" s="547" t="s">
        <v>588</v>
      </c>
      <c r="C1115" s="547" t="s">
        <v>9579</v>
      </c>
      <c r="D1115" s="547" t="s">
        <v>9580</v>
      </c>
      <c r="E1115" s="547" t="s">
        <v>545</v>
      </c>
      <c r="F1115" s="552">
        <v>510</v>
      </c>
      <c r="G1115" s="545">
        <v>3.2650000000000001</v>
      </c>
      <c r="H1115" s="545">
        <v>1665.15</v>
      </c>
      <c r="I1115" s="547" t="s">
        <v>9009</v>
      </c>
      <c r="J1115" s="547" t="s">
        <v>9201</v>
      </c>
      <c r="K1115" s="547" t="s">
        <v>8996</v>
      </c>
      <c r="L1115" s="537" t="s">
        <v>541</v>
      </c>
    </row>
    <row r="1116" spans="1:12" x14ac:dyDescent="0.2">
      <c r="A1116" s="547" t="s">
        <v>220</v>
      </c>
      <c r="B1116" s="547" t="s">
        <v>588</v>
      </c>
      <c r="C1116" s="547" t="s">
        <v>1892</v>
      </c>
      <c r="D1116" s="547" t="s">
        <v>1893</v>
      </c>
      <c r="E1116" s="547" t="s">
        <v>1894</v>
      </c>
      <c r="F1116" s="567">
        <v>120</v>
      </c>
      <c r="G1116" s="545">
        <v>3.2903322259136214</v>
      </c>
      <c r="H1116" s="545">
        <v>394.83986710963455</v>
      </c>
      <c r="I1116" s="547" t="s">
        <v>9009</v>
      </c>
      <c r="J1116" s="547" t="s">
        <v>9147</v>
      </c>
      <c r="K1116" s="547" t="s">
        <v>8996</v>
      </c>
      <c r="L1116" s="537" t="s">
        <v>541</v>
      </c>
    </row>
    <row r="1117" spans="1:12" x14ac:dyDescent="0.2">
      <c r="A1117" s="547" t="s">
        <v>220</v>
      </c>
      <c r="B1117" s="547" t="s">
        <v>588</v>
      </c>
      <c r="C1117" s="547" t="s">
        <v>539</v>
      </c>
      <c r="D1117" s="547" t="s">
        <v>540</v>
      </c>
      <c r="E1117" s="547" t="s">
        <v>535</v>
      </c>
      <c r="F1117" s="568">
        <v>231</v>
      </c>
      <c r="G1117" s="545">
        <v>6.3141038910597755</v>
      </c>
      <c r="H1117" s="545">
        <v>1458.5579988348081</v>
      </c>
      <c r="I1117" s="547" t="s">
        <v>9009</v>
      </c>
      <c r="J1117" s="547" t="s">
        <v>9011</v>
      </c>
      <c r="K1117" s="547" t="s">
        <v>8994</v>
      </c>
      <c r="L1117" s="537" t="s">
        <v>541</v>
      </c>
    </row>
    <row r="1118" spans="1:12" x14ac:dyDescent="0.2">
      <c r="A1118" s="547" t="s">
        <v>220</v>
      </c>
      <c r="B1118" s="547" t="s">
        <v>588</v>
      </c>
      <c r="C1118" s="547" t="s">
        <v>1897</v>
      </c>
      <c r="D1118" s="547" t="s">
        <v>1898</v>
      </c>
      <c r="E1118" s="547" t="s">
        <v>535</v>
      </c>
      <c r="F1118" s="567">
        <v>300</v>
      </c>
      <c r="G1118" s="545">
        <v>44.068298925999997</v>
      </c>
      <c r="H1118" s="545">
        <v>13220.489677799998</v>
      </c>
      <c r="I1118" s="547" t="s">
        <v>9009</v>
      </c>
      <c r="J1118" s="547" t="s">
        <v>9147</v>
      </c>
      <c r="K1118" s="547" t="s">
        <v>8996</v>
      </c>
      <c r="L1118" s="537" t="s">
        <v>541</v>
      </c>
    </row>
    <row r="1119" spans="1:12" x14ac:dyDescent="0.2">
      <c r="A1119" s="547" t="s">
        <v>220</v>
      </c>
      <c r="B1119" s="547" t="s">
        <v>588</v>
      </c>
      <c r="C1119" s="547" t="s">
        <v>700</v>
      </c>
      <c r="D1119" s="547" t="s">
        <v>701</v>
      </c>
      <c r="E1119" s="547" t="s">
        <v>545</v>
      </c>
      <c r="F1119" s="567">
        <v>63</v>
      </c>
      <c r="G1119" s="545">
        <v>30.505706430295458</v>
      </c>
      <c r="H1119" s="545">
        <v>1921.8595051086138</v>
      </c>
      <c r="I1119" s="547" t="s">
        <v>9009</v>
      </c>
      <c r="J1119" s="547" t="s">
        <v>9147</v>
      </c>
      <c r="K1119" s="547" t="s">
        <v>8996</v>
      </c>
      <c r="L1119" s="537" t="s">
        <v>541</v>
      </c>
    </row>
    <row r="1120" spans="1:12" x14ac:dyDescent="0.2">
      <c r="A1120" s="547" t="s">
        <v>220</v>
      </c>
      <c r="B1120" s="547" t="s">
        <v>588</v>
      </c>
      <c r="C1120" s="547" t="s">
        <v>1899</v>
      </c>
      <c r="D1120" s="547" t="s">
        <v>1900</v>
      </c>
      <c r="E1120" s="547" t="s">
        <v>535</v>
      </c>
      <c r="F1120" s="567">
        <v>315</v>
      </c>
      <c r="G1120" s="545">
        <v>19.719606724089633</v>
      </c>
      <c r="H1120" s="545">
        <v>6211.6761180882349</v>
      </c>
      <c r="I1120" s="547" t="s">
        <v>9009</v>
      </c>
      <c r="J1120" s="547" t="s">
        <v>9011</v>
      </c>
      <c r="K1120" s="547" t="s">
        <v>8996</v>
      </c>
      <c r="L1120" s="537" t="s">
        <v>541</v>
      </c>
    </row>
    <row r="1121" spans="1:12" x14ac:dyDescent="0.2">
      <c r="A1121" s="547" t="s">
        <v>220</v>
      </c>
      <c r="B1121" s="547" t="s">
        <v>588</v>
      </c>
      <c r="C1121" s="547" t="s">
        <v>1901</v>
      </c>
      <c r="D1121" s="547" t="s">
        <v>1902</v>
      </c>
      <c r="E1121" s="547" t="s">
        <v>1894</v>
      </c>
      <c r="F1121" s="567">
        <v>120</v>
      </c>
      <c r="G1121" s="545">
        <v>38.076999999999998</v>
      </c>
      <c r="H1121" s="545">
        <v>4569.24</v>
      </c>
      <c r="I1121" s="547" t="s">
        <v>9218</v>
      </c>
      <c r="J1121" s="547" t="s">
        <v>9219</v>
      </c>
      <c r="K1121" s="547" t="s">
        <v>9219</v>
      </c>
      <c r="L1121" s="537" t="s">
        <v>2354</v>
      </c>
    </row>
    <row r="1122" spans="1:12" x14ac:dyDescent="0.2">
      <c r="A1122" s="547" t="s">
        <v>220</v>
      </c>
      <c r="B1122" s="547" t="s">
        <v>588</v>
      </c>
      <c r="C1122" s="547" t="s">
        <v>731</v>
      </c>
      <c r="D1122" s="547" t="s">
        <v>1903</v>
      </c>
      <c r="E1122" s="547" t="s">
        <v>545</v>
      </c>
      <c r="F1122" s="567">
        <v>6</v>
      </c>
      <c r="G1122" s="545">
        <v>153.66428571428574</v>
      </c>
      <c r="H1122" s="545">
        <v>921.98571428571449</v>
      </c>
      <c r="I1122" s="547" t="s">
        <v>9009</v>
      </c>
      <c r="J1122" s="547" t="s">
        <v>9201</v>
      </c>
      <c r="K1122" s="547" t="s">
        <v>8996</v>
      </c>
      <c r="L1122" s="537" t="s">
        <v>541</v>
      </c>
    </row>
    <row r="1123" spans="1:12" x14ac:dyDescent="0.2">
      <c r="A1123" s="547" t="s">
        <v>220</v>
      </c>
      <c r="B1123" s="547" t="s">
        <v>588</v>
      </c>
      <c r="C1123" s="547" t="s">
        <v>1904</v>
      </c>
      <c r="D1123" s="547" t="s">
        <v>1905</v>
      </c>
      <c r="E1123" s="547" t="s">
        <v>545</v>
      </c>
      <c r="F1123" s="567">
        <v>4</v>
      </c>
      <c r="G1123" s="545">
        <v>48.874000000000002</v>
      </c>
      <c r="H1123" s="545">
        <v>195.49600000000001</v>
      </c>
      <c r="I1123" s="547" t="s">
        <v>8992</v>
      </c>
      <c r="J1123" s="547" t="s">
        <v>541</v>
      </c>
      <c r="K1123" s="547" t="s">
        <v>8996</v>
      </c>
      <c r="L1123" s="537" t="s">
        <v>541</v>
      </c>
    </row>
    <row r="1124" spans="1:12" x14ac:dyDescent="0.2">
      <c r="A1124" s="547" t="s">
        <v>220</v>
      </c>
      <c r="B1124" s="547" t="s">
        <v>588</v>
      </c>
      <c r="C1124" s="547" t="s">
        <v>1906</v>
      </c>
      <c r="D1124" s="547" t="s">
        <v>1907</v>
      </c>
      <c r="E1124" s="547" t="s">
        <v>545</v>
      </c>
      <c r="F1124" s="567">
        <v>16</v>
      </c>
      <c r="G1124" s="545">
        <v>5.7423124999999997</v>
      </c>
      <c r="H1124" s="545">
        <v>91.876999999999995</v>
      </c>
      <c r="I1124" s="547" t="s">
        <v>8992</v>
      </c>
      <c r="J1124" s="547" t="s">
        <v>541</v>
      </c>
      <c r="K1124" s="547" t="s">
        <v>8996</v>
      </c>
      <c r="L1124" s="537" t="s">
        <v>541</v>
      </c>
    </row>
    <row r="1125" spans="1:12" x14ac:dyDescent="0.2">
      <c r="A1125" s="547" t="s">
        <v>220</v>
      </c>
      <c r="B1125" s="547" t="s">
        <v>7593</v>
      </c>
      <c r="C1125" s="569" t="s">
        <v>813</v>
      </c>
      <c r="D1125" s="556" t="s">
        <v>9501</v>
      </c>
      <c r="E1125" s="547" t="s">
        <v>545</v>
      </c>
      <c r="F1125" s="559">
        <v>28</v>
      </c>
      <c r="G1125" s="545">
        <v>8.3328387556776438</v>
      </c>
      <c r="H1125" s="545">
        <v>233.31948515897403</v>
      </c>
      <c r="I1125" s="547" t="s">
        <v>9009</v>
      </c>
      <c r="J1125" s="547" t="s">
        <v>9011</v>
      </c>
      <c r="K1125" s="547" t="s">
        <v>9068</v>
      </c>
      <c r="L1125" s="537" t="s">
        <v>541</v>
      </c>
    </row>
    <row r="1126" spans="1:12" x14ac:dyDescent="0.2">
      <c r="A1126" s="547" t="s">
        <v>220</v>
      </c>
      <c r="B1126" s="547" t="s">
        <v>7593</v>
      </c>
      <c r="C1126" s="547" t="s">
        <v>9041</v>
      </c>
      <c r="D1126" s="547" t="s">
        <v>9493</v>
      </c>
      <c r="E1126" s="547" t="s">
        <v>535</v>
      </c>
      <c r="F1126" s="548">
        <v>171.696</v>
      </c>
      <c r="G1126" s="545">
        <v>7.3930071495839798</v>
      </c>
      <c r="H1126" s="545">
        <v>1269.3497555549709</v>
      </c>
      <c r="I1126" s="547" t="s">
        <v>9009</v>
      </c>
      <c r="J1126" s="547" t="s">
        <v>536</v>
      </c>
      <c r="K1126" s="547" t="s">
        <v>9010</v>
      </c>
      <c r="L1126" s="537" t="s">
        <v>536</v>
      </c>
    </row>
    <row r="1127" spans="1:12" x14ac:dyDescent="0.2">
      <c r="A1127" s="547" t="s">
        <v>220</v>
      </c>
      <c r="B1127" s="547" t="s">
        <v>7593</v>
      </c>
      <c r="C1127" s="547" t="s">
        <v>7412</v>
      </c>
      <c r="D1127" s="547" t="s">
        <v>9494</v>
      </c>
      <c r="E1127" s="547" t="s">
        <v>535</v>
      </c>
      <c r="F1127" s="548">
        <v>182.78399999999999</v>
      </c>
      <c r="G1127" s="545">
        <v>7.4184099269603552</v>
      </c>
      <c r="H1127" s="545">
        <v>1355.9666400895214</v>
      </c>
      <c r="I1127" s="547" t="s">
        <v>9009</v>
      </c>
      <c r="J1127" s="547" t="s">
        <v>536</v>
      </c>
      <c r="K1127" s="547" t="s">
        <v>9010</v>
      </c>
      <c r="L1127" s="537" t="s">
        <v>536</v>
      </c>
    </row>
    <row r="1128" spans="1:12" x14ac:dyDescent="0.2">
      <c r="A1128" s="547" t="s">
        <v>220</v>
      </c>
      <c r="B1128" s="547" t="s">
        <v>582</v>
      </c>
      <c r="C1128" s="533" t="s">
        <v>1912</v>
      </c>
      <c r="D1128" s="533" t="s">
        <v>9581</v>
      </c>
      <c r="E1128" s="547" t="s">
        <v>545</v>
      </c>
      <c r="F1128" s="552">
        <v>2</v>
      </c>
      <c r="G1128" s="545">
        <v>87.054581736686956</v>
      </c>
      <c r="H1128" s="545">
        <v>174.10916347337391</v>
      </c>
      <c r="I1128" s="547" t="s">
        <v>9009</v>
      </c>
      <c r="J1128" s="547" t="s">
        <v>9019</v>
      </c>
      <c r="K1128" s="547" t="s">
        <v>9020</v>
      </c>
      <c r="L1128" s="537" t="s">
        <v>1911</v>
      </c>
    </row>
    <row r="1129" spans="1:12" x14ac:dyDescent="0.2">
      <c r="A1129" s="547" t="s">
        <v>220</v>
      </c>
      <c r="B1129" s="547" t="s">
        <v>582</v>
      </c>
      <c r="C1129" s="533" t="s">
        <v>1926</v>
      </c>
      <c r="D1129" s="533" t="s">
        <v>9582</v>
      </c>
      <c r="E1129" s="547" t="s">
        <v>545</v>
      </c>
      <c r="F1129" s="552">
        <v>2</v>
      </c>
      <c r="G1129" s="545">
        <v>81.02888467183837</v>
      </c>
      <c r="H1129" s="545">
        <v>162.05776934367674</v>
      </c>
      <c r="I1129" s="547" t="s">
        <v>9009</v>
      </c>
      <c r="J1129" s="547" t="s">
        <v>9019</v>
      </c>
      <c r="K1129" s="547" t="s">
        <v>9020</v>
      </c>
      <c r="L1129" s="537" t="s">
        <v>1911</v>
      </c>
    </row>
    <row r="1130" spans="1:12" x14ac:dyDescent="0.2">
      <c r="A1130" s="547" t="s">
        <v>220</v>
      </c>
      <c r="B1130" s="547" t="s">
        <v>582</v>
      </c>
      <c r="C1130" s="533" t="s">
        <v>1928</v>
      </c>
      <c r="D1130" s="533" t="s">
        <v>9583</v>
      </c>
      <c r="E1130" s="547" t="s">
        <v>545</v>
      </c>
      <c r="F1130" s="552">
        <v>2</v>
      </c>
      <c r="G1130" s="545">
        <v>95.586905078530918</v>
      </c>
      <c r="H1130" s="545">
        <v>191.17381015706184</v>
      </c>
      <c r="I1130" s="547" t="s">
        <v>9009</v>
      </c>
      <c r="J1130" s="547" t="s">
        <v>9019</v>
      </c>
      <c r="K1130" s="547" t="s">
        <v>9020</v>
      </c>
      <c r="L1130" s="537" t="s">
        <v>1911</v>
      </c>
    </row>
    <row r="1131" spans="1:12" x14ac:dyDescent="0.2">
      <c r="A1131" s="547" t="s">
        <v>220</v>
      </c>
      <c r="B1131" s="547" t="s">
        <v>582</v>
      </c>
      <c r="C1131" s="533" t="s">
        <v>1940</v>
      </c>
      <c r="D1131" s="533" t="s">
        <v>1941</v>
      </c>
      <c r="E1131" s="547" t="s">
        <v>545</v>
      </c>
      <c r="F1131" s="552">
        <v>2</v>
      </c>
      <c r="G1131" s="545">
        <v>112.23658549928935</v>
      </c>
      <c r="H1131" s="545">
        <v>224.47317099857869</v>
      </c>
      <c r="I1131" s="547" t="s">
        <v>9009</v>
      </c>
      <c r="J1131" s="547" t="s">
        <v>9019</v>
      </c>
      <c r="K1131" s="547" t="s">
        <v>9020</v>
      </c>
      <c r="L1131" s="537" t="s">
        <v>1911</v>
      </c>
    </row>
    <row r="1132" spans="1:12" x14ac:dyDescent="0.2">
      <c r="A1132" s="547" t="s">
        <v>220</v>
      </c>
      <c r="B1132" s="547" t="s">
        <v>582</v>
      </c>
      <c r="C1132" s="533" t="s">
        <v>1944</v>
      </c>
      <c r="D1132" s="533" t="s">
        <v>1945</v>
      </c>
      <c r="E1132" s="547" t="s">
        <v>545</v>
      </c>
      <c r="F1132" s="552">
        <v>2</v>
      </c>
      <c r="G1132" s="545">
        <v>129.13387861005873</v>
      </c>
      <c r="H1132" s="545">
        <v>258.26775722011746</v>
      </c>
      <c r="I1132" s="547" t="s">
        <v>9009</v>
      </c>
      <c r="J1132" s="547" t="s">
        <v>9019</v>
      </c>
      <c r="K1132" s="547" t="s">
        <v>9020</v>
      </c>
      <c r="L1132" s="537" t="s">
        <v>1911</v>
      </c>
    </row>
    <row r="1133" spans="1:12" x14ac:dyDescent="0.2">
      <c r="A1133" s="547" t="s">
        <v>747</v>
      </c>
      <c r="B1133" s="547" t="s">
        <v>781</v>
      </c>
      <c r="C1133" s="547" t="s">
        <v>755</v>
      </c>
      <c r="D1133" s="547" t="s">
        <v>756</v>
      </c>
      <c r="E1133" s="547" t="s">
        <v>535</v>
      </c>
      <c r="F1133" s="547">
        <v>1375</v>
      </c>
      <c r="G1133" s="545">
        <v>4.6102952500472769</v>
      </c>
      <c r="H1133" s="545">
        <v>6339.1559688150055</v>
      </c>
      <c r="I1133" s="547" t="s">
        <v>8992</v>
      </c>
      <c r="J1133" s="547" t="s">
        <v>541</v>
      </c>
      <c r="K1133" s="547" t="s">
        <v>8996</v>
      </c>
      <c r="L1133" s="537" t="s">
        <v>541</v>
      </c>
    </row>
    <row r="1134" spans="1:12" x14ac:dyDescent="0.2">
      <c r="A1134" s="515" t="s">
        <v>747</v>
      </c>
      <c r="B1134" s="547" t="s">
        <v>781</v>
      </c>
      <c r="C1134" s="515" t="s">
        <v>775</v>
      </c>
      <c r="D1134" s="515" t="s">
        <v>7693</v>
      </c>
      <c r="E1134" s="515" t="s">
        <v>535</v>
      </c>
      <c r="F1134" s="516">
        <v>700</v>
      </c>
      <c r="G1134" s="545">
        <v>2.7142732054286474</v>
      </c>
      <c r="H1134" s="545">
        <v>1899.9912438000531</v>
      </c>
      <c r="I1134" s="546" t="s">
        <v>8992</v>
      </c>
      <c r="J1134" s="547" t="s">
        <v>541</v>
      </c>
      <c r="K1134" s="547" t="s">
        <v>8996</v>
      </c>
      <c r="L1134" s="537" t="s">
        <v>541</v>
      </c>
    </row>
    <row r="1135" spans="1:12" x14ac:dyDescent="0.2">
      <c r="A1135" s="515" t="s">
        <v>747</v>
      </c>
      <c r="B1135" s="515" t="s">
        <v>781</v>
      </c>
      <c r="C1135" s="515" t="s">
        <v>7446</v>
      </c>
      <c r="D1135" s="515" t="s">
        <v>787</v>
      </c>
      <c r="E1135" s="515" t="s">
        <v>535</v>
      </c>
      <c r="F1135" s="534">
        <v>4312486</v>
      </c>
      <c r="G1135" s="535">
        <v>0.72757274177242115</v>
      </c>
      <c r="H1135" s="545">
        <v>3137647.2628751816</v>
      </c>
      <c r="I1135" s="546" t="s">
        <v>8992</v>
      </c>
      <c r="J1135" s="547" t="s">
        <v>8993</v>
      </c>
      <c r="K1135" s="547" t="s">
        <v>8994</v>
      </c>
      <c r="L1135" s="537" t="s">
        <v>541</v>
      </c>
    </row>
    <row r="1136" spans="1:12" x14ac:dyDescent="0.2">
      <c r="A1136" s="570" t="s">
        <v>747</v>
      </c>
      <c r="B1136" s="547" t="s">
        <v>781</v>
      </c>
      <c r="C1136" s="547"/>
      <c r="D1136" s="547" t="s">
        <v>786</v>
      </c>
      <c r="E1136" s="547" t="s">
        <v>535</v>
      </c>
      <c r="F1136" s="552">
        <v>575004</v>
      </c>
      <c r="G1136" s="545">
        <v>2.1002750182898819</v>
      </c>
      <c r="H1136" s="545">
        <v>1207666.5366167552</v>
      </c>
      <c r="I1136" s="546" t="s">
        <v>8992</v>
      </c>
      <c r="J1136" s="547" t="s">
        <v>8993</v>
      </c>
      <c r="K1136" s="547" t="s">
        <v>8994</v>
      </c>
      <c r="L1136" s="537" t="s">
        <v>541</v>
      </c>
    </row>
    <row r="1137" spans="1:12" x14ac:dyDescent="0.2">
      <c r="A1137" s="547" t="s">
        <v>220</v>
      </c>
      <c r="B1137" s="547" t="s">
        <v>2351</v>
      </c>
      <c r="C1137" s="554"/>
      <c r="D1137" s="554" t="s">
        <v>2418</v>
      </c>
      <c r="E1137" s="554" t="s">
        <v>545</v>
      </c>
      <c r="F1137" s="571">
        <v>10</v>
      </c>
      <c r="G1137" s="572">
        <v>29.63</v>
      </c>
      <c r="H1137" s="545">
        <v>296.3</v>
      </c>
      <c r="I1137" s="554" t="s">
        <v>9218</v>
      </c>
      <c r="J1137" s="554" t="s">
        <v>9219</v>
      </c>
      <c r="K1137" s="554" t="s">
        <v>9219</v>
      </c>
      <c r="L1137" s="537" t="s">
        <v>2354</v>
      </c>
    </row>
    <row r="1138" spans="1:12" x14ac:dyDescent="0.2">
      <c r="A1138" s="547" t="s">
        <v>220</v>
      </c>
      <c r="B1138" s="547" t="s">
        <v>2351</v>
      </c>
      <c r="C1138" s="554"/>
      <c r="D1138" s="554" t="s">
        <v>9527</v>
      </c>
      <c r="E1138" s="554" t="s">
        <v>545</v>
      </c>
      <c r="F1138" s="571">
        <v>1</v>
      </c>
      <c r="G1138" s="572">
        <v>1024</v>
      </c>
      <c r="H1138" s="545">
        <v>1024</v>
      </c>
      <c r="I1138" s="554" t="s">
        <v>9218</v>
      </c>
      <c r="J1138" s="554" t="s">
        <v>9219</v>
      </c>
      <c r="K1138" s="554" t="s">
        <v>9219</v>
      </c>
      <c r="L1138" s="537" t="s">
        <v>2354</v>
      </c>
    </row>
    <row r="1139" spans="1:12" x14ac:dyDescent="0.2">
      <c r="A1139" s="547" t="s">
        <v>220</v>
      </c>
      <c r="B1139" s="547" t="s">
        <v>2351</v>
      </c>
      <c r="C1139" s="554"/>
      <c r="D1139" s="554" t="s">
        <v>9584</v>
      </c>
      <c r="E1139" s="554" t="s">
        <v>2387</v>
      </c>
      <c r="F1139" s="571">
        <v>1</v>
      </c>
      <c r="G1139" s="572">
        <v>203.75700000000001</v>
      </c>
      <c r="H1139" s="545">
        <v>203.75700000000001</v>
      </c>
      <c r="I1139" s="554" t="s">
        <v>9218</v>
      </c>
      <c r="J1139" s="554" t="s">
        <v>9219</v>
      </c>
      <c r="K1139" s="554" t="s">
        <v>9219</v>
      </c>
      <c r="L1139" s="537" t="s">
        <v>2354</v>
      </c>
    </row>
    <row r="1140" spans="1:12" x14ac:dyDescent="0.2">
      <c r="A1140" s="547" t="s">
        <v>220</v>
      </c>
      <c r="B1140" s="547" t="s">
        <v>2351</v>
      </c>
      <c r="C1140" s="554" t="s">
        <v>3373</v>
      </c>
      <c r="D1140" s="554" t="s">
        <v>9220</v>
      </c>
      <c r="E1140" s="554" t="s">
        <v>545</v>
      </c>
      <c r="F1140" s="571">
        <v>1</v>
      </c>
      <c r="G1140" s="572">
        <v>658.053</v>
      </c>
      <c r="H1140" s="545">
        <v>658.053</v>
      </c>
      <c r="I1140" s="554" t="s">
        <v>9218</v>
      </c>
      <c r="J1140" s="554" t="s">
        <v>9219</v>
      </c>
      <c r="K1140" s="554" t="s">
        <v>9219</v>
      </c>
      <c r="L1140" s="537" t="s">
        <v>2354</v>
      </c>
    </row>
    <row r="1141" spans="1:12" x14ac:dyDescent="0.2">
      <c r="A1141" s="547" t="s">
        <v>220</v>
      </c>
      <c r="B1141" s="547" t="s">
        <v>2351</v>
      </c>
      <c r="C1141" s="554" t="s">
        <v>9221</v>
      </c>
      <c r="D1141" s="554" t="s">
        <v>9222</v>
      </c>
      <c r="E1141" s="554" t="s">
        <v>545</v>
      </c>
      <c r="F1141" s="571">
        <v>2</v>
      </c>
      <c r="G1141" s="572">
        <v>137.65</v>
      </c>
      <c r="H1141" s="545">
        <v>275.3</v>
      </c>
      <c r="I1141" s="554" t="s">
        <v>9218</v>
      </c>
      <c r="J1141" s="554" t="s">
        <v>9219</v>
      </c>
      <c r="K1141" s="554" t="s">
        <v>9219</v>
      </c>
      <c r="L1141" s="537" t="s">
        <v>2354</v>
      </c>
    </row>
    <row r="1142" spans="1:12" x14ac:dyDescent="0.2">
      <c r="A1142" s="547" t="s">
        <v>220</v>
      </c>
      <c r="B1142" s="547" t="s">
        <v>2351</v>
      </c>
      <c r="C1142" s="554"/>
      <c r="D1142" s="554" t="s">
        <v>2430</v>
      </c>
      <c r="E1142" s="554" t="s">
        <v>545</v>
      </c>
      <c r="F1142" s="571">
        <v>10</v>
      </c>
      <c r="G1142" s="572">
        <v>16.22</v>
      </c>
      <c r="H1142" s="545">
        <v>162.19999999999999</v>
      </c>
      <c r="I1142" s="554" t="s">
        <v>9218</v>
      </c>
      <c r="J1142" s="554" t="s">
        <v>9219</v>
      </c>
      <c r="K1142" s="554" t="s">
        <v>9219</v>
      </c>
      <c r="L1142" s="537" t="s">
        <v>2354</v>
      </c>
    </row>
    <row r="1143" spans="1:12" x14ac:dyDescent="0.2">
      <c r="A1143" s="547" t="s">
        <v>220</v>
      </c>
      <c r="B1143" s="547" t="s">
        <v>2351</v>
      </c>
      <c r="C1143" s="554"/>
      <c r="D1143" s="554" t="s">
        <v>9223</v>
      </c>
      <c r="E1143" s="554" t="s">
        <v>545</v>
      </c>
      <c r="F1143" s="571">
        <v>1</v>
      </c>
      <c r="G1143" s="572">
        <v>1057.3979999999999</v>
      </c>
      <c r="H1143" s="545">
        <v>1057.3979999999999</v>
      </c>
      <c r="I1143" s="554" t="s">
        <v>9218</v>
      </c>
      <c r="J1143" s="554" t="s">
        <v>9219</v>
      </c>
      <c r="K1143" s="554" t="s">
        <v>9219</v>
      </c>
      <c r="L1143" s="537" t="s">
        <v>2354</v>
      </c>
    </row>
    <row r="1144" spans="1:12" x14ac:dyDescent="0.2">
      <c r="A1144" s="547" t="s">
        <v>220</v>
      </c>
      <c r="B1144" s="547" t="s">
        <v>2351</v>
      </c>
      <c r="C1144" s="554"/>
      <c r="D1144" s="554" t="s">
        <v>2430</v>
      </c>
      <c r="E1144" s="554" t="s">
        <v>545</v>
      </c>
      <c r="F1144" s="571">
        <v>10</v>
      </c>
      <c r="G1144" s="572">
        <v>16.22</v>
      </c>
      <c r="H1144" s="545">
        <v>162.19999999999999</v>
      </c>
      <c r="I1144" s="554" t="s">
        <v>9218</v>
      </c>
      <c r="J1144" s="554" t="s">
        <v>9219</v>
      </c>
      <c r="K1144" s="554" t="s">
        <v>9219</v>
      </c>
      <c r="L1144" s="537" t="s">
        <v>2354</v>
      </c>
    </row>
    <row r="1145" spans="1:12" x14ac:dyDescent="0.2">
      <c r="A1145" s="547" t="s">
        <v>220</v>
      </c>
      <c r="B1145" s="547" t="s">
        <v>2351</v>
      </c>
      <c r="C1145" s="554" t="s">
        <v>9226</v>
      </c>
      <c r="D1145" s="554" t="s">
        <v>9227</v>
      </c>
      <c r="E1145" s="554" t="s">
        <v>545</v>
      </c>
      <c r="F1145" s="571">
        <v>1</v>
      </c>
      <c r="G1145" s="572">
        <v>60</v>
      </c>
      <c r="H1145" s="545">
        <v>60</v>
      </c>
      <c r="I1145" s="554" t="s">
        <v>9218</v>
      </c>
      <c r="J1145" s="554" t="s">
        <v>9219</v>
      </c>
      <c r="K1145" s="554" t="s">
        <v>9219</v>
      </c>
      <c r="L1145" s="537" t="s">
        <v>2354</v>
      </c>
    </row>
    <row r="1146" spans="1:12" x14ac:dyDescent="0.2">
      <c r="A1146" s="547" t="s">
        <v>220</v>
      </c>
      <c r="B1146" s="547" t="s">
        <v>2351</v>
      </c>
      <c r="C1146" s="554" t="s">
        <v>9228</v>
      </c>
      <c r="D1146" s="554" t="s">
        <v>9229</v>
      </c>
      <c r="E1146" s="554" t="s">
        <v>9585</v>
      </c>
      <c r="F1146" s="571">
        <v>1</v>
      </c>
      <c r="G1146" s="572">
        <v>65</v>
      </c>
      <c r="H1146" s="545">
        <v>65</v>
      </c>
      <c r="I1146" s="554" t="s">
        <v>9218</v>
      </c>
      <c r="J1146" s="554" t="s">
        <v>9219</v>
      </c>
      <c r="K1146" s="554" t="s">
        <v>9219</v>
      </c>
      <c r="L1146" s="537" t="s">
        <v>2354</v>
      </c>
    </row>
    <row r="1147" spans="1:12" x14ac:dyDescent="0.2">
      <c r="A1147" s="547" t="s">
        <v>220</v>
      </c>
      <c r="B1147" s="547" t="s">
        <v>2351</v>
      </c>
      <c r="C1147" s="554" t="s">
        <v>2423</v>
      </c>
      <c r="D1147" s="554" t="s">
        <v>2424</v>
      </c>
      <c r="E1147" s="554" t="s">
        <v>545</v>
      </c>
      <c r="F1147" s="571">
        <v>20</v>
      </c>
      <c r="G1147" s="572">
        <v>24.63</v>
      </c>
      <c r="H1147" s="545">
        <v>492.59999999999997</v>
      </c>
      <c r="I1147" s="554" t="s">
        <v>9218</v>
      </c>
      <c r="J1147" s="554" t="s">
        <v>9219</v>
      </c>
      <c r="K1147" s="554" t="s">
        <v>9219</v>
      </c>
      <c r="L1147" s="537" t="s">
        <v>2354</v>
      </c>
    </row>
    <row r="1148" spans="1:12" x14ac:dyDescent="0.2">
      <c r="A1148" s="547" t="s">
        <v>220</v>
      </c>
      <c r="B1148" s="547" t="s">
        <v>2351</v>
      </c>
      <c r="C1148" s="554"/>
      <c r="D1148" s="554"/>
      <c r="E1148" s="554" t="s">
        <v>545</v>
      </c>
      <c r="F1148" s="571">
        <v>4</v>
      </c>
      <c r="G1148" s="572">
        <v>6.0869999999999997</v>
      </c>
      <c r="H1148" s="545">
        <v>24.347999999999999</v>
      </c>
      <c r="I1148" s="554" t="s">
        <v>9218</v>
      </c>
      <c r="J1148" s="554" t="s">
        <v>9219</v>
      </c>
      <c r="K1148" s="554" t="s">
        <v>9219</v>
      </c>
      <c r="L1148" s="537" t="s">
        <v>2354</v>
      </c>
    </row>
    <row r="1149" spans="1:12" x14ac:dyDescent="0.2">
      <c r="A1149" s="547" t="s">
        <v>220</v>
      </c>
      <c r="B1149" s="547" t="s">
        <v>2351</v>
      </c>
      <c r="C1149" s="554" t="s">
        <v>5232</v>
      </c>
      <c r="D1149" s="554" t="s">
        <v>5233</v>
      </c>
      <c r="E1149" s="554" t="s">
        <v>9585</v>
      </c>
      <c r="F1149" s="571">
        <v>4</v>
      </c>
      <c r="G1149" s="572">
        <v>6.0869999999999997</v>
      </c>
      <c r="H1149" s="545">
        <v>24.347999999999999</v>
      </c>
      <c r="I1149" s="554" t="s">
        <v>9218</v>
      </c>
      <c r="J1149" s="554" t="s">
        <v>9219</v>
      </c>
      <c r="K1149" s="554" t="s">
        <v>9219</v>
      </c>
      <c r="L1149" s="537" t="s">
        <v>2354</v>
      </c>
    </row>
    <row r="1150" spans="1:12" x14ac:dyDescent="0.2">
      <c r="A1150" s="547" t="s">
        <v>220</v>
      </c>
      <c r="B1150" s="547" t="s">
        <v>2351</v>
      </c>
      <c r="C1150" s="554" t="s">
        <v>9230</v>
      </c>
      <c r="D1150" s="554" t="s">
        <v>9231</v>
      </c>
      <c r="E1150" s="554" t="s">
        <v>545</v>
      </c>
      <c r="F1150" s="571">
        <v>17</v>
      </c>
      <c r="G1150" s="572">
        <v>155.96799999999999</v>
      </c>
      <c r="H1150" s="545">
        <v>2651.4559999999997</v>
      </c>
      <c r="I1150" s="554" t="s">
        <v>9218</v>
      </c>
      <c r="J1150" s="554" t="s">
        <v>9219</v>
      </c>
      <c r="K1150" s="554" t="s">
        <v>9219</v>
      </c>
      <c r="L1150" s="537" t="s">
        <v>2354</v>
      </c>
    </row>
    <row r="1151" spans="1:12" x14ac:dyDescent="0.2">
      <c r="A1151" s="547" t="s">
        <v>220</v>
      </c>
      <c r="B1151" s="547" t="s">
        <v>2351</v>
      </c>
      <c r="C1151" s="554" t="s">
        <v>2413</v>
      </c>
      <c r="D1151" s="554" t="s">
        <v>2414</v>
      </c>
      <c r="E1151" s="554" t="s">
        <v>545</v>
      </c>
      <c r="F1151" s="571">
        <v>20</v>
      </c>
      <c r="G1151" s="572">
        <v>5.85</v>
      </c>
      <c r="H1151" s="545">
        <v>117</v>
      </c>
      <c r="I1151" s="554" t="s">
        <v>9218</v>
      </c>
      <c r="J1151" s="554" t="s">
        <v>9219</v>
      </c>
      <c r="K1151" s="554" t="s">
        <v>9219</v>
      </c>
      <c r="L1151" s="537" t="s">
        <v>2354</v>
      </c>
    </row>
    <row r="1152" spans="1:12" x14ac:dyDescent="0.2">
      <c r="A1152" s="547" t="s">
        <v>220</v>
      </c>
      <c r="B1152" s="547" t="s">
        <v>2351</v>
      </c>
      <c r="C1152" s="554" t="s">
        <v>2445</v>
      </c>
      <c r="D1152" s="554" t="s">
        <v>2446</v>
      </c>
      <c r="E1152" s="554" t="s">
        <v>545</v>
      </c>
      <c r="F1152" s="571">
        <v>9</v>
      </c>
      <c r="G1152" s="572">
        <v>687.14539500000001</v>
      </c>
      <c r="H1152" s="545">
        <v>6184.3085549999996</v>
      </c>
      <c r="I1152" s="554" t="s">
        <v>9218</v>
      </c>
      <c r="J1152" s="554" t="s">
        <v>9219</v>
      </c>
      <c r="K1152" s="554" t="s">
        <v>9219</v>
      </c>
      <c r="L1152" s="537" t="s">
        <v>2354</v>
      </c>
    </row>
    <row r="1153" spans="1:12" x14ac:dyDescent="0.2">
      <c r="A1153" s="547" t="s">
        <v>220</v>
      </c>
      <c r="B1153" s="547" t="s">
        <v>2351</v>
      </c>
      <c r="C1153" s="554" t="s">
        <v>9232</v>
      </c>
      <c r="D1153" s="554" t="s">
        <v>9233</v>
      </c>
      <c r="E1153" s="554" t="s">
        <v>545</v>
      </c>
      <c r="F1153" s="571">
        <v>2</v>
      </c>
      <c r="G1153" s="572">
        <v>223</v>
      </c>
      <c r="H1153" s="545">
        <v>446</v>
      </c>
      <c r="I1153" s="554" t="s">
        <v>9218</v>
      </c>
      <c r="J1153" s="554" t="s">
        <v>9219</v>
      </c>
      <c r="K1153" s="554" t="s">
        <v>9219</v>
      </c>
      <c r="L1153" s="537" t="s">
        <v>2354</v>
      </c>
    </row>
    <row r="1154" spans="1:12" x14ac:dyDescent="0.2">
      <c r="A1154" s="547" t="s">
        <v>220</v>
      </c>
      <c r="B1154" s="547" t="s">
        <v>2351</v>
      </c>
      <c r="C1154" s="554"/>
      <c r="D1154" s="554" t="s">
        <v>9234</v>
      </c>
      <c r="E1154" s="554" t="s">
        <v>545</v>
      </c>
      <c r="F1154" s="571">
        <v>9</v>
      </c>
      <c r="G1154" s="572">
        <v>110</v>
      </c>
      <c r="H1154" s="545">
        <v>990</v>
      </c>
      <c r="I1154" s="554" t="s">
        <v>9218</v>
      </c>
      <c r="J1154" s="554" t="s">
        <v>9219</v>
      </c>
      <c r="K1154" s="554" t="s">
        <v>9219</v>
      </c>
      <c r="L1154" s="537" t="s">
        <v>2354</v>
      </c>
    </row>
    <row r="1155" spans="1:12" x14ac:dyDescent="0.2">
      <c r="A1155" s="547" t="s">
        <v>220</v>
      </c>
      <c r="B1155" s="547" t="s">
        <v>2351</v>
      </c>
      <c r="C1155" s="554" t="s">
        <v>2447</v>
      </c>
      <c r="D1155" s="554" t="s">
        <v>2448</v>
      </c>
      <c r="E1155" s="554" t="s">
        <v>545</v>
      </c>
      <c r="F1155" s="571">
        <v>5</v>
      </c>
      <c r="G1155" s="572">
        <v>30.778500000000001</v>
      </c>
      <c r="H1155" s="545">
        <v>153.89250000000001</v>
      </c>
      <c r="I1155" s="554" t="s">
        <v>9218</v>
      </c>
      <c r="J1155" s="554" t="s">
        <v>9219</v>
      </c>
      <c r="K1155" s="554" t="s">
        <v>9219</v>
      </c>
      <c r="L1155" s="537" t="s">
        <v>2354</v>
      </c>
    </row>
    <row r="1156" spans="1:12" x14ac:dyDescent="0.2">
      <c r="A1156" s="547" t="s">
        <v>220</v>
      </c>
      <c r="B1156" s="547" t="s">
        <v>2351</v>
      </c>
      <c r="C1156" s="554" t="s">
        <v>2449</v>
      </c>
      <c r="D1156" s="554" t="s">
        <v>2450</v>
      </c>
      <c r="E1156" s="554" t="s">
        <v>545</v>
      </c>
      <c r="F1156" s="571">
        <v>1</v>
      </c>
      <c r="G1156" s="572">
        <v>71.400999999999996</v>
      </c>
      <c r="H1156" s="545">
        <v>71.400999999999996</v>
      </c>
      <c r="I1156" s="554" t="s">
        <v>9218</v>
      </c>
      <c r="J1156" s="554" t="s">
        <v>9219</v>
      </c>
      <c r="K1156" s="554" t="s">
        <v>9219</v>
      </c>
      <c r="L1156" s="537" t="s">
        <v>2354</v>
      </c>
    </row>
    <row r="1157" spans="1:12" x14ac:dyDescent="0.2">
      <c r="A1157" s="547" t="s">
        <v>220</v>
      </c>
      <c r="B1157" s="547" t="s">
        <v>2351</v>
      </c>
      <c r="C1157" s="554" t="s">
        <v>2451</v>
      </c>
      <c r="D1157" s="554" t="s">
        <v>2452</v>
      </c>
      <c r="E1157" s="554" t="s">
        <v>545</v>
      </c>
      <c r="F1157" s="571">
        <v>4</v>
      </c>
      <c r="G1157" s="572">
        <v>231.54599999999999</v>
      </c>
      <c r="H1157" s="545">
        <v>926.18399999999997</v>
      </c>
      <c r="I1157" s="554" t="s">
        <v>9218</v>
      </c>
      <c r="J1157" s="554" t="s">
        <v>9219</v>
      </c>
      <c r="K1157" s="554" t="s">
        <v>9219</v>
      </c>
      <c r="L1157" s="537" t="s">
        <v>2354</v>
      </c>
    </row>
    <row r="1158" spans="1:12" x14ac:dyDescent="0.2">
      <c r="A1158" s="547" t="s">
        <v>220</v>
      </c>
      <c r="B1158" s="547" t="s">
        <v>2351</v>
      </c>
      <c r="C1158" s="554" t="s">
        <v>2455</v>
      </c>
      <c r="D1158" s="554" t="s">
        <v>2456</v>
      </c>
      <c r="E1158" s="554" t="s">
        <v>545</v>
      </c>
      <c r="F1158" s="571">
        <v>6</v>
      </c>
      <c r="G1158" s="572">
        <v>111.956</v>
      </c>
      <c r="H1158" s="545">
        <v>671.73599999999999</v>
      </c>
      <c r="I1158" s="554" t="s">
        <v>9218</v>
      </c>
      <c r="J1158" s="554" t="s">
        <v>9219</v>
      </c>
      <c r="K1158" s="554" t="s">
        <v>9219</v>
      </c>
      <c r="L1158" s="537" t="s">
        <v>2354</v>
      </c>
    </row>
    <row r="1159" spans="1:12" x14ac:dyDescent="0.2">
      <c r="A1159" s="547" t="s">
        <v>220</v>
      </c>
      <c r="B1159" s="547" t="s">
        <v>2351</v>
      </c>
      <c r="C1159" s="554" t="s">
        <v>9235</v>
      </c>
      <c r="D1159" s="554" t="s">
        <v>9236</v>
      </c>
      <c r="E1159" s="554" t="s">
        <v>545</v>
      </c>
      <c r="F1159" s="571">
        <v>3</v>
      </c>
      <c r="G1159" s="572">
        <v>68.5</v>
      </c>
      <c r="H1159" s="545">
        <v>205.5</v>
      </c>
      <c r="I1159" s="554" t="s">
        <v>9218</v>
      </c>
      <c r="J1159" s="554" t="s">
        <v>9219</v>
      </c>
      <c r="K1159" s="554" t="s">
        <v>9219</v>
      </c>
      <c r="L1159" s="537" t="s">
        <v>2354</v>
      </c>
    </row>
    <row r="1160" spans="1:12" x14ac:dyDescent="0.2">
      <c r="A1160" s="547" t="s">
        <v>220</v>
      </c>
      <c r="B1160" s="547" t="s">
        <v>2351</v>
      </c>
      <c r="C1160" s="554" t="s">
        <v>2457</v>
      </c>
      <c r="D1160" s="554" t="s">
        <v>2458</v>
      </c>
      <c r="E1160" s="554" t="s">
        <v>545</v>
      </c>
      <c r="F1160" s="571">
        <v>2</v>
      </c>
      <c r="G1160" s="572">
        <v>10</v>
      </c>
      <c r="H1160" s="545">
        <v>20</v>
      </c>
      <c r="I1160" s="554" t="s">
        <v>9218</v>
      </c>
      <c r="J1160" s="554" t="s">
        <v>9219</v>
      </c>
      <c r="K1160" s="554" t="s">
        <v>9219</v>
      </c>
      <c r="L1160" s="537" t="s">
        <v>2354</v>
      </c>
    </row>
    <row r="1161" spans="1:12" x14ac:dyDescent="0.2">
      <c r="A1161" s="547" t="s">
        <v>220</v>
      </c>
      <c r="B1161" s="547" t="s">
        <v>2351</v>
      </c>
      <c r="C1161" s="554" t="s">
        <v>2459</v>
      </c>
      <c r="D1161" s="554" t="s">
        <v>2460</v>
      </c>
      <c r="E1161" s="554" t="s">
        <v>545</v>
      </c>
      <c r="F1161" s="571">
        <v>1</v>
      </c>
      <c r="G1161" s="572">
        <v>143.422346</v>
      </c>
      <c r="H1161" s="545">
        <v>143.422346</v>
      </c>
      <c r="I1161" s="554" t="s">
        <v>9218</v>
      </c>
      <c r="J1161" s="554" t="s">
        <v>9219</v>
      </c>
      <c r="K1161" s="554" t="s">
        <v>9219</v>
      </c>
      <c r="L1161" s="537" t="s">
        <v>2354</v>
      </c>
    </row>
    <row r="1162" spans="1:12" x14ac:dyDescent="0.2">
      <c r="A1162" s="547" t="s">
        <v>220</v>
      </c>
      <c r="B1162" s="547" t="s">
        <v>2351</v>
      </c>
      <c r="C1162" s="554" t="s">
        <v>2461</v>
      </c>
      <c r="D1162" s="554" t="s">
        <v>2462</v>
      </c>
      <c r="E1162" s="554" t="s">
        <v>545</v>
      </c>
      <c r="F1162" s="571">
        <v>7</v>
      </c>
      <c r="G1162" s="572">
        <v>193.55086499999999</v>
      </c>
      <c r="H1162" s="545">
        <v>1354.856055</v>
      </c>
      <c r="I1162" s="554" t="s">
        <v>9218</v>
      </c>
      <c r="J1162" s="554" t="s">
        <v>9219</v>
      </c>
      <c r="K1162" s="554" t="s">
        <v>9219</v>
      </c>
      <c r="L1162" s="537" t="s">
        <v>2354</v>
      </c>
    </row>
    <row r="1163" spans="1:12" x14ac:dyDescent="0.2">
      <c r="A1163" s="547" t="s">
        <v>220</v>
      </c>
      <c r="B1163" s="547" t="s">
        <v>2351</v>
      </c>
      <c r="C1163" s="554" t="s">
        <v>2463</v>
      </c>
      <c r="D1163" s="554" t="s">
        <v>2464</v>
      </c>
      <c r="E1163" s="554" t="s">
        <v>545</v>
      </c>
      <c r="F1163" s="571">
        <v>2</v>
      </c>
      <c r="G1163" s="572">
        <v>1997.393</v>
      </c>
      <c r="H1163" s="545">
        <v>3994.7860000000001</v>
      </c>
      <c r="I1163" s="554" t="s">
        <v>9218</v>
      </c>
      <c r="J1163" s="554" t="s">
        <v>9219</v>
      </c>
      <c r="K1163" s="554" t="s">
        <v>9219</v>
      </c>
      <c r="L1163" s="537" t="s">
        <v>2354</v>
      </c>
    </row>
    <row r="1164" spans="1:12" x14ac:dyDescent="0.2">
      <c r="A1164" s="547" t="s">
        <v>220</v>
      </c>
      <c r="B1164" s="547" t="s">
        <v>2351</v>
      </c>
      <c r="C1164" s="554" t="s">
        <v>2465</v>
      </c>
      <c r="D1164" s="554" t="s">
        <v>2466</v>
      </c>
      <c r="E1164" s="554" t="s">
        <v>545</v>
      </c>
      <c r="F1164" s="571">
        <v>4</v>
      </c>
      <c r="G1164" s="572">
        <v>59.334000000000003</v>
      </c>
      <c r="H1164" s="545">
        <v>237.33600000000001</v>
      </c>
      <c r="I1164" s="554" t="s">
        <v>9218</v>
      </c>
      <c r="J1164" s="554" t="s">
        <v>9219</v>
      </c>
      <c r="K1164" s="554" t="s">
        <v>9219</v>
      </c>
      <c r="L1164" s="537" t="s">
        <v>2354</v>
      </c>
    </row>
    <row r="1165" spans="1:12" x14ac:dyDescent="0.2">
      <c r="A1165" s="547" t="s">
        <v>220</v>
      </c>
      <c r="B1165" s="547" t="s">
        <v>2351</v>
      </c>
      <c r="C1165" s="554" t="s">
        <v>2467</v>
      </c>
      <c r="D1165" s="554" t="s">
        <v>2468</v>
      </c>
      <c r="E1165" s="554" t="s">
        <v>545</v>
      </c>
      <c r="F1165" s="571">
        <v>4</v>
      </c>
      <c r="G1165" s="572">
        <v>201.67599999999999</v>
      </c>
      <c r="H1165" s="545">
        <v>806.70399999999995</v>
      </c>
      <c r="I1165" s="554" t="s">
        <v>9218</v>
      </c>
      <c r="J1165" s="554" t="s">
        <v>9219</v>
      </c>
      <c r="K1165" s="554" t="s">
        <v>9219</v>
      </c>
      <c r="L1165" s="537" t="s">
        <v>2354</v>
      </c>
    </row>
    <row r="1166" spans="1:12" x14ac:dyDescent="0.2">
      <c r="A1166" s="547" t="s">
        <v>220</v>
      </c>
      <c r="B1166" s="547" t="s">
        <v>2351</v>
      </c>
      <c r="C1166" s="554" t="s">
        <v>9237</v>
      </c>
      <c r="D1166" s="554" t="s">
        <v>9238</v>
      </c>
      <c r="E1166" s="554" t="s">
        <v>545</v>
      </c>
      <c r="F1166" s="571">
        <v>1</v>
      </c>
      <c r="G1166" s="572">
        <v>34.5</v>
      </c>
      <c r="H1166" s="545">
        <v>34.5</v>
      </c>
      <c r="I1166" s="554" t="s">
        <v>9218</v>
      </c>
      <c r="J1166" s="554" t="s">
        <v>9219</v>
      </c>
      <c r="K1166" s="554" t="s">
        <v>9219</v>
      </c>
      <c r="L1166" s="537" t="s">
        <v>2354</v>
      </c>
    </row>
    <row r="1167" spans="1:12" x14ac:dyDescent="0.2">
      <c r="A1167" s="547" t="s">
        <v>220</v>
      </c>
      <c r="B1167" s="547" t="s">
        <v>2351</v>
      </c>
      <c r="C1167" s="554" t="s">
        <v>2471</v>
      </c>
      <c r="D1167" s="554" t="s">
        <v>2472</v>
      </c>
      <c r="E1167" s="554" t="s">
        <v>545</v>
      </c>
      <c r="F1167" s="571">
        <v>8</v>
      </c>
      <c r="G1167" s="572">
        <v>168.00120000000001</v>
      </c>
      <c r="H1167" s="545">
        <v>1344.0096000000001</v>
      </c>
      <c r="I1167" s="554" t="s">
        <v>9218</v>
      </c>
      <c r="J1167" s="554" t="s">
        <v>9219</v>
      </c>
      <c r="K1167" s="554" t="s">
        <v>9219</v>
      </c>
      <c r="L1167" s="537" t="s">
        <v>2354</v>
      </c>
    </row>
    <row r="1168" spans="1:12" x14ac:dyDescent="0.2">
      <c r="A1168" s="547" t="s">
        <v>220</v>
      </c>
      <c r="B1168" s="547" t="s">
        <v>2351</v>
      </c>
      <c r="C1168" s="554" t="s">
        <v>2474</v>
      </c>
      <c r="D1168" s="554" t="s">
        <v>2475</v>
      </c>
      <c r="E1168" s="554" t="s">
        <v>545</v>
      </c>
      <c r="F1168" s="571">
        <v>8</v>
      </c>
      <c r="G1168" s="572">
        <v>189.6858</v>
      </c>
      <c r="H1168" s="545">
        <v>1517.4864</v>
      </c>
      <c r="I1168" s="554" t="s">
        <v>9218</v>
      </c>
      <c r="J1168" s="554" t="s">
        <v>9219</v>
      </c>
      <c r="K1168" s="554" t="s">
        <v>9219</v>
      </c>
      <c r="L1168" s="537" t="s">
        <v>2354</v>
      </c>
    </row>
    <row r="1169" spans="1:12" x14ac:dyDescent="0.2">
      <c r="A1169" s="547" t="s">
        <v>220</v>
      </c>
      <c r="B1169" s="547" t="s">
        <v>2351</v>
      </c>
      <c r="C1169" s="554" t="s">
        <v>2476</v>
      </c>
      <c r="D1169" s="554" t="s">
        <v>9239</v>
      </c>
      <c r="E1169" s="554" t="s">
        <v>545</v>
      </c>
      <c r="F1169" s="571">
        <v>3</v>
      </c>
      <c r="G1169" s="572">
        <v>258.3</v>
      </c>
      <c r="H1169" s="545">
        <v>774.90000000000009</v>
      </c>
      <c r="I1169" s="554" t="s">
        <v>9218</v>
      </c>
      <c r="J1169" s="554" t="s">
        <v>9219</v>
      </c>
      <c r="K1169" s="554" t="s">
        <v>9219</v>
      </c>
      <c r="L1169" s="537" t="s">
        <v>2354</v>
      </c>
    </row>
    <row r="1170" spans="1:12" x14ac:dyDescent="0.2">
      <c r="A1170" s="547" t="s">
        <v>220</v>
      </c>
      <c r="B1170" s="547" t="s">
        <v>2351</v>
      </c>
      <c r="C1170" s="554" t="s">
        <v>9240</v>
      </c>
      <c r="D1170" s="554" t="s">
        <v>9241</v>
      </c>
      <c r="E1170" s="554" t="s">
        <v>545</v>
      </c>
      <c r="F1170" s="571">
        <v>2</v>
      </c>
      <c r="G1170" s="572">
        <v>92.352999999999994</v>
      </c>
      <c r="H1170" s="545">
        <v>184.70599999999999</v>
      </c>
      <c r="I1170" s="554" t="s">
        <v>9218</v>
      </c>
      <c r="J1170" s="554" t="s">
        <v>9219</v>
      </c>
      <c r="K1170" s="554" t="s">
        <v>9219</v>
      </c>
      <c r="L1170" s="537" t="s">
        <v>2354</v>
      </c>
    </row>
    <row r="1171" spans="1:12" x14ac:dyDescent="0.2">
      <c r="A1171" s="547" t="s">
        <v>220</v>
      </c>
      <c r="B1171" s="547" t="s">
        <v>2351</v>
      </c>
      <c r="C1171" s="554" t="s">
        <v>9242</v>
      </c>
      <c r="D1171" s="554" t="s">
        <v>9243</v>
      </c>
      <c r="E1171" s="554" t="s">
        <v>545</v>
      </c>
      <c r="F1171" s="571">
        <v>5</v>
      </c>
      <c r="G1171" s="572">
        <v>63</v>
      </c>
      <c r="H1171" s="545">
        <v>315</v>
      </c>
      <c r="I1171" s="554" t="s">
        <v>9218</v>
      </c>
      <c r="J1171" s="554" t="s">
        <v>9219</v>
      </c>
      <c r="K1171" s="554" t="s">
        <v>9219</v>
      </c>
      <c r="L1171" s="537" t="s">
        <v>2354</v>
      </c>
    </row>
    <row r="1172" spans="1:12" x14ac:dyDescent="0.2">
      <c r="A1172" s="547" t="s">
        <v>220</v>
      </c>
      <c r="B1172" s="547" t="s">
        <v>2351</v>
      </c>
      <c r="C1172" s="554" t="s">
        <v>2478</v>
      </c>
      <c r="D1172" s="554" t="s">
        <v>2479</v>
      </c>
      <c r="E1172" s="554" t="s">
        <v>545</v>
      </c>
      <c r="F1172" s="571">
        <v>5</v>
      </c>
      <c r="G1172" s="572">
        <v>63.96</v>
      </c>
      <c r="H1172" s="545">
        <v>319.8</v>
      </c>
      <c r="I1172" s="554" t="s">
        <v>9218</v>
      </c>
      <c r="J1172" s="554" t="s">
        <v>9219</v>
      </c>
      <c r="K1172" s="554" t="s">
        <v>9219</v>
      </c>
      <c r="L1172" s="537" t="s">
        <v>2354</v>
      </c>
    </row>
    <row r="1173" spans="1:12" x14ac:dyDescent="0.2">
      <c r="A1173" s="547" t="s">
        <v>220</v>
      </c>
      <c r="B1173" s="547" t="s">
        <v>2351</v>
      </c>
      <c r="C1173" s="554" t="s">
        <v>2480</v>
      </c>
      <c r="D1173" s="554" t="s">
        <v>2481</v>
      </c>
      <c r="E1173" s="554" t="s">
        <v>545</v>
      </c>
      <c r="F1173" s="571">
        <v>6</v>
      </c>
      <c r="G1173" s="572">
        <v>42</v>
      </c>
      <c r="H1173" s="545">
        <v>252</v>
      </c>
      <c r="I1173" s="554" t="s">
        <v>9218</v>
      </c>
      <c r="J1173" s="554" t="s">
        <v>9219</v>
      </c>
      <c r="K1173" s="554" t="s">
        <v>9219</v>
      </c>
      <c r="L1173" s="537" t="s">
        <v>2354</v>
      </c>
    </row>
    <row r="1174" spans="1:12" x14ac:dyDescent="0.2">
      <c r="A1174" s="547" t="s">
        <v>220</v>
      </c>
      <c r="B1174" s="547" t="s">
        <v>2351</v>
      </c>
      <c r="C1174" s="554" t="s">
        <v>2482</v>
      </c>
      <c r="D1174" s="554" t="s">
        <v>2483</v>
      </c>
      <c r="E1174" s="554" t="s">
        <v>545</v>
      </c>
      <c r="F1174" s="571">
        <v>1</v>
      </c>
      <c r="G1174" s="572">
        <v>209.34899999999999</v>
      </c>
      <c r="H1174" s="545">
        <v>209.34899999999999</v>
      </c>
      <c r="I1174" s="554" t="s">
        <v>9218</v>
      </c>
      <c r="J1174" s="554" t="s">
        <v>9219</v>
      </c>
      <c r="K1174" s="554" t="s">
        <v>9219</v>
      </c>
      <c r="L1174" s="537" t="s">
        <v>2354</v>
      </c>
    </row>
    <row r="1175" spans="1:12" x14ac:dyDescent="0.2">
      <c r="A1175" s="547" t="s">
        <v>220</v>
      </c>
      <c r="B1175" s="547" t="s">
        <v>2351</v>
      </c>
      <c r="C1175" s="554" t="s">
        <v>2484</v>
      </c>
      <c r="D1175" s="554" t="s">
        <v>2485</v>
      </c>
      <c r="E1175" s="554" t="s">
        <v>545</v>
      </c>
      <c r="F1175" s="571">
        <v>2</v>
      </c>
      <c r="G1175" s="572">
        <v>68.174999999999997</v>
      </c>
      <c r="H1175" s="545">
        <v>136.35</v>
      </c>
      <c r="I1175" s="554" t="s">
        <v>9218</v>
      </c>
      <c r="J1175" s="554" t="s">
        <v>9219</v>
      </c>
      <c r="K1175" s="554" t="s">
        <v>9219</v>
      </c>
      <c r="L1175" s="537" t="s">
        <v>2354</v>
      </c>
    </row>
    <row r="1176" spans="1:12" x14ac:dyDescent="0.2">
      <c r="A1176" s="547" t="s">
        <v>220</v>
      </c>
      <c r="B1176" s="547" t="s">
        <v>2351</v>
      </c>
      <c r="C1176" s="554" t="s">
        <v>2486</v>
      </c>
      <c r="D1176" s="554" t="s">
        <v>2487</v>
      </c>
      <c r="E1176" s="554" t="s">
        <v>545</v>
      </c>
      <c r="F1176" s="571">
        <v>1</v>
      </c>
      <c r="G1176" s="572">
        <v>100.8</v>
      </c>
      <c r="H1176" s="545">
        <v>100.8</v>
      </c>
      <c r="I1176" s="554" t="s">
        <v>9218</v>
      </c>
      <c r="J1176" s="554" t="s">
        <v>9219</v>
      </c>
      <c r="K1176" s="554" t="s">
        <v>9219</v>
      </c>
      <c r="L1176" s="537" t="s">
        <v>2354</v>
      </c>
    </row>
    <row r="1177" spans="1:12" x14ac:dyDescent="0.2">
      <c r="A1177" s="547" t="s">
        <v>220</v>
      </c>
      <c r="B1177" s="547" t="s">
        <v>2351</v>
      </c>
      <c r="C1177" s="554" t="s">
        <v>2488</v>
      </c>
      <c r="D1177" s="554" t="s">
        <v>2489</v>
      </c>
      <c r="E1177" s="554" t="s">
        <v>545</v>
      </c>
      <c r="F1177" s="571">
        <v>1</v>
      </c>
      <c r="G1177" s="572">
        <v>80.519000000000005</v>
      </c>
      <c r="H1177" s="545">
        <v>80.519000000000005</v>
      </c>
      <c r="I1177" s="554" t="s">
        <v>9218</v>
      </c>
      <c r="J1177" s="554" t="s">
        <v>9219</v>
      </c>
      <c r="K1177" s="554" t="s">
        <v>9219</v>
      </c>
      <c r="L1177" s="537" t="s">
        <v>2354</v>
      </c>
    </row>
    <row r="1178" spans="1:12" x14ac:dyDescent="0.2">
      <c r="A1178" s="547" t="s">
        <v>220</v>
      </c>
      <c r="B1178" s="547" t="s">
        <v>2351</v>
      </c>
      <c r="C1178" s="554" t="s">
        <v>5366</v>
      </c>
      <c r="D1178" s="554" t="s">
        <v>5367</v>
      </c>
      <c r="E1178" s="554" t="s">
        <v>545</v>
      </c>
      <c r="F1178" s="571">
        <v>3</v>
      </c>
      <c r="G1178" s="572">
        <v>110</v>
      </c>
      <c r="H1178" s="545">
        <v>330</v>
      </c>
      <c r="I1178" s="554" t="s">
        <v>9218</v>
      </c>
      <c r="J1178" s="554" t="s">
        <v>9219</v>
      </c>
      <c r="K1178" s="554" t="s">
        <v>9219</v>
      </c>
      <c r="L1178" s="537" t="s">
        <v>2354</v>
      </c>
    </row>
    <row r="1179" spans="1:12" x14ac:dyDescent="0.2">
      <c r="A1179" s="547" t="s">
        <v>220</v>
      </c>
      <c r="B1179" s="547" t="s">
        <v>2351</v>
      </c>
      <c r="C1179" s="554" t="s">
        <v>5368</v>
      </c>
      <c r="D1179" s="554" t="s">
        <v>5369</v>
      </c>
      <c r="E1179" s="554" t="s">
        <v>9585</v>
      </c>
      <c r="F1179" s="571">
        <v>1</v>
      </c>
      <c r="G1179" s="572">
        <v>90</v>
      </c>
      <c r="H1179" s="545">
        <v>90</v>
      </c>
      <c r="I1179" s="554" t="s">
        <v>9218</v>
      </c>
      <c r="J1179" s="554" t="s">
        <v>9219</v>
      </c>
      <c r="K1179" s="554" t="s">
        <v>9219</v>
      </c>
      <c r="L1179" s="537" t="s">
        <v>2354</v>
      </c>
    </row>
    <row r="1180" spans="1:12" x14ac:dyDescent="0.2">
      <c r="A1180" s="547" t="s">
        <v>220</v>
      </c>
      <c r="B1180" s="547" t="s">
        <v>2351</v>
      </c>
      <c r="C1180" s="554" t="s">
        <v>2490</v>
      </c>
      <c r="D1180" s="554" t="s">
        <v>2491</v>
      </c>
      <c r="E1180" s="554" t="s">
        <v>7558</v>
      </c>
      <c r="F1180" s="571">
        <v>42</v>
      </c>
      <c r="G1180" s="572">
        <v>46.293731220461453</v>
      </c>
      <c r="H1180" s="545">
        <v>1944.336711259381</v>
      </c>
      <c r="I1180" s="554" t="s">
        <v>9218</v>
      </c>
      <c r="J1180" s="554" t="s">
        <v>9219</v>
      </c>
      <c r="K1180" s="554" t="s">
        <v>9219</v>
      </c>
      <c r="L1180" s="537" t="s">
        <v>2354</v>
      </c>
    </row>
    <row r="1181" spans="1:12" x14ac:dyDescent="0.2">
      <c r="A1181" s="547" t="s">
        <v>220</v>
      </c>
      <c r="B1181" s="547" t="s">
        <v>2351</v>
      </c>
      <c r="C1181" s="554" t="s">
        <v>2492</v>
      </c>
      <c r="D1181" s="554" t="s">
        <v>2493</v>
      </c>
      <c r="E1181" s="554" t="s">
        <v>7558</v>
      </c>
      <c r="F1181" s="571">
        <v>1</v>
      </c>
      <c r="G1181" s="572">
        <v>1016.727809</v>
      </c>
      <c r="H1181" s="545">
        <v>1016.727809</v>
      </c>
      <c r="I1181" s="554" t="s">
        <v>9218</v>
      </c>
      <c r="J1181" s="554" t="s">
        <v>9219</v>
      </c>
      <c r="K1181" s="554" t="s">
        <v>9219</v>
      </c>
      <c r="L1181" s="537" t="s">
        <v>2354</v>
      </c>
    </row>
    <row r="1182" spans="1:12" x14ac:dyDescent="0.2">
      <c r="A1182" s="547" t="s">
        <v>220</v>
      </c>
      <c r="B1182" s="547" t="s">
        <v>2351</v>
      </c>
      <c r="C1182" s="554" t="s">
        <v>2494</v>
      </c>
      <c r="D1182" s="554" t="s">
        <v>2495</v>
      </c>
      <c r="E1182" s="554" t="s">
        <v>545</v>
      </c>
      <c r="F1182" s="571">
        <v>6</v>
      </c>
      <c r="G1182" s="572">
        <v>389.41789859126379</v>
      </c>
      <c r="H1182" s="545">
        <v>2336.5073915475828</v>
      </c>
      <c r="I1182" s="554" t="s">
        <v>9218</v>
      </c>
      <c r="J1182" s="554" t="s">
        <v>9219</v>
      </c>
      <c r="K1182" s="554" t="s">
        <v>9219</v>
      </c>
      <c r="L1182" s="537" t="s">
        <v>2354</v>
      </c>
    </row>
    <row r="1183" spans="1:12" x14ac:dyDescent="0.2">
      <c r="A1183" s="547" t="s">
        <v>220</v>
      </c>
      <c r="B1183" s="547" t="s">
        <v>2351</v>
      </c>
      <c r="C1183" s="554" t="s">
        <v>2502</v>
      </c>
      <c r="D1183" s="554" t="s">
        <v>2503</v>
      </c>
      <c r="E1183" s="554" t="s">
        <v>545</v>
      </c>
      <c r="F1183" s="571">
        <v>3</v>
      </c>
      <c r="G1183" s="572">
        <v>95.95</v>
      </c>
      <c r="H1183" s="545">
        <v>287.85000000000002</v>
      </c>
      <c r="I1183" s="554" t="s">
        <v>9218</v>
      </c>
      <c r="J1183" s="554" t="s">
        <v>9219</v>
      </c>
      <c r="K1183" s="554" t="s">
        <v>9219</v>
      </c>
      <c r="L1183" s="537" t="s">
        <v>2354</v>
      </c>
    </row>
    <row r="1184" spans="1:12" x14ac:dyDescent="0.2">
      <c r="A1184" s="547" t="s">
        <v>220</v>
      </c>
      <c r="B1184" s="547" t="s">
        <v>2351</v>
      </c>
      <c r="C1184" s="554" t="s">
        <v>2504</v>
      </c>
      <c r="D1184" s="554" t="s">
        <v>2505</v>
      </c>
      <c r="E1184" s="554" t="s">
        <v>545</v>
      </c>
      <c r="F1184" s="571">
        <v>1</v>
      </c>
      <c r="G1184" s="572">
        <v>90.9</v>
      </c>
      <c r="H1184" s="545">
        <v>90.9</v>
      </c>
      <c r="I1184" s="554" t="s">
        <v>9218</v>
      </c>
      <c r="J1184" s="554" t="s">
        <v>9219</v>
      </c>
      <c r="K1184" s="554" t="s">
        <v>9219</v>
      </c>
      <c r="L1184" s="537" t="s">
        <v>2354</v>
      </c>
    </row>
    <row r="1185" spans="1:12" x14ac:dyDescent="0.2">
      <c r="A1185" s="547" t="s">
        <v>220</v>
      </c>
      <c r="B1185" s="547" t="s">
        <v>2351</v>
      </c>
      <c r="C1185" s="554" t="s">
        <v>2506</v>
      </c>
      <c r="D1185" s="554" t="s">
        <v>2507</v>
      </c>
      <c r="E1185" s="554" t="s">
        <v>545</v>
      </c>
      <c r="F1185" s="571">
        <v>142</v>
      </c>
      <c r="G1185" s="572">
        <v>27.400289999999998</v>
      </c>
      <c r="H1185" s="545">
        <v>3890.8411799999999</v>
      </c>
      <c r="I1185" s="554" t="s">
        <v>9218</v>
      </c>
      <c r="J1185" s="554" t="s">
        <v>9219</v>
      </c>
      <c r="K1185" s="554" t="s">
        <v>9219</v>
      </c>
      <c r="L1185" s="537" t="s">
        <v>2354</v>
      </c>
    </row>
    <row r="1186" spans="1:12" x14ac:dyDescent="0.2">
      <c r="A1186" s="547" t="s">
        <v>220</v>
      </c>
      <c r="B1186" s="547" t="s">
        <v>2351</v>
      </c>
      <c r="C1186" s="554" t="s">
        <v>2508</v>
      </c>
      <c r="D1186" s="554" t="s">
        <v>2509</v>
      </c>
      <c r="E1186" s="554" t="s">
        <v>545</v>
      </c>
      <c r="F1186" s="571">
        <v>3</v>
      </c>
      <c r="G1186" s="572">
        <v>383.8</v>
      </c>
      <c r="H1186" s="545">
        <v>1151.4000000000001</v>
      </c>
      <c r="I1186" s="554" t="s">
        <v>9218</v>
      </c>
      <c r="J1186" s="554" t="s">
        <v>9219</v>
      </c>
      <c r="K1186" s="554" t="s">
        <v>9219</v>
      </c>
      <c r="L1186" s="537" t="s">
        <v>2354</v>
      </c>
    </row>
    <row r="1187" spans="1:12" x14ac:dyDescent="0.2">
      <c r="A1187" s="547" t="s">
        <v>220</v>
      </c>
      <c r="B1187" s="547" t="s">
        <v>2351</v>
      </c>
      <c r="C1187" s="554" t="s">
        <v>2510</v>
      </c>
      <c r="D1187" s="554" t="s">
        <v>2511</v>
      </c>
      <c r="E1187" s="554" t="s">
        <v>545</v>
      </c>
      <c r="F1187" s="571">
        <v>263</v>
      </c>
      <c r="G1187" s="572">
        <v>27.400289999999998</v>
      </c>
      <c r="H1187" s="545">
        <v>7206.2762699999994</v>
      </c>
      <c r="I1187" s="554" t="s">
        <v>9218</v>
      </c>
      <c r="J1187" s="554" t="s">
        <v>9219</v>
      </c>
      <c r="K1187" s="554" t="s">
        <v>9219</v>
      </c>
      <c r="L1187" s="537" t="s">
        <v>2354</v>
      </c>
    </row>
    <row r="1188" spans="1:12" x14ac:dyDescent="0.2">
      <c r="A1188" s="547" t="s">
        <v>220</v>
      </c>
      <c r="B1188" s="547" t="s">
        <v>2351</v>
      </c>
      <c r="C1188" s="554" t="s">
        <v>2512</v>
      </c>
      <c r="D1188" s="554" t="s">
        <v>2513</v>
      </c>
      <c r="E1188" s="554" t="s">
        <v>545</v>
      </c>
      <c r="F1188" s="571">
        <v>2</v>
      </c>
      <c r="G1188" s="572">
        <v>50</v>
      </c>
      <c r="H1188" s="545">
        <v>100</v>
      </c>
      <c r="I1188" s="554" t="s">
        <v>9218</v>
      </c>
      <c r="J1188" s="554" t="s">
        <v>9219</v>
      </c>
      <c r="K1188" s="554" t="s">
        <v>9219</v>
      </c>
      <c r="L1188" s="537" t="s">
        <v>2354</v>
      </c>
    </row>
    <row r="1189" spans="1:12" x14ac:dyDescent="0.2">
      <c r="A1189" s="547" t="s">
        <v>220</v>
      </c>
      <c r="B1189" s="547" t="s">
        <v>2351</v>
      </c>
      <c r="C1189" s="554" t="s">
        <v>2514</v>
      </c>
      <c r="D1189" s="554" t="s">
        <v>2515</v>
      </c>
      <c r="E1189" s="554" t="s">
        <v>545</v>
      </c>
      <c r="F1189" s="571">
        <v>1</v>
      </c>
      <c r="G1189" s="572">
        <v>1203.9933554960826</v>
      </c>
      <c r="H1189" s="545">
        <v>1203.9933554960826</v>
      </c>
      <c r="I1189" s="554" t="s">
        <v>9218</v>
      </c>
      <c r="J1189" s="554" t="s">
        <v>9219</v>
      </c>
      <c r="K1189" s="554" t="s">
        <v>9219</v>
      </c>
      <c r="L1189" s="537" t="s">
        <v>2354</v>
      </c>
    </row>
    <row r="1190" spans="1:12" x14ac:dyDescent="0.2">
      <c r="A1190" s="547" t="s">
        <v>220</v>
      </c>
      <c r="B1190" s="547" t="s">
        <v>2351</v>
      </c>
      <c r="C1190" s="554" t="s">
        <v>2518</v>
      </c>
      <c r="D1190" s="554" t="s">
        <v>2519</v>
      </c>
      <c r="E1190" s="554" t="s">
        <v>545</v>
      </c>
      <c r="F1190" s="571">
        <v>1</v>
      </c>
      <c r="G1190" s="572">
        <v>4.59</v>
      </c>
      <c r="H1190" s="545">
        <v>4.59</v>
      </c>
      <c r="I1190" s="554" t="s">
        <v>9218</v>
      </c>
      <c r="J1190" s="554" t="s">
        <v>9219</v>
      </c>
      <c r="K1190" s="554" t="s">
        <v>9219</v>
      </c>
      <c r="L1190" s="537" t="s">
        <v>2354</v>
      </c>
    </row>
    <row r="1191" spans="1:12" x14ac:dyDescent="0.2">
      <c r="A1191" s="547" t="s">
        <v>220</v>
      </c>
      <c r="B1191" s="547" t="s">
        <v>2351</v>
      </c>
      <c r="C1191" s="554" t="s">
        <v>2520</v>
      </c>
      <c r="D1191" s="554" t="s">
        <v>2521</v>
      </c>
      <c r="E1191" s="554" t="s">
        <v>545</v>
      </c>
      <c r="F1191" s="571">
        <v>3</v>
      </c>
      <c r="G1191" s="572">
        <v>20.2761</v>
      </c>
      <c r="H1191" s="545">
        <v>60.828299999999999</v>
      </c>
      <c r="I1191" s="554" t="s">
        <v>9218</v>
      </c>
      <c r="J1191" s="554" t="s">
        <v>9219</v>
      </c>
      <c r="K1191" s="554" t="s">
        <v>9219</v>
      </c>
      <c r="L1191" s="537" t="s">
        <v>2354</v>
      </c>
    </row>
    <row r="1192" spans="1:12" x14ac:dyDescent="0.2">
      <c r="A1192" s="547" t="s">
        <v>220</v>
      </c>
      <c r="B1192" s="547" t="s">
        <v>2351</v>
      </c>
      <c r="C1192" s="554" t="s">
        <v>9244</v>
      </c>
      <c r="D1192" s="554" t="s">
        <v>9245</v>
      </c>
      <c r="E1192" s="554" t="s">
        <v>545</v>
      </c>
      <c r="F1192" s="571">
        <v>3</v>
      </c>
      <c r="G1192" s="572">
        <v>20.2761</v>
      </c>
      <c r="H1192" s="545">
        <v>60.828299999999999</v>
      </c>
      <c r="I1192" s="554" t="s">
        <v>9218</v>
      </c>
      <c r="J1192" s="554" t="s">
        <v>9219</v>
      </c>
      <c r="K1192" s="554" t="s">
        <v>9219</v>
      </c>
      <c r="L1192" s="537" t="s">
        <v>2354</v>
      </c>
    </row>
    <row r="1193" spans="1:12" x14ac:dyDescent="0.2">
      <c r="A1193" s="547" t="s">
        <v>220</v>
      </c>
      <c r="B1193" s="547" t="s">
        <v>2351</v>
      </c>
      <c r="C1193" s="554" t="s">
        <v>2522</v>
      </c>
      <c r="D1193" s="554" t="s">
        <v>2523</v>
      </c>
      <c r="E1193" s="554" t="s">
        <v>545</v>
      </c>
      <c r="F1193" s="571">
        <v>7</v>
      </c>
      <c r="G1193" s="572">
        <v>40.910499999999999</v>
      </c>
      <c r="H1193" s="545">
        <v>286.37349999999998</v>
      </c>
      <c r="I1193" s="554" t="s">
        <v>9218</v>
      </c>
      <c r="J1193" s="554" t="s">
        <v>9219</v>
      </c>
      <c r="K1193" s="554" t="s">
        <v>9219</v>
      </c>
      <c r="L1193" s="537" t="s">
        <v>2354</v>
      </c>
    </row>
    <row r="1194" spans="1:12" x14ac:dyDescent="0.2">
      <c r="A1194" s="547" t="s">
        <v>220</v>
      </c>
      <c r="B1194" s="547" t="s">
        <v>2351</v>
      </c>
      <c r="C1194" s="554" t="s">
        <v>2524</v>
      </c>
      <c r="D1194" s="554" t="s">
        <v>2525</v>
      </c>
      <c r="E1194" s="554" t="s">
        <v>545</v>
      </c>
      <c r="F1194" s="571">
        <v>6</v>
      </c>
      <c r="G1194" s="572">
        <v>245.34055181576011</v>
      </c>
      <c r="H1194" s="545">
        <v>1472.0433108945606</v>
      </c>
      <c r="I1194" s="554" t="s">
        <v>9218</v>
      </c>
      <c r="J1194" s="554" t="s">
        <v>9219</v>
      </c>
      <c r="K1194" s="554" t="s">
        <v>9219</v>
      </c>
      <c r="L1194" s="537" t="s">
        <v>2354</v>
      </c>
    </row>
    <row r="1195" spans="1:12" x14ac:dyDescent="0.2">
      <c r="A1195" s="547" t="s">
        <v>220</v>
      </c>
      <c r="B1195" s="547" t="s">
        <v>2351</v>
      </c>
      <c r="C1195" s="554" t="s">
        <v>2526</v>
      </c>
      <c r="D1195" s="554" t="s">
        <v>2527</v>
      </c>
      <c r="E1195" s="554" t="s">
        <v>545</v>
      </c>
      <c r="F1195" s="571">
        <v>6</v>
      </c>
      <c r="G1195" s="572">
        <v>330.52017303815018</v>
      </c>
      <c r="H1195" s="545">
        <v>1983.1210382289009</v>
      </c>
      <c r="I1195" s="554" t="s">
        <v>9218</v>
      </c>
      <c r="J1195" s="554" t="s">
        <v>9219</v>
      </c>
      <c r="K1195" s="554" t="s">
        <v>9219</v>
      </c>
      <c r="L1195" s="537" t="s">
        <v>2354</v>
      </c>
    </row>
    <row r="1196" spans="1:12" x14ac:dyDescent="0.2">
      <c r="A1196" s="547" t="s">
        <v>220</v>
      </c>
      <c r="B1196" s="547" t="s">
        <v>2351</v>
      </c>
      <c r="C1196" s="554" t="s">
        <v>2528</v>
      </c>
      <c r="D1196" s="554" t="s">
        <v>2529</v>
      </c>
      <c r="E1196" s="554" t="s">
        <v>545</v>
      </c>
      <c r="F1196" s="571">
        <v>8</v>
      </c>
      <c r="G1196" s="572">
        <v>17.052</v>
      </c>
      <c r="H1196" s="545">
        <v>136.416</v>
      </c>
      <c r="I1196" s="554" t="s">
        <v>9218</v>
      </c>
      <c r="J1196" s="554" t="s">
        <v>9219</v>
      </c>
      <c r="K1196" s="554" t="s">
        <v>9219</v>
      </c>
      <c r="L1196" s="537" t="s">
        <v>2354</v>
      </c>
    </row>
    <row r="1197" spans="1:12" x14ac:dyDescent="0.2">
      <c r="A1197" s="547" t="s">
        <v>220</v>
      </c>
      <c r="B1197" s="547" t="s">
        <v>2351</v>
      </c>
      <c r="C1197" s="554" t="s">
        <v>2534</v>
      </c>
      <c r="D1197" s="554" t="s">
        <v>2535</v>
      </c>
      <c r="E1197" s="554" t="s">
        <v>545</v>
      </c>
      <c r="F1197" s="571">
        <v>1</v>
      </c>
      <c r="G1197" s="572">
        <v>44.625</v>
      </c>
      <c r="H1197" s="545">
        <v>44.625</v>
      </c>
      <c r="I1197" s="554" t="s">
        <v>9218</v>
      </c>
      <c r="J1197" s="554" t="s">
        <v>9219</v>
      </c>
      <c r="K1197" s="554" t="s">
        <v>9219</v>
      </c>
      <c r="L1197" s="537" t="s">
        <v>2354</v>
      </c>
    </row>
    <row r="1198" spans="1:12" x14ac:dyDescent="0.2">
      <c r="A1198" s="547" t="s">
        <v>220</v>
      </c>
      <c r="B1198" s="547" t="s">
        <v>2351</v>
      </c>
      <c r="C1198" s="554" t="s">
        <v>2536</v>
      </c>
      <c r="D1198" s="554" t="s">
        <v>2537</v>
      </c>
      <c r="E1198" s="554" t="s">
        <v>545</v>
      </c>
      <c r="F1198" s="571">
        <v>8</v>
      </c>
      <c r="G1198" s="572">
        <v>35</v>
      </c>
      <c r="H1198" s="545">
        <v>280</v>
      </c>
      <c r="I1198" s="554" t="s">
        <v>9218</v>
      </c>
      <c r="J1198" s="554" t="s">
        <v>9219</v>
      </c>
      <c r="K1198" s="554" t="s">
        <v>9219</v>
      </c>
      <c r="L1198" s="537" t="s">
        <v>2354</v>
      </c>
    </row>
    <row r="1199" spans="1:12" x14ac:dyDescent="0.2">
      <c r="A1199" s="547" t="s">
        <v>220</v>
      </c>
      <c r="B1199" s="547" t="s">
        <v>2351</v>
      </c>
      <c r="C1199" s="554" t="s">
        <v>2538</v>
      </c>
      <c r="D1199" s="554" t="s">
        <v>2539</v>
      </c>
      <c r="E1199" s="554" t="s">
        <v>545</v>
      </c>
      <c r="F1199" s="571">
        <v>1</v>
      </c>
      <c r="G1199" s="572">
        <v>1025.271</v>
      </c>
      <c r="H1199" s="545">
        <v>1025.271</v>
      </c>
      <c r="I1199" s="554" t="s">
        <v>9218</v>
      </c>
      <c r="J1199" s="554" t="s">
        <v>9219</v>
      </c>
      <c r="K1199" s="554" t="s">
        <v>9219</v>
      </c>
      <c r="L1199" s="537" t="s">
        <v>2354</v>
      </c>
    </row>
    <row r="1200" spans="1:12" x14ac:dyDescent="0.2">
      <c r="A1200" s="547" t="s">
        <v>220</v>
      </c>
      <c r="B1200" s="547" t="s">
        <v>2351</v>
      </c>
      <c r="C1200" s="554" t="s">
        <v>2540</v>
      </c>
      <c r="D1200" s="554" t="s">
        <v>2541</v>
      </c>
      <c r="E1200" s="554" t="s">
        <v>545</v>
      </c>
      <c r="F1200" s="571">
        <v>2</v>
      </c>
      <c r="G1200" s="572">
        <v>41.491050000000001</v>
      </c>
      <c r="H1200" s="545">
        <v>82.982100000000003</v>
      </c>
      <c r="I1200" s="554" t="s">
        <v>9218</v>
      </c>
      <c r="J1200" s="554" t="s">
        <v>9219</v>
      </c>
      <c r="K1200" s="554" t="s">
        <v>9219</v>
      </c>
      <c r="L1200" s="537" t="s">
        <v>2354</v>
      </c>
    </row>
    <row r="1201" spans="1:12" x14ac:dyDescent="0.2">
      <c r="A1201" s="547" t="s">
        <v>220</v>
      </c>
      <c r="B1201" s="547" t="s">
        <v>2351</v>
      </c>
      <c r="C1201" s="554" t="s">
        <v>2542</v>
      </c>
      <c r="D1201" s="554" t="s">
        <v>2543</v>
      </c>
      <c r="E1201" s="554" t="s">
        <v>545</v>
      </c>
      <c r="F1201" s="571">
        <v>4</v>
      </c>
      <c r="G1201" s="572">
        <v>199.49700000000001</v>
      </c>
      <c r="H1201" s="545">
        <v>797.98800000000006</v>
      </c>
      <c r="I1201" s="554" t="s">
        <v>9218</v>
      </c>
      <c r="J1201" s="554" t="s">
        <v>9219</v>
      </c>
      <c r="K1201" s="554" t="s">
        <v>9219</v>
      </c>
      <c r="L1201" s="537" t="s">
        <v>2354</v>
      </c>
    </row>
    <row r="1202" spans="1:12" x14ac:dyDescent="0.2">
      <c r="A1202" s="547" t="s">
        <v>220</v>
      </c>
      <c r="B1202" s="547" t="s">
        <v>2351</v>
      </c>
      <c r="C1202" s="554" t="s">
        <v>2544</v>
      </c>
      <c r="D1202" s="554" t="s">
        <v>2545</v>
      </c>
      <c r="E1202" s="554" t="s">
        <v>545</v>
      </c>
      <c r="F1202" s="571">
        <v>4</v>
      </c>
      <c r="G1202" s="572">
        <v>554.62175999999999</v>
      </c>
      <c r="H1202" s="545">
        <v>2218.48704</v>
      </c>
      <c r="I1202" s="554" t="s">
        <v>9218</v>
      </c>
      <c r="J1202" s="554" t="s">
        <v>9219</v>
      </c>
      <c r="K1202" s="554" t="s">
        <v>9219</v>
      </c>
      <c r="L1202" s="537" t="s">
        <v>2354</v>
      </c>
    </row>
    <row r="1203" spans="1:12" x14ac:dyDescent="0.2">
      <c r="A1203" s="547" t="s">
        <v>220</v>
      </c>
      <c r="B1203" s="547" t="s">
        <v>2351</v>
      </c>
      <c r="C1203" s="554" t="s">
        <v>2546</v>
      </c>
      <c r="D1203" s="554" t="s">
        <v>2547</v>
      </c>
      <c r="E1203" s="554" t="s">
        <v>545</v>
      </c>
      <c r="F1203" s="571">
        <v>21</v>
      </c>
      <c r="G1203" s="572">
        <v>12.441599999999999</v>
      </c>
      <c r="H1203" s="545">
        <v>261.27359999999999</v>
      </c>
      <c r="I1203" s="554" t="s">
        <v>9218</v>
      </c>
      <c r="J1203" s="554" t="s">
        <v>9219</v>
      </c>
      <c r="K1203" s="554" t="s">
        <v>9219</v>
      </c>
      <c r="L1203" s="537" t="s">
        <v>2354</v>
      </c>
    </row>
    <row r="1204" spans="1:12" x14ac:dyDescent="0.2">
      <c r="A1204" s="547" t="s">
        <v>220</v>
      </c>
      <c r="B1204" s="547" t="s">
        <v>2351</v>
      </c>
      <c r="C1204" s="554" t="s">
        <v>2550</v>
      </c>
      <c r="D1204" s="554" t="s">
        <v>2551</v>
      </c>
      <c r="E1204" s="554" t="s">
        <v>545</v>
      </c>
      <c r="F1204" s="571">
        <v>1</v>
      </c>
      <c r="G1204" s="572">
        <v>80.75</v>
      </c>
      <c r="H1204" s="545">
        <v>80.75</v>
      </c>
      <c r="I1204" s="554" t="s">
        <v>9218</v>
      </c>
      <c r="J1204" s="554" t="s">
        <v>9219</v>
      </c>
      <c r="K1204" s="554" t="s">
        <v>9219</v>
      </c>
      <c r="L1204" s="537" t="s">
        <v>2354</v>
      </c>
    </row>
    <row r="1205" spans="1:12" x14ac:dyDescent="0.2">
      <c r="A1205" s="547" t="s">
        <v>220</v>
      </c>
      <c r="B1205" s="547" t="s">
        <v>2351</v>
      </c>
      <c r="C1205" s="554" t="s">
        <v>2552</v>
      </c>
      <c r="D1205" s="554" t="s">
        <v>2553</v>
      </c>
      <c r="E1205" s="554" t="s">
        <v>545</v>
      </c>
      <c r="F1205" s="571">
        <v>1</v>
      </c>
      <c r="G1205" s="572">
        <v>80.75</v>
      </c>
      <c r="H1205" s="545">
        <v>80.75</v>
      </c>
      <c r="I1205" s="554" t="s">
        <v>9218</v>
      </c>
      <c r="J1205" s="554" t="s">
        <v>9219</v>
      </c>
      <c r="K1205" s="554" t="s">
        <v>9219</v>
      </c>
      <c r="L1205" s="537" t="s">
        <v>2354</v>
      </c>
    </row>
    <row r="1206" spans="1:12" x14ac:dyDescent="0.2">
      <c r="A1206" s="547" t="s">
        <v>220</v>
      </c>
      <c r="B1206" s="547" t="s">
        <v>2351</v>
      </c>
      <c r="C1206" s="554" t="s">
        <v>2558</v>
      </c>
      <c r="D1206" s="554" t="s">
        <v>2559</v>
      </c>
      <c r="E1206" s="554" t="s">
        <v>545</v>
      </c>
      <c r="F1206" s="571">
        <v>640</v>
      </c>
      <c r="G1206" s="572">
        <v>14.6965</v>
      </c>
      <c r="H1206" s="545">
        <v>9405.76</v>
      </c>
      <c r="I1206" s="554" t="s">
        <v>9218</v>
      </c>
      <c r="J1206" s="554" t="s">
        <v>9219</v>
      </c>
      <c r="K1206" s="554" t="s">
        <v>9219</v>
      </c>
      <c r="L1206" s="537" t="s">
        <v>2354</v>
      </c>
    </row>
    <row r="1207" spans="1:12" x14ac:dyDescent="0.2">
      <c r="A1207" s="547" t="s">
        <v>220</v>
      </c>
      <c r="B1207" s="547" t="s">
        <v>2351</v>
      </c>
      <c r="C1207" s="554" t="s">
        <v>2560</v>
      </c>
      <c r="D1207" s="554" t="s">
        <v>2561</v>
      </c>
      <c r="E1207" s="554" t="s">
        <v>545</v>
      </c>
      <c r="F1207" s="571">
        <v>80</v>
      </c>
      <c r="G1207" s="572">
        <v>24.99952</v>
      </c>
      <c r="H1207" s="545">
        <v>1999.9616000000001</v>
      </c>
      <c r="I1207" s="554" t="s">
        <v>9218</v>
      </c>
      <c r="J1207" s="554" t="s">
        <v>9219</v>
      </c>
      <c r="K1207" s="554" t="s">
        <v>9219</v>
      </c>
      <c r="L1207" s="537" t="s">
        <v>2354</v>
      </c>
    </row>
    <row r="1208" spans="1:12" x14ac:dyDescent="0.2">
      <c r="A1208" s="547" t="s">
        <v>220</v>
      </c>
      <c r="B1208" s="547" t="s">
        <v>2351</v>
      </c>
      <c r="C1208" s="554" t="s">
        <v>2562</v>
      </c>
      <c r="D1208" s="554" t="s">
        <v>2563</v>
      </c>
      <c r="E1208" s="554" t="s">
        <v>545</v>
      </c>
      <c r="F1208" s="571">
        <v>42</v>
      </c>
      <c r="G1208" s="572">
        <v>2.6299000000000001</v>
      </c>
      <c r="H1208" s="545">
        <v>110.45580000000001</v>
      </c>
      <c r="I1208" s="554" t="s">
        <v>9218</v>
      </c>
      <c r="J1208" s="554" t="s">
        <v>9219</v>
      </c>
      <c r="K1208" s="554" t="s">
        <v>9219</v>
      </c>
      <c r="L1208" s="537" t="s">
        <v>2354</v>
      </c>
    </row>
    <row r="1209" spans="1:12" x14ac:dyDescent="0.2">
      <c r="A1209" s="547" t="s">
        <v>220</v>
      </c>
      <c r="B1209" s="547" t="s">
        <v>2351</v>
      </c>
      <c r="C1209" s="554" t="s">
        <v>2564</v>
      </c>
      <c r="D1209" s="554" t="s">
        <v>2565</v>
      </c>
      <c r="E1209" s="554" t="s">
        <v>545</v>
      </c>
      <c r="F1209" s="571">
        <v>1</v>
      </c>
      <c r="G1209" s="572">
        <v>233.07</v>
      </c>
      <c r="H1209" s="545">
        <v>233.07</v>
      </c>
      <c r="I1209" s="554" t="s">
        <v>9218</v>
      </c>
      <c r="J1209" s="554" t="s">
        <v>9219</v>
      </c>
      <c r="K1209" s="554" t="s">
        <v>9219</v>
      </c>
      <c r="L1209" s="537" t="s">
        <v>2354</v>
      </c>
    </row>
    <row r="1210" spans="1:12" x14ac:dyDescent="0.2">
      <c r="A1210" s="547" t="s">
        <v>220</v>
      </c>
      <c r="B1210" s="547" t="s">
        <v>2351</v>
      </c>
      <c r="C1210" s="554"/>
      <c r="D1210" s="554" t="s">
        <v>9246</v>
      </c>
      <c r="E1210" s="554" t="s">
        <v>545</v>
      </c>
      <c r="F1210" s="571">
        <v>3</v>
      </c>
      <c r="G1210" s="572">
        <v>110</v>
      </c>
      <c r="H1210" s="545">
        <v>330</v>
      </c>
      <c r="I1210" s="554" t="s">
        <v>9218</v>
      </c>
      <c r="J1210" s="554" t="s">
        <v>9219</v>
      </c>
      <c r="K1210" s="554" t="s">
        <v>9219</v>
      </c>
      <c r="L1210" s="537" t="s">
        <v>2354</v>
      </c>
    </row>
    <row r="1211" spans="1:12" x14ac:dyDescent="0.2">
      <c r="A1211" s="547" t="s">
        <v>220</v>
      </c>
      <c r="B1211" s="547" t="s">
        <v>2351</v>
      </c>
      <c r="C1211" s="554"/>
      <c r="D1211" s="554" t="s">
        <v>2567</v>
      </c>
      <c r="E1211" s="554" t="s">
        <v>545</v>
      </c>
      <c r="F1211" s="571">
        <v>1</v>
      </c>
      <c r="G1211" s="572">
        <v>148.97</v>
      </c>
      <c r="H1211" s="545">
        <v>148.97</v>
      </c>
      <c r="I1211" s="554" t="s">
        <v>9218</v>
      </c>
      <c r="J1211" s="554" t="s">
        <v>9219</v>
      </c>
      <c r="K1211" s="554" t="s">
        <v>9219</v>
      </c>
      <c r="L1211" s="537" t="s">
        <v>2354</v>
      </c>
    </row>
    <row r="1212" spans="1:12" x14ac:dyDescent="0.2">
      <c r="A1212" s="547" t="s">
        <v>220</v>
      </c>
      <c r="B1212" s="547" t="s">
        <v>2351</v>
      </c>
      <c r="C1212" s="554" t="s">
        <v>2566</v>
      </c>
      <c r="D1212" s="554" t="s">
        <v>9586</v>
      </c>
      <c r="E1212" s="554" t="s">
        <v>545</v>
      </c>
      <c r="F1212" s="571">
        <v>1</v>
      </c>
      <c r="G1212" s="572">
        <v>235.68</v>
      </c>
      <c r="H1212" s="545">
        <v>235.68</v>
      </c>
      <c r="I1212" s="554" t="s">
        <v>9218</v>
      </c>
      <c r="J1212" s="554" t="s">
        <v>9219</v>
      </c>
      <c r="K1212" s="554" t="s">
        <v>9219</v>
      </c>
      <c r="L1212" s="537" t="s">
        <v>2354</v>
      </c>
    </row>
    <row r="1213" spans="1:12" x14ac:dyDescent="0.2">
      <c r="A1213" s="547" t="s">
        <v>220</v>
      </c>
      <c r="B1213" s="547" t="s">
        <v>2351</v>
      </c>
      <c r="C1213" s="554" t="s">
        <v>2568</v>
      </c>
      <c r="D1213" s="554" t="s">
        <v>2569</v>
      </c>
      <c r="E1213" s="554" t="s">
        <v>545</v>
      </c>
      <c r="F1213" s="571">
        <v>1</v>
      </c>
      <c r="G1213" s="572">
        <v>8.5</v>
      </c>
      <c r="H1213" s="545">
        <v>8.5</v>
      </c>
      <c r="I1213" s="554" t="s">
        <v>9218</v>
      </c>
      <c r="J1213" s="554" t="s">
        <v>9219</v>
      </c>
      <c r="K1213" s="554" t="s">
        <v>9219</v>
      </c>
      <c r="L1213" s="537" t="s">
        <v>2354</v>
      </c>
    </row>
    <row r="1214" spans="1:12" x14ac:dyDescent="0.2">
      <c r="A1214" s="547" t="s">
        <v>220</v>
      </c>
      <c r="B1214" s="547" t="s">
        <v>2351</v>
      </c>
      <c r="C1214" s="554" t="s">
        <v>2570</v>
      </c>
      <c r="D1214" s="554" t="s">
        <v>2571</v>
      </c>
      <c r="E1214" s="554" t="s">
        <v>545</v>
      </c>
      <c r="F1214" s="571">
        <v>2</v>
      </c>
      <c r="G1214" s="572">
        <v>104.61317</v>
      </c>
      <c r="H1214" s="545">
        <v>209.22633999999999</v>
      </c>
      <c r="I1214" s="554" t="s">
        <v>9218</v>
      </c>
      <c r="J1214" s="554" t="s">
        <v>9219</v>
      </c>
      <c r="K1214" s="554" t="s">
        <v>9219</v>
      </c>
      <c r="L1214" s="537" t="s">
        <v>2354</v>
      </c>
    </row>
    <row r="1215" spans="1:12" x14ac:dyDescent="0.2">
      <c r="A1215" s="547" t="s">
        <v>220</v>
      </c>
      <c r="B1215" s="547" t="s">
        <v>2351</v>
      </c>
      <c r="C1215" s="554" t="s">
        <v>2572</v>
      </c>
      <c r="D1215" s="554" t="s">
        <v>2573</v>
      </c>
      <c r="E1215" s="554" t="s">
        <v>545</v>
      </c>
      <c r="F1215" s="571">
        <v>1</v>
      </c>
      <c r="G1215" s="572">
        <v>125.27179599999999</v>
      </c>
      <c r="H1215" s="545">
        <v>125.27179599999999</v>
      </c>
      <c r="I1215" s="554" t="s">
        <v>9218</v>
      </c>
      <c r="J1215" s="554" t="s">
        <v>9219</v>
      </c>
      <c r="K1215" s="554" t="s">
        <v>9219</v>
      </c>
      <c r="L1215" s="537" t="s">
        <v>2354</v>
      </c>
    </row>
    <row r="1216" spans="1:12" x14ac:dyDescent="0.2">
      <c r="A1216" s="547" t="s">
        <v>220</v>
      </c>
      <c r="B1216" s="547" t="s">
        <v>2351</v>
      </c>
      <c r="C1216" s="554" t="s">
        <v>2574</v>
      </c>
      <c r="D1216" s="554" t="s">
        <v>2575</v>
      </c>
      <c r="E1216" s="554" t="s">
        <v>545</v>
      </c>
      <c r="F1216" s="571">
        <v>5</v>
      </c>
      <c r="G1216" s="572">
        <v>323.07979</v>
      </c>
      <c r="H1216" s="545">
        <v>1615.39895</v>
      </c>
      <c r="I1216" s="554" t="s">
        <v>9218</v>
      </c>
      <c r="J1216" s="554" t="s">
        <v>9219</v>
      </c>
      <c r="K1216" s="554" t="s">
        <v>9219</v>
      </c>
      <c r="L1216" s="537" t="s">
        <v>2354</v>
      </c>
    </row>
    <row r="1217" spans="1:12" x14ac:dyDescent="0.2">
      <c r="A1217" s="547" t="s">
        <v>220</v>
      </c>
      <c r="B1217" s="547" t="s">
        <v>2351</v>
      </c>
      <c r="C1217" s="554" t="s">
        <v>2576</v>
      </c>
      <c r="D1217" s="554" t="s">
        <v>2577</v>
      </c>
      <c r="E1217" s="554" t="s">
        <v>545</v>
      </c>
      <c r="F1217" s="571">
        <v>6</v>
      </c>
      <c r="G1217" s="572">
        <v>489.173</v>
      </c>
      <c r="H1217" s="545">
        <v>2935.038</v>
      </c>
      <c r="I1217" s="554" t="s">
        <v>9218</v>
      </c>
      <c r="J1217" s="554" t="s">
        <v>9219</v>
      </c>
      <c r="K1217" s="554" t="s">
        <v>9219</v>
      </c>
      <c r="L1217" s="537" t="s">
        <v>2354</v>
      </c>
    </row>
    <row r="1218" spans="1:12" x14ac:dyDescent="0.2">
      <c r="A1218" s="547" t="s">
        <v>220</v>
      </c>
      <c r="B1218" s="547" t="s">
        <v>2351</v>
      </c>
      <c r="C1218" s="554" t="s">
        <v>2578</v>
      </c>
      <c r="D1218" s="554" t="s">
        <v>2579</v>
      </c>
      <c r="E1218" s="554" t="s">
        <v>545</v>
      </c>
      <c r="F1218" s="571">
        <v>1</v>
      </c>
      <c r="G1218" s="572">
        <v>6687.1639999999998</v>
      </c>
      <c r="H1218" s="545">
        <v>6687.1639999999998</v>
      </c>
      <c r="I1218" s="554" t="s">
        <v>9218</v>
      </c>
      <c r="J1218" s="554" t="s">
        <v>9219</v>
      </c>
      <c r="K1218" s="554" t="s">
        <v>9219</v>
      </c>
      <c r="L1218" s="537" t="s">
        <v>2354</v>
      </c>
    </row>
    <row r="1219" spans="1:12" x14ac:dyDescent="0.2">
      <c r="A1219" s="547" t="s">
        <v>220</v>
      </c>
      <c r="B1219" s="547" t="s">
        <v>2351</v>
      </c>
      <c r="C1219" s="554" t="s">
        <v>2580</v>
      </c>
      <c r="D1219" s="554" t="s">
        <v>2581</v>
      </c>
      <c r="E1219" s="554" t="s">
        <v>545</v>
      </c>
      <c r="F1219" s="571">
        <v>1</v>
      </c>
      <c r="G1219" s="572">
        <v>936.24</v>
      </c>
      <c r="H1219" s="545">
        <v>936.24</v>
      </c>
      <c r="I1219" s="554" t="s">
        <v>9218</v>
      </c>
      <c r="J1219" s="554" t="s">
        <v>9219</v>
      </c>
      <c r="K1219" s="554" t="s">
        <v>9219</v>
      </c>
      <c r="L1219" s="537" t="s">
        <v>2354</v>
      </c>
    </row>
    <row r="1220" spans="1:12" x14ac:dyDescent="0.2">
      <c r="A1220" s="547" t="s">
        <v>220</v>
      </c>
      <c r="B1220" s="547" t="s">
        <v>2351</v>
      </c>
      <c r="C1220" s="554" t="s">
        <v>2582</v>
      </c>
      <c r="D1220" s="554" t="s">
        <v>2583</v>
      </c>
      <c r="E1220" s="554" t="s">
        <v>545</v>
      </c>
      <c r="F1220" s="571">
        <v>6</v>
      </c>
      <c r="G1220" s="572">
        <v>282.38877000000002</v>
      </c>
      <c r="H1220" s="545">
        <v>1694.3326200000001</v>
      </c>
      <c r="I1220" s="554" t="s">
        <v>9218</v>
      </c>
      <c r="J1220" s="554" t="s">
        <v>9219</v>
      </c>
      <c r="K1220" s="554" t="s">
        <v>9219</v>
      </c>
      <c r="L1220" s="537" t="s">
        <v>2354</v>
      </c>
    </row>
    <row r="1221" spans="1:12" x14ac:dyDescent="0.2">
      <c r="A1221" s="547" t="s">
        <v>220</v>
      </c>
      <c r="B1221" s="547" t="s">
        <v>2351</v>
      </c>
      <c r="C1221" s="554" t="s">
        <v>2584</v>
      </c>
      <c r="D1221" s="554" t="s">
        <v>2585</v>
      </c>
      <c r="E1221" s="554" t="s">
        <v>545</v>
      </c>
      <c r="F1221" s="571">
        <v>1</v>
      </c>
      <c r="G1221" s="572">
        <v>4433.3729999999996</v>
      </c>
      <c r="H1221" s="545">
        <v>4433.3729999999996</v>
      </c>
      <c r="I1221" s="554" t="s">
        <v>9218</v>
      </c>
      <c r="J1221" s="554" t="s">
        <v>9219</v>
      </c>
      <c r="K1221" s="554" t="s">
        <v>9219</v>
      </c>
      <c r="L1221" s="537" t="s">
        <v>2354</v>
      </c>
    </row>
    <row r="1222" spans="1:12" x14ac:dyDescent="0.2">
      <c r="A1222" s="547" t="s">
        <v>220</v>
      </c>
      <c r="B1222" s="547" t="s">
        <v>2351</v>
      </c>
      <c r="C1222" s="554" t="s">
        <v>2586</v>
      </c>
      <c r="D1222" s="554" t="s">
        <v>2587</v>
      </c>
      <c r="E1222" s="554" t="s">
        <v>545</v>
      </c>
      <c r="F1222" s="571">
        <v>3</v>
      </c>
      <c r="G1222" s="572">
        <v>277.1277</v>
      </c>
      <c r="H1222" s="545">
        <v>831.38310000000001</v>
      </c>
      <c r="I1222" s="554" t="s">
        <v>9218</v>
      </c>
      <c r="J1222" s="554" t="s">
        <v>9219</v>
      </c>
      <c r="K1222" s="554" t="s">
        <v>9219</v>
      </c>
      <c r="L1222" s="537" t="s">
        <v>2354</v>
      </c>
    </row>
    <row r="1223" spans="1:12" x14ac:dyDescent="0.2">
      <c r="A1223" s="547" t="s">
        <v>220</v>
      </c>
      <c r="B1223" s="547" t="s">
        <v>2351</v>
      </c>
      <c r="C1223" s="554" t="s">
        <v>2588</v>
      </c>
      <c r="D1223" s="554" t="s">
        <v>2589</v>
      </c>
      <c r="E1223" s="554" t="s">
        <v>545</v>
      </c>
      <c r="F1223" s="571">
        <v>3</v>
      </c>
      <c r="G1223" s="572">
        <v>277.1277</v>
      </c>
      <c r="H1223" s="545">
        <v>831.38310000000001</v>
      </c>
      <c r="I1223" s="554" t="s">
        <v>9218</v>
      </c>
      <c r="J1223" s="554" t="s">
        <v>9219</v>
      </c>
      <c r="K1223" s="554" t="s">
        <v>9219</v>
      </c>
      <c r="L1223" s="537" t="s">
        <v>2354</v>
      </c>
    </row>
    <row r="1224" spans="1:12" x14ac:dyDescent="0.2">
      <c r="A1224" s="547" t="s">
        <v>220</v>
      </c>
      <c r="B1224" s="547" t="s">
        <v>2351</v>
      </c>
      <c r="C1224" s="554" t="s">
        <v>9247</v>
      </c>
      <c r="D1224" s="554" t="s">
        <v>9248</v>
      </c>
      <c r="E1224" s="554" t="s">
        <v>545</v>
      </c>
      <c r="F1224" s="573">
        <v>10</v>
      </c>
      <c r="G1224" s="545">
        <v>0</v>
      </c>
      <c r="H1224" s="545">
        <v>0</v>
      </c>
      <c r="I1224" s="554" t="s">
        <v>9218</v>
      </c>
      <c r="J1224" s="554" t="s">
        <v>9219</v>
      </c>
      <c r="K1224" s="554" t="s">
        <v>9219</v>
      </c>
      <c r="L1224" s="537" t="s">
        <v>2354</v>
      </c>
    </row>
    <row r="1225" spans="1:12" x14ac:dyDescent="0.2">
      <c r="A1225" s="547" t="s">
        <v>220</v>
      </c>
      <c r="B1225" s="547" t="s">
        <v>2351</v>
      </c>
      <c r="C1225" s="554" t="s">
        <v>2590</v>
      </c>
      <c r="D1225" s="554" t="s">
        <v>2591</v>
      </c>
      <c r="E1225" s="554" t="s">
        <v>545</v>
      </c>
      <c r="F1225" s="571">
        <v>3</v>
      </c>
      <c r="G1225" s="572">
        <v>283.80860000000001</v>
      </c>
      <c r="H1225" s="545">
        <v>851.42579999999998</v>
      </c>
      <c r="I1225" s="554" t="s">
        <v>9218</v>
      </c>
      <c r="J1225" s="554" t="s">
        <v>9219</v>
      </c>
      <c r="K1225" s="554" t="s">
        <v>9219</v>
      </c>
      <c r="L1225" s="537" t="s">
        <v>2354</v>
      </c>
    </row>
    <row r="1226" spans="1:12" x14ac:dyDescent="0.2">
      <c r="A1226" s="547" t="s">
        <v>220</v>
      </c>
      <c r="B1226" s="547" t="s">
        <v>2351</v>
      </c>
      <c r="C1226" s="554" t="s">
        <v>2592</v>
      </c>
      <c r="D1226" s="554" t="s">
        <v>2593</v>
      </c>
      <c r="E1226" s="554" t="s">
        <v>545</v>
      </c>
      <c r="F1226" s="571">
        <v>5</v>
      </c>
      <c r="G1226" s="572">
        <v>589.06785000000002</v>
      </c>
      <c r="H1226" s="545">
        <v>2945.33925</v>
      </c>
      <c r="I1226" s="554" t="s">
        <v>9218</v>
      </c>
      <c r="J1226" s="554" t="s">
        <v>9219</v>
      </c>
      <c r="K1226" s="554" t="s">
        <v>9219</v>
      </c>
      <c r="L1226" s="537" t="s">
        <v>2354</v>
      </c>
    </row>
    <row r="1227" spans="1:12" x14ac:dyDescent="0.2">
      <c r="A1227" s="547" t="s">
        <v>220</v>
      </c>
      <c r="B1227" s="547" t="s">
        <v>2351</v>
      </c>
      <c r="C1227" s="554" t="s">
        <v>2596</v>
      </c>
      <c r="D1227" s="554" t="s">
        <v>2597</v>
      </c>
      <c r="E1227" s="554" t="s">
        <v>545</v>
      </c>
      <c r="F1227" s="571">
        <v>4</v>
      </c>
      <c r="G1227" s="572">
        <v>29.407765445340271</v>
      </c>
      <c r="H1227" s="545">
        <v>117.63106178136108</v>
      </c>
      <c r="I1227" s="554" t="s">
        <v>9218</v>
      </c>
      <c r="J1227" s="554" t="s">
        <v>9219</v>
      </c>
      <c r="K1227" s="554" t="s">
        <v>9219</v>
      </c>
      <c r="L1227" s="537" t="s">
        <v>2354</v>
      </c>
    </row>
    <row r="1228" spans="1:12" x14ac:dyDescent="0.2">
      <c r="A1228" s="547" t="s">
        <v>220</v>
      </c>
      <c r="B1228" s="547" t="s">
        <v>2351</v>
      </c>
      <c r="C1228" s="554" t="s">
        <v>2598</v>
      </c>
      <c r="D1228" s="554" t="s">
        <v>2599</v>
      </c>
      <c r="E1228" s="554" t="s">
        <v>545</v>
      </c>
      <c r="F1228" s="571">
        <v>4</v>
      </c>
      <c r="G1228" s="572">
        <v>30.045605106825956</v>
      </c>
      <c r="H1228" s="545">
        <v>120.18242042730382</v>
      </c>
      <c r="I1228" s="554" t="s">
        <v>9218</v>
      </c>
      <c r="J1228" s="554" t="s">
        <v>9219</v>
      </c>
      <c r="K1228" s="554" t="s">
        <v>9219</v>
      </c>
      <c r="L1228" s="537" t="s">
        <v>2354</v>
      </c>
    </row>
    <row r="1229" spans="1:12" x14ac:dyDescent="0.2">
      <c r="A1229" s="547" t="s">
        <v>220</v>
      </c>
      <c r="B1229" s="547" t="s">
        <v>2351</v>
      </c>
      <c r="C1229" s="554" t="s">
        <v>2600</v>
      </c>
      <c r="D1229" s="554" t="s">
        <v>2601</v>
      </c>
      <c r="E1229" s="554" t="s">
        <v>545</v>
      </c>
      <c r="F1229" s="571">
        <v>2</v>
      </c>
      <c r="G1229" s="572">
        <v>90.438949896971096</v>
      </c>
      <c r="H1229" s="545">
        <v>180.87789979394219</v>
      </c>
      <c r="I1229" s="554" t="s">
        <v>9218</v>
      </c>
      <c r="J1229" s="554" t="s">
        <v>9219</v>
      </c>
      <c r="K1229" s="554" t="s">
        <v>9219</v>
      </c>
      <c r="L1229" s="537" t="s">
        <v>2354</v>
      </c>
    </row>
    <row r="1230" spans="1:12" x14ac:dyDescent="0.2">
      <c r="A1230" s="547" t="s">
        <v>220</v>
      </c>
      <c r="B1230" s="547" t="s">
        <v>2351</v>
      </c>
      <c r="C1230" s="554" t="s">
        <v>2602</v>
      </c>
      <c r="D1230" s="554" t="s">
        <v>2603</v>
      </c>
      <c r="E1230" s="554" t="s">
        <v>545</v>
      </c>
      <c r="F1230" s="571">
        <v>2</v>
      </c>
      <c r="G1230" s="572">
        <v>94.803116001873192</v>
      </c>
      <c r="H1230" s="545">
        <v>189.60623200374638</v>
      </c>
      <c r="I1230" s="554" t="s">
        <v>9218</v>
      </c>
      <c r="J1230" s="554" t="s">
        <v>9219</v>
      </c>
      <c r="K1230" s="554" t="s">
        <v>9219</v>
      </c>
      <c r="L1230" s="537" t="s">
        <v>2354</v>
      </c>
    </row>
    <row r="1231" spans="1:12" x14ac:dyDescent="0.2">
      <c r="A1231" s="547" t="s">
        <v>220</v>
      </c>
      <c r="B1231" s="547" t="s">
        <v>2351</v>
      </c>
      <c r="C1231" s="554" t="s">
        <v>2604</v>
      </c>
      <c r="D1231" s="554" t="s">
        <v>2605</v>
      </c>
      <c r="E1231" s="554" t="s">
        <v>545</v>
      </c>
      <c r="F1231" s="571">
        <v>2</v>
      </c>
      <c r="G1231" s="572">
        <v>246.74323746946459</v>
      </c>
      <c r="H1231" s="545">
        <v>493.48647493892918</v>
      </c>
      <c r="I1231" s="554" t="s">
        <v>9218</v>
      </c>
      <c r="J1231" s="554" t="s">
        <v>9219</v>
      </c>
      <c r="K1231" s="554" t="s">
        <v>9219</v>
      </c>
      <c r="L1231" s="537" t="s">
        <v>2354</v>
      </c>
    </row>
    <row r="1232" spans="1:12" x14ac:dyDescent="0.2">
      <c r="A1232" s="547" t="s">
        <v>220</v>
      </c>
      <c r="B1232" s="547" t="s">
        <v>2351</v>
      </c>
      <c r="C1232" s="554" t="s">
        <v>2606</v>
      </c>
      <c r="D1232" s="554" t="s">
        <v>2607</v>
      </c>
      <c r="E1232" s="554" t="s">
        <v>545</v>
      </c>
      <c r="F1232" s="571">
        <v>2</v>
      </c>
      <c r="G1232" s="572">
        <v>352.49033924209226</v>
      </c>
      <c r="H1232" s="545">
        <v>704.98067848418452</v>
      </c>
      <c r="I1232" s="554" t="s">
        <v>9218</v>
      </c>
      <c r="J1232" s="554" t="s">
        <v>9219</v>
      </c>
      <c r="K1232" s="554" t="s">
        <v>9219</v>
      </c>
      <c r="L1232" s="537" t="s">
        <v>2354</v>
      </c>
    </row>
    <row r="1233" spans="1:12" x14ac:dyDescent="0.2">
      <c r="A1233" s="547" t="s">
        <v>220</v>
      </c>
      <c r="B1233" s="547" t="s">
        <v>2351</v>
      </c>
      <c r="C1233" s="554" t="s">
        <v>2608</v>
      </c>
      <c r="D1233" s="554" t="s">
        <v>2609</v>
      </c>
      <c r="E1233" s="554" t="s">
        <v>545</v>
      </c>
      <c r="F1233" s="571">
        <v>2</v>
      </c>
      <c r="G1233" s="572">
        <v>276.65456054229355</v>
      </c>
      <c r="H1233" s="545">
        <v>553.3091210845871</v>
      </c>
      <c r="I1233" s="554" t="s">
        <v>9218</v>
      </c>
      <c r="J1233" s="554" t="s">
        <v>9219</v>
      </c>
      <c r="K1233" s="554" t="s">
        <v>9219</v>
      </c>
      <c r="L1233" s="537" t="s">
        <v>2354</v>
      </c>
    </row>
    <row r="1234" spans="1:12" x14ac:dyDescent="0.2">
      <c r="A1234" s="547" t="s">
        <v>220</v>
      </c>
      <c r="B1234" s="547" t="s">
        <v>2351</v>
      </c>
      <c r="C1234" s="554" t="s">
        <v>2610</v>
      </c>
      <c r="D1234" s="554" t="s">
        <v>2611</v>
      </c>
      <c r="E1234" s="554" t="s">
        <v>545</v>
      </c>
      <c r="F1234" s="571">
        <v>12</v>
      </c>
      <c r="G1234" s="572">
        <v>276.28528494880186</v>
      </c>
      <c r="H1234" s="545">
        <v>3315.4234193856223</v>
      </c>
      <c r="I1234" s="554" t="s">
        <v>9218</v>
      </c>
      <c r="J1234" s="554" t="s">
        <v>9219</v>
      </c>
      <c r="K1234" s="554" t="s">
        <v>9219</v>
      </c>
      <c r="L1234" s="537" t="s">
        <v>2354</v>
      </c>
    </row>
    <row r="1235" spans="1:12" x14ac:dyDescent="0.2">
      <c r="A1235" s="547" t="s">
        <v>220</v>
      </c>
      <c r="B1235" s="547" t="s">
        <v>2351</v>
      </c>
      <c r="C1235" s="554" t="s">
        <v>2612</v>
      </c>
      <c r="D1235" s="554" t="s">
        <v>2613</v>
      </c>
      <c r="E1235" s="554" t="s">
        <v>545</v>
      </c>
      <c r="F1235" s="571">
        <v>1</v>
      </c>
      <c r="G1235" s="572">
        <v>220.79249999999999</v>
      </c>
      <c r="H1235" s="545">
        <v>220.79249999999999</v>
      </c>
      <c r="I1235" s="554" t="s">
        <v>9218</v>
      </c>
      <c r="J1235" s="554" t="s">
        <v>9219</v>
      </c>
      <c r="K1235" s="554" t="s">
        <v>9219</v>
      </c>
      <c r="L1235" s="537" t="s">
        <v>2354</v>
      </c>
    </row>
    <row r="1236" spans="1:12" x14ac:dyDescent="0.2">
      <c r="A1236" s="547" t="s">
        <v>220</v>
      </c>
      <c r="B1236" s="547" t="s">
        <v>2351</v>
      </c>
      <c r="C1236" s="554" t="s">
        <v>2614</v>
      </c>
      <c r="D1236" s="554" t="s">
        <v>2615</v>
      </c>
      <c r="E1236" s="554" t="s">
        <v>545</v>
      </c>
      <c r="F1236" s="571">
        <v>1</v>
      </c>
      <c r="G1236" s="572">
        <v>270</v>
      </c>
      <c r="H1236" s="545">
        <v>270</v>
      </c>
      <c r="I1236" s="554" t="s">
        <v>9218</v>
      </c>
      <c r="J1236" s="554" t="s">
        <v>9219</v>
      </c>
      <c r="K1236" s="554" t="s">
        <v>9219</v>
      </c>
      <c r="L1236" s="537" t="s">
        <v>2354</v>
      </c>
    </row>
    <row r="1237" spans="1:12" x14ac:dyDescent="0.2">
      <c r="A1237" s="547" t="s">
        <v>220</v>
      </c>
      <c r="B1237" s="547" t="s">
        <v>2351</v>
      </c>
      <c r="C1237" s="554" t="s">
        <v>2616</v>
      </c>
      <c r="D1237" s="554" t="s">
        <v>2617</v>
      </c>
      <c r="E1237" s="554" t="s">
        <v>545</v>
      </c>
      <c r="F1237" s="571">
        <v>4</v>
      </c>
      <c r="G1237" s="572">
        <v>145.90799999999999</v>
      </c>
      <c r="H1237" s="545">
        <v>583.63199999999995</v>
      </c>
      <c r="I1237" s="554" t="s">
        <v>9218</v>
      </c>
      <c r="J1237" s="554" t="s">
        <v>9219</v>
      </c>
      <c r="K1237" s="554" t="s">
        <v>9219</v>
      </c>
      <c r="L1237" s="537" t="s">
        <v>2354</v>
      </c>
    </row>
    <row r="1238" spans="1:12" x14ac:dyDescent="0.2">
      <c r="A1238" s="547" t="s">
        <v>220</v>
      </c>
      <c r="B1238" s="547" t="s">
        <v>2351</v>
      </c>
      <c r="C1238" s="554" t="s">
        <v>2618</v>
      </c>
      <c r="D1238" s="554" t="s">
        <v>9249</v>
      </c>
      <c r="E1238" s="554" t="s">
        <v>545</v>
      </c>
      <c r="F1238" s="571">
        <v>3</v>
      </c>
      <c r="G1238" s="572">
        <v>871.07100000000003</v>
      </c>
      <c r="H1238" s="545">
        <v>2613.2130000000002</v>
      </c>
      <c r="I1238" s="554" t="s">
        <v>9218</v>
      </c>
      <c r="J1238" s="554" t="s">
        <v>9219</v>
      </c>
      <c r="K1238" s="554" t="s">
        <v>9219</v>
      </c>
      <c r="L1238" s="537" t="s">
        <v>2354</v>
      </c>
    </row>
    <row r="1239" spans="1:12" x14ac:dyDescent="0.2">
      <c r="A1239" s="547" t="s">
        <v>220</v>
      </c>
      <c r="B1239" s="547" t="s">
        <v>2351</v>
      </c>
      <c r="C1239" s="554"/>
      <c r="D1239" s="554" t="s">
        <v>9250</v>
      </c>
      <c r="E1239" s="554" t="s">
        <v>545</v>
      </c>
      <c r="F1239" s="571">
        <v>2</v>
      </c>
      <c r="G1239" s="572">
        <v>821.1</v>
      </c>
      <c r="H1239" s="545">
        <v>1642.2</v>
      </c>
      <c r="I1239" s="554" t="s">
        <v>9218</v>
      </c>
      <c r="J1239" s="554" t="s">
        <v>9219</v>
      </c>
      <c r="K1239" s="554" t="s">
        <v>9219</v>
      </c>
      <c r="L1239" s="537" t="s">
        <v>2354</v>
      </c>
    </row>
    <row r="1240" spans="1:12" x14ac:dyDescent="0.2">
      <c r="A1240" s="547" t="s">
        <v>220</v>
      </c>
      <c r="B1240" s="547" t="s">
        <v>2351</v>
      </c>
      <c r="C1240" s="554" t="s">
        <v>2620</v>
      </c>
      <c r="D1240" s="554" t="s">
        <v>9251</v>
      </c>
      <c r="E1240" s="554" t="s">
        <v>545</v>
      </c>
      <c r="F1240" s="571">
        <v>4</v>
      </c>
      <c r="G1240" s="572">
        <v>831.07399999999996</v>
      </c>
      <c r="H1240" s="545">
        <v>3324.2959999999998</v>
      </c>
      <c r="I1240" s="554" t="s">
        <v>9218</v>
      </c>
      <c r="J1240" s="554" t="s">
        <v>9219</v>
      </c>
      <c r="K1240" s="554" t="s">
        <v>9219</v>
      </c>
      <c r="L1240" s="537" t="s">
        <v>2354</v>
      </c>
    </row>
    <row r="1241" spans="1:12" x14ac:dyDescent="0.2">
      <c r="A1241" s="547" t="s">
        <v>220</v>
      </c>
      <c r="B1241" s="547" t="s">
        <v>2351</v>
      </c>
      <c r="C1241" s="554" t="s">
        <v>2622</v>
      </c>
      <c r="D1241" s="554" t="s">
        <v>2623</v>
      </c>
      <c r="E1241" s="554" t="s">
        <v>545</v>
      </c>
      <c r="F1241" s="571">
        <v>4</v>
      </c>
      <c r="G1241" s="572">
        <v>619.70500000000004</v>
      </c>
      <c r="H1241" s="545">
        <v>2478.8200000000002</v>
      </c>
      <c r="I1241" s="554" t="s">
        <v>9218</v>
      </c>
      <c r="J1241" s="554" t="s">
        <v>9219</v>
      </c>
      <c r="K1241" s="554" t="s">
        <v>9219</v>
      </c>
      <c r="L1241" s="537" t="s">
        <v>2354</v>
      </c>
    </row>
    <row r="1242" spans="1:12" x14ac:dyDescent="0.2">
      <c r="A1242" s="547" t="s">
        <v>220</v>
      </c>
      <c r="B1242" s="547" t="s">
        <v>2351</v>
      </c>
      <c r="C1242" s="554" t="s">
        <v>2624</v>
      </c>
      <c r="D1242" s="554" t="s">
        <v>2625</v>
      </c>
      <c r="E1242" s="554" t="s">
        <v>545</v>
      </c>
      <c r="F1242" s="571">
        <v>2</v>
      </c>
      <c r="G1242" s="572">
        <v>463.22199999999998</v>
      </c>
      <c r="H1242" s="545">
        <v>926.44399999999996</v>
      </c>
      <c r="I1242" s="554" t="s">
        <v>9218</v>
      </c>
      <c r="J1242" s="554" t="s">
        <v>9219</v>
      </c>
      <c r="K1242" s="554" t="s">
        <v>9219</v>
      </c>
      <c r="L1242" s="537" t="s">
        <v>2354</v>
      </c>
    </row>
    <row r="1243" spans="1:12" x14ac:dyDescent="0.2">
      <c r="A1243" s="547" t="s">
        <v>220</v>
      </c>
      <c r="B1243" s="547" t="s">
        <v>2351</v>
      </c>
      <c r="C1243" s="554" t="s">
        <v>2626</v>
      </c>
      <c r="D1243" s="554" t="s">
        <v>2627</v>
      </c>
      <c r="E1243" s="554" t="s">
        <v>545</v>
      </c>
      <c r="F1243" s="571">
        <v>6</v>
      </c>
      <c r="G1243" s="572">
        <v>178.626</v>
      </c>
      <c r="H1243" s="545">
        <v>1071.7560000000001</v>
      </c>
      <c r="I1243" s="554" t="s">
        <v>9218</v>
      </c>
      <c r="J1243" s="554" t="s">
        <v>9219</v>
      </c>
      <c r="K1243" s="554" t="s">
        <v>9219</v>
      </c>
      <c r="L1243" s="537" t="s">
        <v>2354</v>
      </c>
    </row>
    <row r="1244" spans="1:12" x14ac:dyDescent="0.2">
      <c r="A1244" s="547" t="s">
        <v>220</v>
      </c>
      <c r="B1244" s="547" t="s">
        <v>2351</v>
      </c>
      <c r="C1244" s="554" t="s">
        <v>2628</v>
      </c>
      <c r="D1244" s="554" t="s">
        <v>2629</v>
      </c>
      <c r="E1244" s="554" t="s">
        <v>545</v>
      </c>
      <c r="F1244" s="571">
        <v>1</v>
      </c>
      <c r="G1244" s="572">
        <v>310</v>
      </c>
      <c r="H1244" s="545">
        <v>310</v>
      </c>
      <c r="I1244" s="554" t="s">
        <v>9218</v>
      </c>
      <c r="J1244" s="554" t="s">
        <v>9219</v>
      </c>
      <c r="K1244" s="554" t="s">
        <v>9219</v>
      </c>
      <c r="L1244" s="537" t="s">
        <v>2354</v>
      </c>
    </row>
    <row r="1245" spans="1:12" x14ac:dyDescent="0.2">
      <c r="A1245" s="547" t="s">
        <v>220</v>
      </c>
      <c r="B1245" s="547" t="s">
        <v>2351</v>
      </c>
      <c r="C1245" s="554" t="s">
        <v>2630</v>
      </c>
      <c r="D1245" s="554" t="s">
        <v>2631</v>
      </c>
      <c r="E1245" s="554" t="s">
        <v>545</v>
      </c>
      <c r="F1245" s="571">
        <v>5</v>
      </c>
      <c r="G1245" s="572">
        <v>95.142960000000002</v>
      </c>
      <c r="H1245" s="545">
        <v>475.71480000000003</v>
      </c>
      <c r="I1245" s="554" t="s">
        <v>9218</v>
      </c>
      <c r="J1245" s="554" t="s">
        <v>9219</v>
      </c>
      <c r="K1245" s="554" t="s">
        <v>9219</v>
      </c>
      <c r="L1245" s="537" t="s">
        <v>2354</v>
      </c>
    </row>
    <row r="1246" spans="1:12" x14ac:dyDescent="0.2">
      <c r="A1246" s="547" t="s">
        <v>220</v>
      </c>
      <c r="B1246" s="547" t="s">
        <v>2351</v>
      </c>
      <c r="C1246" s="554" t="s">
        <v>2632</v>
      </c>
      <c r="D1246" s="554" t="s">
        <v>2633</v>
      </c>
      <c r="E1246" s="554" t="s">
        <v>545</v>
      </c>
      <c r="F1246" s="571">
        <v>25</v>
      </c>
      <c r="G1246" s="572">
        <v>19.234739999999999</v>
      </c>
      <c r="H1246" s="545">
        <v>480.86849999999998</v>
      </c>
      <c r="I1246" s="554" t="s">
        <v>9218</v>
      </c>
      <c r="J1246" s="554" t="s">
        <v>9219</v>
      </c>
      <c r="K1246" s="554" t="s">
        <v>9219</v>
      </c>
      <c r="L1246" s="537" t="s">
        <v>2354</v>
      </c>
    </row>
    <row r="1247" spans="1:12" x14ac:dyDescent="0.2">
      <c r="A1247" s="547" t="s">
        <v>220</v>
      </c>
      <c r="B1247" s="547" t="s">
        <v>2351</v>
      </c>
      <c r="C1247" s="554" t="s">
        <v>2634</v>
      </c>
      <c r="D1247" s="554" t="s">
        <v>2635</v>
      </c>
      <c r="E1247" s="554" t="s">
        <v>545</v>
      </c>
      <c r="F1247" s="571">
        <v>1</v>
      </c>
      <c r="G1247" s="572">
        <v>26.443999999999999</v>
      </c>
      <c r="H1247" s="545">
        <v>26.443999999999999</v>
      </c>
      <c r="I1247" s="554" t="s">
        <v>9218</v>
      </c>
      <c r="J1247" s="554" t="s">
        <v>9219</v>
      </c>
      <c r="K1247" s="554" t="s">
        <v>9219</v>
      </c>
      <c r="L1247" s="537" t="s">
        <v>2354</v>
      </c>
    </row>
    <row r="1248" spans="1:12" x14ac:dyDescent="0.2">
      <c r="A1248" s="547" t="s">
        <v>220</v>
      </c>
      <c r="B1248" s="547" t="s">
        <v>2351</v>
      </c>
      <c r="C1248" s="554" t="s">
        <v>2636</v>
      </c>
      <c r="D1248" s="554" t="s">
        <v>2637</v>
      </c>
      <c r="E1248" s="554" t="s">
        <v>545</v>
      </c>
      <c r="F1248" s="571">
        <v>8</v>
      </c>
      <c r="G1248" s="572">
        <v>6.5</v>
      </c>
      <c r="H1248" s="545">
        <v>52</v>
      </c>
      <c r="I1248" s="554" t="s">
        <v>9218</v>
      </c>
      <c r="J1248" s="554" t="s">
        <v>9219</v>
      </c>
      <c r="K1248" s="554" t="s">
        <v>9219</v>
      </c>
      <c r="L1248" s="537" t="s">
        <v>2354</v>
      </c>
    </row>
    <row r="1249" spans="1:12" x14ac:dyDescent="0.2">
      <c r="A1249" s="547" t="s">
        <v>220</v>
      </c>
      <c r="B1249" s="547" t="s">
        <v>2351</v>
      </c>
      <c r="C1249" s="554" t="s">
        <v>2638</v>
      </c>
      <c r="D1249" s="554" t="s">
        <v>2639</v>
      </c>
      <c r="E1249" s="554" t="s">
        <v>545</v>
      </c>
      <c r="F1249" s="571">
        <v>11</v>
      </c>
      <c r="G1249" s="572">
        <v>40</v>
      </c>
      <c r="H1249" s="545">
        <v>440</v>
      </c>
      <c r="I1249" s="554" t="s">
        <v>9218</v>
      </c>
      <c r="J1249" s="554" t="s">
        <v>9219</v>
      </c>
      <c r="K1249" s="554" t="s">
        <v>9219</v>
      </c>
      <c r="L1249" s="537" t="s">
        <v>2354</v>
      </c>
    </row>
    <row r="1250" spans="1:12" x14ac:dyDescent="0.2">
      <c r="A1250" s="547" t="s">
        <v>220</v>
      </c>
      <c r="B1250" s="547" t="s">
        <v>2351</v>
      </c>
      <c r="C1250" s="554" t="s">
        <v>2640</v>
      </c>
      <c r="D1250" s="554" t="s">
        <v>2641</v>
      </c>
      <c r="E1250" s="554" t="s">
        <v>545</v>
      </c>
      <c r="F1250" s="571">
        <v>71</v>
      </c>
      <c r="G1250" s="572">
        <v>36.671672408360124</v>
      </c>
      <c r="H1250" s="545">
        <v>2603.6887409935689</v>
      </c>
      <c r="I1250" s="554" t="s">
        <v>9218</v>
      </c>
      <c r="J1250" s="554" t="s">
        <v>9219</v>
      </c>
      <c r="K1250" s="554" t="s">
        <v>9219</v>
      </c>
      <c r="L1250" s="537" t="s">
        <v>2354</v>
      </c>
    </row>
    <row r="1251" spans="1:12" x14ac:dyDescent="0.2">
      <c r="A1251" s="547" t="s">
        <v>220</v>
      </c>
      <c r="B1251" s="547" t="s">
        <v>2351</v>
      </c>
      <c r="C1251" s="554" t="s">
        <v>2642</v>
      </c>
      <c r="D1251" s="554" t="s">
        <v>2643</v>
      </c>
      <c r="E1251" s="554" t="s">
        <v>545</v>
      </c>
      <c r="F1251" s="571">
        <v>2</v>
      </c>
      <c r="G1251" s="572">
        <v>4184.5267999999996</v>
      </c>
      <c r="H1251" s="545">
        <v>8369.0535999999993</v>
      </c>
      <c r="I1251" s="554" t="s">
        <v>9218</v>
      </c>
      <c r="J1251" s="554" t="s">
        <v>9219</v>
      </c>
      <c r="K1251" s="554" t="s">
        <v>9219</v>
      </c>
      <c r="L1251" s="537" t="s">
        <v>2354</v>
      </c>
    </row>
    <row r="1252" spans="1:12" x14ac:dyDescent="0.2">
      <c r="A1252" s="547" t="s">
        <v>220</v>
      </c>
      <c r="B1252" s="547" t="s">
        <v>2351</v>
      </c>
      <c r="C1252" s="554" t="s">
        <v>2644</v>
      </c>
      <c r="D1252" s="554" t="s">
        <v>2645</v>
      </c>
      <c r="E1252" s="554" t="s">
        <v>9585</v>
      </c>
      <c r="F1252" s="571">
        <v>2</v>
      </c>
      <c r="G1252" s="572">
        <v>1815.0550000000001</v>
      </c>
      <c r="H1252" s="545">
        <v>3630.11</v>
      </c>
      <c r="I1252" s="554" t="s">
        <v>9218</v>
      </c>
      <c r="J1252" s="554" t="s">
        <v>9219</v>
      </c>
      <c r="K1252" s="554" t="s">
        <v>9219</v>
      </c>
      <c r="L1252" s="537" t="s">
        <v>2354</v>
      </c>
    </row>
    <row r="1253" spans="1:12" x14ac:dyDescent="0.2">
      <c r="A1253" s="547" t="s">
        <v>220</v>
      </c>
      <c r="B1253" s="547" t="s">
        <v>2351</v>
      </c>
      <c r="C1253" s="554" t="s">
        <v>2646</v>
      </c>
      <c r="D1253" s="554" t="s">
        <v>2647</v>
      </c>
      <c r="E1253" s="554" t="s">
        <v>545</v>
      </c>
      <c r="F1253" s="573">
        <v>1</v>
      </c>
      <c r="G1253" s="545">
        <v>0</v>
      </c>
      <c r="H1253" s="545">
        <v>0</v>
      </c>
      <c r="I1253" s="554" t="s">
        <v>9218</v>
      </c>
      <c r="J1253" s="554" t="s">
        <v>9219</v>
      </c>
      <c r="K1253" s="554" t="s">
        <v>9219</v>
      </c>
      <c r="L1253" s="537" t="s">
        <v>2354</v>
      </c>
    </row>
    <row r="1254" spans="1:12" x14ac:dyDescent="0.2">
      <c r="A1254" s="547" t="s">
        <v>220</v>
      </c>
      <c r="B1254" s="547" t="s">
        <v>2351</v>
      </c>
      <c r="C1254" s="554" t="s">
        <v>2648</v>
      </c>
      <c r="D1254" s="554" t="s">
        <v>2649</v>
      </c>
      <c r="E1254" s="554" t="s">
        <v>545</v>
      </c>
      <c r="F1254" s="571">
        <v>11</v>
      </c>
      <c r="G1254" s="572">
        <v>109.60791918399352</v>
      </c>
      <c r="H1254" s="545">
        <v>1205.6871110239288</v>
      </c>
      <c r="I1254" s="554" t="s">
        <v>9218</v>
      </c>
      <c r="J1254" s="554" t="s">
        <v>9219</v>
      </c>
      <c r="K1254" s="554" t="s">
        <v>9219</v>
      </c>
      <c r="L1254" s="537" t="s">
        <v>2354</v>
      </c>
    </row>
    <row r="1255" spans="1:12" x14ac:dyDescent="0.2">
      <c r="A1255" s="547" t="s">
        <v>220</v>
      </c>
      <c r="B1255" s="547" t="s">
        <v>2351</v>
      </c>
      <c r="C1255" s="554" t="s">
        <v>2650</v>
      </c>
      <c r="D1255" s="554" t="s">
        <v>2651</v>
      </c>
      <c r="E1255" s="554" t="s">
        <v>545</v>
      </c>
      <c r="F1255" s="571">
        <v>4</v>
      </c>
      <c r="G1255" s="572">
        <v>1531.5229705830191</v>
      </c>
      <c r="H1255" s="545">
        <v>6126.0918823320762</v>
      </c>
      <c r="I1255" s="554" t="s">
        <v>9218</v>
      </c>
      <c r="J1255" s="554" t="s">
        <v>9219</v>
      </c>
      <c r="K1255" s="554" t="s">
        <v>9219</v>
      </c>
      <c r="L1255" s="537" t="s">
        <v>2354</v>
      </c>
    </row>
    <row r="1256" spans="1:12" x14ac:dyDescent="0.2">
      <c r="A1256" s="547" t="s">
        <v>220</v>
      </c>
      <c r="B1256" s="547" t="s">
        <v>2351</v>
      </c>
      <c r="C1256" s="554" t="s">
        <v>2652</v>
      </c>
      <c r="D1256" s="554" t="s">
        <v>2653</v>
      </c>
      <c r="E1256" s="554" t="s">
        <v>545</v>
      </c>
      <c r="F1256" s="571">
        <v>6</v>
      </c>
      <c r="G1256" s="572">
        <v>53.511945895962043</v>
      </c>
      <c r="H1256" s="545">
        <v>321.07167537577226</v>
      </c>
      <c r="I1256" s="554" t="s">
        <v>9218</v>
      </c>
      <c r="J1256" s="554" t="s">
        <v>9219</v>
      </c>
      <c r="K1256" s="554" t="s">
        <v>9219</v>
      </c>
      <c r="L1256" s="537" t="s">
        <v>2354</v>
      </c>
    </row>
    <row r="1257" spans="1:12" x14ac:dyDescent="0.2">
      <c r="A1257" s="547" t="s">
        <v>220</v>
      </c>
      <c r="B1257" s="547" t="s">
        <v>2351</v>
      </c>
      <c r="C1257" s="554" t="s">
        <v>2654</v>
      </c>
      <c r="D1257" s="554" t="s">
        <v>2655</v>
      </c>
      <c r="E1257" s="554" t="s">
        <v>545</v>
      </c>
      <c r="F1257" s="571">
        <v>2</v>
      </c>
      <c r="G1257" s="572">
        <v>1681.9459999999999</v>
      </c>
      <c r="H1257" s="545">
        <v>3363.8919999999998</v>
      </c>
      <c r="I1257" s="554" t="s">
        <v>9218</v>
      </c>
      <c r="J1257" s="554" t="s">
        <v>9219</v>
      </c>
      <c r="K1257" s="554" t="s">
        <v>9219</v>
      </c>
      <c r="L1257" s="537" t="s">
        <v>2354</v>
      </c>
    </row>
    <row r="1258" spans="1:12" x14ac:dyDescent="0.2">
      <c r="A1258" s="547" t="s">
        <v>220</v>
      </c>
      <c r="B1258" s="547" t="s">
        <v>2351</v>
      </c>
      <c r="C1258" s="554" t="s">
        <v>2656</v>
      </c>
      <c r="D1258" s="554" t="s">
        <v>2657</v>
      </c>
      <c r="E1258" s="554" t="s">
        <v>545</v>
      </c>
      <c r="F1258" s="571">
        <v>6</v>
      </c>
      <c r="G1258" s="572">
        <v>518.80799999999999</v>
      </c>
      <c r="H1258" s="545">
        <v>3112.848</v>
      </c>
      <c r="I1258" s="554" t="s">
        <v>9218</v>
      </c>
      <c r="J1258" s="554" t="s">
        <v>9219</v>
      </c>
      <c r="K1258" s="554" t="s">
        <v>9219</v>
      </c>
      <c r="L1258" s="537" t="s">
        <v>2354</v>
      </c>
    </row>
    <row r="1259" spans="1:12" x14ac:dyDescent="0.2">
      <c r="A1259" s="547" t="s">
        <v>220</v>
      </c>
      <c r="B1259" s="547" t="s">
        <v>2351</v>
      </c>
      <c r="C1259" s="554" t="s">
        <v>2658</v>
      </c>
      <c r="D1259" s="554" t="s">
        <v>2659</v>
      </c>
      <c r="E1259" s="554" t="s">
        <v>545</v>
      </c>
      <c r="F1259" s="571">
        <v>1</v>
      </c>
      <c r="G1259" s="572">
        <v>345.00528830814346</v>
      </c>
      <c r="H1259" s="545">
        <v>345.00528830814346</v>
      </c>
      <c r="I1259" s="554" t="s">
        <v>9218</v>
      </c>
      <c r="J1259" s="554" t="s">
        <v>9219</v>
      </c>
      <c r="K1259" s="554" t="s">
        <v>9219</v>
      </c>
      <c r="L1259" s="537" t="s">
        <v>2354</v>
      </c>
    </row>
    <row r="1260" spans="1:12" x14ac:dyDescent="0.2">
      <c r="A1260" s="547" t="s">
        <v>220</v>
      </c>
      <c r="B1260" s="547" t="s">
        <v>2351</v>
      </c>
      <c r="C1260" s="554" t="s">
        <v>2660</v>
      </c>
      <c r="D1260" s="554" t="s">
        <v>2661</v>
      </c>
      <c r="E1260" s="554" t="s">
        <v>545</v>
      </c>
      <c r="F1260" s="571">
        <v>14</v>
      </c>
      <c r="G1260" s="572">
        <v>237.4927355969989</v>
      </c>
      <c r="H1260" s="545">
        <v>3324.8982983579845</v>
      </c>
      <c r="I1260" s="554" t="s">
        <v>9218</v>
      </c>
      <c r="J1260" s="554" t="s">
        <v>9219</v>
      </c>
      <c r="K1260" s="554" t="s">
        <v>9219</v>
      </c>
      <c r="L1260" s="537" t="s">
        <v>2354</v>
      </c>
    </row>
    <row r="1261" spans="1:12" x14ac:dyDescent="0.2">
      <c r="A1261" s="547" t="s">
        <v>220</v>
      </c>
      <c r="B1261" s="547" t="s">
        <v>2351</v>
      </c>
      <c r="C1261" s="554" t="s">
        <v>2662</v>
      </c>
      <c r="D1261" s="554" t="s">
        <v>2663</v>
      </c>
      <c r="E1261" s="554" t="s">
        <v>545</v>
      </c>
      <c r="F1261" s="571">
        <v>1</v>
      </c>
      <c r="G1261" s="572">
        <v>245.23500000000001</v>
      </c>
      <c r="H1261" s="545">
        <v>245.23500000000001</v>
      </c>
      <c r="I1261" s="554" t="s">
        <v>9218</v>
      </c>
      <c r="J1261" s="554" t="s">
        <v>9219</v>
      </c>
      <c r="K1261" s="554" t="s">
        <v>9219</v>
      </c>
      <c r="L1261" s="537" t="s">
        <v>2354</v>
      </c>
    </row>
    <row r="1262" spans="1:12" x14ac:dyDescent="0.2">
      <c r="A1262" s="547" t="s">
        <v>220</v>
      </c>
      <c r="B1262" s="547" t="s">
        <v>2351</v>
      </c>
      <c r="C1262" s="554" t="s">
        <v>2664</v>
      </c>
      <c r="D1262" s="554" t="s">
        <v>2665</v>
      </c>
      <c r="E1262" s="554" t="s">
        <v>545</v>
      </c>
      <c r="F1262" s="571">
        <v>1</v>
      </c>
      <c r="G1262" s="572">
        <v>8.8000000000000007</v>
      </c>
      <c r="H1262" s="545">
        <v>8.8000000000000007</v>
      </c>
      <c r="I1262" s="554" t="s">
        <v>9218</v>
      </c>
      <c r="J1262" s="554" t="s">
        <v>9219</v>
      </c>
      <c r="K1262" s="554" t="s">
        <v>9219</v>
      </c>
      <c r="L1262" s="537" t="s">
        <v>2354</v>
      </c>
    </row>
    <row r="1263" spans="1:12" x14ac:dyDescent="0.2">
      <c r="A1263" s="547" t="s">
        <v>220</v>
      </c>
      <c r="B1263" s="547" t="s">
        <v>2351</v>
      </c>
      <c r="C1263" s="554" t="s">
        <v>2666</v>
      </c>
      <c r="D1263" s="554" t="s">
        <v>2667</v>
      </c>
      <c r="E1263" s="554" t="s">
        <v>545</v>
      </c>
      <c r="F1263" s="571">
        <v>4</v>
      </c>
      <c r="G1263" s="572">
        <v>7.1189999999999998</v>
      </c>
      <c r="H1263" s="545">
        <v>28.475999999999999</v>
      </c>
      <c r="I1263" s="554" t="s">
        <v>9218</v>
      </c>
      <c r="J1263" s="554" t="s">
        <v>9219</v>
      </c>
      <c r="K1263" s="554" t="s">
        <v>9219</v>
      </c>
      <c r="L1263" s="537" t="s">
        <v>2354</v>
      </c>
    </row>
    <row r="1264" spans="1:12" x14ac:dyDescent="0.2">
      <c r="A1264" s="547" t="s">
        <v>220</v>
      </c>
      <c r="B1264" s="547" t="s">
        <v>2351</v>
      </c>
      <c r="C1264" s="554" t="s">
        <v>2668</v>
      </c>
      <c r="D1264" s="554" t="s">
        <v>2669</v>
      </c>
      <c r="E1264" s="554" t="s">
        <v>545</v>
      </c>
      <c r="F1264" s="571">
        <v>4</v>
      </c>
      <c r="G1264" s="572">
        <v>7.1189999999999998</v>
      </c>
      <c r="H1264" s="545">
        <v>28.475999999999999</v>
      </c>
      <c r="I1264" s="554" t="s">
        <v>9218</v>
      </c>
      <c r="J1264" s="554" t="s">
        <v>9219</v>
      </c>
      <c r="K1264" s="554" t="s">
        <v>9219</v>
      </c>
      <c r="L1264" s="537" t="s">
        <v>2354</v>
      </c>
    </row>
    <row r="1265" spans="1:12" x14ac:dyDescent="0.2">
      <c r="A1265" s="547" t="s">
        <v>220</v>
      </c>
      <c r="B1265" s="547" t="s">
        <v>2351</v>
      </c>
      <c r="C1265" s="554" t="s">
        <v>2670</v>
      </c>
      <c r="D1265" s="554" t="s">
        <v>2671</v>
      </c>
      <c r="E1265" s="554" t="s">
        <v>545</v>
      </c>
      <c r="F1265" s="573">
        <v>1</v>
      </c>
      <c r="G1265" s="545">
        <v>0</v>
      </c>
      <c r="H1265" s="545">
        <v>0</v>
      </c>
      <c r="I1265" s="554" t="s">
        <v>9218</v>
      </c>
      <c r="J1265" s="554" t="s">
        <v>9219</v>
      </c>
      <c r="K1265" s="554" t="s">
        <v>9219</v>
      </c>
      <c r="L1265" s="537" t="s">
        <v>2354</v>
      </c>
    </row>
    <row r="1266" spans="1:12" x14ac:dyDescent="0.2">
      <c r="A1266" s="547" t="s">
        <v>220</v>
      </c>
      <c r="B1266" s="547" t="s">
        <v>2351</v>
      </c>
      <c r="C1266" s="554" t="s">
        <v>2672</v>
      </c>
      <c r="D1266" s="554" t="s">
        <v>2673</v>
      </c>
      <c r="E1266" s="554" t="s">
        <v>545</v>
      </c>
      <c r="F1266" s="571">
        <v>5</v>
      </c>
      <c r="G1266" s="572">
        <v>155.71190461741426</v>
      </c>
      <c r="H1266" s="545">
        <v>778.55952308707128</v>
      </c>
      <c r="I1266" s="554" t="s">
        <v>9218</v>
      </c>
      <c r="J1266" s="554" t="s">
        <v>9219</v>
      </c>
      <c r="K1266" s="554" t="s">
        <v>9219</v>
      </c>
      <c r="L1266" s="537" t="s">
        <v>2354</v>
      </c>
    </row>
    <row r="1267" spans="1:12" x14ac:dyDescent="0.2">
      <c r="A1267" s="547" t="s">
        <v>220</v>
      </c>
      <c r="B1267" s="547" t="s">
        <v>2351</v>
      </c>
      <c r="C1267" s="554" t="s">
        <v>2674</v>
      </c>
      <c r="D1267" s="554" t="s">
        <v>2675</v>
      </c>
      <c r="E1267" s="554" t="s">
        <v>545</v>
      </c>
      <c r="F1267" s="571">
        <v>1</v>
      </c>
      <c r="G1267" s="572">
        <v>30.3</v>
      </c>
      <c r="H1267" s="545">
        <v>30.3</v>
      </c>
      <c r="I1267" s="554" t="s">
        <v>9218</v>
      </c>
      <c r="J1267" s="554" t="s">
        <v>9219</v>
      </c>
      <c r="K1267" s="554" t="s">
        <v>9219</v>
      </c>
      <c r="L1267" s="537" t="s">
        <v>2354</v>
      </c>
    </row>
    <row r="1268" spans="1:12" x14ac:dyDescent="0.2">
      <c r="A1268" s="547" t="s">
        <v>220</v>
      </c>
      <c r="B1268" s="547" t="s">
        <v>2351</v>
      </c>
      <c r="C1268" s="554" t="s">
        <v>9252</v>
      </c>
      <c r="D1268" s="554" t="s">
        <v>9253</v>
      </c>
      <c r="E1268" s="554" t="s">
        <v>545</v>
      </c>
      <c r="F1268" s="571">
        <v>4</v>
      </c>
      <c r="G1268" s="572">
        <v>442.56099999999998</v>
      </c>
      <c r="H1268" s="545">
        <v>1770.2439999999999</v>
      </c>
      <c r="I1268" s="554" t="s">
        <v>9218</v>
      </c>
      <c r="J1268" s="554" t="s">
        <v>9219</v>
      </c>
      <c r="K1268" s="554" t="s">
        <v>9219</v>
      </c>
      <c r="L1268" s="537" t="s">
        <v>2354</v>
      </c>
    </row>
    <row r="1269" spans="1:12" x14ac:dyDescent="0.2">
      <c r="A1269" s="547" t="s">
        <v>220</v>
      </c>
      <c r="B1269" s="547" t="s">
        <v>2351</v>
      </c>
      <c r="C1269" s="554" t="s">
        <v>2676</v>
      </c>
      <c r="D1269" s="554" t="s">
        <v>2677</v>
      </c>
      <c r="E1269" s="554" t="s">
        <v>545</v>
      </c>
      <c r="F1269" s="571">
        <v>4</v>
      </c>
      <c r="G1269" s="572">
        <v>87.26812402038496</v>
      </c>
      <c r="H1269" s="545">
        <v>349.07249608153984</v>
      </c>
      <c r="I1269" s="554" t="s">
        <v>9218</v>
      </c>
      <c r="J1269" s="554" t="s">
        <v>9219</v>
      </c>
      <c r="K1269" s="554" t="s">
        <v>9219</v>
      </c>
      <c r="L1269" s="537" t="s">
        <v>2354</v>
      </c>
    </row>
    <row r="1270" spans="1:12" x14ac:dyDescent="0.2">
      <c r="A1270" s="547" t="s">
        <v>220</v>
      </c>
      <c r="B1270" s="547" t="s">
        <v>2351</v>
      </c>
      <c r="C1270" s="554" t="s">
        <v>2678</v>
      </c>
      <c r="D1270" s="554" t="s">
        <v>2679</v>
      </c>
      <c r="E1270" s="554" t="s">
        <v>545</v>
      </c>
      <c r="F1270" s="571">
        <v>2</v>
      </c>
      <c r="G1270" s="572">
        <v>138.80796000000001</v>
      </c>
      <c r="H1270" s="545">
        <v>277.61592000000002</v>
      </c>
      <c r="I1270" s="554" t="s">
        <v>9218</v>
      </c>
      <c r="J1270" s="554" t="s">
        <v>9219</v>
      </c>
      <c r="K1270" s="554" t="s">
        <v>9219</v>
      </c>
      <c r="L1270" s="537" t="s">
        <v>2354</v>
      </c>
    </row>
    <row r="1271" spans="1:12" x14ac:dyDescent="0.2">
      <c r="A1271" s="547" t="s">
        <v>220</v>
      </c>
      <c r="B1271" s="547" t="s">
        <v>2351</v>
      </c>
      <c r="C1271" s="554" t="s">
        <v>2680</v>
      </c>
      <c r="D1271" s="554" t="s">
        <v>2681</v>
      </c>
      <c r="E1271" s="554" t="s">
        <v>545</v>
      </c>
      <c r="F1271" s="571">
        <v>1</v>
      </c>
      <c r="G1271" s="572">
        <v>110</v>
      </c>
      <c r="H1271" s="545">
        <v>110</v>
      </c>
      <c r="I1271" s="554" t="s">
        <v>9218</v>
      </c>
      <c r="J1271" s="554" t="s">
        <v>9219</v>
      </c>
      <c r="K1271" s="554" t="s">
        <v>9219</v>
      </c>
      <c r="L1271" s="537" t="s">
        <v>2354</v>
      </c>
    </row>
    <row r="1272" spans="1:12" x14ac:dyDescent="0.2">
      <c r="A1272" s="547" t="s">
        <v>220</v>
      </c>
      <c r="B1272" s="547" t="s">
        <v>2351</v>
      </c>
      <c r="C1272" s="554" t="s">
        <v>2682</v>
      </c>
      <c r="D1272" s="554" t="s">
        <v>2683</v>
      </c>
      <c r="E1272" s="554" t="s">
        <v>545</v>
      </c>
      <c r="F1272" s="571">
        <v>4</v>
      </c>
      <c r="G1272" s="572">
        <v>124.7</v>
      </c>
      <c r="H1272" s="545">
        <v>498.8</v>
      </c>
      <c r="I1272" s="554" t="s">
        <v>9218</v>
      </c>
      <c r="J1272" s="554" t="s">
        <v>9219</v>
      </c>
      <c r="K1272" s="554" t="s">
        <v>9219</v>
      </c>
      <c r="L1272" s="537" t="s">
        <v>2354</v>
      </c>
    </row>
    <row r="1273" spans="1:12" x14ac:dyDescent="0.2">
      <c r="A1273" s="547" t="s">
        <v>220</v>
      </c>
      <c r="B1273" s="547" t="s">
        <v>2351</v>
      </c>
      <c r="C1273" s="554" t="s">
        <v>2684</v>
      </c>
      <c r="D1273" s="554" t="s">
        <v>2685</v>
      </c>
      <c r="E1273" s="554" t="s">
        <v>545</v>
      </c>
      <c r="F1273" s="571">
        <v>1</v>
      </c>
      <c r="G1273" s="572">
        <v>520</v>
      </c>
      <c r="H1273" s="545">
        <v>520</v>
      </c>
      <c r="I1273" s="554" t="s">
        <v>9218</v>
      </c>
      <c r="J1273" s="554" t="s">
        <v>9219</v>
      </c>
      <c r="K1273" s="554" t="s">
        <v>9219</v>
      </c>
      <c r="L1273" s="537" t="s">
        <v>2354</v>
      </c>
    </row>
    <row r="1274" spans="1:12" x14ac:dyDescent="0.2">
      <c r="A1274" s="547" t="s">
        <v>220</v>
      </c>
      <c r="B1274" s="547" t="s">
        <v>2351</v>
      </c>
      <c r="C1274" s="554" t="s">
        <v>2688</v>
      </c>
      <c r="D1274" s="554" t="s">
        <v>2689</v>
      </c>
      <c r="E1274" s="554" t="s">
        <v>545</v>
      </c>
      <c r="F1274" s="571">
        <v>1</v>
      </c>
      <c r="G1274" s="572">
        <v>520</v>
      </c>
      <c r="H1274" s="545">
        <v>520</v>
      </c>
      <c r="I1274" s="554" t="s">
        <v>9218</v>
      </c>
      <c r="J1274" s="554" t="s">
        <v>9219</v>
      </c>
      <c r="K1274" s="554" t="s">
        <v>9219</v>
      </c>
      <c r="L1274" s="537" t="s">
        <v>2354</v>
      </c>
    </row>
    <row r="1275" spans="1:12" x14ac:dyDescent="0.2">
      <c r="A1275" s="547" t="s">
        <v>220</v>
      </c>
      <c r="B1275" s="547" t="s">
        <v>2351</v>
      </c>
      <c r="C1275" s="554" t="s">
        <v>2690</v>
      </c>
      <c r="D1275" s="554" t="s">
        <v>2691</v>
      </c>
      <c r="E1275" s="554" t="s">
        <v>545</v>
      </c>
      <c r="F1275" s="571">
        <v>1</v>
      </c>
      <c r="G1275" s="572">
        <v>411</v>
      </c>
      <c r="H1275" s="545">
        <v>411</v>
      </c>
      <c r="I1275" s="554" t="s">
        <v>9218</v>
      </c>
      <c r="J1275" s="554" t="s">
        <v>9219</v>
      </c>
      <c r="K1275" s="554" t="s">
        <v>9219</v>
      </c>
      <c r="L1275" s="537" t="s">
        <v>2354</v>
      </c>
    </row>
    <row r="1276" spans="1:12" x14ac:dyDescent="0.2">
      <c r="A1276" s="547" t="s">
        <v>220</v>
      </c>
      <c r="B1276" s="547" t="s">
        <v>2351</v>
      </c>
      <c r="C1276" s="554" t="s">
        <v>2692</v>
      </c>
      <c r="D1276" s="554" t="s">
        <v>2693</v>
      </c>
      <c r="E1276" s="554" t="s">
        <v>545</v>
      </c>
      <c r="F1276" s="571">
        <v>1</v>
      </c>
      <c r="G1276" s="572">
        <v>40</v>
      </c>
      <c r="H1276" s="545">
        <v>40</v>
      </c>
      <c r="I1276" s="554" t="s">
        <v>9218</v>
      </c>
      <c r="J1276" s="554" t="s">
        <v>9219</v>
      </c>
      <c r="K1276" s="554" t="s">
        <v>9219</v>
      </c>
      <c r="L1276" s="537" t="s">
        <v>2354</v>
      </c>
    </row>
    <row r="1277" spans="1:12" x14ac:dyDescent="0.2">
      <c r="A1277" s="547" t="s">
        <v>220</v>
      </c>
      <c r="B1277" s="547" t="s">
        <v>2351</v>
      </c>
      <c r="C1277" s="554" t="s">
        <v>2694</v>
      </c>
      <c r="D1277" s="554" t="s">
        <v>2695</v>
      </c>
      <c r="E1277" s="554" t="s">
        <v>545</v>
      </c>
      <c r="F1277" s="571">
        <v>1</v>
      </c>
      <c r="G1277" s="572">
        <v>217</v>
      </c>
      <c r="H1277" s="545">
        <v>217</v>
      </c>
      <c r="I1277" s="554" t="s">
        <v>9218</v>
      </c>
      <c r="J1277" s="554" t="s">
        <v>9219</v>
      </c>
      <c r="K1277" s="554" t="s">
        <v>9219</v>
      </c>
      <c r="L1277" s="537" t="s">
        <v>2354</v>
      </c>
    </row>
    <row r="1278" spans="1:12" x14ac:dyDescent="0.2">
      <c r="A1278" s="547" t="s">
        <v>220</v>
      </c>
      <c r="B1278" s="547" t="s">
        <v>2351</v>
      </c>
      <c r="C1278" s="554" t="s">
        <v>2698</v>
      </c>
      <c r="D1278" s="554" t="s">
        <v>2699</v>
      </c>
      <c r="E1278" s="554" t="s">
        <v>545</v>
      </c>
      <c r="F1278" s="571">
        <v>1</v>
      </c>
      <c r="G1278" s="572">
        <v>194.99600000000001</v>
      </c>
      <c r="H1278" s="545">
        <v>194.99600000000001</v>
      </c>
      <c r="I1278" s="554" t="s">
        <v>9218</v>
      </c>
      <c r="J1278" s="554" t="s">
        <v>9219</v>
      </c>
      <c r="K1278" s="554" t="s">
        <v>9219</v>
      </c>
      <c r="L1278" s="537" t="s">
        <v>2354</v>
      </c>
    </row>
    <row r="1279" spans="1:12" x14ac:dyDescent="0.2">
      <c r="A1279" s="547" t="s">
        <v>220</v>
      </c>
      <c r="B1279" s="547" t="s">
        <v>2351</v>
      </c>
      <c r="C1279" s="554" t="s">
        <v>2702</v>
      </c>
      <c r="D1279" s="554" t="s">
        <v>2703</v>
      </c>
      <c r="E1279" s="554" t="s">
        <v>545</v>
      </c>
      <c r="F1279" s="571">
        <v>1</v>
      </c>
      <c r="G1279" s="572">
        <v>316.17720000000003</v>
      </c>
      <c r="H1279" s="545">
        <v>316.17720000000003</v>
      </c>
      <c r="I1279" s="554" t="s">
        <v>9218</v>
      </c>
      <c r="J1279" s="554" t="s">
        <v>9219</v>
      </c>
      <c r="K1279" s="554" t="s">
        <v>9219</v>
      </c>
      <c r="L1279" s="537" t="s">
        <v>2354</v>
      </c>
    </row>
    <row r="1280" spans="1:12" x14ac:dyDescent="0.2">
      <c r="A1280" s="547" t="s">
        <v>220</v>
      </c>
      <c r="B1280" s="547" t="s">
        <v>2351</v>
      </c>
      <c r="C1280" s="554" t="s">
        <v>2704</v>
      </c>
      <c r="D1280" s="554" t="s">
        <v>2705</v>
      </c>
      <c r="E1280" s="554" t="s">
        <v>545</v>
      </c>
      <c r="F1280" s="571">
        <v>1</v>
      </c>
      <c r="G1280" s="572">
        <v>492.89</v>
      </c>
      <c r="H1280" s="545">
        <v>492.89</v>
      </c>
      <c r="I1280" s="554" t="s">
        <v>9218</v>
      </c>
      <c r="J1280" s="554" t="s">
        <v>9219</v>
      </c>
      <c r="K1280" s="554" t="s">
        <v>9219</v>
      </c>
      <c r="L1280" s="537" t="s">
        <v>2354</v>
      </c>
    </row>
    <row r="1281" spans="1:12" x14ac:dyDescent="0.2">
      <c r="A1281" s="547" t="s">
        <v>220</v>
      </c>
      <c r="B1281" s="547" t="s">
        <v>2351</v>
      </c>
      <c r="C1281" s="554" t="s">
        <v>2706</v>
      </c>
      <c r="D1281" s="554" t="s">
        <v>2707</v>
      </c>
      <c r="E1281" s="554" t="s">
        <v>545</v>
      </c>
      <c r="F1281" s="571">
        <v>5</v>
      </c>
      <c r="G1281" s="572">
        <v>46.8</v>
      </c>
      <c r="H1281" s="545">
        <v>234</v>
      </c>
      <c r="I1281" s="554" t="s">
        <v>9218</v>
      </c>
      <c r="J1281" s="554" t="s">
        <v>9219</v>
      </c>
      <c r="K1281" s="554" t="s">
        <v>9219</v>
      </c>
      <c r="L1281" s="537" t="s">
        <v>2354</v>
      </c>
    </row>
    <row r="1282" spans="1:12" x14ac:dyDescent="0.2">
      <c r="A1282" s="547" t="s">
        <v>220</v>
      </c>
      <c r="B1282" s="547" t="s">
        <v>2351</v>
      </c>
      <c r="C1282" s="554" t="s">
        <v>2708</v>
      </c>
      <c r="D1282" s="554" t="s">
        <v>2709</v>
      </c>
      <c r="E1282" s="554" t="s">
        <v>545</v>
      </c>
      <c r="F1282" s="571">
        <v>5</v>
      </c>
      <c r="G1282" s="572">
        <v>11.939399999999999</v>
      </c>
      <c r="H1282" s="545">
        <v>59.696999999999996</v>
      </c>
      <c r="I1282" s="554" t="s">
        <v>9218</v>
      </c>
      <c r="J1282" s="554" t="s">
        <v>9219</v>
      </c>
      <c r="K1282" s="554" t="s">
        <v>9219</v>
      </c>
      <c r="L1282" s="537" t="s">
        <v>2354</v>
      </c>
    </row>
    <row r="1283" spans="1:12" x14ac:dyDescent="0.2">
      <c r="A1283" s="547" t="s">
        <v>220</v>
      </c>
      <c r="B1283" s="547" t="s">
        <v>2351</v>
      </c>
      <c r="C1283" s="554" t="s">
        <v>2710</v>
      </c>
      <c r="D1283" s="554" t="s">
        <v>2711</v>
      </c>
      <c r="E1283" s="554" t="s">
        <v>545</v>
      </c>
      <c r="F1283" s="571">
        <v>5</v>
      </c>
      <c r="G1283" s="572">
        <v>31.05</v>
      </c>
      <c r="H1283" s="545">
        <v>155.25</v>
      </c>
      <c r="I1283" s="554" t="s">
        <v>9218</v>
      </c>
      <c r="J1283" s="554" t="s">
        <v>9219</v>
      </c>
      <c r="K1283" s="554" t="s">
        <v>9219</v>
      </c>
      <c r="L1283" s="537" t="s">
        <v>2354</v>
      </c>
    </row>
    <row r="1284" spans="1:12" x14ac:dyDescent="0.2">
      <c r="A1284" s="547" t="s">
        <v>220</v>
      </c>
      <c r="B1284" s="547" t="s">
        <v>2351</v>
      </c>
      <c r="C1284" s="554" t="s">
        <v>2712</v>
      </c>
      <c r="D1284" s="554" t="s">
        <v>2713</v>
      </c>
      <c r="E1284" s="554" t="s">
        <v>545</v>
      </c>
      <c r="F1284" s="571">
        <v>4</v>
      </c>
      <c r="G1284" s="572">
        <v>30.113999999999997</v>
      </c>
      <c r="H1284" s="545">
        <v>120.45599999999999</v>
      </c>
      <c r="I1284" s="554" t="s">
        <v>9218</v>
      </c>
      <c r="J1284" s="554" t="s">
        <v>9219</v>
      </c>
      <c r="K1284" s="554" t="s">
        <v>9219</v>
      </c>
      <c r="L1284" s="537" t="s">
        <v>2354</v>
      </c>
    </row>
    <row r="1285" spans="1:12" x14ac:dyDescent="0.2">
      <c r="A1285" s="547" t="s">
        <v>220</v>
      </c>
      <c r="B1285" s="547" t="s">
        <v>2351</v>
      </c>
      <c r="C1285" s="554" t="s">
        <v>2714</v>
      </c>
      <c r="D1285" s="554" t="s">
        <v>2715</v>
      </c>
      <c r="E1285" s="554" t="s">
        <v>545</v>
      </c>
      <c r="F1285" s="571">
        <v>5</v>
      </c>
      <c r="G1285" s="572">
        <v>20.655000000000001</v>
      </c>
      <c r="H1285" s="545">
        <v>103.27500000000001</v>
      </c>
      <c r="I1285" s="554" t="s">
        <v>9218</v>
      </c>
      <c r="J1285" s="554" t="s">
        <v>9219</v>
      </c>
      <c r="K1285" s="554" t="s">
        <v>9219</v>
      </c>
      <c r="L1285" s="537" t="s">
        <v>2354</v>
      </c>
    </row>
    <row r="1286" spans="1:12" x14ac:dyDescent="0.2">
      <c r="A1286" s="547" t="s">
        <v>220</v>
      </c>
      <c r="B1286" s="547" t="s">
        <v>2351</v>
      </c>
      <c r="C1286" s="554" t="s">
        <v>2716</v>
      </c>
      <c r="D1286" s="554" t="s">
        <v>2717</v>
      </c>
      <c r="E1286" s="554" t="s">
        <v>545</v>
      </c>
      <c r="F1286" s="571">
        <v>10</v>
      </c>
      <c r="G1286" s="572">
        <v>18.18</v>
      </c>
      <c r="H1286" s="545">
        <v>181.8</v>
      </c>
      <c r="I1286" s="554" t="s">
        <v>9218</v>
      </c>
      <c r="J1286" s="554" t="s">
        <v>9219</v>
      </c>
      <c r="K1286" s="554" t="s">
        <v>9219</v>
      </c>
      <c r="L1286" s="537" t="s">
        <v>2354</v>
      </c>
    </row>
    <row r="1287" spans="1:12" x14ac:dyDescent="0.2">
      <c r="A1287" s="547" t="s">
        <v>220</v>
      </c>
      <c r="B1287" s="547" t="s">
        <v>2351</v>
      </c>
      <c r="C1287" s="554" t="s">
        <v>2718</v>
      </c>
      <c r="D1287" s="554" t="s">
        <v>2719</v>
      </c>
      <c r="E1287" s="554" t="s">
        <v>545</v>
      </c>
      <c r="F1287" s="571">
        <v>3</v>
      </c>
      <c r="G1287" s="572">
        <v>21.285</v>
      </c>
      <c r="H1287" s="545">
        <v>63.855000000000004</v>
      </c>
      <c r="I1287" s="554" t="s">
        <v>9218</v>
      </c>
      <c r="J1287" s="554" t="s">
        <v>9219</v>
      </c>
      <c r="K1287" s="554" t="s">
        <v>9219</v>
      </c>
      <c r="L1287" s="537" t="s">
        <v>2354</v>
      </c>
    </row>
    <row r="1288" spans="1:12" x14ac:dyDescent="0.2">
      <c r="A1288" s="547" t="s">
        <v>220</v>
      </c>
      <c r="B1288" s="547" t="s">
        <v>2351</v>
      </c>
      <c r="C1288" s="554" t="s">
        <v>2720</v>
      </c>
      <c r="D1288" s="554" t="s">
        <v>2721</v>
      </c>
      <c r="E1288" s="554" t="s">
        <v>545</v>
      </c>
      <c r="F1288" s="571">
        <v>5</v>
      </c>
      <c r="G1288" s="572">
        <v>27</v>
      </c>
      <c r="H1288" s="545">
        <v>135</v>
      </c>
      <c r="I1288" s="554" t="s">
        <v>9218</v>
      </c>
      <c r="J1288" s="554" t="s">
        <v>9219</v>
      </c>
      <c r="K1288" s="554" t="s">
        <v>9219</v>
      </c>
      <c r="L1288" s="537" t="s">
        <v>2354</v>
      </c>
    </row>
    <row r="1289" spans="1:12" x14ac:dyDescent="0.2">
      <c r="A1289" s="547" t="s">
        <v>220</v>
      </c>
      <c r="B1289" s="547" t="s">
        <v>2351</v>
      </c>
      <c r="C1289" s="554" t="s">
        <v>2722</v>
      </c>
      <c r="D1289" s="554" t="s">
        <v>2723</v>
      </c>
      <c r="E1289" s="554" t="s">
        <v>545</v>
      </c>
      <c r="F1289" s="571">
        <v>5</v>
      </c>
      <c r="G1289" s="572">
        <v>15.222000000000001</v>
      </c>
      <c r="H1289" s="545">
        <v>76.110000000000014</v>
      </c>
      <c r="I1289" s="554" t="s">
        <v>9218</v>
      </c>
      <c r="J1289" s="554" t="s">
        <v>9219</v>
      </c>
      <c r="K1289" s="554" t="s">
        <v>9219</v>
      </c>
      <c r="L1289" s="537" t="s">
        <v>2354</v>
      </c>
    </row>
    <row r="1290" spans="1:12" x14ac:dyDescent="0.2">
      <c r="A1290" s="547" t="s">
        <v>220</v>
      </c>
      <c r="B1290" s="547" t="s">
        <v>2351</v>
      </c>
      <c r="C1290" s="554" t="s">
        <v>2724</v>
      </c>
      <c r="D1290" s="554" t="s">
        <v>2725</v>
      </c>
      <c r="E1290" s="554" t="s">
        <v>545</v>
      </c>
      <c r="F1290" s="571">
        <v>10</v>
      </c>
      <c r="G1290" s="572">
        <v>25.861049999999999</v>
      </c>
      <c r="H1290" s="545">
        <v>258.6105</v>
      </c>
      <c r="I1290" s="554" t="s">
        <v>9218</v>
      </c>
      <c r="J1290" s="554" t="s">
        <v>9219</v>
      </c>
      <c r="K1290" s="554" t="s">
        <v>9219</v>
      </c>
      <c r="L1290" s="537" t="s">
        <v>2354</v>
      </c>
    </row>
    <row r="1291" spans="1:12" x14ac:dyDescent="0.2">
      <c r="A1291" s="547" t="s">
        <v>220</v>
      </c>
      <c r="B1291" s="547" t="s">
        <v>2351</v>
      </c>
      <c r="C1291" s="554" t="s">
        <v>2726</v>
      </c>
      <c r="D1291" s="554" t="s">
        <v>2727</v>
      </c>
      <c r="E1291" s="554" t="s">
        <v>545</v>
      </c>
      <c r="F1291" s="571">
        <v>5</v>
      </c>
      <c r="G1291" s="572">
        <v>42.3</v>
      </c>
      <c r="H1291" s="545">
        <v>211.5</v>
      </c>
      <c r="I1291" s="554" t="s">
        <v>9218</v>
      </c>
      <c r="J1291" s="554" t="s">
        <v>9219</v>
      </c>
      <c r="K1291" s="554" t="s">
        <v>9219</v>
      </c>
      <c r="L1291" s="537" t="s">
        <v>2354</v>
      </c>
    </row>
    <row r="1292" spans="1:12" x14ac:dyDescent="0.2">
      <c r="A1292" s="547" t="s">
        <v>220</v>
      </c>
      <c r="B1292" s="547" t="s">
        <v>2351</v>
      </c>
      <c r="C1292" s="554" t="s">
        <v>2728</v>
      </c>
      <c r="D1292" s="554" t="s">
        <v>2729</v>
      </c>
      <c r="E1292" s="554" t="s">
        <v>545</v>
      </c>
      <c r="F1292" s="571">
        <v>2</v>
      </c>
      <c r="G1292" s="572">
        <v>5.1738</v>
      </c>
      <c r="H1292" s="545">
        <v>10.3476</v>
      </c>
      <c r="I1292" s="554" t="s">
        <v>9218</v>
      </c>
      <c r="J1292" s="554" t="s">
        <v>9219</v>
      </c>
      <c r="K1292" s="554" t="s">
        <v>9219</v>
      </c>
      <c r="L1292" s="537" t="s">
        <v>2354</v>
      </c>
    </row>
    <row r="1293" spans="1:12" x14ac:dyDescent="0.2">
      <c r="A1293" s="547" t="s">
        <v>220</v>
      </c>
      <c r="B1293" s="547" t="s">
        <v>2351</v>
      </c>
      <c r="C1293" s="554" t="s">
        <v>2730</v>
      </c>
      <c r="D1293" s="554" t="s">
        <v>2731</v>
      </c>
      <c r="E1293" s="554" t="s">
        <v>545</v>
      </c>
      <c r="F1293" s="571">
        <v>6</v>
      </c>
      <c r="G1293" s="572">
        <v>7.7606999999999999</v>
      </c>
      <c r="H1293" s="545">
        <v>46.5642</v>
      </c>
      <c r="I1293" s="554" t="s">
        <v>9218</v>
      </c>
      <c r="J1293" s="554" t="s">
        <v>9219</v>
      </c>
      <c r="K1293" s="554" t="s">
        <v>9219</v>
      </c>
      <c r="L1293" s="537" t="s">
        <v>2354</v>
      </c>
    </row>
    <row r="1294" spans="1:12" x14ac:dyDescent="0.2">
      <c r="A1294" s="547" t="s">
        <v>220</v>
      </c>
      <c r="B1294" s="547" t="s">
        <v>2351</v>
      </c>
      <c r="C1294" s="554" t="s">
        <v>2732</v>
      </c>
      <c r="D1294" s="554" t="s">
        <v>2733</v>
      </c>
      <c r="E1294" s="554" t="s">
        <v>545</v>
      </c>
      <c r="F1294" s="571">
        <v>1</v>
      </c>
      <c r="G1294" s="572">
        <v>7.7606999999999999</v>
      </c>
      <c r="H1294" s="545">
        <v>7.7606999999999999</v>
      </c>
      <c r="I1294" s="554" t="s">
        <v>9218</v>
      </c>
      <c r="J1294" s="554" t="s">
        <v>9219</v>
      </c>
      <c r="K1294" s="554" t="s">
        <v>9219</v>
      </c>
      <c r="L1294" s="537" t="s">
        <v>2354</v>
      </c>
    </row>
    <row r="1295" spans="1:12" x14ac:dyDescent="0.2">
      <c r="A1295" s="547" t="s">
        <v>220</v>
      </c>
      <c r="B1295" s="547" t="s">
        <v>2351</v>
      </c>
      <c r="C1295" s="554" t="s">
        <v>2734</v>
      </c>
      <c r="D1295" s="554" t="s">
        <v>2735</v>
      </c>
      <c r="E1295" s="554" t="s">
        <v>545</v>
      </c>
      <c r="F1295" s="571">
        <v>1</v>
      </c>
      <c r="G1295" s="572">
        <v>2656.2089999999998</v>
      </c>
      <c r="H1295" s="545">
        <v>2656.2089999999998</v>
      </c>
      <c r="I1295" s="554" t="s">
        <v>9218</v>
      </c>
      <c r="J1295" s="554" t="s">
        <v>9219</v>
      </c>
      <c r="K1295" s="554" t="s">
        <v>9219</v>
      </c>
      <c r="L1295" s="537" t="s">
        <v>2354</v>
      </c>
    </row>
    <row r="1296" spans="1:12" x14ac:dyDescent="0.2">
      <c r="A1296" s="547" t="s">
        <v>220</v>
      </c>
      <c r="B1296" s="547" t="s">
        <v>2351</v>
      </c>
      <c r="C1296" s="554" t="s">
        <v>2736</v>
      </c>
      <c r="D1296" s="554" t="s">
        <v>2737</v>
      </c>
      <c r="E1296" s="554" t="s">
        <v>545</v>
      </c>
      <c r="F1296" s="571">
        <v>2</v>
      </c>
      <c r="G1296" s="572">
        <v>339.3</v>
      </c>
      <c r="H1296" s="545">
        <v>678.6</v>
      </c>
      <c r="I1296" s="554" t="s">
        <v>9218</v>
      </c>
      <c r="J1296" s="554" t="s">
        <v>9219</v>
      </c>
      <c r="K1296" s="554" t="s">
        <v>9219</v>
      </c>
      <c r="L1296" s="537" t="s">
        <v>2354</v>
      </c>
    </row>
    <row r="1297" spans="1:12" x14ac:dyDescent="0.2">
      <c r="A1297" s="547" t="s">
        <v>220</v>
      </c>
      <c r="B1297" s="547" t="s">
        <v>2351</v>
      </c>
      <c r="C1297" s="554" t="s">
        <v>2738</v>
      </c>
      <c r="D1297" s="554" t="s">
        <v>2739</v>
      </c>
      <c r="E1297" s="554" t="s">
        <v>545</v>
      </c>
      <c r="F1297" s="571">
        <v>1</v>
      </c>
      <c r="G1297" s="572">
        <v>26.3916</v>
      </c>
      <c r="H1297" s="545">
        <v>26.3916</v>
      </c>
      <c r="I1297" s="554" t="s">
        <v>9218</v>
      </c>
      <c r="J1297" s="554" t="s">
        <v>9219</v>
      </c>
      <c r="K1297" s="554" t="s">
        <v>9219</v>
      </c>
      <c r="L1297" s="537" t="s">
        <v>2354</v>
      </c>
    </row>
    <row r="1298" spans="1:12" x14ac:dyDescent="0.2">
      <c r="A1298" s="547" t="s">
        <v>220</v>
      </c>
      <c r="B1298" s="547" t="s">
        <v>2351</v>
      </c>
      <c r="C1298" s="554" t="s">
        <v>2740</v>
      </c>
      <c r="D1298" s="554" t="s">
        <v>2741</v>
      </c>
      <c r="E1298" s="554" t="s">
        <v>545</v>
      </c>
      <c r="F1298" s="571">
        <v>5</v>
      </c>
      <c r="G1298" s="572">
        <v>10.101692307692307</v>
      </c>
      <c r="H1298" s="545">
        <v>50.508461538461532</v>
      </c>
      <c r="I1298" s="554" t="s">
        <v>9218</v>
      </c>
      <c r="J1298" s="554" t="s">
        <v>9219</v>
      </c>
      <c r="K1298" s="554" t="s">
        <v>9219</v>
      </c>
      <c r="L1298" s="537" t="s">
        <v>2354</v>
      </c>
    </row>
    <row r="1299" spans="1:12" x14ac:dyDescent="0.2">
      <c r="A1299" s="547" t="s">
        <v>220</v>
      </c>
      <c r="B1299" s="547" t="s">
        <v>2351</v>
      </c>
      <c r="C1299" s="554" t="s">
        <v>2742</v>
      </c>
      <c r="D1299" s="554" t="s">
        <v>2743</v>
      </c>
      <c r="E1299" s="554" t="s">
        <v>545</v>
      </c>
      <c r="F1299" s="571">
        <v>5</v>
      </c>
      <c r="G1299" s="572">
        <v>12.044</v>
      </c>
      <c r="H1299" s="545">
        <v>60.22</v>
      </c>
      <c r="I1299" s="554" t="s">
        <v>9218</v>
      </c>
      <c r="J1299" s="554" t="s">
        <v>9219</v>
      </c>
      <c r="K1299" s="554" t="s">
        <v>9219</v>
      </c>
      <c r="L1299" s="537" t="s">
        <v>2354</v>
      </c>
    </row>
    <row r="1300" spans="1:12" x14ac:dyDescent="0.2">
      <c r="A1300" s="547" t="s">
        <v>220</v>
      </c>
      <c r="B1300" s="547" t="s">
        <v>2351</v>
      </c>
      <c r="C1300" s="554" t="s">
        <v>2744</v>
      </c>
      <c r="D1300" s="554" t="s">
        <v>2745</v>
      </c>
      <c r="E1300" s="554" t="s">
        <v>545</v>
      </c>
      <c r="F1300" s="571">
        <v>3</v>
      </c>
      <c r="G1300" s="572">
        <v>24.9255</v>
      </c>
      <c r="H1300" s="545">
        <v>74.776499999999999</v>
      </c>
      <c r="I1300" s="554" t="s">
        <v>9218</v>
      </c>
      <c r="J1300" s="554" t="s">
        <v>9219</v>
      </c>
      <c r="K1300" s="554" t="s">
        <v>9219</v>
      </c>
      <c r="L1300" s="537" t="s">
        <v>2354</v>
      </c>
    </row>
    <row r="1301" spans="1:12" x14ac:dyDescent="0.2">
      <c r="A1301" s="547" t="s">
        <v>220</v>
      </c>
      <c r="B1301" s="547" t="s">
        <v>2351</v>
      </c>
      <c r="C1301" s="554" t="s">
        <v>2746</v>
      </c>
      <c r="D1301" s="554" t="s">
        <v>2747</v>
      </c>
      <c r="E1301" s="554" t="s">
        <v>545</v>
      </c>
      <c r="F1301" s="571">
        <v>3</v>
      </c>
      <c r="G1301" s="572">
        <v>18.611999999999998</v>
      </c>
      <c r="H1301" s="545">
        <v>55.835999999999999</v>
      </c>
      <c r="I1301" s="554" t="s">
        <v>9218</v>
      </c>
      <c r="J1301" s="554" t="s">
        <v>9219</v>
      </c>
      <c r="K1301" s="554" t="s">
        <v>9219</v>
      </c>
      <c r="L1301" s="537" t="s">
        <v>2354</v>
      </c>
    </row>
    <row r="1302" spans="1:12" x14ac:dyDescent="0.2">
      <c r="A1302" s="547" t="s">
        <v>220</v>
      </c>
      <c r="B1302" s="547" t="s">
        <v>2351</v>
      </c>
      <c r="C1302" s="554" t="s">
        <v>2748</v>
      </c>
      <c r="D1302" s="554" t="s">
        <v>2749</v>
      </c>
      <c r="E1302" s="554" t="s">
        <v>545</v>
      </c>
      <c r="F1302" s="571">
        <v>3</v>
      </c>
      <c r="G1302" s="572">
        <v>16.72</v>
      </c>
      <c r="H1302" s="545">
        <v>50.16</v>
      </c>
      <c r="I1302" s="554" t="s">
        <v>9218</v>
      </c>
      <c r="J1302" s="554" t="s">
        <v>9219</v>
      </c>
      <c r="K1302" s="554" t="s">
        <v>9219</v>
      </c>
      <c r="L1302" s="537" t="s">
        <v>2354</v>
      </c>
    </row>
    <row r="1303" spans="1:12" x14ac:dyDescent="0.2">
      <c r="A1303" s="547" t="s">
        <v>220</v>
      </c>
      <c r="B1303" s="547" t="s">
        <v>2351</v>
      </c>
      <c r="C1303" s="554" t="s">
        <v>2750</v>
      </c>
      <c r="D1303" s="554" t="s">
        <v>2751</v>
      </c>
      <c r="E1303" s="554" t="s">
        <v>545</v>
      </c>
      <c r="F1303" s="573">
        <v>7</v>
      </c>
      <c r="G1303" s="545">
        <v>0</v>
      </c>
      <c r="H1303" s="545">
        <v>0</v>
      </c>
      <c r="I1303" s="554" t="s">
        <v>9218</v>
      </c>
      <c r="J1303" s="554" t="s">
        <v>9219</v>
      </c>
      <c r="K1303" s="554" t="s">
        <v>9219</v>
      </c>
      <c r="L1303" s="537" t="s">
        <v>2354</v>
      </c>
    </row>
    <row r="1304" spans="1:12" x14ac:dyDescent="0.2">
      <c r="A1304" s="547" t="s">
        <v>220</v>
      </c>
      <c r="B1304" s="547" t="s">
        <v>2351</v>
      </c>
      <c r="C1304" s="554" t="s">
        <v>2752</v>
      </c>
      <c r="D1304" s="554" t="s">
        <v>2753</v>
      </c>
      <c r="E1304" s="554" t="s">
        <v>545</v>
      </c>
      <c r="F1304" s="573">
        <v>1</v>
      </c>
      <c r="G1304" s="545">
        <v>0</v>
      </c>
      <c r="H1304" s="545">
        <v>0</v>
      </c>
      <c r="I1304" s="554" t="s">
        <v>9218</v>
      </c>
      <c r="J1304" s="554" t="s">
        <v>9219</v>
      </c>
      <c r="K1304" s="554" t="s">
        <v>9219</v>
      </c>
      <c r="L1304" s="537" t="s">
        <v>2354</v>
      </c>
    </row>
    <row r="1305" spans="1:12" x14ac:dyDescent="0.2">
      <c r="A1305" s="547" t="s">
        <v>220</v>
      </c>
      <c r="B1305" s="547" t="s">
        <v>2351</v>
      </c>
      <c r="C1305" s="554" t="s">
        <v>2754</v>
      </c>
      <c r="D1305" s="554" t="s">
        <v>2755</v>
      </c>
      <c r="E1305" s="554" t="s">
        <v>545</v>
      </c>
      <c r="F1305" s="573">
        <v>1</v>
      </c>
      <c r="G1305" s="545">
        <v>0</v>
      </c>
      <c r="H1305" s="545">
        <v>0</v>
      </c>
      <c r="I1305" s="554" t="s">
        <v>9218</v>
      </c>
      <c r="J1305" s="554" t="s">
        <v>9219</v>
      </c>
      <c r="K1305" s="554" t="s">
        <v>9219</v>
      </c>
      <c r="L1305" s="537" t="s">
        <v>2354</v>
      </c>
    </row>
    <row r="1306" spans="1:12" x14ac:dyDescent="0.2">
      <c r="A1306" s="547" t="s">
        <v>220</v>
      </c>
      <c r="B1306" s="547" t="s">
        <v>2351</v>
      </c>
      <c r="C1306" s="554" t="s">
        <v>2756</v>
      </c>
      <c r="D1306" s="554" t="s">
        <v>2757</v>
      </c>
      <c r="E1306" s="554" t="s">
        <v>545</v>
      </c>
      <c r="F1306" s="573">
        <v>1</v>
      </c>
      <c r="G1306" s="545">
        <v>0</v>
      </c>
      <c r="H1306" s="545">
        <v>0</v>
      </c>
      <c r="I1306" s="554" t="s">
        <v>9218</v>
      </c>
      <c r="J1306" s="554" t="s">
        <v>9219</v>
      </c>
      <c r="K1306" s="554" t="s">
        <v>9219</v>
      </c>
      <c r="L1306" s="537" t="s">
        <v>2354</v>
      </c>
    </row>
    <row r="1307" spans="1:12" x14ac:dyDescent="0.2">
      <c r="A1307" s="547" t="s">
        <v>220</v>
      </c>
      <c r="B1307" s="547" t="s">
        <v>2351</v>
      </c>
      <c r="C1307" s="554" t="s">
        <v>2758</v>
      </c>
      <c r="D1307" s="554" t="s">
        <v>2759</v>
      </c>
      <c r="E1307" s="554" t="s">
        <v>545</v>
      </c>
      <c r="F1307" s="573">
        <v>2</v>
      </c>
      <c r="G1307" s="545">
        <v>0</v>
      </c>
      <c r="H1307" s="545">
        <v>0</v>
      </c>
      <c r="I1307" s="554" t="s">
        <v>9218</v>
      </c>
      <c r="J1307" s="554" t="s">
        <v>9219</v>
      </c>
      <c r="K1307" s="554" t="s">
        <v>9219</v>
      </c>
      <c r="L1307" s="537" t="s">
        <v>2354</v>
      </c>
    </row>
    <row r="1308" spans="1:12" x14ac:dyDescent="0.2">
      <c r="A1308" s="547" t="s">
        <v>220</v>
      </c>
      <c r="B1308" s="547" t="s">
        <v>2351</v>
      </c>
      <c r="C1308" s="554" t="s">
        <v>2760</v>
      </c>
      <c r="D1308" s="554" t="s">
        <v>2761</v>
      </c>
      <c r="E1308" s="554" t="s">
        <v>545</v>
      </c>
      <c r="F1308" s="573">
        <v>1</v>
      </c>
      <c r="G1308" s="545">
        <v>0</v>
      </c>
      <c r="H1308" s="545">
        <v>0</v>
      </c>
      <c r="I1308" s="554" t="s">
        <v>9218</v>
      </c>
      <c r="J1308" s="554" t="s">
        <v>9219</v>
      </c>
      <c r="K1308" s="554" t="s">
        <v>9219</v>
      </c>
      <c r="L1308" s="537" t="s">
        <v>2354</v>
      </c>
    </row>
    <row r="1309" spans="1:12" x14ac:dyDescent="0.2">
      <c r="A1309" s="547" t="s">
        <v>220</v>
      </c>
      <c r="B1309" s="547" t="s">
        <v>2351</v>
      </c>
      <c r="C1309" s="554" t="s">
        <v>2762</v>
      </c>
      <c r="D1309" s="554" t="s">
        <v>2763</v>
      </c>
      <c r="E1309" s="554" t="s">
        <v>545</v>
      </c>
      <c r="F1309" s="571">
        <v>5</v>
      </c>
      <c r="G1309" s="572">
        <v>11.16</v>
      </c>
      <c r="H1309" s="545">
        <v>55.8</v>
      </c>
      <c r="I1309" s="554" t="s">
        <v>9218</v>
      </c>
      <c r="J1309" s="554" t="s">
        <v>9219</v>
      </c>
      <c r="K1309" s="554" t="s">
        <v>9219</v>
      </c>
      <c r="L1309" s="537" t="s">
        <v>2354</v>
      </c>
    </row>
    <row r="1310" spans="1:12" x14ac:dyDescent="0.2">
      <c r="A1310" s="547" t="s">
        <v>220</v>
      </c>
      <c r="B1310" s="547" t="s">
        <v>2351</v>
      </c>
      <c r="C1310" s="554" t="s">
        <v>2764</v>
      </c>
      <c r="D1310" s="554" t="s">
        <v>2765</v>
      </c>
      <c r="E1310" s="554" t="s">
        <v>545</v>
      </c>
      <c r="F1310" s="573">
        <v>4</v>
      </c>
      <c r="G1310" s="545">
        <v>0</v>
      </c>
      <c r="H1310" s="545">
        <v>0</v>
      </c>
      <c r="I1310" s="554" t="s">
        <v>9218</v>
      </c>
      <c r="J1310" s="554" t="s">
        <v>9219</v>
      </c>
      <c r="K1310" s="554" t="s">
        <v>9219</v>
      </c>
      <c r="L1310" s="537" t="s">
        <v>2354</v>
      </c>
    </row>
    <row r="1311" spans="1:12" x14ac:dyDescent="0.2">
      <c r="A1311" s="547" t="s">
        <v>220</v>
      </c>
      <c r="B1311" s="547" t="s">
        <v>2351</v>
      </c>
      <c r="C1311" s="554" t="s">
        <v>2766</v>
      </c>
      <c r="D1311" s="554" t="s">
        <v>2767</v>
      </c>
      <c r="E1311" s="554" t="s">
        <v>545</v>
      </c>
      <c r="F1311" s="571">
        <v>8</v>
      </c>
      <c r="G1311" s="572">
        <v>14.476000000000001</v>
      </c>
      <c r="H1311" s="545">
        <v>115.80800000000001</v>
      </c>
      <c r="I1311" s="554" t="s">
        <v>9218</v>
      </c>
      <c r="J1311" s="554" t="s">
        <v>9219</v>
      </c>
      <c r="K1311" s="554" t="s">
        <v>9219</v>
      </c>
      <c r="L1311" s="537" t="s">
        <v>2354</v>
      </c>
    </row>
    <row r="1312" spans="1:12" x14ac:dyDescent="0.2">
      <c r="A1312" s="547" t="s">
        <v>220</v>
      </c>
      <c r="B1312" s="547" t="s">
        <v>2351</v>
      </c>
      <c r="C1312" s="554" t="s">
        <v>2768</v>
      </c>
      <c r="D1312" s="554" t="s">
        <v>2769</v>
      </c>
      <c r="E1312" s="554" t="s">
        <v>545</v>
      </c>
      <c r="F1312" s="571">
        <v>2</v>
      </c>
      <c r="G1312" s="572">
        <v>46.54936</v>
      </c>
      <c r="H1312" s="545">
        <v>93.09872</v>
      </c>
      <c r="I1312" s="554" t="s">
        <v>9218</v>
      </c>
      <c r="J1312" s="554" t="s">
        <v>9219</v>
      </c>
      <c r="K1312" s="554" t="s">
        <v>9219</v>
      </c>
      <c r="L1312" s="537" t="s">
        <v>2354</v>
      </c>
    </row>
    <row r="1313" spans="1:12" x14ac:dyDescent="0.2">
      <c r="A1313" s="547" t="s">
        <v>220</v>
      </c>
      <c r="B1313" s="547" t="s">
        <v>2351</v>
      </c>
      <c r="C1313" s="554" t="s">
        <v>2770</v>
      </c>
      <c r="D1313" s="554" t="s">
        <v>2771</v>
      </c>
      <c r="E1313" s="554" t="s">
        <v>545</v>
      </c>
      <c r="F1313" s="571">
        <v>4</v>
      </c>
      <c r="G1313" s="572">
        <v>4.5530999999999997</v>
      </c>
      <c r="H1313" s="545">
        <v>18.212399999999999</v>
      </c>
      <c r="I1313" s="554" t="s">
        <v>9218</v>
      </c>
      <c r="J1313" s="554" t="s">
        <v>9219</v>
      </c>
      <c r="K1313" s="554" t="s">
        <v>9219</v>
      </c>
      <c r="L1313" s="537" t="s">
        <v>2354</v>
      </c>
    </row>
    <row r="1314" spans="1:12" x14ac:dyDescent="0.2">
      <c r="A1314" s="547" t="s">
        <v>220</v>
      </c>
      <c r="B1314" s="547" t="s">
        <v>2351</v>
      </c>
      <c r="C1314" s="554" t="s">
        <v>2772</v>
      </c>
      <c r="D1314" s="554" t="s">
        <v>2773</v>
      </c>
      <c r="E1314" s="554" t="s">
        <v>545</v>
      </c>
      <c r="F1314" s="573">
        <v>2</v>
      </c>
      <c r="G1314" s="545">
        <v>0</v>
      </c>
      <c r="H1314" s="545">
        <v>0</v>
      </c>
      <c r="I1314" s="554" t="s">
        <v>9218</v>
      </c>
      <c r="J1314" s="554" t="s">
        <v>9219</v>
      </c>
      <c r="K1314" s="554" t="s">
        <v>9219</v>
      </c>
      <c r="L1314" s="537" t="s">
        <v>2354</v>
      </c>
    </row>
    <row r="1315" spans="1:12" x14ac:dyDescent="0.2">
      <c r="A1315" s="547" t="s">
        <v>220</v>
      </c>
      <c r="B1315" s="547" t="s">
        <v>2351</v>
      </c>
      <c r="C1315" s="554" t="s">
        <v>2774</v>
      </c>
      <c r="D1315" s="554" t="s">
        <v>2775</v>
      </c>
      <c r="E1315" s="554" t="s">
        <v>545</v>
      </c>
      <c r="F1315" s="571">
        <v>2</v>
      </c>
      <c r="G1315" s="572">
        <v>13.4361</v>
      </c>
      <c r="H1315" s="545">
        <v>26.872199999999999</v>
      </c>
      <c r="I1315" s="554" t="s">
        <v>9218</v>
      </c>
      <c r="J1315" s="554" t="s">
        <v>9219</v>
      </c>
      <c r="K1315" s="554" t="s">
        <v>9219</v>
      </c>
      <c r="L1315" s="537" t="s">
        <v>2354</v>
      </c>
    </row>
    <row r="1316" spans="1:12" x14ac:dyDescent="0.2">
      <c r="A1316" s="547" t="s">
        <v>220</v>
      </c>
      <c r="B1316" s="547" t="s">
        <v>2351</v>
      </c>
      <c r="C1316" s="554" t="s">
        <v>2776</v>
      </c>
      <c r="D1316" s="554" t="s">
        <v>2777</v>
      </c>
      <c r="E1316" s="554" t="s">
        <v>545</v>
      </c>
      <c r="F1316" s="571">
        <v>16</v>
      </c>
      <c r="G1316" s="572">
        <v>8.5500000000000007</v>
      </c>
      <c r="H1316" s="545">
        <v>136.80000000000001</v>
      </c>
      <c r="I1316" s="554" t="s">
        <v>9218</v>
      </c>
      <c r="J1316" s="554" t="s">
        <v>9219</v>
      </c>
      <c r="K1316" s="554" t="s">
        <v>9219</v>
      </c>
      <c r="L1316" s="537" t="s">
        <v>2354</v>
      </c>
    </row>
    <row r="1317" spans="1:12" x14ac:dyDescent="0.2">
      <c r="A1317" s="547" t="s">
        <v>220</v>
      </c>
      <c r="B1317" s="547" t="s">
        <v>2351</v>
      </c>
      <c r="C1317" s="554" t="s">
        <v>2778</v>
      </c>
      <c r="D1317" s="554" t="s">
        <v>2779</v>
      </c>
      <c r="E1317" s="554" t="s">
        <v>545</v>
      </c>
      <c r="F1317" s="571">
        <v>5</v>
      </c>
      <c r="G1317" s="572">
        <v>10.35</v>
      </c>
      <c r="H1317" s="545">
        <v>51.75</v>
      </c>
      <c r="I1317" s="554" t="s">
        <v>9218</v>
      </c>
      <c r="J1317" s="554" t="s">
        <v>9219</v>
      </c>
      <c r="K1317" s="554" t="s">
        <v>9219</v>
      </c>
      <c r="L1317" s="537" t="s">
        <v>2354</v>
      </c>
    </row>
    <row r="1318" spans="1:12" x14ac:dyDescent="0.2">
      <c r="A1318" s="547" t="s">
        <v>220</v>
      </c>
      <c r="B1318" s="547" t="s">
        <v>2351</v>
      </c>
      <c r="C1318" s="554" t="s">
        <v>2780</v>
      </c>
      <c r="D1318" s="554" t="s">
        <v>2781</v>
      </c>
      <c r="E1318" s="554" t="s">
        <v>545</v>
      </c>
      <c r="F1318" s="571">
        <v>1</v>
      </c>
      <c r="G1318" s="572">
        <v>31.95</v>
      </c>
      <c r="H1318" s="545">
        <v>31.95</v>
      </c>
      <c r="I1318" s="554" t="s">
        <v>9218</v>
      </c>
      <c r="J1318" s="554" t="s">
        <v>9219</v>
      </c>
      <c r="K1318" s="554" t="s">
        <v>9219</v>
      </c>
      <c r="L1318" s="537" t="s">
        <v>2354</v>
      </c>
    </row>
    <row r="1319" spans="1:12" x14ac:dyDescent="0.2">
      <c r="A1319" s="547" t="s">
        <v>220</v>
      </c>
      <c r="B1319" s="547" t="s">
        <v>2351</v>
      </c>
      <c r="C1319" s="554" t="s">
        <v>2782</v>
      </c>
      <c r="D1319" s="554" t="s">
        <v>2783</v>
      </c>
      <c r="E1319" s="554" t="s">
        <v>545</v>
      </c>
      <c r="F1319" s="571">
        <v>8</v>
      </c>
      <c r="G1319" s="572">
        <v>9.9930000000000003</v>
      </c>
      <c r="H1319" s="545">
        <v>79.944000000000003</v>
      </c>
      <c r="I1319" s="554" t="s">
        <v>9218</v>
      </c>
      <c r="J1319" s="554" t="s">
        <v>9219</v>
      </c>
      <c r="K1319" s="554" t="s">
        <v>9219</v>
      </c>
      <c r="L1319" s="537" t="s">
        <v>2354</v>
      </c>
    </row>
    <row r="1320" spans="1:12" x14ac:dyDescent="0.2">
      <c r="A1320" s="547" t="s">
        <v>220</v>
      </c>
      <c r="B1320" s="547" t="s">
        <v>2351</v>
      </c>
      <c r="C1320" s="554" t="s">
        <v>2784</v>
      </c>
      <c r="D1320" s="554" t="s">
        <v>2785</v>
      </c>
      <c r="E1320" s="554" t="s">
        <v>545</v>
      </c>
      <c r="F1320" s="571">
        <v>2</v>
      </c>
      <c r="G1320" s="572">
        <v>36.359099999999998</v>
      </c>
      <c r="H1320" s="545">
        <v>72.718199999999996</v>
      </c>
      <c r="I1320" s="554" t="s">
        <v>9218</v>
      </c>
      <c r="J1320" s="554" t="s">
        <v>9219</v>
      </c>
      <c r="K1320" s="554" t="s">
        <v>9219</v>
      </c>
      <c r="L1320" s="537" t="s">
        <v>2354</v>
      </c>
    </row>
    <row r="1321" spans="1:12" x14ac:dyDescent="0.2">
      <c r="A1321" s="547" t="s">
        <v>220</v>
      </c>
      <c r="B1321" s="547" t="s">
        <v>2351</v>
      </c>
      <c r="C1321" s="554" t="s">
        <v>2786</v>
      </c>
      <c r="D1321" s="554" t="s">
        <v>2787</v>
      </c>
      <c r="E1321" s="554" t="s">
        <v>545</v>
      </c>
      <c r="F1321" s="571">
        <v>2</v>
      </c>
      <c r="G1321" s="572">
        <v>19.299600000000002</v>
      </c>
      <c r="H1321" s="545">
        <v>38.599200000000003</v>
      </c>
      <c r="I1321" s="554" t="s">
        <v>9218</v>
      </c>
      <c r="J1321" s="554" t="s">
        <v>9219</v>
      </c>
      <c r="K1321" s="554" t="s">
        <v>9219</v>
      </c>
      <c r="L1321" s="537" t="s">
        <v>2354</v>
      </c>
    </row>
    <row r="1322" spans="1:12" x14ac:dyDescent="0.2">
      <c r="A1322" s="547" t="s">
        <v>220</v>
      </c>
      <c r="B1322" s="547" t="s">
        <v>2351</v>
      </c>
      <c r="C1322" s="554" t="s">
        <v>2788</v>
      </c>
      <c r="D1322" s="554" t="s">
        <v>2789</v>
      </c>
      <c r="E1322" s="554" t="s">
        <v>545</v>
      </c>
      <c r="F1322" s="571">
        <v>4</v>
      </c>
      <c r="G1322" s="572">
        <v>49.68</v>
      </c>
      <c r="H1322" s="545">
        <v>198.72</v>
      </c>
      <c r="I1322" s="554" t="s">
        <v>9218</v>
      </c>
      <c r="J1322" s="554" t="s">
        <v>9219</v>
      </c>
      <c r="K1322" s="554" t="s">
        <v>9219</v>
      </c>
      <c r="L1322" s="537" t="s">
        <v>2354</v>
      </c>
    </row>
    <row r="1323" spans="1:12" x14ac:dyDescent="0.2">
      <c r="A1323" s="547" t="s">
        <v>220</v>
      </c>
      <c r="B1323" s="547" t="s">
        <v>2351</v>
      </c>
      <c r="C1323" s="554" t="s">
        <v>2790</v>
      </c>
      <c r="D1323" s="554" t="s">
        <v>2791</v>
      </c>
      <c r="E1323" s="554" t="s">
        <v>545</v>
      </c>
      <c r="F1323" s="571">
        <v>4</v>
      </c>
      <c r="G1323" s="572">
        <v>16.878</v>
      </c>
      <c r="H1323" s="545">
        <v>67.512</v>
      </c>
      <c r="I1323" s="554" t="s">
        <v>9218</v>
      </c>
      <c r="J1323" s="554" t="s">
        <v>9219</v>
      </c>
      <c r="K1323" s="554" t="s">
        <v>9219</v>
      </c>
      <c r="L1323" s="537" t="s">
        <v>2354</v>
      </c>
    </row>
    <row r="1324" spans="1:12" x14ac:dyDescent="0.2">
      <c r="A1324" s="547" t="s">
        <v>220</v>
      </c>
      <c r="B1324" s="547" t="s">
        <v>2351</v>
      </c>
      <c r="C1324" s="554" t="s">
        <v>2794</v>
      </c>
      <c r="D1324" s="554" t="s">
        <v>2795</v>
      </c>
      <c r="E1324" s="554" t="s">
        <v>545</v>
      </c>
      <c r="F1324" s="571">
        <v>1</v>
      </c>
      <c r="G1324" s="572">
        <v>10.35</v>
      </c>
      <c r="H1324" s="545">
        <v>10.35</v>
      </c>
      <c r="I1324" s="554" t="s">
        <v>9218</v>
      </c>
      <c r="J1324" s="554" t="s">
        <v>9219</v>
      </c>
      <c r="K1324" s="554" t="s">
        <v>9219</v>
      </c>
      <c r="L1324" s="537" t="s">
        <v>2354</v>
      </c>
    </row>
    <row r="1325" spans="1:12" x14ac:dyDescent="0.2">
      <c r="A1325" s="547" t="s">
        <v>220</v>
      </c>
      <c r="B1325" s="547" t="s">
        <v>2351</v>
      </c>
      <c r="C1325" s="554" t="s">
        <v>2796</v>
      </c>
      <c r="D1325" s="554" t="s">
        <v>2797</v>
      </c>
      <c r="E1325" s="554" t="s">
        <v>545</v>
      </c>
      <c r="F1325" s="571">
        <v>1</v>
      </c>
      <c r="G1325" s="572">
        <v>10.35</v>
      </c>
      <c r="H1325" s="545">
        <v>10.35</v>
      </c>
      <c r="I1325" s="554" t="s">
        <v>9218</v>
      </c>
      <c r="J1325" s="554" t="s">
        <v>9219</v>
      </c>
      <c r="K1325" s="554" t="s">
        <v>9219</v>
      </c>
      <c r="L1325" s="537" t="s">
        <v>2354</v>
      </c>
    </row>
    <row r="1326" spans="1:12" x14ac:dyDescent="0.2">
      <c r="A1326" s="547" t="s">
        <v>220</v>
      </c>
      <c r="B1326" s="547" t="s">
        <v>2351</v>
      </c>
      <c r="C1326" s="554" t="s">
        <v>2798</v>
      </c>
      <c r="D1326" s="554" t="s">
        <v>2799</v>
      </c>
      <c r="E1326" s="554" t="s">
        <v>545</v>
      </c>
      <c r="F1326" s="571">
        <v>9</v>
      </c>
      <c r="G1326" s="572">
        <v>10.35</v>
      </c>
      <c r="H1326" s="545">
        <v>93.149999999999991</v>
      </c>
      <c r="I1326" s="554" t="s">
        <v>9218</v>
      </c>
      <c r="J1326" s="554" t="s">
        <v>9219</v>
      </c>
      <c r="K1326" s="554" t="s">
        <v>9219</v>
      </c>
      <c r="L1326" s="537" t="s">
        <v>2354</v>
      </c>
    </row>
    <row r="1327" spans="1:12" x14ac:dyDescent="0.2">
      <c r="A1327" s="547" t="s">
        <v>220</v>
      </c>
      <c r="B1327" s="547" t="s">
        <v>2351</v>
      </c>
      <c r="C1327" s="554" t="s">
        <v>2800</v>
      </c>
      <c r="D1327" s="554" t="s">
        <v>2801</v>
      </c>
      <c r="E1327" s="554" t="s">
        <v>545</v>
      </c>
      <c r="F1327" s="571">
        <v>1</v>
      </c>
      <c r="G1327" s="572">
        <v>10.35</v>
      </c>
      <c r="H1327" s="545">
        <v>10.35</v>
      </c>
      <c r="I1327" s="554" t="s">
        <v>9218</v>
      </c>
      <c r="J1327" s="554" t="s">
        <v>9219</v>
      </c>
      <c r="K1327" s="554" t="s">
        <v>9219</v>
      </c>
      <c r="L1327" s="537" t="s">
        <v>2354</v>
      </c>
    </row>
    <row r="1328" spans="1:12" x14ac:dyDescent="0.2">
      <c r="A1328" s="547" t="s">
        <v>220</v>
      </c>
      <c r="B1328" s="547" t="s">
        <v>2351</v>
      </c>
      <c r="C1328" s="554" t="s">
        <v>2802</v>
      </c>
      <c r="D1328" s="554" t="s">
        <v>2803</v>
      </c>
      <c r="E1328" s="554" t="s">
        <v>545</v>
      </c>
      <c r="F1328" s="571">
        <v>9</v>
      </c>
      <c r="G1328" s="572">
        <v>22.5</v>
      </c>
      <c r="H1328" s="545">
        <v>202.5</v>
      </c>
      <c r="I1328" s="554" t="s">
        <v>9218</v>
      </c>
      <c r="J1328" s="554" t="s">
        <v>9219</v>
      </c>
      <c r="K1328" s="554" t="s">
        <v>9219</v>
      </c>
      <c r="L1328" s="537" t="s">
        <v>2354</v>
      </c>
    </row>
    <row r="1329" spans="1:12" x14ac:dyDescent="0.2">
      <c r="A1329" s="547" t="s">
        <v>220</v>
      </c>
      <c r="B1329" s="547" t="s">
        <v>2351</v>
      </c>
      <c r="C1329" s="554" t="s">
        <v>2804</v>
      </c>
      <c r="D1329" s="554" t="s">
        <v>2805</v>
      </c>
      <c r="E1329" s="554" t="s">
        <v>545</v>
      </c>
      <c r="F1329" s="571">
        <v>2</v>
      </c>
      <c r="G1329" s="572">
        <v>29.7</v>
      </c>
      <c r="H1329" s="545">
        <v>59.4</v>
      </c>
      <c r="I1329" s="554" t="s">
        <v>9218</v>
      </c>
      <c r="J1329" s="554" t="s">
        <v>9219</v>
      </c>
      <c r="K1329" s="554" t="s">
        <v>9219</v>
      </c>
      <c r="L1329" s="537" t="s">
        <v>2354</v>
      </c>
    </row>
    <row r="1330" spans="1:12" x14ac:dyDescent="0.2">
      <c r="A1330" s="547" t="s">
        <v>220</v>
      </c>
      <c r="B1330" s="547" t="s">
        <v>2351</v>
      </c>
      <c r="C1330" s="554" t="s">
        <v>2806</v>
      </c>
      <c r="D1330" s="554" t="s">
        <v>2807</v>
      </c>
      <c r="E1330" s="554" t="s">
        <v>545</v>
      </c>
      <c r="F1330" s="571">
        <v>6</v>
      </c>
      <c r="G1330" s="572">
        <v>10.35</v>
      </c>
      <c r="H1330" s="545">
        <v>62.099999999999994</v>
      </c>
      <c r="I1330" s="554" t="s">
        <v>9218</v>
      </c>
      <c r="J1330" s="554" t="s">
        <v>9219</v>
      </c>
      <c r="K1330" s="554" t="s">
        <v>9219</v>
      </c>
      <c r="L1330" s="537" t="s">
        <v>2354</v>
      </c>
    </row>
    <row r="1331" spans="1:12" x14ac:dyDescent="0.2">
      <c r="A1331" s="547" t="s">
        <v>220</v>
      </c>
      <c r="B1331" s="547" t="s">
        <v>2351</v>
      </c>
      <c r="C1331" s="554" t="s">
        <v>2808</v>
      </c>
      <c r="D1331" s="554" t="s">
        <v>2809</v>
      </c>
      <c r="E1331" s="554" t="s">
        <v>545</v>
      </c>
      <c r="F1331" s="571">
        <v>3</v>
      </c>
      <c r="G1331" s="572">
        <v>10.35</v>
      </c>
      <c r="H1331" s="545">
        <v>31.049999999999997</v>
      </c>
      <c r="I1331" s="554" t="s">
        <v>9218</v>
      </c>
      <c r="J1331" s="554" t="s">
        <v>9219</v>
      </c>
      <c r="K1331" s="554" t="s">
        <v>9219</v>
      </c>
      <c r="L1331" s="537" t="s">
        <v>2354</v>
      </c>
    </row>
    <row r="1332" spans="1:12" x14ac:dyDescent="0.2">
      <c r="A1332" s="547" t="s">
        <v>220</v>
      </c>
      <c r="B1332" s="547" t="s">
        <v>2351</v>
      </c>
      <c r="C1332" s="554" t="s">
        <v>2810</v>
      </c>
      <c r="D1332" s="554" t="s">
        <v>2811</v>
      </c>
      <c r="E1332" s="554" t="s">
        <v>545</v>
      </c>
      <c r="F1332" s="571">
        <v>10</v>
      </c>
      <c r="G1332" s="572">
        <v>25.238</v>
      </c>
      <c r="H1332" s="545">
        <v>252.38</v>
      </c>
      <c r="I1332" s="554" t="s">
        <v>9218</v>
      </c>
      <c r="J1332" s="554" t="s">
        <v>9219</v>
      </c>
      <c r="K1332" s="554" t="s">
        <v>9219</v>
      </c>
      <c r="L1332" s="537" t="s">
        <v>2354</v>
      </c>
    </row>
    <row r="1333" spans="1:12" x14ac:dyDescent="0.2">
      <c r="A1333" s="547" t="s">
        <v>220</v>
      </c>
      <c r="B1333" s="547" t="s">
        <v>2351</v>
      </c>
      <c r="C1333" s="554" t="s">
        <v>2814</v>
      </c>
      <c r="D1333" s="554" t="s">
        <v>2815</v>
      </c>
      <c r="E1333" s="554" t="s">
        <v>545</v>
      </c>
      <c r="F1333" s="571">
        <v>4</v>
      </c>
      <c r="G1333" s="572">
        <v>144.81</v>
      </c>
      <c r="H1333" s="545">
        <v>579.24</v>
      </c>
      <c r="I1333" s="554" t="s">
        <v>9218</v>
      </c>
      <c r="J1333" s="554" t="s">
        <v>9219</v>
      </c>
      <c r="K1333" s="554" t="s">
        <v>9219</v>
      </c>
      <c r="L1333" s="537" t="s">
        <v>2354</v>
      </c>
    </row>
    <row r="1334" spans="1:12" x14ac:dyDescent="0.2">
      <c r="A1334" s="547" t="s">
        <v>220</v>
      </c>
      <c r="B1334" s="547" t="s">
        <v>2351</v>
      </c>
      <c r="C1334" s="554" t="s">
        <v>2820</v>
      </c>
      <c r="D1334" s="554" t="s">
        <v>2821</v>
      </c>
      <c r="E1334" s="554" t="s">
        <v>545</v>
      </c>
      <c r="F1334" s="571">
        <v>2</v>
      </c>
      <c r="G1334" s="572">
        <v>21.08</v>
      </c>
      <c r="H1334" s="545">
        <v>42.16</v>
      </c>
      <c r="I1334" s="554" t="s">
        <v>9218</v>
      </c>
      <c r="J1334" s="554" t="s">
        <v>9219</v>
      </c>
      <c r="K1334" s="554" t="s">
        <v>9219</v>
      </c>
      <c r="L1334" s="537" t="s">
        <v>2354</v>
      </c>
    </row>
    <row r="1335" spans="1:12" x14ac:dyDescent="0.2">
      <c r="A1335" s="547" t="s">
        <v>220</v>
      </c>
      <c r="B1335" s="547" t="s">
        <v>2351</v>
      </c>
      <c r="C1335" s="554" t="s">
        <v>2822</v>
      </c>
      <c r="D1335" s="554" t="s">
        <v>2823</v>
      </c>
      <c r="E1335" s="554" t="s">
        <v>545</v>
      </c>
      <c r="F1335" s="571">
        <v>2</v>
      </c>
      <c r="G1335" s="572">
        <v>21.08</v>
      </c>
      <c r="H1335" s="545">
        <v>42.16</v>
      </c>
      <c r="I1335" s="554" t="s">
        <v>9218</v>
      </c>
      <c r="J1335" s="554" t="s">
        <v>9219</v>
      </c>
      <c r="K1335" s="554" t="s">
        <v>9219</v>
      </c>
      <c r="L1335" s="537" t="s">
        <v>2354</v>
      </c>
    </row>
    <row r="1336" spans="1:12" x14ac:dyDescent="0.2">
      <c r="A1336" s="547" t="s">
        <v>220</v>
      </c>
      <c r="B1336" s="547" t="s">
        <v>2351</v>
      </c>
      <c r="C1336" s="554" t="s">
        <v>2826</v>
      </c>
      <c r="D1336" s="554" t="s">
        <v>2827</v>
      </c>
      <c r="E1336" s="554" t="s">
        <v>545</v>
      </c>
      <c r="F1336" s="571">
        <v>1</v>
      </c>
      <c r="G1336" s="572">
        <v>153.595</v>
      </c>
      <c r="H1336" s="545">
        <v>153.595</v>
      </c>
      <c r="I1336" s="554" t="s">
        <v>9218</v>
      </c>
      <c r="J1336" s="554" t="s">
        <v>9219</v>
      </c>
      <c r="K1336" s="554" t="s">
        <v>9219</v>
      </c>
      <c r="L1336" s="537" t="s">
        <v>2354</v>
      </c>
    </row>
    <row r="1337" spans="1:12" x14ac:dyDescent="0.2">
      <c r="A1337" s="547" t="s">
        <v>220</v>
      </c>
      <c r="B1337" s="547" t="s">
        <v>2351</v>
      </c>
      <c r="C1337" s="554" t="s">
        <v>2834</v>
      </c>
      <c r="D1337" s="554" t="s">
        <v>2835</v>
      </c>
      <c r="E1337" s="554" t="s">
        <v>9585</v>
      </c>
      <c r="F1337" s="571">
        <v>4</v>
      </c>
      <c r="G1337" s="572">
        <v>16.881</v>
      </c>
      <c r="H1337" s="545">
        <v>67.524000000000001</v>
      </c>
      <c r="I1337" s="554" t="s">
        <v>9218</v>
      </c>
      <c r="J1337" s="554" t="s">
        <v>9219</v>
      </c>
      <c r="K1337" s="554" t="s">
        <v>9219</v>
      </c>
      <c r="L1337" s="537" t="s">
        <v>2354</v>
      </c>
    </row>
    <row r="1338" spans="1:12" x14ac:dyDescent="0.2">
      <c r="A1338" s="547" t="s">
        <v>220</v>
      </c>
      <c r="B1338" s="547" t="s">
        <v>2351</v>
      </c>
      <c r="C1338" s="554" t="s">
        <v>2836</v>
      </c>
      <c r="D1338" s="554" t="s">
        <v>2837</v>
      </c>
      <c r="E1338" s="554" t="s">
        <v>9585</v>
      </c>
      <c r="F1338" s="571">
        <v>1</v>
      </c>
      <c r="G1338" s="572">
        <v>19.5</v>
      </c>
      <c r="H1338" s="545">
        <v>19.5</v>
      </c>
      <c r="I1338" s="554" t="s">
        <v>9218</v>
      </c>
      <c r="J1338" s="554" t="s">
        <v>9219</v>
      </c>
      <c r="K1338" s="554" t="s">
        <v>9219</v>
      </c>
      <c r="L1338" s="537" t="s">
        <v>2354</v>
      </c>
    </row>
    <row r="1339" spans="1:12" x14ac:dyDescent="0.2">
      <c r="A1339" s="547" t="s">
        <v>220</v>
      </c>
      <c r="B1339" s="547" t="s">
        <v>2351</v>
      </c>
      <c r="C1339" s="554" t="s">
        <v>2842</v>
      </c>
      <c r="D1339" s="554" t="s">
        <v>2843</v>
      </c>
      <c r="E1339" s="554" t="s">
        <v>9585</v>
      </c>
      <c r="F1339" s="571">
        <v>3</v>
      </c>
      <c r="G1339" s="572">
        <v>21.59</v>
      </c>
      <c r="H1339" s="545">
        <v>64.77</v>
      </c>
      <c r="I1339" s="554" t="s">
        <v>9218</v>
      </c>
      <c r="J1339" s="554" t="s">
        <v>9219</v>
      </c>
      <c r="K1339" s="554" t="s">
        <v>9219</v>
      </c>
      <c r="L1339" s="537" t="s">
        <v>2354</v>
      </c>
    </row>
    <row r="1340" spans="1:12" x14ac:dyDescent="0.2">
      <c r="A1340" s="547" t="s">
        <v>220</v>
      </c>
      <c r="B1340" s="547" t="s">
        <v>2351</v>
      </c>
      <c r="C1340" s="554" t="s">
        <v>2846</v>
      </c>
      <c r="D1340" s="554" t="s">
        <v>2847</v>
      </c>
      <c r="E1340" s="554" t="s">
        <v>9585</v>
      </c>
      <c r="F1340" s="571">
        <v>2</v>
      </c>
      <c r="G1340" s="572">
        <v>42.953400000000002</v>
      </c>
      <c r="H1340" s="545">
        <v>85.906800000000004</v>
      </c>
      <c r="I1340" s="554" t="s">
        <v>9218</v>
      </c>
      <c r="J1340" s="554" t="s">
        <v>9219</v>
      </c>
      <c r="K1340" s="554" t="s">
        <v>9219</v>
      </c>
      <c r="L1340" s="537" t="s">
        <v>2354</v>
      </c>
    </row>
    <row r="1341" spans="1:12" x14ac:dyDescent="0.2">
      <c r="A1341" s="547" t="s">
        <v>220</v>
      </c>
      <c r="B1341" s="547" t="s">
        <v>2351</v>
      </c>
      <c r="C1341" s="554" t="s">
        <v>2848</v>
      </c>
      <c r="D1341" s="554" t="s">
        <v>2849</v>
      </c>
      <c r="E1341" s="554" t="s">
        <v>9585</v>
      </c>
      <c r="F1341" s="571">
        <v>6</v>
      </c>
      <c r="G1341" s="572">
        <v>49.3596</v>
      </c>
      <c r="H1341" s="545">
        <v>296.1576</v>
      </c>
      <c r="I1341" s="554" t="s">
        <v>9218</v>
      </c>
      <c r="J1341" s="554" t="s">
        <v>9219</v>
      </c>
      <c r="K1341" s="554" t="s">
        <v>9219</v>
      </c>
      <c r="L1341" s="537" t="s">
        <v>2354</v>
      </c>
    </row>
    <row r="1342" spans="1:12" x14ac:dyDescent="0.2">
      <c r="A1342" s="547" t="s">
        <v>220</v>
      </c>
      <c r="B1342" s="547" t="s">
        <v>2351</v>
      </c>
      <c r="C1342" s="554" t="s">
        <v>2850</v>
      </c>
      <c r="D1342" s="554" t="s">
        <v>2851</v>
      </c>
      <c r="E1342" s="554" t="s">
        <v>9585</v>
      </c>
      <c r="F1342" s="571">
        <v>2</v>
      </c>
      <c r="G1342" s="572">
        <v>92.7</v>
      </c>
      <c r="H1342" s="545">
        <v>185.4</v>
      </c>
      <c r="I1342" s="554" t="s">
        <v>9218</v>
      </c>
      <c r="J1342" s="554" t="s">
        <v>9219</v>
      </c>
      <c r="K1342" s="554" t="s">
        <v>9219</v>
      </c>
      <c r="L1342" s="537" t="s">
        <v>2354</v>
      </c>
    </row>
    <row r="1343" spans="1:12" x14ac:dyDescent="0.2">
      <c r="A1343" s="547" t="s">
        <v>220</v>
      </c>
      <c r="B1343" s="547" t="s">
        <v>2351</v>
      </c>
      <c r="C1343" s="554" t="s">
        <v>2852</v>
      </c>
      <c r="D1343" s="554" t="s">
        <v>2853</v>
      </c>
      <c r="E1343" s="554" t="s">
        <v>9585</v>
      </c>
      <c r="F1343" s="571">
        <v>3</v>
      </c>
      <c r="G1343" s="572">
        <v>55.125</v>
      </c>
      <c r="H1343" s="545">
        <v>165.375</v>
      </c>
      <c r="I1343" s="554" t="s">
        <v>9218</v>
      </c>
      <c r="J1343" s="554" t="s">
        <v>9219</v>
      </c>
      <c r="K1343" s="554" t="s">
        <v>9219</v>
      </c>
      <c r="L1343" s="537" t="s">
        <v>2354</v>
      </c>
    </row>
    <row r="1344" spans="1:12" x14ac:dyDescent="0.2">
      <c r="A1344" s="547" t="s">
        <v>220</v>
      </c>
      <c r="B1344" s="547" t="s">
        <v>2351</v>
      </c>
      <c r="C1344" s="554" t="s">
        <v>2854</v>
      </c>
      <c r="D1344" s="554" t="s">
        <v>2855</v>
      </c>
      <c r="E1344" s="554" t="s">
        <v>9585</v>
      </c>
      <c r="F1344" s="571">
        <v>1</v>
      </c>
      <c r="G1344" s="572">
        <v>34.961849999999998</v>
      </c>
      <c r="H1344" s="545">
        <v>34.961849999999998</v>
      </c>
      <c r="I1344" s="554" t="s">
        <v>9218</v>
      </c>
      <c r="J1344" s="554" t="s">
        <v>9219</v>
      </c>
      <c r="K1344" s="554" t="s">
        <v>9219</v>
      </c>
      <c r="L1344" s="537" t="s">
        <v>2354</v>
      </c>
    </row>
    <row r="1345" spans="1:12" x14ac:dyDescent="0.2">
      <c r="A1345" s="547" t="s">
        <v>220</v>
      </c>
      <c r="B1345" s="547" t="s">
        <v>2351</v>
      </c>
      <c r="C1345" s="554" t="s">
        <v>2856</v>
      </c>
      <c r="D1345" s="554" t="s">
        <v>2857</v>
      </c>
      <c r="E1345" s="554" t="s">
        <v>9585</v>
      </c>
      <c r="F1345" s="571">
        <v>3</v>
      </c>
      <c r="G1345" s="572">
        <v>33.125</v>
      </c>
      <c r="H1345" s="545">
        <v>99.375</v>
      </c>
      <c r="I1345" s="554" t="s">
        <v>9218</v>
      </c>
      <c r="J1345" s="554" t="s">
        <v>9219</v>
      </c>
      <c r="K1345" s="554" t="s">
        <v>9219</v>
      </c>
      <c r="L1345" s="537" t="s">
        <v>2354</v>
      </c>
    </row>
    <row r="1346" spans="1:12" x14ac:dyDescent="0.2">
      <c r="A1346" s="547" t="s">
        <v>220</v>
      </c>
      <c r="B1346" s="547" t="s">
        <v>2351</v>
      </c>
      <c r="C1346" s="554" t="s">
        <v>2858</v>
      </c>
      <c r="D1346" s="554" t="s">
        <v>2859</v>
      </c>
      <c r="E1346" s="554" t="s">
        <v>9585</v>
      </c>
      <c r="F1346" s="571">
        <v>1</v>
      </c>
      <c r="G1346" s="572">
        <v>18.982800000000001</v>
      </c>
      <c r="H1346" s="545">
        <v>18.982800000000001</v>
      </c>
      <c r="I1346" s="554" t="s">
        <v>9218</v>
      </c>
      <c r="J1346" s="554" t="s">
        <v>9219</v>
      </c>
      <c r="K1346" s="554" t="s">
        <v>9219</v>
      </c>
      <c r="L1346" s="537" t="s">
        <v>2354</v>
      </c>
    </row>
    <row r="1347" spans="1:12" x14ac:dyDescent="0.2">
      <c r="A1347" s="547" t="s">
        <v>220</v>
      </c>
      <c r="B1347" s="547" t="s">
        <v>2351</v>
      </c>
      <c r="C1347" s="554" t="s">
        <v>2860</v>
      </c>
      <c r="D1347" s="554" t="s">
        <v>2861</v>
      </c>
      <c r="E1347" s="554" t="s">
        <v>9585</v>
      </c>
      <c r="F1347" s="571">
        <v>5</v>
      </c>
      <c r="G1347" s="572">
        <v>39.761099999999999</v>
      </c>
      <c r="H1347" s="545">
        <v>198.80549999999999</v>
      </c>
      <c r="I1347" s="554" t="s">
        <v>9218</v>
      </c>
      <c r="J1347" s="554" t="s">
        <v>9219</v>
      </c>
      <c r="K1347" s="554" t="s">
        <v>9219</v>
      </c>
      <c r="L1347" s="537" t="s">
        <v>2354</v>
      </c>
    </row>
    <row r="1348" spans="1:12" x14ac:dyDescent="0.2">
      <c r="A1348" s="547" t="s">
        <v>220</v>
      </c>
      <c r="B1348" s="547" t="s">
        <v>2351</v>
      </c>
      <c r="C1348" s="554" t="s">
        <v>2862</v>
      </c>
      <c r="D1348" s="554" t="s">
        <v>2863</v>
      </c>
      <c r="E1348" s="554" t="s">
        <v>9585</v>
      </c>
      <c r="F1348" s="571">
        <v>5</v>
      </c>
      <c r="G1348" s="572">
        <v>38.228760000000001</v>
      </c>
      <c r="H1348" s="545">
        <v>191.1438</v>
      </c>
      <c r="I1348" s="554" t="s">
        <v>9218</v>
      </c>
      <c r="J1348" s="554" t="s">
        <v>9219</v>
      </c>
      <c r="K1348" s="554" t="s">
        <v>9219</v>
      </c>
      <c r="L1348" s="537" t="s">
        <v>2354</v>
      </c>
    </row>
    <row r="1349" spans="1:12" x14ac:dyDescent="0.2">
      <c r="A1349" s="547" t="s">
        <v>220</v>
      </c>
      <c r="B1349" s="547" t="s">
        <v>2351</v>
      </c>
      <c r="C1349" s="554" t="s">
        <v>2864</v>
      </c>
      <c r="D1349" s="554" t="s">
        <v>2865</v>
      </c>
      <c r="E1349" s="554" t="s">
        <v>9585</v>
      </c>
      <c r="F1349" s="571">
        <v>2</v>
      </c>
      <c r="G1349" s="572">
        <v>22.929201680672268</v>
      </c>
      <c r="H1349" s="545">
        <v>45.858403361344536</v>
      </c>
      <c r="I1349" s="554" t="s">
        <v>9218</v>
      </c>
      <c r="J1349" s="554" t="s">
        <v>9219</v>
      </c>
      <c r="K1349" s="554" t="s">
        <v>9219</v>
      </c>
      <c r="L1349" s="537" t="s">
        <v>2354</v>
      </c>
    </row>
    <row r="1350" spans="1:12" x14ac:dyDescent="0.2">
      <c r="A1350" s="547" t="s">
        <v>220</v>
      </c>
      <c r="B1350" s="547" t="s">
        <v>2351</v>
      </c>
      <c r="C1350" s="554" t="s">
        <v>2866</v>
      </c>
      <c r="D1350" s="554" t="s">
        <v>2867</v>
      </c>
      <c r="E1350" s="554" t="s">
        <v>9585</v>
      </c>
      <c r="F1350" s="571">
        <v>2</v>
      </c>
      <c r="G1350" s="572">
        <v>56.713500000000003</v>
      </c>
      <c r="H1350" s="545">
        <v>113.42700000000001</v>
      </c>
      <c r="I1350" s="554" t="s">
        <v>9218</v>
      </c>
      <c r="J1350" s="554" t="s">
        <v>9219</v>
      </c>
      <c r="K1350" s="554" t="s">
        <v>9219</v>
      </c>
      <c r="L1350" s="537" t="s">
        <v>2354</v>
      </c>
    </row>
    <row r="1351" spans="1:12" x14ac:dyDescent="0.2">
      <c r="A1351" s="547" t="s">
        <v>220</v>
      </c>
      <c r="B1351" s="547" t="s">
        <v>2351</v>
      </c>
      <c r="C1351" s="554" t="s">
        <v>2379</v>
      </c>
      <c r="D1351" s="554" t="s">
        <v>2380</v>
      </c>
      <c r="E1351" s="554" t="s">
        <v>9585</v>
      </c>
      <c r="F1351" s="571">
        <v>5</v>
      </c>
      <c r="G1351" s="572">
        <v>10.143000000000001</v>
      </c>
      <c r="H1351" s="545">
        <v>50.715000000000003</v>
      </c>
      <c r="I1351" s="554" t="s">
        <v>9218</v>
      </c>
      <c r="J1351" s="554" t="s">
        <v>9219</v>
      </c>
      <c r="K1351" s="554" t="s">
        <v>9219</v>
      </c>
      <c r="L1351" s="537" t="s">
        <v>2354</v>
      </c>
    </row>
    <row r="1352" spans="1:12" x14ac:dyDescent="0.2">
      <c r="A1352" s="547" t="s">
        <v>220</v>
      </c>
      <c r="B1352" s="547" t="s">
        <v>2351</v>
      </c>
      <c r="C1352" s="554"/>
      <c r="D1352" s="554" t="s">
        <v>9529</v>
      </c>
      <c r="E1352" s="554" t="s">
        <v>9585</v>
      </c>
      <c r="F1352" s="571">
        <v>2</v>
      </c>
      <c r="G1352" s="572">
        <v>190.62</v>
      </c>
      <c r="H1352" s="545">
        <v>381.24</v>
      </c>
      <c r="I1352" s="554" t="s">
        <v>9218</v>
      </c>
      <c r="J1352" s="554" t="s">
        <v>9219</v>
      </c>
      <c r="K1352" s="554" t="s">
        <v>9219</v>
      </c>
      <c r="L1352" s="537" t="s">
        <v>2354</v>
      </c>
    </row>
    <row r="1353" spans="1:12" x14ac:dyDescent="0.2">
      <c r="A1353" s="547" t="s">
        <v>220</v>
      </c>
      <c r="B1353" s="547" t="s">
        <v>2351</v>
      </c>
      <c r="C1353" s="554" t="s">
        <v>2874</v>
      </c>
      <c r="D1353" s="554" t="s">
        <v>2875</v>
      </c>
      <c r="E1353" s="554" t="s">
        <v>9585</v>
      </c>
      <c r="F1353" s="573">
        <v>3</v>
      </c>
      <c r="G1353" s="545">
        <v>0</v>
      </c>
      <c r="H1353" s="545">
        <v>0</v>
      </c>
      <c r="I1353" s="554" t="s">
        <v>9218</v>
      </c>
      <c r="J1353" s="554" t="s">
        <v>9219</v>
      </c>
      <c r="K1353" s="554" t="s">
        <v>9219</v>
      </c>
      <c r="L1353" s="537" t="s">
        <v>2354</v>
      </c>
    </row>
    <row r="1354" spans="1:12" x14ac:dyDescent="0.2">
      <c r="A1354" s="547" t="s">
        <v>220</v>
      </c>
      <c r="B1354" s="547" t="s">
        <v>2351</v>
      </c>
      <c r="C1354" s="554" t="s">
        <v>2876</v>
      </c>
      <c r="D1354" s="554" t="s">
        <v>2877</v>
      </c>
      <c r="E1354" s="554" t="s">
        <v>9585</v>
      </c>
      <c r="F1354" s="571">
        <v>2</v>
      </c>
      <c r="G1354" s="572">
        <v>32.4</v>
      </c>
      <c r="H1354" s="545">
        <v>64.8</v>
      </c>
      <c r="I1354" s="554" t="s">
        <v>9218</v>
      </c>
      <c r="J1354" s="554" t="s">
        <v>9219</v>
      </c>
      <c r="K1354" s="554" t="s">
        <v>9219</v>
      </c>
      <c r="L1354" s="537" t="s">
        <v>2354</v>
      </c>
    </row>
    <row r="1355" spans="1:12" x14ac:dyDescent="0.2">
      <c r="A1355" s="547" t="s">
        <v>220</v>
      </c>
      <c r="B1355" s="547" t="s">
        <v>2351</v>
      </c>
      <c r="C1355" s="554"/>
      <c r="D1355" s="554" t="s">
        <v>9530</v>
      </c>
      <c r="E1355" s="554" t="s">
        <v>9585</v>
      </c>
      <c r="F1355" s="571">
        <v>3</v>
      </c>
      <c r="G1355" s="572">
        <v>228</v>
      </c>
      <c r="H1355" s="545">
        <v>684</v>
      </c>
      <c r="I1355" s="554" t="s">
        <v>9218</v>
      </c>
      <c r="J1355" s="554" t="s">
        <v>9219</v>
      </c>
      <c r="K1355" s="554" t="s">
        <v>9219</v>
      </c>
      <c r="L1355" s="537" t="s">
        <v>2354</v>
      </c>
    </row>
    <row r="1356" spans="1:12" x14ac:dyDescent="0.2">
      <c r="A1356" s="547" t="s">
        <v>220</v>
      </c>
      <c r="B1356" s="547" t="s">
        <v>2351</v>
      </c>
      <c r="C1356" s="554"/>
      <c r="D1356" s="554" t="s">
        <v>9531</v>
      </c>
      <c r="E1356" s="554" t="s">
        <v>9585</v>
      </c>
      <c r="F1356" s="571">
        <v>1</v>
      </c>
      <c r="G1356" s="572">
        <v>88.8</v>
      </c>
      <c r="H1356" s="545">
        <v>88.8</v>
      </c>
      <c r="I1356" s="554" t="s">
        <v>9218</v>
      </c>
      <c r="J1356" s="554" t="s">
        <v>9219</v>
      </c>
      <c r="K1356" s="554" t="s">
        <v>9219</v>
      </c>
      <c r="L1356" s="537" t="s">
        <v>2354</v>
      </c>
    </row>
    <row r="1357" spans="1:12" x14ac:dyDescent="0.2">
      <c r="A1357" s="547" t="s">
        <v>220</v>
      </c>
      <c r="B1357" s="547" t="s">
        <v>2351</v>
      </c>
      <c r="C1357" s="554" t="s">
        <v>2886</v>
      </c>
      <c r="D1357" s="554" t="s">
        <v>2887</v>
      </c>
      <c r="E1357" s="554" t="s">
        <v>9585</v>
      </c>
      <c r="F1357" s="571">
        <v>3</v>
      </c>
      <c r="G1357" s="572">
        <v>4.6890000000000001</v>
      </c>
      <c r="H1357" s="545">
        <v>14.067</v>
      </c>
      <c r="I1357" s="554" t="s">
        <v>9218</v>
      </c>
      <c r="J1357" s="554" t="s">
        <v>9219</v>
      </c>
      <c r="K1357" s="554" t="s">
        <v>9219</v>
      </c>
      <c r="L1357" s="537" t="s">
        <v>2354</v>
      </c>
    </row>
    <row r="1358" spans="1:12" x14ac:dyDescent="0.2">
      <c r="A1358" s="547" t="s">
        <v>220</v>
      </c>
      <c r="B1358" s="547" t="s">
        <v>2351</v>
      </c>
      <c r="C1358" s="554" t="s">
        <v>2888</v>
      </c>
      <c r="D1358" s="554" t="s">
        <v>2889</v>
      </c>
      <c r="E1358" s="554" t="s">
        <v>545</v>
      </c>
      <c r="F1358" s="571">
        <v>5</v>
      </c>
      <c r="G1358" s="572">
        <v>10.941000000000001</v>
      </c>
      <c r="H1358" s="545">
        <v>54.705000000000005</v>
      </c>
      <c r="I1358" s="554" t="s">
        <v>9218</v>
      </c>
      <c r="J1358" s="554" t="s">
        <v>9219</v>
      </c>
      <c r="K1358" s="554" t="s">
        <v>9219</v>
      </c>
      <c r="L1358" s="537" t="s">
        <v>2354</v>
      </c>
    </row>
    <row r="1359" spans="1:12" x14ac:dyDescent="0.2">
      <c r="A1359" s="547" t="s">
        <v>220</v>
      </c>
      <c r="B1359" s="547" t="s">
        <v>2351</v>
      </c>
      <c r="C1359" s="554" t="s">
        <v>2894</v>
      </c>
      <c r="D1359" s="554" t="s">
        <v>2895</v>
      </c>
      <c r="E1359" s="554" t="s">
        <v>9585</v>
      </c>
      <c r="F1359" s="571">
        <v>3</v>
      </c>
      <c r="G1359" s="572">
        <v>10.143000000000001</v>
      </c>
      <c r="H1359" s="545">
        <v>30.429000000000002</v>
      </c>
      <c r="I1359" s="554" t="s">
        <v>9218</v>
      </c>
      <c r="J1359" s="554" t="s">
        <v>9219</v>
      </c>
      <c r="K1359" s="554" t="s">
        <v>9219</v>
      </c>
      <c r="L1359" s="537" t="s">
        <v>2354</v>
      </c>
    </row>
    <row r="1360" spans="1:12" x14ac:dyDescent="0.2">
      <c r="A1360" s="547" t="s">
        <v>220</v>
      </c>
      <c r="B1360" s="547" t="s">
        <v>2351</v>
      </c>
      <c r="C1360" s="554" t="s">
        <v>2898</v>
      </c>
      <c r="D1360" s="554" t="s">
        <v>2899</v>
      </c>
      <c r="E1360" s="554" t="s">
        <v>9585</v>
      </c>
      <c r="F1360" s="571">
        <v>4</v>
      </c>
      <c r="G1360" s="572">
        <v>10.143000000000001</v>
      </c>
      <c r="H1360" s="545">
        <v>40.572000000000003</v>
      </c>
      <c r="I1360" s="554" t="s">
        <v>9218</v>
      </c>
      <c r="J1360" s="554" t="s">
        <v>9219</v>
      </c>
      <c r="K1360" s="554" t="s">
        <v>9219</v>
      </c>
      <c r="L1360" s="537" t="s">
        <v>2354</v>
      </c>
    </row>
    <row r="1361" spans="1:12" x14ac:dyDescent="0.2">
      <c r="A1361" s="547" t="s">
        <v>220</v>
      </c>
      <c r="B1361" s="547" t="s">
        <v>2351</v>
      </c>
      <c r="C1361" s="554" t="s">
        <v>2900</v>
      </c>
      <c r="D1361" s="554" t="s">
        <v>2901</v>
      </c>
      <c r="E1361" s="554" t="s">
        <v>9585</v>
      </c>
      <c r="F1361" s="571">
        <v>6</v>
      </c>
      <c r="G1361" s="572">
        <v>10.143000000000001</v>
      </c>
      <c r="H1361" s="545">
        <v>60.858000000000004</v>
      </c>
      <c r="I1361" s="554" t="s">
        <v>9218</v>
      </c>
      <c r="J1361" s="554" t="s">
        <v>9219</v>
      </c>
      <c r="K1361" s="554" t="s">
        <v>9219</v>
      </c>
      <c r="L1361" s="537" t="s">
        <v>2354</v>
      </c>
    </row>
    <row r="1362" spans="1:12" x14ac:dyDescent="0.2">
      <c r="A1362" s="547" t="s">
        <v>220</v>
      </c>
      <c r="B1362" s="547" t="s">
        <v>2351</v>
      </c>
      <c r="C1362" s="554" t="s">
        <v>2902</v>
      </c>
      <c r="D1362" s="554" t="s">
        <v>2903</v>
      </c>
      <c r="E1362" s="554" t="s">
        <v>9585</v>
      </c>
      <c r="F1362" s="571">
        <v>6</v>
      </c>
      <c r="G1362" s="572">
        <v>5.4503999999999992</v>
      </c>
      <c r="H1362" s="545">
        <v>32.702399999999997</v>
      </c>
      <c r="I1362" s="554" t="s">
        <v>9218</v>
      </c>
      <c r="J1362" s="554" t="s">
        <v>9219</v>
      </c>
      <c r="K1362" s="554" t="s">
        <v>9219</v>
      </c>
      <c r="L1362" s="537" t="s">
        <v>2354</v>
      </c>
    </row>
    <row r="1363" spans="1:12" x14ac:dyDescent="0.2">
      <c r="A1363" s="547" t="s">
        <v>220</v>
      </c>
      <c r="B1363" s="547" t="s">
        <v>2351</v>
      </c>
      <c r="C1363" s="554" t="s">
        <v>2906</v>
      </c>
      <c r="D1363" s="554" t="s">
        <v>2907</v>
      </c>
      <c r="E1363" s="554" t="s">
        <v>9585</v>
      </c>
      <c r="F1363" s="571">
        <v>2</v>
      </c>
      <c r="G1363" s="572">
        <v>7.1639999999999988</v>
      </c>
      <c r="H1363" s="545">
        <v>14.327999999999998</v>
      </c>
      <c r="I1363" s="554" t="s">
        <v>9218</v>
      </c>
      <c r="J1363" s="554" t="s">
        <v>9219</v>
      </c>
      <c r="K1363" s="554" t="s">
        <v>9219</v>
      </c>
      <c r="L1363" s="537" t="s">
        <v>2354</v>
      </c>
    </row>
    <row r="1364" spans="1:12" x14ac:dyDescent="0.2">
      <c r="A1364" s="547" t="s">
        <v>220</v>
      </c>
      <c r="B1364" s="547" t="s">
        <v>2351</v>
      </c>
      <c r="C1364" s="554" t="s">
        <v>2908</v>
      </c>
      <c r="D1364" s="554" t="s">
        <v>2909</v>
      </c>
      <c r="E1364" s="554" t="s">
        <v>9585</v>
      </c>
      <c r="F1364" s="571">
        <v>9</v>
      </c>
      <c r="G1364" s="572">
        <v>10.143000000000001</v>
      </c>
      <c r="H1364" s="545">
        <v>91.287000000000006</v>
      </c>
      <c r="I1364" s="554" t="s">
        <v>9218</v>
      </c>
      <c r="J1364" s="554" t="s">
        <v>9219</v>
      </c>
      <c r="K1364" s="554" t="s">
        <v>9219</v>
      </c>
      <c r="L1364" s="537" t="s">
        <v>2354</v>
      </c>
    </row>
    <row r="1365" spans="1:12" x14ac:dyDescent="0.2">
      <c r="A1365" s="547" t="s">
        <v>220</v>
      </c>
      <c r="B1365" s="547" t="s">
        <v>2351</v>
      </c>
      <c r="C1365" s="554" t="s">
        <v>2910</v>
      </c>
      <c r="D1365" s="554" t="s">
        <v>2911</v>
      </c>
      <c r="E1365" s="554" t="s">
        <v>9585</v>
      </c>
      <c r="F1365" s="571">
        <v>1</v>
      </c>
      <c r="G1365" s="572">
        <v>10.143000000000001</v>
      </c>
      <c r="H1365" s="545">
        <v>10.143000000000001</v>
      </c>
      <c r="I1365" s="554" t="s">
        <v>9218</v>
      </c>
      <c r="J1365" s="554" t="s">
        <v>9219</v>
      </c>
      <c r="K1365" s="554" t="s">
        <v>9219</v>
      </c>
      <c r="L1365" s="537" t="s">
        <v>2354</v>
      </c>
    </row>
    <row r="1366" spans="1:12" x14ac:dyDescent="0.2">
      <c r="A1366" s="547" t="s">
        <v>220</v>
      </c>
      <c r="B1366" s="547" t="s">
        <v>2351</v>
      </c>
      <c r="C1366" s="554" t="s">
        <v>2912</v>
      </c>
      <c r="D1366" s="554" t="s">
        <v>2913</v>
      </c>
      <c r="E1366" s="554" t="s">
        <v>9585</v>
      </c>
      <c r="F1366" s="571">
        <v>10</v>
      </c>
      <c r="G1366" s="572">
        <v>10.143000000000001</v>
      </c>
      <c r="H1366" s="545">
        <v>101.43</v>
      </c>
      <c r="I1366" s="554" t="s">
        <v>9218</v>
      </c>
      <c r="J1366" s="554" t="s">
        <v>9219</v>
      </c>
      <c r="K1366" s="554" t="s">
        <v>9219</v>
      </c>
      <c r="L1366" s="537" t="s">
        <v>2354</v>
      </c>
    </row>
    <row r="1367" spans="1:12" x14ac:dyDescent="0.2">
      <c r="A1367" s="547" t="s">
        <v>220</v>
      </c>
      <c r="B1367" s="547" t="s">
        <v>2351</v>
      </c>
      <c r="C1367" s="554" t="s">
        <v>2914</v>
      </c>
      <c r="D1367" s="554" t="s">
        <v>2915</v>
      </c>
      <c r="E1367" s="554" t="s">
        <v>9585</v>
      </c>
      <c r="F1367" s="571">
        <v>4</v>
      </c>
      <c r="G1367" s="572">
        <v>10.143000000000001</v>
      </c>
      <c r="H1367" s="545">
        <v>40.572000000000003</v>
      </c>
      <c r="I1367" s="554" t="s">
        <v>9218</v>
      </c>
      <c r="J1367" s="554" t="s">
        <v>9219</v>
      </c>
      <c r="K1367" s="554" t="s">
        <v>9219</v>
      </c>
      <c r="L1367" s="537" t="s">
        <v>2354</v>
      </c>
    </row>
    <row r="1368" spans="1:12" x14ac:dyDescent="0.2">
      <c r="A1368" s="547" t="s">
        <v>220</v>
      </c>
      <c r="B1368" s="547" t="s">
        <v>2351</v>
      </c>
      <c r="C1368" s="554" t="s">
        <v>2916</v>
      </c>
      <c r="D1368" s="554" t="s">
        <v>2917</v>
      </c>
      <c r="E1368" s="554" t="s">
        <v>9585</v>
      </c>
      <c r="F1368" s="571">
        <v>2</v>
      </c>
      <c r="G1368" s="572">
        <v>12.473999999999998</v>
      </c>
      <c r="H1368" s="545">
        <v>24.947999999999997</v>
      </c>
      <c r="I1368" s="554" t="s">
        <v>9218</v>
      </c>
      <c r="J1368" s="554" t="s">
        <v>9219</v>
      </c>
      <c r="K1368" s="554" t="s">
        <v>9219</v>
      </c>
      <c r="L1368" s="537" t="s">
        <v>2354</v>
      </c>
    </row>
    <row r="1369" spans="1:12" x14ac:dyDescent="0.2">
      <c r="A1369" s="547" t="s">
        <v>220</v>
      </c>
      <c r="B1369" s="547" t="s">
        <v>2351</v>
      </c>
      <c r="C1369" s="554" t="s">
        <v>2918</v>
      </c>
      <c r="D1369" s="554" t="s">
        <v>2919</v>
      </c>
      <c r="E1369" s="554" t="s">
        <v>9585</v>
      </c>
      <c r="F1369" s="571">
        <v>5</v>
      </c>
      <c r="G1369" s="572">
        <v>10.143000000000001</v>
      </c>
      <c r="H1369" s="545">
        <v>50.715000000000003</v>
      </c>
      <c r="I1369" s="554" t="s">
        <v>9218</v>
      </c>
      <c r="J1369" s="554" t="s">
        <v>9219</v>
      </c>
      <c r="K1369" s="554" t="s">
        <v>9219</v>
      </c>
      <c r="L1369" s="537" t="s">
        <v>2354</v>
      </c>
    </row>
    <row r="1370" spans="1:12" x14ac:dyDescent="0.2">
      <c r="A1370" s="547" t="s">
        <v>220</v>
      </c>
      <c r="B1370" s="547" t="s">
        <v>2351</v>
      </c>
      <c r="C1370" s="554" t="s">
        <v>2920</v>
      </c>
      <c r="D1370" s="554" t="s">
        <v>2921</v>
      </c>
      <c r="E1370" s="554" t="s">
        <v>9585</v>
      </c>
      <c r="F1370" s="571">
        <v>3</v>
      </c>
      <c r="G1370" s="572">
        <v>10.143000000000001</v>
      </c>
      <c r="H1370" s="545">
        <v>30.429000000000002</v>
      </c>
      <c r="I1370" s="554" t="s">
        <v>9218</v>
      </c>
      <c r="J1370" s="554" t="s">
        <v>9219</v>
      </c>
      <c r="K1370" s="554" t="s">
        <v>9219</v>
      </c>
      <c r="L1370" s="537" t="s">
        <v>2354</v>
      </c>
    </row>
    <row r="1371" spans="1:12" x14ac:dyDescent="0.2">
      <c r="A1371" s="547" t="s">
        <v>220</v>
      </c>
      <c r="B1371" s="547" t="s">
        <v>2351</v>
      </c>
      <c r="C1371" s="554" t="s">
        <v>2922</v>
      </c>
      <c r="D1371" s="554" t="s">
        <v>2923</v>
      </c>
      <c r="E1371" s="554" t="s">
        <v>9585</v>
      </c>
      <c r="F1371" s="571">
        <v>8</v>
      </c>
      <c r="G1371" s="572">
        <v>10.143000000000001</v>
      </c>
      <c r="H1371" s="545">
        <v>81.144000000000005</v>
      </c>
      <c r="I1371" s="554" t="s">
        <v>9218</v>
      </c>
      <c r="J1371" s="554" t="s">
        <v>9219</v>
      </c>
      <c r="K1371" s="554" t="s">
        <v>9219</v>
      </c>
      <c r="L1371" s="537" t="s">
        <v>2354</v>
      </c>
    </row>
    <row r="1372" spans="1:12" x14ac:dyDescent="0.2">
      <c r="A1372" s="547" t="s">
        <v>220</v>
      </c>
      <c r="B1372" s="547" t="s">
        <v>2351</v>
      </c>
      <c r="C1372" s="554" t="s">
        <v>2926</v>
      </c>
      <c r="D1372" s="554" t="s">
        <v>2927</v>
      </c>
      <c r="E1372" s="554" t="s">
        <v>9585</v>
      </c>
      <c r="F1372" s="571">
        <v>2</v>
      </c>
      <c r="G1372" s="572">
        <v>7.9001999999999999</v>
      </c>
      <c r="H1372" s="545">
        <v>15.8004</v>
      </c>
      <c r="I1372" s="554" t="s">
        <v>9218</v>
      </c>
      <c r="J1372" s="554" t="s">
        <v>9219</v>
      </c>
      <c r="K1372" s="554" t="s">
        <v>9219</v>
      </c>
      <c r="L1372" s="537" t="s">
        <v>2354</v>
      </c>
    </row>
    <row r="1373" spans="1:12" x14ac:dyDescent="0.2">
      <c r="A1373" s="547" t="s">
        <v>220</v>
      </c>
      <c r="B1373" s="547" t="s">
        <v>2351</v>
      </c>
      <c r="C1373" s="554" t="s">
        <v>2928</v>
      </c>
      <c r="D1373" s="554" t="s">
        <v>2929</v>
      </c>
      <c r="E1373" s="554" t="s">
        <v>9585</v>
      </c>
      <c r="F1373" s="571">
        <v>1</v>
      </c>
      <c r="G1373" s="572">
        <v>10.143000000000001</v>
      </c>
      <c r="H1373" s="545">
        <v>10.143000000000001</v>
      </c>
      <c r="I1373" s="554" t="s">
        <v>9218</v>
      </c>
      <c r="J1373" s="554" t="s">
        <v>9219</v>
      </c>
      <c r="K1373" s="554" t="s">
        <v>9219</v>
      </c>
      <c r="L1373" s="537" t="s">
        <v>2354</v>
      </c>
    </row>
    <row r="1374" spans="1:12" x14ac:dyDescent="0.2">
      <c r="A1374" s="547" t="s">
        <v>220</v>
      </c>
      <c r="B1374" s="547" t="s">
        <v>2351</v>
      </c>
      <c r="C1374" s="554" t="s">
        <v>2930</v>
      </c>
      <c r="D1374" s="554" t="s">
        <v>2931</v>
      </c>
      <c r="E1374" s="554" t="s">
        <v>9585</v>
      </c>
      <c r="F1374" s="571">
        <v>5</v>
      </c>
      <c r="G1374" s="572">
        <v>10.143000000000001</v>
      </c>
      <c r="H1374" s="545">
        <v>50.715000000000003</v>
      </c>
      <c r="I1374" s="554" t="s">
        <v>9218</v>
      </c>
      <c r="J1374" s="554" t="s">
        <v>9219</v>
      </c>
      <c r="K1374" s="554" t="s">
        <v>9219</v>
      </c>
      <c r="L1374" s="537" t="s">
        <v>2354</v>
      </c>
    </row>
    <row r="1375" spans="1:12" x14ac:dyDescent="0.2">
      <c r="A1375" s="547" t="s">
        <v>220</v>
      </c>
      <c r="B1375" s="547" t="s">
        <v>2351</v>
      </c>
      <c r="C1375" s="554" t="s">
        <v>2932</v>
      </c>
      <c r="D1375" s="554" t="s">
        <v>2933</v>
      </c>
      <c r="E1375" s="554" t="s">
        <v>9585</v>
      </c>
      <c r="F1375" s="571">
        <v>6</v>
      </c>
      <c r="G1375" s="572">
        <v>7.1459999999999999</v>
      </c>
      <c r="H1375" s="545">
        <v>42.875999999999998</v>
      </c>
      <c r="I1375" s="554" t="s">
        <v>9218</v>
      </c>
      <c r="J1375" s="554" t="s">
        <v>9219</v>
      </c>
      <c r="K1375" s="554" t="s">
        <v>9219</v>
      </c>
      <c r="L1375" s="537" t="s">
        <v>2354</v>
      </c>
    </row>
    <row r="1376" spans="1:12" x14ac:dyDescent="0.2">
      <c r="A1376" s="547" t="s">
        <v>220</v>
      </c>
      <c r="B1376" s="547" t="s">
        <v>2351</v>
      </c>
      <c r="C1376" s="554" t="s">
        <v>2934</v>
      </c>
      <c r="D1376" s="554" t="s">
        <v>2935</v>
      </c>
      <c r="E1376" s="554" t="s">
        <v>9585</v>
      </c>
      <c r="F1376" s="571">
        <v>12</v>
      </c>
      <c r="G1376" s="572">
        <v>38.568600000000004</v>
      </c>
      <c r="H1376" s="545">
        <v>462.82320000000004</v>
      </c>
      <c r="I1376" s="554" t="s">
        <v>9218</v>
      </c>
      <c r="J1376" s="554" t="s">
        <v>9219</v>
      </c>
      <c r="K1376" s="554" t="s">
        <v>9219</v>
      </c>
      <c r="L1376" s="537" t="s">
        <v>2354</v>
      </c>
    </row>
    <row r="1377" spans="1:12" x14ac:dyDescent="0.2">
      <c r="A1377" s="547" t="s">
        <v>220</v>
      </c>
      <c r="B1377" s="547" t="s">
        <v>2351</v>
      </c>
      <c r="C1377" s="554" t="s">
        <v>2938</v>
      </c>
      <c r="D1377" s="554" t="s">
        <v>2939</v>
      </c>
      <c r="E1377" s="554" t="s">
        <v>9585</v>
      </c>
      <c r="F1377" s="571">
        <v>3</v>
      </c>
      <c r="G1377" s="572">
        <v>1.9431</v>
      </c>
      <c r="H1377" s="545">
        <v>5.8292999999999999</v>
      </c>
      <c r="I1377" s="554" t="s">
        <v>9218</v>
      </c>
      <c r="J1377" s="554" t="s">
        <v>9219</v>
      </c>
      <c r="K1377" s="554" t="s">
        <v>9219</v>
      </c>
      <c r="L1377" s="537" t="s">
        <v>2354</v>
      </c>
    </row>
    <row r="1378" spans="1:12" x14ac:dyDescent="0.2">
      <c r="A1378" s="547" t="s">
        <v>220</v>
      </c>
      <c r="B1378" s="547" t="s">
        <v>2351</v>
      </c>
      <c r="C1378" s="554" t="s">
        <v>2940</v>
      </c>
      <c r="D1378" s="554" t="s">
        <v>2941</v>
      </c>
      <c r="E1378" s="554" t="s">
        <v>9585</v>
      </c>
      <c r="F1378" s="571">
        <v>3</v>
      </c>
      <c r="G1378" s="572">
        <v>10.143000000000001</v>
      </c>
      <c r="H1378" s="545">
        <v>30.429000000000002</v>
      </c>
      <c r="I1378" s="554" t="s">
        <v>9218</v>
      </c>
      <c r="J1378" s="554" t="s">
        <v>9219</v>
      </c>
      <c r="K1378" s="554" t="s">
        <v>9219</v>
      </c>
      <c r="L1378" s="537" t="s">
        <v>2354</v>
      </c>
    </row>
    <row r="1379" spans="1:12" x14ac:dyDescent="0.2">
      <c r="A1379" s="547" t="s">
        <v>220</v>
      </c>
      <c r="B1379" s="547" t="s">
        <v>2351</v>
      </c>
      <c r="C1379" s="554" t="s">
        <v>2942</v>
      </c>
      <c r="D1379" s="554" t="s">
        <v>2943</v>
      </c>
      <c r="E1379" s="554" t="s">
        <v>9585</v>
      </c>
      <c r="F1379" s="571">
        <v>4</v>
      </c>
      <c r="G1379" s="572">
        <v>10.6488</v>
      </c>
      <c r="H1379" s="545">
        <v>42.595199999999998</v>
      </c>
      <c r="I1379" s="554" t="s">
        <v>9218</v>
      </c>
      <c r="J1379" s="554" t="s">
        <v>9219</v>
      </c>
      <c r="K1379" s="554" t="s">
        <v>9219</v>
      </c>
      <c r="L1379" s="537" t="s">
        <v>2354</v>
      </c>
    </row>
    <row r="1380" spans="1:12" x14ac:dyDescent="0.2">
      <c r="A1380" s="547" t="s">
        <v>220</v>
      </c>
      <c r="B1380" s="547" t="s">
        <v>2351</v>
      </c>
      <c r="C1380" s="554" t="s">
        <v>2946</v>
      </c>
      <c r="D1380" s="554" t="s">
        <v>2947</v>
      </c>
      <c r="E1380" s="554" t="s">
        <v>9585</v>
      </c>
      <c r="F1380" s="571">
        <v>4</v>
      </c>
      <c r="G1380" s="572">
        <v>10.6488</v>
      </c>
      <c r="H1380" s="545">
        <v>42.595199999999998</v>
      </c>
      <c r="I1380" s="554" t="s">
        <v>9218</v>
      </c>
      <c r="J1380" s="554" t="s">
        <v>9219</v>
      </c>
      <c r="K1380" s="554" t="s">
        <v>9219</v>
      </c>
      <c r="L1380" s="537" t="s">
        <v>2354</v>
      </c>
    </row>
    <row r="1381" spans="1:12" x14ac:dyDescent="0.2">
      <c r="A1381" s="547" t="s">
        <v>220</v>
      </c>
      <c r="B1381" s="547" t="s">
        <v>2351</v>
      </c>
      <c r="C1381" s="554" t="s">
        <v>2948</v>
      </c>
      <c r="D1381" s="554" t="s">
        <v>2949</v>
      </c>
      <c r="E1381" s="554" t="s">
        <v>9585</v>
      </c>
      <c r="F1381" s="571">
        <v>2</v>
      </c>
      <c r="G1381" s="572">
        <v>45.642600000000002</v>
      </c>
      <c r="H1381" s="545">
        <v>91.285200000000003</v>
      </c>
      <c r="I1381" s="554" t="s">
        <v>9218</v>
      </c>
      <c r="J1381" s="554" t="s">
        <v>9219</v>
      </c>
      <c r="K1381" s="554" t="s">
        <v>9219</v>
      </c>
      <c r="L1381" s="537" t="s">
        <v>2354</v>
      </c>
    </row>
    <row r="1382" spans="1:12" x14ac:dyDescent="0.2">
      <c r="A1382" s="547" t="s">
        <v>220</v>
      </c>
      <c r="B1382" s="547" t="s">
        <v>2351</v>
      </c>
      <c r="C1382" s="554" t="s">
        <v>2950</v>
      </c>
      <c r="D1382" s="554" t="s">
        <v>2951</v>
      </c>
      <c r="E1382" s="554" t="s">
        <v>9585</v>
      </c>
      <c r="F1382" s="571">
        <v>5</v>
      </c>
      <c r="G1382" s="572">
        <v>31.013999999999999</v>
      </c>
      <c r="H1382" s="545">
        <v>155.07</v>
      </c>
      <c r="I1382" s="554" t="s">
        <v>9218</v>
      </c>
      <c r="J1382" s="554" t="s">
        <v>9219</v>
      </c>
      <c r="K1382" s="554" t="s">
        <v>9219</v>
      </c>
      <c r="L1382" s="537" t="s">
        <v>2354</v>
      </c>
    </row>
    <row r="1383" spans="1:12" x14ac:dyDescent="0.2">
      <c r="A1383" s="547" t="s">
        <v>220</v>
      </c>
      <c r="B1383" s="547" t="s">
        <v>2351</v>
      </c>
      <c r="C1383" s="554" t="s">
        <v>2958</v>
      </c>
      <c r="D1383" s="554" t="s">
        <v>2959</v>
      </c>
      <c r="E1383" s="554" t="s">
        <v>9585</v>
      </c>
      <c r="F1383" s="571">
        <v>3</v>
      </c>
      <c r="G1383" s="572">
        <v>25.794</v>
      </c>
      <c r="H1383" s="545">
        <v>77.382000000000005</v>
      </c>
      <c r="I1383" s="554" t="s">
        <v>9218</v>
      </c>
      <c r="J1383" s="554" t="s">
        <v>9219</v>
      </c>
      <c r="K1383" s="554" t="s">
        <v>9219</v>
      </c>
      <c r="L1383" s="537" t="s">
        <v>2354</v>
      </c>
    </row>
    <row r="1384" spans="1:12" x14ac:dyDescent="0.2">
      <c r="A1384" s="547" t="s">
        <v>220</v>
      </c>
      <c r="B1384" s="547" t="s">
        <v>2351</v>
      </c>
      <c r="C1384" s="554" t="s">
        <v>2960</v>
      </c>
      <c r="D1384" s="554" t="s">
        <v>2961</v>
      </c>
      <c r="E1384" s="554" t="s">
        <v>9585</v>
      </c>
      <c r="F1384" s="571">
        <v>5</v>
      </c>
      <c r="G1384" s="572">
        <v>22.878</v>
      </c>
      <c r="H1384" s="545">
        <v>114.39</v>
      </c>
      <c r="I1384" s="554" t="s">
        <v>9218</v>
      </c>
      <c r="J1384" s="554" t="s">
        <v>9219</v>
      </c>
      <c r="K1384" s="554" t="s">
        <v>9219</v>
      </c>
      <c r="L1384" s="537" t="s">
        <v>2354</v>
      </c>
    </row>
    <row r="1385" spans="1:12" x14ac:dyDescent="0.2">
      <c r="A1385" s="547" t="s">
        <v>220</v>
      </c>
      <c r="B1385" s="547" t="s">
        <v>2351</v>
      </c>
      <c r="C1385" s="554" t="s">
        <v>2962</v>
      </c>
      <c r="D1385" s="554" t="s">
        <v>2963</v>
      </c>
      <c r="E1385" s="554" t="s">
        <v>9585</v>
      </c>
      <c r="F1385" s="571">
        <v>2</v>
      </c>
      <c r="G1385" s="572">
        <v>22.878</v>
      </c>
      <c r="H1385" s="545">
        <v>45.756</v>
      </c>
      <c r="I1385" s="554" t="s">
        <v>9218</v>
      </c>
      <c r="J1385" s="554" t="s">
        <v>9219</v>
      </c>
      <c r="K1385" s="554" t="s">
        <v>9219</v>
      </c>
      <c r="L1385" s="537" t="s">
        <v>2354</v>
      </c>
    </row>
    <row r="1386" spans="1:12" x14ac:dyDescent="0.2">
      <c r="A1386" s="547" t="s">
        <v>220</v>
      </c>
      <c r="B1386" s="547" t="s">
        <v>2351</v>
      </c>
      <c r="C1386" s="554" t="s">
        <v>2964</v>
      </c>
      <c r="D1386" s="554" t="s">
        <v>2965</v>
      </c>
      <c r="E1386" s="554" t="s">
        <v>9585</v>
      </c>
      <c r="F1386" s="571">
        <v>8</v>
      </c>
      <c r="G1386" s="572">
        <v>10.89</v>
      </c>
      <c r="H1386" s="545">
        <v>87.12</v>
      </c>
      <c r="I1386" s="554" t="s">
        <v>9218</v>
      </c>
      <c r="J1386" s="554" t="s">
        <v>9219</v>
      </c>
      <c r="K1386" s="554" t="s">
        <v>9219</v>
      </c>
      <c r="L1386" s="537" t="s">
        <v>2354</v>
      </c>
    </row>
    <row r="1387" spans="1:12" x14ac:dyDescent="0.2">
      <c r="A1387" s="547" t="s">
        <v>220</v>
      </c>
      <c r="B1387" s="547" t="s">
        <v>2351</v>
      </c>
      <c r="C1387" s="554" t="s">
        <v>2966</v>
      </c>
      <c r="D1387" s="554" t="s">
        <v>2967</v>
      </c>
      <c r="E1387" s="554" t="s">
        <v>9585</v>
      </c>
      <c r="F1387" s="571">
        <v>3</v>
      </c>
      <c r="G1387" s="572">
        <v>20.930399999999999</v>
      </c>
      <c r="H1387" s="545">
        <v>62.791199999999996</v>
      </c>
      <c r="I1387" s="554" t="s">
        <v>9218</v>
      </c>
      <c r="J1387" s="554" t="s">
        <v>9219</v>
      </c>
      <c r="K1387" s="554" t="s">
        <v>9219</v>
      </c>
      <c r="L1387" s="537" t="s">
        <v>2354</v>
      </c>
    </row>
    <row r="1388" spans="1:12" x14ac:dyDescent="0.2">
      <c r="A1388" s="547" t="s">
        <v>220</v>
      </c>
      <c r="B1388" s="547" t="s">
        <v>2351</v>
      </c>
      <c r="C1388" s="554" t="s">
        <v>2968</v>
      </c>
      <c r="D1388" s="554" t="s">
        <v>2969</v>
      </c>
      <c r="E1388" s="554" t="s">
        <v>9585</v>
      </c>
      <c r="F1388" s="571">
        <v>1</v>
      </c>
      <c r="G1388" s="572">
        <v>13.855049999999999</v>
      </c>
      <c r="H1388" s="545">
        <v>13.855049999999999</v>
      </c>
      <c r="I1388" s="554" t="s">
        <v>9218</v>
      </c>
      <c r="J1388" s="554" t="s">
        <v>9219</v>
      </c>
      <c r="K1388" s="554" t="s">
        <v>9219</v>
      </c>
      <c r="L1388" s="537" t="s">
        <v>2354</v>
      </c>
    </row>
    <row r="1389" spans="1:12" x14ac:dyDescent="0.2">
      <c r="A1389" s="547" t="s">
        <v>220</v>
      </c>
      <c r="B1389" s="547" t="s">
        <v>2351</v>
      </c>
      <c r="C1389" s="554" t="s">
        <v>2970</v>
      </c>
      <c r="D1389" s="554" t="s">
        <v>2971</v>
      </c>
      <c r="E1389" s="554" t="s">
        <v>9585</v>
      </c>
      <c r="F1389" s="571">
        <v>9</v>
      </c>
      <c r="G1389" s="572">
        <v>14.31</v>
      </c>
      <c r="H1389" s="545">
        <v>128.79</v>
      </c>
      <c r="I1389" s="554" t="s">
        <v>9218</v>
      </c>
      <c r="J1389" s="554" t="s">
        <v>9219</v>
      </c>
      <c r="K1389" s="554" t="s">
        <v>9219</v>
      </c>
      <c r="L1389" s="537" t="s">
        <v>2354</v>
      </c>
    </row>
    <row r="1390" spans="1:12" x14ac:dyDescent="0.2">
      <c r="A1390" s="547" t="s">
        <v>220</v>
      </c>
      <c r="B1390" s="547" t="s">
        <v>2351</v>
      </c>
      <c r="C1390" s="554" t="s">
        <v>2976</v>
      </c>
      <c r="D1390" s="554" t="s">
        <v>2977</v>
      </c>
      <c r="E1390" s="554" t="s">
        <v>9585</v>
      </c>
      <c r="F1390" s="571">
        <v>2</v>
      </c>
      <c r="G1390" s="572">
        <v>115</v>
      </c>
      <c r="H1390" s="545">
        <v>230</v>
      </c>
      <c r="I1390" s="554" t="s">
        <v>9218</v>
      </c>
      <c r="J1390" s="554" t="s">
        <v>9219</v>
      </c>
      <c r="K1390" s="554" t="s">
        <v>9219</v>
      </c>
      <c r="L1390" s="537" t="s">
        <v>2354</v>
      </c>
    </row>
    <row r="1391" spans="1:12" x14ac:dyDescent="0.2">
      <c r="A1391" s="547" t="s">
        <v>220</v>
      </c>
      <c r="B1391" s="547" t="s">
        <v>2351</v>
      </c>
      <c r="C1391" s="554" t="s">
        <v>2978</v>
      </c>
      <c r="D1391" s="554" t="s">
        <v>2979</v>
      </c>
      <c r="E1391" s="554" t="s">
        <v>9585</v>
      </c>
      <c r="F1391" s="573">
        <v>2</v>
      </c>
      <c r="G1391" s="545">
        <v>0</v>
      </c>
      <c r="H1391" s="545">
        <v>0</v>
      </c>
      <c r="I1391" s="554" t="s">
        <v>9218</v>
      </c>
      <c r="J1391" s="554" t="s">
        <v>9219</v>
      </c>
      <c r="K1391" s="554" t="s">
        <v>9219</v>
      </c>
      <c r="L1391" s="537" t="s">
        <v>2354</v>
      </c>
    </row>
    <row r="1392" spans="1:12" x14ac:dyDescent="0.2">
      <c r="A1392" s="547" t="s">
        <v>220</v>
      </c>
      <c r="B1392" s="547" t="s">
        <v>2351</v>
      </c>
      <c r="C1392" s="554" t="s">
        <v>2980</v>
      </c>
      <c r="D1392" s="554" t="s">
        <v>2981</v>
      </c>
      <c r="E1392" s="554" t="s">
        <v>9585</v>
      </c>
      <c r="F1392" s="573">
        <v>22</v>
      </c>
      <c r="G1392" s="545">
        <v>0</v>
      </c>
      <c r="H1392" s="545">
        <v>0</v>
      </c>
      <c r="I1392" s="554" t="s">
        <v>9218</v>
      </c>
      <c r="J1392" s="554" t="s">
        <v>9219</v>
      </c>
      <c r="K1392" s="554" t="s">
        <v>9219</v>
      </c>
      <c r="L1392" s="537" t="s">
        <v>2354</v>
      </c>
    </row>
    <row r="1393" spans="1:12" x14ac:dyDescent="0.2">
      <c r="A1393" s="547" t="s">
        <v>220</v>
      </c>
      <c r="B1393" s="547" t="s">
        <v>2351</v>
      </c>
      <c r="C1393" s="554" t="s">
        <v>2982</v>
      </c>
      <c r="D1393" s="554" t="s">
        <v>2983</v>
      </c>
      <c r="E1393" s="554" t="s">
        <v>9585</v>
      </c>
      <c r="F1393" s="573">
        <v>2</v>
      </c>
      <c r="G1393" s="545">
        <v>0</v>
      </c>
      <c r="H1393" s="545">
        <v>0</v>
      </c>
      <c r="I1393" s="554" t="s">
        <v>9218</v>
      </c>
      <c r="J1393" s="554" t="s">
        <v>9219</v>
      </c>
      <c r="K1393" s="554" t="s">
        <v>9219</v>
      </c>
      <c r="L1393" s="537" t="s">
        <v>2354</v>
      </c>
    </row>
    <row r="1394" spans="1:12" x14ac:dyDescent="0.2">
      <c r="A1394" s="547" t="s">
        <v>220</v>
      </c>
      <c r="B1394" s="547" t="s">
        <v>2351</v>
      </c>
      <c r="C1394" s="554" t="s">
        <v>2984</v>
      </c>
      <c r="D1394" s="554" t="s">
        <v>2985</v>
      </c>
      <c r="E1394" s="554" t="s">
        <v>9585</v>
      </c>
      <c r="F1394" s="571">
        <v>6</v>
      </c>
      <c r="G1394" s="572">
        <v>14.706</v>
      </c>
      <c r="H1394" s="545">
        <v>88.23599999999999</v>
      </c>
      <c r="I1394" s="554" t="s">
        <v>9218</v>
      </c>
      <c r="J1394" s="554" t="s">
        <v>9219</v>
      </c>
      <c r="K1394" s="554" t="s">
        <v>9219</v>
      </c>
      <c r="L1394" s="537" t="s">
        <v>2354</v>
      </c>
    </row>
    <row r="1395" spans="1:12" x14ac:dyDescent="0.2">
      <c r="A1395" s="547" t="s">
        <v>220</v>
      </c>
      <c r="B1395" s="547" t="s">
        <v>2351</v>
      </c>
      <c r="C1395" s="554" t="s">
        <v>2986</v>
      </c>
      <c r="D1395" s="554" t="s">
        <v>2987</v>
      </c>
      <c r="E1395" s="554" t="s">
        <v>9585</v>
      </c>
      <c r="F1395" s="571">
        <v>1</v>
      </c>
      <c r="G1395" s="572">
        <v>487.8</v>
      </c>
      <c r="H1395" s="545">
        <v>487.8</v>
      </c>
      <c r="I1395" s="554" t="s">
        <v>9218</v>
      </c>
      <c r="J1395" s="554" t="s">
        <v>9219</v>
      </c>
      <c r="K1395" s="554" t="s">
        <v>9219</v>
      </c>
      <c r="L1395" s="537" t="s">
        <v>2354</v>
      </c>
    </row>
    <row r="1396" spans="1:12" x14ac:dyDescent="0.2">
      <c r="A1396" s="547" t="s">
        <v>220</v>
      </c>
      <c r="B1396" s="547" t="s">
        <v>2351</v>
      </c>
      <c r="C1396" s="554" t="s">
        <v>2990</v>
      </c>
      <c r="D1396" s="554" t="s">
        <v>2991</v>
      </c>
      <c r="E1396" s="554" t="s">
        <v>9585</v>
      </c>
      <c r="F1396" s="571">
        <v>1</v>
      </c>
      <c r="G1396" s="572">
        <v>203.67</v>
      </c>
      <c r="H1396" s="545">
        <v>203.67</v>
      </c>
      <c r="I1396" s="554" t="s">
        <v>9218</v>
      </c>
      <c r="J1396" s="554" t="s">
        <v>9219</v>
      </c>
      <c r="K1396" s="554" t="s">
        <v>9219</v>
      </c>
      <c r="L1396" s="537" t="s">
        <v>2354</v>
      </c>
    </row>
    <row r="1397" spans="1:12" x14ac:dyDescent="0.2">
      <c r="A1397" s="547" t="s">
        <v>220</v>
      </c>
      <c r="B1397" s="547" t="s">
        <v>2351</v>
      </c>
      <c r="C1397" s="554" t="s">
        <v>2992</v>
      </c>
      <c r="D1397" s="554" t="s">
        <v>2993</v>
      </c>
      <c r="E1397" s="554" t="s">
        <v>9585</v>
      </c>
      <c r="F1397" s="571">
        <v>1</v>
      </c>
      <c r="G1397" s="572">
        <v>254.67189999999999</v>
      </c>
      <c r="H1397" s="545">
        <v>254.67189999999999</v>
      </c>
      <c r="I1397" s="554" t="s">
        <v>9218</v>
      </c>
      <c r="J1397" s="554" t="s">
        <v>9219</v>
      </c>
      <c r="K1397" s="554" t="s">
        <v>9219</v>
      </c>
      <c r="L1397" s="537" t="s">
        <v>2354</v>
      </c>
    </row>
    <row r="1398" spans="1:12" x14ac:dyDescent="0.2">
      <c r="A1398" s="547" t="s">
        <v>220</v>
      </c>
      <c r="B1398" s="547" t="s">
        <v>2351</v>
      </c>
      <c r="C1398" s="554" t="s">
        <v>2994</v>
      </c>
      <c r="D1398" s="554" t="s">
        <v>2995</v>
      </c>
      <c r="E1398" s="554" t="s">
        <v>9585</v>
      </c>
      <c r="F1398" s="571">
        <v>8</v>
      </c>
      <c r="G1398" s="572">
        <v>79.137</v>
      </c>
      <c r="H1398" s="545">
        <v>633.096</v>
      </c>
      <c r="I1398" s="554" t="s">
        <v>9218</v>
      </c>
      <c r="J1398" s="554" t="s">
        <v>9219</v>
      </c>
      <c r="K1398" s="554" t="s">
        <v>9219</v>
      </c>
      <c r="L1398" s="537" t="s">
        <v>2354</v>
      </c>
    </row>
    <row r="1399" spans="1:12" x14ac:dyDescent="0.2">
      <c r="A1399" s="547" t="s">
        <v>220</v>
      </c>
      <c r="B1399" s="547" t="s">
        <v>2351</v>
      </c>
      <c r="C1399" s="554" t="s">
        <v>2996</v>
      </c>
      <c r="D1399" s="554" t="s">
        <v>2997</v>
      </c>
      <c r="E1399" s="554" t="s">
        <v>9585</v>
      </c>
      <c r="F1399" s="571">
        <v>11</v>
      </c>
      <c r="G1399" s="572">
        <v>9.4616999999999987</v>
      </c>
      <c r="H1399" s="545">
        <v>104.07869999999998</v>
      </c>
      <c r="I1399" s="554" t="s">
        <v>9218</v>
      </c>
      <c r="J1399" s="554" t="s">
        <v>9219</v>
      </c>
      <c r="K1399" s="554" t="s">
        <v>9219</v>
      </c>
      <c r="L1399" s="537" t="s">
        <v>2354</v>
      </c>
    </row>
    <row r="1400" spans="1:12" x14ac:dyDescent="0.2">
      <c r="A1400" s="547" t="s">
        <v>220</v>
      </c>
      <c r="B1400" s="547" t="s">
        <v>2351</v>
      </c>
      <c r="C1400" s="554" t="s">
        <v>2383</v>
      </c>
      <c r="D1400" s="554" t="s">
        <v>2384</v>
      </c>
      <c r="E1400" s="554" t="s">
        <v>9585</v>
      </c>
      <c r="F1400" s="571">
        <v>15</v>
      </c>
      <c r="G1400" s="572">
        <v>21.7224</v>
      </c>
      <c r="H1400" s="545">
        <v>325.83600000000001</v>
      </c>
      <c r="I1400" s="554" t="s">
        <v>9218</v>
      </c>
      <c r="J1400" s="554" t="s">
        <v>9219</v>
      </c>
      <c r="K1400" s="554" t="s">
        <v>9219</v>
      </c>
      <c r="L1400" s="537" t="s">
        <v>2354</v>
      </c>
    </row>
    <row r="1401" spans="1:12" x14ac:dyDescent="0.2">
      <c r="A1401" s="547" t="s">
        <v>220</v>
      </c>
      <c r="B1401" s="547" t="s">
        <v>2351</v>
      </c>
      <c r="C1401" s="554" t="s">
        <v>2998</v>
      </c>
      <c r="D1401" s="554" t="s">
        <v>2999</v>
      </c>
      <c r="E1401" s="554" t="s">
        <v>9585</v>
      </c>
      <c r="F1401" s="571">
        <v>4</v>
      </c>
      <c r="G1401" s="572">
        <v>39.055500000000002</v>
      </c>
      <c r="H1401" s="545">
        <v>156.22200000000001</v>
      </c>
      <c r="I1401" s="554" t="s">
        <v>9218</v>
      </c>
      <c r="J1401" s="554" t="s">
        <v>9219</v>
      </c>
      <c r="K1401" s="554" t="s">
        <v>9219</v>
      </c>
      <c r="L1401" s="537" t="s">
        <v>2354</v>
      </c>
    </row>
    <row r="1402" spans="1:12" x14ac:dyDescent="0.2">
      <c r="A1402" s="547" t="s">
        <v>220</v>
      </c>
      <c r="B1402" s="547" t="s">
        <v>2351</v>
      </c>
      <c r="C1402" s="554" t="s">
        <v>3000</v>
      </c>
      <c r="D1402" s="554" t="s">
        <v>3001</v>
      </c>
      <c r="E1402" s="554" t="s">
        <v>9585</v>
      </c>
      <c r="F1402" s="571">
        <v>4</v>
      </c>
      <c r="G1402" s="572">
        <v>96.079499999999996</v>
      </c>
      <c r="H1402" s="545">
        <v>384.31799999999998</v>
      </c>
      <c r="I1402" s="554" t="s">
        <v>9218</v>
      </c>
      <c r="J1402" s="554" t="s">
        <v>9219</v>
      </c>
      <c r="K1402" s="554" t="s">
        <v>9219</v>
      </c>
      <c r="L1402" s="537" t="s">
        <v>2354</v>
      </c>
    </row>
    <row r="1403" spans="1:12" x14ac:dyDescent="0.2">
      <c r="A1403" s="547" t="s">
        <v>220</v>
      </c>
      <c r="B1403" s="547" t="s">
        <v>2351</v>
      </c>
      <c r="C1403" s="554" t="s">
        <v>3002</v>
      </c>
      <c r="D1403" s="554" t="s">
        <v>3003</v>
      </c>
      <c r="E1403" s="554" t="s">
        <v>9585</v>
      </c>
      <c r="F1403" s="571">
        <v>10</v>
      </c>
      <c r="G1403" s="572">
        <v>47.56</v>
      </c>
      <c r="H1403" s="545">
        <v>475.6</v>
      </c>
      <c r="I1403" s="554" t="s">
        <v>9218</v>
      </c>
      <c r="J1403" s="554" t="s">
        <v>9219</v>
      </c>
      <c r="K1403" s="554" t="s">
        <v>9219</v>
      </c>
      <c r="L1403" s="537" t="s">
        <v>2354</v>
      </c>
    </row>
    <row r="1404" spans="1:12" x14ac:dyDescent="0.2">
      <c r="A1404" s="547" t="s">
        <v>220</v>
      </c>
      <c r="B1404" s="547" t="s">
        <v>2351</v>
      </c>
      <c r="C1404" s="554" t="s">
        <v>3006</v>
      </c>
      <c r="D1404" s="554" t="s">
        <v>3007</v>
      </c>
      <c r="E1404" s="554" t="s">
        <v>9585</v>
      </c>
      <c r="F1404" s="571">
        <v>10</v>
      </c>
      <c r="G1404" s="572">
        <v>7.92</v>
      </c>
      <c r="H1404" s="545">
        <v>79.2</v>
      </c>
      <c r="I1404" s="554" t="s">
        <v>9218</v>
      </c>
      <c r="J1404" s="554" t="s">
        <v>9219</v>
      </c>
      <c r="K1404" s="554" t="s">
        <v>9219</v>
      </c>
      <c r="L1404" s="537" t="s">
        <v>2354</v>
      </c>
    </row>
    <row r="1405" spans="1:12" x14ac:dyDescent="0.2">
      <c r="A1405" s="547" t="s">
        <v>220</v>
      </c>
      <c r="B1405" s="547" t="s">
        <v>2351</v>
      </c>
      <c r="C1405" s="554" t="s">
        <v>3008</v>
      </c>
      <c r="D1405" s="554" t="s">
        <v>3009</v>
      </c>
      <c r="E1405" s="554" t="s">
        <v>9585</v>
      </c>
      <c r="F1405" s="571">
        <v>15</v>
      </c>
      <c r="G1405" s="572">
        <v>12.2445</v>
      </c>
      <c r="H1405" s="545">
        <v>183.66750000000002</v>
      </c>
      <c r="I1405" s="554" t="s">
        <v>9218</v>
      </c>
      <c r="J1405" s="554" t="s">
        <v>9219</v>
      </c>
      <c r="K1405" s="554" t="s">
        <v>9219</v>
      </c>
      <c r="L1405" s="537" t="s">
        <v>2354</v>
      </c>
    </row>
    <row r="1406" spans="1:12" x14ac:dyDescent="0.2">
      <c r="A1406" s="547" t="s">
        <v>220</v>
      </c>
      <c r="B1406" s="547" t="s">
        <v>2351</v>
      </c>
      <c r="C1406" s="554" t="s">
        <v>3010</v>
      </c>
      <c r="D1406" s="554" t="s">
        <v>3011</v>
      </c>
      <c r="E1406" s="554" t="s">
        <v>9585</v>
      </c>
      <c r="F1406" s="571">
        <v>6</v>
      </c>
      <c r="G1406" s="572">
        <v>12.5</v>
      </c>
      <c r="H1406" s="545">
        <v>75</v>
      </c>
      <c r="I1406" s="554" t="s">
        <v>9218</v>
      </c>
      <c r="J1406" s="554" t="s">
        <v>9219</v>
      </c>
      <c r="K1406" s="554" t="s">
        <v>9219</v>
      </c>
      <c r="L1406" s="537" t="s">
        <v>2354</v>
      </c>
    </row>
    <row r="1407" spans="1:12" x14ac:dyDescent="0.2">
      <c r="A1407" s="547" t="s">
        <v>220</v>
      </c>
      <c r="B1407" s="547" t="s">
        <v>2351</v>
      </c>
      <c r="C1407" s="554" t="s">
        <v>3012</v>
      </c>
      <c r="D1407" s="554" t="s">
        <v>3013</v>
      </c>
      <c r="E1407" s="554" t="s">
        <v>9585</v>
      </c>
      <c r="F1407" s="571">
        <v>6</v>
      </c>
      <c r="G1407" s="572">
        <v>14.4</v>
      </c>
      <c r="H1407" s="545">
        <v>86.4</v>
      </c>
      <c r="I1407" s="554" t="s">
        <v>9218</v>
      </c>
      <c r="J1407" s="554" t="s">
        <v>9219</v>
      </c>
      <c r="K1407" s="554" t="s">
        <v>9219</v>
      </c>
      <c r="L1407" s="537" t="s">
        <v>2354</v>
      </c>
    </row>
    <row r="1408" spans="1:12" x14ac:dyDescent="0.2">
      <c r="A1408" s="547" t="s">
        <v>220</v>
      </c>
      <c r="B1408" s="547" t="s">
        <v>2351</v>
      </c>
      <c r="C1408" s="554" t="s">
        <v>3014</v>
      </c>
      <c r="D1408" s="554" t="s">
        <v>3015</v>
      </c>
      <c r="E1408" s="554" t="s">
        <v>9585</v>
      </c>
      <c r="F1408" s="571">
        <v>10</v>
      </c>
      <c r="G1408" s="572">
        <v>8.1</v>
      </c>
      <c r="H1408" s="545">
        <v>81</v>
      </c>
      <c r="I1408" s="554" t="s">
        <v>9218</v>
      </c>
      <c r="J1408" s="554" t="s">
        <v>9219</v>
      </c>
      <c r="K1408" s="554" t="s">
        <v>9219</v>
      </c>
      <c r="L1408" s="537" t="s">
        <v>2354</v>
      </c>
    </row>
    <row r="1409" spans="1:12" x14ac:dyDescent="0.2">
      <c r="A1409" s="547" t="s">
        <v>220</v>
      </c>
      <c r="B1409" s="547" t="s">
        <v>2351</v>
      </c>
      <c r="C1409" s="554" t="s">
        <v>2381</v>
      </c>
      <c r="D1409" s="554" t="s">
        <v>2382</v>
      </c>
      <c r="E1409" s="554" t="s">
        <v>9585</v>
      </c>
      <c r="F1409" s="571">
        <v>10</v>
      </c>
      <c r="G1409" s="572">
        <v>6.8110285714285723</v>
      </c>
      <c r="H1409" s="545">
        <v>68.110285714285723</v>
      </c>
      <c r="I1409" s="554" t="s">
        <v>9218</v>
      </c>
      <c r="J1409" s="554" t="s">
        <v>9219</v>
      </c>
      <c r="K1409" s="554" t="s">
        <v>9219</v>
      </c>
      <c r="L1409" s="537" t="s">
        <v>2354</v>
      </c>
    </row>
    <row r="1410" spans="1:12" x14ac:dyDescent="0.2">
      <c r="A1410" s="547" t="s">
        <v>220</v>
      </c>
      <c r="B1410" s="547" t="s">
        <v>2351</v>
      </c>
      <c r="C1410" s="554" t="s">
        <v>3016</v>
      </c>
      <c r="D1410" s="554" t="s">
        <v>3017</v>
      </c>
      <c r="E1410" s="554" t="s">
        <v>9585</v>
      </c>
      <c r="F1410" s="571">
        <v>5</v>
      </c>
      <c r="G1410" s="572">
        <v>10.744199999999999</v>
      </c>
      <c r="H1410" s="545">
        <v>53.720999999999997</v>
      </c>
      <c r="I1410" s="554" t="s">
        <v>9218</v>
      </c>
      <c r="J1410" s="554" t="s">
        <v>9219</v>
      </c>
      <c r="K1410" s="554" t="s">
        <v>9219</v>
      </c>
      <c r="L1410" s="537" t="s">
        <v>2354</v>
      </c>
    </row>
    <row r="1411" spans="1:12" x14ac:dyDescent="0.2">
      <c r="A1411" s="547" t="s">
        <v>220</v>
      </c>
      <c r="B1411" s="547" t="s">
        <v>2351</v>
      </c>
      <c r="C1411" s="554" t="s">
        <v>3018</v>
      </c>
      <c r="D1411" s="554" t="s">
        <v>3019</v>
      </c>
      <c r="E1411" s="554" t="s">
        <v>9585</v>
      </c>
      <c r="F1411" s="571">
        <v>9</v>
      </c>
      <c r="G1411" s="572">
        <v>11.7</v>
      </c>
      <c r="H1411" s="545">
        <v>105.3</v>
      </c>
      <c r="I1411" s="554" t="s">
        <v>9218</v>
      </c>
      <c r="J1411" s="554" t="s">
        <v>9219</v>
      </c>
      <c r="K1411" s="554" t="s">
        <v>9219</v>
      </c>
      <c r="L1411" s="537" t="s">
        <v>2354</v>
      </c>
    </row>
    <row r="1412" spans="1:12" x14ac:dyDescent="0.2">
      <c r="A1412" s="547" t="s">
        <v>220</v>
      </c>
      <c r="B1412" s="547" t="s">
        <v>2351</v>
      </c>
      <c r="C1412" s="554" t="s">
        <v>3020</v>
      </c>
      <c r="D1412" s="554" t="s">
        <v>3021</v>
      </c>
      <c r="E1412" s="554" t="s">
        <v>9585</v>
      </c>
      <c r="F1412" s="571">
        <v>1</v>
      </c>
      <c r="G1412" s="572">
        <v>10.8</v>
      </c>
      <c r="H1412" s="545">
        <v>10.8</v>
      </c>
      <c r="I1412" s="554" t="s">
        <v>9218</v>
      </c>
      <c r="J1412" s="554" t="s">
        <v>9219</v>
      </c>
      <c r="K1412" s="554" t="s">
        <v>9219</v>
      </c>
      <c r="L1412" s="537" t="s">
        <v>2354</v>
      </c>
    </row>
    <row r="1413" spans="1:12" x14ac:dyDescent="0.2">
      <c r="A1413" s="547" t="s">
        <v>220</v>
      </c>
      <c r="B1413" s="547" t="s">
        <v>2351</v>
      </c>
      <c r="C1413" s="554" t="s">
        <v>3022</v>
      </c>
      <c r="D1413" s="554" t="s">
        <v>3023</v>
      </c>
      <c r="E1413" s="554" t="s">
        <v>9585</v>
      </c>
      <c r="F1413" s="571">
        <v>4</v>
      </c>
      <c r="G1413" s="572">
        <v>16.02</v>
      </c>
      <c r="H1413" s="545">
        <v>64.08</v>
      </c>
      <c r="I1413" s="554" t="s">
        <v>9218</v>
      </c>
      <c r="J1413" s="554" t="s">
        <v>9219</v>
      </c>
      <c r="K1413" s="554" t="s">
        <v>9219</v>
      </c>
      <c r="L1413" s="537" t="s">
        <v>2354</v>
      </c>
    </row>
    <row r="1414" spans="1:12" x14ac:dyDescent="0.2">
      <c r="A1414" s="547" t="s">
        <v>220</v>
      </c>
      <c r="B1414" s="547" t="s">
        <v>2351</v>
      </c>
      <c r="C1414" s="554" t="s">
        <v>3024</v>
      </c>
      <c r="D1414" s="554" t="s">
        <v>3025</v>
      </c>
      <c r="E1414" s="554" t="s">
        <v>9585</v>
      </c>
      <c r="F1414" s="571">
        <v>5</v>
      </c>
      <c r="G1414" s="572">
        <v>21.105126666666667</v>
      </c>
      <c r="H1414" s="545">
        <v>105.52563333333333</v>
      </c>
      <c r="I1414" s="554" t="s">
        <v>9218</v>
      </c>
      <c r="J1414" s="554" t="s">
        <v>9219</v>
      </c>
      <c r="K1414" s="554" t="s">
        <v>9219</v>
      </c>
      <c r="L1414" s="537" t="s">
        <v>2354</v>
      </c>
    </row>
    <row r="1415" spans="1:12" x14ac:dyDescent="0.2">
      <c r="A1415" s="547" t="s">
        <v>220</v>
      </c>
      <c r="B1415" s="547" t="s">
        <v>2351</v>
      </c>
      <c r="C1415" s="554" t="s">
        <v>5398</v>
      </c>
      <c r="D1415" s="554" t="s">
        <v>5399</v>
      </c>
      <c r="E1415" s="554" t="s">
        <v>9585</v>
      </c>
      <c r="F1415" s="571">
        <v>12</v>
      </c>
      <c r="G1415" s="572">
        <v>32.843699999999998</v>
      </c>
      <c r="H1415" s="545">
        <v>394.12439999999998</v>
      </c>
      <c r="I1415" s="554" t="s">
        <v>9218</v>
      </c>
      <c r="J1415" s="554" t="s">
        <v>9219</v>
      </c>
      <c r="K1415" s="554" t="s">
        <v>9219</v>
      </c>
      <c r="L1415" s="537" t="s">
        <v>2354</v>
      </c>
    </row>
    <row r="1416" spans="1:12" x14ac:dyDescent="0.2">
      <c r="A1416" s="547" t="s">
        <v>220</v>
      </c>
      <c r="B1416" s="547" t="s">
        <v>2351</v>
      </c>
      <c r="C1416" s="554" t="s">
        <v>3026</v>
      </c>
      <c r="D1416" s="554" t="s">
        <v>3027</v>
      </c>
      <c r="E1416" s="554" t="s">
        <v>9585</v>
      </c>
      <c r="F1416" s="571">
        <v>12</v>
      </c>
      <c r="G1416" s="572">
        <v>10.098000000000001</v>
      </c>
      <c r="H1416" s="545">
        <v>121.17600000000002</v>
      </c>
      <c r="I1416" s="554" t="s">
        <v>9218</v>
      </c>
      <c r="J1416" s="554" t="s">
        <v>9219</v>
      </c>
      <c r="K1416" s="554" t="s">
        <v>9219</v>
      </c>
      <c r="L1416" s="537" t="s">
        <v>2354</v>
      </c>
    </row>
    <row r="1417" spans="1:12" x14ac:dyDescent="0.2">
      <c r="A1417" s="547" t="s">
        <v>220</v>
      </c>
      <c r="B1417" s="547" t="s">
        <v>2351</v>
      </c>
      <c r="C1417" s="554" t="s">
        <v>3028</v>
      </c>
      <c r="D1417" s="554" t="s">
        <v>3029</v>
      </c>
      <c r="E1417" s="554" t="s">
        <v>9585</v>
      </c>
      <c r="F1417" s="571">
        <v>6</v>
      </c>
      <c r="G1417" s="572">
        <v>11.944315384615383</v>
      </c>
      <c r="H1417" s="545">
        <v>71.665892307692303</v>
      </c>
      <c r="I1417" s="554" t="s">
        <v>9218</v>
      </c>
      <c r="J1417" s="554" t="s">
        <v>9219</v>
      </c>
      <c r="K1417" s="554" t="s">
        <v>9219</v>
      </c>
      <c r="L1417" s="537" t="s">
        <v>2354</v>
      </c>
    </row>
    <row r="1418" spans="1:12" x14ac:dyDescent="0.2">
      <c r="A1418" s="547" t="s">
        <v>220</v>
      </c>
      <c r="B1418" s="547" t="s">
        <v>2351</v>
      </c>
      <c r="C1418" s="554" t="s">
        <v>3030</v>
      </c>
      <c r="D1418" s="554" t="s">
        <v>3031</v>
      </c>
      <c r="E1418" s="554" t="s">
        <v>9585</v>
      </c>
      <c r="F1418" s="571">
        <v>7</v>
      </c>
      <c r="G1418" s="572">
        <v>15.205641046831957</v>
      </c>
      <c r="H1418" s="545">
        <v>106.4394873278237</v>
      </c>
      <c r="I1418" s="554" t="s">
        <v>9218</v>
      </c>
      <c r="J1418" s="554" t="s">
        <v>9219</v>
      </c>
      <c r="K1418" s="554" t="s">
        <v>9219</v>
      </c>
      <c r="L1418" s="537" t="s">
        <v>2354</v>
      </c>
    </row>
    <row r="1419" spans="1:12" x14ac:dyDescent="0.2">
      <c r="A1419" s="547" t="s">
        <v>220</v>
      </c>
      <c r="B1419" s="547" t="s">
        <v>2351</v>
      </c>
      <c r="C1419" s="554" t="s">
        <v>3032</v>
      </c>
      <c r="D1419" s="554" t="s">
        <v>3033</v>
      </c>
      <c r="E1419" s="554" t="s">
        <v>9585</v>
      </c>
      <c r="F1419" s="571">
        <v>8</v>
      </c>
      <c r="G1419" s="572">
        <v>41.399099999999997</v>
      </c>
      <c r="H1419" s="545">
        <v>331.19279999999998</v>
      </c>
      <c r="I1419" s="554" t="s">
        <v>9218</v>
      </c>
      <c r="J1419" s="554" t="s">
        <v>9219</v>
      </c>
      <c r="K1419" s="554" t="s">
        <v>9219</v>
      </c>
      <c r="L1419" s="537" t="s">
        <v>2354</v>
      </c>
    </row>
    <row r="1420" spans="1:12" x14ac:dyDescent="0.2">
      <c r="A1420" s="547" t="s">
        <v>220</v>
      </c>
      <c r="B1420" s="547" t="s">
        <v>2351</v>
      </c>
      <c r="C1420" s="554" t="s">
        <v>3034</v>
      </c>
      <c r="D1420" s="554" t="s">
        <v>3035</v>
      </c>
      <c r="E1420" s="554" t="s">
        <v>9585</v>
      </c>
      <c r="F1420" s="571">
        <v>9</v>
      </c>
      <c r="G1420" s="572">
        <v>18.839700000000001</v>
      </c>
      <c r="H1420" s="545">
        <v>169.5573</v>
      </c>
      <c r="I1420" s="554" t="s">
        <v>9218</v>
      </c>
      <c r="J1420" s="554" t="s">
        <v>9219</v>
      </c>
      <c r="K1420" s="554" t="s">
        <v>9219</v>
      </c>
      <c r="L1420" s="537" t="s">
        <v>2354</v>
      </c>
    </row>
    <row r="1421" spans="1:12" x14ac:dyDescent="0.2">
      <c r="A1421" s="547" t="s">
        <v>220</v>
      </c>
      <c r="B1421" s="547" t="s">
        <v>2351</v>
      </c>
      <c r="C1421" s="554" t="s">
        <v>3036</v>
      </c>
      <c r="D1421" s="554" t="s">
        <v>3037</v>
      </c>
      <c r="E1421" s="554" t="s">
        <v>9585</v>
      </c>
      <c r="F1421" s="573">
        <v>4</v>
      </c>
      <c r="G1421" s="545">
        <v>0</v>
      </c>
      <c r="H1421" s="545">
        <v>0</v>
      </c>
      <c r="I1421" s="554" t="s">
        <v>9218</v>
      </c>
      <c r="J1421" s="554" t="s">
        <v>9219</v>
      </c>
      <c r="K1421" s="554" t="s">
        <v>9219</v>
      </c>
      <c r="L1421" s="537" t="s">
        <v>2354</v>
      </c>
    </row>
    <row r="1422" spans="1:12" x14ac:dyDescent="0.2">
      <c r="A1422" s="547" t="s">
        <v>220</v>
      </c>
      <c r="B1422" s="547" t="s">
        <v>2351</v>
      </c>
      <c r="C1422" s="554" t="s">
        <v>3038</v>
      </c>
      <c r="D1422" s="554" t="s">
        <v>3039</v>
      </c>
      <c r="E1422" s="554" t="s">
        <v>9585</v>
      </c>
      <c r="F1422" s="571">
        <v>2</v>
      </c>
      <c r="G1422" s="572">
        <v>19.727550000000001</v>
      </c>
      <c r="H1422" s="545">
        <v>39.455100000000002</v>
      </c>
      <c r="I1422" s="554" t="s">
        <v>9218</v>
      </c>
      <c r="J1422" s="554" t="s">
        <v>9219</v>
      </c>
      <c r="K1422" s="554" t="s">
        <v>9219</v>
      </c>
      <c r="L1422" s="537" t="s">
        <v>2354</v>
      </c>
    </row>
    <row r="1423" spans="1:12" x14ac:dyDescent="0.2">
      <c r="A1423" s="547" t="s">
        <v>220</v>
      </c>
      <c r="B1423" s="547" t="s">
        <v>2351</v>
      </c>
      <c r="C1423" s="554" t="s">
        <v>3040</v>
      </c>
      <c r="D1423" s="554" t="s">
        <v>3041</v>
      </c>
      <c r="E1423" s="554" t="s">
        <v>9585</v>
      </c>
      <c r="F1423" s="571">
        <v>8</v>
      </c>
      <c r="G1423" s="572">
        <v>3.7953000000000001</v>
      </c>
      <c r="H1423" s="545">
        <v>30.362400000000001</v>
      </c>
      <c r="I1423" s="554" t="s">
        <v>9218</v>
      </c>
      <c r="J1423" s="554" t="s">
        <v>9219</v>
      </c>
      <c r="K1423" s="554" t="s">
        <v>9219</v>
      </c>
      <c r="L1423" s="537" t="s">
        <v>2354</v>
      </c>
    </row>
    <row r="1424" spans="1:12" x14ac:dyDescent="0.2">
      <c r="A1424" s="547" t="s">
        <v>220</v>
      </c>
      <c r="B1424" s="547" t="s">
        <v>2351</v>
      </c>
      <c r="C1424" s="554" t="s">
        <v>3042</v>
      </c>
      <c r="D1424" s="554" t="s">
        <v>3043</v>
      </c>
      <c r="E1424" s="554" t="s">
        <v>9585</v>
      </c>
      <c r="F1424" s="571">
        <v>14</v>
      </c>
      <c r="G1424" s="572">
        <v>40.950000000000003</v>
      </c>
      <c r="H1424" s="545">
        <v>573.30000000000007</v>
      </c>
      <c r="I1424" s="554" t="s">
        <v>9218</v>
      </c>
      <c r="J1424" s="554" t="s">
        <v>9219</v>
      </c>
      <c r="K1424" s="554" t="s">
        <v>9219</v>
      </c>
      <c r="L1424" s="537" t="s">
        <v>2354</v>
      </c>
    </row>
    <row r="1425" spans="1:12" x14ac:dyDescent="0.2">
      <c r="A1425" s="547" t="s">
        <v>220</v>
      </c>
      <c r="B1425" s="547" t="s">
        <v>2351</v>
      </c>
      <c r="C1425" s="554" t="s">
        <v>3044</v>
      </c>
      <c r="D1425" s="554" t="s">
        <v>3045</v>
      </c>
      <c r="E1425" s="554" t="s">
        <v>9585</v>
      </c>
      <c r="F1425" s="571">
        <v>8</v>
      </c>
      <c r="G1425" s="572">
        <v>48.572099999999999</v>
      </c>
      <c r="H1425" s="545">
        <v>388.57679999999999</v>
      </c>
      <c r="I1425" s="554" t="s">
        <v>9218</v>
      </c>
      <c r="J1425" s="554" t="s">
        <v>9219</v>
      </c>
      <c r="K1425" s="554" t="s">
        <v>9219</v>
      </c>
      <c r="L1425" s="537" t="s">
        <v>2354</v>
      </c>
    </row>
    <row r="1426" spans="1:12" x14ac:dyDescent="0.2">
      <c r="A1426" s="547" t="s">
        <v>220</v>
      </c>
      <c r="B1426" s="547" t="s">
        <v>2351</v>
      </c>
      <c r="C1426" s="554" t="s">
        <v>3046</v>
      </c>
      <c r="D1426" s="554" t="s">
        <v>3047</v>
      </c>
      <c r="E1426" s="554" t="s">
        <v>9585</v>
      </c>
      <c r="F1426" s="571">
        <v>9</v>
      </c>
      <c r="G1426" s="572">
        <v>50.233499999999999</v>
      </c>
      <c r="H1426" s="545">
        <v>452.10149999999999</v>
      </c>
      <c r="I1426" s="554" t="s">
        <v>9218</v>
      </c>
      <c r="J1426" s="554" t="s">
        <v>9219</v>
      </c>
      <c r="K1426" s="554" t="s">
        <v>9219</v>
      </c>
      <c r="L1426" s="537" t="s">
        <v>2354</v>
      </c>
    </row>
    <row r="1427" spans="1:12" x14ac:dyDescent="0.2">
      <c r="A1427" s="547" t="s">
        <v>220</v>
      </c>
      <c r="B1427" s="547" t="s">
        <v>2351</v>
      </c>
      <c r="C1427" s="554" t="s">
        <v>3048</v>
      </c>
      <c r="D1427" s="554" t="s">
        <v>3049</v>
      </c>
      <c r="E1427" s="554" t="s">
        <v>9585</v>
      </c>
      <c r="F1427" s="571">
        <v>17</v>
      </c>
      <c r="G1427" s="572">
        <v>9</v>
      </c>
      <c r="H1427" s="545">
        <v>153</v>
      </c>
      <c r="I1427" s="554" t="s">
        <v>9218</v>
      </c>
      <c r="J1427" s="554" t="s">
        <v>9219</v>
      </c>
      <c r="K1427" s="554" t="s">
        <v>9219</v>
      </c>
      <c r="L1427" s="537" t="s">
        <v>2354</v>
      </c>
    </row>
    <row r="1428" spans="1:12" x14ac:dyDescent="0.2">
      <c r="A1428" s="547" t="s">
        <v>220</v>
      </c>
      <c r="B1428" s="547" t="s">
        <v>2351</v>
      </c>
      <c r="C1428" s="554" t="s">
        <v>3050</v>
      </c>
      <c r="D1428" s="554" t="s">
        <v>3051</v>
      </c>
      <c r="E1428" s="554" t="s">
        <v>9585</v>
      </c>
      <c r="F1428" s="571">
        <v>4</v>
      </c>
      <c r="G1428" s="572">
        <v>9.2178000000000004</v>
      </c>
      <c r="H1428" s="545">
        <v>36.871200000000002</v>
      </c>
      <c r="I1428" s="554" t="s">
        <v>9218</v>
      </c>
      <c r="J1428" s="554" t="s">
        <v>9219</v>
      </c>
      <c r="K1428" s="554" t="s">
        <v>9219</v>
      </c>
      <c r="L1428" s="537" t="s">
        <v>2354</v>
      </c>
    </row>
    <row r="1429" spans="1:12" x14ac:dyDescent="0.2">
      <c r="A1429" s="547" t="s">
        <v>220</v>
      </c>
      <c r="B1429" s="547" t="s">
        <v>2351</v>
      </c>
      <c r="C1429" s="554" t="s">
        <v>3052</v>
      </c>
      <c r="D1429" s="554" t="s">
        <v>3053</v>
      </c>
      <c r="E1429" s="554" t="s">
        <v>9585</v>
      </c>
      <c r="F1429" s="571">
        <v>8</v>
      </c>
      <c r="G1429" s="572">
        <v>8.2926000000000002</v>
      </c>
      <c r="H1429" s="545">
        <v>66.340800000000002</v>
      </c>
      <c r="I1429" s="554" t="s">
        <v>9218</v>
      </c>
      <c r="J1429" s="554" t="s">
        <v>9219</v>
      </c>
      <c r="K1429" s="554" t="s">
        <v>9219</v>
      </c>
      <c r="L1429" s="537" t="s">
        <v>2354</v>
      </c>
    </row>
    <row r="1430" spans="1:12" x14ac:dyDescent="0.2">
      <c r="A1430" s="547" t="s">
        <v>220</v>
      </c>
      <c r="B1430" s="547" t="s">
        <v>2351</v>
      </c>
      <c r="C1430" s="554" t="s">
        <v>3054</v>
      </c>
      <c r="D1430" s="554" t="s">
        <v>3055</v>
      </c>
      <c r="E1430" s="554" t="s">
        <v>9585</v>
      </c>
      <c r="F1430" s="571">
        <v>4</v>
      </c>
      <c r="G1430" s="572">
        <v>32.31</v>
      </c>
      <c r="H1430" s="545">
        <v>129.24</v>
      </c>
      <c r="I1430" s="554" t="s">
        <v>9218</v>
      </c>
      <c r="J1430" s="554" t="s">
        <v>9219</v>
      </c>
      <c r="K1430" s="554" t="s">
        <v>9219</v>
      </c>
      <c r="L1430" s="537" t="s">
        <v>2354</v>
      </c>
    </row>
    <row r="1431" spans="1:12" x14ac:dyDescent="0.2">
      <c r="A1431" s="547" t="s">
        <v>220</v>
      </c>
      <c r="B1431" s="547" t="s">
        <v>2351</v>
      </c>
      <c r="C1431" s="554" t="s">
        <v>3056</v>
      </c>
      <c r="D1431" s="554" t="s">
        <v>7559</v>
      </c>
      <c r="E1431" s="554" t="s">
        <v>9585</v>
      </c>
      <c r="F1431" s="571">
        <v>2</v>
      </c>
      <c r="G1431" s="572">
        <v>32.58</v>
      </c>
      <c r="H1431" s="545">
        <v>65.16</v>
      </c>
      <c r="I1431" s="554" t="s">
        <v>9218</v>
      </c>
      <c r="J1431" s="554" t="s">
        <v>9219</v>
      </c>
      <c r="K1431" s="554" t="s">
        <v>9219</v>
      </c>
      <c r="L1431" s="537" t="s">
        <v>2354</v>
      </c>
    </row>
    <row r="1432" spans="1:12" x14ac:dyDescent="0.2">
      <c r="A1432" s="547" t="s">
        <v>220</v>
      </c>
      <c r="B1432" s="547" t="s">
        <v>2351</v>
      </c>
      <c r="C1432" s="554" t="s">
        <v>3058</v>
      </c>
      <c r="D1432" s="554" t="s">
        <v>7561</v>
      </c>
      <c r="E1432" s="554" t="s">
        <v>9585</v>
      </c>
      <c r="F1432" s="571">
        <v>4</v>
      </c>
      <c r="G1432" s="572">
        <v>61.728299999999997</v>
      </c>
      <c r="H1432" s="545">
        <v>246.91319999999999</v>
      </c>
      <c r="I1432" s="554" t="s">
        <v>9218</v>
      </c>
      <c r="J1432" s="554" t="s">
        <v>9219</v>
      </c>
      <c r="K1432" s="554" t="s">
        <v>9219</v>
      </c>
      <c r="L1432" s="537" t="s">
        <v>2354</v>
      </c>
    </row>
    <row r="1433" spans="1:12" x14ac:dyDescent="0.2">
      <c r="A1433" s="547" t="s">
        <v>220</v>
      </c>
      <c r="B1433" s="547" t="s">
        <v>2351</v>
      </c>
      <c r="C1433" s="554" t="s">
        <v>5400</v>
      </c>
      <c r="D1433" s="554" t="s">
        <v>5401</v>
      </c>
      <c r="E1433" s="554" t="s">
        <v>9585</v>
      </c>
      <c r="F1433" s="571">
        <v>12</v>
      </c>
      <c r="G1433" s="572">
        <v>8.0970707070707064</v>
      </c>
      <c r="H1433" s="545">
        <v>97.164848484848477</v>
      </c>
      <c r="I1433" s="554" t="s">
        <v>9218</v>
      </c>
      <c r="J1433" s="554" t="s">
        <v>9219</v>
      </c>
      <c r="K1433" s="554" t="s">
        <v>9219</v>
      </c>
      <c r="L1433" s="537" t="s">
        <v>2354</v>
      </c>
    </row>
    <row r="1434" spans="1:12" x14ac:dyDescent="0.2">
      <c r="A1434" s="547" t="s">
        <v>220</v>
      </c>
      <c r="B1434" s="547" t="s">
        <v>2351</v>
      </c>
      <c r="C1434" s="554" t="s">
        <v>3059</v>
      </c>
      <c r="D1434" s="554" t="s">
        <v>3060</v>
      </c>
      <c r="E1434" s="554" t="s">
        <v>9585</v>
      </c>
      <c r="F1434" s="571">
        <v>1</v>
      </c>
      <c r="G1434" s="572">
        <v>284.39999999999998</v>
      </c>
      <c r="H1434" s="545">
        <v>284.39999999999998</v>
      </c>
      <c r="I1434" s="554" t="s">
        <v>9218</v>
      </c>
      <c r="J1434" s="554" t="s">
        <v>9219</v>
      </c>
      <c r="K1434" s="554" t="s">
        <v>9219</v>
      </c>
      <c r="L1434" s="537" t="s">
        <v>2354</v>
      </c>
    </row>
    <row r="1435" spans="1:12" x14ac:dyDescent="0.2">
      <c r="A1435" s="547" t="s">
        <v>220</v>
      </c>
      <c r="B1435" s="547" t="s">
        <v>2351</v>
      </c>
      <c r="C1435" s="554" t="s">
        <v>3061</v>
      </c>
      <c r="D1435" s="554" t="s">
        <v>3062</v>
      </c>
      <c r="E1435" s="554" t="s">
        <v>9585</v>
      </c>
      <c r="F1435" s="571">
        <v>1</v>
      </c>
      <c r="G1435" s="572">
        <v>10.7127</v>
      </c>
      <c r="H1435" s="545">
        <v>10.7127</v>
      </c>
      <c r="I1435" s="554" t="s">
        <v>9218</v>
      </c>
      <c r="J1435" s="554" t="s">
        <v>9219</v>
      </c>
      <c r="K1435" s="554" t="s">
        <v>9219</v>
      </c>
      <c r="L1435" s="537" t="s">
        <v>2354</v>
      </c>
    </row>
    <row r="1436" spans="1:12" x14ac:dyDescent="0.2">
      <c r="A1436" s="547" t="s">
        <v>220</v>
      </c>
      <c r="B1436" s="547" t="s">
        <v>2351</v>
      </c>
      <c r="C1436" s="554" t="s">
        <v>3063</v>
      </c>
      <c r="D1436" s="554" t="s">
        <v>3064</v>
      </c>
      <c r="E1436" s="554" t="s">
        <v>9585</v>
      </c>
      <c r="F1436" s="571">
        <v>1</v>
      </c>
      <c r="G1436" s="572">
        <v>697.5</v>
      </c>
      <c r="H1436" s="545">
        <v>697.5</v>
      </c>
      <c r="I1436" s="554" t="s">
        <v>9218</v>
      </c>
      <c r="J1436" s="554" t="s">
        <v>9219</v>
      </c>
      <c r="K1436" s="554" t="s">
        <v>9219</v>
      </c>
      <c r="L1436" s="537" t="s">
        <v>2354</v>
      </c>
    </row>
    <row r="1437" spans="1:12" x14ac:dyDescent="0.2">
      <c r="A1437" s="547" t="s">
        <v>220</v>
      </c>
      <c r="B1437" s="547" t="s">
        <v>2351</v>
      </c>
      <c r="C1437" s="554" t="s">
        <v>3065</v>
      </c>
      <c r="D1437" s="554" t="s">
        <v>3066</v>
      </c>
      <c r="E1437" s="554" t="s">
        <v>9585</v>
      </c>
      <c r="F1437" s="571">
        <v>2</v>
      </c>
      <c r="G1437" s="572">
        <v>115.65</v>
      </c>
      <c r="H1437" s="545">
        <v>231.3</v>
      </c>
      <c r="I1437" s="554" t="s">
        <v>9218</v>
      </c>
      <c r="J1437" s="554" t="s">
        <v>9219</v>
      </c>
      <c r="K1437" s="554" t="s">
        <v>9219</v>
      </c>
      <c r="L1437" s="537" t="s">
        <v>2354</v>
      </c>
    </row>
    <row r="1438" spans="1:12" x14ac:dyDescent="0.2">
      <c r="A1438" s="547" t="s">
        <v>220</v>
      </c>
      <c r="B1438" s="547" t="s">
        <v>2351</v>
      </c>
      <c r="C1438" s="554" t="s">
        <v>3069</v>
      </c>
      <c r="D1438" s="554" t="s">
        <v>3070</v>
      </c>
      <c r="E1438" s="554" t="s">
        <v>9585</v>
      </c>
      <c r="F1438" s="571">
        <v>2</v>
      </c>
      <c r="G1438" s="572">
        <v>68.31</v>
      </c>
      <c r="H1438" s="545">
        <v>136.62</v>
      </c>
      <c r="I1438" s="554" t="s">
        <v>9218</v>
      </c>
      <c r="J1438" s="554" t="s">
        <v>9219</v>
      </c>
      <c r="K1438" s="554" t="s">
        <v>9219</v>
      </c>
      <c r="L1438" s="537" t="s">
        <v>2354</v>
      </c>
    </row>
    <row r="1439" spans="1:12" x14ac:dyDescent="0.2">
      <c r="A1439" s="547" t="s">
        <v>220</v>
      </c>
      <c r="B1439" s="547" t="s">
        <v>2351</v>
      </c>
      <c r="C1439" s="554" t="s">
        <v>3071</v>
      </c>
      <c r="D1439" s="554" t="s">
        <v>3072</v>
      </c>
      <c r="E1439" s="554" t="s">
        <v>9585</v>
      </c>
      <c r="F1439" s="571">
        <v>2</v>
      </c>
      <c r="G1439" s="572">
        <v>10.17</v>
      </c>
      <c r="H1439" s="545">
        <v>20.34</v>
      </c>
      <c r="I1439" s="554" t="s">
        <v>9218</v>
      </c>
      <c r="J1439" s="554" t="s">
        <v>9219</v>
      </c>
      <c r="K1439" s="554" t="s">
        <v>9219</v>
      </c>
      <c r="L1439" s="537" t="s">
        <v>2354</v>
      </c>
    </row>
    <row r="1440" spans="1:12" x14ac:dyDescent="0.2">
      <c r="A1440" s="547" t="s">
        <v>220</v>
      </c>
      <c r="B1440" s="547" t="s">
        <v>2351</v>
      </c>
      <c r="C1440" s="554" t="s">
        <v>3073</v>
      </c>
      <c r="D1440" s="554" t="s">
        <v>3074</v>
      </c>
      <c r="E1440" s="554" t="s">
        <v>9585</v>
      </c>
      <c r="F1440" s="571">
        <v>6</v>
      </c>
      <c r="G1440" s="572">
        <v>35.276062499999995</v>
      </c>
      <c r="H1440" s="545">
        <v>211.65637499999997</v>
      </c>
      <c r="I1440" s="554" t="s">
        <v>9218</v>
      </c>
      <c r="J1440" s="554" t="s">
        <v>9219</v>
      </c>
      <c r="K1440" s="554" t="s">
        <v>9219</v>
      </c>
      <c r="L1440" s="537" t="s">
        <v>2354</v>
      </c>
    </row>
    <row r="1441" spans="1:12" x14ac:dyDescent="0.2">
      <c r="A1441" s="547" t="s">
        <v>220</v>
      </c>
      <c r="B1441" s="547" t="s">
        <v>2351</v>
      </c>
      <c r="C1441" s="554" t="s">
        <v>3075</v>
      </c>
      <c r="D1441" s="554" t="s">
        <v>3076</v>
      </c>
      <c r="E1441" s="554" t="s">
        <v>9585</v>
      </c>
      <c r="F1441" s="571">
        <v>5</v>
      </c>
      <c r="G1441" s="572">
        <v>14.2668</v>
      </c>
      <c r="H1441" s="545">
        <v>71.334000000000003</v>
      </c>
      <c r="I1441" s="554" t="s">
        <v>9218</v>
      </c>
      <c r="J1441" s="554" t="s">
        <v>9219</v>
      </c>
      <c r="K1441" s="554" t="s">
        <v>9219</v>
      </c>
      <c r="L1441" s="537" t="s">
        <v>2354</v>
      </c>
    </row>
    <row r="1442" spans="1:12" x14ac:dyDescent="0.2">
      <c r="A1442" s="547" t="s">
        <v>220</v>
      </c>
      <c r="B1442" s="547" t="s">
        <v>2351</v>
      </c>
      <c r="C1442" s="554" t="s">
        <v>3077</v>
      </c>
      <c r="D1442" s="554" t="s">
        <v>3078</v>
      </c>
      <c r="E1442" s="554" t="s">
        <v>9585</v>
      </c>
      <c r="F1442" s="571">
        <v>10</v>
      </c>
      <c r="G1442" s="572">
        <v>18.998248275862071</v>
      </c>
      <c r="H1442" s="545">
        <v>189.9824827586207</v>
      </c>
      <c r="I1442" s="554" t="s">
        <v>9218</v>
      </c>
      <c r="J1442" s="554" t="s">
        <v>9219</v>
      </c>
      <c r="K1442" s="554" t="s">
        <v>9219</v>
      </c>
      <c r="L1442" s="537" t="s">
        <v>2354</v>
      </c>
    </row>
    <row r="1443" spans="1:12" x14ac:dyDescent="0.2">
      <c r="A1443" s="547" t="s">
        <v>220</v>
      </c>
      <c r="B1443" s="547" t="s">
        <v>2351</v>
      </c>
      <c r="C1443" s="554" t="s">
        <v>3079</v>
      </c>
      <c r="D1443" s="554" t="s">
        <v>3080</v>
      </c>
      <c r="E1443" s="554" t="s">
        <v>9585</v>
      </c>
      <c r="F1443" s="571">
        <v>13</v>
      </c>
      <c r="G1443" s="572">
        <v>24.1128</v>
      </c>
      <c r="H1443" s="545">
        <v>313.46640000000002</v>
      </c>
      <c r="I1443" s="554" t="s">
        <v>9218</v>
      </c>
      <c r="J1443" s="554" t="s">
        <v>9219</v>
      </c>
      <c r="K1443" s="554" t="s">
        <v>9219</v>
      </c>
      <c r="L1443" s="537" t="s">
        <v>2354</v>
      </c>
    </row>
    <row r="1444" spans="1:12" x14ac:dyDescent="0.2">
      <c r="A1444" s="547" t="s">
        <v>220</v>
      </c>
      <c r="B1444" s="547" t="s">
        <v>2351</v>
      </c>
      <c r="C1444" s="554" t="s">
        <v>3081</v>
      </c>
      <c r="D1444" s="554" t="s">
        <v>3082</v>
      </c>
      <c r="E1444" s="554" t="s">
        <v>9585</v>
      </c>
      <c r="F1444" s="571">
        <v>5</v>
      </c>
      <c r="G1444" s="572">
        <v>9.9668571428571422</v>
      </c>
      <c r="H1444" s="545">
        <v>49.834285714285713</v>
      </c>
      <c r="I1444" s="554" t="s">
        <v>9218</v>
      </c>
      <c r="J1444" s="554" t="s">
        <v>9219</v>
      </c>
      <c r="K1444" s="554" t="s">
        <v>9219</v>
      </c>
      <c r="L1444" s="537" t="s">
        <v>2354</v>
      </c>
    </row>
    <row r="1445" spans="1:12" x14ac:dyDescent="0.2">
      <c r="A1445" s="547" t="s">
        <v>220</v>
      </c>
      <c r="B1445" s="547" t="s">
        <v>2351</v>
      </c>
      <c r="C1445" s="554" t="s">
        <v>3083</v>
      </c>
      <c r="D1445" s="554" t="s">
        <v>3084</v>
      </c>
      <c r="E1445" s="554" t="s">
        <v>9585</v>
      </c>
      <c r="F1445" s="571">
        <v>4</v>
      </c>
      <c r="G1445" s="572">
        <v>27</v>
      </c>
      <c r="H1445" s="545">
        <v>108</v>
      </c>
      <c r="I1445" s="554" t="s">
        <v>9218</v>
      </c>
      <c r="J1445" s="554" t="s">
        <v>9219</v>
      </c>
      <c r="K1445" s="554" t="s">
        <v>9219</v>
      </c>
      <c r="L1445" s="537" t="s">
        <v>2354</v>
      </c>
    </row>
    <row r="1446" spans="1:12" x14ac:dyDescent="0.2">
      <c r="A1446" s="547" t="s">
        <v>220</v>
      </c>
      <c r="B1446" s="547" t="s">
        <v>2351</v>
      </c>
      <c r="C1446" s="554" t="s">
        <v>5370</v>
      </c>
      <c r="D1446" s="554" t="s">
        <v>5371</v>
      </c>
      <c r="E1446" s="554" t="s">
        <v>9585</v>
      </c>
      <c r="F1446" s="571">
        <v>8</v>
      </c>
      <c r="G1446" s="572">
        <v>11.25</v>
      </c>
      <c r="H1446" s="545">
        <v>90</v>
      </c>
      <c r="I1446" s="554" t="s">
        <v>9218</v>
      </c>
      <c r="J1446" s="554" t="s">
        <v>9219</v>
      </c>
      <c r="K1446" s="554" t="s">
        <v>9219</v>
      </c>
      <c r="L1446" s="537" t="s">
        <v>2354</v>
      </c>
    </row>
    <row r="1447" spans="1:12" x14ac:dyDescent="0.2">
      <c r="A1447" s="547" t="s">
        <v>220</v>
      </c>
      <c r="B1447" s="547" t="s">
        <v>2351</v>
      </c>
      <c r="C1447" s="554" t="s">
        <v>3085</v>
      </c>
      <c r="D1447" s="554" t="s">
        <v>3086</v>
      </c>
      <c r="E1447" s="554" t="s">
        <v>9585</v>
      </c>
      <c r="F1447" s="571">
        <v>6</v>
      </c>
      <c r="G1447" s="572">
        <v>43.400700000000001</v>
      </c>
      <c r="H1447" s="545">
        <v>260.4042</v>
      </c>
      <c r="I1447" s="554" t="s">
        <v>9218</v>
      </c>
      <c r="J1447" s="554" t="s">
        <v>9219</v>
      </c>
      <c r="K1447" s="554" t="s">
        <v>9219</v>
      </c>
      <c r="L1447" s="537" t="s">
        <v>2354</v>
      </c>
    </row>
    <row r="1448" spans="1:12" x14ac:dyDescent="0.2">
      <c r="A1448" s="547" t="s">
        <v>220</v>
      </c>
      <c r="B1448" s="547" t="s">
        <v>2351</v>
      </c>
      <c r="C1448" s="554" t="s">
        <v>3087</v>
      </c>
      <c r="D1448" s="554" t="s">
        <v>3088</v>
      </c>
      <c r="E1448" s="554" t="s">
        <v>9585</v>
      </c>
      <c r="F1448" s="571">
        <v>6</v>
      </c>
      <c r="G1448" s="572">
        <v>31.5945</v>
      </c>
      <c r="H1448" s="545">
        <v>189.56700000000001</v>
      </c>
      <c r="I1448" s="554" t="s">
        <v>9218</v>
      </c>
      <c r="J1448" s="554" t="s">
        <v>9219</v>
      </c>
      <c r="K1448" s="554" t="s">
        <v>9219</v>
      </c>
      <c r="L1448" s="537" t="s">
        <v>2354</v>
      </c>
    </row>
    <row r="1449" spans="1:12" x14ac:dyDescent="0.2">
      <c r="A1449" s="547" t="s">
        <v>220</v>
      </c>
      <c r="B1449" s="547" t="s">
        <v>2351</v>
      </c>
      <c r="C1449" s="554" t="s">
        <v>3089</v>
      </c>
      <c r="D1449" s="554" t="s">
        <v>3090</v>
      </c>
      <c r="E1449" s="554" t="s">
        <v>9585</v>
      </c>
      <c r="F1449" s="571">
        <v>8</v>
      </c>
      <c r="G1449" s="572">
        <v>10.829699999999999</v>
      </c>
      <c r="H1449" s="545">
        <v>86.637599999999992</v>
      </c>
      <c r="I1449" s="554" t="s">
        <v>9218</v>
      </c>
      <c r="J1449" s="554" t="s">
        <v>9219</v>
      </c>
      <c r="K1449" s="554" t="s">
        <v>9219</v>
      </c>
      <c r="L1449" s="537" t="s">
        <v>2354</v>
      </c>
    </row>
    <row r="1450" spans="1:12" x14ac:dyDescent="0.2">
      <c r="A1450" s="547" t="s">
        <v>220</v>
      </c>
      <c r="B1450" s="547" t="s">
        <v>2351</v>
      </c>
      <c r="C1450" s="554" t="s">
        <v>3091</v>
      </c>
      <c r="D1450" s="554" t="s">
        <v>3092</v>
      </c>
      <c r="E1450" s="554" t="s">
        <v>9585</v>
      </c>
      <c r="F1450" s="571">
        <v>2</v>
      </c>
      <c r="G1450" s="572">
        <v>95.915700000000001</v>
      </c>
      <c r="H1450" s="545">
        <v>191.8314</v>
      </c>
      <c r="I1450" s="554" t="s">
        <v>9218</v>
      </c>
      <c r="J1450" s="554" t="s">
        <v>9219</v>
      </c>
      <c r="K1450" s="554" t="s">
        <v>9219</v>
      </c>
      <c r="L1450" s="537" t="s">
        <v>2354</v>
      </c>
    </row>
    <row r="1451" spans="1:12" x14ac:dyDescent="0.2">
      <c r="A1451" s="547" t="s">
        <v>220</v>
      </c>
      <c r="B1451" s="547" t="s">
        <v>2351</v>
      </c>
      <c r="C1451" s="554" t="s">
        <v>3093</v>
      </c>
      <c r="D1451" s="554" t="s">
        <v>3094</v>
      </c>
      <c r="E1451" s="554" t="s">
        <v>9585</v>
      </c>
      <c r="F1451" s="571">
        <v>1</v>
      </c>
      <c r="G1451" s="572">
        <v>94.6845</v>
      </c>
      <c r="H1451" s="545">
        <v>94.6845</v>
      </c>
      <c r="I1451" s="554" t="s">
        <v>9218</v>
      </c>
      <c r="J1451" s="554" t="s">
        <v>9219</v>
      </c>
      <c r="K1451" s="554" t="s">
        <v>9219</v>
      </c>
      <c r="L1451" s="537" t="s">
        <v>2354</v>
      </c>
    </row>
    <row r="1452" spans="1:12" x14ac:dyDescent="0.2">
      <c r="A1452" s="547" t="s">
        <v>220</v>
      </c>
      <c r="B1452" s="547" t="s">
        <v>2351</v>
      </c>
      <c r="C1452" s="554" t="s">
        <v>3095</v>
      </c>
      <c r="D1452" s="554" t="s">
        <v>3096</v>
      </c>
      <c r="E1452" s="554" t="s">
        <v>9585</v>
      </c>
      <c r="F1452" s="571">
        <v>1</v>
      </c>
      <c r="G1452" s="572">
        <v>230.4855</v>
      </c>
      <c r="H1452" s="545">
        <v>230.4855</v>
      </c>
      <c r="I1452" s="554" t="s">
        <v>9218</v>
      </c>
      <c r="J1452" s="554" t="s">
        <v>9219</v>
      </c>
      <c r="K1452" s="554" t="s">
        <v>9219</v>
      </c>
      <c r="L1452" s="537" t="s">
        <v>2354</v>
      </c>
    </row>
    <row r="1453" spans="1:12" x14ac:dyDescent="0.2">
      <c r="A1453" s="547" t="s">
        <v>220</v>
      </c>
      <c r="B1453" s="547" t="s">
        <v>2351</v>
      </c>
      <c r="C1453" s="554" t="s">
        <v>3097</v>
      </c>
      <c r="D1453" s="554" t="s">
        <v>3098</v>
      </c>
      <c r="E1453" s="554" t="s">
        <v>9585</v>
      </c>
      <c r="F1453" s="573">
        <v>1</v>
      </c>
      <c r="G1453" s="545">
        <v>0</v>
      </c>
      <c r="H1453" s="545">
        <v>0</v>
      </c>
      <c r="I1453" s="554" t="s">
        <v>9218</v>
      </c>
      <c r="J1453" s="554" t="s">
        <v>9219</v>
      </c>
      <c r="K1453" s="554" t="s">
        <v>9219</v>
      </c>
      <c r="L1453" s="537" t="s">
        <v>2354</v>
      </c>
    </row>
    <row r="1454" spans="1:12" x14ac:dyDescent="0.2">
      <c r="A1454" s="547" t="s">
        <v>220</v>
      </c>
      <c r="B1454" s="547" t="s">
        <v>2351</v>
      </c>
      <c r="C1454" s="554" t="s">
        <v>3099</v>
      </c>
      <c r="D1454" s="554" t="s">
        <v>3100</v>
      </c>
      <c r="E1454" s="554" t="s">
        <v>9585</v>
      </c>
      <c r="F1454" s="571">
        <v>7</v>
      </c>
      <c r="G1454" s="572">
        <v>113.2002</v>
      </c>
      <c r="H1454" s="545">
        <v>792.40139999999997</v>
      </c>
      <c r="I1454" s="554" t="s">
        <v>9218</v>
      </c>
      <c r="J1454" s="554" t="s">
        <v>9219</v>
      </c>
      <c r="K1454" s="554" t="s">
        <v>9219</v>
      </c>
      <c r="L1454" s="537" t="s">
        <v>2354</v>
      </c>
    </row>
    <row r="1455" spans="1:12" x14ac:dyDescent="0.2">
      <c r="A1455" s="547" t="s">
        <v>220</v>
      </c>
      <c r="B1455" s="547" t="s">
        <v>2351</v>
      </c>
      <c r="C1455" s="554" t="s">
        <v>3101</v>
      </c>
      <c r="D1455" s="554" t="s">
        <v>3102</v>
      </c>
      <c r="E1455" s="554" t="s">
        <v>9585</v>
      </c>
      <c r="F1455" s="571">
        <v>8</v>
      </c>
      <c r="G1455" s="572">
        <v>12.132</v>
      </c>
      <c r="H1455" s="545">
        <v>97.055999999999997</v>
      </c>
      <c r="I1455" s="554" t="s">
        <v>9218</v>
      </c>
      <c r="J1455" s="554" t="s">
        <v>9219</v>
      </c>
      <c r="K1455" s="554" t="s">
        <v>9219</v>
      </c>
      <c r="L1455" s="537" t="s">
        <v>2354</v>
      </c>
    </row>
    <row r="1456" spans="1:12" x14ac:dyDescent="0.2">
      <c r="A1456" s="547" t="s">
        <v>220</v>
      </c>
      <c r="B1456" s="547" t="s">
        <v>2351</v>
      </c>
      <c r="C1456" s="554" t="s">
        <v>3103</v>
      </c>
      <c r="D1456" s="554" t="s">
        <v>3104</v>
      </c>
      <c r="E1456" s="554" t="s">
        <v>9585</v>
      </c>
      <c r="F1456" s="573">
        <v>2</v>
      </c>
      <c r="G1456" s="545">
        <v>0</v>
      </c>
      <c r="H1456" s="545">
        <v>0</v>
      </c>
      <c r="I1456" s="554" t="s">
        <v>9218</v>
      </c>
      <c r="J1456" s="554" t="s">
        <v>9219</v>
      </c>
      <c r="K1456" s="554" t="s">
        <v>9219</v>
      </c>
      <c r="L1456" s="537" t="s">
        <v>2354</v>
      </c>
    </row>
    <row r="1457" spans="1:12" x14ac:dyDescent="0.2">
      <c r="A1457" s="547" t="s">
        <v>220</v>
      </c>
      <c r="B1457" s="547" t="s">
        <v>2351</v>
      </c>
      <c r="C1457" s="554" t="s">
        <v>3105</v>
      </c>
      <c r="D1457" s="554" t="s">
        <v>3106</v>
      </c>
      <c r="E1457" s="554" t="s">
        <v>9585</v>
      </c>
      <c r="F1457" s="573">
        <v>1</v>
      </c>
      <c r="G1457" s="545">
        <v>0</v>
      </c>
      <c r="H1457" s="545">
        <v>0</v>
      </c>
      <c r="I1457" s="554" t="s">
        <v>9218</v>
      </c>
      <c r="J1457" s="554" t="s">
        <v>9219</v>
      </c>
      <c r="K1457" s="554" t="s">
        <v>9219</v>
      </c>
      <c r="L1457" s="537" t="s">
        <v>2354</v>
      </c>
    </row>
    <row r="1458" spans="1:12" x14ac:dyDescent="0.2">
      <c r="A1458" s="547" t="s">
        <v>220</v>
      </c>
      <c r="B1458" s="547" t="s">
        <v>2351</v>
      </c>
      <c r="C1458" s="554" t="s">
        <v>3107</v>
      </c>
      <c r="D1458" s="554" t="s">
        <v>3108</v>
      </c>
      <c r="E1458" s="554" t="s">
        <v>9585</v>
      </c>
      <c r="F1458" s="573">
        <v>2</v>
      </c>
      <c r="G1458" s="545">
        <v>0</v>
      </c>
      <c r="H1458" s="545">
        <v>0</v>
      </c>
      <c r="I1458" s="554" t="s">
        <v>9218</v>
      </c>
      <c r="J1458" s="554" t="s">
        <v>9219</v>
      </c>
      <c r="K1458" s="554" t="s">
        <v>9219</v>
      </c>
      <c r="L1458" s="537" t="s">
        <v>2354</v>
      </c>
    </row>
    <row r="1459" spans="1:12" x14ac:dyDescent="0.2">
      <c r="A1459" s="547" t="s">
        <v>220</v>
      </c>
      <c r="B1459" s="547" t="s">
        <v>2351</v>
      </c>
      <c r="C1459" s="554" t="s">
        <v>3109</v>
      </c>
      <c r="D1459" s="554" t="s">
        <v>3110</v>
      </c>
      <c r="E1459" s="554" t="s">
        <v>9585</v>
      </c>
      <c r="F1459" s="573">
        <v>1</v>
      </c>
      <c r="G1459" s="545">
        <v>0</v>
      </c>
      <c r="H1459" s="545">
        <v>0</v>
      </c>
      <c r="I1459" s="554" t="s">
        <v>9218</v>
      </c>
      <c r="J1459" s="554" t="s">
        <v>9219</v>
      </c>
      <c r="K1459" s="554" t="s">
        <v>9219</v>
      </c>
      <c r="L1459" s="537" t="s">
        <v>2354</v>
      </c>
    </row>
    <row r="1460" spans="1:12" x14ac:dyDescent="0.2">
      <c r="A1460" s="547" t="s">
        <v>220</v>
      </c>
      <c r="B1460" s="547" t="s">
        <v>2351</v>
      </c>
      <c r="C1460" s="554" t="s">
        <v>3113</v>
      </c>
      <c r="D1460" s="554" t="s">
        <v>3114</v>
      </c>
      <c r="E1460" s="554" t="s">
        <v>9585</v>
      </c>
      <c r="F1460" s="571">
        <v>1</v>
      </c>
      <c r="G1460" s="572">
        <v>174.6</v>
      </c>
      <c r="H1460" s="545">
        <v>174.6</v>
      </c>
      <c r="I1460" s="554" t="s">
        <v>9218</v>
      </c>
      <c r="J1460" s="554" t="s">
        <v>9219</v>
      </c>
      <c r="K1460" s="554" t="s">
        <v>9219</v>
      </c>
      <c r="L1460" s="537" t="s">
        <v>2354</v>
      </c>
    </row>
    <row r="1461" spans="1:12" x14ac:dyDescent="0.2">
      <c r="A1461" s="547" t="s">
        <v>220</v>
      </c>
      <c r="B1461" s="547" t="s">
        <v>2351</v>
      </c>
      <c r="C1461" s="554" t="s">
        <v>3115</v>
      </c>
      <c r="D1461" s="554" t="s">
        <v>3116</v>
      </c>
      <c r="E1461" s="554" t="s">
        <v>9585</v>
      </c>
      <c r="F1461" s="571">
        <v>2</v>
      </c>
      <c r="G1461" s="572">
        <v>161.76424</v>
      </c>
      <c r="H1461" s="545">
        <v>323.52848</v>
      </c>
      <c r="I1461" s="554" t="s">
        <v>9218</v>
      </c>
      <c r="J1461" s="554" t="s">
        <v>9219</v>
      </c>
      <c r="K1461" s="554" t="s">
        <v>9219</v>
      </c>
      <c r="L1461" s="537" t="s">
        <v>2354</v>
      </c>
    </row>
    <row r="1462" spans="1:12" x14ac:dyDescent="0.2">
      <c r="A1462" s="547" t="s">
        <v>220</v>
      </c>
      <c r="B1462" s="547" t="s">
        <v>2351</v>
      </c>
      <c r="C1462" s="554" t="s">
        <v>3119</v>
      </c>
      <c r="D1462" s="554" t="s">
        <v>3120</v>
      </c>
      <c r="E1462" s="554" t="s">
        <v>9585</v>
      </c>
      <c r="F1462" s="573">
        <v>1</v>
      </c>
      <c r="G1462" s="545">
        <v>0</v>
      </c>
      <c r="H1462" s="545">
        <v>0</v>
      </c>
      <c r="I1462" s="554" t="s">
        <v>9218</v>
      </c>
      <c r="J1462" s="554" t="s">
        <v>9219</v>
      </c>
      <c r="K1462" s="554" t="s">
        <v>9219</v>
      </c>
      <c r="L1462" s="537" t="s">
        <v>2354</v>
      </c>
    </row>
    <row r="1463" spans="1:12" x14ac:dyDescent="0.2">
      <c r="A1463" s="547" t="s">
        <v>220</v>
      </c>
      <c r="B1463" s="547" t="s">
        <v>2351</v>
      </c>
      <c r="C1463" s="554" t="s">
        <v>3121</v>
      </c>
      <c r="D1463" s="554" t="s">
        <v>3122</v>
      </c>
      <c r="E1463" s="554" t="s">
        <v>9585</v>
      </c>
      <c r="F1463" s="571">
        <v>2</v>
      </c>
      <c r="G1463" s="572">
        <v>71.7</v>
      </c>
      <c r="H1463" s="545">
        <v>143.4</v>
      </c>
      <c r="I1463" s="554" t="s">
        <v>9218</v>
      </c>
      <c r="J1463" s="554" t="s">
        <v>9219</v>
      </c>
      <c r="K1463" s="554" t="s">
        <v>9219</v>
      </c>
      <c r="L1463" s="537" t="s">
        <v>2354</v>
      </c>
    </row>
    <row r="1464" spans="1:12" x14ac:dyDescent="0.2">
      <c r="A1464" s="547" t="s">
        <v>220</v>
      </c>
      <c r="B1464" s="547" t="s">
        <v>2351</v>
      </c>
      <c r="C1464" s="554" t="s">
        <v>3123</v>
      </c>
      <c r="D1464" s="554" t="s">
        <v>3124</v>
      </c>
      <c r="E1464" s="554" t="s">
        <v>9585</v>
      </c>
      <c r="F1464" s="571">
        <v>2</v>
      </c>
      <c r="G1464" s="572">
        <v>153.9</v>
      </c>
      <c r="H1464" s="545">
        <v>307.8</v>
      </c>
      <c r="I1464" s="554" t="s">
        <v>9218</v>
      </c>
      <c r="J1464" s="554" t="s">
        <v>9219</v>
      </c>
      <c r="K1464" s="554" t="s">
        <v>9219</v>
      </c>
      <c r="L1464" s="537" t="s">
        <v>2354</v>
      </c>
    </row>
    <row r="1465" spans="1:12" x14ac:dyDescent="0.2">
      <c r="A1465" s="547" t="s">
        <v>220</v>
      </c>
      <c r="B1465" s="547" t="s">
        <v>2351</v>
      </c>
      <c r="C1465" s="554" t="s">
        <v>3125</v>
      </c>
      <c r="D1465" s="554" t="s">
        <v>3126</v>
      </c>
      <c r="E1465" s="554" t="s">
        <v>9585</v>
      </c>
      <c r="F1465" s="571">
        <v>1</v>
      </c>
      <c r="G1465" s="572">
        <v>77.400000000000006</v>
      </c>
      <c r="H1465" s="545">
        <v>77.400000000000006</v>
      </c>
      <c r="I1465" s="554" t="s">
        <v>9218</v>
      </c>
      <c r="J1465" s="554" t="s">
        <v>9219</v>
      </c>
      <c r="K1465" s="554" t="s">
        <v>9219</v>
      </c>
      <c r="L1465" s="537" t="s">
        <v>2354</v>
      </c>
    </row>
    <row r="1466" spans="1:12" x14ac:dyDescent="0.2">
      <c r="A1466" s="547" t="s">
        <v>220</v>
      </c>
      <c r="B1466" s="547" t="s">
        <v>2351</v>
      </c>
      <c r="C1466" s="554" t="s">
        <v>3127</v>
      </c>
      <c r="D1466" s="554" t="s">
        <v>3128</v>
      </c>
      <c r="E1466" s="554" t="s">
        <v>9585</v>
      </c>
      <c r="F1466" s="571">
        <v>1</v>
      </c>
      <c r="G1466" s="572">
        <v>311.39800000000002</v>
      </c>
      <c r="H1466" s="545">
        <v>311.39800000000002</v>
      </c>
      <c r="I1466" s="554" t="s">
        <v>9218</v>
      </c>
      <c r="J1466" s="554" t="s">
        <v>9219</v>
      </c>
      <c r="K1466" s="554" t="s">
        <v>9219</v>
      </c>
      <c r="L1466" s="537" t="s">
        <v>2354</v>
      </c>
    </row>
    <row r="1467" spans="1:12" x14ac:dyDescent="0.2">
      <c r="A1467" s="547" t="s">
        <v>220</v>
      </c>
      <c r="B1467" s="547" t="s">
        <v>2351</v>
      </c>
      <c r="C1467" s="554" t="s">
        <v>3127</v>
      </c>
      <c r="D1467" s="554" t="s">
        <v>5313</v>
      </c>
      <c r="E1467" s="554" t="s">
        <v>9585</v>
      </c>
      <c r="F1467" s="571">
        <v>2</v>
      </c>
      <c r="G1467" s="572">
        <v>311.39800000000002</v>
      </c>
      <c r="H1467" s="545">
        <v>622.79600000000005</v>
      </c>
      <c r="I1467" s="554" t="s">
        <v>9218</v>
      </c>
      <c r="J1467" s="554" t="s">
        <v>9219</v>
      </c>
      <c r="K1467" s="554" t="s">
        <v>9219</v>
      </c>
      <c r="L1467" s="537" t="s">
        <v>2354</v>
      </c>
    </row>
    <row r="1468" spans="1:12" x14ac:dyDescent="0.2">
      <c r="A1468" s="547" t="s">
        <v>220</v>
      </c>
      <c r="B1468" s="547" t="s">
        <v>2351</v>
      </c>
      <c r="C1468" s="554" t="s">
        <v>3129</v>
      </c>
      <c r="D1468" s="554" t="s">
        <v>3130</v>
      </c>
      <c r="E1468" s="554" t="s">
        <v>9585</v>
      </c>
      <c r="F1468" s="571">
        <v>4</v>
      </c>
      <c r="G1468" s="572">
        <v>95.421000000000006</v>
      </c>
      <c r="H1468" s="545">
        <v>381.68400000000003</v>
      </c>
      <c r="I1468" s="554" t="s">
        <v>9218</v>
      </c>
      <c r="J1468" s="554" t="s">
        <v>9219</v>
      </c>
      <c r="K1468" s="554" t="s">
        <v>9219</v>
      </c>
      <c r="L1468" s="537" t="s">
        <v>2354</v>
      </c>
    </row>
    <row r="1469" spans="1:12" x14ac:dyDescent="0.2">
      <c r="A1469" s="547" t="s">
        <v>220</v>
      </c>
      <c r="B1469" s="547" t="s">
        <v>2351</v>
      </c>
      <c r="C1469" s="554" t="s">
        <v>3131</v>
      </c>
      <c r="D1469" s="554" t="s">
        <v>3132</v>
      </c>
      <c r="E1469" s="554" t="s">
        <v>9585</v>
      </c>
      <c r="F1469" s="571">
        <v>4</v>
      </c>
      <c r="G1469" s="572">
        <v>102.55249999999999</v>
      </c>
      <c r="H1469" s="545">
        <v>410.21</v>
      </c>
      <c r="I1469" s="554" t="s">
        <v>9218</v>
      </c>
      <c r="J1469" s="554" t="s">
        <v>9219</v>
      </c>
      <c r="K1469" s="554" t="s">
        <v>9219</v>
      </c>
      <c r="L1469" s="537" t="s">
        <v>2354</v>
      </c>
    </row>
    <row r="1470" spans="1:12" x14ac:dyDescent="0.2">
      <c r="A1470" s="547" t="s">
        <v>220</v>
      </c>
      <c r="B1470" s="547" t="s">
        <v>2351</v>
      </c>
      <c r="C1470" s="554" t="s">
        <v>5315</v>
      </c>
      <c r="D1470" s="554" t="s">
        <v>5316</v>
      </c>
      <c r="E1470" s="554" t="s">
        <v>9585</v>
      </c>
      <c r="F1470" s="571">
        <v>4</v>
      </c>
      <c r="G1470" s="572">
        <v>102.55249999999999</v>
      </c>
      <c r="H1470" s="545">
        <v>410.21</v>
      </c>
      <c r="I1470" s="554" t="s">
        <v>9218</v>
      </c>
      <c r="J1470" s="554" t="s">
        <v>9219</v>
      </c>
      <c r="K1470" s="554" t="s">
        <v>9219</v>
      </c>
      <c r="L1470" s="537" t="s">
        <v>2354</v>
      </c>
    </row>
    <row r="1471" spans="1:12" x14ac:dyDescent="0.2">
      <c r="A1471" s="547" t="s">
        <v>220</v>
      </c>
      <c r="B1471" s="547" t="s">
        <v>2351</v>
      </c>
      <c r="C1471" s="554" t="s">
        <v>6674</v>
      </c>
      <c r="D1471" s="554" t="s">
        <v>8221</v>
      </c>
      <c r="E1471" s="554" t="s">
        <v>9585</v>
      </c>
      <c r="F1471" s="571">
        <v>4</v>
      </c>
      <c r="G1471" s="572">
        <v>181.52</v>
      </c>
      <c r="H1471" s="545">
        <v>726.08</v>
      </c>
      <c r="I1471" s="554" t="s">
        <v>9218</v>
      </c>
      <c r="J1471" s="554" t="s">
        <v>9219</v>
      </c>
      <c r="K1471" s="554" t="s">
        <v>9219</v>
      </c>
      <c r="L1471" s="537" t="s">
        <v>2354</v>
      </c>
    </row>
    <row r="1472" spans="1:12" x14ac:dyDescent="0.2">
      <c r="A1472" s="547" t="s">
        <v>220</v>
      </c>
      <c r="B1472" s="547" t="s">
        <v>2351</v>
      </c>
      <c r="C1472" s="554" t="s">
        <v>3133</v>
      </c>
      <c r="D1472" s="554" t="s">
        <v>3134</v>
      </c>
      <c r="E1472" s="554" t="s">
        <v>9585</v>
      </c>
      <c r="F1472" s="571">
        <v>8</v>
      </c>
      <c r="G1472" s="572">
        <v>31.801500000000001</v>
      </c>
      <c r="H1472" s="545">
        <v>254.41200000000001</v>
      </c>
      <c r="I1472" s="554" t="s">
        <v>9218</v>
      </c>
      <c r="J1472" s="554" t="s">
        <v>9219</v>
      </c>
      <c r="K1472" s="554" t="s">
        <v>9219</v>
      </c>
      <c r="L1472" s="537" t="s">
        <v>2354</v>
      </c>
    </row>
    <row r="1473" spans="1:12" x14ac:dyDescent="0.2">
      <c r="A1473" s="547" t="s">
        <v>220</v>
      </c>
      <c r="B1473" s="547" t="s">
        <v>2351</v>
      </c>
      <c r="C1473" s="554" t="s">
        <v>3135</v>
      </c>
      <c r="D1473" s="554" t="s">
        <v>3136</v>
      </c>
      <c r="E1473" s="554" t="s">
        <v>9585</v>
      </c>
      <c r="F1473" s="571">
        <v>50</v>
      </c>
      <c r="G1473" s="572">
        <v>21.45</v>
      </c>
      <c r="H1473" s="545">
        <v>1072.5</v>
      </c>
      <c r="I1473" s="554" t="s">
        <v>9218</v>
      </c>
      <c r="J1473" s="554" t="s">
        <v>9219</v>
      </c>
      <c r="K1473" s="554" t="s">
        <v>9219</v>
      </c>
      <c r="L1473" s="537" t="s">
        <v>2354</v>
      </c>
    </row>
    <row r="1474" spans="1:12" x14ac:dyDescent="0.2">
      <c r="A1474" s="547" t="s">
        <v>220</v>
      </c>
      <c r="B1474" s="547" t="s">
        <v>2351</v>
      </c>
      <c r="C1474" s="554" t="s">
        <v>3137</v>
      </c>
      <c r="D1474" s="554" t="s">
        <v>3138</v>
      </c>
      <c r="E1474" s="554" t="s">
        <v>9585</v>
      </c>
      <c r="F1474" s="571">
        <v>7</v>
      </c>
      <c r="G1474" s="572">
        <v>0.52715999999999996</v>
      </c>
      <c r="H1474" s="545">
        <v>3.6901199999999998</v>
      </c>
      <c r="I1474" s="554" t="s">
        <v>9218</v>
      </c>
      <c r="J1474" s="554" t="s">
        <v>9219</v>
      </c>
      <c r="K1474" s="554" t="s">
        <v>9219</v>
      </c>
      <c r="L1474" s="537" t="s">
        <v>2354</v>
      </c>
    </row>
    <row r="1475" spans="1:12" x14ac:dyDescent="0.2">
      <c r="A1475" s="547" t="s">
        <v>220</v>
      </c>
      <c r="B1475" s="547" t="s">
        <v>2351</v>
      </c>
      <c r="C1475" s="554" t="s">
        <v>3141</v>
      </c>
      <c r="D1475" s="554" t="s">
        <v>3142</v>
      </c>
      <c r="E1475" s="554" t="s">
        <v>9585</v>
      </c>
      <c r="F1475" s="571">
        <v>28</v>
      </c>
      <c r="G1475" s="572">
        <v>14.612</v>
      </c>
      <c r="H1475" s="545">
        <v>409.13600000000002</v>
      </c>
      <c r="I1475" s="554" t="s">
        <v>9218</v>
      </c>
      <c r="J1475" s="554" t="s">
        <v>9219</v>
      </c>
      <c r="K1475" s="554" t="s">
        <v>9219</v>
      </c>
      <c r="L1475" s="537" t="s">
        <v>2354</v>
      </c>
    </row>
    <row r="1476" spans="1:12" x14ac:dyDescent="0.2">
      <c r="A1476" s="547" t="s">
        <v>220</v>
      </c>
      <c r="B1476" s="547" t="s">
        <v>2351</v>
      </c>
      <c r="C1476" s="554" t="s">
        <v>3143</v>
      </c>
      <c r="D1476" s="554" t="s">
        <v>3144</v>
      </c>
      <c r="E1476" s="554" t="s">
        <v>9585</v>
      </c>
      <c r="F1476" s="571">
        <v>45</v>
      </c>
      <c r="G1476" s="572">
        <v>2.0583</v>
      </c>
      <c r="H1476" s="545">
        <v>92.623500000000007</v>
      </c>
      <c r="I1476" s="554" t="s">
        <v>9218</v>
      </c>
      <c r="J1476" s="554" t="s">
        <v>9219</v>
      </c>
      <c r="K1476" s="554" t="s">
        <v>9219</v>
      </c>
      <c r="L1476" s="537" t="s">
        <v>2354</v>
      </c>
    </row>
    <row r="1477" spans="1:12" x14ac:dyDescent="0.2">
      <c r="A1477" s="547" t="s">
        <v>220</v>
      </c>
      <c r="B1477" s="547" t="s">
        <v>2351</v>
      </c>
      <c r="C1477" s="554" t="s">
        <v>3145</v>
      </c>
      <c r="D1477" s="554" t="s">
        <v>3146</v>
      </c>
      <c r="E1477" s="554" t="s">
        <v>9585</v>
      </c>
      <c r="F1477" s="571">
        <v>26</v>
      </c>
      <c r="G1477" s="572">
        <v>3.3993000000000002</v>
      </c>
      <c r="H1477" s="545">
        <v>88.381799999999998</v>
      </c>
      <c r="I1477" s="554" t="s">
        <v>9218</v>
      </c>
      <c r="J1477" s="554" t="s">
        <v>9219</v>
      </c>
      <c r="K1477" s="554" t="s">
        <v>9219</v>
      </c>
      <c r="L1477" s="537" t="s">
        <v>2354</v>
      </c>
    </row>
    <row r="1478" spans="1:12" x14ac:dyDescent="0.2">
      <c r="A1478" s="547" t="s">
        <v>220</v>
      </c>
      <c r="B1478" s="547" t="s">
        <v>2351</v>
      </c>
      <c r="C1478" s="554" t="s">
        <v>3147</v>
      </c>
      <c r="D1478" s="554" t="s">
        <v>3148</v>
      </c>
      <c r="E1478" s="554" t="s">
        <v>9585</v>
      </c>
      <c r="F1478" s="571">
        <v>24</v>
      </c>
      <c r="G1478" s="572">
        <v>2.6747999999999998</v>
      </c>
      <c r="H1478" s="545">
        <v>64.1952</v>
      </c>
      <c r="I1478" s="554" t="s">
        <v>9218</v>
      </c>
      <c r="J1478" s="554" t="s">
        <v>9219</v>
      </c>
      <c r="K1478" s="554" t="s">
        <v>9219</v>
      </c>
      <c r="L1478" s="537" t="s">
        <v>2354</v>
      </c>
    </row>
    <row r="1479" spans="1:12" x14ac:dyDescent="0.2">
      <c r="A1479" s="547" t="s">
        <v>220</v>
      </c>
      <c r="B1479" s="547" t="s">
        <v>2351</v>
      </c>
      <c r="C1479" s="554" t="s">
        <v>3149</v>
      </c>
      <c r="D1479" s="554" t="s">
        <v>3150</v>
      </c>
      <c r="E1479" s="554" t="s">
        <v>9585</v>
      </c>
      <c r="F1479" s="571">
        <v>15</v>
      </c>
      <c r="G1479" s="572">
        <v>1.1348999999999998</v>
      </c>
      <c r="H1479" s="545">
        <v>17.023499999999999</v>
      </c>
      <c r="I1479" s="554" t="s">
        <v>9218</v>
      </c>
      <c r="J1479" s="554" t="s">
        <v>9219</v>
      </c>
      <c r="K1479" s="554" t="s">
        <v>9219</v>
      </c>
      <c r="L1479" s="537" t="s">
        <v>2354</v>
      </c>
    </row>
    <row r="1480" spans="1:12" x14ac:dyDescent="0.2">
      <c r="A1480" s="547" t="s">
        <v>220</v>
      </c>
      <c r="B1480" s="547" t="s">
        <v>2351</v>
      </c>
      <c r="C1480" s="554" t="s">
        <v>9254</v>
      </c>
      <c r="D1480" s="554" t="s">
        <v>9255</v>
      </c>
      <c r="E1480" s="554" t="s">
        <v>2387</v>
      </c>
      <c r="F1480" s="571">
        <v>30</v>
      </c>
      <c r="G1480" s="572">
        <v>25.14</v>
      </c>
      <c r="H1480" s="545">
        <v>754.2</v>
      </c>
      <c r="I1480" s="554" t="s">
        <v>9218</v>
      </c>
      <c r="J1480" s="554" t="s">
        <v>9219</v>
      </c>
      <c r="K1480" s="554" t="s">
        <v>9219</v>
      </c>
      <c r="L1480" s="537" t="s">
        <v>2354</v>
      </c>
    </row>
    <row r="1481" spans="1:12" x14ac:dyDescent="0.2">
      <c r="A1481" s="547" t="s">
        <v>220</v>
      </c>
      <c r="B1481" s="547" t="s">
        <v>2351</v>
      </c>
      <c r="C1481" s="554" t="s">
        <v>3151</v>
      </c>
      <c r="D1481" s="554" t="s">
        <v>3152</v>
      </c>
      <c r="E1481" s="554" t="s">
        <v>2387</v>
      </c>
      <c r="F1481" s="571">
        <v>2</v>
      </c>
      <c r="G1481" s="572">
        <v>162</v>
      </c>
      <c r="H1481" s="545">
        <v>324</v>
      </c>
      <c r="I1481" s="554" t="s">
        <v>9218</v>
      </c>
      <c r="J1481" s="554" t="s">
        <v>9219</v>
      </c>
      <c r="K1481" s="554" t="s">
        <v>9219</v>
      </c>
      <c r="L1481" s="537" t="s">
        <v>2354</v>
      </c>
    </row>
    <row r="1482" spans="1:12" x14ac:dyDescent="0.2">
      <c r="A1482" s="547" t="s">
        <v>220</v>
      </c>
      <c r="B1482" s="547" t="s">
        <v>2351</v>
      </c>
      <c r="C1482" s="554" t="s">
        <v>3155</v>
      </c>
      <c r="D1482" s="554" t="s">
        <v>3156</v>
      </c>
      <c r="E1482" s="554" t="s">
        <v>9585</v>
      </c>
      <c r="F1482" s="571">
        <v>8</v>
      </c>
      <c r="G1482" s="572">
        <v>226.54079999999999</v>
      </c>
      <c r="H1482" s="545">
        <v>1812.3263999999999</v>
      </c>
      <c r="I1482" s="554" t="s">
        <v>9218</v>
      </c>
      <c r="J1482" s="554" t="s">
        <v>9219</v>
      </c>
      <c r="K1482" s="554" t="s">
        <v>9219</v>
      </c>
      <c r="L1482" s="537" t="s">
        <v>2354</v>
      </c>
    </row>
    <row r="1483" spans="1:12" x14ac:dyDescent="0.2">
      <c r="A1483" s="547" t="s">
        <v>220</v>
      </c>
      <c r="B1483" s="547" t="s">
        <v>2351</v>
      </c>
      <c r="C1483" s="554" t="s">
        <v>3159</v>
      </c>
      <c r="D1483" s="554" t="s">
        <v>3160</v>
      </c>
      <c r="E1483" s="554" t="s">
        <v>9585</v>
      </c>
      <c r="F1483" s="571">
        <v>1</v>
      </c>
      <c r="G1483" s="572">
        <v>284.26499999999999</v>
      </c>
      <c r="H1483" s="545">
        <v>284.26499999999999</v>
      </c>
      <c r="I1483" s="554" t="s">
        <v>9218</v>
      </c>
      <c r="J1483" s="554" t="s">
        <v>9219</v>
      </c>
      <c r="K1483" s="554" t="s">
        <v>9219</v>
      </c>
      <c r="L1483" s="537" t="s">
        <v>2354</v>
      </c>
    </row>
    <row r="1484" spans="1:12" x14ac:dyDescent="0.2">
      <c r="A1484" s="547" t="s">
        <v>220</v>
      </c>
      <c r="B1484" s="547" t="s">
        <v>2351</v>
      </c>
      <c r="C1484" s="554" t="s">
        <v>3161</v>
      </c>
      <c r="D1484" s="554" t="s">
        <v>3162</v>
      </c>
      <c r="E1484" s="554" t="s">
        <v>9585</v>
      </c>
      <c r="F1484" s="573">
        <v>14</v>
      </c>
      <c r="G1484" s="545">
        <v>0</v>
      </c>
      <c r="H1484" s="545">
        <v>0</v>
      </c>
      <c r="I1484" s="554" t="s">
        <v>9218</v>
      </c>
      <c r="J1484" s="554" t="s">
        <v>9219</v>
      </c>
      <c r="K1484" s="554" t="s">
        <v>9219</v>
      </c>
      <c r="L1484" s="537" t="s">
        <v>2354</v>
      </c>
    </row>
    <row r="1485" spans="1:12" x14ac:dyDescent="0.2">
      <c r="A1485" s="547" t="s">
        <v>220</v>
      </c>
      <c r="B1485" s="547" t="s">
        <v>2351</v>
      </c>
      <c r="C1485" s="554" t="s">
        <v>3163</v>
      </c>
      <c r="D1485" s="554" t="s">
        <v>3164</v>
      </c>
      <c r="E1485" s="554" t="s">
        <v>9585</v>
      </c>
      <c r="F1485" s="571">
        <v>9</v>
      </c>
      <c r="G1485" s="572">
        <v>11.16</v>
      </c>
      <c r="H1485" s="545">
        <v>100.44</v>
      </c>
      <c r="I1485" s="554" t="s">
        <v>9218</v>
      </c>
      <c r="J1485" s="554" t="s">
        <v>9219</v>
      </c>
      <c r="K1485" s="554" t="s">
        <v>9219</v>
      </c>
      <c r="L1485" s="537" t="s">
        <v>2354</v>
      </c>
    </row>
    <row r="1486" spans="1:12" x14ac:dyDescent="0.2">
      <c r="A1486" s="547" t="s">
        <v>220</v>
      </c>
      <c r="B1486" s="547" t="s">
        <v>2351</v>
      </c>
      <c r="C1486" s="554" t="s">
        <v>3165</v>
      </c>
      <c r="D1486" s="554" t="s">
        <v>3166</v>
      </c>
      <c r="E1486" s="554" t="s">
        <v>9585</v>
      </c>
      <c r="F1486" s="571">
        <v>4</v>
      </c>
      <c r="G1486" s="572">
        <v>0.67500000000000004</v>
      </c>
      <c r="H1486" s="545">
        <v>2.7</v>
      </c>
      <c r="I1486" s="554" t="s">
        <v>9218</v>
      </c>
      <c r="J1486" s="554" t="s">
        <v>9219</v>
      </c>
      <c r="K1486" s="554" t="s">
        <v>9219</v>
      </c>
      <c r="L1486" s="537" t="s">
        <v>2354</v>
      </c>
    </row>
    <row r="1487" spans="1:12" x14ac:dyDescent="0.2">
      <c r="A1487" s="547" t="s">
        <v>220</v>
      </c>
      <c r="B1487" s="547" t="s">
        <v>2351</v>
      </c>
      <c r="C1487" s="554" t="s">
        <v>3169</v>
      </c>
      <c r="D1487" s="554" t="s">
        <v>3170</v>
      </c>
      <c r="E1487" s="554" t="s">
        <v>9585</v>
      </c>
      <c r="F1487" s="573">
        <v>2</v>
      </c>
      <c r="G1487" s="545">
        <v>0</v>
      </c>
      <c r="H1487" s="545">
        <v>0</v>
      </c>
      <c r="I1487" s="554" t="s">
        <v>9218</v>
      </c>
      <c r="J1487" s="554" t="s">
        <v>9219</v>
      </c>
      <c r="K1487" s="554" t="s">
        <v>9219</v>
      </c>
      <c r="L1487" s="537" t="s">
        <v>2354</v>
      </c>
    </row>
    <row r="1488" spans="1:12" x14ac:dyDescent="0.2">
      <c r="A1488" s="547" t="s">
        <v>220</v>
      </c>
      <c r="B1488" s="547" t="s">
        <v>2351</v>
      </c>
      <c r="C1488" s="554" t="s">
        <v>3171</v>
      </c>
      <c r="D1488" s="554" t="s">
        <v>3172</v>
      </c>
      <c r="E1488" s="554" t="s">
        <v>9585</v>
      </c>
      <c r="F1488" s="571">
        <v>1308</v>
      </c>
      <c r="G1488" s="572">
        <v>4.4244199999999996</v>
      </c>
      <c r="H1488" s="545">
        <v>5787.1413599999996</v>
      </c>
      <c r="I1488" s="554" t="s">
        <v>9218</v>
      </c>
      <c r="J1488" s="554" t="s">
        <v>9219</v>
      </c>
      <c r="K1488" s="554" t="s">
        <v>9219</v>
      </c>
      <c r="L1488" s="537" t="s">
        <v>2354</v>
      </c>
    </row>
    <row r="1489" spans="1:12" x14ac:dyDescent="0.2">
      <c r="A1489" s="547" t="s">
        <v>220</v>
      </c>
      <c r="B1489" s="547" t="s">
        <v>2351</v>
      </c>
      <c r="C1489" s="554" t="s">
        <v>3173</v>
      </c>
      <c r="D1489" s="554" t="s">
        <v>3174</v>
      </c>
      <c r="E1489" s="554" t="s">
        <v>9585</v>
      </c>
      <c r="F1489" s="571">
        <v>433</v>
      </c>
      <c r="G1489" s="572">
        <v>13.242319999999999</v>
      </c>
      <c r="H1489" s="545">
        <v>5733.9245599999995</v>
      </c>
      <c r="I1489" s="554" t="s">
        <v>9218</v>
      </c>
      <c r="J1489" s="554" t="s">
        <v>9219</v>
      </c>
      <c r="K1489" s="554" t="s">
        <v>9219</v>
      </c>
      <c r="L1489" s="537" t="s">
        <v>2354</v>
      </c>
    </row>
    <row r="1490" spans="1:12" x14ac:dyDescent="0.2">
      <c r="A1490" s="547" t="s">
        <v>220</v>
      </c>
      <c r="B1490" s="547" t="s">
        <v>2351</v>
      </c>
      <c r="C1490" s="554" t="s">
        <v>3175</v>
      </c>
      <c r="D1490" s="554" t="s">
        <v>3176</v>
      </c>
      <c r="E1490" s="554" t="s">
        <v>9585</v>
      </c>
      <c r="F1490" s="573">
        <v>4</v>
      </c>
      <c r="G1490" s="545">
        <v>0</v>
      </c>
      <c r="H1490" s="545">
        <v>0</v>
      </c>
      <c r="I1490" s="554" t="s">
        <v>9218</v>
      </c>
      <c r="J1490" s="554" t="s">
        <v>9219</v>
      </c>
      <c r="K1490" s="554" t="s">
        <v>9219</v>
      </c>
      <c r="L1490" s="537" t="s">
        <v>2354</v>
      </c>
    </row>
    <row r="1491" spans="1:12" x14ac:dyDescent="0.2">
      <c r="A1491" s="547" t="s">
        <v>220</v>
      </c>
      <c r="B1491" s="547" t="s">
        <v>2351</v>
      </c>
      <c r="C1491" s="554" t="s">
        <v>3177</v>
      </c>
      <c r="D1491" s="554" t="s">
        <v>3178</v>
      </c>
      <c r="E1491" s="554" t="s">
        <v>9585</v>
      </c>
      <c r="F1491" s="573">
        <v>3</v>
      </c>
      <c r="G1491" s="545">
        <v>0</v>
      </c>
      <c r="H1491" s="545">
        <v>0</v>
      </c>
      <c r="I1491" s="554" t="s">
        <v>9218</v>
      </c>
      <c r="J1491" s="554" t="s">
        <v>9219</v>
      </c>
      <c r="K1491" s="554" t="s">
        <v>9219</v>
      </c>
      <c r="L1491" s="537" t="s">
        <v>2354</v>
      </c>
    </row>
    <row r="1492" spans="1:12" x14ac:dyDescent="0.2">
      <c r="A1492" s="547" t="s">
        <v>220</v>
      </c>
      <c r="B1492" s="547" t="s">
        <v>2351</v>
      </c>
      <c r="C1492" s="554" t="s">
        <v>3179</v>
      </c>
      <c r="D1492" s="554" t="s">
        <v>3180</v>
      </c>
      <c r="E1492" s="554" t="s">
        <v>9585</v>
      </c>
      <c r="F1492" s="573">
        <v>4</v>
      </c>
      <c r="G1492" s="545">
        <v>0</v>
      </c>
      <c r="H1492" s="545">
        <v>0</v>
      </c>
      <c r="I1492" s="554" t="s">
        <v>9218</v>
      </c>
      <c r="J1492" s="554" t="s">
        <v>9219</v>
      </c>
      <c r="K1492" s="554" t="s">
        <v>9219</v>
      </c>
      <c r="L1492" s="537" t="s">
        <v>2354</v>
      </c>
    </row>
    <row r="1493" spans="1:12" x14ac:dyDescent="0.2">
      <c r="A1493" s="547" t="s">
        <v>220</v>
      </c>
      <c r="B1493" s="547" t="s">
        <v>2351</v>
      </c>
      <c r="C1493" s="554" t="s">
        <v>3181</v>
      </c>
      <c r="D1493" s="554" t="s">
        <v>3182</v>
      </c>
      <c r="E1493" s="554" t="s">
        <v>9585</v>
      </c>
      <c r="F1493" s="573">
        <v>8</v>
      </c>
      <c r="G1493" s="545">
        <v>0</v>
      </c>
      <c r="H1493" s="545">
        <v>0</v>
      </c>
      <c r="I1493" s="554" t="s">
        <v>9218</v>
      </c>
      <c r="J1493" s="554" t="s">
        <v>9219</v>
      </c>
      <c r="K1493" s="554" t="s">
        <v>9219</v>
      </c>
      <c r="L1493" s="537" t="s">
        <v>2354</v>
      </c>
    </row>
    <row r="1494" spans="1:12" x14ac:dyDescent="0.2">
      <c r="A1494" s="547" t="s">
        <v>220</v>
      </c>
      <c r="B1494" s="547" t="s">
        <v>2351</v>
      </c>
      <c r="C1494" s="554" t="s">
        <v>3199</v>
      </c>
      <c r="D1494" s="554" t="s">
        <v>3200</v>
      </c>
      <c r="E1494" s="554" t="s">
        <v>9585</v>
      </c>
      <c r="F1494" s="571">
        <v>25</v>
      </c>
      <c r="G1494" s="572">
        <v>1.89</v>
      </c>
      <c r="H1494" s="545">
        <v>47.25</v>
      </c>
      <c r="I1494" s="554" t="s">
        <v>9218</v>
      </c>
      <c r="J1494" s="554" t="s">
        <v>9219</v>
      </c>
      <c r="K1494" s="554" t="s">
        <v>9219</v>
      </c>
      <c r="L1494" s="537" t="s">
        <v>2354</v>
      </c>
    </row>
    <row r="1495" spans="1:12" x14ac:dyDescent="0.2">
      <c r="A1495" s="547" t="s">
        <v>220</v>
      </c>
      <c r="B1495" s="547" t="s">
        <v>2351</v>
      </c>
      <c r="C1495" s="554" t="s">
        <v>3201</v>
      </c>
      <c r="D1495" s="554" t="s">
        <v>3202</v>
      </c>
      <c r="E1495" s="554" t="s">
        <v>9585</v>
      </c>
      <c r="F1495" s="571">
        <v>15</v>
      </c>
      <c r="G1495" s="572">
        <v>0.93149999999999999</v>
      </c>
      <c r="H1495" s="545">
        <v>13.9725</v>
      </c>
      <c r="I1495" s="554" t="s">
        <v>9218</v>
      </c>
      <c r="J1495" s="554" t="s">
        <v>9219</v>
      </c>
      <c r="K1495" s="554" t="s">
        <v>9219</v>
      </c>
      <c r="L1495" s="537" t="s">
        <v>2354</v>
      </c>
    </row>
    <row r="1496" spans="1:12" x14ac:dyDescent="0.2">
      <c r="A1496" s="547" t="s">
        <v>220</v>
      </c>
      <c r="B1496" s="547" t="s">
        <v>2351</v>
      </c>
      <c r="C1496" s="554" t="s">
        <v>3203</v>
      </c>
      <c r="D1496" s="554" t="s">
        <v>3204</v>
      </c>
      <c r="E1496" s="554" t="s">
        <v>9585</v>
      </c>
      <c r="F1496" s="571">
        <v>26</v>
      </c>
      <c r="G1496" s="572">
        <v>0.58096363636363624</v>
      </c>
      <c r="H1496" s="545">
        <v>15.105054545454543</v>
      </c>
      <c r="I1496" s="554" t="s">
        <v>9218</v>
      </c>
      <c r="J1496" s="554" t="s">
        <v>9219</v>
      </c>
      <c r="K1496" s="554" t="s">
        <v>9219</v>
      </c>
      <c r="L1496" s="537" t="s">
        <v>2354</v>
      </c>
    </row>
    <row r="1497" spans="1:12" x14ac:dyDescent="0.2">
      <c r="A1497" s="547" t="s">
        <v>220</v>
      </c>
      <c r="B1497" s="547" t="s">
        <v>2351</v>
      </c>
      <c r="C1497" s="554" t="s">
        <v>5372</v>
      </c>
      <c r="D1497" s="554" t="s">
        <v>5373</v>
      </c>
      <c r="E1497" s="554" t="s">
        <v>9585</v>
      </c>
      <c r="F1497" s="571">
        <v>40</v>
      </c>
      <c r="G1497" s="572">
        <v>0.69479999999999997</v>
      </c>
      <c r="H1497" s="545">
        <v>27.791999999999998</v>
      </c>
      <c r="I1497" s="554" t="s">
        <v>9218</v>
      </c>
      <c r="J1497" s="554" t="s">
        <v>9219</v>
      </c>
      <c r="K1497" s="554" t="s">
        <v>9219</v>
      </c>
      <c r="L1497" s="537" t="s">
        <v>2354</v>
      </c>
    </row>
    <row r="1498" spans="1:12" x14ac:dyDescent="0.2">
      <c r="A1498" s="547" t="s">
        <v>220</v>
      </c>
      <c r="B1498" s="547" t="s">
        <v>2351</v>
      </c>
      <c r="C1498" s="554" t="s">
        <v>3205</v>
      </c>
      <c r="D1498" s="554" t="s">
        <v>3206</v>
      </c>
      <c r="E1498" s="554" t="s">
        <v>9585</v>
      </c>
      <c r="F1498" s="571">
        <v>25</v>
      </c>
      <c r="G1498" s="572">
        <v>1.08</v>
      </c>
      <c r="H1498" s="545">
        <v>27</v>
      </c>
      <c r="I1498" s="554" t="s">
        <v>9218</v>
      </c>
      <c r="J1498" s="554" t="s">
        <v>9219</v>
      </c>
      <c r="K1498" s="554" t="s">
        <v>9219</v>
      </c>
      <c r="L1498" s="537" t="s">
        <v>2354</v>
      </c>
    </row>
    <row r="1499" spans="1:12" x14ac:dyDescent="0.2">
      <c r="A1499" s="547" t="s">
        <v>220</v>
      </c>
      <c r="B1499" s="547" t="s">
        <v>2351</v>
      </c>
      <c r="C1499" s="554" t="s">
        <v>3207</v>
      </c>
      <c r="D1499" s="554" t="s">
        <v>3208</v>
      </c>
      <c r="E1499" s="554" t="s">
        <v>9585</v>
      </c>
      <c r="F1499" s="571">
        <v>21</v>
      </c>
      <c r="G1499" s="572">
        <v>1.9525128964059197</v>
      </c>
      <c r="H1499" s="545">
        <v>41.002770824524312</v>
      </c>
      <c r="I1499" s="554" t="s">
        <v>9218</v>
      </c>
      <c r="J1499" s="554" t="s">
        <v>9219</v>
      </c>
      <c r="K1499" s="554" t="s">
        <v>9219</v>
      </c>
      <c r="L1499" s="537" t="s">
        <v>2354</v>
      </c>
    </row>
    <row r="1500" spans="1:12" x14ac:dyDescent="0.2">
      <c r="A1500" s="547" t="s">
        <v>220</v>
      </c>
      <c r="B1500" s="547" t="s">
        <v>2351</v>
      </c>
      <c r="C1500" s="554" t="s">
        <v>3221</v>
      </c>
      <c r="D1500" s="554" t="s">
        <v>3222</v>
      </c>
      <c r="E1500" s="554" t="s">
        <v>9585</v>
      </c>
      <c r="F1500" s="573">
        <v>2</v>
      </c>
      <c r="G1500" s="545">
        <v>22.858000000000001</v>
      </c>
      <c r="H1500" s="545">
        <v>45.716000000000001</v>
      </c>
      <c r="I1500" s="554" t="s">
        <v>9218</v>
      </c>
      <c r="J1500" s="554" t="s">
        <v>9219</v>
      </c>
      <c r="K1500" s="554" t="s">
        <v>9219</v>
      </c>
      <c r="L1500" s="537" t="s">
        <v>2354</v>
      </c>
    </row>
    <row r="1501" spans="1:12" x14ac:dyDescent="0.2">
      <c r="A1501" s="547" t="s">
        <v>220</v>
      </c>
      <c r="B1501" s="547" t="s">
        <v>2351</v>
      </c>
      <c r="C1501" s="554" t="s">
        <v>3225</v>
      </c>
      <c r="D1501" s="554" t="s">
        <v>3226</v>
      </c>
      <c r="E1501" s="554" t="s">
        <v>9585</v>
      </c>
      <c r="F1501" s="571">
        <v>17</v>
      </c>
      <c r="G1501" s="572">
        <v>1.3130999999999999</v>
      </c>
      <c r="H1501" s="545">
        <v>22.322699999999998</v>
      </c>
      <c r="I1501" s="554" t="s">
        <v>9218</v>
      </c>
      <c r="J1501" s="554" t="s">
        <v>9219</v>
      </c>
      <c r="K1501" s="554" t="s">
        <v>9219</v>
      </c>
      <c r="L1501" s="537" t="s">
        <v>2354</v>
      </c>
    </row>
    <row r="1502" spans="1:12" x14ac:dyDescent="0.2">
      <c r="A1502" s="547" t="s">
        <v>220</v>
      </c>
      <c r="B1502" s="547" t="s">
        <v>2351</v>
      </c>
      <c r="C1502" s="554" t="s">
        <v>3227</v>
      </c>
      <c r="D1502" s="554" t="s">
        <v>3228</v>
      </c>
      <c r="E1502" s="554" t="s">
        <v>9585</v>
      </c>
      <c r="F1502" s="571">
        <v>4</v>
      </c>
      <c r="G1502" s="572">
        <v>2.3380000000000001</v>
      </c>
      <c r="H1502" s="545">
        <v>9.3520000000000003</v>
      </c>
      <c r="I1502" s="554" t="s">
        <v>9218</v>
      </c>
      <c r="J1502" s="554" t="s">
        <v>9219</v>
      </c>
      <c r="K1502" s="554" t="s">
        <v>9219</v>
      </c>
      <c r="L1502" s="537" t="s">
        <v>2354</v>
      </c>
    </row>
    <row r="1503" spans="1:12" x14ac:dyDescent="0.2">
      <c r="A1503" s="547" t="s">
        <v>220</v>
      </c>
      <c r="B1503" s="547" t="s">
        <v>2351</v>
      </c>
      <c r="C1503" s="554" t="s">
        <v>3369</v>
      </c>
      <c r="D1503" s="554" t="s">
        <v>3370</v>
      </c>
      <c r="E1503" s="554" t="s">
        <v>9585</v>
      </c>
      <c r="F1503" s="571">
        <v>3</v>
      </c>
      <c r="G1503" s="572">
        <v>100.2546</v>
      </c>
      <c r="H1503" s="545">
        <v>300.7638</v>
      </c>
      <c r="I1503" s="554" t="s">
        <v>9218</v>
      </c>
      <c r="J1503" s="554" t="s">
        <v>9219</v>
      </c>
      <c r="K1503" s="554" t="s">
        <v>9219</v>
      </c>
      <c r="L1503" s="537" t="s">
        <v>2354</v>
      </c>
    </row>
    <row r="1504" spans="1:12" x14ac:dyDescent="0.2">
      <c r="A1504" s="547" t="s">
        <v>220</v>
      </c>
      <c r="B1504" s="547" t="s">
        <v>2351</v>
      </c>
      <c r="C1504" s="554" t="s">
        <v>9256</v>
      </c>
      <c r="D1504" s="554" t="s">
        <v>9257</v>
      </c>
      <c r="E1504" s="554" t="s">
        <v>9585</v>
      </c>
      <c r="F1504" s="573">
        <v>2</v>
      </c>
      <c r="G1504" s="545">
        <v>0</v>
      </c>
      <c r="H1504" s="545">
        <v>0</v>
      </c>
      <c r="I1504" s="554" t="s">
        <v>9218</v>
      </c>
      <c r="J1504" s="554" t="s">
        <v>9219</v>
      </c>
      <c r="K1504" s="554" t="s">
        <v>9219</v>
      </c>
      <c r="L1504" s="537" t="s">
        <v>2354</v>
      </c>
    </row>
    <row r="1505" spans="1:12" x14ac:dyDescent="0.2">
      <c r="A1505" s="547" t="s">
        <v>220</v>
      </c>
      <c r="B1505" s="547" t="s">
        <v>2351</v>
      </c>
      <c r="C1505" s="554"/>
      <c r="D1505" s="554" t="s">
        <v>9258</v>
      </c>
      <c r="E1505" s="554" t="s">
        <v>9585</v>
      </c>
      <c r="F1505" s="573">
        <v>1</v>
      </c>
      <c r="G1505" s="545">
        <v>0</v>
      </c>
      <c r="H1505" s="545">
        <v>0</v>
      </c>
      <c r="I1505" s="554" t="s">
        <v>9218</v>
      </c>
      <c r="J1505" s="554" t="s">
        <v>9219</v>
      </c>
      <c r="K1505" s="554" t="s">
        <v>9219</v>
      </c>
      <c r="L1505" s="537" t="s">
        <v>2354</v>
      </c>
    </row>
    <row r="1506" spans="1:12" x14ac:dyDescent="0.2">
      <c r="A1506" s="547" t="s">
        <v>220</v>
      </c>
      <c r="B1506" s="547" t="s">
        <v>2351</v>
      </c>
      <c r="C1506" s="554" t="s">
        <v>3371</v>
      </c>
      <c r="D1506" s="554" t="s">
        <v>3372</v>
      </c>
      <c r="E1506" s="554" t="s">
        <v>9585</v>
      </c>
      <c r="F1506" s="571">
        <v>8</v>
      </c>
      <c r="G1506" s="572">
        <v>166.08</v>
      </c>
      <c r="H1506" s="545">
        <v>1328.64</v>
      </c>
      <c r="I1506" s="554" t="s">
        <v>9218</v>
      </c>
      <c r="J1506" s="554" t="s">
        <v>9219</v>
      </c>
      <c r="K1506" s="554" t="s">
        <v>9219</v>
      </c>
      <c r="L1506" s="537" t="s">
        <v>2354</v>
      </c>
    </row>
    <row r="1507" spans="1:12" x14ac:dyDescent="0.2">
      <c r="A1507" s="547" t="s">
        <v>220</v>
      </c>
      <c r="B1507" s="547" t="s">
        <v>2351</v>
      </c>
      <c r="C1507" s="554" t="s">
        <v>3375</v>
      </c>
      <c r="D1507" s="554" t="s">
        <v>3376</v>
      </c>
      <c r="E1507" s="554" t="s">
        <v>9585</v>
      </c>
      <c r="F1507" s="571">
        <v>3</v>
      </c>
      <c r="G1507" s="572">
        <v>172.39200000000002</v>
      </c>
      <c r="H1507" s="545">
        <v>517.17600000000004</v>
      </c>
      <c r="I1507" s="554" t="s">
        <v>9218</v>
      </c>
      <c r="J1507" s="554" t="s">
        <v>9219</v>
      </c>
      <c r="K1507" s="554" t="s">
        <v>9219</v>
      </c>
      <c r="L1507" s="537" t="s">
        <v>2354</v>
      </c>
    </row>
    <row r="1508" spans="1:12" x14ac:dyDescent="0.2">
      <c r="A1508" s="547" t="s">
        <v>220</v>
      </c>
      <c r="B1508" s="547" t="s">
        <v>2351</v>
      </c>
      <c r="C1508" s="554" t="s">
        <v>3377</v>
      </c>
      <c r="D1508" s="554" t="s">
        <v>3378</v>
      </c>
      <c r="E1508" s="554" t="s">
        <v>9585</v>
      </c>
      <c r="F1508" s="571">
        <v>5</v>
      </c>
      <c r="G1508" s="572">
        <v>177.88499999999999</v>
      </c>
      <c r="H1508" s="545">
        <v>889.42499999999995</v>
      </c>
      <c r="I1508" s="554" t="s">
        <v>9218</v>
      </c>
      <c r="J1508" s="554" t="s">
        <v>9219</v>
      </c>
      <c r="K1508" s="554" t="s">
        <v>9219</v>
      </c>
      <c r="L1508" s="537" t="s">
        <v>2354</v>
      </c>
    </row>
    <row r="1509" spans="1:12" x14ac:dyDescent="0.2">
      <c r="A1509" s="547" t="s">
        <v>220</v>
      </c>
      <c r="B1509" s="547" t="s">
        <v>2351</v>
      </c>
      <c r="C1509" s="554" t="s">
        <v>3379</v>
      </c>
      <c r="D1509" s="554" t="s">
        <v>3380</v>
      </c>
      <c r="E1509" s="554" t="s">
        <v>9585</v>
      </c>
      <c r="F1509" s="571">
        <v>4</v>
      </c>
      <c r="G1509" s="572">
        <v>198</v>
      </c>
      <c r="H1509" s="545">
        <v>792</v>
      </c>
      <c r="I1509" s="554" t="s">
        <v>9218</v>
      </c>
      <c r="J1509" s="554" t="s">
        <v>9219</v>
      </c>
      <c r="K1509" s="554" t="s">
        <v>9219</v>
      </c>
      <c r="L1509" s="537" t="s">
        <v>2354</v>
      </c>
    </row>
    <row r="1510" spans="1:12" x14ac:dyDescent="0.2">
      <c r="A1510" s="547" t="s">
        <v>220</v>
      </c>
      <c r="B1510" s="547" t="s">
        <v>2351</v>
      </c>
      <c r="C1510" s="554" t="s">
        <v>3407</v>
      </c>
      <c r="D1510" s="554" t="s">
        <v>3408</v>
      </c>
      <c r="E1510" s="554" t="s">
        <v>9585</v>
      </c>
      <c r="F1510" s="571">
        <v>39</v>
      </c>
      <c r="G1510" s="572">
        <v>5.0084999999999997</v>
      </c>
      <c r="H1510" s="545">
        <v>195.33149999999998</v>
      </c>
      <c r="I1510" s="554" t="s">
        <v>9218</v>
      </c>
      <c r="J1510" s="554" t="s">
        <v>9219</v>
      </c>
      <c r="K1510" s="554" t="s">
        <v>9219</v>
      </c>
      <c r="L1510" s="537" t="s">
        <v>2354</v>
      </c>
    </row>
    <row r="1511" spans="1:12" x14ac:dyDescent="0.2">
      <c r="A1511" s="547" t="s">
        <v>220</v>
      </c>
      <c r="B1511" s="547" t="s">
        <v>2351</v>
      </c>
      <c r="C1511" s="554" t="s">
        <v>3409</v>
      </c>
      <c r="D1511" s="554" t="s">
        <v>3410</v>
      </c>
      <c r="E1511" s="554" t="s">
        <v>9585</v>
      </c>
      <c r="F1511" s="571">
        <v>4</v>
      </c>
      <c r="G1511" s="572">
        <v>165.3</v>
      </c>
      <c r="H1511" s="545">
        <v>661.2</v>
      </c>
      <c r="I1511" s="554" t="s">
        <v>9218</v>
      </c>
      <c r="J1511" s="554" t="s">
        <v>9219</v>
      </c>
      <c r="K1511" s="554" t="s">
        <v>9219</v>
      </c>
      <c r="L1511" s="537" t="s">
        <v>2354</v>
      </c>
    </row>
    <row r="1512" spans="1:12" x14ac:dyDescent="0.2">
      <c r="A1512" s="547" t="s">
        <v>220</v>
      </c>
      <c r="B1512" s="547" t="s">
        <v>2351</v>
      </c>
      <c r="C1512" s="554" t="s">
        <v>3411</v>
      </c>
      <c r="D1512" s="554" t="s">
        <v>3412</v>
      </c>
      <c r="E1512" s="554" t="s">
        <v>9585</v>
      </c>
      <c r="F1512" s="571">
        <v>2</v>
      </c>
      <c r="G1512" s="572">
        <v>14.178599999999999</v>
      </c>
      <c r="H1512" s="545">
        <v>28.357199999999999</v>
      </c>
      <c r="I1512" s="554" t="s">
        <v>9218</v>
      </c>
      <c r="J1512" s="554" t="s">
        <v>9219</v>
      </c>
      <c r="K1512" s="554" t="s">
        <v>9219</v>
      </c>
      <c r="L1512" s="537" t="s">
        <v>2354</v>
      </c>
    </row>
    <row r="1513" spans="1:12" x14ac:dyDescent="0.2">
      <c r="A1513" s="547" t="s">
        <v>220</v>
      </c>
      <c r="B1513" s="547" t="s">
        <v>2351</v>
      </c>
      <c r="C1513" s="554" t="s">
        <v>3413</v>
      </c>
      <c r="D1513" s="554" t="s">
        <v>3414</v>
      </c>
      <c r="E1513" s="554" t="s">
        <v>9585</v>
      </c>
      <c r="F1513" s="571">
        <v>4</v>
      </c>
      <c r="G1513" s="572">
        <v>12.701700000000001</v>
      </c>
      <c r="H1513" s="545">
        <v>50.806800000000003</v>
      </c>
      <c r="I1513" s="554" t="s">
        <v>9218</v>
      </c>
      <c r="J1513" s="554" t="s">
        <v>9219</v>
      </c>
      <c r="K1513" s="554" t="s">
        <v>9219</v>
      </c>
      <c r="L1513" s="537" t="s">
        <v>2354</v>
      </c>
    </row>
    <row r="1514" spans="1:12" x14ac:dyDescent="0.2">
      <c r="A1514" s="547" t="s">
        <v>220</v>
      </c>
      <c r="B1514" s="547" t="s">
        <v>2351</v>
      </c>
      <c r="C1514" s="554" t="s">
        <v>3415</v>
      </c>
      <c r="D1514" s="554" t="s">
        <v>3416</v>
      </c>
      <c r="E1514" s="554" t="s">
        <v>9585</v>
      </c>
      <c r="F1514" s="571">
        <v>2</v>
      </c>
      <c r="G1514" s="572">
        <v>119.6001</v>
      </c>
      <c r="H1514" s="545">
        <v>239.2002</v>
      </c>
      <c r="I1514" s="554" t="s">
        <v>9218</v>
      </c>
      <c r="J1514" s="554" t="s">
        <v>9219</v>
      </c>
      <c r="K1514" s="554" t="s">
        <v>9219</v>
      </c>
      <c r="L1514" s="537" t="s">
        <v>2354</v>
      </c>
    </row>
    <row r="1515" spans="1:12" x14ac:dyDescent="0.2">
      <c r="A1515" s="547" t="s">
        <v>220</v>
      </c>
      <c r="B1515" s="547" t="s">
        <v>2351</v>
      </c>
      <c r="C1515" s="554" t="s">
        <v>3417</v>
      </c>
      <c r="D1515" s="554" t="s">
        <v>3418</v>
      </c>
      <c r="E1515" s="554" t="s">
        <v>9585</v>
      </c>
      <c r="F1515" s="571">
        <v>1</v>
      </c>
      <c r="G1515" s="572">
        <v>489.53530000000001</v>
      </c>
      <c r="H1515" s="545">
        <v>489.53530000000001</v>
      </c>
      <c r="I1515" s="554" t="s">
        <v>9218</v>
      </c>
      <c r="J1515" s="554" t="s">
        <v>9219</v>
      </c>
      <c r="K1515" s="554" t="s">
        <v>9219</v>
      </c>
      <c r="L1515" s="537" t="s">
        <v>2354</v>
      </c>
    </row>
    <row r="1516" spans="1:12" x14ac:dyDescent="0.2">
      <c r="A1516" s="547" t="s">
        <v>220</v>
      </c>
      <c r="B1516" s="547" t="s">
        <v>2351</v>
      </c>
      <c r="C1516" s="554" t="s">
        <v>3419</v>
      </c>
      <c r="D1516" s="554" t="s">
        <v>3420</v>
      </c>
      <c r="E1516" s="554" t="s">
        <v>9585</v>
      </c>
      <c r="F1516" s="571">
        <v>4</v>
      </c>
      <c r="G1516" s="572">
        <v>138</v>
      </c>
      <c r="H1516" s="545">
        <v>552</v>
      </c>
      <c r="I1516" s="554" t="s">
        <v>9218</v>
      </c>
      <c r="J1516" s="554" t="s">
        <v>9219</v>
      </c>
      <c r="K1516" s="554" t="s">
        <v>9219</v>
      </c>
      <c r="L1516" s="537" t="s">
        <v>2354</v>
      </c>
    </row>
    <row r="1517" spans="1:12" x14ac:dyDescent="0.2">
      <c r="A1517" s="547" t="s">
        <v>220</v>
      </c>
      <c r="B1517" s="547" t="s">
        <v>2351</v>
      </c>
      <c r="C1517" s="554" t="s">
        <v>3421</v>
      </c>
      <c r="D1517" s="554" t="s">
        <v>3422</v>
      </c>
      <c r="E1517" s="554" t="s">
        <v>9585</v>
      </c>
      <c r="F1517" s="571">
        <v>31</v>
      </c>
      <c r="G1517" s="572">
        <v>14</v>
      </c>
      <c r="H1517" s="545">
        <v>434</v>
      </c>
      <c r="I1517" s="554" t="s">
        <v>9218</v>
      </c>
      <c r="J1517" s="554" t="s">
        <v>9219</v>
      </c>
      <c r="K1517" s="554" t="s">
        <v>9219</v>
      </c>
      <c r="L1517" s="537" t="s">
        <v>2354</v>
      </c>
    </row>
    <row r="1518" spans="1:12" x14ac:dyDescent="0.2">
      <c r="A1518" s="547" t="s">
        <v>220</v>
      </c>
      <c r="B1518" s="547" t="s">
        <v>2351</v>
      </c>
      <c r="C1518" s="554" t="s">
        <v>3423</v>
      </c>
      <c r="D1518" s="554" t="s">
        <v>3424</v>
      </c>
      <c r="E1518" s="554" t="s">
        <v>9585</v>
      </c>
      <c r="F1518" s="571">
        <v>3</v>
      </c>
      <c r="G1518" s="572">
        <v>589.88173333333327</v>
      </c>
      <c r="H1518" s="545">
        <v>1769.6451999999999</v>
      </c>
      <c r="I1518" s="554" t="s">
        <v>9218</v>
      </c>
      <c r="J1518" s="554" t="s">
        <v>9219</v>
      </c>
      <c r="K1518" s="554" t="s">
        <v>9219</v>
      </c>
      <c r="L1518" s="537" t="s">
        <v>2354</v>
      </c>
    </row>
    <row r="1519" spans="1:12" x14ac:dyDescent="0.2">
      <c r="A1519" s="547" t="s">
        <v>220</v>
      </c>
      <c r="B1519" s="547" t="s">
        <v>2351</v>
      </c>
      <c r="C1519" s="554" t="s">
        <v>3425</v>
      </c>
      <c r="D1519" s="554" t="s">
        <v>3426</v>
      </c>
      <c r="E1519" s="554" t="s">
        <v>9585</v>
      </c>
      <c r="F1519" s="571">
        <v>1</v>
      </c>
      <c r="G1519" s="572">
        <v>133.62</v>
      </c>
      <c r="H1519" s="545">
        <v>133.62</v>
      </c>
      <c r="I1519" s="554" t="s">
        <v>9218</v>
      </c>
      <c r="J1519" s="554" t="s">
        <v>9219</v>
      </c>
      <c r="K1519" s="554" t="s">
        <v>9219</v>
      </c>
      <c r="L1519" s="537" t="s">
        <v>2354</v>
      </c>
    </row>
    <row r="1520" spans="1:12" x14ac:dyDescent="0.2">
      <c r="A1520" s="547" t="s">
        <v>220</v>
      </c>
      <c r="B1520" s="547" t="s">
        <v>2351</v>
      </c>
      <c r="C1520" s="554" t="s">
        <v>3429</v>
      </c>
      <c r="D1520" s="554" t="s">
        <v>3430</v>
      </c>
      <c r="E1520" s="554" t="s">
        <v>9585</v>
      </c>
      <c r="F1520" s="571">
        <v>3</v>
      </c>
      <c r="G1520" s="572">
        <v>2.7591000000000001</v>
      </c>
      <c r="H1520" s="545">
        <v>8.2773000000000003</v>
      </c>
      <c r="I1520" s="554" t="s">
        <v>9218</v>
      </c>
      <c r="J1520" s="554" t="s">
        <v>9219</v>
      </c>
      <c r="K1520" s="554" t="s">
        <v>9219</v>
      </c>
      <c r="L1520" s="537" t="s">
        <v>2354</v>
      </c>
    </row>
    <row r="1521" spans="1:12" x14ac:dyDescent="0.2">
      <c r="A1521" s="547" t="s">
        <v>220</v>
      </c>
      <c r="B1521" s="547" t="s">
        <v>2351</v>
      </c>
      <c r="C1521" s="554" t="s">
        <v>3431</v>
      </c>
      <c r="D1521" s="554" t="s">
        <v>3432</v>
      </c>
      <c r="E1521" s="554" t="s">
        <v>9585</v>
      </c>
      <c r="F1521" s="571">
        <v>3</v>
      </c>
      <c r="G1521" s="572">
        <v>50.4</v>
      </c>
      <c r="H1521" s="545">
        <v>151.19999999999999</v>
      </c>
      <c r="I1521" s="554" t="s">
        <v>9218</v>
      </c>
      <c r="J1521" s="554" t="s">
        <v>9219</v>
      </c>
      <c r="K1521" s="554" t="s">
        <v>9219</v>
      </c>
      <c r="L1521" s="537" t="s">
        <v>2354</v>
      </c>
    </row>
    <row r="1522" spans="1:12" x14ac:dyDescent="0.2">
      <c r="A1522" s="547" t="s">
        <v>220</v>
      </c>
      <c r="B1522" s="547" t="s">
        <v>2351</v>
      </c>
      <c r="C1522" s="554" t="s">
        <v>3433</v>
      </c>
      <c r="D1522" s="554" t="s">
        <v>3434</v>
      </c>
      <c r="E1522" s="554" t="s">
        <v>9585</v>
      </c>
      <c r="F1522" s="571">
        <v>10</v>
      </c>
      <c r="G1522" s="572">
        <v>3.7944000000000004</v>
      </c>
      <c r="H1522" s="545">
        <v>37.944000000000003</v>
      </c>
      <c r="I1522" s="554" t="s">
        <v>9218</v>
      </c>
      <c r="J1522" s="554" t="s">
        <v>9219</v>
      </c>
      <c r="K1522" s="554" t="s">
        <v>9219</v>
      </c>
      <c r="L1522" s="537" t="s">
        <v>2354</v>
      </c>
    </row>
    <row r="1523" spans="1:12" x14ac:dyDescent="0.2">
      <c r="A1523" s="547" t="s">
        <v>220</v>
      </c>
      <c r="B1523" s="547" t="s">
        <v>2351</v>
      </c>
      <c r="C1523" s="554" t="s">
        <v>9259</v>
      </c>
      <c r="D1523" s="554" t="s">
        <v>9260</v>
      </c>
      <c r="E1523" s="554" t="s">
        <v>9585</v>
      </c>
      <c r="F1523" s="571">
        <v>2</v>
      </c>
      <c r="G1523" s="572">
        <v>135</v>
      </c>
      <c r="H1523" s="545">
        <v>270</v>
      </c>
      <c r="I1523" s="554" t="s">
        <v>9218</v>
      </c>
      <c r="J1523" s="554" t="s">
        <v>9219</v>
      </c>
      <c r="K1523" s="554" t="s">
        <v>9219</v>
      </c>
      <c r="L1523" s="537" t="s">
        <v>2354</v>
      </c>
    </row>
    <row r="1524" spans="1:12" x14ac:dyDescent="0.2">
      <c r="A1524" s="547" t="s">
        <v>220</v>
      </c>
      <c r="B1524" s="547" t="s">
        <v>2351</v>
      </c>
      <c r="C1524" s="554" t="s">
        <v>9261</v>
      </c>
      <c r="D1524" s="554" t="s">
        <v>9262</v>
      </c>
      <c r="E1524" s="554" t="s">
        <v>9585</v>
      </c>
      <c r="F1524" s="571">
        <v>1</v>
      </c>
      <c r="G1524" s="572">
        <v>145</v>
      </c>
      <c r="H1524" s="545">
        <v>145</v>
      </c>
      <c r="I1524" s="554" t="s">
        <v>9218</v>
      </c>
      <c r="J1524" s="554" t="s">
        <v>9219</v>
      </c>
      <c r="K1524" s="554" t="s">
        <v>9219</v>
      </c>
      <c r="L1524" s="537" t="s">
        <v>2354</v>
      </c>
    </row>
    <row r="1525" spans="1:12" x14ac:dyDescent="0.2">
      <c r="A1525" s="547" t="s">
        <v>220</v>
      </c>
      <c r="B1525" s="547" t="s">
        <v>2351</v>
      </c>
      <c r="C1525" s="554" t="s">
        <v>3435</v>
      </c>
      <c r="D1525" s="554" t="s">
        <v>3436</v>
      </c>
      <c r="E1525" s="554" t="s">
        <v>9585</v>
      </c>
      <c r="F1525" s="571">
        <v>16</v>
      </c>
      <c r="G1525" s="572">
        <v>3.4856285714285713</v>
      </c>
      <c r="H1525" s="545">
        <v>55.770057142857141</v>
      </c>
      <c r="I1525" s="554" t="s">
        <v>9218</v>
      </c>
      <c r="J1525" s="554" t="s">
        <v>9219</v>
      </c>
      <c r="K1525" s="554" t="s">
        <v>9219</v>
      </c>
      <c r="L1525" s="537" t="s">
        <v>2354</v>
      </c>
    </row>
    <row r="1526" spans="1:12" x14ac:dyDescent="0.2">
      <c r="A1526" s="547" t="s">
        <v>220</v>
      </c>
      <c r="B1526" s="547" t="s">
        <v>2351</v>
      </c>
      <c r="C1526" s="554" t="s">
        <v>3437</v>
      </c>
      <c r="D1526" s="554" t="s">
        <v>3438</v>
      </c>
      <c r="E1526" s="554" t="s">
        <v>9585</v>
      </c>
      <c r="F1526" s="571">
        <v>36</v>
      </c>
      <c r="G1526" s="572">
        <v>4.5476999999999999</v>
      </c>
      <c r="H1526" s="545">
        <v>163.71719999999999</v>
      </c>
      <c r="I1526" s="554" t="s">
        <v>9218</v>
      </c>
      <c r="J1526" s="554" t="s">
        <v>9219</v>
      </c>
      <c r="K1526" s="554" t="s">
        <v>9219</v>
      </c>
      <c r="L1526" s="537" t="s">
        <v>2354</v>
      </c>
    </row>
    <row r="1527" spans="1:12" x14ac:dyDescent="0.2">
      <c r="A1527" s="547" t="s">
        <v>220</v>
      </c>
      <c r="B1527" s="547" t="s">
        <v>2351</v>
      </c>
      <c r="C1527" s="554" t="s">
        <v>3439</v>
      </c>
      <c r="D1527" s="554" t="s">
        <v>3440</v>
      </c>
      <c r="E1527" s="554" t="s">
        <v>9585</v>
      </c>
      <c r="F1527" s="571">
        <v>13</v>
      </c>
      <c r="G1527" s="572">
        <v>34.704000000000001</v>
      </c>
      <c r="H1527" s="545">
        <v>451.15199999999999</v>
      </c>
      <c r="I1527" s="554" t="s">
        <v>9218</v>
      </c>
      <c r="J1527" s="554" t="s">
        <v>9219</v>
      </c>
      <c r="K1527" s="554" t="s">
        <v>9219</v>
      </c>
      <c r="L1527" s="537" t="s">
        <v>2354</v>
      </c>
    </row>
    <row r="1528" spans="1:12" x14ac:dyDescent="0.2">
      <c r="A1528" s="547" t="s">
        <v>220</v>
      </c>
      <c r="B1528" s="547" t="s">
        <v>2351</v>
      </c>
      <c r="C1528" s="554"/>
      <c r="D1528" s="554" t="s">
        <v>9587</v>
      </c>
      <c r="E1528" s="554" t="s">
        <v>545</v>
      </c>
      <c r="F1528" s="571">
        <v>1</v>
      </c>
      <c r="G1528" s="572">
        <v>77.75</v>
      </c>
      <c r="H1528" s="545">
        <v>77.75</v>
      </c>
      <c r="I1528" s="554" t="s">
        <v>9218</v>
      </c>
      <c r="J1528" s="554" t="s">
        <v>9219</v>
      </c>
      <c r="K1528" s="554" t="s">
        <v>9219</v>
      </c>
      <c r="L1528" s="537" t="s">
        <v>2354</v>
      </c>
    </row>
    <row r="1529" spans="1:12" x14ac:dyDescent="0.2">
      <c r="A1529" s="547" t="s">
        <v>220</v>
      </c>
      <c r="B1529" s="547" t="s">
        <v>2351</v>
      </c>
      <c r="C1529" s="554"/>
      <c r="D1529" s="554" t="s">
        <v>9588</v>
      </c>
      <c r="E1529" s="554" t="s">
        <v>545</v>
      </c>
      <c r="F1529" s="571">
        <v>1</v>
      </c>
      <c r="G1529" s="572">
        <v>9</v>
      </c>
      <c r="H1529" s="545">
        <v>9</v>
      </c>
      <c r="I1529" s="554" t="s">
        <v>9218</v>
      </c>
      <c r="J1529" s="554" t="s">
        <v>9219</v>
      </c>
      <c r="K1529" s="554" t="s">
        <v>9219</v>
      </c>
      <c r="L1529" s="537" t="s">
        <v>2354</v>
      </c>
    </row>
    <row r="1530" spans="1:12" x14ac:dyDescent="0.2">
      <c r="A1530" s="547" t="s">
        <v>220</v>
      </c>
      <c r="B1530" s="547" t="s">
        <v>2351</v>
      </c>
      <c r="C1530" s="554"/>
      <c r="D1530" s="554" t="s">
        <v>9589</v>
      </c>
      <c r="E1530" s="554" t="s">
        <v>545</v>
      </c>
      <c r="F1530" s="571">
        <v>1</v>
      </c>
      <c r="G1530" s="572">
        <v>53.6</v>
      </c>
      <c r="H1530" s="545">
        <v>53.6</v>
      </c>
      <c r="I1530" s="554" t="s">
        <v>9218</v>
      </c>
      <c r="J1530" s="554" t="s">
        <v>9219</v>
      </c>
      <c r="K1530" s="554" t="s">
        <v>9219</v>
      </c>
      <c r="L1530" s="537" t="s">
        <v>2354</v>
      </c>
    </row>
    <row r="1531" spans="1:12" x14ac:dyDescent="0.2">
      <c r="A1531" s="547" t="s">
        <v>220</v>
      </c>
      <c r="B1531" s="547" t="s">
        <v>2351</v>
      </c>
      <c r="C1531" s="554"/>
      <c r="D1531" s="554" t="s">
        <v>9590</v>
      </c>
      <c r="E1531" s="554" t="s">
        <v>545</v>
      </c>
      <c r="F1531" s="571">
        <v>1</v>
      </c>
      <c r="G1531" s="572">
        <v>12</v>
      </c>
      <c r="H1531" s="545">
        <v>12</v>
      </c>
      <c r="I1531" s="554" t="s">
        <v>9218</v>
      </c>
      <c r="J1531" s="554" t="s">
        <v>9219</v>
      </c>
      <c r="K1531" s="554" t="s">
        <v>9219</v>
      </c>
      <c r="L1531" s="537" t="s">
        <v>2354</v>
      </c>
    </row>
    <row r="1532" spans="1:12" x14ac:dyDescent="0.2">
      <c r="A1532" s="547" t="s">
        <v>220</v>
      </c>
      <c r="B1532" s="547" t="s">
        <v>2351</v>
      </c>
      <c r="C1532" s="554"/>
      <c r="D1532" s="554" t="s">
        <v>9591</v>
      </c>
      <c r="E1532" s="554" t="s">
        <v>545</v>
      </c>
      <c r="F1532" s="571">
        <v>1</v>
      </c>
      <c r="G1532" s="572">
        <v>48</v>
      </c>
      <c r="H1532" s="545">
        <v>48</v>
      </c>
      <c r="I1532" s="554" t="s">
        <v>9218</v>
      </c>
      <c r="J1532" s="554" t="s">
        <v>9219</v>
      </c>
      <c r="K1532" s="554" t="s">
        <v>9219</v>
      </c>
      <c r="L1532" s="537" t="s">
        <v>2354</v>
      </c>
    </row>
    <row r="1533" spans="1:12" x14ac:dyDescent="0.2">
      <c r="A1533" s="547" t="s">
        <v>220</v>
      </c>
      <c r="B1533" s="547" t="s">
        <v>2351</v>
      </c>
      <c r="C1533" s="554" t="s">
        <v>3441</v>
      </c>
      <c r="D1533" s="554" t="s">
        <v>3442</v>
      </c>
      <c r="E1533" s="554" t="s">
        <v>9585</v>
      </c>
      <c r="F1533" s="571">
        <v>1</v>
      </c>
      <c r="G1533" s="572">
        <v>53.76</v>
      </c>
      <c r="H1533" s="545">
        <v>53.76</v>
      </c>
      <c r="I1533" s="554" t="s">
        <v>9218</v>
      </c>
      <c r="J1533" s="554" t="s">
        <v>9219</v>
      </c>
      <c r="K1533" s="554" t="s">
        <v>9219</v>
      </c>
      <c r="L1533" s="537" t="s">
        <v>2354</v>
      </c>
    </row>
    <row r="1534" spans="1:12" x14ac:dyDescent="0.2">
      <c r="A1534" s="547" t="s">
        <v>220</v>
      </c>
      <c r="B1534" s="547" t="s">
        <v>2351</v>
      </c>
      <c r="C1534" s="554" t="s">
        <v>3443</v>
      </c>
      <c r="D1534" s="554" t="s">
        <v>3444</v>
      </c>
      <c r="E1534" s="554" t="s">
        <v>9585</v>
      </c>
      <c r="F1534" s="571">
        <v>2</v>
      </c>
      <c r="G1534" s="572">
        <v>24.678000000000001</v>
      </c>
      <c r="H1534" s="545">
        <v>49.356000000000002</v>
      </c>
      <c r="I1534" s="554" t="s">
        <v>9218</v>
      </c>
      <c r="J1534" s="554" t="s">
        <v>9219</v>
      </c>
      <c r="K1534" s="554" t="s">
        <v>9219</v>
      </c>
      <c r="L1534" s="537" t="s">
        <v>2354</v>
      </c>
    </row>
    <row r="1535" spans="1:12" x14ac:dyDescent="0.2">
      <c r="A1535" s="547" t="s">
        <v>220</v>
      </c>
      <c r="B1535" s="547" t="s">
        <v>2351</v>
      </c>
      <c r="C1535" s="554" t="s">
        <v>3445</v>
      </c>
      <c r="D1535" s="554" t="s">
        <v>3446</v>
      </c>
      <c r="E1535" s="554" t="s">
        <v>9585</v>
      </c>
      <c r="F1535" s="571">
        <v>1</v>
      </c>
      <c r="G1535" s="572">
        <v>62.092799999999997</v>
      </c>
      <c r="H1535" s="545">
        <v>62.092799999999997</v>
      </c>
      <c r="I1535" s="554" t="s">
        <v>9218</v>
      </c>
      <c r="J1535" s="554" t="s">
        <v>9219</v>
      </c>
      <c r="K1535" s="554" t="s">
        <v>9219</v>
      </c>
      <c r="L1535" s="537" t="s">
        <v>2354</v>
      </c>
    </row>
    <row r="1536" spans="1:12" x14ac:dyDescent="0.2">
      <c r="A1536" s="547" t="s">
        <v>220</v>
      </c>
      <c r="B1536" s="547" t="s">
        <v>2351</v>
      </c>
      <c r="C1536" s="554" t="s">
        <v>3447</v>
      </c>
      <c r="D1536" s="554" t="s">
        <v>3448</v>
      </c>
      <c r="E1536" s="554" t="s">
        <v>9585</v>
      </c>
      <c r="F1536" s="571">
        <v>1</v>
      </c>
      <c r="G1536" s="572">
        <v>46.98</v>
      </c>
      <c r="H1536" s="545">
        <v>46.98</v>
      </c>
      <c r="I1536" s="554" t="s">
        <v>9218</v>
      </c>
      <c r="J1536" s="554" t="s">
        <v>9219</v>
      </c>
      <c r="K1536" s="554" t="s">
        <v>9219</v>
      </c>
      <c r="L1536" s="537" t="s">
        <v>2354</v>
      </c>
    </row>
    <row r="1537" spans="1:12" x14ac:dyDescent="0.2">
      <c r="A1537" s="547" t="s">
        <v>220</v>
      </c>
      <c r="B1537" s="547" t="s">
        <v>2351</v>
      </c>
      <c r="C1537" s="554" t="s">
        <v>3449</v>
      </c>
      <c r="D1537" s="554" t="s">
        <v>3450</v>
      </c>
      <c r="E1537" s="554" t="s">
        <v>9585</v>
      </c>
      <c r="F1537" s="571">
        <v>8</v>
      </c>
      <c r="G1537" s="572">
        <v>3.0779999999999998</v>
      </c>
      <c r="H1537" s="545">
        <v>24.623999999999999</v>
      </c>
      <c r="I1537" s="554" t="s">
        <v>9218</v>
      </c>
      <c r="J1537" s="554" t="s">
        <v>9219</v>
      </c>
      <c r="K1537" s="554" t="s">
        <v>9219</v>
      </c>
      <c r="L1537" s="537" t="s">
        <v>2354</v>
      </c>
    </row>
    <row r="1538" spans="1:12" x14ac:dyDescent="0.2">
      <c r="A1538" s="547" t="s">
        <v>220</v>
      </c>
      <c r="B1538" s="547" t="s">
        <v>2351</v>
      </c>
      <c r="C1538" s="554" t="s">
        <v>3451</v>
      </c>
      <c r="D1538" s="554" t="s">
        <v>3452</v>
      </c>
      <c r="E1538" s="554" t="s">
        <v>9585</v>
      </c>
      <c r="F1538" s="571">
        <v>9</v>
      </c>
      <c r="G1538" s="572">
        <v>14.076000000000001</v>
      </c>
      <c r="H1538" s="545">
        <v>126.684</v>
      </c>
      <c r="I1538" s="554" t="s">
        <v>9218</v>
      </c>
      <c r="J1538" s="554" t="s">
        <v>9219</v>
      </c>
      <c r="K1538" s="554" t="s">
        <v>9219</v>
      </c>
      <c r="L1538" s="537" t="s">
        <v>2354</v>
      </c>
    </row>
    <row r="1539" spans="1:12" x14ac:dyDescent="0.2">
      <c r="A1539" s="547" t="s">
        <v>220</v>
      </c>
      <c r="B1539" s="547" t="s">
        <v>2351</v>
      </c>
      <c r="C1539" s="554" t="s">
        <v>3577</v>
      </c>
      <c r="D1539" s="554" t="s">
        <v>3578</v>
      </c>
      <c r="E1539" s="554" t="s">
        <v>9585</v>
      </c>
      <c r="F1539" s="571">
        <v>3</v>
      </c>
      <c r="G1539" s="572">
        <v>11.475</v>
      </c>
      <c r="H1539" s="545">
        <v>34.424999999999997</v>
      </c>
      <c r="I1539" s="554" t="s">
        <v>9218</v>
      </c>
      <c r="J1539" s="554" t="s">
        <v>9219</v>
      </c>
      <c r="K1539" s="554" t="s">
        <v>9219</v>
      </c>
      <c r="L1539" s="537" t="s">
        <v>2354</v>
      </c>
    </row>
    <row r="1540" spans="1:12" x14ac:dyDescent="0.2">
      <c r="A1540" s="547" t="s">
        <v>220</v>
      </c>
      <c r="B1540" s="547" t="s">
        <v>2351</v>
      </c>
      <c r="C1540" s="554" t="s">
        <v>3619</v>
      </c>
      <c r="D1540" s="554" t="s">
        <v>3620</v>
      </c>
      <c r="E1540" s="554" t="s">
        <v>9585</v>
      </c>
      <c r="F1540" s="571">
        <v>4</v>
      </c>
      <c r="G1540" s="572">
        <v>11.699999999999998</v>
      </c>
      <c r="H1540" s="545">
        <v>46.79999999999999</v>
      </c>
      <c r="I1540" s="554" t="s">
        <v>9218</v>
      </c>
      <c r="J1540" s="554" t="s">
        <v>9219</v>
      </c>
      <c r="K1540" s="554" t="s">
        <v>9219</v>
      </c>
      <c r="L1540" s="537" t="s">
        <v>2354</v>
      </c>
    </row>
    <row r="1541" spans="1:12" x14ac:dyDescent="0.2">
      <c r="A1541" s="547" t="s">
        <v>220</v>
      </c>
      <c r="B1541" s="547" t="s">
        <v>2351</v>
      </c>
      <c r="C1541" s="554" t="s">
        <v>3625</v>
      </c>
      <c r="D1541" s="554" t="s">
        <v>3626</v>
      </c>
      <c r="E1541" s="554" t="s">
        <v>9585</v>
      </c>
      <c r="F1541" s="571">
        <v>1</v>
      </c>
      <c r="G1541" s="572">
        <v>7.2249999999999996</v>
      </c>
      <c r="H1541" s="545">
        <v>7.2249999999999996</v>
      </c>
      <c r="I1541" s="554" t="s">
        <v>9218</v>
      </c>
      <c r="J1541" s="554" t="s">
        <v>9219</v>
      </c>
      <c r="K1541" s="554" t="s">
        <v>9219</v>
      </c>
      <c r="L1541" s="537" t="s">
        <v>2354</v>
      </c>
    </row>
    <row r="1542" spans="1:12" x14ac:dyDescent="0.2">
      <c r="A1542" s="547" t="s">
        <v>220</v>
      </c>
      <c r="B1542" s="547" t="s">
        <v>2351</v>
      </c>
      <c r="C1542" s="554" t="s">
        <v>2419</v>
      </c>
      <c r="D1542" s="554" t="s">
        <v>2420</v>
      </c>
      <c r="E1542" s="554" t="s">
        <v>9585</v>
      </c>
      <c r="F1542" s="571">
        <v>13</v>
      </c>
      <c r="G1542" s="572">
        <v>12.07</v>
      </c>
      <c r="H1542" s="545">
        <v>156.91</v>
      </c>
      <c r="I1542" s="554" t="s">
        <v>9218</v>
      </c>
      <c r="J1542" s="554" t="s">
        <v>9219</v>
      </c>
      <c r="K1542" s="554" t="s">
        <v>9219</v>
      </c>
      <c r="L1542" s="537" t="s">
        <v>2354</v>
      </c>
    </row>
    <row r="1543" spans="1:12" x14ac:dyDescent="0.2">
      <c r="A1543" s="547" t="s">
        <v>220</v>
      </c>
      <c r="B1543" s="547" t="s">
        <v>2351</v>
      </c>
      <c r="C1543" s="554" t="s">
        <v>3793</v>
      </c>
      <c r="D1543" s="554" t="s">
        <v>3794</v>
      </c>
      <c r="E1543" s="554" t="s">
        <v>9585</v>
      </c>
      <c r="F1543" s="571">
        <v>3</v>
      </c>
      <c r="G1543" s="572">
        <v>110.37883333333301</v>
      </c>
      <c r="H1543" s="545">
        <v>331.13649999999905</v>
      </c>
      <c r="I1543" s="554" t="s">
        <v>9218</v>
      </c>
      <c r="J1543" s="554" t="s">
        <v>9219</v>
      </c>
      <c r="K1543" s="554" t="s">
        <v>9219</v>
      </c>
      <c r="L1543" s="537" t="s">
        <v>2354</v>
      </c>
    </row>
    <row r="1544" spans="1:12" x14ac:dyDescent="0.2">
      <c r="A1544" s="547" t="s">
        <v>220</v>
      </c>
      <c r="B1544" s="547" t="s">
        <v>2351</v>
      </c>
      <c r="C1544" s="554" t="s">
        <v>3795</v>
      </c>
      <c r="D1544" s="554" t="s">
        <v>3796</v>
      </c>
      <c r="E1544" s="554" t="s">
        <v>9585</v>
      </c>
      <c r="F1544" s="571">
        <v>5</v>
      </c>
      <c r="G1544" s="572">
        <v>141.57864000000001</v>
      </c>
      <c r="H1544" s="545">
        <v>707.89319999999998</v>
      </c>
      <c r="I1544" s="554" t="s">
        <v>9218</v>
      </c>
      <c r="J1544" s="554" t="s">
        <v>9219</v>
      </c>
      <c r="K1544" s="554" t="s">
        <v>9219</v>
      </c>
      <c r="L1544" s="537" t="s">
        <v>2354</v>
      </c>
    </row>
    <row r="1545" spans="1:12" x14ac:dyDescent="0.2">
      <c r="A1545" s="547" t="s">
        <v>220</v>
      </c>
      <c r="B1545" s="547" t="s">
        <v>2351</v>
      </c>
      <c r="C1545" s="554"/>
      <c r="D1545" s="554" t="s">
        <v>9263</v>
      </c>
      <c r="E1545" s="554" t="s">
        <v>9585</v>
      </c>
      <c r="F1545" s="571">
        <v>1</v>
      </c>
      <c r="G1545" s="572">
        <v>340.8</v>
      </c>
      <c r="H1545" s="545">
        <v>340.8</v>
      </c>
      <c r="I1545" s="554" t="s">
        <v>9218</v>
      </c>
      <c r="J1545" s="554" t="s">
        <v>9219</v>
      </c>
      <c r="K1545" s="554" t="s">
        <v>9219</v>
      </c>
      <c r="L1545" s="537" t="s">
        <v>2354</v>
      </c>
    </row>
    <row r="1546" spans="1:12" x14ac:dyDescent="0.2">
      <c r="A1546" s="547" t="s">
        <v>220</v>
      </c>
      <c r="B1546" s="547" t="s">
        <v>2351</v>
      </c>
      <c r="C1546" s="554" t="s">
        <v>3797</v>
      </c>
      <c r="D1546" s="554" t="s">
        <v>3798</v>
      </c>
      <c r="E1546" s="554" t="s">
        <v>9585</v>
      </c>
      <c r="F1546" s="571">
        <v>11</v>
      </c>
      <c r="G1546" s="572">
        <v>102.2805</v>
      </c>
      <c r="H1546" s="545">
        <v>1125.0855000000001</v>
      </c>
      <c r="I1546" s="554" t="s">
        <v>9218</v>
      </c>
      <c r="J1546" s="554" t="s">
        <v>9219</v>
      </c>
      <c r="K1546" s="554" t="s">
        <v>9219</v>
      </c>
      <c r="L1546" s="537" t="s">
        <v>2354</v>
      </c>
    </row>
    <row r="1547" spans="1:12" x14ac:dyDescent="0.2">
      <c r="A1547" s="547" t="s">
        <v>220</v>
      </c>
      <c r="B1547" s="547" t="s">
        <v>2351</v>
      </c>
      <c r="C1547" s="554" t="s">
        <v>3799</v>
      </c>
      <c r="D1547" s="554" t="s">
        <v>3800</v>
      </c>
      <c r="E1547" s="554" t="s">
        <v>9585</v>
      </c>
      <c r="F1547" s="571">
        <v>2</v>
      </c>
      <c r="G1547" s="572">
        <v>346.16480000000001</v>
      </c>
      <c r="H1547" s="545">
        <v>692.32960000000003</v>
      </c>
      <c r="I1547" s="554" t="s">
        <v>9218</v>
      </c>
      <c r="J1547" s="554" t="s">
        <v>9219</v>
      </c>
      <c r="K1547" s="554" t="s">
        <v>9219</v>
      </c>
      <c r="L1547" s="537" t="s">
        <v>2354</v>
      </c>
    </row>
    <row r="1548" spans="1:12" x14ac:dyDescent="0.2">
      <c r="A1548" s="547" t="s">
        <v>220</v>
      </c>
      <c r="B1548" s="547" t="s">
        <v>2351</v>
      </c>
      <c r="C1548" s="554" t="s">
        <v>3801</v>
      </c>
      <c r="D1548" s="554" t="s">
        <v>3802</v>
      </c>
      <c r="E1548" s="554" t="s">
        <v>9585</v>
      </c>
      <c r="F1548" s="571">
        <v>4</v>
      </c>
      <c r="G1548" s="572">
        <v>145</v>
      </c>
      <c r="H1548" s="545">
        <v>580</v>
      </c>
      <c r="I1548" s="554" t="s">
        <v>9218</v>
      </c>
      <c r="J1548" s="554" t="s">
        <v>9219</v>
      </c>
      <c r="K1548" s="554" t="s">
        <v>9219</v>
      </c>
      <c r="L1548" s="537" t="s">
        <v>2354</v>
      </c>
    </row>
    <row r="1549" spans="1:12" x14ac:dyDescent="0.2">
      <c r="A1549" s="547" t="s">
        <v>220</v>
      </c>
      <c r="B1549" s="547" t="s">
        <v>2351</v>
      </c>
      <c r="C1549" s="554" t="s">
        <v>3803</v>
      </c>
      <c r="D1549" s="554" t="s">
        <v>3804</v>
      </c>
      <c r="E1549" s="554" t="s">
        <v>9585</v>
      </c>
      <c r="F1549" s="571">
        <v>2</v>
      </c>
      <c r="G1549" s="572">
        <v>181.62799999999999</v>
      </c>
      <c r="H1549" s="545">
        <v>363.25599999999997</v>
      </c>
      <c r="I1549" s="554" t="s">
        <v>9218</v>
      </c>
      <c r="J1549" s="554" t="s">
        <v>9219</v>
      </c>
      <c r="K1549" s="554" t="s">
        <v>9219</v>
      </c>
      <c r="L1549" s="537" t="s">
        <v>2354</v>
      </c>
    </row>
    <row r="1550" spans="1:12" x14ac:dyDescent="0.2">
      <c r="A1550" s="547" t="s">
        <v>220</v>
      </c>
      <c r="B1550" s="547" t="s">
        <v>2351</v>
      </c>
      <c r="C1550" s="554" t="s">
        <v>3805</v>
      </c>
      <c r="D1550" s="554" t="s">
        <v>3806</v>
      </c>
      <c r="E1550" s="554" t="s">
        <v>9585</v>
      </c>
      <c r="F1550" s="571">
        <v>5</v>
      </c>
      <c r="G1550" s="572">
        <v>127.00620000000001</v>
      </c>
      <c r="H1550" s="545">
        <v>635.03100000000006</v>
      </c>
      <c r="I1550" s="554" t="s">
        <v>9218</v>
      </c>
      <c r="J1550" s="554" t="s">
        <v>9219</v>
      </c>
      <c r="K1550" s="554" t="s">
        <v>9219</v>
      </c>
      <c r="L1550" s="537" t="s">
        <v>2354</v>
      </c>
    </row>
    <row r="1551" spans="1:12" x14ac:dyDescent="0.2">
      <c r="A1551" s="547" t="s">
        <v>220</v>
      </c>
      <c r="B1551" s="547" t="s">
        <v>2351</v>
      </c>
      <c r="C1551" s="554" t="s">
        <v>3807</v>
      </c>
      <c r="D1551" s="554" t="s">
        <v>3808</v>
      </c>
      <c r="E1551" s="554" t="s">
        <v>9585</v>
      </c>
      <c r="F1551" s="571">
        <v>8</v>
      </c>
      <c r="G1551" s="572">
        <v>93.975999999999999</v>
      </c>
      <c r="H1551" s="545">
        <v>751.80799999999999</v>
      </c>
      <c r="I1551" s="554" t="s">
        <v>9218</v>
      </c>
      <c r="J1551" s="554" t="s">
        <v>9219</v>
      </c>
      <c r="K1551" s="554" t="s">
        <v>9219</v>
      </c>
      <c r="L1551" s="537" t="s">
        <v>2354</v>
      </c>
    </row>
    <row r="1552" spans="1:12" x14ac:dyDescent="0.2">
      <c r="A1552" s="547" t="s">
        <v>220</v>
      </c>
      <c r="B1552" s="547" t="s">
        <v>2351</v>
      </c>
      <c r="C1552" s="554" t="s">
        <v>3809</v>
      </c>
      <c r="D1552" s="554" t="s">
        <v>3810</v>
      </c>
      <c r="E1552" s="554" t="s">
        <v>9585</v>
      </c>
      <c r="F1552" s="571">
        <v>10</v>
      </c>
      <c r="G1552" s="572">
        <v>64.261530000000008</v>
      </c>
      <c r="H1552" s="545">
        <v>642.61530000000005</v>
      </c>
      <c r="I1552" s="554" t="s">
        <v>9218</v>
      </c>
      <c r="J1552" s="554" t="s">
        <v>9219</v>
      </c>
      <c r="K1552" s="554" t="s">
        <v>9219</v>
      </c>
      <c r="L1552" s="537" t="s">
        <v>2354</v>
      </c>
    </row>
    <row r="1553" spans="1:12" x14ac:dyDescent="0.2">
      <c r="A1553" s="547" t="s">
        <v>220</v>
      </c>
      <c r="B1553" s="547" t="s">
        <v>2351</v>
      </c>
      <c r="C1553" s="554" t="s">
        <v>3811</v>
      </c>
      <c r="D1553" s="554" t="s">
        <v>3812</v>
      </c>
      <c r="E1553" s="554" t="s">
        <v>9585</v>
      </c>
      <c r="F1553" s="571">
        <v>5</v>
      </c>
      <c r="G1553" s="572">
        <v>89.798400000000001</v>
      </c>
      <c r="H1553" s="545">
        <v>448.99200000000002</v>
      </c>
      <c r="I1553" s="554" t="s">
        <v>9218</v>
      </c>
      <c r="J1553" s="554" t="s">
        <v>9219</v>
      </c>
      <c r="K1553" s="554" t="s">
        <v>9219</v>
      </c>
      <c r="L1553" s="537" t="s">
        <v>2354</v>
      </c>
    </row>
    <row r="1554" spans="1:12" x14ac:dyDescent="0.2">
      <c r="A1554" s="547" t="s">
        <v>220</v>
      </c>
      <c r="B1554" s="547" t="s">
        <v>2351</v>
      </c>
      <c r="C1554" s="554" t="s">
        <v>3813</v>
      </c>
      <c r="D1554" s="554" t="s">
        <v>3814</v>
      </c>
      <c r="E1554" s="554" t="s">
        <v>9585</v>
      </c>
      <c r="F1554" s="571">
        <v>1</v>
      </c>
      <c r="G1554" s="572">
        <v>176.84310000000002</v>
      </c>
      <c r="H1554" s="545">
        <v>176.84310000000002</v>
      </c>
      <c r="I1554" s="554" t="s">
        <v>9218</v>
      </c>
      <c r="J1554" s="554" t="s">
        <v>9219</v>
      </c>
      <c r="K1554" s="554" t="s">
        <v>9219</v>
      </c>
      <c r="L1554" s="537" t="s">
        <v>2354</v>
      </c>
    </row>
    <row r="1555" spans="1:12" x14ac:dyDescent="0.2">
      <c r="A1555" s="547" t="s">
        <v>220</v>
      </c>
      <c r="B1555" s="547" t="s">
        <v>2351</v>
      </c>
      <c r="C1555" s="554" t="s">
        <v>3815</v>
      </c>
      <c r="D1555" s="554" t="s">
        <v>3816</v>
      </c>
      <c r="E1555" s="554" t="s">
        <v>9585</v>
      </c>
      <c r="F1555" s="571">
        <v>5</v>
      </c>
      <c r="G1555" s="572">
        <v>44.763299999999994</v>
      </c>
      <c r="H1555" s="545">
        <v>223.81649999999996</v>
      </c>
      <c r="I1555" s="554" t="s">
        <v>9218</v>
      </c>
      <c r="J1555" s="554" t="s">
        <v>9219</v>
      </c>
      <c r="K1555" s="554" t="s">
        <v>9219</v>
      </c>
      <c r="L1555" s="537" t="s">
        <v>2354</v>
      </c>
    </row>
    <row r="1556" spans="1:12" x14ac:dyDescent="0.2">
      <c r="A1556" s="547" t="s">
        <v>220</v>
      </c>
      <c r="B1556" s="547" t="s">
        <v>2351</v>
      </c>
      <c r="C1556" s="554" t="s">
        <v>3817</v>
      </c>
      <c r="D1556" s="554" t="s">
        <v>3818</v>
      </c>
      <c r="E1556" s="554" t="s">
        <v>9585</v>
      </c>
      <c r="F1556" s="571">
        <v>1</v>
      </c>
      <c r="G1556" s="572">
        <v>1330.4114999999999</v>
      </c>
      <c r="H1556" s="545">
        <v>1330.4114999999999</v>
      </c>
      <c r="I1556" s="554" t="s">
        <v>9218</v>
      </c>
      <c r="J1556" s="554" t="s">
        <v>9219</v>
      </c>
      <c r="K1556" s="554" t="s">
        <v>9219</v>
      </c>
      <c r="L1556" s="537" t="s">
        <v>2354</v>
      </c>
    </row>
    <row r="1557" spans="1:12" x14ac:dyDescent="0.2">
      <c r="A1557" s="547" t="s">
        <v>220</v>
      </c>
      <c r="B1557" s="547" t="s">
        <v>2351</v>
      </c>
      <c r="C1557" s="554" t="s">
        <v>5311</v>
      </c>
      <c r="D1557" s="554" t="s">
        <v>5312</v>
      </c>
      <c r="E1557" s="554" t="s">
        <v>9585</v>
      </c>
      <c r="F1557" s="573">
        <v>1</v>
      </c>
      <c r="G1557" s="545">
        <v>0</v>
      </c>
      <c r="H1557" s="545">
        <v>0</v>
      </c>
      <c r="I1557" s="554" t="s">
        <v>9218</v>
      </c>
      <c r="J1557" s="554" t="s">
        <v>9219</v>
      </c>
      <c r="K1557" s="554" t="s">
        <v>9219</v>
      </c>
      <c r="L1557" s="537" t="s">
        <v>2354</v>
      </c>
    </row>
    <row r="1558" spans="1:12" x14ac:dyDescent="0.2">
      <c r="A1558" s="547" t="s">
        <v>220</v>
      </c>
      <c r="B1558" s="547" t="s">
        <v>2351</v>
      </c>
      <c r="C1558" s="554" t="s">
        <v>3821</v>
      </c>
      <c r="D1558" s="554" t="s">
        <v>3822</v>
      </c>
      <c r="E1558" s="554" t="s">
        <v>9585</v>
      </c>
      <c r="F1558" s="571">
        <v>1</v>
      </c>
      <c r="G1558" s="572">
        <v>382.89949999999999</v>
      </c>
      <c r="H1558" s="545">
        <v>382.89949999999999</v>
      </c>
      <c r="I1558" s="554" t="s">
        <v>9218</v>
      </c>
      <c r="J1558" s="554" t="s">
        <v>9219</v>
      </c>
      <c r="K1558" s="554" t="s">
        <v>9219</v>
      </c>
      <c r="L1558" s="537" t="s">
        <v>2354</v>
      </c>
    </row>
    <row r="1559" spans="1:12" x14ac:dyDescent="0.2">
      <c r="A1559" s="547" t="s">
        <v>220</v>
      </c>
      <c r="B1559" s="547" t="s">
        <v>2351</v>
      </c>
      <c r="C1559" s="554" t="s">
        <v>3823</v>
      </c>
      <c r="D1559" s="554" t="s">
        <v>3824</v>
      </c>
      <c r="E1559" s="554" t="s">
        <v>9585</v>
      </c>
      <c r="F1559" s="573">
        <v>6</v>
      </c>
      <c r="G1559" s="545">
        <v>0</v>
      </c>
      <c r="H1559" s="545">
        <v>0</v>
      </c>
      <c r="I1559" s="554" t="s">
        <v>9218</v>
      </c>
      <c r="J1559" s="554" t="s">
        <v>9219</v>
      </c>
      <c r="K1559" s="554" t="s">
        <v>9219</v>
      </c>
      <c r="L1559" s="537" t="s">
        <v>2354</v>
      </c>
    </row>
    <row r="1560" spans="1:12" x14ac:dyDescent="0.2">
      <c r="A1560" s="547" t="s">
        <v>220</v>
      </c>
      <c r="B1560" s="547" t="s">
        <v>2351</v>
      </c>
      <c r="C1560" s="554" t="s">
        <v>9264</v>
      </c>
      <c r="D1560" s="554" t="s">
        <v>9265</v>
      </c>
      <c r="E1560" s="554" t="s">
        <v>9585</v>
      </c>
      <c r="F1560" s="571">
        <v>2</v>
      </c>
      <c r="G1560" s="572">
        <v>184.62</v>
      </c>
      <c r="H1560" s="545">
        <v>369.24</v>
      </c>
      <c r="I1560" s="554" t="s">
        <v>9218</v>
      </c>
      <c r="J1560" s="554" t="s">
        <v>9219</v>
      </c>
      <c r="K1560" s="554" t="s">
        <v>9219</v>
      </c>
      <c r="L1560" s="537" t="s">
        <v>2354</v>
      </c>
    </row>
    <row r="1561" spans="1:12" x14ac:dyDescent="0.2">
      <c r="A1561" s="547" t="s">
        <v>220</v>
      </c>
      <c r="B1561" s="547" t="s">
        <v>2351</v>
      </c>
      <c r="C1561" s="554" t="s">
        <v>3825</v>
      </c>
      <c r="D1561" s="554" t="s">
        <v>3826</v>
      </c>
      <c r="E1561" s="554" t="s">
        <v>9585</v>
      </c>
      <c r="F1561" s="571">
        <v>2</v>
      </c>
      <c r="G1561" s="572">
        <v>150.75</v>
      </c>
      <c r="H1561" s="545">
        <v>301.5</v>
      </c>
      <c r="I1561" s="554" t="s">
        <v>9218</v>
      </c>
      <c r="J1561" s="554" t="s">
        <v>9219</v>
      </c>
      <c r="K1561" s="554" t="s">
        <v>9219</v>
      </c>
      <c r="L1561" s="537" t="s">
        <v>2354</v>
      </c>
    </row>
    <row r="1562" spans="1:12" x14ac:dyDescent="0.2">
      <c r="A1562" s="547" t="s">
        <v>220</v>
      </c>
      <c r="B1562" s="547" t="s">
        <v>2351</v>
      </c>
      <c r="C1562" s="554" t="s">
        <v>3827</v>
      </c>
      <c r="D1562" s="554" t="s">
        <v>3828</v>
      </c>
      <c r="E1562" s="554" t="s">
        <v>9585</v>
      </c>
      <c r="F1562" s="571">
        <v>6</v>
      </c>
      <c r="G1562" s="572">
        <v>100.2</v>
      </c>
      <c r="H1562" s="545">
        <v>601.20000000000005</v>
      </c>
      <c r="I1562" s="554" t="s">
        <v>9218</v>
      </c>
      <c r="J1562" s="554" t="s">
        <v>9219</v>
      </c>
      <c r="K1562" s="554" t="s">
        <v>9219</v>
      </c>
      <c r="L1562" s="537" t="s">
        <v>2354</v>
      </c>
    </row>
    <row r="1563" spans="1:12" x14ac:dyDescent="0.2">
      <c r="A1563" s="547" t="s">
        <v>220</v>
      </c>
      <c r="B1563" s="547" t="s">
        <v>2351</v>
      </c>
      <c r="C1563" s="554" t="s">
        <v>3829</v>
      </c>
      <c r="D1563" s="554" t="s">
        <v>3830</v>
      </c>
      <c r="E1563" s="554" t="s">
        <v>9585</v>
      </c>
      <c r="F1563" s="571">
        <v>4</v>
      </c>
      <c r="G1563" s="572">
        <v>6.9550000000000001</v>
      </c>
      <c r="H1563" s="545">
        <v>27.82</v>
      </c>
      <c r="I1563" s="554" t="s">
        <v>9218</v>
      </c>
      <c r="J1563" s="554" t="s">
        <v>9219</v>
      </c>
      <c r="K1563" s="554" t="s">
        <v>9219</v>
      </c>
      <c r="L1563" s="537" t="s">
        <v>2354</v>
      </c>
    </row>
    <row r="1564" spans="1:12" x14ac:dyDescent="0.2">
      <c r="A1564" s="547" t="s">
        <v>220</v>
      </c>
      <c r="B1564" s="547" t="s">
        <v>2351</v>
      </c>
      <c r="C1564" s="554" t="s">
        <v>3837</v>
      </c>
      <c r="D1564" s="554" t="s">
        <v>3838</v>
      </c>
      <c r="E1564" s="554" t="s">
        <v>9585</v>
      </c>
      <c r="F1564" s="571">
        <v>4</v>
      </c>
      <c r="G1564" s="572">
        <v>0.17199999999999999</v>
      </c>
      <c r="H1564" s="545">
        <v>0.68799999999999994</v>
      </c>
      <c r="I1564" s="554" t="s">
        <v>9218</v>
      </c>
      <c r="J1564" s="554" t="s">
        <v>9219</v>
      </c>
      <c r="K1564" s="554" t="s">
        <v>9219</v>
      </c>
      <c r="L1564" s="537" t="s">
        <v>2354</v>
      </c>
    </row>
    <row r="1565" spans="1:12" x14ac:dyDescent="0.2">
      <c r="A1565" s="547" t="s">
        <v>220</v>
      </c>
      <c r="B1565" s="547" t="s">
        <v>2351</v>
      </c>
      <c r="C1565" s="554" t="s">
        <v>3841</v>
      </c>
      <c r="D1565" s="554" t="s">
        <v>3842</v>
      </c>
      <c r="E1565" s="554" t="s">
        <v>9585</v>
      </c>
      <c r="F1565" s="571">
        <v>2</v>
      </c>
      <c r="G1565" s="572">
        <v>27.27</v>
      </c>
      <c r="H1565" s="545">
        <v>54.54</v>
      </c>
      <c r="I1565" s="554" t="s">
        <v>9218</v>
      </c>
      <c r="J1565" s="554" t="s">
        <v>9219</v>
      </c>
      <c r="K1565" s="554" t="s">
        <v>9219</v>
      </c>
      <c r="L1565" s="537" t="s">
        <v>2354</v>
      </c>
    </row>
    <row r="1566" spans="1:12" x14ac:dyDescent="0.2">
      <c r="A1566" s="547" t="s">
        <v>220</v>
      </c>
      <c r="B1566" s="547" t="s">
        <v>2351</v>
      </c>
      <c r="C1566" s="554" t="s">
        <v>3843</v>
      </c>
      <c r="D1566" s="554" t="s">
        <v>3844</v>
      </c>
      <c r="E1566" s="554" t="s">
        <v>9585</v>
      </c>
      <c r="F1566" s="571">
        <v>2</v>
      </c>
      <c r="G1566" s="572">
        <v>364.49275</v>
      </c>
      <c r="H1566" s="545">
        <v>728.9855</v>
      </c>
      <c r="I1566" s="554" t="s">
        <v>9218</v>
      </c>
      <c r="J1566" s="554" t="s">
        <v>9219</v>
      </c>
      <c r="K1566" s="554" t="s">
        <v>9219</v>
      </c>
      <c r="L1566" s="537" t="s">
        <v>2354</v>
      </c>
    </row>
    <row r="1567" spans="1:12" x14ac:dyDescent="0.2">
      <c r="A1567" s="547" t="s">
        <v>220</v>
      </c>
      <c r="B1567" s="547" t="s">
        <v>2351</v>
      </c>
      <c r="C1567" s="554" t="s">
        <v>3845</v>
      </c>
      <c r="D1567" s="554" t="s">
        <v>3846</v>
      </c>
      <c r="E1567" s="554" t="s">
        <v>9585</v>
      </c>
      <c r="F1567" s="571">
        <v>35</v>
      </c>
      <c r="G1567" s="572">
        <v>133.94300000000001</v>
      </c>
      <c r="H1567" s="545">
        <v>4688.0050000000001</v>
      </c>
      <c r="I1567" s="554" t="s">
        <v>9218</v>
      </c>
      <c r="J1567" s="554" t="s">
        <v>9219</v>
      </c>
      <c r="K1567" s="554" t="s">
        <v>9219</v>
      </c>
      <c r="L1567" s="537" t="s">
        <v>2354</v>
      </c>
    </row>
    <row r="1568" spans="1:12" x14ac:dyDescent="0.2">
      <c r="A1568" s="547" t="s">
        <v>220</v>
      </c>
      <c r="B1568" s="547" t="s">
        <v>2351</v>
      </c>
      <c r="C1568" s="554" t="s">
        <v>3847</v>
      </c>
      <c r="D1568" s="554" t="s">
        <v>3848</v>
      </c>
      <c r="E1568" s="554" t="s">
        <v>9585</v>
      </c>
      <c r="F1568" s="571">
        <v>2</v>
      </c>
      <c r="G1568" s="572">
        <v>19.800999999999998</v>
      </c>
      <c r="H1568" s="545">
        <v>39.601999999999997</v>
      </c>
      <c r="I1568" s="554" t="s">
        <v>9218</v>
      </c>
      <c r="J1568" s="554" t="s">
        <v>9219</v>
      </c>
      <c r="K1568" s="554" t="s">
        <v>9219</v>
      </c>
      <c r="L1568" s="537" t="s">
        <v>2354</v>
      </c>
    </row>
    <row r="1569" spans="1:12" x14ac:dyDescent="0.2">
      <c r="A1569" s="547" t="s">
        <v>220</v>
      </c>
      <c r="B1569" s="547" t="s">
        <v>2351</v>
      </c>
      <c r="C1569" s="554" t="s">
        <v>3849</v>
      </c>
      <c r="D1569" s="554" t="s">
        <v>3850</v>
      </c>
      <c r="E1569" s="554" t="s">
        <v>9585</v>
      </c>
      <c r="F1569" s="571">
        <v>7</v>
      </c>
      <c r="G1569" s="572">
        <v>9.9990000000000006</v>
      </c>
      <c r="H1569" s="545">
        <v>69.993000000000009</v>
      </c>
      <c r="I1569" s="554" t="s">
        <v>9218</v>
      </c>
      <c r="J1569" s="554" t="s">
        <v>9219</v>
      </c>
      <c r="K1569" s="554" t="s">
        <v>9219</v>
      </c>
      <c r="L1569" s="537" t="s">
        <v>2354</v>
      </c>
    </row>
    <row r="1570" spans="1:12" x14ac:dyDescent="0.2">
      <c r="A1570" s="547" t="s">
        <v>220</v>
      </c>
      <c r="B1570" s="547" t="s">
        <v>2351</v>
      </c>
      <c r="C1570" s="554" t="s">
        <v>3851</v>
      </c>
      <c r="D1570" s="554" t="s">
        <v>3852</v>
      </c>
      <c r="E1570" s="554" t="s">
        <v>9585</v>
      </c>
      <c r="F1570" s="571">
        <v>6</v>
      </c>
      <c r="G1570" s="572">
        <v>1.7955000000000001</v>
      </c>
      <c r="H1570" s="545">
        <v>10.773</v>
      </c>
      <c r="I1570" s="554" t="s">
        <v>9218</v>
      </c>
      <c r="J1570" s="554" t="s">
        <v>9219</v>
      </c>
      <c r="K1570" s="554" t="s">
        <v>9219</v>
      </c>
      <c r="L1570" s="537" t="s">
        <v>2354</v>
      </c>
    </row>
    <row r="1571" spans="1:12" x14ac:dyDescent="0.2">
      <c r="A1571" s="547" t="s">
        <v>220</v>
      </c>
      <c r="B1571" s="547" t="s">
        <v>2351</v>
      </c>
      <c r="C1571" s="554" t="s">
        <v>3853</v>
      </c>
      <c r="D1571" s="554" t="s">
        <v>3854</v>
      </c>
      <c r="E1571" s="554" t="s">
        <v>9585</v>
      </c>
      <c r="F1571" s="571">
        <v>8</v>
      </c>
      <c r="G1571" s="572">
        <v>1.5498000000000001</v>
      </c>
      <c r="H1571" s="545">
        <v>12.398400000000001</v>
      </c>
      <c r="I1571" s="554" t="s">
        <v>9218</v>
      </c>
      <c r="J1571" s="554" t="s">
        <v>9219</v>
      </c>
      <c r="K1571" s="554" t="s">
        <v>9219</v>
      </c>
      <c r="L1571" s="537" t="s">
        <v>2354</v>
      </c>
    </row>
    <row r="1572" spans="1:12" x14ac:dyDescent="0.2">
      <c r="A1572" s="547" t="s">
        <v>220</v>
      </c>
      <c r="B1572" s="547" t="s">
        <v>2351</v>
      </c>
      <c r="C1572" s="554" t="s">
        <v>3855</v>
      </c>
      <c r="D1572" s="554" t="s">
        <v>7562</v>
      </c>
      <c r="E1572" s="554" t="s">
        <v>9585</v>
      </c>
      <c r="F1572" s="571">
        <v>2</v>
      </c>
      <c r="G1572" s="572">
        <v>327.488</v>
      </c>
      <c r="H1572" s="545">
        <v>654.976</v>
      </c>
      <c r="I1572" s="554" t="s">
        <v>9218</v>
      </c>
      <c r="J1572" s="554" t="s">
        <v>9219</v>
      </c>
      <c r="K1572" s="554" t="s">
        <v>9219</v>
      </c>
      <c r="L1572" s="537" t="s">
        <v>2354</v>
      </c>
    </row>
    <row r="1573" spans="1:12" x14ac:dyDescent="0.2">
      <c r="A1573" s="547" t="s">
        <v>220</v>
      </c>
      <c r="B1573" s="547" t="s">
        <v>2351</v>
      </c>
      <c r="C1573" s="554" t="s">
        <v>3857</v>
      </c>
      <c r="D1573" s="554" t="s">
        <v>3858</v>
      </c>
      <c r="E1573" s="554" t="s">
        <v>9585</v>
      </c>
      <c r="F1573" s="571">
        <v>2</v>
      </c>
      <c r="G1573" s="572">
        <v>407.12400000000002</v>
      </c>
      <c r="H1573" s="545">
        <v>814.24800000000005</v>
      </c>
      <c r="I1573" s="554" t="s">
        <v>9218</v>
      </c>
      <c r="J1573" s="554" t="s">
        <v>9219</v>
      </c>
      <c r="K1573" s="554" t="s">
        <v>9219</v>
      </c>
      <c r="L1573" s="537" t="s">
        <v>2354</v>
      </c>
    </row>
    <row r="1574" spans="1:12" x14ac:dyDescent="0.2">
      <c r="A1574" s="547" t="s">
        <v>220</v>
      </c>
      <c r="B1574" s="547" t="s">
        <v>2351</v>
      </c>
      <c r="C1574" s="554" t="s">
        <v>3859</v>
      </c>
      <c r="D1574" s="554" t="s">
        <v>3860</v>
      </c>
      <c r="E1574" s="554" t="s">
        <v>9585</v>
      </c>
      <c r="F1574" s="571">
        <v>2</v>
      </c>
      <c r="G1574" s="572">
        <v>248.01400000000001</v>
      </c>
      <c r="H1574" s="545">
        <v>496.02800000000002</v>
      </c>
      <c r="I1574" s="554" t="s">
        <v>9218</v>
      </c>
      <c r="J1574" s="554" t="s">
        <v>9219</v>
      </c>
      <c r="K1574" s="554" t="s">
        <v>9219</v>
      </c>
      <c r="L1574" s="537" t="s">
        <v>2354</v>
      </c>
    </row>
    <row r="1575" spans="1:12" x14ac:dyDescent="0.2">
      <c r="A1575" s="547" t="s">
        <v>220</v>
      </c>
      <c r="B1575" s="547" t="s">
        <v>2351</v>
      </c>
      <c r="C1575" s="554" t="s">
        <v>3861</v>
      </c>
      <c r="D1575" s="554" t="s">
        <v>3862</v>
      </c>
      <c r="E1575" s="554" t="s">
        <v>9585</v>
      </c>
      <c r="F1575" s="571">
        <v>1</v>
      </c>
      <c r="G1575" s="572">
        <v>588.6</v>
      </c>
      <c r="H1575" s="545">
        <v>588.6</v>
      </c>
      <c r="I1575" s="554" t="s">
        <v>9218</v>
      </c>
      <c r="J1575" s="554" t="s">
        <v>9219</v>
      </c>
      <c r="K1575" s="554" t="s">
        <v>9219</v>
      </c>
      <c r="L1575" s="537" t="s">
        <v>2354</v>
      </c>
    </row>
    <row r="1576" spans="1:12" x14ac:dyDescent="0.2">
      <c r="A1576" s="547" t="s">
        <v>220</v>
      </c>
      <c r="B1576" s="547" t="s">
        <v>2351</v>
      </c>
      <c r="C1576" s="554" t="s">
        <v>3863</v>
      </c>
      <c r="D1576" s="554" t="s">
        <v>3864</v>
      </c>
      <c r="E1576" s="554" t="s">
        <v>9585</v>
      </c>
      <c r="F1576" s="571">
        <v>2</v>
      </c>
      <c r="G1576" s="572">
        <v>281.60500000000002</v>
      </c>
      <c r="H1576" s="545">
        <v>563.21</v>
      </c>
      <c r="I1576" s="554" t="s">
        <v>9218</v>
      </c>
      <c r="J1576" s="554" t="s">
        <v>9219</v>
      </c>
      <c r="K1576" s="554" t="s">
        <v>9219</v>
      </c>
      <c r="L1576" s="537" t="s">
        <v>2354</v>
      </c>
    </row>
    <row r="1577" spans="1:12" x14ac:dyDescent="0.2">
      <c r="A1577" s="547" t="s">
        <v>220</v>
      </c>
      <c r="B1577" s="547" t="s">
        <v>2351</v>
      </c>
      <c r="C1577" s="554" t="s">
        <v>3865</v>
      </c>
      <c r="D1577" s="554" t="s">
        <v>3866</v>
      </c>
      <c r="E1577" s="554" t="s">
        <v>9585</v>
      </c>
      <c r="F1577" s="571">
        <v>25</v>
      </c>
      <c r="G1577" s="572">
        <v>12</v>
      </c>
      <c r="H1577" s="545">
        <v>300</v>
      </c>
      <c r="I1577" s="554" t="s">
        <v>9218</v>
      </c>
      <c r="J1577" s="554" t="s">
        <v>9219</v>
      </c>
      <c r="K1577" s="554" t="s">
        <v>9219</v>
      </c>
      <c r="L1577" s="537" t="s">
        <v>2354</v>
      </c>
    </row>
    <row r="1578" spans="1:12" x14ac:dyDescent="0.2">
      <c r="A1578" s="547" t="s">
        <v>220</v>
      </c>
      <c r="B1578" s="547" t="s">
        <v>2351</v>
      </c>
      <c r="C1578" s="554" t="s">
        <v>3869</v>
      </c>
      <c r="D1578" s="554" t="s">
        <v>3870</v>
      </c>
      <c r="E1578" s="554" t="s">
        <v>9585</v>
      </c>
      <c r="F1578" s="571">
        <v>1</v>
      </c>
      <c r="G1578" s="572">
        <v>193.8015</v>
      </c>
      <c r="H1578" s="545">
        <v>193.8015</v>
      </c>
      <c r="I1578" s="554" t="s">
        <v>9218</v>
      </c>
      <c r="J1578" s="554" t="s">
        <v>9219</v>
      </c>
      <c r="K1578" s="554" t="s">
        <v>9219</v>
      </c>
      <c r="L1578" s="537" t="s">
        <v>2354</v>
      </c>
    </row>
    <row r="1579" spans="1:12" x14ac:dyDescent="0.2">
      <c r="A1579" s="547" t="s">
        <v>220</v>
      </c>
      <c r="B1579" s="547" t="s">
        <v>2351</v>
      </c>
      <c r="C1579" s="554" t="s">
        <v>3873</v>
      </c>
      <c r="D1579" s="554" t="s">
        <v>3874</v>
      </c>
      <c r="E1579" s="554" t="s">
        <v>9585</v>
      </c>
      <c r="F1579" s="571">
        <v>2</v>
      </c>
      <c r="G1579" s="572">
        <v>24.84</v>
      </c>
      <c r="H1579" s="545">
        <v>49.68</v>
      </c>
      <c r="I1579" s="554" t="s">
        <v>9218</v>
      </c>
      <c r="J1579" s="554" t="s">
        <v>9219</v>
      </c>
      <c r="K1579" s="554" t="s">
        <v>9219</v>
      </c>
      <c r="L1579" s="537" t="s">
        <v>2354</v>
      </c>
    </row>
    <row r="1580" spans="1:12" x14ac:dyDescent="0.2">
      <c r="A1580" s="547" t="s">
        <v>220</v>
      </c>
      <c r="B1580" s="547" t="s">
        <v>2351</v>
      </c>
      <c r="C1580" s="554" t="s">
        <v>3875</v>
      </c>
      <c r="D1580" s="554" t="s">
        <v>3876</v>
      </c>
      <c r="E1580" s="554" t="s">
        <v>9585</v>
      </c>
      <c r="F1580" s="571">
        <v>3</v>
      </c>
      <c r="G1580" s="572">
        <v>11</v>
      </c>
      <c r="H1580" s="545">
        <v>33</v>
      </c>
      <c r="I1580" s="554" t="s">
        <v>9218</v>
      </c>
      <c r="J1580" s="554" t="s">
        <v>9219</v>
      </c>
      <c r="K1580" s="554" t="s">
        <v>9219</v>
      </c>
      <c r="L1580" s="537" t="s">
        <v>2354</v>
      </c>
    </row>
    <row r="1581" spans="1:12" x14ac:dyDescent="0.2">
      <c r="A1581" s="547" t="s">
        <v>220</v>
      </c>
      <c r="B1581" s="547" t="s">
        <v>2351</v>
      </c>
      <c r="C1581" s="554" t="s">
        <v>9266</v>
      </c>
      <c r="D1581" s="554" t="s">
        <v>9267</v>
      </c>
      <c r="E1581" s="554" t="s">
        <v>9585</v>
      </c>
      <c r="F1581" s="573">
        <v>2</v>
      </c>
      <c r="G1581" s="545">
        <v>0</v>
      </c>
      <c r="H1581" s="545">
        <v>0</v>
      </c>
      <c r="I1581" s="554" t="s">
        <v>9218</v>
      </c>
      <c r="J1581" s="554" t="s">
        <v>9219</v>
      </c>
      <c r="K1581" s="554" t="s">
        <v>9219</v>
      </c>
      <c r="L1581" s="537" t="s">
        <v>2354</v>
      </c>
    </row>
    <row r="1582" spans="1:12" x14ac:dyDescent="0.2">
      <c r="A1582" s="547" t="s">
        <v>220</v>
      </c>
      <c r="B1582" s="547" t="s">
        <v>2351</v>
      </c>
      <c r="C1582" s="554" t="s">
        <v>3877</v>
      </c>
      <c r="D1582" s="554" t="s">
        <v>3878</v>
      </c>
      <c r="E1582" s="554" t="s">
        <v>9585</v>
      </c>
      <c r="F1582" s="571">
        <v>4</v>
      </c>
      <c r="G1582" s="572">
        <v>126.23679999999999</v>
      </c>
      <c r="H1582" s="545">
        <v>504.94719999999995</v>
      </c>
      <c r="I1582" s="554" t="s">
        <v>9218</v>
      </c>
      <c r="J1582" s="554" t="s">
        <v>9219</v>
      </c>
      <c r="K1582" s="554" t="s">
        <v>9219</v>
      </c>
      <c r="L1582" s="537" t="s">
        <v>2354</v>
      </c>
    </row>
    <row r="1583" spans="1:12" x14ac:dyDescent="0.2">
      <c r="A1583" s="547" t="s">
        <v>220</v>
      </c>
      <c r="B1583" s="547" t="s">
        <v>2351</v>
      </c>
      <c r="C1583" s="554"/>
      <c r="D1583" s="554" t="s">
        <v>9268</v>
      </c>
      <c r="E1583" s="554" t="s">
        <v>9585</v>
      </c>
      <c r="F1583" s="573">
        <v>12</v>
      </c>
      <c r="G1583" s="545">
        <v>0</v>
      </c>
      <c r="H1583" s="545">
        <v>0</v>
      </c>
      <c r="I1583" s="554" t="s">
        <v>9218</v>
      </c>
      <c r="J1583" s="554" t="s">
        <v>9219</v>
      </c>
      <c r="K1583" s="554" t="s">
        <v>9219</v>
      </c>
      <c r="L1583" s="537" t="s">
        <v>2354</v>
      </c>
    </row>
    <row r="1584" spans="1:12" x14ac:dyDescent="0.2">
      <c r="A1584" s="547" t="s">
        <v>220</v>
      </c>
      <c r="B1584" s="547" t="s">
        <v>2351</v>
      </c>
      <c r="C1584" s="554" t="s">
        <v>3879</v>
      </c>
      <c r="D1584" s="554" t="s">
        <v>3880</v>
      </c>
      <c r="E1584" s="554" t="s">
        <v>9585</v>
      </c>
      <c r="F1584" s="573">
        <v>3</v>
      </c>
      <c r="G1584" s="545">
        <v>0</v>
      </c>
      <c r="H1584" s="545">
        <v>0</v>
      </c>
      <c r="I1584" s="554" t="s">
        <v>9218</v>
      </c>
      <c r="J1584" s="554" t="s">
        <v>9219</v>
      </c>
      <c r="K1584" s="554" t="s">
        <v>9219</v>
      </c>
      <c r="L1584" s="537" t="s">
        <v>2354</v>
      </c>
    </row>
    <row r="1585" spans="1:12" x14ac:dyDescent="0.2">
      <c r="A1585" s="547" t="s">
        <v>220</v>
      </c>
      <c r="B1585" s="547" t="s">
        <v>2351</v>
      </c>
      <c r="C1585" s="554" t="s">
        <v>3883</v>
      </c>
      <c r="D1585" s="554" t="s">
        <v>3884</v>
      </c>
      <c r="E1585" s="554" t="s">
        <v>9585</v>
      </c>
      <c r="F1585" s="571">
        <v>4</v>
      </c>
      <c r="G1585" s="572">
        <v>293.471</v>
      </c>
      <c r="H1585" s="545">
        <v>1173.884</v>
      </c>
      <c r="I1585" s="554" t="s">
        <v>9218</v>
      </c>
      <c r="J1585" s="554" t="s">
        <v>9219</v>
      </c>
      <c r="K1585" s="554" t="s">
        <v>9219</v>
      </c>
      <c r="L1585" s="537" t="s">
        <v>2354</v>
      </c>
    </row>
    <row r="1586" spans="1:12" x14ac:dyDescent="0.2">
      <c r="A1586" s="547" t="s">
        <v>220</v>
      </c>
      <c r="B1586" s="547" t="s">
        <v>2351</v>
      </c>
      <c r="C1586" s="554" t="s">
        <v>3885</v>
      </c>
      <c r="D1586" s="554" t="s">
        <v>3886</v>
      </c>
      <c r="E1586" s="554" t="s">
        <v>9585</v>
      </c>
      <c r="F1586" s="571">
        <v>9</v>
      </c>
      <c r="G1586" s="572">
        <v>146.642</v>
      </c>
      <c r="H1586" s="545">
        <v>1319.778</v>
      </c>
      <c r="I1586" s="554" t="s">
        <v>9218</v>
      </c>
      <c r="J1586" s="554" t="s">
        <v>9219</v>
      </c>
      <c r="K1586" s="554" t="s">
        <v>9219</v>
      </c>
      <c r="L1586" s="537" t="s">
        <v>2354</v>
      </c>
    </row>
    <row r="1587" spans="1:12" x14ac:dyDescent="0.2">
      <c r="A1587" s="547" t="s">
        <v>220</v>
      </c>
      <c r="B1587" s="547" t="s">
        <v>2351</v>
      </c>
      <c r="C1587" s="554" t="s">
        <v>3887</v>
      </c>
      <c r="D1587" s="554" t="s">
        <v>3888</v>
      </c>
      <c r="E1587" s="554" t="s">
        <v>9585</v>
      </c>
      <c r="F1587" s="571">
        <v>4</v>
      </c>
      <c r="G1587" s="572">
        <v>277.35500000000002</v>
      </c>
      <c r="H1587" s="545">
        <v>1109.42</v>
      </c>
      <c r="I1587" s="554" t="s">
        <v>9218</v>
      </c>
      <c r="J1587" s="554" t="s">
        <v>9219</v>
      </c>
      <c r="K1587" s="554" t="s">
        <v>9219</v>
      </c>
      <c r="L1587" s="537" t="s">
        <v>2354</v>
      </c>
    </row>
    <row r="1588" spans="1:12" x14ac:dyDescent="0.2">
      <c r="A1588" s="547" t="s">
        <v>220</v>
      </c>
      <c r="B1588" s="547" t="s">
        <v>2351</v>
      </c>
      <c r="C1588" s="554" t="s">
        <v>5321</v>
      </c>
      <c r="D1588" s="554" t="s">
        <v>5322</v>
      </c>
      <c r="E1588" s="554" t="s">
        <v>9585</v>
      </c>
      <c r="F1588" s="573">
        <v>1</v>
      </c>
      <c r="G1588" s="545">
        <v>0</v>
      </c>
      <c r="H1588" s="545">
        <v>0</v>
      </c>
      <c r="I1588" s="554" t="s">
        <v>9218</v>
      </c>
      <c r="J1588" s="554" t="s">
        <v>9219</v>
      </c>
      <c r="K1588" s="554" t="s">
        <v>9219</v>
      </c>
      <c r="L1588" s="537" t="s">
        <v>2354</v>
      </c>
    </row>
    <row r="1589" spans="1:12" x14ac:dyDescent="0.2">
      <c r="A1589" s="547" t="s">
        <v>220</v>
      </c>
      <c r="B1589" s="547" t="s">
        <v>2351</v>
      </c>
      <c r="C1589" s="554" t="s">
        <v>3889</v>
      </c>
      <c r="D1589" s="554" t="s">
        <v>3890</v>
      </c>
      <c r="E1589" s="554" t="s">
        <v>9585</v>
      </c>
      <c r="F1589" s="571">
        <v>8</v>
      </c>
      <c r="G1589" s="572">
        <v>168.19800000000001</v>
      </c>
      <c r="H1589" s="545">
        <v>1345.5840000000001</v>
      </c>
      <c r="I1589" s="554" t="s">
        <v>9218</v>
      </c>
      <c r="J1589" s="554" t="s">
        <v>9219</v>
      </c>
      <c r="K1589" s="554" t="s">
        <v>9219</v>
      </c>
      <c r="L1589" s="537" t="s">
        <v>2354</v>
      </c>
    </row>
    <row r="1590" spans="1:12" x14ac:dyDescent="0.2">
      <c r="A1590" s="547" t="s">
        <v>220</v>
      </c>
      <c r="B1590" s="547" t="s">
        <v>2351</v>
      </c>
      <c r="C1590" s="554" t="s">
        <v>3891</v>
      </c>
      <c r="D1590" s="554" t="s">
        <v>3892</v>
      </c>
      <c r="E1590" s="554" t="s">
        <v>9585</v>
      </c>
      <c r="F1590" s="571">
        <v>3</v>
      </c>
      <c r="G1590" s="572">
        <v>378.55599999999998</v>
      </c>
      <c r="H1590" s="545">
        <v>1135.6679999999999</v>
      </c>
      <c r="I1590" s="554" t="s">
        <v>9218</v>
      </c>
      <c r="J1590" s="554" t="s">
        <v>9219</v>
      </c>
      <c r="K1590" s="554" t="s">
        <v>9219</v>
      </c>
      <c r="L1590" s="537" t="s">
        <v>2354</v>
      </c>
    </row>
    <row r="1591" spans="1:12" x14ac:dyDescent="0.2">
      <c r="A1591" s="547" t="s">
        <v>220</v>
      </c>
      <c r="B1591" s="547" t="s">
        <v>2351</v>
      </c>
      <c r="C1591" s="554" t="s">
        <v>3893</v>
      </c>
      <c r="D1591" s="554" t="s">
        <v>3894</v>
      </c>
      <c r="E1591" s="554" t="s">
        <v>9585</v>
      </c>
      <c r="F1591" s="571">
        <v>8</v>
      </c>
      <c r="G1591" s="572">
        <v>188.64</v>
      </c>
      <c r="H1591" s="545">
        <v>1509.12</v>
      </c>
      <c r="I1591" s="554" t="s">
        <v>9218</v>
      </c>
      <c r="J1591" s="554" t="s">
        <v>9219</v>
      </c>
      <c r="K1591" s="554" t="s">
        <v>9219</v>
      </c>
      <c r="L1591" s="537" t="s">
        <v>2354</v>
      </c>
    </row>
    <row r="1592" spans="1:12" x14ac:dyDescent="0.2">
      <c r="A1592" s="547" t="s">
        <v>220</v>
      </c>
      <c r="B1592" s="547" t="s">
        <v>2351</v>
      </c>
      <c r="C1592" s="554" t="s">
        <v>3895</v>
      </c>
      <c r="D1592" s="554" t="s">
        <v>3896</v>
      </c>
      <c r="E1592" s="554" t="s">
        <v>9585</v>
      </c>
      <c r="F1592" s="571">
        <v>1</v>
      </c>
      <c r="G1592" s="572">
        <v>75.921300000000002</v>
      </c>
      <c r="H1592" s="545">
        <v>75.921300000000002</v>
      </c>
      <c r="I1592" s="554" t="s">
        <v>9218</v>
      </c>
      <c r="J1592" s="554" t="s">
        <v>9219</v>
      </c>
      <c r="K1592" s="554" t="s">
        <v>9219</v>
      </c>
      <c r="L1592" s="537" t="s">
        <v>2354</v>
      </c>
    </row>
    <row r="1593" spans="1:12" x14ac:dyDescent="0.2">
      <c r="A1593" s="547" t="s">
        <v>220</v>
      </c>
      <c r="B1593" s="547" t="s">
        <v>2351</v>
      </c>
      <c r="C1593" s="554" t="s">
        <v>5317</v>
      </c>
      <c r="D1593" s="554" t="s">
        <v>5318</v>
      </c>
      <c r="E1593" s="554" t="s">
        <v>9585</v>
      </c>
      <c r="F1593" s="573">
        <v>1</v>
      </c>
      <c r="G1593" s="545">
        <v>0</v>
      </c>
      <c r="H1593" s="545">
        <v>0</v>
      </c>
      <c r="I1593" s="554" t="s">
        <v>9218</v>
      </c>
      <c r="J1593" s="554" t="s">
        <v>9219</v>
      </c>
      <c r="K1593" s="554" t="s">
        <v>9219</v>
      </c>
      <c r="L1593" s="537" t="s">
        <v>2354</v>
      </c>
    </row>
    <row r="1594" spans="1:12" x14ac:dyDescent="0.2">
      <c r="A1594" s="547" t="s">
        <v>220</v>
      </c>
      <c r="B1594" s="547" t="s">
        <v>2351</v>
      </c>
      <c r="C1594" s="554" t="s">
        <v>5319</v>
      </c>
      <c r="D1594" s="554" t="s">
        <v>5320</v>
      </c>
      <c r="E1594" s="554" t="s">
        <v>9585</v>
      </c>
      <c r="F1594" s="573">
        <v>2</v>
      </c>
      <c r="G1594" s="545">
        <v>0</v>
      </c>
      <c r="H1594" s="545">
        <v>0</v>
      </c>
      <c r="I1594" s="554" t="s">
        <v>9218</v>
      </c>
      <c r="J1594" s="554" t="s">
        <v>9219</v>
      </c>
      <c r="K1594" s="554" t="s">
        <v>9219</v>
      </c>
      <c r="L1594" s="537" t="s">
        <v>2354</v>
      </c>
    </row>
    <row r="1595" spans="1:12" x14ac:dyDescent="0.2">
      <c r="A1595" s="547" t="s">
        <v>220</v>
      </c>
      <c r="B1595" s="547" t="s">
        <v>2351</v>
      </c>
      <c r="C1595" s="554" t="s">
        <v>3943</v>
      </c>
      <c r="D1595" s="554" t="s">
        <v>3944</v>
      </c>
      <c r="E1595" s="554" t="s">
        <v>9585</v>
      </c>
      <c r="F1595" s="571">
        <v>3</v>
      </c>
      <c r="G1595" s="572">
        <v>1.7869999999999999</v>
      </c>
      <c r="H1595" s="545">
        <v>5.3609999999999998</v>
      </c>
      <c r="I1595" s="554" t="s">
        <v>9218</v>
      </c>
      <c r="J1595" s="554" t="s">
        <v>9219</v>
      </c>
      <c r="K1595" s="554" t="s">
        <v>9219</v>
      </c>
      <c r="L1595" s="537" t="s">
        <v>2354</v>
      </c>
    </row>
    <row r="1596" spans="1:12" x14ac:dyDescent="0.2">
      <c r="A1596" s="547" t="s">
        <v>220</v>
      </c>
      <c r="B1596" s="547" t="s">
        <v>2351</v>
      </c>
      <c r="C1596" s="554" t="s">
        <v>3945</v>
      </c>
      <c r="D1596" s="554" t="s">
        <v>9269</v>
      </c>
      <c r="E1596" s="554" t="s">
        <v>9585</v>
      </c>
      <c r="F1596" s="571">
        <v>1</v>
      </c>
      <c r="G1596" s="572">
        <v>181.35</v>
      </c>
      <c r="H1596" s="545">
        <v>181.35</v>
      </c>
      <c r="I1596" s="554" t="s">
        <v>9218</v>
      </c>
      <c r="J1596" s="554" t="s">
        <v>9219</v>
      </c>
      <c r="K1596" s="554" t="s">
        <v>9219</v>
      </c>
      <c r="L1596" s="537" t="s">
        <v>2354</v>
      </c>
    </row>
    <row r="1597" spans="1:12" x14ac:dyDescent="0.2">
      <c r="A1597" s="547" t="s">
        <v>220</v>
      </c>
      <c r="B1597" s="547" t="s">
        <v>2351</v>
      </c>
      <c r="C1597" s="554" t="s">
        <v>3947</v>
      </c>
      <c r="D1597" s="554" t="s">
        <v>3948</v>
      </c>
      <c r="E1597" s="554" t="s">
        <v>9585</v>
      </c>
      <c r="F1597" s="571">
        <v>7</v>
      </c>
      <c r="G1597" s="572">
        <v>17.599772727272729</v>
      </c>
      <c r="H1597" s="545">
        <v>123.19840909090911</v>
      </c>
      <c r="I1597" s="554" t="s">
        <v>9218</v>
      </c>
      <c r="J1597" s="554" t="s">
        <v>9219</v>
      </c>
      <c r="K1597" s="554" t="s">
        <v>9219</v>
      </c>
      <c r="L1597" s="537" t="s">
        <v>2354</v>
      </c>
    </row>
    <row r="1598" spans="1:12" x14ac:dyDescent="0.2">
      <c r="A1598" s="547" t="s">
        <v>220</v>
      </c>
      <c r="B1598" s="547" t="s">
        <v>2351</v>
      </c>
      <c r="C1598" s="554" t="s">
        <v>3949</v>
      </c>
      <c r="D1598" s="554" t="s">
        <v>3950</v>
      </c>
      <c r="E1598" s="554" t="s">
        <v>9585</v>
      </c>
      <c r="F1598" s="571">
        <v>13</v>
      </c>
      <c r="G1598" s="572">
        <v>21.861000000000001</v>
      </c>
      <c r="H1598" s="545">
        <v>284.19299999999998</v>
      </c>
      <c r="I1598" s="554" t="s">
        <v>9218</v>
      </c>
      <c r="J1598" s="554" t="s">
        <v>9219</v>
      </c>
      <c r="K1598" s="554" t="s">
        <v>9219</v>
      </c>
      <c r="L1598" s="537" t="s">
        <v>2354</v>
      </c>
    </row>
    <row r="1599" spans="1:12" x14ac:dyDescent="0.2">
      <c r="A1599" s="547" t="s">
        <v>220</v>
      </c>
      <c r="B1599" s="547" t="s">
        <v>2351</v>
      </c>
      <c r="C1599" s="554" t="s">
        <v>3951</v>
      </c>
      <c r="D1599" s="554" t="s">
        <v>3952</v>
      </c>
      <c r="E1599" s="554" t="s">
        <v>9585</v>
      </c>
      <c r="F1599" s="571">
        <v>8</v>
      </c>
      <c r="G1599" s="572">
        <v>21.861000000000001</v>
      </c>
      <c r="H1599" s="545">
        <v>174.88800000000001</v>
      </c>
      <c r="I1599" s="554" t="s">
        <v>9218</v>
      </c>
      <c r="J1599" s="554" t="s">
        <v>9219</v>
      </c>
      <c r="K1599" s="554" t="s">
        <v>9219</v>
      </c>
      <c r="L1599" s="537" t="s">
        <v>2354</v>
      </c>
    </row>
    <row r="1600" spans="1:12" x14ac:dyDescent="0.2">
      <c r="A1600" s="547" t="s">
        <v>220</v>
      </c>
      <c r="B1600" s="547" t="s">
        <v>2351</v>
      </c>
      <c r="C1600" s="554"/>
      <c r="D1600" s="554" t="s">
        <v>9270</v>
      </c>
      <c r="E1600" s="554" t="s">
        <v>9585</v>
      </c>
      <c r="F1600" s="571">
        <v>4</v>
      </c>
      <c r="G1600" s="572">
        <v>67.3</v>
      </c>
      <c r="H1600" s="545">
        <v>269.2</v>
      </c>
      <c r="I1600" s="554" t="s">
        <v>9218</v>
      </c>
      <c r="J1600" s="554" t="s">
        <v>9219</v>
      </c>
      <c r="K1600" s="554" t="s">
        <v>9219</v>
      </c>
      <c r="L1600" s="537" t="s">
        <v>2354</v>
      </c>
    </row>
    <row r="1601" spans="1:12" x14ac:dyDescent="0.2">
      <c r="A1601" s="547" t="s">
        <v>220</v>
      </c>
      <c r="B1601" s="547" t="s">
        <v>2351</v>
      </c>
      <c r="C1601" s="554" t="s">
        <v>3953</v>
      </c>
      <c r="D1601" s="554" t="s">
        <v>3954</v>
      </c>
      <c r="E1601" s="554" t="s">
        <v>9585</v>
      </c>
      <c r="F1601" s="571">
        <v>2</v>
      </c>
      <c r="G1601" s="572">
        <v>14.273999999999999</v>
      </c>
      <c r="H1601" s="545">
        <v>28.547999999999998</v>
      </c>
      <c r="I1601" s="554" t="s">
        <v>9218</v>
      </c>
      <c r="J1601" s="554" t="s">
        <v>9219</v>
      </c>
      <c r="K1601" s="554" t="s">
        <v>9219</v>
      </c>
      <c r="L1601" s="537" t="s">
        <v>2354</v>
      </c>
    </row>
    <row r="1602" spans="1:12" x14ac:dyDescent="0.2">
      <c r="A1602" s="547" t="s">
        <v>220</v>
      </c>
      <c r="B1602" s="547" t="s">
        <v>2351</v>
      </c>
      <c r="C1602" s="554" t="s">
        <v>9271</v>
      </c>
      <c r="D1602" s="554" t="s">
        <v>9272</v>
      </c>
      <c r="E1602" s="554" t="s">
        <v>9585</v>
      </c>
      <c r="F1602" s="571">
        <v>2</v>
      </c>
      <c r="G1602" s="572">
        <v>83.718000000000004</v>
      </c>
      <c r="H1602" s="545">
        <v>167.43600000000001</v>
      </c>
      <c r="I1602" s="554" t="s">
        <v>9218</v>
      </c>
      <c r="J1602" s="554" t="s">
        <v>9219</v>
      </c>
      <c r="K1602" s="554" t="s">
        <v>9219</v>
      </c>
      <c r="L1602" s="537" t="s">
        <v>2354</v>
      </c>
    </row>
    <row r="1603" spans="1:12" x14ac:dyDescent="0.2">
      <c r="A1603" s="547" t="s">
        <v>220</v>
      </c>
      <c r="B1603" s="547" t="s">
        <v>2351</v>
      </c>
      <c r="C1603" s="554" t="s">
        <v>3955</v>
      </c>
      <c r="D1603" s="554" t="s">
        <v>3956</v>
      </c>
      <c r="E1603" s="554" t="s">
        <v>9585</v>
      </c>
      <c r="F1603" s="571">
        <v>2</v>
      </c>
      <c r="G1603" s="572">
        <v>83.718000000000004</v>
      </c>
      <c r="H1603" s="545">
        <v>167.43600000000001</v>
      </c>
      <c r="I1603" s="554" t="s">
        <v>9218</v>
      </c>
      <c r="J1603" s="554" t="s">
        <v>9219</v>
      </c>
      <c r="K1603" s="554" t="s">
        <v>9219</v>
      </c>
      <c r="L1603" s="537" t="s">
        <v>2354</v>
      </c>
    </row>
    <row r="1604" spans="1:12" x14ac:dyDescent="0.2">
      <c r="A1604" s="547" t="s">
        <v>220</v>
      </c>
      <c r="B1604" s="547" t="s">
        <v>2351</v>
      </c>
      <c r="C1604" s="554" t="s">
        <v>3957</v>
      </c>
      <c r="D1604" s="554" t="s">
        <v>3958</v>
      </c>
      <c r="E1604" s="554" t="s">
        <v>9585</v>
      </c>
      <c r="F1604" s="571">
        <v>3</v>
      </c>
      <c r="G1604" s="572">
        <v>80.75</v>
      </c>
      <c r="H1604" s="545">
        <v>242.25</v>
      </c>
      <c r="I1604" s="554" t="s">
        <v>9218</v>
      </c>
      <c r="J1604" s="554" t="s">
        <v>9219</v>
      </c>
      <c r="K1604" s="554" t="s">
        <v>9219</v>
      </c>
      <c r="L1604" s="537" t="s">
        <v>2354</v>
      </c>
    </row>
    <row r="1605" spans="1:12" x14ac:dyDescent="0.2">
      <c r="A1605" s="547" t="s">
        <v>220</v>
      </c>
      <c r="B1605" s="547" t="s">
        <v>2351</v>
      </c>
      <c r="C1605" s="554" t="s">
        <v>3989</v>
      </c>
      <c r="D1605" s="554" t="s">
        <v>3990</v>
      </c>
      <c r="E1605" s="554" t="s">
        <v>9585</v>
      </c>
      <c r="F1605" s="571">
        <v>4</v>
      </c>
      <c r="G1605" s="572">
        <v>80.531999999999996</v>
      </c>
      <c r="H1605" s="545">
        <v>322.12799999999999</v>
      </c>
      <c r="I1605" s="554" t="s">
        <v>9218</v>
      </c>
      <c r="J1605" s="554" t="s">
        <v>9219</v>
      </c>
      <c r="K1605" s="554" t="s">
        <v>9219</v>
      </c>
      <c r="L1605" s="537" t="s">
        <v>2354</v>
      </c>
    </row>
    <row r="1606" spans="1:12" x14ac:dyDescent="0.2">
      <c r="A1606" s="547" t="s">
        <v>220</v>
      </c>
      <c r="B1606" s="547" t="s">
        <v>2351</v>
      </c>
      <c r="C1606" s="554" t="s">
        <v>3991</v>
      </c>
      <c r="D1606" s="554" t="s">
        <v>3992</v>
      </c>
      <c r="E1606" s="554" t="s">
        <v>9585</v>
      </c>
      <c r="F1606" s="571">
        <v>5</v>
      </c>
      <c r="G1606" s="572">
        <v>109.34143583333334</v>
      </c>
      <c r="H1606" s="545">
        <v>546.70717916666672</v>
      </c>
      <c r="I1606" s="554" t="s">
        <v>9218</v>
      </c>
      <c r="J1606" s="554" t="s">
        <v>9219</v>
      </c>
      <c r="K1606" s="554" t="s">
        <v>9219</v>
      </c>
      <c r="L1606" s="537" t="s">
        <v>2354</v>
      </c>
    </row>
    <row r="1607" spans="1:12" x14ac:dyDescent="0.2">
      <c r="A1607" s="547" t="s">
        <v>220</v>
      </c>
      <c r="B1607" s="547" t="s">
        <v>2351</v>
      </c>
      <c r="C1607" s="554" t="s">
        <v>9273</v>
      </c>
      <c r="D1607" s="554" t="s">
        <v>9274</v>
      </c>
      <c r="E1607" s="554" t="s">
        <v>9585</v>
      </c>
      <c r="F1607" s="571">
        <v>4</v>
      </c>
      <c r="G1607" s="572">
        <v>75.650000000000006</v>
      </c>
      <c r="H1607" s="545">
        <v>302.60000000000002</v>
      </c>
      <c r="I1607" s="554" t="s">
        <v>9218</v>
      </c>
      <c r="J1607" s="554" t="s">
        <v>9219</v>
      </c>
      <c r="K1607" s="554" t="s">
        <v>9219</v>
      </c>
      <c r="L1607" s="537" t="s">
        <v>2354</v>
      </c>
    </row>
    <row r="1608" spans="1:12" x14ac:dyDescent="0.2">
      <c r="A1608" s="547" t="s">
        <v>220</v>
      </c>
      <c r="B1608" s="547" t="s">
        <v>2351</v>
      </c>
      <c r="C1608" s="554" t="s">
        <v>3993</v>
      </c>
      <c r="D1608" s="554" t="s">
        <v>3994</v>
      </c>
      <c r="E1608" s="554" t="s">
        <v>9585</v>
      </c>
      <c r="F1608" s="571">
        <v>1</v>
      </c>
      <c r="G1608" s="572">
        <v>83.674999999999997</v>
      </c>
      <c r="H1608" s="545">
        <v>83.674999999999997</v>
      </c>
      <c r="I1608" s="554" t="s">
        <v>9218</v>
      </c>
      <c r="J1608" s="554" t="s">
        <v>9219</v>
      </c>
      <c r="K1608" s="554" t="s">
        <v>9219</v>
      </c>
      <c r="L1608" s="537" t="s">
        <v>2354</v>
      </c>
    </row>
    <row r="1609" spans="1:12" x14ac:dyDescent="0.2">
      <c r="A1609" s="547" t="s">
        <v>220</v>
      </c>
      <c r="B1609" s="547" t="s">
        <v>2351</v>
      </c>
      <c r="C1609" s="554" t="s">
        <v>3995</v>
      </c>
      <c r="D1609" s="554" t="s">
        <v>3996</v>
      </c>
      <c r="E1609" s="554" t="s">
        <v>9585</v>
      </c>
      <c r="F1609" s="571">
        <v>1</v>
      </c>
      <c r="G1609" s="572">
        <v>70.52</v>
      </c>
      <c r="H1609" s="545">
        <v>70.52</v>
      </c>
      <c r="I1609" s="554" t="s">
        <v>9218</v>
      </c>
      <c r="J1609" s="554" t="s">
        <v>9219</v>
      </c>
      <c r="K1609" s="554" t="s">
        <v>9219</v>
      </c>
      <c r="L1609" s="537" t="s">
        <v>2354</v>
      </c>
    </row>
    <row r="1610" spans="1:12" x14ac:dyDescent="0.2">
      <c r="A1610" s="547" t="s">
        <v>220</v>
      </c>
      <c r="B1610" s="547" t="s">
        <v>2351</v>
      </c>
      <c r="C1610" s="554" t="s">
        <v>3997</v>
      </c>
      <c r="D1610" s="554" t="s">
        <v>3998</v>
      </c>
      <c r="E1610" s="554" t="s">
        <v>9585</v>
      </c>
      <c r="F1610" s="571">
        <v>1</v>
      </c>
      <c r="G1610" s="572">
        <v>84.272999999999996</v>
      </c>
      <c r="H1610" s="545">
        <v>84.272999999999996</v>
      </c>
      <c r="I1610" s="554" t="s">
        <v>9218</v>
      </c>
      <c r="J1610" s="554" t="s">
        <v>9219</v>
      </c>
      <c r="K1610" s="554" t="s">
        <v>9219</v>
      </c>
      <c r="L1610" s="537" t="s">
        <v>2354</v>
      </c>
    </row>
    <row r="1611" spans="1:12" x14ac:dyDescent="0.2">
      <c r="A1611" s="547" t="s">
        <v>220</v>
      </c>
      <c r="B1611" s="547" t="s">
        <v>2351</v>
      </c>
      <c r="C1611" s="554" t="s">
        <v>3999</v>
      </c>
      <c r="D1611" s="554" t="s">
        <v>4000</v>
      </c>
      <c r="E1611" s="554" t="s">
        <v>9585</v>
      </c>
      <c r="F1611" s="571">
        <v>10</v>
      </c>
      <c r="G1611" s="572">
        <v>8</v>
      </c>
      <c r="H1611" s="545">
        <v>80</v>
      </c>
      <c r="I1611" s="554" t="s">
        <v>9218</v>
      </c>
      <c r="J1611" s="554" t="s">
        <v>9219</v>
      </c>
      <c r="K1611" s="554" t="s">
        <v>9219</v>
      </c>
      <c r="L1611" s="537" t="s">
        <v>2354</v>
      </c>
    </row>
    <row r="1612" spans="1:12" x14ac:dyDescent="0.2">
      <c r="A1612" s="547" t="s">
        <v>220</v>
      </c>
      <c r="B1612" s="547" t="s">
        <v>2351</v>
      </c>
      <c r="C1612" s="554" t="s">
        <v>4001</v>
      </c>
      <c r="D1612" s="554" t="s">
        <v>9275</v>
      </c>
      <c r="E1612" s="554" t="s">
        <v>9585</v>
      </c>
      <c r="F1612" s="571">
        <v>3</v>
      </c>
      <c r="G1612" s="572">
        <v>13.5</v>
      </c>
      <c r="H1612" s="545">
        <v>40.5</v>
      </c>
      <c r="I1612" s="554" t="s">
        <v>9218</v>
      </c>
      <c r="J1612" s="554" t="s">
        <v>9219</v>
      </c>
      <c r="K1612" s="554" t="s">
        <v>9219</v>
      </c>
      <c r="L1612" s="537" t="s">
        <v>2354</v>
      </c>
    </row>
    <row r="1613" spans="1:12" x14ac:dyDescent="0.2">
      <c r="A1613" s="547" t="s">
        <v>220</v>
      </c>
      <c r="B1613" s="547" t="s">
        <v>2351</v>
      </c>
      <c r="C1613" s="554" t="s">
        <v>4003</v>
      </c>
      <c r="D1613" s="554" t="s">
        <v>4004</v>
      </c>
      <c r="E1613" s="554" t="s">
        <v>9585</v>
      </c>
      <c r="F1613" s="571">
        <v>8</v>
      </c>
      <c r="G1613" s="572">
        <v>58</v>
      </c>
      <c r="H1613" s="545">
        <v>464</v>
      </c>
      <c r="I1613" s="554" t="s">
        <v>9218</v>
      </c>
      <c r="J1613" s="554" t="s">
        <v>9219</v>
      </c>
      <c r="K1613" s="554" t="s">
        <v>9219</v>
      </c>
      <c r="L1613" s="537" t="s">
        <v>2354</v>
      </c>
    </row>
    <row r="1614" spans="1:12" x14ac:dyDescent="0.2">
      <c r="A1614" s="547" t="s">
        <v>220</v>
      </c>
      <c r="B1614" s="547" t="s">
        <v>2351</v>
      </c>
      <c r="C1614" s="554" t="s">
        <v>4005</v>
      </c>
      <c r="D1614" s="554" t="s">
        <v>4006</v>
      </c>
      <c r="E1614" s="554" t="s">
        <v>9585</v>
      </c>
      <c r="F1614" s="571">
        <v>3</v>
      </c>
      <c r="G1614" s="572">
        <v>194.7</v>
      </c>
      <c r="H1614" s="545">
        <v>584.09999999999991</v>
      </c>
      <c r="I1614" s="554" t="s">
        <v>9218</v>
      </c>
      <c r="J1614" s="554" t="s">
        <v>9219</v>
      </c>
      <c r="K1614" s="554" t="s">
        <v>9219</v>
      </c>
      <c r="L1614" s="537" t="s">
        <v>2354</v>
      </c>
    </row>
    <row r="1615" spans="1:12" x14ac:dyDescent="0.2">
      <c r="A1615" s="547" t="s">
        <v>220</v>
      </c>
      <c r="B1615" s="547" t="s">
        <v>2351</v>
      </c>
      <c r="C1615" s="554" t="s">
        <v>4007</v>
      </c>
      <c r="D1615" s="554" t="s">
        <v>4008</v>
      </c>
      <c r="E1615" s="554" t="s">
        <v>9585</v>
      </c>
      <c r="F1615" s="571">
        <v>1</v>
      </c>
      <c r="G1615" s="572">
        <v>160</v>
      </c>
      <c r="H1615" s="545">
        <v>160</v>
      </c>
      <c r="I1615" s="554" t="s">
        <v>9218</v>
      </c>
      <c r="J1615" s="554" t="s">
        <v>9219</v>
      </c>
      <c r="K1615" s="554" t="s">
        <v>9219</v>
      </c>
      <c r="L1615" s="537" t="s">
        <v>2354</v>
      </c>
    </row>
    <row r="1616" spans="1:12" x14ac:dyDescent="0.2">
      <c r="A1616" s="547" t="s">
        <v>220</v>
      </c>
      <c r="B1616" s="547" t="s">
        <v>2351</v>
      </c>
      <c r="C1616" s="554"/>
      <c r="D1616" s="554" t="s">
        <v>9276</v>
      </c>
      <c r="E1616" s="554" t="s">
        <v>9585</v>
      </c>
      <c r="F1616" s="571">
        <v>6</v>
      </c>
      <c r="G1616" s="572">
        <v>79</v>
      </c>
      <c r="H1616" s="545">
        <v>474</v>
      </c>
      <c r="I1616" s="554" t="s">
        <v>9218</v>
      </c>
      <c r="J1616" s="554" t="s">
        <v>9219</v>
      </c>
      <c r="K1616" s="554" t="s">
        <v>9219</v>
      </c>
      <c r="L1616" s="537" t="s">
        <v>2354</v>
      </c>
    </row>
    <row r="1617" spans="1:12" x14ac:dyDescent="0.2">
      <c r="A1617" s="547" t="s">
        <v>220</v>
      </c>
      <c r="B1617" s="547" t="s">
        <v>2351</v>
      </c>
      <c r="C1617" s="554" t="s">
        <v>4017</v>
      </c>
      <c r="D1617" s="554" t="s">
        <v>4018</v>
      </c>
      <c r="E1617" s="554" t="s">
        <v>9585</v>
      </c>
      <c r="F1617" s="571">
        <v>1</v>
      </c>
      <c r="G1617" s="572">
        <v>59.5</v>
      </c>
      <c r="H1617" s="545">
        <v>59.5</v>
      </c>
      <c r="I1617" s="554" t="s">
        <v>9218</v>
      </c>
      <c r="J1617" s="554" t="s">
        <v>9219</v>
      </c>
      <c r="K1617" s="554" t="s">
        <v>9219</v>
      </c>
      <c r="L1617" s="537" t="s">
        <v>2354</v>
      </c>
    </row>
    <row r="1618" spans="1:12" x14ac:dyDescent="0.2">
      <c r="A1618" s="547" t="s">
        <v>220</v>
      </c>
      <c r="B1618" s="547" t="s">
        <v>2351</v>
      </c>
      <c r="C1618" s="554" t="s">
        <v>9277</v>
      </c>
      <c r="D1618" s="554" t="s">
        <v>9278</v>
      </c>
      <c r="E1618" s="554" t="s">
        <v>9585</v>
      </c>
      <c r="F1618" s="571">
        <v>1</v>
      </c>
      <c r="G1618" s="572">
        <v>205.51300000000001</v>
      </c>
      <c r="H1618" s="545">
        <v>205.51300000000001</v>
      </c>
      <c r="I1618" s="554" t="s">
        <v>9218</v>
      </c>
      <c r="J1618" s="554" t="s">
        <v>9219</v>
      </c>
      <c r="K1618" s="554" t="s">
        <v>9219</v>
      </c>
      <c r="L1618" s="537" t="s">
        <v>2354</v>
      </c>
    </row>
    <row r="1619" spans="1:12" x14ac:dyDescent="0.2">
      <c r="A1619" s="547" t="s">
        <v>220</v>
      </c>
      <c r="B1619" s="547" t="s">
        <v>2351</v>
      </c>
      <c r="C1619" s="554" t="s">
        <v>4019</v>
      </c>
      <c r="D1619" s="554" t="s">
        <v>4020</v>
      </c>
      <c r="E1619" s="554" t="s">
        <v>9585</v>
      </c>
      <c r="F1619" s="571">
        <v>1</v>
      </c>
      <c r="G1619" s="572">
        <v>213.28200000000001</v>
      </c>
      <c r="H1619" s="545">
        <v>213.28200000000001</v>
      </c>
      <c r="I1619" s="554" t="s">
        <v>9218</v>
      </c>
      <c r="J1619" s="554" t="s">
        <v>9219</v>
      </c>
      <c r="K1619" s="554" t="s">
        <v>9219</v>
      </c>
      <c r="L1619" s="537" t="s">
        <v>2354</v>
      </c>
    </row>
    <row r="1620" spans="1:12" x14ac:dyDescent="0.2">
      <c r="A1620" s="547" t="s">
        <v>220</v>
      </c>
      <c r="B1620" s="547" t="s">
        <v>2351</v>
      </c>
      <c r="C1620" s="554" t="s">
        <v>9279</v>
      </c>
      <c r="D1620" s="554" t="s">
        <v>9280</v>
      </c>
      <c r="E1620" s="554" t="s">
        <v>9585</v>
      </c>
      <c r="F1620" s="571">
        <v>5</v>
      </c>
      <c r="G1620" s="572">
        <v>105</v>
      </c>
      <c r="H1620" s="545">
        <v>525</v>
      </c>
      <c r="I1620" s="554" t="s">
        <v>9218</v>
      </c>
      <c r="J1620" s="554" t="s">
        <v>9219</v>
      </c>
      <c r="K1620" s="554" t="s">
        <v>9219</v>
      </c>
      <c r="L1620" s="537" t="s">
        <v>2354</v>
      </c>
    </row>
    <row r="1621" spans="1:12" x14ac:dyDescent="0.2">
      <c r="A1621" s="547" t="s">
        <v>220</v>
      </c>
      <c r="B1621" s="547" t="s">
        <v>2351</v>
      </c>
      <c r="C1621" s="554" t="s">
        <v>4021</v>
      </c>
      <c r="D1621" s="554" t="s">
        <v>4022</v>
      </c>
      <c r="E1621" s="554" t="s">
        <v>9585</v>
      </c>
      <c r="F1621" s="571">
        <v>6</v>
      </c>
      <c r="G1621" s="572">
        <v>115</v>
      </c>
      <c r="H1621" s="545">
        <v>690</v>
      </c>
      <c r="I1621" s="554" t="s">
        <v>9218</v>
      </c>
      <c r="J1621" s="554" t="s">
        <v>9219</v>
      </c>
      <c r="K1621" s="554" t="s">
        <v>9219</v>
      </c>
      <c r="L1621" s="537" t="s">
        <v>2354</v>
      </c>
    </row>
    <row r="1622" spans="1:12" x14ac:dyDescent="0.2">
      <c r="A1622" s="547" t="s">
        <v>220</v>
      </c>
      <c r="B1622" s="547" t="s">
        <v>2351</v>
      </c>
      <c r="C1622" s="554" t="s">
        <v>4025</v>
      </c>
      <c r="D1622" s="554" t="s">
        <v>4026</v>
      </c>
      <c r="E1622" s="554" t="s">
        <v>9585</v>
      </c>
      <c r="F1622" s="571">
        <v>1</v>
      </c>
      <c r="G1622" s="572">
        <v>841.5</v>
      </c>
      <c r="H1622" s="545">
        <v>841.5</v>
      </c>
      <c r="I1622" s="554" t="s">
        <v>9218</v>
      </c>
      <c r="J1622" s="554" t="s">
        <v>9219</v>
      </c>
      <c r="K1622" s="554" t="s">
        <v>9219</v>
      </c>
      <c r="L1622" s="537" t="s">
        <v>2354</v>
      </c>
    </row>
    <row r="1623" spans="1:12" x14ac:dyDescent="0.2">
      <c r="A1623" s="547" t="s">
        <v>220</v>
      </c>
      <c r="B1623" s="547" t="s">
        <v>2351</v>
      </c>
      <c r="C1623" s="554" t="s">
        <v>4027</v>
      </c>
      <c r="D1623" s="554" t="s">
        <v>4028</v>
      </c>
      <c r="E1623" s="554" t="s">
        <v>9585</v>
      </c>
      <c r="F1623" s="571">
        <v>1</v>
      </c>
      <c r="G1623" s="572">
        <v>52.543959999999998</v>
      </c>
      <c r="H1623" s="545">
        <v>52.543959999999998</v>
      </c>
      <c r="I1623" s="554" t="s">
        <v>9218</v>
      </c>
      <c r="J1623" s="554" t="s">
        <v>9219</v>
      </c>
      <c r="K1623" s="554" t="s">
        <v>9219</v>
      </c>
      <c r="L1623" s="537" t="s">
        <v>2354</v>
      </c>
    </row>
    <row r="1624" spans="1:12" x14ac:dyDescent="0.2">
      <c r="A1624" s="547" t="s">
        <v>220</v>
      </c>
      <c r="B1624" s="547" t="s">
        <v>2351</v>
      </c>
      <c r="C1624" s="554" t="s">
        <v>4029</v>
      </c>
      <c r="D1624" s="554" t="s">
        <v>4030</v>
      </c>
      <c r="E1624" s="554" t="s">
        <v>9585</v>
      </c>
      <c r="F1624" s="571">
        <v>3</v>
      </c>
      <c r="G1624" s="572">
        <v>20.962800000000001</v>
      </c>
      <c r="H1624" s="545">
        <v>62.888400000000004</v>
      </c>
      <c r="I1624" s="554" t="s">
        <v>9218</v>
      </c>
      <c r="J1624" s="554" t="s">
        <v>9219</v>
      </c>
      <c r="K1624" s="554" t="s">
        <v>9219</v>
      </c>
      <c r="L1624" s="537" t="s">
        <v>2354</v>
      </c>
    </row>
    <row r="1625" spans="1:12" x14ac:dyDescent="0.2">
      <c r="A1625" s="547" t="s">
        <v>220</v>
      </c>
      <c r="B1625" s="547" t="s">
        <v>2351</v>
      </c>
      <c r="C1625" s="554" t="s">
        <v>4031</v>
      </c>
      <c r="D1625" s="554" t="s">
        <v>4032</v>
      </c>
      <c r="E1625" s="554" t="s">
        <v>9585</v>
      </c>
      <c r="F1625" s="571">
        <v>2</v>
      </c>
      <c r="G1625" s="572">
        <v>141.928</v>
      </c>
      <c r="H1625" s="545">
        <v>283.85599999999999</v>
      </c>
      <c r="I1625" s="554" t="s">
        <v>9218</v>
      </c>
      <c r="J1625" s="554" t="s">
        <v>9219</v>
      </c>
      <c r="K1625" s="554" t="s">
        <v>9219</v>
      </c>
      <c r="L1625" s="537" t="s">
        <v>2354</v>
      </c>
    </row>
    <row r="1626" spans="1:12" x14ac:dyDescent="0.2">
      <c r="A1626" s="547" t="s">
        <v>220</v>
      </c>
      <c r="B1626" s="547" t="s">
        <v>2351</v>
      </c>
      <c r="C1626" s="554" t="s">
        <v>4033</v>
      </c>
      <c r="D1626" s="554" t="s">
        <v>4034</v>
      </c>
      <c r="E1626" s="554" t="s">
        <v>9585</v>
      </c>
      <c r="F1626" s="571">
        <v>2</v>
      </c>
      <c r="G1626" s="572">
        <v>157.5</v>
      </c>
      <c r="H1626" s="545">
        <v>315</v>
      </c>
      <c r="I1626" s="554" t="s">
        <v>9218</v>
      </c>
      <c r="J1626" s="554" t="s">
        <v>9219</v>
      </c>
      <c r="K1626" s="554" t="s">
        <v>9219</v>
      </c>
      <c r="L1626" s="537" t="s">
        <v>2354</v>
      </c>
    </row>
    <row r="1627" spans="1:12" x14ac:dyDescent="0.2">
      <c r="A1627" s="547" t="s">
        <v>220</v>
      </c>
      <c r="B1627" s="547" t="s">
        <v>2351</v>
      </c>
      <c r="C1627" s="554" t="s">
        <v>9281</v>
      </c>
      <c r="D1627" s="554" t="s">
        <v>9282</v>
      </c>
      <c r="E1627" s="554" t="s">
        <v>9585</v>
      </c>
      <c r="F1627" s="571">
        <v>2</v>
      </c>
      <c r="G1627" s="572">
        <v>1143.5</v>
      </c>
      <c r="H1627" s="545">
        <v>2287</v>
      </c>
      <c r="I1627" s="554" t="s">
        <v>9218</v>
      </c>
      <c r="J1627" s="554" t="s">
        <v>9219</v>
      </c>
      <c r="K1627" s="554" t="s">
        <v>9219</v>
      </c>
      <c r="L1627" s="537" t="s">
        <v>2354</v>
      </c>
    </row>
    <row r="1628" spans="1:12" x14ac:dyDescent="0.2">
      <c r="A1628" s="547" t="s">
        <v>220</v>
      </c>
      <c r="B1628" s="547" t="s">
        <v>2351</v>
      </c>
      <c r="C1628" s="554" t="s">
        <v>4037</v>
      </c>
      <c r="D1628" s="554" t="s">
        <v>4038</v>
      </c>
      <c r="E1628" s="554" t="s">
        <v>9585</v>
      </c>
      <c r="F1628" s="571">
        <v>4</v>
      </c>
      <c r="G1628" s="572">
        <v>22.55</v>
      </c>
      <c r="H1628" s="545">
        <v>90.2</v>
      </c>
      <c r="I1628" s="554" t="s">
        <v>9218</v>
      </c>
      <c r="J1628" s="554" t="s">
        <v>9219</v>
      </c>
      <c r="K1628" s="554" t="s">
        <v>9219</v>
      </c>
      <c r="L1628" s="537" t="s">
        <v>2354</v>
      </c>
    </row>
    <row r="1629" spans="1:12" x14ac:dyDescent="0.2">
      <c r="A1629" s="547" t="s">
        <v>220</v>
      </c>
      <c r="B1629" s="547" t="s">
        <v>2351</v>
      </c>
      <c r="C1629" s="554" t="s">
        <v>9283</v>
      </c>
      <c r="D1629" s="554" t="s">
        <v>9284</v>
      </c>
      <c r="E1629" s="554" t="s">
        <v>9585</v>
      </c>
      <c r="F1629" s="573">
        <v>2</v>
      </c>
      <c r="G1629" s="545">
        <v>0</v>
      </c>
      <c r="H1629" s="545">
        <v>0</v>
      </c>
      <c r="I1629" s="554" t="s">
        <v>9218</v>
      </c>
      <c r="J1629" s="554" t="s">
        <v>9219</v>
      </c>
      <c r="K1629" s="554" t="s">
        <v>9219</v>
      </c>
      <c r="L1629" s="537" t="s">
        <v>2354</v>
      </c>
    </row>
    <row r="1630" spans="1:12" x14ac:dyDescent="0.2">
      <c r="A1630" s="547" t="s">
        <v>220</v>
      </c>
      <c r="B1630" s="547" t="s">
        <v>2351</v>
      </c>
      <c r="C1630" s="554" t="s">
        <v>9285</v>
      </c>
      <c r="D1630" s="554" t="s">
        <v>9286</v>
      </c>
      <c r="E1630" s="554" t="s">
        <v>9585</v>
      </c>
      <c r="F1630" s="571">
        <v>2</v>
      </c>
      <c r="G1630" s="572">
        <v>238.5</v>
      </c>
      <c r="H1630" s="545">
        <v>477</v>
      </c>
      <c r="I1630" s="554" t="s">
        <v>9218</v>
      </c>
      <c r="J1630" s="554" t="s">
        <v>9219</v>
      </c>
      <c r="K1630" s="554" t="s">
        <v>9219</v>
      </c>
      <c r="L1630" s="537" t="s">
        <v>2354</v>
      </c>
    </row>
    <row r="1631" spans="1:12" x14ac:dyDescent="0.2">
      <c r="A1631" s="547" t="s">
        <v>220</v>
      </c>
      <c r="B1631" s="547" t="s">
        <v>2351</v>
      </c>
      <c r="C1631" s="554" t="s">
        <v>9287</v>
      </c>
      <c r="D1631" s="554" t="s">
        <v>9288</v>
      </c>
      <c r="E1631" s="554" t="s">
        <v>9585</v>
      </c>
      <c r="F1631" s="573">
        <v>1</v>
      </c>
      <c r="G1631" s="545">
        <v>335.26499999999999</v>
      </c>
      <c r="H1631" s="545">
        <v>335.26499999999999</v>
      </c>
      <c r="I1631" s="554" t="s">
        <v>9218</v>
      </c>
      <c r="J1631" s="554" t="s">
        <v>9219</v>
      </c>
      <c r="K1631" s="554" t="s">
        <v>9219</v>
      </c>
      <c r="L1631" s="537" t="s">
        <v>2354</v>
      </c>
    </row>
    <row r="1632" spans="1:12" x14ac:dyDescent="0.2">
      <c r="A1632" s="547" t="s">
        <v>220</v>
      </c>
      <c r="B1632" s="547" t="s">
        <v>2351</v>
      </c>
      <c r="C1632" s="554" t="s">
        <v>9289</v>
      </c>
      <c r="D1632" s="554" t="s">
        <v>9290</v>
      </c>
      <c r="E1632" s="554" t="s">
        <v>9585</v>
      </c>
      <c r="F1632" s="571">
        <v>1</v>
      </c>
      <c r="G1632" s="572">
        <v>618.49</v>
      </c>
      <c r="H1632" s="545">
        <v>618.49</v>
      </c>
      <c r="I1632" s="554" t="s">
        <v>9218</v>
      </c>
      <c r="J1632" s="554" t="s">
        <v>9219</v>
      </c>
      <c r="K1632" s="554" t="s">
        <v>9219</v>
      </c>
      <c r="L1632" s="537" t="s">
        <v>2354</v>
      </c>
    </row>
    <row r="1633" spans="1:12" x14ac:dyDescent="0.2">
      <c r="A1633" s="547" t="s">
        <v>220</v>
      </c>
      <c r="B1633" s="547" t="s">
        <v>2351</v>
      </c>
      <c r="C1633" s="554" t="s">
        <v>9291</v>
      </c>
      <c r="D1633" s="554" t="s">
        <v>9292</v>
      </c>
      <c r="E1633" s="554" t="s">
        <v>9585</v>
      </c>
      <c r="F1633" s="571">
        <v>1</v>
      </c>
      <c r="G1633" s="572">
        <v>59.335999999999999</v>
      </c>
      <c r="H1633" s="545">
        <v>59.335999999999999</v>
      </c>
      <c r="I1633" s="554" t="s">
        <v>9218</v>
      </c>
      <c r="J1633" s="554" t="s">
        <v>9219</v>
      </c>
      <c r="K1633" s="554" t="s">
        <v>9219</v>
      </c>
      <c r="L1633" s="537" t="s">
        <v>2354</v>
      </c>
    </row>
    <row r="1634" spans="1:12" x14ac:dyDescent="0.2">
      <c r="A1634" s="547" t="s">
        <v>220</v>
      </c>
      <c r="B1634" s="547" t="s">
        <v>2351</v>
      </c>
      <c r="C1634" s="554" t="s">
        <v>9293</v>
      </c>
      <c r="D1634" s="554" t="s">
        <v>9294</v>
      </c>
      <c r="E1634" s="554" t="s">
        <v>9585</v>
      </c>
      <c r="F1634" s="571">
        <v>6</v>
      </c>
      <c r="G1634" s="572">
        <v>67.125</v>
      </c>
      <c r="H1634" s="545">
        <v>402.75</v>
      </c>
      <c r="I1634" s="554" t="s">
        <v>9218</v>
      </c>
      <c r="J1634" s="554" t="s">
        <v>9219</v>
      </c>
      <c r="K1634" s="554" t="s">
        <v>9219</v>
      </c>
      <c r="L1634" s="537" t="s">
        <v>2354</v>
      </c>
    </row>
    <row r="1635" spans="1:12" x14ac:dyDescent="0.2">
      <c r="A1635" s="547" t="s">
        <v>220</v>
      </c>
      <c r="B1635" s="547" t="s">
        <v>2351</v>
      </c>
      <c r="C1635" s="554" t="s">
        <v>9295</v>
      </c>
      <c r="D1635" s="554" t="s">
        <v>9296</v>
      </c>
      <c r="E1635" s="554" t="s">
        <v>9585</v>
      </c>
      <c r="F1635" s="571">
        <v>2</v>
      </c>
      <c r="G1635" s="572">
        <v>138.208</v>
      </c>
      <c r="H1635" s="545">
        <v>276.416</v>
      </c>
      <c r="I1635" s="554" t="s">
        <v>9218</v>
      </c>
      <c r="J1635" s="554" t="s">
        <v>9219</v>
      </c>
      <c r="K1635" s="554" t="s">
        <v>9219</v>
      </c>
      <c r="L1635" s="537" t="s">
        <v>2354</v>
      </c>
    </row>
    <row r="1636" spans="1:12" x14ac:dyDescent="0.2">
      <c r="A1636" s="547" t="s">
        <v>220</v>
      </c>
      <c r="B1636" s="547" t="s">
        <v>2351</v>
      </c>
      <c r="C1636" s="554" t="s">
        <v>4043</v>
      </c>
      <c r="D1636" s="554" t="s">
        <v>4044</v>
      </c>
      <c r="E1636" s="554" t="s">
        <v>9585</v>
      </c>
      <c r="F1636" s="571">
        <v>7</v>
      </c>
      <c r="G1636" s="572">
        <v>90.4</v>
      </c>
      <c r="H1636" s="545">
        <v>632.80000000000007</v>
      </c>
      <c r="I1636" s="554" t="s">
        <v>9218</v>
      </c>
      <c r="J1636" s="554" t="s">
        <v>9219</v>
      </c>
      <c r="K1636" s="554" t="s">
        <v>9219</v>
      </c>
      <c r="L1636" s="537" t="s">
        <v>2354</v>
      </c>
    </row>
    <row r="1637" spans="1:12" x14ac:dyDescent="0.2">
      <c r="A1637" s="547" t="s">
        <v>220</v>
      </c>
      <c r="B1637" s="547" t="s">
        <v>2351</v>
      </c>
      <c r="C1637" s="554" t="s">
        <v>4045</v>
      </c>
      <c r="D1637" s="554" t="s">
        <v>4046</v>
      </c>
      <c r="E1637" s="554" t="s">
        <v>9585</v>
      </c>
      <c r="F1637" s="571">
        <v>1</v>
      </c>
      <c r="G1637" s="572">
        <v>310</v>
      </c>
      <c r="H1637" s="545">
        <v>310</v>
      </c>
      <c r="I1637" s="554" t="s">
        <v>9218</v>
      </c>
      <c r="J1637" s="554" t="s">
        <v>9219</v>
      </c>
      <c r="K1637" s="554" t="s">
        <v>9219</v>
      </c>
      <c r="L1637" s="537" t="s">
        <v>2354</v>
      </c>
    </row>
    <row r="1638" spans="1:12" x14ac:dyDescent="0.2">
      <c r="A1638" s="547" t="s">
        <v>220</v>
      </c>
      <c r="B1638" s="547" t="s">
        <v>2351</v>
      </c>
      <c r="C1638" s="554" t="s">
        <v>4077</v>
      </c>
      <c r="D1638" s="554" t="s">
        <v>4078</v>
      </c>
      <c r="E1638" s="554" t="s">
        <v>9585</v>
      </c>
      <c r="F1638" s="571">
        <v>5</v>
      </c>
      <c r="G1638" s="572">
        <v>89.503</v>
      </c>
      <c r="H1638" s="545">
        <v>447.51499999999999</v>
      </c>
      <c r="I1638" s="554" t="s">
        <v>9218</v>
      </c>
      <c r="J1638" s="554" t="s">
        <v>9219</v>
      </c>
      <c r="K1638" s="554" t="s">
        <v>9219</v>
      </c>
      <c r="L1638" s="537" t="s">
        <v>2354</v>
      </c>
    </row>
    <row r="1639" spans="1:12" x14ac:dyDescent="0.2">
      <c r="A1639" s="547" t="s">
        <v>220</v>
      </c>
      <c r="B1639" s="547" t="s">
        <v>2351</v>
      </c>
      <c r="C1639" s="554" t="s">
        <v>4079</v>
      </c>
      <c r="D1639" s="554" t="s">
        <v>4080</v>
      </c>
      <c r="E1639" s="554" t="s">
        <v>9585</v>
      </c>
      <c r="F1639" s="571">
        <v>3</v>
      </c>
      <c r="G1639" s="572">
        <v>87.93</v>
      </c>
      <c r="H1639" s="545">
        <v>263.79000000000002</v>
      </c>
      <c r="I1639" s="554" t="s">
        <v>9218</v>
      </c>
      <c r="J1639" s="554" t="s">
        <v>9219</v>
      </c>
      <c r="K1639" s="554" t="s">
        <v>9219</v>
      </c>
      <c r="L1639" s="537" t="s">
        <v>2354</v>
      </c>
    </row>
    <row r="1640" spans="1:12" x14ac:dyDescent="0.2">
      <c r="A1640" s="547" t="s">
        <v>220</v>
      </c>
      <c r="B1640" s="547" t="s">
        <v>2351</v>
      </c>
      <c r="C1640" s="554" t="s">
        <v>9297</v>
      </c>
      <c r="D1640" s="554" t="s">
        <v>9298</v>
      </c>
      <c r="E1640" s="554" t="s">
        <v>9585</v>
      </c>
      <c r="F1640" s="571">
        <v>3</v>
      </c>
      <c r="G1640" s="572">
        <v>93.307000000000002</v>
      </c>
      <c r="H1640" s="545">
        <v>279.92099999999999</v>
      </c>
      <c r="I1640" s="554" t="s">
        <v>9218</v>
      </c>
      <c r="J1640" s="554" t="s">
        <v>9219</v>
      </c>
      <c r="K1640" s="554" t="s">
        <v>9219</v>
      </c>
      <c r="L1640" s="537" t="s">
        <v>2354</v>
      </c>
    </row>
    <row r="1641" spans="1:12" x14ac:dyDescent="0.2">
      <c r="A1641" s="547" t="s">
        <v>220</v>
      </c>
      <c r="B1641" s="547" t="s">
        <v>2351</v>
      </c>
      <c r="C1641" s="554" t="s">
        <v>9299</v>
      </c>
      <c r="D1641" s="554" t="s">
        <v>9300</v>
      </c>
      <c r="E1641" s="554" t="s">
        <v>9585</v>
      </c>
      <c r="F1641" s="571">
        <v>3</v>
      </c>
      <c r="G1641" s="572">
        <v>134.30000000000001</v>
      </c>
      <c r="H1641" s="545">
        <v>402.90000000000003</v>
      </c>
      <c r="I1641" s="554" t="s">
        <v>9218</v>
      </c>
      <c r="J1641" s="554" t="s">
        <v>9219</v>
      </c>
      <c r="K1641" s="554" t="s">
        <v>9219</v>
      </c>
      <c r="L1641" s="537" t="s">
        <v>2354</v>
      </c>
    </row>
    <row r="1642" spans="1:12" x14ac:dyDescent="0.2">
      <c r="A1642" s="547" t="s">
        <v>220</v>
      </c>
      <c r="B1642" s="547" t="s">
        <v>2351</v>
      </c>
      <c r="C1642" s="554" t="s">
        <v>4081</v>
      </c>
      <c r="D1642" s="554" t="s">
        <v>4082</v>
      </c>
      <c r="E1642" s="554" t="s">
        <v>9585</v>
      </c>
      <c r="F1642" s="571">
        <v>2</v>
      </c>
      <c r="G1642" s="572">
        <v>82.48</v>
      </c>
      <c r="H1642" s="545">
        <v>164.96</v>
      </c>
      <c r="I1642" s="554" t="s">
        <v>9218</v>
      </c>
      <c r="J1642" s="554" t="s">
        <v>9219</v>
      </c>
      <c r="K1642" s="554" t="s">
        <v>9219</v>
      </c>
      <c r="L1642" s="537" t="s">
        <v>2354</v>
      </c>
    </row>
    <row r="1643" spans="1:12" x14ac:dyDescent="0.2">
      <c r="A1643" s="547" t="s">
        <v>220</v>
      </c>
      <c r="B1643" s="547" t="s">
        <v>2351</v>
      </c>
      <c r="C1643" s="554" t="s">
        <v>4101</v>
      </c>
      <c r="D1643" s="554" t="s">
        <v>9301</v>
      </c>
      <c r="E1643" s="554" t="s">
        <v>9585</v>
      </c>
      <c r="F1643" s="571">
        <v>1</v>
      </c>
      <c r="G1643" s="572">
        <v>139.21199999999999</v>
      </c>
      <c r="H1643" s="545">
        <v>139.21199999999999</v>
      </c>
      <c r="I1643" s="554" t="s">
        <v>9218</v>
      </c>
      <c r="J1643" s="554" t="s">
        <v>9219</v>
      </c>
      <c r="K1643" s="554" t="s">
        <v>9219</v>
      </c>
      <c r="L1643" s="537" t="s">
        <v>2354</v>
      </c>
    </row>
    <row r="1644" spans="1:12" x14ac:dyDescent="0.2">
      <c r="A1644" s="547" t="s">
        <v>220</v>
      </c>
      <c r="B1644" s="547" t="s">
        <v>2351</v>
      </c>
      <c r="C1644" s="554" t="s">
        <v>4083</v>
      </c>
      <c r="D1644" s="554" t="s">
        <v>4084</v>
      </c>
      <c r="E1644" s="554" t="s">
        <v>9585</v>
      </c>
      <c r="F1644" s="571">
        <v>2</v>
      </c>
      <c r="G1644" s="572">
        <v>67.41</v>
      </c>
      <c r="H1644" s="545">
        <v>134.82</v>
      </c>
      <c r="I1644" s="554" t="s">
        <v>9218</v>
      </c>
      <c r="J1644" s="554" t="s">
        <v>9219</v>
      </c>
      <c r="K1644" s="554" t="s">
        <v>9219</v>
      </c>
      <c r="L1644" s="537" t="s">
        <v>2354</v>
      </c>
    </row>
    <row r="1645" spans="1:12" x14ac:dyDescent="0.2">
      <c r="A1645" s="547" t="s">
        <v>220</v>
      </c>
      <c r="B1645" s="547" t="s">
        <v>2351</v>
      </c>
      <c r="C1645" s="554"/>
      <c r="D1645" s="554" t="s">
        <v>4088</v>
      </c>
      <c r="E1645" s="554" t="s">
        <v>9585</v>
      </c>
      <c r="F1645" s="571">
        <v>3</v>
      </c>
      <c r="G1645" s="572">
        <v>18.45</v>
      </c>
      <c r="H1645" s="545">
        <v>55.349999999999994</v>
      </c>
      <c r="I1645" s="554" t="s">
        <v>9218</v>
      </c>
      <c r="J1645" s="554" t="s">
        <v>9219</v>
      </c>
      <c r="K1645" s="554" t="s">
        <v>9219</v>
      </c>
      <c r="L1645" s="537" t="s">
        <v>2354</v>
      </c>
    </row>
    <row r="1646" spans="1:12" x14ac:dyDescent="0.2">
      <c r="A1646" s="547" t="s">
        <v>220</v>
      </c>
      <c r="B1646" s="547" t="s">
        <v>2351</v>
      </c>
      <c r="C1646" s="554" t="s">
        <v>4093</v>
      </c>
      <c r="D1646" s="554" t="s">
        <v>4094</v>
      </c>
      <c r="E1646" s="554" t="s">
        <v>9585</v>
      </c>
      <c r="F1646" s="571">
        <v>2</v>
      </c>
      <c r="G1646" s="572">
        <v>33.5</v>
      </c>
      <c r="H1646" s="545">
        <v>67</v>
      </c>
      <c r="I1646" s="554" t="s">
        <v>9218</v>
      </c>
      <c r="J1646" s="554" t="s">
        <v>9219</v>
      </c>
      <c r="K1646" s="554" t="s">
        <v>9219</v>
      </c>
      <c r="L1646" s="537" t="s">
        <v>2354</v>
      </c>
    </row>
    <row r="1647" spans="1:12" x14ac:dyDescent="0.2">
      <c r="A1647" s="547" t="s">
        <v>220</v>
      </c>
      <c r="B1647" s="547" t="s">
        <v>2351</v>
      </c>
      <c r="C1647" s="554" t="s">
        <v>4095</v>
      </c>
      <c r="D1647" s="554" t="s">
        <v>4096</v>
      </c>
      <c r="E1647" s="554" t="s">
        <v>9585</v>
      </c>
      <c r="F1647" s="571">
        <v>3</v>
      </c>
      <c r="G1647" s="572">
        <v>8.7240000000000002</v>
      </c>
      <c r="H1647" s="545">
        <v>26.172000000000001</v>
      </c>
      <c r="I1647" s="554" t="s">
        <v>9218</v>
      </c>
      <c r="J1647" s="554" t="s">
        <v>9219</v>
      </c>
      <c r="K1647" s="554" t="s">
        <v>9219</v>
      </c>
      <c r="L1647" s="537" t="s">
        <v>2354</v>
      </c>
    </row>
    <row r="1648" spans="1:12" x14ac:dyDescent="0.2">
      <c r="A1648" s="547" t="s">
        <v>220</v>
      </c>
      <c r="B1648" s="547" t="s">
        <v>2351</v>
      </c>
      <c r="C1648" s="554" t="s">
        <v>4099</v>
      </c>
      <c r="D1648" s="554" t="s">
        <v>4100</v>
      </c>
      <c r="E1648" s="554" t="s">
        <v>9585</v>
      </c>
      <c r="F1648" s="571">
        <v>2</v>
      </c>
      <c r="G1648" s="572">
        <v>55.271000000000001</v>
      </c>
      <c r="H1648" s="545">
        <v>110.542</v>
      </c>
      <c r="I1648" s="554" t="s">
        <v>9218</v>
      </c>
      <c r="J1648" s="554" t="s">
        <v>9219</v>
      </c>
      <c r="K1648" s="554" t="s">
        <v>9219</v>
      </c>
      <c r="L1648" s="537" t="s">
        <v>2354</v>
      </c>
    </row>
    <row r="1649" spans="1:12" x14ac:dyDescent="0.2">
      <c r="A1649" s="547" t="s">
        <v>220</v>
      </c>
      <c r="B1649" s="547" t="s">
        <v>2351</v>
      </c>
      <c r="C1649" s="554" t="s">
        <v>4101</v>
      </c>
      <c r="D1649" s="554" t="s">
        <v>4102</v>
      </c>
      <c r="E1649" s="554" t="s">
        <v>9585</v>
      </c>
      <c r="F1649" s="571">
        <v>2</v>
      </c>
      <c r="G1649" s="572">
        <v>95.715333333333319</v>
      </c>
      <c r="H1649" s="545">
        <v>191.43066666666664</v>
      </c>
      <c r="I1649" s="554" t="s">
        <v>9218</v>
      </c>
      <c r="J1649" s="554" t="s">
        <v>9219</v>
      </c>
      <c r="K1649" s="554" t="s">
        <v>9219</v>
      </c>
      <c r="L1649" s="537" t="s">
        <v>2354</v>
      </c>
    </row>
    <row r="1650" spans="1:12" x14ac:dyDescent="0.2">
      <c r="A1650" s="547" t="s">
        <v>220</v>
      </c>
      <c r="B1650" s="547" t="s">
        <v>2351</v>
      </c>
      <c r="C1650" s="554" t="s">
        <v>4103</v>
      </c>
      <c r="D1650" s="554" t="s">
        <v>4104</v>
      </c>
      <c r="E1650" s="554" t="s">
        <v>9585</v>
      </c>
      <c r="F1650" s="571">
        <v>2</v>
      </c>
      <c r="G1650" s="572">
        <v>11.548999999999999</v>
      </c>
      <c r="H1650" s="545">
        <v>23.097999999999999</v>
      </c>
      <c r="I1650" s="554" t="s">
        <v>9218</v>
      </c>
      <c r="J1650" s="554" t="s">
        <v>9219</v>
      </c>
      <c r="K1650" s="554" t="s">
        <v>9219</v>
      </c>
      <c r="L1650" s="537" t="s">
        <v>2354</v>
      </c>
    </row>
    <row r="1651" spans="1:12" x14ac:dyDescent="0.2">
      <c r="A1651" s="547" t="s">
        <v>220</v>
      </c>
      <c r="B1651" s="547" t="s">
        <v>2351</v>
      </c>
      <c r="C1651" s="554" t="s">
        <v>4105</v>
      </c>
      <c r="D1651" s="554" t="s">
        <v>4106</v>
      </c>
      <c r="E1651" s="554" t="s">
        <v>9585</v>
      </c>
      <c r="F1651" s="571">
        <v>2</v>
      </c>
      <c r="G1651" s="572">
        <v>137.6</v>
      </c>
      <c r="H1651" s="545">
        <v>275.2</v>
      </c>
      <c r="I1651" s="554" t="s">
        <v>9218</v>
      </c>
      <c r="J1651" s="554" t="s">
        <v>9219</v>
      </c>
      <c r="K1651" s="554" t="s">
        <v>9219</v>
      </c>
      <c r="L1651" s="537" t="s">
        <v>2354</v>
      </c>
    </row>
    <row r="1652" spans="1:12" x14ac:dyDescent="0.2">
      <c r="A1652" s="547" t="s">
        <v>220</v>
      </c>
      <c r="B1652" s="547" t="s">
        <v>2351</v>
      </c>
      <c r="C1652" s="554" t="s">
        <v>4107</v>
      </c>
      <c r="D1652" s="554" t="s">
        <v>4108</v>
      </c>
      <c r="E1652" s="554" t="s">
        <v>9585</v>
      </c>
      <c r="F1652" s="571">
        <v>5</v>
      </c>
      <c r="G1652" s="572">
        <v>104.83199999999999</v>
      </c>
      <c r="H1652" s="545">
        <v>524.16</v>
      </c>
      <c r="I1652" s="554" t="s">
        <v>9218</v>
      </c>
      <c r="J1652" s="554" t="s">
        <v>9219</v>
      </c>
      <c r="K1652" s="554" t="s">
        <v>9219</v>
      </c>
      <c r="L1652" s="537" t="s">
        <v>2354</v>
      </c>
    </row>
    <row r="1653" spans="1:12" x14ac:dyDescent="0.2">
      <c r="A1653" s="547" t="s">
        <v>220</v>
      </c>
      <c r="B1653" s="547" t="s">
        <v>2351</v>
      </c>
      <c r="C1653" s="554" t="s">
        <v>9302</v>
      </c>
      <c r="D1653" s="554" t="s">
        <v>9303</v>
      </c>
      <c r="E1653" s="554" t="s">
        <v>9585</v>
      </c>
      <c r="F1653" s="571">
        <v>3</v>
      </c>
      <c r="G1653" s="572">
        <v>247.13800000000001</v>
      </c>
      <c r="H1653" s="545">
        <v>741.41399999999999</v>
      </c>
      <c r="I1653" s="554" t="s">
        <v>9218</v>
      </c>
      <c r="J1653" s="554" t="s">
        <v>9219</v>
      </c>
      <c r="K1653" s="554" t="s">
        <v>9219</v>
      </c>
      <c r="L1653" s="537" t="s">
        <v>2354</v>
      </c>
    </row>
    <row r="1654" spans="1:12" x14ac:dyDescent="0.2">
      <c r="A1654" s="547" t="s">
        <v>220</v>
      </c>
      <c r="B1654" s="547" t="s">
        <v>2351</v>
      </c>
      <c r="C1654" s="554" t="s">
        <v>9304</v>
      </c>
      <c r="D1654" s="554" t="s">
        <v>9305</v>
      </c>
      <c r="E1654" s="554" t="s">
        <v>9585</v>
      </c>
      <c r="F1654" s="573">
        <v>6</v>
      </c>
      <c r="G1654" s="545">
        <v>0</v>
      </c>
      <c r="H1654" s="545">
        <v>0</v>
      </c>
      <c r="I1654" s="554" t="s">
        <v>9218</v>
      </c>
      <c r="J1654" s="554" t="s">
        <v>9219</v>
      </c>
      <c r="K1654" s="554" t="s">
        <v>9219</v>
      </c>
      <c r="L1654" s="537" t="s">
        <v>2354</v>
      </c>
    </row>
    <row r="1655" spans="1:12" x14ac:dyDescent="0.2">
      <c r="A1655" s="547" t="s">
        <v>220</v>
      </c>
      <c r="B1655" s="547" t="s">
        <v>2351</v>
      </c>
      <c r="C1655" s="554" t="s">
        <v>6805</v>
      </c>
      <c r="D1655" s="554" t="s">
        <v>9306</v>
      </c>
      <c r="E1655" s="554" t="s">
        <v>9585</v>
      </c>
      <c r="F1655" s="571">
        <v>1</v>
      </c>
      <c r="G1655" s="572">
        <v>91.44</v>
      </c>
      <c r="H1655" s="545">
        <v>91.44</v>
      </c>
      <c r="I1655" s="554" t="s">
        <v>9218</v>
      </c>
      <c r="J1655" s="554" t="s">
        <v>9219</v>
      </c>
      <c r="K1655" s="554" t="s">
        <v>9219</v>
      </c>
      <c r="L1655" s="537" t="s">
        <v>2354</v>
      </c>
    </row>
    <row r="1656" spans="1:12" x14ac:dyDescent="0.2">
      <c r="A1656" s="547" t="s">
        <v>220</v>
      </c>
      <c r="B1656" s="547" t="s">
        <v>2351</v>
      </c>
      <c r="C1656" s="554" t="s">
        <v>4109</v>
      </c>
      <c r="D1656" s="554" t="s">
        <v>4110</v>
      </c>
      <c r="E1656" s="554" t="s">
        <v>9585</v>
      </c>
      <c r="F1656" s="571">
        <v>1</v>
      </c>
      <c r="G1656" s="572">
        <v>80.91</v>
      </c>
      <c r="H1656" s="545">
        <v>80.91</v>
      </c>
      <c r="I1656" s="554" t="s">
        <v>9218</v>
      </c>
      <c r="J1656" s="554" t="s">
        <v>9219</v>
      </c>
      <c r="K1656" s="554" t="s">
        <v>9219</v>
      </c>
      <c r="L1656" s="537" t="s">
        <v>2354</v>
      </c>
    </row>
    <row r="1657" spans="1:12" x14ac:dyDescent="0.2">
      <c r="A1657" s="547" t="s">
        <v>220</v>
      </c>
      <c r="B1657" s="547" t="s">
        <v>2351</v>
      </c>
      <c r="C1657" s="554"/>
      <c r="D1657" s="554" t="s">
        <v>9307</v>
      </c>
      <c r="E1657" s="554" t="s">
        <v>9585</v>
      </c>
      <c r="F1657" s="571">
        <v>1</v>
      </c>
      <c r="G1657" s="572">
        <v>524.70000000000005</v>
      </c>
      <c r="H1657" s="545">
        <v>524.70000000000005</v>
      </c>
      <c r="I1657" s="554" t="s">
        <v>9218</v>
      </c>
      <c r="J1657" s="554" t="s">
        <v>9219</v>
      </c>
      <c r="K1657" s="554" t="s">
        <v>9219</v>
      </c>
      <c r="L1657" s="537" t="s">
        <v>2354</v>
      </c>
    </row>
    <row r="1658" spans="1:12" x14ac:dyDescent="0.2">
      <c r="A1658" s="547" t="s">
        <v>220</v>
      </c>
      <c r="B1658" s="547" t="s">
        <v>2351</v>
      </c>
      <c r="C1658" s="554" t="s">
        <v>4111</v>
      </c>
      <c r="D1658" s="554" t="s">
        <v>9308</v>
      </c>
      <c r="E1658" s="554" t="s">
        <v>9585</v>
      </c>
      <c r="F1658" s="571">
        <v>1</v>
      </c>
      <c r="G1658" s="572">
        <v>524.70000000000005</v>
      </c>
      <c r="H1658" s="545">
        <v>524.70000000000005</v>
      </c>
      <c r="I1658" s="554" t="s">
        <v>9218</v>
      </c>
      <c r="J1658" s="554" t="s">
        <v>9219</v>
      </c>
      <c r="K1658" s="554" t="s">
        <v>9219</v>
      </c>
      <c r="L1658" s="537" t="s">
        <v>2354</v>
      </c>
    </row>
    <row r="1659" spans="1:12" x14ac:dyDescent="0.2">
      <c r="A1659" s="547" t="s">
        <v>220</v>
      </c>
      <c r="B1659" s="547" t="s">
        <v>2351</v>
      </c>
      <c r="C1659" s="554" t="s">
        <v>4113</v>
      </c>
      <c r="D1659" s="554" t="s">
        <v>4114</v>
      </c>
      <c r="E1659" s="554" t="s">
        <v>9585</v>
      </c>
      <c r="F1659" s="573">
        <v>1</v>
      </c>
      <c r="G1659" s="545">
        <v>0</v>
      </c>
      <c r="H1659" s="545">
        <v>0</v>
      </c>
      <c r="I1659" s="554" t="s">
        <v>9218</v>
      </c>
      <c r="J1659" s="554" t="s">
        <v>9219</v>
      </c>
      <c r="K1659" s="554" t="s">
        <v>9219</v>
      </c>
      <c r="L1659" s="537" t="s">
        <v>2354</v>
      </c>
    </row>
    <row r="1660" spans="1:12" x14ac:dyDescent="0.2">
      <c r="A1660" s="547" t="s">
        <v>220</v>
      </c>
      <c r="B1660" s="547" t="s">
        <v>2351</v>
      </c>
      <c r="C1660" s="554" t="s">
        <v>4115</v>
      </c>
      <c r="D1660" s="554" t="s">
        <v>4116</v>
      </c>
      <c r="E1660" s="554" t="s">
        <v>9585</v>
      </c>
      <c r="F1660" s="571">
        <v>1</v>
      </c>
      <c r="G1660" s="572">
        <v>273.79950000000002</v>
      </c>
      <c r="H1660" s="545">
        <v>273.79950000000002</v>
      </c>
      <c r="I1660" s="554" t="s">
        <v>9218</v>
      </c>
      <c r="J1660" s="554" t="s">
        <v>9219</v>
      </c>
      <c r="K1660" s="554" t="s">
        <v>9219</v>
      </c>
      <c r="L1660" s="537" t="s">
        <v>2354</v>
      </c>
    </row>
    <row r="1661" spans="1:12" x14ac:dyDescent="0.2">
      <c r="A1661" s="547" t="s">
        <v>220</v>
      </c>
      <c r="B1661" s="547" t="s">
        <v>2351</v>
      </c>
      <c r="C1661" s="554" t="s">
        <v>4117</v>
      </c>
      <c r="D1661" s="554" t="s">
        <v>4118</v>
      </c>
      <c r="E1661" s="554" t="s">
        <v>9585</v>
      </c>
      <c r="F1661" s="571">
        <v>1</v>
      </c>
      <c r="G1661" s="572">
        <v>439.7835</v>
      </c>
      <c r="H1661" s="545">
        <v>439.7835</v>
      </c>
      <c r="I1661" s="554" t="s">
        <v>9218</v>
      </c>
      <c r="J1661" s="554" t="s">
        <v>9219</v>
      </c>
      <c r="K1661" s="554" t="s">
        <v>9219</v>
      </c>
      <c r="L1661" s="537" t="s">
        <v>2354</v>
      </c>
    </row>
    <row r="1662" spans="1:12" x14ac:dyDescent="0.2">
      <c r="A1662" s="547" t="s">
        <v>220</v>
      </c>
      <c r="B1662" s="547" t="s">
        <v>2351</v>
      </c>
      <c r="C1662" s="554" t="s">
        <v>9309</v>
      </c>
      <c r="D1662" s="554" t="s">
        <v>9310</v>
      </c>
      <c r="E1662" s="554" t="s">
        <v>9585</v>
      </c>
      <c r="F1662" s="571">
        <v>1</v>
      </c>
      <c r="G1662" s="572">
        <v>1650.5</v>
      </c>
      <c r="H1662" s="545">
        <v>1650.5</v>
      </c>
      <c r="I1662" s="554" t="s">
        <v>9218</v>
      </c>
      <c r="J1662" s="554" t="s">
        <v>9219</v>
      </c>
      <c r="K1662" s="554" t="s">
        <v>9219</v>
      </c>
      <c r="L1662" s="537" t="s">
        <v>2354</v>
      </c>
    </row>
    <row r="1663" spans="1:12" x14ac:dyDescent="0.2">
      <c r="A1663" s="547" t="s">
        <v>220</v>
      </c>
      <c r="B1663" s="547" t="s">
        <v>2351</v>
      </c>
      <c r="C1663" s="554" t="s">
        <v>4119</v>
      </c>
      <c r="D1663" s="554" t="s">
        <v>4120</v>
      </c>
      <c r="E1663" s="554" t="s">
        <v>9585</v>
      </c>
      <c r="F1663" s="571">
        <v>1</v>
      </c>
      <c r="G1663" s="572">
        <v>656.72973000000002</v>
      </c>
      <c r="H1663" s="545">
        <v>656.72973000000002</v>
      </c>
      <c r="I1663" s="554" t="s">
        <v>9218</v>
      </c>
      <c r="J1663" s="554" t="s">
        <v>9219</v>
      </c>
      <c r="K1663" s="554" t="s">
        <v>9219</v>
      </c>
      <c r="L1663" s="537" t="s">
        <v>2354</v>
      </c>
    </row>
    <row r="1664" spans="1:12" x14ac:dyDescent="0.2">
      <c r="A1664" s="547" t="s">
        <v>220</v>
      </c>
      <c r="B1664" s="547" t="s">
        <v>2351</v>
      </c>
      <c r="C1664" s="554" t="s">
        <v>4123</v>
      </c>
      <c r="D1664" s="554" t="s">
        <v>4124</v>
      </c>
      <c r="E1664" s="554" t="s">
        <v>9585</v>
      </c>
      <c r="F1664" s="571">
        <v>1</v>
      </c>
      <c r="G1664" s="572">
        <v>204.05269999999999</v>
      </c>
      <c r="H1664" s="545">
        <v>204.05269999999999</v>
      </c>
      <c r="I1664" s="554" t="s">
        <v>9218</v>
      </c>
      <c r="J1664" s="554" t="s">
        <v>9219</v>
      </c>
      <c r="K1664" s="554" t="s">
        <v>9219</v>
      </c>
      <c r="L1664" s="537" t="s">
        <v>2354</v>
      </c>
    </row>
    <row r="1665" spans="1:12" x14ac:dyDescent="0.2">
      <c r="A1665" s="547" t="s">
        <v>220</v>
      </c>
      <c r="B1665" s="547" t="s">
        <v>2351</v>
      </c>
      <c r="C1665" s="554"/>
      <c r="D1665" s="554" t="s">
        <v>9311</v>
      </c>
      <c r="E1665" s="554" t="s">
        <v>9585</v>
      </c>
      <c r="F1665" s="571">
        <v>1</v>
      </c>
      <c r="G1665" s="572">
        <v>786.25800000000004</v>
      </c>
      <c r="H1665" s="545">
        <v>786.25800000000004</v>
      </c>
      <c r="I1665" s="554" t="s">
        <v>9218</v>
      </c>
      <c r="J1665" s="554" t="s">
        <v>9219</v>
      </c>
      <c r="K1665" s="554" t="s">
        <v>9219</v>
      </c>
      <c r="L1665" s="537" t="s">
        <v>2354</v>
      </c>
    </row>
    <row r="1666" spans="1:12" x14ac:dyDescent="0.2">
      <c r="A1666" s="547" t="s">
        <v>220</v>
      </c>
      <c r="B1666" s="547" t="s">
        <v>2351</v>
      </c>
      <c r="C1666" s="554" t="s">
        <v>4127</v>
      </c>
      <c r="D1666" s="554" t="s">
        <v>4128</v>
      </c>
      <c r="E1666" s="554" t="s">
        <v>9585</v>
      </c>
      <c r="F1666" s="571">
        <v>1</v>
      </c>
      <c r="G1666" s="572">
        <v>1050</v>
      </c>
      <c r="H1666" s="545">
        <v>1050</v>
      </c>
      <c r="I1666" s="554" t="s">
        <v>9218</v>
      </c>
      <c r="J1666" s="554" t="s">
        <v>9219</v>
      </c>
      <c r="K1666" s="554" t="s">
        <v>9219</v>
      </c>
      <c r="L1666" s="537" t="s">
        <v>2354</v>
      </c>
    </row>
    <row r="1667" spans="1:12" x14ac:dyDescent="0.2">
      <c r="A1667" s="547" t="s">
        <v>220</v>
      </c>
      <c r="B1667" s="547" t="s">
        <v>2351</v>
      </c>
      <c r="C1667" s="554"/>
      <c r="D1667" s="554" t="s">
        <v>9313</v>
      </c>
      <c r="E1667" s="554" t="s">
        <v>9585</v>
      </c>
      <c r="F1667" s="571">
        <v>1</v>
      </c>
      <c r="G1667" s="572">
        <v>140.19999999999999</v>
      </c>
      <c r="H1667" s="545">
        <v>140.19999999999999</v>
      </c>
      <c r="I1667" s="554" t="s">
        <v>9218</v>
      </c>
      <c r="J1667" s="554" t="s">
        <v>9219</v>
      </c>
      <c r="K1667" s="554" t="s">
        <v>9219</v>
      </c>
      <c r="L1667" s="537" t="s">
        <v>2354</v>
      </c>
    </row>
    <row r="1668" spans="1:12" x14ac:dyDescent="0.2">
      <c r="A1668" s="547" t="s">
        <v>220</v>
      </c>
      <c r="B1668" s="547" t="s">
        <v>2351</v>
      </c>
      <c r="C1668" s="554"/>
      <c r="D1668" s="554" t="s">
        <v>9313</v>
      </c>
      <c r="E1668" s="554" t="s">
        <v>9585</v>
      </c>
      <c r="F1668" s="571">
        <v>1</v>
      </c>
      <c r="G1668" s="572">
        <v>140.19999999999999</v>
      </c>
      <c r="H1668" s="545">
        <v>140.19999999999999</v>
      </c>
      <c r="I1668" s="554" t="s">
        <v>9218</v>
      </c>
      <c r="J1668" s="554" t="s">
        <v>9219</v>
      </c>
      <c r="K1668" s="554" t="s">
        <v>9219</v>
      </c>
      <c r="L1668" s="537" t="s">
        <v>2354</v>
      </c>
    </row>
    <row r="1669" spans="1:12" x14ac:dyDescent="0.2">
      <c r="A1669" s="547" t="s">
        <v>220</v>
      </c>
      <c r="B1669" s="547" t="s">
        <v>2351</v>
      </c>
      <c r="C1669" s="554" t="s">
        <v>4129</v>
      </c>
      <c r="D1669" s="554" t="s">
        <v>4130</v>
      </c>
      <c r="E1669" s="554" t="s">
        <v>9585</v>
      </c>
      <c r="F1669" s="571">
        <v>1</v>
      </c>
      <c r="G1669" s="572">
        <v>152.15</v>
      </c>
      <c r="H1669" s="545">
        <v>152.15</v>
      </c>
      <c r="I1669" s="554" t="s">
        <v>9218</v>
      </c>
      <c r="J1669" s="554" t="s">
        <v>9219</v>
      </c>
      <c r="K1669" s="554" t="s">
        <v>9219</v>
      </c>
      <c r="L1669" s="537" t="s">
        <v>2354</v>
      </c>
    </row>
    <row r="1670" spans="1:12" x14ac:dyDescent="0.2">
      <c r="A1670" s="547" t="s">
        <v>220</v>
      </c>
      <c r="B1670" s="547" t="s">
        <v>2351</v>
      </c>
      <c r="C1670" s="554" t="s">
        <v>4131</v>
      </c>
      <c r="D1670" s="554" t="s">
        <v>4132</v>
      </c>
      <c r="E1670" s="554" t="s">
        <v>9585</v>
      </c>
      <c r="F1670" s="571">
        <v>2</v>
      </c>
      <c r="G1670" s="572">
        <v>45.05</v>
      </c>
      <c r="H1670" s="545">
        <v>90.1</v>
      </c>
      <c r="I1670" s="554" t="s">
        <v>9218</v>
      </c>
      <c r="J1670" s="554" t="s">
        <v>9219</v>
      </c>
      <c r="K1670" s="554" t="s">
        <v>9219</v>
      </c>
      <c r="L1670" s="537" t="s">
        <v>2354</v>
      </c>
    </row>
    <row r="1671" spans="1:12" x14ac:dyDescent="0.2">
      <c r="A1671" s="547" t="s">
        <v>220</v>
      </c>
      <c r="B1671" s="547" t="s">
        <v>2351</v>
      </c>
      <c r="C1671" s="554" t="s">
        <v>4133</v>
      </c>
      <c r="D1671" s="554" t="s">
        <v>4134</v>
      </c>
      <c r="E1671" s="554" t="s">
        <v>9585</v>
      </c>
      <c r="F1671" s="571">
        <v>1</v>
      </c>
      <c r="G1671" s="572">
        <v>125.46</v>
      </c>
      <c r="H1671" s="545">
        <v>125.46</v>
      </c>
      <c r="I1671" s="554" t="s">
        <v>9218</v>
      </c>
      <c r="J1671" s="554" t="s">
        <v>9219</v>
      </c>
      <c r="K1671" s="554" t="s">
        <v>9219</v>
      </c>
      <c r="L1671" s="537" t="s">
        <v>2354</v>
      </c>
    </row>
    <row r="1672" spans="1:12" x14ac:dyDescent="0.2">
      <c r="A1672" s="547" t="s">
        <v>220</v>
      </c>
      <c r="B1672" s="547" t="s">
        <v>2351</v>
      </c>
      <c r="C1672" s="554" t="s">
        <v>4135</v>
      </c>
      <c r="D1672" s="554" t="s">
        <v>4136</v>
      </c>
      <c r="E1672" s="554" t="s">
        <v>9585</v>
      </c>
      <c r="F1672" s="571">
        <v>14</v>
      </c>
      <c r="G1672" s="572">
        <v>0.92300000000000004</v>
      </c>
      <c r="H1672" s="545">
        <v>12.922000000000001</v>
      </c>
      <c r="I1672" s="554" t="s">
        <v>9218</v>
      </c>
      <c r="J1672" s="554" t="s">
        <v>9219</v>
      </c>
      <c r="K1672" s="554" t="s">
        <v>9219</v>
      </c>
      <c r="L1672" s="537" t="s">
        <v>2354</v>
      </c>
    </row>
    <row r="1673" spans="1:12" x14ac:dyDescent="0.2">
      <c r="A1673" s="547" t="s">
        <v>220</v>
      </c>
      <c r="B1673" s="547" t="s">
        <v>2351</v>
      </c>
      <c r="C1673" s="554" t="s">
        <v>4137</v>
      </c>
      <c r="D1673" s="554" t="s">
        <v>4138</v>
      </c>
      <c r="E1673" s="554" t="s">
        <v>9585</v>
      </c>
      <c r="F1673" s="571">
        <v>22</v>
      </c>
      <c r="G1673" s="572">
        <v>0.96711999999999987</v>
      </c>
      <c r="H1673" s="545">
        <v>21.276639999999997</v>
      </c>
      <c r="I1673" s="554" t="s">
        <v>9218</v>
      </c>
      <c r="J1673" s="554" t="s">
        <v>9219</v>
      </c>
      <c r="K1673" s="554" t="s">
        <v>9219</v>
      </c>
      <c r="L1673" s="537" t="s">
        <v>2354</v>
      </c>
    </row>
    <row r="1674" spans="1:12" x14ac:dyDescent="0.2">
      <c r="A1674" s="547" t="s">
        <v>220</v>
      </c>
      <c r="B1674" s="547" t="s">
        <v>2351</v>
      </c>
      <c r="C1674" s="554" t="s">
        <v>4139</v>
      </c>
      <c r="D1674" s="554" t="s">
        <v>4140</v>
      </c>
      <c r="E1674" s="554" t="s">
        <v>9585</v>
      </c>
      <c r="F1674" s="571">
        <v>17</v>
      </c>
      <c r="G1674" s="572">
        <v>1.4933333333333334</v>
      </c>
      <c r="H1674" s="545">
        <v>25.386666666666667</v>
      </c>
      <c r="I1674" s="554" t="s">
        <v>9218</v>
      </c>
      <c r="J1674" s="554" t="s">
        <v>9219</v>
      </c>
      <c r="K1674" s="554" t="s">
        <v>9219</v>
      </c>
      <c r="L1674" s="537" t="s">
        <v>2354</v>
      </c>
    </row>
    <row r="1675" spans="1:12" x14ac:dyDescent="0.2">
      <c r="A1675" s="547" t="s">
        <v>220</v>
      </c>
      <c r="B1675" s="547" t="s">
        <v>2351</v>
      </c>
      <c r="C1675" s="554" t="s">
        <v>4141</v>
      </c>
      <c r="D1675" s="554" t="s">
        <v>4142</v>
      </c>
      <c r="E1675" s="554" t="s">
        <v>9585</v>
      </c>
      <c r="F1675" s="571">
        <v>18</v>
      </c>
      <c r="G1675" s="572">
        <v>0.47970000000000007</v>
      </c>
      <c r="H1675" s="545">
        <v>8.6346000000000007</v>
      </c>
      <c r="I1675" s="554" t="s">
        <v>9218</v>
      </c>
      <c r="J1675" s="554" t="s">
        <v>9219</v>
      </c>
      <c r="K1675" s="554" t="s">
        <v>9219</v>
      </c>
      <c r="L1675" s="537" t="s">
        <v>2354</v>
      </c>
    </row>
    <row r="1676" spans="1:12" x14ac:dyDescent="0.2">
      <c r="A1676" s="547" t="s">
        <v>220</v>
      </c>
      <c r="B1676" s="547" t="s">
        <v>2351</v>
      </c>
      <c r="C1676" s="554" t="s">
        <v>4143</v>
      </c>
      <c r="D1676" s="554" t="s">
        <v>4144</v>
      </c>
      <c r="E1676" s="554" t="s">
        <v>9585</v>
      </c>
      <c r="F1676" s="571">
        <v>23</v>
      </c>
      <c r="G1676" s="572">
        <v>5</v>
      </c>
      <c r="H1676" s="545">
        <v>115</v>
      </c>
      <c r="I1676" s="554" t="s">
        <v>9218</v>
      </c>
      <c r="J1676" s="554" t="s">
        <v>9219</v>
      </c>
      <c r="K1676" s="554" t="s">
        <v>9219</v>
      </c>
      <c r="L1676" s="537" t="s">
        <v>2354</v>
      </c>
    </row>
    <row r="1677" spans="1:12" x14ac:dyDescent="0.2">
      <c r="A1677" s="547" t="s">
        <v>220</v>
      </c>
      <c r="B1677" s="547" t="s">
        <v>2351</v>
      </c>
      <c r="C1677" s="554" t="s">
        <v>4145</v>
      </c>
      <c r="D1677" s="554" t="s">
        <v>4146</v>
      </c>
      <c r="E1677" s="554" t="s">
        <v>9585</v>
      </c>
      <c r="F1677" s="571">
        <v>22</v>
      </c>
      <c r="G1677" s="572">
        <v>0.26371428571428573</v>
      </c>
      <c r="H1677" s="545">
        <v>5.8017142857142865</v>
      </c>
      <c r="I1677" s="554" t="s">
        <v>9218</v>
      </c>
      <c r="J1677" s="554" t="s">
        <v>9219</v>
      </c>
      <c r="K1677" s="554" t="s">
        <v>9219</v>
      </c>
      <c r="L1677" s="537" t="s">
        <v>2354</v>
      </c>
    </row>
    <row r="1678" spans="1:12" x14ac:dyDescent="0.2">
      <c r="A1678" s="547" t="s">
        <v>220</v>
      </c>
      <c r="B1678" s="547" t="s">
        <v>2351</v>
      </c>
      <c r="C1678" s="554" t="s">
        <v>4147</v>
      </c>
      <c r="D1678" s="554" t="s">
        <v>4148</v>
      </c>
      <c r="E1678" s="554" t="s">
        <v>9585</v>
      </c>
      <c r="F1678" s="571">
        <v>28</v>
      </c>
      <c r="G1678" s="572">
        <v>1.067278911564626</v>
      </c>
      <c r="H1678" s="545">
        <v>29.883809523809525</v>
      </c>
      <c r="I1678" s="554" t="s">
        <v>9218</v>
      </c>
      <c r="J1678" s="554" t="s">
        <v>9219</v>
      </c>
      <c r="K1678" s="554" t="s">
        <v>9219</v>
      </c>
      <c r="L1678" s="537" t="s">
        <v>2354</v>
      </c>
    </row>
    <row r="1679" spans="1:12" x14ac:dyDescent="0.2">
      <c r="A1679" s="547" t="s">
        <v>220</v>
      </c>
      <c r="B1679" s="547" t="s">
        <v>2351</v>
      </c>
      <c r="C1679" s="554" t="s">
        <v>4149</v>
      </c>
      <c r="D1679" s="554" t="s">
        <v>4150</v>
      </c>
      <c r="E1679" s="554" t="s">
        <v>9585</v>
      </c>
      <c r="F1679" s="571">
        <v>22</v>
      </c>
      <c r="G1679" s="572">
        <v>1.116077922077922</v>
      </c>
      <c r="H1679" s="545">
        <v>24.553714285714285</v>
      </c>
      <c r="I1679" s="554" t="s">
        <v>9218</v>
      </c>
      <c r="J1679" s="554" t="s">
        <v>9219</v>
      </c>
      <c r="K1679" s="554" t="s">
        <v>9219</v>
      </c>
      <c r="L1679" s="537" t="s">
        <v>2354</v>
      </c>
    </row>
    <row r="1680" spans="1:12" x14ac:dyDescent="0.2">
      <c r="A1680" s="547" t="s">
        <v>220</v>
      </c>
      <c r="B1680" s="547" t="s">
        <v>2351</v>
      </c>
      <c r="C1680" s="554" t="s">
        <v>4151</v>
      </c>
      <c r="D1680" s="554" t="s">
        <v>4152</v>
      </c>
      <c r="E1680" s="554" t="s">
        <v>9585</v>
      </c>
      <c r="F1680" s="571">
        <v>48</v>
      </c>
      <c r="G1680" s="572">
        <v>1.72</v>
      </c>
      <c r="H1680" s="545">
        <v>82.56</v>
      </c>
      <c r="I1680" s="554" t="s">
        <v>9218</v>
      </c>
      <c r="J1680" s="554" t="s">
        <v>9219</v>
      </c>
      <c r="K1680" s="554" t="s">
        <v>9219</v>
      </c>
      <c r="L1680" s="537" t="s">
        <v>2354</v>
      </c>
    </row>
    <row r="1681" spans="1:12" x14ac:dyDescent="0.2">
      <c r="A1681" s="547" t="s">
        <v>220</v>
      </c>
      <c r="B1681" s="547" t="s">
        <v>2351</v>
      </c>
      <c r="C1681" s="554" t="s">
        <v>4153</v>
      </c>
      <c r="D1681" s="554" t="s">
        <v>4154</v>
      </c>
      <c r="E1681" s="554" t="s">
        <v>9585</v>
      </c>
      <c r="F1681" s="571">
        <v>28</v>
      </c>
      <c r="G1681" s="572">
        <v>15.270860000000003</v>
      </c>
      <c r="H1681" s="545">
        <v>427.58408000000009</v>
      </c>
      <c r="I1681" s="554" t="s">
        <v>9218</v>
      </c>
      <c r="J1681" s="554" t="s">
        <v>9219</v>
      </c>
      <c r="K1681" s="554" t="s">
        <v>9219</v>
      </c>
      <c r="L1681" s="537" t="s">
        <v>2354</v>
      </c>
    </row>
    <row r="1682" spans="1:12" x14ac:dyDescent="0.2">
      <c r="A1682" s="547" t="s">
        <v>220</v>
      </c>
      <c r="B1682" s="547" t="s">
        <v>2351</v>
      </c>
      <c r="C1682" s="554" t="s">
        <v>4155</v>
      </c>
      <c r="D1682" s="554" t="s">
        <v>4156</v>
      </c>
      <c r="E1682" s="554" t="s">
        <v>9585</v>
      </c>
      <c r="F1682" s="571">
        <v>15</v>
      </c>
      <c r="G1682" s="572">
        <v>1.2300627272727274</v>
      </c>
      <c r="H1682" s="545">
        <v>18.45094090909091</v>
      </c>
      <c r="I1682" s="554" t="s">
        <v>9218</v>
      </c>
      <c r="J1682" s="554" t="s">
        <v>9219</v>
      </c>
      <c r="K1682" s="554" t="s">
        <v>9219</v>
      </c>
      <c r="L1682" s="537" t="s">
        <v>2354</v>
      </c>
    </row>
    <row r="1683" spans="1:12" x14ac:dyDescent="0.2">
      <c r="A1683" s="547" t="s">
        <v>220</v>
      </c>
      <c r="B1683" s="547" t="s">
        <v>2351</v>
      </c>
      <c r="C1683" s="554" t="s">
        <v>4157</v>
      </c>
      <c r="D1683" s="554" t="s">
        <v>4158</v>
      </c>
      <c r="E1683" s="554" t="s">
        <v>9585</v>
      </c>
      <c r="F1683" s="571">
        <v>8</v>
      </c>
      <c r="G1683" s="572">
        <v>1.69939</v>
      </c>
      <c r="H1683" s="545">
        <v>13.59512</v>
      </c>
      <c r="I1683" s="554" t="s">
        <v>9218</v>
      </c>
      <c r="J1683" s="554" t="s">
        <v>9219</v>
      </c>
      <c r="K1683" s="554" t="s">
        <v>9219</v>
      </c>
      <c r="L1683" s="537" t="s">
        <v>2354</v>
      </c>
    </row>
    <row r="1684" spans="1:12" x14ac:dyDescent="0.2">
      <c r="A1684" s="547" t="s">
        <v>220</v>
      </c>
      <c r="B1684" s="547" t="s">
        <v>2351</v>
      </c>
      <c r="C1684" s="554" t="s">
        <v>4159</v>
      </c>
      <c r="D1684" s="554" t="s">
        <v>4160</v>
      </c>
      <c r="E1684" s="554" t="s">
        <v>9585</v>
      </c>
      <c r="F1684" s="571">
        <v>32</v>
      </c>
      <c r="G1684" s="572">
        <v>0.24224999999999997</v>
      </c>
      <c r="H1684" s="545">
        <v>7.7519999999999989</v>
      </c>
      <c r="I1684" s="554" t="s">
        <v>9218</v>
      </c>
      <c r="J1684" s="554" t="s">
        <v>9219</v>
      </c>
      <c r="K1684" s="554" t="s">
        <v>9219</v>
      </c>
      <c r="L1684" s="537" t="s">
        <v>2354</v>
      </c>
    </row>
    <row r="1685" spans="1:12" x14ac:dyDescent="0.2">
      <c r="A1685" s="547" t="s">
        <v>220</v>
      </c>
      <c r="B1685" s="547" t="s">
        <v>2351</v>
      </c>
      <c r="C1685" s="554" t="s">
        <v>4161</v>
      </c>
      <c r="D1685" s="554" t="s">
        <v>4162</v>
      </c>
      <c r="E1685" s="554" t="s">
        <v>9585</v>
      </c>
      <c r="F1685" s="571">
        <v>15</v>
      </c>
      <c r="G1685" s="572">
        <v>1.0888</v>
      </c>
      <c r="H1685" s="545">
        <v>16.332000000000001</v>
      </c>
      <c r="I1685" s="554" t="s">
        <v>9218</v>
      </c>
      <c r="J1685" s="554" t="s">
        <v>9219</v>
      </c>
      <c r="K1685" s="554" t="s">
        <v>9219</v>
      </c>
      <c r="L1685" s="537" t="s">
        <v>2354</v>
      </c>
    </row>
    <row r="1686" spans="1:12" x14ac:dyDescent="0.2">
      <c r="A1686" s="547" t="s">
        <v>220</v>
      </c>
      <c r="B1686" s="547" t="s">
        <v>2351</v>
      </c>
      <c r="C1686" s="554" t="s">
        <v>4163</v>
      </c>
      <c r="D1686" s="554" t="s">
        <v>4164</v>
      </c>
      <c r="E1686" s="554" t="s">
        <v>9585</v>
      </c>
      <c r="F1686" s="571">
        <v>2</v>
      </c>
      <c r="G1686" s="572">
        <v>50.750999999999998</v>
      </c>
      <c r="H1686" s="545">
        <v>101.502</v>
      </c>
      <c r="I1686" s="554" t="s">
        <v>9218</v>
      </c>
      <c r="J1686" s="554" t="s">
        <v>9219</v>
      </c>
      <c r="K1686" s="554" t="s">
        <v>9219</v>
      </c>
      <c r="L1686" s="537" t="s">
        <v>2354</v>
      </c>
    </row>
    <row r="1687" spans="1:12" x14ac:dyDescent="0.2">
      <c r="A1687" s="547" t="s">
        <v>220</v>
      </c>
      <c r="B1687" s="547" t="s">
        <v>2351</v>
      </c>
      <c r="C1687" s="554" t="s">
        <v>4165</v>
      </c>
      <c r="D1687" s="554" t="s">
        <v>4166</v>
      </c>
      <c r="E1687" s="554" t="s">
        <v>9585</v>
      </c>
      <c r="F1687" s="571">
        <v>1</v>
      </c>
      <c r="G1687" s="572">
        <v>77.048000000000002</v>
      </c>
      <c r="H1687" s="545">
        <v>77.048000000000002</v>
      </c>
      <c r="I1687" s="554" t="s">
        <v>9218</v>
      </c>
      <c r="J1687" s="554" t="s">
        <v>9219</v>
      </c>
      <c r="K1687" s="554" t="s">
        <v>9219</v>
      </c>
      <c r="L1687" s="537" t="s">
        <v>2354</v>
      </c>
    </row>
    <row r="1688" spans="1:12" x14ac:dyDescent="0.2">
      <c r="A1688" s="547" t="s">
        <v>220</v>
      </c>
      <c r="B1688" s="547" t="s">
        <v>2351</v>
      </c>
      <c r="C1688" s="554" t="s">
        <v>4167</v>
      </c>
      <c r="D1688" s="554" t="s">
        <v>4168</v>
      </c>
      <c r="E1688" s="554" t="s">
        <v>9585</v>
      </c>
      <c r="F1688" s="571">
        <v>4</v>
      </c>
      <c r="G1688" s="572">
        <v>83.283000000000001</v>
      </c>
      <c r="H1688" s="545">
        <v>333.13200000000001</v>
      </c>
      <c r="I1688" s="554" t="s">
        <v>9218</v>
      </c>
      <c r="J1688" s="554" t="s">
        <v>9219</v>
      </c>
      <c r="K1688" s="554" t="s">
        <v>9219</v>
      </c>
      <c r="L1688" s="537" t="s">
        <v>2354</v>
      </c>
    </row>
    <row r="1689" spans="1:12" x14ac:dyDescent="0.2">
      <c r="A1689" s="547" t="s">
        <v>220</v>
      </c>
      <c r="B1689" s="547" t="s">
        <v>2351</v>
      </c>
      <c r="C1689" s="554" t="s">
        <v>4169</v>
      </c>
      <c r="D1689" s="554" t="s">
        <v>4170</v>
      </c>
      <c r="E1689" s="554" t="s">
        <v>9585</v>
      </c>
      <c r="F1689" s="571">
        <v>12</v>
      </c>
      <c r="G1689" s="572">
        <v>2.2328999999999999</v>
      </c>
      <c r="H1689" s="545">
        <v>26.794799999999999</v>
      </c>
      <c r="I1689" s="554" t="s">
        <v>9218</v>
      </c>
      <c r="J1689" s="554" t="s">
        <v>9219</v>
      </c>
      <c r="K1689" s="554" t="s">
        <v>9219</v>
      </c>
      <c r="L1689" s="537" t="s">
        <v>2354</v>
      </c>
    </row>
    <row r="1690" spans="1:12" x14ac:dyDescent="0.2">
      <c r="A1690" s="547" t="s">
        <v>220</v>
      </c>
      <c r="B1690" s="547" t="s">
        <v>2351</v>
      </c>
      <c r="C1690" s="554" t="s">
        <v>4171</v>
      </c>
      <c r="D1690" s="554" t="s">
        <v>4172</v>
      </c>
      <c r="E1690" s="554" t="s">
        <v>9585</v>
      </c>
      <c r="F1690" s="573">
        <v>1</v>
      </c>
      <c r="G1690" s="545">
        <v>0</v>
      </c>
      <c r="H1690" s="545">
        <v>0</v>
      </c>
      <c r="I1690" s="554" t="s">
        <v>9218</v>
      </c>
      <c r="J1690" s="554" t="s">
        <v>9219</v>
      </c>
      <c r="K1690" s="554" t="s">
        <v>9219</v>
      </c>
      <c r="L1690" s="537" t="s">
        <v>2354</v>
      </c>
    </row>
    <row r="1691" spans="1:12" x14ac:dyDescent="0.2">
      <c r="A1691" s="547" t="s">
        <v>220</v>
      </c>
      <c r="B1691" s="547" t="s">
        <v>2351</v>
      </c>
      <c r="C1691" s="554" t="s">
        <v>4173</v>
      </c>
      <c r="D1691" s="554" t="s">
        <v>4174</v>
      </c>
      <c r="E1691" s="554" t="s">
        <v>9585</v>
      </c>
      <c r="F1691" s="571">
        <v>4</v>
      </c>
      <c r="G1691" s="572">
        <v>13</v>
      </c>
      <c r="H1691" s="545">
        <v>52</v>
      </c>
      <c r="I1691" s="554" t="s">
        <v>9218</v>
      </c>
      <c r="J1691" s="554" t="s">
        <v>9219</v>
      </c>
      <c r="K1691" s="554" t="s">
        <v>9219</v>
      </c>
      <c r="L1691" s="537" t="s">
        <v>2354</v>
      </c>
    </row>
    <row r="1692" spans="1:12" x14ac:dyDescent="0.2">
      <c r="A1692" s="547" t="s">
        <v>220</v>
      </c>
      <c r="B1692" s="547" t="s">
        <v>2351</v>
      </c>
      <c r="C1692" s="554" t="s">
        <v>4175</v>
      </c>
      <c r="D1692" s="554" t="s">
        <v>4176</v>
      </c>
      <c r="E1692" s="554" t="s">
        <v>9585</v>
      </c>
      <c r="F1692" s="571">
        <v>8</v>
      </c>
      <c r="G1692" s="572">
        <v>1.9125000000000001</v>
      </c>
      <c r="H1692" s="545">
        <v>15.3</v>
      </c>
      <c r="I1692" s="554" t="s">
        <v>9218</v>
      </c>
      <c r="J1692" s="554" t="s">
        <v>9219</v>
      </c>
      <c r="K1692" s="554" t="s">
        <v>9219</v>
      </c>
      <c r="L1692" s="537" t="s">
        <v>2354</v>
      </c>
    </row>
    <row r="1693" spans="1:12" x14ac:dyDescent="0.2">
      <c r="A1693" s="547" t="s">
        <v>220</v>
      </c>
      <c r="B1693" s="547" t="s">
        <v>2351</v>
      </c>
      <c r="C1693" s="554" t="s">
        <v>4177</v>
      </c>
      <c r="D1693" s="554" t="s">
        <v>4178</v>
      </c>
      <c r="E1693" s="554" t="s">
        <v>9585</v>
      </c>
      <c r="F1693" s="571">
        <v>2</v>
      </c>
      <c r="G1693" s="572">
        <v>9.6</v>
      </c>
      <c r="H1693" s="545">
        <v>19.2</v>
      </c>
      <c r="I1693" s="554" t="s">
        <v>9218</v>
      </c>
      <c r="J1693" s="554" t="s">
        <v>9219</v>
      </c>
      <c r="K1693" s="554" t="s">
        <v>9219</v>
      </c>
      <c r="L1693" s="537" t="s">
        <v>2354</v>
      </c>
    </row>
    <row r="1694" spans="1:12" x14ac:dyDescent="0.2">
      <c r="A1694" s="547" t="s">
        <v>220</v>
      </c>
      <c r="B1694" s="547" t="s">
        <v>2351</v>
      </c>
      <c r="C1694" s="554" t="s">
        <v>4179</v>
      </c>
      <c r="D1694" s="554" t="s">
        <v>4180</v>
      </c>
      <c r="E1694" s="554" t="s">
        <v>9585</v>
      </c>
      <c r="F1694" s="571">
        <v>14</v>
      </c>
      <c r="G1694" s="572">
        <v>0.2475</v>
      </c>
      <c r="H1694" s="545">
        <v>3.4649999999999999</v>
      </c>
      <c r="I1694" s="554" t="s">
        <v>9218</v>
      </c>
      <c r="J1694" s="554" t="s">
        <v>9219</v>
      </c>
      <c r="K1694" s="554" t="s">
        <v>9219</v>
      </c>
      <c r="L1694" s="537" t="s">
        <v>2354</v>
      </c>
    </row>
    <row r="1695" spans="1:12" x14ac:dyDescent="0.2">
      <c r="A1695" s="547" t="s">
        <v>220</v>
      </c>
      <c r="B1695" s="547" t="s">
        <v>2351</v>
      </c>
      <c r="C1695" s="554" t="s">
        <v>4181</v>
      </c>
      <c r="D1695" s="554" t="s">
        <v>4182</v>
      </c>
      <c r="E1695" s="554" t="s">
        <v>9585</v>
      </c>
      <c r="F1695" s="571">
        <v>32</v>
      </c>
      <c r="G1695" s="572">
        <v>0.5214545454545455</v>
      </c>
      <c r="H1695" s="545">
        <v>16.686545454545456</v>
      </c>
      <c r="I1695" s="554" t="s">
        <v>9218</v>
      </c>
      <c r="J1695" s="554" t="s">
        <v>9219</v>
      </c>
      <c r="K1695" s="554" t="s">
        <v>9219</v>
      </c>
      <c r="L1695" s="537" t="s">
        <v>2354</v>
      </c>
    </row>
    <row r="1696" spans="1:12" x14ac:dyDescent="0.2">
      <c r="A1696" s="547" t="s">
        <v>220</v>
      </c>
      <c r="B1696" s="547" t="s">
        <v>2351</v>
      </c>
      <c r="C1696" s="554" t="s">
        <v>4183</v>
      </c>
      <c r="D1696" s="554" t="s">
        <v>4184</v>
      </c>
      <c r="E1696" s="554" t="s">
        <v>9585</v>
      </c>
      <c r="F1696" s="571">
        <v>30</v>
      </c>
      <c r="G1696" s="572">
        <v>1.0245283018867923</v>
      </c>
      <c r="H1696" s="545">
        <v>30.735849056603769</v>
      </c>
      <c r="I1696" s="554" t="s">
        <v>9218</v>
      </c>
      <c r="J1696" s="554" t="s">
        <v>9219</v>
      </c>
      <c r="K1696" s="554" t="s">
        <v>9219</v>
      </c>
      <c r="L1696" s="537" t="s">
        <v>2354</v>
      </c>
    </row>
    <row r="1697" spans="1:12" x14ac:dyDescent="0.2">
      <c r="A1697" s="547" t="s">
        <v>220</v>
      </c>
      <c r="B1697" s="547" t="s">
        <v>2351</v>
      </c>
      <c r="C1697" s="554" t="s">
        <v>4185</v>
      </c>
      <c r="D1697" s="554" t="s">
        <v>4186</v>
      </c>
      <c r="E1697" s="554" t="s">
        <v>9585</v>
      </c>
      <c r="F1697" s="571">
        <v>2</v>
      </c>
      <c r="G1697" s="572">
        <v>0.63749999999999996</v>
      </c>
      <c r="H1697" s="545">
        <v>1.2749999999999999</v>
      </c>
      <c r="I1697" s="554" t="s">
        <v>9218</v>
      </c>
      <c r="J1697" s="554" t="s">
        <v>9219</v>
      </c>
      <c r="K1697" s="554" t="s">
        <v>9219</v>
      </c>
      <c r="L1697" s="537" t="s">
        <v>2354</v>
      </c>
    </row>
    <row r="1698" spans="1:12" x14ac:dyDescent="0.2">
      <c r="A1698" s="547" t="s">
        <v>220</v>
      </c>
      <c r="B1698" s="547" t="s">
        <v>2351</v>
      </c>
      <c r="C1698" s="554" t="s">
        <v>4187</v>
      </c>
      <c r="D1698" s="554" t="s">
        <v>4188</v>
      </c>
      <c r="E1698" s="554" t="s">
        <v>9585</v>
      </c>
      <c r="F1698" s="571">
        <v>5</v>
      </c>
      <c r="G1698" s="572">
        <v>0.52025434782608682</v>
      </c>
      <c r="H1698" s="545">
        <v>2.6012717391304339</v>
      </c>
      <c r="I1698" s="554" t="s">
        <v>9218</v>
      </c>
      <c r="J1698" s="554" t="s">
        <v>9219</v>
      </c>
      <c r="K1698" s="554" t="s">
        <v>9219</v>
      </c>
      <c r="L1698" s="537" t="s">
        <v>2354</v>
      </c>
    </row>
    <row r="1699" spans="1:12" x14ac:dyDescent="0.2">
      <c r="A1699" s="547" t="s">
        <v>220</v>
      </c>
      <c r="B1699" s="547" t="s">
        <v>2351</v>
      </c>
      <c r="C1699" s="554" t="s">
        <v>4189</v>
      </c>
      <c r="D1699" s="554" t="s">
        <v>4190</v>
      </c>
      <c r="E1699" s="554" t="s">
        <v>9585</v>
      </c>
      <c r="F1699" s="571">
        <v>12</v>
      </c>
      <c r="G1699" s="572">
        <v>0.184</v>
      </c>
      <c r="H1699" s="545">
        <v>2.2080000000000002</v>
      </c>
      <c r="I1699" s="554" t="s">
        <v>9218</v>
      </c>
      <c r="J1699" s="554" t="s">
        <v>9219</v>
      </c>
      <c r="K1699" s="554" t="s">
        <v>9219</v>
      </c>
      <c r="L1699" s="537" t="s">
        <v>2354</v>
      </c>
    </row>
    <row r="1700" spans="1:12" x14ac:dyDescent="0.2">
      <c r="A1700" s="547" t="s">
        <v>220</v>
      </c>
      <c r="B1700" s="547" t="s">
        <v>2351</v>
      </c>
      <c r="C1700" s="554" t="s">
        <v>4191</v>
      </c>
      <c r="D1700" s="554" t="s">
        <v>4192</v>
      </c>
      <c r="E1700" s="554" t="s">
        <v>9585</v>
      </c>
      <c r="F1700" s="571">
        <v>14</v>
      </c>
      <c r="G1700" s="572">
        <v>0.42415254237288136</v>
      </c>
      <c r="H1700" s="545">
        <v>5.9381355932203395</v>
      </c>
      <c r="I1700" s="554" t="s">
        <v>9218</v>
      </c>
      <c r="J1700" s="554" t="s">
        <v>9219</v>
      </c>
      <c r="K1700" s="554" t="s">
        <v>9219</v>
      </c>
      <c r="L1700" s="537" t="s">
        <v>2354</v>
      </c>
    </row>
    <row r="1701" spans="1:12" x14ac:dyDescent="0.2">
      <c r="A1701" s="547" t="s">
        <v>220</v>
      </c>
      <c r="B1701" s="547" t="s">
        <v>2351</v>
      </c>
      <c r="C1701" s="554" t="s">
        <v>4221</v>
      </c>
      <c r="D1701" s="554" t="s">
        <v>4222</v>
      </c>
      <c r="E1701" s="554" t="s">
        <v>9585</v>
      </c>
      <c r="F1701" s="571">
        <v>1</v>
      </c>
      <c r="G1701" s="572">
        <v>873.18</v>
      </c>
      <c r="H1701" s="545">
        <v>873.18</v>
      </c>
      <c r="I1701" s="554" t="s">
        <v>9218</v>
      </c>
      <c r="J1701" s="554" t="s">
        <v>9219</v>
      </c>
      <c r="K1701" s="554" t="s">
        <v>9219</v>
      </c>
      <c r="L1701" s="537" t="s">
        <v>2354</v>
      </c>
    </row>
    <row r="1702" spans="1:12" x14ac:dyDescent="0.2">
      <c r="A1702" s="547" t="s">
        <v>220</v>
      </c>
      <c r="B1702" s="547" t="s">
        <v>2351</v>
      </c>
      <c r="C1702" s="554" t="s">
        <v>4223</v>
      </c>
      <c r="D1702" s="554" t="s">
        <v>4224</v>
      </c>
      <c r="E1702" s="554" t="s">
        <v>9585</v>
      </c>
      <c r="F1702" s="571">
        <v>2</v>
      </c>
      <c r="G1702" s="572">
        <v>277.66694999999999</v>
      </c>
      <c r="H1702" s="545">
        <v>555.33389999999997</v>
      </c>
      <c r="I1702" s="554" t="s">
        <v>9218</v>
      </c>
      <c r="J1702" s="554" t="s">
        <v>9219</v>
      </c>
      <c r="K1702" s="554" t="s">
        <v>9219</v>
      </c>
      <c r="L1702" s="537" t="s">
        <v>2354</v>
      </c>
    </row>
    <row r="1703" spans="1:12" x14ac:dyDescent="0.2">
      <c r="A1703" s="547" t="s">
        <v>220</v>
      </c>
      <c r="B1703" s="547" t="s">
        <v>2351</v>
      </c>
      <c r="C1703" s="554" t="s">
        <v>4225</v>
      </c>
      <c r="D1703" s="554" t="s">
        <v>4226</v>
      </c>
      <c r="E1703" s="554" t="s">
        <v>9585</v>
      </c>
      <c r="F1703" s="571">
        <v>1</v>
      </c>
      <c r="G1703" s="572">
        <v>261.63</v>
      </c>
      <c r="H1703" s="545">
        <v>261.63</v>
      </c>
      <c r="I1703" s="554" t="s">
        <v>9218</v>
      </c>
      <c r="J1703" s="554" t="s">
        <v>9219</v>
      </c>
      <c r="K1703" s="554" t="s">
        <v>9219</v>
      </c>
      <c r="L1703" s="537" t="s">
        <v>2354</v>
      </c>
    </row>
    <row r="1704" spans="1:12" x14ac:dyDescent="0.2">
      <c r="A1704" s="547" t="s">
        <v>220</v>
      </c>
      <c r="B1704" s="547" t="s">
        <v>2351</v>
      </c>
      <c r="C1704" s="554" t="s">
        <v>4227</v>
      </c>
      <c r="D1704" s="554" t="s">
        <v>4228</v>
      </c>
      <c r="E1704" s="554" t="s">
        <v>9585</v>
      </c>
      <c r="F1704" s="571">
        <v>3</v>
      </c>
      <c r="G1704" s="572">
        <v>280</v>
      </c>
      <c r="H1704" s="545">
        <v>840</v>
      </c>
      <c r="I1704" s="554" t="s">
        <v>9218</v>
      </c>
      <c r="J1704" s="554" t="s">
        <v>9219</v>
      </c>
      <c r="K1704" s="554" t="s">
        <v>9219</v>
      </c>
      <c r="L1704" s="537" t="s">
        <v>2354</v>
      </c>
    </row>
    <row r="1705" spans="1:12" x14ac:dyDescent="0.2">
      <c r="A1705" s="547" t="s">
        <v>220</v>
      </c>
      <c r="B1705" s="547" t="s">
        <v>2351</v>
      </c>
      <c r="C1705" s="554" t="s">
        <v>4229</v>
      </c>
      <c r="D1705" s="554" t="s">
        <v>4230</v>
      </c>
      <c r="E1705" s="554" t="s">
        <v>9585</v>
      </c>
      <c r="F1705" s="571">
        <v>4</v>
      </c>
      <c r="G1705" s="572">
        <v>596.73599999999999</v>
      </c>
      <c r="H1705" s="545">
        <v>2386.944</v>
      </c>
      <c r="I1705" s="554" t="s">
        <v>9218</v>
      </c>
      <c r="J1705" s="554" t="s">
        <v>9219</v>
      </c>
      <c r="K1705" s="554" t="s">
        <v>9219</v>
      </c>
      <c r="L1705" s="537" t="s">
        <v>2354</v>
      </c>
    </row>
    <row r="1706" spans="1:12" x14ac:dyDescent="0.2">
      <c r="A1706" s="547" t="s">
        <v>220</v>
      </c>
      <c r="B1706" s="547" t="s">
        <v>2351</v>
      </c>
      <c r="C1706" s="554" t="s">
        <v>4231</v>
      </c>
      <c r="D1706" s="554" t="s">
        <v>4232</v>
      </c>
      <c r="E1706" s="554" t="s">
        <v>9585</v>
      </c>
      <c r="F1706" s="571">
        <v>1</v>
      </c>
      <c r="G1706" s="572">
        <v>596.73599999999999</v>
      </c>
      <c r="H1706" s="545">
        <v>596.73599999999999</v>
      </c>
      <c r="I1706" s="554" t="s">
        <v>9218</v>
      </c>
      <c r="J1706" s="554" t="s">
        <v>9219</v>
      </c>
      <c r="K1706" s="554" t="s">
        <v>9219</v>
      </c>
      <c r="L1706" s="537" t="s">
        <v>2354</v>
      </c>
    </row>
    <row r="1707" spans="1:12" x14ac:dyDescent="0.2">
      <c r="A1707" s="547" t="s">
        <v>220</v>
      </c>
      <c r="B1707" s="547" t="s">
        <v>2351</v>
      </c>
      <c r="C1707" s="554" t="s">
        <v>4233</v>
      </c>
      <c r="D1707" s="554" t="s">
        <v>4234</v>
      </c>
      <c r="E1707" s="554" t="s">
        <v>9585</v>
      </c>
      <c r="F1707" s="571">
        <v>2</v>
      </c>
      <c r="G1707" s="572">
        <v>54.978000000000002</v>
      </c>
      <c r="H1707" s="545">
        <v>109.956</v>
      </c>
      <c r="I1707" s="554" t="s">
        <v>9218</v>
      </c>
      <c r="J1707" s="554" t="s">
        <v>9219</v>
      </c>
      <c r="K1707" s="554" t="s">
        <v>9219</v>
      </c>
      <c r="L1707" s="537" t="s">
        <v>2354</v>
      </c>
    </row>
    <row r="1708" spans="1:12" x14ac:dyDescent="0.2">
      <c r="A1708" s="547" t="s">
        <v>220</v>
      </c>
      <c r="B1708" s="547" t="s">
        <v>2351</v>
      </c>
      <c r="C1708" s="554" t="s">
        <v>4235</v>
      </c>
      <c r="D1708" s="554" t="s">
        <v>4236</v>
      </c>
      <c r="E1708" s="554" t="s">
        <v>9585</v>
      </c>
      <c r="F1708" s="571">
        <v>2</v>
      </c>
      <c r="G1708" s="572">
        <v>7.0107999999999997</v>
      </c>
      <c r="H1708" s="545">
        <v>14.021599999999999</v>
      </c>
      <c r="I1708" s="554" t="s">
        <v>9218</v>
      </c>
      <c r="J1708" s="554" t="s">
        <v>9219</v>
      </c>
      <c r="K1708" s="554" t="s">
        <v>9219</v>
      </c>
      <c r="L1708" s="537" t="s">
        <v>2354</v>
      </c>
    </row>
    <row r="1709" spans="1:12" x14ac:dyDescent="0.2">
      <c r="A1709" s="547" t="s">
        <v>220</v>
      </c>
      <c r="B1709" s="547" t="s">
        <v>2351</v>
      </c>
      <c r="C1709" s="554" t="s">
        <v>4239</v>
      </c>
      <c r="D1709" s="554" t="s">
        <v>4240</v>
      </c>
      <c r="E1709" s="554" t="s">
        <v>9585</v>
      </c>
      <c r="F1709" s="571">
        <v>1</v>
      </c>
      <c r="G1709" s="572">
        <v>22.1464</v>
      </c>
      <c r="H1709" s="545">
        <v>22.1464</v>
      </c>
      <c r="I1709" s="554" t="s">
        <v>9218</v>
      </c>
      <c r="J1709" s="554" t="s">
        <v>9219</v>
      </c>
      <c r="K1709" s="554" t="s">
        <v>9219</v>
      </c>
      <c r="L1709" s="537" t="s">
        <v>2354</v>
      </c>
    </row>
    <row r="1710" spans="1:12" x14ac:dyDescent="0.2">
      <c r="A1710" s="547" t="s">
        <v>220</v>
      </c>
      <c r="B1710" s="547" t="s">
        <v>2351</v>
      </c>
      <c r="C1710" s="554" t="s">
        <v>4241</v>
      </c>
      <c r="D1710" s="554" t="s">
        <v>4242</v>
      </c>
      <c r="E1710" s="554" t="s">
        <v>9585</v>
      </c>
      <c r="F1710" s="571">
        <v>1</v>
      </c>
      <c r="G1710" s="572">
        <v>140.69019</v>
      </c>
      <c r="H1710" s="545">
        <v>140.69019</v>
      </c>
      <c r="I1710" s="554" t="s">
        <v>9218</v>
      </c>
      <c r="J1710" s="554" t="s">
        <v>9219</v>
      </c>
      <c r="K1710" s="554" t="s">
        <v>9219</v>
      </c>
      <c r="L1710" s="537" t="s">
        <v>2354</v>
      </c>
    </row>
    <row r="1711" spans="1:12" x14ac:dyDescent="0.2">
      <c r="A1711" s="547" t="s">
        <v>220</v>
      </c>
      <c r="B1711" s="547" t="s">
        <v>2351</v>
      </c>
      <c r="C1711" s="554" t="s">
        <v>4243</v>
      </c>
      <c r="D1711" s="554" t="s">
        <v>4244</v>
      </c>
      <c r="E1711" s="554" t="s">
        <v>9585</v>
      </c>
      <c r="F1711" s="571">
        <v>2</v>
      </c>
      <c r="G1711" s="572">
        <v>87.75</v>
      </c>
      <c r="H1711" s="545">
        <v>175.5</v>
      </c>
      <c r="I1711" s="554" t="s">
        <v>9218</v>
      </c>
      <c r="J1711" s="554" t="s">
        <v>9219</v>
      </c>
      <c r="K1711" s="554" t="s">
        <v>9219</v>
      </c>
      <c r="L1711" s="537" t="s">
        <v>2354</v>
      </c>
    </row>
    <row r="1712" spans="1:12" x14ac:dyDescent="0.2">
      <c r="A1712" s="547" t="s">
        <v>220</v>
      </c>
      <c r="B1712" s="547" t="s">
        <v>2351</v>
      </c>
      <c r="C1712" s="554" t="s">
        <v>9314</v>
      </c>
      <c r="D1712" s="554" t="s">
        <v>9315</v>
      </c>
      <c r="E1712" s="554" t="s">
        <v>545</v>
      </c>
      <c r="F1712" s="571">
        <v>2</v>
      </c>
      <c r="G1712" s="572">
        <v>23.5</v>
      </c>
      <c r="H1712" s="545">
        <v>47</v>
      </c>
      <c r="I1712" s="554" t="s">
        <v>9218</v>
      </c>
      <c r="J1712" s="554" t="s">
        <v>9219</v>
      </c>
      <c r="K1712" s="554" t="s">
        <v>9219</v>
      </c>
      <c r="L1712" s="537" t="s">
        <v>2354</v>
      </c>
    </row>
    <row r="1713" spans="1:12" x14ac:dyDescent="0.2">
      <c r="A1713" s="547" t="s">
        <v>220</v>
      </c>
      <c r="B1713" s="547" t="s">
        <v>2351</v>
      </c>
      <c r="C1713" s="554" t="s">
        <v>4245</v>
      </c>
      <c r="D1713" s="554" t="s">
        <v>4246</v>
      </c>
      <c r="E1713" s="554" t="s">
        <v>9585</v>
      </c>
      <c r="F1713" s="571">
        <v>9</v>
      </c>
      <c r="G1713" s="572">
        <v>17.094903703703704</v>
      </c>
      <c r="H1713" s="545">
        <v>153.85413333333332</v>
      </c>
      <c r="I1713" s="554" t="s">
        <v>9218</v>
      </c>
      <c r="J1713" s="554" t="s">
        <v>9219</v>
      </c>
      <c r="K1713" s="554" t="s">
        <v>9219</v>
      </c>
      <c r="L1713" s="537" t="s">
        <v>2354</v>
      </c>
    </row>
    <row r="1714" spans="1:12" x14ac:dyDescent="0.2">
      <c r="A1714" s="547" t="s">
        <v>220</v>
      </c>
      <c r="B1714" s="547" t="s">
        <v>2351</v>
      </c>
      <c r="C1714" s="554" t="s">
        <v>9316</v>
      </c>
      <c r="D1714" s="554" t="s">
        <v>9317</v>
      </c>
      <c r="E1714" s="554" t="s">
        <v>9585</v>
      </c>
      <c r="F1714" s="571">
        <v>3</v>
      </c>
      <c r="G1714" s="572">
        <v>80.75</v>
      </c>
      <c r="H1714" s="545">
        <v>242.25</v>
      </c>
      <c r="I1714" s="554" t="s">
        <v>9218</v>
      </c>
      <c r="J1714" s="554" t="s">
        <v>9219</v>
      </c>
      <c r="K1714" s="554" t="s">
        <v>9219</v>
      </c>
      <c r="L1714" s="537" t="s">
        <v>2354</v>
      </c>
    </row>
    <row r="1715" spans="1:12" x14ac:dyDescent="0.2">
      <c r="A1715" s="547" t="s">
        <v>220</v>
      </c>
      <c r="B1715" s="547" t="s">
        <v>2351</v>
      </c>
      <c r="C1715" s="554" t="s">
        <v>9318</v>
      </c>
      <c r="D1715" s="554" t="s">
        <v>9319</v>
      </c>
      <c r="E1715" s="554" t="s">
        <v>9585</v>
      </c>
      <c r="F1715" s="571">
        <v>3</v>
      </c>
      <c r="G1715" s="572">
        <v>82.08</v>
      </c>
      <c r="H1715" s="545">
        <v>246.24</v>
      </c>
      <c r="I1715" s="554" t="s">
        <v>9218</v>
      </c>
      <c r="J1715" s="554" t="s">
        <v>9219</v>
      </c>
      <c r="K1715" s="554" t="s">
        <v>9219</v>
      </c>
      <c r="L1715" s="537" t="s">
        <v>2354</v>
      </c>
    </row>
    <row r="1716" spans="1:12" x14ac:dyDescent="0.2">
      <c r="A1716" s="547" t="s">
        <v>220</v>
      </c>
      <c r="B1716" s="547" t="s">
        <v>2351</v>
      </c>
      <c r="C1716" s="554" t="s">
        <v>9320</v>
      </c>
      <c r="D1716" s="554" t="s">
        <v>9321</v>
      </c>
      <c r="E1716" s="554" t="s">
        <v>9585</v>
      </c>
      <c r="F1716" s="571">
        <v>3</v>
      </c>
      <c r="G1716" s="572">
        <v>85.5</v>
      </c>
      <c r="H1716" s="545">
        <v>256.5</v>
      </c>
      <c r="I1716" s="554" t="s">
        <v>9218</v>
      </c>
      <c r="J1716" s="554" t="s">
        <v>9219</v>
      </c>
      <c r="K1716" s="554" t="s">
        <v>9219</v>
      </c>
      <c r="L1716" s="537" t="s">
        <v>2354</v>
      </c>
    </row>
    <row r="1717" spans="1:12" x14ac:dyDescent="0.2">
      <c r="A1717" s="547" t="s">
        <v>220</v>
      </c>
      <c r="B1717" s="547" t="s">
        <v>2351</v>
      </c>
      <c r="C1717" s="554" t="s">
        <v>6889</v>
      </c>
      <c r="D1717" s="554" t="s">
        <v>9322</v>
      </c>
      <c r="E1717" s="554" t="s">
        <v>9585</v>
      </c>
      <c r="F1717" s="571">
        <v>3</v>
      </c>
      <c r="G1717" s="572">
        <v>89.1</v>
      </c>
      <c r="H1717" s="545">
        <v>267.29999999999995</v>
      </c>
      <c r="I1717" s="554" t="s">
        <v>9218</v>
      </c>
      <c r="J1717" s="554" t="s">
        <v>9219</v>
      </c>
      <c r="K1717" s="554" t="s">
        <v>9219</v>
      </c>
      <c r="L1717" s="537" t="s">
        <v>2354</v>
      </c>
    </row>
    <row r="1718" spans="1:12" x14ac:dyDescent="0.2">
      <c r="A1718" s="547" t="s">
        <v>220</v>
      </c>
      <c r="B1718" s="547" t="s">
        <v>2351</v>
      </c>
      <c r="C1718" s="554" t="s">
        <v>6885</v>
      </c>
      <c r="D1718" s="554" t="s">
        <v>9323</v>
      </c>
      <c r="E1718" s="554" t="s">
        <v>9585</v>
      </c>
      <c r="F1718" s="571">
        <v>3</v>
      </c>
      <c r="G1718" s="572">
        <v>108.682</v>
      </c>
      <c r="H1718" s="545">
        <v>326.04599999999999</v>
      </c>
      <c r="I1718" s="554" t="s">
        <v>9218</v>
      </c>
      <c r="J1718" s="554" t="s">
        <v>9219</v>
      </c>
      <c r="K1718" s="554" t="s">
        <v>9219</v>
      </c>
      <c r="L1718" s="537" t="s">
        <v>2354</v>
      </c>
    </row>
    <row r="1719" spans="1:12" x14ac:dyDescent="0.2">
      <c r="A1719" s="547" t="s">
        <v>220</v>
      </c>
      <c r="B1719" s="547" t="s">
        <v>2351</v>
      </c>
      <c r="C1719" s="554" t="s">
        <v>4247</v>
      </c>
      <c r="D1719" s="554" t="s">
        <v>4248</v>
      </c>
      <c r="E1719" s="554" t="s">
        <v>9585</v>
      </c>
      <c r="F1719" s="571">
        <v>2</v>
      </c>
      <c r="G1719" s="572">
        <v>82.8</v>
      </c>
      <c r="H1719" s="545">
        <v>165.6</v>
      </c>
      <c r="I1719" s="554" t="s">
        <v>9218</v>
      </c>
      <c r="J1719" s="554" t="s">
        <v>9219</v>
      </c>
      <c r="K1719" s="554" t="s">
        <v>9219</v>
      </c>
      <c r="L1719" s="537" t="s">
        <v>2354</v>
      </c>
    </row>
    <row r="1720" spans="1:12" x14ac:dyDescent="0.2">
      <c r="A1720" s="547" t="s">
        <v>220</v>
      </c>
      <c r="B1720" s="547" t="s">
        <v>2351</v>
      </c>
      <c r="C1720" s="554" t="s">
        <v>4249</v>
      </c>
      <c r="D1720" s="554" t="s">
        <v>4250</v>
      </c>
      <c r="E1720" s="554" t="s">
        <v>9585</v>
      </c>
      <c r="F1720" s="571">
        <v>3</v>
      </c>
      <c r="G1720" s="572">
        <v>76.388249999999999</v>
      </c>
      <c r="H1720" s="545">
        <v>229.16475</v>
      </c>
      <c r="I1720" s="554" t="s">
        <v>9218</v>
      </c>
      <c r="J1720" s="554" t="s">
        <v>9219</v>
      </c>
      <c r="K1720" s="554" t="s">
        <v>9219</v>
      </c>
      <c r="L1720" s="537" t="s">
        <v>2354</v>
      </c>
    </row>
    <row r="1721" spans="1:12" x14ac:dyDescent="0.2">
      <c r="A1721" s="547" t="s">
        <v>220</v>
      </c>
      <c r="B1721" s="547" t="s">
        <v>2351</v>
      </c>
      <c r="C1721" s="554" t="s">
        <v>4251</v>
      </c>
      <c r="D1721" s="554" t="s">
        <v>4252</v>
      </c>
      <c r="E1721" s="554" t="s">
        <v>9585</v>
      </c>
      <c r="F1721" s="571">
        <v>6</v>
      </c>
      <c r="G1721" s="572">
        <v>10.78735</v>
      </c>
      <c r="H1721" s="545">
        <v>64.724099999999993</v>
      </c>
      <c r="I1721" s="554" t="s">
        <v>9218</v>
      </c>
      <c r="J1721" s="554" t="s">
        <v>9219</v>
      </c>
      <c r="K1721" s="554" t="s">
        <v>9219</v>
      </c>
      <c r="L1721" s="537" t="s">
        <v>2354</v>
      </c>
    </row>
    <row r="1722" spans="1:12" x14ac:dyDescent="0.2">
      <c r="A1722" s="547" t="s">
        <v>220</v>
      </c>
      <c r="B1722" s="547" t="s">
        <v>2351</v>
      </c>
      <c r="C1722" s="554" t="s">
        <v>9324</v>
      </c>
      <c r="D1722" s="554" t="s">
        <v>9325</v>
      </c>
      <c r="E1722" s="554" t="s">
        <v>9585</v>
      </c>
      <c r="F1722" s="571">
        <v>2</v>
      </c>
      <c r="G1722" s="572">
        <v>35.6</v>
      </c>
      <c r="H1722" s="545">
        <v>71.2</v>
      </c>
      <c r="I1722" s="554" t="s">
        <v>9218</v>
      </c>
      <c r="J1722" s="554" t="s">
        <v>9219</v>
      </c>
      <c r="K1722" s="554" t="s">
        <v>9219</v>
      </c>
      <c r="L1722" s="537" t="s">
        <v>2354</v>
      </c>
    </row>
    <row r="1723" spans="1:12" x14ac:dyDescent="0.2">
      <c r="A1723" s="547" t="s">
        <v>220</v>
      </c>
      <c r="B1723" s="547" t="s">
        <v>2351</v>
      </c>
      <c r="C1723" s="554" t="s">
        <v>6887</v>
      </c>
      <c r="D1723" s="554" t="s">
        <v>9326</v>
      </c>
      <c r="E1723" s="554" t="s">
        <v>9585</v>
      </c>
      <c r="F1723" s="571">
        <v>4</v>
      </c>
      <c r="G1723" s="572">
        <v>10.228999999999999</v>
      </c>
      <c r="H1723" s="545">
        <v>40.915999999999997</v>
      </c>
      <c r="I1723" s="554" t="s">
        <v>9218</v>
      </c>
      <c r="J1723" s="554" t="s">
        <v>9219</v>
      </c>
      <c r="K1723" s="554" t="s">
        <v>9219</v>
      </c>
      <c r="L1723" s="537" t="s">
        <v>2354</v>
      </c>
    </row>
    <row r="1724" spans="1:12" x14ac:dyDescent="0.2">
      <c r="A1724" s="547" t="s">
        <v>220</v>
      </c>
      <c r="B1724" s="547" t="s">
        <v>2351</v>
      </c>
      <c r="C1724" s="554" t="s">
        <v>5406</v>
      </c>
      <c r="D1724" s="554" t="s">
        <v>9327</v>
      </c>
      <c r="E1724" s="554" t="s">
        <v>9585</v>
      </c>
      <c r="F1724" s="571">
        <v>2</v>
      </c>
      <c r="G1724" s="572">
        <v>30.321000000000002</v>
      </c>
      <c r="H1724" s="545">
        <v>60.642000000000003</v>
      </c>
      <c r="I1724" s="554" t="s">
        <v>9218</v>
      </c>
      <c r="J1724" s="554" t="s">
        <v>9219</v>
      </c>
      <c r="K1724" s="554" t="s">
        <v>9219</v>
      </c>
      <c r="L1724" s="537" t="s">
        <v>2354</v>
      </c>
    </row>
    <row r="1725" spans="1:12" x14ac:dyDescent="0.2">
      <c r="A1725" s="547" t="s">
        <v>220</v>
      </c>
      <c r="B1725" s="547" t="s">
        <v>2351</v>
      </c>
      <c r="C1725" s="554" t="s">
        <v>4257</v>
      </c>
      <c r="D1725" s="554" t="s">
        <v>4258</v>
      </c>
      <c r="E1725" s="554" t="s">
        <v>9585</v>
      </c>
      <c r="F1725" s="571">
        <v>1</v>
      </c>
      <c r="G1725" s="572">
        <v>60.252000000000002</v>
      </c>
      <c r="H1725" s="545">
        <v>60.252000000000002</v>
      </c>
      <c r="I1725" s="554" t="s">
        <v>9218</v>
      </c>
      <c r="J1725" s="554" t="s">
        <v>9219</v>
      </c>
      <c r="K1725" s="554" t="s">
        <v>9219</v>
      </c>
      <c r="L1725" s="537" t="s">
        <v>2354</v>
      </c>
    </row>
    <row r="1726" spans="1:12" x14ac:dyDescent="0.2">
      <c r="A1726" s="547" t="s">
        <v>220</v>
      </c>
      <c r="B1726" s="547" t="s">
        <v>2351</v>
      </c>
      <c r="C1726" s="554" t="s">
        <v>4259</v>
      </c>
      <c r="D1726" s="554" t="s">
        <v>4260</v>
      </c>
      <c r="E1726" s="554" t="s">
        <v>9585</v>
      </c>
      <c r="F1726" s="571">
        <v>12</v>
      </c>
      <c r="G1726" s="572">
        <v>10.932</v>
      </c>
      <c r="H1726" s="545">
        <v>131.184</v>
      </c>
      <c r="I1726" s="554" t="s">
        <v>9218</v>
      </c>
      <c r="J1726" s="554" t="s">
        <v>9219</v>
      </c>
      <c r="K1726" s="554" t="s">
        <v>9219</v>
      </c>
      <c r="L1726" s="537" t="s">
        <v>2354</v>
      </c>
    </row>
    <row r="1727" spans="1:12" x14ac:dyDescent="0.2">
      <c r="A1727" s="547" t="s">
        <v>220</v>
      </c>
      <c r="B1727" s="547" t="s">
        <v>2351</v>
      </c>
      <c r="C1727" s="554" t="s">
        <v>4261</v>
      </c>
      <c r="D1727" s="554" t="s">
        <v>4262</v>
      </c>
      <c r="E1727" s="554" t="s">
        <v>9585</v>
      </c>
      <c r="F1727" s="571">
        <v>1</v>
      </c>
      <c r="G1727" s="572">
        <v>90</v>
      </c>
      <c r="H1727" s="545">
        <v>90</v>
      </c>
      <c r="I1727" s="554" t="s">
        <v>9218</v>
      </c>
      <c r="J1727" s="554" t="s">
        <v>9219</v>
      </c>
      <c r="K1727" s="554" t="s">
        <v>9219</v>
      </c>
      <c r="L1727" s="537" t="s">
        <v>2354</v>
      </c>
    </row>
    <row r="1728" spans="1:12" x14ac:dyDescent="0.2">
      <c r="A1728" s="547" t="s">
        <v>220</v>
      </c>
      <c r="B1728" s="547" t="s">
        <v>2351</v>
      </c>
      <c r="C1728" s="554" t="s">
        <v>4265</v>
      </c>
      <c r="D1728" s="554" t="s">
        <v>4266</v>
      </c>
      <c r="E1728" s="554" t="s">
        <v>9585</v>
      </c>
      <c r="F1728" s="571">
        <v>2</v>
      </c>
      <c r="G1728" s="572">
        <v>16.091349999999998</v>
      </c>
      <c r="H1728" s="545">
        <v>32.182699999999997</v>
      </c>
      <c r="I1728" s="554" t="s">
        <v>9218</v>
      </c>
      <c r="J1728" s="554" t="s">
        <v>9219</v>
      </c>
      <c r="K1728" s="554" t="s">
        <v>9219</v>
      </c>
      <c r="L1728" s="537" t="s">
        <v>2354</v>
      </c>
    </row>
    <row r="1729" spans="1:12" x14ac:dyDescent="0.2">
      <c r="A1729" s="547" t="s">
        <v>220</v>
      </c>
      <c r="B1729" s="547" t="s">
        <v>2351</v>
      </c>
      <c r="C1729" s="554" t="s">
        <v>4267</v>
      </c>
      <c r="D1729" s="554" t="s">
        <v>4268</v>
      </c>
      <c r="E1729" s="554" t="s">
        <v>9585</v>
      </c>
      <c r="F1729" s="571">
        <v>11</v>
      </c>
      <c r="G1729" s="572">
        <v>30.50395</v>
      </c>
      <c r="H1729" s="545">
        <v>335.54345000000001</v>
      </c>
      <c r="I1729" s="554" t="s">
        <v>9218</v>
      </c>
      <c r="J1729" s="554" t="s">
        <v>9219</v>
      </c>
      <c r="K1729" s="554" t="s">
        <v>9219</v>
      </c>
      <c r="L1729" s="537" t="s">
        <v>2354</v>
      </c>
    </row>
    <row r="1730" spans="1:12" x14ac:dyDescent="0.2">
      <c r="A1730" s="547" t="s">
        <v>220</v>
      </c>
      <c r="B1730" s="547" t="s">
        <v>2351</v>
      </c>
      <c r="C1730" s="554" t="s">
        <v>4271</v>
      </c>
      <c r="D1730" s="554" t="s">
        <v>4272</v>
      </c>
      <c r="E1730" s="554" t="s">
        <v>9585</v>
      </c>
      <c r="F1730" s="571">
        <v>9</v>
      </c>
      <c r="G1730" s="572">
        <v>7.5906599999999997</v>
      </c>
      <c r="H1730" s="545">
        <v>68.315939999999998</v>
      </c>
      <c r="I1730" s="554" t="s">
        <v>9218</v>
      </c>
      <c r="J1730" s="554" t="s">
        <v>9219</v>
      </c>
      <c r="K1730" s="554" t="s">
        <v>9219</v>
      </c>
      <c r="L1730" s="537" t="s">
        <v>2354</v>
      </c>
    </row>
    <row r="1731" spans="1:12" x14ac:dyDescent="0.2">
      <c r="A1731" s="547" t="s">
        <v>220</v>
      </c>
      <c r="B1731" s="547" t="s">
        <v>2351</v>
      </c>
      <c r="C1731" s="554" t="s">
        <v>4275</v>
      </c>
      <c r="D1731" s="554" t="s">
        <v>4276</v>
      </c>
      <c r="E1731" s="554" t="s">
        <v>9585</v>
      </c>
      <c r="F1731" s="571">
        <v>3</v>
      </c>
      <c r="G1731" s="572">
        <v>85.5</v>
      </c>
      <c r="H1731" s="545">
        <v>256.5</v>
      </c>
      <c r="I1731" s="554" t="s">
        <v>9218</v>
      </c>
      <c r="J1731" s="554" t="s">
        <v>9219</v>
      </c>
      <c r="K1731" s="554" t="s">
        <v>9219</v>
      </c>
      <c r="L1731" s="537" t="s">
        <v>2354</v>
      </c>
    </row>
    <row r="1732" spans="1:12" x14ac:dyDescent="0.2">
      <c r="A1732" s="547" t="s">
        <v>220</v>
      </c>
      <c r="B1732" s="547" t="s">
        <v>2351</v>
      </c>
      <c r="C1732" s="554" t="s">
        <v>4277</v>
      </c>
      <c r="D1732" s="554" t="s">
        <v>4278</v>
      </c>
      <c r="E1732" s="554" t="s">
        <v>9585</v>
      </c>
      <c r="F1732" s="571">
        <v>1</v>
      </c>
      <c r="G1732" s="572">
        <v>87.75</v>
      </c>
      <c r="H1732" s="545">
        <v>87.75</v>
      </c>
      <c r="I1732" s="554" t="s">
        <v>9218</v>
      </c>
      <c r="J1732" s="554" t="s">
        <v>9219</v>
      </c>
      <c r="K1732" s="554" t="s">
        <v>9219</v>
      </c>
      <c r="L1732" s="537" t="s">
        <v>2354</v>
      </c>
    </row>
    <row r="1733" spans="1:12" x14ac:dyDescent="0.2">
      <c r="A1733" s="547" t="s">
        <v>220</v>
      </c>
      <c r="B1733" s="547" t="s">
        <v>2351</v>
      </c>
      <c r="C1733" s="554" t="s">
        <v>4279</v>
      </c>
      <c r="D1733" s="554" t="s">
        <v>4280</v>
      </c>
      <c r="E1733" s="554" t="s">
        <v>9585</v>
      </c>
      <c r="F1733" s="571">
        <v>3</v>
      </c>
      <c r="G1733" s="572">
        <v>114</v>
      </c>
      <c r="H1733" s="545">
        <v>342</v>
      </c>
      <c r="I1733" s="554" t="s">
        <v>9218</v>
      </c>
      <c r="J1733" s="554" t="s">
        <v>9219</v>
      </c>
      <c r="K1733" s="554" t="s">
        <v>9219</v>
      </c>
      <c r="L1733" s="537" t="s">
        <v>2354</v>
      </c>
    </row>
    <row r="1734" spans="1:12" x14ac:dyDescent="0.2">
      <c r="A1734" s="547" t="s">
        <v>220</v>
      </c>
      <c r="B1734" s="547" t="s">
        <v>2351</v>
      </c>
      <c r="C1734" s="554" t="s">
        <v>5406</v>
      </c>
      <c r="D1734" s="554" t="s">
        <v>5407</v>
      </c>
      <c r="E1734" s="554" t="s">
        <v>9585</v>
      </c>
      <c r="F1734" s="571">
        <v>2</v>
      </c>
      <c r="G1734" s="572">
        <v>166.898</v>
      </c>
      <c r="H1734" s="545">
        <v>333.79599999999999</v>
      </c>
      <c r="I1734" s="554" t="s">
        <v>9218</v>
      </c>
      <c r="J1734" s="554" t="s">
        <v>9219</v>
      </c>
      <c r="K1734" s="554" t="s">
        <v>9219</v>
      </c>
      <c r="L1734" s="537" t="s">
        <v>2354</v>
      </c>
    </row>
    <row r="1735" spans="1:12" x14ac:dyDescent="0.2">
      <c r="A1735" s="547" t="s">
        <v>220</v>
      </c>
      <c r="B1735" s="547" t="s">
        <v>2351</v>
      </c>
      <c r="C1735" s="554" t="s">
        <v>4281</v>
      </c>
      <c r="D1735" s="554" t="s">
        <v>4282</v>
      </c>
      <c r="E1735" s="554" t="s">
        <v>9585</v>
      </c>
      <c r="F1735" s="571">
        <v>3</v>
      </c>
      <c r="G1735" s="572">
        <v>129</v>
      </c>
      <c r="H1735" s="545">
        <v>387</v>
      </c>
      <c r="I1735" s="554" t="s">
        <v>9218</v>
      </c>
      <c r="J1735" s="554" t="s">
        <v>9219</v>
      </c>
      <c r="K1735" s="554" t="s">
        <v>9219</v>
      </c>
      <c r="L1735" s="537" t="s">
        <v>2354</v>
      </c>
    </row>
    <row r="1736" spans="1:12" x14ac:dyDescent="0.2">
      <c r="A1736" s="547" t="s">
        <v>220</v>
      </c>
      <c r="B1736" s="547" t="s">
        <v>2351</v>
      </c>
      <c r="C1736" s="554" t="s">
        <v>4285</v>
      </c>
      <c r="D1736" s="554" t="s">
        <v>4286</v>
      </c>
      <c r="E1736" s="554" t="s">
        <v>9585</v>
      </c>
      <c r="F1736" s="571">
        <v>1</v>
      </c>
      <c r="G1736" s="572">
        <v>77.400000000000006</v>
      </c>
      <c r="H1736" s="545">
        <v>77.400000000000006</v>
      </c>
      <c r="I1736" s="554" t="s">
        <v>9218</v>
      </c>
      <c r="J1736" s="554" t="s">
        <v>9219</v>
      </c>
      <c r="K1736" s="554" t="s">
        <v>9219</v>
      </c>
      <c r="L1736" s="537" t="s">
        <v>2354</v>
      </c>
    </row>
    <row r="1737" spans="1:12" x14ac:dyDescent="0.2">
      <c r="A1737" s="547" t="s">
        <v>220</v>
      </c>
      <c r="B1737" s="547" t="s">
        <v>2351</v>
      </c>
      <c r="C1737" s="554" t="s">
        <v>4287</v>
      </c>
      <c r="D1737" s="554" t="s">
        <v>4288</v>
      </c>
      <c r="E1737" s="554" t="s">
        <v>9585</v>
      </c>
      <c r="F1737" s="571">
        <v>10</v>
      </c>
      <c r="G1737" s="572">
        <v>317.63200000000001</v>
      </c>
      <c r="H1737" s="545">
        <v>3176.32</v>
      </c>
      <c r="I1737" s="554" t="s">
        <v>9218</v>
      </c>
      <c r="J1737" s="554" t="s">
        <v>9219</v>
      </c>
      <c r="K1737" s="554" t="s">
        <v>9219</v>
      </c>
      <c r="L1737" s="537" t="s">
        <v>2354</v>
      </c>
    </row>
    <row r="1738" spans="1:12" x14ac:dyDescent="0.2">
      <c r="A1738" s="547" t="s">
        <v>220</v>
      </c>
      <c r="B1738" s="547" t="s">
        <v>2351</v>
      </c>
      <c r="C1738" s="554" t="s">
        <v>4289</v>
      </c>
      <c r="D1738" s="554" t="s">
        <v>4290</v>
      </c>
      <c r="E1738" s="554" t="s">
        <v>9585</v>
      </c>
      <c r="F1738" s="571">
        <v>4</v>
      </c>
      <c r="G1738" s="572">
        <v>130.5</v>
      </c>
      <c r="H1738" s="545">
        <v>522</v>
      </c>
      <c r="I1738" s="554" t="s">
        <v>9218</v>
      </c>
      <c r="J1738" s="554" t="s">
        <v>9219</v>
      </c>
      <c r="K1738" s="554" t="s">
        <v>9219</v>
      </c>
      <c r="L1738" s="537" t="s">
        <v>2354</v>
      </c>
    </row>
    <row r="1739" spans="1:12" x14ac:dyDescent="0.2">
      <c r="A1739" s="547" t="s">
        <v>220</v>
      </c>
      <c r="B1739" s="547" t="s">
        <v>2351</v>
      </c>
      <c r="C1739" s="554" t="s">
        <v>4291</v>
      </c>
      <c r="D1739" s="554" t="s">
        <v>4292</v>
      </c>
      <c r="E1739" s="554" t="s">
        <v>9585</v>
      </c>
      <c r="F1739" s="571">
        <v>5</v>
      </c>
      <c r="G1739" s="572">
        <v>127.7907</v>
      </c>
      <c r="H1739" s="545">
        <v>638.95349999999996</v>
      </c>
      <c r="I1739" s="554" t="s">
        <v>9218</v>
      </c>
      <c r="J1739" s="554" t="s">
        <v>9219</v>
      </c>
      <c r="K1739" s="554" t="s">
        <v>9219</v>
      </c>
      <c r="L1739" s="537" t="s">
        <v>2354</v>
      </c>
    </row>
    <row r="1740" spans="1:12" x14ac:dyDescent="0.2">
      <c r="A1740" s="547" t="s">
        <v>220</v>
      </c>
      <c r="B1740" s="547" t="s">
        <v>2351</v>
      </c>
      <c r="C1740" s="554" t="s">
        <v>4295</v>
      </c>
      <c r="D1740" s="554" t="s">
        <v>4296</v>
      </c>
      <c r="E1740" s="554" t="s">
        <v>9585</v>
      </c>
      <c r="F1740" s="571">
        <v>6</v>
      </c>
      <c r="G1740" s="572">
        <v>85.5</v>
      </c>
      <c r="H1740" s="545">
        <v>513</v>
      </c>
      <c r="I1740" s="554" t="s">
        <v>9218</v>
      </c>
      <c r="J1740" s="554" t="s">
        <v>9219</v>
      </c>
      <c r="K1740" s="554" t="s">
        <v>9219</v>
      </c>
      <c r="L1740" s="537" t="s">
        <v>2354</v>
      </c>
    </row>
    <row r="1741" spans="1:12" x14ac:dyDescent="0.2">
      <c r="A1741" s="547" t="s">
        <v>220</v>
      </c>
      <c r="B1741" s="547" t="s">
        <v>2351</v>
      </c>
      <c r="C1741" s="554" t="s">
        <v>4297</v>
      </c>
      <c r="D1741" s="554" t="s">
        <v>4298</v>
      </c>
      <c r="E1741" s="554" t="s">
        <v>9585</v>
      </c>
      <c r="F1741" s="571">
        <v>4</v>
      </c>
      <c r="G1741" s="572">
        <v>113.22</v>
      </c>
      <c r="H1741" s="545">
        <v>452.88</v>
      </c>
      <c r="I1741" s="554" t="s">
        <v>9218</v>
      </c>
      <c r="J1741" s="554" t="s">
        <v>9219</v>
      </c>
      <c r="K1741" s="554" t="s">
        <v>9219</v>
      </c>
      <c r="L1741" s="537" t="s">
        <v>2354</v>
      </c>
    </row>
    <row r="1742" spans="1:12" x14ac:dyDescent="0.2">
      <c r="A1742" s="547" t="s">
        <v>220</v>
      </c>
      <c r="B1742" s="547" t="s">
        <v>2351</v>
      </c>
      <c r="C1742" s="554" t="s">
        <v>4299</v>
      </c>
      <c r="D1742" s="554" t="s">
        <v>4300</v>
      </c>
      <c r="E1742" s="554" t="s">
        <v>9585</v>
      </c>
      <c r="F1742" s="571">
        <v>7</v>
      </c>
      <c r="G1742" s="572">
        <v>128.89876666666666</v>
      </c>
      <c r="H1742" s="545">
        <v>902.29136666666659</v>
      </c>
      <c r="I1742" s="554" t="s">
        <v>9218</v>
      </c>
      <c r="J1742" s="554" t="s">
        <v>9219</v>
      </c>
      <c r="K1742" s="554" t="s">
        <v>9219</v>
      </c>
      <c r="L1742" s="537" t="s">
        <v>2354</v>
      </c>
    </row>
    <row r="1743" spans="1:12" x14ac:dyDescent="0.2">
      <c r="A1743" s="547" t="s">
        <v>220</v>
      </c>
      <c r="B1743" s="547" t="s">
        <v>2351</v>
      </c>
      <c r="C1743" s="554" t="s">
        <v>4301</v>
      </c>
      <c r="D1743" s="554" t="s">
        <v>4302</v>
      </c>
      <c r="E1743" s="554" t="s">
        <v>9585</v>
      </c>
      <c r="F1743" s="571">
        <v>3</v>
      </c>
      <c r="G1743" s="572">
        <v>162.44999999999999</v>
      </c>
      <c r="H1743" s="545">
        <v>487.34999999999997</v>
      </c>
      <c r="I1743" s="554" t="s">
        <v>9218</v>
      </c>
      <c r="J1743" s="554" t="s">
        <v>9219</v>
      </c>
      <c r="K1743" s="554" t="s">
        <v>9219</v>
      </c>
      <c r="L1743" s="537" t="s">
        <v>2354</v>
      </c>
    </row>
    <row r="1744" spans="1:12" x14ac:dyDescent="0.2">
      <c r="A1744" s="547" t="s">
        <v>220</v>
      </c>
      <c r="B1744" s="547" t="s">
        <v>2351</v>
      </c>
      <c r="C1744" s="554" t="s">
        <v>4303</v>
      </c>
      <c r="D1744" s="554" t="s">
        <v>4304</v>
      </c>
      <c r="E1744" s="554" t="s">
        <v>9585</v>
      </c>
      <c r="F1744" s="571">
        <v>6</v>
      </c>
      <c r="G1744" s="572">
        <v>85.5</v>
      </c>
      <c r="H1744" s="545">
        <v>513</v>
      </c>
      <c r="I1744" s="554" t="s">
        <v>9218</v>
      </c>
      <c r="J1744" s="554" t="s">
        <v>9219</v>
      </c>
      <c r="K1744" s="554" t="s">
        <v>9219</v>
      </c>
      <c r="L1744" s="537" t="s">
        <v>2354</v>
      </c>
    </row>
    <row r="1745" spans="1:12" x14ac:dyDescent="0.2">
      <c r="A1745" s="547" t="s">
        <v>220</v>
      </c>
      <c r="B1745" s="547" t="s">
        <v>2351</v>
      </c>
      <c r="C1745" s="554" t="s">
        <v>4305</v>
      </c>
      <c r="D1745" s="554" t="s">
        <v>4306</v>
      </c>
      <c r="E1745" s="554" t="s">
        <v>9585</v>
      </c>
      <c r="F1745" s="571">
        <v>2</v>
      </c>
      <c r="G1745" s="572">
        <v>52.7624</v>
      </c>
      <c r="H1745" s="545">
        <v>105.5248</v>
      </c>
      <c r="I1745" s="554" t="s">
        <v>9218</v>
      </c>
      <c r="J1745" s="554" t="s">
        <v>9219</v>
      </c>
      <c r="K1745" s="554" t="s">
        <v>9219</v>
      </c>
      <c r="L1745" s="537" t="s">
        <v>2354</v>
      </c>
    </row>
    <row r="1746" spans="1:12" x14ac:dyDescent="0.2">
      <c r="A1746" s="547" t="s">
        <v>220</v>
      </c>
      <c r="B1746" s="547" t="s">
        <v>2351</v>
      </c>
      <c r="C1746" s="554" t="s">
        <v>4307</v>
      </c>
      <c r="D1746" s="554" t="s">
        <v>4308</v>
      </c>
      <c r="E1746" s="554" t="s">
        <v>9585</v>
      </c>
      <c r="F1746" s="571">
        <v>2</v>
      </c>
      <c r="G1746" s="572">
        <v>94.5</v>
      </c>
      <c r="H1746" s="545">
        <v>189</v>
      </c>
      <c r="I1746" s="554" t="s">
        <v>9218</v>
      </c>
      <c r="J1746" s="554" t="s">
        <v>9219</v>
      </c>
      <c r="K1746" s="554" t="s">
        <v>9219</v>
      </c>
      <c r="L1746" s="537" t="s">
        <v>2354</v>
      </c>
    </row>
    <row r="1747" spans="1:12" x14ac:dyDescent="0.2">
      <c r="A1747" s="547" t="s">
        <v>220</v>
      </c>
      <c r="B1747" s="547" t="s">
        <v>2351</v>
      </c>
      <c r="C1747" s="554" t="s">
        <v>4309</v>
      </c>
      <c r="D1747" s="554" t="s">
        <v>4310</v>
      </c>
      <c r="E1747" s="554" t="s">
        <v>9585</v>
      </c>
      <c r="F1747" s="571">
        <v>10</v>
      </c>
      <c r="G1747" s="572">
        <v>202.61458000000002</v>
      </c>
      <c r="H1747" s="545">
        <v>2026.1458000000002</v>
      </c>
      <c r="I1747" s="554" t="s">
        <v>9218</v>
      </c>
      <c r="J1747" s="554" t="s">
        <v>9219</v>
      </c>
      <c r="K1747" s="554" t="s">
        <v>9219</v>
      </c>
      <c r="L1747" s="537" t="s">
        <v>2354</v>
      </c>
    </row>
    <row r="1748" spans="1:12" x14ac:dyDescent="0.2">
      <c r="A1748" s="547" t="s">
        <v>220</v>
      </c>
      <c r="B1748" s="547" t="s">
        <v>2351</v>
      </c>
      <c r="C1748" s="554" t="s">
        <v>4311</v>
      </c>
      <c r="D1748" s="554" t="s">
        <v>4312</v>
      </c>
      <c r="E1748" s="554" t="s">
        <v>9585</v>
      </c>
      <c r="F1748" s="571">
        <v>8</v>
      </c>
      <c r="G1748" s="572">
        <v>88.56</v>
      </c>
      <c r="H1748" s="545">
        <v>708.48</v>
      </c>
      <c r="I1748" s="554" t="s">
        <v>9218</v>
      </c>
      <c r="J1748" s="554" t="s">
        <v>9219</v>
      </c>
      <c r="K1748" s="554" t="s">
        <v>9219</v>
      </c>
      <c r="L1748" s="537" t="s">
        <v>2354</v>
      </c>
    </row>
    <row r="1749" spans="1:12" x14ac:dyDescent="0.2">
      <c r="A1749" s="547" t="s">
        <v>220</v>
      </c>
      <c r="B1749" s="547" t="s">
        <v>2351</v>
      </c>
      <c r="C1749" s="554" t="s">
        <v>4313</v>
      </c>
      <c r="D1749" s="554" t="s">
        <v>4314</v>
      </c>
      <c r="E1749" s="554" t="s">
        <v>9585</v>
      </c>
      <c r="F1749" s="571">
        <v>27</v>
      </c>
      <c r="G1749" s="572">
        <v>193.09365</v>
      </c>
      <c r="H1749" s="545">
        <v>5213.52855</v>
      </c>
      <c r="I1749" s="554" t="s">
        <v>9218</v>
      </c>
      <c r="J1749" s="554" t="s">
        <v>9219</v>
      </c>
      <c r="K1749" s="554" t="s">
        <v>9219</v>
      </c>
      <c r="L1749" s="537" t="s">
        <v>2354</v>
      </c>
    </row>
    <row r="1750" spans="1:12" x14ac:dyDescent="0.2">
      <c r="A1750" s="547" t="s">
        <v>220</v>
      </c>
      <c r="B1750" s="547" t="s">
        <v>2351</v>
      </c>
      <c r="C1750" s="554" t="s">
        <v>4315</v>
      </c>
      <c r="D1750" s="554" t="s">
        <v>4316</v>
      </c>
      <c r="E1750" s="554" t="s">
        <v>9585</v>
      </c>
      <c r="F1750" s="571">
        <v>14</v>
      </c>
      <c r="G1750" s="572">
        <v>78.825450000000004</v>
      </c>
      <c r="H1750" s="545">
        <v>1103.5563</v>
      </c>
      <c r="I1750" s="554" t="s">
        <v>9218</v>
      </c>
      <c r="J1750" s="554" t="s">
        <v>9219</v>
      </c>
      <c r="K1750" s="554" t="s">
        <v>9219</v>
      </c>
      <c r="L1750" s="537" t="s">
        <v>2354</v>
      </c>
    </row>
    <row r="1751" spans="1:12" x14ac:dyDescent="0.2">
      <c r="A1751" s="547" t="s">
        <v>220</v>
      </c>
      <c r="B1751" s="547" t="s">
        <v>2351</v>
      </c>
      <c r="C1751" s="554" t="s">
        <v>4317</v>
      </c>
      <c r="D1751" s="554" t="s">
        <v>4318</v>
      </c>
      <c r="E1751" s="554" t="s">
        <v>9585</v>
      </c>
      <c r="F1751" s="571">
        <v>20</v>
      </c>
      <c r="G1751" s="572">
        <v>195.41329999999999</v>
      </c>
      <c r="H1751" s="545">
        <v>3908.2659999999996</v>
      </c>
      <c r="I1751" s="554" t="s">
        <v>9218</v>
      </c>
      <c r="J1751" s="554" t="s">
        <v>9219</v>
      </c>
      <c r="K1751" s="554" t="s">
        <v>9219</v>
      </c>
      <c r="L1751" s="537" t="s">
        <v>2354</v>
      </c>
    </row>
    <row r="1752" spans="1:12" x14ac:dyDescent="0.2">
      <c r="A1752" s="547" t="s">
        <v>220</v>
      </c>
      <c r="B1752" s="547" t="s">
        <v>2351</v>
      </c>
      <c r="C1752" s="554" t="s">
        <v>4323</v>
      </c>
      <c r="D1752" s="554" t="s">
        <v>9328</v>
      </c>
      <c r="E1752" s="554" t="s">
        <v>9585</v>
      </c>
      <c r="F1752" s="573">
        <v>5</v>
      </c>
      <c r="G1752" s="545">
        <v>0</v>
      </c>
      <c r="H1752" s="545">
        <v>0</v>
      </c>
      <c r="I1752" s="554" t="s">
        <v>9218</v>
      </c>
      <c r="J1752" s="554" t="s">
        <v>9219</v>
      </c>
      <c r="K1752" s="554" t="s">
        <v>9219</v>
      </c>
      <c r="L1752" s="537" t="s">
        <v>2354</v>
      </c>
    </row>
    <row r="1753" spans="1:12" x14ac:dyDescent="0.2">
      <c r="A1753" s="547" t="s">
        <v>220</v>
      </c>
      <c r="B1753" s="547" t="s">
        <v>2351</v>
      </c>
      <c r="C1753" s="554" t="s">
        <v>9329</v>
      </c>
      <c r="D1753" s="554" t="s">
        <v>9330</v>
      </c>
      <c r="E1753" s="554" t="s">
        <v>9585</v>
      </c>
      <c r="F1753" s="573">
        <v>2</v>
      </c>
      <c r="G1753" s="545">
        <v>0</v>
      </c>
      <c r="H1753" s="545">
        <v>0</v>
      </c>
      <c r="I1753" s="554" t="s">
        <v>9218</v>
      </c>
      <c r="J1753" s="554" t="s">
        <v>9219</v>
      </c>
      <c r="K1753" s="554" t="s">
        <v>9219</v>
      </c>
      <c r="L1753" s="537" t="s">
        <v>2354</v>
      </c>
    </row>
    <row r="1754" spans="1:12" x14ac:dyDescent="0.2">
      <c r="A1754" s="547" t="s">
        <v>220</v>
      </c>
      <c r="B1754" s="547" t="s">
        <v>2351</v>
      </c>
      <c r="C1754" s="554" t="s">
        <v>4319</v>
      </c>
      <c r="D1754" s="554" t="s">
        <v>4320</v>
      </c>
      <c r="E1754" s="554" t="s">
        <v>9585</v>
      </c>
      <c r="F1754" s="571">
        <v>4</v>
      </c>
      <c r="G1754" s="572">
        <v>241.45999</v>
      </c>
      <c r="H1754" s="545">
        <v>965.83996000000002</v>
      </c>
      <c r="I1754" s="554" t="s">
        <v>9218</v>
      </c>
      <c r="J1754" s="554" t="s">
        <v>9219</v>
      </c>
      <c r="K1754" s="554" t="s">
        <v>9219</v>
      </c>
      <c r="L1754" s="537" t="s">
        <v>2354</v>
      </c>
    </row>
    <row r="1755" spans="1:12" x14ac:dyDescent="0.2">
      <c r="A1755" s="547" t="s">
        <v>220</v>
      </c>
      <c r="B1755" s="547" t="s">
        <v>2351</v>
      </c>
      <c r="C1755" s="554" t="s">
        <v>4321</v>
      </c>
      <c r="D1755" s="554" t="s">
        <v>4322</v>
      </c>
      <c r="E1755" s="554" t="s">
        <v>9585</v>
      </c>
      <c r="F1755" s="571">
        <v>9</v>
      </c>
      <c r="G1755" s="572">
        <v>95.04</v>
      </c>
      <c r="H1755" s="545">
        <v>855.36</v>
      </c>
      <c r="I1755" s="554" t="s">
        <v>9218</v>
      </c>
      <c r="J1755" s="554" t="s">
        <v>9219</v>
      </c>
      <c r="K1755" s="554" t="s">
        <v>9219</v>
      </c>
      <c r="L1755" s="537" t="s">
        <v>2354</v>
      </c>
    </row>
    <row r="1756" spans="1:12" x14ac:dyDescent="0.2">
      <c r="A1756" s="547" t="s">
        <v>220</v>
      </c>
      <c r="B1756" s="547" t="s">
        <v>2351</v>
      </c>
      <c r="C1756" s="554" t="s">
        <v>9331</v>
      </c>
      <c r="D1756" s="554" t="s">
        <v>9332</v>
      </c>
      <c r="E1756" s="554" t="s">
        <v>9585</v>
      </c>
      <c r="F1756" s="571">
        <v>2</v>
      </c>
      <c r="G1756" s="572">
        <v>120</v>
      </c>
      <c r="H1756" s="545">
        <v>240</v>
      </c>
      <c r="I1756" s="554" t="s">
        <v>9218</v>
      </c>
      <c r="J1756" s="554" t="s">
        <v>9219</v>
      </c>
      <c r="K1756" s="554" t="s">
        <v>9219</v>
      </c>
      <c r="L1756" s="537" t="s">
        <v>2354</v>
      </c>
    </row>
    <row r="1757" spans="1:12" x14ac:dyDescent="0.2">
      <c r="A1757" s="547" t="s">
        <v>220</v>
      </c>
      <c r="B1757" s="547" t="s">
        <v>2351</v>
      </c>
      <c r="C1757" s="554" t="s">
        <v>4323</v>
      </c>
      <c r="D1757" s="554" t="s">
        <v>4324</v>
      </c>
      <c r="E1757" s="554" t="s">
        <v>9585</v>
      </c>
      <c r="F1757" s="571">
        <v>5</v>
      </c>
      <c r="G1757" s="572">
        <v>75.246250000000003</v>
      </c>
      <c r="H1757" s="545">
        <v>376.23125000000005</v>
      </c>
      <c r="I1757" s="554" t="s">
        <v>9218</v>
      </c>
      <c r="J1757" s="554" t="s">
        <v>9219</v>
      </c>
      <c r="K1757" s="554" t="s">
        <v>9219</v>
      </c>
      <c r="L1757" s="537" t="s">
        <v>2354</v>
      </c>
    </row>
    <row r="1758" spans="1:12" x14ac:dyDescent="0.2">
      <c r="A1758" s="547" t="s">
        <v>220</v>
      </c>
      <c r="B1758" s="547" t="s">
        <v>2351</v>
      </c>
      <c r="C1758" s="554" t="s">
        <v>4325</v>
      </c>
      <c r="D1758" s="554" t="s">
        <v>4326</v>
      </c>
      <c r="E1758" s="554" t="s">
        <v>9585</v>
      </c>
      <c r="F1758" s="571">
        <v>25</v>
      </c>
      <c r="G1758" s="572">
        <v>122.26655</v>
      </c>
      <c r="H1758" s="545">
        <v>3056.6637499999997</v>
      </c>
      <c r="I1758" s="554" t="s">
        <v>9218</v>
      </c>
      <c r="J1758" s="554" t="s">
        <v>9219</v>
      </c>
      <c r="K1758" s="554" t="s">
        <v>9219</v>
      </c>
      <c r="L1758" s="537" t="s">
        <v>2354</v>
      </c>
    </row>
    <row r="1759" spans="1:12" x14ac:dyDescent="0.2">
      <c r="A1759" s="547" t="s">
        <v>220</v>
      </c>
      <c r="B1759" s="547" t="s">
        <v>2351</v>
      </c>
      <c r="C1759" s="554" t="s">
        <v>4327</v>
      </c>
      <c r="D1759" s="554" t="s">
        <v>9333</v>
      </c>
      <c r="E1759" s="554" t="s">
        <v>9585</v>
      </c>
      <c r="F1759" s="571">
        <v>2</v>
      </c>
      <c r="G1759" s="572">
        <v>113.22</v>
      </c>
      <c r="H1759" s="545">
        <v>226.44</v>
      </c>
      <c r="I1759" s="554" t="s">
        <v>9218</v>
      </c>
      <c r="J1759" s="554" t="s">
        <v>9219</v>
      </c>
      <c r="K1759" s="554" t="s">
        <v>9219</v>
      </c>
      <c r="L1759" s="537" t="s">
        <v>2354</v>
      </c>
    </row>
    <row r="1760" spans="1:12" x14ac:dyDescent="0.2">
      <c r="A1760" s="547" t="s">
        <v>220</v>
      </c>
      <c r="B1760" s="547" t="s">
        <v>2351</v>
      </c>
      <c r="C1760" s="554" t="s">
        <v>4329</v>
      </c>
      <c r="D1760" s="554" t="s">
        <v>4330</v>
      </c>
      <c r="E1760" s="554" t="s">
        <v>9585</v>
      </c>
      <c r="F1760" s="571">
        <v>2</v>
      </c>
      <c r="G1760" s="572">
        <v>75.246250000000003</v>
      </c>
      <c r="H1760" s="545">
        <v>150.49250000000001</v>
      </c>
      <c r="I1760" s="554" t="s">
        <v>9218</v>
      </c>
      <c r="J1760" s="554" t="s">
        <v>9219</v>
      </c>
      <c r="K1760" s="554" t="s">
        <v>9219</v>
      </c>
      <c r="L1760" s="537" t="s">
        <v>2354</v>
      </c>
    </row>
    <row r="1761" spans="1:12" x14ac:dyDescent="0.2">
      <c r="A1761" s="547" t="s">
        <v>220</v>
      </c>
      <c r="B1761" s="547" t="s">
        <v>2351</v>
      </c>
      <c r="C1761" s="554" t="s">
        <v>4331</v>
      </c>
      <c r="D1761" s="554" t="s">
        <v>4332</v>
      </c>
      <c r="E1761" s="554" t="s">
        <v>9585</v>
      </c>
      <c r="F1761" s="571">
        <v>6</v>
      </c>
      <c r="G1761" s="572">
        <v>140.11199999999999</v>
      </c>
      <c r="H1761" s="545">
        <v>840.67200000000003</v>
      </c>
      <c r="I1761" s="554" t="s">
        <v>9218</v>
      </c>
      <c r="J1761" s="554" t="s">
        <v>9219</v>
      </c>
      <c r="K1761" s="554" t="s">
        <v>9219</v>
      </c>
      <c r="L1761" s="537" t="s">
        <v>2354</v>
      </c>
    </row>
    <row r="1762" spans="1:12" x14ac:dyDescent="0.2">
      <c r="A1762" s="547" t="s">
        <v>220</v>
      </c>
      <c r="B1762" s="547" t="s">
        <v>2351</v>
      </c>
      <c r="C1762" s="554" t="s">
        <v>9334</v>
      </c>
      <c r="D1762" s="554" t="s">
        <v>9335</v>
      </c>
      <c r="E1762" s="554" t="s">
        <v>9585</v>
      </c>
      <c r="F1762" s="571">
        <v>2</v>
      </c>
      <c r="G1762" s="572">
        <v>134.53200000000001</v>
      </c>
      <c r="H1762" s="545">
        <v>269.06400000000002</v>
      </c>
      <c r="I1762" s="554" t="s">
        <v>9218</v>
      </c>
      <c r="J1762" s="554" t="s">
        <v>9219</v>
      </c>
      <c r="K1762" s="554" t="s">
        <v>9219</v>
      </c>
      <c r="L1762" s="537" t="s">
        <v>2354</v>
      </c>
    </row>
    <row r="1763" spans="1:12" x14ac:dyDescent="0.2">
      <c r="A1763" s="547" t="s">
        <v>220</v>
      </c>
      <c r="B1763" s="547" t="s">
        <v>2351</v>
      </c>
      <c r="C1763" s="554" t="s">
        <v>4333</v>
      </c>
      <c r="D1763" s="554" t="s">
        <v>4334</v>
      </c>
      <c r="E1763" s="554" t="s">
        <v>9585</v>
      </c>
      <c r="F1763" s="571">
        <v>4</v>
      </c>
      <c r="G1763" s="572">
        <v>489.745</v>
      </c>
      <c r="H1763" s="545">
        <v>1958.98</v>
      </c>
      <c r="I1763" s="554" t="s">
        <v>9218</v>
      </c>
      <c r="J1763" s="554" t="s">
        <v>9219</v>
      </c>
      <c r="K1763" s="554" t="s">
        <v>9219</v>
      </c>
      <c r="L1763" s="537" t="s">
        <v>2354</v>
      </c>
    </row>
    <row r="1764" spans="1:12" x14ac:dyDescent="0.2">
      <c r="A1764" s="547" t="s">
        <v>220</v>
      </c>
      <c r="B1764" s="547" t="s">
        <v>2351</v>
      </c>
      <c r="C1764" s="554" t="s">
        <v>9336</v>
      </c>
      <c r="D1764" s="554" t="s">
        <v>9337</v>
      </c>
      <c r="E1764" s="554" t="s">
        <v>9585</v>
      </c>
      <c r="F1764" s="571">
        <v>31</v>
      </c>
      <c r="G1764" s="572">
        <v>223.05799999999999</v>
      </c>
      <c r="H1764" s="545">
        <v>6914.7979999999998</v>
      </c>
      <c r="I1764" s="554" t="s">
        <v>9218</v>
      </c>
      <c r="J1764" s="554" t="s">
        <v>9219</v>
      </c>
      <c r="K1764" s="554" t="s">
        <v>9219</v>
      </c>
      <c r="L1764" s="537" t="s">
        <v>2354</v>
      </c>
    </row>
    <row r="1765" spans="1:12" x14ac:dyDescent="0.2">
      <c r="A1765" s="547" t="s">
        <v>220</v>
      </c>
      <c r="B1765" s="547" t="s">
        <v>2351</v>
      </c>
      <c r="C1765" s="554" t="s">
        <v>4335</v>
      </c>
      <c r="D1765" s="554" t="s">
        <v>4336</v>
      </c>
      <c r="E1765" s="554" t="s">
        <v>9585</v>
      </c>
      <c r="F1765" s="571">
        <v>15</v>
      </c>
      <c r="G1765" s="572">
        <v>107.1</v>
      </c>
      <c r="H1765" s="545">
        <v>1606.5</v>
      </c>
      <c r="I1765" s="554" t="s">
        <v>9218</v>
      </c>
      <c r="J1765" s="554" t="s">
        <v>9219</v>
      </c>
      <c r="K1765" s="554" t="s">
        <v>9219</v>
      </c>
      <c r="L1765" s="537" t="s">
        <v>2354</v>
      </c>
    </row>
    <row r="1766" spans="1:12" x14ac:dyDescent="0.2">
      <c r="A1766" s="547" t="s">
        <v>220</v>
      </c>
      <c r="B1766" s="547" t="s">
        <v>2351</v>
      </c>
      <c r="C1766" s="554" t="s">
        <v>5408</v>
      </c>
      <c r="D1766" s="554" t="s">
        <v>5409</v>
      </c>
      <c r="E1766" s="554" t="s">
        <v>9585</v>
      </c>
      <c r="F1766" s="571">
        <v>3</v>
      </c>
      <c r="G1766" s="572">
        <v>63.63</v>
      </c>
      <c r="H1766" s="545">
        <v>190.89000000000001</v>
      </c>
      <c r="I1766" s="554" t="s">
        <v>9218</v>
      </c>
      <c r="J1766" s="554" t="s">
        <v>9219</v>
      </c>
      <c r="K1766" s="554" t="s">
        <v>9219</v>
      </c>
      <c r="L1766" s="537" t="s">
        <v>2354</v>
      </c>
    </row>
    <row r="1767" spans="1:12" x14ac:dyDescent="0.2">
      <c r="A1767" s="547" t="s">
        <v>220</v>
      </c>
      <c r="B1767" s="547" t="s">
        <v>2351</v>
      </c>
      <c r="C1767" s="554" t="s">
        <v>4339</v>
      </c>
      <c r="D1767" s="554" t="s">
        <v>4340</v>
      </c>
      <c r="E1767" s="554" t="s">
        <v>9585</v>
      </c>
      <c r="F1767" s="571">
        <v>8</v>
      </c>
      <c r="G1767" s="572">
        <v>22.395800000000001</v>
      </c>
      <c r="H1767" s="545">
        <v>179.16640000000001</v>
      </c>
      <c r="I1767" s="554" t="s">
        <v>9218</v>
      </c>
      <c r="J1767" s="554" t="s">
        <v>9219</v>
      </c>
      <c r="K1767" s="554" t="s">
        <v>9219</v>
      </c>
      <c r="L1767" s="537" t="s">
        <v>2354</v>
      </c>
    </row>
    <row r="1768" spans="1:12" x14ac:dyDescent="0.2">
      <c r="A1768" s="547" t="s">
        <v>220</v>
      </c>
      <c r="B1768" s="547" t="s">
        <v>2351</v>
      </c>
      <c r="C1768" s="554" t="s">
        <v>4341</v>
      </c>
      <c r="D1768" s="554" t="s">
        <v>4342</v>
      </c>
      <c r="E1768" s="554" t="s">
        <v>9585</v>
      </c>
      <c r="F1768" s="571">
        <v>7</v>
      </c>
      <c r="G1768" s="572">
        <v>17.2958</v>
      </c>
      <c r="H1768" s="545">
        <v>121.0706</v>
      </c>
      <c r="I1768" s="554" t="s">
        <v>9218</v>
      </c>
      <c r="J1768" s="554" t="s">
        <v>9219</v>
      </c>
      <c r="K1768" s="554" t="s">
        <v>9219</v>
      </c>
      <c r="L1768" s="537" t="s">
        <v>2354</v>
      </c>
    </row>
    <row r="1769" spans="1:12" x14ac:dyDescent="0.2">
      <c r="A1769" s="547" t="s">
        <v>220</v>
      </c>
      <c r="B1769" s="547" t="s">
        <v>2351</v>
      </c>
      <c r="C1769" s="554" t="s">
        <v>4343</v>
      </c>
      <c r="D1769" s="554" t="s">
        <v>4344</v>
      </c>
      <c r="E1769" s="554" t="s">
        <v>9585</v>
      </c>
      <c r="F1769" s="571">
        <v>20</v>
      </c>
      <c r="G1769" s="572">
        <v>1.615</v>
      </c>
      <c r="H1769" s="545">
        <v>32.299999999999997</v>
      </c>
      <c r="I1769" s="554" t="s">
        <v>9218</v>
      </c>
      <c r="J1769" s="554" t="s">
        <v>9219</v>
      </c>
      <c r="K1769" s="554" t="s">
        <v>9219</v>
      </c>
      <c r="L1769" s="537" t="s">
        <v>2354</v>
      </c>
    </row>
    <row r="1770" spans="1:12" x14ac:dyDescent="0.2">
      <c r="A1770" s="547" t="s">
        <v>220</v>
      </c>
      <c r="B1770" s="547" t="s">
        <v>2351</v>
      </c>
      <c r="C1770" s="554" t="s">
        <v>9338</v>
      </c>
      <c r="D1770" s="554" t="s">
        <v>9339</v>
      </c>
      <c r="E1770" s="554" t="s">
        <v>9585</v>
      </c>
      <c r="F1770" s="573">
        <v>1</v>
      </c>
      <c r="G1770" s="545">
        <v>51.516010000000001</v>
      </c>
      <c r="H1770" s="545">
        <v>51.516010000000001</v>
      </c>
      <c r="I1770" s="554" t="s">
        <v>9218</v>
      </c>
      <c r="J1770" s="554" t="s">
        <v>9219</v>
      </c>
      <c r="K1770" s="554" t="s">
        <v>9219</v>
      </c>
      <c r="L1770" s="537" t="s">
        <v>2354</v>
      </c>
    </row>
    <row r="1771" spans="1:12" x14ac:dyDescent="0.2">
      <c r="A1771" s="547" t="s">
        <v>220</v>
      </c>
      <c r="B1771" s="547" t="s">
        <v>2351</v>
      </c>
      <c r="C1771" s="554" t="s">
        <v>4345</v>
      </c>
      <c r="D1771" s="554" t="s">
        <v>4346</v>
      </c>
      <c r="E1771" s="554" t="s">
        <v>9585</v>
      </c>
      <c r="F1771" s="571">
        <v>1</v>
      </c>
      <c r="G1771" s="572">
        <v>381.78</v>
      </c>
      <c r="H1771" s="545">
        <v>381.78</v>
      </c>
      <c r="I1771" s="554" t="s">
        <v>9218</v>
      </c>
      <c r="J1771" s="554" t="s">
        <v>9219</v>
      </c>
      <c r="K1771" s="554" t="s">
        <v>9219</v>
      </c>
      <c r="L1771" s="537" t="s">
        <v>2354</v>
      </c>
    </row>
    <row r="1772" spans="1:12" x14ac:dyDescent="0.2">
      <c r="A1772" s="547" t="s">
        <v>220</v>
      </c>
      <c r="B1772" s="547" t="s">
        <v>2351</v>
      </c>
      <c r="C1772" s="554" t="s">
        <v>4347</v>
      </c>
      <c r="D1772" s="554" t="s">
        <v>4348</v>
      </c>
      <c r="E1772" s="554" t="s">
        <v>9585</v>
      </c>
      <c r="F1772" s="571">
        <v>1</v>
      </c>
      <c r="G1772" s="572">
        <v>1510.4934000000001</v>
      </c>
      <c r="H1772" s="545">
        <v>1510.4934000000001</v>
      </c>
      <c r="I1772" s="554" t="s">
        <v>9218</v>
      </c>
      <c r="J1772" s="554" t="s">
        <v>9219</v>
      </c>
      <c r="K1772" s="554" t="s">
        <v>9219</v>
      </c>
      <c r="L1772" s="537" t="s">
        <v>2354</v>
      </c>
    </row>
    <row r="1773" spans="1:12" x14ac:dyDescent="0.2">
      <c r="A1773" s="547" t="s">
        <v>220</v>
      </c>
      <c r="B1773" s="547" t="s">
        <v>2351</v>
      </c>
      <c r="C1773" s="554" t="s">
        <v>4349</v>
      </c>
      <c r="D1773" s="554" t="s">
        <v>4350</v>
      </c>
      <c r="E1773" s="554" t="s">
        <v>9585</v>
      </c>
      <c r="F1773" s="571">
        <v>10</v>
      </c>
      <c r="G1773" s="572">
        <v>3.8250000000000002</v>
      </c>
      <c r="H1773" s="545">
        <v>38.25</v>
      </c>
      <c r="I1773" s="554" t="s">
        <v>9218</v>
      </c>
      <c r="J1773" s="554" t="s">
        <v>9219</v>
      </c>
      <c r="K1773" s="554" t="s">
        <v>9219</v>
      </c>
      <c r="L1773" s="537" t="s">
        <v>2354</v>
      </c>
    </row>
    <row r="1774" spans="1:12" x14ac:dyDescent="0.2">
      <c r="A1774" s="547" t="s">
        <v>220</v>
      </c>
      <c r="B1774" s="547" t="s">
        <v>2351</v>
      </c>
      <c r="C1774" s="554" t="s">
        <v>4351</v>
      </c>
      <c r="D1774" s="554" t="s">
        <v>4352</v>
      </c>
      <c r="E1774" s="554" t="s">
        <v>9585</v>
      </c>
      <c r="F1774" s="571">
        <v>8</v>
      </c>
      <c r="G1774" s="572">
        <v>2.6530475206611572</v>
      </c>
      <c r="H1774" s="545">
        <v>21.224380165289258</v>
      </c>
      <c r="I1774" s="554" t="s">
        <v>9218</v>
      </c>
      <c r="J1774" s="554" t="s">
        <v>9219</v>
      </c>
      <c r="K1774" s="554" t="s">
        <v>9219</v>
      </c>
      <c r="L1774" s="537" t="s">
        <v>2354</v>
      </c>
    </row>
    <row r="1775" spans="1:12" x14ac:dyDescent="0.2">
      <c r="A1775" s="547" t="s">
        <v>220</v>
      </c>
      <c r="B1775" s="547" t="s">
        <v>2351</v>
      </c>
      <c r="C1775" s="554" t="s">
        <v>4353</v>
      </c>
      <c r="D1775" s="554" t="s">
        <v>4354</v>
      </c>
      <c r="E1775" s="554" t="s">
        <v>9585</v>
      </c>
      <c r="F1775" s="571">
        <v>5</v>
      </c>
      <c r="G1775" s="572">
        <v>2.666122159090909</v>
      </c>
      <c r="H1775" s="545">
        <v>13.330610795454545</v>
      </c>
      <c r="I1775" s="554" t="s">
        <v>9218</v>
      </c>
      <c r="J1775" s="554" t="s">
        <v>9219</v>
      </c>
      <c r="K1775" s="554" t="s">
        <v>9219</v>
      </c>
      <c r="L1775" s="537" t="s">
        <v>2354</v>
      </c>
    </row>
    <row r="1776" spans="1:12" x14ac:dyDescent="0.2">
      <c r="A1776" s="547" t="s">
        <v>220</v>
      </c>
      <c r="B1776" s="547" t="s">
        <v>2351</v>
      </c>
      <c r="C1776" s="554" t="s">
        <v>4355</v>
      </c>
      <c r="D1776" s="554" t="s">
        <v>4356</v>
      </c>
      <c r="E1776" s="554" t="s">
        <v>9585</v>
      </c>
      <c r="F1776" s="571">
        <v>7</v>
      </c>
      <c r="G1776" s="572">
        <v>3.8250000000000002</v>
      </c>
      <c r="H1776" s="545">
        <v>26.775000000000002</v>
      </c>
      <c r="I1776" s="554" t="s">
        <v>9218</v>
      </c>
      <c r="J1776" s="554" t="s">
        <v>9219</v>
      </c>
      <c r="K1776" s="554" t="s">
        <v>9219</v>
      </c>
      <c r="L1776" s="537" t="s">
        <v>2354</v>
      </c>
    </row>
    <row r="1777" spans="1:12" x14ac:dyDescent="0.2">
      <c r="A1777" s="547" t="s">
        <v>220</v>
      </c>
      <c r="B1777" s="547" t="s">
        <v>2351</v>
      </c>
      <c r="C1777" s="554" t="s">
        <v>4357</v>
      </c>
      <c r="D1777" s="554" t="s">
        <v>4358</v>
      </c>
      <c r="E1777" s="554" t="s">
        <v>9585</v>
      </c>
      <c r="F1777" s="571">
        <v>12</v>
      </c>
      <c r="G1777" s="572">
        <v>3.8250000000000002</v>
      </c>
      <c r="H1777" s="545">
        <v>45.900000000000006</v>
      </c>
      <c r="I1777" s="554" t="s">
        <v>9218</v>
      </c>
      <c r="J1777" s="554" t="s">
        <v>9219</v>
      </c>
      <c r="K1777" s="554" t="s">
        <v>9219</v>
      </c>
      <c r="L1777" s="537" t="s">
        <v>2354</v>
      </c>
    </row>
    <row r="1778" spans="1:12" x14ac:dyDescent="0.2">
      <c r="A1778" s="547" t="s">
        <v>220</v>
      </c>
      <c r="B1778" s="547" t="s">
        <v>2351</v>
      </c>
      <c r="C1778" s="554" t="s">
        <v>4359</v>
      </c>
      <c r="D1778" s="554" t="s">
        <v>4360</v>
      </c>
      <c r="E1778" s="554" t="s">
        <v>9585</v>
      </c>
      <c r="F1778" s="571">
        <v>4</v>
      </c>
      <c r="G1778" s="572">
        <v>2.6100000000000003</v>
      </c>
      <c r="H1778" s="545">
        <v>10.440000000000001</v>
      </c>
      <c r="I1778" s="554" t="s">
        <v>9218</v>
      </c>
      <c r="J1778" s="554" t="s">
        <v>9219</v>
      </c>
      <c r="K1778" s="554" t="s">
        <v>9219</v>
      </c>
      <c r="L1778" s="537" t="s">
        <v>2354</v>
      </c>
    </row>
    <row r="1779" spans="1:12" x14ac:dyDescent="0.2">
      <c r="A1779" s="547" t="s">
        <v>220</v>
      </c>
      <c r="B1779" s="547" t="s">
        <v>2351</v>
      </c>
      <c r="C1779" s="554" t="s">
        <v>9340</v>
      </c>
      <c r="D1779" s="554" t="s">
        <v>4364</v>
      </c>
      <c r="E1779" s="554" t="s">
        <v>9585</v>
      </c>
      <c r="F1779" s="571">
        <v>1</v>
      </c>
      <c r="G1779" s="572">
        <v>122.94799999999999</v>
      </c>
      <c r="H1779" s="545">
        <v>122.94799999999999</v>
      </c>
      <c r="I1779" s="554" t="s">
        <v>9218</v>
      </c>
      <c r="J1779" s="554" t="s">
        <v>9219</v>
      </c>
      <c r="K1779" s="554" t="s">
        <v>9219</v>
      </c>
      <c r="L1779" s="537" t="s">
        <v>2354</v>
      </c>
    </row>
    <row r="1780" spans="1:12" x14ac:dyDescent="0.2">
      <c r="A1780" s="547" t="s">
        <v>220</v>
      </c>
      <c r="B1780" s="547" t="s">
        <v>2351</v>
      </c>
      <c r="C1780" s="554" t="s">
        <v>9341</v>
      </c>
      <c r="D1780" s="554" t="s">
        <v>9342</v>
      </c>
      <c r="E1780" s="554" t="s">
        <v>9585</v>
      </c>
      <c r="F1780" s="571">
        <v>2</v>
      </c>
      <c r="G1780" s="572">
        <v>132.59700000000001</v>
      </c>
      <c r="H1780" s="545">
        <v>265.19400000000002</v>
      </c>
      <c r="I1780" s="554" t="s">
        <v>9218</v>
      </c>
      <c r="J1780" s="554" t="s">
        <v>9219</v>
      </c>
      <c r="K1780" s="554" t="s">
        <v>9219</v>
      </c>
      <c r="L1780" s="537" t="s">
        <v>2354</v>
      </c>
    </row>
    <row r="1781" spans="1:12" x14ac:dyDescent="0.2">
      <c r="A1781" s="547" t="s">
        <v>220</v>
      </c>
      <c r="B1781" s="547" t="s">
        <v>2351</v>
      </c>
      <c r="C1781" s="554" t="s">
        <v>9343</v>
      </c>
      <c r="D1781" s="554" t="s">
        <v>9344</v>
      </c>
      <c r="E1781" s="554" t="s">
        <v>9585</v>
      </c>
      <c r="F1781" s="571">
        <v>1</v>
      </c>
      <c r="G1781" s="572">
        <v>155.6</v>
      </c>
      <c r="H1781" s="545">
        <v>155.6</v>
      </c>
      <c r="I1781" s="554" t="s">
        <v>9218</v>
      </c>
      <c r="J1781" s="554" t="s">
        <v>9219</v>
      </c>
      <c r="K1781" s="554" t="s">
        <v>9219</v>
      </c>
      <c r="L1781" s="537" t="s">
        <v>2354</v>
      </c>
    </row>
    <row r="1782" spans="1:12" x14ac:dyDescent="0.2">
      <c r="A1782" s="547" t="s">
        <v>220</v>
      </c>
      <c r="B1782" s="547" t="s">
        <v>2351</v>
      </c>
      <c r="C1782" s="554" t="s">
        <v>9345</v>
      </c>
      <c r="D1782" s="554" t="s">
        <v>9346</v>
      </c>
      <c r="E1782" s="554" t="s">
        <v>9585</v>
      </c>
      <c r="F1782" s="571">
        <v>4</v>
      </c>
      <c r="G1782" s="572">
        <v>92.36</v>
      </c>
      <c r="H1782" s="545">
        <v>369.44</v>
      </c>
      <c r="I1782" s="554" t="s">
        <v>9218</v>
      </c>
      <c r="J1782" s="554" t="s">
        <v>9219</v>
      </c>
      <c r="K1782" s="554" t="s">
        <v>9219</v>
      </c>
      <c r="L1782" s="537" t="s">
        <v>2354</v>
      </c>
    </row>
    <row r="1783" spans="1:12" x14ac:dyDescent="0.2">
      <c r="A1783" s="547" t="s">
        <v>220</v>
      </c>
      <c r="B1783" s="547" t="s">
        <v>2351</v>
      </c>
      <c r="C1783" s="554" t="s">
        <v>4361</v>
      </c>
      <c r="D1783" s="554" t="s">
        <v>4362</v>
      </c>
      <c r="E1783" s="554" t="s">
        <v>9585</v>
      </c>
      <c r="F1783" s="571">
        <v>4</v>
      </c>
      <c r="G1783" s="572">
        <v>74</v>
      </c>
      <c r="H1783" s="545">
        <v>296</v>
      </c>
      <c r="I1783" s="554" t="s">
        <v>9218</v>
      </c>
      <c r="J1783" s="554" t="s">
        <v>9219</v>
      </c>
      <c r="K1783" s="554" t="s">
        <v>9219</v>
      </c>
      <c r="L1783" s="537" t="s">
        <v>2354</v>
      </c>
    </row>
    <row r="1784" spans="1:12" x14ac:dyDescent="0.2">
      <c r="A1784" s="547" t="s">
        <v>220</v>
      </c>
      <c r="B1784" s="547" t="s">
        <v>2351</v>
      </c>
      <c r="C1784" s="554" t="s">
        <v>4363</v>
      </c>
      <c r="D1784" s="554" t="s">
        <v>4364</v>
      </c>
      <c r="E1784" s="554" t="s">
        <v>9585</v>
      </c>
      <c r="F1784" s="571">
        <v>1</v>
      </c>
      <c r="G1784" s="572">
        <v>94</v>
      </c>
      <c r="H1784" s="545">
        <v>94</v>
      </c>
      <c r="I1784" s="554" t="s">
        <v>9218</v>
      </c>
      <c r="J1784" s="554" t="s">
        <v>9219</v>
      </c>
      <c r="K1784" s="554" t="s">
        <v>9219</v>
      </c>
      <c r="L1784" s="537" t="s">
        <v>2354</v>
      </c>
    </row>
    <row r="1785" spans="1:12" x14ac:dyDescent="0.2">
      <c r="A1785" s="547" t="s">
        <v>220</v>
      </c>
      <c r="B1785" s="547" t="s">
        <v>2351</v>
      </c>
      <c r="C1785" s="554" t="s">
        <v>4365</v>
      </c>
      <c r="D1785" s="554" t="s">
        <v>4366</v>
      </c>
      <c r="E1785" s="554" t="s">
        <v>9585</v>
      </c>
      <c r="F1785" s="571">
        <v>17</v>
      </c>
      <c r="G1785" s="572">
        <v>18</v>
      </c>
      <c r="H1785" s="545">
        <v>306</v>
      </c>
      <c r="I1785" s="554" t="s">
        <v>9218</v>
      </c>
      <c r="J1785" s="554" t="s">
        <v>9219</v>
      </c>
      <c r="K1785" s="554" t="s">
        <v>9219</v>
      </c>
      <c r="L1785" s="537" t="s">
        <v>2354</v>
      </c>
    </row>
    <row r="1786" spans="1:12" x14ac:dyDescent="0.2">
      <c r="A1786" s="547" t="s">
        <v>220</v>
      </c>
      <c r="B1786" s="547" t="s">
        <v>2351</v>
      </c>
      <c r="C1786" s="554" t="s">
        <v>4367</v>
      </c>
      <c r="D1786" s="554" t="s">
        <v>4368</v>
      </c>
      <c r="E1786" s="554" t="s">
        <v>9585</v>
      </c>
      <c r="F1786" s="571">
        <v>4</v>
      </c>
      <c r="G1786" s="572">
        <v>80</v>
      </c>
      <c r="H1786" s="545">
        <v>320</v>
      </c>
      <c r="I1786" s="554" t="s">
        <v>9218</v>
      </c>
      <c r="J1786" s="554" t="s">
        <v>9219</v>
      </c>
      <c r="K1786" s="554" t="s">
        <v>9219</v>
      </c>
      <c r="L1786" s="537" t="s">
        <v>2354</v>
      </c>
    </row>
    <row r="1787" spans="1:12" x14ac:dyDescent="0.2">
      <c r="A1787" s="547" t="s">
        <v>220</v>
      </c>
      <c r="B1787" s="547" t="s">
        <v>2351</v>
      </c>
      <c r="C1787" s="554" t="s">
        <v>4369</v>
      </c>
      <c r="D1787" s="554" t="s">
        <v>4370</v>
      </c>
      <c r="E1787" s="554" t="s">
        <v>9585</v>
      </c>
      <c r="F1787" s="571">
        <v>6</v>
      </c>
      <c r="G1787" s="572">
        <v>8.9827999999999992</v>
      </c>
      <c r="H1787" s="545">
        <v>53.896799999999999</v>
      </c>
      <c r="I1787" s="554" t="s">
        <v>9218</v>
      </c>
      <c r="J1787" s="554" t="s">
        <v>9219</v>
      </c>
      <c r="K1787" s="554" t="s">
        <v>9219</v>
      </c>
      <c r="L1787" s="537" t="s">
        <v>2354</v>
      </c>
    </row>
    <row r="1788" spans="1:12" x14ac:dyDescent="0.2">
      <c r="A1788" s="547" t="s">
        <v>220</v>
      </c>
      <c r="B1788" s="547" t="s">
        <v>2351</v>
      </c>
      <c r="C1788" s="554" t="s">
        <v>4371</v>
      </c>
      <c r="D1788" s="554" t="s">
        <v>4372</v>
      </c>
      <c r="E1788" s="554" t="s">
        <v>9585</v>
      </c>
      <c r="F1788" s="571">
        <v>52</v>
      </c>
      <c r="G1788" s="572">
        <v>2.15</v>
      </c>
      <c r="H1788" s="545">
        <v>111.8</v>
      </c>
      <c r="I1788" s="554" t="s">
        <v>9218</v>
      </c>
      <c r="J1788" s="554" t="s">
        <v>9219</v>
      </c>
      <c r="K1788" s="554" t="s">
        <v>9219</v>
      </c>
      <c r="L1788" s="537" t="s">
        <v>2354</v>
      </c>
    </row>
    <row r="1789" spans="1:12" x14ac:dyDescent="0.2">
      <c r="A1789" s="547" t="s">
        <v>220</v>
      </c>
      <c r="B1789" s="547" t="s">
        <v>2351</v>
      </c>
      <c r="C1789" s="554" t="s">
        <v>4373</v>
      </c>
      <c r="D1789" s="554" t="s">
        <v>4374</v>
      </c>
      <c r="E1789" s="554" t="s">
        <v>9585</v>
      </c>
      <c r="F1789" s="573">
        <v>2</v>
      </c>
      <c r="G1789" s="545">
        <v>0</v>
      </c>
      <c r="H1789" s="545">
        <v>0</v>
      </c>
      <c r="I1789" s="554" t="s">
        <v>9218</v>
      </c>
      <c r="J1789" s="554" t="s">
        <v>9219</v>
      </c>
      <c r="K1789" s="554" t="s">
        <v>9219</v>
      </c>
      <c r="L1789" s="537" t="s">
        <v>2354</v>
      </c>
    </row>
    <row r="1790" spans="1:12" x14ac:dyDescent="0.2">
      <c r="A1790" s="547" t="s">
        <v>220</v>
      </c>
      <c r="B1790" s="547" t="s">
        <v>2351</v>
      </c>
      <c r="C1790" s="554" t="s">
        <v>9347</v>
      </c>
      <c r="D1790" s="554" t="s">
        <v>9348</v>
      </c>
      <c r="E1790" s="554" t="s">
        <v>545</v>
      </c>
      <c r="F1790" s="571">
        <v>1</v>
      </c>
      <c r="G1790" s="572">
        <v>150.15</v>
      </c>
      <c r="H1790" s="545">
        <v>150.15</v>
      </c>
      <c r="I1790" s="554" t="s">
        <v>9218</v>
      </c>
      <c r="J1790" s="554" t="s">
        <v>9219</v>
      </c>
      <c r="K1790" s="554" t="s">
        <v>9219</v>
      </c>
      <c r="L1790" s="537" t="s">
        <v>2354</v>
      </c>
    </row>
    <row r="1791" spans="1:12" x14ac:dyDescent="0.2">
      <c r="A1791" s="547" t="s">
        <v>220</v>
      </c>
      <c r="B1791" s="547" t="s">
        <v>2351</v>
      </c>
      <c r="C1791" s="554" t="s">
        <v>4379</v>
      </c>
      <c r="D1791" s="554" t="s">
        <v>4380</v>
      </c>
      <c r="E1791" s="554" t="s">
        <v>9585</v>
      </c>
      <c r="F1791" s="571">
        <v>17</v>
      </c>
      <c r="G1791" s="572">
        <v>8.2176739999999988</v>
      </c>
      <c r="H1791" s="545">
        <v>139.70045799999997</v>
      </c>
      <c r="I1791" s="554" t="s">
        <v>9218</v>
      </c>
      <c r="J1791" s="554" t="s">
        <v>9219</v>
      </c>
      <c r="K1791" s="554" t="s">
        <v>9219</v>
      </c>
      <c r="L1791" s="537" t="s">
        <v>2354</v>
      </c>
    </row>
    <row r="1792" spans="1:12" x14ac:dyDescent="0.2">
      <c r="A1792" s="547" t="s">
        <v>220</v>
      </c>
      <c r="B1792" s="547" t="s">
        <v>2351</v>
      </c>
      <c r="C1792" s="554" t="s">
        <v>4387</v>
      </c>
      <c r="D1792" s="554" t="s">
        <v>4388</v>
      </c>
      <c r="E1792" s="554" t="s">
        <v>9585</v>
      </c>
      <c r="F1792" s="571">
        <v>1</v>
      </c>
      <c r="G1792" s="572">
        <v>375.78199999999998</v>
      </c>
      <c r="H1792" s="545">
        <v>375.78199999999998</v>
      </c>
      <c r="I1792" s="554" t="s">
        <v>9218</v>
      </c>
      <c r="J1792" s="554" t="s">
        <v>9219</v>
      </c>
      <c r="K1792" s="554" t="s">
        <v>9219</v>
      </c>
      <c r="L1792" s="537" t="s">
        <v>2354</v>
      </c>
    </row>
    <row r="1793" spans="1:12" x14ac:dyDescent="0.2">
      <c r="A1793" s="547" t="s">
        <v>220</v>
      </c>
      <c r="B1793" s="547" t="s">
        <v>2351</v>
      </c>
      <c r="C1793" s="554" t="s">
        <v>4389</v>
      </c>
      <c r="D1793" s="554" t="s">
        <v>4390</v>
      </c>
      <c r="E1793" s="554" t="s">
        <v>9585</v>
      </c>
      <c r="F1793" s="571">
        <v>5</v>
      </c>
      <c r="G1793" s="572">
        <v>43.74</v>
      </c>
      <c r="H1793" s="545">
        <v>218.70000000000002</v>
      </c>
      <c r="I1793" s="554" t="s">
        <v>9218</v>
      </c>
      <c r="J1793" s="554" t="s">
        <v>9219</v>
      </c>
      <c r="K1793" s="554" t="s">
        <v>9219</v>
      </c>
      <c r="L1793" s="537" t="s">
        <v>2354</v>
      </c>
    </row>
    <row r="1794" spans="1:12" x14ac:dyDescent="0.2">
      <c r="A1794" s="547" t="s">
        <v>220</v>
      </c>
      <c r="B1794" s="547" t="s">
        <v>2351</v>
      </c>
      <c r="C1794" s="554" t="s">
        <v>4391</v>
      </c>
      <c r="D1794" s="554" t="s">
        <v>9532</v>
      </c>
      <c r="E1794" s="554" t="s">
        <v>9585</v>
      </c>
      <c r="F1794" s="571">
        <v>5</v>
      </c>
      <c r="G1794" s="572">
        <v>205.96</v>
      </c>
      <c r="H1794" s="545">
        <v>1029.8</v>
      </c>
      <c r="I1794" s="554" t="s">
        <v>9218</v>
      </c>
      <c r="J1794" s="554" t="s">
        <v>9219</v>
      </c>
      <c r="K1794" s="554" t="s">
        <v>9219</v>
      </c>
      <c r="L1794" s="537" t="s">
        <v>2354</v>
      </c>
    </row>
    <row r="1795" spans="1:12" x14ac:dyDescent="0.2">
      <c r="A1795" s="547" t="s">
        <v>220</v>
      </c>
      <c r="B1795" s="547" t="s">
        <v>2351</v>
      </c>
      <c r="C1795" s="554" t="s">
        <v>4393</v>
      </c>
      <c r="D1795" s="554" t="s">
        <v>9350</v>
      </c>
      <c r="E1795" s="554" t="s">
        <v>9585</v>
      </c>
      <c r="F1795" s="571">
        <v>8</v>
      </c>
      <c r="G1795" s="572">
        <v>8.6487499999999997</v>
      </c>
      <c r="H1795" s="545">
        <v>69.19</v>
      </c>
      <c r="I1795" s="554" t="s">
        <v>9218</v>
      </c>
      <c r="J1795" s="554" t="s">
        <v>9219</v>
      </c>
      <c r="K1795" s="554" t="s">
        <v>9219</v>
      </c>
      <c r="L1795" s="537" t="s">
        <v>2354</v>
      </c>
    </row>
    <row r="1796" spans="1:12" x14ac:dyDescent="0.2">
      <c r="A1796" s="547" t="s">
        <v>220</v>
      </c>
      <c r="B1796" s="547" t="s">
        <v>2351</v>
      </c>
      <c r="C1796" s="554" t="s">
        <v>4397</v>
      </c>
      <c r="D1796" s="554" t="s">
        <v>4398</v>
      </c>
      <c r="E1796" s="554" t="s">
        <v>9585</v>
      </c>
      <c r="F1796" s="571">
        <v>10</v>
      </c>
      <c r="G1796" s="572">
        <v>10.78735</v>
      </c>
      <c r="H1796" s="545">
        <v>107.87350000000001</v>
      </c>
      <c r="I1796" s="554" t="s">
        <v>9218</v>
      </c>
      <c r="J1796" s="554" t="s">
        <v>9219</v>
      </c>
      <c r="K1796" s="554" t="s">
        <v>9219</v>
      </c>
      <c r="L1796" s="537" t="s">
        <v>2354</v>
      </c>
    </row>
    <row r="1797" spans="1:12" x14ac:dyDescent="0.2">
      <c r="A1797" s="547" t="s">
        <v>220</v>
      </c>
      <c r="B1797" s="547" t="s">
        <v>2351</v>
      </c>
      <c r="C1797" s="554"/>
      <c r="D1797" s="554" t="s">
        <v>9351</v>
      </c>
      <c r="E1797" s="554" t="s">
        <v>9585</v>
      </c>
      <c r="F1797" s="571">
        <v>15</v>
      </c>
      <c r="G1797" s="572">
        <v>12.8</v>
      </c>
      <c r="H1797" s="545">
        <v>192</v>
      </c>
      <c r="I1797" s="554" t="s">
        <v>9218</v>
      </c>
      <c r="J1797" s="554" t="s">
        <v>9219</v>
      </c>
      <c r="K1797" s="554" t="s">
        <v>9219</v>
      </c>
      <c r="L1797" s="537" t="s">
        <v>2354</v>
      </c>
    </row>
    <row r="1798" spans="1:12" x14ac:dyDescent="0.2">
      <c r="A1798" s="547" t="s">
        <v>220</v>
      </c>
      <c r="B1798" s="547" t="s">
        <v>2351</v>
      </c>
      <c r="C1798" s="554"/>
      <c r="D1798" s="554" t="s">
        <v>9352</v>
      </c>
      <c r="E1798" s="554" t="s">
        <v>9585</v>
      </c>
      <c r="F1798" s="571">
        <v>6</v>
      </c>
      <c r="G1798" s="572">
        <v>11.6</v>
      </c>
      <c r="H1798" s="545">
        <v>69.599999999999994</v>
      </c>
      <c r="I1798" s="554" t="s">
        <v>9218</v>
      </c>
      <c r="J1798" s="554" t="s">
        <v>9219</v>
      </c>
      <c r="K1798" s="554" t="s">
        <v>9219</v>
      </c>
      <c r="L1798" s="537" t="s">
        <v>2354</v>
      </c>
    </row>
    <row r="1799" spans="1:12" x14ac:dyDescent="0.2">
      <c r="A1799" s="547" t="s">
        <v>220</v>
      </c>
      <c r="B1799" s="547" t="s">
        <v>2351</v>
      </c>
      <c r="C1799" s="554" t="s">
        <v>4401</v>
      </c>
      <c r="D1799" s="554" t="s">
        <v>4402</v>
      </c>
      <c r="E1799" s="554" t="s">
        <v>9585</v>
      </c>
      <c r="F1799" s="571">
        <v>16</v>
      </c>
      <c r="G1799" s="572">
        <v>36</v>
      </c>
      <c r="H1799" s="545">
        <v>576</v>
      </c>
      <c r="I1799" s="554" t="s">
        <v>9218</v>
      </c>
      <c r="J1799" s="554" t="s">
        <v>9219</v>
      </c>
      <c r="K1799" s="554" t="s">
        <v>9219</v>
      </c>
      <c r="L1799" s="537" t="s">
        <v>2354</v>
      </c>
    </row>
    <row r="1800" spans="1:12" x14ac:dyDescent="0.2">
      <c r="A1800" s="547" t="s">
        <v>220</v>
      </c>
      <c r="B1800" s="547" t="s">
        <v>2351</v>
      </c>
      <c r="C1800" s="554" t="s">
        <v>4407</v>
      </c>
      <c r="D1800" s="554" t="s">
        <v>4408</v>
      </c>
      <c r="E1800" s="554" t="s">
        <v>9585</v>
      </c>
      <c r="F1800" s="571">
        <v>13</v>
      </c>
      <c r="G1800" s="572">
        <v>45.45</v>
      </c>
      <c r="H1800" s="545">
        <v>590.85</v>
      </c>
      <c r="I1800" s="554" t="s">
        <v>9218</v>
      </c>
      <c r="J1800" s="554" t="s">
        <v>9219</v>
      </c>
      <c r="K1800" s="554" t="s">
        <v>9219</v>
      </c>
      <c r="L1800" s="537" t="s">
        <v>2354</v>
      </c>
    </row>
    <row r="1801" spans="1:12" x14ac:dyDescent="0.2">
      <c r="A1801" s="547" t="s">
        <v>220</v>
      </c>
      <c r="B1801" s="547" t="s">
        <v>2351</v>
      </c>
      <c r="C1801" s="554" t="s">
        <v>4415</v>
      </c>
      <c r="D1801" s="554" t="s">
        <v>4416</v>
      </c>
      <c r="E1801" s="554" t="s">
        <v>9585</v>
      </c>
      <c r="F1801" s="571">
        <v>9</v>
      </c>
      <c r="G1801" s="572">
        <v>2.3380714285714284</v>
      </c>
      <c r="H1801" s="545">
        <v>21.042642857142855</v>
      </c>
      <c r="I1801" s="554" t="s">
        <v>9218</v>
      </c>
      <c r="J1801" s="554" t="s">
        <v>9219</v>
      </c>
      <c r="K1801" s="554" t="s">
        <v>9219</v>
      </c>
      <c r="L1801" s="537" t="s">
        <v>2354</v>
      </c>
    </row>
    <row r="1802" spans="1:12" x14ac:dyDescent="0.2">
      <c r="A1802" s="547" t="s">
        <v>220</v>
      </c>
      <c r="B1802" s="547" t="s">
        <v>2351</v>
      </c>
      <c r="C1802" s="554" t="s">
        <v>4419</v>
      </c>
      <c r="D1802" s="554" t="s">
        <v>4420</v>
      </c>
      <c r="E1802" s="554" t="s">
        <v>9585</v>
      </c>
      <c r="F1802" s="571">
        <v>6</v>
      </c>
      <c r="G1802" s="572">
        <v>3.5</v>
      </c>
      <c r="H1802" s="545">
        <v>21</v>
      </c>
      <c r="I1802" s="554" t="s">
        <v>9218</v>
      </c>
      <c r="J1802" s="554" t="s">
        <v>9219</v>
      </c>
      <c r="K1802" s="554" t="s">
        <v>9219</v>
      </c>
      <c r="L1802" s="537" t="s">
        <v>2354</v>
      </c>
    </row>
    <row r="1803" spans="1:12" x14ac:dyDescent="0.2">
      <c r="A1803" s="547" t="s">
        <v>220</v>
      </c>
      <c r="B1803" s="547" t="s">
        <v>2351</v>
      </c>
      <c r="C1803" s="554" t="s">
        <v>4421</v>
      </c>
      <c r="D1803" s="554" t="s">
        <v>4422</v>
      </c>
      <c r="E1803" s="554" t="s">
        <v>9585</v>
      </c>
      <c r="F1803" s="571">
        <v>5</v>
      </c>
      <c r="G1803" s="572">
        <v>42.399000000000001</v>
      </c>
      <c r="H1803" s="545">
        <v>211.995</v>
      </c>
      <c r="I1803" s="554" t="s">
        <v>9218</v>
      </c>
      <c r="J1803" s="554" t="s">
        <v>9219</v>
      </c>
      <c r="K1803" s="554" t="s">
        <v>9219</v>
      </c>
      <c r="L1803" s="537" t="s">
        <v>2354</v>
      </c>
    </row>
    <row r="1804" spans="1:12" x14ac:dyDescent="0.2">
      <c r="A1804" s="547" t="s">
        <v>220</v>
      </c>
      <c r="B1804" s="547" t="s">
        <v>2351</v>
      </c>
      <c r="C1804" s="554" t="s">
        <v>4423</v>
      </c>
      <c r="D1804" s="554" t="s">
        <v>4424</v>
      </c>
      <c r="E1804" s="554" t="s">
        <v>9585</v>
      </c>
      <c r="F1804" s="571">
        <v>45</v>
      </c>
      <c r="G1804" s="572">
        <v>10.614599999999999</v>
      </c>
      <c r="H1804" s="545">
        <v>477.65699999999998</v>
      </c>
      <c r="I1804" s="554" t="s">
        <v>9218</v>
      </c>
      <c r="J1804" s="554" t="s">
        <v>9219</v>
      </c>
      <c r="K1804" s="554" t="s">
        <v>9219</v>
      </c>
      <c r="L1804" s="537" t="s">
        <v>2354</v>
      </c>
    </row>
    <row r="1805" spans="1:12" x14ac:dyDescent="0.2">
      <c r="A1805" s="547" t="s">
        <v>220</v>
      </c>
      <c r="B1805" s="547" t="s">
        <v>2351</v>
      </c>
      <c r="C1805" s="554" t="s">
        <v>4426</v>
      </c>
      <c r="D1805" s="554" t="s">
        <v>4427</v>
      </c>
      <c r="E1805" s="554" t="s">
        <v>9585</v>
      </c>
      <c r="F1805" s="571">
        <v>6</v>
      </c>
      <c r="G1805" s="572">
        <v>7.021221052631577</v>
      </c>
      <c r="H1805" s="545">
        <v>42.12732631578946</v>
      </c>
      <c r="I1805" s="554" t="s">
        <v>9218</v>
      </c>
      <c r="J1805" s="554" t="s">
        <v>9219</v>
      </c>
      <c r="K1805" s="554" t="s">
        <v>9219</v>
      </c>
      <c r="L1805" s="537" t="s">
        <v>2354</v>
      </c>
    </row>
    <row r="1806" spans="1:12" x14ac:dyDescent="0.2">
      <c r="A1806" s="547" t="s">
        <v>220</v>
      </c>
      <c r="B1806" s="547" t="s">
        <v>2351</v>
      </c>
      <c r="C1806" s="554"/>
      <c r="D1806" s="554" t="s">
        <v>9353</v>
      </c>
      <c r="E1806" s="554" t="s">
        <v>9585</v>
      </c>
      <c r="F1806" s="571">
        <v>4</v>
      </c>
      <c r="G1806" s="572">
        <v>8.5</v>
      </c>
      <c r="H1806" s="545">
        <v>34</v>
      </c>
      <c r="I1806" s="554" t="s">
        <v>9218</v>
      </c>
      <c r="J1806" s="554" t="s">
        <v>9219</v>
      </c>
      <c r="K1806" s="554" t="s">
        <v>9219</v>
      </c>
      <c r="L1806" s="537" t="s">
        <v>2354</v>
      </c>
    </row>
    <row r="1807" spans="1:12" x14ac:dyDescent="0.2">
      <c r="A1807" s="547" t="s">
        <v>220</v>
      </c>
      <c r="B1807" s="547" t="s">
        <v>2351</v>
      </c>
      <c r="C1807" s="554" t="s">
        <v>4430</v>
      </c>
      <c r="D1807" s="554" t="s">
        <v>4431</v>
      </c>
      <c r="E1807" s="554" t="s">
        <v>9585</v>
      </c>
      <c r="F1807" s="571">
        <v>18</v>
      </c>
      <c r="G1807" s="572">
        <v>0.81200000000000006</v>
      </c>
      <c r="H1807" s="545">
        <v>14.616000000000001</v>
      </c>
      <c r="I1807" s="554" t="s">
        <v>9218</v>
      </c>
      <c r="J1807" s="554" t="s">
        <v>9219</v>
      </c>
      <c r="K1807" s="554" t="s">
        <v>9219</v>
      </c>
      <c r="L1807" s="537" t="s">
        <v>2354</v>
      </c>
    </row>
    <row r="1808" spans="1:12" x14ac:dyDescent="0.2">
      <c r="A1808" s="547" t="s">
        <v>220</v>
      </c>
      <c r="B1808" s="547" t="s">
        <v>2351</v>
      </c>
      <c r="C1808" s="554" t="s">
        <v>4432</v>
      </c>
      <c r="D1808" s="554" t="s">
        <v>4433</v>
      </c>
      <c r="E1808" s="554" t="s">
        <v>9585</v>
      </c>
      <c r="F1808" s="571">
        <v>18</v>
      </c>
      <c r="G1808" s="572">
        <v>4.8</v>
      </c>
      <c r="H1808" s="545">
        <v>86.399999999999991</v>
      </c>
      <c r="I1808" s="554" t="s">
        <v>9218</v>
      </c>
      <c r="J1808" s="554" t="s">
        <v>9219</v>
      </c>
      <c r="K1808" s="554" t="s">
        <v>9219</v>
      </c>
      <c r="L1808" s="537" t="s">
        <v>2354</v>
      </c>
    </row>
    <row r="1809" spans="1:12" x14ac:dyDescent="0.2">
      <c r="A1809" s="547" t="s">
        <v>220</v>
      </c>
      <c r="B1809" s="547" t="s">
        <v>2351</v>
      </c>
      <c r="C1809" s="554" t="s">
        <v>4434</v>
      </c>
      <c r="D1809" s="554" t="s">
        <v>4435</v>
      </c>
      <c r="E1809" s="554" t="s">
        <v>9585</v>
      </c>
      <c r="F1809" s="571">
        <v>9</v>
      </c>
      <c r="G1809" s="572">
        <v>49.5</v>
      </c>
      <c r="H1809" s="545">
        <v>445.5</v>
      </c>
      <c r="I1809" s="554" t="s">
        <v>9218</v>
      </c>
      <c r="J1809" s="554" t="s">
        <v>9219</v>
      </c>
      <c r="K1809" s="554" t="s">
        <v>9219</v>
      </c>
      <c r="L1809" s="537" t="s">
        <v>2354</v>
      </c>
    </row>
    <row r="1810" spans="1:12" x14ac:dyDescent="0.2">
      <c r="A1810" s="547" t="s">
        <v>220</v>
      </c>
      <c r="B1810" s="547" t="s">
        <v>2351</v>
      </c>
      <c r="C1810" s="554" t="s">
        <v>4436</v>
      </c>
      <c r="D1810" s="554" t="s">
        <v>4437</v>
      </c>
      <c r="E1810" s="554" t="s">
        <v>9585</v>
      </c>
      <c r="F1810" s="571">
        <v>3</v>
      </c>
      <c r="G1810" s="572">
        <v>20.257575757575758</v>
      </c>
      <c r="H1810" s="545">
        <v>60.772727272727273</v>
      </c>
      <c r="I1810" s="554" t="s">
        <v>9218</v>
      </c>
      <c r="J1810" s="554" t="s">
        <v>9219</v>
      </c>
      <c r="K1810" s="554" t="s">
        <v>9219</v>
      </c>
      <c r="L1810" s="537" t="s">
        <v>2354</v>
      </c>
    </row>
    <row r="1811" spans="1:12" x14ac:dyDescent="0.2">
      <c r="A1811" s="547" t="s">
        <v>220</v>
      </c>
      <c r="B1811" s="547" t="s">
        <v>2351</v>
      </c>
      <c r="C1811" s="554" t="s">
        <v>4438</v>
      </c>
      <c r="D1811" s="554" t="s">
        <v>4439</v>
      </c>
      <c r="E1811" s="554" t="s">
        <v>9585</v>
      </c>
      <c r="F1811" s="571">
        <v>13</v>
      </c>
      <c r="G1811" s="572">
        <v>8.1437333333333335</v>
      </c>
      <c r="H1811" s="545">
        <v>105.86853333333333</v>
      </c>
      <c r="I1811" s="554" t="s">
        <v>9218</v>
      </c>
      <c r="J1811" s="554" t="s">
        <v>9219</v>
      </c>
      <c r="K1811" s="554" t="s">
        <v>9219</v>
      </c>
      <c r="L1811" s="537" t="s">
        <v>2354</v>
      </c>
    </row>
    <row r="1812" spans="1:12" x14ac:dyDescent="0.2">
      <c r="A1812" s="547" t="s">
        <v>220</v>
      </c>
      <c r="B1812" s="547" t="s">
        <v>2351</v>
      </c>
      <c r="C1812" s="554" t="s">
        <v>4488</v>
      </c>
      <c r="D1812" s="554" t="s">
        <v>4489</v>
      </c>
      <c r="E1812" s="554" t="s">
        <v>9585</v>
      </c>
      <c r="F1812" s="571">
        <v>1</v>
      </c>
      <c r="G1812" s="572">
        <v>19.065777777777775</v>
      </c>
      <c r="H1812" s="545">
        <v>19.065777777777775</v>
      </c>
      <c r="I1812" s="554" t="s">
        <v>9218</v>
      </c>
      <c r="J1812" s="554" t="s">
        <v>9219</v>
      </c>
      <c r="K1812" s="554" t="s">
        <v>9219</v>
      </c>
      <c r="L1812" s="537" t="s">
        <v>2354</v>
      </c>
    </row>
    <row r="1813" spans="1:12" x14ac:dyDescent="0.2">
      <c r="A1813" s="547" t="s">
        <v>220</v>
      </c>
      <c r="B1813" s="547" t="s">
        <v>2351</v>
      </c>
      <c r="C1813" s="554" t="s">
        <v>4492</v>
      </c>
      <c r="D1813" s="554" t="s">
        <v>4493</v>
      </c>
      <c r="E1813" s="554" t="s">
        <v>9585</v>
      </c>
      <c r="F1813" s="571">
        <v>7</v>
      </c>
      <c r="G1813" s="572">
        <v>12.4</v>
      </c>
      <c r="H1813" s="545">
        <v>86.8</v>
      </c>
      <c r="I1813" s="554" t="s">
        <v>9218</v>
      </c>
      <c r="J1813" s="554" t="s">
        <v>9219</v>
      </c>
      <c r="K1813" s="554" t="s">
        <v>9219</v>
      </c>
      <c r="L1813" s="537" t="s">
        <v>2354</v>
      </c>
    </row>
    <row r="1814" spans="1:12" x14ac:dyDescent="0.2">
      <c r="A1814" s="547" t="s">
        <v>220</v>
      </c>
      <c r="B1814" s="547" t="s">
        <v>2351</v>
      </c>
      <c r="C1814" s="554" t="s">
        <v>4494</v>
      </c>
      <c r="D1814" s="554" t="s">
        <v>4495</v>
      </c>
      <c r="E1814" s="554" t="s">
        <v>9585</v>
      </c>
      <c r="F1814" s="571">
        <v>15</v>
      </c>
      <c r="G1814" s="572">
        <v>12.4</v>
      </c>
      <c r="H1814" s="545">
        <v>186</v>
      </c>
      <c r="I1814" s="554" t="s">
        <v>9218</v>
      </c>
      <c r="J1814" s="554" t="s">
        <v>9219</v>
      </c>
      <c r="K1814" s="554" t="s">
        <v>9219</v>
      </c>
      <c r="L1814" s="537" t="s">
        <v>2354</v>
      </c>
    </row>
    <row r="1815" spans="1:12" x14ac:dyDescent="0.2">
      <c r="A1815" s="547" t="s">
        <v>220</v>
      </c>
      <c r="B1815" s="547" t="s">
        <v>2351</v>
      </c>
      <c r="C1815" s="554" t="s">
        <v>4498</v>
      </c>
      <c r="D1815" s="554" t="s">
        <v>4499</v>
      </c>
      <c r="E1815" s="554" t="s">
        <v>9585</v>
      </c>
      <c r="F1815" s="571">
        <v>1</v>
      </c>
      <c r="G1815" s="572">
        <v>3.2899526066350711</v>
      </c>
      <c r="H1815" s="545">
        <v>3.2899526066350711</v>
      </c>
      <c r="I1815" s="554" t="s">
        <v>9218</v>
      </c>
      <c r="J1815" s="554" t="s">
        <v>9219</v>
      </c>
      <c r="K1815" s="554" t="s">
        <v>9219</v>
      </c>
      <c r="L1815" s="537" t="s">
        <v>2354</v>
      </c>
    </row>
    <row r="1816" spans="1:12" x14ac:dyDescent="0.2">
      <c r="A1816" s="547" t="s">
        <v>220</v>
      </c>
      <c r="B1816" s="547" t="s">
        <v>2351</v>
      </c>
      <c r="C1816" s="554" t="s">
        <v>4500</v>
      </c>
      <c r="D1816" s="554" t="s">
        <v>9354</v>
      </c>
      <c r="E1816" s="554" t="s">
        <v>9585</v>
      </c>
      <c r="F1816" s="571">
        <v>5</v>
      </c>
      <c r="G1816" s="572">
        <v>4.0911764705882359</v>
      </c>
      <c r="H1816" s="545">
        <v>20.455882352941181</v>
      </c>
      <c r="I1816" s="554" t="s">
        <v>9218</v>
      </c>
      <c r="J1816" s="554" t="s">
        <v>9219</v>
      </c>
      <c r="K1816" s="554" t="s">
        <v>9219</v>
      </c>
      <c r="L1816" s="537" t="s">
        <v>2354</v>
      </c>
    </row>
    <row r="1817" spans="1:12" x14ac:dyDescent="0.2">
      <c r="A1817" s="547" t="s">
        <v>220</v>
      </c>
      <c r="B1817" s="547" t="s">
        <v>2351</v>
      </c>
      <c r="C1817" s="554" t="s">
        <v>4504</v>
      </c>
      <c r="D1817" s="554" t="s">
        <v>4505</v>
      </c>
      <c r="E1817" s="554" t="s">
        <v>9585</v>
      </c>
      <c r="F1817" s="571">
        <v>3</v>
      </c>
      <c r="G1817" s="572">
        <v>12.260434210526316</v>
      </c>
      <c r="H1817" s="545">
        <v>36.781302631578953</v>
      </c>
      <c r="I1817" s="554" t="s">
        <v>9218</v>
      </c>
      <c r="J1817" s="554" t="s">
        <v>9219</v>
      </c>
      <c r="K1817" s="554" t="s">
        <v>9219</v>
      </c>
      <c r="L1817" s="537" t="s">
        <v>2354</v>
      </c>
    </row>
    <row r="1818" spans="1:12" x14ac:dyDescent="0.2">
      <c r="A1818" s="547" t="s">
        <v>220</v>
      </c>
      <c r="B1818" s="547" t="s">
        <v>2351</v>
      </c>
      <c r="C1818" s="554" t="s">
        <v>4506</v>
      </c>
      <c r="D1818" s="554" t="s">
        <v>4507</v>
      </c>
      <c r="E1818" s="554" t="s">
        <v>9585</v>
      </c>
      <c r="F1818" s="571">
        <v>2</v>
      </c>
      <c r="G1818" s="572">
        <v>55.295999999999999</v>
      </c>
      <c r="H1818" s="545">
        <v>110.592</v>
      </c>
      <c r="I1818" s="554" t="s">
        <v>9218</v>
      </c>
      <c r="J1818" s="554" t="s">
        <v>9219</v>
      </c>
      <c r="K1818" s="554" t="s">
        <v>9219</v>
      </c>
      <c r="L1818" s="537" t="s">
        <v>2354</v>
      </c>
    </row>
    <row r="1819" spans="1:12" x14ac:dyDescent="0.2">
      <c r="A1819" s="547" t="s">
        <v>220</v>
      </c>
      <c r="B1819" s="547" t="s">
        <v>2351</v>
      </c>
      <c r="C1819" s="554" t="s">
        <v>4508</v>
      </c>
      <c r="D1819" s="554" t="s">
        <v>4509</v>
      </c>
      <c r="E1819" s="554" t="s">
        <v>9585</v>
      </c>
      <c r="F1819" s="571">
        <v>3</v>
      </c>
      <c r="G1819" s="572">
        <v>18.416368421052635</v>
      </c>
      <c r="H1819" s="545">
        <v>55.249105263157901</v>
      </c>
      <c r="I1819" s="554" t="s">
        <v>9218</v>
      </c>
      <c r="J1819" s="554" t="s">
        <v>9219</v>
      </c>
      <c r="K1819" s="554" t="s">
        <v>9219</v>
      </c>
      <c r="L1819" s="537" t="s">
        <v>2354</v>
      </c>
    </row>
    <row r="1820" spans="1:12" x14ac:dyDescent="0.2">
      <c r="A1820" s="547" t="s">
        <v>220</v>
      </c>
      <c r="B1820" s="547" t="s">
        <v>2351</v>
      </c>
      <c r="C1820" s="554" t="s">
        <v>4522</v>
      </c>
      <c r="D1820" s="554" t="s">
        <v>4523</v>
      </c>
      <c r="E1820" s="554" t="s">
        <v>9585</v>
      </c>
      <c r="F1820" s="571">
        <v>8</v>
      </c>
      <c r="G1820" s="572">
        <v>10.9215</v>
      </c>
      <c r="H1820" s="545">
        <v>87.372</v>
      </c>
      <c r="I1820" s="554" t="s">
        <v>9218</v>
      </c>
      <c r="J1820" s="554" t="s">
        <v>9219</v>
      </c>
      <c r="K1820" s="554" t="s">
        <v>9219</v>
      </c>
      <c r="L1820" s="537" t="s">
        <v>2354</v>
      </c>
    </row>
    <row r="1821" spans="1:12" x14ac:dyDescent="0.2">
      <c r="A1821" s="547" t="s">
        <v>220</v>
      </c>
      <c r="B1821" s="547" t="s">
        <v>2351</v>
      </c>
      <c r="C1821" s="554" t="s">
        <v>4526</v>
      </c>
      <c r="D1821" s="554" t="s">
        <v>4527</v>
      </c>
      <c r="E1821" s="554" t="s">
        <v>9585</v>
      </c>
      <c r="F1821" s="571">
        <v>7</v>
      </c>
      <c r="G1821" s="572">
        <v>28.6</v>
      </c>
      <c r="H1821" s="545">
        <v>200.20000000000002</v>
      </c>
      <c r="I1821" s="554" t="s">
        <v>9218</v>
      </c>
      <c r="J1821" s="554" t="s">
        <v>9219</v>
      </c>
      <c r="K1821" s="554" t="s">
        <v>9219</v>
      </c>
      <c r="L1821" s="537" t="s">
        <v>2354</v>
      </c>
    </row>
    <row r="1822" spans="1:12" x14ac:dyDescent="0.2">
      <c r="A1822" s="547" t="s">
        <v>220</v>
      </c>
      <c r="B1822" s="547" t="s">
        <v>2351</v>
      </c>
      <c r="C1822" s="554" t="s">
        <v>4528</v>
      </c>
      <c r="D1822" s="554" t="s">
        <v>4529</v>
      </c>
      <c r="E1822" s="554" t="s">
        <v>9585</v>
      </c>
      <c r="F1822" s="571">
        <v>6</v>
      </c>
      <c r="G1822" s="572">
        <v>92.860799999999998</v>
      </c>
      <c r="H1822" s="545">
        <v>557.16480000000001</v>
      </c>
      <c r="I1822" s="554" t="s">
        <v>9218</v>
      </c>
      <c r="J1822" s="554" t="s">
        <v>9219</v>
      </c>
      <c r="K1822" s="554" t="s">
        <v>9219</v>
      </c>
      <c r="L1822" s="537" t="s">
        <v>2354</v>
      </c>
    </row>
    <row r="1823" spans="1:12" x14ac:dyDescent="0.2">
      <c r="A1823" s="547" t="s">
        <v>220</v>
      </c>
      <c r="B1823" s="547" t="s">
        <v>2351</v>
      </c>
      <c r="C1823" s="554" t="s">
        <v>4530</v>
      </c>
      <c r="D1823" s="554" t="s">
        <v>4531</v>
      </c>
      <c r="E1823" s="554" t="s">
        <v>9585</v>
      </c>
      <c r="F1823" s="571">
        <v>7</v>
      </c>
      <c r="G1823" s="572">
        <v>11.583</v>
      </c>
      <c r="H1823" s="545">
        <v>81.081000000000003</v>
      </c>
      <c r="I1823" s="554" t="s">
        <v>9218</v>
      </c>
      <c r="J1823" s="554" t="s">
        <v>9219</v>
      </c>
      <c r="K1823" s="554" t="s">
        <v>9219</v>
      </c>
      <c r="L1823" s="537" t="s">
        <v>2354</v>
      </c>
    </row>
    <row r="1824" spans="1:12" x14ac:dyDescent="0.2">
      <c r="A1824" s="547" t="s">
        <v>220</v>
      </c>
      <c r="B1824" s="547" t="s">
        <v>2351</v>
      </c>
      <c r="C1824" s="554" t="s">
        <v>4532</v>
      </c>
      <c r="D1824" s="554" t="s">
        <v>4533</v>
      </c>
      <c r="E1824" s="554" t="s">
        <v>9585</v>
      </c>
      <c r="F1824" s="571">
        <v>2</v>
      </c>
      <c r="G1824" s="572">
        <v>51.488999999999997</v>
      </c>
      <c r="H1824" s="545">
        <v>102.97799999999999</v>
      </c>
      <c r="I1824" s="554" t="s">
        <v>9218</v>
      </c>
      <c r="J1824" s="554" t="s">
        <v>9219</v>
      </c>
      <c r="K1824" s="554" t="s">
        <v>9219</v>
      </c>
      <c r="L1824" s="537" t="s">
        <v>2354</v>
      </c>
    </row>
    <row r="1825" spans="1:12" x14ac:dyDescent="0.2">
      <c r="A1825" s="547" t="s">
        <v>220</v>
      </c>
      <c r="B1825" s="547" t="s">
        <v>2351</v>
      </c>
      <c r="C1825" s="554" t="s">
        <v>4534</v>
      </c>
      <c r="D1825" s="554" t="s">
        <v>4535</v>
      </c>
      <c r="E1825" s="554" t="s">
        <v>9585</v>
      </c>
      <c r="F1825" s="571">
        <v>38</v>
      </c>
      <c r="G1825" s="572">
        <v>5.85</v>
      </c>
      <c r="H1825" s="545">
        <v>222.29999999999998</v>
      </c>
      <c r="I1825" s="554" t="s">
        <v>9218</v>
      </c>
      <c r="J1825" s="554" t="s">
        <v>9219</v>
      </c>
      <c r="K1825" s="554" t="s">
        <v>9219</v>
      </c>
      <c r="L1825" s="537" t="s">
        <v>2354</v>
      </c>
    </row>
    <row r="1826" spans="1:12" x14ac:dyDescent="0.2">
      <c r="A1826" s="547" t="s">
        <v>220</v>
      </c>
      <c r="B1826" s="547" t="s">
        <v>2351</v>
      </c>
      <c r="C1826" s="554" t="s">
        <v>4536</v>
      </c>
      <c r="D1826" s="554" t="s">
        <v>4537</v>
      </c>
      <c r="E1826" s="554" t="s">
        <v>9585</v>
      </c>
      <c r="F1826" s="571">
        <v>20</v>
      </c>
      <c r="G1826" s="572">
        <v>9.8103999999999996</v>
      </c>
      <c r="H1826" s="545">
        <v>196.208</v>
      </c>
      <c r="I1826" s="554" t="s">
        <v>9218</v>
      </c>
      <c r="J1826" s="554" t="s">
        <v>9219</v>
      </c>
      <c r="K1826" s="554" t="s">
        <v>9219</v>
      </c>
      <c r="L1826" s="537" t="s">
        <v>2354</v>
      </c>
    </row>
    <row r="1827" spans="1:12" x14ac:dyDescent="0.2">
      <c r="A1827" s="547" t="s">
        <v>220</v>
      </c>
      <c r="B1827" s="547" t="s">
        <v>2351</v>
      </c>
      <c r="C1827" s="554" t="s">
        <v>4546</v>
      </c>
      <c r="D1827" s="554" t="s">
        <v>4547</v>
      </c>
      <c r="E1827" s="554" t="s">
        <v>9585</v>
      </c>
      <c r="F1827" s="571">
        <v>33</v>
      </c>
      <c r="G1827" s="572">
        <v>10.228899999999999</v>
      </c>
      <c r="H1827" s="545">
        <v>337.55369999999999</v>
      </c>
      <c r="I1827" s="554" t="s">
        <v>9218</v>
      </c>
      <c r="J1827" s="554" t="s">
        <v>9219</v>
      </c>
      <c r="K1827" s="554" t="s">
        <v>9219</v>
      </c>
      <c r="L1827" s="537" t="s">
        <v>2354</v>
      </c>
    </row>
    <row r="1828" spans="1:12" x14ac:dyDescent="0.2">
      <c r="A1828" s="547" t="s">
        <v>220</v>
      </c>
      <c r="B1828" s="547" t="s">
        <v>2351</v>
      </c>
      <c r="C1828" s="554"/>
      <c r="D1828" s="554" t="s">
        <v>9355</v>
      </c>
      <c r="E1828" s="554" t="s">
        <v>9585</v>
      </c>
      <c r="F1828" s="571">
        <v>7</v>
      </c>
      <c r="G1828" s="572">
        <v>21.5</v>
      </c>
      <c r="H1828" s="545">
        <v>150.5</v>
      </c>
      <c r="I1828" s="554" t="s">
        <v>9218</v>
      </c>
      <c r="J1828" s="554" t="s">
        <v>9219</v>
      </c>
      <c r="K1828" s="554" t="s">
        <v>9219</v>
      </c>
      <c r="L1828" s="537" t="s">
        <v>2354</v>
      </c>
    </row>
    <row r="1829" spans="1:12" x14ac:dyDescent="0.2">
      <c r="A1829" s="547" t="s">
        <v>220</v>
      </c>
      <c r="B1829" s="547" t="s">
        <v>2351</v>
      </c>
      <c r="C1829" s="554" t="s">
        <v>4550</v>
      </c>
      <c r="D1829" s="554" t="s">
        <v>4551</v>
      </c>
      <c r="E1829" s="554" t="s">
        <v>9585</v>
      </c>
      <c r="F1829" s="571">
        <v>7</v>
      </c>
      <c r="G1829" s="572">
        <v>11.237</v>
      </c>
      <c r="H1829" s="545">
        <v>78.659000000000006</v>
      </c>
      <c r="I1829" s="554" t="s">
        <v>9218</v>
      </c>
      <c r="J1829" s="554" t="s">
        <v>9219</v>
      </c>
      <c r="K1829" s="554" t="s">
        <v>9219</v>
      </c>
      <c r="L1829" s="537" t="s">
        <v>2354</v>
      </c>
    </row>
    <row r="1830" spans="1:12" x14ac:dyDescent="0.2">
      <c r="A1830" s="547" t="s">
        <v>220</v>
      </c>
      <c r="B1830" s="547" t="s">
        <v>2351</v>
      </c>
      <c r="C1830" s="554" t="s">
        <v>4554</v>
      </c>
      <c r="D1830" s="554" t="s">
        <v>4555</v>
      </c>
      <c r="E1830" s="554" t="s">
        <v>9585</v>
      </c>
      <c r="F1830" s="571">
        <v>5</v>
      </c>
      <c r="G1830" s="572">
        <v>11.423999999999999</v>
      </c>
      <c r="H1830" s="545">
        <v>57.12</v>
      </c>
      <c r="I1830" s="554" t="s">
        <v>9218</v>
      </c>
      <c r="J1830" s="554" t="s">
        <v>9219</v>
      </c>
      <c r="K1830" s="554" t="s">
        <v>9219</v>
      </c>
      <c r="L1830" s="537" t="s">
        <v>2354</v>
      </c>
    </row>
    <row r="1831" spans="1:12" x14ac:dyDescent="0.2">
      <c r="A1831" s="547" t="s">
        <v>220</v>
      </c>
      <c r="B1831" s="547" t="s">
        <v>2351</v>
      </c>
      <c r="C1831" s="554" t="s">
        <v>4556</v>
      </c>
      <c r="D1831" s="554" t="s">
        <v>4557</v>
      </c>
      <c r="E1831" s="554" t="s">
        <v>9585</v>
      </c>
      <c r="F1831" s="571">
        <v>8</v>
      </c>
      <c r="G1831" s="572">
        <v>22.429345098039217</v>
      </c>
      <c r="H1831" s="545">
        <v>179.43476078431374</v>
      </c>
      <c r="I1831" s="554" t="s">
        <v>9218</v>
      </c>
      <c r="J1831" s="554" t="s">
        <v>9219</v>
      </c>
      <c r="K1831" s="554" t="s">
        <v>9219</v>
      </c>
      <c r="L1831" s="537" t="s">
        <v>2354</v>
      </c>
    </row>
    <row r="1832" spans="1:12" x14ac:dyDescent="0.2">
      <c r="A1832" s="547" t="s">
        <v>220</v>
      </c>
      <c r="B1832" s="547" t="s">
        <v>2351</v>
      </c>
      <c r="C1832" s="554" t="s">
        <v>4558</v>
      </c>
      <c r="D1832" s="554" t="s">
        <v>4559</v>
      </c>
      <c r="E1832" s="554" t="s">
        <v>9585</v>
      </c>
      <c r="F1832" s="571">
        <v>24</v>
      </c>
      <c r="G1832" s="572">
        <v>0.435</v>
      </c>
      <c r="H1832" s="545">
        <v>10.44</v>
      </c>
      <c r="I1832" s="554" t="s">
        <v>9218</v>
      </c>
      <c r="J1832" s="554" t="s">
        <v>9219</v>
      </c>
      <c r="K1832" s="554" t="s">
        <v>9219</v>
      </c>
      <c r="L1832" s="537" t="s">
        <v>2354</v>
      </c>
    </row>
    <row r="1833" spans="1:12" x14ac:dyDescent="0.2">
      <c r="A1833" s="547" t="s">
        <v>220</v>
      </c>
      <c r="B1833" s="547" t="s">
        <v>2351</v>
      </c>
      <c r="C1833" s="554" t="s">
        <v>4560</v>
      </c>
      <c r="D1833" s="554" t="s">
        <v>4561</v>
      </c>
      <c r="E1833" s="554" t="s">
        <v>9585</v>
      </c>
      <c r="F1833" s="571">
        <v>7</v>
      </c>
      <c r="G1833" s="572">
        <v>7.3049999999999997</v>
      </c>
      <c r="H1833" s="545">
        <v>51.134999999999998</v>
      </c>
      <c r="I1833" s="554" t="s">
        <v>9218</v>
      </c>
      <c r="J1833" s="554" t="s">
        <v>9219</v>
      </c>
      <c r="K1833" s="554" t="s">
        <v>9219</v>
      </c>
      <c r="L1833" s="537" t="s">
        <v>2354</v>
      </c>
    </row>
    <row r="1834" spans="1:12" x14ac:dyDescent="0.2">
      <c r="A1834" s="547" t="s">
        <v>220</v>
      </c>
      <c r="B1834" s="547" t="s">
        <v>2351</v>
      </c>
      <c r="C1834" s="554" t="s">
        <v>4562</v>
      </c>
      <c r="D1834" s="554" t="s">
        <v>4563</v>
      </c>
      <c r="E1834" s="554" t="s">
        <v>9585</v>
      </c>
      <c r="F1834" s="571">
        <v>21</v>
      </c>
      <c r="G1834" s="572">
        <v>7.12</v>
      </c>
      <c r="H1834" s="545">
        <v>149.52000000000001</v>
      </c>
      <c r="I1834" s="554" t="s">
        <v>9218</v>
      </c>
      <c r="J1834" s="554" t="s">
        <v>9219</v>
      </c>
      <c r="K1834" s="554" t="s">
        <v>9219</v>
      </c>
      <c r="L1834" s="537" t="s">
        <v>2354</v>
      </c>
    </row>
    <row r="1835" spans="1:12" x14ac:dyDescent="0.2">
      <c r="A1835" s="547" t="s">
        <v>220</v>
      </c>
      <c r="B1835" s="547" t="s">
        <v>2351</v>
      </c>
      <c r="C1835" s="554" t="s">
        <v>4564</v>
      </c>
      <c r="D1835" s="554" t="s">
        <v>4565</v>
      </c>
      <c r="E1835" s="554" t="s">
        <v>9585</v>
      </c>
      <c r="F1835" s="571">
        <v>5</v>
      </c>
      <c r="G1835" s="572">
        <v>23.204999999999998</v>
      </c>
      <c r="H1835" s="545">
        <v>116.02499999999999</v>
      </c>
      <c r="I1835" s="554" t="s">
        <v>9218</v>
      </c>
      <c r="J1835" s="554" t="s">
        <v>9219</v>
      </c>
      <c r="K1835" s="554" t="s">
        <v>9219</v>
      </c>
      <c r="L1835" s="537" t="s">
        <v>2354</v>
      </c>
    </row>
    <row r="1836" spans="1:12" x14ac:dyDescent="0.2">
      <c r="A1836" s="547" t="s">
        <v>220</v>
      </c>
      <c r="B1836" s="547" t="s">
        <v>2351</v>
      </c>
      <c r="C1836" s="554" t="s">
        <v>4566</v>
      </c>
      <c r="D1836" s="554" t="s">
        <v>4567</v>
      </c>
      <c r="E1836" s="554" t="s">
        <v>9585</v>
      </c>
      <c r="F1836" s="571">
        <v>8</v>
      </c>
      <c r="G1836" s="572">
        <v>17.434999999999999</v>
      </c>
      <c r="H1836" s="545">
        <v>139.47999999999999</v>
      </c>
      <c r="I1836" s="554" t="s">
        <v>9218</v>
      </c>
      <c r="J1836" s="554" t="s">
        <v>9219</v>
      </c>
      <c r="K1836" s="554" t="s">
        <v>9219</v>
      </c>
      <c r="L1836" s="537" t="s">
        <v>2354</v>
      </c>
    </row>
    <row r="1837" spans="1:12" x14ac:dyDescent="0.2">
      <c r="A1837" s="547" t="s">
        <v>220</v>
      </c>
      <c r="B1837" s="547" t="s">
        <v>2351</v>
      </c>
      <c r="C1837" s="554" t="s">
        <v>4570</v>
      </c>
      <c r="D1837" s="554" t="s">
        <v>4571</v>
      </c>
      <c r="E1837" s="554" t="s">
        <v>9585</v>
      </c>
      <c r="F1837" s="571">
        <v>2</v>
      </c>
      <c r="G1837" s="572">
        <v>12.852</v>
      </c>
      <c r="H1837" s="545">
        <v>25.704000000000001</v>
      </c>
      <c r="I1837" s="554" t="s">
        <v>9218</v>
      </c>
      <c r="J1837" s="554" t="s">
        <v>9219</v>
      </c>
      <c r="K1837" s="554" t="s">
        <v>9219</v>
      </c>
      <c r="L1837" s="537" t="s">
        <v>2354</v>
      </c>
    </row>
    <row r="1838" spans="1:12" x14ac:dyDescent="0.2">
      <c r="A1838" s="547" t="s">
        <v>220</v>
      </c>
      <c r="B1838" s="547" t="s">
        <v>2351</v>
      </c>
      <c r="C1838" s="554" t="s">
        <v>4572</v>
      </c>
      <c r="D1838" s="554" t="s">
        <v>4573</v>
      </c>
      <c r="E1838" s="554" t="s">
        <v>9585</v>
      </c>
      <c r="F1838" s="571">
        <v>45</v>
      </c>
      <c r="G1838" s="572">
        <v>9.9314999999999998</v>
      </c>
      <c r="H1838" s="545">
        <v>446.91750000000002</v>
      </c>
      <c r="I1838" s="554" t="s">
        <v>9218</v>
      </c>
      <c r="J1838" s="554" t="s">
        <v>9219</v>
      </c>
      <c r="K1838" s="554" t="s">
        <v>9219</v>
      </c>
      <c r="L1838" s="537" t="s">
        <v>2354</v>
      </c>
    </row>
    <row r="1839" spans="1:12" x14ac:dyDescent="0.2">
      <c r="A1839" s="547" t="s">
        <v>220</v>
      </c>
      <c r="B1839" s="547" t="s">
        <v>2351</v>
      </c>
      <c r="C1839" s="554" t="s">
        <v>4574</v>
      </c>
      <c r="D1839" s="554" t="s">
        <v>4575</v>
      </c>
      <c r="E1839" s="554" t="s">
        <v>9585</v>
      </c>
      <c r="F1839" s="571">
        <v>6</v>
      </c>
      <c r="G1839" s="572">
        <v>1.3748181818181817</v>
      </c>
      <c r="H1839" s="545">
        <v>8.2489090909090912</v>
      </c>
      <c r="I1839" s="554" t="s">
        <v>9218</v>
      </c>
      <c r="J1839" s="554" t="s">
        <v>9219</v>
      </c>
      <c r="K1839" s="554" t="s">
        <v>9219</v>
      </c>
      <c r="L1839" s="537" t="s">
        <v>2354</v>
      </c>
    </row>
    <row r="1840" spans="1:12" x14ac:dyDescent="0.2">
      <c r="A1840" s="547" t="s">
        <v>220</v>
      </c>
      <c r="B1840" s="547" t="s">
        <v>2351</v>
      </c>
      <c r="C1840" s="554" t="s">
        <v>4576</v>
      </c>
      <c r="D1840" s="554" t="s">
        <v>4577</v>
      </c>
      <c r="E1840" s="554" t="s">
        <v>9585</v>
      </c>
      <c r="F1840" s="573">
        <v>2</v>
      </c>
      <c r="G1840" s="545">
        <v>0</v>
      </c>
      <c r="H1840" s="545">
        <v>0</v>
      </c>
      <c r="I1840" s="554" t="s">
        <v>9218</v>
      </c>
      <c r="J1840" s="554" t="s">
        <v>9219</v>
      </c>
      <c r="K1840" s="554" t="s">
        <v>9219</v>
      </c>
      <c r="L1840" s="537" t="s">
        <v>2354</v>
      </c>
    </row>
    <row r="1841" spans="1:12" x14ac:dyDescent="0.2">
      <c r="A1841" s="547" t="s">
        <v>220</v>
      </c>
      <c r="B1841" s="547" t="s">
        <v>2351</v>
      </c>
      <c r="C1841" s="554" t="s">
        <v>4578</v>
      </c>
      <c r="D1841" s="554" t="s">
        <v>4579</v>
      </c>
      <c r="E1841" s="554" t="s">
        <v>9585</v>
      </c>
      <c r="F1841" s="573">
        <v>2</v>
      </c>
      <c r="G1841" s="545">
        <v>0</v>
      </c>
      <c r="H1841" s="545">
        <v>0</v>
      </c>
      <c r="I1841" s="554" t="s">
        <v>9218</v>
      </c>
      <c r="J1841" s="554" t="s">
        <v>9219</v>
      </c>
      <c r="K1841" s="554" t="s">
        <v>9219</v>
      </c>
      <c r="L1841" s="537" t="s">
        <v>2354</v>
      </c>
    </row>
    <row r="1842" spans="1:12" x14ac:dyDescent="0.2">
      <c r="A1842" s="547" t="s">
        <v>220</v>
      </c>
      <c r="B1842" s="547" t="s">
        <v>2351</v>
      </c>
      <c r="C1842" s="554" t="s">
        <v>4580</v>
      </c>
      <c r="D1842" s="554" t="s">
        <v>4581</v>
      </c>
      <c r="E1842" s="554" t="s">
        <v>9585</v>
      </c>
      <c r="F1842" s="571">
        <v>3</v>
      </c>
      <c r="G1842" s="572">
        <v>46.904000000000003</v>
      </c>
      <c r="H1842" s="545">
        <v>140.71200000000002</v>
      </c>
      <c r="I1842" s="554" t="s">
        <v>9218</v>
      </c>
      <c r="J1842" s="554" t="s">
        <v>9219</v>
      </c>
      <c r="K1842" s="554" t="s">
        <v>9219</v>
      </c>
      <c r="L1842" s="537" t="s">
        <v>2354</v>
      </c>
    </row>
    <row r="1843" spans="1:12" x14ac:dyDescent="0.2">
      <c r="A1843" s="547" t="s">
        <v>220</v>
      </c>
      <c r="B1843" s="547" t="s">
        <v>2351</v>
      </c>
      <c r="C1843" s="554" t="s">
        <v>4582</v>
      </c>
      <c r="D1843" s="554" t="s">
        <v>4583</v>
      </c>
      <c r="E1843" s="554" t="s">
        <v>9585</v>
      </c>
      <c r="F1843" s="571">
        <v>2</v>
      </c>
      <c r="G1843" s="572">
        <v>4.8380000000000001</v>
      </c>
      <c r="H1843" s="545">
        <v>9.6760000000000002</v>
      </c>
      <c r="I1843" s="554" t="s">
        <v>9218</v>
      </c>
      <c r="J1843" s="554" t="s">
        <v>9219</v>
      </c>
      <c r="K1843" s="554" t="s">
        <v>9219</v>
      </c>
      <c r="L1843" s="537" t="s">
        <v>2354</v>
      </c>
    </row>
    <row r="1844" spans="1:12" x14ac:dyDescent="0.2">
      <c r="A1844" s="547" t="s">
        <v>220</v>
      </c>
      <c r="B1844" s="547" t="s">
        <v>2351</v>
      </c>
      <c r="C1844" s="554" t="s">
        <v>4628</v>
      </c>
      <c r="D1844" s="554" t="s">
        <v>4629</v>
      </c>
      <c r="E1844" s="554" t="s">
        <v>9585</v>
      </c>
      <c r="F1844" s="571">
        <v>1</v>
      </c>
      <c r="G1844" s="572">
        <v>122.95</v>
      </c>
      <c r="H1844" s="545">
        <v>122.95</v>
      </c>
      <c r="I1844" s="554" t="s">
        <v>9218</v>
      </c>
      <c r="J1844" s="554" t="s">
        <v>9219</v>
      </c>
      <c r="K1844" s="554" t="s">
        <v>9219</v>
      </c>
      <c r="L1844" s="537" t="s">
        <v>2354</v>
      </c>
    </row>
    <row r="1845" spans="1:12" x14ac:dyDescent="0.2">
      <c r="A1845" s="547" t="s">
        <v>220</v>
      </c>
      <c r="B1845" s="547" t="s">
        <v>2351</v>
      </c>
      <c r="C1845" s="554" t="s">
        <v>4630</v>
      </c>
      <c r="D1845" s="554" t="s">
        <v>4631</v>
      </c>
      <c r="E1845" s="554" t="s">
        <v>9585</v>
      </c>
      <c r="F1845" s="571">
        <v>2</v>
      </c>
      <c r="G1845" s="572">
        <v>47.65</v>
      </c>
      <c r="H1845" s="545">
        <v>95.3</v>
      </c>
      <c r="I1845" s="554" t="s">
        <v>9218</v>
      </c>
      <c r="J1845" s="554" t="s">
        <v>9219</v>
      </c>
      <c r="K1845" s="554" t="s">
        <v>9219</v>
      </c>
      <c r="L1845" s="537" t="s">
        <v>2354</v>
      </c>
    </row>
    <row r="1846" spans="1:12" x14ac:dyDescent="0.2">
      <c r="A1846" s="547" t="s">
        <v>220</v>
      </c>
      <c r="B1846" s="547" t="s">
        <v>2351</v>
      </c>
      <c r="C1846" s="554" t="s">
        <v>4632</v>
      </c>
      <c r="D1846" s="554" t="s">
        <v>4633</v>
      </c>
      <c r="E1846" s="554" t="s">
        <v>9585</v>
      </c>
      <c r="F1846" s="573">
        <v>1</v>
      </c>
      <c r="G1846" s="545">
        <v>295.26</v>
      </c>
      <c r="H1846" s="545">
        <v>295.26</v>
      </c>
      <c r="I1846" s="554" t="s">
        <v>9218</v>
      </c>
      <c r="J1846" s="554" t="s">
        <v>9219</v>
      </c>
      <c r="K1846" s="554" t="s">
        <v>9219</v>
      </c>
      <c r="L1846" s="537" t="s">
        <v>2354</v>
      </c>
    </row>
    <row r="1847" spans="1:12" x14ac:dyDescent="0.2">
      <c r="A1847" s="547" t="s">
        <v>220</v>
      </c>
      <c r="B1847" s="547" t="s">
        <v>2351</v>
      </c>
      <c r="C1847" s="554" t="s">
        <v>4634</v>
      </c>
      <c r="D1847" s="554" t="s">
        <v>4635</v>
      </c>
      <c r="E1847" s="554" t="s">
        <v>9585</v>
      </c>
      <c r="F1847" s="571">
        <v>2</v>
      </c>
      <c r="G1847" s="572">
        <v>396.15</v>
      </c>
      <c r="H1847" s="545">
        <v>792.3</v>
      </c>
      <c r="I1847" s="554" t="s">
        <v>9218</v>
      </c>
      <c r="J1847" s="554" t="s">
        <v>9219</v>
      </c>
      <c r="K1847" s="554" t="s">
        <v>9219</v>
      </c>
      <c r="L1847" s="537" t="s">
        <v>2354</v>
      </c>
    </row>
    <row r="1848" spans="1:12" x14ac:dyDescent="0.2">
      <c r="A1848" s="547" t="s">
        <v>220</v>
      </c>
      <c r="B1848" s="547" t="s">
        <v>2351</v>
      </c>
      <c r="C1848" s="554" t="s">
        <v>4746</v>
      </c>
      <c r="D1848" s="554" t="s">
        <v>4747</v>
      </c>
      <c r="E1848" s="554" t="s">
        <v>9585</v>
      </c>
      <c r="F1848" s="571">
        <v>1</v>
      </c>
      <c r="G1848" s="572">
        <v>8.3166666666666664</v>
      </c>
      <c r="H1848" s="545">
        <v>8.3166666666666664</v>
      </c>
      <c r="I1848" s="554" t="s">
        <v>9218</v>
      </c>
      <c r="J1848" s="554" t="s">
        <v>9219</v>
      </c>
      <c r="K1848" s="554" t="s">
        <v>9219</v>
      </c>
      <c r="L1848" s="537" t="s">
        <v>2354</v>
      </c>
    </row>
    <row r="1849" spans="1:12" x14ac:dyDescent="0.2">
      <c r="A1849" s="547" t="s">
        <v>220</v>
      </c>
      <c r="B1849" s="547" t="s">
        <v>2351</v>
      </c>
      <c r="C1849" s="554" t="s">
        <v>4750</v>
      </c>
      <c r="D1849" s="554" t="s">
        <v>4751</v>
      </c>
      <c r="E1849" s="554" t="s">
        <v>9585</v>
      </c>
      <c r="F1849" s="571">
        <v>8</v>
      </c>
      <c r="G1849" s="572">
        <v>7.6760000000000002</v>
      </c>
      <c r="H1849" s="545">
        <v>61.408000000000001</v>
      </c>
      <c r="I1849" s="554" t="s">
        <v>9218</v>
      </c>
      <c r="J1849" s="554" t="s">
        <v>9219</v>
      </c>
      <c r="K1849" s="554" t="s">
        <v>9219</v>
      </c>
      <c r="L1849" s="537" t="s">
        <v>2354</v>
      </c>
    </row>
    <row r="1850" spans="1:12" x14ac:dyDescent="0.2">
      <c r="A1850" s="547" t="s">
        <v>220</v>
      </c>
      <c r="B1850" s="547" t="s">
        <v>2351</v>
      </c>
      <c r="C1850" s="554" t="s">
        <v>4770</v>
      </c>
      <c r="D1850" s="554" t="s">
        <v>4771</v>
      </c>
      <c r="E1850" s="554" t="s">
        <v>9585</v>
      </c>
      <c r="F1850" s="571">
        <v>25</v>
      </c>
      <c r="G1850" s="572">
        <v>3.6360000000000001</v>
      </c>
      <c r="H1850" s="545">
        <v>90.9</v>
      </c>
      <c r="I1850" s="554" t="s">
        <v>9218</v>
      </c>
      <c r="J1850" s="554" t="s">
        <v>9219</v>
      </c>
      <c r="K1850" s="554" t="s">
        <v>9219</v>
      </c>
      <c r="L1850" s="537" t="s">
        <v>2354</v>
      </c>
    </row>
    <row r="1851" spans="1:12" x14ac:dyDescent="0.2">
      <c r="A1851" s="547" t="s">
        <v>220</v>
      </c>
      <c r="B1851" s="547" t="s">
        <v>2351</v>
      </c>
      <c r="C1851" s="554" t="s">
        <v>4778</v>
      </c>
      <c r="D1851" s="554" t="s">
        <v>4779</v>
      </c>
      <c r="E1851" s="554" t="s">
        <v>9585</v>
      </c>
      <c r="F1851" s="571">
        <v>45</v>
      </c>
      <c r="G1851" s="572">
        <v>6.06</v>
      </c>
      <c r="H1851" s="545">
        <v>272.7</v>
      </c>
      <c r="I1851" s="554" t="s">
        <v>9218</v>
      </c>
      <c r="J1851" s="554" t="s">
        <v>9219</v>
      </c>
      <c r="K1851" s="554" t="s">
        <v>9219</v>
      </c>
      <c r="L1851" s="537" t="s">
        <v>2354</v>
      </c>
    </row>
    <row r="1852" spans="1:12" x14ac:dyDescent="0.2">
      <c r="A1852" s="547" t="s">
        <v>220</v>
      </c>
      <c r="B1852" s="547" t="s">
        <v>2351</v>
      </c>
      <c r="C1852" s="554" t="s">
        <v>4790</v>
      </c>
      <c r="D1852" s="554" t="s">
        <v>4791</v>
      </c>
      <c r="E1852" s="554" t="s">
        <v>9585</v>
      </c>
      <c r="F1852" s="571">
        <v>7</v>
      </c>
      <c r="G1852" s="572">
        <v>5.7065000000000001</v>
      </c>
      <c r="H1852" s="545">
        <v>39.945500000000003</v>
      </c>
      <c r="I1852" s="554" t="s">
        <v>9218</v>
      </c>
      <c r="J1852" s="554" t="s">
        <v>9219</v>
      </c>
      <c r="K1852" s="554" t="s">
        <v>9219</v>
      </c>
      <c r="L1852" s="537" t="s">
        <v>2354</v>
      </c>
    </row>
    <row r="1853" spans="1:12" x14ac:dyDescent="0.2">
      <c r="A1853" s="547" t="s">
        <v>220</v>
      </c>
      <c r="B1853" s="547" t="s">
        <v>2351</v>
      </c>
      <c r="C1853" s="554" t="s">
        <v>5058</v>
      </c>
      <c r="D1853" s="554" t="s">
        <v>5059</v>
      </c>
      <c r="E1853" s="554" t="s">
        <v>9585</v>
      </c>
      <c r="F1853" s="571">
        <v>780</v>
      </c>
      <c r="G1853" s="572">
        <v>2.282</v>
      </c>
      <c r="H1853" s="545">
        <v>1779.96</v>
      </c>
      <c r="I1853" s="554" t="s">
        <v>9218</v>
      </c>
      <c r="J1853" s="554" t="s">
        <v>9219</v>
      </c>
      <c r="K1853" s="554" t="s">
        <v>9219</v>
      </c>
      <c r="L1853" s="537" t="s">
        <v>2354</v>
      </c>
    </row>
    <row r="1854" spans="1:12" x14ac:dyDescent="0.2">
      <c r="A1854" s="547" t="s">
        <v>220</v>
      </c>
      <c r="B1854" s="547" t="s">
        <v>2351</v>
      </c>
      <c r="C1854" s="554" t="s">
        <v>5096</v>
      </c>
      <c r="D1854" s="554" t="s">
        <v>5097</v>
      </c>
      <c r="E1854" s="554" t="s">
        <v>9585</v>
      </c>
      <c r="F1854" s="571">
        <v>153</v>
      </c>
      <c r="G1854" s="572">
        <v>5.9085000000000001</v>
      </c>
      <c r="H1854" s="545">
        <v>904.00049999999999</v>
      </c>
      <c r="I1854" s="554" t="s">
        <v>9218</v>
      </c>
      <c r="J1854" s="554" t="s">
        <v>9219</v>
      </c>
      <c r="K1854" s="554" t="s">
        <v>9219</v>
      </c>
      <c r="L1854" s="537" t="s">
        <v>2354</v>
      </c>
    </row>
    <row r="1855" spans="1:12" x14ac:dyDescent="0.2">
      <c r="A1855" s="547" t="s">
        <v>220</v>
      </c>
      <c r="B1855" s="547" t="s">
        <v>2351</v>
      </c>
      <c r="C1855" s="554" t="s">
        <v>5108</v>
      </c>
      <c r="D1855" s="554" t="s">
        <v>5109</v>
      </c>
      <c r="E1855" s="554" t="s">
        <v>9585</v>
      </c>
      <c r="F1855" s="573">
        <v>35</v>
      </c>
      <c r="G1855" s="545">
        <v>0</v>
      </c>
      <c r="H1855" s="545">
        <v>0</v>
      </c>
      <c r="I1855" s="554" t="s">
        <v>9218</v>
      </c>
      <c r="J1855" s="554" t="s">
        <v>9219</v>
      </c>
      <c r="K1855" s="554" t="s">
        <v>9219</v>
      </c>
      <c r="L1855" s="537" t="s">
        <v>2354</v>
      </c>
    </row>
    <row r="1856" spans="1:12" x14ac:dyDescent="0.2">
      <c r="A1856" s="547" t="s">
        <v>220</v>
      </c>
      <c r="B1856" s="547" t="s">
        <v>2351</v>
      </c>
      <c r="C1856" s="554" t="s">
        <v>5134</v>
      </c>
      <c r="D1856" s="554" t="s">
        <v>5135</v>
      </c>
      <c r="E1856" s="554" t="s">
        <v>9585</v>
      </c>
      <c r="F1856" s="573">
        <v>93</v>
      </c>
      <c r="G1856" s="545">
        <v>0</v>
      </c>
      <c r="H1856" s="545">
        <v>0</v>
      </c>
      <c r="I1856" s="554" t="s">
        <v>9218</v>
      </c>
      <c r="J1856" s="554" t="s">
        <v>9219</v>
      </c>
      <c r="K1856" s="554" t="s">
        <v>9219</v>
      </c>
      <c r="L1856" s="537" t="s">
        <v>2354</v>
      </c>
    </row>
    <row r="1857" spans="1:12" x14ac:dyDescent="0.2">
      <c r="A1857" s="547" t="s">
        <v>220</v>
      </c>
      <c r="B1857" s="547" t="s">
        <v>2351</v>
      </c>
      <c r="C1857" s="554" t="s">
        <v>5154</v>
      </c>
      <c r="D1857" s="554" t="s">
        <v>5155</v>
      </c>
      <c r="E1857" s="554" t="s">
        <v>9585</v>
      </c>
      <c r="F1857" s="571">
        <v>34</v>
      </c>
      <c r="G1857" s="572">
        <v>6.2240000000000002</v>
      </c>
      <c r="H1857" s="545">
        <v>211.61600000000001</v>
      </c>
      <c r="I1857" s="554" t="s">
        <v>9218</v>
      </c>
      <c r="J1857" s="554" t="s">
        <v>9219</v>
      </c>
      <c r="K1857" s="554" t="s">
        <v>9219</v>
      </c>
      <c r="L1857" s="537" t="s">
        <v>2354</v>
      </c>
    </row>
    <row r="1858" spans="1:12" x14ac:dyDescent="0.2">
      <c r="A1858" s="547" t="s">
        <v>220</v>
      </c>
      <c r="B1858" s="547" t="s">
        <v>2351</v>
      </c>
      <c r="C1858" s="554" t="s">
        <v>5170</v>
      </c>
      <c r="D1858" s="554" t="s">
        <v>5171</v>
      </c>
      <c r="E1858" s="554" t="s">
        <v>9585</v>
      </c>
      <c r="F1858" s="571">
        <v>3</v>
      </c>
      <c r="G1858" s="572">
        <v>8.6292000000000009</v>
      </c>
      <c r="H1858" s="545">
        <v>25.887600000000003</v>
      </c>
      <c r="I1858" s="554" t="s">
        <v>9218</v>
      </c>
      <c r="J1858" s="554" t="s">
        <v>9219</v>
      </c>
      <c r="K1858" s="554" t="s">
        <v>9219</v>
      </c>
      <c r="L1858" s="537" t="s">
        <v>2354</v>
      </c>
    </row>
    <row r="1859" spans="1:12" x14ac:dyDescent="0.2">
      <c r="A1859" s="547" t="s">
        <v>220</v>
      </c>
      <c r="B1859" s="547" t="s">
        <v>2351</v>
      </c>
      <c r="C1859" s="554" t="s">
        <v>5228</v>
      </c>
      <c r="D1859" s="554" t="s">
        <v>5229</v>
      </c>
      <c r="E1859" s="554" t="s">
        <v>9585</v>
      </c>
      <c r="F1859" s="571">
        <v>12</v>
      </c>
      <c r="G1859" s="572">
        <v>11.5</v>
      </c>
      <c r="H1859" s="545">
        <v>138</v>
      </c>
      <c r="I1859" s="554" t="s">
        <v>9218</v>
      </c>
      <c r="J1859" s="554" t="s">
        <v>9219</v>
      </c>
      <c r="K1859" s="554" t="s">
        <v>9219</v>
      </c>
      <c r="L1859" s="537" t="s">
        <v>2354</v>
      </c>
    </row>
    <row r="1860" spans="1:12" x14ac:dyDescent="0.2">
      <c r="A1860" s="547" t="s">
        <v>220</v>
      </c>
      <c r="B1860" s="547" t="s">
        <v>2351</v>
      </c>
      <c r="C1860" s="554" t="s">
        <v>5234</v>
      </c>
      <c r="D1860" s="554" t="s">
        <v>5235</v>
      </c>
      <c r="E1860" s="554" t="s">
        <v>9585</v>
      </c>
      <c r="F1860" s="571">
        <v>1</v>
      </c>
      <c r="G1860" s="572">
        <v>17.940000000000001</v>
      </c>
      <c r="H1860" s="545">
        <v>17.940000000000001</v>
      </c>
      <c r="I1860" s="554" t="s">
        <v>9218</v>
      </c>
      <c r="J1860" s="554" t="s">
        <v>9219</v>
      </c>
      <c r="K1860" s="554" t="s">
        <v>9219</v>
      </c>
      <c r="L1860" s="537" t="s">
        <v>2354</v>
      </c>
    </row>
    <row r="1861" spans="1:12" x14ac:dyDescent="0.2">
      <c r="A1861" s="547" t="s">
        <v>220</v>
      </c>
      <c r="B1861" s="547" t="s">
        <v>2351</v>
      </c>
      <c r="C1861" s="554" t="s">
        <v>5236</v>
      </c>
      <c r="D1861" s="554" t="s">
        <v>5237</v>
      </c>
      <c r="E1861" s="554" t="s">
        <v>9585</v>
      </c>
      <c r="F1861" s="571">
        <v>1</v>
      </c>
      <c r="G1861" s="572">
        <v>158.625</v>
      </c>
      <c r="H1861" s="545">
        <v>158.625</v>
      </c>
      <c r="I1861" s="554" t="s">
        <v>9218</v>
      </c>
      <c r="J1861" s="554" t="s">
        <v>9219</v>
      </c>
      <c r="K1861" s="554" t="s">
        <v>9219</v>
      </c>
      <c r="L1861" s="537" t="s">
        <v>2354</v>
      </c>
    </row>
    <row r="1862" spans="1:12" x14ac:dyDescent="0.2">
      <c r="A1862" s="547" t="s">
        <v>220</v>
      </c>
      <c r="B1862" s="547" t="s">
        <v>2351</v>
      </c>
      <c r="C1862" s="554" t="s">
        <v>5238</v>
      </c>
      <c r="D1862" s="554" t="s">
        <v>5239</v>
      </c>
      <c r="E1862" s="554" t="s">
        <v>9585</v>
      </c>
      <c r="F1862" s="571">
        <v>8</v>
      </c>
      <c r="G1862" s="572">
        <v>1.6893</v>
      </c>
      <c r="H1862" s="545">
        <v>13.5144</v>
      </c>
      <c r="I1862" s="554" t="s">
        <v>9218</v>
      </c>
      <c r="J1862" s="554" t="s">
        <v>9219</v>
      </c>
      <c r="K1862" s="554" t="s">
        <v>9219</v>
      </c>
      <c r="L1862" s="537" t="s">
        <v>2354</v>
      </c>
    </row>
    <row r="1863" spans="1:12" x14ac:dyDescent="0.2">
      <c r="A1863" s="547" t="s">
        <v>220</v>
      </c>
      <c r="B1863" s="547" t="s">
        <v>2351</v>
      </c>
      <c r="C1863" s="554" t="s">
        <v>5242</v>
      </c>
      <c r="D1863" s="554" t="s">
        <v>5243</v>
      </c>
      <c r="E1863" s="554" t="s">
        <v>9585</v>
      </c>
      <c r="F1863" s="571">
        <v>2</v>
      </c>
      <c r="G1863" s="572">
        <v>25.6464</v>
      </c>
      <c r="H1863" s="545">
        <v>51.2928</v>
      </c>
      <c r="I1863" s="554" t="s">
        <v>9218</v>
      </c>
      <c r="J1863" s="554" t="s">
        <v>9219</v>
      </c>
      <c r="K1863" s="554" t="s">
        <v>9219</v>
      </c>
      <c r="L1863" s="537" t="s">
        <v>2354</v>
      </c>
    </row>
    <row r="1864" spans="1:12" x14ac:dyDescent="0.2">
      <c r="A1864" s="547" t="s">
        <v>220</v>
      </c>
      <c r="B1864" s="547" t="s">
        <v>2351</v>
      </c>
      <c r="C1864" s="554" t="s">
        <v>5244</v>
      </c>
      <c r="D1864" s="554" t="s">
        <v>5245</v>
      </c>
      <c r="E1864" s="554" t="s">
        <v>9585</v>
      </c>
      <c r="F1864" s="571">
        <v>12</v>
      </c>
      <c r="G1864" s="572">
        <v>11.8512</v>
      </c>
      <c r="H1864" s="545">
        <v>142.21440000000001</v>
      </c>
      <c r="I1864" s="554" t="s">
        <v>9218</v>
      </c>
      <c r="J1864" s="554" t="s">
        <v>9219</v>
      </c>
      <c r="K1864" s="554" t="s">
        <v>9219</v>
      </c>
      <c r="L1864" s="537" t="s">
        <v>2354</v>
      </c>
    </row>
    <row r="1865" spans="1:12" x14ac:dyDescent="0.2">
      <c r="A1865" s="547" t="s">
        <v>220</v>
      </c>
      <c r="B1865" s="547" t="s">
        <v>2351</v>
      </c>
      <c r="C1865" s="554" t="s">
        <v>5252</v>
      </c>
      <c r="D1865" s="554" t="s">
        <v>5253</v>
      </c>
      <c r="E1865" s="554" t="s">
        <v>9585</v>
      </c>
      <c r="F1865" s="571">
        <v>1</v>
      </c>
      <c r="G1865" s="572">
        <v>75.494450000000001</v>
      </c>
      <c r="H1865" s="545">
        <v>75.494450000000001</v>
      </c>
      <c r="I1865" s="554" t="s">
        <v>9218</v>
      </c>
      <c r="J1865" s="554" t="s">
        <v>9219</v>
      </c>
      <c r="K1865" s="554" t="s">
        <v>9219</v>
      </c>
      <c r="L1865" s="537" t="s">
        <v>2354</v>
      </c>
    </row>
    <row r="1866" spans="1:12" x14ac:dyDescent="0.2">
      <c r="A1866" s="547" t="s">
        <v>220</v>
      </c>
      <c r="B1866" s="547" t="s">
        <v>2351</v>
      </c>
      <c r="C1866" s="554" t="s">
        <v>5262</v>
      </c>
      <c r="D1866" s="554" t="s">
        <v>5263</v>
      </c>
      <c r="E1866" s="554" t="s">
        <v>9585</v>
      </c>
      <c r="F1866" s="571">
        <v>1</v>
      </c>
      <c r="G1866" s="572">
        <v>687.38800000000003</v>
      </c>
      <c r="H1866" s="545">
        <v>687.38800000000003</v>
      </c>
      <c r="I1866" s="554" t="s">
        <v>9218</v>
      </c>
      <c r="J1866" s="554" t="s">
        <v>9219</v>
      </c>
      <c r="K1866" s="554" t="s">
        <v>9219</v>
      </c>
      <c r="L1866" s="537" t="s">
        <v>2354</v>
      </c>
    </row>
    <row r="1867" spans="1:12" x14ac:dyDescent="0.2">
      <c r="A1867" s="547" t="s">
        <v>220</v>
      </c>
      <c r="B1867" s="547" t="s">
        <v>2351</v>
      </c>
      <c r="C1867" s="554" t="s">
        <v>5264</v>
      </c>
      <c r="D1867" s="554" t="s">
        <v>5265</v>
      </c>
      <c r="E1867" s="554" t="s">
        <v>9585</v>
      </c>
      <c r="F1867" s="571">
        <v>1</v>
      </c>
      <c r="G1867" s="572">
        <v>2788</v>
      </c>
      <c r="H1867" s="545">
        <v>2788</v>
      </c>
      <c r="I1867" s="554" t="s">
        <v>9218</v>
      </c>
      <c r="J1867" s="554" t="s">
        <v>9219</v>
      </c>
      <c r="K1867" s="554" t="s">
        <v>9219</v>
      </c>
      <c r="L1867" s="537" t="s">
        <v>2354</v>
      </c>
    </row>
    <row r="1868" spans="1:12" x14ac:dyDescent="0.2">
      <c r="A1868" s="547" t="s">
        <v>220</v>
      </c>
      <c r="B1868" s="547" t="s">
        <v>2351</v>
      </c>
      <c r="C1868" s="554" t="s">
        <v>5266</v>
      </c>
      <c r="D1868" s="554" t="s">
        <v>5267</v>
      </c>
      <c r="E1868" s="554" t="s">
        <v>9585</v>
      </c>
      <c r="F1868" s="571">
        <v>4</v>
      </c>
      <c r="G1868" s="572">
        <v>12.478999999999999</v>
      </c>
      <c r="H1868" s="545">
        <v>49.915999999999997</v>
      </c>
      <c r="I1868" s="554" t="s">
        <v>9218</v>
      </c>
      <c r="J1868" s="554" t="s">
        <v>9219</v>
      </c>
      <c r="K1868" s="554" t="s">
        <v>9219</v>
      </c>
      <c r="L1868" s="537" t="s">
        <v>2354</v>
      </c>
    </row>
    <row r="1869" spans="1:12" x14ac:dyDescent="0.2">
      <c r="A1869" s="547" t="s">
        <v>220</v>
      </c>
      <c r="B1869" s="547" t="s">
        <v>2351</v>
      </c>
      <c r="C1869" s="554" t="s">
        <v>5268</v>
      </c>
      <c r="D1869" s="554" t="s">
        <v>5269</v>
      </c>
      <c r="E1869" s="554" t="s">
        <v>9585</v>
      </c>
      <c r="F1869" s="571">
        <v>2</v>
      </c>
      <c r="G1869" s="572">
        <v>120</v>
      </c>
      <c r="H1869" s="545">
        <v>240</v>
      </c>
      <c r="I1869" s="554" t="s">
        <v>9218</v>
      </c>
      <c r="J1869" s="554" t="s">
        <v>9219</v>
      </c>
      <c r="K1869" s="554" t="s">
        <v>9219</v>
      </c>
      <c r="L1869" s="537" t="s">
        <v>2354</v>
      </c>
    </row>
    <row r="1870" spans="1:12" x14ac:dyDescent="0.2">
      <c r="A1870" s="547" t="s">
        <v>220</v>
      </c>
      <c r="B1870" s="547" t="s">
        <v>2351</v>
      </c>
      <c r="C1870" s="554" t="s">
        <v>5270</v>
      </c>
      <c r="D1870" s="554" t="s">
        <v>5271</v>
      </c>
      <c r="E1870" s="554" t="s">
        <v>9585</v>
      </c>
      <c r="F1870" s="571">
        <v>1</v>
      </c>
      <c r="G1870" s="572">
        <v>59.975999999999999</v>
      </c>
      <c r="H1870" s="545">
        <v>59.975999999999999</v>
      </c>
      <c r="I1870" s="554" t="s">
        <v>9218</v>
      </c>
      <c r="J1870" s="554" t="s">
        <v>9219</v>
      </c>
      <c r="K1870" s="554" t="s">
        <v>9219</v>
      </c>
      <c r="L1870" s="537" t="s">
        <v>2354</v>
      </c>
    </row>
    <row r="1871" spans="1:12" x14ac:dyDescent="0.2">
      <c r="A1871" s="547" t="s">
        <v>220</v>
      </c>
      <c r="B1871" s="547" t="s">
        <v>2351</v>
      </c>
      <c r="C1871" s="554" t="s">
        <v>9356</v>
      </c>
      <c r="D1871" s="554" t="s">
        <v>9357</v>
      </c>
      <c r="E1871" s="554" t="s">
        <v>9585</v>
      </c>
      <c r="F1871" s="571">
        <v>1</v>
      </c>
      <c r="G1871" s="572">
        <v>426.077</v>
      </c>
      <c r="H1871" s="545">
        <v>426.077</v>
      </c>
      <c r="I1871" s="554" t="s">
        <v>9218</v>
      </c>
      <c r="J1871" s="554" t="s">
        <v>9219</v>
      </c>
      <c r="K1871" s="554" t="s">
        <v>9219</v>
      </c>
      <c r="L1871" s="537" t="s">
        <v>2354</v>
      </c>
    </row>
    <row r="1872" spans="1:12" x14ac:dyDescent="0.2">
      <c r="A1872" s="547" t="s">
        <v>220</v>
      </c>
      <c r="B1872" s="547" t="s">
        <v>2351</v>
      </c>
      <c r="C1872" s="554" t="s">
        <v>5305</v>
      </c>
      <c r="D1872" s="554" t="s">
        <v>8895</v>
      </c>
      <c r="E1872" s="554" t="s">
        <v>9585</v>
      </c>
      <c r="F1872" s="571">
        <v>1</v>
      </c>
      <c r="G1872" s="572">
        <v>529.20000000000005</v>
      </c>
      <c r="H1872" s="545">
        <v>529.20000000000005</v>
      </c>
      <c r="I1872" s="554" t="s">
        <v>9218</v>
      </c>
      <c r="J1872" s="554" t="s">
        <v>9219</v>
      </c>
      <c r="K1872" s="554" t="s">
        <v>9219</v>
      </c>
      <c r="L1872" s="537" t="s">
        <v>2354</v>
      </c>
    </row>
    <row r="1873" spans="1:12" x14ac:dyDescent="0.2">
      <c r="A1873" s="547" t="s">
        <v>220</v>
      </c>
      <c r="B1873" s="547" t="s">
        <v>2351</v>
      </c>
      <c r="C1873" s="554" t="s">
        <v>5307</v>
      </c>
      <c r="D1873" s="554" t="s">
        <v>5308</v>
      </c>
      <c r="E1873" s="554" t="s">
        <v>9585</v>
      </c>
      <c r="F1873" s="571">
        <v>2</v>
      </c>
      <c r="G1873" s="572">
        <v>38.48715</v>
      </c>
      <c r="H1873" s="545">
        <v>76.974299999999999</v>
      </c>
      <c r="I1873" s="554" t="s">
        <v>9218</v>
      </c>
      <c r="J1873" s="554" t="s">
        <v>9219</v>
      </c>
      <c r="K1873" s="554" t="s">
        <v>9219</v>
      </c>
      <c r="L1873" s="537" t="s">
        <v>2354</v>
      </c>
    </row>
    <row r="1874" spans="1:12" x14ac:dyDescent="0.2">
      <c r="A1874" s="547" t="s">
        <v>220</v>
      </c>
      <c r="B1874" s="547" t="s">
        <v>2351</v>
      </c>
      <c r="C1874" s="554" t="s">
        <v>5396</v>
      </c>
      <c r="D1874" s="554" t="s">
        <v>5397</v>
      </c>
      <c r="E1874" s="554" t="s">
        <v>9585</v>
      </c>
      <c r="F1874" s="571">
        <v>8</v>
      </c>
      <c r="G1874" s="572">
        <v>59.585000000000001</v>
      </c>
      <c r="H1874" s="545">
        <v>476.68</v>
      </c>
      <c r="I1874" s="554" t="s">
        <v>9218</v>
      </c>
      <c r="J1874" s="554" t="s">
        <v>9219</v>
      </c>
      <c r="K1874" s="554" t="s">
        <v>9219</v>
      </c>
      <c r="L1874" s="537" t="s">
        <v>2354</v>
      </c>
    </row>
    <row r="1875" spans="1:12" x14ac:dyDescent="0.2">
      <c r="A1875" s="547" t="s">
        <v>220</v>
      </c>
      <c r="B1875" s="547" t="s">
        <v>2351</v>
      </c>
      <c r="C1875" s="554"/>
      <c r="D1875" s="554" t="s">
        <v>2443</v>
      </c>
      <c r="E1875" s="554" t="s">
        <v>9585</v>
      </c>
      <c r="F1875" s="571">
        <v>2</v>
      </c>
      <c r="G1875" s="572">
        <v>215.5</v>
      </c>
      <c r="H1875" s="545">
        <v>431</v>
      </c>
      <c r="I1875" s="554" t="s">
        <v>9218</v>
      </c>
      <c r="J1875" s="554" t="s">
        <v>9219</v>
      </c>
      <c r="K1875" s="554" t="s">
        <v>9219</v>
      </c>
      <c r="L1875" s="537" t="s">
        <v>2354</v>
      </c>
    </row>
    <row r="1876" spans="1:12" x14ac:dyDescent="0.2">
      <c r="A1876" s="547" t="s">
        <v>220</v>
      </c>
      <c r="B1876" s="547" t="s">
        <v>2351</v>
      </c>
      <c r="C1876" s="554"/>
      <c r="D1876" s="554" t="s">
        <v>9358</v>
      </c>
      <c r="E1876" s="554" t="s">
        <v>9585</v>
      </c>
      <c r="F1876" s="571">
        <v>2</v>
      </c>
      <c r="G1876" s="572">
        <v>39.619999999999997</v>
      </c>
      <c r="H1876" s="545">
        <v>79.239999999999995</v>
      </c>
      <c r="I1876" s="554" t="s">
        <v>9218</v>
      </c>
      <c r="J1876" s="554" t="s">
        <v>9219</v>
      </c>
      <c r="K1876" s="554" t="s">
        <v>9219</v>
      </c>
      <c r="L1876" s="537" t="s">
        <v>2354</v>
      </c>
    </row>
    <row r="1877" spans="1:12" x14ac:dyDescent="0.2">
      <c r="A1877" s="547" t="s">
        <v>220</v>
      </c>
      <c r="B1877" s="547" t="s">
        <v>2351</v>
      </c>
      <c r="C1877" s="554"/>
      <c r="D1877" s="554" t="s">
        <v>2443</v>
      </c>
      <c r="E1877" s="554" t="s">
        <v>9585</v>
      </c>
      <c r="F1877" s="571">
        <v>1</v>
      </c>
      <c r="G1877" s="572">
        <v>215.5</v>
      </c>
      <c r="H1877" s="545">
        <v>215.5</v>
      </c>
      <c r="I1877" s="554" t="s">
        <v>9218</v>
      </c>
      <c r="J1877" s="554" t="s">
        <v>9219</v>
      </c>
      <c r="K1877" s="554" t="s">
        <v>9219</v>
      </c>
      <c r="L1877" s="537" t="s">
        <v>2354</v>
      </c>
    </row>
    <row r="1878" spans="1:12" x14ac:dyDescent="0.2">
      <c r="A1878" s="547" t="s">
        <v>220</v>
      </c>
      <c r="B1878" s="547" t="s">
        <v>2351</v>
      </c>
      <c r="C1878" s="554"/>
      <c r="D1878" s="554" t="s">
        <v>9359</v>
      </c>
      <c r="E1878" s="554" t="s">
        <v>9585</v>
      </c>
      <c r="F1878" s="571">
        <v>2</v>
      </c>
      <c r="G1878" s="572">
        <v>68</v>
      </c>
      <c r="H1878" s="545">
        <v>136</v>
      </c>
      <c r="I1878" s="554" t="s">
        <v>9218</v>
      </c>
      <c r="J1878" s="554" t="s">
        <v>9219</v>
      </c>
      <c r="K1878" s="554" t="s">
        <v>9219</v>
      </c>
      <c r="L1878" s="537" t="s">
        <v>2354</v>
      </c>
    </row>
    <row r="1879" spans="1:12" x14ac:dyDescent="0.2">
      <c r="A1879" s="547" t="s">
        <v>220</v>
      </c>
      <c r="B1879" s="547" t="s">
        <v>2351</v>
      </c>
      <c r="C1879" s="554" t="s">
        <v>2385</v>
      </c>
      <c r="D1879" s="554" t="s">
        <v>9360</v>
      </c>
      <c r="E1879" s="554" t="s">
        <v>9585</v>
      </c>
      <c r="F1879" s="571">
        <v>2</v>
      </c>
      <c r="G1879" s="572">
        <v>96.39</v>
      </c>
      <c r="H1879" s="545">
        <v>192.78</v>
      </c>
      <c r="I1879" s="554" t="s">
        <v>9218</v>
      </c>
      <c r="J1879" s="554" t="s">
        <v>9219</v>
      </c>
      <c r="K1879" s="554" t="s">
        <v>9219</v>
      </c>
      <c r="L1879" s="537" t="s">
        <v>2354</v>
      </c>
    </row>
    <row r="1880" spans="1:12" x14ac:dyDescent="0.2">
      <c r="A1880" s="547" t="s">
        <v>220</v>
      </c>
      <c r="B1880" s="547" t="s">
        <v>2351</v>
      </c>
      <c r="C1880" s="554" t="s">
        <v>2417</v>
      </c>
      <c r="D1880" s="554" t="s">
        <v>2438</v>
      </c>
      <c r="E1880" s="554" t="s">
        <v>545</v>
      </c>
      <c r="F1880" s="571">
        <v>6.23</v>
      </c>
      <c r="G1880" s="572">
        <v>7.23</v>
      </c>
      <c r="H1880" s="545">
        <v>45.042900000000003</v>
      </c>
      <c r="I1880" s="554" t="s">
        <v>9218</v>
      </c>
      <c r="J1880" s="554" t="s">
        <v>9219</v>
      </c>
      <c r="K1880" s="554" t="s">
        <v>9219</v>
      </c>
      <c r="L1880" s="537" t="s">
        <v>2354</v>
      </c>
    </row>
    <row r="1881" spans="1:12" x14ac:dyDescent="0.2">
      <c r="A1881" s="547" t="s">
        <v>220</v>
      </c>
      <c r="B1881" s="547" t="s">
        <v>2351</v>
      </c>
      <c r="C1881" s="554" t="s">
        <v>2417</v>
      </c>
      <c r="D1881" s="554" t="s">
        <v>2437</v>
      </c>
      <c r="E1881" s="554" t="s">
        <v>545</v>
      </c>
      <c r="F1881" s="571">
        <v>10</v>
      </c>
      <c r="G1881" s="572">
        <v>6.78</v>
      </c>
      <c r="H1881" s="545">
        <v>67.8</v>
      </c>
      <c r="I1881" s="554" t="s">
        <v>9218</v>
      </c>
      <c r="J1881" s="554" t="s">
        <v>9219</v>
      </c>
      <c r="K1881" s="554" t="s">
        <v>9219</v>
      </c>
      <c r="L1881" s="537" t="s">
        <v>2354</v>
      </c>
    </row>
    <row r="1882" spans="1:12" x14ac:dyDescent="0.2">
      <c r="A1882" s="547" t="s">
        <v>220</v>
      </c>
      <c r="B1882" s="547" t="s">
        <v>2351</v>
      </c>
      <c r="C1882" s="554" t="s">
        <v>2417</v>
      </c>
      <c r="D1882" s="554" t="s">
        <v>2442</v>
      </c>
      <c r="E1882" s="554" t="s">
        <v>545</v>
      </c>
      <c r="F1882" s="571">
        <v>5</v>
      </c>
      <c r="G1882" s="572">
        <v>4.8</v>
      </c>
      <c r="H1882" s="545">
        <v>24</v>
      </c>
      <c r="I1882" s="554" t="s">
        <v>9218</v>
      </c>
      <c r="J1882" s="554" t="s">
        <v>9219</v>
      </c>
      <c r="K1882" s="554" t="s">
        <v>9219</v>
      </c>
      <c r="L1882" s="537" t="s">
        <v>2354</v>
      </c>
    </row>
    <row r="1883" spans="1:12" x14ac:dyDescent="0.2">
      <c r="A1883" s="547" t="s">
        <v>220</v>
      </c>
      <c r="B1883" s="547" t="s">
        <v>2351</v>
      </c>
      <c r="C1883" s="554" t="s">
        <v>2496</v>
      </c>
      <c r="D1883" s="554" t="s">
        <v>2497</v>
      </c>
      <c r="E1883" s="554" t="s">
        <v>545</v>
      </c>
      <c r="F1883" s="571">
        <v>262</v>
      </c>
      <c r="G1883" s="572">
        <v>2.5506016440962149</v>
      </c>
      <c r="H1883" s="545">
        <v>668.25763075320833</v>
      </c>
      <c r="I1883" s="554" t="s">
        <v>9218</v>
      </c>
      <c r="J1883" s="554" t="s">
        <v>9219</v>
      </c>
      <c r="K1883" s="554" t="s">
        <v>9219</v>
      </c>
      <c r="L1883" s="537" t="s">
        <v>2354</v>
      </c>
    </row>
    <row r="1884" spans="1:12" x14ac:dyDescent="0.2">
      <c r="A1884" s="547" t="s">
        <v>220</v>
      </c>
      <c r="B1884" s="547" t="s">
        <v>2351</v>
      </c>
      <c r="C1884" s="554" t="s">
        <v>5463</v>
      </c>
      <c r="D1884" s="554" t="s">
        <v>5464</v>
      </c>
      <c r="E1884" s="554" t="s">
        <v>9585</v>
      </c>
      <c r="F1884" s="571">
        <v>100</v>
      </c>
      <c r="G1884" s="572">
        <v>0.86299999999999999</v>
      </c>
      <c r="H1884" s="545">
        <v>86.3</v>
      </c>
      <c r="I1884" s="554" t="s">
        <v>9218</v>
      </c>
      <c r="J1884" s="554" t="s">
        <v>9219</v>
      </c>
      <c r="K1884" s="554" t="s">
        <v>9219</v>
      </c>
      <c r="L1884" s="537" t="s">
        <v>2354</v>
      </c>
    </row>
    <row r="1885" spans="1:12" x14ac:dyDescent="0.2">
      <c r="A1885" s="547" t="s">
        <v>220</v>
      </c>
      <c r="B1885" s="547" t="s">
        <v>2351</v>
      </c>
      <c r="C1885" s="554" t="s">
        <v>2498</v>
      </c>
      <c r="D1885" s="554" t="s">
        <v>2499</v>
      </c>
      <c r="E1885" s="554" t="s">
        <v>545</v>
      </c>
      <c r="F1885" s="571">
        <v>145</v>
      </c>
      <c r="G1885" s="572">
        <v>30.827600000000004</v>
      </c>
      <c r="H1885" s="545">
        <v>4470.0020000000004</v>
      </c>
      <c r="I1885" s="554" t="s">
        <v>9218</v>
      </c>
      <c r="J1885" s="554" t="s">
        <v>9219</v>
      </c>
      <c r="K1885" s="554" t="s">
        <v>9219</v>
      </c>
      <c r="L1885" s="537" t="s">
        <v>2354</v>
      </c>
    </row>
    <row r="1886" spans="1:12" x14ac:dyDescent="0.2">
      <c r="A1886" s="547" t="s">
        <v>220</v>
      </c>
      <c r="B1886" s="547" t="s">
        <v>2351</v>
      </c>
      <c r="C1886" s="554" t="s">
        <v>2530</v>
      </c>
      <c r="D1886" s="554" t="s">
        <v>2531</v>
      </c>
      <c r="E1886" s="554" t="s">
        <v>545</v>
      </c>
      <c r="F1886" s="571">
        <v>35</v>
      </c>
      <c r="G1886" s="572">
        <v>33.313431199999997</v>
      </c>
      <c r="H1886" s="545">
        <v>1165.9700919999998</v>
      </c>
      <c r="I1886" s="554" t="s">
        <v>9218</v>
      </c>
      <c r="J1886" s="554" t="s">
        <v>9219</v>
      </c>
      <c r="K1886" s="554" t="s">
        <v>9219</v>
      </c>
      <c r="L1886" s="537" t="s">
        <v>2354</v>
      </c>
    </row>
    <row r="1887" spans="1:12" x14ac:dyDescent="0.2">
      <c r="A1887" s="547" t="s">
        <v>220</v>
      </c>
      <c r="B1887" s="547" t="s">
        <v>2351</v>
      </c>
      <c r="C1887" s="554" t="s">
        <v>2816</v>
      </c>
      <c r="D1887" s="554" t="s">
        <v>2817</v>
      </c>
      <c r="E1887" s="554" t="s">
        <v>545</v>
      </c>
      <c r="F1887" s="571">
        <v>8</v>
      </c>
      <c r="G1887" s="572">
        <v>3.7124999999999999</v>
      </c>
      <c r="H1887" s="545">
        <v>29.7</v>
      </c>
      <c r="I1887" s="554" t="s">
        <v>9218</v>
      </c>
      <c r="J1887" s="554" t="s">
        <v>9219</v>
      </c>
      <c r="K1887" s="554" t="s">
        <v>9219</v>
      </c>
      <c r="L1887" s="537" t="s">
        <v>2354</v>
      </c>
    </row>
    <row r="1888" spans="1:12" x14ac:dyDescent="0.2">
      <c r="A1888" s="547" t="s">
        <v>220</v>
      </c>
      <c r="B1888" s="547" t="s">
        <v>2351</v>
      </c>
      <c r="C1888" s="554" t="s">
        <v>2818</v>
      </c>
      <c r="D1888" s="554" t="s">
        <v>2819</v>
      </c>
      <c r="E1888" s="554" t="s">
        <v>545</v>
      </c>
      <c r="F1888" s="571">
        <v>9</v>
      </c>
      <c r="G1888" s="572">
        <v>3.7124999999999999</v>
      </c>
      <c r="H1888" s="545">
        <v>33.412500000000001</v>
      </c>
      <c r="I1888" s="554" t="s">
        <v>9218</v>
      </c>
      <c r="J1888" s="554" t="s">
        <v>9219</v>
      </c>
      <c r="K1888" s="554" t="s">
        <v>9219</v>
      </c>
      <c r="L1888" s="537" t="s">
        <v>2354</v>
      </c>
    </row>
    <row r="1889" spans="1:12" x14ac:dyDescent="0.2">
      <c r="A1889" s="547" t="s">
        <v>220</v>
      </c>
      <c r="B1889" s="547" t="s">
        <v>2351</v>
      </c>
      <c r="C1889" s="554" t="s">
        <v>3157</v>
      </c>
      <c r="D1889" s="554" t="s">
        <v>3158</v>
      </c>
      <c r="E1889" s="554" t="s">
        <v>545</v>
      </c>
      <c r="F1889" s="571">
        <v>1</v>
      </c>
      <c r="G1889" s="572">
        <v>44.155799999999999</v>
      </c>
      <c r="H1889" s="545">
        <v>44.155799999999999</v>
      </c>
      <c r="I1889" s="554" t="s">
        <v>9218</v>
      </c>
      <c r="J1889" s="554" t="s">
        <v>9219</v>
      </c>
      <c r="K1889" s="554" t="s">
        <v>9219</v>
      </c>
      <c r="L1889" s="537" t="s">
        <v>2354</v>
      </c>
    </row>
    <row r="1890" spans="1:12" x14ac:dyDescent="0.2">
      <c r="A1890" s="547" t="s">
        <v>220</v>
      </c>
      <c r="B1890" s="547" t="s">
        <v>2351</v>
      </c>
      <c r="C1890" s="554" t="s">
        <v>3167</v>
      </c>
      <c r="D1890" s="554" t="s">
        <v>3168</v>
      </c>
      <c r="E1890" s="554" t="s">
        <v>545</v>
      </c>
      <c r="F1890" s="571">
        <v>1</v>
      </c>
      <c r="G1890" s="572">
        <v>35.167949999999998</v>
      </c>
      <c r="H1890" s="545">
        <v>35.167949999999998</v>
      </c>
      <c r="I1890" s="554" t="s">
        <v>9218</v>
      </c>
      <c r="J1890" s="554" t="s">
        <v>9219</v>
      </c>
      <c r="K1890" s="554" t="s">
        <v>9219</v>
      </c>
      <c r="L1890" s="537" t="s">
        <v>2354</v>
      </c>
    </row>
    <row r="1891" spans="1:12" x14ac:dyDescent="0.2">
      <c r="A1891" s="547" t="s">
        <v>220</v>
      </c>
      <c r="B1891" s="547" t="s">
        <v>2351</v>
      </c>
      <c r="C1891" s="554" t="s">
        <v>3183</v>
      </c>
      <c r="D1891" s="554" t="s">
        <v>3184</v>
      </c>
      <c r="E1891" s="554" t="s">
        <v>545</v>
      </c>
      <c r="F1891" s="571">
        <v>11</v>
      </c>
      <c r="G1891" s="572">
        <v>0.38900000000000001</v>
      </c>
      <c r="H1891" s="545">
        <v>4.2789999999999999</v>
      </c>
      <c r="I1891" s="554" t="s">
        <v>9218</v>
      </c>
      <c r="J1891" s="554" t="s">
        <v>9219</v>
      </c>
      <c r="K1891" s="554" t="s">
        <v>9219</v>
      </c>
      <c r="L1891" s="537" t="s">
        <v>2354</v>
      </c>
    </row>
    <row r="1892" spans="1:12" x14ac:dyDescent="0.2">
      <c r="A1892" s="547" t="s">
        <v>220</v>
      </c>
      <c r="B1892" s="547" t="s">
        <v>2351</v>
      </c>
      <c r="C1892" s="554" t="s">
        <v>3185</v>
      </c>
      <c r="D1892" s="554" t="s">
        <v>3186</v>
      </c>
      <c r="E1892" s="554" t="s">
        <v>545</v>
      </c>
      <c r="F1892" s="571">
        <v>11</v>
      </c>
      <c r="G1892" s="572">
        <v>0.22900000000000001</v>
      </c>
      <c r="H1892" s="545">
        <v>2.5190000000000001</v>
      </c>
      <c r="I1892" s="554" t="s">
        <v>9218</v>
      </c>
      <c r="J1892" s="554" t="s">
        <v>9219</v>
      </c>
      <c r="K1892" s="554" t="s">
        <v>9219</v>
      </c>
      <c r="L1892" s="537" t="s">
        <v>2354</v>
      </c>
    </row>
    <row r="1893" spans="1:12" x14ac:dyDescent="0.2">
      <c r="A1893" s="547" t="s">
        <v>220</v>
      </c>
      <c r="B1893" s="547" t="s">
        <v>2351</v>
      </c>
      <c r="C1893" s="554" t="s">
        <v>3187</v>
      </c>
      <c r="D1893" s="554" t="s">
        <v>3188</v>
      </c>
      <c r="E1893" s="554" t="s">
        <v>545</v>
      </c>
      <c r="F1893" s="571">
        <v>15</v>
      </c>
      <c r="G1893" s="572">
        <v>0.114</v>
      </c>
      <c r="H1893" s="545">
        <v>1.71</v>
      </c>
      <c r="I1893" s="554" t="s">
        <v>9218</v>
      </c>
      <c r="J1893" s="554" t="s">
        <v>9219</v>
      </c>
      <c r="K1893" s="554" t="s">
        <v>9219</v>
      </c>
      <c r="L1893" s="537" t="s">
        <v>2354</v>
      </c>
    </row>
    <row r="1894" spans="1:12" x14ac:dyDescent="0.2">
      <c r="A1894" s="547" t="s">
        <v>220</v>
      </c>
      <c r="B1894" s="547" t="s">
        <v>2351</v>
      </c>
      <c r="C1894" s="554" t="s">
        <v>3189</v>
      </c>
      <c r="D1894" s="554" t="s">
        <v>3190</v>
      </c>
      <c r="E1894" s="554" t="s">
        <v>545</v>
      </c>
      <c r="F1894" s="571">
        <v>8</v>
      </c>
      <c r="G1894" s="572">
        <v>1.681</v>
      </c>
      <c r="H1894" s="545">
        <v>13.448</v>
      </c>
      <c r="I1894" s="554" t="s">
        <v>9218</v>
      </c>
      <c r="J1894" s="554" t="s">
        <v>9219</v>
      </c>
      <c r="K1894" s="554" t="s">
        <v>9219</v>
      </c>
      <c r="L1894" s="537" t="s">
        <v>2354</v>
      </c>
    </row>
    <row r="1895" spans="1:12" x14ac:dyDescent="0.2">
      <c r="A1895" s="547" t="s">
        <v>220</v>
      </c>
      <c r="B1895" s="547" t="s">
        <v>2351</v>
      </c>
      <c r="C1895" s="554" t="s">
        <v>3191</v>
      </c>
      <c r="D1895" s="554" t="s">
        <v>3192</v>
      </c>
      <c r="E1895" s="554" t="s">
        <v>9585</v>
      </c>
      <c r="F1895" s="571">
        <v>10</v>
      </c>
      <c r="G1895" s="572">
        <v>2.2610000000000001</v>
      </c>
      <c r="H1895" s="545">
        <v>22.61</v>
      </c>
      <c r="I1895" s="554" t="s">
        <v>9218</v>
      </c>
      <c r="J1895" s="554" t="s">
        <v>9219</v>
      </c>
      <c r="K1895" s="554" t="s">
        <v>9219</v>
      </c>
      <c r="L1895" s="537" t="s">
        <v>2354</v>
      </c>
    </row>
    <row r="1896" spans="1:12" x14ac:dyDescent="0.2">
      <c r="A1896" s="547" t="s">
        <v>220</v>
      </c>
      <c r="B1896" s="547" t="s">
        <v>2351</v>
      </c>
      <c r="C1896" s="554" t="s">
        <v>3193</v>
      </c>
      <c r="D1896" s="554" t="s">
        <v>3194</v>
      </c>
      <c r="E1896" s="554" t="s">
        <v>9585</v>
      </c>
      <c r="F1896" s="571">
        <v>10</v>
      </c>
      <c r="G1896" s="572">
        <v>0.42</v>
      </c>
      <c r="H1896" s="545">
        <v>4.2</v>
      </c>
      <c r="I1896" s="554" t="s">
        <v>9218</v>
      </c>
      <c r="J1896" s="554" t="s">
        <v>9219</v>
      </c>
      <c r="K1896" s="554" t="s">
        <v>9219</v>
      </c>
      <c r="L1896" s="537" t="s">
        <v>2354</v>
      </c>
    </row>
    <row r="1897" spans="1:12" x14ac:dyDescent="0.2">
      <c r="A1897" s="547" t="s">
        <v>220</v>
      </c>
      <c r="B1897" s="547" t="s">
        <v>2351</v>
      </c>
      <c r="C1897" s="554" t="s">
        <v>3195</v>
      </c>
      <c r="D1897" s="554" t="s">
        <v>3196</v>
      </c>
      <c r="E1897" s="554" t="s">
        <v>9585</v>
      </c>
      <c r="F1897" s="571">
        <v>1</v>
      </c>
      <c r="G1897" s="572">
        <v>13.99</v>
      </c>
      <c r="H1897" s="545">
        <v>13.99</v>
      </c>
      <c r="I1897" s="554" t="s">
        <v>9218</v>
      </c>
      <c r="J1897" s="554" t="s">
        <v>9219</v>
      </c>
      <c r="K1897" s="554" t="s">
        <v>9219</v>
      </c>
      <c r="L1897" s="537" t="s">
        <v>2354</v>
      </c>
    </row>
    <row r="1898" spans="1:12" x14ac:dyDescent="0.2">
      <c r="A1898" s="547" t="s">
        <v>220</v>
      </c>
      <c r="B1898" s="547" t="s">
        <v>2351</v>
      </c>
      <c r="C1898" s="554" t="s">
        <v>3197</v>
      </c>
      <c r="D1898" s="554" t="s">
        <v>3198</v>
      </c>
      <c r="E1898" s="554" t="s">
        <v>9585</v>
      </c>
      <c r="F1898" s="571">
        <v>1</v>
      </c>
      <c r="G1898" s="572">
        <v>16.638999999999999</v>
      </c>
      <c r="H1898" s="545">
        <v>16.638999999999999</v>
      </c>
      <c r="I1898" s="554" t="s">
        <v>9218</v>
      </c>
      <c r="J1898" s="554" t="s">
        <v>9219</v>
      </c>
      <c r="K1898" s="554" t="s">
        <v>9219</v>
      </c>
      <c r="L1898" s="537" t="s">
        <v>2354</v>
      </c>
    </row>
    <row r="1899" spans="1:12" x14ac:dyDescent="0.2">
      <c r="A1899" s="547" t="s">
        <v>220</v>
      </c>
      <c r="B1899" s="547" t="s">
        <v>2351</v>
      </c>
      <c r="C1899" s="554" t="s">
        <v>3209</v>
      </c>
      <c r="D1899" s="554" t="s">
        <v>3210</v>
      </c>
      <c r="E1899" s="554" t="s">
        <v>9585</v>
      </c>
      <c r="F1899" s="571">
        <v>20</v>
      </c>
      <c r="G1899" s="572">
        <v>3.5928</v>
      </c>
      <c r="H1899" s="545">
        <v>71.855999999999995</v>
      </c>
      <c r="I1899" s="554" t="s">
        <v>9218</v>
      </c>
      <c r="J1899" s="554" t="s">
        <v>9219</v>
      </c>
      <c r="K1899" s="554" t="s">
        <v>9219</v>
      </c>
      <c r="L1899" s="537" t="s">
        <v>2354</v>
      </c>
    </row>
    <row r="1900" spans="1:12" x14ac:dyDescent="0.2">
      <c r="A1900" s="547" t="s">
        <v>220</v>
      </c>
      <c r="B1900" s="547" t="s">
        <v>2351</v>
      </c>
      <c r="C1900" s="554" t="s">
        <v>3211</v>
      </c>
      <c r="D1900" s="554" t="s">
        <v>3212</v>
      </c>
      <c r="E1900" s="554" t="s">
        <v>9585</v>
      </c>
      <c r="F1900" s="571">
        <v>36</v>
      </c>
      <c r="G1900" s="572">
        <v>0.41129999999999994</v>
      </c>
      <c r="H1900" s="545">
        <v>14.806799999999997</v>
      </c>
      <c r="I1900" s="554" t="s">
        <v>9218</v>
      </c>
      <c r="J1900" s="554" t="s">
        <v>9219</v>
      </c>
      <c r="K1900" s="554" t="s">
        <v>9219</v>
      </c>
      <c r="L1900" s="537" t="s">
        <v>2354</v>
      </c>
    </row>
    <row r="1901" spans="1:12" x14ac:dyDescent="0.2">
      <c r="A1901" s="547" t="s">
        <v>220</v>
      </c>
      <c r="B1901" s="547" t="s">
        <v>2351</v>
      </c>
      <c r="C1901" s="554" t="s">
        <v>3213</v>
      </c>
      <c r="D1901" s="554" t="s">
        <v>3214</v>
      </c>
      <c r="E1901" s="554" t="s">
        <v>9585</v>
      </c>
      <c r="F1901" s="571">
        <v>31</v>
      </c>
      <c r="G1901" s="572">
        <v>0.70656967213114763</v>
      </c>
      <c r="H1901" s="545">
        <v>21.903659836065575</v>
      </c>
      <c r="I1901" s="554" t="s">
        <v>9218</v>
      </c>
      <c r="J1901" s="554" t="s">
        <v>9219</v>
      </c>
      <c r="K1901" s="554" t="s">
        <v>9219</v>
      </c>
      <c r="L1901" s="537" t="s">
        <v>2354</v>
      </c>
    </row>
    <row r="1902" spans="1:12" x14ac:dyDescent="0.2">
      <c r="A1902" s="547" t="s">
        <v>220</v>
      </c>
      <c r="B1902" s="547" t="s">
        <v>2351</v>
      </c>
      <c r="C1902" s="554" t="s">
        <v>3215</v>
      </c>
      <c r="D1902" s="554" t="s">
        <v>3216</v>
      </c>
      <c r="E1902" s="554" t="s">
        <v>9585</v>
      </c>
      <c r="F1902" s="571">
        <v>20</v>
      </c>
      <c r="G1902" s="572">
        <v>0.89190000000000003</v>
      </c>
      <c r="H1902" s="545">
        <v>17.838000000000001</v>
      </c>
      <c r="I1902" s="554" t="s">
        <v>9218</v>
      </c>
      <c r="J1902" s="554" t="s">
        <v>9219</v>
      </c>
      <c r="K1902" s="554" t="s">
        <v>9219</v>
      </c>
      <c r="L1902" s="537" t="s">
        <v>2354</v>
      </c>
    </row>
    <row r="1903" spans="1:12" x14ac:dyDescent="0.2">
      <c r="A1903" s="547" t="s">
        <v>220</v>
      </c>
      <c r="B1903" s="547" t="s">
        <v>2351</v>
      </c>
      <c r="C1903" s="554" t="s">
        <v>3217</v>
      </c>
      <c r="D1903" s="554" t="s">
        <v>3218</v>
      </c>
      <c r="E1903" s="554" t="s">
        <v>9585</v>
      </c>
      <c r="F1903" s="571">
        <v>29</v>
      </c>
      <c r="G1903" s="572">
        <v>0.89190000000000003</v>
      </c>
      <c r="H1903" s="545">
        <v>25.865100000000002</v>
      </c>
      <c r="I1903" s="554" t="s">
        <v>9218</v>
      </c>
      <c r="J1903" s="554" t="s">
        <v>9219</v>
      </c>
      <c r="K1903" s="554" t="s">
        <v>9219</v>
      </c>
      <c r="L1903" s="537" t="s">
        <v>2354</v>
      </c>
    </row>
    <row r="1904" spans="1:12" x14ac:dyDescent="0.2">
      <c r="A1904" s="547" t="s">
        <v>220</v>
      </c>
      <c r="B1904" s="547" t="s">
        <v>2351</v>
      </c>
      <c r="C1904" s="554" t="s">
        <v>3219</v>
      </c>
      <c r="D1904" s="554" t="s">
        <v>3220</v>
      </c>
      <c r="E1904" s="554" t="s">
        <v>9585</v>
      </c>
      <c r="F1904" s="571">
        <v>20</v>
      </c>
      <c r="G1904" s="572">
        <v>0.89190000000000003</v>
      </c>
      <c r="H1904" s="545">
        <v>17.838000000000001</v>
      </c>
      <c r="I1904" s="554" t="s">
        <v>9218</v>
      </c>
      <c r="J1904" s="554" t="s">
        <v>9219</v>
      </c>
      <c r="K1904" s="554" t="s">
        <v>9219</v>
      </c>
      <c r="L1904" s="537" t="s">
        <v>2354</v>
      </c>
    </row>
    <row r="1905" spans="1:12" x14ac:dyDescent="0.2">
      <c r="A1905" s="547" t="s">
        <v>220</v>
      </c>
      <c r="B1905" s="547" t="s">
        <v>2351</v>
      </c>
      <c r="C1905" s="554" t="s">
        <v>3223</v>
      </c>
      <c r="D1905" s="554" t="s">
        <v>3224</v>
      </c>
      <c r="E1905" s="554" t="s">
        <v>9585</v>
      </c>
      <c r="F1905" s="571">
        <v>7</v>
      </c>
      <c r="G1905" s="572">
        <v>1.5</v>
      </c>
      <c r="H1905" s="545">
        <v>10.5</v>
      </c>
      <c r="I1905" s="554" t="s">
        <v>9218</v>
      </c>
      <c r="J1905" s="554" t="s">
        <v>9219</v>
      </c>
      <c r="K1905" s="554" t="s">
        <v>9219</v>
      </c>
      <c r="L1905" s="537" t="s">
        <v>2354</v>
      </c>
    </row>
    <row r="1906" spans="1:12" x14ac:dyDescent="0.2">
      <c r="A1906" s="547" t="s">
        <v>220</v>
      </c>
      <c r="B1906" s="547" t="s">
        <v>2351</v>
      </c>
      <c r="C1906" s="554" t="s">
        <v>3357</v>
      </c>
      <c r="D1906" s="554" t="s">
        <v>3358</v>
      </c>
      <c r="E1906" s="554" t="s">
        <v>9585</v>
      </c>
      <c r="F1906" s="571">
        <v>28</v>
      </c>
      <c r="G1906" s="572">
        <v>0.36099999999999999</v>
      </c>
      <c r="H1906" s="545">
        <v>10.108000000000001</v>
      </c>
      <c r="I1906" s="554" t="s">
        <v>9218</v>
      </c>
      <c r="J1906" s="554" t="s">
        <v>9219</v>
      </c>
      <c r="K1906" s="554" t="s">
        <v>9219</v>
      </c>
      <c r="L1906" s="537" t="s">
        <v>2354</v>
      </c>
    </row>
    <row r="1907" spans="1:12" x14ac:dyDescent="0.2">
      <c r="A1907" s="547" t="s">
        <v>220</v>
      </c>
      <c r="B1907" s="547" t="s">
        <v>2351</v>
      </c>
      <c r="C1907" s="554" t="s">
        <v>3359</v>
      </c>
      <c r="D1907" s="554" t="s">
        <v>3360</v>
      </c>
      <c r="E1907" s="554" t="s">
        <v>9585</v>
      </c>
      <c r="F1907" s="571">
        <v>90</v>
      </c>
      <c r="G1907" s="572">
        <v>0.10199999999999999</v>
      </c>
      <c r="H1907" s="545">
        <v>9.18</v>
      </c>
      <c r="I1907" s="554" t="s">
        <v>9218</v>
      </c>
      <c r="J1907" s="554" t="s">
        <v>9219</v>
      </c>
      <c r="K1907" s="554" t="s">
        <v>9219</v>
      </c>
      <c r="L1907" s="537" t="s">
        <v>2354</v>
      </c>
    </row>
    <row r="1908" spans="1:12" x14ac:dyDescent="0.2">
      <c r="A1908" s="547" t="s">
        <v>220</v>
      </c>
      <c r="B1908" s="547" t="s">
        <v>2351</v>
      </c>
      <c r="C1908" s="554" t="s">
        <v>3453</v>
      </c>
      <c r="D1908" s="554" t="s">
        <v>3454</v>
      </c>
      <c r="E1908" s="554" t="s">
        <v>9585</v>
      </c>
      <c r="F1908" s="571">
        <v>170</v>
      </c>
      <c r="G1908" s="572">
        <v>1.1475</v>
      </c>
      <c r="H1908" s="545">
        <v>195.07499999999999</v>
      </c>
      <c r="I1908" s="554" t="s">
        <v>9218</v>
      </c>
      <c r="J1908" s="554" t="s">
        <v>9219</v>
      </c>
      <c r="K1908" s="554" t="s">
        <v>9219</v>
      </c>
      <c r="L1908" s="537" t="s">
        <v>2354</v>
      </c>
    </row>
    <row r="1909" spans="1:12" x14ac:dyDescent="0.2">
      <c r="A1909" s="547" t="s">
        <v>220</v>
      </c>
      <c r="B1909" s="547" t="s">
        <v>2351</v>
      </c>
      <c r="C1909" s="554" t="s">
        <v>3455</v>
      </c>
      <c r="D1909" s="554" t="s">
        <v>3456</v>
      </c>
      <c r="E1909" s="554" t="s">
        <v>9585</v>
      </c>
      <c r="F1909" s="571">
        <v>194</v>
      </c>
      <c r="G1909" s="572">
        <v>1.6575</v>
      </c>
      <c r="H1909" s="545">
        <v>321.55500000000001</v>
      </c>
      <c r="I1909" s="554" t="s">
        <v>9218</v>
      </c>
      <c r="J1909" s="554" t="s">
        <v>9219</v>
      </c>
      <c r="K1909" s="554" t="s">
        <v>9219</v>
      </c>
      <c r="L1909" s="537" t="s">
        <v>2354</v>
      </c>
    </row>
    <row r="1910" spans="1:12" x14ac:dyDescent="0.2">
      <c r="A1910" s="547" t="s">
        <v>220</v>
      </c>
      <c r="B1910" s="547" t="s">
        <v>2351</v>
      </c>
      <c r="C1910" s="554" t="s">
        <v>3457</v>
      </c>
      <c r="D1910" s="554" t="s">
        <v>3458</v>
      </c>
      <c r="E1910" s="554" t="s">
        <v>9585</v>
      </c>
      <c r="F1910" s="571">
        <v>113</v>
      </c>
      <c r="G1910" s="572">
        <v>2.46</v>
      </c>
      <c r="H1910" s="545">
        <v>277.98</v>
      </c>
      <c r="I1910" s="554" t="s">
        <v>9218</v>
      </c>
      <c r="J1910" s="554" t="s">
        <v>9219</v>
      </c>
      <c r="K1910" s="554" t="s">
        <v>9219</v>
      </c>
      <c r="L1910" s="537" t="s">
        <v>2354</v>
      </c>
    </row>
    <row r="1911" spans="1:12" x14ac:dyDescent="0.2">
      <c r="A1911" s="547" t="s">
        <v>220</v>
      </c>
      <c r="B1911" s="547" t="s">
        <v>2351</v>
      </c>
      <c r="C1911" s="554" t="s">
        <v>3459</v>
      </c>
      <c r="D1911" s="554" t="s">
        <v>3460</v>
      </c>
      <c r="E1911" s="554" t="s">
        <v>9585</v>
      </c>
      <c r="F1911" s="571">
        <v>150</v>
      </c>
      <c r="G1911" s="572">
        <v>2.5245000000000002</v>
      </c>
      <c r="H1911" s="545">
        <v>378.67500000000001</v>
      </c>
      <c r="I1911" s="554" t="s">
        <v>9218</v>
      </c>
      <c r="J1911" s="554" t="s">
        <v>9219</v>
      </c>
      <c r="K1911" s="554" t="s">
        <v>9219</v>
      </c>
      <c r="L1911" s="537" t="s">
        <v>2354</v>
      </c>
    </row>
    <row r="1912" spans="1:12" x14ac:dyDescent="0.2">
      <c r="A1912" s="547" t="s">
        <v>220</v>
      </c>
      <c r="B1912" s="547" t="s">
        <v>2351</v>
      </c>
      <c r="C1912" s="554" t="s">
        <v>3461</v>
      </c>
      <c r="D1912" s="554" t="s">
        <v>3462</v>
      </c>
      <c r="E1912" s="554" t="s">
        <v>9585</v>
      </c>
      <c r="F1912" s="571">
        <v>44</v>
      </c>
      <c r="G1912" s="572">
        <v>3.33</v>
      </c>
      <c r="H1912" s="545">
        <v>146.52000000000001</v>
      </c>
      <c r="I1912" s="554" t="s">
        <v>9218</v>
      </c>
      <c r="J1912" s="554" t="s">
        <v>9219</v>
      </c>
      <c r="K1912" s="554" t="s">
        <v>9219</v>
      </c>
      <c r="L1912" s="537" t="s">
        <v>2354</v>
      </c>
    </row>
    <row r="1913" spans="1:12" x14ac:dyDescent="0.2">
      <c r="A1913" s="547" t="s">
        <v>220</v>
      </c>
      <c r="B1913" s="547" t="s">
        <v>2351</v>
      </c>
      <c r="C1913" s="554" t="s">
        <v>3463</v>
      </c>
      <c r="D1913" s="554" t="s">
        <v>3464</v>
      </c>
      <c r="E1913" s="554" t="s">
        <v>9585</v>
      </c>
      <c r="F1913" s="571">
        <v>16</v>
      </c>
      <c r="G1913" s="572">
        <v>2.2701799999999999</v>
      </c>
      <c r="H1913" s="545">
        <v>36.322879999999998</v>
      </c>
      <c r="I1913" s="554" t="s">
        <v>9218</v>
      </c>
      <c r="J1913" s="554" t="s">
        <v>9219</v>
      </c>
      <c r="K1913" s="554" t="s">
        <v>9219</v>
      </c>
      <c r="L1913" s="537" t="s">
        <v>2354</v>
      </c>
    </row>
    <row r="1914" spans="1:12" x14ac:dyDescent="0.2">
      <c r="A1914" s="547" t="s">
        <v>220</v>
      </c>
      <c r="B1914" s="547" t="s">
        <v>2351</v>
      </c>
      <c r="C1914" s="554" t="s">
        <v>3543</v>
      </c>
      <c r="D1914" s="554" t="s">
        <v>3544</v>
      </c>
      <c r="E1914" s="554" t="s">
        <v>9585</v>
      </c>
      <c r="F1914" s="571">
        <v>25</v>
      </c>
      <c r="G1914" s="572">
        <v>6.85</v>
      </c>
      <c r="H1914" s="545">
        <v>171.25</v>
      </c>
      <c r="I1914" s="554" t="s">
        <v>9218</v>
      </c>
      <c r="J1914" s="554" t="s">
        <v>9219</v>
      </c>
      <c r="K1914" s="554" t="s">
        <v>9219</v>
      </c>
      <c r="L1914" s="537" t="s">
        <v>2354</v>
      </c>
    </row>
    <row r="1915" spans="1:12" x14ac:dyDescent="0.2">
      <c r="A1915" s="547" t="s">
        <v>220</v>
      </c>
      <c r="B1915" s="547" t="s">
        <v>2351</v>
      </c>
      <c r="C1915" s="554" t="s">
        <v>3545</v>
      </c>
      <c r="D1915" s="554" t="s">
        <v>3546</v>
      </c>
      <c r="E1915" s="554" t="s">
        <v>9585</v>
      </c>
      <c r="F1915" s="571">
        <v>5</v>
      </c>
      <c r="G1915" s="572">
        <v>2.7899999999999996</v>
      </c>
      <c r="H1915" s="545">
        <v>13.949999999999998</v>
      </c>
      <c r="I1915" s="554" t="s">
        <v>9218</v>
      </c>
      <c r="J1915" s="554" t="s">
        <v>9219</v>
      </c>
      <c r="K1915" s="554" t="s">
        <v>9219</v>
      </c>
      <c r="L1915" s="537" t="s">
        <v>2354</v>
      </c>
    </row>
    <row r="1916" spans="1:12" x14ac:dyDescent="0.2">
      <c r="A1916" s="547" t="s">
        <v>220</v>
      </c>
      <c r="B1916" s="547" t="s">
        <v>2351</v>
      </c>
      <c r="C1916" s="554" t="s">
        <v>2425</v>
      </c>
      <c r="D1916" s="554" t="s">
        <v>2426</v>
      </c>
      <c r="E1916" s="554" t="s">
        <v>9585</v>
      </c>
      <c r="F1916" s="571">
        <v>10</v>
      </c>
      <c r="G1916" s="572">
        <v>3.92</v>
      </c>
      <c r="H1916" s="545">
        <v>39.200000000000003</v>
      </c>
      <c r="I1916" s="554" t="s">
        <v>9218</v>
      </c>
      <c r="J1916" s="554" t="s">
        <v>9219</v>
      </c>
      <c r="K1916" s="554" t="s">
        <v>9219</v>
      </c>
      <c r="L1916" s="537" t="s">
        <v>2354</v>
      </c>
    </row>
    <row r="1917" spans="1:12" x14ac:dyDescent="0.2">
      <c r="A1917" s="547" t="s">
        <v>220</v>
      </c>
      <c r="B1917" s="547" t="s">
        <v>2351</v>
      </c>
      <c r="C1917" s="554" t="s">
        <v>3547</v>
      </c>
      <c r="D1917" s="554" t="s">
        <v>3548</v>
      </c>
      <c r="E1917" s="554" t="s">
        <v>9585</v>
      </c>
      <c r="F1917" s="571">
        <v>37</v>
      </c>
      <c r="G1917" s="572">
        <v>3.8079999999999998</v>
      </c>
      <c r="H1917" s="545">
        <v>140.89599999999999</v>
      </c>
      <c r="I1917" s="554" t="s">
        <v>9218</v>
      </c>
      <c r="J1917" s="554" t="s">
        <v>9219</v>
      </c>
      <c r="K1917" s="554" t="s">
        <v>9219</v>
      </c>
      <c r="L1917" s="537" t="s">
        <v>2354</v>
      </c>
    </row>
    <row r="1918" spans="1:12" x14ac:dyDescent="0.2">
      <c r="A1918" s="547" t="s">
        <v>220</v>
      </c>
      <c r="B1918" s="547" t="s">
        <v>2351</v>
      </c>
      <c r="C1918" s="554" t="s">
        <v>3549</v>
      </c>
      <c r="D1918" s="554" t="s">
        <v>3550</v>
      </c>
      <c r="E1918" s="554" t="s">
        <v>9585</v>
      </c>
      <c r="F1918" s="571">
        <v>5</v>
      </c>
      <c r="G1918" s="572">
        <v>8.264325358851675</v>
      </c>
      <c r="H1918" s="545">
        <v>41.321626794258378</v>
      </c>
      <c r="I1918" s="554" t="s">
        <v>9218</v>
      </c>
      <c r="J1918" s="554" t="s">
        <v>9219</v>
      </c>
      <c r="K1918" s="554" t="s">
        <v>9219</v>
      </c>
      <c r="L1918" s="537" t="s">
        <v>2354</v>
      </c>
    </row>
    <row r="1919" spans="1:12" x14ac:dyDescent="0.2">
      <c r="A1919" s="547" t="s">
        <v>220</v>
      </c>
      <c r="B1919" s="547" t="s">
        <v>2351</v>
      </c>
      <c r="C1919" s="554" t="s">
        <v>3551</v>
      </c>
      <c r="D1919" s="554" t="s">
        <v>3552</v>
      </c>
      <c r="E1919" s="554" t="s">
        <v>9585</v>
      </c>
      <c r="F1919" s="571">
        <v>25</v>
      </c>
      <c r="G1919" s="572">
        <v>3.3299999999999996</v>
      </c>
      <c r="H1919" s="545">
        <v>83.249999999999986</v>
      </c>
      <c r="I1919" s="554" t="s">
        <v>9218</v>
      </c>
      <c r="J1919" s="554" t="s">
        <v>9219</v>
      </c>
      <c r="K1919" s="554" t="s">
        <v>9219</v>
      </c>
      <c r="L1919" s="537" t="s">
        <v>2354</v>
      </c>
    </row>
    <row r="1920" spans="1:12" x14ac:dyDescent="0.2">
      <c r="A1920" s="547" t="s">
        <v>220</v>
      </c>
      <c r="B1920" s="547" t="s">
        <v>2351</v>
      </c>
      <c r="C1920" s="554" t="s">
        <v>3553</v>
      </c>
      <c r="D1920" s="554" t="s">
        <v>3554</v>
      </c>
      <c r="E1920" s="554" t="s">
        <v>9585</v>
      </c>
      <c r="F1920" s="571">
        <v>40</v>
      </c>
      <c r="G1920" s="572">
        <v>3.298</v>
      </c>
      <c r="H1920" s="545">
        <v>131.92000000000002</v>
      </c>
      <c r="I1920" s="554" t="s">
        <v>9218</v>
      </c>
      <c r="J1920" s="554" t="s">
        <v>9219</v>
      </c>
      <c r="K1920" s="554" t="s">
        <v>9219</v>
      </c>
      <c r="L1920" s="537" t="s">
        <v>2354</v>
      </c>
    </row>
    <row r="1921" spans="1:12" x14ac:dyDescent="0.2">
      <c r="A1921" s="547" t="s">
        <v>220</v>
      </c>
      <c r="B1921" s="547" t="s">
        <v>2351</v>
      </c>
      <c r="C1921" s="554"/>
      <c r="D1921" s="554" t="s">
        <v>9361</v>
      </c>
      <c r="E1921" s="554" t="s">
        <v>9585</v>
      </c>
      <c r="F1921" s="571">
        <v>51</v>
      </c>
      <c r="G1921" s="572">
        <v>10.88</v>
      </c>
      <c r="H1921" s="545">
        <v>554.88</v>
      </c>
      <c r="I1921" s="554" t="s">
        <v>9218</v>
      </c>
      <c r="J1921" s="554" t="s">
        <v>9219</v>
      </c>
      <c r="K1921" s="554" t="s">
        <v>9219</v>
      </c>
      <c r="L1921" s="537" t="s">
        <v>2354</v>
      </c>
    </row>
    <row r="1922" spans="1:12" x14ac:dyDescent="0.2">
      <c r="A1922" s="547" t="s">
        <v>220</v>
      </c>
      <c r="B1922" s="547" t="s">
        <v>2351</v>
      </c>
      <c r="C1922" s="554" t="s">
        <v>3555</v>
      </c>
      <c r="D1922" s="554" t="s">
        <v>3556</v>
      </c>
      <c r="E1922" s="554" t="s">
        <v>9585</v>
      </c>
      <c r="F1922" s="571">
        <v>41</v>
      </c>
      <c r="G1922" s="572">
        <v>4.0205000000000002</v>
      </c>
      <c r="H1922" s="545">
        <v>164.84050000000002</v>
      </c>
      <c r="I1922" s="554" t="s">
        <v>9218</v>
      </c>
      <c r="J1922" s="554" t="s">
        <v>9219</v>
      </c>
      <c r="K1922" s="554" t="s">
        <v>9219</v>
      </c>
      <c r="L1922" s="537" t="s">
        <v>2354</v>
      </c>
    </row>
    <row r="1923" spans="1:12" x14ac:dyDescent="0.2">
      <c r="A1923" s="547" t="s">
        <v>220</v>
      </c>
      <c r="B1923" s="547" t="s">
        <v>2351</v>
      </c>
      <c r="C1923" s="554" t="s">
        <v>3557</v>
      </c>
      <c r="D1923" s="554" t="s">
        <v>3558</v>
      </c>
      <c r="E1923" s="554" t="s">
        <v>9585</v>
      </c>
      <c r="F1923" s="571">
        <v>25</v>
      </c>
      <c r="G1923" s="572">
        <v>2.6549999999999998</v>
      </c>
      <c r="H1923" s="545">
        <v>66.375</v>
      </c>
      <c r="I1923" s="554" t="s">
        <v>9218</v>
      </c>
      <c r="J1923" s="554" t="s">
        <v>9219</v>
      </c>
      <c r="K1923" s="554" t="s">
        <v>9219</v>
      </c>
      <c r="L1923" s="537" t="s">
        <v>2354</v>
      </c>
    </row>
    <row r="1924" spans="1:12" x14ac:dyDescent="0.2">
      <c r="A1924" s="547" t="s">
        <v>220</v>
      </c>
      <c r="B1924" s="547" t="s">
        <v>2351</v>
      </c>
      <c r="C1924" s="554" t="s">
        <v>3559</v>
      </c>
      <c r="D1924" s="554" t="s">
        <v>3560</v>
      </c>
      <c r="E1924" s="554" t="s">
        <v>9585</v>
      </c>
      <c r="F1924" s="571">
        <v>70</v>
      </c>
      <c r="G1924" s="572">
        <v>4.8150000000000004</v>
      </c>
      <c r="H1924" s="545">
        <v>337.05</v>
      </c>
      <c r="I1924" s="554" t="s">
        <v>9218</v>
      </c>
      <c r="J1924" s="554" t="s">
        <v>9219</v>
      </c>
      <c r="K1924" s="554" t="s">
        <v>9219</v>
      </c>
      <c r="L1924" s="537" t="s">
        <v>2354</v>
      </c>
    </row>
    <row r="1925" spans="1:12" x14ac:dyDescent="0.2">
      <c r="A1925" s="547" t="s">
        <v>220</v>
      </c>
      <c r="B1925" s="547" t="s">
        <v>2351</v>
      </c>
      <c r="C1925" s="554" t="s">
        <v>3561</v>
      </c>
      <c r="D1925" s="554" t="s">
        <v>3562</v>
      </c>
      <c r="E1925" s="554" t="s">
        <v>9585</v>
      </c>
      <c r="F1925" s="571">
        <v>51</v>
      </c>
      <c r="G1925" s="572">
        <v>1.7100000000000002</v>
      </c>
      <c r="H1925" s="545">
        <v>87.210000000000008</v>
      </c>
      <c r="I1925" s="554" t="s">
        <v>9218</v>
      </c>
      <c r="J1925" s="554" t="s">
        <v>9219</v>
      </c>
      <c r="K1925" s="554" t="s">
        <v>9219</v>
      </c>
      <c r="L1925" s="537" t="s">
        <v>2354</v>
      </c>
    </row>
    <row r="1926" spans="1:12" x14ac:dyDescent="0.2">
      <c r="A1926" s="547" t="s">
        <v>220</v>
      </c>
      <c r="B1926" s="547" t="s">
        <v>2351</v>
      </c>
      <c r="C1926" s="554" t="s">
        <v>3563</v>
      </c>
      <c r="D1926" s="554" t="s">
        <v>3564</v>
      </c>
      <c r="E1926" s="554" t="s">
        <v>9585</v>
      </c>
      <c r="F1926" s="571">
        <v>28</v>
      </c>
      <c r="G1926" s="572">
        <v>1.7100000000000002</v>
      </c>
      <c r="H1926" s="545">
        <v>47.88</v>
      </c>
      <c r="I1926" s="554" t="s">
        <v>9218</v>
      </c>
      <c r="J1926" s="554" t="s">
        <v>9219</v>
      </c>
      <c r="K1926" s="554" t="s">
        <v>9219</v>
      </c>
      <c r="L1926" s="537" t="s">
        <v>2354</v>
      </c>
    </row>
    <row r="1927" spans="1:12" x14ac:dyDescent="0.2">
      <c r="A1927" s="547" t="s">
        <v>220</v>
      </c>
      <c r="B1927" s="547" t="s">
        <v>2351</v>
      </c>
      <c r="C1927" s="554" t="s">
        <v>3565</v>
      </c>
      <c r="D1927" s="554" t="s">
        <v>3566</v>
      </c>
      <c r="E1927" s="554" t="s">
        <v>9585</v>
      </c>
      <c r="F1927" s="571">
        <v>55</v>
      </c>
      <c r="G1927" s="572">
        <v>2.7879999999999998</v>
      </c>
      <c r="H1927" s="545">
        <v>153.34</v>
      </c>
      <c r="I1927" s="554" t="s">
        <v>9218</v>
      </c>
      <c r="J1927" s="554" t="s">
        <v>9219</v>
      </c>
      <c r="K1927" s="554" t="s">
        <v>9219</v>
      </c>
      <c r="L1927" s="537" t="s">
        <v>2354</v>
      </c>
    </row>
    <row r="1928" spans="1:12" x14ac:dyDescent="0.2">
      <c r="A1928" s="547" t="s">
        <v>220</v>
      </c>
      <c r="B1928" s="547" t="s">
        <v>2351</v>
      </c>
      <c r="C1928" s="554" t="s">
        <v>3567</v>
      </c>
      <c r="D1928" s="554" t="s">
        <v>3568</v>
      </c>
      <c r="E1928" s="554" t="s">
        <v>9585</v>
      </c>
      <c r="F1928" s="571">
        <v>10</v>
      </c>
      <c r="G1928" s="572">
        <v>7.2479626957759846</v>
      </c>
      <c r="H1928" s="545">
        <v>72.479626957759848</v>
      </c>
      <c r="I1928" s="554" t="s">
        <v>9218</v>
      </c>
      <c r="J1928" s="554" t="s">
        <v>9219</v>
      </c>
      <c r="K1928" s="554" t="s">
        <v>9219</v>
      </c>
      <c r="L1928" s="537" t="s">
        <v>2354</v>
      </c>
    </row>
    <row r="1929" spans="1:12" x14ac:dyDescent="0.2">
      <c r="A1929" s="547" t="s">
        <v>220</v>
      </c>
      <c r="B1929" s="547" t="s">
        <v>2351</v>
      </c>
      <c r="C1929" s="554" t="s">
        <v>3569</v>
      </c>
      <c r="D1929" s="554" t="s">
        <v>3570</v>
      </c>
      <c r="E1929" s="554" t="s">
        <v>9585</v>
      </c>
      <c r="F1929" s="571">
        <v>12</v>
      </c>
      <c r="G1929" s="572">
        <v>1.5299999999999998</v>
      </c>
      <c r="H1929" s="545">
        <v>18.36</v>
      </c>
      <c r="I1929" s="554" t="s">
        <v>9218</v>
      </c>
      <c r="J1929" s="554" t="s">
        <v>9219</v>
      </c>
      <c r="K1929" s="554" t="s">
        <v>9219</v>
      </c>
      <c r="L1929" s="537" t="s">
        <v>2354</v>
      </c>
    </row>
    <row r="1930" spans="1:12" x14ac:dyDescent="0.2">
      <c r="A1930" s="547" t="s">
        <v>220</v>
      </c>
      <c r="B1930" s="547" t="s">
        <v>2351</v>
      </c>
      <c r="C1930" s="554" t="s">
        <v>3571</v>
      </c>
      <c r="D1930" s="554" t="s">
        <v>3572</v>
      </c>
      <c r="E1930" s="554" t="s">
        <v>9585</v>
      </c>
      <c r="F1930" s="571">
        <v>7</v>
      </c>
      <c r="G1930" s="572">
        <v>13.428499999999998</v>
      </c>
      <c r="H1930" s="545">
        <v>93.999499999999983</v>
      </c>
      <c r="I1930" s="554" t="s">
        <v>9218</v>
      </c>
      <c r="J1930" s="554" t="s">
        <v>9219</v>
      </c>
      <c r="K1930" s="554" t="s">
        <v>9219</v>
      </c>
      <c r="L1930" s="537" t="s">
        <v>2354</v>
      </c>
    </row>
    <row r="1931" spans="1:12" x14ac:dyDescent="0.2">
      <c r="A1931" s="547" t="s">
        <v>220</v>
      </c>
      <c r="B1931" s="547" t="s">
        <v>2351</v>
      </c>
      <c r="C1931" s="554" t="s">
        <v>3573</v>
      </c>
      <c r="D1931" s="554" t="s">
        <v>3574</v>
      </c>
      <c r="E1931" s="554" t="s">
        <v>9585</v>
      </c>
      <c r="F1931" s="571">
        <v>17</v>
      </c>
      <c r="G1931" s="572">
        <v>5.5250000000000004</v>
      </c>
      <c r="H1931" s="545">
        <v>93.925000000000011</v>
      </c>
      <c r="I1931" s="554" t="s">
        <v>9218</v>
      </c>
      <c r="J1931" s="554" t="s">
        <v>9219</v>
      </c>
      <c r="K1931" s="554" t="s">
        <v>9219</v>
      </c>
      <c r="L1931" s="537" t="s">
        <v>2354</v>
      </c>
    </row>
    <row r="1932" spans="1:12" x14ac:dyDescent="0.2">
      <c r="A1932" s="547" t="s">
        <v>220</v>
      </c>
      <c r="B1932" s="547" t="s">
        <v>2351</v>
      </c>
      <c r="C1932" s="554" t="s">
        <v>2411</v>
      </c>
      <c r="D1932" s="554" t="s">
        <v>2412</v>
      </c>
      <c r="E1932" s="554" t="s">
        <v>9585</v>
      </c>
      <c r="F1932" s="571">
        <v>6</v>
      </c>
      <c r="G1932" s="572">
        <v>2.88</v>
      </c>
      <c r="H1932" s="545">
        <v>17.28</v>
      </c>
      <c r="I1932" s="554" t="s">
        <v>9218</v>
      </c>
      <c r="J1932" s="554" t="s">
        <v>9219</v>
      </c>
      <c r="K1932" s="554" t="s">
        <v>9219</v>
      </c>
      <c r="L1932" s="537" t="s">
        <v>2354</v>
      </c>
    </row>
    <row r="1933" spans="1:12" x14ac:dyDescent="0.2">
      <c r="A1933" s="547" t="s">
        <v>220</v>
      </c>
      <c r="B1933" s="547" t="s">
        <v>2351</v>
      </c>
      <c r="C1933" s="554" t="s">
        <v>3575</v>
      </c>
      <c r="D1933" s="554" t="s">
        <v>3576</v>
      </c>
      <c r="E1933" s="554" t="s">
        <v>9585</v>
      </c>
      <c r="F1933" s="571">
        <v>29</v>
      </c>
      <c r="G1933" s="572">
        <v>2.3111666666666668</v>
      </c>
      <c r="H1933" s="545">
        <v>67.023833333333343</v>
      </c>
      <c r="I1933" s="554" t="s">
        <v>9218</v>
      </c>
      <c r="J1933" s="554" t="s">
        <v>9219</v>
      </c>
      <c r="K1933" s="554" t="s">
        <v>9219</v>
      </c>
      <c r="L1933" s="537" t="s">
        <v>2354</v>
      </c>
    </row>
    <row r="1934" spans="1:12" x14ac:dyDescent="0.2">
      <c r="A1934" s="547" t="s">
        <v>220</v>
      </c>
      <c r="B1934" s="547" t="s">
        <v>2351</v>
      </c>
      <c r="C1934" s="554" t="s">
        <v>3579</v>
      </c>
      <c r="D1934" s="554" t="s">
        <v>3580</v>
      </c>
      <c r="E1934" s="554" t="s">
        <v>9585</v>
      </c>
      <c r="F1934" s="571">
        <v>34</v>
      </c>
      <c r="G1934" s="572">
        <v>2.7454999999999998</v>
      </c>
      <c r="H1934" s="545">
        <v>93.346999999999994</v>
      </c>
      <c r="I1934" s="554" t="s">
        <v>9218</v>
      </c>
      <c r="J1934" s="554" t="s">
        <v>9219</v>
      </c>
      <c r="K1934" s="554" t="s">
        <v>9219</v>
      </c>
      <c r="L1934" s="537" t="s">
        <v>2354</v>
      </c>
    </row>
    <row r="1935" spans="1:12" x14ac:dyDescent="0.2">
      <c r="A1935" s="547" t="s">
        <v>220</v>
      </c>
      <c r="B1935" s="547" t="s">
        <v>2351</v>
      </c>
      <c r="C1935" s="554" t="s">
        <v>3581</v>
      </c>
      <c r="D1935" s="554" t="s">
        <v>3582</v>
      </c>
      <c r="E1935" s="554" t="s">
        <v>9585</v>
      </c>
      <c r="F1935" s="571">
        <v>42</v>
      </c>
      <c r="G1935" s="572">
        <v>2.7879999999999998</v>
      </c>
      <c r="H1935" s="545">
        <v>117.09599999999999</v>
      </c>
      <c r="I1935" s="554" t="s">
        <v>9218</v>
      </c>
      <c r="J1935" s="554" t="s">
        <v>9219</v>
      </c>
      <c r="K1935" s="554" t="s">
        <v>9219</v>
      </c>
      <c r="L1935" s="537" t="s">
        <v>2354</v>
      </c>
    </row>
    <row r="1936" spans="1:12" x14ac:dyDescent="0.2">
      <c r="A1936" s="547" t="s">
        <v>220</v>
      </c>
      <c r="B1936" s="547" t="s">
        <v>2351</v>
      </c>
      <c r="C1936" s="554" t="s">
        <v>3583</v>
      </c>
      <c r="D1936" s="554" t="s">
        <v>3584</v>
      </c>
      <c r="E1936" s="554" t="s">
        <v>9585</v>
      </c>
      <c r="F1936" s="571">
        <v>38</v>
      </c>
      <c r="G1936" s="572">
        <v>2.7</v>
      </c>
      <c r="H1936" s="545">
        <v>102.60000000000001</v>
      </c>
      <c r="I1936" s="554" t="s">
        <v>9218</v>
      </c>
      <c r="J1936" s="554" t="s">
        <v>9219</v>
      </c>
      <c r="K1936" s="554" t="s">
        <v>9219</v>
      </c>
      <c r="L1936" s="537" t="s">
        <v>2354</v>
      </c>
    </row>
    <row r="1937" spans="1:12" x14ac:dyDescent="0.2">
      <c r="A1937" s="547" t="s">
        <v>220</v>
      </c>
      <c r="B1937" s="547" t="s">
        <v>2351</v>
      </c>
      <c r="C1937" s="554" t="s">
        <v>3585</v>
      </c>
      <c r="D1937" s="554" t="s">
        <v>3586</v>
      </c>
      <c r="E1937" s="554" t="s">
        <v>9585</v>
      </c>
      <c r="F1937" s="571">
        <v>53</v>
      </c>
      <c r="G1937" s="572">
        <v>2.8220000000000001</v>
      </c>
      <c r="H1937" s="545">
        <v>149.566</v>
      </c>
      <c r="I1937" s="554" t="s">
        <v>9218</v>
      </c>
      <c r="J1937" s="554" t="s">
        <v>9219</v>
      </c>
      <c r="K1937" s="554" t="s">
        <v>9219</v>
      </c>
      <c r="L1937" s="537" t="s">
        <v>2354</v>
      </c>
    </row>
    <row r="1938" spans="1:12" x14ac:dyDescent="0.2">
      <c r="A1938" s="547" t="s">
        <v>220</v>
      </c>
      <c r="B1938" s="547" t="s">
        <v>2351</v>
      </c>
      <c r="C1938" s="554" t="s">
        <v>3587</v>
      </c>
      <c r="D1938" s="554" t="s">
        <v>3588</v>
      </c>
      <c r="E1938" s="554" t="s">
        <v>9585</v>
      </c>
      <c r="F1938" s="571">
        <v>34</v>
      </c>
      <c r="G1938" s="572">
        <v>2.61</v>
      </c>
      <c r="H1938" s="545">
        <v>88.74</v>
      </c>
      <c r="I1938" s="554" t="s">
        <v>9218</v>
      </c>
      <c r="J1938" s="554" t="s">
        <v>9219</v>
      </c>
      <c r="K1938" s="554" t="s">
        <v>9219</v>
      </c>
      <c r="L1938" s="537" t="s">
        <v>2354</v>
      </c>
    </row>
    <row r="1939" spans="1:12" x14ac:dyDescent="0.2">
      <c r="A1939" s="547" t="s">
        <v>220</v>
      </c>
      <c r="B1939" s="547" t="s">
        <v>2351</v>
      </c>
      <c r="C1939" s="554" t="s">
        <v>3589</v>
      </c>
      <c r="D1939" s="554" t="s">
        <v>3590</v>
      </c>
      <c r="E1939" s="554" t="s">
        <v>9585</v>
      </c>
      <c r="F1939" s="571">
        <v>3</v>
      </c>
      <c r="G1939" s="572">
        <v>3.0855000000000001</v>
      </c>
      <c r="H1939" s="545">
        <v>9.2565000000000008</v>
      </c>
      <c r="I1939" s="554" t="s">
        <v>9218</v>
      </c>
      <c r="J1939" s="554" t="s">
        <v>9219</v>
      </c>
      <c r="K1939" s="554" t="s">
        <v>9219</v>
      </c>
      <c r="L1939" s="537" t="s">
        <v>2354</v>
      </c>
    </row>
    <row r="1940" spans="1:12" x14ac:dyDescent="0.2">
      <c r="A1940" s="547" t="s">
        <v>220</v>
      </c>
      <c r="B1940" s="547" t="s">
        <v>2351</v>
      </c>
      <c r="C1940" s="554" t="s">
        <v>3591</v>
      </c>
      <c r="D1940" s="554" t="s">
        <v>3592</v>
      </c>
      <c r="E1940" s="554" t="s">
        <v>9585</v>
      </c>
      <c r="F1940" s="571">
        <v>32</v>
      </c>
      <c r="G1940" s="572">
        <v>2.7029999999999998</v>
      </c>
      <c r="H1940" s="545">
        <v>86.495999999999995</v>
      </c>
      <c r="I1940" s="554" t="s">
        <v>9218</v>
      </c>
      <c r="J1940" s="554" t="s">
        <v>9219</v>
      </c>
      <c r="K1940" s="554" t="s">
        <v>9219</v>
      </c>
      <c r="L1940" s="537" t="s">
        <v>2354</v>
      </c>
    </row>
    <row r="1941" spans="1:12" x14ac:dyDescent="0.2">
      <c r="A1941" s="547" t="s">
        <v>220</v>
      </c>
      <c r="B1941" s="547" t="s">
        <v>2351</v>
      </c>
      <c r="C1941" s="554" t="s">
        <v>3593</v>
      </c>
      <c r="D1941" s="554" t="s">
        <v>3594</v>
      </c>
      <c r="E1941" s="554" t="s">
        <v>9585</v>
      </c>
      <c r="F1941" s="571">
        <v>18</v>
      </c>
      <c r="G1941" s="572">
        <v>3.383</v>
      </c>
      <c r="H1941" s="545">
        <v>60.893999999999998</v>
      </c>
      <c r="I1941" s="554" t="s">
        <v>9218</v>
      </c>
      <c r="J1941" s="554" t="s">
        <v>9219</v>
      </c>
      <c r="K1941" s="554" t="s">
        <v>9219</v>
      </c>
      <c r="L1941" s="537" t="s">
        <v>2354</v>
      </c>
    </row>
    <row r="1942" spans="1:12" x14ac:dyDescent="0.2">
      <c r="A1942" s="547" t="s">
        <v>220</v>
      </c>
      <c r="B1942" s="547" t="s">
        <v>2351</v>
      </c>
      <c r="C1942" s="554" t="s">
        <v>2415</v>
      </c>
      <c r="D1942" s="554" t="s">
        <v>2416</v>
      </c>
      <c r="E1942" s="554" t="s">
        <v>9585</v>
      </c>
      <c r="F1942" s="571">
        <v>10</v>
      </c>
      <c r="G1942" s="572">
        <v>3.84</v>
      </c>
      <c r="H1942" s="545">
        <v>38.4</v>
      </c>
      <c r="I1942" s="554" t="s">
        <v>9218</v>
      </c>
      <c r="J1942" s="554" t="s">
        <v>9219</v>
      </c>
      <c r="K1942" s="554" t="s">
        <v>9219</v>
      </c>
      <c r="L1942" s="537" t="s">
        <v>2354</v>
      </c>
    </row>
    <row r="1943" spans="1:12" x14ac:dyDescent="0.2">
      <c r="A1943" s="547" t="s">
        <v>220</v>
      </c>
      <c r="B1943" s="547" t="s">
        <v>2351</v>
      </c>
      <c r="C1943" s="554" t="s">
        <v>3595</v>
      </c>
      <c r="D1943" s="554" t="s">
        <v>3596</v>
      </c>
      <c r="E1943" s="554" t="s">
        <v>9585</v>
      </c>
      <c r="F1943" s="571">
        <v>31</v>
      </c>
      <c r="G1943" s="572">
        <v>3.2980000000000005</v>
      </c>
      <c r="H1943" s="545">
        <v>102.23800000000001</v>
      </c>
      <c r="I1943" s="554" t="s">
        <v>9218</v>
      </c>
      <c r="J1943" s="554" t="s">
        <v>9219</v>
      </c>
      <c r="K1943" s="554" t="s">
        <v>9219</v>
      </c>
      <c r="L1943" s="537" t="s">
        <v>2354</v>
      </c>
    </row>
    <row r="1944" spans="1:12" x14ac:dyDescent="0.2">
      <c r="A1944" s="547" t="s">
        <v>220</v>
      </c>
      <c r="B1944" s="547" t="s">
        <v>2351</v>
      </c>
      <c r="C1944" s="554" t="s">
        <v>3597</v>
      </c>
      <c r="D1944" s="554" t="s">
        <v>3598</v>
      </c>
      <c r="E1944" s="554" t="s">
        <v>9585</v>
      </c>
      <c r="F1944" s="571">
        <v>49</v>
      </c>
      <c r="G1944" s="572">
        <v>3.077</v>
      </c>
      <c r="H1944" s="545">
        <v>150.773</v>
      </c>
      <c r="I1944" s="554" t="s">
        <v>9218</v>
      </c>
      <c r="J1944" s="554" t="s">
        <v>9219</v>
      </c>
      <c r="K1944" s="554" t="s">
        <v>9219</v>
      </c>
      <c r="L1944" s="537" t="s">
        <v>2354</v>
      </c>
    </row>
    <row r="1945" spans="1:12" x14ac:dyDescent="0.2">
      <c r="A1945" s="547" t="s">
        <v>220</v>
      </c>
      <c r="B1945" s="547" t="s">
        <v>2351</v>
      </c>
      <c r="C1945" s="554" t="s">
        <v>2431</v>
      </c>
      <c r="D1945" s="554" t="s">
        <v>2432</v>
      </c>
      <c r="E1945" s="554" t="s">
        <v>9585</v>
      </c>
      <c r="F1945" s="571">
        <v>20</v>
      </c>
      <c r="G1945" s="572">
        <v>4.5599999999999996</v>
      </c>
      <c r="H1945" s="545">
        <v>91.199999999999989</v>
      </c>
      <c r="I1945" s="554" t="s">
        <v>9218</v>
      </c>
      <c r="J1945" s="554" t="s">
        <v>9219</v>
      </c>
      <c r="K1945" s="554" t="s">
        <v>9219</v>
      </c>
      <c r="L1945" s="537" t="s">
        <v>2354</v>
      </c>
    </row>
    <row r="1946" spans="1:12" x14ac:dyDescent="0.2">
      <c r="A1946" s="547" t="s">
        <v>220</v>
      </c>
      <c r="B1946" s="547" t="s">
        <v>2351</v>
      </c>
      <c r="C1946" s="554" t="s">
        <v>3603</v>
      </c>
      <c r="D1946" s="554" t="s">
        <v>3604</v>
      </c>
      <c r="E1946" s="554" t="s">
        <v>9585</v>
      </c>
      <c r="F1946" s="573">
        <v>5</v>
      </c>
      <c r="G1946" s="545">
        <v>0</v>
      </c>
      <c r="H1946" s="545">
        <v>0</v>
      </c>
      <c r="I1946" s="554" t="s">
        <v>9218</v>
      </c>
      <c r="J1946" s="554" t="s">
        <v>9219</v>
      </c>
      <c r="K1946" s="554" t="s">
        <v>9219</v>
      </c>
      <c r="L1946" s="537" t="s">
        <v>2354</v>
      </c>
    </row>
    <row r="1947" spans="1:12" x14ac:dyDescent="0.2">
      <c r="A1947" s="547" t="s">
        <v>220</v>
      </c>
      <c r="B1947" s="547" t="s">
        <v>2351</v>
      </c>
      <c r="C1947" s="554" t="s">
        <v>2440</v>
      </c>
      <c r="D1947" s="554" t="s">
        <v>2441</v>
      </c>
      <c r="E1947" s="554" t="s">
        <v>9585</v>
      </c>
      <c r="F1947" s="571">
        <v>12</v>
      </c>
      <c r="G1947" s="572">
        <v>2.6179999999999999</v>
      </c>
      <c r="H1947" s="545">
        <v>31.415999999999997</v>
      </c>
      <c r="I1947" s="554" t="s">
        <v>9218</v>
      </c>
      <c r="J1947" s="554" t="s">
        <v>9219</v>
      </c>
      <c r="K1947" s="554" t="s">
        <v>9219</v>
      </c>
      <c r="L1947" s="537" t="s">
        <v>2354</v>
      </c>
    </row>
    <row r="1948" spans="1:12" x14ac:dyDescent="0.2">
      <c r="A1948" s="547" t="s">
        <v>220</v>
      </c>
      <c r="B1948" s="547" t="s">
        <v>2351</v>
      </c>
      <c r="C1948" s="554" t="s">
        <v>3605</v>
      </c>
      <c r="D1948" s="554" t="s">
        <v>3606</v>
      </c>
      <c r="E1948" s="554" t="s">
        <v>9585</v>
      </c>
      <c r="F1948" s="571">
        <v>43</v>
      </c>
      <c r="G1948" s="572">
        <v>4.5</v>
      </c>
      <c r="H1948" s="545">
        <v>193.5</v>
      </c>
      <c r="I1948" s="554" t="s">
        <v>9218</v>
      </c>
      <c r="J1948" s="554" t="s">
        <v>9219</v>
      </c>
      <c r="K1948" s="554" t="s">
        <v>9219</v>
      </c>
      <c r="L1948" s="537" t="s">
        <v>2354</v>
      </c>
    </row>
    <row r="1949" spans="1:12" x14ac:dyDescent="0.2">
      <c r="A1949" s="547" t="s">
        <v>220</v>
      </c>
      <c r="B1949" s="547" t="s">
        <v>2351</v>
      </c>
      <c r="C1949" s="554" t="s">
        <v>3609</v>
      </c>
      <c r="D1949" s="554" t="s">
        <v>3610</v>
      </c>
      <c r="E1949" s="554" t="s">
        <v>9585</v>
      </c>
      <c r="F1949" s="571">
        <v>18</v>
      </c>
      <c r="G1949" s="572">
        <v>7.4969999999999999</v>
      </c>
      <c r="H1949" s="545">
        <v>134.946</v>
      </c>
      <c r="I1949" s="554" t="s">
        <v>9218</v>
      </c>
      <c r="J1949" s="554" t="s">
        <v>9219</v>
      </c>
      <c r="K1949" s="554" t="s">
        <v>9219</v>
      </c>
      <c r="L1949" s="537" t="s">
        <v>2354</v>
      </c>
    </row>
    <row r="1950" spans="1:12" x14ac:dyDescent="0.2">
      <c r="A1950" s="547" t="s">
        <v>220</v>
      </c>
      <c r="B1950" s="547" t="s">
        <v>2351</v>
      </c>
      <c r="C1950" s="554" t="s">
        <v>2433</v>
      </c>
      <c r="D1950" s="554" t="s">
        <v>2434</v>
      </c>
      <c r="E1950" s="554" t="s">
        <v>9585</v>
      </c>
      <c r="F1950" s="571">
        <v>23</v>
      </c>
      <c r="G1950" s="572">
        <v>5.5419999999999998</v>
      </c>
      <c r="H1950" s="545">
        <v>127.46599999999999</v>
      </c>
      <c r="I1950" s="554" t="s">
        <v>9218</v>
      </c>
      <c r="J1950" s="554" t="s">
        <v>9219</v>
      </c>
      <c r="K1950" s="554" t="s">
        <v>9219</v>
      </c>
      <c r="L1950" s="537" t="s">
        <v>2354</v>
      </c>
    </row>
    <row r="1951" spans="1:12" x14ac:dyDescent="0.2">
      <c r="A1951" s="547" t="s">
        <v>220</v>
      </c>
      <c r="B1951" s="547" t="s">
        <v>2351</v>
      </c>
      <c r="C1951" s="554"/>
      <c r="D1951" s="554" t="s">
        <v>9362</v>
      </c>
      <c r="E1951" s="554" t="s">
        <v>9585</v>
      </c>
      <c r="F1951" s="571">
        <v>10</v>
      </c>
      <c r="G1951" s="572">
        <v>21.75</v>
      </c>
      <c r="H1951" s="545">
        <v>217.5</v>
      </c>
      <c r="I1951" s="554" t="s">
        <v>9218</v>
      </c>
      <c r="J1951" s="554" t="s">
        <v>9219</v>
      </c>
      <c r="K1951" s="554" t="s">
        <v>9219</v>
      </c>
      <c r="L1951" s="537" t="s">
        <v>2354</v>
      </c>
    </row>
    <row r="1952" spans="1:12" x14ac:dyDescent="0.2">
      <c r="A1952" s="547" t="s">
        <v>220</v>
      </c>
      <c r="B1952" s="547" t="s">
        <v>2351</v>
      </c>
      <c r="C1952" s="554" t="s">
        <v>3611</v>
      </c>
      <c r="D1952" s="554" t="s">
        <v>3612</v>
      </c>
      <c r="E1952" s="554" t="s">
        <v>9585</v>
      </c>
      <c r="F1952" s="571">
        <v>5</v>
      </c>
      <c r="G1952" s="572">
        <v>15.581</v>
      </c>
      <c r="H1952" s="545">
        <v>77.905000000000001</v>
      </c>
      <c r="I1952" s="554" t="s">
        <v>9218</v>
      </c>
      <c r="J1952" s="554" t="s">
        <v>9219</v>
      </c>
      <c r="K1952" s="554" t="s">
        <v>9219</v>
      </c>
      <c r="L1952" s="537" t="s">
        <v>2354</v>
      </c>
    </row>
    <row r="1953" spans="1:12" x14ac:dyDescent="0.2">
      <c r="A1953" s="547" t="s">
        <v>220</v>
      </c>
      <c r="B1953" s="547" t="s">
        <v>2351</v>
      </c>
      <c r="C1953" s="554" t="s">
        <v>3613</v>
      </c>
      <c r="D1953" s="554" t="s">
        <v>3614</v>
      </c>
      <c r="E1953" s="554" t="s">
        <v>9585</v>
      </c>
      <c r="F1953" s="571">
        <v>21</v>
      </c>
      <c r="G1953" s="572">
        <v>2.61</v>
      </c>
      <c r="H1953" s="545">
        <v>54.809999999999995</v>
      </c>
      <c r="I1953" s="554" t="s">
        <v>9218</v>
      </c>
      <c r="J1953" s="554" t="s">
        <v>9219</v>
      </c>
      <c r="K1953" s="554" t="s">
        <v>9219</v>
      </c>
      <c r="L1953" s="537" t="s">
        <v>2354</v>
      </c>
    </row>
    <row r="1954" spans="1:12" x14ac:dyDescent="0.2">
      <c r="A1954" s="547" t="s">
        <v>220</v>
      </c>
      <c r="B1954" s="547" t="s">
        <v>2351</v>
      </c>
      <c r="C1954" s="554" t="s">
        <v>3615</v>
      </c>
      <c r="D1954" s="554" t="s">
        <v>3616</v>
      </c>
      <c r="E1954" s="554" t="s">
        <v>9585</v>
      </c>
      <c r="F1954" s="571">
        <v>23</v>
      </c>
      <c r="G1954" s="572">
        <v>8.2278000000000002</v>
      </c>
      <c r="H1954" s="545">
        <v>189.23940000000002</v>
      </c>
      <c r="I1954" s="554" t="s">
        <v>9218</v>
      </c>
      <c r="J1954" s="554" t="s">
        <v>9219</v>
      </c>
      <c r="K1954" s="554" t="s">
        <v>9219</v>
      </c>
      <c r="L1954" s="537" t="s">
        <v>2354</v>
      </c>
    </row>
    <row r="1955" spans="1:12" x14ac:dyDescent="0.2">
      <c r="A1955" s="547" t="s">
        <v>220</v>
      </c>
      <c r="B1955" s="547" t="s">
        <v>2351</v>
      </c>
      <c r="C1955" s="554" t="s">
        <v>3617</v>
      </c>
      <c r="D1955" s="554" t="s">
        <v>3618</v>
      </c>
      <c r="E1955" s="554" t="s">
        <v>9585</v>
      </c>
      <c r="F1955" s="571">
        <v>17</v>
      </c>
      <c r="G1955" s="572">
        <v>2.7040000000000002</v>
      </c>
      <c r="H1955" s="545">
        <v>45.968000000000004</v>
      </c>
      <c r="I1955" s="554" t="s">
        <v>9218</v>
      </c>
      <c r="J1955" s="554" t="s">
        <v>9219</v>
      </c>
      <c r="K1955" s="554" t="s">
        <v>9219</v>
      </c>
      <c r="L1955" s="537" t="s">
        <v>2354</v>
      </c>
    </row>
    <row r="1956" spans="1:12" x14ac:dyDescent="0.2">
      <c r="A1956" s="547" t="s">
        <v>220</v>
      </c>
      <c r="B1956" s="547" t="s">
        <v>2351</v>
      </c>
      <c r="C1956" s="554" t="s">
        <v>3621</v>
      </c>
      <c r="D1956" s="554" t="s">
        <v>3622</v>
      </c>
      <c r="E1956" s="554" t="s">
        <v>9585</v>
      </c>
      <c r="F1956" s="571">
        <v>26</v>
      </c>
      <c r="G1956" s="572">
        <v>3.0179999999999998</v>
      </c>
      <c r="H1956" s="545">
        <v>78.467999999999989</v>
      </c>
      <c r="I1956" s="554" t="s">
        <v>9218</v>
      </c>
      <c r="J1956" s="554" t="s">
        <v>9219</v>
      </c>
      <c r="K1956" s="554" t="s">
        <v>9219</v>
      </c>
      <c r="L1956" s="537" t="s">
        <v>2354</v>
      </c>
    </row>
    <row r="1957" spans="1:12" x14ac:dyDescent="0.2">
      <c r="A1957" s="547" t="s">
        <v>220</v>
      </c>
      <c r="B1957" s="547" t="s">
        <v>2351</v>
      </c>
      <c r="C1957" s="554" t="s">
        <v>3623</v>
      </c>
      <c r="D1957" s="554" t="s">
        <v>3624</v>
      </c>
      <c r="E1957" s="554" t="s">
        <v>9585</v>
      </c>
      <c r="F1957" s="571">
        <v>15</v>
      </c>
      <c r="G1957" s="572">
        <v>4.08</v>
      </c>
      <c r="H1957" s="545">
        <v>61.2</v>
      </c>
      <c r="I1957" s="554" t="s">
        <v>9218</v>
      </c>
      <c r="J1957" s="554" t="s">
        <v>9219</v>
      </c>
      <c r="K1957" s="554" t="s">
        <v>9219</v>
      </c>
      <c r="L1957" s="537" t="s">
        <v>2354</v>
      </c>
    </row>
    <row r="1958" spans="1:12" x14ac:dyDescent="0.2">
      <c r="A1958" s="547" t="s">
        <v>220</v>
      </c>
      <c r="B1958" s="547" t="s">
        <v>2351</v>
      </c>
      <c r="C1958" s="554" t="s">
        <v>2435</v>
      </c>
      <c r="D1958" s="554" t="s">
        <v>2436</v>
      </c>
      <c r="E1958" s="554" t="s">
        <v>9585</v>
      </c>
      <c r="F1958" s="571">
        <v>10</v>
      </c>
      <c r="G1958" s="572">
        <v>6.4550000000000001</v>
      </c>
      <c r="H1958" s="545">
        <v>64.55</v>
      </c>
      <c r="I1958" s="554" t="s">
        <v>9218</v>
      </c>
      <c r="J1958" s="554" t="s">
        <v>9219</v>
      </c>
      <c r="K1958" s="554" t="s">
        <v>9219</v>
      </c>
      <c r="L1958" s="537" t="s">
        <v>2354</v>
      </c>
    </row>
    <row r="1959" spans="1:12" x14ac:dyDescent="0.2">
      <c r="A1959" s="547" t="s">
        <v>220</v>
      </c>
      <c r="B1959" s="547" t="s">
        <v>2351</v>
      </c>
      <c r="C1959" s="554" t="s">
        <v>3627</v>
      </c>
      <c r="D1959" s="554" t="s">
        <v>3628</v>
      </c>
      <c r="E1959" s="554" t="s">
        <v>9585</v>
      </c>
      <c r="F1959" s="571">
        <v>17</v>
      </c>
      <c r="G1959" s="572">
        <v>1.679</v>
      </c>
      <c r="H1959" s="545">
        <v>28.542999999999999</v>
      </c>
      <c r="I1959" s="554" t="s">
        <v>9218</v>
      </c>
      <c r="J1959" s="554" t="s">
        <v>9219</v>
      </c>
      <c r="K1959" s="554" t="s">
        <v>9219</v>
      </c>
      <c r="L1959" s="537" t="s">
        <v>2354</v>
      </c>
    </row>
    <row r="1960" spans="1:12" x14ac:dyDescent="0.2">
      <c r="A1960" s="547" t="s">
        <v>220</v>
      </c>
      <c r="B1960" s="547" t="s">
        <v>2351</v>
      </c>
      <c r="C1960" s="554" t="s">
        <v>2421</v>
      </c>
      <c r="D1960" s="554" t="s">
        <v>2422</v>
      </c>
      <c r="E1960" s="554" t="s">
        <v>9585</v>
      </c>
      <c r="F1960" s="571">
        <v>15</v>
      </c>
      <c r="G1960" s="572">
        <v>21.785499999999999</v>
      </c>
      <c r="H1960" s="545">
        <v>326.78249999999997</v>
      </c>
      <c r="I1960" s="554" t="s">
        <v>9218</v>
      </c>
      <c r="J1960" s="554" t="s">
        <v>9219</v>
      </c>
      <c r="K1960" s="554" t="s">
        <v>9219</v>
      </c>
      <c r="L1960" s="537" t="s">
        <v>2354</v>
      </c>
    </row>
    <row r="1961" spans="1:12" x14ac:dyDescent="0.2">
      <c r="A1961" s="547" t="s">
        <v>220</v>
      </c>
      <c r="B1961" s="547" t="s">
        <v>2351</v>
      </c>
      <c r="C1961" s="554" t="s">
        <v>3629</v>
      </c>
      <c r="D1961" s="554" t="s">
        <v>3630</v>
      </c>
      <c r="E1961" s="554" t="s">
        <v>9585</v>
      </c>
      <c r="F1961" s="571">
        <v>29</v>
      </c>
      <c r="G1961" s="572">
        <v>1.1729999999999998</v>
      </c>
      <c r="H1961" s="545">
        <v>34.016999999999996</v>
      </c>
      <c r="I1961" s="554" t="s">
        <v>9218</v>
      </c>
      <c r="J1961" s="554" t="s">
        <v>9219</v>
      </c>
      <c r="K1961" s="554" t="s">
        <v>9219</v>
      </c>
      <c r="L1961" s="537" t="s">
        <v>2354</v>
      </c>
    </row>
    <row r="1962" spans="1:12" x14ac:dyDescent="0.2">
      <c r="A1962" s="547" t="s">
        <v>220</v>
      </c>
      <c r="B1962" s="547" t="s">
        <v>2351</v>
      </c>
      <c r="C1962" s="554"/>
      <c r="D1962" s="554" t="s">
        <v>9363</v>
      </c>
      <c r="E1962" s="554" t="s">
        <v>9585</v>
      </c>
      <c r="F1962" s="571">
        <v>39</v>
      </c>
      <c r="G1962" s="572">
        <v>8.26</v>
      </c>
      <c r="H1962" s="545">
        <v>322.14</v>
      </c>
      <c r="I1962" s="554" t="s">
        <v>9218</v>
      </c>
      <c r="J1962" s="554" t="s">
        <v>9219</v>
      </c>
      <c r="K1962" s="554" t="s">
        <v>9219</v>
      </c>
      <c r="L1962" s="537" t="s">
        <v>2354</v>
      </c>
    </row>
    <row r="1963" spans="1:12" x14ac:dyDescent="0.2">
      <c r="A1963" s="547" t="s">
        <v>220</v>
      </c>
      <c r="B1963" s="547" t="s">
        <v>2351</v>
      </c>
      <c r="C1963" s="554" t="s">
        <v>3631</v>
      </c>
      <c r="D1963" s="554" t="s">
        <v>3632</v>
      </c>
      <c r="E1963" s="554" t="s">
        <v>9585</v>
      </c>
      <c r="F1963" s="571">
        <v>30</v>
      </c>
      <c r="G1963" s="572">
        <v>1.6872499999999999</v>
      </c>
      <c r="H1963" s="545">
        <v>50.6175</v>
      </c>
      <c r="I1963" s="554" t="s">
        <v>9218</v>
      </c>
      <c r="J1963" s="554" t="s">
        <v>9219</v>
      </c>
      <c r="K1963" s="554" t="s">
        <v>9219</v>
      </c>
      <c r="L1963" s="537" t="s">
        <v>2354</v>
      </c>
    </row>
    <row r="1964" spans="1:12" x14ac:dyDescent="0.2">
      <c r="A1964" s="547" t="s">
        <v>220</v>
      </c>
      <c r="B1964" s="547" t="s">
        <v>2351</v>
      </c>
      <c r="C1964" s="554" t="s">
        <v>2407</v>
      </c>
      <c r="D1964" s="554" t="s">
        <v>2408</v>
      </c>
      <c r="E1964" s="554" t="s">
        <v>9585</v>
      </c>
      <c r="F1964" s="571">
        <v>17</v>
      </c>
      <c r="G1964" s="572">
        <v>19.8</v>
      </c>
      <c r="H1964" s="545">
        <v>336.6</v>
      </c>
      <c r="I1964" s="554" t="s">
        <v>9218</v>
      </c>
      <c r="J1964" s="554" t="s">
        <v>9219</v>
      </c>
      <c r="K1964" s="554" t="s">
        <v>9219</v>
      </c>
      <c r="L1964" s="537" t="s">
        <v>2354</v>
      </c>
    </row>
    <row r="1965" spans="1:12" x14ac:dyDescent="0.2">
      <c r="A1965" s="547" t="s">
        <v>220</v>
      </c>
      <c r="B1965" s="547" t="s">
        <v>2351</v>
      </c>
      <c r="C1965" s="554" t="s">
        <v>3633</v>
      </c>
      <c r="D1965" s="554" t="s">
        <v>3634</v>
      </c>
      <c r="E1965" s="554" t="s">
        <v>9585</v>
      </c>
      <c r="F1965" s="571">
        <v>15</v>
      </c>
      <c r="G1965" s="572">
        <v>14.025</v>
      </c>
      <c r="H1965" s="545">
        <v>210.375</v>
      </c>
      <c r="I1965" s="554" t="s">
        <v>9218</v>
      </c>
      <c r="J1965" s="554" t="s">
        <v>9219</v>
      </c>
      <c r="K1965" s="554" t="s">
        <v>9219</v>
      </c>
      <c r="L1965" s="537" t="s">
        <v>2354</v>
      </c>
    </row>
    <row r="1966" spans="1:12" x14ac:dyDescent="0.2">
      <c r="A1966" s="547" t="s">
        <v>220</v>
      </c>
      <c r="B1966" s="547" t="s">
        <v>2351</v>
      </c>
      <c r="C1966" s="554" t="s">
        <v>3635</v>
      </c>
      <c r="D1966" s="554" t="s">
        <v>3636</v>
      </c>
      <c r="E1966" s="554" t="s">
        <v>9585</v>
      </c>
      <c r="F1966" s="571">
        <v>6</v>
      </c>
      <c r="G1966" s="572">
        <v>15.3</v>
      </c>
      <c r="H1966" s="545">
        <v>91.800000000000011</v>
      </c>
      <c r="I1966" s="554" t="s">
        <v>9218</v>
      </c>
      <c r="J1966" s="554" t="s">
        <v>9219</v>
      </c>
      <c r="K1966" s="554" t="s">
        <v>9219</v>
      </c>
      <c r="L1966" s="537" t="s">
        <v>2354</v>
      </c>
    </row>
    <row r="1967" spans="1:12" x14ac:dyDescent="0.2">
      <c r="A1967" s="547" t="s">
        <v>220</v>
      </c>
      <c r="B1967" s="547" t="s">
        <v>2351</v>
      </c>
      <c r="C1967" s="554" t="s">
        <v>2404</v>
      </c>
      <c r="D1967" s="554" t="s">
        <v>2405</v>
      </c>
      <c r="E1967" s="554" t="s">
        <v>9585</v>
      </c>
      <c r="F1967" s="571">
        <v>10</v>
      </c>
      <c r="G1967" s="572">
        <v>13.53</v>
      </c>
      <c r="H1967" s="545">
        <v>135.29999999999998</v>
      </c>
      <c r="I1967" s="554" t="s">
        <v>9218</v>
      </c>
      <c r="J1967" s="554" t="s">
        <v>9219</v>
      </c>
      <c r="K1967" s="554" t="s">
        <v>9219</v>
      </c>
      <c r="L1967" s="537" t="s">
        <v>2354</v>
      </c>
    </row>
    <row r="1968" spans="1:12" x14ac:dyDescent="0.2">
      <c r="A1968" s="547" t="s">
        <v>220</v>
      </c>
      <c r="B1968" s="547" t="s">
        <v>2351</v>
      </c>
      <c r="C1968" s="554" t="s">
        <v>3637</v>
      </c>
      <c r="D1968" s="554" t="s">
        <v>3638</v>
      </c>
      <c r="E1968" s="554" t="s">
        <v>9585</v>
      </c>
      <c r="F1968" s="571">
        <v>34</v>
      </c>
      <c r="G1968" s="572">
        <v>1.6830000000000001</v>
      </c>
      <c r="H1968" s="545">
        <v>57.222000000000001</v>
      </c>
      <c r="I1968" s="554" t="s">
        <v>9218</v>
      </c>
      <c r="J1968" s="554" t="s">
        <v>9219</v>
      </c>
      <c r="K1968" s="554" t="s">
        <v>9219</v>
      </c>
      <c r="L1968" s="537" t="s">
        <v>2354</v>
      </c>
    </row>
    <row r="1969" spans="1:12" x14ac:dyDescent="0.2">
      <c r="A1969" s="547" t="s">
        <v>220</v>
      </c>
      <c r="B1969" s="547" t="s">
        <v>2351</v>
      </c>
      <c r="C1969" s="554" t="s">
        <v>3639</v>
      </c>
      <c r="D1969" s="554" t="s">
        <v>3640</v>
      </c>
      <c r="E1969" s="554" t="s">
        <v>9585</v>
      </c>
      <c r="F1969" s="571">
        <v>85</v>
      </c>
      <c r="G1969" s="572">
        <v>1.9935000000000003</v>
      </c>
      <c r="H1969" s="545">
        <v>169.44750000000002</v>
      </c>
      <c r="I1969" s="554" t="s">
        <v>9218</v>
      </c>
      <c r="J1969" s="554" t="s">
        <v>9219</v>
      </c>
      <c r="K1969" s="554" t="s">
        <v>9219</v>
      </c>
      <c r="L1969" s="537" t="s">
        <v>2354</v>
      </c>
    </row>
    <row r="1970" spans="1:12" x14ac:dyDescent="0.2">
      <c r="A1970" s="547" t="s">
        <v>220</v>
      </c>
      <c r="B1970" s="547" t="s">
        <v>2351</v>
      </c>
      <c r="C1970" s="554" t="s">
        <v>3641</v>
      </c>
      <c r="D1970" s="554" t="s">
        <v>3642</v>
      </c>
      <c r="E1970" s="554" t="s">
        <v>9585</v>
      </c>
      <c r="F1970" s="571">
        <v>25</v>
      </c>
      <c r="G1970" s="572">
        <v>2.8834363636363638</v>
      </c>
      <c r="H1970" s="545">
        <v>72.085909090909098</v>
      </c>
      <c r="I1970" s="554" t="s">
        <v>9218</v>
      </c>
      <c r="J1970" s="554" t="s">
        <v>9219</v>
      </c>
      <c r="K1970" s="554" t="s">
        <v>9219</v>
      </c>
      <c r="L1970" s="537" t="s">
        <v>2354</v>
      </c>
    </row>
    <row r="1971" spans="1:12" x14ac:dyDescent="0.2">
      <c r="A1971" s="547" t="s">
        <v>220</v>
      </c>
      <c r="B1971" s="547" t="s">
        <v>2351</v>
      </c>
      <c r="C1971" s="554" t="s">
        <v>3643</v>
      </c>
      <c r="D1971" s="554" t="s">
        <v>3644</v>
      </c>
      <c r="E1971" s="554" t="s">
        <v>9585</v>
      </c>
      <c r="F1971" s="571">
        <v>17</v>
      </c>
      <c r="G1971" s="572">
        <v>5.4660000000000002</v>
      </c>
      <c r="H1971" s="545">
        <v>92.921999999999997</v>
      </c>
      <c r="I1971" s="554" t="s">
        <v>9218</v>
      </c>
      <c r="J1971" s="554" t="s">
        <v>9219</v>
      </c>
      <c r="K1971" s="554" t="s">
        <v>9219</v>
      </c>
      <c r="L1971" s="537" t="s">
        <v>2354</v>
      </c>
    </row>
    <row r="1972" spans="1:12" x14ac:dyDescent="0.2">
      <c r="A1972" s="547" t="s">
        <v>220</v>
      </c>
      <c r="B1972" s="547" t="s">
        <v>2351</v>
      </c>
      <c r="C1972" s="554" t="s">
        <v>3645</v>
      </c>
      <c r="D1972" s="554" t="s">
        <v>3646</v>
      </c>
      <c r="E1972" s="554" t="s">
        <v>9585</v>
      </c>
      <c r="F1972" s="571">
        <v>5</v>
      </c>
      <c r="G1972" s="572">
        <v>4.5022500000000001</v>
      </c>
      <c r="H1972" s="545">
        <v>22.51125</v>
      </c>
      <c r="I1972" s="554" t="s">
        <v>9218</v>
      </c>
      <c r="J1972" s="554" t="s">
        <v>9219</v>
      </c>
      <c r="K1972" s="554" t="s">
        <v>9219</v>
      </c>
      <c r="L1972" s="537" t="s">
        <v>2354</v>
      </c>
    </row>
    <row r="1973" spans="1:12" x14ac:dyDescent="0.2">
      <c r="A1973" s="547" t="s">
        <v>220</v>
      </c>
      <c r="B1973" s="547" t="s">
        <v>2351</v>
      </c>
      <c r="C1973" s="554" t="s">
        <v>3647</v>
      </c>
      <c r="D1973" s="554" t="s">
        <v>3648</v>
      </c>
      <c r="E1973" s="554" t="s">
        <v>9585</v>
      </c>
      <c r="F1973" s="571">
        <v>4</v>
      </c>
      <c r="G1973" s="572">
        <v>9.7188999999999997</v>
      </c>
      <c r="H1973" s="545">
        <v>38.875599999999999</v>
      </c>
      <c r="I1973" s="554" t="s">
        <v>9218</v>
      </c>
      <c r="J1973" s="554" t="s">
        <v>9219</v>
      </c>
      <c r="K1973" s="554" t="s">
        <v>9219</v>
      </c>
      <c r="L1973" s="537" t="s">
        <v>2354</v>
      </c>
    </row>
    <row r="1974" spans="1:12" x14ac:dyDescent="0.2">
      <c r="A1974" s="547" t="s">
        <v>220</v>
      </c>
      <c r="B1974" s="547" t="s">
        <v>2351</v>
      </c>
      <c r="C1974" s="554" t="s">
        <v>3649</v>
      </c>
      <c r="D1974" s="554" t="s">
        <v>3650</v>
      </c>
      <c r="E1974" s="554" t="s">
        <v>9585</v>
      </c>
      <c r="F1974" s="571">
        <v>24</v>
      </c>
      <c r="G1974" s="572">
        <v>4.93</v>
      </c>
      <c r="H1974" s="545">
        <v>118.32</v>
      </c>
      <c r="I1974" s="554" t="s">
        <v>9218</v>
      </c>
      <c r="J1974" s="554" t="s">
        <v>9219</v>
      </c>
      <c r="K1974" s="554" t="s">
        <v>9219</v>
      </c>
      <c r="L1974" s="537" t="s">
        <v>2354</v>
      </c>
    </row>
    <row r="1975" spans="1:12" x14ac:dyDescent="0.2">
      <c r="A1975" s="547" t="s">
        <v>220</v>
      </c>
      <c r="B1975" s="547" t="s">
        <v>2351</v>
      </c>
      <c r="C1975" s="554" t="s">
        <v>3651</v>
      </c>
      <c r="D1975" s="554" t="s">
        <v>3652</v>
      </c>
      <c r="E1975" s="554" t="s">
        <v>9585</v>
      </c>
      <c r="F1975" s="571">
        <v>39</v>
      </c>
      <c r="G1975" s="572">
        <v>1.848857142857143</v>
      </c>
      <c r="H1975" s="545">
        <v>72.105428571428575</v>
      </c>
      <c r="I1975" s="554" t="s">
        <v>9218</v>
      </c>
      <c r="J1975" s="554" t="s">
        <v>9219</v>
      </c>
      <c r="K1975" s="554" t="s">
        <v>9219</v>
      </c>
      <c r="L1975" s="537" t="s">
        <v>2354</v>
      </c>
    </row>
    <row r="1976" spans="1:12" x14ac:dyDescent="0.2">
      <c r="A1976" s="547" t="s">
        <v>220</v>
      </c>
      <c r="B1976" s="547" t="s">
        <v>2351</v>
      </c>
      <c r="C1976" s="554" t="s">
        <v>3653</v>
      </c>
      <c r="D1976" s="554" t="s">
        <v>3654</v>
      </c>
      <c r="E1976" s="554" t="s">
        <v>9585</v>
      </c>
      <c r="F1976" s="571">
        <v>19</v>
      </c>
      <c r="G1976" s="572">
        <v>2.2440000000000002</v>
      </c>
      <c r="H1976" s="545">
        <v>42.636000000000003</v>
      </c>
      <c r="I1976" s="554" t="s">
        <v>9218</v>
      </c>
      <c r="J1976" s="554" t="s">
        <v>9219</v>
      </c>
      <c r="K1976" s="554" t="s">
        <v>9219</v>
      </c>
      <c r="L1976" s="537" t="s">
        <v>2354</v>
      </c>
    </row>
    <row r="1977" spans="1:12" x14ac:dyDescent="0.2">
      <c r="A1977" s="547" t="s">
        <v>220</v>
      </c>
      <c r="B1977" s="547" t="s">
        <v>2351</v>
      </c>
      <c r="C1977" s="554" t="s">
        <v>3655</v>
      </c>
      <c r="D1977" s="554" t="s">
        <v>3656</v>
      </c>
      <c r="E1977" s="554" t="s">
        <v>9585</v>
      </c>
      <c r="F1977" s="571">
        <v>38</v>
      </c>
      <c r="G1977" s="572">
        <v>3.6</v>
      </c>
      <c r="H1977" s="545">
        <v>136.80000000000001</v>
      </c>
      <c r="I1977" s="554" t="s">
        <v>9218</v>
      </c>
      <c r="J1977" s="554" t="s">
        <v>9219</v>
      </c>
      <c r="K1977" s="554" t="s">
        <v>9219</v>
      </c>
      <c r="L1977" s="537" t="s">
        <v>2354</v>
      </c>
    </row>
    <row r="1978" spans="1:12" x14ac:dyDescent="0.2">
      <c r="A1978" s="547" t="s">
        <v>220</v>
      </c>
      <c r="B1978" s="547" t="s">
        <v>2351</v>
      </c>
      <c r="C1978" s="554" t="s">
        <v>2409</v>
      </c>
      <c r="D1978" s="554" t="s">
        <v>2410</v>
      </c>
      <c r="E1978" s="554" t="s">
        <v>9585</v>
      </c>
      <c r="F1978" s="571">
        <v>24</v>
      </c>
      <c r="G1978" s="572">
        <v>1.802</v>
      </c>
      <c r="H1978" s="545">
        <v>43.248000000000005</v>
      </c>
      <c r="I1978" s="554" t="s">
        <v>9218</v>
      </c>
      <c r="J1978" s="554" t="s">
        <v>9219</v>
      </c>
      <c r="K1978" s="554" t="s">
        <v>9219</v>
      </c>
      <c r="L1978" s="537" t="s">
        <v>2354</v>
      </c>
    </row>
    <row r="1979" spans="1:12" x14ac:dyDescent="0.2">
      <c r="A1979" s="547" t="s">
        <v>220</v>
      </c>
      <c r="B1979" s="547" t="s">
        <v>2351</v>
      </c>
      <c r="C1979" s="554" t="s">
        <v>5402</v>
      </c>
      <c r="D1979" s="554" t="s">
        <v>5403</v>
      </c>
      <c r="E1979" s="554" t="s">
        <v>9585</v>
      </c>
      <c r="F1979" s="571">
        <v>10</v>
      </c>
      <c r="G1979" s="572">
        <v>3.8759999999999999</v>
      </c>
      <c r="H1979" s="545">
        <v>38.76</v>
      </c>
      <c r="I1979" s="554" t="s">
        <v>9218</v>
      </c>
      <c r="J1979" s="554" t="s">
        <v>9219</v>
      </c>
      <c r="K1979" s="554" t="s">
        <v>9219</v>
      </c>
      <c r="L1979" s="537" t="s">
        <v>2354</v>
      </c>
    </row>
    <row r="1980" spans="1:12" x14ac:dyDescent="0.2">
      <c r="A1980" s="547" t="s">
        <v>220</v>
      </c>
      <c r="B1980" s="547" t="s">
        <v>2351</v>
      </c>
      <c r="C1980" s="554" t="s">
        <v>3679</v>
      </c>
      <c r="D1980" s="554" t="s">
        <v>3680</v>
      </c>
      <c r="E1980" s="554" t="s">
        <v>9585</v>
      </c>
      <c r="F1980" s="571">
        <v>9</v>
      </c>
      <c r="G1980" s="572">
        <v>3.927</v>
      </c>
      <c r="H1980" s="545">
        <v>35.343000000000004</v>
      </c>
      <c r="I1980" s="554" t="s">
        <v>9218</v>
      </c>
      <c r="J1980" s="554" t="s">
        <v>9219</v>
      </c>
      <c r="K1980" s="554" t="s">
        <v>9219</v>
      </c>
      <c r="L1980" s="537" t="s">
        <v>2354</v>
      </c>
    </row>
    <row r="1981" spans="1:12" x14ac:dyDescent="0.2">
      <c r="A1981" s="547" t="s">
        <v>220</v>
      </c>
      <c r="B1981" s="547" t="s">
        <v>2351</v>
      </c>
      <c r="C1981" s="554" t="s">
        <v>3681</v>
      </c>
      <c r="D1981" s="554" t="s">
        <v>3682</v>
      </c>
      <c r="E1981" s="554" t="s">
        <v>9585</v>
      </c>
      <c r="F1981" s="571">
        <v>14</v>
      </c>
      <c r="G1981" s="572">
        <v>7.2</v>
      </c>
      <c r="H1981" s="545">
        <v>100.8</v>
      </c>
      <c r="I1981" s="554" t="s">
        <v>9218</v>
      </c>
      <c r="J1981" s="554" t="s">
        <v>9219</v>
      </c>
      <c r="K1981" s="554" t="s">
        <v>9219</v>
      </c>
      <c r="L1981" s="537" t="s">
        <v>2354</v>
      </c>
    </row>
    <row r="1982" spans="1:12" x14ac:dyDescent="0.2">
      <c r="A1982" s="547" t="s">
        <v>220</v>
      </c>
      <c r="B1982" s="547" t="s">
        <v>2351</v>
      </c>
      <c r="C1982" s="554" t="s">
        <v>3727</v>
      </c>
      <c r="D1982" s="554" t="s">
        <v>3728</v>
      </c>
      <c r="E1982" s="554" t="s">
        <v>9585</v>
      </c>
      <c r="F1982" s="571">
        <v>13</v>
      </c>
      <c r="G1982" s="572">
        <v>5.1802306451612896</v>
      </c>
      <c r="H1982" s="545">
        <v>67.34299838709677</v>
      </c>
      <c r="I1982" s="554" t="s">
        <v>9218</v>
      </c>
      <c r="J1982" s="554" t="s">
        <v>9219</v>
      </c>
      <c r="K1982" s="554" t="s">
        <v>9219</v>
      </c>
      <c r="L1982" s="537" t="s">
        <v>2354</v>
      </c>
    </row>
    <row r="1983" spans="1:12" x14ac:dyDescent="0.2">
      <c r="A1983" s="547" t="s">
        <v>220</v>
      </c>
      <c r="B1983" s="547" t="s">
        <v>2351</v>
      </c>
      <c r="C1983" s="554" t="s">
        <v>3729</v>
      </c>
      <c r="D1983" s="554" t="s">
        <v>3730</v>
      </c>
      <c r="E1983" s="554" t="s">
        <v>9585</v>
      </c>
      <c r="F1983" s="571">
        <v>91</v>
      </c>
      <c r="G1983" s="572">
        <v>2.7116999999999996</v>
      </c>
      <c r="H1983" s="545">
        <v>246.76469999999995</v>
      </c>
      <c r="I1983" s="554" t="s">
        <v>9218</v>
      </c>
      <c r="J1983" s="554" t="s">
        <v>9219</v>
      </c>
      <c r="K1983" s="554" t="s">
        <v>9219</v>
      </c>
      <c r="L1983" s="537" t="s">
        <v>2354</v>
      </c>
    </row>
    <row r="1984" spans="1:12" x14ac:dyDescent="0.2">
      <c r="A1984" s="547" t="s">
        <v>220</v>
      </c>
      <c r="B1984" s="547" t="s">
        <v>2351</v>
      </c>
      <c r="C1984" s="554" t="s">
        <v>3731</v>
      </c>
      <c r="D1984" s="554" t="s">
        <v>3732</v>
      </c>
      <c r="E1984" s="554" t="s">
        <v>9585</v>
      </c>
      <c r="F1984" s="571">
        <v>50</v>
      </c>
      <c r="G1984" s="572">
        <v>2.3933750000000003</v>
      </c>
      <c r="H1984" s="545">
        <v>119.66875000000002</v>
      </c>
      <c r="I1984" s="554" t="s">
        <v>9218</v>
      </c>
      <c r="J1984" s="554" t="s">
        <v>9219</v>
      </c>
      <c r="K1984" s="554" t="s">
        <v>9219</v>
      </c>
      <c r="L1984" s="537" t="s">
        <v>2354</v>
      </c>
    </row>
    <row r="1985" spans="1:12" x14ac:dyDescent="0.2">
      <c r="A1985" s="547" t="s">
        <v>220</v>
      </c>
      <c r="B1985" s="547" t="s">
        <v>2351</v>
      </c>
      <c r="C1985" s="554" t="s">
        <v>3733</v>
      </c>
      <c r="D1985" s="554" t="s">
        <v>3734</v>
      </c>
      <c r="E1985" s="554" t="s">
        <v>9585</v>
      </c>
      <c r="F1985" s="571">
        <v>12</v>
      </c>
      <c r="G1985" s="572">
        <v>5.2429499999999996</v>
      </c>
      <c r="H1985" s="545">
        <v>62.915399999999991</v>
      </c>
      <c r="I1985" s="554" t="s">
        <v>9218</v>
      </c>
      <c r="J1985" s="554" t="s">
        <v>9219</v>
      </c>
      <c r="K1985" s="554" t="s">
        <v>9219</v>
      </c>
      <c r="L1985" s="537" t="s">
        <v>2354</v>
      </c>
    </row>
    <row r="1986" spans="1:12" x14ac:dyDescent="0.2">
      <c r="A1986" s="547" t="s">
        <v>220</v>
      </c>
      <c r="B1986" s="547" t="s">
        <v>2351</v>
      </c>
      <c r="C1986" s="554" t="s">
        <v>2427</v>
      </c>
      <c r="D1986" s="554" t="s">
        <v>2428</v>
      </c>
      <c r="E1986" s="554" t="s">
        <v>9585</v>
      </c>
      <c r="F1986" s="571">
        <v>10</v>
      </c>
      <c r="G1986" s="572">
        <v>5.37</v>
      </c>
      <c r="H1986" s="545">
        <v>53.7</v>
      </c>
      <c r="I1986" s="554" t="s">
        <v>9218</v>
      </c>
      <c r="J1986" s="554" t="s">
        <v>9219</v>
      </c>
      <c r="K1986" s="554" t="s">
        <v>9219</v>
      </c>
      <c r="L1986" s="537" t="s">
        <v>2354</v>
      </c>
    </row>
    <row r="1987" spans="1:12" x14ac:dyDescent="0.2">
      <c r="A1987" s="547" t="s">
        <v>220</v>
      </c>
      <c r="B1987" s="547" t="s">
        <v>2351</v>
      </c>
      <c r="C1987" s="554" t="s">
        <v>3735</v>
      </c>
      <c r="D1987" s="554" t="s">
        <v>3736</v>
      </c>
      <c r="E1987" s="554" t="s">
        <v>9585</v>
      </c>
      <c r="F1987" s="571">
        <v>7</v>
      </c>
      <c r="G1987" s="572">
        <v>8.2799999999999994</v>
      </c>
      <c r="H1987" s="545">
        <v>57.959999999999994</v>
      </c>
      <c r="I1987" s="554" t="s">
        <v>9218</v>
      </c>
      <c r="J1987" s="554" t="s">
        <v>9219</v>
      </c>
      <c r="K1987" s="554" t="s">
        <v>9219</v>
      </c>
      <c r="L1987" s="537" t="s">
        <v>2354</v>
      </c>
    </row>
    <row r="1988" spans="1:12" x14ac:dyDescent="0.2">
      <c r="A1988" s="547" t="s">
        <v>220</v>
      </c>
      <c r="B1988" s="547" t="s">
        <v>2351</v>
      </c>
      <c r="C1988" s="554" t="s">
        <v>3833</v>
      </c>
      <c r="D1988" s="554" t="s">
        <v>3834</v>
      </c>
      <c r="E1988" s="554" t="s">
        <v>9585</v>
      </c>
      <c r="F1988" s="571">
        <v>8</v>
      </c>
      <c r="G1988" s="572">
        <v>1.173</v>
      </c>
      <c r="H1988" s="545">
        <v>9.3840000000000003</v>
      </c>
      <c r="I1988" s="554" t="s">
        <v>9218</v>
      </c>
      <c r="J1988" s="554" t="s">
        <v>9219</v>
      </c>
      <c r="K1988" s="554" t="s">
        <v>9219</v>
      </c>
      <c r="L1988" s="537" t="s">
        <v>2354</v>
      </c>
    </row>
    <row r="1989" spans="1:12" x14ac:dyDescent="0.2">
      <c r="A1989" s="547" t="s">
        <v>220</v>
      </c>
      <c r="B1989" s="547" t="s">
        <v>2351</v>
      </c>
      <c r="C1989" s="554" t="s">
        <v>3835</v>
      </c>
      <c r="D1989" s="554" t="s">
        <v>3836</v>
      </c>
      <c r="E1989" s="554" t="s">
        <v>9585</v>
      </c>
      <c r="F1989" s="571">
        <v>4</v>
      </c>
      <c r="G1989" s="572">
        <v>25.009</v>
      </c>
      <c r="H1989" s="545">
        <v>100.036</v>
      </c>
      <c r="I1989" s="554" t="s">
        <v>9218</v>
      </c>
      <c r="J1989" s="554" t="s">
        <v>9219</v>
      </c>
      <c r="K1989" s="554" t="s">
        <v>9219</v>
      </c>
      <c r="L1989" s="537" t="s">
        <v>2354</v>
      </c>
    </row>
    <row r="1990" spans="1:12" x14ac:dyDescent="0.2">
      <c r="A1990" s="547" t="s">
        <v>220</v>
      </c>
      <c r="B1990" s="547" t="s">
        <v>2351</v>
      </c>
      <c r="C1990" s="554" t="s">
        <v>3897</v>
      </c>
      <c r="D1990" s="554" t="s">
        <v>3898</v>
      </c>
      <c r="E1990" s="554" t="s">
        <v>9585</v>
      </c>
      <c r="F1990" s="571">
        <v>138</v>
      </c>
      <c r="G1990" s="572">
        <v>6.8629499999999997</v>
      </c>
      <c r="H1990" s="545">
        <v>947.08709999999996</v>
      </c>
      <c r="I1990" s="554" t="s">
        <v>9218</v>
      </c>
      <c r="J1990" s="554" t="s">
        <v>9219</v>
      </c>
      <c r="K1990" s="554" t="s">
        <v>9219</v>
      </c>
      <c r="L1990" s="537" t="s">
        <v>2354</v>
      </c>
    </row>
    <row r="1991" spans="1:12" x14ac:dyDescent="0.2">
      <c r="A1991" s="547" t="s">
        <v>220</v>
      </c>
      <c r="B1991" s="547" t="s">
        <v>2351</v>
      </c>
      <c r="C1991" s="554" t="s">
        <v>3899</v>
      </c>
      <c r="D1991" s="554" t="s">
        <v>3900</v>
      </c>
      <c r="E1991" s="554" t="s">
        <v>9585</v>
      </c>
      <c r="F1991" s="571">
        <v>30</v>
      </c>
      <c r="G1991" s="572">
        <v>5.7948750000000002</v>
      </c>
      <c r="H1991" s="545">
        <v>173.84625</v>
      </c>
      <c r="I1991" s="554" t="s">
        <v>9218</v>
      </c>
      <c r="J1991" s="554" t="s">
        <v>9219</v>
      </c>
      <c r="K1991" s="554" t="s">
        <v>9219</v>
      </c>
      <c r="L1991" s="537" t="s">
        <v>2354</v>
      </c>
    </row>
    <row r="1992" spans="1:12" x14ac:dyDescent="0.2">
      <c r="A1992" s="547" t="s">
        <v>220</v>
      </c>
      <c r="B1992" s="547" t="s">
        <v>2351</v>
      </c>
      <c r="C1992" s="554" t="s">
        <v>3901</v>
      </c>
      <c r="D1992" s="554" t="s">
        <v>3902</v>
      </c>
      <c r="E1992" s="554" t="s">
        <v>9585</v>
      </c>
      <c r="F1992" s="571">
        <v>177</v>
      </c>
      <c r="G1992" s="572">
        <v>7.5750000000000002</v>
      </c>
      <c r="H1992" s="545">
        <v>1340.7750000000001</v>
      </c>
      <c r="I1992" s="554" t="s">
        <v>9218</v>
      </c>
      <c r="J1992" s="554" t="s">
        <v>9219</v>
      </c>
      <c r="K1992" s="554" t="s">
        <v>9219</v>
      </c>
      <c r="L1992" s="537" t="s">
        <v>2354</v>
      </c>
    </row>
    <row r="1993" spans="1:12" x14ac:dyDescent="0.2">
      <c r="A1993" s="547" t="s">
        <v>220</v>
      </c>
      <c r="B1993" s="547" t="s">
        <v>2351</v>
      </c>
      <c r="C1993" s="554" t="s">
        <v>3903</v>
      </c>
      <c r="D1993" s="554" t="s">
        <v>3904</v>
      </c>
      <c r="E1993" s="554" t="s">
        <v>9585</v>
      </c>
      <c r="F1993" s="571">
        <v>21</v>
      </c>
      <c r="G1993" s="572">
        <v>6.1554726368159205</v>
      </c>
      <c r="H1993" s="545">
        <v>129.26492537313433</v>
      </c>
      <c r="I1993" s="554" t="s">
        <v>9218</v>
      </c>
      <c r="J1993" s="554" t="s">
        <v>9219</v>
      </c>
      <c r="K1993" s="554" t="s">
        <v>9219</v>
      </c>
      <c r="L1993" s="537" t="s">
        <v>2354</v>
      </c>
    </row>
    <row r="1994" spans="1:12" x14ac:dyDescent="0.2">
      <c r="A1994" s="547" t="s">
        <v>220</v>
      </c>
      <c r="B1994" s="547" t="s">
        <v>2351</v>
      </c>
      <c r="C1994" s="554" t="s">
        <v>3905</v>
      </c>
      <c r="D1994" s="554" t="s">
        <v>3906</v>
      </c>
      <c r="E1994" s="554" t="s">
        <v>9585</v>
      </c>
      <c r="F1994" s="571">
        <v>7</v>
      </c>
      <c r="G1994" s="572">
        <v>24.5</v>
      </c>
      <c r="H1994" s="545">
        <v>171.5</v>
      </c>
      <c r="I1994" s="554" t="s">
        <v>9218</v>
      </c>
      <c r="J1994" s="554" t="s">
        <v>9219</v>
      </c>
      <c r="K1994" s="554" t="s">
        <v>9219</v>
      </c>
      <c r="L1994" s="537" t="s">
        <v>2354</v>
      </c>
    </row>
    <row r="1995" spans="1:12" x14ac:dyDescent="0.2">
      <c r="A1995" s="547" t="s">
        <v>220</v>
      </c>
      <c r="B1995" s="547" t="s">
        <v>2351</v>
      </c>
      <c r="C1995" s="554" t="s">
        <v>3907</v>
      </c>
      <c r="D1995" s="554" t="s">
        <v>3908</v>
      </c>
      <c r="E1995" s="554" t="s">
        <v>9585</v>
      </c>
      <c r="F1995" s="571">
        <v>3</v>
      </c>
      <c r="G1995" s="572">
        <v>5.4678875000000007</v>
      </c>
      <c r="H1995" s="545">
        <v>16.403662500000003</v>
      </c>
      <c r="I1995" s="554" t="s">
        <v>9218</v>
      </c>
      <c r="J1995" s="554" t="s">
        <v>9219</v>
      </c>
      <c r="K1995" s="554" t="s">
        <v>9219</v>
      </c>
      <c r="L1995" s="537" t="s">
        <v>2354</v>
      </c>
    </row>
    <row r="1996" spans="1:12" x14ac:dyDescent="0.2">
      <c r="A1996" s="547" t="s">
        <v>220</v>
      </c>
      <c r="B1996" s="547" t="s">
        <v>2351</v>
      </c>
      <c r="C1996" s="554" t="s">
        <v>3909</v>
      </c>
      <c r="D1996" s="554" t="s">
        <v>3910</v>
      </c>
      <c r="E1996" s="554" t="s">
        <v>9585</v>
      </c>
      <c r="F1996" s="571">
        <v>1375</v>
      </c>
      <c r="G1996" s="572">
        <v>4.103131067961165</v>
      </c>
      <c r="H1996" s="545">
        <v>5641.8052184466014</v>
      </c>
      <c r="I1996" s="554" t="s">
        <v>9218</v>
      </c>
      <c r="J1996" s="554" t="s">
        <v>9219</v>
      </c>
      <c r="K1996" s="554" t="s">
        <v>9219</v>
      </c>
      <c r="L1996" s="537" t="s">
        <v>2354</v>
      </c>
    </row>
    <row r="1997" spans="1:12" x14ac:dyDescent="0.2">
      <c r="A1997" s="547" t="s">
        <v>220</v>
      </c>
      <c r="B1997" s="547" t="s">
        <v>2351</v>
      </c>
      <c r="C1997" s="554" t="s">
        <v>3911</v>
      </c>
      <c r="D1997" s="554" t="s">
        <v>3912</v>
      </c>
      <c r="E1997" s="554" t="s">
        <v>9585</v>
      </c>
      <c r="F1997" s="571">
        <v>85</v>
      </c>
      <c r="G1997" s="572">
        <v>3.7033333333333331</v>
      </c>
      <c r="H1997" s="545">
        <v>314.7833333333333</v>
      </c>
      <c r="I1997" s="554" t="s">
        <v>9218</v>
      </c>
      <c r="J1997" s="554" t="s">
        <v>9219</v>
      </c>
      <c r="K1997" s="554" t="s">
        <v>9219</v>
      </c>
      <c r="L1997" s="537" t="s">
        <v>2354</v>
      </c>
    </row>
    <row r="1998" spans="1:12" x14ac:dyDescent="0.2">
      <c r="A1998" s="547" t="s">
        <v>220</v>
      </c>
      <c r="B1998" s="547" t="s">
        <v>2351</v>
      </c>
      <c r="C1998" s="554" t="s">
        <v>3913</v>
      </c>
      <c r="D1998" s="554" t="s">
        <v>3914</v>
      </c>
      <c r="E1998" s="554" t="s">
        <v>9585</v>
      </c>
      <c r="F1998" s="571">
        <v>96</v>
      </c>
      <c r="G1998" s="572">
        <v>6.6429900000000002</v>
      </c>
      <c r="H1998" s="545">
        <v>637.72703999999999</v>
      </c>
      <c r="I1998" s="554" t="s">
        <v>9218</v>
      </c>
      <c r="J1998" s="554" t="s">
        <v>9219</v>
      </c>
      <c r="K1998" s="554" t="s">
        <v>9219</v>
      </c>
      <c r="L1998" s="537" t="s">
        <v>2354</v>
      </c>
    </row>
    <row r="1999" spans="1:12" x14ac:dyDescent="0.2">
      <c r="A1999" s="547" t="s">
        <v>220</v>
      </c>
      <c r="B1999" s="547" t="s">
        <v>2351</v>
      </c>
      <c r="C1999" s="554" t="s">
        <v>3915</v>
      </c>
      <c r="D1999" s="554" t="s">
        <v>3916</v>
      </c>
      <c r="E1999" s="554" t="s">
        <v>9585</v>
      </c>
      <c r="F1999" s="573">
        <v>6</v>
      </c>
      <c r="G1999" s="545">
        <v>0</v>
      </c>
      <c r="H1999" s="545">
        <v>0</v>
      </c>
      <c r="I1999" s="554" t="s">
        <v>9218</v>
      </c>
      <c r="J1999" s="554" t="s">
        <v>9219</v>
      </c>
      <c r="K1999" s="554" t="s">
        <v>9219</v>
      </c>
      <c r="L1999" s="537" t="s">
        <v>2354</v>
      </c>
    </row>
    <row r="2000" spans="1:12" x14ac:dyDescent="0.2">
      <c r="A2000" s="547" t="s">
        <v>220</v>
      </c>
      <c r="B2000" s="547" t="s">
        <v>2351</v>
      </c>
      <c r="C2000" s="554" t="s">
        <v>3917</v>
      </c>
      <c r="D2000" s="554" t="s">
        <v>3918</v>
      </c>
      <c r="E2000" s="554" t="s">
        <v>9585</v>
      </c>
      <c r="F2000" s="573">
        <v>10</v>
      </c>
      <c r="G2000" s="545">
        <v>0</v>
      </c>
      <c r="H2000" s="545">
        <v>0</v>
      </c>
      <c r="I2000" s="554" t="s">
        <v>9218</v>
      </c>
      <c r="J2000" s="554" t="s">
        <v>9219</v>
      </c>
      <c r="K2000" s="554" t="s">
        <v>9219</v>
      </c>
      <c r="L2000" s="537" t="s">
        <v>2354</v>
      </c>
    </row>
    <row r="2001" spans="1:12" x14ac:dyDescent="0.2">
      <c r="A2001" s="547" t="s">
        <v>220</v>
      </c>
      <c r="B2001" s="547" t="s">
        <v>2351</v>
      </c>
      <c r="C2001" s="554" t="s">
        <v>3919</v>
      </c>
      <c r="D2001" s="554" t="s">
        <v>3920</v>
      </c>
      <c r="E2001" s="554" t="s">
        <v>9585</v>
      </c>
      <c r="F2001" s="573">
        <v>12</v>
      </c>
      <c r="G2001" s="545">
        <v>0</v>
      </c>
      <c r="H2001" s="545">
        <v>0</v>
      </c>
      <c r="I2001" s="554" t="s">
        <v>9218</v>
      </c>
      <c r="J2001" s="554" t="s">
        <v>9219</v>
      </c>
      <c r="K2001" s="554" t="s">
        <v>9219</v>
      </c>
      <c r="L2001" s="537" t="s">
        <v>2354</v>
      </c>
    </row>
    <row r="2002" spans="1:12" x14ac:dyDescent="0.2">
      <c r="A2002" s="547" t="s">
        <v>220</v>
      </c>
      <c r="B2002" s="547" t="s">
        <v>2351</v>
      </c>
      <c r="C2002" s="554" t="s">
        <v>3921</v>
      </c>
      <c r="D2002" s="554" t="s">
        <v>3922</v>
      </c>
      <c r="E2002" s="554" t="s">
        <v>9585</v>
      </c>
      <c r="F2002" s="571">
        <v>12</v>
      </c>
      <c r="G2002" s="572">
        <v>0.127</v>
      </c>
      <c r="H2002" s="545">
        <v>1.524</v>
      </c>
      <c r="I2002" s="554" t="s">
        <v>9218</v>
      </c>
      <c r="J2002" s="554" t="s">
        <v>9219</v>
      </c>
      <c r="K2002" s="554" t="s">
        <v>9219</v>
      </c>
      <c r="L2002" s="537" t="s">
        <v>2354</v>
      </c>
    </row>
    <row r="2003" spans="1:12" x14ac:dyDescent="0.2">
      <c r="A2003" s="547" t="s">
        <v>220</v>
      </c>
      <c r="B2003" s="547" t="s">
        <v>2351</v>
      </c>
      <c r="C2003" s="554" t="s">
        <v>3923</v>
      </c>
      <c r="D2003" s="554" t="s">
        <v>3924</v>
      </c>
      <c r="E2003" s="554" t="s">
        <v>9585</v>
      </c>
      <c r="F2003" s="571">
        <v>90</v>
      </c>
      <c r="G2003" s="572">
        <v>6.7904999999999998</v>
      </c>
      <c r="H2003" s="545">
        <v>611.14499999999998</v>
      </c>
      <c r="I2003" s="554" t="s">
        <v>9218</v>
      </c>
      <c r="J2003" s="554" t="s">
        <v>9219</v>
      </c>
      <c r="K2003" s="554" t="s">
        <v>9219</v>
      </c>
      <c r="L2003" s="537" t="s">
        <v>2354</v>
      </c>
    </row>
    <row r="2004" spans="1:12" x14ac:dyDescent="0.2">
      <c r="A2004" s="547" t="s">
        <v>220</v>
      </c>
      <c r="B2004" s="547" t="s">
        <v>2351</v>
      </c>
      <c r="C2004" s="554" t="s">
        <v>3925</v>
      </c>
      <c r="D2004" s="554" t="s">
        <v>3926</v>
      </c>
      <c r="E2004" s="554" t="s">
        <v>9585</v>
      </c>
      <c r="F2004" s="571">
        <v>40</v>
      </c>
      <c r="G2004" s="572">
        <v>19.908000000000001</v>
      </c>
      <c r="H2004" s="545">
        <v>796.32</v>
      </c>
      <c r="I2004" s="554" t="s">
        <v>9218</v>
      </c>
      <c r="J2004" s="554" t="s">
        <v>9219</v>
      </c>
      <c r="K2004" s="554" t="s">
        <v>9219</v>
      </c>
      <c r="L2004" s="537" t="s">
        <v>2354</v>
      </c>
    </row>
    <row r="2005" spans="1:12" x14ac:dyDescent="0.2">
      <c r="A2005" s="547" t="s">
        <v>220</v>
      </c>
      <c r="B2005" s="547" t="s">
        <v>2351</v>
      </c>
      <c r="C2005" s="554" t="s">
        <v>5374</v>
      </c>
      <c r="D2005" s="554" t="s">
        <v>5375</v>
      </c>
      <c r="E2005" s="554" t="s">
        <v>9585</v>
      </c>
      <c r="F2005" s="571">
        <v>222</v>
      </c>
      <c r="G2005" s="572">
        <v>2.8799999999999999E-2</v>
      </c>
      <c r="H2005" s="545">
        <v>6.3936000000000002</v>
      </c>
      <c r="I2005" s="554" t="s">
        <v>9218</v>
      </c>
      <c r="J2005" s="554" t="s">
        <v>9219</v>
      </c>
      <c r="K2005" s="554" t="s">
        <v>9219</v>
      </c>
      <c r="L2005" s="537" t="s">
        <v>2354</v>
      </c>
    </row>
    <row r="2006" spans="1:12" x14ac:dyDescent="0.2">
      <c r="A2006" s="547" t="s">
        <v>220</v>
      </c>
      <c r="B2006" s="547" t="s">
        <v>2351</v>
      </c>
      <c r="C2006" s="554" t="s">
        <v>3941</v>
      </c>
      <c r="D2006" s="554" t="s">
        <v>3942</v>
      </c>
      <c r="E2006" s="554" t="s">
        <v>9585</v>
      </c>
      <c r="F2006" s="571">
        <v>10</v>
      </c>
      <c r="G2006" s="572">
        <v>4.5789999999999997</v>
      </c>
      <c r="H2006" s="545">
        <v>45.79</v>
      </c>
      <c r="I2006" s="554" t="s">
        <v>9218</v>
      </c>
      <c r="J2006" s="554" t="s">
        <v>9219</v>
      </c>
      <c r="K2006" s="554" t="s">
        <v>9219</v>
      </c>
      <c r="L2006" s="537" t="s">
        <v>2354</v>
      </c>
    </row>
    <row r="2007" spans="1:12" x14ac:dyDescent="0.2">
      <c r="A2007" s="547" t="s">
        <v>220</v>
      </c>
      <c r="B2007" s="547" t="s">
        <v>2351</v>
      </c>
      <c r="C2007" s="554" t="s">
        <v>3959</v>
      </c>
      <c r="D2007" s="554" t="s">
        <v>3960</v>
      </c>
      <c r="E2007" s="554" t="s">
        <v>9585</v>
      </c>
      <c r="F2007" s="571">
        <v>60</v>
      </c>
      <c r="G2007" s="572">
        <v>0.31363636363636366</v>
      </c>
      <c r="H2007" s="545">
        <v>18.81818181818182</v>
      </c>
      <c r="I2007" s="554" t="s">
        <v>9218</v>
      </c>
      <c r="J2007" s="554" t="s">
        <v>9219</v>
      </c>
      <c r="K2007" s="554" t="s">
        <v>9219</v>
      </c>
      <c r="L2007" s="537" t="s">
        <v>2354</v>
      </c>
    </row>
    <row r="2008" spans="1:12" x14ac:dyDescent="0.2">
      <c r="A2008" s="547" t="s">
        <v>220</v>
      </c>
      <c r="B2008" s="547" t="s">
        <v>2351</v>
      </c>
      <c r="C2008" s="554" t="s">
        <v>5376</v>
      </c>
      <c r="D2008" s="554" t="s">
        <v>5377</v>
      </c>
      <c r="E2008" s="554" t="s">
        <v>9585</v>
      </c>
      <c r="F2008" s="571">
        <v>34</v>
      </c>
      <c r="G2008" s="572">
        <v>1.3653</v>
      </c>
      <c r="H2008" s="545">
        <v>46.420200000000001</v>
      </c>
      <c r="I2008" s="554" t="s">
        <v>9218</v>
      </c>
      <c r="J2008" s="554" t="s">
        <v>9219</v>
      </c>
      <c r="K2008" s="554" t="s">
        <v>9219</v>
      </c>
      <c r="L2008" s="537" t="s">
        <v>2354</v>
      </c>
    </row>
    <row r="2009" spans="1:12" x14ac:dyDescent="0.2">
      <c r="A2009" s="547" t="s">
        <v>220</v>
      </c>
      <c r="B2009" s="547" t="s">
        <v>2351</v>
      </c>
      <c r="C2009" s="554" t="s">
        <v>3961</v>
      </c>
      <c r="D2009" s="554" t="s">
        <v>3962</v>
      </c>
      <c r="E2009" s="554" t="s">
        <v>9585</v>
      </c>
      <c r="F2009" s="571">
        <v>110</v>
      </c>
      <c r="G2009" s="572">
        <v>0.96513000000000004</v>
      </c>
      <c r="H2009" s="545">
        <v>106.16430000000001</v>
      </c>
      <c r="I2009" s="554" t="s">
        <v>9218</v>
      </c>
      <c r="J2009" s="554" t="s">
        <v>9219</v>
      </c>
      <c r="K2009" s="554" t="s">
        <v>9219</v>
      </c>
      <c r="L2009" s="537" t="s">
        <v>2354</v>
      </c>
    </row>
    <row r="2010" spans="1:12" x14ac:dyDescent="0.2">
      <c r="A2010" s="547" t="s">
        <v>220</v>
      </c>
      <c r="B2010" s="547" t="s">
        <v>2351</v>
      </c>
      <c r="C2010" s="554" t="s">
        <v>3963</v>
      </c>
      <c r="D2010" s="554" t="s">
        <v>3964</v>
      </c>
      <c r="E2010" s="554" t="s">
        <v>9585</v>
      </c>
      <c r="F2010" s="571">
        <v>130</v>
      </c>
      <c r="G2010" s="572">
        <v>1.1257200000000001</v>
      </c>
      <c r="H2010" s="545">
        <v>146.34360000000001</v>
      </c>
      <c r="I2010" s="554" t="s">
        <v>9218</v>
      </c>
      <c r="J2010" s="554" t="s">
        <v>9219</v>
      </c>
      <c r="K2010" s="554" t="s">
        <v>9219</v>
      </c>
      <c r="L2010" s="537" t="s">
        <v>2354</v>
      </c>
    </row>
    <row r="2011" spans="1:12" x14ac:dyDescent="0.2">
      <c r="A2011" s="547" t="s">
        <v>220</v>
      </c>
      <c r="B2011" s="547" t="s">
        <v>2351</v>
      </c>
      <c r="C2011" s="554" t="s">
        <v>3965</v>
      </c>
      <c r="D2011" s="554" t="s">
        <v>3966</v>
      </c>
      <c r="E2011" s="554" t="s">
        <v>9585</v>
      </c>
      <c r="F2011" s="571">
        <v>180</v>
      </c>
      <c r="G2011" s="572">
        <v>0.34026000000000001</v>
      </c>
      <c r="H2011" s="545">
        <v>61.2468</v>
      </c>
      <c r="I2011" s="554" t="s">
        <v>9218</v>
      </c>
      <c r="J2011" s="554" t="s">
        <v>9219</v>
      </c>
      <c r="K2011" s="554" t="s">
        <v>9219</v>
      </c>
      <c r="L2011" s="537" t="s">
        <v>2354</v>
      </c>
    </row>
    <row r="2012" spans="1:12" x14ac:dyDescent="0.2">
      <c r="A2012" s="547" t="s">
        <v>220</v>
      </c>
      <c r="B2012" s="547" t="s">
        <v>2351</v>
      </c>
      <c r="C2012" s="554" t="s">
        <v>3967</v>
      </c>
      <c r="D2012" s="554" t="s">
        <v>3968</v>
      </c>
      <c r="E2012" s="554" t="s">
        <v>9585</v>
      </c>
      <c r="F2012" s="571">
        <v>140</v>
      </c>
      <c r="G2012" s="572">
        <v>0.61002999999999996</v>
      </c>
      <c r="H2012" s="545">
        <v>85.404199999999989</v>
      </c>
      <c r="I2012" s="554" t="s">
        <v>9218</v>
      </c>
      <c r="J2012" s="554" t="s">
        <v>9219</v>
      </c>
      <c r="K2012" s="554" t="s">
        <v>9219</v>
      </c>
      <c r="L2012" s="537" t="s">
        <v>2354</v>
      </c>
    </row>
    <row r="2013" spans="1:12" x14ac:dyDescent="0.2">
      <c r="A2013" s="547" t="s">
        <v>220</v>
      </c>
      <c r="B2013" s="547" t="s">
        <v>2351</v>
      </c>
      <c r="C2013" s="554" t="s">
        <v>3969</v>
      </c>
      <c r="D2013" s="554" t="s">
        <v>3970</v>
      </c>
      <c r="E2013" s="554" t="s">
        <v>9585</v>
      </c>
      <c r="F2013" s="571">
        <v>45</v>
      </c>
      <c r="G2013" s="572">
        <v>2.85615</v>
      </c>
      <c r="H2013" s="545">
        <v>128.52674999999999</v>
      </c>
      <c r="I2013" s="554" t="s">
        <v>9218</v>
      </c>
      <c r="J2013" s="554" t="s">
        <v>9219</v>
      </c>
      <c r="K2013" s="554" t="s">
        <v>9219</v>
      </c>
      <c r="L2013" s="537" t="s">
        <v>2354</v>
      </c>
    </row>
    <row r="2014" spans="1:12" x14ac:dyDescent="0.2">
      <c r="A2014" s="547" t="s">
        <v>220</v>
      </c>
      <c r="B2014" s="547" t="s">
        <v>2351</v>
      </c>
      <c r="C2014" s="554"/>
      <c r="D2014" s="554" t="s">
        <v>9364</v>
      </c>
      <c r="E2014" s="554" t="s">
        <v>9585</v>
      </c>
      <c r="F2014" s="571">
        <v>100</v>
      </c>
      <c r="G2014" s="572">
        <v>2.8450000000000002</v>
      </c>
      <c r="H2014" s="545">
        <v>284.5</v>
      </c>
      <c r="I2014" s="554" t="s">
        <v>9218</v>
      </c>
      <c r="J2014" s="554" t="s">
        <v>9219</v>
      </c>
      <c r="K2014" s="554" t="s">
        <v>9219</v>
      </c>
      <c r="L2014" s="537" t="s">
        <v>2354</v>
      </c>
    </row>
    <row r="2015" spans="1:12" x14ac:dyDescent="0.2">
      <c r="A2015" s="547" t="s">
        <v>220</v>
      </c>
      <c r="B2015" s="547" t="s">
        <v>2351</v>
      </c>
      <c r="C2015" s="554"/>
      <c r="D2015" s="554" t="s">
        <v>9365</v>
      </c>
      <c r="E2015" s="554" t="s">
        <v>9585</v>
      </c>
      <c r="F2015" s="571">
        <v>100</v>
      </c>
      <c r="G2015" s="572">
        <v>4.5869999999999997</v>
      </c>
      <c r="H2015" s="545">
        <v>458.7</v>
      </c>
      <c r="I2015" s="554" t="s">
        <v>9218</v>
      </c>
      <c r="J2015" s="554" t="s">
        <v>9219</v>
      </c>
      <c r="K2015" s="554" t="s">
        <v>9219</v>
      </c>
      <c r="L2015" s="537" t="s">
        <v>2354</v>
      </c>
    </row>
    <row r="2016" spans="1:12" x14ac:dyDescent="0.2">
      <c r="A2016" s="547" t="s">
        <v>220</v>
      </c>
      <c r="B2016" s="547" t="s">
        <v>2351</v>
      </c>
      <c r="C2016" s="554"/>
      <c r="D2016" s="554" t="s">
        <v>9366</v>
      </c>
      <c r="E2016" s="554" t="s">
        <v>9585</v>
      </c>
      <c r="F2016" s="571">
        <v>80</v>
      </c>
      <c r="G2016" s="572">
        <v>2.218</v>
      </c>
      <c r="H2016" s="545">
        <v>177.44</v>
      </c>
      <c r="I2016" s="554" t="s">
        <v>9218</v>
      </c>
      <c r="J2016" s="554" t="s">
        <v>9219</v>
      </c>
      <c r="K2016" s="554" t="s">
        <v>9219</v>
      </c>
      <c r="L2016" s="537" t="s">
        <v>2354</v>
      </c>
    </row>
    <row r="2017" spans="1:12" x14ac:dyDescent="0.2">
      <c r="A2017" s="547" t="s">
        <v>220</v>
      </c>
      <c r="B2017" s="547" t="s">
        <v>2351</v>
      </c>
      <c r="C2017" s="554"/>
      <c r="D2017" s="554" t="s">
        <v>9367</v>
      </c>
      <c r="E2017" s="554" t="s">
        <v>9585</v>
      </c>
      <c r="F2017" s="571">
        <v>80</v>
      </c>
      <c r="G2017" s="572">
        <v>3.4580000000000002</v>
      </c>
      <c r="H2017" s="545">
        <v>276.64</v>
      </c>
      <c r="I2017" s="554" t="s">
        <v>9218</v>
      </c>
      <c r="J2017" s="554" t="s">
        <v>9219</v>
      </c>
      <c r="K2017" s="554" t="s">
        <v>9219</v>
      </c>
      <c r="L2017" s="537" t="s">
        <v>2354</v>
      </c>
    </row>
    <row r="2018" spans="1:12" x14ac:dyDescent="0.2">
      <c r="A2018" s="547" t="s">
        <v>220</v>
      </c>
      <c r="B2018" s="547" t="s">
        <v>2351</v>
      </c>
      <c r="C2018" s="554" t="s">
        <v>3971</v>
      </c>
      <c r="D2018" s="554" t="s">
        <v>3972</v>
      </c>
      <c r="E2018" s="554" t="s">
        <v>9585</v>
      </c>
      <c r="F2018" s="571">
        <v>55</v>
      </c>
      <c r="G2018" s="572">
        <v>8.6093200000000003</v>
      </c>
      <c r="H2018" s="545">
        <v>473.51260000000002</v>
      </c>
      <c r="I2018" s="554" t="s">
        <v>9218</v>
      </c>
      <c r="J2018" s="554" t="s">
        <v>9219</v>
      </c>
      <c r="K2018" s="554" t="s">
        <v>9219</v>
      </c>
      <c r="L2018" s="537" t="s">
        <v>2354</v>
      </c>
    </row>
    <row r="2019" spans="1:12" x14ac:dyDescent="0.2">
      <c r="A2019" s="547" t="s">
        <v>220</v>
      </c>
      <c r="B2019" s="547" t="s">
        <v>2351</v>
      </c>
      <c r="C2019" s="554" t="s">
        <v>3973</v>
      </c>
      <c r="D2019" s="554" t="s">
        <v>3974</v>
      </c>
      <c r="E2019" s="554" t="s">
        <v>9585</v>
      </c>
      <c r="F2019" s="571">
        <v>20</v>
      </c>
      <c r="G2019" s="572">
        <v>19.754000000000001</v>
      </c>
      <c r="H2019" s="545">
        <v>395.08000000000004</v>
      </c>
      <c r="I2019" s="554" t="s">
        <v>9218</v>
      </c>
      <c r="J2019" s="554" t="s">
        <v>9219</v>
      </c>
      <c r="K2019" s="554" t="s">
        <v>9219</v>
      </c>
      <c r="L2019" s="537" t="s">
        <v>2354</v>
      </c>
    </row>
    <row r="2020" spans="1:12" x14ac:dyDescent="0.2">
      <c r="A2020" s="547" t="s">
        <v>220</v>
      </c>
      <c r="B2020" s="547" t="s">
        <v>2351</v>
      </c>
      <c r="C2020" s="554" t="s">
        <v>3975</v>
      </c>
      <c r="D2020" s="554" t="s">
        <v>3976</v>
      </c>
      <c r="E2020" s="554" t="s">
        <v>9585</v>
      </c>
      <c r="F2020" s="571">
        <v>65</v>
      </c>
      <c r="G2020" s="572">
        <v>1.6037999999999999</v>
      </c>
      <c r="H2020" s="545">
        <v>104.247</v>
      </c>
      <c r="I2020" s="554" t="s">
        <v>9218</v>
      </c>
      <c r="J2020" s="554" t="s">
        <v>9219</v>
      </c>
      <c r="K2020" s="554" t="s">
        <v>9219</v>
      </c>
      <c r="L2020" s="537" t="s">
        <v>2354</v>
      </c>
    </row>
    <row r="2021" spans="1:12" x14ac:dyDescent="0.2">
      <c r="A2021" s="547" t="s">
        <v>220</v>
      </c>
      <c r="B2021" s="547" t="s">
        <v>2351</v>
      </c>
      <c r="C2021" s="554" t="s">
        <v>3977</v>
      </c>
      <c r="D2021" s="554" t="s">
        <v>3978</v>
      </c>
      <c r="E2021" s="554" t="s">
        <v>9585</v>
      </c>
      <c r="F2021" s="571">
        <v>85</v>
      </c>
      <c r="G2021" s="572">
        <v>3.0068999999999999</v>
      </c>
      <c r="H2021" s="545">
        <v>255.5865</v>
      </c>
      <c r="I2021" s="554" t="s">
        <v>9218</v>
      </c>
      <c r="J2021" s="554" t="s">
        <v>9219</v>
      </c>
      <c r="K2021" s="554" t="s">
        <v>9219</v>
      </c>
      <c r="L2021" s="537" t="s">
        <v>2354</v>
      </c>
    </row>
    <row r="2022" spans="1:12" x14ac:dyDescent="0.2">
      <c r="A2022" s="547" t="s">
        <v>220</v>
      </c>
      <c r="B2022" s="547" t="s">
        <v>2351</v>
      </c>
      <c r="C2022" s="554" t="s">
        <v>3979</v>
      </c>
      <c r="D2022" s="554" t="s">
        <v>3980</v>
      </c>
      <c r="E2022" s="554" t="s">
        <v>9585</v>
      </c>
      <c r="F2022" s="571">
        <v>4</v>
      </c>
      <c r="G2022" s="572">
        <v>4.0301999999999998</v>
      </c>
      <c r="H2022" s="545">
        <v>16.120799999999999</v>
      </c>
      <c r="I2022" s="554" t="s">
        <v>9218</v>
      </c>
      <c r="J2022" s="554" t="s">
        <v>9219</v>
      </c>
      <c r="K2022" s="554" t="s">
        <v>9219</v>
      </c>
      <c r="L2022" s="537" t="s">
        <v>2354</v>
      </c>
    </row>
    <row r="2023" spans="1:12" x14ac:dyDescent="0.2">
      <c r="A2023" s="547" t="s">
        <v>220</v>
      </c>
      <c r="B2023" s="547" t="s">
        <v>2351</v>
      </c>
      <c r="C2023" s="554" t="s">
        <v>3981</v>
      </c>
      <c r="D2023" s="554" t="s">
        <v>3982</v>
      </c>
      <c r="E2023" s="554" t="s">
        <v>9585</v>
      </c>
      <c r="F2023" s="571">
        <v>80</v>
      </c>
      <c r="G2023" s="572">
        <v>5.67</v>
      </c>
      <c r="H2023" s="545">
        <v>453.6</v>
      </c>
      <c r="I2023" s="554" t="s">
        <v>9218</v>
      </c>
      <c r="J2023" s="554" t="s">
        <v>9219</v>
      </c>
      <c r="K2023" s="554" t="s">
        <v>9219</v>
      </c>
      <c r="L2023" s="537" t="s">
        <v>2354</v>
      </c>
    </row>
    <row r="2024" spans="1:12" x14ac:dyDescent="0.2">
      <c r="A2024" s="547" t="s">
        <v>220</v>
      </c>
      <c r="B2024" s="547" t="s">
        <v>2351</v>
      </c>
      <c r="C2024" s="554" t="s">
        <v>3983</v>
      </c>
      <c r="D2024" s="554" t="s">
        <v>3984</v>
      </c>
      <c r="E2024" s="554" t="s">
        <v>9585</v>
      </c>
      <c r="F2024" s="571">
        <v>40</v>
      </c>
      <c r="G2024" s="572">
        <v>0.61426999999999998</v>
      </c>
      <c r="H2024" s="545">
        <v>24.570799999999998</v>
      </c>
      <c r="I2024" s="554" t="s">
        <v>9218</v>
      </c>
      <c r="J2024" s="554" t="s">
        <v>9219</v>
      </c>
      <c r="K2024" s="554" t="s">
        <v>9219</v>
      </c>
      <c r="L2024" s="537" t="s">
        <v>2354</v>
      </c>
    </row>
    <row r="2025" spans="1:12" x14ac:dyDescent="0.2">
      <c r="A2025" s="547" t="s">
        <v>220</v>
      </c>
      <c r="B2025" s="547" t="s">
        <v>2351</v>
      </c>
      <c r="C2025" s="554" t="s">
        <v>3985</v>
      </c>
      <c r="D2025" s="554" t="s">
        <v>3986</v>
      </c>
      <c r="E2025" s="554" t="s">
        <v>9585</v>
      </c>
      <c r="F2025" s="571">
        <v>160</v>
      </c>
      <c r="G2025" s="572">
        <v>2.782</v>
      </c>
      <c r="H2025" s="545">
        <v>445.12</v>
      </c>
      <c r="I2025" s="554" t="s">
        <v>9218</v>
      </c>
      <c r="J2025" s="554" t="s">
        <v>9219</v>
      </c>
      <c r="K2025" s="554" t="s">
        <v>9219</v>
      </c>
      <c r="L2025" s="537" t="s">
        <v>2354</v>
      </c>
    </row>
    <row r="2026" spans="1:12" x14ac:dyDescent="0.2">
      <c r="A2026" s="547" t="s">
        <v>220</v>
      </c>
      <c r="B2026" s="547" t="s">
        <v>2351</v>
      </c>
      <c r="C2026" s="554" t="s">
        <v>3987</v>
      </c>
      <c r="D2026" s="554" t="s">
        <v>3988</v>
      </c>
      <c r="E2026" s="554" t="s">
        <v>9585</v>
      </c>
      <c r="F2026" s="571">
        <v>37</v>
      </c>
      <c r="G2026" s="572">
        <v>4.0857700000000001</v>
      </c>
      <c r="H2026" s="545">
        <v>151.17349000000002</v>
      </c>
      <c r="I2026" s="554" t="s">
        <v>9218</v>
      </c>
      <c r="J2026" s="554" t="s">
        <v>9219</v>
      </c>
      <c r="K2026" s="554" t="s">
        <v>9219</v>
      </c>
      <c r="L2026" s="537" t="s">
        <v>2354</v>
      </c>
    </row>
    <row r="2027" spans="1:12" x14ac:dyDescent="0.2">
      <c r="A2027" s="547" t="s">
        <v>220</v>
      </c>
      <c r="B2027" s="547" t="s">
        <v>2351</v>
      </c>
      <c r="C2027" s="554" t="s">
        <v>4049</v>
      </c>
      <c r="D2027" s="554" t="s">
        <v>4050</v>
      </c>
      <c r="E2027" s="554" t="s">
        <v>9585</v>
      </c>
      <c r="F2027" s="571">
        <v>200</v>
      </c>
      <c r="G2027" s="572">
        <v>0.68720000000000003</v>
      </c>
      <c r="H2027" s="545">
        <v>137.44</v>
      </c>
      <c r="I2027" s="554" t="s">
        <v>9218</v>
      </c>
      <c r="J2027" s="554" t="s">
        <v>9219</v>
      </c>
      <c r="K2027" s="554" t="s">
        <v>9219</v>
      </c>
      <c r="L2027" s="537" t="s">
        <v>2354</v>
      </c>
    </row>
    <row r="2028" spans="1:12" x14ac:dyDescent="0.2">
      <c r="A2028" s="547" t="s">
        <v>220</v>
      </c>
      <c r="B2028" s="547" t="s">
        <v>2351</v>
      </c>
      <c r="C2028" s="554" t="s">
        <v>4051</v>
      </c>
      <c r="D2028" s="554" t="s">
        <v>4052</v>
      </c>
      <c r="E2028" s="554" t="s">
        <v>9585</v>
      </c>
      <c r="F2028" s="571">
        <v>7</v>
      </c>
      <c r="G2028" s="572">
        <v>1.30515</v>
      </c>
      <c r="H2028" s="545">
        <v>9.1360500000000009</v>
      </c>
      <c r="I2028" s="554" t="s">
        <v>9218</v>
      </c>
      <c r="J2028" s="554" t="s">
        <v>9219</v>
      </c>
      <c r="K2028" s="554" t="s">
        <v>9219</v>
      </c>
      <c r="L2028" s="537" t="s">
        <v>2354</v>
      </c>
    </row>
    <row r="2029" spans="1:12" x14ac:dyDescent="0.2">
      <c r="A2029" s="547" t="s">
        <v>220</v>
      </c>
      <c r="B2029" s="547" t="s">
        <v>2351</v>
      </c>
      <c r="C2029" s="554" t="s">
        <v>4053</v>
      </c>
      <c r="D2029" s="554" t="s">
        <v>4054</v>
      </c>
      <c r="E2029" s="554" t="s">
        <v>9585</v>
      </c>
      <c r="F2029" s="571">
        <v>12</v>
      </c>
      <c r="G2029" s="572">
        <v>1.6960000000000002</v>
      </c>
      <c r="H2029" s="545">
        <v>20.352000000000004</v>
      </c>
      <c r="I2029" s="554" t="s">
        <v>9218</v>
      </c>
      <c r="J2029" s="554" t="s">
        <v>9219</v>
      </c>
      <c r="K2029" s="554" t="s">
        <v>9219</v>
      </c>
      <c r="L2029" s="537" t="s">
        <v>2354</v>
      </c>
    </row>
    <row r="2030" spans="1:12" x14ac:dyDescent="0.2">
      <c r="A2030" s="547" t="s">
        <v>220</v>
      </c>
      <c r="B2030" s="547" t="s">
        <v>2351</v>
      </c>
      <c r="C2030" s="554" t="s">
        <v>4055</v>
      </c>
      <c r="D2030" s="554" t="s">
        <v>4056</v>
      </c>
      <c r="E2030" s="554" t="s">
        <v>9585</v>
      </c>
      <c r="F2030" s="571">
        <v>15</v>
      </c>
      <c r="G2030" s="572">
        <v>3.9119999999999999</v>
      </c>
      <c r="H2030" s="545">
        <v>58.68</v>
      </c>
      <c r="I2030" s="554" t="s">
        <v>9218</v>
      </c>
      <c r="J2030" s="554" t="s">
        <v>9219</v>
      </c>
      <c r="K2030" s="554" t="s">
        <v>9219</v>
      </c>
      <c r="L2030" s="537" t="s">
        <v>2354</v>
      </c>
    </row>
    <row r="2031" spans="1:12" x14ac:dyDescent="0.2">
      <c r="A2031" s="547" t="s">
        <v>220</v>
      </c>
      <c r="B2031" s="547" t="s">
        <v>2351</v>
      </c>
      <c r="C2031" s="554" t="s">
        <v>4057</v>
      </c>
      <c r="D2031" s="554" t="s">
        <v>4058</v>
      </c>
      <c r="E2031" s="554" t="s">
        <v>9585</v>
      </c>
      <c r="F2031" s="571">
        <v>16</v>
      </c>
      <c r="G2031" s="572">
        <v>15.1264</v>
      </c>
      <c r="H2031" s="545">
        <v>242.0224</v>
      </c>
      <c r="I2031" s="554" t="s">
        <v>9218</v>
      </c>
      <c r="J2031" s="554" t="s">
        <v>9219</v>
      </c>
      <c r="K2031" s="554" t="s">
        <v>9219</v>
      </c>
      <c r="L2031" s="537" t="s">
        <v>2354</v>
      </c>
    </row>
    <row r="2032" spans="1:12" x14ac:dyDescent="0.2">
      <c r="A2032" s="547" t="s">
        <v>220</v>
      </c>
      <c r="B2032" s="547" t="s">
        <v>2351</v>
      </c>
      <c r="C2032" s="554" t="s">
        <v>4059</v>
      </c>
      <c r="D2032" s="554" t="s">
        <v>4060</v>
      </c>
      <c r="E2032" s="554" t="s">
        <v>9585</v>
      </c>
      <c r="F2032" s="571">
        <v>50</v>
      </c>
      <c r="G2032" s="572">
        <v>0.59075</v>
      </c>
      <c r="H2032" s="545">
        <v>29.537500000000001</v>
      </c>
      <c r="I2032" s="554" t="s">
        <v>9218</v>
      </c>
      <c r="J2032" s="554" t="s">
        <v>9219</v>
      </c>
      <c r="K2032" s="554" t="s">
        <v>9219</v>
      </c>
      <c r="L2032" s="537" t="s">
        <v>2354</v>
      </c>
    </row>
    <row r="2033" spans="1:12" x14ac:dyDescent="0.2">
      <c r="A2033" s="547" t="s">
        <v>220</v>
      </c>
      <c r="B2033" s="547" t="s">
        <v>2351</v>
      </c>
      <c r="C2033" s="554" t="s">
        <v>4061</v>
      </c>
      <c r="D2033" s="554" t="s">
        <v>4062</v>
      </c>
      <c r="E2033" s="554" t="s">
        <v>9585</v>
      </c>
      <c r="F2033" s="571">
        <v>150</v>
      </c>
      <c r="G2033" s="572">
        <v>7.4999999999999997E-2</v>
      </c>
      <c r="H2033" s="545">
        <v>11.25</v>
      </c>
      <c r="I2033" s="554" t="s">
        <v>9218</v>
      </c>
      <c r="J2033" s="554" t="s">
        <v>9219</v>
      </c>
      <c r="K2033" s="554" t="s">
        <v>9219</v>
      </c>
      <c r="L2033" s="537" t="s">
        <v>2354</v>
      </c>
    </row>
    <row r="2034" spans="1:12" x14ac:dyDescent="0.2">
      <c r="A2034" s="547" t="s">
        <v>220</v>
      </c>
      <c r="B2034" s="547" t="s">
        <v>2351</v>
      </c>
      <c r="C2034" s="554" t="s">
        <v>4063</v>
      </c>
      <c r="D2034" s="554" t="s">
        <v>4064</v>
      </c>
      <c r="E2034" s="554" t="s">
        <v>9585</v>
      </c>
      <c r="F2034" s="571">
        <v>92</v>
      </c>
      <c r="G2034" s="572">
        <v>7.4999999999999997E-2</v>
      </c>
      <c r="H2034" s="545">
        <v>6.8999999999999995</v>
      </c>
      <c r="I2034" s="554" t="s">
        <v>9218</v>
      </c>
      <c r="J2034" s="554" t="s">
        <v>9219</v>
      </c>
      <c r="K2034" s="554" t="s">
        <v>9219</v>
      </c>
      <c r="L2034" s="537" t="s">
        <v>2354</v>
      </c>
    </row>
    <row r="2035" spans="1:12" x14ac:dyDescent="0.2">
      <c r="A2035" s="547" t="s">
        <v>220</v>
      </c>
      <c r="B2035" s="547" t="s">
        <v>2351</v>
      </c>
      <c r="C2035" s="554" t="s">
        <v>4065</v>
      </c>
      <c r="D2035" s="554" t="s">
        <v>4066</v>
      </c>
      <c r="E2035" s="554" t="s">
        <v>9585</v>
      </c>
      <c r="F2035" s="571">
        <v>71</v>
      </c>
      <c r="G2035" s="572">
        <v>0.22196666666666667</v>
      </c>
      <c r="H2035" s="545">
        <v>15.759633333333333</v>
      </c>
      <c r="I2035" s="554" t="s">
        <v>9218</v>
      </c>
      <c r="J2035" s="554" t="s">
        <v>9219</v>
      </c>
      <c r="K2035" s="554" t="s">
        <v>9219</v>
      </c>
      <c r="L2035" s="537" t="s">
        <v>2354</v>
      </c>
    </row>
    <row r="2036" spans="1:12" x14ac:dyDescent="0.2">
      <c r="A2036" s="547" t="s">
        <v>220</v>
      </c>
      <c r="B2036" s="547" t="s">
        <v>2351</v>
      </c>
      <c r="C2036" s="554" t="s">
        <v>4067</v>
      </c>
      <c r="D2036" s="554" t="s">
        <v>4068</v>
      </c>
      <c r="E2036" s="554" t="s">
        <v>9585</v>
      </c>
      <c r="F2036" s="571">
        <v>56</v>
      </c>
      <c r="G2036" s="572">
        <v>0.19326999999999997</v>
      </c>
      <c r="H2036" s="545">
        <v>10.823119999999998</v>
      </c>
      <c r="I2036" s="554" t="s">
        <v>9218</v>
      </c>
      <c r="J2036" s="554" t="s">
        <v>9219</v>
      </c>
      <c r="K2036" s="554" t="s">
        <v>9219</v>
      </c>
      <c r="L2036" s="537" t="s">
        <v>2354</v>
      </c>
    </row>
    <row r="2037" spans="1:12" x14ac:dyDescent="0.2">
      <c r="A2037" s="547" t="s">
        <v>220</v>
      </c>
      <c r="B2037" s="547" t="s">
        <v>2351</v>
      </c>
      <c r="C2037" s="554" t="s">
        <v>4069</v>
      </c>
      <c r="D2037" s="554" t="s">
        <v>4070</v>
      </c>
      <c r="E2037" s="554" t="s">
        <v>9585</v>
      </c>
      <c r="F2037" s="571">
        <v>45</v>
      </c>
      <c r="G2037" s="572">
        <v>7.2999999999999995E-2</v>
      </c>
      <c r="H2037" s="545">
        <v>3.2849999999999997</v>
      </c>
      <c r="I2037" s="554" t="s">
        <v>9218</v>
      </c>
      <c r="J2037" s="554" t="s">
        <v>9219</v>
      </c>
      <c r="K2037" s="554" t="s">
        <v>9219</v>
      </c>
      <c r="L2037" s="537" t="s">
        <v>2354</v>
      </c>
    </row>
    <row r="2038" spans="1:12" x14ac:dyDescent="0.2">
      <c r="A2038" s="547" t="s">
        <v>220</v>
      </c>
      <c r="B2038" s="547" t="s">
        <v>2351</v>
      </c>
      <c r="C2038" s="554" t="s">
        <v>4071</v>
      </c>
      <c r="D2038" s="554" t="s">
        <v>4072</v>
      </c>
      <c r="E2038" s="554" t="s">
        <v>9585</v>
      </c>
      <c r="F2038" s="571">
        <v>78</v>
      </c>
      <c r="G2038" s="572">
        <v>0.11814</v>
      </c>
      <c r="H2038" s="545">
        <v>9.2149199999999993</v>
      </c>
      <c r="I2038" s="554" t="s">
        <v>9218</v>
      </c>
      <c r="J2038" s="554" t="s">
        <v>9219</v>
      </c>
      <c r="K2038" s="554" t="s">
        <v>9219</v>
      </c>
      <c r="L2038" s="537" t="s">
        <v>2354</v>
      </c>
    </row>
    <row r="2039" spans="1:12" x14ac:dyDescent="0.2">
      <c r="A2039" s="547" t="s">
        <v>220</v>
      </c>
      <c r="B2039" s="547" t="s">
        <v>2351</v>
      </c>
      <c r="C2039" s="554" t="s">
        <v>4073</v>
      </c>
      <c r="D2039" s="554" t="s">
        <v>4074</v>
      </c>
      <c r="E2039" s="554" t="s">
        <v>9585</v>
      </c>
      <c r="F2039" s="571">
        <v>500</v>
      </c>
      <c r="G2039" s="572">
        <v>0.87570000000000003</v>
      </c>
      <c r="H2039" s="545">
        <v>437.85</v>
      </c>
      <c r="I2039" s="554" t="s">
        <v>9218</v>
      </c>
      <c r="J2039" s="554" t="s">
        <v>9219</v>
      </c>
      <c r="K2039" s="554" t="s">
        <v>9219</v>
      </c>
      <c r="L2039" s="537" t="s">
        <v>2354</v>
      </c>
    </row>
    <row r="2040" spans="1:12" x14ac:dyDescent="0.2">
      <c r="A2040" s="547" t="s">
        <v>220</v>
      </c>
      <c r="B2040" s="547" t="s">
        <v>2351</v>
      </c>
      <c r="C2040" s="554" t="s">
        <v>4075</v>
      </c>
      <c r="D2040" s="554" t="s">
        <v>4076</v>
      </c>
      <c r="E2040" s="554" t="s">
        <v>9585</v>
      </c>
      <c r="F2040" s="571">
        <v>23</v>
      </c>
      <c r="G2040" s="572">
        <v>0.77371794871794874</v>
      </c>
      <c r="H2040" s="545">
        <v>17.795512820512823</v>
      </c>
      <c r="I2040" s="554" t="s">
        <v>9218</v>
      </c>
      <c r="J2040" s="554" t="s">
        <v>9219</v>
      </c>
      <c r="K2040" s="554" t="s">
        <v>9219</v>
      </c>
      <c r="L2040" s="537" t="s">
        <v>2354</v>
      </c>
    </row>
    <row r="2041" spans="1:12" x14ac:dyDescent="0.2">
      <c r="A2041" s="547" t="s">
        <v>220</v>
      </c>
      <c r="B2041" s="547" t="s">
        <v>2351</v>
      </c>
      <c r="C2041" s="554" t="s">
        <v>4193</v>
      </c>
      <c r="D2041" s="554" t="s">
        <v>4194</v>
      </c>
      <c r="E2041" s="554" t="s">
        <v>9585</v>
      </c>
      <c r="F2041" s="571">
        <v>15</v>
      </c>
      <c r="G2041" s="572">
        <v>20.988800000000001</v>
      </c>
      <c r="H2041" s="545">
        <v>314.83199999999999</v>
      </c>
      <c r="I2041" s="554" t="s">
        <v>9218</v>
      </c>
      <c r="J2041" s="554" t="s">
        <v>9219</v>
      </c>
      <c r="K2041" s="554" t="s">
        <v>9219</v>
      </c>
      <c r="L2041" s="537" t="s">
        <v>2354</v>
      </c>
    </row>
    <row r="2042" spans="1:12" x14ac:dyDescent="0.2">
      <c r="A2042" s="547" t="s">
        <v>220</v>
      </c>
      <c r="B2042" s="547" t="s">
        <v>2351</v>
      </c>
      <c r="C2042" s="554" t="s">
        <v>4195</v>
      </c>
      <c r="D2042" s="554" t="s">
        <v>4196</v>
      </c>
      <c r="E2042" s="554" t="s">
        <v>9585</v>
      </c>
      <c r="F2042" s="571">
        <v>50</v>
      </c>
      <c r="G2042" s="572">
        <v>5.3904857142857141</v>
      </c>
      <c r="H2042" s="545">
        <v>269.52428571428572</v>
      </c>
      <c r="I2042" s="554" t="s">
        <v>9218</v>
      </c>
      <c r="J2042" s="554" t="s">
        <v>9219</v>
      </c>
      <c r="K2042" s="554" t="s">
        <v>9219</v>
      </c>
      <c r="L2042" s="537" t="s">
        <v>2354</v>
      </c>
    </row>
    <row r="2043" spans="1:12" x14ac:dyDescent="0.2">
      <c r="A2043" s="547" t="s">
        <v>220</v>
      </c>
      <c r="B2043" s="547" t="s">
        <v>2351</v>
      </c>
      <c r="C2043" s="554" t="s">
        <v>4197</v>
      </c>
      <c r="D2043" s="554" t="s">
        <v>4198</v>
      </c>
      <c r="E2043" s="554" t="s">
        <v>9585</v>
      </c>
      <c r="F2043" s="571">
        <v>9</v>
      </c>
      <c r="G2043" s="572">
        <v>1.2709999999999999</v>
      </c>
      <c r="H2043" s="545">
        <v>11.439</v>
      </c>
      <c r="I2043" s="554" t="s">
        <v>9218</v>
      </c>
      <c r="J2043" s="554" t="s">
        <v>9219</v>
      </c>
      <c r="K2043" s="554" t="s">
        <v>9219</v>
      </c>
      <c r="L2043" s="537" t="s">
        <v>2354</v>
      </c>
    </row>
    <row r="2044" spans="1:12" x14ac:dyDescent="0.2">
      <c r="A2044" s="547" t="s">
        <v>220</v>
      </c>
      <c r="B2044" s="547" t="s">
        <v>2351</v>
      </c>
      <c r="C2044" s="554" t="s">
        <v>4199</v>
      </c>
      <c r="D2044" s="554" t="s">
        <v>4200</v>
      </c>
      <c r="E2044" s="554" t="s">
        <v>9585</v>
      </c>
      <c r="F2044" s="571">
        <v>12</v>
      </c>
      <c r="G2044" s="572">
        <v>5.2329999999999997</v>
      </c>
      <c r="H2044" s="545">
        <v>62.795999999999992</v>
      </c>
      <c r="I2044" s="554" t="s">
        <v>9218</v>
      </c>
      <c r="J2044" s="554" t="s">
        <v>9219</v>
      </c>
      <c r="K2044" s="554" t="s">
        <v>9219</v>
      </c>
      <c r="L2044" s="537" t="s">
        <v>2354</v>
      </c>
    </row>
    <row r="2045" spans="1:12" x14ac:dyDescent="0.2">
      <c r="A2045" s="547" t="s">
        <v>220</v>
      </c>
      <c r="B2045" s="547" t="s">
        <v>2351</v>
      </c>
      <c r="C2045" s="554" t="s">
        <v>4201</v>
      </c>
      <c r="D2045" s="554" t="s">
        <v>4202</v>
      </c>
      <c r="E2045" s="554" t="s">
        <v>9585</v>
      </c>
      <c r="F2045" s="571">
        <v>100</v>
      </c>
      <c r="G2045" s="572">
        <v>3.4649999999999999</v>
      </c>
      <c r="H2045" s="545">
        <v>346.5</v>
      </c>
      <c r="I2045" s="554" t="s">
        <v>9218</v>
      </c>
      <c r="J2045" s="554" t="s">
        <v>9219</v>
      </c>
      <c r="K2045" s="554" t="s">
        <v>9219</v>
      </c>
      <c r="L2045" s="537" t="s">
        <v>2354</v>
      </c>
    </row>
    <row r="2046" spans="1:12" x14ac:dyDescent="0.2">
      <c r="A2046" s="547" t="s">
        <v>220</v>
      </c>
      <c r="B2046" s="547" t="s">
        <v>2351</v>
      </c>
      <c r="C2046" s="554" t="s">
        <v>4203</v>
      </c>
      <c r="D2046" s="554" t="s">
        <v>4204</v>
      </c>
      <c r="E2046" s="554" t="s">
        <v>9585</v>
      </c>
      <c r="F2046" s="571">
        <v>200</v>
      </c>
      <c r="G2046" s="572">
        <v>5.4135</v>
      </c>
      <c r="H2046" s="545">
        <v>1082.7</v>
      </c>
      <c r="I2046" s="554" t="s">
        <v>9218</v>
      </c>
      <c r="J2046" s="554" t="s">
        <v>9219</v>
      </c>
      <c r="K2046" s="554" t="s">
        <v>9219</v>
      </c>
      <c r="L2046" s="537" t="s">
        <v>2354</v>
      </c>
    </row>
    <row r="2047" spans="1:12" x14ac:dyDescent="0.2">
      <c r="A2047" s="547" t="s">
        <v>220</v>
      </c>
      <c r="B2047" s="547" t="s">
        <v>2351</v>
      </c>
      <c r="C2047" s="554" t="s">
        <v>4205</v>
      </c>
      <c r="D2047" s="554" t="s">
        <v>4206</v>
      </c>
      <c r="E2047" s="554" t="s">
        <v>9585</v>
      </c>
      <c r="F2047" s="571">
        <v>100</v>
      </c>
      <c r="G2047" s="572">
        <v>2.0790000000000002</v>
      </c>
      <c r="H2047" s="545">
        <v>207.9</v>
      </c>
      <c r="I2047" s="554" t="s">
        <v>9218</v>
      </c>
      <c r="J2047" s="554" t="s">
        <v>9219</v>
      </c>
      <c r="K2047" s="554" t="s">
        <v>9219</v>
      </c>
      <c r="L2047" s="537" t="s">
        <v>2354</v>
      </c>
    </row>
    <row r="2048" spans="1:12" x14ac:dyDescent="0.2">
      <c r="A2048" s="547" t="s">
        <v>220</v>
      </c>
      <c r="B2048" s="547" t="s">
        <v>2351</v>
      </c>
      <c r="C2048" s="554" t="s">
        <v>4207</v>
      </c>
      <c r="D2048" s="554" t="s">
        <v>4208</v>
      </c>
      <c r="E2048" s="554" t="s">
        <v>9585</v>
      </c>
      <c r="F2048" s="571">
        <v>100</v>
      </c>
      <c r="G2048" s="572">
        <v>2.7423000000000002</v>
      </c>
      <c r="H2048" s="545">
        <v>274.23</v>
      </c>
      <c r="I2048" s="554" t="s">
        <v>9218</v>
      </c>
      <c r="J2048" s="554" t="s">
        <v>9219</v>
      </c>
      <c r="K2048" s="554" t="s">
        <v>9219</v>
      </c>
      <c r="L2048" s="537" t="s">
        <v>2354</v>
      </c>
    </row>
    <row r="2049" spans="1:12" x14ac:dyDescent="0.2">
      <c r="A2049" s="547" t="s">
        <v>220</v>
      </c>
      <c r="B2049" s="547" t="s">
        <v>2351</v>
      </c>
      <c r="C2049" s="554" t="s">
        <v>4209</v>
      </c>
      <c r="D2049" s="554" t="s">
        <v>4210</v>
      </c>
      <c r="E2049" s="554" t="s">
        <v>9585</v>
      </c>
      <c r="F2049" s="571">
        <v>20</v>
      </c>
      <c r="G2049" s="572">
        <v>4.5233999999999996</v>
      </c>
      <c r="H2049" s="545">
        <v>90.467999999999989</v>
      </c>
      <c r="I2049" s="554" t="s">
        <v>9218</v>
      </c>
      <c r="J2049" s="554" t="s">
        <v>9219</v>
      </c>
      <c r="K2049" s="554" t="s">
        <v>9219</v>
      </c>
      <c r="L2049" s="537" t="s">
        <v>2354</v>
      </c>
    </row>
    <row r="2050" spans="1:12" x14ac:dyDescent="0.2">
      <c r="A2050" s="547" t="s">
        <v>220</v>
      </c>
      <c r="B2050" s="547" t="s">
        <v>2351</v>
      </c>
      <c r="C2050" s="554" t="s">
        <v>4211</v>
      </c>
      <c r="D2050" s="554" t="s">
        <v>4212</v>
      </c>
      <c r="E2050" s="554" t="s">
        <v>9585</v>
      </c>
      <c r="F2050" s="571">
        <v>38</v>
      </c>
      <c r="G2050" s="572">
        <v>0.47260000000000002</v>
      </c>
      <c r="H2050" s="545">
        <v>17.9588</v>
      </c>
      <c r="I2050" s="554" t="s">
        <v>9218</v>
      </c>
      <c r="J2050" s="554" t="s">
        <v>9219</v>
      </c>
      <c r="K2050" s="554" t="s">
        <v>9219</v>
      </c>
      <c r="L2050" s="537" t="s">
        <v>2354</v>
      </c>
    </row>
    <row r="2051" spans="1:12" x14ac:dyDescent="0.2">
      <c r="A2051" s="547" t="s">
        <v>220</v>
      </c>
      <c r="B2051" s="547" t="s">
        <v>2351</v>
      </c>
      <c r="C2051" s="554" t="s">
        <v>4213</v>
      </c>
      <c r="D2051" s="554" t="s">
        <v>4214</v>
      </c>
      <c r="E2051" s="554" t="s">
        <v>9585</v>
      </c>
      <c r="F2051" s="571">
        <v>58</v>
      </c>
      <c r="G2051" s="572">
        <v>1.1661585365853659</v>
      </c>
      <c r="H2051" s="545">
        <v>67.637195121951223</v>
      </c>
      <c r="I2051" s="554" t="s">
        <v>9218</v>
      </c>
      <c r="J2051" s="554" t="s">
        <v>9219</v>
      </c>
      <c r="K2051" s="554" t="s">
        <v>9219</v>
      </c>
      <c r="L2051" s="537" t="s">
        <v>2354</v>
      </c>
    </row>
    <row r="2052" spans="1:12" x14ac:dyDescent="0.2">
      <c r="A2052" s="547" t="s">
        <v>220</v>
      </c>
      <c r="B2052" s="547" t="s">
        <v>2351</v>
      </c>
      <c r="C2052" s="554" t="s">
        <v>4215</v>
      </c>
      <c r="D2052" s="554" t="s">
        <v>4216</v>
      </c>
      <c r="E2052" s="554" t="s">
        <v>9585</v>
      </c>
      <c r="F2052" s="571">
        <v>40</v>
      </c>
      <c r="G2052" s="572">
        <v>1.0157499999999999</v>
      </c>
      <c r="H2052" s="545">
        <v>40.629999999999995</v>
      </c>
      <c r="I2052" s="554" t="s">
        <v>9218</v>
      </c>
      <c r="J2052" s="554" t="s">
        <v>9219</v>
      </c>
      <c r="K2052" s="554" t="s">
        <v>9219</v>
      </c>
      <c r="L2052" s="537" t="s">
        <v>2354</v>
      </c>
    </row>
    <row r="2053" spans="1:12" x14ac:dyDescent="0.2">
      <c r="A2053" s="547" t="s">
        <v>220</v>
      </c>
      <c r="B2053" s="547" t="s">
        <v>2351</v>
      </c>
      <c r="C2053" s="554" t="s">
        <v>4217</v>
      </c>
      <c r="D2053" s="554" t="s">
        <v>4218</v>
      </c>
      <c r="E2053" s="554" t="s">
        <v>9585</v>
      </c>
      <c r="F2053" s="571">
        <v>38</v>
      </c>
      <c r="G2053" s="572">
        <v>0.28150974025974029</v>
      </c>
      <c r="H2053" s="545">
        <v>10.697370129870132</v>
      </c>
      <c r="I2053" s="554" t="s">
        <v>9218</v>
      </c>
      <c r="J2053" s="554" t="s">
        <v>9219</v>
      </c>
      <c r="K2053" s="554" t="s">
        <v>9219</v>
      </c>
      <c r="L2053" s="537" t="s">
        <v>2354</v>
      </c>
    </row>
    <row r="2054" spans="1:12" x14ac:dyDescent="0.2">
      <c r="A2054" s="547" t="s">
        <v>220</v>
      </c>
      <c r="B2054" s="547" t="s">
        <v>2351</v>
      </c>
      <c r="C2054" s="554" t="s">
        <v>4219</v>
      </c>
      <c r="D2054" s="554" t="s">
        <v>4220</v>
      </c>
      <c r="E2054" s="554" t="s">
        <v>9585</v>
      </c>
      <c r="F2054" s="571">
        <v>100</v>
      </c>
      <c r="G2054" s="572">
        <v>47.956999999999994</v>
      </c>
      <c r="H2054" s="545">
        <v>4795.6999999999989</v>
      </c>
      <c r="I2054" s="554" t="s">
        <v>9218</v>
      </c>
      <c r="J2054" s="554" t="s">
        <v>9219</v>
      </c>
      <c r="K2054" s="554" t="s">
        <v>9219</v>
      </c>
      <c r="L2054" s="537" t="s">
        <v>2354</v>
      </c>
    </row>
    <row r="2055" spans="1:12" x14ac:dyDescent="0.2">
      <c r="A2055" s="547" t="s">
        <v>220</v>
      </c>
      <c r="B2055" s="547" t="s">
        <v>2351</v>
      </c>
      <c r="C2055" s="554" t="s">
        <v>4375</v>
      </c>
      <c r="D2055" s="554" t="s">
        <v>4376</v>
      </c>
      <c r="E2055" s="554" t="s">
        <v>9585</v>
      </c>
      <c r="F2055" s="571">
        <v>150</v>
      </c>
      <c r="G2055" s="572">
        <v>0.66420000000000001</v>
      </c>
      <c r="H2055" s="545">
        <v>99.63</v>
      </c>
      <c r="I2055" s="554" t="s">
        <v>9218</v>
      </c>
      <c r="J2055" s="554" t="s">
        <v>9219</v>
      </c>
      <c r="K2055" s="554" t="s">
        <v>9219</v>
      </c>
      <c r="L2055" s="537" t="s">
        <v>2354</v>
      </c>
    </row>
    <row r="2056" spans="1:12" x14ac:dyDescent="0.2">
      <c r="A2056" s="547" t="s">
        <v>220</v>
      </c>
      <c r="B2056" s="547" t="s">
        <v>2351</v>
      </c>
      <c r="C2056" s="554" t="s">
        <v>4377</v>
      </c>
      <c r="D2056" s="554" t="s">
        <v>4378</v>
      </c>
      <c r="E2056" s="554" t="s">
        <v>9585</v>
      </c>
      <c r="F2056" s="571">
        <v>12</v>
      </c>
      <c r="G2056" s="572">
        <v>2.2103999999999999</v>
      </c>
      <c r="H2056" s="545">
        <v>26.524799999999999</v>
      </c>
      <c r="I2056" s="554" t="s">
        <v>9218</v>
      </c>
      <c r="J2056" s="554" t="s">
        <v>9219</v>
      </c>
      <c r="K2056" s="554" t="s">
        <v>9219</v>
      </c>
      <c r="L2056" s="537" t="s">
        <v>2354</v>
      </c>
    </row>
    <row r="2057" spans="1:12" x14ac:dyDescent="0.2">
      <c r="A2057" s="547" t="s">
        <v>220</v>
      </c>
      <c r="B2057" s="547" t="s">
        <v>2351</v>
      </c>
      <c r="C2057" s="554" t="s">
        <v>4381</v>
      </c>
      <c r="D2057" s="554" t="s">
        <v>4382</v>
      </c>
      <c r="E2057" s="554" t="s">
        <v>9585</v>
      </c>
      <c r="F2057" s="571">
        <v>2</v>
      </c>
      <c r="G2057" s="572">
        <v>11.684100000000001</v>
      </c>
      <c r="H2057" s="545">
        <v>23.368200000000002</v>
      </c>
      <c r="I2057" s="554" t="s">
        <v>9218</v>
      </c>
      <c r="J2057" s="554" t="s">
        <v>9219</v>
      </c>
      <c r="K2057" s="554" t="s">
        <v>9219</v>
      </c>
      <c r="L2057" s="537" t="s">
        <v>2354</v>
      </c>
    </row>
    <row r="2058" spans="1:12" x14ac:dyDescent="0.2">
      <c r="A2058" s="547" t="s">
        <v>220</v>
      </c>
      <c r="B2058" s="547" t="s">
        <v>2351</v>
      </c>
      <c r="C2058" s="554" t="s">
        <v>4395</v>
      </c>
      <c r="D2058" s="554" t="s">
        <v>4396</v>
      </c>
      <c r="E2058" s="554" t="s">
        <v>9585</v>
      </c>
      <c r="F2058" s="571">
        <v>10</v>
      </c>
      <c r="G2058" s="572">
        <v>6.8080000000000007</v>
      </c>
      <c r="H2058" s="545">
        <v>68.080000000000013</v>
      </c>
      <c r="I2058" s="554" t="s">
        <v>9218</v>
      </c>
      <c r="J2058" s="554" t="s">
        <v>9219</v>
      </c>
      <c r="K2058" s="554" t="s">
        <v>9219</v>
      </c>
      <c r="L2058" s="537" t="s">
        <v>2354</v>
      </c>
    </row>
    <row r="2059" spans="1:12" x14ac:dyDescent="0.2">
      <c r="A2059" s="547" t="s">
        <v>220</v>
      </c>
      <c r="B2059" s="547" t="s">
        <v>2351</v>
      </c>
      <c r="C2059" s="554" t="s">
        <v>4403</v>
      </c>
      <c r="D2059" s="554" t="s">
        <v>4404</v>
      </c>
      <c r="E2059" s="554" t="s">
        <v>9585</v>
      </c>
      <c r="F2059" s="571">
        <v>15</v>
      </c>
      <c r="G2059" s="572">
        <v>0.91877982456140361</v>
      </c>
      <c r="H2059" s="545">
        <v>13.781697368421055</v>
      </c>
      <c r="I2059" s="554" t="s">
        <v>9218</v>
      </c>
      <c r="J2059" s="554" t="s">
        <v>9219</v>
      </c>
      <c r="K2059" s="554" t="s">
        <v>9219</v>
      </c>
      <c r="L2059" s="537" t="s">
        <v>2354</v>
      </c>
    </row>
    <row r="2060" spans="1:12" x14ac:dyDescent="0.2">
      <c r="A2060" s="547" t="s">
        <v>220</v>
      </c>
      <c r="B2060" s="547" t="s">
        <v>2351</v>
      </c>
      <c r="C2060" s="554" t="s">
        <v>4405</v>
      </c>
      <c r="D2060" s="554" t="s">
        <v>4406</v>
      </c>
      <c r="E2060" s="554" t="s">
        <v>9585</v>
      </c>
      <c r="F2060" s="571">
        <v>10</v>
      </c>
      <c r="G2060" s="572">
        <v>1.1486666666666665</v>
      </c>
      <c r="H2060" s="545">
        <v>11.486666666666665</v>
      </c>
      <c r="I2060" s="554" t="s">
        <v>9218</v>
      </c>
      <c r="J2060" s="554" t="s">
        <v>9219</v>
      </c>
      <c r="K2060" s="554" t="s">
        <v>9219</v>
      </c>
      <c r="L2060" s="537" t="s">
        <v>2354</v>
      </c>
    </row>
    <row r="2061" spans="1:12" x14ac:dyDescent="0.2">
      <c r="A2061" s="547" t="s">
        <v>220</v>
      </c>
      <c r="B2061" s="547" t="s">
        <v>2351</v>
      </c>
      <c r="C2061" s="554" t="s">
        <v>5410</v>
      </c>
      <c r="D2061" s="554" t="s">
        <v>5411</v>
      </c>
      <c r="E2061" s="554" t="s">
        <v>9585</v>
      </c>
      <c r="F2061" s="573">
        <v>10</v>
      </c>
      <c r="G2061" s="545">
        <v>6.3630000000000004</v>
      </c>
      <c r="H2061" s="545">
        <v>63.63</v>
      </c>
      <c r="I2061" s="554" t="s">
        <v>9218</v>
      </c>
      <c r="J2061" s="554" t="s">
        <v>9219</v>
      </c>
      <c r="K2061" s="554" t="s">
        <v>9219</v>
      </c>
      <c r="L2061" s="537" t="s">
        <v>2354</v>
      </c>
    </row>
    <row r="2062" spans="1:12" x14ac:dyDescent="0.2">
      <c r="A2062" s="547" t="s">
        <v>220</v>
      </c>
      <c r="B2062" s="547" t="s">
        <v>2351</v>
      </c>
      <c r="C2062" s="554" t="s">
        <v>4411</v>
      </c>
      <c r="D2062" s="554" t="s">
        <v>4412</v>
      </c>
      <c r="E2062" s="554" t="s">
        <v>9585</v>
      </c>
      <c r="F2062" s="571">
        <v>1</v>
      </c>
      <c r="G2062" s="572">
        <v>10.6236</v>
      </c>
      <c r="H2062" s="545">
        <v>10.6236</v>
      </c>
      <c r="I2062" s="554" t="s">
        <v>9218</v>
      </c>
      <c r="J2062" s="554" t="s">
        <v>9219</v>
      </c>
      <c r="K2062" s="554" t="s">
        <v>9219</v>
      </c>
      <c r="L2062" s="537" t="s">
        <v>2354</v>
      </c>
    </row>
    <row r="2063" spans="1:12" x14ac:dyDescent="0.2">
      <c r="A2063" s="547" t="s">
        <v>220</v>
      </c>
      <c r="B2063" s="547" t="s">
        <v>2351</v>
      </c>
      <c r="C2063" s="554" t="s">
        <v>4425</v>
      </c>
      <c r="D2063" s="554" t="s">
        <v>2402</v>
      </c>
      <c r="E2063" s="554" t="s">
        <v>9585</v>
      </c>
      <c r="F2063" s="571">
        <v>118</v>
      </c>
      <c r="G2063" s="572">
        <v>2.2999999999999998</v>
      </c>
      <c r="H2063" s="545">
        <v>271.39999999999998</v>
      </c>
      <c r="I2063" s="554" t="s">
        <v>9218</v>
      </c>
      <c r="J2063" s="554" t="s">
        <v>9219</v>
      </c>
      <c r="K2063" s="554" t="s">
        <v>9219</v>
      </c>
      <c r="L2063" s="537" t="s">
        <v>2354</v>
      </c>
    </row>
    <row r="2064" spans="1:12" x14ac:dyDescent="0.2">
      <c r="A2064" s="547" t="s">
        <v>220</v>
      </c>
      <c r="B2064" s="547" t="s">
        <v>2351</v>
      </c>
      <c r="C2064" s="554" t="s">
        <v>4428</v>
      </c>
      <c r="D2064" s="554" t="s">
        <v>4429</v>
      </c>
      <c r="E2064" s="554" t="s">
        <v>9585</v>
      </c>
      <c r="F2064" s="571">
        <v>22</v>
      </c>
      <c r="G2064" s="572">
        <v>29.7</v>
      </c>
      <c r="H2064" s="545">
        <v>653.4</v>
      </c>
      <c r="I2064" s="554" t="s">
        <v>9218</v>
      </c>
      <c r="J2064" s="554" t="s">
        <v>9219</v>
      </c>
      <c r="K2064" s="554" t="s">
        <v>9219</v>
      </c>
      <c r="L2064" s="537" t="s">
        <v>2354</v>
      </c>
    </row>
    <row r="2065" spans="1:12" x14ac:dyDescent="0.2">
      <c r="A2065" s="547" t="s">
        <v>220</v>
      </c>
      <c r="B2065" s="547" t="s">
        <v>2351</v>
      </c>
      <c r="C2065" s="554" t="s">
        <v>4440</v>
      </c>
      <c r="D2065" s="554" t="s">
        <v>4441</v>
      </c>
      <c r="E2065" s="554" t="s">
        <v>9585</v>
      </c>
      <c r="F2065" s="571">
        <v>150</v>
      </c>
      <c r="G2065" s="572">
        <v>1.439E-2</v>
      </c>
      <c r="H2065" s="545">
        <v>2.1585000000000001</v>
      </c>
      <c r="I2065" s="554" t="s">
        <v>9218</v>
      </c>
      <c r="J2065" s="554" t="s">
        <v>9219</v>
      </c>
      <c r="K2065" s="554" t="s">
        <v>9219</v>
      </c>
      <c r="L2065" s="537" t="s">
        <v>2354</v>
      </c>
    </row>
    <row r="2066" spans="1:12" x14ac:dyDescent="0.2">
      <c r="A2066" s="547" t="s">
        <v>220</v>
      </c>
      <c r="B2066" s="547" t="s">
        <v>2351</v>
      </c>
      <c r="C2066" s="554" t="s">
        <v>4442</v>
      </c>
      <c r="D2066" s="554" t="s">
        <v>4443</v>
      </c>
      <c r="E2066" s="554" t="s">
        <v>9585</v>
      </c>
      <c r="F2066" s="571">
        <v>25</v>
      </c>
      <c r="G2066" s="572">
        <v>0.23452000000000001</v>
      </c>
      <c r="H2066" s="545">
        <v>5.8630000000000004</v>
      </c>
      <c r="I2066" s="554" t="s">
        <v>9218</v>
      </c>
      <c r="J2066" s="554" t="s">
        <v>9219</v>
      </c>
      <c r="K2066" s="554" t="s">
        <v>9219</v>
      </c>
      <c r="L2066" s="537" t="s">
        <v>2354</v>
      </c>
    </row>
    <row r="2067" spans="1:12" x14ac:dyDescent="0.2">
      <c r="A2067" s="547" t="s">
        <v>220</v>
      </c>
      <c r="B2067" s="547" t="s">
        <v>2351</v>
      </c>
      <c r="C2067" s="554" t="s">
        <v>4444</v>
      </c>
      <c r="D2067" s="554" t="s">
        <v>4445</v>
      </c>
      <c r="E2067" s="554" t="s">
        <v>9585</v>
      </c>
      <c r="F2067" s="571">
        <v>25</v>
      </c>
      <c r="G2067" s="572">
        <v>0.252</v>
      </c>
      <c r="H2067" s="545">
        <v>6.3</v>
      </c>
      <c r="I2067" s="554" t="s">
        <v>9218</v>
      </c>
      <c r="J2067" s="554" t="s">
        <v>9219</v>
      </c>
      <c r="K2067" s="554" t="s">
        <v>9219</v>
      </c>
      <c r="L2067" s="537" t="s">
        <v>2354</v>
      </c>
    </row>
    <row r="2068" spans="1:12" x14ac:dyDescent="0.2">
      <c r="A2068" s="547" t="s">
        <v>220</v>
      </c>
      <c r="B2068" s="547" t="s">
        <v>2351</v>
      </c>
      <c r="C2068" s="554" t="s">
        <v>4446</v>
      </c>
      <c r="D2068" s="554" t="s">
        <v>4447</v>
      </c>
      <c r="E2068" s="554" t="s">
        <v>9585</v>
      </c>
      <c r="F2068" s="571">
        <v>14</v>
      </c>
      <c r="G2068" s="572">
        <v>0.37309999999999999</v>
      </c>
      <c r="H2068" s="545">
        <v>5.2233999999999998</v>
      </c>
      <c r="I2068" s="554" t="s">
        <v>9218</v>
      </c>
      <c r="J2068" s="554" t="s">
        <v>9219</v>
      </c>
      <c r="K2068" s="554" t="s">
        <v>9219</v>
      </c>
      <c r="L2068" s="537" t="s">
        <v>2354</v>
      </c>
    </row>
    <row r="2069" spans="1:12" x14ac:dyDescent="0.2">
      <c r="A2069" s="547" t="s">
        <v>220</v>
      </c>
      <c r="B2069" s="547" t="s">
        <v>2351</v>
      </c>
      <c r="C2069" s="554" t="s">
        <v>4448</v>
      </c>
      <c r="D2069" s="554" t="s">
        <v>4449</v>
      </c>
      <c r="E2069" s="554" t="s">
        <v>9585</v>
      </c>
      <c r="F2069" s="571">
        <v>38</v>
      </c>
      <c r="G2069" s="572">
        <v>0.79300000000000004</v>
      </c>
      <c r="H2069" s="545">
        <v>30.134</v>
      </c>
      <c r="I2069" s="554" t="s">
        <v>9218</v>
      </c>
      <c r="J2069" s="554" t="s">
        <v>9219</v>
      </c>
      <c r="K2069" s="554" t="s">
        <v>9219</v>
      </c>
      <c r="L2069" s="537" t="s">
        <v>2354</v>
      </c>
    </row>
    <row r="2070" spans="1:12" x14ac:dyDescent="0.2">
      <c r="A2070" s="547" t="s">
        <v>220</v>
      </c>
      <c r="B2070" s="547" t="s">
        <v>2351</v>
      </c>
      <c r="C2070" s="554" t="s">
        <v>4450</v>
      </c>
      <c r="D2070" s="554" t="s">
        <v>4451</v>
      </c>
      <c r="E2070" s="554" t="s">
        <v>9585</v>
      </c>
      <c r="F2070" s="571">
        <v>5</v>
      </c>
      <c r="G2070" s="572">
        <v>1.0857000000000001</v>
      </c>
      <c r="H2070" s="545">
        <v>5.4285000000000005</v>
      </c>
      <c r="I2070" s="554" t="s">
        <v>9218</v>
      </c>
      <c r="J2070" s="554" t="s">
        <v>9219</v>
      </c>
      <c r="K2070" s="554" t="s">
        <v>9219</v>
      </c>
      <c r="L2070" s="537" t="s">
        <v>2354</v>
      </c>
    </row>
    <row r="2071" spans="1:12" x14ac:dyDescent="0.2">
      <c r="A2071" s="547" t="s">
        <v>220</v>
      </c>
      <c r="B2071" s="547" t="s">
        <v>2351</v>
      </c>
      <c r="C2071" s="554" t="s">
        <v>4452</v>
      </c>
      <c r="D2071" s="554" t="s">
        <v>4453</v>
      </c>
      <c r="E2071" s="554" t="s">
        <v>9585</v>
      </c>
      <c r="F2071" s="571">
        <v>44</v>
      </c>
      <c r="G2071" s="572">
        <v>0.73072999999999999</v>
      </c>
      <c r="H2071" s="545">
        <v>32.152119999999996</v>
      </c>
      <c r="I2071" s="554" t="s">
        <v>9218</v>
      </c>
      <c r="J2071" s="554" t="s">
        <v>9219</v>
      </c>
      <c r="K2071" s="554" t="s">
        <v>9219</v>
      </c>
      <c r="L2071" s="537" t="s">
        <v>2354</v>
      </c>
    </row>
    <row r="2072" spans="1:12" x14ac:dyDescent="0.2">
      <c r="A2072" s="547" t="s">
        <v>220</v>
      </c>
      <c r="B2072" s="547" t="s">
        <v>2351</v>
      </c>
      <c r="C2072" s="554" t="s">
        <v>4454</v>
      </c>
      <c r="D2072" s="554" t="s">
        <v>4455</v>
      </c>
      <c r="E2072" s="554" t="s">
        <v>9585</v>
      </c>
      <c r="F2072" s="571">
        <v>90</v>
      </c>
      <c r="G2072" s="572">
        <v>0.40589999999999998</v>
      </c>
      <c r="H2072" s="545">
        <v>36.530999999999999</v>
      </c>
      <c r="I2072" s="554" t="s">
        <v>9218</v>
      </c>
      <c r="J2072" s="554" t="s">
        <v>9219</v>
      </c>
      <c r="K2072" s="554" t="s">
        <v>9219</v>
      </c>
      <c r="L2072" s="537" t="s">
        <v>2354</v>
      </c>
    </row>
    <row r="2073" spans="1:12" x14ac:dyDescent="0.2">
      <c r="A2073" s="547" t="s">
        <v>220</v>
      </c>
      <c r="B2073" s="547" t="s">
        <v>2351</v>
      </c>
      <c r="C2073" s="554" t="s">
        <v>4456</v>
      </c>
      <c r="D2073" s="554" t="s">
        <v>4457</v>
      </c>
      <c r="E2073" s="554" t="s">
        <v>9585</v>
      </c>
      <c r="F2073" s="571">
        <v>190</v>
      </c>
      <c r="G2073" s="572">
        <v>6.3960000000000003E-2</v>
      </c>
      <c r="H2073" s="545">
        <v>12.1524</v>
      </c>
      <c r="I2073" s="554" t="s">
        <v>9218</v>
      </c>
      <c r="J2073" s="554" t="s">
        <v>9219</v>
      </c>
      <c r="K2073" s="554" t="s">
        <v>9219</v>
      </c>
      <c r="L2073" s="537" t="s">
        <v>2354</v>
      </c>
    </row>
    <row r="2074" spans="1:12" x14ac:dyDescent="0.2">
      <c r="A2074" s="547" t="s">
        <v>220</v>
      </c>
      <c r="B2074" s="547" t="s">
        <v>2351</v>
      </c>
      <c r="C2074" s="554" t="s">
        <v>4458</v>
      </c>
      <c r="D2074" s="554" t="s">
        <v>4459</v>
      </c>
      <c r="E2074" s="554" t="s">
        <v>9585</v>
      </c>
      <c r="F2074" s="571">
        <v>98</v>
      </c>
      <c r="G2074" s="572">
        <v>6.3960000000000003E-2</v>
      </c>
      <c r="H2074" s="545">
        <v>6.2680800000000003</v>
      </c>
      <c r="I2074" s="554" t="s">
        <v>9218</v>
      </c>
      <c r="J2074" s="554" t="s">
        <v>9219</v>
      </c>
      <c r="K2074" s="554" t="s">
        <v>9219</v>
      </c>
      <c r="L2074" s="537" t="s">
        <v>2354</v>
      </c>
    </row>
    <row r="2075" spans="1:12" x14ac:dyDescent="0.2">
      <c r="A2075" s="547" t="s">
        <v>220</v>
      </c>
      <c r="B2075" s="547" t="s">
        <v>2351</v>
      </c>
      <c r="C2075" s="554" t="s">
        <v>4460</v>
      </c>
      <c r="D2075" s="554" t="s">
        <v>4461</v>
      </c>
      <c r="E2075" s="554" t="s">
        <v>9585</v>
      </c>
      <c r="F2075" s="571">
        <v>88</v>
      </c>
      <c r="G2075" s="572">
        <v>6.3960000000000003E-2</v>
      </c>
      <c r="H2075" s="545">
        <v>5.6284800000000006</v>
      </c>
      <c r="I2075" s="554" t="s">
        <v>9218</v>
      </c>
      <c r="J2075" s="554" t="s">
        <v>9219</v>
      </c>
      <c r="K2075" s="554" t="s">
        <v>9219</v>
      </c>
      <c r="L2075" s="537" t="s">
        <v>2354</v>
      </c>
    </row>
    <row r="2076" spans="1:12" x14ac:dyDescent="0.2">
      <c r="A2076" s="547" t="s">
        <v>220</v>
      </c>
      <c r="B2076" s="547" t="s">
        <v>2351</v>
      </c>
      <c r="C2076" s="554" t="s">
        <v>4462</v>
      </c>
      <c r="D2076" s="554" t="s">
        <v>4463</v>
      </c>
      <c r="E2076" s="554" t="s">
        <v>9585</v>
      </c>
      <c r="F2076" s="571">
        <v>98</v>
      </c>
      <c r="G2076" s="572">
        <v>6.3960000000000003E-2</v>
      </c>
      <c r="H2076" s="545">
        <v>6.2680800000000003</v>
      </c>
      <c r="I2076" s="554" t="s">
        <v>9218</v>
      </c>
      <c r="J2076" s="554" t="s">
        <v>9219</v>
      </c>
      <c r="K2076" s="554" t="s">
        <v>9219</v>
      </c>
      <c r="L2076" s="537" t="s">
        <v>2354</v>
      </c>
    </row>
    <row r="2077" spans="1:12" x14ac:dyDescent="0.2">
      <c r="A2077" s="547" t="s">
        <v>220</v>
      </c>
      <c r="B2077" s="547" t="s">
        <v>2351</v>
      </c>
      <c r="C2077" s="554" t="s">
        <v>4464</v>
      </c>
      <c r="D2077" s="554" t="s">
        <v>4465</v>
      </c>
      <c r="E2077" s="554" t="s">
        <v>9585</v>
      </c>
      <c r="F2077" s="571">
        <v>86</v>
      </c>
      <c r="G2077" s="572">
        <v>6.3960000000000003E-2</v>
      </c>
      <c r="H2077" s="545">
        <v>5.5005600000000001</v>
      </c>
      <c r="I2077" s="554" t="s">
        <v>9218</v>
      </c>
      <c r="J2077" s="554" t="s">
        <v>9219</v>
      </c>
      <c r="K2077" s="554" t="s">
        <v>9219</v>
      </c>
      <c r="L2077" s="537" t="s">
        <v>2354</v>
      </c>
    </row>
    <row r="2078" spans="1:12" x14ac:dyDescent="0.2">
      <c r="A2078" s="547" t="s">
        <v>220</v>
      </c>
      <c r="B2078" s="547" t="s">
        <v>2351</v>
      </c>
      <c r="C2078" s="554" t="s">
        <v>4466</v>
      </c>
      <c r="D2078" s="554" t="s">
        <v>4467</v>
      </c>
      <c r="E2078" s="554" t="s">
        <v>9585</v>
      </c>
      <c r="F2078" s="571">
        <v>100</v>
      </c>
      <c r="G2078" s="572">
        <v>6.3960000000000003E-2</v>
      </c>
      <c r="H2078" s="545">
        <v>6.3959999999999999</v>
      </c>
      <c r="I2078" s="554" t="s">
        <v>9218</v>
      </c>
      <c r="J2078" s="554" t="s">
        <v>9219</v>
      </c>
      <c r="K2078" s="554" t="s">
        <v>9219</v>
      </c>
      <c r="L2078" s="537" t="s">
        <v>2354</v>
      </c>
    </row>
    <row r="2079" spans="1:12" x14ac:dyDescent="0.2">
      <c r="A2079" s="547" t="s">
        <v>220</v>
      </c>
      <c r="B2079" s="547" t="s">
        <v>2351</v>
      </c>
      <c r="C2079" s="554" t="s">
        <v>4468</v>
      </c>
      <c r="D2079" s="554" t="s">
        <v>4469</v>
      </c>
      <c r="E2079" s="554" t="s">
        <v>9585</v>
      </c>
      <c r="F2079" s="571">
        <v>100</v>
      </c>
      <c r="G2079" s="572">
        <v>6.3960000000000003E-2</v>
      </c>
      <c r="H2079" s="545">
        <v>6.3959999999999999</v>
      </c>
      <c r="I2079" s="554" t="s">
        <v>9218</v>
      </c>
      <c r="J2079" s="554" t="s">
        <v>9219</v>
      </c>
      <c r="K2079" s="554" t="s">
        <v>9219</v>
      </c>
      <c r="L2079" s="537" t="s">
        <v>2354</v>
      </c>
    </row>
    <row r="2080" spans="1:12" x14ac:dyDescent="0.2">
      <c r="A2080" s="547" t="s">
        <v>220</v>
      </c>
      <c r="B2080" s="547" t="s">
        <v>2351</v>
      </c>
      <c r="C2080" s="554" t="s">
        <v>4470</v>
      </c>
      <c r="D2080" s="554" t="s">
        <v>4471</v>
      </c>
      <c r="E2080" s="554" t="s">
        <v>9585</v>
      </c>
      <c r="F2080" s="571">
        <v>100</v>
      </c>
      <c r="G2080" s="572">
        <v>6.3960000000000003E-2</v>
      </c>
      <c r="H2080" s="545">
        <v>6.3959999999999999</v>
      </c>
      <c r="I2080" s="554" t="s">
        <v>9218</v>
      </c>
      <c r="J2080" s="554" t="s">
        <v>9219</v>
      </c>
      <c r="K2080" s="554" t="s">
        <v>9219</v>
      </c>
      <c r="L2080" s="537" t="s">
        <v>2354</v>
      </c>
    </row>
    <row r="2081" spans="1:12" x14ac:dyDescent="0.2">
      <c r="A2081" s="547" t="s">
        <v>220</v>
      </c>
      <c r="B2081" s="547" t="s">
        <v>2351</v>
      </c>
      <c r="C2081" s="554" t="s">
        <v>4472</v>
      </c>
      <c r="D2081" s="554" t="s">
        <v>4473</v>
      </c>
      <c r="E2081" s="554" t="s">
        <v>9585</v>
      </c>
      <c r="F2081" s="571">
        <v>50</v>
      </c>
      <c r="G2081" s="572">
        <v>7.4620000000000006E-2</v>
      </c>
      <c r="H2081" s="545">
        <v>3.7310000000000003</v>
      </c>
      <c r="I2081" s="554" t="s">
        <v>9218</v>
      </c>
      <c r="J2081" s="554" t="s">
        <v>9219</v>
      </c>
      <c r="K2081" s="554" t="s">
        <v>9219</v>
      </c>
      <c r="L2081" s="537" t="s">
        <v>2354</v>
      </c>
    </row>
    <row r="2082" spans="1:12" x14ac:dyDescent="0.2">
      <c r="A2082" s="547" t="s">
        <v>220</v>
      </c>
      <c r="B2082" s="547" t="s">
        <v>2351</v>
      </c>
      <c r="C2082" s="554" t="s">
        <v>4474</v>
      </c>
      <c r="D2082" s="554" t="s">
        <v>4475</v>
      </c>
      <c r="E2082" s="554" t="s">
        <v>9585</v>
      </c>
      <c r="F2082" s="571">
        <v>50</v>
      </c>
      <c r="G2082" s="572">
        <v>7.4620000000000006E-2</v>
      </c>
      <c r="H2082" s="545">
        <v>3.7310000000000003</v>
      </c>
      <c r="I2082" s="554" t="s">
        <v>9218</v>
      </c>
      <c r="J2082" s="554" t="s">
        <v>9219</v>
      </c>
      <c r="K2082" s="554" t="s">
        <v>9219</v>
      </c>
      <c r="L2082" s="537" t="s">
        <v>2354</v>
      </c>
    </row>
    <row r="2083" spans="1:12" x14ac:dyDescent="0.2">
      <c r="A2083" s="547" t="s">
        <v>220</v>
      </c>
      <c r="B2083" s="547" t="s">
        <v>2351</v>
      </c>
      <c r="C2083" s="554" t="s">
        <v>4476</v>
      </c>
      <c r="D2083" s="554" t="s">
        <v>4477</v>
      </c>
      <c r="E2083" s="554" t="s">
        <v>9585</v>
      </c>
      <c r="F2083" s="571">
        <v>50</v>
      </c>
      <c r="G2083" s="572">
        <v>7.4620000000000006E-2</v>
      </c>
      <c r="H2083" s="545">
        <v>3.7310000000000003</v>
      </c>
      <c r="I2083" s="554" t="s">
        <v>9218</v>
      </c>
      <c r="J2083" s="554" t="s">
        <v>9219</v>
      </c>
      <c r="K2083" s="554" t="s">
        <v>9219</v>
      </c>
      <c r="L2083" s="537" t="s">
        <v>2354</v>
      </c>
    </row>
    <row r="2084" spans="1:12" x14ac:dyDescent="0.2">
      <c r="A2084" s="547" t="s">
        <v>220</v>
      </c>
      <c r="B2084" s="547" t="s">
        <v>2351</v>
      </c>
      <c r="C2084" s="554" t="s">
        <v>4478</v>
      </c>
      <c r="D2084" s="554" t="s">
        <v>4479</v>
      </c>
      <c r="E2084" s="554" t="s">
        <v>9585</v>
      </c>
      <c r="F2084" s="571">
        <v>50</v>
      </c>
      <c r="G2084" s="572">
        <v>7.4620000000000006E-2</v>
      </c>
      <c r="H2084" s="545">
        <v>3.7310000000000003</v>
      </c>
      <c r="I2084" s="554" t="s">
        <v>9218</v>
      </c>
      <c r="J2084" s="554" t="s">
        <v>9219</v>
      </c>
      <c r="K2084" s="554" t="s">
        <v>9219</v>
      </c>
      <c r="L2084" s="537" t="s">
        <v>2354</v>
      </c>
    </row>
    <row r="2085" spans="1:12" x14ac:dyDescent="0.2">
      <c r="A2085" s="547" t="s">
        <v>220</v>
      </c>
      <c r="B2085" s="547" t="s">
        <v>2351</v>
      </c>
      <c r="C2085" s="554" t="s">
        <v>4480</v>
      </c>
      <c r="D2085" s="554" t="s">
        <v>4481</v>
      </c>
      <c r="E2085" s="554" t="s">
        <v>9585</v>
      </c>
      <c r="F2085" s="571">
        <v>50</v>
      </c>
      <c r="G2085" s="572">
        <v>7.4620000000000006E-2</v>
      </c>
      <c r="H2085" s="545">
        <v>3.7310000000000003</v>
      </c>
      <c r="I2085" s="554" t="s">
        <v>9218</v>
      </c>
      <c r="J2085" s="554" t="s">
        <v>9219</v>
      </c>
      <c r="K2085" s="554" t="s">
        <v>9219</v>
      </c>
      <c r="L2085" s="537" t="s">
        <v>2354</v>
      </c>
    </row>
    <row r="2086" spans="1:12" x14ac:dyDescent="0.2">
      <c r="A2086" s="547" t="s">
        <v>220</v>
      </c>
      <c r="B2086" s="547" t="s">
        <v>2351</v>
      </c>
      <c r="C2086" s="554" t="s">
        <v>4482</v>
      </c>
      <c r="D2086" s="554" t="s">
        <v>4483</v>
      </c>
      <c r="E2086" s="554" t="s">
        <v>9585</v>
      </c>
      <c r="F2086" s="571">
        <v>50</v>
      </c>
      <c r="G2086" s="572">
        <v>7.4620000000000006E-2</v>
      </c>
      <c r="H2086" s="545">
        <v>3.7310000000000003</v>
      </c>
      <c r="I2086" s="554" t="s">
        <v>9218</v>
      </c>
      <c r="J2086" s="554" t="s">
        <v>9219</v>
      </c>
      <c r="K2086" s="554" t="s">
        <v>9219</v>
      </c>
      <c r="L2086" s="537" t="s">
        <v>2354</v>
      </c>
    </row>
    <row r="2087" spans="1:12" x14ac:dyDescent="0.2">
      <c r="A2087" s="547" t="s">
        <v>220</v>
      </c>
      <c r="B2087" s="547" t="s">
        <v>2351</v>
      </c>
      <c r="C2087" s="554" t="s">
        <v>4484</v>
      </c>
      <c r="D2087" s="554" t="s">
        <v>4485</v>
      </c>
      <c r="E2087" s="554" t="s">
        <v>9585</v>
      </c>
      <c r="F2087" s="571">
        <v>50</v>
      </c>
      <c r="G2087" s="572">
        <v>7.4620000000000006E-2</v>
      </c>
      <c r="H2087" s="545">
        <v>3.7310000000000003</v>
      </c>
      <c r="I2087" s="554" t="s">
        <v>9218</v>
      </c>
      <c r="J2087" s="554" t="s">
        <v>9219</v>
      </c>
      <c r="K2087" s="554" t="s">
        <v>9219</v>
      </c>
      <c r="L2087" s="537" t="s">
        <v>2354</v>
      </c>
    </row>
    <row r="2088" spans="1:12" x14ac:dyDescent="0.2">
      <c r="A2088" s="547" t="s">
        <v>220</v>
      </c>
      <c r="B2088" s="547" t="s">
        <v>2351</v>
      </c>
      <c r="C2088" s="554" t="s">
        <v>4486</v>
      </c>
      <c r="D2088" s="554" t="s">
        <v>4487</v>
      </c>
      <c r="E2088" s="554" t="s">
        <v>9585</v>
      </c>
      <c r="F2088" s="571">
        <v>50</v>
      </c>
      <c r="G2088" s="572">
        <v>7.4620000000000006E-2</v>
      </c>
      <c r="H2088" s="545">
        <v>3.7310000000000003</v>
      </c>
      <c r="I2088" s="554" t="s">
        <v>9218</v>
      </c>
      <c r="J2088" s="554" t="s">
        <v>9219</v>
      </c>
      <c r="K2088" s="554" t="s">
        <v>9219</v>
      </c>
      <c r="L2088" s="537" t="s">
        <v>2354</v>
      </c>
    </row>
    <row r="2089" spans="1:12" x14ac:dyDescent="0.2">
      <c r="A2089" s="547" t="s">
        <v>220</v>
      </c>
      <c r="B2089" s="547" t="s">
        <v>2351</v>
      </c>
      <c r="C2089" s="554" t="s">
        <v>4490</v>
      </c>
      <c r="D2089" s="554" t="s">
        <v>4491</v>
      </c>
      <c r="E2089" s="554" t="s">
        <v>9585</v>
      </c>
      <c r="F2089" s="571">
        <v>110</v>
      </c>
      <c r="G2089" s="572">
        <v>0.75768000000000002</v>
      </c>
      <c r="H2089" s="545">
        <v>83.344800000000006</v>
      </c>
      <c r="I2089" s="554" t="s">
        <v>9218</v>
      </c>
      <c r="J2089" s="554" t="s">
        <v>9219</v>
      </c>
      <c r="K2089" s="554" t="s">
        <v>9219</v>
      </c>
      <c r="L2089" s="537" t="s">
        <v>2354</v>
      </c>
    </row>
    <row r="2090" spans="1:12" x14ac:dyDescent="0.2">
      <c r="A2090" s="547" t="s">
        <v>220</v>
      </c>
      <c r="B2090" s="547" t="s">
        <v>2351</v>
      </c>
      <c r="C2090" s="554" t="s">
        <v>4502</v>
      </c>
      <c r="D2090" s="554" t="s">
        <v>4503</v>
      </c>
      <c r="E2090" s="554" t="s">
        <v>9585</v>
      </c>
      <c r="F2090" s="571">
        <v>5</v>
      </c>
      <c r="G2090" s="572">
        <v>16.380179999999999</v>
      </c>
      <c r="H2090" s="545">
        <v>81.900899999999993</v>
      </c>
      <c r="I2090" s="554" t="s">
        <v>9218</v>
      </c>
      <c r="J2090" s="554" t="s">
        <v>9219</v>
      </c>
      <c r="K2090" s="554" t="s">
        <v>9219</v>
      </c>
      <c r="L2090" s="537" t="s">
        <v>2354</v>
      </c>
    </row>
    <row r="2091" spans="1:12" x14ac:dyDescent="0.2">
      <c r="A2091" s="547" t="s">
        <v>220</v>
      </c>
      <c r="B2091" s="547" t="s">
        <v>2351</v>
      </c>
      <c r="C2091" s="554" t="s">
        <v>4514</v>
      </c>
      <c r="D2091" s="554" t="s">
        <v>4515</v>
      </c>
      <c r="E2091" s="554" t="s">
        <v>9585</v>
      </c>
      <c r="F2091" s="571">
        <v>47</v>
      </c>
      <c r="G2091" s="572">
        <v>2.4390000000000001</v>
      </c>
      <c r="H2091" s="545">
        <v>114.63300000000001</v>
      </c>
      <c r="I2091" s="554" t="s">
        <v>9218</v>
      </c>
      <c r="J2091" s="554" t="s">
        <v>9219</v>
      </c>
      <c r="K2091" s="554" t="s">
        <v>9219</v>
      </c>
      <c r="L2091" s="537" t="s">
        <v>2354</v>
      </c>
    </row>
    <row r="2092" spans="1:12" x14ac:dyDescent="0.2">
      <c r="A2092" s="547" t="s">
        <v>220</v>
      </c>
      <c r="B2092" s="547" t="s">
        <v>2351</v>
      </c>
      <c r="C2092" s="554" t="s">
        <v>4516</v>
      </c>
      <c r="D2092" s="554" t="s">
        <v>4517</v>
      </c>
      <c r="E2092" s="554" t="s">
        <v>9585</v>
      </c>
      <c r="F2092" s="571">
        <v>28</v>
      </c>
      <c r="G2092" s="572">
        <v>3.4286498632010942</v>
      </c>
      <c r="H2092" s="545">
        <v>96.002196169630636</v>
      </c>
      <c r="I2092" s="554" t="s">
        <v>9218</v>
      </c>
      <c r="J2092" s="554" t="s">
        <v>9219</v>
      </c>
      <c r="K2092" s="554" t="s">
        <v>9219</v>
      </c>
      <c r="L2092" s="537" t="s">
        <v>2354</v>
      </c>
    </row>
    <row r="2093" spans="1:12" x14ac:dyDescent="0.2">
      <c r="A2093" s="547" t="s">
        <v>220</v>
      </c>
      <c r="B2093" s="547" t="s">
        <v>2351</v>
      </c>
      <c r="C2093" s="554" t="s">
        <v>4518</v>
      </c>
      <c r="D2093" s="554" t="s">
        <v>4519</v>
      </c>
      <c r="E2093" s="554" t="s">
        <v>9585</v>
      </c>
      <c r="F2093" s="571">
        <v>88</v>
      </c>
      <c r="G2093" s="572">
        <v>6.48</v>
      </c>
      <c r="H2093" s="545">
        <v>570.24</v>
      </c>
      <c r="I2093" s="554" t="s">
        <v>9218</v>
      </c>
      <c r="J2093" s="554" t="s">
        <v>9219</v>
      </c>
      <c r="K2093" s="554" t="s">
        <v>9219</v>
      </c>
      <c r="L2093" s="537" t="s">
        <v>2354</v>
      </c>
    </row>
    <row r="2094" spans="1:12" x14ac:dyDescent="0.2">
      <c r="A2094" s="547" t="s">
        <v>220</v>
      </c>
      <c r="B2094" s="547" t="s">
        <v>2351</v>
      </c>
      <c r="C2094" s="554" t="s">
        <v>4520</v>
      </c>
      <c r="D2094" s="554" t="s">
        <v>4521</v>
      </c>
      <c r="E2094" s="554" t="s">
        <v>9585</v>
      </c>
      <c r="F2094" s="571">
        <v>40</v>
      </c>
      <c r="G2094" s="572">
        <v>8.1062130909090904</v>
      </c>
      <c r="H2094" s="545">
        <v>324.24852363636364</v>
      </c>
      <c r="I2094" s="554" t="s">
        <v>9218</v>
      </c>
      <c r="J2094" s="554" t="s">
        <v>9219</v>
      </c>
      <c r="K2094" s="554" t="s">
        <v>9219</v>
      </c>
      <c r="L2094" s="537" t="s">
        <v>2354</v>
      </c>
    </row>
    <row r="2095" spans="1:12" x14ac:dyDescent="0.2">
      <c r="A2095" s="547" t="s">
        <v>220</v>
      </c>
      <c r="B2095" s="547" t="s">
        <v>2351</v>
      </c>
      <c r="C2095" s="554" t="s">
        <v>4524</v>
      </c>
      <c r="D2095" s="554" t="s">
        <v>4525</v>
      </c>
      <c r="E2095" s="554" t="s">
        <v>9585</v>
      </c>
      <c r="F2095" s="571">
        <v>1</v>
      </c>
      <c r="G2095" s="572">
        <v>296.73200000000003</v>
      </c>
      <c r="H2095" s="545">
        <v>296.73200000000003</v>
      </c>
      <c r="I2095" s="554" t="s">
        <v>9218</v>
      </c>
      <c r="J2095" s="554" t="s">
        <v>9219</v>
      </c>
      <c r="K2095" s="554" t="s">
        <v>9219</v>
      </c>
      <c r="L2095" s="537" t="s">
        <v>2354</v>
      </c>
    </row>
    <row r="2096" spans="1:12" x14ac:dyDescent="0.2">
      <c r="A2096" s="547" t="s">
        <v>220</v>
      </c>
      <c r="B2096" s="547" t="s">
        <v>2351</v>
      </c>
      <c r="C2096" s="554" t="s">
        <v>4538</v>
      </c>
      <c r="D2096" s="554" t="s">
        <v>4539</v>
      </c>
      <c r="E2096" s="554" t="s">
        <v>9585</v>
      </c>
      <c r="F2096" s="571">
        <v>5</v>
      </c>
      <c r="G2096" s="572">
        <v>3.4620000000000002</v>
      </c>
      <c r="H2096" s="545">
        <v>17.310000000000002</v>
      </c>
      <c r="I2096" s="554" t="s">
        <v>9218</v>
      </c>
      <c r="J2096" s="554" t="s">
        <v>9219</v>
      </c>
      <c r="K2096" s="554" t="s">
        <v>9219</v>
      </c>
      <c r="L2096" s="537" t="s">
        <v>2354</v>
      </c>
    </row>
    <row r="2097" spans="1:12" x14ac:dyDescent="0.2">
      <c r="A2097" s="547" t="s">
        <v>220</v>
      </c>
      <c r="B2097" s="547" t="s">
        <v>2351</v>
      </c>
      <c r="C2097" s="554" t="s">
        <v>4540</v>
      </c>
      <c r="D2097" s="554" t="s">
        <v>4541</v>
      </c>
      <c r="E2097" s="554" t="s">
        <v>9585</v>
      </c>
      <c r="F2097" s="571">
        <v>1</v>
      </c>
      <c r="G2097" s="572">
        <v>5.49</v>
      </c>
      <c r="H2097" s="545">
        <v>5.49</v>
      </c>
      <c r="I2097" s="554" t="s">
        <v>9218</v>
      </c>
      <c r="J2097" s="554" t="s">
        <v>9219</v>
      </c>
      <c r="K2097" s="554" t="s">
        <v>9219</v>
      </c>
      <c r="L2097" s="537" t="s">
        <v>2354</v>
      </c>
    </row>
    <row r="2098" spans="1:12" x14ac:dyDescent="0.2">
      <c r="A2098" s="547" t="s">
        <v>220</v>
      </c>
      <c r="B2098" s="547" t="s">
        <v>2351</v>
      </c>
      <c r="C2098" s="554" t="s">
        <v>4542</v>
      </c>
      <c r="D2098" s="554" t="s">
        <v>4543</v>
      </c>
      <c r="E2098" s="554" t="s">
        <v>9585</v>
      </c>
      <c r="F2098" s="571">
        <v>8</v>
      </c>
      <c r="G2098" s="572">
        <v>23.315999999999999</v>
      </c>
      <c r="H2098" s="545">
        <v>186.52799999999999</v>
      </c>
      <c r="I2098" s="554" t="s">
        <v>9218</v>
      </c>
      <c r="J2098" s="554" t="s">
        <v>9219</v>
      </c>
      <c r="K2098" s="554" t="s">
        <v>9219</v>
      </c>
      <c r="L2098" s="537" t="s">
        <v>2354</v>
      </c>
    </row>
    <row r="2099" spans="1:12" x14ac:dyDescent="0.2">
      <c r="A2099" s="547" t="s">
        <v>220</v>
      </c>
      <c r="B2099" s="547" t="s">
        <v>2351</v>
      </c>
      <c r="C2099" s="554" t="s">
        <v>4544</v>
      </c>
      <c r="D2099" s="554" t="s">
        <v>4545</v>
      </c>
      <c r="E2099" s="554" t="s">
        <v>9585</v>
      </c>
      <c r="F2099" s="571">
        <v>5</v>
      </c>
      <c r="G2099" s="572">
        <v>34.799999999999997</v>
      </c>
      <c r="H2099" s="545">
        <v>174</v>
      </c>
      <c r="I2099" s="554" t="s">
        <v>9218</v>
      </c>
      <c r="J2099" s="554" t="s">
        <v>9219</v>
      </c>
      <c r="K2099" s="554" t="s">
        <v>9219</v>
      </c>
      <c r="L2099" s="537" t="s">
        <v>2354</v>
      </c>
    </row>
    <row r="2100" spans="1:12" x14ac:dyDescent="0.2">
      <c r="A2100" s="547" t="s">
        <v>220</v>
      </c>
      <c r="B2100" s="547" t="s">
        <v>2351</v>
      </c>
      <c r="C2100" s="554" t="s">
        <v>4548</v>
      </c>
      <c r="D2100" s="554" t="s">
        <v>4549</v>
      </c>
      <c r="E2100" s="554" t="s">
        <v>9585</v>
      </c>
      <c r="F2100" s="571">
        <v>19</v>
      </c>
      <c r="G2100" s="572">
        <v>1.1833238095238097</v>
      </c>
      <c r="H2100" s="545">
        <v>22.483152380952383</v>
      </c>
      <c r="I2100" s="554" t="s">
        <v>9218</v>
      </c>
      <c r="J2100" s="554" t="s">
        <v>9219</v>
      </c>
      <c r="K2100" s="554" t="s">
        <v>9219</v>
      </c>
      <c r="L2100" s="537" t="s">
        <v>2354</v>
      </c>
    </row>
    <row r="2101" spans="1:12" x14ac:dyDescent="0.2">
      <c r="A2101" s="547" t="s">
        <v>220</v>
      </c>
      <c r="B2101" s="547" t="s">
        <v>2351</v>
      </c>
      <c r="C2101" s="554" t="s">
        <v>4552</v>
      </c>
      <c r="D2101" s="554" t="s">
        <v>4553</v>
      </c>
      <c r="E2101" s="554" t="s">
        <v>9585</v>
      </c>
      <c r="F2101" s="571">
        <v>19</v>
      </c>
      <c r="G2101" s="572">
        <v>1.165</v>
      </c>
      <c r="H2101" s="545">
        <v>22.135000000000002</v>
      </c>
      <c r="I2101" s="554" t="s">
        <v>9218</v>
      </c>
      <c r="J2101" s="554" t="s">
        <v>9219</v>
      </c>
      <c r="K2101" s="554" t="s">
        <v>9219</v>
      </c>
      <c r="L2101" s="537" t="s">
        <v>2354</v>
      </c>
    </row>
    <row r="2102" spans="1:12" x14ac:dyDescent="0.2">
      <c r="A2102" s="547" t="s">
        <v>220</v>
      </c>
      <c r="B2102" s="547" t="s">
        <v>2351</v>
      </c>
      <c r="C2102" s="554" t="s">
        <v>4568</v>
      </c>
      <c r="D2102" s="554" t="s">
        <v>4569</v>
      </c>
      <c r="E2102" s="554" t="s">
        <v>9585</v>
      </c>
      <c r="F2102" s="571">
        <v>4</v>
      </c>
      <c r="G2102" s="572">
        <v>4.5599999999999996</v>
      </c>
      <c r="H2102" s="545">
        <v>18.239999999999998</v>
      </c>
      <c r="I2102" s="554" t="s">
        <v>9218</v>
      </c>
      <c r="J2102" s="554" t="s">
        <v>9219</v>
      </c>
      <c r="K2102" s="554" t="s">
        <v>9219</v>
      </c>
      <c r="L2102" s="537" t="s">
        <v>2354</v>
      </c>
    </row>
    <row r="2103" spans="1:12" x14ac:dyDescent="0.2">
      <c r="A2103" s="547" t="s">
        <v>220</v>
      </c>
      <c r="B2103" s="547" t="s">
        <v>2351</v>
      </c>
      <c r="C2103" s="554" t="s">
        <v>4588</v>
      </c>
      <c r="D2103" s="554" t="s">
        <v>4589</v>
      </c>
      <c r="E2103" s="554" t="s">
        <v>9585</v>
      </c>
      <c r="F2103" s="571">
        <v>30</v>
      </c>
      <c r="G2103" s="572">
        <v>0.58499999999999996</v>
      </c>
      <c r="H2103" s="545">
        <v>17.549999999999997</v>
      </c>
      <c r="I2103" s="554" t="s">
        <v>9218</v>
      </c>
      <c r="J2103" s="554" t="s">
        <v>9219</v>
      </c>
      <c r="K2103" s="554" t="s">
        <v>9219</v>
      </c>
      <c r="L2103" s="537" t="s">
        <v>2354</v>
      </c>
    </row>
    <row r="2104" spans="1:12" x14ac:dyDescent="0.2">
      <c r="A2104" s="547" t="s">
        <v>220</v>
      </c>
      <c r="B2104" s="547" t="s">
        <v>2351</v>
      </c>
      <c r="C2104" s="554" t="s">
        <v>4590</v>
      </c>
      <c r="D2104" s="554" t="s">
        <v>4591</v>
      </c>
      <c r="E2104" s="554" t="s">
        <v>9585</v>
      </c>
      <c r="F2104" s="571">
        <v>43</v>
      </c>
      <c r="G2104" s="572">
        <v>0.56200000000000006</v>
      </c>
      <c r="H2104" s="545">
        <v>24.166000000000004</v>
      </c>
      <c r="I2104" s="554" t="s">
        <v>9218</v>
      </c>
      <c r="J2104" s="554" t="s">
        <v>9219</v>
      </c>
      <c r="K2104" s="554" t="s">
        <v>9219</v>
      </c>
      <c r="L2104" s="537" t="s">
        <v>2354</v>
      </c>
    </row>
    <row r="2105" spans="1:12" x14ac:dyDescent="0.2">
      <c r="A2105" s="547" t="s">
        <v>220</v>
      </c>
      <c r="B2105" s="547" t="s">
        <v>2351</v>
      </c>
      <c r="C2105" s="554" t="s">
        <v>4592</v>
      </c>
      <c r="D2105" s="554" t="s">
        <v>4593</v>
      </c>
      <c r="E2105" s="554" t="s">
        <v>9585</v>
      </c>
      <c r="F2105" s="571">
        <v>63</v>
      </c>
      <c r="G2105" s="572">
        <v>0.68579999999999997</v>
      </c>
      <c r="H2105" s="545">
        <v>43.205399999999997</v>
      </c>
      <c r="I2105" s="554" t="s">
        <v>9218</v>
      </c>
      <c r="J2105" s="554" t="s">
        <v>9219</v>
      </c>
      <c r="K2105" s="554" t="s">
        <v>9219</v>
      </c>
      <c r="L2105" s="537" t="s">
        <v>2354</v>
      </c>
    </row>
    <row r="2106" spans="1:12" x14ac:dyDescent="0.2">
      <c r="A2106" s="547" t="s">
        <v>220</v>
      </c>
      <c r="B2106" s="547" t="s">
        <v>2351</v>
      </c>
      <c r="C2106" s="554" t="s">
        <v>4594</v>
      </c>
      <c r="D2106" s="554" t="s">
        <v>4595</v>
      </c>
      <c r="E2106" s="554" t="s">
        <v>9585</v>
      </c>
      <c r="F2106" s="571">
        <v>4</v>
      </c>
      <c r="G2106" s="572">
        <v>24.379000000000001</v>
      </c>
      <c r="H2106" s="545">
        <v>97.516000000000005</v>
      </c>
      <c r="I2106" s="554" t="s">
        <v>9218</v>
      </c>
      <c r="J2106" s="554" t="s">
        <v>9219</v>
      </c>
      <c r="K2106" s="554" t="s">
        <v>9219</v>
      </c>
      <c r="L2106" s="537" t="s">
        <v>2354</v>
      </c>
    </row>
    <row r="2107" spans="1:12" x14ac:dyDescent="0.2">
      <c r="A2107" s="547" t="s">
        <v>220</v>
      </c>
      <c r="B2107" s="547" t="s">
        <v>2351</v>
      </c>
      <c r="C2107" s="554" t="s">
        <v>4596</v>
      </c>
      <c r="D2107" s="554" t="s">
        <v>4597</v>
      </c>
      <c r="E2107" s="554" t="s">
        <v>9585</v>
      </c>
      <c r="F2107" s="571">
        <v>27</v>
      </c>
      <c r="G2107" s="572">
        <v>4.1710000000000003</v>
      </c>
      <c r="H2107" s="545">
        <v>112.617</v>
      </c>
      <c r="I2107" s="554" t="s">
        <v>9218</v>
      </c>
      <c r="J2107" s="554" t="s">
        <v>9219</v>
      </c>
      <c r="K2107" s="554" t="s">
        <v>9219</v>
      </c>
      <c r="L2107" s="537" t="s">
        <v>2354</v>
      </c>
    </row>
    <row r="2108" spans="1:12" x14ac:dyDescent="0.2">
      <c r="A2108" s="547" t="s">
        <v>220</v>
      </c>
      <c r="B2108" s="547" t="s">
        <v>2351</v>
      </c>
      <c r="C2108" s="554" t="s">
        <v>4598</v>
      </c>
      <c r="D2108" s="554" t="s">
        <v>4599</v>
      </c>
      <c r="E2108" s="554" t="s">
        <v>9585</v>
      </c>
      <c r="F2108" s="571">
        <v>2</v>
      </c>
      <c r="G2108" s="572">
        <v>3.3580000000000001</v>
      </c>
      <c r="H2108" s="545">
        <v>6.7160000000000002</v>
      </c>
      <c r="I2108" s="554" t="s">
        <v>9218</v>
      </c>
      <c r="J2108" s="554" t="s">
        <v>9219</v>
      </c>
      <c r="K2108" s="554" t="s">
        <v>9219</v>
      </c>
      <c r="L2108" s="537" t="s">
        <v>2354</v>
      </c>
    </row>
    <row r="2109" spans="1:12" x14ac:dyDescent="0.2">
      <c r="A2109" s="547" t="s">
        <v>220</v>
      </c>
      <c r="B2109" s="547" t="s">
        <v>2351</v>
      </c>
      <c r="C2109" s="554" t="s">
        <v>4600</v>
      </c>
      <c r="D2109" s="554" t="s">
        <v>4601</v>
      </c>
      <c r="E2109" s="554" t="s">
        <v>9585</v>
      </c>
      <c r="F2109" s="571">
        <v>1</v>
      </c>
      <c r="G2109" s="572">
        <v>58.65</v>
      </c>
      <c r="H2109" s="545">
        <v>58.65</v>
      </c>
      <c r="I2109" s="554" t="s">
        <v>9218</v>
      </c>
      <c r="J2109" s="554" t="s">
        <v>9219</v>
      </c>
      <c r="K2109" s="554" t="s">
        <v>9219</v>
      </c>
      <c r="L2109" s="537" t="s">
        <v>2354</v>
      </c>
    </row>
    <row r="2110" spans="1:12" x14ac:dyDescent="0.2">
      <c r="A2110" s="547" t="s">
        <v>220</v>
      </c>
      <c r="B2110" s="547" t="s">
        <v>2351</v>
      </c>
      <c r="C2110" s="554" t="s">
        <v>4602</v>
      </c>
      <c r="D2110" s="554" t="s">
        <v>4603</v>
      </c>
      <c r="E2110" s="554" t="s">
        <v>9585</v>
      </c>
      <c r="F2110" s="571">
        <v>60</v>
      </c>
      <c r="G2110" s="572">
        <v>4.9809999999999999</v>
      </c>
      <c r="H2110" s="545">
        <v>298.86</v>
      </c>
      <c r="I2110" s="554" t="s">
        <v>9218</v>
      </c>
      <c r="J2110" s="554" t="s">
        <v>9219</v>
      </c>
      <c r="K2110" s="554" t="s">
        <v>9219</v>
      </c>
      <c r="L2110" s="537" t="s">
        <v>2354</v>
      </c>
    </row>
    <row r="2111" spans="1:12" x14ac:dyDescent="0.2">
      <c r="A2111" s="547" t="s">
        <v>220</v>
      </c>
      <c r="B2111" s="547" t="s">
        <v>2351</v>
      </c>
      <c r="C2111" s="554" t="s">
        <v>4604</v>
      </c>
      <c r="D2111" s="554" t="s">
        <v>4605</v>
      </c>
      <c r="E2111" s="554" t="s">
        <v>9585</v>
      </c>
      <c r="F2111" s="571">
        <v>42</v>
      </c>
      <c r="G2111" s="572">
        <v>2.1</v>
      </c>
      <c r="H2111" s="545">
        <v>88.2</v>
      </c>
      <c r="I2111" s="554" t="s">
        <v>9218</v>
      </c>
      <c r="J2111" s="554" t="s">
        <v>9219</v>
      </c>
      <c r="K2111" s="554" t="s">
        <v>9219</v>
      </c>
      <c r="L2111" s="537" t="s">
        <v>2354</v>
      </c>
    </row>
    <row r="2112" spans="1:12" x14ac:dyDescent="0.2">
      <c r="A2112" s="547" t="s">
        <v>220</v>
      </c>
      <c r="B2112" s="547" t="s">
        <v>2351</v>
      </c>
      <c r="C2112" s="554" t="s">
        <v>4606</v>
      </c>
      <c r="D2112" s="554" t="s">
        <v>4607</v>
      </c>
      <c r="E2112" s="554" t="s">
        <v>9585</v>
      </c>
      <c r="F2112" s="571">
        <v>33</v>
      </c>
      <c r="G2112" s="572">
        <v>6.8979999999999997</v>
      </c>
      <c r="H2112" s="545">
        <v>227.63399999999999</v>
      </c>
      <c r="I2112" s="554" t="s">
        <v>9218</v>
      </c>
      <c r="J2112" s="554" t="s">
        <v>9219</v>
      </c>
      <c r="K2112" s="554" t="s">
        <v>9219</v>
      </c>
      <c r="L2112" s="537" t="s">
        <v>2354</v>
      </c>
    </row>
    <row r="2113" spans="1:12" x14ac:dyDescent="0.2">
      <c r="A2113" s="547" t="s">
        <v>220</v>
      </c>
      <c r="B2113" s="547" t="s">
        <v>2351</v>
      </c>
      <c r="C2113" s="554" t="s">
        <v>4608</v>
      </c>
      <c r="D2113" s="554" t="s">
        <v>4609</v>
      </c>
      <c r="E2113" s="554" t="s">
        <v>9585</v>
      </c>
      <c r="F2113" s="571">
        <v>12</v>
      </c>
      <c r="G2113" s="572">
        <v>3.024</v>
      </c>
      <c r="H2113" s="545">
        <v>36.287999999999997</v>
      </c>
      <c r="I2113" s="554" t="s">
        <v>9218</v>
      </c>
      <c r="J2113" s="554" t="s">
        <v>9219</v>
      </c>
      <c r="K2113" s="554" t="s">
        <v>9219</v>
      </c>
      <c r="L2113" s="537" t="s">
        <v>2354</v>
      </c>
    </row>
    <row r="2114" spans="1:12" x14ac:dyDescent="0.2">
      <c r="A2114" s="547" t="s">
        <v>220</v>
      </c>
      <c r="B2114" s="547" t="s">
        <v>2351</v>
      </c>
      <c r="C2114" s="554" t="s">
        <v>4610</v>
      </c>
      <c r="D2114" s="554" t="s">
        <v>4611</v>
      </c>
      <c r="E2114" s="554" t="s">
        <v>9585</v>
      </c>
      <c r="F2114" s="571">
        <v>18</v>
      </c>
      <c r="G2114" s="572">
        <v>2.9224888888888887</v>
      </c>
      <c r="H2114" s="545">
        <v>52.604799999999997</v>
      </c>
      <c r="I2114" s="554" t="s">
        <v>9218</v>
      </c>
      <c r="J2114" s="554" t="s">
        <v>9219</v>
      </c>
      <c r="K2114" s="554" t="s">
        <v>9219</v>
      </c>
      <c r="L2114" s="537" t="s">
        <v>2354</v>
      </c>
    </row>
    <row r="2115" spans="1:12" x14ac:dyDescent="0.2">
      <c r="A2115" s="547" t="s">
        <v>220</v>
      </c>
      <c r="B2115" s="547" t="s">
        <v>2351</v>
      </c>
      <c r="C2115" s="554" t="s">
        <v>4612</v>
      </c>
      <c r="D2115" s="554" t="s">
        <v>4613</v>
      </c>
      <c r="E2115" s="554" t="s">
        <v>9585</v>
      </c>
      <c r="F2115" s="571">
        <v>17</v>
      </c>
      <c r="G2115" s="572">
        <v>2.9186999999999999</v>
      </c>
      <c r="H2115" s="545">
        <v>49.617899999999999</v>
      </c>
      <c r="I2115" s="554" t="s">
        <v>9218</v>
      </c>
      <c r="J2115" s="554" t="s">
        <v>9219</v>
      </c>
      <c r="K2115" s="554" t="s">
        <v>9219</v>
      </c>
      <c r="L2115" s="537" t="s">
        <v>2354</v>
      </c>
    </row>
    <row r="2116" spans="1:12" x14ac:dyDescent="0.2">
      <c r="A2116" s="547" t="s">
        <v>220</v>
      </c>
      <c r="B2116" s="547" t="s">
        <v>2351</v>
      </c>
      <c r="C2116" s="554" t="s">
        <v>4614</v>
      </c>
      <c r="D2116" s="554" t="s">
        <v>4615</v>
      </c>
      <c r="E2116" s="554" t="s">
        <v>9585</v>
      </c>
      <c r="F2116" s="571">
        <v>7</v>
      </c>
      <c r="G2116" s="572">
        <v>3.3929999999999998</v>
      </c>
      <c r="H2116" s="545">
        <v>23.750999999999998</v>
      </c>
      <c r="I2116" s="554" t="s">
        <v>9218</v>
      </c>
      <c r="J2116" s="554" t="s">
        <v>9219</v>
      </c>
      <c r="K2116" s="554" t="s">
        <v>9219</v>
      </c>
      <c r="L2116" s="537" t="s">
        <v>2354</v>
      </c>
    </row>
    <row r="2117" spans="1:12" x14ac:dyDescent="0.2">
      <c r="A2117" s="547" t="s">
        <v>220</v>
      </c>
      <c r="B2117" s="547" t="s">
        <v>2351</v>
      </c>
      <c r="C2117" s="554" t="s">
        <v>4616</v>
      </c>
      <c r="D2117" s="554" t="s">
        <v>4617</v>
      </c>
      <c r="E2117" s="554" t="s">
        <v>9585</v>
      </c>
      <c r="F2117" s="571">
        <v>48</v>
      </c>
      <c r="G2117" s="572">
        <v>1.4990000000000001</v>
      </c>
      <c r="H2117" s="545">
        <v>71.951999999999998</v>
      </c>
      <c r="I2117" s="554" t="s">
        <v>9218</v>
      </c>
      <c r="J2117" s="554" t="s">
        <v>9219</v>
      </c>
      <c r="K2117" s="554" t="s">
        <v>9219</v>
      </c>
      <c r="L2117" s="537" t="s">
        <v>2354</v>
      </c>
    </row>
    <row r="2118" spans="1:12" x14ac:dyDescent="0.2">
      <c r="A2118" s="547" t="s">
        <v>220</v>
      </c>
      <c r="B2118" s="547" t="s">
        <v>2351</v>
      </c>
      <c r="C2118" s="554" t="s">
        <v>5378</v>
      </c>
      <c r="D2118" s="554" t="s">
        <v>5379</v>
      </c>
      <c r="E2118" s="554" t="s">
        <v>9585</v>
      </c>
      <c r="F2118" s="573">
        <v>32</v>
      </c>
      <c r="G2118" s="545">
        <v>1.4903999999999999</v>
      </c>
      <c r="H2118" s="545">
        <v>47.692799999999998</v>
      </c>
      <c r="I2118" s="554" t="s">
        <v>9218</v>
      </c>
      <c r="J2118" s="554" t="s">
        <v>9219</v>
      </c>
      <c r="K2118" s="554" t="s">
        <v>9219</v>
      </c>
      <c r="L2118" s="537" t="s">
        <v>2354</v>
      </c>
    </row>
    <row r="2119" spans="1:12" x14ac:dyDescent="0.2">
      <c r="A2119" s="547" t="s">
        <v>220</v>
      </c>
      <c r="B2119" s="547" t="s">
        <v>2351</v>
      </c>
      <c r="C2119" s="554" t="s">
        <v>4618</v>
      </c>
      <c r="D2119" s="554" t="s">
        <v>4619</v>
      </c>
      <c r="E2119" s="554" t="s">
        <v>9585</v>
      </c>
      <c r="F2119" s="571">
        <v>4</v>
      </c>
      <c r="G2119" s="572">
        <v>22.452000000000002</v>
      </c>
      <c r="H2119" s="545">
        <v>89.808000000000007</v>
      </c>
      <c r="I2119" s="554" t="s">
        <v>9218</v>
      </c>
      <c r="J2119" s="554" t="s">
        <v>9219</v>
      </c>
      <c r="K2119" s="554" t="s">
        <v>9219</v>
      </c>
      <c r="L2119" s="537" t="s">
        <v>2354</v>
      </c>
    </row>
    <row r="2120" spans="1:12" x14ac:dyDescent="0.2">
      <c r="A2120" s="547" t="s">
        <v>220</v>
      </c>
      <c r="B2120" s="547" t="s">
        <v>2351</v>
      </c>
      <c r="C2120" s="554" t="s">
        <v>4620</v>
      </c>
      <c r="D2120" s="554" t="s">
        <v>4621</v>
      </c>
      <c r="E2120" s="554" t="s">
        <v>9585</v>
      </c>
      <c r="F2120" s="571">
        <v>95</v>
      </c>
      <c r="G2120" s="572">
        <v>0.39600000000000002</v>
      </c>
      <c r="H2120" s="545">
        <v>37.620000000000005</v>
      </c>
      <c r="I2120" s="554" t="s">
        <v>9218</v>
      </c>
      <c r="J2120" s="554" t="s">
        <v>9219</v>
      </c>
      <c r="K2120" s="554" t="s">
        <v>9219</v>
      </c>
      <c r="L2120" s="537" t="s">
        <v>2354</v>
      </c>
    </row>
    <row r="2121" spans="1:12" x14ac:dyDescent="0.2">
      <c r="A2121" s="547" t="s">
        <v>220</v>
      </c>
      <c r="B2121" s="547" t="s">
        <v>2351</v>
      </c>
      <c r="C2121" s="554" t="s">
        <v>4622</v>
      </c>
      <c r="D2121" s="554" t="s">
        <v>4623</v>
      </c>
      <c r="E2121" s="554" t="s">
        <v>9585</v>
      </c>
      <c r="F2121" s="571">
        <v>13</v>
      </c>
      <c r="G2121" s="572">
        <v>2.3290000000000002</v>
      </c>
      <c r="H2121" s="545">
        <v>30.277000000000001</v>
      </c>
      <c r="I2121" s="554" t="s">
        <v>9218</v>
      </c>
      <c r="J2121" s="554" t="s">
        <v>9219</v>
      </c>
      <c r="K2121" s="554" t="s">
        <v>9219</v>
      </c>
      <c r="L2121" s="537" t="s">
        <v>2354</v>
      </c>
    </row>
    <row r="2122" spans="1:12" x14ac:dyDescent="0.2">
      <c r="A2122" s="547" t="s">
        <v>220</v>
      </c>
      <c r="B2122" s="547" t="s">
        <v>2351</v>
      </c>
      <c r="C2122" s="554" t="s">
        <v>4636</v>
      </c>
      <c r="D2122" s="554" t="s">
        <v>4637</v>
      </c>
      <c r="E2122" s="554" t="s">
        <v>9585</v>
      </c>
      <c r="F2122" s="571">
        <v>20</v>
      </c>
      <c r="G2122" s="572">
        <v>0.19656000000000001</v>
      </c>
      <c r="H2122" s="545">
        <v>3.9312000000000005</v>
      </c>
      <c r="I2122" s="554" t="s">
        <v>9218</v>
      </c>
      <c r="J2122" s="554" t="s">
        <v>9219</v>
      </c>
      <c r="K2122" s="554" t="s">
        <v>9219</v>
      </c>
      <c r="L2122" s="537" t="s">
        <v>2354</v>
      </c>
    </row>
    <row r="2123" spans="1:12" x14ac:dyDescent="0.2">
      <c r="A2123" s="547" t="s">
        <v>220</v>
      </c>
      <c r="B2123" s="547" t="s">
        <v>2351</v>
      </c>
      <c r="C2123" s="554" t="s">
        <v>4640</v>
      </c>
      <c r="D2123" s="554" t="s">
        <v>4641</v>
      </c>
      <c r="E2123" s="554" t="s">
        <v>9585</v>
      </c>
      <c r="F2123" s="571">
        <v>11</v>
      </c>
      <c r="G2123" s="572">
        <v>0.82499999999999996</v>
      </c>
      <c r="H2123" s="545">
        <v>9.0749999999999993</v>
      </c>
      <c r="I2123" s="554" t="s">
        <v>9218</v>
      </c>
      <c r="J2123" s="554" t="s">
        <v>9219</v>
      </c>
      <c r="K2123" s="554" t="s">
        <v>9219</v>
      </c>
      <c r="L2123" s="537" t="s">
        <v>2354</v>
      </c>
    </row>
    <row r="2124" spans="1:12" x14ac:dyDescent="0.2">
      <c r="A2124" s="547" t="s">
        <v>220</v>
      </c>
      <c r="B2124" s="547" t="s">
        <v>2351</v>
      </c>
      <c r="C2124" s="554" t="s">
        <v>4642</v>
      </c>
      <c r="D2124" s="554" t="s">
        <v>4643</v>
      </c>
      <c r="E2124" s="554" t="s">
        <v>9585</v>
      </c>
      <c r="F2124" s="571">
        <v>129</v>
      </c>
      <c r="G2124" s="572">
        <v>0.46500000000000002</v>
      </c>
      <c r="H2124" s="545">
        <v>59.985000000000007</v>
      </c>
      <c r="I2124" s="554" t="s">
        <v>9218</v>
      </c>
      <c r="J2124" s="554" t="s">
        <v>9219</v>
      </c>
      <c r="K2124" s="554" t="s">
        <v>9219</v>
      </c>
      <c r="L2124" s="537" t="s">
        <v>2354</v>
      </c>
    </row>
    <row r="2125" spans="1:12" x14ac:dyDescent="0.2">
      <c r="A2125" s="547" t="s">
        <v>220</v>
      </c>
      <c r="B2125" s="547" t="s">
        <v>2351</v>
      </c>
      <c r="C2125" s="554" t="s">
        <v>4644</v>
      </c>
      <c r="D2125" s="554" t="s">
        <v>4645</v>
      </c>
      <c r="E2125" s="554" t="s">
        <v>9585</v>
      </c>
      <c r="F2125" s="571">
        <v>22</v>
      </c>
      <c r="G2125" s="572">
        <v>0.37094660194174761</v>
      </c>
      <c r="H2125" s="545">
        <v>8.1608252427184471</v>
      </c>
      <c r="I2125" s="554" t="s">
        <v>9218</v>
      </c>
      <c r="J2125" s="554" t="s">
        <v>9219</v>
      </c>
      <c r="K2125" s="554" t="s">
        <v>9219</v>
      </c>
      <c r="L2125" s="537" t="s">
        <v>2354</v>
      </c>
    </row>
    <row r="2126" spans="1:12" x14ac:dyDescent="0.2">
      <c r="A2126" s="547" t="s">
        <v>220</v>
      </c>
      <c r="B2126" s="547" t="s">
        <v>2351</v>
      </c>
      <c r="C2126" s="554" t="s">
        <v>4646</v>
      </c>
      <c r="D2126" s="554" t="s">
        <v>4647</v>
      </c>
      <c r="E2126" s="554" t="s">
        <v>9585</v>
      </c>
      <c r="F2126" s="571">
        <v>316</v>
      </c>
      <c r="G2126" s="572">
        <v>0.16726573619631901</v>
      </c>
      <c r="H2126" s="545">
        <v>52.85597263803681</v>
      </c>
      <c r="I2126" s="554" t="s">
        <v>9218</v>
      </c>
      <c r="J2126" s="554" t="s">
        <v>9219</v>
      </c>
      <c r="K2126" s="554" t="s">
        <v>9219</v>
      </c>
      <c r="L2126" s="537" t="s">
        <v>2354</v>
      </c>
    </row>
    <row r="2127" spans="1:12" x14ac:dyDescent="0.2">
      <c r="A2127" s="547" t="s">
        <v>220</v>
      </c>
      <c r="B2127" s="547" t="s">
        <v>2351</v>
      </c>
      <c r="C2127" s="554" t="s">
        <v>4648</v>
      </c>
      <c r="D2127" s="554" t="s">
        <v>4649</v>
      </c>
      <c r="E2127" s="554" t="s">
        <v>9585</v>
      </c>
      <c r="F2127" s="571">
        <v>174</v>
      </c>
      <c r="G2127" s="572">
        <v>0.125</v>
      </c>
      <c r="H2127" s="545">
        <v>21.75</v>
      </c>
      <c r="I2127" s="554" t="s">
        <v>9218</v>
      </c>
      <c r="J2127" s="554" t="s">
        <v>9219</v>
      </c>
      <c r="K2127" s="554" t="s">
        <v>9219</v>
      </c>
      <c r="L2127" s="537" t="s">
        <v>2354</v>
      </c>
    </row>
    <row r="2128" spans="1:12" x14ac:dyDescent="0.2">
      <c r="A2128" s="547" t="s">
        <v>220</v>
      </c>
      <c r="B2128" s="547" t="s">
        <v>2351</v>
      </c>
      <c r="C2128" s="554" t="s">
        <v>4650</v>
      </c>
      <c r="D2128" s="554" t="s">
        <v>4651</v>
      </c>
      <c r="E2128" s="554" t="s">
        <v>9585</v>
      </c>
      <c r="F2128" s="571">
        <v>95</v>
      </c>
      <c r="G2128" s="572">
        <v>0.31014000000000003</v>
      </c>
      <c r="H2128" s="545">
        <v>29.463300000000004</v>
      </c>
      <c r="I2128" s="554" t="s">
        <v>9218</v>
      </c>
      <c r="J2128" s="554" t="s">
        <v>9219</v>
      </c>
      <c r="K2128" s="554" t="s">
        <v>9219</v>
      </c>
      <c r="L2128" s="537" t="s">
        <v>2354</v>
      </c>
    </row>
    <row r="2129" spans="1:12" x14ac:dyDescent="0.2">
      <c r="A2129" s="547" t="s">
        <v>220</v>
      </c>
      <c r="B2129" s="547" t="s">
        <v>2351</v>
      </c>
      <c r="C2129" s="554" t="s">
        <v>4652</v>
      </c>
      <c r="D2129" s="554" t="s">
        <v>4653</v>
      </c>
      <c r="E2129" s="554" t="s">
        <v>9585</v>
      </c>
      <c r="F2129" s="571">
        <v>15</v>
      </c>
      <c r="G2129" s="572">
        <v>1.8105</v>
      </c>
      <c r="H2129" s="545">
        <v>27.157499999999999</v>
      </c>
      <c r="I2129" s="554" t="s">
        <v>9218</v>
      </c>
      <c r="J2129" s="554" t="s">
        <v>9219</v>
      </c>
      <c r="K2129" s="554" t="s">
        <v>9219</v>
      </c>
      <c r="L2129" s="537" t="s">
        <v>2354</v>
      </c>
    </row>
    <row r="2130" spans="1:12" x14ac:dyDescent="0.2">
      <c r="A2130" s="547" t="s">
        <v>220</v>
      </c>
      <c r="B2130" s="547" t="s">
        <v>2351</v>
      </c>
      <c r="C2130" s="554" t="s">
        <v>4656</v>
      </c>
      <c r="D2130" s="554" t="s">
        <v>4657</v>
      </c>
      <c r="E2130" s="554" t="s">
        <v>9585</v>
      </c>
      <c r="F2130" s="571">
        <v>302</v>
      </c>
      <c r="G2130" s="572">
        <v>0.19486187845303865</v>
      </c>
      <c r="H2130" s="545">
        <v>58.848287292817673</v>
      </c>
      <c r="I2130" s="554" t="s">
        <v>9218</v>
      </c>
      <c r="J2130" s="554" t="s">
        <v>9219</v>
      </c>
      <c r="K2130" s="554" t="s">
        <v>9219</v>
      </c>
      <c r="L2130" s="537" t="s">
        <v>2354</v>
      </c>
    </row>
    <row r="2131" spans="1:12" x14ac:dyDescent="0.2">
      <c r="A2131" s="547" t="s">
        <v>220</v>
      </c>
      <c r="B2131" s="547" t="s">
        <v>2351</v>
      </c>
      <c r="C2131" s="554" t="s">
        <v>4658</v>
      </c>
      <c r="D2131" s="554" t="s">
        <v>4659</v>
      </c>
      <c r="E2131" s="554" t="s">
        <v>9585</v>
      </c>
      <c r="F2131" s="571">
        <v>318</v>
      </c>
      <c r="G2131" s="572">
        <v>0.21568278894472359</v>
      </c>
      <c r="H2131" s="545">
        <v>68.587126884422105</v>
      </c>
      <c r="I2131" s="554" t="s">
        <v>9218</v>
      </c>
      <c r="J2131" s="554" t="s">
        <v>9219</v>
      </c>
      <c r="K2131" s="554" t="s">
        <v>9219</v>
      </c>
      <c r="L2131" s="537" t="s">
        <v>2354</v>
      </c>
    </row>
    <row r="2132" spans="1:12" x14ac:dyDescent="0.2">
      <c r="A2132" s="547" t="s">
        <v>220</v>
      </c>
      <c r="B2132" s="547" t="s">
        <v>2351</v>
      </c>
      <c r="C2132" s="554" t="s">
        <v>4660</v>
      </c>
      <c r="D2132" s="554" t="s">
        <v>4661</v>
      </c>
      <c r="E2132" s="554" t="s">
        <v>9585</v>
      </c>
      <c r="F2132" s="571">
        <v>558</v>
      </c>
      <c r="G2132" s="572">
        <v>9.35E-2</v>
      </c>
      <c r="H2132" s="545">
        <v>52.173000000000002</v>
      </c>
      <c r="I2132" s="554" t="s">
        <v>9218</v>
      </c>
      <c r="J2132" s="554" t="s">
        <v>9219</v>
      </c>
      <c r="K2132" s="554" t="s">
        <v>9219</v>
      </c>
      <c r="L2132" s="537" t="s">
        <v>2354</v>
      </c>
    </row>
    <row r="2133" spans="1:12" x14ac:dyDescent="0.2">
      <c r="A2133" s="547" t="s">
        <v>220</v>
      </c>
      <c r="B2133" s="547" t="s">
        <v>2351</v>
      </c>
      <c r="C2133" s="554" t="s">
        <v>4662</v>
      </c>
      <c r="D2133" s="554" t="s">
        <v>4663</v>
      </c>
      <c r="E2133" s="554" t="s">
        <v>9585</v>
      </c>
      <c r="F2133" s="571">
        <v>532</v>
      </c>
      <c r="G2133" s="572">
        <v>0.21</v>
      </c>
      <c r="H2133" s="545">
        <v>111.72</v>
      </c>
      <c r="I2133" s="554" t="s">
        <v>9218</v>
      </c>
      <c r="J2133" s="554" t="s">
        <v>9219</v>
      </c>
      <c r="K2133" s="554" t="s">
        <v>9219</v>
      </c>
      <c r="L2133" s="537" t="s">
        <v>2354</v>
      </c>
    </row>
    <row r="2134" spans="1:12" x14ac:dyDescent="0.2">
      <c r="A2134" s="547" t="s">
        <v>220</v>
      </c>
      <c r="B2134" s="547" t="s">
        <v>2351</v>
      </c>
      <c r="C2134" s="554" t="s">
        <v>4664</v>
      </c>
      <c r="D2134" s="554" t="s">
        <v>4665</v>
      </c>
      <c r="E2134" s="554" t="s">
        <v>9585</v>
      </c>
      <c r="F2134" s="571">
        <v>230</v>
      </c>
      <c r="G2134" s="572">
        <v>0.28599999999999998</v>
      </c>
      <c r="H2134" s="545">
        <v>65.78</v>
      </c>
      <c r="I2134" s="554" t="s">
        <v>9218</v>
      </c>
      <c r="J2134" s="554" t="s">
        <v>9219</v>
      </c>
      <c r="K2134" s="554" t="s">
        <v>9219</v>
      </c>
      <c r="L2134" s="537" t="s">
        <v>2354</v>
      </c>
    </row>
    <row r="2135" spans="1:12" x14ac:dyDescent="0.2">
      <c r="A2135" s="547" t="s">
        <v>220</v>
      </c>
      <c r="B2135" s="547" t="s">
        <v>2351</v>
      </c>
      <c r="C2135" s="554" t="s">
        <v>4666</v>
      </c>
      <c r="D2135" s="554" t="s">
        <v>4667</v>
      </c>
      <c r="E2135" s="554" t="s">
        <v>9585</v>
      </c>
      <c r="F2135" s="571">
        <v>49</v>
      </c>
      <c r="G2135" s="572">
        <v>0.315</v>
      </c>
      <c r="H2135" s="545">
        <v>15.435</v>
      </c>
      <c r="I2135" s="554" t="s">
        <v>9218</v>
      </c>
      <c r="J2135" s="554" t="s">
        <v>9219</v>
      </c>
      <c r="K2135" s="554" t="s">
        <v>9219</v>
      </c>
      <c r="L2135" s="537" t="s">
        <v>2354</v>
      </c>
    </row>
    <row r="2136" spans="1:12" x14ac:dyDescent="0.2">
      <c r="A2136" s="547" t="s">
        <v>220</v>
      </c>
      <c r="B2136" s="547" t="s">
        <v>2351</v>
      </c>
      <c r="C2136" s="554" t="s">
        <v>4668</v>
      </c>
      <c r="D2136" s="554" t="s">
        <v>4669</v>
      </c>
      <c r="E2136" s="554" t="s">
        <v>9585</v>
      </c>
      <c r="F2136" s="571">
        <v>100</v>
      </c>
      <c r="G2136" s="572">
        <v>1.0674870607734805</v>
      </c>
      <c r="H2136" s="545">
        <v>106.74870607734806</v>
      </c>
      <c r="I2136" s="554" t="s">
        <v>9218</v>
      </c>
      <c r="J2136" s="554" t="s">
        <v>9219</v>
      </c>
      <c r="K2136" s="554" t="s">
        <v>9219</v>
      </c>
      <c r="L2136" s="537" t="s">
        <v>2354</v>
      </c>
    </row>
    <row r="2137" spans="1:12" x14ac:dyDescent="0.2">
      <c r="A2137" s="547" t="s">
        <v>220</v>
      </c>
      <c r="B2137" s="547" t="s">
        <v>2351</v>
      </c>
      <c r="C2137" s="554" t="s">
        <v>4670</v>
      </c>
      <c r="D2137" s="554" t="s">
        <v>4671</v>
      </c>
      <c r="E2137" s="554" t="s">
        <v>9585</v>
      </c>
      <c r="F2137" s="571">
        <v>208</v>
      </c>
      <c r="G2137" s="572">
        <v>0.48299999999999998</v>
      </c>
      <c r="H2137" s="545">
        <v>100.464</v>
      </c>
      <c r="I2137" s="554" t="s">
        <v>9218</v>
      </c>
      <c r="J2137" s="554" t="s">
        <v>9219</v>
      </c>
      <c r="K2137" s="554" t="s">
        <v>9219</v>
      </c>
      <c r="L2137" s="537" t="s">
        <v>2354</v>
      </c>
    </row>
    <row r="2138" spans="1:12" x14ac:dyDescent="0.2">
      <c r="A2138" s="547" t="s">
        <v>220</v>
      </c>
      <c r="B2138" s="547" t="s">
        <v>2351</v>
      </c>
      <c r="C2138" s="554" t="s">
        <v>4672</v>
      </c>
      <c r="D2138" s="554" t="s">
        <v>4673</v>
      </c>
      <c r="E2138" s="554" t="s">
        <v>9585</v>
      </c>
      <c r="F2138" s="571">
        <v>45</v>
      </c>
      <c r="G2138" s="572">
        <v>1.1539999999999999</v>
      </c>
      <c r="H2138" s="545">
        <v>51.929999999999993</v>
      </c>
      <c r="I2138" s="554" t="s">
        <v>9218</v>
      </c>
      <c r="J2138" s="554" t="s">
        <v>9219</v>
      </c>
      <c r="K2138" s="554" t="s">
        <v>9219</v>
      </c>
      <c r="L2138" s="537" t="s">
        <v>2354</v>
      </c>
    </row>
    <row r="2139" spans="1:12" x14ac:dyDescent="0.2">
      <c r="A2139" s="547" t="s">
        <v>220</v>
      </c>
      <c r="B2139" s="547" t="s">
        <v>2351</v>
      </c>
      <c r="C2139" s="554" t="s">
        <v>4674</v>
      </c>
      <c r="D2139" s="554" t="s">
        <v>4675</v>
      </c>
      <c r="E2139" s="554" t="s">
        <v>9585</v>
      </c>
      <c r="F2139" s="571">
        <v>89</v>
      </c>
      <c r="G2139" s="572">
        <v>1.5189999999999999</v>
      </c>
      <c r="H2139" s="545">
        <v>135.191</v>
      </c>
      <c r="I2139" s="554" t="s">
        <v>9218</v>
      </c>
      <c r="J2139" s="554" t="s">
        <v>9219</v>
      </c>
      <c r="K2139" s="554" t="s">
        <v>9219</v>
      </c>
      <c r="L2139" s="537" t="s">
        <v>2354</v>
      </c>
    </row>
    <row r="2140" spans="1:12" x14ac:dyDescent="0.2">
      <c r="A2140" s="547" t="s">
        <v>220</v>
      </c>
      <c r="B2140" s="547" t="s">
        <v>2351</v>
      </c>
      <c r="C2140" s="554" t="s">
        <v>4676</v>
      </c>
      <c r="D2140" s="554" t="s">
        <v>4677</v>
      </c>
      <c r="E2140" s="554" t="s">
        <v>9585</v>
      </c>
      <c r="F2140" s="571">
        <v>15</v>
      </c>
      <c r="G2140" s="572">
        <v>1.8360000000000001</v>
      </c>
      <c r="H2140" s="545">
        <v>27.540000000000003</v>
      </c>
      <c r="I2140" s="554" t="s">
        <v>9218</v>
      </c>
      <c r="J2140" s="554" t="s">
        <v>9219</v>
      </c>
      <c r="K2140" s="554" t="s">
        <v>9219</v>
      </c>
      <c r="L2140" s="537" t="s">
        <v>2354</v>
      </c>
    </row>
    <row r="2141" spans="1:12" x14ac:dyDescent="0.2">
      <c r="A2141" s="547" t="s">
        <v>220</v>
      </c>
      <c r="B2141" s="547" t="s">
        <v>2351</v>
      </c>
      <c r="C2141" s="554" t="s">
        <v>4678</v>
      </c>
      <c r="D2141" s="554" t="s">
        <v>4679</v>
      </c>
      <c r="E2141" s="554" t="s">
        <v>9585</v>
      </c>
      <c r="F2141" s="571">
        <v>250</v>
      </c>
      <c r="G2141" s="572">
        <v>0.48481246339775336</v>
      </c>
      <c r="H2141" s="545">
        <v>121.20311584943833</v>
      </c>
      <c r="I2141" s="554" t="s">
        <v>9218</v>
      </c>
      <c r="J2141" s="554" t="s">
        <v>9219</v>
      </c>
      <c r="K2141" s="554" t="s">
        <v>9219</v>
      </c>
      <c r="L2141" s="537" t="s">
        <v>2354</v>
      </c>
    </row>
    <row r="2142" spans="1:12" x14ac:dyDescent="0.2">
      <c r="A2142" s="547" t="s">
        <v>220</v>
      </c>
      <c r="B2142" s="547" t="s">
        <v>2351</v>
      </c>
      <c r="C2142" s="554" t="s">
        <v>4680</v>
      </c>
      <c r="D2142" s="554" t="s">
        <v>4681</v>
      </c>
      <c r="E2142" s="554" t="s">
        <v>9585</v>
      </c>
      <c r="F2142" s="571">
        <v>35</v>
      </c>
      <c r="G2142" s="572">
        <v>0.46</v>
      </c>
      <c r="H2142" s="545">
        <v>16.100000000000001</v>
      </c>
      <c r="I2142" s="554" t="s">
        <v>9218</v>
      </c>
      <c r="J2142" s="554" t="s">
        <v>9219</v>
      </c>
      <c r="K2142" s="554" t="s">
        <v>9219</v>
      </c>
      <c r="L2142" s="537" t="s">
        <v>2354</v>
      </c>
    </row>
    <row r="2143" spans="1:12" x14ac:dyDescent="0.2">
      <c r="A2143" s="547" t="s">
        <v>220</v>
      </c>
      <c r="B2143" s="547" t="s">
        <v>2351</v>
      </c>
      <c r="C2143" s="554" t="s">
        <v>4682</v>
      </c>
      <c r="D2143" s="554" t="s">
        <v>4683</v>
      </c>
      <c r="E2143" s="554" t="s">
        <v>9585</v>
      </c>
      <c r="F2143" s="571">
        <v>15</v>
      </c>
      <c r="G2143" s="572">
        <v>0.90400000000000003</v>
      </c>
      <c r="H2143" s="545">
        <v>13.56</v>
      </c>
      <c r="I2143" s="554" t="s">
        <v>9218</v>
      </c>
      <c r="J2143" s="554" t="s">
        <v>9219</v>
      </c>
      <c r="K2143" s="554" t="s">
        <v>9219</v>
      </c>
      <c r="L2143" s="537" t="s">
        <v>2354</v>
      </c>
    </row>
    <row r="2144" spans="1:12" x14ac:dyDescent="0.2">
      <c r="A2144" s="547" t="s">
        <v>220</v>
      </c>
      <c r="B2144" s="547" t="s">
        <v>2351</v>
      </c>
      <c r="C2144" s="554" t="s">
        <v>4684</v>
      </c>
      <c r="D2144" s="554" t="s">
        <v>4685</v>
      </c>
      <c r="E2144" s="554" t="s">
        <v>9585</v>
      </c>
      <c r="F2144" s="571">
        <v>8.25</v>
      </c>
      <c r="G2144" s="572">
        <v>11.813000000000001</v>
      </c>
      <c r="H2144" s="545">
        <v>97.457250000000002</v>
      </c>
      <c r="I2144" s="554" t="s">
        <v>9218</v>
      </c>
      <c r="J2144" s="554" t="s">
        <v>9219</v>
      </c>
      <c r="K2144" s="554" t="s">
        <v>9219</v>
      </c>
      <c r="L2144" s="537" t="s">
        <v>2354</v>
      </c>
    </row>
    <row r="2145" spans="1:12" x14ac:dyDescent="0.2">
      <c r="A2145" s="547" t="s">
        <v>220</v>
      </c>
      <c r="B2145" s="547" t="s">
        <v>2351</v>
      </c>
      <c r="C2145" s="554" t="s">
        <v>4686</v>
      </c>
      <c r="D2145" s="554" t="s">
        <v>4687</v>
      </c>
      <c r="E2145" s="554" t="s">
        <v>9585</v>
      </c>
      <c r="F2145" s="571">
        <v>144</v>
      </c>
      <c r="G2145" s="572">
        <v>0.33638000000000001</v>
      </c>
      <c r="H2145" s="545">
        <v>48.438720000000004</v>
      </c>
      <c r="I2145" s="554" t="s">
        <v>9218</v>
      </c>
      <c r="J2145" s="554" t="s">
        <v>9219</v>
      </c>
      <c r="K2145" s="554" t="s">
        <v>9219</v>
      </c>
      <c r="L2145" s="537" t="s">
        <v>2354</v>
      </c>
    </row>
    <row r="2146" spans="1:12" x14ac:dyDescent="0.2">
      <c r="A2146" s="547" t="s">
        <v>220</v>
      </c>
      <c r="B2146" s="547" t="s">
        <v>2351</v>
      </c>
      <c r="C2146" s="554" t="s">
        <v>4688</v>
      </c>
      <c r="D2146" s="554" t="s">
        <v>4689</v>
      </c>
      <c r="E2146" s="554" t="s">
        <v>9585</v>
      </c>
      <c r="F2146" s="571">
        <v>78</v>
      </c>
      <c r="G2146" s="572">
        <v>0.84150000000000003</v>
      </c>
      <c r="H2146" s="545">
        <v>65.637</v>
      </c>
      <c r="I2146" s="554" t="s">
        <v>9218</v>
      </c>
      <c r="J2146" s="554" t="s">
        <v>9219</v>
      </c>
      <c r="K2146" s="554" t="s">
        <v>9219</v>
      </c>
      <c r="L2146" s="537" t="s">
        <v>2354</v>
      </c>
    </row>
    <row r="2147" spans="1:12" x14ac:dyDescent="0.2">
      <c r="A2147" s="547" t="s">
        <v>220</v>
      </c>
      <c r="B2147" s="547" t="s">
        <v>2351</v>
      </c>
      <c r="C2147" s="554" t="s">
        <v>4690</v>
      </c>
      <c r="D2147" s="554" t="s">
        <v>4691</v>
      </c>
      <c r="E2147" s="554" t="s">
        <v>9585</v>
      </c>
      <c r="F2147" s="571">
        <v>25</v>
      </c>
      <c r="G2147" s="572">
        <v>0.62900999999999996</v>
      </c>
      <c r="H2147" s="545">
        <v>15.725249999999999</v>
      </c>
      <c r="I2147" s="554" t="s">
        <v>9218</v>
      </c>
      <c r="J2147" s="554" t="s">
        <v>9219</v>
      </c>
      <c r="K2147" s="554" t="s">
        <v>9219</v>
      </c>
      <c r="L2147" s="537" t="s">
        <v>2354</v>
      </c>
    </row>
    <row r="2148" spans="1:12" x14ac:dyDescent="0.2">
      <c r="A2148" s="547" t="s">
        <v>220</v>
      </c>
      <c r="B2148" s="547" t="s">
        <v>2351</v>
      </c>
      <c r="C2148" s="554" t="s">
        <v>4692</v>
      </c>
      <c r="D2148" s="554" t="s">
        <v>4693</v>
      </c>
      <c r="E2148" s="554" t="s">
        <v>9585</v>
      </c>
      <c r="F2148" s="571">
        <v>25</v>
      </c>
      <c r="G2148" s="572">
        <v>0.2465</v>
      </c>
      <c r="H2148" s="545">
        <v>6.1624999999999996</v>
      </c>
      <c r="I2148" s="554" t="s">
        <v>9218</v>
      </c>
      <c r="J2148" s="554" t="s">
        <v>9219</v>
      </c>
      <c r="K2148" s="554" t="s">
        <v>9219</v>
      </c>
      <c r="L2148" s="537" t="s">
        <v>2354</v>
      </c>
    </row>
    <row r="2149" spans="1:12" x14ac:dyDescent="0.2">
      <c r="A2149" s="547" t="s">
        <v>220</v>
      </c>
      <c r="B2149" s="547" t="s">
        <v>2351</v>
      </c>
      <c r="C2149" s="554" t="s">
        <v>4694</v>
      </c>
      <c r="D2149" s="554" t="s">
        <v>4695</v>
      </c>
      <c r="E2149" s="554" t="s">
        <v>9585</v>
      </c>
      <c r="F2149" s="571">
        <v>5</v>
      </c>
      <c r="G2149" s="572">
        <v>3.4</v>
      </c>
      <c r="H2149" s="545">
        <v>17</v>
      </c>
      <c r="I2149" s="554" t="s">
        <v>9218</v>
      </c>
      <c r="J2149" s="554" t="s">
        <v>9219</v>
      </c>
      <c r="K2149" s="554" t="s">
        <v>9219</v>
      </c>
      <c r="L2149" s="537" t="s">
        <v>2354</v>
      </c>
    </row>
    <row r="2150" spans="1:12" x14ac:dyDescent="0.2">
      <c r="A2150" s="547" t="s">
        <v>220</v>
      </c>
      <c r="B2150" s="547" t="s">
        <v>2351</v>
      </c>
      <c r="C2150" s="554" t="s">
        <v>4696</v>
      </c>
      <c r="D2150" s="554" t="s">
        <v>4697</v>
      </c>
      <c r="E2150" s="554" t="s">
        <v>9585</v>
      </c>
      <c r="F2150" s="571">
        <v>136</v>
      </c>
      <c r="G2150" s="572">
        <v>1.0529999999999999</v>
      </c>
      <c r="H2150" s="545">
        <v>143.208</v>
      </c>
      <c r="I2150" s="554" t="s">
        <v>9218</v>
      </c>
      <c r="J2150" s="554" t="s">
        <v>9219</v>
      </c>
      <c r="K2150" s="554" t="s">
        <v>9219</v>
      </c>
      <c r="L2150" s="537" t="s">
        <v>2354</v>
      </c>
    </row>
    <row r="2151" spans="1:12" x14ac:dyDescent="0.2">
      <c r="A2151" s="547" t="s">
        <v>220</v>
      </c>
      <c r="B2151" s="547" t="s">
        <v>2351</v>
      </c>
      <c r="C2151" s="554" t="s">
        <v>4698</v>
      </c>
      <c r="D2151" s="554" t="s">
        <v>4699</v>
      </c>
      <c r="E2151" s="554" t="s">
        <v>9585</v>
      </c>
      <c r="F2151" s="571">
        <v>134</v>
      </c>
      <c r="G2151" s="572">
        <v>0.998</v>
      </c>
      <c r="H2151" s="545">
        <v>133.732</v>
      </c>
      <c r="I2151" s="554" t="s">
        <v>9218</v>
      </c>
      <c r="J2151" s="554" t="s">
        <v>9219</v>
      </c>
      <c r="K2151" s="554" t="s">
        <v>9219</v>
      </c>
      <c r="L2151" s="537" t="s">
        <v>2354</v>
      </c>
    </row>
    <row r="2152" spans="1:12" x14ac:dyDescent="0.2">
      <c r="A2152" s="547" t="s">
        <v>220</v>
      </c>
      <c r="B2152" s="547" t="s">
        <v>2351</v>
      </c>
      <c r="C2152" s="554" t="s">
        <v>4700</v>
      </c>
      <c r="D2152" s="554" t="s">
        <v>4701</v>
      </c>
      <c r="E2152" s="554" t="s">
        <v>9585</v>
      </c>
      <c r="F2152" s="571">
        <v>133</v>
      </c>
      <c r="G2152" s="572">
        <v>2.5437308868501526E-2</v>
      </c>
      <c r="H2152" s="545">
        <v>3.3831620795107029</v>
      </c>
      <c r="I2152" s="554" t="s">
        <v>9218</v>
      </c>
      <c r="J2152" s="554" t="s">
        <v>9219</v>
      </c>
      <c r="K2152" s="554" t="s">
        <v>9219</v>
      </c>
      <c r="L2152" s="537" t="s">
        <v>2354</v>
      </c>
    </row>
    <row r="2153" spans="1:12" x14ac:dyDescent="0.2">
      <c r="A2153" s="547" t="s">
        <v>220</v>
      </c>
      <c r="B2153" s="547" t="s">
        <v>2351</v>
      </c>
      <c r="C2153" s="554" t="s">
        <v>4702</v>
      </c>
      <c r="D2153" s="554" t="s">
        <v>4703</v>
      </c>
      <c r="E2153" s="554" t="s">
        <v>9585</v>
      </c>
      <c r="F2153" s="571">
        <v>190</v>
      </c>
      <c r="G2153" s="572">
        <v>0.11600000000000001</v>
      </c>
      <c r="H2153" s="545">
        <v>22.040000000000003</v>
      </c>
      <c r="I2153" s="554" t="s">
        <v>9218</v>
      </c>
      <c r="J2153" s="554" t="s">
        <v>9219</v>
      </c>
      <c r="K2153" s="554" t="s">
        <v>9219</v>
      </c>
      <c r="L2153" s="537" t="s">
        <v>2354</v>
      </c>
    </row>
    <row r="2154" spans="1:12" x14ac:dyDescent="0.2">
      <c r="A2154" s="547" t="s">
        <v>220</v>
      </c>
      <c r="B2154" s="547" t="s">
        <v>2351</v>
      </c>
      <c r="C2154" s="554" t="s">
        <v>4704</v>
      </c>
      <c r="D2154" s="554" t="s">
        <v>4705</v>
      </c>
      <c r="E2154" s="554" t="s">
        <v>9585</v>
      </c>
      <c r="F2154" s="571">
        <v>3</v>
      </c>
      <c r="G2154" s="572">
        <v>0.94299999999999995</v>
      </c>
      <c r="H2154" s="545">
        <v>2.8289999999999997</v>
      </c>
      <c r="I2154" s="554" t="s">
        <v>9218</v>
      </c>
      <c r="J2154" s="554" t="s">
        <v>9219</v>
      </c>
      <c r="K2154" s="554" t="s">
        <v>9219</v>
      </c>
      <c r="L2154" s="537" t="s">
        <v>2354</v>
      </c>
    </row>
    <row r="2155" spans="1:12" x14ac:dyDescent="0.2">
      <c r="A2155" s="547" t="s">
        <v>220</v>
      </c>
      <c r="B2155" s="547" t="s">
        <v>2351</v>
      </c>
      <c r="C2155" s="554" t="s">
        <v>4706</v>
      </c>
      <c r="D2155" s="554" t="s">
        <v>4707</v>
      </c>
      <c r="E2155" s="554" t="s">
        <v>9585</v>
      </c>
      <c r="F2155" s="571">
        <v>1</v>
      </c>
      <c r="G2155" s="572">
        <v>30.809699999999999</v>
      </c>
      <c r="H2155" s="545">
        <v>30.809699999999999</v>
      </c>
      <c r="I2155" s="554" t="s">
        <v>9218</v>
      </c>
      <c r="J2155" s="554" t="s">
        <v>9219</v>
      </c>
      <c r="K2155" s="554" t="s">
        <v>9219</v>
      </c>
      <c r="L2155" s="537" t="s">
        <v>2354</v>
      </c>
    </row>
    <row r="2156" spans="1:12" x14ac:dyDescent="0.2">
      <c r="A2156" s="547" t="s">
        <v>220</v>
      </c>
      <c r="B2156" s="547" t="s">
        <v>2351</v>
      </c>
      <c r="C2156" s="554"/>
      <c r="D2156" s="554" t="s">
        <v>9368</v>
      </c>
      <c r="E2156" s="554" t="s">
        <v>9585</v>
      </c>
      <c r="F2156" s="571">
        <v>154</v>
      </c>
      <c r="G2156" s="572">
        <v>0.11799999999999999</v>
      </c>
      <c r="H2156" s="545">
        <v>18.172000000000001</v>
      </c>
      <c r="I2156" s="554" t="s">
        <v>9218</v>
      </c>
      <c r="J2156" s="554" t="s">
        <v>9219</v>
      </c>
      <c r="K2156" s="554" t="s">
        <v>9219</v>
      </c>
      <c r="L2156" s="537" t="s">
        <v>2354</v>
      </c>
    </row>
    <row r="2157" spans="1:12" x14ac:dyDescent="0.2">
      <c r="A2157" s="547" t="s">
        <v>220</v>
      </c>
      <c r="B2157" s="547" t="s">
        <v>2351</v>
      </c>
      <c r="C2157" s="554" t="s">
        <v>4708</v>
      </c>
      <c r="D2157" s="554" t="s">
        <v>4709</v>
      </c>
      <c r="E2157" s="554" t="s">
        <v>9585</v>
      </c>
      <c r="F2157" s="571">
        <v>104</v>
      </c>
      <c r="G2157" s="572">
        <v>0.30499999999999999</v>
      </c>
      <c r="H2157" s="545">
        <v>31.72</v>
      </c>
      <c r="I2157" s="554" t="s">
        <v>9218</v>
      </c>
      <c r="J2157" s="554" t="s">
        <v>9219</v>
      </c>
      <c r="K2157" s="554" t="s">
        <v>9219</v>
      </c>
      <c r="L2157" s="537" t="s">
        <v>2354</v>
      </c>
    </row>
    <row r="2158" spans="1:12" x14ac:dyDescent="0.2">
      <c r="A2158" s="547" t="s">
        <v>220</v>
      </c>
      <c r="B2158" s="547" t="s">
        <v>2351</v>
      </c>
      <c r="C2158" s="554" t="s">
        <v>4710</v>
      </c>
      <c r="D2158" s="554" t="s">
        <v>4711</v>
      </c>
      <c r="E2158" s="554" t="s">
        <v>9585</v>
      </c>
      <c r="F2158" s="571">
        <v>40</v>
      </c>
      <c r="G2158" s="572">
        <v>0.38613999999999998</v>
      </c>
      <c r="H2158" s="545">
        <v>15.445599999999999</v>
      </c>
      <c r="I2158" s="554" t="s">
        <v>9218</v>
      </c>
      <c r="J2158" s="554" t="s">
        <v>9219</v>
      </c>
      <c r="K2158" s="554" t="s">
        <v>9219</v>
      </c>
      <c r="L2158" s="537" t="s">
        <v>2354</v>
      </c>
    </row>
    <row r="2159" spans="1:12" x14ac:dyDescent="0.2">
      <c r="A2159" s="547" t="s">
        <v>220</v>
      </c>
      <c r="B2159" s="547" t="s">
        <v>2351</v>
      </c>
      <c r="C2159" s="554" t="s">
        <v>4712</v>
      </c>
      <c r="D2159" s="554" t="s">
        <v>4713</v>
      </c>
      <c r="E2159" s="554" t="s">
        <v>9585</v>
      </c>
      <c r="F2159" s="571">
        <v>28</v>
      </c>
      <c r="G2159" s="572">
        <v>1.0506</v>
      </c>
      <c r="H2159" s="545">
        <v>29.416799999999999</v>
      </c>
      <c r="I2159" s="554" t="s">
        <v>9218</v>
      </c>
      <c r="J2159" s="554" t="s">
        <v>9219</v>
      </c>
      <c r="K2159" s="554" t="s">
        <v>9219</v>
      </c>
      <c r="L2159" s="537" t="s">
        <v>2354</v>
      </c>
    </row>
    <row r="2160" spans="1:12" x14ac:dyDescent="0.2">
      <c r="A2160" s="547" t="s">
        <v>220</v>
      </c>
      <c r="B2160" s="547" t="s">
        <v>2351</v>
      </c>
      <c r="C2160" s="554" t="s">
        <v>4714</v>
      </c>
      <c r="D2160" s="554" t="s">
        <v>4715</v>
      </c>
      <c r="E2160" s="554" t="s">
        <v>9585</v>
      </c>
      <c r="F2160" s="571">
        <v>320</v>
      </c>
      <c r="G2160" s="572">
        <v>0.32140750000000007</v>
      </c>
      <c r="H2160" s="545">
        <v>102.85040000000002</v>
      </c>
      <c r="I2160" s="554" t="s">
        <v>9218</v>
      </c>
      <c r="J2160" s="554" t="s">
        <v>9219</v>
      </c>
      <c r="K2160" s="554" t="s">
        <v>9219</v>
      </c>
      <c r="L2160" s="537" t="s">
        <v>2354</v>
      </c>
    </row>
    <row r="2161" spans="1:12" x14ac:dyDescent="0.2">
      <c r="A2161" s="547" t="s">
        <v>220</v>
      </c>
      <c r="B2161" s="547" t="s">
        <v>2351</v>
      </c>
      <c r="C2161" s="554" t="s">
        <v>4716</v>
      </c>
      <c r="D2161" s="554" t="s">
        <v>4717</v>
      </c>
      <c r="E2161" s="554" t="s">
        <v>9585</v>
      </c>
      <c r="F2161" s="571">
        <v>75</v>
      </c>
      <c r="G2161" s="572">
        <v>0.17799999999999999</v>
      </c>
      <c r="H2161" s="545">
        <v>13.35</v>
      </c>
      <c r="I2161" s="554" t="s">
        <v>9218</v>
      </c>
      <c r="J2161" s="554" t="s">
        <v>9219</v>
      </c>
      <c r="K2161" s="554" t="s">
        <v>9219</v>
      </c>
      <c r="L2161" s="537" t="s">
        <v>2354</v>
      </c>
    </row>
    <row r="2162" spans="1:12" x14ac:dyDescent="0.2">
      <c r="A2162" s="547" t="s">
        <v>220</v>
      </c>
      <c r="B2162" s="547" t="s">
        <v>2351</v>
      </c>
      <c r="C2162" s="554" t="s">
        <v>4718</v>
      </c>
      <c r="D2162" s="554" t="s">
        <v>4719</v>
      </c>
      <c r="E2162" s="554" t="s">
        <v>9585</v>
      </c>
      <c r="F2162" s="571">
        <v>24</v>
      </c>
      <c r="G2162" s="572">
        <v>0.51200000000000001</v>
      </c>
      <c r="H2162" s="545">
        <v>12.288</v>
      </c>
      <c r="I2162" s="554" t="s">
        <v>9218</v>
      </c>
      <c r="J2162" s="554" t="s">
        <v>9219</v>
      </c>
      <c r="K2162" s="554" t="s">
        <v>9219</v>
      </c>
      <c r="L2162" s="537" t="s">
        <v>2354</v>
      </c>
    </row>
    <row r="2163" spans="1:12" x14ac:dyDescent="0.2">
      <c r="A2163" s="547" t="s">
        <v>220</v>
      </c>
      <c r="B2163" s="547" t="s">
        <v>2351</v>
      </c>
      <c r="C2163" s="554" t="s">
        <v>4720</v>
      </c>
      <c r="D2163" s="554" t="s">
        <v>4721</v>
      </c>
      <c r="E2163" s="554" t="s">
        <v>9585</v>
      </c>
      <c r="F2163" s="571">
        <v>27</v>
      </c>
      <c r="G2163" s="572">
        <v>0.44900000000000007</v>
      </c>
      <c r="H2163" s="545">
        <v>12.123000000000001</v>
      </c>
      <c r="I2163" s="554" t="s">
        <v>9218</v>
      </c>
      <c r="J2163" s="554" t="s">
        <v>9219</v>
      </c>
      <c r="K2163" s="554" t="s">
        <v>9219</v>
      </c>
      <c r="L2163" s="537" t="s">
        <v>2354</v>
      </c>
    </row>
    <row r="2164" spans="1:12" x14ac:dyDescent="0.2">
      <c r="A2164" s="547" t="s">
        <v>220</v>
      </c>
      <c r="B2164" s="547" t="s">
        <v>2351</v>
      </c>
      <c r="C2164" s="554" t="s">
        <v>4722</v>
      </c>
      <c r="D2164" s="554" t="s">
        <v>4723</v>
      </c>
      <c r="E2164" s="554" t="s">
        <v>9585</v>
      </c>
      <c r="F2164" s="571">
        <v>260</v>
      </c>
      <c r="G2164" s="572">
        <v>9.5399999999999985E-2</v>
      </c>
      <c r="H2164" s="545">
        <v>24.803999999999995</v>
      </c>
      <c r="I2164" s="554" t="s">
        <v>9218</v>
      </c>
      <c r="J2164" s="554" t="s">
        <v>9219</v>
      </c>
      <c r="K2164" s="554" t="s">
        <v>9219</v>
      </c>
      <c r="L2164" s="537" t="s">
        <v>2354</v>
      </c>
    </row>
    <row r="2165" spans="1:12" x14ac:dyDescent="0.2">
      <c r="A2165" s="547" t="s">
        <v>220</v>
      </c>
      <c r="B2165" s="547" t="s">
        <v>2351</v>
      </c>
      <c r="C2165" s="554" t="s">
        <v>4724</v>
      </c>
      <c r="D2165" s="554" t="s">
        <v>4725</v>
      </c>
      <c r="E2165" s="554" t="s">
        <v>9585</v>
      </c>
      <c r="F2165" s="571">
        <v>40</v>
      </c>
      <c r="G2165" s="572">
        <v>0.42159999999999997</v>
      </c>
      <c r="H2165" s="545">
        <v>16.863999999999997</v>
      </c>
      <c r="I2165" s="554" t="s">
        <v>9218</v>
      </c>
      <c r="J2165" s="554" t="s">
        <v>9219</v>
      </c>
      <c r="K2165" s="554" t="s">
        <v>9219</v>
      </c>
      <c r="L2165" s="537" t="s">
        <v>2354</v>
      </c>
    </row>
    <row r="2166" spans="1:12" x14ac:dyDescent="0.2">
      <c r="A2166" s="547" t="s">
        <v>220</v>
      </c>
      <c r="B2166" s="547" t="s">
        <v>2351</v>
      </c>
      <c r="C2166" s="554" t="s">
        <v>4726</v>
      </c>
      <c r="D2166" s="554" t="s">
        <v>4727</v>
      </c>
      <c r="E2166" s="554" t="s">
        <v>9585</v>
      </c>
      <c r="F2166" s="571">
        <v>140</v>
      </c>
      <c r="G2166" s="572">
        <v>0.65800000000000003</v>
      </c>
      <c r="H2166" s="545">
        <v>92.12</v>
      </c>
      <c r="I2166" s="554" t="s">
        <v>9218</v>
      </c>
      <c r="J2166" s="554" t="s">
        <v>9219</v>
      </c>
      <c r="K2166" s="554" t="s">
        <v>9219</v>
      </c>
      <c r="L2166" s="537" t="s">
        <v>2354</v>
      </c>
    </row>
    <row r="2167" spans="1:12" x14ac:dyDescent="0.2">
      <c r="A2167" s="547" t="s">
        <v>220</v>
      </c>
      <c r="B2167" s="547" t="s">
        <v>2351</v>
      </c>
      <c r="C2167" s="554" t="s">
        <v>4728</v>
      </c>
      <c r="D2167" s="554" t="s">
        <v>4729</v>
      </c>
      <c r="E2167" s="554" t="s">
        <v>9585</v>
      </c>
      <c r="F2167" s="571">
        <v>120</v>
      </c>
      <c r="G2167" s="572">
        <v>4.6519578313253014</v>
      </c>
      <c r="H2167" s="545">
        <v>558.23493975903614</v>
      </c>
      <c r="I2167" s="554" t="s">
        <v>9218</v>
      </c>
      <c r="J2167" s="554" t="s">
        <v>9219</v>
      </c>
      <c r="K2167" s="554" t="s">
        <v>9219</v>
      </c>
      <c r="L2167" s="537" t="s">
        <v>2354</v>
      </c>
    </row>
    <row r="2168" spans="1:12" x14ac:dyDescent="0.2">
      <c r="A2168" s="547" t="s">
        <v>220</v>
      </c>
      <c r="B2168" s="547" t="s">
        <v>2351</v>
      </c>
      <c r="C2168" s="554" t="s">
        <v>4730</v>
      </c>
      <c r="D2168" s="554" t="s">
        <v>4731</v>
      </c>
      <c r="E2168" s="554" t="s">
        <v>9585</v>
      </c>
      <c r="F2168" s="571">
        <v>10</v>
      </c>
      <c r="G2168" s="572">
        <v>3.15</v>
      </c>
      <c r="H2168" s="545">
        <v>31.5</v>
      </c>
      <c r="I2168" s="554" t="s">
        <v>9218</v>
      </c>
      <c r="J2168" s="554" t="s">
        <v>9219</v>
      </c>
      <c r="K2168" s="554" t="s">
        <v>9219</v>
      </c>
      <c r="L2168" s="537" t="s">
        <v>2354</v>
      </c>
    </row>
    <row r="2169" spans="1:12" x14ac:dyDescent="0.2">
      <c r="A2169" s="547" t="s">
        <v>220</v>
      </c>
      <c r="B2169" s="547" t="s">
        <v>2351</v>
      </c>
      <c r="C2169" s="554" t="s">
        <v>4732</v>
      </c>
      <c r="D2169" s="554" t="s">
        <v>4733</v>
      </c>
      <c r="E2169" s="554" t="s">
        <v>9585</v>
      </c>
      <c r="F2169" s="571">
        <v>162</v>
      </c>
      <c r="G2169" s="572">
        <v>0.13600000000000001</v>
      </c>
      <c r="H2169" s="545">
        <v>22.032</v>
      </c>
      <c r="I2169" s="554" t="s">
        <v>9218</v>
      </c>
      <c r="J2169" s="554" t="s">
        <v>9219</v>
      </c>
      <c r="K2169" s="554" t="s">
        <v>9219</v>
      </c>
      <c r="L2169" s="537" t="s">
        <v>2354</v>
      </c>
    </row>
    <row r="2170" spans="1:12" x14ac:dyDescent="0.2">
      <c r="A2170" s="547" t="s">
        <v>220</v>
      </c>
      <c r="B2170" s="547" t="s">
        <v>2351</v>
      </c>
      <c r="C2170" s="554" t="s">
        <v>4734</v>
      </c>
      <c r="D2170" s="554" t="s">
        <v>4735</v>
      </c>
      <c r="E2170" s="554" t="s">
        <v>9585</v>
      </c>
      <c r="F2170" s="571">
        <v>133</v>
      </c>
      <c r="G2170" s="572">
        <v>0.05</v>
      </c>
      <c r="H2170" s="545">
        <v>6.65</v>
      </c>
      <c r="I2170" s="554" t="s">
        <v>9218</v>
      </c>
      <c r="J2170" s="554" t="s">
        <v>9219</v>
      </c>
      <c r="K2170" s="554" t="s">
        <v>9219</v>
      </c>
      <c r="L2170" s="537" t="s">
        <v>2354</v>
      </c>
    </row>
    <row r="2171" spans="1:12" x14ac:dyDescent="0.2">
      <c r="A2171" s="547" t="s">
        <v>220</v>
      </c>
      <c r="B2171" s="547" t="s">
        <v>2351</v>
      </c>
      <c r="C2171" s="554" t="s">
        <v>4736</v>
      </c>
      <c r="D2171" s="554" t="s">
        <v>4737</v>
      </c>
      <c r="E2171" s="554" t="s">
        <v>9585</v>
      </c>
      <c r="F2171" s="571">
        <v>79</v>
      </c>
      <c r="G2171" s="572">
        <v>0.24</v>
      </c>
      <c r="H2171" s="545">
        <v>18.96</v>
      </c>
      <c r="I2171" s="554" t="s">
        <v>9218</v>
      </c>
      <c r="J2171" s="554" t="s">
        <v>9219</v>
      </c>
      <c r="K2171" s="554" t="s">
        <v>9219</v>
      </c>
      <c r="L2171" s="537" t="s">
        <v>2354</v>
      </c>
    </row>
    <row r="2172" spans="1:12" x14ac:dyDescent="0.2">
      <c r="A2172" s="547" t="s">
        <v>220</v>
      </c>
      <c r="B2172" s="547" t="s">
        <v>2351</v>
      </c>
      <c r="C2172" s="554"/>
      <c r="D2172" s="554" t="s">
        <v>9369</v>
      </c>
      <c r="E2172" s="554" t="s">
        <v>9585</v>
      </c>
      <c r="F2172" s="571">
        <v>152</v>
      </c>
      <c r="G2172" s="572">
        <v>0.23400000000000001</v>
      </c>
      <c r="H2172" s="545">
        <v>35.568000000000005</v>
      </c>
      <c r="I2172" s="554" t="s">
        <v>9218</v>
      </c>
      <c r="J2172" s="554" t="s">
        <v>9219</v>
      </c>
      <c r="K2172" s="554" t="s">
        <v>9219</v>
      </c>
      <c r="L2172" s="537" t="s">
        <v>2354</v>
      </c>
    </row>
    <row r="2173" spans="1:12" x14ac:dyDescent="0.2">
      <c r="A2173" s="547" t="s">
        <v>220</v>
      </c>
      <c r="B2173" s="547" t="s">
        <v>2351</v>
      </c>
      <c r="C2173" s="554" t="s">
        <v>4738</v>
      </c>
      <c r="D2173" s="554" t="s">
        <v>4739</v>
      </c>
      <c r="E2173" s="554" t="s">
        <v>9585</v>
      </c>
      <c r="F2173" s="571">
        <v>102</v>
      </c>
      <c r="G2173" s="572">
        <v>0.2328625924314919</v>
      </c>
      <c r="H2173" s="545">
        <v>23.751984428012175</v>
      </c>
      <c r="I2173" s="554" t="s">
        <v>9218</v>
      </c>
      <c r="J2173" s="554" t="s">
        <v>9219</v>
      </c>
      <c r="K2173" s="554" t="s">
        <v>9219</v>
      </c>
      <c r="L2173" s="537" t="s">
        <v>2354</v>
      </c>
    </row>
    <row r="2174" spans="1:12" x14ac:dyDescent="0.2">
      <c r="A2174" s="547" t="s">
        <v>220</v>
      </c>
      <c r="B2174" s="547" t="s">
        <v>2351</v>
      </c>
      <c r="C2174" s="554" t="s">
        <v>4740</v>
      </c>
      <c r="D2174" s="554" t="s">
        <v>4741</v>
      </c>
      <c r="E2174" s="554" t="s">
        <v>9585</v>
      </c>
      <c r="F2174" s="571">
        <v>3</v>
      </c>
      <c r="G2174" s="572">
        <v>23.007999999999999</v>
      </c>
      <c r="H2174" s="545">
        <v>69.024000000000001</v>
      </c>
      <c r="I2174" s="554" t="s">
        <v>9218</v>
      </c>
      <c r="J2174" s="554" t="s">
        <v>9219</v>
      </c>
      <c r="K2174" s="554" t="s">
        <v>9219</v>
      </c>
      <c r="L2174" s="537" t="s">
        <v>2354</v>
      </c>
    </row>
    <row r="2175" spans="1:12" x14ac:dyDescent="0.2">
      <c r="A2175" s="547" t="s">
        <v>220</v>
      </c>
      <c r="B2175" s="547" t="s">
        <v>2351</v>
      </c>
      <c r="C2175" s="554" t="s">
        <v>4742</v>
      </c>
      <c r="D2175" s="554" t="s">
        <v>4743</v>
      </c>
      <c r="E2175" s="554" t="s">
        <v>9585</v>
      </c>
      <c r="F2175" s="571">
        <v>2</v>
      </c>
      <c r="G2175" s="572">
        <v>36.194000000000003</v>
      </c>
      <c r="H2175" s="545">
        <v>72.388000000000005</v>
      </c>
      <c r="I2175" s="554" t="s">
        <v>9218</v>
      </c>
      <c r="J2175" s="554" t="s">
        <v>9219</v>
      </c>
      <c r="K2175" s="554" t="s">
        <v>9219</v>
      </c>
      <c r="L2175" s="537" t="s">
        <v>2354</v>
      </c>
    </row>
    <row r="2176" spans="1:12" x14ac:dyDescent="0.2">
      <c r="A2176" s="547" t="s">
        <v>220</v>
      </c>
      <c r="B2176" s="547" t="s">
        <v>2351</v>
      </c>
      <c r="C2176" s="554" t="s">
        <v>4744</v>
      </c>
      <c r="D2176" s="554" t="s">
        <v>4745</v>
      </c>
      <c r="E2176" s="554" t="s">
        <v>9585</v>
      </c>
      <c r="F2176" s="571">
        <v>114</v>
      </c>
      <c r="G2176" s="572">
        <v>30.584700000000002</v>
      </c>
      <c r="H2176" s="545">
        <v>3486.6558</v>
      </c>
      <c r="I2176" s="554" t="s">
        <v>9218</v>
      </c>
      <c r="J2176" s="554" t="s">
        <v>9219</v>
      </c>
      <c r="K2176" s="554" t="s">
        <v>9219</v>
      </c>
      <c r="L2176" s="537" t="s">
        <v>2354</v>
      </c>
    </row>
    <row r="2177" spans="1:12" x14ac:dyDescent="0.2">
      <c r="A2177" s="547" t="s">
        <v>220</v>
      </c>
      <c r="B2177" s="547" t="s">
        <v>2351</v>
      </c>
      <c r="C2177" s="554" t="s">
        <v>4748</v>
      </c>
      <c r="D2177" s="554" t="s">
        <v>4749</v>
      </c>
      <c r="E2177" s="554" t="s">
        <v>9585</v>
      </c>
      <c r="F2177" s="571">
        <v>18</v>
      </c>
      <c r="G2177" s="572">
        <v>0.39</v>
      </c>
      <c r="H2177" s="545">
        <v>7.0200000000000005</v>
      </c>
      <c r="I2177" s="554" t="s">
        <v>9218</v>
      </c>
      <c r="J2177" s="554" t="s">
        <v>9219</v>
      </c>
      <c r="K2177" s="554" t="s">
        <v>9219</v>
      </c>
      <c r="L2177" s="537" t="s">
        <v>2354</v>
      </c>
    </row>
    <row r="2178" spans="1:12" x14ac:dyDescent="0.2">
      <c r="A2178" s="547" t="s">
        <v>220</v>
      </c>
      <c r="B2178" s="547" t="s">
        <v>2351</v>
      </c>
      <c r="C2178" s="554" t="s">
        <v>4752</v>
      </c>
      <c r="D2178" s="554" t="s">
        <v>4753</v>
      </c>
      <c r="E2178" s="554" t="s">
        <v>9585</v>
      </c>
      <c r="F2178" s="571">
        <v>36</v>
      </c>
      <c r="G2178" s="572">
        <v>5.5488</v>
      </c>
      <c r="H2178" s="545">
        <v>199.7568</v>
      </c>
      <c r="I2178" s="554" t="s">
        <v>9218</v>
      </c>
      <c r="J2178" s="554" t="s">
        <v>9219</v>
      </c>
      <c r="K2178" s="554" t="s">
        <v>9219</v>
      </c>
      <c r="L2178" s="537" t="s">
        <v>2354</v>
      </c>
    </row>
    <row r="2179" spans="1:12" x14ac:dyDescent="0.2">
      <c r="A2179" s="547" t="s">
        <v>220</v>
      </c>
      <c r="B2179" s="547" t="s">
        <v>2351</v>
      </c>
      <c r="C2179" s="554" t="s">
        <v>4754</v>
      </c>
      <c r="D2179" s="554" t="s">
        <v>4755</v>
      </c>
      <c r="E2179" s="554" t="s">
        <v>9585</v>
      </c>
      <c r="F2179" s="571">
        <v>203</v>
      </c>
      <c r="G2179" s="572">
        <v>9.3700000000000006E-2</v>
      </c>
      <c r="H2179" s="545">
        <v>19.021100000000001</v>
      </c>
      <c r="I2179" s="554" t="s">
        <v>9218</v>
      </c>
      <c r="J2179" s="554" t="s">
        <v>9219</v>
      </c>
      <c r="K2179" s="554" t="s">
        <v>9219</v>
      </c>
      <c r="L2179" s="537" t="s">
        <v>2354</v>
      </c>
    </row>
    <row r="2180" spans="1:12" x14ac:dyDescent="0.2">
      <c r="A2180" s="547" t="s">
        <v>220</v>
      </c>
      <c r="B2180" s="547" t="s">
        <v>2351</v>
      </c>
      <c r="C2180" s="554" t="s">
        <v>4756</v>
      </c>
      <c r="D2180" s="554" t="s">
        <v>4757</v>
      </c>
      <c r="E2180" s="554" t="s">
        <v>9585</v>
      </c>
      <c r="F2180" s="571">
        <v>328</v>
      </c>
      <c r="G2180" s="572">
        <v>8.4000000000000005E-2</v>
      </c>
      <c r="H2180" s="545">
        <v>27.552000000000003</v>
      </c>
      <c r="I2180" s="554" t="s">
        <v>9218</v>
      </c>
      <c r="J2180" s="554" t="s">
        <v>9219</v>
      </c>
      <c r="K2180" s="554" t="s">
        <v>9219</v>
      </c>
      <c r="L2180" s="537" t="s">
        <v>2354</v>
      </c>
    </row>
    <row r="2181" spans="1:12" x14ac:dyDescent="0.2">
      <c r="A2181" s="547" t="s">
        <v>220</v>
      </c>
      <c r="B2181" s="547" t="s">
        <v>2351</v>
      </c>
      <c r="C2181" s="554" t="s">
        <v>4758</v>
      </c>
      <c r="D2181" s="554" t="s">
        <v>4759</v>
      </c>
      <c r="E2181" s="554" t="s">
        <v>9585</v>
      </c>
      <c r="F2181" s="571">
        <v>102</v>
      </c>
      <c r="G2181" s="572">
        <v>5.8009999999999999E-2</v>
      </c>
      <c r="H2181" s="545">
        <v>5.9170199999999999</v>
      </c>
      <c r="I2181" s="554" t="s">
        <v>9218</v>
      </c>
      <c r="J2181" s="554" t="s">
        <v>9219</v>
      </c>
      <c r="K2181" s="554" t="s">
        <v>9219</v>
      </c>
      <c r="L2181" s="537" t="s">
        <v>2354</v>
      </c>
    </row>
    <row r="2182" spans="1:12" x14ac:dyDescent="0.2">
      <c r="A2182" s="547" t="s">
        <v>220</v>
      </c>
      <c r="B2182" s="547" t="s">
        <v>2351</v>
      </c>
      <c r="C2182" s="554" t="s">
        <v>4760</v>
      </c>
      <c r="D2182" s="554" t="s">
        <v>4761</v>
      </c>
      <c r="E2182" s="554" t="s">
        <v>9585</v>
      </c>
      <c r="F2182" s="571">
        <v>348</v>
      </c>
      <c r="G2182" s="572">
        <v>0.127</v>
      </c>
      <c r="H2182" s="545">
        <v>44.195999999999998</v>
      </c>
      <c r="I2182" s="554" t="s">
        <v>9218</v>
      </c>
      <c r="J2182" s="554" t="s">
        <v>9219</v>
      </c>
      <c r="K2182" s="554" t="s">
        <v>9219</v>
      </c>
      <c r="L2182" s="537" t="s">
        <v>2354</v>
      </c>
    </row>
    <row r="2183" spans="1:12" x14ac:dyDescent="0.2">
      <c r="A2183" s="547" t="s">
        <v>220</v>
      </c>
      <c r="B2183" s="547" t="s">
        <v>2351</v>
      </c>
      <c r="C2183" s="554" t="s">
        <v>4762</v>
      </c>
      <c r="D2183" s="554" t="s">
        <v>4763</v>
      </c>
      <c r="E2183" s="554" t="s">
        <v>9585</v>
      </c>
      <c r="F2183" s="571">
        <v>74</v>
      </c>
      <c r="G2183" s="572">
        <v>0.81799999999999995</v>
      </c>
      <c r="H2183" s="545">
        <v>60.531999999999996</v>
      </c>
      <c r="I2183" s="554" t="s">
        <v>9218</v>
      </c>
      <c r="J2183" s="554" t="s">
        <v>9219</v>
      </c>
      <c r="K2183" s="554" t="s">
        <v>9219</v>
      </c>
      <c r="L2183" s="537" t="s">
        <v>2354</v>
      </c>
    </row>
    <row r="2184" spans="1:12" x14ac:dyDescent="0.2">
      <c r="A2184" s="547" t="s">
        <v>220</v>
      </c>
      <c r="B2184" s="547" t="s">
        <v>2351</v>
      </c>
      <c r="C2184" s="554" t="s">
        <v>4764</v>
      </c>
      <c r="D2184" s="554" t="s">
        <v>4765</v>
      </c>
      <c r="E2184" s="554" t="s">
        <v>9585</v>
      </c>
      <c r="F2184" s="571">
        <v>501</v>
      </c>
      <c r="G2184" s="572">
        <v>3.3000000000000002E-2</v>
      </c>
      <c r="H2184" s="545">
        <v>16.533000000000001</v>
      </c>
      <c r="I2184" s="554" t="s">
        <v>9218</v>
      </c>
      <c r="J2184" s="554" t="s">
        <v>9219</v>
      </c>
      <c r="K2184" s="554" t="s">
        <v>9219</v>
      </c>
      <c r="L2184" s="537" t="s">
        <v>2354</v>
      </c>
    </row>
    <row r="2185" spans="1:12" x14ac:dyDescent="0.2">
      <c r="A2185" s="547" t="s">
        <v>220</v>
      </c>
      <c r="B2185" s="547" t="s">
        <v>2351</v>
      </c>
      <c r="C2185" s="554" t="s">
        <v>4766</v>
      </c>
      <c r="D2185" s="554" t="s">
        <v>4767</v>
      </c>
      <c r="E2185" s="554" t="s">
        <v>9585</v>
      </c>
      <c r="F2185" s="571">
        <v>30</v>
      </c>
      <c r="G2185" s="572">
        <v>0.05</v>
      </c>
      <c r="H2185" s="545">
        <v>1.5</v>
      </c>
      <c r="I2185" s="554" t="s">
        <v>9218</v>
      </c>
      <c r="J2185" s="554" t="s">
        <v>9219</v>
      </c>
      <c r="K2185" s="554" t="s">
        <v>9219</v>
      </c>
      <c r="L2185" s="537" t="s">
        <v>2354</v>
      </c>
    </row>
    <row r="2186" spans="1:12" x14ac:dyDescent="0.2">
      <c r="A2186" s="547" t="s">
        <v>220</v>
      </c>
      <c r="B2186" s="547" t="s">
        <v>2351</v>
      </c>
      <c r="C2186" s="554" t="s">
        <v>4768</v>
      </c>
      <c r="D2186" s="554" t="s">
        <v>4769</v>
      </c>
      <c r="E2186" s="554" t="s">
        <v>9585</v>
      </c>
      <c r="F2186" s="571">
        <v>13</v>
      </c>
      <c r="G2186" s="572">
        <v>0.89280000000000004</v>
      </c>
      <c r="H2186" s="545">
        <v>11.606400000000001</v>
      </c>
      <c r="I2186" s="554" t="s">
        <v>9218</v>
      </c>
      <c r="J2186" s="554" t="s">
        <v>9219</v>
      </c>
      <c r="K2186" s="554" t="s">
        <v>9219</v>
      </c>
      <c r="L2186" s="537" t="s">
        <v>2354</v>
      </c>
    </row>
    <row r="2187" spans="1:12" x14ac:dyDescent="0.2">
      <c r="A2187" s="547" t="s">
        <v>220</v>
      </c>
      <c r="B2187" s="547" t="s">
        <v>2351</v>
      </c>
      <c r="C2187" s="554" t="s">
        <v>4772</v>
      </c>
      <c r="D2187" s="554" t="s">
        <v>4773</v>
      </c>
      <c r="E2187" s="554" t="s">
        <v>9585</v>
      </c>
      <c r="F2187" s="571">
        <v>140</v>
      </c>
      <c r="G2187" s="572">
        <v>0.26774999999999999</v>
      </c>
      <c r="H2187" s="545">
        <v>37.484999999999999</v>
      </c>
      <c r="I2187" s="554" t="s">
        <v>9218</v>
      </c>
      <c r="J2187" s="554" t="s">
        <v>9219</v>
      </c>
      <c r="K2187" s="554" t="s">
        <v>9219</v>
      </c>
      <c r="L2187" s="537" t="s">
        <v>2354</v>
      </c>
    </row>
    <row r="2188" spans="1:12" x14ac:dyDescent="0.2">
      <c r="A2188" s="547" t="s">
        <v>220</v>
      </c>
      <c r="B2188" s="547" t="s">
        <v>2351</v>
      </c>
      <c r="C2188" s="554" t="s">
        <v>4774</v>
      </c>
      <c r="D2188" s="554" t="s">
        <v>4775</v>
      </c>
      <c r="E2188" s="554" t="s">
        <v>9585</v>
      </c>
      <c r="F2188" s="571">
        <v>260</v>
      </c>
      <c r="G2188" s="572">
        <v>1.1559999999999999</v>
      </c>
      <c r="H2188" s="545">
        <v>300.56</v>
      </c>
      <c r="I2188" s="554" t="s">
        <v>9218</v>
      </c>
      <c r="J2188" s="554" t="s">
        <v>9219</v>
      </c>
      <c r="K2188" s="554" t="s">
        <v>9219</v>
      </c>
      <c r="L2188" s="537" t="s">
        <v>2354</v>
      </c>
    </row>
    <row r="2189" spans="1:12" x14ac:dyDescent="0.2">
      <c r="A2189" s="547" t="s">
        <v>220</v>
      </c>
      <c r="B2189" s="547" t="s">
        <v>2351</v>
      </c>
      <c r="C2189" s="554" t="s">
        <v>4776</v>
      </c>
      <c r="D2189" s="554" t="s">
        <v>4777</v>
      </c>
      <c r="E2189" s="554" t="s">
        <v>9585</v>
      </c>
      <c r="F2189" s="571">
        <v>15</v>
      </c>
      <c r="G2189" s="572">
        <v>7.5666666666666664</v>
      </c>
      <c r="H2189" s="545">
        <v>113.5</v>
      </c>
      <c r="I2189" s="554" t="s">
        <v>9218</v>
      </c>
      <c r="J2189" s="554" t="s">
        <v>9219</v>
      </c>
      <c r="K2189" s="554" t="s">
        <v>9219</v>
      </c>
      <c r="L2189" s="537" t="s">
        <v>2354</v>
      </c>
    </row>
    <row r="2190" spans="1:12" x14ac:dyDescent="0.2">
      <c r="A2190" s="547" t="s">
        <v>220</v>
      </c>
      <c r="B2190" s="547" t="s">
        <v>2351</v>
      </c>
      <c r="C2190" s="554" t="s">
        <v>4780</v>
      </c>
      <c r="D2190" s="554" t="s">
        <v>4781</v>
      </c>
      <c r="E2190" s="554" t="s">
        <v>9585</v>
      </c>
      <c r="F2190" s="571">
        <v>102</v>
      </c>
      <c r="G2190" s="572">
        <v>0.122</v>
      </c>
      <c r="H2190" s="545">
        <v>12.443999999999999</v>
      </c>
      <c r="I2190" s="554" t="s">
        <v>9218</v>
      </c>
      <c r="J2190" s="554" t="s">
        <v>9219</v>
      </c>
      <c r="K2190" s="554" t="s">
        <v>9219</v>
      </c>
      <c r="L2190" s="537" t="s">
        <v>2354</v>
      </c>
    </row>
    <row r="2191" spans="1:12" x14ac:dyDescent="0.2">
      <c r="A2191" s="547" t="s">
        <v>220</v>
      </c>
      <c r="B2191" s="547" t="s">
        <v>2351</v>
      </c>
      <c r="C2191" s="554" t="s">
        <v>4782</v>
      </c>
      <c r="D2191" s="554" t="s">
        <v>4783</v>
      </c>
      <c r="E2191" s="554" t="s">
        <v>9585</v>
      </c>
      <c r="F2191" s="571">
        <v>38</v>
      </c>
      <c r="G2191" s="572">
        <v>0.17199999999999999</v>
      </c>
      <c r="H2191" s="545">
        <v>6.5359999999999996</v>
      </c>
      <c r="I2191" s="554" t="s">
        <v>9218</v>
      </c>
      <c r="J2191" s="554" t="s">
        <v>9219</v>
      </c>
      <c r="K2191" s="554" t="s">
        <v>9219</v>
      </c>
      <c r="L2191" s="537" t="s">
        <v>2354</v>
      </c>
    </row>
    <row r="2192" spans="1:12" x14ac:dyDescent="0.2">
      <c r="A2192" s="547" t="s">
        <v>220</v>
      </c>
      <c r="B2192" s="547" t="s">
        <v>2351</v>
      </c>
      <c r="C2192" s="554" t="s">
        <v>4784</v>
      </c>
      <c r="D2192" s="554" t="s">
        <v>4785</v>
      </c>
      <c r="E2192" s="554" t="s">
        <v>9585</v>
      </c>
      <c r="F2192" s="571">
        <v>35</v>
      </c>
      <c r="G2192" s="572">
        <v>0.20699999999999999</v>
      </c>
      <c r="H2192" s="545">
        <v>7.2449999999999992</v>
      </c>
      <c r="I2192" s="554" t="s">
        <v>9218</v>
      </c>
      <c r="J2192" s="554" t="s">
        <v>9219</v>
      </c>
      <c r="K2192" s="554" t="s">
        <v>9219</v>
      </c>
      <c r="L2192" s="537" t="s">
        <v>2354</v>
      </c>
    </row>
    <row r="2193" spans="1:12" x14ac:dyDescent="0.2">
      <c r="A2193" s="547" t="s">
        <v>220</v>
      </c>
      <c r="B2193" s="547" t="s">
        <v>2351</v>
      </c>
      <c r="C2193" s="554" t="s">
        <v>4786</v>
      </c>
      <c r="D2193" s="554" t="s">
        <v>4787</v>
      </c>
      <c r="E2193" s="554" t="s">
        <v>9585</v>
      </c>
      <c r="F2193" s="571">
        <v>55</v>
      </c>
      <c r="G2193" s="572">
        <v>0.23599999999999999</v>
      </c>
      <c r="H2193" s="545">
        <v>12.979999999999999</v>
      </c>
      <c r="I2193" s="554" t="s">
        <v>9218</v>
      </c>
      <c r="J2193" s="554" t="s">
        <v>9219</v>
      </c>
      <c r="K2193" s="554" t="s">
        <v>9219</v>
      </c>
      <c r="L2193" s="537" t="s">
        <v>2354</v>
      </c>
    </row>
    <row r="2194" spans="1:12" x14ac:dyDescent="0.2">
      <c r="A2194" s="547" t="s">
        <v>220</v>
      </c>
      <c r="B2194" s="547" t="s">
        <v>2351</v>
      </c>
      <c r="C2194" s="554" t="s">
        <v>4788</v>
      </c>
      <c r="D2194" s="554" t="s">
        <v>4789</v>
      </c>
      <c r="E2194" s="554" t="s">
        <v>9585</v>
      </c>
      <c r="F2194" s="571">
        <v>378</v>
      </c>
      <c r="G2194" s="572">
        <v>0.12</v>
      </c>
      <c r="H2194" s="545">
        <v>45.36</v>
      </c>
      <c r="I2194" s="554" t="s">
        <v>9218</v>
      </c>
      <c r="J2194" s="554" t="s">
        <v>9219</v>
      </c>
      <c r="K2194" s="554" t="s">
        <v>9219</v>
      </c>
      <c r="L2194" s="537" t="s">
        <v>2354</v>
      </c>
    </row>
    <row r="2195" spans="1:12" x14ac:dyDescent="0.2">
      <c r="A2195" s="547" t="s">
        <v>220</v>
      </c>
      <c r="B2195" s="547" t="s">
        <v>2351</v>
      </c>
      <c r="C2195" s="554" t="s">
        <v>4792</v>
      </c>
      <c r="D2195" s="554" t="s">
        <v>4793</v>
      </c>
      <c r="E2195" s="554" t="s">
        <v>9585</v>
      </c>
      <c r="F2195" s="571">
        <v>2</v>
      </c>
      <c r="G2195" s="572">
        <v>9.5030999999999999</v>
      </c>
      <c r="H2195" s="545">
        <v>19.0062</v>
      </c>
      <c r="I2195" s="554" t="s">
        <v>9218</v>
      </c>
      <c r="J2195" s="554" t="s">
        <v>9219</v>
      </c>
      <c r="K2195" s="554" t="s">
        <v>9219</v>
      </c>
      <c r="L2195" s="537" t="s">
        <v>2354</v>
      </c>
    </row>
    <row r="2196" spans="1:12" x14ac:dyDescent="0.2">
      <c r="A2196" s="547" t="s">
        <v>220</v>
      </c>
      <c r="B2196" s="547" t="s">
        <v>2351</v>
      </c>
      <c r="C2196" s="554"/>
      <c r="D2196" s="554" t="s">
        <v>9370</v>
      </c>
      <c r="E2196" s="554" t="s">
        <v>9585</v>
      </c>
      <c r="F2196" s="571">
        <v>55</v>
      </c>
      <c r="G2196" s="572">
        <v>0.14799999999999999</v>
      </c>
      <c r="H2196" s="545">
        <v>8.1399999999999988</v>
      </c>
      <c r="I2196" s="554" t="s">
        <v>9218</v>
      </c>
      <c r="J2196" s="554" t="s">
        <v>9219</v>
      </c>
      <c r="K2196" s="554" t="s">
        <v>9219</v>
      </c>
      <c r="L2196" s="537" t="s">
        <v>2354</v>
      </c>
    </row>
    <row r="2197" spans="1:12" x14ac:dyDescent="0.2">
      <c r="A2197" s="547" t="s">
        <v>220</v>
      </c>
      <c r="B2197" s="547" t="s">
        <v>2351</v>
      </c>
      <c r="C2197" s="554"/>
      <c r="D2197" s="554" t="s">
        <v>9371</v>
      </c>
      <c r="E2197" s="554" t="s">
        <v>9585</v>
      </c>
      <c r="F2197" s="571">
        <v>154</v>
      </c>
      <c r="G2197" s="572">
        <v>0.156</v>
      </c>
      <c r="H2197" s="545">
        <v>24.024000000000001</v>
      </c>
      <c r="I2197" s="554" t="s">
        <v>9218</v>
      </c>
      <c r="J2197" s="554" t="s">
        <v>9219</v>
      </c>
      <c r="K2197" s="554" t="s">
        <v>9219</v>
      </c>
      <c r="L2197" s="537" t="s">
        <v>2354</v>
      </c>
    </row>
    <row r="2198" spans="1:12" x14ac:dyDescent="0.2">
      <c r="A2198" s="547" t="s">
        <v>220</v>
      </c>
      <c r="B2198" s="547" t="s">
        <v>2351</v>
      </c>
      <c r="C2198" s="554" t="s">
        <v>4794</v>
      </c>
      <c r="D2198" s="554" t="s">
        <v>4795</v>
      </c>
      <c r="E2198" s="554" t="s">
        <v>9585</v>
      </c>
      <c r="F2198" s="571">
        <v>104</v>
      </c>
      <c r="G2198" s="572">
        <v>5.058E-2</v>
      </c>
      <c r="H2198" s="545">
        <v>5.2603200000000001</v>
      </c>
      <c r="I2198" s="554" t="s">
        <v>9218</v>
      </c>
      <c r="J2198" s="554" t="s">
        <v>9219</v>
      </c>
      <c r="K2198" s="554" t="s">
        <v>9219</v>
      </c>
      <c r="L2198" s="537" t="s">
        <v>2354</v>
      </c>
    </row>
    <row r="2199" spans="1:12" x14ac:dyDescent="0.2">
      <c r="A2199" s="547" t="s">
        <v>220</v>
      </c>
      <c r="B2199" s="547" t="s">
        <v>2351</v>
      </c>
      <c r="C2199" s="554" t="s">
        <v>4796</v>
      </c>
      <c r="D2199" s="554" t="s">
        <v>4797</v>
      </c>
      <c r="E2199" s="554" t="s">
        <v>9585</v>
      </c>
      <c r="F2199" s="573">
        <v>387</v>
      </c>
      <c r="G2199" s="545">
        <v>0</v>
      </c>
      <c r="H2199" s="545">
        <v>0</v>
      </c>
      <c r="I2199" s="554" t="s">
        <v>9218</v>
      </c>
      <c r="J2199" s="554" t="s">
        <v>9219</v>
      </c>
      <c r="K2199" s="554" t="s">
        <v>9219</v>
      </c>
      <c r="L2199" s="537" t="s">
        <v>2354</v>
      </c>
    </row>
    <row r="2200" spans="1:12" x14ac:dyDescent="0.2">
      <c r="A2200" s="547" t="s">
        <v>220</v>
      </c>
      <c r="B2200" s="547" t="s">
        <v>2351</v>
      </c>
      <c r="C2200" s="554" t="s">
        <v>4798</v>
      </c>
      <c r="D2200" s="554" t="s">
        <v>4799</v>
      </c>
      <c r="E2200" s="554" t="s">
        <v>9585</v>
      </c>
      <c r="F2200" s="571">
        <v>654</v>
      </c>
      <c r="G2200" s="572">
        <v>3.78E-2</v>
      </c>
      <c r="H2200" s="545">
        <v>24.7212</v>
      </c>
      <c r="I2200" s="554" t="s">
        <v>9218</v>
      </c>
      <c r="J2200" s="554" t="s">
        <v>9219</v>
      </c>
      <c r="K2200" s="554" t="s">
        <v>9219</v>
      </c>
      <c r="L2200" s="537" t="s">
        <v>2354</v>
      </c>
    </row>
    <row r="2201" spans="1:12" x14ac:dyDescent="0.2">
      <c r="A2201" s="547" t="s">
        <v>220</v>
      </c>
      <c r="B2201" s="547" t="s">
        <v>2351</v>
      </c>
      <c r="C2201" s="554" t="s">
        <v>4800</v>
      </c>
      <c r="D2201" s="554" t="s">
        <v>4801</v>
      </c>
      <c r="E2201" s="554" t="s">
        <v>9585</v>
      </c>
      <c r="F2201" s="571">
        <v>334</v>
      </c>
      <c r="G2201" s="572">
        <v>0.13755999999999999</v>
      </c>
      <c r="H2201" s="545">
        <v>45.945039999999999</v>
      </c>
      <c r="I2201" s="554" t="s">
        <v>9218</v>
      </c>
      <c r="J2201" s="554" t="s">
        <v>9219</v>
      </c>
      <c r="K2201" s="554" t="s">
        <v>9219</v>
      </c>
      <c r="L2201" s="537" t="s">
        <v>2354</v>
      </c>
    </row>
    <row r="2202" spans="1:12" x14ac:dyDescent="0.2">
      <c r="A2202" s="547" t="s">
        <v>220</v>
      </c>
      <c r="B2202" s="547" t="s">
        <v>2351</v>
      </c>
      <c r="C2202" s="554" t="s">
        <v>4802</v>
      </c>
      <c r="D2202" s="554" t="s">
        <v>4803</v>
      </c>
      <c r="E2202" s="554" t="s">
        <v>9585</v>
      </c>
      <c r="F2202" s="571">
        <v>507</v>
      </c>
      <c r="G2202" s="572">
        <v>0.05</v>
      </c>
      <c r="H2202" s="545">
        <v>25.35</v>
      </c>
      <c r="I2202" s="554" t="s">
        <v>9218</v>
      </c>
      <c r="J2202" s="554" t="s">
        <v>9219</v>
      </c>
      <c r="K2202" s="554" t="s">
        <v>9219</v>
      </c>
      <c r="L2202" s="537" t="s">
        <v>2354</v>
      </c>
    </row>
    <row r="2203" spans="1:12" x14ac:dyDescent="0.2">
      <c r="A2203" s="547" t="s">
        <v>220</v>
      </c>
      <c r="B2203" s="547" t="s">
        <v>2351</v>
      </c>
      <c r="C2203" s="554" t="s">
        <v>4804</v>
      </c>
      <c r="D2203" s="554" t="s">
        <v>4805</v>
      </c>
      <c r="E2203" s="554" t="s">
        <v>9585</v>
      </c>
      <c r="F2203" s="571">
        <v>450</v>
      </c>
      <c r="G2203" s="572">
        <v>0.10620000000000002</v>
      </c>
      <c r="H2203" s="545">
        <v>47.790000000000006</v>
      </c>
      <c r="I2203" s="554" t="s">
        <v>9218</v>
      </c>
      <c r="J2203" s="554" t="s">
        <v>9219</v>
      </c>
      <c r="K2203" s="554" t="s">
        <v>9219</v>
      </c>
      <c r="L2203" s="537" t="s">
        <v>2354</v>
      </c>
    </row>
    <row r="2204" spans="1:12" x14ac:dyDescent="0.2">
      <c r="A2204" s="547" t="s">
        <v>220</v>
      </c>
      <c r="B2204" s="547" t="s">
        <v>2351</v>
      </c>
      <c r="C2204" s="554" t="s">
        <v>4806</v>
      </c>
      <c r="D2204" s="554" t="s">
        <v>4807</v>
      </c>
      <c r="E2204" s="554" t="s">
        <v>9585</v>
      </c>
      <c r="F2204" s="571">
        <v>352</v>
      </c>
      <c r="G2204" s="572">
        <v>9.1999999999999998E-2</v>
      </c>
      <c r="H2204" s="545">
        <v>32.384</v>
      </c>
      <c r="I2204" s="554" t="s">
        <v>9218</v>
      </c>
      <c r="J2204" s="554" t="s">
        <v>9219</v>
      </c>
      <c r="K2204" s="554" t="s">
        <v>9219</v>
      </c>
      <c r="L2204" s="537" t="s">
        <v>2354</v>
      </c>
    </row>
    <row r="2205" spans="1:12" x14ac:dyDescent="0.2">
      <c r="A2205" s="547" t="s">
        <v>220</v>
      </c>
      <c r="B2205" s="547" t="s">
        <v>2351</v>
      </c>
      <c r="C2205" s="554" t="s">
        <v>4808</v>
      </c>
      <c r="D2205" s="554" t="s">
        <v>4809</v>
      </c>
      <c r="E2205" s="554" t="s">
        <v>9585</v>
      </c>
      <c r="F2205" s="571">
        <v>136</v>
      </c>
      <c r="G2205" s="572">
        <v>0.183</v>
      </c>
      <c r="H2205" s="545">
        <v>24.887999999999998</v>
      </c>
      <c r="I2205" s="554" t="s">
        <v>9218</v>
      </c>
      <c r="J2205" s="554" t="s">
        <v>9219</v>
      </c>
      <c r="K2205" s="554" t="s">
        <v>9219</v>
      </c>
      <c r="L2205" s="537" t="s">
        <v>2354</v>
      </c>
    </row>
    <row r="2206" spans="1:12" x14ac:dyDescent="0.2">
      <c r="A2206" s="547" t="s">
        <v>220</v>
      </c>
      <c r="B2206" s="547" t="s">
        <v>2351</v>
      </c>
      <c r="C2206" s="554" t="s">
        <v>4810</v>
      </c>
      <c r="D2206" s="554" t="s">
        <v>4811</v>
      </c>
      <c r="E2206" s="554" t="s">
        <v>9585</v>
      </c>
      <c r="F2206" s="571">
        <v>113</v>
      </c>
      <c r="G2206" s="572">
        <v>0.13900000000000001</v>
      </c>
      <c r="H2206" s="545">
        <v>15.707000000000001</v>
      </c>
      <c r="I2206" s="554" t="s">
        <v>9218</v>
      </c>
      <c r="J2206" s="554" t="s">
        <v>9219</v>
      </c>
      <c r="K2206" s="554" t="s">
        <v>9219</v>
      </c>
      <c r="L2206" s="537" t="s">
        <v>2354</v>
      </c>
    </row>
    <row r="2207" spans="1:12" x14ac:dyDescent="0.2">
      <c r="A2207" s="547" t="s">
        <v>220</v>
      </c>
      <c r="B2207" s="547" t="s">
        <v>2351</v>
      </c>
      <c r="C2207" s="554" t="s">
        <v>4812</v>
      </c>
      <c r="D2207" s="554" t="s">
        <v>4813</v>
      </c>
      <c r="E2207" s="554" t="s">
        <v>9585</v>
      </c>
      <c r="F2207" s="571">
        <v>364</v>
      </c>
      <c r="G2207" s="572">
        <v>0.49</v>
      </c>
      <c r="H2207" s="545">
        <v>178.35999999999999</v>
      </c>
      <c r="I2207" s="554" t="s">
        <v>9218</v>
      </c>
      <c r="J2207" s="554" t="s">
        <v>9219</v>
      </c>
      <c r="K2207" s="554" t="s">
        <v>9219</v>
      </c>
      <c r="L2207" s="537" t="s">
        <v>2354</v>
      </c>
    </row>
    <row r="2208" spans="1:12" x14ac:dyDescent="0.2">
      <c r="A2208" s="547" t="s">
        <v>220</v>
      </c>
      <c r="B2208" s="547" t="s">
        <v>2351</v>
      </c>
      <c r="C2208" s="554" t="s">
        <v>4814</v>
      </c>
      <c r="D2208" s="554" t="s">
        <v>4815</v>
      </c>
      <c r="E2208" s="554" t="s">
        <v>9585</v>
      </c>
      <c r="F2208" s="571">
        <v>146</v>
      </c>
      <c r="G2208" s="572">
        <v>0.16076999999999997</v>
      </c>
      <c r="H2208" s="545">
        <v>23.472419999999996</v>
      </c>
      <c r="I2208" s="554" t="s">
        <v>9218</v>
      </c>
      <c r="J2208" s="554" t="s">
        <v>9219</v>
      </c>
      <c r="K2208" s="554" t="s">
        <v>9219</v>
      </c>
      <c r="L2208" s="537" t="s">
        <v>2354</v>
      </c>
    </row>
    <row r="2209" spans="1:12" x14ac:dyDescent="0.2">
      <c r="A2209" s="547" t="s">
        <v>220</v>
      </c>
      <c r="B2209" s="547" t="s">
        <v>2351</v>
      </c>
      <c r="C2209" s="554" t="s">
        <v>4816</v>
      </c>
      <c r="D2209" s="554" t="s">
        <v>4817</v>
      </c>
      <c r="E2209" s="554" t="s">
        <v>9585</v>
      </c>
      <c r="F2209" s="571">
        <v>147</v>
      </c>
      <c r="G2209" s="572">
        <v>0.28799999999999998</v>
      </c>
      <c r="H2209" s="545">
        <v>42.335999999999999</v>
      </c>
      <c r="I2209" s="554" t="s">
        <v>9218</v>
      </c>
      <c r="J2209" s="554" t="s">
        <v>9219</v>
      </c>
      <c r="K2209" s="554" t="s">
        <v>9219</v>
      </c>
      <c r="L2209" s="537" t="s">
        <v>2354</v>
      </c>
    </row>
    <row r="2210" spans="1:12" x14ac:dyDescent="0.2">
      <c r="A2210" s="547" t="s">
        <v>220</v>
      </c>
      <c r="B2210" s="547" t="s">
        <v>2351</v>
      </c>
      <c r="C2210" s="554" t="s">
        <v>4818</v>
      </c>
      <c r="D2210" s="554" t="s">
        <v>4819</v>
      </c>
      <c r="E2210" s="554" t="s">
        <v>9585</v>
      </c>
      <c r="F2210" s="571">
        <v>512</v>
      </c>
      <c r="G2210" s="572">
        <v>0.46300000000000002</v>
      </c>
      <c r="H2210" s="545">
        <v>237.05600000000001</v>
      </c>
      <c r="I2210" s="554" t="s">
        <v>9218</v>
      </c>
      <c r="J2210" s="554" t="s">
        <v>9219</v>
      </c>
      <c r="K2210" s="554" t="s">
        <v>9219</v>
      </c>
      <c r="L2210" s="537" t="s">
        <v>2354</v>
      </c>
    </row>
    <row r="2211" spans="1:12" x14ac:dyDescent="0.2">
      <c r="A2211" s="547" t="s">
        <v>220</v>
      </c>
      <c r="B2211" s="547" t="s">
        <v>2351</v>
      </c>
      <c r="C2211" s="554" t="s">
        <v>4820</v>
      </c>
      <c r="D2211" s="554" t="s">
        <v>4821</v>
      </c>
      <c r="E2211" s="554" t="s">
        <v>9585</v>
      </c>
      <c r="F2211" s="571">
        <v>96</v>
      </c>
      <c r="G2211" s="572">
        <v>0.29199999999999998</v>
      </c>
      <c r="H2211" s="545">
        <v>28.031999999999996</v>
      </c>
      <c r="I2211" s="554" t="s">
        <v>9218</v>
      </c>
      <c r="J2211" s="554" t="s">
        <v>9219</v>
      </c>
      <c r="K2211" s="554" t="s">
        <v>9219</v>
      </c>
      <c r="L2211" s="537" t="s">
        <v>2354</v>
      </c>
    </row>
    <row r="2212" spans="1:12" x14ac:dyDescent="0.2">
      <c r="A2212" s="547" t="s">
        <v>220</v>
      </c>
      <c r="B2212" s="547" t="s">
        <v>2351</v>
      </c>
      <c r="C2212" s="554" t="s">
        <v>4822</v>
      </c>
      <c r="D2212" s="554" t="s">
        <v>4823</v>
      </c>
      <c r="E2212" s="554" t="s">
        <v>9585</v>
      </c>
      <c r="F2212" s="571">
        <v>350</v>
      </c>
      <c r="G2212" s="572">
        <v>0.44600000000000001</v>
      </c>
      <c r="H2212" s="545">
        <v>156.1</v>
      </c>
      <c r="I2212" s="554" t="s">
        <v>9218</v>
      </c>
      <c r="J2212" s="554" t="s">
        <v>9219</v>
      </c>
      <c r="K2212" s="554" t="s">
        <v>9219</v>
      </c>
      <c r="L2212" s="537" t="s">
        <v>2354</v>
      </c>
    </row>
    <row r="2213" spans="1:12" x14ac:dyDescent="0.2">
      <c r="A2213" s="547" t="s">
        <v>220</v>
      </c>
      <c r="B2213" s="547" t="s">
        <v>2351</v>
      </c>
      <c r="C2213" s="554" t="s">
        <v>4824</v>
      </c>
      <c r="D2213" s="554" t="s">
        <v>4825</v>
      </c>
      <c r="E2213" s="554" t="s">
        <v>9585</v>
      </c>
      <c r="F2213" s="571">
        <v>284</v>
      </c>
      <c r="G2213" s="572">
        <v>0.59</v>
      </c>
      <c r="H2213" s="545">
        <v>167.56</v>
      </c>
      <c r="I2213" s="554" t="s">
        <v>9218</v>
      </c>
      <c r="J2213" s="554" t="s">
        <v>9219</v>
      </c>
      <c r="K2213" s="554" t="s">
        <v>9219</v>
      </c>
      <c r="L2213" s="537" t="s">
        <v>2354</v>
      </c>
    </row>
    <row r="2214" spans="1:12" x14ac:dyDescent="0.2">
      <c r="A2214" s="547" t="s">
        <v>220</v>
      </c>
      <c r="B2214" s="547" t="s">
        <v>2351</v>
      </c>
      <c r="C2214" s="554" t="s">
        <v>4826</v>
      </c>
      <c r="D2214" s="554" t="s">
        <v>4827</v>
      </c>
      <c r="E2214" s="554" t="s">
        <v>9585</v>
      </c>
      <c r="F2214" s="571">
        <v>9</v>
      </c>
      <c r="G2214" s="572">
        <v>1.1100000000000001</v>
      </c>
      <c r="H2214" s="545">
        <v>9.99</v>
      </c>
      <c r="I2214" s="554" t="s">
        <v>9218</v>
      </c>
      <c r="J2214" s="554" t="s">
        <v>9219</v>
      </c>
      <c r="K2214" s="554" t="s">
        <v>9219</v>
      </c>
      <c r="L2214" s="537" t="s">
        <v>2354</v>
      </c>
    </row>
    <row r="2215" spans="1:12" x14ac:dyDescent="0.2">
      <c r="A2215" s="547" t="s">
        <v>220</v>
      </c>
      <c r="B2215" s="547" t="s">
        <v>2351</v>
      </c>
      <c r="C2215" s="554" t="s">
        <v>4828</v>
      </c>
      <c r="D2215" s="554" t="s">
        <v>4829</v>
      </c>
      <c r="E2215" s="554" t="s">
        <v>9585</v>
      </c>
      <c r="F2215" s="571">
        <v>39</v>
      </c>
      <c r="G2215" s="572">
        <v>0.16116</v>
      </c>
      <c r="H2215" s="545">
        <v>6.2852399999999999</v>
      </c>
      <c r="I2215" s="554" t="s">
        <v>9218</v>
      </c>
      <c r="J2215" s="554" t="s">
        <v>9219</v>
      </c>
      <c r="K2215" s="554" t="s">
        <v>9219</v>
      </c>
      <c r="L2215" s="537" t="s">
        <v>2354</v>
      </c>
    </row>
    <row r="2216" spans="1:12" x14ac:dyDescent="0.2">
      <c r="A2216" s="547" t="s">
        <v>220</v>
      </c>
      <c r="B2216" s="547" t="s">
        <v>2351</v>
      </c>
      <c r="C2216" s="554" t="s">
        <v>4830</v>
      </c>
      <c r="D2216" s="554" t="s">
        <v>4831</v>
      </c>
      <c r="E2216" s="554" t="s">
        <v>9585</v>
      </c>
      <c r="F2216" s="571">
        <v>158</v>
      </c>
      <c r="G2216" s="572">
        <v>9.799999999999999E-2</v>
      </c>
      <c r="H2216" s="545">
        <v>15.483999999999998</v>
      </c>
      <c r="I2216" s="554" t="s">
        <v>9218</v>
      </c>
      <c r="J2216" s="554" t="s">
        <v>9219</v>
      </c>
      <c r="K2216" s="554" t="s">
        <v>9219</v>
      </c>
      <c r="L2216" s="537" t="s">
        <v>2354</v>
      </c>
    </row>
    <row r="2217" spans="1:12" x14ac:dyDescent="0.2">
      <c r="A2217" s="547" t="s">
        <v>220</v>
      </c>
      <c r="B2217" s="547" t="s">
        <v>2351</v>
      </c>
      <c r="C2217" s="554"/>
      <c r="D2217" s="554" t="s">
        <v>9372</v>
      </c>
      <c r="E2217" s="554" t="s">
        <v>9585</v>
      </c>
      <c r="F2217" s="571">
        <v>286</v>
      </c>
      <c r="G2217" s="572">
        <v>0.17199999999999999</v>
      </c>
      <c r="H2217" s="545">
        <v>49.191999999999993</v>
      </c>
      <c r="I2217" s="554" t="s">
        <v>9218</v>
      </c>
      <c r="J2217" s="554" t="s">
        <v>9219</v>
      </c>
      <c r="K2217" s="554" t="s">
        <v>9219</v>
      </c>
      <c r="L2217" s="537" t="s">
        <v>2354</v>
      </c>
    </row>
    <row r="2218" spans="1:12" x14ac:dyDescent="0.2">
      <c r="A2218" s="547" t="s">
        <v>220</v>
      </c>
      <c r="B2218" s="547" t="s">
        <v>2351</v>
      </c>
      <c r="C2218" s="554" t="s">
        <v>4832</v>
      </c>
      <c r="D2218" s="554" t="s">
        <v>4833</v>
      </c>
      <c r="E2218" s="554" t="s">
        <v>9585</v>
      </c>
      <c r="F2218" s="571">
        <v>236</v>
      </c>
      <c r="G2218" s="572">
        <v>5.9033281409406252E-2</v>
      </c>
      <c r="H2218" s="545">
        <v>13.931854412619876</v>
      </c>
      <c r="I2218" s="554" t="s">
        <v>9218</v>
      </c>
      <c r="J2218" s="554" t="s">
        <v>9219</v>
      </c>
      <c r="K2218" s="554" t="s">
        <v>9219</v>
      </c>
      <c r="L2218" s="537" t="s">
        <v>2354</v>
      </c>
    </row>
    <row r="2219" spans="1:12" x14ac:dyDescent="0.2">
      <c r="A2219" s="547" t="s">
        <v>220</v>
      </c>
      <c r="B2219" s="547" t="s">
        <v>2351</v>
      </c>
      <c r="C2219" s="554" t="s">
        <v>4834</v>
      </c>
      <c r="D2219" s="554" t="s">
        <v>4835</v>
      </c>
      <c r="E2219" s="554" t="s">
        <v>9585</v>
      </c>
      <c r="F2219" s="571">
        <v>228</v>
      </c>
      <c r="G2219" s="572">
        <v>0.06</v>
      </c>
      <c r="H2219" s="545">
        <v>13.68</v>
      </c>
      <c r="I2219" s="554" t="s">
        <v>9218</v>
      </c>
      <c r="J2219" s="554" t="s">
        <v>9219</v>
      </c>
      <c r="K2219" s="554" t="s">
        <v>9219</v>
      </c>
      <c r="L2219" s="537" t="s">
        <v>2354</v>
      </c>
    </row>
    <row r="2220" spans="1:12" x14ac:dyDescent="0.2">
      <c r="A2220" s="547" t="s">
        <v>220</v>
      </c>
      <c r="B2220" s="547" t="s">
        <v>2351</v>
      </c>
      <c r="C2220" s="554" t="s">
        <v>4836</v>
      </c>
      <c r="D2220" s="554" t="s">
        <v>4837</v>
      </c>
      <c r="E2220" s="554" t="s">
        <v>9585</v>
      </c>
      <c r="F2220" s="571">
        <v>120</v>
      </c>
      <c r="G2220" s="572">
        <v>0.58602392565597661</v>
      </c>
      <c r="H2220" s="545">
        <v>70.322871078717199</v>
      </c>
      <c r="I2220" s="554" t="s">
        <v>9218</v>
      </c>
      <c r="J2220" s="554" t="s">
        <v>9219</v>
      </c>
      <c r="K2220" s="554" t="s">
        <v>9219</v>
      </c>
      <c r="L2220" s="537" t="s">
        <v>2354</v>
      </c>
    </row>
    <row r="2221" spans="1:12" x14ac:dyDescent="0.2">
      <c r="A2221" s="547" t="s">
        <v>220</v>
      </c>
      <c r="B2221" s="547" t="s">
        <v>2351</v>
      </c>
      <c r="C2221" s="554" t="s">
        <v>4838</v>
      </c>
      <c r="D2221" s="554" t="s">
        <v>4839</v>
      </c>
      <c r="E2221" s="554" t="s">
        <v>9585</v>
      </c>
      <c r="F2221" s="571">
        <v>35</v>
      </c>
      <c r="G2221" s="572">
        <v>0.68090066225165569</v>
      </c>
      <c r="H2221" s="545">
        <v>23.831523178807949</v>
      </c>
      <c r="I2221" s="554" t="s">
        <v>9218</v>
      </c>
      <c r="J2221" s="554" t="s">
        <v>9219</v>
      </c>
      <c r="K2221" s="554" t="s">
        <v>9219</v>
      </c>
      <c r="L2221" s="537" t="s">
        <v>2354</v>
      </c>
    </row>
    <row r="2222" spans="1:12" x14ac:dyDescent="0.2">
      <c r="A2222" s="547" t="s">
        <v>220</v>
      </c>
      <c r="B2222" s="547" t="s">
        <v>2351</v>
      </c>
      <c r="C2222" s="554" t="s">
        <v>4840</v>
      </c>
      <c r="D2222" s="554" t="s">
        <v>4841</v>
      </c>
      <c r="E2222" s="554" t="s">
        <v>9585</v>
      </c>
      <c r="F2222" s="571">
        <v>325</v>
      </c>
      <c r="G2222" s="572">
        <v>0.40460000000000002</v>
      </c>
      <c r="H2222" s="545">
        <v>131.495</v>
      </c>
      <c r="I2222" s="554" t="s">
        <v>9218</v>
      </c>
      <c r="J2222" s="554" t="s">
        <v>9219</v>
      </c>
      <c r="K2222" s="554" t="s">
        <v>9219</v>
      </c>
      <c r="L2222" s="537" t="s">
        <v>2354</v>
      </c>
    </row>
    <row r="2223" spans="1:12" x14ac:dyDescent="0.2">
      <c r="A2223" s="547" t="s">
        <v>220</v>
      </c>
      <c r="B2223" s="547" t="s">
        <v>2351</v>
      </c>
      <c r="C2223" s="554" t="s">
        <v>4842</v>
      </c>
      <c r="D2223" s="554" t="s">
        <v>4843</v>
      </c>
      <c r="E2223" s="554" t="s">
        <v>9585</v>
      </c>
      <c r="F2223" s="571">
        <v>361</v>
      </c>
      <c r="G2223" s="572">
        <v>0.10833</v>
      </c>
      <c r="H2223" s="545">
        <v>39.107129999999998</v>
      </c>
      <c r="I2223" s="554" t="s">
        <v>9218</v>
      </c>
      <c r="J2223" s="554" t="s">
        <v>9219</v>
      </c>
      <c r="K2223" s="554" t="s">
        <v>9219</v>
      </c>
      <c r="L2223" s="537" t="s">
        <v>2354</v>
      </c>
    </row>
    <row r="2224" spans="1:12" x14ac:dyDescent="0.2">
      <c r="A2224" s="547" t="s">
        <v>220</v>
      </c>
      <c r="B2224" s="547" t="s">
        <v>2351</v>
      </c>
      <c r="C2224" s="554"/>
      <c r="D2224" s="554" t="s">
        <v>9373</v>
      </c>
      <c r="E2224" s="554" t="s">
        <v>9585</v>
      </c>
      <c r="F2224" s="571">
        <v>152</v>
      </c>
      <c r="G2224" s="572">
        <v>0.156</v>
      </c>
      <c r="H2224" s="545">
        <v>23.712</v>
      </c>
      <c r="I2224" s="554" t="s">
        <v>9218</v>
      </c>
      <c r="J2224" s="554" t="s">
        <v>9219</v>
      </c>
      <c r="K2224" s="554" t="s">
        <v>9219</v>
      </c>
      <c r="L2224" s="537" t="s">
        <v>2354</v>
      </c>
    </row>
    <row r="2225" spans="1:12" x14ac:dyDescent="0.2">
      <c r="A2225" s="547" t="s">
        <v>220</v>
      </c>
      <c r="B2225" s="547" t="s">
        <v>2351</v>
      </c>
      <c r="C2225" s="554" t="s">
        <v>4844</v>
      </c>
      <c r="D2225" s="554" t="s">
        <v>4845</v>
      </c>
      <c r="E2225" s="554" t="s">
        <v>9585</v>
      </c>
      <c r="F2225" s="571">
        <v>394</v>
      </c>
      <c r="G2225" s="572">
        <v>7.2249999999999995E-2</v>
      </c>
      <c r="H2225" s="545">
        <v>28.466499999999996</v>
      </c>
      <c r="I2225" s="554" t="s">
        <v>9218</v>
      </c>
      <c r="J2225" s="554" t="s">
        <v>9219</v>
      </c>
      <c r="K2225" s="554" t="s">
        <v>9219</v>
      </c>
      <c r="L2225" s="537" t="s">
        <v>2354</v>
      </c>
    </row>
    <row r="2226" spans="1:12" x14ac:dyDescent="0.2">
      <c r="A2226" s="547" t="s">
        <v>220</v>
      </c>
      <c r="B2226" s="547" t="s">
        <v>2351</v>
      </c>
      <c r="C2226" s="554" t="s">
        <v>4846</v>
      </c>
      <c r="D2226" s="554" t="s">
        <v>4847</v>
      </c>
      <c r="E2226" s="554" t="s">
        <v>9585</v>
      </c>
      <c r="F2226" s="571">
        <v>310</v>
      </c>
      <c r="G2226" s="572">
        <v>6.8000000000000005E-2</v>
      </c>
      <c r="H2226" s="545">
        <v>21.080000000000002</v>
      </c>
      <c r="I2226" s="554" t="s">
        <v>9218</v>
      </c>
      <c r="J2226" s="554" t="s">
        <v>9219</v>
      </c>
      <c r="K2226" s="554" t="s">
        <v>9219</v>
      </c>
      <c r="L2226" s="537" t="s">
        <v>2354</v>
      </c>
    </row>
    <row r="2227" spans="1:12" x14ac:dyDescent="0.2">
      <c r="A2227" s="547" t="s">
        <v>220</v>
      </c>
      <c r="B2227" s="547" t="s">
        <v>2351</v>
      </c>
      <c r="C2227" s="554" t="s">
        <v>4848</v>
      </c>
      <c r="D2227" s="554" t="s">
        <v>4849</v>
      </c>
      <c r="E2227" s="554" t="s">
        <v>9585</v>
      </c>
      <c r="F2227" s="571">
        <v>538</v>
      </c>
      <c r="G2227" s="572">
        <v>8.6999999999999994E-2</v>
      </c>
      <c r="H2227" s="545">
        <v>46.805999999999997</v>
      </c>
      <c r="I2227" s="554" t="s">
        <v>9218</v>
      </c>
      <c r="J2227" s="554" t="s">
        <v>9219</v>
      </c>
      <c r="K2227" s="554" t="s">
        <v>9219</v>
      </c>
      <c r="L2227" s="537" t="s">
        <v>2354</v>
      </c>
    </row>
    <row r="2228" spans="1:12" x14ac:dyDescent="0.2">
      <c r="A2228" s="547" t="s">
        <v>220</v>
      </c>
      <c r="B2228" s="547" t="s">
        <v>2351</v>
      </c>
      <c r="C2228" s="554" t="s">
        <v>4850</v>
      </c>
      <c r="D2228" s="554" t="s">
        <v>4851</v>
      </c>
      <c r="E2228" s="554" t="s">
        <v>9585</v>
      </c>
      <c r="F2228" s="571">
        <v>105</v>
      </c>
      <c r="G2228" s="572">
        <v>0.12358</v>
      </c>
      <c r="H2228" s="545">
        <v>12.975899999999999</v>
      </c>
      <c r="I2228" s="554" t="s">
        <v>9218</v>
      </c>
      <c r="J2228" s="554" t="s">
        <v>9219</v>
      </c>
      <c r="K2228" s="554" t="s">
        <v>9219</v>
      </c>
      <c r="L2228" s="537" t="s">
        <v>2354</v>
      </c>
    </row>
    <row r="2229" spans="1:12" x14ac:dyDescent="0.2">
      <c r="A2229" s="547" t="s">
        <v>220</v>
      </c>
      <c r="B2229" s="547" t="s">
        <v>2351</v>
      </c>
      <c r="C2229" s="554" t="s">
        <v>4852</v>
      </c>
      <c r="D2229" s="554" t="s">
        <v>4853</v>
      </c>
      <c r="E2229" s="554" t="s">
        <v>9585</v>
      </c>
      <c r="F2229" s="571">
        <v>414</v>
      </c>
      <c r="G2229" s="572">
        <v>0.19259000000000001</v>
      </c>
      <c r="H2229" s="545">
        <v>79.732260000000011</v>
      </c>
      <c r="I2229" s="554" t="s">
        <v>9218</v>
      </c>
      <c r="J2229" s="554" t="s">
        <v>9219</v>
      </c>
      <c r="K2229" s="554" t="s">
        <v>9219</v>
      </c>
      <c r="L2229" s="537" t="s">
        <v>2354</v>
      </c>
    </row>
    <row r="2230" spans="1:12" x14ac:dyDescent="0.2">
      <c r="A2230" s="547" t="s">
        <v>220</v>
      </c>
      <c r="B2230" s="547" t="s">
        <v>2351</v>
      </c>
      <c r="C2230" s="554" t="s">
        <v>4854</v>
      </c>
      <c r="D2230" s="554" t="s">
        <v>4855</v>
      </c>
      <c r="E2230" s="554" t="s">
        <v>9585</v>
      </c>
      <c r="F2230" s="571">
        <v>532</v>
      </c>
      <c r="G2230" s="572">
        <v>0.186</v>
      </c>
      <c r="H2230" s="545">
        <v>98.951999999999998</v>
      </c>
      <c r="I2230" s="554" t="s">
        <v>9218</v>
      </c>
      <c r="J2230" s="554" t="s">
        <v>9219</v>
      </c>
      <c r="K2230" s="554" t="s">
        <v>9219</v>
      </c>
      <c r="L2230" s="537" t="s">
        <v>2354</v>
      </c>
    </row>
    <row r="2231" spans="1:12" x14ac:dyDescent="0.2">
      <c r="A2231" s="547" t="s">
        <v>220</v>
      </c>
      <c r="B2231" s="547" t="s">
        <v>2351</v>
      </c>
      <c r="C2231" s="554" t="s">
        <v>4856</v>
      </c>
      <c r="D2231" s="554" t="s">
        <v>4857</v>
      </c>
      <c r="E2231" s="554" t="s">
        <v>9585</v>
      </c>
      <c r="F2231" s="571">
        <v>176</v>
      </c>
      <c r="G2231" s="572">
        <v>0.29599999999999999</v>
      </c>
      <c r="H2231" s="545">
        <v>52.095999999999997</v>
      </c>
      <c r="I2231" s="554" t="s">
        <v>9218</v>
      </c>
      <c r="J2231" s="554" t="s">
        <v>9219</v>
      </c>
      <c r="K2231" s="554" t="s">
        <v>9219</v>
      </c>
      <c r="L2231" s="537" t="s">
        <v>2354</v>
      </c>
    </row>
    <row r="2232" spans="1:12" x14ac:dyDescent="0.2">
      <c r="A2232" s="547" t="s">
        <v>220</v>
      </c>
      <c r="B2232" s="547" t="s">
        <v>2351</v>
      </c>
      <c r="C2232" s="554" t="s">
        <v>4858</v>
      </c>
      <c r="D2232" s="554" t="s">
        <v>4859</v>
      </c>
      <c r="E2232" s="554" t="s">
        <v>9585</v>
      </c>
      <c r="F2232" s="571">
        <v>365</v>
      </c>
      <c r="G2232" s="572">
        <v>0.442</v>
      </c>
      <c r="H2232" s="545">
        <v>161.33000000000001</v>
      </c>
      <c r="I2232" s="554" t="s">
        <v>9218</v>
      </c>
      <c r="J2232" s="554" t="s">
        <v>9219</v>
      </c>
      <c r="K2232" s="554" t="s">
        <v>9219</v>
      </c>
      <c r="L2232" s="537" t="s">
        <v>2354</v>
      </c>
    </row>
    <row r="2233" spans="1:12" x14ac:dyDescent="0.2">
      <c r="A2233" s="547" t="s">
        <v>220</v>
      </c>
      <c r="B2233" s="547" t="s">
        <v>2351</v>
      </c>
      <c r="C2233" s="554" t="s">
        <v>4860</v>
      </c>
      <c r="D2233" s="554" t="s">
        <v>4861</v>
      </c>
      <c r="E2233" s="554" t="s">
        <v>9585</v>
      </c>
      <c r="F2233" s="571">
        <v>345</v>
      </c>
      <c r="G2233" s="572">
        <v>0.44700000000000001</v>
      </c>
      <c r="H2233" s="545">
        <v>154.215</v>
      </c>
      <c r="I2233" s="554" t="s">
        <v>9218</v>
      </c>
      <c r="J2233" s="554" t="s">
        <v>9219</v>
      </c>
      <c r="K2233" s="554" t="s">
        <v>9219</v>
      </c>
      <c r="L2233" s="537" t="s">
        <v>2354</v>
      </c>
    </row>
    <row r="2234" spans="1:12" x14ac:dyDescent="0.2">
      <c r="A2234" s="547" t="s">
        <v>220</v>
      </c>
      <c r="B2234" s="547" t="s">
        <v>2351</v>
      </c>
      <c r="C2234" s="554" t="s">
        <v>4862</v>
      </c>
      <c r="D2234" s="554" t="s">
        <v>4841</v>
      </c>
      <c r="E2234" s="554" t="s">
        <v>9585</v>
      </c>
      <c r="F2234" s="571">
        <v>168</v>
      </c>
      <c r="G2234" s="572">
        <v>0.19515999999999997</v>
      </c>
      <c r="H2234" s="545">
        <v>32.786879999999996</v>
      </c>
      <c r="I2234" s="554" t="s">
        <v>9218</v>
      </c>
      <c r="J2234" s="554" t="s">
        <v>9219</v>
      </c>
      <c r="K2234" s="554" t="s">
        <v>9219</v>
      </c>
      <c r="L2234" s="537" t="s">
        <v>2354</v>
      </c>
    </row>
    <row r="2235" spans="1:12" x14ac:dyDescent="0.2">
      <c r="A2235" s="547" t="s">
        <v>220</v>
      </c>
      <c r="B2235" s="547" t="s">
        <v>2351</v>
      </c>
      <c r="C2235" s="554" t="s">
        <v>4863</v>
      </c>
      <c r="D2235" s="554" t="s">
        <v>4864</v>
      </c>
      <c r="E2235" s="554" t="s">
        <v>9585</v>
      </c>
      <c r="F2235" s="571">
        <v>78</v>
      </c>
      <c r="G2235" s="572">
        <v>0.43010585751978891</v>
      </c>
      <c r="H2235" s="545">
        <v>33.548256886543534</v>
      </c>
      <c r="I2235" s="554" t="s">
        <v>9218</v>
      </c>
      <c r="J2235" s="554" t="s">
        <v>9219</v>
      </c>
      <c r="K2235" s="554" t="s">
        <v>9219</v>
      </c>
      <c r="L2235" s="537" t="s">
        <v>2354</v>
      </c>
    </row>
    <row r="2236" spans="1:12" x14ac:dyDescent="0.2">
      <c r="A2236" s="547" t="s">
        <v>220</v>
      </c>
      <c r="B2236" s="547" t="s">
        <v>2351</v>
      </c>
      <c r="C2236" s="554" t="s">
        <v>4865</v>
      </c>
      <c r="D2236" s="554" t="s">
        <v>4866</v>
      </c>
      <c r="E2236" s="554" t="s">
        <v>9585</v>
      </c>
      <c r="F2236" s="571">
        <v>336</v>
      </c>
      <c r="G2236" s="572">
        <v>0.51533571428571434</v>
      </c>
      <c r="H2236" s="545">
        <v>173.15280000000001</v>
      </c>
      <c r="I2236" s="554" t="s">
        <v>9218</v>
      </c>
      <c r="J2236" s="554" t="s">
        <v>9219</v>
      </c>
      <c r="K2236" s="554" t="s">
        <v>9219</v>
      </c>
      <c r="L2236" s="537" t="s">
        <v>2354</v>
      </c>
    </row>
    <row r="2237" spans="1:12" x14ac:dyDescent="0.2">
      <c r="A2237" s="547" t="s">
        <v>220</v>
      </c>
      <c r="B2237" s="547" t="s">
        <v>2351</v>
      </c>
      <c r="C2237" s="554" t="s">
        <v>4867</v>
      </c>
      <c r="D2237" s="554" t="s">
        <v>4868</v>
      </c>
      <c r="E2237" s="554" t="s">
        <v>9585</v>
      </c>
      <c r="F2237" s="571">
        <v>181</v>
      </c>
      <c r="G2237" s="572">
        <v>0.69750999999999985</v>
      </c>
      <c r="H2237" s="545">
        <v>126.24930999999998</v>
      </c>
      <c r="I2237" s="554" t="s">
        <v>9218</v>
      </c>
      <c r="J2237" s="554" t="s">
        <v>9219</v>
      </c>
      <c r="K2237" s="554" t="s">
        <v>9219</v>
      </c>
      <c r="L2237" s="537" t="s">
        <v>2354</v>
      </c>
    </row>
    <row r="2238" spans="1:12" x14ac:dyDescent="0.2">
      <c r="A2238" s="547" t="s">
        <v>220</v>
      </c>
      <c r="B2238" s="547" t="s">
        <v>2351</v>
      </c>
      <c r="C2238" s="554" t="s">
        <v>4869</v>
      </c>
      <c r="D2238" s="554" t="s">
        <v>4870</v>
      </c>
      <c r="E2238" s="554" t="s">
        <v>9585</v>
      </c>
      <c r="F2238" s="571">
        <v>72</v>
      </c>
      <c r="G2238" s="572">
        <v>0.83717239130434784</v>
      </c>
      <c r="H2238" s="545">
        <v>60.276412173913045</v>
      </c>
      <c r="I2238" s="554" t="s">
        <v>9218</v>
      </c>
      <c r="J2238" s="554" t="s">
        <v>9219</v>
      </c>
      <c r="K2238" s="554" t="s">
        <v>9219</v>
      </c>
      <c r="L2238" s="537" t="s">
        <v>2354</v>
      </c>
    </row>
    <row r="2239" spans="1:12" x14ac:dyDescent="0.2">
      <c r="A2239" s="547" t="s">
        <v>220</v>
      </c>
      <c r="B2239" s="547" t="s">
        <v>2351</v>
      </c>
      <c r="C2239" s="554" t="s">
        <v>4871</v>
      </c>
      <c r="D2239" s="554" t="s">
        <v>4872</v>
      </c>
      <c r="E2239" s="554" t="s">
        <v>9585</v>
      </c>
      <c r="F2239" s="571">
        <v>104</v>
      </c>
      <c r="G2239" s="572">
        <v>1.0309999999999999</v>
      </c>
      <c r="H2239" s="545">
        <v>107.22399999999999</v>
      </c>
      <c r="I2239" s="554" t="s">
        <v>9218</v>
      </c>
      <c r="J2239" s="554" t="s">
        <v>9219</v>
      </c>
      <c r="K2239" s="554" t="s">
        <v>9219</v>
      </c>
      <c r="L2239" s="537" t="s">
        <v>2354</v>
      </c>
    </row>
    <row r="2240" spans="1:12" x14ac:dyDescent="0.2">
      <c r="A2240" s="547" t="s">
        <v>220</v>
      </c>
      <c r="B2240" s="547" t="s">
        <v>2351</v>
      </c>
      <c r="C2240" s="554" t="s">
        <v>4873</v>
      </c>
      <c r="D2240" s="554" t="s">
        <v>4874</v>
      </c>
      <c r="E2240" s="554" t="s">
        <v>9585</v>
      </c>
      <c r="F2240" s="571">
        <v>70</v>
      </c>
      <c r="G2240" s="572">
        <v>0.63500000000000001</v>
      </c>
      <c r="H2240" s="545">
        <v>44.45</v>
      </c>
      <c r="I2240" s="554" t="s">
        <v>9218</v>
      </c>
      <c r="J2240" s="554" t="s">
        <v>9219</v>
      </c>
      <c r="K2240" s="554" t="s">
        <v>9219</v>
      </c>
      <c r="L2240" s="537" t="s">
        <v>2354</v>
      </c>
    </row>
    <row r="2241" spans="1:12" x14ac:dyDescent="0.2">
      <c r="A2241" s="547" t="s">
        <v>220</v>
      </c>
      <c r="B2241" s="547" t="s">
        <v>2351</v>
      </c>
      <c r="C2241" s="554" t="s">
        <v>4875</v>
      </c>
      <c r="D2241" s="554" t="s">
        <v>4876</v>
      </c>
      <c r="E2241" s="554" t="s">
        <v>9585</v>
      </c>
      <c r="F2241" s="571">
        <v>104</v>
      </c>
      <c r="G2241" s="572">
        <v>1.078997948051948</v>
      </c>
      <c r="H2241" s="545">
        <v>112.2157865974026</v>
      </c>
      <c r="I2241" s="554" t="s">
        <v>9218</v>
      </c>
      <c r="J2241" s="554" t="s">
        <v>9219</v>
      </c>
      <c r="K2241" s="554" t="s">
        <v>9219</v>
      </c>
      <c r="L2241" s="537" t="s">
        <v>2354</v>
      </c>
    </row>
    <row r="2242" spans="1:12" x14ac:dyDescent="0.2">
      <c r="A2242" s="547" t="s">
        <v>220</v>
      </c>
      <c r="B2242" s="547" t="s">
        <v>2351</v>
      </c>
      <c r="C2242" s="554"/>
      <c r="D2242" s="554" t="s">
        <v>9374</v>
      </c>
      <c r="E2242" s="554" t="s">
        <v>9585</v>
      </c>
      <c r="F2242" s="571">
        <v>152</v>
      </c>
      <c r="G2242" s="572">
        <v>0.156</v>
      </c>
      <c r="H2242" s="545">
        <v>23.712</v>
      </c>
      <c r="I2242" s="554" t="s">
        <v>9218</v>
      </c>
      <c r="J2242" s="554" t="s">
        <v>9219</v>
      </c>
      <c r="K2242" s="554" t="s">
        <v>9219</v>
      </c>
      <c r="L2242" s="537" t="s">
        <v>2354</v>
      </c>
    </row>
    <row r="2243" spans="1:12" x14ac:dyDescent="0.2">
      <c r="A2243" s="547" t="s">
        <v>220</v>
      </c>
      <c r="B2243" s="547" t="s">
        <v>2351</v>
      </c>
      <c r="C2243" s="554" t="s">
        <v>4877</v>
      </c>
      <c r="D2243" s="554" t="s">
        <v>4878</v>
      </c>
      <c r="E2243" s="554" t="s">
        <v>9585</v>
      </c>
      <c r="F2243" s="571">
        <v>123</v>
      </c>
      <c r="G2243" s="572">
        <v>1.0269999999999999</v>
      </c>
      <c r="H2243" s="545">
        <v>126.32099999999998</v>
      </c>
      <c r="I2243" s="554" t="s">
        <v>9218</v>
      </c>
      <c r="J2243" s="554" t="s">
        <v>9219</v>
      </c>
      <c r="K2243" s="554" t="s">
        <v>9219</v>
      </c>
      <c r="L2243" s="537" t="s">
        <v>2354</v>
      </c>
    </row>
    <row r="2244" spans="1:12" x14ac:dyDescent="0.2">
      <c r="A2244" s="547" t="s">
        <v>220</v>
      </c>
      <c r="B2244" s="547" t="s">
        <v>2351</v>
      </c>
      <c r="C2244" s="554" t="s">
        <v>4879</v>
      </c>
      <c r="D2244" s="554" t="s">
        <v>4880</v>
      </c>
      <c r="E2244" s="554" t="s">
        <v>9585</v>
      </c>
      <c r="F2244" s="573">
        <v>180</v>
      </c>
      <c r="G2244" s="545">
        <v>0</v>
      </c>
      <c r="H2244" s="545">
        <v>0</v>
      </c>
      <c r="I2244" s="554" t="s">
        <v>9218</v>
      </c>
      <c r="J2244" s="554" t="s">
        <v>9219</v>
      </c>
      <c r="K2244" s="554" t="s">
        <v>9219</v>
      </c>
      <c r="L2244" s="537" t="s">
        <v>2354</v>
      </c>
    </row>
    <row r="2245" spans="1:12" x14ac:dyDescent="0.2">
      <c r="A2245" s="547" t="s">
        <v>220</v>
      </c>
      <c r="B2245" s="547" t="s">
        <v>2351</v>
      </c>
      <c r="C2245" s="554" t="s">
        <v>4881</v>
      </c>
      <c r="D2245" s="554" t="s">
        <v>4882</v>
      </c>
      <c r="E2245" s="554" t="s">
        <v>9585</v>
      </c>
      <c r="F2245" s="571">
        <v>140</v>
      </c>
      <c r="G2245" s="572">
        <v>0.224</v>
      </c>
      <c r="H2245" s="545">
        <v>31.36</v>
      </c>
      <c r="I2245" s="554" t="s">
        <v>9218</v>
      </c>
      <c r="J2245" s="554" t="s">
        <v>9219</v>
      </c>
      <c r="K2245" s="554" t="s">
        <v>9219</v>
      </c>
      <c r="L2245" s="537" t="s">
        <v>2354</v>
      </c>
    </row>
    <row r="2246" spans="1:12" x14ac:dyDescent="0.2">
      <c r="A2246" s="547" t="s">
        <v>220</v>
      </c>
      <c r="B2246" s="547" t="s">
        <v>2351</v>
      </c>
      <c r="C2246" s="554" t="s">
        <v>4883</v>
      </c>
      <c r="D2246" s="554" t="s">
        <v>4884</v>
      </c>
      <c r="E2246" s="554" t="s">
        <v>9585</v>
      </c>
      <c r="F2246" s="571">
        <v>200</v>
      </c>
      <c r="G2246" s="572">
        <v>0.29299999999999998</v>
      </c>
      <c r="H2246" s="545">
        <v>58.599999999999994</v>
      </c>
      <c r="I2246" s="554" t="s">
        <v>9218</v>
      </c>
      <c r="J2246" s="554" t="s">
        <v>9219</v>
      </c>
      <c r="K2246" s="554" t="s">
        <v>9219</v>
      </c>
      <c r="L2246" s="537" t="s">
        <v>2354</v>
      </c>
    </row>
    <row r="2247" spans="1:12" x14ac:dyDescent="0.2">
      <c r="A2247" s="547" t="s">
        <v>220</v>
      </c>
      <c r="B2247" s="547" t="s">
        <v>2351</v>
      </c>
      <c r="C2247" s="554" t="s">
        <v>4885</v>
      </c>
      <c r="D2247" s="554" t="s">
        <v>4886</v>
      </c>
      <c r="E2247" s="554" t="s">
        <v>9585</v>
      </c>
      <c r="F2247" s="571">
        <v>120</v>
      </c>
      <c r="G2247" s="572">
        <v>0.49233774696707111</v>
      </c>
      <c r="H2247" s="545">
        <v>59.080529636048531</v>
      </c>
      <c r="I2247" s="554" t="s">
        <v>9218</v>
      </c>
      <c r="J2247" s="554" t="s">
        <v>9219</v>
      </c>
      <c r="K2247" s="554" t="s">
        <v>9219</v>
      </c>
      <c r="L2247" s="537" t="s">
        <v>2354</v>
      </c>
    </row>
    <row r="2248" spans="1:12" x14ac:dyDescent="0.2">
      <c r="A2248" s="547" t="s">
        <v>220</v>
      </c>
      <c r="B2248" s="547" t="s">
        <v>2351</v>
      </c>
      <c r="C2248" s="554" t="s">
        <v>4887</v>
      </c>
      <c r="D2248" s="554" t="s">
        <v>4888</v>
      </c>
      <c r="E2248" s="554" t="s">
        <v>9585</v>
      </c>
      <c r="F2248" s="571">
        <v>140</v>
      </c>
      <c r="G2248" s="572">
        <v>0.71399999999999997</v>
      </c>
      <c r="H2248" s="545">
        <v>99.96</v>
      </c>
      <c r="I2248" s="554" t="s">
        <v>9218</v>
      </c>
      <c r="J2248" s="554" t="s">
        <v>9219</v>
      </c>
      <c r="K2248" s="554" t="s">
        <v>9219</v>
      </c>
      <c r="L2248" s="537" t="s">
        <v>2354</v>
      </c>
    </row>
    <row r="2249" spans="1:12" x14ac:dyDescent="0.2">
      <c r="A2249" s="547" t="s">
        <v>220</v>
      </c>
      <c r="B2249" s="547" t="s">
        <v>2351</v>
      </c>
      <c r="C2249" s="554" t="s">
        <v>4889</v>
      </c>
      <c r="D2249" s="554" t="s">
        <v>4890</v>
      </c>
      <c r="E2249" s="554" t="s">
        <v>9585</v>
      </c>
      <c r="F2249" s="571">
        <v>5</v>
      </c>
      <c r="G2249" s="572">
        <v>0.78539999999999988</v>
      </c>
      <c r="H2249" s="545">
        <v>3.9269999999999996</v>
      </c>
      <c r="I2249" s="554" t="s">
        <v>9218</v>
      </c>
      <c r="J2249" s="554" t="s">
        <v>9219</v>
      </c>
      <c r="K2249" s="554" t="s">
        <v>9219</v>
      </c>
      <c r="L2249" s="537" t="s">
        <v>2354</v>
      </c>
    </row>
    <row r="2250" spans="1:12" x14ac:dyDescent="0.2">
      <c r="A2250" s="547" t="s">
        <v>220</v>
      </c>
      <c r="B2250" s="547" t="s">
        <v>2351</v>
      </c>
      <c r="C2250" s="554" t="s">
        <v>4891</v>
      </c>
      <c r="D2250" s="554" t="s">
        <v>4892</v>
      </c>
      <c r="E2250" s="554" t="s">
        <v>9585</v>
      </c>
      <c r="F2250" s="571">
        <v>100</v>
      </c>
      <c r="G2250" s="572">
        <v>0.82448999999999995</v>
      </c>
      <c r="H2250" s="545">
        <v>82.448999999999998</v>
      </c>
      <c r="I2250" s="554" t="s">
        <v>9218</v>
      </c>
      <c r="J2250" s="554" t="s">
        <v>9219</v>
      </c>
      <c r="K2250" s="554" t="s">
        <v>9219</v>
      </c>
      <c r="L2250" s="537" t="s">
        <v>2354</v>
      </c>
    </row>
    <row r="2251" spans="1:12" x14ac:dyDescent="0.2">
      <c r="A2251" s="547" t="s">
        <v>220</v>
      </c>
      <c r="B2251" s="547" t="s">
        <v>2351</v>
      </c>
      <c r="C2251" s="554" t="s">
        <v>4893</v>
      </c>
      <c r="D2251" s="554" t="s">
        <v>4894</v>
      </c>
      <c r="E2251" s="554" t="s">
        <v>9585</v>
      </c>
      <c r="F2251" s="571">
        <v>150</v>
      </c>
      <c r="G2251" s="572">
        <v>1.3174999999999999</v>
      </c>
      <c r="H2251" s="545">
        <v>197.62499999999997</v>
      </c>
      <c r="I2251" s="554" t="s">
        <v>9218</v>
      </c>
      <c r="J2251" s="554" t="s">
        <v>9219</v>
      </c>
      <c r="K2251" s="554" t="s">
        <v>9219</v>
      </c>
      <c r="L2251" s="537" t="s">
        <v>2354</v>
      </c>
    </row>
    <row r="2252" spans="1:12" x14ac:dyDescent="0.2">
      <c r="A2252" s="547" t="s">
        <v>220</v>
      </c>
      <c r="B2252" s="547" t="s">
        <v>2351</v>
      </c>
      <c r="C2252" s="554" t="s">
        <v>4895</v>
      </c>
      <c r="D2252" s="554" t="s">
        <v>4896</v>
      </c>
      <c r="E2252" s="554" t="s">
        <v>9585</v>
      </c>
      <c r="F2252" s="571">
        <v>85</v>
      </c>
      <c r="G2252" s="572">
        <v>0.82450000000000001</v>
      </c>
      <c r="H2252" s="545">
        <v>70.082499999999996</v>
      </c>
      <c r="I2252" s="554" t="s">
        <v>9218</v>
      </c>
      <c r="J2252" s="554" t="s">
        <v>9219</v>
      </c>
      <c r="K2252" s="554" t="s">
        <v>9219</v>
      </c>
      <c r="L2252" s="537" t="s">
        <v>2354</v>
      </c>
    </row>
    <row r="2253" spans="1:12" x14ac:dyDescent="0.2">
      <c r="A2253" s="547" t="s">
        <v>220</v>
      </c>
      <c r="B2253" s="547" t="s">
        <v>2351</v>
      </c>
      <c r="C2253" s="554" t="s">
        <v>4897</v>
      </c>
      <c r="D2253" s="554" t="s">
        <v>4898</v>
      </c>
      <c r="E2253" s="554" t="s">
        <v>9585</v>
      </c>
      <c r="F2253" s="571">
        <v>130</v>
      </c>
      <c r="G2253" s="572">
        <v>1.9635</v>
      </c>
      <c r="H2253" s="545">
        <v>255.255</v>
      </c>
      <c r="I2253" s="554" t="s">
        <v>9218</v>
      </c>
      <c r="J2253" s="554" t="s">
        <v>9219</v>
      </c>
      <c r="K2253" s="554" t="s">
        <v>9219</v>
      </c>
      <c r="L2253" s="537" t="s">
        <v>2354</v>
      </c>
    </row>
    <row r="2254" spans="1:12" x14ac:dyDescent="0.2">
      <c r="A2254" s="547" t="s">
        <v>220</v>
      </c>
      <c r="B2254" s="547" t="s">
        <v>2351</v>
      </c>
      <c r="C2254" s="554"/>
      <c r="D2254" s="554" t="s">
        <v>9375</v>
      </c>
      <c r="E2254" s="554" t="s">
        <v>9585</v>
      </c>
      <c r="F2254" s="571">
        <v>100</v>
      </c>
      <c r="G2254" s="572">
        <v>0.94699999999999995</v>
      </c>
      <c r="H2254" s="545">
        <v>94.699999999999989</v>
      </c>
      <c r="I2254" s="554" t="s">
        <v>9218</v>
      </c>
      <c r="J2254" s="554" t="s">
        <v>9219</v>
      </c>
      <c r="K2254" s="554" t="s">
        <v>9219</v>
      </c>
      <c r="L2254" s="537" t="s">
        <v>2354</v>
      </c>
    </row>
    <row r="2255" spans="1:12" x14ac:dyDescent="0.2">
      <c r="A2255" s="547" t="s">
        <v>220</v>
      </c>
      <c r="B2255" s="547" t="s">
        <v>2351</v>
      </c>
      <c r="C2255" s="554" t="s">
        <v>4899</v>
      </c>
      <c r="D2255" s="554" t="s">
        <v>4900</v>
      </c>
      <c r="E2255" s="554" t="s">
        <v>9585</v>
      </c>
      <c r="F2255" s="571">
        <v>60</v>
      </c>
      <c r="G2255" s="572">
        <v>2.2949999999999999</v>
      </c>
      <c r="H2255" s="545">
        <v>137.69999999999999</v>
      </c>
      <c r="I2255" s="554" t="s">
        <v>9218</v>
      </c>
      <c r="J2255" s="554" t="s">
        <v>9219</v>
      </c>
      <c r="K2255" s="554" t="s">
        <v>9219</v>
      </c>
      <c r="L2255" s="537" t="s">
        <v>2354</v>
      </c>
    </row>
    <row r="2256" spans="1:12" x14ac:dyDescent="0.2">
      <c r="A2256" s="547" t="s">
        <v>220</v>
      </c>
      <c r="B2256" s="547" t="s">
        <v>2351</v>
      </c>
      <c r="C2256" s="554" t="s">
        <v>4901</v>
      </c>
      <c r="D2256" s="554" t="s">
        <v>4902</v>
      </c>
      <c r="E2256" s="554" t="s">
        <v>9585</v>
      </c>
      <c r="F2256" s="571">
        <v>20</v>
      </c>
      <c r="G2256" s="572">
        <v>0.21</v>
      </c>
      <c r="H2256" s="545">
        <v>4.2</v>
      </c>
      <c r="I2256" s="554" t="s">
        <v>9218</v>
      </c>
      <c r="J2256" s="554" t="s">
        <v>9219</v>
      </c>
      <c r="K2256" s="554" t="s">
        <v>9219</v>
      </c>
      <c r="L2256" s="537" t="s">
        <v>2354</v>
      </c>
    </row>
    <row r="2257" spans="1:12" x14ac:dyDescent="0.2">
      <c r="A2257" s="547" t="s">
        <v>220</v>
      </c>
      <c r="B2257" s="547" t="s">
        <v>2351</v>
      </c>
      <c r="C2257" s="554" t="s">
        <v>4903</v>
      </c>
      <c r="D2257" s="554" t="s">
        <v>4904</v>
      </c>
      <c r="E2257" s="554" t="s">
        <v>9585</v>
      </c>
      <c r="F2257" s="571">
        <v>88</v>
      </c>
      <c r="G2257" s="572">
        <v>0.31818000000000002</v>
      </c>
      <c r="H2257" s="545">
        <v>27.999840000000003</v>
      </c>
      <c r="I2257" s="554" t="s">
        <v>9218</v>
      </c>
      <c r="J2257" s="554" t="s">
        <v>9219</v>
      </c>
      <c r="K2257" s="554" t="s">
        <v>9219</v>
      </c>
      <c r="L2257" s="537" t="s">
        <v>2354</v>
      </c>
    </row>
    <row r="2258" spans="1:12" x14ac:dyDescent="0.2">
      <c r="A2258" s="547" t="s">
        <v>220</v>
      </c>
      <c r="B2258" s="547" t="s">
        <v>2351</v>
      </c>
      <c r="C2258" s="554" t="s">
        <v>4905</v>
      </c>
      <c r="D2258" s="554" t="s">
        <v>4906</v>
      </c>
      <c r="E2258" s="554" t="s">
        <v>9585</v>
      </c>
      <c r="F2258" s="571">
        <v>170</v>
      </c>
      <c r="G2258" s="572">
        <v>0.44500000000000001</v>
      </c>
      <c r="H2258" s="545">
        <v>75.650000000000006</v>
      </c>
      <c r="I2258" s="554" t="s">
        <v>9218</v>
      </c>
      <c r="J2258" s="554" t="s">
        <v>9219</v>
      </c>
      <c r="K2258" s="554" t="s">
        <v>9219</v>
      </c>
      <c r="L2258" s="537" t="s">
        <v>2354</v>
      </c>
    </row>
    <row r="2259" spans="1:12" x14ac:dyDescent="0.2">
      <c r="A2259" s="547" t="s">
        <v>220</v>
      </c>
      <c r="B2259" s="547" t="s">
        <v>2351</v>
      </c>
      <c r="C2259" s="554" t="s">
        <v>4907</v>
      </c>
      <c r="D2259" s="554" t="s">
        <v>4908</v>
      </c>
      <c r="E2259" s="554" t="s">
        <v>9585</v>
      </c>
      <c r="F2259" s="571">
        <v>32</v>
      </c>
      <c r="G2259" s="572">
        <v>0.58799999999999997</v>
      </c>
      <c r="H2259" s="545">
        <v>18.815999999999999</v>
      </c>
      <c r="I2259" s="554" t="s">
        <v>9218</v>
      </c>
      <c r="J2259" s="554" t="s">
        <v>9219</v>
      </c>
      <c r="K2259" s="554" t="s">
        <v>9219</v>
      </c>
      <c r="L2259" s="537" t="s">
        <v>2354</v>
      </c>
    </row>
    <row r="2260" spans="1:12" x14ac:dyDescent="0.2">
      <c r="A2260" s="547" t="s">
        <v>220</v>
      </c>
      <c r="B2260" s="547" t="s">
        <v>2351</v>
      </c>
      <c r="C2260" s="554" t="s">
        <v>4909</v>
      </c>
      <c r="D2260" s="554" t="s">
        <v>4910</v>
      </c>
      <c r="E2260" s="554" t="s">
        <v>9585</v>
      </c>
      <c r="F2260" s="571">
        <v>91</v>
      </c>
      <c r="G2260" s="572">
        <v>0.67300000000000004</v>
      </c>
      <c r="H2260" s="545">
        <v>61.243000000000002</v>
      </c>
      <c r="I2260" s="554" t="s">
        <v>9218</v>
      </c>
      <c r="J2260" s="554" t="s">
        <v>9219</v>
      </c>
      <c r="K2260" s="554" t="s">
        <v>9219</v>
      </c>
      <c r="L2260" s="537" t="s">
        <v>2354</v>
      </c>
    </row>
    <row r="2261" spans="1:12" x14ac:dyDescent="0.2">
      <c r="A2261" s="547" t="s">
        <v>220</v>
      </c>
      <c r="B2261" s="547" t="s">
        <v>2351</v>
      </c>
      <c r="C2261" s="554" t="s">
        <v>4911</v>
      </c>
      <c r="D2261" s="554" t="s">
        <v>4912</v>
      </c>
      <c r="E2261" s="554" t="s">
        <v>9585</v>
      </c>
      <c r="F2261" s="571">
        <v>40</v>
      </c>
      <c r="G2261" s="572">
        <v>0.69615000000000005</v>
      </c>
      <c r="H2261" s="545">
        <v>27.846000000000004</v>
      </c>
      <c r="I2261" s="554" t="s">
        <v>9218</v>
      </c>
      <c r="J2261" s="554" t="s">
        <v>9219</v>
      </c>
      <c r="K2261" s="554" t="s">
        <v>9219</v>
      </c>
      <c r="L2261" s="537" t="s">
        <v>2354</v>
      </c>
    </row>
    <row r="2262" spans="1:12" x14ac:dyDescent="0.2">
      <c r="A2262" s="547" t="s">
        <v>220</v>
      </c>
      <c r="B2262" s="547" t="s">
        <v>2351</v>
      </c>
      <c r="C2262" s="554" t="s">
        <v>4913</v>
      </c>
      <c r="D2262" s="554" t="s">
        <v>4914</v>
      </c>
      <c r="E2262" s="554" t="s">
        <v>9585</v>
      </c>
      <c r="F2262" s="571">
        <v>100</v>
      </c>
      <c r="G2262" s="572">
        <v>1.071</v>
      </c>
      <c r="H2262" s="545">
        <v>107.1</v>
      </c>
      <c r="I2262" s="554" t="s">
        <v>9218</v>
      </c>
      <c r="J2262" s="554" t="s">
        <v>9219</v>
      </c>
      <c r="K2262" s="554" t="s">
        <v>9219</v>
      </c>
      <c r="L2262" s="537" t="s">
        <v>2354</v>
      </c>
    </row>
    <row r="2263" spans="1:12" x14ac:dyDescent="0.2">
      <c r="A2263" s="547" t="s">
        <v>220</v>
      </c>
      <c r="B2263" s="547" t="s">
        <v>2351</v>
      </c>
      <c r="C2263" s="554" t="s">
        <v>4915</v>
      </c>
      <c r="D2263" s="554" t="s">
        <v>4916</v>
      </c>
      <c r="E2263" s="554" t="s">
        <v>9585</v>
      </c>
      <c r="F2263" s="571">
        <v>80</v>
      </c>
      <c r="G2263" s="572">
        <v>1.5776000000000001</v>
      </c>
      <c r="H2263" s="545">
        <v>126.20800000000001</v>
      </c>
      <c r="I2263" s="554" t="s">
        <v>9218</v>
      </c>
      <c r="J2263" s="554" t="s">
        <v>9219</v>
      </c>
      <c r="K2263" s="554" t="s">
        <v>9219</v>
      </c>
      <c r="L2263" s="537" t="s">
        <v>2354</v>
      </c>
    </row>
    <row r="2264" spans="1:12" x14ac:dyDescent="0.2">
      <c r="A2264" s="547" t="s">
        <v>220</v>
      </c>
      <c r="B2264" s="547" t="s">
        <v>2351</v>
      </c>
      <c r="C2264" s="554" t="s">
        <v>4917</v>
      </c>
      <c r="D2264" s="554" t="s">
        <v>4918</v>
      </c>
      <c r="E2264" s="554" t="s">
        <v>9585</v>
      </c>
      <c r="F2264" s="571">
        <v>51</v>
      </c>
      <c r="G2264" s="572">
        <v>1.069E-2</v>
      </c>
      <c r="H2264" s="545">
        <v>0.54518999999999995</v>
      </c>
      <c r="I2264" s="554" t="s">
        <v>9218</v>
      </c>
      <c r="J2264" s="554" t="s">
        <v>9219</v>
      </c>
      <c r="K2264" s="554" t="s">
        <v>9219</v>
      </c>
      <c r="L2264" s="537" t="s">
        <v>2354</v>
      </c>
    </row>
    <row r="2265" spans="1:12" x14ac:dyDescent="0.2">
      <c r="A2265" s="547" t="s">
        <v>220</v>
      </c>
      <c r="B2265" s="547" t="s">
        <v>2351</v>
      </c>
      <c r="C2265" s="554" t="s">
        <v>4919</v>
      </c>
      <c r="D2265" s="554" t="s">
        <v>4920</v>
      </c>
      <c r="E2265" s="554" t="s">
        <v>9585</v>
      </c>
      <c r="F2265" s="571">
        <v>703</v>
      </c>
      <c r="G2265" s="572">
        <v>1.2E-2</v>
      </c>
      <c r="H2265" s="545">
        <v>8.4359999999999999</v>
      </c>
      <c r="I2265" s="554" t="s">
        <v>9218</v>
      </c>
      <c r="J2265" s="554" t="s">
        <v>9219</v>
      </c>
      <c r="K2265" s="554" t="s">
        <v>9219</v>
      </c>
      <c r="L2265" s="537" t="s">
        <v>2354</v>
      </c>
    </row>
    <row r="2266" spans="1:12" x14ac:dyDescent="0.2">
      <c r="A2266" s="547" t="s">
        <v>220</v>
      </c>
      <c r="B2266" s="547" t="s">
        <v>2351</v>
      </c>
      <c r="C2266" s="554" t="s">
        <v>4921</v>
      </c>
      <c r="D2266" s="554" t="s">
        <v>4922</v>
      </c>
      <c r="E2266" s="554" t="s">
        <v>9585</v>
      </c>
      <c r="F2266" s="571">
        <v>523</v>
      </c>
      <c r="G2266" s="572">
        <v>1.7000000000000001E-2</v>
      </c>
      <c r="H2266" s="545">
        <v>8.891</v>
      </c>
      <c r="I2266" s="554" t="s">
        <v>9218</v>
      </c>
      <c r="J2266" s="554" t="s">
        <v>9219</v>
      </c>
      <c r="K2266" s="554" t="s">
        <v>9219</v>
      </c>
      <c r="L2266" s="537" t="s">
        <v>2354</v>
      </c>
    </row>
    <row r="2267" spans="1:12" x14ac:dyDescent="0.2">
      <c r="A2267" s="547" t="s">
        <v>220</v>
      </c>
      <c r="B2267" s="547" t="s">
        <v>2351</v>
      </c>
      <c r="C2267" s="554" t="s">
        <v>4923</v>
      </c>
      <c r="D2267" s="554" t="s">
        <v>4924</v>
      </c>
      <c r="E2267" s="554" t="s">
        <v>9585</v>
      </c>
      <c r="F2267" s="571">
        <v>649</v>
      </c>
      <c r="G2267" s="572">
        <v>5.6169999999999998E-2</v>
      </c>
      <c r="H2267" s="545">
        <v>36.454329999999999</v>
      </c>
      <c r="I2267" s="554" t="s">
        <v>9218</v>
      </c>
      <c r="J2267" s="554" t="s">
        <v>9219</v>
      </c>
      <c r="K2267" s="554" t="s">
        <v>9219</v>
      </c>
      <c r="L2267" s="537" t="s">
        <v>2354</v>
      </c>
    </row>
    <row r="2268" spans="1:12" x14ac:dyDescent="0.2">
      <c r="A2268" s="547" t="s">
        <v>220</v>
      </c>
      <c r="B2268" s="547" t="s">
        <v>2351</v>
      </c>
      <c r="C2268" s="554" t="s">
        <v>4925</v>
      </c>
      <c r="D2268" s="554" t="s">
        <v>4926</v>
      </c>
      <c r="E2268" s="554" t="s">
        <v>9585</v>
      </c>
      <c r="F2268" s="571">
        <v>726</v>
      </c>
      <c r="G2268" s="572">
        <v>0.11</v>
      </c>
      <c r="H2268" s="545">
        <v>79.86</v>
      </c>
      <c r="I2268" s="554" t="s">
        <v>9218</v>
      </c>
      <c r="J2268" s="554" t="s">
        <v>9219</v>
      </c>
      <c r="K2268" s="554" t="s">
        <v>9219</v>
      </c>
      <c r="L2268" s="537" t="s">
        <v>2354</v>
      </c>
    </row>
    <row r="2269" spans="1:12" x14ac:dyDescent="0.2">
      <c r="A2269" s="547" t="s">
        <v>220</v>
      </c>
      <c r="B2269" s="547" t="s">
        <v>2351</v>
      </c>
      <c r="C2269" s="554" t="s">
        <v>4927</v>
      </c>
      <c r="D2269" s="554" t="s">
        <v>4928</v>
      </c>
      <c r="E2269" s="554" t="s">
        <v>9585</v>
      </c>
      <c r="F2269" s="571">
        <v>360</v>
      </c>
      <c r="G2269" s="572">
        <v>0.127</v>
      </c>
      <c r="H2269" s="545">
        <v>45.72</v>
      </c>
      <c r="I2269" s="554" t="s">
        <v>9218</v>
      </c>
      <c r="J2269" s="554" t="s">
        <v>9219</v>
      </c>
      <c r="K2269" s="554" t="s">
        <v>9219</v>
      </c>
      <c r="L2269" s="537" t="s">
        <v>2354</v>
      </c>
    </row>
    <row r="2270" spans="1:12" x14ac:dyDescent="0.2">
      <c r="A2270" s="547" t="s">
        <v>220</v>
      </c>
      <c r="B2270" s="547" t="s">
        <v>2351</v>
      </c>
      <c r="C2270" s="554" t="s">
        <v>4929</v>
      </c>
      <c r="D2270" s="554" t="s">
        <v>4930</v>
      </c>
      <c r="E2270" s="554" t="s">
        <v>9585</v>
      </c>
      <c r="F2270" s="571">
        <v>534</v>
      </c>
      <c r="G2270" s="572">
        <v>0.30299999999999999</v>
      </c>
      <c r="H2270" s="545">
        <v>161.80199999999999</v>
      </c>
      <c r="I2270" s="554" t="s">
        <v>9218</v>
      </c>
      <c r="J2270" s="554" t="s">
        <v>9219</v>
      </c>
      <c r="K2270" s="554" t="s">
        <v>9219</v>
      </c>
      <c r="L2270" s="537" t="s">
        <v>2354</v>
      </c>
    </row>
    <row r="2271" spans="1:12" x14ac:dyDescent="0.2">
      <c r="A2271" s="547" t="s">
        <v>220</v>
      </c>
      <c r="B2271" s="547" t="s">
        <v>2351</v>
      </c>
      <c r="C2271" s="554" t="s">
        <v>4931</v>
      </c>
      <c r="D2271" s="554" t="s">
        <v>4932</v>
      </c>
      <c r="E2271" s="554" t="s">
        <v>9585</v>
      </c>
      <c r="F2271" s="571">
        <v>210</v>
      </c>
      <c r="G2271" s="572">
        <v>7.8E-2</v>
      </c>
      <c r="H2271" s="545">
        <v>16.38</v>
      </c>
      <c r="I2271" s="554" t="s">
        <v>9218</v>
      </c>
      <c r="J2271" s="554" t="s">
        <v>9219</v>
      </c>
      <c r="K2271" s="554" t="s">
        <v>9219</v>
      </c>
      <c r="L2271" s="537" t="s">
        <v>2354</v>
      </c>
    </row>
    <row r="2272" spans="1:12" x14ac:dyDescent="0.2">
      <c r="A2272" s="547" t="s">
        <v>220</v>
      </c>
      <c r="B2272" s="547" t="s">
        <v>2351</v>
      </c>
      <c r="C2272" s="554" t="s">
        <v>4933</v>
      </c>
      <c r="D2272" s="554" t="s">
        <v>4934</v>
      </c>
      <c r="E2272" s="554" t="s">
        <v>9585</v>
      </c>
      <c r="F2272" s="571">
        <v>369</v>
      </c>
      <c r="G2272" s="572">
        <v>7.1999999999999995E-2</v>
      </c>
      <c r="H2272" s="545">
        <v>26.567999999999998</v>
      </c>
      <c r="I2272" s="554" t="s">
        <v>9218</v>
      </c>
      <c r="J2272" s="554" t="s">
        <v>9219</v>
      </c>
      <c r="K2272" s="554" t="s">
        <v>9219</v>
      </c>
      <c r="L2272" s="537" t="s">
        <v>2354</v>
      </c>
    </row>
    <row r="2273" spans="1:12" x14ac:dyDescent="0.2">
      <c r="A2273" s="547" t="s">
        <v>220</v>
      </c>
      <c r="B2273" s="547" t="s">
        <v>2351</v>
      </c>
      <c r="C2273" s="554" t="s">
        <v>4935</v>
      </c>
      <c r="D2273" s="554" t="s">
        <v>4936</v>
      </c>
      <c r="E2273" s="554" t="s">
        <v>9585</v>
      </c>
      <c r="F2273" s="571">
        <v>500</v>
      </c>
      <c r="G2273" s="572">
        <v>8.2000000000000003E-2</v>
      </c>
      <c r="H2273" s="545">
        <v>41</v>
      </c>
      <c r="I2273" s="554" t="s">
        <v>9218</v>
      </c>
      <c r="J2273" s="554" t="s">
        <v>9219</v>
      </c>
      <c r="K2273" s="554" t="s">
        <v>9219</v>
      </c>
      <c r="L2273" s="537" t="s">
        <v>2354</v>
      </c>
    </row>
    <row r="2274" spans="1:12" x14ac:dyDescent="0.2">
      <c r="A2274" s="547" t="s">
        <v>220</v>
      </c>
      <c r="B2274" s="547" t="s">
        <v>2351</v>
      </c>
      <c r="C2274" s="554" t="s">
        <v>4937</v>
      </c>
      <c r="D2274" s="554" t="s">
        <v>4938</v>
      </c>
      <c r="E2274" s="554" t="s">
        <v>9585</v>
      </c>
      <c r="F2274" s="571">
        <v>428</v>
      </c>
      <c r="G2274" s="572">
        <v>0.15327726708074535</v>
      </c>
      <c r="H2274" s="545">
        <v>65.602670310559006</v>
      </c>
      <c r="I2274" s="554" t="s">
        <v>9218</v>
      </c>
      <c r="J2274" s="554" t="s">
        <v>9219</v>
      </c>
      <c r="K2274" s="554" t="s">
        <v>9219</v>
      </c>
      <c r="L2274" s="537" t="s">
        <v>2354</v>
      </c>
    </row>
    <row r="2275" spans="1:12" x14ac:dyDescent="0.2">
      <c r="A2275" s="547" t="s">
        <v>220</v>
      </c>
      <c r="B2275" s="547" t="s">
        <v>2351</v>
      </c>
      <c r="C2275" s="554" t="s">
        <v>4939</v>
      </c>
      <c r="D2275" s="554" t="s">
        <v>4940</v>
      </c>
      <c r="E2275" s="554" t="s">
        <v>9585</v>
      </c>
      <c r="F2275" s="571">
        <v>208</v>
      </c>
      <c r="G2275" s="572">
        <v>0.27565000000000001</v>
      </c>
      <c r="H2275" s="545">
        <v>57.3352</v>
      </c>
      <c r="I2275" s="554" t="s">
        <v>9218</v>
      </c>
      <c r="J2275" s="554" t="s">
        <v>9219</v>
      </c>
      <c r="K2275" s="554" t="s">
        <v>9219</v>
      </c>
      <c r="L2275" s="537" t="s">
        <v>2354</v>
      </c>
    </row>
    <row r="2276" spans="1:12" x14ac:dyDescent="0.2">
      <c r="A2276" s="547" t="s">
        <v>220</v>
      </c>
      <c r="B2276" s="547" t="s">
        <v>2351</v>
      </c>
      <c r="C2276" s="554" t="s">
        <v>4941</v>
      </c>
      <c r="D2276" s="554" t="s">
        <v>4942</v>
      </c>
      <c r="E2276" s="554" t="s">
        <v>9585</v>
      </c>
      <c r="F2276" s="571">
        <v>408</v>
      </c>
      <c r="G2276" s="572">
        <v>0.41649999999999998</v>
      </c>
      <c r="H2276" s="545">
        <v>169.93199999999999</v>
      </c>
      <c r="I2276" s="554" t="s">
        <v>9218</v>
      </c>
      <c r="J2276" s="554" t="s">
        <v>9219</v>
      </c>
      <c r="K2276" s="554" t="s">
        <v>9219</v>
      </c>
      <c r="L2276" s="537" t="s">
        <v>2354</v>
      </c>
    </row>
    <row r="2277" spans="1:12" x14ac:dyDescent="0.2">
      <c r="A2277" s="547" t="s">
        <v>220</v>
      </c>
      <c r="B2277" s="547" t="s">
        <v>2351</v>
      </c>
      <c r="C2277" s="554" t="s">
        <v>4943</v>
      </c>
      <c r="D2277" s="554" t="s">
        <v>4944</v>
      </c>
      <c r="E2277" s="554" t="s">
        <v>9585</v>
      </c>
      <c r="F2277" s="571">
        <v>101</v>
      </c>
      <c r="G2277" s="572">
        <v>3.7376999999999998</v>
      </c>
      <c r="H2277" s="545">
        <v>377.5077</v>
      </c>
      <c r="I2277" s="554" t="s">
        <v>9218</v>
      </c>
      <c r="J2277" s="554" t="s">
        <v>9219</v>
      </c>
      <c r="K2277" s="554" t="s">
        <v>9219</v>
      </c>
      <c r="L2277" s="537" t="s">
        <v>2354</v>
      </c>
    </row>
    <row r="2278" spans="1:12" x14ac:dyDescent="0.2">
      <c r="A2278" s="547" t="s">
        <v>220</v>
      </c>
      <c r="B2278" s="547" t="s">
        <v>2351</v>
      </c>
      <c r="C2278" s="554" t="s">
        <v>4945</v>
      </c>
      <c r="D2278" s="554" t="s">
        <v>4946</v>
      </c>
      <c r="E2278" s="554" t="s">
        <v>9585</v>
      </c>
      <c r="F2278" s="571">
        <v>170</v>
      </c>
      <c r="G2278" s="572">
        <v>0.16788</v>
      </c>
      <c r="H2278" s="545">
        <v>28.5396</v>
      </c>
      <c r="I2278" s="554" t="s">
        <v>9218</v>
      </c>
      <c r="J2278" s="554" t="s">
        <v>9219</v>
      </c>
      <c r="K2278" s="554" t="s">
        <v>9219</v>
      </c>
      <c r="L2278" s="537" t="s">
        <v>2354</v>
      </c>
    </row>
    <row r="2279" spans="1:12" x14ac:dyDescent="0.2">
      <c r="A2279" s="547" t="s">
        <v>220</v>
      </c>
      <c r="B2279" s="547" t="s">
        <v>2351</v>
      </c>
      <c r="C2279" s="554" t="s">
        <v>4947</v>
      </c>
      <c r="D2279" s="554" t="s">
        <v>4948</v>
      </c>
      <c r="E2279" s="554" t="s">
        <v>9585</v>
      </c>
      <c r="F2279" s="571">
        <v>285</v>
      </c>
      <c r="G2279" s="572">
        <v>0.08</v>
      </c>
      <c r="H2279" s="545">
        <v>22.8</v>
      </c>
      <c r="I2279" s="554" t="s">
        <v>9218</v>
      </c>
      <c r="J2279" s="554" t="s">
        <v>9219</v>
      </c>
      <c r="K2279" s="554" t="s">
        <v>9219</v>
      </c>
      <c r="L2279" s="537" t="s">
        <v>2354</v>
      </c>
    </row>
    <row r="2280" spans="1:12" x14ac:dyDescent="0.2">
      <c r="A2280" s="547" t="s">
        <v>220</v>
      </c>
      <c r="B2280" s="547" t="s">
        <v>2351</v>
      </c>
      <c r="C2280" s="554" t="s">
        <v>4949</v>
      </c>
      <c r="D2280" s="554" t="s">
        <v>4950</v>
      </c>
      <c r="E2280" s="554" t="s">
        <v>9585</v>
      </c>
      <c r="F2280" s="571">
        <v>365</v>
      </c>
      <c r="G2280" s="572">
        <v>0.18895999999999999</v>
      </c>
      <c r="H2280" s="545">
        <v>68.970399999999998</v>
      </c>
      <c r="I2280" s="554" t="s">
        <v>9218</v>
      </c>
      <c r="J2280" s="554" t="s">
        <v>9219</v>
      </c>
      <c r="K2280" s="554" t="s">
        <v>9219</v>
      </c>
      <c r="L2280" s="537" t="s">
        <v>2354</v>
      </c>
    </row>
    <row r="2281" spans="1:12" x14ac:dyDescent="0.2">
      <c r="A2281" s="547" t="s">
        <v>220</v>
      </c>
      <c r="B2281" s="547" t="s">
        <v>2351</v>
      </c>
      <c r="C2281" s="554" t="s">
        <v>4951</v>
      </c>
      <c r="D2281" s="554" t="s">
        <v>4952</v>
      </c>
      <c r="E2281" s="554" t="s">
        <v>9585</v>
      </c>
      <c r="F2281" s="571">
        <v>48</v>
      </c>
      <c r="G2281" s="572">
        <v>0.189</v>
      </c>
      <c r="H2281" s="545">
        <v>9.0719999999999992</v>
      </c>
      <c r="I2281" s="554" t="s">
        <v>9218</v>
      </c>
      <c r="J2281" s="554" t="s">
        <v>9219</v>
      </c>
      <c r="K2281" s="554" t="s">
        <v>9219</v>
      </c>
      <c r="L2281" s="537" t="s">
        <v>2354</v>
      </c>
    </row>
    <row r="2282" spans="1:12" x14ac:dyDescent="0.2">
      <c r="A2282" s="547" t="s">
        <v>220</v>
      </c>
      <c r="B2282" s="547" t="s">
        <v>2351</v>
      </c>
      <c r="C2282" s="554" t="s">
        <v>4953</v>
      </c>
      <c r="D2282" s="554" t="s">
        <v>4954</v>
      </c>
      <c r="E2282" s="554" t="s">
        <v>9585</v>
      </c>
      <c r="F2282" s="571">
        <v>58</v>
      </c>
      <c r="G2282" s="572">
        <v>0.124</v>
      </c>
      <c r="H2282" s="545">
        <v>7.1920000000000002</v>
      </c>
      <c r="I2282" s="554" t="s">
        <v>9218</v>
      </c>
      <c r="J2282" s="554" t="s">
        <v>9219</v>
      </c>
      <c r="K2282" s="554" t="s">
        <v>9219</v>
      </c>
      <c r="L2282" s="537" t="s">
        <v>2354</v>
      </c>
    </row>
    <row r="2283" spans="1:12" x14ac:dyDescent="0.2">
      <c r="A2283" s="547" t="s">
        <v>220</v>
      </c>
      <c r="B2283" s="547" t="s">
        <v>2351</v>
      </c>
      <c r="C2283" s="554" t="s">
        <v>4955</v>
      </c>
      <c r="D2283" s="554" t="s">
        <v>4956</v>
      </c>
      <c r="E2283" s="554" t="s">
        <v>9585</v>
      </c>
      <c r="F2283" s="571">
        <v>200</v>
      </c>
      <c r="G2283" s="572">
        <v>0.128</v>
      </c>
      <c r="H2283" s="545">
        <v>25.6</v>
      </c>
      <c r="I2283" s="554" t="s">
        <v>9218</v>
      </c>
      <c r="J2283" s="554" t="s">
        <v>9219</v>
      </c>
      <c r="K2283" s="554" t="s">
        <v>9219</v>
      </c>
      <c r="L2283" s="537" t="s">
        <v>2354</v>
      </c>
    </row>
    <row r="2284" spans="1:12" x14ac:dyDescent="0.2">
      <c r="A2284" s="547" t="s">
        <v>220</v>
      </c>
      <c r="B2284" s="547" t="s">
        <v>2351</v>
      </c>
      <c r="C2284" s="554" t="s">
        <v>4957</v>
      </c>
      <c r="D2284" s="554" t="s">
        <v>4958</v>
      </c>
      <c r="E2284" s="554" t="s">
        <v>9585</v>
      </c>
      <c r="F2284" s="571">
        <v>65</v>
      </c>
      <c r="G2284" s="572">
        <v>0.152</v>
      </c>
      <c r="H2284" s="545">
        <v>9.879999999999999</v>
      </c>
      <c r="I2284" s="554" t="s">
        <v>9218</v>
      </c>
      <c r="J2284" s="554" t="s">
        <v>9219</v>
      </c>
      <c r="K2284" s="554" t="s">
        <v>9219</v>
      </c>
      <c r="L2284" s="537" t="s">
        <v>2354</v>
      </c>
    </row>
    <row r="2285" spans="1:12" x14ac:dyDescent="0.2">
      <c r="A2285" s="547" t="s">
        <v>220</v>
      </c>
      <c r="B2285" s="547" t="s">
        <v>2351</v>
      </c>
      <c r="C2285" s="554" t="s">
        <v>4959</v>
      </c>
      <c r="D2285" s="554" t="s">
        <v>4960</v>
      </c>
      <c r="E2285" s="554" t="s">
        <v>9585</v>
      </c>
      <c r="F2285" s="571">
        <v>72</v>
      </c>
      <c r="G2285" s="572">
        <v>0.28334745762711866</v>
      </c>
      <c r="H2285" s="545">
        <v>20.401016949152542</v>
      </c>
      <c r="I2285" s="554" t="s">
        <v>9218</v>
      </c>
      <c r="J2285" s="554" t="s">
        <v>9219</v>
      </c>
      <c r="K2285" s="554" t="s">
        <v>9219</v>
      </c>
      <c r="L2285" s="537" t="s">
        <v>2354</v>
      </c>
    </row>
    <row r="2286" spans="1:12" x14ac:dyDescent="0.2">
      <c r="A2286" s="547" t="s">
        <v>220</v>
      </c>
      <c r="B2286" s="547" t="s">
        <v>2351</v>
      </c>
      <c r="C2286" s="554" t="s">
        <v>4961</v>
      </c>
      <c r="D2286" s="554" t="s">
        <v>4962</v>
      </c>
      <c r="E2286" s="554" t="s">
        <v>9585</v>
      </c>
      <c r="F2286" s="571">
        <v>5</v>
      </c>
      <c r="G2286" s="572">
        <v>1.3260000000000001</v>
      </c>
      <c r="H2286" s="545">
        <v>6.6300000000000008</v>
      </c>
      <c r="I2286" s="554" t="s">
        <v>9218</v>
      </c>
      <c r="J2286" s="554" t="s">
        <v>9219</v>
      </c>
      <c r="K2286" s="554" t="s">
        <v>9219</v>
      </c>
      <c r="L2286" s="537" t="s">
        <v>2354</v>
      </c>
    </row>
    <row r="2287" spans="1:12" x14ac:dyDescent="0.2">
      <c r="A2287" s="547" t="s">
        <v>220</v>
      </c>
      <c r="B2287" s="547" t="s">
        <v>2351</v>
      </c>
      <c r="C2287" s="554" t="s">
        <v>4963</v>
      </c>
      <c r="D2287" s="554" t="s">
        <v>4964</v>
      </c>
      <c r="E2287" s="554" t="s">
        <v>9585</v>
      </c>
      <c r="F2287" s="571">
        <v>5.25</v>
      </c>
      <c r="G2287" s="572">
        <v>2.2429999999999999</v>
      </c>
      <c r="H2287" s="545">
        <v>11.775749999999999</v>
      </c>
      <c r="I2287" s="554" t="s">
        <v>9218</v>
      </c>
      <c r="J2287" s="554" t="s">
        <v>9219</v>
      </c>
      <c r="K2287" s="554" t="s">
        <v>9219</v>
      </c>
      <c r="L2287" s="537" t="s">
        <v>2354</v>
      </c>
    </row>
    <row r="2288" spans="1:12" x14ac:dyDescent="0.2">
      <c r="A2288" s="547" t="s">
        <v>220</v>
      </c>
      <c r="B2288" s="547" t="s">
        <v>2351</v>
      </c>
      <c r="C2288" s="554" t="s">
        <v>4965</v>
      </c>
      <c r="D2288" s="554" t="s">
        <v>4966</v>
      </c>
      <c r="E2288" s="554" t="s">
        <v>9585</v>
      </c>
      <c r="F2288" s="571">
        <v>5</v>
      </c>
      <c r="G2288" s="572">
        <v>3.2429999999999999</v>
      </c>
      <c r="H2288" s="545">
        <v>16.215</v>
      </c>
      <c r="I2288" s="554" t="s">
        <v>9218</v>
      </c>
      <c r="J2288" s="554" t="s">
        <v>9219</v>
      </c>
      <c r="K2288" s="554" t="s">
        <v>9219</v>
      </c>
      <c r="L2288" s="537" t="s">
        <v>2354</v>
      </c>
    </row>
    <row r="2289" spans="1:12" x14ac:dyDescent="0.2">
      <c r="A2289" s="547" t="s">
        <v>220</v>
      </c>
      <c r="B2289" s="547" t="s">
        <v>2351</v>
      </c>
      <c r="C2289" s="554" t="s">
        <v>4967</v>
      </c>
      <c r="D2289" s="554" t="s">
        <v>4968</v>
      </c>
      <c r="E2289" s="554" t="s">
        <v>9585</v>
      </c>
      <c r="F2289" s="571">
        <v>2</v>
      </c>
      <c r="G2289" s="572">
        <v>4.4850000000000003</v>
      </c>
      <c r="H2289" s="545">
        <v>8.9700000000000006</v>
      </c>
      <c r="I2289" s="554" t="s">
        <v>9218</v>
      </c>
      <c r="J2289" s="554" t="s">
        <v>9219</v>
      </c>
      <c r="K2289" s="554" t="s">
        <v>9219</v>
      </c>
      <c r="L2289" s="537" t="s">
        <v>2354</v>
      </c>
    </row>
    <row r="2290" spans="1:12" x14ac:dyDescent="0.2">
      <c r="A2290" s="547" t="s">
        <v>220</v>
      </c>
      <c r="B2290" s="547" t="s">
        <v>2351</v>
      </c>
      <c r="C2290" s="554" t="s">
        <v>4969</v>
      </c>
      <c r="D2290" s="554" t="s">
        <v>4970</v>
      </c>
      <c r="E2290" s="554" t="s">
        <v>9585</v>
      </c>
      <c r="F2290" s="571">
        <v>4</v>
      </c>
      <c r="G2290" s="572">
        <v>4.3360000000000003</v>
      </c>
      <c r="H2290" s="545">
        <v>17.344000000000001</v>
      </c>
      <c r="I2290" s="554" t="s">
        <v>9218</v>
      </c>
      <c r="J2290" s="554" t="s">
        <v>9219</v>
      </c>
      <c r="K2290" s="554" t="s">
        <v>9219</v>
      </c>
      <c r="L2290" s="537" t="s">
        <v>2354</v>
      </c>
    </row>
    <row r="2291" spans="1:12" x14ac:dyDescent="0.2">
      <c r="A2291" s="547" t="s">
        <v>220</v>
      </c>
      <c r="B2291" s="547" t="s">
        <v>2351</v>
      </c>
      <c r="C2291" s="554" t="s">
        <v>4971</v>
      </c>
      <c r="D2291" s="554" t="s">
        <v>4972</v>
      </c>
      <c r="E2291" s="554" t="s">
        <v>9585</v>
      </c>
      <c r="F2291" s="571">
        <v>4</v>
      </c>
      <c r="G2291" s="572">
        <v>8.4700000000000006</v>
      </c>
      <c r="H2291" s="545">
        <v>33.880000000000003</v>
      </c>
      <c r="I2291" s="554" t="s">
        <v>9218</v>
      </c>
      <c r="J2291" s="554" t="s">
        <v>9219</v>
      </c>
      <c r="K2291" s="554" t="s">
        <v>9219</v>
      </c>
      <c r="L2291" s="537" t="s">
        <v>2354</v>
      </c>
    </row>
    <row r="2292" spans="1:12" x14ac:dyDescent="0.2">
      <c r="A2292" s="547" t="s">
        <v>220</v>
      </c>
      <c r="B2292" s="547" t="s">
        <v>2351</v>
      </c>
      <c r="C2292" s="554" t="s">
        <v>4973</v>
      </c>
      <c r="D2292" s="554" t="s">
        <v>4974</v>
      </c>
      <c r="E2292" s="554" t="s">
        <v>9585</v>
      </c>
      <c r="F2292" s="571">
        <v>317</v>
      </c>
      <c r="G2292" s="572">
        <v>6.1900000000000002E-3</v>
      </c>
      <c r="H2292" s="545">
        <v>1.9622300000000001</v>
      </c>
      <c r="I2292" s="554" t="s">
        <v>9218</v>
      </c>
      <c r="J2292" s="554" t="s">
        <v>9219</v>
      </c>
      <c r="K2292" s="554" t="s">
        <v>9219</v>
      </c>
      <c r="L2292" s="537" t="s">
        <v>2354</v>
      </c>
    </row>
    <row r="2293" spans="1:12" x14ac:dyDescent="0.2">
      <c r="A2293" s="547" t="s">
        <v>220</v>
      </c>
      <c r="B2293" s="547" t="s">
        <v>2351</v>
      </c>
      <c r="C2293" s="554" t="s">
        <v>4975</v>
      </c>
      <c r="D2293" s="554" t="s">
        <v>4976</v>
      </c>
      <c r="E2293" s="554" t="s">
        <v>9585</v>
      </c>
      <c r="F2293" s="571">
        <v>214</v>
      </c>
      <c r="G2293" s="572">
        <v>7.6499999999999999E-2</v>
      </c>
      <c r="H2293" s="545">
        <v>16.370999999999999</v>
      </c>
      <c r="I2293" s="554" t="s">
        <v>9218</v>
      </c>
      <c r="J2293" s="554" t="s">
        <v>9219</v>
      </c>
      <c r="K2293" s="554" t="s">
        <v>9219</v>
      </c>
      <c r="L2293" s="537" t="s">
        <v>2354</v>
      </c>
    </row>
    <row r="2294" spans="1:12" x14ac:dyDescent="0.2">
      <c r="A2294" s="547" t="s">
        <v>220</v>
      </c>
      <c r="B2294" s="547" t="s">
        <v>2351</v>
      </c>
      <c r="C2294" s="554" t="s">
        <v>4977</v>
      </c>
      <c r="D2294" s="554" t="s">
        <v>4978</v>
      </c>
      <c r="E2294" s="554" t="s">
        <v>9585</v>
      </c>
      <c r="F2294" s="571">
        <v>637</v>
      </c>
      <c r="G2294" s="572">
        <v>4.2750000000000003E-2</v>
      </c>
      <c r="H2294" s="545">
        <v>27.231750000000002</v>
      </c>
      <c r="I2294" s="554" t="s">
        <v>9218</v>
      </c>
      <c r="J2294" s="554" t="s">
        <v>9219</v>
      </c>
      <c r="K2294" s="554" t="s">
        <v>9219</v>
      </c>
      <c r="L2294" s="537" t="s">
        <v>2354</v>
      </c>
    </row>
    <row r="2295" spans="1:12" x14ac:dyDescent="0.2">
      <c r="A2295" s="547" t="s">
        <v>220</v>
      </c>
      <c r="B2295" s="547" t="s">
        <v>2351</v>
      </c>
      <c r="C2295" s="554" t="s">
        <v>4979</v>
      </c>
      <c r="D2295" s="554" t="s">
        <v>4980</v>
      </c>
      <c r="E2295" s="554" t="s">
        <v>9585</v>
      </c>
      <c r="F2295" s="571">
        <v>470</v>
      </c>
      <c r="G2295" s="572">
        <v>2.826E-2</v>
      </c>
      <c r="H2295" s="545">
        <v>13.2822</v>
      </c>
      <c r="I2295" s="554" t="s">
        <v>9218</v>
      </c>
      <c r="J2295" s="554" t="s">
        <v>9219</v>
      </c>
      <c r="K2295" s="554" t="s">
        <v>9219</v>
      </c>
      <c r="L2295" s="537" t="s">
        <v>2354</v>
      </c>
    </row>
    <row r="2296" spans="1:12" x14ac:dyDescent="0.2">
      <c r="A2296" s="547" t="s">
        <v>220</v>
      </c>
      <c r="B2296" s="547" t="s">
        <v>2351</v>
      </c>
      <c r="C2296" s="554" t="s">
        <v>4981</v>
      </c>
      <c r="D2296" s="554" t="s">
        <v>4982</v>
      </c>
      <c r="E2296" s="554" t="s">
        <v>9585</v>
      </c>
      <c r="F2296" s="571">
        <v>226</v>
      </c>
      <c r="G2296" s="572">
        <v>8.1000000000000003E-2</v>
      </c>
      <c r="H2296" s="545">
        <v>18.306000000000001</v>
      </c>
      <c r="I2296" s="554" t="s">
        <v>9218</v>
      </c>
      <c r="J2296" s="554" t="s">
        <v>9219</v>
      </c>
      <c r="K2296" s="554" t="s">
        <v>9219</v>
      </c>
      <c r="L2296" s="537" t="s">
        <v>2354</v>
      </c>
    </row>
    <row r="2297" spans="1:12" x14ac:dyDescent="0.2">
      <c r="A2297" s="547" t="s">
        <v>220</v>
      </c>
      <c r="B2297" s="547" t="s">
        <v>2351</v>
      </c>
      <c r="C2297" s="554" t="s">
        <v>4983</v>
      </c>
      <c r="D2297" s="554" t="s">
        <v>4984</v>
      </c>
      <c r="E2297" s="554" t="s">
        <v>9585</v>
      </c>
      <c r="F2297" s="571">
        <v>400</v>
      </c>
      <c r="G2297" s="572">
        <v>0.14147000000000001</v>
      </c>
      <c r="H2297" s="545">
        <v>56.588000000000008</v>
      </c>
      <c r="I2297" s="554" t="s">
        <v>9218</v>
      </c>
      <c r="J2297" s="554" t="s">
        <v>9219</v>
      </c>
      <c r="K2297" s="554" t="s">
        <v>9219</v>
      </c>
      <c r="L2297" s="537" t="s">
        <v>2354</v>
      </c>
    </row>
    <row r="2298" spans="1:12" x14ac:dyDescent="0.2">
      <c r="A2298" s="547" t="s">
        <v>220</v>
      </c>
      <c r="B2298" s="547" t="s">
        <v>2351</v>
      </c>
      <c r="C2298" s="554" t="s">
        <v>4985</v>
      </c>
      <c r="D2298" s="554" t="s">
        <v>4986</v>
      </c>
      <c r="E2298" s="554" t="s">
        <v>9585</v>
      </c>
      <c r="F2298" s="571">
        <v>302</v>
      </c>
      <c r="G2298" s="572">
        <v>0.26100000000000001</v>
      </c>
      <c r="H2298" s="545">
        <v>78.822000000000003</v>
      </c>
      <c r="I2298" s="554" t="s">
        <v>9218</v>
      </c>
      <c r="J2298" s="554" t="s">
        <v>9219</v>
      </c>
      <c r="K2298" s="554" t="s">
        <v>9219</v>
      </c>
      <c r="L2298" s="537" t="s">
        <v>2354</v>
      </c>
    </row>
    <row r="2299" spans="1:12" x14ac:dyDescent="0.2">
      <c r="A2299" s="547" t="s">
        <v>220</v>
      </c>
      <c r="B2299" s="547" t="s">
        <v>2351</v>
      </c>
      <c r="C2299" s="554" t="s">
        <v>4987</v>
      </c>
      <c r="D2299" s="554" t="s">
        <v>4988</v>
      </c>
      <c r="E2299" s="554" t="s">
        <v>9585</v>
      </c>
      <c r="F2299" s="571">
        <v>215</v>
      </c>
      <c r="G2299" s="572">
        <v>5.1999999999999998E-2</v>
      </c>
      <c r="H2299" s="545">
        <v>11.18</v>
      </c>
      <c r="I2299" s="554" t="s">
        <v>9218</v>
      </c>
      <c r="J2299" s="554" t="s">
        <v>9219</v>
      </c>
      <c r="K2299" s="554" t="s">
        <v>9219</v>
      </c>
      <c r="L2299" s="537" t="s">
        <v>2354</v>
      </c>
    </row>
    <row r="2300" spans="1:12" x14ac:dyDescent="0.2">
      <c r="A2300" s="547" t="s">
        <v>220</v>
      </c>
      <c r="B2300" s="547" t="s">
        <v>2351</v>
      </c>
      <c r="C2300" s="554" t="s">
        <v>4989</v>
      </c>
      <c r="D2300" s="554" t="s">
        <v>4990</v>
      </c>
      <c r="E2300" s="554" t="s">
        <v>9585</v>
      </c>
      <c r="F2300" s="571">
        <v>312</v>
      </c>
      <c r="G2300" s="572">
        <v>0.16500000000000001</v>
      </c>
      <c r="H2300" s="545">
        <v>51.480000000000004</v>
      </c>
      <c r="I2300" s="554" t="s">
        <v>9218</v>
      </c>
      <c r="J2300" s="554" t="s">
        <v>9219</v>
      </c>
      <c r="K2300" s="554" t="s">
        <v>9219</v>
      </c>
      <c r="L2300" s="537" t="s">
        <v>2354</v>
      </c>
    </row>
    <row r="2301" spans="1:12" x14ac:dyDescent="0.2">
      <c r="A2301" s="547" t="s">
        <v>220</v>
      </c>
      <c r="B2301" s="547" t="s">
        <v>2351</v>
      </c>
      <c r="C2301" s="554" t="s">
        <v>4991</v>
      </c>
      <c r="D2301" s="554" t="s">
        <v>4992</v>
      </c>
      <c r="E2301" s="554" t="s">
        <v>9585</v>
      </c>
      <c r="F2301" s="571">
        <v>325</v>
      </c>
      <c r="G2301" s="572">
        <v>0.01</v>
      </c>
      <c r="H2301" s="545">
        <v>3.25</v>
      </c>
      <c r="I2301" s="554" t="s">
        <v>9218</v>
      </c>
      <c r="J2301" s="554" t="s">
        <v>9219</v>
      </c>
      <c r="K2301" s="554" t="s">
        <v>9219</v>
      </c>
      <c r="L2301" s="537" t="s">
        <v>2354</v>
      </c>
    </row>
    <row r="2302" spans="1:12" x14ac:dyDescent="0.2">
      <c r="A2302" s="547" t="s">
        <v>220</v>
      </c>
      <c r="B2302" s="547" t="s">
        <v>2351</v>
      </c>
      <c r="C2302" s="554" t="s">
        <v>4993</v>
      </c>
      <c r="D2302" s="554" t="s">
        <v>4994</v>
      </c>
      <c r="E2302" s="554" t="s">
        <v>9585</v>
      </c>
      <c r="F2302" s="571">
        <v>53</v>
      </c>
      <c r="G2302" s="572">
        <v>1.9E-2</v>
      </c>
      <c r="H2302" s="545">
        <v>1.0069999999999999</v>
      </c>
      <c r="I2302" s="554" t="s">
        <v>9218</v>
      </c>
      <c r="J2302" s="554" t="s">
        <v>9219</v>
      </c>
      <c r="K2302" s="554" t="s">
        <v>9219</v>
      </c>
      <c r="L2302" s="537" t="s">
        <v>2354</v>
      </c>
    </row>
    <row r="2303" spans="1:12" x14ac:dyDescent="0.2">
      <c r="A2303" s="547" t="s">
        <v>220</v>
      </c>
      <c r="B2303" s="547" t="s">
        <v>2351</v>
      </c>
      <c r="C2303" s="554" t="s">
        <v>4995</v>
      </c>
      <c r="D2303" s="554" t="s">
        <v>4996</v>
      </c>
      <c r="E2303" s="554" t="s">
        <v>9585</v>
      </c>
      <c r="F2303" s="571">
        <v>78</v>
      </c>
      <c r="G2303" s="572">
        <v>3.04725</v>
      </c>
      <c r="H2303" s="545">
        <v>237.68549999999999</v>
      </c>
      <c r="I2303" s="554" t="s">
        <v>9218</v>
      </c>
      <c r="J2303" s="554" t="s">
        <v>9219</v>
      </c>
      <c r="K2303" s="554" t="s">
        <v>9219</v>
      </c>
      <c r="L2303" s="537" t="s">
        <v>2354</v>
      </c>
    </row>
    <row r="2304" spans="1:12" x14ac:dyDescent="0.2">
      <c r="A2304" s="547" t="s">
        <v>220</v>
      </c>
      <c r="B2304" s="547" t="s">
        <v>2351</v>
      </c>
      <c r="C2304" s="554" t="s">
        <v>4997</v>
      </c>
      <c r="D2304" s="554" t="s">
        <v>4998</v>
      </c>
      <c r="E2304" s="554" t="s">
        <v>9585</v>
      </c>
      <c r="F2304" s="571">
        <v>102</v>
      </c>
      <c r="G2304" s="572">
        <v>4.6214500000000003</v>
      </c>
      <c r="H2304" s="545">
        <v>471.3879</v>
      </c>
      <c r="I2304" s="554" t="s">
        <v>9218</v>
      </c>
      <c r="J2304" s="554" t="s">
        <v>9219</v>
      </c>
      <c r="K2304" s="554" t="s">
        <v>9219</v>
      </c>
      <c r="L2304" s="537" t="s">
        <v>2354</v>
      </c>
    </row>
    <row r="2305" spans="1:12" x14ac:dyDescent="0.2">
      <c r="A2305" s="547" t="s">
        <v>220</v>
      </c>
      <c r="B2305" s="547" t="s">
        <v>2351</v>
      </c>
      <c r="C2305" s="554" t="s">
        <v>4999</v>
      </c>
      <c r="D2305" s="554" t="s">
        <v>5000</v>
      </c>
      <c r="E2305" s="554" t="s">
        <v>9585</v>
      </c>
      <c r="F2305" s="571">
        <v>54</v>
      </c>
      <c r="G2305" s="572">
        <v>6.0000000000000001E-3</v>
      </c>
      <c r="H2305" s="545">
        <v>0.32400000000000001</v>
      </c>
      <c r="I2305" s="554" t="s">
        <v>9218</v>
      </c>
      <c r="J2305" s="554" t="s">
        <v>9219</v>
      </c>
      <c r="K2305" s="554" t="s">
        <v>9219</v>
      </c>
      <c r="L2305" s="537" t="s">
        <v>2354</v>
      </c>
    </row>
    <row r="2306" spans="1:12" x14ac:dyDescent="0.2">
      <c r="A2306" s="547" t="s">
        <v>220</v>
      </c>
      <c r="B2306" s="547" t="s">
        <v>2351</v>
      </c>
      <c r="C2306" s="554" t="s">
        <v>5001</v>
      </c>
      <c r="D2306" s="554" t="s">
        <v>4994</v>
      </c>
      <c r="E2306" s="554" t="s">
        <v>9585</v>
      </c>
      <c r="F2306" s="571">
        <v>78</v>
      </c>
      <c r="G2306" s="572">
        <v>2.1999999999999999E-2</v>
      </c>
      <c r="H2306" s="545">
        <v>1.716</v>
      </c>
      <c r="I2306" s="554" t="s">
        <v>9218</v>
      </c>
      <c r="J2306" s="554" t="s">
        <v>9219</v>
      </c>
      <c r="K2306" s="554" t="s">
        <v>9219</v>
      </c>
      <c r="L2306" s="537" t="s">
        <v>2354</v>
      </c>
    </row>
    <row r="2307" spans="1:12" x14ac:dyDescent="0.2">
      <c r="A2307" s="547" t="s">
        <v>220</v>
      </c>
      <c r="B2307" s="547" t="s">
        <v>2351</v>
      </c>
      <c r="C2307" s="554" t="s">
        <v>5002</v>
      </c>
      <c r="D2307" s="554" t="s">
        <v>5003</v>
      </c>
      <c r="E2307" s="554" t="s">
        <v>9585</v>
      </c>
      <c r="F2307" s="571">
        <v>102</v>
      </c>
      <c r="G2307" s="572">
        <v>0.17</v>
      </c>
      <c r="H2307" s="545">
        <v>17.34</v>
      </c>
      <c r="I2307" s="554" t="s">
        <v>9218</v>
      </c>
      <c r="J2307" s="554" t="s">
        <v>9219</v>
      </c>
      <c r="K2307" s="554" t="s">
        <v>9219</v>
      </c>
      <c r="L2307" s="537" t="s">
        <v>2354</v>
      </c>
    </row>
    <row r="2308" spans="1:12" x14ac:dyDescent="0.2">
      <c r="A2308" s="547" t="s">
        <v>220</v>
      </c>
      <c r="B2308" s="547" t="s">
        <v>2351</v>
      </c>
      <c r="C2308" s="554" t="s">
        <v>5004</v>
      </c>
      <c r="D2308" s="554" t="s">
        <v>5005</v>
      </c>
      <c r="E2308" s="554" t="s">
        <v>9585</v>
      </c>
      <c r="F2308" s="571">
        <v>222</v>
      </c>
      <c r="G2308" s="572">
        <v>0.12189999999999999</v>
      </c>
      <c r="H2308" s="545">
        <v>27.061799999999998</v>
      </c>
      <c r="I2308" s="554" t="s">
        <v>9218</v>
      </c>
      <c r="J2308" s="554" t="s">
        <v>9219</v>
      </c>
      <c r="K2308" s="554" t="s">
        <v>9219</v>
      </c>
      <c r="L2308" s="537" t="s">
        <v>2354</v>
      </c>
    </row>
    <row r="2309" spans="1:12" x14ac:dyDescent="0.2">
      <c r="A2309" s="547" t="s">
        <v>220</v>
      </c>
      <c r="B2309" s="547" t="s">
        <v>2351</v>
      </c>
      <c r="C2309" s="554" t="s">
        <v>5006</v>
      </c>
      <c r="D2309" s="554" t="s">
        <v>5007</v>
      </c>
      <c r="E2309" s="554" t="s">
        <v>9585</v>
      </c>
      <c r="F2309" s="571">
        <v>38</v>
      </c>
      <c r="G2309" s="572">
        <v>0.25141999999999998</v>
      </c>
      <c r="H2309" s="545">
        <v>9.55396</v>
      </c>
      <c r="I2309" s="554" t="s">
        <v>9218</v>
      </c>
      <c r="J2309" s="554" t="s">
        <v>9219</v>
      </c>
      <c r="K2309" s="554" t="s">
        <v>9219</v>
      </c>
      <c r="L2309" s="537" t="s">
        <v>2354</v>
      </c>
    </row>
    <row r="2310" spans="1:12" x14ac:dyDescent="0.2">
      <c r="A2310" s="547" t="s">
        <v>220</v>
      </c>
      <c r="B2310" s="547" t="s">
        <v>2351</v>
      </c>
      <c r="C2310" s="554" t="s">
        <v>5008</v>
      </c>
      <c r="D2310" s="554" t="s">
        <v>5009</v>
      </c>
      <c r="E2310" s="554" t="s">
        <v>9585</v>
      </c>
      <c r="F2310" s="571">
        <v>65</v>
      </c>
      <c r="G2310" s="572">
        <v>0.34588000000000002</v>
      </c>
      <c r="H2310" s="545">
        <v>22.482200000000002</v>
      </c>
      <c r="I2310" s="554" t="s">
        <v>9218</v>
      </c>
      <c r="J2310" s="554" t="s">
        <v>9219</v>
      </c>
      <c r="K2310" s="554" t="s">
        <v>9219</v>
      </c>
      <c r="L2310" s="537" t="s">
        <v>2354</v>
      </c>
    </row>
    <row r="2311" spans="1:12" x14ac:dyDescent="0.2">
      <c r="A2311" s="547" t="s">
        <v>220</v>
      </c>
      <c r="B2311" s="547" t="s">
        <v>2351</v>
      </c>
      <c r="C2311" s="554" t="s">
        <v>5010</v>
      </c>
      <c r="D2311" s="554" t="s">
        <v>5011</v>
      </c>
      <c r="E2311" s="554" t="s">
        <v>9585</v>
      </c>
      <c r="F2311" s="571">
        <v>230</v>
      </c>
      <c r="G2311" s="572">
        <v>0.39360000000000001</v>
      </c>
      <c r="H2311" s="545">
        <v>90.528000000000006</v>
      </c>
      <c r="I2311" s="554" t="s">
        <v>9218</v>
      </c>
      <c r="J2311" s="554" t="s">
        <v>9219</v>
      </c>
      <c r="K2311" s="554" t="s">
        <v>9219</v>
      </c>
      <c r="L2311" s="537" t="s">
        <v>2354</v>
      </c>
    </row>
    <row r="2312" spans="1:12" x14ac:dyDescent="0.2">
      <c r="A2312" s="547" t="s">
        <v>220</v>
      </c>
      <c r="B2312" s="547" t="s">
        <v>2351</v>
      </c>
      <c r="C2312" s="554" t="s">
        <v>5012</v>
      </c>
      <c r="D2312" s="554" t="s">
        <v>5013</v>
      </c>
      <c r="E2312" s="554" t="s">
        <v>9585</v>
      </c>
      <c r="F2312" s="571">
        <v>70</v>
      </c>
      <c r="G2312" s="572">
        <v>5.04E-2</v>
      </c>
      <c r="H2312" s="545">
        <v>3.528</v>
      </c>
      <c r="I2312" s="554" t="s">
        <v>9218</v>
      </c>
      <c r="J2312" s="554" t="s">
        <v>9219</v>
      </c>
      <c r="K2312" s="554" t="s">
        <v>9219</v>
      </c>
      <c r="L2312" s="537" t="s">
        <v>2354</v>
      </c>
    </row>
    <row r="2313" spans="1:12" x14ac:dyDescent="0.2">
      <c r="A2313" s="547" t="s">
        <v>220</v>
      </c>
      <c r="B2313" s="547" t="s">
        <v>2351</v>
      </c>
      <c r="C2313" s="554" t="s">
        <v>5014</v>
      </c>
      <c r="D2313" s="554" t="s">
        <v>5015</v>
      </c>
      <c r="E2313" s="554" t="s">
        <v>9585</v>
      </c>
      <c r="F2313" s="571">
        <v>239</v>
      </c>
      <c r="G2313" s="572">
        <v>3.9600000000000003E-2</v>
      </c>
      <c r="H2313" s="545">
        <v>9.4644000000000013</v>
      </c>
      <c r="I2313" s="554" t="s">
        <v>9218</v>
      </c>
      <c r="J2313" s="554" t="s">
        <v>9219</v>
      </c>
      <c r="K2313" s="554" t="s">
        <v>9219</v>
      </c>
      <c r="L2313" s="537" t="s">
        <v>2354</v>
      </c>
    </row>
    <row r="2314" spans="1:12" x14ac:dyDescent="0.2">
      <c r="A2314" s="547" t="s">
        <v>220</v>
      </c>
      <c r="B2314" s="547" t="s">
        <v>2351</v>
      </c>
      <c r="C2314" s="554" t="s">
        <v>5016</v>
      </c>
      <c r="D2314" s="554" t="s">
        <v>5017</v>
      </c>
      <c r="E2314" s="554" t="s">
        <v>9585</v>
      </c>
      <c r="F2314" s="571">
        <v>106</v>
      </c>
      <c r="G2314" s="572">
        <v>2.6100000000000002E-2</v>
      </c>
      <c r="H2314" s="545">
        <v>2.7666000000000004</v>
      </c>
      <c r="I2314" s="554" t="s">
        <v>9218</v>
      </c>
      <c r="J2314" s="554" t="s">
        <v>9219</v>
      </c>
      <c r="K2314" s="554" t="s">
        <v>9219</v>
      </c>
      <c r="L2314" s="537" t="s">
        <v>2354</v>
      </c>
    </row>
    <row r="2315" spans="1:12" x14ac:dyDescent="0.2">
      <c r="A2315" s="547" t="s">
        <v>220</v>
      </c>
      <c r="B2315" s="547" t="s">
        <v>2351</v>
      </c>
      <c r="C2315" s="554" t="s">
        <v>5018</v>
      </c>
      <c r="D2315" s="554" t="s">
        <v>5019</v>
      </c>
      <c r="E2315" s="554" t="s">
        <v>9585</v>
      </c>
      <c r="F2315" s="571">
        <v>425</v>
      </c>
      <c r="G2315" s="572">
        <v>0.16</v>
      </c>
      <c r="H2315" s="545">
        <v>68</v>
      </c>
      <c r="I2315" s="554" t="s">
        <v>9218</v>
      </c>
      <c r="J2315" s="554" t="s">
        <v>9219</v>
      </c>
      <c r="K2315" s="554" t="s">
        <v>9219</v>
      </c>
      <c r="L2315" s="537" t="s">
        <v>2354</v>
      </c>
    </row>
    <row r="2316" spans="1:12" x14ac:dyDescent="0.2">
      <c r="A2316" s="547" t="s">
        <v>220</v>
      </c>
      <c r="B2316" s="547" t="s">
        <v>2351</v>
      </c>
      <c r="C2316" s="554" t="s">
        <v>5020</v>
      </c>
      <c r="D2316" s="554" t="s">
        <v>5021</v>
      </c>
      <c r="E2316" s="554" t="s">
        <v>9585</v>
      </c>
      <c r="F2316" s="571">
        <v>358</v>
      </c>
      <c r="G2316" s="572">
        <v>9.5479999999999995E-2</v>
      </c>
      <c r="H2316" s="545">
        <v>34.181840000000001</v>
      </c>
      <c r="I2316" s="554" t="s">
        <v>9218</v>
      </c>
      <c r="J2316" s="554" t="s">
        <v>9219</v>
      </c>
      <c r="K2316" s="554" t="s">
        <v>9219</v>
      </c>
      <c r="L2316" s="537" t="s">
        <v>2354</v>
      </c>
    </row>
    <row r="2317" spans="1:12" x14ac:dyDescent="0.2">
      <c r="A2317" s="547" t="s">
        <v>220</v>
      </c>
      <c r="B2317" s="547" t="s">
        <v>2351</v>
      </c>
      <c r="C2317" s="554" t="s">
        <v>5022</v>
      </c>
      <c r="D2317" s="554" t="s">
        <v>5023</v>
      </c>
      <c r="E2317" s="554" t="s">
        <v>9585</v>
      </c>
      <c r="F2317" s="571">
        <v>217</v>
      </c>
      <c r="G2317" s="572">
        <v>0.12583357142857141</v>
      </c>
      <c r="H2317" s="545">
        <v>27.305884999999996</v>
      </c>
      <c r="I2317" s="554" t="s">
        <v>9218</v>
      </c>
      <c r="J2317" s="554" t="s">
        <v>9219</v>
      </c>
      <c r="K2317" s="554" t="s">
        <v>9219</v>
      </c>
      <c r="L2317" s="537" t="s">
        <v>2354</v>
      </c>
    </row>
    <row r="2318" spans="1:12" x14ac:dyDescent="0.2">
      <c r="A2318" s="547" t="s">
        <v>220</v>
      </c>
      <c r="B2318" s="547" t="s">
        <v>2351</v>
      </c>
      <c r="C2318" s="554" t="s">
        <v>5024</v>
      </c>
      <c r="D2318" s="554" t="s">
        <v>5025</v>
      </c>
      <c r="E2318" s="554" t="s">
        <v>9585</v>
      </c>
      <c r="F2318" s="571">
        <v>750</v>
      </c>
      <c r="G2318" s="572">
        <v>0.16415917431192659</v>
      </c>
      <c r="H2318" s="545">
        <v>123.11938073394494</v>
      </c>
      <c r="I2318" s="554" t="s">
        <v>9218</v>
      </c>
      <c r="J2318" s="554" t="s">
        <v>9219</v>
      </c>
      <c r="K2318" s="554" t="s">
        <v>9219</v>
      </c>
      <c r="L2318" s="537" t="s">
        <v>2354</v>
      </c>
    </row>
    <row r="2319" spans="1:12" x14ac:dyDescent="0.2">
      <c r="A2319" s="547" t="s">
        <v>220</v>
      </c>
      <c r="B2319" s="547" t="s">
        <v>2351</v>
      </c>
      <c r="C2319" s="554" t="s">
        <v>5026</v>
      </c>
      <c r="D2319" s="554" t="s">
        <v>5027</v>
      </c>
      <c r="E2319" s="554" t="s">
        <v>9585</v>
      </c>
      <c r="F2319" s="571">
        <v>231</v>
      </c>
      <c r="G2319" s="572">
        <v>0.12038892950391644</v>
      </c>
      <c r="H2319" s="545">
        <v>27.809842715404699</v>
      </c>
      <c r="I2319" s="554" t="s">
        <v>9218</v>
      </c>
      <c r="J2319" s="554" t="s">
        <v>9219</v>
      </c>
      <c r="K2319" s="554" t="s">
        <v>9219</v>
      </c>
      <c r="L2319" s="537" t="s">
        <v>2354</v>
      </c>
    </row>
    <row r="2320" spans="1:12" x14ac:dyDescent="0.2">
      <c r="A2320" s="547" t="s">
        <v>220</v>
      </c>
      <c r="B2320" s="547" t="s">
        <v>2351</v>
      </c>
      <c r="C2320" s="554" t="s">
        <v>5028</v>
      </c>
      <c r="D2320" s="554" t="s">
        <v>5029</v>
      </c>
      <c r="E2320" s="554" t="s">
        <v>9585</v>
      </c>
      <c r="F2320" s="571">
        <v>352</v>
      </c>
      <c r="G2320" s="572">
        <v>0.20159195979899497</v>
      </c>
      <c r="H2320" s="545">
        <v>70.960369849246234</v>
      </c>
      <c r="I2320" s="554" t="s">
        <v>9218</v>
      </c>
      <c r="J2320" s="554" t="s">
        <v>9219</v>
      </c>
      <c r="K2320" s="554" t="s">
        <v>9219</v>
      </c>
      <c r="L2320" s="537" t="s">
        <v>2354</v>
      </c>
    </row>
    <row r="2321" spans="1:12" x14ac:dyDescent="0.2">
      <c r="A2321" s="547" t="s">
        <v>220</v>
      </c>
      <c r="B2321" s="547" t="s">
        <v>2351</v>
      </c>
      <c r="C2321" s="554" t="s">
        <v>5030</v>
      </c>
      <c r="D2321" s="554" t="s">
        <v>5031</v>
      </c>
      <c r="E2321" s="554" t="s">
        <v>9585</v>
      </c>
      <c r="F2321" s="571">
        <v>148</v>
      </c>
      <c r="G2321" s="572">
        <v>0.22642666666666666</v>
      </c>
      <c r="H2321" s="545">
        <v>33.511146666666669</v>
      </c>
      <c r="I2321" s="554" t="s">
        <v>9218</v>
      </c>
      <c r="J2321" s="554" t="s">
        <v>9219</v>
      </c>
      <c r="K2321" s="554" t="s">
        <v>9219</v>
      </c>
      <c r="L2321" s="537" t="s">
        <v>2354</v>
      </c>
    </row>
    <row r="2322" spans="1:12" x14ac:dyDescent="0.2">
      <c r="A2322" s="547" t="s">
        <v>220</v>
      </c>
      <c r="B2322" s="547" t="s">
        <v>2351</v>
      </c>
      <c r="C2322" s="554" t="s">
        <v>5032</v>
      </c>
      <c r="D2322" s="554" t="s">
        <v>5033</v>
      </c>
      <c r="E2322" s="554" t="s">
        <v>9585</v>
      </c>
      <c r="F2322" s="571">
        <v>320</v>
      </c>
      <c r="G2322" s="572">
        <v>0.22222028985507247</v>
      </c>
      <c r="H2322" s="545">
        <v>71.110492753623191</v>
      </c>
      <c r="I2322" s="554" t="s">
        <v>9218</v>
      </c>
      <c r="J2322" s="554" t="s">
        <v>9219</v>
      </c>
      <c r="K2322" s="554" t="s">
        <v>9219</v>
      </c>
      <c r="L2322" s="537" t="s">
        <v>2354</v>
      </c>
    </row>
    <row r="2323" spans="1:12" x14ac:dyDescent="0.2">
      <c r="A2323" s="547" t="s">
        <v>220</v>
      </c>
      <c r="B2323" s="547" t="s">
        <v>2351</v>
      </c>
      <c r="C2323" s="554" t="s">
        <v>5034</v>
      </c>
      <c r="D2323" s="554" t="s">
        <v>5035</v>
      </c>
      <c r="E2323" s="554" t="s">
        <v>9585</v>
      </c>
      <c r="F2323" s="571">
        <v>248</v>
      </c>
      <c r="G2323" s="572">
        <v>0.42921793885552634</v>
      </c>
      <c r="H2323" s="545">
        <v>106.44604883617053</v>
      </c>
      <c r="I2323" s="554" t="s">
        <v>9218</v>
      </c>
      <c r="J2323" s="554" t="s">
        <v>9219</v>
      </c>
      <c r="K2323" s="554" t="s">
        <v>9219</v>
      </c>
      <c r="L2323" s="537" t="s">
        <v>2354</v>
      </c>
    </row>
    <row r="2324" spans="1:12" x14ac:dyDescent="0.2">
      <c r="A2324" s="547" t="s">
        <v>220</v>
      </c>
      <c r="B2324" s="547" t="s">
        <v>2351</v>
      </c>
      <c r="C2324" s="554" t="s">
        <v>5036</v>
      </c>
      <c r="D2324" s="554" t="s">
        <v>5037</v>
      </c>
      <c r="E2324" s="554" t="s">
        <v>9585</v>
      </c>
      <c r="F2324" s="571">
        <v>250</v>
      </c>
      <c r="G2324" s="572">
        <v>0.37153573650785487</v>
      </c>
      <c r="H2324" s="545">
        <v>92.883934126963723</v>
      </c>
      <c r="I2324" s="554" t="s">
        <v>9218</v>
      </c>
      <c r="J2324" s="554" t="s">
        <v>9219</v>
      </c>
      <c r="K2324" s="554" t="s">
        <v>9219</v>
      </c>
      <c r="L2324" s="537" t="s">
        <v>2354</v>
      </c>
    </row>
    <row r="2325" spans="1:12" x14ac:dyDescent="0.2">
      <c r="A2325" s="547" t="s">
        <v>220</v>
      </c>
      <c r="B2325" s="547" t="s">
        <v>2351</v>
      </c>
      <c r="C2325" s="554" t="s">
        <v>5038</v>
      </c>
      <c r="D2325" s="554" t="s">
        <v>5039</v>
      </c>
      <c r="E2325" s="554" t="s">
        <v>9585</v>
      </c>
      <c r="F2325" s="571">
        <v>351</v>
      </c>
      <c r="G2325" s="572">
        <v>0.224</v>
      </c>
      <c r="H2325" s="545">
        <v>78.623999999999995</v>
      </c>
      <c r="I2325" s="554" t="s">
        <v>9218</v>
      </c>
      <c r="J2325" s="554" t="s">
        <v>9219</v>
      </c>
      <c r="K2325" s="554" t="s">
        <v>9219</v>
      </c>
      <c r="L2325" s="537" t="s">
        <v>2354</v>
      </c>
    </row>
    <row r="2326" spans="1:12" x14ac:dyDescent="0.2">
      <c r="A2326" s="547" t="s">
        <v>220</v>
      </c>
      <c r="B2326" s="547" t="s">
        <v>2351</v>
      </c>
      <c r="C2326" s="554" t="s">
        <v>5040</v>
      </c>
      <c r="D2326" s="554" t="s">
        <v>5041</v>
      </c>
      <c r="E2326" s="554" t="s">
        <v>9585</v>
      </c>
      <c r="F2326" s="571">
        <v>268</v>
      </c>
      <c r="G2326" s="572">
        <v>0.28100000000000003</v>
      </c>
      <c r="H2326" s="545">
        <v>75.308000000000007</v>
      </c>
      <c r="I2326" s="554" t="s">
        <v>9218</v>
      </c>
      <c r="J2326" s="554" t="s">
        <v>9219</v>
      </c>
      <c r="K2326" s="554" t="s">
        <v>9219</v>
      </c>
      <c r="L2326" s="537" t="s">
        <v>2354</v>
      </c>
    </row>
    <row r="2327" spans="1:12" x14ac:dyDescent="0.2">
      <c r="A2327" s="547" t="s">
        <v>220</v>
      </c>
      <c r="B2327" s="547" t="s">
        <v>2351</v>
      </c>
      <c r="C2327" s="554" t="s">
        <v>5042</v>
      </c>
      <c r="D2327" s="554" t="s">
        <v>5043</v>
      </c>
      <c r="E2327" s="554" t="s">
        <v>9585</v>
      </c>
      <c r="F2327" s="571">
        <v>150</v>
      </c>
      <c r="G2327" s="572">
        <v>0.20992</v>
      </c>
      <c r="H2327" s="545">
        <v>31.488</v>
      </c>
      <c r="I2327" s="554" t="s">
        <v>9218</v>
      </c>
      <c r="J2327" s="554" t="s">
        <v>9219</v>
      </c>
      <c r="K2327" s="554" t="s">
        <v>9219</v>
      </c>
      <c r="L2327" s="537" t="s">
        <v>2354</v>
      </c>
    </row>
    <row r="2328" spans="1:12" x14ac:dyDescent="0.2">
      <c r="A2328" s="547" t="s">
        <v>220</v>
      </c>
      <c r="B2328" s="547" t="s">
        <v>2351</v>
      </c>
      <c r="C2328" s="554" t="s">
        <v>5044</v>
      </c>
      <c r="D2328" s="554" t="s">
        <v>5045</v>
      </c>
      <c r="E2328" s="554" t="s">
        <v>9585</v>
      </c>
      <c r="F2328" s="573">
        <v>48</v>
      </c>
      <c r="G2328" s="545">
        <v>0</v>
      </c>
      <c r="H2328" s="545">
        <v>0</v>
      </c>
      <c r="I2328" s="554" t="s">
        <v>9218</v>
      </c>
      <c r="J2328" s="554" t="s">
        <v>9219</v>
      </c>
      <c r="K2328" s="554" t="s">
        <v>9219</v>
      </c>
      <c r="L2328" s="537" t="s">
        <v>2354</v>
      </c>
    </row>
    <row r="2329" spans="1:12" x14ac:dyDescent="0.2">
      <c r="A2329" s="547" t="s">
        <v>220</v>
      </c>
      <c r="B2329" s="547" t="s">
        <v>2351</v>
      </c>
      <c r="C2329" s="554" t="s">
        <v>5046</v>
      </c>
      <c r="D2329" s="554" t="s">
        <v>5047</v>
      </c>
      <c r="E2329" s="554" t="s">
        <v>9585</v>
      </c>
      <c r="F2329" s="571">
        <v>781</v>
      </c>
      <c r="G2329" s="572">
        <v>0.23749999999999999</v>
      </c>
      <c r="H2329" s="545">
        <v>185.48749999999998</v>
      </c>
      <c r="I2329" s="554" t="s">
        <v>9218</v>
      </c>
      <c r="J2329" s="554" t="s">
        <v>9219</v>
      </c>
      <c r="K2329" s="554" t="s">
        <v>9219</v>
      </c>
      <c r="L2329" s="537" t="s">
        <v>2354</v>
      </c>
    </row>
    <row r="2330" spans="1:12" x14ac:dyDescent="0.2">
      <c r="A2330" s="547" t="s">
        <v>220</v>
      </c>
      <c r="B2330" s="547" t="s">
        <v>2351</v>
      </c>
      <c r="C2330" s="554" t="s">
        <v>5048</v>
      </c>
      <c r="D2330" s="554" t="s">
        <v>5049</v>
      </c>
      <c r="E2330" s="554" t="s">
        <v>9585</v>
      </c>
      <c r="F2330" s="571">
        <v>20</v>
      </c>
      <c r="G2330" s="572">
        <v>0.50349999999999995</v>
      </c>
      <c r="H2330" s="545">
        <v>10.069999999999999</v>
      </c>
      <c r="I2330" s="554" t="s">
        <v>9218</v>
      </c>
      <c r="J2330" s="554" t="s">
        <v>9219</v>
      </c>
      <c r="K2330" s="554" t="s">
        <v>9219</v>
      </c>
      <c r="L2330" s="537" t="s">
        <v>2354</v>
      </c>
    </row>
    <row r="2331" spans="1:12" x14ac:dyDescent="0.2">
      <c r="A2331" s="547" t="s">
        <v>220</v>
      </c>
      <c r="B2331" s="547" t="s">
        <v>2351</v>
      </c>
      <c r="C2331" s="554" t="s">
        <v>5050</v>
      </c>
      <c r="D2331" s="554" t="s">
        <v>5051</v>
      </c>
      <c r="E2331" s="554" t="s">
        <v>9585</v>
      </c>
      <c r="F2331" s="571">
        <v>14.5</v>
      </c>
      <c r="G2331" s="572">
        <v>1.35</v>
      </c>
      <c r="H2331" s="545">
        <v>19.575000000000003</v>
      </c>
      <c r="I2331" s="554" t="s">
        <v>9218</v>
      </c>
      <c r="J2331" s="554" t="s">
        <v>9219</v>
      </c>
      <c r="K2331" s="554" t="s">
        <v>9219</v>
      </c>
      <c r="L2331" s="537" t="s">
        <v>2354</v>
      </c>
    </row>
    <row r="2332" spans="1:12" x14ac:dyDescent="0.2">
      <c r="A2332" s="547" t="s">
        <v>220</v>
      </c>
      <c r="B2332" s="547" t="s">
        <v>2351</v>
      </c>
      <c r="C2332" s="554" t="s">
        <v>5052</v>
      </c>
      <c r="D2332" s="554" t="s">
        <v>5053</v>
      </c>
      <c r="E2332" s="554" t="s">
        <v>9585</v>
      </c>
      <c r="F2332" s="571">
        <v>38</v>
      </c>
      <c r="G2332" s="572">
        <v>0.50349999999999995</v>
      </c>
      <c r="H2332" s="545">
        <v>19.132999999999999</v>
      </c>
      <c r="I2332" s="554" t="s">
        <v>9218</v>
      </c>
      <c r="J2332" s="554" t="s">
        <v>9219</v>
      </c>
      <c r="K2332" s="554" t="s">
        <v>9219</v>
      </c>
      <c r="L2332" s="537" t="s">
        <v>2354</v>
      </c>
    </row>
    <row r="2333" spans="1:12" x14ac:dyDescent="0.2">
      <c r="A2333" s="547" t="s">
        <v>220</v>
      </c>
      <c r="B2333" s="547" t="s">
        <v>2351</v>
      </c>
      <c r="C2333" s="554"/>
      <c r="D2333" s="554" t="s">
        <v>9376</v>
      </c>
      <c r="E2333" s="554" t="s">
        <v>9585</v>
      </c>
      <c r="F2333" s="571">
        <v>115</v>
      </c>
      <c r="G2333" s="572">
        <v>7.8E-2</v>
      </c>
      <c r="H2333" s="545">
        <v>8.9700000000000006</v>
      </c>
      <c r="I2333" s="554" t="s">
        <v>9218</v>
      </c>
      <c r="J2333" s="554" t="s">
        <v>9219</v>
      </c>
      <c r="K2333" s="554" t="s">
        <v>9219</v>
      </c>
      <c r="L2333" s="537" t="s">
        <v>2354</v>
      </c>
    </row>
    <row r="2334" spans="1:12" x14ac:dyDescent="0.2">
      <c r="A2334" s="547" t="s">
        <v>220</v>
      </c>
      <c r="B2334" s="547" t="s">
        <v>2351</v>
      </c>
      <c r="C2334" s="554" t="s">
        <v>5054</v>
      </c>
      <c r="D2334" s="554" t="s">
        <v>5055</v>
      </c>
      <c r="E2334" s="554" t="s">
        <v>9585</v>
      </c>
      <c r="F2334" s="571">
        <v>15</v>
      </c>
      <c r="G2334" s="572">
        <v>0.16800000000000001</v>
      </c>
      <c r="H2334" s="545">
        <v>2.52</v>
      </c>
      <c r="I2334" s="554" t="s">
        <v>9218</v>
      </c>
      <c r="J2334" s="554" t="s">
        <v>9219</v>
      </c>
      <c r="K2334" s="554" t="s">
        <v>9219</v>
      </c>
      <c r="L2334" s="537" t="s">
        <v>2354</v>
      </c>
    </row>
    <row r="2335" spans="1:12" x14ac:dyDescent="0.2">
      <c r="A2335" s="547" t="s">
        <v>220</v>
      </c>
      <c r="B2335" s="547" t="s">
        <v>2351</v>
      </c>
      <c r="C2335" s="554" t="s">
        <v>5056</v>
      </c>
      <c r="D2335" s="554" t="s">
        <v>5057</v>
      </c>
      <c r="E2335" s="554" t="s">
        <v>9585</v>
      </c>
      <c r="F2335" s="571">
        <v>9</v>
      </c>
      <c r="G2335" s="572">
        <v>1.1126499999999999</v>
      </c>
      <c r="H2335" s="545">
        <v>10.01385</v>
      </c>
      <c r="I2335" s="554" t="s">
        <v>9218</v>
      </c>
      <c r="J2335" s="554" t="s">
        <v>9219</v>
      </c>
      <c r="K2335" s="554" t="s">
        <v>9219</v>
      </c>
      <c r="L2335" s="537" t="s">
        <v>2354</v>
      </c>
    </row>
    <row r="2336" spans="1:12" x14ac:dyDescent="0.2">
      <c r="A2336" s="547" t="s">
        <v>220</v>
      </c>
      <c r="B2336" s="547" t="s">
        <v>2351</v>
      </c>
      <c r="C2336" s="554" t="s">
        <v>5060</v>
      </c>
      <c r="D2336" s="554" t="s">
        <v>5061</v>
      </c>
      <c r="E2336" s="554" t="s">
        <v>9585</v>
      </c>
      <c r="F2336" s="571">
        <v>18</v>
      </c>
      <c r="G2336" s="572">
        <v>2.1949999999999998</v>
      </c>
      <c r="H2336" s="545">
        <v>39.51</v>
      </c>
      <c r="I2336" s="554" t="s">
        <v>9218</v>
      </c>
      <c r="J2336" s="554" t="s">
        <v>9219</v>
      </c>
      <c r="K2336" s="554" t="s">
        <v>9219</v>
      </c>
      <c r="L2336" s="537" t="s">
        <v>2354</v>
      </c>
    </row>
    <row r="2337" spans="1:12" x14ac:dyDescent="0.2">
      <c r="A2337" s="547" t="s">
        <v>220</v>
      </c>
      <c r="B2337" s="547" t="s">
        <v>2351</v>
      </c>
      <c r="C2337" s="554" t="s">
        <v>5062</v>
      </c>
      <c r="D2337" s="554" t="s">
        <v>5063</v>
      </c>
      <c r="E2337" s="554" t="s">
        <v>9585</v>
      </c>
      <c r="F2337" s="571">
        <v>135</v>
      </c>
      <c r="G2337" s="572">
        <v>3.8250000000000002</v>
      </c>
      <c r="H2337" s="545">
        <v>516.375</v>
      </c>
      <c r="I2337" s="554" t="s">
        <v>9218</v>
      </c>
      <c r="J2337" s="554" t="s">
        <v>9219</v>
      </c>
      <c r="K2337" s="554" t="s">
        <v>9219</v>
      </c>
      <c r="L2337" s="537" t="s">
        <v>2354</v>
      </c>
    </row>
    <row r="2338" spans="1:12" x14ac:dyDescent="0.2">
      <c r="A2338" s="547" t="s">
        <v>220</v>
      </c>
      <c r="B2338" s="547" t="s">
        <v>2351</v>
      </c>
      <c r="C2338" s="554" t="s">
        <v>5064</v>
      </c>
      <c r="D2338" s="554" t="s">
        <v>5065</v>
      </c>
      <c r="E2338" s="554" t="s">
        <v>9585</v>
      </c>
      <c r="F2338" s="571">
        <v>9</v>
      </c>
      <c r="G2338" s="572">
        <v>0.15972500000000001</v>
      </c>
      <c r="H2338" s="545">
        <v>1.4375249999999999</v>
      </c>
      <c r="I2338" s="554" t="s">
        <v>9218</v>
      </c>
      <c r="J2338" s="554" t="s">
        <v>9219</v>
      </c>
      <c r="K2338" s="554" t="s">
        <v>9219</v>
      </c>
      <c r="L2338" s="537" t="s">
        <v>2354</v>
      </c>
    </row>
    <row r="2339" spans="1:12" x14ac:dyDescent="0.2">
      <c r="A2339" s="547" t="s">
        <v>220</v>
      </c>
      <c r="B2339" s="547" t="s">
        <v>2351</v>
      </c>
      <c r="C2339" s="554" t="s">
        <v>5066</v>
      </c>
      <c r="D2339" s="554" t="s">
        <v>5067</v>
      </c>
      <c r="E2339" s="554" t="s">
        <v>9585</v>
      </c>
      <c r="F2339" s="571">
        <v>43</v>
      </c>
      <c r="G2339" s="572">
        <v>0.32200000000000001</v>
      </c>
      <c r="H2339" s="545">
        <v>13.846</v>
      </c>
      <c r="I2339" s="554" t="s">
        <v>9218</v>
      </c>
      <c r="J2339" s="554" t="s">
        <v>9219</v>
      </c>
      <c r="K2339" s="554" t="s">
        <v>9219</v>
      </c>
      <c r="L2339" s="537" t="s">
        <v>2354</v>
      </c>
    </row>
    <row r="2340" spans="1:12" x14ac:dyDescent="0.2">
      <c r="A2340" s="547" t="s">
        <v>220</v>
      </c>
      <c r="B2340" s="547" t="s">
        <v>2351</v>
      </c>
      <c r="C2340" s="554" t="s">
        <v>5068</v>
      </c>
      <c r="D2340" s="554" t="s">
        <v>5069</v>
      </c>
      <c r="E2340" s="554" t="s">
        <v>9585</v>
      </c>
      <c r="F2340" s="571">
        <v>6</v>
      </c>
      <c r="G2340" s="572">
        <v>0.13950000000000001</v>
      </c>
      <c r="H2340" s="545">
        <v>0.83700000000000008</v>
      </c>
      <c r="I2340" s="554" t="s">
        <v>9218</v>
      </c>
      <c r="J2340" s="554" t="s">
        <v>9219</v>
      </c>
      <c r="K2340" s="554" t="s">
        <v>9219</v>
      </c>
      <c r="L2340" s="537" t="s">
        <v>2354</v>
      </c>
    </row>
    <row r="2341" spans="1:12" x14ac:dyDescent="0.2">
      <c r="A2341" s="547" t="s">
        <v>220</v>
      </c>
      <c r="B2341" s="547" t="s">
        <v>2351</v>
      </c>
      <c r="C2341" s="554" t="s">
        <v>5070</v>
      </c>
      <c r="D2341" s="554" t="s">
        <v>5071</v>
      </c>
      <c r="E2341" s="554" t="s">
        <v>9585</v>
      </c>
      <c r="F2341" s="571">
        <v>14</v>
      </c>
      <c r="G2341" s="572">
        <v>0.18</v>
      </c>
      <c r="H2341" s="545">
        <v>2.52</v>
      </c>
      <c r="I2341" s="554" t="s">
        <v>9218</v>
      </c>
      <c r="J2341" s="554" t="s">
        <v>9219</v>
      </c>
      <c r="K2341" s="554" t="s">
        <v>9219</v>
      </c>
      <c r="L2341" s="537" t="s">
        <v>2354</v>
      </c>
    </row>
    <row r="2342" spans="1:12" x14ac:dyDescent="0.2">
      <c r="A2342" s="547" t="s">
        <v>220</v>
      </c>
      <c r="B2342" s="547" t="s">
        <v>2351</v>
      </c>
      <c r="C2342" s="554" t="s">
        <v>5072</v>
      </c>
      <c r="D2342" s="554" t="s">
        <v>5073</v>
      </c>
      <c r="E2342" s="554" t="s">
        <v>9585</v>
      </c>
      <c r="F2342" s="571">
        <v>32</v>
      </c>
      <c r="G2342" s="572">
        <v>0.19800000000000001</v>
      </c>
      <c r="H2342" s="545">
        <v>6.3360000000000003</v>
      </c>
      <c r="I2342" s="554" t="s">
        <v>9218</v>
      </c>
      <c r="J2342" s="554" t="s">
        <v>9219</v>
      </c>
      <c r="K2342" s="554" t="s">
        <v>9219</v>
      </c>
      <c r="L2342" s="537" t="s">
        <v>2354</v>
      </c>
    </row>
    <row r="2343" spans="1:12" x14ac:dyDescent="0.2">
      <c r="A2343" s="547" t="s">
        <v>220</v>
      </c>
      <c r="B2343" s="547" t="s">
        <v>2351</v>
      </c>
      <c r="C2343" s="554" t="s">
        <v>5074</v>
      </c>
      <c r="D2343" s="554" t="s">
        <v>5075</v>
      </c>
      <c r="E2343" s="554" t="s">
        <v>9585</v>
      </c>
      <c r="F2343" s="571">
        <v>5</v>
      </c>
      <c r="G2343" s="572">
        <v>0.25740000000000002</v>
      </c>
      <c r="H2343" s="545">
        <v>1.2870000000000001</v>
      </c>
      <c r="I2343" s="554" t="s">
        <v>9218</v>
      </c>
      <c r="J2343" s="554" t="s">
        <v>9219</v>
      </c>
      <c r="K2343" s="554" t="s">
        <v>9219</v>
      </c>
      <c r="L2343" s="537" t="s">
        <v>2354</v>
      </c>
    </row>
    <row r="2344" spans="1:12" x14ac:dyDescent="0.2">
      <c r="A2344" s="547" t="s">
        <v>220</v>
      </c>
      <c r="B2344" s="547" t="s">
        <v>2351</v>
      </c>
      <c r="C2344" s="554" t="s">
        <v>5076</v>
      </c>
      <c r="D2344" s="554" t="s">
        <v>5077</v>
      </c>
      <c r="E2344" s="554" t="s">
        <v>9585</v>
      </c>
      <c r="F2344" s="571">
        <v>23</v>
      </c>
      <c r="G2344" s="572">
        <v>0.38159999999999999</v>
      </c>
      <c r="H2344" s="545">
        <v>8.7767999999999997</v>
      </c>
      <c r="I2344" s="554" t="s">
        <v>9218</v>
      </c>
      <c r="J2344" s="554" t="s">
        <v>9219</v>
      </c>
      <c r="K2344" s="554" t="s">
        <v>9219</v>
      </c>
      <c r="L2344" s="537" t="s">
        <v>2354</v>
      </c>
    </row>
    <row r="2345" spans="1:12" x14ac:dyDescent="0.2">
      <c r="A2345" s="547" t="s">
        <v>220</v>
      </c>
      <c r="B2345" s="547" t="s">
        <v>2351</v>
      </c>
      <c r="C2345" s="554" t="s">
        <v>5078</v>
      </c>
      <c r="D2345" s="554" t="s">
        <v>5079</v>
      </c>
      <c r="E2345" s="554" t="s">
        <v>9585</v>
      </c>
      <c r="F2345" s="571">
        <v>12</v>
      </c>
      <c r="G2345" s="572">
        <v>0.33750000000000002</v>
      </c>
      <c r="H2345" s="545">
        <v>4.0500000000000007</v>
      </c>
      <c r="I2345" s="554" t="s">
        <v>9218</v>
      </c>
      <c r="J2345" s="554" t="s">
        <v>9219</v>
      </c>
      <c r="K2345" s="554" t="s">
        <v>9219</v>
      </c>
      <c r="L2345" s="537" t="s">
        <v>2354</v>
      </c>
    </row>
    <row r="2346" spans="1:12" x14ac:dyDescent="0.2">
      <c r="A2346" s="547" t="s">
        <v>220</v>
      </c>
      <c r="B2346" s="547" t="s">
        <v>2351</v>
      </c>
      <c r="C2346" s="554" t="s">
        <v>5080</v>
      </c>
      <c r="D2346" s="554" t="s">
        <v>5081</v>
      </c>
      <c r="E2346" s="554" t="s">
        <v>9585</v>
      </c>
      <c r="F2346" s="571">
        <v>68</v>
      </c>
      <c r="G2346" s="572">
        <v>17.193000000000001</v>
      </c>
      <c r="H2346" s="545">
        <v>1169.124</v>
      </c>
      <c r="I2346" s="554" t="s">
        <v>9218</v>
      </c>
      <c r="J2346" s="554" t="s">
        <v>9219</v>
      </c>
      <c r="K2346" s="554" t="s">
        <v>9219</v>
      </c>
      <c r="L2346" s="537" t="s">
        <v>2354</v>
      </c>
    </row>
    <row r="2347" spans="1:12" x14ac:dyDescent="0.2">
      <c r="A2347" s="547" t="s">
        <v>220</v>
      </c>
      <c r="B2347" s="547" t="s">
        <v>2351</v>
      </c>
      <c r="C2347" s="554" t="s">
        <v>5082</v>
      </c>
      <c r="D2347" s="554" t="s">
        <v>5083</v>
      </c>
      <c r="E2347" s="554" t="s">
        <v>9585</v>
      </c>
      <c r="F2347" s="571">
        <v>5</v>
      </c>
      <c r="G2347" s="572">
        <v>22.925000000000001</v>
      </c>
      <c r="H2347" s="545">
        <v>114.625</v>
      </c>
      <c r="I2347" s="554" t="s">
        <v>9218</v>
      </c>
      <c r="J2347" s="554" t="s">
        <v>9219</v>
      </c>
      <c r="K2347" s="554" t="s">
        <v>9219</v>
      </c>
      <c r="L2347" s="537" t="s">
        <v>2354</v>
      </c>
    </row>
    <row r="2348" spans="1:12" x14ac:dyDescent="0.2">
      <c r="A2348" s="547" t="s">
        <v>220</v>
      </c>
      <c r="B2348" s="547" t="s">
        <v>2351</v>
      </c>
      <c r="C2348" s="554" t="s">
        <v>5384</v>
      </c>
      <c r="D2348" s="554" t="s">
        <v>5385</v>
      </c>
      <c r="E2348" s="554" t="s">
        <v>9585</v>
      </c>
      <c r="F2348" s="571">
        <v>92</v>
      </c>
      <c r="G2348" s="572">
        <v>0.53974999999999995</v>
      </c>
      <c r="H2348" s="545">
        <v>49.656999999999996</v>
      </c>
      <c r="I2348" s="554" t="s">
        <v>9218</v>
      </c>
      <c r="J2348" s="554" t="s">
        <v>9219</v>
      </c>
      <c r="K2348" s="554" t="s">
        <v>9219</v>
      </c>
      <c r="L2348" s="537" t="s">
        <v>2354</v>
      </c>
    </row>
    <row r="2349" spans="1:12" x14ac:dyDescent="0.2">
      <c r="A2349" s="547" t="s">
        <v>220</v>
      </c>
      <c r="B2349" s="547" t="s">
        <v>2351</v>
      </c>
      <c r="C2349" s="554" t="s">
        <v>5084</v>
      </c>
      <c r="D2349" s="554" t="s">
        <v>5085</v>
      </c>
      <c r="E2349" s="554" t="s">
        <v>9585</v>
      </c>
      <c r="F2349" s="571">
        <v>145</v>
      </c>
      <c r="G2349" s="572">
        <v>0.57757000000000003</v>
      </c>
      <c r="H2349" s="545">
        <v>83.747650000000007</v>
      </c>
      <c r="I2349" s="554" t="s">
        <v>9218</v>
      </c>
      <c r="J2349" s="554" t="s">
        <v>9219</v>
      </c>
      <c r="K2349" s="554" t="s">
        <v>9219</v>
      </c>
      <c r="L2349" s="537" t="s">
        <v>2354</v>
      </c>
    </row>
    <row r="2350" spans="1:12" x14ac:dyDescent="0.2">
      <c r="A2350" s="547" t="s">
        <v>220</v>
      </c>
      <c r="B2350" s="547" t="s">
        <v>2351</v>
      </c>
      <c r="C2350" s="554" t="s">
        <v>5086</v>
      </c>
      <c r="D2350" s="554" t="s">
        <v>5087</v>
      </c>
      <c r="E2350" s="554" t="s">
        <v>9585</v>
      </c>
      <c r="F2350" s="571">
        <v>59</v>
      </c>
      <c r="G2350" s="572">
        <v>8.5980000000000001E-2</v>
      </c>
      <c r="H2350" s="545">
        <v>5.0728200000000001</v>
      </c>
      <c r="I2350" s="554" t="s">
        <v>9218</v>
      </c>
      <c r="J2350" s="554" t="s">
        <v>9219</v>
      </c>
      <c r="K2350" s="554" t="s">
        <v>9219</v>
      </c>
      <c r="L2350" s="537" t="s">
        <v>2354</v>
      </c>
    </row>
    <row r="2351" spans="1:12" x14ac:dyDescent="0.2">
      <c r="A2351" s="547" t="s">
        <v>220</v>
      </c>
      <c r="B2351" s="547" t="s">
        <v>2351</v>
      </c>
      <c r="C2351" s="554" t="s">
        <v>5088</v>
      </c>
      <c r="D2351" s="554" t="s">
        <v>5089</v>
      </c>
      <c r="E2351" s="554" t="s">
        <v>9585</v>
      </c>
      <c r="F2351" s="571">
        <v>84</v>
      </c>
      <c r="G2351" s="572">
        <v>4.7600000000000003E-2</v>
      </c>
      <c r="H2351" s="545">
        <v>3.9984000000000002</v>
      </c>
      <c r="I2351" s="554" t="s">
        <v>9218</v>
      </c>
      <c r="J2351" s="554" t="s">
        <v>9219</v>
      </c>
      <c r="K2351" s="554" t="s">
        <v>9219</v>
      </c>
      <c r="L2351" s="537" t="s">
        <v>2354</v>
      </c>
    </row>
    <row r="2352" spans="1:12" x14ac:dyDescent="0.2">
      <c r="A2352" s="547" t="s">
        <v>220</v>
      </c>
      <c r="B2352" s="547" t="s">
        <v>2351</v>
      </c>
      <c r="C2352" s="554" t="s">
        <v>5090</v>
      </c>
      <c r="D2352" s="554" t="s">
        <v>5091</v>
      </c>
      <c r="E2352" s="554" t="s">
        <v>9585</v>
      </c>
      <c r="F2352" s="571">
        <v>1</v>
      </c>
      <c r="G2352" s="572">
        <v>31.395</v>
      </c>
      <c r="H2352" s="545">
        <v>31.395</v>
      </c>
      <c r="I2352" s="554" t="s">
        <v>9218</v>
      </c>
      <c r="J2352" s="554" t="s">
        <v>9219</v>
      </c>
      <c r="K2352" s="554" t="s">
        <v>9219</v>
      </c>
      <c r="L2352" s="537" t="s">
        <v>2354</v>
      </c>
    </row>
    <row r="2353" spans="1:12" x14ac:dyDescent="0.2">
      <c r="A2353" s="547" t="s">
        <v>220</v>
      </c>
      <c r="B2353" s="547" t="s">
        <v>2351</v>
      </c>
      <c r="C2353" s="554" t="s">
        <v>5386</v>
      </c>
      <c r="D2353" s="554" t="s">
        <v>5387</v>
      </c>
      <c r="E2353" s="554" t="s">
        <v>9585</v>
      </c>
      <c r="F2353" s="571">
        <v>173</v>
      </c>
      <c r="G2353" s="572">
        <v>4.505E-2</v>
      </c>
      <c r="H2353" s="545">
        <v>7.7936499999999995</v>
      </c>
      <c r="I2353" s="554" t="s">
        <v>9218</v>
      </c>
      <c r="J2353" s="554" t="s">
        <v>9219</v>
      </c>
      <c r="K2353" s="554" t="s">
        <v>9219</v>
      </c>
      <c r="L2353" s="537" t="s">
        <v>2354</v>
      </c>
    </row>
    <row r="2354" spans="1:12" x14ac:dyDescent="0.2">
      <c r="A2354" s="547" t="s">
        <v>220</v>
      </c>
      <c r="B2354" s="547" t="s">
        <v>2351</v>
      </c>
      <c r="C2354" s="554"/>
      <c r="D2354" s="554" t="s">
        <v>9377</v>
      </c>
      <c r="E2354" s="554" t="s">
        <v>9585</v>
      </c>
      <c r="F2354" s="571">
        <v>220</v>
      </c>
      <c r="G2354" s="572">
        <v>0.125</v>
      </c>
      <c r="H2354" s="545">
        <v>27.5</v>
      </c>
      <c r="I2354" s="554" t="s">
        <v>9218</v>
      </c>
      <c r="J2354" s="554" t="s">
        <v>9219</v>
      </c>
      <c r="K2354" s="554" t="s">
        <v>9219</v>
      </c>
      <c r="L2354" s="537" t="s">
        <v>2354</v>
      </c>
    </row>
    <row r="2355" spans="1:12" x14ac:dyDescent="0.2">
      <c r="A2355" s="547" t="s">
        <v>220</v>
      </c>
      <c r="B2355" s="547" t="s">
        <v>2351</v>
      </c>
      <c r="C2355" s="554" t="s">
        <v>5388</v>
      </c>
      <c r="D2355" s="554" t="s">
        <v>5389</v>
      </c>
      <c r="E2355" s="554" t="s">
        <v>9585</v>
      </c>
      <c r="F2355" s="571">
        <v>323</v>
      </c>
      <c r="G2355" s="572">
        <v>4.8576666666666671E-2</v>
      </c>
      <c r="H2355" s="545">
        <v>15.690263333333334</v>
      </c>
      <c r="I2355" s="554" t="s">
        <v>9218</v>
      </c>
      <c r="J2355" s="554" t="s">
        <v>9219</v>
      </c>
      <c r="K2355" s="554" t="s">
        <v>9219</v>
      </c>
      <c r="L2355" s="537" t="s">
        <v>2354</v>
      </c>
    </row>
    <row r="2356" spans="1:12" x14ac:dyDescent="0.2">
      <c r="A2356" s="547" t="s">
        <v>220</v>
      </c>
      <c r="B2356" s="547" t="s">
        <v>2351</v>
      </c>
      <c r="C2356" s="554" t="s">
        <v>5092</v>
      </c>
      <c r="D2356" s="554" t="s">
        <v>5093</v>
      </c>
      <c r="E2356" s="554" t="s">
        <v>9585</v>
      </c>
      <c r="F2356" s="571">
        <v>6</v>
      </c>
      <c r="G2356" s="572">
        <v>6.63</v>
      </c>
      <c r="H2356" s="545">
        <v>39.78</v>
      </c>
      <c r="I2356" s="554" t="s">
        <v>9218</v>
      </c>
      <c r="J2356" s="554" t="s">
        <v>9219</v>
      </c>
      <c r="K2356" s="554" t="s">
        <v>9219</v>
      </c>
      <c r="L2356" s="537" t="s">
        <v>2354</v>
      </c>
    </row>
    <row r="2357" spans="1:12" x14ac:dyDescent="0.2">
      <c r="A2357" s="547" t="s">
        <v>220</v>
      </c>
      <c r="B2357" s="547" t="s">
        <v>2351</v>
      </c>
      <c r="C2357" s="554" t="s">
        <v>5094</v>
      </c>
      <c r="D2357" s="554" t="s">
        <v>5095</v>
      </c>
      <c r="E2357" s="554" t="s">
        <v>9585</v>
      </c>
      <c r="F2357" s="571">
        <v>14</v>
      </c>
      <c r="G2357" s="572">
        <v>0.85746000000000011</v>
      </c>
      <c r="H2357" s="545">
        <v>12.004440000000002</v>
      </c>
      <c r="I2357" s="554" t="s">
        <v>9218</v>
      </c>
      <c r="J2357" s="554" t="s">
        <v>9219</v>
      </c>
      <c r="K2357" s="554" t="s">
        <v>9219</v>
      </c>
      <c r="L2357" s="537" t="s">
        <v>2354</v>
      </c>
    </row>
    <row r="2358" spans="1:12" x14ac:dyDescent="0.2">
      <c r="A2358" s="547" t="s">
        <v>220</v>
      </c>
      <c r="B2358" s="547" t="s">
        <v>2351</v>
      </c>
      <c r="C2358" s="554" t="s">
        <v>5100</v>
      </c>
      <c r="D2358" s="554" t="s">
        <v>5101</v>
      </c>
      <c r="E2358" s="554" t="s">
        <v>9585</v>
      </c>
      <c r="F2358" s="571">
        <v>1</v>
      </c>
      <c r="G2358" s="572">
        <v>0.51600000000000001</v>
      </c>
      <c r="H2358" s="545">
        <v>0.51600000000000001</v>
      </c>
      <c r="I2358" s="554" t="s">
        <v>9218</v>
      </c>
      <c r="J2358" s="554" t="s">
        <v>9219</v>
      </c>
      <c r="K2358" s="554" t="s">
        <v>9219</v>
      </c>
      <c r="L2358" s="537" t="s">
        <v>2354</v>
      </c>
    </row>
    <row r="2359" spans="1:12" x14ac:dyDescent="0.2">
      <c r="A2359" s="547" t="s">
        <v>220</v>
      </c>
      <c r="B2359" s="547" t="s">
        <v>2351</v>
      </c>
      <c r="C2359" s="554"/>
      <c r="D2359" s="554" t="s">
        <v>9378</v>
      </c>
      <c r="E2359" s="554" t="s">
        <v>9585</v>
      </c>
      <c r="F2359" s="571">
        <v>74</v>
      </c>
      <c r="G2359" s="572">
        <v>0.11799999999999999</v>
      </c>
      <c r="H2359" s="545">
        <v>8.7319999999999993</v>
      </c>
      <c r="I2359" s="554" t="s">
        <v>9218</v>
      </c>
      <c r="J2359" s="554" t="s">
        <v>9219</v>
      </c>
      <c r="K2359" s="554" t="s">
        <v>9219</v>
      </c>
      <c r="L2359" s="537" t="s">
        <v>2354</v>
      </c>
    </row>
    <row r="2360" spans="1:12" x14ac:dyDescent="0.2">
      <c r="A2360" s="547" t="s">
        <v>220</v>
      </c>
      <c r="B2360" s="547" t="s">
        <v>2351</v>
      </c>
      <c r="C2360" s="554" t="s">
        <v>5102</v>
      </c>
      <c r="D2360" s="554" t="s">
        <v>5103</v>
      </c>
      <c r="E2360" s="554" t="s">
        <v>9585</v>
      </c>
      <c r="F2360" s="571">
        <v>24</v>
      </c>
      <c r="G2360" s="572">
        <v>0.26656000000000002</v>
      </c>
      <c r="H2360" s="545">
        <v>6.3974400000000005</v>
      </c>
      <c r="I2360" s="554" t="s">
        <v>9218</v>
      </c>
      <c r="J2360" s="554" t="s">
        <v>9219</v>
      </c>
      <c r="K2360" s="554" t="s">
        <v>9219</v>
      </c>
      <c r="L2360" s="537" t="s">
        <v>2354</v>
      </c>
    </row>
    <row r="2361" spans="1:12" x14ac:dyDescent="0.2">
      <c r="A2361" s="547" t="s">
        <v>220</v>
      </c>
      <c r="B2361" s="547" t="s">
        <v>2351</v>
      </c>
      <c r="C2361" s="554" t="s">
        <v>5104</v>
      </c>
      <c r="D2361" s="554" t="s">
        <v>5105</v>
      </c>
      <c r="E2361" s="554" t="s">
        <v>9585</v>
      </c>
      <c r="F2361" s="571">
        <v>1</v>
      </c>
      <c r="G2361" s="572">
        <v>0.72352000000000005</v>
      </c>
      <c r="H2361" s="545">
        <v>0.72352000000000005</v>
      </c>
      <c r="I2361" s="554" t="s">
        <v>9218</v>
      </c>
      <c r="J2361" s="554" t="s">
        <v>9219</v>
      </c>
      <c r="K2361" s="554" t="s">
        <v>9219</v>
      </c>
      <c r="L2361" s="537" t="s">
        <v>2354</v>
      </c>
    </row>
    <row r="2362" spans="1:12" x14ac:dyDescent="0.2">
      <c r="A2362" s="547" t="s">
        <v>220</v>
      </c>
      <c r="B2362" s="547" t="s">
        <v>2351</v>
      </c>
      <c r="C2362" s="554" t="s">
        <v>5106</v>
      </c>
      <c r="D2362" s="554" t="s">
        <v>5107</v>
      </c>
      <c r="E2362" s="554" t="s">
        <v>9585</v>
      </c>
      <c r="F2362" s="571">
        <v>139</v>
      </c>
      <c r="G2362" s="572">
        <v>1.00674</v>
      </c>
      <c r="H2362" s="545">
        <v>139.93686</v>
      </c>
      <c r="I2362" s="554" t="s">
        <v>9218</v>
      </c>
      <c r="J2362" s="554" t="s">
        <v>9219</v>
      </c>
      <c r="K2362" s="554" t="s">
        <v>9219</v>
      </c>
      <c r="L2362" s="537" t="s">
        <v>2354</v>
      </c>
    </row>
    <row r="2363" spans="1:12" x14ac:dyDescent="0.2">
      <c r="A2363" s="547" t="s">
        <v>220</v>
      </c>
      <c r="B2363" s="547" t="s">
        <v>2351</v>
      </c>
      <c r="C2363" s="554" t="s">
        <v>5110</v>
      </c>
      <c r="D2363" s="554" t="s">
        <v>5111</v>
      </c>
      <c r="E2363" s="554" t="s">
        <v>9585</v>
      </c>
      <c r="F2363" s="571">
        <v>16</v>
      </c>
      <c r="G2363" s="572">
        <v>0.4</v>
      </c>
      <c r="H2363" s="545">
        <v>6.4</v>
      </c>
      <c r="I2363" s="554" t="s">
        <v>9218</v>
      </c>
      <c r="J2363" s="554" t="s">
        <v>9219</v>
      </c>
      <c r="K2363" s="554" t="s">
        <v>9219</v>
      </c>
      <c r="L2363" s="537" t="s">
        <v>2354</v>
      </c>
    </row>
    <row r="2364" spans="1:12" x14ac:dyDescent="0.2">
      <c r="A2364" s="547" t="s">
        <v>220</v>
      </c>
      <c r="B2364" s="547" t="s">
        <v>2351</v>
      </c>
      <c r="C2364" s="554"/>
      <c r="D2364" s="554" t="s">
        <v>9379</v>
      </c>
      <c r="E2364" s="554" t="s">
        <v>9585</v>
      </c>
      <c r="F2364" s="571">
        <v>64</v>
      </c>
      <c r="G2364" s="572">
        <v>0.23400000000000001</v>
      </c>
      <c r="H2364" s="545">
        <v>14.976000000000001</v>
      </c>
      <c r="I2364" s="554" t="s">
        <v>9218</v>
      </c>
      <c r="J2364" s="554" t="s">
        <v>9219</v>
      </c>
      <c r="K2364" s="554" t="s">
        <v>9219</v>
      </c>
      <c r="L2364" s="537" t="s">
        <v>2354</v>
      </c>
    </row>
    <row r="2365" spans="1:12" x14ac:dyDescent="0.2">
      <c r="A2365" s="547" t="s">
        <v>220</v>
      </c>
      <c r="B2365" s="547" t="s">
        <v>2351</v>
      </c>
      <c r="C2365" s="554" t="s">
        <v>5112</v>
      </c>
      <c r="D2365" s="554" t="s">
        <v>5113</v>
      </c>
      <c r="E2365" s="554" t="s">
        <v>9585</v>
      </c>
      <c r="F2365" s="571">
        <v>39</v>
      </c>
      <c r="G2365" s="572">
        <v>0.20200000000000001</v>
      </c>
      <c r="H2365" s="545">
        <v>7.8780000000000001</v>
      </c>
      <c r="I2365" s="554" t="s">
        <v>9218</v>
      </c>
      <c r="J2365" s="554" t="s">
        <v>9219</v>
      </c>
      <c r="K2365" s="554" t="s">
        <v>9219</v>
      </c>
      <c r="L2365" s="537" t="s">
        <v>2354</v>
      </c>
    </row>
    <row r="2366" spans="1:12" x14ac:dyDescent="0.2">
      <c r="A2366" s="547" t="s">
        <v>220</v>
      </c>
      <c r="B2366" s="547" t="s">
        <v>2351</v>
      </c>
      <c r="C2366" s="554" t="s">
        <v>5114</v>
      </c>
      <c r="D2366" s="554" t="s">
        <v>5115</v>
      </c>
      <c r="E2366" s="554" t="s">
        <v>9585</v>
      </c>
      <c r="F2366" s="573">
        <v>400</v>
      </c>
      <c r="G2366" s="545">
        <v>0</v>
      </c>
      <c r="H2366" s="545">
        <v>0</v>
      </c>
      <c r="I2366" s="554" t="s">
        <v>9218</v>
      </c>
      <c r="J2366" s="554" t="s">
        <v>9219</v>
      </c>
      <c r="K2366" s="554" t="s">
        <v>9219</v>
      </c>
      <c r="L2366" s="537" t="s">
        <v>2354</v>
      </c>
    </row>
    <row r="2367" spans="1:12" x14ac:dyDescent="0.2">
      <c r="A2367" s="547" t="s">
        <v>220</v>
      </c>
      <c r="B2367" s="547" t="s">
        <v>2351</v>
      </c>
      <c r="C2367" s="554" t="s">
        <v>5116</v>
      </c>
      <c r="D2367" s="554" t="s">
        <v>5117</v>
      </c>
      <c r="E2367" s="554" t="s">
        <v>9585</v>
      </c>
      <c r="F2367" s="571">
        <v>31</v>
      </c>
      <c r="G2367" s="572">
        <v>5.1999999999999998E-2</v>
      </c>
      <c r="H2367" s="545">
        <v>1.6119999999999999</v>
      </c>
      <c r="I2367" s="554" t="s">
        <v>9218</v>
      </c>
      <c r="J2367" s="554" t="s">
        <v>9219</v>
      </c>
      <c r="K2367" s="554" t="s">
        <v>9219</v>
      </c>
      <c r="L2367" s="537" t="s">
        <v>2354</v>
      </c>
    </row>
    <row r="2368" spans="1:12" x14ac:dyDescent="0.2">
      <c r="A2368" s="547" t="s">
        <v>220</v>
      </c>
      <c r="B2368" s="547" t="s">
        <v>2351</v>
      </c>
      <c r="C2368" s="554" t="s">
        <v>5118</v>
      </c>
      <c r="D2368" s="554" t="s">
        <v>5119</v>
      </c>
      <c r="E2368" s="554" t="s">
        <v>9585</v>
      </c>
      <c r="F2368" s="571">
        <v>3</v>
      </c>
      <c r="G2368" s="572">
        <v>34.384999999999998</v>
      </c>
      <c r="H2368" s="545">
        <v>103.155</v>
      </c>
      <c r="I2368" s="554" t="s">
        <v>9218</v>
      </c>
      <c r="J2368" s="554" t="s">
        <v>9219</v>
      </c>
      <c r="K2368" s="554" t="s">
        <v>9219</v>
      </c>
      <c r="L2368" s="537" t="s">
        <v>2354</v>
      </c>
    </row>
    <row r="2369" spans="1:12" x14ac:dyDescent="0.2">
      <c r="A2369" s="547" t="s">
        <v>220</v>
      </c>
      <c r="B2369" s="547" t="s">
        <v>2351</v>
      </c>
      <c r="C2369" s="554" t="s">
        <v>5120</v>
      </c>
      <c r="D2369" s="554" t="s">
        <v>5121</v>
      </c>
      <c r="E2369" s="554" t="s">
        <v>9585</v>
      </c>
      <c r="F2369" s="571">
        <v>480</v>
      </c>
      <c r="G2369" s="572">
        <v>0.19800000000000001</v>
      </c>
      <c r="H2369" s="545">
        <v>95.04</v>
      </c>
      <c r="I2369" s="554" t="s">
        <v>9218</v>
      </c>
      <c r="J2369" s="554" t="s">
        <v>9219</v>
      </c>
      <c r="K2369" s="554" t="s">
        <v>9219</v>
      </c>
      <c r="L2369" s="537" t="s">
        <v>2354</v>
      </c>
    </row>
    <row r="2370" spans="1:12" x14ac:dyDescent="0.2">
      <c r="A2370" s="547" t="s">
        <v>220</v>
      </c>
      <c r="B2370" s="547" t="s">
        <v>2351</v>
      </c>
      <c r="C2370" s="554" t="s">
        <v>5122</v>
      </c>
      <c r="D2370" s="554" t="s">
        <v>5123</v>
      </c>
      <c r="E2370" s="554" t="s">
        <v>9585</v>
      </c>
      <c r="F2370" s="571">
        <v>2</v>
      </c>
      <c r="G2370" s="572">
        <v>0.63200000000000001</v>
      </c>
      <c r="H2370" s="545">
        <v>1.264</v>
      </c>
      <c r="I2370" s="554" t="s">
        <v>9218</v>
      </c>
      <c r="J2370" s="554" t="s">
        <v>9219</v>
      </c>
      <c r="K2370" s="554" t="s">
        <v>9219</v>
      </c>
      <c r="L2370" s="537" t="s">
        <v>2354</v>
      </c>
    </row>
    <row r="2371" spans="1:12" x14ac:dyDescent="0.2">
      <c r="A2371" s="547" t="s">
        <v>220</v>
      </c>
      <c r="B2371" s="547" t="s">
        <v>2351</v>
      </c>
      <c r="C2371" s="554" t="s">
        <v>5124</v>
      </c>
      <c r="D2371" s="554" t="s">
        <v>5125</v>
      </c>
      <c r="E2371" s="554" t="s">
        <v>9585</v>
      </c>
      <c r="F2371" s="571">
        <v>81</v>
      </c>
      <c r="G2371" s="572">
        <v>0.40799999999999997</v>
      </c>
      <c r="H2371" s="545">
        <v>33.047999999999995</v>
      </c>
      <c r="I2371" s="554" t="s">
        <v>9218</v>
      </c>
      <c r="J2371" s="554" t="s">
        <v>9219</v>
      </c>
      <c r="K2371" s="554" t="s">
        <v>9219</v>
      </c>
      <c r="L2371" s="537" t="s">
        <v>2354</v>
      </c>
    </row>
    <row r="2372" spans="1:12" x14ac:dyDescent="0.2">
      <c r="A2372" s="547" t="s">
        <v>220</v>
      </c>
      <c r="B2372" s="547" t="s">
        <v>2351</v>
      </c>
      <c r="C2372" s="554" t="s">
        <v>5126</v>
      </c>
      <c r="D2372" s="554" t="s">
        <v>5127</v>
      </c>
      <c r="E2372" s="554" t="s">
        <v>9585</v>
      </c>
      <c r="F2372" s="571">
        <v>83</v>
      </c>
      <c r="G2372" s="572">
        <v>1.633</v>
      </c>
      <c r="H2372" s="545">
        <v>135.53899999999999</v>
      </c>
      <c r="I2372" s="554" t="s">
        <v>9218</v>
      </c>
      <c r="J2372" s="554" t="s">
        <v>9219</v>
      </c>
      <c r="K2372" s="554" t="s">
        <v>9219</v>
      </c>
      <c r="L2372" s="537" t="s">
        <v>2354</v>
      </c>
    </row>
    <row r="2373" spans="1:12" x14ac:dyDescent="0.2">
      <c r="A2373" s="547" t="s">
        <v>220</v>
      </c>
      <c r="B2373" s="547" t="s">
        <v>2351</v>
      </c>
      <c r="C2373" s="554" t="s">
        <v>5128</v>
      </c>
      <c r="D2373" s="554" t="s">
        <v>5129</v>
      </c>
      <c r="E2373" s="554" t="s">
        <v>9585</v>
      </c>
      <c r="F2373" s="571">
        <v>87</v>
      </c>
      <c r="G2373" s="572">
        <v>0.61599999999999999</v>
      </c>
      <c r="H2373" s="545">
        <v>53.591999999999999</v>
      </c>
      <c r="I2373" s="554" t="s">
        <v>9218</v>
      </c>
      <c r="J2373" s="554" t="s">
        <v>9219</v>
      </c>
      <c r="K2373" s="554" t="s">
        <v>9219</v>
      </c>
      <c r="L2373" s="537" t="s">
        <v>2354</v>
      </c>
    </row>
    <row r="2374" spans="1:12" x14ac:dyDescent="0.2">
      <c r="A2374" s="547" t="s">
        <v>220</v>
      </c>
      <c r="B2374" s="547" t="s">
        <v>2351</v>
      </c>
      <c r="C2374" s="554" t="s">
        <v>5130</v>
      </c>
      <c r="D2374" s="554" t="s">
        <v>5131</v>
      </c>
      <c r="E2374" s="554" t="s">
        <v>9585</v>
      </c>
      <c r="F2374" s="571">
        <v>93</v>
      </c>
      <c r="G2374" s="572">
        <v>1.0429999999999999</v>
      </c>
      <c r="H2374" s="545">
        <v>96.998999999999995</v>
      </c>
      <c r="I2374" s="554" t="s">
        <v>9218</v>
      </c>
      <c r="J2374" s="554" t="s">
        <v>9219</v>
      </c>
      <c r="K2374" s="554" t="s">
        <v>9219</v>
      </c>
      <c r="L2374" s="537" t="s">
        <v>2354</v>
      </c>
    </row>
    <row r="2375" spans="1:12" x14ac:dyDescent="0.2">
      <c r="A2375" s="547" t="s">
        <v>220</v>
      </c>
      <c r="B2375" s="547" t="s">
        <v>2351</v>
      </c>
      <c r="C2375" s="554" t="s">
        <v>5132</v>
      </c>
      <c r="D2375" s="554" t="s">
        <v>5133</v>
      </c>
      <c r="E2375" s="554" t="s">
        <v>9585</v>
      </c>
      <c r="F2375" s="571">
        <v>4</v>
      </c>
      <c r="G2375" s="572">
        <v>0.13600000000000001</v>
      </c>
      <c r="H2375" s="545">
        <v>0.54400000000000004</v>
      </c>
      <c r="I2375" s="554" t="s">
        <v>9218</v>
      </c>
      <c r="J2375" s="554" t="s">
        <v>9219</v>
      </c>
      <c r="K2375" s="554" t="s">
        <v>9219</v>
      </c>
      <c r="L2375" s="537" t="s">
        <v>2354</v>
      </c>
    </row>
    <row r="2376" spans="1:12" x14ac:dyDescent="0.2">
      <c r="A2376" s="547" t="s">
        <v>220</v>
      </c>
      <c r="B2376" s="547" t="s">
        <v>2351</v>
      </c>
      <c r="C2376" s="554" t="s">
        <v>5136</v>
      </c>
      <c r="D2376" s="554" t="s">
        <v>5137</v>
      </c>
      <c r="E2376" s="554" t="s">
        <v>9585</v>
      </c>
      <c r="F2376" s="571">
        <v>82</v>
      </c>
      <c r="G2376" s="572">
        <v>0.96084849999999999</v>
      </c>
      <c r="H2376" s="545">
        <v>78.789576999999994</v>
      </c>
      <c r="I2376" s="554" t="s">
        <v>9218</v>
      </c>
      <c r="J2376" s="554" t="s">
        <v>9219</v>
      </c>
      <c r="K2376" s="554" t="s">
        <v>9219</v>
      </c>
      <c r="L2376" s="537" t="s">
        <v>2354</v>
      </c>
    </row>
    <row r="2377" spans="1:12" x14ac:dyDescent="0.2">
      <c r="A2377" s="547" t="s">
        <v>220</v>
      </c>
      <c r="B2377" s="547" t="s">
        <v>2351</v>
      </c>
      <c r="C2377" s="554" t="s">
        <v>5138</v>
      </c>
      <c r="D2377" s="554" t="s">
        <v>5139</v>
      </c>
      <c r="E2377" s="554" t="s">
        <v>9585</v>
      </c>
      <c r="F2377" s="571">
        <v>179</v>
      </c>
      <c r="G2377" s="572">
        <v>0.10878985088138404</v>
      </c>
      <c r="H2377" s="545">
        <v>19.473383307767744</v>
      </c>
      <c r="I2377" s="554" t="s">
        <v>9218</v>
      </c>
      <c r="J2377" s="554" t="s">
        <v>9219</v>
      </c>
      <c r="K2377" s="554" t="s">
        <v>9219</v>
      </c>
      <c r="L2377" s="537" t="s">
        <v>2354</v>
      </c>
    </row>
    <row r="2378" spans="1:12" x14ac:dyDescent="0.2">
      <c r="A2378" s="547" t="s">
        <v>220</v>
      </c>
      <c r="B2378" s="547" t="s">
        <v>2351</v>
      </c>
      <c r="C2378" s="554" t="s">
        <v>5140</v>
      </c>
      <c r="D2378" s="554" t="s">
        <v>5141</v>
      </c>
      <c r="E2378" s="554" t="s">
        <v>9585</v>
      </c>
      <c r="F2378" s="571">
        <v>314</v>
      </c>
      <c r="G2378" s="572">
        <v>0.34900939226519334</v>
      </c>
      <c r="H2378" s="545">
        <v>109.58894917127071</v>
      </c>
      <c r="I2378" s="554" t="s">
        <v>9218</v>
      </c>
      <c r="J2378" s="554" t="s">
        <v>9219</v>
      </c>
      <c r="K2378" s="554" t="s">
        <v>9219</v>
      </c>
      <c r="L2378" s="537" t="s">
        <v>2354</v>
      </c>
    </row>
    <row r="2379" spans="1:12" x14ac:dyDescent="0.2">
      <c r="A2379" s="547" t="s">
        <v>220</v>
      </c>
      <c r="B2379" s="547" t="s">
        <v>2351</v>
      </c>
      <c r="C2379" s="554" t="s">
        <v>5142</v>
      </c>
      <c r="D2379" s="554" t="s">
        <v>5143</v>
      </c>
      <c r="E2379" s="554" t="s">
        <v>9585</v>
      </c>
      <c r="F2379" s="571">
        <v>192</v>
      </c>
      <c r="G2379" s="572">
        <v>0.46400000000000002</v>
      </c>
      <c r="H2379" s="545">
        <v>89.088000000000008</v>
      </c>
      <c r="I2379" s="554" t="s">
        <v>9218</v>
      </c>
      <c r="J2379" s="554" t="s">
        <v>9219</v>
      </c>
      <c r="K2379" s="554" t="s">
        <v>9219</v>
      </c>
      <c r="L2379" s="537" t="s">
        <v>2354</v>
      </c>
    </row>
    <row r="2380" spans="1:12" x14ac:dyDescent="0.2">
      <c r="A2380" s="547" t="s">
        <v>220</v>
      </c>
      <c r="B2380" s="547" t="s">
        <v>2351</v>
      </c>
      <c r="C2380" s="554" t="s">
        <v>5144</v>
      </c>
      <c r="D2380" s="554" t="s">
        <v>5145</v>
      </c>
      <c r="E2380" s="554" t="s">
        <v>9585</v>
      </c>
      <c r="F2380" s="571">
        <v>14</v>
      </c>
      <c r="G2380" s="572">
        <v>0.77500000000000002</v>
      </c>
      <c r="H2380" s="545">
        <v>10.85</v>
      </c>
      <c r="I2380" s="554" t="s">
        <v>9218</v>
      </c>
      <c r="J2380" s="554" t="s">
        <v>9219</v>
      </c>
      <c r="K2380" s="554" t="s">
        <v>9219</v>
      </c>
      <c r="L2380" s="537" t="s">
        <v>2354</v>
      </c>
    </row>
    <row r="2381" spans="1:12" x14ac:dyDescent="0.2">
      <c r="A2381" s="547" t="s">
        <v>220</v>
      </c>
      <c r="B2381" s="547" t="s">
        <v>2351</v>
      </c>
      <c r="C2381" s="554" t="s">
        <v>5146</v>
      </c>
      <c r="D2381" s="554" t="s">
        <v>5147</v>
      </c>
      <c r="E2381" s="554" t="s">
        <v>9585</v>
      </c>
      <c r="F2381" s="571">
        <v>50</v>
      </c>
      <c r="G2381" s="572">
        <v>1.0395066666666666</v>
      </c>
      <c r="H2381" s="545">
        <v>51.975333333333332</v>
      </c>
      <c r="I2381" s="554" t="s">
        <v>9218</v>
      </c>
      <c r="J2381" s="554" t="s">
        <v>9219</v>
      </c>
      <c r="K2381" s="554" t="s">
        <v>9219</v>
      </c>
      <c r="L2381" s="537" t="s">
        <v>2354</v>
      </c>
    </row>
    <row r="2382" spans="1:12" x14ac:dyDescent="0.2">
      <c r="A2382" s="547" t="s">
        <v>220</v>
      </c>
      <c r="B2382" s="547" t="s">
        <v>2351</v>
      </c>
      <c r="C2382" s="554" t="s">
        <v>5148</v>
      </c>
      <c r="D2382" s="554" t="s">
        <v>5149</v>
      </c>
      <c r="E2382" s="554" t="s">
        <v>9585</v>
      </c>
      <c r="F2382" s="571">
        <v>4</v>
      </c>
      <c r="G2382" s="572">
        <v>0.129</v>
      </c>
      <c r="H2382" s="545">
        <v>0.51600000000000001</v>
      </c>
      <c r="I2382" s="554" t="s">
        <v>9218</v>
      </c>
      <c r="J2382" s="554" t="s">
        <v>9219</v>
      </c>
      <c r="K2382" s="554" t="s">
        <v>9219</v>
      </c>
      <c r="L2382" s="537" t="s">
        <v>2354</v>
      </c>
    </row>
    <row r="2383" spans="1:12" x14ac:dyDescent="0.2">
      <c r="A2383" s="547" t="s">
        <v>220</v>
      </c>
      <c r="B2383" s="547" t="s">
        <v>2351</v>
      </c>
      <c r="C2383" s="554" t="s">
        <v>5150</v>
      </c>
      <c r="D2383" s="554" t="s">
        <v>5151</v>
      </c>
      <c r="E2383" s="554" t="s">
        <v>9585</v>
      </c>
      <c r="F2383" s="571">
        <v>2</v>
      </c>
      <c r="G2383" s="572">
        <v>0.57779999999999998</v>
      </c>
      <c r="H2383" s="545">
        <v>1.1556</v>
      </c>
      <c r="I2383" s="554" t="s">
        <v>9218</v>
      </c>
      <c r="J2383" s="554" t="s">
        <v>9219</v>
      </c>
      <c r="K2383" s="554" t="s">
        <v>9219</v>
      </c>
      <c r="L2383" s="537" t="s">
        <v>2354</v>
      </c>
    </row>
    <row r="2384" spans="1:12" x14ac:dyDescent="0.2">
      <c r="A2384" s="547" t="s">
        <v>220</v>
      </c>
      <c r="B2384" s="547" t="s">
        <v>2351</v>
      </c>
      <c r="C2384" s="554" t="s">
        <v>5152</v>
      </c>
      <c r="D2384" s="554" t="s">
        <v>5153</v>
      </c>
      <c r="E2384" s="554" t="s">
        <v>9585</v>
      </c>
      <c r="F2384" s="571">
        <v>14</v>
      </c>
      <c r="G2384" s="572">
        <v>0.39100000000000001</v>
      </c>
      <c r="H2384" s="545">
        <v>5.4740000000000002</v>
      </c>
      <c r="I2384" s="554" t="s">
        <v>9218</v>
      </c>
      <c r="J2384" s="554" t="s">
        <v>9219</v>
      </c>
      <c r="K2384" s="554" t="s">
        <v>9219</v>
      </c>
      <c r="L2384" s="537" t="s">
        <v>2354</v>
      </c>
    </row>
    <row r="2385" spans="1:12" x14ac:dyDescent="0.2">
      <c r="A2385" s="547" t="s">
        <v>220</v>
      </c>
      <c r="B2385" s="547" t="s">
        <v>2351</v>
      </c>
      <c r="C2385" s="554" t="s">
        <v>5156</v>
      </c>
      <c r="D2385" s="554" t="s">
        <v>5157</v>
      </c>
      <c r="E2385" s="554" t="s">
        <v>9585</v>
      </c>
      <c r="F2385" s="571">
        <v>5</v>
      </c>
      <c r="G2385" s="572">
        <v>47.84</v>
      </c>
      <c r="H2385" s="545">
        <v>239.20000000000002</v>
      </c>
      <c r="I2385" s="554" t="s">
        <v>9218</v>
      </c>
      <c r="J2385" s="554" t="s">
        <v>9219</v>
      </c>
      <c r="K2385" s="554" t="s">
        <v>9219</v>
      </c>
      <c r="L2385" s="537" t="s">
        <v>2354</v>
      </c>
    </row>
    <row r="2386" spans="1:12" x14ac:dyDescent="0.2">
      <c r="A2386" s="547" t="s">
        <v>220</v>
      </c>
      <c r="B2386" s="547" t="s">
        <v>2351</v>
      </c>
      <c r="C2386" s="554" t="s">
        <v>5158</v>
      </c>
      <c r="D2386" s="554" t="s">
        <v>5159</v>
      </c>
      <c r="E2386" s="554" t="s">
        <v>9585</v>
      </c>
      <c r="F2386" s="571">
        <v>101</v>
      </c>
      <c r="G2386" s="572">
        <v>0.54700000000000004</v>
      </c>
      <c r="H2386" s="545">
        <v>55.247000000000007</v>
      </c>
      <c r="I2386" s="554" t="s">
        <v>9218</v>
      </c>
      <c r="J2386" s="554" t="s">
        <v>9219</v>
      </c>
      <c r="K2386" s="554" t="s">
        <v>9219</v>
      </c>
      <c r="L2386" s="537" t="s">
        <v>2354</v>
      </c>
    </row>
    <row r="2387" spans="1:12" x14ac:dyDescent="0.2">
      <c r="A2387" s="547" t="s">
        <v>220</v>
      </c>
      <c r="B2387" s="547" t="s">
        <v>2351</v>
      </c>
      <c r="C2387" s="554" t="s">
        <v>5160</v>
      </c>
      <c r="D2387" s="554" t="s">
        <v>5161</v>
      </c>
      <c r="E2387" s="554" t="s">
        <v>9585</v>
      </c>
      <c r="F2387" s="571">
        <v>4</v>
      </c>
      <c r="G2387" s="572">
        <v>6.7910000000000004</v>
      </c>
      <c r="H2387" s="545">
        <v>27.164000000000001</v>
      </c>
      <c r="I2387" s="554" t="s">
        <v>9218</v>
      </c>
      <c r="J2387" s="554" t="s">
        <v>9219</v>
      </c>
      <c r="K2387" s="554" t="s">
        <v>9219</v>
      </c>
      <c r="L2387" s="537" t="s">
        <v>2354</v>
      </c>
    </row>
    <row r="2388" spans="1:12" x14ac:dyDescent="0.2">
      <c r="A2388" s="547" t="s">
        <v>220</v>
      </c>
      <c r="B2388" s="547" t="s">
        <v>2351</v>
      </c>
      <c r="C2388" s="554" t="s">
        <v>5162</v>
      </c>
      <c r="D2388" s="554" t="s">
        <v>5163</v>
      </c>
      <c r="E2388" s="554" t="s">
        <v>9585</v>
      </c>
      <c r="F2388" s="571">
        <v>5</v>
      </c>
      <c r="G2388" s="572">
        <v>10.92</v>
      </c>
      <c r="H2388" s="545">
        <v>54.6</v>
      </c>
      <c r="I2388" s="554" t="s">
        <v>9218</v>
      </c>
      <c r="J2388" s="554" t="s">
        <v>9219</v>
      </c>
      <c r="K2388" s="554" t="s">
        <v>9219</v>
      </c>
      <c r="L2388" s="537" t="s">
        <v>2354</v>
      </c>
    </row>
    <row r="2389" spans="1:12" x14ac:dyDescent="0.2">
      <c r="A2389" s="547" t="s">
        <v>220</v>
      </c>
      <c r="B2389" s="547" t="s">
        <v>2351</v>
      </c>
      <c r="C2389" s="554" t="s">
        <v>5164</v>
      </c>
      <c r="D2389" s="554" t="s">
        <v>5165</v>
      </c>
      <c r="E2389" s="554" t="s">
        <v>9585</v>
      </c>
      <c r="F2389" s="571">
        <v>6</v>
      </c>
      <c r="G2389" s="572">
        <v>15.81</v>
      </c>
      <c r="H2389" s="545">
        <v>94.86</v>
      </c>
      <c r="I2389" s="554" t="s">
        <v>9218</v>
      </c>
      <c r="J2389" s="554" t="s">
        <v>9219</v>
      </c>
      <c r="K2389" s="554" t="s">
        <v>9219</v>
      </c>
      <c r="L2389" s="537" t="s">
        <v>2354</v>
      </c>
    </row>
    <row r="2390" spans="1:12" x14ac:dyDescent="0.2">
      <c r="A2390" s="547" t="s">
        <v>220</v>
      </c>
      <c r="B2390" s="547" t="s">
        <v>2351</v>
      </c>
      <c r="C2390" s="554" t="s">
        <v>5166</v>
      </c>
      <c r="D2390" s="554" t="s">
        <v>5167</v>
      </c>
      <c r="E2390" s="554" t="s">
        <v>9585</v>
      </c>
      <c r="F2390" s="571">
        <v>4</v>
      </c>
      <c r="G2390" s="572">
        <v>6.593</v>
      </c>
      <c r="H2390" s="545">
        <v>26.372</v>
      </c>
      <c r="I2390" s="554" t="s">
        <v>9218</v>
      </c>
      <c r="J2390" s="554" t="s">
        <v>9219</v>
      </c>
      <c r="K2390" s="554" t="s">
        <v>9219</v>
      </c>
      <c r="L2390" s="537" t="s">
        <v>2354</v>
      </c>
    </row>
    <row r="2391" spans="1:12" x14ac:dyDescent="0.2">
      <c r="A2391" s="547" t="s">
        <v>220</v>
      </c>
      <c r="B2391" s="547" t="s">
        <v>2351</v>
      </c>
      <c r="C2391" s="554" t="s">
        <v>5172</v>
      </c>
      <c r="D2391" s="554" t="s">
        <v>5173</v>
      </c>
      <c r="E2391" s="554" t="s">
        <v>9585</v>
      </c>
      <c r="F2391" s="571">
        <v>1</v>
      </c>
      <c r="G2391" s="572">
        <v>1.63</v>
      </c>
      <c r="H2391" s="545">
        <v>1.63</v>
      </c>
      <c r="I2391" s="554" t="s">
        <v>9218</v>
      </c>
      <c r="J2391" s="554" t="s">
        <v>9219</v>
      </c>
      <c r="K2391" s="554" t="s">
        <v>9219</v>
      </c>
      <c r="L2391" s="537" t="s">
        <v>2354</v>
      </c>
    </row>
    <row r="2392" spans="1:12" x14ac:dyDescent="0.2">
      <c r="A2392" s="547" t="s">
        <v>220</v>
      </c>
      <c r="B2392" s="547" t="s">
        <v>2351</v>
      </c>
      <c r="C2392" s="554" t="s">
        <v>5174</v>
      </c>
      <c r="D2392" s="554" t="s">
        <v>5175</v>
      </c>
      <c r="E2392" s="554" t="s">
        <v>9585</v>
      </c>
      <c r="F2392" s="571">
        <v>1</v>
      </c>
      <c r="G2392" s="572">
        <v>2.512</v>
      </c>
      <c r="H2392" s="545">
        <v>2.512</v>
      </c>
      <c r="I2392" s="554" t="s">
        <v>9218</v>
      </c>
      <c r="J2392" s="554" t="s">
        <v>9219</v>
      </c>
      <c r="K2392" s="554" t="s">
        <v>9219</v>
      </c>
      <c r="L2392" s="537" t="s">
        <v>2354</v>
      </c>
    </row>
    <row r="2393" spans="1:12" x14ac:dyDescent="0.2">
      <c r="A2393" s="547" t="s">
        <v>220</v>
      </c>
      <c r="B2393" s="547" t="s">
        <v>2351</v>
      </c>
      <c r="C2393" s="554" t="s">
        <v>5176</v>
      </c>
      <c r="D2393" s="554" t="s">
        <v>5177</v>
      </c>
      <c r="E2393" s="554" t="s">
        <v>9585</v>
      </c>
      <c r="F2393" s="571">
        <v>3</v>
      </c>
      <c r="G2393" s="572">
        <v>3.0259999999999998</v>
      </c>
      <c r="H2393" s="545">
        <v>9.0779999999999994</v>
      </c>
      <c r="I2393" s="554" t="s">
        <v>9218</v>
      </c>
      <c r="J2393" s="554" t="s">
        <v>9219</v>
      </c>
      <c r="K2393" s="554" t="s">
        <v>9219</v>
      </c>
      <c r="L2393" s="537" t="s">
        <v>2354</v>
      </c>
    </row>
    <row r="2394" spans="1:12" x14ac:dyDescent="0.2">
      <c r="A2394" s="547" t="s">
        <v>220</v>
      </c>
      <c r="B2394" s="547" t="s">
        <v>2351</v>
      </c>
      <c r="C2394" s="554" t="s">
        <v>5178</v>
      </c>
      <c r="D2394" s="554" t="s">
        <v>5179</v>
      </c>
      <c r="E2394" s="554" t="s">
        <v>9585</v>
      </c>
      <c r="F2394" s="571">
        <v>12</v>
      </c>
      <c r="G2394" s="572">
        <v>4.5625526315789475</v>
      </c>
      <c r="H2394" s="545">
        <v>54.75063157894737</v>
      </c>
      <c r="I2394" s="554" t="s">
        <v>9218</v>
      </c>
      <c r="J2394" s="554" t="s">
        <v>9219</v>
      </c>
      <c r="K2394" s="554" t="s">
        <v>9219</v>
      </c>
      <c r="L2394" s="537" t="s">
        <v>2354</v>
      </c>
    </row>
    <row r="2395" spans="1:12" x14ac:dyDescent="0.2">
      <c r="A2395" s="547" t="s">
        <v>220</v>
      </c>
      <c r="B2395" s="547" t="s">
        <v>2351</v>
      </c>
      <c r="C2395" s="554" t="s">
        <v>5180</v>
      </c>
      <c r="D2395" s="554" t="s">
        <v>5181</v>
      </c>
      <c r="E2395" s="554" t="s">
        <v>9585</v>
      </c>
      <c r="F2395" s="571">
        <v>4</v>
      </c>
      <c r="G2395" s="572">
        <v>14.04</v>
      </c>
      <c r="H2395" s="545">
        <v>56.16</v>
      </c>
      <c r="I2395" s="554" t="s">
        <v>9218</v>
      </c>
      <c r="J2395" s="554" t="s">
        <v>9219</v>
      </c>
      <c r="K2395" s="554" t="s">
        <v>9219</v>
      </c>
      <c r="L2395" s="537" t="s">
        <v>2354</v>
      </c>
    </row>
    <row r="2396" spans="1:12" x14ac:dyDescent="0.2">
      <c r="A2396" s="547" t="s">
        <v>220</v>
      </c>
      <c r="B2396" s="547" t="s">
        <v>2351</v>
      </c>
      <c r="C2396" s="554" t="s">
        <v>5182</v>
      </c>
      <c r="D2396" s="554" t="s">
        <v>5183</v>
      </c>
      <c r="E2396" s="554" t="s">
        <v>9585</v>
      </c>
      <c r="F2396" s="571">
        <v>8</v>
      </c>
      <c r="G2396" s="572">
        <v>13.026249999999999</v>
      </c>
      <c r="H2396" s="545">
        <v>104.21</v>
      </c>
      <c r="I2396" s="554" t="s">
        <v>9218</v>
      </c>
      <c r="J2396" s="554" t="s">
        <v>9219</v>
      </c>
      <c r="K2396" s="554" t="s">
        <v>9219</v>
      </c>
      <c r="L2396" s="537" t="s">
        <v>2354</v>
      </c>
    </row>
    <row r="2397" spans="1:12" x14ac:dyDescent="0.2">
      <c r="A2397" s="547" t="s">
        <v>220</v>
      </c>
      <c r="B2397" s="547" t="s">
        <v>2351</v>
      </c>
      <c r="C2397" s="554" t="s">
        <v>5184</v>
      </c>
      <c r="D2397" s="554" t="s">
        <v>5185</v>
      </c>
      <c r="E2397" s="554" t="s">
        <v>9585</v>
      </c>
      <c r="F2397" s="571">
        <v>10</v>
      </c>
      <c r="G2397" s="572">
        <v>8.6880000000000006</v>
      </c>
      <c r="H2397" s="545">
        <v>86.88000000000001</v>
      </c>
      <c r="I2397" s="554" t="s">
        <v>9218</v>
      </c>
      <c r="J2397" s="554" t="s">
        <v>9219</v>
      </c>
      <c r="K2397" s="554" t="s">
        <v>9219</v>
      </c>
      <c r="L2397" s="537" t="s">
        <v>2354</v>
      </c>
    </row>
    <row r="2398" spans="1:12" x14ac:dyDescent="0.2">
      <c r="A2398" s="547" t="s">
        <v>220</v>
      </c>
      <c r="B2398" s="547" t="s">
        <v>2351</v>
      </c>
      <c r="C2398" s="554" t="s">
        <v>5186</v>
      </c>
      <c r="D2398" s="554" t="s">
        <v>5187</v>
      </c>
      <c r="E2398" s="554" t="s">
        <v>9585</v>
      </c>
      <c r="F2398" s="571">
        <v>4</v>
      </c>
      <c r="G2398" s="572">
        <v>1.1559999999999999</v>
      </c>
      <c r="H2398" s="545">
        <v>4.6239999999999997</v>
      </c>
      <c r="I2398" s="554" t="s">
        <v>9218</v>
      </c>
      <c r="J2398" s="554" t="s">
        <v>9219</v>
      </c>
      <c r="K2398" s="554" t="s">
        <v>9219</v>
      </c>
      <c r="L2398" s="537" t="s">
        <v>2354</v>
      </c>
    </row>
    <row r="2399" spans="1:12" x14ac:dyDescent="0.2">
      <c r="A2399" s="547" t="s">
        <v>220</v>
      </c>
      <c r="B2399" s="547" t="s">
        <v>2351</v>
      </c>
      <c r="C2399" s="554" t="s">
        <v>5188</v>
      </c>
      <c r="D2399" s="554" t="s">
        <v>5189</v>
      </c>
      <c r="E2399" s="554" t="s">
        <v>9585</v>
      </c>
      <c r="F2399" s="571">
        <v>1</v>
      </c>
      <c r="G2399" s="572">
        <v>4.6139999999999999</v>
      </c>
      <c r="H2399" s="545">
        <v>4.6139999999999999</v>
      </c>
      <c r="I2399" s="554" t="s">
        <v>9218</v>
      </c>
      <c r="J2399" s="554" t="s">
        <v>9219</v>
      </c>
      <c r="K2399" s="554" t="s">
        <v>9219</v>
      </c>
      <c r="L2399" s="537" t="s">
        <v>2354</v>
      </c>
    </row>
    <row r="2400" spans="1:12" x14ac:dyDescent="0.2">
      <c r="A2400" s="547" t="s">
        <v>220</v>
      </c>
      <c r="B2400" s="547" t="s">
        <v>2351</v>
      </c>
      <c r="C2400" s="554" t="s">
        <v>5190</v>
      </c>
      <c r="D2400" s="554" t="s">
        <v>5191</v>
      </c>
      <c r="E2400" s="554" t="s">
        <v>9585</v>
      </c>
      <c r="F2400" s="571">
        <v>5</v>
      </c>
      <c r="G2400" s="572">
        <v>0.33700000000000002</v>
      </c>
      <c r="H2400" s="545">
        <v>1.6850000000000001</v>
      </c>
      <c r="I2400" s="554" t="s">
        <v>9218</v>
      </c>
      <c r="J2400" s="554" t="s">
        <v>9219</v>
      </c>
      <c r="K2400" s="554" t="s">
        <v>9219</v>
      </c>
      <c r="L2400" s="537" t="s">
        <v>2354</v>
      </c>
    </row>
    <row r="2401" spans="1:12" x14ac:dyDescent="0.2">
      <c r="A2401" s="547" t="s">
        <v>220</v>
      </c>
      <c r="B2401" s="547" t="s">
        <v>2351</v>
      </c>
      <c r="C2401" s="554" t="s">
        <v>5192</v>
      </c>
      <c r="D2401" s="554" t="s">
        <v>5193</v>
      </c>
      <c r="E2401" s="554" t="s">
        <v>9585</v>
      </c>
      <c r="F2401" s="571">
        <v>6</v>
      </c>
      <c r="G2401" s="572">
        <v>5.3070000000000004</v>
      </c>
      <c r="H2401" s="545">
        <v>31.842000000000002</v>
      </c>
      <c r="I2401" s="554" t="s">
        <v>9218</v>
      </c>
      <c r="J2401" s="554" t="s">
        <v>9219</v>
      </c>
      <c r="K2401" s="554" t="s">
        <v>9219</v>
      </c>
      <c r="L2401" s="537" t="s">
        <v>2354</v>
      </c>
    </row>
    <row r="2402" spans="1:12" x14ac:dyDescent="0.2">
      <c r="A2402" s="547" t="s">
        <v>220</v>
      </c>
      <c r="B2402" s="547" t="s">
        <v>2351</v>
      </c>
      <c r="C2402" s="554" t="s">
        <v>5194</v>
      </c>
      <c r="D2402" s="554" t="s">
        <v>5195</v>
      </c>
      <c r="E2402" s="554" t="s">
        <v>9585</v>
      </c>
      <c r="F2402" s="571">
        <v>4</v>
      </c>
      <c r="G2402" s="572">
        <v>0.46500000000000002</v>
      </c>
      <c r="H2402" s="545">
        <v>1.86</v>
      </c>
      <c r="I2402" s="554" t="s">
        <v>9218</v>
      </c>
      <c r="J2402" s="554" t="s">
        <v>9219</v>
      </c>
      <c r="K2402" s="554" t="s">
        <v>9219</v>
      </c>
      <c r="L2402" s="537" t="s">
        <v>2354</v>
      </c>
    </row>
    <row r="2403" spans="1:12" x14ac:dyDescent="0.2">
      <c r="A2403" s="547" t="s">
        <v>220</v>
      </c>
      <c r="B2403" s="547" t="s">
        <v>2351</v>
      </c>
      <c r="C2403" s="554" t="s">
        <v>5196</v>
      </c>
      <c r="D2403" s="554" t="s">
        <v>5197</v>
      </c>
      <c r="E2403" s="554" t="s">
        <v>9585</v>
      </c>
      <c r="F2403" s="571">
        <v>19</v>
      </c>
      <c r="G2403" s="572">
        <v>0.112</v>
      </c>
      <c r="H2403" s="545">
        <v>2.1280000000000001</v>
      </c>
      <c r="I2403" s="554" t="s">
        <v>9218</v>
      </c>
      <c r="J2403" s="554" t="s">
        <v>9219</v>
      </c>
      <c r="K2403" s="554" t="s">
        <v>9219</v>
      </c>
      <c r="L2403" s="537" t="s">
        <v>2354</v>
      </c>
    </row>
    <row r="2404" spans="1:12" x14ac:dyDescent="0.2">
      <c r="A2404" s="547" t="s">
        <v>220</v>
      </c>
      <c r="B2404" s="547" t="s">
        <v>2351</v>
      </c>
      <c r="C2404" s="554" t="s">
        <v>5198</v>
      </c>
      <c r="D2404" s="554" t="s">
        <v>5199</v>
      </c>
      <c r="E2404" s="554" t="s">
        <v>9585</v>
      </c>
      <c r="F2404" s="571">
        <v>16</v>
      </c>
      <c r="G2404" s="572">
        <v>1.0025999999999999</v>
      </c>
      <c r="H2404" s="545">
        <v>16.041599999999999</v>
      </c>
      <c r="I2404" s="554" t="s">
        <v>9218</v>
      </c>
      <c r="J2404" s="554" t="s">
        <v>9219</v>
      </c>
      <c r="K2404" s="554" t="s">
        <v>9219</v>
      </c>
      <c r="L2404" s="537" t="s">
        <v>2354</v>
      </c>
    </row>
    <row r="2405" spans="1:12" x14ac:dyDescent="0.2">
      <c r="A2405" s="547" t="s">
        <v>220</v>
      </c>
      <c r="B2405" s="547" t="s">
        <v>2351</v>
      </c>
      <c r="C2405" s="554" t="s">
        <v>5200</v>
      </c>
      <c r="D2405" s="554" t="s">
        <v>5201</v>
      </c>
      <c r="E2405" s="554" t="s">
        <v>9585</v>
      </c>
      <c r="F2405" s="571">
        <v>6</v>
      </c>
      <c r="G2405" s="572">
        <v>0.33700000000000002</v>
      </c>
      <c r="H2405" s="545">
        <v>2.0220000000000002</v>
      </c>
      <c r="I2405" s="554" t="s">
        <v>9218</v>
      </c>
      <c r="J2405" s="554" t="s">
        <v>9219</v>
      </c>
      <c r="K2405" s="554" t="s">
        <v>9219</v>
      </c>
      <c r="L2405" s="537" t="s">
        <v>2354</v>
      </c>
    </row>
    <row r="2406" spans="1:12" x14ac:dyDescent="0.2">
      <c r="A2406" s="547" t="s">
        <v>220</v>
      </c>
      <c r="B2406" s="547" t="s">
        <v>2351</v>
      </c>
      <c r="C2406" s="554" t="s">
        <v>5202</v>
      </c>
      <c r="D2406" s="554" t="s">
        <v>5203</v>
      </c>
      <c r="E2406" s="554" t="s">
        <v>9585</v>
      </c>
      <c r="F2406" s="571">
        <v>8</v>
      </c>
      <c r="G2406" s="572">
        <v>0.75700000000000001</v>
      </c>
      <c r="H2406" s="545">
        <v>6.056</v>
      </c>
      <c r="I2406" s="554" t="s">
        <v>9218</v>
      </c>
      <c r="J2406" s="554" t="s">
        <v>9219</v>
      </c>
      <c r="K2406" s="554" t="s">
        <v>9219</v>
      </c>
      <c r="L2406" s="537" t="s">
        <v>2354</v>
      </c>
    </row>
    <row r="2407" spans="1:12" x14ac:dyDescent="0.2">
      <c r="A2407" s="547" t="s">
        <v>220</v>
      </c>
      <c r="B2407" s="547" t="s">
        <v>2351</v>
      </c>
      <c r="C2407" s="554" t="s">
        <v>5204</v>
      </c>
      <c r="D2407" s="554" t="s">
        <v>5205</v>
      </c>
      <c r="E2407" s="554" t="s">
        <v>9585</v>
      </c>
      <c r="F2407" s="571">
        <v>18</v>
      </c>
      <c r="G2407" s="572">
        <v>1.1952</v>
      </c>
      <c r="H2407" s="545">
        <v>21.5136</v>
      </c>
      <c r="I2407" s="554" t="s">
        <v>9218</v>
      </c>
      <c r="J2407" s="554" t="s">
        <v>9219</v>
      </c>
      <c r="K2407" s="554" t="s">
        <v>9219</v>
      </c>
      <c r="L2407" s="537" t="s">
        <v>2354</v>
      </c>
    </row>
    <row r="2408" spans="1:12" x14ac:dyDescent="0.2">
      <c r="A2408" s="547" t="s">
        <v>220</v>
      </c>
      <c r="B2408" s="547" t="s">
        <v>2351</v>
      </c>
      <c r="C2408" s="554" t="s">
        <v>5206</v>
      </c>
      <c r="D2408" s="554" t="s">
        <v>5207</v>
      </c>
      <c r="E2408" s="554" t="s">
        <v>9585</v>
      </c>
      <c r="F2408" s="571">
        <v>20</v>
      </c>
      <c r="G2408" s="572">
        <v>1.0109999999999999</v>
      </c>
      <c r="H2408" s="545">
        <v>20.22</v>
      </c>
      <c r="I2408" s="554" t="s">
        <v>9218</v>
      </c>
      <c r="J2408" s="554" t="s">
        <v>9219</v>
      </c>
      <c r="K2408" s="554" t="s">
        <v>9219</v>
      </c>
      <c r="L2408" s="537" t="s">
        <v>2354</v>
      </c>
    </row>
    <row r="2409" spans="1:12" x14ac:dyDescent="0.2">
      <c r="A2409" s="547" t="s">
        <v>220</v>
      </c>
      <c r="B2409" s="547" t="s">
        <v>2351</v>
      </c>
      <c r="C2409" s="554" t="s">
        <v>5208</v>
      </c>
      <c r="D2409" s="554" t="s">
        <v>5209</v>
      </c>
      <c r="E2409" s="554" t="s">
        <v>9585</v>
      </c>
      <c r="F2409" s="571">
        <v>3</v>
      </c>
      <c r="G2409" s="572">
        <v>1.304</v>
      </c>
      <c r="H2409" s="545">
        <v>3.9119999999999999</v>
      </c>
      <c r="I2409" s="554" t="s">
        <v>9218</v>
      </c>
      <c r="J2409" s="554" t="s">
        <v>9219</v>
      </c>
      <c r="K2409" s="554" t="s">
        <v>9219</v>
      </c>
      <c r="L2409" s="537" t="s">
        <v>2354</v>
      </c>
    </row>
    <row r="2410" spans="1:12" x14ac:dyDescent="0.2">
      <c r="A2410" s="547" t="s">
        <v>220</v>
      </c>
      <c r="B2410" s="547" t="s">
        <v>2351</v>
      </c>
      <c r="C2410" s="554" t="s">
        <v>5210</v>
      </c>
      <c r="D2410" s="554" t="s">
        <v>5211</v>
      </c>
      <c r="E2410" s="554" t="s">
        <v>9585</v>
      </c>
      <c r="F2410" s="571">
        <v>3</v>
      </c>
      <c r="G2410" s="572">
        <v>1.4</v>
      </c>
      <c r="H2410" s="545">
        <v>4.1999999999999993</v>
      </c>
      <c r="I2410" s="554" t="s">
        <v>9218</v>
      </c>
      <c r="J2410" s="554" t="s">
        <v>9219</v>
      </c>
      <c r="K2410" s="554" t="s">
        <v>9219</v>
      </c>
      <c r="L2410" s="537" t="s">
        <v>2354</v>
      </c>
    </row>
    <row r="2411" spans="1:12" x14ac:dyDescent="0.2">
      <c r="A2411" s="547" t="s">
        <v>220</v>
      </c>
      <c r="B2411" s="547" t="s">
        <v>2351</v>
      </c>
      <c r="C2411" s="554" t="s">
        <v>5212</v>
      </c>
      <c r="D2411" s="554" t="s">
        <v>5213</v>
      </c>
      <c r="E2411" s="554" t="s">
        <v>9585</v>
      </c>
      <c r="F2411" s="571">
        <v>1</v>
      </c>
      <c r="G2411" s="572">
        <v>2.6070000000000002</v>
      </c>
      <c r="H2411" s="545">
        <v>2.6070000000000002</v>
      </c>
      <c r="I2411" s="554" t="s">
        <v>9218</v>
      </c>
      <c r="J2411" s="554" t="s">
        <v>9219</v>
      </c>
      <c r="K2411" s="554" t="s">
        <v>9219</v>
      </c>
      <c r="L2411" s="537" t="s">
        <v>2354</v>
      </c>
    </row>
    <row r="2412" spans="1:12" x14ac:dyDescent="0.2">
      <c r="A2412" s="547" t="s">
        <v>220</v>
      </c>
      <c r="B2412" s="547" t="s">
        <v>2351</v>
      </c>
      <c r="C2412" s="554" t="s">
        <v>5214</v>
      </c>
      <c r="D2412" s="554" t="s">
        <v>5215</v>
      </c>
      <c r="E2412" s="554" t="s">
        <v>9585</v>
      </c>
      <c r="F2412" s="571">
        <v>4</v>
      </c>
      <c r="G2412" s="572">
        <v>2.1909999999999998</v>
      </c>
      <c r="H2412" s="545">
        <v>8.7639999999999993</v>
      </c>
      <c r="I2412" s="554" t="s">
        <v>9218</v>
      </c>
      <c r="J2412" s="554" t="s">
        <v>9219</v>
      </c>
      <c r="K2412" s="554" t="s">
        <v>9219</v>
      </c>
      <c r="L2412" s="537" t="s">
        <v>2354</v>
      </c>
    </row>
    <row r="2413" spans="1:12" x14ac:dyDescent="0.2">
      <c r="A2413" s="547" t="s">
        <v>220</v>
      </c>
      <c r="B2413" s="547" t="s">
        <v>2351</v>
      </c>
      <c r="C2413" s="554" t="s">
        <v>5216</v>
      </c>
      <c r="D2413" s="554" t="s">
        <v>5217</v>
      </c>
      <c r="E2413" s="554" t="s">
        <v>9585</v>
      </c>
      <c r="F2413" s="571">
        <v>17</v>
      </c>
      <c r="G2413" s="572">
        <v>3.71</v>
      </c>
      <c r="H2413" s="545">
        <v>63.07</v>
      </c>
      <c r="I2413" s="554" t="s">
        <v>9218</v>
      </c>
      <c r="J2413" s="554" t="s">
        <v>9219</v>
      </c>
      <c r="K2413" s="554" t="s">
        <v>9219</v>
      </c>
      <c r="L2413" s="537" t="s">
        <v>2354</v>
      </c>
    </row>
    <row r="2414" spans="1:12" x14ac:dyDescent="0.2">
      <c r="A2414" s="547" t="s">
        <v>220</v>
      </c>
      <c r="B2414" s="547" t="s">
        <v>2351</v>
      </c>
      <c r="C2414" s="554" t="s">
        <v>5392</v>
      </c>
      <c r="D2414" s="554" t="s">
        <v>5393</v>
      </c>
      <c r="E2414" s="554" t="s">
        <v>9585</v>
      </c>
      <c r="F2414" s="571">
        <v>6</v>
      </c>
      <c r="G2414" s="572">
        <v>3.2562000000000002</v>
      </c>
      <c r="H2414" s="545">
        <v>19.537200000000002</v>
      </c>
      <c r="I2414" s="554" t="s">
        <v>9218</v>
      </c>
      <c r="J2414" s="554" t="s">
        <v>9219</v>
      </c>
      <c r="K2414" s="554" t="s">
        <v>9219</v>
      </c>
      <c r="L2414" s="537" t="s">
        <v>2354</v>
      </c>
    </row>
    <row r="2415" spans="1:12" x14ac:dyDescent="0.2">
      <c r="A2415" s="547" t="s">
        <v>220</v>
      </c>
      <c r="B2415" s="547" t="s">
        <v>2351</v>
      </c>
      <c r="C2415" s="554" t="s">
        <v>5220</v>
      </c>
      <c r="D2415" s="554" t="s">
        <v>5221</v>
      </c>
      <c r="E2415" s="554" t="s">
        <v>9585</v>
      </c>
      <c r="F2415" s="571">
        <v>1</v>
      </c>
      <c r="G2415" s="572">
        <v>9.0962999999999994</v>
      </c>
      <c r="H2415" s="545">
        <v>9.0962999999999994</v>
      </c>
      <c r="I2415" s="554" t="s">
        <v>9218</v>
      </c>
      <c r="J2415" s="554" t="s">
        <v>9219</v>
      </c>
      <c r="K2415" s="554" t="s">
        <v>9219</v>
      </c>
      <c r="L2415" s="537" t="s">
        <v>2354</v>
      </c>
    </row>
    <row r="2416" spans="1:12" x14ac:dyDescent="0.2">
      <c r="A2416" s="547" t="s">
        <v>220</v>
      </c>
      <c r="B2416" s="547" t="s">
        <v>2351</v>
      </c>
      <c r="C2416" s="554"/>
      <c r="D2416" s="554" t="s">
        <v>9380</v>
      </c>
      <c r="E2416" s="554" t="s">
        <v>9585</v>
      </c>
      <c r="F2416" s="571">
        <v>2</v>
      </c>
      <c r="G2416" s="572">
        <v>7.2759999999999998</v>
      </c>
      <c r="H2416" s="545">
        <v>14.552</v>
      </c>
      <c r="I2416" s="554" t="s">
        <v>9218</v>
      </c>
      <c r="J2416" s="554" t="s">
        <v>9219</v>
      </c>
      <c r="K2416" s="554" t="s">
        <v>9219</v>
      </c>
      <c r="L2416" s="537" t="s">
        <v>2354</v>
      </c>
    </row>
    <row r="2417" spans="1:12" x14ac:dyDescent="0.2">
      <c r="A2417" s="547" t="s">
        <v>220</v>
      </c>
      <c r="B2417" s="547" t="s">
        <v>2351</v>
      </c>
      <c r="C2417" s="554" t="s">
        <v>5222</v>
      </c>
      <c r="D2417" s="554" t="s">
        <v>5223</v>
      </c>
      <c r="E2417" s="554" t="s">
        <v>9585</v>
      </c>
      <c r="F2417" s="571">
        <v>3</v>
      </c>
      <c r="G2417" s="572">
        <v>9.6929999999999996</v>
      </c>
      <c r="H2417" s="545">
        <v>29.079000000000001</v>
      </c>
      <c r="I2417" s="554" t="s">
        <v>9218</v>
      </c>
      <c r="J2417" s="554" t="s">
        <v>9219</v>
      </c>
      <c r="K2417" s="554" t="s">
        <v>9219</v>
      </c>
      <c r="L2417" s="537" t="s">
        <v>2354</v>
      </c>
    </row>
    <row r="2418" spans="1:12" x14ac:dyDescent="0.2">
      <c r="A2418" s="547" t="s">
        <v>220</v>
      </c>
      <c r="B2418" s="547" t="s">
        <v>2351</v>
      </c>
      <c r="C2418" s="554"/>
      <c r="D2418" s="554" t="s">
        <v>9381</v>
      </c>
      <c r="E2418" s="554" t="s">
        <v>9585</v>
      </c>
      <c r="F2418" s="571">
        <v>3</v>
      </c>
      <c r="G2418" s="572">
        <v>13.516999999999999</v>
      </c>
      <c r="H2418" s="545">
        <v>40.551000000000002</v>
      </c>
      <c r="I2418" s="554" t="s">
        <v>9218</v>
      </c>
      <c r="J2418" s="554" t="s">
        <v>9219</v>
      </c>
      <c r="K2418" s="554" t="s">
        <v>9219</v>
      </c>
      <c r="L2418" s="537" t="s">
        <v>2354</v>
      </c>
    </row>
    <row r="2419" spans="1:12" x14ac:dyDescent="0.2">
      <c r="A2419" s="547" t="s">
        <v>220</v>
      </c>
      <c r="B2419" s="547" t="s">
        <v>2351</v>
      </c>
      <c r="C2419" s="554"/>
      <c r="D2419" s="554" t="s">
        <v>9382</v>
      </c>
      <c r="E2419" s="554" t="s">
        <v>9585</v>
      </c>
      <c r="F2419" s="571">
        <v>2</v>
      </c>
      <c r="G2419" s="572">
        <v>16.393999999999998</v>
      </c>
      <c r="H2419" s="545">
        <v>32.787999999999997</v>
      </c>
      <c r="I2419" s="554" t="s">
        <v>9218</v>
      </c>
      <c r="J2419" s="554" t="s">
        <v>9219</v>
      </c>
      <c r="K2419" s="554" t="s">
        <v>9219</v>
      </c>
      <c r="L2419" s="537" t="s">
        <v>2354</v>
      </c>
    </row>
    <row r="2420" spans="1:12" x14ac:dyDescent="0.2">
      <c r="A2420" s="547" t="s">
        <v>220</v>
      </c>
      <c r="B2420" s="547" t="s">
        <v>2351</v>
      </c>
      <c r="C2420" s="554"/>
      <c r="D2420" s="554" t="s">
        <v>9383</v>
      </c>
      <c r="E2420" s="554" t="s">
        <v>9585</v>
      </c>
      <c r="F2420" s="571">
        <v>3</v>
      </c>
      <c r="G2420" s="572">
        <v>11.8</v>
      </c>
      <c r="H2420" s="545">
        <v>35.400000000000006</v>
      </c>
      <c r="I2420" s="554" t="s">
        <v>9218</v>
      </c>
      <c r="J2420" s="554" t="s">
        <v>9219</v>
      </c>
      <c r="K2420" s="554" t="s">
        <v>9219</v>
      </c>
      <c r="L2420" s="537" t="s">
        <v>2354</v>
      </c>
    </row>
    <row r="2421" spans="1:12" x14ac:dyDescent="0.2">
      <c r="A2421" s="547" t="s">
        <v>220</v>
      </c>
      <c r="B2421" s="547" t="s">
        <v>2351</v>
      </c>
      <c r="C2421" s="554" t="s">
        <v>5230</v>
      </c>
      <c r="D2421" s="554" t="s">
        <v>5231</v>
      </c>
      <c r="E2421" s="554" t="s">
        <v>9585</v>
      </c>
      <c r="F2421" s="571">
        <v>2</v>
      </c>
      <c r="G2421" s="572">
        <v>4.5199999999999996</v>
      </c>
      <c r="H2421" s="545">
        <v>9.0399999999999991</v>
      </c>
      <c r="I2421" s="554" t="s">
        <v>9218</v>
      </c>
      <c r="J2421" s="554" t="s">
        <v>9219</v>
      </c>
      <c r="K2421" s="554" t="s">
        <v>9219</v>
      </c>
      <c r="L2421" s="537" t="s">
        <v>2354</v>
      </c>
    </row>
    <row r="2422" spans="1:12" x14ac:dyDescent="0.2">
      <c r="A2422" s="547" t="s">
        <v>220</v>
      </c>
      <c r="B2422" s="547" t="s">
        <v>2351</v>
      </c>
      <c r="C2422" s="554" t="s">
        <v>5240</v>
      </c>
      <c r="D2422" s="554" t="s">
        <v>5241</v>
      </c>
      <c r="E2422" s="554" t="s">
        <v>9585</v>
      </c>
      <c r="F2422" s="571">
        <v>100</v>
      </c>
      <c r="G2422" s="572">
        <v>0.14899999999999999</v>
      </c>
      <c r="H2422" s="545">
        <v>14.899999999999999</v>
      </c>
      <c r="I2422" s="554" t="s">
        <v>9218</v>
      </c>
      <c r="J2422" s="554" t="s">
        <v>9219</v>
      </c>
      <c r="K2422" s="554" t="s">
        <v>9219</v>
      </c>
      <c r="L2422" s="537" t="s">
        <v>2354</v>
      </c>
    </row>
    <row r="2423" spans="1:12" x14ac:dyDescent="0.2">
      <c r="A2423" s="547" t="s">
        <v>220</v>
      </c>
      <c r="B2423" s="547" t="s">
        <v>2351</v>
      </c>
      <c r="C2423" s="554"/>
      <c r="D2423" s="554" t="s">
        <v>9384</v>
      </c>
      <c r="E2423" s="554" t="s">
        <v>9585</v>
      </c>
      <c r="F2423" s="571">
        <v>49</v>
      </c>
      <c r="G2423" s="572">
        <v>0.47599999999999998</v>
      </c>
      <c r="H2423" s="545">
        <v>23.323999999999998</v>
      </c>
      <c r="I2423" s="554" t="s">
        <v>9218</v>
      </c>
      <c r="J2423" s="554" t="s">
        <v>9219</v>
      </c>
      <c r="K2423" s="554" t="s">
        <v>9219</v>
      </c>
      <c r="L2423" s="537" t="s">
        <v>2354</v>
      </c>
    </row>
    <row r="2424" spans="1:12" x14ac:dyDescent="0.2">
      <c r="A2424" s="547" t="s">
        <v>220</v>
      </c>
      <c r="B2424" s="547" t="s">
        <v>2351</v>
      </c>
      <c r="C2424" s="554"/>
      <c r="D2424" s="554" t="s">
        <v>9385</v>
      </c>
      <c r="E2424" s="554" t="s">
        <v>9585</v>
      </c>
      <c r="F2424" s="571">
        <v>49</v>
      </c>
      <c r="G2424" s="572">
        <v>0.16900000000000001</v>
      </c>
      <c r="H2424" s="545">
        <v>8.2810000000000006</v>
      </c>
      <c r="I2424" s="554" t="s">
        <v>9218</v>
      </c>
      <c r="J2424" s="554" t="s">
        <v>9219</v>
      </c>
      <c r="K2424" s="554" t="s">
        <v>9219</v>
      </c>
      <c r="L2424" s="537" t="s">
        <v>2354</v>
      </c>
    </row>
    <row r="2425" spans="1:12" x14ac:dyDescent="0.2">
      <c r="A2425" s="547" t="s">
        <v>220</v>
      </c>
      <c r="B2425" s="547" t="s">
        <v>2351</v>
      </c>
      <c r="C2425" s="554"/>
      <c r="D2425" s="554" t="s">
        <v>9386</v>
      </c>
      <c r="E2425" s="554" t="s">
        <v>9585</v>
      </c>
      <c r="F2425" s="571">
        <v>49</v>
      </c>
      <c r="G2425" s="572">
        <v>0.63700000000000001</v>
      </c>
      <c r="H2425" s="545">
        <v>31.213000000000001</v>
      </c>
      <c r="I2425" s="554" t="s">
        <v>9218</v>
      </c>
      <c r="J2425" s="554" t="s">
        <v>9219</v>
      </c>
      <c r="K2425" s="554" t="s">
        <v>9219</v>
      </c>
      <c r="L2425" s="537" t="s">
        <v>2354</v>
      </c>
    </row>
    <row r="2426" spans="1:12" x14ac:dyDescent="0.2">
      <c r="A2426" s="547" t="s">
        <v>220</v>
      </c>
      <c r="B2426" s="547" t="s">
        <v>2351</v>
      </c>
      <c r="C2426" s="554"/>
      <c r="D2426" s="554" t="s">
        <v>9387</v>
      </c>
      <c r="E2426" s="554" t="s">
        <v>9585</v>
      </c>
      <c r="F2426" s="571">
        <v>42</v>
      </c>
      <c r="G2426" s="572">
        <v>0.60499999999999998</v>
      </c>
      <c r="H2426" s="545">
        <v>25.41</v>
      </c>
      <c r="I2426" s="554" t="s">
        <v>9218</v>
      </c>
      <c r="J2426" s="554" t="s">
        <v>9219</v>
      </c>
      <c r="K2426" s="554" t="s">
        <v>9219</v>
      </c>
      <c r="L2426" s="537" t="s">
        <v>2354</v>
      </c>
    </row>
    <row r="2427" spans="1:12" x14ac:dyDescent="0.2">
      <c r="A2427" s="547" t="s">
        <v>220</v>
      </c>
      <c r="B2427" s="547" t="s">
        <v>2351</v>
      </c>
      <c r="C2427" s="554" t="s">
        <v>5246</v>
      </c>
      <c r="D2427" s="554" t="s">
        <v>5247</v>
      </c>
      <c r="E2427" s="554" t="s">
        <v>9585</v>
      </c>
      <c r="F2427" s="571">
        <v>20</v>
      </c>
      <c r="G2427" s="572">
        <v>0.1953</v>
      </c>
      <c r="H2427" s="545">
        <v>3.9060000000000001</v>
      </c>
      <c r="I2427" s="554" t="s">
        <v>9218</v>
      </c>
      <c r="J2427" s="554" t="s">
        <v>9219</v>
      </c>
      <c r="K2427" s="554" t="s">
        <v>9219</v>
      </c>
      <c r="L2427" s="537" t="s">
        <v>2354</v>
      </c>
    </row>
    <row r="2428" spans="1:12" x14ac:dyDescent="0.2">
      <c r="A2428" s="547" t="s">
        <v>220</v>
      </c>
      <c r="B2428" s="547" t="s">
        <v>2351</v>
      </c>
      <c r="C2428" s="554" t="s">
        <v>5248</v>
      </c>
      <c r="D2428" s="554" t="s">
        <v>5249</v>
      </c>
      <c r="E2428" s="554" t="s">
        <v>9585</v>
      </c>
      <c r="F2428" s="571">
        <v>17</v>
      </c>
      <c r="G2428" s="572">
        <v>0.4788</v>
      </c>
      <c r="H2428" s="545">
        <v>8.1395999999999997</v>
      </c>
      <c r="I2428" s="554" t="s">
        <v>9218</v>
      </c>
      <c r="J2428" s="554" t="s">
        <v>9219</v>
      </c>
      <c r="K2428" s="554" t="s">
        <v>9219</v>
      </c>
      <c r="L2428" s="537" t="s">
        <v>2354</v>
      </c>
    </row>
    <row r="2429" spans="1:12" x14ac:dyDescent="0.2">
      <c r="A2429" s="547" t="s">
        <v>220</v>
      </c>
      <c r="B2429" s="547" t="s">
        <v>2351</v>
      </c>
      <c r="C2429" s="554" t="s">
        <v>5250</v>
      </c>
      <c r="D2429" s="554" t="s">
        <v>5251</v>
      </c>
      <c r="E2429" s="554" t="s">
        <v>9585</v>
      </c>
      <c r="F2429" s="571">
        <v>4</v>
      </c>
      <c r="G2429" s="572">
        <v>23.079599999999999</v>
      </c>
      <c r="H2429" s="545">
        <v>92.318399999999997</v>
      </c>
      <c r="I2429" s="554" t="s">
        <v>9218</v>
      </c>
      <c r="J2429" s="554" t="s">
        <v>9219</v>
      </c>
      <c r="K2429" s="554" t="s">
        <v>9219</v>
      </c>
      <c r="L2429" s="537" t="s">
        <v>2354</v>
      </c>
    </row>
    <row r="2430" spans="1:12" x14ac:dyDescent="0.2">
      <c r="A2430" s="547" t="s">
        <v>220</v>
      </c>
      <c r="B2430" s="547" t="s">
        <v>2351</v>
      </c>
      <c r="C2430" s="554" t="s">
        <v>5254</v>
      </c>
      <c r="D2430" s="554" t="s">
        <v>5255</v>
      </c>
      <c r="E2430" s="554" t="s">
        <v>9585</v>
      </c>
      <c r="F2430" s="571">
        <v>10</v>
      </c>
      <c r="G2430" s="572">
        <v>4.6749999999999998</v>
      </c>
      <c r="H2430" s="545">
        <v>46.75</v>
      </c>
      <c r="I2430" s="554" t="s">
        <v>9218</v>
      </c>
      <c r="J2430" s="554" t="s">
        <v>9219</v>
      </c>
      <c r="K2430" s="554" t="s">
        <v>9219</v>
      </c>
      <c r="L2430" s="537" t="s">
        <v>2354</v>
      </c>
    </row>
    <row r="2431" spans="1:12" x14ac:dyDescent="0.2">
      <c r="A2431" s="547" t="s">
        <v>220</v>
      </c>
      <c r="B2431" s="547" t="s">
        <v>2351</v>
      </c>
      <c r="C2431" s="554" t="s">
        <v>5394</v>
      </c>
      <c r="D2431" s="554" t="s">
        <v>5395</v>
      </c>
      <c r="E2431" s="554" t="s">
        <v>9585</v>
      </c>
      <c r="F2431" s="571">
        <v>14</v>
      </c>
      <c r="G2431" s="572">
        <v>2.7530000000000001</v>
      </c>
      <c r="H2431" s="545">
        <v>38.542000000000002</v>
      </c>
      <c r="I2431" s="554" t="s">
        <v>9218</v>
      </c>
      <c r="J2431" s="554" t="s">
        <v>9219</v>
      </c>
      <c r="K2431" s="554" t="s">
        <v>9219</v>
      </c>
      <c r="L2431" s="537" t="s">
        <v>2354</v>
      </c>
    </row>
    <row r="2432" spans="1:12" x14ac:dyDescent="0.2">
      <c r="A2432" s="547" t="s">
        <v>220</v>
      </c>
      <c r="B2432" s="547" t="s">
        <v>2351</v>
      </c>
      <c r="C2432" s="554" t="s">
        <v>5274</v>
      </c>
      <c r="D2432" s="554" t="s">
        <v>5275</v>
      </c>
      <c r="E2432" s="554" t="s">
        <v>9585</v>
      </c>
      <c r="F2432" s="571">
        <v>4</v>
      </c>
      <c r="G2432" s="572">
        <v>7.5750000000000002</v>
      </c>
      <c r="H2432" s="545">
        <v>30.3</v>
      </c>
      <c r="I2432" s="554" t="s">
        <v>9218</v>
      </c>
      <c r="J2432" s="554" t="s">
        <v>9219</v>
      </c>
      <c r="K2432" s="554" t="s">
        <v>9219</v>
      </c>
      <c r="L2432" s="537" t="s">
        <v>2354</v>
      </c>
    </row>
    <row r="2433" spans="1:12" x14ac:dyDescent="0.2">
      <c r="A2433" s="547" t="s">
        <v>220</v>
      </c>
      <c r="B2433" s="547" t="s">
        <v>2351</v>
      </c>
      <c r="C2433" s="554" t="s">
        <v>5276</v>
      </c>
      <c r="D2433" s="554" t="s">
        <v>5277</v>
      </c>
      <c r="E2433" s="554" t="s">
        <v>9585</v>
      </c>
      <c r="F2433" s="571">
        <v>3</v>
      </c>
      <c r="G2433" s="572">
        <v>6.5650000000000004</v>
      </c>
      <c r="H2433" s="545">
        <v>19.695</v>
      </c>
      <c r="I2433" s="554" t="s">
        <v>9218</v>
      </c>
      <c r="J2433" s="554" t="s">
        <v>9219</v>
      </c>
      <c r="K2433" s="554" t="s">
        <v>9219</v>
      </c>
      <c r="L2433" s="537" t="s">
        <v>2354</v>
      </c>
    </row>
    <row r="2434" spans="1:12" x14ac:dyDescent="0.2">
      <c r="A2434" s="547" t="s">
        <v>220</v>
      </c>
      <c r="B2434" s="547" t="s">
        <v>2351</v>
      </c>
      <c r="C2434" s="554" t="s">
        <v>5280</v>
      </c>
      <c r="D2434" s="554" t="s">
        <v>5281</v>
      </c>
      <c r="E2434" s="554" t="s">
        <v>9585</v>
      </c>
      <c r="F2434" s="571">
        <v>4</v>
      </c>
      <c r="G2434" s="572">
        <v>7</v>
      </c>
      <c r="H2434" s="545">
        <v>28</v>
      </c>
      <c r="I2434" s="554" t="s">
        <v>9218</v>
      </c>
      <c r="J2434" s="554" t="s">
        <v>9219</v>
      </c>
      <c r="K2434" s="554" t="s">
        <v>9219</v>
      </c>
      <c r="L2434" s="537" t="s">
        <v>2354</v>
      </c>
    </row>
    <row r="2435" spans="1:12" x14ac:dyDescent="0.2">
      <c r="A2435" s="547" t="s">
        <v>220</v>
      </c>
      <c r="B2435" s="547" t="s">
        <v>2351</v>
      </c>
      <c r="C2435" s="554" t="s">
        <v>5288</v>
      </c>
      <c r="D2435" s="554" t="s">
        <v>5289</v>
      </c>
      <c r="E2435" s="554" t="s">
        <v>9585</v>
      </c>
      <c r="F2435" s="571">
        <v>2</v>
      </c>
      <c r="G2435" s="572">
        <v>8.1310333333333329</v>
      </c>
      <c r="H2435" s="545">
        <v>16.262066666666666</v>
      </c>
      <c r="I2435" s="554" t="s">
        <v>9218</v>
      </c>
      <c r="J2435" s="554" t="s">
        <v>9219</v>
      </c>
      <c r="K2435" s="554" t="s">
        <v>9219</v>
      </c>
      <c r="L2435" s="537" t="s">
        <v>2354</v>
      </c>
    </row>
    <row r="2436" spans="1:12" x14ac:dyDescent="0.2">
      <c r="A2436" s="547" t="s">
        <v>220</v>
      </c>
      <c r="B2436" s="547" t="s">
        <v>2351</v>
      </c>
      <c r="C2436" s="554" t="s">
        <v>5290</v>
      </c>
      <c r="D2436" s="554" t="s">
        <v>5291</v>
      </c>
      <c r="E2436" s="554" t="s">
        <v>9585</v>
      </c>
      <c r="F2436" s="571">
        <v>1</v>
      </c>
      <c r="G2436" s="572">
        <v>9.8927999999999994</v>
      </c>
      <c r="H2436" s="545">
        <v>9.8927999999999994</v>
      </c>
      <c r="I2436" s="554" t="s">
        <v>9218</v>
      </c>
      <c r="J2436" s="554" t="s">
        <v>9219</v>
      </c>
      <c r="K2436" s="554" t="s">
        <v>9219</v>
      </c>
      <c r="L2436" s="537" t="s">
        <v>2354</v>
      </c>
    </row>
    <row r="2437" spans="1:12" x14ac:dyDescent="0.2">
      <c r="A2437" s="547" t="s">
        <v>220</v>
      </c>
      <c r="B2437" s="547" t="s">
        <v>2351</v>
      </c>
      <c r="C2437" s="554" t="s">
        <v>5292</v>
      </c>
      <c r="D2437" s="554" t="s">
        <v>5293</v>
      </c>
      <c r="E2437" s="554" t="s">
        <v>9585</v>
      </c>
      <c r="F2437" s="571">
        <v>2</v>
      </c>
      <c r="G2437" s="572">
        <v>204.1592</v>
      </c>
      <c r="H2437" s="545">
        <v>408.3184</v>
      </c>
      <c r="I2437" s="554" t="s">
        <v>9218</v>
      </c>
      <c r="J2437" s="554" t="s">
        <v>9219</v>
      </c>
      <c r="K2437" s="554" t="s">
        <v>9219</v>
      </c>
      <c r="L2437" s="537" t="s">
        <v>2354</v>
      </c>
    </row>
    <row r="2438" spans="1:12" x14ac:dyDescent="0.2">
      <c r="A2438" s="547" t="s">
        <v>220</v>
      </c>
      <c r="B2438" s="547" t="s">
        <v>2351</v>
      </c>
      <c r="C2438" s="554" t="s">
        <v>5294</v>
      </c>
      <c r="D2438" s="554" t="s">
        <v>5295</v>
      </c>
      <c r="E2438" s="554" t="s">
        <v>9585</v>
      </c>
      <c r="F2438" s="571">
        <v>1</v>
      </c>
      <c r="G2438" s="572">
        <v>10.160780000000001</v>
      </c>
      <c r="H2438" s="545">
        <v>10.160780000000001</v>
      </c>
      <c r="I2438" s="554" t="s">
        <v>9218</v>
      </c>
      <c r="J2438" s="554" t="s">
        <v>9219</v>
      </c>
      <c r="K2438" s="554" t="s">
        <v>9219</v>
      </c>
      <c r="L2438" s="537" t="s">
        <v>2354</v>
      </c>
    </row>
    <row r="2439" spans="1:12" x14ac:dyDescent="0.2">
      <c r="A2439" s="547" t="s">
        <v>220</v>
      </c>
      <c r="B2439" s="547" t="s">
        <v>2351</v>
      </c>
      <c r="C2439" s="554" t="s">
        <v>5296</v>
      </c>
      <c r="D2439" s="554" t="s">
        <v>2392</v>
      </c>
      <c r="E2439" s="554" t="s">
        <v>9585</v>
      </c>
      <c r="F2439" s="571">
        <v>2</v>
      </c>
      <c r="G2439" s="572">
        <v>0.59940000000000004</v>
      </c>
      <c r="H2439" s="545">
        <v>1.1988000000000001</v>
      </c>
      <c r="I2439" s="554" t="s">
        <v>9218</v>
      </c>
      <c r="J2439" s="554" t="s">
        <v>9219</v>
      </c>
      <c r="K2439" s="554" t="s">
        <v>9219</v>
      </c>
      <c r="L2439" s="537" t="s">
        <v>2354</v>
      </c>
    </row>
    <row r="2440" spans="1:12" x14ac:dyDescent="0.2">
      <c r="A2440" s="547" t="s">
        <v>220</v>
      </c>
      <c r="B2440" s="547" t="s">
        <v>2351</v>
      </c>
      <c r="C2440" s="554" t="s">
        <v>5297</v>
      </c>
      <c r="D2440" s="554" t="s">
        <v>5298</v>
      </c>
      <c r="E2440" s="554" t="s">
        <v>9585</v>
      </c>
      <c r="F2440" s="571">
        <v>4</v>
      </c>
      <c r="G2440" s="572">
        <v>1.5021</v>
      </c>
      <c r="H2440" s="545">
        <v>6.0084</v>
      </c>
      <c r="I2440" s="554" t="s">
        <v>9218</v>
      </c>
      <c r="J2440" s="554" t="s">
        <v>9219</v>
      </c>
      <c r="K2440" s="554" t="s">
        <v>9219</v>
      </c>
      <c r="L2440" s="537" t="s">
        <v>2354</v>
      </c>
    </row>
    <row r="2441" spans="1:12" x14ac:dyDescent="0.2">
      <c r="A2441" s="547" t="s">
        <v>220</v>
      </c>
      <c r="B2441" s="547" t="s">
        <v>2351</v>
      </c>
      <c r="C2441" s="554" t="s">
        <v>5300</v>
      </c>
      <c r="D2441" s="554" t="s">
        <v>2393</v>
      </c>
      <c r="E2441" s="554" t="s">
        <v>9585</v>
      </c>
      <c r="F2441" s="571">
        <v>2</v>
      </c>
      <c r="G2441" s="572">
        <v>2.7349999999999999</v>
      </c>
      <c r="H2441" s="545">
        <v>5.47</v>
      </c>
      <c r="I2441" s="554" t="s">
        <v>9218</v>
      </c>
      <c r="J2441" s="554" t="s">
        <v>9219</v>
      </c>
      <c r="K2441" s="554" t="s">
        <v>9219</v>
      </c>
      <c r="L2441" s="537" t="s">
        <v>2354</v>
      </c>
    </row>
    <row r="2442" spans="1:12" x14ac:dyDescent="0.2">
      <c r="A2442" s="547" t="s">
        <v>220</v>
      </c>
      <c r="B2442" s="547" t="s">
        <v>2351</v>
      </c>
      <c r="C2442" s="554" t="s">
        <v>5301</v>
      </c>
      <c r="D2442" s="554" t="s">
        <v>5302</v>
      </c>
      <c r="E2442" s="554" t="s">
        <v>9585</v>
      </c>
      <c r="F2442" s="571">
        <v>3</v>
      </c>
      <c r="G2442" s="572">
        <v>8.7498000000000005</v>
      </c>
      <c r="H2442" s="545">
        <v>26.249400000000001</v>
      </c>
      <c r="I2442" s="554" t="s">
        <v>9218</v>
      </c>
      <c r="J2442" s="554" t="s">
        <v>9219</v>
      </c>
      <c r="K2442" s="554" t="s">
        <v>9219</v>
      </c>
      <c r="L2442" s="537" t="s">
        <v>2354</v>
      </c>
    </row>
    <row r="2443" spans="1:12" x14ac:dyDescent="0.2">
      <c r="A2443" s="547" t="s">
        <v>220</v>
      </c>
      <c r="B2443" s="547" t="s">
        <v>2351</v>
      </c>
      <c r="C2443" s="554"/>
      <c r="D2443" s="554" t="s">
        <v>2364</v>
      </c>
      <c r="E2443" s="554" t="s">
        <v>9585</v>
      </c>
      <c r="F2443" s="571">
        <v>1</v>
      </c>
      <c r="G2443" s="572">
        <v>47.624000000000002</v>
      </c>
      <c r="H2443" s="545">
        <v>47.624000000000002</v>
      </c>
      <c r="I2443" s="554" t="s">
        <v>9218</v>
      </c>
      <c r="J2443" s="554" t="s">
        <v>9219</v>
      </c>
      <c r="K2443" s="554" t="s">
        <v>9219</v>
      </c>
      <c r="L2443" s="537" t="s">
        <v>2354</v>
      </c>
    </row>
    <row r="2444" spans="1:12" x14ac:dyDescent="0.2">
      <c r="A2444" s="547" t="s">
        <v>220</v>
      </c>
      <c r="B2444" s="547" t="s">
        <v>2351</v>
      </c>
      <c r="C2444" s="554"/>
      <c r="D2444" s="554" t="s">
        <v>2360</v>
      </c>
      <c r="E2444" s="554" t="s">
        <v>9585</v>
      </c>
      <c r="F2444" s="571">
        <v>2</v>
      </c>
      <c r="G2444" s="572">
        <v>15.882</v>
      </c>
      <c r="H2444" s="545">
        <v>31.763999999999999</v>
      </c>
      <c r="I2444" s="554" t="s">
        <v>9218</v>
      </c>
      <c r="J2444" s="554" t="s">
        <v>9219</v>
      </c>
      <c r="K2444" s="554" t="s">
        <v>9219</v>
      </c>
      <c r="L2444" s="537" t="s">
        <v>2354</v>
      </c>
    </row>
    <row r="2445" spans="1:12" x14ac:dyDescent="0.2">
      <c r="A2445" s="547" t="s">
        <v>220</v>
      </c>
      <c r="B2445" s="547" t="s">
        <v>2351</v>
      </c>
      <c r="C2445" s="554"/>
      <c r="D2445" s="554" t="s">
        <v>2406</v>
      </c>
      <c r="E2445" s="554" t="s">
        <v>9585</v>
      </c>
      <c r="F2445" s="571">
        <v>10</v>
      </c>
      <c r="G2445" s="572">
        <v>14.94</v>
      </c>
      <c r="H2445" s="545">
        <v>149.4</v>
      </c>
      <c r="I2445" s="554" t="s">
        <v>9218</v>
      </c>
      <c r="J2445" s="554" t="s">
        <v>9219</v>
      </c>
      <c r="K2445" s="554" t="s">
        <v>9219</v>
      </c>
      <c r="L2445" s="537" t="s">
        <v>2354</v>
      </c>
    </row>
    <row r="2446" spans="1:12" x14ac:dyDescent="0.2">
      <c r="A2446" s="547" t="s">
        <v>220</v>
      </c>
      <c r="B2446" s="547" t="s">
        <v>2351</v>
      </c>
      <c r="C2446" s="554"/>
      <c r="D2446" s="554" t="s">
        <v>2398</v>
      </c>
      <c r="E2446" s="554" t="s">
        <v>9585</v>
      </c>
      <c r="F2446" s="571">
        <v>46</v>
      </c>
      <c r="G2446" s="572">
        <v>12.458</v>
      </c>
      <c r="H2446" s="545">
        <v>573.06799999999998</v>
      </c>
      <c r="I2446" s="554" t="s">
        <v>9218</v>
      </c>
      <c r="J2446" s="554" t="s">
        <v>9219</v>
      </c>
      <c r="K2446" s="554" t="s">
        <v>9219</v>
      </c>
      <c r="L2446" s="537" t="s">
        <v>2354</v>
      </c>
    </row>
    <row r="2447" spans="1:12" x14ac:dyDescent="0.2">
      <c r="A2447" s="547" t="s">
        <v>220</v>
      </c>
      <c r="B2447" s="547" t="s">
        <v>2351</v>
      </c>
      <c r="C2447" s="554"/>
      <c r="D2447" s="554" t="s">
        <v>2403</v>
      </c>
      <c r="E2447" s="554" t="s">
        <v>9585</v>
      </c>
      <c r="F2447" s="571">
        <v>3</v>
      </c>
      <c r="G2447" s="572">
        <v>7.5110000000000001</v>
      </c>
      <c r="H2447" s="545">
        <v>22.533000000000001</v>
      </c>
      <c r="I2447" s="554" t="s">
        <v>9218</v>
      </c>
      <c r="J2447" s="554" t="s">
        <v>9219</v>
      </c>
      <c r="K2447" s="554" t="s">
        <v>9219</v>
      </c>
      <c r="L2447" s="537" t="s">
        <v>2354</v>
      </c>
    </row>
    <row r="2448" spans="1:12" x14ac:dyDescent="0.2">
      <c r="A2448" s="547" t="s">
        <v>220</v>
      </c>
      <c r="B2448" s="547" t="s">
        <v>2351</v>
      </c>
      <c r="C2448" s="554"/>
      <c r="D2448" s="554" t="s">
        <v>2395</v>
      </c>
      <c r="E2448" s="554" t="s">
        <v>9585</v>
      </c>
      <c r="F2448" s="571">
        <v>5</v>
      </c>
      <c r="G2448" s="572">
        <v>4.5789999999999997</v>
      </c>
      <c r="H2448" s="545">
        <v>22.895</v>
      </c>
      <c r="I2448" s="554" t="s">
        <v>9218</v>
      </c>
      <c r="J2448" s="554" t="s">
        <v>9219</v>
      </c>
      <c r="K2448" s="554" t="s">
        <v>9219</v>
      </c>
      <c r="L2448" s="537" t="s">
        <v>2354</v>
      </c>
    </row>
    <row r="2449" spans="1:12" x14ac:dyDescent="0.2">
      <c r="A2449" s="547" t="s">
        <v>220</v>
      </c>
      <c r="B2449" s="547" t="s">
        <v>2351</v>
      </c>
      <c r="C2449" s="554"/>
      <c r="D2449" s="554" t="s">
        <v>2357</v>
      </c>
      <c r="E2449" s="554" t="s">
        <v>9585</v>
      </c>
      <c r="F2449" s="571">
        <v>10</v>
      </c>
      <c r="G2449" s="572">
        <v>3.9660000000000002</v>
      </c>
      <c r="H2449" s="545">
        <v>39.660000000000004</v>
      </c>
      <c r="I2449" s="554" t="s">
        <v>9218</v>
      </c>
      <c r="J2449" s="554" t="s">
        <v>9219</v>
      </c>
      <c r="K2449" s="554" t="s">
        <v>9219</v>
      </c>
      <c r="L2449" s="537" t="s">
        <v>2354</v>
      </c>
    </row>
    <row r="2450" spans="1:12" x14ac:dyDescent="0.2">
      <c r="A2450" s="547" t="s">
        <v>220</v>
      </c>
      <c r="B2450" s="547" t="s">
        <v>2351</v>
      </c>
      <c r="C2450" s="554"/>
      <c r="D2450" s="554" t="s">
        <v>2397</v>
      </c>
      <c r="E2450" s="554" t="s">
        <v>9585</v>
      </c>
      <c r="F2450" s="571">
        <v>20</v>
      </c>
      <c r="G2450" s="572">
        <v>2.5550000000000002</v>
      </c>
      <c r="H2450" s="545">
        <v>51.1</v>
      </c>
      <c r="I2450" s="554" t="s">
        <v>9218</v>
      </c>
      <c r="J2450" s="554" t="s">
        <v>9219</v>
      </c>
      <c r="K2450" s="554" t="s">
        <v>9219</v>
      </c>
      <c r="L2450" s="537" t="s">
        <v>2354</v>
      </c>
    </row>
    <row r="2451" spans="1:12" x14ac:dyDescent="0.2">
      <c r="A2451" s="547" t="s">
        <v>220</v>
      </c>
      <c r="B2451" s="547" t="s">
        <v>2351</v>
      </c>
      <c r="C2451" s="554"/>
      <c r="D2451" s="554" t="s">
        <v>2394</v>
      </c>
      <c r="E2451" s="554" t="s">
        <v>9585</v>
      </c>
      <c r="F2451" s="571">
        <v>20</v>
      </c>
      <c r="G2451" s="572">
        <v>2.1019999999999999</v>
      </c>
      <c r="H2451" s="545">
        <v>42.04</v>
      </c>
      <c r="I2451" s="554" t="s">
        <v>9218</v>
      </c>
      <c r="J2451" s="554" t="s">
        <v>9219</v>
      </c>
      <c r="K2451" s="554" t="s">
        <v>9219</v>
      </c>
      <c r="L2451" s="537" t="s">
        <v>2354</v>
      </c>
    </row>
    <row r="2452" spans="1:12" x14ac:dyDescent="0.2">
      <c r="A2452" s="547" t="s">
        <v>220</v>
      </c>
      <c r="B2452" s="547" t="s">
        <v>2351</v>
      </c>
      <c r="C2452" s="554"/>
      <c r="D2452" s="554" t="s">
        <v>2401</v>
      </c>
      <c r="E2452" s="554" t="s">
        <v>9585</v>
      </c>
      <c r="F2452" s="571">
        <v>10</v>
      </c>
      <c r="G2452" s="572">
        <v>1.619</v>
      </c>
      <c r="H2452" s="545">
        <v>16.190000000000001</v>
      </c>
      <c r="I2452" s="554" t="s">
        <v>9218</v>
      </c>
      <c r="J2452" s="554" t="s">
        <v>9219</v>
      </c>
      <c r="K2452" s="554" t="s">
        <v>9219</v>
      </c>
      <c r="L2452" s="537" t="s">
        <v>2354</v>
      </c>
    </row>
    <row r="2453" spans="1:12" x14ac:dyDescent="0.2">
      <c r="A2453" s="547" t="s">
        <v>220</v>
      </c>
      <c r="B2453" s="547" t="s">
        <v>2351</v>
      </c>
      <c r="C2453" s="554"/>
      <c r="D2453" s="554" t="s">
        <v>2396</v>
      </c>
      <c r="E2453" s="554" t="s">
        <v>9585</v>
      </c>
      <c r="F2453" s="571">
        <v>5</v>
      </c>
      <c r="G2453" s="572">
        <v>1.4990000000000001</v>
      </c>
      <c r="H2453" s="545">
        <v>7.495000000000001</v>
      </c>
      <c r="I2453" s="554" t="s">
        <v>9218</v>
      </c>
      <c r="J2453" s="554" t="s">
        <v>9219</v>
      </c>
      <c r="K2453" s="554" t="s">
        <v>9219</v>
      </c>
      <c r="L2453" s="537" t="s">
        <v>2354</v>
      </c>
    </row>
    <row r="2454" spans="1:12" x14ac:dyDescent="0.2">
      <c r="A2454" s="547" t="s">
        <v>220</v>
      </c>
      <c r="B2454" s="547" t="s">
        <v>2351</v>
      </c>
      <c r="C2454" s="554"/>
      <c r="D2454" s="554" t="s">
        <v>9388</v>
      </c>
      <c r="E2454" s="554" t="s">
        <v>9585</v>
      </c>
      <c r="F2454" s="571">
        <v>55</v>
      </c>
      <c r="G2454" s="572">
        <v>6.1689999999999996</v>
      </c>
      <c r="H2454" s="545">
        <v>339.29499999999996</v>
      </c>
      <c r="I2454" s="554" t="s">
        <v>9218</v>
      </c>
      <c r="J2454" s="554" t="s">
        <v>9219</v>
      </c>
      <c r="K2454" s="554" t="s">
        <v>9219</v>
      </c>
      <c r="L2454" s="537" t="s">
        <v>2354</v>
      </c>
    </row>
    <row r="2455" spans="1:12" x14ac:dyDescent="0.2">
      <c r="A2455" s="547" t="s">
        <v>220</v>
      </c>
      <c r="B2455" s="547" t="s">
        <v>2351</v>
      </c>
      <c r="C2455" s="554"/>
      <c r="D2455" s="554" t="s">
        <v>2393</v>
      </c>
      <c r="E2455" s="554" t="s">
        <v>9585</v>
      </c>
      <c r="F2455" s="571">
        <v>50</v>
      </c>
      <c r="G2455" s="572">
        <v>1.3320000000000001</v>
      </c>
      <c r="H2455" s="545">
        <v>66.600000000000009</v>
      </c>
      <c r="I2455" s="554" t="s">
        <v>9218</v>
      </c>
      <c r="J2455" s="554" t="s">
        <v>9219</v>
      </c>
      <c r="K2455" s="554" t="s">
        <v>9219</v>
      </c>
      <c r="L2455" s="537" t="s">
        <v>2354</v>
      </c>
    </row>
    <row r="2456" spans="1:12" x14ac:dyDescent="0.2">
      <c r="A2456" s="547" t="s">
        <v>220</v>
      </c>
      <c r="B2456" s="547" t="s">
        <v>2351</v>
      </c>
      <c r="C2456" s="554"/>
      <c r="D2456" s="554" t="s">
        <v>2399</v>
      </c>
      <c r="E2456" s="554" t="s">
        <v>9585</v>
      </c>
      <c r="F2456" s="571">
        <v>20</v>
      </c>
      <c r="G2456" s="572">
        <v>0.85499999999999998</v>
      </c>
      <c r="H2456" s="545">
        <v>17.100000000000001</v>
      </c>
      <c r="I2456" s="554" t="s">
        <v>9218</v>
      </c>
      <c r="J2456" s="554" t="s">
        <v>9219</v>
      </c>
      <c r="K2456" s="554" t="s">
        <v>9219</v>
      </c>
      <c r="L2456" s="537" t="s">
        <v>2354</v>
      </c>
    </row>
    <row r="2457" spans="1:12" x14ac:dyDescent="0.2">
      <c r="A2457" s="547" t="s">
        <v>220</v>
      </c>
      <c r="B2457" s="547" t="s">
        <v>2351</v>
      </c>
      <c r="C2457" s="554"/>
      <c r="D2457" s="554" t="s">
        <v>2392</v>
      </c>
      <c r="E2457" s="554" t="s">
        <v>9585</v>
      </c>
      <c r="F2457" s="571">
        <v>5</v>
      </c>
      <c r="G2457" s="572">
        <v>0.66600000000000004</v>
      </c>
      <c r="H2457" s="545">
        <v>3.33</v>
      </c>
      <c r="I2457" s="554" t="s">
        <v>9218</v>
      </c>
      <c r="J2457" s="554" t="s">
        <v>9219</v>
      </c>
      <c r="K2457" s="554" t="s">
        <v>9219</v>
      </c>
      <c r="L2457" s="537" t="s">
        <v>2354</v>
      </c>
    </row>
    <row r="2458" spans="1:12" x14ac:dyDescent="0.2">
      <c r="A2458" s="547" t="s">
        <v>220</v>
      </c>
      <c r="B2458" s="547" t="s">
        <v>2351</v>
      </c>
      <c r="C2458" s="554"/>
      <c r="D2458" s="554" t="s">
        <v>2400</v>
      </c>
      <c r="E2458" s="554" t="s">
        <v>9585</v>
      </c>
      <c r="F2458" s="571">
        <v>20</v>
      </c>
      <c r="G2458" s="572">
        <v>0.48</v>
      </c>
      <c r="H2458" s="545">
        <v>9.6</v>
      </c>
      <c r="I2458" s="554" t="s">
        <v>9218</v>
      </c>
      <c r="J2458" s="554" t="s">
        <v>9219</v>
      </c>
      <c r="K2458" s="554" t="s">
        <v>9219</v>
      </c>
      <c r="L2458" s="537" t="s">
        <v>2354</v>
      </c>
    </row>
    <row r="2459" spans="1:12" x14ac:dyDescent="0.2">
      <c r="A2459" s="547" t="s">
        <v>220</v>
      </c>
      <c r="B2459" s="547" t="s">
        <v>2351</v>
      </c>
      <c r="C2459" s="554"/>
      <c r="D2459" s="554" t="s">
        <v>2390</v>
      </c>
      <c r="E2459" s="554" t="s">
        <v>9585</v>
      </c>
      <c r="F2459" s="571">
        <v>50</v>
      </c>
      <c r="G2459" s="572">
        <v>0.1061</v>
      </c>
      <c r="H2459" s="545">
        <v>5.3049999999999997</v>
      </c>
      <c r="I2459" s="554" t="s">
        <v>9218</v>
      </c>
      <c r="J2459" s="554" t="s">
        <v>9219</v>
      </c>
      <c r="K2459" s="554" t="s">
        <v>9219</v>
      </c>
      <c r="L2459" s="537" t="s">
        <v>2354</v>
      </c>
    </row>
    <row r="2460" spans="1:12" x14ac:dyDescent="0.2">
      <c r="A2460" s="547" t="s">
        <v>220</v>
      </c>
      <c r="B2460" s="547" t="s">
        <v>2351</v>
      </c>
      <c r="C2460" s="554"/>
      <c r="D2460" s="554" t="s">
        <v>2389</v>
      </c>
      <c r="E2460" s="554" t="s">
        <v>9585</v>
      </c>
      <c r="F2460" s="571">
        <v>100</v>
      </c>
      <c r="G2460" s="572">
        <v>9.5460000000000003E-2</v>
      </c>
      <c r="H2460" s="545">
        <v>9.5460000000000012</v>
      </c>
      <c r="I2460" s="554" t="s">
        <v>9218</v>
      </c>
      <c r="J2460" s="554" t="s">
        <v>9219</v>
      </c>
      <c r="K2460" s="554" t="s">
        <v>9219</v>
      </c>
      <c r="L2460" s="537" t="s">
        <v>2354</v>
      </c>
    </row>
    <row r="2461" spans="1:12" x14ac:dyDescent="0.2">
      <c r="A2461" s="547" t="s">
        <v>220</v>
      </c>
      <c r="B2461" s="547" t="s">
        <v>2351</v>
      </c>
      <c r="C2461" s="554"/>
      <c r="D2461" s="554" t="s">
        <v>9389</v>
      </c>
      <c r="E2461" s="554" t="s">
        <v>9585</v>
      </c>
      <c r="F2461" s="571">
        <v>150</v>
      </c>
      <c r="G2461" s="572">
        <v>6.2E-2</v>
      </c>
      <c r="H2461" s="545">
        <v>9.3000000000000007</v>
      </c>
      <c r="I2461" s="554" t="s">
        <v>9218</v>
      </c>
      <c r="J2461" s="554" t="s">
        <v>9219</v>
      </c>
      <c r="K2461" s="554" t="s">
        <v>9219</v>
      </c>
      <c r="L2461" s="537" t="s">
        <v>2354</v>
      </c>
    </row>
    <row r="2462" spans="1:12" x14ac:dyDescent="0.2">
      <c r="A2462" s="547" t="s">
        <v>220</v>
      </c>
      <c r="B2462" s="547" t="s">
        <v>2351</v>
      </c>
      <c r="C2462" s="554"/>
      <c r="D2462" s="554" t="s">
        <v>2391</v>
      </c>
      <c r="E2462" s="554" t="s">
        <v>9585</v>
      </c>
      <c r="F2462" s="571">
        <v>100</v>
      </c>
      <c r="G2462" s="572">
        <v>7.4270000000000003E-2</v>
      </c>
      <c r="H2462" s="545">
        <v>7.4270000000000005</v>
      </c>
      <c r="I2462" s="554" t="s">
        <v>9218</v>
      </c>
      <c r="J2462" s="554" t="s">
        <v>9219</v>
      </c>
      <c r="K2462" s="554" t="s">
        <v>9219</v>
      </c>
      <c r="L2462" s="537" t="s">
        <v>2354</v>
      </c>
    </row>
    <row r="2463" spans="1:12" x14ac:dyDescent="0.2">
      <c r="A2463" s="547" t="s">
        <v>220</v>
      </c>
      <c r="B2463" s="547" t="s">
        <v>2351</v>
      </c>
      <c r="C2463" s="554" t="s">
        <v>2417</v>
      </c>
      <c r="D2463" s="554" t="s">
        <v>2439</v>
      </c>
      <c r="E2463" s="554" t="s">
        <v>545</v>
      </c>
      <c r="F2463" s="571">
        <v>10</v>
      </c>
      <c r="G2463" s="572">
        <v>2.2000000000000002</v>
      </c>
      <c r="H2463" s="545">
        <v>22</v>
      </c>
      <c r="I2463" s="554" t="s">
        <v>9218</v>
      </c>
      <c r="J2463" s="554" t="s">
        <v>9219</v>
      </c>
      <c r="K2463" s="554" t="s">
        <v>9219</v>
      </c>
      <c r="L2463" s="537" t="s">
        <v>2354</v>
      </c>
    </row>
    <row r="2464" spans="1:12" x14ac:dyDescent="0.2">
      <c r="A2464" s="547" t="s">
        <v>220</v>
      </c>
      <c r="B2464" s="547" t="s">
        <v>2351</v>
      </c>
      <c r="C2464" s="554" t="s">
        <v>3229</v>
      </c>
      <c r="D2464" s="554" t="s">
        <v>3230</v>
      </c>
      <c r="E2464" s="554" t="s">
        <v>9585</v>
      </c>
      <c r="F2464" s="571">
        <v>5</v>
      </c>
      <c r="G2464" s="572">
        <v>0.88700000000000001</v>
      </c>
      <c r="H2464" s="545">
        <v>4.4350000000000005</v>
      </c>
      <c r="I2464" s="554" t="s">
        <v>9218</v>
      </c>
      <c r="J2464" s="554" t="s">
        <v>9219</v>
      </c>
      <c r="K2464" s="554" t="s">
        <v>9219</v>
      </c>
      <c r="L2464" s="537" t="s">
        <v>2354</v>
      </c>
    </row>
    <row r="2465" spans="1:12" x14ac:dyDescent="0.2">
      <c r="A2465" s="547" t="s">
        <v>220</v>
      </c>
      <c r="B2465" s="547" t="s">
        <v>2351</v>
      </c>
      <c r="C2465" s="554" t="s">
        <v>3231</v>
      </c>
      <c r="D2465" s="554" t="s">
        <v>3232</v>
      </c>
      <c r="E2465" s="554" t="s">
        <v>9585</v>
      </c>
      <c r="F2465" s="571">
        <v>8</v>
      </c>
      <c r="G2465" s="572">
        <v>2.1303000000000001</v>
      </c>
      <c r="H2465" s="545">
        <v>17.042400000000001</v>
      </c>
      <c r="I2465" s="554" t="s">
        <v>9218</v>
      </c>
      <c r="J2465" s="554" t="s">
        <v>9219</v>
      </c>
      <c r="K2465" s="554" t="s">
        <v>9219</v>
      </c>
      <c r="L2465" s="537" t="s">
        <v>2354</v>
      </c>
    </row>
    <row r="2466" spans="1:12" x14ac:dyDescent="0.2">
      <c r="A2466" s="547" t="s">
        <v>220</v>
      </c>
      <c r="B2466" s="547" t="s">
        <v>2351</v>
      </c>
      <c r="C2466" s="554" t="s">
        <v>3233</v>
      </c>
      <c r="D2466" s="554" t="s">
        <v>3234</v>
      </c>
      <c r="E2466" s="554" t="s">
        <v>9585</v>
      </c>
      <c r="F2466" s="571">
        <v>3</v>
      </c>
      <c r="G2466" s="572">
        <v>3.5009999999999999</v>
      </c>
      <c r="H2466" s="545">
        <v>10.503</v>
      </c>
      <c r="I2466" s="554" t="s">
        <v>9218</v>
      </c>
      <c r="J2466" s="554" t="s">
        <v>9219</v>
      </c>
      <c r="K2466" s="554" t="s">
        <v>9219</v>
      </c>
      <c r="L2466" s="537" t="s">
        <v>2354</v>
      </c>
    </row>
    <row r="2467" spans="1:12" x14ac:dyDescent="0.2">
      <c r="A2467" s="547" t="s">
        <v>220</v>
      </c>
      <c r="B2467" s="547" t="s">
        <v>2351</v>
      </c>
      <c r="C2467" s="554" t="s">
        <v>3235</v>
      </c>
      <c r="D2467" s="554" t="s">
        <v>3236</v>
      </c>
      <c r="E2467" s="554" t="s">
        <v>9585</v>
      </c>
      <c r="F2467" s="571">
        <v>2</v>
      </c>
      <c r="G2467" s="572">
        <v>8.9250000000000007</v>
      </c>
      <c r="H2467" s="545">
        <v>17.850000000000001</v>
      </c>
      <c r="I2467" s="554" t="s">
        <v>9218</v>
      </c>
      <c r="J2467" s="554" t="s">
        <v>9219</v>
      </c>
      <c r="K2467" s="554" t="s">
        <v>9219</v>
      </c>
      <c r="L2467" s="537" t="s">
        <v>2354</v>
      </c>
    </row>
    <row r="2468" spans="1:12" x14ac:dyDescent="0.2">
      <c r="A2468" s="547" t="s">
        <v>220</v>
      </c>
      <c r="B2468" s="547" t="s">
        <v>2351</v>
      </c>
      <c r="C2468" s="554" t="s">
        <v>3237</v>
      </c>
      <c r="D2468" s="554" t="s">
        <v>3238</v>
      </c>
      <c r="E2468" s="554" t="s">
        <v>9585</v>
      </c>
      <c r="F2468" s="571">
        <v>6</v>
      </c>
      <c r="G2468" s="572">
        <v>45.576999999999998</v>
      </c>
      <c r="H2468" s="545">
        <v>273.46199999999999</v>
      </c>
      <c r="I2468" s="554" t="s">
        <v>9218</v>
      </c>
      <c r="J2468" s="554" t="s">
        <v>9219</v>
      </c>
      <c r="K2468" s="554" t="s">
        <v>9219</v>
      </c>
      <c r="L2468" s="537" t="s">
        <v>2354</v>
      </c>
    </row>
    <row r="2469" spans="1:12" x14ac:dyDescent="0.2">
      <c r="A2469" s="547" t="s">
        <v>220</v>
      </c>
      <c r="B2469" s="547" t="s">
        <v>2351</v>
      </c>
      <c r="C2469" s="554" t="s">
        <v>3239</v>
      </c>
      <c r="D2469" s="554" t="s">
        <v>3240</v>
      </c>
      <c r="E2469" s="554" t="s">
        <v>9585</v>
      </c>
      <c r="F2469" s="571">
        <v>1</v>
      </c>
      <c r="G2469" s="572">
        <v>88.346874999999983</v>
      </c>
      <c r="H2469" s="545">
        <v>88.346874999999983</v>
      </c>
      <c r="I2469" s="554" t="s">
        <v>9218</v>
      </c>
      <c r="J2469" s="554" t="s">
        <v>9219</v>
      </c>
      <c r="K2469" s="554" t="s">
        <v>9219</v>
      </c>
      <c r="L2469" s="537" t="s">
        <v>2354</v>
      </c>
    </row>
    <row r="2470" spans="1:12" x14ac:dyDescent="0.2">
      <c r="A2470" s="547" t="s">
        <v>220</v>
      </c>
      <c r="B2470" s="547" t="s">
        <v>2351</v>
      </c>
      <c r="C2470" s="554" t="s">
        <v>3241</v>
      </c>
      <c r="D2470" s="554" t="s">
        <v>3242</v>
      </c>
      <c r="E2470" s="554" t="s">
        <v>9585</v>
      </c>
      <c r="F2470" s="571">
        <v>2</v>
      </c>
      <c r="G2470" s="572">
        <v>84.96</v>
      </c>
      <c r="H2470" s="545">
        <v>169.92</v>
      </c>
      <c r="I2470" s="554" t="s">
        <v>9218</v>
      </c>
      <c r="J2470" s="554" t="s">
        <v>9219</v>
      </c>
      <c r="K2470" s="554" t="s">
        <v>9219</v>
      </c>
      <c r="L2470" s="537" t="s">
        <v>2354</v>
      </c>
    </row>
    <row r="2471" spans="1:12" x14ac:dyDescent="0.2">
      <c r="A2471" s="547" t="s">
        <v>220</v>
      </c>
      <c r="B2471" s="547" t="s">
        <v>2351</v>
      </c>
      <c r="C2471" s="554" t="s">
        <v>3243</v>
      </c>
      <c r="D2471" s="554" t="s">
        <v>3244</v>
      </c>
      <c r="E2471" s="554" t="s">
        <v>9585</v>
      </c>
      <c r="F2471" s="571">
        <v>1</v>
      </c>
      <c r="G2471" s="572">
        <v>38.771999999999998</v>
      </c>
      <c r="H2471" s="545">
        <v>38.771999999999998</v>
      </c>
      <c r="I2471" s="554" t="s">
        <v>9218</v>
      </c>
      <c r="J2471" s="554" t="s">
        <v>9219</v>
      </c>
      <c r="K2471" s="554" t="s">
        <v>9219</v>
      </c>
      <c r="L2471" s="537" t="s">
        <v>2354</v>
      </c>
    </row>
    <row r="2472" spans="1:12" x14ac:dyDescent="0.2">
      <c r="A2472" s="547" t="s">
        <v>220</v>
      </c>
      <c r="B2472" s="547" t="s">
        <v>2351</v>
      </c>
      <c r="C2472" s="554" t="s">
        <v>3243</v>
      </c>
      <c r="D2472" s="554" t="s">
        <v>5334</v>
      </c>
      <c r="E2472" s="554" t="s">
        <v>9585</v>
      </c>
      <c r="F2472" s="571">
        <v>2</v>
      </c>
      <c r="G2472" s="572">
        <v>38.771999999999998</v>
      </c>
      <c r="H2472" s="545">
        <v>77.543999999999997</v>
      </c>
      <c r="I2472" s="554" t="s">
        <v>9218</v>
      </c>
      <c r="J2472" s="554" t="s">
        <v>9219</v>
      </c>
      <c r="K2472" s="554" t="s">
        <v>9219</v>
      </c>
      <c r="L2472" s="537" t="s">
        <v>2354</v>
      </c>
    </row>
    <row r="2473" spans="1:12" x14ac:dyDescent="0.2">
      <c r="A2473" s="547" t="s">
        <v>220</v>
      </c>
      <c r="B2473" s="547" t="s">
        <v>2351</v>
      </c>
      <c r="C2473" s="554" t="s">
        <v>3245</v>
      </c>
      <c r="D2473" s="554" t="s">
        <v>3246</v>
      </c>
      <c r="E2473" s="554" t="s">
        <v>9585</v>
      </c>
      <c r="F2473" s="571">
        <v>6</v>
      </c>
      <c r="G2473" s="572">
        <v>15.0642</v>
      </c>
      <c r="H2473" s="545">
        <v>90.385199999999998</v>
      </c>
      <c r="I2473" s="554" t="s">
        <v>9218</v>
      </c>
      <c r="J2473" s="554" t="s">
        <v>9219</v>
      </c>
      <c r="K2473" s="554" t="s">
        <v>9219</v>
      </c>
      <c r="L2473" s="537" t="s">
        <v>2354</v>
      </c>
    </row>
    <row r="2474" spans="1:12" x14ac:dyDescent="0.2">
      <c r="A2474" s="547" t="s">
        <v>220</v>
      </c>
      <c r="B2474" s="547" t="s">
        <v>2351</v>
      </c>
      <c r="C2474" s="554" t="s">
        <v>3247</v>
      </c>
      <c r="D2474" s="554" t="s">
        <v>3248</v>
      </c>
      <c r="E2474" s="554" t="s">
        <v>9585</v>
      </c>
      <c r="F2474" s="571">
        <v>2</v>
      </c>
      <c r="G2474" s="572">
        <v>23.836500000000001</v>
      </c>
      <c r="H2474" s="545">
        <v>47.673000000000002</v>
      </c>
      <c r="I2474" s="554" t="s">
        <v>9218</v>
      </c>
      <c r="J2474" s="554" t="s">
        <v>9219</v>
      </c>
      <c r="K2474" s="554" t="s">
        <v>9219</v>
      </c>
      <c r="L2474" s="537" t="s">
        <v>2354</v>
      </c>
    </row>
    <row r="2475" spans="1:12" x14ac:dyDescent="0.2">
      <c r="A2475" s="547" t="s">
        <v>220</v>
      </c>
      <c r="B2475" s="547" t="s">
        <v>2351</v>
      </c>
      <c r="C2475" s="554" t="s">
        <v>3249</v>
      </c>
      <c r="D2475" s="554" t="s">
        <v>9390</v>
      </c>
      <c r="E2475" s="554" t="s">
        <v>9585</v>
      </c>
      <c r="F2475" s="571">
        <v>12</v>
      </c>
      <c r="G2475" s="572">
        <v>5.4981</v>
      </c>
      <c r="H2475" s="545">
        <v>65.977199999999996</v>
      </c>
      <c r="I2475" s="554" t="s">
        <v>9218</v>
      </c>
      <c r="J2475" s="554" t="s">
        <v>9219</v>
      </c>
      <c r="K2475" s="554" t="s">
        <v>9219</v>
      </c>
      <c r="L2475" s="537" t="s">
        <v>2354</v>
      </c>
    </row>
    <row r="2476" spans="1:12" x14ac:dyDescent="0.2">
      <c r="A2476" s="547" t="s">
        <v>220</v>
      </c>
      <c r="B2476" s="547" t="s">
        <v>2351</v>
      </c>
      <c r="C2476" s="554" t="s">
        <v>3251</v>
      </c>
      <c r="D2476" s="554" t="s">
        <v>3252</v>
      </c>
      <c r="E2476" s="554" t="s">
        <v>9585</v>
      </c>
      <c r="F2476" s="571">
        <v>7</v>
      </c>
      <c r="G2476" s="572">
        <v>3.3184</v>
      </c>
      <c r="H2476" s="545">
        <v>23.2288</v>
      </c>
      <c r="I2476" s="554" t="s">
        <v>9218</v>
      </c>
      <c r="J2476" s="554" t="s">
        <v>9219</v>
      </c>
      <c r="K2476" s="554" t="s">
        <v>9219</v>
      </c>
      <c r="L2476" s="537" t="s">
        <v>2354</v>
      </c>
    </row>
    <row r="2477" spans="1:12" x14ac:dyDescent="0.2">
      <c r="A2477" s="547" t="s">
        <v>220</v>
      </c>
      <c r="B2477" s="547" t="s">
        <v>2351</v>
      </c>
      <c r="C2477" s="554" t="s">
        <v>3253</v>
      </c>
      <c r="D2477" s="554" t="s">
        <v>3254</v>
      </c>
      <c r="E2477" s="554" t="s">
        <v>9585</v>
      </c>
      <c r="F2477" s="571">
        <v>40</v>
      </c>
      <c r="G2477" s="572">
        <v>0.58650000000000002</v>
      </c>
      <c r="H2477" s="545">
        <v>23.46</v>
      </c>
      <c r="I2477" s="554" t="s">
        <v>9218</v>
      </c>
      <c r="J2477" s="554" t="s">
        <v>9219</v>
      </c>
      <c r="K2477" s="554" t="s">
        <v>9219</v>
      </c>
      <c r="L2477" s="537" t="s">
        <v>2354</v>
      </c>
    </row>
    <row r="2478" spans="1:12" x14ac:dyDescent="0.2">
      <c r="A2478" s="547" t="s">
        <v>220</v>
      </c>
      <c r="B2478" s="547" t="s">
        <v>2351</v>
      </c>
      <c r="C2478" s="554"/>
      <c r="D2478" s="554" t="s">
        <v>9391</v>
      </c>
      <c r="E2478" s="554" t="s">
        <v>9585</v>
      </c>
      <c r="F2478" s="571">
        <v>15</v>
      </c>
      <c r="G2478" s="572">
        <v>0.497</v>
      </c>
      <c r="H2478" s="545">
        <v>7.4550000000000001</v>
      </c>
      <c r="I2478" s="554" t="s">
        <v>9218</v>
      </c>
      <c r="J2478" s="554" t="s">
        <v>9219</v>
      </c>
      <c r="K2478" s="554" t="s">
        <v>9219</v>
      </c>
      <c r="L2478" s="537" t="s">
        <v>2354</v>
      </c>
    </row>
    <row r="2479" spans="1:12" x14ac:dyDescent="0.2">
      <c r="A2479" s="547" t="s">
        <v>220</v>
      </c>
      <c r="B2479" s="547" t="s">
        <v>2351</v>
      </c>
      <c r="C2479" s="554" t="s">
        <v>3255</v>
      </c>
      <c r="D2479" s="554" t="s">
        <v>3256</v>
      </c>
      <c r="E2479" s="554" t="s">
        <v>9585</v>
      </c>
      <c r="F2479" s="571">
        <v>2</v>
      </c>
      <c r="G2479" s="572">
        <v>6.6790000000000003</v>
      </c>
      <c r="H2479" s="545">
        <v>13.358000000000001</v>
      </c>
      <c r="I2479" s="554" t="s">
        <v>9218</v>
      </c>
      <c r="J2479" s="554" t="s">
        <v>9219</v>
      </c>
      <c r="K2479" s="554" t="s">
        <v>9219</v>
      </c>
      <c r="L2479" s="537" t="s">
        <v>2354</v>
      </c>
    </row>
    <row r="2480" spans="1:12" x14ac:dyDescent="0.2">
      <c r="A2480" s="547" t="s">
        <v>220</v>
      </c>
      <c r="B2480" s="547" t="s">
        <v>2351</v>
      </c>
      <c r="C2480" s="554" t="s">
        <v>5356</v>
      </c>
      <c r="D2480" s="554" t="s">
        <v>5357</v>
      </c>
      <c r="E2480" s="554" t="s">
        <v>9585</v>
      </c>
      <c r="F2480" s="571">
        <v>1</v>
      </c>
      <c r="G2480" s="572">
        <v>7.7145999999999999</v>
      </c>
      <c r="H2480" s="545">
        <v>7.7145999999999999</v>
      </c>
      <c r="I2480" s="554" t="s">
        <v>9218</v>
      </c>
      <c r="J2480" s="554" t="s">
        <v>9219</v>
      </c>
      <c r="K2480" s="554" t="s">
        <v>9219</v>
      </c>
      <c r="L2480" s="537" t="s">
        <v>2354</v>
      </c>
    </row>
    <row r="2481" spans="1:12" x14ac:dyDescent="0.2">
      <c r="A2481" s="547" t="s">
        <v>220</v>
      </c>
      <c r="B2481" s="547" t="s">
        <v>2351</v>
      </c>
      <c r="C2481" s="554" t="s">
        <v>3257</v>
      </c>
      <c r="D2481" s="554" t="s">
        <v>3258</v>
      </c>
      <c r="E2481" s="554" t="s">
        <v>9585</v>
      </c>
      <c r="F2481" s="571">
        <v>2</v>
      </c>
      <c r="G2481" s="572">
        <v>13.855</v>
      </c>
      <c r="H2481" s="545">
        <v>27.71</v>
      </c>
      <c r="I2481" s="554" t="s">
        <v>9218</v>
      </c>
      <c r="J2481" s="554" t="s">
        <v>9219</v>
      </c>
      <c r="K2481" s="554" t="s">
        <v>9219</v>
      </c>
      <c r="L2481" s="537" t="s">
        <v>2354</v>
      </c>
    </row>
    <row r="2482" spans="1:12" x14ac:dyDescent="0.2">
      <c r="A2482" s="547" t="s">
        <v>220</v>
      </c>
      <c r="B2482" s="547" t="s">
        <v>2351</v>
      </c>
      <c r="C2482" s="554" t="s">
        <v>3259</v>
      </c>
      <c r="D2482" s="554" t="s">
        <v>3260</v>
      </c>
      <c r="E2482" s="554" t="s">
        <v>9585</v>
      </c>
      <c r="F2482" s="571">
        <v>2</v>
      </c>
      <c r="G2482" s="572">
        <v>22.513499999999997</v>
      </c>
      <c r="H2482" s="545">
        <v>45.026999999999994</v>
      </c>
      <c r="I2482" s="554" t="s">
        <v>9218</v>
      </c>
      <c r="J2482" s="554" t="s">
        <v>9219</v>
      </c>
      <c r="K2482" s="554" t="s">
        <v>9219</v>
      </c>
      <c r="L2482" s="537" t="s">
        <v>2354</v>
      </c>
    </row>
    <row r="2483" spans="1:12" x14ac:dyDescent="0.2">
      <c r="A2483" s="547" t="s">
        <v>220</v>
      </c>
      <c r="B2483" s="547" t="s">
        <v>2351</v>
      </c>
      <c r="C2483" s="554" t="s">
        <v>3261</v>
      </c>
      <c r="D2483" s="554" t="s">
        <v>3262</v>
      </c>
      <c r="E2483" s="554" t="s">
        <v>9585</v>
      </c>
      <c r="F2483" s="571">
        <v>11</v>
      </c>
      <c r="G2483" s="572">
        <v>3.7618799999999997</v>
      </c>
      <c r="H2483" s="545">
        <v>41.380679999999998</v>
      </c>
      <c r="I2483" s="554" t="s">
        <v>9218</v>
      </c>
      <c r="J2483" s="554" t="s">
        <v>9219</v>
      </c>
      <c r="K2483" s="554" t="s">
        <v>9219</v>
      </c>
      <c r="L2483" s="537" t="s">
        <v>2354</v>
      </c>
    </row>
    <row r="2484" spans="1:12" x14ac:dyDescent="0.2">
      <c r="A2484" s="547" t="s">
        <v>220</v>
      </c>
      <c r="B2484" s="547" t="s">
        <v>2351</v>
      </c>
      <c r="C2484" s="554" t="s">
        <v>3263</v>
      </c>
      <c r="D2484" s="554" t="s">
        <v>3264</v>
      </c>
      <c r="E2484" s="554" t="s">
        <v>9585</v>
      </c>
      <c r="F2484" s="571">
        <v>1</v>
      </c>
      <c r="G2484" s="572">
        <v>26.308</v>
      </c>
      <c r="H2484" s="545">
        <v>26.308</v>
      </c>
      <c r="I2484" s="554" t="s">
        <v>9218</v>
      </c>
      <c r="J2484" s="554" t="s">
        <v>9219</v>
      </c>
      <c r="K2484" s="554" t="s">
        <v>9219</v>
      </c>
      <c r="L2484" s="537" t="s">
        <v>2354</v>
      </c>
    </row>
    <row r="2485" spans="1:12" x14ac:dyDescent="0.2">
      <c r="A2485" s="547" t="s">
        <v>220</v>
      </c>
      <c r="B2485" s="547" t="s">
        <v>2351</v>
      </c>
      <c r="C2485" s="554" t="s">
        <v>3265</v>
      </c>
      <c r="D2485" s="554" t="s">
        <v>3266</v>
      </c>
      <c r="E2485" s="554" t="s">
        <v>9585</v>
      </c>
      <c r="F2485" s="571">
        <v>5</v>
      </c>
      <c r="G2485" s="572">
        <v>44.594999999999999</v>
      </c>
      <c r="H2485" s="545">
        <v>222.97499999999999</v>
      </c>
      <c r="I2485" s="554" t="s">
        <v>9218</v>
      </c>
      <c r="J2485" s="554" t="s">
        <v>9219</v>
      </c>
      <c r="K2485" s="554" t="s">
        <v>9219</v>
      </c>
      <c r="L2485" s="537" t="s">
        <v>2354</v>
      </c>
    </row>
    <row r="2486" spans="1:12" x14ac:dyDescent="0.2">
      <c r="A2486" s="547" t="s">
        <v>220</v>
      </c>
      <c r="B2486" s="547" t="s">
        <v>2351</v>
      </c>
      <c r="C2486" s="554" t="s">
        <v>3267</v>
      </c>
      <c r="D2486" s="554" t="s">
        <v>3268</v>
      </c>
      <c r="E2486" s="554" t="s">
        <v>9585</v>
      </c>
      <c r="F2486" s="571">
        <v>2</v>
      </c>
      <c r="G2486" s="572">
        <v>16.214741666666665</v>
      </c>
      <c r="H2486" s="545">
        <v>32.42948333333333</v>
      </c>
      <c r="I2486" s="554" t="s">
        <v>9218</v>
      </c>
      <c r="J2486" s="554" t="s">
        <v>9219</v>
      </c>
      <c r="K2486" s="554" t="s">
        <v>9219</v>
      </c>
      <c r="L2486" s="537" t="s">
        <v>2354</v>
      </c>
    </row>
    <row r="2487" spans="1:12" x14ac:dyDescent="0.2">
      <c r="A2487" s="547" t="s">
        <v>220</v>
      </c>
      <c r="B2487" s="547" t="s">
        <v>2351</v>
      </c>
      <c r="C2487" s="554" t="s">
        <v>3269</v>
      </c>
      <c r="D2487" s="554" t="s">
        <v>3270</v>
      </c>
      <c r="E2487" s="554" t="s">
        <v>9585</v>
      </c>
      <c r="F2487" s="571">
        <v>7</v>
      </c>
      <c r="G2487" s="572">
        <v>12.332700000000001</v>
      </c>
      <c r="H2487" s="545">
        <v>86.328900000000004</v>
      </c>
      <c r="I2487" s="554" t="s">
        <v>9218</v>
      </c>
      <c r="J2487" s="554" t="s">
        <v>9219</v>
      </c>
      <c r="K2487" s="554" t="s">
        <v>9219</v>
      </c>
      <c r="L2487" s="537" t="s">
        <v>2354</v>
      </c>
    </row>
    <row r="2488" spans="1:12" x14ac:dyDescent="0.2">
      <c r="A2488" s="547" t="s">
        <v>220</v>
      </c>
      <c r="B2488" s="547" t="s">
        <v>2351</v>
      </c>
      <c r="C2488" s="554" t="s">
        <v>3273</v>
      </c>
      <c r="D2488" s="554" t="s">
        <v>3274</v>
      </c>
      <c r="E2488" s="554" t="s">
        <v>9585</v>
      </c>
      <c r="F2488" s="571">
        <v>20</v>
      </c>
      <c r="G2488" s="572">
        <v>5.9912121212121212</v>
      </c>
      <c r="H2488" s="545">
        <v>119.82424242424243</v>
      </c>
      <c r="I2488" s="554" t="s">
        <v>9218</v>
      </c>
      <c r="J2488" s="554" t="s">
        <v>9219</v>
      </c>
      <c r="K2488" s="554" t="s">
        <v>9219</v>
      </c>
      <c r="L2488" s="537" t="s">
        <v>2354</v>
      </c>
    </row>
    <row r="2489" spans="1:12" x14ac:dyDescent="0.2">
      <c r="A2489" s="547" t="s">
        <v>220</v>
      </c>
      <c r="B2489" s="547" t="s">
        <v>2351</v>
      </c>
      <c r="C2489" s="554" t="s">
        <v>3275</v>
      </c>
      <c r="D2489" s="554" t="s">
        <v>3276</v>
      </c>
      <c r="E2489" s="554" t="s">
        <v>9585</v>
      </c>
      <c r="F2489" s="571">
        <v>15</v>
      </c>
      <c r="G2489" s="572">
        <v>0.83979999999999999</v>
      </c>
      <c r="H2489" s="545">
        <v>12.597</v>
      </c>
      <c r="I2489" s="554" t="s">
        <v>9218</v>
      </c>
      <c r="J2489" s="554" t="s">
        <v>9219</v>
      </c>
      <c r="K2489" s="554" t="s">
        <v>9219</v>
      </c>
      <c r="L2489" s="537" t="s">
        <v>2354</v>
      </c>
    </row>
    <row r="2490" spans="1:12" x14ac:dyDescent="0.2">
      <c r="A2490" s="547" t="s">
        <v>220</v>
      </c>
      <c r="B2490" s="547" t="s">
        <v>2351</v>
      </c>
      <c r="C2490" s="554" t="s">
        <v>3277</v>
      </c>
      <c r="D2490" s="554" t="s">
        <v>3278</v>
      </c>
      <c r="E2490" s="554" t="s">
        <v>9585</v>
      </c>
      <c r="F2490" s="571">
        <v>5</v>
      </c>
      <c r="G2490" s="572">
        <v>1.048</v>
      </c>
      <c r="H2490" s="545">
        <v>5.24</v>
      </c>
      <c r="I2490" s="554" t="s">
        <v>9218</v>
      </c>
      <c r="J2490" s="554" t="s">
        <v>9219</v>
      </c>
      <c r="K2490" s="554" t="s">
        <v>9219</v>
      </c>
      <c r="L2490" s="537" t="s">
        <v>2354</v>
      </c>
    </row>
    <row r="2491" spans="1:12" x14ac:dyDescent="0.2">
      <c r="A2491" s="547" t="s">
        <v>220</v>
      </c>
      <c r="B2491" s="547" t="s">
        <v>2351</v>
      </c>
      <c r="C2491" s="554" t="s">
        <v>3279</v>
      </c>
      <c r="D2491" s="554" t="s">
        <v>3280</v>
      </c>
      <c r="E2491" s="554" t="s">
        <v>9585</v>
      </c>
      <c r="F2491" s="571">
        <v>5</v>
      </c>
      <c r="G2491" s="572">
        <v>2.6389999999999998</v>
      </c>
      <c r="H2491" s="545">
        <v>13.194999999999999</v>
      </c>
      <c r="I2491" s="554" t="s">
        <v>9218</v>
      </c>
      <c r="J2491" s="554" t="s">
        <v>9219</v>
      </c>
      <c r="K2491" s="554" t="s">
        <v>9219</v>
      </c>
      <c r="L2491" s="537" t="s">
        <v>2354</v>
      </c>
    </row>
    <row r="2492" spans="1:12" x14ac:dyDescent="0.2">
      <c r="A2492" s="547" t="s">
        <v>220</v>
      </c>
      <c r="B2492" s="547" t="s">
        <v>2351</v>
      </c>
      <c r="C2492" s="554" t="s">
        <v>3281</v>
      </c>
      <c r="D2492" s="554" t="s">
        <v>3282</v>
      </c>
      <c r="E2492" s="554" t="s">
        <v>9585</v>
      </c>
      <c r="F2492" s="571">
        <v>2</v>
      </c>
      <c r="G2492" s="572">
        <v>4.6609999999999996</v>
      </c>
      <c r="H2492" s="545">
        <v>9.3219999999999992</v>
      </c>
      <c r="I2492" s="554" t="s">
        <v>9218</v>
      </c>
      <c r="J2492" s="554" t="s">
        <v>9219</v>
      </c>
      <c r="K2492" s="554" t="s">
        <v>9219</v>
      </c>
      <c r="L2492" s="537" t="s">
        <v>2354</v>
      </c>
    </row>
    <row r="2493" spans="1:12" x14ac:dyDescent="0.2">
      <c r="A2493" s="547" t="s">
        <v>220</v>
      </c>
      <c r="B2493" s="547" t="s">
        <v>2351</v>
      </c>
      <c r="C2493" s="554" t="s">
        <v>3283</v>
      </c>
      <c r="D2493" s="554" t="s">
        <v>3284</v>
      </c>
      <c r="E2493" s="554" t="s">
        <v>9585</v>
      </c>
      <c r="F2493" s="571">
        <v>4</v>
      </c>
      <c r="G2493" s="572">
        <v>4.1541066666666673</v>
      </c>
      <c r="H2493" s="545">
        <v>16.616426666666669</v>
      </c>
      <c r="I2493" s="554" t="s">
        <v>9218</v>
      </c>
      <c r="J2493" s="554" t="s">
        <v>9219</v>
      </c>
      <c r="K2493" s="554" t="s">
        <v>9219</v>
      </c>
      <c r="L2493" s="537" t="s">
        <v>2354</v>
      </c>
    </row>
    <row r="2494" spans="1:12" x14ac:dyDescent="0.2">
      <c r="A2494" s="547" t="s">
        <v>220</v>
      </c>
      <c r="B2494" s="547" t="s">
        <v>2351</v>
      </c>
      <c r="C2494" s="554" t="s">
        <v>3285</v>
      </c>
      <c r="D2494" s="554" t="s">
        <v>3286</v>
      </c>
      <c r="E2494" s="554" t="s">
        <v>9585</v>
      </c>
      <c r="F2494" s="571">
        <v>15</v>
      </c>
      <c r="G2494" s="572">
        <v>11.2506</v>
      </c>
      <c r="H2494" s="545">
        <v>168.75900000000001</v>
      </c>
      <c r="I2494" s="554" t="s">
        <v>9218</v>
      </c>
      <c r="J2494" s="554" t="s">
        <v>9219</v>
      </c>
      <c r="K2494" s="554" t="s">
        <v>9219</v>
      </c>
      <c r="L2494" s="537" t="s">
        <v>2354</v>
      </c>
    </row>
    <row r="2495" spans="1:12" x14ac:dyDescent="0.2">
      <c r="A2495" s="547" t="s">
        <v>220</v>
      </c>
      <c r="B2495" s="547" t="s">
        <v>2351</v>
      </c>
      <c r="C2495" s="554" t="s">
        <v>3287</v>
      </c>
      <c r="D2495" s="554" t="s">
        <v>3288</v>
      </c>
      <c r="E2495" s="554" t="s">
        <v>9585</v>
      </c>
      <c r="F2495" s="571">
        <v>5</v>
      </c>
      <c r="G2495" s="572">
        <v>9.2750000000000004</v>
      </c>
      <c r="H2495" s="545">
        <v>46.375</v>
      </c>
      <c r="I2495" s="554" t="s">
        <v>9218</v>
      </c>
      <c r="J2495" s="554" t="s">
        <v>9219</v>
      </c>
      <c r="K2495" s="554" t="s">
        <v>9219</v>
      </c>
      <c r="L2495" s="537" t="s">
        <v>2354</v>
      </c>
    </row>
    <row r="2496" spans="1:12" x14ac:dyDescent="0.2">
      <c r="A2496" s="547" t="s">
        <v>220</v>
      </c>
      <c r="B2496" s="547" t="s">
        <v>2351</v>
      </c>
      <c r="C2496" s="554" t="s">
        <v>3289</v>
      </c>
      <c r="D2496" s="554" t="s">
        <v>3290</v>
      </c>
      <c r="E2496" s="554" t="s">
        <v>9585</v>
      </c>
      <c r="F2496" s="571">
        <v>20</v>
      </c>
      <c r="G2496" s="572">
        <v>2.0020000000000002</v>
      </c>
      <c r="H2496" s="545">
        <v>40.040000000000006</v>
      </c>
      <c r="I2496" s="554" t="s">
        <v>9218</v>
      </c>
      <c r="J2496" s="554" t="s">
        <v>9219</v>
      </c>
      <c r="K2496" s="554" t="s">
        <v>9219</v>
      </c>
      <c r="L2496" s="537" t="s">
        <v>2354</v>
      </c>
    </row>
    <row r="2497" spans="1:12" x14ac:dyDescent="0.2">
      <c r="A2497" s="547" t="s">
        <v>220</v>
      </c>
      <c r="B2497" s="547" t="s">
        <v>2351</v>
      </c>
      <c r="C2497" s="554" t="s">
        <v>3291</v>
      </c>
      <c r="D2497" s="554" t="s">
        <v>3292</v>
      </c>
      <c r="E2497" s="554" t="s">
        <v>9585</v>
      </c>
      <c r="F2497" s="571">
        <v>1</v>
      </c>
      <c r="G2497" s="572">
        <v>4.2069999999999999</v>
      </c>
      <c r="H2497" s="545">
        <v>4.2069999999999999</v>
      </c>
      <c r="I2497" s="554" t="s">
        <v>9218</v>
      </c>
      <c r="J2497" s="554" t="s">
        <v>9219</v>
      </c>
      <c r="K2497" s="554" t="s">
        <v>9219</v>
      </c>
      <c r="L2497" s="537" t="s">
        <v>2354</v>
      </c>
    </row>
    <row r="2498" spans="1:12" x14ac:dyDescent="0.2">
      <c r="A2498" s="547" t="s">
        <v>220</v>
      </c>
      <c r="B2498" s="547" t="s">
        <v>2351</v>
      </c>
      <c r="C2498" s="554" t="s">
        <v>3293</v>
      </c>
      <c r="D2498" s="554" t="s">
        <v>3294</v>
      </c>
      <c r="E2498" s="554" t="s">
        <v>9585</v>
      </c>
      <c r="F2498" s="571">
        <v>13</v>
      </c>
      <c r="G2498" s="572">
        <v>1.105</v>
      </c>
      <c r="H2498" s="545">
        <v>14.365</v>
      </c>
      <c r="I2498" s="554" t="s">
        <v>9218</v>
      </c>
      <c r="J2498" s="554" t="s">
        <v>9219</v>
      </c>
      <c r="K2498" s="554" t="s">
        <v>9219</v>
      </c>
      <c r="L2498" s="537" t="s">
        <v>2354</v>
      </c>
    </row>
    <row r="2499" spans="1:12" x14ac:dyDescent="0.2">
      <c r="A2499" s="547" t="s">
        <v>220</v>
      </c>
      <c r="B2499" s="547" t="s">
        <v>2351</v>
      </c>
      <c r="C2499" s="554" t="s">
        <v>3295</v>
      </c>
      <c r="D2499" s="554" t="s">
        <v>3296</v>
      </c>
      <c r="E2499" s="554" t="s">
        <v>9585</v>
      </c>
      <c r="F2499" s="571">
        <v>5</v>
      </c>
      <c r="G2499" s="572">
        <v>3.3797142857142854</v>
      </c>
      <c r="H2499" s="545">
        <v>16.898571428571426</v>
      </c>
      <c r="I2499" s="554" t="s">
        <v>9218</v>
      </c>
      <c r="J2499" s="554" t="s">
        <v>9219</v>
      </c>
      <c r="K2499" s="554" t="s">
        <v>9219</v>
      </c>
      <c r="L2499" s="537" t="s">
        <v>2354</v>
      </c>
    </row>
    <row r="2500" spans="1:12" x14ac:dyDescent="0.2">
      <c r="A2500" s="547" t="s">
        <v>220</v>
      </c>
      <c r="B2500" s="547" t="s">
        <v>2351</v>
      </c>
      <c r="C2500" s="554" t="s">
        <v>3297</v>
      </c>
      <c r="D2500" s="554" t="s">
        <v>3298</v>
      </c>
      <c r="E2500" s="554" t="s">
        <v>9585</v>
      </c>
      <c r="F2500" s="571">
        <v>4</v>
      </c>
      <c r="G2500" s="572">
        <v>2.3119999999999998</v>
      </c>
      <c r="H2500" s="545">
        <v>9.2479999999999993</v>
      </c>
      <c r="I2500" s="554" t="s">
        <v>9218</v>
      </c>
      <c r="J2500" s="554" t="s">
        <v>9219</v>
      </c>
      <c r="K2500" s="554" t="s">
        <v>9219</v>
      </c>
      <c r="L2500" s="537" t="s">
        <v>2354</v>
      </c>
    </row>
    <row r="2501" spans="1:12" x14ac:dyDescent="0.2">
      <c r="A2501" s="547" t="s">
        <v>220</v>
      </c>
      <c r="B2501" s="547" t="s">
        <v>2351</v>
      </c>
      <c r="C2501" s="554" t="s">
        <v>3299</v>
      </c>
      <c r="D2501" s="554" t="s">
        <v>3300</v>
      </c>
      <c r="E2501" s="554" t="s">
        <v>9585</v>
      </c>
      <c r="F2501" s="571">
        <v>3</v>
      </c>
      <c r="G2501" s="572">
        <v>14.5512</v>
      </c>
      <c r="H2501" s="545">
        <v>43.653599999999997</v>
      </c>
      <c r="I2501" s="554" t="s">
        <v>9218</v>
      </c>
      <c r="J2501" s="554" t="s">
        <v>9219</v>
      </c>
      <c r="K2501" s="554" t="s">
        <v>9219</v>
      </c>
      <c r="L2501" s="537" t="s">
        <v>2354</v>
      </c>
    </row>
    <row r="2502" spans="1:12" x14ac:dyDescent="0.2">
      <c r="A2502" s="547" t="s">
        <v>220</v>
      </c>
      <c r="B2502" s="547" t="s">
        <v>2351</v>
      </c>
      <c r="C2502" s="554" t="s">
        <v>3301</v>
      </c>
      <c r="D2502" s="554" t="s">
        <v>3302</v>
      </c>
      <c r="E2502" s="554" t="s">
        <v>9585</v>
      </c>
      <c r="F2502" s="571">
        <v>3</v>
      </c>
      <c r="G2502" s="572">
        <v>20.162183333333335</v>
      </c>
      <c r="H2502" s="545">
        <v>60.486550000000008</v>
      </c>
      <c r="I2502" s="554" t="s">
        <v>9218</v>
      </c>
      <c r="J2502" s="554" t="s">
        <v>9219</v>
      </c>
      <c r="K2502" s="554" t="s">
        <v>9219</v>
      </c>
      <c r="L2502" s="537" t="s">
        <v>2354</v>
      </c>
    </row>
    <row r="2503" spans="1:12" x14ac:dyDescent="0.2">
      <c r="A2503" s="547" t="s">
        <v>220</v>
      </c>
      <c r="B2503" s="547" t="s">
        <v>2351</v>
      </c>
      <c r="C2503" s="554" t="s">
        <v>3303</v>
      </c>
      <c r="D2503" s="554" t="s">
        <v>3304</v>
      </c>
      <c r="E2503" s="554" t="s">
        <v>9585</v>
      </c>
      <c r="F2503" s="571">
        <v>5</v>
      </c>
      <c r="G2503" s="572">
        <v>6.5119999999999996</v>
      </c>
      <c r="H2503" s="545">
        <v>32.559999999999995</v>
      </c>
      <c r="I2503" s="554" t="s">
        <v>9218</v>
      </c>
      <c r="J2503" s="554" t="s">
        <v>9219</v>
      </c>
      <c r="K2503" s="554" t="s">
        <v>9219</v>
      </c>
      <c r="L2503" s="537" t="s">
        <v>2354</v>
      </c>
    </row>
    <row r="2504" spans="1:12" x14ac:dyDescent="0.2">
      <c r="A2504" s="547" t="s">
        <v>220</v>
      </c>
      <c r="B2504" s="547" t="s">
        <v>2351</v>
      </c>
      <c r="C2504" s="554" t="s">
        <v>3305</v>
      </c>
      <c r="D2504" s="554" t="s">
        <v>3306</v>
      </c>
      <c r="E2504" s="554" t="s">
        <v>9585</v>
      </c>
      <c r="F2504" s="571">
        <v>4</v>
      </c>
      <c r="G2504" s="572">
        <v>4.9580000000000002</v>
      </c>
      <c r="H2504" s="545">
        <v>19.832000000000001</v>
      </c>
      <c r="I2504" s="554" t="s">
        <v>9218</v>
      </c>
      <c r="J2504" s="554" t="s">
        <v>9219</v>
      </c>
      <c r="K2504" s="554" t="s">
        <v>9219</v>
      </c>
      <c r="L2504" s="537" t="s">
        <v>2354</v>
      </c>
    </row>
    <row r="2505" spans="1:12" x14ac:dyDescent="0.2">
      <c r="A2505" s="547" t="s">
        <v>220</v>
      </c>
      <c r="B2505" s="547" t="s">
        <v>2351</v>
      </c>
      <c r="C2505" s="554" t="s">
        <v>3307</v>
      </c>
      <c r="D2505" s="554" t="s">
        <v>3308</v>
      </c>
      <c r="E2505" s="554" t="s">
        <v>9585</v>
      </c>
      <c r="F2505" s="571">
        <v>1</v>
      </c>
      <c r="G2505" s="572">
        <v>4.6580000000000004</v>
      </c>
      <c r="H2505" s="545">
        <v>4.6580000000000004</v>
      </c>
      <c r="I2505" s="554" t="s">
        <v>9218</v>
      </c>
      <c r="J2505" s="554" t="s">
        <v>9219</v>
      </c>
      <c r="K2505" s="554" t="s">
        <v>9219</v>
      </c>
      <c r="L2505" s="537" t="s">
        <v>2354</v>
      </c>
    </row>
    <row r="2506" spans="1:12" x14ac:dyDescent="0.2">
      <c r="A2506" s="547" t="s">
        <v>220</v>
      </c>
      <c r="B2506" s="547" t="s">
        <v>2351</v>
      </c>
      <c r="C2506" s="554" t="s">
        <v>3309</v>
      </c>
      <c r="D2506" s="554" t="s">
        <v>3310</v>
      </c>
      <c r="E2506" s="554" t="s">
        <v>9585</v>
      </c>
      <c r="F2506" s="571">
        <v>4</v>
      </c>
      <c r="G2506" s="572">
        <v>31.043700000000001</v>
      </c>
      <c r="H2506" s="545">
        <v>124.1748</v>
      </c>
      <c r="I2506" s="554" t="s">
        <v>9218</v>
      </c>
      <c r="J2506" s="554" t="s">
        <v>9219</v>
      </c>
      <c r="K2506" s="554" t="s">
        <v>9219</v>
      </c>
      <c r="L2506" s="537" t="s">
        <v>2354</v>
      </c>
    </row>
    <row r="2507" spans="1:12" x14ac:dyDescent="0.2">
      <c r="A2507" s="547" t="s">
        <v>220</v>
      </c>
      <c r="B2507" s="547" t="s">
        <v>2351</v>
      </c>
      <c r="C2507" s="554" t="s">
        <v>3311</v>
      </c>
      <c r="D2507" s="554" t="s">
        <v>3312</v>
      </c>
      <c r="E2507" s="554" t="s">
        <v>9585</v>
      </c>
      <c r="F2507" s="571">
        <v>2</v>
      </c>
      <c r="G2507" s="572">
        <v>19.089300000000001</v>
      </c>
      <c r="H2507" s="545">
        <v>38.178600000000003</v>
      </c>
      <c r="I2507" s="554" t="s">
        <v>9218</v>
      </c>
      <c r="J2507" s="554" t="s">
        <v>9219</v>
      </c>
      <c r="K2507" s="554" t="s">
        <v>9219</v>
      </c>
      <c r="L2507" s="537" t="s">
        <v>2354</v>
      </c>
    </row>
    <row r="2508" spans="1:12" x14ac:dyDescent="0.2">
      <c r="A2508" s="547" t="s">
        <v>220</v>
      </c>
      <c r="B2508" s="547" t="s">
        <v>2351</v>
      </c>
      <c r="C2508" s="554" t="s">
        <v>3313</v>
      </c>
      <c r="D2508" s="554" t="s">
        <v>3314</v>
      </c>
      <c r="E2508" s="554" t="s">
        <v>9585</v>
      </c>
      <c r="F2508" s="571">
        <v>3</v>
      </c>
      <c r="G2508" s="572">
        <v>2.75</v>
      </c>
      <c r="H2508" s="545">
        <v>8.25</v>
      </c>
      <c r="I2508" s="554" t="s">
        <v>9218</v>
      </c>
      <c r="J2508" s="554" t="s">
        <v>9219</v>
      </c>
      <c r="K2508" s="554" t="s">
        <v>9219</v>
      </c>
      <c r="L2508" s="537" t="s">
        <v>2354</v>
      </c>
    </row>
    <row r="2509" spans="1:12" x14ac:dyDescent="0.2">
      <c r="A2509" s="547" t="s">
        <v>220</v>
      </c>
      <c r="B2509" s="547" t="s">
        <v>2351</v>
      </c>
      <c r="C2509" s="554" t="s">
        <v>5337</v>
      </c>
      <c r="D2509" s="554" t="s">
        <v>5338</v>
      </c>
      <c r="E2509" s="554" t="s">
        <v>9585</v>
      </c>
      <c r="F2509" s="571">
        <v>6</v>
      </c>
      <c r="G2509" s="572">
        <v>2.75</v>
      </c>
      <c r="H2509" s="545">
        <v>16.5</v>
      </c>
      <c r="I2509" s="554" t="s">
        <v>9218</v>
      </c>
      <c r="J2509" s="554" t="s">
        <v>9219</v>
      </c>
      <c r="K2509" s="554" t="s">
        <v>9219</v>
      </c>
      <c r="L2509" s="537" t="s">
        <v>2354</v>
      </c>
    </row>
    <row r="2510" spans="1:12" x14ac:dyDescent="0.2">
      <c r="A2510" s="547" t="s">
        <v>220</v>
      </c>
      <c r="B2510" s="547" t="s">
        <v>2351</v>
      </c>
      <c r="C2510" s="554" t="s">
        <v>3315</v>
      </c>
      <c r="D2510" s="554" t="s">
        <v>3316</v>
      </c>
      <c r="E2510" s="554" t="s">
        <v>9585</v>
      </c>
      <c r="F2510" s="571">
        <v>5</v>
      </c>
      <c r="G2510" s="572">
        <v>4.1684000000000001</v>
      </c>
      <c r="H2510" s="545">
        <v>20.841999999999999</v>
      </c>
      <c r="I2510" s="554" t="s">
        <v>9218</v>
      </c>
      <c r="J2510" s="554" t="s">
        <v>9219</v>
      </c>
      <c r="K2510" s="554" t="s">
        <v>9219</v>
      </c>
      <c r="L2510" s="537" t="s">
        <v>2354</v>
      </c>
    </row>
    <row r="2511" spans="1:12" x14ac:dyDescent="0.2">
      <c r="A2511" s="547" t="s">
        <v>220</v>
      </c>
      <c r="B2511" s="547" t="s">
        <v>2351</v>
      </c>
      <c r="C2511" s="554" t="s">
        <v>5339</v>
      </c>
      <c r="D2511" s="554" t="s">
        <v>5340</v>
      </c>
      <c r="E2511" s="554" t="s">
        <v>9585</v>
      </c>
      <c r="F2511" s="571">
        <v>5</v>
      </c>
      <c r="G2511" s="572">
        <v>1.464</v>
      </c>
      <c r="H2511" s="545">
        <v>7.32</v>
      </c>
      <c r="I2511" s="554" t="s">
        <v>9218</v>
      </c>
      <c r="J2511" s="554" t="s">
        <v>9219</v>
      </c>
      <c r="K2511" s="554" t="s">
        <v>9219</v>
      </c>
      <c r="L2511" s="537" t="s">
        <v>2354</v>
      </c>
    </row>
    <row r="2512" spans="1:12" x14ac:dyDescent="0.2">
      <c r="A2512" s="547" t="s">
        <v>220</v>
      </c>
      <c r="B2512" s="547" t="s">
        <v>2351</v>
      </c>
      <c r="C2512" s="554" t="s">
        <v>3319</v>
      </c>
      <c r="D2512" s="554" t="s">
        <v>3320</v>
      </c>
      <c r="E2512" s="554" t="s">
        <v>9585</v>
      </c>
      <c r="F2512" s="571">
        <v>8</v>
      </c>
      <c r="G2512" s="572">
        <v>1.171</v>
      </c>
      <c r="H2512" s="545">
        <v>9.3680000000000003</v>
      </c>
      <c r="I2512" s="554" t="s">
        <v>9218</v>
      </c>
      <c r="J2512" s="554" t="s">
        <v>9219</v>
      </c>
      <c r="K2512" s="554" t="s">
        <v>9219</v>
      </c>
      <c r="L2512" s="537" t="s">
        <v>2354</v>
      </c>
    </row>
    <row r="2513" spans="1:12" x14ac:dyDescent="0.2">
      <c r="A2513" s="547" t="s">
        <v>220</v>
      </c>
      <c r="B2513" s="547" t="s">
        <v>2351</v>
      </c>
      <c r="C2513" s="554" t="s">
        <v>5309</v>
      </c>
      <c r="D2513" s="554" t="s">
        <v>5310</v>
      </c>
      <c r="E2513" s="554" t="s">
        <v>9585</v>
      </c>
      <c r="F2513" s="573">
        <v>1</v>
      </c>
      <c r="G2513" s="545">
        <v>3.2147000000000001</v>
      </c>
      <c r="H2513" s="545">
        <v>3.2147000000000001</v>
      </c>
      <c r="I2513" s="554" t="s">
        <v>9218</v>
      </c>
      <c r="J2513" s="554" t="s">
        <v>9219</v>
      </c>
      <c r="K2513" s="554" t="s">
        <v>9219</v>
      </c>
      <c r="L2513" s="537" t="s">
        <v>2354</v>
      </c>
    </row>
    <row r="2514" spans="1:12" x14ac:dyDescent="0.2">
      <c r="A2514" s="547" t="s">
        <v>220</v>
      </c>
      <c r="B2514" s="547" t="s">
        <v>2351</v>
      </c>
      <c r="C2514" s="554" t="s">
        <v>5335</v>
      </c>
      <c r="D2514" s="554" t="s">
        <v>5336</v>
      </c>
      <c r="E2514" s="554" t="s">
        <v>9585</v>
      </c>
      <c r="F2514" s="573">
        <v>2</v>
      </c>
      <c r="G2514" s="545">
        <v>9.7982899999999997</v>
      </c>
      <c r="H2514" s="545">
        <v>19.596579999999999</v>
      </c>
      <c r="I2514" s="554" t="s">
        <v>9218</v>
      </c>
      <c r="J2514" s="554" t="s">
        <v>9219</v>
      </c>
      <c r="K2514" s="554" t="s">
        <v>9219</v>
      </c>
      <c r="L2514" s="537" t="s">
        <v>2354</v>
      </c>
    </row>
    <row r="2515" spans="1:12" x14ac:dyDescent="0.2">
      <c r="A2515" s="547" t="s">
        <v>220</v>
      </c>
      <c r="B2515" s="547" t="s">
        <v>2351</v>
      </c>
      <c r="C2515" s="554" t="s">
        <v>5358</v>
      </c>
      <c r="D2515" s="554" t="s">
        <v>5359</v>
      </c>
      <c r="E2515" s="554" t="s">
        <v>9585</v>
      </c>
      <c r="F2515" s="573">
        <v>2</v>
      </c>
      <c r="G2515" s="545">
        <v>11.30594</v>
      </c>
      <c r="H2515" s="545">
        <v>22.611879999999999</v>
      </c>
      <c r="I2515" s="554" t="s">
        <v>9218</v>
      </c>
      <c r="J2515" s="554" t="s">
        <v>9219</v>
      </c>
      <c r="K2515" s="554" t="s">
        <v>9219</v>
      </c>
      <c r="L2515" s="537" t="s">
        <v>2354</v>
      </c>
    </row>
    <row r="2516" spans="1:12" x14ac:dyDescent="0.2">
      <c r="A2516" s="547" t="s">
        <v>220</v>
      </c>
      <c r="B2516" s="547" t="s">
        <v>2351</v>
      </c>
      <c r="C2516" s="554" t="s">
        <v>3321</v>
      </c>
      <c r="D2516" s="554" t="s">
        <v>3322</v>
      </c>
      <c r="E2516" s="554" t="s">
        <v>9585</v>
      </c>
      <c r="F2516" s="571">
        <v>53</v>
      </c>
      <c r="G2516" s="572">
        <v>0.18990909090909092</v>
      </c>
      <c r="H2516" s="545">
        <v>10.065181818181818</v>
      </c>
      <c r="I2516" s="554" t="s">
        <v>9218</v>
      </c>
      <c r="J2516" s="554" t="s">
        <v>9219</v>
      </c>
      <c r="K2516" s="554" t="s">
        <v>9219</v>
      </c>
      <c r="L2516" s="537" t="s">
        <v>2354</v>
      </c>
    </row>
    <row r="2517" spans="1:12" x14ac:dyDescent="0.2">
      <c r="A2517" s="547" t="s">
        <v>220</v>
      </c>
      <c r="B2517" s="547" t="s">
        <v>2351</v>
      </c>
      <c r="C2517" s="554" t="s">
        <v>3323</v>
      </c>
      <c r="D2517" s="554" t="s">
        <v>3324</v>
      </c>
      <c r="E2517" s="554" t="s">
        <v>9585</v>
      </c>
      <c r="F2517" s="571">
        <v>22</v>
      </c>
      <c r="G2517" s="572">
        <v>0.53843333333333332</v>
      </c>
      <c r="H2517" s="545">
        <v>11.845533333333332</v>
      </c>
      <c r="I2517" s="554" t="s">
        <v>9218</v>
      </c>
      <c r="J2517" s="554" t="s">
        <v>9219</v>
      </c>
      <c r="K2517" s="554" t="s">
        <v>9219</v>
      </c>
      <c r="L2517" s="537" t="s">
        <v>2354</v>
      </c>
    </row>
    <row r="2518" spans="1:12" x14ac:dyDescent="0.2">
      <c r="A2518" s="547" t="s">
        <v>220</v>
      </c>
      <c r="B2518" s="547" t="s">
        <v>2351</v>
      </c>
      <c r="C2518" s="554" t="s">
        <v>3325</v>
      </c>
      <c r="D2518" s="554" t="s">
        <v>3326</v>
      </c>
      <c r="E2518" s="554" t="s">
        <v>9585</v>
      </c>
      <c r="F2518" s="571">
        <v>56</v>
      </c>
      <c r="G2518" s="572">
        <v>0.28736</v>
      </c>
      <c r="H2518" s="545">
        <v>16.09216</v>
      </c>
      <c r="I2518" s="554" t="s">
        <v>9218</v>
      </c>
      <c r="J2518" s="554" t="s">
        <v>9219</v>
      </c>
      <c r="K2518" s="554" t="s">
        <v>9219</v>
      </c>
      <c r="L2518" s="537" t="s">
        <v>2354</v>
      </c>
    </row>
    <row r="2519" spans="1:12" x14ac:dyDescent="0.2">
      <c r="A2519" s="547" t="s">
        <v>220</v>
      </c>
      <c r="B2519" s="547" t="s">
        <v>2351</v>
      </c>
      <c r="C2519" s="554" t="s">
        <v>3329</v>
      </c>
      <c r="D2519" s="554" t="s">
        <v>3330</v>
      </c>
      <c r="E2519" s="554" t="s">
        <v>9585</v>
      </c>
      <c r="F2519" s="571">
        <v>15</v>
      </c>
      <c r="G2519" s="572">
        <v>0.65705000000000002</v>
      </c>
      <c r="H2519" s="545">
        <v>9.8557500000000005</v>
      </c>
      <c r="I2519" s="554" t="s">
        <v>9218</v>
      </c>
      <c r="J2519" s="554" t="s">
        <v>9219</v>
      </c>
      <c r="K2519" s="554" t="s">
        <v>9219</v>
      </c>
      <c r="L2519" s="537" t="s">
        <v>2354</v>
      </c>
    </row>
    <row r="2520" spans="1:12" x14ac:dyDescent="0.2">
      <c r="A2520" s="547" t="s">
        <v>220</v>
      </c>
      <c r="B2520" s="547" t="s">
        <v>2351</v>
      </c>
      <c r="C2520" s="554" t="s">
        <v>3331</v>
      </c>
      <c r="D2520" s="554" t="s">
        <v>3332</v>
      </c>
      <c r="E2520" s="554" t="s">
        <v>9585</v>
      </c>
      <c r="F2520" s="571">
        <v>3</v>
      </c>
      <c r="G2520" s="572">
        <v>3.9</v>
      </c>
      <c r="H2520" s="545">
        <v>11.7</v>
      </c>
      <c r="I2520" s="554" t="s">
        <v>9218</v>
      </c>
      <c r="J2520" s="554" t="s">
        <v>9219</v>
      </c>
      <c r="K2520" s="554" t="s">
        <v>9219</v>
      </c>
      <c r="L2520" s="537" t="s">
        <v>2354</v>
      </c>
    </row>
    <row r="2521" spans="1:12" x14ac:dyDescent="0.2">
      <c r="A2521" s="547" t="s">
        <v>220</v>
      </c>
      <c r="B2521" s="547" t="s">
        <v>2351</v>
      </c>
      <c r="C2521" s="554" t="s">
        <v>3335</v>
      </c>
      <c r="D2521" s="554" t="s">
        <v>3336</v>
      </c>
      <c r="E2521" s="554" t="s">
        <v>9585</v>
      </c>
      <c r="F2521" s="571">
        <v>16</v>
      </c>
      <c r="G2521" s="572">
        <v>0.30199999999999999</v>
      </c>
      <c r="H2521" s="545">
        <v>4.8319999999999999</v>
      </c>
      <c r="I2521" s="554" t="s">
        <v>9218</v>
      </c>
      <c r="J2521" s="554" t="s">
        <v>9219</v>
      </c>
      <c r="K2521" s="554" t="s">
        <v>9219</v>
      </c>
      <c r="L2521" s="537" t="s">
        <v>2354</v>
      </c>
    </row>
    <row r="2522" spans="1:12" x14ac:dyDescent="0.2">
      <c r="A2522" s="547" t="s">
        <v>220</v>
      </c>
      <c r="B2522" s="547" t="s">
        <v>2351</v>
      </c>
      <c r="C2522" s="554" t="s">
        <v>3337</v>
      </c>
      <c r="D2522" s="554" t="s">
        <v>3338</v>
      </c>
      <c r="E2522" s="554" t="s">
        <v>9585</v>
      </c>
      <c r="F2522" s="571">
        <v>25</v>
      </c>
      <c r="G2522" s="572">
        <v>1.4450000000000001</v>
      </c>
      <c r="H2522" s="545">
        <v>36.125</v>
      </c>
      <c r="I2522" s="554" t="s">
        <v>9218</v>
      </c>
      <c r="J2522" s="554" t="s">
        <v>9219</v>
      </c>
      <c r="K2522" s="554" t="s">
        <v>9219</v>
      </c>
      <c r="L2522" s="537" t="s">
        <v>2354</v>
      </c>
    </row>
    <row r="2523" spans="1:12" x14ac:dyDescent="0.2">
      <c r="A2523" s="547" t="s">
        <v>220</v>
      </c>
      <c r="B2523" s="547" t="s">
        <v>2351</v>
      </c>
      <c r="C2523" s="554" t="s">
        <v>3339</v>
      </c>
      <c r="D2523" s="554" t="s">
        <v>3340</v>
      </c>
      <c r="E2523" s="554" t="s">
        <v>9585</v>
      </c>
      <c r="F2523" s="571">
        <v>50</v>
      </c>
      <c r="G2523" s="572">
        <v>1.5419375000000002</v>
      </c>
      <c r="H2523" s="545">
        <v>77.096875000000011</v>
      </c>
      <c r="I2523" s="554" t="s">
        <v>9218</v>
      </c>
      <c r="J2523" s="554" t="s">
        <v>9219</v>
      </c>
      <c r="K2523" s="554" t="s">
        <v>9219</v>
      </c>
      <c r="L2523" s="537" t="s">
        <v>2354</v>
      </c>
    </row>
    <row r="2524" spans="1:12" x14ac:dyDescent="0.2">
      <c r="A2524" s="547" t="s">
        <v>220</v>
      </c>
      <c r="B2524" s="547" t="s">
        <v>2351</v>
      </c>
      <c r="C2524" s="554" t="s">
        <v>3341</v>
      </c>
      <c r="D2524" s="554" t="s">
        <v>3342</v>
      </c>
      <c r="E2524" s="554" t="s">
        <v>9585</v>
      </c>
      <c r="F2524" s="571">
        <v>20</v>
      </c>
      <c r="G2524" s="572">
        <v>1.5614499999999998</v>
      </c>
      <c r="H2524" s="545">
        <v>31.228999999999996</v>
      </c>
      <c r="I2524" s="554" t="s">
        <v>9218</v>
      </c>
      <c r="J2524" s="554" t="s">
        <v>9219</v>
      </c>
      <c r="K2524" s="554" t="s">
        <v>9219</v>
      </c>
      <c r="L2524" s="537" t="s">
        <v>2354</v>
      </c>
    </row>
    <row r="2525" spans="1:12" x14ac:dyDescent="0.2">
      <c r="A2525" s="547" t="s">
        <v>220</v>
      </c>
      <c r="B2525" s="547" t="s">
        <v>2351</v>
      </c>
      <c r="C2525" s="554" t="s">
        <v>3343</v>
      </c>
      <c r="D2525" s="554" t="s">
        <v>3344</v>
      </c>
      <c r="E2525" s="554" t="s">
        <v>9585</v>
      </c>
      <c r="F2525" s="571">
        <v>95</v>
      </c>
      <c r="G2525" s="572">
        <v>0.13932</v>
      </c>
      <c r="H2525" s="545">
        <v>13.2354</v>
      </c>
      <c r="I2525" s="554" t="s">
        <v>9218</v>
      </c>
      <c r="J2525" s="554" t="s">
        <v>9219</v>
      </c>
      <c r="K2525" s="554" t="s">
        <v>9219</v>
      </c>
      <c r="L2525" s="537" t="s">
        <v>2354</v>
      </c>
    </row>
    <row r="2526" spans="1:12" x14ac:dyDescent="0.2">
      <c r="A2526" s="547" t="s">
        <v>220</v>
      </c>
      <c r="B2526" s="547" t="s">
        <v>2351</v>
      </c>
      <c r="C2526" s="554" t="s">
        <v>3345</v>
      </c>
      <c r="D2526" s="554" t="s">
        <v>3346</v>
      </c>
      <c r="E2526" s="554" t="s">
        <v>9585</v>
      </c>
      <c r="F2526" s="571">
        <v>120</v>
      </c>
      <c r="G2526" s="572">
        <v>1.2929999999999999</v>
      </c>
      <c r="H2526" s="545">
        <v>155.16</v>
      </c>
      <c r="I2526" s="554" t="s">
        <v>9218</v>
      </c>
      <c r="J2526" s="554" t="s">
        <v>9219</v>
      </c>
      <c r="K2526" s="554" t="s">
        <v>9219</v>
      </c>
      <c r="L2526" s="537" t="s">
        <v>2354</v>
      </c>
    </row>
    <row r="2527" spans="1:12" x14ac:dyDescent="0.2">
      <c r="A2527" s="547" t="s">
        <v>220</v>
      </c>
      <c r="B2527" s="547" t="s">
        <v>2351</v>
      </c>
      <c r="C2527" s="554" t="s">
        <v>3347</v>
      </c>
      <c r="D2527" s="554" t="s">
        <v>3348</v>
      </c>
      <c r="E2527" s="554" t="s">
        <v>9585</v>
      </c>
      <c r="F2527" s="571">
        <v>5</v>
      </c>
      <c r="G2527" s="572">
        <v>4.0986000000000002</v>
      </c>
      <c r="H2527" s="545">
        <v>20.493000000000002</v>
      </c>
      <c r="I2527" s="554" t="s">
        <v>9218</v>
      </c>
      <c r="J2527" s="554" t="s">
        <v>9219</v>
      </c>
      <c r="K2527" s="554" t="s">
        <v>9219</v>
      </c>
      <c r="L2527" s="537" t="s">
        <v>2354</v>
      </c>
    </row>
    <row r="2528" spans="1:12" x14ac:dyDescent="0.2">
      <c r="A2528" s="547" t="s">
        <v>220</v>
      </c>
      <c r="B2528" s="547" t="s">
        <v>2351</v>
      </c>
      <c r="C2528" s="554" t="s">
        <v>3349</v>
      </c>
      <c r="D2528" s="554" t="s">
        <v>3350</v>
      </c>
      <c r="E2528" s="554" t="s">
        <v>9585</v>
      </c>
      <c r="F2528" s="571">
        <v>29</v>
      </c>
      <c r="G2528" s="572">
        <v>1.7324999999999997</v>
      </c>
      <c r="H2528" s="545">
        <v>50.242499999999993</v>
      </c>
      <c r="I2528" s="554" t="s">
        <v>9218</v>
      </c>
      <c r="J2528" s="554" t="s">
        <v>9219</v>
      </c>
      <c r="K2528" s="554" t="s">
        <v>9219</v>
      </c>
      <c r="L2528" s="537" t="s">
        <v>2354</v>
      </c>
    </row>
    <row r="2529" spans="1:12" x14ac:dyDescent="0.2">
      <c r="A2529" s="547" t="s">
        <v>220</v>
      </c>
      <c r="B2529" s="547" t="s">
        <v>2351</v>
      </c>
      <c r="C2529" s="554" t="s">
        <v>3351</v>
      </c>
      <c r="D2529" s="554" t="s">
        <v>3352</v>
      </c>
      <c r="E2529" s="554" t="s">
        <v>9585</v>
      </c>
      <c r="F2529" s="571">
        <v>10</v>
      </c>
      <c r="G2529" s="572">
        <v>10.1304</v>
      </c>
      <c r="H2529" s="545">
        <v>101.304</v>
      </c>
      <c r="I2529" s="554" t="s">
        <v>9218</v>
      </c>
      <c r="J2529" s="554" t="s">
        <v>9219</v>
      </c>
      <c r="K2529" s="554" t="s">
        <v>9219</v>
      </c>
      <c r="L2529" s="537" t="s">
        <v>2354</v>
      </c>
    </row>
    <row r="2530" spans="1:12" x14ac:dyDescent="0.2">
      <c r="A2530" s="547" t="s">
        <v>220</v>
      </c>
      <c r="B2530" s="547" t="s">
        <v>2351</v>
      </c>
      <c r="C2530" s="554" t="s">
        <v>3353</v>
      </c>
      <c r="D2530" s="554" t="s">
        <v>3354</v>
      </c>
      <c r="E2530" s="554" t="s">
        <v>9585</v>
      </c>
      <c r="F2530" s="571">
        <v>12</v>
      </c>
      <c r="G2530" s="572">
        <v>10.134</v>
      </c>
      <c r="H2530" s="545">
        <v>121.608</v>
      </c>
      <c r="I2530" s="554" t="s">
        <v>9218</v>
      </c>
      <c r="J2530" s="554" t="s">
        <v>9219</v>
      </c>
      <c r="K2530" s="554" t="s">
        <v>9219</v>
      </c>
      <c r="L2530" s="537" t="s">
        <v>2354</v>
      </c>
    </row>
    <row r="2531" spans="1:12" x14ac:dyDescent="0.2">
      <c r="A2531" s="547" t="s">
        <v>220</v>
      </c>
      <c r="B2531" s="547" t="s">
        <v>2351</v>
      </c>
      <c r="C2531" s="554" t="s">
        <v>3355</v>
      </c>
      <c r="D2531" s="554" t="s">
        <v>3356</v>
      </c>
      <c r="E2531" s="554" t="s">
        <v>9585</v>
      </c>
      <c r="F2531" s="571">
        <v>25</v>
      </c>
      <c r="G2531" s="572">
        <v>3.6414</v>
      </c>
      <c r="H2531" s="545">
        <v>91.034999999999997</v>
      </c>
      <c r="I2531" s="554" t="s">
        <v>9218</v>
      </c>
      <c r="J2531" s="554" t="s">
        <v>9219</v>
      </c>
      <c r="K2531" s="554" t="s">
        <v>9219</v>
      </c>
      <c r="L2531" s="537" t="s">
        <v>2354</v>
      </c>
    </row>
    <row r="2532" spans="1:12" x14ac:dyDescent="0.2">
      <c r="A2532" s="547" t="s">
        <v>220</v>
      </c>
      <c r="B2532" s="547" t="s">
        <v>2351</v>
      </c>
      <c r="C2532" s="554" t="s">
        <v>3361</v>
      </c>
      <c r="D2532" s="554" t="s">
        <v>3362</v>
      </c>
      <c r="E2532" s="554" t="s">
        <v>9585</v>
      </c>
      <c r="F2532" s="571">
        <v>52</v>
      </c>
      <c r="G2532" s="572">
        <v>6.2471578947368425</v>
      </c>
      <c r="H2532" s="545">
        <v>324.85221052631579</v>
      </c>
      <c r="I2532" s="554" t="s">
        <v>9218</v>
      </c>
      <c r="J2532" s="554" t="s">
        <v>9219</v>
      </c>
      <c r="K2532" s="554" t="s">
        <v>9219</v>
      </c>
      <c r="L2532" s="537" t="s">
        <v>2354</v>
      </c>
    </row>
    <row r="2533" spans="1:12" x14ac:dyDescent="0.2">
      <c r="A2533" s="547" t="s">
        <v>220</v>
      </c>
      <c r="B2533" s="547" t="s">
        <v>2351</v>
      </c>
      <c r="C2533" s="554" t="s">
        <v>3363</v>
      </c>
      <c r="D2533" s="554" t="s">
        <v>3364</v>
      </c>
      <c r="E2533" s="554" t="s">
        <v>9585</v>
      </c>
      <c r="F2533" s="571">
        <v>89</v>
      </c>
      <c r="G2533" s="572">
        <v>1.8508579999999999</v>
      </c>
      <c r="H2533" s="545">
        <v>164.72636199999999</v>
      </c>
      <c r="I2533" s="554" t="s">
        <v>9218</v>
      </c>
      <c r="J2533" s="554" t="s">
        <v>9219</v>
      </c>
      <c r="K2533" s="554" t="s">
        <v>9219</v>
      </c>
      <c r="L2533" s="537" t="s">
        <v>2354</v>
      </c>
    </row>
    <row r="2534" spans="1:12" x14ac:dyDescent="0.2">
      <c r="A2534" s="547" t="s">
        <v>220</v>
      </c>
      <c r="B2534" s="547" t="s">
        <v>2351</v>
      </c>
      <c r="C2534" s="554" t="s">
        <v>3367</v>
      </c>
      <c r="D2534" s="554" t="s">
        <v>3368</v>
      </c>
      <c r="E2534" s="554" t="s">
        <v>9585</v>
      </c>
      <c r="F2534" s="571">
        <v>6</v>
      </c>
      <c r="G2534" s="572">
        <v>7.95</v>
      </c>
      <c r="H2534" s="545">
        <v>47.7</v>
      </c>
      <c r="I2534" s="554" t="s">
        <v>9218</v>
      </c>
      <c r="J2534" s="554" t="s">
        <v>9219</v>
      </c>
      <c r="K2534" s="554" t="s">
        <v>9219</v>
      </c>
      <c r="L2534" s="537" t="s">
        <v>2354</v>
      </c>
    </row>
    <row r="2535" spans="1:12" x14ac:dyDescent="0.2">
      <c r="A2535" s="547" t="s">
        <v>220</v>
      </c>
      <c r="B2535" s="547" t="s">
        <v>2351</v>
      </c>
      <c r="C2535" s="554" t="s">
        <v>3381</v>
      </c>
      <c r="D2535" s="554" t="s">
        <v>3382</v>
      </c>
      <c r="E2535" s="554" t="s">
        <v>9585</v>
      </c>
      <c r="F2535" s="571">
        <v>6</v>
      </c>
      <c r="G2535" s="572">
        <v>2.3374999999999999</v>
      </c>
      <c r="H2535" s="545">
        <v>14.024999999999999</v>
      </c>
      <c r="I2535" s="554" t="s">
        <v>9218</v>
      </c>
      <c r="J2535" s="554" t="s">
        <v>9219</v>
      </c>
      <c r="K2535" s="554" t="s">
        <v>9219</v>
      </c>
      <c r="L2535" s="537" t="s">
        <v>2354</v>
      </c>
    </row>
    <row r="2536" spans="1:12" x14ac:dyDescent="0.2">
      <c r="A2536" s="547" t="s">
        <v>220</v>
      </c>
      <c r="B2536" s="547" t="s">
        <v>2351</v>
      </c>
      <c r="C2536" s="554" t="s">
        <v>3383</v>
      </c>
      <c r="D2536" s="554" t="s">
        <v>3384</v>
      </c>
      <c r="E2536" s="554" t="s">
        <v>9585</v>
      </c>
      <c r="F2536" s="571">
        <v>1</v>
      </c>
      <c r="G2536" s="572">
        <v>4.8330000000000002</v>
      </c>
      <c r="H2536" s="545">
        <v>4.8330000000000002</v>
      </c>
      <c r="I2536" s="554" t="s">
        <v>9218</v>
      </c>
      <c r="J2536" s="554" t="s">
        <v>9219</v>
      </c>
      <c r="K2536" s="554" t="s">
        <v>9219</v>
      </c>
      <c r="L2536" s="537" t="s">
        <v>2354</v>
      </c>
    </row>
    <row r="2537" spans="1:12" x14ac:dyDescent="0.2">
      <c r="A2537" s="547" t="s">
        <v>220</v>
      </c>
      <c r="B2537" s="547" t="s">
        <v>2351</v>
      </c>
      <c r="C2537" s="554" t="s">
        <v>3385</v>
      </c>
      <c r="D2537" s="554" t="s">
        <v>3386</v>
      </c>
      <c r="E2537" s="554" t="s">
        <v>9585</v>
      </c>
      <c r="F2537" s="571">
        <v>10</v>
      </c>
      <c r="G2537" s="572">
        <v>6.3577166666666658</v>
      </c>
      <c r="H2537" s="545">
        <v>63.577166666666656</v>
      </c>
      <c r="I2537" s="554" t="s">
        <v>9218</v>
      </c>
      <c r="J2537" s="554" t="s">
        <v>9219</v>
      </c>
      <c r="K2537" s="554" t="s">
        <v>9219</v>
      </c>
      <c r="L2537" s="537" t="s">
        <v>2354</v>
      </c>
    </row>
    <row r="2538" spans="1:12" x14ac:dyDescent="0.2">
      <c r="A2538" s="547" t="s">
        <v>220</v>
      </c>
      <c r="B2538" s="547" t="s">
        <v>2351</v>
      </c>
      <c r="C2538" s="554" t="s">
        <v>3387</v>
      </c>
      <c r="D2538" s="554" t="s">
        <v>3388</v>
      </c>
      <c r="E2538" s="554" t="s">
        <v>9585</v>
      </c>
      <c r="F2538" s="571">
        <v>5</v>
      </c>
      <c r="G2538" s="572">
        <v>8.1259999999999994</v>
      </c>
      <c r="H2538" s="545">
        <v>40.629999999999995</v>
      </c>
      <c r="I2538" s="554" t="s">
        <v>9218</v>
      </c>
      <c r="J2538" s="554" t="s">
        <v>9219</v>
      </c>
      <c r="K2538" s="554" t="s">
        <v>9219</v>
      </c>
      <c r="L2538" s="537" t="s">
        <v>2354</v>
      </c>
    </row>
    <row r="2539" spans="1:12" x14ac:dyDescent="0.2">
      <c r="A2539" s="547" t="s">
        <v>220</v>
      </c>
      <c r="B2539" s="547" t="s">
        <v>2351</v>
      </c>
      <c r="C2539" s="554" t="s">
        <v>2365</v>
      </c>
      <c r="D2539" s="554" t="s">
        <v>2366</v>
      </c>
      <c r="E2539" s="554" t="s">
        <v>9585</v>
      </c>
      <c r="F2539" s="571">
        <v>2</v>
      </c>
      <c r="G2539" s="572">
        <v>16.256</v>
      </c>
      <c r="H2539" s="545">
        <v>32.512</v>
      </c>
      <c r="I2539" s="554" t="s">
        <v>9218</v>
      </c>
      <c r="J2539" s="554" t="s">
        <v>9219</v>
      </c>
      <c r="K2539" s="554" t="s">
        <v>9219</v>
      </c>
      <c r="L2539" s="537" t="s">
        <v>2354</v>
      </c>
    </row>
    <row r="2540" spans="1:12" x14ac:dyDescent="0.2">
      <c r="A2540" s="547" t="s">
        <v>220</v>
      </c>
      <c r="B2540" s="547" t="s">
        <v>2351</v>
      </c>
      <c r="C2540" s="554" t="s">
        <v>3389</v>
      </c>
      <c r="D2540" s="554" t="s">
        <v>3390</v>
      </c>
      <c r="E2540" s="554" t="s">
        <v>9585</v>
      </c>
      <c r="F2540" s="571">
        <v>2</v>
      </c>
      <c r="G2540" s="572">
        <v>68.424999999999997</v>
      </c>
      <c r="H2540" s="545">
        <v>136.85</v>
      </c>
      <c r="I2540" s="554" t="s">
        <v>9218</v>
      </c>
      <c r="J2540" s="554" t="s">
        <v>9219</v>
      </c>
      <c r="K2540" s="554" t="s">
        <v>9219</v>
      </c>
      <c r="L2540" s="537" t="s">
        <v>2354</v>
      </c>
    </row>
    <row r="2541" spans="1:12" x14ac:dyDescent="0.2">
      <c r="A2541" s="547" t="s">
        <v>220</v>
      </c>
      <c r="B2541" s="547" t="s">
        <v>2351</v>
      </c>
      <c r="C2541" s="554" t="s">
        <v>3391</v>
      </c>
      <c r="D2541" s="554" t="s">
        <v>3392</v>
      </c>
      <c r="E2541" s="554" t="s">
        <v>9585</v>
      </c>
      <c r="F2541" s="571">
        <v>2</v>
      </c>
      <c r="G2541" s="572">
        <v>72.25</v>
      </c>
      <c r="H2541" s="545">
        <v>144.5</v>
      </c>
      <c r="I2541" s="554" t="s">
        <v>9218</v>
      </c>
      <c r="J2541" s="554" t="s">
        <v>9219</v>
      </c>
      <c r="K2541" s="554" t="s">
        <v>9219</v>
      </c>
      <c r="L2541" s="537" t="s">
        <v>2354</v>
      </c>
    </row>
    <row r="2542" spans="1:12" x14ac:dyDescent="0.2">
      <c r="A2542" s="547" t="s">
        <v>220</v>
      </c>
      <c r="B2542" s="547" t="s">
        <v>2351</v>
      </c>
      <c r="C2542" s="554" t="s">
        <v>3393</v>
      </c>
      <c r="D2542" s="554" t="s">
        <v>3394</v>
      </c>
      <c r="E2542" s="554" t="s">
        <v>9585</v>
      </c>
      <c r="F2542" s="571">
        <v>2</v>
      </c>
      <c r="G2542" s="572">
        <v>3.3359999999999999</v>
      </c>
      <c r="H2542" s="545">
        <v>6.6719999999999997</v>
      </c>
      <c r="I2542" s="554" t="s">
        <v>9218</v>
      </c>
      <c r="J2542" s="554" t="s">
        <v>9219</v>
      </c>
      <c r="K2542" s="554" t="s">
        <v>9219</v>
      </c>
      <c r="L2542" s="537" t="s">
        <v>2354</v>
      </c>
    </row>
    <row r="2543" spans="1:12" x14ac:dyDescent="0.2">
      <c r="A2543" s="547" t="s">
        <v>220</v>
      </c>
      <c r="B2543" s="547" t="s">
        <v>2351</v>
      </c>
      <c r="C2543" s="554" t="s">
        <v>3395</v>
      </c>
      <c r="D2543" s="554" t="s">
        <v>3396</v>
      </c>
      <c r="E2543" s="554" t="s">
        <v>9585</v>
      </c>
      <c r="F2543" s="571">
        <v>8</v>
      </c>
      <c r="G2543" s="572">
        <v>3.2725</v>
      </c>
      <c r="H2543" s="545">
        <v>26.18</v>
      </c>
      <c r="I2543" s="554" t="s">
        <v>9218</v>
      </c>
      <c r="J2543" s="554" t="s">
        <v>9219</v>
      </c>
      <c r="K2543" s="554" t="s">
        <v>9219</v>
      </c>
      <c r="L2543" s="537" t="s">
        <v>2354</v>
      </c>
    </row>
    <row r="2544" spans="1:12" x14ac:dyDescent="0.2">
      <c r="A2544" s="547" t="s">
        <v>220</v>
      </c>
      <c r="B2544" s="547" t="s">
        <v>2351</v>
      </c>
      <c r="C2544" s="554" t="s">
        <v>3397</v>
      </c>
      <c r="D2544" s="554" t="s">
        <v>3398</v>
      </c>
      <c r="E2544" s="554" t="s">
        <v>9585</v>
      </c>
      <c r="F2544" s="571">
        <v>4</v>
      </c>
      <c r="G2544" s="572">
        <v>2.6760000000000002</v>
      </c>
      <c r="H2544" s="545">
        <v>10.704000000000001</v>
      </c>
      <c r="I2544" s="554" t="s">
        <v>9218</v>
      </c>
      <c r="J2544" s="554" t="s">
        <v>9219</v>
      </c>
      <c r="K2544" s="554" t="s">
        <v>9219</v>
      </c>
      <c r="L2544" s="537" t="s">
        <v>2354</v>
      </c>
    </row>
    <row r="2545" spans="1:12" x14ac:dyDescent="0.2">
      <c r="A2545" s="547" t="s">
        <v>220</v>
      </c>
      <c r="B2545" s="547" t="s">
        <v>2351</v>
      </c>
      <c r="C2545" s="554" t="s">
        <v>3399</v>
      </c>
      <c r="D2545" s="554" t="s">
        <v>3400</v>
      </c>
      <c r="E2545" s="554" t="s">
        <v>9585</v>
      </c>
      <c r="F2545" s="571">
        <v>7</v>
      </c>
      <c r="G2545" s="572">
        <v>1.4670000000000001</v>
      </c>
      <c r="H2545" s="545">
        <v>10.269</v>
      </c>
      <c r="I2545" s="554" t="s">
        <v>9218</v>
      </c>
      <c r="J2545" s="554" t="s">
        <v>9219</v>
      </c>
      <c r="K2545" s="554" t="s">
        <v>9219</v>
      </c>
      <c r="L2545" s="537" t="s">
        <v>2354</v>
      </c>
    </row>
    <row r="2546" spans="1:12" x14ac:dyDescent="0.2">
      <c r="A2546" s="547" t="s">
        <v>220</v>
      </c>
      <c r="B2546" s="547" t="s">
        <v>2351</v>
      </c>
      <c r="C2546" s="554" t="s">
        <v>3401</v>
      </c>
      <c r="D2546" s="554" t="s">
        <v>3402</v>
      </c>
      <c r="E2546" s="554" t="s">
        <v>9585</v>
      </c>
      <c r="F2546" s="571">
        <v>6</v>
      </c>
      <c r="G2546" s="572">
        <v>2.7233999999999998</v>
      </c>
      <c r="H2546" s="545">
        <v>16.340399999999999</v>
      </c>
      <c r="I2546" s="554" t="s">
        <v>9218</v>
      </c>
      <c r="J2546" s="554" t="s">
        <v>9219</v>
      </c>
      <c r="K2546" s="554" t="s">
        <v>9219</v>
      </c>
      <c r="L2546" s="537" t="s">
        <v>2354</v>
      </c>
    </row>
    <row r="2547" spans="1:12" x14ac:dyDescent="0.2">
      <c r="A2547" s="547" t="s">
        <v>220</v>
      </c>
      <c r="B2547" s="547" t="s">
        <v>2351</v>
      </c>
      <c r="C2547" s="554" t="s">
        <v>3465</v>
      </c>
      <c r="D2547" s="554" t="s">
        <v>3466</v>
      </c>
      <c r="E2547" s="554" t="s">
        <v>9585</v>
      </c>
      <c r="F2547" s="571">
        <v>7</v>
      </c>
      <c r="G2547" s="572">
        <v>8.0640000000000001</v>
      </c>
      <c r="H2547" s="545">
        <v>56.448</v>
      </c>
      <c r="I2547" s="554" t="s">
        <v>9218</v>
      </c>
      <c r="J2547" s="554" t="s">
        <v>9219</v>
      </c>
      <c r="K2547" s="554" t="s">
        <v>9219</v>
      </c>
      <c r="L2547" s="537" t="s">
        <v>2354</v>
      </c>
    </row>
    <row r="2548" spans="1:12" x14ac:dyDescent="0.2">
      <c r="A2548" s="547" t="s">
        <v>220</v>
      </c>
      <c r="B2548" s="547" t="s">
        <v>2351</v>
      </c>
      <c r="C2548" s="554" t="s">
        <v>3467</v>
      </c>
      <c r="D2548" s="554" t="s">
        <v>3468</v>
      </c>
      <c r="E2548" s="554" t="s">
        <v>9585</v>
      </c>
      <c r="F2548" s="571">
        <v>14</v>
      </c>
      <c r="G2548" s="572">
        <v>2.0994999999999999</v>
      </c>
      <c r="H2548" s="545">
        <v>29.393000000000001</v>
      </c>
      <c r="I2548" s="554" t="s">
        <v>9218</v>
      </c>
      <c r="J2548" s="554" t="s">
        <v>9219</v>
      </c>
      <c r="K2548" s="554" t="s">
        <v>9219</v>
      </c>
      <c r="L2548" s="537" t="s">
        <v>2354</v>
      </c>
    </row>
    <row r="2549" spans="1:12" x14ac:dyDescent="0.2">
      <c r="A2549" s="547" t="s">
        <v>220</v>
      </c>
      <c r="B2549" s="547" t="s">
        <v>2351</v>
      </c>
      <c r="C2549" s="554" t="s">
        <v>3469</v>
      </c>
      <c r="D2549" s="554" t="s">
        <v>3470</v>
      </c>
      <c r="E2549" s="554" t="s">
        <v>9585</v>
      </c>
      <c r="F2549" s="571">
        <v>5</v>
      </c>
      <c r="G2549" s="572">
        <v>3.2949999999999999</v>
      </c>
      <c r="H2549" s="545">
        <v>16.475000000000001</v>
      </c>
      <c r="I2549" s="554" t="s">
        <v>9218</v>
      </c>
      <c r="J2549" s="554" t="s">
        <v>9219</v>
      </c>
      <c r="K2549" s="554" t="s">
        <v>9219</v>
      </c>
      <c r="L2549" s="537" t="s">
        <v>2354</v>
      </c>
    </row>
    <row r="2550" spans="1:12" x14ac:dyDescent="0.2">
      <c r="A2550" s="547" t="s">
        <v>220</v>
      </c>
      <c r="B2550" s="547" t="s">
        <v>2351</v>
      </c>
      <c r="C2550" s="554" t="s">
        <v>3471</v>
      </c>
      <c r="D2550" s="554" t="s">
        <v>3472</v>
      </c>
      <c r="E2550" s="554" t="s">
        <v>9585</v>
      </c>
      <c r="F2550" s="571">
        <v>1</v>
      </c>
      <c r="G2550" s="572">
        <v>6.8440500000000002</v>
      </c>
      <c r="H2550" s="545">
        <v>6.8440500000000002</v>
      </c>
      <c r="I2550" s="554" t="s">
        <v>9218</v>
      </c>
      <c r="J2550" s="554" t="s">
        <v>9219</v>
      </c>
      <c r="K2550" s="554" t="s">
        <v>9219</v>
      </c>
      <c r="L2550" s="537" t="s">
        <v>2354</v>
      </c>
    </row>
    <row r="2551" spans="1:12" x14ac:dyDescent="0.2">
      <c r="A2551" s="547" t="s">
        <v>220</v>
      </c>
      <c r="B2551" s="547" t="s">
        <v>2351</v>
      </c>
      <c r="C2551" s="554" t="s">
        <v>3473</v>
      </c>
      <c r="D2551" s="554" t="s">
        <v>3474</v>
      </c>
      <c r="E2551" s="554" t="s">
        <v>9585</v>
      </c>
      <c r="F2551" s="571">
        <v>5</v>
      </c>
      <c r="G2551" s="572">
        <v>8.8757999999999999</v>
      </c>
      <c r="H2551" s="545">
        <v>44.378999999999998</v>
      </c>
      <c r="I2551" s="554" t="s">
        <v>9218</v>
      </c>
      <c r="J2551" s="554" t="s">
        <v>9219</v>
      </c>
      <c r="K2551" s="554" t="s">
        <v>9219</v>
      </c>
      <c r="L2551" s="537" t="s">
        <v>2354</v>
      </c>
    </row>
    <row r="2552" spans="1:12" x14ac:dyDescent="0.2">
      <c r="A2552" s="547" t="s">
        <v>220</v>
      </c>
      <c r="B2552" s="547" t="s">
        <v>2351</v>
      </c>
      <c r="C2552" s="554" t="s">
        <v>3475</v>
      </c>
      <c r="D2552" s="554" t="s">
        <v>3476</v>
      </c>
      <c r="E2552" s="554" t="s">
        <v>9585</v>
      </c>
      <c r="F2552" s="571">
        <v>9</v>
      </c>
      <c r="G2552" s="572">
        <v>1.9379999999999999</v>
      </c>
      <c r="H2552" s="545">
        <v>17.442</v>
      </c>
      <c r="I2552" s="554" t="s">
        <v>9218</v>
      </c>
      <c r="J2552" s="554" t="s">
        <v>9219</v>
      </c>
      <c r="K2552" s="554" t="s">
        <v>9219</v>
      </c>
      <c r="L2552" s="537" t="s">
        <v>2354</v>
      </c>
    </row>
    <row r="2553" spans="1:12" x14ac:dyDescent="0.2">
      <c r="A2553" s="547" t="s">
        <v>220</v>
      </c>
      <c r="B2553" s="547" t="s">
        <v>2351</v>
      </c>
      <c r="C2553" s="554" t="s">
        <v>3477</v>
      </c>
      <c r="D2553" s="554" t="s">
        <v>3478</v>
      </c>
      <c r="E2553" s="554" t="s">
        <v>9585</v>
      </c>
      <c r="F2553" s="571">
        <v>1</v>
      </c>
      <c r="G2553" s="572">
        <v>9.4499999999999993</v>
      </c>
      <c r="H2553" s="545">
        <v>9.4499999999999993</v>
      </c>
      <c r="I2553" s="554" t="s">
        <v>9218</v>
      </c>
      <c r="J2553" s="554" t="s">
        <v>9219</v>
      </c>
      <c r="K2553" s="554" t="s">
        <v>9219</v>
      </c>
      <c r="L2553" s="537" t="s">
        <v>2354</v>
      </c>
    </row>
    <row r="2554" spans="1:12" x14ac:dyDescent="0.2">
      <c r="A2554" s="547" t="s">
        <v>220</v>
      </c>
      <c r="B2554" s="547" t="s">
        <v>2351</v>
      </c>
      <c r="C2554" s="554" t="s">
        <v>3479</v>
      </c>
      <c r="D2554" s="554" t="s">
        <v>3480</v>
      </c>
      <c r="E2554" s="554" t="s">
        <v>9585</v>
      </c>
      <c r="F2554" s="571">
        <v>9</v>
      </c>
      <c r="G2554" s="572">
        <v>2.5865999999999998</v>
      </c>
      <c r="H2554" s="545">
        <v>23.279399999999999</v>
      </c>
      <c r="I2554" s="554" t="s">
        <v>9218</v>
      </c>
      <c r="J2554" s="554" t="s">
        <v>9219</v>
      </c>
      <c r="K2554" s="554" t="s">
        <v>9219</v>
      </c>
      <c r="L2554" s="537" t="s">
        <v>2354</v>
      </c>
    </row>
    <row r="2555" spans="1:12" x14ac:dyDescent="0.2">
      <c r="A2555" s="547" t="s">
        <v>220</v>
      </c>
      <c r="B2555" s="547" t="s">
        <v>2351</v>
      </c>
      <c r="C2555" s="554" t="s">
        <v>3481</v>
      </c>
      <c r="D2555" s="554" t="s">
        <v>3482</v>
      </c>
      <c r="E2555" s="554" t="s">
        <v>9585</v>
      </c>
      <c r="F2555" s="571">
        <v>3</v>
      </c>
      <c r="G2555" s="572">
        <v>16.520399999999999</v>
      </c>
      <c r="H2555" s="545">
        <v>49.561199999999999</v>
      </c>
      <c r="I2555" s="554" t="s">
        <v>9218</v>
      </c>
      <c r="J2555" s="554" t="s">
        <v>9219</v>
      </c>
      <c r="K2555" s="554" t="s">
        <v>9219</v>
      </c>
      <c r="L2555" s="537" t="s">
        <v>2354</v>
      </c>
    </row>
    <row r="2556" spans="1:12" x14ac:dyDescent="0.2">
      <c r="A2556" s="547" t="s">
        <v>220</v>
      </c>
      <c r="B2556" s="547" t="s">
        <v>2351</v>
      </c>
      <c r="C2556" s="554" t="s">
        <v>3483</v>
      </c>
      <c r="D2556" s="554" t="s">
        <v>3484</v>
      </c>
      <c r="E2556" s="554" t="s">
        <v>9585</v>
      </c>
      <c r="F2556" s="571">
        <v>3</v>
      </c>
      <c r="G2556" s="572">
        <v>4.3019999999999996</v>
      </c>
      <c r="H2556" s="545">
        <v>12.905999999999999</v>
      </c>
      <c r="I2556" s="554" t="s">
        <v>9218</v>
      </c>
      <c r="J2556" s="554" t="s">
        <v>9219</v>
      </c>
      <c r="K2556" s="554" t="s">
        <v>9219</v>
      </c>
      <c r="L2556" s="537" t="s">
        <v>2354</v>
      </c>
    </row>
    <row r="2557" spans="1:12" x14ac:dyDescent="0.2">
      <c r="A2557" s="547" t="s">
        <v>220</v>
      </c>
      <c r="B2557" s="547" t="s">
        <v>2351</v>
      </c>
      <c r="C2557" s="554" t="s">
        <v>3485</v>
      </c>
      <c r="D2557" s="554" t="s">
        <v>3486</v>
      </c>
      <c r="E2557" s="554" t="s">
        <v>9585</v>
      </c>
      <c r="F2557" s="571">
        <v>4</v>
      </c>
      <c r="G2557" s="572">
        <v>16.832000000000001</v>
      </c>
      <c r="H2557" s="545">
        <v>67.328000000000003</v>
      </c>
      <c r="I2557" s="554" t="s">
        <v>9218</v>
      </c>
      <c r="J2557" s="554" t="s">
        <v>9219</v>
      </c>
      <c r="K2557" s="554" t="s">
        <v>9219</v>
      </c>
      <c r="L2557" s="537" t="s">
        <v>2354</v>
      </c>
    </row>
    <row r="2558" spans="1:12" x14ac:dyDescent="0.2">
      <c r="A2558" s="547" t="s">
        <v>220</v>
      </c>
      <c r="B2558" s="547" t="s">
        <v>2351</v>
      </c>
      <c r="C2558" s="554" t="s">
        <v>3487</v>
      </c>
      <c r="D2558" s="554" t="s">
        <v>3488</v>
      </c>
      <c r="E2558" s="554" t="s">
        <v>9585</v>
      </c>
      <c r="F2558" s="571">
        <v>1</v>
      </c>
      <c r="G2558" s="572">
        <v>15.4819</v>
      </c>
      <c r="H2558" s="545">
        <v>15.4819</v>
      </c>
      <c r="I2558" s="554" t="s">
        <v>9218</v>
      </c>
      <c r="J2558" s="554" t="s">
        <v>9219</v>
      </c>
      <c r="K2558" s="554" t="s">
        <v>9219</v>
      </c>
      <c r="L2558" s="537" t="s">
        <v>2354</v>
      </c>
    </row>
    <row r="2559" spans="1:12" x14ac:dyDescent="0.2">
      <c r="A2559" s="547" t="s">
        <v>220</v>
      </c>
      <c r="B2559" s="547" t="s">
        <v>2351</v>
      </c>
      <c r="C2559" s="554" t="s">
        <v>3489</v>
      </c>
      <c r="D2559" s="554" t="s">
        <v>3490</v>
      </c>
      <c r="E2559" s="554" t="s">
        <v>9585</v>
      </c>
      <c r="F2559" s="571">
        <v>2</v>
      </c>
      <c r="G2559" s="572">
        <v>0.81430000000000002</v>
      </c>
      <c r="H2559" s="545">
        <v>1.6286</v>
      </c>
      <c r="I2559" s="554" t="s">
        <v>9218</v>
      </c>
      <c r="J2559" s="554" t="s">
        <v>9219</v>
      </c>
      <c r="K2559" s="554" t="s">
        <v>9219</v>
      </c>
      <c r="L2559" s="537" t="s">
        <v>2354</v>
      </c>
    </row>
    <row r="2560" spans="1:12" x14ac:dyDescent="0.2">
      <c r="A2560" s="547" t="s">
        <v>220</v>
      </c>
      <c r="B2560" s="547" t="s">
        <v>2351</v>
      </c>
      <c r="C2560" s="554" t="s">
        <v>3491</v>
      </c>
      <c r="D2560" s="554" t="s">
        <v>3492</v>
      </c>
      <c r="E2560" s="554" t="s">
        <v>9585</v>
      </c>
      <c r="F2560" s="571">
        <v>2</v>
      </c>
      <c r="G2560" s="572">
        <v>11.490237762237765</v>
      </c>
      <c r="H2560" s="545">
        <v>22.98047552447553</v>
      </c>
      <c r="I2560" s="554" t="s">
        <v>9218</v>
      </c>
      <c r="J2560" s="554" t="s">
        <v>9219</v>
      </c>
      <c r="K2560" s="554" t="s">
        <v>9219</v>
      </c>
      <c r="L2560" s="537" t="s">
        <v>2354</v>
      </c>
    </row>
    <row r="2561" spans="1:12" x14ac:dyDescent="0.2">
      <c r="A2561" s="547" t="s">
        <v>220</v>
      </c>
      <c r="B2561" s="547" t="s">
        <v>2351</v>
      </c>
      <c r="C2561" s="554" t="s">
        <v>3491</v>
      </c>
      <c r="D2561" s="554" t="s">
        <v>5354</v>
      </c>
      <c r="E2561" s="554" t="s">
        <v>9585</v>
      </c>
      <c r="F2561" s="571">
        <v>3</v>
      </c>
      <c r="G2561" s="572">
        <v>11.490237762237765</v>
      </c>
      <c r="H2561" s="545">
        <v>34.470713286713291</v>
      </c>
      <c r="I2561" s="554" t="s">
        <v>9218</v>
      </c>
      <c r="J2561" s="554" t="s">
        <v>9219</v>
      </c>
      <c r="K2561" s="554" t="s">
        <v>9219</v>
      </c>
      <c r="L2561" s="537" t="s">
        <v>2354</v>
      </c>
    </row>
    <row r="2562" spans="1:12" x14ac:dyDescent="0.2">
      <c r="A2562" s="547" t="s">
        <v>220</v>
      </c>
      <c r="B2562" s="547" t="s">
        <v>2351</v>
      </c>
      <c r="C2562" s="554" t="s">
        <v>6482</v>
      </c>
      <c r="D2562" s="554" t="s">
        <v>6483</v>
      </c>
      <c r="E2562" s="554" t="s">
        <v>9585</v>
      </c>
      <c r="F2562" s="571">
        <v>4</v>
      </c>
      <c r="G2562" s="572">
        <v>26.393000000000001</v>
      </c>
      <c r="H2562" s="545">
        <v>105.572</v>
      </c>
      <c r="I2562" s="554" t="s">
        <v>9218</v>
      </c>
      <c r="J2562" s="554" t="s">
        <v>9219</v>
      </c>
      <c r="K2562" s="554" t="s">
        <v>9219</v>
      </c>
      <c r="L2562" s="537" t="s">
        <v>2354</v>
      </c>
    </row>
    <row r="2563" spans="1:12" x14ac:dyDescent="0.2">
      <c r="A2563" s="547" t="s">
        <v>220</v>
      </c>
      <c r="B2563" s="547" t="s">
        <v>2351</v>
      </c>
      <c r="C2563" s="554" t="s">
        <v>3495</v>
      </c>
      <c r="D2563" s="554" t="s">
        <v>3496</v>
      </c>
      <c r="E2563" s="554" t="s">
        <v>9585</v>
      </c>
      <c r="F2563" s="571">
        <v>15</v>
      </c>
      <c r="G2563" s="572">
        <v>2.3460000000000001</v>
      </c>
      <c r="H2563" s="545">
        <v>35.19</v>
      </c>
      <c r="I2563" s="554" t="s">
        <v>9218</v>
      </c>
      <c r="J2563" s="554" t="s">
        <v>9219</v>
      </c>
      <c r="K2563" s="554" t="s">
        <v>9219</v>
      </c>
      <c r="L2563" s="537" t="s">
        <v>2354</v>
      </c>
    </row>
    <row r="2564" spans="1:12" x14ac:dyDescent="0.2">
      <c r="A2564" s="547" t="s">
        <v>220</v>
      </c>
      <c r="B2564" s="547" t="s">
        <v>2351</v>
      </c>
      <c r="C2564" s="554" t="s">
        <v>3497</v>
      </c>
      <c r="D2564" s="554" t="s">
        <v>3498</v>
      </c>
      <c r="E2564" s="554" t="s">
        <v>9585</v>
      </c>
      <c r="F2564" s="571">
        <v>2</v>
      </c>
      <c r="G2564" s="572">
        <v>8.5</v>
      </c>
      <c r="H2564" s="545">
        <v>17</v>
      </c>
      <c r="I2564" s="554" t="s">
        <v>9218</v>
      </c>
      <c r="J2564" s="554" t="s">
        <v>9219</v>
      </c>
      <c r="K2564" s="554" t="s">
        <v>9219</v>
      </c>
      <c r="L2564" s="537" t="s">
        <v>2354</v>
      </c>
    </row>
    <row r="2565" spans="1:12" x14ac:dyDescent="0.2">
      <c r="A2565" s="547" t="s">
        <v>220</v>
      </c>
      <c r="B2565" s="547" t="s">
        <v>2351</v>
      </c>
      <c r="C2565" s="554" t="s">
        <v>3499</v>
      </c>
      <c r="D2565" s="554" t="s">
        <v>3500</v>
      </c>
      <c r="E2565" s="554" t="s">
        <v>9585</v>
      </c>
      <c r="F2565" s="571">
        <v>5</v>
      </c>
      <c r="G2565" s="572">
        <v>3.7376999999999998</v>
      </c>
      <c r="H2565" s="545">
        <v>18.688499999999998</v>
      </c>
      <c r="I2565" s="554" t="s">
        <v>9218</v>
      </c>
      <c r="J2565" s="554" t="s">
        <v>9219</v>
      </c>
      <c r="K2565" s="554" t="s">
        <v>9219</v>
      </c>
      <c r="L2565" s="537" t="s">
        <v>2354</v>
      </c>
    </row>
    <row r="2566" spans="1:12" x14ac:dyDescent="0.2">
      <c r="A2566" s="547" t="s">
        <v>220</v>
      </c>
      <c r="B2566" s="547" t="s">
        <v>2351</v>
      </c>
      <c r="C2566" s="554" t="s">
        <v>3501</v>
      </c>
      <c r="D2566" s="554" t="s">
        <v>3502</v>
      </c>
      <c r="E2566" s="554" t="s">
        <v>9585</v>
      </c>
      <c r="F2566" s="571">
        <v>8</v>
      </c>
      <c r="G2566" s="572">
        <v>2.9015151515151514</v>
      </c>
      <c r="H2566" s="545">
        <v>23.212121212121211</v>
      </c>
      <c r="I2566" s="554" t="s">
        <v>9218</v>
      </c>
      <c r="J2566" s="554" t="s">
        <v>9219</v>
      </c>
      <c r="K2566" s="554" t="s">
        <v>9219</v>
      </c>
      <c r="L2566" s="537" t="s">
        <v>2354</v>
      </c>
    </row>
    <row r="2567" spans="1:12" x14ac:dyDescent="0.2">
      <c r="A2567" s="547" t="s">
        <v>220</v>
      </c>
      <c r="B2567" s="547" t="s">
        <v>2351</v>
      </c>
      <c r="C2567" s="554" t="s">
        <v>3503</v>
      </c>
      <c r="D2567" s="554" t="s">
        <v>3504</v>
      </c>
      <c r="E2567" s="554" t="s">
        <v>9585</v>
      </c>
      <c r="F2567" s="571">
        <v>9</v>
      </c>
      <c r="G2567" s="572">
        <v>2.448</v>
      </c>
      <c r="H2567" s="545">
        <v>22.032</v>
      </c>
      <c r="I2567" s="554" t="s">
        <v>9218</v>
      </c>
      <c r="J2567" s="554" t="s">
        <v>9219</v>
      </c>
      <c r="K2567" s="554" t="s">
        <v>9219</v>
      </c>
      <c r="L2567" s="537" t="s">
        <v>2354</v>
      </c>
    </row>
    <row r="2568" spans="1:12" x14ac:dyDescent="0.2">
      <c r="A2568" s="547" t="s">
        <v>220</v>
      </c>
      <c r="B2568" s="547" t="s">
        <v>2351</v>
      </c>
      <c r="C2568" s="554" t="s">
        <v>3505</v>
      </c>
      <c r="D2568" s="554" t="s">
        <v>3506</v>
      </c>
      <c r="E2568" s="554" t="s">
        <v>9585</v>
      </c>
      <c r="F2568" s="571">
        <v>1</v>
      </c>
      <c r="G2568" s="572">
        <v>11.22</v>
      </c>
      <c r="H2568" s="545">
        <v>11.22</v>
      </c>
      <c r="I2568" s="554" t="s">
        <v>9218</v>
      </c>
      <c r="J2568" s="554" t="s">
        <v>9219</v>
      </c>
      <c r="K2568" s="554" t="s">
        <v>9219</v>
      </c>
      <c r="L2568" s="537" t="s">
        <v>2354</v>
      </c>
    </row>
    <row r="2569" spans="1:12" x14ac:dyDescent="0.2">
      <c r="A2569" s="547" t="s">
        <v>220</v>
      </c>
      <c r="B2569" s="547" t="s">
        <v>2351</v>
      </c>
      <c r="C2569" s="554" t="s">
        <v>3507</v>
      </c>
      <c r="D2569" s="554" t="s">
        <v>3508</v>
      </c>
      <c r="E2569" s="554" t="s">
        <v>9585</v>
      </c>
      <c r="F2569" s="571">
        <v>2</v>
      </c>
      <c r="G2569" s="572">
        <v>8.8308</v>
      </c>
      <c r="H2569" s="545">
        <v>17.6616</v>
      </c>
      <c r="I2569" s="554" t="s">
        <v>9218</v>
      </c>
      <c r="J2569" s="554" t="s">
        <v>9219</v>
      </c>
      <c r="K2569" s="554" t="s">
        <v>9219</v>
      </c>
      <c r="L2569" s="537" t="s">
        <v>2354</v>
      </c>
    </row>
    <row r="2570" spans="1:12" x14ac:dyDescent="0.2">
      <c r="A2570" s="547" t="s">
        <v>220</v>
      </c>
      <c r="B2570" s="547" t="s">
        <v>2351</v>
      </c>
      <c r="C2570" s="554" t="s">
        <v>3509</v>
      </c>
      <c r="D2570" s="554" t="s">
        <v>3510</v>
      </c>
      <c r="E2570" s="554" t="s">
        <v>9585</v>
      </c>
      <c r="F2570" s="571">
        <v>1</v>
      </c>
      <c r="G2570" s="572">
        <v>37.822742857142863</v>
      </c>
      <c r="H2570" s="545">
        <v>37.822742857142863</v>
      </c>
      <c r="I2570" s="554" t="s">
        <v>9218</v>
      </c>
      <c r="J2570" s="554" t="s">
        <v>9219</v>
      </c>
      <c r="K2570" s="554" t="s">
        <v>9219</v>
      </c>
      <c r="L2570" s="537" t="s">
        <v>2354</v>
      </c>
    </row>
    <row r="2571" spans="1:12" x14ac:dyDescent="0.2">
      <c r="A2571" s="547" t="s">
        <v>220</v>
      </c>
      <c r="B2571" s="547" t="s">
        <v>2351</v>
      </c>
      <c r="C2571" s="554" t="s">
        <v>3511</v>
      </c>
      <c r="D2571" s="554" t="s">
        <v>3512</v>
      </c>
      <c r="E2571" s="554" t="s">
        <v>9585</v>
      </c>
      <c r="F2571" s="571">
        <v>1</v>
      </c>
      <c r="G2571" s="572">
        <v>40.950000000000003</v>
      </c>
      <c r="H2571" s="545">
        <v>40.950000000000003</v>
      </c>
      <c r="I2571" s="554" t="s">
        <v>9218</v>
      </c>
      <c r="J2571" s="554" t="s">
        <v>9219</v>
      </c>
      <c r="K2571" s="554" t="s">
        <v>9219</v>
      </c>
      <c r="L2571" s="537" t="s">
        <v>2354</v>
      </c>
    </row>
    <row r="2572" spans="1:12" x14ac:dyDescent="0.2">
      <c r="A2572" s="547" t="s">
        <v>220</v>
      </c>
      <c r="B2572" s="547" t="s">
        <v>2351</v>
      </c>
      <c r="C2572" s="554" t="s">
        <v>3513</v>
      </c>
      <c r="D2572" s="554" t="s">
        <v>3514</v>
      </c>
      <c r="E2572" s="554" t="s">
        <v>9585</v>
      </c>
      <c r="F2572" s="571">
        <v>2</v>
      </c>
      <c r="G2572" s="572">
        <v>2.7709999999999999</v>
      </c>
      <c r="H2572" s="545">
        <v>5.5419999999999998</v>
      </c>
      <c r="I2572" s="554" t="s">
        <v>9218</v>
      </c>
      <c r="J2572" s="554" t="s">
        <v>9219</v>
      </c>
      <c r="K2572" s="554" t="s">
        <v>9219</v>
      </c>
      <c r="L2572" s="537" t="s">
        <v>2354</v>
      </c>
    </row>
    <row r="2573" spans="1:12" x14ac:dyDescent="0.2">
      <c r="A2573" s="547" t="s">
        <v>220</v>
      </c>
      <c r="B2573" s="547" t="s">
        <v>2351</v>
      </c>
      <c r="C2573" s="554" t="s">
        <v>3515</v>
      </c>
      <c r="D2573" s="554" t="s">
        <v>3516</v>
      </c>
      <c r="E2573" s="554" t="s">
        <v>9585</v>
      </c>
      <c r="F2573" s="571">
        <v>1</v>
      </c>
      <c r="G2573" s="572">
        <v>16.531649999999999</v>
      </c>
      <c r="H2573" s="545">
        <v>16.531649999999999</v>
      </c>
      <c r="I2573" s="554" t="s">
        <v>9218</v>
      </c>
      <c r="J2573" s="554" t="s">
        <v>9219</v>
      </c>
      <c r="K2573" s="554" t="s">
        <v>9219</v>
      </c>
      <c r="L2573" s="537" t="s">
        <v>2354</v>
      </c>
    </row>
    <row r="2574" spans="1:12" x14ac:dyDescent="0.2">
      <c r="A2574" s="547" t="s">
        <v>220</v>
      </c>
      <c r="B2574" s="547" t="s">
        <v>2351</v>
      </c>
      <c r="C2574" s="554" t="s">
        <v>3517</v>
      </c>
      <c r="D2574" s="554" t="s">
        <v>3518</v>
      </c>
      <c r="E2574" s="554" t="s">
        <v>9585</v>
      </c>
      <c r="F2574" s="571">
        <v>12</v>
      </c>
      <c r="G2574" s="572">
        <v>2.0655000000000001</v>
      </c>
      <c r="H2574" s="545">
        <v>24.786000000000001</v>
      </c>
      <c r="I2574" s="554" t="s">
        <v>9218</v>
      </c>
      <c r="J2574" s="554" t="s">
        <v>9219</v>
      </c>
      <c r="K2574" s="554" t="s">
        <v>9219</v>
      </c>
      <c r="L2574" s="537" t="s">
        <v>2354</v>
      </c>
    </row>
    <row r="2575" spans="1:12" x14ac:dyDescent="0.2">
      <c r="A2575" s="547" t="s">
        <v>220</v>
      </c>
      <c r="B2575" s="547" t="s">
        <v>2351</v>
      </c>
      <c r="C2575" s="554" t="s">
        <v>3519</v>
      </c>
      <c r="D2575" s="554" t="s">
        <v>3520</v>
      </c>
      <c r="E2575" s="554" t="s">
        <v>9585</v>
      </c>
      <c r="F2575" s="571">
        <v>2</v>
      </c>
      <c r="G2575" s="572">
        <v>2.1383999999999999</v>
      </c>
      <c r="H2575" s="545">
        <v>4.2767999999999997</v>
      </c>
      <c r="I2575" s="554" t="s">
        <v>9218</v>
      </c>
      <c r="J2575" s="554" t="s">
        <v>9219</v>
      </c>
      <c r="K2575" s="554" t="s">
        <v>9219</v>
      </c>
      <c r="L2575" s="537" t="s">
        <v>2354</v>
      </c>
    </row>
    <row r="2576" spans="1:12" x14ac:dyDescent="0.2">
      <c r="A2576" s="547" t="s">
        <v>220</v>
      </c>
      <c r="B2576" s="547" t="s">
        <v>2351</v>
      </c>
      <c r="C2576" s="554" t="s">
        <v>3521</v>
      </c>
      <c r="D2576" s="554" t="s">
        <v>3522</v>
      </c>
      <c r="E2576" s="554" t="s">
        <v>9585</v>
      </c>
      <c r="F2576" s="571">
        <v>7</v>
      </c>
      <c r="G2576" s="572">
        <v>4.0460000000000003</v>
      </c>
      <c r="H2576" s="545">
        <v>28.322000000000003</v>
      </c>
      <c r="I2576" s="554" t="s">
        <v>9218</v>
      </c>
      <c r="J2576" s="554" t="s">
        <v>9219</v>
      </c>
      <c r="K2576" s="554" t="s">
        <v>9219</v>
      </c>
      <c r="L2576" s="537" t="s">
        <v>2354</v>
      </c>
    </row>
    <row r="2577" spans="1:12" x14ac:dyDescent="0.2">
      <c r="A2577" s="547" t="s">
        <v>220</v>
      </c>
      <c r="B2577" s="547" t="s">
        <v>2351</v>
      </c>
      <c r="C2577" s="554" t="s">
        <v>3523</v>
      </c>
      <c r="D2577" s="554" t="s">
        <v>3524</v>
      </c>
      <c r="E2577" s="554" t="s">
        <v>9585</v>
      </c>
      <c r="F2577" s="571">
        <v>12</v>
      </c>
      <c r="G2577" s="572">
        <v>1.153</v>
      </c>
      <c r="H2577" s="545">
        <v>13.836</v>
      </c>
      <c r="I2577" s="554" t="s">
        <v>9218</v>
      </c>
      <c r="J2577" s="554" t="s">
        <v>9219</v>
      </c>
      <c r="K2577" s="554" t="s">
        <v>9219</v>
      </c>
      <c r="L2577" s="537" t="s">
        <v>2354</v>
      </c>
    </row>
    <row r="2578" spans="1:12" x14ac:dyDescent="0.2">
      <c r="A2578" s="547" t="s">
        <v>220</v>
      </c>
      <c r="B2578" s="547" t="s">
        <v>2351</v>
      </c>
      <c r="C2578" s="554" t="s">
        <v>3525</v>
      </c>
      <c r="D2578" s="554" t="s">
        <v>3526</v>
      </c>
      <c r="E2578" s="554" t="s">
        <v>9585</v>
      </c>
      <c r="F2578" s="571">
        <v>7</v>
      </c>
      <c r="G2578" s="572">
        <v>0.8075</v>
      </c>
      <c r="H2578" s="545">
        <v>5.6524999999999999</v>
      </c>
      <c r="I2578" s="554" t="s">
        <v>9218</v>
      </c>
      <c r="J2578" s="554" t="s">
        <v>9219</v>
      </c>
      <c r="K2578" s="554" t="s">
        <v>9219</v>
      </c>
      <c r="L2578" s="537" t="s">
        <v>2354</v>
      </c>
    </row>
    <row r="2579" spans="1:12" x14ac:dyDescent="0.2">
      <c r="A2579" s="547" t="s">
        <v>220</v>
      </c>
      <c r="B2579" s="547" t="s">
        <v>2351</v>
      </c>
      <c r="C2579" s="554" t="s">
        <v>3527</v>
      </c>
      <c r="D2579" s="554" t="s">
        <v>3528</v>
      </c>
      <c r="E2579" s="554" t="s">
        <v>9585</v>
      </c>
      <c r="F2579" s="571">
        <v>1</v>
      </c>
      <c r="G2579" s="572">
        <v>1.0250999999999999</v>
      </c>
      <c r="H2579" s="545">
        <v>1.0250999999999999</v>
      </c>
      <c r="I2579" s="554" t="s">
        <v>9218</v>
      </c>
      <c r="J2579" s="554" t="s">
        <v>9219</v>
      </c>
      <c r="K2579" s="554" t="s">
        <v>9219</v>
      </c>
      <c r="L2579" s="537" t="s">
        <v>2354</v>
      </c>
    </row>
    <row r="2580" spans="1:12" x14ac:dyDescent="0.2">
      <c r="A2580" s="547" t="s">
        <v>220</v>
      </c>
      <c r="B2580" s="547" t="s">
        <v>2351</v>
      </c>
      <c r="C2580" s="554" t="s">
        <v>2367</v>
      </c>
      <c r="D2580" s="554" t="s">
        <v>2368</v>
      </c>
      <c r="E2580" s="554" t="s">
        <v>9585</v>
      </c>
      <c r="F2580" s="571">
        <v>6</v>
      </c>
      <c r="G2580" s="572">
        <v>1.78</v>
      </c>
      <c r="H2580" s="545">
        <v>10.68</v>
      </c>
      <c r="I2580" s="554" t="s">
        <v>9218</v>
      </c>
      <c r="J2580" s="554" t="s">
        <v>9219</v>
      </c>
      <c r="K2580" s="554" t="s">
        <v>9219</v>
      </c>
      <c r="L2580" s="537" t="s">
        <v>2354</v>
      </c>
    </row>
    <row r="2581" spans="1:12" x14ac:dyDescent="0.2">
      <c r="A2581" s="547" t="s">
        <v>220</v>
      </c>
      <c r="B2581" s="547" t="s">
        <v>2351</v>
      </c>
      <c r="C2581" s="554" t="s">
        <v>3529</v>
      </c>
      <c r="D2581" s="554" t="s">
        <v>3530</v>
      </c>
      <c r="E2581" s="554" t="s">
        <v>9585</v>
      </c>
      <c r="F2581" s="571">
        <v>6</v>
      </c>
      <c r="G2581" s="572">
        <v>3.103017857142857</v>
      </c>
      <c r="H2581" s="545">
        <v>18.618107142857141</v>
      </c>
      <c r="I2581" s="554" t="s">
        <v>9218</v>
      </c>
      <c r="J2581" s="554" t="s">
        <v>9219</v>
      </c>
      <c r="K2581" s="554" t="s">
        <v>9219</v>
      </c>
      <c r="L2581" s="537" t="s">
        <v>2354</v>
      </c>
    </row>
    <row r="2582" spans="1:12" x14ac:dyDescent="0.2">
      <c r="A2582" s="547" t="s">
        <v>220</v>
      </c>
      <c r="B2582" s="547" t="s">
        <v>2351</v>
      </c>
      <c r="C2582" s="554" t="s">
        <v>3531</v>
      </c>
      <c r="D2582" s="554" t="s">
        <v>3532</v>
      </c>
      <c r="E2582" s="554" t="s">
        <v>9585</v>
      </c>
      <c r="F2582" s="571">
        <v>37</v>
      </c>
      <c r="G2582" s="572">
        <v>0.63154999999999994</v>
      </c>
      <c r="H2582" s="545">
        <v>23.367349999999998</v>
      </c>
      <c r="I2582" s="554" t="s">
        <v>9218</v>
      </c>
      <c r="J2582" s="554" t="s">
        <v>9219</v>
      </c>
      <c r="K2582" s="554" t="s">
        <v>9219</v>
      </c>
      <c r="L2582" s="537" t="s">
        <v>2354</v>
      </c>
    </row>
    <row r="2583" spans="1:12" x14ac:dyDescent="0.2">
      <c r="A2583" s="547" t="s">
        <v>220</v>
      </c>
      <c r="B2583" s="547" t="s">
        <v>2351</v>
      </c>
      <c r="C2583" s="554" t="s">
        <v>3533</v>
      </c>
      <c r="D2583" s="554" t="s">
        <v>3534</v>
      </c>
      <c r="E2583" s="554" t="s">
        <v>9585</v>
      </c>
      <c r="F2583" s="571">
        <v>1</v>
      </c>
      <c r="G2583" s="572">
        <v>2.3913333333333338</v>
      </c>
      <c r="H2583" s="545">
        <v>2.3913333333333338</v>
      </c>
      <c r="I2583" s="554" t="s">
        <v>9218</v>
      </c>
      <c r="J2583" s="554" t="s">
        <v>9219</v>
      </c>
      <c r="K2583" s="554" t="s">
        <v>9219</v>
      </c>
      <c r="L2583" s="537" t="s">
        <v>2354</v>
      </c>
    </row>
    <row r="2584" spans="1:12" x14ac:dyDescent="0.2">
      <c r="A2584" s="547" t="s">
        <v>220</v>
      </c>
      <c r="B2584" s="547" t="s">
        <v>2351</v>
      </c>
      <c r="C2584" s="554" t="s">
        <v>3535</v>
      </c>
      <c r="D2584" s="554" t="s">
        <v>3536</v>
      </c>
      <c r="E2584" s="554" t="s">
        <v>9585</v>
      </c>
      <c r="F2584" s="571">
        <v>34</v>
      </c>
      <c r="G2584" s="572">
        <v>6.7829999999999995</v>
      </c>
      <c r="H2584" s="545">
        <v>230.62199999999999</v>
      </c>
      <c r="I2584" s="554" t="s">
        <v>9218</v>
      </c>
      <c r="J2584" s="554" t="s">
        <v>9219</v>
      </c>
      <c r="K2584" s="554" t="s">
        <v>9219</v>
      </c>
      <c r="L2584" s="537" t="s">
        <v>2354</v>
      </c>
    </row>
    <row r="2585" spans="1:12" x14ac:dyDescent="0.2">
      <c r="A2585" s="547" t="s">
        <v>220</v>
      </c>
      <c r="B2585" s="547" t="s">
        <v>2351</v>
      </c>
      <c r="C2585" s="554" t="s">
        <v>5323</v>
      </c>
      <c r="D2585" s="554" t="s">
        <v>5324</v>
      </c>
      <c r="E2585" s="554" t="s">
        <v>9585</v>
      </c>
      <c r="F2585" s="573">
        <v>2</v>
      </c>
      <c r="G2585" s="545">
        <v>0</v>
      </c>
      <c r="H2585" s="545">
        <v>0</v>
      </c>
      <c r="I2585" s="554" t="s">
        <v>9218</v>
      </c>
      <c r="J2585" s="554" t="s">
        <v>9219</v>
      </c>
      <c r="K2585" s="554" t="s">
        <v>9219</v>
      </c>
      <c r="L2585" s="537" t="s">
        <v>2354</v>
      </c>
    </row>
    <row r="2586" spans="1:12" x14ac:dyDescent="0.2">
      <c r="A2586" s="547" t="s">
        <v>220</v>
      </c>
      <c r="B2586" s="547" t="s">
        <v>2351</v>
      </c>
      <c r="C2586" s="554" t="s">
        <v>3537</v>
      </c>
      <c r="D2586" s="554" t="s">
        <v>3538</v>
      </c>
      <c r="E2586" s="554" t="s">
        <v>9585</v>
      </c>
      <c r="F2586" s="571">
        <v>2</v>
      </c>
      <c r="G2586" s="572">
        <v>9.9719999999999995</v>
      </c>
      <c r="H2586" s="545">
        <v>19.943999999999999</v>
      </c>
      <c r="I2586" s="554" t="s">
        <v>9218</v>
      </c>
      <c r="J2586" s="554" t="s">
        <v>9219</v>
      </c>
      <c r="K2586" s="554" t="s">
        <v>9219</v>
      </c>
      <c r="L2586" s="537" t="s">
        <v>2354</v>
      </c>
    </row>
    <row r="2587" spans="1:12" x14ac:dyDescent="0.2">
      <c r="A2587" s="547" t="s">
        <v>220</v>
      </c>
      <c r="B2587" s="547" t="s">
        <v>2351</v>
      </c>
      <c r="C2587" s="554" t="s">
        <v>3539</v>
      </c>
      <c r="D2587" s="554" t="s">
        <v>3540</v>
      </c>
      <c r="E2587" s="554" t="s">
        <v>9585</v>
      </c>
      <c r="F2587" s="571">
        <v>5</v>
      </c>
      <c r="G2587" s="572">
        <v>11.917</v>
      </c>
      <c r="H2587" s="545">
        <v>59.585000000000001</v>
      </c>
      <c r="I2587" s="554" t="s">
        <v>9218</v>
      </c>
      <c r="J2587" s="554" t="s">
        <v>9219</v>
      </c>
      <c r="K2587" s="554" t="s">
        <v>9219</v>
      </c>
      <c r="L2587" s="537" t="s">
        <v>2354</v>
      </c>
    </row>
    <row r="2588" spans="1:12" x14ac:dyDescent="0.2">
      <c r="A2588" s="547" t="s">
        <v>220</v>
      </c>
      <c r="B2588" s="547" t="s">
        <v>2351</v>
      </c>
      <c r="C2588" s="554" t="s">
        <v>3541</v>
      </c>
      <c r="D2588" s="554" t="s">
        <v>3542</v>
      </c>
      <c r="E2588" s="554" t="s">
        <v>9585</v>
      </c>
      <c r="F2588" s="571">
        <v>4</v>
      </c>
      <c r="G2588" s="572">
        <v>3.2937500000000002</v>
      </c>
      <c r="H2588" s="545">
        <v>13.175000000000001</v>
      </c>
      <c r="I2588" s="554" t="s">
        <v>9218</v>
      </c>
      <c r="J2588" s="554" t="s">
        <v>9219</v>
      </c>
      <c r="K2588" s="554" t="s">
        <v>9219</v>
      </c>
      <c r="L2588" s="537" t="s">
        <v>2354</v>
      </c>
    </row>
    <row r="2589" spans="1:12" x14ac:dyDescent="0.2">
      <c r="A2589" s="547" t="s">
        <v>220</v>
      </c>
      <c r="B2589" s="547" t="s">
        <v>2351</v>
      </c>
      <c r="C2589" s="554" t="s">
        <v>3601</v>
      </c>
      <c r="D2589" s="554" t="s">
        <v>3602</v>
      </c>
      <c r="E2589" s="554" t="s">
        <v>9585</v>
      </c>
      <c r="F2589" s="571">
        <v>2</v>
      </c>
      <c r="G2589" s="572">
        <v>8.75</v>
      </c>
      <c r="H2589" s="545">
        <v>17.5</v>
      </c>
      <c r="I2589" s="554" t="s">
        <v>9218</v>
      </c>
      <c r="J2589" s="554" t="s">
        <v>9219</v>
      </c>
      <c r="K2589" s="554" t="s">
        <v>9219</v>
      </c>
      <c r="L2589" s="537" t="s">
        <v>2354</v>
      </c>
    </row>
    <row r="2590" spans="1:12" x14ac:dyDescent="0.2">
      <c r="A2590" s="547" t="s">
        <v>220</v>
      </c>
      <c r="B2590" s="547" t="s">
        <v>2351</v>
      </c>
      <c r="C2590" s="554" t="s">
        <v>3607</v>
      </c>
      <c r="D2590" s="554" t="s">
        <v>3608</v>
      </c>
      <c r="E2590" s="554" t="s">
        <v>9585</v>
      </c>
      <c r="F2590" s="571">
        <v>6</v>
      </c>
      <c r="G2590" s="572">
        <v>14.757300000000001</v>
      </c>
      <c r="H2590" s="545">
        <v>88.543800000000005</v>
      </c>
      <c r="I2590" s="554" t="s">
        <v>9218</v>
      </c>
      <c r="J2590" s="554" t="s">
        <v>9219</v>
      </c>
      <c r="K2590" s="554" t="s">
        <v>9219</v>
      </c>
      <c r="L2590" s="537" t="s">
        <v>2354</v>
      </c>
    </row>
    <row r="2591" spans="1:12" x14ac:dyDescent="0.2">
      <c r="A2591" s="547" t="s">
        <v>220</v>
      </c>
      <c r="B2591" s="547" t="s">
        <v>2351</v>
      </c>
      <c r="C2591" s="554" t="s">
        <v>5327</v>
      </c>
      <c r="D2591" s="554" t="s">
        <v>5328</v>
      </c>
      <c r="E2591" s="554" t="s">
        <v>9585</v>
      </c>
      <c r="F2591" s="573">
        <v>3</v>
      </c>
      <c r="G2591" s="545">
        <v>0</v>
      </c>
      <c r="H2591" s="545">
        <v>0</v>
      </c>
      <c r="I2591" s="554" t="s">
        <v>9218</v>
      </c>
      <c r="J2591" s="554" t="s">
        <v>9219</v>
      </c>
      <c r="K2591" s="554" t="s">
        <v>9219</v>
      </c>
      <c r="L2591" s="537" t="s">
        <v>2354</v>
      </c>
    </row>
    <row r="2592" spans="1:12" x14ac:dyDescent="0.2">
      <c r="A2592" s="547" t="s">
        <v>220</v>
      </c>
      <c r="B2592" s="547" t="s">
        <v>2351</v>
      </c>
      <c r="C2592" s="554" t="s">
        <v>5325</v>
      </c>
      <c r="D2592" s="554" t="s">
        <v>5326</v>
      </c>
      <c r="E2592" s="554" t="s">
        <v>9585</v>
      </c>
      <c r="F2592" s="573">
        <v>4</v>
      </c>
      <c r="G2592" s="545">
        <v>11.900700000000001</v>
      </c>
      <c r="H2592" s="545">
        <v>47.602800000000002</v>
      </c>
      <c r="I2592" s="554" t="s">
        <v>9218</v>
      </c>
      <c r="J2592" s="554" t="s">
        <v>9219</v>
      </c>
      <c r="K2592" s="554" t="s">
        <v>9219</v>
      </c>
      <c r="L2592" s="537" t="s">
        <v>2354</v>
      </c>
    </row>
    <row r="2593" spans="1:12" x14ac:dyDescent="0.2">
      <c r="A2593" s="547" t="s">
        <v>220</v>
      </c>
      <c r="B2593" s="547" t="s">
        <v>2351</v>
      </c>
      <c r="C2593" s="554" t="s">
        <v>5364</v>
      </c>
      <c r="D2593" s="554" t="s">
        <v>5365</v>
      </c>
      <c r="E2593" s="554" t="s">
        <v>9585</v>
      </c>
      <c r="F2593" s="573">
        <v>1</v>
      </c>
      <c r="G2593" s="545">
        <v>0</v>
      </c>
      <c r="H2593" s="545">
        <v>0</v>
      </c>
      <c r="I2593" s="554" t="s">
        <v>9218</v>
      </c>
      <c r="J2593" s="554" t="s">
        <v>9219</v>
      </c>
      <c r="K2593" s="554" t="s">
        <v>9219</v>
      </c>
      <c r="L2593" s="537" t="s">
        <v>2354</v>
      </c>
    </row>
    <row r="2594" spans="1:12" x14ac:dyDescent="0.2">
      <c r="A2594" s="547" t="s">
        <v>220</v>
      </c>
      <c r="B2594" s="547" t="s">
        <v>2351</v>
      </c>
      <c r="C2594" s="554" t="s">
        <v>3657</v>
      </c>
      <c r="D2594" s="554" t="s">
        <v>3658</v>
      </c>
      <c r="E2594" s="554" t="s">
        <v>9585</v>
      </c>
      <c r="F2594" s="571">
        <v>1</v>
      </c>
      <c r="G2594" s="572">
        <v>6.2409999999999997</v>
      </c>
      <c r="H2594" s="545">
        <v>6.2409999999999997</v>
      </c>
      <c r="I2594" s="554" t="s">
        <v>9218</v>
      </c>
      <c r="J2594" s="554" t="s">
        <v>9219</v>
      </c>
      <c r="K2594" s="554" t="s">
        <v>9219</v>
      </c>
      <c r="L2594" s="537" t="s">
        <v>2354</v>
      </c>
    </row>
    <row r="2595" spans="1:12" x14ac:dyDescent="0.2">
      <c r="A2595" s="547" t="s">
        <v>220</v>
      </c>
      <c r="B2595" s="547" t="s">
        <v>2351</v>
      </c>
      <c r="C2595" s="554" t="s">
        <v>3659</v>
      </c>
      <c r="D2595" s="554" t="s">
        <v>3660</v>
      </c>
      <c r="E2595" s="554" t="s">
        <v>9585</v>
      </c>
      <c r="F2595" s="571">
        <v>6</v>
      </c>
      <c r="G2595" s="572">
        <v>3.032</v>
      </c>
      <c r="H2595" s="545">
        <v>18.192</v>
      </c>
      <c r="I2595" s="554" t="s">
        <v>9218</v>
      </c>
      <c r="J2595" s="554" t="s">
        <v>9219</v>
      </c>
      <c r="K2595" s="554" t="s">
        <v>9219</v>
      </c>
      <c r="L2595" s="537" t="s">
        <v>2354</v>
      </c>
    </row>
    <row r="2596" spans="1:12" x14ac:dyDescent="0.2">
      <c r="A2596" s="547" t="s">
        <v>220</v>
      </c>
      <c r="B2596" s="547" t="s">
        <v>2351</v>
      </c>
      <c r="C2596" s="554" t="s">
        <v>3661</v>
      </c>
      <c r="D2596" s="554" t="s">
        <v>3662</v>
      </c>
      <c r="E2596" s="554" t="s">
        <v>9585</v>
      </c>
      <c r="F2596" s="571">
        <v>1</v>
      </c>
      <c r="G2596" s="572">
        <v>2.9</v>
      </c>
      <c r="H2596" s="545">
        <v>2.9</v>
      </c>
      <c r="I2596" s="554" t="s">
        <v>9218</v>
      </c>
      <c r="J2596" s="554" t="s">
        <v>9219</v>
      </c>
      <c r="K2596" s="554" t="s">
        <v>9219</v>
      </c>
      <c r="L2596" s="537" t="s">
        <v>2354</v>
      </c>
    </row>
    <row r="2597" spans="1:12" x14ac:dyDescent="0.2">
      <c r="A2597" s="547" t="s">
        <v>220</v>
      </c>
      <c r="B2597" s="547" t="s">
        <v>2351</v>
      </c>
      <c r="C2597" s="554" t="s">
        <v>3663</v>
      </c>
      <c r="D2597" s="554" t="s">
        <v>3664</v>
      </c>
      <c r="E2597" s="554" t="s">
        <v>9585</v>
      </c>
      <c r="F2597" s="571">
        <v>1</v>
      </c>
      <c r="G2597" s="572">
        <v>2.17</v>
      </c>
      <c r="H2597" s="545">
        <v>2.17</v>
      </c>
      <c r="I2597" s="554" t="s">
        <v>9218</v>
      </c>
      <c r="J2597" s="554" t="s">
        <v>9219</v>
      </c>
      <c r="K2597" s="554" t="s">
        <v>9219</v>
      </c>
      <c r="L2597" s="537" t="s">
        <v>2354</v>
      </c>
    </row>
    <row r="2598" spans="1:12" x14ac:dyDescent="0.2">
      <c r="A2598" s="547" t="s">
        <v>220</v>
      </c>
      <c r="B2598" s="547" t="s">
        <v>2351</v>
      </c>
      <c r="C2598" s="554" t="s">
        <v>5360</v>
      </c>
      <c r="D2598" s="554" t="s">
        <v>5361</v>
      </c>
      <c r="E2598" s="554" t="s">
        <v>9585</v>
      </c>
      <c r="F2598" s="573">
        <v>5</v>
      </c>
      <c r="G2598" s="545">
        <v>0</v>
      </c>
      <c r="H2598" s="545">
        <v>0</v>
      </c>
      <c r="I2598" s="554" t="s">
        <v>9218</v>
      </c>
      <c r="J2598" s="554" t="s">
        <v>9219</v>
      </c>
      <c r="K2598" s="554" t="s">
        <v>9219</v>
      </c>
      <c r="L2598" s="537" t="s">
        <v>2354</v>
      </c>
    </row>
    <row r="2599" spans="1:12" x14ac:dyDescent="0.2">
      <c r="A2599" s="547" t="s">
        <v>220</v>
      </c>
      <c r="B2599" s="547" t="s">
        <v>2351</v>
      </c>
      <c r="C2599" s="554" t="s">
        <v>3665</v>
      </c>
      <c r="D2599" s="554" t="s">
        <v>3666</v>
      </c>
      <c r="E2599" s="554" t="s">
        <v>9585</v>
      </c>
      <c r="F2599" s="571">
        <v>3</v>
      </c>
      <c r="G2599" s="572">
        <v>1.83</v>
      </c>
      <c r="H2599" s="545">
        <v>5.49</v>
      </c>
      <c r="I2599" s="554" t="s">
        <v>9218</v>
      </c>
      <c r="J2599" s="554" t="s">
        <v>9219</v>
      </c>
      <c r="K2599" s="554" t="s">
        <v>9219</v>
      </c>
      <c r="L2599" s="537" t="s">
        <v>2354</v>
      </c>
    </row>
    <row r="2600" spans="1:12" x14ac:dyDescent="0.2">
      <c r="A2600" s="547" t="s">
        <v>220</v>
      </c>
      <c r="B2600" s="547" t="s">
        <v>2351</v>
      </c>
      <c r="C2600" s="554" t="s">
        <v>3667</v>
      </c>
      <c r="D2600" s="554" t="s">
        <v>3668</v>
      </c>
      <c r="E2600" s="554" t="s">
        <v>9585</v>
      </c>
      <c r="F2600" s="571">
        <v>9</v>
      </c>
      <c r="G2600" s="572">
        <v>1.472</v>
      </c>
      <c r="H2600" s="545">
        <v>13.247999999999999</v>
      </c>
      <c r="I2600" s="554" t="s">
        <v>9218</v>
      </c>
      <c r="J2600" s="554" t="s">
        <v>9219</v>
      </c>
      <c r="K2600" s="554" t="s">
        <v>9219</v>
      </c>
      <c r="L2600" s="537" t="s">
        <v>2354</v>
      </c>
    </row>
    <row r="2601" spans="1:12" x14ac:dyDescent="0.2">
      <c r="A2601" s="547" t="s">
        <v>220</v>
      </c>
      <c r="B2601" s="547" t="s">
        <v>2351</v>
      </c>
      <c r="C2601" s="554" t="s">
        <v>3669</v>
      </c>
      <c r="D2601" s="554" t="s">
        <v>3670</v>
      </c>
      <c r="E2601" s="554" t="s">
        <v>9585</v>
      </c>
      <c r="F2601" s="571">
        <v>8</v>
      </c>
      <c r="G2601" s="572">
        <v>1.2078500000000001</v>
      </c>
      <c r="H2601" s="545">
        <v>9.6628000000000007</v>
      </c>
      <c r="I2601" s="554" t="s">
        <v>9218</v>
      </c>
      <c r="J2601" s="554" t="s">
        <v>9219</v>
      </c>
      <c r="K2601" s="554" t="s">
        <v>9219</v>
      </c>
      <c r="L2601" s="537" t="s">
        <v>2354</v>
      </c>
    </row>
    <row r="2602" spans="1:12" x14ac:dyDescent="0.2">
      <c r="A2602" s="547" t="s">
        <v>220</v>
      </c>
      <c r="B2602" s="547" t="s">
        <v>2351</v>
      </c>
      <c r="C2602" s="554" t="s">
        <v>3671</v>
      </c>
      <c r="D2602" s="554" t="s">
        <v>3672</v>
      </c>
      <c r="E2602" s="554" t="s">
        <v>9585</v>
      </c>
      <c r="F2602" s="571">
        <v>2</v>
      </c>
      <c r="G2602" s="572">
        <v>10.659000000000001</v>
      </c>
      <c r="H2602" s="545">
        <v>21.318000000000001</v>
      </c>
      <c r="I2602" s="554" t="s">
        <v>9218</v>
      </c>
      <c r="J2602" s="554" t="s">
        <v>9219</v>
      </c>
      <c r="K2602" s="554" t="s">
        <v>9219</v>
      </c>
      <c r="L2602" s="537" t="s">
        <v>2354</v>
      </c>
    </row>
    <row r="2603" spans="1:12" x14ac:dyDescent="0.2">
      <c r="A2603" s="547" t="s">
        <v>220</v>
      </c>
      <c r="B2603" s="547" t="s">
        <v>2351</v>
      </c>
      <c r="C2603" s="554" t="s">
        <v>3673</v>
      </c>
      <c r="D2603" s="554" t="s">
        <v>3674</v>
      </c>
      <c r="E2603" s="554" t="s">
        <v>9585</v>
      </c>
      <c r="F2603" s="571">
        <v>12</v>
      </c>
      <c r="G2603" s="572">
        <v>11.33095</v>
      </c>
      <c r="H2603" s="545">
        <v>135.97139999999999</v>
      </c>
      <c r="I2603" s="554" t="s">
        <v>9218</v>
      </c>
      <c r="J2603" s="554" t="s">
        <v>9219</v>
      </c>
      <c r="K2603" s="554" t="s">
        <v>9219</v>
      </c>
      <c r="L2603" s="537" t="s">
        <v>2354</v>
      </c>
    </row>
    <row r="2604" spans="1:12" x14ac:dyDescent="0.2">
      <c r="A2604" s="547" t="s">
        <v>220</v>
      </c>
      <c r="B2604" s="547" t="s">
        <v>2351</v>
      </c>
      <c r="C2604" s="554" t="s">
        <v>3675</v>
      </c>
      <c r="D2604" s="554" t="s">
        <v>3676</v>
      </c>
      <c r="E2604" s="554" t="s">
        <v>9585</v>
      </c>
      <c r="F2604" s="571">
        <v>1</v>
      </c>
      <c r="G2604" s="572">
        <v>8.9250000000000007</v>
      </c>
      <c r="H2604" s="545">
        <v>8.9250000000000007</v>
      </c>
      <c r="I2604" s="554" t="s">
        <v>9218</v>
      </c>
      <c r="J2604" s="554" t="s">
        <v>9219</v>
      </c>
      <c r="K2604" s="554" t="s">
        <v>9219</v>
      </c>
      <c r="L2604" s="537" t="s">
        <v>2354</v>
      </c>
    </row>
    <row r="2605" spans="1:12" x14ac:dyDescent="0.2">
      <c r="A2605" s="547" t="s">
        <v>220</v>
      </c>
      <c r="B2605" s="547" t="s">
        <v>2351</v>
      </c>
      <c r="C2605" s="554" t="s">
        <v>3677</v>
      </c>
      <c r="D2605" s="554" t="s">
        <v>3678</v>
      </c>
      <c r="E2605" s="554" t="s">
        <v>9585</v>
      </c>
      <c r="F2605" s="571">
        <v>52</v>
      </c>
      <c r="G2605" s="572">
        <v>2.2440000000000002</v>
      </c>
      <c r="H2605" s="545">
        <v>116.68800000000002</v>
      </c>
      <c r="I2605" s="554" t="s">
        <v>9218</v>
      </c>
      <c r="J2605" s="554" t="s">
        <v>9219</v>
      </c>
      <c r="K2605" s="554" t="s">
        <v>9219</v>
      </c>
      <c r="L2605" s="537" t="s">
        <v>2354</v>
      </c>
    </row>
    <row r="2606" spans="1:12" x14ac:dyDescent="0.2">
      <c r="A2606" s="547" t="s">
        <v>220</v>
      </c>
      <c r="B2606" s="547" t="s">
        <v>2351</v>
      </c>
      <c r="C2606" s="554" t="s">
        <v>3683</v>
      </c>
      <c r="D2606" s="554" t="s">
        <v>3684</v>
      </c>
      <c r="E2606" s="554" t="s">
        <v>9585</v>
      </c>
      <c r="F2606" s="571">
        <v>2</v>
      </c>
      <c r="G2606" s="572">
        <v>2.0278500000000004</v>
      </c>
      <c r="H2606" s="545">
        <v>4.0557000000000007</v>
      </c>
      <c r="I2606" s="554" t="s">
        <v>9218</v>
      </c>
      <c r="J2606" s="554" t="s">
        <v>9219</v>
      </c>
      <c r="K2606" s="554" t="s">
        <v>9219</v>
      </c>
      <c r="L2606" s="537" t="s">
        <v>2354</v>
      </c>
    </row>
    <row r="2607" spans="1:12" x14ac:dyDescent="0.2">
      <c r="A2607" s="547" t="s">
        <v>220</v>
      </c>
      <c r="B2607" s="547" t="s">
        <v>2351</v>
      </c>
      <c r="C2607" s="554" t="s">
        <v>3685</v>
      </c>
      <c r="D2607" s="554" t="s">
        <v>3686</v>
      </c>
      <c r="E2607" s="554" t="s">
        <v>9585</v>
      </c>
      <c r="F2607" s="571">
        <v>5</v>
      </c>
      <c r="G2607" s="572">
        <v>0.42499999999999999</v>
      </c>
      <c r="H2607" s="545">
        <v>2.125</v>
      </c>
      <c r="I2607" s="554" t="s">
        <v>9218</v>
      </c>
      <c r="J2607" s="554" t="s">
        <v>9219</v>
      </c>
      <c r="K2607" s="554" t="s">
        <v>9219</v>
      </c>
      <c r="L2607" s="537" t="s">
        <v>2354</v>
      </c>
    </row>
    <row r="2608" spans="1:12" x14ac:dyDescent="0.2">
      <c r="A2608" s="547" t="s">
        <v>220</v>
      </c>
      <c r="B2608" s="547" t="s">
        <v>2351</v>
      </c>
      <c r="C2608" s="554" t="s">
        <v>3687</v>
      </c>
      <c r="D2608" s="554" t="s">
        <v>3688</v>
      </c>
      <c r="E2608" s="554" t="s">
        <v>9585</v>
      </c>
      <c r="F2608" s="571">
        <v>8</v>
      </c>
      <c r="G2608" s="572">
        <v>1.852153846153846</v>
      </c>
      <c r="H2608" s="545">
        <v>14.817230769230768</v>
      </c>
      <c r="I2608" s="554" t="s">
        <v>9218</v>
      </c>
      <c r="J2608" s="554" t="s">
        <v>9219</v>
      </c>
      <c r="K2608" s="554" t="s">
        <v>9219</v>
      </c>
      <c r="L2608" s="537" t="s">
        <v>2354</v>
      </c>
    </row>
    <row r="2609" spans="1:12" x14ac:dyDescent="0.2">
      <c r="A2609" s="547" t="s">
        <v>220</v>
      </c>
      <c r="B2609" s="547" t="s">
        <v>2351</v>
      </c>
      <c r="C2609" s="554" t="s">
        <v>3689</v>
      </c>
      <c r="D2609" s="554" t="s">
        <v>3690</v>
      </c>
      <c r="E2609" s="554" t="s">
        <v>9585</v>
      </c>
      <c r="F2609" s="571">
        <v>7</v>
      </c>
      <c r="G2609" s="572">
        <v>1.4553636363636364</v>
      </c>
      <c r="H2609" s="545">
        <v>10.187545454545456</v>
      </c>
      <c r="I2609" s="554" t="s">
        <v>9218</v>
      </c>
      <c r="J2609" s="554" t="s">
        <v>9219</v>
      </c>
      <c r="K2609" s="554" t="s">
        <v>9219</v>
      </c>
      <c r="L2609" s="537" t="s">
        <v>2354</v>
      </c>
    </row>
    <row r="2610" spans="1:12" x14ac:dyDescent="0.2">
      <c r="A2610" s="547" t="s">
        <v>220</v>
      </c>
      <c r="B2610" s="547" t="s">
        <v>2351</v>
      </c>
      <c r="C2610" s="554" t="s">
        <v>3691</v>
      </c>
      <c r="D2610" s="554" t="s">
        <v>3692</v>
      </c>
      <c r="E2610" s="554" t="s">
        <v>9585</v>
      </c>
      <c r="F2610" s="571">
        <v>7</v>
      </c>
      <c r="G2610" s="572">
        <v>0.97240000000000004</v>
      </c>
      <c r="H2610" s="545">
        <v>6.8068</v>
      </c>
      <c r="I2610" s="554" t="s">
        <v>9218</v>
      </c>
      <c r="J2610" s="554" t="s">
        <v>9219</v>
      </c>
      <c r="K2610" s="554" t="s">
        <v>9219</v>
      </c>
      <c r="L2610" s="537" t="s">
        <v>2354</v>
      </c>
    </row>
    <row r="2611" spans="1:12" x14ac:dyDescent="0.2">
      <c r="A2611" s="547" t="s">
        <v>220</v>
      </c>
      <c r="B2611" s="547" t="s">
        <v>2351</v>
      </c>
      <c r="C2611" s="554" t="s">
        <v>3693</v>
      </c>
      <c r="D2611" s="554" t="s">
        <v>3694</v>
      </c>
      <c r="E2611" s="554" t="s">
        <v>9585</v>
      </c>
      <c r="F2611" s="571">
        <v>8</v>
      </c>
      <c r="G2611" s="572">
        <v>2.7130000000000001</v>
      </c>
      <c r="H2611" s="545">
        <v>21.704000000000001</v>
      </c>
      <c r="I2611" s="554" t="s">
        <v>9218</v>
      </c>
      <c r="J2611" s="554" t="s">
        <v>9219</v>
      </c>
      <c r="K2611" s="554" t="s">
        <v>9219</v>
      </c>
      <c r="L2611" s="537" t="s">
        <v>2354</v>
      </c>
    </row>
    <row r="2612" spans="1:12" x14ac:dyDescent="0.2">
      <c r="A2612" s="547" t="s">
        <v>220</v>
      </c>
      <c r="B2612" s="547" t="s">
        <v>2351</v>
      </c>
      <c r="C2612" s="554" t="s">
        <v>3695</v>
      </c>
      <c r="D2612" s="554" t="s">
        <v>3696</v>
      </c>
      <c r="E2612" s="554" t="s">
        <v>9585</v>
      </c>
      <c r="F2612" s="571">
        <v>3</v>
      </c>
      <c r="G2612" s="572">
        <v>0.42499999999999999</v>
      </c>
      <c r="H2612" s="545">
        <v>1.2749999999999999</v>
      </c>
      <c r="I2612" s="554" t="s">
        <v>9218</v>
      </c>
      <c r="J2612" s="554" t="s">
        <v>9219</v>
      </c>
      <c r="K2612" s="554" t="s">
        <v>9219</v>
      </c>
      <c r="L2612" s="537" t="s">
        <v>2354</v>
      </c>
    </row>
    <row r="2613" spans="1:12" x14ac:dyDescent="0.2">
      <c r="A2613" s="547" t="s">
        <v>220</v>
      </c>
      <c r="B2613" s="547" t="s">
        <v>2351</v>
      </c>
      <c r="C2613" s="554" t="s">
        <v>5348</v>
      </c>
      <c r="D2613" s="554" t="s">
        <v>5349</v>
      </c>
      <c r="E2613" s="554" t="s">
        <v>9585</v>
      </c>
      <c r="F2613" s="573">
        <v>2</v>
      </c>
      <c r="G2613" s="545">
        <v>2.8857499999999998</v>
      </c>
      <c r="H2613" s="545">
        <v>5.7714999999999996</v>
      </c>
      <c r="I2613" s="554" t="s">
        <v>9218</v>
      </c>
      <c r="J2613" s="554" t="s">
        <v>9219</v>
      </c>
      <c r="K2613" s="554" t="s">
        <v>9219</v>
      </c>
      <c r="L2613" s="537" t="s">
        <v>2354</v>
      </c>
    </row>
    <row r="2614" spans="1:12" x14ac:dyDescent="0.2">
      <c r="A2614" s="547" t="s">
        <v>220</v>
      </c>
      <c r="B2614" s="547" t="s">
        <v>2351</v>
      </c>
      <c r="C2614" s="554" t="s">
        <v>5362</v>
      </c>
      <c r="D2614" s="554" t="s">
        <v>5363</v>
      </c>
      <c r="E2614" s="554" t="s">
        <v>9585</v>
      </c>
      <c r="F2614" s="573">
        <v>2</v>
      </c>
      <c r="G2614" s="545">
        <v>0</v>
      </c>
      <c r="H2614" s="545">
        <v>0</v>
      </c>
      <c r="I2614" s="554" t="s">
        <v>9218</v>
      </c>
      <c r="J2614" s="554" t="s">
        <v>9219</v>
      </c>
      <c r="K2614" s="554" t="s">
        <v>9219</v>
      </c>
      <c r="L2614" s="537" t="s">
        <v>2354</v>
      </c>
    </row>
    <row r="2615" spans="1:12" x14ac:dyDescent="0.2">
      <c r="A2615" s="547" t="s">
        <v>220</v>
      </c>
      <c r="B2615" s="547" t="s">
        <v>2351</v>
      </c>
      <c r="C2615" s="554" t="s">
        <v>3697</v>
      </c>
      <c r="D2615" s="554" t="s">
        <v>3698</v>
      </c>
      <c r="E2615" s="554" t="s">
        <v>9585</v>
      </c>
      <c r="F2615" s="571">
        <v>3</v>
      </c>
      <c r="G2615" s="572">
        <v>4.0999999999999996</v>
      </c>
      <c r="H2615" s="545">
        <v>12.299999999999999</v>
      </c>
      <c r="I2615" s="554" t="s">
        <v>9218</v>
      </c>
      <c r="J2615" s="554" t="s">
        <v>9219</v>
      </c>
      <c r="K2615" s="554" t="s">
        <v>9219</v>
      </c>
      <c r="L2615" s="537" t="s">
        <v>2354</v>
      </c>
    </row>
    <row r="2616" spans="1:12" x14ac:dyDescent="0.2">
      <c r="A2616" s="547" t="s">
        <v>220</v>
      </c>
      <c r="B2616" s="547" t="s">
        <v>2351</v>
      </c>
      <c r="C2616" s="554" t="s">
        <v>3699</v>
      </c>
      <c r="D2616" s="554" t="s">
        <v>3700</v>
      </c>
      <c r="E2616" s="554" t="s">
        <v>9585</v>
      </c>
      <c r="F2616" s="571">
        <v>15</v>
      </c>
      <c r="G2616" s="572">
        <v>3.5</v>
      </c>
      <c r="H2616" s="545">
        <v>52.5</v>
      </c>
      <c r="I2616" s="554" t="s">
        <v>9218</v>
      </c>
      <c r="J2616" s="554" t="s">
        <v>9219</v>
      </c>
      <c r="K2616" s="554" t="s">
        <v>9219</v>
      </c>
      <c r="L2616" s="537" t="s">
        <v>2354</v>
      </c>
    </row>
    <row r="2617" spans="1:12" x14ac:dyDescent="0.2">
      <c r="A2617" s="547" t="s">
        <v>220</v>
      </c>
      <c r="B2617" s="547" t="s">
        <v>2351</v>
      </c>
      <c r="C2617" s="554" t="s">
        <v>3701</v>
      </c>
      <c r="D2617" s="554" t="s">
        <v>3702</v>
      </c>
      <c r="E2617" s="554" t="s">
        <v>9585</v>
      </c>
      <c r="F2617" s="571">
        <v>4</v>
      </c>
      <c r="G2617" s="572">
        <v>3.0479482142857139</v>
      </c>
      <c r="H2617" s="545">
        <v>12.191792857142856</v>
      </c>
      <c r="I2617" s="554" t="s">
        <v>9218</v>
      </c>
      <c r="J2617" s="554" t="s">
        <v>9219</v>
      </c>
      <c r="K2617" s="554" t="s">
        <v>9219</v>
      </c>
      <c r="L2617" s="537" t="s">
        <v>2354</v>
      </c>
    </row>
    <row r="2618" spans="1:12" x14ac:dyDescent="0.2">
      <c r="A2618" s="547" t="s">
        <v>220</v>
      </c>
      <c r="B2618" s="547" t="s">
        <v>2351</v>
      </c>
      <c r="C2618" s="554" t="s">
        <v>3703</v>
      </c>
      <c r="D2618" s="554" t="s">
        <v>3704</v>
      </c>
      <c r="E2618" s="554" t="s">
        <v>9585</v>
      </c>
      <c r="F2618" s="571">
        <v>7</v>
      </c>
      <c r="G2618" s="572">
        <v>1.6575</v>
      </c>
      <c r="H2618" s="545">
        <v>11.602499999999999</v>
      </c>
      <c r="I2618" s="554" t="s">
        <v>9218</v>
      </c>
      <c r="J2618" s="554" t="s">
        <v>9219</v>
      </c>
      <c r="K2618" s="554" t="s">
        <v>9219</v>
      </c>
      <c r="L2618" s="537" t="s">
        <v>2354</v>
      </c>
    </row>
    <row r="2619" spans="1:12" x14ac:dyDescent="0.2">
      <c r="A2619" s="547" t="s">
        <v>220</v>
      </c>
      <c r="B2619" s="547" t="s">
        <v>2351</v>
      </c>
      <c r="C2619" s="554" t="s">
        <v>3705</v>
      </c>
      <c r="D2619" s="554" t="s">
        <v>3706</v>
      </c>
      <c r="E2619" s="554" t="s">
        <v>9585</v>
      </c>
      <c r="F2619" s="571">
        <v>6</v>
      </c>
      <c r="G2619" s="572">
        <v>4.375</v>
      </c>
      <c r="H2619" s="545">
        <v>26.25</v>
      </c>
      <c r="I2619" s="554" t="s">
        <v>9218</v>
      </c>
      <c r="J2619" s="554" t="s">
        <v>9219</v>
      </c>
      <c r="K2619" s="554" t="s">
        <v>9219</v>
      </c>
      <c r="L2619" s="537" t="s">
        <v>2354</v>
      </c>
    </row>
    <row r="2620" spans="1:12" x14ac:dyDescent="0.2">
      <c r="A2620" s="547" t="s">
        <v>220</v>
      </c>
      <c r="B2620" s="547" t="s">
        <v>2351</v>
      </c>
      <c r="C2620" s="554" t="s">
        <v>5343</v>
      </c>
      <c r="D2620" s="554" t="s">
        <v>5344</v>
      </c>
      <c r="E2620" s="554" t="s">
        <v>9585</v>
      </c>
      <c r="F2620" s="571">
        <v>1</v>
      </c>
      <c r="G2620" s="572">
        <v>25.4711</v>
      </c>
      <c r="H2620" s="545">
        <v>25.4711</v>
      </c>
      <c r="I2620" s="554" t="s">
        <v>9218</v>
      </c>
      <c r="J2620" s="554" t="s">
        <v>9219</v>
      </c>
      <c r="K2620" s="554" t="s">
        <v>9219</v>
      </c>
      <c r="L2620" s="537" t="s">
        <v>2354</v>
      </c>
    </row>
    <row r="2621" spans="1:12" x14ac:dyDescent="0.2">
      <c r="A2621" s="547" t="s">
        <v>220</v>
      </c>
      <c r="B2621" s="547" t="s">
        <v>2351</v>
      </c>
      <c r="C2621" s="554" t="s">
        <v>5341</v>
      </c>
      <c r="D2621" s="554" t="s">
        <v>5342</v>
      </c>
      <c r="E2621" s="554" t="s">
        <v>9585</v>
      </c>
      <c r="F2621" s="571">
        <v>4</v>
      </c>
      <c r="G2621" s="572">
        <v>12.2</v>
      </c>
      <c r="H2621" s="545">
        <v>48.8</v>
      </c>
      <c r="I2621" s="554" t="s">
        <v>9218</v>
      </c>
      <c r="J2621" s="554" t="s">
        <v>9219</v>
      </c>
      <c r="K2621" s="554" t="s">
        <v>9219</v>
      </c>
      <c r="L2621" s="537" t="s">
        <v>2354</v>
      </c>
    </row>
    <row r="2622" spans="1:12" x14ac:dyDescent="0.2">
      <c r="A2622" s="547" t="s">
        <v>220</v>
      </c>
      <c r="B2622" s="547" t="s">
        <v>2351</v>
      </c>
      <c r="C2622" s="554" t="s">
        <v>3707</v>
      </c>
      <c r="D2622" s="554" t="s">
        <v>3708</v>
      </c>
      <c r="E2622" s="554" t="s">
        <v>9585</v>
      </c>
      <c r="F2622" s="571">
        <v>4</v>
      </c>
      <c r="G2622" s="572">
        <v>15.5799</v>
      </c>
      <c r="H2622" s="545">
        <v>62.319600000000001</v>
      </c>
      <c r="I2622" s="554" t="s">
        <v>9218</v>
      </c>
      <c r="J2622" s="554" t="s">
        <v>9219</v>
      </c>
      <c r="K2622" s="554" t="s">
        <v>9219</v>
      </c>
      <c r="L2622" s="537" t="s">
        <v>2354</v>
      </c>
    </row>
    <row r="2623" spans="1:12" x14ac:dyDescent="0.2">
      <c r="A2623" s="547" t="s">
        <v>220</v>
      </c>
      <c r="B2623" s="547" t="s">
        <v>2351</v>
      </c>
      <c r="C2623" s="554" t="s">
        <v>3709</v>
      </c>
      <c r="D2623" s="554" t="s">
        <v>3710</v>
      </c>
      <c r="E2623" s="554" t="s">
        <v>9585</v>
      </c>
      <c r="F2623" s="571">
        <v>1</v>
      </c>
      <c r="G2623" s="572">
        <v>4.6154999999999999</v>
      </c>
      <c r="H2623" s="545">
        <v>4.6154999999999999</v>
      </c>
      <c r="I2623" s="554" t="s">
        <v>9218</v>
      </c>
      <c r="J2623" s="554" t="s">
        <v>9219</v>
      </c>
      <c r="K2623" s="554" t="s">
        <v>9219</v>
      </c>
      <c r="L2623" s="537" t="s">
        <v>2354</v>
      </c>
    </row>
    <row r="2624" spans="1:12" x14ac:dyDescent="0.2">
      <c r="A2624" s="547" t="s">
        <v>220</v>
      </c>
      <c r="B2624" s="547" t="s">
        <v>2351</v>
      </c>
      <c r="C2624" s="554" t="s">
        <v>3711</v>
      </c>
      <c r="D2624" s="554" t="s">
        <v>3712</v>
      </c>
      <c r="E2624" s="554" t="s">
        <v>9585</v>
      </c>
      <c r="F2624" s="571">
        <v>1</v>
      </c>
      <c r="G2624" s="572">
        <v>1.6575</v>
      </c>
      <c r="H2624" s="545">
        <v>1.6575</v>
      </c>
      <c r="I2624" s="554" t="s">
        <v>9218</v>
      </c>
      <c r="J2624" s="554" t="s">
        <v>9219</v>
      </c>
      <c r="K2624" s="554" t="s">
        <v>9219</v>
      </c>
      <c r="L2624" s="537" t="s">
        <v>2354</v>
      </c>
    </row>
    <row r="2625" spans="1:12" x14ac:dyDescent="0.2">
      <c r="A2625" s="547" t="s">
        <v>220</v>
      </c>
      <c r="B2625" s="547" t="s">
        <v>2351</v>
      </c>
      <c r="C2625" s="554" t="s">
        <v>3713</v>
      </c>
      <c r="D2625" s="554" t="s">
        <v>3714</v>
      </c>
      <c r="E2625" s="554" t="s">
        <v>9585</v>
      </c>
      <c r="F2625" s="571">
        <v>14</v>
      </c>
      <c r="G2625" s="572">
        <v>33.090700000000005</v>
      </c>
      <c r="H2625" s="545">
        <v>463.26980000000009</v>
      </c>
      <c r="I2625" s="554" t="s">
        <v>9218</v>
      </c>
      <c r="J2625" s="554" t="s">
        <v>9219</v>
      </c>
      <c r="K2625" s="554" t="s">
        <v>9219</v>
      </c>
      <c r="L2625" s="537" t="s">
        <v>2354</v>
      </c>
    </row>
    <row r="2626" spans="1:12" x14ac:dyDescent="0.2">
      <c r="A2626" s="547" t="s">
        <v>220</v>
      </c>
      <c r="B2626" s="547" t="s">
        <v>2351</v>
      </c>
      <c r="C2626" s="554" t="s">
        <v>3715</v>
      </c>
      <c r="D2626" s="554" t="s">
        <v>3716</v>
      </c>
      <c r="E2626" s="554" t="s">
        <v>9585</v>
      </c>
      <c r="F2626" s="571">
        <v>8</v>
      </c>
      <c r="G2626" s="572">
        <v>1.742</v>
      </c>
      <c r="H2626" s="545">
        <v>13.936</v>
      </c>
      <c r="I2626" s="554" t="s">
        <v>9218</v>
      </c>
      <c r="J2626" s="554" t="s">
        <v>9219</v>
      </c>
      <c r="K2626" s="554" t="s">
        <v>9219</v>
      </c>
      <c r="L2626" s="537" t="s">
        <v>2354</v>
      </c>
    </row>
    <row r="2627" spans="1:12" x14ac:dyDescent="0.2">
      <c r="A2627" s="547" t="s">
        <v>220</v>
      </c>
      <c r="B2627" s="547" t="s">
        <v>2351</v>
      </c>
      <c r="C2627" s="554" t="s">
        <v>3717</v>
      </c>
      <c r="D2627" s="554" t="s">
        <v>3718</v>
      </c>
      <c r="E2627" s="554" t="s">
        <v>9585</v>
      </c>
      <c r="F2627" s="571">
        <v>1</v>
      </c>
      <c r="G2627" s="572">
        <v>15.028</v>
      </c>
      <c r="H2627" s="545">
        <v>15.028</v>
      </c>
      <c r="I2627" s="554" t="s">
        <v>9218</v>
      </c>
      <c r="J2627" s="554" t="s">
        <v>9219</v>
      </c>
      <c r="K2627" s="554" t="s">
        <v>9219</v>
      </c>
      <c r="L2627" s="537" t="s">
        <v>2354</v>
      </c>
    </row>
    <row r="2628" spans="1:12" x14ac:dyDescent="0.2">
      <c r="A2628" s="547" t="s">
        <v>220</v>
      </c>
      <c r="B2628" s="547" t="s">
        <v>2351</v>
      </c>
      <c r="C2628" s="554" t="s">
        <v>3719</v>
      </c>
      <c r="D2628" s="554" t="s">
        <v>3720</v>
      </c>
      <c r="E2628" s="554" t="s">
        <v>9585</v>
      </c>
      <c r="F2628" s="571">
        <v>4</v>
      </c>
      <c r="G2628" s="572">
        <v>24.788016666666664</v>
      </c>
      <c r="H2628" s="545">
        <v>99.152066666666656</v>
      </c>
      <c r="I2628" s="554" t="s">
        <v>9218</v>
      </c>
      <c r="J2628" s="554" t="s">
        <v>9219</v>
      </c>
      <c r="K2628" s="554" t="s">
        <v>9219</v>
      </c>
      <c r="L2628" s="537" t="s">
        <v>2354</v>
      </c>
    </row>
    <row r="2629" spans="1:12" x14ac:dyDescent="0.2">
      <c r="A2629" s="547" t="s">
        <v>220</v>
      </c>
      <c r="B2629" s="547" t="s">
        <v>2351</v>
      </c>
      <c r="C2629" s="554" t="s">
        <v>3721</v>
      </c>
      <c r="D2629" s="554" t="s">
        <v>3722</v>
      </c>
      <c r="E2629" s="554" t="s">
        <v>9585</v>
      </c>
      <c r="F2629" s="571">
        <v>1</v>
      </c>
      <c r="G2629" s="572">
        <v>68.781999999999996</v>
      </c>
      <c r="H2629" s="545">
        <v>68.781999999999996</v>
      </c>
      <c r="I2629" s="554" t="s">
        <v>9218</v>
      </c>
      <c r="J2629" s="554" t="s">
        <v>9219</v>
      </c>
      <c r="K2629" s="554" t="s">
        <v>9219</v>
      </c>
      <c r="L2629" s="537" t="s">
        <v>2354</v>
      </c>
    </row>
    <row r="2630" spans="1:12" x14ac:dyDescent="0.2">
      <c r="A2630" s="547" t="s">
        <v>220</v>
      </c>
      <c r="B2630" s="547" t="s">
        <v>2351</v>
      </c>
      <c r="C2630" s="554" t="s">
        <v>3737</v>
      </c>
      <c r="D2630" s="554" t="s">
        <v>3738</v>
      </c>
      <c r="E2630" s="554" t="s">
        <v>9585</v>
      </c>
      <c r="F2630" s="571">
        <v>2</v>
      </c>
      <c r="G2630" s="572">
        <v>4.8340857142857141</v>
      </c>
      <c r="H2630" s="545">
        <v>9.6681714285714282</v>
      </c>
      <c r="I2630" s="554" t="s">
        <v>9218</v>
      </c>
      <c r="J2630" s="554" t="s">
        <v>9219</v>
      </c>
      <c r="K2630" s="554" t="s">
        <v>9219</v>
      </c>
      <c r="L2630" s="537" t="s">
        <v>2354</v>
      </c>
    </row>
    <row r="2631" spans="1:12" x14ac:dyDescent="0.2">
      <c r="A2631" s="547" t="s">
        <v>220</v>
      </c>
      <c r="B2631" s="547" t="s">
        <v>2351</v>
      </c>
      <c r="C2631" s="554" t="s">
        <v>5345</v>
      </c>
      <c r="D2631" s="554" t="s">
        <v>5346</v>
      </c>
      <c r="E2631" s="554" t="s">
        <v>9585</v>
      </c>
      <c r="F2631" s="571">
        <v>4</v>
      </c>
      <c r="G2631" s="572">
        <v>1.2050000000000001</v>
      </c>
      <c r="H2631" s="545">
        <v>4.82</v>
      </c>
      <c r="I2631" s="554" t="s">
        <v>9218</v>
      </c>
      <c r="J2631" s="554" t="s">
        <v>9219</v>
      </c>
      <c r="K2631" s="554" t="s">
        <v>9219</v>
      </c>
      <c r="L2631" s="537" t="s">
        <v>2354</v>
      </c>
    </row>
    <row r="2632" spans="1:12" x14ac:dyDescent="0.2">
      <c r="A2632" s="547" t="s">
        <v>220</v>
      </c>
      <c r="B2632" s="547" t="s">
        <v>2351</v>
      </c>
      <c r="C2632" s="554" t="s">
        <v>3739</v>
      </c>
      <c r="D2632" s="554" t="s">
        <v>3740</v>
      </c>
      <c r="E2632" s="554" t="s">
        <v>9585</v>
      </c>
      <c r="F2632" s="571">
        <v>3</v>
      </c>
      <c r="G2632" s="572">
        <v>3.044</v>
      </c>
      <c r="H2632" s="545">
        <v>9.1319999999999997</v>
      </c>
      <c r="I2632" s="554" t="s">
        <v>9218</v>
      </c>
      <c r="J2632" s="554" t="s">
        <v>9219</v>
      </c>
      <c r="K2632" s="554" t="s">
        <v>9219</v>
      </c>
      <c r="L2632" s="537" t="s">
        <v>2354</v>
      </c>
    </row>
    <row r="2633" spans="1:12" x14ac:dyDescent="0.2">
      <c r="A2633" s="547" t="s">
        <v>220</v>
      </c>
      <c r="B2633" s="547" t="s">
        <v>2351</v>
      </c>
      <c r="C2633" s="554" t="s">
        <v>3741</v>
      </c>
      <c r="D2633" s="554" t="s">
        <v>3742</v>
      </c>
      <c r="E2633" s="554" t="s">
        <v>9585</v>
      </c>
      <c r="F2633" s="571">
        <v>9</v>
      </c>
      <c r="G2633" s="572">
        <v>2.4782999999999999</v>
      </c>
      <c r="H2633" s="545">
        <v>22.3047</v>
      </c>
      <c r="I2633" s="554" t="s">
        <v>9218</v>
      </c>
      <c r="J2633" s="554" t="s">
        <v>9219</v>
      </c>
      <c r="K2633" s="554" t="s">
        <v>9219</v>
      </c>
      <c r="L2633" s="537" t="s">
        <v>2354</v>
      </c>
    </row>
    <row r="2634" spans="1:12" x14ac:dyDescent="0.2">
      <c r="A2634" s="547" t="s">
        <v>220</v>
      </c>
      <c r="B2634" s="547" t="s">
        <v>2351</v>
      </c>
      <c r="C2634" s="554" t="s">
        <v>3743</v>
      </c>
      <c r="D2634" s="554" t="s">
        <v>3744</v>
      </c>
      <c r="E2634" s="554" t="s">
        <v>9585</v>
      </c>
      <c r="F2634" s="571">
        <v>38</v>
      </c>
      <c r="G2634" s="572">
        <v>11.231999999999999</v>
      </c>
      <c r="H2634" s="545">
        <v>426.81599999999997</v>
      </c>
      <c r="I2634" s="554" t="s">
        <v>9218</v>
      </c>
      <c r="J2634" s="554" t="s">
        <v>9219</v>
      </c>
      <c r="K2634" s="554" t="s">
        <v>9219</v>
      </c>
      <c r="L2634" s="537" t="s">
        <v>2354</v>
      </c>
    </row>
    <row r="2635" spans="1:12" x14ac:dyDescent="0.2">
      <c r="A2635" s="547" t="s">
        <v>220</v>
      </c>
      <c r="B2635" s="547" t="s">
        <v>2351</v>
      </c>
      <c r="C2635" s="554" t="s">
        <v>5350</v>
      </c>
      <c r="D2635" s="554" t="s">
        <v>5351</v>
      </c>
      <c r="E2635" s="554" t="s">
        <v>9585</v>
      </c>
      <c r="F2635" s="573">
        <v>2</v>
      </c>
      <c r="G2635" s="545">
        <v>0</v>
      </c>
      <c r="H2635" s="545">
        <v>0</v>
      </c>
      <c r="I2635" s="554" t="s">
        <v>9218</v>
      </c>
      <c r="J2635" s="554" t="s">
        <v>9219</v>
      </c>
      <c r="K2635" s="554" t="s">
        <v>9219</v>
      </c>
      <c r="L2635" s="537" t="s">
        <v>2354</v>
      </c>
    </row>
    <row r="2636" spans="1:12" x14ac:dyDescent="0.2">
      <c r="A2636" s="547" t="s">
        <v>220</v>
      </c>
      <c r="B2636" s="547" t="s">
        <v>2351</v>
      </c>
      <c r="C2636" s="554" t="s">
        <v>5352</v>
      </c>
      <c r="D2636" s="554" t="s">
        <v>5353</v>
      </c>
      <c r="E2636" s="554" t="s">
        <v>9585</v>
      </c>
      <c r="F2636" s="573">
        <v>2</v>
      </c>
      <c r="G2636" s="545">
        <v>0.66044999999999998</v>
      </c>
      <c r="H2636" s="545">
        <v>1.3209</v>
      </c>
      <c r="I2636" s="554" t="s">
        <v>9218</v>
      </c>
      <c r="J2636" s="554" t="s">
        <v>9219</v>
      </c>
      <c r="K2636" s="554" t="s">
        <v>9219</v>
      </c>
      <c r="L2636" s="537" t="s">
        <v>2354</v>
      </c>
    </row>
    <row r="2637" spans="1:12" x14ac:dyDescent="0.2">
      <c r="A2637" s="547" t="s">
        <v>220</v>
      </c>
      <c r="B2637" s="547" t="s">
        <v>2351</v>
      </c>
      <c r="C2637" s="554" t="s">
        <v>3745</v>
      </c>
      <c r="D2637" s="554" t="s">
        <v>3746</v>
      </c>
      <c r="E2637" s="554" t="s">
        <v>9585</v>
      </c>
      <c r="F2637" s="571">
        <v>40</v>
      </c>
      <c r="G2637" s="572">
        <v>4.2410595238095237</v>
      </c>
      <c r="H2637" s="545">
        <v>169.64238095238096</v>
      </c>
      <c r="I2637" s="554" t="s">
        <v>9218</v>
      </c>
      <c r="J2637" s="554" t="s">
        <v>9219</v>
      </c>
      <c r="K2637" s="554" t="s">
        <v>9219</v>
      </c>
      <c r="L2637" s="537" t="s">
        <v>2354</v>
      </c>
    </row>
    <row r="2638" spans="1:12" x14ac:dyDescent="0.2">
      <c r="A2638" s="547" t="s">
        <v>220</v>
      </c>
      <c r="B2638" s="547" t="s">
        <v>2351</v>
      </c>
      <c r="C2638" s="554" t="s">
        <v>3747</v>
      </c>
      <c r="D2638" s="554" t="s">
        <v>3748</v>
      </c>
      <c r="E2638" s="554" t="s">
        <v>9585</v>
      </c>
      <c r="F2638" s="571">
        <v>22</v>
      </c>
      <c r="G2638" s="572">
        <v>6.8849999999999998</v>
      </c>
      <c r="H2638" s="545">
        <v>151.47</v>
      </c>
      <c r="I2638" s="554" t="s">
        <v>9218</v>
      </c>
      <c r="J2638" s="554" t="s">
        <v>9219</v>
      </c>
      <c r="K2638" s="554" t="s">
        <v>9219</v>
      </c>
      <c r="L2638" s="537" t="s">
        <v>2354</v>
      </c>
    </row>
    <row r="2639" spans="1:12" x14ac:dyDescent="0.2">
      <c r="A2639" s="547" t="s">
        <v>220</v>
      </c>
      <c r="B2639" s="547" t="s">
        <v>2351</v>
      </c>
      <c r="C2639" s="554" t="s">
        <v>3749</v>
      </c>
      <c r="D2639" s="554" t="s">
        <v>3750</v>
      </c>
      <c r="E2639" s="554" t="s">
        <v>9585</v>
      </c>
      <c r="F2639" s="571">
        <v>100</v>
      </c>
      <c r="G2639" s="572">
        <v>0.91969999999999996</v>
      </c>
      <c r="H2639" s="545">
        <v>91.97</v>
      </c>
      <c r="I2639" s="554" t="s">
        <v>9218</v>
      </c>
      <c r="J2639" s="554" t="s">
        <v>9219</v>
      </c>
      <c r="K2639" s="554" t="s">
        <v>9219</v>
      </c>
      <c r="L2639" s="537" t="s">
        <v>2354</v>
      </c>
    </row>
    <row r="2640" spans="1:12" x14ac:dyDescent="0.2">
      <c r="A2640" s="547" t="s">
        <v>220</v>
      </c>
      <c r="B2640" s="547" t="s">
        <v>2351</v>
      </c>
      <c r="C2640" s="554" t="s">
        <v>3755</v>
      </c>
      <c r="D2640" s="554" t="s">
        <v>3756</v>
      </c>
      <c r="E2640" s="554" t="s">
        <v>9585</v>
      </c>
      <c r="F2640" s="571">
        <v>5</v>
      </c>
      <c r="G2640" s="572">
        <v>112.5</v>
      </c>
      <c r="H2640" s="545">
        <v>562.5</v>
      </c>
      <c r="I2640" s="554" t="s">
        <v>9218</v>
      </c>
      <c r="J2640" s="554" t="s">
        <v>9219</v>
      </c>
      <c r="K2640" s="554" t="s">
        <v>9219</v>
      </c>
      <c r="L2640" s="537" t="s">
        <v>2354</v>
      </c>
    </row>
    <row r="2641" spans="1:12" x14ac:dyDescent="0.2">
      <c r="A2641" s="547" t="s">
        <v>220</v>
      </c>
      <c r="B2641" s="547" t="s">
        <v>2351</v>
      </c>
      <c r="C2641" s="554" t="s">
        <v>3757</v>
      </c>
      <c r="D2641" s="554" t="s">
        <v>3758</v>
      </c>
      <c r="E2641" s="554" t="s">
        <v>9585</v>
      </c>
      <c r="F2641" s="571">
        <v>100</v>
      </c>
      <c r="G2641" s="572">
        <v>31.024999999999999</v>
      </c>
      <c r="H2641" s="545">
        <v>3102.5</v>
      </c>
      <c r="I2641" s="554" t="s">
        <v>9218</v>
      </c>
      <c r="J2641" s="554" t="s">
        <v>9219</v>
      </c>
      <c r="K2641" s="554" t="s">
        <v>9219</v>
      </c>
      <c r="L2641" s="537" t="s">
        <v>2354</v>
      </c>
    </row>
    <row r="2642" spans="1:12" x14ac:dyDescent="0.2">
      <c r="A2642" s="547" t="s">
        <v>220</v>
      </c>
      <c r="B2642" s="547" t="s">
        <v>2351</v>
      </c>
      <c r="C2642" s="554"/>
      <c r="D2642" s="554" t="s">
        <v>9392</v>
      </c>
      <c r="E2642" s="554" t="s">
        <v>9585</v>
      </c>
      <c r="F2642" s="571">
        <v>131.5</v>
      </c>
      <c r="G2642" s="572">
        <v>3.7690000000000001</v>
      </c>
      <c r="H2642" s="545">
        <v>495.62350000000004</v>
      </c>
      <c r="I2642" s="554" t="s">
        <v>9218</v>
      </c>
      <c r="J2642" s="554" t="s">
        <v>9219</v>
      </c>
      <c r="K2642" s="554" t="s">
        <v>9219</v>
      </c>
      <c r="L2642" s="537" t="s">
        <v>2354</v>
      </c>
    </row>
    <row r="2643" spans="1:12" x14ac:dyDescent="0.2">
      <c r="A2643" s="547" t="s">
        <v>220</v>
      </c>
      <c r="B2643" s="547" t="s">
        <v>2351</v>
      </c>
      <c r="C2643" s="554" t="s">
        <v>3759</v>
      </c>
      <c r="D2643" s="554" t="s">
        <v>3760</v>
      </c>
      <c r="E2643" s="554" t="s">
        <v>9585</v>
      </c>
      <c r="F2643" s="571">
        <v>120</v>
      </c>
      <c r="G2643" s="572">
        <v>0.32900000000000001</v>
      </c>
      <c r="H2643" s="545">
        <v>39.480000000000004</v>
      </c>
      <c r="I2643" s="554" t="s">
        <v>9218</v>
      </c>
      <c r="J2643" s="554" t="s">
        <v>9219</v>
      </c>
      <c r="K2643" s="554" t="s">
        <v>9219</v>
      </c>
      <c r="L2643" s="537" t="s">
        <v>2354</v>
      </c>
    </row>
    <row r="2644" spans="1:12" x14ac:dyDescent="0.2">
      <c r="A2644" s="547" t="s">
        <v>220</v>
      </c>
      <c r="B2644" s="547" t="s">
        <v>2351</v>
      </c>
      <c r="C2644" s="554" t="s">
        <v>3761</v>
      </c>
      <c r="D2644" s="554" t="s">
        <v>3762</v>
      </c>
      <c r="E2644" s="554" t="s">
        <v>9585</v>
      </c>
      <c r="F2644" s="571">
        <v>100</v>
      </c>
      <c r="G2644" s="572">
        <v>0.74250000000000005</v>
      </c>
      <c r="H2644" s="545">
        <v>74.25</v>
      </c>
      <c r="I2644" s="554" t="s">
        <v>9218</v>
      </c>
      <c r="J2644" s="554" t="s">
        <v>9219</v>
      </c>
      <c r="K2644" s="554" t="s">
        <v>9219</v>
      </c>
      <c r="L2644" s="537" t="s">
        <v>2354</v>
      </c>
    </row>
    <row r="2645" spans="1:12" x14ac:dyDescent="0.2">
      <c r="A2645" s="547" t="s">
        <v>220</v>
      </c>
      <c r="B2645" s="547" t="s">
        <v>2351</v>
      </c>
      <c r="C2645" s="554" t="s">
        <v>3769</v>
      </c>
      <c r="D2645" s="554" t="s">
        <v>3770</v>
      </c>
      <c r="E2645" s="554" t="s">
        <v>9585</v>
      </c>
      <c r="F2645" s="571">
        <v>3</v>
      </c>
      <c r="G2645" s="572">
        <v>10.25</v>
      </c>
      <c r="H2645" s="545">
        <v>30.75</v>
      </c>
      <c r="I2645" s="554" t="s">
        <v>9218</v>
      </c>
      <c r="J2645" s="554" t="s">
        <v>9219</v>
      </c>
      <c r="K2645" s="554" t="s">
        <v>9219</v>
      </c>
      <c r="L2645" s="537" t="s">
        <v>2354</v>
      </c>
    </row>
    <row r="2646" spans="1:12" x14ac:dyDescent="0.2">
      <c r="A2646" s="547" t="s">
        <v>220</v>
      </c>
      <c r="B2646" s="547" t="s">
        <v>2351</v>
      </c>
      <c r="C2646" s="554" t="s">
        <v>3771</v>
      </c>
      <c r="D2646" s="554" t="s">
        <v>3772</v>
      </c>
      <c r="E2646" s="554" t="s">
        <v>9585</v>
      </c>
      <c r="F2646" s="571">
        <v>5</v>
      </c>
      <c r="G2646" s="572">
        <v>10.246</v>
      </c>
      <c r="H2646" s="545">
        <v>51.230000000000004</v>
      </c>
      <c r="I2646" s="554" t="s">
        <v>9218</v>
      </c>
      <c r="J2646" s="554" t="s">
        <v>9219</v>
      </c>
      <c r="K2646" s="554" t="s">
        <v>9219</v>
      </c>
      <c r="L2646" s="537" t="s">
        <v>2354</v>
      </c>
    </row>
    <row r="2647" spans="1:12" x14ac:dyDescent="0.2">
      <c r="A2647" s="547" t="s">
        <v>220</v>
      </c>
      <c r="B2647" s="547" t="s">
        <v>2351</v>
      </c>
      <c r="C2647" s="554" t="s">
        <v>3773</v>
      </c>
      <c r="D2647" s="554" t="s">
        <v>3774</v>
      </c>
      <c r="E2647" s="554" t="s">
        <v>9585</v>
      </c>
      <c r="F2647" s="571">
        <v>6</v>
      </c>
      <c r="G2647" s="572">
        <v>12.023999999999999</v>
      </c>
      <c r="H2647" s="545">
        <v>72.143999999999991</v>
      </c>
      <c r="I2647" s="554" t="s">
        <v>9218</v>
      </c>
      <c r="J2647" s="554" t="s">
        <v>9219</v>
      </c>
      <c r="K2647" s="554" t="s">
        <v>9219</v>
      </c>
      <c r="L2647" s="537" t="s">
        <v>2354</v>
      </c>
    </row>
    <row r="2648" spans="1:12" x14ac:dyDescent="0.2">
      <c r="A2648" s="547" t="s">
        <v>220</v>
      </c>
      <c r="B2648" s="547" t="s">
        <v>2351</v>
      </c>
      <c r="C2648" s="554" t="s">
        <v>3775</v>
      </c>
      <c r="D2648" s="554" t="s">
        <v>3776</v>
      </c>
      <c r="E2648" s="554" t="s">
        <v>9585</v>
      </c>
      <c r="F2648" s="571">
        <v>5</v>
      </c>
      <c r="G2648" s="572">
        <v>42.075000000000003</v>
      </c>
      <c r="H2648" s="545">
        <v>210.375</v>
      </c>
      <c r="I2648" s="554" t="s">
        <v>9218</v>
      </c>
      <c r="J2648" s="554" t="s">
        <v>9219</v>
      </c>
      <c r="K2648" s="554" t="s">
        <v>9219</v>
      </c>
      <c r="L2648" s="537" t="s">
        <v>2354</v>
      </c>
    </row>
    <row r="2649" spans="1:12" x14ac:dyDescent="0.2">
      <c r="A2649" s="547" t="s">
        <v>220</v>
      </c>
      <c r="B2649" s="547" t="s">
        <v>2351</v>
      </c>
      <c r="C2649" s="554" t="s">
        <v>3777</v>
      </c>
      <c r="D2649" s="554" t="s">
        <v>3778</v>
      </c>
      <c r="E2649" s="554" t="s">
        <v>9585</v>
      </c>
      <c r="F2649" s="571">
        <v>10</v>
      </c>
      <c r="G2649" s="572">
        <v>13.922000000000001</v>
      </c>
      <c r="H2649" s="545">
        <v>139.22</v>
      </c>
      <c r="I2649" s="554" t="s">
        <v>9218</v>
      </c>
      <c r="J2649" s="554" t="s">
        <v>9219</v>
      </c>
      <c r="K2649" s="554" t="s">
        <v>9219</v>
      </c>
      <c r="L2649" s="537" t="s">
        <v>2354</v>
      </c>
    </row>
    <row r="2650" spans="1:12" x14ac:dyDescent="0.2">
      <c r="A2650" s="547" t="s">
        <v>220</v>
      </c>
      <c r="B2650" s="547" t="s">
        <v>2351</v>
      </c>
      <c r="C2650" s="554" t="s">
        <v>3779</v>
      </c>
      <c r="D2650" s="554" t="s">
        <v>3780</v>
      </c>
      <c r="E2650" s="554" t="s">
        <v>9585</v>
      </c>
      <c r="F2650" s="571">
        <v>3</v>
      </c>
      <c r="G2650" s="572">
        <v>30.245999999999999</v>
      </c>
      <c r="H2650" s="545">
        <v>90.738</v>
      </c>
      <c r="I2650" s="554" t="s">
        <v>9218</v>
      </c>
      <c r="J2650" s="554" t="s">
        <v>9219</v>
      </c>
      <c r="K2650" s="554" t="s">
        <v>9219</v>
      </c>
      <c r="L2650" s="537" t="s">
        <v>2354</v>
      </c>
    </row>
    <row r="2651" spans="1:12" x14ac:dyDescent="0.2">
      <c r="A2651" s="547" t="s">
        <v>220</v>
      </c>
      <c r="B2651" s="547" t="s">
        <v>2351</v>
      </c>
      <c r="C2651" s="554" t="s">
        <v>3781</v>
      </c>
      <c r="D2651" s="554" t="s">
        <v>3782</v>
      </c>
      <c r="E2651" s="554" t="s">
        <v>9585</v>
      </c>
      <c r="F2651" s="571">
        <v>4</v>
      </c>
      <c r="G2651" s="572">
        <v>31.045999999999999</v>
      </c>
      <c r="H2651" s="545">
        <v>124.184</v>
      </c>
      <c r="I2651" s="554" t="s">
        <v>9218</v>
      </c>
      <c r="J2651" s="554" t="s">
        <v>9219</v>
      </c>
      <c r="K2651" s="554" t="s">
        <v>9219</v>
      </c>
      <c r="L2651" s="537" t="s">
        <v>2354</v>
      </c>
    </row>
    <row r="2652" spans="1:12" x14ac:dyDescent="0.2">
      <c r="A2652" s="547" t="s">
        <v>220</v>
      </c>
      <c r="B2652" s="547" t="s">
        <v>2351</v>
      </c>
      <c r="C2652" s="554" t="s">
        <v>3783</v>
      </c>
      <c r="D2652" s="554" t="s">
        <v>3784</v>
      </c>
      <c r="E2652" s="554" t="s">
        <v>9585</v>
      </c>
      <c r="F2652" s="571">
        <v>5</v>
      </c>
      <c r="G2652" s="572">
        <v>72.319342105263146</v>
      </c>
      <c r="H2652" s="545">
        <v>361.59671052631575</v>
      </c>
      <c r="I2652" s="554" t="s">
        <v>9218</v>
      </c>
      <c r="J2652" s="554" t="s">
        <v>9219</v>
      </c>
      <c r="K2652" s="554" t="s">
        <v>9219</v>
      </c>
      <c r="L2652" s="537" t="s">
        <v>2354</v>
      </c>
    </row>
    <row r="2653" spans="1:12" x14ac:dyDescent="0.2">
      <c r="A2653" s="547" t="s">
        <v>220</v>
      </c>
      <c r="B2653" s="547" t="s">
        <v>2351</v>
      </c>
      <c r="C2653" s="554" t="s">
        <v>3785</v>
      </c>
      <c r="D2653" s="554" t="s">
        <v>3786</v>
      </c>
      <c r="E2653" s="554" t="s">
        <v>9585</v>
      </c>
      <c r="F2653" s="571">
        <v>1</v>
      </c>
      <c r="G2653" s="572">
        <v>6.1020500000000002</v>
      </c>
      <c r="H2653" s="545">
        <v>6.1020500000000002</v>
      </c>
      <c r="I2653" s="554" t="s">
        <v>9218</v>
      </c>
      <c r="J2653" s="554" t="s">
        <v>9219</v>
      </c>
      <c r="K2653" s="554" t="s">
        <v>9219</v>
      </c>
      <c r="L2653" s="537" t="s">
        <v>2354</v>
      </c>
    </row>
    <row r="2654" spans="1:12" x14ac:dyDescent="0.2">
      <c r="A2654" s="547" t="s">
        <v>220</v>
      </c>
      <c r="B2654" s="547" t="s">
        <v>2351</v>
      </c>
      <c r="C2654" s="554" t="s">
        <v>3787</v>
      </c>
      <c r="D2654" s="554" t="s">
        <v>3788</v>
      </c>
      <c r="E2654" s="554" t="s">
        <v>9585</v>
      </c>
      <c r="F2654" s="571">
        <v>6</v>
      </c>
      <c r="G2654" s="572">
        <v>27.2</v>
      </c>
      <c r="H2654" s="545">
        <v>163.19999999999999</v>
      </c>
      <c r="I2654" s="554" t="s">
        <v>9218</v>
      </c>
      <c r="J2654" s="554" t="s">
        <v>9219</v>
      </c>
      <c r="K2654" s="554" t="s">
        <v>9219</v>
      </c>
      <c r="L2654" s="537" t="s">
        <v>2354</v>
      </c>
    </row>
    <row r="2655" spans="1:12" x14ac:dyDescent="0.2">
      <c r="A2655" s="547" t="s">
        <v>220</v>
      </c>
      <c r="B2655" s="547" t="s">
        <v>2351</v>
      </c>
      <c r="C2655" s="554" t="s">
        <v>3789</v>
      </c>
      <c r="D2655" s="554" t="s">
        <v>3790</v>
      </c>
      <c r="E2655" s="554" t="s">
        <v>9585</v>
      </c>
      <c r="F2655" s="571">
        <v>3</v>
      </c>
      <c r="G2655" s="572">
        <v>28.732500000000005</v>
      </c>
      <c r="H2655" s="545">
        <v>86.197500000000019</v>
      </c>
      <c r="I2655" s="554" t="s">
        <v>9218</v>
      </c>
      <c r="J2655" s="554" t="s">
        <v>9219</v>
      </c>
      <c r="K2655" s="554" t="s">
        <v>9219</v>
      </c>
      <c r="L2655" s="537" t="s">
        <v>2354</v>
      </c>
    </row>
    <row r="2656" spans="1:12" x14ac:dyDescent="0.2">
      <c r="A2656" s="547" t="s">
        <v>220</v>
      </c>
      <c r="B2656" s="547" t="s">
        <v>2351</v>
      </c>
      <c r="C2656" s="554" t="s">
        <v>3791</v>
      </c>
      <c r="D2656" s="554" t="s">
        <v>3792</v>
      </c>
      <c r="E2656" s="554" t="s">
        <v>9585</v>
      </c>
      <c r="F2656" s="571">
        <v>6</v>
      </c>
      <c r="G2656" s="572">
        <v>35.191000000000003</v>
      </c>
      <c r="H2656" s="545">
        <v>211.14600000000002</v>
      </c>
      <c r="I2656" s="554" t="s">
        <v>9218</v>
      </c>
      <c r="J2656" s="554" t="s">
        <v>9219</v>
      </c>
      <c r="K2656" s="554" t="s">
        <v>9219</v>
      </c>
      <c r="L2656" s="537" t="s">
        <v>2354</v>
      </c>
    </row>
    <row r="2657" spans="1:12" x14ac:dyDescent="0.2">
      <c r="A2657" s="547" t="s">
        <v>220</v>
      </c>
      <c r="B2657" s="547" t="s">
        <v>2351</v>
      </c>
      <c r="C2657" s="554" t="s">
        <v>3927</v>
      </c>
      <c r="D2657" s="554" t="s">
        <v>3928</v>
      </c>
      <c r="E2657" s="554" t="s">
        <v>9585</v>
      </c>
      <c r="F2657" s="571">
        <v>2</v>
      </c>
      <c r="G2657" s="572">
        <v>63.58</v>
      </c>
      <c r="H2657" s="545">
        <v>127.16</v>
      </c>
      <c r="I2657" s="554" t="s">
        <v>9218</v>
      </c>
      <c r="J2657" s="554" t="s">
        <v>9219</v>
      </c>
      <c r="K2657" s="554" t="s">
        <v>9219</v>
      </c>
      <c r="L2657" s="537" t="s">
        <v>2354</v>
      </c>
    </row>
    <row r="2658" spans="1:12" x14ac:dyDescent="0.2">
      <c r="A2658" s="547" t="s">
        <v>220</v>
      </c>
      <c r="B2658" s="547" t="s">
        <v>2351</v>
      </c>
      <c r="C2658" s="554" t="s">
        <v>3929</v>
      </c>
      <c r="D2658" s="554" t="s">
        <v>3930</v>
      </c>
      <c r="E2658" s="554" t="s">
        <v>9585</v>
      </c>
      <c r="F2658" s="571">
        <v>2</v>
      </c>
      <c r="G2658" s="572">
        <v>15</v>
      </c>
      <c r="H2658" s="545">
        <v>30</v>
      </c>
      <c r="I2658" s="554" t="s">
        <v>9218</v>
      </c>
      <c r="J2658" s="554" t="s">
        <v>9219</v>
      </c>
      <c r="K2658" s="554" t="s">
        <v>9219</v>
      </c>
      <c r="L2658" s="537" t="s">
        <v>2354</v>
      </c>
    </row>
    <row r="2659" spans="1:12" x14ac:dyDescent="0.2">
      <c r="A2659" s="547" t="s">
        <v>220</v>
      </c>
      <c r="B2659" s="547" t="s">
        <v>2351</v>
      </c>
      <c r="C2659" s="554" t="s">
        <v>3931</v>
      </c>
      <c r="D2659" s="554" t="s">
        <v>3932</v>
      </c>
      <c r="E2659" s="554" t="s">
        <v>9585</v>
      </c>
      <c r="F2659" s="571">
        <v>2</v>
      </c>
      <c r="G2659" s="572">
        <v>16</v>
      </c>
      <c r="H2659" s="545">
        <v>32</v>
      </c>
      <c r="I2659" s="554" t="s">
        <v>9218</v>
      </c>
      <c r="J2659" s="554" t="s">
        <v>9219</v>
      </c>
      <c r="K2659" s="554" t="s">
        <v>9219</v>
      </c>
      <c r="L2659" s="537" t="s">
        <v>2354</v>
      </c>
    </row>
    <row r="2660" spans="1:12" x14ac:dyDescent="0.2">
      <c r="A2660" s="547" t="s">
        <v>220</v>
      </c>
      <c r="B2660" s="547" t="s">
        <v>2351</v>
      </c>
      <c r="C2660" s="554" t="s">
        <v>3933</v>
      </c>
      <c r="D2660" s="554" t="s">
        <v>3934</v>
      </c>
      <c r="E2660" s="554" t="s">
        <v>9585</v>
      </c>
      <c r="F2660" s="571">
        <v>2</v>
      </c>
      <c r="G2660" s="572">
        <v>200</v>
      </c>
      <c r="H2660" s="545">
        <v>400</v>
      </c>
      <c r="I2660" s="554" t="s">
        <v>9218</v>
      </c>
      <c r="J2660" s="554" t="s">
        <v>9219</v>
      </c>
      <c r="K2660" s="554" t="s">
        <v>9219</v>
      </c>
      <c r="L2660" s="537" t="s">
        <v>2354</v>
      </c>
    </row>
    <row r="2661" spans="1:12" x14ac:dyDescent="0.2">
      <c r="A2661" s="547" t="s">
        <v>220</v>
      </c>
      <c r="B2661" s="547" t="s">
        <v>2351</v>
      </c>
      <c r="C2661" s="554" t="s">
        <v>3935</v>
      </c>
      <c r="D2661" s="554" t="s">
        <v>3936</v>
      </c>
      <c r="E2661" s="554" t="s">
        <v>9585</v>
      </c>
      <c r="F2661" s="571">
        <v>2</v>
      </c>
      <c r="G2661" s="572">
        <v>21.29194</v>
      </c>
      <c r="H2661" s="545">
        <v>42.583880000000001</v>
      </c>
      <c r="I2661" s="554" t="s">
        <v>9218</v>
      </c>
      <c r="J2661" s="554" t="s">
        <v>9219</v>
      </c>
      <c r="K2661" s="554" t="s">
        <v>9219</v>
      </c>
      <c r="L2661" s="537" t="s">
        <v>2354</v>
      </c>
    </row>
    <row r="2662" spans="1:12" x14ac:dyDescent="0.2">
      <c r="A2662" s="547" t="s">
        <v>220</v>
      </c>
      <c r="B2662" s="547" t="s">
        <v>2351</v>
      </c>
      <c r="C2662" s="554" t="s">
        <v>3937</v>
      </c>
      <c r="D2662" s="554" t="s">
        <v>3938</v>
      </c>
      <c r="E2662" s="554" t="s">
        <v>9585</v>
      </c>
      <c r="F2662" s="571">
        <v>40</v>
      </c>
      <c r="G2662" s="572">
        <v>2.3929999999999998</v>
      </c>
      <c r="H2662" s="545">
        <v>95.72</v>
      </c>
      <c r="I2662" s="554" t="s">
        <v>9218</v>
      </c>
      <c r="J2662" s="554" t="s">
        <v>9219</v>
      </c>
      <c r="K2662" s="554" t="s">
        <v>9219</v>
      </c>
      <c r="L2662" s="537" t="s">
        <v>2354</v>
      </c>
    </row>
    <row r="2663" spans="1:12" x14ac:dyDescent="0.2">
      <c r="A2663" s="547" t="s">
        <v>220</v>
      </c>
      <c r="B2663" s="547" t="s">
        <v>2351</v>
      </c>
      <c r="C2663" s="554" t="s">
        <v>3939</v>
      </c>
      <c r="D2663" s="554" t="s">
        <v>3940</v>
      </c>
      <c r="E2663" s="554" t="s">
        <v>9585</v>
      </c>
      <c r="F2663" s="571">
        <v>2</v>
      </c>
      <c r="G2663" s="572">
        <v>25.228000000000002</v>
      </c>
      <c r="H2663" s="545">
        <v>50.456000000000003</v>
      </c>
      <c r="I2663" s="554" t="s">
        <v>9218</v>
      </c>
      <c r="J2663" s="554" t="s">
        <v>9219</v>
      </c>
      <c r="K2663" s="554" t="s">
        <v>9219</v>
      </c>
      <c r="L2663" s="537" t="s">
        <v>2354</v>
      </c>
    </row>
    <row r="2664" spans="1:12" x14ac:dyDescent="0.2">
      <c r="A2664" s="547" t="s">
        <v>220</v>
      </c>
      <c r="B2664" s="547" t="s">
        <v>2351</v>
      </c>
      <c r="C2664" s="554" t="s">
        <v>4413</v>
      </c>
      <c r="D2664" s="554" t="s">
        <v>4414</v>
      </c>
      <c r="E2664" s="554" t="s">
        <v>9585</v>
      </c>
      <c r="F2664" s="571">
        <v>1</v>
      </c>
      <c r="G2664" s="572">
        <v>3.6972</v>
      </c>
      <c r="H2664" s="545">
        <v>3.6972</v>
      </c>
      <c r="I2664" s="554" t="s">
        <v>9218</v>
      </c>
      <c r="J2664" s="554" t="s">
        <v>9219</v>
      </c>
      <c r="K2664" s="554" t="s">
        <v>9219</v>
      </c>
      <c r="L2664" s="537" t="s">
        <v>2354</v>
      </c>
    </row>
    <row r="2665" spans="1:12" x14ac:dyDescent="0.2">
      <c r="A2665" s="547" t="s">
        <v>220</v>
      </c>
      <c r="B2665" s="547" t="s">
        <v>2351</v>
      </c>
      <c r="C2665" s="554" t="s">
        <v>4417</v>
      </c>
      <c r="D2665" s="554" t="s">
        <v>4418</v>
      </c>
      <c r="E2665" s="554" t="s">
        <v>9585</v>
      </c>
      <c r="F2665" s="571">
        <v>5</v>
      </c>
      <c r="G2665" s="572">
        <v>8</v>
      </c>
      <c r="H2665" s="545">
        <v>40</v>
      </c>
      <c r="I2665" s="554" t="s">
        <v>9218</v>
      </c>
      <c r="J2665" s="554" t="s">
        <v>9219</v>
      </c>
      <c r="K2665" s="554" t="s">
        <v>9219</v>
      </c>
      <c r="L2665" s="537" t="s">
        <v>2354</v>
      </c>
    </row>
    <row r="2666" spans="1:12" x14ac:dyDescent="0.2">
      <c r="A2666" s="547" t="s">
        <v>220</v>
      </c>
      <c r="B2666" s="547" t="s">
        <v>2351</v>
      </c>
      <c r="C2666" s="554"/>
      <c r="D2666" s="554" t="s">
        <v>2355</v>
      </c>
      <c r="E2666" s="554" t="s">
        <v>9585</v>
      </c>
      <c r="F2666" s="571">
        <v>8</v>
      </c>
      <c r="G2666" s="572">
        <v>9.7360000000000007</v>
      </c>
      <c r="H2666" s="545">
        <v>77.888000000000005</v>
      </c>
      <c r="I2666" s="554" t="s">
        <v>9218</v>
      </c>
      <c r="J2666" s="554" t="s">
        <v>9219</v>
      </c>
      <c r="K2666" s="554" t="s">
        <v>9219</v>
      </c>
      <c r="L2666" s="537" t="s">
        <v>2354</v>
      </c>
    </row>
    <row r="2667" spans="1:12" x14ac:dyDescent="0.2">
      <c r="A2667" s="547" t="s">
        <v>220</v>
      </c>
      <c r="B2667" s="547" t="s">
        <v>2351</v>
      </c>
      <c r="C2667" s="554"/>
      <c r="D2667" s="554" t="s">
        <v>2359</v>
      </c>
      <c r="E2667" s="554" t="s">
        <v>9585</v>
      </c>
      <c r="F2667" s="571">
        <v>4</v>
      </c>
      <c r="G2667" s="572">
        <v>6.2939999999999996</v>
      </c>
      <c r="H2667" s="545">
        <v>25.175999999999998</v>
      </c>
      <c r="I2667" s="554" t="s">
        <v>9218</v>
      </c>
      <c r="J2667" s="554" t="s">
        <v>9219</v>
      </c>
      <c r="K2667" s="554" t="s">
        <v>9219</v>
      </c>
      <c r="L2667" s="537" t="s">
        <v>2354</v>
      </c>
    </row>
    <row r="2668" spans="1:12" x14ac:dyDescent="0.2">
      <c r="A2668" s="547" t="s">
        <v>220</v>
      </c>
      <c r="B2668" s="547" t="s">
        <v>2351</v>
      </c>
      <c r="C2668" s="554"/>
      <c r="D2668" s="554" t="s">
        <v>2358</v>
      </c>
      <c r="E2668" s="554" t="s">
        <v>9585</v>
      </c>
      <c r="F2668" s="571">
        <v>1</v>
      </c>
      <c r="G2668" s="572">
        <v>3.4860000000000002</v>
      </c>
      <c r="H2668" s="545">
        <v>3.4860000000000002</v>
      </c>
      <c r="I2668" s="554" t="s">
        <v>9218</v>
      </c>
      <c r="J2668" s="554" t="s">
        <v>9219</v>
      </c>
      <c r="K2668" s="554" t="s">
        <v>9219</v>
      </c>
      <c r="L2668" s="537" t="s">
        <v>2354</v>
      </c>
    </row>
    <row r="2669" spans="1:12" x14ac:dyDescent="0.2">
      <c r="A2669" s="547" t="s">
        <v>220</v>
      </c>
      <c r="B2669" s="547" t="s">
        <v>2351</v>
      </c>
      <c r="C2669" s="554"/>
      <c r="D2669" s="554" t="s">
        <v>9592</v>
      </c>
      <c r="E2669" s="554" t="s">
        <v>545</v>
      </c>
      <c r="F2669" s="571">
        <v>10</v>
      </c>
      <c r="G2669" s="572">
        <v>3.39</v>
      </c>
      <c r="H2669" s="545">
        <v>33.9</v>
      </c>
      <c r="I2669" s="554" t="s">
        <v>9218</v>
      </c>
      <c r="J2669" s="554" t="s">
        <v>9219</v>
      </c>
      <c r="K2669" s="554" t="s">
        <v>9219</v>
      </c>
      <c r="L2669" s="537" t="s">
        <v>2354</v>
      </c>
    </row>
    <row r="2670" spans="1:12" x14ac:dyDescent="0.2">
      <c r="A2670" s="547" t="s">
        <v>220</v>
      </c>
      <c r="B2670" s="547" t="s">
        <v>2351</v>
      </c>
      <c r="C2670" s="554"/>
      <c r="D2670" s="554" t="s">
        <v>9593</v>
      </c>
      <c r="E2670" s="554" t="s">
        <v>545</v>
      </c>
      <c r="F2670" s="571">
        <v>1</v>
      </c>
      <c r="G2670" s="572">
        <v>20.824999999999999</v>
      </c>
      <c r="H2670" s="545">
        <v>20.824999999999999</v>
      </c>
      <c r="I2670" s="554" t="s">
        <v>9218</v>
      </c>
      <c r="J2670" s="554" t="s">
        <v>9219</v>
      </c>
      <c r="K2670" s="554" t="s">
        <v>9219</v>
      </c>
      <c r="L2670" s="537" t="s">
        <v>2354</v>
      </c>
    </row>
    <row r="2671" spans="1:12" x14ac:dyDescent="0.2">
      <c r="A2671" s="547" t="s">
        <v>220</v>
      </c>
      <c r="B2671" s="547" t="s">
        <v>2351</v>
      </c>
      <c r="C2671" s="554"/>
      <c r="D2671" s="554" t="s">
        <v>9594</v>
      </c>
      <c r="E2671" s="554" t="s">
        <v>545</v>
      </c>
      <c r="F2671" s="571">
        <v>12</v>
      </c>
      <c r="G2671" s="572">
        <v>3.96</v>
      </c>
      <c r="H2671" s="545">
        <v>47.519999999999996</v>
      </c>
      <c r="I2671" s="554" t="s">
        <v>9218</v>
      </c>
      <c r="J2671" s="554" t="s">
        <v>9219</v>
      </c>
      <c r="K2671" s="554" t="s">
        <v>9219</v>
      </c>
      <c r="L2671" s="537" t="s">
        <v>2354</v>
      </c>
    </row>
    <row r="2672" spans="1:12" x14ac:dyDescent="0.2">
      <c r="A2672" s="547" t="s">
        <v>220</v>
      </c>
      <c r="B2672" s="547" t="s">
        <v>2351</v>
      </c>
      <c r="C2672" s="554"/>
      <c r="D2672" s="554" t="s">
        <v>9595</v>
      </c>
      <c r="E2672" s="554" t="s">
        <v>545</v>
      </c>
      <c r="F2672" s="571">
        <v>10</v>
      </c>
      <c r="G2672" s="572">
        <v>4</v>
      </c>
      <c r="H2672" s="545">
        <v>40</v>
      </c>
      <c r="I2672" s="554" t="s">
        <v>9218</v>
      </c>
      <c r="J2672" s="554" t="s">
        <v>9219</v>
      </c>
      <c r="K2672" s="554" t="s">
        <v>9219</v>
      </c>
      <c r="L2672" s="537" t="s">
        <v>2354</v>
      </c>
    </row>
    <row r="2673" spans="1:12" x14ac:dyDescent="0.2">
      <c r="A2673" s="547" t="s">
        <v>220</v>
      </c>
      <c r="B2673" s="547" t="s">
        <v>2351</v>
      </c>
      <c r="C2673" s="554"/>
      <c r="D2673" s="554" t="s">
        <v>9596</v>
      </c>
      <c r="E2673" s="554" t="s">
        <v>545</v>
      </c>
      <c r="F2673" s="571">
        <v>1</v>
      </c>
      <c r="G2673" s="572">
        <v>11.489000000000001</v>
      </c>
      <c r="H2673" s="545">
        <v>11.489000000000001</v>
      </c>
      <c r="I2673" s="554" t="s">
        <v>9218</v>
      </c>
      <c r="J2673" s="554" t="s">
        <v>9219</v>
      </c>
      <c r="K2673" s="554" t="s">
        <v>9219</v>
      </c>
      <c r="L2673" s="537" t="s">
        <v>2354</v>
      </c>
    </row>
    <row r="2674" spans="1:12" x14ac:dyDescent="0.2">
      <c r="A2674" s="547" t="s">
        <v>220</v>
      </c>
      <c r="B2674" s="547" t="s">
        <v>2351</v>
      </c>
      <c r="C2674" s="554"/>
      <c r="D2674" s="554" t="s">
        <v>9597</v>
      </c>
      <c r="E2674" s="554" t="s">
        <v>545</v>
      </c>
      <c r="F2674" s="571">
        <v>11</v>
      </c>
      <c r="G2674" s="572">
        <v>4.117</v>
      </c>
      <c r="H2674" s="545">
        <v>45.286999999999999</v>
      </c>
      <c r="I2674" s="554" t="s">
        <v>9218</v>
      </c>
      <c r="J2674" s="554" t="s">
        <v>9219</v>
      </c>
      <c r="K2674" s="554" t="s">
        <v>9219</v>
      </c>
      <c r="L2674" s="537" t="s">
        <v>2354</v>
      </c>
    </row>
    <row r="2675" spans="1:12" x14ac:dyDescent="0.2">
      <c r="A2675" s="547" t="s">
        <v>220</v>
      </c>
      <c r="B2675" s="547" t="s">
        <v>2351</v>
      </c>
      <c r="C2675" s="554"/>
      <c r="D2675" s="554"/>
      <c r="E2675" s="554" t="s">
        <v>545</v>
      </c>
      <c r="F2675" s="571">
        <v>8</v>
      </c>
      <c r="G2675" s="572">
        <v>1.107</v>
      </c>
      <c r="H2675" s="545">
        <v>8.8559999999999999</v>
      </c>
      <c r="I2675" s="554" t="s">
        <v>9218</v>
      </c>
      <c r="J2675" s="554" t="s">
        <v>9219</v>
      </c>
      <c r="K2675" s="554" t="s">
        <v>9219</v>
      </c>
      <c r="L2675" s="537" t="s">
        <v>2354</v>
      </c>
    </row>
    <row r="2676" spans="1:12" x14ac:dyDescent="0.2">
      <c r="A2676" s="547" t="s">
        <v>220</v>
      </c>
      <c r="B2676" s="547" t="s">
        <v>2351</v>
      </c>
      <c r="C2676" s="554"/>
      <c r="D2676" s="554" t="s">
        <v>5355</v>
      </c>
      <c r="E2676" s="554" t="s">
        <v>9585</v>
      </c>
      <c r="F2676" s="573">
        <v>1</v>
      </c>
      <c r="G2676" s="545">
        <v>0</v>
      </c>
      <c r="H2676" s="545">
        <v>0</v>
      </c>
      <c r="I2676" s="554" t="s">
        <v>9218</v>
      </c>
      <c r="J2676" s="554" t="s">
        <v>9219</v>
      </c>
      <c r="K2676" s="554" t="s">
        <v>9219</v>
      </c>
      <c r="L2676" s="537" t="s">
        <v>2354</v>
      </c>
    </row>
    <row r="2677" spans="1:12" x14ac:dyDescent="0.2">
      <c r="A2677" s="547" t="s">
        <v>220</v>
      </c>
      <c r="B2677" s="547" t="s">
        <v>2351</v>
      </c>
      <c r="C2677" s="554" t="s">
        <v>7350</v>
      </c>
      <c r="D2677" s="554" t="s">
        <v>7351</v>
      </c>
      <c r="E2677" s="554" t="s">
        <v>9585</v>
      </c>
      <c r="F2677" s="571">
        <v>9</v>
      </c>
      <c r="G2677" s="572">
        <v>6.0869999999999997</v>
      </c>
      <c r="H2677" s="545">
        <v>54.783000000000001</v>
      </c>
      <c r="I2677" s="554" t="s">
        <v>9218</v>
      </c>
      <c r="J2677" s="554" t="s">
        <v>9219</v>
      </c>
      <c r="K2677" s="554" t="s">
        <v>9219</v>
      </c>
      <c r="L2677" s="537" t="s">
        <v>2354</v>
      </c>
    </row>
    <row r="2678" spans="1:12" x14ac:dyDescent="0.2">
      <c r="A2678" s="547" t="s">
        <v>220</v>
      </c>
      <c r="B2678" s="547" t="s">
        <v>2351</v>
      </c>
      <c r="C2678" s="554" t="s">
        <v>4409</v>
      </c>
      <c r="D2678" s="554" t="s">
        <v>4410</v>
      </c>
      <c r="E2678" s="554" t="s">
        <v>545</v>
      </c>
      <c r="F2678" s="571">
        <v>1</v>
      </c>
      <c r="G2678" s="572">
        <v>8.2170000000000005</v>
      </c>
      <c r="H2678" s="545">
        <v>8.2170000000000005</v>
      </c>
      <c r="I2678" s="554" t="s">
        <v>9218</v>
      </c>
      <c r="J2678" s="554" t="s">
        <v>9219</v>
      </c>
      <c r="K2678" s="554" t="s">
        <v>9219</v>
      </c>
      <c r="L2678" s="537" t="s">
        <v>2354</v>
      </c>
    </row>
    <row r="2679" spans="1:12" x14ac:dyDescent="0.2">
      <c r="A2679" s="547" t="s">
        <v>220</v>
      </c>
      <c r="B2679" s="547" t="s">
        <v>2351</v>
      </c>
      <c r="C2679" s="554"/>
      <c r="D2679" s="554" t="s">
        <v>9393</v>
      </c>
      <c r="E2679" s="554" t="s">
        <v>545</v>
      </c>
      <c r="F2679" s="571">
        <v>2</v>
      </c>
      <c r="G2679" s="572">
        <v>17.936</v>
      </c>
      <c r="H2679" s="545">
        <v>35.872</v>
      </c>
      <c r="I2679" s="554" t="s">
        <v>9218</v>
      </c>
      <c r="J2679" s="554" t="s">
        <v>9219</v>
      </c>
      <c r="K2679" s="554" t="s">
        <v>9219</v>
      </c>
      <c r="L2679" s="537" t="s">
        <v>2354</v>
      </c>
    </row>
    <row r="2680" spans="1:12" x14ac:dyDescent="0.2">
      <c r="A2680" s="547" t="s">
        <v>220</v>
      </c>
      <c r="B2680" s="547" t="s">
        <v>2351</v>
      </c>
      <c r="C2680" s="554"/>
      <c r="D2680" s="554" t="s">
        <v>9394</v>
      </c>
      <c r="E2680" s="554" t="s">
        <v>545</v>
      </c>
      <c r="F2680" s="571">
        <v>2</v>
      </c>
      <c r="G2680" s="572">
        <v>28.747</v>
      </c>
      <c r="H2680" s="545">
        <v>57.494</v>
      </c>
      <c r="I2680" s="554" t="s">
        <v>9218</v>
      </c>
      <c r="J2680" s="554" t="s">
        <v>9219</v>
      </c>
      <c r="K2680" s="554" t="s">
        <v>9219</v>
      </c>
      <c r="L2680" s="537" t="s">
        <v>2354</v>
      </c>
    </row>
    <row r="2681" spans="1:12" x14ac:dyDescent="0.2">
      <c r="A2681" s="547" t="s">
        <v>220</v>
      </c>
      <c r="B2681" s="547" t="s">
        <v>2351</v>
      </c>
      <c r="C2681" s="554"/>
      <c r="D2681" s="554" t="s">
        <v>9395</v>
      </c>
      <c r="E2681" s="554" t="s">
        <v>545</v>
      </c>
      <c r="F2681" s="571">
        <v>2</v>
      </c>
      <c r="G2681" s="572">
        <v>16.925999999999998</v>
      </c>
      <c r="H2681" s="545">
        <v>33.851999999999997</v>
      </c>
      <c r="I2681" s="554" t="s">
        <v>9218</v>
      </c>
      <c r="J2681" s="554" t="s">
        <v>9219</v>
      </c>
      <c r="K2681" s="554" t="s">
        <v>9219</v>
      </c>
      <c r="L2681" s="537" t="s">
        <v>2354</v>
      </c>
    </row>
    <row r="2682" spans="1:12" x14ac:dyDescent="0.2">
      <c r="A2682" s="547" t="s">
        <v>220</v>
      </c>
      <c r="B2682" s="547" t="s">
        <v>2351</v>
      </c>
      <c r="C2682" s="554"/>
      <c r="D2682" s="554" t="s">
        <v>9396</v>
      </c>
      <c r="E2682" s="554" t="s">
        <v>545</v>
      </c>
      <c r="F2682" s="571">
        <v>2</v>
      </c>
      <c r="G2682" s="572">
        <v>22.925999999999998</v>
      </c>
      <c r="H2682" s="545">
        <v>45.851999999999997</v>
      </c>
      <c r="I2682" s="554" t="s">
        <v>9218</v>
      </c>
      <c r="J2682" s="554" t="s">
        <v>9219</v>
      </c>
      <c r="K2682" s="554" t="s">
        <v>9219</v>
      </c>
      <c r="L2682" s="537" t="s">
        <v>2354</v>
      </c>
    </row>
    <row r="2683" spans="1:12" x14ac:dyDescent="0.2">
      <c r="A2683" s="547" t="s">
        <v>220</v>
      </c>
      <c r="B2683" s="547" t="s">
        <v>2351</v>
      </c>
      <c r="C2683" s="554"/>
      <c r="D2683" s="554" t="s">
        <v>9397</v>
      </c>
      <c r="E2683" s="554" t="s">
        <v>545</v>
      </c>
      <c r="F2683" s="571">
        <v>2</v>
      </c>
      <c r="G2683" s="572">
        <v>43.12</v>
      </c>
      <c r="H2683" s="545">
        <v>86.24</v>
      </c>
      <c r="I2683" s="554" t="s">
        <v>9218</v>
      </c>
      <c r="J2683" s="554" t="s">
        <v>9219</v>
      </c>
      <c r="K2683" s="554" t="s">
        <v>9219</v>
      </c>
      <c r="L2683" s="537" t="s">
        <v>2354</v>
      </c>
    </row>
    <row r="2684" spans="1:12" x14ac:dyDescent="0.2">
      <c r="A2684" s="547" t="s">
        <v>220</v>
      </c>
      <c r="B2684" s="547" t="s">
        <v>2351</v>
      </c>
      <c r="C2684" s="554"/>
      <c r="D2684" s="554" t="s">
        <v>9398</v>
      </c>
      <c r="E2684" s="554" t="s">
        <v>545</v>
      </c>
      <c r="F2684" s="571">
        <v>2</v>
      </c>
      <c r="G2684" s="572">
        <v>15.423999999999999</v>
      </c>
      <c r="H2684" s="545">
        <v>30.847999999999999</v>
      </c>
      <c r="I2684" s="554" t="s">
        <v>9218</v>
      </c>
      <c r="J2684" s="554" t="s">
        <v>9219</v>
      </c>
      <c r="K2684" s="554" t="s">
        <v>9219</v>
      </c>
      <c r="L2684" s="537" t="s">
        <v>2354</v>
      </c>
    </row>
    <row r="2685" spans="1:12" x14ac:dyDescent="0.2">
      <c r="A2685" s="547" t="s">
        <v>220</v>
      </c>
      <c r="B2685" s="547" t="s">
        <v>2351</v>
      </c>
      <c r="C2685" s="554"/>
      <c r="D2685" s="554" t="s">
        <v>9399</v>
      </c>
      <c r="E2685" s="554" t="s">
        <v>545</v>
      </c>
      <c r="F2685" s="571">
        <v>1</v>
      </c>
      <c r="G2685" s="572">
        <v>4.4720000000000004</v>
      </c>
      <c r="H2685" s="545">
        <v>4.4720000000000004</v>
      </c>
      <c r="I2685" s="554" t="s">
        <v>9218</v>
      </c>
      <c r="J2685" s="554" t="s">
        <v>9219</v>
      </c>
      <c r="K2685" s="554" t="s">
        <v>9219</v>
      </c>
      <c r="L2685" s="537" t="s">
        <v>2354</v>
      </c>
    </row>
    <row r="2686" spans="1:12" x14ac:dyDescent="0.2">
      <c r="A2686" s="547" t="s">
        <v>220</v>
      </c>
      <c r="B2686" s="547" t="s">
        <v>2351</v>
      </c>
      <c r="C2686" s="554"/>
      <c r="D2686" s="554" t="s">
        <v>9400</v>
      </c>
      <c r="E2686" s="554" t="s">
        <v>545</v>
      </c>
      <c r="F2686" s="571">
        <v>1</v>
      </c>
      <c r="G2686" s="572">
        <v>5.2839999999999998</v>
      </c>
      <c r="H2686" s="545">
        <v>5.2839999999999998</v>
      </c>
      <c r="I2686" s="554" t="s">
        <v>9218</v>
      </c>
      <c r="J2686" s="554" t="s">
        <v>9219</v>
      </c>
      <c r="K2686" s="554" t="s">
        <v>9219</v>
      </c>
      <c r="L2686" s="537" t="s">
        <v>2354</v>
      </c>
    </row>
    <row r="2687" spans="1:12" x14ac:dyDescent="0.2">
      <c r="A2687" s="547" t="s">
        <v>220</v>
      </c>
      <c r="B2687" s="547" t="s">
        <v>2351</v>
      </c>
      <c r="C2687" s="554"/>
      <c r="D2687" s="554" t="s">
        <v>9401</v>
      </c>
      <c r="E2687" s="554" t="s">
        <v>545</v>
      </c>
      <c r="F2687" s="571">
        <v>1</v>
      </c>
      <c r="G2687" s="572">
        <v>2.7189999999999999</v>
      </c>
      <c r="H2687" s="545">
        <v>2.7189999999999999</v>
      </c>
      <c r="I2687" s="554" t="s">
        <v>9218</v>
      </c>
      <c r="J2687" s="554" t="s">
        <v>9219</v>
      </c>
      <c r="K2687" s="554" t="s">
        <v>9219</v>
      </c>
      <c r="L2687" s="537" t="s">
        <v>2354</v>
      </c>
    </row>
    <row r="2688" spans="1:12" x14ac:dyDescent="0.2">
      <c r="A2688" s="547" t="s">
        <v>220</v>
      </c>
      <c r="B2688" s="547" t="s">
        <v>2351</v>
      </c>
      <c r="C2688" s="554"/>
      <c r="D2688" s="554" t="s">
        <v>9402</v>
      </c>
      <c r="E2688" s="554" t="s">
        <v>545</v>
      </c>
      <c r="F2688" s="571">
        <v>1</v>
      </c>
      <c r="G2688" s="572">
        <v>5.585</v>
      </c>
      <c r="H2688" s="545">
        <v>5.585</v>
      </c>
      <c r="I2688" s="554" t="s">
        <v>9218</v>
      </c>
      <c r="J2688" s="554" t="s">
        <v>9219</v>
      </c>
      <c r="K2688" s="554" t="s">
        <v>9219</v>
      </c>
      <c r="L2688" s="537" t="s">
        <v>2354</v>
      </c>
    </row>
    <row r="2689" spans="1:12" x14ac:dyDescent="0.2">
      <c r="A2689" s="547" t="s">
        <v>220</v>
      </c>
      <c r="B2689" s="547" t="s">
        <v>2351</v>
      </c>
      <c r="C2689" s="554"/>
      <c r="D2689" s="554" t="s">
        <v>9403</v>
      </c>
      <c r="E2689" s="554" t="s">
        <v>545</v>
      </c>
      <c r="F2689" s="571">
        <v>1</v>
      </c>
      <c r="G2689" s="572">
        <v>12.202999999999999</v>
      </c>
      <c r="H2689" s="545">
        <v>12.202999999999999</v>
      </c>
      <c r="I2689" s="554" t="s">
        <v>9218</v>
      </c>
      <c r="J2689" s="554" t="s">
        <v>9219</v>
      </c>
      <c r="K2689" s="554" t="s">
        <v>9219</v>
      </c>
      <c r="L2689" s="537" t="s">
        <v>2354</v>
      </c>
    </row>
    <row r="2690" spans="1:12" x14ac:dyDescent="0.2">
      <c r="A2690" s="547" t="s">
        <v>220</v>
      </c>
      <c r="B2690" s="547" t="s">
        <v>2351</v>
      </c>
      <c r="C2690" s="554"/>
      <c r="D2690" s="554" t="s">
        <v>9404</v>
      </c>
      <c r="E2690" s="554" t="s">
        <v>545</v>
      </c>
      <c r="F2690" s="571">
        <v>1</v>
      </c>
      <c r="G2690" s="572">
        <v>15.269</v>
      </c>
      <c r="H2690" s="545">
        <v>15.269</v>
      </c>
      <c r="I2690" s="554" t="s">
        <v>9218</v>
      </c>
      <c r="J2690" s="554" t="s">
        <v>9219</v>
      </c>
      <c r="K2690" s="554" t="s">
        <v>9219</v>
      </c>
      <c r="L2690" s="537" t="s">
        <v>2354</v>
      </c>
    </row>
    <row r="2691" spans="1:12" x14ac:dyDescent="0.2">
      <c r="A2691" s="547" t="s">
        <v>220</v>
      </c>
      <c r="B2691" s="547" t="s">
        <v>2351</v>
      </c>
      <c r="C2691" s="554"/>
      <c r="D2691" s="554" t="s">
        <v>9405</v>
      </c>
      <c r="E2691" s="554" t="s">
        <v>545</v>
      </c>
      <c r="F2691" s="571">
        <v>1</v>
      </c>
      <c r="G2691" s="572">
        <v>6.8760000000000003</v>
      </c>
      <c r="H2691" s="545">
        <v>6.8760000000000003</v>
      </c>
      <c r="I2691" s="554" t="s">
        <v>9218</v>
      </c>
      <c r="J2691" s="554" t="s">
        <v>9219</v>
      </c>
      <c r="K2691" s="554" t="s">
        <v>9219</v>
      </c>
      <c r="L2691" s="537" t="s">
        <v>2354</v>
      </c>
    </row>
    <row r="2692" spans="1:12" x14ac:dyDescent="0.2">
      <c r="A2692" s="547" t="s">
        <v>220</v>
      </c>
      <c r="B2692" s="547" t="s">
        <v>2351</v>
      </c>
      <c r="C2692" s="554"/>
      <c r="D2692" s="554" t="s">
        <v>9406</v>
      </c>
      <c r="E2692" s="554" t="s">
        <v>545</v>
      </c>
      <c r="F2692" s="571">
        <v>1</v>
      </c>
      <c r="G2692" s="572">
        <v>4.03</v>
      </c>
      <c r="H2692" s="545">
        <v>4.03</v>
      </c>
      <c r="I2692" s="554" t="s">
        <v>9218</v>
      </c>
      <c r="J2692" s="554" t="s">
        <v>9219</v>
      </c>
      <c r="K2692" s="554" t="s">
        <v>9219</v>
      </c>
      <c r="L2692" s="537" t="s">
        <v>2354</v>
      </c>
    </row>
    <row r="2693" spans="1:12" x14ac:dyDescent="0.2">
      <c r="A2693" s="547" t="s">
        <v>220</v>
      </c>
      <c r="B2693" s="547" t="s">
        <v>2351</v>
      </c>
      <c r="C2693" s="554"/>
      <c r="D2693" s="554" t="s">
        <v>9407</v>
      </c>
      <c r="E2693" s="554" t="s">
        <v>545</v>
      </c>
      <c r="F2693" s="571">
        <v>1</v>
      </c>
      <c r="G2693" s="572">
        <v>5.4809999999999999</v>
      </c>
      <c r="H2693" s="545">
        <v>5.4809999999999999</v>
      </c>
      <c r="I2693" s="554" t="s">
        <v>9218</v>
      </c>
      <c r="J2693" s="554" t="s">
        <v>9219</v>
      </c>
      <c r="K2693" s="554" t="s">
        <v>9219</v>
      </c>
      <c r="L2693" s="537" t="s">
        <v>2354</v>
      </c>
    </row>
    <row r="2694" spans="1:12" x14ac:dyDescent="0.2">
      <c r="A2694" s="547" t="s">
        <v>220</v>
      </c>
      <c r="B2694" s="547" t="s">
        <v>2351</v>
      </c>
      <c r="C2694" s="554"/>
      <c r="D2694" s="554" t="s">
        <v>9408</v>
      </c>
      <c r="E2694" s="554" t="s">
        <v>545</v>
      </c>
      <c r="F2694" s="571">
        <v>1</v>
      </c>
      <c r="G2694" s="572">
        <v>4.03</v>
      </c>
      <c r="H2694" s="545">
        <v>4.03</v>
      </c>
      <c r="I2694" s="554" t="s">
        <v>9218</v>
      </c>
      <c r="J2694" s="554" t="s">
        <v>9219</v>
      </c>
      <c r="K2694" s="554" t="s">
        <v>9219</v>
      </c>
      <c r="L2694" s="537" t="s">
        <v>2354</v>
      </c>
    </row>
    <row r="2695" spans="1:12" x14ac:dyDescent="0.2">
      <c r="A2695" s="547" t="s">
        <v>220</v>
      </c>
      <c r="B2695" s="547" t="s">
        <v>2351</v>
      </c>
      <c r="C2695" s="554"/>
      <c r="D2695" s="554" t="s">
        <v>9409</v>
      </c>
      <c r="E2695" s="554" t="s">
        <v>545</v>
      </c>
      <c r="F2695" s="571">
        <v>1</v>
      </c>
      <c r="G2695" s="572">
        <v>16.157</v>
      </c>
      <c r="H2695" s="545">
        <v>16.157</v>
      </c>
      <c r="I2695" s="554" t="s">
        <v>9218</v>
      </c>
      <c r="J2695" s="554" t="s">
        <v>9219</v>
      </c>
      <c r="K2695" s="554" t="s">
        <v>9219</v>
      </c>
      <c r="L2695" s="537" t="s">
        <v>2354</v>
      </c>
    </row>
    <row r="2696" spans="1:12" x14ac:dyDescent="0.2">
      <c r="A2696" s="547" t="s">
        <v>220</v>
      </c>
      <c r="B2696" s="547" t="s">
        <v>2351</v>
      </c>
      <c r="C2696" s="554"/>
      <c r="D2696" s="554" t="s">
        <v>9410</v>
      </c>
      <c r="E2696" s="554" t="s">
        <v>545</v>
      </c>
      <c r="F2696" s="571">
        <v>1</v>
      </c>
      <c r="G2696" s="572">
        <v>29.384</v>
      </c>
      <c r="H2696" s="545">
        <v>29.384</v>
      </c>
      <c r="I2696" s="554" t="s">
        <v>9218</v>
      </c>
      <c r="J2696" s="554" t="s">
        <v>9219</v>
      </c>
      <c r="K2696" s="554" t="s">
        <v>9219</v>
      </c>
      <c r="L2696" s="537" t="s">
        <v>2354</v>
      </c>
    </row>
    <row r="2697" spans="1:12" x14ac:dyDescent="0.2">
      <c r="A2697" s="547" t="s">
        <v>220</v>
      </c>
      <c r="B2697" s="547" t="s">
        <v>2351</v>
      </c>
      <c r="C2697" s="554"/>
      <c r="D2697" s="554" t="s">
        <v>9399</v>
      </c>
      <c r="E2697" s="554" t="s">
        <v>545</v>
      </c>
      <c r="F2697" s="571">
        <v>1</v>
      </c>
      <c r="G2697" s="572">
        <v>4.4720000000000004</v>
      </c>
      <c r="H2697" s="545">
        <v>4.4720000000000004</v>
      </c>
      <c r="I2697" s="554" t="s">
        <v>9218</v>
      </c>
      <c r="J2697" s="554" t="s">
        <v>9219</v>
      </c>
      <c r="K2697" s="554" t="s">
        <v>9219</v>
      </c>
      <c r="L2697" s="537" t="s">
        <v>2354</v>
      </c>
    </row>
    <row r="2698" spans="1:12" x14ac:dyDescent="0.2">
      <c r="A2698" s="547" t="s">
        <v>220</v>
      </c>
      <c r="B2698" s="547" t="s">
        <v>2351</v>
      </c>
      <c r="C2698" s="554"/>
      <c r="D2698" s="554" t="s">
        <v>9400</v>
      </c>
      <c r="E2698" s="554" t="s">
        <v>545</v>
      </c>
      <c r="F2698" s="571">
        <v>1</v>
      </c>
      <c r="G2698" s="572">
        <v>5.2839999999999998</v>
      </c>
      <c r="H2698" s="545">
        <v>5.2839999999999998</v>
      </c>
      <c r="I2698" s="554" t="s">
        <v>9218</v>
      </c>
      <c r="J2698" s="554" t="s">
        <v>9219</v>
      </c>
      <c r="K2698" s="554" t="s">
        <v>9219</v>
      </c>
      <c r="L2698" s="537" t="s">
        <v>2354</v>
      </c>
    </row>
    <row r="2699" spans="1:12" x14ac:dyDescent="0.2">
      <c r="A2699" s="547" t="s">
        <v>220</v>
      </c>
      <c r="B2699" s="547" t="s">
        <v>2351</v>
      </c>
      <c r="C2699" s="554"/>
      <c r="D2699" s="554" t="s">
        <v>9401</v>
      </c>
      <c r="E2699" s="554" t="s">
        <v>545</v>
      </c>
      <c r="F2699" s="571">
        <v>1</v>
      </c>
      <c r="G2699" s="572">
        <v>2.7189999999999999</v>
      </c>
      <c r="H2699" s="545">
        <v>2.7189999999999999</v>
      </c>
      <c r="I2699" s="554" t="s">
        <v>9218</v>
      </c>
      <c r="J2699" s="554" t="s">
        <v>9219</v>
      </c>
      <c r="K2699" s="554" t="s">
        <v>9219</v>
      </c>
      <c r="L2699" s="537" t="s">
        <v>2354</v>
      </c>
    </row>
    <row r="2700" spans="1:12" x14ac:dyDescent="0.2">
      <c r="A2700" s="547" t="s">
        <v>220</v>
      </c>
      <c r="B2700" s="547" t="s">
        <v>2351</v>
      </c>
      <c r="C2700" s="554"/>
      <c r="D2700" s="554" t="s">
        <v>9402</v>
      </c>
      <c r="E2700" s="554" t="s">
        <v>545</v>
      </c>
      <c r="F2700" s="571">
        <v>1</v>
      </c>
      <c r="G2700" s="572">
        <v>5.585</v>
      </c>
      <c r="H2700" s="545">
        <v>5.585</v>
      </c>
      <c r="I2700" s="554" t="s">
        <v>9218</v>
      </c>
      <c r="J2700" s="554" t="s">
        <v>9219</v>
      </c>
      <c r="K2700" s="554" t="s">
        <v>9219</v>
      </c>
      <c r="L2700" s="537" t="s">
        <v>2354</v>
      </c>
    </row>
    <row r="2701" spans="1:12" x14ac:dyDescent="0.2">
      <c r="A2701" s="547" t="s">
        <v>220</v>
      </c>
      <c r="B2701" s="547" t="s">
        <v>2351</v>
      </c>
      <c r="C2701" s="554"/>
      <c r="D2701" s="554" t="s">
        <v>9403</v>
      </c>
      <c r="E2701" s="554" t="s">
        <v>545</v>
      </c>
      <c r="F2701" s="571">
        <v>1</v>
      </c>
      <c r="G2701" s="572">
        <v>7.5289999999999999</v>
      </c>
      <c r="H2701" s="545">
        <v>7.5289999999999999</v>
      </c>
      <c r="I2701" s="554" t="s">
        <v>9218</v>
      </c>
      <c r="J2701" s="554" t="s">
        <v>9219</v>
      </c>
      <c r="K2701" s="554" t="s">
        <v>9219</v>
      </c>
      <c r="L2701" s="537" t="s">
        <v>2354</v>
      </c>
    </row>
    <row r="2702" spans="1:12" x14ac:dyDescent="0.2">
      <c r="A2702" s="547" t="s">
        <v>220</v>
      </c>
      <c r="B2702" s="547" t="s">
        <v>2351</v>
      </c>
      <c r="C2702" s="554"/>
      <c r="D2702" s="554" t="s">
        <v>9411</v>
      </c>
      <c r="E2702" s="554" t="s">
        <v>545</v>
      </c>
      <c r="F2702" s="571">
        <v>1</v>
      </c>
      <c r="G2702" s="572">
        <v>15.295999999999999</v>
      </c>
      <c r="H2702" s="545">
        <v>15.295999999999999</v>
      </c>
      <c r="I2702" s="554" t="s">
        <v>9218</v>
      </c>
      <c r="J2702" s="554" t="s">
        <v>9219</v>
      </c>
      <c r="K2702" s="554" t="s">
        <v>9219</v>
      </c>
      <c r="L2702" s="537" t="s">
        <v>2354</v>
      </c>
    </row>
    <row r="2703" spans="1:12" x14ac:dyDescent="0.2">
      <c r="A2703" s="547" t="s">
        <v>220</v>
      </c>
      <c r="B2703" s="547" t="s">
        <v>2351</v>
      </c>
      <c r="C2703" s="554"/>
      <c r="D2703" s="554" t="s">
        <v>9405</v>
      </c>
      <c r="E2703" s="554" t="s">
        <v>545</v>
      </c>
      <c r="F2703" s="571">
        <v>1</v>
      </c>
      <c r="G2703" s="572">
        <v>6.8760000000000003</v>
      </c>
      <c r="H2703" s="545">
        <v>6.8760000000000003</v>
      </c>
      <c r="I2703" s="554" t="s">
        <v>9218</v>
      </c>
      <c r="J2703" s="554" t="s">
        <v>9219</v>
      </c>
      <c r="K2703" s="554" t="s">
        <v>9219</v>
      </c>
      <c r="L2703" s="537" t="s">
        <v>2354</v>
      </c>
    </row>
    <row r="2704" spans="1:12" x14ac:dyDescent="0.2">
      <c r="A2704" s="547" t="s">
        <v>220</v>
      </c>
      <c r="B2704" s="547" t="s">
        <v>2351</v>
      </c>
      <c r="C2704" s="554"/>
      <c r="D2704" s="554" t="s">
        <v>9406</v>
      </c>
      <c r="E2704" s="554" t="s">
        <v>545</v>
      </c>
      <c r="F2704" s="571">
        <v>1</v>
      </c>
      <c r="G2704" s="572">
        <v>4.03</v>
      </c>
      <c r="H2704" s="545">
        <v>4.03</v>
      </c>
      <c r="I2704" s="554" t="s">
        <v>9218</v>
      </c>
      <c r="J2704" s="554" t="s">
        <v>9219</v>
      </c>
      <c r="K2704" s="554" t="s">
        <v>9219</v>
      </c>
      <c r="L2704" s="537" t="s">
        <v>2354</v>
      </c>
    </row>
    <row r="2705" spans="1:12" x14ac:dyDescent="0.2">
      <c r="A2705" s="547" t="s">
        <v>220</v>
      </c>
      <c r="B2705" s="547" t="s">
        <v>2351</v>
      </c>
      <c r="C2705" s="554"/>
      <c r="D2705" s="554" t="s">
        <v>9407</v>
      </c>
      <c r="E2705" s="554" t="s">
        <v>545</v>
      </c>
      <c r="F2705" s="571">
        <v>1</v>
      </c>
      <c r="G2705" s="572">
        <v>5.4809999999999999</v>
      </c>
      <c r="H2705" s="545">
        <v>5.4809999999999999</v>
      </c>
      <c r="I2705" s="554" t="s">
        <v>9218</v>
      </c>
      <c r="J2705" s="554" t="s">
        <v>9219</v>
      </c>
      <c r="K2705" s="554" t="s">
        <v>9219</v>
      </c>
      <c r="L2705" s="537" t="s">
        <v>2354</v>
      </c>
    </row>
    <row r="2706" spans="1:12" x14ac:dyDescent="0.2">
      <c r="A2706" s="547" t="s">
        <v>220</v>
      </c>
      <c r="B2706" s="547" t="s">
        <v>2351</v>
      </c>
      <c r="C2706" s="554"/>
      <c r="D2706" s="554" t="s">
        <v>9408</v>
      </c>
      <c r="E2706" s="554" t="s">
        <v>545</v>
      </c>
      <c r="F2706" s="571">
        <v>1</v>
      </c>
      <c r="G2706" s="572">
        <v>4.415</v>
      </c>
      <c r="H2706" s="545">
        <v>4.415</v>
      </c>
      <c r="I2706" s="554" t="s">
        <v>9218</v>
      </c>
      <c r="J2706" s="554" t="s">
        <v>9219</v>
      </c>
      <c r="K2706" s="554" t="s">
        <v>9219</v>
      </c>
      <c r="L2706" s="537" t="s">
        <v>2354</v>
      </c>
    </row>
    <row r="2707" spans="1:12" x14ac:dyDescent="0.2">
      <c r="A2707" s="547" t="s">
        <v>220</v>
      </c>
      <c r="B2707" s="547" t="s">
        <v>2351</v>
      </c>
      <c r="C2707" s="554"/>
      <c r="D2707" s="554" t="s">
        <v>9412</v>
      </c>
      <c r="E2707" s="554" t="s">
        <v>545</v>
      </c>
      <c r="F2707" s="571">
        <v>1</v>
      </c>
      <c r="G2707" s="572">
        <v>8.577</v>
      </c>
      <c r="H2707" s="545">
        <v>8.577</v>
      </c>
      <c r="I2707" s="554" t="s">
        <v>9218</v>
      </c>
      <c r="J2707" s="554" t="s">
        <v>9219</v>
      </c>
      <c r="K2707" s="554" t="s">
        <v>9219</v>
      </c>
      <c r="L2707" s="537" t="s">
        <v>2354</v>
      </c>
    </row>
    <row r="2708" spans="1:12" x14ac:dyDescent="0.2">
      <c r="A2708" s="547" t="s">
        <v>220</v>
      </c>
      <c r="B2708" s="547" t="s">
        <v>2351</v>
      </c>
      <c r="C2708" s="554"/>
      <c r="D2708" s="554" t="s">
        <v>9413</v>
      </c>
      <c r="E2708" s="554" t="s">
        <v>545</v>
      </c>
      <c r="F2708" s="571">
        <v>1</v>
      </c>
      <c r="G2708" s="572">
        <v>22.012</v>
      </c>
      <c r="H2708" s="545">
        <v>22.012</v>
      </c>
      <c r="I2708" s="554" t="s">
        <v>9218</v>
      </c>
      <c r="J2708" s="554" t="s">
        <v>9219</v>
      </c>
      <c r="K2708" s="554" t="s">
        <v>9219</v>
      </c>
      <c r="L2708" s="537" t="s">
        <v>2354</v>
      </c>
    </row>
    <row r="2709" spans="1:12" x14ac:dyDescent="0.2">
      <c r="A2709" s="547" t="s">
        <v>220</v>
      </c>
      <c r="B2709" s="547" t="s">
        <v>2351</v>
      </c>
      <c r="C2709" s="554"/>
      <c r="D2709" s="554" t="s">
        <v>9414</v>
      </c>
      <c r="E2709" s="554" t="s">
        <v>545</v>
      </c>
      <c r="F2709" s="571">
        <v>1</v>
      </c>
      <c r="G2709" s="572">
        <v>13.14</v>
      </c>
      <c r="H2709" s="545">
        <v>13.14</v>
      </c>
      <c r="I2709" s="554" t="s">
        <v>9218</v>
      </c>
      <c r="J2709" s="554" t="s">
        <v>9219</v>
      </c>
      <c r="K2709" s="554" t="s">
        <v>9219</v>
      </c>
      <c r="L2709" s="537" t="s">
        <v>2354</v>
      </c>
    </row>
    <row r="2710" spans="1:12" x14ac:dyDescent="0.2">
      <c r="A2710" s="547" t="s">
        <v>220</v>
      </c>
      <c r="B2710" s="547" t="s">
        <v>2351</v>
      </c>
      <c r="C2710" s="554"/>
      <c r="D2710" s="554" t="s">
        <v>9415</v>
      </c>
      <c r="E2710" s="554" t="s">
        <v>545</v>
      </c>
      <c r="F2710" s="571">
        <v>1</v>
      </c>
      <c r="G2710" s="572">
        <v>16.099</v>
      </c>
      <c r="H2710" s="545">
        <v>16.099</v>
      </c>
      <c r="I2710" s="554" t="s">
        <v>9218</v>
      </c>
      <c r="J2710" s="554" t="s">
        <v>9219</v>
      </c>
      <c r="K2710" s="554" t="s">
        <v>9219</v>
      </c>
      <c r="L2710" s="537" t="s">
        <v>2354</v>
      </c>
    </row>
    <row r="2711" spans="1:12" x14ac:dyDescent="0.2">
      <c r="A2711" s="547" t="s">
        <v>220</v>
      </c>
      <c r="B2711" s="547" t="s">
        <v>2351</v>
      </c>
      <c r="C2711" s="554"/>
      <c r="D2711" s="554" t="s">
        <v>9416</v>
      </c>
      <c r="E2711" s="554" t="s">
        <v>545</v>
      </c>
      <c r="F2711" s="571">
        <v>1</v>
      </c>
      <c r="G2711" s="572">
        <v>4.03</v>
      </c>
      <c r="H2711" s="545">
        <v>4.03</v>
      </c>
      <c r="I2711" s="554" t="s">
        <v>9218</v>
      </c>
      <c r="J2711" s="554" t="s">
        <v>9219</v>
      </c>
      <c r="K2711" s="554" t="s">
        <v>9219</v>
      </c>
      <c r="L2711" s="537" t="s">
        <v>2354</v>
      </c>
    </row>
    <row r="2712" spans="1:12" x14ac:dyDescent="0.2">
      <c r="A2712" s="547" t="s">
        <v>220</v>
      </c>
      <c r="B2712" s="547" t="s">
        <v>2351</v>
      </c>
      <c r="C2712" s="554"/>
      <c r="D2712" s="554" t="s">
        <v>9417</v>
      </c>
      <c r="E2712" s="554" t="s">
        <v>545</v>
      </c>
      <c r="F2712" s="571">
        <v>1</v>
      </c>
      <c r="G2712" s="572">
        <v>16.157</v>
      </c>
      <c r="H2712" s="545">
        <v>16.157</v>
      </c>
      <c r="I2712" s="554" t="s">
        <v>9218</v>
      </c>
      <c r="J2712" s="554" t="s">
        <v>9219</v>
      </c>
      <c r="K2712" s="554" t="s">
        <v>9219</v>
      </c>
      <c r="L2712" s="537" t="s">
        <v>2354</v>
      </c>
    </row>
    <row r="2713" spans="1:12" x14ac:dyDescent="0.2">
      <c r="A2713" s="547" t="s">
        <v>220</v>
      </c>
      <c r="B2713" s="547" t="s">
        <v>2351</v>
      </c>
      <c r="C2713" s="554"/>
      <c r="D2713" s="554" t="s">
        <v>9410</v>
      </c>
      <c r="E2713" s="554" t="s">
        <v>545</v>
      </c>
      <c r="F2713" s="571">
        <v>1</v>
      </c>
      <c r="G2713" s="572">
        <v>29.384</v>
      </c>
      <c r="H2713" s="545">
        <v>29.384</v>
      </c>
      <c r="I2713" s="554" t="s">
        <v>9218</v>
      </c>
      <c r="J2713" s="554" t="s">
        <v>9219</v>
      </c>
      <c r="K2713" s="554" t="s">
        <v>9219</v>
      </c>
      <c r="L2713" s="537" t="s">
        <v>2354</v>
      </c>
    </row>
    <row r="2714" spans="1:12" x14ac:dyDescent="0.2">
      <c r="A2714" s="547" t="s">
        <v>220</v>
      </c>
      <c r="B2714" s="547" t="s">
        <v>2351</v>
      </c>
      <c r="C2714" s="554"/>
      <c r="D2714" s="554" t="s">
        <v>9399</v>
      </c>
      <c r="E2714" s="554" t="s">
        <v>545</v>
      </c>
      <c r="F2714" s="571">
        <v>1</v>
      </c>
      <c r="G2714" s="572">
        <v>4.4720000000000004</v>
      </c>
      <c r="H2714" s="545">
        <v>4.4720000000000004</v>
      </c>
      <c r="I2714" s="554" t="s">
        <v>9218</v>
      </c>
      <c r="J2714" s="554" t="s">
        <v>9219</v>
      </c>
      <c r="K2714" s="554" t="s">
        <v>9219</v>
      </c>
      <c r="L2714" s="537" t="s">
        <v>2354</v>
      </c>
    </row>
    <row r="2715" spans="1:12" x14ac:dyDescent="0.2">
      <c r="A2715" s="547" t="s">
        <v>220</v>
      </c>
      <c r="B2715" s="547" t="s">
        <v>2351</v>
      </c>
      <c r="C2715" s="554"/>
      <c r="D2715" s="554" t="s">
        <v>9400</v>
      </c>
      <c r="E2715" s="554" t="s">
        <v>545</v>
      </c>
      <c r="F2715" s="571">
        <v>1</v>
      </c>
      <c r="G2715" s="572">
        <v>5.2839999999999998</v>
      </c>
      <c r="H2715" s="545">
        <v>5.2839999999999998</v>
      </c>
      <c r="I2715" s="554" t="s">
        <v>9218</v>
      </c>
      <c r="J2715" s="554" t="s">
        <v>9219</v>
      </c>
      <c r="K2715" s="554" t="s">
        <v>9219</v>
      </c>
      <c r="L2715" s="537" t="s">
        <v>2354</v>
      </c>
    </row>
    <row r="2716" spans="1:12" x14ac:dyDescent="0.2">
      <c r="A2716" s="547" t="s">
        <v>220</v>
      </c>
      <c r="B2716" s="547" t="s">
        <v>2351</v>
      </c>
      <c r="C2716" s="554"/>
      <c r="D2716" s="554" t="s">
        <v>9401</v>
      </c>
      <c r="E2716" s="554" t="s">
        <v>545</v>
      </c>
      <c r="F2716" s="571">
        <v>1</v>
      </c>
      <c r="G2716" s="572">
        <v>2.7189999999999999</v>
      </c>
      <c r="H2716" s="545">
        <v>2.7189999999999999</v>
      </c>
      <c r="I2716" s="554" t="s">
        <v>9218</v>
      </c>
      <c r="J2716" s="554" t="s">
        <v>9219</v>
      </c>
      <c r="K2716" s="554" t="s">
        <v>9219</v>
      </c>
      <c r="L2716" s="537" t="s">
        <v>2354</v>
      </c>
    </row>
    <row r="2717" spans="1:12" x14ac:dyDescent="0.2">
      <c r="A2717" s="547" t="s">
        <v>220</v>
      </c>
      <c r="B2717" s="547" t="s">
        <v>2351</v>
      </c>
      <c r="C2717" s="554"/>
      <c r="D2717" s="554" t="s">
        <v>9402</v>
      </c>
      <c r="E2717" s="554" t="s">
        <v>545</v>
      </c>
      <c r="F2717" s="571">
        <v>1</v>
      </c>
      <c r="G2717" s="572">
        <v>5.585</v>
      </c>
      <c r="H2717" s="545">
        <v>5.585</v>
      </c>
      <c r="I2717" s="554" t="s">
        <v>9218</v>
      </c>
      <c r="J2717" s="554" t="s">
        <v>9219</v>
      </c>
      <c r="K2717" s="554" t="s">
        <v>9219</v>
      </c>
      <c r="L2717" s="537" t="s">
        <v>2354</v>
      </c>
    </row>
    <row r="2718" spans="1:12" x14ac:dyDescent="0.2">
      <c r="A2718" s="547" t="s">
        <v>220</v>
      </c>
      <c r="B2718" s="547" t="s">
        <v>2351</v>
      </c>
      <c r="C2718" s="554"/>
      <c r="D2718" s="554" t="s">
        <v>9403</v>
      </c>
      <c r="E2718" s="554" t="s">
        <v>545</v>
      </c>
      <c r="F2718" s="571">
        <v>1</v>
      </c>
      <c r="G2718" s="572">
        <v>15.295999999999999</v>
      </c>
      <c r="H2718" s="545">
        <v>15.295999999999999</v>
      </c>
      <c r="I2718" s="554" t="s">
        <v>9218</v>
      </c>
      <c r="J2718" s="554" t="s">
        <v>9219</v>
      </c>
      <c r="K2718" s="554" t="s">
        <v>9219</v>
      </c>
      <c r="L2718" s="537" t="s">
        <v>2354</v>
      </c>
    </row>
    <row r="2719" spans="1:12" x14ac:dyDescent="0.2">
      <c r="A2719" s="547" t="s">
        <v>220</v>
      </c>
      <c r="B2719" s="547" t="s">
        <v>2351</v>
      </c>
      <c r="C2719" s="554"/>
      <c r="D2719" s="554" t="s">
        <v>9405</v>
      </c>
      <c r="E2719" s="554" t="s">
        <v>545</v>
      </c>
      <c r="F2719" s="571">
        <v>1</v>
      </c>
      <c r="G2719" s="572">
        <v>6.8760000000000003</v>
      </c>
      <c r="H2719" s="545">
        <v>6.8760000000000003</v>
      </c>
      <c r="I2719" s="554" t="s">
        <v>9218</v>
      </c>
      <c r="J2719" s="554" t="s">
        <v>9219</v>
      </c>
      <c r="K2719" s="554" t="s">
        <v>9219</v>
      </c>
      <c r="L2719" s="537" t="s">
        <v>2354</v>
      </c>
    </row>
    <row r="2720" spans="1:12" x14ac:dyDescent="0.2">
      <c r="A2720" s="547" t="s">
        <v>220</v>
      </c>
      <c r="B2720" s="547" t="s">
        <v>2351</v>
      </c>
      <c r="C2720" s="554"/>
      <c r="D2720" s="554" t="s">
        <v>9406</v>
      </c>
      <c r="E2720" s="554" t="s">
        <v>545</v>
      </c>
      <c r="F2720" s="571">
        <v>1</v>
      </c>
      <c r="G2720" s="572">
        <v>4.03</v>
      </c>
      <c r="H2720" s="545">
        <v>4.03</v>
      </c>
      <c r="I2720" s="554" t="s">
        <v>9218</v>
      </c>
      <c r="J2720" s="554" t="s">
        <v>9219</v>
      </c>
      <c r="K2720" s="554" t="s">
        <v>9219</v>
      </c>
      <c r="L2720" s="537" t="s">
        <v>2354</v>
      </c>
    </row>
    <row r="2721" spans="1:12" x14ac:dyDescent="0.2">
      <c r="A2721" s="547" t="s">
        <v>220</v>
      </c>
      <c r="B2721" s="547" t="s">
        <v>2351</v>
      </c>
      <c r="C2721" s="554"/>
      <c r="D2721" s="554" t="s">
        <v>9407</v>
      </c>
      <c r="E2721" s="554" t="s">
        <v>545</v>
      </c>
      <c r="F2721" s="571">
        <v>1</v>
      </c>
      <c r="G2721" s="572">
        <v>5.4809999999999999</v>
      </c>
      <c r="H2721" s="545">
        <v>5.4809999999999999</v>
      </c>
      <c r="I2721" s="554" t="s">
        <v>9218</v>
      </c>
      <c r="J2721" s="554" t="s">
        <v>9219</v>
      </c>
      <c r="K2721" s="554" t="s">
        <v>9219</v>
      </c>
      <c r="L2721" s="537" t="s">
        <v>2354</v>
      </c>
    </row>
    <row r="2722" spans="1:12" x14ac:dyDescent="0.2">
      <c r="A2722" s="547" t="s">
        <v>220</v>
      </c>
      <c r="B2722" s="547" t="s">
        <v>2351</v>
      </c>
      <c r="C2722" s="554"/>
      <c r="D2722" s="554" t="s">
        <v>9408</v>
      </c>
      <c r="E2722" s="554" t="s">
        <v>545</v>
      </c>
      <c r="F2722" s="571">
        <v>1</v>
      </c>
      <c r="G2722" s="572">
        <v>4.415</v>
      </c>
      <c r="H2722" s="545">
        <v>4.415</v>
      </c>
      <c r="I2722" s="554" t="s">
        <v>9218</v>
      </c>
      <c r="J2722" s="554" t="s">
        <v>9219</v>
      </c>
      <c r="K2722" s="554" t="s">
        <v>9219</v>
      </c>
      <c r="L2722" s="537" t="s">
        <v>2354</v>
      </c>
    </row>
    <row r="2723" spans="1:12" x14ac:dyDescent="0.2">
      <c r="A2723" s="547" t="s">
        <v>220</v>
      </c>
      <c r="B2723" s="547" t="s">
        <v>2351</v>
      </c>
      <c r="C2723" s="554"/>
      <c r="D2723" s="554" t="s">
        <v>9412</v>
      </c>
      <c r="E2723" s="554" t="s">
        <v>545</v>
      </c>
      <c r="F2723" s="571">
        <v>1</v>
      </c>
      <c r="G2723" s="572">
        <v>8.577</v>
      </c>
      <c r="H2723" s="545">
        <v>8.577</v>
      </c>
      <c r="I2723" s="554" t="s">
        <v>9218</v>
      </c>
      <c r="J2723" s="554" t="s">
        <v>9219</v>
      </c>
      <c r="K2723" s="554" t="s">
        <v>9219</v>
      </c>
      <c r="L2723" s="537" t="s">
        <v>2354</v>
      </c>
    </row>
    <row r="2724" spans="1:12" x14ac:dyDescent="0.2">
      <c r="A2724" s="547" t="s">
        <v>220</v>
      </c>
      <c r="B2724" s="547" t="s">
        <v>2351</v>
      </c>
      <c r="C2724" s="554"/>
      <c r="D2724" s="554" t="s">
        <v>9413</v>
      </c>
      <c r="E2724" s="554" t="s">
        <v>545</v>
      </c>
      <c r="F2724" s="571">
        <v>1</v>
      </c>
      <c r="G2724" s="572">
        <v>22.012</v>
      </c>
      <c r="H2724" s="545">
        <v>22.012</v>
      </c>
      <c r="I2724" s="554" t="s">
        <v>9218</v>
      </c>
      <c r="J2724" s="554" t="s">
        <v>9219</v>
      </c>
      <c r="K2724" s="554" t="s">
        <v>9219</v>
      </c>
      <c r="L2724" s="537" t="s">
        <v>2354</v>
      </c>
    </row>
    <row r="2725" spans="1:12" x14ac:dyDescent="0.2">
      <c r="A2725" s="547" t="s">
        <v>220</v>
      </c>
      <c r="B2725" s="547" t="s">
        <v>2351</v>
      </c>
      <c r="C2725" s="554"/>
      <c r="D2725" s="554" t="s">
        <v>9414</v>
      </c>
      <c r="E2725" s="554" t="s">
        <v>545</v>
      </c>
      <c r="F2725" s="571">
        <v>1</v>
      </c>
      <c r="G2725" s="572">
        <v>13.14</v>
      </c>
      <c r="H2725" s="545">
        <v>13.14</v>
      </c>
      <c r="I2725" s="554" t="s">
        <v>9218</v>
      </c>
      <c r="J2725" s="554" t="s">
        <v>9219</v>
      </c>
      <c r="K2725" s="554" t="s">
        <v>9219</v>
      </c>
      <c r="L2725" s="537" t="s">
        <v>2354</v>
      </c>
    </row>
    <row r="2726" spans="1:12" x14ac:dyDescent="0.2">
      <c r="A2726" s="547" t="s">
        <v>220</v>
      </c>
      <c r="B2726" s="547" t="s">
        <v>2351</v>
      </c>
      <c r="C2726" s="554"/>
      <c r="D2726" s="554" t="s">
        <v>9415</v>
      </c>
      <c r="E2726" s="554" t="s">
        <v>545</v>
      </c>
      <c r="F2726" s="571">
        <v>1</v>
      </c>
      <c r="G2726" s="572">
        <v>4.03</v>
      </c>
      <c r="H2726" s="545">
        <v>4.03</v>
      </c>
      <c r="I2726" s="554" t="s">
        <v>9218</v>
      </c>
      <c r="J2726" s="554" t="s">
        <v>9219</v>
      </c>
      <c r="K2726" s="554" t="s">
        <v>9219</v>
      </c>
      <c r="L2726" s="537" t="s">
        <v>2354</v>
      </c>
    </row>
    <row r="2727" spans="1:12" x14ac:dyDescent="0.2">
      <c r="A2727" s="547" t="s">
        <v>220</v>
      </c>
      <c r="B2727" s="547" t="s">
        <v>2351</v>
      </c>
      <c r="C2727" s="554"/>
      <c r="D2727" s="554" t="s">
        <v>9417</v>
      </c>
      <c r="E2727" s="554" t="s">
        <v>545</v>
      </c>
      <c r="F2727" s="571">
        <v>1</v>
      </c>
      <c r="G2727" s="572">
        <v>16.157</v>
      </c>
      <c r="H2727" s="545">
        <v>16.157</v>
      </c>
      <c r="I2727" s="554" t="s">
        <v>9218</v>
      </c>
      <c r="J2727" s="554" t="s">
        <v>9219</v>
      </c>
      <c r="K2727" s="554" t="s">
        <v>9219</v>
      </c>
      <c r="L2727" s="537" t="s">
        <v>2354</v>
      </c>
    </row>
    <row r="2728" spans="1:12" x14ac:dyDescent="0.2">
      <c r="A2728" s="547" t="s">
        <v>220</v>
      </c>
      <c r="B2728" s="547" t="s">
        <v>2351</v>
      </c>
      <c r="C2728" s="554"/>
      <c r="D2728" s="554" t="s">
        <v>9410</v>
      </c>
      <c r="E2728" s="554" t="s">
        <v>545</v>
      </c>
      <c r="F2728" s="571">
        <v>1</v>
      </c>
      <c r="G2728" s="572">
        <v>29.384</v>
      </c>
      <c r="H2728" s="545">
        <v>29.384</v>
      </c>
      <c r="I2728" s="554" t="s">
        <v>9218</v>
      </c>
      <c r="J2728" s="554" t="s">
        <v>9219</v>
      </c>
      <c r="K2728" s="554" t="s">
        <v>9219</v>
      </c>
      <c r="L2728" s="537" t="s">
        <v>2354</v>
      </c>
    </row>
    <row r="2729" spans="1:12" x14ac:dyDescent="0.2">
      <c r="A2729" s="547" t="s">
        <v>220</v>
      </c>
      <c r="B2729" s="547" t="s">
        <v>2351</v>
      </c>
      <c r="C2729" s="554"/>
      <c r="D2729" s="554" t="s">
        <v>9399</v>
      </c>
      <c r="E2729" s="554" t="s">
        <v>545</v>
      </c>
      <c r="F2729" s="571">
        <v>1</v>
      </c>
      <c r="G2729" s="572">
        <v>4.4720000000000004</v>
      </c>
      <c r="H2729" s="545">
        <v>4.4720000000000004</v>
      </c>
      <c r="I2729" s="554" t="s">
        <v>9218</v>
      </c>
      <c r="J2729" s="554" t="s">
        <v>9219</v>
      </c>
      <c r="K2729" s="554" t="s">
        <v>9219</v>
      </c>
      <c r="L2729" s="537" t="s">
        <v>2354</v>
      </c>
    </row>
    <row r="2730" spans="1:12" x14ac:dyDescent="0.2">
      <c r="A2730" s="547" t="s">
        <v>220</v>
      </c>
      <c r="B2730" s="547" t="s">
        <v>2351</v>
      </c>
      <c r="C2730" s="554"/>
      <c r="D2730" s="554" t="s">
        <v>9400</v>
      </c>
      <c r="E2730" s="554" t="s">
        <v>545</v>
      </c>
      <c r="F2730" s="571">
        <v>1</v>
      </c>
      <c r="G2730" s="572">
        <v>5.2839999999999998</v>
      </c>
      <c r="H2730" s="545">
        <v>5.2839999999999998</v>
      </c>
      <c r="I2730" s="554" t="s">
        <v>9218</v>
      </c>
      <c r="J2730" s="554" t="s">
        <v>9219</v>
      </c>
      <c r="K2730" s="554" t="s">
        <v>9219</v>
      </c>
      <c r="L2730" s="537" t="s">
        <v>2354</v>
      </c>
    </row>
    <row r="2731" spans="1:12" x14ac:dyDescent="0.2">
      <c r="A2731" s="547" t="s">
        <v>220</v>
      </c>
      <c r="B2731" s="547" t="s">
        <v>2351</v>
      </c>
      <c r="C2731" s="554"/>
      <c r="D2731" s="554" t="s">
        <v>9401</v>
      </c>
      <c r="E2731" s="554" t="s">
        <v>545</v>
      </c>
      <c r="F2731" s="571">
        <v>1</v>
      </c>
      <c r="G2731" s="572">
        <v>2.7189999999999999</v>
      </c>
      <c r="H2731" s="545">
        <v>2.7189999999999999</v>
      </c>
      <c r="I2731" s="554" t="s">
        <v>9218</v>
      </c>
      <c r="J2731" s="554" t="s">
        <v>9219</v>
      </c>
      <c r="K2731" s="554" t="s">
        <v>9219</v>
      </c>
      <c r="L2731" s="537" t="s">
        <v>2354</v>
      </c>
    </row>
    <row r="2732" spans="1:12" x14ac:dyDescent="0.2">
      <c r="A2732" s="547" t="s">
        <v>220</v>
      </c>
      <c r="B2732" s="547" t="s">
        <v>2351</v>
      </c>
      <c r="C2732" s="554"/>
      <c r="D2732" s="554" t="s">
        <v>9402</v>
      </c>
      <c r="E2732" s="554" t="s">
        <v>545</v>
      </c>
      <c r="F2732" s="571">
        <v>1</v>
      </c>
      <c r="G2732" s="572">
        <v>5.585</v>
      </c>
      <c r="H2732" s="545">
        <v>5.585</v>
      </c>
      <c r="I2732" s="554" t="s">
        <v>9218</v>
      </c>
      <c r="J2732" s="554" t="s">
        <v>9219</v>
      </c>
      <c r="K2732" s="554" t="s">
        <v>9219</v>
      </c>
      <c r="L2732" s="537" t="s">
        <v>2354</v>
      </c>
    </row>
    <row r="2733" spans="1:12" x14ac:dyDescent="0.2">
      <c r="A2733" s="547" t="s">
        <v>220</v>
      </c>
      <c r="B2733" s="547" t="s">
        <v>2351</v>
      </c>
      <c r="C2733" s="554"/>
      <c r="D2733" s="554" t="s">
        <v>9403</v>
      </c>
      <c r="E2733" s="554" t="s">
        <v>545</v>
      </c>
      <c r="F2733" s="571">
        <v>1</v>
      </c>
      <c r="G2733" s="572">
        <v>15.295999999999999</v>
      </c>
      <c r="H2733" s="545">
        <v>15.295999999999999</v>
      </c>
      <c r="I2733" s="554" t="s">
        <v>9218</v>
      </c>
      <c r="J2733" s="554" t="s">
        <v>9219</v>
      </c>
      <c r="K2733" s="554" t="s">
        <v>9219</v>
      </c>
      <c r="L2733" s="537" t="s">
        <v>2354</v>
      </c>
    </row>
    <row r="2734" spans="1:12" x14ac:dyDescent="0.2">
      <c r="A2734" s="547" t="s">
        <v>220</v>
      </c>
      <c r="B2734" s="547" t="s">
        <v>2351</v>
      </c>
      <c r="C2734" s="554"/>
      <c r="D2734" s="554" t="s">
        <v>9405</v>
      </c>
      <c r="E2734" s="554" t="s">
        <v>545</v>
      </c>
      <c r="F2734" s="571">
        <v>1</v>
      </c>
      <c r="G2734" s="572">
        <v>6.8760000000000003</v>
      </c>
      <c r="H2734" s="545">
        <v>6.8760000000000003</v>
      </c>
      <c r="I2734" s="554" t="s">
        <v>9218</v>
      </c>
      <c r="J2734" s="554" t="s">
        <v>9219</v>
      </c>
      <c r="K2734" s="554" t="s">
        <v>9219</v>
      </c>
      <c r="L2734" s="537" t="s">
        <v>2354</v>
      </c>
    </row>
    <row r="2735" spans="1:12" x14ac:dyDescent="0.2">
      <c r="A2735" s="547" t="s">
        <v>220</v>
      </c>
      <c r="B2735" s="547" t="s">
        <v>2351</v>
      </c>
      <c r="C2735" s="554"/>
      <c r="D2735" s="554" t="s">
        <v>9406</v>
      </c>
      <c r="E2735" s="554" t="s">
        <v>545</v>
      </c>
      <c r="F2735" s="571">
        <v>1</v>
      </c>
      <c r="G2735" s="572">
        <v>4.03</v>
      </c>
      <c r="H2735" s="545">
        <v>4.03</v>
      </c>
      <c r="I2735" s="554" t="s">
        <v>9218</v>
      </c>
      <c r="J2735" s="554" t="s">
        <v>9219</v>
      </c>
      <c r="K2735" s="554" t="s">
        <v>9219</v>
      </c>
      <c r="L2735" s="537" t="s">
        <v>2354</v>
      </c>
    </row>
    <row r="2736" spans="1:12" x14ac:dyDescent="0.2">
      <c r="A2736" s="547" t="s">
        <v>220</v>
      </c>
      <c r="B2736" s="547" t="s">
        <v>2351</v>
      </c>
      <c r="C2736" s="554"/>
      <c r="D2736" s="554" t="s">
        <v>9407</v>
      </c>
      <c r="E2736" s="554" t="s">
        <v>545</v>
      </c>
      <c r="F2736" s="571">
        <v>1</v>
      </c>
      <c r="G2736" s="572">
        <v>5.4809999999999999</v>
      </c>
      <c r="H2736" s="545">
        <v>5.4809999999999999</v>
      </c>
      <c r="I2736" s="554" t="s">
        <v>9218</v>
      </c>
      <c r="J2736" s="554" t="s">
        <v>9219</v>
      </c>
      <c r="K2736" s="554" t="s">
        <v>9219</v>
      </c>
      <c r="L2736" s="537" t="s">
        <v>2354</v>
      </c>
    </row>
    <row r="2737" spans="1:12" x14ac:dyDescent="0.2">
      <c r="A2737" s="547" t="s">
        <v>220</v>
      </c>
      <c r="B2737" s="547" t="s">
        <v>2351</v>
      </c>
      <c r="C2737" s="554"/>
      <c r="D2737" s="554" t="s">
        <v>9408</v>
      </c>
      <c r="E2737" s="554" t="s">
        <v>545</v>
      </c>
      <c r="F2737" s="571">
        <v>1</v>
      </c>
      <c r="G2737" s="572">
        <v>4.415</v>
      </c>
      <c r="H2737" s="545">
        <v>4.415</v>
      </c>
      <c r="I2737" s="554" t="s">
        <v>9218</v>
      </c>
      <c r="J2737" s="554" t="s">
        <v>9219</v>
      </c>
      <c r="K2737" s="554" t="s">
        <v>9219</v>
      </c>
      <c r="L2737" s="537" t="s">
        <v>2354</v>
      </c>
    </row>
    <row r="2738" spans="1:12" x14ac:dyDescent="0.2">
      <c r="A2738" s="547" t="s">
        <v>220</v>
      </c>
      <c r="B2738" s="547" t="s">
        <v>2351</v>
      </c>
      <c r="C2738" s="554"/>
      <c r="D2738" s="554" t="s">
        <v>9412</v>
      </c>
      <c r="E2738" s="554" t="s">
        <v>545</v>
      </c>
      <c r="F2738" s="571">
        <v>1</v>
      </c>
      <c r="G2738" s="572">
        <v>8.577</v>
      </c>
      <c r="H2738" s="545">
        <v>8.577</v>
      </c>
      <c r="I2738" s="554" t="s">
        <v>9218</v>
      </c>
      <c r="J2738" s="554" t="s">
        <v>9219</v>
      </c>
      <c r="K2738" s="554" t="s">
        <v>9219</v>
      </c>
      <c r="L2738" s="537" t="s">
        <v>2354</v>
      </c>
    </row>
    <row r="2739" spans="1:12" x14ac:dyDescent="0.2">
      <c r="A2739" s="547" t="s">
        <v>220</v>
      </c>
      <c r="B2739" s="547" t="s">
        <v>2351</v>
      </c>
      <c r="C2739" s="554"/>
      <c r="D2739" s="554" t="s">
        <v>9413</v>
      </c>
      <c r="E2739" s="554" t="s">
        <v>545</v>
      </c>
      <c r="F2739" s="571">
        <v>1</v>
      </c>
      <c r="G2739" s="572">
        <v>22.012</v>
      </c>
      <c r="H2739" s="545">
        <v>22.012</v>
      </c>
      <c r="I2739" s="554" t="s">
        <v>9218</v>
      </c>
      <c r="J2739" s="554" t="s">
        <v>9219</v>
      </c>
      <c r="K2739" s="554" t="s">
        <v>9219</v>
      </c>
      <c r="L2739" s="537" t="s">
        <v>2354</v>
      </c>
    </row>
    <row r="2740" spans="1:12" x14ac:dyDescent="0.2">
      <c r="A2740" s="547" t="s">
        <v>220</v>
      </c>
      <c r="B2740" s="547" t="s">
        <v>2351</v>
      </c>
      <c r="C2740" s="554"/>
      <c r="D2740" s="554" t="s">
        <v>9414</v>
      </c>
      <c r="E2740" s="554" t="s">
        <v>545</v>
      </c>
      <c r="F2740" s="571">
        <v>1</v>
      </c>
      <c r="G2740" s="572">
        <v>13.14</v>
      </c>
      <c r="H2740" s="545">
        <v>13.14</v>
      </c>
      <c r="I2740" s="554" t="s">
        <v>9218</v>
      </c>
      <c r="J2740" s="554" t="s">
        <v>9219</v>
      </c>
      <c r="K2740" s="554" t="s">
        <v>9219</v>
      </c>
      <c r="L2740" s="537" t="s">
        <v>2354</v>
      </c>
    </row>
    <row r="2741" spans="1:12" x14ac:dyDescent="0.2">
      <c r="A2741" s="547" t="s">
        <v>220</v>
      </c>
      <c r="B2741" s="547" t="s">
        <v>2351</v>
      </c>
      <c r="C2741" s="554"/>
      <c r="D2741" s="554" t="s">
        <v>9418</v>
      </c>
      <c r="E2741" s="554" t="s">
        <v>545</v>
      </c>
      <c r="F2741" s="571">
        <v>3</v>
      </c>
      <c r="G2741" s="572">
        <v>91.212000000000003</v>
      </c>
      <c r="H2741" s="545">
        <v>273.63600000000002</v>
      </c>
      <c r="I2741" s="554" t="s">
        <v>9218</v>
      </c>
      <c r="J2741" s="554" t="s">
        <v>9219</v>
      </c>
      <c r="K2741" s="554" t="s">
        <v>9219</v>
      </c>
      <c r="L2741" s="537" t="s">
        <v>2354</v>
      </c>
    </row>
    <row r="2742" spans="1:12" x14ac:dyDescent="0.2">
      <c r="A2742" s="547" t="s">
        <v>220</v>
      </c>
      <c r="B2742" s="547" t="s">
        <v>2351</v>
      </c>
      <c r="C2742" s="554"/>
      <c r="D2742" s="554" t="s">
        <v>9415</v>
      </c>
      <c r="E2742" s="554" t="s">
        <v>545</v>
      </c>
      <c r="F2742" s="571">
        <v>1</v>
      </c>
      <c r="G2742" s="572">
        <v>4.03</v>
      </c>
      <c r="H2742" s="545">
        <v>4.03</v>
      </c>
      <c r="I2742" s="554" t="s">
        <v>9218</v>
      </c>
      <c r="J2742" s="554" t="s">
        <v>9219</v>
      </c>
      <c r="K2742" s="554" t="s">
        <v>9219</v>
      </c>
      <c r="L2742" s="537" t="s">
        <v>2354</v>
      </c>
    </row>
    <row r="2743" spans="1:12" x14ac:dyDescent="0.2">
      <c r="A2743" s="547" t="s">
        <v>220</v>
      </c>
      <c r="B2743" s="547" t="s">
        <v>2351</v>
      </c>
      <c r="C2743" s="554"/>
      <c r="D2743" s="554" t="s">
        <v>9417</v>
      </c>
      <c r="E2743" s="554" t="s">
        <v>545</v>
      </c>
      <c r="F2743" s="571">
        <v>1</v>
      </c>
      <c r="G2743" s="572">
        <v>8.2170000000000005</v>
      </c>
      <c r="H2743" s="545">
        <v>8.2170000000000005</v>
      </c>
      <c r="I2743" s="554" t="s">
        <v>9218</v>
      </c>
      <c r="J2743" s="554" t="s">
        <v>9219</v>
      </c>
      <c r="K2743" s="554" t="s">
        <v>9219</v>
      </c>
      <c r="L2743" s="537" t="s">
        <v>2354</v>
      </c>
    </row>
    <row r="2744" spans="1:12" x14ac:dyDescent="0.2">
      <c r="A2744" s="547" t="s">
        <v>220</v>
      </c>
      <c r="B2744" s="547" t="s">
        <v>2351</v>
      </c>
      <c r="C2744" s="554" t="s">
        <v>5098</v>
      </c>
      <c r="D2744" s="554" t="s">
        <v>5099</v>
      </c>
      <c r="E2744" s="554" t="s">
        <v>545</v>
      </c>
      <c r="F2744" s="571">
        <v>1</v>
      </c>
      <c r="G2744" s="572">
        <v>163.8657</v>
      </c>
      <c r="H2744" s="545">
        <v>163.8657</v>
      </c>
      <c r="I2744" s="554" t="s">
        <v>9218</v>
      </c>
      <c r="J2744" s="554" t="s">
        <v>9219</v>
      </c>
      <c r="K2744" s="554" t="s">
        <v>9219</v>
      </c>
      <c r="L2744" s="537" t="s">
        <v>2354</v>
      </c>
    </row>
    <row r="2745" spans="1:12" x14ac:dyDescent="0.2">
      <c r="A2745" s="547" t="s">
        <v>220</v>
      </c>
      <c r="B2745" s="547" t="s">
        <v>2351</v>
      </c>
      <c r="C2745" s="554" t="s">
        <v>5168</v>
      </c>
      <c r="D2745" s="554" t="s">
        <v>5169</v>
      </c>
      <c r="E2745" s="554" t="s">
        <v>545</v>
      </c>
      <c r="F2745" s="571">
        <v>1</v>
      </c>
      <c r="G2745" s="572">
        <v>20.259</v>
      </c>
      <c r="H2745" s="545">
        <v>20.259</v>
      </c>
      <c r="I2745" s="554" t="s">
        <v>9218</v>
      </c>
      <c r="J2745" s="554" t="s">
        <v>9219</v>
      </c>
      <c r="K2745" s="554" t="s">
        <v>9219</v>
      </c>
      <c r="L2745" s="537" t="s">
        <v>2354</v>
      </c>
    </row>
    <row r="2746" spans="1:12" x14ac:dyDescent="0.2">
      <c r="A2746" s="547" t="s">
        <v>220</v>
      </c>
      <c r="B2746" s="547" t="s">
        <v>2351</v>
      </c>
      <c r="C2746" s="554"/>
      <c r="D2746" s="554" t="s">
        <v>9419</v>
      </c>
      <c r="E2746" s="554" t="s">
        <v>545</v>
      </c>
      <c r="F2746" s="571">
        <v>1</v>
      </c>
      <c r="G2746" s="572">
        <v>151.822</v>
      </c>
      <c r="H2746" s="545">
        <v>151.822</v>
      </c>
      <c r="I2746" s="554" t="s">
        <v>9218</v>
      </c>
      <c r="J2746" s="554" t="s">
        <v>9219</v>
      </c>
      <c r="K2746" s="554" t="s">
        <v>9219</v>
      </c>
      <c r="L2746" s="537" t="s">
        <v>2354</v>
      </c>
    </row>
    <row r="2747" spans="1:12" x14ac:dyDescent="0.2">
      <c r="A2747" s="547" t="s">
        <v>220</v>
      </c>
      <c r="B2747" s="547" t="s">
        <v>2351</v>
      </c>
      <c r="C2747" s="554" t="s">
        <v>2369</v>
      </c>
      <c r="D2747" s="554" t="s">
        <v>2370</v>
      </c>
      <c r="E2747" s="554" t="s">
        <v>545</v>
      </c>
      <c r="F2747" s="571">
        <v>1</v>
      </c>
      <c r="G2747" s="572">
        <v>671.37300000000005</v>
      </c>
      <c r="H2747" s="545">
        <v>671.37300000000005</v>
      </c>
      <c r="I2747" s="554" t="s">
        <v>9218</v>
      </c>
      <c r="J2747" s="554" t="s">
        <v>9219</v>
      </c>
      <c r="K2747" s="554" t="s">
        <v>9219</v>
      </c>
      <c r="L2747" s="537" t="s">
        <v>2354</v>
      </c>
    </row>
    <row r="2748" spans="1:12" x14ac:dyDescent="0.2">
      <c r="A2748" s="547" t="s">
        <v>220</v>
      </c>
      <c r="B2748" s="547" t="s">
        <v>2351</v>
      </c>
      <c r="C2748" s="554"/>
      <c r="D2748" s="554" t="s">
        <v>9598</v>
      </c>
      <c r="E2748" s="554" t="s">
        <v>545</v>
      </c>
      <c r="F2748" s="571">
        <v>1</v>
      </c>
      <c r="G2748" s="572">
        <v>221.7</v>
      </c>
      <c r="H2748" s="545">
        <v>221.7</v>
      </c>
      <c r="I2748" s="554" t="s">
        <v>9218</v>
      </c>
      <c r="J2748" s="554" t="s">
        <v>9219</v>
      </c>
      <c r="K2748" s="554" t="s">
        <v>9219</v>
      </c>
      <c r="L2748" s="537" t="s">
        <v>2354</v>
      </c>
    </row>
    <row r="2749" spans="1:12" x14ac:dyDescent="0.2">
      <c r="A2749" s="547" t="s">
        <v>220</v>
      </c>
      <c r="B2749" s="547" t="s">
        <v>2351</v>
      </c>
      <c r="C2749" s="554"/>
      <c r="D2749" s="554" t="s">
        <v>9599</v>
      </c>
      <c r="E2749" s="554" t="s">
        <v>545</v>
      </c>
      <c r="F2749" s="571">
        <v>1</v>
      </c>
      <c r="G2749" s="572">
        <v>1171.117</v>
      </c>
      <c r="H2749" s="545">
        <v>1171.117</v>
      </c>
      <c r="I2749" s="554" t="s">
        <v>9218</v>
      </c>
      <c r="J2749" s="554" t="s">
        <v>9219</v>
      </c>
      <c r="K2749" s="554" t="s">
        <v>9219</v>
      </c>
      <c r="L2749" s="537" t="s">
        <v>2354</v>
      </c>
    </row>
    <row r="2750" spans="1:12" x14ac:dyDescent="0.2">
      <c r="A2750" s="570" t="s">
        <v>220</v>
      </c>
      <c r="B2750" s="547" t="s">
        <v>5430</v>
      </c>
      <c r="C2750" s="554"/>
      <c r="D2750" s="554" t="s">
        <v>9420</v>
      </c>
      <c r="E2750" s="554" t="s">
        <v>9526</v>
      </c>
      <c r="F2750" s="571">
        <v>1</v>
      </c>
      <c r="G2750" s="572">
        <v>2420</v>
      </c>
      <c r="H2750" s="545">
        <v>2420</v>
      </c>
      <c r="I2750" s="554" t="s">
        <v>9218</v>
      </c>
      <c r="J2750" s="554" t="s">
        <v>9219</v>
      </c>
      <c r="K2750" s="554" t="s">
        <v>9219</v>
      </c>
      <c r="L2750" s="537" t="s">
        <v>2354</v>
      </c>
    </row>
    <row r="2751" spans="1:12" x14ac:dyDescent="0.2">
      <c r="A2751" s="570" t="s">
        <v>220</v>
      </c>
      <c r="B2751" s="547" t="s">
        <v>5430</v>
      </c>
      <c r="C2751" s="554" t="s">
        <v>5489</v>
      </c>
      <c r="D2751" s="554" t="s">
        <v>7784</v>
      </c>
      <c r="E2751" s="554" t="s">
        <v>9526</v>
      </c>
      <c r="F2751" s="571">
        <v>2</v>
      </c>
      <c r="G2751" s="572">
        <v>538</v>
      </c>
      <c r="H2751" s="545">
        <v>1076</v>
      </c>
      <c r="I2751" s="554" t="s">
        <v>9218</v>
      </c>
      <c r="J2751" s="554" t="s">
        <v>9219</v>
      </c>
      <c r="K2751" s="554" t="s">
        <v>9219</v>
      </c>
      <c r="L2751" s="537" t="s">
        <v>2354</v>
      </c>
    </row>
    <row r="2752" spans="1:12" x14ac:dyDescent="0.2">
      <c r="A2752" s="570" t="s">
        <v>220</v>
      </c>
      <c r="B2752" s="547" t="s">
        <v>5430</v>
      </c>
      <c r="C2752" s="554" t="s">
        <v>5491</v>
      </c>
      <c r="D2752" s="554" t="s">
        <v>7785</v>
      </c>
      <c r="E2752" s="554" t="s">
        <v>9526</v>
      </c>
      <c r="F2752" s="571">
        <v>6</v>
      </c>
      <c r="G2752" s="572">
        <v>45.241999999999997</v>
      </c>
      <c r="H2752" s="545">
        <v>271.452</v>
      </c>
      <c r="I2752" s="554" t="s">
        <v>9218</v>
      </c>
      <c r="J2752" s="554" t="s">
        <v>9219</v>
      </c>
      <c r="K2752" s="554" t="s">
        <v>9219</v>
      </c>
      <c r="L2752" s="537" t="s">
        <v>2354</v>
      </c>
    </row>
    <row r="2753" spans="1:12" x14ac:dyDescent="0.2">
      <c r="A2753" s="570" t="s">
        <v>220</v>
      </c>
      <c r="B2753" s="547" t="s">
        <v>5430</v>
      </c>
      <c r="C2753" s="554" t="s">
        <v>5494</v>
      </c>
      <c r="D2753" s="554" t="s">
        <v>7786</v>
      </c>
      <c r="E2753" s="554" t="s">
        <v>9526</v>
      </c>
      <c r="F2753" s="571">
        <v>1</v>
      </c>
      <c r="G2753" s="572">
        <v>1.6180000000000001</v>
      </c>
      <c r="H2753" s="545">
        <v>1.6180000000000001</v>
      </c>
      <c r="I2753" s="554" t="s">
        <v>9218</v>
      </c>
      <c r="J2753" s="554" t="s">
        <v>9219</v>
      </c>
      <c r="K2753" s="554" t="s">
        <v>9219</v>
      </c>
      <c r="L2753" s="537" t="s">
        <v>2354</v>
      </c>
    </row>
    <row r="2754" spans="1:12" x14ac:dyDescent="0.2">
      <c r="A2754" s="570" t="s">
        <v>220</v>
      </c>
      <c r="B2754" s="547" t="s">
        <v>5430</v>
      </c>
      <c r="C2754" s="554" t="s">
        <v>9421</v>
      </c>
      <c r="D2754" s="554" t="s">
        <v>9422</v>
      </c>
      <c r="E2754" s="554" t="s">
        <v>9526</v>
      </c>
      <c r="F2754" s="571">
        <v>4</v>
      </c>
      <c r="G2754" s="572">
        <v>147.88399999999999</v>
      </c>
      <c r="H2754" s="545">
        <v>591.53599999999994</v>
      </c>
      <c r="I2754" s="554" t="s">
        <v>9218</v>
      </c>
      <c r="J2754" s="554" t="s">
        <v>9219</v>
      </c>
      <c r="K2754" s="554" t="s">
        <v>9219</v>
      </c>
      <c r="L2754" s="537" t="s">
        <v>2354</v>
      </c>
    </row>
    <row r="2755" spans="1:12" x14ac:dyDescent="0.2">
      <c r="A2755" s="570" t="s">
        <v>220</v>
      </c>
      <c r="B2755" s="547" t="s">
        <v>5430</v>
      </c>
      <c r="C2755" s="554" t="s">
        <v>9423</v>
      </c>
      <c r="D2755" s="554" t="s">
        <v>9424</v>
      </c>
      <c r="E2755" s="554" t="s">
        <v>9526</v>
      </c>
      <c r="F2755" s="571">
        <v>1</v>
      </c>
      <c r="G2755" s="572">
        <v>1330.671</v>
      </c>
      <c r="H2755" s="545">
        <v>1330.671</v>
      </c>
      <c r="I2755" s="554" t="s">
        <v>9218</v>
      </c>
      <c r="J2755" s="554" t="s">
        <v>9219</v>
      </c>
      <c r="K2755" s="554" t="s">
        <v>9219</v>
      </c>
      <c r="L2755" s="537" t="s">
        <v>2354</v>
      </c>
    </row>
    <row r="2756" spans="1:12" x14ac:dyDescent="0.2">
      <c r="A2756" s="570" t="s">
        <v>220</v>
      </c>
      <c r="B2756" s="547" t="s">
        <v>5430</v>
      </c>
      <c r="C2756" s="554" t="s">
        <v>9425</v>
      </c>
      <c r="D2756" s="554" t="s">
        <v>9426</v>
      </c>
      <c r="E2756" s="554" t="s">
        <v>9526</v>
      </c>
      <c r="F2756" s="571">
        <v>1</v>
      </c>
      <c r="G2756" s="572">
        <v>353.70800000000003</v>
      </c>
      <c r="H2756" s="545">
        <v>353.70800000000003</v>
      </c>
      <c r="I2756" s="554" t="s">
        <v>9218</v>
      </c>
      <c r="J2756" s="554" t="s">
        <v>9219</v>
      </c>
      <c r="K2756" s="554" t="s">
        <v>9219</v>
      </c>
      <c r="L2756" s="537" t="s">
        <v>2354</v>
      </c>
    </row>
    <row r="2757" spans="1:12" x14ac:dyDescent="0.2">
      <c r="A2757" s="570" t="s">
        <v>220</v>
      </c>
      <c r="B2757" s="547" t="s">
        <v>5430</v>
      </c>
      <c r="C2757" s="554"/>
      <c r="D2757" s="554" t="s">
        <v>9427</v>
      </c>
      <c r="E2757" s="554" t="s">
        <v>9526</v>
      </c>
      <c r="F2757" s="571">
        <v>9</v>
      </c>
      <c r="G2757" s="572">
        <v>49.7</v>
      </c>
      <c r="H2757" s="545">
        <v>447.3</v>
      </c>
      <c r="I2757" s="554" t="s">
        <v>9218</v>
      </c>
      <c r="J2757" s="554" t="s">
        <v>9219</v>
      </c>
      <c r="K2757" s="554" t="s">
        <v>9219</v>
      </c>
      <c r="L2757" s="537" t="s">
        <v>2354</v>
      </c>
    </row>
    <row r="2758" spans="1:12" x14ac:dyDescent="0.2">
      <c r="A2758" s="570" t="s">
        <v>220</v>
      </c>
      <c r="B2758" s="547" t="s">
        <v>5430</v>
      </c>
      <c r="C2758" s="554"/>
      <c r="D2758" s="554" t="s">
        <v>9428</v>
      </c>
      <c r="E2758" s="554" t="s">
        <v>9526</v>
      </c>
      <c r="F2758" s="571">
        <v>9</v>
      </c>
      <c r="G2758" s="572">
        <v>49.7</v>
      </c>
      <c r="H2758" s="545">
        <v>447.3</v>
      </c>
      <c r="I2758" s="554" t="s">
        <v>9218</v>
      </c>
      <c r="J2758" s="554" t="s">
        <v>9219</v>
      </c>
      <c r="K2758" s="554" t="s">
        <v>9219</v>
      </c>
      <c r="L2758" s="537" t="s">
        <v>2354</v>
      </c>
    </row>
    <row r="2759" spans="1:12" x14ac:dyDescent="0.2">
      <c r="A2759" s="570" t="s">
        <v>220</v>
      </c>
      <c r="B2759" s="547" t="s">
        <v>5430</v>
      </c>
      <c r="C2759" s="554"/>
      <c r="D2759" s="554" t="s">
        <v>9429</v>
      </c>
      <c r="E2759" s="554" t="s">
        <v>9526</v>
      </c>
      <c r="F2759" s="571">
        <v>1</v>
      </c>
      <c r="G2759" s="572">
        <v>162.55000000000001</v>
      </c>
      <c r="H2759" s="545">
        <v>162.55000000000001</v>
      </c>
      <c r="I2759" s="554" t="s">
        <v>9218</v>
      </c>
      <c r="J2759" s="554" t="s">
        <v>9219</v>
      </c>
      <c r="K2759" s="554" t="s">
        <v>9219</v>
      </c>
      <c r="L2759" s="537" t="s">
        <v>2354</v>
      </c>
    </row>
    <row r="2760" spans="1:12" x14ac:dyDescent="0.2">
      <c r="A2760" s="570" t="s">
        <v>220</v>
      </c>
      <c r="B2760" s="547" t="s">
        <v>5430</v>
      </c>
      <c r="C2760" s="554"/>
      <c r="D2760" s="554" t="s">
        <v>9430</v>
      </c>
      <c r="E2760" s="554" t="s">
        <v>9526</v>
      </c>
      <c r="F2760" s="571">
        <v>1</v>
      </c>
      <c r="G2760" s="572">
        <v>742.20299999999997</v>
      </c>
      <c r="H2760" s="545">
        <v>742.20299999999997</v>
      </c>
      <c r="I2760" s="554" t="s">
        <v>9218</v>
      </c>
      <c r="J2760" s="554" t="s">
        <v>9219</v>
      </c>
      <c r="K2760" s="554" t="s">
        <v>9219</v>
      </c>
      <c r="L2760" s="537" t="s">
        <v>2354</v>
      </c>
    </row>
    <row r="2761" spans="1:12" x14ac:dyDescent="0.2">
      <c r="A2761" s="570" t="s">
        <v>220</v>
      </c>
      <c r="B2761" s="547" t="s">
        <v>5430</v>
      </c>
      <c r="C2761" s="554"/>
      <c r="D2761" s="554" t="s">
        <v>9431</v>
      </c>
      <c r="E2761" s="554" t="s">
        <v>9526</v>
      </c>
      <c r="F2761" s="571">
        <v>1</v>
      </c>
      <c r="G2761" s="572">
        <v>667.68</v>
      </c>
      <c r="H2761" s="545">
        <v>667.68</v>
      </c>
      <c r="I2761" s="554" t="s">
        <v>9218</v>
      </c>
      <c r="J2761" s="554" t="s">
        <v>9219</v>
      </c>
      <c r="K2761" s="554" t="s">
        <v>9219</v>
      </c>
      <c r="L2761" s="537" t="s">
        <v>2354</v>
      </c>
    </row>
    <row r="2762" spans="1:12" x14ac:dyDescent="0.2">
      <c r="A2762" s="570" t="s">
        <v>220</v>
      </c>
      <c r="B2762" s="547" t="s">
        <v>5430</v>
      </c>
      <c r="C2762" s="554" t="s">
        <v>5496</v>
      </c>
      <c r="D2762" s="554" t="s">
        <v>7787</v>
      </c>
      <c r="E2762" s="554" t="s">
        <v>9526</v>
      </c>
      <c r="F2762" s="571">
        <v>1</v>
      </c>
      <c r="G2762" s="572">
        <v>1.867</v>
      </c>
      <c r="H2762" s="545">
        <v>1.867</v>
      </c>
      <c r="I2762" s="554" t="s">
        <v>9218</v>
      </c>
      <c r="J2762" s="554" t="s">
        <v>9219</v>
      </c>
      <c r="K2762" s="554" t="s">
        <v>9219</v>
      </c>
      <c r="L2762" s="537" t="s">
        <v>2354</v>
      </c>
    </row>
    <row r="2763" spans="1:12" x14ac:dyDescent="0.2">
      <c r="A2763" s="570" t="s">
        <v>220</v>
      </c>
      <c r="B2763" s="547" t="s">
        <v>5430</v>
      </c>
      <c r="C2763" s="554"/>
      <c r="D2763" s="554" t="s">
        <v>9432</v>
      </c>
      <c r="E2763" s="554" t="s">
        <v>9526</v>
      </c>
      <c r="F2763" s="571">
        <v>3</v>
      </c>
      <c r="G2763" s="572">
        <v>319.24799999999999</v>
      </c>
      <c r="H2763" s="545">
        <v>957.74399999999991</v>
      </c>
      <c r="I2763" s="554" t="s">
        <v>9218</v>
      </c>
      <c r="J2763" s="554" t="s">
        <v>9219</v>
      </c>
      <c r="K2763" s="554" t="s">
        <v>9219</v>
      </c>
      <c r="L2763" s="537" t="s">
        <v>2354</v>
      </c>
    </row>
    <row r="2764" spans="1:12" x14ac:dyDescent="0.2">
      <c r="A2764" s="570" t="s">
        <v>220</v>
      </c>
      <c r="B2764" s="547" t="s">
        <v>5430</v>
      </c>
      <c r="C2764" s="554" t="s">
        <v>7788</v>
      </c>
      <c r="D2764" s="554" t="s">
        <v>5499</v>
      </c>
      <c r="E2764" s="554" t="s">
        <v>9526</v>
      </c>
      <c r="F2764" s="571">
        <v>2</v>
      </c>
      <c r="G2764" s="572">
        <v>258.3</v>
      </c>
      <c r="H2764" s="545">
        <v>516.6</v>
      </c>
      <c r="I2764" s="554" t="s">
        <v>9218</v>
      </c>
      <c r="J2764" s="554" t="s">
        <v>9219</v>
      </c>
      <c r="K2764" s="554" t="s">
        <v>9219</v>
      </c>
      <c r="L2764" s="537" t="s">
        <v>2354</v>
      </c>
    </row>
    <row r="2765" spans="1:12" x14ac:dyDescent="0.2">
      <c r="A2765" s="570" t="s">
        <v>220</v>
      </c>
      <c r="B2765" s="547" t="s">
        <v>5430</v>
      </c>
      <c r="C2765" s="554"/>
      <c r="D2765" s="554" t="s">
        <v>9433</v>
      </c>
      <c r="E2765" s="554" t="s">
        <v>9526</v>
      </c>
      <c r="F2765" s="571">
        <v>6</v>
      </c>
      <c r="G2765" s="572">
        <v>22.858000000000001</v>
      </c>
      <c r="H2765" s="545">
        <v>137.148</v>
      </c>
      <c r="I2765" s="554" t="s">
        <v>9218</v>
      </c>
      <c r="J2765" s="554" t="s">
        <v>9219</v>
      </c>
      <c r="K2765" s="554" t="s">
        <v>9219</v>
      </c>
      <c r="L2765" s="537" t="s">
        <v>2354</v>
      </c>
    </row>
    <row r="2766" spans="1:12" x14ac:dyDescent="0.2">
      <c r="A2766" s="570" t="s">
        <v>220</v>
      </c>
      <c r="B2766" s="547" t="s">
        <v>5430</v>
      </c>
      <c r="C2766" s="554" t="s">
        <v>5502</v>
      </c>
      <c r="D2766" s="554" t="s">
        <v>7789</v>
      </c>
      <c r="E2766" s="554" t="s">
        <v>9526</v>
      </c>
      <c r="F2766" s="571">
        <v>5</v>
      </c>
      <c r="G2766" s="572">
        <v>177.255</v>
      </c>
      <c r="H2766" s="545">
        <v>886.27499999999998</v>
      </c>
      <c r="I2766" s="554" t="s">
        <v>9218</v>
      </c>
      <c r="J2766" s="554" t="s">
        <v>9219</v>
      </c>
      <c r="K2766" s="554" t="s">
        <v>9219</v>
      </c>
      <c r="L2766" s="537" t="s">
        <v>2354</v>
      </c>
    </row>
    <row r="2767" spans="1:12" x14ac:dyDescent="0.2">
      <c r="A2767" s="570" t="s">
        <v>220</v>
      </c>
      <c r="B2767" s="547" t="s">
        <v>5430</v>
      </c>
      <c r="C2767" s="554" t="s">
        <v>5504</v>
      </c>
      <c r="D2767" s="554" t="s">
        <v>7790</v>
      </c>
      <c r="E2767" s="554" t="s">
        <v>9526</v>
      </c>
      <c r="F2767" s="571">
        <v>2</v>
      </c>
      <c r="G2767" s="572">
        <v>155</v>
      </c>
      <c r="H2767" s="545">
        <v>310</v>
      </c>
      <c r="I2767" s="554" t="s">
        <v>9218</v>
      </c>
      <c r="J2767" s="554" t="s">
        <v>9219</v>
      </c>
      <c r="K2767" s="554" t="s">
        <v>9219</v>
      </c>
      <c r="L2767" s="537" t="s">
        <v>2354</v>
      </c>
    </row>
    <row r="2768" spans="1:12" x14ac:dyDescent="0.2">
      <c r="A2768" s="570" t="s">
        <v>220</v>
      </c>
      <c r="B2768" s="547" t="s">
        <v>5430</v>
      </c>
      <c r="C2768" s="554" t="s">
        <v>5506</v>
      </c>
      <c r="D2768" s="554" t="s">
        <v>7791</v>
      </c>
      <c r="E2768" s="554" t="s">
        <v>9526</v>
      </c>
      <c r="F2768" s="571">
        <v>5</v>
      </c>
      <c r="G2768" s="572">
        <v>71.948999999999998</v>
      </c>
      <c r="H2768" s="545">
        <v>359.745</v>
      </c>
      <c r="I2768" s="554" t="s">
        <v>9218</v>
      </c>
      <c r="J2768" s="554" t="s">
        <v>9219</v>
      </c>
      <c r="K2768" s="554" t="s">
        <v>9219</v>
      </c>
      <c r="L2768" s="537" t="s">
        <v>2354</v>
      </c>
    </row>
    <row r="2769" spans="1:12" x14ac:dyDescent="0.2">
      <c r="A2769" s="570" t="s">
        <v>220</v>
      </c>
      <c r="B2769" s="547" t="s">
        <v>5430</v>
      </c>
      <c r="C2769" s="554" t="s">
        <v>5508</v>
      </c>
      <c r="D2769" s="554" t="s">
        <v>7792</v>
      </c>
      <c r="E2769" s="554" t="s">
        <v>9526</v>
      </c>
      <c r="F2769" s="571">
        <v>4</v>
      </c>
      <c r="G2769" s="572">
        <v>51.515999999999998</v>
      </c>
      <c r="H2769" s="545">
        <v>206.06399999999999</v>
      </c>
      <c r="I2769" s="554" t="s">
        <v>9218</v>
      </c>
      <c r="J2769" s="554" t="s">
        <v>9219</v>
      </c>
      <c r="K2769" s="554" t="s">
        <v>9219</v>
      </c>
      <c r="L2769" s="537" t="s">
        <v>2354</v>
      </c>
    </row>
    <row r="2770" spans="1:12" x14ac:dyDescent="0.2">
      <c r="A2770" s="570" t="s">
        <v>220</v>
      </c>
      <c r="B2770" s="547" t="s">
        <v>5430</v>
      </c>
      <c r="C2770" s="554" t="s">
        <v>5510</v>
      </c>
      <c r="D2770" s="554" t="s">
        <v>7793</v>
      </c>
      <c r="E2770" s="554" t="s">
        <v>9526</v>
      </c>
      <c r="F2770" s="571">
        <v>1</v>
      </c>
      <c r="G2770" s="572">
        <v>109.11499999999999</v>
      </c>
      <c r="H2770" s="545">
        <v>109.11499999999999</v>
      </c>
      <c r="I2770" s="554" t="s">
        <v>9218</v>
      </c>
      <c r="J2770" s="554" t="s">
        <v>9219</v>
      </c>
      <c r="K2770" s="554" t="s">
        <v>9219</v>
      </c>
      <c r="L2770" s="537" t="s">
        <v>2354</v>
      </c>
    </row>
    <row r="2771" spans="1:12" x14ac:dyDescent="0.2">
      <c r="A2771" s="570" t="s">
        <v>220</v>
      </c>
      <c r="B2771" s="547" t="s">
        <v>5430</v>
      </c>
      <c r="C2771" s="554" t="s">
        <v>5512</v>
      </c>
      <c r="D2771" s="554" t="s">
        <v>7794</v>
      </c>
      <c r="E2771" s="554" t="s">
        <v>9526</v>
      </c>
      <c r="F2771" s="571">
        <v>3</v>
      </c>
      <c r="G2771" s="572">
        <v>157.405</v>
      </c>
      <c r="H2771" s="545">
        <v>472.21500000000003</v>
      </c>
      <c r="I2771" s="554" t="s">
        <v>9218</v>
      </c>
      <c r="J2771" s="554" t="s">
        <v>9219</v>
      </c>
      <c r="K2771" s="554" t="s">
        <v>9219</v>
      </c>
      <c r="L2771" s="537" t="s">
        <v>2354</v>
      </c>
    </row>
    <row r="2772" spans="1:12" x14ac:dyDescent="0.2">
      <c r="A2772" s="570" t="s">
        <v>220</v>
      </c>
      <c r="B2772" s="547" t="s">
        <v>5430</v>
      </c>
      <c r="C2772" s="554" t="s">
        <v>5514</v>
      </c>
      <c r="D2772" s="554" t="s">
        <v>7795</v>
      </c>
      <c r="E2772" s="554" t="s">
        <v>9526</v>
      </c>
      <c r="F2772" s="571">
        <v>1</v>
      </c>
      <c r="G2772" s="572">
        <v>2.181</v>
      </c>
      <c r="H2772" s="545">
        <v>2.181</v>
      </c>
      <c r="I2772" s="554" t="s">
        <v>9218</v>
      </c>
      <c r="J2772" s="554" t="s">
        <v>9219</v>
      </c>
      <c r="K2772" s="554" t="s">
        <v>9219</v>
      </c>
      <c r="L2772" s="537" t="s">
        <v>2354</v>
      </c>
    </row>
    <row r="2773" spans="1:12" x14ac:dyDescent="0.2">
      <c r="A2773" s="570" t="s">
        <v>220</v>
      </c>
      <c r="B2773" s="547" t="s">
        <v>5430</v>
      </c>
      <c r="C2773" s="554" t="s">
        <v>5516</v>
      </c>
      <c r="D2773" s="554" t="s">
        <v>7796</v>
      </c>
      <c r="E2773" s="554" t="s">
        <v>9526</v>
      </c>
      <c r="F2773" s="571">
        <v>2</v>
      </c>
      <c r="G2773" s="572">
        <v>2.181</v>
      </c>
      <c r="H2773" s="545">
        <v>4.3620000000000001</v>
      </c>
      <c r="I2773" s="554" t="s">
        <v>9218</v>
      </c>
      <c r="J2773" s="554" t="s">
        <v>9219</v>
      </c>
      <c r="K2773" s="554" t="s">
        <v>9219</v>
      </c>
      <c r="L2773" s="537" t="s">
        <v>2354</v>
      </c>
    </row>
    <row r="2774" spans="1:12" x14ac:dyDescent="0.2">
      <c r="A2774" s="570" t="s">
        <v>220</v>
      </c>
      <c r="B2774" s="547" t="s">
        <v>5430</v>
      </c>
      <c r="C2774" s="554" t="s">
        <v>5518</v>
      </c>
      <c r="D2774" s="554" t="s">
        <v>7797</v>
      </c>
      <c r="E2774" s="554" t="s">
        <v>9526</v>
      </c>
      <c r="F2774" s="571">
        <v>4</v>
      </c>
      <c r="G2774" s="572">
        <v>2.181</v>
      </c>
      <c r="H2774" s="545">
        <v>8.7240000000000002</v>
      </c>
      <c r="I2774" s="554" t="s">
        <v>9218</v>
      </c>
      <c r="J2774" s="554" t="s">
        <v>9219</v>
      </c>
      <c r="K2774" s="554" t="s">
        <v>9219</v>
      </c>
      <c r="L2774" s="537" t="s">
        <v>2354</v>
      </c>
    </row>
    <row r="2775" spans="1:12" x14ac:dyDescent="0.2">
      <c r="A2775" s="570" t="s">
        <v>220</v>
      </c>
      <c r="B2775" s="547" t="s">
        <v>5430</v>
      </c>
      <c r="C2775" s="554" t="s">
        <v>5520</v>
      </c>
      <c r="D2775" s="554" t="s">
        <v>7798</v>
      </c>
      <c r="E2775" s="554" t="s">
        <v>9526</v>
      </c>
      <c r="F2775" s="571">
        <v>1</v>
      </c>
      <c r="G2775" s="572">
        <v>2.181</v>
      </c>
      <c r="H2775" s="545">
        <v>2.181</v>
      </c>
      <c r="I2775" s="554" t="s">
        <v>9218</v>
      </c>
      <c r="J2775" s="554" t="s">
        <v>9219</v>
      </c>
      <c r="K2775" s="554" t="s">
        <v>9219</v>
      </c>
      <c r="L2775" s="537" t="s">
        <v>2354</v>
      </c>
    </row>
    <row r="2776" spans="1:12" x14ac:dyDescent="0.2">
      <c r="A2776" s="570" t="s">
        <v>220</v>
      </c>
      <c r="B2776" s="547" t="s">
        <v>5430</v>
      </c>
      <c r="C2776" s="554" t="s">
        <v>5522</v>
      </c>
      <c r="D2776" s="554" t="s">
        <v>7799</v>
      </c>
      <c r="E2776" s="554" t="s">
        <v>9526</v>
      </c>
      <c r="F2776" s="571">
        <v>2</v>
      </c>
      <c r="G2776" s="572">
        <v>149.98500000000001</v>
      </c>
      <c r="H2776" s="545">
        <v>299.97000000000003</v>
      </c>
      <c r="I2776" s="554" t="s">
        <v>9218</v>
      </c>
      <c r="J2776" s="554" t="s">
        <v>9219</v>
      </c>
      <c r="K2776" s="554" t="s">
        <v>9219</v>
      </c>
      <c r="L2776" s="537" t="s">
        <v>2354</v>
      </c>
    </row>
    <row r="2777" spans="1:12" x14ac:dyDescent="0.2">
      <c r="A2777" s="570" t="s">
        <v>220</v>
      </c>
      <c r="B2777" s="547" t="s">
        <v>5430</v>
      </c>
      <c r="C2777" s="554" t="s">
        <v>5524</v>
      </c>
      <c r="D2777" s="554" t="s">
        <v>7800</v>
      </c>
      <c r="E2777" s="554" t="s">
        <v>9526</v>
      </c>
      <c r="F2777" s="571">
        <v>2</v>
      </c>
      <c r="G2777" s="572">
        <v>357.96</v>
      </c>
      <c r="H2777" s="545">
        <v>715.92</v>
      </c>
      <c r="I2777" s="554" t="s">
        <v>9218</v>
      </c>
      <c r="J2777" s="554" t="s">
        <v>9219</v>
      </c>
      <c r="K2777" s="554" t="s">
        <v>9219</v>
      </c>
      <c r="L2777" s="537" t="s">
        <v>2354</v>
      </c>
    </row>
    <row r="2778" spans="1:12" x14ac:dyDescent="0.2">
      <c r="A2778" s="570" t="s">
        <v>220</v>
      </c>
      <c r="B2778" s="547" t="s">
        <v>5430</v>
      </c>
      <c r="C2778" s="554" t="s">
        <v>7801</v>
      </c>
      <c r="D2778" s="554" t="s">
        <v>7802</v>
      </c>
      <c r="E2778" s="554" t="s">
        <v>9526</v>
      </c>
      <c r="F2778" s="571">
        <v>2</v>
      </c>
      <c r="G2778" s="572">
        <v>76.664000000000001</v>
      </c>
      <c r="H2778" s="545">
        <v>153.328</v>
      </c>
      <c r="I2778" s="554" t="s">
        <v>9218</v>
      </c>
      <c r="J2778" s="554" t="s">
        <v>9219</v>
      </c>
      <c r="K2778" s="554" t="s">
        <v>9219</v>
      </c>
      <c r="L2778" s="537" t="s">
        <v>2354</v>
      </c>
    </row>
    <row r="2779" spans="1:12" x14ac:dyDescent="0.2">
      <c r="A2779" s="570" t="s">
        <v>220</v>
      </c>
      <c r="B2779" s="547" t="s">
        <v>5430</v>
      </c>
      <c r="C2779" s="554" t="s">
        <v>7803</v>
      </c>
      <c r="D2779" s="554" t="s">
        <v>7804</v>
      </c>
      <c r="E2779" s="554" t="s">
        <v>9526</v>
      </c>
      <c r="F2779" s="571">
        <v>1</v>
      </c>
      <c r="G2779" s="572">
        <v>42.723999999999997</v>
      </c>
      <c r="H2779" s="545">
        <v>42.723999999999997</v>
      </c>
      <c r="I2779" s="554" t="s">
        <v>9218</v>
      </c>
      <c r="J2779" s="554" t="s">
        <v>9219</v>
      </c>
      <c r="K2779" s="554" t="s">
        <v>9219</v>
      </c>
      <c r="L2779" s="537" t="s">
        <v>2354</v>
      </c>
    </row>
    <row r="2780" spans="1:12" x14ac:dyDescent="0.2">
      <c r="A2780" s="570" t="s">
        <v>220</v>
      </c>
      <c r="B2780" s="547" t="s">
        <v>5430</v>
      </c>
      <c r="C2780" s="554" t="s">
        <v>5530</v>
      </c>
      <c r="D2780" s="554" t="s">
        <v>7805</v>
      </c>
      <c r="E2780" s="554" t="s">
        <v>9526</v>
      </c>
      <c r="F2780" s="571">
        <v>1</v>
      </c>
      <c r="G2780" s="572">
        <v>66.019000000000005</v>
      </c>
      <c r="H2780" s="545">
        <v>66.019000000000005</v>
      </c>
      <c r="I2780" s="554" t="s">
        <v>9218</v>
      </c>
      <c r="J2780" s="554" t="s">
        <v>9219</v>
      </c>
      <c r="K2780" s="554" t="s">
        <v>9219</v>
      </c>
      <c r="L2780" s="537" t="s">
        <v>2354</v>
      </c>
    </row>
    <row r="2781" spans="1:12" x14ac:dyDescent="0.2">
      <c r="A2781" s="570" t="s">
        <v>220</v>
      </c>
      <c r="B2781" s="547" t="s">
        <v>5430</v>
      </c>
      <c r="C2781" s="554" t="s">
        <v>7806</v>
      </c>
      <c r="D2781" s="554" t="s">
        <v>7807</v>
      </c>
      <c r="E2781" s="554" t="s">
        <v>9526</v>
      </c>
      <c r="F2781" s="571">
        <v>4</v>
      </c>
      <c r="G2781" s="572">
        <v>42.722999999999999</v>
      </c>
      <c r="H2781" s="545">
        <v>170.892</v>
      </c>
      <c r="I2781" s="554" t="s">
        <v>9218</v>
      </c>
      <c r="J2781" s="554" t="s">
        <v>9219</v>
      </c>
      <c r="K2781" s="554" t="s">
        <v>9219</v>
      </c>
      <c r="L2781" s="537" t="s">
        <v>2354</v>
      </c>
    </row>
    <row r="2782" spans="1:12" x14ac:dyDescent="0.2">
      <c r="A2782" s="570" t="s">
        <v>220</v>
      </c>
      <c r="B2782" s="547" t="s">
        <v>5430</v>
      </c>
      <c r="C2782" s="554" t="s">
        <v>7808</v>
      </c>
      <c r="D2782" s="554" t="s">
        <v>7809</v>
      </c>
      <c r="E2782" s="554" t="s">
        <v>9526</v>
      </c>
      <c r="F2782" s="571">
        <v>1</v>
      </c>
      <c r="G2782" s="572">
        <v>2.181</v>
      </c>
      <c r="H2782" s="545">
        <v>2.181</v>
      </c>
      <c r="I2782" s="554" t="s">
        <v>9218</v>
      </c>
      <c r="J2782" s="554" t="s">
        <v>9219</v>
      </c>
      <c r="K2782" s="554" t="s">
        <v>9219</v>
      </c>
      <c r="L2782" s="537" t="s">
        <v>2354</v>
      </c>
    </row>
    <row r="2783" spans="1:12" x14ac:dyDescent="0.2">
      <c r="A2783" s="570" t="s">
        <v>220</v>
      </c>
      <c r="B2783" s="547" t="s">
        <v>5430</v>
      </c>
      <c r="C2783" s="554" t="s">
        <v>5536</v>
      </c>
      <c r="D2783" s="554" t="s">
        <v>7810</v>
      </c>
      <c r="E2783" s="554" t="s">
        <v>9528</v>
      </c>
      <c r="F2783" s="571">
        <v>1</v>
      </c>
      <c r="G2783" s="572">
        <v>2.181</v>
      </c>
      <c r="H2783" s="545">
        <v>2.181</v>
      </c>
      <c r="I2783" s="554" t="s">
        <v>9218</v>
      </c>
      <c r="J2783" s="554" t="s">
        <v>9219</v>
      </c>
      <c r="K2783" s="554" t="s">
        <v>9219</v>
      </c>
      <c r="L2783" s="537" t="s">
        <v>2354</v>
      </c>
    </row>
    <row r="2784" spans="1:12" x14ac:dyDescent="0.2">
      <c r="A2784" s="570" t="s">
        <v>220</v>
      </c>
      <c r="B2784" s="547" t="s">
        <v>5430</v>
      </c>
      <c r="C2784" s="554" t="s">
        <v>5538</v>
      </c>
      <c r="D2784" s="554" t="s">
        <v>7811</v>
      </c>
      <c r="E2784" s="554" t="s">
        <v>9526</v>
      </c>
      <c r="F2784" s="571">
        <v>5</v>
      </c>
      <c r="G2784" s="572">
        <v>136.35</v>
      </c>
      <c r="H2784" s="545">
        <v>681.75</v>
      </c>
      <c r="I2784" s="554" t="s">
        <v>9218</v>
      </c>
      <c r="J2784" s="554" t="s">
        <v>9219</v>
      </c>
      <c r="K2784" s="554" t="s">
        <v>9219</v>
      </c>
      <c r="L2784" s="537" t="s">
        <v>2354</v>
      </c>
    </row>
    <row r="2785" spans="1:12" x14ac:dyDescent="0.2">
      <c r="A2785" s="570" t="s">
        <v>220</v>
      </c>
      <c r="B2785" s="547" t="s">
        <v>5430</v>
      </c>
      <c r="C2785" s="554" t="s">
        <v>7812</v>
      </c>
      <c r="D2785" s="554" t="s">
        <v>7813</v>
      </c>
      <c r="E2785" s="554" t="s">
        <v>9526</v>
      </c>
      <c r="F2785" s="571">
        <v>1</v>
      </c>
      <c r="G2785" s="572">
        <v>1.2090000000000001</v>
      </c>
      <c r="H2785" s="545">
        <v>1.2090000000000001</v>
      </c>
      <c r="I2785" s="554" t="s">
        <v>9218</v>
      </c>
      <c r="J2785" s="554" t="s">
        <v>9219</v>
      </c>
      <c r="K2785" s="554" t="s">
        <v>9219</v>
      </c>
      <c r="L2785" s="537" t="s">
        <v>2354</v>
      </c>
    </row>
    <row r="2786" spans="1:12" x14ac:dyDescent="0.2">
      <c r="A2786" s="570" t="s">
        <v>220</v>
      </c>
      <c r="B2786" s="547" t="s">
        <v>5430</v>
      </c>
      <c r="C2786" s="554" t="s">
        <v>5542</v>
      </c>
      <c r="D2786" s="554" t="s">
        <v>7814</v>
      </c>
      <c r="E2786" s="554" t="s">
        <v>9526</v>
      </c>
      <c r="F2786" s="571">
        <v>1</v>
      </c>
      <c r="G2786" s="572">
        <v>292.69799999999998</v>
      </c>
      <c r="H2786" s="545">
        <v>292.69799999999998</v>
      </c>
      <c r="I2786" s="554" t="s">
        <v>9218</v>
      </c>
      <c r="J2786" s="554" t="s">
        <v>9219</v>
      </c>
      <c r="K2786" s="554" t="s">
        <v>9219</v>
      </c>
      <c r="L2786" s="537" t="s">
        <v>2354</v>
      </c>
    </row>
    <row r="2787" spans="1:12" x14ac:dyDescent="0.2">
      <c r="A2787" s="570" t="s">
        <v>220</v>
      </c>
      <c r="B2787" s="547" t="s">
        <v>5430</v>
      </c>
      <c r="C2787" s="554" t="s">
        <v>5546</v>
      </c>
      <c r="D2787" s="554" t="s">
        <v>7815</v>
      </c>
      <c r="E2787" s="554" t="s">
        <v>7558</v>
      </c>
      <c r="F2787" s="571">
        <v>3</v>
      </c>
      <c r="G2787" s="572">
        <v>724.51700000000005</v>
      </c>
      <c r="H2787" s="545">
        <v>2173.5510000000004</v>
      </c>
      <c r="I2787" s="554" t="s">
        <v>9218</v>
      </c>
      <c r="J2787" s="554" t="s">
        <v>9219</v>
      </c>
      <c r="K2787" s="554" t="s">
        <v>9219</v>
      </c>
      <c r="L2787" s="537" t="s">
        <v>2354</v>
      </c>
    </row>
    <row r="2788" spans="1:12" x14ac:dyDescent="0.2">
      <c r="A2788" s="570" t="s">
        <v>220</v>
      </c>
      <c r="B2788" s="547" t="s">
        <v>5430</v>
      </c>
      <c r="C2788" s="554" t="s">
        <v>5548</v>
      </c>
      <c r="D2788" s="554" t="s">
        <v>7816</v>
      </c>
      <c r="E2788" s="554" t="s">
        <v>7558</v>
      </c>
      <c r="F2788" s="571">
        <v>2</v>
      </c>
      <c r="G2788" s="572">
        <v>54.738</v>
      </c>
      <c r="H2788" s="545">
        <v>109.476</v>
      </c>
      <c r="I2788" s="554" t="s">
        <v>9218</v>
      </c>
      <c r="J2788" s="554" t="s">
        <v>9219</v>
      </c>
      <c r="K2788" s="554" t="s">
        <v>9219</v>
      </c>
      <c r="L2788" s="537" t="s">
        <v>2354</v>
      </c>
    </row>
    <row r="2789" spans="1:12" x14ac:dyDescent="0.2">
      <c r="A2789" s="570" t="s">
        <v>220</v>
      </c>
      <c r="B2789" s="547" t="s">
        <v>5430</v>
      </c>
      <c r="C2789" s="554" t="s">
        <v>7817</v>
      </c>
      <c r="D2789" s="554" t="s">
        <v>7818</v>
      </c>
      <c r="E2789" s="554" t="s">
        <v>7558</v>
      </c>
      <c r="F2789" s="571">
        <v>2</v>
      </c>
      <c r="G2789" s="572">
        <v>101.85899999999999</v>
      </c>
      <c r="H2789" s="545">
        <v>203.71799999999999</v>
      </c>
      <c r="I2789" s="554" t="s">
        <v>9218</v>
      </c>
      <c r="J2789" s="554" t="s">
        <v>9219</v>
      </c>
      <c r="K2789" s="554" t="s">
        <v>9219</v>
      </c>
      <c r="L2789" s="537" t="s">
        <v>2354</v>
      </c>
    </row>
    <row r="2790" spans="1:12" x14ac:dyDescent="0.2">
      <c r="A2790" s="570" t="s">
        <v>220</v>
      </c>
      <c r="B2790" s="547" t="s">
        <v>5430</v>
      </c>
      <c r="C2790" s="554" t="s">
        <v>5552</v>
      </c>
      <c r="D2790" s="554" t="s">
        <v>7819</v>
      </c>
      <c r="E2790" s="554" t="s">
        <v>9526</v>
      </c>
      <c r="F2790" s="571">
        <v>4</v>
      </c>
      <c r="G2790" s="572">
        <v>430.26</v>
      </c>
      <c r="H2790" s="545">
        <v>1721.04</v>
      </c>
      <c r="I2790" s="554" t="s">
        <v>9218</v>
      </c>
      <c r="J2790" s="554" t="s">
        <v>9219</v>
      </c>
      <c r="K2790" s="554" t="s">
        <v>9219</v>
      </c>
      <c r="L2790" s="537" t="s">
        <v>2354</v>
      </c>
    </row>
    <row r="2791" spans="1:12" x14ac:dyDescent="0.2">
      <c r="A2791" s="570" t="s">
        <v>220</v>
      </c>
      <c r="B2791" s="547" t="s">
        <v>5430</v>
      </c>
      <c r="C2791" s="554" t="s">
        <v>5554</v>
      </c>
      <c r="D2791" s="554" t="s">
        <v>5555</v>
      </c>
      <c r="E2791" s="554" t="s">
        <v>9526</v>
      </c>
      <c r="F2791" s="571">
        <v>4</v>
      </c>
      <c r="G2791" s="572">
        <v>101.85899999999999</v>
      </c>
      <c r="H2791" s="545">
        <v>407.43599999999998</v>
      </c>
      <c r="I2791" s="554" t="s">
        <v>9218</v>
      </c>
      <c r="J2791" s="554" t="s">
        <v>9219</v>
      </c>
      <c r="K2791" s="554" t="s">
        <v>9219</v>
      </c>
      <c r="L2791" s="537" t="s">
        <v>2354</v>
      </c>
    </row>
    <row r="2792" spans="1:12" x14ac:dyDescent="0.2">
      <c r="A2792" s="570" t="s">
        <v>220</v>
      </c>
      <c r="B2792" s="547" t="s">
        <v>5430</v>
      </c>
      <c r="C2792" s="554" t="s">
        <v>5556</v>
      </c>
      <c r="D2792" s="554" t="s">
        <v>7820</v>
      </c>
      <c r="E2792" s="554" t="s">
        <v>9526</v>
      </c>
      <c r="F2792" s="571">
        <v>14</v>
      </c>
      <c r="G2792" s="572">
        <v>21.968</v>
      </c>
      <c r="H2792" s="545">
        <v>307.55200000000002</v>
      </c>
      <c r="I2792" s="554" t="s">
        <v>9218</v>
      </c>
      <c r="J2792" s="554" t="s">
        <v>9219</v>
      </c>
      <c r="K2792" s="554" t="s">
        <v>9219</v>
      </c>
      <c r="L2792" s="537" t="s">
        <v>2354</v>
      </c>
    </row>
    <row r="2793" spans="1:12" x14ac:dyDescent="0.2">
      <c r="A2793" s="570" t="s">
        <v>220</v>
      </c>
      <c r="B2793" s="547" t="s">
        <v>5430</v>
      </c>
      <c r="C2793" s="554" t="s">
        <v>5558</v>
      </c>
      <c r="D2793" s="554" t="s">
        <v>7821</v>
      </c>
      <c r="E2793" s="554" t="s">
        <v>9526</v>
      </c>
      <c r="F2793" s="571">
        <v>16</v>
      </c>
      <c r="G2793" s="572">
        <v>27.774999999999999</v>
      </c>
      <c r="H2793" s="545">
        <v>444.4</v>
      </c>
      <c r="I2793" s="554" t="s">
        <v>9218</v>
      </c>
      <c r="J2793" s="554" t="s">
        <v>9219</v>
      </c>
      <c r="K2793" s="554" t="s">
        <v>9219</v>
      </c>
      <c r="L2793" s="537" t="s">
        <v>2354</v>
      </c>
    </row>
    <row r="2794" spans="1:12" x14ac:dyDescent="0.2">
      <c r="A2794" s="570" t="s">
        <v>220</v>
      </c>
      <c r="B2794" s="547" t="s">
        <v>5430</v>
      </c>
      <c r="C2794" s="554" t="s">
        <v>5560</v>
      </c>
      <c r="D2794" s="554" t="s">
        <v>7822</v>
      </c>
      <c r="E2794" s="554" t="s">
        <v>9526</v>
      </c>
      <c r="F2794" s="571">
        <v>15</v>
      </c>
      <c r="G2794" s="572">
        <v>528.92100000000005</v>
      </c>
      <c r="H2794" s="545">
        <v>7933.8150000000005</v>
      </c>
      <c r="I2794" s="554" t="s">
        <v>9218</v>
      </c>
      <c r="J2794" s="554" t="s">
        <v>9219</v>
      </c>
      <c r="K2794" s="554" t="s">
        <v>9219</v>
      </c>
      <c r="L2794" s="537" t="s">
        <v>2354</v>
      </c>
    </row>
    <row r="2795" spans="1:12" x14ac:dyDescent="0.2">
      <c r="A2795" s="570" t="s">
        <v>220</v>
      </c>
      <c r="B2795" s="547" t="s">
        <v>5430</v>
      </c>
      <c r="C2795" s="554" t="s">
        <v>5562</v>
      </c>
      <c r="D2795" s="554" t="s">
        <v>7823</v>
      </c>
      <c r="E2795" s="554" t="s">
        <v>9526</v>
      </c>
      <c r="F2795" s="571">
        <v>159</v>
      </c>
      <c r="G2795" s="572">
        <v>160</v>
      </c>
      <c r="H2795" s="545">
        <v>25440</v>
      </c>
      <c r="I2795" s="554" t="s">
        <v>9218</v>
      </c>
      <c r="J2795" s="554" t="s">
        <v>9219</v>
      </c>
      <c r="K2795" s="554" t="s">
        <v>9219</v>
      </c>
      <c r="L2795" s="537" t="s">
        <v>2354</v>
      </c>
    </row>
    <row r="2796" spans="1:12" x14ac:dyDescent="0.2">
      <c r="A2796" s="570" t="s">
        <v>220</v>
      </c>
      <c r="B2796" s="547" t="s">
        <v>5430</v>
      </c>
      <c r="C2796" s="554" t="s">
        <v>5564</v>
      </c>
      <c r="D2796" s="554" t="s">
        <v>7824</v>
      </c>
      <c r="E2796" s="554" t="s">
        <v>9526</v>
      </c>
      <c r="F2796" s="571">
        <v>24</v>
      </c>
      <c r="G2796" s="572">
        <v>50.5</v>
      </c>
      <c r="H2796" s="545">
        <v>1212</v>
      </c>
      <c r="I2796" s="554" t="s">
        <v>9218</v>
      </c>
      <c r="J2796" s="554" t="s">
        <v>9219</v>
      </c>
      <c r="K2796" s="554" t="s">
        <v>9219</v>
      </c>
      <c r="L2796" s="537" t="s">
        <v>2354</v>
      </c>
    </row>
    <row r="2797" spans="1:12" x14ac:dyDescent="0.2">
      <c r="A2797" s="570" t="s">
        <v>220</v>
      </c>
      <c r="B2797" s="547" t="s">
        <v>5430</v>
      </c>
      <c r="C2797" s="554" t="s">
        <v>7826</v>
      </c>
      <c r="D2797" s="554" t="s">
        <v>7827</v>
      </c>
      <c r="E2797" s="554" t="s">
        <v>9526</v>
      </c>
      <c r="F2797" s="571">
        <v>1</v>
      </c>
      <c r="G2797" s="572">
        <v>7.5510000000000002</v>
      </c>
      <c r="H2797" s="545">
        <v>7.5510000000000002</v>
      </c>
      <c r="I2797" s="554" t="s">
        <v>9218</v>
      </c>
      <c r="J2797" s="554" t="s">
        <v>9219</v>
      </c>
      <c r="K2797" s="554" t="s">
        <v>9219</v>
      </c>
      <c r="L2797" s="537" t="s">
        <v>2354</v>
      </c>
    </row>
    <row r="2798" spans="1:12" x14ac:dyDescent="0.2">
      <c r="A2798" s="570" t="s">
        <v>220</v>
      </c>
      <c r="B2798" s="547" t="s">
        <v>5430</v>
      </c>
      <c r="C2798" s="554" t="s">
        <v>5576</v>
      </c>
      <c r="D2798" s="554" t="s">
        <v>7828</v>
      </c>
      <c r="E2798" s="554" t="s">
        <v>9526</v>
      </c>
      <c r="F2798" s="571">
        <v>1</v>
      </c>
      <c r="G2798" s="572">
        <v>919.82</v>
      </c>
      <c r="H2798" s="545">
        <v>919.82</v>
      </c>
      <c r="I2798" s="554" t="s">
        <v>9218</v>
      </c>
      <c r="J2798" s="554" t="s">
        <v>9219</v>
      </c>
      <c r="K2798" s="554" t="s">
        <v>9219</v>
      </c>
      <c r="L2798" s="537" t="s">
        <v>2354</v>
      </c>
    </row>
    <row r="2799" spans="1:12" x14ac:dyDescent="0.2">
      <c r="A2799" s="570" t="s">
        <v>220</v>
      </c>
      <c r="B2799" s="547" t="s">
        <v>5430</v>
      </c>
      <c r="C2799" s="554" t="s">
        <v>5578</v>
      </c>
      <c r="D2799" s="554" t="s">
        <v>7829</v>
      </c>
      <c r="E2799" s="554" t="s">
        <v>9526</v>
      </c>
      <c r="F2799" s="571">
        <v>1</v>
      </c>
      <c r="G2799" s="572">
        <v>478.08199999999999</v>
      </c>
      <c r="H2799" s="545">
        <v>478.08199999999999</v>
      </c>
      <c r="I2799" s="554" t="s">
        <v>9218</v>
      </c>
      <c r="J2799" s="554" t="s">
        <v>9219</v>
      </c>
      <c r="K2799" s="554" t="s">
        <v>9219</v>
      </c>
      <c r="L2799" s="537" t="s">
        <v>2354</v>
      </c>
    </row>
    <row r="2800" spans="1:12" x14ac:dyDescent="0.2">
      <c r="A2800" s="570" t="s">
        <v>220</v>
      </c>
      <c r="B2800" s="547" t="s">
        <v>5430</v>
      </c>
      <c r="C2800" s="554" t="s">
        <v>5580</v>
      </c>
      <c r="D2800" s="554" t="s">
        <v>7830</v>
      </c>
      <c r="E2800" s="554" t="s">
        <v>9526</v>
      </c>
      <c r="F2800" s="571">
        <v>1</v>
      </c>
      <c r="G2800" s="572">
        <v>365.74700000000001</v>
      </c>
      <c r="H2800" s="545">
        <v>365.74700000000001</v>
      </c>
      <c r="I2800" s="554" t="s">
        <v>9218</v>
      </c>
      <c r="J2800" s="554" t="s">
        <v>9219</v>
      </c>
      <c r="K2800" s="554" t="s">
        <v>9219</v>
      </c>
      <c r="L2800" s="537" t="s">
        <v>2354</v>
      </c>
    </row>
    <row r="2801" spans="1:12" x14ac:dyDescent="0.2">
      <c r="A2801" s="570" t="s">
        <v>220</v>
      </c>
      <c r="B2801" s="547" t="s">
        <v>5430</v>
      </c>
      <c r="C2801" s="554" t="s">
        <v>5582</v>
      </c>
      <c r="D2801" s="554" t="s">
        <v>7831</v>
      </c>
      <c r="E2801" s="554" t="s">
        <v>9526</v>
      </c>
      <c r="F2801" s="571">
        <v>1</v>
      </c>
      <c r="G2801" s="572">
        <v>651.53899999999999</v>
      </c>
      <c r="H2801" s="545">
        <v>651.53899999999999</v>
      </c>
      <c r="I2801" s="554" t="s">
        <v>9218</v>
      </c>
      <c r="J2801" s="554" t="s">
        <v>9219</v>
      </c>
      <c r="K2801" s="554" t="s">
        <v>9219</v>
      </c>
      <c r="L2801" s="537" t="s">
        <v>2354</v>
      </c>
    </row>
    <row r="2802" spans="1:12" x14ac:dyDescent="0.2">
      <c r="A2802" s="570" t="s">
        <v>220</v>
      </c>
      <c r="B2802" s="547" t="s">
        <v>5430</v>
      </c>
      <c r="C2802" s="554" t="s">
        <v>5584</v>
      </c>
      <c r="D2802" s="554" t="s">
        <v>7832</v>
      </c>
      <c r="E2802" s="554" t="s">
        <v>9526</v>
      </c>
      <c r="F2802" s="571">
        <v>1</v>
      </c>
      <c r="G2802" s="572">
        <v>63.436</v>
      </c>
      <c r="H2802" s="545">
        <v>63.436</v>
      </c>
      <c r="I2802" s="554" t="s">
        <v>9218</v>
      </c>
      <c r="J2802" s="554" t="s">
        <v>9219</v>
      </c>
      <c r="K2802" s="554" t="s">
        <v>9219</v>
      </c>
      <c r="L2802" s="537" t="s">
        <v>2354</v>
      </c>
    </row>
    <row r="2803" spans="1:12" x14ac:dyDescent="0.2">
      <c r="A2803" s="570" t="s">
        <v>220</v>
      </c>
      <c r="B2803" s="547" t="s">
        <v>5430</v>
      </c>
      <c r="C2803" s="554" t="s">
        <v>5586</v>
      </c>
      <c r="D2803" s="554" t="s">
        <v>7833</v>
      </c>
      <c r="E2803" s="554" t="s">
        <v>9526</v>
      </c>
      <c r="F2803" s="571">
        <v>1</v>
      </c>
      <c r="G2803" s="572">
        <v>1.7909999999999999</v>
      </c>
      <c r="H2803" s="545">
        <v>1.7909999999999999</v>
      </c>
      <c r="I2803" s="554" t="s">
        <v>9218</v>
      </c>
      <c r="J2803" s="554" t="s">
        <v>9219</v>
      </c>
      <c r="K2803" s="554" t="s">
        <v>9219</v>
      </c>
      <c r="L2803" s="537" t="s">
        <v>2354</v>
      </c>
    </row>
    <row r="2804" spans="1:12" x14ac:dyDescent="0.2">
      <c r="A2804" s="570" t="s">
        <v>220</v>
      </c>
      <c r="B2804" s="547" t="s">
        <v>5430</v>
      </c>
      <c r="C2804" s="554" t="s">
        <v>5588</v>
      </c>
      <c r="D2804" s="554" t="s">
        <v>7834</v>
      </c>
      <c r="E2804" s="554" t="s">
        <v>9526</v>
      </c>
      <c r="F2804" s="571">
        <v>6</v>
      </c>
      <c r="G2804" s="572">
        <v>69.551000000000002</v>
      </c>
      <c r="H2804" s="545">
        <v>417.30600000000004</v>
      </c>
      <c r="I2804" s="554" t="s">
        <v>9218</v>
      </c>
      <c r="J2804" s="554" t="s">
        <v>9219</v>
      </c>
      <c r="K2804" s="554" t="s">
        <v>9219</v>
      </c>
      <c r="L2804" s="537" t="s">
        <v>2354</v>
      </c>
    </row>
    <row r="2805" spans="1:12" x14ac:dyDescent="0.2">
      <c r="A2805" s="570" t="s">
        <v>220</v>
      </c>
      <c r="B2805" s="547" t="s">
        <v>5430</v>
      </c>
      <c r="C2805" s="554" t="s">
        <v>5590</v>
      </c>
      <c r="D2805" s="554" t="s">
        <v>7835</v>
      </c>
      <c r="E2805" s="554" t="s">
        <v>9526</v>
      </c>
      <c r="F2805" s="573">
        <v>1</v>
      </c>
      <c r="G2805" s="545">
        <v>0</v>
      </c>
      <c r="H2805" s="545">
        <v>0</v>
      </c>
      <c r="I2805" s="554" t="s">
        <v>9218</v>
      </c>
      <c r="J2805" s="554" t="s">
        <v>9219</v>
      </c>
      <c r="K2805" s="554" t="s">
        <v>9219</v>
      </c>
      <c r="L2805" s="537" t="s">
        <v>2354</v>
      </c>
    </row>
    <row r="2806" spans="1:12" x14ac:dyDescent="0.2">
      <c r="A2806" s="570" t="s">
        <v>220</v>
      </c>
      <c r="B2806" s="547" t="s">
        <v>5430</v>
      </c>
      <c r="C2806" s="554" t="s">
        <v>5592</v>
      </c>
      <c r="D2806" s="554" t="s">
        <v>7836</v>
      </c>
      <c r="E2806" s="554" t="s">
        <v>9526</v>
      </c>
      <c r="F2806" s="573">
        <v>2</v>
      </c>
      <c r="G2806" s="545">
        <v>0</v>
      </c>
      <c r="H2806" s="545">
        <v>0</v>
      </c>
      <c r="I2806" s="554" t="s">
        <v>9218</v>
      </c>
      <c r="J2806" s="554" t="s">
        <v>9219</v>
      </c>
      <c r="K2806" s="554" t="s">
        <v>9219</v>
      </c>
      <c r="L2806" s="537" t="s">
        <v>2354</v>
      </c>
    </row>
    <row r="2807" spans="1:12" x14ac:dyDescent="0.2">
      <c r="A2807" s="570" t="s">
        <v>220</v>
      </c>
      <c r="B2807" s="547" t="s">
        <v>5430</v>
      </c>
      <c r="C2807" s="554" t="s">
        <v>5594</v>
      </c>
      <c r="D2807" s="554" t="s">
        <v>7837</v>
      </c>
      <c r="E2807" s="554" t="s">
        <v>9526</v>
      </c>
      <c r="F2807" s="573">
        <v>1</v>
      </c>
      <c r="G2807" s="545">
        <v>0</v>
      </c>
      <c r="H2807" s="545">
        <v>0</v>
      </c>
      <c r="I2807" s="554" t="s">
        <v>9218</v>
      </c>
      <c r="J2807" s="554" t="s">
        <v>9219</v>
      </c>
      <c r="K2807" s="554" t="s">
        <v>9219</v>
      </c>
      <c r="L2807" s="537" t="s">
        <v>2354</v>
      </c>
    </row>
    <row r="2808" spans="1:12" x14ac:dyDescent="0.2">
      <c r="A2808" s="570" t="s">
        <v>220</v>
      </c>
      <c r="B2808" s="547" t="s">
        <v>5430</v>
      </c>
      <c r="C2808" s="554" t="s">
        <v>5596</v>
      </c>
      <c r="D2808" s="554" t="s">
        <v>7838</v>
      </c>
      <c r="E2808" s="554" t="s">
        <v>9526</v>
      </c>
      <c r="F2808" s="573">
        <v>2</v>
      </c>
      <c r="G2808" s="545">
        <v>0</v>
      </c>
      <c r="H2808" s="545">
        <v>0</v>
      </c>
      <c r="I2808" s="554" t="s">
        <v>9218</v>
      </c>
      <c r="J2808" s="554" t="s">
        <v>9219</v>
      </c>
      <c r="K2808" s="554" t="s">
        <v>9219</v>
      </c>
      <c r="L2808" s="537" t="s">
        <v>2354</v>
      </c>
    </row>
    <row r="2809" spans="1:12" x14ac:dyDescent="0.2">
      <c r="A2809" s="570" t="s">
        <v>220</v>
      </c>
      <c r="B2809" s="547" t="s">
        <v>5430</v>
      </c>
      <c r="C2809" s="554" t="s">
        <v>5598</v>
      </c>
      <c r="D2809" s="554" t="s">
        <v>7839</v>
      </c>
      <c r="E2809" s="554" t="s">
        <v>9526</v>
      </c>
      <c r="F2809" s="573">
        <v>1</v>
      </c>
      <c r="G2809" s="545">
        <v>0</v>
      </c>
      <c r="H2809" s="545">
        <v>0</v>
      </c>
      <c r="I2809" s="554" t="s">
        <v>9218</v>
      </c>
      <c r="J2809" s="554" t="s">
        <v>9219</v>
      </c>
      <c r="K2809" s="554" t="s">
        <v>9219</v>
      </c>
      <c r="L2809" s="537" t="s">
        <v>2354</v>
      </c>
    </row>
    <row r="2810" spans="1:12" x14ac:dyDescent="0.2">
      <c r="A2810" s="570" t="s">
        <v>220</v>
      </c>
      <c r="B2810" s="547" t="s">
        <v>5430</v>
      </c>
      <c r="C2810" s="554" t="s">
        <v>5600</v>
      </c>
      <c r="D2810" s="554" t="s">
        <v>5599</v>
      </c>
      <c r="E2810" s="554" t="s">
        <v>9526</v>
      </c>
      <c r="F2810" s="573">
        <v>1</v>
      </c>
      <c r="G2810" s="545">
        <v>0</v>
      </c>
      <c r="H2810" s="545">
        <v>0</v>
      </c>
      <c r="I2810" s="554" t="s">
        <v>9218</v>
      </c>
      <c r="J2810" s="554" t="s">
        <v>9219</v>
      </c>
      <c r="K2810" s="554" t="s">
        <v>9219</v>
      </c>
      <c r="L2810" s="537" t="s">
        <v>2354</v>
      </c>
    </row>
    <row r="2811" spans="1:12" x14ac:dyDescent="0.2">
      <c r="A2811" s="570" t="s">
        <v>220</v>
      </c>
      <c r="B2811" s="547" t="s">
        <v>5430</v>
      </c>
      <c r="C2811" s="554" t="s">
        <v>5601</v>
      </c>
      <c r="D2811" s="554" t="s">
        <v>7840</v>
      </c>
      <c r="E2811" s="554" t="s">
        <v>9526</v>
      </c>
      <c r="F2811" s="573">
        <v>2</v>
      </c>
      <c r="G2811" s="545">
        <v>0</v>
      </c>
      <c r="H2811" s="545">
        <v>0</v>
      </c>
      <c r="I2811" s="554" t="s">
        <v>9218</v>
      </c>
      <c r="J2811" s="554" t="s">
        <v>9219</v>
      </c>
      <c r="K2811" s="554" t="s">
        <v>9219</v>
      </c>
      <c r="L2811" s="537" t="s">
        <v>2354</v>
      </c>
    </row>
    <row r="2812" spans="1:12" x14ac:dyDescent="0.2">
      <c r="A2812" s="570" t="s">
        <v>220</v>
      </c>
      <c r="B2812" s="547" t="s">
        <v>5430</v>
      </c>
      <c r="C2812" s="554" t="s">
        <v>5603</v>
      </c>
      <c r="D2812" s="554" t="s">
        <v>7841</v>
      </c>
      <c r="E2812" s="554" t="s">
        <v>9526</v>
      </c>
      <c r="F2812" s="573">
        <v>3</v>
      </c>
      <c r="G2812" s="545">
        <v>0</v>
      </c>
      <c r="H2812" s="545">
        <v>0</v>
      </c>
      <c r="I2812" s="554" t="s">
        <v>9218</v>
      </c>
      <c r="J2812" s="554" t="s">
        <v>9219</v>
      </c>
      <c r="K2812" s="554" t="s">
        <v>9219</v>
      </c>
      <c r="L2812" s="537" t="s">
        <v>2354</v>
      </c>
    </row>
    <row r="2813" spans="1:12" x14ac:dyDescent="0.2">
      <c r="A2813" s="570" t="s">
        <v>220</v>
      </c>
      <c r="B2813" s="547" t="s">
        <v>5430</v>
      </c>
      <c r="C2813" s="554" t="s">
        <v>5605</v>
      </c>
      <c r="D2813" s="554" t="s">
        <v>7842</v>
      </c>
      <c r="E2813" s="554" t="s">
        <v>9526</v>
      </c>
      <c r="F2813" s="573">
        <v>2</v>
      </c>
      <c r="G2813" s="545">
        <v>0</v>
      </c>
      <c r="H2813" s="545">
        <v>0</v>
      </c>
      <c r="I2813" s="554" t="s">
        <v>9218</v>
      </c>
      <c r="J2813" s="554" t="s">
        <v>9219</v>
      </c>
      <c r="K2813" s="554" t="s">
        <v>9219</v>
      </c>
      <c r="L2813" s="537" t="s">
        <v>2354</v>
      </c>
    </row>
    <row r="2814" spans="1:12" x14ac:dyDescent="0.2">
      <c r="A2814" s="570" t="s">
        <v>220</v>
      </c>
      <c r="B2814" s="547" t="s">
        <v>5430</v>
      </c>
      <c r="C2814" s="554" t="s">
        <v>5607</v>
      </c>
      <c r="D2814" s="554" t="s">
        <v>7843</v>
      </c>
      <c r="E2814" s="554" t="s">
        <v>9526</v>
      </c>
      <c r="F2814" s="573">
        <v>1</v>
      </c>
      <c r="G2814" s="545">
        <v>0</v>
      </c>
      <c r="H2814" s="545">
        <v>0</v>
      </c>
      <c r="I2814" s="554" t="s">
        <v>9218</v>
      </c>
      <c r="J2814" s="554" t="s">
        <v>9219</v>
      </c>
      <c r="K2814" s="554" t="s">
        <v>9219</v>
      </c>
      <c r="L2814" s="537" t="s">
        <v>2354</v>
      </c>
    </row>
    <row r="2815" spans="1:12" x14ac:dyDescent="0.2">
      <c r="A2815" s="570" t="s">
        <v>220</v>
      </c>
      <c r="B2815" s="547" t="s">
        <v>5430</v>
      </c>
      <c r="C2815" s="554" t="s">
        <v>5609</v>
      </c>
      <c r="D2815" s="554" t="s">
        <v>7844</v>
      </c>
      <c r="E2815" s="554" t="s">
        <v>9526</v>
      </c>
      <c r="F2815" s="573">
        <v>1</v>
      </c>
      <c r="G2815" s="545">
        <v>0</v>
      </c>
      <c r="H2815" s="545">
        <v>0</v>
      </c>
      <c r="I2815" s="554" t="s">
        <v>9218</v>
      </c>
      <c r="J2815" s="554" t="s">
        <v>9219</v>
      </c>
      <c r="K2815" s="554" t="s">
        <v>9219</v>
      </c>
      <c r="L2815" s="537" t="s">
        <v>2354</v>
      </c>
    </row>
    <row r="2816" spans="1:12" x14ac:dyDescent="0.2">
      <c r="A2816" s="570" t="s">
        <v>220</v>
      </c>
      <c r="B2816" s="547" t="s">
        <v>5430</v>
      </c>
      <c r="C2816" s="554" t="s">
        <v>5611</v>
      </c>
      <c r="D2816" s="554" t="s">
        <v>7845</v>
      </c>
      <c r="E2816" s="554" t="s">
        <v>9526</v>
      </c>
      <c r="F2816" s="573">
        <v>1</v>
      </c>
      <c r="G2816" s="545">
        <v>0</v>
      </c>
      <c r="H2816" s="545">
        <v>0</v>
      </c>
      <c r="I2816" s="554" t="s">
        <v>9218</v>
      </c>
      <c r="J2816" s="554" t="s">
        <v>9219</v>
      </c>
      <c r="K2816" s="554" t="s">
        <v>9219</v>
      </c>
      <c r="L2816" s="537" t="s">
        <v>2354</v>
      </c>
    </row>
    <row r="2817" spans="1:12" x14ac:dyDescent="0.2">
      <c r="A2817" s="570" t="s">
        <v>220</v>
      </c>
      <c r="B2817" s="547" t="s">
        <v>5430</v>
      </c>
      <c r="C2817" s="554" t="s">
        <v>5613</v>
      </c>
      <c r="D2817" s="554" t="s">
        <v>7846</v>
      </c>
      <c r="E2817" s="554" t="s">
        <v>9526</v>
      </c>
      <c r="F2817" s="571">
        <v>1</v>
      </c>
      <c r="G2817" s="572">
        <v>2821.5</v>
      </c>
      <c r="H2817" s="545">
        <v>2821.5</v>
      </c>
      <c r="I2817" s="554" t="s">
        <v>9218</v>
      </c>
      <c r="J2817" s="554" t="s">
        <v>9219</v>
      </c>
      <c r="K2817" s="554" t="s">
        <v>9219</v>
      </c>
      <c r="L2817" s="537" t="s">
        <v>2354</v>
      </c>
    </row>
    <row r="2818" spans="1:12" x14ac:dyDescent="0.2">
      <c r="A2818" s="570" t="s">
        <v>220</v>
      </c>
      <c r="B2818" s="547" t="s">
        <v>5430</v>
      </c>
      <c r="C2818" s="554" t="s">
        <v>5615</v>
      </c>
      <c r="D2818" s="554" t="s">
        <v>7847</v>
      </c>
      <c r="E2818" s="554" t="s">
        <v>9526</v>
      </c>
      <c r="F2818" s="573">
        <v>2</v>
      </c>
      <c r="G2818" s="545">
        <v>0</v>
      </c>
      <c r="H2818" s="545">
        <v>0</v>
      </c>
      <c r="I2818" s="554" t="s">
        <v>9218</v>
      </c>
      <c r="J2818" s="554" t="s">
        <v>9219</v>
      </c>
      <c r="K2818" s="554" t="s">
        <v>9219</v>
      </c>
      <c r="L2818" s="537" t="s">
        <v>2354</v>
      </c>
    </row>
    <row r="2819" spans="1:12" x14ac:dyDescent="0.2">
      <c r="A2819" s="570" t="s">
        <v>220</v>
      </c>
      <c r="B2819" s="547" t="s">
        <v>5430</v>
      </c>
      <c r="C2819" s="554" t="s">
        <v>5617</v>
      </c>
      <c r="D2819" s="554" t="s">
        <v>7848</v>
      </c>
      <c r="E2819" s="554" t="s">
        <v>9526</v>
      </c>
      <c r="F2819" s="573">
        <v>1</v>
      </c>
      <c r="G2819" s="545">
        <v>0</v>
      </c>
      <c r="H2819" s="545">
        <v>0</v>
      </c>
      <c r="I2819" s="554" t="s">
        <v>9218</v>
      </c>
      <c r="J2819" s="554" t="s">
        <v>9219</v>
      </c>
      <c r="K2819" s="554" t="s">
        <v>9219</v>
      </c>
      <c r="L2819" s="537" t="s">
        <v>2354</v>
      </c>
    </row>
    <row r="2820" spans="1:12" x14ac:dyDescent="0.2">
      <c r="A2820" s="570" t="s">
        <v>220</v>
      </c>
      <c r="B2820" s="547" t="s">
        <v>5430</v>
      </c>
      <c r="C2820" s="554" t="s">
        <v>5619</v>
      </c>
      <c r="D2820" s="554" t="s">
        <v>7849</v>
      </c>
      <c r="E2820" s="554" t="s">
        <v>9526</v>
      </c>
      <c r="F2820" s="573">
        <v>1</v>
      </c>
      <c r="G2820" s="545">
        <v>0</v>
      </c>
      <c r="H2820" s="545">
        <v>0</v>
      </c>
      <c r="I2820" s="554" t="s">
        <v>9218</v>
      </c>
      <c r="J2820" s="554" t="s">
        <v>9219</v>
      </c>
      <c r="K2820" s="554" t="s">
        <v>9219</v>
      </c>
      <c r="L2820" s="537" t="s">
        <v>2354</v>
      </c>
    </row>
    <row r="2821" spans="1:12" x14ac:dyDescent="0.2">
      <c r="A2821" s="570" t="s">
        <v>220</v>
      </c>
      <c r="B2821" s="547" t="s">
        <v>5430</v>
      </c>
      <c r="C2821" s="554" t="s">
        <v>7850</v>
      </c>
      <c r="D2821" s="554" t="s">
        <v>7851</v>
      </c>
      <c r="E2821" s="554" t="s">
        <v>9526</v>
      </c>
      <c r="F2821" s="573">
        <v>1</v>
      </c>
      <c r="G2821" s="545">
        <v>0</v>
      </c>
      <c r="H2821" s="545">
        <v>0</v>
      </c>
      <c r="I2821" s="554" t="s">
        <v>9218</v>
      </c>
      <c r="J2821" s="554" t="s">
        <v>9219</v>
      </c>
      <c r="K2821" s="554" t="s">
        <v>9219</v>
      </c>
      <c r="L2821" s="537" t="s">
        <v>2354</v>
      </c>
    </row>
    <row r="2822" spans="1:12" x14ac:dyDescent="0.2">
      <c r="A2822" s="570" t="s">
        <v>220</v>
      </c>
      <c r="B2822" s="547" t="s">
        <v>5430</v>
      </c>
      <c r="C2822" s="554" t="s">
        <v>7852</v>
      </c>
      <c r="D2822" s="554" t="s">
        <v>7853</v>
      </c>
      <c r="E2822" s="554" t="s">
        <v>9526</v>
      </c>
      <c r="F2822" s="573">
        <v>1</v>
      </c>
      <c r="G2822" s="545">
        <v>0</v>
      </c>
      <c r="H2822" s="545">
        <v>0</v>
      </c>
      <c r="I2822" s="554" t="s">
        <v>9218</v>
      </c>
      <c r="J2822" s="554" t="s">
        <v>9219</v>
      </c>
      <c r="K2822" s="554" t="s">
        <v>9219</v>
      </c>
      <c r="L2822" s="537" t="s">
        <v>2354</v>
      </c>
    </row>
    <row r="2823" spans="1:12" x14ac:dyDescent="0.2">
      <c r="A2823" s="570" t="s">
        <v>220</v>
      </c>
      <c r="B2823" s="547" t="s">
        <v>5430</v>
      </c>
      <c r="C2823" s="554" t="s">
        <v>7854</v>
      </c>
      <c r="D2823" s="554" t="s">
        <v>7855</v>
      </c>
      <c r="E2823" s="554" t="s">
        <v>9526</v>
      </c>
      <c r="F2823" s="573">
        <v>1</v>
      </c>
      <c r="G2823" s="545">
        <v>0</v>
      </c>
      <c r="H2823" s="545">
        <v>0</v>
      </c>
      <c r="I2823" s="554" t="s">
        <v>9218</v>
      </c>
      <c r="J2823" s="554" t="s">
        <v>9219</v>
      </c>
      <c r="K2823" s="554" t="s">
        <v>9219</v>
      </c>
      <c r="L2823" s="537" t="s">
        <v>2354</v>
      </c>
    </row>
    <row r="2824" spans="1:12" x14ac:dyDescent="0.2">
      <c r="A2824" s="570" t="s">
        <v>220</v>
      </c>
      <c r="B2824" s="547" t="s">
        <v>5430</v>
      </c>
      <c r="C2824" s="554" t="s">
        <v>5627</v>
      </c>
      <c r="D2824" s="554" t="s">
        <v>7856</v>
      </c>
      <c r="E2824" s="554" t="s">
        <v>9526</v>
      </c>
      <c r="F2824" s="573">
        <v>2</v>
      </c>
      <c r="G2824" s="545">
        <v>0</v>
      </c>
      <c r="H2824" s="545">
        <v>0</v>
      </c>
      <c r="I2824" s="554" t="s">
        <v>9218</v>
      </c>
      <c r="J2824" s="554" t="s">
        <v>9219</v>
      </c>
      <c r="K2824" s="554" t="s">
        <v>9219</v>
      </c>
      <c r="L2824" s="537" t="s">
        <v>2354</v>
      </c>
    </row>
    <row r="2825" spans="1:12" x14ac:dyDescent="0.2">
      <c r="A2825" s="570" t="s">
        <v>220</v>
      </c>
      <c r="B2825" s="547" t="s">
        <v>5430</v>
      </c>
      <c r="C2825" s="554" t="s">
        <v>5629</v>
      </c>
      <c r="D2825" s="554" t="s">
        <v>7857</v>
      </c>
      <c r="E2825" s="554" t="s">
        <v>9526</v>
      </c>
      <c r="F2825" s="571">
        <v>1</v>
      </c>
      <c r="G2825" s="572">
        <v>1834.2945475713532</v>
      </c>
      <c r="H2825" s="545">
        <v>1834.2945475713532</v>
      </c>
      <c r="I2825" s="554" t="s">
        <v>9218</v>
      </c>
      <c r="J2825" s="554" t="s">
        <v>9219</v>
      </c>
      <c r="K2825" s="554" t="s">
        <v>9219</v>
      </c>
      <c r="L2825" s="537" t="s">
        <v>2354</v>
      </c>
    </row>
    <row r="2826" spans="1:12" x14ac:dyDescent="0.2">
      <c r="A2826" s="570" t="s">
        <v>220</v>
      </c>
      <c r="B2826" s="547" t="s">
        <v>5430</v>
      </c>
      <c r="C2826" s="554" t="s">
        <v>5631</v>
      </c>
      <c r="D2826" s="554" t="s">
        <v>5632</v>
      </c>
      <c r="E2826" s="554" t="s">
        <v>9526</v>
      </c>
      <c r="F2826" s="571">
        <v>4</v>
      </c>
      <c r="G2826" s="572">
        <v>600</v>
      </c>
      <c r="H2826" s="545">
        <v>2400</v>
      </c>
      <c r="I2826" s="554" t="s">
        <v>9218</v>
      </c>
      <c r="J2826" s="554" t="s">
        <v>9219</v>
      </c>
      <c r="K2826" s="554" t="s">
        <v>9219</v>
      </c>
      <c r="L2826" s="537" t="s">
        <v>2354</v>
      </c>
    </row>
    <row r="2827" spans="1:12" x14ac:dyDescent="0.2">
      <c r="A2827" s="570" t="s">
        <v>220</v>
      </c>
      <c r="B2827" s="547" t="s">
        <v>5430</v>
      </c>
      <c r="C2827" s="554" t="s">
        <v>5633</v>
      </c>
      <c r="D2827" s="554" t="s">
        <v>7858</v>
      </c>
      <c r="E2827" s="554" t="s">
        <v>9526</v>
      </c>
      <c r="F2827" s="573">
        <v>3</v>
      </c>
      <c r="G2827" s="545">
        <v>0</v>
      </c>
      <c r="H2827" s="545">
        <v>0</v>
      </c>
      <c r="I2827" s="554" t="s">
        <v>9218</v>
      </c>
      <c r="J2827" s="554" t="s">
        <v>9219</v>
      </c>
      <c r="K2827" s="554" t="s">
        <v>9219</v>
      </c>
      <c r="L2827" s="537" t="s">
        <v>2354</v>
      </c>
    </row>
    <row r="2828" spans="1:12" x14ac:dyDescent="0.2">
      <c r="A2828" s="570" t="s">
        <v>220</v>
      </c>
      <c r="B2828" s="547" t="s">
        <v>5430</v>
      </c>
      <c r="C2828" s="554" t="s">
        <v>5635</v>
      </c>
      <c r="D2828" s="554" t="s">
        <v>7859</v>
      </c>
      <c r="E2828" s="554" t="s">
        <v>9526</v>
      </c>
      <c r="F2828" s="573">
        <v>4</v>
      </c>
      <c r="G2828" s="545">
        <v>0</v>
      </c>
      <c r="H2828" s="545">
        <v>0</v>
      </c>
      <c r="I2828" s="554" t="s">
        <v>9218</v>
      </c>
      <c r="J2828" s="554" t="s">
        <v>9219</v>
      </c>
      <c r="K2828" s="554" t="s">
        <v>9219</v>
      </c>
      <c r="L2828" s="537" t="s">
        <v>2354</v>
      </c>
    </row>
    <row r="2829" spans="1:12" x14ac:dyDescent="0.2">
      <c r="A2829" s="570" t="s">
        <v>220</v>
      </c>
      <c r="B2829" s="547" t="s">
        <v>5430</v>
      </c>
      <c r="C2829" s="554" t="s">
        <v>5637</v>
      </c>
      <c r="D2829" s="554" t="s">
        <v>7860</v>
      </c>
      <c r="E2829" s="554" t="s">
        <v>9526</v>
      </c>
      <c r="F2829" s="571">
        <v>5</v>
      </c>
      <c r="G2829" s="572">
        <v>120.39981269751891</v>
      </c>
      <c r="H2829" s="545">
        <v>601.99906348759453</v>
      </c>
      <c r="I2829" s="554" t="s">
        <v>9218</v>
      </c>
      <c r="J2829" s="554" t="s">
        <v>9219</v>
      </c>
      <c r="K2829" s="554" t="s">
        <v>9219</v>
      </c>
      <c r="L2829" s="537" t="s">
        <v>2354</v>
      </c>
    </row>
    <row r="2830" spans="1:12" x14ac:dyDescent="0.2">
      <c r="A2830" s="570" t="s">
        <v>220</v>
      </c>
      <c r="B2830" s="547" t="s">
        <v>5430</v>
      </c>
      <c r="C2830" s="554" t="s">
        <v>5639</v>
      </c>
      <c r="D2830" s="554" t="s">
        <v>7861</v>
      </c>
      <c r="E2830" s="554" t="s">
        <v>9526</v>
      </c>
      <c r="F2830" s="571">
        <v>2</v>
      </c>
      <c r="G2830" s="572">
        <v>1.0289999999999999</v>
      </c>
      <c r="H2830" s="545">
        <v>2.0579999999999998</v>
      </c>
      <c r="I2830" s="554" t="s">
        <v>9218</v>
      </c>
      <c r="J2830" s="554" t="s">
        <v>9219</v>
      </c>
      <c r="K2830" s="554" t="s">
        <v>9219</v>
      </c>
      <c r="L2830" s="537" t="s">
        <v>2354</v>
      </c>
    </row>
    <row r="2831" spans="1:12" x14ac:dyDescent="0.2">
      <c r="A2831" s="570" t="s">
        <v>220</v>
      </c>
      <c r="B2831" s="547" t="s">
        <v>5430</v>
      </c>
      <c r="C2831" s="554" t="s">
        <v>7862</v>
      </c>
      <c r="D2831" s="554" t="s">
        <v>7863</v>
      </c>
      <c r="E2831" s="554" t="s">
        <v>9526</v>
      </c>
      <c r="F2831" s="571">
        <v>2</v>
      </c>
      <c r="G2831" s="572">
        <v>1.028</v>
      </c>
      <c r="H2831" s="545">
        <v>2.056</v>
      </c>
      <c r="I2831" s="554" t="s">
        <v>9218</v>
      </c>
      <c r="J2831" s="554" t="s">
        <v>9219</v>
      </c>
      <c r="K2831" s="554" t="s">
        <v>9219</v>
      </c>
      <c r="L2831" s="537" t="s">
        <v>2354</v>
      </c>
    </row>
    <row r="2832" spans="1:12" x14ac:dyDescent="0.2">
      <c r="A2832" s="570" t="s">
        <v>220</v>
      </c>
      <c r="B2832" s="547" t="s">
        <v>5430</v>
      </c>
      <c r="C2832" s="554" t="s">
        <v>5643</v>
      </c>
      <c r="D2832" s="554" t="s">
        <v>7864</v>
      </c>
      <c r="E2832" s="554" t="s">
        <v>9526</v>
      </c>
      <c r="F2832" s="571">
        <v>24</v>
      </c>
      <c r="G2832" s="572">
        <v>29.393000000000001</v>
      </c>
      <c r="H2832" s="545">
        <v>705.43200000000002</v>
      </c>
      <c r="I2832" s="554" t="s">
        <v>9218</v>
      </c>
      <c r="J2832" s="554" t="s">
        <v>9219</v>
      </c>
      <c r="K2832" s="554" t="s">
        <v>9219</v>
      </c>
      <c r="L2832" s="537" t="s">
        <v>2354</v>
      </c>
    </row>
    <row r="2833" spans="1:12" x14ac:dyDescent="0.2">
      <c r="A2833" s="570" t="s">
        <v>220</v>
      </c>
      <c r="B2833" s="547" t="s">
        <v>5430</v>
      </c>
      <c r="C2833" s="554" t="s">
        <v>5645</v>
      </c>
      <c r="D2833" s="554" t="s">
        <v>7865</v>
      </c>
      <c r="E2833" s="554" t="s">
        <v>9526</v>
      </c>
      <c r="F2833" s="571">
        <v>12</v>
      </c>
      <c r="G2833" s="572">
        <v>41.15</v>
      </c>
      <c r="H2833" s="545">
        <v>493.79999999999995</v>
      </c>
      <c r="I2833" s="554" t="s">
        <v>9218</v>
      </c>
      <c r="J2833" s="554" t="s">
        <v>9219</v>
      </c>
      <c r="K2833" s="554" t="s">
        <v>9219</v>
      </c>
      <c r="L2833" s="537" t="s">
        <v>2354</v>
      </c>
    </row>
    <row r="2834" spans="1:12" x14ac:dyDescent="0.2">
      <c r="A2834" s="570" t="s">
        <v>220</v>
      </c>
      <c r="B2834" s="547" t="s">
        <v>5430</v>
      </c>
      <c r="C2834" s="554" t="s">
        <v>5647</v>
      </c>
      <c r="D2834" s="554" t="s">
        <v>7866</v>
      </c>
      <c r="E2834" s="554" t="s">
        <v>9526</v>
      </c>
      <c r="F2834" s="571">
        <v>8</v>
      </c>
      <c r="G2834" s="572">
        <v>49.968000000000004</v>
      </c>
      <c r="H2834" s="545">
        <v>399.74400000000003</v>
      </c>
      <c r="I2834" s="554" t="s">
        <v>9218</v>
      </c>
      <c r="J2834" s="554" t="s">
        <v>9219</v>
      </c>
      <c r="K2834" s="554" t="s">
        <v>9219</v>
      </c>
      <c r="L2834" s="537" t="s">
        <v>2354</v>
      </c>
    </row>
    <row r="2835" spans="1:12" x14ac:dyDescent="0.2">
      <c r="A2835" s="570" t="s">
        <v>220</v>
      </c>
      <c r="B2835" s="547" t="s">
        <v>5430</v>
      </c>
      <c r="C2835" s="554" t="s">
        <v>5649</v>
      </c>
      <c r="D2835" s="554" t="s">
        <v>7867</v>
      </c>
      <c r="E2835" s="554" t="s">
        <v>9526</v>
      </c>
      <c r="F2835" s="571">
        <v>24</v>
      </c>
      <c r="G2835" s="572">
        <v>29.393000000000001</v>
      </c>
      <c r="H2835" s="545">
        <v>705.43200000000002</v>
      </c>
      <c r="I2835" s="554" t="s">
        <v>9218</v>
      </c>
      <c r="J2835" s="554" t="s">
        <v>9219</v>
      </c>
      <c r="K2835" s="554" t="s">
        <v>9219</v>
      </c>
      <c r="L2835" s="537" t="s">
        <v>2354</v>
      </c>
    </row>
    <row r="2836" spans="1:12" x14ac:dyDescent="0.2">
      <c r="A2836" s="570" t="s">
        <v>220</v>
      </c>
      <c r="B2836" s="547" t="s">
        <v>5430</v>
      </c>
      <c r="C2836" s="554" t="s">
        <v>5651</v>
      </c>
      <c r="D2836" s="554" t="s">
        <v>7868</v>
      </c>
      <c r="E2836" s="554" t="s">
        <v>9526</v>
      </c>
      <c r="F2836" s="571">
        <v>4</v>
      </c>
      <c r="G2836" s="572">
        <v>38.210999999999999</v>
      </c>
      <c r="H2836" s="545">
        <v>152.84399999999999</v>
      </c>
      <c r="I2836" s="554" t="s">
        <v>9218</v>
      </c>
      <c r="J2836" s="554" t="s">
        <v>9219</v>
      </c>
      <c r="K2836" s="554" t="s">
        <v>9219</v>
      </c>
      <c r="L2836" s="537" t="s">
        <v>2354</v>
      </c>
    </row>
    <row r="2837" spans="1:12" x14ac:dyDescent="0.2">
      <c r="A2837" s="570" t="s">
        <v>220</v>
      </c>
      <c r="B2837" s="547" t="s">
        <v>5430</v>
      </c>
      <c r="C2837" s="554" t="s">
        <v>5653</v>
      </c>
      <c r="D2837" s="554" t="s">
        <v>7869</v>
      </c>
      <c r="E2837" s="554" t="s">
        <v>9526</v>
      </c>
      <c r="F2837" s="571">
        <v>16</v>
      </c>
      <c r="G2837" s="572">
        <v>44.09</v>
      </c>
      <c r="H2837" s="545">
        <v>705.44</v>
      </c>
      <c r="I2837" s="554" t="s">
        <v>9218</v>
      </c>
      <c r="J2837" s="554" t="s">
        <v>9219</v>
      </c>
      <c r="K2837" s="554" t="s">
        <v>9219</v>
      </c>
      <c r="L2837" s="537" t="s">
        <v>2354</v>
      </c>
    </row>
    <row r="2838" spans="1:12" x14ac:dyDescent="0.2">
      <c r="A2838" s="570" t="s">
        <v>220</v>
      </c>
      <c r="B2838" s="547" t="s">
        <v>5430</v>
      </c>
      <c r="C2838" s="554" t="s">
        <v>5655</v>
      </c>
      <c r="D2838" s="554" t="s">
        <v>7870</v>
      </c>
      <c r="E2838" s="554" t="s">
        <v>9526</v>
      </c>
      <c r="F2838" s="571">
        <v>1</v>
      </c>
      <c r="G2838" s="572">
        <v>277.12799999999999</v>
      </c>
      <c r="H2838" s="545">
        <v>277.12799999999999</v>
      </c>
      <c r="I2838" s="554" t="s">
        <v>9218</v>
      </c>
      <c r="J2838" s="554" t="s">
        <v>9219</v>
      </c>
      <c r="K2838" s="554" t="s">
        <v>9219</v>
      </c>
      <c r="L2838" s="537" t="s">
        <v>2354</v>
      </c>
    </row>
    <row r="2839" spans="1:12" x14ac:dyDescent="0.2">
      <c r="A2839" s="570" t="s">
        <v>220</v>
      </c>
      <c r="B2839" s="547" t="s">
        <v>5430</v>
      </c>
      <c r="C2839" s="554" t="s">
        <v>7871</v>
      </c>
      <c r="D2839" s="554" t="s">
        <v>7872</v>
      </c>
      <c r="E2839" s="554" t="s">
        <v>9526</v>
      </c>
      <c r="F2839" s="571">
        <v>1</v>
      </c>
      <c r="G2839" s="572">
        <v>294.72000000000003</v>
      </c>
      <c r="H2839" s="545">
        <v>294.72000000000003</v>
      </c>
      <c r="I2839" s="554" t="s">
        <v>9218</v>
      </c>
      <c r="J2839" s="554" t="s">
        <v>9219</v>
      </c>
      <c r="K2839" s="554" t="s">
        <v>9219</v>
      </c>
      <c r="L2839" s="537" t="s">
        <v>2354</v>
      </c>
    </row>
    <row r="2840" spans="1:12" x14ac:dyDescent="0.2">
      <c r="A2840" s="570" t="s">
        <v>220</v>
      </c>
      <c r="B2840" s="547" t="s">
        <v>5430</v>
      </c>
      <c r="C2840" s="554" t="s">
        <v>2638</v>
      </c>
      <c r="D2840" s="554" t="s">
        <v>7873</v>
      </c>
      <c r="E2840" s="554" t="s">
        <v>9526</v>
      </c>
      <c r="F2840" s="571">
        <v>1</v>
      </c>
      <c r="G2840" s="572">
        <v>40</v>
      </c>
      <c r="H2840" s="545">
        <v>40</v>
      </c>
      <c r="I2840" s="554" t="s">
        <v>9218</v>
      </c>
      <c r="J2840" s="554" t="s">
        <v>9219</v>
      </c>
      <c r="K2840" s="554" t="s">
        <v>9219</v>
      </c>
      <c r="L2840" s="537" t="s">
        <v>2354</v>
      </c>
    </row>
    <row r="2841" spans="1:12" x14ac:dyDescent="0.2">
      <c r="A2841" s="570" t="s">
        <v>220</v>
      </c>
      <c r="B2841" s="547" t="s">
        <v>5430</v>
      </c>
      <c r="C2841" s="554" t="s">
        <v>5658</v>
      </c>
      <c r="D2841" s="554" t="s">
        <v>7874</v>
      </c>
      <c r="E2841" s="554" t="s">
        <v>9526</v>
      </c>
      <c r="F2841" s="571">
        <v>3</v>
      </c>
      <c r="G2841" s="572">
        <v>59.043999999999997</v>
      </c>
      <c r="H2841" s="545">
        <v>177.13200000000001</v>
      </c>
      <c r="I2841" s="554" t="s">
        <v>9218</v>
      </c>
      <c r="J2841" s="554" t="s">
        <v>9219</v>
      </c>
      <c r="K2841" s="554" t="s">
        <v>9219</v>
      </c>
      <c r="L2841" s="537" t="s">
        <v>2354</v>
      </c>
    </row>
    <row r="2842" spans="1:12" x14ac:dyDescent="0.2">
      <c r="A2842" s="570" t="s">
        <v>220</v>
      </c>
      <c r="B2842" s="547" t="s">
        <v>5430</v>
      </c>
      <c r="C2842" s="554" t="s">
        <v>5662</v>
      </c>
      <c r="D2842" s="554" t="s">
        <v>7875</v>
      </c>
      <c r="E2842" s="554" t="s">
        <v>9526</v>
      </c>
      <c r="F2842" s="571">
        <v>1</v>
      </c>
      <c r="G2842" s="572">
        <v>230.4</v>
      </c>
      <c r="H2842" s="545">
        <v>230.4</v>
      </c>
      <c r="I2842" s="554" t="s">
        <v>9218</v>
      </c>
      <c r="J2842" s="554" t="s">
        <v>9219</v>
      </c>
      <c r="K2842" s="554" t="s">
        <v>9219</v>
      </c>
      <c r="L2842" s="537" t="s">
        <v>2354</v>
      </c>
    </row>
    <row r="2843" spans="1:12" x14ac:dyDescent="0.2">
      <c r="A2843" s="570" t="s">
        <v>220</v>
      </c>
      <c r="B2843" s="547" t="s">
        <v>5430</v>
      </c>
      <c r="C2843" s="554" t="s">
        <v>5664</v>
      </c>
      <c r="D2843" s="554" t="s">
        <v>7876</v>
      </c>
      <c r="E2843" s="554" t="s">
        <v>9526</v>
      </c>
      <c r="F2843" s="571">
        <v>20</v>
      </c>
      <c r="G2843" s="572">
        <v>36</v>
      </c>
      <c r="H2843" s="545">
        <v>720</v>
      </c>
      <c r="I2843" s="554" t="s">
        <v>9218</v>
      </c>
      <c r="J2843" s="554" t="s">
        <v>9219</v>
      </c>
      <c r="K2843" s="554" t="s">
        <v>9219</v>
      </c>
      <c r="L2843" s="537" t="s">
        <v>2354</v>
      </c>
    </row>
    <row r="2844" spans="1:12" x14ac:dyDescent="0.2">
      <c r="A2844" s="570" t="s">
        <v>220</v>
      </c>
      <c r="B2844" s="547" t="s">
        <v>5430</v>
      </c>
      <c r="C2844" s="554" t="s">
        <v>5666</v>
      </c>
      <c r="D2844" s="554" t="s">
        <v>7877</v>
      </c>
      <c r="E2844" s="554" t="s">
        <v>9526</v>
      </c>
      <c r="F2844" s="571">
        <v>1</v>
      </c>
      <c r="G2844" s="572">
        <v>7.0679999999999996</v>
      </c>
      <c r="H2844" s="545">
        <v>7.0679999999999996</v>
      </c>
      <c r="I2844" s="554" t="s">
        <v>9218</v>
      </c>
      <c r="J2844" s="554" t="s">
        <v>9219</v>
      </c>
      <c r="K2844" s="554" t="s">
        <v>9219</v>
      </c>
      <c r="L2844" s="537" t="s">
        <v>2354</v>
      </c>
    </row>
    <row r="2845" spans="1:12" x14ac:dyDescent="0.2">
      <c r="A2845" s="570" t="s">
        <v>220</v>
      </c>
      <c r="B2845" s="547" t="s">
        <v>5430</v>
      </c>
      <c r="C2845" s="554" t="s">
        <v>7878</v>
      </c>
      <c r="D2845" s="554" t="s">
        <v>7879</v>
      </c>
      <c r="E2845" s="554" t="s">
        <v>9526</v>
      </c>
      <c r="F2845" s="571">
        <v>1</v>
      </c>
      <c r="G2845" s="572">
        <v>1.089</v>
      </c>
      <c r="H2845" s="545">
        <v>1.089</v>
      </c>
      <c r="I2845" s="554" t="s">
        <v>9218</v>
      </c>
      <c r="J2845" s="554" t="s">
        <v>9219</v>
      </c>
      <c r="K2845" s="554" t="s">
        <v>9219</v>
      </c>
      <c r="L2845" s="537" t="s">
        <v>2354</v>
      </c>
    </row>
    <row r="2846" spans="1:12" x14ac:dyDescent="0.2">
      <c r="A2846" s="570" t="s">
        <v>220</v>
      </c>
      <c r="B2846" s="547" t="s">
        <v>5430</v>
      </c>
      <c r="C2846" s="554" t="s">
        <v>5670</v>
      </c>
      <c r="D2846" s="554" t="s">
        <v>7880</v>
      </c>
      <c r="E2846" s="554" t="s">
        <v>9526</v>
      </c>
      <c r="F2846" s="571">
        <v>1</v>
      </c>
      <c r="G2846" s="572">
        <v>179.482</v>
      </c>
      <c r="H2846" s="545">
        <v>179.482</v>
      </c>
      <c r="I2846" s="554" t="s">
        <v>9218</v>
      </c>
      <c r="J2846" s="554" t="s">
        <v>9219</v>
      </c>
      <c r="K2846" s="554" t="s">
        <v>9219</v>
      </c>
      <c r="L2846" s="537" t="s">
        <v>2354</v>
      </c>
    </row>
    <row r="2847" spans="1:12" x14ac:dyDescent="0.2">
      <c r="A2847" s="570" t="s">
        <v>220</v>
      </c>
      <c r="B2847" s="547" t="s">
        <v>5430</v>
      </c>
      <c r="C2847" s="554" t="s">
        <v>5674</v>
      </c>
      <c r="D2847" s="554" t="s">
        <v>7881</v>
      </c>
      <c r="E2847" s="554" t="s">
        <v>9526</v>
      </c>
      <c r="F2847" s="571">
        <v>1</v>
      </c>
      <c r="G2847" s="572">
        <v>327.63200000000001</v>
      </c>
      <c r="H2847" s="545">
        <v>327.63200000000001</v>
      </c>
      <c r="I2847" s="554" t="s">
        <v>9218</v>
      </c>
      <c r="J2847" s="554" t="s">
        <v>9219</v>
      </c>
      <c r="K2847" s="554" t="s">
        <v>9219</v>
      </c>
      <c r="L2847" s="537" t="s">
        <v>2354</v>
      </c>
    </row>
    <row r="2848" spans="1:12" x14ac:dyDescent="0.2">
      <c r="A2848" s="570" t="s">
        <v>220</v>
      </c>
      <c r="B2848" s="547" t="s">
        <v>5430</v>
      </c>
      <c r="C2848" s="554" t="s">
        <v>5676</v>
      </c>
      <c r="D2848" s="554" t="s">
        <v>7882</v>
      </c>
      <c r="E2848" s="554" t="s">
        <v>9526</v>
      </c>
      <c r="F2848" s="571">
        <v>8</v>
      </c>
      <c r="G2848" s="572">
        <v>88.278000000000006</v>
      </c>
      <c r="H2848" s="545">
        <v>706.22400000000005</v>
      </c>
      <c r="I2848" s="554" t="s">
        <v>9218</v>
      </c>
      <c r="J2848" s="554" t="s">
        <v>9219</v>
      </c>
      <c r="K2848" s="554" t="s">
        <v>9219</v>
      </c>
      <c r="L2848" s="537" t="s">
        <v>2354</v>
      </c>
    </row>
    <row r="2849" spans="1:12" x14ac:dyDescent="0.2">
      <c r="A2849" s="570" t="s">
        <v>220</v>
      </c>
      <c r="B2849" s="547" t="s">
        <v>5430</v>
      </c>
      <c r="C2849" s="554" t="s">
        <v>2740</v>
      </c>
      <c r="D2849" s="554" t="s">
        <v>7883</v>
      </c>
      <c r="E2849" s="554" t="s">
        <v>9526</v>
      </c>
      <c r="F2849" s="571">
        <v>3</v>
      </c>
      <c r="G2849" s="572">
        <v>10.680999999999999</v>
      </c>
      <c r="H2849" s="545">
        <v>32.042999999999999</v>
      </c>
      <c r="I2849" s="554" t="s">
        <v>9218</v>
      </c>
      <c r="J2849" s="554" t="s">
        <v>9219</v>
      </c>
      <c r="K2849" s="554" t="s">
        <v>9219</v>
      </c>
      <c r="L2849" s="537" t="s">
        <v>2354</v>
      </c>
    </row>
    <row r="2850" spans="1:12" x14ac:dyDescent="0.2">
      <c r="A2850" s="570" t="s">
        <v>220</v>
      </c>
      <c r="B2850" s="547" t="s">
        <v>5430</v>
      </c>
      <c r="C2850" s="554" t="s">
        <v>5687</v>
      </c>
      <c r="D2850" s="554" t="s">
        <v>7884</v>
      </c>
      <c r="E2850" s="554" t="s">
        <v>9526</v>
      </c>
      <c r="F2850" s="571">
        <v>6</v>
      </c>
      <c r="G2850" s="572">
        <v>27.943999999999999</v>
      </c>
      <c r="H2850" s="545">
        <v>167.66399999999999</v>
      </c>
      <c r="I2850" s="554" t="s">
        <v>9218</v>
      </c>
      <c r="J2850" s="554" t="s">
        <v>9219</v>
      </c>
      <c r="K2850" s="554" t="s">
        <v>9219</v>
      </c>
      <c r="L2850" s="537" t="s">
        <v>2354</v>
      </c>
    </row>
    <row r="2851" spans="1:12" x14ac:dyDescent="0.2">
      <c r="A2851" s="570" t="s">
        <v>220</v>
      </c>
      <c r="B2851" s="547" t="s">
        <v>5430</v>
      </c>
      <c r="C2851" s="554" t="s">
        <v>5689</v>
      </c>
      <c r="D2851" s="554" t="s">
        <v>7885</v>
      </c>
      <c r="E2851" s="554" t="s">
        <v>9526</v>
      </c>
      <c r="F2851" s="571">
        <v>5</v>
      </c>
      <c r="G2851" s="572">
        <v>18.518000000000001</v>
      </c>
      <c r="H2851" s="545">
        <v>92.59</v>
      </c>
      <c r="I2851" s="554" t="s">
        <v>9218</v>
      </c>
      <c r="J2851" s="554" t="s">
        <v>9219</v>
      </c>
      <c r="K2851" s="554" t="s">
        <v>9219</v>
      </c>
      <c r="L2851" s="537" t="s">
        <v>2354</v>
      </c>
    </row>
    <row r="2852" spans="1:12" x14ac:dyDescent="0.2">
      <c r="A2852" s="570" t="s">
        <v>220</v>
      </c>
      <c r="B2852" s="547" t="s">
        <v>5430</v>
      </c>
      <c r="C2852" s="554" t="s">
        <v>5691</v>
      </c>
      <c r="D2852" s="554" t="s">
        <v>7886</v>
      </c>
      <c r="E2852" s="554" t="s">
        <v>9526</v>
      </c>
      <c r="F2852" s="571">
        <v>3</v>
      </c>
      <c r="G2852" s="572">
        <v>46.35</v>
      </c>
      <c r="H2852" s="545">
        <v>139.05000000000001</v>
      </c>
      <c r="I2852" s="554" t="s">
        <v>9218</v>
      </c>
      <c r="J2852" s="554" t="s">
        <v>9219</v>
      </c>
      <c r="K2852" s="554" t="s">
        <v>9219</v>
      </c>
      <c r="L2852" s="537" t="s">
        <v>2354</v>
      </c>
    </row>
    <row r="2853" spans="1:12" x14ac:dyDescent="0.2">
      <c r="A2853" s="570" t="s">
        <v>220</v>
      </c>
      <c r="B2853" s="547" t="s">
        <v>5430</v>
      </c>
      <c r="C2853" s="554" t="s">
        <v>5695</v>
      </c>
      <c r="D2853" s="554" t="s">
        <v>7888</v>
      </c>
      <c r="E2853" s="554" t="s">
        <v>9526</v>
      </c>
      <c r="F2853" s="571">
        <v>1</v>
      </c>
      <c r="G2853" s="572">
        <v>275.67</v>
      </c>
      <c r="H2853" s="545">
        <v>275.67</v>
      </c>
      <c r="I2853" s="554" t="s">
        <v>9218</v>
      </c>
      <c r="J2853" s="554" t="s">
        <v>9219</v>
      </c>
      <c r="K2853" s="554" t="s">
        <v>9219</v>
      </c>
      <c r="L2853" s="537" t="s">
        <v>2354</v>
      </c>
    </row>
    <row r="2854" spans="1:12" x14ac:dyDescent="0.2">
      <c r="A2854" s="570" t="s">
        <v>220</v>
      </c>
      <c r="B2854" s="547" t="s">
        <v>5430</v>
      </c>
      <c r="C2854" s="554" t="s">
        <v>5697</v>
      </c>
      <c r="D2854" s="554" t="s">
        <v>7889</v>
      </c>
      <c r="E2854" s="554" t="s">
        <v>9526</v>
      </c>
      <c r="F2854" s="571">
        <v>1</v>
      </c>
      <c r="G2854" s="572">
        <v>93.42</v>
      </c>
      <c r="H2854" s="545">
        <v>93.42</v>
      </c>
      <c r="I2854" s="554" t="s">
        <v>9218</v>
      </c>
      <c r="J2854" s="554" t="s">
        <v>9219</v>
      </c>
      <c r="K2854" s="554" t="s">
        <v>9219</v>
      </c>
      <c r="L2854" s="537" t="s">
        <v>2354</v>
      </c>
    </row>
    <row r="2855" spans="1:12" x14ac:dyDescent="0.2">
      <c r="A2855" s="570" t="s">
        <v>220</v>
      </c>
      <c r="B2855" s="547" t="s">
        <v>5430</v>
      </c>
      <c r="C2855" s="554" t="s">
        <v>5699</v>
      </c>
      <c r="D2855" s="554" t="s">
        <v>7890</v>
      </c>
      <c r="E2855" s="554" t="s">
        <v>9526</v>
      </c>
      <c r="F2855" s="571">
        <v>7</v>
      </c>
      <c r="G2855" s="572">
        <v>74.069999999999993</v>
      </c>
      <c r="H2855" s="545">
        <v>518.49</v>
      </c>
      <c r="I2855" s="554" t="s">
        <v>9218</v>
      </c>
      <c r="J2855" s="554" t="s">
        <v>9219</v>
      </c>
      <c r="K2855" s="554" t="s">
        <v>9219</v>
      </c>
      <c r="L2855" s="537" t="s">
        <v>2354</v>
      </c>
    </row>
    <row r="2856" spans="1:12" x14ac:dyDescent="0.2">
      <c r="A2856" s="570" t="s">
        <v>220</v>
      </c>
      <c r="B2856" s="547" t="s">
        <v>5430</v>
      </c>
      <c r="C2856" s="554" t="s">
        <v>5701</v>
      </c>
      <c r="D2856" s="554" t="s">
        <v>7891</v>
      </c>
      <c r="E2856" s="554" t="s">
        <v>9526</v>
      </c>
      <c r="F2856" s="571">
        <v>4</v>
      </c>
      <c r="G2856" s="572">
        <v>6.7949999999999999</v>
      </c>
      <c r="H2856" s="545">
        <v>27.18</v>
      </c>
      <c r="I2856" s="554" t="s">
        <v>9218</v>
      </c>
      <c r="J2856" s="554" t="s">
        <v>9219</v>
      </c>
      <c r="K2856" s="554" t="s">
        <v>9219</v>
      </c>
      <c r="L2856" s="537" t="s">
        <v>2354</v>
      </c>
    </row>
    <row r="2857" spans="1:12" x14ac:dyDescent="0.2">
      <c r="A2857" s="570" t="s">
        <v>220</v>
      </c>
      <c r="B2857" s="547" t="s">
        <v>5430</v>
      </c>
      <c r="C2857" s="554" t="s">
        <v>5703</v>
      </c>
      <c r="D2857" s="554" t="s">
        <v>7892</v>
      </c>
      <c r="E2857" s="554" t="s">
        <v>9526</v>
      </c>
      <c r="F2857" s="571">
        <v>2</v>
      </c>
      <c r="G2857" s="572">
        <v>85.801000000000002</v>
      </c>
      <c r="H2857" s="545">
        <v>171.602</v>
      </c>
      <c r="I2857" s="554" t="s">
        <v>9218</v>
      </c>
      <c r="J2857" s="554" t="s">
        <v>9219</v>
      </c>
      <c r="K2857" s="554" t="s">
        <v>9219</v>
      </c>
      <c r="L2857" s="537" t="s">
        <v>2354</v>
      </c>
    </row>
    <row r="2858" spans="1:12" x14ac:dyDescent="0.2">
      <c r="A2858" s="570" t="s">
        <v>220</v>
      </c>
      <c r="B2858" s="547" t="s">
        <v>5430</v>
      </c>
      <c r="C2858" s="554" t="s">
        <v>5705</v>
      </c>
      <c r="D2858" s="554" t="s">
        <v>7893</v>
      </c>
      <c r="E2858" s="554" t="s">
        <v>9526</v>
      </c>
      <c r="F2858" s="571">
        <v>2</v>
      </c>
      <c r="G2858" s="572">
        <v>85.801000000000002</v>
      </c>
      <c r="H2858" s="545">
        <v>171.602</v>
      </c>
      <c r="I2858" s="554" t="s">
        <v>9218</v>
      </c>
      <c r="J2858" s="554" t="s">
        <v>9219</v>
      </c>
      <c r="K2858" s="554" t="s">
        <v>9219</v>
      </c>
      <c r="L2858" s="537" t="s">
        <v>2354</v>
      </c>
    </row>
    <row r="2859" spans="1:12" x14ac:dyDescent="0.2">
      <c r="A2859" s="570" t="s">
        <v>220</v>
      </c>
      <c r="B2859" s="547" t="s">
        <v>5430</v>
      </c>
      <c r="C2859" s="554" t="s">
        <v>5707</v>
      </c>
      <c r="D2859" s="554" t="s">
        <v>7894</v>
      </c>
      <c r="E2859" s="554" t="s">
        <v>9526</v>
      </c>
      <c r="F2859" s="571">
        <v>1</v>
      </c>
      <c r="G2859" s="572">
        <v>85.801000000000002</v>
      </c>
      <c r="H2859" s="545">
        <v>85.801000000000002</v>
      </c>
      <c r="I2859" s="554" t="s">
        <v>9218</v>
      </c>
      <c r="J2859" s="554" t="s">
        <v>9219</v>
      </c>
      <c r="K2859" s="554" t="s">
        <v>9219</v>
      </c>
      <c r="L2859" s="537" t="s">
        <v>2354</v>
      </c>
    </row>
    <row r="2860" spans="1:12" x14ac:dyDescent="0.2">
      <c r="A2860" s="570" t="s">
        <v>220</v>
      </c>
      <c r="B2860" s="547" t="s">
        <v>5430</v>
      </c>
      <c r="C2860" s="554" t="s">
        <v>5709</v>
      </c>
      <c r="D2860" s="554" t="s">
        <v>7895</v>
      </c>
      <c r="E2860" s="554" t="s">
        <v>9526</v>
      </c>
      <c r="F2860" s="571">
        <v>2</v>
      </c>
      <c r="G2860" s="572">
        <v>85.801000000000002</v>
      </c>
      <c r="H2860" s="545">
        <v>171.602</v>
      </c>
      <c r="I2860" s="554" t="s">
        <v>9218</v>
      </c>
      <c r="J2860" s="554" t="s">
        <v>9219</v>
      </c>
      <c r="K2860" s="554" t="s">
        <v>9219</v>
      </c>
      <c r="L2860" s="537" t="s">
        <v>2354</v>
      </c>
    </row>
    <row r="2861" spans="1:12" x14ac:dyDescent="0.2">
      <c r="A2861" s="570" t="s">
        <v>220</v>
      </c>
      <c r="B2861" s="547" t="s">
        <v>5430</v>
      </c>
      <c r="C2861" s="554" t="s">
        <v>5711</v>
      </c>
      <c r="D2861" s="554" t="s">
        <v>7896</v>
      </c>
      <c r="E2861" s="554" t="s">
        <v>9526</v>
      </c>
      <c r="F2861" s="571">
        <v>9</v>
      </c>
      <c r="G2861" s="572">
        <v>28</v>
      </c>
      <c r="H2861" s="545">
        <v>252</v>
      </c>
      <c r="I2861" s="554" t="s">
        <v>9218</v>
      </c>
      <c r="J2861" s="554" t="s">
        <v>9219</v>
      </c>
      <c r="K2861" s="554" t="s">
        <v>9219</v>
      </c>
      <c r="L2861" s="537" t="s">
        <v>2354</v>
      </c>
    </row>
    <row r="2862" spans="1:12" x14ac:dyDescent="0.2">
      <c r="A2862" s="570" t="s">
        <v>220</v>
      </c>
      <c r="B2862" s="547" t="s">
        <v>5430</v>
      </c>
      <c r="C2862" s="554" t="s">
        <v>5713</v>
      </c>
      <c r="D2862" s="554" t="s">
        <v>7897</v>
      </c>
      <c r="E2862" s="554" t="s">
        <v>9526</v>
      </c>
      <c r="F2862" s="571">
        <v>5</v>
      </c>
      <c r="G2862" s="572">
        <v>38.706000000000003</v>
      </c>
      <c r="H2862" s="545">
        <v>193.53000000000003</v>
      </c>
      <c r="I2862" s="554" t="s">
        <v>9218</v>
      </c>
      <c r="J2862" s="554" t="s">
        <v>9219</v>
      </c>
      <c r="K2862" s="554" t="s">
        <v>9219</v>
      </c>
      <c r="L2862" s="537" t="s">
        <v>2354</v>
      </c>
    </row>
    <row r="2863" spans="1:12" x14ac:dyDescent="0.2">
      <c r="A2863" s="570" t="s">
        <v>220</v>
      </c>
      <c r="B2863" s="547" t="s">
        <v>5430</v>
      </c>
      <c r="C2863" s="554" t="s">
        <v>5715</v>
      </c>
      <c r="D2863" s="554" t="s">
        <v>7898</v>
      </c>
      <c r="E2863" s="554" t="s">
        <v>9526</v>
      </c>
      <c r="F2863" s="571">
        <v>1</v>
      </c>
      <c r="G2863" s="572">
        <v>37.08</v>
      </c>
      <c r="H2863" s="545">
        <v>37.08</v>
      </c>
      <c r="I2863" s="554" t="s">
        <v>9218</v>
      </c>
      <c r="J2863" s="554" t="s">
        <v>9219</v>
      </c>
      <c r="K2863" s="554" t="s">
        <v>9219</v>
      </c>
      <c r="L2863" s="537" t="s">
        <v>2354</v>
      </c>
    </row>
    <row r="2864" spans="1:12" x14ac:dyDescent="0.2">
      <c r="A2864" s="570" t="s">
        <v>220</v>
      </c>
      <c r="B2864" s="547" t="s">
        <v>5430</v>
      </c>
      <c r="C2864" s="554" t="s">
        <v>5717</v>
      </c>
      <c r="D2864" s="554" t="s">
        <v>5718</v>
      </c>
      <c r="E2864" s="554" t="s">
        <v>9526</v>
      </c>
      <c r="F2864" s="571">
        <v>4</v>
      </c>
      <c r="G2864" s="572">
        <v>85.801000000000002</v>
      </c>
      <c r="H2864" s="545">
        <v>343.20400000000001</v>
      </c>
      <c r="I2864" s="554" t="s">
        <v>9218</v>
      </c>
      <c r="J2864" s="554" t="s">
        <v>9219</v>
      </c>
      <c r="K2864" s="554" t="s">
        <v>9219</v>
      </c>
      <c r="L2864" s="537" t="s">
        <v>2354</v>
      </c>
    </row>
    <row r="2865" spans="1:12" x14ac:dyDescent="0.2">
      <c r="A2865" s="570" t="s">
        <v>220</v>
      </c>
      <c r="B2865" s="547" t="s">
        <v>5430</v>
      </c>
      <c r="C2865" s="554" t="s">
        <v>5719</v>
      </c>
      <c r="D2865" s="554" t="s">
        <v>7899</v>
      </c>
      <c r="E2865" s="554" t="s">
        <v>9526</v>
      </c>
      <c r="F2865" s="571">
        <v>1</v>
      </c>
      <c r="G2865" s="572">
        <v>85.801000000000002</v>
      </c>
      <c r="H2865" s="545">
        <v>85.801000000000002</v>
      </c>
      <c r="I2865" s="554" t="s">
        <v>9218</v>
      </c>
      <c r="J2865" s="554" t="s">
        <v>9219</v>
      </c>
      <c r="K2865" s="554" t="s">
        <v>9219</v>
      </c>
      <c r="L2865" s="537" t="s">
        <v>2354</v>
      </c>
    </row>
    <row r="2866" spans="1:12" x14ac:dyDescent="0.2">
      <c r="A2866" s="570" t="s">
        <v>220</v>
      </c>
      <c r="B2866" s="547" t="s">
        <v>5430</v>
      </c>
      <c r="C2866" s="554" t="s">
        <v>5721</v>
      </c>
      <c r="D2866" s="554" t="s">
        <v>7900</v>
      </c>
      <c r="E2866" s="554" t="s">
        <v>9526</v>
      </c>
      <c r="F2866" s="571">
        <v>1</v>
      </c>
      <c r="G2866" s="572">
        <v>85.801000000000002</v>
      </c>
      <c r="H2866" s="545">
        <v>85.801000000000002</v>
      </c>
      <c r="I2866" s="554" t="s">
        <v>9218</v>
      </c>
      <c r="J2866" s="554" t="s">
        <v>9219</v>
      </c>
      <c r="K2866" s="554" t="s">
        <v>9219</v>
      </c>
      <c r="L2866" s="537" t="s">
        <v>2354</v>
      </c>
    </row>
    <row r="2867" spans="1:12" x14ac:dyDescent="0.2">
      <c r="A2867" s="570" t="s">
        <v>220</v>
      </c>
      <c r="B2867" s="547" t="s">
        <v>5430</v>
      </c>
      <c r="C2867" s="554" t="s">
        <v>5723</v>
      </c>
      <c r="D2867" s="554" t="s">
        <v>7901</v>
      </c>
      <c r="E2867" s="554" t="s">
        <v>9526</v>
      </c>
      <c r="F2867" s="571">
        <v>1</v>
      </c>
      <c r="G2867" s="572">
        <v>85.801000000000002</v>
      </c>
      <c r="H2867" s="545">
        <v>85.801000000000002</v>
      </c>
      <c r="I2867" s="554" t="s">
        <v>9218</v>
      </c>
      <c r="J2867" s="554" t="s">
        <v>9219</v>
      </c>
      <c r="K2867" s="554" t="s">
        <v>9219</v>
      </c>
      <c r="L2867" s="537" t="s">
        <v>2354</v>
      </c>
    </row>
    <row r="2868" spans="1:12" x14ac:dyDescent="0.2">
      <c r="A2868" s="570" t="s">
        <v>220</v>
      </c>
      <c r="B2868" s="547" t="s">
        <v>5430</v>
      </c>
      <c r="C2868" s="554" t="s">
        <v>5725</v>
      </c>
      <c r="D2868" s="554" t="s">
        <v>7902</v>
      </c>
      <c r="E2868" s="554" t="s">
        <v>9526</v>
      </c>
      <c r="F2868" s="571">
        <v>6</v>
      </c>
      <c r="G2868" s="572">
        <v>65.216999999999999</v>
      </c>
      <c r="H2868" s="545">
        <v>391.30200000000002</v>
      </c>
      <c r="I2868" s="554" t="s">
        <v>9218</v>
      </c>
      <c r="J2868" s="554" t="s">
        <v>9219</v>
      </c>
      <c r="K2868" s="554" t="s">
        <v>9219</v>
      </c>
      <c r="L2868" s="537" t="s">
        <v>2354</v>
      </c>
    </row>
    <row r="2869" spans="1:12" x14ac:dyDescent="0.2">
      <c r="A2869" s="570" t="s">
        <v>220</v>
      </c>
      <c r="B2869" s="547" t="s">
        <v>5430</v>
      </c>
      <c r="C2869" s="554" t="s">
        <v>5727</v>
      </c>
      <c r="D2869" s="554" t="s">
        <v>7903</v>
      </c>
      <c r="E2869" s="554" t="s">
        <v>9526</v>
      </c>
      <c r="F2869" s="571">
        <v>4</v>
      </c>
      <c r="G2869" s="572">
        <v>85.801000000000002</v>
      </c>
      <c r="H2869" s="545">
        <v>343.20400000000001</v>
      </c>
      <c r="I2869" s="554" t="s">
        <v>9218</v>
      </c>
      <c r="J2869" s="554" t="s">
        <v>9219</v>
      </c>
      <c r="K2869" s="554" t="s">
        <v>9219</v>
      </c>
      <c r="L2869" s="537" t="s">
        <v>2354</v>
      </c>
    </row>
    <row r="2870" spans="1:12" x14ac:dyDescent="0.2">
      <c r="A2870" s="570" t="s">
        <v>220</v>
      </c>
      <c r="B2870" s="547" t="s">
        <v>5430</v>
      </c>
      <c r="C2870" s="554" t="s">
        <v>5729</v>
      </c>
      <c r="D2870" s="554" t="s">
        <v>7904</v>
      </c>
      <c r="E2870" s="554" t="s">
        <v>9526</v>
      </c>
      <c r="F2870" s="571">
        <v>9</v>
      </c>
      <c r="G2870" s="572">
        <v>41.414999999999999</v>
      </c>
      <c r="H2870" s="545">
        <v>372.73500000000001</v>
      </c>
      <c r="I2870" s="554" t="s">
        <v>9218</v>
      </c>
      <c r="J2870" s="554" t="s">
        <v>9219</v>
      </c>
      <c r="K2870" s="554" t="s">
        <v>9219</v>
      </c>
      <c r="L2870" s="537" t="s">
        <v>2354</v>
      </c>
    </row>
    <row r="2871" spans="1:12" x14ac:dyDescent="0.2">
      <c r="A2871" s="570" t="s">
        <v>220</v>
      </c>
      <c r="B2871" s="547" t="s">
        <v>5430</v>
      </c>
      <c r="C2871" s="554" t="s">
        <v>5731</v>
      </c>
      <c r="D2871" s="554" t="s">
        <v>7905</v>
      </c>
      <c r="E2871" s="554" t="s">
        <v>9526</v>
      </c>
      <c r="F2871" s="571">
        <v>1</v>
      </c>
      <c r="G2871" s="572">
        <v>21.791</v>
      </c>
      <c r="H2871" s="545">
        <v>21.791</v>
      </c>
      <c r="I2871" s="554" t="s">
        <v>9218</v>
      </c>
      <c r="J2871" s="554" t="s">
        <v>9219</v>
      </c>
      <c r="K2871" s="554" t="s">
        <v>9219</v>
      </c>
      <c r="L2871" s="537" t="s">
        <v>2354</v>
      </c>
    </row>
    <row r="2872" spans="1:12" x14ac:dyDescent="0.2">
      <c r="A2872" s="570" t="s">
        <v>220</v>
      </c>
      <c r="B2872" s="547" t="s">
        <v>5430</v>
      </c>
      <c r="C2872" s="554" t="s">
        <v>5733</v>
      </c>
      <c r="D2872" s="554" t="s">
        <v>7906</v>
      </c>
      <c r="E2872" s="554" t="s">
        <v>9526</v>
      </c>
      <c r="F2872" s="571">
        <v>1</v>
      </c>
      <c r="G2872" s="572">
        <v>12.499000000000001</v>
      </c>
      <c r="H2872" s="545">
        <v>12.499000000000001</v>
      </c>
      <c r="I2872" s="554" t="s">
        <v>9218</v>
      </c>
      <c r="J2872" s="554" t="s">
        <v>9219</v>
      </c>
      <c r="K2872" s="554" t="s">
        <v>9219</v>
      </c>
      <c r="L2872" s="537" t="s">
        <v>2354</v>
      </c>
    </row>
    <row r="2873" spans="1:12" x14ac:dyDescent="0.2">
      <c r="A2873" s="570" t="s">
        <v>220</v>
      </c>
      <c r="B2873" s="547" t="s">
        <v>5430</v>
      </c>
      <c r="C2873" s="554" t="s">
        <v>5735</v>
      </c>
      <c r="D2873" s="554" t="s">
        <v>7907</v>
      </c>
      <c r="E2873" s="554" t="s">
        <v>9526</v>
      </c>
      <c r="F2873" s="571">
        <v>3</v>
      </c>
      <c r="G2873" s="572">
        <v>135.33000000000001</v>
      </c>
      <c r="H2873" s="545">
        <v>405.99</v>
      </c>
      <c r="I2873" s="554" t="s">
        <v>9218</v>
      </c>
      <c r="J2873" s="554" t="s">
        <v>9219</v>
      </c>
      <c r="K2873" s="554" t="s">
        <v>9219</v>
      </c>
      <c r="L2873" s="537" t="s">
        <v>2354</v>
      </c>
    </row>
    <row r="2874" spans="1:12" x14ac:dyDescent="0.2">
      <c r="A2874" s="570" t="s">
        <v>220</v>
      </c>
      <c r="B2874" s="547" t="s">
        <v>5430</v>
      </c>
      <c r="C2874" s="554" t="s">
        <v>5737</v>
      </c>
      <c r="D2874" s="554" t="s">
        <v>7908</v>
      </c>
      <c r="E2874" s="554" t="s">
        <v>9526</v>
      </c>
      <c r="F2874" s="571">
        <v>6</v>
      </c>
      <c r="G2874" s="572">
        <v>85.441999999999993</v>
      </c>
      <c r="H2874" s="545">
        <v>512.65199999999993</v>
      </c>
      <c r="I2874" s="554" t="s">
        <v>9218</v>
      </c>
      <c r="J2874" s="554" t="s">
        <v>9219</v>
      </c>
      <c r="K2874" s="554" t="s">
        <v>9219</v>
      </c>
      <c r="L2874" s="537" t="s">
        <v>2354</v>
      </c>
    </row>
    <row r="2875" spans="1:12" x14ac:dyDescent="0.2">
      <c r="A2875" s="570" t="s">
        <v>220</v>
      </c>
      <c r="B2875" s="547" t="s">
        <v>5430</v>
      </c>
      <c r="C2875" s="554" t="s">
        <v>7909</v>
      </c>
      <c r="D2875" s="554" t="s">
        <v>7910</v>
      </c>
      <c r="E2875" s="554" t="s">
        <v>9526</v>
      </c>
      <c r="F2875" s="571">
        <v>4</v>
      </c>
      <c r="G2875" s="572">
        <v>19.849</v>
      </c>
      <c r="H2875" s="545">
        <v>79.396000000000001</v>
      </c>
      <c r="I2875" s="554" t="s">
        <v>9218</v>
      </c>
      <c r="J2875" s="554" t="s">
        <v>9219</v>
      </c>
      <c r="K2875" s="554" t="s">
        <v>9219</v>
      </c>
      <c r="L2875" s="537" t="s">
        <v>2354</v>
      </c>
    </row>
    <row r="2876" spans="1:12" x14ac:dyDescent="0.2">
      <c r="A2876" s="570" t="s">
        <v>220</v>
      </c>
      <c r="B2876" s="547" t="s">
        <v>5430</v>
      </c>
      <c r="C2876" s="554" t="s">
        <v>5741</v>
      </c>
      <c r="D2876" s="554" t="s">
        <v>7911</v>
      </c>
      <c r="E2876" s="554" t="s">
        <v>9526</v>
      </c>
      <c r="F2876" s="571">
        <v>2</v>
      </c>
      <c r="G2876" s="572">
        <v>14.327999999999999</v>
      </c>
      <c r="H2876" s="545">
        <v>28.655999999999999</v>
      </c>
      <c r="I2876" s="554" t="s">
        <v>9218</v>
      </c>
      <c r="J2876" s="554" t="s">
        <v>9219</v>
      </c>
      <c r="K2876" s="554" t="s">
        <v>9219</v>
      </c>
      <c r="L2876" s="537" t="s">
        <v>2354</v>
      </c>
    </row>
    <row r="2877" spans="1:12" x14ac:dyDescent="0.2">
      <c r="A2877" s="570" t="s">
        <v>220</v>
      </c>
      <c r="B2877" s="547" t="s">
        <v>5430</v>
      </c>
      <c r="C2877" s="554" t="s">
        <v>5743</v>
      </c>
      <c r="D2877" s="554" t="s">
        <v>7912</v>
      </c>
      <c r="E2877" s="554" t="s">
        <v>9526</v>
      </c>
      <c r="F2877" s="571">
        <v>4</v>
      </c>
      <c r="G2877" s="572">
        <v>42.3</v>
      </c>
      <c r="H2877" s="545">
        <v>169.2</v>
      </c>
      <c r="I2877" s="554" t="s">
        <v>9218</v>
      </c>
      <c r="J2877" s="554" t="s">
        <v>9219</v>
      </c>
      <c r="K2877" s="554" t="s">
        <v>9219</v>
      </c>
      <c r="L2877" s="537" t="s">
        <v>2354</v>
      </c>
    </row>
    <row r="2878" spans="1:12" x14ac:dyDescent="0.2">
      <c r="A2878" s="570" t="s">
        <v>220</v>
      </c>
      <c r="B2878" s="547" t="s">
        <v>5430</v>
      </c>
      <c r="C2878" s="554" t="s">
        <v>5745</v>
      </c>
      <c r="D2878" s="554" t="s">
        <v>7913</v>
      </c>
      <c r="E2878" s="554" t="s">
        <v>9526</v>
      </c>
      <c r="F2878" s="571">
        <v>10</v>
      </c>
      <c r="G2878" s="572">
        <v>53.241</v>
      </c>
      <c r="H2878" s="545">
        <v>532.41</v>
      </c>
      <c r="I2878" s="554" t="s">
        <v>9218</v>
      </c>
      <c r="J2878" s="554" t="s">
        <v>9219</v>
      </c>
      <c r="K2878" s="554" t="s">
        <v>9219</v>
      </c>
      <c r="L2878" s="537" t="s">
        <v>2354</v>
      </c>
    </row>
    <row r="2879" spans="1:12" x14ac:dyDescent="0.2">
      <c r="A2879" s="570" t="s">
        <v>220</v>
      </c>
      <c r="B2879" s="547" t="s">
        <v>5430</v>
      </c>
      <c r="C2879" s="554" t="s">
        <v>5747</v>
      </c>
      <c r="D2879" s="554" t="s">
        <v>7914</v>
      </c>
      <c r="E2879" s="554" t="s">
        <v>9526</v>
      </c>
      <c r="F2879" s="571">
        <v>1</v>
      </c>
      <c r="G2879" s="572">
        <v>130.05000000000001</v>
      </c>
      <c r="H2879" s="545">
        <v>130.05000000000001</v>
      </c>
      <c r="I2879" s="554" t="s">
        <v>9218</v>
      </c>
      <c r="J2879" s="554" t="s">
        <v>9219</v>
      </c>
      <c r="K2879" s="554" t="s">
        <v>9219</v>
      </c>
      <c r="L2879" s="537" t="s">
        <v>2354</v>
      </c>
    </row>
    <row r="2880" spans="1:12" x14ac:dyDescent="0.2">
      <c r="A2880" s="570" t="s">
        <v>220</v>
      </c>
      <c r="B2880" s="547" t="s">
        <v>5430</v>
      </c>
      <c r="C2880" s="554" t="s">
        <v>5749</v>
      </c>
      <c r="D2880" s="554" t="s">
        <v>7915</v>
      </c>
      <c r="E2880" s="554" t="s">
        <v>9526</v>
      </c>
      <c r="F2880" s="571">
        <v>5</v>
      </c>
      <c r="G2880" s="572">
        <v>38.130000000000003</v>
      </c>
      <c r="H2880" s="545">
        <v>190.65</v>
      </c>
      <c r="I2880" s="554" t="s">
        <v>9218</v>
      </c>
      <c r="J2880" s="554" t="s">
        <v>9219</v>
      </c>
      <c r="K2880" s="554" t="s">
        <v>9219</v>
      </c>
      <c r="L2880" s="537" t="s">
        <v>2354</v>
      </c>
    </row>
    <row r="2881" spans="1:12" x14ac:dyDescent="0.2">
      <c r="A2881" s="570" t="s">
        <v>220</v>
      </c>
      <c r="B2881" s="547" t="s">
        <v>5430</v>
      </c>
      <c r="C2881" s="554" t="s">
        <v>5751</v>
      </c>
      <c r="D2881" s="554" t="s">
        <v>7916</v>
      </c>
      <c r="E2881" s="554" t="s">
        <v>9526</v>
      </c>
      <c r="F2881" s="571">
        <v>3</v>
      </c>
      <c r="G2881" s="572">
        <v>28.117000000000001</v>
      </c>
      <c r="H2881" s="545">
        <v>84.350999999999999</v>
      </c>
      <c r="I2881" s="554" t="s">
        <v>9218</v>
      </c>
      <c r="J2881" s="554" t="s">
        <v>9219</v>
      </c>
      <c r="K2881" s="554" t="s">
        <v>9219</v>
      </c>
      <c r="L2881" s="537" t="s">
        <v>2354</v>
      </c>
    </row>
    <row r="2882" spans="1:12" x14ac:dyDescent="0.2">
      <c r="A2882" s="570" t="s">
        <v>220</v>
      </c>
      <c r="B2882" s="547" t="s">
        <v>5430</v>
      </c>
      <c r="C2882" s="554" t="s">
        <v>5753</v>
      </c>
      <c r="D2882" s="554" t="s">
        <v>7917</v>
      </c>
      <c r="E2882" s="554" t="s">
        <v>9526</v>
      </c>
      <c r="F2882" s="571">
        <v>5</v>
      </c>
      <c r="G2882" s="572">
        <v>52.929000000000002</v>
      </c>
      <c r="H2882" s="545">
        <v>264.64499999999998</v>
      </c>
      <c r="I2882" s="554" t="s">
        <v>9218</v>
      </c>
      <c r="J2882" s="554" t="s">
        <v>9219</v>
      </c>
      <c r="K2882" s="554" t="s">
        <v>9219</v>
      </c>
      <c r="L2882" s="537" t="s">
        <v>2354</v>
      </c>
    </row>
    <row r="2883" spans="1:12" x14ac:dyDescent="0.2">
      <c r="A2883" s="570" t="s">
        <v>220</v>
      </c>
      <c r="B2883" s="547" t="s">
        <v>5430</v>
      </c>
      <c r="C2883" s="554" t="s">
        <v>2774</v>
      </c>
      <c r="D2883" s="554" t="s">
        <v>7918</v>
      </c>
      <c r="E2883" s="554" t="s">
        <v>9526</v>
      </c>
      <c r="F2883" s="571">
        <v>2</v>
      </c>
      <c r="G2883" s="572">
        <v>13.244</v>
      </c>
      <c r="H2883" s="545">
        <v>26.488</v>
      </c>
      <c r="I2883" s="554" t="s">
        <v>9218</v>
      </c>
      <c r="J2883" s="554" t="s">
        <v>9219</v>
      </c>
      <c r="K2883" s="554" t="s">
        <v>9219</v>
      </c>
      <c r="L2883" s="537" t="s">
        <v>2354</v>
      </c>
    </row>
    <row r="2884" spans="1:12" x14ac:dyDescent="0.2">
      <c r="A2884" s="570" t="s">
        <v>220</v>
      </c>
      <c r="B2884" s="547" t="s">
        <v>5430</v>
      </c>
      <c r="C2884" s="554" t="s">
        <v>5755</v>
      </c>
      <c r="D2884" s="554" t="s">
        <v>7919</v>
      </c>
      <c r="E2884" s="554" t="s">
        <v>9526</v>
      </c>
      <c r="F2884" s="571">
        <v>1</v>
      </c>
      <c r="G2884" s="572">
        <v>47.057000000000002</v>
      </c>
      <c r="H2884" s="545">
        <v>47.057000000000002</v>
      </c>
      <c r="I2884" s="554" t="s">
        <v>9218</v>
      </c>
      <c r="J2884" s="554" t="s">
        <v>9219</v>
      </c>
      <c r="K2884" s="554" t="s">
        <v>9219</v>
      </c>
      <c r="L2884" s="537" t="s">
        <v>2354</v>
      </c>
    </row>
    <row r="2885" spans="1:12" x14ac:dyDescent="0.2">
      <c r="A2885" s="570" t="s">
        <v>220</v>
      </c>
      <c r="B2885" s="547" t="s">
        <v>5430</v>
      </c>
      <c r="C2885" s="554" t="s">
        <v>5757</v>
      </c>
      <c r="D2885" s="554" t="s">
        <v>7920</v>
      </c>
      <c r="E2885" s="554" t="s">
        <v>9526</v>
      </c>
      <c r="F2885" s="571">
        <v>5</v>
      </c>
      <c r="G2885" s="572">
        <v>22.442</v>
      </c>
      <c r="H2885" s="545">
        <v>112.21000000000001</v>
      </c>
      <c r="I2885" s="554" t="s">
        <v>9218</v>
      </c>
      <c r="J2885" s="554" t="s">
        <v>9219</v>
      </c>
      <c r="K2885" s="554" t="s">
        <v>9219</v>
      </c>
      <c r="L2885" s="537" t="s">
        <v>2354</v>
      </c>
    </row>
    <row r="2886" spans="1:12" x14ac:dyDescent="0.2">
      <c r="A2886" s="570" t="s">
        <v>220</v>
      </c>
      <c r="B2886" s="547" t="s">
        <v>5430</v>
      </c>
      <c r="C2886" s="554" t="s">
        <v>5759</v>
      </c>
      <c r="D2886" s="554" t="s">
        <v>7921</v>
      </c>
      <c r="E2886" s="554" t="s">
        <v>9526</v>
      </c>
      <c r="F2886" s="571">
        <v>7</v>
      </c>
      <c r="G2886" s="572">
        <v>44</v>
      </c>
      <c r="H2886" s="545">
        <v>308</v>
      </c>
      <c r="I2886" s="554" t="s">
        <v>9218</v>
      </c>
      <c r="J2886" s="554" t="s">
        <v>9219</v>
      </c>
      <c r="K2886" s="554" t="s">
        <v>9219</v>
      </c>
      <c r="L2886" s="537" t="s">
        <v>2354</v>
      </c>
    </row>
    <row r="2887" spans="1:12" x14ac:dyDescent="0.2">
      <c r="A2887" s="570" t="s">
        <v>220</v>
      </c>
      <c r="B2887" s="547" t="s">
        <v>5430</v>
      </c>
      <c r="C2887" s="554" t="s">
        <v>5761</v>
      </c>
      <c r="D2887" s="554" t="s">
        <v>7922</v>
      </c>
      <c r="E2887" s="554" t="s">
        <v>9526</v>
      </c>
      <c r="F2887" s="571">
        <v>1</v>
      </c>
      <c r="G2887" s="572">
        <v>122.31</v>
      </c>
      <c r="H2887" s="545">
        <v>122.31</v>
      </c>
      <c r="I2887" s="554" t="s">
        <v>9218</v>
      </c>
      <c r="J2887" s="554" t="s">
        <v>9219</v>
      </c>
      <c r="K2887" s="554" t="s">
        <v>9219</v>
      </c>
      <c r="L2887" s="537" t="s">
        <v>2354</v>
      </c>
    </row>
    <row r="2888" spans="1:12" x14ac:dyDescent="0.2">
      <c r="A2888" s="570" t="s">
        <v>220</v>
      </c>
      <c r="B2888" s="547" t="s">
        <v>5430</v>
      </c>
      <c r="C2888" s="554" t="s">
        <v>5763</v>
      </c>
      <c r="D2888" s="554" t="s">
        <v>7923</v>
      </c>
      <c r="E2888" s="554" t="s">
        <v>9526</v>
      </c>
      <c r="F2888" s="571">
        <v>3</v>
      </c>
      <c r="G2888" s="572">
        <v>22.105</v>
      </c>
      <c r="H2888" s="545">
        <v>66.314999999999998</v>
      </c>
      <c r="I2888" s="554" t="s">
        <v>9218</v>
      </c>
      <c r="J2888" s="554" t="s">
        <v>9219</v>
      </c>
      <c r="K2888" s="554" t="s">
        <v>9219</v>
      </c>
      <c r="L2888" s="537" t="s">
        <v>2354</v>
      </c>
    </row>
    <row r="2889" spans="1:12" x14ac:dyDescent="0.2">
      <c r="A2889" s="570" t="s">
        <v>220</v>
      </c>
      <c r="B2889" s="547" t="s">
        <v>5430</v>
      </c>
      <c r="C2889" s="554" t="s">
        <v>5765</v>
      </c>
      <c r="D2889" s="554" t="s">
        <v>7924</v>
      </c>
      <c r="E2889" s="554" t="s">
        <v>9526</v>
      </c>
      <c r="F2889" s="571">
        <v>1</v>
      </c>
      <c r="G2889" s="572">
        <v>10.35</v>
      </c>
      <c r="H2889" s="545">
        <v>10.35</v>
      </c>
      <c r="I2889" s="554" t="s">
        <v>9218</v>
      </c>
      <c r="J2889" s="554" t="s">
        <v>9219</v>
      </c>
      <c r="K2889" s="554" t="s">
        <v>9219</v>
      </c>
      <c r="L2889" s="537" t="s">
        <v>2354</v>
      </c>
    </row>
    <row r="2890" spans="1:12" x14ac:dyDescent="0.2">
      <c r="A2890" s="570" t="s">
        <v>220</v>
      </c>
      <c r="B2890" s="547" t="s">
        <v>5430</v>
      </c>
      <c r="C2890" s="554" t="s">
        <v>5767</v>
      </c>
      <c r="D2890" s="554" t="s">
        <v>7925</v>
      </c>
      <c r="E2890" s="554" t="s">
        <v>9526</v>
      </c>
      <c r="F2890" s="571">
        <v>1</v>
      </c>
      <c r="G2890" s="572">
        <v>10.35</v>
      </c>
      <c r="H2890" s="545">
        <v>10.35</v>
      </c>
      <c r="I2890" s="554" t="s">
        <v>9218</v>
      </c>
      <c r="J2890" s="554" t="s">
        <v>9219</v>
      </c>
      <c r="K2890" s="554" t="s">
        <v>9219</v>
      </c>
      <c r="L2890" s="537" t="s">
        <v>2354</v>
      </c>
    </row>
    <row r="2891" spans="1:12" x14ac:dyDescent="0.2">
      <c r="A2891" s="570" t="s">
        <v>220</v>
      </c>
      <c r="B2891" s="547" t="s">
        <v>5430</v>
      </c>
      <c r="C2891" s="554" t="s">
        <v>5769</v>
      </c>
      <c r="D2891" s="554" t="s">
        <v>7926</v>
      </c>
      <c r="E2891" s="554" t="s">
        <v>9526</v>
      </c>
      <c r="F2891" s="571">
        <v>1</v>
      </c>
      <c r="G2891" s="572">
        <v>10.35</v>
      </c>
      <c r="H2891" s="545">
        <v>10.35</v>
      </c>
      <c r="I2891" s="554" t="s">
        <v>9218</v>
      </c>
      <c r="J2891" s="554" t="s">
        <v>9219</v>
      </c>
      <c r="K2891" s="554" t="s">
        <v>9219</v>
      </c>
      <c r="L2891" s="537" t="s">
        <v>2354</v>
      </c>
    </row>
    <row r="2892" spans="1:12" x14ac:dyDescent="0.2">
      <c r="A2892" s="570" t="s">
        <v>220</v>
      </c>
      <c r="B2892" s="547" t="s">
        <v>5430</v>
      </c>
      <c r="C2892" s="554" t="s">
        <v>2796</v>
      </c>
      <c r="D2892" s="554" t="s">
        <v>7927</v>
      </c>
      <c r="E2892" s="554" t="s">
        <v>9526</v>
      </c>
      <c r="F2892" s="571">
        <v>2</v>
      </c>
      <c r="G2892" s="572">
        <v>10.35</v>
      </c>
      <c r="H2892" s="545">
        <v>20.7</v>
      </c>
      <c r="I2892" s="554" t="s">
        <v>9218</v>
      </c>
      <c r="J2892" s="554" t="s">
        <v>9219</v>
      </c>
      <c r="K2892" s="554" t="s">
        <v>9219</v>
      </c>
      <c r="L2892" s="537" t="s">
        <v>2354</v>
      </c>
    </row>
    <row r="2893" spans="1:12" x14ac:dyDescent="0.2">
      <c r="A2893" s="570" t="s">
        <v>220</v>
      </c>
      <c r="B2893" s="547" t="s">
        <v>5430</v>
      </c>
      <c r="C2893" s="554" t="s">
        <v>5771</v>
      </c>
      <c r="D2893" s="554" t="s">
        <v>7928</v>
      </c>
      <c r="E2893" s="554" t="s">
        <v>9526</v>
      </c>
      <c r="F2893" s="571">
        <v>2</v>
      </c>
      <c r="G2893" s="572">
        <v>114.4008</v>
      </c>
      <c r="H2893" s="545">
        <v>228.80160000000001</v>
      </c>
      <c r="I2893" s="554" t="s">
        <v>9218</v>
      </c>
      <c r="J2893" s="554" t="s">
        <v>9219</v>
      </c>
      <c r="K2893" s="554" t="s">
        <v>9219</v>
      </c>
      <c r="L2893" s="537" t="s">
        <v>2354</v>
      </c>
    </row>
    <row r="2894" spans="1:12" x14ac:dyDescent="0.2">
      <c r="A2894" s="570" t="s">
        <v>220</v>
      </c>
      <c r="B2894" s="547" t="s">
        <v>5430</v>
      </c>
      <c r="C2894" s="554" t="s">
        <v>5773</v>
      </c>
      <c r="D2894" s="554" t="s">
        <v>7929</v>
      </c>
      <c r="E2894" s="554" t="s">
        <v>9526</v>
      </c>
      <c r="F2894" s="571">
        <v>2</v>
      </c>
      <c r="G2894" s="572">
        <v>85.801000000000002</v>
      </c>
      <c r="H2894" s="545">
        <v>171.602</v>
      </c>
      <c r="I2894" s="554" t="s">
        <v>9218</v>
      </c>
      <c r="J2894" s="554" t="s">
        <v>9219</v>
      </c>
      <c r="K2894" s="554" t="s">
        <v>9219</v>
      </c>
      <c r="L2894" s="537" t="s">
        <v>2354</v>
      </c>
    </row>
    <row r="2895" spans="1:12" x14ac:dyDescent="0.2">
      <c r="A2895" s="570" t="s">
        <v>220</v>
      </c>
      <c r="B2895" s="547" t="s">
        <v>5430</v>
      </c>
      <c r="C2895" s="554" t="s">
        <v>5775</v>
      </c>
      <c r="D2895" s="554" t="s">
        <v>7930</v>
      </c>
      <c r="E2895" s="554" t="s">
        <v>9526</v>
      </c>
      <c r="F2895" s="571">
        <v>2</v>
      </c>
      <c r="G2895" s="572">
        <v>19.8</v>
      </c>
      <c r="H2895" s="545">
        <v>39.6</v>
      </c>
      <c r="I2895" s="554" t="s">
        <v>9218</v>
      </c>
      <c r="J2895" s="554" t="s">
        <v>9219</v>
      </c>
      <c r="K2895" s="554" t="s">
        <v>9219</v>
      </c>
      <c r="L2895" s="537" t="s">
        <v>2354</v>
      </c>
    </row>
    <row r="2896" spans="1:12" x14ac:dyDescent="0.2">
      <c r="A2896" s="570" t="s">
        <v>220</v>
      </c>
      <c r="B2896" s="547" t="s">
        <v>5430</v>
      </c>
      <c r="C2896" s="554" t="s">
        <v>5777</v>
      </c>
      <c r="D2896" s="554" t="s">
        <v>7931</v>
      </c>
      <c r="E2896" s="554" t="s">
        <v>9526</v>
      </c>
      <c r="F2896" s="571">
        <v>2</v>
      </c>
      <c r="G2896" s="572">
        <v>19.8</v>
      </c>
      <c r="H2896" s="545">
        <v>39.6</v>
      </c>
      <c r="I2896" s="554" t="s">
        <v>9218</v>
      </c>
      <c r="J2896" s="554" t="s">
        <v>9219</v>
      </c>
      <c r="K2896" s="554" t="s">
        <v>9219</v>
      </c>
      <c r="L2896" s="537" t="s">
        <v>2354</v>
      </c>
    </row>
    <row r="2897" spans="1:12" x14ac:dyDescent="0.2">
      <c r="A2897" s="570" t="s">
        <v>220</v>
      </c>
      <c r="B2897" s="547" t="s">
        <v>5430</v>
      </c>
      <c r="C2897" s="554" t="s">
        <v>5779</v>
      </c>
      <c r="D2897" s="554" t="s">
        <v>7932</v>
      </c>
      <c r="E2897" s="554" t="s">
        <v>9526</v>
      </c>
      <c r="F2897" s="571">
        <v>2</v>
      </c>
      <c r="G2897" s="572">
        <v>81.62</v>
      </c>
      <c r="H2897" s="545">
        <v>163.24</v>
      </c>
      <c r="I2897" s="554" t="s">
        <v>9218</v>
      </c>
      <c r="J2897" s="554" t="s">
        <v>9219</v>
      </c>
      <c r="K2897" s="554" t="s">
        <v>9219</v>
      </c>
      <c r="L2897" s="537" t="s">
        <v>2354</v>
      </c>
    </row>
    <row r="2898" spans="1:12" x14ac:dyDescent="0.2">
      <c r="A2898" s="570" t="s">
        <v>220</v>
      </c>
      <c r="B2898" s="547" t="s">
        <v>5430</v>
      </c>
      <c r="C2898" s="554" t="s">
        <v>5781</v>
      </c>
      <c r="D2898" s="554" t="s">
        <v>7933</v>
      </c>
      <c r="E2898" s="554" t="s">
        <v>9526</v>
      </c>
      <c r="F2898" s="571">
        <v>2</v>
      </c>
      <c r="G2898" s="572">
        <v>91.004000000000005</v>
      </c>
      <c r="H2898" s="545">
        <v>182.00800000000001</v>
      </c>
      <c r="I2898" s="554" t="s">
        <v>9218</v>
      </c>
      <c r="J2898" s="554" t="s">
        <v>9219</v>
      </c>
      <c r="K2898" s="554" t="s">
        <v>9219</v>
      </c>
      <c r="L2898" s="537" t="s">
        <v>2354</v>
      </c>
    </row>
    <row r="2899" spans="1:12" x14ac:dyDescent="0.2">
      <c r="A2899" s="570" t="s">
        <v>220</v>
      </c>
      <c r="B2899" s="547" t="s">
        <v>5430</v>
      </c>
      <c r="C2899" s="554" t="s">
        <v>5783</v>
      </c>
      <c r="D2899" s="554" t="s">
        <v>7934</v>
      </c>
      <c r="E2899" s="554" t="s">
        <v>9526</v>
      </c>
      <c r="F2899" s="571">
        <v>2</v>
      </c>
      <c r="G2899" s="572">
        <v>53.74</v>
      </c>
      <c r="H2899" s="545">
        <v>107.48</v>
      </c>
      <c r="I2899" s="554" t="s">
        <v>9218</v>
      </c>
      <c r="J2899" s="554" t="s">
        <v>9219</v>
      </c>
      <c r="K2899" s="554" t="s">
        <v>9219</v>
      </c>
      <c r="L2899" s="537" t="s">
        <v>2354</v>
      </c>
    </row>
    <row r="2900" spans="1:12" x14ac:dyDescent="0.2">
      <c r="A2900" s="570" t="s">
        <v>220</v>
      </c>
      <c r="B2900" s="547" t="s">
        <v>5430</v>
      </c>
      <c r="C2900" s="554" t="s">
        <v>5785</v>
      </c>
      <c r="D2900" s="554" t="s">
        <v>7935</v>
      </c>
      <c r="E2900" s="554" t="s">
        <v>9526</v>
      </c>
      <c r="F2900" s="571">
        <v>5</v>
      </c>
      <c r="G2900" s="572">
        <v>124.32899999999999</v>
      </c>
      <c r="H2900" s="545">
        <v>621.64499999999998</v>
      </c>
      <c r="I2900" s="554" t="s">
        <v>9218</v>
      </c>
      <c r="J2900" s="554" t="s">
        <v>9219</v>
      </c>
      <c r="K2900" s="554" t="s">
        <v>9219</v>
      </c>
      <c r="L2900" s="537" t="s">
        <v>2354</v>
      </c>
    </row>
    <row r="2901" spans="1:12" x14ac:dyDescent="0.2">
      <c r="A2901" s="570" t="s">
        <v>220</v>
      </c>
      <c r="B2901" s="547" t="s">
        <v>5430</v>
      </c>
      <c r="C2901" s="554" t="s">
        <v>5789</v>
      </c>
      <c r="D2901" s="554" t="s">
        <v>7936</v>
      </c>
      <c r="E2901" s="554" t="s">
        <v>9526</v>
      </c>
      <c r="F2901" s="571">
        <v>1</v>
      </c>
      <c r="G2901" s="572">
        <v>23.5</v>
      </c>
      <c r="H2901" s="545">
        <v>23.5</v>
      </c>
      <c r="I2901" s="554" t="s">
        <v>9218</v>
      </c>
      <c r="J2901" s="554" t="s">
        <v>9219</v>
      </c>
      <c r="K2901" s="554" t="s">
        <v>9219</v>
      </c>
      <c r="L2901" s="537" t="s">
        <v>2354</v>
      </c>
    </row>
    <row r="2902" spans="1:12" x14ac:dyDescent="0.2">
      <c r="A2902" s="570" t="s">
        <v>220</v>
      </c>
      <c r="B2902" s="547" t="s">
        <v>5430</v>
      </c>
      <c r="C2902" s="554" t="s">
        <v>2824</v>
      </c>
      <c r="D2902" s="554" t="s">
        <v>7937</v>
      </c>
      <c r="E2902" s="554" t="s">
        <v>9526</v>
      </c>
      <c r="F2902" s="571">
        <v>1</v>
      </c>
      <c r="G2902" s="572">
        <v>173.69900000000001</v>
      </c>
      <c r="H2902" s="545">
        <v>173.69900000000001</v>
      </c>
      <c r="I2902" s="554" t="s">
        <v>9218</v>
      </c>
      <c r="J2902" s="554" t="s">
        <v>9219</v>
      </c>
      <c r="K2902" s="554" t="s">
        <v>9219</v>
      </c>
      <c r="L2902" s="537" t="s">
        <v>2354</v>
      </c>
    </row>
    <row r="2903" spans="1:12" x14ac:dyDescent="0.2">
      <c r="A2903" s="570" t="s">
        <v>220</v>
      </c>
      <c r="B2903" s="547" t="s">
        <v>5430</v>
      </c>
      <c r="C2903" s="554" t="s">
        <v>5792</v>
      </c>
      <c r="D2903" s="554" t="s">
        <v>7938</v>
      </c>
      <c r="E2903" s="554" t="s">
        <v>9526</v>
      </c>
      <c r="F2903" s="571">
        <v>1</v>
      </c>
      <c r="G2903" s="572">
        <v>149.43</v>
      </c>
      <c r="H2903" s="545">
        <v>149.43</v>
      </c>
      <c r="I2903" s="554" t="s">
        <v>9218</v>
      </c>
      <c r="J2903" s="554" t="s">
        <v>9219</v>
      </c>
      <c r="K2903" s="554" t="s">
        <v>9219</v>
      </c>
      <c r="L2903" s="537" t="s">
        <v>2354</v>
      </c>
    </row>
    <row r="2904" spans="1:12" x14ac:dyDescent="0.2">
      <c r="A2904" s="570" t="s">
        <v>220</v>
      </c>
      <c r="B2904" s="547" t="s">
        <v>5430</v>
      </c>
      <c r="C2904" s="554" t="s">
        <v>2830</v>
      </c>
      <c r="D2904" s="554" t="s">
        <v>7939</v>
      </c>
      <c r="E2904" s="554" t="s">
        <v>9526</v>
      </c>
      <c r="F2904" s="571">
        <v>1</v>
      </c>
      <c r="G2904" s="572">
        <v>162.423</v>
      </c>
      <c r="H2904" s="545">
        <v>162.423</v>
      </c>
      <c r="I2904" s="554" t="s">
        <v>9218</v>
      </c>
      <c r="J2904" s="554" t="s">
        <v>9219</v>
      </c>
      <c r="K2904" s="554" t="s">
        <v>9219</v>
      </c>
      <c r="L2904" s="537" t="s">
        <v>2354</v>
      </c>
    </row>
    <row r="2905" spans="1:12" x14ac:dyDescent="0.2">
      <c r="A2905" s="570" t="s">
        <v>220</v>
      </c>
      <c r="B2905" s="547" t="s">
        <v>5430</v>
      </c>
      <c r="C2905" s="554" t="s">
        <v>2842</v>
      </c>
      <c r="D2905" s="554" t="s">
        <v>7940</v>
      </c>
      <c r="E2905" s="554" t="s">
        <v>9526</v>
      </c>
      <c r="F2905" s="571">
        <v>3</v>
      </c>
      <c r="G2905" s="572">
        <v>21.59</v>
      </c>
      <c r="H2905" s="545">
        <v>64.77</v>
      </c>
      <c r="I2905" s="554" t="s">
        <v>9218</v>
      </c>
      <c r="J2905" s="554" t="s">
        <v>9219</v>
      </c>
      <c r="K2905" s="554" t="s">
        <v>9219</v>
      </c>
      <c r="L2905" s="537" t="s">
        <v>2354</v>
      </c>
    </row>
    <row r="2906" spans="1:12" x14ac:dyDescent="0.2">
      <c r="A2906" s="570" t="s">
        <v>220</v>
      </c>
      <c r="B2906" s="547" t="s">
        <v>5430</v>
      </c>
      <c r="C2906" s="554" t="s">
        <v>5795</v>
      </c>
      <c r="D2906" s="554" t="s">
        <v>7941</v>
      </c>
      <c r="E2906" s="554" t="s">
        <v>9526</v>
      </c>
      <c r="F2906" s="571">
        <v>4</v>
      </c>
      <c r="G2906" s="572">
        <v>46.984000000000002</v>
      </c>
      <c r="H2906" s="545">
        <v>187.93600000000001</v>
      </c>
      <c r="I2906" s="554" t="s">
        <v>9218</v>
      </c>
      <c r="J2906" s="554" t="s">
        <v>9219</v>
      </c>
      <c r="K2906" s="554" t="s">
        <v>9219</v>
      </c>
      <c r="L2906" s="537" t="s">
        <v>2354</v>
      </c>
    </row>
    <row r="2907" spans="1:12" x14ac:dyDescent="0.2">
      <c r="A2907" s="570" t="s">
        <v>220</v>
      </c>
      <c r="B2907" s="547" t="s">
        <v>5430</v>
      </c>
      <c r="C2907" s="554" t="s">
        <v>5431</v>
      </c>
      <c r="D2907" s="554" t="s">
        <v>7942</v>
      </c>
      <c r="E2907" s="554" t="s">
        <v>9526</v>
      </c>
      <c r="F2907" s="571">
        <v>3</v>
      </c>
      <c r="G2907" s="572">
        <v>45.18</v>
      </c>
      <c r="H2907" s="545">
        <v>135.54</v>
      </c>
      <c r="I2907" s="554" t="s">
        <v>9218</v>
      </c>
      <c r="J2907" s="554" t="s">
        <v>9219</v>
      </c>
      <c r="K2907" s="554" t="s">
        <v>9219</v>
      </c>
      <c r="L2907" s="537" t="s">
        <v>2354</v>
      </c>
    </row>
    <row r="2908" spans="1:12" x14ac:dyDescent="0.2">
      <c r="A2908" s="570" t="s">
        <v>220</v>
      </c>
      <c r="B2908" s="547" t="s">
        <v>5430</v>
      </c>
      <c r="C2908" s="554" t="s">
        <v>7943</v>
      </c>
      <c r="D2908" s="554" t="s">
        <v>7944</v>
      </c>
      <c r="E2908" s="554" t="s">
        <v>9526</v>
      </c>
      <c r="F2908" s="571">
        <v>3</v>
      </c>
      <c r="G2908" s="572">
        <v>105.02200000000001</v>
      </c>
      <c r="H2908" s="545">
        <v>315.06600000000003</v>
      </c>
      <c r="I2908" s="554" t="s">
        <v>9218</v>
      </c>
      <c r="J2908" s="554" t="s">
        <v>9219</v>
      </c>
      <c r="K2908" s="554" t="s">
        <v>9219</v>
      </c>
      <c r="L2908" s="537" t="s">
        <v>2354</v>
      </c>
    </row>
    <row r="2909" spans="1:12" x14ac:dyDescent="0.2">
      <c r="A2909" s="570" t="s">
        <v>220</v>
      </c>
      <c r="B2909" s="547" t="s">
        <v>5430</v>
      </c>
      <c r="C2909" s="554" t="s">
        <v>7945</v>
      </c>
      <c r="D2909" s="554" t="s">
        <v>5800</v>
      </c>
      <c r="E2909" s="554" t="s">
        <v>9526</v>
      </c>
      <c r="F2909" s="571">
        <v>1</v>
      </c>
      <c r="G2909" s="572">
        <v>108.45</v>
      </c>
      <c r="H2909" s="545">
        <v>108.45</v>
      </c>
      <c r="I2909" s="554" t="s">
        <v>9218</v>
      </c>
      <c r="J2909" s="554" t="s">
        <v>9219</v>
      </c>
      <c r="K2909" s="554" t="s">
        <v>9219</v>
      </c>
      <c r="L2909" s="537" t="s">
        <v>2354</v>
      </c>
    </row>
    <row r="2910" spans="1:12" x14ac:dyDescent="0.2">
      <c r="A2910" s="570" t="s">
        <v>220</v>
      </c>
      <c r="B2910" s="547" t="s">
        <v>5430</v>
      </c>
      <c r="C2910" s="554" t="s">
        <v>5801</v>
      </c>
      <c r="D2910" s="554" t="s">
        <v>5802</v>
      </c>
      <c r="E2910" s="554" t="s">
        <v>9526</v>
      </c>
      <c r="F2910" s="571">
        <v>3</v>
      </c>
      <c r="G2910" s="572">
        <v>62.075000000000003</v>
      </c>
      <c r="H2910" s="545">
        <v>186.22500000000002</v>
      </c>
      <c r="I2910" s="554" t="s">
        <v>9218</v>
      </c>
      <c r="J2910" s="554" t="s">
        <v>9219</v>
      </c>
      <c r="K2910" s="554" t="s">
        <v>9219</v>
      </c>
      <c r="L2910" s="537" t="s">
        <v>2354</v>
      </c>
    </row>
    <row r="2911" spans="1:12" x14ac:dyDescent="0.2">
      <c r="A2911" s="570" t="s">
        <v>220</v>
      </c>
      <c r="B2911" s="547" t="s">
        <v>5430</v>
      </c>
      <c r="C2911" s="554" t="s">
        <v>5803</v>
      </c>
      <c r="D2911" s="554" t="s">
        <v>5804</v>
      </c>
      <c r="E2911" s="554" t="s">
        <v>9526</v>
      </c>
      <c r="F2911" s="571">
        <v>3</v>
      </c>
      <c r="G2911" s="572">
        <v>51.75</v>
      </c>
      <c r="H2911" s="545">
        <v>155.25</v>
      </c>
      <c r="I2911" s="554" t="s">
        <v>9218</v>
      </c>
      <c r="J2911" s="554" t="s">
        <v>9219</v>
      </c>
      <c r="K2911" s="554" t="s">
        <v>9219</v>
      </c>
      <c r="L2911" s="537" t="s">
        <v>2354</v>
      </c>
    </row>
    <row r="2912" spans="1:12" x14ac:dyDescent="0.2">
      <c r="A2912" s="570" t="s">
        <v>220</v>
      </c>
      <c r="B2912" s="547" t="s">
        <v>5430</v>
      </c>
      <c r="C2912" s="554" t="s">
        <v>7946</v>
      </c>
      <c r="D2912" s="554" t="s">
        <v>7947</v>
      </c>
      <c r="E2912" s="554" t="s">
        <v>9526</v>
      </c>
      <c r="F2912" s="571">
        <v>1</v>
      </c>
      <c r="G2912" s="572">
        <v>38.024999999999999</v>
      </c>
      <c r="H2912" s="545">
        <v>38.024999999999999</v>
      </c>
      <c r="I2912" s="554" t="s">
        <v>9218</v>
      </c>
      <c r="J2912" s="554" t="s">
        <v>9219</v>
      </c>
      <c r="K2912" s="554" t="s">
        <v>9219</v>
      </c>
      <c r="L2912" s="537" t="s">
        <v>2354</v>
      </c>
    </row>
    <row r="2913" spans="1:12" x14ac:dyDescent="0.2">
      <c r="A2913" s="570" t="s">
        <v>220</v>
      </c>
      <c r="B2913" s="547" t="s">
        <v>5430</v>
      </c>
      <c r="C2913" s="554" t="s">
        <v>5805</v>
      </c>
      <c r="D2913" s="554" t="s">
        <v>7948</v>
      </c>
      <c r="E2913" s="554" t="s">
        <v>9526</v>
      </c>
      <c r="F2913" s="571">
        <v>3</v>
      </c>
      <c r="G2913" s="572">
        <v>204.70400000000001</v>
      </c>
      <c r="H2913" s="545">
        <v>614.11200000000008</v>
      </c>
      <c r="I2913" s="554" t="s">
        <v>9218</v>
      </c>
      <c r="J2913" s="554" t="s">
        <v>9219</v>
      </c>
      <c r="K2913" s="554" t="s">
        <v>9219</v>
      </c>
      <c r="L2913" s="537" t="s">
        <v>2354</v>
      </c>
    </row>
    <row r="2914" spans="1:12" x14ac:dyDescent="0.2">
      <c r="A2914" s="570" t="s">
        <v>220</v>
      </c>
      <c r="B2914" s="547" t="s">
        <v>5430</v>
      </c>
      <c r="C2914" s="554" t="s">
        <v>5807</v>
      </c>
      <c r="D2914" s="554" t="s">
        <v>7949</v>
      </c>
      <c r="E2914" s="554" t="s">
        <v>9526</v>
      </c>
      <c r="F2914" s="571">
        <v>2</v>
      </c>
      <c r="G2914" s="572">
        <v>119.751</v>
      </c>
      <c r="H2914" s="545">
        <v>239.50200000000001</v>
      </c>
      <c r="I2914" s="554" t="s">
        <v>9218</v>
      </c>
      <c r="J2914" s="554" t="s">
        <v>9219</v>
      </c>
      <c r="K2914" s="554" t="s">
        <v>9219</v>
      </c>
      <c r="L2914" s="537" t="s">
        <v>2354</v>
      </c>
    </row>
    <row r="2915" spans="1:12" x14ac:dyDescent="0.2">
      <c r="A2915" s="570" t="s">
        <v>220</v>
      </c>
      <c r="B2915" s="547" t="s">
        <v>5430</v>
      </c>
      <c r="C2915" s="554" t="s">
        <v>7950</v>
      </c>
      <c r="D2915" s="554" t="s">
        <v>7951</v>
      </c>
      <c r="E2915" s="554" t="s">
        <v>9526</v>
      </c>
      <c r="F2915" s="571">
        <v>2</v>
      </c>
      <c r="G2915" s="572">
        <v>55.762</v>
      </c>
      <c r="H2915" s="545">
        <v>111.524</v>
      </c>
      <c r="I2915" s="554" t="s">
        <v>9218</v>
      </c>
      <c r="J2915" s="554" t="s">
        <v>9219</v>
      </c>
      <c r="K2915" s="554" t="s">
        <v>9219</v>
      </c>
      <c r="L2915" s="537" t="s">
        <v>2354</v>
      </c>
    </row>
    <row r="2916" spans="1:12" x14ac:dyDescent="0.2">
      <c r="A2916" s="570" t="s">
        <v>220</v>
      </c>
      <c r="B2916" s="547" t="s">
        <v>5430</v>
      </c>
      <c r="C2916" s="554" t="s">
        <v>5813</v>
      </c>
      <c r="D2916" s="554" t="s">
        <v>7953</v>
      </c>
      <c r="E2916" s="554" t="s">
        <v>9526</v>
      </c>
      <c r="F2916" s="571">
        <v>3</v>
      </c>
      <c r="G2916" s="572">
        <v>49.68</v>
      </c>
      <c r="H2916" s="545">
        <v>149.04</v>
      </c>
      <c r="I2916" s="554" t="s">
        <v>9218</v>
      </c>
      <c r="J2916" s="554" t="s">
        <v>9219</v>
      </c>
      <c r="K2916" s="554" t="s">
        <v>9219</v>
      </c>
      <c r="L2916" s="537" t="s">
        <v>2354</v>
      </c>
    </row>
    <row r="2917" spans="1:12" x14ac:dyDescent="0.2">
      <c r="A2917" s="570" t="s">
        <v>220</v>
      </c>
      <c r="B2917" s="547" t="s">
        <v>5430</v>
      </c>
      <c r="C2917" s="554" t="s">
        <v>5815</v>
      </c>
      <c r="D2917" s="554" t="s">
        <v>7954</v>
      </c>
      <c r="E2917" s="554" t="s">
        <v>9526</v>
      </c>
      <c r="F2917" s="571">
        <v>1</v>
      </c>
      <c r="G2917" s="572">
        <v>33.125</v>
      </c>
      <c r="H2917" s="545">
        <v>33.125</v>
      </c>
      <c r="I2917" s="554" t="s">
        <v>9218</v>
      </c>
      <c r="J2917" s="554" t="s">
        <v>9219</v>
      </c>
      <c r="K2917" s="554" t="s">
        <v>9219</v>
      </c>
      <c r="L2917" s="537" t="s">
        <v>2354</v>
      </c>
    </row>
    <row r="2918" spans="1:12" x14ac:dyDescent="0.2">
      <c r="A2918" s="570" t="s">
        <v>220</v>
      </c>
      <c r="B2918" s="547" t="s">
        <v>5430</v>
      </c>
      <c r="C2918" s="554" t="s">
        <v>5817</v>
      </c>
      <c r="D2918" s="554" t="s">
        <v>7955</v>
      </c>
      <c r="E2918" s="554" t="s">
        <v>9526</v>
      </c>
      <c r="F2918" s="571">
        <v>2</v>
      </c>
      <c r="G2918" s="572">
        <v>144</v>
      </c>
      <c r="H2918" s="545">
        <v>288</v>
      </c>
      <c r="I2918" s="554" t="s">
        <v>9218</v>
      </c>
      <c r="J2918" s="554" t="s">
        <v>9219</v>
      </c>
      <c r="K2918" s="554" t="s">
        <v>9219</v>
      </c>
      <c r="L2918" s="537" t="s">
        <v>2354</v>
      </c>
    </row>
    <row r="2919" spans="1:12" x14ac:dyDescent="0.2">
      <c r="A2919" s="570" t="s">
        <v>220</v>
      </c>
      <c r="B2919" s="547" t="s">
        <v>5430</v>
      </c>
      <c r="C2919" s="554" t="s">
        <v>5819</v>
      </c>
      <c r="D2919" s="554" t="s">
        <v>5820</v>
      </c>
      <c r="E2919" s="554" t="s">
        <v>9526</v>
      </c>
      <c r="F2919" s="571">
        <v>4</v>
      </c>
      <c r="G2919" s="572">
        <v>117.664</v>
      </c>
      <c r="H2919" s="545">
        <v>470.65600000000001</v>
      </c>
      <c r="I2919" s="554" t="s">
        <v>9218</v>
      </c>
      <c r="J2919" s="554" t="s">
        <v>9219</v>
      </c>
      <c r="K2919" s="554" t="s">
        <v>9219</v>
      </c>
      <c r="L2919" s="537" t="s">
        <v>2354</v>
      </c>
    </row>
    <row r="2920" spans="1:12" x14ac:dyDescent="0.2">
      <c r="A2920" s="570" t="s">
        <v>220</v>
      </c>
      <c r="B2920" s="547" t="s">
        <v>5430</v>
      </c>
      <c r="C2920" s="554" t="s">
        <v>5821</v>
      </c>
      <c r="D2920" s="554" t="s">
        <v>7956</v>
      </c>
      <c r="E2920" s="554" t="s">
        <v>9526</v>
      </c>
      <c r="F2920" s="571">
        <v>1</v>
      </c>
      <c r="G2920" s="572">
        <v>33.125</v>
      </c>
      <c r="H2920" s="545">
        <v>33.125</v>
      </c>
      <c r="I2920" s="554" t="s">
        <v>9218</v>
      </c>
      <c r="J2920" s="554" t="s">
        <v>9219</v>
      </c>
      <c r="K2920" s="554" t="s">
        <v>9219</v>
      </c>
      <c r="L2920" s="537" t="s">
        <v>2354</v>
      </c>
    </row>
    <row r="2921" spans="1:12" x14ac:dyDescent="0.2">
      <c r="A2921" s="570" t="s">
        <v>220</v>
      </c>
      <c r="B2921" s="547" t="s">
        <v>5430</v>
      </c>
      <c r="C2921" s="554" t="s">
        <v>5823</v>
      </c>
      <c r="D2921" s="554" t="s">
        <v>5824</v>
      </c>
      <c r="E2921" s="554" t="s">
        <v>9526</v>
      </c>
      <c r="F2921" s="571">
        <v>3</v>
      </c>
      <c r="G2921" s="572">
        <v>73.283000000000001</v>
      </c>
      <c r="H2921" s="545">
        <v>219.84899999999999</v>
      </c>
      <c r="I2921" s="554" t="s">
        <v>9218</v>
      </c>
      <c r="J2921" s="554" t="s">
        <v>9219</v>
      </c>
      <c r="K2921" s="554" t="s">
        <v>9219</v>
      </c>
      <c r="L2921" s="537" t="s">
        <v>2354</v>
      </c>
    </row>
    <row r="2922" spans="1:12" x14ac:dyDescent="0.2">
      <c r="A2922" s="570" t="s">
        <v>220</v>
      </c>
      <c r="B2922" s="547" t="s">
        <v>5430</v>
      </c>
      <c r="C2922" s="554" t="s">
        <v>7957</v>
      </c>
      <c r="D2922" s="554" t="s">
        <v>5826</v>
      </c>
      <c r="E2922" s="554" t="s">
        <v>9526</v>
      </c>
      <c r="F2922" s="571">
        <v>2</v>
      </c>
      <c r="G2922" s="572">
        <v>105.58799999999999</v>
      </c>
      <c r="H2922" s="545">
        <v>211.17599999999999</v>
      </c>
      <c r="I2922" s="554" t="s">
        <v>9218</v>
      </c>
      <c r="J2922" s="554" t="s">
        <v>9219</v>
      </c>
      <c r="K2922" s="554" t="s">
        <v>9219</v>
      </c>
      <c r="L2922" s="537" t="s">
        <v>2354</v>
      </c>
    </row>
    <row r="2923" spans="1:12" x14ac:dyDescent="0.2">
      <c r="A2923" s="570" t="s">
        <v>220</v>
      </c>
      <c r="B2923" s="547" t="s">
        <v>5430</v>
      </c>
      <c r="C2923" s="554" t="s">
        <v>5827</v>
      </c>
      <c r="D2923" s="554" t="s">
        <v>7958</v>
      </c>
      <c r="E2923" s="554" t="s">
        <v>9526</v>
      </c>
      <c r="F2923" s="571">
        <v>2</v>
      </c>
      <c r="G2923" s="572">
        <v>32.4</v>
      </c>
      <c r="H2923" s="545">
        <v>64.8</v>
      </c>
      <c r="I2923" s="554" t="s">
        <v>9218</v>
      </c>
      <c r="J2923" s="554" t="s">
        <v>9219</v>
      </c>
      <c r="K2923" s="554" t="s">
        <v>9219</v>
      </c>
      <c r="L2923" s="537" t="s">
        <v>2354</v>
      </c>
    </row>
    <row r="2924" spans="1:12" x14ac:dyDescent="0.2">
      <c r="A2924" s="570" t="s">
        <v>220</v>
      </c>
      <c r="B2924" s="547" t="s">
        <v>5430</v>
      </c>
      <c r="C2924" s="554" t="s">
        <v>5829</v>
      </c>
      <c r="D2924" s="554" t="s">
        <v>7959</v>
      </c>
      <c r="E2924" s="554" t="s">
        <v>9526</v>
      </c>
      <c r="F2924" s="571">
        <v>3</v>
      </c>
      <c r="G2924" s="572">
        <v>70.149000000000001</v>
      </c>
      <c r="H2924" s="545">
        <v>210.447</v>
      </c>
      <c r="I2924" s="554" t="s">
        <v>9218</v>
      </c>
      <c r="J2924" s="554" t="s">
        <v>9219</v>
      </c>
      <c r="K2924" s="554" t="s">
        <v>9219</v>
      </c>
      <c r="L2924" s="537" t="s">
        <v>2354</v>
      </c>
    </row>
    <row r="2925" spans="1:12" x14ac:dyDescent="0.2">
      <c r="A2925" s="570" t="s">
        <v>220</v>
      </c>
      <c r="B2925" s="547" t="s">
        <v>5430</v>
      </c>
      <c r="C2925" s="554" t="s">
        <v>2854</v>
      </c>
      <c r="D2925" s="554" t="s">
        <v>7960</v>
      </c>
      <c r="E2925" s="554" t="s">
        <v>9526</v>
      </c>
      <c r="F2925" s="571">
        <v>2</v>
      </c>
      <c r="G2925" s="572">
        <v>36.551000000000002</v>
      </c>
      <c r="H2925" s="545">
        <v>73.102000000000004</v>
      </c>
      <c r="I2925" s="554" t="s">
        <v>9218</v>
      </c>
      <c r="J2925" s="554" t="s">
        <v>9219</v>
      </c>
      <c r="K2925" s="554" t="s">
        <v>9219</v>
      </c>
      <c r="L2925" s="537" t="s">
        <v>2354</v>
      </c>
    </row>
    <row r="2926" spans="1:12" x14ac:dyDescent="0.2">
      <c r="A2926" s="570" t="s">
        <v>220</v>
      </c>
      <c r="B2926" s="547" t="s">
        <v>5430</v>
      </c>
      <c r="C2926" s="554" t="s">
        <v>5834</v>
      </c>
      <c r="D2926" s="554" t="s">
        <v>7961</v>
      </c>
      <c r="E2926" s="554" t="s">
        <v>9526</v>
      </c>
      <c r="F2926" s="571">
        <v>3</v>
      </c>
      <c r="G2926" s="572">
        <v>86.207999999999998</v>
      </c>
      <c r="H2926" s="545">
        <v>258.62400000000002</v>
      </c>
      <c r="I2926" s="554" t="s">
        <v>9218</v>
      </c>
      <c r="J2926" s="554" t="s">
        <v>9219</v>
      </c>
      <c r="K2926" s="554" t="s">
        <v>9219</v>
      </c>
      <c r="L2926" s="537" t="s">
        <v>2354</v>
      </c>
    </row>
    <row r="2927" spans="1:12" x14ac:dyDescent="0.2">
      <c r="A2927" s="570" t="s">
        <v>220</v>
      </c>
      <c r="B2927" s="547" t="s">
        <v>5430</v>
      </c>
      <c r="C2927" s="554" t="s">
        <v>5836</v>
      </c>
      <c r="D2927" s="554" t="s">
        <v>7962</v>
      </c>
      <c r="E2927" s="554" t="s">
        <v>9526</v>
      </c>
      <c r="F2927" s="571">
        <v>2</v>
      </c>
      <c r="G2927" s="572">
        <v>164.81399999999999</v>
      </c>
      <c r="H2927" s="545">
        <v>329.62799999999999</v>
      </c>
      <c r="I2927" s="554" t="s">
        <v>9218</v>
      </c>
      <c r="J2927" s="554" t="s">
        <v>9219</v>
      </c>
      <c r="K2927" s="554" t="s">
        <v>9219</v>
      </c>
      <c r="L2927" s="537" t="s">
        <v>2354</v>
      </c>
    </row>
    <row r="2928" spans="1:12" x14ac:dyDescent="0.2">
      <c r="A2928" s="570" t="s">
        <v>220</v>
      </c>
      <c r="B2928" s="547" t="s">
        <v>5430</v>
      </c>
      <c r="C2928" s="554" t="s">
        <v>5838</v>
      </c>
      <c r="D2928" s="554" t="s">
        <v>7963</v>
      </c>
      <c r="E2928" s="554" t="s">
        <v>9526</v>
      </c>
      <c r="F2928" s="571">
        <v>5</v>
      </c>
      <c r="G2928" s="572">
        <v>22.024999999999999</v>
      </c>
      <c r="H2928" s="545">
        <v>110.125</v>
      </c>
      <c r="I2928" s="554" t="s">
        <v>9218</v>
      </c>
      <c r="J2928" s="554" t="s">
        <v>9219</v>
      </c>
      <c r="K2928" s="554" t="s">
        <v>9219</v>
      </c>
      <c r="L2928" s="537" t="s">
        <v>2354</v>
      </c>
    </row>
    <row r="2929" spans="1:12" x14ac:dyDescent="0.2">
      <c r="A2929" s="570" t="s">
        <v>220</v>
      </c>
      <c r="B2929" s="547" t="s">
        <v>5430</v>
      </c>
      <c r="C2929" s="554" t="s">
        <v>5840</v>
      </c>
      <c r="D2929" s="554" t="s">
        <v>7964</v>
      </c>
      <c r="E2929" s="554" t="s">
        <v>9526</v>
      </c>
      <c r="F2929" s="571">
        <v>4</v>
      </c>
      <c r="G2929" s="572">
        <v>3.1190000000000002</v>
      </c>
      <c r="H2929" s="545">
        <v>12.476000000000001</v>
      </c>
      <c r="I2929" s="554" t="s">
        <v>9218</v>
      </c>
      <c r="J2929" s="554" t="s">
        <v>9219</v>
      </c>
      <c r="K2929" s="554" t="s">
        <v>9219</v>
      </c>
      <c r="L2929" s="537" t="s">
        <v>2354</v>
      </c>
    </row>
    <row r="2930" spans="1:12" x14ac:dyDescent="0.2">
      <c r="A2930" s="570" t="s">
        <v>220</v>
      </c>
      <c r="B2930" s="547" t="s">
        <v>5430</v>
      </c>
      <c r="C2930" s="554" t="s">
        <v>5842</v>
      </c>
      <c r="D2930" s="554" t="s">
        <v>7965</v>
      </c>
      <c r="E2930" s="554" t="s">
        <v>9526</v>
      </c>
      <c r="F2930" s="571">
        <v>9</v>
      </c>
      <c r="G2930" s="572">
        <v>29.864000000000001</v>
      </c>
      <c r="H2930" s="545">
        <v>268.77600000000001</v>
      </c>
      <c r="I2930" s="554" t="s">
        <v>9218</v>
      </c>
      <c r="J2930" s="554" t="s">
        <v>9219</v>
      </c>
      <c r="K2930" s="554" t="s">
        <v>9219</v>
      </c>
      <c r="L2930" s="537" t="s">
        <v>2354</v>
      </c>
    </row>
    <row r="2931" spans="1:12" x14ac:dyDescent="0.2">
      <c r="A2931" s="570" t="s">
        <v>220</v>
      </c>
      <c r="B2931" s="547" t="s">
        <v>5430</v>
      </c>
      <c r="C2931" s="554" t="s">
        <v>5844</v>
      </c>
      <c r="D2931" s="554" t="s">
        <v>5845</v>
      </c>
      <c r="E2931" s="554" t="s">
        <v>9526</v>
      </c>
      <c r="F2931" s="571">
        <v>1</v>
      </c>
      <c r="G2931" s="572">
        <v>8.0809999999999995</v>
      </c>
      <c r="H2931" s="545">
        <v>8.0809999999999995</v>
      </c>
      <c r="I2931" s="554" t="s">
        <v>9218</v>
      </c>
      <c r="J2931" s="554" t="s">
        <v>9219</v>
      </c>
      <c r="K2931" s="554" t="s">
        <v>9219</v>
      </c>
      <c r="L2931" s="537" t="s">
        <v>2354</v>
      </c>
    </row>
    <row r="2932" spans="1:12" x14ac:dyDescent="0.2">
      <c r="A2932" s="570" t="s">
        <v>220</v>
      </c>
      <c r="B2932" s="547" t="s">
        <v>5430</v>
      </c>
      <c r="C2932" s="554" t="s">
        <v>5846</v>
      </c>
      <c r="D2932" s="554" t="s">
        <v>5847</v>
      </c>
      <c r="E2932" s="554" t="s">
        <v>9526</v>
      </c>
      <c r="F2932" s="571">
        <v>4</v>
      </c>
      <c r="G2932" s="572">
        <v>10.143000000000001</v>
      </c>
      <c r="H2932" s="545">
        <v>40.572000000000003</v>
      </c>
      <c r="I2932" s="554" t="s">
        <v>9218</v>
      </c>
      <c r="J2932" s="554" t="s">
        <v>9219</v>
      </c>
      <c r="K2932" s="554" t="s">
        <v>9219</v>
      </c>
      <c r="L2932" s="537" t="s">
        <v>2354</v>
      </c>
    </row>
    <row r="2933" spans="1:12" x14ac:dyDescent="0.2">
      <c r="A2933" s="570" t="s">
        <v>220</v>
      </c>
      <c r="B2933" s="547" t="s">
        <v>5430</v>
      </c>
      <c r="C2933" s="554" t="s">
        <v>5848</v>
      </c>
      <c r="D2933" s="554" t="s">
        <v>5849</v>
      </c>
      <c r="E2933" s="554" t="s">
        <v>9526</v>
      </c>
      <c r="F2933" s="571">
        <v>3</v>
      </c>
      <c r="G2933" s="572">
        <v>10.143000000000001</v>
      </c>
      <c r="H2933" s="545">
        <v>30.429000000000002</v>
      </c>
      <c r="I2933" s="554" t="s">
        <v>9218</v>
      </c>
      <c r="J2933" s="554" t="s">
        <v>9219</v>
      </c>
      <c r="K2933" s="554" t="s">
        <v>9219</v>
      </c>
      <c r="L2933" s="537" t="s">
        <v>2354</v>
      </c>
    </row>
    <row r="2934" spans="1:12" x14ac:dyDescent="0.2">
      <c r="A2934" s="570" t="s">
        <v>220</v>
      </c>
      <c r="B2934" s="547" t="s">
        <v>5430</v>
      </c>
      <c r="C2934" s="554" t="s">
        <v>5850</v>
      </c>
      <c r="D2934" s="554" t="s">
        <v>5851</v>
      </c>
      <c r="E2934" s="554" t="s">
        <v>9526</v>
      </c>
      <c r="F2934" s="571">
        <v>4</v>
      </c>
      <c r="G2934" s="572">
        <v>9.3439999999999994</v>
      </c>
      <c r="H2934" s="545">
        <v>37.375999999999998</v>
      </c>
      <c r="I2934" s="554" t="s">
        <v>9218</v>
      </c>
      <c r="J2934" s="554" t="s">
        <v>9219</v>
      </c>
      <c r="K2934" s="554" t="s">
        <v>9219</v>
      </c>
      <c r="L2934" s="537" t="s">
        <v>2354</v>
      </c>
    </row>
    <row r="2935" spans="1:12" x14ac:dyDescent="0.2">
      <c r="A2935" s="570" t="s">
        <v>220</v>
      </c>
      <c r="B2935" s="547" t="s">
        <v>5430</v>
      </c>
      <c r="C2935" s="554" t="s">
        <v>5852</v>
      </c>
      <c r="D2935" s="554" t="s">
        <v>5853</v>
      </c>
      <c r="E2935" s="554" t="s">
        <v>9526</v>
      </c>
      <c r="F2935" s="571">
        <v>12</v>
      </c>
      <c r="G2935" s="572">
        <v>4.01</v>
      </c>
      <c r="H2935" s="545">
        <v>48.12</v>
      </c>
      <c r="I2935" s="554" t="s">
        <v>9218</v>
      </c>
      <c r="J2935" s="554" t="s">
        <v>9219</v>
      </c>
      <c r="K2935" s="554" t="s">
        <v>9219</v>
      </c>
      <c r="L2935" s="537" t="s">
        <v>2354</v>
      </c>
    </row>
    <row r="2936" spans="1:12" x14ac:dyDescent="0.2">
      <c r="A2936" s="570" t="s">
        <v>220</v>
      </c>
      <c r="B2936" s="547" t="s">
        <v>5430</v>
      </c>
      <c r="C2936" s="554" t="s">
        <v>5854</v>
      </c>
      <c r="D2936" s="554" t="s">
        <v>7966</v>
      </c>
      <c r="E2936" s="554" t="s">
        <v>9526</v>
      </c>
      <c r="F2936" s="571">
        <v>8</v>
      </c>
      <c r="G2936" s="572">
        <v>24.501999999999999</v>
      </c>
      <c r="H2936" s="545">
        <v>196.01599999999999</v>
      </c>
      <c r="I2936" s="554" t="s">
        <v>9218</v>
      </c>
      <c r="J2936" s="554" t="s">
        <v>9219</v>
      </c>
      <c r="K2936" s="554" t="s">
        <v>9219</v>
      </c>
      <c r="L2936" s="537" t="s">
        <v>2354</v>
      </c>
    </row>
    <row r="2937" spans="1:12" x14ac:dyDescent="0.2">
      <c r="A2937" s="570" t="s">
        <v>220</v>
      </c>
      <c r="B2937" s="547" t="s">
        <v>5430</v>
      </c>
      <c r="C2937" s="554" t="s">
        <v>5856</v>
      </c>
      <c r="D2937" s="554" t="s">
        <v>5857</v>
      </c>
      <c r="E2937" s="554" t="s">
        <v>9526</v>
      </c>
      <c r="F2937" s="571">
        <v>1</v>
      </c>
      <c r="G2937" s="572">
        <v>4.01</v>
      </c>
      <c r="H2937" s="545">
        <v>4.01</v>
      </c>
      <c r="I2937" s="554" t="s">
        <v>9218</v>
      </c>
      <c r="J2937" s="554" t="s">
        <v>9219</v>
      </c>
      <c r="K2937" s="554" t="s">
        <v>9219</v>
      </c>
      <c r="L2937" s="537" t="s">
        <v>2354</v>
      </c>
    </row>
    <row r="2938" spans="1:12" x14ac:dyDescent="0.2">
      <c r="A2938" s="570" t="s">
        <v>220</v>
      </c>
      <c r="B2938" s="547" t="s">
        <v>5430</v>
      </c>
      <c r="C2938" s="554" t="s">
        <v>5858</v>
      </c>
      <c r="D2938" s="554" t="s">
        <v>5859</v>
      </c>
      <c r="E2938" s="554" t="s">
        <v>9526</v>
      </c>
      <c r="F2938" s="571">
        <v>2</v>
      </c>
      <c r="G2938" s="572">
        <v>4.01</v>
      </c>
      <c r="H2938" s="545">
        <v>8.02</v>
      </c>
      <c r="I2938" s="554" t="s">
        <v>9218</v>
      </c>
      <c r="J2938" s="554" t="s">
        <v>9219</v>
      </c>
      <c r="K2938" s="554" t="s">
        <v>9219</v>
      </c>
      <c r="L2938" s="537" t="s">
        <v>2354</v>
      </c>
    </row>
    <row r="2939" spans="1:12" x14ac:dyDescent="0.2">
      <c r="A2939" s="570" t="s">
        <v>220</v>
      </c>
      <c r="B2939" s="547" t="s">
        <v>5430</v>
      </c>
      <c r="C2939" s="554" t="s">
        <v>5860</v>
      </c>
      <c r="D2939" s="554" t="s">
        <v>5861</v>
      </c>
      <c r="E2939" s="554" t="s">
        <v>9526</v>
      </c>
      <c r="F2939" s="571">
        <v>4</v>
      </c>
      <c r="G2939" s="572">
        <v>7.335</v>
      </c>
      <c r="H2939" s="545">
        <v>29.34</v>
      </c>
      <c r="I2939" s="554" t="s">
        <v>9218</v>
      </c>
      <c r="J2939" s="554" t="s">
        <v>9219</v>
      </c>
      <c r="K2939" s="554" t="s">
        <v>9219</v>
      </c>
      <c r="L2939" s="537" t="s">
        <v>2354</v>
      </c>
    </row>
    <row r="2940" spans="1:12" x14ac:dyDescent="0.2">
      <c r="A2940" s="570" t="s">
        <v>220</v>
      </c>
      <c r="B2940" s="547" t="s">
        <v>5430</v>
      </c>
      <c r="C2940" s="554"/>
      <c r="D2940" s="554" t="s">
        <v>9434</v>
      </c>
      <c r="E2940" s="554" t="s">
        <v>9526</v>
      </c>
      <c r="F2940" s="571">
        <v>4</v>
      </c>
      <c r="G2940" s="572">
        <v>7.35</v>
      </c>
      <c r="H2940" s="545">
        <v>29.4</v>
      </c>
      <c r="I2940" s="554" t="s">
        <v>9218</v>
      </c>
      <c r="J2940" s="554" t="s">
        <v>9219</v>
      </c>
      <c r="K2940" s="554" t="s">
        <v>9219</v>
      </c>
      <c r="L2940" s="537" t="s">
        <v>2354</v>
      </c>
    </row>
    <row r="2941" spans="1:12" x14ac:dyDescent="0.2">
      <c r="A2941" s="570" t="s">
        <v>220</v>
      </c>
      <c r="B2941" s="547" t="s">
        <v>5430</v>
      </c>
      <c r="C2941" s="554" t="s">
        <v>5862</v>
      </c>
      <c r="D2941" s="554" t="s">
        <v>7967</v>
      </c>
      <c r="E2941" s="554" t="s">
        <v>9526</v>
      </c>
      <c r="F2941" s="571">
        <v>1</v>
      </c>
      <c r="G2941" s="572">
        <v>4.01</v>
      </c>
      <c r="H2941" s="545">
        <v>4.01</v>
      </c>
      <c r="I2941" s="554" t="s">
        <v>9218</v>
      </c>
      <c r="J2941" s="554" t="s">
        <v>9219</v>
      </c>
      <c r="K2941" s="554" t="s">
        <v>9219</v>
      </c>
      <c r="L2941" s="537" t="s">
        <v>2354</v>
      </c>
    </row>
    <row r="2942" spans="1:12" x14ac:dyDescent="0.2">
      <c r="A2942" s="570" t="s">
        <v>220</v>
      </c>
      <c r="B2942" s="547" t="s">
        <v>5430</v>
      </c>
      <c r="C2942" s="554" t="s">
        <v>2379</v>
      </c>
      <c r="D2942" s="554" t="s">
        <v>5864</v>
      </c>
      <c r="E2942" s="554" t="s">
        <v>9526</v>
      </c>
      <c r="F2942" s="571">
        <v>5</v>
      </c>
      <c r="G2942" s="572">
        <v>4.01</v>
      </c>
      <c r="H2942" s="545">
        <v>20.049999999999997</v>
      </c>
      <c r="I2942" s="554" t="s">
        <v>9218</v>
      </c>
      <c r="J2942" s="554" t="s">
        <v>9219</v>
      </c>
      <c r="K2942" s="554" t="s">
        <v>9219</v>
      </c>
      <c r="L2942" s="537" t="s">
        <v>2354</v>
      </c>
    </row>
    <row r="2943" spans="1:12" x14ac:dyDescent="0.2">
      <c r="A2943" s="570" t="s">
        <v>220</v>
      </c>
      <c r="B2943" s="547" t="s">
        <v>5430</v>
      </c>
      <c r="C2943" s="554" t="s">
        <v>5865</v>
      </c>
      <c r="D2943" s="554" t="s">
        <v>5866</v>
      </c>
      <c r="E2943" s="554" t="s">
        <v>9526</v>
      </c>
      <c r="F2943" s="571">
        <v>5</v>
      </c>
      <c r="G2943" s="572">
        <v>4.01</v>
      </c>
      <c r="H2943" s="545">
        <v>20.049999999999997</v>
      </c>
      <c r="I2943" s="554" t="s">
        <v>9218</v>
      </c>
      <c r="J2943" s="554" t="s">
        <v>9219</v>
      </c>
      <c r="K2943" s="554" t="s">
        <v>9219</v>
      </c>
      <c r="L2943" s="537" t="s">
        <v>2354</v>
      </c>
    </row>
    <row r="2944" spans="1:12" x14ac:dyDescent="0.2">
      <c r="A2944" s="570" t="s">
        <v>220</v>
      </c>
      <c r="B2944" s="547" t="s">
        <v>5430</v>
      </c>
      <c r="C2944" s="554" t="s">
        <v>2872</v>
      </c>
      <c r="D2944" s="554" t="s">
        <v>2873</v>
      </c>
      <c r="E2944" s="554" t="s">
        <v>9526</v>
      </c>
      <c r="F2944" s="571">
        <v>3</v>
      </c>
      <c r="G2944" s="572">
        <v>4.01</v>
      </c>
      <c r="H2944" s="545">
        <v>12.03</v>
      </c>
      <c r="I2944" s="554" t="s">
        <v>9218</v>
      </c>
      <c r="J2944" s="554" t="s">
        <v>9219</v>
      </c>
      <c r="K2944" s="554" t="s">
        <v>9219</v>
      </c>
      <c r="L2944" s="537" t="s">
        <v>2354</v>
      </c>
    </row>
    <row r="2945" spans="1:12" x14ac:dyDescent="0.2">
      <c r="A2945" s="570" t="s">
        <v>220</v>
      </c>
      <c r="B2945" s="547" t="s">
        <v>5430</v>
      </c>
      <c r="C2945" s="554" t="s">
        <v>5867</v>
      </c>
      <c r="D2945" s="554" t="s">
        <v>7968</v>
      </c>
      <c r="E2945" s="554" t="s">
        <v>9526</v>
      </c>
      <c r="F2945" s="571">
        <v>5</v>
      </c>
      <c r="G2945" s="572">
        <v>3.4289999999999998</v>
      </c>
      <c r="H2945" s="545">
        <v>17.145</v>
      </c>
      <c r="I2945" s="554" t="s">
        <v>9218</v>
      </c>
      <c r="J2945" s="554" t="s">
        <v>9219</v>
      </c>
      <c r="K2945" s="554" t="s">
        <v>9219</v>
      </c>
      <c r="L2945" s="537" t="s">
        <v>2354</v>
      </c>
    </row>
    <row r="2946" spans="1:12" x14ac:dyDescent="0.2">
      <c r="A2946" s="570" t="s">
        <v>220</v>
      </c>
      <c r="B2946" s="547" t="s">
        <v>5430</v>
      </c>
      <c r="C2946" s="554" t="s">
        <v>5869</v>
      </c>
      <c r="D2946" s="554" t="s">
        <v>5870</v>
      </c>
      <c r="E2946" s="554" t="s">
        <v>9526</v>
      </c>
      <c r="F2946" s="571">
        <v>3</v>
      </c>
      <c r="G2946" s="572">
        <v>4.9489999999999998</v>
      </c>
      <c r="H2946" s="545">
        <v>14.847</v>
      </c>
      <c r="I2946" s="554" t="s">
        <v>9218</v>
      </c>
      <c r="J2946" s="554" t="s">
        <v>9219</v>
      </c>
      <c r="K2946" s="554" t="s">
        <v>9219</v>
      </c>
      <c r="L2946" s="537" t="s">
        <v>2354</v>
      </c>
    </row>
    <row r="2947" spans="1:12" x14ac:dyDescent="0.2">
      <c r="A2947" s="570" t="s">
        <v>220</v>
      </c>
      <c r="B2947" s="547" t="s">
        <v>5430</v>
      </c>
      <c r="C2947" s="554" t="s">
        <v>5871</v>
      </c>
      <c r="D2947" s="554" t="s">
        <v>7969</v>
      </c>
      <c r="E2947" s="554" t="s">
        <v>9526</v>
      </c>
      <c r="F2947" s="571">
        <v>2</v>
      </c>
      <c r="G2947" s="572">
        <v>4.3019999999999996</v>
      </c>
      <c r="H2947" s="545">
        <v>8.6039999999999992</v>
      </c>
      <c r="I2947" s="554" t="s">
        <v>9218</v>
      </c>
      <c r="J2947" s="554" t="s">
        <v>9219</v>
      </c>
      <c r="K2947" s="554" t="s">
        <v>9219</v>
      </c>
      <c r="L2947" s="537" t="s">
        <v>2354</v>
      </c>
    </row>
    <row r="2948" spans="1:12" x14ac:dyDescent="0.2">
      <c r="A2948" s="570" t="s">
        <v>220</v>
      </c>
      <c r="B2948" s="547" t="s">
        <v>5430</v>
      </c>
      <c r="C2948" s="554" t="s">
        <v>5873</v>
      </c>
      <c r="D2948" s="554" t="s">
        <v>7970</v>
      </c>
      <c r="E2948" s="554" t="s">
        <v>9526</v>
      </c>
      <c r="F2948" s="571">
        <v>8</v>
      </c>
      <c r="G2948" s="572">
        <v>30.215</v>
      </c>
      <c r="H2948" s="545">
        <v>241.72</v>
      </c>
      <c r="I2948" s="554" t="s">
        <v>9218</v>
      </c>
      <c r="J2948" s="554" t="s">
        <v>9219</v>
      </c>
      <c r="K2948" s="554" t="s">
        <v>9219</v>
      </c>
      <c r="L2948" s="537" t="s">
        <v>2354</v>
      </c>
    </row>
    <row r="2949" spans="1:12" x14ac:dyDescent="0.2">
      <c r="A2949" s="570" t="s">
        <v>220</v>
      </c>
      <c r="B2949" s="547" t="s">
        <v>5430</v>
      </c>
      <c r="C2949" s="554" t="s">
        <v>5875</v>
      </c>
      <c r="D2949" s="554" t="s">
        <v>7971</v>
      </c>
      <c r="E2949" s="554"/>
      <c r="F2949" s="571">
        <v>4</v>
      </c>
      <c r="G2949" s="572">
        <v>4.0819999999999999</v>
      </c>
      <c r="H2949" s="545">
        <v>16.327999999999999</v>
      </c>
      <c r="I2949" s="554" t="s">
        <v>9218</v>
      </c>
      <c r="J2949" s="554" t="s">
        <v>9219</v>
      </c>
      <c r="K2949" s="554" t="s">
        <v>9219</v>
      </c>
      <c r="L2949" s="537" t="s">
        <v>2354</v>
      </c>
    </row>
    <row r="2950" spans="1:12" x14ac:dyDescent="0.2">
      <c r="A2950" s="570" t="s">
        <v>220</v>
      </c>
      <c r="B2950" s="547" t="s">
        <v>5430</v>
      </c>
      <c r="C2950" s="554" t="s">
        <v>7972</v>
      </c>
      <c r="D2950" s="554" t="s">
        <v>7973</v>
      </c>
      <c r="E2950" s="554"/>
      <c r="F2950" s="571">
        <v>4</v>
      </c>
      <c r="G2950" s="572">
        <v>3.06</v>
      </c>
      <c r="H2950" s="545">
        <v>12.24</v>
      </c>
      <c r="I2950" s="554" t="s">
        <v>9218</v>
      </c>
      <c r="J2950" s="554" t="s">
        <v>9219</v>
      </c>
      <c r="K2950" s="554" t="s">
        <v>9219</v>
      </c>
      <c r="L2950" s="537" t="s">
        <v>2354</v>
      </c>
    </row>
    <row r="2951" spans="1:12" x14ac:dyDescent="0.2">
      <c r="A2951" s="570" t="s">
        <v>220</v>
      </c>
      <c r="B2951" s="547" t="s">
        <v>5430</v>
      </c>
      <c r="C2951" s="554" t="s">
        <v>5879</v>
      </c>
      <c r="D2951" s="554" t="s">
        <v>7974</v>
      </c>
      <c r="E2951" s="554"/>
      <c r="F2951" s="571">
        <v>2</v>
      </c>
      <c r="G2951" s="572">
        <v>3.47</v>
      </c>
      <c r="H2951" s="545">
        <v>6.94</v>
      </c>
      <c r="I2951" s="554" t="s">
        <v>9218</v>
      </c>
      <c r="J2951" s="554" t="s">
        <v>9219</v>
      </c>
      <c r="K2951" s="554" t="s">
        <v>9219</v>
      </c>
      <c r="L2951" s="537" t="s">
        <v>2354</v>
      </c>
    </row>
    <row r="2952" spans="1:12" x14ac:dyDescent="0.2">
      <c r="A2952" s="570" t="s">
        <v>220</v>
      </c>
      <c r="B2952" s="547" t="s">
        <v>5430</v>
      </c>
      <c r="C2952" s="554" t="s">
        <v>5881</v>
      </c>
      <c r="D2952" s="554" t="s">
        <v>7975</v>
      </c>
      <c r="E2952" s="554"/>
      <c r="F2952" s="571">
        <v>2</v>
      </c>
      <c r="G2952" s="572">
        <v>2.1429999999999998</v>
      </c>
      <c r="H2952" s="545">
        <v>4.2859999999999996</v>
      </c>
      <c r="I2952" s="554" t="s">
        <v>9218</v>
      </c>
      <c r="J2952" s="554" t="s">
        <v>9219</v>
      </c>
      <c r="K2952" s="554" t="s">
        <v>9219</v>
      </c>
      <c r="L2952" s="537" t="s">
        <v>2354</v>
      </c>
    </row>
    <row r="2953" spans="1:12" x14ac:dyDescent="0.2">
      <c r="A2953" s="570" t="s">
        <v>220</v>
      </c>
      <c r="B2953" s="547" t="s">
        <v>5430</v>
      </c>
      <c r="C2953" s="554" t="s">
        <v>5883</v>
      </c>
      <c r="D2953" s="554" t="s">
        <v>7976</v>
      </c>
      <c r="E2953" s="554"/>
      <c r="F2953" s="571">
        <v>3</v>
      </c>
      <c r="G2953" s="572">
        <v>117.227</v>
      </c>
      <c r="H2953" s="545">
        <v>351.68100000000004</v>
      </c>
      <c r="I2953" s="554" t="s">
        <v>9218</v>
      </c>
      <c r="J2953" s="554" t="s">
        <v>9219</v>
      </c>
      <c r="K2953" s="554" t="s">
        <v>9219</v>
      </c>
      <c r="L2953" s="537" t="s">
        <v>2354</v>
      </c>
    </row>
    <row r="2954" spans="1:12" x14ac:dyDescent="0.2">
      <c r="A2954" s="570" t="s">
        <v>220</v>
      </c>
      <c r="B2954" s="547" t="s">
        <v>5430</v>
      </c>
      <c r="C2954" s="554" t="s">
        <v>5885</v>
      </c>
      <c r="D2954" s="554" t="s">
        <v>7977</v>
      </c>
      <c r="E2954" s="554"/>
      <c r="F2954" s="571">
        <v>6</v>
      </c>
      <c r="G2954" s="572">
        <v>7.2</v>
      </c>
      <c r="H2954" s="545">
        <v>43.2</v>
      </c>
      <c r="I2954" s="554" t="s">
        <v>9218</v>
      </c>
      <c r="J2954" s="554" t="s">
        <v>9219</v>
      </c>
      <c r="K2954" s="554" t="s">
        <v>9219</v>
      </c>
      <c r="L2954" s="537" t="s">
        <v>2354</v>
      </c>
    </row>
    <row r="2955" spans="1:12" x14ac:dyDescent="0.2">
      <c r="A2955" s="570" t="s">
        <v>220</v>
      </c>
      <c r="B2955" s="547" t="s">
        <v>5430</v>
      </c>
      <c r="C2955" s="554" t="s">
        <v>5887</v>
      </c>
      <c r="D2955" s="554" t="s">
        <v>5888</v>
      </c>
      <c r="E2955" s="554"/>
      <c r="F2955" s="571">
        <v>2</v>
      </c>
      <c r="G2955" s="572">
        <v>3.2309999999999999</v>
      </c>
      <c r="H2955" s="545">
        <v>6.4619999999999997</v>
      </c>
      <c r="I2955" s="554" t="s">
        <v>9218</v>
      </c>
      <c r="J2955" s="554" t="s">
        <v>9219</v>
      </c>
      <c r="K2955" s="554" t="s">
        <v>9219</v>
      </c>
      <c r="L2955" s="537" t="s">
        <v>2354</v>
      </c>
    </row>
    <row r="2956" spans="1:12" x14ac:dyDescent="0.2">
      <c r="A2956" s="570" t="s">
        <v>220</v>
      </c>
      <c r="B2956" s="547" t="s">
        <v>5430</v>
      </c>
      <c r="C2956" s="554" t="s">
        <v>5889</v>
      </c>
      <c r="D2956" s="554" t="s">
        <v>7978</v>
      </c>
      <c r="E2956" s="554"/>
      <c r="F2956" s="571">
        <v>5</v>
      </c>
      <c r="G2956" s="572">
        <v>8.1649999999999991</v>
      </c>
      <c r="H2956" s="545">
        <v>40.824999999999996</v>
      </c>
      <c r="I2956" s="554" t="s">
        <v>9218</v>
      </c>
      <c r="J2956" s="554" t="s">
        <v>9219</v>
      </c>
      <c r="K2956" s="554" t="s">
        <v>9219</v>
      </c>
      <c r="L2956" s="537" t="s">
        <v>2354</v>
      </c>
    </row>
    <row r="2957" spans="1:12" x14ac:dyDescent="0.2">
      <c r="A2957" s="570" t="s">
        <v>220</v>
      </c>
      <c r="B2957" s="547" t="s">
        <v>5430</v>
      </c>
      <c r="C2957" s="554" t="s">
        <v>2896</v>
      </c>
      <c r="D2957" s="554" t="s">
        <v>2897</v>
      </c>
      <c r="E2957" s="554"/>
      <c r="F2957" s="571">
        <v>3</v>
      </c>
      <c r="G2957" s="572">
        <v>10.143000000000001</v>
      </c>
      <c r="H2957" s="545">
        <v>30.429000000000002</v>
      </c>
      <c r="I2957" s="554" t="s">
        <v>9218</v>
      </c>
      <c r="J2957" s="554" t="s">
        <v>9219</v>
      </c>
      <c r="K2957" s="554" t="s">
        <v>9219</v>
      </c>
      <c r="L2957" s="537" t="s">
        <v>2354</v>
      </c>
    </row>
    <row r="2958" spans="1:12" x14ac:dyDescent="0.2">
      <c r="A2958" s="570" t="s">
        <v>220</v>
      </c>
      <c r="B2958" s="547" t="s">
        <v>5430</v>
      </c>
      <c r="C2958" s="554" t="s">
        <v>2900</v>
      </c>
      <c r="D2958" s="554" t="s">
        <v>2901</v>
      </c>
      <c r="E2958" s="554"/>
      <c r="F2958" s="571">
        <v>4</v>
      </c>
      <c r="G2958" s="572">
        <v>10.143000000000001</v>
      </c>
      <c r="H2958" s="545">
        <v>40.572000000000003</v>
      </c>
      <c r="I2958" s="554" t="s">
        <v>9218</v>
      </c>
      <c r="J2958" s="554" t="s">
        <v>9219</v>
      </c>
      <c r="K2958" s="554" t="s">
        <v>9219</v>
      </c>
      <c r="L2958" s="537" t="s">
        <v>2354</v>
      </c>
    </row>
    <row r="2959" spans="1:12" x14ac:dyDescent="0.2">
      <c r="A2959" s="570" t="s">
        <v>220</v>
      </c>
      <c r="B2959" s="547" t="s">
        <v>5430</v>
      </c>
      <c r="C2959" s="554" t="s">
        <v>5891</v>
      </c>
      <c r="D2959" s="554" t="s">
        <v>5892</v>
      </c>
      <c r="E2959" s="554"/>
      <c r="F2959" s="571">
        <v>5</v>
      </c>
      <c r="G2959" s="572">
        <v>11.933999999999999</v>
      </c>
      <c r="H2959" s="545">
        <v>59.669999999999995</v>
      </c>
      <c r="I2959" s="554" t="s">
        <v>9218</v>
      </c>
      <c r="J2959" s="554" t="s">
        <v>9219</v>
      </c>
      <c r="K2959" s="554" t="s">
        <v>9219</v>
      </c>
      <c r="L2959" s="537" t="s">
        <v>2354</v>
      </c>
    </row>
    <row r="2960" spans="1:12" x14ac:dyDescent="0.2">
      <c r="A2960" s="570" t="s">
        <v>220</v>
      </c>
      <c r="B2960" s="547" t="s">
        <v>5430</v>
      </c>
      <c r="C2960" s="554" t="s">
        <v>5893</v>
      </c>
      <c r="D2960" s="554" t="s">
        <v>7979</v>
      </c>
      <c r="E2960" s="554"/>
      <c r="F2960" s="571">
        <v>7</v>
      </c>
      <c r="G2960" s="572">
        <v>22.193000000000001</v>
      </c>
      <c r="H2960" s="545">
        <v>155.351</v>
      </c>
      <c r="I2960" s="554" t="s">
        <v>9218</v>
      </c>
      <c r="J2960" s="554" t="s">
        <v>9219</v>
      </c>
      <c r="K2960" s="554" t="s">
        <v>9219</v>
      </c>
      <c r="L2960" s="537" t="s">
        <v>2354</v>
      </c>
    </row>
    <row r="2961" spans="1:12" x14ac:dyDescent="0.2">
      <c r="A2961" s="570" t="s">
        <v>220</v>
      </c>
      <c r="B2961" s="547" t="s">
        <v>5430</v>
      </c>
      <c r="C2961" s="554" t="s">
        <v>2906</v>
      </c>
      <c r="D2961" s="554" t="s">
        <v>2907</v>
      </c>
      <c r="E2961" s="554"/>
      <c r="F2961" s="571">
        <v>6</v>
      </c>
      <c r="G2961" s="572">
        <v>8.0120000000000005</v>
      </c>
      <c r="H2961" s="545">
        <v>48.072000000000003</v>
      </c>
      <c r="I2961" s="554" t="s">
        <v>9218</v>
      </c>
      <c r="J2961" s="554" t="s">
        <v>9219</v>
      </c>
      <c r="K2961" s="554" t="s">
        <v>9219</v>
      </c>
      <c r="L2961" s="537" t="s">
        <v>2354</v>
      </c>
    </row>
    <row r="2962" spans="1:12" x14ac:dyDescent="0.2">
      <c r="A2962" s="570" t="s">
        <v>220</v>
      </c>
      <c r="B2962" s="547" t="s">
        <v>5430</v>
      </c>
      <c r="C2962" s="554" t="s">
        <v>5895</v>
      </c>
      <c r="D2962" s="554" t="s">
        <v>5896</v>
      </c>
      <c r="E2962" s="554"/>
      <c r="F2962" s="571">
        <v>5</v>
      </c>
      <c r="G2962" s="572">
        <v>4.2080000000000002</v>
      </c>
      <c r="H2962" s="545">
        <v>21.04</v>
      </c>
      <c r="I2962" s="554" t="s">
        <v>9218</v>
      </c>
      <c r="J2962" s="554" t="s">
        <v>9219</v>
      </c>
      <c r="K2962" s="554" t="s">
        <v>9219</v>
      </c>
      <c r="L2962" s="537" t="s">
        <v>2354</v>
      </c>
    </row>
    <row r="2963" spans="1:12" x14ac:dyDescent="0.2">
      <c r="A2963" s="570" t="s">
        <v>220</v>
      </c>
      <c r="B2963" s="547" t="s">
        <v>5430</v>
      </c>
      <c r="C2963" s="554" t="s">
        <v>5897</v>
      </c>
      <c r="D2963" s="554" t="s">
        <v>5898</v>
      </c>
      <c r="E2963" s="554"/>
      <c r="F2963" s="571">
        <v>6</v>
      </c>
      <c r="G2963" s="572">
        <v>10.143000000000001</v>
      </c>
      <c r="H2963" s="545">
        <v>60.858000000000004</v>
      </c>
      <c r="I2963" s="554" t="s">
        <v>9218</v>
      </c>
      <c r="J2963" s="554" t="s">
        <v>9219</v>
      </c>
      <c r="K2963" s="554" t="s">
        <v>9219</v>
      </c>
      <c r="L2963" s="537" t="s">
        <v>2354</v>
      </c>
    </row>
    <row r="2964" spans="1:12" x14ac:dyDescent="0.2">
      <c r="A2964" s="570" t="s">
        <v>220</v>
      </c>
      <c r="B2964" s="547" t="s">
        <v>5430</v>
      </c>
      <c r="C2964" s="554" t="s">
        <v>5899</v>
      </c>
      <c r="D2964" s="554" t="s">
        <v>5900</v>
      </c>
      <c r="E2964" s="554"/>
      <c r="F2964" s="571">
        <v>5</v>
      </c>
      <c r="G2964" s="572">
        <v>6.75</v>
      </c>
      <c r="H2964" s="545">
        <v>33.75</v>
      </c>
      <c r="I2964" s="554" t="s">
        <v>9218</v>
      </c>
      <c r="J2964" s="554" t="s">
        <v>9219</v>
      </c>
      <c r="K2964" s="554" t="s">
        <v>9219</v>
      </c>
      <c r="L2964" s="537" t="s">
        <v>2354</v>
      </c>
    </row>
    <row r="2965" spans="1:12" x14ac:dyDescent="0.2">
      <c r="A2965" s="570" t="s">
        <v>220</v>
      </c>
      <c r="B2965" s="547" t="s">
        <v>5430</v>
      </c>
      <c r="C2965" s="554" t="s">
        <v>7980</v>
      </c>
      <c r="D2965" s="554" t="s">
        <v>7981</v>
      </c>
      <c r="E2965" s="554"/>
      <c r="F2965" s="571">
        <v>3</v>
      </c>
      <c r="G2965" s="572">
        <v>15.587999999999999</v>
      </c>
      <c r="H2965" s="545">
        <v>46.763999999999996</v>
      </c>
      <c r="I2965" s="554" t="s">
        <v>9218</v>
      </c>
      <c r="J2965" s="554" t="s">
        <v>9219</v>
      </c>
      <c r="K2965" s="554" t="s">
        <v>9219</v>
      </c>
      <c r="L2965" s="537" t="s">
        <v>2354</v>
      </c>
    </row>
    <row r="2966" spans="1:12" x14ac:dyDescent="0.2">
      <c r="A2966" s="570" t="s">
        <v>220</v>
      </c>
      <c r="B2966" s="547" t="s">
        <v>5430</v>
      </c>
      <c r="C2966" s="554" t="s">
        <v>5903</v>
      </c>
      <c r="D2966" s="554" t="s">
        <v>5904</v>
      </c>
      <c r="E2966" s="554"/>
      <c r="F2966" s="571">
        <v>22</v>
      </c>
      <c r="G2966" s="572">
        <v>10.143000000000001</v>
      </c>
      <c r="H2966" s="545">
        <v>223.14600000000002</v>
      </c>
      <c r="I2966" s="554" t="s">
        <v>9218</v>
      </c>
      <c r="J2966" s="554" t="s">
        <v>9219</v>
      </c>
      <c r="K2966" s="554" t="s">
        <v>9219</v>
      </c>
      <c r="L2966" s="537" t="s">
        <v>2354</v>
      </c>
    </row>
    <row r="2967" spans="1:12" x14ac:dyDescent="0.2">
      <c r="A2967" s="570" t="s">
        <v>220</v>
      </c>
      <c r="B2967" s="547" t="s">
        <v>5430</v>
      </c>
      <c r="C2967" s="554" t="s">
        <v>2926</v>
      </c>
      <c r="D2967" s="554" t="s">
        <v>2927</v>
      </c>
      <c r="E2967" s="554"/>
      <c r="F2967" s="571">
        <v>1</v>
      </c>
      <c r="G2967" s="572">
        <v>7.5839999999999996</v>
      </c>
      <c r="H2967" s="545">
        <v>7.5839999999999996</v>
      </c>
      <c r="I2967" s="554" t="s">
        <v>9218</v>
      </c>
      <c r="J2967" s="554" t="s">
        <v>9219</v>
      </c>
      <c r="K2967" s="554" t="s">
        <v>9219</v>
      </c>
      <c r="L2967" s="537" t="s">
        <v>2354</v>
      </c>
    </row>
    <row r="2968" spans="1:12" x14ac:dyDescent="0.2">
      <c r="A2968" s="570" t="s">
        <v>220</v>
      </c>
      <c r="B2968" s="547" t="s">
        <v>5430</v>
      </c>
      <c r="C2968" s="554" t="s">
        <v>5905</v>
      </c>
      <c r="D2968" s="554" t="s">
        <v>5906</v>
      </c>
      <c r="E2968" s="554"/>
      <c r="F2968" s="571">
        <v>5</v>
      </c>
      <c r="G2968" s="572">
        <v>5.2350000000000003</v>
      </c>
      <c r="H2968" s="545">
        <v>26.175000000000001</v>
      </c>
      <c r="I2968" s="554" t="s">
        <v>9218</v>
      </c>
      <c r="J2968" s="554" t="s">
        <v>9219</v>
      </c>
      <c r="K2968" s="554" t="s">
        <v>9219</v>
      </c>
      <c r="L2968" s="537" t="s">
        <v>2354</v>
      </c>
    </row>
    <row r="2969" spans="1:12" x14ac:dyDescent="0.2">
      <c r="A2969" s="570" t="s">
        <v>220</v>
      </c>
      <c r="B2969" s="547" t="s">
        <v>5430</v>
      </c>
      <c r="C2969" s="554" t="s">
        <v>2934</v>
      </c>
      <c r="D2969" s="554" t="s">
        <v>2935</v>
      </c>
      <c r="E2969" s="554"/>
      <c r="F2969" s="571">
        <v>2</v>
      </c>
      <c r="G2969" s="572">
        <v>25.233000000000001</v>
      </c>
      <c r="H2969" s="545">
        <v>50.466000000000001</v>
      </c>
      <c r="I2969" s="554" t="s">
        <v>9218</v>
      </c>
      <c r="J2969" s="554" t="s">
        <v>9219</v>
      </c>
      <c r="K2969" s="554" t="s">
        <v>9219</v>
      </c>
      <c r="L2969" s="537" t="s">
        <v>2354</v>
      </c>
    </row>
    <row r="2970" spans="1:12" x14ac:dyDescent="0.2">
      <c r="A2970" s="570" t="s">
        <v>220</v>
      </c>
      <c r="B2970" s="547" t="s">
        <v>5430</v>
      </c>
      <c r="C2970" s="554" t="s">
        <v>5907</v>
      </c>
      <c r="D2970" s="554" t="s">
        <v>5908</v>
      </c>
      <c r="E2970" s="554"/>
      <c r="F2970" s="571">
        <v>3</v>
      </c>
      <c r="G2970" s="572">
        <v>10.143000000000001</v>
      </c>
      <c r="H2970" s="545">
        <v>30.429000000000002</v>
      </c>
      <c r="I2970" s="554" t="s">
        <v>9218</v>
      </c>
      <c r="J2970" s="554" t="s">
        <v>9219</v>
      </c>
      <c r="K2970" s="554" t="s">
        <v>9219</v>
      </c>
      <c r="L2970" s="537" t="s">
        <v>2354</v>
      </c>
    </row>
    <row r="2971" spans="1:12" x14ac:dyDescent="0.2">
      <c r="A2971" s="570" t="s">
        <v>220</v>
      </c>
      <c r="B2971" s="547" t="s">
        <v>5430</v>
      </c>
      <c r="C2971" s="554" t="s">
        <v>5909</v>
      </c>
      <c r="D2971" s="554" t="s">
        <v>5910</v>
      </c>
      <c r="E2971" s="554"/>
      <c r="F2971" s="571">
        <v>2</v>
      </c>
      <c r="G2971" s="572">
        <v>10.143000000000001</v>
      </c>
      <c r="H2971" s="545">
        <v>20.286000000000001</v>
      </c>
      <c r="I2971" s="554" t="s">
        <v>9218</v>
      </c>
      <c r="J2971" s="554" t="s">
        <v>9219</v>
      </c>
      <c r="K2971" s="554" t="s">
        <v>9219</v>
      </c>
      <c r="L2971" s="537" t="s">
        <v>2354</v>
      </c>
    </row>
    <row r="2972" spans="1:12" x14ac:dyDescent="0.2">
      <c r="A2972" s="570" t="s">
        <v>220</v>
      </c>
      <c r="B2972" s="547" t="s">
        <v>5430</v>
      </c>
      <c r="C2972" s="554" t="s">
        <v>5911</v>
      </c>
      <c r="D2972" s="554" t="s">
        <v>7982</v>
      </c>
      <c r="E2972" s="554"/>
      <c r="F2972" s="571">
        <v>4</v>
      </c>
      <c r="G2972" s="572">
        <v>43.07</v>
      </c>
      <c r="H2972" s="545">
        <v>172.28</v>
      </c>
      <c r="I2972" s="554" t="s">
        <v>9218</v>
      </c>
      <c r="J2972" s="554" t="s">
        <v>9219</v>
      </c>
      <c r="K2972" s="554" t="s">
        <v>9219</v>
      </c>
      <c r="L2972" s="537" t="s">
        <v>2354</v>
      </c>
    </row>
    <row r="2973" spans="1:12" x14ac:dyDescent="0.2">
      <c r="A2973" s="570" t="s">
        <v>220</v>
      </c>
      <c r="B2973" s="547" t="s">
        <v>5430</v>
      </c>
      <c r="C2973" s="554" t="s">
        <v>5913</v>
      </c>
      <c r="D2973" s="554" t="s">
        <v>7983</v>
      </c>
      <c r="E2973" s="554"/>
      <c r="F2973" s="571">
        <v>10</v>
      </c>
      <c r="G2973" s="572">
        <v>26.96</v>
      </c>
      <c r="H2973" s="545">
        <v>269.60000000000002</v>
      </c>
      <c r="I2973" s="554" t="s">
        <v>9218</v>
      </c>
      <c r="J2973" s="554" t="s">
        <v>9219</v>
      </c>
      <c r="K2973" s="554" t="s">
        <v>9219</v>
      </c>
      <c r="L2973" s="537" t="s">
        <v>2354</v>
      </c>
    </row>
    <row r="2974" spans="1:12" x14ac:dyDescent="0.2">
      <c r="A2974" s="570" t="s">
        <v>220</v>
      </c>
      <c r="B2974" s="547" t="s">
        <v>5430</v>
      </c>
      <c r="C2974" s="554" t="s">
        <v>5915</v>
      </c>
      <c r="D2974" s="554" t="s">
        <v>7984</v>
      </c>
      <c r="E2974" s="554" t="s">
        <v>9526</v>
      </c>
      <c r="F2974" s="571">
        <v>4</v>
      </c>
      <c r="G2974" s="572">
        <v>5.7370000000000001</v>
      </c>
      <c r="H2974" s="545">
        <v>22.948</v>
      </c>
      <c r="I2974" s="554" t="s">
        <v>9218</v>
      </c>
      <c r="J2974" s="554" t="s">
        <v>9219</v>
      </c>
      <c r="K2974" s="554" t="s">
        <v>9219</v>
      </c>
      <c r="L2974" s="537" t="s">
        <v>2354</v>
      </c>
    </row>
    <row r="2975" spans="1:12" x14ac:dyDescent="0.2">
      <c r="A2975" s="570" t="s">
        <v>220</v>
      </c>
      <c r="B2975" s="547" t="s">
        <v>5430</v>
      </c>
      <c r="C2975" s="554" t="s">
        <v>5917</v>
      </c>
      <c r="D2975" s="554" t="s">
        <v>7985</v>
      </c>
      <c r="E2975" s="554"/>
      <c r="F2975" s="571">
        <v>1</v>
      </c>
      <c r="G2975" s="572">
        <v>5.58</v>
      </c>
      <c r="H2975" s="545">
        <v>5.58</v>
      </c>
      <c r="I2975" s="554" t="s">
        <v>9218</v>
      </c>
      <c r="J2975" s="554" t="s">
        <v>9219</v>
      </c>
      <c r="K2975" s="554" t="s">
        <v>9219</v>
      </c>
      <c r="L2975" s="537" t="s">
        <v>2354</v>
      </c>
    </row>
    <row r="2976" spans="1:12" x14ac:dyDescent="0.2">
      <c r="A2976" s="570" t="s">
        <v>220</v>
      </c>
      <c r="B2976" s="547" t="s">
        <v>5430</v>
      </c>
      <c r="C2976" s="554" t="s">
        <v>5919</v>
      </c>
      <c r="D2976" s="554" t="s">
        <v>7986</v>
      </c>
      <c r="E2976" s="554"/>
      <c r="F2976" s="571">
        <v>3</v>
      </c>
      <c r="G2976" s="572">
        <v>9.57</v>
      </c>
      <c r="H2976" s="545">
        <v>28.71</v>
      </c>
      <c r="I2976" s="554" t="s">
        <v>9218</v>
      </c>
      <c r="J2976" s="554" t="s">
        <v>9219</v>
      </c>
      <c r="K2976" s="554" t="s">
        <v>9219</v>
      </c>
      <c r="L2976" s="537" t="s">
        <v>2354</v>
      </c>
    </row>
    <row r="2977" spans="1:12" x14ac:dyDescent="0.2">
      <c r="A2977" s="570" t="s">
        <v>220</v>
      </c>
      <c r="B2977" s="547" t="s">
        <v>5430</v>
      </c>
      <c r="C2977" s="554" t="s">
        <v>5921</v>
      </c>
      <c r="D2977" s="554" t="s">
        <v>7987</v>
      </c>
      <c r="E2977" s="554"/>
      <c r="F2977" s="571">
        <v>1</v>
      </c>
      <c r="G2977" s="572">
        <v>10.917999999999999</v>
      </c>
      <c r="H2977" s="545">
        <v>10.917999999999999</v>
      </c>
      <c r="I2977" s="554" t="s">
        <v>9218</v>
      </c>
      <c r="J2977" s="554" t="s">
        <v>9219</v>
      </c>
      <c r="K2977" s="554" t="s">
        <v>9219</v>
      </c>
      <c r="L2977" s="537" t="s">
        <v>2354</v>
      </c>
    </row>
    <row r="2978" spans="1:12" x14ac:dyDescent="0.2">
      <c r="A2978" s="570" t="s">
        <v>220</v>
      </c>
      <c r="B2978" s="547" t="s">
        <v>5430</v>
      </c>
      <c r="C2978" s="554" t="s">
        <v>5923</v>
      </c>
      <c r="D2978" s="554" t="s">
        <v>7988</v>
      </c>
      <c r="E2978" s="554" t="s">
        <v>9526</v>
      </c>
      <c r="F2978" s="571">
        <v>4</v>
      </c>
      <c r="G2978" s="572">
        <v>4.1040000000000001</v>
      </c>
      <c r="H2978" s="545">
        <v>16.416</v>
      </c>
      <c r="I2978" s="554" t="s">
        <v>9218</v>
      </c>
      <c r="J2978" s="554" t="s">
        <v>9219</v>
      </c>
      <c r="K2978" s="554" t="s">
        <v>9219</v>
      </c>
      <c r="L2978" s="537" t="s">
        <v>2354</v>
      </c>
    </row>
    <row r="2979" spans="1:12" x14ac:dyDescent="0.2">
      <c r="A2979" s="570" t="s">
        <v>220</v>
      </c>
      <c r="B2979" s="547" t="s">
        <v>5430</v>
      </c>
      <c r="C2979" s="554" t="s">
        <v>5925</v>
      </c>
      <c r="D2979" s="554" t="s">
        <v>7989</v>
      </c>
      <c r="E2979" s="554" t="s">
        <v>9526</v>
      </c>
      <c r="F2979" s="571">
        <v>2</v>
      </c>
      <c r="G2979" s="572">
        <v>6.9989999999999997</v>
      </c>
      <c r="H2979" s="545">
        <v>13.997999999999999</v>
      </c>
      <c r="I2979" s="554" t="s">
        <v>9218</v>
      </c>
      <c r="J2979" s="554" t="s">
        <v>9219</v>
      </c>
      <c r="K2979" s="554" t="s">
        <v>9219</v>
      </c>
      <c r="L2979" s="537" t="s">
        <v>2354</v>
      </c>
    </row>
    <row r="2980" spans="1:12" x14ac:dyDescent="0.2">
      <c r="A2980" s="570" t="s">
        <v>220</v>
      </c>
      <c r="B2980" s="547" t="s">
        <v>5430</v>
      </c>
      <c r="C2980" s="554" t="s">
        <v>5927</v>
      </c>
      <c r="D2980" s="554" t="s">
        <v>7990</v>
      </c>
      <c r="E2980" s="554"/>
      <c r="F2980" s="571">
        <v>1</v>
      </c>
      <c r="G2980" s="572">
        <v>44.609000000000002</v>
      </c>
      <c r="H2980" s="545">
        <v>44.609000000000002</v>
      </c>
      <c r="I2980" s="554" t="s">
        <v>9218</v>
      </c>
      <c r="J2980" s="554" t="s">
        <v>9219</v>
      </c>
      <c r="K2980" s="554" t="s">
        <v>9219</v>
      </c>
      <c r="L2980" s="537" t="s">
        <v>2354</v>
      </c>
    </row>
    <row r="2981" spans="1:12" x14ac:dyDescent="0.2">
      <c r="A2981" s="570" t="s">
        <v>220</v>
      </c>
      <c r="B2981" s="547" t="s">
        <v>5430</v>
      </c>
      <c r="C2981" s="554" t="s">
        <v>5929</v>
      </c>
      <c r="D2981" s="554" t="s">
        <v>5930</v>
      </c>
      <c r="E2981" s="554"/>
      <c r="F2981" s="571">
        <v>4</v>
      </c>
      <c r="G2981" s="572">
        <v>3.7530000000000001</v>
      </c>
      <c r="H2981" s="545">
        <v>15.012</v>
      </c>
      <c r="I2981" s="554" t="s">
        <v>9218</v>
      </c>
      <c r="J2981" s="554" t="s">
        <v>9219</v>
      </c>
      <c r="K2981" s="554" t="s">
        <v>9219</v>
      </c>
      <c r="L2981" s="537" t="s">
        <v>2354</v>
      </c>
    </row>
    <row r="2982" spans="1:12" x14ac:dyDescent="0.2">
      <c r="A2982" s="570" t="s">
        <v>220</v>
      </c>
      <c r="B2982" s="547" t="s">
        <v>5430</v>
      </c>
      <c r="C2982" s="554" t="s">
        <v>5931</v>
      </c>
      <c r="D2982" s="554" t="s">
        <v>7991</v>
      </c>
      <c r="E2982" s="554"/>
      <c r="F2982" s="571">
        <v>5</v>
      </c>
      <c r="G2982" s="572">
        <v>13.048</v>
      </c>
      <c r="H2982" s="545">
        <v>65.239999999999995</v>
      </c>
      <c r="I2982" s="554" t="s">
        <v>9218</v>
      </c>
      <c r="J2982" s="554" t="s">
        <v>9219</v>
      </c>
      <c r="K2982" s="554" t="s">
        <v>9219</v>
      </c>
      <c r="L2982" s="537" t="s">
        <v>2354</v>
      </c>
    </row>
    <row r="2983" spans="1:12" x14ac:dyDescent="0.2">
      <c r="A2983" s="570" t="s">
        <v>220</v>
      </c>
      <c r="B2983" s="547" t="s">
        <v>5430</v>
      </c>
      <c r="C2983" s="554" t="s">
        <v>5933</v>
      </c>
      <c r="D2983" s="554" t="s">
        <v>7992</v>
      </c>
      <c r="E2983" s="554"/>
      <c r="F2983" s="571">
        <v>5</v>
      </c>
      <c r="G2983" s="572">
        <v>10.901999999999999</v>
      </c>
      <c r="H2983" s="545">
        <v>54.51</v>
      </c>
      <c r="I2983" s="554" t="s">
        <v>9218</v>
      </c>
      <c r="J2983" s="554" t="s">
        <v>9219</v>
      </c>
      <c r="K2983" s="554" t="s">
        <v>9219</v>
      </c>
      <c r="L2983" s="537" t="s">
        <v>2354</v>
      </c>
    </row>
    <row r="2984" spans="1:12" x14ac:dyDescent="0.2">
      <c r="A2984" s="570" t="s">
        <v>220</v>
      </c>
      <c r="B2984" s="547" t="s">
        <v>5430</v>
      </c>
      <c r="C2984" s="554" t="s">
        <v>5935</v>
      </c>
      <c r="D2984" s="554" t="s">
        <v>7993</v>
      </c>
      <c r="E2984" s="554"/>
      <c r="F2984" s="571">
        <v>3</v>
      </c>
      <c r="G2984" s="572">
        <v>8.2460000000000004</v>
      </c>
      <c r="H2984" s="545">
        <v>24.738</v>
      </c>
      <c r="I2984" s="554" t="s">
        <v>9218</v>
      </c>
      <c r="J2984" s="554" t="s">
        <v>9219</v>
      </c>
      <c r="K2984" s="554" t="s">
        <v>9219</v>
      </c>
      <c r="L2984" s="537" t="s">
        <v>2354</v>
      </c>
    </row>
    <row r="2985" spans="1:12" x14ac:dyDescent="0.2">
      <c r="A2985" s="570" t="s">
        <v>220</v>
      </c>
      <c r="B2985" s="547" t="s">
        <v>5430</v>
      </c>
      <c r="C2985" s="554" t="s">
        <v>5937</v>
      </c>
      <c r="D2985" s="554" t="s">
        <v>7994</v>
      </c>
      <c r="E2985" s="554"/>
      <c r="F2985" s="571">
        <v>1</v>
      </c>
      <c r="G2985" s="572">
        <v>4.05</v>
      </c>
      <c r="H2985" s="545">
        <v>4.05</v>
      </c>
      <c r="I2985" s="554" t="s">
        <v>9218</v>
      </c>
      <c r="J2985" s="554" t="s">
        <v>9219</v>
      </c>
      <c r="K2985" s="554" t="s">
        <v>9219</v>
      </c>
      <c r="L2985" s="537" t="s">
        <v>2354</v>
      </c>
    </row>
    <row r="2986" spans="1:12" x14ac:dyDescent="0.2">
      <c r="A2986" s="570" t="s">
        <v>220</v>
      </c>
      <c r="B2986" s="547" t="s">
        <v>5430</v>
      </c>
      <c r="C2986" s="554" t="s">
        <v>5939</v>
      </c>
      <c r="D2986" s="554" t="s">
        <v>7995</v>
      </c>
      <c r="E2986" s="554"/>
      <c r="F2986" s="571">
        <v>1</v>
      </c>
      <c r="G2986" s="572">
        <v>20.411999999999999</v>
      </c>
      <c r="H2986" s="545">
        <v>20.411999999999999</v>
      </c>
      <c r="I2986" s="554" t="s">
        <v>9218</v>
      </c>
      <c r="J2986" s="554" t="s">
        <v>9219</v>
      </c>
      <c r="K2986" s="554" t="s">
        <v>9219</v>
      </c>
      <c r="L2986" s="537" t="s">
        <v>2354</v>
      </c>
    </row>
    <row r="2987" spans="1:12" x14ac:dyDescent="0.2">
      <c r="A2987" s="570" t="s">
        <v>220</v>
      </c>
      <c r="B2987" s="547" t="s">
        <v>5430</v>
      </c>
      <c r="C2987" s="554" t="s">
        <v>5941</v>
      </c>
      <c r="D2987" s="554" t="s">
        <v>7996</v>
      </c>
      <c r="E2987" s="554"/>
      <c r="F2987" s="571">
        <v>6</v>
      </c>
      <c r="G2987" s="572">
        <v>3.927</v>
      </c>
      <c r="H2987" s="545">
        <v>23.562000000000001</v>
      </c>
      <c r="I2987" s="554" t="s">
        <v>9218</v>
      </c>
      <c r="J2987" s="554" t="s">
        <v>9219</v>
      </c>
      <c r="K2987" s="554" t="s">
        <v>9219</v>
      </c>
      <c r="L2987" s="537" t="s">
        <v>2354</v>
      </c>
    </row>
    <row r="2988" spans="1:12" x14ac:dyDescent="0.2">
      <c r="A2988" s="570" t="s">
        <v>220</v>
      </c>
      <c r="B2988" s="547" t="s">
        <v>5430</v>
      </c>
      <c r="C2988" s="554" t="s">
        <v>5943</v>
      </c>
      <c r="D2988" s="554" t="s">
        <v>7997</v>
      </c>
      <c r="E2988" s="554"/>
      <c r="F2988" s="571">
        <v>12</v>
      </c>
      <c r="G2988" s="572">
        <v>15.744</v>
      </c>
      <c r="H2988" s="545">
        <v>188.928</v>
      </c>
      <c r="I2988" s="554" t="s">
        <v>9218</v>
      </c>
      <c r="J2988" s="554" t="s">
        <v>9219</v>
      </c>
      <c r="K2988" s="554" t="s">
        <v>9219</v>
      </c>
      <c r="L2988" s="537" t="s">
        <v>2354</v>
      </c>
    </row>
    <row r="2989" spans="1:12" x14ac:dyDescent="0.2">
      <c r="A2989" s="570" t="s">
        <v>220</v>
      </c>
      <c r="B2989" s="547" t="s">
        <v>5430</v>
      </c>
      <c r="C2989" s="554" t="s">
        <v>5945</v>
      </c>
      <c r="D2989" s="554" t="s">
        <v>5946</v>
      </c>
      <c r="E2989" s="554"/>
      <c r="F2989" s="571">
        <v>6</v>
      </c>
      <c r="G2989" s="572">
        <v>31.013999999999999</v>
      </c>
      <c r="H2989" s="545">
        <v>186.084</v>
      </c>
      <c r="I2989" s="554" t="s">
        <v>9218</v>
      </c>
      <c r="J2989" s="554" t="s">
        <v>9219</v>
      </c>
      <c r="K2989" s="554" t="s">
        <v>9219</v>
      </c>
      <c r="L2989" s="537" t="s">
        <v>2354</v>
      </c>
    </row>
    <row r="2990" spans="1:12" x14ac:dyDescent="0.2">
      <c r="A2990" s="570" t="s">
        <v>220</v>
      </c>
      <c r="B2990" s="547" t="s">
        <v>5430</v>
      </c>
      <c r="C2990" s="554" t="s">
        <v>2956</v>
      </c>
      <c r="D2990" s="554" t="s">
        <v>2957</v>
      </c>
      <c r="E2990" s="554"/>
      <c r="F2990" s="571">
        <v>1</v>
      </c>
      <c r="G2990" s="572">
        <v>32.926000000000002</v>
      </c>
      <c r="H2990" s="545">
        <v>32.926000000000002</v>
      </c>
      <c r="I2990" s="554" t="s">
        <v>9218</v>
      </c>
      <c r="J2990" s="554" t="s">
        <v>9219</v>
      </c>
      <c r="K2990" s="554" t="s">
        <v>9219</v>
      </c>
      <c r="L2990" s="537" t="s">
        <v>2354</v>
      </c>
    </row>
    <row r="2991" spans="1:12" x14ac:dyDescent="0.2">
      <c r="A2991" s="570" t="s">
        <v>220</v>
      </c>
      <c r="B2991" s="547" t="s">
        <v>5430</v>
      </c>
      <c r="C2991" s="554" t="s">
        <v>5947</v>
      </c>
      <c r="D2991" s="554" t="s">
        <v>7998</v>
      </c>
      <c r="E2991" s="554"/>
      <c r="F2991" s="571">
        <v>2</v>
      </c>
      <c r="G2991" s="572">
        <v>59.164999999999999</v>
      </c>
      <c r="H2991" s="545">
        <v>118.33</v>
      </c>
      <c r="I2991" s="554" t="s">
        <v>9218</v>
      </c>
      <c r="J2991" s="554" t="s">
        <v>9219</v>
      </c>
      <c r="K2991" s="554" t="s">
        <v>9219</v>
      </c>
      <c r="L2991" s="537" t="s">
        <v>2354</v>
      </c>
    </row>
    <row r="2992" spans="1:12" x14ac:dyDescent="0.2">
      <c r="A2992" s="570" t="s">
        <v>220</v>
      </c>
      <c r="B2992" s="547" t="s">
        <v>5430</v>
      </c>
      <c r="C2992" s="554" t="s">
        <v>5949</v>
      </c>
      <c r="D2992" s="554" t="s">
        <v>7999</v>
      </c>
      <c r="E2992" s="554"/>
      <c r="F2992" s="571">
        <v>8</v>
      </c>
      <c r="G2992" s="572">
        <v>19.135999999999999</v>
      </c>
      <c r="H2992" s="545">
        <v>153.08799999999999</v>
      </c>
      <c r="I2992" s="554" t="s">
        <v>9218</v>
      </c>
      <c r="J2992" s="554" t="s">
        <v>9219</v>
      </c>
      <c r="K2992" s="554" t="s">
        <v>9219</v>
      </c>
      <c r="L2992" s="537" t="s">
        <v>2354</v>
      </c>
    </row>
    <row r="2993" spans="1:12" x14ac:dyDescent="0.2">
      <c r="A2993" s="570" t="s">
        <v>220</v>
      </c>
      <c r="B2993" s="547" t="s">
        <v>5430</v>
      </c>
      <c r="C2993" s="554" t="s">
        <v>5951</v>
      </c>
      <c r="D2993" s="554" t="s">
        <v>5952</v>
      </c>
      <c r="E2993" s="554"/>
      <c r="F2993" s="571">
        <v>1</v>
      </c>
      <c r="G2993" s="572">
        <v>13.86</v>
      </c>
      <c r="H2993" s="545">
        <v>13.86</v>
      </c>
      <c r="I2993" s="554" t="s">
        <v>9218</v>
      </c>
      <c r="J2993" s="554" t="s">
        <v>9219</v>
      </c>
      <c r="K2993" s="554" t="s">
        <v>9219</v>
      </c>
      <c r="L2993" s="537" t="s">
        <v>2354</v>
      </c>
    </row>
    <row r="2994" spans="1:12" x14ac:dyDescent="0.2">
      <c r="A2994" s="570" t="s">
        <v>220</v>
      </c>
      <c r="B2994" s="547" t="s">
        <v>5430</v>
      </c>
      <c r="C2994" s="554" t="s">
        <v>5953</v>
      </c>
      <c r="D2994" s="554" t="s">
        <v>5954</v>
      </c>
      <c r="E2994" s="554"/>
      <c r="F2994" s="571">
        <v>2</v>
      </c>
      <c r="G2994" s="572">
        <v>15.013999999999999</v>
      </c>
      <c r="H2994" s="545">
        <v>30.027999999999999</v>
      </c>
      <c r="I2994" s="554" t="s">
        <v>9218</v>
      </c>
      <c r="J2994" s="554" t="s">
        <v>9219</v>
      </c>
      <c r="K2994" s="554" t="s">
        <v>9219</v>
      </c>
      <c r="L2994" s="537" t="s">
        <v>2354</v>
      </c>
    </row>
    <row r="2995" spans="1:12" x14ac:dyDescent="0.2">
      <c r="A2995" s="570" t="s">
        <v>220</v>
      </c>
      <c r="B2995" s="547" t="s">
        <v>5430</v>
      </c>
      <c r="C2995" s="554" t="s">
        <v>5955</v>
      </c>
      <c r="D2995" s="554" t="s">
        <v>8000</v>
      </c>
      <c r="E2995" s="554"/>
      <c r="F2995" s="571">
        <v>4</v>
      </c>
      <c r="G2995" s="572">
        <v>25.212</v>
      </c>
      <c r="H2995" s="545">
        <v>100.848</v>
      </c>
      <c r="I2995" s="554" t="s">
        <v>9218</v>
      </c>
      <c r="J2995" s="554" t="s">
        <v>9219</v>
      </c>
      <c r="K2995" s="554" t="s">
        <v>9219</v>
      </c>
      <c r="L2995" s="537" t="s">
        <v>2354</v>
      </c>
    </row>
    <row r="2996" spans="1:12" x14ac:dyDescent="0.2">
      <c r="A2996" s="570" t="s">
        <v>220</v>
      </c>
      <c r="B2996" s="547" t="s">
        <v>5430</v>
      </c>
      <c r="C2996" s="554" t="s">
        <v>5957</v>
      </c>
      <c r="D2996" s="554" t="s">
        <v>8001</v>
      </c>
      <c r="E2996" s="554"/>
      <c r="F2996" s="571">
        <v>3</v>
      </c>
      <c r="G2996" s="572">
        <v>25.212</v>
      </c>
      <c r="H2996" s="545">
        <v>75.635999999999996</v>
      </c>
      <c r="I2996" s="554" t="s">
        <v>9218</v>
      </c>
      <c r="J2996" s="554" t="s">
        <v>9219</v>
      </c>
      <c r="K2996" s="554" t="s">
        <v>9219</v>
      </c>
      <c r="L2996" s="537" t="s">
        <v>2354</v>
      </c>
    </row>
    <row r="2997" spans="1:12" x14ac:dyDescent="0.2">
      <c r="A2997" s="570" t="s">
        <v>220</v>
      </c>
      <c r="B2997" s="547" t="s">
        <v>5430</v>
      </c>
      <c r="C2997" s="554" t="s">
        <v>5959</v>
      </c>
      <c r="D2997" s="554" t="s">
        <v>8002</v>
      </c>
      <c r="E2997" s="554"/>
      <c r="F2997" s="571">
        <v>6</v>
      </c>
      <c r="G2997" s="572">
        <v>25.212</v>
      </c>
      <c r="H2997" s="545">
        <v>151.27199999999999</v>
      </c>
      <c r="I2997" s="554" t="s">
        <v>9218</v>
      </c>
      <c r="J2997" s="554" t="s">
        <v>9219</v>
      </c>
      <c r="K2997" s="554" t="s">
        <v>9219</v>
      </c>
      <c r="L2997" s="537" t="s">
        <v>2354</v>
      </c>
    </row>
    <row r="2998" spans="1:12" x14ac:dyDescent="0.2">
      <c r="A2998" s="570" t="s">
        <v>220</v>
      </c>
      <c r="B2998" s="547" t="s">
        <v>5430</v>
      </c>
      <c r="C2998" s="554" t="s">
        <v>5961</v>
      </c>
      <c r="D2998" s="554" t="s">
        <v>8003</v>
      </c>
      <c r="E2998" s="554"/>
      <c r="F2998" s="571">
        <v>6</v>
      </c>
      <c r="G2998" s="572">
        <v>25.212</v>
      </c>
      <c r="H2998" s="545">
        <v>151.27199999999999</v>
      </c>
      <c r="I2998" s="554" t="s">
        <v>9218</v>
      </c>
      <c r="J2998" s="554" t="s">
        <v>9219</v>
      </c>
      <c r="K2998" s="554" t="s">
        <v>9219</v>
      </c>
      <c r="L2998" s="537" t="s">
        <v>2354</v>
      </c>
    </row>
    <row r="2999" spans="1:12" x14ac:dyDescent="0.2">
      <c r="A2999" s="570" t="s">
        <v>220</v>
      </c>
      <c r="B2999" s="547" t="s">
        <v>5430</v>
      </c>
      <c r="C2999" s="554" t="s">
        <v>8004</v>
      </c>
      <c r="D2999" s="554" t="s">
        <v>8005</v>
      </c>
      <c r="E2999" s="554"/>
      <c r="F2999" s="571">
        <v>10</v>
      </c>
      <c r="G2999" s="572">
        <v>87.971000000000004</v>
      </c>
      <c r="H2999" s="545">
        <v>879.71</v>
      </c>
      <c r="I2999" s="554" t="s">
        <v>9218</v>
      </c>
      <c r="J2999" s="554" t="s">
        <v>9219</v>
      </c>
      <c r="K2999" s="554" t="s">
        <v>9219</v>
      </c>
      <c r="L2999" s="537" t="s">
        <v>2354</v>
      </c>
    </row>
    <row r="3000" spans="1:12" x14ac:dyDescent="0.2">
      <c r="A3000" s="570" t="s">
        <v>220</v>
      </c>
      <c r="B3000" s="547" t="s">
        <v>5430</v>
      </c>
      <c r="C3000" s="554" t="s">
        <v>5963</v>
      </c>
      <c r="D3000" s="554" t="s">
        <v>8006</v>
      </c>
      <c r="E3000" s="554"/>
      <c r="F3000" s="571">
        <v>3</v>
      </c>
      <c r="G3000" s="572">
        <v>25.974</v>
      </c>
      <c r="H3000" s="545">
        <v>77.921999999999997</v>
      </c>
      <c r="I3000" s="554" t="s">
        <v>9218</v>
      </c>
      <c r="J3000" s="554" t="s">
        <v>9219</v>
      </c>
      <c r="K3000" s="554" t="s">
        <v>9219</v>
      </c>
      <c r="L3000" s="537" t="s">
        <v>2354</v>
      </c>
    </row>
    <row r="3001" spans="1:12" x14ac:dyDescent="0.2">
      <c r="A3001" s="570" t="s">
        <v>220</v>
      </c>
      <c r="B3001" s="547" t="s">
        <v>5430</v>
      </c>
      <c r="C3001" s="554" t="s">
        <v>5965</v>
      </c>
      <c r="D3001" s="554" t="s">
        <v>8007</v>
      </c>
      <c r="E3001" s="554"/>
      <c r="F3001" s="571">
        <v>4</v>
      </c>
      <c r="G3001" s="572">
        <v>32.456000000000003</v>
      </c>
      <c r="H3001" s="545">
        <v>129.82400000000001</v>
      </c>
      <c r="I3001" s="554" t="s">
        <v>9218</v>
      </c>
      <c r="J3001" s="554" t="s">
        <v>9219</v>
      </c>
      <c r="K3001" s="554" t="s">
        <v>9219</v>
      </c>
      <c r="L3001" s="537" t="s">
        <v>2354</v>
      </c>
    </row>
    <row r="3002" spans="1:12" x14ac:dyDescent="0.2">
      <c r="A3002" s="570" t="s">
        <v>220</v>
      </c>
      <c r="B3002" s="547" t="s">
        <v>5430</v>
      </c>
      <c r="C3002" s="554" t="s">
        <v>5967</v>
      </c>
      <c r="D3002" s="554" t="s">
        <v>8008</v>
      </c>
      <c r="E3002" s="554"/>
      <c r="F3002" s="571">
        <v>2</v>
      </c>
      <c r="G3002" s="572">
        <v>25.212</v>
      </c>
      <c r="H3002" s="545">
        <v>50.423999999999999</v>
      </c>
      <c r="I3002" s="554" t="s">
        <v>9218</v>
      </c>
      <c r="J3002" s="554" t="s">
        <v>9219</v>
      </c>
      <c r="K3002" s="554" t="s">
        <v>9219</v>
      </c>
      <c r="L3002" s="537" t="s">
        <v>2354</v>
      </c>
    </row>
    <row r="3003" spans="1:12" x14ac:dyDescent="0.2">
      <c r="A3003" s="570" t="s">
        <v>220</v>
      </c>
      <c r="B3003" s="547" t="s">
        <v>5430</v>
      </c>
      <c r="C3003" s="554" t="s">
        <v>8009</v>
      </c>
      <c r="D3003" s="554" t="s">
        <v>8010</v>
      </c>
      <c r="E3003" s="554"/>
      <c r="F3003" s="571">
        <v>8</v>
      </c>
      <c r="G3003" s="572">
        <v>11.52</v>
      </c>
      <c r="H3003" s="545">
        <v>92.16</v>
      </c>
      <c r="I3003" s="554" t="s">
        <v>9218</v>
      </c>
      <c r="J3003" s="554" t="s">
        <v>9219</v>
      </c>
      <c r="K3003" s="554" t="s">
        <v>9219</v>
      </c>
      <c r="L3003" s="537" t="s">
        <v>2354</v>
      </c>
    </row>
    <row r="3004" spans="1:12" x14ac:dyDescent="0.2">
      <c r="A3004" s="570" t="s">
        <v>220</v>
      </c>
      <c r="B3004" s="547" t="s">
        <v>5430</v>
      </c>
      <c r="C3004" s="554" t="s">
        <v>8011</v>
      </c>
      <c r="D3004" s="554" t="s">
        <v>8012</v>
      </c>
      <c r="E3004" s="554"/>
      <c r="F3004" s="571">
        <v>3</v>
      </c>
      <c r="G3004" s="572">
        <v>235</v>
      </c>
      <c r="H3004" s="545">
        <v>705</v>
      </c>
      <c r="I3004" s="554" t="s">
        <v>9218</v>
      </c>
      <c r="J3004" s="554" t="s">
        <v>9219</v>
      </c>
      <c r="K3004" s="554" t="s">
        <v>9219</v>
      </c>
      <c r="L3004" s="537" t="s">
        <v>2354</v>
      </c>
    </row>
    <row r="3005" spans="1:12" x14ac:dyDescent="0.2">
      <c r="A3005" s="570" t="s">
        <v>220</v>
      </c>
      <c r="B3005" s="547" t="s">
        <v>5430</v>
      </c>
      <c r="C3005" s="554" t="s">
        <v>8013</v>
      </c>
      <c r="D3005" s="554" t="s">
        <v>8014</v>
      </c>
      <c r="E3005" s="554"/>
      <c r="F3005" s="571">
        <v>1</v>
      </c>
      <c r="G3005" s="572">
        <v>210</v>
      </c>
      <c r="H3005" s="545">
        <v>210</v>
      </c>
      <c r="I3005" s="554" t="s">
        <v>9218</v>
      </c>
      <c r="J3005" s="554" t="s">
        <v>9219</v>
      </c>
      <c r="K3005" s="554" t="s">
        <v>9219</v>
      </c>
      <c r="L3005" s="537" t="s">
        <v>2354</v>
      </c>
    </row>
    <row r="3006" spans="1:12" x14ac:dyDescent="0.2">
      <c r="A3006" s="570" t="s">
        <v>220</v>
      </c>
      <c r="B3006" s="547" t="s">
        <v>5430</v>
      </c>
      <c r="C3006" s="554" t="s">
        <v>5969</v>
      </c>
      <c r="D3006" s="554" t="s">
        <v>8015</v>
      </c>
      <c r="E3006" s="554"/>
      <c r="F3006" s="571">
        <v>4</v>
      </c>
      <c r="G3006" s="572">
        <v>27.608000000000001</v>
      </c>
      <c r="H3006" s="545">
        <v>110.432</v>
      </c>
      <c r="I3006" s="554" t="s">
        <v>9218</v>
      </c>
      <c r="J3006" s="554" t="s">
        <v>9219</v>
      </c>
      <c r="K3006" s="554" t="s">
        <v>9219</v>
      </c>
      <c r="L3006" s="537" t="s">
        <v>2354</v>
      </c>
    </row>
    <row r="3007" spans="1:12" x14ac:dyDescent="0.2">
      <c r="A3007" s="570" t="s">
        <v>220</v>
      </c>
      <c r="B3007" s="547" t="s">
        <v>5430</v>
      </c>
      <c r="C3007" s="554" t="s">
        <v>5971</v>
      </c>
      <c r="D3007" s="554" t="s">
        <v>8016</v>
      </c>
      <c r="E3007" s="554"/>
      <c r="F3007" s="571">
        <v>3</v>
      </c>
      <c r="G3007" s="572">
        <v>16.087</v>
      </c>
      <c r="H3007" s="545">
        <v>48.260999999999996</v>
      </c>
      <c r="I3007" s="554" t="s">
        <v>9218</v>
      </c>
      <c r="J3007" s="554" t="s">
        <v>9219</v>
      </c>
      <c r="K3007" s="554" t="s">
        <v>9219</v>
      </c>
      <c r="L3007" s="537" t="s">
        <v>2354</v>
      </c>
    </row>
    <row r="3008" spans="1:12" x14ac:dyDescent="0.2">
      <c r="A3008" s="570" t="s">
        <v>220</v>
      </c>
      <c r="B3008" s="547" t="s">
        <v>5430</v>
      </c>
      <c r="C3008" s="554" t="s">
        <v>5973</v>
      </c>
      <c r="D3008" s="554" t="s">
        <v>8017</v>
      </c>
      <c r="E3008" s="554"/>
      <c r="F3008" s="571">
        <v>3</v>
      </c>
      <c r="G3008" s="572">
        <v>43.1</v>
      </c>
      <c r="H3008" s="545">
        <v>129.30000000000001</v>
      </c>
      <c r="I3008" s="554" t="s">
        <v>9218</v>
      </c>
      <c r="J3008" s="554" t="s">
        <v>9219</v>
      </c>
      <c r="K3008" s="554" t="s">
        <v>9219</v>
      </c>
      <c r="L3008" s="537" t="s">
        <v>2354</v>
      </c>
    </row>
    <row r="3009" spans="1:12" x14ac:dyDescent="0.2">
      <c r="A3009" s="570" t="s">
        <v>220</v>
      </c>
      <c r="B3009" s="547" t="s">
        <v>5430</v>
      </c>
      <c r="C3009" s="554" t="s">
        <v>5975</v>
      </c>
      <c r="D3009" s="554" t="s">
        <v>8018</v>
      </c>
      <c r="E3009" s="554"/>
      <c r="F3009" s="571">
        <v>6</v>
      </c>
      <c r="G3009" s="572">
        <v>37.319000000000003</v>
      </c>
      <c r="H3009" s="545">
        <v>223.91400000000002</v>
      </c>
      <c r="I3009" s="554" t="s">
        <v>9218</v>
      </c>
      <c r="J3009" s="554" t="s">
        <v>9219</v>
      </c>
      <c r="K3009" s="554" t="s">
        <v>9219</v>
      </c>
      <c r="L3009" s="537" t="s">
        <v>2354</v>
      </c>
    </row>
    <row r="3010" spans="1:12" x14ac:dyDescent="0.2">
      <c r="A3010" s="570" t="s">
        <v>220</v>
      </c>
      <c r="B3010" s="547" t="s">
        <v>5430</v>
      </c>
      <c r="C3010" s="554" t="s">
        <v>5977</v>
      </c>
      <c r="D3010" s="554" t="s">
        <v>8019</v>
      </c>
      <c r="E3010" s="554"/>
      <c r="F3010" s="571">
        <v>2</v>
      </c>
      <c r="G3010" s="572">
        <v>42.73</v>
      </c>
      <c r="H3010" s="545">
        <v>85.46</v>
      </c>
      <c r="I3010" s="554" t="s">
        <v>9218</v>
      </c>
      <c r="J3010" s="554" t="s">
        <v>9219</v>
      </c>
      <c r="K3010" s="554" t="s">
        <v>9219</v>
      </c>
      <c r="L3010" s="537" t="s">
        <v>2354</v>
      </c>
    </row>
    <row r="3011" spans="1:12" x14ac:dyDescent="0.2">
      <c r="A3011" s="570" t="s">
        <v>220</v>
      </c>
      <c r="B3011" s="547" t="s">
        <v>5430</v>
      </c>
      <c r="C3011" s="554" t="s">
        <v>5979</v>
      </c>
      <c r="D3011" s="554" t="s">
        <v>5980</v>
      </c>
      <c r="E3011" s="554"/>
      <c r="F3011" s="571">
        <v>2</v>
      </c>
      <c r="G3011" s="572">
        <v>54.817999999999998</v>
      </c>
      <c r="H3011" s="545">
        <v>109.636</v>
      </c>
      <c r="I3011" s="554" t="s">
        <v>9218</v>
      </c>
      <c r="J3011" s="554" t="s">
        <v>9219</v>
      </c>
      <c r="K3011" s="554" t="s">
        <v>9219</v>
      </c>
      <c r="L3011" s="537" t="s">
        <v>2354</v>
      </c>
    </row>
    <row r="3012" spans="1:12" x14ac:dyDescent="0.2">
      <c r="A3012" s="570" t="s">
        <v>220</v>
      </c>
      <c r="B3012" s="547" t="s">
        <v>5430</v>
      </c>
      <c r="C3012" s="554" t="s">
        <v>5981</v>
      </c>
      <c r="D3012" s="554" t="s">
        <v>8020</v>
      </c>
      <c r="E3012" s="554"/>
      <c r="F3012" s="571">
        <v>3</v>
      </c>
      <c r="G3012" s="572">
        <v>67.524000000000001</v>
      </c>
      <c r="H3012" s="545">
        <v>202.572</v>
      </c>
      <c r="I3012" s="554" t="s">
        <v>9218</v>
      </c>
      <c r="J3012" s="554" t="s">
        <v>9219</v>
      </c>
      <c r="K3012" s="554" t="s">
        <v>9219</v>
      </c>
      <c r="L3012" s="537" t="s">
        <v>2354</v>
      </c>
    </row>
    <row r="3013" spans="1:12" x14ac:dyDescent="0.2">
      <c r="A3013" s="570" t="s">
        <v>220</v>
      </c>
      <c r="B3013" s="547" t="s">
        <v>5430</v>
      </c>
      <c r="C3013" s="554" t="s">
        <v>5983</v>
      </c>
      <c r="D3013" s="554" t="s">
        <v>8021</v>
      </c>
      <c r="E3013" s="554"/>
      <c r="F3013" s="571">
        <v>1</v>
      </c>
      <c r="G3013" s="572">
        <v>26.14</v>
      </c>
      <c r="H3013" s="545">
        <v>26.14</v>
      </c>
      <c r="I3013" s="554" t="s">
        <v>9218</v>
      </c>
      <c r="J3013" s="554" t="s">
        <v>9219</v>
      </c>
      <c r="K3013" s="554" t="s">
        <v>9219</v>
      </c>
      <c r="L3013" s="537" t="s">
        <v>2354</v>
      </c>
    </row>
    <row r="3014" spans="1:12" x14ac:dyDescent="0.2">
      <c r="A3014" s="570" t="s">
        <v>220</v>
      </c>
      <c r="B3014" s="547" t="s">
        <v>5430</v>
      </c>
      <c r="C3014" s="554" t="s">
        <v>5985</v>
      </c>
      <c r="D3014" s="554" t="s">
        <v>8022</v>
      </c>
      <c r="E3014" s="554"/>
      <c r="F3014" s="571">
        <v>4</v>
      </c>
      <c r="G3014" s="572">
        <v>23.4</v>
      </c>
      <c r="H3014" s="545">
        <v>93.6</v>
      </c>
      <c r="I3014" s="554" t="s">
        <v>9218</v>
      </c>
      <c r="J3014" s="554" t="s">
        <v>9219</v>
      </c>
      <c r="K3014" s="554" t="s">
        <v>9219</v>
      </c>
      <c r="L3014" s="537" t="s">
        <v>2354</v>
      </c>
    </row>
    <row r="3015" spans="1:12" x14ac:dyDescent="0.2">
      <c r="A3015" s="570" t="s">
        <v>220</v>
      </c>
      <c r="B3015" s="547" t="s">
        <v>5430</v>
      </c>
      <c r="C3015" s="554" t="s">
        <v>5987</v>
      </c>
      <c r="D3015" s="554" t="s">
        <v>8023</v>
      </c>
      <c r="E3015" s="554"/>
      <c r="F3015" s="571">
        <v>2</v>
      </c>
      <c r="G3015" s="572">
        <v>37.427999999999997</v>
      </c>
      <c r="H3015" s="545">
        <v>74.855999999999995</v>
      </c>
      <c r="I3015" s="554" t="s">
        <v>9218</v>
      </c>
      <c r="J3015" s="554" t="s">
        <v>9219</v>
      </c>
      <c r="K3015" s="554" t="s">
        <v>9219</v>
      </c>
      <c r="L3015" s="537" t="s">
        <v>2354</v>
      </c>
    </row>
    <row r="3016" spans="1:12" x14ac:dyDescent="0.2">
      <c r="A3016" s="570" t="s">
        <v>220</v>
      </c>
      <c r="B3016" s="547" t="s">
        <v>5430</v>
      </c>
      <c r="C3016" s="554" t="s">
        <v>5989</v>
      </c>
      <c r="D3016" s="554" t="s">
        <v>8024</v>
      </c>
      <c r="E3016" s="554"/>
      <c r="F3016" s="571">
        <v>1</v>
      </c>
      <c r="G3016" s="572">
        <v>230.006</v>
      </c>
      <c r="H3016" s="545">
        <v>230.006</v>
      </c>
      <c r="I3016" s="554" t="s">
        <v>9218</v>
      </c>
      <c r="J3016" s="554" t="s">
        <v>9219</v>
      </c>
      <c r="K3016" s="554" t="s">
        <v>9219</v>
      </c>
      <c r="L3016" s="537" t="s">
        <v>2354</v>
      </c>
    </row>
    <row r="3017" spans="1:12" x14ac:dyDescent="0.2">
      <c r="A3017" s="570" t="s">
        <v>220</v>
      </c>
      <c r="B3017" s="547" t="s">
        <v>5430</v>
      </c>
      <c r="C3017" s="554" t="s">
        <v>2996</v>
      </c>
      <c r="D3017" s="554" t="s">
        <v>8025</v>
      </c>
      <c r="E3017" s="554"/>
      <c r="F3017" s="571">
        <v>2</v>
      </c>
      <c r="G3017" s="572">
        <v>4.2149999999999999</v>
      </c>
      <c r="H3017" s="545">
        <v>8.43</v>
      </c>
      <c r="I3017" s="554" t="s">
        <v>9218</v>
      </c>
      <c r="J3017" s="554" t="s">
        <v>9219</v>
      </c>
      <c r="K3017" s="554" t="s">
        <v>9219</v>
      </c>
      <c r="L3017" s="537" t="s">
        <v>2354</v>
      </c>
    </row>
    <row r="3018" spans="1:12" x14ac:dyDescent="0.2">
      <c r="A3018" s="570" t="s">
        <v>220</v>
      </c>
      <c r="B3018" s="547" t="s">
        <v>5430</v>
      </c>
      <c r="C3018" s="554" t="s">
        <v>2383</v>
      </c>
      <c r="D3018" s="554" t="s">
        <v>8026</v>
      </c>
      <c r="E3018" s="554"/>
      <c r="F3018" s="571">
        <v>5</v>
      </c>
      <c r="G3018" s="572">
        <v>28.893000000000001</v>
      </c>
      <c r="H3018" s="545">
        <v>144.465</v>
      </c>
      <c r="I3018" s="554" t="s">
        <v>9218</v>
      </c>
      <c r="J3018" s="554" t="s">
        <v>9219</v>
      </c>
      <c r="K3018" s="554" t="s">
        <v>9219</v>
      </c>
      <c r="L3018" s="537" t="s">
        <v>2354</v>
      </c>
    </row>
    <row r="3019" spans="1:12" x14ac:dyDescent="0.2">
      <c r="A3019" s="570" t="s">
        <v>220</v>
      </c>
      <c r="B3019" s="547" t="s">
        <v>5430</v>
      </c>
      <c r="C3019" s="554" t="s">
        <v>2998</v>
      </c>
      <c r="D3019" s="554" t="s">
        <v>8027</v>
      </c>
      <c r="E3019" s="554"/>
      <c r="F3019" s="571">
        <v>1</v>
      </c>
      <c r="G3019" s="572">
        <v>38.545000000000002</v>
      </c>
      <c r="H3019" s="545">
        <v>38.545000000000002</v>
      </c>
      <c r="I3019" s="554" t="s">
        <v>9218</v>
      </c>
      <c r="J3019" s="554" t="s">
        <v>9219</v>
      </c>
      <c r="K3019" s="554" t="s">
        <v>9219</v>
      </c>
      <c r="L3019" s="537" t="s">
        <v>2354</v>
      </c>
    </row>
    <row r="3020" spans="1:12" x14ac:dyDescent="0.2">
      <c r="A3020" s="570" t="s">
        <v>220</v>
      </c>
      <c r="B3020" s="547" t="s">
        <v>5430</v>
      </c>
      <c r="C3020" s="554" t="s">
        <v>5992</v>
      </c>
      <c r="D3020" s="554" t="s">
        <v>5993</v>
      </c>
      <c r="E3020" s="554"/>
      <c r="F3020" s="571">
        <v>5</v>
      </c>
      <c r="G3020" s="572">
        <v>73.977000000000004</v>
      </c>
      <c r="H3020" s="545">
        <v>369.88499999999999</v>
      </c>
      <c r="I3020" s="554" t="s">
        <v>9218</v>
      </c>
      <c r="J3020" s="554" t="s">
        <v>9219</v>
      </c>
      <c r="K3020" s="554" t="s">
        <v>9219</v>
      </c>
      <c r="L3020" s="537" t="s">
        <v>2354</v>
      </c>
    </row>
    <row r="3021" spans="1:12" x14ac:dyDescent="0.2">
      <c r="A3021" s="570" t="s">
        <v>220</v>
      </c>
      <c r="B3021" s="547" t="s">
        <v>5430</v>
      </c>
      <c r="C3021" s="554" t="s">
        <v>5994</v>
      </c>
      <c r="D3021" s="554" t="s">
        <v>5995</v>
      </c>
      <c r="E3021" s="554"/>
      <c r="F3021" s="571">
        <v>4</v>
      </c>
      <c r="G3021" s="572">
        <v>36.265000000000001</v>
      </c>
      <c r="H3021" s="545">
        <v>145.06</v>
      </c>
      <c r="I3021" s="554" t="s">
        <v>9218</v>
      </c>
      <c r="J3021" s="554" t="s">
        <v>9219</v>
      </c>
      <c r="K3021" s="554" t="s">
        <v>9219</v>
      </c>
      <c r="L3021" s="537" t="s">
        <v>2354</v>
      </c>
    </row>
    <row r="3022" spans="1:12" x14ac:dyDescent="0.2">
      <c r="A3022" s="570" t="s">
        <v>220</v>
      </c>
      <c r="B3022" s="547" t="s">
        <v>5430</v>
      </c>
      <c r="C3022" s="554" t="s">
        <v>8028</v>
      </c>
      <c r="D3022" s="554" t="s">
        <v>8029</v>
      </c>
      <c r="E3022" s="554"/>
      <c r="F3022" s="571">
        <v>6</v>
      </c>
      <c r="G3022" s="572">
        <v>103.428</v>
      </c>
      <c r="H3022" s="545">
        <v>620.56799999999998</v>
      </c>
      <c r="I3022" s="554" t="s">
        <v>9218</v>
      </c>
      <c r="J3022" s="554" t="s">
        <v>9219</v>
      </c>
      <c r="K3022" s="554" t="s">
        <v>9219</v>
      </c>
      <c r="L3022" s="537" t="s">
        <v>2354</v>
      </c>
    </row>
    <row r="3023" spans="1:12" x14ac:dyDescent="0.2">
      <c r="A3023" s="570" t="s">
        <v>220</v>
      </c>
      <c r="B3023" s="547" t="s">
        <v>5430</v>
      </c>
      <c r="C3023" s="554" t="s">
        <v>5996</v>
      </c>
      <c r="D3023" s="554" t="s">
        <v>5997</v>
      </c>
      <c r="E3023" s="554"/>
      <c r="F3023" s="571">
        <v>6</v>
      </c>
      <c r="G3023" s="572">
        <v>177.44200000000001</v>
      </c>
      <c r="H3023" s="545">
        <v>1064.652</v>
      </c>
      <c r="I3023" s="554" t="s">
        <v>9218</v>
      </c>
      <c r="J3023" s="554" t="s">
        <v>9219</v>
      </c>
      <c r="K3023" s="554" t="s">
        <v>9219</v>
      </c>
      <c r="L3023" s="537" t="s">
        <v>2354</v>
      </c>
    </row>
    <row r="3024" spans="1:12" x14ac:dyDescent="0.2">
      <c r="A3024" s="570" t="s">
        <v>220</v>
      </c>
      <c r="B3024" s="547" t="s">
        <v>5430</v>
      </c>
      <c r="C3024" s="554" t="s">
        <v>5998</v>
      </c>
      <c r="D3024" s="554" t="s">
        <v>8030</v>
      </c>
      <c r="E3024" s="554"/>
      <c r="F3024" s="571">
        <v>1</v>
      </c>
      <c r="G3024" s="572">
        <v>16.11</v>
      </c>
      <c r="H3024" s="545">
        <v>16.11</v>
      </c>
      <c r="I3024" s="554" t="s">
        <v>9218</v>
      </c>
      <c r="J3024" s="554" t="s">
        <v>9219</v>
      </c>
      <c r="K3024" s="554" t="s">
        <v>9219</v>
      </c>
      <c r="L3024" s="537" t="s">
        <v>2354</v>
      </c>
    </row>
    <row r="3025" spans="1:12" x14ac:dyDescent="0.2">
      <c r="A3025" s="570" t="s">
        <v>220</v>
      </c>
      <c r="B3025" s="547" t="s">
        <v>5430</v>
      </c>
      <c r="C3025" s="554" t="s">
        <v>3006</v>
      </c>
      <c r="D3025" s="554" t="s">
        <v>8031</v>
      </c>
      <c r="E3025" s="554"/>
      <c r="F3025" s="571">
        <v>8</v>
      </c>
      <c r="G3025" s="572">
        <v>8.2620000000000005</v>
      </c>
      <c r="H3025" s="545">
        <v>66.096000000000004</v>
      </c>
      <c r="I3025" s="554" t="s">
        <v>9218</v>
      </c>
      <c r="J3025" s="554" t="s">
        <v>9219</v>
      </c>
      <c r="K3025" s="554" t="s">
        <v>9219</v>
      </c>
      <c r="L3025" s="537" t="s">
        <v>2354</v>
      </c>
    </row>
    <row r="3026" spans="1:12" x14ac:dyDescent="0.2">
      <c r="A3026" s="570" t="s">
        <v>220</v>
      </c>
      <c r="B3026" s="547" t="s">
        <v>5430</v>
      </c>
      <c r="C3026" s="554" t="s">
        <v>3010</v>
      </c>
      <c r="D3026" s="554" t="s">
        <v>8032</v>
      </c>
      <c r="E3026" s="554"/>
      <c r="F3026" s="571">
        <v>16</v>
      </c>
      <c r="G3026" s="572">
        <v>10.542</v>
      </c>
      <c r="H3026" s="545">
        <v>168.672</v>
      </c>
      <c r="I3026" s="554" t="s">
        <v>9218</v>
      </c>
      <c r="J3026" s="554" t="s">
        <v>9219</v>
      </c>
      <c r="K3026" s="554" t="s">
        <v>9219</v>
      </c>
      <c r="L3026" s="537" t="s">
        <v>2354</v>
      </c>
    </row>
    <row r="3027" spans="1:12" x14ac:dyDescent="0.2">
      <c r="A3027" s="570" t="s">
        <v>220</v>
      </c>
      <c r="B3027" s="547" t="s">
        <v>5430</v>
      </c>
      <c r="C3027" s="554" t="s">
        <v>6000</v>
      </c>
      <c r="D3027" s="554" t="s">
        <v>8033</v>
      </c>
      <c r="E3027" s="554"/>
      <c r="F3027" s="571">
        <v>8</v>
      </c>
      <c r="G3027" s="572">
        <v>11.157</v>
      </c>
      <c r="H3027" s="545">
        <v>89.256</v>
      </c>
      <c r="I3027" s="554" t="s">
        <v>9218</v>
      </c>
      <c r="J3027" s="554" t="s">
        <v>9219</v>
      </c>
      <c r="K3027" s="554" t="s">
        <v>9219</v>
      </c>
      <c r="L3027" s="537" t="s">
        <v>2354</v>
      </c>
    </row>
    <row r="3028" spans="1:12" x14ac:dyDescent="0.2">
      <c r="A3028" s="570" t="s">
        <v>220</v>
      </c>
      <c r="B3028" s="547" t="s">
        <v>5430</v>
      </c>
      <c r="C3028" s="554" t="s">
        <v>6002</v>
      </c>
      <c r="D3028" s="554" t="s">
        <v>8034</v>
      </c>
      <c r="E3028" s="554"/>
      <c r="F3028" s="571">
        <v>5</v>
      </c>
      <c r="G3028" s="572">
        <v>100.035</v>
      </c>
      <c r="H3028" s="545">
        <v>500.17499999999995</v>
      </c>
      <c r="I3028" s="554" t="s">
        <v>9218</v>
      </c>
      <c r="J3028" s="554" t="s">
        <v>9219</v>
      </c>
      <c r="K3028" s="554" t="s">
        <v>9219</v>
      </c>
      <c r="L3028" s="537" t="s">
        <v>2354</v>
      </c>
    </row>
    <row r="3029" spans="1:12" x14ac:dyDescent="0.2">
      <c r="A3029" s="570" t="s">
        <v>220</v>
      </c>
      <c r="B3029" s="547" t="s">
        <v>5430</v>
      </c>
      <c r="C3029" s="554" t="s">
        <v>3012</v>
      </c>
      <c r="D3029" s="554" t="s">
        <v>3013</v>
      </c>
      <c r="E3029" s="554"/>
      <c r="F3029" s="571">
        <v>10</v>
      </c>
      <c r="G3029" s="572">
        <v>14.939</v>
      </c>
      <c r="H3029" s="545">
        <v>149.38999999999999</v>
      </c>
      <c r="I3029" s="554" t="s">
        <v>9218</v>
      </c>
      <c r="J3029" s="554" t="s">
        <v>9219</v>
      </c>
      <c r="K3029" s="554" t="s">
        <v>9219</v>
      </c>
      <c r="L3029" s="537" t="s">
        <v>2354</v>
      </c>
    </row>
    <row r="3030" spans="1:12" x14ac:dyDescent="0.2">
      <c r="A3030" s="570" t="s">
        <v>220</v>
      </c>
      <c r="B3030" s="547" t="s">
        <v>5430</v>
      </c>
      <c r="C3030" s="554" t="s">
        <v>3014</v>
      </c>
      <c r="D3030" s="554" t="s">
        <v>8036</v>
      </c>
      <c r="E3030" s="554"/>
      <c r="F3030" s="571">
        <v>7</v>
      </c>
      <c r="G3030" s="572">
        <v>8.0329999999999995</v>
      </c>
      <c r="H3030" s="545">
        <v>56.230999999999995</v>
      </c>
      <c r="I3030" s="554" t="s">
        <v>9218</v>
      </c>
      <c r="J3030" s="554" t="s">
        <v>9219</v>
      </c>
      <c r="K3030" s="554" t="s">
        <v>9219</v>
      </c>
      <c r="L3030" s="537" t="s">
        <v>2354</v>
      </c>
    </row>
    <row r="3031" spans="1:12" x14ac:dyDescent="0.2">
      <c r="A3031" s="570" t="s">
        <v>220</v>
      </c>
      <c r="B3031" s="547" t="s">
        <v>5430</v>
      </c>
      <c r="C3031" s="554" t="s">
        <v>2381</v>
      </c>
      <c r="D3031" s="554" t="s">
        <v>6006</v>
      </c>
      <c r="E3031" s="554"/>
      <c r="F3031" s="571">
        <v>8</v>
      </c>
      <c r="G3031" s="572">
        <v>9.0969999999999995</v>
      </c>
      <c r="H3031" s="545">
        <v>72.775999999999996</v>
      </c>
      <c r="I3031" s="554" t="s">
        <v>9218</v>
      </c>
      <c r="J3031" s="554" t="s">
        <v>9219</v>
      </c>
      <c r="K3031" s="554" t="s">
        <v>9219</v>
      </c>
      <c r="L3031" s="537" t="s">
        <v>2354</v>
      </c>
    </row>
    <row r="3032" spans="1:12" x14ac:dyDescent="0.2">
      <c r="A3032" s="570" t="s">
        <v>220</v>
      </c>
      <c r="B3032" s="547" t="s">
        <v>5430</v>
      </c>
      <c r="C3032" s="554" t="s">
        <v>3016</v>
      </c>
      <c r="D3032" s="554" t="s">
        <v>8037</v>
      </c>
      <c r="E3032" s="554"/>
      <c r="F3032" s="571">
        <v>4</v>
      </c>
      <c r="G3032" s="572">
        <v>10.77</v>
      </c>
      <c r="H3032" s="545">
        <v>43.08</v>
      </c>
      <c r="I3032" s="554" t="s">
        <v>9218</v>
      </c>
      <c r="J3032" s="554" t="s">
        <v>9219</v>
      </c>
      <c r="K3032" s="554" t="s">
        <v>9219</v>
      </c>
      <c r="L3032" s="537" t="s">
        <v>2354</v>
      </c>
    </row>
    <row r="3033" spans="1:12" x14ac:dyDescent="0.2">
      <c r="A3033" s="570" t="s">
        <v>220</v>
      </c>
      <c r="B3033" s="547" t="s">
        <v>5430</v>
      </c>
      <c r="C3033" s="554" t="s">
        <v>3018</v>
      </c>
      <c r="D3033" s="554" t="s">
        <v>8038</v>
      </c>
      <c r="E3033" s="554"/>
      <c r="F3033" s="571">
        <v>5</v>
      </c>
      <c r="G3033" s="572">
        <v>14.39</v>
      </c>
      <c r="H3033" s="545">
        <v>71.95</v>
      </c>
      <c r="I3033" s="554" t="s">
        <v>9218</v>
      </c>
      <c r="J3033" s="554" t="s">
        <v>9219</v>
      </c>
      <c r="K3033" s="554" t="s">
        <v>9219</v>
      </c>
      <c r="L3033" s="537" t="s">
        <v>2354</v>
      </c>
    </row>
    <row r="3034" spans="1:12" x14ac:dyDescent="0.2">
      <c r="A3034" s="570" t="s">
        <v>220</v>
      </c>
      <c r="B3034" s="547" t="s">
        <v>5430</v>
      </c>
      <c r="C3034" s="554" t="s">
        <v>3020</v>
      </c>
      <c r="D3034" s="554" t="s">
        <v>3021</v>
      </c>
      <c r="E3034" s="554"/>
      <c r="F3034" s="571">
        <v>5</v>
      </c>
      <c r="G3034" s="572">
        <v>10.797000000000001</v>
      </c>
      <c r="H3034" s="545">
        <v>53.984999999999999</v>
      </c>
      <c r="I3034" s="554" t="s">
        <v>9218</v>
      </c>
      <c r="J3034" s="554" t="s">
        <v>9219</v>
      </c>
      <c r="K3034" s="554" t="s">
        <v>9219</v>
      </c>
      <c r="L3034" s="537" t="s">
        <v>2354</v>
      </c>
    </row>
    <row r="3035" spans="1:12" x14ac:dyDescent="0.2">
      <c r="A3035" s="570" t="s">
        <v>220</v>
      </c>
      <c r="B3035" s="547" t="s">
        <v>5430</v>
      </c>
      <c r="C3035" s="554" t="s">
        <v>3022</v>
      </c>
      <c r="D3035" s="554" t="s">
        <v>8039</v>
      </c>
      <c r="E3035" s="554"/>
      <c r="F3035" s="571">
        <v>14</v>
      </c>
      <c r="G3035" s="572">
        <v>16.75</v>
      </c>
      <c r="H3035" s="545">
        <v>234.5</v>
      </c>
      <c r="I3035" s="554" t="s">
        <v>9218</v>
      </c>
      <c r="J3035" s="554" t="s">
        <v>9219</v>
      </c>
      <c r="K3035" s="554" t="s">
        <v>9219</v>
      </c>
      <c r="L3035" s="537" t="s">
        <v>2354</v>
      </c>
    </row>
    <row r="3036" spans="1:12" x14ac:dyDescent="0.2">
      <c r="A3036" s="570" t="s">
        <v>220</v>
      </c>
      <c r="B3036" s="547" t="s">
        <v>5430</v>
      </c>
      <c r="C3036" s="554" t="s">
        <v>3024</v>
      </c>
      <c r="D3036" s="554" t="s">
        <v>8040</v>
      </c>
      <c r="E3036" s="554"/>
      <c r="F3036" s="571">
        <v>6</v>
      </c>
      <c r="G3036" s="572">
        <v>21.946999999999999</v>
      </c>
      <c r="H3036" s="545">
        <v>131.68199999999999</v>
      </c>
      <c r="I3036" s="554" t="s">
        <v>9218</v>
      </c>
      <c r="J3036" s="554" t="s">
        <v>9219</v>
      </c>
      <c r="K3036" s="554" t="s">
        <v>9219</v>
      </c>
      <c r="L3036" s="537" t="s">
        <v>2354</v>
      </c>
    </row>
    <row r="3037" spans="1:12" x14ac:dyDescent="0.2">
      <c r="A3037" s="570" t="s">
        <v>220</v>
      </c>
      <c r="B3037" s="547" t="s">
        <v>5430</v>
      </c>
      <c r="C3037" s="554"/>
      <c r="D3037" s="554" t="s">
        <v>9435</v>
      </c>
      <c r="E3037" s="554"/>
      <c r="F3037" s="571">
        <v>9</v>
      </c>
      <c r="G3037" s="572">
        <v>31.992999999999999</v>
      </c>
      <c r="H3037" s="545">
        <v>287.93700000000001</v>
      </c>
      <c r="I3037" s="554" t="s">
        <v>9218</v>
      </c>
      <c r="J3037" s="554" t="s">
        <v>9219</v>
      </c>
      <c r="K3037" s="554" t="s">
        <v>9219</v>
      </c>
      <c r="L3037" s="537" t="s">
        <v>2354</v>
      </c>
    </row>
    <row r="3038" spans="1:12" x14ac:dyDescent="0.2">
      <c r="A3038" s="570" t="s">
        <v>220</v>
      </c>
      <c r="B3038" s="547" t="s">
        <v>5430</v>
      </c>
      <c r="C3038" s="554" t="s">
        <v>5398</v>
      </c>
      <c r="D3038" s="554" t="s">
        <v>9436</v>
      </c>
      <c r="E3038" s="554"/>
      <c r="F3038" s="571">
        <v>9</v>
      </c>
      <c r="G3038" s="572">
        <v>33.905000000000001</v>
      </c>
      <c r="H3038" s="545">
        <v>305.14499999999998</v>
      </c>
      <c r="I3038" s="554" t="s">
        <v>9218</v>
      </c>
      <c r="J3038" s="554" t="s">
        <v>9219</v>
      </c>
      <c r="K3038" s="554" t="s">
        <v>9219</v>
      </c>
      <c r="L3038" s="537" t="s">
        <v>2354</v>
      </c>
    </row>
    <row r="3039" spans="1:12" x14ac:dyDescent="0.2">
      <c r="A3039" s="570" t="s">
        <v>220</v>
      </c>
      <c r="B3039" s="547" t="s">
        <v>5430</v>
      </c>
      <c r="C3039" s="554" t="s">
        <v>3030</v>
      </c>
      <c r="D3039" s="554" t="s">
        <v>8043</v>
      </c>
      <c r="E3039" s="554"/>
      <c r="F3039" s="571">
        <v>8</v>
      </c>
      <c r="G3039" s="572">
        <v>12.765000000000001</v>
      </c>
      <c r="H3039" s="545">
        <v>102.12</v>
      </c>
      <c r="I3039" s="554" t="s">
        <v>9218</v>
      </c>
      <c r="J3039" s="554" t="s">
        <v>9219</v>
      </c>
      <c r="K3039" s="554" t="s">
        <v>9219</v>
      </c>
      <c r="L3039" s="537" t="s">
        <v>2354</v>
      </c>
    </row>
    <row r="3040" spans="1:12" x14ac:dyDescent="0.2">
      <c r="A3040" s="570" t="s">
        <v>220</v>
      </c>
      <c r="B3040" s="547" t="s">
        <v>5430</v>
      </c>
      <c r="C3040" s="554" t="s">
        <v>3032</v>
      </c>
      <c r="D3040" s="554" t="s">
        <v>3033</v>
      </c>
      <c r="E3040" s="554"/>
      <c r="F3040" s="571">
        <v>5</v>
      </c>
      <c r="G3040" s="572">
        <v>43.987000000000002</v>
      </c>
      <c r="H3040" s="545">
        <v>219.935</v>
      </c>
      <c r="I3040" s="554" t="s">
        <v>9218</v>
      </c>
      <c r="J3040" s="554" t="s">
        <v>9219</v>
      </c>
      <c r="K3040" s="554" t="s">
        <v>9219</v>
      </c>
      <c r="L3040" s="537" t="s">
        <v>2354</v>
      </c>
    </row>
    <row r="3041" spans="1:12" x14ac:dyDescent="0.2">
      <c r="A3041" s="570" t="s">
        <v>220</v>
      </c>
      <c r="B3041" s="547" t="s">
        <v>5430</v>
      </c>
      <c r="C3041" s="554" t="s">
        <v>6009</v>
      </c>
      <c r="D3041" s="554" t="s">
        <v>6010</v>
      </c>
      <c r="E3041" s="554"/>
      <c r="F3041" s="571">
        <v>6</v>
      </c>
      <c r="G3041" s="572">
        <v>99.581000000000003</v>
      </c>
      <c r="H3041" s="545">
        <v>597.48599999999999</v>
      </c>
      <c r="I3041" s="554" t="s">
        <v>9218</v>
      </c>
      <c r="J3041" s="554" t="s">
        <v>9219</v>
      </c>
      <c r="K3041" s="554" t="s">
        <v>9219</v>
      </c>
      <c r="L3041" s="537" t="s">
        <v>2354</v>
      </c>
    </row>
    <row r="3042" spans="1:12" x14ac:dyDescent="0.2">
      <c r="A3042" s="570" t="s">
        <v>220</v>
      </c>
      <c r="B3042" s="547" t="s">
        <v>5430</v>
      </c>
      <c r="C3042" s="554" t="s">
        <v>6011</v>
      </c>
      <c r="D3042" s="554" t="s">
        <v>8044</v>
      </c>
      <c r="E3042" s="554"/>
      <c r="F3042" s="571">
        <v>2</v>
      </c>
      <c r="G3042" s="572">
        <v>145.80000000000001</v>
      </c>
      <c r="H3042" s="545">
        <v>291.60000000000002</v>
      </c>
      <c r="I3042" s="554" t="s">
        <v>9218</v>
      </c>
      <c r="J3042" s="554" t="s">
        <v>9219</v>
      </c>
      <c r="K3042" s="554" t="s">
        <v>9219</v>
      </c>
      <c r="L3042" s="537" t="s">
        <v>2354</v>
      </c>
    </row>
    <row r="3043" spans="1:12" x14ac:dyDescent="0.2">
      <c r="A3043" s="570" t="s">
        <v>220</v>
      </c>
      <c r="B3043" s="547" t="s">
        <v>5430</v>
      </c>
      <c r="C3043" s="554" t="s">
        <v>6013</v>
      </c>
      <c r="D3043" s="554" t="s">
        <v>6014</v>
      </c>
      <c r="E3043" s="554"/>
      <c r="F3043" s="571">
        <v>4</v>
      </c>
      <c r="G3043" s="572">
        <v>115.34699999999999</v>
      </c>
      <c r="H3043" s="545">
        <v>461.38799999999998</v>
      </c>
      <c r="I3043" s="554" t="s">
        <v>9218</v>
      </c>
      <c r="J3043" s="554" t="s">
        <v>9219</v>
      </c>
      <c r="K3043" s="554" t="s">
        <v>9219</v>
      </c>
      <c r="L3043" s="537" t="s">
        <v>2354</v>
      </c>
    </row>
    <row r="3044" spans="1:12" x14ac:dyDescent="0.2">
      <c r="A3044" s="570" t="s">
        <v>220</v>
      </c>
      <c r="B3044" s="547" t="s">
        <v>5430</v>
      </c>
      <c r="C3044" s="554" t="s">
        <v>6015</v>
      </c>
      <c r="D3044" s="554" t="s">
        <v>8045</v>
      </c>
      <c r="E3044" s="554"/>
      <c r="F3044" s="571">
        <v>13</v>
      </c>
      <c r="G3044" s="572">
        <v>30.864000000000001</v>
      </c>
      <c r="H3044" s="545">
        <v>401.23200000000003</v>
      </c>
      <c r="I3044" s="554" t="s">
        <v>9218</v>
      </c>
      <c r="J3044" s="554" t="s">
        <v>9219</v>
      </c>
      <c r="K3044" s="554" t="s">
        <v>9219</v>
      </c>
      <c r="L3044" s="537" t="s">
        <v>2354</v>
      </c>
    </row>
    <row r="3045" spans="1:12" x14ac:dyDescent="0.2">
      <c r="A3045" s="570" t="s">
        <v>220</v>
      </c>
      <c r="B3045" s="547" t="s">
        <v>5430</v>
      </c>
      <c r="C3045" s="554" t="s">
        <v>6017</v>
      </c>
      <c r="D3045" s="554" t="s">
        <v>6018</v>
      </c>
      <c r="E3045" s="554"/>
      <c r="F3045" s="571">
        <v>6</v>
      </c>
      <c r="G3045" s="572">
        <v>20.986999999999998</v>
      </c>
      <c r="H3045" s="545">
        <v>125.922</v>
      </c>
      <c r="I3045" s="554" t="s">
        <v>9218</v>
      </c>
      <c r="J3045" s="554" t="s">
        <v>9219</v>
      </c>
      <c r="K3045" s="554" t="s">
        <v>9219</v>
      </c>
      <c r="L3045" s="537" t="s">
        <v>2354</v>
      </c>
    </row>
    <row r="3046" spans="1:12" x14ac:dyDescent="0.2">
      <c r="A3046" s="570" t="s">
        <v>220</v>
      </c>
      <c r="B3046" s="547" t="s">
        <v>5430</v>
      </c>
      <c r="C3046" s="554" t="s">
        <v>6019</v>
      </c>
      <c r="D3046" s="554" t="s">
        <v>8046</v>
      </c>
      <c r="E3046" s="554"/>
      <c r="F3046" s="571">
        <v>6</v>
      </c>
      <c r="G3046" s="572">
        <v>121.892</v>
      </c>
      <c r="H3046" s="545">
        <v>731.35199999999998</v>
      </c>
      <c r="I3046" s="554" t="s">
        <v>9218</v>
      </c>
      <c r="J3046" s="554" t="s">
        <v>9219</v>
      </c>
      <c r="K3046" s="554" t="s">
        <v>9219</v>
      </c>
      <c r="L3046" s="537" t="s">
        <v>2354</v>
      </c>
    </row>
    <row r="3047" spans="1:12" x14ac:dyDescent="0.2">
      <c r="A3047" s="570" t="s">
        <v>220</v>
      </c>
      <c r="B3047" s="547" t="s">
        <v>5430</v>
      </c>
      <c r="C3047" s="554" t="s">
        <v>6021</v>
      </c>
      <c r="D3047" s="554" t="s">
        <v>8047</v>
      </c>
      <c r="E3047" s="554"/>
      <c r="F3047" s="571">
        <v>6</v>
      </c>
      <c r="G3047" s="572">
        <v>28.763999999999999</v>
      </c>
      <c r="H3047" s="545">
        <v>172.584</v>
      </c>
      <c r="I3047" s="554" t="s">
        <v>9218</v>
      </c>
      <c r="J3047" s="554" t="s">
        <v>9219</v>
      </c>
      <c r="K3047" s="554" t="s">
        <v>9219</v>
      </c>
      <c r="L3047" s="537" t="s">
        <v>2354</v>
      </c>
    </row>
    <row r="3048" spans="1:12" x14ac:dyDescent="0.2">
      <c r="A3048" s="570" t="s">
        <v>220</v>
      </c>
      <c r="B3048" s="547" t="s">
        <v>5430</v>
      </c>
      <c r="C3048" s="554" t="s">
        <v>6023</v>
      </c>
      <c r="D3048" s="554" t="s">
        <v>8048</v>
      </c>
      <c r="E3048" s="554"/>
      <c r="F3048" s="571">
        <v>2</v>
      </c>
      <c r="G3048" s="572">
        <v>10.7127</v>
      </c>
      <c r="H3048" s="545">
        <v>21.4254</v>
      </c>
      <c r="I3048" s="554" t="s">
        <v>9218</v>
      </c>
      <c r="J3048" s="554" t="s">
        <v>9219</v>
      </c>
      <c r="K3048" s="554" t="s">
        <v>9219</v>
      </c>
      <c r="L3048" s="537" t="s">
        <v>2354</v>
      </c>
    </row>
    <row r="3049" spans="1:12" x14ac:dyDescent="0.2">
      <c r="A3049" s="570" t="s">
        <v>220</v>
      </c>
      <c r="B3049" s="547" t="s">
        <v>5430</v>
      </c>
      <c r="C3049" s="554" t="s">
        <v>3044</v>
      </c>
      <c r="D3049" s="554" t="s">
        <v>8049</v>
      </c>
      <c r="E3049" s="554"/>
      <c r="F3049" s="571">
        <v>11</v>
      </c>
      <c r="G3049" s="572">
        <v>29.152000000000001</v>
      </c>
      <c r="H3049" s="545">
        <v>320.67200000000003</v>
      </c>
      <c r="I3049" s="554" t="s">
        <v>9218</v>
      </c>
      <c r="J3049" s="554" t="s">
        <v>9219</v>
      </c>
      <c r="K3049" s="554" t="s">
        <v>9219</v>
      </c>
      <c r="L3049" s="537" t="s">
        <v>2354</v>
      </c>
    </row>
    <row r="3050" spans="1:12" x14ac:dyDescent="0.2">
      <c r="A3050" s="570" t="s">
        <v>220</v>
      </c>
      <c r="B3050" s="547" t="s">
        <v>5430</v>
      </c>
      <c r="C3050" s="554" t="s">
        <v>8050</v>
      </c>
      <c r="D3050" s="554" t="s">
        <v>8051</v>
      </c>
      <c r="E3050" s="554"/>
      <c r="F3050" s="571">
        <v>2</v>
      </c>
      <c r="G3050" s="572">
        <v>77.227999999999994</v>
      </c>
      <c r="H3050" s="545">
        <v>154.45599999999999</v>
      </c>
      <c r="I3050" s="554" t="s">
        <v>9218</v>
      </c>
      <c r="J3050" s="554" t="s">
        <v>9219</v>
      </c>
      <c r="K3050" s="554" t="s">
        <v>9219</v>
      </c>
      <c r="L3050" s="537" t="s">
        <v>2354</v>
      </c>
    </row>
    <row r="3051" spans="1:12" x14ac:dyDescent="0.2">
      <c r="A3051" s="570" t="s">
        <v>220</v>
      </c>
      <c r="B3051" s="547" t="s">
        <v>5430</v>
      </c>
      <c r="C3051" s="554" t="s">
        <v>3046</v>
      </c>
      <c r="D3051" s="554" t="s">
        <v>8052</v>
      </c>
      <c r="E3051" s="554"/>
      <c r="F3051" s="571">
        <v>5</v>
      </c>
      <c r="G3051" s="572">
        <v>53.088999999999999</v>
      </c>
      <c r="H3051" s="545">
        <v>265.44499999999999</v>
      </c>
      <c r="I3051" s="554" t="s">
        <v>9218</v>
      </c>
      <c r="J3051" s="554" t="s">
        <v>9219</v>
      </c>
      <c r="K3051" s="554" t="s">
        <v>9219</v>
      </c>
      <c r="L3051" s="537" t="s">
        <v>2354</v>
      </c>
    </row>
    <row r="3052" spans="1:12" x14ac:dyDescent="0.2">
      <c r="A3052" s="570" t="s">
        <v>220</v>
      </c>
      <c r="B3052" s="547" t="s">
        <v>5430</v>
      </c>
      <c r="C3052" s="554" t="s">
        <v>6026</v>
      </c>
      <c r="D3052" s="554" t="s">
        <v>8053</v>
      </c>
      <c r="E3052" s="554"/>
      <c r="F3052" s="571">
        <v>2</v>
      </c>
      <c r="G3052" s="572">
        <v>79.123000000000005</v>
      </c>
      <c r="H3052" s="545">
        <v>158.24600000000001</v>
      </c>
      <c r="I3052" s="554" t="s">
        <v>9218</v>
      </c>
      <c r="J3052" s="554" t="s">
        <v>9219</v>
      </c>
      <c r="K3052" s="554" t="s">
        <v>9219</v>
      </c>
      <c r="L3052" s="537" t="s">
        <v>2354</v>
      </c>
    </row>
    <row r="3053" spans="1:12" x14ac:dyDescent="0.2">
      <c r="A3053" s="570" t="s">
        <v>220</v>
      </c>
      <c r="B3053" s="547" t="s">
        <v>5430</v>
      </c>
      <c r="C3053" s="554" t="s">
        <v>6028</v>
      </c>
      <c r="D3053" s="554" t="s">
        <v>8054</v>
      </c>
      <c r="E3053" s="554"/>
      <c r="F3053" s="571">
        <v>13</v>
      </c>
      <c r="G3053" s="572">
        <v>65.546999999999997</v>
      </c>
      <c r="H3053" s="545">
        <v>852.11099999999999</v>
      </c>
      <c r="I3053" s="554" t="s">
        <v>9218</v>
      </c>
      <c r="J3053" s="554" t="s">
        <v>9219</v>
      </c>
      <c r="K3053" s="554" t="s">
        <v>9219</v>
      </c>
      <c r="L3053" s="537" t="s">
        <v>2354</v>
      </c>
    </row>
    <row r="3054" spans="1:12" x14ac:dyDescent="0.2">
      <c r="A3054" s="570" t="s">
        <v>220</v>
      </c>
      <c r="B3054" s="547" t="s">
        <v>5430</v>
      </c>
      <c r="C3054" s="554" t="s">
        <v>6030</v>
      </c>
      <c r="D3054" s="554" t="s">
        <v>8055</v>
      </c>
      <c r="E3054" s="554"/>
      <c r="F3054" s="571">
        <v>3</v>
      </c>
      <c r="G3054" s="572">
        <v>11.834</v>
      </c>
      <c r="H3054" s="545">
        <v>35.501999999999995</v>
      </c>
      <c r="I3054" s="554" t="s">
        <v>9218</v>
      </c>
      <c r="J3054" s="554" t="s">
        <v>9219</v>
      </c>
      <c r="K3054" s="554" t="s">
        <v>9219</v>
      </c>
      <c r="L3054" s="537" t="s">
        <v>2354</v>
      </c>
    </row>
    <row r="3055" spans="1:12" x14ac:dyDescent="0.2">
      <c r="A3055" s="570" t="s">
        <v>220</v>
      </c>
      <c r="B3055" s="547" t="s">
        <v>5430</v>
      </c>
      <c r="C3055" s="554" t="s">
        <v>6032</v>
      </c>
      <c r="D3055" s="554" t="s">
        <v>6033</v>
      </c>
      <c r="E3055" s="554"/>
      <c r="F3055" s="571">
        <v>11</v>
      </c>
      <c r="G3055" s="572">
        <v>18.158000000000001</v>
      </c>
      <c r="H3055" s="545">
        <v>199.738</v>
      </c>
      <c r="I3055" s="554" t="s">
        <v>9218</v>
      </c>
      <c r="J3055" s="554" t="s">
        <v>9219</v>
      </c>
      <c r="K3055" s="554" t="s">
        <v>9219</v>
      </c>
      <c r="L3055" s="537" t="s">
        <v>2354</v>
      </c>
    </row>
    <row r="3056" spans="1:12" x14ac:dyDescent="0.2">
      <c r="A3056" s="570" t="s">
        <v>220</v>
      </c>
      <c r="B3056" s="547" t="s">
        <v>5430</v>
      </c>
      <c r="C3056" s="554" t="s">
        <v>3050</v>
      </c>
      <c r="D3056" s="554" t="s">
        <v>3051</v>
      </c>
      <c r="E3056" s="554"/>
      <c r="F3056" s="571">
        <v>3</v>
      </c>
      <c r="G3056" s="572">
        <v>8.8420000000000005</v>
      </c>
      <c r="H3056" s="545">
        <v>26.526000000000003</v>
      </c>
      <c r="I3056" s="554" t="s">
        <v>9218</v>
      </c>
      <c r="J3056" s="554" t="s">
        <v>9219</v>
      </c>
      <c r="K3056" s="554" t="s">
        <v>9219</v>
      </c>
      <c r="L3056" s="537" t="s">
        <v>2354</v>
      </c>
    </row>
    <row r="3057" spans="1:12" x14ac:dyDescent="0.2">
      <c r="A3057" s="570" t="s">
        <v>220</v>
      </c>
      <c r="B3057" s="547" t="s">
        <v>5430</v>
      </c>
      <c r="C3057" s="554" t="s">
        <v>6036</v>
      </c>
      <c r="D3057" s="554" t="s">
        <v>8056</v>
      </c>
      <c r="E3057" s="554"/>
      <c r="F3057" s="571">
        <v>3</v>
      </c>
      <c r="G3057" s="572">
        <v>69.587999999999994</v>
      </c>
      <c r="H3057" s="545">
        <v>208.76399999999998</v>
      </c>
      <c r="I3057" s="554" t="s">
        <v>9218</v>
      </c>
      <c r="J3057" s="554" t="s">
        <v>9219</v>
      </c>
      <c r="K3057" s="554" t="s">
        <v>9219</v>
      </c>
      <c r="L3057" s="537" t="s">
        <v>2354</v>
      </c>
    </row>
    <row r="3058" spans="1:12" x14ac:dyDescent="0.2">
      <c r="A3058" s="570" t="s">
        <v>220</v>
      </c>
      <c r="B3058" s="547" t="s">
        <v>5430</v>
      </c>
      <c r="C3058" s="554" t="s">
        <v>6038</v>
      </c>
      <c r="D3058" s="554" t="s">
        <v>8057</v>
      </c>
      <c r="E3058" s="554"/>
      <c r="F3058" s="571">
        <v>5</v>
      </c>
      <c r="G3058" s="572">
        <v>32.517000000000003</v>
      </c>
      <c r="H3058" s="545">
        <v>162.58500000000001</v>
      </c>
      <c r="I3058" s="554" t="s">
        <v>9218</v>
      </c>
      <c r="J3058" s="554" t="s">
        <v>9219</v>
      </c>
      <c r="K3058" s="554" t="s">
        <v>9219</v>
      </c>
      <c r="L3058" s="537" t="s">
        <v>2354</v>
      </c>
    </row>
    <row r="3059" spans="1:12" x14ac:dyDescent="0.2">
      <c r="A3059" s="570" t="s">
        <v>220</v>
      </c>
      <c r="B3059" s="547" t="s">
        <v>5430</v>
      </c>
      <c r="C3059" s="554" t="s">
        <v>6040</v>
      </c>
      <c r="D3059" s="554" t="s">
        <v>8058</v>
      </c>
      <c r="E3059" s="554"/>
      <c r="F3059" s="571">
        <v>3</v>
      </c>
      <c r="G3059" s="572">
        <v>66.613</v>
      </c>
      <c r="H3059" s="545">
        <v>199.839</v>
      </c>
      <c r="I3059" s="554" t="s">
        <v>9218</v>
      </c>
      <c r="J3059" s="554" t="s">
        <v>9219</v>
      </c>
      <c r="K3059" s="554" t="s">
        <v>9219</v>
      </c>
      <c r="L3059" s="537" t="s">
        <v>2354</v>
      </c>
    </row>
    <row r="3060" spans="1:12" x14ac:dyDescent="0.2">
      <c r="A3060" s="570" t="s">
        <v>220</v>
      </c>
      <c r="B3060" s="547" t="s">
        <v>5430</v>
      </c>
      <c r="C3060" s="554" t="s">
        <v>5433</v>
      </c>
      <c r="D3060" s="554" t="s">
        <v>8059</v>
      </c>
      <c r="E3060" s="554"/>
      <c r="F3060" s="571">
        <v>5</v>
      </c>
      <c r="G3060" s="572">
        <v>54.09</v>
      </c>
      <c r="H3060" s="545">
        <v>270.45000000000005</v>
      </c>
      <c r="I3060" s="554" t="s">
        <v>9218</v>
      </c>
      <c r="J3060" s="554" t="s">
        <v>9219</v>
      </c>
      <c r="K3060" s="554" t="s">
        <v>9219</v>
      </c>
      <c r="L3060" s="537" t="s">
        <v>2354</v>
      </c>
    </row>
    <row r="3061" spans="1:12" x14ac:dyDescent="0.2">
      <c r="A3061" s="570" t="s">
        <v>220</v>
      </c>
      <c r="B3061" s="547" t="s">
        <v>5430</v>
      </c>
      <c r="C3061" s="554" t="s">
        <v>6042</v>
      </c>
      <c r="D3061" s="554" t="s">
        <v>8060</v>
      </c>
      <c r="E3061" s="554"/>
      <c r="F3061" s="571">
        <v>7</v>
      </c>
      <c r="G3061" s="572">
        <v>27.242000000000001</v>
      </c>
      <c r="H3061" s="545">
        <v>190.69400000000002</v>
      </c>
      <c r="I3061" s="554" t="s">
        <v>9218</v>
      </c>
      <c r="J3061" s="554" t="s">
        <v>9219</v>
      </c>
      <c r="K3061" s="554" t="s">
        <v>9219</v>
      </c>
      <c r="L3061" s="537" t="s">
        <v>2354</v>
      </c>
    </row>
    <row r="3062" spans="1:12" x14ac:dyDescent="0.2">
      <c r="A3062" s="570" t="s">
        <v>220</v>
      </c>
      <c r="B3062" s="547" t="s">
        <v>5430</v>
      </c>
      <c r="C3062" s="554" t="s">
        <v>6043</v>
      </c>
      <c r="D3062" s="554" t="s">
        <v>6044</v>
      </c>
      <c r="E3062" s="554"/>
      <c r="F3062" s="571">
        <v>2</v>
      </c>
      <c r="G3062" s="572">
        <v>145.916</v>
      </c>
      <c r="H3062" s="545">
        <v>291.83199999999999</v>
      </c>
      <c r="I3062" s="554" t="s">
        <v>9218</v>
      </c>
      <c r="J3062" s="554" t="s">
        <v>9219</v>
      </c>
      <c r="K3062" s="554" t="s">
        <v>9219</v>
      </c>
      <c r="L3062" s="537" t="s">
        <v>2354</v>
      </c>
    </row>
    <row r="3063" spans="1:12" x14ac:dyDescent="0.2">
      <c r="A3063" s="570" t="s">
        <v>220</v>
      </c>
      <c r="B3063" s="547" t="s">
        <v>5430</v>
      </c>
      <c r="C3063" s="554" t="s">
        <v>8061</v>
      </c>
      <c r="D3063" s="554" t="s">
        <v>8062</v>
      </c>
      <c r="E3063" s="554"/>
      <c r="F3063" s="571">
        <v>2</v>
      </c>
      <c r="G3063" s="572">
        <v>89.622</v>
      </c>
      <c r="H3063" s="545">
        <v>179.244</v>
      </c>
      <c r="I3063" s="554" t="s">
        <v>9218</v>
      </c>
      <c r="J3063" s="554" t="s">
        <v>9219</v>
      </c>
      <c r="K3063" s="554" t="s">
        <v>9219</v>
      </c>
      <c r="L3063" s="537" t="s">
        <v>2354</v>
      </c>
    </row>
    <row r="3064" spans="1:12" x14ac:dyDescent="0.2">
      <c r="A3064" s="570" t="s">
        <v>220</v>
      </c>
      <c r="B3064" s="547" t="s">
        <v>5430</v>
      </c>
      <c r="C3064" s="554" t="s">
        <v>6046</v>
      </c>
      <c r="D3064" s="554" t="s">
        <v>8063</v>
      </c>
      <c r="E3064" s="554"/>
      <c r="F3064" s="571">
        <v>4</v>
      </c>
      <c r="G3064" s="572">
        <v>57.6</v>
      </c>
      <c r="H3064" s="545">
        <v>230.4</v>
      </c>
      <c r="I3064" s="554" t="s">
        <v>9218</v>
      </c>
      <c r="J3064" s="554" t="s">
        <v>9219</v>
      </c>
      <c r="K3064" s="554" t="s">
        <v>9219</v>
      </c>
      <c r="L3064" s="537" t="s">
        <v>2354</v>
      </c>
    </row>
    <row r="3065" spans="1:12" x14ac:dyDescent="0.2">
      <c r="A3065" s="570" t="s">
        <v>220</v>
      </c>
      <c r="B3065" s="547" t="s">
        <v>5430</v>
      </c>
      <c r="C3065" s="554" t="s">
        <v>5447</v>
      </c>
      <c r="D3065" s="554" t="s">
        <v>8064</v>
      </c>
      <c r="E3065" s="554"/>
      <c r="F3065" s="571">
        <v>3</v>
      </c>
      <c r="G3065" s="572">
        <v>126.57</v>
      </c>
      <c r="H3065" s="545">
        <v>379.71</v>
      </c>
      <c r="I3065" s="554" t="s">
        <v>9218</v>
      </c>
      <c r="J3065" s="554" t="s">
        <v>9219</v>
      </c>
      <c r="K3065" s="554" t="s">
        <v>9219</v>
      </c>
      <c r="L3065" s="537" t="s">
        <v>2354</v>
      </c>
    </row>
    <row r="3066" spans="1:12" x14ac:dyDescent="0.2">
      <c r="A3066" s="570" t="s">
        <v>220</v>
      </c>
      <c r="B3066" s="547" t="s">
        <v>5430</v>
      </c>
      <c r="C3066" s="554" t="s">
        <v>5400</v>
      </c>
      <c r="D3066" s="554" t="s">
        <v>5401</v>
      </c>
      <c r="E3066" s="554"/>
      <c r="F3066" s="571">
        <v>8</v>
      </c>
      <c r="G3066" s="572">
        <v>9.7550000000000008</v>
      </c>
      <c r="H3066" s="545">
        <v>78.040000000000006</v>
      </c>
      <c r="I3066" s="554" t="s">
        <v>9218</v>
      </c>
      <c r="J3066" s="554" t="s">
        <v>9219</v>
      </c>
      <c r="K3066" s="554" t="s">
        <v>9219</v>
      </c>
      <c r="L3066" s="537" t="s">
        <v>2354</v>
      </c>
    </row>
    <row r="3067" spans="1:12" x14ac:dyDescent="0.2">
      <c r="A3067" s="570" t="s">
        <v>220</v>
      </c>
      <c r="B3067" s="547" t="s">
        <v>5430</v>
      </c>
      <c r="C3067" s="554" t="s">
        <v>6047</v>
      </c>
      <c r="D3067" s="554" t="s">
        <v>6048</v>
      </c>
      <c r="E3067" s="554"/>
      <c r="F3067" s="571">
        <v>3</v>
      </c>
      <c r="G3067" s="572">
        <v>186.00800000000001</v>
      </c>
      <c r="H3067" s="545">
        <v>558.024</v>
      </c>
      <c r="I3067" s="554" t="s">
        <v>9218</v>
      </c>
      <c r="J3067" s="554" t="s">
        <v>9219</v>
      </c>
      <c r="K3067" s="554" t="s">
        <v>9219</v>
      </c>
      <c r="L3067" s="537" t="s">
        <v>2354</v>
      </c>
    </row>
    <row r="3068" spans="1:12" x14ac:dyDescent="0.2">
      <c r="A3068" s="570" t="s">
        <v>220</v>
      </c>
      <c r="B3068" s="547" t="s">
        <v>5430</v>
      </c>
      <c r="C3068" s="554" t="s">
        <v>3065</v>
      </c>
      <c r="D3068" s="554" t="s">
        <v>3066</v>
      </c>
      <c r="E3068" s="554"/>
      <c r="F3068" s="571">
        <v>1</v>
      </c>
      <c r="G3068" s="572">
        <v>118.96</v>
      </c>
      <c r="H3068" s="545">
        <v>118.96</v>
      </c>
      <c r="I3068" s="554" t="s">
        <v>9218</v>
      </c>
      <c r="J3068" s="554" t="s">
        <v>9219</v>
      </c>
      <c r="K3068" s="554" t="s">
        <v>9219</v>
      </c>
      <c r="L3068" s="537" t="s">
        <v>2354</v>
      </c>
    </row>
    <row r="3069" spans="1:12" x14ac:dyDescent="0.2">
      <c r="A3069" s="570" t="s">
        <v>220</v>
      </c>
      <c r="B3069" s="547" t="s">
        <v>5430</v>
      </c>
      <c r="C3069" s="554" t="s">
        <v>6049</v>
      </c>
      <c r="D3069" s="554" t="s">
        <v>8065</v>
      </c>
      <c r="E3069" s="554"/>
      <c r="F3069" s="571">
        <v>3</v>
      </c>
      <c r="G3069" s="572">
        <v>344.03100000000001</v>
      </c>
      <c r="H3069" s="545">
        <v>1032.0930000000001</v>
      </c>
      <c r="I3069" s="554" t="s">
        <v>9218</v>
      </c>
      <c r="J3069" s="554" t="s">
        <v>9219</v>
      </c>
      <c r="K3069" s="554" t="s">
        <v>9219</v>
      </c>
      <c r="L3069" s="537" t="s">
        <v>2354</v>
      </c>
    </row>
    <row r="3070" spans="1:12" x14ac:dyDescent="0.2">
      <c r="A3070" s="570" t="s">
        <v>220</v>
      </c>
      <c r="B3070" s="547" t="s">
        <v>5430</v>
      </c>
      <c r="C3070" s="554" t="s">
        <v>6051</v>
      </c>
      <c r="D3070" s="554" t="s">
        <v>8066</v>
      </c>
      <c r="E3070" s="554"/>
      <c r="F3070" s="571">
        <v>4</v>
      </c>
      <c r="G3070" s="572">
        <v>67.227999999999994</v>
      </c>
      <c r="H3070" s="545">
        <v>268.91199999999998</v>
      </c>
      <c r="I3070" s="554" t="s">
        <v>9218</v>
      </c>
      <c r="J3070" s="554" t="s">
        <v>9219</v>
      </c>
      <c r="K3070" s="554" t="s">
        <v>9219</v>
      </c>
      <c r="L3070" s="537" t="s">
        <v>2354</v>
      </c>
    </row>
    <row r="3071" spans="1:12" x14ac:dyDescent="0.2">
      <c r="A3071" s="570" t="s">
        <v>220</v>
      </c>
      <c r="B3071" s="547" t="s">
        <v>5430</v>
      </c>
      <c r="C3071" s="554" t="s">
        <v>3069</v>
      </c>
      <c r="D3071" s="554" t="s">
        <v>3070</v>
      </c>
      <c r="E3071" s="554"/>
      <c r="F3071" s="571">
        <v>5</v>
      </c>
      <c r="G3071" s="572">
        <v>73.355999999999995</v>
      </c>
      <c r="H3071" s="545">
        <v>366.78</v>
      </c>
      <c r="I3071" s="554" t="s">
        <v>9218</v>
      </c>
      <c r="J3071" s="554" t="s">
        <v>9219</v>
      </c>
      <c r="K3071" s="554" t="s">
        <v>9219</v>
      </c>
      <c r="L3071" s="537" t="s">
        <v>2354</v>
      </c>
    </row>
    <row r="3072" spans="1:12" x14ac:dyDescent="0.2">
      <c r="A3072" s="570" t="s">
        <v>220</v>
      </c>
      <c r="B3072" s="547" t="s">
        <v>5430</v>
      </c>
      <c r="C3072" s="554" t="s">
        <v>6053</v>
      </c>
      <c r="D3072" s="554" t="s">
        <v>8067</v>
      </c>
      <c r="E3072" s="554"/>
      <c r="F3072" s="571">
        <v>4</v>
      </c>
      <c r="G3072" s="572">
        <v>65.703000000000003</v>
      </c>
      <c r="H3072" s="545">
        <v>262.81200000000001</v>
      </c>
      <c r="I3072" s="554" t="s">
        <v>9218</v>
      </c>
      <c r="J3072" s="554" t="s">
        <v>9219</v>
      </c>
      <c r="K3072" s="554" t="s">
        <v>9219</v>
      </c>
      <c r="L3072" s="537" t="s">
        <v>2354</v>
      </c>
    </row>
    <row r="3073" spans="1:12" x14ac:dyDescent="0.2">
      <c r="A3073" s="570" t="s">
        <v>220</v>
      </c>
      <c r="B3073" s="547" t="s">
        <v>5430</v>
      </c>
      <c r="C3073" s="554" t="s">
        <v>6055</v>
      </c>
      <c r="D3073" s="554" t="s">
        <v>8068</v>
      </c>
      <c r="E3073" s="554"/>
      <c r="F3073" s="571">
        <v>3</v>
      </c>
      <c r="G3073" s="572">
        <v>48.953000000000003</v>
      </c>
      <c r="H3073" s="545">
        <v>146.85900000000001</v>
      </c>
      <c r="I3073" s="554" t="s">
        <v>9218</v>
      </c>
      <c r="J3073" s="554" t="s">
        <v>9219</v>
      </c>
      <c r="K3073" s="554" t="s">
        <v>9219</v>
      </c>
      <c r="L3073" s="537" t="s">
        <v>2354</v>
      </c>
    </row>
    <row r="3074" spans="1:12" x14ac:dyDescent="0.2">
      <c r="A3074" s="570" t="s">
        <v>220</v>
      </c>
      <c r="B3074" s="547" t="s">
        <v>5430</v>
      </c>
      <c r="C3074" s="554" t="s">
        <v>6057</v>
      </c>
      <c r="D3074" s="554" t="s">
        <v>8069</v>
      </c>
      <c r="E3074" s="554"/>
      <c r="F3074" s="571">
        <v>3</v>
      </c>
      <c r="G3074" s="572">
        <v>65.941999999999993</v>
      </c>
      <c r="H3074" s="545">
        <v>197.82599999999996</v>
      </c>
      <c r="I3074" s="554" t="s">
        <v>9218</v>
      </c>
      <c r="J3074" s="554" t="s">
        <v>9219</v>
      </c>
      <c r="K3074" s="554" t="s">
        <v>9219</v>
      </c>
      <c r="L3074" s="537" t="s">
        <v>2354</v>
      </c>
    </row>
    <row r="3075" spans="1:12" x14ac:dyDescent="0.2">
      <c r="A3075" s="570" t="s">
        <v>220</v>
      </c>
      <c r="B3075" s="547" t="s">
        <v>5430</v>
      </c>
      <c r="C3075" s="554" t="s">
        <v>6061</v>
      </c>
      <c r="D3075" s="554" t="s">
        <v>8070</v>
      </c>
      <c r="E3075" s="554"/>
      <c r="F3075" s="571">
        <v>6</v>
      </c>
      <c r="G3075" s="572">
        <v>33.57</v>
      </c>
      <c r="H3075" s="545">
        <v>201.42000000000002</v>
      </c>
      <c r="I3075" s="554" t="s">
        <v>9218</v>
      </c>
      <c r="J3075" s="554" t="s">
        <v>9219</v>
      </c>
      <c r="K3075" s="554" t="s">
        <v>9219</v>
      </c>
      <c r="L3075" s="537" t="s">
        <v>2354</v>
      </c>
    </row>
    <row r="3076" spans="1:12" x14ac:dyDescent="0.2">
      <c r="A3076" s="570" t="s">
        <v>220</v>
      </c>
      <c r="B3076" s="547" t="s">
        <v>5430</v>
      </c>
      <c r="C3076" s="554" t="s">
        <v>6063</v>
      </c>
      <c r="D3076" s="554" t="s">
        <v>6064</v>
      </c>
      <c r="E3076" s="554"/>
      <c r="F3076" s="571">
        <v>4</v>
      </c>
      <c r="G3076" s="572">
        <v>33.57</v>
      </c>
      <c r="H3076" s="545">
        <v>134.28</v>
      </c>
      <c r="I3076" s="554" t="s">
        <v>9218</v>
      </c>
      <c r="J3076" s="554" t="s">
        <v>9219</v>
      </c>
      <c r="K3076" s="554" t="s">
        <v>9219</v>
      </c>
      <c r="L3076" s="537" t="s">
        <v>2354</v>
      </c>
    </row>
    <row r="3077" spans="1:12" x14ac:dyDescent="0.2">
      <c r="A3077" s="570" t="s">
        <v>220</v>
      </c>
      <c r="B3077" s="547" t="s">
        <v>5430</v>
      </c>
      <c r="C3077" s="554" t="s">
        <v>6065</v>
      </c>
      <c r="D3077" s="554" t="s">
        <v>6066</v>
      </c>
      <c r="E3077" s="554"/>
      <c r="F3077" s="571">
        <v>2</v>
      </c>
      <c r="G3077" s="572">
        <v>33.57</v>
      </c>
      <c r="H3077" s="545">
        <v>67.14</v>
      </c>
      <c r="I3077" s="554" t="s">
        <v>9218</v>
      </c>
      <c r="J3077" s="554" t="s">
        <v>9219</v>
      </c>
      <c r="K3077" s="554" t="s">
        <v>9219</v>
      </c>
      <c r="L3077" s="537" t="s">
        <v>2354</v>
      </c>
    </row>
    <row r="3078" spans="1:12" x14ac:dyDescent="0.2">
      <c r="A3078" s="570" t="s">
        <v>220</v>
      </c>
      <c r="B3078" s="547" t="s">
        <v>5430</v>
      </c>
      <c r="C3078" s="554" t="s">
        <v>6069</v>
      </c>
      <c r="D3078" s="554" t="s">
        <v>6070</v>
      </c>
      <c r="E3078" s="554"/>
      <c r="F3078" s="571">
        <v>1</v>
      </c>
      <c r="G3078" s="572">
        <v>33.57</v>
      </c>
      <c r="H3078" s="545">
        <v>33.57</v>
      </c>
      <c r="I3078" s="554" t="s">
        <v>9218</v>
      </c>
      <c r="J3078" s="554" t="s">
        <v>9219</v>
      </c>
      <c r="K3078" s="554" t="s">
        <v>9219</v>
      </c>
      <c r="L3078" s="537" t="s">
        <v>2354</v>
      </c>
    </row>
    <row r="3079" spans="1:12" x14ac:dyDescent="0.2">
      <c r="A3079" s="570" t="s">
        <v>220</v>
      </c>
      <c r="B3079" s="547" t="s">
        <v>5430</v>
      </c>
      <c r="C3079" s="554" t="s">
        <v>6071</v>
      </c>
      <c r="D3079" s="554" t="s">
        <v>6072</v>
      </c>
      <c r="E3079" s="554"/>
      <c r="F3079" s="571">
        <v>4</v>
      </c>
      <c r="G3079" s="572">
        <v>33.57</v>
      </c>
      <c r="H3079" s="545">
        <v>134.28</v>
      </c>
      <c r="I3079" s="554" t="s">
        <v>9218</v>
      </c>
      <c r="J3079" s="554" t="s">
        <v>9219</v>
      </c>
      <c r="K3079" s="554" t="s">
        <v>9219</v>
      </c>
      <c r="L3079" s="537" t="s">
        <v>2354</v>
      </c>
    </row>
    <row r="3080" spans="1:12" x14ac:dyDescent="0.2">
      <c r="A3080" s="570" t="s">
        <v>220</v>
      </c>
      <c r="B3080" s="547" t="s">
        <v>5430</v>
      </c>
      <c r="C3080" s="554" t="s">
        <v>6073</v>
      </c>
      <c r="D3080" s="554" t="s">
        <v>6074</v>
      </c>
      <c r="E3080" s="554"/>
      <c r="F3080" s="571">
        <v>1</v>
      </c>
      <c r="G3080" s="572">
        <v>33.57</v>
      </c>
      <c r="H3080" s="545">
        <v>33.57</v>
      </c>
      <c r="I3080" s="554" t="s">
        <v>9218</v>
      </c>
      <c r="J3080" s="554" t="s">
        <v>9219</v>
      </c>
      <c r="K3080" s="554" t="s">
        <v>9219</v>
      </c>
      <c r="L3080" s="537" t="s">
        <v>2354</v>
      </c>
    </row>
    <row r="3081" spans="1:12" x14ac:dyDescent="0.2">
      <c r="A3081" s="570" t="s">
        <v>220</v>
      </c>
      <c r="B3081" s="547" t="s">
        <v>5430</v>
      </c>
      <c r="C3081" s="554" t="s">
        <v>6075</v>
      </c>
      <c r="D3081" s="554" t="s">
        <v>6076</v>
      </c>
      <c r="E3081" s="554"/>
      <c r="F3081" s="571">
        <v>2</v>
      </c>
      <c r="G3081" s="572">
        <v>37.804000000000002</v>
      </c>
      <c r="H3081" s="545">
        <v>75.608000000000004</v>
      </c>
      <c r="I3081" s="554" t="s">
        <v>9218</v>
      </c>
      <c r="J3081" s="554" t="s">
        <v>9219</v>
      </c>
      <c r="K3081" s="554" t="s">
        <v>9219</v>
      </c>
      <c r="L3081" s="537" t="s">
        <v>2354</v>
      </c>
    </row>
    <row r="3082" spans="1:12" x14ac:dyDescent="0.2">
      <c r="A3082" s="570" t="s">
        <v>220</v>
      </c>
      <c r="B3082" s="547" t="s">
        <v>5430</v>
      </c>
      <c r="C3082" s="554" t="s">
        <v>6077</v>
      </c>
      <c r="D3082" s="554" t="s">
        <v>6078</v>
      </c>
      <c r="E3082" s="554"/>
      <c r="F3082" s="571">
        <v>4</v>
      </c>
      <c r="G3082" s="572">
        <v>33.57</v>
      </c>
      <c r="H3082" s="545">
        <v>134.28</v>
      </c>
      <c r="I3082" s="554" t="s">
        <v>9218</v>
      </c>
      <c r="J3082" s="554" t="s">
        <v>9219</v>
      </c>
      <c r="K3082" s="554" t="s">
        <v>9219</v>
      </c>
      <c r="L3082" s="537" t="s">
        <v>2354</v>
      </c>
    </row>
    <row r="3083" spans="1:12" x14ac:dyDescent="0.2">
      <c r="A3083" s="570" t="s">
        <v>220</v>
      </c>
      <c r="B3083" s="547" t="s">
        <v>5430</v>
      </c>
      <c r="C3083" s="554" t="s">
        <v>5440</v>
      </c>
      <c r="D3083" s="554" t="s">
        <v>8071</v>
      </c>
      <c r="E3083" s="554"/>
      <c r="F3083" s="571">
        <v>1</v>
      </c>
      <c r="G3083" s="572">
        <v>1.7869999999999999</v>
      </c>
      <c r="H3083" s="545">
        <v>1.7869999999999999</v>
      </c>
      <c r="I3083" s="554" t="s">
        <v>9218</v>
      </c>
      <c r="J3083" s="554" t="s">
        <v>9219</v>
      </c>
      <c r="K3083" s="554" t="s">
        <v>9219</v>
      </c>
      <c r="L3083" s="537" t="s">
        <v>2354</v>
      </c>
    </row>
    <row r="3084" spans="1:12" x14ac:dyDescent="0.2">
      <c r="A3084" s="570" t="s">
        <v>220</v>
      </c>
      <c r="B3084" s="547" t="s">
        <v>5430</v>
      </c>
      <c r="C3084" s="554" t="s">
        <v>6079</v>
      </c>
      <c r="D3084" s="554" t="s">
        <v>8072</v>
      </c>
      <c r="E3084" s="554"/>
      <c r="F3084" s="571">
        <v>12</v>
      </c>
      <c r="G3084" s="572">
        <v>20.576000000000001</v>
      </c>
      <c r="H3084" s="545">
        <v>246.91200000000001</v>
      </c>
      <c r="I3084" s="554" t="s">
        <v>9218</v>
      </c>
      <c r="J3084" s="554" t="s">
        <v>9219</v>
      </c>
      <c r="K3084" s="554" t="s">
        <v>9219</v>
      </c>
      <c r="L3084" s="537" t="s">
        <v>2354</v>
      </c>
    </row>
    <row r="3085" spans="1:12" x14ac:dyDescent="0.2">
      <c r="A3085" s="570" t="s">
        <v>220</v>
      </c>
      <c r="B3085" s="547" t="s">
        <v>5430</v>
      </c>
      <c r="C3085" s="554" t="s">
        <v>6081</v>
      </c>
      <c r="D3085" s="554" t="s">
        <v>8073</v>
      </c>
      <c r="E3085" s="554"/>
      <c r="F3085" s="571">
        <v>4</v>
      </c>
      <c r="G3085" s="572">
        <v>23.085999999999999</v>
      </c>
      <c r="H3085" s="545">
        <v>92.343999999999994</v>
      </c>
      <c r="I3085" s="554" t="s">
        <v>9218</v>
      </c>
      <c r="J3085" s="554" t="s">
        <v>9219</v>
      </c>
      <c r="K3085" s="554" t="s">
        <v>9219</v>
      </c>
      <c r="L3085" s="537" t="s">
        <v>2354</v>
      </c>
    </row>
    <row r="3086" spans="1:12" x14ac:dyDescent="0.2">
      <c r="A3086" s="570" t="s">
        <v>220</v>
      </c>
      <c r="B3086" s="547" t="s">
        <v>5430</v>
      </c>
      <c r="C3086" s="554" t="s">
        <v>8074</v>
      </c>
      <c r="D3086" s="554" t="s">
        <v>8075</v>
      </c>
      <c r="E3086" s="554"/>
      <c r="F3086" s="571">
        <v>3</v>
      </c>
      <c r="G3086" s="572">
        <v>64.44</v>
      </c>
      <c r="H3086" s="545">
        <v>193.32</v>
      </c>
      <c r="I3086" s="554" t="s">
        <v>9218</v>
      </c>
      <c r="J3086" s="554" t="s">
        <v>9219</v>
      </c>
      <c r="K3086" s="554" t="s">
        <v>9219</v>
      </c>
      <c r="L3086" s="537" t="s">
        <v>2354</v>
      </c>
    </row>
    <row r="3087" spans="1:12" x14ac:dyDescent="0.2">
      <c r="A3087" s="570" t="s">
        <v>220</v>
      </c>
      <c r="B3087" s="547" t="s">
        <v>5430</v>
      </c>
      <c r="C3087" s="554" t="s">
        <v>6083</v>
      </c>
      <c r="D3087" s="554" t="s">
        <v>8076</v>
      </c>
      <c r="E3087" s="554"/>
      <c r="F3087" s="571">
        <v>3</v>
      </c>
      <c r="G3087" s="572">
        <v>169.56</v>
      </c>
      <c r="H3087" s="545">
        <v>508.68</v>
      </c>
      <c r="I3087" s="554" t="s">
        <v>9218</v>
      </c>
      <c r="J3087" s="554" t="s">
        <v>9219</v>
      </c>
      <c r="K3087" s="554" t="s">
        <v>9219</v>
      </c>
      <c r="L3087" s="537" t="s">
        <v>2354</v>
      </c>
    </row>
    <row r="3088" spans="1:12" x14ac:dyDescent="0.2">
      <c r="A3088" s="570" t="s">
        <v>220</v>
      </c>
      <c r="B3088" s="547" t="s">
        <v>5430</v>
      </c>
      <c r="C3088" s="554" t="s">
        <v>8078</v>
      </c>
      <c r="D3088" s="554" t="s">
        <v>3078</v>
      </c>
      <c r="E3088" s="554"/>
      <c r="F3088" s="571">
        <v>8</v>
      </c>
      <c r="G3088" s="572">
        <v>19.440000000000001</v>
      </c>
      <c r="H3088" s="545">
        <v>155.52000000000001</v>
      </c>
      <c r="I3088" s="554" t="s">
        <v>9218</v>
      </c>
      <c r="J3088" s="554" t="s">
        <v>9219</v>
      </c>
      <c r="K3088" s="554" t="s">
        <v>9219</v>
      </c>
      <c r="L3088" s="537" t="s">
        <v>2354</v>
      </c>
    </row>
    <row r="3089" spans="1:12" x14ac:dyDescent="0.2">
      <c r="A3089" s="570" t="s">
        <v>220</v>
      </c>
      <c r="B3089" s="547" t="s">
        <v>5430</v>
      </c>
      <c r="C3089" s="554" t="s">
        <v>8079</v>
      </c>
      <c r="D3089" s="554" t="s">
        <v>8080</v>
      </c>
      <c r="E3089" s="554"/>
      <c r="F3089" s="571">
        <v>2</v>
      </c>
      <c r="G3089" s="572">
        <v>216.68899999999999</v>
      </c>
      <c r="H3089" s="545">
        <v>433.37799999999999</v>
      </c>
      <c r="I3089" s="554" t="s">
        <v>9218</v>
      </c>
      <c r="J3089" s="554" t="s">
        <v>9219</v>
      </c>
      <c r="K3089" s="554" t="s">
        <v>9219</v>
      </c>
      <c r="L3089" s="537" t="s">
        <v>2354</v>
      </c>
    </row>
    <row r="3090" spans="1:12" x14ac:dyDescent="0.2">
      <c r="A3090" s="570" t="s">
        <v>220</v>
      </c>
      <c r="B3090" s="547" t="s">
        <v>5430</v>
      </c>
      <c r="C3090" s="554" t="s">
        <v>8081</v>
      </c>
      <c r="D3090" s="554" t="s">
        <v>6090</v>
      </c>
      <c r="E3090" s="554"/>
      <c r="F3090" s="571">
        <v>4</v>
      </c>
      <c r="G3090" s="572">
        <v>45.218000000000004</v>
      </c>
      <c r="H3090" s="545">
        <v>180.87200000000001</v>
      </c>
      <c r="I3090" s="554" t="s">
        <v>9218</v>
      </c>
      <c r="J3090" s="554" t="s">
        <v>9219</v>
      </c>
      <c r="K3090" s="554" t="s">
        <v>9219</v>
      </c>
      <c r="L3090" s="537" t="s">
        <v>2354</v>
      </c>
    </row>
    <row r="3091" spans="1:12" x14ac:dyDescent="0.2">
      <c r="A3091" s="570" t="s">
        <v>220</v>
      </c>
      <c r="B3091" s="547" t="s">
        <v>5430</v>
      </c>
      <c r="C3091" s="554" t="s">
        <v>6091</v>
      </c>
      <c r="D3091" s="554" t="s">
        <v>6092</v>
      </c>
      <c r="E3091" s="554"/>
      <c r="F3091" s="571">
        <v>10</v>
      </c>
      <c r="G3091" s="572">
        <v>26.411999999999999</v>
      </c>
      <c r="H3091" s="545">
        <v>264.12</v>
      </c>
      <c r="I3091" s="554" t="s">
        <v>9218</v>
      </c>
      <c r="J3091" s="554" t="s">
        <v>9219</v>
      </c>
      <c r="K3091" s="554" t="s">
        <v>9219</v>
      </c>
      <c r="L3091" s="537" t="s">
        <v>2354</v>
      </c>
    </row>
    <row r="3092" spans="1:12" x14ac:dyDescent="0.2">
      <c r="A3092" s="570" t="s">
        <v>220</v>
      </c>
      <c r="B3092" s="547" t="s">
        <v>5430</v>
      </c>
      <c r="C3092" s="554" t="s">
        <v>6093</v>
      </c>
      <c r="D3092" s="554" t="s">
        <v>6094</v>
      </c>
      <c r="E3092" s="554"/>
      <c r="F3092" s="571">
        <v>3</v>
      </c>
      <c r="G3092" s="572">
        <v>21.696000000000002</v>
      </c>
      <c r="H3092" s="545">
        <v>65.088000000000008</v>
      </c>
      <c r="I3092" s="554" t="s">
        <v>9218</v>
      </c>
      <c r="J3092" s="554" t="s">
        <v>9219</v>
      </c>
      <c r="K3092" s="554" t="s">
        <v>9219</v>
      </c>
      <c r="L3092" s="537" t="s">
        <v>2354</v>
      </c>
    </row>
    <row r="3093" spans="1:12" x14ac:dyDescent="0.2">
      <c r="A3093" s="570" t="s">
        <v>220</v>
      </c>
      <c r="B3093" s="547" t="s">
        <v>5430</v>
      </c>
      <c r="C3093" s="554" t="s">
        <v>6095</v>
      </c>
      <c r="D3093" s="554" t="s">
        <v>6096</v>
      </c>
      <c r="E3093" s="554"/>
      <c r="F3093" s="571">
        <v>2</v>
      </c>
      <c r="G3093" s="572">
        <v>83.682000000000002</v>
      </c>
      <c r="H3093" s="545">
        <v>167.364</v>
      </c>
      <c r="I3093" s="554" t="s">
        <v>9218</v>
      </c>
      <c r="J3093" s="554" t="s">
        <v>9219</v>
      </c>
      <c r="K3093" s="554" t="s">
        <v>9219</v>
      </c>
      <c r="L3093" s="537" t="s">
        <v>2354</v>
      </c>
    </row>
    <row r="3094" spans="1:12" x14ac:dyDescent="0.2">
      <c r="A3094" s="570" t="s">
        <v>220</v>
      </c>
      <c r="B3094" s="547" t="s">
        <v>5430</v>
      </c>
      <c r="C3094" s="554" t="s">
        <v>6097</v>
      </c>
      <c r="D3094" s="554" t="s">
        <v>8082</v>
      </c>
      <c r="E3094" s="554"/>
      <c r="F3094" s="571">
        <v>4</v>
      </c>
      <c r="G3094" s="572">
        <v>44.521999999999998</v>
      </c>
      <c r="H3094" s="545">
        <v>178.08799999999999</v>
      </c>
      <c r="I3094" s="554" t="s">
        <v>9218</v>
      </c>
      <c r="J3094" s="554" t="s">
        <v>9219</v>
      </c>
      <c r="K3094" s="554" t="s">
        <v>9219</v>
      </c>
      <c r="L3094" s="537" t="s">
        <v>2354</v>
      </c>
    </row>
    <row r="3095" spans="1:12" x14ac:dyDescent="0.2">
      <c r="A3095" s="570" t="s">
        <v>220</v>
      </c>
      <c r="B3095" s="547" t="s">
        <v>5430</v>
      </c>
      <c r="C3095" s="554" t="s">
        <v>6099</v>
      </c>
      <c r="D3095" s="554" t="s">
        <v>8083</v>
      </c>
      <c r="E3095" s="554"/>
      <c r="F3095" s="571">
        <v>4</v>
      </c>
      <c r="G3095" s="572">
        <v>116.01</v>
      </c>
      <c r="H3095" s="545">
        <v>464.04</v>
      </c>
      <c r="I3095" s="554" t="s">
        <v>9218</v>
      </c>
      <c r="J3095" s="554" t="s">
        <v>9219</v>
      </c>
      <c r="K3095" s="554" t="s">
        <v>9219</v>
      </c>
      <c r="L3095" s="537" t="s">
        <v>2354</v>
      </c>
    </row>
    <row r="3096" spans="1:12" x14ac:dyDescent="0.2">
      <c r="A3096" s="570" t="s">
        <v>220</v>
      </c>
      <c r="B3096" s="547" t="s">
        <v>5430</v>
      </c>
      <c r="C3096" s="554" t="s">
        <v>6101</v>
      </c>
      <c r="D3096" s="554" t="s">
        <v>8084</v>
      </c>
      <c r="E3096" s="554"/>
      <c r="F3096" s="571">
        <v>5</v>
      </c>
      <c r="G3096" s="572">
        <v>166.77</v>
      </c>
      <c r="H3096" s="545">
        <v>833.85</v>
      </c>
      <c r="I3096" s="554" t="s">
        <v>9218</v>
      </c>
      <c r="J3096" s="554" t="s">
        <v>9219</v>
      </c>
      <c r="K3096" s="554" t="s">
        <v>9219</v>
      </c>
      <c r="L3096" s="537" t="s">
        <v>2354</v>
      </c>
    </row>
    <row r="3097" spans="1:12" x14ac:dyDescent="0.2">
      <c r="A3097" s="570" t="s">
        <v>220</v>
      </c>
      <c r="B3097" s="547" t="s">
        <v>5430</v>
      </c>
      <c r="C3097" s="554" t="s">
        <v>6103</v>
      </c>
      <c r="D3097" s="554" t="s">
        <v>8085</v>
      </c>
      <c r="E3097" s="554"/>
      <c r="F3097" s="571">
        <v>8</v>
      </c>
      <c r="G3097" s="572">
        <v>129.71</v>
      </c>
      <c r="H3097" s="545">
        <v>1037.68</v>
      </c>
      <c r="I3097" s="554" t="s">
        <v>9218</v>
      </c>
      <c r="J3097" s="554" t="s">
        <v>9219</v>
      </c>
      <c r="K3097" s="554" t="s">
        <v>9219</v>
      </c>
      <c r="L3097" s="537" t="s">
        <v>2354</v>
      </c>
    </row>
    <row r="3098" spans="1:12" x14ac:dyDescent="0.2">
      <c r="A3098" s="570" t="s">
        <v>220</v>
      </c>
      <c r="B3098" s="547" t="s">
        <v>5430</v>
      </c>
      <c r="C3098" s="554" t="s">
        <v>6105</v>
      </c>
      <c r="D3098" s="554" t="s">
        <v>8086</v>
      </c>
      <c r="E3098" s="554"/>
      <c r="F3098" s="571">
        <v>4</v>
      </c>
      <c r="G3098" s="572">
        <v>115.998</v>
      </c>
      <c r="H3098" s="545">
        <v>463.99200000000002</v>
      </c>
      <c r="I3098" s="554" t="s">
        <v>9218</v>
      </c>
      <c r="J3098" s="554" t="s">
        <v>9219</v>
      </c>
      <c r="K3098" s="554" t="s">
        <v>9219</v>
      </c>
      <c r="L3098" s="537" t="s">
        <v>2354</v>
      </c>
    </row>
    <row r="3099" spans="1:12" x14ac:dyDescent="0.2">
      <c r="A3099" s="570" t="s">
        <v>220</v>
      </c>
      <c r="B3099" s="547" t="s">
        <v>5430</v>
      </c>
      <c r="C3099" s="554" t="s">
        <v>6107</v>
      </c>
      <c r="D3099" s="554" t="s">
        <v>8087</v>
      </c>
      <c r="E3099" s="554"/>
      <c r="F3099" s="571">
        <v>4</v>
      </c>
      <c r="G3099" s="572">
        <v>60.418999999999997</v>
      </c>
      <c r="H3099" s="545">
        <v>241.67599999999999</v>
      </c>
      <c r="I3099" s="554" t="s">
        <v>9218</v>
      </c>
      <c r="J3099" s="554" t="s">
        <v>9219</v>
      </c>
      <c r="K3099" s="554" t="s">
        <v>9219</v>
      </c>
      <c r="L3099" s="537" t="s">
        <v>2354</v>
      </c>
    </row>
    <row r="3100" spans="1:12" x14ac:dyDescent="0.2">
      <c r="A3100" s="570" t="s">
        <v>220</v>
      </c>
      <c r="B3100" s="547" t="s">
        <v>5430</v>
      </c>
      <c r="C3100" s="554" t="s">
        <v>6109</v>
      </c>
      <c r="D3100" s="554" t="s">
        <v>8088</v>
      </c>
      <c r="E3100" s="554"/>
      <c r="F3100" s="571">
        <v>1</v>
      </c>
      <c r="G3100" s="572">
        <v>192.51400000000001</v>
      </c>
      <c r="H3100" s="545">
        <v>192.51400000000001</v>
      </c>
      <c r="I3100" s="554" t="s">
        <v>9218</v>
      </c>
      <c r="J3100" s="554" t="s">
        <v>9219</v>
      </c>
      <c r="K3100" s="554" t="s">
        <v>9219</v>
      </c>
      <c r="L3100" s="537" t="s">
        <v>2354</v>
      </c>
    </row>
    <row r="3101" spans="1:12" x14ac:dyDescent="0.2">
      <c r="A3101" s="570" t="s">
        <v>220</v>
      </c>
      <c r="B3101" s="547" t="s">
        <v>5430</v>
      </c>
      <c r="C3101" s="554" t="s">
        <v>8089</v>
      </c>
      <c r="D3101" s="554" t="s">
        <v>8090</v>
      </c>
      <c r="E3101" s="554"/>
      <c r="F3101" s="571">
        <v>7</v>
      </c>
      <c r="G3101" s="572">
        <v>37.896999999999998</v>
      </c>
      <c r="H3101" s="545">
        <v>265.279</v>
      </c>
      <c r="I3101" s="554" t="s">
        <v>9218</v>
      </c>
      <c r="J3101" s="554" t="s">
        <v>9219</v>
      </c>
      <c r="K3101" s="554" t="s">
        <v>9219</v>
      </c>
      <c r="L3101" s="537" t="s">
        <v>2354</v>
      </c>
    </row>
    <row r="3102" spans="1:12" x14ac:dyDescent="0.2">
      <c r="A3102" s="570" t="s">
        <v>220</v>
      </c>
      <c r="B3102" s="547" t="s">
        <v>5430</v>
      </c>
      <c r="C3102" s="554" t="s">
        <v>6113</v>
      </c>
      <c r="D3102" s="554" t="s">
        <v>8091</v>
      </c>
      <c r="E3102" s="554"/>
      <c r="F3102" s="571">
        <v>2</v>
      </c>
      <c r="G3102" s="572">
        <v>102.24</v>
      </c>
      <c r="H3102" s="545">
        <v>204.48</v>
      </c>
      <c r="I3102" s="554" t="s">
        <v>9218</v>
      </c>
      <c r="J3102" s="554" t="s">
        <v>9219</v>
      </c>
      <c r="K3102" s="554" t="s">
        <v>9219</v>
      </c>
      <c r="L3102" s="537" t="s">
        <v>2354</v>
      </c>
    </row>
    <row r="3103" spans="1:12" x14ac:dyDescent="0.2">
      <c r="A3103" s="570" t="s">
        <v>220</v>
      </c>
      <c r="B3103" s="547" t="s">
        <v>5430</v>
      </c>
      <c r="C3103" s="554" t="s">
        <v>3079</v>
      </c>
      <c r="D3103" s="554" t="s">
        <v>3080</v>
      </c>
      <c r="E3103" s="554"/>
      <c r="F3103" s="571">
        <v>5</v>
      </c>
      <c r="G3103" s="572">
        <v>22.138000000000002</v>
      </c>
      <c r="H3103" s="545">
        <v>110.69000000000001</v>
      </c>
      <c r="I3103" s="554" t="s">
        <v>9218</v>
      </c>
      <c r="J3103" s="554" t="s">
        <v>9219</v>
      </c>
      <c r="K3103" s="554" t="s">
        <v>9219</v>
      </c>
      <c r="L3103" s="537" t="s">
        <v>2354</v>
      </c>
    </row>
    <row r="3104" spans="1:12" x14ac:dyDescent="0.2">
      <c r="A3104" s="570" t="s">
        <v>220</v>
      </c>
      <c r="B3104" s="547" t="s">
        <v>5430</v>
      </c>
      <c r="C3104" s="554" t="s">
        <v>6117</v>
      </c>
      <c r="D3104" s="554" t="s">
        <v>8093</v>
      </c>
      <c r="E3104" s="554"/>
      <c r="F3104" s="571">
        <v>1</v>
      </c>
      <c r="G3104" s="572">
        <v>253.16800000000001</v>
      </c>
      <c r="H3104" s="545">
        <v>253.16800000000001</v>
      </c>
      <c r="I3104" s="554" t="s">
        <v>9218</v>
      </c>
      <c r="J3104" s="554" t="s">
        <v>9219</v>
      </c>
      <c r="K3104" s="554" t="s">
        <v>9219</v>
      </c>
      <c r="L3104" s="537" t="s">
        <v>2354</v>
      </c>
    </row>
    <row r="3105" spans="1:12" x14ac:dyDescent="0.2">
      <c r="A3105" s="570" t="s">
        <v>220</v>
      </c>
      <c r="B3105" s="547" t="s">
        <v>5430</v>
      </c>
      <c r="C3105" s="554" t="s">
        <v>8094</v>
      </c>
      <c r="D3105" s="554" t="s">
        <v>8095</v>
      </c>
      <c r="E3105" s="554"/>
      <c r="F3105" s="571">
        <v>1</v>
      </c>
      <c r="G3105" s="572">
        <v>102.24</v>
      </c>
      <c r="H3105" s="545">
        <v>102.24</v>
      </c>
      <c r="I3105" s="554" t="s">
        <v>9218</v>
      </c>
      <c r="J3105" s="554" t="s">
        <v>9219</v>
      </c>
      <c r="K3105" s="554" t="s">
        <v>9219</v>
      </c>
      <c r="L3105" s="537" t="s">
        <v>2354</v>
      </c>
    </row>
    <row r="3106" spans="1:12" x14ac:dyDescent="0.2">
      <c r="A3106" s="570" t="s">
        <v>220</v>
      </c>
      <c r="B3106" s="547" t="s">
        <v>5430</v>
      </c>
      <c r="C3106" s="554" t="s">
        <v>6119</v>
      </c>
      <c r="D3106" s="554" t="s">
        <v>8096</v>
      </c>
      <c r="E3106" s="554"/>
      <c r="F3106" s="571">
        <v>2</v>
      </c>
      <c r="G3106" s="572">
        <v>102.24</v>
      </c>
      <c r="H3106" s="545">
        <v>204.48</v>
      </c>
      <c r="I3106" s="554" t="s">
        <v>9218</v>
      </c>
      <c r="J3106" s="554" t="s">
        <v>9219</v>
      </c>
      <c r="K3106" s="554" t="s">
        <v>9219</v>
      </c>
      <c r="L3106" s="537" t="s">
        <v>2354</v>
      </c>
    </row>
    <row r="3107" spans="1:12" x14ac:dyDescent="0.2">
      <c r="A3107" s="570" t="s">
        <v>220</v>
      </c>
      <c r="B3107" s="547" t="s">
        <v>5430</v>
      </c>
      <c r="C3107" s="554" t="s">
        <v>6121</v>
      </c>
      <c r="D3107" s="554" t="s">
        <v>6122</v>
      </c>
      <c r="E3107" s="554"/>
      <c r="F3107" s="571">
        <v>5</v>
      </c>
      <c r="G3107" s="572">
        <v>87.78</v>
      </c>
      <c r="H3107" s="545">
        <v>438.9</v>
      </c>
      <c r="I3107" s="554" t="s">
        <v>9218</v>
      </c>
      <c r="J3107" s="554" t="s">
        <v>9219</v>
      </c>
      <c r="K3107" s="554" t="s">
        <v>9219</v>
      </c>
      <c r="L3107" s="537" t="s">
        <v>2354</v>
      </c>
    </row>
    <row r="3108" spans="1:12" x14ac:dyDescent="0.2">
      <c r="A3108" s="570" t="s">
        <v>220</v>
      </c>
      <c r="B3108" s="547" t="s">
        <v>5430</v>
      </c>
      <c r="C3108" s="554" t="s">
        <v>6123</v>
      </c>
      <c r="D3108" s="554" t="s">
        <v>8097</v>
      </c>
      <c r="E3108" s="554"/>
      <c r="F3108" s="571">
        <v>6</v>
      </c>
      <c r="G3108" s="572">
        <v>186.74600000000001</v>
      </c>
      <c r="H3108" s="545">
        <v>1120.4760000000001</v>
      </c>
      <c r="I3108" s="554" t="s">
        <v>9218</v>
      </c>
      <c r="J3108" s="554" t="s">
        <v>9219</v>
      </c>
      <c r="K3108" s="554" t="s">
        <v>9219</v>
      </c>
      <c r="L3108" s="537" t="s">
        <v>2354</v>
      </c>
    </row>
    <row r="3109" spans="1:12" x14ac:dyDescent="0.2">
      <c r="A3109" s="570" t="s">
        <v>220</v>
      </c>
      <c r="B3109" s="547" t="s">
        <v>5430</v>
      </c>
      <c r="C3109" s="554" t="s">
        <v>8098</v>
      </c>
      <c r="D3109" s="554" t="s">
        <v>8099</v>
      </c>
      <c r="E3109" s="554"/>
      <c r="F3109" s="571">
        <v>2</v>
      </c>
      <c r="G3109" s="572">
        <v>59.4</v>
      </c>
      <c r="H3109" s="545">
        <v>118.8</v>
      </c>
      <c r="I3109" s="554" t="s">
        <v>9218</v>
      </c>
      <c r="J3109" s="554" t="s">
        <v>9219</v>
      </c>
      <c r="K3109" s="554" t="s">
        <v>9219</v>
      </c>
      <c r="L3109" s="537" t="s">
        <v>2354</v>
      </c>
    </row>
    <row r="3110" spans="1:12" x14ac:dyDescent="0.2">
      <c r="A3110" s="570" t="s">
        <v>220</v>
      </c>
      <c r="B3110" s="547" t="s">
        <v>5430</v>
      </c>
      <c r="C3110" s="554" t="s">
        <v>6127</v>
      </c>
      <c r="D3110" s="554" t="s">
        <v>8100</v>
      </c>
      <c r="E3110" s="554"/>
      <c r="F3110" s="571">
        <v>5</v>
      </c>
      <c r="G3110" s="572">
        <v>33.786000000000001</v>
      </c>
      <c r="H3110" s="545">
        <v>168.93</v>
      </c>
      <c r="I3110" s="554" t="s">
        <v>9218</v>
      </c>
      <c r="J3110" s="554" t="s">
        <v>9219</v>
      </c>
      <c r="K3110" s="554" t="s">
        <v>9219</v>
      </c>
      <c r="L3110" s="537" t="s">
        <v>2354</v>
      </c>
    </row>
    <row r="3111" spans="1:12" x14ac:dyDescent="0.2">
      <c r="A3111" s="570" t="s">
        <v>220</v>
      </c>
      <c r="B3111" s="547" t="s">
        <v>5430</v>
      </c>
      <c r="C3111" s="554" t="s">
        <v>8101</v>
      </c>
      <c r="D3111" s="554" t="s">
        <v>8102</v>
      </c>
      <c r="E3111" s="554"/>
      <c r="F3111" s="571">
        <v>12</v>
      </c>
      <c r="G3111" s="572">
        <v>7.6289999999999996</v>
      </c>
      <c r="H3111" s="545">
        <v>91.548000000000002</v>
      </c>
      <c r="I3111" s="554" t="s">
        <v>9218</v>
      </c>
      <c r="J3111" s="554" t="s">
        <v>9219</v>
      </c>
      <c r="K3111" s="554" t="s">
        <v>9219</v>
      </c>
      <c r="L3111" s="537" t="s">
        <v>2354</v>
      </c>
    </row>
    <row r="3112" spans="1:12" x14ac:dyDescent="0.2">
      <c r="A3112" s="570" t="s">
        <v>220</v>
      </c>
      <c r="B3112" s="547" t="s">
        <v>5430</v>
      </c>
      <c r="C3112" s="554" t="s">
        <v>6131</v>
      </c>
      <c r="D3112" s="554" t="s">
        <v>8103</v>
      </c>
      <c r="E3112" s="554"/>
      <c r="F3112" s="571">
        <v>3</v>
      </c>
      <c r="G3112" s="572">
        <v>46.94</v>
      </c>
      <c r="H3112" s="545">
        <v>140.82</v>
      </c>
      <c r="I3112" s="554" t="s">
        <v>9218</v>
      </c>
      <c r="J3112" s="554" t="s">
        <v>9219</v>
      </c>
      <c r="K3112" s="554" t="s">
        <v>9219</v>
      </c>
      <c r="L3112" s="537" t="s">
        <v>2354</v>
      </c>
    </row>
    <row r="3113" spans="1:12" x14ac:dyDescent="0.2">
      <c r="A3113" s="570" t="s">
        <v>220</v>
      </c>
      <c r="B3113" s="547" t="s">
        <v>5430</v>
      </c>
      <c r="C3113" s="554" t="s">
        <v>8104</v>
      </c>
      <c r="D3113" s="554" t="s">
        <v>8105</v>
      </c>
      <c r="E3113" s="554"/>
      <c r="F3113" s="571">
        <v>4</v>
      </c>
      <c r="G3113" s="572">
        <v>43.616999999999997</v>
      </c>
      <c r="H3113" s="545">
        <v>174.46799999999999</v>
      </c>
      <c r="I3113" s="554" t="s">
        <v>9218</v>
      </c>
      <c r="J3113" s="554" t="s">
        <v>9219</v>
      </c>
      <c r="K3113" s="554" t="s">
        <v>9219</v>
      </c>
      <c r="L3113" s="537" t="s">
        <v>2354</v>
      </c>
    </row>
    <row r="3114" spans="1:12" x14ac:dyDescent="0.2">
      <c r="A3114" s="570" t="s">
        <v>220</v>
      </c>
      <c r="B3114" s="547" t="s">
        <v>5430</v>
      </c>
      <c r="C3114" s="554" t="s">
        <v>5454</v>
      </c>
      <c r="D3114" s="554" t="s">
        <v>8106</v>
      </c>
      <c r="E3114" s="554"/>
      <c r="F3114" s="571">
        <v>1</v>
      </c>
      <c r="G3114" s="572">
        <v>15.21</v>
      </c>
      <c r="H3114" s="545">
        <v>15.21</v>
      </c>
      <c r="I3114" s="554" t="s">
        <v>9218</v>
      </c>
      <c r="J3114" s="554" t="s">
        <v>9219</v>
      </c>
      <c r="K3114" s="554" t="s">
        <v>9219</v>
      </c>
      <c r="L3114" s="537" t="s">
        <v>2354</v>
      </c>
    </row>
    <row r="3115" spans="1:12" x14ac:dyDescent="0.2">
      <c r="A3115" s="570" t="s">
        <v>220</v>
      </c>
      <c r="B3115" s="547" t="s">
        <v>5430</v>
      </c>
      <c r="C3115" s="554" t="s">
        <v>6135</v>
      </c>
      <c r="D3115" s="554" t="s">
        <v>8107</v>
      </c>
      <c r="E3115" s="554"/>
      <c r="F3115" s="571">
        <v>1</v>
      </c>
      <c r="G3115" s="572">
        <v>89.543000000000006</v>
      </c>
      <c r="H3115" s="545">
        <v>89.543000000000006</v>
      </c>
      <c r="I3115" s="554" t="s">
        <v>9218</v>
      </c>
      <c r="J3115" s="554" t="s">
        <v>9219</v>
      </c>
      <c r="K3115" s="554" t="s">
        <v>9219</v>
      </c>
      <c r="L3115" s="537" t="s">
        <v>2354</v>
      </c>
    </row>
    <row r="3116" spans="1:12" x14ac:dyDescent="0.2">
      <c r="A3116" s="570" t="s">
        <v>220</v>
      </c>
      <c r="B3116" s="547" t="s">
        <v>5430</v>
      </c>
      <c r="C3116" s="554" t="s">
        <v>6137</v>
      </c>
      <c r="D3116" s="554" t="s">
        <v>8108</v>
      </c>
      <c r="E3116" s="554"/>
      <c r="F3116" s="571">
        <v>6</v>
      </c>
      <c r="G3116" s="572">
        <v>138.08099999999999</v>
      </c>
      <c r="H3116" s="545">
        <v>828.48599999999988</v>
      </c>
      <c r="I3116" s="554" t="s">
        <v>9218</v>
      </c>
      <c r="J3116" s="554" t="s">
        <v>9219</v>
      </c>
      <c r="K3116" s="554" t="s">
        <v>9219</v>
      </c>
      <c r="L3116" s="537" t="s">
        <v>2354</v>
      </c>
    </row>
    <row r="3117" spans="1:12" x14ac:dyDescent="0.2">
      <c r="A3117" s="570" t="s">
        <v>220</v>
      </c>
      <c r="B3117" s="547" t="s">
        <v>5430</v>
      </c>
      <c r="C3117" s="554" t="s">
        <v>6139</v>
      </c>
      <c r="D3117" s="554" t="s">
        <v>8109</v>
      </c>
      <c r="E3117" s="554"/>
      <c r="F3117" s="571">
        <v>6</v>
      </c>
      <c r="G3117" s="572">
        <v>28.08</v>
      </c>
      <c r="H3117" s="545">
        <v>168.48</v>
      </c>
      <c r="I3117" s="554" t="s">
        <v>9218</v>
      </c>
      <c r="J3117" s="554" t="s">
        <v>9219</v>
      </c>
      <c r="K3117" s="554" t="s">
        <v>9219</v>
      </c>
      <c r="L3117" s="537" t="s">
        <v>2354</v>
      </c>
    </row>
    <row r="3118" spans="1:12" x14ac:dyDescent="0.2">
      <c r="A3118" s="570" t="s">
        <v>220</v>
      </c>
      <c r="B3118" s="547" t="s">
        <v>5430</v>
      </c>
      <c r="C3118" s="554" t="s">
        <v>6141</v>
      </c>
      <c r="D3118" s="554" t="s">
        <v>8110</v>
      </c>
      <c r="E3118" s="554"/>
      <c r="F3118" s="571">
        <v>6</v>
      </c>
      <c r="G3118" s="572">
        <v>38.700000000000003</v>
      </c>
      <c r="H3118" s="545">
        <v>232.20000000000002</v>
      </c>
      <c r="I3118" s="554" t="s">
        <v>9218</v>
      </c>
      <c r="J3118" s="554" t="s">
        <v>9219</v>
      </c>
      <c r="K3118" s="554" t="s">
        <v>9219</v>
      </c>
      <c r="L3118" s="537" t="s">
        <v>2354</v>
      </c>
    </row>
    <row r="3119" spans="1:12" x14ac:dyDescent="0.2">
      <c r="A3119" s="570" t="s">
        <v>220</v>
      </c>
      <c r="B3119" s="547" t="s">
        <v>5430</v>
      </c>
      <c r="C3119" s="554" t="s">
        <v>6143</v>
      </c>
      <c r="D3119" s="554" t="s">
        <v>8111</v>
      </c>
      <c r="E3119" s="554"/>
      <c r="F3119" s="571">
        <v>2</v>
      </c>
      <c r="G3119" s="572">
        <v>19.643000000000001</v>
      </c>
      <c r="H3119" s="545">
        <v>39.286000000000001</v>
      </c>
      <c r="I3119" s="554" t="s">
        <v>9218</v>
      </c>
      <c r="J3119" s="554" t="s">
        <v>9219</v>
      </c>
      <c r="K3119" s="554" t="s">
        <v>9219</v>
      </c>
      <c r="L3119" s="537" t="s">
        <v>2354</v>
      </c>
    </row>
    <row r="3120" spans="1:12" x14ac:dyDescent="0.2">
      <c r="A3120" s="570" t="s">
        <v>220</v>
      </c>
      <c r="B3120" s="547" t="s">
        <v>5430</v>
      </c>
      <c r="C3120" s="554" t="s">
        <v>5370</v>
      </c>
      <c r="D3120" s="554" t="s">
        <v>5371</v>
      </c>
      <c r="E3120" s="554"/>
      <c r="F3120" s="571">
        <v>5</v>
      </c>
      <c r="G3120" s="572">
        <v>11.438000000000001</v>
      </c>
      <c r="H3120" s="545">
        <v>57.190000000000005</v>
      </c>
      <c r="I3120" s="554" t="s">
        <v>9218</v>
      </c>
      <c r="J3120" s="554" t="s">
        <v>9219</v>
      </c>
      <c r="K3120" s="554" t="s">
        <v>9219</v>
      </c>
      <c r="L3120" s="537" t="s">
        <v>2354</v>
      </c>
    </row>
    <row r="3121" spans="1:12" x14ac:dyDescent="0.2">
      <c r="A3121" s="570" t="s">
        <v>220</v>
      </c>
      <c r="B3121" s="547" t="s">
        <v>5430</v>
      </c>
      <c r="C3121" s="554" t="s">
        <v>6146</v>
      </c>
      <c r="D3121" s="554" t="s">
        <v>8112</v>
      </c>
      <c r="E3121" s="554"/>
      <c r="F3121" s="571">
        <v>42</v>
      </c>
      <c r="G3121" s="572">
        <v>20.884</v>
      </c>
      <c r="H3121" s="545">
        <v>877.12800000000004</v>
      </c>
      <c r="I3121" s="554" t="s">
        <v>9218</v>
      </c>
      <c r="J3121" s="554" t="s">
        <v>9219</v>
      </c>
      <c r="K3121" s="554" t="s">
        <v>9219</v>
      </c>
      <c r="L3121" s="537" t="s">
        <v>2354</v>
      </c>
    </row>
    <row r="3122" spans="1:12" x14ac:dyDescent="0.2">
      <c r="A3122" s="570" t="s">
        <v>220</v>
      </c>
      <c r="B3122" s="547" t="s">
        <v>5430</v>
      </c>
      <c r="C3122" s="554" t="s">
        <v>6148</v>
      </c>
      <c r="D3122" s="554" t="s">
        <v>8113</v>
      </c>
      <c r="E3122" s="554"/>
      <c r="F3122" s="571">
        <v>3</v>
      </c>
      <c r="G3122" s="572">
        <v>23.238</v>
      </c>
      <c r="H3122" s="545">
        <v>69.713999999999999</v>
      </c>
      <c r="I3122" s="554" t="s">
        <v>9218</v>
      </c>
      <c r="J3122" s="554" t="s">
        <v>9219</v>
      </c>
      <c r="K3122" s="554" t="s">
        <v>9219</v>
      </c>
      <c r="L3122" s="537" t="s">
        <v>2354</v>
      </c>
    </row>
    <row r="3123" spans="1:12" x14ac:dyDescent="0.2">
      <c r="A3123" s="570" t="s">
        <v>220</v>
      </c>
      <c r="B3123" s="547" t="s">
        <v>5430</v>
      </c>
      <c r="C3123" s="554" t="s">
        <v>6150</v>
      </c>
      <c r="D3123" s="554" t="s">
        <v>8114</v>
      </c>
      <c r="E3123" s="554"/>
      <c r="F3123" s="571">
        <v>2</v>
      </c>
      <c r="G3123" s="572">
        <v>75.099000000000004</v>
      </c>
      <c r="H3123" s="545">
        <v>150.19800000000001</v>
      </c>
      <c r="I3123" s="554" t="s">
        <v>9218</v>
      </c>
      <c r="J3123" s="554" t="s">
        <v>9219</v>
      </c>
      <c r="K3123" s="554" t="s">
        <v>9219</v>
      </c>
      <c r="L3123" s="537" t="s">
        <v>2354</v>
      </c>
    </row>
    <row r="3124" spans="1:12" x14ac:dyDescent="0.2">
      <c r="A3124" s="570" t="s">
        <v>220</v>
      </c>
      <c r="B3124" s="547" t="s">
        <v>5430</v>
      </c>
      <c r="C3124" s="554" t="s">
        <v>6152</v>
      </c>
      <c r="D3124" s="554" t="s">
        <v>6153</v>
      </c>
      <c r="E3124" s="554"/>
      <c r="F3124" s="571">
        <v>2</v>
      </c>
      <c r="G3124" s="572">
        <v>37.706000000000003</v>
      </c>
      <c r="H3124" s="545">
        <v>75.412000000000006</v>
      </c>
      <c r="I3124" s="554" t="s">
        <v>9218</v>
      </c>
      <c r="J3124" s="554" t="s">
        <v>9219</v>
      </c>
      <c r="K3124" s="554" t="s">
        <v>9219</v>
      </c>
      <c r="L3124" s="537" t="s">
        <v>2354</v>
      </c>
    </row>
    <row r="3125" spans="1:12" x14ac:dyDescent="0.2">
      <c r="A3125" s="570" t="s">
        <v>220</v>
      </c>
      <c r="B3125" s="547" t="s">
        <v>5430</v>
      </c>
      <c r="C3125" s="554" t="s">
        <v>6154</v>
      </c>
      <c r="D3125" s="554" t="s">
        <v>8115</v>
      </c>
      <c r="E3125" s="554"/>
      <c r="F3125" s="571">
        <v>2</v>
      </c>
      <c r="G3125" s="572">
        <v>24.623999999999999</v>
      </c>
      <c r="H3125" s="545">
        <v>49.247999999999998</v>
      </c>
      <c r="I3125" s="554" t="s">
        <v>9218</v>
      </c>
      <c r="J3125" s="554" t="s">
        <v>9219</v>
      </c>
      <c r="K3125" s="554" t="s">
        <v>9219</v>
      </c>
      <c r="L3125" s="537" t="s">
        <v>2354</v>
      </c>
    </row>
    <row r="3126" spans="1:12" x14ac:dyDescent="0.2">
      <c r="A3126" s="570" t="s">
        <v>220</v>
      </c>
      <c r="B3126" s="547" t="s">
        <v>5430</v>
      </c>
      <c r="C3126" s="554" t="s">
        <v>6156</v>
      </c>
      <c r="D3126" s="554" t="s">
        <v>8116</v>
      </c>
      <c r="E3126" s="554"/>
      <c r="F3126" s="571">
        <v>3</v>
      </c>
      <c r="G3126" s="572">
        <v>26.891999999999999</v>
      </c>
      <c r="H3126" s="545">
        <v>80.676000000000002</v>
      </c>
      <c r="I3126" s="554" t="s">
        <v>9218</v>
      </c>
      <c r="J3126" s="554" t="s">
        <v>9219</v>
      </c>
      <c r="K3126" s="554" t="s">
        <v>9219</v>
      </c>
      <c r="L3126" s="537" t="s">
        <v>2354</v>
      </c>
    </row>
    <row r="3127" spans="1:12" x14ac:dyDescent="0.2">
      <c r="A3127" s="570" t="s">
        <v>220</v>
      </c>
      <c r="B3127" s="547" t="s">
        <v>5430</v>
      </c>
      <c r="C3127" s="554" t="s">
        <v>6158</v>
      </c>
      <c r="D3127" s="554" t="s">
        <v>8117</v>
      </c>
      <c r="E3127" s="554"/>
      <c r="F3127" s="571">
        <v>2</v>
      </c>
      <c r="G3127" s="572">
        <v>21.134</v>
      </c>
      <c r="H3127" s="545">
        <v>42.268000000000001</v>
      </c>
      <c r="I3127" s="554" t="s">
        <v>9218</v>
      </c>
      <c r="J3127" s="554" t="s">
        <v>9219</v>
      </c>
      <c r="K3127" s="554" t="s">
        <v>9219</v>
      </c>
      <c r="L3127" s="537" t="s">
        <v>2354</v>
      </c>
    </row>
    <row r="3128" spans="1:12" x14ac:dyDescent="0.2">
      <c r="A3128" s="570" t="s">
        <v>220</v>
      </c>
      <c r="B3128" s="547" t="s">
        <v>5430</v>
      </c>
      <c r="C3128" s="554" t="s">
        <v>6160</v>
      </c>
      <c r="D3128" s="554" t="s">
        <v>8118</v>
      </c>
      <c r="E3128" s="554"/>
      <c r="F3128" s="571">
        <v>2</v>
      </c>
      <c r="G3128" s="572">
        <v>67.177999999999997</v>
      </c>
      <c r="H3128" s="545">
        <v>134.35599999999999</v>
      </c>
      <c r="I3128" s="554" t="s">
        <v>9218</v>
      </c>
      <c r="J3128" s="554" t="s">
        <v>9219</v>
      </c>
      <c r="K3128" s="554" t="s">
        <v>9219</v>
      </c>
      <c r="L3128" s="537" t="s">
        <v>2354</v>
      </c>
    </row>
    <row r="3129" spans="1:12" x14ac:dyDescent="0.2">
      <c r="A3129" s="570" t="s">
        <v>220</v>
      </c>
      <c r="B3129" s="547" t="s">
        <v>5430</v>
      </c>
      <c r="C3129" s="554" t="s">
        <v>6162</v>
      </c>
      <c r="D3129" s="554" t="s">
        <v>8119</v>
      </c>
      <c r="E3129" s="554"/>
      <c r="F3129" s="571">
        <v>2</v>
      </c>
      <c r="G3129" s="572">
        <v>113.4</v>
      </c>
      <c r="H3129" s="545">
        <v>226.8</v>
      </c>
      <c r="I3129" s="554" t="s">
        <v>9218</v>
      </c>
      <c r="J3129" s="554" t="s">
        <v>9219</v>
      </c>
      <c r="K3129" s="554" t="s">
        <v>9219</v>
      </c>
      <c r="L3129" s="537" t="s">
        <v>2354</v>
      </c>
    </row>
    <row r="3130" spans="1:12" x14ac:dyDescent="0.2">
      <c r="A3130" s="570" t="s">
        <v>220</v>
      </c>
      <c r="B3130" s="547" t="s">
        <v>5430</v>
      </c>
      <c r="C3130" s="554" t="s">
        <v>6164</v>
      </c>
      <c r="D3130" s="554" t="s">
        <v>8120</v>
      </c>
      <c r="E3130" s="554"/>
      <c r="F3130" s="571">
        <v>2</v>
      </c>
      <c r="G3130" s="572">
        <v>104.997</v>
      </c>
      <c r="H3130" s="545">
        <v>209.994</v>
      </c>
      <c r="I3130" s="554" t="s">
        <v>9218</v>
      </c>
      <c r="J3130" s="554" t="s">
        <v>9219</v>
      </c>
      <c r="K3130" s="554" t="s">
        <v>9219</v>
      </c>
      <c r="L3130" s="537" t="s">
        <v>2354</v>
      </c>
    </row>
    <row r="3131" spans="1:12" x14ac:dyDescent="0.2">
      <c r="A3131" s="570" t="s">
        <v>220</v>
      </c>
      <c r="B3131" s="547" t="s">
        <v>5430</v>
      </c>
      <c r="C3131" s="554" t="s">
        <v>6166</v>
      </c>
      <c r="D3131" s="554" t="s">
        <v>8121</v>
      </c>
      <c r="E3131" s="554"/>
      <c r="F3131" s="571">
        <v>6</v>
      </c>
      <c r="G3131" s="572">
        <v>41.37</v>
      </c>
      <c r="H3131" s="545">
        <v>248.21999999999997</v>
      </c>
      <c r="I3131" s="554" t="s">
        <v>9218</v>
      </c>
      <c r="J3131" s="554" t="s">
        <v>9219</v>
      </c>
      <c r="K3131" s="554" t="s">
        <v>9219</v>
      </c>
      <c r="L3131" s="537" t="s">
        <v>2354</v>
      </c>
    </row>
    <row r="3132" spans="1:12" x14ac:dyDescent="0.2">
      <c r="A3132" s="570" t="s">
        <v>220</v>
      </c>
      <c r="B3132" s="547" t="s">
        <v>5430</v>
      </c>
      <c r="C3132" s="554" t="s">
        <v>6168</v>
      </c>
      <c r="D3132" s="554" t="s">
        <v>8122</v>
      </c>
      <c r="E3132" s="554"/>
      <c r="F3132" s="571">
        <v>7</v>
      </c>
      <c r="G3132" s="572">
        <v>10.492000000000001</v>
      </c>
      <c r="H3132" s="545">
        <v>73.444000000000003</v>
      </c>
      <c r="I3132" s="554" t="s">
        <v>9218</v>
      </c>
      <c r="J3132" s="554" t="s">
        <v>9219</v>
      </c>
      <c r="K3132" s="554" t="s">
        <v>9219</v>
      </c>
      <c r="L3132" s="537" t="s">
        <v>2354</v>
      </c>
    </row>
    <row r="3133" spans="1:12" x14ac:dyDescent="0.2">
      <c r="A3133" s="570" t="s">
        <v>220</v>
      </c>
      <c r="B3133" s="547" t="s">
        <v>5430</v>
      </c>
      <c r="C3133" s="554" t="s">
        <v>6170</v>
      </c>
      <c r="D3133" s="554" t="s">
        <v>8123</v>
      </c>
      <c r="E3133" s="554"/>
      <c r="F3133" s="571">
        <v>2</v>
      </c>
      <c r="G3133" s="572">
        <v>239.04</v>
      </c>
      <c r="H3133" s="545">
        <v>478.08</v>
      </c>
      <c r="I3133" s="554" t="s">
        <v>9218</v>
      </c>
      <c r="J3133" s="554" t="s">
        <v>9219</v>
      </c>
      <c r="K3133" s="554" t="s">
        <v>9219</v>
      </c>
      <c r="L3133" s="537" t="s">
        <v>2354</v>
      </c>
    </row>
    <row r="3134" spans="1:12" x14ac:dyDescent="0.2">
      <c r="A3134" s="570" t="s">
        <v>220</v>
      </c>
      <c r="B3134" s="547" t="s">
        <v>5430</v>
      </c>
      <c r="C3134" s="554" t="s">
        <v>6172</v>
      </c>
      <c r="D3134" s="554" t="s">
        <v>8124</v>
      </c>
      <c r="E3134" s="554"/>
      <c r="F3134" s="571">
        <v>2</v>
      </c>
      <c r="G3134" s="572">
        <v>47.34</v>
      </c>
      <c r="H3134" s="545">
        <v>94.68</v>
      </c>
      <c r="I3134" s="554" t="s">
        <v>9218</v>
      </c>
      <c r="J3134" s="554" t="s">
        <v>9219</v>
      </c>
      <c r="K3134" s="554" t="s">
        <v>9219</v>
      </c>
      <c r="L3134" s="537" t="s">
        <v>2354</v>
      </c>
    </row>
    <row r="3135" spans="1:12" x14ac:dyDescent="0.2">
      <c r="A3135" s="570" t="s">
        <v>220</v>
      </c>
      <c r="B3135" s="547" t="s">
        <v>5430</v>
      </c>
      <c r="C3135" s="554" t="s">
        <v>6174</v>
      </c>
      <c r="D3135" s="554" t="s">
        <v>8125</v>
      </c>
      <c r="E3135" s="554"/>
      <c r="F3135" s="571">
        <v>2</v>
      </c>
      <c r="G3135" s="572">
        <v>131.12100000000001</v>
      </c>
      <c r="H3135" s="545">
        <v>262.24200000000002</v>
      </c>
      <c r="I3135" s="554" t="s">
        <v>9218</v>
      </c>
      <c r="J3135" s="554" t="s">
        <v>9219</v>
      </c>
      <c r="K3135" s="554" t="s">
        <v>9219</v>
      </c>
      <c r="L3135" s="537" t="s">
        <v>2354</v>
      </c>
    </row>
    <row r="3136" spans="1:12" x14ac:dyDescent="0.2">
      <c r="A3136" s="570" t="s">
        <v>220</v>
      </c>
      <c r="B3136" s="547" t="s">
        <v>5430</v>
      </c>
      <c r="C3136" s="554" t="s">
        <v>6176</v>
      </c>
      <c r="D3136" s="554" t="s">
        <v>8126</v>
      </c>
      <c r="E3136" s="554"/>
      <c r="F3136" s="571">
        <v>6</v>
      </c>
      <c r="G3136" s="572">
        <v>159.40600000000001</v>
      </c>
      <c r="H3136" s="545">
        <v>956.43600000000004</v>
      </c>
      <c r="I3136" s="554" t="s">
        <v>9218</v>
      </c>
      <c r="J3136" s="554" t="s">
        <v>9219</v>
      </c>
      <c r="K3136" s="554" t="s">
        <v>9219</v>
      </c>
      <c r="L3136" s="537" t="s">
        <v>2354</v>
      </c>
    </row>
    <row r="3137" spans="1:12" x14ac:dyDescent="0.2">
      <c r="A3137" s="570" t="s">
        <v>220</v>
      </c>
      <c r="B3137" s="547" t="s">
        <v>5430</v>
      </c>
      <c r="C3137" s="554" t="s">
        <v>6178</v>
      </c>
      <c r="D3137" s="554" t="s">
        <v>8127</v>
      </c>
      <c r="E3137" s="554"/>
      <c r="F3137" s="571">
        <v>1</v>
      </c>
      <c r="G3137" s="572">
        <v>52.758000000000003</v>
      </c>
      <c r="H3137" s="545">
        <v>52.758000000000003</v>
      </c>
      <c r="I3137" s="554" t="s">
        <v>9218</v>
      </c>
      <c r="J3137" s="554" t="s">
        <v>9219</v>
      </c>
      <c r="K3137" s="554" t="s">
        <v>9219</v>
      </c>
      <c r="L3137" s="537" t="s">
        <v>2354</v>
      </c>
    </row>
    <row r="3138" spans="1:12" x14ac:dyDescent="0.2">
      <c r="A3138" s="570" t="s">
        <v>220</v>
      </c>
      <c r="B3138" s="547" t="s">
        <v>5430</v>
      </c>
      <c r="C3138" s="554" t="s">
        <v>6180</v>
      </c>
      <c r="D3138" s="554" t="s">
        <v>8128</v>
      </c>
      <c r="E3138" s="554"/>
      <c r="F3138" s="571">
        <v>1</v>
      </c>
      <c r="G3138" s="572">
        <v>278.327</v>
      </c>
      <c r="H3138" s="545">
        <v>278.327</v>
      </c>
      <c r="I3138" s="554" t="s">
        <v>9218</v>
      </c>
      <c r="J3138" s="554" t="s">
        <v>9219</v>
      </c>
      <c r="K3138" s="554" t="s">
        <v>9219</v>
      </c>
      <c r="L3138" s="537" t="s">
        <v>2354</v>
      </c>
    </row>
    <row r="3139" spans="1:12" x14ac:dyDescent="0.2">
      <c r="A3139" s="570" t="s">
        <v>220</v>
      </c>
      <c r="B3139" s="547" t="s">
        <v>5430</v>
      </c>
      <c r="C3139" s="554" t="s">
        <v>6182</v>
      </c>
      <c r="D3139" s="554" t="s">
        <v>8129</v>
      </c>
      <c r="E3139" s="554"/>
      <c r="F3139" s="571">
        <v>3</v>
      </c>
      <c r="G3139" s="572">
        <v>21.667000000000002</v>
      </c>
      <c r="H3139" s="545">
        <v>65.001000000000005</v>
      </c>
      <c r="I3139" s="554" t="s">
        <v>9218</v>
      </c>
      <c r="J3139" s="554" t="s">
        <v>9219</v>
      </c>
      <c r="K3139" s="554" t="s">
        <v>9219</v>
      </c>
      <c r="L3139" s="537" t="s">
        <v>2354</v>
      </c>
    </row>
    <row r="3140" spans="1:12" x14ac:dyDescent="0.2">
      <c r="A3140" s="570" t="s">
        <v>220</v>
      </c>
      <c r="B3140" s="547" t="s">
        <v>5430</v>
      </c>
      <c r="C3140" s="554" t="s">
        <v>8130</v>
      </c>
      <c r="D3140" s="554" t="s">
        <v>8131</v>
      </c>
      <c r="E3140" s="554"/>
      <c r="F3140" s="571">
        <v>1</v>
      </c>
      <c r="G3140" s="572">
        <v>681.18799999999999</v>
      </c>
      <c r="H3140" s="545">
        <v>681.18799999999999</v>
      </c>
      <c r="I3140" s="554" t="s">
        <v>9218</v>
      </c>
      <c r="J3140" s="554" t="s">
        <v>9219</v>
      </c>
      <c r="K3140" s="554" t="s">
        <v>9219</v>
      </c>
      <c r="L3140" s="537" t="s">
        <v>2354</v>
      </c>
    </row>
    <row r="3141" spans="1:12" x14ac:dyDescent="0.2">
      <c r="A3141" s="570" t="s">
        <v>220</v>
      </c>
      <c r="B3141" s="547" t="s">
        <v>5430</v>
      </c>
      <c r="C3141" s="554" t="s">
        <v>6186</v>
      </c>
      <c r="D3141" s="554" t="s">
        <v>8132</v>
      </c>
      <c r="E3141" s="554"/>
      <c r="F3141" s="571">
        <v>9</v>
      </c>
      <c r="G3141" s="572">
        <v>104.4</v>
      </c>
      <c r="H3141" s="545">
        <v>939.6</v>
      </c>
      <c r="I3141" s="554" t="s">
        <v>9218</v>
      </c>
      <c r="J3141" s="554" t="s">
        <v>9219</v>
      </c>
      <c r="K3141" s="554" t="s">
        <v>9219</v>
      </c>
      <c r="L3141" s="537" t="s">
        <v>2354</v>
      </c>
    </row>
    <row r="3142" spans="1:12" x14ac:dyDescent="0.2">
      <c r="A3142" s="570" t="s">
        <v>220</v>
      </c>
      <c r="B3142" s="547" t="s">
        <v>5430</v>
      </c>
      <c r="C3142" s="554" t="s">
        <v>6188</v>
      </c>
      <c r="D3142" s="554" t="s">
        <v>8133</v>
      </c>
      <c r="E3142" s="554"/>
      <c r="F3142" s="571">
        <v>1</v>
      </c>
      <c r="G3142" s="572">
        <v>12.442</v>
      </c>
      <c r="H3142" s="545">
        <v>12.442</v>
      </c>
      <c r="I3142" s="554" t="s">
        <v>9218</v>
      </c>
      <c r="J3142" s="554" t="s">
        <v>9219</v>
      </c>
      <c r="K3142" s="554" t="s">
        <v>9219</v>
      </c>
      <c r="L3142" s="537" t="s">
        <v>2354</v>
      </c>
    </row>
    <row r="3143" spans="1:12" x14ac:dyDescent="0.2">
      <c r="A3143" s="570" t="s">
        <v>220</v>
      </c>
      <c r="B3143" s="547" t="s">
        <v>5430</v>
      </c>
      <c r="C3143" s="554" t="s">
        <v>8134</v>
      </c>
      <c r="D3143" s="554" t="s">
        <v>8135</v>
      </c>
      <c r="E3143" s="554"/>
      <c r="F3143" s="571">
        <v>1</v>
      </c>
      <c r="G3143" s="572">
        <v>72.275999999999996</v>
      </c>
      <c r="H3143" s="545">
        <v>72.275999999999996</v>
      </c>
      <c r="I3143" s="554" t="s">
        <v>9218</v>
      </c>
      <c r="J3143" s="554" t="s">
        <v>9219</v>
      </c>
      <c r="K3143" s="554" t="s">
        <v>9219</v>
      </c>
      <c r="L3143" s="537" t="s">
        <v>2354</v>
      </c>
    </row>
    <row r="3144" spans="1:12" x14ac:dyDescent="0.2">
      <c r="A3144" s="570" t="s">
        <v>220</v>
      </c>
      <c r="B3144" s="547" t="s">
        <v>5430</v>
      </c>
      <c r="C3144" s="554" t="s">
        <v>6192</v>
      </c>
      <c r="D3144" s="554" t="s">
        <v>8136</v>
      </c>
      <c r="E3144" s="554"/>
      <c r="F3144" s="571">
        <v>2</v>
      </c>
      <c r="G3144" s="572">
        <v>94.608000000000004</v>
      </c>
      <c r="H3144" s="545">
        <v>189.21600000000001</v>
      </c>
      <c r="I3144" s="554" t="s">
        <v>9218</v>
      </c>
      <c r="J3144" s="554" t="s">
        <v>9219</v>
      </c>
      <c r="K3144" s="554" t="s">
        <v>9219</v>
      </c>
      <c r="L3144" s="537" t="s">
        <v>2354</v>
      </c>
    </row>
    <row r="3145" spans="1:12" x14ac:dyDescent="0.2">
      <c r="A3145" s="570" t="s">
        <v>220</v>
      </c>
      <c r="B3145" s="547" t="s">
        <v>5430</v>
      </c>
      <c r="C3145" s="554" t="s">
        <v>8137</v>
      </c>
      <c r="D3145" s="554" t="s">
        <v>8138</v>
      </c>
      <c r="E3145" s="554"/>
      <c r="F3145" s="571">
        <v>1</v>
      </c>
      <c r="G3145" s="572">
        <v>17.91</v>
      </c>
      <c r="H3145" s="545">
        <v>17.91</v>
      </c>
      <c r="I3145" s="554" t="s">
        <v>9218</v>
      </c>
      <c r="J3145" s="554" t="s">
        <v>9219</v>
      </c>
      <c r="K3145" s="554" t="s">
        <v>9219</v>
      </c>
      <c r="L3145" s="537" t="s">
        <v>2354</v>
      </c>
    </row>
    <row r="3146" spans="1:12" x14ac:dyDescent="0.2">
      <c r="A3146" s="570" t="s">
        <v>220</v>
      </c>
      <c r="B3146" s="547" t="s">
        <v>5430</v>
      </c>
      <c r="C3146" s="554" t="s">
        <v>6196</v>
      </c>
      <c r="D3146" s="554" t="s">
        <v>8139</v>
      </c>
      <c r="E3146" s="554"/>
      <c r="F3146" s="571">
        <v>4</v>
      </c>
      <c r="G3146" s="572">
        <v>226.06700000000001</v>
      </c>
      <c r="H3146" s="545">
        <v>904.26800000000003</v>
      </c>
      <c r="I3146" s="554" t="s">
        <v>9218</v>
      </c>
      <c r="J3146" s="554" t="s">
        <v>9219</v>
      </c>
      <c r="K3146" s="554" t="s">
        <v>9219</v>
      </c>
      <c r="L3146" s="537" t="s">
        <v>2354</v>
      </c>
    </row>
    <row r="3147" spans="1:12" x14ac:dyDescent="0.2">
      <c r="A3147" s="570" t="s">
        <v>220</v>
      </c>
      <c r="B3147" s="547" t="s">
        <v>5430</v>
      </c>
      <c r="C3147" s="554" t="s">
        <v>6198</v>
      </c>
      <c r="D3147" s="554" t="s">
        <v>8140</v>
      </c>
      <c r="E3147" s="554"/>
      <c r="F3147" s="571">
        <v>2</v>
      </c>
      <c r="G3147" s="572">
        <v>73.260000000000005</v>
      </c>
      <c r="H3147" s="545">
        <v>146.52000000000001</v>
      </c>
      <c r="I3147" s="554" t="s">
        <v>9218</v>
      </c>
      <c r="J3147" s="554" t="s">
        <v>9219</v>
      </c>
      <c r="K3147" s="554" t="s">
        <v>9219</v>
      </c>
      <c r="L3147" s="537" t="s">
        <v>2354</v>
      </c>
    </row>
    <row r="3148" spans="1:12" x14ac:dyDescent="0.2">
      <c r="A3148" s="570" t="s">
        <v>220</v>
      </c>
      <c r="B3148" s="547" t="s">
        <v>5430</v>
      </c>
      <c r="C3148" s="554" t="s">
        <v>8141</v>
      </c>
      <c r="D3148" s="554" t="s">
        <v>8142</v>
      </c>
      <c r="E3148" s="554"/>
      <c r="F3148" s="571">
        <v>5</v>
      </c>
      <c r="G3148" s="572">
        <v>21.271999999999998</v>
      </c>
      <c r="H3148" s="545">
        <v>106.35999999999999</v>
      </c>
      <c r="I3148" s="554" t="s">
        <v>9218</v>
      </c>
      <c r="J3148" s="554" t="s">
        <v>9219</v>
      </c>
      <c r="K3148" s="554" t="s">
        <v>9219</v>
      </c>
      <c r="L3148" s="537" t="s">
        <v>2354</v>
      </c>
    </row>
    <row r="3149" spans="1:12" x14ac:dyDescent="0.2">
      <c r="A3149" s="570" t="s">
        <v>220</v>
      </c>
      <c r="B3149" s="547" t="s">
        <v>5430</v>
      </c>
      <c r="C3149" s="554" t="s">
        <v>6200</v>
      </c>
      <c r="D3149" s="554" t="s">
        <v>8143</v>
      </c>
      <c r="E3149" s="554"/>
      <c r="F3149" s="571">
        <v>7</v>
      </c>
      <c r="G3149" s="572">
        <v>23.01</v>
      </c>
      <c r="H3149" s="545">
        <v>161.07000000000002</v>
      </c>
      <c r="I3149" s="554" t="s">
        <v>9218</v>
      </c>
      <c r="J3149" s="554" t="s">
        <v>9219</v>
      </c>
      <c r="K3149" s="554" t="s">
        <v>9219</v>
      </c>
      <c r="L3149" s="537" t="s">
        <v>2354</v>
      </c>
    </row>
    <row r="3150" spans="1:12" x14ac:dyDescent="0.2">
      <c r="A3150" s="570" t="s">
        <v>220</v>
      </c>
      <c r="B3150" s="547" t="s">
        <v>5430</v>
      </c>
      <c r="C3150" s="554" t="s">
        <v>6202</v>
      </c>
      <c r="D3150" s="554" t="s">
        <v>6203</v>
      </c>
      <c r="E3150" s="554"/>
      <c r="F3150" s="571">
        <v>2</v>
      </c>
      <c r="G3150" s="572">
        <v>64.346999999999994</v>
      </c>
      <c r="H3150" s="545">
        <v>128.69399999999999</v>
      </c>
      <c r="I3150" s="554" t="s">
        <v>9218</v>
      </c>
      <c r="J3150" s="554" t="s">
        <v>9219</v>
      </c>
      <c r="K3150" s="554" t="s">
        <v>9219</v>
      </c>
      <c r="L3150" s="537" t="s">
        <v>2354</v>
      </c>
    </row>
    <row r="3151" spans="1:12" x14ac:dyDescent="0.2">
      <c r="A3151" s="570" t="s">
        <v>220</v>
      </c>
      <c r="B3151" s="547" t="s">
        <v>5430</v>
      </c>
      <c r="C3151" s="554" t="s">
        <v>6204</v>
      </c>
      <c r="D3151" s="554" t="s">
        <v>8144</v>
      </c>
      <c r="E3151" s="554"/>
      <c r="F3151" s="571">
        <v>1</v>
      </c>
      <c r="G3151" s="572">
        <v>162</v>
      </c>
      <c r="H3151" s="545">
        <v>162</v>
      </c>
      <c r="I3151" s="554" t="s">
        <v>9218</v>
      </c>
      <c r="J3151" s="554" t="s">
        <v>9219</v>
      </c>
      <c r="K3151" s="554" t="s">
        <v>9219</v>
      </c>
      <c r="L3151" s="537" t="s">
        <v>2354</v>
      </c>
    </row>
    <row r="3152" spans="1:12" x14ac:dyDescent="0.2">
      <c r="A3152" s="570" t="s">
        <v>220</v>
      </c>
      <c r="B3152" s="547" t="s">
        <v>5430</v>
      </c>
      <c r="C3152" s="554" t="s">
        <v>6206</v>
      </c>
      <c r="D3152" s="554" t="s">
        <v>6207</v>
      </c>
      <c r="E3152" s="554"/>
      <c r="F3152" s="571">
        <v>2</v>
      </c>
      <c r="G3152" s="572">
        <v>162</v>
      </c>
      <c r="H3152" s="545">
        <v>324</v>
      </c>
      <c r="I3152" s="554" t="s">
        <v>9218</v>
      </c>
      <c r="J3152" s="554" t="s">
        <v>9219</v>
      </c>
      <c r="K3152" s="554" t="s">
        <v>9219</v>
      </c>
      <c r="L3152" s="537" t="s">
        <v>2354</v>
      </c>
    </row>
    <row r="3153" spans="1:12" x14ac:dyDescent="0.2">
      <c r="A3153" s="570" t="s">
        <v>220</v>
      </c>
      <c r="B3153" s="547" t="s">
        <v>5430</v>
      </c>
      <c r="C3153" s="554" t="s">
        <v>6208</v>
      </c>
      <c r="D3153" s="554" t="s">
        <v>8145</v>
      </c>
      <c r="E3153" s="554"/>
      <c r="F3153" s="571">
        <v>2</v>
      </c>
      <c r="G3153" s="572">
        <v>162</v>
      </c>
      <c r="H3153" s="545">
        <v>324</v>
      </c>
      <c r="I3153" s="554" t="s">
        <v>9218</v>
      </c>
      <c r="J3153" s="554" t="s">
        <v>9219</v>
      </c>
      <c r="K3153" s="554" t="s">
        <v>9219</v>
      </c>
      <c r="L3153" s="537" t="s">
        <v>2354</v>
      </c>
    </row>
    <row r="3154" spans="1:12" x14ac:dyDescent="0.2">
      <c r="A3154" s="570" t="s">
        <v>220</v>
      </c>
      <c r="B3154" s="547" t="s">
        <v>5430</v>
      </c>
      <c r="C3154" s="554" t="s">
        <v>6210</v>
      </c>
      <c r="D3154" s="554" t="s">
        <v>8146</v>
      </c>
      <c r="E3154" s="554"/>
      <c r="F3154" s="571">
        <v>5</v>
      </c>
      <c r="G3154" s="572">
        <v>179.5</v>
      </c>
      <c r="H3154" s="545">
        <v>897.5</v>
      </c>
      <c r="I3154" s="554" t="s">
        <v>9218</v>
      </c>
      <c r="J3154" s="554" t="s">
        <v>9219</v>
      </c>
      <c r="K3154" s="554" t="s">
        <v>9219</v>
      </c>
      <c r="L3154" s="537" t="s">
        <v>2354</v>
      </c>
    </row>
    <row r="3155" spans="1:12" x14ac:dyDescent="0.2">
      <c r="A3155" s="570" t="s">
        <v>220</v>
      </c>
      <c r="B3155" s="547" t="s">
        <v>5430</v>
      </c>
      <c r="C3155" s="554" t="s">
        <v>6212</v>
      </c>
      <c r="D3155" s="554" t="s">
        <v>8147</v>
      </c>
      <c r="E3155" s="554"/>
      <c r="F3155" s="571">
        <v>1</v>
      </c>
      <c r="G3155" s="572">
        <v>405.87799999999999</v>
      </c>
      <c r="H3155" s="545">
        <v>405.87799999999999</v>
      </c>
      <c r="I3155" s="554" t="s">
        <v>9218</v>
      </c>
      <c r="J3155" s="554" t="s">
        <v>9219</v>
      </c>
      <c r="K3155" s="554" t="s">
        <v>9219</v>
      </c>
      <c r="L3155" s="537" t="s">
        <v>2354</v>
      </c>
    </row>
    <row r="3156" spans="1:12" x14ac:dyDescent="0.2">
      <c r="A3156" s="570" t="s">
        <v>220</v>
      </c>
      <c r="B3156" s="547" t="s">
        <v>5430</v>
      </c>
      <c r="C3156" s="554" t="s">
        <v>6214</v>
      </c>
      <c r="D3156" s="554" t="s">
        <v>8148</v>
      </c>
      <c r="E3156" s="554"/>
      <c r="F3156" s="571">
        <v>4</v>
      </c>
      <c r="G3156" s="572">
        <v>578.02599999999995</v>
      </c>
      <c r="H3156" s="545">
        <v>2312.1039999999998</v>
      </c>
      <c r="I3156" s="554" t="s">
        <v>9218</v>
      </c>
      <c r="J3156" s="554" t="s">
        <v>9219</v>
      </c>
      <c r="K3156" s="554" t="s">
        <v>9219</v>
      </c>
      <c r="L3156" s="537" t="s">
        <v>2354</v>
      </c>
    </row>
    <row r="3157" spans="1:12" x14ac:dyDescent="0.2">
      <c r="A3157" s="570" t="s">
        <v>220</v>
      </c>
      <c r="B3157" s="547" t="s">
        <v>5430</v>
      </c>
      <c r="C3157" s="554" t="s">
        <v>8149</v>
      </c>
      <c r="D3157" s="554" t="s">
        <v>8150</v>
      </c>
      <c r="E3157" s="554"/>
      <c r="F3157" s="571">
        <v>2</v>
      </c>
      <c r="G3157" s="572">
        <v>598.4</v>
      </c>
      <c r="H3157" s="545">
        <v>1196.8</v>
      </c>
      <c r="I3157" s="554" t="s">
        <v>9218</v>
      </c>
      <c r="J3157" s="554" t="s">
        <v>9219</v>
      </c>
      <c r="K3157" s="554" t="s">
        <v>9219</v>
      </c>
      <c r="L3157" s="537" t="s">
        <v>2354</v>
      </c>
    </row>
    <row r="3158" spans="1:12" x14ac:dyDescent="0.2">
      <c r="A3158" s="570" t="s">
        <v>220</v>
      </c>
      <c r="B3158" s="547" t="s">
        <v>5430</v>
      </c>
      <c r="C3158" s="554" t="s">
        <v>6216</v>
      </c>
      <c r="D3158" s="554" t="s">
        <v>8151</v>
      </c>
      <c r="E3158" s="554"/>
      <c r="F3158" s="571">
        <v>1</v>
      </c>
      <c r="G3158" s="572">
        <v>414</v>
      </c>
      <c r="H3158" s="545">
        <v>414</v>
      </c>
      <c r="I3158" s="554" t="s">
        <v>9218</v>
      </c>
      <c r="J3158" s="554" t="s">
        <v>9219</v>
      </c>
      <c r="K3158" s="554" t="s">
        <v>9219</v>
      </c>
      <c r="L3158" s="537" t="s">
        <v>2354</v>
      </c>
    </row>
    <row r="3159" spans="1:12" x14ac:dyDescent="0.2">
      <c r="A3159" s="570" t="s">
        <v>220</v>
      </c>
      <c r="B3159" s="547" t="s">
        <v>5430</v>
      </c>
      <c r="C3159" s="554" t="s">
        <v>6218</v>
      </c>
      <c r="D3159" s="554" t="s">
        <v>9437</v>
      </c>
      <c r="E3159" s="554"/>
      <c r="F3159" s="571">
        <v>3</v>
      </c>
      <c r="G3159" s="572">
        <v>190.8</v>
      </c>
      <c r="H3159" s="545">
        <v>572.40000000000009</v>
      </c>
      <c r="I3159" s="554" t="s">
        <v>9218</v>
      </c>
      <c r="J3159" s="554" t="s">
        <v>9219</v>
      </c>
      <c r="K3159" s="554" t="s">
        <v>9219</v>
      </c>
      <c r="L3159" s="537" t="s">
        <v>2354</v>
      </c>
    </row>
    <row r="3160" spans="1:12" x14ac:dyDescent="0.2">
      <c r="A3160" s="570" t="s">
        <v>220</v>
      </c>
      <c r="B3160" s="547" t="s">
        <v>5430</v>
      </c>
      <c r="C3160" s="554" t="s">
        <v>5568</v>
      </c>
      <c r="D3160" s="554" t="s">
        <v>5569</v>
      </c>
      <c r="E3160" s="554"/>
      <c r="F3160" s="571">
        <v>39</v>
      </c>
      <c r="G3160" s="572">
        <v>321.209</v>
      </c>
      <c r="H3160" s="545">
        <v>12527.151</v>
      </c>
      <c r="I3160" s="554" t="s">
        <v>9218</v>
      </c>
      <c r="J3160" s="554" t="s">
        <v>9219</v>
      </c>
      <c r="K3160" s="554" t="s">
        <v>9219</v>
      </c>
      <c r="L3160" s="537" t="s">
        <v>2354</v>
      </c>
    </row>
    <row r="3161" spans="1:12" x14ac:dyDescent="0.2">
      <c r="A3161" s="570" t="s">
        <v>220</v>
      </c>
      <c r="B3161" s="547" t="s">
        <v>5430</v>
      </c>
      <c r="C3161" s="554" t="s">
        <v>8152</v>
      </c>
      <c r="D3161" s="554" t="s">
        <v>8153</v>
      </c>
      <c r="E3161" s="554"/>
      <c r="F3161" s="571">
        <v>9</v>
      </c>
      <c r="G3161" s="572">
        <v>80.099999999999994</v>
      </c>
      <c r="H3161" s="545">
        <v>720.9</v>
      </c>
      <c r="I3161" s="554" t="s">
        <v>9218</v>
      </c>
      <c r="J3161" s="554" t="s">
        <v>9219</v>
      </c>
      <c r="K3161" s="554" t="s">
        <v>9219</v>
      </c>
      <c r="L3161" s="537" t="s">
        <v>2354</v>
      </c>
    </row>
    <row r="3162" spans="1:12" x14ac:dyDescent="0.2">
      <c r="A3162" s="570" t="s">
        <v>220</v>
      </c>
      <c r="B3162" s="547" t="s">
        <v>5430</v>
      </c>
      <c r="C3162" s="554" t="s">
        <v>6222</v>
      </c>
      <c r="D3162" s="554" t="s">
        <v>8154</v>
      </c>
      <c r="E3162" s="554"/>
      <c r="F3162" s="571">
        <v>2</v>
      </c>
      <c r="G3162" s="572">
        <v>123.69199999999999</v>
      </c>
      <c r="H3162" s="545">
        <v>247.38399999999999</v>
      </c>
      <c r="I3162" s="554" t="s">
        <v>9218</v>
      </c>
      <c r="J3162" s="554" t="s">
        <v>9219</v>
      </c>
      <c r="K3162" s="554" t="s">
        <v>9219</v>
      </c>
      <c r="L3162" s="537" t="s">
        <v>2354</v>
      </c>
    </row>
    <row r="3163" spans="1:12" x14ac:dyDescent="0.2">
      <c r="A3163" s="570" t="s">
        <v>220</v>
      </c>
      <c r="B3163" s="547" t="s">
        <v>5430</v>
      </c>
      <c r="C3163" s="554" t="s">
        <v>6224</v>
      </c>
      <c r="D3163" s="554" t="s">
        <v>6225</v>
      </c>
      <c r="E3163" s="554"/>
      <c r="F3163" s="571">
        <v>7</v>
      </c>
      <c r="G3163" s="572">
        <v>50.92</v>
      </c>
      <c r="H3163" s="545">
        <v>356.44</v>
      </c>
      <c r="I3163" s="554" t="s">
        <v>9218</v>
      </c>
      <c r="J3163" s="554" t="s">
        <v>9219</v>
      </c>
      <c r="K3163" s="554" t="s">
        <v>9219</v>
      </c>
      <c r="L3163" s="537" t="s">
        <v>2354</v>
      </c>
    </row>
    <row r="3164" spans="1:12" x14ac:dyDescent="0.2">
      <c r="A3164" s="570" t="s">
        <v>220</v>
      </c>
      <c r="B3164" s="547" t="s">
        <v>5430</v>
      </c>
      <c r="C3164" s="554" t="s">
        <v>6226</v>
      </c>
      <c r="D3164" s="554" t="s">
        <v>8155</v>
      </c>
      <c r="E3164" s="554"/>
      <c r="F3164" s="571">
        <v>7</v>
      </c>
      <c r="G3164" s="572">
        <v>183.6</v>
      </c>
      <c r="H3164" s="545">
        <v>1285.2</v>
      </c>
      <c r="I3164" s="554" t="s">
        <v>9218</v>
      </c>
      <c r="J3164" s="554" t="s">
        <v>9219</v>
      </c>
      <c r="K3164" s="554" t="s">
        <v>9219</v>
      </c>
      <c r="L3164" s="537" t="s">
        <v>2354</v>
      </c>
    </row>
    <row r="3165" spans="1:12" x14ac:dyDescent="0.2">
      <c r="A3165" s="570" t="s">
        <v>220</v>
      </c>
      <c r="B3165" s="547" t="s">
        <v>5430</v>
      </c>
      <c r="C3165" s="554" t="s">
        <v>6228</v>
      </c>
      <c r="D3165" s="554" t="s">
        <v>6229</v>
      </c>
      <c r="E3165" s="554"/>
      <c r="F3165" s="571">
        <v>8</v>
      </c>
      <c r="G3165" s="572">
        <v>51.457999999999998</v>
      </c>
      <c r="H3165" s="545">
        <v>411.66399999999999</v>
      </c>
      <c r="I3165" s="554" t="s">
        <v>9218</v>
      </c>
      <c r="J3165" s="554" t="s">
        <v>9219</v>
      </c>
      <c r="K3165" s="554" t="s">
        <v>9219</v>
      </c>
      <c r="L3165" s="537" t="s">
        <v>2354</v>
      </c>
    </row>
    <row r="3166" spans="1:12" x14ac:dyDescent="0.2">
      <c r="A3166" s="570" t="s">
        <v>220</v>
      </c>
      <c r="B3166" s="547" t="s">
        <v>5430</v>
      </c>
      <c r="C3166" s="554" t="s">
        <v>6230</v>
      </c>
      <c r="D3166" s="554" t="s">
        <v>6231</v>
      </c>
      <c r="E3166" s="554"/>
      <c r="F3166" s="571">
        <v>4</v>
      </c>
      <c r="G3166" s="572">
        <v>87.867999999999995</v>
      </c>
      <c r="H3166" s="545">
        <v>351.47199999999998</v>
      </c>
      <c r="I3166" s="554" t="s">
        <v>9218</v>
      </c>
      <c r="J3166" s="554" t="s">
        <v>9219</v>
      </c>
      <c r="K3166" s="554" t="s">
        <v>9219</v>
      </c>
      <c r="L3166" s="537" t="s">
        <v>2354</v>
      </c>
    </row>
    <row r="3167" spans="1:12" x14ac:dyDescent="0.2">
      <c r="A3167" s="570" t="s">
        <v>220</v>
      </c>
      <c r="B3167" s="547" t="s">
        <v>5430</v>
      </c>
      <c r="C3167" s="554" t="s">
        <v>5456</v>
      </c>
      <c r="D3167" s="554" t="s">
        <v>8156</v>
      </c>
      <c r="E3167" s="554"/>
      <c r="F3167" s="571">
        <v>9</v>
      </c>
      <c r="G3167" s="572">
        <v>4.8849999999999998</v>
      </c>
      <c r="H3167" s="545">
        <v>43.964999999999996</v>
      </c>
      <c r="I3167" s="554" t="s">
        <v>9218</v>
      </c>
      <c r="J3167" s="554" t="s">
        <v>9219</v>
      </c>
      <c r="K3167" s="554" t="s">
        <v>9219</v>
      </c>
      <c r="L3167" s="537" t="s">
        <v>2354</v>
      </c>
    </row>
    <row r="3168" spans="1:12" x14ac:dyDescent="0.2">
      <c r="A3168" s="570" t="s">
        <v>220</v>
      </c>
      <c r="B3168" s="547" t="s">
        <v>5430</v>
      </c>
      <c r="C3168" s="554" t="s">
        <v>8157</v>
      </c>
      <c r="D3168" s="554" t="s">
        <v>8158</v>
      </c>
      <c r="E3168" s="554"/>
      <c r="F3168" s="571">
        <v>1</v>
      </c>
      <c r="G3168" s="572">
        <v>515.70000000000005</v>
      </c>
      <c r="H3168" s="545">
        <v>515.70000000000005</v>
      </c>
      <c r="I3168" s="554" t="s">
        <v>9218</v>
      </c>
      <c r="J3168" s="554" t="s">
        <v>9219</v>
      </c>
      <c r="K3168" s="554" t="s">
        <v>9219</v>
      </c>
      <c r="L3168" s="537" t="s">
        <v>2354</v>
      </c>
    </row>
    <row r="3169" spans="1:12" x14ac:dyDescent="0.2">
      <c r="A3169" s="570" t="s">
        <v>220</v>
      </c>
      <c r="B3169" s="547" t="s">
        <v>5430</v>
      </c>
      <c r="C3169" s="554" t="s">
        <v>6251</v>
      </c>
      <c r="D3169" s="554" t="s">
        <v>6252</v>
      </c>
      <c r="E3169" s="554"/>
      <c r="F3169" s="571">
        <v>96</v>
      </c>
      <c r="G3169" s="572">
        <v>29.913</v>
      </c>
      <c r="H3169" s="545">
        <v>2871.6480000000001</v>
      </c>
      <c r="I3169" s="554" t="s">
        <v>9218</v>
      </c>
      <c r="J3169" s="554" t="s">
        <v>9219</v>
      </c>
      <c r="K3169" s="554" t="s">
        <v>9219</v>
      </c>
      <c r="L3169" s="537" t="s">
        <v>2354</v>
      </c>
    </row>
    <row r="3170" spans="1:12" x14ac:dyDescent="0.2">
      <c r="A3170" s="570" t="s">
        <v>220</v>
      </c>
      <c r="B3170" s="547" t="s">
        <v>5430</v>
      </c>
      <c r="C3170" s="554" t="s">
        <v>8159</v>
      </c>
      <c r="D3170" s="554" t="s">
        <v>8160</v>
      </c>
      <c r="E3170" s="554"/>
      <c r="F3170" s="571">
        <v>0.5</v>
      </c>
      <c r="G3170" s="572">
        <v>7.8650000000000002</v>
      </c>
      <c r="H3170" s="545">
        <v>3.9325000000000001</v>
      </c>
      <c r="I3170" s="554" t="s">
        <v>9218</v>
      </c>
      <c r="J3170" s="554" t="s">
        <v>9219</v>
      </c>
      <c r="K3170" s="554" t="s">
        <v>9219</v>
      </c>
      <c r="L3170" s="537" t="s">
        <v>2354</v>
      </c>
    </row>
    <row r="3171" spans="1:12" x14ac:dyDescent="0.2">
      <c r="A3171" s="570" t="s">
        <v>220</v>
      </c>
      <c r="B3171" s="547" t="s">
        <v>5430</v>
      </c>
      <c r="C3171" s="554" t="s">
        <v>6373</v>
      </c>
      <c r="D3171" s="554" t="s">
        <v>8161</v>
      </c>
      <c r="E3171" s="554"/>
      <c r="F3171" s="571">
        <v>1</v>
      </c>
      <c r="G3171" s="572">
        <v>125.15600000000001</v>
      </c>
      <c r="H3171" s="545">
        <v>125.15600000000001</v>
      </c>
      <c r="I3171" s="554" t="s">
        <v>9218</v>
      </c>
      <c r="J3171" s="554" t="s">
        <v>9219</v>
      </c>
      <c r="K3171" s="554" t="s">
        <v>9219</v>
      </c>
      <c r="L3171" s="537" t="s">
        <v>2354</v>
      </c>
    </row>
    <row r="3172" spans="1:12" x14ac:dyDescent="0.2">
      <c r="A3172" s="570" t="s">
        <v>220</v>
      </c>
      <c r="B3172" s="547" t="s">
        <v>5430</v>
      </c>
      <c r="C3172" s="554" t="s">
        <v>3417</v>
      </c>
      <c r="D3172" s="554" t="s">
        <v>8162</v>
      </c>
      <c r="E3172" s="554"/>
      <c r="F3172" s="571">
        <v>1</v>
      </c>
      <c r="G3172" s="572">
        <v>82.466999999999999</v>
      </c>
      <c r="H3172" s="545">
        <v>82.466999999999999</v>
      </c>
      <c r="I3172" s="554" t="s">
        <v>9218</v>
      </c>
      <c r="J3172" s="554" t="s">
        <v>9219</v>
      </c>
      <c r="K3172" s="554" t="s">
        <v>9219</v>
      </c>
      <c r="L3172" s="537" t="s">
        <v>2354</v>
      </c>
    </row>
    <row r="3173" spans="1:12" x14ac:dyDescent="0.2">
      <c r="A3173" s="570" t="s">
        <v>220</v>
      </c>
      <c r="B3173" s="547" t="s">
        <v>5430</v>
      </c>
      <c r="C3173" s="554" t="s">
        <v>6375</v>
      </c>
      <c r="D3173" s="554" t="s">
        <v>6376</v>
      </c>
      <c r="E3173" s="554"/>
      <c r="F3173" s="571">
        <v>4</v>
      </c>
      <c r="G3173" s="572">
        <v>5.2130000000000001</v>
      </c>
      <c r="H3173" s="545">
        <v>20.852</v>
      </c>
      <c r="I3173" s="554" t="s">
        <v>9218</v>
      </c>
      <c r="J3173" s="554" t="s">
        <v>9219</v>
      </c>
      <c r="K3173" s="554" t="s">
        <v>9219</v>
      </c>
      <c r="L3173" s="537" t="s">
        <v>2354</v>
      </c>
    </row>
    <row r="3174" spans="1:12" x14ac:dyDescent="0.2">
      <c r="A3174" s="570" t="s">
        <v>220</v>
      </c>
      <c r="B3174" s="547" t="s">
        <v>5430</v>
      </c>
      <c r="C3174" s="554" t="s">
        <v>8163</v>
      </c>
      <c r="D3174" s="554" t="s">
        <v>8164</v>
      </c>
      <c r="E3174" s="554"/>
      <c r="F3174" s="571">
        <v>3</v>
      </c>
      <c r="G3174" s="572">
        <v>2.5830000000000002</v>
      </c>
      <c r="H3174" s="545">
        <v>7.7490000000000006</v>
      </c>
      <c r="I3174" s="554" t="s">
        <v>9218</v>
      </c>
      <c r="J3174" s="554" t="s">
        <v>9219</v>
      </c>
      <c r="K3174" s="554" t="s">
        <v>9219</v>
      </c>
      <c r="L3174" s="537" t="s">
        <v>2354</v>
      </c>
    </row>
    <row r="3175" spans="1:12" x14ac:dyDescent="0.2">
      <c r="A3175" s="570" t="s">
        <v>220</v>
      </c>
      <c r="B3175" s="547" t="s">
        <v>5430</v>
      </c>
      <c r="C3175" s="554" t="s">
        <v>8165</v>
      </c>
      <c r="D3175" s="554" t="s">
        <v>8166</v>
      </c>
      <c r="E3175" s="554"/>
      <c r="F3175" s="571">
        <v>28</v>
      </c>
      <c r="G3175" s="572">
        <v>2.5489999999999999</v>
      </c>
      <c r="H3175" s="545">
        <v>71.372</v>
      </c>
      <c r="I3175" s="554" t="s">
        <v>9218</v>
      </c>
      <c r="J3175" s="554" t="s">
        <v>9219</v>
      </c>
      <c r="K3175" s="554" t="s">
        <v>9219</v>
      </c>
      <c r="L3175" s="537" t="s">
        <v>2354</v>
      </c>
    </row>
    <row r="3176" spans="1:12" x14ac:dyDescent="0.2">
      <c r="A3176" s="570" t="s">
        <v>220</v>
      </c>
      <c r="B3176" s="547" t="s">
        <v>5430</v>
      </c>
      <c r="C3176" s="554" t="s">
        <v>6377</v>
      </c>
      <c r="D3176" s="554" t="s">
        <v>8167</v>
      </c>
      <c r="E3176" s="554"/>
      <c r="F3176" s="571">
        <v>5</v>
      </c>
      <c r="G3176" s="572">
        <v>4.548</v>
      </c>
      <c r="H3176" s="545">
        <v>22.740000000000002</v>
      </c>
      <c r="I3176" s="554" t="s">
        <v>9218</v>
      </c>
      <c r="J3176" s="554" t="s">
        <v>9219</v>
      </c>
      <c r="K3176" s="554" t="s">
        <v>9219</v>
      </c>
      <c r="L3176" s="537" t="s">
        <v>2354</v>
      </c>
    </row>
    <row r="3177" spans="1:12" x14ac:dyDescent="0.2">
      <c r="A3177" s="570" t="s">
        <v>220</v>
      </c>
      <c r="B3177" s="547" t="s">
        <v>5430</v>
      </c>
      <c r="C3177" s="554" t="s">
        <v>6379</v>
      </c>
      <c r="D3177" s="554" t="s">
        <v>8168</v>
      </c>
      <c r="E3177" s="554"/>
      <c r="F3177" s="571">
        <v>1</v>
      </c>
      <c r="G3177" s="572">
        <v>39.973999999999997</v>
      </c>
      <c r="H3177" s="545">
        <v>39.973999999999997</v>
      </c>
      <c r="I3177" s="554" t="s">
        <v>9218</v>
      </c>
      <c r="J3177" s="554" t="s">
        <v>9219</v>
      </c>
      <c r="K3177" s="554" t="s">
        <v>9219</v>
      </c>
      <c r="L3177" s="537" t="s">
        <v>2354</v>
      </c>
    </row>
    <row r="3178" spans="1:12" x14ac:dyDescent="0.2">
      <c r="A3178" s="570" t="s">
        <v>220</v>
      </c>
      <c r="B3178" s="547" t="s">
        <v>5430</v>
      </c>
      <c r="C3178" s="554" t="s">
        <v>6381</v>
      </c>
      <c r="D3178" s="554" t="s">
        <v>8169</v>
      </c>
      <c r="E3178" s="554"/>
      <c r="F3178" s="571">
        <v>6</v>
      </c>
      <c r="G3178" s="572">
        <v>5.94</v>
      </c>
      <c r="H3178" s="545">
        <v>35.64</v>
      </c>
      <c r="I3178" s="554" t="s">
        <v>9218</v>
      </c>
      <c r="J3178" s="554" t="s">
        <v>9219</v>
      </c>
      <c r="K3178" s="554" t="s">
        <v>9219</v>
      </c>
      <c r="L3178" s="537" t="s">
        <v>2354</v>
      </c>
    </row>
    <row r="3179" spans="1:12" x14ac:dyDescent="0.2">
      <c r="A3179" s="570" t="s">
        <v>220</v>
      </c>
      <c r="B3179" s="547" t="s">
        <v>5430</v>
      </c>
      <c r="C3179" s="554" t="s">
        <v>6383</v>
      </c>
      <c r="D3179" s="554" t="s">
        <v>8170</v>
      </c>
      <c r="E3179" s="554"/>
      <c r="F3179" s="571">
        <v>10</v>
      </c>
      <c r="G3179" s="572">
        <v>2.5449999999999999</v>
      </c>
      <c r="H3179" s="545">
        <v>25.45</v>
      </c>
      <c r="I3179" s="554" t="s">
        <v>9218</v>
      </c>
      <c r="J3179" s="554" t="s">
        <v>9219</v>
      </c>
      <c r="K3179" s="554" t="s">
        <v>9219</v>
      </c>
      <c r="L3179" s="537" t="s">
        <v>2354</v>
      </c>
    </row>
    <row r="3180" spans="1:12" x14ac:dyDescent="0.2">
      <c r="A3180" s="570" t="s">
        <v>220</v>
      </c>
      <c r="B3180" s="547" t="s">
        <v>5430</v>
      </c>
      <c r="C3180" s="554" t="s">
        <v>6385</v>
      </c>
      <c r="D3180" s="554" t="s">
        <v>8171</v>
      </c>
      <c r="E3180" s="554"/>
      <c r="F3180" s="571">
        <v>4</v>
      </c>
      <c r="G3180" s="572">
        <v>59.351999999999997</v>
      </c>
      <c r="H3180" s="545">
        <v>237.40799999999999</v>
      </c>
      <c r="I3180" s="554" t="s">
        <v>9218</v>
      </c>
      <c r="J3180" s="554" t="s">
        <v>9219</v>
      </c>
      <c r="K3180" s="554" t="s">
        <v>9219</v>
      </c>
      <c r="L3180" s="537" t="s">
        <v>2354</v>
      </c>
    </row>
    <row r="3181" spans="1:12" x14ac:dyDescent="0.2">
      <c r="A3181" s="570" t="s">
        <v>220</v>
      </c>
      <c r="B3181" s="547" t="s">
        <v>5430</v>
      </c>
      <c r="C3181" s="554" t="s">
        <v>6387</v>
      </c>
      <c r="D3181" s="554" t="s">
        <v>8172</v>
      </c>
      <c r="E3181" s="554"/>
      <c r="F3181" s="571">
        <v>1</v>
      </c>
      <c r="G3181" s="572">
        <v>37.799999999999997</v>
      </c>
      <c r="H3181" s="545">
        <v>37.799999999999997</v>
      </c>
      <c r="I3181" s="554" t="s">
        <v>9218</v>
      </c>
      <c r="J3181" s="554" t="s">
        <v>9219</v>
      </c>
      <c r="K3181" s="554" t="s">
        <v>9219</v>
      </c>
      <c r="L3181" s="537" t="s">
        <v>2354</v>
      </c>
    </row>
    <row r="3182" spans="1:12" x14ac:dyDescent="0.2">
      <c r="A3182" s="570" t="s">
        <v>220</v>
      </c>
      <c r="B3182" s="547" t="s">
        <v>5430</v>
      </c>
      <c r="C3182" s="554" t="s">
        <v>6389</v>
      </c>
      <c r="D3182" s="554" t="s">
        <v>8173</v>
      </c>
      <c r="E3182" s="554"/>
      <c r="F3182" s="571">
        <v>1</v>
      </c>
      <c r="G3182" s="572">
        <v>43.271999999999998</v>
      </c>
      <c r="H3182" s="545">
        <v>43.271999999999998</v>
      </c>
      <c r="I3182" s="554" t="s">
        <v>9218</v>
      </c>
      <c r="J3182" s="554" t="s">
        <v>9219</v>
      </c>
      <c r="K3182" s="554" t="s">
        <v>9219</v>
      </c>
      <c r="L3182" s="537" t="s">
        <v>2354</v>
      </c>
    </row>
    <row r="3183" spans="1:12" x14ac:dyDescent="0.2">
      <c r="A3183" s="570" t="s">
        <v>220</v>
      </c>
      <c r="B3183" s="547" t="s">
        <v>5430</v>
      </c>
      <c r="C3183" s="554" t="s">
        <v>6391</v>
      </c>
      <c r="D3183" s="554" t="s">
        <v>8174</v>
      </c>
      <c r="E3183" s="554"/>
      <c r="F3183" s="571">
        <v>30</v>
      </c>
      <c r="G3183" s="572">
        <v>1.9850000000000001</v>
      </c>
      <c r="H3183" s="545">
        <v>59.550000000000004</v>
      </c>
      <c r="I3183" s="554" t="s">
        <v>9218</v>
      </c>
      <c r="J3183" s="554" t="s">
        <v>9219</v>
      </c>
      <c r="K3183" s="554" t="s">
        <v>9219</v>
      </c>
      <c r="L3183" s="537" t="s">
        <v>2354</v>
      </c>
    </row>
    <row r="3184" spans="1:12" x14ac:dyDescent="0.2">
      <c r="A3184" s="570" t="s">
        <v>220</v>
      </c>
      <c r="B3184" s="547" t="s">
        <v>5430</v>
      </c>
      <c r="C3184" s="554" t="s">
        <v>6393</v>
      </c>
      <c r="D3184" s="554" t="s">
        <v>8175</v>
      </c>
      <c r="E3184" s="554"/>
      <c r="F3184" s="571">
        <v>4</v>
      </c>
      <c r="G3184" s="572">
        <v>5.3070000000000004</v>
      </c>
      <c r="H3184" s="545">
        <v>21.228000000000002</v>
      </c>
      <c r="I3184" s="554" t="s">
        <v>9218</v>
      </c>
      <c r="J3184" s="554" t="s">
        <v>9219</v>
      </c>
      <c r="K3184" s="554" t="s">
        <v>9219</v>
      </c>
      <c r="L3184" s="537" t="s">
        <v>2354</v>
      </c>
    </row>
    <row r="3185" spans="1:12" x14ac:dyDescent="0.2">
      <c r="A3185" s="570" t="s">
        <v>220</v>
      </c>
      <c r="B3185" s="547" t="s">
        <v>5430</v>
      </c>
      <c r="C3185" s="554" t="s">
        <v>6395</v>
      </c>
      <c r="D3185" s="554" t="s">
        <v>8176</v>
      </c>
      <c r="E3185" s="554"/>
      <c r="F3185" s="571">
        <v>1</v>
      </c>
      <c r="G3185" s="572">
        <v>4.7629999999999999</v>
      </c>
      <c r="H3185" s="545">
        <v>4.7629999999999999</v>
      </c>
      <c r="I3185" s="554" t="s">
        <v>9218</v>
      </c>
      <c r="J3185" s="554" t="s">
        <v>9219</v>
      </c>
      <c r="K3185" s="554" t="s">
        <v>9219</v>
      </c>
      <c r="L3185" s="537" t="s">
        <v>2354</v>
      </c>
    </row>
    <row r="3186" spans="1:12" x14ac:dyDescent="0.2">
      <c r="A3186" s="570" t="s">
        <v>220</v>
      </c>
      <c r="B3186" s="547" t="s">
        <v>5430</v>
      </c>
      <c r="C3186" s="554" t="s">
        <v>6397</v>
      </c>
      <c r="D3186" s="554" t="s">
        <v>8177</v>
      </c>
      <c r="E3186" s="554"/>
      <c r="F3186" s="571">
        <v>2</v>
      </c>
      <c r="G3186" s="572">
        <v>28.116</v>
      </c>
      <c r="H3186" s="545">
        <v>56.231999999999999</v>
      </c>
      <c r="I3186" s="554" t="s">
        <v>9218</v>
      </c>
      <c r="J3186" s="554" t="s">
        <v>9219</v>
      </c>
      <c r="K3186" s="554" t="s">
        <v>9219</v>
      </c>
      <c r="L3186" s="537" t="s">
        <v>2354</v>
      </c>
    </row>
    <row r="3187" spans="1:12" x14ac:dyDescent="0.2">
      <c r="A3187" s="570" t="s">
        <v>220</v>
      </c>
      <c r="B3187" s="547" t="s">
        <v>5430</v>
      </c>
      <c r="C3187" s="554" t="s">
        <v>6399</v>
      </c>
      <c r="D3187" s="554" t="s">
        <v>8178</v>
      </c>
      <c r="E3187" s="554"/>
      <c r="F3187" s="571">
        <v>25</v>
      </c>
      <c r="G3187" s="572">
        <v>4.32</v>
      </c>
      <c r="H3187" s="545">
        <v>108</v>
      </c>
      <c r="I3187" s="554" t="s">
        <v>9218</v>
      </c>
      <c r="J3187" s="554" t="s">
        <v>9219</v>
      </c>
      <c r="K3187" s="554" t="s">
        <v>9219</v>
      </c>
      <c r="L3187" s="537" t="s">
        <v>2354</v>
      </c>
    </row>
    <row r="3188" spans="1:12" x14ac:dyDescent="0.2">
      <c r="A3188" s="570" t="s">
        <v>220</v>
      </c>
      <c r="B3188" s="547" t="s">
        <v>5430</v>
      </c>
      <c r="C3188" s="554" t="s">
        <v>8179</v>
      </c>
      <c r="D3188" s="554" t="s">
        <v>8180</v>
      </c>
      <c r="E3188" s="554"/>
      <c r="F3188" s="571">
        <v>1</v>
      </c>
      <c r="G3188" s="572">
        <v>50.58</v>
      </c>
      <c r="H3188" s="545">
        <v>50.58</v>
      </c>
      <c r="I3188" s="554" t="s">
        <v>9218</v>
      </c>
      <c r="J3188" s="554" t="s">
        <v>9219</v>
      </c>
      <c r="K3188" s="554" t="s">
        <v>9219</v>
      </c>
      <c r="L3188" s="537" t="s">
        <v>2354</v>
      </c>
    </row>
    <row r="3189" spans="1:12" x14ac:dyDescent="0.2">
      <c r="A3189" s="570" t="s">
        <v>220</v>
      </c>
      <c r="B3189" s="547" t="s">
        <v>5430</v>
      </c>
      <c r="C3189" s="554" t="s">
        <v>8181</v>
      </c>
      <c r="D3189" s="554" t="s">
        <v>8182</v>
      </c>
      <c r="E3189" s="554"/>
      <c r="F3189" s="571">
        <v>2</v>
      </c>
      <c r="G3189" s="572">
        <v>85.850999999999999</v>
      </c>
      <c r="H3189" s="545">
        <v>171.702</v>
      </c>
      <c r="I3189" s="554" t="s">
        <v>9218</v>
      </c>
      <c r="J3189" s="554" t="s">
        <v>9219</v>
      </c>
      <c r="K3189" s="554" t="s">
        <v>9219</v>
      </c>
      <c r="L3189" s="537" t="s">
        <v>2354</v>
      </c>
    </row>
    <row r="3190" spans="1:12" x14ac:dyDescent="0.2">
      <c r="A3190" s="570" t="s">
        <v>220</v>
      </c>
      <c r="B3190" s="547" t="s">
        <v>5430</v>
      </c>
      <c r="C3190" s="554" t="s">
        <v>8183</v>
      </c>
      <c r="D3190" s="554" t="s">
        <v>8184</v>
      </c>
      <c r="E3190" s="554"/>
      <c r="F3190" s="571">
        <v>1</v>
      </c>
      <c r="G3190" s="572">
        <v>35.085999999999999</v>
      </c>
      <c r="H3190" s="545">
        <v>35.085999999999999</v>
      </c>
      <c r="I3190" s="554" t="s">
        <v>9218</v>
      </c>
      <c r="J3190" s="554" t="s">
        <v>9219</v>
      </c>
      <c r="K3190" s="554" t="s">
        <v>9219</v>
      </c>
      <c r="L3190" s="537" t="s">
        <v>2354</v>
      </c>
    </row>
    <row r="3191" spans="1:12" x14ac:dyDescent="0.2">
      <c r="A3191" s="570" t="s">
        <v>220</v>
      </c>
      <c r="B3191" s="547" t="s">
        <v>5430</v>
      </c>
      <c r="C3191" s="554" t="s">
        <v>8185</v>
      </c>
      <c r="D3191" s="554" t="s">
        <v>8186</v>
      </c>
      <c r="E3191" s="554"/>
      <c r="F3191" s="571">
        <v>1</v>
      </c>
      <c r="G3191" s="572">
        <v>42.161000000000001</v>
      </c>
      <c r="H3191" s="545">
        <v>42.161000000000001</v>
      </c>
      <c r="I3191" s="554" t="s">
        <v>9218</v>
      </c>
      <c r="J3191" s="554" t="s">
        <v>9219</v>
      </c>
      <c r="K3191" s="554" t="s">
        <v>9219</v>
      </c>
      <c r="L3191" s="537" t="s">
        <v>2354</v>
      </c>
    </row>
    <row r="3192" spans="1:12" x14ac:dyDescent="0.2">
      <c r="A3192" s="570" t="s">
        <v>220</v>
      </c>
      <c r="B3192" s="547" t="s">
        <v>5430</v>
      </c>
      <c r="C3192" s="554" t="s">
        <v>6409</v>
      </c>
      <c r="D3192" s="554" t="s">
        <v>8187</v>
      </c>
      <c r="E3192" s="554"/>
      <c r="F3192" s="571">
        <v>5</v>
      </c>
      <c r="G3192" s="572">
        <v>20.7</v>
      </c>
      <c r="H3192" s="545">
        <v>103.5</v>
      </c>
      <c r="I3192" s="554" t="s">
        <v>9218</v>
      </c>
      <c r="J3192" s="554" t="s">
        <v>9219</v>
      </c>
      <c r="K3192" s="554" t="s">
        <v>9219</v>
      </c>
      <c r="L3192" s="537" t="s">
        <v>2354</v>
      </c>
    </row>
    <row r="3193" spans="1:12" x14ac:dyDescent="0.2">
      <c r="A3193" s="570" t="s">
        <v>220</v>
      </c>
      <c r="B3193" s="547" t="s">
        <v>5430</v>
      </c>
      <c r="C3193" s="554" t="s">
        <v>6411</v>
      </c>
      <c r="D3193" s="554" t="s">
        <v>8188</v>
      </c>
      <c r="E3193" s="554"/>
      <c r="F3193" s="571">
        <v>5</v>
      </c>
      <c r="G3193" s="572">
        <v>25.2</v>
      </c>
      <c r="H3193" s="545">
        <v>126</v>
      </c>
      <c r="I3193" s="554" t="s">
        <v>9218</v>
      </c>
      <c r="J3193" s="554" t="s">
        <v>9219</v>
      </c>
      <c r="K3193" s="554" t="s">
        <v>9219</v>
      </c>
      <c r="L3193" s="537" t="s">
        <v>2354</v>
      </c>
    </row>
    <row r="3194" spans="1:12" x14ac:dyDescent="0.2">
      <c r="A3194" s="570" t="s">
        <v>220</v>
      </c>
      <c r="B3194" s="547" t="s">
        <v>5430</v>
      </c>
      <c r="C3194" s="554" t="s">
        <v>6413</v>
      </c>
      <c r="D3194" s="554" t="s">
        <v>8189</v>
      </c>
      <c r="E3194" s="554"/>
      <c r="F3194" s="571">
        <v>1</v>
      </c>
      <c r="G3194" s="572">
        <v>120.6</v>
      </c>
      <c r="H3194" s="545">
        <v>120.6</v>
      </c>
      <c r="I3194" s="554" t="s">
        <v>9218</v>
      </c>
      <c r="J3194" s="554" t="s">
        <v>9219</v>
      </c>
      <c r="K3194" s="554" t="s">
        <v>9219</v>
      </c>
      <c r="L3194" s="537" t="s">
        <v>2354</v>
      </c>
    </row>
    <row r="3195" spans="1:12" x14ac:dyDescent="0.2">
      <c r="A3195" s="570" t="s">
        <v>220</v>
      </c>
      <c r="B3195" s="547" t="s">
        <v>5430</v>
      </c>
      <c r="C3195" s="554" t="s">
        <v>6415</v>
      </c>
      <c r="D3195" s="554" t="s">
        <v>8190</v>
      </c>
      <c r="E3195" s="554"/>
      <c r="F3195" s="571">
        <v>10</v>
      </c>
      <c r="G3195" s="572">
        <v>175.16499999999999</v>
      </c>
      <c r="H3195" s="545">
        <v>1751.6499999999999</v>
      </c>
      <c r="I3195" s="554" t="s">
        <v>9218</v>
      </c>
      <c r="J3195" s="554" t="s">
        <v>9219</v>
      </c>
      <c r="K3195" s="554" t="s">
        <v>9219</v>
      </c>
      <c r="L3195" s="537" t="s">
        <v>2354</v>
      </c>
    </row>
    <row r="3196" spans="1:12" x14ac:dyDescent="0.2">
      <c r="A3196" s="570" t="s">
        <v>220</v>
      </c>
      <c r="B3196" s="547" t="s">
        <v>5430</v>
      </c>
      <c r="C3196" s="554" t="s">
        <v>6417</v>
      </c>
      <c r="D3196" s="554" t="s">
        <v>8191</v>
      </c>
      <c r="E3196" s="554"/>
      <c r="F3196" s="571">
        <v>2</v>
      </c>
      <c r="G3196" s="572">
        <v>37.646999999999998</v>
      </c>
      <c r="H3196" s="545">
        <v>75.293999999999997</v>
      </c>
      <c r="I3196" s="554" t="s">
        <v>9218</v>
      </c>
      <c r="J3196" s="554" t="s">
        <v>9219</v>
      </c>
      <c r="K3196" s="554" t="s">
        <v>9219</v>
      </c>
      <c r="L3196" s="537" t="s">
        <v>2354</v>
      </c>
    </row>
    <row r="3197" spans="1:12" x14ac:dyDescent="0.2">
      <c r="A3197" s="570" t="s">
        <v>220</v>
      </c>
      <c r="B3197" s="547" t="s">
        <v>5430</v>
      </c>
      <c r="C3197" s="554" t="s">
        <v>6419</v>
      </c>
      <c r="D3197" s="554" t="s">
        <v>8192</v>
      </c>
      <c r="E3197" s="554"/>
      <c r="F3197" s="571">
        <v>2</v>
      </c>
      <c r="G3197" s="572">
        <v>31.440999999999999</v>
      </c>
      <c r="H3197" s="545">
        <v>62.881999999999998</v>
      </c>
      <c r="I3197" s="554" t="s">
        <v>9218</v>
      </c>
      <c r="J3197" s="554" t="s">
        <v>9219</v>
      </c>
      <c r="K3197" s="554" t="s">
        <v>9219</v>
      </c>
      <c r="L3197" s="537" t="s">
        <v>2354</v>
      </c>
    </row>
    <row r="3198" spans="1:12" x14ac:dyDescent="0.2">
      <c r="A3198" s="570" t="s">
        <v>220</v>
      </c>
      <c r="B3198" s="547" t="s">
        <v>5430</v>
      </c>
      <c r="C3198" s="554" t="s">
        <v>6421</v>
      </c>
      <c r="D3198" s="554" t="s">
        <v>8193</v>
      </c>
      <c r="E3198" s="554"/>
      <c r="F3198" s="571">
        <v>4</v>
      </c>
      <c r="G3198" s="572">
        <v>98.108000000000004</v>
      </c>
      <c r="H3198" s="545">
        <v>392.43200000000002</v>
      </c>
      <c r="I3198" s="554" t="s">
        <v>9218</v>
      </c>
      <c r="J3198" s="554" t="s">
        <v>9219</v>
      </c>
      <c r="K3198" s="554" t="s">
        <v>9219</v>
      </c>
      <c r="L3198" s="537" t="s">
        <v>2354</v>
      </c>
    </row>
    <row r="3199" spans="1:12" x14ac:dyDescent="0.2">
      <c r="A3199" s="570" t="s">
        <v>220</v>
      </c>
      <c r="B3199" s="547" t="s">
        <v>5430</v>
      </c>
      <c r="C3199" s="554" t="s">
        <v>6423</v>
      </c>
      <c r="D3199" s="554" t="s">
        <v>6424</v>
      </c>
      <c r="E3199" s="554"/>
      <c r="F3199" s="571">
        <v>2</v>
      </c>
      <c r="G3199" s="572">
        <v>28.116</v>
      </c>
      <c r="H3199" s="545">
        <v>56.231999999999999</v>
      </c>
      <c r="I3199" s="554" t="s">
        <v>9218</v>
      </c>
      <c r="J3199" s="554" t="s">
        <v>9219</v>
      </c>
      <c r="K3199" s="554" t="s">
        <v>9219</v>
      </c>
      <c r="L3199" s="537" t="s">
        <v>2354</v>
      </c>
    </row>
    <row r="3200" spans="1:12" x14ac:dyDescent="0.2">
      <c r="A3200" s="570" t="s">
        <v>220</v>
      </c>
      <c r="B3200" s="547" t="s">
        <v>5430</v>
      </c>
      <c r="C3200" s="554" t="s">
        <v>6425</v>
      </c>
      <c r="D3200" s="554" t="s">
        <v>8194</v>
      </c>
      <c r="E3200" s="554"/>
      <c r="F3200" s="571">
        <v>2</v>
      </c>
      <c r="G3200" s="572">
        <v>83.16</v>
      </c>
      <c r="H3200" s="545">
        <v>166.32</v>
      </c>
      <c r="I3200" s="554" t="s">
        <v>9218</v>
      </c>
      <c r="J3200" s="554" t="s">
        <v>9219</v>
      </c>
      <c r="K3200" s="554" t="s">
        <v>9219</v>
      </c>
      <c r="L3200" s="537" t="s">
        <v>2354</v>
      </c>
    </row>
    <row r="3201" spans="1:12" x14ac:dyDescent="0.2">
      <c r="A3201" s="570" t="s">
        <v>220</v>
      </c>
      <c r="B3201" s="547" t="s">
        <v>5430</v>
      </c>
      <c r="C3201" s="554" t="s">
        <v>6427</v>
      </c>
      <c r="D3201" s="554" t="s">
        <v>8195</v>
      </c>
      <c r="E3201" s="554"/>
      <c r="F3201" s="571">
        <v>2</v>
      </c>
      <c r="G3201" s="572">
        <v>63.204000000000001</v>
      </c>
      <c r="H3201" s="545">
        <v>126.408</v>
      </c>
      <c r="I3201" s="554" t="s">
        <v>9218</v>
      </c>
      <c r="J3201" s="554" t="s">
        <v>9219</v>
      </c>
      <c r="K3201" s="554" t="s">
        <v>9219</v>
      </c>
      <c r="L3201" s="537" t="s">
        <v>2354</v>
      </c>
    </row>
    <row r="3202" spans="1:12" x14ac:dyDescent="0.2">
      <c r="A3202" s="570" t="s">
        <v>220</v>
      </c>
      <c r="B3202" s="547" t="s">
        <v>5430</v>
      </c>
      <c r="C3202" s="554" t="s">
        <v>6429</v>
      </c>
      <c r="D3202" s="554" t="s">
        <v>8196</v>
      </c>
      <c r="E3202" s="554"/>
      <c r="F3202" s="571">
        <v>2</v>
      </c>
      <c r="G3202" s="572">
        <v>33.542000000000002</v>
      </c>
      <c r="H3202" s="545">
        <v>67.084000000000003</v>
      </c>
      <c r="I3202" s="554" t="s">
        <v>9218</v>
      </c>
      <c r="J3202" s="554" t="s">
        <v>9219</v>
      </c>
      <c r="K3202" s="554" t="s">
        <v>9219</v>
      </c>
      <c r="L3202" s="537" t="s">
        <v>2354</v>
      </c>
    </row>
    <row r="3203" spans="1:12" x14ac:dyDescent="0.2">
      <c r="A3203" s="570" t="s">
        <v>220</v>
      </c>
      <c r="B3203" s="547" t="s">
        <v>5430</v>
      </c>
      <c r="C3203" s="554" t="s">
        <v>6431</v>
      </c>
      <c r="D3203" s="554" t="s">
        <v>8197</v>
      </c>
      <c r="E3203" s="554"/>
      <c r="F3203" s="571">
        <v>1</v>
      </c>
      <c r="G3203" s="572">
        <v>58.968000000000004</v>
      </c>
      <c r="H3203" s="545">
        <v>58.968000000000004</v>
      </c>
      <c r="I3203" s="554" t="s">
        <v>9218</v>
      </c>
      <c r="J3203" s="554" t="s">
        <v>9219</v>
      </c>
      <c r="K3203" s="554" t="s">
        <v>9219</v>
      </c>
      <c r="L3203" s="537" t="s">
        <v>2354</v>
      </c>
    </row>
    <row r="3204" spans="1:12" x14ac:dyDescent="0.2">
      <c r="A3204" s="570" t="s">
        <v>220</v>
      </c>
      <c r="B3204" s="547" t="s">
        <v>5430</v>
      </c>
      <c r="C3204" s="554" t="s">
        <v>6433</v>
      </c>
      <c r="D3204" s="554" t="s">
        <v>8198</v>
      </c>
      <c r="E3204" s="554"/>
      <c r="F3204" s="571">
        <v>3</v>
      </c>
      <c r="G3204" s="572">
        <v>408.12</v>
      </c>
      <c r="H3204" s="545">
        <v>1224.3600000000001</v>
      </c>
      <c r="I3204" s="554" t="s">
        <v>9218</v>
      </c>
      <c r="J3204" s="554" t="s">
        <v>9219</v>
      </c>
      <c r="K3204" s="554" t="s">
        <v>9219</v>
      </c>
      <c r="L3204" s="537" t="s">
        <v>2354</v>
      </c>
    </row>
    <row r="3205" spans="1:12" x14ac:dyDescent="0.2">
      <c r="A3205" s="570" t="s">
        <v>220</v>
      </c>
      <c r="B3205" s="547" t="s">
        <v>5430</v>
      </c>
      <c r="C3205" s="554" t="s">
        <v>6435</v>
      </c>
      <c r="D3205" s="554" t="s">
        <v>8199</v>
      </c>
      <c r="E3205" s="554"/>
      <c r="F3205" s="571">
        <v>2</v>
      </c>
      <c r="G3205" s="572">
        <v>77.004000000000005</v>
      </c>
      <c r="H3205" s="545">
        <v>154.00800000000001</v>
      </c>
      <c r="I3205" s="554" t="s">
        <v>9218</v>
      </c>
      <c r="J3205" s="554" t="s">
        <v>9219</v>
      </c>
      <c r="K3205" s="554" t="s">
        <v>9219</v>
      </c>
      <c r="L3205" s="537" t="s">
        <v>2354</v>
      </c>
    </row>
    <row r="3206" spans="1:12" x14ac:dyDescent="0.2">
      <c r="A3206" s="570" t="s">
        <v>220</v>
      </c>
      <c r="B3206" s="547" t="s">
        <v>5430</v>
      </c>
      <c r="C3206" s="554" t="s">
        <v>6437</v>
      </c>
      <c r="D3206" s="554" t="s">
        <v>8200</v>
      </c>
      <c r="E3206" s="554"/>
      <c r="F3206" s="571">
        <v>2</v>
      </c>
      <c r="G3206" s="572">
        <v>76.105999999999995</v>
      </c>
      <c r="H3206" s="545">
        <v>152.21199999999999</v>
      </c>
      <c r="I3206" s="554" t="s">
        <v>9218</v>
      </c>
      <c r="J3206" s="554" t="s">
        <v>9219</v>
      </c>
      <c r="K3206" s="554" t="s">
        <v>9219</v>
      </c>
      <c r="L3206" s="537" t="s">
        <v>2354</v>
      </c>
    </row>
    <row r="3207" spans="1:12" x14ac:dyDescent="0.2">
      <c r="A3207" s="570" t="s">
        <v>220</v>
      </c>
      <c r="B3207" s="547" t="s">
        <v>5430</v>
      </c>
      <c r="C3207" s="554" t="s">
        <v>6439</v>
      </c>
      <c r="D3207" s="554" t="s">
        <v>8201</v>
      </c>
      <c r="E3207" s="554"/>
      <c r="F3207" s="571">
        <v>2</v>
      </c>
      <c r="G3207" s="572">
        <v>51.171999999999997</v>
      </c>
      <c r="H3207" s="545">
        <v>102.34399999999999</v>
      </c>
      <c r="I3207" s="554" t="s">
        <v>9218</v>
      </c>
      <c r="J3207" s="554" t="s">
        <v>9219</v>
      </c>
      <c r="K3207" s="554" t="s">
        <v>9219</v>
      </c>
      <c r="L3207" s="537" t="s">
        <v>2354</v>
      </c>
    </row>
    <row r="3208" spans="1:12" x14ac:dyDescent="0.2">
      <c r="A3208" s="570" t="s">
        <v>220</v>
      </c>
      <c r="B3208" s="547" t="s">
        <v>5430</v>
      </c>
      <c r="C3208" s="554" t="s">
        <v>6441</v>
      </c>
      <c r="D3208" s="554" t="s">
        <v>8202</v>
      </c>
      <c r="E3208" s="554"/>
      <c r="F3208" s="571">
        <v>2</v>
      </c>
      <c r="G3208" s="572">
        <v>131.006</v>
      </c>
      <c r="H3208" s="545">
        <v>262.012</v>
      </c>
      <c r="I3208" s="554" t="s">
        <v>9218</v>
      </c>
      <c r="J3208" s="554" t="s">
        <v>9219</v>
      </c>
      <c r="K3208" s="554" t="s">
        <v>9219</v>
      </c>
      <c r="L3208" s="537" t="s">
        <v>2354</v>
      </c>
    </row>
    <row r="3209" spans="1:12" x14ac:dyDescent="0.2">
      <c r="A3209" s="570" t="s">
        <v>220</v>
      </c>
      <c r="B3209" s="547" t="s">
        <v>5430</v>
      </c>
      <c r="C3209" s="554" t="s">
        <v>6443</v>
      </c>
      <c r="D3209" s="554" t="s">
        <v>8203</v>
      </c>
      <c r="E3209" s="554"/>
      <c r="F3209" s="571">
        <v>2</v>
      </c>
      <c r="G3209" s="572">
        <v>131.00800000000001</v>
      </c>
      <c r="H3209" s="545">
        <v>262.01600000000002</v>
      </c>
      <c r="I3209" s="554" t="s">
        <v>9218</v>
      </c>
      <c r="J3209" s="554" t="s">
        <v>9219</v>
      </c>
      <c r="K3209" s="554" t="s">
        <v>9219</v>
      </c>
      <c r="L3209" s="537" t="s">
        <v>2354</v>
      </c>
    </row>
    <row r="3210" spans="1:12" x14ac:dyDescent="0.2">
      <c r="A3210" s="570" t="s">
        <v>220</v>
      </c>
      <c r="B3210" s="547" t="s">
        <v>5430</v>
      </c>
      <c r="C3210" s="554" t="s">
        <v>8204</v>
      </c>
      <c r="D3210" s="554" t="s">
        <v>8205</v>
      </c>
      <c r="E3210" s="554"/>
      <c r="F3210" s="571">
        <v>2</v>
      </c>
      <c r="G3210" s="572">
        <v>617.00599999999997</v>
      </c>
      <c r="H3210" s="545">
        <v>1234.0119999999999</v>
      </c>
      <c r="I3210" s="554" t="s">
        <v>9218</v>
      </c>
      <c r="J3210" s="554" t="s">
        <v>9219</v>
      </c>
      <c r="K3210" s="554" t="s">
        <v>9219</v>
      </c>
      <c r="L3210" s="537" t="s">
        <v>2354</v>
      </c>
    </row>
    <row r="3211" spans="1:12" x14ac:dyDescent="0.2">
      <c r="A3211" s="570" t="s">
        <v>220</v>
      </c>
      <c r="B3211" s="547" t="s">
        <v>5430</v>
      </c>
      <c r="C3211" s="554" t="s">
        <v>6447</v>
      </c>
      <c r="D3211" s="554" t="s">
        <v>8206</v>
      </c>
      <c r="E3211" s="554"/>
      <c r="F3211" s="571">
        <v>4</v>
      </c>
      <c r="G3211" s="572">
        <v>177.80600000000001</v>
      </c>
      <c r="H3211" s="545">
        <v>711.22400000000005</v>
      </c>
      <c r="I3211" s="554" t="s">
        <v>9218</v>
      </c>
      <c r="J3211" s="554" t="s">
        <v>9219</v>
      </c>
      <c r="K3211" s="554" t="s">
        <v>9219</v>
      </c>
      <c r="L3211" s="537" t="s">
        <v>2354</v>
      </c>
    </row>
    <row r="3212" spans="1:12" x14ac:dyDescent="0.2">
      <c r="A3212" s="570" t="s">
        <v>220</v>
      </c>
      <c r="B3212" s="547" t="s">
        <v>5430</v>
      </c>
      <c r="C3212" s="554" t="s">
        <v>6449</v>
      </c>
      <c r="D3212" s="554" t="s">
        <v>8207</v>
      </c>
      <c r="E3212" s="554"/>
      <c r="F3212" s="571">
        <v>3</v>
      </c>
      <c r="G3212" s="572">
        <v>178.88</v>
      </c>
      <c r="H3212" s="545">
        <v>536.64</v>
      </c>
      <c r="I3212" s="554" t="s">
        <v>9218</v>
      </c>
      <c r="J3212" s="554" t="s">
        <v>9219</v>
      </c>
      <c r="K3212" s="554" t="s">
        <v>9219</v>
      </c>
      <c r="L3212" s="537" t="s">
        <v>2354</v>
      </c>
    </row>
    <row r="3213" spans="1:12" x14ac:dyDescent="0.2">
      <c r="A3213" s="570" t="s">
        <v>220</v>
      </c>
      <c r="B3213" s="547" t="s">
        <v>5430</v>
      </c>
      <c r="C3213" s="554" t="s">
        <v>6451</v>
      </c>
      <c r="D3213" s="554" t="s">
        <v>8208</v>
      </c>
      <c r="E3213" s="554"/>
      <c r="F3213" s="571">
        <v>3</v>
      </c>
      <c r="G3213" s="572">
        <v>17.510000000000002</v>
      </c>
      <c r="H3213" s="545">
        <v>52.53</v>
      </c>
      <c r="I3213" s="554" t="s">
        <v>9218</v>
      </c>
      <c r="J3213" s="554" t="s">
        <v>9219</v>
      </c>
      <c r="K3213" s="554" t="s">
        <v>9219</v>
      </c>
      <c r="L3213" s="537" t="s">
        <v>2354</v>
      </c>
    </row>
    <row r="3214" spans="1:12" x14ac:dyDescent="0.2">
      <c r="A3214" s="570" t="s">
        <v>220</v>
      </c>
      <c r="B3214" s="547" t="s">
        <v>5430</v>
      </c>
      <c r="C3214" s="554" t="s">
        <v>3453</v>
      </c>
      <c r="D3214" s="554" t="s">
        <v>3454</v>
      </c>
      <c r="E3214" s="554"/>
      <c r="F3214" s="571">
        <v>100</v>
      </c>
      <c r="G3214" s="572">
        <v>1.0880000000000001</v>
      </c>
      <c r="H3214" s="545">
        <v>108.80000000000001</v>
      </c>
      <c r="I3214" s="554" t="s">
        <v>9218</v>
      </c>
      <c r="J3214" s="554" t="s">
        <v>9219</v>
      </c>
      <c r="K3214" s="554" t="s">
        <v>9219</v>
      </c>
      <c r="L3214" s="537" t="s">
        <v>2354</v>
      </c>
    </row>
    <row r="3215" spans="1:12" x14ac:dyDescent="0.2">
      <c r="A3215" s="570" t="s">
        <v>220</v>
      </c>
      <c r="B3215" s="547" t="s">
        <v>5430</v>
      </c>
      <c r="C3215" s="554" t="s">
        <v>6636</v>
      </c>
      <c r="D3215" s="554" t="s">
        <v>8209</v>
      </c>
      <c r="E3215" s="554"/>
      <c r="F3215" s="571">
        <v>2</v>
      </c>
      <c r="G3215" s="572">
        <v>193.80199999999999</v>
      </c>
      <c r="H3215" s="545">
        <v>387.60399999999998</v>
      </c>
      <c r="I3215" s="554" t="s">
        <v>9218</v>
      </c>
      <c r="J3215" s="554" t="s">
        <v>9219</v>
      </c>
      <c r="K3215" s="554" t="s">
        <v>9219</v>
      </c>
      <c r="L3215" s="537" t="s">
        <v>2354</v>
      </c>
    </row>
    <row r="3216" spans="1:12" x14ac:dyDescent="0.2">
      <c r="A3216" s="570" t="s">
        <v>220</v>
      </c>
      <c r="B3216" s="547" t="s">
        <v>5430</v>
      </c>
      <c r="C3216" s="554" t="s">
        <v>6638</v>
      </c>
      <c r="D3216" s="554" t="s">
        <v>8210</v>
      </c>
      <c r="E3216" s="554"/>
      <c r="F3216" s="571">
        <v>1</v>
      </c>
      <c r="G3216" s="572">
        <v>193.80199999999999</v>
      </c>
      <c r="H3216" s="545">
        <v>193.80199999999999</v>
      </c>
      <c r="I3216" s="554" t="s">
        <v>9218</v>
      </c>
      <c r="J3216" s="554" t="s">
        <v>9219</v>
      </c>
      <c r="K3216" s="554" t="s">
        <v>9219</v>
      </c>
      <c r="L3216" s="537" t="s">
        <v>2354</v>
      </c>
    </row>
    <row r="3217" spans="1:12" x14ac:dyDescent="0.2">
      <c r="A3217" s="570" t="s">
        <v>220</v>
      </c>
      <c r="B3217" s="547" t="s">
        <v>5430</v>
      </c>
      <c r="C3217" s="554" t="s">
        <v>6640</v>
      </c>
      <c r="D3217" s="554" t="s">
        <v>6641</v>
      </c>
      <c r="E3217" s="554"/>
      <c r="F3217" s="571">
        <v>1</v>
      </c>
      <c r="G3217" s="572">
        <v>376.78</v>
      </c>
      <c r="H3217" s="545">
        <v>376.78</v>
      </c>
      <c r="I3217" s="554" t="s">
        <v>9218</v>
      </c>
      <c r="J3217" s="554" t="s">
        <v>9219</v>
      </c>
      <c r="K3217" s="554" t="s">
        <v>9219</v>
      </c>
      <c r="L3217" s="537" t="s">
        <v>2354</v>
      </c>
    </row>
    <row r="3218" spans="1:12" x14ac:dyDescent="0.2">
      <c r="A3218" s="570" t="s">
        <v>220</v>
      </c>
      <c r="B3218" s="547" t="s">
        <v>5430</v>
      </c>
      <c r="C3218" s="554" t="s">
        <v>6642</v>
      </c>
      <c r="D3218" s="554" t="s">
        <v>6643</v>
      </c>
      <c r="E3218" s="554"/>
      <c r="F3218" s="571">
        <v>1</v>
      </c>
      <c r="G3218" s="572">
        <v>193.80199999999999</v>
      </c>
      <c r="H3218" s="545">
        <v>193.80199999999999</v>
      </c>
      <c r="I3218" s="554" t="s">
        <v>9218</v>
      </c>
      <c r="J3218" s="554" t="s">
        <v>9219</v>
      </c>
      <c r="K3218" s="554" t="s">
        <v>9219</v>
      </c>
      <c r="L3218" s="537" t="s">
        <v>2354</v>
      </c>
    </row>
    <row r="3219" spans="1:12" x14ac:dyDescent="0.2">
      <c r="A3219" s="570" t="s">
        <v>220</v>
      </c>
      <c r="B3219" s="547" t="s">
        <v>5430</v>
      </c>
      <c r="C3219" s="554" t="s">
        <v>6644</v>
      </c>
      <c r="D3219" s="554" t="s">
        <v>6645</v>
      </c>
      <c r="E3219" s="554"/>
      <c r="F3219" s="571">
        <v>1</v>
      </c>
      <c r="G3219" s="572">
        <v>193.80199999999999</v>
      </c>
      <c r="H3219" s="545">
        <v>193.80199999999999</v>
      </c>
      <c r="I3219" s="554" t="s">
        <v>9218</v>
      </c>
      <c r="J3219" s="554" t="s">
        <v>9219</v>
      </c>
      <c r="K3219" s="554" t="s">
        <v>9219</v>
      </c>
      <c r="L3219" s="537" t="s">
        <v>2354</v>
      </c>
    </row>
    <row r="3220" spans="1:12" x14ac:dyDescent="0.2">
      <c r="A3220" s="570" t="s">
        <v>220</v>
      </c>
      <c r="B3220" s="547" t="s">
        <v>5430</v>
      </c>
      <c r="C3220" s="554" t="s">
        <v>6646</v>
      </c>
      <c r="D3220" s="554" t="s">
        <v>6647</v>
      </c>
      <c r="E3220" s="554"/>
      <c r="F3220" s="571">
        <v>1</v>
      </c>
      <c r="G3220" s="572">
        <v>193.80199999999999</v>
      </c>
      <c r="H3220" s="545">
        <v>193.80199999999999</v>
      </c>
      <c r="I3220" s="554" t="s">
        <v>9218</v>
      </c>
      <c r="J3220" s="554" t="s">
        <v>9219</v>
      </c>
      <c r="K3220" s="554" t="s">
        <v>9219</v>
      </c>
      <c r="L3220" s="537" t="s">
        <v>2354</v>
      </c>
    </row>
    <row r="3221" spans="1:12" x14ac:dyDescent="0.2">
      <c r="A3221" s="570" t="s">
        <v>220</v>
      </c>
      <c r="B3221" s="547" t="s">
        <v>5430</v>
      </c>
      <c r="C3221" s="554" t="s">
        <v>6648</v>
      </c>
      <c r="D3221" s="554" t="s">
        <v>8211</v>
      </c>
      <c r="E3221" s="554"/>
      <c r="F3221" s="571">
        <v>1</v>
      </c>
      <c r="G3221" s="572">
        <v>193.80199999999999</v>
      </c>
      <c r="H3221" s="545">
        <v>193.80199999999999</v>
      </c>
      <c r="I3221" s="554" t="s">
        <v>9218</v>
      </c>
      <c r="J3221" s="554" t="s">
        <v>9219</v>
      </c>
      <c r="K3221" s="554" t="s">
        <v>9219</v>
      </c>
      <c r="L3221" s="537" t="s">
        <v>2354</v>
      </c>
    </row>
    <row r="3222" spans="1:12" x14ac:dyDescent="0.2">
      <c r="A3222" s="570" t="s">
        <v>220</v>
      </c>
      <c r="B3222" s="547" t="s">
        <v>5430</v>
      </c>
      <c r="C3222" s="554" t="s">
        <v>6650</v>
      </c>
      <c r="D3222" s="554" t="s">
        <v>6651</v>
      </c>
      <c r="E3222" s="554"/>
      <c r="F3222" s="571">
        <v>1</v>
      </c>
      <c r="G3222" s="572">
        <v>193.80199999999999</v>
      </c>
      <c r="H3222" s="545">
        <v>193.80199999999999</v>
      </c>
      <c r="I3222" s="554" t="s">
        <v>9218</v>
      </c>
      <c r="J3222" s="554" t="s">
        <v>9219</v>
      </c>
      <c r="K3222" s="554" t="s">
        <v>9219</v>
      </c>
      <c r="L3222" s="537" t="s">
        <v>2354</v>
      </c>
    </row>
    <row r="3223" spans="1:12" x14ac:dyDescent="0.2">
      <c r="A3223" s="570" t="s">
        <v>220</v>
      </c>
      <c r="B3223" s="547" t="s">
        <v>5430</v>
      </c>
      <c r="C3223" s="554" t="s">
        <v>6652</v>
      </c>
      <c r="D3223" s="554" t="s">
        <v>6653</v>
      </c>
      <c r="E3223" s="554"/>
      <c r="F3223" s="571">
        <v>1</v>
      </c>
      <c r="G3223" s="572">
        <v>193.80199999999999</v>
      </c>
      <c r="H3223" s="545">
        <v>193.80199999999999</v>
      </c>
      <c r="I3223" s="554" t="s">
        <v>9218</v>
      </c>
      <c r="J3223" s="554" t="s">
        <v>9219</v>
      </c>
      <c r="K3223" s="554" t="s">
        <v>9219</v>
      </c>
      <c r="L3223" s="537" t="s">
        <v>2354</v>
      </c>
    </row>
    <row r="3224" spans="1:12" x14ac:dyDescent="0.2">
      <c r="A3224" s="570" t="s">
        <v>220</v>
      </c>
      <c r="B3224" s="547" t="s">
        <v>5430</v>
      </c>
      <c r="C3224" s="554" t="s">
        <v>6654</v>
      </c>
      <c r="D3224" s="554" t="s">
        <v>6655</v>
      </c>
      <c r="E3224" s="554"/>
      <c r="F3224" s="571">
        <v>1</v>
      </c>
      <c r="G3224" s="572">
        <v>193.80199999999999</v>
      </c>
      <c r="H3224" s="545">
        <v>193.80199999999999</v>
      </c>
      <c r="I3224" s="554" t="s">
        <v>9218</v>
      </c>
      <c r="J3224" s="554" t="s">
        <v>9219</v>
      </c>
      <c r="K3224" s="554" t="s">
        <v>9219</v>
      </c>
      <c r="L3224" s="537" t="s">
        <v>2354</v>
      </c>
    </row>
    <row r="3225" spans="1:12" x14ac:dyDescent="0.2">
      <c r="A3225" s="570" t="s">
        <v>220</v>
      </c>
      <c r="B3225" s="547" t="s">
        <v>5430</v>
      </c>
      <c r="C3225" s="554" t="s">
        <v>6656</v>
      </c>
      <c r="D3225" s="554" t="s">
        <v>8212</v>
      </c>
      <c r="E3225" s="554"/>
      <c r="F3225" s="573">
        <v>1</v>
      </c>
      <c r="G3225" s="545">
        <v>0</v>
      </c>
      <c r="H3225" s="545">
        <v>0</v>
      </c>
      <c r="I3225" s="554" t="s">
        <v>9218</v>
      </c>
      <c r="J3225" s="554" t="s">
        <v>9219</v>
      </c>
      <c r="K3225" s="554" t="s">
        <v>9219</v>
      </c>
      <c r="L3225" s="537" t="s">
        <v>2354</v>
      </c>
    </row>
    <row r="3226" spans="1:12" x14ac:dyDescent="0.2">
      <c r="A3226" s="570" t="s">
        <v>220</v>
      </c>
      <c r="B3226" s="547" t="s">
        <v>5430</v>
      </c>
      <c r="C3226" s="554" t="s">
        <v>6658</v>
      </c>
      <c r="D3226" s="554" t="s">
        <v>8213</v>
      </c>
      <c r="E3226" s="554"/>
      <c r="F3226" s="573">
        <v>2</v>
      </c>
      <c r="G3226" s="545">
        <v>0</v>
      </c>
      <c r="H3226" s="545">
        <v>0</v>
      </c>
      <c r="I3226" s="554" t="s">
        <v>9218</v>
      </c>
      <c r="J3226" s="554" t="s">
        <v>9219</v>
      </c>
      <c r="K3226" s="554" t="s">
        <v>9219</v>
      </c>
      <c r="L3226" s="537" t="s">
        <v>2354</v>
      </c>
    </row>
    <row r="3227" spans="1:12" x14ac:dyDescent="0.2">
      <c r="A3227" s="570" t="s">
        <v>220</v>
      </c>
      <c r="B3227" s="547" t="s">
        <v>5430</v>
      </c>
      <c r="C3227" s="554" t="s">
        <v>6660</v>
      </c>
      <c r="D3227" s="554" t="s">
        <v>8214</v>
      </c>
      <c r="E3227" s="554"/>
      <c r="F3227" s="573">
        <v>1</v>
      </c>
      <c r="G3227" s="545">
        <v>0</v>
      </c>
      <c r="H3227" s="545">
        <v>0</v>
      </c>
      <c r="I3227" s="554" t="s">
        <v>9218</v>
      </c>
      <c r="J3227" s="554" t="s">
        <v>9219</v>
      </c>
      <c r="K3227" s="554" t="s">
        <v>9219</v>
      </c>
      <c r="L3227" s="537" t="s">
        <v>2354</v>
      </c>
    </row>
    <row r="3228" spans="1:12" x14ac:dyDescent="0.2">
      <c r="A3228" s="570" t="s">
        <v>220</v>
      </c>
      <c r="B3228" s="547" t="s">
        <v>5430</v>
      </c>
      <c r="C3228" s="554" t="s">
        <v>6662</v>
      </c>
      <c r="D3228" s="554" t="s">
        <v>8215</v>
      </c>
      <c r="E3228" s="554"/>
      <c r="F3228" s="573">
        <v>1</v>
      </c>
      <c r="G3228" s="545">
        <v>0</v>
      </c>
      <c r="H3228" s="545">
        <v>0</v>
      </c>
      <c r="I3228" s="554" t="s">
        <v>9218</v>
      </c>
      <c r="J3228" s="554" t="s">
        <v>9219</v>
      </c>
      <c r="K3228" s="554" t="s">
        <v>9219</v>
      </c>
      <c r="L3228" s="537" t="s">
        <v>2354</v>
      </c>
    </row>
    <row r="3229" spans="1:12" x14ac:dyDescent="0.2">
      <c r="A3229" s="570" t="s">
        <v>220</v>
      </c>
      <c r="B3229" s="547" t="s">
        <v>5430</v>
      </c>
      <c r="C3229" s="554" t="s">
        <v>6664</v>
      </c>
      <c r="D3229" s="554" t="s">
        <v>8216</v>
      </c>
      <c r="E3229" s="554"/>
      <c r="F3229" s="573">
        <v>1</v>
      </c>
      <c r="G3229" s="545">
        <v>0</v>
      </c>
      <c r="H3229" s="545">
        <v>0</v>
      </c>
      <c r="I3229" s="554" t="s">
        <v>9218</v>
      </c>
      <c r="J3229" s="554" t="s">
        <v>9219</v>
      </c>
      <c r="K3229" s="554" t="s">
        <v>9219</v>
      </c>
      <c r="L3229" s="537" t="s">
        <v>2354</v>
      </c>
    </row>
    <row r="3230" spans="1:12" x14ac:dyDescent="0.2">
      <c r="A3230" s="570" t="s">
        <v>220</v>
      </c>
      <c r="B3230" s="547" t="s">
        <v>5430</v>
      </c>
      <c r="C3230" s="554" t="s">
        <v>6666</v>
      </c>
      <c r="D3230" s="554" t="s">
        <v>8217</v>
      </c>
      <c r="E3230" s="554"/>
      <c r="F3230" s="573">
        <v>1</v>
      </c>
      <c r="G3230" s="545">
        <v>0</v>
      </c>
      <c r="H3230" s="545">
        <v>0</v>
      </c>
      <c r="I3230" s="554" t="s">
        <v>9218</v>
      </c>
      <c r="J3230" s="554" t="s">
        <v>9219</v>
      </c>
      <c r="K3230" s="554" t="s">
        <v>9219</v>
      </c>
      <c r="L3230" s="537" t="s">
        <v>2354</v>
      </c>
    </row>
    <row r="3231" spans="1:12" x14ac:dyDescent="0.2">
      <c r="A3231" s="570" t="s">
        <v>220</v>
      </c>
      <c r="B3231" s="547" t="s">
        <v>5430</v>
      </c>
      <c r="C3231" s="554" t="s">
        <v>6668</v>
      </c>
      <c r="D3231" s="554" t="s">
        <v>8218</v>
      </c>
      <c r="E3231" s="554"/>
      <c r="F3231" s="573">
        <v>5</v>
      </c>
      <c r="G3231" s="545">
        <v>0</v>
      </c>
      <c r="H3231" s="545">
        <v>0</v>
      </c>
      <c r="I3231" s="554" t="s">
        <v>9218</v>
      </c>
      <c r="J3231" s="554" t="s">
        <v>9219</v>
      </c>
      <c r="K3231" s="554" t="s">
        <v>9219</v>
      </c>
      <c r="L3231" s="537" t="s">
        <v>2354</v>
      </c>
    </row>
    <row r="3232" spans="1:12" x14ac:dyDescent="0.2">
      <c r="A3232" s="570" t="s">
        <v>220</v>
      </c>
      <c r="B3232" s="547" t="s">
        <v>5430</v>
      </c>
      <c r="C3232" s="554" t="s">
        <v>6670</v>
      </c>
      <c r="D3232" s="554" t="s">
        <v>8219</v>
      </c>
      <c r="E3232" s="554"/>
      <c r="F3232" s="571">
        <v>3</v>
      </c>
      <c r="G3232" s="572">
        <v>413.48160000000001</v>
      </c>
      <c r="H3232" s="545">
        <v>1240.4448</v>
      </c>
      <c r="I3232" s="554" t="s">
        <v>9218</v>
      </c>
      <c r="J3232" s="554" t="s">
        <v>9219</v>
      </c>
      <c r="K3232" s="554" t="s">
        <v>9219</v>
      </c>
      <c r="L3232" s="537" t="s">
        <v>2354</v>
      </c>
    </row>
    <row r="3233" spans="1:12" x14ac:dyDescent="0.2">
      <c r="A3233" s="570" t="s">
        <v>220</v>
      </c>
      <c r="B3233" s="547" t="s">
        <v>5430</v>
      </c>
      <c r="C3233" s="554" t="s">
        <v>6672</v>
      </c>
      <c r="D3233" s="554" t="s">
        <v>8220</v>
      </c>
      <c r="E3233" s="554"/>
      <c r="F3233" s="573">
        <v>4</v>
      </c>
      <c r="G3233" s="545">
        <v>0</v>
      </c>
      <c r="H3233" s="545">
        <v>0</v>
      </c>
      <c r="I3233" s="554" t="s">
        <v>9218</v>
      </c>
      <c r="J3233" s="554" t="s">
        <v>9219</v>
      </c>
      <c r="K3233" s="554" t="s">
        <v>9219</v>
      </c>
      <c r="L3233" s="537" t="s">
        <v>2354</v>
      </c>
    </row>
    <row r="3234" spans="1:12" x14ac:dyDescent="0.2">
      <c r="A3234" s="570" t="s">
        <v>220</v>
      </c>
      <c r="B3234" s="547" t="s">
        <v>5430</v>
      </c>
      <c r="C3234" s="554" t="s">
        <v>6674</v>
      </c>
      <c r="D3234" s="554" t="s">
        <v>8221</v>
      </c>
      <c r="E3234" s="554"/>
      <c r="F3234" s="571">
        <v>1</v>
      </c>
      <c r="G3234" s="572">
        <v>141.30000000000001</v>
      </c>
      <c r="H3234" s="545">
        <v>141.30000000000001</v>
      </c>
      <c r="I3234" s="554" t="s">
        <v>9218</v>
      </c>
      <c r="J3234" s="554" t="s">
        <v>9219</v>
      </c>
      <c r="K3234" s="554" t="s">
        <v>9219</v>
      </c>
      <c r="L3234" s="537" t="s">
        <v>2354</v>
      </c>
    </row>
    <row r="3235" spans="1:12" x14ac:dyDescent="0.2">
      <c r="A3235" s="570" t="s">
        <v>220</v>
      </c>
      <c r="B3235" s="547" t="s">
        <v>5430</v>
      </c>
      <c r="C3235" s="554" t="s">
        <v>6676</v>
      </c>
      <c r="D3235" s="554" t="s">
        <v>8222</v>
      </c>
      <c r="E3235" s="554"/>
      <c r="F3235" s="571">
        <v>1</v>
      </c>
      <c r="G3235" s="572">
        <v>149.4</v>
      </c>
      <c r="H3235" s="545">
        <v>149.4</v>
      </c>
      <c r="I3235" s="554" t="s">
        <v>9218</v>
      </c>
      <c r="J3235" s="554" t="s">
        <v>9219</v>
      </c>
      <c r="K3235" s="554" t="s">
        <v>9219</v>
      </c>
      <c r="L3235" s="537" t="s">
        <v>2354</v>
      </c>
    </row>
    <row r="3236" spans="1:12" x14ac:dyDescent="0.2">
      <c r="A3236" s="570" t="s">
        <v>220</v>
      </c>
      <c r="B3236" s="547" t="s">
        <v>5430</v>
      </c>
      <c r="C3236" s="554" t="s">
        <v>6678</v>
      </c>
      <c r="D3236" s="554" t="s">
        <v>8223</v>
      </c>
      <c r="E3236" s="554"/>
      <c r="F3236" s="573">
        <v>2</v>
      </c>
      <c r="G3236" s="545">
        <v>0</v>
      </c>
      <c r="H3236" s="545">
        <v>0</v>
      </c>
      <c r="I3236" s="554" t="s">
        <v>9218</v>
      </c>
      <c r="J3236" s="554" t="s">
        <v>9219</v>
      </c>
      <c r="K3236" s="554" t="s">
        <v>9219</v>
      </c>
      <c r="L3236" s="537" t="s">
        <v>2354</v>
      </c>
    </row>
    <row r="3237" spans="1:12" x14ac:dyDescent="0.2">
      <c r="A3237" s="570" t="s">
        <v>220</v>
      </c>
      <c r="B3237" s="547" t="s">
        <v>5430</v>
      </c>
      <c r="C3237" s="554" t="s">
        <v>6680</v>
      </c>
      <c r="D3237" s="554" t="s">
        <v>8224</v>
      </c>
      <c r="E3237" s="554"/>
      <c r="F3237" s="573">
        <v>1</v>
      </c>
      <c r="G3237" s="545">
        <v>0</v>
      </c>
      <c r="H3237" s="545">
        <v>0</v>
      </c>
      <c r="I3237" s="554" t="s">
        <v>9218</v>
      </c>
      <c r="J3237" s="554" t="s">
        <v>9219</v>
      </c>
      <c r="K3237" s="554" t="s">
        <v>9219</v>
      </c>
      <c r="L3237" s="537" t="s">
        <v>2354</v>
      </c>
    </row>
    <row r="3238" spans="1:12" x14ac:dyDescent="0.2">
      <c r="A3238" s="570" t="s">
        <v>220</v>
      </c>
      <c r="B3238" s="547" t="s">
        <v>5430</v>
      </c>
      <c r="C3238" s="554" t="s">
        <v>3823</v>
      </c>
      <c r="D3238" s="554" t="s">
        <v>8225</v>
      </c>
      <c r="E3238" s="554"/>
      <c r="F3238" s="573">
        <v>5</v>
      </c>
      <c r="G3238" s="545">
        <v>0</v>
      </c>
      <c r="H3238" s="545">
        <v>0</v>
      </c>
      <c r="I3238" s="554" t="s">
        <v>9218</v>
      </c>
      <c r="J3238" s="554" t="s">
        <v>9219</v>
      </c>
      <c r="K3238" s="554" t="s">
        <v>9219</v>
      </c>
      <c r="L3238" s="537" t="s">
        <v>2354</v>
      </c>
    </row>
    <row r="3239" spans="1:12" x14ac:dyDescent="0.2">
      <c r="A3239" s="570" t="s">
        <v>220</v>
      </c>
      <c r="B3239" s="547" t="s">
        <v>5430</v>
      </c>
      <c r="C3239" s="554" t="s">
        <v>6682</v>
      </c>
      <c r="D3239" s="554" t="s">
        <v>8226</v>
      </c>
      <c r="E3239" s="554"/>
      <c r="F3239" s="573">
        <v>1</v>
      </c>
      <c r="G3239" s="545">
        <v>0</v>
      </c>
      <c r="H3239" s="545">
        <v>0</v>
      </c>
      <c r="I3239" s="554" t="s">
        <v>9218</v>
      </c>
      <c r="J3239" s="554" t="s">
        <v>9219</v>
      </c>
      <c r="K3239" s="554" t="s">
        <v>9219</v>
      </c>
      <c r="L3239" s="537" t="s">
        <v>2354</v>
      </c>
    </row>
    <row r="3240" spans="1:12" x14ac:dyDescent="0.2">
      <c r="A3240" s="570" t="s">
        <v>220</v>
      </c>
      <c r="B3240" s="547" t="s">
        <v>5430</v>
      </c>
      <c r="C3240" s="554" t="s">
        <v>6684</v>
      </c>
      <c r="D3240" s="554" t="s">
        <v>8227</v>
      </c>
      <c r="E3240" s="554"/>
      <c r="F3240" s="573">
        <v>1</v>
      </c>
      <c r="G3240" s="545">
        <v>0</v>
      </c>
      <c r="H3240" s="545">
        <v>0</v>
      </c>
      <c r="I3240" s="554" t="s">
        <v>9218</v>
      </c>
      <c r="J3240" s="554" t="s">
        <v>9219</v>
      </c>
      <c r="K3240" s="554" t="s">
        <v>9219</v>
      </c>
      <c r="L3240" s="537" t="s">
        <v>2354</v>
      </c>
    </row>
    <row r="3241" spans="1:12" x14ac:dyDescent="0.2">
      <c r="A3241" s="570" t="s">
        <v>220</v>
      </c>
      <c r="B3241" s="547" t="s">
        <v>5430</v>
      </c>
      <c r="C3241" s="554" t="s">
        <v>6686</v>
      </c>
      <c r="D3241" s="554" t="s">
        <v>8228</v>
      </c>
      <c r="E3241" s="554"/>
      <c r="F3241" s="573">
        <v>6</v>
      </c>
      <c r="G3241" s="545">
        <v>0</v>
      </c>
      <c r="H3241" s="545">
        <v>0</v>
      </c>
      <c r="I3241" s="554" t="s">
        <v>9218</v>
      </c>
      <c r="J3241" s="554" t="s">
        <v>9219</v>
      </c>
      <c r="K3241" s="554" t="s">
        <v>9219</v>
      </c>
      <c r="L3241" s="537" t="s">
        <v>2354</v>
      </c>
    </row>
    <row r="3242" spans="1:12" x14ac:dyDescent="0.2">
      <c r="A3242" s="570" t="s">
        <v>220</v>
      </c>
      <c r="B3242" s="547" t="s">
        <v>5430</v>
      </c>
      <c r="C3242" s="554"/>
      <c r="D3242" s="554" t="s">
        <v>8229</v>
      </c>
      <c r="E3242" s="554"/>
      <c r="F3242" s="571">
        <v>1</v>
      </c>
      <c r="G3242" s="572">
        <v>302.19600000000003</v>
      </c>
      <c r="H3242" s="545">
        <v>302.19600000000003</v>
      </c>
      <c r="I3242" s="554" t="s">
        <v>9218</v>
      </c>
      <c r="J3242" s="554" t="s">
        <v>9219</v>
      </c>
      <c r="K3242" s="554" t="s">
        <v>9219</v>
      </c>
      <c r="L3242" s="537" t="s">
        <v>2354</v>
      </c>
    </row>
    <row r="3243" spans="1:12" x14ac:dyDescent="0.2">
      <c r="A3243" s="570" t="s">
        <v>220</v>
      </c>
      <c r="B3243" s="547" t="s">
        <v>5430</v>
      </c>
      <c r="C3243" s="554" t="s">
        <v>6688</v>
      </c>
      <c r="D3243" s="554" t="s">
        <v>8230</v>
      </c>
      <c r="E3243" s="554"/>
      <c r="F3243" s="573">
        <v>2</v>
      </c>
      <c r="G3243" s="545">
        <v>0</v>
      </c>
      <c r="H3243" s="545">
        <v>0</v>
      </c>
      <c r="I3243" s="554" t="s">
        <v>9218</v>
      </c>
      <c r="J3243" s="554" t="s">
        <v>9219</v>
      </c>
      <c r="K3243" s="554" t="s">
        <v>9219</v>
      </c>
      <c r="L3243" s="537" t="s">
        <v>2354</v>
      </c>
    </row>
    <row r="3244" spans="1:12" x14ac:dyDescent="0.2">
      <c r="A3244" s="570" t="s">
        <v>220</v>
      </c>
      <c r="B3244" s="547" t="s">
        <v>5430</v>
      </c>
      <c r="C3244" s="554" t="s">
        <v>6690</v>
      </c>
      <c r="D3244" s="554" t="s">
        <v>8231</v>
      </c>
      <c r="E3244" s="554"/>
      <c r="F3244" s="571">
        <v>2</v>
      </c>
      <c r="G3244" s="572">
        <v>193.64699999999999</v>
      </c>
      <c r="H3244" s="545">
        <v>387.29399999999998</v>
      </c>
      <c r="I3244" s="554" t="s">
        <v>9218</v>
      </c>
      <c r="J3244" s="554" t="s">
        <v>9219</v>
      </c>
      <c r="K3244" s="554" t="s">
        <v>9219</v>
      </c>
      <c r="L3244" s="537" t="s">
        <v>2354</v>
      </c>
    </row>
    <row r="3245" spans="1:12" x14ac:dyDescent="0.2">
      <c r="A3245" s="570" t="s">
        <v>220</v>
      </c>
      <c r="B3245" s="547" t="s">
        <v>5430</v>
      </c>
      <c r="C3245" s="554" t="s">
        <v>6692</v>
      </c>
      <c r="D3245" s="554" t="s">
        <v>8232</v>
      </c>
      <c r="E3245" s="554"/>
      <c r="F3245" s="571">
        <v>1</v>
      </c>
      <c r="G3245" s="572">
        <v>114.77</v>
      </c>
      <c r="H3245" s="545">
        <v>114.77</v>
      </c>
      <c r="I3245" s="554" t="s">
        <v>9218</v>
      </c>
      <c r="J3245" s="554" t="s">
        <v>9219</v>
      </c>
      <c r="K3245" s="554" t="s">
        <v>9219</v>
      </c>
      <c r="L3245" s="537" t="s">
        <v>2354</v>
      </c>
    </row>
    <row r="3246" spans="1:12" x14ac:dyDescent="0.2">
      <c r="A3246" s="570" t="s">
        <v>220</v>
      </c>
      <c r="B3246" s="547" t="s">
        <v>5430</v>
      </c>
      <c r="C3246" s="554" t="s">
        <v>6694</v>
      </c>
      <c r="D3246" s="554" t="s">
        <v>8233</v>
      </c>
      <c r="E3246" s="554"/>
      <c r="F3246" s="571">
        <v>50</v>
      </c>
      <c r="G3246" s="572">
        <v>3.0419999999999998</v>
      </c>
      <c r="H3246" s="545">
        <v>152.1</v>
      </c>
      <c r="I3246" s="554" t="s">
        <v>9218</v>
      </c>
      <c r="J3246" s="554" t="s">
        <v>9219</v>
      </c>
      <c r="K3246" s="554" t="s">
        <v>9219</v>
      </c>
      <c r="L3246" s="537" t="s">
        <v>2354</v>
      </c>
    </row>
    <row r="3247" spans="1:12" x14ac:dyDescent="0.2">
      <c r="A3247" s="570" t="s">
        <v>220</v>
      </c>
      <c r="B3247" s="547" t="s">
        <v>5430</v>
      </c>
      <c r="C3247" s="554" t="s">
        <v>8234</v>
      </c>
      <c r="D3247" s="554" t="s">
        <v>8235</v>
      </c>
      <c r="E3247" s="554"/>
      <c r="F3247" s="571">
        <v>180</v>
      </c>
      <c r="G3247" s="572">
        <v>0.121</v>
      </c>
      <c r="H3247" s="545">
        <v>21.78</v>
      </c>
      <c r="I3247" s="554" t="s">
        <v>9218</v>
      </c>
      <c r="J3247" s="554" t="s">
        <v>9219</v>
      </c>
      <c r="K3247" s="554" t="s">
        <v>9219</v>
      </c>
      <c r="L3247" s="537" t="s">
        <v>2354</v>
      </c>
    </row>
    <row r="3248" spans="1:12" x14ac:dyDescent="0.2">
      <c r="A3248" s="570" t="s">
        <v>220</v>
      </c>
      <c r="B3248" s="547" t="s">
        <v>5430</v>
      </c>
      <c r="C3248" s="554" t="s">
        <v>6720</v>
      </c>
      <c r="D3248" s="554" t="s">
        <v>6721</v>
      </c>
      <c r="E3248" s="554"/>
      <c r="F3248" s="571">
        <v>1</v>
      </c>
      <c r="G3248" s="572">
        <v>93.9</v>
      </c>
      <c r="H3248" s="545">
        <v>93.9</v>
      </c>
      <c r="I3248" s="554" t="s">
        <v>9218</v>
      </c>
      <c r="J3248" s="554" t="s">
        <v>9219</v>
      </c>
      <c r="K3248" s="554" t="s">
        <v>9219</v>
      </c>
      <c r="L3248" s="537" t="s">
        <v>2354</v>
      </c>
    </row>
    <row r="3249" spans="1:12" x14ac:dyDescent="0.2">
      <c r="A3249" s="570" t="s">
        <v>220</v>
      </c>
      <c r="B3249" s="547" t="s">
        <v>5430</v>
      </c>
      <c r="C3249" s="554" t="s">
        <v>6724</v>
      </c>
      <c r="D3249" s="554" t="s">
        <v>6725</v>
      </c>
      <c r="E3249" s="554"/>
      <c r="F3249" s="571">
        <v>4</v>
      </c>
      <c r="G3249" s="572">
        <v>53.002000000000002</v>
      </c>
      <c r="H3249" s="545">
        <v>212.00800000000001</v>
      </c>
      <c r="I3249" s="554" t="s">
        <v>9218</v>
      </c>
      <c r="J3249" s="554" t="s">
        <v>9219</v>
      </c>
      <c r="K3249" s="554" t="s">
        <v>9219</v>
      </c>
      <c r="L3249" s="537" t="s">
        <v>2354</v>
      </c>
    </row>
    <row r="3250" spans="1:12" x14ac:dyDescent="0.2">
      <c r="A3250" s="570" t="s">
        <v>220</v>
      </c>
      <c r="B3250" s="547" t="s">
        <v>5430</v>
      </c>
      <c r="C3250" s="554" t="s">
        <v>6726</v>
      </c>
      <c r="D3250" s="554" t="s">
        <v>8236</v>
      </c>
      <c r="E3250" s="554"/>
      <c r="F3250" s="571">
        <v>1</v>
      </c>
      <c r="G3250" s="572">
        <v>34.720999999999997</v>
      </c>
      <c r="H3250" s="545">
        <v>34.720999999999997</v>
      </c>
      <c r="I3250" s="554" t="s">
        <v>9218</v>
      </c>
      <c r="J3250" s="554" t="s">
        <v>9219</v>
      </c>
      <c r="K3250" s="554" t="s">
        <v>9219</v>
      </c>
      <c r="L3250" s="537" t="s">
        <v>2354</v>
      </c>
    </row>
    <row r="3251" spans="1:12" x14ac:dyDescent="0.2">
      <c r="A3251" s="570" t="s">
        <v>220</v>
      </c>
      <c r="B3251" s="547" t="s">
        <v>5430</v>
      </c>
      <c r="C3251" s="554" t="s">
        <v>6728</v>
      </c>
      <c r="D3251" s="554" t="s">
        <v>8237</v>
      </c>
      <c r="E3251" s="554"/>
      <c r="F3251" s="571">
        <v>7</v>
      </c>
      <c r="G3251" s="572">
        <v>18.068999999999999</v>
      </c>
      <c r="H3251" s="545">
        <v>126.48299999999999</v>
      </c>
      <c r="I3251" s="554" t="s">
        <v>9218</v>
      </c>
      <c r="J3251" s="554" t="s">
        <v>9219</v>
      </c>
      <c r="K3251" s="554" t="s">
        <v>9219</v>
      </c>
      <c r="L3251" s="537" t="s">
        <v>2354</v>
      </c>
    </row>
    <row r="3252" spans="1:12" x14ac:dyDescent="0.2">
      <c r="A3252" s="570" t="s">
        <v>220</v>
      </c>
      <c r="B3252" s="547" t="s">
        <v>5430</v>
      </c>
      <c r="C3252" s="554" t="s">
        <v>3955</v>
      </c>
      <c r="D3252" s="554" t="s">
        <v>8238</v>
      </c>
      <c r="E3252" s="554"/>
      <c r="F3252" s="571">
        <v>2</v>
      </c>
      <c r="G3252" s="572">
        <v>83.718000000000004</v>
      </c>
      <c r="H3252" s="545">
        <v>167.43600000000001</v>
      </c>
      <c r="I3252" s="554" t="s">
        <v>9218</v>
      </c>
      <c r="J3252" s="554" t="s">
        <v>9219</v>
      </c>
      <c r="K3252" s="554" t="s">
        <v>9219</v>
      </c>
      <c r="L3252" s="537" t="s">
        <v>2354</v>
      </c>
    </row>
    <row r="3253" spans="1:12" x14ac:dyDescent="0.2">
      <c r="A3253" s="570" t="s">
        <v>220</v>
      </c>
      <c r="B3253" s="547" t="s">
        <v>5430</v>
      </c>
      <c r="C3253" s="554" t="s">
        <v>3995</v>
      </c>
      <c r="D3253" s="554" t="s">
        <v>8239</v>
      </c>
      <c r="E3253" s="554"/>
      <c r="F3253" s="571">
        <v>5</v>
      </c>
      <c r="G3253" s="572">
        <v>108.324</v>
      </c>
      <c r="H3253" s="545">
        <v>541.62</v>
      </c>
      <c r="I3253" s="554" t="s">
        <v>9218</v>
      </c>
      <c r="J3253" s="554" t="s">
        <v>9219</v>
      </c>
      <c r="K3253" s="554" t="s">
        <v>9219</v>
      </c>
      <c r="L3253" s="537" t="s">
        <v>2354</v>
      </c>
    </row>
    <row r="3254" spans="1:12" x14ac:dyDescent="0.2">
      <c r="A3254" s="570" t="s">
        <v>220</v>
      </c>
      <c r="B3254" s="547" t="s">
        <v>5430</v>
      </c>
      <c r="C3254" s="554" t="s">
        <v>6743</v>
      </c>
      <c r="D3254" s="554" t="s">
        <v>6744</v>
      </c>
      <c r="E3254" s="554"/>
      <c r="F3254" s="571">
        <v>1</v>
      </c>
      <c r="G3254" s="572">
        <v>82.65</v>
      </c>
      <c r="H3254" s="545">
        <v>82.65</v>
      </c>
      <c r="I3254" s="554" t="s">
        <v>9218</v>
      </c>
      <c r="J3254" s="554" t="s">
        <v>9219</v>
      </c>
      <c r="K3254" s="554" t="s">
        <v>9219</v>
      </c>
      <c r="L3254" s="537" t="s">
        <v>2354</v>
      </c>
    </row>
    <row r="3255" spans="1:12" x14ac:dyDescent="0.2">
      <c r="A3255" s="570" t="s">
        <v>220</v>
      </c>
      <c r="B3255" s="547" t="s">
        <v>5430</v>
      </c>
      <c r="C3255" s="554" t="s">
        <v>6747</v>
      </c>
      <c r="D3255" s="554" t="s">
        <v>8241</v>
      </c>
      <c r="E3255" s="554"/>
      <c r="F3255" s="571">
        <v>5</v>
      </c>
      <c r="G3255" s="572">
        <v>74.048000000000002</v>
      </c>
      <c r="H3255" s="545">
        <v>370.24</v>
      </c>
      <c r="I3255" s="554" t="s">
        <v>9218</v>
      </c>
      <c r="J3255" s="554" t="s">
        <v>9219</v>
      </c>
      <c r="K3255" s="554" t="s">
        <v>9219</v>
      </c>
      <c r="L3255" s="537" t="s">
        <v>2354</v>
      </c>
    </row>
    <row r="3256" spans="1:12" x14ac:dyDescent="0.2">
      <c r="A3256" s="570" t="s">
        <v>220</v>
      </c>
      <c r="B3256" s="547" t="s">
        <v>5430</v>
      </c>
      <c r="C3256" s="554" t="s">
        <v>6749</v>
      </c>
      <c r="D3256" s="554" t="s">
        <v>8242</v>
      </c>
      <c r="E3256" s="554"/>
      <c r="F3256" s="571">
        <v>1</v>
      </c>
      <c r="G3256" s="572">
        <v>1.1679999999999999</v>
      </c>
      <c r="H3256" s="545">
        <v>1.1679999999999999</v>
      </c>
      <c r="I3256" s="554" t="s">
        <v>9218</v>
      </c>
      <c r="J3256" s="554" t="s">
        <v>9219</v>
      </c>
      <c r="K3256" s="554" t="s">
        <v>9219</v>
      </c>
      <c r="L3256" s="537" t="s">
        <v>2354</v>
      </c>
    </row>
    <row r="3257" spans="1:12" x14ac:dyDescent="0.2">
      <c r="A3257" s="570" t="s">
        <v>220</v>
      </c>
      <c r="B3257" s="547" t="s">
        <v>5430</v>
      </c>
      <c r="C3257" s="554" t="s">
        <v>6751</v>
      </c>
      <c r="D3257" s="554" t="s">
        <v>8243</v>
      </c>
      <c r="E3257" s="554"/>
      <c r="F3257" s="571">
        <v>7</v>
      </c>
      <c r="G3257" s="572">
        <v>10.744</v>
      </c>
      <c r="H3257" s="545">
        <v>75.207999999999998</v>
      </c>
      <c r="I3257" s="554" t="s">
        <v>9218</v>
      </c>
      <c r="J3257" s="554" t="s">
        <v>9219</v>
      </c>
      <c r="K3257" s="554" t="s">
        <v>9219</v>
      </c>
      <c r="L3257" s="537" t="s">
        <v>2354</v>
      </c>
    </row>
    <row r="3258" spans="1:12" x14ac:dyDescent="0.2">
      <c r="A3258" s="570" t="s">
        <v>220</v>
      </c>
      <c r="B3258" s="547" t="s">
        <v>5430</v>
      </c>
      <c r="C3258" s="554" t="s">
        <v>6753</v>
      </c>
      <c r="D3258" s="554" t="s">
        <v>8244</v>
      </c>
      <c r="E3258" s="554"/>
      <c r="F3258" s="573">
        <v>2</v>
      </c>
      <c r="G3258" s="545">
        <v>0</v>
      </c>
      <c r="H3258" s="545">
        <v>0</v>
      </c>
      <c r="I3258" s="554" t="s">
        <v>9218</v>
      </c>
      <c r="J3258" s="554" t="s">
        <v>9219</v>
      </c>
      <c r="K3258" s="554" t="s">
        <v>9219</v>
      </c>
      <c r="L3258" s="537" t="s">
        <v>2354</v>
      </c>
    </row>
    <row r="3259" spans="1:12" x14ac:dyDescent="0.2">
      <c r="A3259" s="570" t="s">
        <v>220</v>
      </c>
      <c r="B3259" s="547" t="s">
        <v>5430</v>
      </c>
      <c r="C3259" s="554" t="s">
        <v>6755</v>
      </c>
      <c r="D3259" s="554" t="s">
        <v>8245</v>
      </c>
      <c r="E3259" s="554"/>
      <c r="F3259" s="573">
        <v>1</v>
      </c>
      <c r="G3259" s="545">
        <v>0</v>
      </c>
      <c r="H3259" s="545">
        <v>0</v>
      </c>
      <c r="I3259" s="554" t="s">
        <v>9218</v>
      </c>
      <c r="J3259" s="554" t="s">
        <v>9219</v>
      </c>
      <c r="K3259" s="554" t="s">
        <v>9219</v>
      </c>
      <c r="L3259" s="537" t="s">
        <v>2354</v>
      </c>
    </row>
    <row r="3260" spans="1:12" x14ac:dyDescent="0.2">
      <c r="A3260" s="570" t="s">
        <v>220</v>
      </c>
      <c r="B3260" s="547" t="s">
        <v>5430</v>
      </c>
      <c r="C3260" s="554" t="s">
        <v>6757</v>
      </c>
      <c r="D3260" s="554" t="s">
        <v>8246</v>
      </c>
      <c r="E3260" s="554"/>
      <c r="F3260" s="573">
        <v>1</v>
      </c>
      <c r="G3260" s="545">
        <v>0</v>
      </c>
      <c r="H3260" s="545">
        <v>0</v>
      </c>
      <c r="I3260" s="554" t="s">
        <v>9218</v>
      </c>
      <c r="J3260" s="554" t="s">
        <v>9219</v>
      </c>
      <c r="K3260" s="554" t="s">
        <v>9219</v>
      </c>
      <c r="L3260" s="537" t="s">
        <v>2354</v>
      </c>
    </row>
    <row r="3261" spans="1:12" x14ac:dyDescent="0.2">
      <c r="A3261" s="570" t="s">
        <v>220</v>
      </c>
      <c r="B3261" s="547" t="s">
        <v>5430</v>
      </c>
      <c r="C3261" s="554" t="s">
        <v>6759</v>
      </c>
      <c r="D3261" s="554" t="s">
        <v>8247</v>
      </c>
      <c r="E3261" s="554"/>
      <c r="F3261" s="573">
        <v>2</v>
      </c>
      <c r="G3261" s="545">
        <v>0</v>
      </c>
      <c r="H3261" s="545">
        <v>0</v>
      </c>
      <c r="I3261" s="554" t="s">
        <v>9218</v>
      </c>
      <c r="J3261" s="554" t="s">
        <v>9219</v>
      </c>
      <c r="K3261" s="554" t="s">
        <v>9219</v>
      </c>
      <c r="L3261" s="537" t="s">
        <v>2354</v>
      </c>
    </row>
    <row r="3262" spans="1:12" x14ac:dyDescent="0.2">
      <c r="A3262" s="570" t="s">
        <v>220</v>
      </c>
      <c r="B3262" s="547" t="s">
        <v>5430</v>
      </c>
      <c r="C3262" s="554" t="s">
        <v>6761</v>
      </c>
      <c r="D3262" s="554" t="s">
        <v>8248</v>
      </c>
      <c r="E3262" s="554"/>
      <c r="F3262" s="573">
        <v>2</v>
      </c>
      <c r="G3262" s="545">
        <v>0</v>
      </c>
      <c r="H3262" s="545">
        <v>0</v>
      </c>
      <c r="I3262" s="554" t="s">
        <v>9218</v>
      </c>
      <c r="J3262" s="554" t="s">
        <v>9219</v>
      </c>
      <c r="K3262" s="554" t="s">
        <v>9219</v>
      </c>
      <c r="L3262" s="537" t="s">
        <v>2354</v>
      </c>
    </row>
    <row r="3263" spans="1:12" x14ac:dyDescent="0.2">
      <c r="A3263" s="570" t="s">
        <v>220</v>
      </c>
      <c r="B3263" s="547" t="s">
        <v>5430</v>
      </c>
      <c r="C3263" s="554" t="s">
        <v>6763</v>
      </c>
      <c r="D3263" s="554" t="s">
        <v>8249</v>
      </c>
      <c r="E3263" s="554"/>
      <c r="F3263" s="571">
        <v>2</v>
      </c>
      <c r="G3263" s="572">
        <v>70.090999999999994</v>
      </c>
      <c r="H3263" s="545">
        <v>140.18199999999999</v>
      </c>
      <c r="I3263" s="554" t="s">
        <v>9218</v>
      </c>
      <c r="J3263" s="554" t="s">
        <v>9219</v>
      </c>
      <c r="K3263" s="554" t="s">
        <v>9219</v>
      </c>
      <c r="L3263" s="537" t="s">
        <v>2354</v>
      </c>
    </row>
    <row r="3264" spans="1:12" x14ac:dyDescent="0.2">
      <c r="A3264" s="570" t="s">
        <v>220</v>
      </c>
      <c r="B3264" s="547" t="s">
        <v>5430</v>
      </c>
      <c r="C3264" s="554" t="s">
        <v>6765</v>
      </c>
      <c r="D3264" s="554" t="s">
        <v>8250</v>
      </c>
      <c r="E3264" s="554"/>
      <c r="F3264" s="571">
        <v>3</v>
      </c>
      <c r="G3264" s="572">
        <v>44.814</v>
      </c>
      <c r="H3264" s="545">
        <v>134.44200000000001</v>
      </c>
      <c r="I3264" s="554" t="s">
        <v>9218</v>
      </c>
      <c r="J3264" s="554" t="s">
        <v>9219</v>
      </c>
      <c r="K3264" s="554" t="s">
        <v>9219</v>
      </c>
      <c r="L3264" s="537" t="s">
        <v>2354</v>
      </c>
    </row>
    <row r="3265" spans="1:12" x14ac:dyDescent="0.2">
      <c r="A3265" s="570" t="s">
        <v>220</v>
      </c>
      <c r="B3265" s="547" t="s">
        <v>5430</v>
      </c>
      <c r="C3265" s="554" t="s">
        <v>6767</v>
      </c>
      <c r="D3265" s="554" t="s">
        <v>8251</v>
      </c>
      <c r="E3265" s="554"/>
      <c r="F3265" s="571">
        <v>1</v>
      </c>
      <c r="G3265" s="572">
        <v>1.087</v>
      </c>
      <c r="H3265" s="545">
        <v>1.087</v>
      </c>
      <c r="I3265" s="554" t="s">
        <v>9218</v>
      </c>
      <c r="J3265" s="554" t="s">
        <v>9219</v>
      </c>
      <c r="K3265" s="554" t="s">
        <v>9219</v>
      </c>
      <c r="L3265" s="537" t="s">
        <v>2354</v>
      </c>
    </row>
    <row r="3266" spans="1:12" x14ac:dyDescent="0.2">
      <c r="A3266" s="570" t="s">
        <v>220</v>
      </c>
      <c r="B3266" s="547" t="s">
        <v>5430</v>
      </c>
      <c r="C3266" s="554" t="s">
        <v>6769</v>
      </c>
      <c r="D3266" s="554" t="s">
        <v>6770</v>
      </c>
      <c r="E3266" s="554"/>
      <c r="F3266" s="571">
        <v>2</v>
      </c>
      <c r="G3266" s="572">
        <v>126.664</v>
      </c>
      <c r="H3266" s="545">
        <v>253.328</v>
      </c>
      <c r="I3266" s="554" t="s">
        <v>9218</v>
      </c>
      <c r="J3266" s="554" t="s">
        <v>9219</v>
      </c>
      <c r="K3266" s="554" t="s">
        <v>9219</v>
      </c>
      <c r="L3266" s="537" t="s">
        <v>2354</v>
      </c>
    </row>
    <row r="3267" spans="1:12" x14ac:dyDescent="0.2">
      <c r="A3267" s="570" t="s">
        <v>220</v>
      </c>
      <c r="B3267" s="547" t="s">
        <v>5430</v>
      </c>
      <c r="C3267" s="554" t="s">
        <v>6771</v>
      </c>
      <c r="D3267" s="554" t="s">
        <v>8252</v>
      </c>
      <c r="E3267" s="554"/>
      <c r="F3267" s="571">
        <v>1</v>
      </c>
      <c r="G3267" s="572">
        <v>152</v>
      </c>
      <c r="H3267" s="545">
        <v>152</v>
      </c>
      <c r="I3267" s="554" t="s">
        <v>9218</v>
      </c>
      <c r="J3267" s="554" t="s">
        <v>9219</v>
      </c>
      <c r="K3267" s="554" t="s">
        <v>9219</v>
      </c>
      <c r="L3267" s="537" t="s">
        <v>2354</v>
      </c>
    </row>
    <row r="3268" spans="1:12" x14ac:dyDescent="0.2">
      <c r="A3268" s="570" t="s">
        <v>220</v>
      </c>
      <c r="B3268" s="547" t="s">
        <v>5430</v>
      </c>
      <c r="C3268" s="554" t="s">
        <v>4031</v>
      </c>
      <c r="D3268" s="554" t="s">
        <v>8253</v>
      </c>
      <c r="E3268" s="554"/>
      <c r="F3268" s="571">
        <v>1</v>
      </c>
      <c r="G3268" s="572">
        <v>143.149</v>
      </c>
      <c r="H3268" s="545">
        <v>143.149</v>
      </c>
      <c r="I3268" s="554" t="s">
        <v>9218</v>
      </c>
      <c r="J3268" s="554" t="s">
        <v>9219</v>
      </c>
      <c r="K3268" s="554" t="s">
        <v>9219</v>
      </c>
      <c r="L3268" s="537" t="s">
        <v>2354</v>
      </c>
    </row>
    <row r="3269" spans="1:12" x14ac:dyDescent="0.2">
      <c r="A3269" s="570" t="s">
        <v>220</v>
      </c>
      <c r="B3269" s="547" t="s">
        <v>5430</v>
      </c>
      <c r="C3269" s="554" t="s">
        <v>4033</v>
      </c>
      <c r="D3269" s="554" t="s">
        <v>8254</v>
      </c>
      <c r="E3269" s="554"/>
      <c r="F3269" s="571">
        <v>1</v>
      </c>
      <c r="G3269" s="572">
        <v>161.96</v>
      </c>
      <c r="H3269" s="545">
        <v>161.96</v>
      </c>
      <c r="I3269" s="554" t="s">
        <v>9218</v>
      </c>
      <c r="J3269" s="554" t="s">
        <v>9219</v>
      </c>
      <c r="K3269" s="554" t="s">
        <v>9219</v>
      </c>
      <c r="L3269" s="537" t="s">
        <v>2354</v>
      </c>
    </row>
    <row r="3270" spans="1:12" x14ac:dyDescent="0.2">
      <c r="A3270" s="570" t="s">
        <v>220</v>
      </c>
      <c r="B3270" s="547" t="s">
        <v>5430</v>
      </c>
      <c r="C3270" s="554" t="s">
        <v>6773</v>
      </c>
      <c r="D3270" s="554" t="s">
        <v>8255</v>
      </c>
      <c r="E3270" s="554"/>
      <c r="F3270" s="571">
        <v>9</v>
      </c>
      <c r="G3270" s="572">
        <v>32.106999999999999</v>
      </c>
      <c r="H3270" s="545">
        <v>288.96299999999997</v>
      </c>
      <c r="I3270" s="554" t="s">
        <v>9218</v>
      </c>
      <c r="J3270" s="554" t="s">
        <v>9219</v>
      </c>
      <c r="K3270" s="554" t="s">
        <v>9219</v>
      </c>
      <c r="L3270" s="537" t="s">
        <v>2354</v>
      </c>
    </row>
    <row r="3271" spans="1:12" x14ac:dyDescent="0.2">
      <c r="A3271" s="570" t="s">
        <v>220</v>
      </c>
      <c r="B3271" s="547" t="s">
        <v>5430</v>
      </c>
      <c r="C3271" s="554" t="s">
        <v>6775</v>
      </c>
      <c r="D3271" s="554" t="s">
        <v>8256</v>
      </c>
      <c r="E3271" s="554"/>
      <c r="F3271" s="571">
        <v>10</v>
      </c>
      <c r="G3271" s="572">
        <v>20.434999999999999</v>
      </c>
      <c r="H3271" s="545">
        <v>204.35</v>
      </c>
      <c r="I3271" s="554" t="s">
        <v>9218</v>
      </c>
      <c r="J3271" s="554" t="s">
        <v>9219</v>
      </c>
      <c r="K3271" s="554" t="s">
        <v>9219</v>
      </c>
      <c r="L3271" s="537" t="s">
        <v>2354</v>
      </c>
    </row>
    <row r="3272" spans="1:12" x14ac:dyDescent="0.2">
      <c r="A3272" s="570" t="s">
        <v>220</v>
      </c>
      <c r="B3272" s="547" t="s">
        <v>5430</v>
      </c>
      <c r="C3272" s="554" t="s">
        <v>6777</v>
      </c>
      <c r="D3272" s="554" t="s">
        <v>6778</v>
      </c>
      <c r="E3272" s="554"/>
      <c r="F3272" s="571">
        <v>2</v>
      </c>
      <c r="G3272" s="572">
        <v>256.18700000000001</v>
      </c>
      <c r="H3272" s="545">
        <v>512.37400000000002</v>
      </c>
      <c r="I3272" s="554" t="s">
        <v>9218</v>
      </c>
      <c r="J3272" s="554" t="s">
        <v>9219</v>
      </c>
      <c r="K3272" s="554" t="s">
        <v>9219</v>
      </c>
      <c r="L3272" s="537" t="s">
        <v>2354</v>
      </c>
    </row>
    <row r="3273" spans="1:12" x14ac:dyDescent="0.2">
      <c r="A3273" s="570" t="s">
        <v>220</v>
      </c>
      <c r="B3273" s="547" t="s">
        <v>5430</v>
      </c>
      <c r="C3273" s="554" t="s">
        <v>4039</v>
      </c>
      <c r="D3273" s="554" t="s">
        <v>8257</v>
      </c>
      <c r="E3273" s="554"/>
      <c r="F3273" s="571">
        <v>1</v>
      </c>
      <c r="G3273" s="572">
        <v>70.956000000000003</v>
      </c>
      <c r="H3273" s="545">
        <v>70.956000000000003</v>
      </c>
      <c r="I3273" s="554" t="s">
        <v>9218</v>
      </c>
      <c r="J3273" s="554" t="s">
        <v>9219</v>
      </c>
      <c r="K3273" s="554" t="s">
        <v>9219</v>
      </c>
      <c r="L3273" s="537" t="s">
        <v>2354</v>
      </c>
    </row>
    <row r="3274" spans="1:12" x14ac:dyDescent="0.2">
      <c r="A3274" s="570" t="s">
        <v>220</v>
      </c>
      <c r="B3274" s="547" t="s">
        <v>5430</v>
      </c>
      <c r="C3274" s="554" t="s">
        <v>4045</v>
      </c>
      <c r="D3274" s="554" t="s">
        <v>8258</v>
      </c>
      <c r="E3274" s="554"/>
      <c r="F3274" s="571">
        <v>1</v>
      </c>
      <c r="G3274" s="572">
        <v>141.928</v>
      </c>
      <c r="H3274" s="545">
        <v>141.928</v>
      </c>
      <c r="I3274" s="554" t="s">
        <v>9218</v>
      </c>
      <c r="J3274" s="554" t="s">
        <v>9219</v>
      </c>
      <c r="K3274" s="554" t="s">
        <v>9219</v>
      </c>
      <c r="L3274" s="537" t="s">
        <v>2354</v>
      </c>
    </row>
    <row r="3275" spans="1:12" x14ac:dyDescent="0.2">
      <c r="A3275" s="570" t="s">
        <v>220</v>
      </c>
      <c r="B3275" s="547" t="s">
        <v>5430</v>
      </c>
      <c r="C3275" s="554" t="s">
        <v>6779</v>
      </c>
      <c r="D3275" s="554" t="s">
        <v>6780</v>
      </c>
      <c r="E3275" s="554"/>
      <c r="F3275" s="571">
        <v>2</v>
      </c>
      <c r="G3275" s="572">
        <v>354.71</v>
      </c>
      <c r="H3275" s="545">
        <v>709.42</v>
      </c>
      <c r="I3275" s="554" t="s">
        <v>9218</v>
      </c>
      <c r="J3275" s="554" t="s">
        <v>9219</v>
      </c>
      <c r="K3275" s="554" t="s">
        <v>9219</v>
      </c>
      <c r="L3275" s="537" t="s">
        <v>2354</v>
      </c>
    </row>
    <row r="3276" spans="1:12" x14ac:dyDescent="0.2">
      <c r="A3276" s="570" t="s">
        <v>220</v>
      </c>
      <c r="B3276" s="547" t="s">
        <v>5430</v>
      </c>
      <c r="C3276" s="554" t="s">
        <v>4079</v>
      </c>
      <c r="D3276" s="554" t="s">
        <v>8259</v>
      </c>
      <c r="E3276" s="554"/>
      <c r="F3276" s="571">
        <v>3</v>
      </c>
      <c r="G3276" s="572">
        <v>86.111999999999995</v>
      </c>
      <c r="H3276" s="545">
        <v>258.33600000000001</v>
      </c>
      <c r="I3276" s="554" t="s">
        <v>9218</v>
      </c>
      <c r="J3276" s="554" t="s">
        <v>9219</v>
      </c>
      <c r="K3276" s="554" t="s">
        <v>9219</v>
      </c>
      <c r="L3276" s="537" t="s">
        <v>2354</v>
      </c>
    </row>
    <row r="3277" spans="1:12" x14ac:dyDescent="0.2">
      <c r="A3277" s="570" t="s">
        <v>220</v>
      </c>
      <c r="B3277" s="547" t="s">
        <v>5430</v>
      </c>
      <c r="C3277" s="554" t="s">
        <v>6791</v>
      </c>
      <c r="D3277" s="554" t="s">
        <v>6792</v>
      </c>
      <c r="E3277" s="554"/>
      <c r="F3277" s="571">
        <v>1</v>
      </c>
      <c r="G3277" s="572">
        <v>514.08000000000004</v>
      </c>
      <c r="H3277" s="545">
        <v>514.08000000000004</v>
      </c>
      <c r="I3277" s="554" t="s">
        <v>9218</v>
      </c>
      <c r="J3277" s="554" t="s">
        <v>9219</v>
      </c>
      <c r="K3277" s="554" t="s">
        <v>9219</v>
      </c>
      <c r="L3277" s="537" t="s">
        <v>2354</v>
      </c>
    </row>
    <row r="3278" spans="1:12" x14ac:dyDescent="0.2">
      <c r="A3278" s="570" t="s">
        <v>220</v>
      </c>
      <c r="B3278" s="547" t="s">
        <v>5430</v>
      </c>
      <c r="C3278" s="554" t="s">
        <v>6793</v>
      </c>
      <c r="D3278" s="554" t="s">
        <v>8260</v>
      </c>
      <c r="E3278" s="554"/>
      <c r="F3278" s="571">
        <v>1</v>
      </c>
      <c r="G3278" s="572">
        <v>294.14</v>
      </c>
      <c r="H3278" s="545">
        <v>294.14</v>
      </c>
      <c r="I3278" s="554" t="s">
        <v>9218</v>
      </c>
      <c r="J3278" s="554" t="s">
        <v>9219</v>
      </c>
      <c r="K3278" s="554" t="s">
        <v>9219</v>
      </c>
      <c r="L3278" s="537" t="s">
        <v>2354</v>
      </c>
    </row>
    <row r="3279" spans="1:12" x14ac:dyDescent="0.2">
      <c r="A3279" s="570" t="s">
        <v>220</v>
      </c>
      <c r="B3279" s="547" t="s">
        <v>5430</v>
      </c>
      <c r="C3279" s="554" t="s">
        <v>6795</v>
      </c>
      <c r="D3279" s="554" t="s">
        <v>6796</v>
      </c>
      <c r="E3279" s="554"/>
      <c r="F3279" s="571">
        <v>1</v>
      </c>
      <c r="G3279" s="572">
        <v>23.62</v>
      </c>
      <c r="H3279" s="545">
        <v>23.62</v>
      </c>
      <c r="I3279" s="554" t="s">
        <v>9218</v>
      </c>
      <c r="J3279" s="554" t="s">
        <v>9219</v>
      </c>
      <c r="K3279" s="554" t="s">
        <v>9219</v>
      </c>
      <c r="L3279" s="537" t="s">
        <v>2354</v>
      </c>
    </row>
    <row r="3280" spans="1:12" x14ac:dyDescent="0.2">
      <c r="A3280" s="570" t="s">
        <v>220</v>
      </c>
      <c r="B3280" s="547" t="s">
        <v>5430</v>
      </c>
      <c r="C3280" s="554" t="s">
        <v>4089</v>
      </c>
      <c r="D3280" s="554" t="s">
        <v>4090</v>
      </c>
      <c r="E3280" s="554"/>
      <c r="F3280" s="571">
        <v>1</v>
      </c>
      <c r="G3280" s="572">
        <v>19.533999999999999</v>
      </c>
      <c r="H3280" s="545">
        <v>19.533999999999999</v>
      </c>
      <c r="I3280" s="554" t="s">
        <v>9218</v>
      </c>
      <c r="J3280" s="554" t="s">
        <v>9219</v>
      </c>
      <c r="K3280" s="554" t="s">
        <v>9219</v>
      </c>
      <c r="L3280" s="537" t="s">
        <v>2354</v>
      </c>
    </row>
    <row r="3281" spans="1:12" x14ac:dyDescent="0.2">
      <c r="A3281" s="570" t="s">
        <v>220</v>
      </c>
      <c r="B3281" s="547" t="s">
        <v>5430</v>
      </c>
      <c r="C3281" s="554" t="s">
        <v>4093</v>
      </c>
      <c r="D3281" s="554" t="s">
        <v>8261</v>
      </c>
      <c r="E3281" s="554"/>
      <c r="F3281" s="571">
        <v>3</v>
      </c>
      <c r="G3281" s="572">
        <v>21.510999999999999</v>
      </c>
      <c r="H3281" s="545">
        <v>64.533000000000001</v>
      </c>
      <c r="I3281" s="554" t="s">
        <v>9218</v>
      </c>
      <c r="J3281" s="554" t="s">
        <v>9219</v>
      </c>
      <c r="K3281" s="554" t="s">
        <v>9219</v>
      </c>
      <c r="L3281" s="537" t="s">
        <v>2354</v>
      </c>
    </row>
    <row r="3282" spans="1:12" x14ac:dyDescent="0.2">
      <c r="A3282" s="570" t="s">
        <v>220</v>
      </c>
      <c r="B3282" s="547" t="s">
        <v>5430</v>
      </c>
      <c r="C3282" s="554" t="s">
        <v>6797</v>
      </c>
      <c r="D3282" s="554" t="s">
        <v>8262</v>
      </c>
      <c r="E3282" s="554"/>
      <c r="F3282" s="571">
        <v>3</v>
      </c>
      <c r="G3282" s="572">
        <v>40.435000000000002</v>
      </c>
      <c r="H3282" s="545">
        <v>121.30500000000001</v>
      </c>
      <c r="I3282" s="554" t="s">
        <v>9218</v>
      </c>
      <c r="J3282" s="554" t="s">
        <v>9219</v>
      </c>
      <c r="K3282" s="554" t="s">
        <v>9219</v>
      </c>
      <c r="L3282" s="537" t="s">
        <v>2354</v>
      </c>
    </row>
    <row r="3283" spans="1:12" x14ac:dyDescent="0.2">
      <c r="A3283" s="570" t="s">
        <v>220</v>
      </c>
      <c r="B3283" s="547" t="s">
        <v>5430</v>
      </c>
      <c r="C3283" s="554" t="s">
        <v>6799</v>
      </c>
      <c r="D3283" s="554" t="s">
        <v>8263</v>
      </c>
      <c r="E3283" s="554"/>
      <c r="F3283" s="571">
        <v>2</v>
      </c>
      <c r="G3283" s="572">
        <v>49.363999999999997</v>
      </c>
      <c r="H3283" s="545">
        <v>98.727999999999994</v>
      </c>
      <c r="I3283" s="554" t="s">
        <v>9218</v>
      </c>
      <c r="J3283" s="554" t="s">
        <v>9219</v>
      </c>
      <c r="K3283" s="554" t="s">
        <v>9219</v>
      </c>
      <c r="L3283" s="537" t="s">
        <v>2354</v>
      </c>
    </row>
    <row r="3284" spans="1:12" x14ac:dyDescent="0.2">
      <c r="A3284" s="570" t="s">
        <v>220</v>
      </c>
      <c r="B3284" s="547" t="s">
        <v>5430</v>
      </c>
      <c r="C3284" s="554" t="s">
        <v>4099</v>
      </c>
      <c r="D3284" s="554" t="s">
        <v>8264</v>
      </c>
      <c r="E3284" s="554"/>
      <c r="F3284" s="571">
        <v>2</v>
      </c>
      <c r="G3284" s="572">
        <v>35.564999999999998</v>
      </c>
      <c r="H3284" s="545">
        <v>71.13</v>
      </c>
      <c r="I3284" s="554" t="s">
        <v>9218</v>
      </c>
      <c r="J3284" s="554" t="s">
        <v>9219</v>
      </c>
      <c r="K3284" s="554" t="s">
        <v>9219</v>
      </c>
      <c r="L3284" s="537" t="s">
        <v>2354</v>
      </c>
    </row>
    <row r="3285" spans="1:12" x14ac:dyDescent="0.2">
      <c r="A3285" s="570" t="s">
        <v>220</v>
      </c>
      <c r="B3285" s="547" t="s">
        <v>5430</v>
      </c>
      <c r="C3285" s="554" t="s">
        <v>6803</v>
      </c>
      <c r="D3285" s="554" t="s">
        <v>8266</v>
      </c>
      <c r="E3285" s="554"/>
      <c r="F3285" s="571">
        <v>3</v>
      </c>
      <c r="G3285" s="572">
        <v>29.016999999999999</v>
      </c>
      <c r="H3285" s="545">
        <v>87.051000000000002</v>
      </c>
      <c r="I3285" s="554" t="s">
        <v>9218</v>
      </c>
      <c r="J3285" s="554" t="s">
        <v>9219</v>
      </c>
      <c r="K3285" s="554" t="s">
        <v>9219</v>
      </c>
      <c r="L3285" s="537" t="s">
        <v>2354</v>
      </c>
    </row>
    <row r="3286" spans="1:12" x14ac:dyDescent="0.2">
      <c r="A3286" s="570" t="s">
        <v>220</v>
      </c>
      <c r="B3286" s="547" t="s">
        <v>5430</v>
      </c>
      <c r="C3286" s="554" t="s">
        <v>4105</v>
      </c>
      <c r="D3286" s="554" t="s">
        <v>8267</v>
      </c>
      <c r="E3286" s="554"/>
      <c r="F3286" s="571">
        <v>3</v>
      </c>
      <c r="G3286" s="572">
        <v>162.81</v>
      </c>
      <c r="H3286" s="545">
        <v>488.43</v>
      </c>
      <c r="I3286" s="554" t="s">
        <v>9218</v>
      </c>
      <c r="J3286" s="554" t="s">
        <v>9219</v>
      </c>
      <c r="K3286" s="554" t="s">
        <v>9219</v>
      </c>
      <c r="L3286" s="537" t="s">
        <v>2354</v>
      </c>
    </row>
    <row r="3287" spans="1:12" x14ac:dyDescent="0.2">
      <c r="A3287" s="570" t="s">
        <v>220</v>
      </c>
      <c r="B3287" s="547" t="s">
        <v>5430</v>
      </c>
      <c r="C3287" s="554" t="s">
        <v>8268</v>
      </c>
      <c r="D3287" s="554" t="s">
        <v>8269</v>
      </c>
      <c r="E3287" s="554"/>
      <c r="F3287" s="571">
        <v>1</v>
      </c>
      <c r="G3287" s="572">
        <v>91.44</v>
      </c>
      <c r="H3287" s="545">
        <v>91.44</v>
      </c>
      <c r="I3287" s="554" t="s">
        <v>9218</v>
      </c>
      <c r="J3287" s="554" t="s">
        <v>9219</v>
      </c>
      <c r="K3287" s="554" t="s">
        <v>9219</v>
      </c>
      <c r="L3287" s="537" t="s">
        <v>2354</v>
      </c>
    </row>
    <row r="3288" spans="1:12" x14ac:dyDescent="0.2">
      <c r="A3288" s="570" t="s">
        <v>220</v>
      </c>
      <c r="B3288" s="547" t="s">
        <v>5430</v>
      </c>
      <c r="C3288" s="554" t="s">
        <v>6807</v>
      </c>
      <c r="D3288" s="554" t="s">
        <v>8270</v>
      </c>
      <c r="E3288" s="554"/>
      <c r="F3288" s="571">
        <v>1</v>
      </c>
      <c r="G3288" s="572">
        <v>57.844000000000001</v>
      </c>
      <c r="H3288" s="545">
        <v>57.844000000000001</v>
      </c>
      <c r="I3288" s="554" t="s">
        <v>9218</v>
      </c>
      <c r="J3288" s="554" t="s">
        <v>9219</v>
      </c>
      <c r="K3288" s="554" t="s">
        <v>9219</v>
      </c>
      <c r="L3288" s="537" t="s">
        <v>2354</v>
      </c>
    </row>
    <row r="3289" spans="1:12" x14ac:dyDescent="0.2">
      <c r="A3289" s="570" t="s">
        <v>220</v>
      </c>
      <c r="B3289" s="547" t="s">
        <v>5430</v>
      </c>
      <c r="C3289" s="554" t="s">
        <v>6809</v>
      </c>
      <c r="D3289" s="554" t="s">
        <v>8271</v>
      </c>
      <c r="E3289" s="554"/>
      <c r="F3289" s="571">
        <v>2</v>
      </c>
      <c r="G3289" s="572">
        <v>138.006</v>
      </c>
      <c r="H3289" s="545">
        <v>276.012</v>
      </c>
      <c r="I3289" s="554" t="s">
        <v>9218</v>
      </c>
      <c r="J3289" s="554" t="s">
        <v>9219</v>
      </c>
      <c r="K3289" s="554" t="s">
        <v>9219</v>
      </c>
      <c r="L3289" s="537" t="s">
        <v>2354</v>
      </c>
    </row>
    <row r="3290" spans="1:12" x14ac:dyDescent="0.2">
      <c r="A3290" s="570" t="s">
        <v>220</v>
      </c>
      <c r="B3290" s="547" t="s">
        <v>5430</v>
      </c>
      <c r="C3290" s="554" t="s">
        <v>6811</v>
      </c>
      <c r="D3290" s="554" t="s">
        <v>6812</v>
      </c>
      <c r="E3290" s="554"/>
      <c r="F3290" s="571">
        <v>1</v>
      </c>
      <c r="G3290" s="572">
        <v>158.322</v>
      </c>
      <c r="H3290" s="545">
        <v>158.322</v>
      </c>
      <c r="I3290" s="554" t="s">
        <v>9218</v>
      </c>
      <c r="J3290" s="554" t="s">
        <v>9219</v>
      </c>
      <c r="K3290" s="554" t="s">
        <v>9219</v>
      </c>
      <c r="L3290" s="537" t="s">
        <v>2354</v>
      </c>
    </row>
    <row r="3291" spans="1:12" x14ac:dyDescent="0.2">
      <c r="A3291" s="570" t="s">
        <v>220</v>
      </c>
      <c r="B3291" s="547" t="s">
        <v>5430</v>
      </c>
      <c r="C3291" s="554" t="s">
        <v>6813</v>
      </c>
      <c r="D3291" s="554" t="s">
        <v>8272</v>
      </c>
      <c r="E3291" s="554"/>
      <c r="F3291" s="571">
        <v>2</v>
      </c>
      <c r="G3291" s="572">
        <v>27.905000000000001</v>
      </c>
      <c r="H3291" s="545">
        <v>55.81</v>
      </c>
      <c r="I3291" s="554" t="s">
        <v>9218</v>
      </c>
      <c r="J3291" s="554" t="s">
        <v>9219</v>
      </c>
      <c r="K3291" s="554" t="s">
        <v>9219</v>
      </c>
      <c r="L3291" s="537" t="s">
        <v>2354</v>
      </c>
    </row>
    <row r="3292" spans="1:12" x14ac:dyDescent="0.2">
      <c r="A3292" s="570" t="s">
        <v>220</v>
      </c>
      <c r="B3292" s="547" t="s">
        <v>5430</v>
      </c>
      <c r="C3292" s="554" t="s">
        <v>6817</v>
      </c>
      <c r="D3292" s="554" t="s">
        <v>8274</v>
      </c>
      <c r="E3292" s="554"/>
      <c r="F3292" s="571">
        <v>2</v>
      </c>
      <c r="G3292" s="572">
        <v>23.648</v>
      </c>
      <c r="H3292" s="545">
        <v>47.295999999999999</v>
      </c>
      <c r="I3292" s="554" t="s">
        <v>9218</v>
      </c>
      <c r="J3292" s="554" t="s">
        <v>9219</v>
      </c>
      <c r="K3292" s="554" t="s">
        <v>9219</v>
      </c>
      <c r="L3292" s="537" t="s">
        <v>2354</v>
      </c>
    </row>
    <row r="3293" spans="1:12" x14ac:dyDescent="0.2">
      <c r="A3293" s="570" t="s">
        <v>220</v>
      </c>
      <c r="B3293" s="547" t="s">
        <v>5430</v>
      </c>
      <c r="C3293" s="554" t="s">
        <v>6819</v>
      </c>
      <c r="D3293" s="554" t="s">
        <v>8275</v>
      </c>
      <c r="E3293" s="554"/>
      <c r="F3293" s="571">
        <v>1</v>
      </c>
      <c r="G3293" s="572">
        <v>167.148</v>
      </c>
      <c r="H3293" s="545">
        <v>167.148</v>
      </c>
      <c r="I3293" s="554" t="s">
        <v>9218</v>
      </c>
      <c r="J3293" s="554" t="s">
        <v>9219</v>
      </c>
      <c r="K3293" s="554" t="s">
        <v>9219</v>
      </c>
      <c r="L3293" s="537" t="s">
        <v>2354</v>
      </c>
    </row>
    <row r="3294" spans="1:12" x14ac:dyDescent="0.2">
      <c r="A3294" s="570" t="s">
        <v>220</v>
      </c>
      <c r="B3294" s="547" t="s">
        <v>5430</v>
      </c>
      <c r="C3294" s="554" t="s">
        <v>6821</v>
      </c>
      <c r="D3294" s="554" t="s">
        <v>8276</v>
      </c>
      <c r="E3294" s="554"/>
      <c r="F3294" s="571">
        <v>1</v>
      </c>
      <c r="G3294" s="572">
        <v>25.14</v>
      </c>
      <c r="H3294" s="545">
        <v>25.14</v>
      </c>
      <c r="I3294" s="554" t="s">
        <v>9218</v>
      </c>
      <c r="J3294" s="554" t="s">
        <v>9219</v>
      </c>
      <c r="K3294" s="554" t="s">
        <v>9219</v>
      </c>
      <c r="L3294" s="537" t="s">
        <v>2354</v>
      </c>
    </row>
    <row r="3295" spans="1:12" x14ac:dyDescent="0.2">
      <c r="A3295" s="570" t="s">
        <v>220</v>
      </c>
      <c r="B3295" s="547" t="s">
        <v>5430</v>
      </c>
      <c r="C3295" s="554" t="s">
        <v>8277</v>
      </c>
      <c r="D3295" s="554" t="s">
        <v>8278</v>
      </c>
      <c r="E3295" s="554"/>
      <c r="F3295" s="573">
        <v>1</v>
      </c>
      <c r="G3295" s="545">
        <v>0</v>
      </c>
      <c r="H3295" s="545">
        <v>0</v>
      </c>
      <c r="I3295" s="554" t="s">
        <v>9218</v>
      </c>
      <c r="J3295" s="554" t="s">
        <v>9219</v>
      </c>
      <c r="K3295" s="554" t="s">
        <v>9219</v>
      </c>
      <c r="L3295" s="537" t="s">
        <v>2354</v>
      </c>
    </row>
    <row r="3296" spans="1:12" x14ac:dyDescent="0.2">
      <c r="A3296" s="570" t="s">
        <v>220</v>
      </c>
      <c r="B3296" s="547" t="s">
        <v>5430</v>
      </c>
      <c r="C3296" s="554" t="s">
        <v>8279</v>
      </c>
      <c r="D3296" s="554" t="s">
        <v>8280</v>
      </c>
      <c r="E3296" s="554"/>
      <c r="F3296" s="573">
        <v>1</v>
      </c>
      <c r="G3296" s="545">
        <v>0</v>
      </c>
      <c r="H3296" s="545">
        <v>0</v>
      </c>
      <c r="I3296" s="554" t="s">
        <v>9218</v>
      </c>
      <c r="J3296" s="554" t="s">
        <v>9219</v>
      </c>
      <c r="K3296" s="554" t="s">
        <v>9219</v>
      </c>
      <c r="L3296" s="537" t="s">
        <v>2354</v>
      </c>
    </row>
    <row r="3297" spans="1:12" x14ac:dyDescent="0.2">
      <c r="A3297" s="570" t="s">
        <v>220</v>
      </c>
      <c r="B3297" s="547" t="s">
        <v>5430</v>
      </c>
      <c r="C3297" s="554" t="s">
        <v>8281</v>
      </c>
      <c r="D3297" s="554" t="s">
        <v>8282</v>
      </c>
      <c r="E3297" s="554"/>
      <c r="F3297" s="573">
        <v>1</v>
      </c>
      <c r="G3297" s="545">
        <v>0</v>
      </c>
      <c r="H3297" s="545">
        <v>0</v>
      </c>
      <c r="I3297" s="554" t="s">
        <v>9218</v>
      </c>
      <c r="J3297" s="554" t="s">
        <v>9219</v>
      </c>
      <c r="K3297" s="554" t="s">
        <v>9219</v>
      </c>
      <c r="L3297" s="537" t="s">
        <v>2354</v>
      </c>
    </row>
    <row r="3298" spans="1:12" x14ac:dyDescent="0.2">
      <c r="A3298" s="570" t="s">
        <v>220</v>
      </c>
      <c r="B3298" s="547" t="s">
        <v>5430</v>
      </c>
      <c r="C3298" s="554" t="s">
        <v>6829</v>
      </c>
      <c r="D3298" s="554" t="s">
        <v>8283</v>
      </c>
      <c r="E3298" s="554"/>
      <c r="F3298" s="571">
        <v>2</v>
      </c>
      <c r="G3298" s="572">
        <v>55.569000000000003</v>
      </c>
      <c r="H3298" s="545">
        <v>111.13800000000001</v>
      </c>
      <c r="I3298" s="554" t="s">
        <v>9218</v>
      </c>
      <c r="J3298" s="554" t="s">
        <v>9219</v>
      </c>
      <c r="K3298" s="554" t="s">
        <v>9219</v>
      </c>
      <c r="L3298" s="537" t="s">
        <v>2354</v>
      </c>
    </row>
    <row r="3299" spans="1:12" x14ac:dyDescent="0.2">
      <c r="A3299" s="570" t="s">
        <v>220</v>
      </c>
      <c r="B3299" s="547" t="s">
        <v>5430</v>
      </c>
      <c r="C3299" s="554" t="s">
        <v>4133</v>
      </c>
      <c r="D3299" s="554" t="s">
        <v>8284</v>
      </c>
      <c r="E3299" s="554"/>
      <c r="F3299" s="571">
        <v>4</v>
      </c>
      <c r="G3299" s="572">
        <v>200.01300000000001</v>
      </c>
      <c r="H3299" s="545">
        <v>800.05200000000002</v>
      </c>
      <c r="I3299" s="554" t="s">
        <v>9218</v>
      </c>
      <c r="J3299" s="554" t="s">
        <v>9219</v>
      </c>
      <c r="K3299" s="554" t="s">
        <v>9219</v>
      </c>
      <c r="L3299" s="537" t="s">
        <v>2354</v>
      </c>
    </row>
    <row r="3300" spans="1:12" x14ac:dyDescent="0.2">
      <c r="A3300" s="570" t="s">
        <v>220</v>
      </c>
      <c r="B3300" s="547" t="s">
        <v>5430</v>
      </c>
      <c r="C3300" s="554" t="s">
        <v>8285</v>
      </c>
      <c r="D3300" s="554" t="s">
        <v>8286</v>
      </c>
      <c r="E3300" s="554"/>
      <c r="F3300" s="571">
        <v>2</v>
      </c>
      <c r="G3300" s="572">
        <v>274.899</v>
      </c>
      <c r="H3300" s="545">
        <v>549.798</v>
      </c>
      <c r="I3300" s="554" t="s">
        <v>9218</v>
      </c>
      <c r="J3300" s="554" t="s">
        <v>9219</v>
      </c>
      <c r="K3300" s="554" t="s">
        <v>9219</v>
      </c>
      <c r="L3300" s="537" t="s">
        <v>2354</v>
      </c>
    </row>
    <row r="3301" spans="1:12" x14ac:dyDescent="0.2">
      <c r="A3301" s="570" t="s">
        <v>220</v>
      </c>
      <c r="B3301" s="547" t="s">
        <v>5430</v>
      </c>
      <c r="C3301" s="554" t="s">
        <v>6833</v>
      </c>
      <c r="D3301" s="554" t="s">
        <v>8287</v>
      </c>
      <c r="E3301" s="554"/>
      <c r="F3301" s="571">
        <v>8</v>
      </c>
      <c r="G3301" s="572">
        <v>11.853999999999999</v>
      </c>
      <c r="H3301" s="545">
        <v>94.831999999999994</v>
      </c>
      <c r="I3301" s="554" t="s">
        <v>9218</v>
      </c>
      <c r="J3301" s="554" t="s">
        <v>9219</v>
      </c>
      <c r="K3301" s="554" t="s">
        <v>9219</v>
      </c>
      <c r="L3301" s="537" t="s">
        <v>2354</v>
      </c>
    </row>
    <row r="3302" spans="1:12" x14ac:dyDescent="0.2">
      <c r="A3302" s="570" t="s">
        <v>220</v>
      </c>
      <c r="B3302" s="547" t="s">
        <v>5430</v>
      </c>
      <c r="C3302" s="554" t="s">
        <v>6835</v>
      </c>
      <c r="D3302" s="554" t="s">
        <v>8288</v>
      </c>
      <c r="E3302" s="554"/>
      <c r="F3302" s="571">
        <v>1</v>
      </c>
      <c r="G3302" s="572">
        <v>9.4499999999999993</v>
      </c>
      <c r="H3302" s="545">
        <v>9.4499999999999993</v>
      </c>
      <c r="I3302" s="554" t="s">
        <v>9218</v>
      </c>
      <c r="J3302" s="554" t="s">
        <v>9219</v>
      </c>
      <c r="K3302" s="554" t="s">
        <v>9219</v>
      </c>
      <c r="L3302" s="537" t="s">
        <v>2354</v>
      </c>
    </row>
    <row r="3303" spans="1:12" x14ac:dyDescent="0.2">
      <c r="A3303" s="570" t="s">
        <v>220</v>
      </c>
      <c r="B3303" s="547" t="s">
        <v>5430</v>
      </c>
      <c r="C3303" s="554" t="s">
        <v>6837</v>
      </c>
      <c r="D3303" s="554" t="s">
        <v>8289</v>
      </c>
      <c r="E3303" s="554"/>
      <c r="F3303" s="571">
        <v>1</v>
      </c>
      <c r="G3303" s="572">
        <v>12.6</v>
      </c>
      <c r="H3303" s="545">
        <v>12.6</v>
      </c>
      <c r="I3303" s="554" t="s">
        <v>9218</v>
      </c>
      <c r="J3303" s="554" t="s">
        <v>9219</v>
      </c>
      <c r="K3303" s="554" t="s">
        <v>9219</v>
      </c>
      <c r="L3303" s="537" t="s">
        <v>2354</v>
      </c>
    </row>
    <row r="3304" spans="1:12" x14ac:dyDescent="0.2">
      <c r="A3304" s="570" t="s">
        <v>220</v>
      </c>
      <c r="B3304" s="547" t="s">
        <v>5430</v>
      </c>
      <c r="C3304" s="554" t="s">
        <v>6839</v>
      </c>
      <c r="D3304" s="554" t="s">
        <v>8290</v>
      </c>
      <c r="E3304" s="554"/>
      <c r="F3304" s="571">
        <v>1</v>
      </c>
      <c r="G3304" s="572">
        <v>14.4</v>
      </c>
      <c r="H3304" s="545">
        <v>14.4</v>
      </c>
      <c r="I3304" s="554" t="s">
        <v>9218</v>
      </c>
      <c r="J3304" s="554" t="s">
        <v>9219</v>
      </c>
      <c r="K3304" s="554" t="s">
        <v>9219</v>
      </c>
      <c r="L3304" s="537" t="s">
        <v>2354</v>
      </c>
    </row>
    <row r="3305" spans="1:12" x14ac:dyDescent="0.2">
      <c r="A3305" s="570" t="s">
        <v>220</v>
      </c>
      <c r="B3305" s="547" t="s">
        <v>5430</v>
      </c>
      <c r="C3305" s="554" t="s">
        <v>6841</v>
      </c>
      <c r="D3305" s="554" t="s">
        <v>8291</v>
      </c>
      <c r="E3305" s="554"/>
      <c r="F3305" s="571">
        <v>10</v>
      </c>
      <c r="G3305" s="572">
        <v>7.2140000000000004</v>
      </c>
      <c r="H3305" s="545">
        <v>72.14</v>
      </c>
      <c r="I3305" s="554" t="s">
        <v>9218</v>
      </c>
      <c r="J3305" s="554" t="s">
        <v>9219</v>
      </c>
      <c r="K3305" s="554" t="s">
        <v>9219</v>
      </c>
      <c r="L3305" s="537" t="s">
        <v>2354</v>
      </c>
    </row>
    <row r="3306" spans="1:12" x14ac:dyDescent="0.2">
      <c r="A3306" s="570" t="s">
        <v>220</v>
      </c>
      <c r="B3306" s="547" t="s">
        <v>5430</v>
      </c>
      <c r="C3306" s="554" t="s">
        <v>6843</v>
      </c>
      <c r="D3306" s="554" t="s">
        <v>8292</v>
      </c>
      <c r="E3306" s="554"/>
      <c r="F3306" s="571">
        <v>7</v>
      </c>
      <c r="G3306" s="572">
        <v>6.1369999999999996</v>
      </c>
      <c r="H3306" s="545">
        <v>42.958999999999996</v>
      </c>
      <c r="I3306" s="554" t="s">
        <v>9218</v>
      </c>
      <c r="J3306" s="554" t="s">
        <v>9219</v>
      </c>
      <c r="K3306" s="554" t="s">
        <v>9219</v>
      </c>
      <c r="L3306" s="537" t="s">
        <v>2354</v>
      </c>
    </row>
    <row r="3307" spans="1:12" x14ac:dyDescent="0.2">
      <c r="A3307" s="570" t="s">
        <v>220</v>
      </c>
      <c r="B3307" s="547" t="s">
        <v>5430</v>
      </c>
      <c r="C3307" s="554" t="s">
        <v>4141</v>
      </c>
      <c r="D3307" s="554" t="s">
        <v>8293</v>
      </c>
      <c r="E3307" s="554"/>
      <c r="F3307" s="571">
        <v>6</v>
      </c>
      <c r="G3307" s="572">
        <v>0.47970000000000007</v>
      </c>
      <c r="H3307" s="545">
        <v>2.8782000000000005</v>
      </c>
      <c r="I3307" s="554" t="s">
        <v>9218</v>
      </c>
      <c r="J3307" s="554" t="s">
        <v>9219</v>
      </c>
      <c r="K3307" s="554" t="s">
        <v>9219</v>
      </c>
      <c r="L3307" s="537" t="s">
        <v>2354</v>
      </c>
    </row>
    <row r="3308" spans="1:12" x14ac:dyDescent="0.2">
      <c r="A3308" s="570" t="s">
        <v>220</v>
      </c>
      <c r="B3308" s="547" t="s">
        <v>5430</v>
      </c>
      <c r="C3308" s="554" t="s">
        <v>4143</v>
      </c>
      <c r="D3308" s="554" t="s">
        <v>8294</v>
      </c>
      <c r="E3308" s="554"/>
      <c r="F3308" s="571">
        <v>2</v>
      </c>
      <c r="G3308" s="572">
        <v>5</v>
      </c>
      <c r="H3308" s="545">
        <v>10</v>
      </c>
      <c r="I3308" s="554" t="s">
        <v>9218</v>
      </c>
      <c r="J3308" s="554" t="s">
        <v>9219</v>
      </c>
      <c r="K3308" s="554" t="s">
        <v>9219</v>
      </c>
      <c r="L3308" s="537" t="s">
        <v>2354</v>
      </c>
    </row>
    <row r="3309" spans="1:12" x14ac:dyDescent="0.2">
      <c r="A3309" s="570" t="s">
        <v>220</v>
      </c>
      <c r="B3309" s="547" t="s">
        <v>5430</v>
      </c>
      <c r="C3309" s="554" t="s">
        <v>4145</v>
      </c>
      <c r="D3309" s="554" t="s">
        <v>8295</v>
      </c>
      <c r="E3309" s="554"/>
      <c r="F3309" s="571">
        <v>9</v>
      </c>
      <c r="G3309" s="572">
        <v>0.16800000000000001</v>
      </c>
      <c r="H3309" s="545">
        <v>1.512</v>
      </c>
      <c r="I3309" s="554" t="s">
        <v>9218</v>
      </c>
      <c r="J3309" s="554" t="s">
        <v>9219</v>
      </c>
      <c r="K3309" s="554" t="s">
        <v>9219</v>
      </c>
      <c r="L3309" s="537" t="s">
        <v>2354</v>
      </c>
    </row>
    <row r="3310" spans="1:12" x14ac:dyDescent="0.2">
      <c r="A3310" s="570" t="s">
        <v>220</v>
      </c>
      <c r="B3310" s="547" t="s">
        <v>5430</v>
      </c>
      <c r="C3310" s="554" t="s">
        <v>4147</v>
      </c>
      <c r="D3310" s="554" t="s">
        <v>8296</v>
      </c>
      <c r="E3310" s="554"/>
      <c r="F3310" s="571">
        <v>6</v>
      </c>
      <c r="G3310" s="572">
        <v>1.012</v>
      </c>
      <c r="H3310" s="545">
        <v>6.0720000000000001</v>
      </c>
      <c r="I3310" s="554" t="s">
        <v>9218</v>
      </c>
      <c r="J3310" s="554" t="s">
        <v>9219</v>
      </c>
      <c r="K3310" s="554" t="s">
        <v>9219</v>
      </c>
      <c r="L3310" s="537" t="s">
        <v>2354</v>
      </c>
    </row>
    <row r="3311" spans="1:12" x14ac:dyDescent="0.2">
      <c r="A3311" s="570" t="s">
        <v>220</v>
      </c>
      <c r="B3311" s="547" t="s">
        <v>5430</v>
      </c>
      <c r="C3311" s="554" t="s">
        <v>6845</v>
      </c>
      <c r="D3311" s="554" t="s">
        <v>8297</v>
      </c>
      <c r="E3311" s="554"/>
      <c r="F3311" s="571">
        <v>18</v>
      </c>
      <c r="G3311" s="572">
        <v>1.155</v>
      </c>
      <c r="H3311" s="545">
        <v>20.79</v>
      </c>
      <c r="I3311" s="554" t="s">
        <v>9218</v>
      </c>
      <c r="J3311" s="554" t="s">
        <v>9219</v>
      </c>
      <c r="K3311" s="554" t="s">
        <v>9219</v>
      </c>
      <c r="L3311" s="537" t="s">
        <v>2354</v>
      </c>
    </row>
    <row r="3312" spans="1:12" x14ac:dyDescent="0.2">
      <c r="A3312" s="570" t="s">
        <v>220</v>
      </c>
      <c r="B3312" s="547" t="s">
        <v>5430</v>
      </c>
      <c r="C3312" s="554" t="s">
        <v>6846</v>
      </c>
      <c r="D3312" s="554" t="s">
        <v>8298</v>
      </c>
      <c r="E3312" s="554"/>
      <c r="F3312" s="571">
        <v>1</v>
      </c>
      <c r="G3312" s="572">
        <v>15.271000000000001</v>
      </c>
      <c r="H3312" s="545">
        <v>15.271000000000001</v>
      </c>
      <c r="I3312" s="554" t="s">
        <v>9218</v>
      </c>
      <c r="J3312" s="554" t="s">
        <v>9219</v>
      </c>
      <c r="K3312" s="554" t="s">
        <v>9219</v>
      </c>
      <c r="L3312" s="537" t="s">
        <v>2354</v>
      </c>
    </row>
    <row r="3313" spans="1:12" x14ac:dyDescent="0.2">
      <c r="A3313" s="570" t="s">
        <v>220</v>
      </c>
      <c r="B3313" s="547" t="s">
        <v>5430</v>
      </c>
      <c r="C3313" s="554" t="s">
        <v>6847</v>
      </c>
      <c r="D3313" s="554" t="s">
        <v>8299</v>
      </c>
      <c r="E3313" s="554"/>
      <c r="F3313" s="571">
        <v>4</v>
      </c>
      <c r="G3313" s="572">
        <v>1.72</v>
      </c>
      <c r="H3313" s="545">
        <v>6.88</v>
      </c>
      <c r="I3313" s="554" t="s">
        <v>9218</v>
      </c>
      <c r="J3313" s="554" t="s">
        <v>9219</v>
      </c>
      <c r="K3313" s="554" t="s">
        <v>9219</v>
      </c>
      <c r="L3313" s="537" t="s">
        <v>2354</v>
      </c>
    </row>
    <row r="3314" spans="1:12" x14ac:dyDescent="0.2">
      <c r="A3314" s="570" t="s">
        <v>220</v>
      </c>
      <c r="B3314" s="547" t="s">
        <v>5430</v>
      </c>
      <c r="C3314" s="554" t="s">
        <v>6849</v>
      </c>
      <c r="D3314" s="554" t="s">
        <v>8300</v>
      </c>
      <c r="E3314" s="554"/>
      <c r="F3314" s="571">
        <v>36</v>
      </c>
      <c r="G3314" s="572">
        <v>0.98199999999999998</v>
      </c>
      <c r="H3314" s="545">
        <v>35.351999999999997</v>
      </c>
      <c r="I3314" s="554" t="s">
        <v>9218</v>
      </c>
      <c r="J3314" s="554" t="s">
        <v>9219</v>
      </c>
      <c r="K3314" s="554" t="s">
        <v>9219</v>
      </c>
      <c r="L3314" s="537" t="s">
        <v>2354</v>
      </c>
    </row>
    <row r="3315" spans="1:12" x14ac:dyDescent="0.2">
      <c r="A3315" s="570" t="s">
        <v>220</v>
      </c>
      <c r="B3315" s="547" t="s">
        <v>5430</v>
      </c>
      <c r="C3315" s="554" t="s">
        <v>6851</v>
      </c>
      <c r="D3315" s="554" t="s">
        <v>8301</v>
      </c>
      <c r="E3315" s="554"/>
      <c r="F3315" s="571">
        <v>5</v>
      </c>
      <c r="G3315" s="572">
        <v>0.75</v>
      </c>
      <c r="H3315" s="545">
        <v>3.75</v>
      </c>
      <c r="I3315" s="554" t="s">
        <v>9218</v>
      </c>
      <c r="J3315" s="554" t="s">
        <v>9219</v>
      </c>
      <c r="K3315" s="554" t="s">
        <v>9219</v>
      </c>
      <c r="L3315" s="537" t="s">
        <v>2354</v>
      </c>
    </row>
    <row r="3316" spans="1:12" x14ac:dyDescent="0.2">
      <c r="A3316" s="570" t="s">
        <v>220</v>
      </c>
      <c r="B3316" s="547" t="s">
        <v>5430</v>
      </c>
      <c r="C3316" s="554" t="s">
        <v>4155</v>
      </c>
      <c r="D3316" s="554" t="s">
        <v>8302</v>
      </c>
      <c r="E3316" s="554"/>
      <c r="F3316" s="571">
        <v>18</v>
      </c>
      <c r="G3316" s="572">
        <v>0.78100000000000003</v>
      </c>
      <c r="H3316" s="545">
        <v>14.058</v>
      </c>
      <c r="I3316" s="554" t="s">
        <v>9218</v>
      </c>
      <c r="J3316" s="554" t="s">
        <v>9219</v>
      </c>
      <c r="K3316" s="554" t="s">
        <v>9219</v>
      </c>
      <c r="L3316" s="537" t="s">
        <v>2354</v>
      </c>
    </row>
    <row r="3317" spans="1:12" x14ac:dyDescent="0.2">
      <c r="A3317" s="570" t="s">
        <v>220</v>
      </c>
      <c r="B3317" s="547" t="s">
        <v>5430</v>
      </c>
      <c r="C3317" s="554" t="s">
        <v>6853</v>
      </c>
      <c r="D3317" s="554" t="s">
        <v>6854</v>
      </c>
      <c r="E3317" s="554"/>
      <c r="F3317" s="571">
        <v>59</v>
      </c>
      <c r="G3317" s="572">
        <v>1.72</v>
      </c>
      <c r="H3317" s="545">
        <v>101.48</v>
      </c>
      <c r="I3317" s="554" t="s">
        <v>9218</v>
      </c>
      <c r="J3317" s="554" t="s">
        <v>9219</v>
      </c>
      <c r="K3317" s="554" t="s">
        <v>9219</v>
      </c>
      <c r="L3317" s="537" t="s">
        <v>2354</v>
      </c>
    </row>
    <row r="3318" spans="1:12" x14ac:dyDescent="0.2">
      <c r="A3318" s="570" t="s">
        <v>220</v>
      </c>
      <c r="B3318" s="547" t="s">
        <v>5430</v>
      </c>
      <c r="C3318" s="554" t="s">
        <v>6855</v>
      </c>
      <c r="D3318" s="554" t="s">
        <v>6856</v>
      </c>
      <c r="E3318" s="554"/>
      <c r="F3318" s="571">
        <v>18</v>
      </c>
      <c r="G3318" s="572">
        <v>0.75</v>
      </c>
      <c r="H3318" s="545">
        <v>13.5</v>
      </c>
      <c r="I3318" s="554" t="s">
        <v>9218</v>
      </c>
      <c r="J3318" s="554" t="s">
        <v>9219</v>
      </c>
      <c r="K3318" s="554" t="s">
        <v>9219</v>
      </c>
      <c r="L3318" s="537" t="s">
        <v>2354</v>
      </c>
    </row>
    <row r="3319" spans="1:12" x14ac:dyDescent="0.2">
      <c r="A3319" s="570" t="s">
        <v>220</v>
      </c>
      <c r="B3319" s="547" t="s">
        <v>5430</v>
      </c>
      <c r="C3319" s="554" t="s">
        <v>6857</v>
      </c>
      <c r="D3319" s="554" t="s">
        <v>6858</v>
      </c>
      <c r="E3319" s="554"/>
      <c r="F3319" s="571">
        <v>29</v>
      </c>
      <c r="G3319" s="572">
        <v>1.72</v>
      </c>
      <c r="H3319" s="545">
        <v>49.88</v>
      </c>
      <c r="I3319" s="554" t="s">
        <v>9218</v>
      </c>
      <c r="J3319" s="554" t="s">
        <v>9219</v>
      </c>
      <c r="K3319" s="554" t="s">
        <v>9219</v>
      </c>
      <c r="L3319" s="537" t="s">
        <v>2354</v>
      </c>
    </row>
    <row r="3320" spans="1:12" x14ac:dyDescent="0.2">
      <c r="A3320" s="570" t="s">
        <v>220</v>
      </c>
      <c r="B3320" s="547" t="s">
        <v>5430</v>
      </c>
      <c r="C3320" s="554" t="s">
        <v>6859</v>
      </c>
      <c r="D3320" s="554" t="s">
        <v>6860</v>
      </c>
      <c r="E3320" s="554"/>
      <c r="F3320" s="571">
        <v>5</v>
      </c>
      <c r="G3320" s="572">
        <v>0.19800000000000001</v>
      </c>
      <c r="H3320" s="545">
        <v>0.99</v>
      </c>
      <c r="I3320" s="554" t="s">
        <v>9218</v>
      </c>
      <c r="J3320" s="554" t="s">
        <v>9219</v>
      </c>
      <c r="K3320" s="554" t="s">
        <v>9219</v>
      </c>
      <c r="L3320" s="537" t="s">
        <v>2354</v>
      </c>
    </row>
    <row r="3321" spans="1:12" x14ac:dyDescent="0.2">
      <c r="A3321" s="570" t="s">
        <v>220</v>
      </c>
      <c r="B3321" s="547" t="s">
        <v>5430</v>
      </c>
      <c r="C3321" s="554" t="s">
        <v>8303</v>
      </c>
      <c r="D3321" s="554" t="s">
        <v>8304</v>
      </c>
      <c r="E3321" s="554"/>
      <c r="F3321" s="571">
        <v>3</v>
      </c>
      <c r="G3321" s="572">
        <v>8.5500000000000007</v>
      </c>
      <c r="H3321" s="545">
        <v>25.650000000000002</v>
      </c>
      <c r="I3321" s="554" t="s">
        <v>9218</v>
      </c>
      <c r="J3321" s="554" t="s">
        <v>9219</v>
      </c>
      <c r="K3321" s="554" t="s">
        <v>9219</v>
      </c>
      <c r="L3321" s="537" t="s">
        <v>2354</v>
      </c>
    </row>
    <row r="3322" spans="1:12" x14ac:dyDescent="0.2">
      <c r="A3322" s="570" t="s">
        <v>220</v>
      </c>
      <c r="B3322" s="547" t="s">
        <v>5430</v>
      </c>
      <c r="C3322" s="554" t="s">
        <v>4175</v>
      </c>
      <c r="D3322" s="554" t="s">
        <v>4176</v>
      </c>
      <c r="E3322" s="554"/>
      <c r="F3322" s="571">
        <v>1</v>
      </c>
      <c r="G3322" s="572">
        <v>1.9390000000000001</v>
      </c>
      <c r="H3322" s="545">
        <v>1.9390000000000001</v>
      </c>
      <c r="I3322" s="554" t="s">
        <v>9218</v>
      </c>
      <c r="J3322" s="554" t="s">
        <v>9219</v>
      </c>
      <c r="K3322" s="554" t="s">
        <v>9219</v>
      </c>
      <c r="L3322" s="537" t="s">
        <v>2354</v>
      </c>
    </row>
    <row r="3323" spans="1:12" x14ac:dyDescent="0.2">
      <c r="A3323" s="570" t="s">
        <v>220</v>
      </c>
      <c r="B3323" s="547" t="s">
        <v>5430</v>
      </c>
      <c r="C3323" s="554" t="s">
        <v>4179</v>
      </c>
      <c r="D3323" s="554" t="s">
        <v>8305</v>
      </c>
      <c r="E3323" s="554"/>
      <c r="F3323" s="571">
        <v>18</v>
      </c>
      <c r="G3323" s="572">
        <v>1.1879999999999999</v>
      </c>
      <c r="H3323" s="545">
        <v>21.384</v>
      </c>
      <c r="I3323" s="554" t="s">
        <v>9218</v>
      </c>
      <c r="J3323" s="554" t="s">
        <v>9219</v>
      </c>
      <c r="K3323" s="554" t="s">
        <v>9219</v>
      </c>
      <c r="L3323" s="537" t="s">
        <v>2354</v>
      </c>
    </row>
    <row r="3324" spans="1:12" x14ac:dyDescent="0.2">
      <c r="A3324" s="570" t="s">
        <v>220</v>
      </c>
      <c r="B3324" s="547" t="s">
        <v>5430</v>
      </c>
      <c r="C3324" s="554" t="s">
        <v>4181</v>
      </c>
      <c r="D3324" s="554" t="s">
        <v>8306</v>
      </c>
      <c r="E3324" s="554"/>
      <c r="F3324" s="571">
        <v>13</v>
      </c>
      <c r="G3324" s="572">
        <v>0.505</v>
      </c>
      <c r="H3324" s="545">
        <v>6.5650000000000004</v>
      </c>
      <c r="I3324" s="554" t="s">
        <v>9218</v>
      </c>
      <c r="J3324" s="554" t="s">
        <v>9219</v>
      </c>
      <c r="K3324" s="554" t="s">
        <v>9219</v>
      </c>
      <c r="L3324" s="537" t="s">
        <v>2354</v>
      </c>
    </row>
    <row r="3325" spans="1:12" x14ac:dyDescent="0.2">
      <c r="A3325" s="570" t="s">
        <v>220</v>
      </c>
      <c r="B3325" s="547" t="s">
        <v>5430</v>
      </c>
      <c r="C3325" s="554" t="s">
        <v>4185</v>
      </c>
      <c r="D3325" s="554" t="s">
        <v>8307</v>
      </c>
      <c r="E3325" s="554"/>
      <c r="F3325" s="571">
        <v>2</v>
      </c>
      <c r="G3325" s="572">
        <v>0.58399999999999996</v>
      </c>
      <c r="H3325" s="545">
        <v>1.1679999999999999</v>
      </c>
      <c r="I3325" s="554" t="s">
        <v>9218</v>
      </c>
      <c r="J3325" s="554" t="s">
        <v>9219</v>
      </c>
      <c r="K3325" s="554" t="s">
        <v>9219</v>
      </c>
      <c r="L3325" s="537" t="s">
        <v>2354</v>
      </c>
    </row>
    <row r="3326" spans="1:12" x14ac:dyDescent="0.2">
      <c r="A3326" s="570" t="s">
        <v>220</v>
      </c>
      <c r="B3326" s="547" t="s">
        <v>5430</v>
      </c>
      <c r="C3326" s="554" t="s">
        <v>4187</v>
      </c>
      <c r="D3326" s="554" t="s">
        <v>8308</v>
      </c>
      <c r="E3326" s="554"/>
      <c r="F3326" s="571">
        <v>28</v>
      </c>
      <c r="G3326" s="572">
        <v>0.501</v>
      </c>
      <c r="H3326" s="545">
        <v>14.028</v>
      </c>
      <c r="I3326" s="554" t="s">
        <v>9218</v>
      </c>
      <c r="J3326" s="554" t="s">
        <v>9219</v>
      </c>
      <c r="K3326" s="554" t="s">
        <v>9219</v>
      </c>
      <c r="L3326" s="537" t="s">
        <v>2354</v>
      </c>
    </row>
    <row r="3327" spans="1:12" x14ac:dyDescent="0.2">
      <c r="A3327" s="570" t="s">
        <v>220</v>
      </c>
      <c r="B3327" s="547" t="s">
        <v>5430</v>
      </c>
      <c r="C3327" s="554" t="s">
        <v>4189</v>
      </c>
      <c r="D3327" s="554" t="s">
        <v>4190</v>
      </c>
      <c r="E3327" s="554"/>
      <c r="F3327" s="571">
        <v>79</v>
      </c>
      <c r="G3327" s="572">
        <v>0.185</v>
      </c>
      <c r="H3327" s="545">
        <v>14.615</v>
      </c>
      <c r="I3327" s="554" t="s">
        <v>9218</v>
      </c>
      <c r="J3327" s="554" t="s">
        <v>9219</v>
      </c>
      <c r="K3327" s="554" t="s">
        <v>9219</v>
      </c>
      <c r="L3327" s="537" t="s">
        <v>2354</v>
      </c>
    </row>
    <row r="3328" spans="1:12" x14ac:dyDescent="0.2">
      <c r="A3328" s="570" t="s">
        <v>220</v>
      </c>
      <c r="B3328" s="547" t="s">
        <v>5430</v>
      </c>
      <c r="C3328" s="554" t="s">
        <v>6870</v>
      </c>
      <c r="D3328" s="554" t="s">
        <v>8309</v>
      </c>
      <c r="E3328" s="554"/>
      <c r="F3328" s="571">
        <v>2</v>
      </c>
      <c r="G3328" s="572">
        <v>44.555</v>
      </c>
      <c r="H3328" s="545">
        <v>89.11</v>
      </c>
      <c r="I3328" s="554" t="s">
        <v>9218</v>
      </c>
      <c r="J3328" s="554" t="s">
        <v>9219</v>
      </c>
      <c r="K3328" s="554" t="s">
        <v>9219</v>
      </c>
      <c r="L3328" s="537" t="s">
        <v>2354</v>
      </c>
    </row>
    <row r="3329" spans="1:12" x14ac:dyDescent="0.2">
      <c r="A3329" s="570" t="s">
        <v>220</v>
      </c>
      <c r="B3329" s="547" t="s">
        <v>5430</v>
      </c>
      <c r="C3329" s="554" t="s">
        <v>8310</v>
      </c>
      <c r="D3329" s="554" t="s">
        <v>8311</v>
      </c>
      <c r="E3329" s="554"/>
      <c r="F3329" s="571">
        <v>2</v>
      </c>
      <c r="G3329" s="572">
        <v>421.01499999999999</v>
      </c>
      <c r="H3329" s="545">
        <v>842.03</v>
      </c>
      <c r="I3329" s="554" t="s">
        <v>9218</v>
      </c>
      <c r="J3329" s="554" t="s">
        <v>9219</v>
      </c>
      <c r="K3329" s="554" t="s">
        <v>9219</v>
      </c>
      <c r="L3329" s="537" t="s">
        <v>2354</v>
      </c>
    </row>
    <row r="3330" spans="1:12" x14ac:dyDescent="0.2">
      <c r="A3330" s="570" t="s">
        <v>220</v>
      </c>
      <c r="B3330" s="547" t="s">
        <v>5430</v>
      </c>
      <c r="C3330" s="554" t="s">
        <v>6874</v>
      </c>
      <c r="D3330" s="554" t="s">
        <v>6875</v>
      </c>
      <c r="E3330" s="554"/>
      <c r="F3330" s="571">
        <v>1</v>
      </c>
      <c r="G3330" s="572">
        <v>450.45</v>
      </c>
      <c r="H3330" s="545">
        <v>450.45</v>
      </c>
      <c r="I3330" s="554" t="s">
        <v>9218</v>
      </c>
      <c r="J3330" s="554" t="s">
        <v>9219</v>
      </c>
      <c r="K3330" s="554" t="s">
        <v>9219</v>
      </c>
      <c r="L3330" s="537" t="s">
        <v>2354</v>
      </c>
    </row>
    <row r="3331" spans="1:12" x14ac:dyDescent="0.2">
      <c r="A3331" s="570" t="s">
        <v>220</v>
      </c>
      <c r="B3331" s="547" t="s">
        <v>5430</v>
      </c>
      <c r="C3331" s="554" t="s">
        <v>6878</v>
      </c>
      <c r="D3331" s="554" t="s">
        <v>6879</v>
      </c>
      <c r="E3331" s="554"/>
      <c r="F3331" s="571">
        <v>3</v>
      </c>
      <c r="G3331" s="572">
        <v>172.03800000000001</v>
      </c>
      <c r="H3331" s="545">
        <v>516.11400000000003</v>
      </c>
      <c r="I3331" s="554" t="s">
        <v>9218</v>
      </c>
      <c r="J3331" s="554" t="s">
        <v>9219</v>
      </c>
      <c r="K3331" s="554" t="s">
        <v>9219</v>
      </c>
      <c r="L3331" s="537" t="s">
        <v>2354</v>
      </c>
    </row>
    <row r="3332" spans="1:12" x14ac:dyDescent="0.2">
      <c r="A3332" s="570" t="s">
        <v>220</v>
      </c>
      <c r="B3332" s="547" t="s">
        <v>5430</v>
      </c>
      <c r="C3332" s="554" t="s">
        <v>4241</v>
      </c>
      <c r="D3332" s="554" t="s">
        <v>8313</v>
      </c>
      <c r="E3332" s="554"/>
      <c r="F3332" s="571">
        <v>2</v>
      </c>
      <c r="G3332" s="572">
        <v>156.249</v>
      </c>
      <c r="H3332" s="545">
        <v>312.49799999999999</v>
      </c>
      <c r="I3332" s="554" t="s">
        <v>9218</v>
      </c>
      <c r="J3332" s="554" t="s">
        <v>9219</v>
      </c>
      <c r="K3332" s="554" t="s">
        <v>9219</v>
      </c>
      <c r="L3332" s="537" t="s">
        <v>2354</v>
      </c>
    </row>
    <row r="3333" spans="1:12" x14ac:dyDescent="0.2">
      <c r="A3333" s="570" t="s">
        <v>220</v>
      </c>
      <c r="B3333" s="547" t="s">
        <v>5430</v>
      </c>
      <c r="C3333" s="554" t="s">
        <v>4243</v>
      </c>
      <c r="D3333" s="554" t="s">
        <v>8314</v>
      </c>
      <c r="E3333" s="554"/>
      <c r="F3333" s="571">
        <v>4</v>
      </c>
      <c r="G3333" s="572">
        <v>85.167000000000002</v>
      </c>
      <c r="H3333" s="545">
        <v>340.66800000000001</v>
      </c>
      <c r="I3333" s="554" t="s">
        <v>9218</v>
      </c>
      <c r="J3333" s="554" t="s">
        <v>9219</v>
      </c>
      <c r="K3333" s="554" t="s">
        <v>9219</v>
      </c>
      <c r="L3333" s="537" t="s">
        <v>2354</v>
      </c>
    </row>
    <row r="3334" spans="1:12" x14ac:dyDescent="0.2">
      <c r="A3334" s="570" t="s">
        <v>220</v>
      </c>
      <c r="B3334" s="547" t="s">
        <v>5430</v>
      </c>
      <c r="C3334" s="554" t="s">
        <v>4245</v>
      </c>
      <c r="D3334" s="554" t="s">
        <v>8315</v>
      </c>
      <c r="E3334" s="554"/>
      <c r="F3334" s="571">
        <v>6</v>
      </c>
      <c r="G3334" s="572">
        <v>17.042999999999999</v>
      </c>
      <c r="H3334" s="545">
        <v>102.258</v>
      </c>
      <c r="I3334" s="554" t="s">
        <v>9218</v>
      </c>
      <c r="J3334" s="554" t="s">
        <v>9219</v>
      </c>
      <c r="K3334" s="554" t="s">
        <v>9219</v>
      </c>
      <c r="L3334" s="537" t="s">
        <v>2354</v>
      </c>
    </row>
    <row r="3335" spans="1:12" x14ac:dyDescent="0.2">
      <c r="A3335" s="570" t="s">
        <v>220</v>
      </c>
      <c r="B3335" s="547" t="s">
        <v>5430</v>
      </c>
      <c r="C3335" s="554" t="s">
        <v>4247</v>
      </c>
      <c r="D3335" s="554" t="s">
        <v>8316</v>
      </c>
      <c r="E3335" s="554"/>
      <c r="F3335" s="571">
        <v>1</v>
      </c>
      <c r="G3335" s="572">
        <v>84.238</v>
      </c>
      <c r="H3335" s="545">
        <v>84.238</v>
      </c>
      <c r="I3335" s="554" t="s">
        <v>9218</v>
      </c>
      <c r="J3335" s="554" t="s">
        <v>9219</v>
      </c>
      <c r="K3335" s="554" t="s">
        <v>9219</v>
      </c>
      <c r="L3335" s="537" t="s">
        <v>2354</v>
      </c>
    </row>
    <row r="3336" spans="1:12" x14ac:dyDescent="0.2">
      <c r="A3336" s="570" t="s">
        <v>220</v>
      </c>
      <c r="B3336" s="547" t="s">
        <v>5430</v>
      </c>
      <c r="C3336" s="554" t="s">
        <v>8317</v>
      </c>
      <c r="D3336" s="554" t="s">
        <v>8318</v>
      </c>
      <c r="E3336" s="554"/>
      <c r="F3336" s="571">
        <v>5</v>
      </c>
      <c r="G3336" s="572">
        <v>89</v>
      </c>
      <c r="H3336" s="545">
        <v>445</v>
      </c>
      <c r="I3336" s="554" t="s">
        <v>9218</v>
      </c>
      <c r="J3336" s="554" t="s">
        <v>9219</v>
      </c>
      <c r="K3336" s="554" t="s">
        <v>9219</v>
      </c>
      <c r="L3336" s="537" t="s">
        <v>2354</v>
      </c>
    </row>
    <row r="3337" spans="1:12" x14ac:dyDescent="0.2">
      <c r="A3337" s="570" t="s">
        <v>220</v>
      </c>
      <c r="B3337" s="547" t="s">
        <v>5430</v>
      </c>
      <c r="C3337" s="554" t="s">
        <v>6881</v>
      </c>
      <c r="D3337" s="554" t="s">
        <v>8319</v>
      </c>
      <c r="E3337" s="554"/>
      <c r="F3337" s="571">
        <v>6</v>
      </c>
      <c r="G3337" s="572">
        <v>16.544</v>
      </c>
      <c r="H3337" s="545">
        <v>99.26400000000001</v>
      </c>
      <c r="I3337" s="554" t="s">
        <v>9218</v>
      </c>
      <c r="J3337" s="554" t="s">
        <v>9219</v>
      </c>
      <c r="K3337" s="554" t="s">
        <v>9219</v>
      </c>
      <c r="L3337" s="537" t="s">
        <v>2354</v>
      </c>
    </row>
    <row r="3338" spans="1:12" x14ac:dyDescent="0.2">
      <c r="A3338" s="570" t="s">
        <v>220</v>
      </c>
      <c r="B3338" s="547" t="s">
        <v>5430</v>
      </c>
      <c r="C3338" s="554" t="s">
        <v>6883</v>
      </c>
      <c r="D3338" s="554" t="s">
        <v>8320</v>
      </c>
      <c r="E3338" s="554"/>
      <c r="F3338" s="571">
        <v>2</v>
      </c>
      <c r="G3338" s="572">
        <v>88.55</v>
      </c>
      <c r="H3338" s="545">
        <v>177.1</v>
      </c>
      <c r="I3338" s="554" t="s">
        <v>9218</v>
      </c>
      <c r="J3338" s="554" t="s">
        <v>9219</v>
      </c>
      <c r="K3338" s="554" t="s">
        <v>9219</v>
      </c>
      <c r="L3338" s="537" t="s">
        <v>2354</v>
      </c>
    </row>
    <row r="3339" spans="1:12" x14ac:dyDescent="0.2">
      <c r="A3339" s="570" t="s">
        <v>220</v>
      </c>
      <c r="B3339" s="547" t="s">
        <v>5430</v>
      </c>
      <c r="C3339" s="554" t="s">
        <v>6885</v>
      </c>
      <c r="D3339" s="554" t="s">
        <v>6886</v>
      </c>
      <c r="E3339" s="554"/>
      <c r="F3339" s="571">
        <v>2</v>
      </c>
      <c r="G3339" s="572">
        <v>157.5</v>
      </c>
      <c r="H3339" s="545">
        <v>315</v>
      </c>
      <c r="I3339" s="554" t="s">
        <v>9218</v>
      </c>
      <c r="J3339" s="554" t="s">
        <v>9219</v>
      </c>
      <c r="K3339" s="554" t="s">
        <v>9219</v>
      </c>
      <c r="L3339" s="537" t="s">
        <v>2354</v>
      </c>
    </row>
    <row r="3340" spans="1:12" x14ac:dyDescent="0.2">
      <c r="A3340" s="570" t="s">
        <v>220</v>
      </c>
      <c r="B3340" s="547" t="s">
        <v>5430</v>
      </c>
      <c r="C3340" s="554" t="s">
        <v>6887</v>
      </c>
      <c r="D3340" s="554" t="s">
        <v>8321</v>
      </c>
      <c r="E3340" s="554"/>
      <c r="F3340" s="571">
        <v>3</v>
      </c>
      <c r="G3340" s="572">
        <v>167.01900000000001</v>
      </c>
      <c r="H3340" s="545">
        <v>501.05700000000002</v>
      </c>
      <c r="I3340" s="554" t="s">
        <v>9218</v>
      </c>
      <c r="J3340" s="554" t="s">
        <v>9219</v>
      </c>
      <c r="K3340" s="554" t="s">
        <v>9219</v>
      </c>
      <c r="L3340" s="537" t="s">
        <v>2354</v>
      </c>
    </row>
    <row r="3341" spans="1:12" x14ac:dyDescent="0.2">
      <c r="A3341" s="570" t="s">
        <v>220</v>
      </c>
      <c r="B3341" s="547" t="s">
        <v>5430</v>
      </c>
      <c r="C3341" s="554" t="s">
        <v>6889</v>
      </c>
      <c r="D3341" s="554" t="s">
        <v>8322</v>
      </c>
      <c r="E3341" s="554"/>
      <c r="F3341" s="571">
        <v>2</v>
      </c>
      <c r="G3341" s="572">
        <v>89.1</v>
      </c>
      <c r="H3341" s="545">
        <v>178.2</v>
      </c>
      <c r="I3341" s="554" t="s">
        <v>9218</v>
      </c>
      <c r="J3341" s="554" t="s">
        <v>9219</v>
      </c>
      <c r="K3341" s="554" t="s">
        <v>9219</v>
      </c>
      <c r="L3341" s="537" t="s">
        <v>2354</v>
      </c>
    </row>
    <row r="3342" spans="1:12" x14ac:dyDescent="0.2">
      <c r="A3342" s="570" t="s">
        <v>220</v>
      </c>
      <c r="B3342" s="547" t="s">
        <v>5430</v>
      </c>
      <c r="C3342" s="554" t="s">
        <v>6891</v>
      </c>
      <c r="D3342" s="554" t="s">
        <v>8323</v>
      </c>
      <c r="E3342" s="554"/>
      <c r="F3342" s="571">
        <v>1</v>
      </c>
      <c r="G3342" s="572">
        <v>50.32</v>
      </c>
      <c r="H3342" s="545">
        <v>50.32</v>
      </c>
      <c r="I3342" s="554" t="s">
        <v>9218</v>
      </c>
      <c r="J3342" s="554" t="s">
        <v>9219</v>
      </c>
      <c r="K3342" s="554" t="s">
        <v>9219</v>
      </c>
      <c r="L3342" s="537" t="s">
        <v>2354</v>
      </c>
    </row>
    <row r="3343" spans="1:12" x14ac:dyDescent="0.2">
      <c r="A3343" s="570" t="s">
        <v>220</v>
      </c>
      <c r="B3343" s="547" t="s">
        <v>5430</v>
      </c>
      <c r="C3343" s="554" t="s">
        <v>6893</v>
      </c>
      <c r="D3343" s="554" t="s">
        <v>8324</v>
      </c>
      <c r="E3343" s="554"/>
      <c r="F3343" s="571">
        <v>5</v>
      </c>
      <c r="G3343" s="572">
        <v>86.003</v>
      </c>
      <c r="H3343" s="545">
        <v>430.01499999999999</v>
      </c>
      <c r="I3343" s="554" t="s">
        <v>9218</v>
      </c>
      <c r="J3343" s="554" t="s">
        <v>9219</v>
      </c>
      <c r="K3343" s="554" t="s">
        <v>9219</v>
      </c>
      <c r="L3343" s="537" t="s">
        <v>2354</v>
      </c>
    </row>
    <row r="3344" spans="1:12" x14ac:dyDescent="0.2">
      <c r="A3344" s="570" t="s">
        <v>220</v>
      </c>
      <c r="B3344" s="547" t="s">
        <v>5430</v>
      </c>
      <c r="C3344" s="554" t="s">
        <v>6895</v>
      </c>
      <c r="D3344" s="554" t="s">
        <v>8325</v>
      </c>
      <c r="E3344" s="554"/>
      <c r="F3344" s="571">
        <v>5</v>
      </c>
      <c r="G3344" s="572">
        <v>21.434000000000001</v>
      </c>
      <c r="H3344" s="545">
        <v>107.17</v>
      </c>
      <c r="I3344" s="554" t="s">
        <v>9218</v>
      </c>
      <c r="J3344" s="554" t="s">
        <v>9219</v>
      </c>
      <c r="K3344" s="554" t="s">
        <v>9219</v>
      </c>
      <c r="L3344" s="537" t="s">
        <v>2354</v>
      </c>
    </row>
    <row r="3345" spans="1:12" x14ac:dyDescent="0.2">
      <c r="A3345" s="570" t="s">
        <v>220</v>
      </c>
      <c r="B3345" s="547" t="s">
        <v>5430</v>
      </c>
      <c r="C3345" s="554" t="s">
        <v>6897</v>
      </c>
      <c r="D3345" s="554" t="s">
        <v>8326</v>
      </c>
      <c r="E3345" s="554"/>
      <c r="F3345" s="571">
        <v>1</v>
      </c>
      <c r="G3345" s="572">
        <v>10.391999999999999</v>
      </c>
      <c r="H3345" s="545">
        <v>10.391999999999999</v>
      </c>
      <c r="I3345" s="554" t="s">
        <v>9218</v>
      </c>
      <c r="J3345" s="554" t="s">
        <v>9219</v>
      </c>
      <c r="K3345" s="554" t="s">
        <v>9219</v>
      </c>
      <c r="L3345" s="537" t="s">
        <v>2354</v>
      </c>
    </row>
    <row r="3346" spans="1:12" x14ac:dyDescent="0.2">
      <c r="A3346" s="570" t="s">
        <v>220</v>
      </c>
      <c r="B3346" s="547" t="s">
        <v>5430</v>
      </c>
      <c r="C3346" s="554" t="s">
        <v>6899</v>
      </c>
      <c r="D3346" s="554" t="s">
        <v>8327</v>
      </c>
      <c r="E3346" s="554"/>
      <c r="F3346" s="571">
        <v>1</v>
      </c>
      <c r="G3346" s="572">
        <v>108.249</v>
      </c>
      <c r="H3346" s="545">
        <v>108.249</v>
      </c>
      <c r="I3346" s="554" t="s">
        <v>9218</v>
      </c>
      <c r="J3346" s="554" t="s">
        <v>9219</v>
      </c>
      <c r="K3346" s="554" t="s">
        <v>9219</v>
      </c>
      <c r="L3346" s="537" t="s">
        <v>2354</v>
      </c>
    </row>
    <row r="3347" spans="1:12" x14ac:dyDescent="0.2">
      <c r="A3347" s="570" t="s">
        <v>220</v>
      </c>
      <c r="B3347" s="547" t="s">
        <v>5430</v>
      </c>
      <c r="C3347" s="554" t="s">
        <v>6901</v>
      </c>
      <c r="D3347" s="554" t="s">
        <v>8328</v>
      </c>
      <c r="E3347" s="554"/>
      <c r="F3347" s="571">
        <v>3</v>
      </c>
      <c r="G3347" s="572">
        <v>300</v>
      </c>
      <c r="H3347" s="545">
        <v>900</v>
      </c>
      <c r="I3347" s="554" t="s">
        <v>9218</v>
      </c>
      <c r="J3347" s="554" t="s">
        <v>9219</v>
      </c>
      <c r="K3347" s="554" t="s">
        <v>9219</v>
      </c>
      <c r="L3347" s="537" t="s">
        <v>2354</v>
      </c>
    </row>
    <row r="3348" spans="1:12" x14ac:dyDescent="0.2">
      <c r="A3348" s="570" t="s">
        <v>220</v>
      </c>
      <c r="B3348" s="547" t="s">
        <v>5430</v>
      </c>
      <c r="C3348" s="554" t="s">
        <v>4295</v>
      </c>
      <c r="D3348" s="554" t="s">
        <v>8329</v>
      </c>
      <c r="E3348" s="554"/>
      <c r="F3348" s="571">
        <v>6</v>
      </c>
      <c r="G3348" s="572">
        <v>83.861000000000004</v>
      </c>
      <c r="H3348" s="545">
        <v>503.16600000000005</v>
      </c>
      <c r="I3348" s="554" t="s">
        <v>9218</v>
      </c>
      <c r="J3348" s="554" t="s">
        <v>9219</v>
      </c>
      <c r="K3348" s="554" t="s">
        <v>9219</v>
      </c>
      <c r="L3348" s="537" t="s">
        <v>2354</v>
      </c>
    </row>
    <row r="3349" spans="1:12" x14ac:dyDescent="0.2">
      <c r="A3349" s="570" t="s">
        <v>220</v>
      </c>
      <c r="B3349" s="547" t="s">
        <v>5430</v>
      </c>
      <c r="C3349" s="554" t="s">
        <v>6903</v>
      </c>
      <c r="D3349" s="554" t="s">
        <v>8330</v>
      </c>
      <c r="E3349" s="554"/>
      <c r="F3349" s="571">
        <v>1</v>
      </c>
      <c r="G3349" s="572">
        <v>91</v>
      </c>
      <c r="H3349" s="545">
        <v>91</v>
      </c>
      <c r="I3349" s="554" t="s">
        <v>9218</v>
      </c>
      <c r="J3349" s="554" t="s">
        <v>9219</v>
      </c>
      <c r="K3349" s="554" t="s">
        <v>9219</v>
      </c>
      <c r="L3349" s="537" t="s">
        <v>2354</v>
      </c>
    </row>
    <row r="3350" spans="1:12" x14ac:dyDescent="0.2">
      <c r="A3350" s="570" t="s">
        <v>220</v>
      </c>
      <c r="B3350" s="547" t="s">
        <v>5430</v>
      </c>
      <c r="C3350" s="554" t="s">
        <v>4301</v>
      </c>
      <c r="D3350" s="554" t="s">
        <v>8331</v>
      </c>
      <c r="E3350" s="554"/>
      <c r="F3350" s="571">
        <v>6</v>
      </c>
      <c r="G3350" s="572">
        <v>130.36099999999999</v>
      </c>
      <c r="H3350" s="545">
        <v>782.16599999999994</v>
      </c>
      <c r="I3350" s="554" t="s">
        <v>9218</v>
      </c>
      <c r="J3350" s="554" t="s">
        <v>9219</v>
      </c>
      <c r="K3350" s="554" t="s">
        <v>9219</v>
      </c>
      <c r="L3350" s="537" t="s">
        <v>2354</v>
      </c>
    </row>
    <row r="3351" spans="1:12" x14ac:dyDescent="0.2">
      <c r="A3351" s="570" t="s">
        <v>220</v>
      </c>
      <c r="B3351" s="547" t="s">
        <v>5430</v>
      </c>
      <c r="C3351" s="554" t="s">
        <v>4303</v>
      </c>
      <c r="D3351" s="554" t="s">
        <v>8332</v>
      </c>
      <c r="E3351" s="554"/>
      <c r="F3351" s="571">
        <v>14</v>
      </c>
      <c r="G3351" s="572">
        <v>85.5</v>
      </c>
      <c r="H3351" s="545">
        <v>1197</v>
      </c>
      <c r="I3351" s="554" t="s">
        <v>9218</v>
      </c>
      <c r="J3351" s="554" t="s">
        <v>9219</v>
      </c>
      <c r="K3351" s="554" t="s">
        <v>9219</v>
      </c>
      <c r="L3351" s="537" t="s">
        <v>2354</v>
      </c>
    </row>
    <row r="3352" spans="1:12" x14ac:dyDescent="0.2">
      <c r="A3352" s="570" t="s">
        <v>220</v>
      </c>
      <c r="B3352" s="547" t="s">
        <v>5430</v>
      </c>
      <c r="C3352" s="554" t="s">
        <v>8333</v>
      </c>
      <c r="D3352" s="554" t="s">
        <v>8334</v>
      </c>
      <c r="E3352" s="554"/>
      <c r="F3352" s="571">
        <v>4</v>
      </c>
      <c r="G3352" s="572">
        <v>138.339</v>
      </c>
      <c r="H3352" s="545">
        <v>553.35599999999999</v>
      </c>
      <c r="I3352" s="554" t="s">
        <v>9218</v>
      </c>
      <c r="J3352" s="554" t="s">
        <v>9219</v>
      </c>
      <c r="K3352" s="554" t="s">
        <v>9219</v>
      </c>
      <c r="L3352" s="537" t="s">
        <v>2354</v>
      </c>
    </row>
    <row r="3353" spans="1:12" x14ac:dyDescent="0.2">
      <c r="A3353" s="570" t="s">
        <v>220</v>
      </c>
      <c r="B3353" s="547" t="s">
        <v>5430</v>
      </c>
      <c r="C3353" s="554" t="s">
        <v>6907</v>
      </c>
      <c r="D3353" s="554" t="s">
        <v>8335</v>
      </c>
      <c r="E3353" s="554"/>
      <c r="F3353" s="571">
        <v>4</v>
      </c>
      <c r="G3353" s="572">
        <v>203.059</v>
      </c>
      <c r="H3353" s="545">
        <v>812.23599999999999</v>
      </c>
      <c r="I3353" s="554" t="s">
        <v>9218</v>
      </c>
      <c r="J3353" s="554" t="s">
        <v>9219</v>
      </c>
      <c r="K3353" s="554" t="s">
        <v>9219</v>
      </c>
      <c r="L3353" s="537" t="s">
        <v>2354</v>
      </c>
    </row>
    <row r="3354" spans="1:12" x14ac:dyDescent="0.2">
      <c r="A3354" s="570" t="s">
        <v>220</v>
      </c>
      <c r="B3354" s="547" t="s">
        <v>5430</v>
      </c>
      <c r="C3354" s="554" t="s">
        <v>8336</v>
      </c>
      <c r="D3354" s="554" t="s">
        <v>8337</v>
      </c>
      <c r="E3354" s="554"/>
      <c r="F3354" s="571">
        <v>1</v>
      </c>
      <c r="G3354" s="572">
        <v>219.06</v>
      </c>
      <c r="H3354" s="545">
        <v>219.06</v>
      </c>
      <c r="I3354" s="554" t="s">
        <v>9218</v>
      </c>
      <c r="J3354" s="554" t="s">
        <v>9219</v>
      </c>
      <c r="K3354" s="554" t="s">
        <v>9219</v>
      </c>
      <c r="L3354" s="537" t="s">
        <v>2354</v>
      </c>
    </row>
    <row r="3355" spans="1:12" x14ac:dyDescent="0.2">
      <c r="A3355" s="570" t="s">
        <v>220</v>
      </c>
      <c r="B3355" s="547" t="s">
        <v>5430</v>
      </c>
      <c r="C3355" s="554" t="s">
        <v>6911</v>
      </c>
      <c r="D3355" s="554" t="s">
        <v>8338</v>
      </c>
      <c r="E3355" s="554"/>
      <c r="F3355" s="571">
        <v>5</v>
      </c>
      <c r="G3355" s="572">
        <v>108.461</v>
      </c>
      <c r="H3355" s="545">
        <v>542.30499999999995</v>
      </c>
      <c r="I3355" s="554" t="s">
        <v>9218</v>
      </c>
      <c r="J3355" s="554" t="s">
        <v>9219</v>
      </c>
      <c r="K3355" s="554" t="s">
        <v>9219</v>
      </c>
      <c r="L3355" s="537" t="s">
        <v>2354</v>
      </c>
    </row>
    <row r="3356" spans="1:12" x14ac:dyDescent="0.2">
      <c r="A3356" s="570" t="s">
        <v>220</v>
      </c>
      <c r="B3356" s="547" t="s">
        <v>5430</v>
      </c>
      <c r="C3356" s="554" t="s">
        <v>6913</v>
      </c>
      <c r="D3356" s="554" t="s">
        <v>8339</v>
      </c>
      <c r="E3356" s="554"/>
      <c r="F3356" s="571">
        <v>1</v>
      </c>
      <c r="G3356" s="572">
        <v>279.18</v>
      </c>
      <c r="H3356" s="545">
        <v>279.18</v>
      </c>
      <c r="I3356" s="554" t="s">
        <v>9218</v>
      </c>
      <c r="J3356" s="554" t="s">
        <v>9219</v>
      </c>
      <c r="K3356" s="554" t="s">
        <v>9219</v>
      </c>
      <c r="L3356" s="537" t="s">
        <v>2354</v>
      </c>
    </row>
    <row r="3357" spans="1:12" x14ac:dyDescent="0.2">
      <c r="A3357" s="570" t="s">
        <v>220</v>
      </c>
      <c r="B3357" s="547" t="s">
        <v>5430</v>
      </c>
      <c r="C3357" s="554" t="s">
        <v>6915</v>
      </c>
      <c r="D3357" s="554" t="s">
        <v>8340</v>
      </c>
      <c r="E3357" s="554"/>
      <c r="F3357" s="571">
        <v>1</v>
      </c>
      <c r="G3357" s="572">
        <v>279.18</v>
      </c>
      <c r="H3357" s="545">
        <v>279.18</v>
      </c>
      <c r="I3357" s="554" t="s">
        <v>9218</v>
      </c>
      <c r="J3357" s="554" t="s">
        <v>9219</v>
      </c>
      <c r="K3357" s="554" t="s">
        <v>9219</v>
      </c>
      <c r="L3357" s="537" t="s">
        <v>2354</v>
      </c>
    </row>
    <row r="3358" spans="1:12" x14ac:dyDescent="0.2">
      <c r="A3358" s="570" t="s">
        <v>220</v>
      </c>
      <c r="B3358" s="547" t="s">
        <v>5430</v>
      </c>
      <c r="C3358" s="554" t="s">
        <v>6917</v>
      </c>
      <c r="D3358" s="554" t="s">
        <v>8341</v>
      </c>
      <c r="E3358" s="554"/>
      <c r="F3358" s="571">
        <v>7</v>
      </c>
      <c r="G3358" s="572">
        <v>227.02699999999999</v>
      </c>
      <c r="H3358" s="545">
        <v>1589.1889999999999</v>
      </c>
      <c r="I3358" s="554" t="s">
        <v>9218</v>
      </c>
      <c r="J3358" s="554" t="s">
        <v>9219</v>
      </c>
      <c r="K3358" s="554" t="s">
        <v>9219</v>
      </c>
      <c r="L3358" s="537" t="s">
        <v>2354</v>
      </c>
    </row>
    <row r="3359" spans="1:12" x14ac:dyDescent="0.2">
      <c r="A3359" s="570" t="s">
        <v>220</v>
      </c>
      <c r="B3359" s="547" t="s">
        <v>5430</v>
      </c>
      <c r="C3359" s="554" t="s">
        <v>6919</v>
      </c>
      <c r="D3359" s="554" t="s">
        <v>8342</v>
      </c>
      <c r="E3359" s="554"/>
      <c r="F3359" s="571">
        <v>1</v>
      </c>
      <c r="G3359" s="572">
        <v>124.07899999999999</v>
      </c>
      <c r="H3359" s="545">
        <v>124.07899999999999</v>
      </c>
      <c r="I3359" s="554" t="s">
        <v>9218</v>
      </c>
      <c r="J3359" s="554" t="s">
        <v>9219</v>
      </c>
      <c r="K3359" s="554" t="s">
        <v>9219</v>
      </c>
      <c r="L3359" s="537" t="s">
        <v>2354</v>
      </c>
    </row>
    <row r="3360" spans="1:12" x14ac:dyDescent="0.2">
      <c r="A3360" s="570" t="s">
        <v>220</v>
      </c>
      <c r="B3360" s="547" t="s">
        <v>5430</v>
      </c>
      <c r="C3360" s="554" t="s">
        <v>6921</v>
      </c>
      <c r="D3360" s="554" t="s">
        <v>8343</v>
      </c>
      <c r="E3360" s="554"/>
      <c r="F3360" s="571">
        <v>1</v>
      </c>
      <c r="G3360" s="572">
        <v>89.9</v>
      </c>
      <c r="H3360" s="545">
        <v>89.9</v>
      </c>
      <c r="I3360" s="554" t="s">
        <v>9218</v>
      </c>
      <c r="J3360" s="554" t="s">
        <v>9219</v>
      </c>
      <c r="K3360" s="554" t="s">
        <v>9219</v>
      </c>
      <c r="L3360" s="537" t="s">
        <v>2354</v>
      </c>
    </row>
    <row r="3361" spans="1:12" x14ac:dyDescent="0.2">
      <c r="A3361" s="570" t="s">
        <v>220</v>
      </c>
      <c r="B3361" s="547" t="s">
        <v>5430</v>
      </c>
      <c r="C3361" s="554" t="s">
        <v>6923</v>
      </c>
      <c r="D3361" s="554" t="s">
        <v>8344</v>
      </c>
      <c r="E3361" s="554"/>
      <c r="F3361" s="571">
        <v>1</v>
      </c>
      <c r="G3361" s="572">
        <v>182.75800000000001</v>
      </c>
      <c r="H3361" s="545">
        <v>182.75800000000001</v>
      </c>
      <c r="I3361" s="554" t="s">
        <v>9218</v>
      </c>
      <c r="J3361" s="554" t="s">
        <v>9219</v>
      </c>
      <c r="K3361" s="554" t="s">
        <v>9219</v>
      </c>
      <c r="L3361" s="537" t="s">
        <v>2354</v>
      </c>
    </row>
    <row r="3362" spans="1:12" x14ac:dyDescent="0.2">
      <c r="A3362" s="570" t="s">
        <v>220</v>
      </c>
      <c r="B3362" s="547" t="s">
        <v>5430</v>
      </c>
      <c r="C3362" s="554" t="s">
        <v>6925</v>
      </c>
      <c r="D3362" s="554" t="s">
        <v>8345</v>
      </c>
      <c r="E3362" s="554"/>
      <c r="F3362" s="571">
        <v>8</v>
      </c>
      <c r="G3362" s="572">
        <v>113.4</v>
      </c>
      <c r="H3362" s="545">
        <v>907.2</v>
      </c>
      <c r="I3362" s="554" t="s">
        <v>9218</v>
      </c>
      <c r="J3362" s="554" t="s">
        <v>9219</v>
      </c>
      <c r="K3362" s="554" t="s">
        <v>9219</v>
      </c>
      <c r="L3362" s="537" t="s">
        <v>2354</v>
      </c>
    </row>
    <row r="3363" spans="1:12" x14ac:dyDescent="0.2">
      <c r="A3363" s="570" t="s">
        <v>220</v>
      </c>
      <c r="B3363" s="547" t="s">
        <v>5430</v>
      </c>
      <c r="C3363" s="554" t="s">
        <v>6927</v>
      </c>
      <c r="D3363" s="554" t="s">
        <v>8346</v>
      </c>
      <c r="E3363" s="554"/>
      <c r="F3363" s="571">
        <v>4</v>
      </c>
      <c r="G3363" s="572">
        <v>225.26300000000001</v>
      </c>
      <c r="H3363" s="545">
        <v>901.05200000000002</v>
      </c>
      <c r="I3363" s="554" t="s">
        <v>9218</v>
      </c>
      <c r="J3363" s="554" t="s">
        <v>9219</v>
      </c>
      <c r="K3363" s="554" t="s">
        <v>9219</v>
      </c>
      <c r="L3363" s="537" t="s">
        <v>2354</v>
      </c>
    </row>
    <row r="3364" spans="1:12" x14ac:dyDescent="0.2">
      <c r="A3364" s="570" t="s">
        <v>220</v>
      </c>
      <c r="B3364" s="547" t="s">
        <v>5430</v>
      </c>
      <c r="C3364" s="554" t="s">
        <v>6929</v>
      </c>
      <c r="D3364" s="554" t="s">
        <v>8347</v>
      </c>
      <c r="E3364" s="554"/>
      <c r="F3364" s="571">
        <v>3</v>
      </c>
      <c r="G3364" s="572">
        <v>107.42400000000001</v>
      </c>
      <c r="H3364" s="545">
        <v>322.27200000000005</v>
      </c>
      <c r="I3364" s="554" t="s">
        <v>9218</v>
      </c>
      <c r="J3364" s="554" t="s">
        <v>9219</v>
      </c>
      <c r="K3364" s="554" t="s">
        <v>9219</v>
      </c>
      <c r="L3364" s="537" t="s">
        <v>2354</v>
      </c>
    </row>
    <row r="3365" spans="1:12" x14ac:dyDescent="0.2">
      <c r="A3365" s="570" t="s">
        <v>220</v>
      </c>
      <c r="B3365" s="547" t="s">
        <v>5430</v>
      </c>
      <c r="C3365" s="554" t="s">
        <v>6931</v>
      </c>
      <c r="D3365" s="554" t="s">
        <v>8348</v>
      </c>
      <c r="E3365" s="554"/>
      <c r="F3365" s="571">
        <v>4</v>
      </c>
      <c r="G3365" s="572">
        <v>78.825000000000003</v>
      </c>
      <c r="H3365" s="545">
        <v>315.3</v>
      </c>
      <c r="I3365" s="554" t="s">
        <v>9218</v>
      </c>
      <c r="J3365" s="554" t="s">
        <v>9219</v>
      </c>
      <c r="K3365" s="554" t="s">
        <v>9219</v>
      </c>
      <c r="L3365" s="537" t="s">
        <v>2354</v>
      </c>
    </row>
    <row r="3366" spans="1:12" x14ac:dyDescent="0.2">
      <c r="A3366" s="570" t="s">
        <v>220</v>
      </c>
      <c r="B3366" s="547" t="s">
        <v>5430</v>
      </c>
      <c r="C3366" s="554" t="s">
        <v>6933</v>
      </c>
      <c r="D3366" s="554" t="s">
        <v>8349</v>
      </c>
      <c r="E3366" s="554"/>
      <c r="F3366" s="571">
        <v>4</v>
      </c>
      <c r="G3366" s="572">
        <v>86.463999999999999</v>
      </c>
      <c r="H3366" s="545">
        <v>345.85599999999999</v>
      </c>
      <c r="I3366" s="554" t="s">
        <v>9218</v>
      </c>
      <c r="J3366" s="554" t="s">
        <v>9219</v>
      </c>
      <c r="K3366" s="554" t="s">
        <v>9219</v>
      </c>
      <c r="L3366" s="537" t="s">
        <v>2354</v>
      </c>
    </row>
    <row r="3367" spans="1:12" x14ac:dyDescent="0.2">
      <c r="A3367" s="570" t="s">
        <v>220</v>
      </c>
      <c r="B3367" s="547" t="s">
        <v>5430</v>
      </c>
      <c r="C3367" s="554" t="s">
        <v>6935</v>
      </c>
      <c r="D3367" s="554" t="s">
        <v>8350</v>
      </c>
      <c r="E3367" s="554"/>
      <c r="F3367" s="571">
        <v>5</v>
      </c>
      <c r="G3367" s="572">
        <v>105.40600000000001</v>
      </c>
      <c r="H3367" s="545">
        <v>527.03</v>
      </c>
      <c r="I3367" s="554" t="s">
        <v>9218</v>
      </c>
      <c r="J3367" s="554" t="s">
        <v>9219</v>
      </c>
      <c r="K3367" s="554" t="s">
        <v>9219</v>
      </c>
      <c r="L3367" s="537" t="s">
        <v>2354</v>
      </c>
    </row>
    <row r="3368" spans="1:12" x14ac:dyDescent="0.2">
      <c r="A3368" s="570" t="s">
        <v>220</v>
      </c>
      <c r="B3368" s="547" t="s">
        <v>5430</v>
      </c>
      <c r="C3368" s="554" t="s">
        <v>6937</v>
      </c>
      <c r="D3368" s="554" t="s">
        <v>8351</v>
      </c>
      <c r="E3368" s="554"/>
      <c r="F3368" s="571">
        <v>6</v>
      </c>
      <c r="G3368" s="572">
        <v>122.715</v>
      </c>
      <c r="H3368" s="545">
        <v>736.29</v>
      </c>
      <c r="I3368" s="554" t="s">
        <v>9218</v>
      </c>
      <c r="J3368" s="554" t="s">
        <v>9219</v>
      </c>
      <c r="K3368" s="554" t="s">
        <v>9219</v>
      </c>
      <c r="L3368" s="537" t="s">
        <v>2354</v>
      </c>
    </row>
    <row r="3369" spans="1:12" x14ac:dyDescent="0.2">
      <c r="A3369" s="570" t="s">
        <v>220</v>
      </c>
      <c r="B3369" s="547" t="s">
        <v>5430</v>
      </c>
      <c r="C3369" s="554" t="s">
        <v>6939</v>
      </c>
      <c r="D3369" s="554" t="s">
        <v>8352</v>
      </c>
      <c r="E3369" s="554"/>
      <c r="F3369" s="571">
        <v>4</v>
      </c>
      <c r="G3369" s="572">
        <v>150.27600000000001</v>
      </c>
      <c r="H3369" s="545">
        <v>601.10400000000004</v>
      </c>
      <c r="I3369" s="554" t="s">
        <v>9218</v>
      </c>
      <c r="J3369" s="554" t="s">
        <v>9219</v>
      </c>
      <c r="K3369" s="554" t="s">
        <v>9219</v>
      </c>
      <c r="L3369" s="537" t="s">
        <v>2354</v>
      </c>
    </row>
    <row r="3370" spans="1:12" x14ac:dyDescent="0.2">
      <c r="A3370" s="570" t="s">
        <v>220</v>
      </c>
      <c r="B3370" s="547" t="s">
        <v>5430</v>
      </c>
      <c r="C3370" s="554" t="s">
        <v>6941</v>
      </c>
      <c r="D3370" s="554" t="s">
        <v>8353</v>
      </c>
      <c r="E3370" s="554"/>
      <c r="F3370" s="571">
        <v>3</v>
      </c>
      <c r="G3370" s="572">
        <v>219.06</v>
      </c>
      <c r="H3370" s="545">
        <v>657.18000000000006</v>
      </c>
      <c r="I3370" s="554" t="s">
        <v>9218</v>
      </c>
      <c r="J3370" s="554" t="s">
        <v>9219</v>
      </c>
      <c r="K3370" s="554" t="s">
        <v>9219</v>
      </c>
      <c r="L3370" s="537" t="s">
        <v>2354</v>
      </c>
    </row>
    <row r="3371" spans="1:12" x14ac:dyDescent="0.2">
      <c r="A3371" s="570" t="s">
        <v>220</v>
      </c>
      <c r="B3371" s="547" t="s">
        <v>5430</v>
      </c>
      <c r="C3371" s="554" t="s">
        <v>6944</v>
      </c>
      <c r="D3371" s="554" t="s">
        <v>8354</v>
      </c>
      <c r="E3371" s="554"/>
      <c r="F3371" s="571">
        <v>1</v>
      </c>
      <c r="G3371" s="572">
        <v>11</v>
      </c>
      <c r="H3371" s="545">
        <v>11</v>
      </c>
      <c r="I3371" s="554" t="s">
        <v>9218</v>
      </c>
      <c r="J3371" s="554" t="s">
        <v>9219</v>
      </c>
      <c r="K3371" s="554" t="s">
        <v>9219</v>
      </c>
      <c r="L3371" s="537" t="s">
        <v>2354</v>
      </c>
    </row>
    <row r="3372" spans="1:12" x14ac:dyDescent="0.2">
      <c r="A3372" s="570" t="s">
        <v>220</v>
      </c>
      <c r="B3372" s="547" t="s">
        <v>5430</v>
      </c>
      <c r="C3372" s="554" t="s">
        <v>6946</v>
      </c>
      <c r="D3372" s="554" t="s">
        <v>8355</v>
      </c>
      <c r="E3372" s="554"/>
      <c r="F3372" s="571">
        <v>1</v>
      </c>
      <c r="G3372" s="572">
        <v>11</v>
      </c>
      <c r="H3372" s="545">
        <v>11</v>
      </c>
      <c r="I3372" s="554" t="s">
        <v>9218</v>
      </c>
      <c r="J3372" s="554" t="s">
        <v>9219</v>
      </c>
      <c r="K3372" s="554" t="s">
        <v>9219</v>
      </c>
      <c r="L3372" s="537" t="s">
        <v>2354</v>
      </c>
    </row>
    <row r="3373" spans="1:12" x14ac:dyDescent="0.2">
      <c r="A3373" s="570" t="s">
        <v>220</v>
      </c>
      <c r="B3373" s="547" t="s">
        <v>5430</v>
      </c>
      <c r="C3373" s="554" t="s">
        <v>6948</v>
      </c>
      <c r="D3373" s="554" t="s">
        <v>8356</v>
      </c>
      <c r="E3373" s="554"/>
      <c r="F3373" s="571">
        <v>1</v>
      </c>
      <c r="G3373" s="572">
        <v>11</v>
      </c>
      <c r="H3373" s="545">
        <v>11</v>
      </c>
      <c r="I3373" s="554" t="s">
        <v>9218</v>
      </c>
      <c r="J3373" s="554" t="s">
        <v>9219</v>
      </c>
      <c r="K3373" s="554" t="s">
        <v>9219</v>
      </c>
      <c r="L3373" s="537" t="s">
        <v>2354</v>
      </c>
    </row>
    <row r="3374" spans="1:12" x14ac:dyDescent="0.2">
      <c r="A3374" s="570" t="s">
        <v>220</v>
      </c>
      <c r="B3374" s="547" t="s">
        <v>5430</v>
      </c>
      <c r="C3374" s="554" t="s">
        <v>6950</v>
      </c>
      <c r="D3374" s="554" t="s">
        <v>8357</v>
      </c>
      <c r="E3374" s="554"/>
      <c r="F3374" s="571">
        <v>1</v>
      </c>
      <c r="G3374" s="572">
        <v>11</v>
      </c>
      <c r="H3374" s="545">
        <v>11</v>
      </c>
      <c r="I3374" s="554" t="s">
        <v>9218</v>
      </c>
      <c r="J3374" s="554" t="s">
        <v>9219</v>
      </c>
      <c r="K3374" s="554" t="s">
        <v>9219</v>
      </c>
      <c r="L3374" s="537" t="s">
        <v>2354</v>
      </c>
    </row>
    <row r="3375" spans="1:12" x14ac:dyDescent="0.2">
      <c r="A3375" s="570" t="s">
        <v>220</v>
      </c>
      <c r="B3375" s="547" t="s">
        <v>5430</v>
      </c>
      <c r="C3375" s="554" t="s">
        <v>6952</v>
      </c>
      <c r="D3375" s="554" t="s">
        <v>8358</v>
      </c>
      <c r="E3375" s="554"/>
      <c r="F3375" s="571">
        <v>1</v>
      </c>
      <c r="G3375" s="572">
        <v>11</v>
      </c>
      <c r="H3375" s="545">
        <v>11</v>
      </c>
      <c r="I3375" s="554" t="s">
        <v>9218</v>
      </c>
      <c r="J3375" s="554" t="s">
        <v>9219</v>
      </c>
      <c r="K3375" s="554" t="s">
        <v>9219</v>
      </c>
      <c r="L3375" s="537" t="s">
        <v>2354</v>
      </c>
    </row>
    <row r="3376" spans="1:12" x14ac:dyDescent="0.2">
      <c r="A3376" s="570" t="s">
        <v>220</v>
      </c>
      <c r="B3376" s="547" t="s">
        <v>5430</v>
      </c>
      <c r="C3376" s="554" t="s">
        <v>4355</v>
      </c>
      <c r="D3376" s="554" t="s">
        <v>4356</v>
      </c>
      <c r="E3376" s="554"/>
      <c r="F3376" s="571">
        <v>7</v>
      </c>
      <c r="G3376" s="572">
        <v>2.831</v>
      </c>
      <c r="H3376" s="545">
        <v>19.817</v>
      </c>
      <c r="I3376" s="554" t="s">
        <v>9218</v>
      </c>
      <c r="J3376" s="554" t="s">
        <v>9219</v>
      </c>
      <c r="K3376" s="554" t="s">
        <v>9219</v>
      </c>
      <c r="L3376" s="537" t="s">
        <v>2354</v>
      </c>
    </row>
    <row r="3377" spans="1:12" x14ac:dyDescent="0.2">
      <c r="A3377" s="570" t="s">
        <v>220</v>
      </c>
      <c r="B3377" s="547" t="s">
        <v>5430</v>
      </c>
      <c r="C3377" s="554" t="s">
        <v>8359</v>
      </c>
      <c r="D3377" s="554" t="s">
        <v>8360</v>
      </c>
      <c r="E3377" s="554"/>
      <c r="F3377" s="571">
        <v>4</v>
      </c>
      <c r="G3377" s="572">
        <v>2.7</v>
      </c>
      <c r="H3377" s="545">
        <v>10.8</v>
      </c>
      <c r="I3377" s="554" t="s">
        <v>9218</v>
      </c>
      <c r="J3377" s="554" t="s">
        <v>9219</v>
      </c>
      <c r="K3377" s="554" t="s">
        <v>9219</v>
      </c>
      <c r="L3377" s="537" t="s">
        <v>2354</v>
      </c>
    </row>
    <row r="3378" spans="1:12" x14ac:dyDescent="0.2">
      <c r="A3378" s="570" t="s">
        <v>220</v>
      </c>
      <c r="B3378" s="547" t="s">
        <v>5430</v>
      </c>
      <c r="C3378" s="554" t="s">
        <v>4391</v>
      </c>
      <c r="D3378" s="554" t="s">
        <v>8361</v>
      </c>
      <c r="E3378" s="554"/>
      <c r="F3378" s="571">
        <v>2</v>
      </c>
      <c r="G3378" s="572">
        <v>58.24</v>
      </c>
      <c r="H3378" s="545">
        <v>116.48</v>
      </c>
      <c r="I3378" s="554" t="s">
        <v>9218</v>
      </c>
      <c r="J3378" s="554" t="s">
        <v>9219</v>
      </c>
      <c r="K3378" s="554" t="s">
        <v>9219</v>
      </c>
      <c r="L3378" s="537" t="s">
        <v>2354</v>
      </c>
    </row>
    <row r="3379" spans="1:12" x14ac:dyDescent="0.2">
      <c r="A3379" s="570" t="s">
        <v>220</v>
      </c>
      <c r="B3379" s="547" t="s">
        <v>5430</v>
      </c>
      <c r="C3379" s="554" t="s">
        <v>8362</v>
      </c>
      <c r="D3379" s="554" t="s">
        <v>8363</v>
      </c>
      <c r="E3379" s="554"/>
      <c r="F3379" s="571">
        <v>4</v>
      </c>
      <c r="G3379" s="572">
        <v>1.1819999999999999</v>
      </c>
      <c r="H3379" s="545">
        <v>4.7279999999999998</v>
      </c>
      <c r="I3379" s="554" t="s">
        <v>9218</v>
      </c>
      <c r="J3379" s="554" t="s">
        <v>9219</v>
      </c>
      <c r="K3379" s="554" t="s">
        <v>9219</v>
      </c>
      <c r="L3379" s="537" t="s">
        <v>2354</v>
      </c>
    </row>
    <row r="3380" spans="1:12" x14ac:dyDescent="0.2">
      <c r="A3380" s="570" t="s">
        <v>220</v>
      </c>
      <c r="B3380" s="547" t="s">
        <v>5430</v>
      </c>
      <c r="C3380" s="554" t="s">
        <v>4401</v>
      </c>
      <c r="D3380" s="554" t="s">
        <v>8364</v>
      </c>
      <c r="E3380" s="554"/>
      <c r="F3380" s="571">
        <v>4</v>
      </c>
      <c r="G3380" s="572">
        <v>54.311</v>
      </c>
      <c r="H3380" s="545">
        <v>217.244</v>
      </c>
      <c r="I3380" s="554" t="s">
        <v>9218</v>
      </c>
      <c r="J3380" s="554" t="s">
        <v>9219</v>
      </c>
      <c r="K3380" s="554" t="s">
        <v>9219</v>
      </c>
      <c r="L3380" s="537" t="s">
        <v>2354</v>
      </c>
    </row>
    <row r="3381" spans="1:12" x14ac:dyDescent="0.2">
      <c r="A3381" s="570" t="s">
        <v>220</v>
      </c>
      <c r="B3381" s="547" t="s">
        <v>5430</v>
      </c>
      <c r="C3381" s="554" t="s">
        <v>4407</v>
      </c>
      <c r="D3381" s="554" t="s">
        <v>4408</v>
      </c>
      <c r="E3381" s="554"/>
      <c r="F3381" s="571">
        <v>4</v>
      </c>
      <c r="G3381" s="572">
        <v>48.040999999999997</v>
      </c>
      <c r="H3381" s="545">
        <v>192.16399999999999</v>
      </c>
      <c r="I3381" s="554" t="s">
        <v>9218</v>
      </c>
      <c r="J3381" s="554" t="s">
        <v>9219</v>
      </c>
      <c r="K3381" s="554" t="s">
        <v>9219</v>
      </c>
      <c r="L3381" s="537" t="s">
        <v>2354</v>
      </c>
    </row>
    <row r="3382" spans="1:12" x14ac:dyDescent="0.2">
      <c r="A3382" s="570" t="s">
        <v>220</v>
      </c>
      <c r="B3382" s="547" t="s">
        <v>5430</v>
      </c>
      <c r="C3382" s="554" t="s">
        <v>4415</v>
      </c>
      <c r="D3382" s="554" t="s">
        <v>4416</v>
      </c>
      <c r="E3382" s="554"/>
      <c r="F3382" s="571">
        <v>4</v>
      </c>
      <c r="G3382" s="572">
        <v>3.173</v>
      </c>
      <c r="H3382" s="545">
        <v>12.692</v>
      </c>
      <c r="I3382" s="554" t="s">
        <v>9218</v>
      </c>
      <c r="J3382" s="554" t="s">
        <v>9219</v>
      </c>
      <c r="K3382" s="554" t="s">
        <v>9219</v>
      </c>
      <c r="L3382" s="537" t="s">
        <v>2354</v>
      </c>
    </row>
    <row r="3383" spans="1:12" x14ac:dyDescent="0.2">
      <c r="A3383" s="570" t="s">
        <v>220</v>
      </c>
      <c r="B3383" s="547" t="s">
        <v>5430</v>
      </c>
      <c r="C3383" s="554" t="s">
        <v>4421</v>
      </c>
      <c r="D3383" s="554" t="s">
        <v>4422</v>
      </c>
      <c r="E3383" s="554"/>
      <c r="F3383" s="571">
        <v>3</v>
      </c>
      <c r="G3383" s="572">
        <v>32.884999999999998</v>
      </c>
      <c r="H3383" s="545">
        <v>98.655000000000001</v>
      </c>
      <c r="I3383" s="554" t="s">
        <v>9218</v>
      </c>
      <c r="J3383" s="554" t="s">
        <v>9219</v>
      </c>
      <c r="K3383" s="554" t="s">
        <v>9219</v>
      </c>
      <c r="L3383" s="537" t="s">
        <v>2354</v>
      </c>
    </row>
    <row r="3384" spans="1:12" x14ac:dyDescent="0.2">
      <c r="A3384" s="570" t="s">
        <v>220</v>
      </c>
      <c r="B3384" s="547" t="s">
        <v>5430</v>
      </c>
      <c r="C3384" s="554" t="s">
        <v>6965</v>
      </c>
      <c r="D3384" s="554" t="s">
        <v>8365</v>
      </c>
      <c r="E3384" s="554"/>
      <c r="F3384" s="571">
        <v>1</v>
      </c>
      <c r="G3384" s="572">
        <v>10.967000000000001</v>
      </c>
      <c r="H3384" s="545">
        <v>10.967000000000001</v>
      </c>
      <c r="I3384" s="554" t="s">
        <v>9218</v>
      </c>
      <c r="J3384" s="554" t="s">
        <v>9219</v>
      </c>
      <c r="K3384" s="554" t="s">
        <v>9219</v>
      </c>
      <c r="L3384" s="537" t="s">
        <v>2354</v>
      </c>
    </row>
    <row r="3385" spans="1:12" x14ac:dyDescent="0.2">
      <c r="A3385" s="570" t="s">
        <v>220</v>
      </c>
      <c r="B3385" s="547" t="s">
        <v>5430</v>
      </c>
      <c r="C3385" s="554" t="s">
        <v>6967</v>
      </c>
      <c r="D3385" s="554" t="s">
        <v>8366</v>
      </c>
      <c r="E3385" s="554"/>
      <c r="F3385" s="571">
        <v>2</v>
      </c>
      <c r="G3385" s="572">
        <v>10.967000000000001</v>
      </c>
      <c r="H3385" s="545">
        <v>21.934000000000001</v>
      </c>
      <c r="I3385" s="554" t="s">
        <v>9218</v>
      </c>
      <c r="J3385" s="554" t="s">
        <v>9219</v>
      </c>
      <c r="K3385" s="554" t="s">
        <v>9219</v>
      </c>
      <c r="L3385" s="537" t="s">
        <v>2354</v>
      </c>
    </row>
    <row r="3386" spans="1:12" x14ac:dyDescent="0.2">
      <c r="A3386" s="570" t="s">
        <v>220</v>
      </c>
      <c r="B3386" s="547" t="s">
        <v>5430</v>
      </c>
      <c r="C3386" s="554" t="s">
        <v>6969</v>
      </c>
      <c r="D3386" s="554" t="s">
        <v>8367</v>
      </c>
      <c r="E3386" s="554"/>
      <c r="F3386" s="571">
        <v>1</v>
      </c>
      <c r="G3386" s="572">
        <v>10.967000000000001</v>
      </c>
      <c r="H3386" s="545">
        <v>10.967000000000001</v>
      </c>
      <c r="I3386" s="554" t="s">
        <v>9218</v>
      </c>
      <c r="J3386" s="554" t="s">
        <v>9219</v>
      </c>
      <c r="K3386" s="554" t="s">
        <v>9219</v>
      </c>
      <c r="L3386" s="537" t="s">
        <v>2354</v>
      </c>
    </row>
    <row r="3387" spans="1:12" x14ac:dyDescent="0.2">
      <c r="A3387" s="570" t="s">
        <v>220</v>
      </c>
      <c r="B3387" s="547" t="s">
        <v>5430</v>
      </c>
      <c r="C3387" s="554" t="s">
        <v>6971</v>
      </c>
      <c r="D3387" s="554" t="s">
        <v>8368</v>
      </c>
      <c r="E3387" s="554"/>
      <c r="F3387" s="571">
        <v>9</v>
      </c>
      <c r="G3387" s="572">
        <v>5.4950000000000001</v>
      </c>
      <c r="H3387" s="545">
        <v>49.454999999999998</v>
      </c>
      <c r="I3387" s="554" t="s">
        <v>9218</v>
      </c>
      <c r="J3387" s="554" t="s">
        <v>9219</v>
      </c>
      <c r="K3387" s="554" t="s">
        <v>9219</v>
      </c>
      <c r="L3387" s="537" t="s">
        <v>2354</v>
      </c>
    </row>
    <row r="3388" spans="1:12" x14ac:dyDescent="0.2">
      <c r="A3388" s="570" t="s">
        <v>220</v>
      </c>
      <c r="B3388" s="547" t="s">
        <v>5430</v>
      </c>
      <c r="C3388" s="554" t="s">
        <v>8369</v>
      </c>
      <c r="D3388" s="554" t="s">
        <v>8370</v>
      </c>
      <c r="E3388" s="554"/>
      <c r="F3388" s="571">
        <v>29</v>
      </c>
      <c r="G3388" s="572">
        <v>11.337999999999999</v>
      </c>
      <c r="H3388" s="545">
        <v>328.80199999999996</v>
      </c>
      <c r="I3388" s="554" t="s">
        <v>9218</v>
      </c>
      <c r="J3388" s="554" t="s">
        <v>9219</v>
      </c>
      <c r="K3388" s="554" t="s">
        <v>9219</v>
      </c>
      <c r="L3388" s="537" t="s">
        <v>2354</v>
      </c>
    </row>
    <row r="3389" spans="1:12" x14ac:dyDescent="0.2">
      <c r="A3389" s="570" t="s">
        <v>220</v>
      </c>
      <c r="B3389" s="547" t="s">
        <v>5430</v>
      </c>
      <c r="C3389" s="554" t="s">
        <v>4434</v>
      </c>
      <c r="D3389" s="554" t="s">
        <v>8371</v>
      </c>
      <c r="E3389" s="554"/>
      <c r="F3389" s="571">
        <v>4</v>
      </c>
      <c r="G3389" s="572">
        <v>38.649000000000001</v>
      </c>
      <c r="H3389" s="545">
        <v>154.596</v>
      </c>
      <c r="I3389" s="554" t="s">
        <v>9218</v>
      </c>
      <c r="J3389" s="554" t="s">
        <v>9219</v>
      </c>
      <c r="K3389" s="554" t="s">
        <v>9219</v>
      </c>
      <c r="L3389" s="537" t="s">
        <v>2354</v>
      </c>
    </row>
    <row r="3390" spans="1:12" x14ac:dyDescent="0.2">
      <c r="A3390" s="570" t="s">
        <v>220</v>
      </c>
      <c r="B3390" s="547" t="s">
        <v>5430</v>
      </c>
      <c r="C3390" s="554" t="s">
        <v>6974</v>
      </c>
      <c r="D3390" s="554" t="s">
        <v>8372</v>
      </c>
      <c r="E3390" s="554"/>
      <c r="F3390" s="571">
        <v>1</v>
      </c>
      <c r="G3390" s="572">
        <v>7.4279999999999999</v>
      </c>
      <c r="H3390" s="545">
        <v>7.4279999999999999</v>
      </c>
      <c r="I3390" s="554" t="s">
        <v>9218</v>
      </c>
      <c r="J3390" s="554" t="s">
        <v>9219</v>
      </c>
      <c r="K3390" s="554" t="s">
        <v>9219</v>
      </c>
      <c r="L3390" s="537" t="s">
        <v>2354</v>
      </c>
    </row>
    <row r="3391" spans="1:12" x14ac:dyDescent="0.2">
      <c r="A3391" s="570" t="s">
        <v>220</v>
      </c>
      <c r="B3391" s="547" t="s">
        <v>5430</v>
      </c>
      <c r="C3391" s="554" t="s">
        <v>8373</v>
      </c>
      <c r="D3391" s="554" t="s">
        <v>8374</v>
      </c>
      <c r="E3391" s="554"/>
      <c r="F3391" s="571">
        <v>1</v>
      </c>
      <c r="G3391" s="572">
        <v>164.148</v>
      </c>
      <c r="H3391" s="545">
        <v>164.148</v>
      </c>
      <c r="I3391" s="554" t="s">
        <v>9218</v>
      </c>
      <c r="J3391" s="554" t="s">
        <v>9219</v>
      </c>
      <c r="K3391" s="554" t="s">
        <v>9219</v>
      </c>
      <c r="L3391" s="537" t="s">
        <v>2354</v>
      </c>
    </row>
    <row r="3392" spans="1:12" x14ac:dyDescent="0.2">
      <c r="A3392" s="570" t="s">
        <v>220</v>
      </c>
      <c r="B3392" s="547" t="s">
        <v>5430</v>
      </c>
      <c r="C3392" s="554" t="s">
        <v>6977</v>
      </c>
      <c r="D3392" s="554" t="s">
        <v>8375</v>
      </c>
      <c r="E3392" s="554"/>
      <c r="F3392" s="571">
        <v>1</v>
      </c>
      <c r="G3392" s="572">
        <v>6.806</v>
      </c>
      <c r="H3392" s="545">
        <v>6.806</v>
      </c>
      <c r="I3392" s="554" t="s">
        <v>9218</v>
      </c>
      <c r="J3392" s="554" t="s">
        <v>9219</v>
      </c>
      <c r="K3392" s="554" t="s">
        <v>9219</v>
      </c>
      <c r="L3392" s="537" t="s">
        <v>2354</v>
      </c>
    </row>
    <row r="3393" spans="1:12" x14ac:dyDescent="0.2">
      <c r="A3393" s="570" t="s">
        <v>220</v>
      </c>
      <c r="B3393" s="547" t="s">
        <v>5430</v>
      </c>
      <c r="C3393" s="554" t="s">
        <v>6979</v>
      </c>
      <c r="D3393" s="554" t="s">
        <v>8376</v>
      </c>
      <c r="E3393" s="554"/>
      <c r="F3393" s="571">
        <v>1</v>
      </c>
      <c r="G3393" s="572">
        <v>171</v>
      </c>
      <c r="H3393" s="545">
        <v>171</v>
      </c>
      <c r="I3393" s="554" t="s">
        <v>9218</v>
      </c>
      <c r="J3393" s="554" t="s">
        <v>9219</v>
      </c>
      <c r="K3393" s="554" t="s">
        <v>9219</v>
      </c>
      <c r="L3393" s="537" t="s">
        <v>2354</v>
      </c>
    </row>
    <row r="3394" spans="1:12" x14ac:dyDescent="0.2">
      <c r="A3394" s="570" t="s">
        <v>220</v>
      </c>
      <c r="B3394" s="547" t="s">
        <v>5430</v>
      </c>
      <c r="C3394" s="554" t="s">
        <v>6981</v>
      </c>
      <c r="D3394" s="554" t="s">
        <v>8377</v>
      </c>
      <c r="E3394" s="554"/>
      <c r="F3394" s="571">
        <v>1</v>
      </c>
      <c r="G3394" s="572">
        <v>133.63900000000001</v>
      </c>
      <c r="H3394" s="545">
        <v>133.63900000000001</v>
      </c>
      <c r="I3394" s="554" t="s">
        <v>9218</v>
      </c>
      <c r="J3394" s="554" t="s">
        <v>9219</v>
      </c>
      <c r="K3394" s="554" t="s">
        <v>9219</v>
      </c>
      <c r="L3394" s="537" t="s">
        <v>2354</v>
      </c>
    </row>
    <row r="3395" spans="1:12" x14ac:dyDescent="0.2">
      <c r="A3395" s="570" t="s">
        <v>220</v>
      </c>
      <c r="B3395" s="547" t="s">
        <v>5430</v>
      </c>
      <c r="C3395" s="554" t="s">
        <v>4379</v>
      </c>
      <c r="D3395" s="554" t="s">
        <v>8378</v>
      </c>
      <c r="E3395" s="554"/>
      <c r="F3395" s="571">
        <v>16</v>
      </c>
      <c r="G3395" s="572">
        <v>7.9169999999999998</v>
      </c>
      <c r="H3395" s="545">
        <v>126.672</v>
      </c>
      <c r="I3395" s="554" t="s">
        <v>9218</v>
      </c>
      <c r="J3395" s="554" t="s">
        <v>9219</v>
      </c>
      <c r="K3395" s="554" t="s">
        <v>9219</v>
      </c>
      <c r="L3395" s="537" t="s">
        <v>2354</v>
      </c>
    </row>
    <row r="3396" spans="1:12" x14ac:dyDescent="0.2">
      <c r="A3396" s="570" t="s">
        <v>220</v>
      </c>
      <c r="B3396" s="547" t="s">
        <v>5430</v>
      </c>
      <c r="C3396" s="554" t="s">
        <v>6983</v>
      </c>
      <c r="D3396" s="554" t="s">
        <v>8379</v>
      </c>
      <c r="E3396" s="554"/>
      <c r="F3396" s="571">
        <v>2</v>
      </c>
      <c r="G3396" s="572">
        <v>124.973</v>
      </c>
      <c r="H3396" s="545">
        <v>249.946</v>
      </c>
      <c r="I3396" s="554" t="s">
        <v>9218</v>
      </c>
      <c r="J3396" s="554" t="s">
        <v>9219</v>
      </c>
      <c r="K3396" s="554" t="s">
        <v>9219</v>
      </c>
      <c r="L3396" s="537" t="s">
        <v>2354</v>
      </c>
    </row>
    <row r="3397" spans="1:12" x14ac:dyDescent="0.2">
      <c r="A3397" s="570" t="s">
        <v>220</v>
      </c>
      <c r="B3397" s="547" t="s">
        <v>5430</v>
      </c>
      <c r="C3397" s="554" t="s">
        <v>8380</v>
      </c>
      <c r="D3397" s="554" t="s">
        <v>8381</v>
      </c>
      <c r="E3397" s="554"/>
      <c r="F3397" s="571">
        <v>1</v>
      </c>
      <c r="G3397" s="572">
        <v>172.48500000000001</v>
      </c>
      <c r="H3397" s="545">
        <v>172.48500000000001</v>
      </c>
      <c r="I3397" s="554" t="s">
        <v>9218</v>
      </c>
      <c r="J3397" s="554" t="s">
        <v>9219</v>
      </c>
      <c r="K3397" s="554" t="s">
        <v>9219</v>
      </c>
      <c r="L3397" s="537" t="s">
        <v>2354</v>
      </c>
    </row>
    <row r="3398" spans="1:12" x14ac:dyDescent="0.2">
      <c r="A3398" s="570" t="s">
        <v>220</v>
      </c>
      <c r="B3398" s="547" t="s">
        <v>5430</v>
      </c>
      <c r="C3398" s="554" t="s">
        <v>4494</v>
      </c>
      <c r="D3398" s="554" t="s">
        <v>8383</v>
      </c>
      <c r="E3398" s="554"/>
      <c r="F3398" s="571">
        <v>20</v>
      </c>
      <c r="G3398" s="572">
        <v>14.776999999999999</v>
      </c>
      <c r="H3398" s="545">
        <v>295.53999999999996</v>
      </c>
      <c r="I3398" s="554" t="s">
        <v>9218</v>
      </c>
      <c r="J3398" s="554" t="s">
        <v>9219</v>
      </c>
      <c r="K3398" s="554" t="s">
        <v>9219</v>
      </c>
      <c r="L3398" s="537" t="s">
        <v>2354</v>
      </c>
    </row>
    <row r="3399" spans="1:12" x14ac:dyDescent="0.2">
      <c r="A3399" s="570" t="s">
        <v>220</v>
      </c>
      <c r="B3399" s="547" t="s">
        <v>5430</v>
      </c>
      <c r="C3399" s="554" t="s">
        <v>6988</v>
      </c>
      <c r="D3399" s="554" t="s">
        <v>6989</v>
      </c>
      <c r="E3399" s="554"/>
      <c r="F3399" s="571">
        <v>2</v>
      </c>
      <c r="G3399" s="572">
        <v>9.3620000000000001</v>
      </c>
      <c r="H3399" s="545">
        <v>18.724</v>
      </c>
      <c r="I3399" s="554" t="s">
        <v>9218</v>
      </c>
      <c r="J3399" s="554" t="s">
        <v>9219</v>
      </c>
      <c r="K3399" s="554" t="s">
        <v>9219</v>
      </c>
      <c r="L3399" s="537" t="s">
        <v>2354</v>
      </c>
    </row>
    <row r="3400" spans="1:12" x14ac:dyDescent="0.2">
      <c r="A3400" s="570" t="s">
        <v>220</v>
      </c>
      <c r="B3400" s="547" t="s">
        <v>5430</v>
      </c>
      <c r="C3400" s="554" t="s">
        <v>4001</v>
      </c>
      <c r="D3400" s="554" t="s">
        <v>8384</v>
      </c>
      <c r="E3400" s="554"/>
      <c r="F3400" s="571">
        <v>8</v>
      </c>
      <c r="G3400" s="572">
        <v>62.5</v>
      </c>
      <c r="H3400" s="545">
        <v>500</v>
      </c>
      <c r="I3400" s="554" t="s">
        <v>9218</v>
      </c>
      <c r="J3400" s="554" t="s">
        <v>9219</v>
      </c>
      <c r="K3400" s="554" t="s">
        <v>9219</v>
      </c>
      <c r="L3400" s="537" t="s">
        <v>2354</v>
      </c>
    </row>
    <row r="3401" spans="1:12" x14ac:dyDescent="0.2">
      <c r="A3401" s="570" t="s">
        <v>220</v>
      </c>
      <c r="B3401" s="547" t="s">
        <v>5430</v>
      </c>
      <c r="C3401" s="554" t="s">
        <v>6990</v>
      </c>
      <c r="D3401" s="554" t="s">
        <v>8385</v>
      </c>
      <c r="E3401" s="554"/>
      <c r="F3401" s="571">
        <v>1</v>
      </c>
      <c r="G3401" s="572">
        <v>32.340000000000003</v>
      </c>
      <c r="H3401" s="545">
        <v>32.340000000000003</v>
      </c>
      <c r="I3401" s="554" t="s">
        <v>9218</v>
      </c>
      <c r="J3401" s="554" t="s">
        <v>9219</v>
      </c>
      <c r="K3401" s="554" t="s">
        <v>9219</v>
      </c>
      <c r="L3401" s="537" t="s">
        <v>2354</v>
      </c>
    </row>
    <row r="3402" spans="1:12" x14ac:dyDescent="0.2">
      <c r="A3402" s="570" t="s">
        <v>220</v>
      </c>
      <c r="B3402" s="547" t="s">
        <v>5430</v>
      </c>
      <c r="C3402" s="554" t="s">
        <v>8386</v>
      </c>
      <c r="D3402" s="554" t="s">
        <v>6993</v>
      </c>
      <c r="E3402" s="554"/>
      <c r="F3402" s="571">
        <v>20</v>
      </c>
      <c r="G3402" s="572">
        <v>1.3480000000000001</v>
      </c>
      <c r="H3402" s="545">
        <v>26.96</v>
      </c>
      <c r="I3402" s="554" t="s">
        <v>9218</v>
      </c>
      <c r="J3402" s="554" t="s">
        <v>9219</v>
      </c>
      <c r="K3402" s="554" t="s">
        <v>9219</v>
      </c>
      <c r="L3402" s="537" t="s">
        <v>2354</v>
      </c>
    </row>
    <row r="3403" spans="1:12" x14ac:dyDescent="0.2">
      <c r="A3403" s="570" t="s">
        <v>220</v>
      </c>
      <c r="B3403" s="547" t="s">
        <v>5430</v>
      </c>
      <c r="C3403" s="554" t="s">
        <v>4508</v>
      </c>
      <c r="D3403" s="554" t="s">
        <v>8387</v>
      </c>
      <c r="E3403" s="554"/>
      <c r="F3403" s="571">
        <v>10</v>
      </c>
      <c r="G3403" s="572">
        <v>19.321999999999999</v>
      </c>
      <c r="H3403" s="545">
        <v>193.22</v>
      </c>
      <c r="I3403" s="554" t="s">
        <v>9218</v>
      </c>
      <c r="J3403" s="554" t="s">
        <v>9219</v>
      </c>
      <c r="K3403" s="554" t="s">
        <v>9219</v>
      </c>
      <c r="L3403" s="537" t="s">
        <v>2354</v>
      </c>
    </row>
    <row r="3404" spans="1:12" x14ac:dyDescent="0.2">
      <c r="A3404" s="570" t="s">
        <v>220</v>
      </c>
      <c r="B3404" s="547" t="s">
        <v>5430</v>
      </c>
      <c r="C3404" s="554" t="s">
        <v>6994</v>
      </c>
      <c r="D3404" s="554" t="s">
        <v>8388</v>
      </c>
      <c r="E3404" s="554"/>
      <c r="F3404" s="571">
        <v>1</v>
      </c>
      <c r="G3404" s="572">
        <v>86.861999999999995</v>
      </c>
      <c r="H3404" s="545">
        <v>86.861999999999995</v>
      </c>
      <c r="I3404" s="554" t="s">
        <v>9218</v>
      </c>
      <c r="J3404" s="554" t="s">
        <v>9219</v>
      </c>
      <c r="K3404" s="554" t="s">
        <v>9219</v>
      </c>
      <c r="L3404" s="537" t="s">
        <v>2354</v>
      </c>
    </row>
    <row r="3405" spans="1:12" x14ac:dyDescent="0.2">
      <c r="A3405" s="570" t="s">
        <v>220</v>
      </c>
      <c r="B3405" s="547" t="s">
        <v>5430</v>
      </c>
      <c r="C3405" s="554" t="s">
        <v>6996</v>
      </c>
      <c r="D3405" s="554" t="s">
        <v>6997</v>
      </c>
      <c r="E3405" s="554"/>
      <c r="F3405" s="571">
        <v>7</v>
      </c>
      <c r="G3405" s="572">
        <v>64.986000000000004</v>
      </c>
      <c r="H3405" s="545">
        <v>454.90200000000004</v>
      </c>
      <c r="I3405" s="554" t="s">
        <v>9218</v>
      </c>
      <c r="J3405" s="554" t="s">
        <v>9219</v>
      </c>
      <c r="K3405" s="554" t="s">
        <v>9219</v>
      </c>
      <c r="L3405" s="537" t="s">
        <v>2354</v>
      </c>
    </row>
    <row r="3406" spans="1:12" x14ac:dyDescent="0.2">
      <c r="A3406" s="570" t="s">
        <v>220</v>
      </c>
      <c r="B3406" s="547" t="s">
        <v>5430</v>
      </c>
      <c r="C3406" s="554" t="s">
        <v>6998</v>
      </c>
      <c r="D3406" s="554" t="s">
        <v>6999</v>
      </c>
      <c r="E3406" s="554"/>
      <c r="F3406" s="571">
        <v>4</v>
      </c>
      <c r="G3406" s="572">
        <v>85.569000000000003</v>
      </c>
      <c r="H3406" s="545">
        <v>342.27600000000001</v>
      </c>
      <c r="I3406" s="554" t="s">
        <v>9218</v>
      </c>
      <c r="J3406" s="554" t="s">
        <v>9219</v>
      </c>
      <c r="K3406" s="554" t="s">
        <v>9219</v>
      </c>
      <c r="L3406" s="537" t="s">
        <v>2354</v>
      </c>
    </row>
    <row r="3407" spans="1:12" x14ac:dyDescent="0.2">
      <c r="A3407" s="570" t="s">
        <v>220</v>
      </c>
      <c r="B3407" s="547" t="s">
        <v>5430</v>
      </c>
      <c r="C3407" s="554" t="s">
        <v>7000</v>
      </c>
      <c r="D3407" s="554" t="s">
        <v>8389</v>
      </c>
      <c r="E3407" s="554"/>
      <c r="F3407" s="571">
        <v>10</v>
      </c>
      <c r="G3407" s="572">
        <v>41.704999999999998</v>
      </c>
      <c r="H3407" s="545">
        <v>417.04999999999995</v>
      </c>
      <c r="I3407" s="554" t="s">
        <v>9218</v>
      </c>
      <c r="J3407" s="554" t="s">
        <v>9219</v>
      </c>
      <c r="K3407" s="554" t="s">
        <v>9219</v>
      </c>
      <c r="L3407" s="537" t="s">
        <v>2354</v>
      </c>
    </row>
    <row r="3408" spans="1:12" x14ac:dyDescent="0.2">
      <c r="A3408" s="570" t="s">
        <v>220</v>
      </c>
      <c r="B3408" s="547" t="s">
        <v>5430</v>
      </c>
      <c r="C3408" s="554" t="s">
        <v>7006</v>
      </c>
      <c r="D3408" s="554" t="s">
        <v>8390</v>
      </c>
      <c r="E3408" s="554"/>
      <c r="F3408" s="571">
        <v>2</v>
      </c>
      <c r="G3408" s="572">
        <v>41.814</v>
      </c>
      <c r="H3408" s="545">
        <v>83.628</v>
      </c>
      <c r="I3408" s="554" t="s">
        <v>9218</v>
      </c>
      <c r="J3408" s="554" t="s">
        <v>9219</v>
      </c>
      <c r="K3408" s="554" t="s">
        <v>9219</v>
      </c>
      <c r="L3408" s="537" t="s">
        <v>2354</v>
      </c>
    </row>
    <row r="3409" spans="1:12" x14ac:dyDescent="0.2">
      <c r="A3409" s="570" t="s">
        <v>220</v>
      </c>
      <c r="B3409" s="547" t="s">
        <v>5430</v>
      </c>
      <c r="C3409" s="554" t="s">
        <v>7014</v>
      </c>
      <c r="D3409" s="554" t="s">
        <v>8391</v>
      </c>
      <c r="E3409" s="554"/>
      <c r="F3409" s="571">
        <v>2</v>
      </c>
      <c r="G3409" s="572">
        <v>3.85</v>
      </c>
      <c r="H3409" s="545">
        <v>7.7</v>
      </c>
      <c r="I3409" s="554" t="s">
        <v>9218</v>
      </c>
      <c r="J3409" s="554" t="s">
        <v>9219</v>
      </c>
      <c r="K3409" s="554" t="s">
        <v>9219</v>
      </c>
      <c r="L3409" s="537" t="s">
        <v>2354</v>
      </c>
    </row>
    <row r="3410" spans="1:12" x14ac:dyDescent="0.2">
      <c r="A3410" s="570" t="s">
        <v>220</v>
      </c>
      <c r="B3410" s="547" t="s">
        <v>5430</v>
      </c>
      <c r="C3410" s="554" t="s">
        <v>8392</v>
      </c>
      <c r="D3410" s="554" t="s">
        <v>4529</v>
      </c>
      <c r="E3410" s="554"/>
      <c r="F3410" s="571">
        <v>3</v>
      </c>
      <c r="G3410" s="572">
        <v>92.9</v>
      </c>
      <c r="H3410" s="545">
        <v>278.70000000000005</v>
      </c>
      <c r="I3410" s="554" t="s">
        <v>9218</v>
      </c>
      <c r="J3410" s="554" t="s">
        <v>9219</v>
      </c>
      <c r="K3410" s="554" t="s">
        <v>9219</v>
      </c>
      <c r="L3410" s="537" t="s">
        <v>2354</v>
      </c>
    </row>
    <row r="3411" spans="1:12" x14ac:dyDescent="0.2">
      <c r="A3411" s="570" t="s">
        <v>220</v>
      </c>
      <c r="B3411" s="547" t="s">
        <v>5430</v>
      </c>
      <c r="C3411" s="554" t="s">
        <v>8393</v>
      </c>
      <c r="D3411" s="554" t="s">
        <v>4531</v>
      </c>
      <c r="E3411" s="554"/>
      <c r="F3411" s="571">
        <v>14</v>
      </c>
      <c r="G3411" s="572">
        <v>13.714</v>
      </c>
      <c r="H3411" s="545">
        <v>191.99600000000001</v>
      </c>
      <c r="I3411" s="554" t="s">
        <v>9218</v>
      </c>
      <c r="J3411" s="554" t="s">
        <v>9219</v>
      </c>
      <c r="K3411" s="554" t="s">
        <v>9219</v>
      </c>
      <c r="L3411" s="537" t="s">
        <v>2354</v>
      </c>
    </row>
    <row r="3412" spans="1:12" x14ac:dyDescent="0.2">
      <c r="A3412" s="570" t="s">
        <v>220</v>
      </c>
      <c r="B3412" s="547" t="s">
        <v>5430</v>
      </c>
      <c r="C3412" s="554" t="s">
        <v>8394</v>
      </c>
      <c r="D3412" s="554" t="s">
        <v>4533</v>
      </c>
      <c r="E3412" s="554"/>
      <c r="F3412" s="571">
        <v>4</v>
      </c>
      <c r="G3412" s="572">
        <v>49.009</v>
      </c>
      <c r="H3412" s="545">
        <v>196.036</v>
      </c>
      <c r="I3412" s="554" t="s">
        <v>9218</v>
      </c>
      <c r="J3412" s="554" t="s">
        <v>9219</v>
      </c>
      <c r="K3412" s="554" t="s">
        <v>9219</v>
      </c>
      <c r="L3412" s="537" t="s">
        <v>2354</v>
      </c>
    </row>
    <row r="3413" spans="1:12" x14ac:dyDescent="0.2">
      <c r="A3413" s="570" t="s">
        <v>220</v>
      </c>
      <c r="B3413" s="547" t="s">
        <v>5430</v>
      </c>
      <c r="C3413" s="554" t="s">
        <v>7020</v>
      </c>
      <c r="D3413" s="554" t="s">
        <v>8395</v>
      </c>
      <c r="E3413" s="554"/>
      <c r="F3413" s="571">
        <v>22</v>
      </c>
      <c r="G3413" s="572">
        <v>9.2050000000000001</v>
      </c>
      <c r="H3413" s="545">
        <v>202.51</v>
      </c>
      <c r="I3413" s="554" t="s">
        <v>9218</v>
      </c>
      <c r="J3413" s="554" t="s">
        <v>9219</v>
      </c>
      <c r="K3413" s="554" t="s">
        <v>9219</v>
      </c>
      <c r="L3413" s="537" t="s">
        <v>2354</v>
      </c>
    </row>
    <row r="3414" spans="1:12" x14ac:dyDescent="0.2">
      <c r="A3414" s="570" t="s">
        <v>220</v>
      </c>
      <c r="B3414" s="547" t="s">
        <v>5430</v>
      </c>
      <c r="C3414" s="554" t="s">
        <v>4550</v>
      </c>
      <c r="D3414" s="554" t="s">
        <v>8396</v>
      </c>
      <c r="E3414" s="554"/>
      <c r="F3414" s="571">
        <v>3</v>
      </c>
      <c r="G3414" s="572">
        <v>11.145</v>
      </c>
      <c r="H3414" s="545">
        <v>33.435000000000002</v>
      </c>
      <c r="I3414" s="554" t="s">
        <v>9218</v>
      </c>
      <c r="J3414" s="554" t="s">
        <v>9219</v>
      </c>
      <c r="K3414" s="554" t="s">
        <v>9219</v>
      </c>
      <c r="L3414" s="537" t="s">
        <v>2354</v>
      </c>
    </row>
    <row r="3415" spans="1:12" x14ac:dyDescent="0.2">
      <c r="A3415" s="570" t="s">
        <v>220</v>
      </c>
      <c r="B3415" s="547" t="s">
        <v>5430</v>
      </c>
      <c r="C3415" s="554" t="s">
        <v>4552</v>
      </c>
      <c r="D3415" s="554" t="s">
        <v>4553</v>
      </c>
      <c r="E3415" s="554"/>
      <c r="F3415" s="571">
        <v>18</v>
      </c>
      <c r="G3415" s="572">
        <v>1.3939999999999999</v>
      </c>
      <c r="H3415" s="545">
        <v>25.091999999999999</v>
      </c>
      <c r="I3415" s="554" t="s">
        <v>9218</v>
      </c>
      <c r="J3415" s="554" t="s">
        <v>9219</v>
      </c>
      <c r="K3415" s="554" t="s">
        <v>9219</v>
      </c>
      <c r="L3415" s="537" t="s">
        <v>2354</v>
      </c>
    </row>
    <row r="3416" spans="1:12" x14ac:dyDescent="0.2">
      <c r="A3416" s="570" t="s">
        <v>220</v>
      </c>
      <c r="B3416" s="547" t="s">
        <v>5430</v>
      </c>
      <c r="C3416" s="554" t="s">
        <v>4554</v>
      </c>
      <c r="D3416" s="554" t="s">
        <v>8397</v>
      </c>
      <c r="E3416" s="554"/>
      <c r="F3416" s="571">
        <v>7</v>
      </c>
      <c r="G3416" s="572">
        <v>10.648</v>
      </c>
      <c r="H3416" s="545">
        <v>74.536000000000001</v>
      </c>
      <c r="I3416" s="554" t="s">
        <v>9218</v>
      </c>
      <c r="J3416" s="554" t="s">
        <v>9219</v>
      </c>
      <c r="K3416" s="554" t="s">
        <v>9219</v>
      </c>
      <c r="L3416" s="537" t="s">
        <v>2354</v>
      </c>
    </row>
    <row r="3417" spans="1:12" x14ac:dyDescent="0.2">
      <c r="A3417" s="570" t="s">
        <v>220</v>
      </c>
      <c r="B3417" s="547" t="s">
        <v>5430</v>
      </c>
      <c r="C3417" s="554" t="s">
        <v>4556</v>
      </c>
      <c r="D3417" s="554" t="s">
        <v>4557</v>
      </c>
      <c r="E3417" s="554"/>
      <c r="F3417" s="571">
        <v>2</v>
      </c>
      <c r="G3417" s="572">
        <v>19.187999999999999</v>
      </c>
      <c r="H3417" s="545">
        <v>38.375999999999998</v>
      </c>
      <c r="I3417" s="554" t="s">
        <v>9218</v>
      </c>
      <c r="J3417" s="554" t="s">
        <v>9219</v>
      </c>
      <c r="K3417" s="554" t="s">
        <v>9219</v>
      </c>
      <c r="L3417" s="537" t="s">
        <v>2354</v>
      </c>
    </row>
    <row r="3418" spans="1:12" x14ac:dyDescent="0.2">
      <c r="A3418" s="570" t="s">
        <v>220</v>
      </c>
      <c r="B3418" s="547" t="s">
        <v>5430</v>
      </c>
      <c r="C3418" s="554" t="s">
        <v>7051</v>
      </c>
      <c r="D3418" s="554" t="s">
        <v>8398</v>
      </c>
      <c r="E3418" s="554"/>
      <c r="F3418" s="571">
        <v>6</v>
      </c>
      <c r="G3418" s="572">
        <v>62</v>
      </c>
      <c r="H3418" s="545">
        <v>372</v>
      </c>
      <c r="I3418" s="554" t="s">
        <v>9218</v>
      </c>
      <c r="J3418" s="554" t="s">
        <v>9219</v>
      </c>
      <c r="K3418" s="554" t="s">
        <v>9219</v>
      </c>
      <c r="L3418" s="537" t="s">
        <v>2354</v>
      </c>
    </row>
    <row r="3419" spans="1:12" x14ac:dyDescent="0.2">
      <c r="A3419" s="570" t="s">
        <v>220</v>
      </c>
      <c r="B3419" s="547" t="s">
        <v>5430</v>
      </c>
      <c r="C3419" s="554" t="s">
        <v>7053</v>
      </c>
      <c r="D3419" s="554" t="s">
        <v>8399</v>
      </c>
      <c r="E3419" s="554"/>
      <c r="F3419" s="571">
        <v>6</v>
      </c>
      <c r="G3419" s="572">
        <v>62</v>
      </c>
      <c r="H3419" s="545">
        <v>372</v>
      </c>
      <c r="I3419" s="554" t="s">
        <v>9218</v>
      </c>
      <c r="J3419" s="554" t="s">
        <v>9219</v>
      </c>
      <c r="K3419" s="554" t="s">
        <v>9219</v>
      </c>
      <c r="L3419" s="537" t="s">
        <v>2354</v>
      </c>
    </row>
    <row r="3420" spans="1:12" x14ac:dyDescent="0.2">
      <c r="A3420" s="570" t="s">
        <v>220</v>
      </c>
      <c r="B3420" s="547" t="s">
        <v>5430</v>
      </c>
      <c r="C3420" s="554" t="s">
        <v>4560</v>
      </c>
      <c r="D3420" s="554" t="s">
        <v>8400</v>
      </c>
      <c r="E3420" s="554"/>
      <c r="F3420" s="571">
        <v>5</v>
      </c>
      <c r="G3420" s="572">
        <v>8.9359999999999999</v>
      </c>
      <c r="H3420" s="545">
        <v>44.68</v>
      </c>
      <c r="I3420" s="554" t="s">
        <v>9218</v>
      </c>
      <c r="J3420" s="554" t="s">
        <v>9219</v>
      </c>
      <c r="K3420" s="554" t="s">
        <v>9219</v>
      </c>
      <c r="L3420" s="537" t="s">
        <v>2354</v>
      </c>
    </row>
    <row r="3421" spans="1:12" x14ac:dyDescent="0.2">
      <c r="A3421" s="570" t="s">
        <v>220</v>
      </c>
      <c r="B3421" s="547" t="s">
        <v>5430</v>
      </c>
      <c r="C3421" s="554" t="s">
        <v>7021</v>
      </c>
      <c r="D3421" s="554" t="s">
        <v>8401</v>
      </c>
      <c r="E3421" s="554"/>
      <c r="F3421" s="571">
        <v>2</v>
      </c>
      <c r="G3421" s="572">
        <v>19.085999999999999</v>
      </c>
      <c r="H3421" s="545">
        <v>38.171999999999997</v>
      </c>
      <c r="I3421" s="554" t="s">
        <v>9218</v>
      </c>
      <c r="J3421" s="554" t="s">
        <v>9219</v>
      </c>
      <c r="K3421" s="554" t="s">
        <v>9219</v>
      </c>
      <c r="L3421" s="537" t="s">
        <v>2354</v>
      </c>
    </row>
    <row r="3422" spans="1:12" x14ac:dyDescent="0.2">
      <c r="A3422" s="570" t="s">
        <v>220</v>
      </c>
      <c r="B3422" s="547" t="s">
        <v>5430</v>
      </c>
      <c r="C3422" s="554" t="s">
        <v>8402</v>
      </c>
      <c r="D3422" s="554" t="s">
        <v>8403</v>
      </c>
      <c r="E3422" s="554"/>
      <c r="F3422" s="571">
        <v>2</v>
      </c>
      <c r="G3422" s="572">
        <v>11.183999999999999</v>
      </c>
      <c r="H3422" s="545">
        <v>22.367999999999999</v>
      </c>
      <c r="I3422" s="554" t="s">
        <v>9218</v>
      </c>
      <c r="J3422" s="554" t="s">
        <v>9219</v>
      </c>
      <c r="K3422" s="554" t="s">
        <v>9219</v>
      </c>
      <c r="L3422" s="537" t="s">
        <v>2354</v>
      </c>
    </row>
    <row r="3423" spans="1:12" x14ac:dyDescent="0.2">
      <c r="A3423" s="570" t="s">
        <v>220</v>
      </c>
      <c r="B3423" s="547" t="s">
        <v>5430</v>
      </c>
      <c r="C3423" s="554" t="s">
        <v>7025</v>
      </c>
      <c r="D3423" s="554" t="s">
        <v>8404</v>
      </c>
      <c r="E3423" s="554"/>
      <c r="F3423" s="571">
        <v>1</v>
      </c>
      <c r="G3423" s="572">
        <v>39.695999999999998</v>
      </c>
      <c r="H3423" s="545">
        <v>39.695999999999998</v>
      </c>
      <c r="I3423" s="554" t="s">
        <v>9218</v>
      </c>
      <c r="J3423" s="554" t="s">
        <v>9219</v>
      </c>
      <c r="K3423" s="554" t="s">
        <v>9219</v>
      </c>
      <c r="L3423" s="537" t="s">
        <v>2354</v>
      </c>
    </row>
    <row r="3424" spans="1:12" x14ac:dyDescent="0.2">
      <c r="A3424" s="570" t="s">
        <v>220</v>
      </c>
      <c r="B3424" s="547" t="s">
        <v>5430</v>
      </c>
      <c r="C3424" s="554" t="s">
        <v>7029</v>
      </c>
      <c r="D3424" s="554" t="s">
        <v>8406</v>
      </c>
      <c r="E3424" s="554"/>
      <c r="F3424" s="571">
        <v>50</v>
      </c>
      <c r="G3424" s="572">
        <v>2.577</v>
      </c>
      <c r="H3424" s="545">
        <v>128.85</v>
      </c>
      <c r="I3424" s="554" t="s">
        <v>9218</v>
      </c>
      <c r="J3424" s="554" t="s">
        <v>9219</v>
      </c>
      <c r="K3424" s="554" t="s">
        <v>9219</v>
      </c>
      <c r="L3424" s="537" t="s">
        <v>2354</v>
      </c>
    </row>
    <row r="3425" spans="1:12" x14ac:dyDescent="0.2">
      <c r="A3425" s="570" t="s">
        <v>220</v>
      </c>
      <c r="B3425" s="547" t="s">
        <v>5430</v>
      </c>
      <c r="C3425" s="554" t="s">
        <v>7031</v>
      </c>
      <c r="D3425" s="554" t="s">
        <v>8407</v>
      </c>
      <c r="E3425" s="554"/>
      <c r="F3425" s="571">
        <v>3</v>
      </c>
      <c r="G3425" s="572">
        <v>20.16</v>
      </c>
      <c r="H3425" s="545">
        <v>60.480000000000004</v>
      </c>
      <c r="I3425" s="554" t="s">
        <v>9218</v>
      </c>
      <c r="J3425" s="554" t="s">
        <v>9219</v>
      </c>
      <c r="K3425" s="554" t="s">
        <v>9219</v>
      </c>
      <c r="L3425" s="537" t="s">
        <v>2354</v>
      </c>
    </row>
    <row r="3426" spans="1:12" x14ac:dyDescent="0.2">
      <c r="A3426" s="570" t="s">
        <v>220</v>
      </c>
      <c r="B3426" s="547" t="s">
        <v>5430</v>
      </c>
      <c r="C3426" s="554" t="s">
        <v>7033</v>
      </c>
      <c r="D3426" s="554" t="s">
        <v>8408</v>
      </c>
      <c r="E3426" s="554"/>
      <c r="F3426" s="571">
        <v>3</v>
      </c>
      <c r="G3426" s="572">
        <v>20.16</v>
      </c>
      <c r="H3426" s="545">
        <v>60.480000000000004</v>
      </c>
      <c r="I3426" s="554" t="s">
        <v>9218</v>
      </c>
      <c r="J3426" s="554" t="s">
        <v>9219</v>
      </c>
      <c r="K3426" s="554" t="s">
        <v>9219</v>
      </c>
      <c r="L3426" s="537" t="s">
        <v>2354</v>
      </c>
    </row>
    <row r="3427" spans="1:12" x14ac:dyDescent="0.2">
      <c r="A3427" s="570" t="s">
        <v>220</v>
      </c>
      <c r="B3427" s="547" t="s">
        <v>5430</v>
      </c>
      <c r="C3427" s="554" t="s">
        <v>7043</v>
      </c>
      <c r="D3427" s="554" t="s">
        <v>8409</v>
      </c>
      <c r="E3427" s="554"/>
      <c r="F3427" s="571">
        <v>1</v>
      </c>
      <c r="G3427" s="572">
        <v>93.05</v>
      </c>
      <c r="H3427" s="545">
        <v>93.05</v>
      </c>
      <c r="I3427" s="554" t="s">
        <v>9218</v>
      </c>
      <c r="J3427" s="554" t="s">
        <v>9219</v>
      </c>
      <c r="K3427" s="554" t="s">
        <v>9219</v>
      </c>
      <c r="L3427" s="537" t="s">
        <v>2354</v>
      </c>
    </row>
    <row r="3428" spans="1:12" x14ac:dyDescent="0.2">
      <c r="A3428" s="570" t="s">
        <v>220</v>
      </c>
      <c r="B3428" s="547" t="s">
        <v>5430</v>
      </c>
      <c r="C3428" s="554" t="s">
        <v>7045</v>
      </c>
      <c r="D3428" s="554" t="s">
        <v>8410</v>
      </c>
      <c r="E3428" s="554"/>
      <c r="F3428" s="571">
        <v>1</v>
      </c>
      <c r="G3428" s="572">
        <v>233.38200000000001</v>
      </c>
      <c r="H3428" s="545">
        <v>233.38200000000001</v>
      </c>
      <c r="I3428" s="554" t="s">
        <v>9218</v>
      </c>
      <c r="J3428" s="554" t="s">
        <v>9219</v>
      </c>
      <c r="K3428" s="554" t="s">
        <v>9219</v>
      </c>
      <c r="L3428" s="537" t="s">
        <v>2354</v>
      </c>
    </row>
    <row r="3429" spans="1:12" x14ac:dyDescent="0.2">
      <c r="A3429" s="570" t="s">
        <v>220</v>
      </c>
      <c r="B3429" s="547" t="s">
        <v>5430</v>
      </c>
      <c r="C3429" s="554" t="s">
        <v>7047</v>
      </c>
      <c r="D3429" s="554" t="s">
        <v>8411</v>
      </c>
      <c r="E3429" s="554"/>
      <c r="F3429" s="571">
        <v>10</v>
      </c>
      <c r="G3429" s="572">
        <v>9.766</v>
      </c>
      <c r="H3429" s="545">
        <v>97.66</v>
      </c>
      <c r="I3429" s="554" t="s">
        <v>9218</v>
      </c>
      <c r="J3429" s="554" t="s">
        <v>9219</v>
      </c>
      <c r="K3429" s="554" t="s">
        <v>9219</v>
      </c>
      <c r="L3429" s="537" t="s">
        <v>2354</v>
      </c>
    </row>
    <row r="3430" spans="1:12" x14ac:dyDescent="0.2">
      <c r="A3430" s="570" t="s">
        <v>220</v>
      </c>
      <c r="B3430" s="547" t="s">
        <v>5430</v>
      </c>
      <c r="C3430" s="554" t="s">
        <v>7051</v>
      </c>
      <c r="D3430" s="554" t="s">
        <v>8412</v>
      </c>
      <c r="E3430" s="554"/>
      <c r="F3430" s="571">
        <v>5</v>
      </c>
      <c r="G3430" s="572">
        <v>62</v>
      </c>
      <c r="H3430" s="545">
        <v>310</v>
      </c>
      <c r="I3430" s="554" t="s">
        <v>9218</v>
      </c>
      <c r="J3430" s="554" t="s">
        <v>9219</v>
      </c>
      <c r="K3430" s="554" t="s">
        <v>9219</v>
      </c>
      <c r="L3430" s="537" t="s">
        <v>2354</v>
      </c>
    </row>
    <row r="3431" spans="1:12" x14ac:dyDescent="0.2">
      <c r="A3431" s="570" t="s">
        <v>220</v>
      </c>
      <c r="B3431" s="547" t="s">
        <v>5430</v>
      </c>
      <c r="C3431" s="554" t="s">
        <v>7053</v>
      </c>
      <c r="D3431" s="554" t="s">
        <v>8413</v>
      </c>
      <c r="E3431" s="554"/>
      <c r="F3431" s="571">
        <v>7</v>
      </c>
      <c r="G3431" s="572">
        <v>62</v>
      </c>
      <c r="H3431" s="545">
        <v>434</v>
      </c>
      <c r="I3431" s="554" t="s">
        <v>9218</v>
      </c>
      <c r="J3431" s="554" t="s">
        <v>9219</v>
      </c>
      <c r="K3431" s="554" t="s">
        <v>9219</v>
      </c>
      <c r="L3431" s="537" t="s">
        <v>2354</v>
      </c>
    </row>
    <row r="3432" spans="1:12" x14ac:dyDescent="0.2">
      <c r="A3432" s="570" t="s">
        <v>220</v>
      </c>
      <c r="B3432" s="547" t="s">
        <v>5430</v>
      </c>
      <c r="C3432" s="554" t="s">
        <v>7055</v>
      </c>
      <c r="D3432" s="554" t="s">
        <v>8414</v>
      </c>
      <c r="E3432" s="554"/>
      <c r="F3432" s="571">
        <v>1</v>
      </c>
      <c r="G3432" s="572">
        <v>284</v>
      </c>
      <c r="H3432" s="545">
        <v>284</v>
      </c>
      <c r="I3432" s="554" t="s">
        <v>9218</v>
      </c>
      <c r="J3432" s="554" t="s">
        <v>9219</v>
      </c>
      <c r="K3432" s="554" t="s">
        <v>9219</v>
      </c>
      <c r="L3432" s="537" t="s">
        <v>2354</v>
      </c>
    </row>
    <row r="3433" spans="1:12" x14ac:dyDescent="0.2">
      <c r="A3433" s="570" t="s">
        <v>220</v>
      </c>
      <c r="B3433" s="547" t="s">
        <v>5430</v>
      </c>
      <c r="C3433" s="554" t="s">
        <v>7057</v>
      </c>
      <c r="D3433" s="554" t="s">
        <v>8415</v>
      </c>
      <c r="E3433" s="554"/>
      <c r="F3433" s="571">
        <v>15</v>
      </c>
      <c r="G3433" s="572">
        <v>8.9169999999999998</v>
      </c>
      <c r="H3433" s="545">
        <v>133.755</v>
      </c>
      <c r="I3433" s="554" t="s">
        <v>9218</v>
      </c>
      <c r="J3433" s="554" t="s">
        <v>9219</v>
      </c>
      <c r="K3433" s="554" t="s">
        <v>9219</v>
      </c>
      <c r="L3433" s="537" t="s">
        <v>2354</v>
      </c>
    </row>
    <row r="3434" spans="1:12" x14ac:dyDescent="0.2">
      <c r="A3434" s="570" t="s">
        <v>220</v>
      </c>
      <c r="B3434" s="547" t="s">
        <v>5430</v>
      </c>
      <c r="C3434" s="554" t="s">
        <v>7067</v>
      </c>
      <c r="D3434" s="554" t="s">
        <v>8416</v>
      </c>
      <c r="E3434" s="554"/>
      <c r="F3434" s="571">
        <v>1</v>
      </c>
      <c r="G3434" s="572">
        <v>1.089</v>
      </c>
      <c r="H3434" s="545">
        <v>1.089</v>
      </c>
      <c r="I3434" s="554" t="s">
        <v>9218</v>
      </c>
      <c r="J3434" s="554" t="s">
        <v>9219</v>
      </c>
      <c r="K3434" s="554" t="s">
        <v>9219</v>
      </c>
      <c r="L3434" s="537" t="s">
        <v>2354</v>
      </c>
    </row>
    <row r="3435" spans="1:12" x14ac:dyDescent="0.2">
      <c r="A3435" s="570" t="s">
        <v>220</v>
      </c>
      <c r="B3435" s="547" t="s">
        <v>5430</v>
      </c>
      <c r="C3435" s="554" t="s">
        <v>7069</v>
      </c>
      <c r="D3435" s="554" t="s">
        <v>8417</v>
      </c>
      <c r="E3435" s="554"/>
      <c r="F3435" s="571">
        <v>1</v>
      </c>
      <c r="G3435" s="572">
        <v>365.5</v>
      </c>
      <c r="H3435" s="545">
        <v>365.5</v>
      </c>
      <c r="I3435" s="554" t="s">
        <v>9218</v>
      </c>
      <c r="J3435" s="554" t="s">
        <v>9219</v>
      </c>
      <c r="K3435" s="554" t="s">
        <v>9219</v>
      </c>
      <c r="L3435" s="537" t="s">
        <v>2354</v>
      </c>
    </row>
    <row r="3436" spans="1:12" x14ac:dyDescent="0.2">
      <c r="A3436" s="570" t="s">
        <v>220</v>
      </c>
      <c r="B3436" s="547" t="s">
        <v>5430</v>
      </c>
      <c r="C3436" s="554" t="s">
        <v>7071</v>
      </c>
      <c r="D3436" s="554" t="s">
        <v>8418</v>
      </c>
      <c r="E3436" s="554"/>
      <c r="F3436" s="571">
        <v>1</v>
      </c>
      <c r="G3436" s="572">
        <v>833.5</v>
      </c>
      <c r="H3436" s="545">
        <v>833.5</v>
      </c>
      <c r="I3436" s="554" t="s">
        <v>9218</v>
      </c>
      <c r="J3436" s="554" t="s">
        <v>9219</v>
      </c>
      <c r="K3436" s="554" t="s">
        <v>9219</v>
      </c>
      <c r="L3436" s="537" t="s">
        <v>2354</v>
      </c>
    </row>
    <row r="3437" spans="1:12" x14ac:dyDescent="0.2">
      <c r="A3437" s="570" t="s">
        <v>220</v>
      </c>
      <c r="B3437" s="547" t="s">
        <v>5430</v>
      </c>
      <c r="C3437" s="554" t="s">
        <v>7073</v>
      </c>
      <c r="D3437" s="554" t="s">
        <v>8419</v>
      </c>
      <c r="E3437" s="554"/>
      <c r="F3437" s="571">
        <v>1</v>
      </c>
      <c r="G3437" s="572">
        <v>667.68</v>
      </c>
      <c r="H3437" s="545">
        <v>667.68</v>
      </c>
      <c r="I3437" s="554" t="s">
        <v>9218</v>
      </c>
      <c r="J3437" s="554" t="s">
        <v>9219</v>
      </c>
      <c r="K3437" s="554" t="s">
        <v>9219</v>
      </c>
      <c r="L3437" s="537" t="s">
        <v>2354</v>
      </c>
    </row>
    <row r="3438" spans="1:12" x14ac:dyDescent="0.2">
      <c r="A3438" s="570" t="s">
        <v>220</v>
      </c>
      <c r="B3438" s="547" t="s">
        <v>5430</v>
      </c>
      <c r="C3438" s="554" t="s">
        <v>7075</v>
      </c>
      <c r="D3438" s="554" t="s">
        <v>7076</v>
      </c>
      <c r="E3438" s="554"/>
      <c r="F3438" s="571">
        <v>4</v>
      </c>
      <c r="G3438" s="572">
        <v>24.48</v>
      </c>
      <c r="H3438" s="545">
        <v>97.92</v>
      </c>
      <c r="I3438" s="554" t="s">
        <v>9218</v>
      </c>
      <c r="J3438" s="554" t="s">
        <v>9219</v>
      </c>
      <c r="K3438" s="554" t="s">
        <v>9219</v>
      </c>
      <c r="L3438" s="537" t="s">
        <v>2354</v>
      </c>
    </row>
    <row r="3439" spans="1:12" x14ac:dyDescent="0.2">
      <c r="A3439" s="570" t="s">
        <v>220</v>
      </c>
      <c r="B3439" s="547" t="s">
        <v>5430</v>
      </c>
      <c r="C3439" s="554" t="s">
        <v>8420</v>
      </c>
      <c r="D3439" s="554" t="s">
        <v>8421</v>
      </c>
      <c r="E3439" s="554"/>
      <c r="F3439" s="571">
        <v>4</v>
      </c>
      <c r="G3439" s="572">
        <v>34.496000000000002</v>
      </c>
      <c r="H3439" s="545">
        <v>137.98400000000001</v>
      </c>
      <c r="I3439" s="554" t="s">
        <v>9218</v>
      </c>
      <c r="J3439" s="554" t="s">
        <v>9219</v>
      </c>
      <c r="K3439" s="554" t="s">
        <v>9219</v>
      </c>
      <c r="L3439" s="537" t="s">
        <v>2354</v>
      </c>
    </row>
    <row r="3440" spans="1:12" x14ac:dyDescent="0.2">
      <c r="A3440" s="570" t="s">
        <v>220</v>
      </c>
      <c r="B3440" s="547" t="s">
        <v>5430</v>
      </c>
      <c r="C3440" s="554" t="s">
        <v>7079</v>
      </c>
      <c r="D3440" s="554" t="s">
        <v>8422</v>
      </c>
      <c r="E3440" s="554"/>
      <c r="F3440" s="571">
        <v>3</v>
      </c>
      <c r="G3440" s="572">
        <v>22.109000000000002</v>
      </c>
      <c r="H3440" s="545">
        <v>66.326999999999998</v>
      </c>
      <c r="I3440" s="554" t="s">
        <v>9218</v>
      </c>
      <c r="J3440" s="554" t="s">
        <v>9219</v>
      </c>
      <c r="K3440" s="554" t="s">
        <v>9219</v>
      </c>
      <c r="L3440" s="537" t="s">
        <v>2354</v>
      </c>
    </row>
    <row r="3441" spans="1:12" x14ac:dyDescent="0.2">
      <c r="A3441" s="570" t="s">
        <v>220</v>
      </c>
      <c r="B3441" s="547" t="s">
        <v>5430</v>
      </c>
      <c r="C3441" s="554" t="s">
        <v>7083</v>
      </c>
      <c r="D3441" s="554" t="s">
        <v>8423</v>
      </c>
      <c r="E3441" s="554"/>
      <c r="F3441" s="571">
        <v>16</v>
      </c>
      <c r="G3441" s="572">
        <v>16.242000000000001</v>
      </c>
      <c r="H3441" s="545">
        <v>259.87200000000001</v>
      </c>
      <c r="I3441" s="554" t="s">
        <v>9218</v>
      </c>
      <c r="J3441" s="554" t="s">
        <v>9219</v>
      </c>
      <c r="K3441" s="554" t="s">
        <v>9219</v>
      </c>
      <c r="L3441" s="537" t="s">
        <v>2354</v>
      </c>
    </row>
    <row r="3442" spans="1:12" x14ac:dyDescent="0.2">
      <c r="A3442" s="570" t="s">
        <v>220</v>
      </c>
      <c r="B3442" s="547" t="s">
        <v>5430</v>
      </c>
      <c r="C3442" s="554" t="s">
        <v>7091</v>
      </c>
      <c r="D3442" s="554" t="s">
        <v>8424</v>
      </c>
      <c r="E3442" s="554"/>
      <c r="F3442" s="571">
        <v>2</v>
      </c>
      <c r="G3442" s="572">
        <v>13.64</v>
      </c>
      <c r="H3442" s="545">
        <v>27.28</v>
      </c>
      <c r="I3442" s="554" t="s">
        <v>9218</v>
      </c>
      <c r="J3442" s="554" t="s">
        <v>9219</v>
      </c>
      <c r="K3442" s="554" t="s">
        <v>9219</v>
      </c>
      <c r="L3442" s="537" t="s">
        <v>2354</v>
      </c>
    </row>
    <row r="3443" spans="1:12" x14ac:dyDescent="0.2">
      <c r="A3443" s="570" t="s">
        <v>220</v>
      </c>
      <c r="B3443" s="547" t="s">
        <v>5430</v>
      </c>
      <c r="C3443" s="554" t="s">
        <v>7093</v>
      </c>
      <c r="D3443" s="554" t="s">
        <v>7094</v>
      </c>
      <c r="E3443" s="554"/>
      <c r="F3443" s="571">
        <v>1</v>
      </c>
      <c r="G3443" s="572">
        <v>7.6959999999999997</v>
      </c>
      <c r="H3443" s="545">
        <v>7.6959999999999997</v>
      </c>
      <c r="I3443" s="554" t="s">
        <v>9218</v>
      </c>
      <c r="J3443" s="554" t="s">
        <v>9219</v>
      </c>
      <c r="K3443" s="554" t="s">
        <v>9219</v>
      </c>
      <c r="L3443" s="537" t="s">
        <v>2354</v>
      </c>
    </row>
    <row r="3444" spans="1:12" x14ac:dyDescent="0.2">
      <c r="A3444" s="570" t="s">
        <v>220</v>
      </c>
      <c r="B3444" s="547" t="s">
        <v>5430</v>
      </c>
      <c r="C3444" s="554" t="s">
        <v>8425</v>
      </c>
      <c r="D3444" s="554" t="s">
        <v>8426</v>
      </c>
      <c r="E3444" s="554"/>
      <c r="F3444" s="571">
        <v>0.5</v>
      </c>
      <c r="G3444" s="572">
        <v>80.73</v>
      </c>
      <c r="H3444" s="545">
        <v>40.365000000000002</v>
      </c>
      <c r="I3444" s="554" t="s">
        <v>9218</v>
      </c>
      <c r="J3444" s="554" t="s">
        <v>9219</v>
      </c>
      <c r="K3444" s="554" t="s">
        <v>9219</v>
      </c>
      <c r="L3444" s="537" t="s">
        <v>2354</v>
      </c>
    </row>
    <row r="3445" spans="1:12" x14ac:dyDescent="0.2">
      <c r="A3445" s="570" t="s">
        <v>220</v>
      </c>
      <c r="B3445" s="547" t="s">
        <v>5430</v>
      </c>
      <c r="C3445" s="554" t="s">
        <v>7129</v>
      </c>
      <c r="D3445" s="554" t="s">
        <v>8427</v>
      </c>
      <c r="E3445" s="554"/>
      <c r="F3445" s="571">
        <v>44</v>
      </c>
      <c r="G3445" s="572">
        <v>6.2</v>
      </c>
      <c r="H3445" s="545">
        <v>272.8</v>
      </c>
      <c r="I3445" s="554" t="s">
        <v>9218</v>
      </c>
      <c r="J3445" s="554" t="s">
        <v>9219</v>
      </c>
      <c r="K3445" s="554" t="s">
        <v>9219</v>
      </c>
      <c r="L3445" s="537" t="s">
        <v>2354</v>
      </c>
    </row>
    <row r="3446" spans="1:12" x14ac:dyDescent="0.2">
      <c r="A3446" s="570" t="s">
        <v>220</v>
      </c>
      <c r="B3446" s="547" t="s">
        <v>5430</v>
      </c>
      <c r="C3446" s="554" t="s">
        <v>7131</v>
      </c>
      <c r="D3446" s="554" t="s">
        <v>8428</v>
      </c>
      <c r="E3446" s="554"/>
      <c r="F3446" s="571">
        <v>8</v>
      </c>
      <c r="G3446" s="572">
        <v>20</v>
      </c>
      <c r="H3446" s="545">
        <v>160</v>
      </c>
      <c r="I3446" s="554" t="s">
        <v>9218</v>
      </c>
      <c r="J3446" s="554" t="s">
        <v>9219</v>
      </c>
      <c r="K3446" s="554" t="s">
        <v>9219</v>
      </c>
      <c r="L3446" s="537" t="s">
        <v>2354</v>
      </c>
    </row>
    <row r="3447" spans="1:12" x14ac:dyDescent="0.2">
      <c r="A3447" s="570" t="s">
        <v>220</v>
      </c>
      <c r="B3447" s="547" t="s">
        <v>5430</v>
      </c>
      <c r="C3447" s="554" t="s">
        <v>7142</v>
      </c>
      <c r="D3447" s="554" t="s">
        <v>8429</v>
      </c>
      <c r="E3447" s="554"/>
      <c r="F3447" s="573">
        <v>1</v>
      </c>
      <c r="G3447" s="545">
        <v>0</v>
      </c>
      <c r="H3447" s="545">
        <v>0</v>
      </c>
      <c r="I3447" s="554" t="s">
        <v>9218</v>
      </c>
      <c r="J3447" s="554" t="s">
        <v>9219</v>
      </c>
      <c r="K3447" s="554" t="s">
        <v>9219</v>
      </c>
      <c r="L3447" s="537" t="s">
        <v>2354</v>
      </c>
    </row>
    <row r="3448" spans="1:12" x14ac:dyDescent="0.2">
      <c r="A3448" s="570" t="s">
        <v>220</v>
      </c>
      <c r="B3448" s="547" t="s">
        <v>5430</v>
      </c>
      <c r="C3448" s="554" t="s">
        <v>7144</v>
      </c>
      <c r="D3448" s="554" t="s">
        <v>8430</v>
      </c>
      <c r="E3448" s="554"/>
      <c r="F3448" s="571">
        <v>1</v>
      </c>
      <c r="G3448" s="572">
        <v>38.46</v>
      </c>
      <c r="H3448" s="545">
        <v>38.46</v>
      </c>
      <c r="I3448" s="554" t="s">
        <v>9218</v>
      </c>
      <c r="J3448" s="554" t="s">
        <v>9219</v>
      </c>
      <c r="K3448" s="554" t="s">
        <v>9219</v>
      </c>
      <c r="L3448" s="537" t="s">
        <v>2354</v>
      </c>
    </row>
    <row r="3449" spans="1:12" x14ac:dyDescent="0.2">
      <c r="A3449" s="570" t="s">
        <v>220</v>
      </c>
      <c r="B3449" s="547" t="s">
        <v>5430</v>
      </c>
      <c r="C3449" s="554" t="s">
        <v>7146</v>
      </c>
      <c r="D3449" s="554" t="s">
        <v>8431</v>
      </c>
      <c r="E3449" s="554"/>
      <c r="F3449" s="571">
        <v>2</v>
      </c>
      <c r="G3449" s="572">
        <v>32.965000000000003</v>
      </c>
      <c r="H3449" s="545">
        <v>65.930000000000007</v>
      </c>
      <c r="I3449" s="554" t="s">
        <v>9218</v>
      </c>
      <c r="J3449" s="554" t="s">
        <v>9219</v>
      </c>
      <c r="K3449" s="554" t="s">
        <v>9219</v>
      </c>
      <c r="L3449" s="537" t="s">
        <v>2354</v>
      </c>
    </row>
    <row r="3450" spans="1:12" x14ac:dyDescent="0.2">
      <c r="A3450" s="570" t="s">
        <v>220</v>
      </c>
      <c r="B3450" s="547" t="s">
        <v>5430</v>
      </c>
      <c r="C3450" s="554" t="s">
        <v>7148</v>
      </c>
      <c r="D3450" s="554" t="s">
        <v>8432</v>
      </c>
      <c r="E3450" s="554"/>
      <c r="F3450" s="571">
        <v>2</v>
      </c>
      <c r="G3450" s="572">
        <v>16.483000000000001</v>
      </c>
      <c r="H3450" s="545">
        <v>32.966000000000001</v>
      </c>
      <c r="I3450" s="554" t="s">
        <v>9218</v>
      </c>
      <c r="J3450" s="554" t="s">
        <v>9219</v>
      </c>
      <c r="K3450" s="554" t="s">
        <v>9219</v>
      </c>
      <c r="L3450" s="537" t="s">
        <v>2354</v>
      </c>
    </row>
    <row r="3451" spans="1:12" x14ac:dyDescent="0.2">
      <c r="A3451" s="570" t="s">
        <v>220</v>
      </c>
      <c r="B3451" s="547" t="s">
        <v>5430</v>
      </c>
      <c r="C3451" s="554" t="s">
        <v>7150</v>
      </c>
      <c r="D3451" s="554" t="s">
        <v>8433</v>
      </c>
      <c r="E3451" s="554"/>
      <c r="F3451" s="571">
        <v>1</v>
      </c>
      <c r="G3451" s="572">
        <v>21.978000000000002</v>
      </c>
      <c r="H3451" s="545">
        <v>21.978000000000002</v>
      </c>
      <c r="I3451" s="554" t="s">
        <v>9218</v>
      </c>
      <c r="J3451" s="554" t="s">
        <v>9219</v>
      </c>
      <c r="K3451" s="554" t="s">
        <v>9219</v>
      </c>
      <c r="L3451" s="537" t="s">
        <v>2354</v>
      </c>
    </row>
    <row r="3452" spans="1:12" x14ac:dyDescent="0.2">
      <c r="A3452" s="570" t="s">
        <v>220</v>
      </c>
      <c r="B3452" s="547" t="s">
        <v>5430</v>
      </c>
      <c r="C3452" s="554" t="s">
        <v>7155</v>
      </c>
      <c r="D3452" s="554" t="s">
        <v>8434</v>
      </c>
      <c r="E3452" s="554"/>
      <c r="F3452" s="571">
        <v>33</v>
      </c>
      <c r="G3452" s="572">
        <v>38</v>
      </c>
      <c r="H3452" s="545">
        <v>1254</v>
      </c>
      <c r="I3452" s="554" t="s">
        <v>9218</v>
      </c>
      <c r="J3452" s="554" t="s">
        <v>9219</v>
      </c>
      <c r="K3452" s="554" t="s">
        <v>9219</v>
      </c>
      <c r="L3452" s="537" t="s">
        <v>2354</v>
      </c>
    </row>
    <row r="3453" spans="1:12" x14ac:dyDescent="0.2">
      <c r="A3453" s="570" t="s">
        <v>220</v>
      </c>
      <c r="B3453" s="547" t="s">
        <v>5430</v>
      </c>
      <c r="C3453" s="554" t="s">
        <v>7157</v>
      </c>
      <c r="D3453" s="554" t="s">
        <v>8435</v>
      </c>
      <c r="E3453" s="554"/>
      <c r="F3453" s="571">
        <v>1</v>
      </c>
      <c r="G3453" s="572">
        <v>350</v>
      </c>
      <c r="H3453" s="545">
        <v>350</v>
      </c>
      <c r="I3453" s="554" t="s">
        <v>9218</v>
      </c>
      <c r="J3453" s="554" t="s">
        <v>9219</v>
      </c>
      <c r="K3453" s="554" t="s">
        <v>9219</v>
      </c>
      <c r="L3453" s="537" t="s">
        <v>2354</v>
      </c>
    </row>
    <row r="3454" spans="1:12" x14ac:dyDescent="0.2">
      <c r="A3454" s="570" t="s">
        <v>220</v>
      </c>
      <c r="B3454" s="547" t="s">
        <v>5430</v>
      </c>
      <c r="C3454" s="554" t="s">
        <v>7159</v>
      </c>
      <c r="D3454" s="554" t="s">
        <v>8436</v>
      </c>
      <c r="E3454" s="554"/>
      <c r="F3454" s="571">
        <v>7</v>
      </c>
      <c r="G3454" s="572">
        <v>52.52</v>
      </c>
      <c r="H3454" s="545">
        <v>367.64000000000004</v>
      </c>
      <c r="I3454" s="554" t="s">
        <v>9218</v>
      </c>
      <c r="J3454" s="554" t="s">
        <v>9219</v>
      </c>
      <c r="K3454" s="554" t="s">
        <v>9219</v>
      </c>
      <c r="L3454" s="537" t="s">
        <v>2354</v>
      </c>
    </row>
    <row r="3455" spans="1:12" x14ac:dyDescent="0.2">
      <c r="A3455" s="570" t="s">
        <v>220</v>
      </c>
      <c r="B3455" s="547" t="s">
        <v>5430</v>
      </c>
      <c r="C3455" s="554" t="s">
        <v>7190</v>
      </c>
      <c r="D3455" s="554" t="s">
        <v>8437</v>
      </c>
      <c r="E3455" s="554"/>
      <c r="F3455" s="571">
        <v>10</v>
      </c>
      <c r="G3455" s="572">
        <v>3.0489999999999999</v>
      </c>
      <c r="H3455" s="545">
        <v>30.49</v>
      </c>
      <c r="I3455" s="554" t="s">
        <v>9218</v>
      </c>
      <c r="J3455" s="554" t="s">
        <v>9219</v>
      </c>
      <c r="K3455" s="554" t="s">
        <v>9219</v>
      </c>
      <c r="L3455" s="537" t="s">
        <v>2354</v>
      </c>
    </row>
    <row r="3456" spans="1:12" x14ac:dyDescent="0.2">
      <c r="A3456" s="570" t="s">
        <v>220</v>
      </c>
      <c r="B3456" s="547" t="s">
        <v>5430</v>
      </c>
      <c r="C3456" s="554" t="s">
        <v>8438</v>
      </c>
      <c r="D3456" s="554" t="s">
        <v>8439</v>
      </c>
      <c r="E3456" s="554"/>
      <c r="F3456" s="571">
        <v>4</v>
      </c>
      <c r="G3456" s="572">
        <v>2.536</v>
      </c>
      <c r="H3456" s="545">
        <v>10.144</v>
      </c>
      <c r="I3456" s="554" t="s">
        <v>9218</v>
      </c>
      <c r="J3456" s="554" t="s">
        <v>9219</v>
      </c>
      <c r="K3456" s="554" t="s">
        <v>9219</v>
      </c>
      <c r="L3456" s="537" t="s">
        <v>2354</v>
      </c>
    </row>
    <row r="3457" spans="1:12" x14ac:dyDescent="0.2">
      <c r="A3457" s="570" t="s">
        <v>220</v>
      </c>
      <c r="B3457" s="547" t="s">
        <v>5430</v>
      </c>
      <c r="C3457" s="554" t="s">
        <v>8440</v>
      </c>
      <c r="D3457" s="554" t="s">
        <v>8441</v>
      </c>
      <c r="E3457" s="554"/>
      <c r="F3457" s="571">
        <v>8</v>
      </c>
      <c r="G3457" s="572">
        <v>426.08</v>
      </c>
      <c r="H3457" s="545">
        <v>3408.64</v>
      </c>
      <c r="I3457" s="554" t="s">
        <v>9218</v>
      </c>
      <c r="J3457" s="554" t="s">
        <v>9219</v>
      </c>
      <c r="K3457" s="554" t="s">
        <v>9219</v>
      </c>
      <c r="L3457" s="537" t="s">
        <v>2354</v>
      </c>
    </row>
    <row r="3458" spans="1:12" x14ac:dyDescent="0.2">
      <c r="A3458" s="570" t="s">
        <v>220</v>
      </c>
      <c r="B3458" s="547" t="s">
        <v>5430</v>
      </c>
      <c r="C3458" s="554" t="s">
        <v>8442</v>
      </c>
      <c r="D3458" s="554" t="s">
        <v>8443</v>
      </c>
      <c r="E3458" s="554"/>
      <c r="F3458" s="571">
        <v>1</v>
      </c>
      <c r="G3458" s="572">
        <v>31.756</v>
      </c>
      <c r="H3458" s="545">
        <v>31.756</v>
      </c>
      <c r="I3458" s="554" t="s">
        <v>9218</v>
      </c>
      <c r="J3458" s="554" t="s">
        <v>9219</v>
      </c>
      <c r="K3458" s="554" t="s">
        <v>9219</v>
      </c>
      <c r="L3458" s="537" t="s">
        <v>2354</v>
      </c>
    </row>
    <row r="3459" spans="1:12" x14ac:dyDescent="0.2">
      <c r="A3459" s="570" t="s">
        <v>220</v>
      </c>
      <c r="B3459" s="547" t="s">
        <v>5430</v>
      </c>
      <c r="C3459" s="554" t="s">
        <v>7214</v>
      </c>
      <c r="D3459" s="554" t="s">
        <v>8444</v>
      </c>
      <c r="E3459" s="554"/>
      <c r="F3459" s="571">
        <v>12</v>
      </c>
      <c r="G3459" s="572">
        <v>22.725000000000001</v>
      </c>
      <c r="H3459" s="545">
        <v>272.70000000000005</v>
      </c>
      <c r="I3459" s="554" t="s">
        <v>9218</v>
      </c>
      <c r="J3459" s="554" t="s">
        <v>9219</v>
      </c>
      <c r="K3459" s="554" t="s">
        <v>9219</v>
      </c>
      <c r="L3459" s="537" t="s">
        <v>2354</v>
      </c>
    </row>
    <row r="3460" spans="1:12" x14ac:dyDescent="0.2">
      <c r="A3460" s="570" t="s">
        <v>220</v>
      </c>
      <c r="B3460" s="547" t="s">
        <v>5430</v>
      </c>
      <c r="C3460" s="554" t="s">
        <v>7225</v>
      </c>
      <c r="D3460" s="554" t="s">
        <v>8445</v>
      </c>
      <c r="E3460" s="554"/>
      <c r="F3460" s="571">
        <v>1</v>
      </c>
      <c r="G3460" s="572">
        <v>54.99</v>
      </c>
      <c r="H3460" s="545">
        <v>54.99</v>
      </c>
      <c r="I3460" s="554" t="s">
        <v>9218</v>
      </c>
      <c r="J3460" s="554" t="s">
        <v>9219</v>
      </c>
      <c r="K3460" s="554" t="s">
        <v>9219</v>
      </c>
      <c r="L3460" s="537" t="s">
        <v>2354</v>
      </c>
    </row>
    <row r="3461" spans="1:12" x14ac:dyDescent="0.2">
      <c r="A3461" s="570" t="s">
        <v>220</v>
      </c>
      <c r="B3461" s="547" t="s">
        <v>5430</v>
      </c>
      <c r="C3461" s="554" t="s">
        <v>7227</v>
      </c>
      <c r="D3461" s="554" t="s">
        <v>8446</v>
      </c>
      <c r="E3461" s="554"/>
      <c r="F3461" s="571">
        <v>1</v>
      </c>
      <c r="G3461" s="572">
        <v>6.4349999999999996</v>
      </c>
      <c r="H3461" s="545">
        <v>6.4349999999999996</v>
      </c>
      <c r="I3461" s="554" t="s">
        <v>9218</v>
      </c>
      <c r="J3461" s="554" t="s">
        <v>9219</v>
      </c>
      <c r="K3461" s="554" t="s">
        <v>9219</v>
      </c>
      <c r="L3461" s="537" t="s">
        <v>2354</v>
      </c>
    </row>
    <row r="3462" spans="1:12" x14ac:dyDescent="0.2">
      <c r="A3462" s="570" t="s">
        <v>220</v>
      </c>
      <c r="B3462" s="547" t="s">
        <v>5430</v>
      </c>
      <c r="C3462" s="554" t="s">
        <v>7229</v>
      </c>
      <c r="D3462" s="554" t="s">
        <v>8447</v>
      </c>
      <c r="E3462" s="554"/>
      <c r="F3462" s="571">
        <v>8</v>
      </c>
      <c r="G3462" s="572">
        <v>28</v>
      </c>
      <c r="H3462" s="545">
        <v>224</v>
      </c>
      <c r="I3462" s="554" t="s">
        <v>9218</v>
      </c>
      <c r="J3462" s="554" t="s">
        <v>9219</v>
      </c>
      <c r="K3462" s="554" t="s">
        <v>9219</v>
      </c>
      <c r="L3462" s="537" t="s">
        <v>2354</v>
      </c>
    </row>
    <row r="3463" spans="1:12" x14ac:dyDescent="0.2">
      <c r="A3463" s="570" t="s">
        <v>220</v>
      </c>
      <c r="B3463" s="547" t="s">
        <v>5430</v>
      </c>
      <c r="C3463" s="554" t="s">
        <v>7231</v>
      </c>
      <c r="D3463" s="554" t="s">
        <v>8448</v>
      </c>
      <c r="E3463" s="554"/>
      <c r="F3463" s="571">
        <v>10</v>
      </c>
      <c r="G3463" s="572">
        <v>25.65</v>
      </c>
      <c r="H3463" s="545">
        <v>256.5</v>
      </c>
      <c r="I3463" s="554" t="s">
        <v>9218</v>
      </c>
      <c r="J3463" s="554" t="s">
        <v>9219</v>
      </c>
      <c r="K3463" s="554" t="s">
        <v>9219</v>
      </c>
      <c r="L3463" s="537" t="s">
        <v>2354</v>
      </c>
    </row>
    <row r="3464" spans="1:12" x14ac:dyDescent="0.2">
      <c r="A3464" s="570" t="s">
        <v>220</v>
      </c>
      <c r="B3464" s="547" t="s">
        <v>5430</v>
      </c>
      <c r="C3464" s="554" t="s">
        <v>7235</v>
      </c>
      <c r="D3464" s="554" t="s">
        <v>8449</v>
      </c>
      <c r="E3464" s="554"/>
      <c r="F3464" s="571">
        <v>96</v>
      </c>
      <c r="G3464" s="572">
        <v>13.736000000000001</v>
      </c>
      <c r="H3464" s="545">
        <v>1318.6559999999999</v>
      </c>
      <c r="I3464" s="554" t="s">
        <v>9218</v>
      </c>
      <c r="J3464" s="554" t="s">
        <v>9219</v>
      </c>
      <c r="K3464" s="554" t="s">
        <v>9219</v>
      </c>
      <c r="L3464" s="537" t="s">
        <v>2354</v>
      </c>
    </row>
    <row r="3465" spans="1:12" x14ac:dyDescent="0.2">
      <c r="A3465" s="570" t="s">
        <v>220</v>
      </c>
      <c r="B3465" s="547" t="s">
        <v>5430</v>
      </c>
      <c r="C3465" s="554" t="s">
        <v>7252</v>
      </c>
      <c r="D3465" s="554" t="s">
        <v>9438</v>
      </c>
      <c r="E3465" s="554"/>
      <c r="F3465" s="571">
        <v>1</v>
      </c>
      <c r="G3465" s="572">
        <v>269.51400000000001</v>
      </c>
      <c r="H3465" s="545">
        <v>269.51400000000001</v>
      </c>
      <c r="I3465" s="554" t="s">
        <v>9218</v>
      </c>
      <c r="J3465" s="554" t="s">
        <v>9219</v>
      </c>
      <c r="K3465" s="554" t="s">
        <v>9219</v>
      </c>
      <c r="L3465" s="537" t="s">
        <v>2354</v>
      </c>
    </row>
    <row r="3466" spans="1:12" x14ac:dyDescent="0.2">
      <c r="A3466" s="570" t="s">
        <v>220</v>
      </c>
      <c r="B3466" s="547" t="s">
        <v>5430</v>
      </c>
      <c r="C3466" s="554" t="s">
        <v>7254</v>
      </c>
      <c r="D3466" s="554" t="s">
        <v>8450</v>
      </c>
      <c r="E3466" s="554"/>
      <c r="F3466" s="571">
        <v>6</v>
      </c>
      <c r="G3466" s="572">
        <v>10.301</v>
      </c>
      <c r="H3466" s="545">
        <v>61.805999999999997</v>
      </c>
      <c r="I3466" s="554" t="s">
        <v>9218</v>
      </c>
      <c r="J3466" s="554" t="s">
        <v>9219</v>
      </c>
      <c r="K3466" s="554" t="s">
        <v>9219</v>
      </c>
      <c r="L3466" s="537" t="s">
        <v>2354</v>
      </c>
    </row>
    <row r="3467" spans="1:12" x14ac:dyDescent="0.2">
      <c r="A3467" s="570" t="s">
        <v>220</v>
      </c>
      <c r="B3467" s="547" t="s">
        <v>5430</v>
      </c>
      <c r="C3467" s="554" t="s">
        <v>7256</v>
      </c>
      <c r="D3467" s="554" t="s">
        <v>7257</v>
      </c>
      <c r="E3467" s="554"/>
      <c r="F3467" s="571">
        <v>1</v>
      </c>
      <c r="G3467" s="572">
        <v>4.6749999999999998</v>
      </c>
      <c r="H3467" s="545">
        <v>4.6749999999999998</v>
      </c>
      <c r="I3467" s="554" t="s">
        <v>9218</v>
      </c>
      <c r="J3467" s="554" t="s">
        <v>9219</v>
      </c>
      <c r="K3467" s="554" t="s">
        <v>9219</v>
      </c>
      <c r="L3467" s="537" t="s">
        <v>2354</v>
      </c>
    </row>
    <row r="3468" spans="1:12" x14ac:dyDescent="0.2">
      <c r="A3468" s="570" t="s">
        <v>220</v>
      </c>
      <c r="B3468" s="547" t="s">
        <v>5430</v>
      </c>
      <c r="C3468" s="554" t="s">
        <v>7260</v>
      </c>
      <c r="D3468" s="554" t="s">
        <v>8451</v>
      </c>
      <c r="E3468" s="554"/>
      <c r="F3468" s="571">
        <v>11</v>
      </c>
      <c r="G3468" s="572">
        <v>3.5223300000000002</v>
      </c>
      <c r="H3468" s="545">
        <v>38.745630000000006</v>
      </c>
      <c r="I3468" s="554" t="s">
        <v>9218</v>
      </c>
      <c r="J3468" s="554" t="s">
        <v>9219</v>
      </c>
      <c r="K3468" s="554" t="s">
        <v>9219</v>
      </c>
      <c r="L3468" s="537" t="s">
        <v>2354</v>
      </c>
    </row>
    <row r="3469" spans="1:12" x14ac:dyDescent="0.2">
      <c r="A3469" s="570" t="s">
        <v>220</v>
      </c>
      <c r="B3469" s="547" t="s">
        <v>5430</v>
      </c>
      <c r="C3469" s="554" t="s">
        <v>7262</v>
      </c>
      <c r="D3469" s="554" t="s">
        <v>8452</v>
      </c>
      <c r="E3469" s="554"/>
      <c r="F3469" s="573">
        <v>9</v>
      </c>
      <c r="G3469" s="545">
        <v>0</v>
      </c>
      <c r="H3469" s="545">
        <v>0</v>
      </c>
      <c r="I3469" s="554" t="s">
        <v>9218</v>
      </c>
      <c r="J3469" s="554" t="s">
        <v>9219</v>
      </c>
      <c r="K3469" s="554" t="s">
        <v>9219</v>
      </c>
      <c r="L3469" s="537" t="s">
        <v>2354</v>
      </c>
    </row>
    <row r="3470" spans="1:12" x14ac:dyDescent="0.2">
      <c r="A3470" s="570" t="s">
        <v>220</v>
      </c>
      <c r="B3470" s="547" t="s">
        <v>5430</v>
      </c>
      <c r="C3470" s="554" t="s">
        <v>7268</v>
      </c>
      <c r="D3470" s="554" t="s">
        <v>8453</v>
      </c>
      <c r="E3470" s="554"/>
      <c r="F3470" s="571">
        <v>2</v>
      </c>
      <c r="G3470" s="572">
        <v>28.763000000000002</v>
      </c>
      <c r="H3470" s="545">
        <v>57.526000000000003</v>
      </c>
      <c r="I3470" s="554" t="s">
        <v>9218</v>
      </c>
      <c r="J3470" s="554" t="s">
        <v>9219</v>
      </c>
      <c r="K3470" s="554" t="s">
        <v>9219</v>
      </c>
      <c r="L3470" s="537" t="s">
        <v>2354</v>
      </c>
    </row>
    <row r="3471" spans="1:12" x14ac:dyDescent="0.2">
      <c r="A3471" s="570" t="s">
        <v>220</v>
      </c>
      <c r="B3471" s="547" t="s">
        <v>5430</v>
      </c>
      <c r="C3471" s="554" t="s">
        <v>8454</v>
      </c>
      <c r="D3471" s="554" t="s">
        <v>8455</v>
      </c>
      <c r="E3471" s="554"/>
      <c r="F3471" s="571">
        <v>10</v>
      </c>
      <c r="G3471" s="572">
        <v>30.803000000000001</v>
      </c>
      <c r="H3471" s="545">
        <v>308.03000000000003</v>
      </c>
      <c r="I3471" s="554" t="s">
        <v>9218</v>
      </c>
      <c r="J3471" s="554" t="s">
        <v>9219</v>
      </c>
      <c r="K3471" s="554" t="s">
        <v>9219</v>
      </c>
      <c r="L3471" s="537" t="s">
        <v>2354</v>
      </c>
    </row>
    <row r="3472" spans="1:12" x14ac:dyDescent="0.2">
      <c r="A3472" s="570" t="s">
        <v>220</v>
      </c>
      <c r="B3472" s="547" t="s">
        <v>5430</v>
      </c>
      <c r="C3472" s="554" t="s">
        <v>7270</v>
      </c>
      <c r="D3472" s="554" t="s">
        <v>8456</v>
      </c>
      <c r="E3472" s="554"/>
      <c r="F3472" s="571">
        <v>1</v>
      </c>
      <c r="G3472" s="572">
        <v>16.350999999999999</v>
      </c>
      <c r="H3472" s="545">
        <v>16.350999999999999</v>
      </c>
      <c r="I3472" s="554" t="s">
        <v>9218</v>
      </c>
      <c r="J3472" s="554" t="s">
        <v>9219</v>
      </c>
      <c r="K3472" s="554" t="s">
        <v>9219</v>
      </c>
      <c r="L3472" s="537" t="s">
        <v>2354</v>
      </c>
    </row>
    <row r="3473" spans="1:12" x14ac:dyDescent="0.2">
      <c r="A3473" s="570" t="s">
        <v>220</v>
      </c>
      <c r="B3473" s="547" t="s">
        <v>5430</v>
      </c>
      <c r="C3473" s="554" t="s">
        <v>7272</v>
      </c>
      <c r="D3473" s="554" t="s">
        <v>7273</v>
      </c>
      <c r="E3473" s="554"/>
      <c r="F3473" s="571">
        <v>1</v>
      </c>
      <c r="G3473" s="572">
        <v>291.2</v>
      </c>
      <c r="H3473" s="545">
        <v>291.2</v>
      </c>
      <c r="I3473" s="554" t="s">
        <v>9218</v>
      </c>
      <c r="J3473" s="554" t="s">
        <v>9219</v>
      </c>
      <c r="K3473" s="554" t="s">
        <v>9219</v>
      </c>
      <c r="L3473" s="537" t="s">
        <v>2354</v>
      </c>
    </row>
    <row r="3474" spans="1:12" x14ac:dyDescent="0.2">
      <c r="A3474" s="570" t="s">
        <v>220</v>
      </c>
      <c r="B3474" s="547" t="s">
        <v>5430</v>
      </c>
      <c r="C3474" s="554" t="s">
        <v>7274</v>
      </c>
      <c r="D3474" s="554" t="s">
        <v>7275</v>
      </c>
      <c r="E3474" s="554"/>
      <c r="F3474" s="571">
        <v>1</v>
      </c>
      <c r="G3474" s="572">
        <v>143.97999999999999</v>
      </c>
      <c r="H3474" s="545">
        <v>143.97999999999999</v>
      </c>
      <c r="I3474" s="554" t="s">
        <v>9218</v>
      </c>
      <c r="J3474" s="554" t="s">
        <v>9219</v>
      </c>
      <c r="K3474" s="554" t="s">
        <v>9219</v>
      </c>
      <c r="L3474" s="537" t="s">
        <v>2354</v>
      </c>
    </row>
    <row r="3475" spans="1:12" x14ac:dyDescent="0.2">
      <c r="A3475" s="570" t="s">
        <v>220</v>
      </c>
      <c r="B3475" s="547" t="s">
        <v>5430</v>
      </c>
      <c r="C3475" s="554" t="s">
        <v>7276</v>
      </c>
      <c r="D3475" s="554" t="s">
        <v>8457</v>
      </c>
      <c r="E3475" s="554"/>
      <c r="F3475" s="571">
        <v>3</v>
      </c>
      <c r="G3475" s="572">
        <v>151.28700000000001</v>
      </c>
      <c r="H3475" s="545">
        <v>453.86099999999999</v>
      </c>
      <c r="I3475" s="554" t="s">
        <v>9218</v>
      </c>
      <c r="J3475" s="554" t="s">
        <v>9219</v>
      </c>
      <c r="K3475" s="554" t="s">
        <v>9219</v>
      </c>
      <c r="L3475" s="537" t="s">
        <v>2354</v>
      </c>
    </row>
    <row r="3476" spans="1:12" x14ac:dyDescent="0.2">
      <c r="A3476" s="570" t="s">
        <v>220</v>
      </c>
      <c r="B3476" s="547" t="s">
        <v>5430</v>
      </c>
      <c r="C3476" s="554" t="s">
        <v>7278</v>
      </c>
      <c r="D3476" s="554" t="s">
        <v>8458</v>
      </c>
      <c r="E3476" s="554"/>
      <c r="F3476" s="571">
        <v>1</v>
      </c>
      <c r="G3476" s="572">
        <v>133.333</v>
      </c>
      <c r="H3476" s="545">
        <v>133.333</v>
      </c>
      <c r="I3476" s="554" t="s">
        <v>9218</v>
      </c>
      <c r="J3476" s="554" t="s">
        <v>9219</v>
      </c>
      <c r="K3476" s="554" t="s">
        <v>9219</v>
      </c>
      <c r="L3476" s="537" t="s">
        <v>2354</v>
      </c>
    </row>
    <row r="3477" spans="1:12" x14ac:dyDescent="0.2">
      <c r="A3477" s="570" t="s">
        <v>220</v>
      </c>
      <c r="B3477" s="547" t="s">
        <v>5430</v>
      </c>
      <c r="C3477" s="554" t="s">
        <v>8459</v>
      </c>
      <c r="D3477" s="554" t="s">
        <v>8460</v>
      </c>
      <c r="E3477" s="554"/>
      <c r="F3477" s="571">
        <v>8</v>
      </c>
      <c r="G3477" s="572">
        <v>36.03</v>
      </c>
      <c r="H3477" s="545">
        <v>288.24</v>
      </c>
      <c r="I3477" s="554" t="s">
        <v>9218</v>
      </c>
      <c r="J3477" s="554" t="s">
        <v>9219</v>
      </c>
      <c r="K3477" s="554" t="s">
        <v>9219</v>
      </c>
      <c r="L3477" s="537" t="s">
        <v>2354</v>
      </c>
    </row>
    <row r="3478" spans="1:12" x14ac:dyDescent="0.2">
      <c r="A3478" s="570" t="s">
        <v>220</v>
      </c>
      <c r="B3478" s="547" t="s">
        <v>5430</v>
      </c>
      <c r="C3478" s="554" t="s">
        <v>7280</v>
      </c>
      <c r="D3478" s="554" t="s">
        <v>7281</v>
      </c>
      <c r="E3478" s="554"/>
      <c r="F3478" s="571">
        <v>1</v>
      </c>
      <c r="G3478" s="572">
        <v>19.125</v>
      </c>
      <c r="H3478" s="545">
        <v>19.125</v>
      </c>
      <c r="I3478" s="554" t="s">
        <v>9218</v>
      </c>
      <c r="J3478" s="554" t="s">
        <v>9219</v>
      </c>
      <c r="K3478" s="554" t="s">
        <v>9219</v>
      </c>
      <c r="L3478" s="537" t="s">
        <v>2354</v>
      </c>
    </row>
    <row r="3479" spans="1:12" x14ac:dyDescent="0.2">
      <c r="A3479" s="570" t="s">
        <v>220</v>
      </c>
      <c r="B3479" s="547" t="s">
        <v>5430</v>
      </c>
      <c r="C3479" s="554" t="s">
        <v>8461</v>
      </c>
      <c r="D3479" s="554" t="s">
        <v>7283</v>
      </c>
      <c r="E3479" s="554"/>
      <c r="F3479" s="571">
        <v>20</v>
      </c>
      <c r="G3479" s="572">
        <v>5.4690000000000003</v>
      </c>
      <c r="H3479" s="545">
        <v>109.38000000000001</v>
      </c>
      <c r="I3479" s="554" t="s">
        <v>9218</v>
      </c>
      <c r="J3479" s="554" t="s">
        <v>9219</v>
      </c>
      <c r="K3479" s="554" t="s">
        <v>9219</v>
      </c>
      <c r="L3479" s="537" t="s">
        <v>2354</v>
      </c>
    </row>
    <row r="3480" spans="1:12" x14ac:dyDescent="0.2">
      <c r="A3480" s="570" t="s">
        <v>220</v>
      </c>
      <c r="B3480" s="547" t="s">
        <v>5430</v>
      </c>
      <c r="C3480" s="554" t="s">
        <v>8462</v>
      </c>
      <c r="D3480" s="554" t="s">
        <v>8463</v>
      </c>
      <c r="E3480" s="554"/>
      <c r="F3480" s="571">
        <v>1</v>
      </c>
      <c r="G3480" s="572">
        <v>40.372</v>
      </c>
      <c r="H3480" s="545">
        <v>40.372</v>
      </c>
      <c r="I3480" s="554" t="s">
        <v>9218</v>
      </c>
      <c r="J3480" s="554" t="s">
        <v>9219</v>
      </c>
      <c r="K3480" s="554" t="s">
        <v>9219</v>
      </c>
      <c r="L3480" s="537" t="s">
        <v>2354</v>
      </c>
    </row>
    <row r="3481" spans="1:12" x14ac:dyDescent="0.2">
      <c r="A3481" s="570" t="s">
        <v>220</v>
      </c>
      <c r="B3481" s="547" t="s">
        <v>5430</v>
      </c>
      <c r="C3481" s="554" t="s">
        <v>7286</v>
      </c>
      <c r="D3481" s="554" t="s">
        <v>8464</v>
      </c>
      <c r="E3481" s="554"/>
      <c r="F3481" s="571">
        <v>1</v>
      </c>
      <c r="G3481" s="572">
        <v>97.703000000000003</v>
      </c>
      <c r="H3481" s="545">
        <v>97.703000000000003</v>
      </c>
      <c r="I3481" s="554" t="s">
        <v>9218</v>
      </c>
      <c r="J3481" s="554" t="s">
        <v>9219</v>
      </c>
      <c r="K3481" s="554" t="s">
        <v>9219</v>
      </c>
      <c r="L3481" s="537" t="s">
        <v>2354</v>
      </c>
    </row>
    <row r="3482" spans="1:12" x14ac:dyDescent="0.2">
      <c r="A3482" s="570" t="s">
        <v>220</v>
      </c>
      <c r="B3482" s="547" t="s">
        <v>5430</v>
      </c>
      <c r="C3482" s="554" t="s">
        <v>7292</v>
      </c>
      <c r="D3482" s="554" t="s">
        <v>8465</v>
      </c>
      <c r="E3482" s="554"/>
      <c r="F3482" s="571">
        <v>1</v>
      </c>
      <c r="G3482" s="572">
        <v>71.822999999999993</v>
      </c>
      <c r="H3482" s="545">
        <v>71.822999999999993</v>
      </c>
      <c r="I3482" s="554" t="s">
        <v>9218</v>
      </c>
      <c r="J3482" s="554" t="s">
        <v>9219</v>
      </c>
      <c r="K3482" s="554" t="s">
        <v>9219</v>
      </c>
      <c r="L3482" s="537" t="s">
        <v>2354</v>
      </c>
    </row>
    <row r="3483" spans="1:12" x14ac:dyDescent="0.2">
      <c r="A3483" s="570" t="s">
        <v>220</v>
      </c>
      <c r="B3483" s="547" t="s">
        <v>5430</v>
      </c>
      <c r="C3483" s="554" t="s">
        <v>7294</v>
      </c>
      <c r="D3483" s="554" t="s">
        <v>8466</v>
      </c>
      <c r="E3483" s="554"/>
      <c r="F3483" s="571">
        <v>3</v>
      </c>
      <c r="G3483" s="572">
        <v>23.536000000000001</v>
      </c>
      <c r="H3483" s="545">
        <v>70.608000000000004</v>
      </c>
      <c r="I3483" s="554" t="s">
        <v>9218</v>
      </c>
      <c r="J3483" s="554" t="s">
        <v>9219</v>
      </c>
      <c r="K3483" s="554" t="s">
        <v>9219</v>
      </c>
      <c r="L3483" s="537" t="s">
        <v>2354</v>
      </c>
    </row>
    <row r="3484" spans="1:12" x14ac:dyDescent="0.2">
      <c r="A3484" s="570" t="s">
        <v>220</v>
      </c>
      <c r="B3484" s="547" t="s">
        <v>5430</v>
      </c>
      <c r="C3484" s="554" t="s">
        <v>7296</v>
      </c>
      <c r="D3484" s="554" t="s">
        <v>8467</v>
      </c>
      <c r="E3484" s="554"/>
      <c r="F3484" s="571">
        <v>4</v>
      </c>
      <c r="G3484" s="572">
        <v>36.125</v>
      </c>
      <c r="H3484" s="545">
        <v>144.5</v>
      </c>
      <c r="I3484" s="554" t="s">
        <v>9218</v>
      </c>
      <c r="J3484" s="554" t="s">
        <v>9219</v>
      </c>
      <c r="K3484" s="554" t="s">
        <v>9219</v>
      </c>
      <c r="L3484" s="537" t="s">
        <v>2354</v>
      </c>
    </row>
    <row r="3485" spans="1:12" x14ac:dyDescent="0.2">
      <c r="A3485" s="570" t="s">
        <v>220</v>
      </c>
      <c r="B3485" s="547" t="s">
        <v>5430</v>
      </c>
      <c r="C3485" s="554" t="s">
        <v>7300</v>
      </c>
      <c r="D3485" s="554" t="s">
        <v>8468</v>
      </c>
      <c r="E3485" s="554"/>
      <c r="F3485" s="571">
        <v>10</v>
      </c>
      <c r="G3485" s="572">
        <v>18.908000000000001</v>
      </c>
      <c r="H3485" s="545">
        <v>189.08</v>
      </c>
      <c r="I3485" s="554" t="s">
        <v>9218</v>
      </c>
      <c r="J3485" s="554" t="s">
        <v>9219</v>
      </c>
      <c r="K3485" s="554" t="s">
        <v>9219</v>
      </c>
      <c r="L3485" s="537" t="s">
        <v>2354</v>
      </c>
    </row>
    <row r="3486" spans="1:12" x14ac:dyDescent="0.2">
      <c r="A3486" s="570" t="s">
        <v>220</v>
      </c>
      <c r="B3486" s="547" t="s">
        <v>5430</v>
      </c>
      <c r="C3486" s="554" t="s">
        <v>7302</v>
      </c>
      <c r="D3486" s="554" t="s">
        <v>8469</v>
      </c>
      <c r="E3486" s="554"/>
      <c r="F3486" s="571">
        <v>5</v>
      </c>
      <c r="G3486" s="572">
        <v>19.975000000000001</v>
      </c>
      <c r="H3486" s="545">
        <v>99.875</v>
      </c>
      <c r="I3486" s="554" t="s">
        <v>9218</v>
      </c>
      <c r="J3486" s="554" t="s">
        <v>9219</v>
      </c>
      <c r="K3486" s="554" t="s">
        <v>9219</v>
      </c>
      <c r="L3486" s="537" t="s">
        <v>2354</v>
      </c>
    </row>
    <row r="3487" spans="1:12" x14ac:dyDescent="0.2">
      <c r="A3487" s="570" t="s">
        <v>220</v>
      </c>
      <c r="B3487" s="547" t="s">
        <v>5430</v>
      </c>
      <c r="C3487" s="554" t="s">
        <v>7304</v>
      </c>
      <c r="D3487" s="554" t="s">
        <v>8470</v>
      </c>
      <c r="E3487" s="554"/>
      <c r="F3487" s="571">
        <v>5</v>
      </c>
      <c r="G3487" s="572">
        <v>28.236999999999998</v>
      </c>
      <c r="H3487" s="545">
        <v>141.185</v>
      </c>
      <c r="I3487" s="554" t="s">
        <v>9218</v>
      </c>
      <c r="J3487" s="554" t="s">
        <v>9219</v>
      </c>
      <c r="K3487" s="554" t="s">
        <v>9219</v>
      </c>
      <c r="L3487" s="537" t="s">
        <v>2354</v>
      </c>
    </row>
    <row r="3488" spans="1:12" x14ac:dyDescent="0.2">
      <c r="A3488" s="570" t="s">
        <v>220</v>
      </c>
      <c r="B3488" s="547" t="s">
        <v>5430</v>
      </c>
      <c r="C3488" s="554" t="s">
        <v>7306</v>
      </c>
      <c r="D3488" s="554" t="s">
        <v>8471</v>
      </c>
      <c r="E3488" s="554"/>
      <c r="F3488" s="571">
        <v>3</v>
      </c>
      <c r="G3488" s="572">
        <v>70</v>
      </c>
      <c r="H3488" s="545">
        <v>210</v>
      </c>
      <c r="I3488" s="554" t="s">
        <v>9218</v>
      </c>
      <c r="J3488" s="554" t="s">
        <v>9219</v>
      </c>
      <c r="K3488" s="554" t="s">
        <v>9219</v>
      </c>
      <c r="L3488" s="537" t="s">
        <v>2354</v>
      </c>
    </row>
    <row r="3489" spans="1:12" x14ac:dyDescent="0.2">
      <c r="A3489" s="570" t="s">
        <v>220</v>
      </c>
      <c r="B3489" s="547" t="s">
        <v>5430</v>
      </c>
      <c r="C3489" s="554" t="s">
        <v>7308</v>
      </c>
      <c r="D3489" s="554" t="s">
        <v>8472</v>
      </c>
      <c r="E3489" s="554"/>
      <c r="F3489" s="571">
        <v>2</v>
      </c>
      <c r="G3489" s="572">
        <v>70</v>
      </c>
      <c r="H3489" s="545">
        <v>140</v>
      </c>
      <c r="I3489" s="554" t="s">
        <v>9218</v>
      </c>
      <c r="J3489" s="554" t="s">
        <v>9219</v>
      </c>
      <c r="K3489" s="554" t="s">
        <v>9219</v>
      </c>
      <c r="L3489" s="537" t="s">
        <v>2354</v>
      </c>
    </row>
    <row r="3490" spans="1:12" x14ac:dyDescent="0.2">
      <c r="A3490" s="570" t="s">
        <v>220</v>
      </c>
      <c r="B3490" s="547" t="s">
        <v>5430</v>
      </c>
      <c r="C3490" s="554" t="s">
        <v>7312</v>
      </c>
      <c r="D3490" s="554" t="s">
        <v>8473</v>
      </c>
      <c r="E3490" s="554"/>
      <c r="F3490" s="571">
        <v>1</v>
      </c>
      <c r="G3490" s="572">
        <v>377.78399999999999</v>
      </c>
      <c r="H3490" s="545">
        <v>377.78399999999999</v>
      </c>
      <c r="I3490" s="554" t="s">
        <v>9218</v>
      </c>
      <c r="J3490" s="554" t="s">
        <v>9219</v>
      </c>
      <c r="K3490" s="554" t="s">
        <v>9219</v>
      </c>
      <c r="L3490" s="537" t="s">
        <v>2354</v>
      </c>
    </row>
    <row r="3491" spans="1:12" x14ac:dyDescent="0.2">
      <c r="A3491" s="570" t="s">
        <v>220</v>
      </c>
      <c r="B3491" s="547" t="s">
        <v>5430</v>
      </c>
      <c r="C3491" s="554" t="s">
        <v>7314</v>
      </c>
      <c r="D3491" s="554" t="s">
        <v>7315</v>
      </c>
      <c r="E3491" s="554"/>
      <c r="F3491" s="571">
        <v>2</v>
      </c>
      <c r="G3491" s="572">
        <v>28.763000000000002</v>
      </c>
      <c r="H3491" s="545">
        <v>57.526000000000003</v>
      </c>
      <c r="I3491" s="554" t="s">
        <v>9218</v>
      </c>
      <c r="J3491" s="554" t="s">
        <v>9219</v>
      </c>
      <c r="K3491" s="554" t="s">
        <v>9219</v>
      </c>
      <c r="L3491" s="537" t="s">
        <v>2354</v>
      </c>
    </row>
    <row r="3492" spans="1:12" x14ac:dyDescent="0.2">
      <c r="A3492" s="570" t="s">
        <v>220</v>
      </c>
      <c r="B3492" s="547" t="s">
        <v>5430</v>
      </c>
      <c r="C3492" s="554" t="s">
        <v>5303</v>
      </c>
      <c r="D3492" s="554" t="s">
        <v>8475</v>
      </c>
      <c r="E3492" s="554"/>
      <c r="F3492" s="571">
        <v>2</v>
      </c>
      <c r="G3492" s="572">
        <v>367.673</v>
      </c>
      <c r="H3492" s="545">
        <v>735.346</v>
      </c>
      <c r="I3492" s="554" t="s">
        <v>9218</v>
      </c>
      <c r="J3492" s="554" t="s">
        <v>9219</v>
      </c>
      <c r="K3492" s="554" t="s">
        <v>9219</v>
      </c>
      <c r="L3492" s="537" t="s">
        <v>2354</v>
      </c>
    </row>
    <row r="3493" spans="1:12" x14ac:dyDescent="0.2">
      <c r="A3493" s="570" t="s">
        <v>220</v>
      </c>
      <c r="B3493" s="547" t="s">
        <v>5430</v>
      </c>
      <c r="C3493" s="554" t="s">
        <v>7334</v>
      </c>
      <c r="D3493" s="554" t="s">
        <v>8476</v>
      </c>
      <c r="E3493" s="554"/>
      <c r="F3493" s="571">
        <v>3</v>
      </c>
      <c r="G3493" s="572">
        <v>426.077</v>
      </c>
      <c r="H3493" s="545">
        <v>1278.231</v>
      </c>
      <c r="I3493" s="554" t="s">
        <v>9218</v>
      </c>
      <c r="J3493" s="554" t="s">
        <v>9219</v>
      </c>
      <c r="K3493" s="554" t="s">
        <v>9219</v>
      </c>
      <c r="L3493" s="537" t="s">
        <v>2354</v>
      </c>
    </row>
    <row r="3494" spans="1:12" x14ac:dyDescent="0.2">
      <c r="A3494" s="570" t="s">
        <v>220</v>
      </c>
      <c r="B3494" s="547" t="s">
        <v>5430</v>
      </c>
      <c r="C3494" s="554" t="s">
        <v>5305</v>
      </c>
      <c r="D3494" s="554" t="s">
        <v>8477</v>
      </c>
      <c r="E3494" s="554"/>
      <c r="F3494" s="571">
        <v>1</v>
      </c>
      <c r="G3494" s="572">
        <v>529.03499999999997</v>
      </c>
      <c r="H3494" s="545">
        <v>529.03499999999997</v>
      </c>
      <c r="I3494" s="554" t="s">
        <v>9218</v>
      </c>
      <c r="J3494" s="554" t="s">
        <v>9219</v>
      </c>
      <c r="K3494" s="554" t="s">
        <v>9219</v>
      </c>
      <c r="L3494" s="537" t="s">
        <v>2354</v>
      </c>
    </row>
    <row r="3495" spans="1:12" x14ac:dyDescent="0.2">
      <c r="A3495" s="570" t="s">
        <v>220</v>
      </c>
      <c r="B3495" s="547" t="s">
        <v>5430</v>
      </c>
      <c r="C3495" s="554" t="s">
        <v>7336</v>
      </c>
      <c r="D3495" s="554" t="s">
        <v>8478</v>
      </c>
      <c r="E3495" s="554"/>
      <c r="F3495" s="571">
        <v>1</v>
      </c>
      <c r="G3495" s="572">
        <v>377.142</v>
      </c>
      <c r="H3495" s="545">
        <v>377.142</v>
      </c>
      <c r="I3495" s="554" t="s">
        <v>9218</v>
      </c>
      <c r="J3495" s="554" t="s">
        <v>9219</v>
      </c>
      <c r="K3495" s="554" t="s">
        <v>9219</v>
      </c>
      <c r="L3495" s="537" t="s">
        <v>2354</v>
      </c>
    </row>
    <row r="3496" spans="1:12" x14ac:dyDescent="0.2">
      <c r="A3496" s="570" t="s">
        <v>220</v>
      </c>
      <c r="B3496" s="547" t="s">
        <v>5430</v>
      </c>
      <c r="C3496" s="554" t="s">
        <v>5307</v>
      </c>
      <c r="D3496" s="554" t="s">
        <v>8479</v>
      </c>
      <c r="E3496" s="554"/>
      <c r="F3496" s="571">
        <v>1</v>
      </c>
      <c r="G3496" s="572">
        <v>646.53200000000004</v>
      </c>
      <c r="H3496" s="545">
        <v>646.53200000000004</v>
      </c>
      <c r="I3496" s="554" t="s">
        <v>9218</v>
      </c>
      <c r="J3496" s="554" t="s">
        <v>9219</v>
      </c>
      <c r="K3496" s="554" t="s">
        <v>9219</v>
      </c>
      <c r="L3496" s="537" t="s">
        <v>2354</v>
      </c>
    </row>
    <row r="3497" spans="1:12" x14ac:dyDescent="0.2">
      <c r="A3497" s="570" t="s">
        <v>220</v>
      </c>
      <c r="B3497" s="547" t="s">
        <v>5430</v>
      </c>
      <c r="C3497" s="554" t="s">
        <v>7338</v>
      </c>
      <c r="D3497" s="554" t="s">
        <v>8480</v>
      </c>
      <c r="E3497" s="554"/>
      <c r="F3497" s="571">
        <v>1</v>
      </c>
      <c r="G3497" s="572">
        <v>372.10500000000002</v>
      </c>
      <c r="H3497" s="545">
        <v>372.10500000000002</v>
      </c>
      <c r="I3497" s="554" t="s">
        <v>9218</v>
      </c>
      <c r="J3497" s="554" t="s">
        <v>9219</v>
      </c>
      <c r="K3497" s="554" t="s">
        <v>9219</v>
      </c>
      <c r="L3497" s="537" t="s">
        <v>2354</v>
      </c>
    </row>
    <row r="3498" spans="1:12" x14ac:dyDescent="0.2">
      <c r="A3498" s="570" t="s">
        <v>220</v>
      </c>
      <c r="B3498" s="547" t="s">
        <v>5430</v>
      </c>
      <c r="C3498" s="554" t="s">
        <v>7340</v>
      </c>
      <c r="D3498" s="554" t="s">
        <v>8481</v>
      </c>
      <c r="E3498" s="554"/>
      <c r="F3498" s="571">
        <v>1</v>
      </c>
      <c r="G3498" s="572">
        <v>1.681</v>
      </c>
      <c r="H3498" s="545">
        <v>1.681</v>
      </c>
      <c r="I3498" s="554" t="s">
        <v>9218</v>
      </c>
      <c r="J3498" s="554" t="s">
        <v>9219</v>
      </c>
      <c r="K3498" s="554" t="s">
        <v>9219</v>
      </c>
      <c r="L3498" s="537" t="s">
        <v>2354</v>
      </c>
    </row>
    <row r="3499" spans="1:12" x14ac:dyDescent="0.2">
      <c r="A3499" s="570" t="s">
        <v>220</v>
      </c>
      <c r="B3499" s="547" t="s">
        <v>5430</v>
      </c>
      <c r="C3499" s="554" t="s">
        <v>7342</v>
      </c>
      <c r="D3499" s="554" t="s">
        <v>7343</v>
      </c>
      <c r="E3499" s="554"/>
      <c r="F3499" s="571">
        <v>1</v>
      </c>
      <c r="G3499" s="572">
        <v>10.81</v>
      </c>
      <c r="H3499" s="545">
        <v>10.81</v>
      </c>
      <c r="I3499" s="554" t="s">
        <v>9218</v>
      </c>
      <c r="J3499" s="554" t="s">
        <v>9219</v>
      </c>
      <c r="K3499" s="554" t="s">
        <v>9219</v>
      </c>
      <c r="L3499" s="537" t="s">
        <v>2354</v>
      </c>
    </row>
    <row r="3500" spans="1:12" x14ac:dyDescent="0.2">
      <c r="A3500" s="570" t="s">
        <v>220</v>
      </c>
      <c r="B3500" s="547" t="s">
        <v>5430</v>
      </c>
      <c r="C3500" s="554" t="s">
        <v>8482</v>
      </c>
      <c r="D3500" s="554" t="s">
        <v>8483</v>
      </c>
      <c r="E3500" s="554"/>
      <c r="F3500" s="571">
        <v>27</v>
      </c>
      <c r="G3500" s="572">
        <v>5.6929999999999996</v>
      </c>
      <c r="H3500" s="545">
        <v>153.71099999999998</v>
      </c>
      <c r="I3500" s="554" t="s">
        <v>9218</v>
      </c>
      <c r="J3500" s="554" t="s">
        <v>9219</v>
      </c>
      <c r="K3500" s="554" t="s">
        <v>9219</v>
      </c>
      <c r="L3500" s="537" t="s">
        <v>2354</v>
      </c>
    </row>
    <row r="3501" spans="1:12" x14ac:dyDescent="0.2">
      <c r="A3501" s="570" t="s">
        <v>220</v>
      </c>
      <c r="B3501" s="547" t="s">
        <v>5430</v>
      </c>
      <c r="C3501" s="554" t="s">
        <v>7346</v>
      </c>
      <c r="D3501" s="554" t="s">
        <v>8484</v>
      </c>
      <c r="E3501" s="554"/>
      <c r="F3501" s="571">
        <v>4</v>
      </c>
      <c r="G3501" s="572">
        <v>14.1</v>
      </c>
      <c r="H3501" s="545">
        <v>56.4</v>
      </c>
      <c r="I3501" s="554" t="s">
        <v>9218</v>
      </c>
      <c r="J3501" s="554" t="s">
        <v>9219</v>
      </c>
      <c r="K3501" s="554" t="s">
        <v>9219</v>
      </c>
      <c r="L3501" s="537" t="s">
        <v>2354</v>
      </c>
    </row>
    <row r="3502" spans="1:12" x14ac:dyDescent="0.2">
      <c r="A3502" s="570" t="s">
        <v>220</v>
      </c>
      <c r="B3502" s="547" t="s">
        <v>5430</v>
      </c>
      <c r="C3502" s="554" t="s">
        <v>8485</v>
      </c>
      <c r="D3502" s="554" t="s">
        <v>8486</v>
      </c>
      <c r="E3502" s="554"/>
      <c r="F3502" s="571">
        <v>1</v>
      </c>
      <c r="G3502" s="572">
        <v>220.99</v>
      </c>
      <c r="H3502" s="545">
        <v>220.99</v>
      </c>
      <c r="I3502" s="554" t="s">
        <v>9218</v>
      </c>
      <c r="J3502" s="554" t="s">
        <v>9219</v>
      </c>
      <c r="K3502" s="554" t="s">
        <v>9219</v>
      </c>
      <c r="L3502" s="537" t="s">
        <v>2354</v>
      </c>
    </row>
    <row r="3503" spans="1:12" x14ac:dyDescent="0.2">
      <c r="A3503" s="570" t="s">
        <v>220</v>
      </c>
      <c r="B3503" s="547" t="s">
        <v>5430</v>
      </c>
      <c r="C3503" s="554" t="s">
        <v>8487</v>
      </c>
      <c r="D3503" s="554" t="s">
        <v>8488</v>
      </c>
      <c r="E3503" s="554"/>
      <c r="F3503" s="571">
        <v>19</v>
      </c>
      <c r="G3503" s="572">
        <v>13.166</v>
      </c>
      <c r="H3503" s="545">
        <v>250.154</v>
      </c>
      <c r="I3503" s="554" t="s">
        <v>9218</v>
      </c>
      <c r="J3503" s="554" t="s">
        <v>9219</v>
      </c>
      <c r="K3503" s="554" t="s">
        <v>9219</v>
      </c>
      <c r="L3503" s="537" t="s">
        <v>2354</v>
      </c>
    </row>
    <row r="3504" spans="1:12" x14ac:dyDescent="0.2">
      <c r="A3504" s="570" t="s">
        <v>220</v>
      </c>
      <c r="B3504" s="547" t="s">
        <v>5430</v>
      </c>
      <c r="C3504" s="554" t="s">
        <v>5544</v>
      </c>
      <c r="D3504" s="554" t="s">
        <v>8489</v>
      </c>
      <c r="E3504" s="554" t="s">
        <v>7558</v>
      </c>
      <c r="F3504" s="571">
        <v>5</v>
      </c>
      <c r="G3504" s="572">
        <v>3.218</v>
      </c>
      <c r="H3504" s="545">
        <v>16.09</v>
      </c>
      <c r="I3504" s="554" t="s">
        <v>9218</v>
      </c>
      <c r="J3504" s="554" t="s">
        <v>9219</v>
      </c>
      <c r="K3504" s="554" t="s">
        <v>9219</v>
      </c>
      <c r="L3504" s="537" t="s">
        <v>2354</v>
      </c>
    </row>
    <row r="3505" spans="1:12" x14ac:dyDescent="0.2">
      <c r="A3505" s="570" t="s">
        <v>220</v>
      </c>
      <c r="B3505" s="547" t="s">
        <v>5430</v>
      </c>
      <c r="C3505" s="554" t="s">
        <v>5678</v>
      </c>
      <c r="D3505" s="554" t="s">
        <v>8490</v>
      </c>
      <c r="E3505" s="554" t="s">
        <v>9526</v>
      </c>
      <c r="F3505" s="571">
        <v>7</v>
      </c>
      <c r="G3505" s="572">
        <v>105</v>
      </c>
      <c r="H3505" s="545">
        <v>735</v>
      </c>
      <c r="I3505" s="554" t="s">
        <v>9218</v>
      </c>
      <c r="J3505" s="554" t="s">
        <v>9219</v>
      </c>
      <c r="K3505" s="554" t="s">
        <v>9219</v>
      </c>
      <c r="L3505" s="537" t="s">
        <v>2354</v>
      </c>
    </row>
    <row r="3506" spans="1:12" x14ac:dyDescent="0.2">
      <c r="A3506" s="570" t="s">
        <v>220</v>
      </c>
      <c r="B3506" s="547" t="s">
        <v>5430</v>
      </c>
      <c r="C3506" s="554" t="s">
        <v>5680</v>
      </c>
      <c r="D3506" s="554" t="s">
        <v>8491</v>
      </c>
      <c r="E3506" s="554" t="s">
        <v>9526</v>
      </c>
      <c r="F3506" s="571">
        <v>16</v>
      </c>
      <c r="G3506" s="572">
        <v>8.7989999999999995</v>
      </c>
      <c r="H3506" s="545">
        <v>140.78399999999999</v>
      </c>
      <c r="I3506" s="554" t="s">
        <v>9218</v>
      </c>
      <c r="J3506" s="554" t="s">
        <v>9219</v>
      </c>
      <c r="K3506" s="554" t="s">
        <v>9219</v>
      </c>
      <c r="L3506" s="537" t="s">
        <v>2354</v>
      </c>
    </row>
    <row r="3507" spans="1:12" x14ac:dyDescent="0.2">
      <c r="A3507" s="570" t="s">
        <v>220</v>
      </c>
      <c r="B3507" s="547" t="s">
        <v>5430</v>
      </c>
      <c r="C3507" s="554" t="s">
        <v>2706</v>
      </c>
      <c r="D3507" s="554" t="s">
        <v>8492</v>
      </c>
      <c r="E3507" s="554" t="s">
        <v>9526</v>
      </c>
      <c r="F3507" s="571">
        <v>14</v>
      </c>
      <c r="G3507" s="572">
        <v>40.369999999999997</v>
      </c>
      <c r="H3507" s="545">
        <v>565.17999999999995</v>
      </c>
      <c r="I3507" s="554" t="s">
        <v>9218</v>
      </c>
      <c r="J3507" s="554" t="s">
        <v>9219</v>
      </c>
      <c r="K3507" s="554" t="s">
        <v>9219</v>
      </c>
      <c r="L3507" s="537" t="s">
        <v>2354</v>
      </c>
    </row>
    <row r="3508" spans="1:12" x14ac:dyDescent="0.2">
      <c r="A3508" s="570" t="s">
        <v>220</v>
      </c>
      <c r="B3508" s="547" t="s">
        <v>5430</v>
      </c>
      <c r="C3508" s="554" t="s">
        <v>5682</v>
      </c>
      <c r="D3508" s="554" t="s">
        <v>5683</v>
      </c>
      <c r="E3508" s="554" t="s">
        <v>9526</v>
      </c>
      <c r="F3508" s="571">
        <v>10</v>
      </c>
      <c r="G3508" s="572">
        <v>34.466999999999999</v>
      </c>
      <c r="H3508" s="545">
        <v>344.66999999999996</v>
      </c>
      <c r="I3508" s="554" t="s">
        <v>9218</v>
      </c>
      <c r="J3508" s="554" t="s">
        <v>9219</v>
      </c>
      <c r="K3508" s="554" t="s">
        <v>9219</v>
      </c>
      <c r="L3508" s="537" t="s">
        <v>2354</v>
      </c>
    </row>
    <row r="3509" spans="1:12" x14ac:dyDescent="0.2">
      <c r="A3509" s="570" t="s">
        <v>220</v>
      </c>
      <c r="B3509" s="547" t="s">
        <v>5430</v>
      </c>
      <c r="C3509" s="554" t="s">
        <v>2712</v>
      </c>
      <c r="D3509" s="554" t="s">
        <v>8493</v>
      </c>
      <c r="E3509" s="554" t="s">
        <v>9526</v>
      </c>
      <c r="F3509" s="571">
        <v>7</v>
      </c>
      <c r="G3509" s="572">
        <v>30.114000000000001</v>
      </c>
      <c r="H3509" s="545">
        <v>210.798</v>
      </c>
      <c r="I3509" s="554" t="s">
        <v>9218</v>
      </c>
      <c r="J3509" s="554" t="s">
        <v>9219</v>
      </c>
      <c r="K3509" s="554" t="s">
        <v>9219</v>
      </c>
      <c r="L3509" s="537" t="s">
        <v>2354</v>
      </c>
    </row>
    <row r="3510" spans="1:12" x14ac:dyDescent="0.2">
      <c r="A3510" s="570" t="s">
        <v>220</v>
      </c>
      <c r="B3510" s="547" t="s">
        <v>5430</v>
      </c>
      <c r="C3510" s="554" t="s">
        <v>8494</v>
      </c>
      <c r="D3510" s="554" t="s">
        <v>5685</v>
      </c>
      <c r="E3510" s="554" t="s">
        <v>9526</v>
      </c>
      <c r="F3510" s="571">
        <v>15</v>
      </c>
      <c r="G3510" s="572">
        <v>29.474</v>
      </c>
      <c r="H3510" s="545">
        <v>442.11</v>
      </c>
      <c r="I3510" s="554" t="s">
        <v>9218</v>
      </c>
      <c r="J3510" s="554" t="s">
        <v>9219</v>
      </c>
      <c r="K3510" s="554" t="s">
        <v>9219</v>
      </c>
      <c r="L3510" s="537" t="s">
        <v>2354</v>
      </c>
    </row>
    <row r="3511" spans="1:12" x14ac:dyDescent="0.2">
      <c r="A3511" s="570" t="s">
        <v>220</v>
      </c>
      <c r="B3511" s="547" t="s">
        <v>5430</v>
      </c>
      <c r="C3511" s="554" t="s">
        <v>2716</v>
      </c>
      <c r="D3511" s="554" t="s">
        <v>2717</v>
      </c>
      <c r="E3511" s="554" t="s">
        <v>9526</v>
      </c>
      <c r="F3511" s="571">
        <v>18</v>
      </c>
      <c r="G3511" s="572">
        <v>20.587</v>
      </c>
      <c r="H3511" s="545">
        <v>370.56599999999997</v>
      </c>
      <c r="I3511" s="554" t="s">
        <v>9218</v>
      </c>
      <c r="J3511" s="554" t="s">
        <v>9219</v>
      </c>
      <c r="K3511" s="554" t="s">
        <v>9219</v>
      </c>
      <c r="L3511" s="537" t="s">
        <v>2354</v>
      </c>
    </row>
    <row r="3512" spans="1:12" x14ac:dyDescent="0.2">
      <c r="A3512" s="570" t="s">
        <v>220</v>
      </c>
      <c r="B3512" s="547" t="s">
        <v>5430</v>
      </c>
      <c r="C3512" s="554" t="s">
        <v>2718</v>
      </c>
      <c r="D3512" s="554" t="s">
        <v>2719</v>
      </c>
      <c r="E3512" s="554" t="s">
        <v>9526</v>
      </c>
      <c r="F3512" s="571">
        <v>20</v>
      </c>
      <c r="G3512" s="572">
        <v>29.707999999999998</v>
      </c>
      <c r="H3512" s="545">
        <v>594.16</v>
      </c>
      <c r="I3512" s="554" t="s">
        <v>9218</v>
      </c>
      <c r="J3512" s="554" t="s">
        <v>9219</v>
      </c>
      <c r="K3512" s="554" t="s">
        <v>9219</v>
      </c>
      <c r="L3512" s="537" t="s">
        <v>2354</v>
      </c>
    </row>
    <row r="3513" spans="1:12" x14ac:dyDescent="0.2">
      <c r="A3513" s="570" t="s">
        <v>220</v>
      </c>
      <c r="B3513" s="547" t="s">
        <v>5430</v>
      </c>
      <c r="C3513" s="554"/>
      <c r="D3513" s="554" t="s">
        <v>9441</v>
      </c>
      <c r="E3513" s="554" t="s">
        <v>9526</v>
      </c>
      <c r="F3513" s="571">
        <v>15</v>
      </c>
      <c r="G3513" s="572">
        <v>3.1760000000000002</v>
      </c>
      <c r="H3513" s="545">
        <v>47.64</v>
      </c>
      <c r="I3513" s="554" t="s">
        <v>9218</v>
      </c>
      <c r="J3513" s="554" t="s">
        <v>9219</v>
      </c>
      <c r="K3513" s="554" t="s">
        <v>9219</v>
      </c>
      <c r="L3513" s="537" t="s">
        <v>2354</v>
      </c>
    </row>
    <row r="3514" spans="1:12" x14ac:dyDescent="0.2">
      <c r="A3514" s="570" t="s">
        <v>220</v>
      </c>
      <c r="B3514" s="547" t="s">
        <v>5430</v>
      </c>
      <c r="C3514" s="554"/>
      <c r="D3514" s="554" t="s">
        <v>9442</v>
      </c>
      <c r="E3514" s="554" t="s">
        <v>9526</v>
      </c>
      <c r="F3514" s="571">
        <v>10</v>
      </c>
      <c r="G3514" s="572">
        <v>8.6999999999999994E-2</v>
      </c>
      <c r="H3514" s="545">
        <v>0.86999999999999988</v>
      </c>
      <c r="I3514" s="554" t="s">
        <v>9218</v>
      </c>
      <c r="J3514" s="554" t="s">
        <v>9219</v>
      </c>
      <c r="K3514" s="554" t="s">
        <v>9219</v>
      </c>
      <c r="L3514" s="537" t="s">
        <v>2354</v>
      </c>
    </row>
    <row r="3515" spans="1:12" x14ac:dyDescent="0.2">
      <c r="A3515" s="570" t="s">
        <v>220</v>
      </c>
      <c r="B3515" s="547" t="s">
        <v>5430</v>
      </c>
      <c r="C3515" s="554"/>
      <c r="D3515" s="554" t="s">
        <v>9443</v>
      </c>
      <c r="E3515" s="554" t="s">
        <v>9526</v>
      </c>
      <c r="F3515" s="571">
        <v>5</v>
      </c>
      <c r="G3515" s="572">
        <v>1.0469999999999999</v>
      </c>
      <c r="H3515" s="545">
        <v>5.2349999999999994</v>
      </c>
      <c r="I3515" s="554" t="s">
        <v>9218</v>
      </c>
      <c r="J3515" s="554" t="s">
        <v>9219</v>
      </c>
      <c r="K3515" s="554" t="s">
        <v>9219</v>
      </c>
      <c r="L3515" s="537" t="s">
        <v>2354</v>
      </c>
    </row>
    <row r="3516" spans="1:12" x14ac:dyDescent="0.2">
      <c r="A3516" s="570" t="s">
        <v>220</v>
      </c>
      <c r="B3516" s="547" t="s">
        <v>5430</v>
      </c>
      <c r="C3516" s="554"/>
      <c r="D3516" s="554" t="s">
        <v>9444</v>
      </c>
      <c r="E3516" s="554" t="s">
        <v>9526</v>
      </c>
      <c r="F3516" s="571">
        <v>5</v>
      </c>
      <c r="G3516" s="572">
        <v>35.28</v>
      </c>
      <c r="H3516" s="545">
        <v>176.4</v>
      </c>
      <c r="I3516" s="554" t="s">
        <v>9218</v>
      </c>
      <c r="J3516" s="554" t="s">
        <v>9219</v>
      </c>
      <c r="K3516" s="554" t="s">
        <v>9219</v>
      </c>
      <c r="L3516" s="537" t="s">
        <v>2354</v>
      </c>
    </row>
    <row r="3517" spans="1:12" x14ac:dyDescent="0.2">
      <c r="A3517" s="570" t="s">
        <v>220</v>
      </c>
      <c r="B3517" s="547" t="s">
        <v>5430</v>
      </c>
      <c r="C3517" s="554"/>
      <c r="D3517" s="554" t="s">
        <v>9445</v>
      </c>
      <c r="E3517" s="554" t="s">
        <v>9526</v>
      </c>
      <c r="F3517" s="571">
        <v>5</v>
      </c>
      <c r="G3517" s="572">
        <v>1.96</v>
      </c>
      <c r="H3517" s="545">
        <v>9.8000000000000007</v>
      </c>
      <c r="I3517" s="554" t="s">
        <v>9218</v>
      </c>
      <c r="J3517" s="554" t="s">
        <v>9219</v>
      </c>
      <c r="K3517" s="554" t="s">
        <v>9219</v>
      </c>
      <c r="L3517" s="537" t="s">
        <v>2354</v>
      </c>
    </row>
    <row r="3518" spans="1:12" x14ac:dyDescent="0.2">
      <c r="A3518" s="570" t="s">
        <v>220</v>
      </c>
      <c r="B3518" s="547" t="s">
        <v>5430</v>
      </c>
      <c r="C3518" s="554"/>
      <c r="D3518" s="554" t="s">
        <v>9446</v>
      </c>
      <c r="E3518" s="554" t="s">
        <v>9526</v>
      </c>
      <c r="F3518" s="571">
        <v>5</v>
      </c>
      <c r="G3518" s="572">
        <v>3.0259999999999998</v>
      </c>
      <c r="H3518" s="545">
        <v>15.129999999999999</v>
      </c>
      <c r="I3518" s="554" t="s">
        <v>9218</v>
      </c>
      <c r="J3518" s="554" t="s">
        <v>9219</v>
      </c>
      <c r="K3518" s="554" t="s">
        <v>9219</v>
      </c>
      <c r="L3518" s="537" t="s">
        <v>2354</v>
      </c>
    </row>
    <row r="3519" spans="1:12" x14ac:dyDescent="0.2">
      <c r="A3519" s="570" t="s">
        <v>220</v>
      </c>
      <c r="B3519" s="547" t="s">
        <v>5430</v>
      </c>
      <c r="C3519" s="554"/>
      <c r="D3519" s="554" t="s">
        <v>9447</v>
      </c>
      <c r="E3519" s="554" t="s">
        <v>9526</v>
      </c>
      <c r="F3519" s="571">
        <v>4</v>
      </c>
      <c r="G3519" s="572">
        <v>5.3849999999999998</v>
      </c>
      <c r="H3519" s="545">
        <v>21.54</v>
      </c>
      <c r="I3519" s="554" t="s">
        <v>9218</v>
      </c>
      <c r="J3519" s="554" t="s">
        <v>9219</v>
      </c>
      <c r="K3519" s="554" t="s">
        <v>9219</v>
      </c>
      <c r="L3519" s="537" t="s">
        <v>2354</v>
      </c>
    </row>
    <row r="3520" spans="1:12" x14ac:dyDescent="0.2">
      <c r="A3520" s="570" t="s">
        <v>220</v>
      </c>
      <c r="B3520" s="547" t="s">
        <v>5430</v>
      </c>
      <c r="C3520" s="554"/>
      <c r="D3520" s="554" t="s">
        <v>9448</v>
      </c>
      <c r="E3520" s="554" t="s">
        <v>9526</v>
      </c>
      <c r="F3520" s="571">
        <v>5</v>
      </c>
      <c r="G3520" s="572">
        <v>5.1589999999999998</v>
      </c>
      <c r="H3520" s="545">
        <v>25.794999999999998</v>
      </c>
      <c r="I3520" s="554" t="s">
        <v>9218</v>
      </c>
      <c r="J3520" s="554" t="s">
        <v>9219</v>
      </c>
      <c r="K3520" s="554" t="s">
        <v>9219</v>
      </c>
      <c r="L3520" s="537" t="s">
        <v>2354</v>
      </c>
    </row>
    <row r="3521" spans="1:12" x14ac:dyDescent="0.2">
      <c r="A3521" s="570" t="s">
        <v>220</v>
      </c>
      <c r="B3521" s="547" t="s">
        <v>5430</v>
      </c>
      <c r="C3521" s="554"/>
      <c r="D3521" s="554" t="s">
        <v>9449</v>
      </c>
      <c r="E3521" s="554" t="s">
        <v>9526</v>
      </c>
      <c r="F3521" s="571">
        <v>5</v>
      </c>
      <c r="G3521" s="572">
        <v>13.534000000000001</v>
      </c>
      <c r="H3521" s="545">
        <v>67.67</v>
      </c>
      <c r="I3521" s="554" t="s">
        <v>9218</v>
      </c>
      <c r="J3521" s="554" t="s">
        <v>9219</v>
      </c>
      <c r="K3521" s="554" t="s">
        <v>9219</v>
      </c>
      <c r="L3521" s="537" t="s">
        <v>2354</v>
      </c>
    </row>
    <row r="3522" spans="1:12" x14ac:dyDescent="0.2">
      <c r="A3522" s="570" t="s">
        <v>220</v>
      </c>
      <c r="B3522" s="547" t="s">
        <v>5430</v>
      </c>
      <c r="C3522" s="554" t="s">
        <v>2720</v>
      </c>
      <c r="D3522" s="554" t="s">
        <v>2721</v>
      </c>
      <c r="E3522" s="554" t="s">
        <v>9526</v>
      </c>
      <c r="F3522" s="571">
        <v>20</v>
      </c>
      <c r="G3522" s="572">
        <v>17.7</v>
      </c>
      <c r="H3522" s="545">
        <v>354</v>
      </c>
      <c r="I3522" s="554" t="s">
        <v>9218</v>
      </c>
      <c r="J3522" s="554" t="s">
        <v>9219</v>
      </c>
      <c r="K3522" s="554" t="s">
        <v>9219</v>
      </c>
      <c r="L3522" s="537" t="s">
        <v>2354</v>
      </c>
    </row>
    <row r="3523" spans="1:12" x14ac:dyDescent="0.2">
      <c r="A3523" s="570" t="s">
        <v>220</v>
      </c>
      <c r="B3523" s="547" t="s">
        <v>5430</v>
      </c>
      <c r="C3523" s="554" t="s">
        <v>2722</v>
      </c>
      <c r="D3523" s="554" t="s">
        <v>2723</v>
      </c>
      <c r="E3523" s="554" t="s">
        <v>9526</v>
      </c>
      <c r="F3523" s="571">
        <v>25</v>
      </c>
      <c r="G3523" s="572">
        <v>18.088000000000001</v>
      </c>
      <c r="H3523" s="545">
        <v>452.20000000000005</v>
      </c>
      <c r="I3523" s="554" t="s">
        <v>9218</v>
      </c>
      <c r="J3523" s="554" t="s">
        <v>9219</v>
      </c>
      <c r="K3523" s="554" t="s">
        <v>9219</v>
      </c>
      <c r="L3523" s="537" t="s">
        <v>2354</v>
      </c>
    </row>
    <row r="3524" spans="1:12" x14ac:dyDescent="0.2">
      <c r="A3524" s="570" t="s">
        <v>220</v>
      </c>
      <c r="B3524" s="547" t="s">
        <v>5430</v>
      </c>
      <c r="C3524" s="554"/>
      <c r="D3524" s="554" t="s">
        <v>9450</v>
      </c>
      <c r="E3524" s="554" t="s">
        <v>9526</v>
      </c>
      <c r="F3524" s="571">
        <v>10</v>
      </c>
      <c r="G3524" s="572">
        <v>52.5</v>
      </c>
      <c r="H3524" s="545">
        <v>525</v>
      </c>
      <c r="I3524" s="554" t="s">
        <v>9218</v>
      </c>
      <c r="J3524" s="554" t="s">
        <v>9219</v>
      </c>
      <c r="K3524" s="554" t="s">
        <v>9219</v>
      </c>
      <c r="L3524" s="537" t="s">
        <v>2354</v>
      </c>
    </row>
    <row r="3525" spans="1:12" x14ac:dyDescent="0.2">
      <c r="A3525" s="570" t="s">
        <v>220</v>
      </c>
      <c r="B3525" s="547" t="s">
        <v>5430</v>
      </c>
      <c r="C3525" s="554" t="s">
        <v>2724</v>
      </c>
      <c r="D3525" s="554" t="s">
        <v>2725</v>
      </c>
      <c r="E3525" s="554" t="s">
        <v>9526</v>
      </c>
      <c r="F3525" s="571">
        <v>14</v>
      </c>
      <c r="G3525" s="572">
        <v>36.405000000000001</v>
      </c>
      <c r="H3525" s="545">
        <v>509.67</v>
      </c>
      <c r="I3525" s="554" t="s">
        <v>9218</v>
      </c>
      <c r="J3525" s="554" t="s">
        <v>9219</v>
      </c>
      <c r="K3525" s="554" t="s">
        <v>9219</v>
      </c>
      <c r="L3525" s="537" t="s">
        <v>2354</v>
      </c>
    </row>
    <row r="3526" spans="1:12" x14ac:dyDescent="0.2">
      <c r="A3526" s="570" t="s">
        <v>220</v>
      </c>
      <c r="B3526" s="547" t="s">
        <v>5430</v>
      </c>
      <c r="C3526" s="554" t="s">
        <v>2726</v>
      </c>
      <c r="D3526" s="554" t="s">
        <v>2727</v>
      </c>
      <c r="E3526" s="554" t="s">
        <v>9526</v>
      </c>
      <c r="F3526" s="571">
        <v>8.6999999999999993</v>
      </c>
      <c r="G3526" s="572">
        <v>48.222000000000001</v>
      </c>
      <c r="H3526" s="545">
        <v>419.53139999999996</v>
      </c>
      <c r="I3526" s="554" t="s">
        <v>9218</v>
      </c>
      <c r="J3526" s="554" t="s">
        <v>9219</v>
      </c>
      <c r="K3526" s="554" t="s">
        <v>9219</v>
      </c>
      <c r="L3526" s="537" t="s">
        <v>2354</v>
      </c>
    </row>
    <row r="3527" spans="1:12" x14ac:dyDescent="0.2">
      <c r="A3527" s="570" t="s">
        <v>220</v>
      </c>
      <c r="B3527" s="547" t="s">
        <v>5430</v>
      </c>
      <c r="C3527" s="554" t="s">
        <v>5787</v>
      </c>
      <c r="D3527" s="554" t="s">
        <v>5788</v>
      </c>
      <c r="E3527" s="554" t="s">
        <v>9526</v>
      </c>
      <c r="F3527" s="571">
        <v>100</v>
      </c>
      <c r="G3527" s="572">
        <v>2.0499999999999998</v>
      </c>
      <c r="H3527" s="545">
        <v>204.99999999999997</v>
      </c>
      <c r="I3527" s="554" t="s">
        <v>9218</v>
      </c>
      <c r="J3527" s="554" t="s">
        <v>9219</v>
      </c>
      <c r="K3527" s="554" t="s">
        <v>9219</v>
      </c>
      <c r="L3527" s="537" t="s">
        <v>2354</v>
      </c>
    </row>
    <row r="3528" spans="1:12" x14ac:dyDescent="0.2">
      <c r="A3528" s="570" t="s">
        <v>220</v>
      </c>
      <c r="B3528" s="547" t="s">
        <v>5430</v>
      </c>
      <c r="C3528" s="554" t="s">
        <v>3145</v>
      </c>
      <c r="D3528" s="554" t="s">
        <v>8495</v>
      </c>
      <c r="E3528" s="554"/>
      <c r="F3528" s="571">
        <v>48</v>
      </c>
      <c r="G3528" s="572">
        <v>3.306</v>
      </c>
      <c r="H3528" s="545">
        <v>158.68799999999999</v>
      </c>
      <c r="I3528" s="554" t="s">
        <v>9218</v>
      </c>
      <c r="J3528" s="554" t="s">
        <v>9219</v>
      </c>
      <c r="K3528" s="554" t="s">
        <v>9219</v>
      </c>
      <c r="L3528" s="537" t="s">
        <v>2354</v>
      </c>
    </row>
    <row r="3529" spans="1:12" x14ac:dyDescent="0.2">
      <c r="A3529" s="570" t="s">
        <v>220</v>
      </c>
      <c r="B3529" s="547" t="s">
        <v>5430</v>
      </c>
      <c r="C3529" s="554" t="s">
        <v>6234</v>
      </c>
      <c r="D3529" s="554" t="s">
        <v>8496</v>
      </c>
      <c r="E3529" s="554"/>
      <c r="F3529" s="571">
        <v>30</v>
      </c>
      <c r="G3529" s="572">
        <v>3.3170000000000002</v>
      </c>
      <c r="H3529" s="545">
        <v>99.51</v>
      </c>
      <c r="I3529" s="554" t="s">
        <v>9218</v>
      </c>
      <c r="J3529" s="554" t="s">
        <v>9219</v>
      </c>
      <c r="K3529" s="554" t="s">
        <v>9219</v>
      </c>
      <c r="L3529" s="537" t="s">
        <v>2354</v>
      </c>
    </row>
    <row r="3530" spans="1:12" x14ac:dyDescent="0.2">
      <c r="A3530" s="570" t="s">
        <v>220</v>
      </c>
      <c r="B3530" s="547" t="s">
        <v>5430</v>
      </c>
      <c r="C3530" s="554" t="s">
        <v>3149</v>
      </c>
      <c r="D3530" s="554" t="s">
        <v>8497</v>
      </c>
      <c r="E3530" s="554"/>
      <c r="F3530" s="571">
        <v>52</v>
      </c>
      <c r="G3530" s="572">
        <v>1.631</v>
      </c>
      <c r="H3530" s="545">
        <v>84.811999999999998</v>
      </c>
      <c r="I3530" s="554" t="s">
        <v>9218</v>
      </c>
      <c r="J3530" s="554" t="s">
        <v>9219</v>
      </c>
      <c r="K3530" s="554" t="s">
        <v>9219</v>
      </c>
      <c r="L3530" s="537" t="s">
        <v>2354</v>
      </c>
    </row>
    <row r="3531" spans="1:12" x14ac:dyDescent="0.2">
      <c r="A3531" s="570" t="s">
        <v>220</v>
      </c>
      <c r="B3531" s="547" t="s">
        <v>5430</v>
      </c>
      <c r="C3531" s="554" t="s">
        <v>3153</v>
      </c>
      <c r="D3531" s="554" t="s">
        <v>8498</v>
      </c>
      <c r="E3531" s="554"/>
      <c r="F3531" s="571">
        <v>20</v>
      </c>
      <c r="G3531" s="572">
        <v>4.1769999999999996</v>
      </c>
      <c r="H3531" s="545">
        <v>83.539999999999992</v>
      </c>
      <c r="I3531" s="554" t="s">
        <v>9218</v>
      </c>
      <c r="J3531" s="554" t="s">
        <v>9219</v>
      </c>
      <c r="K3531" s="554" t="s">
        <v>9219</v>
      </c>
      <c r="L3531" s="537" t="s">
        <v>2354</v>
      </c>
    </row>
    <row r="3532" spans="1:12" x14ac:dyDescent="0.2">
      <c r="A3532" s="570" t="s">
        <v>220</v>
      </c>
      <c r="B3532" s="547" t="s">
        <v>5430</v>
      </c>
      <c r="C3532" s="554" t="s">
        <v>6235</v>
      </c>
      <c r="D3532" s="554" t="s">
        <v>8499</v>
      </c>
      <c r="E3532" s="554"/>
      <c r="F3532" s="571">
        <v>1</v>
      </c>
      <c r="G3532" s="572">
        <v>8.5250000000000004</v>
      </c>
      <c r="H3532" s="545">
        <v>8.5250000000000004</v>
      </c>
      <c r="I3532" s="554" t="s">
        <v>9218</v>
      </c>
      <c r="J3532" s="554" t="s">
        <v>9219</v>
      </c>
      <c r="K3532" s="554" t="s">
        <v>9219</v>
      </c>
      <c r="L3532" s="537" t="s">
        <v>2354</v>
      </c>
    </row>
    <row r="3533" spans="1:12" x14ac:dyDescent="0.2">
      <c r="A3533" s="570" t="s">
        <v>220</v>
      </c>
      <c r="B3533" s="547" t="s">
        <v>5430</v>
      </c>
      <c r="C3533" s="554" t="s">
        <v>6237</v>
      </c>
      <c r="D3533" s="554" t="s">
        <v>8500</v>
      </c>
      <c r="E3533" s="554"/>
      <c r="F3533" s="571">
        <v>23</v>
      </c>
      <c r="G3533" s="572">
        <v>8.702</v>
      </c>
      <c r="H3533" s="545">
        <v>200.14599999999999</v>
      </c>
      <c r="I3533" s="554" t="s">
        <v>9218</v>
      </c>
      <c r="J3533" s="554" t="s">
        <v>9219</v>
      </c>
      <c r="K3533" s="554" t="s">
        <v>9219</v>
      </c>
      <c r="L3533" s="537" t="s">
        <v>2354</v>
      </c>
    </row>
    <row r="3534" spans="1:12" x14ac:dyDescent="0.2">
      <c r="A3534" s="570" t="s">
        <v>220</v>
      </c>
      <c r="B3534" s="547" t="s">
        <v>5430</v>
      </c>
      <c r="C3534" s="554" t="s">
        <v>6239</v>
      </c>
      <c r="D3534" s="554" t="s">
        <v>8501</v>
      </c>
      <c r="E3534" s="554"/>
      <c r="F3534" s="571">
        <v>10</v>
      </c>
      <c r="G3534" s="572">
        <v>13.973000000000001</v>
      </c>
      <c r="H3534" s="545">
        <v>139.73000000000002</v>
      </c>
      <c r="I3534" s="554" t="s">
        <v>9218</v>
      </c>
      <c r="J3534" s="554" t="s">
        <v>9219</v>
      </c>
      <c r="K3534" s="554" t="s">
        <v>9219</v>
      </c>
      <c r="L3534" s="537" t="s">
        <v>2354</v>
      </c>
    </row>
    <row r="3535" spans="1:12" x14ac:dyDescent="0.2">
      <c r="A3535" s="570" t="s">
        <v>220</v>
      </c>
      <c r="B3535" s="547" t="s">
        <v>5430</v>
      </c>
      <c r="C3535" s="554" t="s">
        <v>6241</v>
      </c>
      <c r="D3535" s="554" t="s">
        <v>8502</v>
      </c>
      <c r="E3535" s="554"/>
      <c r="F3535" s="571">
        <v>16</v>
      </c>
      <c r="G3535" s="572">
        <v>4.7530000000000001</v>
      </c>
      <c r="H3535" s="545">
        <v>76.048000000000002</v>
      </c>
      <c r="I3535" s="554" t="s">
        <v>9218</v>
      </c>
      <c r="J3535" s="554" t="s">
        <v>9219</v>
      </c>
      <c r="K3535" s="554" t="s">
        <v>9219</v>
      </c>
      <c r="L3535" s="537" t="s">
        <v>2354</v>
      </c>
    </row>
    <row r="3536" spans="1:12" x14ac:dyDescent="0.2">
      <c r="A3536" s="570" t="s">
        <v>220</v>
      </c>
      <c r="B3536" s="547" t="s">
        <v>5430</v>
      </c>
      <c r="C3536" s="554" t="s">
        <v>6243</v>
      </c>
      <c r="D3536" s="554" t="s">
        <v>8503</v>
      </c>
      <c r="E3536" s="554"/>
      <c r="F3536" s="571">
        <v>3</v>
      </c>
      <c r="G3536" s="572">
        <v>1.89</v>
      </c>
      <c r="H3536" s="545">
        <v>5.67</v>
      </c>
      <c r="I3536" s="554" t="s">
        <v>9218</v>
      </c>
      <c r="J3536" s="554" t="s">
        <v>9219</v>
      </c>
      <c r="K3536" s="554" t="s">
        <v>9219</v>
      </c>
      <c r="L3536" s="537" t="s">
        <v>2354</v>
      </c>
    </row>
    <row r="3537" spans="1:12" x14ac:dyDescent="0.2">
      <c r="A3537" s="570" t="s">
        <v>220</v>
      </c>
      <c r="B3537" s="547" t="s">
        <v>5430</v>
      </c>
      <c r="C3537" s="554" t="s">
        <v>6245</v>
      </c>
      <c r="D3537" s="554" t="s">
        <v>8504</v>
      </c>
      <c r="E3537" s="554"/>
      <c r="F3537" s="571">
        <v>7</v>
      </c>
      <c r="G3537" s="572">
        <v>45.441000000000003</v>
      </c>
      <c r="H3537" s="545">
        <v>318.08699999999999</v>
      </c>
      <c r="I3537" s="554" t="s">
        <v>9218</v>
      </c>
      <c r="J3537" s="554" t="s">
        <v>9219</v>
      </c>
      <c r="K3537" s="554" t="s">
        <v>9219</v>
      </c>
      <c r="L3537" s="537" t="s">
        <v>2354</v>
      </c>
    </row>
    <row r="3538" spans="1:12" x14ac:dyDescent="0.2">
      <c r="A3538" s="570" t="s">
        <v>220</v>
      </c>
      <c r="B3538" s="547" t="s">
        <v>5430</v>
      </c>
      <c r="C3538" s="554" t="s">
        <v>6247</v>
      </c>
      <c r="D3538" s="554" t="s">
        <v>8505</v>
      </c>
      <c r="E3538" s="554"/>
      <c r="F3538" s="571">
        <v>22</v>
      </c>
      <c r="G3538" s="572">
        <v>8.4109999999999996</v>
      </c>
      <c r="H3538" s="545">
        <v>185.042</v>
      </c>
      <c r="I3538" s="554" t="s">
        <v>9218</v>
      </c>
      <c r="J3538" s="554" t="s">
        <v>9219</v>
      </c>
      <c r="K3538" s="554" t="s">
        <v>9219</v>
      </c>
      <c r="L3538" s="537" t="s">
        <v>2354</v>
      </c>
    </row>
    <row r="3539" spans="1:12" x14ac:dyDescent="0.2">
      <c r="A3539" s="570" t="s">
        <v>220</v>
      </c>
      <c r="B3539" s="547" t="s">
        <v>5430</v>
      </c>
      <c r="C3539" s="554" t="s">
        <v>8506</v>
      </c>
      <c r="D3539" s="554" t="s">
        <v>8507</v>
      </c>
      <c r="E3539" s="554"/>
      <c r="F3539" s="571">
        <v>1</v>
      </c>
      <c r="G3539" s="572">
        <v>17.094000000000001</v>
      </c>
      <c r="H3539" s="545">
        <v>17.094000000000001</v>
      </c>
      <c r="I3539" s="554" t="s">
        <v>9218</v>
      </c>
      <c r="J3539" s="554" t="s">
        <v>9219</v>
      </c>
      <c r="K3539" s="554" t="s">
        <v>9219</v>
      </c>
      <c r="L3539" s="537" t="s">
        <v>2354</v>
      </c>
    </row>
    <row r="3540" spans="1:12" x14ac:dyDescent="0.2">
      <c r="A3540" s="570" t="s">
        <v>220</v>
      </c>
      <c r="B3540" s="547" t="s">
        <v>5430</v>
      </c>
      <c r="C3540" s="554" t="s">
        <v>6249</v>
      </c>
      <c r="D3540" s="554" t="s">
        <v>8508</v>
      </c>
      <c r="E3540" s="554"/>
      <c r="F3540" s="571">
        <v>35</v>
      </c>
      <c r="G3540" s="572">
        <v>2.8570000000000002</v>
      </c>
      <c r="H3540" s="545">
        <v>99.995000000000005</v>
      </c>
      <c r="I3540" s="554" t="s">
        <v>9218</v>
      </c>
      <c r="J3540" s="554" t="s">
        <v>9219</v>
      </c>
      <c r="K3540" s="554" t="s">
        <v>9219</v>
      </c>
      <c r="L3540" s="537" t="s">
        <v>2354</v>
      </c>
    </row>
    <row r="3541" spans="1:12" x14ac:dyDescent="0.2">
      <c r="A3541" s="570" t="s">
        <v>220</v>
      </c>
      <c r="B3541" s="547" t="s">
        <v>5430</v>
      </c>
      <c r="C3541" s="554" t="s">
        <v>3165</v>
      </c>
      <c r="D3541" s="554" t="s">
        <v>8509</v>
      </c>
      <c r="E3541" s="554"/>
      <c r="F3541" s="571">
        <v>40</v>
      </c>
      <c r="G3541" s="572">
        <v>0.67500000000000004</v>
      </c>
      <c r="H3541" s="545">
        <v>27</v>
      </c>
      <c r="I3541" s="554" t="s">
        <v>9218</v>
      </c>
      <c r="J3541" s="554" t="s">
        <v>9219</v>
      </c>
      <c r="K3541" s="554" t="s">
        <v>9219</v>
      </c>
      <c r="L3541" s="537" t="s">
        <v>2354</v>
      </c>
    </row>
    <row r="3542" spans="1:12" x14ac:dyDescent="0.2">
      <c r="A3542" s="570" t="s">
        <v>220</v>
      </c>
      <c r="B3542" s="547" t="s">
        <v>5430</v>
      </c>
      <c r="C3542" s="554" t="s">
        <v>6253</v>
      </c>
      <c r="D3542" s="554" t="s">
        <v>8510</v>
      </c>
      <c r="E3542" s="554"/>
      <c r="F3542" s="571">
        <v>1</v>
      </c>
      <c r="G3542" s="572">
        <v>35.167999999999999</v>
      </c>
      <c r="H3542" s="545">
        <v>35.167999999999999</v>
      </c>
      <c r="I3542" s="554" t="s">
        <v>9218</v>
      </c>
      <c r="J3542" s="554" t="s">
        <v>9219</v>
      </c>
      <c r="K3542" s="554" t="s">
        <v>9219</v>
      </c>
      <c r="L3542" s="537" t="s">
        <v>2354</v>
      </c>
    </row>
    <row r="3543" spans="1:12" x14ac:dyDescent="0.2">
      <c r="A3543" s="570" t="s">
        <v>220</v>
      </c>
      <c r="B3543" s="547" t="s">
        <v>5430</v>
      </c>
      <c r="C3543" s="554" t="s">
        <v>3167</v>
      </c>
      <c r="D3543" s="554" t="s">
        <v>8511</v>
      </c>
      <c r="E3543" s="554"/>
      <c r="F3543" s="571">
        <v>1</v>
      </c>
      <c r="G3543" s="572">
        <v>57.436999999999998</v>
      </c>
      <c r="H3543" s="545">
        <v>57.436999999999998</v>
      </c>
      <c r="I3543" s="554" t="s">
        <v>9218</v>
      </c>
      <c r="J3543" s="554" t="s">
        <v>9219</v>
      </c>
      <c r="K3543" s="554" t="s">
        <v>9219</v>
      </c>
      <c r="L3543" s="537" t="s">
        <v>2354</v>
      </c>
    </row>
    <row r="3544" spans="1:12" x14ac:dyDescent="0.2">
      <c r="A3544" s="570" t="s">
        <v>220</v>
      </c>
      <c r="B3544" s="547" t="s">
        <v>5430</v>
      </c>
      <c r="C3544" s="554" t="s">
        <v>6255</v>
      </c>
      <c r="D3544" s="554" t="s">
        <v>8512</v>
      </c>
      <c r="E3544" s="554"/>
      <c r="F3544" s="571">
        <v>1</v>
      </c>
      <c r="G3544" s="572">
        <v>35.167999999999999</v>
      </c>
      <c r="H3544" s="545">
        <v>35.167999999999999</v>
      </c>
      <c r="I3544" s="554" t="s">
        <v>9218</v>
      </c>
      <c r="J3544" s="554" t="s">
        <v>9219</v>
      </c>
      <c r="K3544" s="554" t="s">
        <v>9219</v>
      </c>
      <c r="L3544" s="537" t="s">
        <v>2354</v>
      </c>
    </row>
    <row r="3545" spans="1:12" x14ac:dyDescent="0.2">
      <c r="A3545" s="570" t="s">
        <v>220</v>
      </c>
      <c r="B3545" s="547" t="s">
        <v>5430</v>
      </c>
      <c r="C3545" s="554" t="s">
        <v>6257</v>
      </c>
      <c r="D3545" s="554" t="s">
        <v>8513</v>
      </c>
      <c r="E3545" s="554"/>
      <c r="F3545" s="571">
        <v>2</v>
      </c>
      <c r="G3545" s="572">
        <v>48.454000000000001</v>
      </c>
      <c r="H3545" s="545">
        <v>96.908000000000001</v>
      </c>
      <c r="I3545" s="554" t="s">
        <v>9218</v>
      </c>
      <c r="J3545" s="554" t="s">
        <v>9219</v>
      </c>
      <c r="K3545" s="554" t="s">
        <v>9219</v>
      </c>
      <c r="L3545" s="537" t="s">
        <v>2354</v>
      </c>
    </row>
    <row r="3546" spans="1:12" x14ac:dyDescent="0.2">
      <c r="A3546" s="570" t="s">
        <v>220</v>
      </c>
      <c r="B3546" s="547" t="s">
        <v>5430</v>
      </c>
      <c r="C3546" s="554" t="s">
        <v>6259</v>
      </c>
      <c r="D3546" s="554" t="s">
        <v>8514</v>
      </c>
      <c r="E3546" s="554"/>
      <c r="F3546" s="571">
        <v>2</v>
      </c>
      <c r="G3546" s="572">
        <v>48.454000000000001</v>
      </c>
      <c r="H3546" s="545">
        <v>96.908000000000001</v>
      </c>
      <c r="I3546" s="554" t="s">
        <v>9218</v>
      </c>
      <c r="J3546" s="554" t="s">
        <v>9219</v>
      </c>
      <c r="K3546" s="554" t="s">
        <v>9219</v>
      </c>
      <c r="L3546" s="537" t="s">
        <v>2354</v>
      </c>
    </row>
    <row r="3547" spans="1:12" x14ac:dyDescent="0.2">
      <c r="A3547" s="570" t="s">
        <v>220</v>
      </c>
      <c r="B3547" s="547" t="s">
        <v>5430</v>
      </c>
      <c r="C3547" s="554" t="s">
        <v>6261</v>
      </c>
      <c r="D3547" s="554" t="s">
        <v>8515</v>
      </c>
      <c r="E3547" s="554"/>
      <c r="F3547" s="571">
        <v>2</v>
      </c>
      <c r="G3547" s="572">
        <v>58.637</v>
      </c>
      <c r="H3547" s="545">
        <v>117.274</v>
      </c>
      <c r="I3547" s="554" t="s">
        <v>9218</v>
      </c>
      <c r="J3547" s="554" t="s">
        <v>9219</v>
      </c>
      <c r="K3547" s="554" t="s">
        <v>9219</v>
      </c>
      <c r="L3547" s="537" t="s">
        <v>2354</v>
      </c>
    </row>
    <row r="3548" spans="1:12" x14ac:dyDescent="0.2">
      <c r="A3548" s="570" t="s">
        <v>220</v>
      </c>
      <c r="B3548" s="547" t="s">
        <v>5430</v>
      </c>
      <c r="C3548" s="554" t="s">
        <v>5452</v>
      </c>
      <c r="D3548" s="554" t="s">
        <v>8516</v>
      </c>
      <c r="E3548" s="554"/>
      <c r="F3548" s="571">
        <v>1</v>
      </c>
      <c r="G3548" s="572">
        <v>1.8</v>
      </c>
      <c r="H3548" s="545">
        <v>1.8</v>
      </c>
      <c r="I3548" s="554" t="s">
        <v>9218</v>
      </c>
      <c r="J3548" s="554" t="s">
        <v>9219</v>
      </c>
      <c r="K3548" s="554" t="s">
        <v>9219</v>
      </c>
      <c r="L3548" s="537" t="s">
        <v>2354</v>
      </c>
    </row>
    <row r="3549" spans="1:12" x14ac:dyDescent="0.2">
      <c r="A3549" s="570" t="s">
        <v>220</v>
      </c>
      <c r="B3549" s="547" t="s">
        <v>5430</v>
      </c>
      <c r="C3549" s="554" t="s">
        <v>6263</v>
      </c>
      <c r="D3549" s="554" t="s">
        <v>8517</v>
      </c>
      <c r="E3549" s="554"/>
      <c r="F3549" s="571">
        <v>3</v>
      </c>
      <c r="G3549" s="572">
        <v>113.399</v>
      </c>
      <c r="H3549" s="545">
        <v>340.197</v>
      </c>
      <c r="I3549" s="554" t="s">
        <v>9218</v>
      </c>
      <c r="J3549" s="554" t="s">
        <v>9219</v>
      </c>
      <c r="K3549" s="554" t="s">
        <v>9219</v>
      </c>
      <c r="L3549" s="537" t="s">
        <v>2354</v>
      </c>
    </row>
    <row r="3550" spans="1:12" x14ac:dyDescent="0.2">
      <c r="A3550" s="570" t="s">
        <v>220</v>
      </c>
      <c r="B3550" s="547" t="s">
        <v>5430</v>
      </c>
      <c r="C3550" s="554" t="s">
        <v>3203</v>
      </c>
      <c r="D3550" s="554" t="s">
        <v>8518</v>
      </c>
      <c r="E3550" s="554"/>
      <c r="F3550" s="571">
        <v>37</v>
      </c>
      <c r="G3550" s="572">
        <v>0.58699999999999997</v>
      </c>
      <c r="H3550" s="545">
        <v>21.718999999999998</v>
      </c>
      <c r="I3550" s="554" t="s">
        <v>9218</v>
      </c>
      <c r="J3550" s="554" t="s">
        <v>9219</v>
      </c>
      <c r="K3550" s="554" t="s">
        <v>9219</v>
      </c>
      <c r="L3550" s="537" t="s">
        <v>2354</v>
      </c>
    </row>
    <row r="3551" spans="1:12" x14ac:dyDescent="0.2">
      <c r="A3551" s="570" t="s">
        <v>220</v>
      </c>
      <c r="B3551" s="547" t="s">
        <v>5430</v>
      </c>
      <c r="C3551" s="554" t="s">
        <v>5372</v>
      </c>
      <c r="D3551" s="554" t="s">
        <v>8519</v>
      </c>
      <c r="E3551" s="554"/>
      <c r="F3551" s="571">
        <v>81</v>
      </c>
      <c r="G3551" s="572">
        <v>0.70399999999999996</v>
      </c>
      <c r="H3551" s="545">
        <v>57.023999999999994</v>
      </c>
      <c r="I3551" s="554" t="s">
        <v>9218</v>
      </c>
      <c r="J3551" s="554" t="s">
        <v>9219</v>
      </c>
      <c r="K3551" s="554" t="s">
        <v>9219</v>
      </c>
      <c r="L3551" s="537" t="s">
        <v>2354</v>
      </c>
    </row>
    <row r="3552" spans="1:12" x14ac:dyDescent="0.2">
      <c r="A3552" s="570" t="s">
        <v>220</v>
      </c>
      <c r="B3552" s="547" t="s">
        <v>5430</v>
      </c>
      <c r="C3552" s="554" t="s">
        <v>6265</v>
      </c>
      <c r="D3552" s="554" t="s">
        <v>8520</v>
      </c>
      <c r="E3552" s="554"/>
      <c r="F3552" s="571">
        <v>34</v>
      </c>
      <c r="G3552" s="572">
        <v>0.77400000000000002</v>
      </c>
      <c r="H3552" s="545">
        <v>26.316000000000003</v>
      </c>
      <c r="I3552" s="554" t="s">
        <v>9218</v>
      </c>
      <c r="J3552" s="554" t="s">
        <v>9219</v>
      </c>
      <c r="K3552" s="554" t="s">
        <v>9219</v>
      </c>
      <c r="L3552" s="537" t="s">
        <v>2354</v>
      </c>
    </row>
    <row r="3553" spans="1:12" x14ac:dyDescent="0.2">
      <c r="A3553" s="570" t="s">
        <v>220</v>
      </c>
      <c r="B3553" s="547" t="s">
        <v>5430</v>
      </c>
      <c r="C3553" s="554" t="s">
        <v>3205</v>
      </c>
      <c r="D3553" s="554" t="s">
        <v>8521</v>
      </c>
      <c r="E3553" s="554"/>
      <c r="F3553" s="571">
        <v>41</v>
      </c>
      <c r="G3553" s="572">
        <v>1.627</v>
      </c>
      <c r="H3553" s="545">
        <v>66.706999999999994</v>
      </c>
      <c r="I3553" s="554" t="s">
        <v>9218</v>
      </c>
      <c r="J3553" s="554" t="s">
        <v>9219</v>
      </c>
      <c r="K3553" s="554" t="s">
        <v>9219</v>
      </c>
      <c r="L3553" s="537" t="s">
        <v>2354</v>
      </c>
    </row>
    <row r="3554" spans="1:12" x14ac:dyDescent="0.2">
      <c r="A3554" s="570" t="s">
        <v>220</v>
      </c>
      <c r="B3554" s="547" t="s">
        <v>5430</v>
      </c>
      <c r="C3554" s="554" t="s">
        <v>3207</v>
      </c>
      <c r="D3554" s="554" t="s">
        <v>8522</v>
      </c>
      <c r="E3554" s="554"/>
      <c r="F3554" s="571">
        <v>47</v>
      </c>
      <c r="G3554" s="572">
        <v>2.3969999999999998</v>
      </c>
      <c r="H3554" s="545">
        <v>112.65899999999999</v>
      </c>
      <c r="I3554" s="554" t="s">
        <v>9218</v>
      </c>
      <c r="J3554" s="554" t="s">
        <v>9219</v>
      </c>
      <c r="K3554" s="554" t="s">
        <v>9219</v>
      </c>
      <c r="L3554" s="537" t="s">
        <v>2354</v>
      </c>
    </row>
    <row r="3555" spans="1:12" x14ac:dyDescent="0.2">
      <c r="A3555" s="570" t="s">
        <v>220</v>
      </c>
      <c r="B3555" s="547" t="s">
        <v>5430</v>
      </c>
      <c r="C3555" s="554" t="s">
        <v>6270</v>
      </c>
      <c r="D3555" s="554" t="s">
        <v>6271</v>
      </c>
      <c r="E3555" s="554"/>
      <c r="F3555" s="571">
        <v>34</v>
      </c>
      <c r="G3555" s="572">
        <v>11.939</v>
      </c>
      <c r="H3555" s="545">
        <v>405.92599999999999</v>
      </c>
      <c r="I3555" s="554" t="s">
        <v>9218</v>
      </c>
      <c r="J3555" s="554" t="s">
        <v>9219</v>
      </c>
      <c r="K3555" s="554" t="s">
        <v>9219</v>
      </c>
      <c r="L3555" s="537" t="s">
        <v>2354</v>
      </c>
    </row>
    <row r="3556" spans="1:12" x14ac:dyDescent="0.2">
      <c r="A3556" s="570" t="s">
        <v>220</v>
      </c>
      <c r="B3556" s="547" t="s">
        <v>5430</v>
      </c>
      <c r="C3556" s="554" t="s">
        <v>6272</v>
      </c>
      <c r="D3556" s="554" t="s">
        <v>6273</v>
      </c>
      <c r="E3556" s="554"/>
      <c r="F3556" s="571">
        <v>10</v>
      </c>
      <c r="G3556" s="572">
        <v>0.36599999999999999</v>
      </c>
      <c r="H3556" s="545">
        <v>3.66</v>
      </c>
      <c r="I3556" s="554" t="s">
        <v>9218</v>
      </c>
      <c r="J3556" s="554" t="s">
        <v>9219</v>
      </c>
      <c r="K3556" s="554" t="s">
        <v>9219</v>
      </c>
      <c r="L3556" s="537" t="s">
        <v>2354</v>
      </c>
    </row>
    <row r="3557" spans="1:12" x14ac:dyDescent="0.2">
      <c r="A3557" s="570" t="s">
        <v>220</v>
      </c>
      <c r="B3557" s="547" t="s">
        <v>5430</v>
      </c>
      <c r="C3557" s="554" t="s">
        <v>3211</v>
      </c>
      <c r="D3557" s="554" t="s">
        <v>3212</v>
      </c>
      <c r="E3557" s="554"/>
      <c r="F3557" s="571">
        <v>28</v>
      </c>
      <c r="G3557" s="572">
        <v>0.41299999999999998</v>
      </c>
      <c r="H3557" s="545">
        <v>11.564</v>
      </c>
      <c r="I3557" s="554" t="s">
        <v>9218</v>
      </c>
      <c r="J3557" s="554" t="s">
        <v>9219</v>
      </c>
      <c r="K3557" s="554" t="s">
        <v>9219</v>
      </c>
      <c r="L3557" s="537" t="s">
        <v>2354</v>
      </c>
    </row>
    <row r="3558" spans="1:12" x14ac:dyDescent="0.2">
      <c r="A3558" s="570" t="s">
        <v>220</v>
      </c>
      <c r="B3558" s="547" t="s">
        <v>5430</v>
      </c>
      <c r="C3558" s="554" t="s">
        <v>3219</v>
      </c>
      <c r="D3558" s="554" t="s">
        <v>3220</v>
      </c>
      <c r="E3558" s="554"/>
      <c r="F3558" s="571">
        <v>22</v>
      </c>
      <c r="G3558" s="572">
        <v>0.746</v>
      </c>
      <c r="H3558" s="545">
        <v>16.411999999999999</v>
      </c>
      <c r="I3558" s="554" t="s">
        <v>9218</v>
      </c>
      <c r="J3558" s="554" t="s">
        <v>9219</v>
      </c>
      <c r="K3558" s="554" t="s">
        <v>9219</v>
      </c>
      <c r="L3558" s="537" t="s">
        <v>2354</v>
      </c>
    </row>
    <row r="3559" spans="1:12" x14ac:dyDescent="0.2">
      <c r="A3559" s="570" t="s">
        <v>220</v>
      </c>
      <c r="B3559" s="547" t="s">
        <v>5430</v>
      </c>
      <c r="C3559" s="554" t="s">
        <v>3455</v>
      </c>
      <c r="D3559" s="554" t="s">
        <v>3456</v>
      </c>
      <c r="E3559" s="554"/>
      <c r="F3559" s="571">
        <v>128.5</v>
      </c>
      <c r="G3559" s="572">
        <v>2.2690000000000001</v>
      </c>
      <c r="H3559" s="545">
        <v>291.56650000000002</v>
      </c>
      <c r="I3559" s="554" t="s">
        <v>9218</v>
      </c>
      <c r="J3559" s="554" t="s">
        <v>9219</v>
      </c>
      <c r="K3559" s="554" t="s">
        <v>9219</v>
      </c>
      <c r="L3559" s="537" t="s">
        <v>2354</v>
      </c>
    </row>
    <row r="3560" spans="1:12" x14ac:dyDescent="0.2">
      <c r="A3560" s="570" t="s">
        <v>220</v>
      </c>
      <c r="B3560" s="547" t="s">
        <v>5430</v>
      </c>
      <c r="C3560" s="554" t="s">
        <v>3457</v>
      </c>
      <c r="D3560" s="554" t="s">
        <v>3458</v>
      </c>
      <c r="E3560" s="554"/>
      <c r="F3560" s="571">
        <v>58</v>
      </c>
      <c r="G3560" s="572">
        <v>2.1920000000000002</v>
      </c>
      <c r="H3560" s="545">
        <v>127.13600000000001</v>
      </c>
      <c r="I3560" s="554" t="s">
        <v>9218</v>
      </c>
      <c r="J3560" s="554" t="s">
        <v>9219</v>
      </c>
      <c r="K3560" s="554" t="s">
        <v>9219</v>
      </c>
      <c r="L3560" s="537" t="s">
        <v>2354</v>
      </c>
    </row>
    <row r="3561" spans="1:12" x14ac:dyDescent="0.2">
      <c r="A3561" s="570" t="s">
        <v>220</v>
      </c>
      <c r="B3561" s="547" t="s">
        <v>5430</v>
      </c>
      <c r="C3561" s="554"/>
      <c r="D3561" s="554" t="s">
        <v>3460</v>
      </c>
      <c r="E3561" s="554"/>
      <c r="F3561" s="571">
        <v>95</v>
      </c>
      <c r="G3561" s="572">
        <v>2.5245000000000002</v>
      </c>
      <c r="H3561" s="545">
        <v>239.82750000000001</v>
      </c>
      <c r="I3561" s="554" t="s">
        <v>9218</v>
      </c>
      <c r="J3561" s="554" t="s">
        <v>9219</v>
      </c>
      <c r="K3561" s="554" t="s">
        <v>9219</v>
      </c>
      <c r="L3561" s="537" t="s">
        <v>2354</v>
      </c>
    </row>
    <row r="3562" spans="1:12" x14ac:dyDescent="0.2">
      <c r="A3562" s="570" t="s">
        <v>220</v>
      </c>
      <c r="B3562" s="547" t="s">
        <v>5430</v>
      </c>
      <c r="C3562" s="554" t="s">
        <v>3461</v>
      </c>
      <c r="D3562" s="554" t="s">
        <v>3462</v>
      </c>
      <c r="E3562" s="554"/>
      <c r="F3562" s="571">
        <v>95</v>
      </c>
      <c r="G3562" s="572">
        <v>4.0759999999999996</v>
      </c>
      <c r="H3562" s="545">
        <v>387.21999999999997</v>
      </c>
      <c r="I3562" s="554" t="s">
        <v>9218</v>
      </c>
      <c r="J3562" s="554" t="s">
        <v>9219</v>
      </c>
      <c r="K3562" s="554" t="s">
        <v>9219</v>
      </c>
      <c r="L3562" s="537" t="s">
        <v>2354</v>
      </c>
    </row>
    <row r="3563" spans="1:12" x14ac:dyDescent="0.2">
      <c r="A3563" s="570" t="s">
        <v>220</v>
      </c>
      <c r="B3563" s="547" t="s">
        <v>5430</v>
      </c>
      <c r="C3563" s="554" t="s">
        <v>3545</v>
      </c>
      <c r="D3563" s="554" t="s">
        <v>3546</v>
      </c>
      <c r="E3563" s="554"/>
      <c r="F3563" s="571">
        <v>11</v>
      </c>
      <c r="G3563" s="572">
        <v>3.0289999999999999</v>
      </c>
      <c r="H3563" s="545">
        <v>33.319000000000003</v>
      </c>
      <c r="I3563" s="554" t="s">
        <v>9218</v>
      </c>
      <c r="J3563" s="554" t="s">
        <v>9219</v>
      </c>
      <c r="K3563" s="554" t="s">
        <v>9219</v>
      </c>
      <c r="L3563" s="537" t="s">
        <v>2354</v>
      </c>
    </row>
    <row r="3564" spans="1:12" x14ac:dyDescent="0.2">
      <c r="A3564" s="570" t="s">
        <v>220</v>
      </c>
      <c r="B3564" s="547" t="s">
        <v>5430</v>
      </c>
      <c r="C3564" s="554" t="s">
        <v>3547</v>
      </c>
      <c r="D3564" s="554" t="s">
        <v>3548</v>
      </c>
      <c r="E3564" s="554"/>
      <c r="F3564" s="571">
        <v>32</v>
      </c>
      <c r="G3564" s="572">
        <v>3.7629999999999999</v>
      </c>
      <c r="H3564" s="545">
        <v>120.416</v>
      </c>
      <c r="I3564" s="554" t="s">
        <v>9218</v>
      </c>
      <c r="J3564" s="554" t="s">
        <v>9219</v>
      </c>
      <c r="K3564" s="554" t="s">
        <v>9219</v>
      </c>
      <c r="L3564" s="537" t="s">
        <v>2354</v>
      </c>
    </row>
    <row r="3565" spans="1:12" x14ac:dyDescent="0.2">
      <c r="A3565" s="570" t="s">
        <v>220</v>
      </c>
      <c r="B3565" s="547" t="s">
        <v>5430</v>
      </c>
      <c r="C3565" s="554" t="s">
        <v>3549</v>
      </c>
      <c r="D3565" s="554" t="s">
        <v>3550</v>
      </c>
      <c r="E3565" s="554"/>
      <c r="F3565" s="571">
        <v>19</v>
      </c>
      <c r="G3565" s="572">
        <v>9.8109999999999999</v>
      </c>
      <c r="H3565" s="545">
        <v>186.40899999999999</v>
      </c>
      <c r="I3565" s="554" t="s">
        <v>9218</v>
      </c>
      <c r="J3565" s="554" t="s">
        <v>9219</v>
      </c>
      <c r="K3565" s="554" t="s">
        <v>9219</v>
      </c>
      <c r="L3565" s="537" t="s">
        <v>2354</v>
      </c>
    </row>
    <row r="3566" spans="1:12" x14ac:dyDescent="0.2">
      <c r="A3566" s="570" t="s">
        <v>220</v>
      </c>
      <c r="B3566" s="547" t="s">
        <v>5430</v>
      </c>
      <c r="C3566" s="554" t="s">
        <v>3551</v>
      </c>
      <c r="D3566" s="554" t="s">
        <v>8523</v>
      </c>
      <c r="E3566" s="554"/>
      <c r="F3566" s="571">
        <v>24</v>
      </c>
      <c r="G3566" s="572">
        <v>5.367</v>
      </c>
      <c r="H3566" s="545">
        <v>128.80799999999999</v>
      </c>
      <c r="I3566" s="554" t="s">
        <v>9218</v>
      </c>
      <c r="J3566" s="554" t="s">
        <v>9219</v>
      </c>
      <c r="K3566" s="554" t="s">
        <v>9219</v>
      </c>
      <c r="L3566" s="537" t="s">
        <v>2354</v>
      </c>
    </row>
    <row r="3567" spans="1:12" x14ac:dyDescent="0.2">
      <c r="A3567" s="570" t="s">
        <v>220</v>
      </c>
      <c r="B3567" s="547" t="s">
        <v>5430</v>
      </c>
      <c r="C3567" s="554" t="s">
        <v>3553</v>
      </c>
      <c r="D3567" s="554" t="s">
        <v>3554</v>
      </c>
      <c r="E3567" s="554"/>
      <c r="F3567" s="571">
        <v>28</v>
      </c>
      <c r="G3567" s="572">
        <v>3.18</v>
      </c>
      <c r="H3567" s="545">
        <v>89.04</v>
      </c>
      <c r="I3567" s="554" t="s">
        <v>9218</v>
      </c>
      <c r="J3567" s="554" t="s">
        <v>9219</v>
      </c>
      <c r="K3567" s="554" t="s">
        <v>9219</v>
      </c>
      <c r="L3567" s="537" t="s">
        <v>2354</v>
      </c>
    </row>
    <row r="3568" spans="1:12" x14ac:dyDescent="0.2">
      <c r="A3568" s="570" t="s">
        <v>220</v>
      </c>
      <c r="B3568" s="547" t="s">
        <v>5430</v>
      </c>
      <c r="C3568" s="554" t="s">
        <v>3555</v>
      </c>
      <c r="D3568" s="554" t="s">
        <v>3556</v>
      </c>
      <c r="E3568" s="554"/>
      <c r="F3568" s="571">
        <v>37</v>
      </c>
      <c r="G3568" s="572">
        <v>3.823</v>
      </c>
      <c r="H3568" s="545">
        <v>141.45099999999999</v>
      </c>
      <c r="I3568" s="554" t="s">
        <v>9218</v>
      </c>
      <c r="J3568" s="554" t="s">
        <v>9219</v>
      </c>
      <c r="K3568" s="554" t="s">
        <v>9219</v>
      </c>
      <c r="L3568" s="537" t="s">
        <v>2354</v>
      </c>
    </row>
    <row r="3569" spans="1:12" x14ac:dyDescent="0.2">
      <c r="A3569" s="570" t="s">
        <v>220</v>
      </c>
      <c r="B3569" s="547" t="s">
        <v>5430</v>
      </c>
      <c r="C3569" s="554" t="s">
        <v>3561</v>
      </c>
      <c r="D3569" s="554" t="s">
        <v>8524</v>
      </c>
      <c r="E3569" s="554"/>
      <c r="F3569" s="571">
        <v>30</v>
      </c>
      <c r="G3569" s="572">
        <v>0.748</v>
      </c>
      <c r="H3569" s="545">
        <v>22.44</v>
      </c>
      <c r="I3569" s="554" t="s">
        <v>9218</v>
      </c>
      <c r="J3569" s="554" t="s">
        <v>9219</v>
      </c>
      <c r="K3569" s="554" t="s">
        <v>9219</v>
      </c>
      <c r="L3569" s="537" t="s">
        <v>2354</v>
      </c>
    </row>
    <row r="3570" spans="1:12" x14ac:dyDescent="0.2">
      <c r="A3570" s="570" t="s">
        <v>220</v>
      </c>
      <c r="B3570" s="547" t="s">
        <v>5430</v>
      </c>
      <c r="C3570" s="554" t="s">
        <v>3563</v>
      </c>
      <c r="D3570" s="554" t="s">
        <v>3564</v>
      </c>
      <c r="E3570" s="554"/>
      <c r="F3570" s="571">
        <v>23</v>
      </c>
      <c r="G3570" s="572">
        <v>2.1869999999999998</v>
      </c>
      <c r="H3570" s="545">
        <v>50.300999999999995</v>
      </c>
      <c r="I3570" s="554" t="s">
        <v>9218</v>
      </c>
      <c r="J3570" s="554" t="s">
        <v>9219</v>
      </c>
      <c r="K3570" s="554" t="s">
        <v>9219</v>
      </c>
      <c r="L3570" s="537" t="s">
        <v>2354</v>
      </c>
    </row>
    <row r="3571" spans="1:12" x14ac:dyDescent="0.2">
      <c r="A3571" s="570" t="s">
        <v>220</v>
      </c>
      <c r="B3571" s="547" t="s">
        <v>5430</v>
      </c>
      <c r="C3571" s="554" t="s">
        <v>3565</v>
      </c>
      <c r="D3571" s="554" t="s">
        <v>8525</v>
      </c>
      <c r="E3571" s="554"/>
      <c r="F3571" s="571">
        <v>34</v>
      </c>
      <c r="G3571" s="572">
        <v>2.8460000000000001</v>
      </c>
      <c r="H3571" s="545">
        <v>96.76400000000001</v>
      </c>
      <c r="I3571" s="554" t="s">
        <v>9218</v>
      </c>
      <c r="J3571" s="554" t="s">
        <v>9219</v>
      </c>
      <c r="K3571" s="554" t="s">
        <v>9219</v>
      </c>
      <c r="L3571" s="537" t="s">
        <v>2354</v>
      </c>
    </row>
    <row r="3572" spans="1:12" x14ac:dyDescent="0.2">
      <c r="A3572" s="570" t="s">
        <v>220</v>
      </c>
      <c r="B3572" s="547" t="s">
        <v>5430</v>
      </c>
      <c r="C3572" s="554" t="s">
        <v>3567</v>
      </c>
      <c r="D3572" s="554" t="s">
        <v>3568</v>
      </c>
      <c r="E3572" s="554"/>
      <c r="F3572" s="571">
        <v>8</v>
      </c>
      <c r="G3572" s="572">
        <v>5.67</v>
      </c>
      <c r="H3572" s="545">
        <v>45.36</v>
      </c>
      <c r="I3572" s="554" t="s">
        <v>9218</v>
      </c>
      <c r="J3572" s="554" t="s">
        <v>9219</v>
      </c>
      <c r="K3572" s="554" t="s">
        <v>9219</v>
      </c>
      <c r="L3572" s="537" t="s">
        <v>2354</v>
      </c>
    </row>
    <row r="3573" spans="1:12" x14ac:dyDescent="0.2">
      <c r="A3573" s="570" t="s">
        <v>220</v>
      </c>
      <c r="B3573" s="547" t="s">
        <v>5430</v>
      </c>
      <c r="C3573" s="554" t="s">
        <v>3571</v>
      </c>
      <c r="D3573" s="554" t="s">
        <v>3572</v>
      </c>
      <c r="E3573" s="554"/>
      <c r="F3573" s="571">
        <v>11</v>
      </c>
      <c r="G3573" s="572">
        <v>13.548999999999999</v>
      </c>
      <c r="H3573" s="545">
        <v>149.03899999999999</v>
      </c>
      <c r="I3573" s="554" t="s">
        <v>9218</v>
      </c>
      <c r="J3573" s="554" t="s">
        <v>9219</v>
      </c>
      <c r="K3573" s="554" t="s">
        <v>9219</v>
      </c>
      <c r="L3573" s="537" t="s">
        <v>2354</v>
      </c>
    </row>
    <row r="3574" spans="1:12" x14ac:dyDescent="0.2">
      <c r="A3574" s="570" t="s">
        <v>220</v>
      </c>
      <c r="B3574" s="547" t="s">
        <v>5430</v>
      </c>
      <c r="C3574" s="554" t="s">
        <v>6479</v>
      </c>
      <c r="D3574" s="554" t="s">
        <v>8526</v>
      </c>
      <c r="E3574" s="554"/>
      <c r="F3574" s="571">
        <v>1</v>
      </c>
      <c r="G3574" s="572">
        <v>30.553999999999998</v>
      </c>
      <c r="H3574" s="545">
        <v>30.553999999999998</v>
      </c>
      <c r="I3574" s="554" t="s">
        <v>9218</v>
      </c>
      <c r="J3574" s="554" t="s">
        <v>9219</v>
      </c>
      <c r="K3574" s="554" t="s">
        <v>9219</v>
      </c>
      <c r="L3574" s="537" t="s">
        <v>2354</v>
      </c>
    </row>
    <row r="3575" spans="1:12" x14ac:dyDescent="0.2">
      <c r="A3575" s="570" t="s">
        <v>220</v>
      </c>
      <c r="B3575" s="547" t="s">
        <v>5430</v>
      </c>
      <c r="C3575" s="554" t="s">
        <v>2411</v>
      </c>
      <c r="D3575" s="554" t="s">
        <v>6481</v>
      </c>
      <c r="E3575" s="554"/>
      <c r="F3575" s="571">
        <v>50</v>
      </c>
      <c r="G3575" s="572">
        <v>2.89</v>
      </c>
      <c r="H3575" s="545">
        <v>144.5</v>
      </c>
      <c r="I3575" s="554" t="s">
        <v>9218</v>
      </c>
      <c r="J3575" s="554" t="s">
        <v>9219</v>
      </c>
      <c r="K3575" s="554" t="s">
        <v>9219</v>
      </c>
      <c r="L3575" s="537" t="s">
        <v>2354</v>
      </c>
    </row>
    <row r="3576" spans="1:12" x14ac:dyDescent="0.2">
      <c r="A3576" s="570" t="s">
        <v>220</v>
      </c>
      <c r="B3576" s="547" t="s">
        <v>5430</v>
      </c>
      <c r="C3576" s="554" t="s">
        <v>3575</v>
      </c>
      <c r="D3576" s="554" t="s">
        <v>3576</v>
      </c>
      <c r="E3576" s="554"/>
      <c r="F3576" s="571">
        <v>3</v>
      </c>
      <c r="G3576" s="572">
        <v>3.2650000000000001</v>
      </c>
      <c r="H3576" s="545">
        <v>9.7949999999999999</v>
      </c>
      <c r="I3576" s="554" t="s">
        <v>9218</v>
      </c>
      <c r="J3576" s="554" t="s">
        <v>9219</v>
      </c>
      <c r="K3576" s="554" t="s">
        <v>9219</v>
      </c>
      <c r="L3576" s="537" t="s">
        <v>2354</v>
      </c>
    </row>
    <row r="3577" spans="1:12" x14ac:dyDescent="0.2">
      <c r="A3577" s="570" t="s">
        <v>220</v>
      </c>
      <c r="B3577" s="547" t="s">
        <v>5430</v>
      </c>
      <c r="C3577" s="554" t="s">
        <v>3577</v>
      </c>
      <c r="D3577" s="554" t="s">
        <v>8527</v>
      </c>
      <c r="E3577" s="554"/>
      <c r="F3577" s="571">
        <v>15</v>
      </c>
      <c r="G3577" s="572">
        <v>9.3550000000000004</v>
      </c>
      <c r="H3577" s="545">
        <v>140.32500000000002</v>
      </c>
      <c r="I3577" s="554" t="s">
        <v>9218</v>
      </c>
      <c r="J3577" s="554" t="s">
        <v>9219</v>
      </c>
      <c r="K3577" s="554" t="s">
        <v>9219</v>
      </c>
      <c r="L3577" s="537" t="s">
        <v>2354</v>
      </c>
    </row>
    <row r="3578" spans="1:12" x14ac:dyDescent="0.2">
      <c r="A3578" s="570" t="s">
        <v>220</v>
      </c>
      <c r="B3578" s="547" t="s">
        <v>5430</v>
      </c>
      <c r="C3578" s="554" t="s">
        <v>3579</v>
      </c>
      <c r="D3578" s="554" t="s">
        <v>3580</v>
      </c>
      <c r="E3578" s="554"/>
      <c r="F3578" s="571">
        <v>54</v>
      </c>
      <c r="G3578" s="572">
        <v>2.7450000000000001</v>
      </c>
      <c r="H3578" s="545">
        <v>148.23000000000002</v>
      </c>
      <c r="I3578" s="554" t="s">
        <v>9218</v>
      </c>
      <c r="J3578" s="554" t="s">
        <v>9219</v>
      </c>
      <c r="K3578" s="554" t="s">
        <v>9219</v>
      </c>
      <c r="L3578" s="537" t="s">
        <v>2354</v>
      </c>
    </row>
    <row r="3579" spans="1:12" x14ac:dyDescent="0.2">
      <c r="A3579" s="570" t="s">
        <v>220</v>
      </c>
      <c r="B3579" s="547" t="s">
        <v>5430</v>
      </c>
      <c r="C3579" s="554" t="s">
        <v>8528</v>
      </c>
      <c r="D3579" s="554" t="s">
        <v>6493</v>
      </c>
      <c r="E3579" s="554"/>
      <c r="F3579" s="571">
        <v>2</v>
      </c>
      <c r="G3579" s="572">
        <v>4.2</v>
      </c>
      <c r="H3579" s="545">
        <v>8.4</v>
      </c>
      <c r="I3579" s="554" t="s">
        <v>9218</v>
      </c>
      <c r="J3579" s="554" t="s">
        <v>9219</v>
      </c>
      <c r="K3579" s="554" t="s">
        <v>9219</v>
      </c>
      <c r="L3579" s="537" t="s">
        <v>2354</v>
      </c>
    </row>
    <row r="3580" spans="1:12" x14ac:dyDescent="0.2">
      <c r="A3580" s="570" t="s">
        <v>220</v>
      </c>
      <c r="B3580" s="547" t="s">
        <v>5430</v>
      </c>
      <c r="C3580" s="554" t="s">
        <v>3583</v>
      </c>
      <c r="D3580" s="554" t="s">
        <v>3584</v>
      </c>
      <c r="E3580" s="554"/>
      <c r="F3580" s="571">
        <v>59</v>
      </c>
      <c r="G3580" s="572">
        <v>2.5510000000000002</v>
      </c>
      <c r="H3580" s="545">
        <v>150.50900000000001</v>
      </c>
      <c r="I3580" s="554" t="s">
        <v>9218</v>
      </c>
      <c r="J3580" s="554" t="s">
        <v>9219</v>
      </c>
      <c r="K3580" s="554" t="s">
        <v>9219</v>
      </c>
      <c r="L3580" s="537" t="s">
        <v>2354</v>
      </c>
    </row>
    <row r="3581" spans="1:12" x14ac:dyDescent="0.2">
      <c r="A3581" s="570" t="s">
        <v>220</v>
      </c>
      <c r="B3581" s="547" t="s">
        <v>5430</v>
      </c>
      <c r="C3581" s="554" t="s">
        <v>3585</v>
      </c>
      <c r="D3581" s="554" t="s">
        <v>3586</v>
      </c>
      <c r="E3581" s="554"/>
      <c r="F3581" s="571">
        <v>29</v>
      </c>
      <c r="G3581" s="572">
        <v>2.8050000000000002</v>
      </c>
      <c r="H3581" s="545">
        <v>81.344999999999999</v>
      </c>
      <c r="I3581" s="554" t="s">
        <v>9218</v>
      </c>
      <c r="J3581" s="554" t="s">
        <v>9219</v>
      </c>
      <c r="K3581" s="554" t="s">
        <v>9219</v>
      </c>
      <c r="L3581" s="537" t="s">
        <v>2354</v>
      </c>
    </row>
    <row r="3582" spans="1:12" x14ac:dyDescent="0.2">
      <c r="A3582" s="570" t="s">
        <v>220</v>
      </c>
      <c r="B3582" s="547" t="s">
        <v>5430</v>
      </c>
      <c r="C3582" s="554" t="s">
        <v>3591</v>
      </c>
      <c r="D3582" s="554" t="s">
        <v>3592</v>
      </c>
      <c r="E3582" s="554"/>
      <c r="F3582" s="571">
        <v>32</v>
      </c>
      <c r="G3582" s="572">
        <v>2.6930000000000001</v>
      </c>
      <c r="H3582" s="545">
        <v>86.176000000000002</v>
      </c>
      <c r="I3582" s="554" t="s">
        <v>9218</v>
      </c>
      <c r="J3582" s="554" t="s">
        <v>9219</v>
      </c>
      <c r="K3582" s="554" t="s">
        <v>9219</v>
      </c>
      <c r="L3582" s="537" t="s">
        <v>2354</v>
      </c>
    </row>
    <row r="3583" spans="1:12" x14ac:dyDescent="0.2">
      <c r="A3583" s="570" t="s">
        <v>220</v>
      </c>
      <c r="B3583" s="547" t="s">
        <v>5430</v>
      </c>
      <c r="C3583" s="554" t="s">
        <v>3593</v>
      </c>
      <c r="D3583" s="554" t="s">
        <v>3594</v>
      </c>
      <c r="E3583" s="554"/>
      <c r="F3583" s="571">
        <v>1</v>
      </c>
      <c r="G3583" s="572">
        <v>3.379</v>
      </c>
      <c r="H3583" s="545">
        <v>3.379</v>
      </c>
      <c r="I3583" s="554" t="s">
        <v>9218</v>
      </c>
      <c r="J3583" s="554" t="s">
        <v>9219</v>
      </c>
      <c r="K3583" s="554" t="s">
        <v>9219</v>
      </c>
      <c r="L3583" s="537" t="s">
        <v>2354</v>
      </c>
    </row>
    <row r="3584" spans="1:12" x14ac:dyDescent="0.2">
      <c r="A3584" s="570" t="s">
        <v>220</v>
      </c>
      <c r="B3584" s="547" t="s">
        <v>5430</v>
      </c>
      <c r="C3584" s="554" t="s">
        <v>6497</v>
      </c>
      <c r="D3584" s="554" t="s">
        <v>6498</v>
      </c>
      <c r="E3584" s="554"/>
      <c r="F3584" s="571">
        <v>33</v>
      </c>
      <c r="G3584" s="572">
        <v>3.25</v>
      </c>
      <c r="H3584" s="545">
        <v>107.25</v>
      </c>
      <c r="I3584" s="554" t="s">
        <v>9218</v>
      </c>
      <c r="J3584" s="554" t="s">
        <v>9219</v>
      </c>
      <c r="K3584" s="554" t="s">
        <v>9219</v>
      </c>
      <c r="L3584" s="537" t="s">
        <v>2354</v>
      </c>
    </row>
    <row r="3585" spans="1:12" x14ac:dyDescent="0.2">
      <c r="A3585" s="570" t="s">
        <v>220</v>
      </c>
      <c r="B3585" s="547" t="s">
        <v>5430</v>
      </c>
      <c r="C3585" s="554" t="s">
        <v>3727</v>
      </c>
      <c r="D3585" s="554" t="s">
        <v>3728</v>
      </c>
      <c r="E3585" s="554"/>
      <c r="F3585" s="571">
        <v>35</v>
      </c>
      <c r="G3585" s="572">
        <v>4.9390000000000001</v>
      </c>
      <c r="H3585" s="545">
        <v>172.86500000000001</v>
      </c>
      <c r="I3585" s="554" t="s">
        <v>9218</v>
      </c>
      <c r="J3585" s="554" t="s">
        <v>9219</v>
      </c>
      <c r="K3585" s="554" t="s">
        <v>9219</v>
      </c>
      <c r="L3585" s="537" t="s">
        <v>2354</v>
      </c>
    </row>
    <row r="3586" spans="1:12" x14ac:dyDescent="0.2">
      <c r="A3586" s="570" t="s">
        <v>220</v>
      </c>
      <c r="B3586" s="547" t="s">
        <v>5430</v>
      </c>
      <c r="C3586" s="554" t="s">
        <v>3729</v>
      </c>
      <c r="D3586" s="554" t="s">
        <v>3730</v>
      </c>
      <c r="E3586" s="554"/>
      <c r="F3586" s="571">
        <v>15</v>
      </c>
      <c r="G3586" s="572">
        <v>2.7490000000000001</v>
      </c>
      <c r="H3586" s="545">
        <v>41.234999999999999</v>
      </c>
      <c r="I3586" s="554" t="s">
        <v>9218</v>
      </c>
      <c r="J3586" s="554" t="s">
        <v>9219</v>
      </c>
      <c r="K3586" s="554" t="s">
        <v>9219</v>
      </c>
      <c r="L3586" s="537" t="s">
        <v>2354</v>
      </c>
    </row>
    <row r="3587" spans="1:12" x14ac:dyDescent="0.2">
      <c r="A3587" s="570" t="s">
        <v>220</v>
      </c>
      <c r="B3587" s="547" t="s">
        <v>5430</v>
      </c>
      <c r="C3587" s="554" t="s">
        <v>3731</v>
      </c>
      <c r="D3587" s="554" t="s">
        <v>3732</v>
      </c>
      <c r="E3587" s="554"/>
      <c r="F3587" s="571">
        <v>14</v>
      </c>
      <c r="G3587" s="572">
        <v>3.0939999999999999</v>
      </c>
      <c r="H3587" s="545">
        <v>43.315999999999995</v>
      </c>
      <c r="I3587" s="554" t="s">
        <v>9218</v>
      </c>
      <c r="J3587" s="554" t="s">
        <v>9219</v>
      </c>
      <c r="K3587" s="554" t="s">
        <v>9219</v>
      </c>
      <c r="L3587" s="537" t="s">
        <v>2354</v>
      </c>
    </row>
    <row r="3588" spans="1:12" x14ac:dyDescent="0.2">
      <c r="A3588" s="570" t="s">
        <v>220</v>
      </c>
      <c r="B3588" s="547" t="s">
        <v>5430</v>
      </c>
      <c r="C3588" s="554" t="s">
        <v>3733</v>
      </c>
      <c r="D3588" s="554" t="s">
        <v>3734</v>
      </c>
      <c r="E3588" s="554"/>
      <c r="F3588" s="571">
        <v>10</v>
      </c>
      <c r="G3588" s="572">
        <v>5.4249999999999998</v>
      </c>
      <c r="H3588" s="545">
        <v>54.25</v>
      </c>
      <c r="I3588" s="554" t="s">
        <v>9218</v>
      </c>
      <c r="J3588" s="554" t="s">
        <v>9219</v>
      </c>
      <c r="K3588" s="554" t="s">
        <v>9219</v>
      </c>
      <c r="L3588" s="537" t="s">
        <v>2354</v>
      </c>
    </row>
    <row r="3589" spans="1:12" x14ac:dyDescent="0.2">
      <c r="A3589" s="570" t="s">
        <v>220</v>
      </c>
      <c r="B3589" s="547" t="s">
        <v>5430</v>
      </c>
      <c r="C3589" s="554" t="s">
        <v>3735</v>
      </c>
      <c r="D3589" s="554" t="s">
        <v>3736</v>
      </c>
      <c r="E3589" s="554"/>
      <c r="F3589" s="571">
        <v>7</v>
      </c>
      <c r="G3589" s="572">
        <v>5.0039999999999996</v>
      </c>
      <c r="H3589" s="545">
        <v>35.027999999999999</v>
      </c>
      <c r="I3589" s="554" t="s">
        <v>9218</v>
      </c>
      <c r="J3589" s="554" t="s">
        <v>9219</v>
      </c>
      <c r="K3589" s="554" t="s">
        <v>9219</v>
      </c>
      <c r="L3589" s="537" t="s">
        <v>2354</v>
      </c>
    </row>
    <row r="3590" spans="1:12" x14ac:dyDescent="0.2">
      <c r="A3590" s="570" t="s">
        <v>220</v>
      </c>
      <c r="B3590" s="547" t="s">
        <v>5430</v>
      </c>
      <c r="C3590" s="554" t="s">
        <v>5374</v>
      </c>
      <c r="D3590" s="554" t="s">
        <v>5375</v>
      </c>
      <c r="E3590" s="554"/>
      <c r="F3590" s="571">
        <v>2</v>
      </c>
      <c r="G3590" s="572">
        <v>3.3000000000000002E-2</v>
      </c>
      <c r="H3590" s="545">
        <v>6.6000000000000003E-2</v>
      </c>
      <c r="I3590" s="554" t="s">
        <v>9218</v>
      </c>
      <c r="J3590" s="554" t="s">
        <v>9219</v>
      </c>
      <c r="K3590" s="554" t="s">
        <v>9219</v>
      </c>
      <c r="L3590" s="537" t="s">
        <v>2354</v>
      </c>
    </row>
    <row r="3591" spans="1:12" x14ac:dyDescent="0.2">
      <c r="A3591" s="570" t="s">
        <v>220</v>
      </c>
      <c r="B3591" s="547" t="s">
        <v>5430</v>
      </c>
      <c r="C3591" s="554" t="s">
        <v>6702</v>
      </c>
      <c r="D3591" s="554" t="s">
        <v>8529</v>
      </c>
      <c r="E3591" s="554"/>
      <c r="F3591" s="571">
        <v>2</v>
      </c>
      <c r="G3591" s="572">
        <v>33.011000000000003</v>
      </c>
      <c r="H3591" s="545">
        <v>66.022000000000006</v>
      </c>
      <c r="I3591" s="554" t="s">
        <v>9218</v>
      </c>
      <c r="J3591" s="554" t="s">
        <v>9219</v>
      </c>
      <c r="K3591" s="554" t="s">
        <v>9219</v>
      </c>
      <c r="L3591" s="537" t="s">
        <v>2354</v>
      </c>
    </row>
    <row r="3592" spans="1:12" x14ac:dyDescent="0.2">
      <c r="A3592" s="570" t="s">
        <v>220</v>
      </c>
      <c r="B3592" s="547" t="s">
        <v>5430</v>
      </c>
      <c r="C3592" s="554" t="s">
        <v>6722</v>
      </c>
      <c r="D3592" s="554" t="s">
        <v>8530</v>
      </c>
      <c r="E3592" s="554"/>
      <c r="F3592" s="571">
        <v>4</v>
      </c>
      <c r="G3592" s="572">
        <v>12.02</v>
      </c>
      <c r="H3592" s="545">
        <v>48.08</v>
      </c>
      <c r="I3592" s="554" t="s">
        <v>9218</v>
      </c>
      <c r="J3592" s="554" t="s">
        <v>9219</v>
      </c>
      <c r="K3592" s="554" t="s">
        <v>9219</v>
      </c>
      <c r="L3592" s="537" t="s">
        <v>2354</v>
      </c>
    </row>
    <row r="3593" spans="1:12" x14ac:dyDescent="0.2">
      <c r="A3593" s="570" t="s">
        <v>220</v>
      </c>
      <c r="B3593" s="547" t="s">
        <v>5430</v>
      </c>
      <c r="C3593" s="554" t="s">
        <v>5444</v>
      </c>
      <c r="D3593" s="554" t="s">
        <v>8531</v>
      </c>
      <c r="E3593" s="554"/>
      <c r="F3593" s="571">
        <v>82</v>
      </c>
      <c r="G3593" s="572">
        <v>3.8340000000000001</v>
      </c>
      <c r="H3593" s="545">
        <v>314.38800000000003</v>
      </c>
      <c r="I3593" s="554" t="s">
        <v>9218</v>
      </c>
      <c r="J3593" s="554" t="s">
        <v>9219</v>
      </c>
      <c r="K3593" s="554" t="s">
        <v>9219</v>
      </c>
      <c r="L3593" s="537" t="s">
        <v>2354</v>
      </c>
    </row>
    <row r="3594" spans="1:12" x14ac:dyDescent="0.2">
      <c r="A3594" s="570" t="s">
        <v>220</v>
      </c>
      <c r="B3594" s="547" t="s">
        <v>5430</v>
      </c>
      <c r="C3594" s="554" t="s">
        <v>8532</v>
      </c>
      <c r="D3594" s="554" t="s">
        <v>6731</v>
      </c>
      <c r="E3594" s="554"/>
      <c r="F3594" s="571">
        <v>20</v>
      </c>
      <c r="G3594" s="572">
        <v>0.86199999999999999</v>
      </c>
      <c r="H3594" s="545">
        <v>17.239999999999998</v>
      </c>
      <c r="I3594" s="554" t="s">
        <v>9218</v>
      </c>
      <c r="J3594" s="554" t="s">
        <v>9219</v>
      </c>
      <c r="K3594" s="554" t="s">
        <v>9219</v>
      </c>
      <c r="L3594" s="537" t="s">
        <v>2354</v>
      </c>
    </row>
    <row r="3595" spans="1:12" x14ac:dyDescent="0.2">
      <c r="A3595" s="570" t="s">
        <v>220</v>
      </c>
      <c r="B3595" s="547" t="s">
        <v>5430</v>
      </c>
      <c r="C3595" s="554" t="s">
        <v>5376</v>
      </c>
      <c r="D3595" s="554" t="s">
        <v>5377</v>
      </c>
      <c r="E3595" s="554"/>
      <c r="F3595" s="571">
        <v>50</v>
      </c>
      <c r="G3595" s="572">
        <v>1.02</v>
      </c>
      <c r="H3595" s="545">
        <v>51</v>
      </c>
      <c r="I3595" s="554" t="s">
        <v>9218</v>
      </c>
      <c r="J3595" s="554" t="s">
        <v>9219</v>
      </c>
      <c r="K3595" s="554" t="s">
        <v>9219</v>
      </c>
      <c r="L3595" s="537" t="s">
        <v>2354</v>
      </c>
    </row>
    <row r="3596" spans="1:12" x14ac:dyDescent="0.2">
      <c r="A3596" s="570" t="s">
        <v>220</v>
      </c>
      <c r="B3596" s="547" t="s">
        <v>5430</v>
      </c>
      <c r="C3596" s="554" t="s">
        <v>3961</v>
      </c>
      <c r="D3596" s="554" t="s">
        <v>8533</v>
      </c>
      <c r="E3596" s="554"/>
      <c r="F3596" s="571">
        <v>100</v>
      </c>
      <c r="G3596" s="572">
        <v>0.97</v>
      </c>
      <c r="H3596" s="545">
        <v>97</v>
      </c>
      <c r="I3596" s="554" t="s">
        <v>9218</v>
      </c>
      <c r="J3596" s="554" t="s">
        <v>9219</v>
      </c>
      <c r="K3596" s="554" t="s">
        <v>9219</v>
      </c>
      <c r="L3596" s="537" t="s">
        <v>2354</v>
      </c>
    </row>
    <row r="3597" spans="1:12" x14ac:dyDescent="0.2">
      <c r="A3597" s="570" t="s">
        <v>220</v>
      </c>
      <c r="B3597" s="547" t="s">
        <v>5430</v>
      </c>
      <c r="C3597" s="554" t="s">
        <v>6732</v>
      </c>
      <c r="D3597" s="554" t="s">
        <v>8534</v>
      </c>
      <c r="E3597" s="554"/>
      <c r="F3597" s="571">
        <v>100</v>
      </c>
      <c r="G3597" s="572">
        <v>0.96499999999999997</v>
      </c>
      <c r="H3597" s="545">
        <v>96.5</v>
      </c>
      <c r="I3597" s="554" t="s">
        <v>9218</v>
      </c>
      <c r="J3597" s="554" t="s">
        <v>9219</v>
      </c>
      <c r="K3597" s="554" t="s">
        <v>9219</v>
      </c>
      <c r="L3597" s="537" t="s">
        <v>2354</v>
      </c>
    </row>
    <row r="3598" spans="1:12" x14ac:dyDescent="0.2">
      <c r="A3598" s="570" t="s">
        <v>220</v>
      </c>
      <c r="B3598" s="547" t="s">
        <v>5430</v>
      </c>
      <c r="C3598" s="554" t="s">
        <v>3969</v>
      </c>
      <c r="D3598" s="554" t="s">
        <v>8535</v>
      </c>
      <c r="E3598" s="554"/>
      <c r="F3598" s="571">
        <v>50</v>
      </c>
      <c r="G3598" s="572">
        <v>2.6579999999999999</v>
      </c>
      <c r="H3598" s="545">
        <v>132.9</v>
      </c>
      <c r="I3598" s="554" t="s">
        <v>9218</v>
      </c>
      <c r="J3598" s="554" t="s">
        <v>9219</v>
      </c>
      <c r="K3598" s="554" t="s">
        <v>9219</v>
      </c>
      <c r="L3598" s="537" t="s">
        <v>2354</v>
      </c>
    </row>
    <row r="3599" spans="1:12" x14ac:dyDescent="0.2">
      <c r="A3599" s="570" t="s">
        <v>220</v>
      </c>
      <c r="B3599" s="547" t="s">
        <v>5430</v>
      </c>
      <c r="C3599" s="554" t="s">
        <v>8536</v>
      </c>
      <c r="D3599" s="554" t="s">
        <v>8537</v>
      </c>
      <c r="E3599" s="554"/>
      <c r="F3599" s="571">
        <v>50</v>
      </c>
      <c r="G3599" s="572">
        <v>2.8010000000000002</v>
      </c>
      <c r="H3599" s="545">
        <v>140.05000000000001</v>
      </c>
      <c r="I3599" s="554" t="s">
        <v>9218</v>
      </c>
      <c r="J3599" s="554" t="s">
        <v>9219</v>
      </c>
      <c r="K3599" s="554" t="s">
        <v>9219</v>
      </c>
      <c r="L3599" s="537" t="s">
        <v>2354</v>
      </c>
    </row>
    <row r="3600" spans="1:12" x14ac:dyDescent="0.2">
      <c r="A3600" s="570" t="s">
        <v>220</v>
      </c>
      <c r="B3600" s="547" t="s">
        <v>5430</v>
      </c>
      <c r="C3600" s="554" t="s">
        <v>6734</v>
      </c>
      <c r="D3600" s="554" t="s">
        <v>8538</v>
      </c>
      <c r="E3600" s="554"/>
      <c r="F3600" s="571">
        <v>30</v>
      </c>
      <c r="G3600" s="572">
        <v>14.518000000000001</v>
      </c>
      <c r="H3600" s="545">
        <v>435.54</v>
      </c>
      <c r="I3600" s="554" t="s">
        <v>9218</v>
      </c>
      <c r="J3600" s="554" t="s">
        <v>9219</v>
      </c>
      <c r="K3600" s="554" t="s">
        <v>9219</v>
      </c>
      <c r="L3600" s="537" t="s">
        <v>2354</v>
      </c>
    </row>
    <row r="3601" spans="1:12" x14ac:dyDescent="0.2">
      <c r="A3601" s="570" t="s">
        <v>220</v>
      </c>
      <c r="B3601" s="547" t="s">
        <v>5430</v>
      </c>
      <c r="C3601" s="554" t="s">
        <v>8539</v>
      </c>
      <c r="D3601" s="554" t="s">
        <v>8540</v>
      </c>
      <c r="E3601" s="554"/>
      <c r="F3601" s="571">
        <v>2</v>
      </c>
      <c r="G3601" s="572">
        <v>6.1310000000000002</v>
      </c>
      <c r="H3601" s="545">
        <v>12.262</v>
      </c>
      <c r="I3601" s="554" t="s">
        <v>9218</v>
      </c>
      <c r="J3601" s="554" t="s">
        <v>9219</v>
      </c>
      <c r="K3601" s="554" t="s">
        <v>9219</v>
      </c>
      <c r="L3601" s="537" t="s">
        <v>2354</v>
      </c>
    </row>
    <row r="3602" spans="1:12" x14ac:dyDescent="0.2">
      <c r="A3602" s="570" t="s">
        <v>220</v>
      </c>
      <c r="B3602" s="547" t="s">
        <v>5430</v>
      </c>
      <c r="C3602" s="554" t="s">
        <v>3977</v>
      </c>
      <c r="D3602" s="554" t="s">
        <v>3978</v>
      </c>
      <c r="E3602" s="554"/>
      <c r="F3602" s="571">
        <v>35</v>
      </c>
      <c r="G3602" s="572">
        <v>3.8530000000000002</v>
      </c>
      <c r="H3602" s="545">
        <v>134.85500000000002</v>
      </c>
      <c r="I3602" s="554" t="s">
        <v>9218</v>
      </c>
      <c r="J3602" s="554" t="s">
        <v>9219</v>
      </c>
      <c r="K3602" s="554" t="s">
        <v>9219</v>
      </c>
      <c r="L3602" s="537" t="s">
        <v>2354</v>
      </c>
    </row>
    <row r="3603" spans="1:12" x14ac:dyDescent="0.2">
      <c r="A3603" s="570" t="s">
        <v>220</v>
      </c>
      <c r="B3603" s="547" t="s">
        <v>5430</v>
      </c>
      <c r="C3603" s="554" t="s">
        <v>3979</v>
      </c>
      <c r="D3603" s="554" t="s">
        <v>3980</v>
      </c>
      <c r="E3603" s="554"/>
      <c r="F3603" s="571">
        <v>21</v>
      </c>
      <c r="G3603" s="572">
        <v>3.9249999999999998</v>
      </c>
      <c r="H3603" s="545">
        <v>82.424999999999997</v>
      </c>
      <c r="I3603" s="554" t="s">
        <v>9218</v>
      </c>
      <c r="J3603" s="554" t="s">
        <v>9219</v>
      </c>
      <c r="K3603" s="554" t="s">
        <v>9219</v>
      </c>
      <c r="L3603" s="537" t="s">
        <v>2354</v>
      </c>
    </row>
    <row r="3604" spans="1:12" x14ac:dyDescent="0.2">
      <c r="A3604" s="570" t="s">
        <v>220</v>
      </c>
      <c r="B3604" s="547" t="s">
        <v>5430</v>
      </c>
      <c r="C3604" s="554" t="s">
        <v>3981</v>
      </c>
      <c r="D3604" s="554" t="s">
        <v>3982</v>
      </c>
      <c r="E3604" s="554"/>
      <c r="F3604" s="571">
        <v>80</v>
      </c>
      <c r="G3604" s="572">
        <v>5.694</v>
      </c>
      <c r="H3604" s="545">
        <v>455.52</v>
      </c>
      <c r="I3604" s="554" t="s">
        <v>9218</v>
      </c>
      <c r="J3604" s="554" t="s">
        <v>9219</v>
      </c>
      <c r="K3604" s="554" t="s">
        <v>9219</v>
      </c>
      <c r="L3604" s="537" t="s">
        <v>2354</v>
      </c>
    </row>
    <row r="3605" spans="1:12" x14ac:dyDescent="0.2">
      <c r="A3605" s="570" t="s">
        <v>220</v>
      </c>
      <c r="B3605" s="547" t="s">
        <v>5430</v>
      </c>
      <c r="C3605" s="554" t="s">
        <v>3983</v>
      </c>
      <c r="D3605" s="554" t="s">
        <v>8541</v>
      </c>
      <c r="E3605" s="554"/>
      <c r="F3605" s="571">
        <v>10</v>
      </c>
      <c r="G3605" s="572">
        <v>0.61199999999999999</v>
      </c>
      <c r="H3605" s="545">
        <v>6.12</v>
      </c>
      <c r="I3605" s="554" t="s">
        <v>9218</v>
      </c>
      <c r="J3605" s="554" t="s">
        <v>9219</v>
      </c>
      <c r="K3605" s="554" t="s">
        <v>9219</v>
      </c>
      <c r="L3605" s="537" t="s">
        <v>2354</v>
      </c>
    </row>
    <row r="3606" spans="1:12" x14ac:dyDescent="0.2">
      <c r="A3606" s="570" t="s">
        <v>220</v>
      </c>
      <c r="B3606" s="547" t="s">
        <v>5430</v>
      </c>
      <c r="C3606" s="554" t="s">
        <v>8542</v>
      </c>
      <c r="D3606" s="554" t="s">
        <v>8543</v>
      </c>
      <c r="E3606" s="554"/>
      <c r="F3606" s="571">
        <v>4</v>
      </c>
      <c r="G3606" s="572">
        <v>29.866</v>
      </c>
      <c r="H3606" s="545">
        <v>119.464</v>
      </c>
      <c r="I3606" s="554" t="s">
        <v>9218</v>
      </c>
      <c r="J3606" s="554" t="s">
        <v>9219</v>
      </c>
      <c r="K3606" s="554" t="s">
        <v>9219</v>
      </c>
      <c r="L3606" s="537" t="s">
        <v>2354</v>
      </c>
    </row>
    <row r="3607" spans="1:12" x14ac:dyDescent="0.2">
      <c r="A3607" s="570" t="s">
        <v>220</v>
      </c>
      <c r="B3607" s="547" t="s">
        <v>5430</v>
      </c>
      <c r="C3607" s="554" t="s">
        <v>3987</v>
      </c>
      <c r="D3607" s="554" t="s">
        <v>3988</v>
      </c>
      <c r="E3607" s="554"/>
      <c r="F3607" s="571">
        <v>120</v>
      </c>
      <c r="G3607" s="572">
        <v>4.43</v>
      </c>
      <c r="H3607" s="545">
        <v>531.59999999999991</v>
      </c>
      <c r="I3607" s="554" t="s">
        <v>9218</v>
      </c>
      <c r="J3607" s="554" t="s">
        <v>9219</v>
      </c>
      <c r="K3607" s="554" t="s">
        <v>9219</v>
      </c>
      <c r="L3607" s="537" t="s">
        <v>2354</v>
      </c>
    </row>
    <row r="3608" spans="1:12" x14ac:dyDescent="0.2">
      <c r="A3608" s="570" t="s">
        <v>220</v>
      </c>
      <c r="B3608" s="547" t="s">
        <v>5430</v>
      </c>
      <c r="C3608" s="554" t="s">
        <v>6739</v>
      </c>
      <c r="D3608" s="554" t="s">
        <v>6740</v>
      </c>
      <c r="E3608" s="554"/>
      <c r="F3608" s="571">
        <v>25</v>
      </c>
      <c r="G3608" s="572">
        <v>10.377000000000001</v>
      </c>
      <c r="H3608" s="545">
        <v>259.42500000000001</v>
      </c>
      <c r="I3608" s="554" t="s">
        <v>9218</v>
      </c>
      <c r="J3608" s="554" t="s">
        <v>9219</v>
      </c>
      <c r="K3608" s="554" t="s">
        <v>9219</v>
      </c>
      <c r="L3608" s="537" t="s">
        <v>2354</v>
      </c>
    </row>
    <row r="3609" spans="1:12" x14ac:dyDescent="0.2">
      <c r="A3609" s="570" t="s">
        <v>220</v>
      </c>
      <c r="B3609" s="547" t="s">
        <v>5430</v>
      </c>
      <c r="C3609" s="554" t="s">
        <v>6741</v>
      </c>
      <c r="D3609" s="554" t="s">
        <v>6742</v>
      </c>
      <c r="E3609" s="554"/>
      <c r="F3609" s="571">
        <v>20</v>
      </c>
      <c r="G3609" s="572">
        <v>6.4160000000000004</v>
      </c>
      <c r="H3609" s="545">
        <v>128.32</v>
      </c>
      <c r="I3609" s="554" t="s">
        <v>9218</v>
      </c>
      <c r="J3609" s="554" t="s">
        <v>9219</v>
      </c>
      <c r="K3609" s="554" t="s">
        <v>9219</v>
      </c>
      <c r="L3609" s="537" t="s">
        <v>2354</v>
      </c>
    </row>
    <row r="3610" spans="1:12" x14ac:dyDescent="0.2">
      <c r="A3610" s="570" t="s">
        <v>220</v>
      </c>
      <c r="B3610" s="547" t="s">
        <v>5430</v>
      </c>
      <c r="C3610" s="554" t="s">
        <v>8544</v>
      </c>
      <c r="D3610" s="554" t="s">
        <v>8545</v>
      </c>
      <c r="E3610" s="554"/>
      <c r="F3610" s="571">
        <v>45</v>
      </c>
      <c r="G3610" s="572">
        <v>1.84</v>
      </c>
      <c r="H3610" s="545">
        <v>82.8</v>
      </c>
      <c r="I3610" s="554" t="s">
        <v>9218</v>
      </c>
      <c r="J3610" s="554" t="s">
        <v>9219</v>
      </c>
      <c r="K3610" s="554" t="s">
        <v>9219</v>
      </c>
      <c r="L3610" s="537" t="s">
        <v>2354</v>
      </c>
    </row>
    <row r="3611" spans="1:12" x14ac:dyDescent="0.2">
      <c r="A3611" s="570" t="s">
        <v>220</v>
      </c>
      <c r="B3611" s="547" t="s">
        <v>5430</v>
      </c>
      <c r="C3611" s="554" t="s">
        <v>4049</v>
      </c>
      <c r="D3611" s="554" t="s">
        <v>8546</v>
      </c>
      <c r="E3611" s="554"/>
      <c r="F3611" s="571">
        <v>189</v>
      </c>
      <c r="G3611" s="572">
        <v>0.68700000000000006</v>
      </c>
      <c r="H3611" s="545">
        <v>129.84300000000002</v>
      </c>
      <c r="I3611" s="554" t="s">
        <v>9218</v>
      </c>
      <c r="J3611" s="554" t="s">
        <v>9219</v>
      </c>
      <c r="K3611" s="554" t="s">
        <v>9219</v>
      </c>
      <c r="L3611" s="537" t="s">
        <v>2354</v>
      </c>
    </row>
    <row r="3612" spans="1:12" x14ac:dyDescent="0.2">
      <c r="A3612" s="570" t="s">
        <v>220</v>
      </c>
      <c r="B3612" s="547" t="s">
        <v>5430</v>
      </c>
      <c r="C3612" s="554" t="s">
        <v>6781</v>
      </c>
      <c r="D3612" s="554" t="s">
        <v>8547</v>
      </c>
      <c r="E3612" s="554"/>
      <c r="F3612" s="571">
        <v>55</v>
      </c>
      <c r="G3612" s="572">
        <v>3.4660000000000002</v>
      </c>
      <c r="H3612" s="545">
        <v>190.63000000000002</v>
      </c>
      <c r="I3612" s="554" t="s">
        <v>9218</v>
      </c>
      <c r="J3612" s="554" t="s">
        <v>9219</v>
      </c>
      <c r="K3612" s="554" t="s">
        <v>9219</v>
      </c>
      <c r="L3612" s="537" t="s">
        <v>2354</v>
      </c>
    </row>
    <row r="3613" spans="1:12" x14ac:dyDescent="0.2">
      <c r="A3613" s="570" t="s">
        <v>220</v>
      </c>
      <c r="B3613" s="547" t="s">
        <v>5430</v>
      </c>
      <c r="C3613" s="554" t="s">
        <v>4051</v>
      </c>
      <c r="D3613" s="554" t="s">
        <v>8548</v>
      </c>
      <c r="E3613" s="554"/>
      <c r="F3613" s="571">
        <v>47</v>
      </c>
      <c r="G3613" s="572">
        <v>2.5299999999999998</v>
      </c>
      <c r="H3613" s="545">
        <v>118.91</v>
      </c>
      <c r="I3613" s="554" t="s">
        <v>9218</v>
      </c>
      <c r="J3613" s="554" t="s">
        <v>9219</v>
      </c>
      <c r="K3613" s="554" t="s">
        <v>9219</v>
      </c>
      <c r="L3613" s="537" t="s">
        <v>2354</v>
      </c>
    </row>
    <row r="3614" spans="1:12" x14ac:dyDescent="0.2">
      <c r="A3614" s="570" t="s">
        <v>220</v>
      </c>
      <c r="B3614" s="547" t="s">
        <v>5430</v>
      </c>
      <c r="C3614" s="554" t="s">
        <v>6783</v>
      </c>
      <c r="D3614" s="554" t="s">
        <v>6784</v>
      </c>
      <c r="E3614" s="554"/>
      <c r="F3614" s="571">
        <v>200</v>
      </c>
      <c r="G3614" s="572">
        <v>8.5999999999999993E-2</v>
      </c>
      <c r="H3614" s="545">
        <v>17.2</v>
      </c>
      <c r="I3614" s="554" t="s">
        <v>9218</v>
      </c>
      <c r="J3614" s="554" t="s">
        <v>9219</v>
      </c>
      <c r="K3614" s="554" t="s">
        <v>9219</v>
      </c>
      <c r="L3614" s="537" t="s">
        <v>2354</v>
      </c>
    </row>
    <row r="3615" spans="1:12" x14ac:dyDescent="0.2">
      <c r="A3615" s="570" t="s">
        <v>220</v>
      </c>
      <c r="B3615" s="547" t="s">
        <v>5430</v>
      </c>
      <c r="C3615" s="554" t="s">
        <v>6785</v>
      </c>
      <c r="D3615" s="554" t="s">
        <v>6786</v>
      </c>
      <c r="E3615" s="554"/>
      <c r="F3615" s="571">
        <v>200</v>
      </c>
      <c r="G3615" s="572">
        <v>0.11700000000000001</v>
      </c>
      <c r="H3615" s="545">
        <v>23.400000000000002</v>
      </c>
      <c r="I3615" s="554" t="s">
        <v>9218</v>
      </c>
      <c r="J3615" s="554" t="s">
        <v>9219</v>
      </c>
      <c r="K3615" s="554" t="s">
        <v>9219</v>
      </c>
      <c r="L3615" s="537" t="s">
        <v>2354</v>
      </c>
    </row>
    <row r="3616" spans="1:12" x14ac:dyDescent="0.2">
      <c r="A3616" s="570" t="s">
        <v>220</v>
      </c>
      <c r="B3616" s="547" t="s">
        <v>5430</v>
      </c>
      <c r="C3616" s="554" t="s">
        <v>8549</v>
      </c>
      <c r="D3616" s="554" t="s">
        <v>6788</v>
      </c>
      <c r="E3616" s="554"/>
      <c r="F3616" s="571">
        <v>20</v>
      </c>
      <c r="G3616" s="572">
        <v>1.2170000000000001</v>
      </c>
      <c r="H3616" s="545">
        <v>24.340000000000003</v>
      </c>
      <c r="I3616" s="554" t="s">
        <v>9218</v>
      </c>
      <c r="J3616" s="554" t="s">
        <v>9219</v>
      </c>
      <c r="K3616" s="554" t="s">
        <v>9219</v>
      </c>
      <c r="L3616" s="537" t="s">
        <v>2354</v>
      </c>
    </row>
    <row r="3617" spans="1:12" x14ac:dyDescent="0.2">
      <c r="A3617" s="570" t="s">
        <v>220</v>
      </c>
      <c r="B3617" s="547" t="s">
        <v>5430</v>
      </c>
      <c r="C3617" s="554" t="s">
        <v>4061</v>
      </c>
      <c r="D3617" s="554" t="s">
        <v>4062</v>
      </c>
      <c r="E3617" s="554"/>
      <c r="F3617" s="571">
        <v>150</v>
      </c>
      <c r="G3617" s="572">
        <v>0.219</v>
      </c>
      <c r="H3617" s="545">
        <v>32.85</v>
      </c>
      <c r="I3617" s="554" t="s">
        <v>9218</v>
      </c>
      <c r="J3617" s="554" t="s">
        <v>9219</v>
      </c>
      <c r="K3617" s="554" t="s">
        <v>9219</v>
      </c>
      <c r="L3617" s="537" t="s">
        <v>2354</v>
      </c>
    </row>
    <row r="3618" spans="1:12" x14ac:dyDescent="0.2">
      <c r="A3618" s="570" t="s">
        <v>220</v>
      </c>
      <c r="B3618" s="547" t="s">
        <v>5430</v>
      </c>
      <c r="C3618" s="554" t="s">
        <v>4063</v>
      </c>
      <c r="D3618" s="554" t="s">
        <v>4064</v>
      </c>
      <c r="E3618" s="554"/>
      <c r="F3618" s="571">
        <v>156</v>
      </c>
      <c r="G3618" s="572">
        <v>0.375</v>
      </c>
      <c r="H3618" s="545">
        <v>58.5</v>
      </c>
      <c r="I3618" s="554" t="s">
        <v>9218</v>
      </c>
      <c r="J3618" s="554" t="s">
        <v>9219</v>
      </c>
      <c r="K3618" s="554" t="s">
        <v>9219</v>
      </c>
      <c r="L3618" s="537" t="s">
        <v>2354</v>
      </c>
    </row>
    <row r="3619" spans="1:12" x14ac:dyDescent="0.2">
      <c r="A3619" s="570" t="s">
        <v>220</v>
      </c>
      <c r="B3619" s="547" t="s">
        <v>5430</v>
      </c>
      <c r="C3619" s="554" t="s">
        <v>4065</v>
      </c>
      <c r="D3619" s="554" t="s">
        <v>4066</v>
      </c>
      <c r="E3619" s="554"/>
      <c r="F3619" s="571">
        <v>45</v>
      </c>
      <c r="G3619" s="572">
        <v>0.254</v>
      </c>
      <c r="H3619" s="545">
        <v>11.43</v>
      </c>
      <c r="I3619" s="554" t="s">
        <v>9218</v>
      </c>
      <c r="J3619" s="554" t="s">
        <v>9219</v>
      </c>
      <c r="K3619" s="554" t="s">
        <v>9219</v>
      </c>
      <c r="L3619" s="537" t="s">
        <v>2354</v>
      </c>
    </row>
    <row r="3620" spans="1:12" x14ac:dyDescent="0.2">
      <c r="A3620" s="570" t="s">
        <v>220</v>
      </c>
      <c r="B3620" s="547" t="s">
        <v>5430</v>
      </c>
      <c r="C3620" s="554" t="s">
        <v>4067</v>
      </c>
      <c r="D3620" s="554" t="s">
        <v>4068</v>
      </c>
      <c r="E3620" s="554"/>
      <c r="F3620" s="571">
        <v>50</v>
      </c>
      <c r="G3620" s="572">
        <v>0.193</v>
      </c>
      <c r="H3620" s="545">
        <v>9.65</v>
      </c>
      <c r="I3620" s="554" t="s">
        <v>9218</v>
      </c>
      <c r="J3620" s="554" t="s">
        <v>9219</v>
      </c>
      <c r="K3620" s="554" t="s">
        <v>9219</v>
      </c>
      <c r="L3620" s="537" t="s">
        <v>2354</v>
      </c>
    </row>
    <row r="3621" spans="1:12" x14ac:dyDescent="0.2">
      <c r="A3621" s="570" t="s">
        <v>220</v>
      </c>
      <c r="B3621" s="547" t="s">
        <v>5430</v>
      </c>
      <c r="C3621" s="554" t="s">
        <v>4069</v>
      </c>
      <c r="D3621" s="554" t="s">
        <v>4070</v>
      </c>
      <c r="E3621" s="554"/>
      <c r="F3621" s="571">
        <v>190</v>
      </c>
      <c r="G3621" s="572">
        <v>0.442</v>
      </c>
      <c r="H3621" s="545">
        <v>83.98</v>
      </c>
      <c r="I3621" s="554" t="s">
        <v>9218</v>
      </c>
      <c r="J3621" s="554" t="s">
        <v>9219</v>
      </c>
      <c r="K3621" s="554" t="s">
        <v>9219</v>
      </c>
      <c r="L3621" s="537" t="s">
        <v>2354</v>
      </c>
    </row>
    <row r="3622" spans="1:12" x14ac:dyDescent="0.2">
      <c r="A3622" s="570" t="s">
        <v>220</v>
      </c>
      <c r="B3622" s="547" t="s">
        <v>5430</v>
      </c>
      <c r="C3622" s="554" t="s">
        <v>4071</v>
      </c>
      <c r="D3622" s="554" t="s">
        <v>8550</v>
      </c>
      <c r="E3622" s="554"/>
      <c r="F3622" s="571">
        <v>81</v>
      </c>
      <c r="G3622" s="572">
        <v>0.42899999999999999</v>
      </c>
      <c r="H3622" s="545">
        <v>34.749000000000002</v>
      </c>
      <c r="I3622" s="554" t="s">
        <v>9218</v>
      </c>
      <c r="J3622" s="554" t="s">
        <v>9219</v>
      </c>
      <c r="K3622" s="554" t="s">
        <v>9219</v>
      </c>
      <c r="L3622" s="537" t="s">
        <v>2354</v>
      </c>
    </row>
    <row r="3623" spans="1:12" x14ac:dyDescent="0.2">
      <c r="A3623" s="570" t="s">
        <v>220</v>
      </c>
      <c r="B3623" s="547" t="s">
        <v>5430</v>
      </c>
      <c r="C3623" s="554" t="s">
        <v>4073</v>
      </c>
      <c r="D3623" s="554" t="s">
        <v>4074</v>
      </c>
      <c r="E3623" s="554"/>
      <c r="F3623" s="571">
        <v>210</v>
      </c>
      <c r="G3623" s="572">
        <v>0.58399999999999996</v>
      </c>
      <c r="H3623" s="545">
        <v>122.63999999999999</v>
      </c>
      <c r="I3623" s="554" t="s">
        <v>9218</v>
      </c>
      <c r="J3623" s="554" t="s">
        <v>9219</v>
      </c>
      <c r="K3623" s="554" t="s">
        <v>9219</v>
      </c>
      <c r="L3623" s="537" t="s">
        <v>2354</v>
      </c>
    </row>
    <row r="3624" spans="1:12" x14ac:dyDescent="0.2">
      <c r="A3624" s="570" t="s">
        <v>220</v>
      </c>
      <c r="B3624" s="547" t="s">
        <v>5430</v>
      </c>
      <c r="C3624" s="554" t="s">
        <v>8551</v>
      </c>
      <c r="D3624" s="554" t="s">
        <v>8552</v>
      </c>
      <c r="E3624" s="554"/>
      <c r="F3624" s="571">
        <v>100</v>
      </c>
      <c r="G3624" s="572">
        <v>1.044</v>
      </c>
      <c r="H3624" s="545">
        <v>104.4</v>
      </c>
      <c r="I3624" s="554" t="s">
        <v>9218</v>
      </c>
      <c r="J3624" s="554" t="s">
        <v>9219</v>
      </c>
      <c r="K3624" s="554" t="s">
        <v>9219</v>
      </c>
      <c r="L3624" s="537" t="s">
        <v>2354</v>
      </c>
    </row>
    <row r="3625" spans="1:12" x14ac:dyDescent="0.2">
      <c r="A3625" s="570" t="s">
        <v>220</v>
      </c>
      <c r="B3625" s="547" t="s">
        <v>5430</v>
      </c>
      <c r="C3625" s="554" t="s">
        <v>6789</v>
      </c>
      <c r="D3625" s="554" t="s">
        <v>8553</v>
      </c>
      <c r="E3625" s="554"/>
      <c r="F3625" s="571">
        <v>192</v>
      </c>
      <c r="G3625" s="572">
        <v>0.38100000000000001</v>
      </c>
      <c r="H3625" s="545">
        <v>73.152000000000001</v>
      </c>
      <c r="I3625" s="554" t="s">
        <v>9218</v>
      </c>
      <c r="J3625" s="554" t="s">
        <v>9219</v>
      </c>
      <c r="K3625" s="554" t="s">
        <v>9219</v>
      </c>
      <c r="L3625" s="537" t="s">
        <v>2354</v>
      </c>
    </row>
    <row r="3626" spans="1:12" x14ac:dyDescent="0.2">
      <c r="A3626" s="570" t="s">
        <v>220</v>
      </c>
      <c r="B3626" s="547" t="s">
        <v>5430</v>
      </c>
      <c r="C3626" s="554" t="s">
        <v>8554</v>
      </c>
      <c r="D3626" s="554" t="s">
        <v>8555</v>
      </c>
      <c r="E3626" s="554"/>
      <c r="F3626" s="571">
        <v>50</v>
      </c>
      <c r="G3626" s="572">
        <v>0.46500000000000002</v>
      </c>
      <c r="H3626" s="545">
        <v>23.25</v>
      </c>
      <c r="I3626" s="554" t="s">
        <v>9218</v>
      </c>
      <c r="J3626" s="554" t="s">
        <v>9219</v>
      </c>
      <c r="K3626" s="554" t="s">
        <v>9219</v>
      </c>
      <c r="L3626" s="537" t="s">
        <v>2354</v>
      </c>
    </row>
    <row r="3627" spans="1:12" x14ac:dyDescent="0.2">
      <c r="A3627" s="570" t="s">
        <v>220</v>
      </c>
      <c r="B3627" s="547" t="s">
        <v>5430</v>
      </c>
      <c r="C3627" s="554" t="s">
        <v>6865</v>
      </c>
      <c r="D3627" s="554" t="s">
        <v>8556</v>
      </c>
      <c r="E3627" s="554"/>
      <c r="F3627" s="571">
        <v>58</v>
      </c>
      <c r="G3627" s="572">
        <v>7.4379999999999997</v>
      </c>
      <c r="H3627" s="545">
        <v>431.404</v>
      </c>
      <c r="I3627" s="554" t="s">
        <v>9218</v>
      </c>
      <c r="J3627" s="554" t="s">
        <v>9219</v>
      </c>
      <c r="K3627" s="554" t="s">
        <v>9219</v>
      </c>
      <c r="L3627" s="537" t="s">
        <v>2354</v>
      </c>
    </row>
    <row r="3628" spans="1:12" x14ac:dyDescent="0.2">
      <c r="A3628" s="570" t="s">
        <v>220</v>
      </c>
      <c r="B3628" s="547" t="s">
        <v>5430</v>
      </c>
      <c r="C3628" s="554" t="s">
        <v>4199</v>
      </c>
      <c r="D3628" s="554" t="s">
        <v>8557</v>
      </c>
      <c r="E3628" s="554"/>
      <c r="F3628" s="571">
        <v>2</v>
      </c>
      <c r="G3628" s="572">
        <v>5.952</v>
      </c>
      <c r="H3628" s="545">
        <v>11.904</v>
      </c>
      <c r="I3628" s="554" t="s">
        <v>9218</v>
      </c>
      <c r="J3628" s="554" t="s">
        <v>9219</v>
      </c>
      <c r="K3628" s="554" t="s">
        <v>9219</v>
      </c>
      <c r="L3628" s="537" t="s">
        <v>2354</v>
      </c>
    </row>
    <row r="3629" spans="1:12" x14ac:dyDescent="0.2">
      <c r="A3629" s="570" t="s">
        <v>220</v>
      </c>
      <c r="B3629" s="547" t="s">
        <v>5430</v>
      </c>
      <c r="C3629" s="554" t="s">
        <v>4201</v>
      </c>
      <c r="D3629" s="554" t="s">
        <v>8558</v>
      </c>
      <c r="E3629" s="554"/>
      <c r="F3629" s="571">
        <v>44</v>
      </c>
      <c r="G3629" s="572">
        <v>3.577</v>
      </c>
      <c r="H3629" s="545">
        <v>157.38800000000001</v>
      </c>
      <c r="I3629" s="554" t="s">
        <v>9218</v>
      </c>
      <c r="J3629" s="554" t="s">
        <v>9219</v>
      </c>
      <c r="K3629" s="554" t="s">
        <v>9219</v>
      </c>
      <c r="L3629" s="537" t="s">
        <v>2354</v>
      </c>
    </row>
    <row r="3630" spans="1:12" x14ac:dyDescent="0.2">
      <c r="A3630" s="570" t="s">
        <v>220</v>
      </c>
      <c r="B3630" s="547" t="s">
        <v>5430</v>
      </c>
      <c r="C3630" s="554" t="s">
        <v>4203</v>
      </c>
      <c r="D3630" s="554" t="s">
        <v>8559</v>
      </c>
      <c r="E3630" s="554"/>
      <c r="F3630" s="571">
        <v>4</v>
      </c>
      <c r="G3630" s="572">
        <v>5.4139999999999997</v>
      </c>
      <c r="H3630" s="545">
        <v>21.655999999999999</v>
      </c>
      <c r="I3630" s="554" t="s">
        <v>9218</v>
      </c>
      <c r="J3630" s="554" t="s">
        <v>9219</v>
      </c>
      <c r="K3630" s="554" t="s">
        <v>9219</v>
      </c>
      <c r="L3630" s="537" t="s">
        <v>2354</v>
      </c>
    </row>
    <row r="3631" spans="1:12" x14ac:dyDescent="0.2">
      <c r="A3631" s="570" t="s">
        <v>220</v>
      </c>
      <c r="B3631" s="547" t="s">
        <v>5430</v>
      </c>
      <c r="C3631" s="554" t="s">
        <v>6866</v>
      </c>
      <c r="D3631" s="554" t="s">
        <v>8560</v>
      </c>
      <c r="E3631" s="554"/>
      <c r="F3631" s="571">
        <v>15</v>
      </c>
      <c r="G3631" s="572">
        <v>9.5120000000000005</v>
      </c>
      <c r="H3631" s="545">
        <v>142.68</v>
      </c>
      <c r="I3631" s="554" t="s">
        <v>9218</v>
      </c>
      <c r="J3631" s="554" t="s">
        <v>9219</v>
      </c>
      <c r="K3631" s="554" t="s">
        <v>9219</v>
      </c>
      <c r="L3631" s="537" t="s">
        <v>2354</v>
      </c>
    </row>
    <row r="3632" spans="1:12" x14ac:dyDescent="0.2">
      <c r="A3632" s="570" t="s">
        <v>220</v>
      </c>
      <c r="B3632" s="547" t="s">
        <v>5430</v>
      </c>
      <c r="C3632" s="554" t="s">
        <v>4205</v>
      </c>
      <c r="D3632" s="554" t="s">
        <v>8561</v>
      </c>
      <c r="E3632" s="554"/>
      <c r="F3632" s="571">
        <v>7</v>
      </c>
      <c r="G3632" s="572">
        <v>2.548</v>
      </c>
      <c r="H3632" s="545">
        <v>17.835999999999999</v>
      </c>
      <c r="I3632" s="554" t="s">
        <v>9218</v>
      </c>
      <c r="J3632" s="554" t="s">
        <v>9219</v>
      </c>
      <c r="K3632" s="554" t="s">
        <v>9219</v>
      </c>
      <c r="L3632" s="537" t="s">
        <v>2354</v>
      </c>
    </row>
    <row r="3633" spans="1:12" x14ac:dyDescent="0.2">
      <c r="A3633" s="570" t="s">
        <v>220</v>
      </c>
      <c r="B3633" s="547" t="s">
        <v>5430</v>
      </c>
      <c r="C3633" s="554" t="s">
        <v>4207</v>
      </c>
      <c r="D3633" s="554" t="s">
        <v>8562</v>
      </c>
      <c r="E3633" s="554"/>
      <c r="F3633" s="571">
        <v>44</v>
      </c>
      <c r="G3633" s="572">
        <v>2.609</v>
      </c>
      <c r="H3633" s="545">
        <v>114.79599999999999</v>
      </c>
      <c r="I3633" s="554" t="s">
        <v>9218</v>
      </c>
      <c r="J3633" s="554" t="s">
        <v>9219</v>
      </c>
      <c r="K3633" s="554" t="s">
        <v>9219</v>
      </c>
      <c r="L3633" s="537" t="s">
        <v>2354</v>
      </c>
    </row>
    <row r="3634" spans="1:12" x14ac:dyDescent="0.2">
      <c r="A3634" s="570" t="s">
        <v>220</v>
      </c>
      <c r="B3634" s="547" t="s">
        <v>5430</v>
      </c>
      <c r="C3634" s="554" t="s">
        <v>4209</v>
      </c>
      <c r="D3634" s="554" t="s">
        <v>8563</v>
      </c>
      <c r="E3634" s="554"/>
      <c r="F3634" s="571">
        <v>29</v>
      </c>
      <c r="G3634" s="572">
        <v>4.2359999999999998</v>
      </c>
      <c r="H3634" s="545">
        <v>122.84399999999999</v>
      </c>
      <c r="I3634" s="554" t="s">
        <v>9218</v>
      </c>
      <c r="J3634" s="554" t="s">
        <v>9219</v>
      </c>
      <c r="K3634" s="554" t="s">
        <v>9219</v>
      </c>
      <c r="L3634" s="537" t="s">
        <v>2354</v>
      </c>
    </row>
    <row r="3635" spans="1:12" x14ac:dyDescent="0.2">
      <c r="A3635" s="570" t="s">
        <v>220</v>
      </c>
      <c r="B3635" s="547" t="s">
        <v>5430</v>
      </c>
      <c r="C3635" s="554" t="s">
        <v>4217</v>
      </c>
      <c r="D3635" s="554" t="s">
        <v>4218</v>
      </c>
      <c r="E3635" s="554"/>
      <c r="F3635" s="571">
        <v>102</v>
      </c>
      <c r="G3635" s="572">
        <v>0.26600000000000001</v>
      </c>
      <c r="H3635" s="545">
        <v>27.132000000000001</v>
      </c>
      <c r="I3635" s="554" t="s">
        <v>9218</v>
      </c>
      <c r="J3635" s="554" t="s">
        <v>9219</v>
      </c>
      <c r="K3635" s="554" t="s">
        <v>9219</v>
      </c>
      <c r="L3635" s="537" t="s">
        <v>2354</v>
      </c>
    </row>
    <row r="3636" spans="1:12" x14ac:dyDescent="0.2">
      <c r="A3636" s="570" t="s">
        <v>220</v>
      </c>
      <c r="B3636" s="547" t="s">
        <v>5430</v>
      </c>
      <c r="C3636" s="554" t="s">
        <v>6868</v>
      </c>
      <c r="D3636" s="554" t="s">
        <v>8564</v>
      </c>
      <c r="E3636" s="554"/>
      <c r="F3636" s="571">
        <v>3</v>
      </c>
      <c r="G3636" s="572">
        <v>3.0569999999999999</v>
      </c>
      <c r="H3636" s="545">
        <v>9.1709999999999994</v>
      </c>
      <c r="I3636" s="554" t="s">
        <v>9218</v>
      </c>
      <c r="J3636" s="554" t="s">
        <v>9219</v>
      </c>
      <c r="K3636" s="554" t="s">
        <v>9219</v>
      </c>
      <c r="L3636" s="537" t="s">
        <v>2354</v>
      </c>
    </row>
    <row r="3637" spans="1:12" x14ac:dyDescent="0.2">
      <c r="A3637" s="570" t="s">
        <v>220</v>
      </c>
      <c r="B3637" s="547" t="s">
        <v>5430</v>
      </c>
      <c r="C3637" s="554" t="s">
        <v>4343</v>
      </c>
      <c r="D3637" s="554" t="s">
        <v>8565</v>
      </c>
      <c r="E3637" s="554"/>
      <c r="F3637" s="571">
        <v>23</v>
      </c>
      <c r="G3637" s="572">
        <v>1.425</v>
      </c>
      <c r="H3637" s="545">
        <v>32.774999999999999</v>
      </c>
      <c r="I3637" s="554" t="s">
        <v>9218</v>
      </c>
      <c r="J3637" s="554" t="s">
        <v>9219</v>
      </c>
      <c r="K3637" s="554" t="s">
        <v>9219</v>
      </c>
      <c r="L3637" s="537" t="s">
        <v>2354</v>
      </c>
    </row>
    <row r="3638" spans="1:12" x14ac:dyDescent="0.2">
      <c r="A3638" s="570" t="s">
        <v>220</v>
      </c>
      <c r="B3638" s="547" t="s">
        <v>5430</v>
      </c>
      <c r="C3638" s="554" t="s">
        <v>6954</v>
      </c>
      <c r="D3638" s="554" t="s">
        <v>6955</v>
      </c>
      <c r="E3638" s="554"/>
      <c r="F3638" s="571">
        <v>1</v>
      </c>
      <c r="G3638" s="572">
        <v>2.7090000000000001</v>
      </c>
      <c r="H3638" s="545">
        <v>2.7090000000000001</v>
      </c>
      <c r="I3638" s="554" t="s">
        <v>9218</v>
      </c>
      <c r="J3638" s="554" t="s">
        <v>9219</v>
      </c>
      <c r="K3638" s="554" t="s">
        <v>9219</v>
      </c>
      <c r="L3638" s="537" t="s">
        <v>2354</v>
      </c>
    </row>
    <row r="3639" spans="1:12" x14ac:dyDescent="0.2">
      <c r="A3639" s="570" t="s">
        <v>220</v>
      </c>
      <c r="B3639" s="547" t="s">
        <v>5430</v>
      </c>
      <c r="C3639" s="554" t="s">
        <v>4371</v>
      </c>
      <c r="D3639" s="554" t="s">
        <v>4372</v>
      </c>
      <c r="E3639" s="554"/>
      <c r="F3639" s="571">
        <v>12</v>
      </c>
      <c r="G3639" s="572">
        <v>0.33600000000000002</v>
      </c>
      <c r="H3639" s="545">
        <v>4.032</v>
      </c>
      <c r="I3639" s="554" t="s">
        <v>9218</v>
      </c>
      <c r="J3639" s="554" t="s">
        <v>9219</v>
      </c>
      <c r="K3639" s="554" t="s">
        <v>9219</v>
      </c>
      <c r="L3639" s="537" t="s">
        <v>2354</v>
      </c>
    </row>
    <row r="3640" spans="1:12" x14ac:dyDescent="0.2">
      <c r="A3640" s="570" t="s">
        <v>220</v>
      </c>
      <c r="B3640" s="547" t="s">
        <v>5430</v>
      </c>
      <c r="C3640" s="554" t="s">
        <v>4375</v>
      </c>
      <c r="D3640" s="554" t="s">
        <v>4376</v>
      </c>
      <c r="E3640" s="554"/>
      <c r="F3640" s="571">
        <v>76</v>
      </c>
      <c r="G3640" s="572">
        <v>0.65200000000000002</v>
      </c>
      <c r="H3640" s="545">
        <v>49.552</v>
      </c>
      <c r="I3640" s="554" t="s">
        <v>9218</v>
      </c>
      <c r="J3640" s="554" t="s">
        <v>9219</v>
      </c>
      <c r="K3640" s="554" t="s">
        <v>9219</v>
      </c>
      <c r="L3640" s="537" t="s">
        <v>2354</v>
      </c>
    </row>
    <row r="3641" spans="1:12" x14ac:dyDescent="0.2">
      <c r="A3641" s="570" t="s">
        <v>220</v>
      </c>
      <c r="B3641" s="547" t="s">
        <v>5430</v>
      </c>
      <c r="C3641" s="554" t="s">
        <v>6957</v>
      </c>
      <c r="D3641" s="554" t="s">
        <v>6958</v>
      </c>
      <c r="E3641" s="554"/>
      <c r="F3641" s="571">
        <v>1</v>
      </c>
      <c r="G3641" s="572">
        <v>2.427</v>
      </c>
      <c r="H3641" s="545">
        <v>2.427</v>
      </c>
      <c r="I3641" s="554" t="s">
        <v>9218</v>
      </c>
      <c r="J3641" s="554" t="s">
        <v>9219</v>
      </c>
      <c r="K3641" s="554" t="s">
        <v>9219</v>
      </c>
      <c r="L3641" s="537" t="s">
        <v>2354</v>
      </c>
    </row>
    <row r="3642" spans="1:12" x14ac:dyDescent="0.2">
      <c r="A3642" s="570" t="s">
        <v>220</v>
      </c>
      <c r="B3642" s="547" t="s">
        <v>5430</v>
      </c>
      <c r="C3642" s="554" t="s">
        <v>6959</v>
      </c>
      <c r="D3642" s="554" t="s">
        <v>6960</v>
      </c>
      <c r="E3642" s="554"/>
      <c r="F3642" s="571">
        <v>2</v>
      </c>
      <c r="G3642" s="572">
        <v>2.4239999999999999</v>
      </c>
      <c r="H3642" s="545">
        <v>4.8479999999999999</v>
      </c>
      <c r="I3642" s="554" t="s">
        <v>9218</v>
      </c>
      <c r="J3642" s="554" t="s">
        <v>9219</v>
      </c>
      <c r="K3642" s="554" t="s">
        <v>9219</v>
      </c>
      <c r="L3642" s="537" t="s">
        <v>2354</v>
      </c>
    </row>
    <row r="3643" spans="1:12" x14ac:dyDescent="0.2">
      <c r="A3643" s="570" t="s">
        <v>220</v>
      </c>
      <c r="B3643" s="547" t="s">
        <v>5430</v>
      </c>
      <c r="C3643" s="554" t="s">
        <v>4377</v>
      </c>
      <c r="D3643" s="554" t="s">
        <v>4378</v>
      </c>
      <c r="E3643" s="554"/>
      <c r="F3643" s="571">
        <v>27</v>
      </c>
      <c r="G3643" s="572">
        <v>1.6259999999999999</v>
      </c>
      <c r="H3643" s="545">
        <v>43.901999999999994</v>
      </c>
      <c r="I3643" s="554" t="s">
        <v>9218</v>
      </c>
      <c r="J3643" s="554" t="s">
        <v>9219</v>
      </c>
      <c r="K3643" s="554" t="s">
        <v>9219</v>
      </c>
      <c r="L3643" s="537" t="s">
        <v>2354</v>
      </c>
    </row>
    <row r="3644" spans="1:12" x14ac:dyDescent="0.2">
      <c r="A3644" s="570" t="s">
        <v>220</v>
      </c>
      <c r="B3644" s="547" t="s">
        <v>5430</v>
      </c>
      <c r="C3644" s="554" t="s">
        <v>6961</v>
      </c>
      <c r="D3644" s="554" t="s">
        <v>8566</v>
      </c>
      <c r="E3644" s="554"/>
      <c r="F3644" s="571">
        <v>1</v>
      </c>
      <c r="G3644" s="572">
        <v>16.632000000000001</v>
      </c>
      <c r="H3644" s="545">
        <v>16.632000000000001</v>
      </c>
      <c r="I3644" s="554" t="s">
        <v>9218</v>
      </c>
      <c r="J3644" s="554" t="s">
        <v>9219</v>
      </c>
      <c r="K3644" s="554" t="s">
        <v>9219</v>
      </c>
      <c r="L3644" s="537" t="s">
        <v>2354</v>
      </c>
    </row>
    <row r="3645" spans="1:12" x14ac:dyDescent="0.2">
      <c r="A3645" s="570" t="s">
        <v>220</v>
      </c>
      <c r="B3645" s="547" t="s">
        <v>5430</v>
      </c>
      <c r="C3645" s="554" t="s">
        <v>4381</v>
      </c>
      <c r="D3645" s="554" t="s">
        <v>4382</v>
      </c>
      <c r="E3645" s="554"/>
      <c r="F3645" s="571">
        <v>1</v>
      </c>
      <c r="G3645" s="572">
        <v>1.149</v>
      </c>
      <c r="H3645" s="545">
        <v>1.149</v>
      </c>
      <c r="I3645" s="554" t="s">
        <v>9218</v>
      </c>
      <c r="J3645" s="554" t="s">
        <v>9219</v>
      </c>
      <c r="K3645" s="554" t="s">
        <v>9219</v>
      </c>
      <c r="L3645" s="537" t="s">
        <v>2354</v>
      </c>
    </row>
    <row r="3646" spans="1:12" x14ac:dyDescent="0.2">
      <c r="A3646" s="570" t="s">
        <v>220</v>
      </c>
      <c r="B3646" s="547" t="s">
        <v>5430</v>
      </c>
      <c r="C3646" s="554" t="s">
        <v>4395</v>
      </c>
      <c r="D3646" s="554" t="s">
        <v>4396</v>
      </c>
      <c r="E3646" s="554"/>
      <c r="F3646" s="571">
        <v>17</v>
      </c>
      <c r="G3646" s="572">
        <v>6.9710000000000001</v>
      </c>
      <c r="H3646" s="545">
        <v>118.50700000000001</v>
      </c>
      <c r="I3646" s="554" t="s">
        <v>9218</v>
      </c>
      <c r="J3646" s="554" t="s">
        <v>9219</v>
      </c>
      <c r="K3646" s="554" t="s">
        <v>9219</v>
      </c>
      <c r="L3646" s="537" t="s">
        <v>2354</v>
      </c>
    </row>
    <row r="3647" spans="1:12" x14ac:dyDescent="0.2">
      <c r="A3647" s="570" t="s">
        <v>220</v>
      </c>
      <c r="B3647" s="547" t="s">
        <v>5430</v>
      </c>
      <c r="C3647" s="554" t="s">
        <v>8567</v>
      </c>
      <c r="D3647" s="554" t="s">
        <v>8568</v>
      </c>
      <c r="E3647" s="554"/>
      <c r="F3647" s="571">
        <v>3</v>
      </c>
      <c r="G3647" s="572">
        <v>7.7629999999999999</v>
      </c>
      <c r="H3647" s="545">
        <v>23.289000000000001</v>
      </c>
      <c r="I3647" s="554" t="s">
        <v>9218</v>
      </c>
      <c r="J3647" s="554" t="s">
        <v>9219</v>
      </c>
      <c r="K3647" s="554" t="s">
        <v>9219</v>
      </c>
      <c r="L3647" s="537" t="s">
        <v>2354</v>
      </c>
    </row>
    <row r="3648" spans="1:12" x14ac:dyDescent="0.2">
      <c r="A3648" s="570" t="s">
        <v>220</v>
      </c>
      <c r="B3648" s="547" t="s">
        <v>5430</v>
      </c>
      <c r="C3648" s="554" t="s">
        <v>4403</v>
      </c>
      <c r="D3648" s="554" t="s">
        <v>8569</v>
      </c>
      <c r="E3648" s="554"/>
      <c r="F3648" s="571">
        <v>20</v>
      </c>
      <c r="G3648" s="572">
        <v>1.133</v>
      </c>
      <c r="H3648" s="545">
        <v>22.66</v>
      </c>
      <c r="I3648" s="554" t="s">
        <v>9218</v>
      </c>
      <c r="J3648" s="554" t="s">
        <v>9219</v>
      </c>
      <c r="K3648" s="554" t="s">
        <v>9219</v>
      </c>
      <c r="L3648" s="537" t="s">
        <v>2354</v>
      </c>
    </row>
    <row r="3649" spans="1:12" x14ac:dyDescent="0.2">
      <c r="A3649" s="570" t="s">
        <v>220</v>
      </c>
      <c r="B3649" s="547" t="s">
        <v>5430</v>
      </c>
      <c r="C3649" s="554" t="s">
        <v>6963</v>
      </c>
      <c r="D3649" s="554" t="s">
        <v>8570</v>
      </c>
      <c r="E3649" s="554"/>
      <c r="F3649" s="571">
        <v>5</v>
      </c>
      <c r="G3649" s="572">
        <v>12.914999999999999</v>
      </c>
      <c r="H3649" s="545">
        <v>64.574999999999989</v>
      </c>
      <c r="I3649" s="554" t="s">
        <v>9218</v>
      </c>
      <c r="J3649" s="554" t="s">
        <v>9219</v>
      </c>
      <c r="K3649" s="554" t="s">
        <v>9219</v>
      </c>
      <c r="L3649" s="537" t="s">
        <v>2354</v>
      </c>
    </row>
    <row r="3650" spans="1:12" x14ac:dyDescent="0.2">
      <c r="A3650" s="570" t="s">
        <v>220</v>
      </c>
      <c r="B3650" s="547" t="s">
        <v>5430</v>
      </c>
      <c r="C3650" s="554" t="s">
        <v>5410</v>
      </c>
      <c r="D3650" s="554" t="s">
        <v>8571</v>
      </c>
      <c r="E3650" s="554"/>
      <c r="F3650" s="571">
        <v>1</v>
      </c>
      <c r="G3650" s="572">
        <v>5.4089999999999998</v>
      </c>
      <c r="H3650" s="545">
        <v>5.4089999999999998</v>
      </c>
      <c r="I3650" s="554" t="s">
        <v>9218</v>
      </c>
      <c r="J3650" s="554" t="s">
        <v>9219</v>
      </c>
      <c r="K3650" s="554" t="s">
        <v>9219</v>
      </c>
      <c r="L3650" s="537" t="s">
        <v>2354</v>
      </c>
    </row>
    <row r="3651" spans="1:12" x14ac:dyDescent="0.2">
      <c r="A3651" s="570" t="s">
        <v>220</v>
      </c>
      <c r="B3651" s="547" t="s">
        <v>5430</v>
      </c>
      <c r="C3651" s="554" t="s">
        <v>4442</v>
      </c>
      <c r="D3651" s="554" t="s">
        <v>8572</v>
      </c>
      <c r="E3651" s="554"/>
      <c r="F3651" s="571">
        <v>10</v>
      </c>
      <c r="G3651" s="572">
        <v>0.22700000000000001</v>
      </c>
      <c r="H3651" s="545">
        <v>2.27</v>
      </c>
      <c r="I3651" s="554" t="s">
        <v>9218</v>
      </c>
      <c r="J3651" s="554" t="s">
        <v>9219</v>
      </c>
      <c r="K3651" s="554" t="s">
        <v>9219</v>
      </c>
      <c r="L3651" s="537" t="s">
        <v>2354</v>
      </c>
    </row>
    <row r="3652" spans="1:12" x14ac:dyDescent="0.2">
      <c r="A3652" s="570" t="s">
        <v>220</v>
      </c>
      <c r="B3652" s="547" t="s">
        <v>5430</v>
      </c>
      <c r="C3652" s="554" t="s">
        <v>4444</v>
      </c>
      <c r="D3652" s="554" t="s">
        <v>8573</v>
      </c>
      <c r="E3652" s="554"/>
      <c r="F3652" s="571">
        <v>2</v>
      </c>
      <c r="G3652" s="572">
        <v>0.30199999999999999</v>
      </c>
      <c r="H3652" s="545">
        <v>0.60399999999999998</v>
      </c>
      <c r="I3652" s="554" t="s">
        <v>9218</v>
      </c>
      <c r="J3652" s="554" t="s">
        <v>9219</v>
      </c>
      <c r="K3652" s="554" t="s">
        <v>9219</v>
      </c>
      <c r="L3652" s="537" t="s">
        <v>2354</v>
      </c>
    </row>
    <row r="3653" spans="1:12" x14ac:dyDescent="0.2">
      <c r="A3653" s="570" t="s">
        <v>220</v>
      </c>
      <c r="B3653" s="547" t="s">
        <v>5430</v>
      </c>
      <c r="C3653" s="554" t="s">
        <v>4446</v>
      </c>
      <c r="D3653" s="554" t="s">
        <v>8574</v>
      </c>
      <c r="E3653" s="554"/>
      <c r="F3653" s="571">
        <v>7</v>
      </c>
      <c r="G3653" s="572">
        <v>0.34200000000000003</v>
      </c>
      <c r="H3653" s="545">
        <v>2.3940000000000001</v>
      </c>
      <c r="I3653" s="554" t="s">
        <v>9218</v>
      </c>
      <c r="J3653" s="554" t="s">
        <v>9219</v>
      </c>
      <c r="K3653" s="554" t="s">
        <v>9219</v>
      </c>
      <c r="L3653" s="537" t="s">
        <v>2354</v>
      </c>
    </row>
    <row r="3654" spans="1:12" x14ac:dyDescent="0.2">
      <c r="A3654" s="570" t="s">
        <v>220</v>
      </c>
      <c r="B3654" s="547" t="s">
        <v>5430</v>
      </c>
      <c r="C3654" s="554" t="s">
        <v>8575</v>
      </c>
      <c r="D3654" s="554" t="s">
        <v>8576</v>
      </c>
      <c r="E3654" s="554"/>
      <c r="F3654" s="571">
        <v>3</v>
      </c>
      <c r="G3654" s="572">
        <v>0.41299999999999998</v>
      </c>
      <c r="H3654" s="545">
        <v>1.2389999999999999</v>
      </c>
      <c r="I3654" s="554" t="s">
        <v>9218</v>
      </c>
      <c r="J3654" s="554" t="s">
        <v>9219</v>
      </c>
      <c r="K3654" s="554" t="s">
        <v>9219</v>
      </c>
      <c r="L3654" s="537" t="s">
        <v>2354</v>
      </c>
    </row>
    <row r="3655" spans="1:12" x14ac:dyDescent="0.2">
      <c r="A3655" s="570" t="s">
        <v>220</v>
      </c>
      <c r="B3655" s="547" t="s">
        <v>5430</v>
      </c>
      <c r="C3655" s="554" t="s">
        <v>4464</v>
      </c>
      <c r="D3655" s="554" t="s">
        <v>4465</v>
      </c>
      <c r="E3655" s="554"/>
      <c r="F3655" s="571">
        <v>300</v>
      </c>
      <c r="G3655" s="572">
        <v>6.4000000000000001E-2</v>
      </c>
      <c r="H3655" s="545">
        <v>19.2</v>
      </c>
      <c r="I3655" s="554" t="s">
        <v>9218</v>
      </c>
      <c r="J3655" s="554" t="s">
        <v>9219</v>
      </c>
      <c r="K3655" s="554" t="s">
        <v>9219</v>
      </c>
      <c r="L3655" s="537" t="s">
        <v>2354</v>
      </c>
    </row>
    <row r="3656" spans="1:12" x14ac:dyDescent="0.2">
      <c r="A3656" s="570" t="s">
        <v>220</v>
      </c>
      <c r="B3656" s="547" t="s">
        <v>5430</v>
      </c>
      <c r="C3656" s="554" t="s">
        <v>4490</v>
      </c>
      <c r="D3656" s="554" t="s">
        <v>4491</v>
      </c>
      <c r="E3656" s="554"/>
      <c r="F3656" s="571">
        <v>21</v>
      </c>
      <c r="G3656" s="572">
        <v>0.78800000000000003</v>
      </c>
      <c r="H3656" s="545">
        <v>16.548000000000002</v>
      </c>
      <c r="I3656" s="554" t="s">
        <v>9218</v>
      </c>
      <c r="J3656" s="554" t="s">
        <v>9219</v>
      </c>
      <c r="K3656" s="554" t="s">
        <v>9219</v>
      </c>
      <c r="L3656" s="537" t="s">
        <v>2354</v>
      </c>
    </row>
    <row r="3657" spans="1:12" x14ac:dyDescent="0.2">
      <c r="A3657" s="570" t="s">
        <v>220</v>
      </c>
      <c r="B3657" s="547" t="s">
        <v>5430</v>
      </c>
      <c r="C3657" s="554" t="s">
        <v>4514</v>
      </c>
      <c r="D3657" s="554" t="s">
        <v>8577</v>
      </c>
      <c r="E3657" s="554"/>
      <c r="F3657" s="571">
        <v>5</v>
      </c>
      <c r="G3657" s="572">
        <v>2.4390000000000001</v>
      </c>
      <c r="H3657" s="545">
        <v>12.195</v>
      </c>
      <c r="I3657" s="554" t="s">
        <v>9218</v>
      </c>
      <c r="J3657" s="554" t="s">
        <v>9219</v>
      </c>
      <c r="K3657" s="554" t="s">
        <v>9219</v>
      </c>
      <c r="L3657" s="537" t="s">
        <v>2354</v>
      </c>
    </row>
    <row r="3658" spans="1:12" x14ac:dyDescent="0.2">
      <c r="A3658" s="570" t="s">
        <v>220</v>
      </c>
      <c r="B3658" s="547" t="s">
        <v>5430</v>
      </c>
      <c r="C3658" s="554" t="s">
        <v>4516</v>
      </c>
      <c r="D3658" s="554" t="s">
        <v>8578</v>
      </c>
      <c r="E3658" s="554"/>
      <c r="F3658" s="571">
        <v>23</v>
      </c>
      <c r="G3658" s="572">
        <v>2.7120000000000002</v>
      </c>
      <c r="H3658" s="545">
        <v>62.376000000000005</v>
      </c>
      <c r="I3658" s="554" t="s">
        <v>9218</v>
      </c>
      <c r="J3658" s="554" t="s">
        <v>9219</v>
      </c>
      <c r="K3658" s="554" t="s">
        <v>9219</v>
      </c>
      <c r="L3658" s="537" t="s">
        <v>2354</v>
      </c>
    </row>
    <row r="3659" spans="1:12" x14ac:dyDescent="0.2">
      <c r="A3659" s="570" t="s">
        <v>220</v>
      </c>
      <c r="B3659" s="547" t="s">
        <v>5430</v>
      </c>
      <c r="C3659" s="554" t="s">
        <v>4518</v>
      </c>
      <c r="D3659" s="554" t="s">
        <v>8579</v>
      </c>
      <c r="E3659" s="554"/>
      <c r="F3659" s="571">
        <v>32</v>
      </c>
      <c r="G3659" s="572">
        <v>6.2869999999999999</v>
      </c>
      <c r="H3659" s="545">
        <v>201.184</v>
      </c>
      <c r="I3659" s="554" t="s">
        <v>9218</v>
      </c>
      <c r="J3659" s="554" t="s">
        <v>9219</v>
      </c>
      <c r="K3659" s="554" t="s">
        <v>9219</v>
      </c>
      <c r="L3659" s="537" t="s">
        <v>2354</v>
      </c>
    </row>
    <row r="3660" spans="1:12" x14ac:dyDescent="0.2">
      <c r="A3660" s="570" t="s">
        <v>220</v>
      </c>
      <c r="B3660" s="547" t="s">
        <v>5430</v>
      </c>
      <c r="C3660" s="554" t="s">
        <v>7002</v>
      </c>
      <c r="D3660" s="554" t="s">
        <v>8580</v>
      </c>
      <c r="E3660" s="554"/>
      <c r="F3660" s="571">
        <v>4</v>
      </c>
      <c r="G3660" s="572">
        <v>5.7080000000000002</v>
      </c>
      <c r="H3660" s="545">
        <v>22.832000000000001</v>
      </c>
      <c r="I3660" s="554" t="s">
        <v>9218</v>
      </c>
      <c r="J3660" s="554" t="s">
        <v>9219</v>
      </c>
      <c r="K3660" s="554" t="s">
        <v>9219</v>
      </c>
      <c r="L3660" s="537" t="s">
        <v>2354</v>
      </c>
    </row>
    <row r="3661" spans="1:12" x14ac:dyDescent="0.2">
      <c r="A3661" s="570" t="s">
        <v>220</v>
      </c>
      <c r="B3661" s="547" t="s">
        <v>5430</v>
      </c>
      <c r="C3661" s="554" t="s">
        <v>7004</v>
      </c>
      <c r="D3661" s="554" t="s">
        <v>8581</v>
      </c>
      <c r="E3661" s="554"/>
      <c r="F3661" s="571">
        <v>10</v>
      </c>
      <c r="G3661" s="572">
        <v>3.93</v>
      </c>
      <c r="H3661" s="545">
        <v>39.300000000000004</v>
      </c>
      <c r="I3661" s="554" t="s">
        <v>9218</v>
      </c>
      <c r="J3661" s="554" t="s">
        <v>9219</v>
      </c>
      <c r="K3661" s="554" t="s">
        <v>9219</v>
      </c>
      <c r="L3661" s="537" t="s">
        <v>2354</v>
      </c>
    </row>
    <row r="3662" spans="1:12" x14ac:dyDescent="0.2">
      <c r="A3662" s="570" t="s">
        <v>220</v>
      </c>
      <c r="B3662" s="547" t="s">
        <v>5430</v>
      </c>
      <c r="C3662" s="554" t="s">
        <v>7008</v>
      </c>
      <c r="D3662" s="554" t="s">
        <v>8582</v>
      </c>
      <c r="E3662" s="554"/>
      <c r="F3662" s="571">
        <v>200</v>
      </c>
      <c r="G3662" s="572">
        <v>0.157</v>
      </c>
      <c r="H3662" s="545">
        <v>31.4</v>
      </c>
      <c r="I3662" s="554" t="s">
        <v>9218</v>
      </c>
      <c r="J3662" s="554" t="s">
        <v>9219</v>
      </c>
      <c r="K3662" s="554" t="s">
        <v>9219</v>
      </c>
      <c r="L3662" s="537" t="s">
        <v>2354</v>
      </c>
    </row>
    <row r="3663" spans="1:12" x14ac:dyDescent="0.2">
      <c r="A3663" s="570" t="s">
        <v>220</v>
      </c>
      <c r="B3663" s="547" t="s">
        <v>5430</v>
      </c>
      <c r="C3663" s="554" t="s">
        <v>7010</v>
      </c>
      <c r="D3663" s="554" t="s">
        <v>8583</v>
      </c>
      <c r="E3663" s="554"/>
      <c r="F3663" s="571">
        <v>200</v>
      </c>
      <c r="G3663" s="572">
        <v>0.20100000000000001</v>
      </c>
      <c r="H3663" s="545">
        <v>40.200000000000003</v>
      </c>
      <c r="I3663" s="554" t="s">
        <v>9218</v>
      </c>
      <c r="J3663" s="554" t="s">
        <v>9219</v>
      </c>
      <c r="K3663" s="554" t="s">
        <v>9219</v>
      </c>
      <c r="L3663" s="537" t="s">
        <v>2354</v>
      </c>
    </row>
    <row r="3664" spans="1:12" x14ac:dyDescent="0.2">
      <c r="A3664" s="570" t="s">
        <v>220</v>
      </c>
      <c r="B3664" s="547" t="s">
        <v>5430</v>
      </c>
      <c r="C3664" s="554" t="s">
        <v>7012</v>
      </c>
      <c r="D3664" s="554" t="s">
        <v>8584</v>
      </c>
      <c r="E3664" s="554"/>
      <c r="F3664" s="571">
        <v>300</v>
      </c>
      <c r="G3664" s="572">
        <v>0.215</v>
      </c>
      <c r="H3664" s="545">
        <v>64.5</v>
      </c>
      <c r="I3664" s="554" t="s">
        <v>9218</v>
      </c>
      <c r="J3664" s="554" t="s">
        <v>9219</v>
      </c>
      <c r="K3664" s="554" t="s">
        <v>9219</v>
      </c>
      <c r="L3664" s="537" t="s">
        <v>2354</v>
      </c>
    </row>
    <row r="3665" spans="1:12" x14ac:dyDescent="0.2">
      <c r="A3665" s="570" t="s">
        <v>220</v>
      </c>
      <c r="B3665" s="547" t="s">
        <v>5430</v>
      </c>
      <c r="C3665" s="554" t="s">
        <v>8585</v>
      </c>
      <c r="D3665" s="554" t="s">
        <v>8586</v>
      </c>
      <c r="E3665" s="554"/>
      <c r="F3665" s="571">
        <v>1</v>
      </c>
      <c r="G3665" s="572">
        <v>5.891</v>
      </c>
      <c r="H3665" s="545">
        <v>5.891</v>
      </c>
      <c r="I3665" s="554" t="s">
        <v>9218</v>
      </c>
      <c r="J3665" s="554" t="s">
        <v>9219</v>
      </c>
      <c r="K3665" s="554" t="s">
        <v>9219</v>
      </c>
      <c r="L3665" s="537" t="s">
        <v>2354</v>
      </c>
    </row>
    <row r="3666" spans="1:12" x14ac:dyDescent="0.2">
      <c r="A3666" s="570" t="s">
        <v>220</v>
      </c>
      <c r="B3666" s="547" t="s">
        <v>5430</v>
      </c>
      <c r="C3666" s="554" t="s">
        <v>7016</v>
      </c>
      <c r="D3666" s="554" t="s">
        <v>7017</v>
      </c>
      <c r="E3666" s="554"/>
      <c r="F3666" s="571">
        <v>1</v>
      </c>
      <c r="G3666" s="572">
        <v>4.1479999999999997</v>
      </c>
      <c r="H3666" s="545">
        <v>4.1479999999999997</v>
      </c>
      <c r="I3666" s="554" t="s">
        <v>9218</v>
      </c>
      <c r="J3666" s="554" t="s">
        <v>9219</v>
      </c>
      <c r="K3666" s="554" t="s">
        <v>9219</v>
      </c>
      <c r="L3666" s="537" t="s">
        <v>2354</v>
      </c>
    </row>
    <row r="3667" spans="1:12" x14ac:dyDescent="0.2">
      <c r="A3667" s="570" t="s">
        <v>220</v>
      </c>
      <c r="B3667" s="547" t="s">
        <v>5430</v>
      </c>
      <c r="C3667" s="554" t="s">
        <v>7018</v>
      </c>
      <c r="D3667" s="554" t="s">
        <v>8587</v>
      </c>
      <c r="E3667" s="554"/>
      <c r="F3667" s="571">
        <v>2</v>
      </c>
      <c r="G3667" s="572">
        <v>3.597</v>
      </c>
      <c r="H3667" s="545">
        <v>7.194</v>
      </c>
      <c r="I3667" s="554" t="s">
        <v>9218</v>
      </c>
      <c r="J3667" s="554" t="s">
        <v>9219</v>
      </c>
      <c r="K3667" s="554" t="s">
        <v>9219</v>
      </c>
      <c r="L3667" s="537" t="s">
        <v>2354</v>
      </c>
    </row>
    <row r="3668" spans="1:12" x14ac:dyDescent="0.2">
      <c r="A3668" s="570" t="s">
        <v>220</v>
      </c>
      <c r="B3668" s="547" t="s">
        <v>5430</v>
      </c>
      <c r="C3668" s="554" t="s">
        <v>4548</v>
      </c>
      <c r="D3668" s="554" t="s">
        <v>4549</v>
      </c>
      <c r="E3668" s="554"/>
      <c r="F3668" s="571">
        <v>13</v>
      </c>
      <c r="G3668" s="572">
        <v>1.26</v>
      </c>
      <c r="H3668" s="545">
        <v>16.38</v>
      </c>
      <c r="I3668" s="554" t="s">
        <v>9218</v>
      </c>
      <c r="J3668" s="554" t="s">
        <v>9219</v>
      </c>
      <c r="K3668" s="554" t="s">
        <v>9219</v>
      </c>
      <c r="L3668" s="537" t="s">
        <v>2354</v>
      </c>
    </row>
    <row r="3669" spans="1:12" x14ac:dyDescent="0.2">
      <c r="A3669" s="570" t="s">
        <v>220</v>
      </c>
      <c r="B3669" s="547" t="s">
        <v>5430</v>
      </c>
      <c r="C3669" s="554" t="s">
        <v>8588</v>
      </c>
      <c r="D3669" s="554" t="s">
        <v>8589</v>
      </c>
      <c r="E3669" s="554"/>
      <c r="F3669" s="571">
        <v>9</v>
      </c>
      <c r="G3669" s="572">
        <v>0.45800000000000002</v>
      </c>
      <c r="H3669" s="545">
        <v>4.1219999999999999</v>
      </c>
      <c r="I3669" s="554" t="s">
        <v>9218</v>
      </c>
      <c r="J3669" s="554" t="s">
        <v>9219</v>
      </c>
      <c r="K3669" s="554" t="s">
        <v>9219</v>
      </c>
      <c r="L3669" s="537" t="s">
        <v>2354</v>
      </c>
    </row>
    <row r="3670" spans="1:12" x14ac:dyDescent="0.2">
      <c r="A3670" s="570" t="s">
        <v>220</v>
      </c>
      <c r="B3670" s="547" t="s">
        <v>5430</v>
      </c>
      <c r="C3670" s="554" t="s">
        <v>8590</v>
      </c>
      <c r="D3670" s="554" t="s">
        <v>8591</v>
      </c>
      <c r="E3670" s="554"/>
      <c r="F3670" s="571">
        <v>10</v>
      </c>
      <c r="G3670" s="572">
        <v>1.1459999999999999</v>
      </c>
      <c r="H3670" s="545">
        <v>11.459999999999999</v>
      </c>
      <c r="I3670" s="554" t="s">
        <v>9218</v>
      </c>
      <c r="J3670" s="554" t="s">
        <v>9219</v>
      </c>
      <c r="K3670" s="554" t="s">
        <v>9219</v>
      </c>
      <c r="L3670" s="537" t="s">
        <v>2354</v>
      </c>
    </row>
    <row r="3671" spans="1:12" x14ac:dyDescent="0.2">
      <c r="A3671" s="570" t="s">
        <v>220</v>
      </c>
      <c r="B3671" s="547" t="s">
        <v>5430</v>
      </c>
      <c r="C3671" s="554" t="s">
        <v>8592</v>
      </c>
      <c r="D3671" s="554" t="s">
        <v>8593</v>
      </c>
      <c r="E3671" s="554"/>
      <c r="F3671" s="571">
        <v>7</v>
      </c>
      <c r="G3671" s="572">
        <v>1.48</v>
      </c>
      <c r="H3671" s="545">
        <v>10.36</v>
      </c>
      <c r="I3671" s="554" t="s">
        <v>9218</v>
      </c>
      <c r="J3671" s="554" t="s">
        <v>9219</v>
      </c>
      <c r="K3671" s="554" t="s">
        <v>9219</v>
      </c>
      <c r="L3671" s="537" t="s">
        <v>2354</v>
      </c>
    </row>
    <row r="3672" spans="1:12" x14ac:dyDescent="0.2">
      <c r="A3672" s="570" t="s">
        <v>220</v>
      </c>
      <c r="B3672" s="547" t="s">
        <v>5430</v>
      </c>
      <c r="C3672" s="554" t="s">
        <v>8594</v>
      </c>
      <c r="D3672" s="554" t="s">
        <v>8595</v>
      </c>
      <c r="E3672" s="554"/>
      <c r="F3672" s="571">
        <v>10</v>
      </c>
      <c r="G3672" s="572">
        <v>3.4119999999999999</v>
      </c>
      <c r="H3672" s="545">
        <v>34.119999999999997</v>
      </c>
      <c r="I3672" s="554" t="s">
        <v>9218</v>
      </c>
      <c r="J3672" s="554" t="s">
        <v>9219</v>
      </c>
      <c r="K3672" s="554" t="s">
        <v>9219</v>
      </c>
      <c r="L3672" s="537" t="s">
        <v>2354</v>
      </c>
    </row>
    <row r="3673" spans="1:12" x14ac:dyDescent="0.2">
      <c r="A3673" s="570" t="s">
        <v>220</v>
      </c>
      <c r="B3673" s="547" t="s">
        <v>5430</v>
      </c>
      <c r="C3673" s="554" t="s">
        <v>8596</v>
      </c>
      <c r="D3673" s="554" t="s">
        <v>7050</v>
      </c>
      <c r="E3673" s="554"/>
      <c r="F3673" s="571">
        <v>1</v>
      </c>
      <c r="G3673" s="572">
        <v>10.659000000000001</v>
      </c>
      <c r="H3673" s="545">
        <v>10.659000000000001</v>
      </c>
      <c r="I3673" s="554" t="s">
        <v>9218</v>
      </c>
      <c r="J3673" s="554" t="s">
        <v>9219</v>
      </c>
      <c r="K3673" s="554" t="s">
        <v>9219</v>
      </c>
      <c r="L3673" s="537" t="s">
        <v>2354</v>
      </c>
    </row>
    <row r="3674" spans="1:12" x14ac:dyDescent="0.2">
      <c r="A3674" s="570" t="s">
        <v>220</v>
      </c>
      <c r="B3674" s="547" t="s">
        <v>5430</v>
      </c>
      <c r="C3674" s="554" t="s">
        <v>4588</v>
      </c>
      <c r="D3674" s="554" t="s">
        <v>4589</v>
      </c>
      <c r="E3674" s="554"/>
      <c r="F3674" s="571">
        <v>101</v>
      </c>
      <c r="G3674" s="572">
        <v>0.621</v>
      </c>
      <c r="H3674" s="545">
        <v>62.720999999999997</v>
      </c>
      <c r="I3674" s="554" t="s">
        <v>9218</v>
      </c>
      <c r="J3674" s="554" t="s">
        <v>9219</v>
      </c>
      <c r="K3674" s="554" t="s">
        <v>9219</v>
      </c>
      <c r="L3674" s="537" t="s">
        <v>2354</v>
      </c>
    </row>
    <row r="3675" spans="1:12" x14ac:dyDescent="0.2">
      <c r="A3675" s="570" t="s">
        <v>220</v>
      </c>
      <c r="B3675" s="547" t="s">
        <v>5430</v>
      </c>
      <c r="C3675" s="554" t="s">
        <v>4590</v>
      </c>
      <c r="D3675" s="554" t="s">
        <v>4591</v>
      </c>
      <c r="E3675" s="554"/>
      <c r="F3675" s="571">
        <v>43</v>
      </c>
      <c r="G3675" s="572">
        <v>0.72399999999999998</v>
      </c>
      <c r="H3675" s="545">
        <v>31.131999999999998</v>
      </c>
      <c r="I3675" s="554" t="s">
        <v>9218</v>
      </c>
      <c r="J3675" s="554" t="s">
        <v>9219</v>
      </c>
      <c r="K3675" s="554" t="s">
        <v>9219</v>
      </c>
      <c r="L3675" s="537" t="s">
        <v>2354</v>
      </c>
    </row>
    <row r="3676" spans="1:12" x14ac:dyDescent="0.2">
      <c r="A3676" s="570" t="s">
        <v>220</v>
      </c>
      <c r="B3676" s="547" t="s">
        <v>5430</v>
      </c>
      <c r="C3676" s="554" t="s">
        <v>4594</v>
      </c>
      <c r="D3676" s="554" t="s">
        <v>4595</v>
      </c>
      <c r="E3676" s="554"/>
      <c r="F3676" s="571">
        <v>4.5</v>
      </c>
      <c r="G3676" s="572">
        <v>34.478999999999999</v>
      </c>
      <c r="H3676" s="545">
        <v>155.15549999999999</v>
      </c>
      <c r="I3676" s="554" t="s">
        <v>9218</v>
      </c>
      <c r="J3676" s="554" t="s">
        <v>9219</v>
      </c>
      <c r="K3676" s="554" t="s">
        <v>9219</v>
      </c>
      <c r="L3676" s="537" t="s">
        <v>2354</v>
      </c>
    </row>
    <row r="3677" spans="1:12" x14ac:dyDescent="0.2">
      <c r="A3677" s="570" t="s">
        <v>220</v>
      </c>
      <c r="B3677" s="547" t="s">
        <v>5430</v>
      </c>
      <c r="C3677" s="554" t="s">
        <v>8597</v>
      </c>
      <c r="D3677" s="554" t="s">
        <v>8598</v>
      </c>
      <c r="E3677" s="554"/>
      <c r="F3677" s="571">
        <v>75</v>
      </c>
      <c r="G3677" s="572">
        <v>1.37</v>
      </c>
      <c r="H3677" s="545">
        <v>102.75000000000001</v>
      </c>
      <c r="I3677" s="554" t="s">
        <v>9218</v>
      </c>
      <c r="J3677" s="554" t="s">
        <v>9219</v>
      </c>
      <c r="K3677" s="554" t="s">
        <v>9219</v>
      </c>
      <c r="L3677" s="537" t="s">
        <v>2354</v>
      </c>
    </row>
    <row r="3678" spans="1:12" x14ac:dyDescent="0.2">
      <c r="A3678" s="570" t="s">
        <v>220</v>
      </c>
      <c r="B3678" s="547" t="s">
        <v>5430</v>
      </c>
      <c r="C3678" s="554" t="s">
        <v>7059</v>
      </c>
      <c r="D3678" s="554" t="s">
        <v>4607</v>
      </c>
      <c r="E3678" s="554"/>
      <c r="F3678" s="571">
        <v>68</v>
      </c>
      <c r="G3678" s="572">
        <v>7.444</v>
      </c>
      <c r="H3678" s="545">
        <v>506.19200000000001</v>
      </c>
      <c r="I3678" s="554" t="s">
        <v>9218</v>
      </c>
      <c r="J3678" s="554" t="s">
        <v>9219</v>
      </c>
      <c r="K3678" s="554" t="s">
        <v>9219</v>
      </c>
      <c r="L3678" s="537" t="s">
        <v>2354</v>
      </c>
    </row>
    <row r="3679" spans="1:12" x14ac:dyDescent="0.2">
      <c r="A3679" s="570" t="s">
        <v>220</v>
      </c>
      <c r="B3679" s="547" t="s">
        <v>5430</v>
      </c>
      <c r="C3679" s="554" t="s">
        <v>4608</v>
      </c>
      <c r="D3679" s="554" t="s">
        <v>4609</v>
      </c>
      <c r="E3679" s="554"/>
      <c r="F3679" s="571">
        <v>23</v>
      </c>
      <c r="G3679" s="572">
        <v>2.3239999999999998</v>
      </c>
      <c r="H3679" s="545">
        <v>53.451999999999998</v>
      </c>
      <c r="I3679" s="554" t="s">
        <v>9218</v>
      </c>
      <c r="J3679" s="554" t="s">
        <v>9219</v>
      </c>
      <c r="K3679" s="554" t="s">
        <v>9219</v>
      </c>
      <c r="L3679" s="537" t="s">
        <v>2354</v>
      </c>
    </row>
    <row r="3680" spans="1:12" x14ac:dyDescent="0.2">
      <c r="A3680" s="570" t="s">
        <v>220</v>
      </c>
      <c r="B3680" s="547" t="s">
        <v>5430</v>
      </c>
      <c r="C3680" s="554" t="s">
        <v>8599</v>
      </c>
      <c r="D3680" s="554" t="s">
        <v>4609</v>
      </c>
      <c r="E3680" s="554"/>
      <c r="F3680" s="571">
        <v>46</v>
      </c>
      <c r="G3680" s="572">
        <v>2.4609999999999999</v>
      </c>
      <c r="H3680" s="545">
        <v>113.20599999999999</v>
      </c>
      <c r="I3680" s="554" t="s">
        <v>9218</v>
      </c>
      <c r="J3680" s="554" t="s">
        <v>9219</v>
      </c>
      <c r="K3680" s="554" t="s">
        <v>9219</v>
      </c>
      <c r="L3680" s="537" t="s">
        <v>2354</v>
      </c>
    </row>
    <row r="3681" spans="1:12" x14ac:dyDescent="0.2">
      <c r="A3681" s="570" t="s">
        <v>220</v>
      </c>
      <c r="B3681" s="547" t="s">
        <v>5430</v>
      </c>
      <c r="C3681" s="554" t="s">
        <v>4614</v>
      </c>
      <c r="D3681" s="554" t="s">
        <v>8600</v>
      </c>
      <c r="E3681" s="554"/>
      <c r="F3681" s="571">
        <v>84</v>
      </c>
      <c r="G3681" s="572">
        <v>3.7570000000000001</v>
      </c>
      <c r="H3681" s="545">
        <v>315.58800000000002</v>
      </c>
      <c r="I3681" s="554" t="s">
        <v>9218</v>
      </c>
      <c r="J3681" s="554" t="s">
        <v>9219</v>
      </c>
      <c r="K3681" s="554" t="s">
        <v>9219</v>
      </c>
      <c r="L3681" s="537" t="s">
        <v>2354</v>
      </c>
    </row>
    <row r="3682" spans="1:12" x14ac:dyDescent="0.2">
      <c r="A3682" s="570" t="s">
        <v>220</v>
      </c>
      <c r="B3682" s="547" t="s">
        <v>5430</v>
      </c>
      <c r="C3682" s="554" t="s">
        <v>4616</v>
      </c>
      <c r="D3682" s="554" t="s">
        <v>8601</v>
      </c>
      <c r="E3682" s="554"/>
      <c r="F3682" s="571">
        <v>139</v>
      </c>
      <c r="G3682" s="572">
        <v>1.476</v>
      </c>
      <c r="H3682" s="545">
        <v>205.16399999999999</v>
      </c>
      <c r="I3682" s="554" t="s">
        <v>9218</v>
      </c>
      <c r="J3682" s="554" t="s">
        <v>9219</v>
      </c>
      <c r="K3682" s="554" t="s">
        <v>9219</v>
      </c>
      <c r="L3682" s="537" t="s">
        <v>2354</v>
      </c>
    </row>
    <row r="3683" spans="1:12" x14ac:dyDescent="0.2">
      <c r="A3683" s="570" t="s">
        <v>220</v>
      </c>
      <c r="B3683" s="547" t="s">
        <v>5430</v>
      </c>
      <c r="C3683" s="554" t="s">
        <v>7060</v>
      </c>
      <c r="D3683" s="554" t="s">
        <v>8602</v>
      </c>
      <c r="E3683" s="554"/>
      <c r="F3683" s="571">
        <v>7</v>
      </c>
      <c r="G3683" s="572">
        <v>0.95599999999999996</v>
      </c>
      <c r="H3683" s="545">
        <v>6.6920000000000002</v>
      </c>
      <c r="I3683" s="554" t="s">
        <v>9218</v>
      </c>
      <c r="J3683" s="554" t="s">
        <v>9219</v>
      </c>
      <c r="K3683" s="554" t="s">
        <v>9219</v>
      </c>
      <c r="L3683" s="537" t="s">
        <v>2354</v>
      </c>
    </row>
    <row r="3684" spans="1:12" x14ac:dyDescent="0.2">
      <c r="A3684" s="570" t="s">
        <v>220</v>
      </c>
      <c r="B3684" s="547" t="s">
        <v>5430</v>
      </c>
      <c r="C3684" s="554" t="s">
        <v>4618</v>
      </c>
      <c r="D3684" s="554" t="s">
        <v>4619</v>
      </c>
      <c r="E3684" s="554"/>
      <c r="F3684" s="571">
        <v>3</v>
      </c>
      <c r="G3684" s="572">
        <v>22.452000000000002</v>
      </c>
      <c r="H3684" s="545">
        <v>67.356000000000009</v>
      </c>
      <c r="I3684" s="554" t="s">
        <v>9218</v>
      </c>
      <c r="J3684" s="554" t="s">
        <v>9219</v>
      </c>
      <c r="K3684" s="554" t="s">
        <v>9219</v>
      </c>
      <c r="L3684" s="537" t="s">
        <v>2354</v>
      </c>
    </row>
    <row r="3685" spans="1:12" x14ac:dyDescent="0.2">
      <c r="A3685" s="570" t="s">
        <v>220</v>
      </c>
      <c r="B3685" s="547" t="s">
        <v>5430</v>
      </c>
      <c r="C3685" s="554" t="s">
        <v>7063</v>
      </c>
      <c r="D3685" s="554" t="s">
        <v>8603</v>
      </c>
      <c r="E3685" s="554"/>
      <c r="F3685" s="571">
        <v>200</v>
      </c>
      <c r="G3685" s="572">
        <v>0.11799999999999999</v>
      </c>
      <c r="H3685" s="545">
        <v>23.599999999999998</v>
      </c>
      <c r="I3685" s="554" t="s">
        <v>9218</v>
      </c>
      <c r="J3685" s="554" t="s">
        <v>9219</v>
      </c>
      <c r="K3685" s="554" t="s">
        <v>9219</v>
      </c>
      <c r="L3685" s="537" t="s">
        <v>2354</v>
      </c>
    </row>
    <row r="3686" spans="1:12" x14ac:dyDescent="0.2">
      <c r="A3686" s="570" t="s">
        <v>220</v>
      </c>
      <c r="B3686" s="547" t="s">
        <v>5430</v>
      </c>
      <c r="C3686" s="554" t="s">
        <v>7065</v>
      </c>
      <c r="D3686" s="554" t="s">
        <v>7066</v>
      </c>
      <c r="E3686" s="554"/>
      <c r="F3686" s="571">
        <v>99</v>
      </c>
      <c r="G3686" s="572">
        <v>2.496</v>
      </c>
      <c r="H3686" s="545">
        <v>247.10400000000001</v>
      </c>
      <c r="I3686" s="554" t="s">
        <v>9218</v>
      </c>
      <c r="J3686" s="554" t="s">
        <v>9219</v>
      </c>
      <c r="K3686" s="554" t="s">
        <v>9219</v>
      </c>
      <c r="L3686" s="537" t="s">
        <v>2354</v>
      </c>
    </row>
    <row r="3687" spans="1:12" x14ac:dyDescent="0.2">
      <c r="A3687" s="570" t="s">
        <v>220</v>
      </c>
      <c r="B3687" s="547" t="s">
        <v>5430</v>
      </c>
      <c r="C3687" s="554" t="s">
        <v>4636</v>
      </c>
      <c r="D3687" s="554" t="s">
        <v>4637</v>
      </c>
      <c r="E3687" s="554"/>
      <c r="F3687" s="571">
        <v>20</v>
      </c>
      <c r="G3687" s="572">
        <v>0.182</v>
      </c>
      <c r="H3687" s="545">
        <v>3.6399999999999997</v>
      </c>
      <c r="I3687" s="554" t="s">
        <v>9218</v>
      </c>
      <c r="J3687" s="554" t="s">
        <v>9219</v>
      </c>
      <c r="K3687" s="554" t="s">
        <v>9219</v>
      </c>
      <c r="L3687" s="537" t="s">
        <v>2354</v>
      </c>
    </row>
    <row r="3688" spans="1:12" x14ac:dyDescent="0.2">
      <c r="A3688" s="570" t="s">
        <v>220</v>
      </c>
      <c r="B3688" s="547" t="s">
        <v>5430</v>
      </c>
      <c r="C3688" s="554" t="s">
        <v>4640</v>
      </c>
      <c r="D3688" s="554" t="s">
        <v>4641</v>
      </c>
      <c r="E3688" s="554"/>
      <c r="F3688" s="571">
        <v>20</v>
      </c>
      <c r="G3688" s="572">
        <v>0.86299999999999999</v>
      </c>
      <c r="H3688" s="545">
        <v>17.259999999999998</v>
      </c>
      <c r="I3688" s="554" t="s">
        <v>9218</v>
      </c>
      <c r="J3688" s="554" t="s">
        <v>9219</v>
      </c>
      <c r="K3688" s="554" t="s">
        <v>9219</v>
      </c>
      <c r="L3688" s="537" t="s">
        <v>2354</v>
      </c>
    </row>
    <row r="3689" spans="1:12" x14ac:dyDescent="0.2">
      <c r="A3689" s="570" t="s">
        <v>220</v>
      </c>
      <c r="B3689" s="547" t="s">
        <v>5430</v>
      </c>
      <c r="C3689" s="554" t="s">
        <v>7081</v>
      </c>
      <c r="D3689" s="554" t="s">
        <v>8604</v>
      </c>
      <c r="E3689" s="554"/>
      <c r="F3689" s="571">
        <v>156</v>
      </c>
      <c r="G3689" s="572">
        <v>0.64100000000000001</v>
      </c>
      <c r="H3689" s="545">
        <v>99.996000000000009</v>
      </c>
      <c r="I3689" s="554" t="s">
        <v>9218</v>
      </c>
      <c r="J3689" s="554" t="s">
        <v>9219</v>
      </c>
      <c r="K3689" s="554" t="s">
        <v>9219</v>
      </c>
      <c r="L3689" s="537" t="s">
        <v>2354</v>
      </c>
    </row>
    <row r="3690" spans="1:12" x14ac:dyDescent="0.2">
      <c r="A3690" s="570" t="s">
        <v>220</v>
      </c>
      <c r="B3690" s="547" t="s">
        <v>5430</v>
      </c>
      <c r="C3690" s="554" t="s">
        <v>4642</v>
      </c>
      <c r="D3690" s="554" t="s">
        <v>8605</v>
      </c>
      <c r="E3690" s="554"/>
      <c r="F3690" s="571">
        <v>393</v>
      </c>
      <c r="G3690" s="572">
        <v>0.28000000000000003</v>
      </c>
      <c r="H3690" s="545">
        <v>110.04</v>
      </c>
      <c r="I3690" s="554" t="s">
        <v>9218</v>
      </c>
      <c r="J3690" s="554" t="s">
        <v>9219</v>
      </c>
      <c r="K3690" s="554" t="s">
        <v>9219</v>
      </c>
      <c r="L3690" s="537" t="s">
        <v>2354</v>
      </c>
    </row>
    <row r="3691" spans="1:12" x14ac:dyDescent="0.2">
      <c r="A3691" s="570" t="s">
        <v>220</v>
      </c>
      <c r="B3691" s="547" t="s">
        <v>5430</v>
      </c>
      <c r="C3691" s="554" t="s">
        <v>4644</v>
      </c>
      <c r="D3691" s="554" t="s">
        <v>8606</v>
      </c>
      <c r="E3691" s="554"/>
      <c r="F3691" s="571">
        <v>2</v>
      </c>
      <c r="G3691" s="572">
        <v>0.56599999999999995</v>
      </c>
      <c r="H3691" s="545">
        <v>1.1319999999999999</v>
      </c>
      <c r="I3691" s="554" t="s">
        <v>9218</v>
      </c>
      <c r="J3691" s="554" t="s">
        <v>9219</v>
      </c>
      <c r="K3691" s="554" t="s">
        <v>9219</v>
      </c>
      <c r="L3691" s="537" t="s">
        <v>2354</v>
      </c>
    </row>
    <row r="3692" spans="1:12" x14ac:dyDescent="0.2">
      <c r="A3692" s="570" t="s">
        <v>220</v>
      </c>
      <c r="B3692" s="547" t="s">
        <v>5430</v>
      </c>
      <c r="C3692" s="554" t="s">
        <v>4648</v>
      </c>
      <c r="D3692" s="554" t="s">
        <v>8607</v>
      </c>
      <c r="E3692" s="554"/>
      <c r="F3692" s="571">
        <v>416</v>
      </c>
      <c r="G3692" s="572">
        <v>0.22</v>
      </c>
      <c r="H3692" s="545">
        <v>91.52</v>
      </c>
      <c r="I3692" s="554" t="s">
        <v>9218</v>
      </c>
      <c r="J3692" s="554" t="s">
        <v>9219</v>
      </c>
      <c r="K3692" s="554" t="s">
        <v>9219</v>
      </c>
      <c r="L3692" s="537" t="s">
        <v>2354</v>
      </c>
    </row>
    <row r="3693" spans="1:12" x14ac:dyDescent="0.2">
      <c r="A3693" s="570" t="s">
        <v>220</v>
      </c>
      <c r="B3693" s="547" t="s">
        <v>5430</v>
      </c>
      <c r="C3693" s="554" t="s">
        <v>4650</v>
      </c>
      <c r="D3693" s="554" t="s">
        <v>4651</v>
      </c>
      <c r="E3693" s="554"/>
      <c r="F3693" s="571">
        <v>33</v>
      </c>
      <c r="G3693" s="572">
        <v>0.32200000000000001</v>
      </c>
      <c r="H3693" s="545">
        <v>10.625999999999999</v>
      </c>
      <c r="I3693" s="554" t="s">
        <v>9218</v>
      </c>
      <c r="J3693" s="554" t="s">
        <v>9219</v>
      </c>
      <c r="K3693" s="554" t="s">
        <v>9219</v>
      </c>
      <c r="L3693" s="537" t="s">
        <v>2354</v>
      </c>
    </row>
    <row r="3694" spans="1:12" x14ac:dyDescent="0.2">
      <c r="A3694" s="570" t="s">
        <v>220</v>
      </c>
      <c r="B3694" s="547" t="s">
        <v>5430</v>
      </c>
      <c r="C3694" s="554" t="s">
        <v>4658</v>
      </c>
      <c r="D3694" s="554" t="s">
        <v>8608</v>
      </c>
      <c r="E3694" s="554"/>
      <c r="F3694" s="571">
        <v>59</v>
      </c>
      <c r="G3694" s="572">
        <v>0.46800000000000003</v>
      </c>
      <c r="H3694" s="545">
        <v>27.612000000000002</v>
      </c>
      <c r="I3694" s="554" t="s">
        <v>9218</v>
      </c>
      <c r="J3694" s="554" t="s">
        <v>9219</v>
      </c>
      <c r="K3694" s="554" t="s">
        <v>9219</v>
      </c>
      <c r="L3694" s="537" t="s">
        <v>2354</v>
      </c>
    </row>
    <row r="3695" spans="1:12" x14ac:dyDescent="0.2">
      <c r="A3695" s="570" t="s">
        <v>220</v>
      </c>
      <c r="B3695" s="547" t="s">
        <v>5430</v>
      </c>
      <c r="C3695" s="554" t="s">
        <v>4662</v>
      </c>
      <c r="D3695" s="554" t="s">
        <v>8609</v>
      </c>
      <c r="E3695" s="554"/>
      <c r="F3695" s="571">
        <v>307</v>
      </c>
      <c r="G3695" s="572">
        <v>0.20599999999999999</v>
      </c>
      <c r="H3695" s="545">
        <v>63.241999999999997</v>
      </c>
      <c r="I3695" s="554" t="s">
        <v>9218</v>
      </c>
      <c r="J3695" s="554" t="s">
        <v>9219</v>
      </c>
      <c r="K3695" s="554" t="s">
        <v>9219</v>
      </c>
      <c r="L3695" s="537" t="s">
        <v>2354</v>
      </c>
    </row>
    <row r="3696" spans="1:12" x14ac:dyDescent="0.2">
      <c r="A3696" s="570" t="s">
        <v>220</v>
      </c>
      <c r="B3696" s="547" t="s">
        <v>5430</v>
      </c>
      <c r="C3696" s="554" t="s">
        <v>4664</v>
      </c>
      <c r="D3696" s="554" t="s">
        <v>8610</v>
      </c>
      <c r="E3696" s="554"/>
      <c r="F3696" s="571">
        <v>112</v>
      </c>
      <c r="G3696" s="572">
        <v>0.33200000000000002</v>
      </c>
      <c r="H3696" s="545">
        <v>37.184000000000005</v>
      </c>
      <c r="I3696" s="554" t="s">
        <v>9218</v>
      </c>
      <c r="J3696" s="554" t="s">
        <v>9219</v>
      </c>
      <c r="K3696" s="554" t="s">
        <v>9219</v>
      </c>
      <c r="L3696" s="537" t="s">
        <v>2354</v>
      </c>
    </row>
    <row r="3697" spans="1:12" x14ac:dyDescent="0.2">
      <c r="A3697" s="570" t="s">
        <v>220</v>
      </c>
      <c r="B3697" s="547" t="s">
        <v>5430</v>
      </c>
      <c r="C3697" s="554" t="s">
        <v>4666</v>
      </c>
      <c r="D3697" s="554" t="s">
        <v>8611</v>
      </c>
      <c r="E3697" s="554"/>
      <c r="F3697" s="571">
        <v>347</v>
      </c>
      <c r="G3697" s="572">
        <v>0.26900000000000002</v>
      </c>
      <c r="H3697" s="545">
        <v>93.343000000000004</v>
      </c>
      <c r="I3697" s="554" t="s">
        <v>9218</v>
      </c>
      <c r="J3697" s="554" t="s">
        <v>9219</v>
      </c>
      <c r="K3697" s="554" t="s">
        <v>9219</v>
      </c>
      <c r="L3697" s="537" t="s">
        <v>2354</v>
      </c>
    </row>
    <row r="3698" spans="1:12" x14ac:dyDescent="0.2">
      <c r="A3698" s="570" t="s">
        <v>220</v>
      </c>
      <c r="B3698" s="547" t="s">
        <v>5430</v>
      </c>
      <c r="C3698" s="554" t="s">
        <v>4668</v>
      </c>
      <c r="D3698" s="554" t="s">
        <v>8612</v>
      </c>
      <c r="E3698" s="554"/>
      <c r="F3698" s="571">
        <v>90</v>
      </c>
      <c r="G3698" s="572">
        <v>1.45</v>
      </c>
      <c r="H3698" s="545">
        <v>130.5</v>
      </c>
      <c r="I3698" s="554" t="s">
        <v>9218</v>
      </c>
      <c r="J3698" s="554" t="s">
        <v>9219</v>
      </c>
      <c r="K3698" s="554" t="s">
        <v>9219</v>
      </c>
      <c r="L3698" s="537" t="s">
        <v>2354</v>
      </c>
    </row>
    <row r="3699" spans="1:12" x14ac:dyDescent="0.2">
      <c r="A3699" s="570" t="s">
        <v>220</v>
      </c>
      <c r="B3699" s="547" t="s">
        <v>5430</v>
      </c>
      <c r="C3699" s="554" t="s">
        <v>4670</v>
      </c>
      <c r="D3699" s="554" t="s">
        <v>8613</v>
      </c>
      <c r="E3699" s="554"/>
      <c r="F3699" s="571">
        <v>83</v>
      </c>
      <c r="G3699" s="572">
        <v>0.48299999999999998</v>
      </c>
      <c r="H3699" s="545">
        <v>40.088999999999999</v>
      </c>
      <c r="I3699" s="554" t="s">
        <v>9218</v>
      </c>
      <c r="J3699" s="554" t="s">
        <v>9219</v>
      </c>
      <c r="K3699" s="554" t="s">
        <v>9219</v>
      </c>
      <c r="L3699" s="537" t="s">
        <v>2354</v>
      </c>
    </row>
    <row r="3700" spans="1:12" x14ac:dyDescent="0.2">
      <c r="A3700" s="570" t="s">
        <v>220</v>
      </c>
      <c r="B3700" s="547" t="s">
        <v>5430</v>
      </c>
      <c r="C3700" s="554" t="s">
        <v>4672</v>
      </c>
      <c r="D3700" s="554" t="s">
        <v>8614</v>
      </c>
      <c r="E3700" s="554"/>
      <c r="F3700" s="571">
        <v>55</v>
      </c>
      <c r="G3700" s="572">
        <v>1.1259999999999999</v>
      </c>
      <c r="H3700" s="545">
        <v>61.929999999999993</v>
      </c>
      <c r="I3700" s="554" t="s">
        <v>9218</v>
      </c>
      <c r="J3700" s="554" t="s">
        <v>9219</v>
      </c>
      <c r="K3700" s="554" t="s">
        <v>9219</v>
      </c>
      <c r="L3700" s="537" t="s">
        <v>2354</v>
      </c>
    </row>
    <row r="3701" spans="1:12" x14ac:dyDescent="0.2">
      <c r="A3701" s="570" t="s">
        <v>220</v>
      </c>
      <c r="B3701" s="547" t="s">
        <v>5430</v>
      </c>
      <c r="C3701" s="554" t="s">
        <v>4674</v>
      </c>
      <c r="D3701" s="554" t="s">
        <v>8615</v>
      </c>
      <c r="E3701" s="554"/>
      <c r="F3701" s="571">
        <v>105</v>
      </c>
      <c r="G3701" s="572">
        <v>1.3779999999999999</v>
      </c>
      <c r="H3701" s="545">
        <v>144.69</v>
      </c>
      <c r="I3701" s="554" t="s">
        <v>9218</v>
      </c>
      <c r="J3701" s="554" t="s">
        <v>9219</v>
      </c>
      <c r="K3701" s="554" t="s">
        <v>9219</v>
      </c>
      <c r="L3701" s="537" t="s">
        <v>2354</v>
      </c>
    </row>
    <row r="3702" spans="1:12" x14ac:dyDescent="0.2">
      <c r="A3702" s="570" t="s">
        <v>220</v>
      </c>
      <c r="B3702" s="547" t="s">
        <v>5430</v>
      </c>
      <c r="C3702" s="554" t="s">
        <v>4676</v>
      </c>
      <c r="D3702" s="554" t="s">
        <v>8616</v>
      </c>
      <c r="E3702" s="554"/>
      <c r="F3702" s="571">
        <v>219</v>
      </c>
      <c r="G3702" s="572">
        <v>1.2330000000000001</v>
      </c>
      <c r="H3702" s="545">
        <v>270.02700000000004</v>
      </c>
      <c r="I3702" s="554" t="s">
        <v>9218</v>
      </c>
      <c r="J3702" s="554" t="s">
        <v>9219</v>
      </c>
      <c r="K3702" s="554" t="s">
        <v>9219</v>
      </c>
      <c r="L3702" s="537" t="s">
        <v>2354</v>
      </c>
    </row>
    <row r="3703" spans="1:12" x14ac:dyDescent="0.2">
      <c r="A3703" s="570" t="s">
        <v>220</v>
      </c>
      <c r="B3703" s="547" t="s">
        <v>5430</v>
      </c>
      <c r="C3703" s="554" t="s">
        <v>7085</v>
      </c>
      <c r="D3703" s="554" t="s">
        <v>8617</v>
      </c>
      <c r="E3703" s="554"/>
      <c r="F3703" s="571">
        <v>10</v>
      </c>
      <c r="G3703" s="572">
        <v>1.6759999999999999</v>
      </c>
      <c r="H3703" s="545">
        <v>16.759999999999998</v>
      </c>
      <c r="I3703" s="554" t="s">
        <v>9218</v>
      </c>
      <c r="J3703" s="554" t="s">
        <v>9219</v>
      </c>
      <c r="K3703" s="554" t="s">
        <v>9219</v>
      </c>
      <c r="L3703" s="537" t="s">
        <v>2354</v>
      </c>
    </row>
    <row r="3704" spans="1:12" x14ac:dyDescent="0.2">
      <c r="A3704" s="570" t="s">
        <v>220</v>
      </c>
      <c r="B3704" s="547" t="s">
        <v>5430</v>
      </c>
      <c r="C3704" s="554" t="s">
        <v>4678</v>
      </c>
      <c r="D3704" s="554" t="s">
        <v>8618</v>
      </c>
      <c r="E3704" s="554"/>
      <c r="F3704" s="571">
        <v>102</v>
      </c>
      <c r="G3704" s="572">
        <v>1.216</v>
      </c>
      <c r="H3704" s="545">
        <v>124.032</v>
      </c>
      <c r="I3704" s="554" t="s">
        <v>9218</v>
      </c>
      <c r="J3704" s="554" t="s">
        <v>9219</v>
      </c>
      <c r="K3704" s="554" t="s">
        <v>9219</v>
      </c>
      <c r="L3704" s="537" t="s">
        <v>2354</v>
      </c>
    </row>
    <row r="3705" spans="1:12" x14ac:dyDescent="0.2">
      <c r="A3705" s="570" t="s">
        <v>220</v>
      </c>
      <c r="B3705" s="547" t="s">
        <v>5430</v>
      </c>
      <c r="C3705" s="554" t="s">
        <v>4680</v>
      </c>
      <c r="D3705" s="554" t="s">
        <v>8619</v>
      </c>
      <c r="E3705" s="554"/>
      <c r="F3705" s="571">
        <v>177</v>
      </c>
      <c r="G3705" s="572">
        <v>0.47599999999999998</v>
      </c>
      <c r="H3705" s="545">
        <v>84.251999999999995</v>
      </c>
      <c r="I3705" s="554" t="s">
        <v>9218</v>
      </c>
      <c r="J3705" s="554" t="s">
        <v>9219</v>
      </c>
      <c r="K3705" s="554" t="s">
        <v>9219</v>
      </c>
      <c r="L3705" s="537" t="s">
        <v>2354</v>
      </c>
    </row>
    <row r="3706" spans="1:12" x14ac:dyDescent="0.2">
      <c r="A3706" s="570" t="s">
        <v>220</v>
      </c>
      <c r="B3706" s="547" t="s">
        <v>5430</v>
      </c>
      <c r="C3706" s="554" t="s">
        <v>5382</v>
      </c>
      <c r="D3706" s="554" t="s">
        <v>8620</v>
      </c>
      <c r="E3706" s="554"/>
      <c r="F3706" s="571">
        <v>276</v>
      </c>
      <c r="G3706" s="572">
        <v>0.45100000000000001</v>
      </c>
      <c r="H3706" s="545">
        <v>124.476</v>
      </c>
      <c r="I3706" s="554" t="s">
        <v>9218</v>
      </c>
      <c r="J3706" s="554" t="s">
        <v>9219</v>
      </c>
      <c r="K3706" s="554" t="s">
        <v>9219</v>
      </c>
      <c r="L3706" s="537" t="s">
        <v>2354</v>
      </c>
    </row>
    <row r="3707" spans="1:12" x14ac:dyDescent="0.2">
      <c r="A3707" s="570" t="s">
        <v>220</v>
      </c>
      <c r="B3707" s="547" t="s">
        <v>5430</v>
      </c>
      <c r="C3707" s="554" t="s">
        <v>4682</v>
      </c>
      <c r="D3707" s="554" t="s">
        <v>8621</v>
      </c>
      <c r="E3707" s="554"/>
      <c r="F3707" s="571">
        <v>186</v>
      </c>
      <c r="G3707" s="572">
        <v>0.879</v>
      </c>
      <c r="H3707" s="545">
        <v>163.494</v>
      </c>
      <c r="I3707" s="554" t="s">
        <v>9218</v>
      </c>
      <c r="J3707" s="554" t="s">
        <v>9219</v>
      </c>
      <c r="K3707" s="554" t="s">
        <v>9219</v>
      </c>
      <c r="L3707" s="537" t="s">
        <v>2354</v>
      </c>
    </row>
    <row r="3708" spans="1:12" x14ac:dyDescent="0.2">
      <c r="A3708" s="570" t="s">
        <v>220</v>
      </c>
      <c r="B3708" s="547" t="s">
        <v>5430</v>
      </c>
      <c r="C3708" s="554" t="s">
        <v>4684</v>
      </c>
      <c r="D3708" s="554" t="s">
        <v>8622</v>
      </c>
      <c r="E3708" s="554"/>
      <c r="F3708" s="571">
        <v>5</v>
      </c>
      <c r="G3708" s="572">
        <v>11.692</v>
      </c>
      <c r="H3708" s="545">
        <v>58.46</v>
      </c>
      <c r="I3708" s="554" t="s">
        <v>9218</v>
      </c>
      <c r="J3708" s="554" t="s">
        <v>9219</v>
      </c>
      <c r="K3708" s="554" t="s">
        <v>9219</v>
      </c>
      <c r="L3708" s="537" t="s">
        <v>2354</v>
      </c>
    </row>
    <row r="3709" spans="1:12" x14ac:dyDescent="0.2">
      <c r="A3709" s="570" t="s">
        <v>220</v>
      </c>
      <c r="B3709" s="547" t="s">
        <v>5430</v>
      </c>
      <c r="C3709" s="554" t="s">
        <v>7087</v>
      </c>
      <c r="D3709" s="554" t="s">
        <v>7088</v>
      </c>
      <c r="E3709" s="554"/>
      <c r="F3709" s="571">
        <v>1</v>
      </c>
      <c r="G3709" s="572">
        <v>31.827999999999999</v>
      </c>
      <c r="H3709" s="545">
        <v>31.827999999999999</v>
      </c>
      <c r="I3709" s="554" t="s">
        <v>9218</v>
      </c>
      <c r="J3709" s="554" t="s">
        <v>9219</v>
      </c>
      <c r="K3709" s="554" t="s">
        <v>9219</v>
      </c>
      <c r="L3709" s="537" t="s">
        <v>2354</v>
      </c>
    </row>
    <row r="3710" spans="1:12" x14ac:dyDescent="0.2">
      <c r="A3710" s="570" t="s">
        <v>220</v>
      </c>
      <c r="B3710" s="547" t="s">
        <v>5430</v>
      </c>
      <c r="C3710" s="554" t="s">
        <v>4690</v>
      </c>
      <c r="D3710" s="554" t="s">
        <v>8623</v>
      </c>
      <c r="E3710" s="554"/>
      <c r="F3710" s="571">
        <v>200</v>
      </c>
      <c r="G3710" s="572">
        <v>0.78700000000000003</v>
      </c>
      <c r="H3710" s="545">
        <v>157.4</v>
      </c>
      <c r="I3710" s="554" t="s">
        <v>9218</v>
      </c>
      <c r="J3710" s="554" t="s">
        <v>9219</v>
      </c>
      <c r="K3710" s="554" t="s">
        <v>9219</v>
      </c>
      <c r="L3710" s="537" t="s">
        <v>2354</v>
      </c>
    </row>
    <row r="3711" spans="1:12" x14ac:dyDescent="0.2">
      <c r="A3711" s="570" t="s">
        <v>220</v>
      </c>
      <c r="B3711" s="547" t="s">
        <v>5430</v>
      </c>
      <c r="C3711" s="554" t="s">
        <v>4696</v>
      </c>
      <c r="D3711" s="554" t="s">
        <v>8624</v>
      </c>
      <c r="E3711" s="554"/>
      <c r="F3711" s="571">
        <v>224</v>
      </c>
      <c r="G3711" s="572">
        <v>1.014</v>
      </c>
      <c r="H3711" s="545">
        <v>227.136</v>
      </c>
      <c r="I3711" s="554" t="s">
        <v>9218</v>
      </c>
      <c r="J3711" s="554" t="s">
        <v>9219</v>
      </c>
      <c r="K3711" s="554" t="s">
        <v>9219</v>
      </c>
      <c r="L3711" s="537" t="s">
        <v>2354</v>
      </c>
    </row>
    <row r="3712" spans="1:12" x14ac:dyDescent="0.2">
      <c r="A3712" s="570" t="s">
        <v>220</v>
      </c>
      <c r="B3712" s="547" t="s">
        <v>5430</v>
      </c>
      <c r="C3712" s="554" t="s">
        <v>7089</v>
      </c>
      <c r="D3712" s="554" t="s">
        <v>8625</v>
      </c>
      <c r="E3712" s="554"/>
      <c r="F3712" s="571">
        <v>187</v>
      </c>
      <c r="G3712" s="572">
        <v>0.35499999999999998</v>
      </c>
      <c r="H3712" s="545">
        <v>66.384999999999991</v>
      </c>
      <c r="I3712" s="554" t="s">
        <v>9218</v>
      </c>
      <c r="J3712" s="554" t="s">
        <v>9219</v>
      </c>
      <c r="K3712" s="554" t="s">
        <v>9219</v>
      </c>
      <c r="L3712" s="537" t="s">
        <v>2354</v>
      </c>
    </row>
    <row r="3713" spans="1:12" x14ac:dyDescent="0.2">
      <c r="A3713" s="570" t="s">
        <v>220</v>
      </c>
      <c r="B3713" s="547" t="s">
        <v>5430</v>
      </c>
      <c r="C3713" s="554" t="s">
        <v>4698</v>
      </c>
      <c r="D3713" s="554" t="s">
        <v>8626</v>
      </c>
      <c r="E3713" s="554"/>
      <c r="F3713" s="571">
        <v>232</v>
      </c>
      <c r="G3713" s="572">
        <v>0.83299999999999996</v>
      </c>
      <c r="H3713" s="545">
        <v>193.256</v>
      </c>
      <c r="I3713" s="554" t="s">
        <v>9218</v>
      </c>
      <c r="J3713" s="554" t="s">
        <v>9219</v>
      </c>
      <c r="K3713" s="554" t="s">
        <v>9219</v>
      </c>
      <c r="L3713" s="537" t="s">
        <v>2354</v>
      </c>
    </row>
    <row r="3714" spans="1:12" x14ac:dyDescent="0.2">
      <c r="A3714" s="570" t="s">
        <v>220</v>
      </c>
      <c r="B3714" s="547" t="s">
        <v>5430</v>
      </c>
      <c r="C3714" s="554" t="s">
        <v>4702</v>
      </c>
      <c r="D3714" s="554" t="s">
        <v>8627</v>
      </c>
      <c r="E3714" s="554"/>
      <c r="F3714" s="571">
        <v>220</v>
      </c>
      <c r="G3714" s="572">
        <v>0.11600000000000001</v>
      </c>
      <c r="H3714" s="545">
        <v>25.52</v>
      </c>
      <c r="I3714" s="554" t="s">
        <v>9218</v>
      </c>
      <c r="J3714" s="554" t="s">
        <v>9219</v>
      </c>
      <c r="K3714" s="554" t="s">
        <v>9219</v>
      </c>
      <c r="L3714" s="537" t="s">
        <v>2354</v>
      </c>
    </row>
    <row r="3715" spans="1:12" x14ac:dyDescent="0.2">
      <c r="A3715" s="570" t="s">
        <v>220</v>
      </c>
      <c r="B3715" s="547" t="s">
        <v>5430</v>
      </c>
      <c r="C3715" s="554" t="s">
        <v>7095</v>
      </c>
      <c r="D3715" s="554" t="s">
        <v>8628</v>
      </c>
      <c r="E3715" s="554"/>
      <c r="F3715" s="571">
        <v>196</v>
      </c>
      <c r="G3715" s="572">
        <v>0.628</v>
      </c>
      <c r="H3715" s="545">
        <v>123.08799999999999</v>
      </c>
      <c r="I3715" s="554" t="s">
        <v>9218</v>
      </c>
      <c r="J3715" s="554" t="s">
        <v>9219</v>
      </c>
      <c r="K3715" s="554" t="s">
        <v>9219</v>
      </c>
      <c r="L3715" s="537" t="s">
        <v>2354</v>
      </c>
    </row>
    <row r="3716" spans="1:12" x14ac:dyDescent="0.2">
      <c r="A3716" s="570" t="s">
        <v>220</v>
      </c>
      <c r="B3716" s="547" t="s">
        <v>5430</v>
      </c>
      <c r="C3716" s="554" t="s">
        <v>7097</v>
      </c>
      <c r="D3716" s="554" t="s">
        <v>8629</v>
      </c>
      <c r="E3716" s="554"/>
      <c r="F3716" s="571">
        <v>160</v>
      </c>
      <c r="G3716" s="572">
        <v>1.1339999999999999</v>
      </c>
      <c r="H3716" s="545">
        <v>181.44</v>
      </c>
      <c r="I3716" s="554" t="s">
        <v>9218</v>
      </c>
      <c r="J3716" s="554" t="s">
        <v>9219</v>
      </c>
      <c r="K3716" s="554" t="s">
        <v>9219</v>
      </c>
      <c r="L3716" s="537" t="s">
        <v>2354</v>
      </c>
    </row>
    <row r="3717" spans="1:12" x14ac:dyDescent="0.2">
      <c r="A3717" s="570" t="s">
        <v>220</v>
      </c>
      <c r="B3717" s="547" t="s">
        <v>5430</v>
      </c>
      <c r="C3717" s="554" t="s">
        <v>4706</v>
      </c>
      <c r="D3717" s="554" t="s">
        <v>4707</v>
      </c>
      <c r="E3717" s="554"/>
      <c r="F3717" s="571">
        <v>1</v>
      </c>
      <c r="G3717" s="572">
        <v>30.81</v>
      </c>
      <c r="H3717" s="545">
        <v>30.81</v>
      </c>
      <c r="I3717" s="554" t="s">
        <v>9218</v>
      </c>
      <c r="J3717" s="554" t="s">
        <v>9219</v>
      </c>
      <c r="K3717" s="554" t="s">
        <v>9219</v>
      </c>
      <c r="L3717" s="537" t="s">
        <v>2354</v>
      </c>
    </row>
    <row r="3718" spans="1:12" x14ac:dyDescent="0.2">
      <c r="A3718" s="570" t="s">
        <v>220</v>
      </c>
      <c r="B3718" s="547" t="s">
        <v>5430</v>
      </c>
      <c r="C3718" s="554" t="s">
        <v>7099</v>
      </c>
      <c r="D3718" s="554" t="s">
        <v>7100</v>
      </c>
      <c r="E3718" s="554"/>
      <c r="F3718" s="571">
        <v>35</v>
      </c>
      <c r="G3718" s="572">
        <v>2.1739999999999999</v>
      </c>
      <c r="H3718" s="545">
        <v>76.09</v>
      </c>
      <c r="I3718" s="554" t="s">
        <v>9218</v>
      </c>
      <c r="J3718" s="554" t="s">
        <v>9219</v>
      </c>
      <c r="K3718" s="554" t="s">
        <v>9219</v>
      </c>
      <c r="L3718" s="537" t="s">
        <v>2354</v>
      </c>
    </row>
    <row r="3719" spans="1:12" x14ac:dyDescent="0.2">
      <c r="A3719" s="570" t="s">
        <v>220</v>
      </c>
      <c r="B3719" s="547" t="s">
        <v>5430</v>
      </c>
      <c r="C3719" s="554" t="s">
        <v>8630</v>
      </c>
      <c r="D3719" s="554" t="s">
        <v>8631</v>
      </c>
      <c r="E3719" s="554"/>
      <c r="F3719" s="571">
        <v>1</v>
      </c>
      <c r="G3719" s="572">
        <v>7.3310000000000004</v>
      </c>
      <c r="H3719" s="545">
        <v>7.3310000000000004</v>
      </c>
      <c r="I3719" s="554" t="s">
        <v>9218</v>
      </c>
      <c r="J3719" s="554" t="s">
        <v>9219</v>
      </c>
      <c r="K3719" s="554" t="s">
        <v>9219</v>
      </c>
      <c r="L3719" s="537" t="s">
        <v>2354</v>
      </c>
    </row>
    <row r="3720" spans="1:12" x14ac:dyDescent="0.2">
      <c r="A3720" s="570" t="s">
        <v>220</v>
      </c>
      <c r="B3720" s="547" t="s">
        <v>5430</v>
      </c>
      <c r="C3720" s="554" t="s">
        <v>7101</v>
      </c>
      <c r="D3720" s="554" t="s">
        <v>8632</v>
      </c>
      <c r="E3720" s="554"/>
      <c r="F3720" s="571">
        <v>83</v>
      </c>
      <c r="G3720" s="572">
        <v>0.41799999999999998</v>
      </c>
      <c r="H3720" s="545">
        <v>34.693999999999996</v>
      </c>
      <c r="I3720" s="554" t="s">
        <v>9218</v>
      </c>
      <c r="J3720" s="554" t="s">
        <v>9219</v>
      </c>
      <c r="K3720" s="554" t="s">
        <v>9219</v>
      </c>
      <c r="L3720" s="537" t="s">
        <v>2354</v>
      </c>
    </row>
    <row r="3721" spans="1:12" x14ac:dyDescent="0.2">
      <c r="A3721" s="570" t="s">
        <v>220</v>
      </c>
      <c r="B3721" s="547" t="s">
        <v>5430</v>
      </c>
      <c r="C3721" s="554" t="s">
        <v>8633</v>
      </c>
      <c r="D3721" s="554" t="s">
        <v>8634</v>
      </c>
      <c r="E3721" s="554"/>
      <c r="F3721" s="571">
        <v>1</v>
      </c>
      <c r="G3721" s="572">
        <v>228.15</v>
      </c>
      <c r="H3721" s="545">
        <v>228.15</v>
      </c>
      <c r="I3721" s="554" t="s">
        <v>9218</v>
      </c>
      <c r="J3721" s="554" t="s">
        <v>9219</v>
      </c>
      <c r="K3721" s="554" t="s">
        <v>9219</v>
      </c>
      <c r="L3721" s="537" t="s">
        <v>2354</v>
      </c>
    </row>
    <row r="3722" spans="1:12" x14ac:dyDescent="0.2">
      <c r="A3722" s="570" t="s">
        <v>220</v>
      </c>
      <c r="B3722" s="547" t="s">
        <v>5430</v>
      </c>
      <c r="C3722" s="554" t="s">
        <v>7103</v>
      </c>
      <c r="D3722" s="554" t="s">
        <v>8635</v>
      </c>
      <c r="E3722" s="554"/>
      <c r="F3722" s="571">
        <v>6</v>
      </c>
      <c r="G3722" s="572">
        <v>11.206</v>
      </c>
      <c r="H3722" s="545">
        <v>67.23599999999999</v>
      </c>
      <c r="I3722" s="554" t="s">
        <v>9218</v>
      </c>
      <c r="J3722" s="554" t="s">
        <v>9219</v>
      </c>
      <c r="K3722" s="554" t="s">
        <v>9219</v>
      </c>
      <c r="L3722" s="537" t="s">
        <v>2354</v>
      </c>
    </row>
    <row r="3723" spans="1:12" x14ac:dyDescent="0.2">
      <c r="A3723" s="570" t="s">
        <v>220</v>
      </c>
      <c r="B3723" s="547" t="s">
        <v>5430</v>
      </c>
      <c r="C3723" s="554" t="s">
        <v>7105</v>
      </c>
      <c r="D3723" s="554" t="s">
        <v>7106</v>
      </c>
      <c r="E3723" s="554"/>
      <c r="F3723" s="571">
        <v>25</v>
      </c>
      <c r="G3723" s="572">
        <v>23.515999999999998</v>
      </c>
      <c r="H3723" s="545">
        <v>587.9</v>
      </c>
      <c r="I3723" s="554" t="s">
        <v>9218</v>
      </c>
      <c r="J3723" s="554" t="s">
        <v>9219</v>
      </c>
      <c r="K3723" s="554" t="s">
        <v>9219</v>
      </c>
      <c r="L3723" s="537" t="s">
        <v>2354</v>
      </c>
    </row>
    <row r="3724" spans="1:12" x14ac:dyDescent="0.2">
      <c r="A3724" s="570" t="s">
        <v>220</v>
      </c>
      <c r="B3724" s="547" t="s">
        <v>5430</v>
      </c>
      <c r="C3724" s="554" t="s">
        <v>7107</v>
      </c>
      <c r="D3724" s="554" t="s">
        <v>8636</v>
      </c>
      <c r="E3724" s="554"/>
      <c r="F3724" s="571">
        <v>222</v>
      </c>
      <c r="G3724" s="572">
        <v>0.222</v>
      </c>
      <c r="H3724" s="545">
        <v>49.283999999999999</v>
      </c>
      <c r="I3724" s="554" t="s">
        <v>9218</v>
      </c>
      <c r="J3724" s="554" t="s">
        <v>9219</v>
      </c>
      <c r="K3724" s="554" t="s">
        <v>9219</v>
      </c>
      <c r="L3724" s="537" t="s">
        <v>2354</v>
      </c>
    </row>
    <row r="3725" spans="1:12" x14ac:dyDescent="0.2">
      <c r="A3725" s="570" t="s">
        <v>220</v>
      </c>
      <c r="B3725" s="547" t="s">
        <v>5430</v>
      </c>
      <c r="C3725" s="554" t="s">
        <v>7109</v>
      </c>
      <c r="D3725" s="554" t="s">
        <v>8637</v>
      </c>
      <c r="E3725" s="554"/>
      <c r="F3725" s="571">
        <v>100</v>
      </c>
      <c r="G3725" s="572">
        <v>0.29299999999999998</v>
      </c>
      <c r="H3725" s="545">
        <v>29.299999999999997</v>
      </c>
      <c r="I3725" s="554" t="s">
        <v>9218</v>
      </c>
      <c r="J3725" s="554" t="s">
        <v>9219</v>
      </c>
      <c r="K3725" s="554" t="s">
        <v>9219</v>
      </c>
      <c r="L3725" s="537" t="s">
        <v>2354</v>
      </c>
    </row>
    <row r="3726" spans="1:12" x14ac:dyDescent="0.2">
      <c r="A3726" s="570" t="s">
        <v>220</v>
      </c>
      <c r="B3726" s="547" t="s">
        <v>5430</v>
      </c>
      <c r="C3726" s="554" t="s">
        <v>7111</v>
      </c>
      <c r="D3726" s="554" t="s">
        <v>8638</v>
      </c>
      <c r="E3726" s="554"/>
      <c r="F3726" s="571">
        <v>46</v>
      </c>
      <c r="G3726" s="572">
        <v>8.8999999999999996E-2</v>
      </c>
      <c r="H3726" s="545">
        <v>4.0939999999999994</v>
      </c>
      <c r="I3726" s="554" t="s">
        <v>9218</v>
      </c>
      <c r="J3726" s="554" t="s">
        <v>9219</v>
      </c>
      <c r="K3726" s="554" t="s">
        <v>9219</v>
      </c>
      <c r="L3726" s="537" t="s">
        <v>2354</v>
      </c>
    </row>
    <row r="3727" spans="1:12" x14ac:dyDescent="0.2">
      <c r="A3727" s="570" t="s">
        <v>220</v>
      </c>
      <c r="B3727" s="547" t="s">
        <v>5430</v>
      </c>
      <c r="C3727" s="554" t="s">
        <v>4714</v>
      </c>
      <c r="D3727" s="554" t="s">
        <v>8639</v>
      </c>
      <c r="E3727" s="554"/>
      <c r="F3727" s="571">
        <v>68</v>
      </c>
      <c r="G3727" s="572">
        <v>0.311</v>
      </c>
      <c r="H3727" s="545">
        <v>21.148</v>
      </c>
      <c r="I3727" s="554" t="s">
        <v>9218</v>
      </c>
      <c r="J3727" s="554" t="s">
        <v>9219</v>
      </c>
      <c r="K3727" s="554" t="s">
        <v>9219</v>
      </c>
      <c r="L3727" s="537" t="s">
        <v>2354</v>
      </c>
    </row>
    <row r="3728" spans="1:12" x14ac:dyDescent="0.2">
      <c r="A3728" s="570" t="s">
        <v>220</v>
      </c>
      <c r="B3728" s="547" t="s">
        <v>5430</v>
      </c>
      <c r="C3728" s="554" t="s">
        <v>4716</v>
      </c>
      <c r="D3728" s="554" t="s">
        <v>8640</v>
      </c>
      <c r="E3728" s="554"/>
      <c r="F3728" s="571">
        <v>136</v>
      </c>
      <c r="G3728" s="572">
        <v>0.95699999999999996</v>
      </c>
      <c r="H3728" s="545">
        <v>130.15199999999999</v>
      </c>
      <c r="I3728" s="554" t="s">
        <v>9218</v>
      </c>
      <c r="J3728" s="554" t="s">
        <v>9219</v>
      </c>
      <c r="K3728" s="554" t="s">
        <v>9219</v>
      </c>
      <c r="L3728" s="537" t="s">
        <v>2354</v>
      </c>
    </row>
    <row r="3729" spans="1:12" x14ac:dyDescent="0.2">
      <c r="A3729" s="570" t="s">
        <v>220</v>
      </c>
      <c r="B3729" s="547" t="s">
        <v>5430</v>
      </c>
      <c r="C3729" s="554" t="s">
        <v>7113</v>
      </c>
      <c r="D3729" s="554" t="s">
        <v>8641</v>
      </c>
      <c r="E3729" s="554"/>
      <c r="F3729" s="571">
        <v>100</v>
      </c>
      <c r="G3729" s="572">
        <v>0.20300000000000001</v>
      </c>
      <c r="H3729" s="545">
        <v>20.3</v>
      </c>
      <c r="I3729" s="554" t="s">
        <v>9218</v>
      </c>
      <c r="J3729" s="554" t="s">
        <v>9219</v>
      </c>
      <c r="K3729" s="554" t="s">
        <v>9219</v>
      </c>
      <c r="L3729" s="537" t="s">
        <v>2354</v>
      </c>
    </row>
    <row r="3730" spans="1:12" x14ac:dyDescent="0.2">
      <c r="A3730" s="570" t="s">
        <v>220</v>
      </c>
      <c r="B3730" s="547" t="s">
        <v>5430</v>
      </c>
      <c r="C3730" s="554" t="s">
        <v>4718</v>
      </c>
      <c r="D3730" s="554" t="s">
        <v>8642</v>
      </c>
      <c r="E3730" s="554"/>
      <c r="F3730" s="571">
        <v>80</v>
      </c>
      <c r="G3730" s="572">
        <v>0.59499999999999997</v>
      </c>
      <c r="H3730" s="545">
        <v>47.599999999999994</v>
      </c>
      <c r="I3730" s="554" t="s">
        <v>9218</v>
      </c>
      <c r="J3730" s="554" t="s">
        <v>9219</v>
      </c>
      <c r="K3730" s="554" t="s">
        <v>9219</v>
      </c>
      <c r="L3730" s="537" t="s">
        <v>2354</v>
      </c>
    </row>
    <row r="3731" spans="1:12" x14ac:dyDescent="0.2">
      <c r="A3731" s="570" t="s">
        <v>220</v>
      </c>
      <c r="B3731" s="547" t="s">
        <v>5430</v>
      </c>
      <c r="C3731" s="554" t="s">
        <v>7115</v>
      </c>
      <c r="D3731" s="554" t="s">
        <v>8643</v>
      </c>
      <c r="E3731" s="554"/>
      <c r="F3731" s="571">
        <v>556</v>
      </c>
      <c r="G3731" s="572">
        <v>0.55600000000000005</v>
      </c>
      <c r="H3731" s="545">
        <v>309.13600000000002</v>
      </c>
      <c r="I3731" s="554" t="s">
        <v>9218</v>
      </c>
      <c r="J3731" s="554" t="s">
        <v>9219</v>
      </c>
      <c r="K3731" s="554" t="s">
        <v>9219</v>
      </c>
      <c r="L3731" s="537" t="s">
        <v>2354</v>
      </c>
    </row>
    <row r="3732" spans="1:12" x14ac:dyDescent="0.2">
      <c r="A3732" s="570" t="s">
        <v>220</v>
      </c>
      <c r="B3732" s="547" t="s">
        <v>5430</v>
      </c>
      <c r="C3732" s="554" t="s">
        <v>4738</v>
      </c>
      <c r="D3732" s="554" t="s">
        <v>4739</v>
      </c>
      <c r="E3732" s="554"/>
      <c r="F3732" s="571">
        <v>111</v>
      </c>
      <c r="G3732" s="572">
        <v>0.21299999999999999</v>
      </c>
      <c r="H3732" s="545">
        <v>23.643000000000001</v>
      </c>
      <c r="I3732" s="554" t="s">
        <v>9218</v>
      </c>
      <c r="J3732" s="554" t="s">
        <v>9219</v>
      </c>
      <c r="K3732" s="554" t="s">
        <v>9219</v>
      </c>
      <c r="L3732" s="537" t="s">
        <v>2354</v>
      </c>
    </row>
    <row r="3733" spans="1:12" x14ac:dyDescent="0.2">
      <c r="A3733" s="570" t="s">
        <v>220</v>
      </c>
      <c r="B3733" s="547" t="s">
        <v>5430</v>
      </c>
      <c r="C3733" s="554" t="s">
        <v>7117</v>
      </c>
      <c r="D3733" s="554" t="s">
        <v>7118</v>
      </c>
      <c r="E3733" s="554"/>
      <c r="F3733" s="571">
        <v>0.5</v>
      </c>
      <c r="G3733" s="572">
        <v>5.3380000000000001</v>
      </c>
      <c r="H3733" s="545">
        <v>2.669</v>
      </c>
      <c r="I3733" s="554" t="s">
        <v>9218</v>
      </c>
      <c r="J3733" s="554" t="s">
        <v>9219</v>
      </c>
      <c r="K3733" s="554" t="s">
        <v>9219</v>
      </c>
      <c r="L3733" s="537" t="s">
        <v>2354</v>
      </c>
    </row>
    <row r="3734" spans="1:12" x14ac:dyDescent="0.2">
      <c r="A3734" s="570" t="s">
        <v>220</v>
      </c>
      <c r="B3734" s="547" t="s">
        <v>5430</v>
      </c>
      <c r="C3734" s="554" t="s">
        <v>7119</v>
      </c>
      <c r="D3734" s="554" t="s">
        <v>7120</v>
      </c>
      <c r="E3734" s="554"/>
      <c r="F3734" s="571">
        <v>4</v>
      </c>
      <c r="G3734" s="572">
        <v>52.667000000000002</v>
      </c>
      <c r="H3734" s="545">
        <v>210.66800000000001</v>
      </c>
      <c r="I3734" s="554" t="s">
        <v>9218</v>
      </c>
      <c r="J3734" s="554" t="s">
        <v>9219</v>
      </c>
      <c r="K3734" s="554" t="s">
        <v>9219</v>
      </c>
      <c r="L3734" s="537" t="s">
        <v>2354</v>
      </c>
    </row>
    <row r="3735" spans="1:12" x14ac:dyDescent="0.2">
      <c r="A3735" s="570" t="s">
        <v>220</v>
      </c>
      <c r="B3735" s="547" t="s">
        <v>5430</v>
      </c>
      <c r="C3735" s="554" t="s">
        <v>7121</v>
      </c>
      <c r="D3735" s="554" t="s">
        <v>8644</v>
      </c>
      <c r="E3735" s="554"/>
      <c r="F3735" s="571">
        <v>4</v>
      </c>
      <c r="G3735" s="572">
        <v>26.882999999999999</v>
      </c>
      <c r="H3735" s="545">
        <v>107.532</v>
      </c>
      <c r="I3735" s="554" t="s">
        <v>9218</v>
      </c>
      <c r="J3735" s="554" t="s">
        <v>9219</v>
      </c>
      <c r="K3735" s="554" t="s">
        <v>9219</v>
      </c>
      <c r="L3735" s="537" t="s">
        <v>2354</v>
      </c>
    </row>
    <row r="3736" spans="1:12" x14ac:dyDescent="0.2">
      <c r="A3736" s="570" t="s">
        <v>220</v>
      </c>
      <c r="B3736" s="547" t="s">
        <v>5430</v>
      </c>
      <c r="C3736" s="554" t="s">
        <v>7122</v>
      </c>
      <c r="D3736" s="554" t="s">
        <v>8645</v>
      </c>
      <c r="E3736" s="554"/>
      <c r="F3736" s="571">
        <v>5</v>
      </c>
      <c r="G3736" s="572">
        <v>33.822000000000003</v>
      </c>
      <c r="H3736" s="545">
        <v>169.11</v>
      </c>
      <c r="I3736" s="554" t="s">
        <v>9218</v>
      </c>
      <c r="J3736" s="554" t="s">
        <v>9219</v>
      </c>
      <c r="K3736" s="554" t="s">
        <v>9219</v>
      </c>
      <c r="L3736" s="537" t="s">
        <v>2354</v>
      </c>
    </row>
    <row r="3737" spans="1:12" x14ac:dyDescent="0.2">
      <c r="A3737" s="570" t="s">
        <v>220</v>
      </c>
      <c r="B3737" s="547" t="s">
        <v>5430</v>
      </c>
      <c r="C3737" s="554" t="s">
        <v>7123</v>
      </c>
      <c r="D3737" s="554" t="s">
        <v>8646</v>
      </c>
      <c r="E3737" s="554"/>
      <c r="F3737" s="571">
        <v>1</v>
      </c>
      <c r="G3737" s="572">
        <v>69</v>
      </c>
      <c r="H3737" s="545">
        <v>69</v>
      </c>
      <c r="I3737" s="554" t="s">
        <v>9218</v>
      </c>
      <c r="J3737" s="554" t="s">
        <v>9219</v>
      </c>
      <c r="K3737" s="554" t="s">
        <v>9219</v>
      </c>
      <c r="L3737" s="537" t="s">
        <v>2354</v>
      </c>
    </row>
    <row r="3738" spans="1:12" x14ac:dyDescent="0.2">
      <c r="A3738" s="570" t="s">
        <v>220</v>
      </c>
      <c r="B3738" s="547" t="s">
        <v>5430</v>
      </c>
      <c r="C3738" s="554" t="s">
        <v>4752</v>
      </c>
      <c r="D3738" s="554" t="s">
        <v>8647</v>
      </c>
      <c r="E3738" s="554"/>
      <c r="F3738" s="571">
        <v>50</v>
      </c>
      <c r="G3738" s="572">
        <v>5.4669999999999996</v>
      </c>
      <c r="H3738" s="545">
        <v>273.34999999999997</v>
      </c>
      <c r="I3738" s="554" t="s">
        <v>9218</v>
      </c>
      <c r="J3738" s="554" t="s">
        <v>9219</v>
      </c>
      <c r="K3738" s="554" t="s">
        <v>9219</v>
      </c>
      <c r="L3738" s="537" t="s">
        <v>2354</v>
      </c>
    </row>
    <row r="3739" spans="1:12" x14ac:dyDescent="0.2">
      <c r="A3739" s="570" t="s">
        <v>220</v>
      </c>
      <c r="B3739" s="547" t="s">
        <v>5430</v>
      </c>
      <c r="C3739" s="554" t="s">
        <v>7125</v>
      </c>
      <c r="D3739" s="554" t="s">
        <v>7126</v>
      </c>
      <c r="E3739" s="554"/>
      <c r="F3739" s="571">
        <v>4</v>
      </c>
      <c r="G3739" s="572">
        <v>35.518000000000001</v>
      </c>
      <c r="H3739" s="545">
        <v>142.072</v>
      </c>
      <c r="I3739" s="554" t="s">
        <v>9218</v>
      </c>
      <c r="J3739" s="554" t="s">
        <v>9219</v>
      </c>
      <c r="K3739" s="554" t="s">
        <v>9219</v>
      </c>
      <c r="L3739" s="537" t="s">
        <v>2354</v>
      </c>
    </row>
    <row r="3740" spans="1:12" x14ac:dyDescent="0.2">
      <c r="A3740" s="570" t="s">
        <v>220</v>
      </c>
      <c r="B3740" s="547" t="s">
        <v>5430</v>
      </c>
      <c r="C3740" s="554" t="s">
        <v>7127</v>
      </c>
      <c r="D3740" s="554" t="s">
        <v>8648</v>
      </c>
      <c r="E3740" s="554"/>
      <c r="F3740" s="571">
        <v>82</v>
      </c>
      <c r="G3740" s="572">
        <v>0.55300000000000005</v>
      </c>
      <c r="H3740" s="545">
        <v>45.346000000000004</v>
      </c>
      <c r="I3740" s="554" t="s">
        <v>9218</v>
      </c>
      <c r="J3740" s="554" t="s">
        <v>9219</v>
      </c>
      <c r="K3740" s="554" t="s">
        <v>9219</v>
      </c>
      <c r="L3740" s="537" t="s">
        <v>2354</v>
      </c>
    </row>
    <row r="3741" spans="1:12" x14ac:dyDescent="0.2">
      <c r="A3741" s="570" t="s">
        <v>220</v>
      </c>
      <c r="B3741" s="547" t="s">
        <v>5430</v>
      </c>
      <c r="C3741" s="554" t="s">
        <v>4760</v>
      </c>
      <c r="D3741" s="554" t="s">
        <v>8649</v>
      </c>
      <c r="E3741" s="554"/>
      <c r="F3741" s="571">
        <v>100</v>
      </c>
      <c r="G3741" s="572">
        <v>0.13500000000000001</v>
      </c>
      <c r="H3741" s="545">
        <v>13.5</v>
      </c>
      <c r="I3741" s="554" t="s">
        <v>9218</v>
      </c>
      <c r="J3741" s="554" t="s">
        <v>9219</v>
      </c>
      <c r="K3741" s="554" t="s">
        <v>9219</v>
      </c>
      <c r="L3741" s="537" t="s">
        <v>2354</v>
      </c>
    </row>
    <row r="3742" spans="1:12" x14ac:dyDescent="0.2">
      <c r="A3742" s="570" t="s">
        <v>220</v>
      </c>
      <c r="B3742" s="547" t="s">
        <v>5430</v>
      </c>
      <c r="C3742" s="554" t="s">
        <v>7133</v>
      </c>
      <c r="D3742" s="554" t="s">
        <v>8650</v>
      </c>
      <c r="E3742" s="554"/>
      <c r="F3742" s="571">
        <v>14</v>
      </c>
      <c r="G3742" s="572">
        <v>2.1179999999999999</v>
      </c>
      <c r="H3742" s="545">
        <v>29.651999999999997</v>
      </c>
      <c r="I3742" s="554" t="s">
        <v>9218</v>
      </c>
      <c r="J3742" s="554" t="s">
        <v>9219</v>
      </c>
      <c r="K3742" s="554" t="s">
        <v>9219</v>
      </c>
      <c r="L3742" s="537" t="s">
        <v>2354</v>
      </c>
    </row>
    <row r="3743" spans="1:12" x14ac:dyDescent="0.2">
      <c r="A3743" s="570" t="s">
        <v>220</v>
      </c>
      <c r="B3743" s="547" t="s">
        <v>5430</v>
      </c>
      <c r="C3743" s="554" t="s">
        <v>7135</v>
      </c>
      <c r="D3743" s="554" t="s">
        <v>7136</v>
      </c>
      <c r="E3743" s="554"/>
      <c r="F3743" s="571">
        <v>4</v>
      </c>
      <c r="G3743" s="572">
        <v>46.283000000000001</v>
      </c>
      <c r="H3743" s="545">
        <v>185.13200000000001</v>
      </c>
      <c r="I3743" s="554" t="s">
        <v>9218</v>
      </c>
      <c r="J3743" s="554" t="s">
        <v>9219</v>
      </c>
      <c r="K3743" s="554" t="s">
        <v>9219</v>
      </c>
      <c r="L3743" s="537" t="s">
        <v>2354</v>
      </c>
    </row>
    <row r="3744" spans="1:12" x14ac:dyDescent="0.2">
      <c r="A3744" s="570" t="s">
        <v>220</v>
      </c>
      <c r="B3744" s="547" t="s">
        <v>5430</v>
      </c>
      <c r="C3744" s="554" t="s">
        <v>7137</v>
      </c>
      <c r="D3744" s="554" t="s">
        <v>8651</v>
      </c>
      <c r="E3744" s="554"/>
      <c r="F3744" s="571">
        <v>85</v>
      </c>
      <c r="G3744" s="572">
        <v>1.587</v>
      </c>
      <c r="H3744" s="545">
        <v>134.89500000000001</v>
      </c>
      <c r="I3744" s="554" t="s">
        <v>9218</v>
      </c>
      <c r="J3744" s="554" t="s">
        <v>9219</v>
      </c>
      <c r="K3744" s="554" t="s">
        <v>9219</v>
      </c>
      <c r="L3744" s="537" t="s">
        <v>2354</v>
      </c>
    </row>
    <row r="3745" spans="1:12" x14ac:dyDescent="0.2">
      <c r="A3745" s="570" t="s">
        <v>220</v>
      </c>
      <c r="B3745" s="547" t="s">
        <v>5430</v>
      </c>
      <c r="C3745" s="554" t="s">
        <v>7139</v>
      </c>
      <c r="D3745" s="554" t="s">
        <v>8652</v>
      </c>
      <c r="E3745" s="554"/>
      <c r="F3745" s="571">
        <v>94</v>
      </c>
      <c r="G3745" s="572">
        <v>1.3160000000000001</v>
      </c>
      <c r="H3745" s="545">
        <v>123.70400000000001</v>
      </c>
      <c r="I3745" s="554" t="s">
        <v>9218</v>
      </c>
      <c r="J3745" s="554" t="s">
        <v>9219</v>
      </c>
      <c r="K3745" s="554" t="s">
        <v>9219</v>
      </c>
      <c r="L3745" s="537" t="s">
        <v>2354</v>
      </c>
    </row>
    <row r="3746" spans="1:12" x14ac:dyDescent="0.2">
      <c r="A3746" s="570" t="s">
        <v>220</v>
      </c>
      <c r="B3746" s="547" t="s">
        <v>5430</v>
      </c>
      <c r="C3746" s="554" t="s">
        <v>7141</v>
      </c>
      <c r="D3746" s="554" t="s">
        <v>8653</v>
      </c>
      <c r="E3746" s="554"/>
      <c r="F3746" s="571">
        <v>178</v>
      </c>
      <c r="G3746" s="572">
        <v>0.04</v>
      </c>
      <c r="H3746" s="545">
        <v>7.12</v>
      </c>
      <c r="I3746" s="554" t="s">
        <v>9218</v>
      </c>
      <c r="J3746" s="554" t="s">
        <v>9219</v>
      </c>
      <c r="K3746" s="554" t="s">
        <v>9219</v>
      </c>
      <c r="L3746" s="537" t="s">
        <v>2354</v>
      </c>
    </row>
    <row r="3747" spans="1:12" x14ac:dyDescent="0.2">
      <c r="A3747" s="570" t="s">
        <v>220</v>
      </c>
      <c r="B3747" s="547" t="s">
        <v>5430</v>
      </c>
      <c r="C3747" s="554" t="s">
        <v>7152</v>
      </c>
      <c r="D3747" s="554" t="s">
        <v>8654</v>
      </c>
      <c r="E3747" s="554"/>
      <c r="F3747" s="571">
        <v>194</v>
      </c>
      <c r="G3747" s="572">
        <v>0.17199999999999999</v>
      </c>
      <c r="H3747" s="545">
        <v>33.367999999999995</v>
      </c>
      <c r="I3747" s="554" t="s">
        <v>9218</v>
      </c>
      <c r="J3747" s="554" t="s">
        <v>9219</v>
      </c>
      <c r="K3747" s="554" t="s">
        <v>9219</v>
      </c>
      <c r="L3747" s="537" t="s">
        <v>2354</v>
      </c>
    </row>
    <row r="3748" spans="1:12" x14ac:dyDescent="0.2">
      <c r="A3748" s="570" t="s">
        <v>220</v>
      </c>
      <c r="B3748" s="547" t="s">
        <v>5430</v>
      </c>
      <c r="C3748" s="554" t="s">
        <v>4772</v>
      </c>
      <c r="D3748" s="554" t="s">
        <v>4773</v>
      </c>
      <c r="E3748" s="554"/>
      <c r="F3748" s="571">
        <v>140</v>
      </c>
      <c r="G3748" s="572">
        <v>0.39500000000000002</v>
      </c>
      <c r="H3748" s="545">
        <v>55.300000000000004</v>
      </c>
      <c r="I3748" s="554" t="s">
        <v>9218</v>
      </c>
      <c r="J3748" s="554" t="s">
        <v>9219</v>
      </c>
      <c r="K3748" s="554" t="s">
        <v>9219</v>
      </c>
      <c r="L3748" s="537" t="s">
        <v>2354</v>
      </c>
    </row>
    <row r="3749" spans="1:12" x14ac:dyDescent="0.2">
      <c r="A3749" s="570" t="s">
        <v>220</v>
      </c>
      <c r="B3749" s="547" t="s">
        <v>5430</v>
      </c>
      <c r="C3749" s="554" t="s">
        <v>4788</v>
      </c>
      <c r="D3749" s="554" t="s">
        <v>8655</v>
      </c>
      <c r="E3749" s="554"/>
      <c r="F3749" s="571">
        <v>47</v>
      </c>
      <c r="G3749" s="572">
        <v>0.109</v>
      </c>
      <c r="H3749" s="545">
        <v>5.1230000000000002</v>
      </c>
      <c r="I3749" s="554" t="s">
        <v>9218</v>
      </c>
      <c r="J3749" s="554" t="s">
        <v>9219</v>
      </c>
      <c r="K3749" s="554" t="s">
        <v>9219</v>
      </c>
      <c r="L3749" s="537" t="s">
        <v>2354</v>
      </c>
    </row>
    <row r="3750" spans="1:12" x14ac:dyDescent="0.2">
      <c r="A3750" s="570" t="s">
        <v>220</v>
      </c>
      <c r="B3750" s="547" t="s">
        <v>5430</v>
      </c>
      <c r="C3750" s="554" t="s">
        <v>4796</v>
      </c>
      <c r="D3750" s="554" t="s">
        <v>8656</v>
      </c>
      <c r="E3750" s="554"/>
      <c r="F3750" s="571">
        <v>23</v>
      </c>
      <c r="G3750" s="572">
        <v>5.5E-2</v>
      </c>
      <c r="H3750" s="545">
        <v>1.2649999999999999</v>
      </c>
      <c r="I3750" s="554" t="s">
        <v>9218</v>
      </c>
      <c r="J3750" s="554" t="s">
        <v>9219</v>
      </c>
      <c r="K3750" s="554" t="s">
        <v>9219</v>
      </c>
      <c r="L3750" s="537" t="s">
        <v>2354</v>
      </c>
    </row>
    <row r="3751" spans="1:12" x14ac:dyDescent="0.2">
      <c r="A3751" s="570" t="s">
        <v>220</v>
      </c>
      <c r="B3751" s="547" t="s">
        <v>5430</v>
      </c>
      <c r="C3751" s="554" t="s">
        <v>4798</v>
      </c>
      <c r="D3751" s="554" t="s">
        <v>8657</v>
      </c>
      <c r="E3751" s="554"/>
      <c r="F3751" s="571">
        <v>210</v>
      </c>
      <c r="G3751" s="572">
        <v>4.3999999999999997E-2</v>
      </c>
      <c r="H3751" s="545">
        <v>9.24</v>
      </c>
      <c r="I3751" s="554" t="s">
        <v>9218</v>
      </c>
      <c r="J3751" s="554" t="s">
        <v>9219</v>
      </c>
      <c r="K3751" s="554" t="s">
        <v>9219</v>
      </c>
      <c r="L3751" s="537" t="s">
        <v>2354</v>
      </c>
    </row>
    <row r="3752" spans="1:12" x14ac:dyDescent="0.2">
      <c r="A3752" s="570" t="s">
        <v>220</v>
      </c>
      <c r="B3752" s="547" t="s">
        <v>5430</v>
      </c>
      <c r="C3752" s="554" t="s">
        <v>8658</v>
      </c>
      <c r="D3752" s="554" t="s">
        <v>8656</v>
      </c>
      <c r="E3752" s="554"/>
      <c r="F3752" s="571">
        <v>220</v>
      </c>
      <c r="G3752" s="572">
        <v>5.3999999999999999E-2</v>
      </c>
      <c r="H3752" s="545">
        <v>11.879999999999999</v>
      </c>
      <c r="I3752" s="554" t="s">
        <v>9218</v>
      </c>
      <c r="J3752" s="554" t="s">
        <v>9219</v>
      </c>
      <c r="K3752" s="554" t="s">
        <v>9219</v>
      </c>
      <c r="L3752" s="537" t="s">
        <v>2354</v>
      </c>
    </row>
    <row r="3753" spans="1:12" x14ac:dyDescent="0.2">
      <c r="A3753" s="570" t="s">
        <v>220</v>
      </c>
      <c r="B3753" s="547" t="s">
        <v>5430</v>
      </c>
      <c r="C3753" s="554" t="s">
        <v>7162</v>
      </c>
      <c r="D3753" s="554" t="s">
        <v>8659</v>
      </c>
      <c r="E3753" s="554"/>
      <c r="F3753" s="571">
        <v>100</v>
      </c>
      <c r="G3753" s="572">
        <v>1.5129999999999999</v>
      </c>
      <c r="H3753" s="545">
        <v>151.29999999999998</v>
      </c>
      <c r="I3753" s="554" t="s">
        <v>9218</v>
      </c>
      <c r="J3753" s="554" t="s">
        <v>9219</v>
      </c>
      <c r="K3753" s="554" t="s">
        <v>9219</v>
      </c>
      <c r="L3753" s="537" t="s">
        <v>2354</v>
      </c>
    </row>
    <row r="3754" spans="1:12" x14ac:dyDescent="0.2">
      <c r="A3754" s="570" t="s">
        <v>220</v>
      </c>
      <c r="B3754" s="547" t="s">
        <v>5430</v>
      </c>
      <c r="C3754" s="554" t="s">
        <v>7164</v>
      </c>
      <c r="D3754" s="554" t="s">
        <v>8660</v>
      </c>
      <c r="E3754" s="554"/>
      <c r="F3754" s="571">
        <v>320</v>
      </c>
      <c r="G3754" s="572">
        <v>7.0999999999999994E-2</v>
      </c>
      <c r="H3754" s="545">
        <v>22.72</v>
      </c>
      <c r="I3754" s="554" t="s">
        <v>9218</v>
      </c>
      <c r="J3754" s="554" t="s">
        <v>9219</v>
      </c>
      <c r="K3754" s="554" t="s">
        <v>9219</v>
      </c>
      <c r="L3754" s="537" t="s">
        <v>2354</v>
      </c>
    </row>
    <row r="3755" spans="1:12" x14ac:dyDescent="0.2">
      <c r="A3755" s="570" t="s">
        <v>220</v>
      </c>
      <c r="B3755" s="547" t="s">
        <v>5430</v>
      </c>
      <c r="C3755" s="554" t="s">
        <v>4802</v>
      </c>
      <c r="D3755" s="554" t="s">
        <v>8661</v>
      </c>
      <c r="E3755" s="554"/>
      <c r="F3755" s="571">
        <v>272</v>
      </c>
      <c r="G3755" s="572">
        <v>5.1999999999999998E-2</v>
      </c>
      <c r="H3755" s="545">
        <v>14.144</v>
      </c>
      <c r="I3755" s="554" t="s">
        <v>9218</v>
      </c>
      <c r="J3755" s="554" t="s">
        <v>9219</v>
      </c>
      <c r="K3755" s="554" t="s">
        <v>9219</v>
      </c>
      <c r="L3755" s="537" t="s">
        <v>2354</v>
      </c>
    </row>
    <row r="3756" spans="1:12" x14ac:dyDescent="0.2">
      <c r="A3756" s="570" t="s">
        <v>220</v>
      </c>
      <c r="B3756" s="547" t="s">
        <v>5430</v>
      </c>
      <c r="C3756" s="554" t="s">
        <v>4804</v>
      </c>
      <c r="D3756" s="554" t="s">
        <v>8662</v>
      </c>
      <c r="E3756" s="554"/>
      <c r="F3756" s="571">
        <v>204</v>
      </c>
      <c r="G3756" s="572">
        <v>7.0999999999999994E-2</v>
      </c>
      <c r="H3756" s="545">
        <v>14.483999999999998</v>
      </c>
      <c r="I3756" s="554" t="s">
        <v>9218</v>
      </c>
      <c r="J3756" s="554" t="s">
        <v>9219</v>
      </c>
      <c r="K3756" s="554" t="s">
        <v>9219</v>
      </c>
      <c r="L3756" s="537" t="s">
        <v>2354</v>
      </c>
    </row>
    <row r="3757" spans="1:12" x14ac:dyDescent="0.2">
      <c r="A3757" s="570" t="s">
        <v>220</v>
      </c>
      <c r="B3757" s="547" t="s">
        <v>5430</v>
      </c>
      <c r="C3757" s="554" t="s">
        <v>4808</v>
      </c>
      <c r="D3757" s="554" t="s">
        <v>8663</v>
      </c>
      <c r="E3757" s="554"/>
      <c r="F3757" s="571">
        <v>308</v>
      </c>
      <c r="G3757" s="572">
        <v>0.183</v>
      </c>
      <c r="H3757" s="545">
        <v>56.363999999999997</v>
      </c>
      <c r="I3757" s="554" t="s">
        <v>9218</v>
      </c>
      <c r="J3757" s="554" t="s">
        <v>9219</v>
      </c>
      <c r="K3757" s="554" t="s">
        <v>9219</v>
      </c>
      <c r="L3757" s="537" t="s">
        <v>2354</v>
      </c>
    </row>
    <row r="3758" spans="1:12" x14ac:dyDescent="0.2">
      <c r="A3758" s="570" t="s">
        <v>220</v>
      </c>
      <c r="B3758" s="547" t="s">
        <v>5430</v>
      </c>
      <c r="C3758" s="554" t="s">
        <v>4810</v>
      </c>
      <c r="D3758" s="554" t="s">
        <v>8664</v>
      </c>
      <c r="E3758" s="554"/>
      <c r="F3758" s="571">
        <v>230</v>
      </c>
      <c r="G3758" s="572">
        <v>0.1</v>
      </c>
      <c r="H3758" s="545">
        <v>23</v>
      </c>
      <c r="I3758" s="554" t="s">
        <v>9218</v>
      </c>
      <c r="J3758" s="554" t="s">
        <v>9219</v>
      </c>
      <c r="K3758" s="554" t="s">
        <v>9219</v>
      </c>
      <c r="L3758" s="537" t="s">
        <v>2354</v>
      </c>
    </row>
    <row r="3759" spans="1:12" x14ac:dyDescent="0.2">
      <c r="A3759" s="570" t="s">
        <v>220</v>
      </c>
      <c r="B3759" s="547" t="s">
        <v>5430</v>
      </c>
      <c r="C3759" s="554" t="s">
        <v>4812</v>
      </c>
      <c r="D3759" s="554" t="s">
        <v>8665</v>
      </c>
      <c r="E3759" s="554"/>
      <c r="F3759" s="571">
        <v>87</v>
      </c>
      <c r="G3759" s="572">
        <v>0.24099999999999999</v>
      </c>
      <c r="H3759" s="545">
        <v>20.966999999999999</v>
      </c>
      <c r="I3759" s="554" t="s">
        <v>9218</v>
      </c>
      <c r="J3759" s="554" t="s">
        <v>9219</v>
      </c>
      <c r="K3759" s="554" t="s">
        <v>9219</v>
      </c>
      <c r="L3759" s="537" t="s">
        <v>2354</v>
      </c>
    </row>
    <row r="3760" spans="1:12" x14ac:dyDescent="0.2">
      <c r="A3760" s="570" t="s">
        <v>220</v>
      </c>
      <c r="B3760" s="547" t="s">
        <v>5430</v>
      </c>
      <c r="C3760" s="554" t="s">
        <v>4814</v>
      </c>
      <c r="D3760" s="554" t="s">
        <v>8666</v>
      </c>
      <c r="E3760" s="554"/>
      <c r="F3760" s="571">
        <v>507</v>
      </c>
      <c r="G3760" s="572">
        <v>0.17899999999999999</v>
      </c>
      <c r="H3760" s="545">
        <v>90.753</v>
      </c>
      <c r="I3760" s="554" t="s">
        <v>9218</v>
      </c>
      <c r="J3760" s="554" t="s">
        <v>9219</v>
      </c>
      <c r="K3760" s="554" t="s">
        <v>9219</v>
      </c>
      <c r="L3760" s="537" t="s">
        <v>2354</v>
      </c>
    </row>
    <row r="3761" spans="1:12" x14ac:dyDescent="0.2">
      <c r="A3761" s="570" t="s">
        <v>220</v>
      </c>
      <c r="B3761" s="547" t="s">
        <v>5430</v>
      </c>
      <c r="C3761" s="554" t="s">
        <v>4816</v>
      </c>
      <c r="D3761" s="554" t="s">
        <v>8667</v>
      </c>
      <c r="E3761" s="554"/>
      <c r="F3761" s="571">
        <v>312</v>
      </c>
      <c r="G3761" s="572">
        <v>0.26500000000000001</v>
      </c>
      <c r="H3761" s="545">
        <v>82.68</v>
      </c>
      <c r="I3761" s="554" t="s">
        <v>9218</v>
      </c>
      <c r="J3761" s="554" t="s">
        <v>9219</v>
      </c>
      <c r="K3761" s="554" t="s">
        <v>9219</v>
      </c>
      <c r="L3761" s="537" t="s">
        <v>2354</v>
      </c>
    </row>
    <row r="3762" spans="1:12" x14ac:dyDescent="0.2">
      <c r="A3762" s="570" t="s">
        <v>220</v>
      </c>
      <c r="B3762" s="547" t="s">
        <v>5430</v>
      </c>
      <c r="C3762" s="554" t="s">
        <v>7166</v>
      </c>
      <c r="D3762" s="554" t="s">
        <v>8668</v>
      </c>
      <c r="E3762" s="554"/>
      <c r="F3762" s="571">
        <v>26</v>
      </c>
      <c r="G3762" s="572">
        <v>0.56899999999999995</v>
      </c>
      <c r="H3762" s="545">
        <v>14.793999999999999</v>
      </c>
      <c r="I3762" s="554" t="s">
        <v>9218</v>
      </c>
      <c r="J3762" s="554" t="s">
        <v>9219</v>
      </c>
      <c r="K3762" s="554" t="s">
        <v>9219</v>
      </c>
      <c r="L3762" s="537" t="s">
        <v>2354</v>
      </c>
    </row>
    <row r="3763" spans="1:12" x14ac:dyDescent="0.2">
      <c r="A3763" s="570" t="s">
        <v>220</v>
      </c>
      <c r="B3763" s="547" t="s">
        <v>5430</v>
      </c>
      <c r="C3763" s="554" t="s">
        <v>7168</v>
      </c>
      <c r="D3763" s="554" t="s">
        <v>8669</v>
      </c>
      <c r="E3763" s="554"/>
      <c r="F3763" s="571">
        <v>45</v>
      </c>
      <c r="G3763" s="572">
        <v>0.624</v>
      </c>
      <c r="H3763" s="545">
        <v>28.08</v>
      </c>
      <c r="I3763" s="554" t="s">
        <v>9218</v>
      </c>
      <c r="J3763" s="554" t="s">
        <v>9219</v>
      </c>
      <c r="K3763" s="554" t="s">
        <v>9219</v>
      </c>
      <c r="L3763" s="537" t="s">
        <v>2354</v>
      </c>
    </row>
    <row r="3764" spans="1:12" x14ac:dyDescent="0.2">
      <c r="A3764" s="570" t="s">
        <v>220</v>
      </c>
      <c r="B3764" s="547" t="s">
        <v>5430</v>
      </c>
      <c r="C3764" s="554" t="s">
        <v>4820</v>
      </c>
      <c r="D3764" s="554" t="s">
        <v>8670</v>
      </c>
      <c r="E3764" s="554"/>
      <c r="F3764" s="571">
        <v>161</v>
      </c>
      <c r="G3764" s="572">
        <v>0.30499999999999999</v>
      </c>
      <c r="H3764" s="545">
        <v>49.104999999999997</v>
      </c>
      <c r="I3764" s="554" t="s">
        <v>9218</v>
      </c>
      <c r="J3764" s="554" t="s">
        <v>9219</v>
      </c>
      <c r="K3764" s="554" t="s">
        <v>9219</v>
      </c>
      <c r="L3764" s="537" t="s">
        <v>2354</v>
      </c>
    </row>
    <row r="3765" spans="1:12" x14ac:dyDescent="0.2">
      <c r="A3765" s="570" t="s">
        <v>220</v>
      </c>
      <c r="B3765" s="547" t="s">
        <v>5430</v>
      </c>
      <c r="C3765" s="554" t="s">
        <v>4822</v>
      </c>
      <c r="D3765" s="554" t="s">
        <v>8671</v>
      </c>
      <c r="E3765" s="554"/>
      <c r="F3765" s="571">
        <v>249</v>
      </c>
      <c r="G3765" s="572">
        <v>0.36299999999999999</v>
      </c>
      <c r="H3765" s="545">
        <v>90.387</v>
      </c>
      <c r="I3765" s="554" t="s">
        <v>9218</v>
      </c>
      <c r="J3765" s="554" t="s">
        <v>9219</v>
      </c>
      <c r="K3765" s="554" t="s">
        <v>9219</v>
      </c>
      <c r="L3765" s="537" t="s">
        <v>2354</v>
      </c>
    </row>
    <row r="3766" spans="1:12" x14ac:dyDescent="0.2">
      <c r="A3766" s="570" t="s">
        <v>220</v>
      </c>
      <c r="B3766" s="547" t="s">
        <v>5430</v>
      </c>
      <c r="C3766" s="554" t="s">
        <v>4824</v>
      </c>
      <c r="D3766" s="554" t="s">
        <v>8672</v>
      </c>
      <c r="E3766" s="554"/>
      <c r="F3766" s="571">
        <v>150</v>
      </c>
      <c r="G3766" s="572">
        <v>1.734</v>
      </c>
      <c r="H3766" s="545">
        <v>260.10000000000002</v>
      </c>
      <c r="I3766" s="554" t="s">
        <v>9218</v>
      </c>
      <c r="J3766" s="554" t="s">
        <v>9219</v>
      </c>
      <c r="K3766" s="554" t="s">
        <v>9219</v>
      </c>
      <c r="L3766" s="537" t="s">
        <v>2354</v>
      </c>
    </row>
    <row r="3767" spans="1:12" x14ac:dyDescent="0.2">
      <c r="A3767" s="570" t="s">
        <v>220</v>
      </c>
      <c r="B3767" s="547" t="s">
        <v>5430</v>
      </c>
      <c r="C3767" s="554" t="s">
        <v>7170</v>
      </c>
      <c r="D3767" s="554" t="s">
        <v>8673</v>
      </c>
      <c r="E3767" s="554"/>
      <c r="F3767" s="571">
        <v>42</v>
      </c>
      <c r="G3767" s="572">
        <v>0.26200000000000001</v>
      </c>
      <c r="H3767" s="545">
        <v>11.004000000000001</v>
      </c>
      <c r="I3767" s="554" t="s">
        <v>9218</v>
      </c>
      <c r="J3767" s="554" t="s">
        <v>9219</v>
      </c>
      <c r="K3767" s="554" t="s">
        <v>9219</v>
      </c>
      <c r="L3767" s="537" t="s">
        <v>2354</v>
      </c>
    </row>
    <row r="3768" spans="1:12" x14ac:dyDescent="0.2">
      <c r="A3768" s="570" t="s">
        <v>220</v>
      </c>
      <c r="B3768" s="547" t="s">
        <v>5430</v>
      </c>
      <c r="C3768" s="554" t="s">
        <v>4826</v>
      </c>
      <c r="D3768" s="554" t="s">
        <v>8674</v>
      </c>
      <c r="E3768" s="554"/>
      <c r="F3768" s="571">
        <v>192</v>
      </c>
      <c r="G3768" s="572">
        <v>1.111</v>
      </c>
      <c r="H3768" s="545">
        <v>213.31200000000001</v>
      </c>
      <c r="I3768" s="554" t="s">
        <v>9218</v>
      </c>
      <c r="J3768" s="554" t="s">
        <v>9219</v>
      </c>
      <c r="K3768" s="554" t="s">
        <v>9219</v>
      </c>
      <c r="L3768" s="537" t="s">
        <v>2354</v>
      </c>
    </row>
    <row r="3769" spans="1:12" x14ac:dyDescent="0.2">
      <c r="A3769" s="570" t="s">
        <v>220</v>
      </c>
      <c r="B3769" s="547" t="s">
        <v>5430</v>
      </c>
      <c r="C3769" s="554" t="s">
        <v>7172</v>
      </c>
      <c r="D3769" s="554" t="s">
        <v>8675</v>
      </c>
      <c r="E3769" s="554"/>
      <c r="F3769" s="571">
        <v>37</v>
      </c>
      <c r="G3769" s="572">
        <v>1.2789999999999999</v>
      </c>
      <c r="H3769" s="545">
        <v>47.322999999999993</v>
      </c>
      <c r="I3769" s="554" t="s">
        <v>9218</v>
      </c>
      <c r="J3769" s="554" t="s">
        <v>9219</v>
      </c>
      <c r="K3769" s="554" t="s">
        <v>9219</v>
      </c>
      <c r="L3769" s="537" t="s">
        <v>2354</v>
      </c>
    </row>
    <row r="3770" spans="1:12" x14ac:dyDescent="0.2">
      <c r="A3770" s="570" t="s">
        <v>220</v>
      </c>
      <c r="B3770" s="547" t="s">
        <v>5430</v>
      </c>
      <c r="C3770" s="554"/>
      <c r="D3770" s="554" t="s">
        <v>9451</v>
      </c>
      <c r="E3770" s="554"/>
      <c r="F3770" s="571">
        <v>310</v>
      </c>
      <c r="G3770" s="572">
        <v>6.0000000000000001E-3</v>
      </c>
      <c r="H3770" s="545">
        <v>1.86</v>
      </c>
      <c r="I3770" s="554" t="s">
        <v>9218</v>
      </c>
      <c r="J3770" s="554" t="s">
        <v>9219</v>
      </c>
      <c r="K3770" s="554" t="s">
        <v>9219</v>
      </c>
      <c r="L3770" s="537" t="s">
        <v>2354</v>
      </c>
    </row>
    <row r="3771" spans="1:12" x14ac:dyDescent="0.2">
      <c r="A3771" s="570" t="s">
        <v>220</v>
      </c>
      <c r="B3771" s="547" t="s">
        <v>5430</v>
      </c>
      <c r="C3771" s="554"/>
      <c r="D3771" s="554" t="s">
        <v>9452</v>
      </c>
      <c r="E3771" s="554"/>
      <c r="F3771" s="571">
        <v>310</v>
      </c>
      <c r="G3771" s="572">
        <v>8.0000000000000002E-3</v>
      </c>
      <c r="H3771" s="545">
        <v>2.48</v>
      </c>
      <c r="I3771" s="554" t="s">
        <v>9218</v>
      </c>
      <c r="J3771" s="554" t="s">
        <v>9219</v>
      </c>
      <c r="K3771" s="554" t="s">
        <v>9219</v>
      </c>
      <c r="L3771" s="537" t="s">
        <v>2354</v>
      </c>
    </row>
    <row r="3772" spans="1:12" x14ac:dyDescent="0.2">
      <c r="A3772" s="570" t="s">
        <v>220</v>
      </c>
      <c r="B3772" s="547" t="s">
        <v>5430</v>
      </c>
      <c r="C3772" s="554" t="s">
        <v>4830</v>
      </c>
      <c r="D3772" s="554" t="s">
        <v>8676</v>
      </c>
      <c r="E3772" s="554"/>
      <c r="F3772" s="571">
        <v>210</v>
      </c>
      <c r="G3772" s="572">
        <v>0.113</v>
      </c>
      <c r="H3772" s="545">
        <v>23.73</v>
      </c>
      <c r="I3772" s="554" t="s">
        <v>9218</v>
      </c>
      <c r="J3772" s="554" t="s">
        <v>9219</v>
      </c>
      <c r="K3772" s="554" t="s">
        <v>9219</v>
      </c>
      <c r="L3772" s="537" t="s">
        <v>2354</v>
      </c>
    </row>
    <row r="3773" spans="1:12" x14ac:dyDescent="0.2">
      <c r="A3773" s="570" t="s">
        <v>220</v>
      </c>
      <c r="B3773" s="547" t="s">
        <v>5430</v>
      </c>
      <c r="C3773" s="554" t="s">
        <v>4832</v>
      </c>
      <c r="D3773" s="554" t="s">
        <v>8677</v>
      </c>
      <c r="E3773" s="554"/>
      <c r="F3773" s="571">
        <v>67</v>
      </c>
      <c r="G3773" s="572">
        <v>0.188</v>
      </c>
      <c r="H3773" s="545">
        <v>12.596</v>
      </c>
      <c r="I3773" s="554" t="s">
        <v>9218</v>
      </c>
      <c r="J3773" s="554" t="s">
        <v>9219</v>
      </c>
      <c r="K3773" s="554" t="s">
        <v>9219</v>
      </c>
      <c r="L3773" s="537" t="s">
        <v>2354</v>
      </c>
    </row>
    <row r="3774" spans="1:12" x14ac:dyDescent="0.2">
      <c r="A3774" s="570" t="s">
        <v>220</v>
      </c>
      <c r="B3774" s="547" t="s">
        <v>5430</v>
      </c>
      <c r="C3774" s="554" t="s">
        <v>4834</v>
      </c>
      <c r="D3774" s="554" t="s">
        <v>8678</v>
      </c>
      <c r="E3774" s="554"/>
      <c r="F3774" s="571">
        <v>554</v>
      </c>
      <c r="G3774" s="572">
        <v>6.2E-2</v>
      </c>
      <c r="H3774" s="545">
        <v>34.347999999999999</v>
      </c>
      <c r="I3774" s="554" t="s">
        <v>9218</v>
      </c>
      <c r="J3774" s="554" t="s">
        <v>9219</v>
      </c>
      <c r="K3774" s="554" t="s">
        <v>9219</v>
      </c>
      <c r="L3774" s="537" t="s">
        <v>2354</v>
      </c>
    </row>
    <row r="3775" spans="1:12" x14ac:dyDescent="0.2">
      <c r="A3775" s="570" t="s">
        <v>220</v>
      </c>
      <c r="B3775" s="547" t="s">
        <v>5430</v>
      </c>
      <c r="C3775" s="554" t="s">
        <v>4836</v>
      </c>
      <c r="D3775" s="554" t="s">
        <v>8679</v>
      </c>
      <c r="E3775" s="554"/>
      <c r="F3775" s="571">
        <v>49</v>
      </c>
      <c r="G3775" s="572">
        <v>1.4219999999999999</v>
      </c>
      <c r="H3775" s="545">
        <v>69.677999999999997</v>
      </c>
      <c r="I3775" s="554" t="s">
        <v>9218</v>
      </c>
      <c r="J3775" s="554" t="s">
        <v>9219</v>
      </c>
      <c r="K3775" s="554" t="s">
        <v>9219</v>
      </c>
      <c r="L3775" s="537" t="s">
        <v>2354</v>
      </c>
    </row>
    <row r="3776" spans="1:12" x14ac:dyDescent="0.2">
      <c r="A3776" s="570" t="s">
        <v>220</v>
      </c>
      <c r="B3776" s="547" t="s">
        <v>5430</v>
      </c>
      <c r="C3776" s="554" t="s">
        <v>4838</v>
      </c>
      <c r="D3776" s="554" t="s">
        <v>8680</v>
      </c>
      <c r="E3776" s="554"/>
      <c r="F3776" s="571">
        <v>10</v>
      </c>
      <c r="G3776" s="572">
        <v>0.85499999999999998</v>
      </c>
      <c r="H3776" s="545">
        <v>8.5500000000000007</v>
      </c>
      <c r="I3776" s="554" t="s">
        <v>9218</v>
      </c>
      <c r="J3776" s="554" t="s">
        <v>9219</v>
      </c>
      <c r="K3776" s="554" t="s">
        <v>9219</v>
      </c>
      <c r="L3776" s="537" t="s">
        <v>2354</v>
      </c>
    </row>
    <row r="3777" spans="1:12" x14ac:dyDescent="0.2">
      <c r="A3777" s="570" t="s">
        <v>220</v>
      </c>
      <c r="B3777" s="547" t="s">
        <v>5430</v>
      </c>
      <c r="C3777" s="554" t="s">
        <v>4840</v>
      </c>
      <c r="D3777" s="554" t="s">
        <v>8681</v>
      </c>
      <c r="E3777" s="554"/>
      <c r="F3777" s="571">
        <v>85</v>
      </c>
      <c r="G3777" s="572">
        <v>0.40500000000000003</v>
      </c>
      <c r="H3777" s="545">
        <v>34.425000000000004</v>
      </c>
      <c r="I3777" s="554" t="s">
        <v>9218</v>
      </c>
      <c r="J3777" s="554" t="s">
        <v>9219</v>
      </c>
      <c r="K3777" s="554" t="s">
        <v>9219</v>
      </c>
      <c r="L3777" s="537" t="s">
        <v>2354</v>
      </c>
    </row>
    <row r="3778" spans="1:12" x14ac:dyDescent="0.2">
      <c r="A3778" s="570" t="s">
        <v>220</v>
      </c>
      <c r="B3778" s="547" t="s">
        <v>5430</v>
      </c>
      <c r="C3778" s="554" t="s">
        <v>4842</v>
      </c>
      <c r="D3778" s="554" t="s">
        <v>8682</v>
      </c>
      <c r="E3778" s="554"/>
      <c r="F3778" s="571">
        <v>160</v>
      </c>
      <c r="G3778" s="572">
        <v>9.7000000000000003E-2</v>
      </c>
      <c r="H3778" s="545">
        <v>15.52</v>
      </c>
      <c r="I3778" s="554" t="s">
        <v>9218</v>
      </c>
      <c r="J3778" s="554" t="s">
        <v>9219</v>
      </c>
      <c r="K3778" s="554" t="s">
        <v>9219</v>
      </c>
      <c r="L3778" s="537" t="s">
        <v>2354</v>
      </c>
    </row>
    <row r="3779" spans="1:12" x14ac:dyDescent="0.2">
      <c r="A3779" s="570" t="s">
        <v>220</v>
      </c>
      <c r="B3779" s="547" t="s">
        <v>5430</v>
      </c>
      <c r="C3779" s="554" t="s">
        <v>4846</v>
      </c>
      <c r="D3779" s="554" t="s">
        <v>8683</v>
      </c>
      <c r="E3779" s="554"/>
      <c r="F3779" s="571">
        <v>176</v>
      </c>
      <c r="G3779" s="572">
        <v>7.0999999999999994E-2</v>
      </c>
      <c r="H3779" s="545">
        <v>12.495999999999999</v>
      </c>
      <c r="I3779" s="554" t="s">
        <v>9218</v>
      </c>
      <c r="J3779" s="554" t="s">
        <v>9219</v>
      </c>
      <c r="K3779" s="554" t="s">
        <v>9219</v>
      </c>
      <c r="L3779" s="537" t="s">
        <v>2354</v>
      </c>
    </row>
    <row r="3780" spans="1:12" x14ac:dyDescent="0.2">
      <c r="A3780" s="570" t="s">
        <v>220</v>
      </c>
      <c r="B3780" s="547" t="s">
        <v>5430</v>
      </c>
      <c r="C3780" s="554" t="s">
        <v>4848</v>
      </c>
      <c r="D3780" s="554" t="s">
        <v>8684</v>
      </c>
      <c r="E3780" s="554"/>
      <c r="F3780" s="571">
        <v>372</v>
      </c>
      <c r="G3780" s="572">
        <v>8.6999999999999994E-2</v>
      </c>
      <c r="H3780" s="545">
        <v>32.363999999999997</v>
      </c>
      <c r="I3780" s="554" t="s">
        <v>9218</v>
      </c>
      <c r="J3780" s="554" t="s">
        <v>9219</v>
      </c>
      <c r="K3780" s="554" t="s">
        <v>9219</v>
      </c>
      <c r="L3780" s="537" t="s">
        <v>2354</v>
      </c>
    </row>
    <row r="3781" spans="1:12" x14ac:dyDescent="0.2">
      <c r="A3781" s="570" t="s">
        <v>220</v>
      </c>
      <c r="B3781" s="547" t="s">
        <v>5430</v>
      </c>
      <c r="C3781" s="554" t="s">
        <v>4854</v>
      </c>
      <c r="D3781" s="554" t="s">
        <v>8685</v>
      </c>
      <c r="E3781" s="554"/>
      <c r="F3781" s="571">
        <v>90</v>
      </c>
      <c r="G3781" s="572">
        <v>0.15</v>
      </c>
      <c r="H3781" s="545">
        <v>13.5</v>
      </c>
      <c r="I3781" s="554" t="s">
        <v>9218</v>
      </c>
      <c r="J3781" s="554" t="s">
        <v>9219</v>
      </c>
      <c r="K3781" s="554" t="s">
        <v>9219</v>
      </c>
      <c r="L3781" s="537" t="s">
        <v>2354</v>
      </c>
    </row>
    <row r="3782" spans="1:12" x14ac:dyDescent="0.2">
      <c r="A3782" s="570" t="s">
        <v>220</v>
      </c>
      <c r="B3782" s="547" t="s">
        <v>5430</v>
      </c>
      <c r="C3782" s="554" t="s">
        <v>4856</v>
      </c>
      <c r="D3782" s="554" t="s">
        <v>8686</v>
      </c>
      <c r="E3782" s="554"/>
      <c r="F3782" s="571">
        <v>184</v>
      </c>
      <c r="G3782" s="572">
        <v>0.85299999999999998</v>
      </c>
      <c r="H3782" s="545">
        <v>156.952</v>
      </c>
      <c r="I3782" s="554" t="s">
        <v>9218</v>
      </c>
      <c r="J3782" s="554" t="s">
        <v>9219</v>
      </c>
      <c r="K3782" s="554" t="s">
        <v>9219</v>
      </c>
      <c r="L3782" s="537" t="s">
        <v>2354</v>
      </c>
    </row>
    <row r="3783" spans="1:12" x14ac:dyDescent="0.2">
      <c r="A3783" s="570" t="s">
        <v>220</v>
      </c>
      <c r="B3783" s="547" t="s">
        <v>5430</v>
      </c>
      <c r="C3783" s="554" t="s">
        <v>4858</v>
      </c>
      <c r="D3783" s="554" t="s">
        <v>8687</v>
      </c>
      <c r="E3783" s="554"/>
      <c r="F3783" s="571">
        <v>94</v>
      </c>
      <c r="G3783" s="572">
        <v>0.38300000000000001</v>
      </c>
      <c r="H3783" s="545">
        <v>36.002000000000002</v>
      </c>
      <c r="I3783" s="554" t="s">
        <v>9218</v>
      </c>
      <c r="J3783" s="554" t="s">
        <v>9219</v>
      </c>
      <c r="K3783" s="554" t="s">
        <v>9219</v>
      </c>
      <c r="L3783" s="537" t="s">
        <v>2354</v>
      </c>
    </row>
    <row r="3784" spans="1:12" x14ac:dyDescent="0.2">
      <c r="A3784" s="570" t="s">
        <v>220</v>
      </c>
      <c r="B3784" s="547" t="s">
        <v>5430</v>
      </c>
      <c r="C3784" s="554" t="s">
        <v>4860</v>
      </c>
      <c r="D3784" s="554" t="s">
        <v>8688</v>
      </c>
      <c r="E3784" s="554"/>
      <c r="F3784" s="571">
        <v>100</v>
      </c>
      <c r="G3784" s="572">
        <v>0.44700000000000001</v>
      </c>
      <c r="H3784" s="545">
        <v>44.7</v>
      </c>
      <c r="I3784" s="554" t="s">
        <v>9218</v>
      </c>
      <c r="J3784" s="554" t="s">
        <v>9219</v>
      </c>
      <c r="K3784" s="554" t="s">
        <v>9219</v>
      </c>
      <c r="L3784" s="537" t="s">
        <v>2354</v>
      </c>
    </row>
    <row r="3785" spans="1:12" x14ac:dyDescent="0.2">
      <c r="A3785" s="570" t="s">
        <v>220</v>
      </c>
      <c r="B3785" s="547" t="s">
        <v>5430</v>
      </c>
      <c r="C3785" s="554" t="s">
        <v>4867</v>
      </c>
      <c r="D3785" s="554" t="s">
        <v>8689</v>
      </c>
      <c r="E3785" s="554"/>
      <c r="F3785" s="571">
        <v>138</v>
      </c>
      <c r="G3785" s="572">
        <v>0.32600000000000001</v>
      </c>
      <c r="H3785" s="545">
        <v>44.988</v>
      </c>
      <c r="I3785" s="554" t="s">
        <v>9218</v>
      </c>
      <c r="J3785" s="554" t="s">
        <v>9219</v>
      </c>
      <c r="K3785" s="554" t="s">
        <v>9219</v>
      </c>
      <c r="L3785" s="537" t="s">
        <v>2354</v>
      </c>
    </row>
    <row r="3786" spans="1:12" x14ac:dyDescent="0.2">
      <c r="A3786" s="570" t="s">
        <v>220</v>
      </c>
      <c r="B3786" s="547" t="s">
        <v>5430</v>
      </c>
      <c r="C3786" s="554" t="s">
        <v>4869</v>
      </c>
      <c r="D3786" s="554" t="s">
        <v>8690</v>
      </c>
      <c r="E3786" s="554"/>
      <c r="F3786" s="571">
        <v>8</v>
      </c>
      <c r="G3786" s="572">
        <v>0.83717239130434784</v>
      </c>
      <c r="H3786" s="545">
        <v>6.6973791304347827</v>
      </c>
      <c r="I3786" s="554" t="s">
        <v>9218</v>
      </c>
      <c r="J3786" s="554" t="s">
        <v>9219</v>
      </c>
      <c r="K3786" s="554" t="s">
        <v>9219</v>
      </c>
      <c r="L3786" s="537" t="s">
        <v>2354</v>
      </c>
    </row>
    <row r="3787" spans="1:12" x14ac:dyDescent="0.2">
      <c r="A3787" s="570" t="s">
        <v>220</v>
      </c>
      <c r="B3787" s="547" t="s">
        <v>5430</v>
      </c>
      <c r="C3787" s="554" t="s">
        <v>4873</v>
      </c>
      <c r="D3787" s="554" t="s">
        <v>8691</v>
      </c>
      <c r="E3787" s="554"/>
      <c r="F3787" s="571">
        <v>400</v>
      </c>
      <c r="G3787" s="572">
        <v>0.63200000000000001</v>
      </c>
      <c r="H3787" s="545">
        <v>252.8</v>
      </c>
      <c r="I3787" s="554" t="s">
        <v>9218</v>
      </c>
      <c r="J3787" s="554" t="s">
        <v>9219</v>
      </c>
      <c r="K3787" s="554" t="s">
        <v>9219</v>
      </c>
      <c r="L3787" s="537" t="s">
        <v>2354</v>
      </c>
    </row>
    <row r="3788" spans="1:12" x14ac:dyDescent="0.2">
      <c r="A3788" s="570" t="s">
        <v>220</v>
      </c>
      <c r="B3788" s="547" t="s">
        <v>5430</v>
      </c>
      <c r="C3788" s="554" t="s">
        <v>4901</v>
      </c>
      <c r="D3788" s="554" t="s">
        <v>8692</v>
      </c>
      <c r="E3788" s="554"/>
      <c r="F3788" s="571">
        <v>100</v>
      </c>
      <c r="G3788" s="572">
        <v>0.218</v>
      </c>
      <c r="H3788" s="545">
        <v>21.8</v>
      </c>
      <c r="I3788" s="554" t="s">
        <v>9218</v>
      </c>
      <c r="J3788" s="554" t="s">
        <v>9219</v>
      </c>
      <c r="K3788" s="554" t="s">
        <v>9219</v>
      </c>
      <c r="L3788" s="537" t="s">
        <v>2354</v>
      </c>
    </row>
    <row r="3789" spans="1:12" x14ac:dyDescent="0.2">
      <c r="A3789" s="570" t="s">
        <v>220</v>
      </c>
      <c r="B3789" s="547" t="s">
        <v>5430</v>
      </c>
      <c r="C3789" s="554" t="s">
        <v>7175</v>
      </c>
      <c r="D3789" s="554" t="s">
        <v>8693</v>
      </c>
      <c r="E3789" s="554"/>
      <c r="F3789" s="571">
        <v>210</v>
      </c>
      <c r="G3789" s="572">
        <v>0.28199999999999997</v>
      </c>
      <c r="H3789" s="545">
        <v>59.219999999999992</v>
      </c>
      <c r="I3789" s="554" t="s">
        <v>9218</v>
      </c>
      <c r="J3789" s="554" t="s">
        <v>9219</v>
      </c>
      <c r="K3789" s="554" t="s">
        <v>9219</v>
      </c>
      <c r="L3789" s="537" t="s">
        <v>2354</v>
      </c>
    </row>
    <row r="3790" spans="1:12" x14ac:dyDescent="0.2">
      <c r="A3790" s="570" t="s">
        <v>220</v>
      </c>
      <c r="B3790" s="547" t="s">
        <v>5430</v>
      </c>
      <c r="C3790" s="554" t="s">
        <v>4905</v>
      </c>
      <c r="D3790" s="554" t="s">
        <v>8694</v>
      </c>
      <c r="E3790" s="554"/>
      <c r="F3790" s="571">
        <v>10</v>
      </c>
      <c r="G3790" s="572">
        <v>0.44500000000000001</v>
      </c>
      <c r="H3790" s="545">
        <v>4.45</v>
      </c>
      <c r="I3790" s="554" t="s">
        <v>9218</v>
      </c>
      <c r="J3790" s="554" t="s">
        <v>9219</v>
      </c>
      <c r="K3790" s="554" t="s">
        <v>9219</v>
      </c>
      <c r="L3790" s="537" t="s">
        <v>2354</v>
      </c>
    </row>
    <row r="3791" spans="1:12" x14ac:dyDescent="0.2">
      <c r="A3791" s="570" t="s">
        <v>220</v>
      </c>
      <c r="B3791" s="547" t="s">
        <v>5430</v>
      </c>
      <c r="C3791" s="554" t="s">
        <v>8695</v>
      </c>
      <c r="D3791" s="554" t="s">
        <v>8696</v>
      </c>
      <c r="E3791" s="554"/>
      <c r="F3791" s="571">
        <v>100</v>
      </c>
      <c r="G3791" s="572">
        <v>0.49299999999999999</v>
      </c>
      <c r="H3791" s="545">
        <v>49.3</v>
      </c>
      <c r="I3791" s="554" t="s">
        <v>9218</v>
      </c>
      <c r="J3791" s="554" t="s">
        <v>9219</v>
      </c>
      <c r="K3791" s="554" t="s">
        <v>9219</v>
      </c>
      <c r="L3791" s="537" t="s">
        <v>2354</v>
      </c>
    </row>
    <row r="3792" spans="1:12" x14ac:dyDescent="0.2">
      <c r="A3792" s="570" t="s">
        <v>220</v>
      </c>
      <c r="B3792" s="547" t="s">
        <v>5430</v>
      </c>
      <c r="C3792" s="554" t="s">
        <v>4909</v>
      </c>
      <c r="D3792" s="554" t="s">
        <v>8697</v>
      </c>
      <c r="E3792" s="554"/>
      <c r="F3792" s="571">
        <v>245</v>
      </c>
      <c r="G3792" s="572">
        <v>0.78200000000000003</v>
      </c>
      <c r="H3792" s="545">
        <v>191.59</v>
      </c>
      <c r="I3792" s="554" t="s">
        <v>9218</v>
      </c>
      <c r="J3792" s="554" t="s">
        <v>9219</v>
      </c>
      <c r="K3792" s="554" t="s">
        <v>9219</v>
      </c>
      <c r="L3792" s="537" t="s">
        <v>2354</v>
      </c>
    </row>
    <row r="3793" spans="1:12" x14ac:dyDescent="0.2">
      <c r="A3793" s="570" t="s">
        <v>220</v>
      </c>
      <c r="B3793" s="547" t="s">
        <v>5430</v>
      </c>
      <c r="C3793" s="554" t="s">
        <v>7180</v>
      </c>
      <c r="D3793" s="554" t="s">
        <v>8698</v>
      </c>
      <c r="E3793" s="554"/>
      <c r="F3793" s="571">
        <v>122</v>
      </c>
      <c r="G3793" s="572">
        <v>1.1060000000000001</v>
      </c>
      <c r="H3793" s="545">
        <v>134.93200000000002</v>
      </c>
      <c r="I3793" s="554" t="s">
        <v>9218</v>
      </c>
      <c r="J3793" s="554" t="s">
        <v>9219</v>
      </c>
      <c r="K3793" s="554" t="s">
        <v>9219</v>
      </c>
      <c r="L3793" s="537" t="s">
        <v>2354</v>
      </c>
    </row>
    <row r="3794" spans="1:12" x14ac:dyDescent="0.2">
      <c r="A3794" s="570" t="s">
        <v>220</v>
      </c>
      <c r="B3794" s="547" t="s">
        <v>5430</v>
      </c>
      <c r="C3794" s="554" t="s">
        <v>7182</v>
      </c>
      <c r="D3794" s="554" t="s">
        <v>8699</v>
      </c>
      <c r="E3794" s="554"/>
      <c r="F3794" s="571">
        <v>163</v>
      </c>
      <c r="G3794" s="572">
        <v>1.25</v>
      </c>
      <c r="H3794" s="545">
        <v>203.75</v>
      </c>
      <c r="I3794" s="554" t="s">
        <v>9218</v>
      </c>
      <c r="J3794" s="554" t="s">
        <v>9219</v>
      </c>
      <c r="K3794" s="554" t="s">
        <v>9219</v>
      </c>
      <c r="L3794" s="537" t="s">
        <v>2354</v>
      </c>
    </row>
    <row r="3795" spans="1:12" x14ac:dyDescent="0.2">
      <c r="A3795" s="570" t="s">
        <v>220</v>
      </c>
      <c r="B3795" s="547" t="s">
        <v>5430</v>
      </c>
      <c r="C3795" s="554" t="s">
        <v>4919</v>
      </c>
      <c r="D3795" s="554" t="s">
        <v>8700</v>
      </c>
      <c r="E3795" s="554"/>
      <c r="F3795" s="571">
        <v>184</v>
      </c>
      <c r="G3795" s="572">
        <v>2.8000000000000001E-2</v>
      </c>
      <c r="H3795" s="545">
        <v>5.1520000000000001</v>
      </c>
      <c r="I3795" s="554" t="s">
        <v>9218</v>
      </c>
      <c r="J3795" s="554" t="s">
        <v>9219</v>
      </c>
      <c r="K3795" s="554" t="s">
        <v>9219</v>
      </c>
      <c r="L3795" s="537" t="s">
        <v>2354</v>
      </c>
    </row>
    <row r="3796" spans="1:12" x14ac:dyDescent="0.2">
      <c r="A3796" s="570" t="s">
        <v>220</v>
      </c>
      <c r="B3796" s="547" t="s">
        <v>5430</v>
      </c>
      <c r="C3796" s="554" t="s">
        <v>4921</v>
      </c>
      <c r="D3796" s="554" t="s">
        <v>4922</v>
      </c>
      <c r="E3796" s="554"/>
      <c r="F3796" s="571">
        <v>870</v>
      </c>
      <c r="G3796" s="572">
        <v>2.1999999999999999E-2</v>
      </c>
      <c r="H3796" s="545">
        <v>19.14</v>
      </c>
      <c r="I3796" s="554" t="s">
        <v>9218</v>
      </c>
      <c r="J3796" s="554" t="s">
        <v>9219</v>
      </c>
      <c r="K3796" s="554" t="s">
        <v>9219</v>
      </c>
      <c r="L3796" s="537" t="s">
        <v>2354</v>
      </c>
    </row>
    <row r="3797" spans="1:12" x14ac:dyDescent="0.2">
      <c r="A3797" s="570" t="s">
        <v>220</v>
      </c>
      <c r="B3797" s="547" t="s">
        <v>5430</v>
      </c>
      <c r="C3797" s="554" t="s">
        <v>4923</v>
      </c>
      <c r="D3797" s="554" t="s">
        <v>4924</v>
      </c>
      <c r="E3797" s="554"/>
      <c r="F3797" s="571">
        <v>728</v>
      </c>
      <c r="G3797" s="572">
        <v>0.06</v>
      </c>
      <c r="H3797" s="545">
        <v>43.68</v>
      </c>
      <c r="I3797" s="554" t="s">
        <v>9218</v>
      </c>
      <c r="J3797" s="554" t="s">
        <v>9219</v>
      </c>
      <c r="K3797" s="554" t="s">
        <v>9219</v>
      </c>
      <c r="L3797" s="537" t="s">
        <v>2354</v>
      </c>
    </row>
    <row r="3798" spans="1:12" x14ac:dyDescent="0.2">
      <c r="A3798" s="570" t="s">
        <v>220</v>
      </c>
      <c r="B3798" s="547" t="s">
        <v>5430</v>
      </c>
      <c r="C3798" s="554" t="s">
        <v>4925</v>
      </c>
      <c r="D3798" s="554" t="s">
        <v>4926</v>
      </c>
      <c r="E3798" s="554"/>
      <c r="F3798" s="571">
        <v>552</v>
      </c>
      <c r="G3798" s="572">
        <v>0.13600000000000001</v>
      </c>
      <c r="H3798" s="545">
        <v>75.072000000000003</v>
      </c>
      <c r="I3798" s="554" t="s">
        <v>9218</v>
      </c>
      <c r="J3798" s="554" t="s">
        <v>9219</v>
      </c>
      <c r="K3798" s="554" t="s">
        <v>9219</v>
      </c>
      <c r="L3798" s="537" t="s">
        <v>2354</v>
      </c>
    </row>
    <row r="3799" spans="1:12" x14ac:dyDescent="0.2">
      <c r="A3799" s="570" t="s">
        <v>220</v>
      </c>
      <c r="B3799" s="547" t="s">
        <v>5430</v>
      </c>
      <c r="C3799" s="554" t="s">
        <v>4927</v>
      </c>
      <c r="D3799" s="554" t="s">
        <v>8701</v>
      </c>
      <c r="E3799" s="554"/>
      <c r="F3799" s="571">
        <v>365</v>
      </c>
      <c r="G3799" s="572">
        <v>0.13200000000000001</v>
      </c>
      <c r="H3799" s="545">
        <v>48.18</v>
      </c>
      <c r="I3799" s="554" t="s">
        <v>9218</v>
      </c>
      <c r="J3799" s="554" t="s">
        <v>9219</v>
      </c>
      <c r="K3799" s="554" t="s">
        <v>9219</v>
      </c>
      <c r="L3799" s="537" t="s">
        <v>2354</v>
      </c>
    </row>
    <row r="3800" spans="1:12" x14ac:dyDescent="0.2">
      <c r="A3800" s="570" t="s">
        <v>220</v>
      </c>
      <c r="B3800" s="547" t="s">
        <v>5430</v>
      </c>
      <c r="C3800" s="554" t="s">
        <v>4929</v>
      </c>
      <c r="D3800" s="554" t="s">
        <v>8702</v>
      </c>
      <c r="E3800" s="554"/>
      <c r="F3800" s="571">
        <v>110</v>
      </c>
      <c r="G3800" s="572">
        <v>0.34499999999999997</v>
      </c>
      <c r="H3800" s="545">
        <v>37.949999999999996</v>
      </c>
      <c r="I3800" s="554" t="s">
        <v>9218</v>
      </c>
      <c r="J3800" s="554" t="s">
        <v>9219</v>
      </c>
      <c r="K3800" s="554" t="s">
        <v>9219</v>
      </c>
      <c r="L3800" s="537" t="s">
        <v>2354</v>
      </c>
    </row>
    <row r="3801" spans="1:12" x14ac:dyDescent="0.2">
      <c r="A3801" s="570" t="s">
        <v>220</v>
      </c>
      <c r="B3801" s="547" t="s">
        <v>5430</v>
      </c>
      <c r="C3801" s="554" t="s">
        <v>4937</v>
      </c>
      <c r="D3801" s="554" t="s">
        <v>8703</v>
      </c>
      <c r="E3801" s="554"/>
      <c r="F3801" s="571">
        <v>10</v>
      </c>
      <c r="G3801" s="572">
        <v>0.16200000000000001</v>
      </c>
      <c r="H3801" s="545">
        <v>1.62</v>
      </c>
      <c r="I3801" s="554" t="s">
        <v>9218</v>
      </c>
      <c r="J3801" s="554" t="s">
        <v>9219</v>
      </c>
      <c r="K3801" s="554" t="s">
        <v>9219</v>
      </c>
      <c r="L3801" s="537" t="s">
        <v>2354</v>
      </c>
    </row>
    <row r="3802" spans="1:12" x14ac:dyDescent="0.2">
      <c r="A3802" s="570" t="s">
        <v>220</v>
      </c>
      <c r="B3802" s="547" t="s">
        <v>5430</v>
      </c>
      <c r="C3802" s="554" t="s">
        <v>4939</v>
      </c>
      <c r="D3802" s="554" t="s">
        <v>8704</v>
      </c>
      <c r="E3802" s="554"/>
      <c r="F3802" s="571">
        <v>68</v>
      </c>
      <c r="G3802" s="572">
        <v>0.432</v>
      </c>
      <c r="H3802" s="545">
        <v>29.376000000000001</v>
      </c>
      <c r="I3802" s="554" t="s">
        <v>9218</v>
      </c>
      <c r="J3802" s="554" t="s">
        <v>9219</v>
      </c>
      <c r="K3802" s="554" t="s">
        <v>9219</v>
      </c>
      <c r="L3802" s="537" t="s">
        <v>2354</v>
      </c>
    </row>
    <row r="3803" spans="1:12" x14ac:dyDescent="0.2">
      <c r="A3803" s="570" t="s">
        <v>220</v>
      </c>
      <c r="B3803" s="547" t="s">
        <v>5430</v>
      </c>
      <c r="C3803" s="554" t="s">
        <v>4943</v>
      </c>
      <c r="D3803" s="554" t="s">
        <v>8705</v>
      </c>
      <c r="E3803" s="554"/>
      <c r="F3803" s="571">
        <v>20</v>
      </c>
      <c r="G3803" s="572">
        <v>5.1999999999999998E-2</v>
      </c>
      <c r="H3803" s="545">
        <v>1.04</v>
      </c>
      <c r="I3803" s="554" t="s">
        <v>9218</v>
      </c>
      <c r="J3803" s="554" t="s">
        <v>9219</v>
      </c>
      <c r="K3803" s="554" t="s">
        <v>9219</v>
      </c>
      <c r="L3803" s="537" t="s">
        <v>2354</v>
      </c>
    </row>
    <row r="3804" spans="1:12" x14ac:dyDescent="0.2">
      <c r="A3804" s="570" t="s">
        <v>220</v>
      </c>
      <c r="B3804" s="547" t="s">
        <v>5430</v>
      </c>
      <c r="C3804" s="554" t="s">
        <v>4945</v>
      </c>
      <c r="D3804" s="554" t="s">
        <v>8706</v>
      </c>
      <c r="E3804" s="554"/>
      <c r="F3804" s="571">
        <v>4</v>
      </c>
      <c r="G3804" s="572">
        <v>9.0999999999999998E-2</v>
      </c>
      <c r="H3804" s="545">
        <v>0.36399999999999999</v>
      </c>
      <c r="I3804" s="554" t="s">
        <v>9218</v>
      </c>
      <c r="J3804" s="554" t="s">
        <v>9219</v>
      </c>
      <c r="K3804" s="554" t="s">
        <v>9219</v>
      </c>
      <c r="L3804" s="537" t="s">
        <v>2354</v>
      </c>
    </row>
    <row r="3805" spans="1:12" x14ac:dyDescent="0.2">
      <c r="A3805" s="570" t="s">
        <v>220</v>
      </c>
      <c r="B3805" s="547" t="s">
        <v>5430</v>
      </c>
      <c r="C3805" s="554" t="s">
        <v>4959</v>
      </c>
      <c r="D3805" s="554" t="s">
        <v>8707</v>
      </c>
      <c r="E3805" s="554"/>
      <c r="F3805" s="571">
        <v>33</v>
      </c>
      <c r="G3805" s="572">
        <v>0.28199999999999997</v>
      </c>
      <c r="H3805" s="545">
        <v>9.3059999999999992</v>
      </c>
      <c r="I3805" s="554" t="s">
        <v>9218</v>
      </c>
      <c r="J3805" s="554" t="s">
        <v>9219</v>
      </c>
      <c r="K3805" s="554" t="s">
        <v>9219</v>
      </c>
      <c r="L3805" s="537" t="s">
        <v>2354</v>
      </c>
    </row>
    <row r="3806" spans="1:12" x14ac:dyDescent="0.2">
      <c r="A3806" s="570" t="s">
        <v>220</v>
      </c>
      <c r="B3806" s="547" t="s">
        <v>5430</v>
      </c>
      <c r="C3806" s="554" t="s">
        <v>4961</v>
      </c>
      <c r="D3806" s="554" t="s">
        <v>8708</v>
      </c>
      <c r="E3806" s="554"/>
      <c r="F3806" s="571">
        <v>21</v>
      </c>
      <c r="G3806" s="572">
        <v>1.331</v>
      </c>
      <c r="H3806" s="545">
        <v>27.951000000000001</v>
      </c>
      <c r="I3806" s="554" t="s">
        <v>9218</v>
      </c>
      <c r="J3806" s="554" t="s">
        <v>9219</v>
      </c>
      <c r="K3806" s="554" t="s">
        <v>9219</v>
      </c>
      <c r="L3806" s="537" t="s">
        <v>2354</v>
      </c>
    </row>
    <row r="3807" spans="1:12" x14ac:dyDescent="0.2">
      <c r="A3807" s="570" t="s">
        <v>220</v>
      </c>
      <c r="B3807" s="547" t="s">
        <v>5430</v>
      </c>
      <c r="C3807" s="554" t="s">
        <v>4963</v>
      </c>
      <c r="D3807" s="554" t="s">
        <v>8709</v>
      </c>
      <c r="E3807" s="554"/>
      <c r="F3807" s="571">
        <v>16</v>
      </c>
      <c r="G3807" s="572">
        <v>1.9410000000000001</v>
      </c>
      <c r="H3807" s="545">
        <v>31.056000000000001</v>
      </c>
      <c r="I3807" s="554" t="s">
        <v>9218</v>
      </c>
      <c r="J3807" s="554" t="s">
        <v>9219</v>
      </c>
      <c r="K3807" s="554" t="s">
        <v>9219</v>
      </c>
      <c r="L3807" s="537" t="s">
        <v>2354</v>
      </c>
    </row>
    <row r="3808" spans="1:12" x14ac:dyDescent="0.2">
      <c r="A3808" s="570" t="s">
        <v>220</v>
      </c>
      <c r="B3808" s="547" t="s">
        <v>5430</v>
      </c>
      <c r="C3808" s="554" t="s">
        <v>4965</v>
      </c>
      <c r="D3808" s="554" t="s">
        <v>8710</v>
      </c>
      <c r="E3808" s="554"/>
      <c r="F3808" s="571">
        <v>18</v>
      </c>
      <c r="G3808" s="572">
        <v>1.5629999999999999</v>
      </c>
      <c r="H3808" s="545">
        <v>28.134</v>
      </c>
      <c r="I3808" s="554" t="s">
        <v>9218</v>
      </c>
      <c r="J3808" s="554" t="s">
        <v>9219</v>
      </c>
      <c r="K3808" s="554" t="s">
        <v>9219</v>
      </c>
      <c r="L3808" s="537" t="s">
        <v>2354</v>
      </c>
    </row>
    <row r="3809" spans="1:12" x14ac:dyDescent="0.2">
      <c r="A3809" s="570" t="s">
        <v>220</v>
      </c>
      <c r="B3809" s="547" t="s">
        <v>5430</v>
      </c>
      <c r="C3809" s="554" t="s">
        <v>4967</v>
      </c>
      <c r="D3809" s="554" t="s">
        <v>8711</v>
      </c>
      <c r="E3809" s="554"/>
      <c r="F3809" s="571">
        <v>10</v>
      </c>
      <c r="G3809" s="572">
        <v>4.2560000000000002</v>
      </c>
      <c r="H3809" s="545">
        <v>42.56</v>
      </c>
      <c r="I3809" s="554" t="s">
        <v>9218</v>
      </c>
      <c r="J3809" s="554" t="s">
        <v>9219</v>
      </c>
      <c r="K3809" s="554" t="s">
        <v>9219</v>
      </c>
      <c r="L3809" s="537" t="s">
        <v>2354</v>
      </c>
    </row>
    <row r="3810" spans="1:12" x14ac:dyDescent="0.2">
      <c r="A3810" s="570" t="s">
        <v>220</v>
      </c>
      <c r="B3810" s="547" t="s">
        <v>5430</v>
      </c>
      <c r="C3810" s="554" t="s">
        <v>4969</v>
      </c>
      <c r="D3810" s="554" t="s">
        <v>8712</v>
      </c>
      <c r="E3810" s="554"/>
      <c r="F3810" s="571">
        <v>14</v>
      </c>
      <c r="G3810" s="572">
        <v>6.1120000000000001</v>
      </c>
      <c r="H3810" s="545">
        <v>85.567999999999998</v>
      </c>
      <c r="I3810" s="554" t="s">
        <v>9218</v>
      </c>
      <c r="J3810" s="554" t="s">
        <v>9219</v>
      </c>
      <c r="K3810" s="554" t="s">
        <v>9219</v>
      </c>
      <c r="L3810" s="537" t="s">
        <v>2354</v>
      </c>
    </row>
    <row r="3811" spans="1:12" x14ac:dyDescent="0.2">
      <c r="A3811" s="570" t="s">
        <v>220</v>
      </c>
      <c r="B3811" s="547" t="s">
        <v>5430</v>
      </c>
      <c r="C3811" s="554" t="s">
        <v>4971</v>
      </c>
      <c r="D3811" s="554" t="s">
        <v>8713</v>
      </c>
      <c r="E3811" s="554"/>
      <c r="F3811" s="571">
        <v>11</v>
      </c>
      <c r="G3811" s="572">
        <v>7.36</v>
      </c>
      <c r="H3811" s="545">
        <v>80.960000000000008</v>
      </c>
      <c r="I3811" s="554" t="s">
        <v>9218</v>
      </c>
      <c r="J3811" s="554" t="s">
        <v>9219</v>
      </c>
      <c r="K3811" s="554" t="s">
        <v>9219</v>
      </c>
      <c r="L3811" s="537" t="s">
        <v>2354</v>
      </c>
    </row>
    <row r="3812" spans="1:12" x14ac:dyDescent="0.2">
      <c r="A3812" s="570" t="s">
        <v>220</v>
      </c>
      <c r="B3812" s="547" t="s">
        <v>5430</v>
      </c>
      <c r="C3812" s="554" t="s">
        <v>4973</v>
      </c>
      <c r="D3812" s="554" t="s">
        <v>8714</v>
      </c>
      <c r="E3812" s="554"/>
      <c r="F3812" s="571">
        <v>290</v>
      </c>
      <c r="G3812" s="572">
        <v>1.7999999999999999E-2</v>
      </c>
      <c r="H3812" s="545">
        <v>5.22</v>
      </c>
      <c r="I3812" s="554" t="s">
        <v>9218</v>
      </c>
      <c r="J3812" s="554" t="s">
        <v>9219</v>
      </c>
      <c r="K3812" s="554" t="s">
        <v>9219</v>
      </c>
      <c r="L3812" s="537" t="s">
        <v>2354</v>
      </c>
    </row>
    <row r="3813" spans="1:12" x14ac:dyDescent="0.2">
      <c r="A3813" s="570" t="s">
        <v>220</v>
      </c>
      <c r="B3813" s="547" t="s">
        <v>5430</v>
      </c>
      <c r="C3813" s="554" t="s">
        <v>4975</v>
      </c>
      <c r="D3813" s="554" t="s">
        <v>8715</v>
      </c>
      <c r="E3813" s="554"/>
      <c r="F3813" s="571">
        <v>920</v>
      </c>
      <c r="G3813" s="572">
        <v>2.8000000000000001E-2</v>
      </c>
      <c r="H3813" s="545">
        <v>25.76</v>
      </c>
      <c r="I3813" s="554" t="s">
        <v>9218</v>
      </c>
      <c r="J3813" s="554" t="s">
        <v>9219</v>
      </c>
      <c r="K3813" s="554" t="s">
        <v>9219</v>
      </c>
      <c r="L3813" s="537" t="s">
        <v>2354</v>
      </c>
    </row>
    <row r="3814" spans="1:12" x14ac:dyDescent="0.2">
      <c r="A3814" s="570" t="s">
        <v>220</v>
      </c>
      <c r="B3814" s="547" t="s">
        <v>5430</v>
      </c>
      <c r="C3814" s="554" t="s">
        <v>4977</v>
      </c>
      <c r="D3814" s="554" t="s">
        <v>8716</v>
      </c>
      <c r="E3814" s="554"/>
      <c r="F3814" s="571">
        <v>826</v>
      </c>
      <c r="G3814" s="572">
        <v>3.5999999999999997E-2</v>
      </c>
      <c r="H3814" s="545">
        <v>29.735999999999997</v>
      </c>
      <c r="I3814" s="554" t="s">
        <v>9218</v>
      </c>
      <c r="J3814" s="554" t="s">
        <v>9219</v>
      </c>
      <c r="K3814" s="554" t="s">
        <v>9219</v>
      </c>
      <c r="L3814" s="537" t="s">
        <v>2354</v>
      </c>
    </row>
    <row r="3815" spans="1:12" x14ac:dyDescent="0.2">
      <c r="A3815" s="570" t="s">
        <v>220</v>
      </c>
      <c r="B3815" s="547" t="s">
        <v>5430</v>
      </c>
      <c r="C3815" s="554" t="s">
        <v>4979</v>
      </c>
      <c r="D3815" s="554" t="s">
        <v>8717</v>
      </c>
      <c r="E3815" s="554"/>
      <c r="F3815" s="571">
        <v>960</v>
      </c>
      <c r="G3815" s="572">
        <v>0.1</v>
      </c>
      <c r="H3815" s="545">
        <v>96</v>
      </c>
      <c r="I3815" s="554" t="s">
        <v>9218</v>
      </c>
      <c r="J3815" s="554" t="s">
        <v>9219</v>
      </c>
      <c r="K3815" s="554" t="s">
        <v>9219</v>
      </c>
      <c r="L3815" s="537" t="s">
        <v>2354</v>
      </c>
    </row>
    <row r="3816" spans="1:12" x14ac:dyDescent="0.2">
      <c r="A3816" s="570" t="s">
        <v>220</v>
      </c>
      <c r="B3816" s="547" t="s">
        <v>5430</v>
      </c>
      <c r="C3816" s="554" t="s">
        <v>4981</v>
      </c>
      <c r="D3816" s="554" t="s">
        <v>8718</v>
      </c>
      <c r="E3816" s="554"/>
      <c r="F3816" s="571">
        <v>884</v>
      </c>
      <c r="G3816" s="572">
        <v>0.155</v>
      </c>
      <c r="H3816" s="545">
        <v>137.02000000000001</v>
      </c>
      <c r="I3816" s="554" t="s">
        <v>9218</v>
      </c>
      <c r="J3816" s="554" t="s">
        <v>9219</v>
      </c>
      <c r="K3816" s="554" t="s">
        <v>9219</v>
      </c>
      <c r="L3816" s="537" t="s">
        <v>2354</v>
      </c>
    </row>
    <row r="3817" spans="1:12" x14ac:dyDescent="0.2">
      <c r="A3817" s="570" t="s">
        <v>220</v>
      </c>
      <c r="B3817" s="547" t="s">
        <v>5430</v>
      </c>
      <c r="C3817" s="554" t="s">
        <v>4983</v>
      </c>
      <c r="D3817" s="554" t="s">
        <v>8719</v>
      </c>
      <c r="E3817" s="554"/>
      <c r="F3817" s="571">
        <v>394</v>
      </c>
      <c r="G3817" s="572">
        <v>0.129</v>
      </c>
      <c r="H3817" s="545">
        <v>50.826000000000001</v>
      </c>
      <c r="I3817" s="554" t="s">
        <v>9218</v>
      </c>
      <c r="J3817" s="554" t="s">
        <v>9219</v>
      </c>
      <c r="K3817" s="554" t="s">
        <v>9219</v>
      </c>
      <c r="L3817" s="537" t="s">
        <v>2354</v>
      </c>
    </row>
    <row r="3818" spans="1:12" x14ac:dyDescent="0.2">
      <c r="A3818" s="570" t="s">
        <v>220</v>
      </c>
      <c r="B3818" s="547" t="s">
        <v>5430</v>
      </c>
      <c r="C3818" s="554" t="s">
        <v>4985</v>
      </c>
      <c r="D3818" s="554" t="s">
        <v>8720</v>
      </c>
      <c r="E3818" s="554"/>
      <c r="F3818" s="571">
        <v>608</v>
      </c>
      <c r="G3818" s="572">
        <v>0.20699999999999999</v>
      </c>
      <c r="H3818" s="545">
        <v>125.85599999999999</v>
      </c>
      <c r="I3818" s="554" t="s">
        <v>9218</v>
      </c>
      <c r="J3818" s="554" t="s">
        <v>9219</v>
      </c>
      <c r="K3818" s="554" t="s">
        <v>9219</v>
      </c>
      <c r="L3818" s="537" t="s">
        <v>2354</v>
      </c>
    </row>
    <row r="3819" spans="1:12" x14ac:dyDescent="0.2">
      <c r="A3819" s="570" t="s">
        <v>220</v>
      </c>
      <c r="B3819" s="547" t="s">
        <v>5430</v>
      </c>
      <c r="C3819" s="554" t="s">
        <v>7185</v>
      </c>
      <c r="D3819" s="554" t="s">
        <v>8721</v>
      </c>
      <c r="E3819" s="554"/>
      <c r="F3819" s="571">
        <v>100</v>
      </c>
      <c r="G3819" s="572">
        <v>0.17299999999999999</v>
      </c>
      <c r="H3819" s="545">
        <v>17.299999999999997</v>
      </c>
      <c r="I3819" s="554" t="s">
        <v>9218</v>
      </c>
      <c r="J3819" s="554" t="s">
        <v>9219</v>
      </c>
      <c r="K3819" s="554" t="s">
        <v>9219</v>
      </c>
      <c r="L3819" s="537" t="s">
        <v>2354</v>
      </c>
    </row>
    <row r="3820" spans="1:12" x14ac:dyDescent="0.2">
      <c r="A3820" s="570" t="s">
        <v>220</v>
      </c>
      <c r="B3820" s="547" t="s">
        <v>5430</v>
      </c>
      <c r="C3820" s="554" t="s">
        <v>5012</v>
      </c>
      <c r="D3820" s="554" t="s">
        <v>5013</v>
      </c>
      <c r="E3820" s="554"/>
      <c r="F3820" s="571">
        <v>110</v>
      </c>
      <c r="G3820" s="572">
        <v>2.8000000000000001E-2</v>
      </c>
      <c r="H3820" s="545">
        <v>3.08</v>
      </c>
      <c r="I3820" s="554" t="s">
        <v>9218</v>
      </c>
      <c r="J3820" s="554" t="s">
        <v>9219</v>
      </c>
      <c r="K3820" s="554" t="s">
        <v>9219</v>
      </c>
      <c r="L3820" s="537" t="s">
        <v>2354</v>
      </c>
    </row>
    <row r="3821" spans="1:12" x14ac:dyDescent="0.2">
      <c r="A3821" s="570" t="s">
        <v>220</v>
      </c>
      <c r="B3821" s="547" t="s">
        <v>5430</v>
      </c>
      <c r="C3821" s="554" t="s">
        <v>5014</v>
      </c>
      <c r="D3821" s="554" t="s">
        <v>8722</v>
      </c>
      <c r="E3821" s="554"/>
      <c r="F3821" s="571">
        <v>121</v>
      </c>
      <c r="G3821" s="572">
        <v>0.04</v>
      </c>
      <c r="H3821" s="545">
        <v>4.84</v>
      </c>
      <c r="I3821" s="554" t="s">
        <v>9218</v>
      </c>
      <c r="J3821" s="554" t="s">
        <v>9219</v>
      </c>
      <c r="K3821" s="554" t="s">
        <v>9219</v>
      </c>
      <c r="L3821" s="537" t="s">
        <v>2354</v>
      </c>
    </row>
    <row r="3822" spans="1:12" x14ac:dyDescent="0.2">
      <c r="A3822" s="570" t="s">
        <v>220</v>
      </c>
      <c r="B3822" s="547" t="s">
        <v>5430</v>
      </c>
      <c r="C3822" s="554" t="s">
        <v>8723</v>
      </c>
      <c r="D3822" s="554" t="s">
        <v>8724</v>
      </c>
      <c r="E3822" s="554"/>
      <c r="F3822" s="571">
        <v>100</v>
      </c>
      <c r="G3822" s="572">
        <v>0.14299999999999999</v>
      </c>
      <c r="H3822" s="545">
        <v>14.299999999999999</v>
      </c>
      <c r="I3822" s="554" t="s">
        <v>9218</v>
      </c>
      <c r="J3822" s="554" t="s">
        <v>9219</v>
      </c>
      <c r="K3822" s="554" t="s">
        <v>9219</v>
      </c>
      <c r="L3822" s="537" t="s">
        <v>2354</v>
      </c>
    </row>
    <row r="3823" spans="1:12" x14ac:dyDescent="0.2">
      <c r="A3823" s="570" t="s">
        <v>220</v>
      </c>
      <c r="B3823" s="547" t="s">
        <v>5430</v>
      </c>
      <c r="C3823" s="554"/>
      <c r="D3823" s="554" t="s">
        <v>9453</v>
      </c>
      <c r="E3823" s="554"/>
      <c r="F3823" s="571">
        <v>15</v>
      </c>
      <c r="G3823" s="572">
        <v>9.8279999999999994</v>
      </c>
      <c r="H3823" s="545">
        <v>147.41999999999999</v>
      </c>
      <c r="I3823" s="554" t="s">
        <v>9218</v>
      </c>
      <c r="J3823" s="554" t="s">
        <v>9219</v>
      </c>
      <c r="K3823" s="554" t="s">
        <v>9219</v>
      </c>
      <c r="L3823" s="537" t="s">
        <v>2354</v>
      </c>
    </row>
    <row r="3824" spans="1:12" x14ac:dyDescent="0.2">
      <c r="A3824" s="570" t="s">
        <v>220</v>
      </c>
      <c r="B3824" s="547" t="s">
        <v>5430</v>
      </c>
      <c r="C3824" s="554" t="s">
        <v>5050</v>
      </c>
      <c r="D3824" s="554" t="s">
        <v>8725</v>
      </c>
      <c r="E3824" s="554"/>
      <c r="F3824" s="571">
        <v>10</v>
      </c>
      <c r="G3824" s="572">
        <v>1.1359999999999999</v>
      </c>
      <c r="H3824" s="545">
        <v>11.36</v>
      </c>
      <c r="I3824" s="554" t="s">
        <v>9218</v>
      </c>
      <c r="J3824" s="554" t="s">
        <v>9219</v>
      </c>
      <c r="K3824" s="554" t="s">
        <v>9219</v>
      </c>
      <c r="L3824" s="537" t="s">
        <v>2354</v>
      </c>
    </row>
    <row r="3825" spans="1:12" x14ac:dyDescent="0.2">
      <c r="A3825" s="570" t="s">
        <v>220</v>
      </c>
      <c r="B3825" s="547" t="s">
        <v>5430</v>
      </c>
      <c r="C3825" s="554" t="s">
        <v>5054</v>
      </c>
      <c r="D3825" s="554" t="s">
        <v>8726</v>
      </c>
      <c r="E3825" s="554"/>
      <c r="F3825" s="571">
        <v>4</v>
      </c>
      <c r="G3825" s="572">
        <v>0.16800000000000001</v>
      </c>
      <c r="H3825" s="545">
        <v>0.67200000000000004</v>
      </c>
      <c r="I3825" s="554" t="s">
        <v>9218</v>
      </c>
      <c r="J3825" s="554" t="s">
        <v>9219</v>
      </c>
      <c r="K3825" s="554" t="s">
        <v>9219</v>
      </c>
      <c r="L3825" s="537" t="s">
        <v>2354</v>
      </c>
    </row>
    <row r="3826" spans="1:12" x14ac:dyDescent="0.2">
      <c r="A3826" s="570" t="s">
        <v>220</v>
      </c>
      <c r="B3826" s="547" t="s">
        <v>5430</v>
      </c>
      <c r="C3826" s="554" t="s">
        <v>8727</v>
      </c>
      <c r="D3826" s="554" t="s">
        <v>8728</v>
      </c>
      <c r="E3826" s="554"/>
      <c r="F3826" s="571">
        <v>61</v>
      </c>
      <c r="G3826" s="572">
        <v>1.8180000000000001</v>
      </c>
      <c r="H3826" s="545">
        <v>110.89800000000001</v>
      </c>
      <c r="I3826" s="554" t="s">
        <v>9218</v>
      </c>
      <c r="J3826" s="554" t="s">
        <v>9219</v>
      </c>
      <c r="K3826" s="554" t="s">
        <v>9219</v>
      </c>
      <c r="L3826" s="537" t="s">
        <v>2354</v>
      </c>
    </row>
    <row r="3827" spans="1:12" x14ac:dyDescent="0.2">
      <c r="A3827" s="570" t="s">
        <v>220</v>
      </c>
      <c r="B3827" s="547" t="s">
        <v>5430</v>
      </c>
      <c r="C3827" s="554"/>
      <c r="D3827" s="554" t="s">
        <v>9454</v>
      </c>
      <c r="E3827" s="554"/>
      <c r="F3827" s="571">
        <v>104</v>
      </c>
      <c r="G3827" s="572">
        <v>0.14799999999999999</v>
      </c>
      <c r="H3827" s="545">
        <v>15.391999999999999</v>
      </c>
      <c r="I3827" s="554" t="s">
        <v>9218</v>
      </c>
      <c r="J3827" s="554" t="s">
        <v>9219</v>
      </c>
      <c r="K3827" s="554" t="s">
        <v>9219</v>
      </c>
      <c r="L3827" s="537" t="s">
        <v>2354</v>
      </c>
    </row>
    <row r="3828" spans="1:12" x14ac:dyDescent="0.2">
      <c r="A3828" s="570" t="s">
        <v>220</v>
      </c>
      <c r="B3828" s="547" t="s">
        <v>5430</v>
      </c>
      <c r="C3828" s="554" t="s">
        <v>7189</v>
      </c>
      <c r="D3828" s="554" t="s">
        <v>8729</v>
      </c>
      <c r="E3828" s="554"/>
      <c r="F3828" s="571">
        <v>4</v>
      </c>
      <c r="G3828" s="572">
        <v>2.1949999999999998</v>
      </c>
      <c r="H3828" s="545">
        <v>8.7799999999999994</v>
      </c>
      <c r="I3828" s="554" t="s">
        <v>9218</v>
      </c>
      <c r="J3828" s="554" t="s">
        <v>9219</v>
      </c>
      <c r="K3828" s="554" t="s">
        <v>9219</v>
      </c>
      <c r="L3828" s="537" t="s">
        <v>2354</v>
      </c>
    </row>
    <row r="3829" spans="1:12" x14ac:dyDescent="0.2">
      <c r="A3829" s="570" t="s">
        <v>220</v>
      </c>
      <c r="B3829" s="547" t="s">
        <v>5430</v>
      </c>
      <c r="C3829" s="554" t="s">
        <v>5066</v>
      </c>
      <c r="D3829" s="554" t="s">
        <v>8730</v>
      </c>
      <c r="E3829" s="554"/>
      <c r="F3829" s="571">
        <v>83</v>
      </c>
      <c r="G3829" s="572">
        <v>0.32100000000000001</v>
      </c>
      <c r="H3829" s="545">
        <v>26.643000000000001</v>
      </c>
      <c r="I3829" s="554" t="s">
        <v>9218</v>
      </c>
      <c r="J3829" s="554" t="s">
        <v>9219</v>
      </c>
      <c r="K3829" s="554" t="s">
        <v>9219</v>
      </c>
      <c r="L3829" s="537" t="s">
        <v>2354</v>
      </c>
    </row>
    <row r="3830" spans="1:12" x14ac:dyDescent="0.2">
      <c r="A3830" s="570" t="s">
        <v>220</v>
      </c>
      <c r="B3830" s="547" t="s">
        <v>5430</v>
      </c>
      <c r="C3830" s="554" t="s">
        <v>7194</v>
      </c>
      <c r="D3830" s="554" t="s">
        <v>8731</v>
      </c>
      <c r="E3830" s="554"/>
      <c r="F3830" s="571">
        <v>60</v>
      </c>
      <c r="G3830" s="572">
        <v>0.34699999999999998</v>
      </c>
      <c r="H3830" s="545">
        <v>20.82</v>
      </c>
      <c r="I3830" s="554" t="s">
        <v>9218</v>
      </c>
      <c r="J3830" s="554" t="s">
        <v>9219</v>
      </c>
      <c r="K3830" s="554" t="s">
        <v>9219</v>
      </c>
      <c r="L3830" s="537" t="s">
        <v>2354</v>
      </c>
    </row>
    <row r="3831" spans="1:12" x14ac:dyDescent="0.2">
      <c r="A3831" s="570" t="s">
        <v>220</v>
      </c>
      <c r="B3831" s="547" t="s">
        <v>5430</v>
      </c>
      <c r="C3831" s="554" t="s">
        <v>7196</v>
      </c>
      <c r="D3831" s="554" t="s">
        <v>8732</v>
      </c>
      <c r="E3831" s="554"/>
      <c r="F3831" s="571">
        <v>11</v>
      </c>
      <c r="G3831" s="572">
        <v>0.25800000000000001</v>
      </c>
      <c r="H3831" s="545">
        <v>2.8380000000000001</v>
      </c>
      <c r="I3831" s="554" t="s">
        <v>9218</v>
      </c>
      <c r="J3831" s="554" t="s">
        <v>9219</v>
      </c>
      <c r="K3831" s="554" t="s">
        <v>9219</v>
      </c>
      <c r="L3831" s="537" t="s">
        <v>2354</v>
      </c>
    </row>
    <row r="3832" spans="1:12" x14ac:dyDescent="0.2">
      <c r="A3832" s="570" t="s">
        <v>220</v>
      </c>
      <c r="B3832" s="547" t="s">
        <v>5430</v>
      </c>
      <c r="C3832" s="554" t="s">
        <v>7198</v>
      </c>
      <c r="D3832" s="554" t="s">
        <v>8733</v>
      </c>
      <c r="E3832" s="554"/>
      <c r="F3832" s="571">
        <v>100</v>
      </c>
      <c r="G3832" s="572">
        <v>0.18</v>
      </c>
      <c r="H3832" s="545">
        <v>18</v>
      </c>
      <c r="I3832" s="554" t="s">
        <v>9218</v>
      </c>
      <c r="J3832" s="554" t="s">
        <v>9219</v>
      </c>
      <c r="K3832" s="554" t="s">
        <v>9219</v>
      </c>
      <c r="L3832" s="537" t="s">
        <v>2354</v>
      </c>
    </row>
    <row r="3833" spans="1:12" x14ac:dyDescent="0.2">
      <c r="A3833" s="570" t="s">
        <v>220</v>
      </c>
      <c r="B3833" s="547" t="s">
        <v>5430</v>
      </c>
      <c r="C3833" s="554" t="s">
        <v>5080</v>
      </c>
      <c r="D3833" s="554" t="s">
        <v>8734</v>
      </c>
      <c r="E3833" s="554"/>
      <c r="F3833" s="571">
        <v>8</v>
      </c>
      <c r="G3833" s="572">
        <v>17.158999999999999</v>
      </c>
      <c r="H3833" s="545">
        <v>137.27199999999999</v>
      </c>
      <c r="I3833" s="554" t="s">
        <v>9218</v>
      </c>
      <c r="J3833" s="554" t="s">
        <v>9219</v>
      </c>
      <c r="K3833" s="554" t="s">
        <v>9219</v>
      </c>
      <c r="L3833" s="537" t="s">
        <v>2354</v>
      </c>
    </row>
    <row r="3834" spans="1:12" x14ac:dyDescent="0.2">
      <c r="A3834" s="570" t="s">
        <v>220</v>
      </c>
      <c r="B3834" s="547" t="s">
        <v>5430</v>
      </c>
      <c r="C3834" s="554" t="s">
        <v>5082</v>
      </c>
      <c r="D3834" s="554" t="s">
        <v>8735</v>
      </c>
      <c r="E3834" s="554"/>
      <c r="F3834" s="571">
        <v>6</v>
      </c>
      <c r="G3834" s="572">
        <v>22.751999999999999</v>
      </c>
      <c r="H3834" s="545">
        <v>136.512</v>
      </c>
      <c r="I3834" s="554" t="s">
        <v>9218</v>
      </c>
      <c r="J3834" s="554" t="s">
        <v>9219</v>
      </c>
      <c r="K3834" s="554" t="s">
        <v>9219</v>
      </c>
      <c r="L3834" s="537" t="s">
        <v>2354</v>
      </c>
    </row>
    <row r="3835" spans="1:12" x14ac:dyDescent="0.2">
      <c r="A3835" s="570" t="s">
        <v>220</v>
      </c>
      <c r="B3835" s="547" t="s">
        <v>5430</v>
      </c>
      <c r="C3835" s="554" t="s">
        <v>7200</v>
      </c>
      <c r="D3835" s="554" t="s">
        <v>8736</v>
      </c>
      <c r="E3835" s="554"/>
      <c r="F3835" s="571">
        <v>40</v>
      </c>
      <c r="G3835" s="572">
        <v>0.29799999999999999</v>
      </c>
      <c r="H3835" s="545">
        <v>11.92</v>
      </c>
      <c r="I3835" s="554" t="s">
        <v>9218</v>
      </c>
      <c r="J3835" s="554" t="s">
        <v>9219</v>
      </c>
      <c r="K3835" s="554" t="s">
        <v>9219</v>
      </c>
      <c r="L3835" s="537" t="s">
        <v>2354</v>
      </c>
    </row>
    <row r="3836" spans="1:12" x14ac:dyDescent="0.2">
      <c r="A3836" s="570" t="s">
        <v>220</v>
      </c>
      <c r="B3836" s="547" t="s">
        <v>5430</v>
      </c>
      <c r="C3836" s="554" t="s">
        <v>7202</v>
      </c>
      <c r="D3836" s="554" t="s">
        <v>8737</v>
      </c>
      <c r="E3836" s="554"/>
      <c r="F3836" s="571">
        <v>71</v>
      </c>
      <c r="G3836" s="572">
        <v>3.3690000000000002</v>
      </c>
      <c r="H3836" s="545">
        <v>239.19900000000001</v>
      </c>
      <c r="I3836" s="554" t="s">
        <v>9218</v>
      </c>
      <c r="J3836" s="554" t="s">
        <v>9219</v>
      </c>
      <c r="K3836" s="554" t="s">
        <v>9219</v>
      </c>
      <c r="L3836" s="537" t="s">
        <v>2354</v>
      </c>
    </row>
    <row r="3837" spans="1:12" x14ac:dyDescent="0.2">
      <c r="A3837" s="570" t="s">
        <v>220</v>
      </c>
      <c r="B3837" s="547" t="s">
        <v>5430</v>
      </c>
      <c r="C3837" s="554" t="s">
        <v>7204</v>
      </c>
      <c r="D3837" s="554" t="s">
        <v>8738</v>
      </c>
      <c r="E3837" s="554"/>
      <c r="F3837" s="571">
        <v>29</v>
      </c>
      <c r="G3837" s="572">
        <v>0.42599999999999999</v>
      </c>
      <c r="H3837" s="545">
        <v>12.353999999999999</v>
      </c>
      <c r="I3837" s="554" t="s">
        <v>9218</v>
      </c>
      <c r="J3837" s="554" t="s">
        <v>9219</v>
      </c>
      <c r="K3837" s="554" t="s">
        <v>9219</v>
      </c>
      <c r="L3837" s="537" t="s">
        <v>2354</v>
      </c>
    </row>
    <row r="3838" spans="1:12" x14ac:dyDescent="0.2">
      <c r="A3838" s="570" t="s">
        <v>220</v>
      </c>
      <c r="B3838" s="547" t="s">
        <v>5430</v>
      </c>
      <c r="C3838" s="554" t="s">
        <v>7206</v>
      </c>
      <c r="D3838" s="554" t="s">
        <v>8739</v>
      </c>
      <c r="E3838" s="554"/>
      <c r="F3838" s="571">
        <v>37</v>
      </c>
      <c r="G3838" s="572">
        <v>2.8079999999999998</v>
      </c>
      <c r="H3838" s="545">
        <v>103.89599999999999</v>
      </c>
      <c r="I3838" s="554" t="s">
        <v>9218</v>
      </c>
      <c r="J3838" s="554" t="s">
        <v>9219</v>
      </c>
      <c r="K3838" s="554" t="s">
        <v>9219</v>
      </c>
      <c r="L3838" s="537" t="s">
        <v>2354</v>
      </c>
    </row>
    <row r="3839" spans="1:12" x14ac:dyDescent="0.2">
      <c r="A3839" s="570" t="s">
        <v>220</v>
      </c>
      <c r="B3839" s="547" t="s">
        <v>5430</v>
      </c>
      <c r="C3839" s="554" t="s">
        <v>5092</v>
      </c>
      <c r="D3839" s="554" t="s">
        <v>8740</v>
      </c>
      <c r="E3839" s="554"/>
      <c r="F3839" s="571">
        <v>8</v>
      </c>
      <c r="G3839" s="572">
        <v>6.4870000000000001</v>
      </c>
      <c r="H3839" s="545">
        <v>51.896000000000001</v>
      </c>
      <c r="I3839" s="554" t="s">
        <v>9218</v>
      </c>
      <c r="J3839" s="554" t="s">
        <v>9219</v>
      </c>
      <c r="K3839" s="554" t="s">
        <v>9219</v>
      </c>
      <c r="L3839" s="537" t="s">
        <v>2354</v>
      </c>
    </row>
    <row r="3840" spans="1:12" x14ac:dyDescent="0.2">
      <c r="A3840" s="570" t="s">
        <v>220</v>
      </c>
      <c r="B3840" s="547" t="s">
        <v>5430</v>
      </c>
      <c r="C3840" s="554" t="s">
        <v>5116</v>
      </c>
      <c r="D3840" s="554" t="s">
        <v>8741</v>
      </c>
      <c r="E3840" s="554"/>
      <c r="F3840" s="571">
        <v>100</v>
      </c>
      <c r="G3840" s="572">
        <v>5.1999999999999998E-2</v>
      </c>
      <c r="H3840" s="545">
        <v>5.2</v>
      </c>
      <c r="I3840" s="554" t="s">
        <v>9218</v>
      </c>
      <c r="J3840" s="554" t="s">
        <v>9219</v>
      </c>
      <c r="K3840" s="554" t="s">
        <v>9219</v>
      </c>
      <c r="L3840" s="537" t="s">
        <v>2354</v>
      </c>
    </row>
    <row r="3841" spans="1:12" x14ac:dyDescent="0.2">
      <c r="A3841" s="570" t="s">
        <v>220</v>
      </c>
      <c r="B3841" s="547" t="s">
        <v>5430</v>
      </c>
      <c r="C3841" s="554" t="s">
        <v>5118</v>
      </c>
      <c r="D3841" s="554" t="s">
        <v>8742</v>
      </c>
      <c r="E3841" s="554"/>
      <c r="F3841" s="571">
        <v>6</v>
      </c>
      <c r="G3841" s="572">
        <v>33.947000000000003</v>
      </c>
      <c r="H3841" s="545">
        <v>203.68200000000002</v>
      </c>
      <c r="I3841" s="554" t="s">
        <v>9218</v>
      </c>
      <c r="J3841" s="554" t="s">
        <v>9219</v>
      </c>
      <c r="K3841" s="554" t="s">
        <v>9219</v>
      </c>
      <c r="L3841" s="537" t="s">
        <v>2354</v>
      </c>
    </row>
    <row r="3842" spans="1:12" x14ac:dyDescent="0.2">
      <c r="A3842" s="570" t="s">
        <v>220</v>
      </c>
      <c r="B3842" s="547" t="s">
        <v>5430</v>
      </c>
      <c r="C3842" s="554" t="s">
        <v>5120</v>
      </c>
      <c r="D3842" s="554" t="s">
        <v>8743</v>
      </c>
      <c r="E3842" s="554"/>
      <c r="F3842" s="571">
        <v>100</v>
      </c>
      <c r="G3842" s="572">
        <v>0.25800000000000001</v>
      </c>
      <c r="H3842" s="545">
        <v>25.8</v>
      </c>
      <c r="I3842" s="554" t="s">
        <v>9218</v>
      </c>
      <c r="J3842" s="554" t="s">
        <v>9219</v>
      </c>
      <c r="K3842" s="554" t="s">
        <v>9219</v>
      </c>
      <c r="L3842" s="537" t="s">
        <v>2354</v>
      </c>
    </row>
    <row r="3843" spans="1:12" x14ac:dyDescent="0.2">
      <c r="A3843" s="570" t="s">
        <v>220</v>
      </c>
      <c r="B3843" s="547" t="s">
        <v>5430</v>
      </c>
      <c r="C3843" s="554" t="s">
        <v>8744</v>
      </c>
      <c r="D3843" s="554" t="s">
        <v>8745</v>
      </c>
      <c r="E3843" s="554"/>
      <c r="F3843" s="571">
        <v>20</v>
      </c>
      <c r="G3843" s="572">
        <v>1.2310000000000001</v>
      </c>
      <c r="H3843" s="545">
        <v>24.62</v>
      </c>
      <c r="I3843" s="554" t="s">
        <v>9218</v>
      </c>
      <c r="J3843" s="554" t="s">
        <v>9219</v>
      </c>
      <c r="K3843" s="554" t="s">
        <v>9219</v>
      </c>
      <c r="L3843" s="537" t="s">
        <v>2354</v>
      </c>
    </row>
    <row r="3844" spans="1:12" x14ac:dyDescent="0.2">
      <c r="A3844" s="570" t="s">
        <v>220</v>
      </c>
      <c r="B3844" s="547" t="s">
        <v>5430</v>
      </c>
      <c r="C3844" s="554" t="s">
        <v>8746</v>
      </c>
      <c r="D3844" s="554" t="s">
        <v>8747</v>
      </c>
      <c r="E3844" s="554"/>
      <c r="F3844" s="571">
        <v>49</v>
      </c>
      <c r="G3844" s="572">
        <v>3.7</v>
      </c>
      <c r="H3844" s="545">
        <v>181.3</v>
      </c>
      <c r="I3844" s="554" t="s">
        <v>9218</v>
      </c>
      <c r="J3844" s="554" t="s">
        <v>9219</v>
      </c>
      <c r="K3844" s="554" t="s">
        <v>9219</v>
      </c>
      <c r="L3844" s="537" t="s">
        <v>2354</v>
      </c>
    </row>
    <row r="3845" spans="1:12" x14ac:dyDescent="0.2">
      <c r="A3845" s="570" t="s">
        <v>220</v>
      </c>
      <c r="B3845" s="547" t="s">
        <v>5430</v>
      </c>
      <c r="C3845" s="554" t="s">
        <v>5138</v>
      </c>
      <c r="D3845" s="554" t="s">
        <v>8748</v>
      </c>
      <c r="E3845" s="554"/>
      <c r="F3845" s="571">
        <v>15</v>
      </c>
      <c r="G3845" s="572">
        <v>8.1000000000000003E-2</v>
      </c>
      <c r="H3845" s="545">
        <v>1.2150000000000001</v>
      </c>
      <c r="I3845" s="554" t="s">
        <v>9218</v>
      </c>
      <c r="J3845" s="554" t="s">
        <v>9219</v>
      </c>
      <c r="K3845" s="554" t="s">
        <v>9219</v>
      </c>
      <c r="L3845" s="537" t="s">
        <v>2354</v>
      </c>
    </row>
    <row r="3846" spans="1:12" x14ac:dyDescent="0.2">
      <c r="A3846" s="570" t="s">
        <v>220</v>
      </c>
      <c r="B3846" s="547" t="s">
        <v>5430</v>
      </c>
      <c r="C3846" s="554" t="s">
        <v>5142</v>
      </c>
      <c r="D3846" s="554" t="s">
        <v>8749</v>
      </c>
      <c r="E3846" s="554"/>
      <c r="F3846" s="571">
        <v>191</v>
      </c>
      <c r="G3846" s="572">
        <v>0.24</v>
      </c>
      <c r="H3846" s="545">
        <v>45.839999999999996</v>
      </c>
      <c r="I3846" s="554" t="s">
        <v>9218</v>
      </c>
      <c r="J3846" s="554" t="s">
        <v>9219</v>
      </c>
      <c r="K3846" s="554" t="s">
        <v>9219</v>
      </c>
      <c r="L3846" s="537" t="s">
        <v>2354</v>
      </c>
    </row>
    <row r="3847" spans="1:12" x14ac:dyDescent="0.2">
      <c r="A3847" s="570" t="s">
        <v>220</v>
      </c>
      <c r="B3847" s="547" t="s">
        <v>5430</v>
      </c>
      <c r="C3847" s="554" t="s">
        <v>8750</v>
      </c>
      <c r="D3847" s="554" t="s">
        <v>8751</v>
      </c>
      <c r="E3847" s="554"/>
      <c r="F3847" s="571">
        <v>11</v>
      </c>
      <c r="G3847" s="572">
        <v>14.132</v>
      </c>
      <c r="H3847" s="545">
        <v>155.452</v>
      </c>
      <c r="I3847" s="554" t="s">
        <v>9218</v>
      </c>
      <c r="J3847" s="554" t="s">
        <v>9219</v>
      </c>
      <c r="K3847" s="554" t="s">
        <v>9219</v>
      </c>
      <c r="L3847" s="537" t="s">
        <v>2354</v>
      </c>
    </row>
    <row r="3848" spans="1:12" x14ac:dyDescent="0.2">
      <c r="A3848" s="570" t="s">
        <v>220</v>
      </c>
      <c r="B3848" s="547" t="s">
        <v>5430</v>
      </c>
      <c r="C3848" s="554" t="s">
        <v>7210</v>
      </c>
      <c r="D3848" s="554" t="s">
        <v>8752</v>
      </c>
      <c r="E3848" s="554"/>
      <c r="F3848" s="571">
        <v>200</v>
      </c>
      <c r="G3848" s="572">
        <v>2.4729999999999999</v>
      </c>
      <c r="H3848" s="545">
        <v>494.59999999999997</v>
      </c>
      <c r="I3848" s="554" t="s">
        <v>9218</v>
      </c>
      <c r="J3848" s="554" t="s">
        <v>9219</v>
      </c>
      <c r="K3848" s="554" t="s">
        <v>9219</v>
      </c>
      <c r="L3848" s="537" t="s">
        <v>2354</v>
      </c>
    </row>
    <row r="3849" spans="1:12" x14ac:dyDescent="0.2">
      <c r="A3849" s="570" t="s">
        <v>220</v>
      </c>
      <c r="B3849" s="547" t="s">
        <v>5430</v>
      </c>
      <c r="C3849" s="554" t="s">
        <v>7212</v>
      </c>
      <c r="D3849" s="554" t="s">
        <v>8753</v>
      </c>
      <c r="E3849" s="554"/>
      <c r="F3849" s="571">
        <v>638</v>
      </c>
      <c r="G3849" s="572">
        <v>0.85799999999999998</v>
      </c>
      <c r="H3849" s="545">
        <v>547.404</v>
      </c>
      <c r="I3849" s="554" t="s">
        <v>9218</v>
      </c>
      <c r="J3849" s="554" t="s">
        <v>9219</v>
      </c>
      <c r="K3849" s="554" t="s">
        <v>9219</v>
      </c>
      <c r="L3849" s="537" t="s">
        <v>2354</v>
      </c>
    </row>
    <row r="3850" spans="1:12" x14ac:dyDescent="0.2">
      <c r="A3850" s="570" t="s">
        <v>220</v>
      </c>
      <c r="B3850" s="547" t="s">
        <v>5430</v>
      </c>
      <c r="C3850" s="554" t="s">
        <v>5146</v>
      </c>
      <c r="D3850" s="554" t="s">
        <v>8754</v>
      </c>
      <c r="E3850" s="554"/>
      <c r="F3850" s="571">
        <v>60</v>
      </c>
      <c r="G3850" s="572">
        <v>0.874</v>
      </c>
      <c r="H3850" s="545">
        <v>52.44</v>
      </c>
      <c r="I3850" s="554" t="s">
        <v>9218</v>
      </c>
      <c r="J3850" s="554" t="s">
        <v>9219</v>
      </c>
      <c r="K3850" s="554" t="s">
        <v>9219</v>
      </c>
      <c r="L3850" s="537" t="s">
        <v>2354</v>
      </c>
    </row>
    <row r="3851" spans="1:12" x14ac:dyDescent="0.2">
      <c r="A3851" s="570" t="s">
        <v>220</v>
      </c>
      <c r="B3851" s="547" t="s">
        <v>5430</v>
      </c>
      <c r="C3851" s="554" t="s">
        <v>5156</v>
      </c>
      <c r="D3851" s="554" t="s">
        <v>8755</v>
      </c>
      <c r="E3851" s="554"/>
      <c r="F3851" s="571">
        <v>6</v>
      </c>
      <c r="G3851" s="572">
        <v>47.826999999999998</v>
      </c>
      <c r="H3851" s="545">
        <v>286.96199999999999</v>
      </c>
      <c r="I3851" s="554" t="s">
        <v>9218</v>
      </c>
      <c r="J3851" s="554" t="s">
        <v>9219</v>
      </c>
      <c r="K3851" s="554" t="s">
        <v>9219</v>
      </c>
      <c r="L3851" s="537" t="s">
        <v>2354</v>
      </c>
    </row>
    <row r="3852" spans="1:12" x14ac:dyDescent="0.2">
      <c r="A3852" s="570" t="s">
        <v>220</v>
      </c>
      <c r="B3852" s="547" t="s">
        <v>5430</v>
      </c>
      <c r="C3852" s="554" t="s">
        <v>7216</v>
      </c>
      <c r="D3852" s="554" t="s">
        <v>8756</v>
      </c>
      <c r="E3852" s="554"/>
      <c r="F3852" s="571">
        <v>100</v>
      </c>
      <c r="G3852" s="572">
        <v>0.95699999999999996</v>
      </c>
      <c r="H3852" s="545">
        <v>95.7</v>
      </c>
      <c r="I3852" s="554" t="s">
        <v>9218</v>
      </c>
      <c r="J3852" s="554" t="s">
        <v>9219</v>
      </c>
      <c r="K3852" s="554" t="s">
        <v>9219</v>
      </c>
      <c r="L3852" s="537" t="s">
        <v>2354</v>
      </c>
    </row>
    <row r="3853" spans="1:12" x14ac:dyDescent="0.2">
      <c r="A3853" s="570" t="s">
        <v>220</v>
      </c>
      <c r="B3853" s="547" t="s">
        <v>5430</v>
      </c>
      <c r="C3853" s="554" t="s">
        <v>7218</v>
      </c>
      <c r="D3853" s="554" t="s">
        <v>8620</v>
      </c>
      <c r="E3853" s="554"/>
      <c r="F3853" s="571">
        <v>100</v>
      </c>
      <c r="G3853" s="572">
        <v>2.25</v>
      </c>
      <c r="H3853" s="545">
        <v>225</v>
      </c>
      <c r="I3853" s="554" t="s">
        <v>9218</v>
      </c>
      <c r="J3853" s="554" t="s">
        <v>9219</v>
      </c>
      <c r="K3853" s="554" t="s">
        <v>9219</v>
      </c>
      <c r="L3853" s="537" t="s">
        <v>2354</v>
      </c>
    </row>
    <row r="3854" spans="1:12" x14ac:dyDescent="0.2">
      <c r="A3854" s="570" t="s">
        <v>220</v>
      </c>
      <c r="B3854" s="547" t="s">
        <v>5430</v>
      </c>
      <c r="C3854" s="554" t="s">
        <v>7219</v>
      </c>
      <c r="D3854" s="554" t="s">
        <v>8757</v>
      </c>
      <c r="E3854" s="554"/>
      <c r="F3854" s="571">
        <v>50</v>
      </c>
      <c r="G3854" s="572">
        <v>2.65</v>
      </c>
      <c r="H3854" s="545">
        <v>132.5</v>
      </c>
      <c r="I3854" s="554" t="s">
        <v>9218</v>
      </c>
      <c r="J3854" s="554" t="s">
        <v>9219</v>
      </c>
      <c r="K3854" s="554" t="s">
        <v>9219</v>
      </c>
      <c r="L3854" s="537" t="s">
        <v>2354</v>
      </c>
    </row>
    <row r="3855" spans="1:12" x14ac:dyDescent="0.2">
      <c r="A3855" s="570" t="s">
        <v>220</v>
      </c>
      <c r="B3855" s="547" t="s">
        <v>5430</v>
      </c>
      <c r="C3855" s="554" t="s">
        <v>7221</v>
      </c>
      <c r="D3855" s="554" t="s">
        <v>8758</v>
      </c>
      <c r="E3855" s="554"/>
      <c r="F3855" s="571">
        <v>48</v>
      </c>
      <c r="G3855" s="572">
        <v>2.15</v>
      </c>
      <c r="H3855" s="545">
        <v>103.19999999999999</v>
      </c>
      <c r="I3855" s="554" t="s">
        <v>9218</v>
      </c>
      <c r="J3855" s="554" t="s">
        <v>9219</v>
      </c>
      <c r="K3855" s="554" t="s">
        <v>9219</v>
      </c>
      <c r="L3855" s="537" t="s">
        <v>2354</v>
      </c>
    </row>
    <row r="3856" spans="1:12" x14ac:dyDescent="0.2">
      <c r="A3856" s="570" t="s">
        <v>220</v>
      </c>
      <c r="B3856" s="547" t="s">
        <v>5430</v>
      </c>
      <c r="C3856" s="554" t="s">
        <v>7223</v>
      </c>
      <c r="D3856" s="554" t="s">
        <v>8759</v>
      </c>
      <c r="E3856" s="554"/>
      <c r="F3856" s="571">
        <v>50</v>
      </c>
      <c r="G3856" s="572">
        <v>2.95</v>
      </c>
      <c r="H3856" s="545">
        <v>147.5</v>
      </c>
      <c r="I3856" s="554" t="s">
        <v>9218</v>
      </c>
      <c r="J3856" s="554" t="s">
        <v>9219</v>
      </c>
      <c r="K3856" s="554" t="s">
        <v>9219</v>
      </c>
      <c r="L3856" s="537" t="s">
        <v>2354</v>
      </c>
    </row>
    <row r="3857" spans="1:12" x14ac:dyDescent="0.2">
      <c r="A3857" s="570" t="s">
        <v>220</v>
      </c>
      <c r="B3857" s="547" t="s">
        <v>5430</v>
      </c>
      <c r="C3857" s="554" t="s">
        <v>7233</v>
      </c>
      <c r="D3857" s="554" t="s">
        <v>8760</v>
      </c>
      <c r="E3857" s="554"/>
      <c r="F3857" s="571">
        <v>1</v>
      </c>
      <c r="G3857" s="572">
        <v>0.54900000000000004</v>
      </c>
      <c r="H3857" s="545">
        <v>0.54900000000000004</v>
      </c>
      <c r="I3857" s="554" t="s">
        <v>9218</v>
      </c>
      <c r="J3857" s="554" t="s">
        <v>9219</v>
      </c>
      <c r="K3857" s="554" t="s">
        <v>9219</v>
      </c>
      <c r="L3857" s="537" t="s">
        <v>2354</v>
      </c>
    </row>
    <row r="3858" spans="1:12" x14ac:dyDescent="0.2">
      <c r="A3858" s="570" t="s">
        <v>220</v>
      </c>
      <c r="B3858" s="547" t="s">
        <v>5430</v>
      </c>
      <c r="C3858" s="554" t="s">
        <v>7237</v>
      </c>
      <c r="D3858" s="554" t="s">
        <v>8761</v>
      </c>
      <c r="E3858" s="554"/>
      <c r="F3858" s="571">
        <v>83</v>
      </c>
      <c r="G3858" s="572">
        <v>1.972</v>
      </c>
      <c r="H3858" s="545">
        <v>163.67599999999999</v>
      </c>
      <c r="I3858" s="554" t="s">
        <v>9218</v>
      </c>
      <c r="J3858" s="554" t="s">
        <v>9219</v>
      </c>
      <c r="K3858" s="554" t="s">
        <v>9219</v>
      </c>
      <c r="L3858" s="537" t="s">
        <v>2354</v>
      </c>
    </row>
    <row r="3859" spans="1:12" x14ac:dyDescent="0.2">
      <c r="A3859" s="570" t="s">
        <v>220</v>
      </c>
      <c r="B3859" s="547" t="s">
        <v>5430</v>
      </c>
      <c r="C3859" s="554" t="s">
        <v>8762</v>
      </c>
      <c r="D3859" s="554" t="s">
        <v>8763</v>
      </c>
      <c r="E3859" s="554"/>
      <c r="F3859" s="571">
        <v>1</v>
      </c>
      <c r="G3859" s="572">
        <v>2.218</v>
      </c>
      <c r="H3859" s="545">
        <v>2.218</v>
      </c>
      <c r="I3859" s="554" t="s">
        <v>9218</v>
      </c>
      <c r="J3859" s="554" t="s">
        <v>9219</v>
      </c>
      <c r="K3859" s="554" t="s">
        <v>9219</v>
      </c>
      <c r="L3859" s="537" t="s">
        <v>2354</v>
      </c>
    </row>
    <row r="3860" spans="1:12" x14ac:dyDescent="0.2">
      <c r="A3860" s="570" t="s">
        <v>220</v>
      </c>
      <c r="B3860" s="547" t="s">
        <v>5430</v>
      </c>
      <c r="C3860" s="554" t="s">
        <v>7239</v>
      </c>
      <c r="D3860" s="554" t="s">
        <v>8764</v>
      </c>
      <c r="E3860" s="554"/>
      <c r="F3860" s="571">
        <v>5</v>
      </c>
      <c r="G3860" s="572">
        <v>17.922000000000001</v>
      </c>
      <c r="H3860" s="545">
        <v>89.61</v>
      </c>
      <c r="I3860" s="554" t="s">
        <v>9218</v>
      </c>
      <c r="J3860" s="554" t="s">
        <v>9219</v>
      </c>
      <c r="K3860" s="554" t="s">
        <v>9219</v>
      </c>
      <c r="L3860" s="537" t="s">
        <v>2354</v>
      </c>
    </row>
    <row r="3861" spans="1:12" x14ac:dyDescent="0.2">
      <c r="A3861" s="570" t="s">
        <v>220</v>
      </c>
      <c r="B3861" s="547" t="s">
        <v>5430</v>
      </c>
      <c r="C3861" s="554" t="s">
        <v>5160</v>
      </c>
      <c r="D3861" s="554" t="s">
        <v>5161</v>
      </c>
      <c r="E3861" s="554"/>
      <c r="F3861" s="571">
        <v>2.7</v>
      </c>
      <c r="G3861" s="572">
        <v>7.4459999999999997</v>
      </c>
      <c r="H3861" s="545">
        <v>20.104200000000002</v>
      </c>
      <c r="I3861" s="554" t="s">
        <v>9218</v>
      </c>
      <c r="J3861" s="554" t="s">
        <v>9219</v>
      </c>
      <c r="K3861" s="554" t="s">
        <v>9219</v>
      </c>
      <c r="L3861" s="537" t="s">
        <v>2354</v>
      </c>
    </row>
    <row r="3862" spans="1:12" x14ac:dyDescent="0.2">
      <c r="A3862" s="570" t="s">
        <v>220</v>
      </c>
      <c r="B3862" s="547" t="s">
        <v>5430</v>
      </c>
      <c r="C3862" s="554" t="s">
        <v>7242</v>
      </c>
      <c r="D3862" s="554" t="s">
        <v>8765</v>
      </c>
      <c r="E3862" s="554"/>
      <c r="F3862" s="571">
        <v>5.7</v>
      </c>
      <c r="G3862" s="572">
        <v>10.862</v>
      </c>
      <c r="H3862" s="545">
        <v>61.913400000000003</v>
      </c>
      <c r="I3862" s="554" t="s">
        <v>9218</v>
      </c>
      <c r="J3862" s="554" t="s">
        <v>9219</v>
      </c>
      <c r="K3862" s="554" t="s">
        <v>9219</v>
      </c>
      <c r="L3862" s="537" t="s">
        <v>2354</v>
      </c>
    </row>
    <row r="3863" spans="1:12" x14ac:dyDescent="0.2">
      <c r="A3863" s="570" t="s">
        <v>220</v>
      </c>
      <c r="B3863" s="547" t="s">
        <v>5430</v>
      </c>
      <c r="C3863" s="554" t="s">
        <v>5166</v>
      </c>
      <c r="D3863" s="554" t="s">
        <v>5167</v>
      </c>
      <c r="E3863" s="554"/>
      <c r="F3863" s="571">
        <v>2</v>
      </c>
      <c r="G3863" s="572">
        <v>7.0140000000000002</v>
      </c>
      <c r="H3863" s="545">
        <v>14.028</v>
      </c>
      <c r="I3863" s="554" t="s">
        <v>9218</v>
      </c>
      <c r="J3863" s="554" t="s">
        <v>9219</v>
      </c>
      <c r="K3863" s="554" t="s">
        <v>9219</v>
      </c>
      <c r="L3863" s="537" t="s">
        <v>2354</v>
      </c>
    </row>
    <row r="3864" spans="1:12" x14ac:dyDescent="0.2">
      <c r="A3864" s="570" t="s">
        <v>220</v>
      </c>
      <c r="B3864" s="547" t="s">
        <v>5430</v>
      </c>
      <c r="C3864" s="554"/>
      <c r="D3864" s="554" t="s">
        <v>8766</v>
      </c>
      <c r="E3864" s="554"/>
      <c r="F3864" s="571">
        <v>100</v>
      </c>
      <c r="G3864" s="572">
        <v>0.11600000000000001</v>
      </c>
      <c r="H3864" s="545">
        <v>11.600000000000001</v>
      </c>
      <c r="I3864" s="554" t="s">
        <v>9218</v>
      </c>
      <c r="J3864" s="554" t="s">
        <v>9219</v>
      </c>
      <c r="K3864" s="554" t="s">
        <v>9219</v>
      </c>
      <c r="L3864" s="537" t="s">
        <v>2354</v>
      </c>
    </row>
    <row r="3865" spans="1:12" x14ac:dyDescent="0.2">
      <c r="A3865" s="570" t="s">
        <v>220</v>
      </c>
      <c r="B3865" s="547" t="s">
        <v>5430</v>
      </c>
      <c r="C3865" s="554" t="s">
        <v>5172</v>
      </c>
      <c r="D3865" s="554" t="s">
        <v>5173</v>
      </c>
      <c r="E3865" s="554"/>
      <c r="F3865" s="571">
        <v>4</v>
      </c>
      <c r="G3865" s="572">
        <v>1.6459999999999999</v>
      </c>
      <c r="H3865" s="545">
        <v>6.5839999999999996</v>
      </c>
      <c r="I3865" s="554" t="s">
        <v>9218</v>
      </c>
      <c r="J3865" s="554" t="s">
        <v>9219</v>
      </c>
      <c r="K3865" s="554" t="s">
        <v>9219</v>
      </c>
      <c r="L3865" s="537" t="s">
        <v>2354</v>
      </c>
    </row>
    <row r="3866" spans="1:12" x14ac:dyDescent="0.2">
      <c r="A3866" s="570" t="s">
        <v>220</v>
      </c>
      <c r="B3866" s="547" t="s">
        <v>5430</v>
      </c>
      <c r="C3866" s="554"/>
      <c r="D3866" s="554" t="s">
        <v>9455</v>
      </c>
      <c r="E3866" s="554"/>
      <c r="F3866" s="571">
        <v>4</v>
      </c>
      <c r="G3866" s="572">
        <v>4.5309999999999997</v>
      </c>
      <c r="H3866" s="545">
        <v>18.123999999999999</v>
      </c>
      <c r="I3866" s="554" t="s">
        <v>9218</v>
      </c>
      <c r="J3866" s="554" t="s">
        <v>9219</v>
      </c>
      <c r="K3866" s="554" t="s">
        <v>9219</v>
      </c>
      <c r="L3866" s="537" t="s">
        <v>2354</v>
      </c>
    </row>
    <row r="3867" spans="1:12" x14ac:dyDescent="0.2">
      <c r="A3867" s="570" t="s">
        <v>220</v>
      </c>
      <c r="B3867" s="547" t="s">
        <v>5430</v>
      </c>
      <c r="C3867" s="554"/>
      <c r="D3867" s="554" t="s">
        <v>9456</v>
      </c>
      <c r="E3867" s="554"/>
      <c r="F3867" s="571">
        <v>4</v>
      </c>
      <c r="G3867" s="572">
        <v>15.532999999999999</v>
      </c>
      <c r="H3867" s="545">
        <v>62.131999999999998</v>
      </c>
      <c r="I3867" s="554" t="s">
        <v>9218</v>
      </c>
      <c r="J3867" s="554" t="s">
        <v>9219</v>
      </c>
      <c r="K3867" s="554" t="s">
        <v>9219</v>
      </c>
      <c r="L3867" s="537" t="s">
        <v>2354</v>
      </c>
    </row>
    <row r="3868" spans="1:12" x14ac:dyDescent="0.2">
      <c r="A3868" s="570" t="s">
        <v>220</v>
      </c>
      <c r="B3868" s="547" t="s">
        <v>5430</v>
      </c>
      <c r="C3868" s="554"/>
      <c r="D3868" s="554" t="s">
        <v>9457</v>
      </c>
      <c r="E3868" s="554"/>
      <c r="F3868" s="571">
        <v>4</v>
      </c>
      <c r="G3868" s="572">
        <v>8.6880000000000006</v>
      </c>
      <c r="H3868" s="545">
        <v>34.752000000000002</v>
      </c>
      <c r="I3868" s="554" t="s">
        <v>9218</v>
      </c>
      <c r="J3868" s="554" t="s">
        <v>9219</v>
      </c>
      <c r="K3868" s="554" t="s">
        <v>9219</v>
      </c>
      <c r="L3868" s="537" t="s">
        <v>2354</v>
      </c>
    </row>
    <row r="3869" spans="1:12" x14ac:dyDescent="0.2">
      <c r="A3869" s="570" t="s">
        <v>220</v>
      </c>
      <c r="B3869" s="547" t="s">
        <v>5430</v>
      </c>
      <c r="C3869" s="554"/>
      <c r="D3869" s="554" t="s">
        <v>9458</v>
      </c>
      <c r="E3869" s="554"/>
      <c r="F3869" s="571">
        <v>6</v>
      </c>
      <c r="G3869" s="572">
        <v>5.74</v>
      </c>
      <c r="H3869" s="545">
        <v>34.44</v>
      </c>
      <c r="I3869" s="554" t="s">
        <v>9218</v>
      </c>
      <c r="J3869" s="554" t="s">
        <v>9219</v>
      </c>
      <c r="K3869" s="554" t="s">
        <v>9219</v>
      </c>
      <c r="L3869" s="537" t="s">
        <v>2354</v>
      </c>
    </row>
    <row r="3870" spans="1:12" x14ac:dyDescent="0.2">
      <c r="A3870" s="570" t="s">
        <v>220</v>
      </c>
      <c r="B3870" s="547" t="s">
        <v>5430</v>
      </c>
      <c r="C3870" s="554"/>
      <c r="D3870" s="554" t="s">
        <v>9459</v>
      </c>
      <c r="E3870" s="554"/>
      <c r="F3870" s="571">
        <v>6</v>
      </c>
      <c r="G3870" s="572">
        <v>4.915</v>
      </c>
      <c r="H3870" s="545">
        <v>29.490000000000002</v>
      </c>
      <c r="I3870" s="554" t="s">
        <v>9218</v>
      </c>
      <c r="J3870" s="554" t="s">
        <v>9219</v>
      </c>
      <c r="K3870" s="554" t="s">
        <v>9219</v>
      </c>
      <c r="L3870" s="537" t="s">
        <v>2354</v>
      </c>
    </row>
    <row r="3871" spans="1:12" x14ac:dyDescent="0.2">
      <c r="A3871" s="570" t="s">
        <v>220</v>
      </c>
      <c r="B3871" s="547" t="s">
        <v>5430</v>
      </c>
      <c r="C3871" s="554"/>
      <c r="D3871" s="554" t="s">
        <v>9460</v>
      </c>
      <c r="E3871" s="554"/>
      <c r="F3871" s="571">
        <v>6</v>
      </c>
      <c r="G3871" s="572">
        <v>7.766</v>
      </c>
      <c r="H3871" s="545">
        <v>46.596000000000004</v>
      </c>
      <c r="I3871" s="554" t="s">
        <v>9218</v>
      </c>
      <c r="J3871" s="554" t="s">
        <v>9219</v>
      </c>
      <c r="K3871" s="554" t="s">
        <v>9219</v>
      </c>
      <c r="L3871" s="537" t="s">
        <v>2354</v>
      </c>
    </row>
    <row r="3872" spans="1:12" x14ac:dyDescent="0.2">
      <c r="A3872" s="570" t="s">
        <v>220</v>
      </c>
      <c r="B3872" s="547" t="s">
        <v>5430</v>
      </c>
      <c r="C3872" s="554"/>
      <c r="D3872" s="554" t="s">
        <v>9461</v>
      </c>
      <c r="E3872" s="554"/>
      <c r="F3872" s="571">
        <v>6</v>
      </c>
      <c r="G3872" s="572">
        <v>3.9329999999999998</v>
      </c>
      <c r="H3872" s="545">
        <v>23.597999999999999</v>
      </c>
      <c r="I3872" s="554" t="s">
        <v>9218</v>
      </c>
      <c r="J3872" s="554" t="s">
        <v>9219</v>
      </c>
      <c r="K3872" s="554" t="s">
        <v>9219</v>
      </c>
      <c r="L3872" s="537" t="s">
        <v>2354</v>
      </c>
    </row>
    <row r="3873" spans="1:12" x14ac:dyDescent="0.2">
      <c r="A3873" s="570" t="s">
        <v>220</v>
      </c>
      <c r="B3873" s="547" t="s">
        <v>5430</v>
      </c>
      <c r="C3873" s="554"/>
      <c r="D3873" s="554" t="s">
        <v>9462</v>
      </c>
      <c r="E3873" s="554"/>
      <c r="F3873" s="571">
        <v>11</v>
      </c>
      <c r="G3873" s="572">
        <v>2.8839999999999999</v>
      </c>
      <c r="H3873" s="545">
        <v>31.724</v>
      </c>
      <c r="I3873" s="554" t="s">
        <v>9218</v>
      </c>
      <c r="J3873" s="554" t="s">
        <v>9219</v>
      </c>
      <c r="K3873" s="554" t="s">
        <v>9219</v>
      </c>
      <c r="L3873" s="537" t="s">
        <v>2354</v>
      </c>
    </row>
    <row r="3874" spans="1:12" x14ac:dyDescent="0.2">
      <c r="A3874" s="570" t="s">
        <v>220</v>
      </c>
      <c r="B3874" s="547" t="s">
        <v>5430</v>
      </c>
      <c r="C3874" s="554"/>
      <c r="D3874" s="554" t="s">
        <v>9463</v>
      </c>
      <c r="E3874" s="554"/>
      <c r="F3874" s="571">
        <v>11</v>
      </c>
      <c r="G3874" s="572">
        <v>2.7629999999999999</v>
      </c>
      <c r="H3874" s="545">
        <v>30.393000000000001</v>
      </c>
      <c r="I3874" s="554" t="s">
        <v>9218</v>
      </c>
      <c r="J3874" s="554" t="s">
        <v>9219</v>
      </c>
      <c r="K3874" s="554" t="s">
        <v>9219</v>
      </c>
      <c r="L3874" s="537" t="s">
        <v>2354</v>
      </c>
    </row>
    <row r="3875" spans="1:12" x14ac:dyDescent="0.2">
      <c r="A3875" s="570" t="s">
        <v>220</v>
      </c>
      <c r="B3875" s="547" t="s">
        <v>5430</v>
      </c>
      <c r="C3875" s="554"/>
      <c r="D3875" s="554" t="s">
        <v>9464</v>
      </c>
      <c r="E3875" s="554"/>
      <c r="F3875" s="571">
        <v>11</v>
      </c>
      <c r="G3875" s="572">
        <v>1.9139999999999999</v>
      </c>
      <c r="H3875" s="545">
        <v>21.053999999999998</v>
      </c>
      <c r="I3875" s="554" t="s">
        <v>9218</v>
      </c>
      <c r="J3875" s="554" t="s">
        <v>9219</v>
      </c>
      <c r="K3875" s="554" t="s">
        <v>9219</v>
      </c>
      <c r="L3875" s="537" t="s">
        <v>2354</v>
      </c>
    </row>
    <row r="3876" spans="1:12" x14ac:dyDescent="0.2">
      <c r="A3876" s="570" t="s">
        <v>220</v>
      </c>
      <c r="B3876" s="547" t="s">
        <v>5430</v>
      </c>
      <c r="C3876" s="554"/>
      <c r="D3876" s="554" t="s">
        <v>9465</v>
      </c>
      <c r="E3876" s="554"/>
      <c r="F3876" s="571">
        <v>11</v>
      </c>
      <c r="G3876" s="572">
        <v>1.4730000000000001</v>
      </c>
      <c r="H3876" s="545">
        <v>16.202999999999999</v>
      </c>
      <c r="I3876" s="554" t="s">
        <v>9218</v>
      </c>
      <c r="J3876" s="554" t="s">
        <v>9219</v>
      </c>
      <c r="K3876" s="554" t="s">
        <v>9219</v>
      </c>
      <c r="L3876" s="537" t="s">
        <v>2354</v>
      </c>
    </row>
    <row r="3877" spans="1:12" x14ac:dyDescent="0.2">
      <c r="A3877" s="570" t="s">
        <v>220</v>
      </c>
      <c r="B3877" s="547" t="s">
        <v>5430</v>
      </c>
      <c r="C3877" s="554"/>
      <c r="D3877" s="554" t="s">
        <v>9466</v>
      </c>
      <c r="E3877" s="554"/>
      <c r="F3877" s="571">
        <v>11</v>
      </c>
      <c r="G3877" s="572">
        <v>1.381</v>
      </c>
      <c r="H3877" s="545">
        <v>15.191000000000001</v>
      </c>
      <c r="I3877" s="554" t="s">
        <v>9218</v>
      </c>
      <c r="J3877" s="554" t="s">
        <v>9219</v>
      </c>
      <c r="K3877" s="554" t="s">
        <v>9219</v>
      </c>
      <c r="L3877" s="537" t="s">
        <v>2354</v>
      </c>
    </row>
    <row r="3878" spans="1:12" x14ac:dyDescent="0.2">
      <c r="A3878" s="570" t="s">
        <v>220</v>
      </c>
      <c r="B3878" s="547" t="s">
        <v>5430</v>
      </c>
      <c r="C3878" s="554"/>
      <c r="D3878" s="554" t="s">
        <v>9467</v>
      </c>
      <c r="E3878" s="554"/>
      <c r="F3878" s="571">
        <v>11</v>
      </c>
      <c r="G3878" s="572">
        <v>1.2769999999999999</v>
      </c>
      <c r="H3878" s="545">
        <v>14.046999999999999</v>
      </c>
      <c r="I3878" s="554" t="s">
        <v>9218</v>
      </c>
      <c r="J3878" s="554" t="s">
        <v>9219</v>
      </c>
      <c r="K3878" s="554" t="s">
        <v>9219</v>
      </c>
      <c r="L3878" s="537" t="s">
        <v>2354</v>
      </c>
    </row>
    <row r="3879" spans="1:12" x14ac:dyDescent="0.2">
      <c r="A3879" s="570" t="s">
        <v>220</v>
      </c>
      <c r="B3879" s="547" t="s">
        <v>5430</v>
      </c>
      <c r="C3879" s="554"/>
      <c r="D3879" s="554" t="s">
        <v>9468</v>
      </c>
      <c r="E3879" s="554"/>
      <c r="F3879" s="571">
        <v>11</v>
      </c>
      <c r="G3879" s="572">
        <v>0.95599999999999996</v>
      </c>
      <c r="H3879" s="545">
        <v>10.516</v>
      </c>
      <c r="I3879" s="554" t="s">
        <v>9218</v>
      </c>
      <c r="J3879" s="554" t="s">
        <v>9219</v>
      </c>
      <c r="K3879" s="554" t="s">
        <v>9219</v>
      </c>
      <c r="L3879" s="537" t="s">
        <v>2354</v>
      </c>
    </row>
    <row r="3880" spans="1:12" x14ac:dyDescent="0.2">
      <c r="A3880" s="570" t="s">
        <v>220</v>
      </c>
      <c r="B3880" s="547" t="s">
        <v>5430</v>
      </c>
      <c r="C3880" s="554"/>
      <c r="D3880" s="554" t="s">
        <v>9469</v>
      </c>
      <c r="E3880" s="554"/>
      <c r="F3880" s="571">
        <v>11</v>
      </c>
      <c r="G3880" s="572">
        <v>0.75700000000000001</v>
      </c>
      <c r="H3880" s="545">
        <v>8.327</v>
      </c>
      <c r="I3880" s="554" t="s">
        <v>9218</v>
      </c>
      <c r="J3880" s="554" t="s">
        <v>9219</v>
      </c>
      <c r="K3880" s="554" t="s">
        <v>9219</v>
      </c>
      <c r="L3880" s="537" t="s">
        <v>2354</v>
      </c>
    </row>
    <row r="3881" spans="1:12" x14ac:dyDescent="0.2">
      <c r="A3881" s="570" t="s">
        <v>220</v>
      </c>
      <c r="B3881" s="547" t="s">
        <v>5430</v>
      </c>
      <c r="C3881" s="554"/>
      <c r="D3881" s="554" t="s">
        <v>9470</v>
      </c>
      <c r="E3881" s="554"/>
      <c r="F3881" s="571">
        <v>11</v>
      </c>
      <c r="G3881" s="572">
        <v>0.80300000000000005</v>
      </c>
      <c r="H3881" s="545">
        <v>8.8330000000000002</v>
      </c>
      <c r="I3881" s="554" t="s">
        <v>9218</v>
      </c>
      <c r="J3881" s="554" t="s">
        <v>9219</v>
      </c>
      <c r="K3881" s="554" t="s">
        <v>9219</v>
      </c>
      <c r="L3881" s="537" t="s">
        <v>2354</v>
      </c>
    </row>
    <row r="3882" spans="1:12" x14ac:dyDescent="0.2">
      <c r="A3882" s="570" t="s">
        <v>220</v>
      </c>
      <c r="B3882" s="547" t="s">
        <v>5430</v>
      </c>
      <c r="C3882" s="554"/>
      <c r="D3882" s="554" t="s">
        <v>9471</v>
      </c>
      <c r="E3882" s="554"/>
      <c r="F3882" s="571">
        <v>11</v>
      </c>
      <c r="G3882" s="572">
        <v>0.59899999999999998</v>
      </c>
      <c r="H3882" s="545">
        <v>6.5889999999999995</v>
      </c>
      <c r="I3882" s="554" t="s">
        <v>9218</v>
      </c>
      <c r="J3882" s="554" t="s">
        <v>9219</v>
      </c>
      <c r="K3882" s="554" t="s">
        <v>9219</v>
      </c>
      <c r="L3882" s="537" t="s">
        <v>2354</v>
      </c>
    </row>
    <row r="3883" spans="1:12" x14ac:dyDescent="0.2">
      <c r="A3883" s="570" t="s">
        <v>220</v>
      </c>
      <c r="B3883" s="547" t="s">
        <v>5430</v>
      </c>
      <c r="C3883" s="554" t="s">
        <v>5174</v>
      </c>
      <c r="D3883" s="554" t="s">
        <v>8767</v>
      </c>
      <c r="E3883" s="554"/>
      <c r="F3883" s="571">
        <v>3</v>
      </c>
      <c r="G3883" s="572">
        <v>2.512</v>
      </c>
      <c r="H3883" s="545">
        <v>7.5359999999999996</v>
      </c>
      <c r="I3883" s="554" t="s">
        <v>9218</v>
      </c>
      <c r="J3883" s="554" t="s">
        <v>9219</v>
      </c>
      <c r="K3883" s="554" t="s">
        <v>9219</v>
      </c>
      <c r="L3883" s="537" t="s">
        <v>2354</v>
      </c>
    </row>
    <row r="3884" spans="1:12" x14ac:dyDescent="0.2">
      <c r="A3884" s="570" t="s">
        <v>220</v>
      </c>
      <c r="B3884" s="547" t="s">
        <v>5430</v>
      </c>
      <c r="C3884" s="554" t="s">
        <v>5176</v>
      </c>
      <c r="D3884" s="554" t="s">
        <v>8768</v>
      </c>
      <c r="E3884" s="554"/>
      <c r="F3884" s="571">
        <v>2</v>
      </c>
      <c r="G3884" s="572">
        <v>3.0259999999999998</v>
      </c>
      <c r="H3884" s="545">
        <v>6.0519999999999996</v>
      </c>
      <c r="I3884" s="554" t="s">
        <v>9218</v>
      </c>
      <c r="J3884" s="554" t="s">
        <v>9219</v>
      </c>
      <c r="K3884" s="554" t="s">
        <v>9219</v>
      </c>
      <c r="L3884" s="537" t="s">
        <v>2354</v>
      </c>
    </row>
    <row r="3885" spans="1:12" x14ac:dyDescent="0.2">
      <c r="A3885" s="570" t="s">
        <v>220</v>
      </c>
      <c r="B3885" s="547" t="s">
        <v>5430</v>
      </c>
      <c r="C3885" s="554" t="s">
        <v>5178</v>
      </c>
      <c r="D3885" s="554" t="s">
        <v>8769</v>
      </c>
      <c r="E3885" s="554"/>
      <c r="F3885" s="571">
        <v>2</v>
      </c>
      <c r="G3885" s="572">
        <v>5.125</v>
      </c>
      <c r="H3885" s="545">
        <v>10.25</v>
      </c>
      <c r="I3885" s="554" t="s">
        <v>9218</v>
      </c>
      <c r="J3885" s="554" t="s">
        <v>9219</v>
      </c>
      <c r="K3885" s="554" t="s">
        <v>9219</v>
      </c>
      <c r="L3885" s="537" t="s">
        <v>2354</v>
      </c>
    </row>
    <row r="3886" spans="1:12" x14ac:dyDescent="0.2">
      <c r="A3886" s="570" t="s">
        <v>220</v>
      </c>
      <c r="B3886" s="547" t="s">
        <v>5430</v>
      </c>
      <c r="C3886" s="554" t="s">
        <v>5182</v>
      </c>
      <c r="D3886" s="554" t="s">
        <v>8770</v>
      </c>
      <c r="E3886" s="554"/>
      <c r="F3886" s="571">
        <v>2</v>
      </c>
      <c r="G3886" s="572">
        <v>13.792</v>
      </c>
      <c r="H3886" s="545">
        <v>27.584</v>
      </c>
      <c r="I3886" s="554" t="s">
        <v>9218</v>
      </c>
      <c r="J3886" s="554" t="s">
        <v>9219</v>
      </c>
      <c r="K3886" s="554" t="s">
        <v>9219</v>
      </c>
      <c r="L3886" s="537" t="s">
        <v>2354</v>
      </c>
    </row>
    <row r="3887" spans="1:12" x14ac:dyDescent="0.2">
      <c r="A3887" s="570" t="s">
        <v>220</v>
      </c>
      <c r="B3887" s="547" t="s">
        <v>5430</v>
      </c>
      <c r="C3887" s="554" t="s">
        <v>5184</v>
      </c>
      <c r="D3887" s="554" t="s">
        <v>8771</v>
      </c>
      <c r="E3887" s="554"/>
      <c r="F3887" s="571">
        <v>3</v>
      </c>
      <c r="G3887" s="572">
        <v>8.4939999999999998</v>
      </c>
      <c r="H3887" s="545">
        <v>25.481999999999999</v>
      </c>
      <c r="I3887" s="554" t="s">
        <v>9218</v>
      </c>
      <c r="J3887" s="554" t="s">
        <v>9219</v>
      </c>
      <c r="K3887" s="554" t="s">
        <v>9219</v>
      </c>
      <c r="L3887" s="537" t="s">
        <v>2354</v>
      </c>
    </row>
    <row r="3888" spans="1:12" x14ac:dyDescent="0.2">
      <c r="A3888" s="570" t="s">
        <v>220</v>
      </c>
      <c r="B3888" s="547" t="s">
        <v>5430</v>
      </c>
      <c r="C3888" s="554" t="s">
        <v>7248</v>
      </c>
      <c r="D3888" s="554" t="s">
        <v>7249</v>
      </c>
      <c r="E3888" s="554"/>
      <c r="F3888" s="571">
        <v>1</v>
      </c>
      <c r="G3888" s="572">
        <v>29.51</v>
      </c>
      <c r="H3888" s="545">
        <v>29.51</v>
      </c>
      <c r="I3888" s="554" t="s">
        <v>9218</v>
      </c>
      <c r="J3888" s="554" t="s">
        <v>9219</v>
      </c>
      <c r="K3888" s="554" t="s">
        <v>9219</v>
      </c>
      <c r="L3888" s="537" t="s">
        <v>2354</v>
      </c>
    </row>
    <row r="3889" spans="1:12" x14ac:dyDescent="0.2">
      <c r="A3889" s="570" t="s">
        <v>220</v>
      </c>
      <c r="B3889" s="547" t="s">
        <v>5430</v>
      </c>
      <c r="C3889" s="554" t="s">
        <v>5186</v>
      </c>
      <c r="D3889" s="554" t="s">
        <v>8772</v>
      </c>
      <c r="E3889" s="554"/>
      <c r="F3889" s="571">
        <v>4</v>
      </c>
      <c r="G3889" s="572">
        <v>5.03</v>
      </c>
      <c r="H3889" s="545">
        <v>20.12</v>
      </c>
      <c r="I3889" s="554" t="s">
        <v>9218</v>
      </c>
      <c r="J3889" s="554" t="s">
        <v>9219</v>
      </c>
      <c r="K3889" s="554" t="s">
        <v>9219</v>
      </c>
      <c r="L3889" s="537" t="s">
        <v>2354</v>
      </c>
    </row>
    <row r="3890" spans="1:12" x14ac:dyDescent="0.2">
      <c r="A3890" s="570" t="s">
        <v>220</v>
      </c>
      <c r="B3890" s="547" t="s">
        <v>5430</v>
      </c>
      <c r="C3890" s="554" t="s">
        <v>8773</v>
      </c>
      <c r="D3890" s="554" t="s">
        <v>8774</v>
      </c>
      <c r="E3890" s="554"/>
      <c r="F3890" s="571">
        <v>1</v>
      </c>
      <c r="G3890" s="572">
        <v>14.441000000000001</v>
      </c>
      <c r="H3890" s="545">
        <v>14.441000000000001</v>
      </c>
      <c r="I3890" s="554" t="s">
        <v>9218</v>
      </c>
      <c r="J3890" s="554" t="s">
        <v>9219</v>
      </c>
      <c r="K3890" s="554" t="s">
        <v>9219</v>
      </c>
      <c r="L3890" s="537" t="s">
        <v>2354</v>
      </c>
    </row>
    <row r="3891" spans="1:12" x14ac:dyDescent="0.2">
      <c r="A3891" s="570" t="s">
        <v>220</v>
      </c>
      <c r="B3891" s="547" t="s">
        <v>5430</v>
      </c>
      <c r="C3891" s="554" t="s">
        <v>8775</v>
      </c>
      <c r="D3891" s="554" t="s">
        <v>8776</v>
      </c>
      <c r="E3891" s="554"/>
      <c r="F3891" s="571">
        <v>1</v>
      </c>
      <c r="G3891" s="572">
        <v>13.958</v>
      </c>
      <c r="H3891" s="545">
        <v>13.958</v>
      </c>
      <c r="I3891" s="554" t="s">
        <v>9218</v>
      </c>
      <c r="J3891" s="554" t="s">
        <v>9219</v>
      </c>
      <c r="K3891" s="554" t="s">
        <v>9219</v>
      </c>
      <c r="L3891" s="537" t="s">
        <v>2354</v>
      </c>
    </row>
    <row r="3892" spans="1:12" x14ac:dyDescent="0.2">
      <c r="A3892" s="570" t="s">
        <v>220</v>
      </c>
      <c r="B3892" s="547" t="s">
        <v>5430</v>
      </c>
      <c r="C3892" s="554" t="s">
        <v>7250</v>
      </c>
      <c r="D3892" s="554" t="s">
        <v>8777</v>
      </c>
      <c r="E3892" s="554"/>
      <c r="F3892" s="571">
        <v>1</v>
      </c>
      <c r="G3892" s="572">
        <v>129.803</v>
      </c>
      <c r="H3892" s="545">
        <v>129.803</v>
      </c>
      <c r="I3892" s="554" t="s">
        <v>9218</v>
      </c>
      <c r="J3892" s="554" t="s">
        <v>9219</v>
      </c>
      <c r="K3892" s="554" t="s">
        <v>9219</v>
      </c>
      <c r="L3892" s="537" t="s">
        <v>2354</v>
      </c>
    </row>
    <row r="3893" spans="1:12" x14ac:dyDescent="0.2">
      <c r="A3893" s="570" t="s">
        <v>220</v>
      </c>
      <c r="B3893" s="547" t="s">
        <v>5430</v>
      </c>
      <c r="C3893" s="554" t="s">
        <v>5198</v>
      </c>
      <c r="D3893" s="554" t="s">
        <v>8778</v>
      </c>
      <c r="E3893" s="554"/>
      <c r="F3893" s="571">
        <v>1</v>
      </c>
      <c r="G3893" s="572">
        <v>1.3360000000000001</v>
      </c>
      <c r="H3893" s="545">
        <v>1.3360000000000001</v>
      </c>
      <c r="I3893" s="554" t="s">
        <v>9218</v>
      </c>
      <c r="J3893" s="554" t="s">
        <v>9219</v>
      </c>
      <c r="K3893" s="554" t="s">
        <v>9219</v>
      </c>
      <c r="L3893" s="537" t="s">
        <v>2354</v>
      </c>
    </row>
    <row r="3894" spans="1:12" x14ac:dyDescent="0.2">
      <c r="A3894" s="570" t="s">
        <v>220</v>
      </c>
      <c r="B3894" s="547" t="s">
        <v>5430</v>
      </c>
      <c r="C3894" s="554" t="s">
        <v>5200</v>
      </c>
      <c r="D3894" s="554" t="s">
        <v>8779</v>
      </c>
      <c r="E3894" s="554"/>
      <c r="F3894" s="571">
        <v>20</v>
      </c>
      <c r="G3894" s="572">
        <v>0.33700000000000002</v>
      </c>
      <c r="H3894" s="545">
        <v>6.74</v>
      </c>
      <c r="I3894" s="554" t="s">
        <v>9218</v>
      </c>
      <c r="J3894" s="554" t="s">
        <v>9219</v>
      </c>
      <c r="K3894" s="554" t="s">
        <v>9219</v>
      </c>
      <c r="L3894" s="537" t="s">
        <v>2354</v>
      </c>
    </row>
    <row r="3895" spans="1:12" x14ac:dyDescent="0.2">
      <c r="A3895" s="570" t="s">
        <v>220</v>
      </c>
      <c r="B3895" s="547" t="s">
        <v>5430</v>
      </c>
      <c r="C3895" s="554" t="s">
        <v>5204</v>
      </c>
      <c r="D3895" s="554" t="s">
        <v>8780</v>
      </c>
      <c r="E3895" s="554"/>
      <c r="F3895" s="571">
        <v>1</v>
      </c>
      <c r="G3895" s="572">
        <v>2.7010000000000001</v>
      </c>
      <c r="H3895" s="545">
        <v>2.7010000000000001</v>
      </c>
      <c r="I3895" s="554" t="s">
        <v>9218</v>
      </c>
      <c r="J3895" s="554" t="s">
        <v>9219</v>
      </c>
      <c r="K3895" s="554" t="s">
        <v>9219</v>
      </c>
      <c r="L3895" s="537" t="s">
        <v>2354</v>
      </c>
    </row>
    <row r="3896" spans="1:12" x14ac:dyDescent="0.2">
      <c r="A3896" s="570" t="s">
        <v>220</v>
      </c>
      <c r="B3896" s="547" t="s">
        <v>5430</v>
      </c>
      <c r="C3896" s="554" t="s">
        <v>5208</v>
      </c>
      <c r="D3896" s="554" t="s">
        <v>5209</v>
      </c>
      <c r="E3896" s="554"/>
      <c r="F3896" s="571">
        <v>1</v>
      </c>
      <c r="G3896" s="572">
        <v>3.1779999999999999</v>
      </c>
      <c r="H3896" s="545">
        <v>3.1779999999999999</v>
      </c>
      <c r="I3896" s="554" t="s">
        <v>9218</v>
      </c>
      <c r="J3896" s="554" t="s">
        <v>9219</v>
      </c>
      <c r="K3896" s="554" t="s">
        <v>9219</v>
      </c>
      <c r="L3896" s="537" t="s">
        <v>2354</v>
      </c>
    </row>
    <row r="3897" spans="1:12" x14ac:dyDescent="0.2">
      <c r="A3897" s="570" t="s">
        <v>220</v>
      </c>
      <c r="B3897" s="547" t="s">
        <v>5430</v>
      </c>
      <c r="C3897" s="554" t="s">
        <v>5210</v>
      </c>
      <c r="D3897" s="554" t="s">
        <v>5211</v>
      </c>
      <c r="E3897" s="554"/>
      <c r="F3897" s="571">
        <v>1</v>
      </c>
      <c r="G3897" s="572">
        <v>1.5680000000000001</v>
      </c>
      <c r="H3897" s="545">
        <v>1.5680000000000001</v>
      </c>
      <c r="I3897" s="554" t="s">
        <v>9218</v>
      </c>
      <c r="J3897" s="554" t="s">
        <v>9219</v>
      </c>
      <c r="K3897" s="554" t="s">
        <v>9219</v>
      </c>
      <c r="L3897" s="537" t="s">
        <v>2354</v>
      </c>
    </row>
    <row r="3898" spans="1:12" x14ac:dyDescent="0.2">
      <c r="A3898" s="570" t="s">
        <v>220</v>
      </c>
      <c r="B3898" s="547" t="s">
        <v>5430</v>
      </c>
      <c r="C3898" s="554" t="s">
        <v>5212</v>
      </c>
      <c r="D3898" s="554" t="s">
        <v>5213</v>
      </c>
      <c r="E3898" s="554"/>
      <c r="F3898" s="571">
        <v>1</v>
      </c>
      <c r="G3898" s="572">
        <v>3.6669999999999998</v>
      </c>
      <c r="H3898" s="545">
        <v>3.6669999999999998</v>
      </c>
      <c r="I3898" s="554" t="s">
        <v>9218</v>
      </c>
      <c r="J3898" s="554" t="s">
        <v>9219</v>
      </c>
      <c r="K3898" s="554" t="s">
        <v>9219</v>
      </c>
      <c r="L3898" s="537" t="s">
        <v>2354</v>
      </c>
    </row>
    <row r="3899" spans="1:12" x14ac:dyDescent="0.2">
      <c r="A3899" s="570" t="s">
        <v>220</v>
      </c>
      <c r="B3899" s="547" t="s">
        <v>5430</v>
      </c>
      <c r="C3899" s="554" t="s">
        <v>5216</v>
      </c>
      <c r="D3899" s="554" t="s">
        <v>5217</v>
      </c>
      <c r="E3899" s="554"/>
      <c r="F3899" s="571">
        <v>4</v>
      </c>
      <c r="G3899" s="572">
        <v>4.1879999999999997</v>
      </c>
      <c r="H3899" s="545">
        <v>16.751999999999999</v>
      </c>
      <c r="I3899" s="554" t="s">
        <v>9218</v>
      </c>
      <c r="J3899" s="554" t="s">
        <v>9219</v>
      </c>
      <c r="K3899" s="554" t="s">
        <v>9219</v>
      </c>
      <c r="L3899" s="537" t="s">
        <v>2354</v>
      </c>
    </row>
    <row r="3900" spans="1:12" x14ac:dyDescent="0.2">
      <c r="A3900" s="570" t="s">
        <v>220</v>
      </c>
      <c r="B3900" s="547" t="s">
        <v>5430</v>
      </c>
      <c r="C3900" s="554" t="s">
        <v>5218</v>
      </c>
      <c r="D3900" s="554" t="s">
        <v>5219</v>
      </c>
      <c r="E3900" s="554"/>
      <c r="F3900" s="571">
        <v>2</v>
      </c>
      <c r="G3900" s="572">
        <v>6.718</v>
      </c>
      <c r="H3900" s="545">
        <v>13.436</v>
      </c>
      <c r="I3900" s="554" t="s">
        <v>9218</v>
      </c>
      <c r="J3900" s="554" t="s">
        <v>9219</v>
      </c>
      <c r="K3900" s="554" t="s">
        <v>9219</v>
      </c>
      <c r="L3900" s="537" t="s">
        <v>2354</v>
      </c>
    </row>
    <row r="3901" spans="1:12" x14ac:dyDescent="0.2">
      <c r="A3901" s="570" t="s">
        <v>220</v>
      </c>
      <c r="B3901" s="547" t="s">
        <v>5430</v>
      </c>
      <c r="C3901" s="554" t="s">
        <v>5392</v>
      </c>
      <c r="D3901" s="554" t="s">
        <v>8781</v>
      </c>
      <c r="E3901" s="554"/>
      <c r="F3901" s="571">
        <v>2</v>
      </c>
      <c r="G3901" s="572">
        <v>3.2890000000000001</v>
      </c>
      <c r="H3901" s="545">
        <v>6.5780000000000003</v>
      </c>
      <c r="I3901" s="554" t="s">
        <v>9218</v>
      </c>
      <c r="J3901" s="554" t="s">
        <v>9219</v>
      </c>
      <c r="K3901" s="554" t="s">
        <v>9219</v>
      </c>
      <c r="L3901" s="537" t="s">
        <v>2354</v>
      </c>
    </row>
    <row r="3902" spans="1:12" x14ac:dyDescent="0.2">
      <c r="A3902" s="570" t="s">
        <v>220</v>
      </c>
      <c r="B3902" s="547" t="s">
        <v>5430</v>
      </c>
      <c r="C3902" s="554" t="s">
        <v>8782</v>
      </c>
      <c r="D3902" s="554" t="s">
        <v>8783</v>
      </c>
      <c r="E3902" s="554"/>
      <c r="F3902" s="571">
        <v>40</v>
      </c>
      <c r="G3902" s="572">
        <v>3.9E-2</v>
      </c>
      <c r="H3902" s="545">
        <v>1.56</v>
      </c>
      <c r="I3902" s="554" t="s">
        <v>9218</v>
      </c>
      <c r="J3902" s="554" t="s">
        <v>9219</v>
      </c>
      <c r="K3902" s="554" t="s">
        <v>9219</v>
      </c>
      <c r="L3902" s="537" t="s">
        <v>2354</v>
      </c>
    </row>
    <row r="3903" spans="1:12" x14ac:dyDescent="0.2">
      <c r="A3903" s="570" t="s">
        <v>220</v>
      </c>
      <c r="B3903" s="547" t="s">
        <v>5430</v>
      </c>
      <c r="C3903" s="554" t="s">
        <v>7258</v>
      </c>
      <c r="D3903" s="554" t="s">
        <v>8784</v>
      </c>
      <c r="E3903" s="554"/>
      <c r="F3903" s="571">
        <v>5</v>
      </c>
      <c r="G3903" s="572">
        <v>3.7214999999999998</v>
      </c>
      <c r="H3903" s="545">
        <v>18.607499999999998</v>
      </c>
      <c r="I3903" s="554" t="s">
        <v>9218</v>
      </c>
      <c r="J3903" s="554" t="s">
        <v>9219</v>
      </c>
      <c r="K3903" s="554" t="s">
        <v>9219</v>
      </c>
      <c r="L3903" s="537" t="s">
        <v>2354</v>
      </c>
    </row>
    <row r="3904" spans="1:12" x14ac:dyDescent="0.2">
      <c r="A3904" s="570" t="s">
        <v>220</v>
      </c>
      <c r="B3904" s="547" t="s">
        <v>5430</v>
      </c>
      <c r="C3904" s="554" t="s">
        <v>7264</v>
      </c>
      <c r="D3904" s="554" t="s">
        <v>7265</v>
      </c>
      <c r="E3904" s="554"/>
      <c r="F3904" s="571">
        <v>1</v>
      </c>
      <c r="G3904" s="572">
        <v>11.702</v>
      </c>
      <c r="H3904" s="545">
        <v>11.702</v>
      </c>
      <c r="I3904" s="554" t="s">
        <v>9218</v>
      </c>
      <c r="J3904" s="554" t="s">
        <v>9219</v>
      </c>
      <c r="K3904" s="554" t="s">
        <v>9219</v>
      </c>
      <c r="L3904" s="537" t="s">
        <v>2354</v>
      </c>
    </row>
    <row r="3905" spans="1:12" x14ac:dyDescent="0.2">
      <c r="A3905" s="570" t="s">
        <v>220</v>
      </c>
      <c r="B3905" s="547" t="s">
        <v>5430</v>
      </c>
      <c r="C3905" s="554" t="s">
        <v>8785</v>
      </c>
      <c r="D3905" s="554" t="s">
        <v>8786</v>
      </c>
      <c r="E3905" s="554"/>
      <c r="F3905" s="571">
        <v>2</v>
      </c>
      <c r="G3905" s="572">
        <v>46.155000000000001</v>
      </c>
      <c r="H3905" s="545">
        <v>92.31</v>
      </c>
      <c r="I3905" s="554" t="s">
        <v>9218</v>
      </c>
      <c r="J3905" s="554" t="s">
        <v>9219</v>
      </c>
      <c r="K3905" s="554" t="s">
        <v>9219</v>
      </c>
      <c r="L3905" s="537" t="s">
        <v>2354</v>
      </c>
    </row>
    <row r="3906" spans="1:12" x14ac:dyDescent="0.2">
      <c r="A3906" s="570" t="s">
        <v>220</v>
      </c>
      <c r="B3906" s="547" t="s">
        <v>5430</v>
      </c>
      <c r="C3906" s="554" t="s">
        <v>8787</v>
      </c>
      <c r="D3906" s="554" t="s">
        <v>8788</v>
      </c>
      <c r="E3906" s="554"/>
      <c r="F3906" s="571">
        <v>4</v>
      </c>
      <c r="G3906" s="572">
        <v>71.91</v>
      </c>
      <c r="H3906" s="545">
        <v>287.64</v>
      </c>
      <c r="I3906" s="554" t="s">
        <v>9218</v>
      </c>
      <c r="J3906" s="554" t="s">
        <v>9219</v>
      </c>
      <c r="K3906" s="554" t="s">
        <v>9219</v>
      </c>
      <c r="L3906" s="537" t="s">
        <v>2354</v>
      </c>
    </row>
    <row r="3907" spans="1:12" x14ac:dyDescent="0.2">
      <c r="A3907" s="570" t="s">
        <v>220</v>
      </c>
      <c r="B3907" s="547" t="s">
        <v>5430</v>
      </c>
      <c r="C3907" s="554" t="s">
        <v>7298</v>
      </c>
      <c r="D3907" s="554" t="s">
        <v>7299</v>
      </c>
      <c r="E3907" s="554"/>
      <c r="F3907" s="571">
        <v>20</v>
      </c>
      <c r="G3907" s="572">
        <v>0.48199999999999998</v>
      </c>
      <c r="H3907" s="545">
        <v>9.64</v>
      </c>
      <c r="I3907" s="554" t="s">
        <v>9218</v>
      </c>
      <c r="J3907" s="554" t="s">
        <v>9219</v>
      </c>
      <c r="K3907" s="554" t="s">
        <v>9219</v>
      </c>
      <c r="L3907" s="537" t="s">
        <v>2354</v>
      </c>
    </row>
    <row r="3908" spans="1:12" x14ac:dyDescent="0.2">
      <c r="A3908" s="570" t="s">
        <v>220</v>
      </c>
      <c r="B3908" s="547" t="s">
        <v>5430</v>
      </c>
      <c r="C3908" s="554" t="s">
        <v>7316</v>
      </c>
      <c r="D3908" s="554" t="s">
        <v>7317</v>
      </c>
      <c r="E3908" s="554"/>
      <c r="F3908" s="571">
        <v>3</v>
      </c>
      <c r="G3908" s="572">
        <v>4.9800000000000004</v>
      </c>
      <c r="H3908" s="545">
        <v>14.940000000000001</v>
      </c>
      <c r="I3908" s="554" t="s">
        <v>9218</v>
      </c>
      <c r="J3908" s="554" t="s">
        <v>9219</v>
      </c>
      <c r="K3908" s="554" t="s">
        <v>9219</v>
      </c>
      <c r="L3908" s="537" t="s">
        <v>2354</v>
      </c>
    </row>
    <row r="3909" spans="1:12" x14ac:dyDescent="0.2">
      <c r="A3909" s="570" t="s">
        <v>220</v>
      </c>
      <c r="B3909" s="547" t="s">
        <v>5430</v>
      </c>
      <c r="C3909" s="554" t="s">
        <v>5463</v>
      </c>
      <c r="D3909" s="554" t="s">
        <v>5464</v>
      </c>
      <c r="E3909" s="554"/>
      <c r="F3909" s="571">
        <v>100</v>
      </c>
      <c r="G3909" s="572">
        <v>0.86299999999999999</v>
      </c>
      <c r="H3909" s="545">
        <v>86.3</v>
      </c>
      <c r="I3909" s="554" t="s">
        <v>9218</v>
      </c>
      <c r="J3909" s="554" t="s">
        <v>9219</v>
      </c>
      <c r="K3909" s="554" t="s">
        <v>9219</v>
      </c>
      <c r="L3909" s="537" t="s">
        <v>2354</v>
      </c>
    </row>
    <row r="3910" spans="1:12" x14ac:dyDescent="0.2">
      <c r="A3910" s="570" t="s">
        <v>220</v>
      </c>
      <c r="B3910" s="547" t="s">
        <v>5430</v>
      </c>
      <c r="C3910" s="554" t="s">
        <v>7320</v>
      </c>
      <c r="D3910" s="554" t="s">
        <v>8790</v>
      </c>
      <c r="E3910" s="554"/>
      <c r="F3910" s="571">
        <v>9</v>
      </c>
      <c r="G3910" s="572">
        <v>30.977</v>
      </c>
      <c r="H3910" s="545">
        <v>278.79300000000001</v>
      </c>
      <c r="I3910" s="554" t="s">
        <v>9218</v>
      </c>
      <c r="J3910" s="554" t="s">
        <v>9219</v>
      </c>
      <c r="K3910" s="554" t="s">
        <v>9219</v>
      </c>
      <c r="L3910" s="537" t="s">
        <v>2354</v>
      </c>
    </row>
    <row r="3911" spans="1:12" x14ac:dyDescent="0.2">
      <c r="A3911" s="570" t="s">
        <v>220</v>
      </c>
      <c r="B3911" s="547" t="s">
        <v>5430</v>
      </c>
      <c r="C3911" s="554" t="s">
        <v>8791</v>
      </c>
      <c r="D3911" s="554" t="s">
        <v>8792</v>
      </c>
      <c r="E3911" s="554"/>
      <c r="F3911" s="571">
        <v>23</v>
      </c>
      <c r="G3911" s="572">
        <v>1.292</v>
      </c>
      <c r="H3911" s="545">
        <v>29.716000000000001</v>
      </c>
      <c r="I3911" s="554" t="s">
        <v>9218</v>
      </c>
      <c r="J3911" s="554" t="s">
        <v>9219</v>
      </c>
      <c r="K3911" s="554" t="s">
        <v>9219</v>
      </c>
      <c r="L3911" s="537" t="s">
        <v>2354</v>
      </c>
    </row>
    <row r="3912" spans="1:12" x14ac:dyDescent="0.2">
      <c r="A3912" s="570" t="s">
        <v>220</v>
      </c>
      <c r="B3912" s="547" t="s">
        <v>5430</v>
      </c>
      <c r="C3912" s="554" t="s">
        <v>5296</v>
      </c>
      <c r="D3912" s="554" t="s">
        <v>2392</v>
      </c>
      <c r="E3912" s="554"/>
      <c r="F3912" s="571">
        <v>1</v>
      </c>
      <c r="G3912" s="572">
        <v>1.1759999999999999</v>
      </c>
      <c r="H3912" s="545">
        <v>1.1759999999999999</v>
      </c>
      <c r="I3912" s="554" t="s">
        <v>9218</v>
      </c>
      <c r="J3912" s="554" t="s">
        <v>9219</v>
      </c>
      <c r="K3912" s="554" t="s">
        <v>9219</v>
      </c>
      <c r="L3912" s="537" t="s">
        <v>2354</v>
      </c>
    </row>
    <row r="3913" spans="1:12" x14ac:dyDescent="0.2">
      <c r="A3913" s="570" t="s">
        <v>220</v>
      </c>
      <c r="B3913" s="547" t="s">
        <v>5430</v>
      </c>
      <c r="C3913" s="554" t="s">
        <v>5297</v>
      </c>
      <c r="D3913" s="554" t="s">
        <v>5298</v>
      </c>
      <c r="E3913" s="554"/>
      <c r="F3913" s="571">
        <v>15</v>
      </c>
      <c r="G3913" s="572">
        <v>1.873</v>
      </c>
      <c r="H3913" s="545">
        <v>28.094999999999999</v>
      </c>
      <c r="I3913" s="554" t="s">
        <v>9218</v>
      </c>
      <c r="J3913" s="554" t="s">
        <v>9219</v>
      </c>
      <c r="K3913" s="554" t="s">
        <v>9219</v>
      </c>
      <c r="L3913" s="537" t="s">
        <v>2354</v>
      </c>
    </row>
    <row r="3914" spans="1:12" x14ac:dyDescent="0.2">
      <c r="A3914" s="570" t="s">
        <v>220</v>
      </c>
      <c r="B3914" s="547" t="s">
        <v>5430</v>
      </c>
      <c r="C3914" s="554" t="s">
        <v>8793</v>
      </c>
      <c r="D3914" s="554" t="s">
        <v>7323</v>
      </c>
      <c r="E3914" s="554"/>
      <c r="F3914" s="571">
        <v>2</v>
      </c>
      <c r="G3914" s="572">
        <v>51.368000000000002</v>
      </c>
      <c r="H3914" s="545">
        <v>102.736</v>
      </c>
      <c r="I3914" s="554" t="s">
        <v>9218</v>
      </c>
      <c r="J3914" s="554" t="s">
        <v>9219</v>
      </c>
      <c r="K3914" s="554" t="s">
        <v>9219</v>
      </c>
      <c r="L3914" s="537" t="s">
        <v>2354</v>
      </c>
    </row>
    <row r="3915" spans="1:12" x14ac:dyDescent="0.2">
      <c r="A3915" s="570" t="s">
        <v>220</v>
      </c>
      <c r="B3915" s="547" t="s">
        <v>5430</v>
      </c>
      <c r="C3915" s="554" t="s">
        <v>7324</v>
      </c>
      <c r="D3915" s="554" t="s">
        <v>7325</v>
      </c>
      <c r="E3915" s="554"/>
      <c r="F3915" s="571">
        <v>2</v>
      </c>
      <c r="G3915" s="572">
        <v>51.62</v>
      </c>
      <c r="H3915" s="545">
        <v>103.24</v>
      </c>
      <c r="I3915" s="554" t="s">
        <v>9218</v>
      </c>
      <c r="J3915" s="554" t="s">
        <v>9219</v>
      </c>
      <c r="K3915" s="554" t="s">
        <v>9219</v>
      </c>
      <c r="L3915" s="537" t="s">
        <v>2354</v>
      </c>
    </row>
    <row r="3916" spans="1:12" x14ac:dyDescent="0.2">
      <c r="A3916" s="570" t="s">
        <v>220</v>
      </c>
      <c r="B3916" s="547" t="s">
        <v>5430</v>
      </c>
      <c r="C3916" s="554" t="s">
        <v>7326</v>
      </c>
      <c r="D3916" s="554" t="s">
        <v>7327</v>
      </c>
      <c r="E3916" s="554"/>
      <c r="F3916" s="571">
        <v>10</v>
      </c>
      <c r="G3916" s="572">
        <v>6.1059999999999999</v>
      </c>
      <c r="H3916" s="545">
        <v>61.06</v>
      </c>
      <c r="I3916" s="554" t="s">
        <v>9218</v>
      </c>
      <c r="J3916" s="554" t="s">
        <v>9219</v>
      </c>
      <c r="K3916" s="554" t="s">
        <v>9219</v>
      </c>
      <c r="L3916" s="537" t="s">
        <v>2354</v>
      </c>
    </row>
    <row r="3917" spans="1:12" x14ac:dyDescent="0.2">
      <c r="A3917" s="570" t="s">
        <v>220</v>
      </c>
      <c r="B3917" s="547" t="s">
        <v>5430</v>
      </c>
      <c r="C3917" s="554" t="s">
        <v>7328</v>
      </c>
      <c r="D3917" s="554" t="s">
        <v>8794</v>
      </c>
      <c r="E3917" s="554"/>
      <c r="F3917" s="571">
        <v>1</v>
      </c>
      <c r="G3917" s="572">
        <v>72.594999999999999</v>
      </c>
      <c r="H3917" s="545">
        <v>72.594999999999999</v>
      </c>
      <c r="I3917" s="554" t="s">
        <v>9218</v>
      </c>
      <c r="J3917" s="554" t="s">
        <v>9219</v>
      </c>
      <c r="K3917" s="554" t="s">
        <v>9219</v>
      </c>
      <c r="L3917" s="537" t="s">
        <v>2354</v>
      </c>
    </row>
    <row r="3918" spans="1:12" x14ac:dyDescent="0.2">
      <c r="A3918" s="570" t="s">
        <v>220</v>
      </c>
      <c r="B3918" s="547" t="s">
        <v>5430</v>
      </c>
      <c r="C3918" s="554" t="s">
        <v>7330</v>
      </c>
      <c r="D3918" s="554" t="s">
        <v>7331</v>
      </c>
      <c r="E3918" s="554"/>
      <c r="F3918" s="571">
        <v>6</v>
      </c>
      <c r="G3918" s="572">
        <v>1.7410000000000001</v>
      </c>
      <c r="H3918" s="545">
        <v>10.446000000000002</v>
      </c>
      <c r="I3918" s="554" t="s">
        <v>9218</v>
      </c>
      <c r="J3918" s="554" t="s">
        <v>9219</v>
      </c>
      <c r="K3918" s="554" t="s">
        <v>9219</v>
      </c>
      <c r="L3918" s="537" t="s">
        <v>2354</v>
      </c>
    </row>
    <row r="3919" spans="1:12" x14ac:dyDescent="0.2">
      <c r="A3919" s="570" t="s">
        <v>220</v>
      </c>
      <c r="B3919" s="547" t="s">
        <v>5430</v>
      </c>
      <c r="C3919" s="554" t="s">
        <v>7332</v>
      </c>
      <c r="D3919" s="554" t="s">
        <v>7333</v>
      </c>
      <c r="E3919" s="554"/>
      <c r="F3919" s="571">
        <v>1</v>
      </c>
      <c r="G3919" s="572">
        <v>107.669</v>
      </c>
      <c r="H3919" s="545">
        <v>107.669</v>
      </c>
      <c r="I3919" s="554" t="s">
        <v>9218</v>
      </c>
      <c r="J3919" s="554" t="s">
        <v>9219</v>
      </c>
      <c r="K3919" s="554" t="s">
        <v>9219</v>
      </c>
      <c r="L3919" s="537" t="s">
        <v>2354</v>
      </c>
    </row>
    <row r="3920" spans="1:12" x14ac:dyDescent="0.2">
      <c r="A3920" s="570" t="s">
        <v>220</v>
      </c>
      <c r="B3920" s="547" t="s">
        <v>5430</v>
      </c>
      <c r="C3920" s="554" t="s">
        <v>8795</v>
      </c>
      <c r="D3920" s="554" t="s">
        <v>8796</v>
      </c>
      <c r="E3920" s="554"/>
      <c r="F3920" s="571">
        <v>1</v>
      </c>
      <c r="G3920" s="572">
        <v>0.44700000000000001</v>
      </c>
      <c r="H3920" s="545">
        <v>0.44700000000000001</v>
      </c>
      <c r="I3920" s="554" t="s">
        <v>9218</v>
      </c>
      <c r="J3920" s="554" t="s">
        <v>9219</v>
      </c>
      <c r="K3920" s="554" t="s">
        <v>9219</v>
      </c>
      <c r="L3920" s="537" t="s">
        <v>2354</v>
      </c>
    </row>
    <row r="3921" spans="1:12" x14ac:dyDescent="0.2">
      <c r="A3921" s="570" t="s">
        <v>220</v>
      </c>
      <c r="B3921" s="547" t="s">
        <v>5430</v>
      </c>
      <c r="C3921" s="554" t="s">
        <v>8797</v>
      </c>
      <c r="D3921" s="554" t="s">
        <v>8798</v>
      </c>
      <c r="E3921" s="554"/>
      <c r="F3921" s="571">
        <v>1</v>
      </c>
      <c r="G3921" s="572">
        <v>8.25</v>
      </c>
      <c r="H3921" s="545">
        <v>8.25</v>
      </c>
      <c r="I3921" s="554" t="s">
        <v>9218</v>
      </c>
      <c r="J3921" s="554" t="s">
        <v>9219</v>
      </c>
      <c r="K3921" s="554" t="s">
        <v>9219</v>
      </c>
      <c r="L3921" s="537" t="s">
        <v>2354</v>
      </c>
    </row>
    <row r="3922" spans="1:12" x14ac:dyDescent="0.2">
      <c r="A3922" s="570" t="s">
        <v>220</v>
      </c>
      <c r="B3922" s="547" t="s">
        <v>5430</v>
      </c>
      <c r="C3922" s="554" t="s">
        <v>3229</v>
      </c>
      <c r="D3922" s="554" t="s">
        <v>3230</v>
      </c>
      <c r="E3922" s="554"/>
      <c r="F3922" s="571">
        <v>7</v>
      </c>
      <c r="G3922" s="572">
        <v>0.59399999999999997</v>
      </c>
      <c r="H3922" s="545">
        <v>4.1579999999999995</v>
      </c>
      <c r="I3922" s="554" t="s">
        <v>9218</v>
      </c>
      <c r="J3922" s="554" t="s">
        <v>9219</v>
      </c>
      <c r="K3922" s="554" t="s">
        <v>9219</v>
      </c>
      <c r="L3922" s="537" t="s">
        <v>2354</v>
      </c>
    </row>
    <row r="3923" spans="1:12" x14ac:dyDescent="0.2">
      <c r="A3923" s="570" t="s">
        <v>220</v>
      </c>
      <c r="B3923" s="547" t="s">
        <v>5430</v>
      </c>
      <c r="C3923" s="554" t="s">
        <v>8799</v>
      </c>
      <c r="D3923" s="554" t="s">
        <v>6277</v>
      </c>
      <c r="E3923" s="554"/>
      <c r="F3923" s="571">
        <v>3</v>
      </c>
      <c r="G3923" s="572">
        <v>2.25</v>
      </c>
      <c r="H3923" s="545">
        <v>6.75</v>
      </c>
      <c r="I3923" s="554" t="s">
        <v>9218</v>
      </c>
      <c r="J3923" s="554" t="s">
        <v>9219</v>
      </c>
      <c r="K3923" s="554" t="s">
        <v>9219</v>
      </c>
      <c r="L3923" s="537" t="s">
        <v>2354</v>
      </c>
    </row>
    <row r="3924" spans="1:12" x14ac:dyDescent="0.2">
      <c r="A3924" s="570" t="s">
        <v>220</v>
      </c>
      <c r="B3924" s="547" t="s">
        <v>5430</v>
      </c>
      <c r="C3924" s="554" t="s">
        <v>6278</v>
      </c>
      <c r="D3924" s="554" t="s">
        <v>6279</v>
      </c>
      <c r="E3924" s="554"/>
      <c r="F3924" s="571">
        <v>10</v>
      </c>
      <c r="G3924" s="572">
        <v>1.21</v>
      </c>
      <c r="H3924" s="545">
        <v>12.1</v>
      </c>
      <c r="I3924" s="554" t="s">
        <v>9218</v>
      </c>
      <c r="J3924" s="554" t="s">
        <v>9219</v>
      </c>
      <c r="K3924" s="554" t="s">
        <v>9219</v>
      </c>
      <c r="L3924" s="537" t="s">
        <v>2354</v>
      </c>
    </row>
    <row r="3925" spans="1:12" x14ac:dyDescent="0.2">
      <c r="A3925" s="570" t="s">
        <v>220</v>
      </c>
      <c r="B3925" s="547" t="s">
        <v>5430</v>
      </c>
      <c r="C3925" s="554" t="s">
        <v>6280</v>
      </c>
      <c r="D3925" s="554" t="s">
        <v>6281</v>
      </c>
      <c r="E3925" s="554"/>
      <c r="F3925" s="571">
        <v>1</v>
      </c>
      <c r="G3925" s="572">
        <v>3.8149999999999999</v>
      </c>
      <c r="H3925" s="545">
        <v>3.8149999999999999</v>
      </c>
      <c r="I3925" s="554" t="s">
        <v>9218</v>
      </c>
      <c r="J3925" s="554" t="s">
        <v>9219</v>
      </c>
      <c r="K3925" s="554" t="s">
        <v>9219</v>
      </c>
      <c r="L3925" s="537" t="s">
        <v>2354</v>
      </c>
    </row>
    <row r="3926" spans="1:12" x14ac:dyDescent="0.2">
      <c r="A3926" s="570" t="s">
        <v>220</v>
      </c>
      <c r="B3926" s="547" t="s">
        <v>5430</v>
      </c>
      <c r="C3926" s="554" t="s">
        <v>3249</v>
      </c>
      <c r="D3926" s="554" t="s">
        <v>9390</v>
      </c>
      <c r="E3926" s="554"/>
      <c r="F3926" s="571">
        <v>8</v>
      </c>
      <c r="G3926" s="572">
        <v>8.7940000000000005</v>
      </c>
      <c r="H3926" s="545">
        <v>70.352000000000004</v>
      </c>
      <c r="I3926" s="554" t="s">
        <v>9218</v>
      </c>
      <c r="J3926" s="554" t="s">
        <v>9219</v>
      </c>
      <c r="K3926" s="554" t="s">
        <v>9219</v>
      </c>
      <c r="L3926" s="537" t="s">
        <v>2354</v>
      </c>
    </row>
    <row r="3927" spans="1:12" x14ac:dyDescent="0.2">
      <c r="A3927" s="570" t="s">
        <v>220</v>
      </c>
      <c r="B3927" s="547" t="s">
        <v>5430</v>
      </c>
      <c r="C3927" s="554" t="s">
        <v>8800</v>
      </c>
      <c r="D3927" s="554" t="s">
        <v>6283</v>
      </c>
      <c r="E3927" s="554"/>
      <c r="F3927" s="571">
        <v>6</v>
      </c>
      <c r="G3927" s="572">
        <v>2.4409999999999998</v>
      </c>
      <c r="H3927" s="545">
        <v>14.645999999999999</v>
      </c>
      <c r="I3927" s="554" t="s">
        <v>9218</v>
      </c>
      <c r="J3927" s="554" t="s">
        <v>9219</v>
      </c>
      <c r="K3927" s="554" t="s">
        <v>9219</v>
      </c>
      <c r="L3927" s="537" t="s">
        <v>2354</v>
      </c>
    </row>
    <row r="3928" spans="1:12" x14ac:dyDescent="0.2">
      <c r="A3928" s="570" t="s">
        <v>220</v>
      </c>
      <c r="B3928" s="547" t="s">
        <v>5430</v>
      </c>
      <c r="C3928" s="554" t="s">
        <v>3251</v>
      </c>
      <c r="D3928" s="554" t="s">
        <v>3252</v>
      </c>
      <c r="E3928" s="554"/>
      <c r="F3928" s="571">
        <v>5</v>
      </c>
      <c r="G3928" s="572">
        <v>3.0470000000000002</v>
      </c>
      <c r="H3928" s="545">
        <v>15.235000000000001</v>
      </c>
      <c r="I3928" s="554" t="s">
        <v>9218</v>
      </c>
      <c r="J3928" s="554" t="s">
        <v>9219</v>
      </c>
      <c r="K3928" s="554" t="s">
        <v>9219</v>
      </c>
      <c r="L3928" s="537" t="s">
        <v>2354</v>
      </c>
    </row>
    <row r="3929" spans="1:12" x14ac:dyDescent="0.2">
      <c r="A3929" s="570" t="s">
        <v>220</v>
      </c>
      <c r="B3929" s="547" t="s">
        <v>5430</v>
      </c>
      <c r="C3929" s="554" t="s">
        <v>6284</v>
      </c>
      <c r="D3929" s="554" t="s">
        <v>6285</v>
      </c>
      <c r="E3929" s="554"/>
      <c r="F3929" s="571">
        <v>8</v>
      </c>
      <c r="G3929" s="572">
        <v>0.64800000000000002</v>
      </c>
      <c r="H3929" s="545">
        <v>5.1840000000000002</v>
      </c>
      <c r="I3929" s="554" t="s">
        <v>9218</v>
      </c>
      <c r="J3929" s="554" t="s">
        <v>9219</v>
      </c>
      <c r="K3929" s="554" t="s">
        <v>9219</v>
      </c>
      <c r="L3929" s="537" t="s">
        <v>2354</v>
      </c>
    </row>
    <row r="3930" spans="1:12" x14ac:dyDescent="0.2">
      <c r="A3930" s="570" t="s">
        <v>220</v>
      </c>
      <c r="B3930" s="547" t="s">
        <v>5430</v>
      </c>
      <c r="C3930" s="554" t="s">
        <v>6286</v>
      </c>
      <c r="D3930" s="554" t="s">
        <v>6287</v>
      </c>
      <c r="E3930" s="554"/>
      <c r="F3930" s="571">
        <v>4</v>
      </c>
      <c r="G3930" s="572">
        <v>7.2919999999999998</v>
      </c>
      <c r="H3930" s="545">
        <v>29.167999999999999</v>
      </c>
      <c r="I3930" s="554" t="s">
        <v>9218</v>
      </c>
      <c r="J3930" s="554" t="s">
        <v>9219</v>
      </c>
      <c r="K3930" s="554" t="s">
        <v>9219</v>
      </c>
      <c r="L3930" s="537" t="s">
        <v>2354</v>
      </c>
    </row>
    <row r="3931" spans="1:12" x14ac:dyDescent="0.2">
      <c r="A3931" s="570" t="s">
        <v>220</v>
      </c>
      <c r="B3931" s="547" t="s">
        <v>5430</v>
      </c>
      <c r="C3931" s="554" t="s">
        <v>6288</v>
      </c>
      <c r="D3931" s="554" t="s">
        <v>6289</v>
      </c>
      <c r="E3931" s="554"/>
      <c r="F3931" s="571">
        <v>10</v>
      </c>
      <c r="G3931" s="572">
        <v>1.9550000000000001</v>
      </c>
      <c r="H3931" s="545">
        <v>19.55</v>
      </c>
      <c r="I3931" s="554" t="s">
        <v>9218</v>
      </c>
      <c r="J3931" s="554" t="s">
        <v>9219</v>
      </c>
      <c r="K3931" s="554" t="s">
        <v>9219</v>
      </c>
      <c r="L3931" s="537" t="s">
        <v>2354</v>
      </c>
    </row>
    <row r="3932" spans="1:12" x14ac:dyDescent="0.2">
      <c r="A3932" s="570" t="s">
        <v>220</v>
      </c>
      <c r="B3932" s="547" t="s">
        <v>5430</v>
      </c>
      <c r="C3932" s="554" t="s">
        <v>6290</v>
      </c>
      <c r="D3932" s="554" t="s">
        <v>6291</v>
      </c>
      <c r="E3932" s="554"/>
      <c r="F3932" s="571">
        <v>13</v>
      </c>
      <c r="G3932" s="572">
        <v>2.5779999999999998</v>
      </c>
      <c r="H3932" s="545">
        <v>33.513999999999996</v>
      </c>
      <c r="I3932" s="554" t="s">
        <v>9218</v>
      </c>
      <c r="J3932" s="554" t="s">
        <v>9219</v>
      </c>
      <c r="K3932" s="554" t="s">
        <v>9219</v>
      </c>
      <c r="L3932" s="537" t="s">
        <v>2354</v>
      </c>
    </row>
    <row r="3933" spans="1:12" x14ac:dyDescent="0.2">
      <c r="A3933" s="570" t="s">
        <v>220</v>
      </c>
      <c r="B3933" s="547" t="s">
        <v>5430</v>
      </c>
      <c r="C3933" s="554" t="s">
        <v>6292</v>
      </c>
      <c r="D3933" s="554" t="s">
        <v>6293</v>
      </c>
      <c r="E3933" s="554"/>
      <c r="F3933" s="571">
        <v>11</v>
      </c>
      <c r="G3933" s="572">
        <v>0.38</v>
      </c>
      <c r="H3933" s="545">
        <v>4.18</v>
      </c>
      <c r="I3933" s="554" t="s">
        <v>9218</v>
      </c>
      <c r="J3933" s="554" t="s">
        <v>9219</v>
      </c>
      <c r="K3933" s="554" t="s">
        <v>9219</v>
      </c>
      <c r="L3933" s="537" t="s">
        <v>2354</v>
      </c>
    </row>
    <row r="3934" spans="1:12" x14ac:dyDescent="0.2">
      <c r="A3934" s="570" t="s">
        <v>220</v>
      </c>
      <c r="B3934" s="547" t="s">
        <v>5430</v>
      </c>
      <c r="C3934" s="554" t="s">
        <v>6294</v>
      </c>
      <c r="D3934" s="554" t="s">
        <v>6295</v>
      </c>
      <c r="E3934" s="554"/>
      <c r="F3934" s="571">
        <v>1</v>
      </c>
      <c r="G3934" s="572">
        <v>12.339</v>
      </c>
      <c r="H3934" s="545">
        <v>12.339</v>
      </c>
      <c r="I3934" s="554" t="s">
        <v>9218</v>
      </c>
      <c r="J3934" s="554" t="s">
        <v>9219</v>
      </c>
      <c r="K3934" s="554" t="s">
        <v>9219</v>
      </c>
      <c r="L3934" s="537" t="s">
        <v>2354</v>
      </c>
    </row>
    <row r="3935" spans="1:12" x14ac:dyDescent="0.2">
      <c r="A3935" s="570" t="s">
        <v>220</v>
      </c>
      <c r="B3935" s="547" t="s">
        <v>5430</v>
      </c>
      <c r="C3935" s="554" t="s">
        <v>6296</v>
      </c>
      <c r="D3935" s="554" t="s">
        <v>6297</v>
      </c>
      <c r="E3935" s="554"/>
      <c r="F3935" s="571">
        <v>1</v>
      </c>
      <c r="G3935" s="572">
        <v>14.28</v>
      </c>
      <c r="H3935" s="545">
        <v>14.28</v>
      </c>
      <c r="I3935" s="554" t="s">
        <v>9218</v>
      </c>
      <c r="J3935" s="554" t="s">
        <v>9219</v>
      </c>
      <c r="K3935" s="554" t="s">
        <v>9219</v>
      </c>
      <c r="L3935" s="537" t="s">
        <v>2354</v>
      </c>
    </row>
    <row r="3936" spans="1:12" x14ac:dyDescent="0.2">
      <c r="A3936" s="570" t="s">
        <v>220</v>
      </c>
      <c r="B3936" s="547" t="s">
        <v>5430</v>
      </c>
      <c r="C3936" s="554" t="s">
        <v>6298</v>
      </c>
      <c r="D3936" s="554" t="s">
        <v>6299</v>
      </c>
      <c r="E3936" s="554"/>
      <c r="F3936" s="571">
        <v>3</v>
      </c>
      <c r="G3936" s="572">
        <v>10.417999999999999</v>
      </c>
      <c r="H3936" s="545">
        <v>31.253999999999998</v>
      </c>
      <c r="I3936" s="554" t="s">
        <v>9218</v>
      </c>
      <c r="J3936" s="554" t="s">
        <v>9219</v>
      </c>
      <c r="K3936" s="554" t="s">
        <v>9219</v>
      </c>
      <c r="L3936" s="537" t="s">
        <v>2354</v>
      </c>
    </row>
    <row r="3937" spans="1:12" x14ac:dyDescent="0.2">
      <c r="A3937" s="570" t="s">
        <v>220</v>
      </c>
      <c r="B3937" s="547" t="s">
        <v>5430</v>
      </c>
      <c r="C3937" s="554" t="s">
        <v>3257</v>
      </c>
      <c r="D3937" s="554" t="s">
        <v>3258</v>
      </c>
      <c r="E3937" s="554"/>
      <c r="F3937" s="571">
        <v>6</v>
      </c>
      <c r="G3937" s="572">
        <v>13.747</v>
      </c>
      <c r="H3937" s="545">
        <v>82.481999999999999</v>
      </c>
      <c r="I3937" s="554" t="s">
        <v>9218</v>
      </c>
      <c r="J3937" s="554" t="s">
        <v>9219</v>
      </c>
      <c r="K3937" s="554" t="s">
        <v>9219</v>
      </c>
      <c r="L3937" s="537" t="s">
        <v>2354</v>
      </c>
    </row>
    <row r="3938" spans="1:12" x14ac:dyDescent="0.2">
      <c r="A3938" s="570" t="s">
        <v>220</v>
      </c>
      <c r="B3938" s="547" t="s">
        <v>5430</v>
      </c>
      <c r="C3938" s="554" t="s">
        <v>6300</v>
      </c>
      <c r="D3938" s="554" t="s">
        <v>6301</v>
      </c>
      <c r="E3938" s="554"/>
      <c r="F3938" s="571">
        <v>5</v>
      </c>
      <c r="G3938" s="572">
        <v>15.805999999999999</v>
      </c>
      <c r="H3938" s="545">
        <v>79.03</v>
      </c>
      <c r="I3938" s="554" t="s">
        <v>9218</v>
      </c>
      <c r="J3938" s="554" t="s">
        <v>9219</v>
      </c>
      <c r="K3938" s="554" t="s">
        <v>9219</v>
      </c>
      <c r="L3938" s="537" t="s">
        <v>2354</v>
      </c>
    </row>
    <row r="3939" spans="1:12" x14ac:dyDescent="0.2">
      <c r="A3939" s="570" t="s">
        <v>220</v>
      </c>
      <c r="B3939" s="547" t="s">
        <v>5430</v>
      </c>
      <c r="C3939" s="554" t="s">
        <v>6302</v>
      </c>
      <c r="D3939" s="554" t="s">
        <v>9600</v>
      </c>
      <c r="E3939" s="554"/>
      <c r="F3939" s="571">
        <v>6</v>
      </c>
      <c r="G3939" s="572">
        <v>6.64</v>
      </c>
      <c r="H3939" s="545">
        <v>39.839999999999996</v>
      </c>
      <c r="I3939" s="554" t="s">
        <v>9218</v>
      </c>
      <c r="J3939" s="554" t="s">
        <v>9219</v>
      </c>
      <c r="K3939" s="554" t="s">
        <v>9219</v>
      </c>
      <c r="L3939" s="537" t="s">
        <v>2354</v>
      </c>
    </row>
    <row r="3940" spans="1:12" x14ac:dyDescent="0.2">
      <c r="A3940" s="570" t="s">
        <v>220</v>
      </c>
      <c r="B3940" s="547" t="s">
        <v>5430</v>
      </c>
      <c r="C3940" s="554" t="s">
        <v>6304</v>
      </c>
      <c r="D3940" s="554" t="s">
        <v>6305</v>
      </c>
      <c r="E3940" s="554"/>
      <c r="F3940" s="571">
        <v>10</v>
      </c>
      <c r="G3940" s="572">
        <v>19.2</v>
      </c>
      <c r="H3940" s="545">
        <v>192</v>
      </c>
      <c r="I3940" s="554" t="s">
        <v>9218</v>
      </c>
      <c r="J3940" s="554" t="s">
        <v>9219</v>
      </c>
      <c r="K3940" s="554" t="s">
        <v>9219</v>
      </c>
      <c r="L3940" s="537" t="s">
        <v>2354</v>
      </c>
    </row>
    <row r="3941" spans="1:12" x14ac:dyDescent="0.2">
      <c r="A3941" s="570" t="s">
        <v>220</v>
      </c>
      <c r="B3941" s="547" t="s">
        <v>5430</v>
      </c>
      <c r="C3941" s="554" t="s">
        <v>8801</v>
      </c>
      <c r="D3941" s="554" t="s">
        <v>6307</v>
      </c>
      <c r="E3941" s="554"/>
      <c r="F3941" s="571">
        <v>8</v>
      </c>
      <c r="G3941" s="572">
        <v>7.56</v>
      </c>
      <c r="H3941" s="545">
        <v>60.48</v>
      </c>
      <c r="I3941" s="554" t="s">
        <v>9218</v>
      </c>
      <c r="J3941" s="554" t="s">
        <v>9219</v>
      </c>
      <c r="K3941" s="554" t="s">
        <v>9219</v>
      </c>
      <c r="L3941" s="537" t="s">
        <v>2354</v>
      </c>
    </row>
    <row r="3942" spans="1:12" x14ac:dyDescent="0.2">
      <c r="A3942" s="570" t="s">
        <v>220</v>
      </c>
      <c r="B3942" s="547" t="s">
        <v>5430</v>
      </c>
      <c r="C3942" s="554" t="s">
        <v>8802</v>
      </c>
      <c r="D3942" s="554" t="s">
        <v>3266</v>
      </c>
      <c r="E3942" s="554"/>
      <c r="F3942" s="571">
        <v>3</v>
      </c>
      <c r="G3942" s="572">
        <v>12.682</v>
      </c>
      <c r="H3942" s="545">
        <v>38.045999999999999</v>
      </c>
      <c r="I3942" s="554" t="s">
        <v>9218</v>
      </c>
      <c r="J3942" s="554" t="s">
        <v>9219</v>
      </c>
      <c r="K3942" s="554" t="s">
        <v>9219</v>
      </c>
      <c r="L3942" s="537" t="s">
        <v>2354</v>
      </c>
    </row>
    <row r="3943" spans="1:12" x14ac:dyDescent="0.2">
      <c r="A3943" s="570" t="s">
        <v>220</v>
      </c>
      <c r="B3943" s="547" t="s">
        <v>5430</v>
      </c>
      <c r="C3943" s="554" t="s">
        <v>6308</v>
      </c>
      <c r="D3943" s="554" t="s">
        <v>6309</v>
      </c>
      <c r="E3943" s="554"/>
      <c r="F3943" s="571">
        <v>2</v>
      </c>
      <c r="G3943" s="572">
        <v>6.1230000000000002</v>
      </c>
      <c r="H3943" s="545">
        <v>12.246</v>
      </c>
      <c r="I3943" s="554" t="s">
        <v>9218</v>
      </c>
      <c r="J3943" s="554" t="s">
        <v>9219</v>
      </c>
      <c r="K3943" s="554" t="s">
        <v>9219</v>
      </c>
      <c r="L3943" s="537" t="s">
        <v>2354</v>
      </c>
    </row>
    <row r="3944" spans="1:12" x14ac:dyDescent="0.2">
      <c r="A3944" s="570" t="s">
        <v>220</v>
      </c>
      <c r="B3944" s="547" t="s">
        <v>5430</v>
      </c>
      <c r="C3944" s="554" t="s">
        <v>6310</v>
      </c>
      <c r="D3944" s="554" t="s">
        <v>6311</v>
      </c>
      <c r="E3944" s="554"/>
      <c r="F3944" s="571">
        <v>5</v>
      </c>
      <c r="G3944" s="572">
        <v>22.92</v>
      </c>
      <c r="H3944" s="545">
        <v>114.60000000000001</v>
      </c>
      <c r="I3944" s="554" t="s">
        <v>9218</v>
      </c>
      <c r="J3944" s="554" t="s">
        <v>9219</v>
      </c>
      <c r="K3944" s="554" t="s">
        <v>9219</v>
      </c>
      <c r="L3944" s="537" t="s">
        <v>2354</v>
      </c>
    </row>
    <row r="3945" spans="1:12" x14ac:dyDescent="0.2">
      <c r="A3945" s="570" t="s">
        <v>220</v>
      </c>
      <c r="B3945" s="547" t="s">
        <v>5430</v>
      </c>
      <c r="C3945" s="554" t="s">
        <v>6312</v>
      </c>
      <c r="D3945" s="554" t="s">
        <v>6313</v>
      </c>
      <c r="E3945" s="554"/>
      <c r="F3945" s="571">
        <v>4</v>
      </c>
      <c r="G3945" s="572">
        <v>20.780999999999999</v>
      </c>
      <c r="H3945" s="545">
        <v>83.123999999999995</v>
      </c>
      <c r="I3945" s="554" t="s">
        <v>9218</v>
      </c>
      <c r="J3945" s="554" t="s">
        <v>9219</v>
      </c>
      <c r="K3945" s="554" t="s">
        <v>9219</v>
      </c>
      <c r="L3945" s="537" t="s">
        <v>2354</v>
      </c>
    </row>
    <row r="3946" spans="1:12" x14ac:dyDescent="0.2">
      <c r="A3946" s="570" t="s">
        <v>220</v>
      </c>
      <c r="B3946" s="547" t="s">
        <v>5430</v>
      </c>
      <c r="C3946" s="554" t="s">
        <v>3273</v>
      </c>
      <c r="D3946" s="554" t="s">
        <v>3274</v>
      </c>
      <c r="E3946" s="554"/>
      <c r="F3946" s="571">
        <v>17</v>
      </c>
      <c r="G3946" s="572">
        <v>12.333</v>
      </c>
      <c r="H3946" s="545">
        <v>209.661</v>
      </c>
      <c r="I3946" s="554" t="s">
        <v>9218</v>
      </c>
      <c r="J3946" s="554" t="s">
        <v>9219</v>
      </c>
      <c r="K3946" s="554" t="s">
        <v>9219</v>
      </c>
      <c r="L3946" s="537" t="s">
        <v>2354</v>
      </c>
    </row>
    <row r="3947" spans="1:12" x14ac:dyDescent="0.2">
      <c r="A3947" s="570" t="s">
        <v>220</v>
      </c>
      <c r="B3947" s="547" t="s">
        <v>5430</v>
      </c>
      <c r="C3947" s="554" t="s">
        <v>3277</v>
      </c>
      <c r="D3947" s="554" t="s">
        <v>3278</v>
      </c>
      <c r="E3947" s="554"/>
      <c r="F3947" s="571">
        <v>10</v>
      </c>
      <c r="G3947" s="572">
        <v>1.081</v>
      </c>
      <c r="H3947" s="545">
        <v>10.809999999999999</v>
      </c>
      <c r="I3947" s="554" t="s">
        <v>9218</v>
      </c>
      <c r="J3947" s="554" t="s">
        <v>9219</v>
      </c>
      <c r="K3947" s="554" t="s">
        <v>9219</v>
      </c>
      <c r="L3947" s="537" t="s">
        <v>2354</v>
      </c>
    </row>
    <row r="3948" spans="1:12" x14ac:dyDescent="0.2">
      <c r="A3948" s="570" t="s">
        <v>220</v>
      </c>
      <c r="B3948" s="547" t="s">
        <v>5430</v>
      </c>
      <c r="C3948" s="554" t="s">
        <v>3279</v>
      </c>
      <c r="D3948" s="554" t="s">
        <v>3280</v>
      </c>
      <c r="E3948" s="554"/>
      <c r="F3948" s="571">
        <v>10</v>
      </c>
      <c r="G3948" s="572">
        <v>2.4079999999999999</v>
      </c>
      <c r="H3948" s="545">
        <v>24.08</v>
      </c>
      <c r="I3948" s="554" t="s">
        <v>9218</v>
      </c>
      <c r="J3948" s="554" t="s">
        <v>9219</v>
      </c>
      <c r="K3948" s="554" t="s">
        <v>9219</v>
      </c>
      <c r="L3948" s="537" t="s">
        <v>2354</v>
      </c>
    </row>
    <row r="3949" spans="1:12" x14ac:dyDescent="0.2">
      <c r="A3949" s="570" t="s">
        <v>220</v>
      </c>
      <c r="B3949" s="547" t="s">
        <v>5430</v>
      </c>
      <c r="C3949" s="554" t="s">
        <v>3287</v>
      </c>
      <c r="D3949" s="554" t="s">
        <v>3288</v>
      </c>
      <c r="E3949" s="554"/>
      <c r="F3949" s="571">
        <v>12</v>
      </c>
      <c r="G3949" s="572">
        <v>9.798</v>
      </c>
      <c r="H3949" s="545">
        <v>117.57599999999999</v>
      </c>
      <c r="I3949" s="554" t="s">
        <v>9218</v>
      </c>
      <c r="J3949" s="554" t="s">
        <v>9219</v>
      </c>
      <c r="K3949" s="554" t="s">
        <v>9219</v>
      </c>
      <c r="L3949" s="537" t="s">
        <v>2354</v>
      </c>
    </row>
    <row r="3950" spans="1:12" x14ac:dyDescent="0.2">
      <c r="A3950" s="570" t="s">
        <v>220</v>
      </c>
      <c r="B3950" s="547" t="s">
        <v>5430</v>
      </c>
      <c r="C3950" s="554" t="s">
        <v>6315</v>
      </c>
      <c r="D3950" s="554" t="s">
        <v>6316</v>
      </c>
      <c r="E3950" s="554"/>
      <c r="F3950" s="571">
        <v>5</v>
      </c>
      <c r="G3950" s="572">
        <v>16</v>
      </c>
      <c r="H3950" s="545">
        <v>80</v>
      </c>
      <c r="I3950" s="554" t="s">
        <v>9218</v>
      </c>
      <c r="J3950" s="554" t="s">
        <v>9219</v>
      </c>
      <c r="K3950" s="554" t="s">
        <v>9219</v>
      </c>
      <c r="L3950" s="537" t="s">
        <v>2354</v>
      </c>
    </row>
    <row r="3951" spans="1:12" x14ac:dyDescent="0.2">
      <c r="A3951" s="570" t="s">
        <v>220</v>
      </c>
      <c r="B3951" s="547" t="s">
        <v>5430</v>
      </c>
      <c r="C3951" s="554" t="s">
        <v>3293</v>
      </c>
      <c r="D3951" s="554" t="s">
        <v>3294</v>
      </c>
      <c r="E3951" s="554"/>
      <c r="F3951" s="571">
        <v>4</v>
      </c>
      <c r="G3951" s="572">
        <v>1.292</v>
      </c>
      <c r="H3951" s="545">
        <v>5.1680000000000001</v>
      </c>
      <c r="I3951" s="554" t="s">
        <v>9218</v>
      </c>
      <c r="J3951" s="554" t="s">
        <v>9219</v>
      </c>
      <c r="K3951" s="554" t="s">
        <v>9219</v>
      </c>
      <c r="L3951" s="537" t="s">
        <v>2354</v>
      </c>
    </row>
    <row r="3952" spans="1:12" x14ac:dyDescent="0.2">
      <c r="A3952" s="570" t="s">
        <v>220</v>
      </c>
      <c r="B3952" s="547" t="s">
        <v>5430</v>
      </c>
      <c r="C3952" s="554" t="s">
        <v>3295</v>
      </c>
      <c r="D3952" s="554" t="s">
        <v>3296</v>
      </c>
      <c r="E3952" s="554"/>
      <c r="F3952" s="571">
        <v>2</v>
      </c>
      <c r="G3952" s="572">
        <v>3.3119999999999998</v>
      </c>
      <c r="H3952" s="545">
        <v>6.6239999999999997</v>
      </c>
      <c r="I3952" s="554" t="s">
        <v>9218</v>
      </c>
      <c r="J3952" s="554" t="s">
        <v>9219</v>
      </c>
      <c r="K3952" s="554" t="s">
        <v>9219</v>
      </c>
      <c r="L3952" s="537" t="s">
        <v>2354</v>
      </c>
    </row>
    <row r="3953" spans="1:12" x14ac:dyDescent="0.2">
      <c r="A3953" s="570" t="s">
        <v>220</v>
      </c>
      <c r="B3953" s="547" t="s">
        <v>5430</v>
      </c>
      <c r="C3953" s="554" t="s">
        <v>6317</v>
      </c>
      <c r="D3953" s="554" t="s">
        <v>6318</v>
      </c>
      <c r="E3953" s="554"/>
      <c r="F3953" s="571">
        <v>3</v>
      </c>
      <c r="G3953" s="572">
        <v>4.5519999999999996</v>
      </c>
      <c r="H3953" s="545">
        <v>13.655999999999999</v>
      </c>
      <c r="I3953" s="554" t="s">
        <v>9218</v>
      </c>
      <c r="J3953" s="554" t="s">
        <v>9219</v>
      </c>
      <c r="K3953" s="554" t="s">
        <v>9219</v>
      </c>
      <c r="L3953" s="537" t="s">
        <v>2354</v>
      </c>
    </row>
    <row r="3954" spans="1:12" x14ac:dyDescent="0.2">
      <c r="A3954" s="570" t="s">
        <v>220</v>
      </c>
      <c r="B3954" s="547" t="s">
        <v>5430</v>
      </c>
      <c r="C3954" s="554" t="s">
        <v>3303</v>
      </c>
      <c r="D3954" s="554" t="s">
        <v>3304</v>
      </c>
      <c r="E3954" s="554"/>
      <c r="F3954" s="571">
        <v>11</v>
      </c>
      <c r="G3954" s="572">
        <v>6.04</v>
      </c>
      <c r="H3954" s="545">
        <v>66.44</v>
      </c>
      <c r="I3954" s="554" t="s">
        <v>9218</v>
      </c>
      <c r="J3954" s="554" t="s">
        <v>9219</v>
      </c>
      <c r="K3954" s="554" t="s">
        <v>9219</v>
      </c>
      <c r="L3954" s="537" t="s">
        <v>2354</v>
      </c>
    </row>
    <row r="3955" spans="1:12" x14ac:dyDescent="0.2">
      <c r="A3955" s="570" t="s">
        <v>220</v>
      </c>
      <c r="B3955" s="547" t="s">
        <v>5430</v>
      </c>
      <c r="C3955" s="554" t="s">
        <v>6320</v>
      </c>
      <c r="D3955" s="554" t="s">
        <v>6321</v>
      </c>
      <c r="E3955" s="554"/>
      <c r="F3955" s="571">
        <v>24</v>
      </c>
      <c r="G3955" s="572">
        <v>2.2120000000000002</v>
      </c>
      <c r="H3955" s="545">
        <v>53.088000000000008</v>
      </c>
      <c r="I3955" s="554" t="s">
        <v>9218</v>
      </c>
      <c r="J3955" s="554" t="s">
        <v>9219</v>
      </c>
      <c r="K3955" s="554" t="s">
        <v>9219</v>
      </c>
      <c r="L3955" s="537" t="s">
        <v>2354</v>
      </c>
    </row>
    <row r="3956" spans="1:12" x14ac:dyDescent="0.2">
      <c r="A3956" s="570" t="s">
        <v>220</v>
      </c>
      <c r="B3956" s="547" t="s">
        <v>5430</v>
      </c>
      <c r="C3956" s="554" t="s">
        <v>6322</v>
      </c>
      <c r="D3956" s="554" t="s">
        <v>3308</v>
      </c>
      <c r="E3956" s="554"/>
      <c r="F3956" s="571">
        <v>7</v>
      </c>
      <c r="G3956" s="572">
        <v>2.0830000000000002</v>
      </c>
      <c r="H3956" s="545">
        <v>14.581000000000001</v>
      </c>
      <c r="I3956" s="554" t="s">
        <v>9218</v>
      </c>
      <c r="J3956" s="554" t="s">
        <v>9219</v>
      </c>
      <c r="K3956" s="554" t="s">
        <v>9219</v>
      </c>
      <c r="L3956" s="537" t="s">
        <v>2354</v>
      </c>
    </row>
    <row r="3957" spans="1:12" x14ac:dyDescent="0.2">
      <c r="A3957" s="570" t="s">
        <v>220</v>
      </c>
      <c r="B3957" s="547" t="s">
        <v>5430</v>
      </c>
      <c r="C3957" s="554" t="s">
        <v>6323</v>
      </c>
      <c r="D3957" s="554" t="s">
        <v>6324</v>
      </c>
      <c r="E3957" s="554"/>
      <c r="F3957" s="571">
        <v>1</v>
      </c>
      <c r="G3957" s="572">
        <v>9.9819999999999993</v>
      </c>
      <c r="H3957" s="545">
        <v>9.9819999999999993</v>
      </c>
      <c r="I3957" s="554" t="s">
        <v>9218</v>
      </c>
      <c r="J3957" s="554" t="s">
        <v>9219</v>
      </c>
      <c r="K3957" s="554" t="s">
        <v>9219</v>
      </c>
      <c r="L3957" s="537" t="s">
        <v>2354</v>
      </c>
    </row>
    <row r="3958" spans="1:12" x14ac:dyDescent="0.2">
      <c r="A3958" s="570" t="s">
        <v>220</v>
      </c>
      <c r="B3958" s="547" t="s">
        <v>5430</v>
      </c>
      <c r="C3958" s="554" t="s">
        <v>3317</v>
      </c>
      <c r="D3958" s="554" t="s">
        <v>5340</v>
      </c>
      <c r="E3958" s="554"/>
      <c r="F3958" s="571">
        <v>10</v>
      </c>
      <c r="G3958" s="572">
        <v>1.796</v>
      </c>
      <c r="H3958" s="545">
        <v>17.96</v>
      </c>
      <c r="I3958" s="554" t="s">
        <v>9218</v>
      </c>
      <c r="J3958" s="554" t="s">
        <v>9219</v>
      </c>
      <c r="K3958" s="554" t="s">
        <v>9219</v>
      </c>
      <c r="L3958" s="537" t="s">
        <v>2354</v>
      </c>
    </row>
    <row r="3959" spans="1:12" x14ac:dyDescent="0.2">
      <c r="A3959" s="570" t="s">
        <v>220</v>
      </c>
      <c r="B3959" s="547" t="s">
        <v>5430</v>
      </c>
      <c r="C3959" s="554" t="s">
        <v>3319</v>
      </c>
      <c r="D3959" s="554" t="s">
        <v>3320</v>
      </c>
      <c r="E3959" s="554"/>
      <c r="F3959" s="571">
        <v>10</v>
      </c>
      <c r="G3959" s="572">
        <v>1.403</v>
      </c>
      <c r="H3959" s="545">
        <v>14.030000000000001</v>
      </c>
      <c r="I3959" s="554" t="s">
        <v>9218</v>
      </c>
      <c r="J3959" s="554" t="s">
        <v>9219</v>
      </c>
      <c r="K3959" s="554" t="s">
        <v>9219</v>
      </c>
      <c r="L3959" s="537" t="s">
        <v>2354</v>
      </c>
    </row>
    <row r="3960" spans="1:12" x14ac:dyDescent="0.2">
      <c r="A3960" s="570" t="s">
        <v>220</v>
      </c>
      <c r="B3960" s="547" t="s">
        <v>5430</v>
      </c>
      <c r="C3960" s="554" t="s">
        <v>6325</v>
      </c>
      <c r="D3960" s="554" t="s">
        <v>6326</v>
      </c>
      <c r="E3960" s="554"/>
      <c r="F3960" s="571">
        <v>2</v>
      </c>
      <c r="G3960" s="572">
        <v>5.0170000000000003</v>
      </c>
      <c r="H3960" s="545">
        <v>10.034000000000001</v>
      </c>
      <c r="I3960" s="554" t="s">
        <v>9218</v>
      </c>
      <c r="J3960" s="554" t="s">
        <v>9219</v>
      </c>
      <c r="K3960" s="554" t="s">
        <v>9219</v>
      </c>
      <c r="L3960" s="537" t="s">
        <v>2354</v>
      </c>
    </row>
    <row r="3961" spans="1:12" x14ac:dyDescent="0.2">
      <c r="A3961" s="570" t="s">
        <v>220</v>
      </c>
      <c r="B3961" s="547" t="s">
        <v>5430</v>
      </c>
      <c r="C3961" s="554" t="s">
        <v>3321</v>
      </c>
      <c r="D3961" s="554" t="s">
        <v>3322</v>
      </c>
      <c r="E3961" s="554"/>
      <c r="F3961" s="571">
        <v>18</v>
      </c>
      <c r="G3961" s="572">
        <v>1.244</v>
      </c>
      <c r="H3961" s="545">
        <v>22.391999999999999</v>
      </c>
      <c r="I3961" s="554" t="s">
        <v>9218</v>
      </c>
      <c r="J3961" s="554" t="s">
        <v>9219</v>
      </c>
      <c r="K3961" s="554" t="s">
        <v>9219</v>
      </c>
      <c r="L3961" s="537" t="s">
        <v>2354</v>
      </c>
    </row>
    <row r="3962" spans="1:12" x14ac:dyDescent="0.2">
      <c r="A3962" s="570" t="s">
        <v>220</v>
      </c>
      <c r="B3962" s="547" t="s">
        <v>5430</v>
      </c>
      <c r="C3962" s="554" t="s">
        <v>3323</v>
      </c>
      <c r="D3962" s="554" t="s">
        <v>3324</v>
      </c>
      <c r="E3962" s="554"/>
      <c r="F3962" s="571">
        <v>51</v>
      </c>
      <c r="G3962" s="572">
        <v>0.64500000000000002</v>
      </c>
      <c r="H3962" s="545">
        <v>32.895000000000003</v>
      </c>
      <c r="I3962" s="554" t="s">
        <v>9218</v>
      </c>
      <c r="J3962" s="554" t="s">
        <v>9219</v>
      </c>
      <c r="K3962" s="554" t="s">
        <v>9219</v>
      </c>
      <c r="L3962" s="537" t="s">
        <v>2354</v>
      </c>
    </row>
    <row r="3963" spans="1:12" x14ac:dyDescent="0.2">
      <c r="A3963" s="570" t="s">
        <v>220</v>
      </c>
      <c r="B3963" s="547" t="s">
        <v>5430</v>
      </c>
      <c r="C3963" s="554" t="s">
        <v>6327</v>
      </c>
      <c r="D3963" s="554" t="s">
        <v>6328</v>
      </c>
      <c r="E3963" s="554"/>
      <c r="F3963" s="571">
        <v>50</v>
      </c>
      <c r="G3963" s="572">
        <v>1.0880000000000001</v>
      </c>
      <c r="H3963" s="545">
        <v>54.400000000000006</v>
      </c>
      <c r="I3963" s="554" t="s">
        <v>9218</v>
      </c>
      <c r="J3963" s="554" t="s">
        <v>9219</v>
      </c>
      <c r="K3963" s="554" t="s">
        <v>9219</v>
      </c>
      <c r="L3963" s="537" t="s">
        <v>2354</v>
      </c>
    </row>
    <row r="3964" spans="1:12" x14ac:dyDescent="0.2">
      <c r="A3964" s="570" t="s">
        <v>220</v>
      </c>
      <c r="B3964" s="547" t="s">
        <v>5430</v>
      </c>
      <c r="C3964" s="554" t="s">
        <v>3325</v>
      </c>
      <c r="D3964" s="554" t="s">
        <v>3326</v>
      </c>
      <c r="E3964" s="554"/>
      <c r="F3964" s="571">
        <v>50</v>
      </c>
      <c r="G3964" s="572">
        <v>0.99399999999999999</v>
      </c>
      <c r="H3964" s="545">
        <v>49.7</v>
      </c>
      <c r="I3964" s="554" t="s">
        <v>9218</v>
      </c>
      <c r="J3964" s="554" t="s">
        <v>9219</v>
      </c>
      <c r="K3964" s="554" t="s">
        <v>9219</v>
      </c>
      <c r="L3964" s="537" t="s">
        <v>2354</v>
      </c>
    </row>
    <row r="3965" spans="1:12" x14ac:dyDescent="0.2">
      <c r="A3965" s="570" t="s">
        <v>220</v>
      </c>
      <c r="B3965" s="547" t="s">
        <v>5430</v>
      </c>
      <c r="C3965" s="554" t="s">
        <v>6329</v>
      </c>
      <c r="D3965" s="554" t="s">
        <v>6330</v>
      </c>
      <c r="E3965" s="554"/>
      <c r="F3965" s="571">
        <v>37</v>
      </c>
      <c r="G3965" s="572">
        <v>0.61199999999999999</v>
      </c>
      <c r="H3965" s="545">
        <v>22.643999999999998</v>
      </c>
      <c r="I3965" s="554" t="s">
        <v>9218</v>
      </c>
      <c r="J3965" s="554" t="s">
        <v>9219</v>
      </c>
      <c r="K3965" s="554" t="s">
        <v>9219</v>
      </c>
      <c r="L3965" s="537" t="s">
        <v>2354</v>
      </c>
    </row>
    <row r="3966" spans="1:12" x14ac:dyDescent="0.2">
      <c r="A3966" s="570" t="s">
        <v>220</v>
      </c>
      <c r="B3966" s="547" t="s">
        <v>5430</v>
      </c>
      <c r="C3966" s="554" t="s">
        <v>8803</v>
      </c>
      <c r="D3966" s="554" t="s">
        <v>6332</v>
      </c>
      <c r="E3966" s="554"/>
      <c r="F3966" s="571">
        <v>4</v>
      </c>
      <c r="G3966" s="572">
        <v>0.67300000000000004</v>
      </c>
      <c r="H3966" s="545">
        <v>2.6920000000000002</v>
      </c>
      <c r="I3966" s="554" t="s">
        <v>9218</v>
      </c>
      <c r="J3966" s="554" t="s">
        <v>9219</v>
      </c>
      <c r="K3966" s="554" t="s">
        <v>9219</v>
      </c>
      <c r="L3966" s="537" t="s">
        <v>2354</v>
      </c>
    </row>
    <row r="3967" spans="1:12" x14ac:dyDescent="0.2">
      <c r="A3967" s="570" t="s">
        <v>220</v>
      </c>
      <c r="B3967" s="547" t="s">
        <v>5430</v>
      </c>
      <c r="C3967" s="554" t="s">
        <v>6333</v>
      </c>
      <c r="D3967" s="554" t="s">
        <v>6334</v>
      </c>
      <c r="E3967" s="554"/>
      <c r="F3967" s="571">
        <v>10</v>
      </c>
      <c r="G3967" s="572">
        <v>1.6160000000000001</v>
      </c>
      <c r="H3967" s="545">
        <v>16.16</v>
      </c>
      <c r="I3967" s="554" t="s">
        <v>9218</v>
      </c>
      <c r="J3967" s="554" t="s">
        <v>9219</v>
      </c>
      <c r="K3967" s="554" t="s">
        <v>9219</v>
      </c>
      <c r="L3967" s="537" t="s">
        <v>2354</v>
      </c>
    </row>
    <row r="3968" spans="1:12" x14ac:dyDescent="0.2">
      <c r="A3968" s="570" t="s">
        <v>220</v>
      </c>
      <c r="B3968" s="547" t="s">
        <v>5430</v>
      </c>
      <c r="C3968" s="554" t="s">
        <v>3329</v>
      </c>
      <c r="D3968" s="554" t="s">
        <v>3330</v>
      </c>
      <c r="E3968" s="554"/>
      <c r="F3968" s="571">
        <v>25</v>
      </c>
      <c r="G3968" s="572">
        <v>1.0629999999999999</v>
      </c>
      <c r="H3968" s="545">
        <v>26.574999999999999</v>
      </c>
      <c r="I3968" s="554" t="s">
        <v>9218</v>
      </c>
      <c r="J3968" s="554" t="s">
        <v>9219</v>
      </c>
      <c r="K3968" s="554" t="s">
        <v>9219</v>
      </c>
      <c r="L3968" s="537" t="s">
        <v>2354</v>
      </c>
    </row>
    <row r="3969" spans="1:12" x14ac:dyDescent="0.2">
      <c r="A3969" s="570" t="s">
        <v>220</v>
      </c>
      <c r="B3969" s="547" t="s">
        <v>5430</v>
      </c>
      <c r="C3969" s="554" t="s">
        <v>6335</v>
      </c>
      <c r="D3969" s="554" t="s">
        <v>6336</v>
      </c>
      <c r="E3969" s="554"/>
      <c r="F3969" s="571">
        <v>54</v>
      </c>
      <c r="G3969" s="572">
        <v>0.38300000000000001</v>
      </c>
      <c r="H3969" s="545">
        <v>20.682000000000002</v>
      </c>
      <c r="I3969" s="554" t="s">
        <v>9218</v>
      </c>
      <c r="J3969" s="554" t="s">
        <v>9219</v>
      </c>
      <c r="K3969" s="554" t="s">
        <v>9219</v>
      </c>
      <c r="L3969" s="537" t="s">
        <v>2354</v>
      </c>
    </row>
    <row r="3970" spans="1:12" x14ac:dyDescent="0.2">
      <c r="A3970" s="570" t="s">
        <v>220</v>
      </c>
      <c r="B3970" s="547" t="s">
        <v>5430</v>
      </c>
      <c r="C3970" s="554" t="s">
        <v>6337</v>
      </c>
      <c r="D3970" s="554" t="s">
        <v>6338</v>
      </c>
      <c r="E3970" s="554"/>
      <c r="F3970" s="571">
        <v>42</v>
      </c>
      <c r="G3970" s="572">
        <v>0.371</v>
      </c>
      <c r="H3970" s="545">
        <v>15.582000000000001</v>
      </c>
      <c r="I3970" s="554" t="s">
        <v>9218</v>
      </c>
      <c r="J3970" s="554" t="s">
        <v>9219</v>
      </c>
      <c r="K3970" s="554" t="s">
        <v>9219</v>
      </c>
      <c r="L3970" s="537" t="s">
        <v>2354</v>
      </c>
    </row>
    <row r="3971" spans="1:12" x14ac:dyDescent="0.2">
      <c r="A3971" s="570" t="s">
        <v>220</v>
      </c>
      <c r="B3971" s="547" t="s">
        <v>5430</v>
      </c>
      <c r="C3971" s="554" t="s">
        <v>6339</v>
      </c>
      <c r="D3971" s="554" t="s">
        <v>6340</v>
      </c>
      <c r="E3971" s="554"/>
      <c r="F3971" s="571">
        <v>51</v>
      </c>
      <c r="G3971" s="572">
        <v>0.98299999999999998</v>
      </c>
      <c r="H3971" s="545">
        <v>50.133000000000003</v>
      </c>
      <c r="I3971" s="554" t="s">
        <v>9218</v>
      </c>
      <c r="J3971" s="554" t="s">
        <v>9219</v>
      </c>
      <c r="K3971" s="554" t="s">
        <v>9219</v>
      </c>
      <c r="L3971" s="537" t="s">
        <v>2354</v>
      </c>
    </row>
    <row r="3972" spans="1:12" x14ac:dyDescent="0.2">
      <c r="A3972" s="570" t="s">
        <v>220</v>
      </c>
      <c r="B3972" s="547" t="s">
        <v>5430</v>
      </c>
      <c r="C3972" s="554" t="s">
        <v>3337</v>
      </c>
      <c r="D3972" s="554" t="s">
        <v>3338</v>
      </c>
      <c r="E3972" s="554"/>
      <c r="F3972" s="571">
        <v>19</v>
      </c>
      <c r="G3972" s="572">
        <v>0.75700000000000001</v>
      </c>
      <c r="H3972" s="545">
        <v>14.383000000000001</v>
      </c>
      <c r="I3972" s="554" t="s">
        <v>9218</v>
      </c>
      <c r="J3972" s="554" t="s">
        <v>9219</v>
      </c>
      <c r="K3972" s="554" t="s">
        <v>9219</v>
      </c>
      <c r="L3972" s="537" t="s">
        <v>2354</v>
      </c>
    </row>
    <row r="3973" spans="1:12" x14ac:dyDescent="0.2">
      <c r="A3973" s="570" t="s">
        <v>220</v>
      </c>
      <c r="B3973" s="547" t="s">
        <v>5430</v>
      </c>
      <c r="C3973" s="554" t="s">
        <v>3339</v>
      </c>
      <c r="D3973" s="554" t="s">
        <v>3340</v>
      </c>
      <c r="E3973" s="554"/>
      <c r="F3973" s="571">
        <v>20</v>
      </c>
      <c r="G3973" s="572">
        <v>1.02</v>
      </c>
      <c r="H3973" s="545">
        <v>20.399999999999999</v>
      </c>
      <c r="I3973" s="554" t="s">
        <v>9218</v>
      </c>
      <c r="J3973" s="554" t="s">
        <v>9219</v>
      </c>
      <c r="K3973" s="554" t="s">
        <v>9219</v>
      </c>
      <c r="L3973" s="537" t="s">
        <v>2354</v>
      </c>
    </row>
    <row r="3974" spans="1:12" x14ac:dyDescent="0.2">
      <c r="A3974" s="570" t="s">
        <v>220</v>
      </c>
      <c r="B3974" s="547" t="s">
        <v>5430</v>
      </c>
      <c r="C3974" s="554" t="s">
        <v>6341</v>
      </c>
      <c r="D3974" s="554" t="s">
        <v>6342</v>
      </c>
      <c r="E3974" s="554"/>
      <c r="F3974" s="571">
        <v>4</v>
      </c>
      <c r="G3974" s="572">
        <v>5.7290000000000001</v>
      </c>
      <c r="H3974" s="545">
        <v>22.916</v>
      </c>
      <c r="I3974" s="554" t="s">
        <v>9218</v>
      </c>
      <c r="J3974" s="554" t="s">
        <v>9219</v>
      </c>
      <c r="K3974" s="554" t="s">
        <v>9219</v>
      </c>
      <c r="L3974" s="537" t="s">
        <v>2354</v>
      </c>
    </row>
    <row r="3975" spans="1:12" x14ac:dyDescent="0.2">
      <c r="A3975" s="570" t="s">
        <v>220</v>
      </c>
      <c r="B3975" s="547" t="s">
        <v>5430</v>
      </c>
      <c r="C3975" s="554" t="s">
        <v>6343</v>
      </c>
      <c r="D3975" s="554" t="s">
        <v>6344</v>
      </c>
      <c r="E3975" s="554"/>
      <c r="F3975" s="571">
        <v>1</v>
      </c>
      <c r="G3975" s="572">
        <v>7.9390000000000001</v>
      </c>
      <c r="H3975" s="545">
        <v>7.9390000000000001</v>
      </c>
      <c r="I3975" s="554" t="s">
        <v>9218</v>
      </c>
      <c r="J3975" s="554" t="s">
        <v>9219</v>
      </c>
      <c r="K3975" s="554" t="s">
        <v>9219</v>
      </c>
      <c r="L3975" s="537" t="s">
        <v>2354</v>
      </c>
    </row>
    <row r="3976" spans="1:12" x14ac:dyDescent="0.2">
      <c r="A3976" s="570" t="s">
        <v>220</v>
      </c>
      <c r="B3976" s="547" t="s">
        <v>5430</v>
      </c>
      <c r="C3976" s="554" t="s">
        <v>3349</v>
      </c>
      <c r="D3976" s="554" t="s">
        <v>3350</v>
      </c>
      <c r="E3976" s="554"/>
      <c r="F3976" s="571">
        <v>29</v>
      </c>
      <c r="G3976" s="572">
        <v>1.4370000000000001</v>
      </c>
      <c r="H3976" s="545">
        <v>41.673000000000002</v>
      </c>
      <c r="I3976" s="554" t="s">
        <v>9218</v>
      </c>
      <c r="J3976" s="554" t="s">
        <v>9219</v>
      </c>
      <c r="K3976" s="554" t="s">
        <v>9219</v>
      </c>
      <c r="L3976" s="537" t="s">
        <v>2354</v>
      </c>
    </row>
    <row r="3977" spans="1:12" x14ac:dyDescent="0.2">
      <c r="A3977" s="570" t="s">
        <v>220</v>
      </c>
      <c r="B3977" s="547" t="s">
        <v>5430</v>
      </c>
      <c r="C3977" s="554" t="s">
        <v>6345</v>
      </c>
      <c r="D3977" s="554" t="s">
        <v>9600</v>
      </c>
      <c r="E3977" s="554"/>
      <c r="F3977" s="571">
        <v>8</v>
      </c>
      <c r="G3977" s="572">
        <v>7.0730000000000004</v>
      </c>
      <c r="H3977" s="545">
        <v>56.584000000000003</v>
      </c>
      <c r="I3977" s="554" t="s">
        <v>9218</v>
      </c>
      <c r="J3977" s="554" t="s">
        <v>9219</v>
      </c>
      <c r="K3977" s="554" t="s">
        <v>9219</v>
      </c>
      <c r="L3977" s="537" t="s">
        <v>2354</v>
      </c>
    </row>
    <row r="3978" spans="1:12" x14ac:dyDescent="0.2">
      <c r="A3978" s="570" t="s">
        <v>220</v>
      </c>
      <c r="B3978" s="547" t="s">
        <v>5430</v>
      </c>
      <c r="C3978" s="554" t="s">
        <v>6347</v>
      </c>
      <c r="D3978" s="554" t="s">
        <v>6348</v>
      </c>
      <c r="E3978" s="554"/>
      <c r="F3978" s="571">
        <v>10</v>
      </c>
      <c r="G3978" s="572">
        <v>19.492000000000001</v>
      </c>
      <c r="H3978" s="545">
        <v>194.92000000000002</v>
      </c>
      <c r="I3978" s="554" t="s">
        <v>9218</v>
      </c>
      <c r="J3978" s="554" t="s">
        <v>9219</v>
      </c>
      <c r="K3978" s="554" t="s">
        <v>9219</v>
      </c>
      <c r="L3978" s="537" t="s">
        <v>2354</v>
      </c>
    </row>
    <row r="3979" spans="1:12" x14ac:dyDescent="0.2">
      <c r="A3979" s="570" t="s">
        <v>220</v>
      </c>
      <c r="B3979" s="547" t="s">
        <v>5430</v>
      </c>
      <c r="C3979" s="554" t="s">
        <v>6349</v>
      </c>
      <c r="D3979" s="554" t="s">
        <v>6350</v>
      </c>
      <c r="E3979" s="554"/>
      <c r="F3979" s="571">
        <v>30</v>
      </c>
      <c r="G3979" s="572">
        <v>0.36699999999999999</v>
      </c>
      <c r="H3979" s="545">
        <v>11.01</v>
      </c>
      <c r="I3979" s="554" t="s">
        <v>9218</v>
      </c>
      <c r="J3979" s="554" t="s">
        <v>9219</v>
      </c>
      <c r="K3979" s="554" t="s">
        <v>9219</v>
      </c>
      <c r="L3979" s="537" t="s">
        <v>2354</v>
      </c>
    </row>
    <row r="3980" spans="1:12" x14ac:dyDescent="0.2">
      <c r="A3980" s="570" t="s">
        <v>220</v>
      </c>
      <c r="B3980" s="547" t="s">
        <v>5430</v>
      </c>
      <c r="C3980" s="554" t="s">
        <v>3361</v>
      </c>
      <c r="D3980" s="554" t="s">
        <v>3362</v>
      </c>
      <c r="E3980" s="554"/>
      <c r="F3980" s="571">
        <v>21</v>
      </c>
      <c r="G3980" s="572">
        <v>5.7160000000000002</v>
      </c>
      <c r="H3980" s="545">
        <v>120.036</v>
      </c>
      <c r="I3980" s="554" t="s">
        <v>9218</v>
      </c>
      <c r="J3980" s="554" t="s">
        <v>9219</v>
      </c>
      <c r="K3980" s="554" t="s">
        <v>9219</v>
      </c>
      <c r="L3980" s="537" t="s">
        <v>2354</v>
      </c>
    </row>
    <row r="3981" spans="1:12" x14ac:dyDescent="0.2">
      <c r="A3981" s="570" t="s">
        <v>220</v>
      </c>
      <c r="B3981" s="547" t="s">
        <v>5430</v>
      </c>
      <c r="C3981" s="554" t="s">
        <v>3363</v>
      </c>
      <c r="D3981" s="554" t="s">
        <v>3364</v>
      </c>
      <c r="E3981" s="554"/>
      <c r="F3981" s="571">
        <v>36</v>
      </c>
      <c r="G3981" s="572">
        <v>1.2450000000000001</v>
      </c>
      <c r="H3981" s="545">
        <v>44.820000000000007</v>
      </c>
      <c r="I3981" s="554" t="s">
        <v>9218</v>
      </c>
      <c r="J3981" s="554" t="s">
        <v>9219</v>
      </c>
      <c r="K3981" s="554" t="s">
        <v>9219</v>
      </c>
      <c r="L3981" s="537" t="s">
        <v>2354</v>
      </c>
    </row>
    <row r="3982" spans="1:12" x14ac:dyDescent="0.2">
      <c r="A3982" s="570" t="s">
        <v>220</v>
      </c>
      <c r="B3982" s="547" t="s">
        <v>5430</v>
      </c>
      <c r="C3982" s="554" t="s">
        <v>3399</v>
      </c>
      <c r="D3982" s="554" t="s">
        <v>8804</v>
      </c>
      <c r="E3982" s="554"/>
      <c r="F3982" s="571">
        <v>16</v>
      </c>
      <c r="G3982" s="572">
        <v>1.65</v>
      </c>
      <c r="H3982" s="545">
        <v>26.4</v>
      </c>
      <c r="I3982" s="554" t="s">
        <v>9218</v>
      </c>
      <c r="J3982" s="554" t="s">
        <v>9219</v>
      </c>
      <c r="K3982" s="554" t="s">
        <v>9219</v>
      </c>
      <c r="L3982" s="537" t="s">
        <v>2354</v>
      </c>
    </row>
    <row r="3983" spans="1:12" x14ac:dyDescent="0.2">
      <c r="A3983" s="570" t="s">
        <v>220</v>
      </c>
      <c r="B3983" s="547" t="s">
        <v>5430</v>
      </c>
      <c r="C3983" s="554" t="s">
        <v>6371</v>
      </c>
      <c r="D3983" s="554" t="s">
        <v>8805</v>
      </c>
      <c r="E3983" s="554"/>
      <c r="F3983" s="571">
        <v>10</v>
      </c>
      <c r="G3983" s="572">
        <v>0.95299999999999996</v>
      </c>
      <c r="H3983" s="545">
        <v>9.5299999999999994</v>
      </c>
      <c r="I3983" s="554" t="s">
        <v>9218</v>
      </c>
      <c r="J3983" s="554" t="s">
        <v>9219</v>
      </c>
      <c r="K3983" s="554" t="s">
        <v>9219</v>
      </c>
      <c r="L3983" s="537" t="s">
        <v>2354</v>
      </c>
    </row>
    <row r="3984" spans="1:12" x14ac:dyDescent="0.2">
      <c r="A3984" s="570" t="s">
        <v>220</v>
      </c>
      <c r="B3984" s="547" t="s">
        <v>5430</v>
      </c>
      <c r="C3984" s="554" t="s">
        <v>3465</v>
      </c>
      <c r="D3984" s="554" t="s">
        <v>8806</v>
      </c>
      <c r="E3984" s="554"/>
      <c r="F3984" s="571">
        <v>2</v>
      </c>
      <c r="G3984" s="572">
        <v>6.3949999999999996</v>
      </c>
      <c r="H3984" s="545">
        <v>12.79</v>
      </c>
      <c r="I3984" s="554" t="s">
        <v>9218</v>
      </c>
      <c r="J3984" s="554" t="s">
        <v>9219</v>
      </c>
      <c r="K3984" s="554" t="s">
        <v>9219</v>
      </c>
      <c r="L3984" s="537" t="s">
        <v>2354</v>
      </c>
    </row>
    <row r="3985" spans="1:12" x14ac:dyDescent="0.2">
      <c r="A3985" s="570" t="s">
        <v>220</v>
      </c>
      <c r="B3985" s="547" t="s">
        <v>5430</v>
      </c>
      <c r="C3985" s="554" t="s">
        <v>6453</v>
      </c>
      <c r="D3985" s="554" t="s">
        <v>6454</v>
      </c>
      <c r="E3985" s="554"/>
      <c r="F3985" s="571">
        <v>7</v>
      </c>
      <c r="G3985" s="572">
        <v>11.196</v>
      </c>
      <c r="H3985" s="545">
        <v>78.372</v>
      </c>
      <c r="I3985" s="554" t="s">
        <v>9218</v>
      </c>
      <c r="J3985" s="554" t="s">
        <v>9219</v>
      </c>
      <c r="K3985" s="554" t="s">
        <v>9219</v>
      </c>
      <c r="L3985" s="537" t="s">
        <v>2354</v>
      </c>
    </row>
    <row r="3986" spans="1:12" x14ac:dyDescent="0.2">
      <c r="A3986" s="570" t="s">
        <v>220</v>
      </c>
      <c r="B3986" s="547" t="s">
        <v>5430</v>
      </c>
      <c r="C3986" s="554" t="s">
        <v>6455</v>
      </c>
      <c r="D3986" s="554" t="s">
        <v>8807</v>
      </c>
      <c r="E3986" s="554"/>
      <c r="F3986" s="571">
        <v>4</v>
      </c>
      <c r="G3986" s="572">
        <v>14.2</v>
      </c>
      <c r="H3986" s="545">
        <v>56.8</v>
      </c>
      <c r="I3986" s="554" t="s">
        <v>9218</v>
      </c>
      <c r="J3986" s="554" t="s">
        <v>9219</v>
      </c>
      <c r="K3986" s="554" t="s">
        <v>9219</v>
      </c>
      <c r="L3986" s="537" t="s">
        <v>2354</v>
      </c>
    </row>
    <row r="3987" spans="1:12" x14ac:dyDescent="0.2">
      <c r="A3987" s="570" t="s">
        <v>220</v>
      </c>
      <c r="B3987" s="547" t="s">
        <v>5430</v>
      </c>
      <c r="C3987" s="554" t="s">
        <v>6457</v>
      </c>
      <c r="D3987" s="554" t="s">
        <v>6458</v>
      </c>
      <c r="E3987" s="554"/>
      <c r="F3987" s="571">
        <v>21</v>
      </c>
      <c r="G3987" s="572">
        <v>1.629</v>
      </c>
      <c r="H3987" s="545">
        <v>34.209000000000003</v>
      </c>
      <c r="I3987" s="554" t="s">
        <v>9218</v>
      </c>
      <c r="J3987" s="554" t="s">
        <v>9219</v>
      </c>
      <c r="K3987" s="554" t="s">
        <v>9219</v>
      </c>
      <c r="L3987" s="537" t="s">
        <v>2354</v>
      </c>
    </row>
    <row r="3988" spans="1:12" x14ac:dyDescent="0.2">
      <c r="A3988" s="570" t="s">
        <v>220</v>
      </c>
      <c r="B3988" s="547" t="s">
        <v>5430</v>
      </c>
      <c r="C3988" s="554" t="s">
        <v>3501</v>
      </c>
      <c r="D3988" s="554" t="s">
        <v>3502</v>
      </c>
      <c r="E3988" s="554"/>
      <c r="F3988" s="571">
        <v>5</v>
      </c>
      <c r="G3988" s="572">
        <v>4.6280000000000001</v>
      </c>
      <c r="H3988" s="545">
        <v>23.14</v>
      </c>
      <c r="I3988" s="554" t="s">
        <v>9218</v>
      </c>
      <c r="J3988" s="554" t="s">
        <v>9219</v>
      </c>
      <c r="K3988" s="554" t="s">
        <v>9219</v>
      </c>
      <c r="L3988" s="537" t="s">
        <v>2354</v>
      </c>
    </row>
    <row r="3989" spans="1:12" x14ac:dyDescent="0.2">
      <c r="A3989" s="570" t="s">
        <v>220</v>
      </c>
      <c r="B3989" s="547" t="s">
        <v>5430</v>
      </c>
      <c r="C3989" s="554" t="s">
        <v>6459</v>
      </c>
      <c r="D3989" s="554" t="s">
        <v>6460</v>
      </c>
      <c r="E3989" s="554"/>
      <c r="F3989" s="571">
        <v>10</v>
      </c>
      <c r="G3989" s="572">
        <v>1.2110000000000001</v>
      </c>
      <c r="H3989" s="545">
        <v>12.110000000000001</v>
      </c>
      <c r="I3989" s="554" t="s">
        <v>9218</v>
      </c>
      <c r="J3989" s="554" t="s">
        <v>9219</v>
      </c>
      <c r="K3989" s="554" t="s">
        <v>9219</v>
      </c>
      <c r="L3989" s="537" t="s">
        <v>2354</v>
      </c>
    </row>
    <row r="3990" spans="1:12" x14ac:dyDescent="0.2">
      <c r="A3990" s="570" t="s">
        <v>220</v>
      </c>
      <c r="B3990" s="547" t="s">
        <v>5430</v>
      </c>
      <c r="C3990" s="554" t="s">
        <v>3503</v>
      </c>
      <c r="D3990" s="554" t="s">
        <v>3504</v>
      </c>
      <c r="E3990" s="554"/>
      <c r="F3990" s="571">
        <v>29</v>
      </c>
      <c r="G3990" s="572">
        <v>2.23</v>
      </c>
      <c r="H3990" s="545">
        <v>64.67</v>
      </c>
      <c r="I3990" s="554" t="s">
        <v>9218</v>
      </c>
      <c r="J3990" s="554" t="s">
        <v>9219</v>
      </c>
      <c r="K3990" s="554" t="s">
        <v>9219</v>
      </c>
      <c r="L3990" s="537" t="s">
        <v>2354</v>
      </c>
    </row>
    <row r="3991" spans="1:12" x14ac:dyDescent="0.2">
      <c r="A3991" s="570" t="s">
        <v>220</v>
      </c>
      <c r="B3991" s="547" t="s">
        <v>5430</v>
      </c>
      <c r="C3991" s="554" t="s">
        <v>6461</v>
      </c>
      <c r="D3991" s="554" t="s">
        <v>6462</v>
      </c>
      <c r="E3991" s="554"/>
      <c r="F3991" s="571">
        <v>4</v>
      </c>
      <c r="G3991" s="572">
        <v>0.28399999999999997</v>
      </c>
      <c r="H3991" s="545">
        <v>1.1359999999999999</v>
      </c>
      <c r="I3991" s="554" t="s">
        <v>9218</v>
      </c>
      <c r="J3991" s="554" t="s">
        <v>9219</v>
      </c>
      <c r="K3991" s="554" t="s">
        <v>9219</v>
      </c>
      <c r="L3991" s="537" t="s">
        <v>2354</v>
      </c>
    </row>
    <row r="3992" spans="1:12" x14ac:dyDescent="0.2">
      <c r="A3992" s="570" t="s">
        <v>220</v>
      </c>
      <c r="B3992" s="547" t="s">
        <v>5430</v>
      </c>
      <c r="C3992" s="554" t="s">
        <v>6463</v>
      </c>
      <c r="D3992" s="554" t="s">
        <v>6464</v>
      </c>
      <c r="E3992" s="554"/>
      <c r="F3992" s="571">
        <v>19</v>
      </c>
      <c r="G3992" s="572">
        <v>1.018</v>
      </c>
      <c r="H3992" s="545">
        <v>19.341999999999999</v>
      </c>
      <c r="I3992" s="554" t="s">
        <v>9218</v>
      </c>
      <c r="J3992" s="554" t="s">
        <v>9219</v>
      </c>
      <c r="K3992" s="554" t="s">
        <v>9219</v>
      </c>
      <c r="L3992" s="537" t="s">
        <v>2354</v>
      </c>
    </row>
    <row r="3993" spans="1:12" x14ac:dyDescent="0.2">
      <c r="A3993" s="570" t="s">
        <v>220</v>
      </c>
      <c r="B3993" s="547" t="s">
        <v>5430</v>
      </c>
      <c r="C3993" s="554" t="s">
        <v>3505</v>
      </c>
      <c r="D3993" s="554" t="s">
        <v>3506</v>
      </c>
      <c r="E3993" s="554"/>
      <c r="F3993" s="571">
        <v>3</v>
      </c>
      <c r="G3993" s="572">
        <v>11.22</v>
      </c>
      <c r="H3993" s="545">
        <v>33.660000000000004</v>
      </c>
      <c r="I3993" s="554" t="s">
        <v>9218</v>
      </c>
      <c r="J3993" s="554" t="s">
        <v>9219</v>
      </c>
      <c r="K3993" s="554" t="s">
        <v>9219</v>
      </c>
      <c r="L3993" s="537" t="s">
        <v>2354</v>
      </c>
    </row>
    <row r="3994" spans="1:12" x14ac:dyDescent="0.2">
      <c r="A3994" s="570" t="s">
        <v>220</v>
      </c>
      <c r="B3994" s="547" t="s">
        <v>5430</v>
      </c>
      <c r="C3994" s="554" t="s">
        <v>6465</v>
      </c>
      <c r="D3994" s="554" t="s">
        <v>3536</v>
      </c>
      <c r="E3994" s="554"/>
      <c r="F3994" s="571">
        <v>5</v>
      </c>
      <c r="G3994" s="572">
        <v>8.67</v>
      </c>
      <c r="H3994" s="545">
        <v>43.35</v>
      </c>
      <c r="I3994" s="554" t="s">
        <v>9218</v>
      </c>
      <c r="J3994" s="554" t="s">
        <v>9219</v>
      </c>
      <c r="K3994" s="554" t="s">
        <v>9219</v>
      </c>
      <c r="L3994" s="537" t="s">
        <v>2354</v>
      </c>
    </row>
    <row r="3995" spans="1:12" x14ac:dyDescent="0.2">
      <c r="A3995" s="570" t="s">
        <v>220</v>
      </c>
      <c r="B3995" s="547" t="s">
        <v>5430</v>
      </c>
      <c r="C3995" s="554" t="s">
        <v>6466</v>
      </c>
      <c r="D3995" s="554" t="s">
        <v>6467</v>
      </c>
      <c r="E3995" s="554"/>
      <c r="F3995" s="571">
        <v>12</v>
      </c>
      <c r="G3995" s="572">
        <v>2.6779999999999999</v>
      </c>
      <c r="H3995" s="545">
        <v>32.135999999999996</v>
      </c>
      <c r="I3995" s="554" t="s">
        <v>9218</v>
      </c>
      <c r="J3995" s="554" t="s">
        <v>9219</v>
      </c>
      <c r="K3995" s="554" t="s">
        <v>9219</v>
      </c>
      <c r="L3995" s="537" t="s">
        <v>2354</v>
      </c>
    </row>
    <row r="3996" spans="1:12" x14ac:dyDescent="0.2">
      <c r="A3996" s="570" t="s">
        <v>220</v>
      </c>
      <c r="B3996" s="547" t="s">
        <v>5430</v>
      </c>
      <c r="C3996" s="554" t="s">
        <v>6468</v>
      </c>
      <c r="D3996" s="554" t="s">
        <v>8808</v>
      </c>
      <c r="E3996" s="554"/>
      <c r="F3996" s="571">
        <v>1</v>
      </c>
      <c r="G3996" s="572">
        <v>4.1079999999999997</v>
      </c>
      <c r="H3996" s="545">
        <v>4.1079999999999997</v>
      </c>
      <c r="I3996" s="554" t="s">
        <v>9218</v>
      </c>
      <c r="J3996" s="554" t="s">
        <v>9219</v>
      </c>
      <c r="K3996" s="554" t="s">
        <v>9219</v>
      </c>
      <c r="L3996" s="537" t="s">
        <v>2354</v>
      </c>
    </row>
    <row r="3997" spans="1:12" x14ac:dyDescent="0.2">
      <c r="A3997" s="570" t="s">
        <v>220</v>
      </c>
      <c r="B3997" s="547" t="s">
        <v>5430</v>
      </c>
      <c r="C3997" s="554" t="s">
        <v>6470</v>
      </c>
      <c r="D3997" s="554" t="s">
        <v>6471</v>
      </c>
      <c r="E3997" s="554"/>
      <c r="F3997" s="571">
        <v>14</v>
      </c>
      <c r="G3997" s="572">
        <v>4.2</v>
      </c>
      <c r="H3997" s="545">
        <v>58.800000000000004</v>
      </c>
      <c r="I3997" s="554" t="s">
        <v>9218</v>
      </c>
      <c r="J3997" s="554" t="s">
        <v>9219</v>
      </c>
      <c r="K3997" s="554" t="s">
        <v>9219</v>
      </c>
      <c r="L3997" s="537" t="s">
        <v>2354</v>
      </c>
    </row>
    <row r="3998" spans="1:12" x14ac:dyDescent="0.2">
      <c r="A3998" s="570" t="s">
        <v>220</v>
      </c>
      <c r="B3998" s="547" t="s">
        <v>5430</v>
      </c>
      <c r="C3998" s="554" t="s">
        <v>6472</v>
      </c>
      <c r="D3998" s="554" t="s">
        <v>6473</v>
      </c>
      <c r="E3998" s="554"/>
      <c r="F3998" s="571">
        <v>9</v>
      </c>
      <c r="G3998" s="572">
        <v>4.6749999999999998</v>
      </c>
      <c r="H3998" s="545">
        <v>42.074999999999996</v>
      </c>
      <c r="I3998" s="554" t="s">
        <v>9218</v>
      </c>
      <c r="J3998" s="554" t="s">
        <v>9219</v>
      </c>
      <c r="K3998" s="554" t="s">
        <v>9219</v>
      </c>
      <c r="L3998" s="537" t="s">
        <v>2354</v>
      </c>
    </row>
    <row r="3999" spans="1:12" x14ac:dyDescent="0.2">
      <c r="A3999" s="570" t="s">
        <v>220</v>
      </c>
      <c r="B3999" s="547" t="s">
        <v>5430</v>
      </c>
      <c r="C3999" s="554" t="s">
        <v>3521</v>
      </c>
      <c r="D3999" s="554" t="s">
        <v>3522</v>
      </c>
      <c r="E3999" s="554"/>
      <c r="F3999" s="571">
        <v>1</v>
      </c>
      <c r="G3999" s="572">
        <v>4.0460000000000003</v>
      </c>
      <c r="H3999" s="545">
        <v>4.0460000000000003</v>
      </c>
      <c r="I3999" s="554" t="s">
        <v>9218</v>
      </c>
      <c r="J3999" s="554" t="s">
        <v>9219</v>
      </c>
      <c r="K3999" s="554" t="s">
        <v>9219</v>
      </c>
      <c r="L3999" s="537" t="s">
        <v>2354</v>
      </c>
    </row>
    <row r="4000" spans="1:12" x14ac:dyDescent="0.2">
      <c r="A4000" s="570" t="s">
        <v>220</v>
      </c>
      <c r="B4000" s="547" t="s">
        <v>5430</v>
      </c>
      <c r="C4000" s="554" t="s">
        <v>3523</v>
      </c>
      <c r="D4000" s="554" t="s">
        <v>3524</v>
      </c>
      <c r="E4000" s="554"/>
      <c r="F4000" s="571">
        <v>10</v>
      </c>
      <c r="G4000" s="572">
        <v>1.296</v>
      </c>
      <c r="H4000" s="545">
        <v>12.96</v>
      </c>
      <c r="I4000" s="554" t="s">
        <v>9218</v>
      </c>
      <c r="J4000" s="554" t="s">
        <v>9219</v>
      </c>
      <c r="K4000" s="554" t="s">
        <v>9219</v>
      </c>
      <c r="L4000" s="537" t="s">
        <v>2354</v>
      </c>
    </row>
    <row r="4001" spans="1:12" x14ac:dyDescent="0.2">
      <c r="A4001" s="570" t="s">
        <v>220</v>
      </c>
      <c r="B4001" s="547" t="s">
        <v>5430</v>
      </c>
      <c r="C4001" s="554" t="s">
        <v>3525</v>
      </c>
      <c r="D4001" s="554" t="s">
        <v>3526</v>
      </c>
      <c r="E4001" s="554"/>
      <c r="F4001" s="571">
        <v>9</v>
      </c>
      <c r="G4001" s="572">
        <v>0.80800000000000005</v>
      </c>
      <c r="H4001" s="545">
        <v>7.2720000000000002</v>
      </c>
      <c r="I4001" s="554" t="s">
        <v>9218</v>
      </c>
      <c r="J4001" s="554" t="s">
        <v>9219</v>
      </c>
      <c r="K4001" s="554" t="s">
        <v>9219</v>
      </c>
      <c r="L4001" s="537" t="s">
        <v>2354</v>
      </c>
    </row>
    <row r="4002" spans="1:12" x14ac:dyDescent="0.2">
      <c r="A4002" s="570" t="s">
        <v>220</v>
      </c>
      <c r="B4002" s="547" t="s">
        <v>5430</v>
      </c>
      <c r="C4002" s="554" t="s">
        <v>3527</v>
      </c>
      <c r="D4002" s="554" t="s">
        <v>3528</v>
      </c>
      <c r="E4002" s="554"/>
      <c r="F4002" s="571">
        <v>5</v>
      </c>
      <c r="G4002" s="572">
        <v>1.0660000000000001</v>
      </c>
      <c r="H4002" s="545">
        <v>5.33</v>
      </c>
      <c r="I4002" s="554" t="s">
        <v>9218</v>
      </c>
      <c r="J4002" s="554" t="s">
        <v>9219</v>
      </c>
      <c r="K4002" s="554" t="s">
        <v>9219</v>
      </c>
      <c r="L4002" s="537" t="s">
        <v>2354</v>
      </c>
    </row>
    <row r="4003" spans="1:12" x14ac:dyDescent="0.2">
      <c r="A4003" s="570" t="s">
        <v>220</v>
      </c>
      <c r="B4003" s="547" t="s">
        <v>5430</v>
      </c>
      <c r="C4003" s="554" t="s">
        <v>3529</v>
      </c>
      <c r="D4003" s="554" t="s">
        <v>8809</v>
      </c>
      <c r="E4003" s="554"/>
      <c r="F4003" s="571">
        <v>6</v>
      </c>
      <c r="G4003" s="572">
        <v>3.97</v>
      </c>
      <c r="H4003" s="545">
        <v>23.82</v>
      </c>
      <c r="I4003" s="554" t="s">
        <v>9218</v>
      </c>
      <c r="J4003" s="554" t="s">
        <v>9219</v>
      </c>
      <c r="K4003" s="554" t="s">
        <v>9219</v>
      </c>
      <c r="L4003" s="537" t="s">
        <v>2354</v>
      </c>
    </row>
    <row r="4004" spans="1:12" x14ac:dyDescent="0.2">
      <c r="A4004" s="570" t="s">
        <v>220</v>
      </c>
      <c r="B4004" s="547" t="s">
        <v>5430</v>
      </c>
      <c r="C4004" s="554" t="s">
        <v>3533</v>
      </c>
      <c r="D4004" s="554" t="s">
        <v>3534</v>
      </c>
      <c r="E4004" s="554"/>
      <c r="F4004" s="571">
        <v>10</v>
      </c>
      <c r="G4004" s="572">
        <v>1.548</v>
      </c>
      <c r="H4004" s="545">
        <v>15.48</v>
      </c>
      <c r="I4004" s="554" t="s">
        <v>9218</v>
      </c>
      <c r="J4004" s="554" t="s">
        <v>9219</v>
      </c>
      <c r="K4004" s="554" t="s">
        <v>9219</v>
      </c>
      <c r="L4004" s="537" t="s">
        <v>2354</v>
      </c>
    </row>
    <row r="4005" spans="1:12" x14ac:dyDescent="0.2">
      <c r="A4005" s="570" t="s">
        <v>220</v>
      </c>
      <c r="B4005" s="547" t="s">
        <v>5430</v>
      </c>
      <c r="C4005" s="554" t="s">
        <v>8810</v>
      </c>
      <c r="D4005" s="554" t="s">
        <v>8811</v>
      </c>
      <c r="E4005" s="554"/>
      <c r="F4005" s="571">
        <v>2</v>
      </c>
      <c r="G4005" s="572">
        <v>1.375</v>
      </c>
      <c r="H4005" s="545">
        <v>2.75</v>
      </c>
      <c r="I4005" s="554" t="s">
        <v>9218</v>
      </c>
      <c r="J4005" s="554" t="s">
        <v>9219</v>
      </c>
      <c r="K4005" s="554" t="s">
        <v>9219</v>
      </c>
      <c r="L4005" s="537" t="s">
        <v>2354</v>
      </c>
    </row>
    <row r="4006" spans="1:12" x14ac:dyDescent="0.2">
      <c r="A4006" s="570" t="s">
        <v>220</v>
      </c>
      <c r="B4006" s="547" t="s">
        <v>5430</v>
      </c>
      <c r="C4006" s="554" t="s">
        <v>3537</v>
      </c>
      <c r="D4006" s="554" t="s">
        <v>8812</v>
      </c>
      <c r="E4006" s="554"/>
      <c r="F4006" s="571">
        <v>5</v>
      </c>
      <c r="G4006" s="572">
        <v>9.7370000000000001</v>
      </c>
      <c r="H4006" s="545">
        <v>48.685000000000002</v>
      </c>
      <c r="I4006" s="554" t="s">
        <v>9218</v>
      </c>
      <c r="J4006" s="554" t="s">
        <v>9219</v>
      </c>
      <c r="K4006" s="554" t="s">
        <v>9219</v>
      </c>
      <c r="L4006" s="537" t="s">
        <v>2354</v>
      </c>
    </row>
    <row r="4007" spans="1:12" x14ac:dyDescent="0.2">
      <c r="A4007" s="570" t="s">
        <v>220</v>
      </c>
      <c r="B4007" s="547" t="s">
        <v>5430</v>
      </c>
      <c r="C4007" s="554" t="s">
        <v>6482</v>
      </c>
      <c r="D4007" s="554" t="s">
        <v>6483</v>
      </c>
      <c r="E4007" s="554"/>
      <c r="F4007" s="571">
        <v>3</v>
      </c>
      <c r="G4007" s="572">
        <v>26.393000000000001</v>
      </c>
      <c r="H4007" s="545">
        <v>79.179000000000002</v>
      </c>
      <c r="I4007" s="554" t="s">
        <v>9218</v>
      </c>
      <c r="J4007" s="554" t="s">
        <v>9219</v>
      </c>
      <c r="K4007" s="554" t="s">
        <v>9219</v>
      </c>
      <c r="L4007" s="537" t="s">
        <v>2354</v>
      </c>
    </row>
    <row r="4008" spans="1:12" x14ac:dyDescent="0.2">
      <c r="A4008" s="570" t="s">
        <v>220</v>
      </c>
      <c r="B4008" s="547" t="s">
        <v>5430</v>
      </c>
      <c r="C4008" s="554" t="s">
        <v>6484</v>
      </c>
      <c r="D4008" s="554" t="s">
        <v>6485</v>
      </c>
      <c r="E4008" s="554"/>
      <c r="F4008" s="571">
        <v>14</v>
      </c>
      <c r="G4008" s="572">
        <v>6.4619999999999997</v>
      </c>
      <c r="H4008" s="545">
        <v>90.467999999999989</v>
      </c>
      <c r="I4008" s="554" t="s">
        <v>9218</v>
      </c>
      <c r="J4008" s="554" t="s">
        <v>9219</v>
      </c>
      <c r="K4008" s="554" t="s">
        <v>9219</v>
      </c>
      <c r="L4008" s="537" t="s">
        <v>2354</v>
      </c>
    </row>
    <row r="4009" spans="1:12" x14ac:dyDescent="0.2">
      <c r="A4009" s="570" t="s">
        <v>220</v>
      </c>
      <c r="B4009" s="547" t="s">
        <v>5430</v>
      </c>
      <c r="C4009" s="554" t="s">
        <v>6486</v>
      </c>
      <c r="D4009" s="554" t="s">
        <v>6487</v>
      </c>
      <c r="E4009" s="554"/>
      <c r="F4009" s="571">
        <v>1</v>
      </c>
      <c r="G4009" s="572">
        <v>7.2249999999999996</v>
      </c>
      <c r="H4009" s="545">
        <v>7.2249999999999996</v>
      </c>
      <c r="I4009" s="554" t="s">
        <v>9218</v>
      </c>
      <c r="J4009" s="554" t="s">
        <v>9219</v>
      </c>
      <c r="K4009" s="554" t="s">
        <v>9219</v>
      </c>
      <c r="L4009" s="537" t="s">
        <v>2354</v>
      </c>
    </row>
    <row r="4010" spans="1:12" x14ac:dyDescent="0.2">
      <c r="A4010" s="570" t="s">
        <v>220</v>
      </c>
      <c r="B4010" s="547" t="s">
        <v>5430</v>
      </c>
      <c r="C4010" s="554" t="s">
        <v>6488</v>
      </c>
      <c r="D4010" s="554" t="s">
        <v>8813</v>
      </c>
      <c r="E4010" s="554"/>
      <c r="F4010" s="571">
        <v>4</v>
      </c>
      <c r="G4010" s="572">
        <v>7.7350000000000003</v>
      </c>
      <c r="H4010" s="545">
        <v>30.94</v>
      </c>
      <c r="I4010" s="554" t="s">
        <v>9218</v>
      </c>
      <c r="J4010" s="554" t="s">
        <v>9219</v>
      </c>
      <c r="K4010" s="554" t="s">
        <v>9219</v>
      </c>
      <c r="L4010" s="537" t="s">
        <v>2354</v>
      </c>
    </row>
    <row r="4011" spans="1:12" x14ac:dyDescent="0.2">
      <c r="A4011" s="570" t="s">
        <v>220</v>
      </c>
      <c r="B4011" s="547" t="s">
        <v>5430</v>
      </c>
      <c r="C4011" s="554" t="s">
        <v>6490</v>
      </c>
      <c r="D4011" s="554" t="s">
        <v>8814</v>
      </c>
      <c r="E4011" s="554"/>
      <c r="F4011" s="571">
        <v>9</v>
      </c>
      <c r="G4011" s="572">
        <v>6.1630000000000003</v>
      </c>
      <c r="H4011" s="545">
        <v>55.466999999999999</v>
      </c>
      <c r="I4011" s="554" t="s">
        <v>9218</v>
      </c>
      <c r="J4011" s="554" t="s">
        <v>9219</v>
      </c>
      <c r="K4011" s="554" t="s">
        <v>9219</v>
      </c>
      <c r="L4011" s="537" t="s">
        <v>2354</v>
      </c>
    </row>
    <row r="4012" spans="1:12" x14ac:dyDescent="0.2">
      <c r="A4012" s="570" t="s">
        <v>220</v>
      </c>
      <c r="B4012" s="547" t="s">
        <v>5430</v>
      </c>
      <c r="C4012" s="554" t="s">
        <v>6495</v>
      </c>
      <c r="D4012" s="554" t="s">
        <v>8815</v>
      </c>
      <c r="E4012" s="554"/>
      <c r="F4012" s="571">
        <v>1</v>
      </c>
      <c r="G4012" s="572">
        <v>7.2880000000000003</v>
      </c>
      <c r="H4012" s="545">
        <v>7.2880000000000003</v>
      </c>
      <c r="I4012" s="554" t="s">
        <v>9218</v>
      </c>
      <c r="J4012" s="554" t="s">
        <v>9219</v>
      </c>
      <c r="K4012" s="554" t="s">
        <v>9219</v>
      </c>
      <c r="L4012" s="537" t="s">
        <v>2354</v>
      </c>
    </row>
    <row r="4013" spans="1:12" x14ac:dyDescent="0.2">
      <c r="A4013" s="570" t="s">
        <v>220</v>
      </c>
      <c r="B4013" s="547" t="s">
        <v>5430</v>
      </c>
      <c r="C4013" s="554" t="s">
        <v>6499</v>
      </c>
      <c r="D4013" s="554" t="s">
        <v>6500</v>
      </c>
      <c r="E4013" s="554"/>
      <c r="F4013" s="571">
        <v>2</v>
      </c>
      <c r="G4013" s="572">
        <v>47.558</v>
      </c>
      <c r="H4013" s="545">
        <v>95.116</v>
      </c>
      <c r="I4013" s="554" t="s">
        <v>9218</v>
      </c>
      <c r="J4013" s="554" t="s">
        <v>9219</v>
      </c>
      <c r="K4013" s="554" t="s">
        <v>9219</v>
      </c>
      <c r="L4013" s="537" t="s">
        <v>2354</v>
      </c>
    </row>
    <row r="4014" spans="1:12" x14ac:dyDescent="0.2">
      <c r="A4014" s="570" t="s">
        <v>220</v>
      </c>
      <c r="B4014" s="547" t="s">
        <v>5430</v>
      </c>
      <c r="C4014" s="554" t="s">
        <v>6501</v>
      </c>
      <c r="D4014" s="554" t="s">
        <v>6502</v>
      </c>
      <c r="E4014" s="554"/>
      <c r="F4014" s="571">
        <v>1</v>
      </c>
      <c r="G4014" s="572">
        <v>23.387</v>
      </c>
      <c r="H4014" s="545">
        <v>23.387</v>
      </c>
      <c r="I4014" s="554" t="s">
        <v>9218</v>
      </c>
      <c r="J4014" s="554" t="s">
        <v>9219</v>
      </c>
      <c r="K4014" s="554" t="s">
        <v>9219</v>
      </c>
      <c r="L4014" s="537" t="s">
        <v>2354</v>
      </c>
    </row>
    <row r="4015" spans="1:12" x14ac:dyDescent="0.2">
      <c r="A4015" s="570" t="s">
        <v>220</v>
      </c>
      <c r="B4015" s="547" t="s">
        <v>5430</v>
      </c>
      <c r="C4015" s="554" t="s">
        <v>8816</v>
      </c>
      <c r="D4015" s="554" t="s">
        <v>8817</v>
      </c>
      <c r="E4015" s="554"/>
      <c r="F4015" s="571">
        <v>7</v>
      </c>
      <c r="G4015" s="572">
        <v>2.1240000000000001</v>
      </c>
      <c r="H4015" s="545">
        <v>14.868</v>
      </c>
      <c r="I4015" s="554" t="s">
        <v>9218</v>
      </c>
      <c r="J4015" s="554" t="s">
        <v>9219</v>
      </c>
      <c r="K4015" s="554" t="s">
        <v>9219</v>
      </c>
      <c r="L4015" s="537" t="s">
        <v>2354</v>
      </c>
    </row>
    <row r="4016" spans="1:12" x14ac:dyDescent="0.2">
      <c r="A4016" s="570" t="s">
        <v>220</v>
      </c>
      <c r="B4016" s="547" t="s">
        <v>5430</v>
      </c>
      <c r="C4016" s="554" t="s">
        <v>6505</v>
      </c>
      <c r="D4016" s="554" t="s">
        <v>6506</v>
      </c>
      <c r="E4016" s="554"/>
      <c r="F4016" s="571">
        <v>1</v>
      </c>
      <c r="G4016" s="572">
        <v>14.16</v>
      </c>
      <c r="H4016" s="545">
        <v>14.16</v>
      </c>
      <c r="I4016" s="554" t="s">
        <v>9218</v>
      </c>
      <c r="J4016" s="554" t="s">
        <v>9219</v>
      </c>
      <c r="K4016" s="554" t="s">
        <v>9219</v>
      </c>
      <c r="L4016" s="537" t="s">
        <v>2354</v>
      </c>
    </row>
    <row r="4017" spans="1:12" x14ac:dyDescent="0.2">
      <c r="A4017" s="570" t="s">
        <v>220</v>
      </c>
      <c r="B4017" s="547" t="s">
        <v>5430</v>
      </c>
      <c r="C4017" s="554" t="s">
        <v>6507</v>
      </c>
      <c r="D4017" s="554" t="s">
        <v>6508</v>
      </c>
      <c r="E4017" s="554"/>
      <c r="F4017" s="571">
        <v>5</v>
      </c>
      <c r="G4017" s="572">
        <v>21.523</v>
      </c>
      <c r="H4017" s="545">
        <v>107.61499999999999</v>
      </c>
      <c r="I4017" s="554" t="s">
        <v>9218</v>
      </c>
      <c r="J4017" s="554" t="s">
        <v>9219</v>
      </c>
      <c r="K4017" s="554" t="s">
        <v>9219</v>
      </c>
      <c r="L4017" s="537" t="s">
        <v>2354</v>
      </c>
    </row>
    <row r="4018" spans="1:12" x14ac:dyDescent="0.2">
      <c r="A4018" s="570" t="s">
        <v>220</v>
      </c>
      <c r="B4018" s="547" t="s">
        <v>5430</v>
      </c>
      <c r="C4018" s="554" t="s">
        <v>6509</v>
      </c>
      <c r="D4018" s="554" t="s">
        <v>8818</v>
      </c>
      <c r="E4018" s="554"/>
      <c r="F4018" s="571">
        <v>4</v>
      </c>
      <c r="G4018" s="572">
        <v>29.44</v>
      </c>
      <c r="H4018" s="545">
        <v>117.76</v>
      </c>
      <c r="I4018" s="554" t="s">
        <v>9218</v>
      </c>
      <c r="J4018" s="554" t="s">
        <v>9219</v>
      </c>
      <c r="K4018" s="554" t="s">
        <v>9219</v>
      </c>
      <c r="L4018" s="537" t="s">
        <v>2354</v>
      </c>
    </row>
    <row r="4019" spans="1:12" x14ac:dyDescent="0.2">
      <c r="A4019" s="570" t="s">
        <v>220</v>
      </c>
      <c r="B4019" s="547" t="s">
        <v>5430</v>
      </c>
      <c r="C4019" s="554" t="s">
        <v>6511</v>
      </c>
      <c r="D4019" s="554" t="s">
        <v>8819</v>
      </c>
      <c r="E4019" s="554"/>
      <c r="F4019" s="571">
        <v>9</v>
      </c>
      <c r="G4019" s="572">
        <v>17.102</v>
      </c>
      <c r="H4019" s="545">
        <v>153.91800000000001</v>
      </c>
      <c r="I4019" s="554" t="s">
        <v>9218</v>
      </c>
      <c r="J4019" s="554" t="s">
        <v>9219</v>
      </c>
      <c r="K4019" s="554" t="s">
        <v>9219</v>
      </c>
      <c r="L4019" s="537" t="s">
        <v>2354</v>
      </c>
    </row>
    <row r="4020" spans="1:12" x14ac:dyDescent="0.2">
      <c r="A4020" s="570" t="s">
        <v>220</v>
      </c>
      <c r="B4020" s="547" t="s">
        <v>5430</v>
      </c>
      <c r="C4020" s="554" t="s">
        <v>6513</v>
      </c>
      <c r="D4020" s="554" t="s">
        <v>6514</v>
      </c>
      <c r="E4020" s="554"/>
      <c r="F4020" s="571">
        <v>2</v>
      </c>
      <c r="G4020" s="572">
        <v>24.225000000000001</v>
      </c>
      <c r="H4020" s="545">
        <v>48.45</v>
      </c>
      <c r="I4020" s="554" t="s">
        <v>9218</v>
      </c>
      <c r="J4020" s="554" t="s">
        <v>9219</v>
      </c>
      <c r="K4020" s="554" t="s">
        <v>9219</v>
      </c>
      <c r="L4020" s="537" t="s">
        <v>2354</v>
      </c>
    </row>
    <row r="4021" spans="1:12" x14ac:dyDescent="0.2">
      <c r="A4021" s="570" t="s">
        <v>220</v>
      </c>
      <c r="B4021" s="547" t="s">
        <v>5430</v>
      </c>
      <c r="C4021" s="554" t="s">
        <v>6515</v>
      </c>
      <c r="D4021" s="554" t="s">
        <v>6516</v>
      </c>
      <c r="E4021" s="554"/>
      <c r="F4021" s="571">
        <v>12</v>
      </c>
      <c r="G4021" s="572">
        <v>8.6739999999999995</v>
      </c>
      <c r="H4021" s="545">
        <v>104.08799999999999</v>
      </c>
      <c r="I4021" s="554" t="s">
        <v>9218</v>
      </c>
      <c r="J4021" s="554" t="s">
        <v>9219</v>
      </c>
      <c r="K4021" s="554" t="s">
        <v>9219</v>
      </c>
      <c r="L4021" s="537" t="s">
        <v>2354</v>
      </c>
    </row>
    <row r="4022" spans="1:12" x14ac:dyDescent="0.2">
      <c r="A4022" s="570" t="s">
        <v>220</v>
      </c>
      <c r="B4022" s="547" t="s">
        <v>5430</v>
      </c>
      <c r="C4022" s="554" t="s">
        <v>3595</v>
      </c>
      <c r="D4022" s="554" t="s">
        <v>3596</v>
      </c>
      <c r="E4022" s="554"/>
      <c r="F4022" s="571">
        <v>51</v>
      </c>
      <c r="G4022" s="572">
        <v>4.1440000000000001</v>
      </c>
      <c r="H4022" s="545">
        <v>211.34399999999999</v>
      </c>
      <c r="I4022" s="554" t="s">
        <v>9218</v>
      </c>
      <c r="J4022" s="554" t="s">
        <v>9219</v>
      </c>
      <c r="K4022" s="554" t="s">
        <v>9219</v>
      </c>
      <c r="L4022" s="537" t="s">
        <v>2354</v>
      </c>
    </row>
    <row r="4023" spans="1:12" x14ac:dyDescent="0.2">
      <c r="A4023" s="570" t="s">
        <v>220</v>
      </c>
      <c r="B4023" s="547" t="s">
        <v>5430</v>
      </c>
      <c r="C4023" s="554" t="s">
        <v>3597</v>
      </c>
      <c r="D4023" s="554" t="s">
        <v>3598</v>
      </c>
      <c r="E4023" s="554"/>
      <c r="F4023" s="571">
        <v>70</v>
      </c>
      <c r="G4023" s="572">
        <v>3.0649999999999999</v>
      </c>
      <c r="H4023" s="545">
        <v>214.54999999999998</v>
      </c>
      <c r="I4023" s="554" t="s">
        <v>9218</v>
      </c>
      <c r="J4023" s="554" t="s">
        <v>9219</v>
      </c>
      <c r="K4023" s="554" t="s">
        <v>9219</v>
      </c>
      <c r="L4023" s="537" t="s">
        <v>2354</v>
      </c>
    </row>
    <row r="4024" spans="1:12" x14ac:dyDescent="0.2">
      <c r="A4024" s="570" t="s">
        <v>220</v>
      </c>
      <c r="B4024" s="547" t="s">
        <v>5430</v>
      </c>
      <c r="C4024" s="554" t="s">
        <v>3599</v>
      </c>
      <c r="D4024" s="554" t="s">
        <v>3600</v>
      </c>
      <c r="E4024" s="554"/>
      <c r="F4024" s="571">
        <v>41</v>
      </c>
      <c r="G4024" s="572">
        <v>3.8130000000000002</v>
      </c>
      <c r="H4024" s="545">
        <v>156.333</v>
      </c>
      <c r="I4024" s="554" t="s">
        <v>9218</v>
      </c>
      <c r="J4024" s="554" t="s">
        <v>9219</v>
      </c>
      <c r="K4024" s="554" t="s">
        <v>9219</v>
      </c>
      <c r="L4024" s="537" t="s">
        <v>2354</v>
      </c>
    </row>
    <row r="4025" spans="1:12" x14ac:dyDescent="0.2">
      <c r="A4025" s="570" t="s">
        <v>220</v>
      </c>
      <c r="B4025" s="547" t="s">
        <v>5430</v>
      </c>
      <c r="C4025" s="554" t="s">
        <v>6519</v>
      </c>
      <c r="D4025" s="554" t="s">
        <v>8820</v>
      </c>
      <c r="E4025" s="554"/>
      <c r="F4025" s="571">
        <v>4</v>
      </c>
      <c r="G4025" s="572">
        <v>72.22</v>
      </c>
      <c r="H4025" s="545">
        <v>288.88</v>
      </c>
      <c r="I4025" s="554" t="s">
        <v>9218</v>
      </c>
      <c r="J4025" s="554" t="s">
        <v>9219</v>
      </c>
      <c r="K4025" s="554" t="s">
        <v>9219</v>
      </c>
      <c r="L4025" s="537" t="s">
        <v>2354</v>
      </c>
    </row>
    <row r="4026" spans="1:12" x14ac:dyDescent="0.2">
      <c r="A4026" s="570" t="s">
        <v>220</v>
      </c>
      <c r="B4026" s="547" t="s">
        <v>5430</v>
      </c>
      <c r="C4026" s="554" t="s">
        <v>2440</v>
      </c>
      <c r="D4026" s="554" t="s">
        <v>6521</v>
      </c>
      <c r="E4026" s="554"/>
      <c r="F4026" s="571">
        <v>32</v>
      </c>
      <c r="G4026" s="572">
        <v>2.6179999999999999</v>
      </c>
      <c r="H4026" s="545">
        <v>83.775999999999996</v>
      </c>
      <c r="I4026" s="554" t="s">
        <v>9218</v>
      </c>
      <c r="J4026" s="554" t="s">
        <v>9219</v>
      </c>
      <c r="K4026" s="554" t="s">
        <v>9219</v>
      </c>
      <c r="L4026" s="537" t="s">
        <v>2354</v>
      </c>
    </row>
    <row r="4027" spans="1:12" x14ac:dyDescent="0.2">
      <c r="A4027" s="570" t="s">
        <v>220</v>
      </c>
      <c r="B4027" s="547" t="s">
        <v>5430</v>
      </c>
      <c r="C4027" s="554" t="s">
        <v>6522</v>
      </c>
      <c r="D4027" s="554" t="s">
        <v>8821</v>
      </c>
      <c r="E4027" s="554"/>
      <c r="F4027" s="571">
        <v>2</v>
      </c>
      <c r="G4027" s="572">
        <v>12.813000000000001</v>
      </c>
      <c r="H4027" s="545">
        <v>25.626000000000001</v>
      </c>
      <c r="I4027" s="554" t="s">
        <v>9218</v>
      </c>
      <c r="J4027" s="554" t="s">
        <v>9219</v>
      </c>
      <c r="K4027" s="554" t="s">
        <v>9219</v>
      </c>
      <c r="L4027" s="537" t="s">
        <v>2354</v>
      </c>
    </row>
    <row r="4028" spans="1:12" x14ac:dyDescent="0.2">
      <c r="A4028" s="570" t="s">
        <v>220</v>
      </c>
      <c r="B4028" s="547" t="s">
        <v>5430</v>
      </c>
      <c r="C4028" s="554" t="s">
        <v>6524</v>
      </c>
      <c r="D4028" s="554" t="s">
        <v>6525</v>
      </c>
      <c r="E4028" s="554"/>
      <c r="F4028" s="571">
        <v>1</v>
      </c>
      <c r="G4028" s="572">
        <v>31.875</v>
      </c>
      <c r="H4028" s="545">
        <v>31.875</v>
      </c>
      <c r="I4028" s="554" t="s">
        <v>9218</v>
      </c>
      <c r="J4028" s="554" t="s">
        <v>9219</v>
      </c>
      <c r="K4028" s="554" t="s">
        <v>9219</v>
      </c>
      <c r="L4028" s="537" t="s">
        <v>2354</v>
      </c>
    </row>
    <row r="4029" spans="1:12" x14ac:dyDescent="0.2">
      <c r="A4029" s="570" t="s">
        <v>220</v>
      </c>
      <c r="B4029" s="547" t="s">
        <v>5430</v>
      </c>
      <c r="C4029" s="554" t="s">
        <v>6526</v>
      </c>
      <c r="D4029" s="554" t="s">
        <v>6527</v>
      </c>
      <c r="E4029" s="554"/>
      <c r="F4029" s="571">
        <v>9</v>
      </c>
      <c r="G4029" s="572">
        <v>4.7240000000000002</v>
      </c>
      <c r="H4029" s="545">
        <v>42.516000000000005</v>
      </c>
      <c r="I4029" s="554" t="s">
        <v>9218</v>
      </c>
      <c r="J4029" s="554" t="s">
        <v>9219</v>
      </c>
      <c r="K4029" s="554" t="s">
        <v>9219</v>
      </c>
      <c r="L4029" s="537" t="s">
        <v>2354</v>
      </c>
    </row>
    <row r="4030" spans="1:12" x14ac:dyDescent="0.2">
      <c r="A4030" s="570" t="s">
        <v>220</v>
      </c>
      <c r="B4030" s="547" t="s">
        <v>5430</v>
      </c>
      <c r="C4030" s="554" t="s">
        <v>6528</v>
      </c>
      <c r="D4030" s="554" t="s">
        <v>8822</v>
      </c>
      <c r="E4030" s="554"/>
      <c r="F4030" s="571">
        <v>10</v>
      </c>
      <c r="G4030" s="572">
        <v>23.387</v>
      </c>
      <c r="H4030" s="545">
        <v>233.87</v>
      </c>
      <c r="I4030" s="554" t="s">
        <v>9218</v>
      </c>
      <c r="J4030" s="554" t="s">
        <v>9219</v>
      </c>
      <c r="K4030" s="554" t="s">
        <v>9219</v>
      </c>
      <c r="L4030" s="537" t="s">
        <v>2354</v>
      </c>
    </row>
    <row r="4031" spans="1:12" x14ac:dyDescent="0.2">
      <c r="A4031" s="570" t="s">
        <v>220</v>
      </c>
      <c r="B4031" s="547" t="s">
        <v>5430</v>
      </c>
      <c r="C4031" s="554" t="s">
        <v>6530</v>
      </c>
      <c r="D4031" s="554" t="s">
        <v>8823</v>
      </c>
      <c r="E4031" s="554"/>
      <c r="F4031" s="573">
        <v>7</v>
      </c>
      <c r="G4031" s="545">
        <v>0</v>
      </c>
      <c r="H4031" s="545">
        <v>0</v>
      </c>
      <c r="I4031" s="554" t="s">
        <v>9218</v>
      </c>
      <c r="J4031" s="554" t="s">
        <v>9219</v>
      </c>
      <c r="K4031" s="554" t="s">
        <v>9219</v>
      </c>
      <c r="L4031" s="537" t="s">
        <v>2354</v>
      </c>
    </row>
    <row r="4032" spans="1:12" x14ac:dyDescent="0.2">
      <c r="A4032" s="570" t="s">
        <v>220</v>
      </c>
      <c r="B4032" s="547" t="s">
        <v>5430</v>
      </c>
      <c r="C4032" s="554" t="s">
        <v>8824</v>
      </c>
      <c r="D4032" s="554" t="s">
        <v>8825</v>
      </c>
      <c r="E4032" s="554"/>
      <c r="F4032" s="571">
        <v>29</v>
      </c>
      <c r="G4032" s="572">
        <v>5.3129999999999997</v>
      </c>
      <c r="H4032" s="545">
        <v>154.077</v>
      </c>
      <c r="I4032" s="554" t="s">
        <v>9218</v>
      </c>
      <c r="J4032" s="554" t="s">
        <v>9219</v>
      </c>
      <c r="K4032" s="554" t="s">
        <v>9219</v>
      </c>
      <c r="L4032" s="537" t="s">
        <v>2354</v>
      </c>
    </row>
    <row r="4033" spans="1:12" x14ac:dyDescent="0.2">
      <c r="A4033" s="570" t="s">
        <v>220</v>
      </c>
      <c r="B4033" s="547" t="s">
        <v>5430</v>
      </c>
      <c r="C4033" s="554" t="s">
        <v>6534</v>
      </c>
      <c r="D4033" s="554" t="s">
        <v>6535</v>
      </c>
      <c r="E4033" s="554"/>
      <c r="F4033" s="571">
        <v>1</v>
      </c>
      <c r="G4033" s="572">
        <v>8.3659999999999997</v>
      </c>
      <c r="H4033" s="545">
        <v>8.3659999999999997</v>
      </c>
      <c r="I4033" s="554" t="s">
        <v>9218</v>
      </c>
      <c r="J4033" s="554" t="s">
        <v>9219</v>
      </c>
      <c r="K4033" s="554" t="s">
        <v>9219</v>
      </c>
      <c r="L4033" s="537" t="s">
        <v>2354</v>
      </c>
    </row>
    <row r="4034" spans="1:12" x14ac:dyDescent="0.2">
      <c r="A4034" s="570" t="s">
        <v>220</v>
      </c>
      <c r="B4034" s="547" t="s">
        <v>5430</v>
      </c>
      <c r="C4034" s="554" t="s">
        <v>2433</v>
      </c>
      <c r="D4034" s="554" t="s">
        <v>8826</v>
      </c>
      <c r="E4034" s="554"/>
      <c r="F4034" s="571">
        <v>48</v>
      </c>
      <c r="G4034" s="572">
        <v>4.84</v>
      </c>
      <c r="H4034" s="545">
        <v>232.32</v>
      </c>
      <c r="I4034" s="554" t="s">
        <v>9218</v>
      </c>
      <c r="J4034" s="554" t="s">
        <v>9219</v>
      </c>
      <c r="K4034" s="554" t="s">
        <v>9219</v>
      </c>
      <c r="L4034" s="537" t="s">
        <v>2354</v>
      </c>
    </row>
    <row r="4035" spans="1:12" x14ac:dyDescent="0.2">
      <c r="A4035" s="570" t="s">
        <v>220</v>
      </c>
      <c r="B4035" s="547" t="s">
        <v>5430</v>
      </c>
      <c r="C4035" s="554" t="s">
        <v>8827</v>
      </c>
      <c r="D4035" s="554" t="s">
        <v>8828</v>
      </c>
      <c r="E4035" s="554"/>
      <c r="F4035" s="571">
        <v>22</v>
      </c>
      <c r="G4035" s="572">
        <v>5.52</v>
      </c>
      <c r="H4035" s="545">
        <v>121.44</v>
      </c>
      <c r="I4035" s="554" t="s">
        <v>9218</v>
      </c>
      <c r="J4035" s="554" t="s">
        <v>9219</v>
      </c>
      <c r="K4035" s="554" t="s">
        <v>9219</v>
      </c>
      <c r="L4035" s="537" t="s">
        <v>2354</v>
      </c>
    </row>
    <row r="4036" spans="1:12" x14ac:dyDescent="0.2">
      <c r="A4036" s="570" t="s">
        <v>220</v>
      </c>
      <c r="B4036" s="547" t="s">
        <v>5430</v>
      </c>
      <c r="C4036" s="554" t="s">
        <v>8829</v>
      </c>
      <c r="D4036" s="554" t="s">
        <v>6540</v>
      </c>
      <c r="E4036" s="554"/>
      <c r="F4036" s="571">
        <v>6</v>
      </c>
      <c r="G4036" s="572">
        <v>12.8</v>
      </c>
      <c r="H4036" s="545">
        <v>76.800000000000011</v>
      </c>
      <c r="I4036" s="554" t="s">
        <v>9218</v>
      </c>
      <c r="J4036" s="554" t="s">
        <v>9219</v>
      </c>
      <c r="K4036" s="554" t="s">
        <v>9219</v>
      </c>
      <c r="L4036" s="537" t="s">
        <v>2354</v>
      </c>
    </row>
    <row r="4037" spans="1:12" x14ac:dyDescent="0.2">
      <c r="A4037" s="570" t="s">
        <v>220</v>
      </c>
      <c r="B4037" s="547" t="s">
        <v>5430</v>
      </c>
      <c r="C4037" s="554" t="s">
        <v>8830</v>
      </c>
      <c r="D4037" s="554" t="s">
        <v>8831</v>
      </c>
      <c r="E4037" s="554"/>
      <c r="F4037" s="571">
        <v>4</v>
      </c>
      <c r="G4037" s="572">
        <v>25.6</v>
      </c>
      <c r="H4037" s="545">
        <v>102.4</v>
      </c>
      <c r="I4037" s="554" t="s">
        <v>9218</v>
      </c>
      <c r="J4037" s="554" t="s">
        <v>9219</v>
      </c>
      <c r="K4037" s="554" t="s">
        <v>9219</v>
      </c>
      <c r="L4037" s="537" t="s">
        <v>2354</v>
      </c>
    </row>
    <row r="4038" spans="1:12" x14ac:dyDescent="0.2">
      <c r="A4038" s="570" t="s">
        <v>220</v>
      </c>
      <c r="B4038" s="547" t="s">
        <v>5430</v>
      </c>
      <c r="C4038" s="554" t="s">
        <v>8832</v>
      </c>
      <c r="D4038" s="554" t="s">
        <v>8833</v>
      </c>
      <c r="E4038" s="554"/>
      <c r="F4038" s="571">
        <v>10</v>
      </c>
      <c r="G4038" s="572">
        <v>22.4</v>
      </c>
      <c r="H4038" s="545">
        <v>224</v>
      </c>
      <c r="I4038" s="554" t="s">
        <v>9218</v>
      </c>
      <c r="J4038" s="554" t="s">
        <v>9219</v>
      </c>
      <c r="K4038" s="554" t="s">
        <v>9219</v>
      </c>
      <c r="L4038" s="537" t="s">
        <v>2354</v>
      </c>
    </row>
    <row r="4039" spans="1:12" x14ac:dyDescent="0.2">
      <c r="A4039" s="570" t="s">
        <v>220</v>
      </c>
      <c r="B4039" s="547" t="s">
        <v>5430</v>
      </c>
      <c r="C4039" s="554" t="s">
        <v>8834</v>
      </c>
      <c r="D4039" s="554" t="s">
        <v>6546</v>
      </c>
      <c r="E4039" s="554"/>
      <c r="F4039" s="571">
        <v>10</v>
      </c>
      <c r="G4039" s="572">
        <v>11.2</v>
      </c>
      <c r="H4039" s="545">
        <v>112</v>
      </c>
      <c r="I4039" s="554" t="s">
        <v>9218</v>
      </c>
      <c r="J4039" s="554" t="s">
        <v>9219</v>
      </c>
      <c r="K4039" s="554" t="s">
        <v>9219</v>
      </c>
      <c r="L4039" s="537" t="s">
        <v>2354</v>
      </c>
    </row>
    <row r="4040" spans="1:12" x14ac:dyDescent="0.2">
      <c r="A4040" s="570" t="s">
        <v>220</v>
      </c>
      <c r="B4040" s="547" t="s">
        <v>5430</v>
      </c>
      <c r="C4040" s="554" t="s">
        <v>6547</v>
      </c>
      <c r="D4040" s="554" t="s">
        <v>8835</v>
      </c>
      <c r="E4040" s="554"/>
      <c r="F4040" s="571">
        <v>3</v>
      </c>
      <c r="G4040" s="572">
        <v>34.295000000000002</v>
      </c>
      <c r="H4040" s="545">
        <v>102.88500000000001</v>
      </c>
      <c r="I4040" s="554" t="s">
        <v>9218</v>
      </c>
      <c r="J4040" s="554" t="s">
        <v>9219</v>
      </c>
      <c r="K4040" s="554" t="s">
        <v>9219</v>
      </c>
      <c r="L4040" s="537" t="s">
        <v>2354</v>
      </c>
    </row>
    <row r="4041" spans="1:12" x14ac:dyDescent="0.2">
      <c r="A4041" s="570" t="s">
        <v>220</v>
      </c>
      <c r="B4041" s="547" t="s">
        <v>5430</v>
      </c>
      <c r="C4041" s="554" t="s">
        <v>8836</v>
      </c>
      <c r="D4041" s="554" t="s">
        <v>8837</v>
      </c>
      <c r="E4041" s="554"/>
      <c r="F4041" s="571">
        <v>2</v>
      </c>
      <c r="G4041" s="572">
        <v>133.22499999999999</v>
      </c>
      <c r="H4041" s="545">
        <v>266.45</v>
      </c>
      <c r="I4041" s="554" t="s">
        <v>9218</v>
      </c>
      <c r="J4041" s="554" t="s">
        <v>9219</v>
      </c>
      <c r="K4041" s="554" t="s">
        <v>9219</v>
      </c>
      <c r="L4041" s="537" t="s">
        <v>2354</v>
      </c>
    </row>
    <row r="4042" spans="1:12" x14ac:dyDescent="0.2">
      <c r="A4042" s="570" t="s">
        <v>220</v>
      </c>
      <c r="B4042" s="547" t="s">
        <v>5430</v>
      </c>
      <c r="C4042" s="554" t="s">
        <v>6549</v>
      </c>
      <c r="D4042" s="554" t="s">
        <v>6550</v>
      </c>
      <c r="E4042" s="554"/>
      <c r="F4042" s="571">
        <v>10</v>
      </c>
      <c r="G4042" s="572">
        <v>1.8</v>
      </c>
      <c r="H4042" s="545">
        <v>18</v>
      </c>
      <c r="I4042" s="554" t="s">
        <v>9218</v>
      </c>
      <c r="J4042" s="554" t="s">
        <v>9219</v>
      </c>
      <c r="K4042" s="554" t="s">
        <v>9219</v>
      </c>
      <c r="L4042" s="537" t="s">
        <v>2354</v>
      </c>
    </row>
    <row r="4043" spans="1:12" x14ac:dyDescent="0.2">
      <c r="A4043" s="570" t="s">
        <v>220</v>
      </c>
      <c r="B4043" s="547" t="s">
        <v>5430</v>
      </c>
      <c r="C4043" s="554" t="s">
        <v>6551</v>
      </c>
      <c r="D4043" s="554" t="s">
        <v>8838</v>
      </c>
      <c r="E4043" s="554"/>
      <c r="F4043" s="571">
        <v>4</v>
      </c>
      <c r="G4043" s="572">
        <v>7.65</v>
      </c>
      <c r="H4043" s="545">
        <v>30.6</v>
      </c>
      <c r="I4043" s="554" t="s">
        <v>9218</v>
      </c>
      <c r="J4043" s="554" t="s">
        <v>9219</v>
      </c>
      <c r="K4043" s="554" t="s">
        <v>9219</v>
      </c>
      <c r="L4043" s="537" t="s">
        <v>2354</v>
      </c>
    </row>
    <row r="4044" spans="1:12" x14ac:dyDescent="0.2">
      <c r="A4044" s="570" t="s">
        <v>220</v>
      </c>
      <c r="B4044" s="547" t="s">
        <v>5430</v>
      </c>
      <c r="C4044" s="554" t="s">
        <v>6553</v>
      </c>
      <c r="D4044" s="554" t="s">
        <v>8839</v>
      </c>
      <c r="E4044" s="554"/>
      <c r="F4044" s="571">
        <v>10</v>
      </c>
      <c r="G4044" s="572">
        <v>8.6270000000000007</v>
      </c>
      <c r="H4044" s="545">
        <v>86.27000000000001</v>
      </c>
      <c r="I4044" s="554" t="s">
        <v>9218</v>
      </c>
      <c r="J4044" s="554" t="s">
        <v>9219</v>
      </c>
      <c r="K4044" s="554" t="s">
        <v>9219</v>
      </c>
      <c r="L4044" s="537" t="s">
        <v>2354</v>
      </c>
    </row>
    <row r="4045" spans="1:12" x14ac:dyDescent="0.2">
      <c r="A4045" s="570" t="s">
        <v>220</v>
      </c>
      <c r="B4045" s="547" t="s">
        <v>5430</v>
      </c>
      <c r="C4045" s="554" t="s">
        <v>6555</v>
      </c>
      <c r="D4045" s="554" t="s">
        <v>8840</v>
      </c>
      <c r="E4045" s="554"/>
      <c r="F4045" s="571">
        <v>4</v>
      </c>
      <c r="G4045" s="572">
        <v>36.270000000000003</v>
      </c>
      <c r="H4045" s="545">
        <v>145.08000000000001</v>
      </c>
      <c r="I4045" s="554" t="s">
        <v>9218</v>
      </c>
      <c r="J4045" s="554" t="s">
        <v>9219</v>
      </c>
      <c r="K4045" s="554" t="s">
        <v>9219</v>
      </c>
      <c r="L4045" s="537" t="s">
        <v>2354</v>
      </c>
    </row>
    <row r="4046" spans="1:12" x14ac:dyDescent="0.2">
      <c r="A4046" s="570" t="s">
        <v>220</v>
      </c>
      <c r="B4046" s="547" t="s">
        <v>5430</v>
      </c>
      <c r="C4046" s="554" t="s">
        <v>6557</v>
      </c>
      <c r="D4046" s="554" t="s">
        <v>8841</v>
      </c>
      <c r="E4046" s="554"/>
      <c r="F4046" s="571">
        <v>4</v>
      </c>
      <c r="G4046" s="572">
        <v>36.799999999999997</v>
      </c>
      <c r="H4046" s="545">
        <v>147.19999999999999</v>
      </c>
      <c r="I4046" s="554" t="s">
        <v>9218</v>
      </c>
      <c r="J4046" s="554" t="s">
        <v>9219</v>
      </c>
      <c r="K4046" s="554" t="s">
        <v>9219</v>
      </c>
      <c r="L4046" s="537" t="s">
        <v>2354</v>
      </c>
    </row>
    <row r="4047" spans="1:12" x14ac:dyDescent="0.2">
      <c r="A4047" s="570" t="s">
        <v>220</v>
      </c>
      <c r="B4047" s="547" t="s">
        <v>5430</v>
      </c>
      <c r="C4047" s="554" t="s">
        <v>2407</v>
      </c>
      <c r="D4047" s="554" t="s">
        <v>8842</v>
      </c>
      <c r="E4047" s="554"/>
      <c r="F4047" s="571">
        <v>1</v>
      </c>
      <c r="G4047" s="572">
        <v>19.437000000000001</v>
      </c>
      <c r="H4047" s="545">
        <v>19.437000000000001</v>
      </c>
      <c r="I4047" s="554" t="s">
        <v>9218</v>
      </c>
      <c r="J4047" s="554" t="s">
        <v>9219</v>
      </c>
      <c r="K4047" s="554" t="s">
        <v>9219</v>
      </c>
      <c r="L4047" s="537" t="s">
        <v>2354</v>
      </c>
    </row>
    <row r="4048" spans="1:12" x14ac:dyDescent="0.2">
      <c r="A4048" s="570" t="s">
        <v>220</v>
      </c>
      <c r="B4048" s="547" t="s">
        <v>5430</v>
      </c>
      <c r="C4048" s="554" t="s">
        <v>6559</v>
      </c>
      <c r="D4048" s="554" t="s">
        <v>8843</v>
      </c>
      <c r="E4048" s="554"/>
      <c r="F4048" s="571">
        <v>2</v>
      </c>
      <c r="G4048" s="572">
        <v>16.751999999999999</v>
      </c>
      <c r="H4048" s="545">
        <v>33.503999999999998</v>
      </c>
      <c r="I4048" s="554" t="s">
        <v>9218</v>
      </c>
      <c r="J4048" s="554" t="s">
        <v>9219</v>
      </c>
      <c r="K4048" s="554" t="s">
        <v>9219</v>
      </c>
      <c r="L4048" s="537" t="s">
        <v>2354</v>
      </c>
    </row>
    <row r="4049" spans="1:12" x14ac:dyDescent="0.2">
      <c r="A4049" s="570" t="s">
        <v>220</v>
      </c>
      <c r="B4049" s="547" t="s">
        <v>5430</v>
      </c>
      <c r="C4049" s="554" t="s">
        <v>3637</v>
      </c>
      <c r="D4049" s="554" t="s">
        <v>8844</v>
      </c>
      <c r="E4049" s="554"/>
      <c r="F4049" s="571">
        <v>13</v>
      </c>
      <c r="G4049" s="572">
        <v>2.2730000000000001</v>
      </c>
      <c r="H4049" s="545">
        <v>29.549000000000003</v>
      </c>
      <c r="I4049" s="554" t="s">
        <v>9218</v>
      </c>
      <c r="J4049" s="554" t="s">
        <v>9219</v>
      </c>
      <c r="K4049" s="554" t="s">
        <v>9219</v>
      </c>
      <c r="L4049" s="537" t="s">
        <v>2354</v>
      </c>
    </row>
    <row r="4050" spans="1:12" x14ac:dyDescent="0.2">
      <c r="A4050" s="570" t="s">
        <v>220</v>
      </c>
      <c r="B4050" s="547" t="s">
        <v>5430</v>
      </c>
      <c r="C4050" s="554" t="s">
        <v>3639</v>
      </c>
      <c r="D4050" s="554" t="s">
        <v>3640</v>
      </c>
      <c r="E4050" s="554"/>
      <c r="F4050" s="571">
        <v>5</v>
      </c>
      <c r="G4050" s="572">
        <v>2.1179999999999999</v>
      </c>
      <c r="H4050" s="545">
        <v>10.59</v>
      </c>
      <c r="I4050" s="554" t="s">
        <v>9218</v>
      </c>
      <c r="J4050" s="554" t="s">
        <v>9219</v>
      </c>
      <c r="K4050" s="554" t="s">
        <v>9219</v>
      </c>
      <c r="L4050" s="537" t="s">
        <v>2354</v>
      </c>
    </row>
    <row r="4051" spans="1:12" x14ac:dyDescent="0.2">
      <c r="A4051" s="570" t="s">
        <v>220</v>
      </c>
      <c r="B4051" s="547" t="s">
        <v>5430</v>
      </c>
      <c r="C4051" s="554" t="s">
        <v>3641</v>
      </c>
      <c r="D4051" s="554" t="s">
        <v>3642</v>
      </c>
      <c r="E4051" s="554"/>
      <c r="F4051" s="571">
        <v>7</v>
      </c>
      <c r="G4051" s="572">
        <v>2.694</v>
      </c>
      <c r="H4051" s="545">
        <v>18.858000000000001</v>
      </c>
      <c r="I4051" s="554" t="s">
        <v>9218</v>
      </c>
      <c r="J4051" s="554" t="s">
        <v>9219</v>
      </c>
      <c r="K4051" s="554" t="s">
        <v>9219</v>
      </c>
      <c r="L4051" s="537" t="s">
        <v>2354</v>
      </c>
    </row>
    <row r="4052" spans="1:12" x14ac:dyDescent="0.2">
      <c r="A4052" s="570" t="s">
        <v>220</v>
      </c>
      <c r="B4052" s="547" t="s">
        <v>5430</v>
      </c>
      <c r="C4052" s="554" t="s">
        <v>3645</v>
      </c>
      <c r="D4052" s="554" t="s">
        <v>8845</v>
      </c>
      <c r="E4052" s="554"/>
      <c r="F4052" s="571">
        <v>11</v>
      </c>
      <c r="G4052" s="572">
        <v>4.08</v>
      </c>
      <c r="H4052" s="545">
        <v>44.88</v>
      </c>
      <c r="I4052" s="554" t="s">
        <v>9218</v>
      </c>
      <c r="J4052" s="554" t="s">
        <v>9219</v>
      </c>
      <c r="K4052" s="554" t="s">
        <v>9219</v>
      </c>
      <c r="L4052" s="537" t="s">
        <v>2354</v>
      </c>
    </row>
    <row r="4053" spans="1:12" x14ac:dyDescent="0.2">
      <c r="A4053" s="570" t="s">
        <v>220</v>
      </c>
      <c r="B4053" s="547" t="s">
        <v>5430</v>
      </c>
      <c r="C4053" s="554" t="s">
        <v>3647</v>
      </c>
      <c r="D4053" s="554" t="s">
        <v>8846</v>
      </c>
      <c r="E4053" s="554"/>
      <c r="F4053" s="571">
        <v>5</v>
      </c>
      <c r="G4053" s="572">
        <v>3.8759999999999999</v>
      </c>
      <c r="H4053" s="545">
        <v>19.38</v>
      </c>
      <c r="I4053" s="554" t="s">
        <v>9218</v>
      </c>
      <c r="J4053" s="554" t="s">
        <v>9219</v>
      </c>
      <c r="K4053" s="554" t="s">
        <v>9219</v>
      </c>
      <c r="L4053" s="537" t="s">
        <v>2354</v>
      </c>
    </row>
    <row r="4054" spans="1:12" x14ac:dyDescent="0.2">
      <c r="A4054" s="570" t="s">
        <v>220</v>
      </c>
      <c r="B4054" s="547" t="s">
        <v>5430</v>
      </c>
      <c r="C4054" s="554" t="s">
        <v>3649</v>
      </c>
      <c r="D4054" s="554" t="s">
        <v>3650</v>
      </c>
      <c r="E4054" s="554"/>
      <c r="F4054" s="571">
        <v>8</v>
      </c>
      <c r="G4054" s="572">
        <v>5.0270000000000001</v>
      </c>
      <c r="H4054" s="545">
        <v>40.216000000000001</v>
      </c>
      <c r="I4054" s="554" t="s">
        <v>9218</v>
      </c>
      <c r="J4054" s="554" t="s">
        <v>9219</v>
      </c>
      <c r="K4054" s="554" t="s">
        <v>9219</v>
      </c>
      <c r="L4054" s="537" t="s">
        <v>2354</v>
      </c>
    </row>
    <row r="4055" spans="1:12" x14ac:dyDescent="0.2">
      <c r="A4055" s="570" t="s">
        <v>220</v>
      </c>
      <c r="B4055" s="547" t="s">
        <v>5430</v>
      </c>
      <c r="C4055" s="554" t="s">
        <v>3655</v>
      </c>
      <c r="D4055" s="554" t="s">
        <v>3656</v>
      </c>
      <c r="E4055" s="554"/>
      <c r="F4055" s="571">
        <v>44</v>
      </c>
      <c r="G4055" s="572">
        <v>3.774</v>
      </c>
      <c r="H4055" s="545">
        <v>166.05600000000001</v>
      </c>
      <c r="I4055" s="554" t="s">
        <v>9218</v>
      </c>
      <c r="J4055" s="554" t="s">
        <v>9219</v>
      </c>
      <c r="K4055" s="554" t="s">
        <v>9219</v>
      </c>
      <c r="L4055" s="537" t="s">
        <v>2354</v>
      </c>
    </row>
    <row r="4056" spans="1:12" x14ac:dyDescent="0.2">
      <c r="A4056" s="570" t="s">
        <v>220</v>
      </c>
      <c r="B4056" s="547" t="s">
        <v>5430</v>
      </c>
      <c r="C4056" s="554" t="s">
        <v>8847</v>
      </c>
      <c r="D4056" s="554" t="s">
        <v>8848</v>
      </c>
      <c r="E4056" s="554"/>
      <c r="F4056" s="571">
        <v>2</v>
      </c>
      <c r="G4056" s="572">
        <v>2.6419999999999999</v>
      </c>
      <c r="H4056" s="545">
        <v>5.2839999999999998</v>
      </c>
      <c r="I4056" s="554" t="s">
        <v>9218</v>
      </c>
      <c r="J4056" s="554" t="s">
        <v>9219</v>
      </c>
      <c r="K4056" s="554" t="s">
        <v>9219</v>
      </c>
      <c r="L4056" s="537" t="s">
        <v>2354</v>
      </c>
    </row>
    <row r="4057" spans="1:12" x14ac:dyDescent="0.2">
      <c r="A4057" s="570" t="s">
        <v>220</v>
      </c>
      <c r="B4057" s="547" t="s">
        <v>5430</v>
      </c>
      <c r="C4057" s="554" t="s">
        <v>8849</v>
      </c>
      <c r="D4057" s="554" t="s">
        <v>8850</v>
      </c>
      <c r="E4057" s="554"/>
      <c r="F4057" s="573">
        <v>2</v>
      </c>
      <c r="G4057" s="545">
        <v>0</v>
      </c>
      <c r="H4057" s="545">
        <v>0</v>
      </c>
      <c r="I4057" s="554" t="s">
        <v>9218</v>
      </c>
      <c r="J4057" s="554" t="s">
        <v>9219</v>
      </c>
      <c r="K4057" s="554" t="s">
        <v>9219</v>
      </c>
      <c r="L4057" s="537" t="s">
        <v>2354</v>
      </c>
    </row>
    <row r="4058" spans="1:12" x14ac:dyDescent="0.2">
      <c r="A4058" s="570" t="s">
        <v>220</v>
      </c>
      <c r="B4058" s="547" t="s">
        <v>5430</v>
      </c>
      <c r="C4058" s="554" t="s">
        <v>3657</v>
      </c>
      <c r="D4058" s="554" t="s">
        <v>8851</v>
      </c>
      <c r="E4058" s="554"/>
      <c r="F4058" s="571">
        <v>5</v>
      </c>
      <c r="G4058" s="572">
        <v>6.1280000000000001</v>
      </c>
      <c r="H4058" s="545">
        <v>30.64</v>
      </c>
      <c r="I4058" s="554" t="s">
        <v>9218</v>
      </c>
      <c r="J4058" s="554" t="s">
        <v>9219</v>
      </c>
      <c r="K4058" s="554" t="s">
        <v>9219</v>
      </c>
      <c r="L4058" s="537" t="s">
        <v>2354</v>
      </c>
    </row>
    <row r="4059" spans="1:12" x14ac:dyDescent="0.2">
      <c r="A4059" s="570" t="s">
        <v>220</v>
      </c>
      <c r="B4059" s="547" t="s">
        <v>5430</v>
      </c>
      <c r="C4059" s="554" t="s">
        <v>3663</v>
      </c>
      <c r="D4059" s="554" t="s">
        <v>8852</v>
      </c>
      <c r="E4059" s="554"/>
      <c r="F4059" s="571">
        <v>12</v>
      </c>
      <c r="G4059" s="572">
        <v>3.093</v>
      </c>
      <c r="H4059" s="545">
        <v>37.116</v>
      </c>
      <c r="I4059" s="554" t="s">
        <v>9218</v>
      </c>
      <c r="J4059" s="554" t="s">
        <v>9219</v>
      </c>
      <c r="K4059" s="554" t="s">
        <v>9219</v>
      </c>
      <c r="L4059" s="537" t="s">
        <v>2354</v>
      </c>
    </row>
    <row r="4060" spans="1:12" x14ac:dyDescent="0.2">
      <c r="A4060" s="570" t="s">
        <v>220</v>
      </c>
      <c r="B4060" s="547" t="s">
        <v>5430</v>
      </c>
      <c r="C4060" s="554" t="s">
        <v>6563</v>
      </c>
      <c r="D4060" s="554" t="s">
        <v>8853</v>
      </c>
      <c r="E4060" s="554"/>
      <c r="F4060" s="571">
        <v>1</v>
      </c>
      <c r="G4060" s="572">
        <v>1.0920000000000001</v>
      </c>
      <c r="H4060" s="545">
        <v>1.0920000000000001</v>
      </c>
      <c r="I4060" s="554" t="s">
        <v>9218</v>
      </c>
      <c r="J4060" s="554" t="s">
        <v>9219</v>
      </c>
      <c r="K4060" s="554" t="s">
        <v>9219</v>
      </c>
      <c r="L4060" s="537" t="s">
        <v>2354</v>
      </c>
    </row>
    <row r="4061" spans="1:12" x14ac:dyDescent="0.2">
      <c r="A4061" s="570" t="s">
        <v>220</v>
      </c>
      <c r="B4061" s="547" t="s">
        <v>5430</v>
      </c>
      <c r="C4061" s="554" t="s">
        <v>3667</v>
      </c>
      <c r="D4061" s="554" t="s">
        <v>8854</v>
      </c>
      <c r="E4061" s="554"/>
      <c r="F4061" s="571">
        <v>10</v>
      </c>
      <c r="G4061" s="572">
        <v>1.4650000000000001</v>
      </c>
      <c r="H4061" s="545">
        <v>14.65</v>
      </c>
      <c r="I4061" s="554" t="s">
        <v>9218</v>
      </c>
      <c r="J4061" s="554" t="s">
        <v>9219</v>
      </c>
      <c r="K4061" s="554" t="s">
        <v>9219</v>
      </c>
      <c r="L4061" s="537" t="s">
        <v>2354</v>
      </c>
    </row>
    <row r="4062" spans="1:12" x14ac:dyDescent="0.2">
      <c r="A4062" s="570" t="s">
        <v>220</v>
      </c>
      <c r="B4062" s="547" t="s">
        <v>5430</v>
      </c>
      <c r="C4062" s="554" t="s">
        <v>6565</v>
      </c>
      <c r="D4062" s="554" t="s">
        <v>6566</v>
      </c>
      <c r="E4062" s="554"/>
      <c r="F4062" s="571">
        <v>2</v>
      </c>
      <c r="G4062" s="572">
        <v>7.6159999999999997</v>
      </c>
      <c r="H4062" s="545">
        <v>15.231999999999999</v>
      </c>
      <c r="I4062" s="554" t="s">
        <v>9218</v>
      </c>
      <c r="J4062" s="554" t="s">
        <v>9219</v>
      </c>
      <c r="K4062" s="554" t="s">
        <v>9219</v>
      </c>
      <c r="L4062" s="537" t="s">
        <v>2354</v>
      </c>
    </row>
    <row r="4063" spans="1:12" x14ac:dyDescent="0.2">
      <c r="A4063" s="570" t="s">
        <v>220</v>
      </c>
      <c r="B4063" s="547" t="s">
        <v>5430</v>
      </c>
      <c r="C4063" s="554" t="s">
        <v>6567</v>
      </c>
      <c r="D4063" s="554" t="s">
        <v>8855</v>
      </c>
      <c r="E4063" s="554"/>
      <c r="F4063" s="571">
        <v>8</v>
      </c>
      <c r="G4063" s="572">
        <v>1.161</v>
      </c>
      <c r="H4063" s="545">
        <v>9.2880000000000003</v>
      </c>
      <c r="I4063" s="554" t="s">
        <v>9218</v>
      </c>
      <c r="J4063" s="554" t="s">
        <v>9219</v>
      </c>
      <c r="K4063" s="554" t="s">
        <v>9219</v>
      </c>
      <c r="L4063" s="537" t="s">
        <v>2354</v>
      </c>
    </row>
    <row r="4064" spans="1:12" x14ac:dyDescent="0.2">
      <c r="A4064" s="570" t="s">
        <v>220</v>
      </c>
      <c r="B4064" s="547" t="s">
        <v>5430</v>
      </c>
      <c r="C4064" s="554" t="s">
        <v>6569</v>
      </c>
      <c r="D4064" s="554" t="s">
        <v>8856</v>
      </c>
      <c r="E4064" s="554"/>
      <c r="F4064" s="571">
        <v>9</v>
      </c>
      <c r="G4064" s="572">
        <v>3.2269999999999999</v>
      </c>
      <c r="H4064" s="545">
        <v>29.042999999999999</v>
      </c>
      <c r="I4064" s="554" t="s">
        <v>9218</v>
      </c>
      <c r="J4064" s="554" t="s">
        <v>9219</v>
      </c>
      <c r="K4064" s="554" t="s">
        <v>9219</v>
      </c>
      <c r="L4064" s="537" t="s">
        <v>2354</v>
      </c>
    </row>
    <row r="4065" spans="1:12" x14ac:dyDescent="0.2">
      <c r="A4065" s="570" t="s">
        <v>220</v>
      </c>
      <c r="B4065" s="547" t="s">
        <v>5430</v>
      </c>
      <c r="C4065" s="554" t="s">
        <v>6571</v>
      </c>
      <c r="D4065" s="554" t="s">
        <v>6572</v>
      </c>
      <c r="E4065" s="554"/>
      <c r="F4065" s="571">
        <v>3</v>
      </c>
      <c r="G4065" s="572">
        <v>1.361</v>
      </c>
      <c r="H4065" s="545">
        <v>4.0830000000000002</v>
      </c>
      <c r="I4065" s="554" t="s">
        <v>9218</v>
      </c>
      <c r="J4065" s="554" t="s">
        <v>9219</v>
      </c>
      <c r="K4065" s="554" t="s">
        <v>9219</v>
      </c>
      <c r="L4065" s="537" t="s">
        <v>2354</v>
      </c>
    </row>
    <row r="4066" spans="1:12" x14ac:dyDescent="0.2">
      <c r="A4066" s="570" t="s">
        <v>220</v>
      </c>
      <c r="B4066" s="547" t="s">
        <v>5430</v>
      </c>
      <c r="C4066" s="554" t="s">
        <v>6573</v>
      </c>
      <c r="D4066" s="554" t="s">
        <v>6574</v>
      </c>
      <c r="E4066" s="554"/>
      <c r="F4066" s="571">
        <v>30</v>
      </c>
      <c r="G4066" s="572">
        <v>0.38300000000000001</v>
      </c>
      <c r="H4066" s="545">
        <v>11.49</v>
      </c>
      <c r="I4066" s="554" t="s">
        <v>9218</v>
      </c>
      <c r="J4066" s="554" t="s">
        <v>9219</v>
      </c>
      <c r="K4066" s="554" t="s">
        <v>9219</v>
      </c>
      <c r="L4066" s="537" t="s">
        <v>2354</v>
      </c>
    </row>
    <row r="4067" spans="1:12" x14ac:dyDescent="0.2">
      <c r="A4067" s="570" t="s">
        <v>220</v>
      </c>
      <c r="B4067" s="547" t="s">
        <v>5430</v>
      </c>
      <c r="C4067" s="554" t="s">
        <v>6575</v>
      </c>
      <c r="D4067" s="554" t="s">
        <v>8857</v>
      </c>
      <c r="E4067" s="554"/>
      <c r="F4067" s="571">
        <v>2</v>
      </c>
      <c r="G4067" s="572">
        <v>2.97</v>
      </c>
      <c r="H4067" s="545">
        <v>5.94</v>
      </c>
      <c r="I4067" s="554" t="s">
        <v>9218</v>
      </c>
      <c r="J4067" s="554" t="s">
        <v>9219</v>
      </c>
      <c r="K4067" s="554" t="s">
        <v>9219</v>
      </c>
      <c r="L4067" s="537" t="s">
        <v>2354</v>
      </c>
    </row>
    <row r="4068" spans="1:12" x14ac:dyDescent="0.2">
      <c r="A4068" s="570" t="s">
        <v>220</v>
      </c>
      <c r="B4068" s="547" t="s">
        <v>5430</v>
      </c>
      <c r="C4068" s="554" t="s">
        <v>3683</v>
      </c>
      <c r="D4068" s="554" t="s">
        <v>3684</v>
      </c>
      <c r="E4068" s="554"/>
      <c r="F4068" s="571">
        <v>6</v>
      </c>
      <c r="G4068" s="572">
        <v>2.7029999999999998</v>
      </c>
      <c r="H4068" s="545">
        <v>16.218</v>
      </c>
      <c r="I4068" s="554" t="s">
        <v>9218</v>
      </c>
      <c r="J4068" s="554" t="s">
        <v>9219</v>
      </c>
      <c r="K4068" s="554" t="s">
        <v>9219</v>
      </c>
      <c r="L4068" s="537" t="s">
        <v>2354</v>
      </c>
    </row>
    <row r="4069" spans="1:12" x14ac:dyDescent="0.2">
      <c r="A4069" s="570" t="s">
        <v>220</v>
      </c>
      <c r="B4069" s="547" t="s">
        <v>5430</v>
      </c>
      <c r="C4069" s="554" t="s">
        <v>3687</v>
      </c>
      <c r="D4069" s="554" t="s">
        <v>8858</v>
      </c>
      <c r="E4069" s="554"/>
      <c r="F4069" s="571">
        <v>2</v>
      </c>
      <c r="G4069" s="572">
        <v>2.2970000000000002</v>
      </c>
      <c r="H4069" s="545">
        <v>4.5940000000000003</v>
      </c>
      <c r="I4069" s="554" t="s">
        <v>9218</v>
      </c>
      <c r="J4069" s="554" t="s">
        <v>9219</v>
      </c>
      <c r="K4069" s="554" t="s">
        <v>9219</v>
      </c>
      <c r="L4069" s="537" t="s">
        <v>2354</v>
      </c>
    </row>
    <row r="4070" spans="1:12" x14ac:dyDescent="0.2">
      <c r="A4070" s="570" t="s">
        <v>220</v>
      </c>
      <c r="B4070" s="547" t="s">
        <v>5430</v>
      </c>
      <c r="C4070" s="554" t="s">
        <v>3689</v>
      </c>
      <c r="D4070" s="554" t="s">
        <v>8859</v>
      </c>
      <c r="E4070" s="554"/>
      <c r="F4070" s="571">
        <v>5</v>
      </c>
      <c r="G4070" s="572">
        <v>1.5469999999999999</v>
      </c>
      <c r="H4070" s="545">
        <v>7.7349999999999994</v>
      </c>
      <c r="I4070" s="554" t="s">
        <v>9218</v>
      </c>
      <c r="J4070" s="554" t="s">
        <v>9219</v>
      </c>
      <c r="K4070" s="554" t="s">
        <v>9219</v>
      </c>
      <c r="L4070" s="537" t="s">
        <v>2354</v>
      </c>
    </row>
    <row r="4071" spans="1:12" x14ac:dyDescent="0.2">
      <c r="A4071" s="570" t="s">
        <v>220</v>
      </c>
      <c r="B4071" s="547" t="s">
        <v>5430</v>
      </c>
      <c r="C4071" s="554" t="s">
        <v>3691</v>
      </c>
      <c r="D4071" s="554" t="s">
        <v>3692</v>
      </c>
      <c r="E4071" s="554"/>
      <c r="F4071" s="571">
        <v>2</v>
      </c>
      <c r="G4071" s="572">
        <v>1.1140000000000001</v>
      </c>
      <c r="H4071" s="545">
        <v>2.2280000000000002</v>
      </c>
      <c r="I4071" s="554" t="s">
        <v>9218</v>
      </c>
      <c r="J4071" s="554" t="s">
        <v>9219</v>
      </c>
      <c r="K4071" s="554" t="s">
        <v>9219</v>
      </c>
      <c r="L4071" s="537" t="s">
        <v>2354</v>
      </c>
    </row>
    <row r="4072" spans="1:12" x14ac:dyDescent="0.2">
      <c r="A4072" s="570" t="s">
        <v>220</v>
      </c>
      <c r="B4072" s="547" t="s">
        <v>5430</v>
      </c>
      <c r="C4072" s="554" t="s">
        <v>3693</v>
      </c>
      <c r="D4072" s="554" t="s">
        <v>8860</v>
      </c>
      <c r="E4072" s="554"/>
      <c r="F4072" s="571">
        <v>9</v>
      </c>
      <c r="G4072" s="572">
        <v>2.7610000000000001</v>
      </c>
      <c r="H4072" s="545">
        <v>24.849</v>
      </c>
      <c r="I4072" s="554" t="s">
        <v>9218</v>
      </c>
      <c r="J4072" s="554" t="s">
        <v>9219</v>
      </c>
      <c r="K4072" s="554" t="s">
        <v>9219</v>
      </c>
      <c r="L4072" s="537" t="s">
        <v>2354</v>
      </c>
    </row>
    <row r="4073" spans="1:12" x14ac:dyDescent="0.2">
      <c r="A4073" s="570" t="s">
        <v>220</v>
      </c>
      <c r="B4073" s="547" t="s">
        <v>5430</v>
      </c>
      <c r="C4073" s="554" t="s">
        <v>6577</v>
      </c>
      <c r="D4073" s="554" t="s">
        <v>8861</v>
      </c>
      <c r="E4073" s="554"/>
      <c r="F4073" s="571">
        <v>1</v>
      </c>
      <c r="G4073" s="572">
        <v>1.234</v>
      </c>
      <c r="H4073" s="545">
        <v>1.234</v>
      </c>
      <c r="I4073" s="554" t="s">
        <v>9218</v>
      </c>
      <c r="J4073" s="554" t="s">
        <v>9219</v>
      </c>
      <c r="K4073" s="554" t="s">
        <v>9219</v>
      </c>
      <c r="L4073" s="537" t="s">
        <v>2354</v>
      </c>
    </row>
    <row r="4074" spans="1:12" x14ac:dyDescent="0.2">
      <c r="A4074" s="570" t="s">
        <v>220</v>
      </c>
      <c r="B4074" s="547" t="s">
        <v>5430</v>
      </c>
      <c r="C4074" s="554" t="s">
        <v>6579</v>
      </c>
      <c r="D4074" s="554" t="s">
        <v>8862</v>
      </c>
      <c r="E4074" s="554"/>
      <c r="F4074" s="571">
        <v>2</v>
      </c>
      <c r="G4074" s="572">
        <v>4.0970000000000004</v>
      </c>
      <c r="H4074" s="545">
        <v>8.1940000000000008</v>
      </c>
      <c r="I4074" s="554" t="s">
        <v>9218</v>
      </c>
      <c r="J4074" s="554" t="s">
        <v>9219</v>
      </c>
      <c r="K4074" s="554" t="s">
        <v>9219</v>
      </c>
      <c r="L4074" s="537" t="s">
        <v>2354</v>
      </c>
    </row>
    <row r="4075" spans="1:12" x14ac:dyDescent="0.2">
      <c r="A4075" s="570" t="s">
        <v>220</v>
      </c>
      <c r="B4075" s="547" t="s">
        <v>5430</v>
      </c>
      <c r="C4075" s="554" t="s">
        <v>6581</v>
      </c>
      <c r="D4075" s="554" t="s">
        <v>6582</v>
      </c>
      <c r="E4075" s="554"/>
      <c r="F4075" s="571">
        <v>8</v>
      </c>
      <c r="G4075" s="572">
        <v>13.279</v>
      </c>
      <c r="H4075" s="545">
        <v>106.232</v>
      </c>
      <c r="I4075" s="554" t="s">
        <v>9218</v>
      </c>
      <c r="J4075" s="554" t="s">
        <v>9219</v>
      </c>
      <c r="K4075" s="554" t="s">
        <v>9219</v>
      </c>
      <c r="L4075" s="537" t="s">
        <v>2354</v>
      </c>
    </row>
    <row r="4076" spans="1:12" x14ac:dyDescent="0.2">
      <c r="A4076" s="570" t="s">
        <v>220</v>
      </c>
      <c r="B4076" s="547" t="s">
        <v>5430</v>
      </c>
      <c r="C4076" s="554" t="s">
        <v>6583</v>
      </c>
      <c r="D4076" s="554" t="s">
        <v>6584</v>
      </c>
      <c r="E4076" s="554"/>
      <c r="F4076" s="571">
        <v>10</v>
      </c>
      <c r="G4076" s="572">
        <v>3.7829999999999999</v>
      </c>
      <c r="H4076" s="545">
        <v>37.83</v>
      </c>
      <c r="I4076" s="554" t="s">
        <v>9218</v>
      </c>
      <c r="J4076" s="554" t="s">
        <v>9219</v>
      </c>
      <c r="K4076" s="554" t="s">
        <v>9219</v>
      </c>
      <c r="L4076" s="537" t="s">
        <v>2354</v>
      </c>
    </row>
    <row r="4077" spans="1:12" x14ac:dyDescent="0.2">
      <c r="A4077" s="570" t="s">
        <v>220</v>
      </c>
      <c r="B4077" s="547" t="s">
        <v>5430</v>
      </c>
      <c r="C4077" s="554" t="s">
        <v>6585</v>
      </c>
      <c r="D4077" s="554" t="s">
        <v>6586</v>
      </c>
      <c r="E4077" s="554"/>
      <c r="F4077" s="571">
        <v>3</v>
      </c>
      <c r="G4077" s="572">
        <v>0.86699999999999999</v>
      </c>
      <c r="H4077" s="545">
        <v>2.601</v>
      </c>
      <c r="I4077" s="554" t="s">
        <v>9218</v>
      </c>
      <c r="J4077" s="554" t="s">
        <v>9219</v>
      </c>
      <c r="K4077" s="554" t="s">
        <v>9219</v>
      </c>
      <c r="L4077" s="537" t="s">
        <v>2354</v>
      </c>
    </row>
    <row r="4078" spans="1:12" x14ac:dyDescent="0.2">
      <c r="A4078" s="570" t="s">
        <v>220</v>
      </c>
      <c r="B4078" s="547" t="s">
        <v>5430</v>
      </c>
      <c r="C4078" s="554" t="s">
        <v>6587</v>
      </c>
      <c r="D4078" s="554" t="s">
        <v>6588</v>
      </c>
      <c r="E4078" s="554"/>
      <c r="F4078" s="571">
        <v>32</v>
      </c>
      <c r="G4078" s="572">
        <v>0.51</v>
      </c>
      <c r="H4078" s="545">
        <v>16.32</v>
      </c>
      <c r="I4078" s="554" t="s">
        <v>9218</v>
      </c>
      <c r="J4078" s="554" t="s">
        <v>9219</v>
      </c>
      <c r="K4078" s="554" t="s">
        <v>9219</v>
      </c>
      <c r="L4078" s="537" t="s">
        <v>2354</v>
      </c>
    </row>
    <row r="4079" spans="1:12" x14ac:dyDescent="0.2">
      <c r="A4079" s="570" t="s">
        <v>220</v>
      </c>
      <c r="B4079" s="547" t="s">
        <v>5430</v>
      </c>
      <c r="C4079" s="554" t="s">
        <v>6589</v>
      </c>
      <c r="D4079" s="554" t="s">
        <v>6590</v>
      </c>
      <c r="E4079" s="554"/>
      <c r="F4079" s="571">
        <v>5</v>
      </c>
      <c r="G4079" s="572">
        <v>1.504</v>
      </c>
      <c r="H4079" s="545">
        <v>7.52</v>
      </c>
      <c r="I4079" s="554" t="s">
        <v>9218</v>
      </c>
      <c r="J4079" s="554" t="s">
        <v>9219</v>
      </c>
      <c r="K4079" s="554" t="s">
        <v>9219</v>
      </c>
      <c r="L4079" s="537" t="s">
        <v>2354</v>
      </c>
    </row>
    <row r="4080" spans="1:12" x14ac:dyDescent="0.2">
      <c r="A4080" s="570" t="s">
        <v>220</v>
      </c>
      <c r="B4080" s="547" t="s">
        <v>5430</v>
      </c>
      <c r="C4080" s="554" t="s">
        <v>3709</v>
      </c>
      <c r="D4080" s="554" t="s">
        <v>8863</v>
      </c>
      <c r="E4080" s="554"/>
      <c r="F4080" s="571">
        <v>9</v>
      </c>
      <c r="G4080" s="572">
        <v>8.8970000000000002</v>
      </c>
      <c r="H4080" s="545">
        <v>80.073000000000008</v>
      </c>
      <c r="I4080" s="554" t="s">
        <v>9218</v>
      </c>
      <c r="J4080" s="554" t="s">
        <v>9219</v>
      </c>
      <c r="K4080" s="554" t="s">
        <v>9219</v>
      </c>
      <c r="L4080" s="537" t="s">
        <v>2354</v>
      </c>
    </row>
    <row r="4081" spans="1:12" x14ac:dyDescent="0.2">
      <c r="A4081" s="570" t="s">
        <v>220</v>
      </c>
      <c r="B4081" s="547" t="s">
        <v>5430</v>
      </c>
      <c r="C4081" s="554" t="s">
        <v>6591</v>
      </c>
      <c r="D4081" s="554" t="s">
        <v>8864</v>
      </c>
      <c r="E4081" s="554"/>
      <c r="F4081" s="571">
        <v>9</v>
      </c>
      <c r="G4081" s="572">
        <v>7.6470000000000002</v>
      </c>
      <c r="H4081" s="545">
        <v>68.823000000000008</v>
      </c>
      <c r="I4081" s="554" t="s">
        <v>9218</v>
      </c>
      <c r="J4081" s="554" t="s">
        <v>9219</v>
      </c>
      <c r="K4081" s="554" t="s">
        <v>9219</v>
      </c>
      <c r="L4081" s="537" t="s">
        <v>2354</v>
      </c>
    </row>
    <row r="4082" spans="1:12" x14ac:dyDescent="0.2">
      <c r="A4082" s="570" t="s">
        <v>220</v>
      </c>
      <c r="B4082" s="547" t="s">
        <v>5430</v>
      </c>
      <c r="C4082" s="554" t="s">
        <v>6593</v>
      </c>
      <c r="D4082" s="554" t="s">
        <v>6594</v>
      </c>
      <c r="E4082" s="554"/>
      <c r="F4082" s="571">
        <v>1</v>
      </c>
      <c r="G4082" s="572">
        <v>7.7549999999999999</v>
      </c>
      <c r="H4082" s="545">
        <v>7.7549999999999999</v>
      </c>
      <c r="I4082" s="554" t="s">
        <v>9218</v>
      </c>
      <c r="J4082" s="554" t="s">
        <v>9219</v>
      </c>
      <c r="K4082" s="554" t="s">
        <v>9219</v>
      </c>
      <c r="L4082" s="537" t="s">
        <v>2354</v>
      </c>
    </row>
    <row r="4083" spans="1:12" x14ac:dyDescent="0.2">
      <c r="A4083" s="570" t="s">
        <v>220</v>
      </c>
      <c r="B4083" s="547" t="s">
        <v>5430</v>
      </c>
      <c r="C4083" s="554" t="s">
        <v>6595</v>
      </c>
      <c r="D4083" s="554" t="s">
        <v>6596</v>
      </c>
      <c r="E4083" s="554"/>
      <c r="F4083" s="571">
        <v>2</v>
      </c>
      <c r="G4083" s="572">
        <v>0.86699999999999999</v>
      </c>
      <c r="H4083" s="545">
        <v>1.734</v>
      </c>
      <c r="I4083" s="554" t="s">
        <v>9218</v>
      </c>
      <c r="J4083" s="554" t="s">
        <v>9219</v>
      </c>
      <c r="K4083" s="554" t="s">
        <v>9219</v>
      </c>
      <c r="L4083" s="537" t="s">
        <v>2354</v>
      </c>
    </row>
    <row r="4084" spans="1:12" x14ac:dyDescent="0.2">
      <c r="A4084" s="570" t="s">
        <v>220</v>
      </c>
      <c r="B4084" s="547" t="s">
        <v>5430</v>
      </c>
      <c r="C4084" s="554" t="s">
        <v>6597</v>
      </c>
      <c r="D4084" s="554" t="s">
        <v>8865</v>
      </c>
      <c r="E4084" s="554"/>
      <c r="F4084" s="571">
        <v>2</v>
      </c>
      <c r="G4084" s="572">
        <v>5.4480000000000004</v>
      </c>
      <c r="H4084" s="545">
        <v>10.896000000000001</v>
      </c>
      <c r="I4084" s="554" t="s">
        <v>9218</v>
      </c>
      <c r="J4084" s="554" t="s">
        <v>9219</v>
      </c>
      <c r="K4084" s="554" t="s">
        <v>9219</v>
      </c>
      <c r="L4084" s="537" t="s">
        <v>2354</v>
      </c>
    </row>
    <row r="4085" spans="1:12" x14ac:dyDescent="0.2">
      <c r="A4085" s="570" t="s">
        <v>220</v>
      </c>
      <c r="B4085" s="547" t="s">
        <v>5430</v>
      </c>
      <c r="C4085" s="554" t="s">
        <v>3739</v>
      </c>
      <c r="D4085" s="554" t="s">
        <v>8866</v>
      </c>
      <c r="E4085" s="554"/>
      <c r="F4085" s="571">
        <v>7</v>
      </c>
      <c r="G4085" s="572">
        <v>3.0430000000000001</v>
      </c>
      <c r="H4085" s="545">
        <v>21.301000000000002</v>
      </c>
      <c r="I4085" s="554" t="s">
        <v>9218</v>
      </c>
      <c r="J4085" s="554" t="s">
        <v>9219</v>
      </c>
      <c r="K4085" s="554" t="s">
        <v>9219</v>
      </c>
      <c r="L4085" s="537" t="s">
        <v>2354</v>
      </c>
    </row>
    <row r="4086" spans="1:12" x14ac:dyDescent="0.2">
      <c r="A4086" s="570" t="s">
        <v>220</v>
      </c>
      <c r="B4086" s="547" t="s">
        <v>5430</v>
      </c>
      <c r="C4086" s="554" t="s">
        <v>3741</v>
      </c>
      <c r="D4086" s="554" t="s">
        <v>3742</v>
      </c>
      <c r="E4086" s="554"/>
      <c r="F4086" s="571">
        <v>8</v>
      </c>
      <c r="G4086" s="572">
        <v>2.1070000000000002</v>
      </c>
      <c r="H4086" s="545">
        <v>16.856000000000002</v>
      </c>
      <c r="I4086" s="554" t="s">
        <v>9218</v>
      </c>
      <c r="J4086" s="554" t="s">
        <v>9219</v>
      </c>
      <c r="K4086" s="554" t="s">
        <v>9219</v>
      </c>
      <c r="L4086" s="537" t="s">
        <v>2354</v>
      </c>
    </row>
    <row r="4087" spans="1:12" x14ac:dyDescent="0.2">
      <c r="A4087" s="570" t="s">
        <v>220</v>
      </c>
      <c r="B4087" s="547" t="s">
        <v>5430</v>
      </c>
      <c r="C4087" s="554" t="s">
        <v>3745</v>
      </c>
      <c r="D4087" s="554" t="s">
        <v>8867</v>
      </c>
      <c r="E4087" s="554"/>
      <c r="F4087" s="571">
        <v>10</v>
      </c>
      <c r="G4087" s="572">
        <v>3.1779999999999999</v>
      </c>
      <c r="H4087" s="545">
        <v>31.78</v>
      </c>
      <c r="I4087" s="554" t="s">
        <v>9218</v>
      </c>
      <c r="J4087" s="554" t="s">
        <v>9219</v>
      </c>
      <c r="K4087" s="554" t="s">
        <v>9219</v>
      </c>
      <c r="L4087" s="537" t="s">
        <v>2354</v>
      </c>
    </row>
    <row r="4088" spans="1:12" x14ac:dyDescent="0.2">
      <c r="A4088" s="570" t="s">
        <v>220</v>
      </c>
      <c r="B4088" s="547" t="s">
        <v>5430</v>
      </c>
      <c r="C4088" s="554" t="s">
        <v>6603</v>
      </c>
      <c r="D4088" s="554" t="s">
        <v>6604</v>
      </c>
      <c r="E4088" s="554"/>
      <c r="F4088" s="571">
        <v>8</v>
      </c>
      <c r="G4088" s="572">
        <v>9.8780000000000001</v>
      </c>
      <c r="H4088" s="545">
        <v>79.024000000000001</v>
      </c>
      <c r="I4088" s="554" t="s">
        <v>9218</v>
      </c>
      <c r="J4088" s="554" t="s">
        <v>9219</v>
      </c>
      <c r="K4088" s="554" t="s">
        <v>9219</v>
      </c>
      <c r="L4088" s="537" t="s">
        <v>2354</v>
      </c>
    </row>
    <row r="4089" spans="1:12" x14ac:dyDescent="0.2">
      <c r="A4089" s="570" t="s">
        <v>220</v>
      </c>
      <c r="B4089" s="547" t="s">
        <v>5430</v>
      </c>
      <c r="C4089" s="554" t="s">
        <v>6605</v>
      </c>
      <c r="D4089" s="554" t="s">
        <v>8868</v>
      </c>
      <c r="E4089" s="554"/>
      <c r="F4089" s="571">
        <v>18.13</v>
      </c>
      <c r="G4089" s="572">
        <v>36.197000000000003</v>
      </c>
      <c r="H4089" s="545">
        <v>656.25161000000003</v>
      </c>
      <c r="I4089" s="554" t="s">
        <v>9218</v>
      </c>
      <c r="J4089" s="554" t="s">
        <v>9219</v>
      </c>
      <c r="K4089" s="554" t="s">
        <v>9219</v>
      </c>
      <c r="L4089" s="537" t="s">
        <v>2354</v>
      </c>
    </row>
    <row r="4090" spans="1:12" x14ac:dyDescent="0.2">
      <c r="A4090" s="570" t="s">
        <v>220</v>
      </c>
      <c r="B4090" s="547" t="s">
        <v>5430</v>
      </c>
      <c r="C4090" s="554" t="s">
        <v>6607</v>
      </c>
      <c r="D4090" s="554" t="s">
        <v>6608</v>
      </c>
      <c r="E4090" s="554"/>
      <c r="F4090" s="571">
        <v>3</v>
      </c>
      <c r="G4090" s="572">
        <v>2.3279999999999998</v>
      </c>
      <c r="H4090" s="545">
        <v>6.984</v>
      </c>
      <c r="I4090" s="554" t="s">
        <v>9218</v>
      </c>
      <c r="J4090" s="554" t="s">
        <v>9219</v>
      </c>
      <c r="K4090" s="554" t="s">
        <v>9219</v>
      </c>
      <c r="L4090" s="537" t="s">
        <v>2354</v>
      </c>
    </row>
    <row r="4091" spans="1:12" x14ac:dyDescent="0.2">
      <c r="A4091" s="570" t="s">
        <v>220</v>
      </c>
      <c r="B4091" s="547" t="s">
        <v>5430</v>
      </c>
      <c r="C4091" s="554" t="s">
        <v>6609</v>
      </c>
      <c r="D4091" s="554" t="s">
        <v>8869</v>
      </c>
      <c r="E4091" s="554"/>
      <c r="F4091" s="571">
        <v>6</v>
      </c>
      <c r="G4091" s="572">
        <v>20.314</v>
      </c>
      <c r="H4091" s="545">
        <v>121.884</v>
      </c>
      <c r="I4091" s="554" t="s">
        <v>9218</v>
      </c>
      <c r="J4091" s="554" t="s">
        <v>9219</v>
      </c>
      <c r="K4091" s="554" t="s">
        <v>9219</v>
      </c>
      <c r="L4091" s="537" t="s">
        <v>2354</v>
      </c>
    </row>
    <row r="4092" spans="1:12" x14ac:dyDescent="0.2">
      <c r="A4092" s="570" t="s">
        <v>220</v>
      </c>
      <c r="B4092" s="547" t="s">
        <v>5430</v>
      </c>
      <c r="C4092" s="554" t="s">
        <v>6611</v>
      </c>
      <c r="D4092" s="554" t="s">
        <v>6612</v>
      </c>
      <c r="E4092" s="554"/>
      <c r="F4092" s="571">
        <v>20</v>
      </c>
      <c r="G4092" s="572">
        <v>1.974</v>
      </c>
      <c r="H4092" s="545">
        <v>39.479999999999997</v>
      </c>
      <c r="I4092" s="554" t="s">
        <v>9218</v>
      </c>
      <c r="J4092" s="554" t="s">
        <v>9219</v>
      </c>
      <c r="K4092" s="554" t="s">
        <v>9219</v>
      </c>
      <c r="L4092" s="537" t="s">
        <v>2354</v>
      </c>
    </row>
    <row r="4093" spans="1:12" x14ac:dyDescent="0.2">
      <c r="A4093" s="570" t="s">
        <v>220</v>
      </c>
      <c r="B4093" s="547" t="s">
        <v>5430</v>
      </c>
      <c r="C4093" s="554" t="s">
        <v>6613</v>
      </c>
      <c r="D4093" s="554" t="s">
        <v>8870</v>
      </c>
      <c r="E4093" s="554"/>
      <c r="F4093" s="571">
        <v>5</v>
      </c>
      <c r="G4093" s="572">
        <v>56.277000000000001</v>
      </c>
      <c r="H4093" s="545">
        <v>281.38499999999999</v>
      </c>
      <c r="I4093" s="554" t="s">
        <v>9218</v>
      </c>
      <c r="J4093" s="554" t="s">
        <v>9219</v>
      </c>
      <c r="K4093" s="554" t="s">
        <v>9219</v>
      </c>
      <c r="L4093" s="537" t="s">
        <v>2354</v>
      </c>
    </row>
    <row r="4094" spans="1:12" x14ac:dyDescent="0.2">
      <c r="A4094" s="570" t="s">
        <v>220</v>
      </c>
      <c r="B4094" s="547" t="s">
        <v>5430</v>
      </c>
      <c r="C4094" s="554" t="s">
        <v>8871</v>
      </c>
      <c r="D4094" s="554" t="s">
        <v>8872</v>
      </c>
      <c r="E4094" s="554"/>
      <c r="F4094" s="571">
        <v>8</v>
      </c>
      <c r="G4094" s="572">
        <v>20.795000000000002</v>
      </c>
      <c r="H4094" s="545">
        <v>166.36</v>
      </c>
      <c r="I4094" s="554" t="s">
        <v>9218</v>
      </c>
      <c r="J4094" s="554" t="s">
        <v>9219</v>
      </c>
      <c r="K4094" s="554" t="s">
        <v>9219</v>
      </c>
      <c r="L4094" s="537" t="s">
        <v>2354</v>
      </c>
    </row>
    <row r="4095" spans="1:12" x14ac:dyDescent="0.2">
      <c r="A4095" s="570" t="s">
        <v>220</v>
      </c>
      <c r="B4095" s="547" t="s">
        <v>5430</v>
      </c>
      <c r="C4095" s="554" t="s">
        <v>8873</v>
      </c>
      <c r="D4095" s="554" t="s">
        <v>8874</v>
      </c>
      <c r="E4095" s="554"/>
      <c r="F4095" s="571">
        <v>18</v>
      </c>
      <c r="G4095" s="572">
        <v>3.5219999999999998</v>
      </c>
      <c r="H4095" s="545">
        <v>63.395999999999994</v>
      </c>
      <c r="I4095" s="554" t="s">
        <v>9218</v>
      </c>
      <c r="J4095" s="554" t="s">
        <v>9219</v>
      </c>
      <c r="K4095" s="554" t="s">
        <v>9219</v>
      </c>
      <c r="L4095" s="537" t="s">
        <v>2354</v>
      </c>
    </row>
    <row r="4096" spans="1:12" x14ac:dyDescent="0.2">
      <c r="A4096" s="570" t="s">
        <v>220</v>
      </c>
      <c r="B4096" s="547" t="s">
        <v>5430</v>
      </c>
      <c r="C4096" s="554" t="s">
        <v>8875</v>
      </c>
      <c r="D4096" s="554" t="s">
        <v>8876</v>
      </c>
      <c r="E4096" s="554"/>
      <c r="F4096" s="571">
        <v>12</v>
      </c>
      <c r="G4096" s="572">
        <v>5.806</v>
      </c>
      <c r="H4096" s="545">
        <v>69.671999999999997</v>
      </c>
      <c r="I4096" s="554" t="s">
        <v>9218</v>
      </c>
      <c r="J4096" s="554" t="s">
        <v>9219</v>
      </c>
      <c r="K4096" s="554" t="s">
        <v>9219</v>
      </c>
      <c r="L4096" s="537" t="s">
        <v>2354</v>
      </c>
    </row>
    <row r="4097" spans="1:12" x14ac:dyDescent="0.2">
      <c r="A4097" s="570" t="s">
        <v>220</v>
      </c>
      <c r="B4097" s="547" t="s">
        <v>5430</v>
      </c>
      <c r="C4097" s="554" t="s">
        <v>8877</v>
      </c>
      <c r="D4097" s="554" t="s">
        <v>8878</v>
      </c>
      <c r="E4097" s="554"/>
      <c r="F4097" s="571">
        <v>20</v>
      </c>
      <c r="G4097" s="572">
        <v>8.7140000000000004</v>
      </c>
      <c r="H4097" s="545">
        <v>174.28</v>
      </c>
      <c r="I4097" s="554" t="s">
        <v>9218</v>
      </c>
      <c r="J4097" s="554" t="s">
        <v>9219</v>
      </c>
      <c r="K4097" s="554" t="s">
        <v>9219</v>
      </c>
      <c r="L4097" s="537" t="s">
        <v>2354</v>
      </c>
    </row>
    <row r="4098" spans="1:12" x14ac:dyDescent="0.2">
      <c r="A4098" s="570" t="s">
        <v>220</v>
      </c>
      <c r="B4098" s="547" t="s">
        <v>5430</v>
      </c>
      <c r="C4098" s="554" t="s">
        <v>8879</v>
      </c>
      <c r="D4098" s="554" t="s">
        <v>6616</v>
      </c>
      <c r="E4098" s="554"/>
      <c r="F4098" s="571">
        <v>8</v>
      </c>
      <c r="G4098" s="572">
        <v>4.41</v>
      </c>
      <c r="H4098" s="545">
        <v>35.28</v>
      </c>
      <c r="I4098" s="554" t="s">
        <v>9218</v>
      </c>
      <c r="J4098" s="554" t="s">
        <v>9219</v>
      </c>
      <c r="K4098" s="554" t="s">
        <v>9219</v>
      </c>
      <c r="L4098" s="537" t="s">
        <v>2354</v>
      </c>
    </row>
    <row r="4099" spans="1:12" x14ac:dyDescent="0.2">
      <c r="A4099" s="570" t="s">
        <v>220</v>
      </c>
      <c r="B4099" s="547" t="s">
        <v>5430</v>
      </c>
      <c r="C4099" s="554" t="s">
        <v>6617</v>
      </c>
      <c r="D4099" s="554" t="s">
        <v>8880</v>
      </c>
      <c r="E4099" s="554"/>
      <c r="F4099" s="571">
        <v>6</v>
      </c>
      <c r="G4099" s="572">
        <v>23.122</v>
      </c>
      <c r="H4099" s="545">
        <v>138.732</v>
      </c>
      <c r="I4099" s="554" t="s">
        <v>9218</v>
      </c>
      <c r="J4099" s="554" t="s">
        <v>9219</v>
      </c>
      <c r="K4099" s="554" t="s">
        <v>9219</v>
      </c>
      <c r="L4099" s="537" t="s">
        <v>2354</v>
      </c>
    </row>
    <row r="4100" spans="1:12" x14ac:dyDescent="0.2">
      <c r="A4100" s="570" t="s">
        <v>220</v>
      </c>
      <c r="B4100" s="547" t="s">
        <v>5430</v>
      </c>
      <c r="C4100" s="554" t="s">
        <v>6619</v>
      </c>
      <c r="D4100" s="554" t="s">
        <v>6620</v>
      </c>
      <c r="E4100" s="554"/>
      <c r="F4100" s="571">
        <v>1</v>
      </c>
      <c r="G4100" s="572">
        <v>21.448</v>
      </c>
      <c r="H4100" s="545">
        <v>21.448</v>
      </c>
      <c r="I4100" s="554" t="s">
        <v>9218</v>
      </c>
      <c r="J4100" s="554" t="s">
        <v>9219</v>
      </c>
      <c r="K4100" s="554" t="s">
        <v>9219</v>
      </c>
      <c r="L4100" s="537" t="s">
        <v>2354</v>
      </c>
    </row>
    <row r="4101" spans="1:12" x14ac:dyDescent="0.2">
      <c r="A4101" s="570" t="s">
        <v>220</v>
      </c>
      <c r="B4101" s="547" t="s">
        <v>5430</v>
      </c>
      <c r="C4101" s="554" t="s">
        <v>8881</v>
      </c>
      <c r="D4101" s="554" t="s">
        <v>8882</v>
      </c>
      <c r="E4101" s="554"/>
      <c r="F4101" s="571">
        <v>2</v>
      </c>
      <c r="G4101" s="572">
        <v>8.9250000000000007</v>
      </c>
      <c r="H4101" s="545">
        <v>17.850000000000001</v>
      </c>
      <c r="I4101" s="554" t="s">
        <v>9218</v>
      </c>
      <c r="J4101" s="554" t="s">
        <v>9219</v>
      </c>
      <c r="K4101" s="554" t="s">
        <v>9219</v>
      </c>
      <c r="L4101" s="537" t="s">
        <v>2354</v>
      </c>
    </row>
    <row r="4102" spans="1:12" x14ac:dyDescent="0.2">
      <c r="A4102" s="570" t="s">
        <v>220</v>
      </c>
      <c r="B4102" s="547" t="s">
        <v>5430</v>
      </c>
      <c r="C4102" s="554" t="s">
        <v>6621</v>
      </c>
      <c r="D4102" s="554" t="s">
        <v>6622</v>
      </c>
      <c r="E4102" s="554"/>
      <c r="F4102" s="571">
        <v>1</v>
      </c>
      <c r="G4102" s="572">
        <v>268.62599999999998</v>
      </c>
      <c r="H4102" s="545">
        <v>268.62599999999998</v>
      </c>
      <c r="I4102" s="554" t="s">
        <v>9218</v>
      </c>
      <c r="J4102" s="554" t="s">
        <v>9219</v>
      </c>
      <c r="K4102" s="554" t="s">
        <v>9219</v>
      </c>
      <c r="L4102" s="537" t="s">
        <v>2354</v>
      </c>
    </row>
    <row r="4103" spans="1:12" x14ac:dyDescent="0.2">
      <c r="A4103" s="570" t="s">
        <v>220</v>
      </c>
      <c r="B4103" s="547" t="s">
        <v>5430</v>
      </c>
      <c r="C4103" s="554" t="s">
        <v>3783</v>
      </c>
      <c r="D4103" s="554" t="s">
        <v>3784</v>
      </c>
      <c r="E4103" s="554"/>
      <c r="F4103" s="571">
        <v>1</v>
      </c>
      <c r="G4103" s="572">
        <v>73.983999999999995</v>
      </c>
      <c r="H4103" s="545">
        <v>73.983999999999995</v>
      </c>
      <c r="I4103" s="554" t="s">
        <v>9218</v>
      </c>
      <c r="J4103" s="554" t="s">
        <v>9219</v>
      </c>
      <c r="K4103" s="554" t="s">
        <v>9219</v>
      </c>
      <c r="L4103" s="537" t="s">
        <v>2354</v>
      </c>
    </row>
    <row r="4104" spans="1:12" x14ac:dyDescent="0.2">
      <c r="A4104" s="570" t="s">
        <v>220</v>
      </c>
      <c r="B4104" s="547" t="s">
        <v>5430</v>
      </c>
      <c r="C4104" s="554" t="s">
        <v>6623</v>
      </c>
      <c r="D4104" s="554" t="s">
        <v>6624</v>
      </c>
      <c r="E4104" s="554"/>
      <c r="F4104" s="571">
        <v>3</v>
      </c>
      <c r="G4104" s="572">
        <v>86.572999999999993</v>
      </c>
      <c r="H4104" s="545">
        <v>259.71899999999999</v>
      </c>
      <c r="I4104" s="554" t="s">
        <v>9218</v>
      </c>
      <c r="J4104" s="554" t="s">
        <v>9219</v>
      </c>
      <c r="K4104" s="554" t="s">
        <v>9219</v>
      </c>
      <c r="L4104" s="537" t="s">
        <v>2354</v>
      </c>
    </row>
    <row r="4105" spans="1:12" x14ac:dyDescent="0.2">
      <c r="A4105" s="570" t="s">
        <v>220</v>
      </c>
      <c r="B4105" s="547" t="s">
        <v>5430</v>
      </c>
      <c r="C4105" s="554" t="s">
        <v>6625</v>
      </c>
      <c r="D4105" s="554" t="s">
        <v>6626</v>
      </c>
      <c r="E4105" s="554"/>
      <c r="F4105" s="571">
        <v>2</v>
      </c>
      <c r="G4105" s="572">
        <v>88.498000000000005</v>
      </c>
      <c r="H4105" s="545">
        <v>176.99600000000001</v>
      </c>
      <c r="I4105" s="554" t="s">
        <v>9218</v>
      </c>
      <c r="J4105" s="554" t="s">
        <v>9219</v>
      </c>
      <c r="K4105" s="554" t="s">
        <v>9219</v>
      </c>
      <c r="L4105" s="537" t="s">
        <v>2354</v>
      </c>
    </row>
    <row r="4106" spans="1:12" x14ac:dyDescent="0.2">
      <c r="A4106" s="570" t="s">
        <v>220</v>
      </c>
      <c r="B4106" s="547" t="s">
        <v>5430</v>
      </c>
      <c r="C4106" s="554" t="s">
        <v>3785</v>
      </c>
      <c r="D4106" s="554" t="s">
        <v>3786</v>
      </c>
      <c r="E4106" s="554"/>
      <c r="F4106" s="571">
        <v>4</v>
      </c>
      <c r="G4106" s="572">
        <v>7.6120000000000001</v>
      </c>
      <c r="H4106" s="545">
        <v>30.448</v>
      </c>
      <c r="I4106" s="554" t="s">
        <v>9218</v>
      </c>
      <c r="J4106" s="554" t="s">
        <v>9219</v>
      </c>
      <c r="K4106" s="554" t="s">
        <v>9219</v>
      </c>
      <c r="L4106" s="537" t="s">
        <v>2354</v>
      </c>
    </row>
    <row r="4107" spans="1:12" x14ac:dyDescent="0.2">
      <c r="A4107" s="570" t="s">
        <v>220</v>
      </c>
      <c r="B4107" s="547" t="s">
        <v>5430</v>
      </c>
      <c r="C4107" s="554" t="s">
        <v>6628</v>
      </c>
      <c r="D4107" s="554" t="s">
        <v>6629</v>
      </c>
      <c r="E4107" s="554"/>
      <c r="F4107" s="571">
        <v>2</v>
      </c>
      <c r="G4107" s="572">
        <v>9.8670000000000009</v>
      </c>
      <c r="H4107" s="545">
        <v>19.734000000000002</v>
      </c>
      <c r="I4107" s="554" t="s">
        <v>9218</v>
      </c>
      <c r="J4107" s="554" t="s">
        <v>9219</v>
      </c>
      <c r="K4107" s="554" t="s">
        <v>9219</v>
      </c>
      <c r="L4107" s="537" t="s">
        <v>2354</v>
      </c>
    </row>
    <row r="4108" spans="1:12" x14ac:dyDescent="0.2">
      <c r="A4108" s="570" t="s">
        <v>220</v>
      </c>
      <c r="B4108" s="547" t="s">
        <v>5430</v>
      </c>
      <c r="C4108" s="554" t="s">
        <v>6630</v>
      </c>
      <c r="D4108" s="554" t="s">
        <v>6631</v>
      </c>
      <c r="E4108" s="554"/>
      <c r="F4108" s="571">
        <v>8</v>
      </c>
      <c r="G4108" s="572">
        <v>23.82</v>
      </c>
      <c r="H4108" s="545">
        <v>190.56</v>
      </c>
      <c r="I4108" s="554" t="s">
        <v>9218</v>
      </c>
      <c r="J4108" s="554" t="s">
        <v>9219</v>
      </c>
      <c r="K4108" s="554" t="s">
        <v>9219</v>
      </c>
      <c r="L4108" s="537" t="s">
        <v>2354</v>
      </c>
    </row>
    <row r="4109" spans="1:12" x14ac:dyDescent="0.2">
      <c r="A4109" s="570" t="s">
        <v>220</v>
      </c>
      <c r="B4109" s="547" t="s">
        <v>5430</v>
      </c>
      <c r="C4109" s="554" t="s">
        <v>6632</v>
      </c>
      <c r="D4109" s="554" t="s">
        <v>6633</v>
      </c>
      <c r="E4109" s="554"/>
      <c r="F4109" s="571">
        <v>8</v>
      </c>
      <c r="G4109" s="572">
        <v>25.847999999999999</v>
      </c>
      <c r="H4109" s="545">
        <v>206.78399999999999</v>
      </c>
      <c r="I4109" s="554" t="s">
        <v>9218</v>
      </c>
      <c r="J4109" s="554" t="s">
        <v>9219</v>
      </c>
      <c r="K4109" s="554" t="s">
        <v>9219</v>
      </c>
      <c r="L4109" s="537" t="s">
        <v>2354</v>
      </c>
    </row>
    <row r="4110" spans="1:12" x14ac:dyDescent="0.2">
      <c r="A4110" s="570" t="s">
        <v>220</v>
      </c>
      <c r="B4110" s="547" t="s">
        <v>5430</v>
      </c>
      <c r="C4110" s="554" t="s">
        <v>3791</v>
      </c>
      <c r="D4110" s="554" t="s">
        <v>3792</v>
      </c>
      <c r="E4110" s="554"/>
      <c r="F4110" s="571">
        <v>5</v>
      </c>
      <c r="G4110" s="572">
        <v>35.191000000000003</v>
      </c>
      <c r="H4110" s="545">
        <v>175.95500000000001</v>
      </c>
      <c r="I4110" s="554" t="s">
        <v>9218</v>
      </c>
      <c r="J4110" s="554" t="s">
        <v>9219</v>
      </c>
      <c r="K4110" s="554" t="s">
        <v>9219</v>
      </c>
      <c r="L4110" s="537" t="s">
        <v>2354</v>
      </c>
    </row>
    <row r="4111" spans="1:12" x14ac:dyDescent="0.2">
      <c r="A4111" s="570" t="s">
        <v>220</v>
      </c>
      <c r="B4111" s="547" t="s">
        <v>5430</v>
      </c>
      <c r="C4111" s="554" t="s">
        <v>6634</v>
      </c>
      <c r="D4111" s="554" t="s">
        <v>8883</v>
      </c>
      <c r="E4111" s="554"/>
      <c r="F4111" s="571">
        <v>2</v>
      </c>
      <c r="G4111" s="572">
        <v>11.648</v>
      </c>
      <c r="H4111" s="545">
        <v>23.295999999999999</v>
      </c>
      <c r="I4111" s="554" t="s">
        <v>9218</v>
      </c>
      <c r="J4111" s="554" t="s">
        <v>9219</v>
      </c>
      <c r="K4111" s="554" t="s">
        <v>9219</v>
      </c>
      <c r="L4111" s="537" t="s">
        <v>2354</v>
      </c>
    </row>
    <row r="4112" spans="1:12" x14ac:dyDescent="0.2">
      <c r="A4112" s="570" t="s">
        <v>220</v>
      </c>
      <c r="B4112" s="547" t="s">
        <v>5430</v>
      </c>
      <c r="C4112" s="554" t="s">
        <v>6696</v>
      </c>
      <c r="D4112" s="554" t="s">
        <v>6697</v>
      </c>
      <c r="E4112" s="554"/>
      <c r="F4112" s="571">
        <v>110</v>
      </c>
      <c r="G4112" s="572">
        <v>0.66</v>
      </c>
      <c r="H4112" s="545">
        <v>72.600000000000009</v>
      </c>
      <c r="I4112" s="554" t="s">
        <v>9218</v>
      </c>
      <c r="J4112" s="554" t="s">
        <v>9219</v>
      </c>
      <c r="K4112" s="554" t="s">
        <v>9219</v>
      </c>
      <c r="L4112" s="537" t="s">
        <v>2354</v>
      </c>
    </row>
    <row r="4113" spans="1:12" x14ac:dyDescent="0.2">
      <c r="A4113" s="570" t="s">
        <v>220</v>
      </c>
      <c r="B4113" s="547" t="s">
        <v>5430</v>
      </c>
      <c r="C4113" s="554" t="s">
        <v>6698</v>
      </c>
      <c r="D4113" s="554" t="s">
        <v>6699</v>
      </c>
      <c r="E4113" s="554"/>
      <c r="F4113" s="571">
        <v>2</v>
      </c>
      <c r="G4113" s="572">
        <v>18.105</v>
      </c>
      <c r="H4113" s="545">
        <v>36.21</v>
      </c>
      <c r="I4113" s="554" t="s">
        <v>9218</v>
      </c>
      <c r="J4113" s="554" t="s">
        <v>9219</v>
      </c>
      <c r="K4113" s="554" t="s">
        <v>9219</v>
      </c>
      <c r="L4113" s="537" t="s">
        <v>2354</v>
      </c>
    </row>
    <row r="4114" spans="1:12" x14ac:dyDescent="0.2">
      <c r="A4114" s="570" t="s">
        <v>220</v>
      </c>
      <c r="B4114" s="547" t="s">
        <v>5430</v>
      </c>
      <c r="C4114" s="554" t="s">
        <v>6700</v>
      </c>
      <c r="D4114" s="554" t="s">
        <v>6701</v>
      </c>
      <c r="E4114" s="554"/>
      <c r="F4114" s="571">
        <v>1</v>
      </c>
      <c r="G4114" s="572">
        <v>11.24</v>
      </c>
      <c r="H4114" s="545">
        <v>11.24</v>
      </c>
      <c r="I4114" s="554" t="s">
        <v>9218</v>
      </c>
      <c r="J4114" s="554" t="s">
        <v>9219</v>
      </c>
      <c r="K4114" s="554" t="s">
        <v>9219</v>
      </c>
      <c r="L4114" s="537" t="s">
        <v>2354</v>
      </c>
    </row>
    <row r="4115" spans="1:12" x14ac:dyDescent="0.2">
      <c r="A4115" s="570" t="s">
        <v>220</v>
      </c>
      <c r="B4115" s="547" t="s">
        <v>5430</v>
      </c>
      <c r="C4115" s="554" t="s">
        <v>6704</v>
      </c>
      <c r="D4115" s="554" t="s">
        <v>8884</v>
      </c>
      <c r="E4115" s="554"/>
      <c r="F4115" s="571">
        <v>1</v>
      </c>
      <c r="G4115" s="572">
        <v>271.39999999999998</v>
      </c>
      <c r="H4115" s="545">
        <v>271.39999999999998</v>
      </c>
      <c r="I4115" s="554" t="s">
        <v>9218</v>
      </c>
      <c r="J4115" s="554" t="s">
        <v>9219</v>
      </c>
      <c r="K4115" s="554" t="s">
        <v>9219</v>
      </c>
      <c r="L4115" s="537" t="s">
        <v>2354</v>
      </c>
    </row>
    <row r="4116" spans="1:12" x14ac:dyDescent="0.2">
      <c r="A4116" s="570" t="s">
        <v>220</v>
      </c>
      <c r="B4116" s="547" t="s">
        <v>5430</v>
      </c>
      <c r="C4116" s="554" t="s">
        <v>6706</v>
      </c>
      <c r="D4116" s="554" t="s">
        <v>6707</v>
      </c>
      <c r="E4116" s="554"/>
      <c r="F4116" s="571">
        <v>3</v>
      </c>
      <c r="G4116" s="572">
        <v>7.6079999999999997</v>
      </c>
      <c r="H4116" s="545">
        <v>22.823999999999998</v>
      </c>
      <c r="I4116" s="554" t="s">
        <v>9218</v>
      </c>
      <c r="J4116" s="554" t="s">
        <v>9219</v>
      </c>
      <c r="K4116" s="554" t="s">
        <v>9219</v>
      </c>
      <c r="L4116" s="537" t="s">
        <v>2354</v>
      </c>
    </row>
    <row r="4117" spans="1:12" x14ac:dyDescent="0.2">
      <c r="A4117" s="570" t="s">
        <v>220</v>
      </c>
      <c r="B4117" s="547" t="s">
        <v>5430</v>
      </c>
      <c r="C4117" s="554" t="s">
        <v>6708</v>
      </c>
      <c r="D4117" s="554" t="s">
        <v>6709</v>
      </c>
      <c r="E4117" s="554"/>
      <c r="F4117" s="571">
        <v>2</v>
      </c>
      <c r="G4117" s="572">
        <v>4.7220000000000004</v>
      </c>
      <c r="H4117" s="545">
        <v>9.4440000000000008</v>
      </c>
      <c r="I4117" s="554" t="s">
        <v>9218</v>
      </c>
      <c r="J4117" s="554" t="s">
        <v>9219</v>
      </c>
      <c r="K4117" s="554" t="s">
        <v>9219</v>
      </c>
      <c r="L4117" s="537" t="s">
        <v>2354</v>
      </c>
    </row>
    <row r="4118" spans="1:12" x14ac:dyDescent="0.2">
      <c r="A4118" s="570" t="s">
        <v>220</v>
      </c>
      <c r="B4118" s="547" t="s">
        <v>5430</v>
      </c>
      <c r="C4118" s="554" t="s">
        <v>6710</v>
      </c>
      <c r="D4118" s="554" t="s">
        <v>6711</v>
      </c>
      <c r="E4118" s="554"/>
      <c r="F4118" s="571">
        <v>1</v>
      </c>
      <c r="G4118" s="572">
        <v>3.165</v>
      </c>
      <c r="H4118" s="545">
        <v>3.165</v>
      </c>
      <c r="I4118" s="554" t="s">
        <v>9218</v>
      </c>
      <c r="J4118" s="554" t="s">
        <v>9219</v>
      </c>
      <c r="K4118" s="554" t="s">
        <v>9219</v>
      </c>
      <c r="L4118" s="537" t="s">
        <v>2354</v>
      </c>
    </row>
    <row r="4119" spans="1:12" x14ac:dyDescent="0.2">
      <c r="A4119" s="570" t="s">
        <v>220</v>
      </c>
      <c r="B4119" s="547" t="s">
        <v>5430</v>
      </c>
      <c r="C4119" s="554" t="s">
        <v>8885</v>
      </c>
      <c r="D4119" s="554" t="s">
        <v>8886</v>
      </c>
      <c r="E4119" s="554"/>
      <c r="F4119" s="571">
        <v>1</v>
      </c>
      <c r="G4119" s="572">
        <v>208.67500000000001</v>
      </c>
      <c r="H4119" s="545">
        <v>208.67500000000001</v>
      </c>
      <c r="I4119" s="554" t="s">
        <v>9218</v>
      </c>
      <c r="J4119" s="554" t="s">
        <v>9219</v>
      </c>
      <c r="K4119" s="554" t="s">
        <v>9219</v>
      </c>
      <c r="L4119" s="537" t="s">
        <v>2354</v>
      </c>
    </row>
    <row r="4120" spans="1:12" x14ac:dyDescent="0.2">
      <c r="A4120" s="570" t="s">
        <v>220</v>
      </c>
      <c r="B4120" s="547" t="s">
        <v>5430</v>
      </c>
      <c r="C4120" s="554" t="s">
        <v>6714</v>
      </c>
      <c r="D4120" s="554" t="s">
        <v>6715</v>
      </c>
      <c r="E4120" s="554"/>
      <c r="F4120" s="571">
        <v>46</v>
      </c>
      <c r="G4120" s="572">
        <v>0.114</v>
      </c>
      <c r="H4120" s="545">
        <v>5.2439999999999998</v>
      </c>
      <c r="I4120" s="554" t="s">
        <v>9218</v>
      </c>
      <c r="J4120" s="554" t="s">
        <v>9219</v>
      </c>
      <c r="K4120" s="554" t="s">
        <v>9219</v>
      </c>
      <c r="L4120" s="537" t="s">
        <v>2354</v>
      </c>
    </row>
    <row r="4121" spans="1:12" x14ac:dyDescent="0.2">
      <c r="A4121" s="570" t="s">
        <v>220</v>
      </c>
      <c r="B4121" s="547" t="s">
        <v>5430</v>
      </c>
      <c r="C4121" s="554" t="s">
        <v>6716</v>
      </c>
      <c r="D4121" s="554" t="s">
        <v>8887</v>
      </c>
      <c r="E4121" s="554"/>
      <c r="F4121" s="571">
        <v>2</v>
      </c>
      <c r="G4121" s="572">
        <v>5.702</v>
      </c>
      <c r="H4121" s="545">
        <v>11.404</v>
      </c>
      <c r="I4121" s="554" t="s">
        <v>9218</v>
      </c>
      <c r="J4121" s="554" t="s">
        <v>9219</v>
      </c>
      <c r="K4121" s="554" t="s">
        <v>9219</v>
      </c>
      <c r="L4121" s="537" t="s">
        <v>2354</v>
      </c>
    </row>
    <row r="4122" spans="1:12" x14ac:dyDescent="0.2">
      <c r="A4122" s="570" t="s">
        <v>220</v>
      </c>
      <c r="B4122" s="547" t="s">
        <v>5430</v>
      </c>
      <c r="C4122" s="554" t="s">
        <v>8888</v>
      </c>
      <c r="D4122" s="554" t="s">
        <v>8889</v>
      </c>
      <c r="E4122" s="554"/>
      <c r="F4122" s="571">
        <v>2</v>
      </c>
      <c r="G4122" s="572">
        <v>200</v>
      </c>
      <c r="H4122" s="545">
        <v>400</v>
      </c>
      <c r="I4122" s="554" t="s">
        <v>9218</v>
      </c>
      <c r="J4122" s="554" t="s">
        <v>9219</v>
      </c>
      <c r="K4122" s="554" t="s">
        <v>9219</v>
      </c>
      <c r="L4122" s="537" t="s">
        <v>2354</v>
      </c>
    </row>
    <row r="4123" spans="1:12" x14ac:dyDescent="0.2">
      <c r="A4123" s="570" t="s">
        <v>220</v>
      </c>
      <c r="B4123" s="547" t="s">
        <v>5430</v>
      </c>
      <c r="C4123" s="554" t="s">
        <v>3939</v>
      </c>
      <c r="D4123" s="554" t="s">
        <v>3940</v>
      </c>
      <c r="E4123" s="554"/>
      <c r="F4123" s="571">
        <v>1</v>
      </c>
      <c r="G4123" s="572">
        <v>22.12</v>
      </c>
      <c r="H4123" s="545">
        <v>22.12</v>
      </c>
      <c r="I4123" s="554" t="s">
        <v>9218</v>
      </c>
      <c r="J4123" s="554" t="s">
        <v>9219</v>
      </c>
      <c r="K4123" s="554" t="s">
        <v>9219</v>
      </c>
      <c r="L4123" s="537" t="s">
        <v>2354</v>
      </c>
    </row>
    <row r="4124" spans="1:12" x14ac:dyDescent="0.2">
      <c r="A4124" s="570" t="s">
        <v>220</v>
      </c>
      <c r="B4124" s="547" t="s">
        <v>5430</v>
      </c>
      <c r="C4124" s="554" t="s">
        <v>7077</v>
      </c>
      <c r="D4124" s="554" t="s">
        <v>7078</v>
      </c>
      <c r="E4124" s="554"/>
      <c r="F4124" s="571">
        <v>17</v>
      </c>
      <c r="G4124" s="572">
        <v>1.022</v>
      </c>
      <c r="H4124" s="545">
        <v>17.373999999999999</v>
      </c>
      <c r="I4124" s="554" t="s">
        <v>9218</v>
      </c>
      <c r="J4124" s="554" t="s">
        <v>9219</v>
      </c>
      <c r="K4124" s="554" t="s">
        <v>9219</v>
      </c>
      <c r="L4124" s="537" t="s">
        <v>2354</v>
      </c>
    </row>
    <row r="4125" spans="1:12" x14ac:dyDescent="0.2">
      <c r="A4125" s="570" t="s">
        <v>220</v>
      </c>
      <c r="B4125" s="547" t="s">
        <v>5430</v>
      </c>
      <c r="C4125" s="554"/>
      <c r="D4125" s="554" t="s">
        <v>8890</v>
      </c>
      <c r="E4125" s="554"/>
      <c r="F4125" s="571">
        <v>2</v>
      </c>
      <c r="G4125" s="572">
        <v>39.615000000000002</v>
      </c>
      <c r="H4125" s="545">
        <v>79.23</v>
      </c>
      <c r="I4125" s="554" t="s">
        <v>9218</v>
      </c>
      <c r="J4125" s="554" t="s">
        <v>9219</v>
      </c>
      <c r="K4125" s="554" t="s">
        <v>9219</v>
      </c>
      <c r="L4125" s="537" t="s">
        <v>2354</v>
      </c>
    </row>
    <row r="4126" spans="1:12" x14ac:dyDescent="0.2">
      <c r="A4126" s="570" t="s">
        <v>220</v>
      </c>
      <c r="B4126" s="547" t="s">
        <v>5430</v>
      </c>
      <c r="C4126" s="554" t="s">
        <v>8891</v>
      </c>
      <c r="D4126" s="554" t="s">
        <v>8892</v>
      </c>
      <c r="E4126" s="554"/>
      <c r="F4126" s="571">
        <v>5</v>
      </c>
      <c r="G4126" s="572">
        <v>39.615000000000002</v>
      </c>
      <c r="H4126" s="545">
        <v>198.07500000000002</v>
      </c>
      <c r="I4126" s="554" t="s">
        <v>9218</v>
      </c>
      <c r="J4126" s="554" t="s">
        <v>9219</v>
      </c>
      <c r="K4126" s="554" t="s">
        <v>9219</v>
      </c>
      <c r="L4126" s="537" t="s">
        <v>2354</v>
      </c>
    </row>
    <row r="4127" spans="1:12" x14ac:dyDescent="0.2">
      <c r="A4127" s="570" t="s">
        <v>220</v>
      </c>
      <c r="B4127" s="547" t="s">
        <v>5430</v>
      </c>
      <c r="C4127" s="554" t="s">
        <v>7348</v>
      </c>
      <c r="D4127" s="554" t="s">
        <v>7349</v>
      </c>
      <c r="E4127" s="554"/>
      <c r="F4127" s="571">
        <v>2</v>
      </c>
      <c r="G4127" s="572">
        <v>2.6349999999999998</v>
      </c>
      <c r="H4127" s="545">
        <v>5.27</v>
      </c>
      <c r="I4127" s="554" t="s">
        <v>9218</v>
      </c>
      <c r="J4127" s="554" t="s">
        <v>9219</v>
      </c>
      <c r="K4127" s="554" t="s">
        <v>9219</v>
      </c>
      <c r="L4127" s="537" t="s">
        <v>2354</v>
      </c>
    </row>
    <row r="4128" spans="1:12" x14ac:dyDescent="0.2">
      <c r="A4128" s="570" t="s">
        <v>220</v>
      </c>
      <c r="B4128" s="547" t="s">
        <v>5430</v>
      </c>
      <c r="C4128" s="554" t="s">
        <v>7350</v>
      </c>
      <c r="D4128" s="554" t="s">
        <v>7351</v>
      </c>
      <c r="E4128" s="554"/>
      <c r="F4128" s="571">
        <v>8</v>
      </c>
      <c r="G4128" s="572">
        <v>6.7640000000000002</v>
      </c>
      <c r="H4128" s="545">
        <v>54.112000000000002</v>
      </c>
      <c r="I4128" s="554" t="s">
        <v>9218</v>
      </c>
      <c r="J4128" s="554" t="s">
        <v>9219</v>
      </c>
      <c r="K4128" s="554" t="s">
        <v>9219</v>
      </c>
      <c r="L4128" s="537" t="s">
        <v>2354</v>
      </c>
    </row>
    <row r="4129" spans="1:12" x14ac:dyDescent="0.2">
      <c r="A4129" s="570" t="s">
        <v>220</v>
      </c>
      <c r="B4129" s="547" t="s">
        <v>5430</v>
      </c>
      <c r="C4129" s="554"/>
      <c r="D4129" s="554" t="s">
        <v>9472</v>
      </c>
      <c r="E4129" s="554" t="s">
        <v>545</v>
      </c>
      <c r="F4129" s="571">
        <v>1</v>
      </c>
      <c r="G4129" s="572">
        <v>101.045</v>
      </c>
      <c r="H4129" s="545">
        <v>101.045</v>
      </c>
      <c r="I4129" s="554" t="s">
        <v>9218</v>
      </c>
      <c r="J4129" s="554" t="s">
        <v>9219</v>
      </c>
      <c r="K4129" s="554" t="s">
        <v>9219</v>
      </c>
      <c r="L4129" s="537" t="s">
        <v>2354</v>
      </c>
    </row>
    <row r="4130" spans="1:12" x14ac:dyDescent="0.2">
      <c r="A4130" s="570" t="s">
        <v>220</v>
      </c>
      <c r="B4130" s="547" t="s">
        <v>5430</v>
      </c>
      <c r="C4130" s="554"/>
      <c r="D4130" s="554" t="s">
        <v>8894</v>
      </c>
      <c r="E4130" s="554" t="s">
        <v>9526</v>
      </c>
      <c r="F4130" s="571">
        <v>1</v>
      </c>
      <c r="G4130" s="572">
        <v>1868.001</v>
      </c>
      <c r="H4130" s="545">
        <v>1868.001</v>
      </c>
      <c r="I4130" s="554" t="s">
        <v>9218</v>
      </c>
      <c r="J4130" s="554" t="s">
        <v>9219</v>
      </c>
      <c r="K4130" s="554" t="s">
        <v>9219</v>
      </c>
      <c r="L4130" s="537" t="s">
        <v>2354</v>
      </c>
    </row>
    <row r="4131" spans="1:12" x14ac:dyDescent="0.2">
      <c r="A4131" s="570" t="s">
        <v>220</v>
      </c>
      <c r="B4131" s="547" t="s">
        <v>5430</v>
      </c>
      <c r="C4131" s="554"/>
      <c r="D4131" s="554" t="s">
        <v>9473</v>
      </c>
      <c r="E4131" s="554" t="s">
        <v>9526</v>
      </c>
      <c r="F4131" s="571">
        <v>4</v>
      </c>
      <c r="G4131" s="572">
        <v>36</v>
      </c>
      <c r="H4131" s="545">
        <v>144</v>
      </c>
      <c r="I4131" s="554" t="s">
        <v>9218</v>
      </c>
      <c r="J4131" s="554" t="s">
        <v>9219</v>
      </c>
      <c r="K4131" s="554" t="s">
        <v>9219</v>
      </c>
      <c r="L4131" s="537" t="s">
        <v>2354</v>
      </c>
    </row>
    <row r="4132" spans="1:12" x14ac:dyDescent="0.2">
      <c r="A4132" s="570" t="s">
        <v>220</v>
      </c>
      <c r="B4132" s="547" t="s">
        <v>5430</v>
      </c>
      <c r="C4132" s="554"/>
      <c r="D4132" s="554" t="s">
        <v>9474</v>
      </c>
      <c r="E4132" s="554" t="s">
        <v>9526</v>
      </c>
      <c r="F4132" s="571">
        <v>4</v>
      </c>
      <c r="G4132" s="572">
        <v>90</v>
      </c>
      <c r="H4132" s="545">
        <v>360</v>
      </c>
      <c r="I4132" s="554" t="s">
        <v>9218</v>
      </c>
      <c r="J4132" s="554" t="s">
        <v>9219</v>
      </c>
      <c r="K4132" s="554" t="s">
        <v>9219</v>
      </c>
      <c r="L4132" s="537" t="s">
        <v>2354</v>
      </c>
    </row>
    <row r="4133" spans="1:12" x14ac:dyDescent="0.2">
      <c r="A4133" s="570" t="s">
        <v>220</v>
      </c>
      <c r="B4133" s="547" t="s">
        <v>5430</v>
      </c>
      <c r="C4133" s="554"/>
      <c r="D4133" s="554" t="s">
        <v>9475</v>
      </c>
      <c r="E4133" s="554" t="s">
        <v>9526</v>
      </c>
      <c r="F4133" s="571">
        <v>1</v>
      </c>
      <c r="G4133" s="572">
        <v>44.625999999999998</v>
      </c>
      <c r="H4133" s="545">
        <v>44.625999999999998</v>
      </c>
      <c r="I4133" s="554" t="s">
        <v>9218</v>
      </c>
      <c r="J4133" s="554" t="s">
        <v>9219</v>
      </c>
      <c r="K4133" s="554" t="s">
        <v>9219</v>
      </c>
      <c r="L4133" s="537" t="s">
        <v>2354</v>
      </c>
    </row>
    <row r="4134" spans="1:12" x14ac:dyDescent="0.2">
      <c r="A4134" s="570" t="s">
        <v>220</v>
      </c>
      <c r="B4134" s="547" t="s">
        <v>5430</v>
      </c>
      <c r="C4134" s="554"/>
      <c r="D4134" s="554" t="s">
        <v>9476</v>
      </c>
      <c r="E4134" s="554" t="s">
        <v>9526</v>
      </c>
      <c r="F4134" s="571">
        <v>3</v>
      </c>
      <c r="G4134" s="572">
        <v>301.28100000000001</v>
      </c>
      <c r="H4134" s="545">
        <v>903.84300000000007</v>
      </c>
      <c r="I4134" s="554" t="s">
        <v>9218</v>
      </c>
      <c r="J4134" s="554" t="s">
        <v>9219</v>
      </c>
      <c r="K4134" s="554" t="s">
        <v>9219</v>
      </c>
      <c r="L4134" s="537" t="s">
        <v>2354</v>
      </c>
    </row>
    <row r="4135" spans="1:12" x14ac:dyDescent="0.2">
      <c r="A4135" s="570" t="s">
        <v>220</v>
      </c>
      <c r="B4135" s="547" t="s">
        <v>5430</v>
      </c>
      <c r="C4135" s="554"/>
      <c r="D4135" s="554" t="s">
        <v>9478</v>
      </c>
      <c r="E4135" s="554" t="s">
        <v>9526</v>
      </c>
      <c r="F4135" s="571">
        <v>1</v>
      </c>
      <c r="G4135" s="572">
        <v>59.951999999999998</v>
      </c>
      <c r="H4135" s="545">
        <v>59.951999999999998</v>
      </c>
      <c r="I4135" s="554" t="s">
        <v>9218</v>
      </c>
      <c r="J4135" s="554" t="s">
        <v>9219</v>
      </c>
      <c r="K4135" s="554" t="s">
        <v>9219</v>
      </c>
      <c r="L4135" s="537" t="s">
        <v>2354</v>
      </c>
    </row>
    <row r="4136" spans="1:12" x14ac:dyDescent="0.2">
      <c r="A4136" s="570" t="s">
        <v>220</v>
      </c>
      <c r="B4136" s="547" t="s">
        <v>5430</v>
      </c>
      <c r="C4136" s="554"/>
      <c r="D4136" s="554" t="s">
        <v>9479</v>
      </c>
      <c r="E4136" s="554" t="s">
        <v>1894</v>
      </c>
      <c r="F4136" s="571">
        <v>20</v>
      </c>
      <c r="G4136" s="572">
        <v>2.7</v>
      </c>
      <c r="H4136" s="545">
        <v>54</v>
      </c>
      <c r="I4136" s="554" t="s">
        <v>9218</v>
      </c>
      <c r="J4136" s="554" t="s">
        <v>9219</v>
      </c>
      <c r="K4136" s="554" t="s">
        <v>9219</v>
      </c>
      <c r="L4136" s="537" t="s">
        <v>2354</v>
      </c>
    </row>
    <row r="4137" spans="1:12" x14ac:dyDescent="0.2">
      <c r="A4137" s="547" t="s">
        <v>220</v>
      </c>
      <c r="B4137" s="547" t="s">
        <v>2351</v>
      </c>
      <c r="C4137" s="554" t="s">
        <v>9601</v>
      </c>
      <c r="D4137" s="554" t="s">
        <v>9602</v>
      </c>
      <c r="E4137" s="554" t="s">
        <v>545</v>
      </c>
      <c r="F4137" s="571">
        <v>1</v>
      </c>
      <c r="G4137" s="572">
        <v>60.7</v>
      </c>
      <c r="H4137" s="545">
        <v>60.7</v>
      </c>
      <c r="I4137" s="554" t="s">
        <v>9218</v>
      </c>
      <c r="J4137" s="554" t="s">
        <v>9219</v>
      </c>
      <c r="K4137" s="554" t="s">
        <v>9219</v>
      </c>
      <c r="L4137" s="537" t="s">
        <v>2354</v>
      </c>
    </row>
    <row r="4138" spans="1:12" x14ac:dyDescent="0.2">
      <c r="A4138" s="547" t="s">
        <v>220</v>
      </c>
      <c r="B4138" s="547" t="s">
        <v>2351</v>
      </c>
      <c r="C4138" s="554" t="s">
        <v>9603</v>
      </c>
      <c r="D4138" s="554" t="s">
        <v>9604</v>
      </c>
      <c r="E4138" s="554" t="s">
        <v>545</v>
      </c>
      <c r="F4138" s="571">
        <v>4</v>
      </c>
      <c r="G4138" s="572">
        <v>8.1999999999999993</v>
      </c>
      <c r="H4138" s="545">
        <v>32.799999999999997</v>
      </c>
      <c r="I4138" s="554" t="s">
        <v>9218</v>
      </c>
      <c r="J4138" s="554" t="s">
        <v>9219</v>
      </c>
      <c r="K4138" s="554" t="s">
        <v>9219</v>
      </c>
      <c r="L4138" s="537" t="s">
        <v>2354</v>
      </c>
    </row>
    <row r="4139" spans="1:12" x14ac:dyDescent="0.2">
      <c r="A4139" s="547" t="s">
        <v>220</v>
      </c>
      <c r="B4139" s="547" t="s">
        <v>2351</v>
      </c>
      <c r="C4139" s="554" t="s">
        <v>9605</v>
      </c>
      <c r="D4139" s="554" t="s">
        <v>9602</v>
      </c>
      <c r="E4139" s="554" t="s">
        <v>545</v>
      </c>
      <c r="F4139" s="571">
        <v>1</v>
      </c>
      <c r="G4139" s="572">
        <v>62.8</v>
      </c>
      <c r="H4139" s="545">
        <v>62.8</v>
      </c>
      <c r="I4139" s="554" t="s">
        <v>9218</v>
      </c>
      <c r="J4139" s="554" t="s">
        <v>9219</v>
      </c>
      <c r="K4139" s="554" t="s">
        <v>9219</v>
      </c>
      <c r="L4139" s="537" t="s">
        <v>2354</v>
      </c>
    </row>
    <row r="4140" spans="1:12" x14ac:dyDescent="0.2">
      <c r="A4140" s="547" t="s">
        <v>220</v>
      </c>
      <c r="B4140" s="547" t="s">
        <v>2351</v>
      </c>
      <c r="C4140" s="554" t="s">
        <v>9606</v>
      </c>
      <c r="D4140" s="554" t="s">
        <v>9602</v>
      </c>
      <c r="E4140" s="554" t="s">
        <v>545</v>
      </c>
      <c r="F4140" s="571">
        <v>1</v>
      </c>
      <c r="G4140" s="572">
        <v>67.099999999999994</v>
      </c>
      <c r="H4140" s="545">
        <v>67.099999999999994</v>
      </c>
      <c r="I4140" s="554" t="s">
        <v>9218</v>
      </c>
      <c r="J4140" s="554" t="s">
        <v>9219</v>
      </c>
      <c r="K4140" s="554" t="s">
        <v>9219</v>
      </c>
      <c r="L4140" s="537" t="s">
        <v>2354</v>
      </c>
    </row>
    <row r="4141" spans="1:12" x14ac:dyDescent="0.2">
      <c r="A4141" s="547" t="s">
        <v>220</v>
      </c>
      <c r="B4141" s="547" t="s">
        <v>2351</v>
      </c>
      <c r="C4141" s="554" t="s">
        <v>9607</v>
      </c>
      <c r="D4141" s="554" t="s">
        <v>9602</v>
      </c>
      <c r="E4141" s="554" t="s">
        <v>545</v>
      </c>
      <c r="F4141" s="571">
        <v>1</v>
      </c>
      <c r="G4141" s="572">
        <v>71.2</v>
      </c>
      <c r="H4141" s="545">
        <v>71.2</v>
      </c>
      <c r="I4141" s="554" t="s">
        <v>9218</v>
      </c>
      <c r="J4141" s="554" t="s">
        <v>9219</v>
      </c>
      <c r="K4141" s="554" t="s">
        <v>9219</v>
      </c>
      <c r="L4141" s="537" t="s">
        <v>2354</v>
      </c>
    </row>
    <row r="4142" spans="1:12" x14ac:dyDescent="0.2">
      <c r="A4142" s="547" t="s">
        <v>220</v>
      </c>
      <c r="B4142" s="547" t="s">
        <v>2351</v>
      </c>
      <c r="C4142" s="554" t="s">
        <v>9608</v>
      </c>
      <c r="D4142" s="554" t="s">
        <v>9609</v>
      </c>
      <c r="E4142" s="554" t="s">
        <v>545</v>
      </c>
      <c r="F4142" s="571">
        <v>1</v>
      </c>
      <c r="G4142" s="572">
        <v>260</v>
      </c>
      <c r="H4142" s="545">
        <v>260</v>
      </c>
      <c r="I4142" s="554" t="s">
        <v>9218</v>
      </c>
      <c r="J4142" s="554" t="s">
        <v>9219</v>
      </c>
      <c r="K4142" s="554" t="s">
        <v>9219</v>
      </c>
      <c r="L4142" s="537" t="s">
        <v>2354</v>
      </c>
    </row>
    <row r="4143" spans="1:12" x14ac:dyDescent="0.2">
      <c r="A4143" s="547" t="s">
        <v>220</v>
      </c>
      <c r="B4143" s="547" t="s">
        <v>2351</v>
      </c>
      <c r="C4143" s="554" t="s">
        <v>9610</v>
      </c>
      <c r="D4143" s="554" t="s">
        <v>9611</v>
      </c>
      <c r="E4143" s="554" t="s">
        <v>545</v>
      </c>
      <c r="F4143" s="571">
        <v>1</v>
      </c>
      <c r="G4143" s="572">
        <v>48.5</v>
      </c>
      <c r="H4143" s="545">
        <v>48.5</v>
      </c>
      <c r="I4143" s="554" t="s">
        <v>9218</v>
      </c>
      <c r="J4143" s="554" t="s">
        <v>9219</v>
      </c>
      <c r="K4143" s="554" t="s">
        <v>9219</v>
      </c>
      <c r="L4143" s="537" t="s">
        <v>2354</v>
      </c>
    </row>
    <row r="4144" spans="1:12" x14ac:dyDescent="0.2">
      <c r="A4144" s="547" t="s">
        <v>220</v>
      </c>
      <c r="B4144" s="547" t="s">
        <v>2351</v>
      </c>
      <c r="C4144" s="554" t="s">
        <v>9612</v>
      </c>
      <c r="D4144" s="554" t="s">
        <v>9613</v>
      </c>
      <c r="E4144" s="554" t="s">
        <v>545</v>
      </c>
      <c r="F4144" s="571">
        <v>1</v>
      </c>
      <c r="G4144" s="572">
        <v>609</v>
      </c>
      <c r="H4144" s="545">
        <v>609</v>
      </c>
      <c r="I4144" s="554" t="s">
        <v>9218</v>
      </c>
      <c r="J4144" s="554" t="s">
        <v>9219</v>
      </c>
      <c r="K4144" s="554" t="s">
        <v>9219</v>
      </c>
      <c r="L4144" s="537" t="s">
        <v>2354</v>
      </c>
    </row>
    <row r="4145" spans="1:12" x14ac:dyDescent="0.2">
      <c r="A4145" s="547" t="s">
        <v>220</v>
      </c>
      <c r="B4145" s="547" t="s">
        <v>2351</v>
      </c>
      <c r="C4145" s="554" t="s">
        <v>9614</v>
      </c>
      <c r="D4145" s="554" t="s">
        <v>9615</v>
      </c>
      <c r="E4145" s="554" t="s">
        <v>545</v>
      </c>
      <c r="F4145" s="571">
        <v>1</v>
      </c>
      <c r="G4145" s="572">
        <v>21.2</v>
      </c>
      <c r="H4145" s="545">
        <v>21.2</v>
      </c>
      <c r="I4145" s="554" t="s">
        <v>9218</v>
      </c>
      <c r="J4145" s="554" t="s">
        <v>9219</v>
      </c>
      <c r="K4145" s="554" t="s">
        <v>9219</v>
      </c>
      <c r="L4145" s="537" t="s">
        <v>2354</v>
      </c>
    </row>
    <row r="4146" spans="1:12" x14ac:dyDescent="0.2">
      <c r="A4146" s="547" t="s">
        <v>220</v>
      </c>
      <c r="B4146" s="547" t="s">
        <v>2351</v>
      </c>
      <c r="C4146" s="554" t="s">
        <v>9616</v>
      </c>
      <c r="D4146" s="554" t="s">
        <v>9617</v>
      </c>
      <c r="E4146" s="554" t="s">
        <v>545</v>
      </c>
      <c r="F4146" s="571">
        <v>1</v>
      </c>
      <c r="G4146" s="572">
        <v>19.14</v>
      </c>
      <c r="H4146" s="545">
        <v>19.14</v>
      </c>
      <c r="I4146" s="554" t="s">
        <v>9218</v>
      </c>
      <c r="J4146" s="554" t="s">
        <v>9219</v>
      </c>
      <c r="K4146" s="554" t="s">
        <v>9219</v>
      </c>
      <c r="L4146" s="537" t="s">
        <v>2354</v>
      </c>
    </row>
    <row r="4147" spans="1:12" x14ac:dyDescent="0.2">
      <c r="A4147" s="547" t="s">
        <v>220</v>
      </c>
      <c r="B4147" s="547" t="s">
        <v>2351</v>
      </c>
      <c r="C4147" s="554" t="s">
        <v>9618</v>
      </c>
      <c r="D4147" s="554" t="s">
        <v>9619</v>
      </c>
      <c r="E4147" s="554" t="s">
        <v>545</v>
      </c>
      <c r="F4147" s="571">
        <v>1</v>
      </c>
      <c r="G4147" s="572">
        <v>27.9</v>
      </c>
      <c r="H4147" s="545">
        <v>27.9</v>
      </c>
      <c r="I4147" s="554" t="s">
        <v>9218</v>
      </c>
      <c r="J4147" s="554" t="s">
        <v>9219</v>
      </c>
      <c r="K4147" s="554" t="s">
        <v>9219</v>
      </c>
      <c r="L4147" s="537" t="s">
        <v>2354</v>
      </c>
    </row>
    <row r="4148" spans="1:12" x14ac:dyDescent="0.2">
      <c r="A4148" s="547" t="s">
        <v>220</v>
      </c>
      <c r="B4148" s="547" t="s">
        <v>2351</v>
      </c>
      <c r="C4148" s="554" t="s">
        <v>9620</v>
      </c>
      <c r="D4148" s="554" t="s">
        <v>9621</v>
      </c>
      <c r="E4148" s="554" t="s">
        <v>545</v>
      </c>
      <c r="F4148" s="571">
        <v>1</v>
      </c>
      <c r="G4148" s="572">
        <v>27.9</v>
      </c>
      <c r="H4148" s="545">
        <v>27.9</v>
      </c>
      <c r="I4148" s="554" t="s">
        <v>9218</v>
      </c>
      <c r="J4148" s="554" t="s">
        <v>9219</v>
      </c>
      <c r="K4148" s="554" t="s">
        <v>9219</v>
      </c>
      <c r="L4148" s="537" t="s">
        <v>2354</v>
      </c>
    </row>
    <row r="4149" spans="1:12" x14ac:dyDescent="0.2">
      <c r="A4149" s="547" t="s">
        <v>220</v>
      </c>
      <c r="B4149" s="547" t="s">
        <v>2351</v>
      </c>
      <c r="C4149" s="554" t="s">
        <v>9622</v>
      </c>
      <c r="D4149" s="554" t="s">
        <v>9623</v>
      </c>
      <c r="E4149" s="554" t="s">
        <v>545</v>
      </c>
      <c r="F4149" s="571">
        <v>1</v>
      </c>
      <c r="G4149" s="572">
        <v>27.9</v>
      </c>
      <c r="H4149" s="545">
        <v>27.9</v>
      </c>
      <c r="I4149" s="554" t="s">
        <v>9218</v>
      </c>
      <c r="J4149" s="554" t="s">
        <v>9219</v>
      </c>
      <c r="K4149" s="554" t="s">
        <v>9219</v>
      </c>
      <c r="L4149" s="537" t="s">
        <v>2354</v>
      </c>
    </row>
    <row r="4150" spans="1:12" x14ac:dyDescent="0.2">
      <c r="A4150" s="547" t="s">
        <v>220</v>
      </c>
      <c r="B4150" s="547" t="s">
        <v>2351</v>
      </c>
      <c r="C4150" s="554" t="s">
        <v>9624</v>
      </c>
      <c r="D4150" s="554" t="s">
        <v>9625</v>
      </c>
      <c r="E4150" s="554" t="s">
        <v>545</v>
      </c>
      <c r="F4150" s="571">
        <v>1</v>
      </c>
      <c r="G4150" s="572">
        <v>30.67</v>
      </c>
      <c r="H4150" s="545">
        <v>30.67</v>
      </c>
      <c r="I4150" s="554" t="s">
        <v>9218</v>
      </c>
      <c r="J4150" s="554" t="s">
        <v>9219</v>
      </c>
      <c r="K4150" s="554" t="s">
        <v>9219</v>
      </c>
      <c r="L4150" s="537" t="s">
        <v>2354</v>
      </c>
    </row>
    <row r="4151" spans="1:12" x14ac:dyDescent="0.2">
      <c r="A4151" s="547" t="s">
        <v>220</v>
      </c>
      <c r="B4151" s="547" t="s">
        <v>2351</v>
      </c>
      <c r="C4151" s="554" t="s">
        <v>9626</v>
      </c>
      <c r="D4151" s="554" t="s">
        <v>9627</v>
      </c>
      <c r="E4151" s="554" t="s">
        <v>545</v>
      </c>
      <c r="F4151" s="571">
        <v>1</v>
      </c>
      <c r="G4151" s="572">
        <v>51.1</v>
      </c>
      <c r="H4151" s="545">
        <v>51.1</v>
      </c>
      <c r="I4151" s="554" t="s">
        <v>9218</v>
      </c>
      <c r="J4151" s="554" t="s">
        <v>9219</v>
      </c>
      <c r="K4151" s="554" t="s">
        <v>9219</v>
      </c>
      <c r="L4151" s="537" t="s">
        <v>2354</v>
      </c>
    </row>
    <row r="4152" spans="1:12" x14ac:dyDescent="0.2">
      <c r="A4152" s="547" t="s">
        <v>220</v>
      </c>
      <c r="B4152" s="547" t="s">
        <v>2351</v>
      </c>
      <c r="C4152" s="554" t="s">
        <v>9628</v>
      </c>
      <c r="D4152" s="554" t="s">
        <v>9629</v>
      </c>
      <c r="E4152" s="554" t="s">
        <v>545</v>
      </c>
      <c r="F4152" s="571">
        <v>4</v>
      </c>
      <c r="G4152" s="572">
        <v>30.29</v>
      </c>
      <c r="H4152" s="545">
        <v>121.16</v>
      </c>
      <c r="I4152" s="554" t="s">
        <v>9218</v>
      </c>
      <c r="J4152" s="554" t="s">
        <v>9219</v>
      </c>
      <c r="K4152" s="554" t="s">
        <v>9219</v>
      </c>
      <c r="L4152" s="537" t="s">
        <v>2354</v>
      </c>
    </row>
    <row r="4153" spans="1:12" x14ac:dyDescent="0.2">
      <c r="A4153" s="547" t="s">
        <v>220</v>
      </c>
      <c r="B4153" s="547" t="s">
        <v>2351</v>
      </c>
      <c r="C4153" s="554" t="s">
        <v>9630</v>
      </c>
      <c r="D4153" s="554" t="s">
        <v>9631</v>
      </c>
      <c r="E4153" s="554" t="s">
        <v>545</v>
      </c>
      <c r="F4153" s="571">
        <v>6</v>
      </c>
      <c r="G4153" s="572">
        <v>31.7</v>
      </c>
      <c r="H4153" s="545">
        <v>190.2</v>
      </c>
      <c r="I4153" s="554" t="s">
        <v>9218</v>
      </c>
      <c r="J4153" s="554" t="s">
        <v>9219</v>
      </c>
      <c r="K4153" s="554" t="s">
        <v>9219</v>
      </c>
      <c r="L4153" s="537" t="s">
        <v>2354</v>
      </c>
    </row>
    <row r="4154" spans="1:12" x14ac:dyDescent="0.2">
      <c r="A4154" s="547" t="s">
        <v>220</v>
      </c>
      <c r="B4154" s="547" t="s">
        <v>2351</v>
      </c>
      <c r="C4154" s="554" t="s">
        <v>9632</v>
      </c>
      <c r="D4154" s="554" t="s">
        <v>9633</v>
      </c>
      <c r="E4154" s="554" t="s">
        <v>545</v>
      </c>
      <c r="F4154" s="571">
        <v>6</v>
      </c>
      <c r="G4154" s="572">
        <v>45.4</v>
      </c>
      <c r="H4154" s="545">
        <v>272.39999999999998</v>
      </c>
      <c r="I4154" s="554" t="s">
        <v>9218</v>
      </c>
      <c r="J4154" s="554" t="s">
        <v>9219</v>
      </c>
      <c r="K4154" s="554" t="s">
        <v>9219</v>
      </c>
      <c r="L4154" s="537" t="s">
        <v>2354</v>
      </c>
    </row>
    <row r="4155" spans="1:12" x14ac:dyDescent="0.2">
      <c r="A4155" s="547" t="s">
        <v>220</v>
      </c>
      <c r="B4155" s="547" t="s">
        <v>2351</v>
      </c>
      <c r="C4155" s="554" t="s">
        <v>9634</v>
      </c>
      <c r="D4155" s="554" t="s">
        <v>9635</v>
      </c>
      <c r="E4155" s="554" t="s">
        <v>545</v>
      </c>
      <c r="F4155" s="571">
        <v>3</v>
      </c>
      <c r="G4155" s="572">
        <v>306</v>
      </c>
      <c r="H4155" s="545">
        <v>918</v>
      </c>
      <c r="I4155" s="554" t="s">
        <v>9218</v>
      </c>
      <c r="J4155" s="554" t="s">
        <v>9219</v>
      </c>
      <c r="K4155" s="554" t="s">
        <v>9219</v>
      </c>
      <c r="L4155" s="537" t="s">
        <v>2354</v>
      </c>
    </row>
    <row r="4156" spans="1:12" x14ac:dyDescent="0.2">
      <c r="A4156" s="547" t="s">
        <v>220</v>
      </c>
      <c r="B4156" s="547" t="s">
        <v>7448</v>
      </c>
      <c r="C4156" s="547" t="s">
        <v>2051</v>
      </c>
      <c r="D4156" s="547" t="s">
        <v>9636</v>
      </c>
      <c r="E4156" s="547" t="s">
        <v>545</v>
      </c>
      <c r="F4156" s="574">
        <v>4</v>
      </c>
      <c r="G4156" s="545">
        <v>67.614958005157533</v>
      </c>
      <c r="H4156" s="545">
        <v>270.45983202063013</v>
      </c>
      <c r="I4156" s="547" t="s">
        <v>9009</v>
      </c>
      <c r="J4156" s="547" t="s">
        <v>9019</v>
      </c>
      <c r="K4156" s="547" t="s">
        <v>9020</v>
      </c>
      <c r="L4156" s="537" t="s">
        <v>1911</v>
      </c>
    </row>
  </sheetData>
  <autoFilter ref="A13:L13" xr:uid="{00000000-0009-0000-0000-00002B000000}"/>
  <conditionalFormatting sqref="C542">
    <cfRule type="duplicateValues" dxfId="18" priority="1"/>
  </conditionalFormatting>
  <conditionalFormatting sqref="C556">
    <cfRule type="duplicateValues" dxfId="17" priority="2"/>
  </conditionalFormatting>
  <conditionalFormatting sqref="C569">
    <cfRule type="duplicateValues" dxfId="16" priority="3"/>
  </conditionalFormatting>
  <conditionalFormatting sqref="C584">
    <cfRule type="duplicateValues" dxfId="15" priority="4"/>
  </conditionalFormatting>
  <conditionalFormatting sqref="C594">
    <cfRule type="duplicateValues" dxfId="14" priority="5"/>
  </conditionalFormatting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rgb="FF00B050"/>
  </sheetPr>
  <dimension ref="A3:L3479"/>
  <sheetViews>
    <sheetView workbookViewId="0">
      <selection activeCell="G9" sqref="G9"/>
    </sheetView>
  </sheetViews>
  <sheetFormatPr baseColWidth="10" defaultColWidth="0" defaultRowHeight="11.25" x14ac:dyDescent="0.2"/>
  <cols>
    <col min="1" max="1" width="4.5703125" style="672" bestFit="1" customWidth="1"/>
    <col min="2" max="2" width="11.7109375" style="672" customWidth="1"/>
    <col min="3" max="3" width="20.28515625" style="672" customWidth="1"/>
    <col min="4" max="4" width="25.85546875" style="672" customWidth="1"/>
    <col min="5" max="5" width="5.140625" style="672" customWidth="1"/>
    <col min="6" max="8" width="20.5703125" style="753" customWidth="1"/>
    <col min="9" max="9" width="19.5703125" style="672" bestFit="1" customWidth="1"/>
    <col min="10" max="10" width="24.140625" style="672" bestFit="1" customWidth="1"/>
    <col min="11" max="11" width="24.140625" style="672" customWidth="1"/>
    <col min="12" max="12" width="30.5703125" style="672" bestFit="1" customWidth="1"/>
    <col min="13" max="16384" width="25.7109375" style="672" hidden="1"/>
  </cols>
  <sheetData>
    <row r="3" spans="1:12" ht="12.75" x14ac:dyDescent="0.2">
      <c r="C3" s="650" t="s">
        <v>7563</v>
      </c>
      <c r="D3" s="651" t="s">
        <v>7564</v>
      </c>
    </row>
    <row r="4" spans="1:12" ht="15" x14ac:dyDescent="0.25">
      <c r="C4" s="225" t="s">
        <v>1911</v>
      </c>
      <c r="D4" s="1">
        <v>321680.06129456573</v>
      </c>
    </row>
    <row r="5" spans="1:12" ht="15" x14ac:dyDescent="0.25">
      <c r="C5" s="225" t="s">
        <v>541</v>
      </c>
      <c r="D5" s="1">
        <v>14537233.424546923</v>
      </c>
    </row>
    <row r="6" spans="1:12" ht="15" x14ac:dyDescent="0.25">
      <c r="C6" s="225" t="s">
        <v>2354</v>
      </c>
      <c r="D6" s="1">
        <v>611432.94857754128</v>
      </c>
    </row>
    <row r="7" spans="1:12" ht="15" x14ac:dyDescent="0.25">
      <c r="C7" s="225" t="s">
        <v>536</v>
      </c>
      <c r="D7" s="1">
        <v>6032949.5630995436</v>
      </c>
    </row>
    <row r="8" spans="1:12" ht="12.75" x14ac:dyDescent="0.2">
      <c r="C8" s="652" t="s">
        <v>7565</v>
      </c>
      <c r="D8" s="653">
        <v>21503295.997518573</v>
      </c>
    </row>
    <row r="10" spans="1:12" ht="12" thickBot="1" x14ac:dyDescent="0.25"/>
    <row r="11" spans="1:12" ht="12" thickBot="1" x14ac:dyDescent="0.25">
      <c r="D11" s="673" t="s">
        <v>10124</v>
      </c>
      <c r="E11" s="674"/>
      <c r="F11" s="675"/>
      <c r="G11" s="675"/>
      <c r="H11" s="675">
        <v>21503295.997518528</v>
      </c>
      <c r="I11" s="676">
        <v>21503295.997518498</v>
      </c>
    </row>
    <row r="12" spans="1:12" x14ac:dyDescent="0.2">
      <c r="F12" s="675"/>
      <c r="G12" s="675"/>
      <c r="H12" s="675"/>
    </row>
    <row r="13" spans="1:12" x14ac:dyDescent="0.2">
      <c r="A13" s="677" t="s">
        <v>524</v>
      </c>
      <c r="B13" s="678" t="s">
        <v>525</v>
      </c>
      <c r="C13" s="677" t="s">
        <v>526</v>
      </c>
      <c r="D13" s="677" t="s">
        <v>527</v>
      </c>
      <c r="E13" s="677" t="s">
        <v>528</v>
      </c>
      <c r="F13" s="679" t="s">
        <v>10125</v>
      </c>
      <c r="G13" s="679" t="s">
        <v>7406</v>
      </c>
      <c r="H13" s="679" t="s">
        <v>7407</v>
      </c>
      <c r="I13" s="680" t="s">
        <v>8989</v>
      </c>
      <c r="J13" s="680" t="s">
        <v>10126</v>
      </c>
      <c r="K13" s="680" t="s">
        <v>9712</v>
      </c>
      <c r="L13" s="680" t="s">
        <v>9645</v>
      </c>
    </row>
    <row r="14" spans="1:12" x14ac:dyDescent="0.2">
      <c r="A14" s="681" t="s">
        <v>587</v>
      </c>
      <c r="B14" s="682" t="s">
        <v>591</v>
      </c>
      <c r="C14" s="681" t="s">
        <v>7408</v>
      </c>
      <c r="D14" s="681" t="s">
        <v>7429</v>
      </c>
      <c r="E14" s="683" t="s">
        <v>535</v>
      </c>
      <c r="F14" s="684">
        <v>66519</v>
      </c>
      <c r="G14" s="685">
        <v>8.5078631866790175</v>
      </c>
      <c r="H14" s="685">
        <v>565934.55131470156</v>
      </c>
      <c r="I14" s="686" t="s">
        <v>9009</v>
      </c>
      <c r="J14" s="672" t="s">
        <v>10127</v>
      </c>
      <c r="K14" s="672" t="s">
        <v>536</v>
      </c>
      <c r="L14" s="672" t="s">
        <v>9010</v>
      </c>
    </row>
    <row r="15" spans="1:12" x14ac:dyDescent="0.2">
      <c r="A15" s="681" t="s">
        <v>587</v>
      </c>
      <c r="B15" s="682" t="s">
        <v>591</v>
      </c>
      <c r="C15" s="681" t="s">
        <v>7431</v>
      </c>
      <c r="D15" s="681" t="s">
        <v>7432</v>
      </c>
      <c r="E15" s="683" t="s">
        <v>535</v>
      </c>
      <c r="F15" s="684">
        <v>22000</v>
      </c>
      <c r="G15" s="685">
        <v>7.3918832249619619</v>
      </c>
      <c r="H15" s="685">
        <v>162621.43094916316</v>
      </c>
      <c r="I15" s="686" t="s">
        <v>9009</v>
      </c>
      <c r="J15" s="672" t="s">
        <v>10127</v>
      </c>
      <c r="K15" s="672" t="s">
        <v>536</v>
      </c>
      <c r="L15" s="672" t="s">
        <v>9010</v>
      </c>
    </row>
    <row r="16" spans="1:12" x14ac:dyDescent="0.2">
      <c r="A16" s="681" t="s">
        <v>587</v>
      </c>
      <c r="B16" s="682" t="s">
        <v>591</v>
      </c>
      <c r="C16" s="681" t="s">
        <v>7422</v>
      </c>
      <c r="D16" s="681" t="s">
        <v>7430</v>
      </c>
      <c r="E16" s="683" t="s">
        <v>535</v>
      </c>
      <c r="F16" s="687">
        <v>141773</v>
      </c>
      <c r="G16" s="685">
        <v>8.4891737388108286</v>
      </c>
      <c r="H16" s="685">
        <v>1203535.6284724276</v>
      </c>
      <c r="I16" s="686" t="s">
        <v>9009</v>
      </c>
      <c r="J16" s="672" t="s">
        <v>10127</v>
      </c>
      <c r="K16" s="672" t="s">
        <v>536</v>
      </c>
      <c r="L16" s="672" t="s">
        <v>9010</v>
      </c>
    </row>
    <row r="17" spans="1:12" x14ac:dyDescent="0.2">
      <c r="A17" s="681" t="s">
        <v>587</v>
      </c>
      <c r="B17" s="682" t="s">
        <v>591</v>
      </c>
      <c r="C17" s="681" t="s">
        <v>675</v>
      </c>
      <c r="D17" s="681" t="s">
        <v>7426</v>
      </c>
      <c r="E17" s="688" t="s">
        <v>535</v>
      </c>
      <c r="F17" s="684">
        <v>16240</v>
      </c>
      <c r="G17" s="685">
        <v>7.9690198258180445</v>
      </c>
      <c r="H17" s="685">
        <v>129416.88197128504</v>
      </c>
      <c r="I17" s="686" t="s">
        <v>9009</v>
      </c>
      <c r="J17" s="672" t="s">
        <v>9011</v>
      </c>
      <c r="K17" s="672" t="s">
        <v>541</v>
      </c>
      <c r="L17" s="672" t="s">
        <v>8994</v>
      </c>
    </row>
    <row r="18" spans="1:12" x14ac:dyDescent="0.2">
      <c r="A18" s="681" t="s">
        <v>587</v>
      </c>
      <c r="B18" s="681" t="s">
        <v>591</v>
      </c>
      <c r="C18" s="681" t="s">
        <v>677</v>
      </c>
      <c r="D18" s="689" t="s">
        <v>7427</v>
      </c>
      <c r="E18" s="688" t="s">
        <v>535</v>
      </c>
      <c r="F18" s="684">
        <v>16750</v>
      </c>
      <c r="G18" s="685">
        <v>7.7380033231352208</v>
      </c>
      <c r="H18" s="685">
        <v>129611.55566251495</v>
      </c>
      <c r="I18" s="686" t="s">
        <v>9009</v>
      </c>
      <c r="J18" s="672" t="s">
        <v>9011</v>
      </c>
      <c r="K18" s="672" t="s">
        <v>541</v>
      </c>
      <c r="L18" s="672" t="s">
        <v>8994</v>
      </c>
    </row>
    <row r="19" spans="1:12" x14ac:dyDescent="0.2">
      <c r="A19" s="681" t="s">
        <v>587</v>
      </c>
      <c r="B19" s="681" t="s">
        <v>591</v>
      </c>
      <c r="C19" s="681" t="s">
        <v>7412</v>
      </c>
      <c r="D19" s="689" t="s">
        <v>9699</v>
      </c>
      <c r="E19" s="683" t="s">
        <v>535</v>
      </c>
      <c r="F19" s="690">
        <v>532</v>
      </c>
      <c r="G19" s="685">
        <v>8.5202602565974619</v>
      </c>
      <c r="H19" s="685">
        <v>4532.77845650985</v>
      </c>
      <c r="I19" s="686" t="s">
        <v>9009</v>
      </c>
      <c r="J19" s="672" t="s">
        <v>10127</v>
      </c>
      <c r="K19" s="672" t="s">
        <v>536</v>
      </c>
      <c r="L19" s="672" t="s">
        <v>9010</v>
      </c>
    </row>
    <row r="20" spans="1:12" x14ac:dyDescent="0.2">
      <c r="A20" s="691" t="s">
        <v>220</v>
      </c>
      <c r="B20" s="691" t="s">
        <v>702</v>
      </c>
      <c r="C20" s="691" t="s">
        <v>703</v>
      </c>
      <c r="D20" s="692" t="s">
        <v>704</v>
      </c>
      <c r="E20" s="693" t="s">
        <v>535</v>
      </c>
      <c r="F20" s="694">
        <v>111117.6</v>
      </c>
      <c r="G20" s="685">
        <v>0.60000132219752123</v>
      </c>
      <c r="H20" s="685">
        <v>66670.706919415286</v>
      </c>
      <c r="I20" s="686" t="s">
        <v>9009</v>
      </c>
      <c r="J20" s="672" t="s">
        <v>10128</v>
      </c>
      <c r="K20" s="672" t="s">
        <v>541</v>
      </c>
      <c r="L20" s="672" t="s">
        <v>8996</v>
      </c>
    </row>
    <row r="21" spans="1:12" x14ac:dyDescent="0.2">
      <c r="A21" s="695" t="s">
        <v>747</v>
      </c>
      <c r="B21" s="695" t="s">
        <v>781</v>
      </c>
      <c r="C21" s="695"/>
      <c r="D21" s="681" t="s">
        <v>9004</v>
      </c>
      <c r="E21" s="696" t="s">
        <v>535</v>
      </c>
      <c r="F21" s="697">
        <v>628</v>
      </c>
      <c r="G21" s="685">
        <v>5.9709292242609422</v>
      </c>
      <c r="H21" s="685">
        <v>3749.7435528358719</v>
      </c>
      <c r="I21" s="698" t="s">
        <v>8992</v>
      </c>
      <c r="J21" s="672" t="s">
        <v>8994</v>
      </c>
      <c r="K21" s="672" t="s">
        <v>541</v>
      </c>
      <c r="L21" s="672" t="s">
        <v>8994</v>
      </c>
    </row>
    <row r="22" spans="1:12" x14ac:dyDescent="0.2">
      <c r="A22" s="699" t="s">
        <v>587</v>
      </c>
      <c r="B22" s="699" t="s">
        <v>591</v>
      </c>
      <c r="C22" s="699" t="s">
        <v>7696</v>
      </c>
      <c r="D22" s="699" t="s">
        <v>9700</v>
      </c>
      <c r="E22" s="700" t="s">
        <v>535</v>
      </c>
      <c r="F22" s="684">
        <v>2731</v>
      </c>
      <c r="G22" s="685">
        <v>7.4566287599539267</v>
      </c>
      <c r="H22" s="685">
        <v>20364.053143434176</v>
      </c>
      <c r="I22" s="686" t="s">
        <v>9009</v>
      </c>
      <c r="J22" s="672" t="s">
        <v>9011</v>
      </c>
      <c r="K22" s="672" t="s">
        <v>541</v>
      </c>
      <c r="L22" s="672" t="s">
        <v>8994</v>
      </c>
    </row>
    <row r="23" spans="1:12" x14ac:dyDescent="0.2">
      <c r="A23" s="681" t="s">
        <v>220</v>
      </c>
      <c r="B23" s="681" t="s">
        <v>702</v>
      </c>
      <c r="C23" s="681"/>
      <c r="D23" s="701" t="s">
        <v>708</v>
      </c>
      <c r="E23" s="702" t="s">
        <v>535</v>
      </c>
      <c r="F23" s="703">
        <v>39062.5</v>
      </c>
      <c r="G23" s="704">
        <v>0.20850042971419441</v>
      </c>
      <c r="H23" s="685">
        <v>8144.548035710719</v>
      </c>
      <c r="I23" s="686" t="s">
        <v>9009</v>
      </c>
      <c r="J23" s="672" t="s">
        <v>10129</v>
      </c>
      <c r="K23" s="672" t="s">
        <v>541</v>
      </c>
      <c r="L23" s="672" t="s">
        <v>8996</v>
      </c>
    </row>
    <row r="24" spans="1:12" x14ac:dyDescent="0.2">
      <c r="A24" s="681" t="s">
        <v>220</v>
      </c>
      <c r="B24" s="681" t="s">
        <v>702</v>
      </c>
      <c r="C24" s="681" t="s">
        <v>705</v>
      </c>
      <c r="D24" s="681" t="s">
        <v>7692</v>
      </c>
      <c r="E24" s="683" t="s">
        <v>535</v>
      </c>
      <c r="F24" s="684">
        <v>650</v>
      </c>
      <c r="G24" s="685">
        <v>3.1235245577762072</v>
      </c>
      <c r="H24" s="685">
        <v>2030.2909625545346</v>
      </c>
      <c r="I24" s="686" t="s">
        <v>9009</v>
      </c>
      <c r="J24" s="672" t="s">
        <v>10128</v>
      </c>
      <c r="K24" s="672" t="s">
        <v>541</v>
      </c>
      <c r="L24" s="672" t="s">
        <v>8996</v>
      </c>
    </row>
    <row r="25" spans="1:12" x14ac:dyDescent="0.2">
      <c r="A25" s="681" t="s">
        <v>587</v>
      </c>
      <c r="B25" s="681" t="s">
        <v>591</v>
      </c>
      <c r="C25" s="681" t="s">
        <v>7580</v>
      </c>
      <c r="D25" s="681" t="s">
        <v>9658</v>
      </c>
      <c r="E25" s="683" t="s">
        <v>535</v>
      </c>
      <c r="F25" s="687">
        <v>2628</v>
      </c>
      <c r="G25" s="685">
        <v>7.7380033231352208</v>
      </c>
      <c r="H25" s="685">
        <v>20335.47273319936</v>
      </c>
      <c r="I25" s="686" t="s">
        <v>9009</v>
      </c>
      <c r="J25" s="672" t="s">
        <v>10127</v>
      </c>
      <c r="K25" s="672" t="s">
        <v>536</v>
      </c>
      <c r="L25" s="672" t="s">
        <v>9010</v>
      </c>
    </row>
    <row r="26" spans="1:12" x14ac:dyDescent="0.2">
      <c r="A26" s="705" t="s">
        <v>587</v>
      </c>
      <c r="B26" s="691" t="s">
        <v>591</v>
      </c>
      <c r="C26" s="706" t="s">
        <v>675</v>
      </c>
      <c r="D26" s="706" t="s">
        <v>777</v>
      </c>
      <c r="E26" s="707" t="s">
        <v>535</v>
      </c>
      <c r="F26" s="708">
        <v>619</v>
      </c>
      <c r="G26" s="685">
        <v>7.9690198258180445</v>
      </c>
      <c r="H26" s="685">
        <v>4932.8232721813692</v>
      </c>
      <c r="I26" s="686" t="s">
        <v>9009</v>
      </c>
      <c r="J26" s="672" t="s">
        <v>9011</v>
      </c>
      <c r="K26" s="672" t="s">
        <v>541</v>
      </c>
      <c r="L26" s="672" t="s">
        <v>8994</v>
      </c>
    </row>
    <row r="27" spans="1:12" x14ac:dyDescent="0.2">
      <c r="A27" s="681" t="s">
        <v>747</v>
      </c>
      <c r="B27" s="681" t="s">
        <v>781</v>
      </c>
      <c r="C27" s="681" t="s">
        <v>755</v>
      </c>
      <c r="D27" s="681" t="s">
        <v>756</v>
      </c>
      <c r="E27" s="683" t="s">
        <v>535</v>
      </c>
      <c r="F27" s="709">
        <v>8</v>
      </c>
      <c r="G27" s="685">
        <v>4.6102952500472769</v>
      </c>
      <c r="H27" s="685">
        <v>36.882362000378215</v>
      </c>
      <c r="I27" s="698" t="s">
        <v>8992</v>
      </c>
      <c r="J27" s="672" t="s">
        <v>8996</v>
      </c>
      <c r="K27" s="672" t="s">
        <v>541</v>
      </c>
      <c r="L27" s="672" t="s">
        <v>8996</v>
      </c>
    </row>
    <row r="28" spans="1:12" x14ac:dyDescent="0.2">
      <c r="A28" s="699" t="s">
        <v>220</v>
      </c>
      <c r="B28" s="699" t="s">
        <v>702</v>
      </c>
      <c r="C28" s="699"/>
      <c r="D28" s="710" t="s">
        <v>712</v>
      </c>
      <c r="E28" s="711" t="s">
        <v>535</v>
      </c>
      <c r="F28" s="712">
        <v>775</v>
      </c>
      <c r="G28" s="685">
        <v>1.25</v>
      </c>
      <c r="H28" s="685">
        <v>968.75</v>
      </c>
      <c r="I28" s="686" t="s">
        <v>9009</v>
      </c>
      <c r="J28" s="672" t="s">
        <v>10128</v>
      </c>
      <c r="K28" s="672" t="s">
        <v>541</v>
      </c>
      <c r="L28" s="672" t="s">
        <v>8996</v>
      </c>
    </row>
    <row r="29" spans="1:12" x14ac:dyDescent="0.2">
      <c r="A29" s="681" t="s">
        <v>220</v>
      </c>
      <c r="B29" s="681" t="s">
        <v>702</v>
      </c>
      <c r="C29" s="681"/>
      <c r="D29" s="701" t="s">
        <v>710</v>
      </c>
      <c r="E29" s="702" t="s">
        <v>535</v>
      </c>
      <c r="F29" s="704">
        <v>15679.999999999998</v>
      </c>
      <c r="G29" s="704">
        <v>0.23352048127989725</v>
      </c>
      <c r="H29" s="685">
        <v>3661.6011464687886</v>
      </c>
      <c r="I29" s="686" t="s">
        <v>9009</v>
      </c>
      <c r="J29" s="672" t="s">
        <v>10129</v>
      </c>
      <c r="K29" s="672" t="s">
        <v>541</v>
      </c>
      <c r="L29" s="672" t="s">
        <v>8996</v>
      </c>
    </row>
    <row r="30" spans="1:12" x14ac:dyDescent="0.2">
      <c r="A30" s="681" t="s">
        <v>220</v>
      </c>
      <c r="B30" s="681" t="s">
        <v>702</v>
      </c>
      <c r="C30" s="681"/>
      <c r="D30" s="701" t="s">
        <v>709</v>
      </c>
      <c r="E30" s="702" t="s">
        <v>535</v>
      </c>
      <c r="F30" s="704">
        <v>8385.125</v>
      </c>
      <c r="G30" s="704">
        <v>0.21600644518390497</v>
      </c>
      <c r="H30" s="685">
        <v>1811.2410436726911</v>
      </c>
      <c r="I30" s="686" t="s">
        <v>9009</v>
      </c>
      <c r="J30" s="672" t="s">
        <v>10129</v>
      </c>
      <c r="K30" s="672" t="s">
        <v>541</v>
      </c>
      <c r="L30" s="672" t="s">
        <v>8996</v>
      </c>
    </row>
    <row r="31" spans="1:12" x14ac:dyDescent="0.2">
      <c r="A31" s="681" t="s">
        <v>220</v>
      </c>
      <c r="B31" s="672" t="s">
        <v>7593</v>
      </c>
      <c r="C31" s="681" t="s">
        <v>2098</v>
      </c>
      <c r="D31" s="713" t="s">
        <v>7503</v>
      </c>
      <c r="E31" s="714" t="s">
        <v>545</v>
      </c>
      <c r="F31" s="704">
        <v>3</v>
      </c>
      <c r="G31" s="704">
        <v>245.96614100488927</v>
      </c>
      <c r="H31" s="685">
        <v>737.89842301466774</v>
      </c>
      <c r="I31" s="686" t="s">
        <v>9009</v>
      </c>
      <c r="J31" s="672" t="s">
        <v>9024</v>
      </c>
      <c r="K31" s="672" t="s">
        <v>536</v>
      </c>
      <c r="L31" s="672" t="s">
        <v>9024</v>
      </c>
    </row>
    <row r="32" spans="1:12" x14ac:dyDescent="0.2">
      <c r="A32" s="681" t="s">
        <v>220</v>
      </c>
      <c r="B32" s="681" t="s">
        <v>7593</v>
      </c>
      <c r="C32" s="681" t="s">
        <v>2097</v>
      </c>
      <c r="D32" s="701" t="s">
        <v>7494</v>
      </c>
      <c r="E32" s="715" t="s">
        <v>545</v>
      </c>
      <c r="F32" s="704">
        <v>3</v>
      </c>
      <c r="G32" s="704">
        <v>180.81096792493096</v>
      </c>
      <c r="H32" s="685">
        <v>542.43290377479286</v>
      </c>
      <c r="I32" s="686" t="s">
        <v>9009</v>
      </c>
      <c r="J32" s="672" t="s">
        <v>9024</v>
      </c>
      <c r="K32" s="672" t="s">
        <v>536</v>
      </c>
      <c r="L32" s="672" t="s">
        <v>9024</v>
      </c>
    </row>
    <row r="33" spans="1:12" x14ac:dyDescent="0.2">
      <c r="A33" s="681" t="s">
        <v>220</v>
      </c>
      <c r="B33" s="681" t="s">
        <v>7593</v>
      </c>
      <c r="C33" s="681" t="s">
        <v>2097</v>
      </c>
      <c r="D33" s="701" t="s">
        <v>1979</v>
      </c>
      <c r="E33" s="715" t="s">
        <v>545</v>
      </c>
      <c r="F33" s="704">
        <v>3</v>
      </c>
      <c r="G33" s="704">
        <v>180.81096792493096</v>
      </c>
      <c r="H33" s="685">
        <v>542.43290377479286</v>
      </c>
      <c r="I33" s="686" t="s">
        <v>9009</v>
      </c>
      <c r="J33" s="672" t="s">
        <v>9024</v>
      </c>
      <c r="K33" s="672" t="s">
        <v>536</v>
      </c>
      <c r="L33" s="672" t="s">
        <v>9024</v>
      </c>
    </row>
    <row r="34" spans="1:12" x14ac:dyDescent="0.2">
      <c r="A34" s="681" t="s">
        <v>220</v>
      </c>
      <c r="B34" s="681" t="s">
        <v>7593</v>
      </c>
      <c r="C34" s="681" t="s">
        <v>2094</v>
      </c>
      <c r="D34" s="701" t="s">
        <v>9079</v>
      </c>
      <c r="E34" s="715" t="s">
        <v>545</v>
      </c>
      <c r="F34" s="704">
        <v>3</v>
      </c>
      <c r="G34" s="704">
        <v>158.85888891888138</v>
      </c>
      <c r="H34" s="685">
        <v>476.57666675664416</v>
      </c>
      <c r="I34" s="686" t="s">
        <v>9009</v>
      </c>
      <c r="J34" s="672" t="s">
        <v>9024</v>
      </c>
      <c r="K34" s="672" t="s">
        <v>536</v>
      </c>
      <c r="L34" s="672" t="s">
        <v>9024</v>
      </c>
    </row>
    <row r="35" spans="1:12" x14ac:dyDescent="0.2">
      <c r="A35" s="681" t="s">
        <v>220</v>
      </c>
      <c r="B35" s="681" t="s">
        <v>7593</v>
      </c>
      <c r="C35" s="681" t="s">
        <v>2087</v>
      </c>
      <c r="D35" s="701" t="s">
        <v>7529</v>
      </c>
      <c r="E35" s="715" t="s">
        <v>545</v>
      </c>
      <c r="F35" s="704">
        <v>3</v>
      </c>
      <c r="G35" s="704">
        <v>130.48334584556275</v>
      </c>
      <c r="H35" s="685">
        <v>391.45003753668823</v>
      </c>
      <c r="I35" s="686" t="s">
        <v>9009</v>
      </c>
      <c r="J35" s="672" t="s">
        <v>9024</v>
      </c>
      <c r="K35" s="672" t="s">
        <v>536</v>
      </c>
      <c r="L35" s="672" t="s">
        <v>9024</v>
      </c>
    </row>
    <row r="36" spans="1:12" x14ac:dyDescent="0.2">
      <c r="A36" s="681" t="s">
        <v>220</v>
      </c>
      <c r="B36" s="681" t="s">
        <v>7593</v>
      </c>
      <c r="C36" s="681" t="s">
        <v>2092</v>
      </c>
      <c r="D36" s="701" t="s">
        <v>7507</v>
      </c>
      <c r="E36" s="715" t="s">
        <v>545</v>
      </c>
      <c r="F36" s="704">
        <v>3</v>
      </c>
      <c r="G36" s="704">
        <v>130.62749974004029</v>
      </c>
      <c r="H36" s="685">
        <v>391.88249922012085</v>
      </c>
      <c r="I36" s="686" t="s">
        <v>9009</v>
      </c>
      <c r="J36" s="672" t="s">
        <v>9024</v>
      </c>
      <c r="K36" s="672" t="s">
        <v>536</v>
      </c>
      <c r="L36" s="672" t="s">
        <v>9024</v>
      </c>
    </row>
    <row r="37" spans="1:12" x14ac:dyDescent="0.2">
      <c r="A37" s="681" t="s">
        <v>220</v>
      </c>
      <c r="B37" s="681" t="s">
        <v>7593</v>
      </c>
      <c r="C37" s="681" t="s">
        <v>7597</v>
      </c>
      <c r="D37" s="701" t="s">
        <v>7497</v>
      </c>
      <c r="E37" s="715" t="s">
        <v>545</v>
      </c>
      <c r="F37" s="704">
        <v>3</v>
      </c>
      <c r="G37" s="704">
        <v>122.01405510908974</v>
      </c>
      <c r="H37" s="685">
        <v>366.04216532726923</v>
      </c>
      <c r="I37" s="686" t="s">
        <v>9009</v>
      </c>
      <c r="J37" s="672" t="s">
        <v>9024</v>
      </c>
      <c r="K37" s="672" t="s">
        <v>536</v>
      </c>
      <c r="L37" s="672" t="s">
        <v>9024</v>
      </c>
    </row>
    <row r="38" spans="1:12" x14ac:dyDescent="0.2">
      <c r="A38" s="681" t="s">
        <v>220</v>
      </c>
      <c r="B38" s="681" t="s">
        <v>7593</v>
      </c>
      <c r="C38" s="681" t="s">
        <v>2072</v>
      </c>
      <c r="D38" s="701" t="s">
        <v>7517</v>
      </c>
      <c r="E38" s="715" t="s">
        <v>545</v>
      </c>
      <c r="F38" s="704">
        <v>4</v>
      </c>
      <c r="G38" s="704">
        <v>92.417227656975584</v>
      </c>
      <c r="H38" s="685">
        <v>369.66891062790233</v>
      </c>
      <c r="I38" s="686" t="s">
        <v>9009</v>
      </c>
      <c r="J38" s="672" t="s">
        <v>9024</v>
      </c>
      <c r="K38" s="672" t="s">
        <v>536</v>
      </c>
      <c r="L38" s="672" t="s">
        <v>9024</v>
      </c>
    </row>
    <row r="39" spans="1:12" x14ac:dyDescent="0.2">
      <c r="A39" s="681" t="s">
        <v>220</v>
      </c>
      <c r="B39" s="681" t="s">
        <v>702</v>
      </c>
      <c r="C39" s="681" t="s">
        <v>7584</v>
      </c>
      <c r="D39" s="701" t="s">
        <v>711</v>
      </c>
      <c r="E39" s="702" t="s">
        <v>535</v>
      </c>
      <c r="F39" s="716">
        <v>10000</v>
      </c>
      <c r="G39" s="685">
        <v>0.02</v>
      </c>
      <c r="H39" s="685">
        <v>200</v>
      </c>
      <c r="I39" s="686" t="s">
        <v>9009</v>
      </c>
      <c r="J39" s="672" t="s">
        <v>10128</v>
      </c>
      <c r="K39" s="672" t="s">
        <v>541</v>
      </c>
      <c r="L39" s="672" t="s">
        <v>8996</v>
      </c>
    </row>
    <row r="40" spans="1:12" x14ac:dyDescent="0.2">
      <c r="A40" s="681" t="s">
        <v>220</v>
      </c>
      <c r="B40" s="681" t="s">
        <v>7593</v>
      </c>
      <c r="C40" s="681" t="s">
        <v>7598</v>
      </c>
      <c r="D40" s="701" t="s">
        <v>7515</v>
      </c>
      <c r="E40" s="715" t="s">
        <v>545</v>
      </c>
      <c r="F40" s="704">
        <v>4</v>
      </c>
      <c r="G40" s="704">
        <v>88.953202641804936</v>
      </c>
      <c r="H40" s="685">
        <v>355.81281056721974</v>
      </c>
      <c r="I40" s="686" t="s">
        <v>9009</v>
      </c>
      <c r="J40" s="672" t="s">
        <v>9024</v>
      </c>
      <c r="K40" s="672" t="s">
        <v>536</v>
      </c>
      <c r="L40" s="672" t="s">
        <v>9024</v>
      </c>
    </row>
    <row r="41" spans="1:12" x14ac:dyDescent="0.2">
      <c r="A41" s="681" t="s">
        <v>220</v>
      </c>
      <c r="B41" s="681" t="s">
        <v>7593</v>
      </c>
      <c r="C41" s="681" t="s">
        <v>2136</v>
      </c>
      <c r="D41" s="701" t="s">
        <v>9070</v>
      </c>
      <c r="E41" s="715" t="s">
        <v>545</v>
      </c>
      <c r="F41" s="704">
        <v>3</v>
      </c>
      <c r="G41" s="704">
        <v>116.23662725163969</v>
      </c>
      <c r="H41" s="685">
        <v>348.70988175491908</v>
      </c>
      <c r="I41" s="686" t="s">
        <v>9009</v>
      </c>
      <c r="J41" s="672" t="s">
        <v>9024</v>
      </c>
      <c r="K41" s="672" t="s">
        <v>536</v>
      </c>
      <c r="L41" s="672" t="s">
        <v>9024</v>
      </c>
    </row>
    <row r="42" spans="1:12" x14ac:dyDescent="0.2">
      <c r="A42" s="681" t="s">
        <v>220</v>
      </c>
      <c r="B42" s="681" t="s">
        <v>7593</v>
      </c>
      <c r="C42" s="681" t="s">
        <v>2086</v>
      </c>
      <c r="D42" s="701" t="s">
        <v>7527</v>
      </c>
      <c r="E42" s="715" t="s">
        <v>545</v>
      </c>
      <c r="F42" s="704">
        <v>3</v>
      </c>
      <c r="G42" s="704">
        <v>112.53235250900947</v>
      </c>
      <c r="H42" s="685">
        <v>337.59705752702843</v>
      </c>
      <c r="I42" s="686" t="s">
        <v>9009</v>
      </c>
      <c r="J42" s="672" t="s">
        <v>9024</v>
      </c>
      <c r="K42" s="672" t="s">
        <v>536</v>
      </c>
      <c r="L42" s="672" t="s">
        <v>9024</v>
      </c>
    </row>
    <row r="43" spans="1:12" x14ac:dyDescent="0.2">
      <c r="A43" s="681" t="s">
        <v>220</v>
      </c>
      <c r="B43" s="681" t="s">
        <v>7593</v>
      </c>
      <c r="C43" s="681" t="s">
        <v>2112</v>
      </c>
      <c r="D43" s="701" t="s">
        <v>7522</v>
      </c>
      <c r="E43" s="715" t="s">
        <v>545</v>
      </c>
      <c r="F43" s="704">
        <v>3</v>
      </c>
      <c r="G43" s="704">
        <v>113.42010531317611</v>
      </c>
      <c r="H43" s="685">
        <v>340.26031593952831</v>
      </c>
      <c r="I43" s="686" t="s">
        <v>9009</v>
      </c>
      <c r="J43" s="672" t="s">
        <v>9024</v>
      </c>
      <c r="K43" s="672" t="s">
        <v>536</v>
      </c>
      <c r="L43" s="672" t="s">
        <v>9024</v>
      </c>
    </row>
    <row r="44" spans="1:12" x14ac:dyDescent="0.2">
      <c r="A44" s="681" t="s">
        <v>220</v>
      </c>
      <c r="B44" s="681" t="s">
        <v>7593</v>
      </c>
      <c r="C44" s="681" t="s">
        <v>9029</v>
      </c>
      <c r="D44" s="701" t="s">
        <v>9070</v>
      </c>
      <c r="E44" s="715" t="s">
        <v>545</v>
      </c>
      <c r="F44" s="704">
        <v>3</v>
      </c>
      <c r="G44" s="704">
        <v>108.1318472962617</v>
      </c>
      <c r="H44" s="685">
        <v>324.39554188878509</v>
      </c>
      <c r="I44" s="686" t="s">
        <v>9009</v>
      </c>
      <c r="J44" s="672" t="s">
        <v>9024</v>
      </c>
      <c r="K44" s="672" t="s">
        <v>536</v>
      </c>
      <c r="L44" s="672" t="s">
        <v>9024</v>
      </c>
    </row>
    <row r="45" spans="1:12" x14ac:dyDescent="0.2">
      <c r="A45" s="681" t="s">
        <v>220</v>
      </c>
      <c r="B45" s="681" t="s">
        <v>7593</v>
      </c>
      <c r="C45" s="681" t="s">
        <v>7531</v>
      </c>
      <c r="D45" s="701" t="s">
        <v>7506</v>
      </c>
      <c r="E45" s="715" t="s">
        <v>545</v>
      </c>
      <c r="F45" s="704">
        <v>3</v>
      </c>
      <c r="G45" s="704">
        <v>102.6539982417291</v>
      </c>
      <c r="H45" s="685">
        <v>307.96199472518731</v>
      </c>
      <c r="I45" s="686" t="s">
        <v>9009</v>
      </c>
      <c r="J45" s="672" t="s">
        <v>9024</v>
      </c>
      <c r="K45" s="672" t="s">
        <v>536</v>
      </c>
      <c r="L45" s="672" t="s">
        <v>9024</v>
      </c>
    </row>
    <row r="46" spans="1:12" x14ac:dyDescent="0.2">
      <c r="A46" s="681" t="s">
        <v>220</v>
      </c>
      <c r="B46" s="681" t="s">
        <v>7593</v>
      </c>
      <c r="C46" s="681" t="s">
        <v>2076</v>
      </c>
      <c r="D46" s="701" t="s">
        <v>7520</v>
      </c>
      <c r="E46" s="715" t="s">
        <v>545</v>
      </c>
      <c r="F46" s="704">
        <v>3</v>
      </c>
      <c r="G46" s="704">
        <v>95.049949895725504</v>
      </c>
      <c r="H46" s="685">
        <v>285.14984968717653</v>
      </c>
      <c r="I46" s="686" t="s">
        <v>9009</v>
      </c>
      <c r="J46" s="672" t="s">
        <v>9024</v>
      </c>
      <c r="K46" s="672" t="s">
        <v>536</v>
      </c>
      <c r="L46" s="672" t="s">
        <v>9024</v>
      </c>
    </row>
    <row r="47" spans="1:12" x14ac:dyDescent="0.2">
      <c r="A47" s="681" t="s">
        <v>220</v>
      </c>
      <c r="B47" s="681" t="s">
        <v>7593</v>
      </c>
      <c r="C47" s="681" t="s">
        <v>2135</v>
      </c>
      <c r="D47" s="701" t="s">
        <v>9069</v>
      </c>
      <c r="E47" s="715" t="s">
        <v>545</v>
      </c>
      <c r="F47" s="704">
        <v>3</v>
      </c>
      <c r="G47" s="704">
        <v>92.955439604858512</v>
      </c>
      <c r="H47" s="685">
        <v>278.86631881457555</v>
      </c>
      <c r="I47" s="686" t="s">
        <v>9009</v>
      </c>
      <c r="J47" s="672" t="s">
        <v>9024</v>
      </c>
      <c r="K47" s="672" t="s">
        <v>536</v>
      </c>
      <c r="L47" s="672" t="s">
        <v>9024</v>
      </c>
    </row>
    <row r="48" spans="1:12" x14ac:dyDescent="0.2">
      <c r="A48" s="691" t="s">
        <v>220</v>
      </c>
      <c r="B48" s="691" t="s">
        <v>7593</v>
      </c>
      <c r="C48" s="691" t="s">
        <v>2088</v>
      </c>
      <c r="D48" s="717" t="s">
        <v>7504</v>
      </c>
      <c r="E48" s="718" t="s">
        <v>545</v>
      </c>
      <c r="F48" s="719">
        <v>3</v>
      </c>
      <c r="G48" s="704">
        <v>93.631886631924147</v>
      </c>
      <c r="H48" s="685">
        <v>280.89565989577244</v>
      </c>
      <c r="I48" s="686" t="s">
        <v>9009</v>
      </c>
      <c r="J48" s="672" t="s">
        <v>9024</v>
      </c>
      <c r="K48" s="672" t="s">
        <v>536</v>
      </c>
      <c r="L48" s="672" t="s">
        <v>9024</v>
      </c>
    </row>
    <row r="49" spans="1:12" x14ac:dyDescent="0.2">
      <c r="A49" s="681" t="s">
        <v>747</v>
      </c>
      <c r="B49" s="681" t="s">
        <v>781</v>
      </c>
      <c r="C49" s="681" t="s">
        <v>775</v>
      </c>
      <c r="D49" s="681" t="s">
        <v>7693</v>
      </c>
      <c r="E49" s="683" t="s">
        <v>535</v>
      </c>
      <c r="F49" s="720">
        <v>8</v>
      </c>
      <c r="G49" s="685">
        <v>2.7142732054286474</v>
      </c>
      <c r="H49" s="685">
        <v>21.714185643429179</v>
      </c>
      <c r="I49" s="698" t="s">
        <v>8992</v>
      </c>
      <c r="J49" s="672" t="s">
        <v>8996</v>
      </c>
      <c r="K49" s="672" t="s">
        <v>541</v>
      </c>
      <c r="L49" s="672" t="s">
        <v>8996</v>
      </c>
    </row>
    <row r="50" spans="1:12" x14ac:dyDescent="0.2">
      <c r="A50" s="699" t="s">
        <v>220</v>
      </c>
      <c r="B50" s="699" t="s">
        <v>7593</v>
      </c>
      <c r="C50" s="699" t="s">
        <v>2071</v>
      </c>
      <c r="D50" s="710" t="s">
        <v>7495</v>
      </c>
      <c r="E50" s="721" t="s">
        <v>545</v>
      </c>
      <c r="F50" s="703">
        <v>3</v>
      </c>
      <c r="G50" s="704">
        <v>79.915676869676744</v>
      </c>
      <c r="H50" s="685">
        <v>239.74703060903022</v>
      </c>
      <c r="I50" s="686" t="s">
        <v>9009</v>
      </c>
      <c r="J50" s="672" t="s">
        <v>9024</v>
      </c>
      <c r="K50" s="672" t="s">
        <v>536</v>
      </c>
      <c r="L50" s="672" t="s">
        <v>9024</v>
      </c>
    </row>
    <row r="51" spans="1:12" x14ac:dyDescent="0.2">
      <c r="A51" s="681" t="s">
        <v>220</v>
      </c>
      <c r="B51" s="681" t="s">
        <v>7593</v>
      </c>
      <c r="C51" s="681" t="s">
        <v>2082</v>
      </c>
      <c r="D51" s="701" t="s">
        <v>7502</v>
      </c>
      <c r="E51" s="715" t="s">
        <v>545</v>
      </c>
      <c r="F51" s="704">
        <v>3</v>
      </c>
      <c r="G51" s="704">
        <v>75.145167585075157</v>
      </c>
      <c r="H51" s="685">
        <v>225.43550275522546</v>
      </c>
      <c r="I51" s="686" t="s">
        <v>9009</v>
      </c>
      <c r="J51" s="672" t="s">
        <v>9024</v>
      </c>
      <c r="K51" s="672" t="s">
        <v>536</v>
      </c>
      <c r="L51" s="672" t="s">
        <v>9024</v>
      </c>
    </row>
    <row r="52" spans="1:12" x14ac:dyDescent="0.2">
      <c r="A52" s="681" t="s">
        <v>220</v>
      </c>
      <c r="B52" s="681" t="s">
        <v>7593</v>
      </c>
      <c r="C52" s="681" t="s">
        <v>9071</v>
      </c>
      <c r="D52" s="701" t="s">
        <v>9072</v>
      </c>
      <c r="E52" s="715" t="s">
        <v>545</v>
      </c>
      <c r="F52" s="704">
        <v>3</v>
      </c>
      <c r="G52" s="704">
        <v>74.081456758427706</v>
      </c>
      <c r="H52" s="685">
        <v>222.24437027528313</v>
      </c>
      <c r="I52" s="686" t="s">
        <v>9009</v>
      </c>
      <c r="J52" s="672" t="s">
        <v>9024</v>
      </c>
      <c r="K52" s="672" t="s">
        <v>536</v>
      </c>
      <c r="L52" s="672" t="s">
        <v>9024</v>
      </c>
    </row>
    <row r="53" spans="1:12" x14ac:dyDescent="0.2">
      <c r="A53" s="681" t="s">
        <v>220</v>
      </c>
      <c r="B53" s="681" t="s">
        <v>7593</v>
      </c>
      <c r="C53" s="681" t="s">
        <v>2134</v>
      </c>
      <c r="D53" s="701" t="s">
        <v>9074</v>
      </c>
      <c r="E53" s="715" t="s">
        <v>545</v>
      </c>
      <c r="F53" s="704">
        <v>3</v>
      </c>
      <c r="G53" s="704">
        <v>80.346128985226883</v>
      </c>
      <c r="H53" s="685">
        <v>241.03838695568066</v>
      </c>
      <c r="I53" s="686" t="s">
        <v>9009</v>
      </c>
      <c r="J53" s="672" t="s">
        <v>9024</v>
      </c>
      <c r="K53" s="672" t="s">
        <v>536</v>
      </c>
      <c r="L53" s="672" t="s">
        <v>9024</v>
      </c>
    </row>
    <row r="54" spans="1:12" x14ac:dyDescent="0.2">
      <c r="A54" s="681" t="s">
        <v>220</v>
      </c>
      <c r="B54" s="681" t="s">
        <v>7593</v>
      </c>
      <c r="C54" s="681" t="s">
        <v>2079</v>
      </c>
      <c r="D54" s="701" t="s">
        <v>9077</v>
      </c>
      <c r="E54" s="715" t="s">
        <v>545</v>
      </c>
      <c r="F54" s="704">
        <v>3</v>
      </c>
      <c r="G54" s="704">
        <v>64.663139276087733</v>
      </c>
      <c r="H54" s="685">
        <v>193.98941782826319</v>
      </c>
      <c r="I54" s="686" t="s">
        <v>9009</v>
      </c>
      <c r="J54" s="672" t="s">
        <v>9024</v>
      </c>
      <c r="K54" s="672" t="s">
        <v>536</v>
      </c>
      <c r="L54" s="672" t="s">
        <v>9024</v>
      </c>
    </row>
    <row r="55" spans="1:12" x14ac:dyDescent="0.2">
      <c r="A55" s="681" t="s">
        <v>220</v>
      </c>
      <c r="B55" s="681" t="s">
        <v>7593</v>
      </c>
      <c r="C55" s="681" t="s">
        <v>2075</v>
      </c>
      <c r="D55" s="701" t="s">
        <v>7500</v>
      </c>
      <c r="E55" s="715" t="s">
        <v>545</v>
      </c>
      <c r="F55" s="704">
        <v>3</v>
      </c>
      <c r="G55" s="704">
        <v>60.597108982258405</v>
      </c>
      <c r="H55" s="685">
        <v>181.7913269467752</v>
      </c>
      <c r="I55" s="686" t="s">
        <v>9009</v>
      </c>
      <c r="J55" s="672" t="s">
        <v>9024</v>
      </c>
      <c r="K55" s="672" t="s">
        <v>536</v>
      </c>
      <c r="L55" s="672" t="s">
        <v>9024</v>
      </c>
    </row>
    <row r="56" spans="1:12" x14ac:dyDescent="0.2">
      <c r="A56" s="681" t="s">
        <v>220</v>
      </c>
      <c r="B56" s="681" t="s">
        <v>7593</v>
      </c>
      <c r="C56" s="681" t="s">
        <v>2074</v>
      </c>
      <c r="D56" s="701" t="s">
        <v>7513</v>
      </c>
      <c r="E56" s="715" t="s">
        <v>545</v>
      </c>
      <c r="F56" s="704">
        <v>3</v>
      </c>
      <c r="G56" s="704">
        <v>60.197285433583971</v>
      </c>
      <c r="H56" s="685">
        <v>180.59185630075191</v>
      </c>
      <c r="I56" s="686" t="s">
        <v>9009</v>
      </c>
      <c r="J56" s="672" t="s">
        <v>9024</v>
      </c>
      <c r="K56" s="672" t="s">
        <v>536</v>
      </c>
      <c r="L56" s="672" t="s">
        <v>9024</v>
      </c>
    </row>
    <row r="57" spans="1:12" x14ac:dyDescent="0.2">
      <c r="A57" s="681" t="s">
        <v>220</v>
      </c>
      <c r="B57" s="681" t="s">
        <v>7593</v>
      </c>
      <c r="C57" s="681" t="s">
        <v>7598</v>
      </c>
      <c r="D57" s="701" t="s">
        <v>9491</v>
      </c>
      <c r="E57" s="715" t="s">
        <v>545</v>
      </c>
      <c r="F57" s="704">
        <v>2</v>
      </c>
      <c r="G57" s="704">
        <v>88.953202641804936</v>
      </c>
      <c r="H57" s="685">
        <v>177.90640528360987</v>
      </c>
      <c r="I57" s="686" t="s">
        <v>9009</v>
      </c>
      <c r="J57" s="672" t="s">
        <v>9024</v>
      </c>
      <c r="K57" s="672" t="s">
        <v>536</v>
      </c>
      <c r="L57" s="672" t="s">
        <v>9024</v>
      </c>
    </row>
    <row r="58" spans="1:12" x14ac:dyDescent="0.2">
      <c r="A58" s="681" t="s">
        <v>220</v>
      </c>
      <c r="B58" s="681" t="s">
        <v>7593</v>
      </c>
      <c r="C58" s="681" t="s">
        <v>2079</v>
      </c>
      <c r="D58" s="701" t="s">
        <v>7524</v>
      </c>
      <c r="E58" s="715" t="s">
        <v>545</v>
      </c>
      <c r="F58" s="704">
        <v>2</v>
      </c>
      <c r="G58" s="704">
        <v>64.663139276087733</v>
      </c>
      <c r="H58" s="685">
        <v>129.32627855217547</v>
      </c>
      <c r="I58" s="686" t="s">
        <v>9009</v>
      </c>
      <c r="J58" s="672" t="s">
        <v>9024</v>
      </c>
      <c r="K58" s="672" t="s">
        <v>536</v>
      </c>
      <c r="L58" s="672" t="s">
        <v>9024</v>
      </c>
    </row>
    <row r="59" spans="1:12" x14ac:dyDescent="0.2">
      <c r="A59" s="681" t="s">
        <v>220</v>
      </c>
      <c r="B59" s="681" t="s">
        <v>7593</v>
      </c>
      <c r="C59" s="681" t="s">
        <v>2079</v>
      </c>
      <c r="D59" s="701" t="s">
        <v>9078</v>
      </c>
      <c r="E59" s="715" t="s">
        <v>545</v>
      </c>
      <c r="F59" s="704">
        <v>2</v>
      </c>
      <c r="G59" s="704">
        <v>64.663139276087733</v>
      </c>
      <c r="H59" s="685">
        <v>129.32627855217547</v>
      </c>
      <c r="I59" s="686" t="s">
        <v>9009</v>
      </c>
      <c r="J59" s="672" t="s">
        <v>9024</v>
      </c>
      <c r="K59" s="672" t="s">
        <v>536</v>
      </c>
      <c r="L59" s="672" t="s">
        <v>9024</v>
      </c>
    </row>
    <row r="60" spans="1:12" x14ac:dyDescent="0.2">
      <c r="A60" s="681" t="s">
        <v>220</v>
      </c>
      <c r="B60" s="681" t="s">
        <v>7593</v>
      </c>
      <c r="C60" s="681" t="s">
        <v>2138</v>
      </c>
      <c r="D60" s="701" t="s">
        <v>9073</v>
      </c>
      <c r="E60" s="715" t="s">
        <v>545</v>
      </c>
      <c r="F60" s="704">
        <v>2</v>
      </c>
      <c r="G60" s="704">
        <v>63.701341608137156</v>
      </c>
      <c r="H60" s="685">
        <v>127.40268321627431</v>
      </c>
      <c r="I60" s="686" t="s">
        <v>9009</v>
      </c>
      <c r="J60" s="672" t="s">
        <v>9024</v>
      </c>
      <c r="K60" s="672" t="s">
        <v>536</v>
      </c>
      <c r="L60" s="672" t="s">
        <v>9024</v>
      </c>
    </row>
    <row r="61" spans="1:12" x14ac:dyDescent="0.2">
      <c r="A61" s="681" t="s">
        <v>587</v>
      </c>
      <c r="B61" s="681" t="s">
        <v>591</v>
      </c>
      <c r="C61" s="722" t="s">
        <v>7733</v>
      </c>
      <c r="D61" s="722" t="s">
        <v>9736</v>
      </c>
      <c r="E61" s="683" t="s">
        <v>535</v>
      </c>
      <c r="F61" s="684">
        <v>2554</v>
      </c>
      <c r="G61" s="685">
        <v>7.9690198258180445</v>
      </c>
      <c r="H61" s="685">
        <v>20352.876635139284</v>
      </c>
      <c r="I61" s="686" t="s">
        <v>9009</v>
      </c>
      <c r="J61" s="672" t="s">
        <v>10127</v>
      </c>
      <c r="K61" s="672" t="s">
        <v>536</v>
      </c>
      <c r="L61" s="672" t="s">
        <v>9010</v>
      </c>
    </row>
    <row r="62" spans="1:12" x14ac:dyDescent="0.2">
      <c r="A62" s="681" t="s">
        <v>587</v>
      </c>
      <c r="B62" s="681" t="s">
        <v>591</v>
      </c>
      <c r="C62" s="722" t="s">
        <v>7424</v>
      </c>
      <c r="D62" s="722" t="s">
        <v>9737</v>
      </c>
      <c r="E62" s="683" t="s">
        <v>535</v>
      </c>
      <c r="F62" s="684">
        <v>10260</v>
      </c>
      <c r="G62" s="685">
        <v>9.2349868033464197</v>
      </c>
      <c r="H62" s="685">
        <v>94750.964602334265</v>
      </c>
      <c r="I62" s="686" t="s">
        <v>9009</v>
      </c>
      <c r="J62" s="672" t="s">
        <v>10127</v>
      </c>
      <c r="K62" s="672" t="s">
        <v>536</v>
      </c>
      <c r="L62" s="672" t="s">
        <v>9010</v>
      </c>
    </row>
    <row r="63" spans="1:12" x14ac:dyDescent="0.2">
      <c r="A63" s="691" t="s">
        <v>587</v>
      </c>
      <c r="B63" s="691" t="s">
        <v>591</v>
      </c>
      <c r="C63" s="723" t="s">
        <v>598</v>
      </c>
      <c r="D63" s="723" t="s">
        <v>9738</v>
      </c>
      <c r="E63" s="724" t="s">
        <v>535</v>
      </c>
      <c r="F63" s="687">
        <v>1118</v>
      </c>
      <c r="G63" s="685">
        <v>9.4944625169371992</v>
      </c>
      <c r="H63" s="685">
        <v>10614.809093935788</v>
      </c>
      <c r="I63" s="686" t="s">
        <v>9009</v>
      </c>
      <c r="J63" s="672" t="s">
        <v>10127</v>
      </c>
      <c r="K63" s="672" t="s">
        <v>536</v>
      </c>
      <c r="L63" s="672" t="s">
        <v>9010</v>
      </c>
    </row>
    <row r="64" spans="1:12" x14ac:dyDescent="0.2">
      <c r="A64" s="725" t="s">
        <v>747</v>
      </c>
      <c r="B64" s="725" t="s">
        <v>781</v>
      </c>
      <c r="C64" s="725" t="s">
        <v>7446</v>
      </c>
      <c r="D64" s="725" t="s">
        <v>787</v>
      </c>
      <c r="E64" s="726" t="s">
        <v>535</v>
      </c>
      <c r="F64" s="727">
        <v>4112978.4340000004</v>
      </c>
      <c r="G64" s="728">
        <v>0.76577642720256167</v>
      </c>
      <c r="H64" s="685">
        <v>3149621.9303497076</v>
      </c>
      <c r="I64" s="698" t="s">
        <v>8992</v>
      </c>
      <c r="J64" s="672" t="s">
        <v>8994</v>
      </c>
      <c r="K64" s="672" t="s">
        <v>541</v>
      </c>
      <c r="L64" s="672" t="s">
        <v>8994</v>
      </c>
    </row>
    <row r="65" spans="1:12" x14ac:dyDescent="0.2">
      <c r="A65" s="695" t="s">
        <v>747</v>
      </c>
      <c r="B65" s="681" t="s">
        <v>781</v>
      </c>
      <c r="C65" s="681"/>
      <c r="D65" s="681" t="s">
        <v>786</v>
      </c>
      <c r="E65" s="683" t="s">
        <v>535</v>
      </c>
      <c r="F65" s="720">
        <v>575004</v>
      </c>
      <c r="G65" s="685">
        <v>2.099027280931586</v>
      </c>
      <c r="H65" s="685">
        <v>1206949.0826447858</v>
      </c>
      <c r="I65" s="698" t="s">
        <v>8992</v>
      </c>
      <c r="J65" s="672" t="s">
        <v>8994</v>
      </c>
      <c r="K65" s="672" t="s">
        <v>541</v>
      </c>
      <c r="L65" s="672" t="s">
        <v>8994</v>
      </c>
    </row>
    <row r="66" spans="1:12" x14ac:dyDescent="0.2">
      <c r="A66" s="725" t="s">
        <v>747</v>
      </c>
      <c r="B66" s="725" t="s">
        <v>781</v>
      </c>
      <c r="C66" s="725" t="s">
        <v>784</v>
      </c>
      <c r="D66" s="725" t="s">
        <v>785</v>
      </c>
      <c r="E66" s="726" t="s">
        <v>535</v>
      </c>
      <c r="F66" s="729">
        <v>116209.29000000001</v>
      </c>
      <c r="G66" s="730">
        <v>3.1406565777824884</v>
      </c>
      <c r="H66" s="685">
        <v>364973.47103793279</v>
      </c>
      <c r="I66" s="698" t="s">
        <v>8992</v>
      </c>
      <c r="J66" s="672" t="s">
        <v>8994</v>
      </c>
      <c r="K66" s="672" t="s">
        <v>541</v>
      </c>
      <c r="L66" s="672" t="s">
        <v>8994</v>
      </c>
    </row>
    <row r="67" spans="1:12" x14ac:dyDescent="0.2">
      <c r="A67" s="699" t="s">
        <v>220</v>
      </c>
      <c r="B67" s="699" t="s">
        <v>702</v>
      </c>
      <c r="C67" s="699"/>
      <c r="D67" s="710" t="s">
        <v>10130</v>
      </c>
      <c r="E67" s="711" t="s">
        <v>535</v>
      </c>
      <c r="F67" s="712">
        <v>25</v>
      </c>
      <c r="G67" s="685">
        <v>38</v>
      </c>
      <c r="H67" s="685">
        <v>950</v>
      </c>
      <c r="I67" s="686" t="s">
        <v>9009</v>
      </c>
      <c r="J67" s="672" t="s">
        <v>10128</v>
      </c>
      <c r="K67" s="672" t="s">
        <v>541</v>
      </c>
      <c r="L67" s="672" t="s">
        <v>8996</v>
      </c>
    </row>
    <row r="68" spans="1:12" x14ac:dyDescent="0.2">
      <c r="A68" s="681" t="s">
        <v>587</v>
      </c>
      <c r="B68" s="681" t="s">
        <v>591</v>
      </c>
      <c r="C68" s="681" t="s">
        <v>666</v>
      </c>
      <c r="D68" s="681" t="s">
        <v>667</v>
      </c>
      <c r="E68" s="683" t="s">
        <v>535</v>
      </c>
      <c r="F68" s="684">
        <v>20</v>
      </c>
      <c r="G68" s="685">
        <v>14.447026627672727</v>
      </c>
      <c r="H68" s="685">
        <v>288.94053255345455</v>
      </c>
      <c r="I68" s="686" t="s">
        <v>9009</v>
      </c>
      <c r="J68" s="672" t="s">
        <v>9011</v>
      </c>
      <c r="K68" s="672" t="s">
        <v>541</v>
      </c>
      <c r="L68" s="672" t="s">
        <v>8996</v>
      </c>
    </row>
    <row r="69" spans="1:12" x14ac:dyDescent="0.2">
      <c r="A69" s="681" t="s">
        <v>587</v>
      </c>
      <c r="B69" s="681" t="s">
        <v>591</v>
      </c>
      <c r="C69" s="681" t="s">
        <v>725</v>
      </c>
      <c r="D69" s="689" t="s">
        <v>726</v>
      </c>
      <c r="E69" s="683" t="s">
        <v>535</v>
      </c>
      <c r="F69" s="684">
        <v>240</v>
      </c>
      <c r="G69" s="685">
        <v>13.827577959678543</v>
      </c>
      <c r="H69" s="685">
        <v>3318.6187103228503</v>
      </c>
      <c r="I69" s="686" t="s">
        <v>9009</v>
      </c>
      <c r="J69" s="672" t="s">
        <v>9011</v>
      </c>
      <c r="K69" s="672" t="s">
        <v>541</v>
      </c>
      <c r="L69" s="672" t="s">
        <v>8996</v>
      </c>
    </row>
    <row r="70" spans="1:12" x14ac:dyDescent="0.2">
      <c r="A70" s="681" t="s">
        <v>587</v>
      </c>
      <c r="B70" s="681" t="s">
        <v>591</v>
      </c>
      <c r="C70" s="681" t="s">
        <v>637</v>
      </c>
      <c r="D70" s="689" t="s">
        <v>638</v>
      </c>
      <c r="E70" s="683" t="s">
        <v>639</v>
      </c>
      <c r="F70" s="687">
        <v>960</v>
      </c>
      <c r="G70" s="685">
        <v>0.17133898225510802</v>
      </c>
      <c r="H70" s="685">
        <v>164.48542296490371</v>
      </c>
      <c r="I70" s="686" t="s">
        <v>9009</v>
      </c>
      <c r="J70" s="672" t="s">
        <v>9011</v>
      </c>
      <c r="K70" s="672" t="s">
        <v>541</v>
      </c>
      <c r="L70" s="672" t="s">
        <v>9038</v>
      </c>
    </row>
    <row r="71" spans="1:12" x14ac:dyDescent="0.2">
      <c r="A71" s="681" t="s">
        <v>587</v>
      </c>
      <c r="B71" s="681" t="s">
        <v>591</v>
      </c>
      <c r="C71" s="681" t="s">
        <v>7415</v>
      </c>
      <c r="D71" s="681" t="s">
        <v>10131</v>
      </c>
      <c r="E71" s="688" t="s">
        <v>535</v>
      </c>
      <c r="F71" s="684">
        <v>5000</v>
      </c>
      <c r="G71" s="685">
        <v>6.9852878972590444</v>
      </c>
      <c r="H71" s="685">
        <v>34926.439486295225</v>
      </c>
      <c r="I71" s="686" t="s">
        <v>9009</v>
      </c>
      <c r="J71" s="672" t="s">
        <v>9011</v>
      </c>
      <c r="K71" s="672" t="s">
        <v>541</v>
      </c>
      <c r="L71" s="672" t="s">
        <v>8994</v>
      </c>
    </row>
    <row r="72" spans="1:12" x14ac:dyDescent="0.2">
      <c r="A72" s="681" t="s">
        <v>587</v>
      </c>
      <c r="B72" s="681" t="s">
        <v>591</v>
      </c>
      <c r="C72" s="681" t="s">
        <v>10132</v>
      </c>
      <c r="D72" s="681" t="s">
        <v>10133</v>
      </c>
      <c r="E72" s="683" t="s">
        <v>535</v>
      </c>
      <c r="F72" s="690">
        <v>9284</v>
      </c>
      <c r="G72" s="685">
        <v>9.5004347518683332</v>
      </c>
      <c r="H72" s="685">
        <v>88202.036236345608</v>
      </c>
      <c r="I72" s="686" t="s">
        <v>9009</v>
      </c>
      <c r="J72" s="672" t="s">
        <v>10127</v>
      </c>
      <c r="K72" s="672" t="s">
        <v>536</v>
      </c>
      <c r="L72" s="672" t="s">
        <v>9010</v>
      </c>
    </row>
    <row r="73" spans="1:12" x14ac:dyDescent="0.2">
      <c r="A73" s="681" t="s">
        <v>587</v>
      </c>
      <c r="B73" s="681" t="s">
        <v>591</v>
      </c>
      <c r="C73" s="681" t="s">
        <v>2340</v>
      </c>
      <c r="D73" s="681" t="s">
        <v>7735</v>
      </c>
      <c r="E73" s="683" t="s">
        <v>535</v>
      </c>
      <c r="F73" s="684">
        <v>9167</v>
      </c>
      <c r="G73" s="685">
        <v>9.2443505212158907</v>
      </c>
      <c r="H73" s="685">
        <v>84742.961227986074</v>
      </c>
      <c r="I73" s="686" t="s">
        <v>9009</v>
      </c>
      <c r="J73" s="672" t="s">
        <v>10127</v>
      </c>
      <c r="K73" s="672" t="s">
        <v>536</v>
      </c>
      <c r="L73" s="672" t="s">
        <v>9010</v>
      </c>
    </row>
    <row r="74" spans="1:12" x14ac:dyDescent="0.2">
      <c r="A74" s="681" t="s">
        <v>587</v>
      </c>
      <c r="B74" s="681" t="s">
        <v>591</v>
      </c>
      <c r="C74" s="681" t="s">
        <v>9041</v>
      </c>
      <c r="D74" s="681" t="s">
        <v>10134</v>
      </c>
      <c r="E74" s="683" t="s">
        <v>535</v>
      </c>
      <c r="F74" s="684">
        <v>277</v>
      </c>
      <c r="G74" s="685">
        <v>8.5751785773954676</v>
      </c>
      <c r="H74" s="685">
        <v>2375.3244659385446</v>
      </c>
      <c r="I74" s="686" t="s">
        <v>9009</v>
      </c>
      <c r="J74" s="672" t="s">
        <v>10127</v>
      </c>
      <c r="K74" s="672" t="s">
        <v>536</v>
      </c>
      <c r="L74" s="672" t="s">
        <v>9010</v>
      </c>
    </row>
    <row r="75" spans="1:12" x14ac:dyDescent="0.2">
      <c r="A75" s="681" t="s">
        <v>587</v>
      </c>
      <c r="B75" s="681" t="s">
        <v>591</v>
      </c>
      <c r="C75" s="681" t="s">
        <v>7414</v>
      </c>
      <c r="D75" s="681" t="s">
        <v>9495</v>
      </c>
      <c r="E75" s="683" t="s">
        <v>535</v>
      </c>
      <c r="F75" s="684">
        <v>576</v>
      </c>
      <c r="G75" s="685">
        <v>8.5282559778886196</v>
      </c>
      <c r="H75" s="685">
        <v>4912.2754432638449</v>
      </c>
      <c r="I75" s="686" t="s">
        <v>9009</v>
      </c>
      <c r="J75" s="672" t="s">
        <v>10127</v>
      </c>
      <c r="K75" s="672" t="s">
        <v>536</v>
      </c>
      <c r="L75" s="672" t="s">
        <v>9010</v>
      </c>
    </row>
    <row r="76" spans="1:12" x14ac:dyDescent="0.2">
      <c r="A76" s="681" t="s">
        <v>220</v>
      </c>
      <c r="B76" s="681" t="s">
        <v>7593</v>
      </c>
      <c r="C76" s="672" t="s">
        <v>9733</v>
      </c>
      <c r="D76" s="731" t="s">
        <v>10135</v>
      </c>
      <c r="E76" s="718" t="s">
        <v>545</v>
      </c>
      <c r="F76" s="732">
        <v>4</v>
      </c>
      <c r="G76" s="704">
        <v>168.33840949322112</v>
      </c>
      <c r="H76" s="685">
        <v>673.35363797288448</v>
      </c>
      <c r="I76" s="686" t="s">
        <v>9009</v>
      </c>
      <c r="J76" s="672" t="s">
        <v>9024</v>
      </c>
      <c r="K76" s="672" t="s">
        <v>536</v>
      </c>
      <c r="L76" s="672" t="s">
        <v>9024</v>
      </c>
    </row>
    <row r="77" spans="1:12" ht="12" thickBot="1" x14ac:dyDescent="0.25">
      <c r="A77" s="681" t="s">
        <v>587</v>
      </c>
      <c r="B77" s="681" t="s">
        <v>9709</v>
      </c>
      <c r="C77" s="733" t="s">
        <v>1909</v>
      </c>
      <c r="D77" s="681"/>
      <c r="E77" s="683" t="s">
        <v>545</v>
      </c>
      <c r="F77" s="685">
        <v>6</v>
      </c>
      <c r="G77" s="685">
        <v>83.206441162464969</v>
      </c>
      <c r="H77" s="685">
        <v>499.23864697478984</v>
      </c>
      <c r="I77" s="686" t="s">
        <v>9009</v>
      </c>
      <c r="J77" s="672" t="s">
        <v>9020</v>
      </c>
      <c r="K77" s="672" t="s">
        <v>1911</v>
      </c>
      <c r="L77" s="672" t="s">
        <v>9020</v>
      </c>
    </row>
    <row r="78" spans="1:12" ht="12" thickBot="1" x14ac:dyDescent="0.25">
      <c r="A78" s="681" t="s">
        <v>587</v>
      </c>
      <c r="B78" s="681" t="s">
        <v>9709</v>
      </c>
      <c r="C78" s="733" t="s">
        <v>1914</v>
      </c>
      <c r="D78" s="681"/>
      <c r="E78" s="683" t="s">
        <v>545</v>
      </c>
      <c r="F78" s="685">
        <v>5</v>
      </c>
      <c r="G78" s="685">
        <v>110.71255698728228</v>
      </c>
      <c r="H78" s="685">
        <v>553.56278493641139</v>
      </c>
      <c r="I78" s="686" t="s">
        <v>9009</v>
      </c>
      <c r="J78" s="672" t="s">
        <v>9020</v>
      </c>
      <c r="K78" s="672" t="s">
        <v>1911</v>
      </c>
      <c r="L78" s="672" t="s">
        <v>9020</v>
      </c>
    </row>
    <row r="79" spans="1:12" ht="12" thickBot="1" x14ac:dyDescent="0.25">
      <c r="A79" s="681" t="s">
        <v>587</v>
      </c>
      <c r="B79" s="681" t="s">
        <v>9709</v>
      </c>
      <c r="C79" s="733" t="s">
        <v>1916</v>
      </c>
      <c r="D79" s="681"/>
      <c r="E79" s="683" t="s">
        <v>545</v>
      </c>
      <c r="F79" s="685">
        <v>3</v>
      </c>
      <c r="G79" s="685">
        <v>143.23935136975939</v>
      </c>
      <c r="H79" s="685">
        <v>429.71805410927817</v>
      </c>
      <c r="I79" s="686" t="s">
        <v>9009</v>
      </c>
      <c r="J79" s="672" t="s">
        <v>9020</v>
      </c>
      <c r="K79" s="672" t="s">
        <v>1911</v>
      </c>
      <c r="L79" s="672" t="s">
        <v>9020</v>
      </c>
    </row>
    <row r="80" spans="1:12" ht="12" thickBot="1" x14ac:dyDescent="0.25">
      <c r="A80" s="681" t="s">
        <v>587</v>
      </c>
      <c r="B80" s="681" t="s">
        <v>9709</v>
      </c>
      <c r="C80" s="733" t="s">
        <v>1920</v>
      </c>
      <c r="D80" s="681"/>
      <c r="E80" s="683" t="s">
        <v>545</v>
      </c>
      <c r="F80" s="685">
        <v>5</v>
      </c>
      <c r="G80" s="685">
        <v>70.029374564899655</v>
      </c>
      <c r="H80" s="685">
        <v>350.14687282449825</v>
      </c>
      <c r="I80" s="686" t="s">
        <v>9009</v>
      </c>
      <c r="J80" s="672" t="s">
        <v>9020</v>
      </c>
      <c r="K80" s="672" t="s">
        <v>1911</v>
      </c>
      <c r="L80" s="672" t="s">
        <v>9020</v>
      </c>
    </row>
    <row r="81" spans="1:12" ht="12" thickBot="1" x14ac:dyDescent="0.25">
      <c r="A81" s="681" t="s">
        <v>587</v>
      </c>
      <c r="B81" s="681" t="s">
        <v>9709</v>
      </c>
      <c r="C81" s="733" t="s">
        <v>1926</v>
      </c>
      <c r="D81" s="681"/>
      <c r="E81" s="683" t="s">
        <v>545</v>
      </c>
      <c r="F81" s="685">
        <v>3</v>
      </c>
      <c r="G81" s="685">
        <v>89.36605095148397</v>
      </c>
      <c r="H81" s="685">
        <v>268.09815285445188</v>
      </c>
      <c r="I81" s="686" t="s">
        <v>9009</v>
      </c>
      <c r="J81" s="672" t="s">
        <v>9020</v>
      </c>
      <c r="K81" s="672" t="s">
        <v>1911</v>
      </c>
      <c r="L81" s="672" t="s">
        <v>9020</v>
      </c>
    </row>
    <row r="82" spans="1:12" ht="12" thickBot="1" x14ac:dyDescent="0.25">
      <c r="A82" s="681" t="s">
        <v>587</v>
      </c>
      <c r="B82" s="681" t="s">
        <v>9709</v>
      </c>
      <c r="C82" s="733" t="s">
        <v>1930</v>
      </c>
      <c r="D82" s="681"/>
      <c r="E82" s="683" t="s">
        <v>545</v>
      </c>
      <c r="F82" s="685">
        <v>3</v>
      </c>
      <c r="G82" s="685">
        <v>102.73494880083368</v>
      </c>
      <c r="H82" s="685">
        <v>308.20484640250106</v>
      </c>
      <c r="I82" s="686" t="s">
        <v>9009</v>
      </c>
      <c r="J82" s="672" t="s">
        <v>9020</v>
      </c>
      <c r="K82" s="672" t="s">
        <v>1911</v>
      </c>
      <c r="L82" s="672" t="s">
        <v>9020</v>
      </c>
    </row>
    <row r="83" spans="1:12" ht="12" thickBot="1" x14ac:dyDescent="0.25">
      <c r="A83" s="681" t="s">
        <v>587</v>
      </c>
      <c r="B83" s="681" t="s">
        <v>9709</v>
      </c>
      <c r="C83" s="733" t="s">
        <v>1940</v>
      </c>
      <c r="D83" s="681"/>
      <c r="E83" s="683" t="s">
        <v>545</v>
      </c>
      <c r="F83" s="685">
        <v>3</v>
      </c>
      <c r="G83" s="685">
        <v>112.23658549928935</v>
      </c>
      <c r="H83" s="685">
        <v>336.70975649786806</v>
      </c>
      <c r="I83" s="686" t="s">
        <v>9009</v>
      </c>
      <c r="J83" s="672" t="s">
        <v>9020</v>
      </c>
      <c r="K83" s="672" t="s">
        <v>1911</v>
      </c>
      <c r="L83" s="672" t="s">
        <v>9020</v>
      </c>
    </row>
    <row r="84" spans="1:12" ht="12" thickBot="1" x14ac:dyDescent="0.25">
      <c r="A84" s="681" t="s">
        <v>587</v>
      </c>
      <c r="B84" s="681" t="s">
        <v>9709</v>
      </c>
      <c r="C84" s="733" t="s">
        <v>7661</v>
      </c>
      <c r="D84" s="681"/>
      <c r="E84" s="683" t="s">
        <v>545</v>
      </c>
      <c r="F84" s="685">
        <v>2</v>
      </c>
      <c r="G84" s="685">
        <v>143.94921629563308</v>
      </c>
      <c r="H84" s="685">
        <v>287.89843259126616</v>
      </c>
      <c r="I84" s="686" t="s">
        <v>9009</v>
      </c>
      <c r="J84" s="672" t="s">
        <v>9020</v>
      </c>
      <c r="K84" s="672" t="s">
        <v>1911</v>
      </c>
      <c r="L84" s="672" t="s">
        <v>9020</v>
      </c>
    </row>
    <row r="85" spans="1:12" x14ac:dyDescent="0.2">
      <c r="A85" s="691" t="s">
        <v>587</v>
      </c>
      <c r="B85" s="691" t="s">
        <v>9709</v>
      </c>
      <c r="C85" s="734" t="s">
        <v>1948</v>
      </c>
      <c r="D85" s="691"/>
      <c r="E85" s="724" t="s">
        <v>545</v>
      </c>
      <c r="F85" s="735">
        <v>2</v>
      </c>
      <c r="G85" s="685">
        <v>70.31947368742027</v>
      </c>
      <c r="H85" s="685">
        <v>140.63894737484054</v>
      </c>
      <c r="I85" s="686" t="s">
        <v>9009</v>
      </c>
      <c r="J85" s="672" t="s">
        <v>9020</v>
      </c>
      <c r="K85" s="672" t="s">
        <v>1911</v>
      </c>
      <c r="L85" s="672" t="s">
        <v>9020</v>
      </c>
    </row>
    <row r="86" spans="1:12" x14ac:dyDescent="0.2">
      <c r="A86" s="681" t="s">
        <v>220</v>
      </c>
      <c r="B86" s="681" t="s">
        <v>2351</v>
      </c>
      <c r="C86" s="736" t="s">
        <v>2417</v>
      </c>
      <c r="D86" s="736" t="s">
        <v>2418</v>
      </c>
      <c r="E86" s="683"/>
      <c r="F86" s="685">
        <v>10</v>
      </c>
      <c r="G86" s="737">
        <v>7.23</v>
      </c>
      <c r="H86" s="685">
        <v>72.300000000000011</v>
      </c>
      <c r="I86" s="672" t="s">
        <v>9218</v>
      </c>
      <c r="J86" s="672" t="s">
        <v>9219</v>
      </c>
      <c r="K86" s="672" t="s">
        <v>2354</v>
      </c>
      <c r="L86" s="672" t="s">
        <v>9219</v>
      </c>
    </row>
    <row r="87" spans="1:12" x14ac:dyDescent="0.2">
      <c r="A87" s="681" t="s">
        <v>220</v>
      </c>
      <c r="B87" s="681" t="s">
        <v>2351</v>
      </c>
      <c r="C87" s="736"/>
      <c r="D87" s="736" t="s">
        <v>9584</v>
      </c>
      <c r="E87" s="683" t="s">
        <v>10136</v>
      </c>
      <c r="F87" s="685">
        <v>7</v>
      </c>
      <c r="G87" s="737">
        <v>203.75700000000001</v>
      </c>
      <c r="H87" s="685">
        <v>1426.299</v>
      </c>
      <c r="I87" s="672" t="s">
        <v>9218</v>
      </c>
      <c r="J87" s="672" t="s">
        <v>9219</v>
      </c>
      <c r="K87" s="672" t="s">
        <v>2354</v>
      </c>
      <c r="L87" s="672" t="s">
        <v>9219</v>
      </c>
    </row>
    <row r="88" spans="1:12" x14ac:dyDescent="0.2">
      <c r="A88" s="681" t="s">
        <v>220</v>
      </c>
      <c r="B88" s="681" t="s">
        <v>2351</v>
      </c>
      <c r="C88" s="736" t="s">
        <v>3373</v>
      </c>
      <c r="D88" s="736" t="s">
        <v>9220</v>
      </c>
      <c r="E88" s="683"/>
      <c r="F88" s="685">
        <v>2</v>
      </c>
      <c r="G88" s="737">
        <v>658.053</v>
      </c>
      <c r="H88" s="685">
        <v>1316.106</v>
      </c>
      <c r="I88" s="672" t="s">
        <v>9218</v>
      </c>
      <c r="J88" s="672" t="s">
        <v>9219</v>
      </c>
      <c r="K88" s="672" t="s">
        <v>2354</v>
      </c>
      <c r="L88" s="672" t="s">
        <v>9219</v>
      </c>
    </row>
    <row r="89" spans="1:12" x14ac:dyDescent="0.2">
      <c r="A89" s="681" t="s">
        <v>220</v>
      </c>
      <c r="B89" s="681" t="s">
        <v>2351</v>
      </c>
      <c r="C89" s="736" t="s">
        <v>2417</v>
      </c>
      <c r="D89" s="736" t="s">
        <v>2430</v>
      </c>
      <c r="E89" s="683"/>
      <c r="F89" s="685">
        <v>14</v>
      </c>
      <c r="G89" s="737">
        <v>7.23</v>
      </c>
      <c r="H89" s="685">
        <v>101.22</v>
      </c>
      <c r="I89" s="672" t="s">
        <v>9218</v>
      </c>
      <c r="J89" s="672" t="s">
        <v>9219</v>
      </c>
      <c r="K89" s="672" t="s">
        <v>2354</v>
      </c>
      <c r="L89" s="672" t="s">
        <v>9219</v>
      </c>
    </row>
    <row r="90" spans="1:12" x14ac:dyDescent="0.2">
      <c r="A90" s="681" t="s">
        <v>220</v>
      </c>
      <c r="B90" s="681" t="s">
        <v>2351</v>
      </c>
      <c r="C90" s="736"/>
      <c r="D90" s="736" t="s">
        <v>9223</v>
      </c>
      <c r="E90" s="683"/>
      <c r="F90" s="685">
        <v>1</v>
      </c>
      <c r="G90" s="737">
        <v>1057.3979999999999</v>
      </c>
      <c r="H90" s="685">
        <v>1057.3979999999999</v>
      </c>
      <c r="I90" s="672" t="s">
        <v>9218</v>
      </c>
      <c r="J90" s="672" t="s">
        <v>9219</v>
      </c>
      <c r="K90" s="672" t="s">
        <v>2354</v>
      </c>
      <c r="L90" s="672" t="s">
        <v>9219</v>
      </c>
    </row>
    <row r="91" spans="1:12" x14ac:dyDescent="0.2">
      <c r="A91" s="681" t="s">
        <v>220</v>
      </c>
      <c r="B91" s="681" t="s">
        <v>2351</v>
      </c>
      <c r="C91" s="736" t="s">
        <v>9226</v>
      </c>
      <c r="D91" s="736" t="s">
        <v>9227</v>
      </c>
      <c r="E91" s="683"/>
      <c r="F91" s="685">
        <v>1</v>
      </c>
      <c r="G91" s="737">
        <v>60</v>
      </c>
      <c r="H91" s="685">
        <v>60</v>
      </c>
      <c r="I91" s="672" t="s">
        <v>9218</v>
      </c>
      <c r="J91" s="672" t="s">
        <v>9219</v>
      </c>
      <c r="K91" s="672" t="s">
        <v>2354</v>
      </c>
      <c r="L91" s="672" t="s">
        <v>9219</v>
      </c>
    </row>
    <row r="92" spans="1:12" x14ac:dyDescent="0.2">
      <c r="A92" s="681" t="s">
        <v>220</v>
      </c>
      <c r="B92" s="681" t="s">
        <v>2351</v>
      </c>
      <c r="C92" s="736" t="s">
        <v>9228</v>
      </c>
      <c r="D92" s="736" t="s">
        <v>9229</v>
      </c>
      <c r="E92" s="683"/>
      <c r="F92" s="685">
        <v>1</v>
      </c>
      <c r="G92" s="737">
        <v>65</v>
      </c>
      <c r="H92" s="685">
        <v>65</v>
      </c>
      <c r="I92" s="672" t="s">
        <v>9218</v>
      </c>
      <c r="J92" s="672" t="s">
        <v>9219</v>
      </c>
      <c r="K92" s="672" t="s">
        <v>2354</v>
      </c>
      <c r="L92" s="672" t="s">
        <v>9219</v>
      </c>
    </row>
    <row r="93" spans="1:12" x14ac:dyDescent="0.2">
      <c r="A93" s="681" t="s">
        <v>220</v>
      </c>
      <c r="B93" s="681" t="s">
        <v>2351</v>
      </c>
      <c r="C93" s="736" t="s">
        <v>5232</v>
      </c>
      <c r="D93" s="736" t="s">
        <v>5233</v>
      </c>
      <c r="E93" s="683"/>
      <c r="F93" s="685">
        <v>1</v>
      </c>
      <c r="G93" s="737">
        <v>6.0869999999999997</v>
      </c>
      <c r="H93" s="685">
        <v>6.0869999999999997</v>
      </c>
      <c r="I93" s="672" t="s">
        <v>9218</v>
      </c>
      <c r="J93" s="672" t="s">
        <v>9219</v>
      </c>
      <c r="K93" s="672" t="s">
        <v>2354</v>
      </c>
      <c r="L93" s="672" t="s">
        <v>9219</v>
      </c>
    </row>
    <row r="94" spans="1:12" x14ac:dyDescent="0.2">
      <c r="A94" s="681" t="s">
        <v>220</v>
      </c>
      <c r="B94" s="681" t="s">
        <v>2351</v>
      </c>
      <c r="C94" s="736" t="s">
        <v>2413</v>
      </c>
      <c r="D94" s="736" t="s">
        <v>2414</v>
      </c>
      <c r="E94" s="683"/>
      <c r="F94" s="685">
        <v>11</v>
      </c>
      <c r="G94" s="737">
        <v>5.85</v>
      </c>
      <c r="H94" s="685">
        <v>64.349999999999994</v>
      </c>
      <c r="I94" s="672" t="s">
        <v>9218</v>
      </c>
      <c r="J94" s="672" t="s">
        <v>9219</v>
      </c>
      <c r="K94" s="672" t="s">
        <v>2354</v>
      </c>
      <c r="L94" s="672" t="s">
        <v>9219</v>
      </c>
    </row>
    <row r="95" spans="1:12" x14ac:dyDescent="0.2">
      <c r="A95" s="681" t="s">
        <v>220</v>
      </c>
      <c r="B95" s="681" t="s">
        <v>2351</v>
      </c>
      <c r="C95" s="736" t="s">
        <v>2445</v>
      </c>
      <c r="D95" s="736" t="s">
        <v>2446</v>
      </c>
      <c r="E95" s="683"/>
      <c r="F95" s="685">
        <v>2</v>
      </c>
      <c r="G95" s="737">
        <v>1126.5356779464926</v>
      </c>
      <c r="H95" s="685">
        <v>2253.0713558929851</v>
      </c>
      <c r="I95" s="672" t="s">
        <v>9218</v>
      </c>
      <c r="J95" s="672" t="s">
        <v>9219</v>
      </c>
      <c r="K95" s="672" t="s">
        <v>2354</v>
      </c>
      <c r="L95" s="672" t="s">
        <v>9219</v>
      </c>
    </row>
    <row r="96" spans="1:12" x14ac:dyDescent="0.2">
      <c r="A96" s="681" t="s">
        <v>220</v>
      </c>
      <c r="B96" s="681" t="s">
        <v>2351</v>
      </c>
      <c r="C96" s="736" t="s">
        <v>9232</v>
      </c>
      <c r="D96" s="736" t="s">
        <v>9233</v>
      </c>
      <c r="E96" s="683"/>
      <c r="F96" s="685">
        <v>1</v>
      </c>
      <c r="G96" s="737">
        <v>223</v>
      </c>
      <c r="H96" s="685">
        <v>223</v>
      </c>
      <c r="I96" s="672" t="s">
        <v>9218</v>
      </c>
      <c r="J96" s="672" t="s">
        <v>9219</v>
      </c>
      <c r="K96" s="672" t="s">
        <v>2354</v>
      </c>
      <c r="L96" s="672" t="s">
        <v>9219</v>
      </c>
    </row>
    <row r="97" spans="1:12" x14ac:dyDescent="0.2">
      <c r="A97" s="681" t="s">
        <v>220</v>
      </c>
      <c r="B97" s="681" t="s">
        <v>2351</v>
      </c>
      <c r="C97" s="736" t="s">
        <v>2447</v>
      </c>
      <c r="D97" s="736" t="s">
        <v>2448</v>
      </c>
      <c r="E97" s="683"/>
      <c r="F97" s="685">
        <v>3</v>
      </c>
      <c r="G97" s="737">
        <v>30.778500000000001</v>
      </c>
      <c r="H97" s="685">
        <v>92.335499999999996</v>
      </c>
      <c r="I97" s="672" t="s">
        <v>9218</v>
      </c>
      <c r="J97" s="672" t="s">
        <v>9219</v>
      </c>
      <c r="K97" s="672" t="s">
        <v>2354</v>
      </c>
      <c r="L97" s="672" t="s">
        <v>9219</v>
      </c>
    </row>
    <row r="98" spans="1:12" x14ac:dyDescent="0.2">
      <c r="A98" s="681" t="s">
        <v>220</v>
      </c>
      <c r="B98" s="681" t="s">
        <v>2351</v>
      </c>
      <c r="C98" s="736" t="s">
        <v>2449</v>
      </c>
      <c r="D98" s="736" t="s">
        <v>2450</v>
      </c>
      <c r="E98" s="683"/>
      <c r="F98" s="685">
        <v>4</v>
      </c>
      <c r="G98" s="737">
        <v>71.400999999999996</v>
      </c>
      <c r="H98" s="685">
        <v>285.60399999999998</v>
      </c>
      <c r="I98" s="672" t="s">
        <v>9218</v>
      </c>
      <c r="J98" s="672" t="s">
        <v>9219</v>
      </c>
      <c r="K98" s="672" t="s">
        <v>2354</v>
      </c>
      <c r="L98" s="672" t="s">
        <v>9219</v>
      </c>
    </row>
    <row r="99" spans="1:12" x14ac:dyDescent="0.2">
      <c r="A99" s="681" t="s">
        <v>220</v>
      </c>
      <c r="B99" s="681" t="s">
        <v>2351</v>
      </c>
      <c r="C99" s="736" t="s">
        <v>2451</v>
      </c>
      <c r="D99" s="736" t="s">
        <v>2452</v>
      </c>
      <c r="E99" s="683"/>
      <c r="F99" s="685">
        <v>3</v>
      </c>
      <c r="G99" s="737">
        <v>231.54599999999999</v>
      </c>
      <c r="H99" s="685">
        <v>694.63799999999992</v>
      </c>
      <c r="I99" s="672" t="s">
        <v>9218</v>
      </c>
      <c r="J99" s="672" t="s">
        <v>9219</v>
      </c>
      <c r="K99" s="672" t="s">
        <v>2354</v>
      </c>
      <c r="L99" s="672" t="s">
        <v>9219</v>
      </c>
    </row>
    <row r="100" spans="1:12" x14ac:dyDescent="0.2">
      <c r="A100" s="681" t="s">
        <v>220</v>
      </c>
      <c r="B100" s="681" t="s">
        <v>2351</v>
      </c>
      <c r="C100" s="736" t="s">
        <v>2455</v>
      </c>
      <c r="D100" s="736" t="s">
        <v>2456</v>
      </c>
      <c r="E100" s="683"/>
      <c r="F100" s="685">
        <v>1</v>
      </c>
      <c r="G100" s="737">
        <v>73.352983044774717</v>
      </c>
      <c r="H100" s="685">
        <v>73.352983044774717</v>
      </c>
      <c r="I100" s="672" t="s">
        <v>9218</v>
      </c>
      <c r="J100" s="672" t="s">
        <v>9219</v>
      </c>
      <c r="K100" s="672" t="s">
        <v>2354</v>
      </c>
      <c r="L100" s="672" t="s">
        <v>9219</v>
      </c>
    </row>
    <row r="101" spans="1:12" x14ac:dyDescent="0.2">
      <c r="A101" s="681" t="s">
        <v>220</v>
      </c>
      <c r="B101" s="681" t="s">
        <v>2351</v>
      </c>
      <c r="C101" s="736" t="s">
        <v>9235</v>
      </c>
      <c r="D101" s="736" t="s">
        <v>9236</v>
      </c>
      <c r="E101" s="683"/>
      <c r="F101" s="685">
        <v>4</v>
      </c>
      <c r="G101" s="737">
        <v>68.5</v>
      </c>
      <c r="H101" s="685">
        <v>274</v>
      </c>
      <c r="I101" s="672" t="s">
        <v>9218</v>
      </c>
      <c r="J101" s="672" t="s">
        <v>9219</v>
      </c>
      <c r="K101" s="672" t="s">
        <v>2354</v>
      </c>
      <c r="L101" s="672" t="s">
        <v>9219</v>
      </c>
    </row>
    <row r="102" spans="1:12" x14ac:dyDescent="0.2">
      <c r="A102" s="681" t="s">
        <v>220</v>
      </c>
      <c r="B102" s="681" t="s">
        <v>2351</v>
      </c>
      <c r="C102" s="736" t="s">
        <v>2459</v>
      </c>
      <c r="D102" s="736" t="s">
        <v>2460</v>
      </c>
      <c r="E102" s="683"/>
      <c r="F102" s="685">
        <v>5</v>
      </c>
      <c r="G102" s="737">
        <v>150.43728288139738</v>
      </c>
      <c r="H102" s="685">
        <v>752.18641440698684</v>
      </c>
      <c r="I102" s="672" t="s">
        <v>9218</v>
      </c>
      <c r="J102" s="672" t="s">
        <v>9219</v>
      </c>
      <c r="K102" s="672" t="s">
        <v>2354</v>
      </c>
      <c r="L102" s="672" t="s">
        <v>9219</v>
      </c>
    </row>
    <row r="103" spans="1:12" x14ac:dyDescent="0.2">
      <c r="A103" s="681" t="s">
        <v>220</v>
      </c>
      <c r="B103" s="681" t="s">
        <v>2351</v>
      </c>
      <c r="C103" s="736" t="s">
        <v>2465</v>
      </c>
      <c r="D103" s="736" t="s">
        <v>2466</v>
      </c>
      <c r="E103" s="683"/>
      <c r="F103" s="685">
        <v>5</v>
      </c>
      <c r="G103" s="737">
        <v>59.334000000000003</v>
      </c>
      <c r="H103" s="685">
        <v>296.67</v>
      </c>
      <c r="I103" s="672" t="s">
        <v>9218</v>
      </c>
      <c r="J103" s="672" t="s">
        <v>9219</v>
      </c>
      <c r="K103" s="672" t="s">
        <v>2354</v>
      </c>
      <c r="L103" s="672" t="s">
        <v>9219</v>
      </c>
    </row>
    <row r="104" spans="1:12" x14ac:dyDescent="0.2">
      <c r="A104" s="681" t="s">
        <v>220</v>
      </c>
      <c r="B104" s="681" t="s">
        <v>2351</v>
      </c>
      <c r="C104" s="736" t="s">
        <v>2467</v>
      </c>
      <c r="D104" s="736" t="s">
        <v>2468</v>
      </c>
      <c r="E104" s="683"/>
      <c r="F104" s="685">
        <v>3</v>
      </c>
      <c r="G104" s="737">
        <v>201.67599999999999</v>
      </c>
      <c r="H104" s="685">
        <v>605.02800000000002</v>
      </c>
      <c r="I104" s="672" t="s">
        <v>9218</v>
      </c>
      <c r="J104" s="672" t="s">
        <v>9219</v>
      </c>
      <c r="K104" s="672" t="s">
        <v>2354</v>
      </c>
      <c r="L104" s="672" t="s">
        <v>9219</v>
      </c>
    </row>
    <row r="105" spans="1:12" x14ac:dyDescent="0.2">
      <c r="A105" s="681" t="s">
        <v>220</v>
      </c>
      <c r="B105" s="681" t="s">
        <v>2351</v>
      </c>
      <c r="C105" s="736" t="s">
        <v>2471</v>
      </c>
      <c r="D105" s="736" t="s">
        <v>2472</v>
      </c>
      <c r="E105" s="683"/>
      <c r="F105" s="685">
        <v>24</v>
      </c>
      <c r="G105" s="737">
        <v>168.00120000000001</v>
      </c>
      <c r="H105" s="685">
        <v>4032.0288</v>
      </c>
      <c r="I105" s="672" t="s">
        <v>9218</v>
      </c>
      <c r="J105" s="672" t="s">
        <v>9219</v>
      </c>
      <c r="K105" s="672" t="s">
        <v>2354</v>
      </c>
      <c r="L105" s="672" t="s">
        <v>9219</v>
      </c>
    </row>
    <row r="106" spans="1:12" x14ac:dyDescent="0.2">
      <c r="A106" s="681" t="s">
        <v>220</v>
      </c>
      <c r="B106" s="681" t="s">
        <v>2351</v>
      </c>
      <c r="C106" s="736" t="s">
        <v>2474</v>
      </c>
      <c r="D106" s="736" t="s">
        <v>2475</v>
      </c>
      <c r="E106" s="683"/>
      <c r="F106" s="685">
        <v>3</v>
      </c>
      <c r="G106" s="737">
        <v>189.6858</v>
      </c>
      <c r="H106" s="685">
        <v>569.05740000000003</v>
      </c>
      <c r="I106" s="672" t="s">
        <v>9218</v>
      </c>
      <c r="J106" s="672" t="s">
        <v>9219</v>
      </c>
      <c r="K106" s="672" t="s">
        <v>2354</v>
      </c>
      <c r="L106" s="672" t="s">
        <v>9219</v>
      </c>
    </row>
    <row r="107" spans="1:12" x14ac:dyDescent="0.2">
      <c r="A107" s="681" t="s">
        <v>220</v>
      </c>
      <c r="B107" s="681" t="s">
        <v>2351</v>
      </c>
      <c r="C107" s="736" t="s">
        <v>2476</v>
      </c>
      <c r="D107" s="736" t="s">
        <v>9239</v>
      </c>
      <c r="E107" s="683"/>
      <c r="F107" s="685">
        <v>3</v>
      </c>
      <c r="G107" s="737">
        <v>258.3</v>
      </c>
      <c r="H107" s="685">
        <v>774.90000000000009</v>
      </c>
      <c r="I107" s="672" t="s">
        <v>9218</v>
      </c>
      <c r="J107" s="672" t="s">
        <v>9219</v>
      </c>
      <c r="K107" s="672" t="s">
        <v>2354</v>
      </c>
      <c r="L107" s="672" t="s">
        <v>9219</v>
      </c>
    </row>
    <row r="108" spans="1:12" x14ac:dyDescent="0.2">
      <c r="A108" s="681" t="s">
        <v>220</v>
      </c>
      <c r="B108" s="681" t="s">
        <v>2351</v>
      </c>
      <c r="C108" s="736" t="s">
        <v>9240</v>
      </c>
      <c r="D108" s="736" t="s">
        <v>9241</v>
      </c>
      <c r="E108" s="683"/>
      <c r="F108" s="685">
        <v>2</v>
      </c>
      <c r="G108" s="737">
        <v>92.352999999999994</v>
      </c>
      <c r="H108" s="685">
        <v>184.70599999999999</v>
      </c>
      <c r="I108" s="672" t="s">
        <v>9218</v>
      </c>
      <c r="J108" s="672" t="s">
        <v>9219</v>
      </c>
      <c r="K108" s="672" t="s">
        <v>2354</v>
      </c>
      <c r="L108" s="672" t="s">
        <v>9219</v>
      </c>
    </row>
    <row r="109" spans="1:12" x14ac:dyDescent="0.2">
      <c r="A109" s="681" t="s">
        <v>220</v>
      </c>
      <c r="B109" s="681" t="s">
        <v>2351</v>
      </c>
      <c r="C109" s="736" t="s">
        <v>9242</v>
      </c>
      <c r="D109" s="736" t="s">
        <v>9243</v>
      </c>
      <c r="E109" s="683"/>
      <c r="F109" s="685">
        <v>1</v>
      </c>
      <c r="G109" s="737">
        <v>63</v>
      </c>
      <c r="H109" s="685">
        <v>63</v>
      </c>
      <c r="I109" s="672" t="s">
        <v>9218</v>
      </c>
      <c r="J109" s="672" t="s">
        <v>9219</v>
      </c>
      <c r="K109" s="672" t="s">
        <v>2354</v>
      </c>
      <c r="L109" s="672" t="s">
        <v>9219</v>
      </c>
    </row>
    <row r="110" spans="1:12" x14ac:dyDescent="0.2">
      <c r="A110" s="681" t="s">
        <v>220</v>
      </c>
      <c r="B110" s="681" t="s">
        <v>2351</v>
      </c>
      <c r="C110" s="736" t="s">
        <v>2478</v>
      </c>
      <c r="D110" s="736" t="s">
        <v>2479</v>
      </c>
      <c r="E110" s="683"/>
      <c r="F110" s="685">
        <v>3</v>
      </c>
      <c r="G110" s="737">
        <v>63.96</v>
      </c>
      <c r="H110" s="685">
        <v>191.88</v>
      </c>
      <c r="I110" s="672" t="s">
        <v>9218</v>
      </c>
      <c r="J110" s="672" t="s">
        <v>9219</v>
      </c>
      <c r="K110" s="672" t="s">
        <v>2354</v>
      </c>
      <c r="L110" s="672" t="s">
        <v>9219</v>
      </c>
    </row>
    <row r="111" spans="1:12" x14ac:dyDescent="0.2">
      <c r="A111" s="681" t="s">
        <v>220</v>
      </c>
      <c r="B111" s="681" t="s">
        <v>2351</v>
      </c>
      <c r="C111" s="736" t="s">
        <v>2480</v>
      </c>
      <c r="D111" s="736" t="s">
        <v>2481</v>
      </c>
      <c r="E111" s="683"/>
      <c r="F111" s="685">
        <v>14</v>
      </c>
      <c r="G111" s="737">
        <v>50.636178163507473</v>
      </c>
      <c r="H111" s="685">
        <v>708.90649428910467</v>
      </c>
      <c r="I111" s="672" t="s">
        <v>9218</v>
      </c>
      <c r="J111" s="672" t="s">
        <v>9219</v>
      </c>
      <c r="K111" s="672" t="s">
        <v>2354</v>
      </c>
      <c r="L111" s="672" t="s">
        <v>9219</v>
      </c>
    </row>
    <row r="112" spans="1:12" x14ac:dyDescent="0.2">
      <c r="A112" s="681" t="s">
        <v>220</v>
      </c>
      <c r="B112" s="681" t="s">
        <v>2351</v>
      </c>
      <c r="C112" s="736" t="s">
        <v>2486</v>
      </c>
      <c r="D112" s="736" t="s">
        <v>2487</v>
      </c>
      <c r="E112" s="683"/>
      <c r="F112" s="685">
        <v>1</v>
      </c>
      <c r="G112" s="737">
        <v>100.8</v>
      </c>
      <c r="H112" s="685">
        <v>100.8</v>
      </c>
      <c r="I112" s="672" t="s">
        <v>9218</v>
      </c>
      <c r="J112" s="672" t="s">
        <v>9219</v>
      </c>
      <c r="K112" s="672" t="s">
        <v>2354</v>
      </c>
      <c r="L112" s="672" t="s">
        <v>9219</v>
      </c>
    </row>
    <row r="113" spans="1:12" x14ac:dyDescent="0.2">
      <c r="A113" s="681" t="s">
        <v>220</v>
      </c>
      <c r="B113" s="681" t="s">
        <v>2351</v>
      </c>
      <c r="C113" s="736" t="s">
        <v>5366</v>
      </c>
      <c r="D113" s="736" t="s">
        <v>5367</v>
      </c>
      <c r="E113" s="683"/>
      <c r="F113" s="685">
        <v>3</v>
      </c>
      <c r="G113" s="737">
        <v>110</v>
      </c>
      <c r="H113" s="685">
        <v>330</v>
      </c>
      <c r="I113" s="672" t="s">
        <v>9218</v>
      </c>
      <c r="J113" s="672" t="s">
        <v>9219</v>
      </c>
      <c r="K113" s="672" t="s">
        <v>2354</v>
      </c>
      <c r="L113" s="672" t="s">
        <v>9219</v>
      </c>
    </row>
    <row r="114" spans="1:12" x14ac:dyDescent="0.2">
      <c r="A114" s="681" t="s">
        <v>220</v>
      </c>
      <c r="B114" s="681" t="s">
        <v>2351</v>
      </c>
      <c r="C114" s="736" t="s">
        <v>5368</v>
      </c>
      <c r="D114" s="736" t="s">
        <v>5369</v>
      </c>
      <c r="E114" s="683"/>
      <c r="F114" s="685">
        <v>1</v>
      </c>
      <c r="G114" s="737">
        <v>90</v>
      </c>
      <c r="H114" s="685">
        <v>90</v>
      </c>
      <c r="I114" s="672" t="s">
        <v>9218</v>
      </c>
      <c r="J114" s="672" t="s">
        <v>9219</v>
      </c>
      <c r="K114" s="672" t="s">
        <v>2354</v>
      </c>
      <c r="L114" s="672" t="s">
        <v>9219</v>
      </c>
    </row>
    <row r="115" spans="1:12" x14ac:dyDescent="0.2">
      <c r="A115" s="681" t="s">
        <v>220</v>
      </c>
      <c r="B115" s="681" t="s">
        <v>2351</v>
      </c>
      <c r="C115" s="736" t="s">
        <v>2492</v>
      </c>
      <c r="D115" s="736" t="s">
        <v>2493</v>
      </c>
      <c r="E115" s="683"/>
      <c r="F115" s="685">
        <v>1</v>
      </c>
      <c r="G115" s="737">
        <v>7.3832274747340314</v>
      </c>
      <c r="H115" s="685">
        <v>7.3832274747340314</v>
      </c>
      <c r="I115" s="672" t="s">
        <v>9218</v>
      </c>
      <c r="J115" s="672" t="s">
        <v>9219</v>
      </c>
      <c r="K115" s="672" t="s">
        <v>2354</v>
      </c>
      <c r="L115" s="672" t="s">
        <v>9219</v>
      </c>
    </row>
    <row r="116" spans="1:12" x14ac:dyDescent="0.2">
      <c r="A116" s="681" t="s">
        <v>220</v>
      </c>
      <c r="B116" s="681" t="s">
        <v>2351</v>
      </c>
      <c r="C116" s="736" t="s">
        <v>2506</v>
      </c>
      <c r="D116" s="736" t="s">
        <v>2507</v>
      </c>
      <c r="E116" s="683"/>
      <c r="F116" s="728">
        <v>15</v>
      </c>
      <c r="G116" s="737">
        <v>27.400289999999998</v>
      </c>
      <c r="H116" s="685">
        <v>411.00434999999999</v>
      </c>
      <c r="I116" s="672" t="s">
        <v>9218</v>
      </c>
      <c r="J116" s="672" t="s">
        <v>9219</v>
      </c>
      <c r="K116" s="672" t="s">
        <v>2354</v>
      </c>
      <c r="L116" s="672" t="s">
        <v>9219</v>
      </c>
    </row>
    <row r="117" spans="1:12" x14ac:dyDescent="0.2">
      <c r="A117" s="681" t="s">
        <v>220</v>
      </c>
      <c r="B117" s="681" t="s">
        <v>2351</v>
      </c>
      <c r="C117" s="736" t="s">
        <v>2508</v>
      </c>
      <c r="D117" s="736" t="s">
        <v>2509</v>
      </c>
      <c r="E117" s="683"/>
      <c r="F117" s="685">
        <v>3</v>
      </c>
      <c r="G117" s="737">
        <v>383.8</v>
      </c>
      <c r="H117" s="685">
        <v>1151.4000000000001</v>
      </c>
      <c r="I117" s="672" t="s">
        <v>9218</v>
      </c>
      <c r="J117" s="672" t="s">
        <v>9219</v>
      </c>
      <c r="K117" s="672" t="s">
        <v>2354</v>
      </c>
      <c r="L117" s="672" t="s">
        <v>9219</v>
      </c>
    </row>
    <row r="118" spans="1:12" x14ac:dyDescent="0.2">
      <c r="A118" s="681" t="s">
        <v>220</v>
      </c>
      <c r="B118" s="681" t="s">
        <v>2351</v>
      </c>
      <c r="C118" s="736" t="s">
        <v>2512</v>
      </c>
      <c r="D118" s="736" t="s">
        <v>2513</v>
      </c>
      <c r="E118" s="683"/>
      <c r="F118" s="685">
        <v>190</v>
      </c>
      <c r="G118" s="737">
        <v>50</v>
      </c>
      <c r="H118" s="685">
        <v>9500</v>
      </c>
      <c r="I118" s="672" t="s">
        <v>9218</v>
      </c>
      <c r="J118" s="672" t="s">
        <v>9219</v>
      </c>
      <c r="K118" s="672" t="s">
        <v>2354</v>
      </c>
      <c r="L118" s="672" t="s">
        <v>9219</v>
      </c>
    </row>
    <row r="119" spans="1:12" x14ac:dyDescent="0.2">
      <c r="A119" s="681" t="s">
        <v>220</v>
      </c>
      <c r="B119" s="681" t="s">
        <v>2351</v>
      </c>
      <c r="C119" s="736" t="s">
        <v>2514</v>
      </c>
      <c r="D119" s="736" t="s">
        <v>2515</v>
      </c>
      <c r="E119" s="683"/>
      <c r="F119" s="685">
        <v>1</v>
      </c>
      <c r="G119" s="737">
        <v>1148.045099510992</v>
      </c>
      <c r="H119" s="685">
        <v>1148.045099510992</v>
      </c>
      <c r="I119" s="672" t="s">
        <v>9218</v>
      </c>
      <c r="J119" s="672" t="s">
        <v>9219</v>
      </c>
      <c r="K119" s="672" t="s">
        <v>2354</v>
      </c>
      <c r="L119" s="672" t="s">
        <v>9219</v>
      </c>
    </row>
    <row r="120" spans="1:12" x14ac:dyDescent="0.2">
      <c r="A120" s="681" t="s">
        <v>220</v>
      </c>
      <c r="B120" s="681" t="s">
        <v>2351</v>
      </c>
      <c r="C120" s="736" t="s">
        <v>2518</v>
      </c>
      <c r="D120" s="736" t="s">
        <v>2519</v>
      </c>
      <c r="E120" s="683"/>
      <c r="F120" s="685">
        <v>1</v>
      </c>
      <c r="G120" s="737">
        <v>4.59</v>
      </c>
      <c r="H120" s="685">
        <v>4.59</v>
      </c>
      <c r="I120" s="672" t="s">
        <v>9218</v>
      </c>
      <c r="J120" s="672" t="s">
        <v>9219</v>
      </c>
      <c r="K120" s="672" t="s">
        <v>2354</v>
      </c>
      <c r="L120" s="672" t="s">
        <v>9219</v>
      </c>
    </row>
    <row r="121" spans="1:12" x14ac:dyDescent="0.2">
      <c r="A121" s="681" t="s">
        <v>220</v>
      </c>
      <c r="B121" s="681" t="s">
        <v>2351</v>
      </c>
      <c r="C121" s="736" t="s">
        <v>2520</v>
      </c>
      <c r="D121" s="736" t="s">
        <v>2521</v>
      </c>
      <c r="E121" s="683"/>
      <c r="F121" s="685">
        <v>5</v>
      </c>
      <c r="G121" s="737">
        <v>20.2761</v>
      </c>
      <c r="H121" s="685">
        <v>101.3805</v>
      </c>
      <c r="I121" s="672" t="s">
        <v>9218</v>
      </c>
      <c r="J121" s="672" t="s">
        <v>9219</v>
      </c>
      <c r="K121" s="672" t="s">
        <v>2354</v>
      </c>
      <c r="L121" s="672" t="s">
        <v>9219</v>
      </c>
    </row>
    <row r="122" spans="1:12" x14ac:dyDescent="0.2">
      <c r="A122" s="681" t="s">
        <v>220</v>
      </c>
      <c r="B122" s="681" t="s">
        <v>2351</v>
      </c>
      <c r="C122" s="736" t="s">
        <v>9244</v>
      </c>
      <c r="D122" s="736" t="s">
        <v>9245</v>
      </c>
      <c r="E122" s="683"/>
      <c r="F122" s="685">
        <v>2</v>
      </c>
      <c r="G122" s="737">
        <v>20.2761</v>
      </c>
      <c r="H122" s="685">
        <v>40.552199999999999</v>
      </c>
      <c r="I122" s="672" t="s">
        <v>9218</v>
      </c>
      <c r="J122" s="672" t="s">
        <v>9219</v>
      </c>
      <c r="K122" s="672" t="s">
        <v>2354</v>
      </c>
      <c r="L122" s="672" t="s">
        <v>9219</v>
      </c>
    </row>
    <row r="123" spans="1:12" x14ac:dyDescent="0.2">
      <c r="A123" s="681" t="s">
        <v>220</v>
      </c>
      <c r="B123" s="681" t="s">
        <v>2351</v>
      </c>
      <c r="C123" s="736" t="s">
        <v>2522</v>
      </c>
      <c r="D123" s="736" t="s">
        <v>2523</v>
      </c>
      <c r="E123" s="683"/>
      <c r="F123" s="685">
        <v>7</v>
      </c>
      <c r="G123" s="737">
        <v>40.910499999999999</v>
      </c>
      <c r="H123" s="685">
        <v>286.37349999999998</v>
      </c>
      <c r="I123" s="672" t="s">
        <v>9218</v>
      </c>
      <c r="J123" s="672" t="s">
        <v>9219</v>
      </c>
      <c r="K123" s="672" t="s">
        <v>2354</v>
      </c>
      <c r="L123" s="672" t="s">
        <v>9219</v>
      </c>
    </row>
    <row r="124" spans="1:12" x14ac:dyDescent="0.2">
      <c r="A124" s="681" t="s">
        <v>220</v>
      </c>
      <c r="B124" s="681" t="s">
        <v>2351</v>
      </c>
      <c r="C124" s="736" t="s">
        <v>2524</v>
      </c>
      <c r="D124" s="736" t="s">
        <v>2525</v>
      </c>
      <c r="E124" s="683"/>
      <c r="F124" s="685">
        <v>5</v>
      </c>
      <c r="G124" s="737">
        <v>289.7784875701069</v>
      </c>
      <c r="H124" s="685">
        <v>1448.8924378505344</v>
      </c>
      <c r="I124" s="672" t="s">
        <v>9218</v>
      </c>
      <c r="J124" s="672" t="s">
        <v>9219</v>
      </c>
      <c r="K124" s="672" t="s">
        <v>2354</v>
      </c>
      <c r="L124" s="672" t="s">
        <v>9219</v>
      </c>
    </row>
    <row r="125" spans="1:12" x14ac:dyDescent="0.2">
      <c r="A125" s="681" t="s">
        <v>220</v>
      </c>
      <c r="B125" s="681" t="s">
        <v>2351</v>
      </c>
      <c r="C125" s="736" t="s">
        <v>2526</v>
      </c>
      <c r="D125" s="736" t="s">
        <v>2527</v>
      </c>
      <c r="E125" s="683"/>
      <c r="F125" s="685">
        <v>6</v>
      </c>
      <c r="G125" s="737">
        <v>330.52017303815012</v>
      </c>
      <c r="H125" s="685">
        <v>1983.1210382289007</v>
      </c>
      <c r="I125" s="672" t="s">
        <v>9218</v>
      </c>
      <c r="J125" s="672" t="s">
        <v>9219</v>
      </c>
      <c r="K125" s="672" t="s">
        <v>2354</v>
      </c>
      <c r="L125" s="672" t="s">
        <v>9219</v>
      </c>
    </row>
    <row r="126" spans="1:12" x14ac:dyDescent="0.2">
      <c r="A126" s="681" t="s">
        <v>220</v>
      </c>
      <c r="B126" s="681" t="s">
        <v>2351</v>
      </c>
      <c r="C126" s="736" t="s">
        <v>2542</v>
      </c>
      <c r="D126" s="736" t="s">
        <v>2543</v>
      </c>
      <c r="E126" s="683"/>
      <c r="F126" s="685">
        <v>6</v>
      </c>
      <c r="G126" s="737">
        <v>70.372290715658622</v>
      </c>
      <c r="H126" s="685">
        <v>422.23374429395176</v>
      </c>
      <c r="I126" s="672" t="s">
        <v>9218</v>
      </c>
      <c r="J126" s="672" t="s">
        <v>9219</v>
      </c>
      <c r="K126" s="672" t="s">
        <v>2354</v>
      </c>
      <c r="L126" s="672" t="s">
        <v>9219</v>
      </c>
    </row>
    <row r="127" spans="1:12" x14ac:dyDescent="0.2">
      <c r="A127" s="681" t="s">
        <v>220</v>
      </c>
      <c r="B127" s="681" t="s">
        <v>2351</v>
      </c>
      <c r="C127" s="736" t="s">
        <v>2544</v>
      </c>
      <c r="D127" s="736" t="s">
        <v>2545</v>
      </c>
      <c r="E127" s="683"/>
      <c r="F127" s="685">
        <v>6</v>
      </c>
      <c r="G127" s="737">
        <v>539.34988729270776</v>
      </c>
      <c r="H127" s="685">
        <v>3236.0993237562466</v>
      </c>
      <c r="I127" s="672" t="s">
        <v>9218</v>
      </c>
      <c r="J127" s="672" t="s">
        <v>9219</v>
      </c>
      <c r="K127" s="672" t="s">
        <v>2354</v>
      </c>
      <c r="L127" s="672" t="s">
        <v>9219</v>
      </c>
    </row>
    <row r="128" spans="1:12" x14ac:dyDescent="0.2">
      <c r="A128" s="681" t="s">
        <v>220</v>
      </c>
      <c r="B128" s="681" t="s">
        <v>2351</v>
      </c>
      <c r="C128" s="736" t="s">
        <v>2550</v>
      </c>
      <c r="D128" s="736" t="s">
        <v>2551</v>
      </c>
      <c r="E128" s="683"/>
      <c r="F128" s="685">
        <v>1</v>
      </c>
      <c r="G128" s="737">
        <v>80.75</v>
      </c>
      <c r="H128" s="685">
        <v>80.75</v>
      </c>
      <c r="I128" s="672" t="s">
        <v>9218</v>
      </c>
      <c r="J128" s="672" t="s">
        <v>9219</v>
      </c>
      <c r="K128" s="672" t="s">
        <v>2354</v>
      </c>
      <c r="L128" s="672" t="s">
        <v>9219</v>
      </c>
    </row>
    <row r="129" spans="1:12" x14ac:dyDescent="0.2">
      <c r="A129" s="681" t="s">
        <v>220</v>
      </c>
      <c r="B129" s="681" t="s">
        <v>2351</v>
      </c>
      <c r="C129" s="736" t="s">
        <v>2552</v>
      </c>
      <c r="D129" s="736" t="s">
        <v>2553</v>
      </c>
      <c r="E129" s="683"/>
      <c r="F129" s="685">
        <v>1</v>
      </c>
      <c r="G129" s="737">
        <v>80.75</v>
      </c>
      <c r="H129" s="685">
        <v>80.75</v>
      </c>
      <c r="I129" s="672" t="s">
        <v>9218</v>
      </c>
      <c r="J129" s="672" t="s">
        <v>9219</v>
      </c>
      <c r="K129" s="672" t="s">
        <v>2354</v>
      </c>
      <c r="L129" s="672" t="s">
        <v>9219</v>
      </c>
    </row>
    <row r="130" spans="1:12" x14ac:dyDescent="0.2">
      <c r="A130" s="681" t="s">
        <v>220</v>
      </c>
      <c r="B130" s="681" t="s">
        <v>2351</v>
      </c>
      <c r="C130" s="736"/>
      <c r="D130" s="736" t="s">
        <v>9683</v>
      </c>
      <c r="E130" s="683"/>
      <c r="F130" s="685">
        <v>1</v>
      </c>
      <c r="G130" s="737">
        <v>1</v>
      </c>
      <c r="H130" s="685">
        <v>1</v>
      </c>
      <c r="I130" s="672" t="s">
        <v>9218</v>
      </c>
      <c r="J130" s="672" t="s">
        <v>9219</v>
      </c>
      <c r="K130" s="672" t="s">
        <v>2354</v>
      </c>
      <c r="L130" s="672" t="s">
        <v>9219</v>
      </c>
    </row>
    <row r="131" spans="1:12" x14ac:dyDescent="0.2">
      <c r="A131" s="681" t="s">
        <v>220</v>
      </c>
      <c r="B131" s="681" t="s">
        <v>2351</v>
      </c>
      <c r="C131" s="738" t="s">
        <v>2558</v>
      </c>
      <c r="D131" s="736" t="s">
        <v>2559</v>
      </c>
      <c r="E131" s="683"/>
      <c r="F131" s="685">
        <v>670</v>
      </c>
      <c r="G131" s="737">
        <v>21.151484183839603</v>
      </c>
      <c r="H131" s="685">
        <v>14171.494403172534</v>
      </c>
      <c r="I131" s="672" t="s">
        <v>9218</v>
      </c>
      <c r="J131" s="672" t="s">
        <v>9219</v>
      </c>
      <c r="K131" s="672" t="s">
        <v>2354</v>
      </c>
      <c r="L131" s="672" t="s">
        <v>9219</v>
      </c>
    </row>
    <row r="132" spans="1:12" x14ac:dyDescent="0.2">
      <c r="A132" s="681" t="s">
        <v>220</v>
      </c>
      <c r="B132" s="681" t="s">
        <v>2351</v>
      </c>
      <c r="C132" s="736" t="s">
        <v>2560</v>
      </c>
      <c r="D132" s="736" t="s">
        <v>2561</v>
      </c>
      <c r="E132" s="683"/>
      <c r="F132" s="685">
        <v>12</v>
      </c>
      <c r="G132" s="737">
        <v>35.979787832720838</v>
      </c>
      <c r="H132" s="685">
        <v>431.75745399265008</v>
      </c>
      <c r="I132" s="672" t="s">
        <v>9218</v>
      </c>
      <c r="J132" s="672" t="s">
        <v>9219</v>
      </c>
      <c r="K132" s="672" t="s">
        <v>2354</v>
      </c>
      <c r="L132" s="672" t="s">
        <v>9219</v>
      </c>
    </row>
    <row r="133" spans="1:12" x14ac:dyDescent="0.2">
      <c r="A133" s="681" t="s">
        <v>220</v>
      </c>
      <c r="B133" s="681" t="s">
        <v>2351</v>
      </c>
      <c r="C133" s="736" t="s">
        <v>2562</v>
      </c>
      <c r="D133" s="736" t="s">
        <v>2563</v>
      </c>
      <c r="E133" s="683"/>
      <c r="F133" s="685">
        <v>17</v>
      </c>
      <c r="G133" s="737">
        <v>3.7850024328976137</v>
      </c>
      <c r="H133" s="685">
        <v>64.34504135925944</v>
      </c>
      <c r="I133" s="672" t="s">
        <v>9218</v>
      </c>
      <c r="J133" s="672" t="s">
        <v>9219</v>
      </c>
      <c r="K133" s="672" t="s">
        <v>2354</v>
      </c>
      <c r="L133" s="672" t="s">
        <v>9219</v>
      </c>
    </row>
    <row r="134" spans="1:12" x14ac:dyDescent="0.2">
      <c r="A134" s="681" t="s">
        <v>220</v>
      </c>
      <c r="B134" s="681" t="s">
        <v>2351</v>
      </c>
      <c r="C134" s="736"/>
      <c r="D134" s="736" t="s">
        <v>9246</v>
      </c>
      <c r="E134" s="683"/>
      <c r="F134" s="685">
        <v>3</v>
      </c>
      <c r="G134" s="737">
        <v>110</v>
      </c>
      <c r="H134" s="685">
        <v>330</v>
      </c>
      <c r="I134" s="672" t="s">
        <v>9218</v>
      </c>
      <c r="J134" s="672" t="s">
        <v>9219</v>
      </c>
      <c r="K134" s="672" t="s">
        <v>2354</v>
      </c>
      <c r="L134" s="672" t="s">
        <v>9219</v>
      </c>
    </row>
    <row r="135" spans="1:12" x14ac:dyDescent="0.2">
      <c r="A135" s="681" t="s">
        <v>220</v>
      </c>
      <c r="B135" s="681" t="s">
        <v>2351</v>
      </c>
      <c r="C135" s="736" t="s">
        <v>2566</v>
      </c>
      <c r="D135" s="736" t="s">
        <v>9586</v>
      </c>
      <c r="E135" s="683"/>
      <c r="F135" s="685">
        <v>2</v>
      </c>
      <c r="G135" s="737">
        <v>235.68</v>
      </c>
      <c r="H135" s="685">
        <v>471.36</v>
      </c>
      <c r="I135" s="672" t="s">
        <v>9218</v>
      </c>
      <c r="J135" s="672" t="s">
        <v>9219</v>
      </c>
      <c r="K135" s="672" t="s">
        <v>2354</v>
      </c>
      <c r="L135" s="672" t="s">
        <v>9219</v>
      </c>
    </row>
    <row r="136" spans="1:12" x14ac:dyDescent="0.2">
      <c r="A136" s="681" t="s">
        <v>220</v>
      </c>
      <c r="B136" s="681" t="s">
        <v>2351</v>
      </c>
      <c r="C136" s="736" t="s">
        <v>2568</v>
      </c>
      <c r="D136" s="736" t="s">
        <v>2569</v>
      </c>
      <c r="E136" s="683"/>
      <c r="F136" s="685">
        <v>1</v>
      </c>
      <c r="G136" s="737">
        <v>8.5</v>
      </c>
      <c r="H136" s="685">
        <v>8.5</v>
      </c>
      <c r="I136" s="672" t="s">
        <v>9218</v>
      </c>
      <c r="J136" s="672" t="s">
        <v>9219</v>
      </c>
      <c r="K136" s="672" t="s">
        <v>2354</v>
      </c>
      <c r="L136" s="672" t="s">
        <v>9219</v>
      </c>
    </row>
    <row r="137" spans="1:12" x14ac:dyDescent="0.2">
      <c r="A137" s="681" t="s">
        <v>220</v>
      </c>
      <c r="B137" s="681" t="s">
        <v>2351</v>
      </c>
      <c r="C137" s="736" t="s">
        <v>2570</v>
      </c>
      <c r="D137" s="736" t="s">
        <v>2571</v>
      </c>
      <c r="E137" s="683"/>
      <c r="F137" s="685">
        <v>1</v>
      </c>
      <c r="G137" s="737">
        <v>117.02415547453438</v>
      </c>
      <c r="H137" s="685">
        <v>117.02415547453438</v>
      </c>
      <c r="I137" s="672" t="s">
        <v>9218</v>
      </c>
      <c r="J137" s="672" t="s">
        <v>9219</v>
      </c>
      <c r="K137" s="672" t="s">
        <v>2354</v>
      </c>
      <c r="L137" s="672" t="s">
        <v>9219</v>
      </c>
    </row>
    <row r="138" spans="1:12" x14ac:dyDescent="0.2">
      <c r="A138" s="681" t="s">
        <v>220</v>
      </c>
      <c r="B138" s="681" t="s">
        <v>2351</v>
      </c>
      <c r="C138" s="736" t="s">
        <v>2572</v>
      </c>
      <c r="D138" s="736" t="s">
        <v>2573</v>
      </c>
      <c r="E138" s="683"/>
      <c r="F138" s="685">
        <v>1</v>
      </c>
      <c r="G138" s="737">
        <v>140.13365747045191</v>
      </c>
      <c r="H138" s="685">
        <v>140.13365747045191</v>
      </c>
      <c r="I138" s="672" t="s">
        <v>9218</v>
      </c>
      <c r="J138" s="672" t="s">
        <v>9219</v>
      </c>
      <c r="K138" s="672" t="s">
        <v>2354</v>
      </c>
      <c r="L138" s="672" t="s">
        <v>9219</v>
      </c>
    </row>
    <row r="139" spans="1:12" x14ac:dyDescent="0.2">
      <c r="A139" s="681" t="s">
        <v>220</v>
      </c>
      <c r="B139" s="681" t="s">
        <v>2351</v>
      </c>
      <c r="C139" s="736" t="s">
        <v>2574</v>
      </c>
      <c r="D139" s="736" t="s">
        <v>2575</v>
      </c>
      <c r="E139" s="683"/>
      <c r="F139" s="685">
        <v>2</v>
      </c>
      <c r="G139" s="737">
        <v>361.4089848882308</v>
      </c>
      <c r="H139" s="685">
        <v>722.81796977646161</v>
      </c>
      <c r="I139" s="672" t="s">
        <v>9218</v>
      </c>
      <c r="J139" s="672" t="s">
        <v>9219</v>
      </c>
      <c r="K139" s="672" t="s">
        <v>2354</v>
      </c>
      <c r="L139" s="672" t="s">
        <v>9219</v>
      </c>
    </row>
    <row r="140" spans="1:12" x14ac:dyDescent="0.2">
      <c r="A140" s="681" t="s">
        <v>220</v>
      </c>
      <c r="B140" s="681" t="s">
        <v>2351</v>
      </c>
      <c r="C140" s="736" t="s">
        <v>2576</v>
      </c>
      <c r="D140" s="736" t="s">
        <v>2577</v>
      </c>
      <c r="E140" s="683"/>
      <c r="F140" s="685">
        <v>2</v>
      </c>
      <c r="G140" s="737">
        <v>520.47353949975695</v>
      </c>
      <c r="H140" s="685">
        <v>1040.9470789995139</v>
      </c>
      <c r="I140" s="672" t="s">
        <v>9218</v>
      </c>
      <c r="J140" s="672" t="s">
        <v>9219</v>
      </c>
      <c r="K140" s="672" t="s">
        <v>2354</v>
      </c>
      <c r="L140" s="672" t="s">
        <v>9219</v>
      </c>
    </row>
    <row r="141" spans="1:12" x14ac:dyDescent="0.2">
      <c r="A141" s="681" t="s">
        <v>220</v>
      </c>
      <c r="B141" s="681" t="s">
        <v>2351</v>
      </c>
      <c r="C141" s="736" t="s">
        <v>2578</v>
      </c>
      <c r="D141" s="736" t="s">
        <v>2579</v>
      </c>
      <c r="E141" s="683"/>
      <c r="F141" s="685">
        <v>1</v>
      </c>
      <c r="G141" s="737">
        <v>6820.1318899999997</v>
      </c>
      <c r="H141" s="685">
        <v>6820.1318899999997</v>
      </c>
      <c r="I141" s="672" t="s">
        <v>9218</v>
      </c>
      <c r="J141" s="672" t="s">
        <v>9219</v>
      </c>
      <c r="K141" s="672" t="s">
        <v>2354</v>
      </c>
      <c r="L141" s="672" t="s">
        <v>9219</v>
      </c>
    </row>
    <row r="142" spans="1:12" x14ac:dyDescent="0.2">
      <c r="A142" s="681" t="s">
        <v>220</v>
      </c>
      <c r="B142" s="681" t="s">
        <v>2351</v>
      </c>
      <c r="C142" s="736" t="s">
        <v>2580</v>
      </c>
      <c r="D142" s="736" t="s">
        <v>2581</v>
      </c>
      <c r="E142" s="683"/>
      <c r="F142" s="685">
        <v>1</v>
      </c>
      <c r="G142" s="737">
        <v>996.14769874283729</v>
      </c>
      <c r="H142" s="685">
        <v>996.14769874283729</v>
      </c>
      <c r="I142" s="672" t="s">
        <v>9218</v>
      </c>
      <c r="J142" s="672" t="s">
        <v>9219</v>
      </c>
      <c r="K142" s="672" t="s">
        <v>2354</v>
      </c>
      <c r="L142" s="672" t="s">
        <v>9219</v>
      </c>
    </row>
    <row r="143" spans="1:12" x14ac:dyDescent="0.2">
      <c r="A143" s="681" t="s">
        <v>220</v>
      </c>
      <c r="B143" s="681" t="s">
        <v>2351</v>
      </c>
      <c r="C143" s="736" t="s">
        <v>2582</v>
      </c>
      <c r="D143" s="736" t="s">
        <v>2583</v>
      </c>
      <c r="E143" s="683"/>
      <c r="F143" s="685">
        <v>1</v>
      </c>
      <c r="G143" s="737">
        <v>297.16118070375967</v>
      </c>
      <c r="H143" s="685">
        <v>297.16118070375967</v>
      </c>
      <c r="I143" s="672" t="s">
        <v>9218</v>
      </c>
      <c r="J143" s="672" t="s">
        <v>9219</v>
      </c>
      <c r="K143" s="672" t="s">
        <v>2354</v>
      </c>
      <c r="L143" s="672" t="s">
        <v>9219</v>
      </c>
    </row>
    <row r="144" spans="1:12" x14ac:dyDescent="0.2">
      <c r="A144" s="681" t="s">
        <v>220</v>
      </c>
      <c r="B144" s="681" t="s">
        <v>2351</v>
      </c>
      <c r="C144" s="736" t="s">
        <v>2592</v>
      </c>
      <c r="D144" s="736" t="s">
        <v>2593</v>
      </c>
      <c r="E144" s="683"/>
      <c r="F144" s="685">
        <v>3</v>
      </c>
      <c r="G144" s="737">
        <v>610.16510823571286</v>
      </c>
      <c r="H144" s="685">
        <v>1830.4953247071385</v>
      </c>
      <c r="I144" s="672" t="s">
        <v>9218</v>
      </c>
      <c r="J144" s="672" t="s">
        <v>9219</v>
      </c>
      <c r="K144" s="672" t="s">
        <v>2354</v>
      </c>
      <c r="L144" s="672" t="s">
        <v>9219</v>
      </c>
    </row>
    <row r="145" spans="1:12" x14ac:dyDescent="0.2">
      <c r="A145" s="681" t="s">
        <v>220</v>
      </c>
      <c r="B145" s="681" t="s">
        <v>2351</v>
      </c>
      <c r="C145" s="736" t="s">
        <v>2612</v>
      </c>
      <c r="D145" s="736" t="s">
        <v>2613</v>
      </c>
      <c r="E145" s="683"/>
      <c r="F145" s="685">
        <v>1</v>
      </c>
      <c r="G145" s="737">
        <v>220.79249999999999</v>
      </c>
      <c r="H145" s="685">
        <v>220.79249999999999</v>
      </c>
      <c r="I145" s="672" t="s">
        <v>9218</v>
      </c>
      <c r="J145" s="672" t="s">
        <v>9219</v>
      </c>
      <c r="K145" s="672" t="s">
        <v>2354</v>
      </c>
      <c r="L145" s="672" t="s">
        <v>9219</v>
      </c>
    </row>
    <row r="146" spans="1:12" x14ac:dyDescent="0.2">
      <c r="A146" s="681" t="s">
        <v>220</v>
      </c>
      <c r="B146" s="681" t="s">
        <v>2351</v>
      </c>
      <c r="C146" s="736" t="s">
        <v>2618</v>
      </c>
      <c r="D146" s="736" t="s">
        <v>9249</v>
      </c>
      <c r="E146" s="683"/>
      <c r="F146" s="685">
        <v>1</v>
      </c>
      <c r="G146" s="737">
        <v>926.80875041027673</v>
      </c>
      <c r="H146" s="685">
        <v>926.80875041027673</v>
      </c>
      <c r="I146" s="672" t="s">
        <v>9218</v>
      </c>
      <c r="J146" s="672" t="s">
        <v>9219</v>
      </c>
      <c r="K146" s="672" t="s">
        <v>2354</v>
      </c>
      <c r="L146" s="672" t="s">
        <v>9219</v>
      </c>
    </row>
    <row r="147" spans="1:12" x14ac:dyDescent="0.2">
      <c r="A147" s="681" t="s">
        <v>220</v>
      </c>
      <c r="B147" s="681" t="s">
        <v>2351</v>
      </c>
      <c r="C147" s="736"/>
      <c r="D147" s="736" t="s">
        <v>9250</v>
      </c>
      <c r="E147" s="683"/>
      <c r="F147" s="685">
        <v>4</v>
      </c>
      <c r="G147" s="737">
        <v>821.1</v>
      </c>
      <c r="H147" s="685">
        <v>3284.4</v>
      </c>
      <c r="I147" s="672" t="s">
        <v>9218</v>
      </c>
      <c r="J147" s="672" t="s">
        <v>9219</v>
      </c>
      <c r="K147" s="672" t="s">
        <v>2354</v>
      </c>
      <c r="L147" s="672" t="s">
        <v>9219</v>
      </c>
    </row>
    <row r="148" spans="1:12" x14ac:dyDescent="0.2">
      <c r="A148" s="681" t="s">
        <v>220</v>
      </c>
      <c r="B148" s="681" t="s">
        <v>2351</v>
      </c>
      <c r="C148" s="736" t="s">
        <v>2620</v>
      </c>
      <c r="D148" s="736" t="s">
        <v>9251</v>
      </c>
      <c r="E148" s="683"/>
      <c r="F148" s="685">
        <v>4</v>
      </c>
      <c r="G148" s="737">
        <v>884.25279058247838</v>
      </c>
      <c r="H148" s="685">
        <v>3537.0111623299135</v>
      </c>
      <c r="I148" s="672" t="s">
        <v>9218</v>
      </c>
      <c r="J148" s="672" t="s">
        <v>9219</v>
      </c>
      <c r="K148" s="672" t="s">
        <v>2354</v>
      </c>
      <c r="L148" s="672" t="s">
        <v>9219</v>
      </c>
    </row>
    <row r="149" spans="1:12" x14ac:dyDescent="0.2">
      <c r="A149" s="681" t="s">
        <v>220</v>
      </c>
      <c r="B149" s="681" t="s">
        <v>2351</v>
      </c>
      <c r="C149" s="736" t="s">
        <v>2622</v>
      </c>
      <c r="D149" s="736" t="s">
        <v>2623</v>
      </c>
      <c r="E149" s="683"/>
      <c r="F149" s="685">
        <v>2</v>
      </c>
      <c r="G149" s="737">
        <v>659.35852112754355</v>
      </c>
      <c r="H149" s="685">
        <v>1318.7170422550871</v>
      </c>
      <c r="I149" s="672" t="s">
        <v>9218</v>
      </c>
      <c r="J149" s="672" t="s">
        <v>9219</v>
      </c>
      <c r="K149" s="672" t="s">
        <v>2354</v>
      </c>
      <c r="L149" s="672" t="s">
        <v>9219</v>
      </c>
    </row>
    <row r="150" spans="1:12" x14ac:dyDescent="0.2">
      <c r="A150" s="681" t="s">
        <v>220</v>
      </c>
      <c r="B150" s="681" t="s">
        <v>2351</v>
      </c>
      <c r="C150" s="736" t="s">
        <v>2624</v>
      </c>
      <c r="D150" s="736" t="s">
        <v>2625</v>
      </c>
      <c r="E150" s="683"/>
      <c r="F150" s="685">
        <v>4</v>
      </c>
      <c r="G150" s="737">
        <v>492.86221114433226</v>
      </c>
      <c r="H150" s="685">
        <v>1971.4488445773291</v>
      </c>
      <c r="I150" s="672" t="s">
        <v>9218</v>
      </c>
      <c r="J150" s="672" t="s">
        <v>9219</v>
      </c>
      <c r="K150" s="672" t="s">
        <v>2354</v>
      </c>
      <c r="L150" s="672" t="s">
        <v>9219</v>
      </c>
    </row>
    <row r="151" spans="1:12" x14ac:dyDescent="0.2">
      <c r="A151" s="681" t="s">
        <v>220</v>
      </c>
      <c r="B151" s="681" t="s">
        <v>2351</v>
      </c>
      <c r="C151" s="736" t="s">
        <v>2626</v>
      </c>
      <c r="D151" s="736" t="s">
        <v>2627</v>
      </c>
      <c r="E151" s="683"/>
      <c r="F151" s="685">
        <v>2</v>
      </c>
      <c r="G151" s="737">
        <v>282.56117166666667</v>
      </c>
      <c r="H151" s="685">
        <v>565.12234333333333</v>
      </c>
      <c r="I151" s="672" t="s">
        <v>9218</v>
      </c>
      <c r="J151" s="672" t="s">
        <v>9219</v>
      </c>
      <c r="K151" s="672" t="s">
        <v>2354</v>
      </c>
      <c r="L151" s="672" t="s">
        <v>9219</v>
      </c>
    </row>
    <row r="152" spans="1:12" x14ac:dyDescent="0.2">
      <c r="A152" s="681" t="s">
        <v>220</v>
      </c>
      <c r="B152" s="681" t="s">
        <v>2351</v>
      </c>
      <c r="C152" s="736" t="s">
        <v>2628</v>
      </c>
      <c r="D152" s="736" t="s">
        <v>2629</v>
      </c>
      <c r="E152" s="683"/>
      <c r="F152" s="685">
        <v>1</v>
      </c>
      <c r="G152" s="737">
        <v>310</v>
      </c>
      <c r="H152" s="685">
        <v>310</v>
      </c>
      <c r="I152" s="672" t="s">
        <v>9218</v>
      </c>
      <c r="J152" s="672" t="s">
        <v>9219</v>
      </c>
      <c r="K152" s="672" t="s">
        <v>2354</v>
      </c>
      <c r="L152" s="672" t="s">
        <v>9219</v>
      </c>
    </row>
    <row r="153" spans="1:12" x14ac:dyDescent="0.2">
      <c r="A153" s="681" t="s">
        <v>220</v>
      </c>
      <c r="B153" s="681" t="s">
        <v>2351</v>
      </c>
      <c r="C153" s="736" t="s">
        <v>2630</v>
      </c>
      <c r="D153" s="736" t="s">
        <v>2631</v>
      </c>
      <c r="E153" s="683"/>
      <c r="F153" s="685">
        <v>4</v>
      </c>
      <c r="G153" s="737">
        <v>107.52164181196258</v>
      </c>
      <c r="H153" s="685">
        <v>430.08656724785033</v>
      </c>
      <c r="I153" s="672" t="s">
        <v>9218</v>
      </c>
      <c r="J153" s="672" t="s">
        <v>9219</v>
      </c>
      <c r="K153" s="672" t="s">
        <v>2354</v>
      </c>
      <c r="L153" s="672" t="s">
        <v>9219</v>
      </c>
    </row>
    <row r="154" spans="1:12" x14ac:dyDescent="0.2">
      <c r="A154" s="681" t="s">
        <v>220</v>
      </c>
      <c r="B154" s="681" t="s">
        <v>2351</v>
      </c>
      <c r="C154" s="736" t="s">
        <v>2634</v>
      </c>
      <c r="D154" s="736" t="s">
        <v>2635</v>
      </c>
      <c r="E154" s="683"/>
      <c r="F154" s="685">
        <v>31</v>
      </c>
      <c r="G154" s="737">
        <v>115.63208476560253</v>
      </c>
      <c r="H154" s="685">
        <v>3584.5946277336784</v>
      </c>
      <c r="I154" s="672" t="s">
        <v>9218</v>
      </c>
      <c r="J154" s="672" t="s">
        <v>9219</v>
      </c>
      <c r="K154" s="672" t="s">
        <v>2354</v>
      </c>
      <c r="L154" s="672" t="s">
        <v>9219</v>
      </c>
    </row>
    <row r="155" spans="1:12" x14ac:dyDescent="0.2">
      <c r="A155" s="695" t="s">
        <v>220</v>
      </c>
      <c r="B155" s="681" t="s">
        <v>2351</v>
      </c>
      <c r="C155" s="736" t="s">
        <v>2636</v>
      </c>
      <c r="D155" s="736" t="s">
        <v>2637</v>
      </c>
      <c r="E155" s="683" t="s">
        <v>10137</v>
      </c>
      <c r="F155" s="685">
        <v>7</v>
      </c>
      <c r="G155" s="737">
        <v>6.5</v>
      </c>
      <c r="H155" s="685">
        <v>45.5</v>
      </c>
      <c r="I155" s="672" t="s">
        <v>9218</v>
      </c>
      <c r="J155" s="672" t="s">
        <v>9219</v>
      </c>
      <c r="K155" s="672" t="s">
        <v>2354</v>
      </c>
      <c r="L155" s="672" t="s">
        <v>9219</v>
      </c>
    </row>
    <row r="156" spans="1:12" x14ac:dyDescent="0.2">
      <c r="A156" s="681" t="s">
        <v>220</v>
      </c>
      <c r="B156" s="681" t="s">
        <v>2351</v>
      </c>
      <c r="C156" s="736" t="s">
        <v>2638</v>
      </c>
      <c r="D156" s="736" t="s">
        <v>2639</v>
      </c>
      <c r="E156" s="683"/>
      <c r="F156" s="685">
        <v>1</v>
      </c>
      <c r="G156" s="737">
        <v>40</v>
      </c>
      <c r="H156" s="685">
        <v>40</v>
      </c>
      <c r="I156" s="672" t="s">
        <v>9218</v>
      </c>
      <c r="J156" s="672" t="s">
        <v>9219</v>
      </c>
      <c r="K156" s="672" t="s">
        <v>2354</v>
      </c>
      <c r="L156" s="672" t="s">
        <v>9219</v>
      </c>
    </row>
    <row r="157" spans="1:12" x14ac:dyDescent="0.2">
      <c r="A157" s="681" t="s">
        <v>220</v>
      </c>
      <c r="B157" s="681" t="s">
        <v>2351</v>
      </c>
      <c r="C157" s="736" t="s">
        <v>2642</v>
      </c>
      <c r="D157" s="736" t="s">
        <v>2643</v>
      </c>
      <c r="E157" s="683"/>
      <c r="F157" s="685">
        <v>12</v>
      </c>
      <c r="G157" s="737">
        <v>4163.7316000000001</v>
      </c>
      <c r="H157" s="685">
        <v>49964.779200000004</v>
      </c>
      <c r="I157" s="672" t="s">
        <v>9218</v>
      </c>
      <c r="J157" s="672" t="s">
        <v>9219</v>
      </c>
      <c r="K157" s="672" t="s">
        <v>2354</v>
      </c>
      <c r="L157" s="672" t="s">
        <v>9219</v>
      </c>
    </row>
    <row r="158" spans="1:12" x14ac:dyDescent="0.2">
      <c r="A158" s="681" t="s">
        <v>220</v>
      </c>
      <c r="B158" s="681" t="s">
        <v>2351</v>
      </c>
      <c r="C158" s="736" t="s">
        <v>2644</v>
      </c>
      <c r="D158" s="736" t="s">
        <v>2645</v>
      </c>
      <c r="E158" s="683"/>
      <c r="F158" s="685">
        <v>2</v>
      </c>
      <c r="G158" s="737">
        <v>1806.0350000000001</v>
      </c>
      <c r="H158" s="685">
        <v>3612.07</v>
      </c>
      <c r="I158" s="672" t="s">
        <v>9218</v>
      </c>
      <c r="J158" s="672" t="s">
        <v>9219</v>
      </c>
      <c r="K158" s="672" t="s">
        <v>2354</v>
      </c>
      <c r="L158" s="672" t="s">
        <v>9219</v>
      </c>
    </row>
    <row r="159" spans="1:12" x14ac:dyDescent="0.2">
      <c r="A159" s="681" t="s">
        <v>220</v>
      </c>
      <c r="B159" s="681" t="s">
        <v>2351</v>
      </c>
      <c r="C159" s="736" t="s">
        <v>2646</v>
      </c>
      <c r="D159" s="736" t="s">
        <v>2647</v>
      </c>
      <c r="E159" s="683"/>
      <c r="F159" s="685">
        <v>1</v>
      </c>
      <c r="G159" s="737">
        <v>0</v>
      </c>
      <c r="H159" s="685">
        <v>0</v>
      </c>
      <c r="I159" s="672" t="s">
        <v>9218</v>
      </c>
      <c r="J159" s="672" t="s">
        <v>9219</v>
      </c>
      <c r="K159" s="672" t="s">
        <v>2354</v>
      </c>
      <c r="L159" s="672" t="s">
        <v>9219</v>
      </c>
    </row>
    <row r="160" spans="1:12" x14ac:dyDescent="0.2">
      <c r="A160" s="681" t="s">
        <v>220</v>
      </c>
      <c r="B160" s="681" t="s">
        <v>2351</v>
      </c>
      <c r="C160" s="736" t="s">
        <v>2650</v>
      </c>
      <c r="D160" s="736" t="s">
        <v>2651</v>
      </c>
      <c r="E160" s="683"/>
      <c r="F160" s="685">
        <v>2</v>
      </c>
      <c r="G160" s="737">
        <v>1480.44597</v>
      </c>
      <c r="H160" s="685">
        <v>2960.89194</v>
      </c>
      <c r="I160" s="672" t="s">
        <v>9218</v>
      </c>
      <c r="J160" s="672" t="s">
        <v>9219</v>
      </c>
      <c r="K160" s="672" t="s">
        <v>2354</v>
      </c>
      <c r="L160" s="672" t="s">
        <v>9219</v>
      </c>
    </row>
    <row r="161" spans="1:12" x14ac:dyDescent="0.2">
      <c r="A161" s="681" t="s">
        <v>220</v>
      </c>
      <c r="B161" s="681" t="s">
        <v>2351</v>
      </c>
      <c r="C161" s="736" t="s">
        <v>2656</v>
      </c>
      <c r="D161" s="736" t="s">
        <v>2657</v>
      </c>
      <c r="E161" s="683"/>
      <c r="F161" s="685">
        <v>4</v>
      </c>
      <c r="G161" s="737">
        <v>598.99174529273068</v>
      </c>
      <c r="H161" s="685">
        <v>2395.9669811709227</v>
      </c>
      <c r="I161" s="672" t="s">
        <v>9218</v>
      </c>
      <c r="J161" s="672" t="s">
        <v>9219</v>
      </c>
      <c r="K161" s="672" t="s">
        <v>2354</v>
      </c>
      <c r="L161" s="672" t="s">
        <v>9219</v>
      </c>
    </row>
    <row r="162" spans="1:12" x14ac:dyDescent="0.2">
      <c r="A162" s="681" t="s">
        <v>220</v>
      </c>
      <c r="B162" s="681" t="s">
        <v>2351</v>
      </c>
      <c r="C162" s="736" t="s">
        <v>2660</v>
      </c>
      <c r="D162" s="736" t="s">
        <v>2661</v>
      </c>
      <c r="E162" s="683"/>
      <c r="F162" s="685">
        <v>20</v>
      </c>
      <c r="G162" s="737">
        <v>237.4927355969989</v>
      </c>
      <c r="H162" s="685">
        <v>4749.8547119399782</v>
      </c>
      <c r="I162" s="672" t="s">
        <v>9218</v>
      </c>
      <c r="J162" s="672" t="s">
        <v>9219</v>
      </c>
      <c r="K162" s="672" t="s">
        <v>2354</v>
      </c>
      <c r="L162" s="672" t="s">
        <v>9219</v>
      </c>
    </row>
    <row r="163" spans="1:12" x14ac:dyDescent="0.2">
      <c r="A163" s="681" t="s">
        <v>220</v>
      </c>
      <c r="B163" s="681" t="s">
        <v>2351</v>
      </c>
      <c r="C163" s="736" t="s">
        <v>2680</v>
      </c>
      <c r="D163" s="736" t="s">
        <v>2681</v>
      </c>
      <c r="E163" s="683"/>
      <c r="F163" s="685">
        <v>1</v>
      </c>
      <c r="G163" s="737">
        <v>110</v>
      </c>
      <c r="H163" s="685">
        <v>110</v>
      </c>
      <c r="I163" s="672" t="s">
        <v>9218</v>
      </c>
      <c r="J163" s="672" t="s">
        <v>9219</v>
      </c>
      <c r="K163" s="672" t="s">
        <v>2354</v>
      </c>
      <c r="L163" s="672" t="s">
        <v>9219</v>
      </c>
    </row>
    <row r="164" spans="1:12" x14ac:dyDescent="0.2">
      <c r="A164" s="681" t="s">
        <v>220</v>
      </c>
      <c r="B164" s="681" t="s">
        <v>2351</v>
      </c>
      <c r="C164" s="736" t="s">
        <v>2684</v>
      </c>
      <c r="D164" s="736" t="s">
        <v>2685</v>
      </c>
      <c r="E164" s="683"/>
      <c r="F164" s="685">
        <v>1</v>
      </c>
      <c r="G164" s="737">
        <v>520</v>
      </c>
      <c r="H164" s="685">
        <v>520</v>
      </c>
      <c r="I164" s="672" t="s">
        <v>9218</v>
      </c>
      <c r="J164" s="672" t="s">
        <v>9219</v>
      </c>
      <c r="K164" s="672" t="s">
        <v>2354</v>
      </c>
      <c r="L164" s="672" t="s">
        <v>9219</v>
      </c>
    </row>
    <row r="165" spans="1:12" x14ac:dyDescent="0.2">
      <c r="A165" s="681" t="s">
        <v>220</v>
      </c>
      <c r="B165" s="681" t="s">
        <v>2351</v>
      </c>
      <c r="C165" s="736" t="s">
        <v>2688</v>
      </c>
      <c r="D165" s="736" t="s">
        <v>2689</v>
      </c>
      <c r="E165" s="683"/>
      <c r="F165" s="685">
        <v>1</v>
      </c>
      <c r="G165" s="737">
        <v>520</v>
      </c>
      <c r="H165" s="685">
        <v>520</v>
      </c>
      <c r="I165" s="672" t="s">
        <v>9218</v>
      </c>
      <c r="J165" s="672" t="s">
        <v>9219</v>
      </c>
      <c r="K165" s="672" t="s">
        <v>2354</v>
      </c>
      <c r="L165" s="672" t="s">
        <v>9219</v>
      </c>
    </row>
    <row r="166" spans="1:12" x14ac:dyDescent="0.2">
      <c r="A166" s="681" t="s">
        <v>220</v>
      </c>
      <c r="B166" s="681" t="s">
        <v>2351</v>
      </c>
      <c r="C166" s="736" t="s">
        <v>2690</v>
      </c>
      <c r="D166" s="736" t="s">
        <v>2691</v>
      </c>
      <c r="E166" s="683"/>
      <c r="F166" s="685">
        <v>1</v>
      </c>
      <c r="G166" s="737">
        <v>411</v>
      </c>
      <c r="H166" s="685">
        <v>411</v>
      </c>
      <c r="I166" s="672" t="s">
        <v>9218</v>
      </c>
      <c r="J166" s="672" t="s">
        <v>9219</v>
      </c>
      <c r="K166" s="672" t="s">
        <v>2354</v>
      </c>
      <c r="L166" s="672" t="s">
        <v>9219</v>
      </c>
    </row>
    <row r="167" spans="1:12" x14ac:dyDescent="0.2">
      <c r="A167" s="681" t="s">
        <v>220</v>
      </c>
      <c r="B167" s="681" t="s">
        <v>2351</v>
      </c>
      <c r="C167" s="736" t="s">
        <v>2692</v>
      </c>
      <c r="D167" s="736" t="s">
        <v>2693</v>
      </c>
      <c r="E167" s="683"/>
      <c r="F167" s="685">
        <v>1</v>
      </c>
      <c r="G167" s="737">
        <v>40</v>
      </c>
      <c r="H167" s="685">
        <v>40</v>
      </c>
      <c r="I167" s="672" t="s">
        <v>9218</v>
      </c>
      <c r="J167" s="672" t="s">
        <v>9219</v>
      </c>
      <c r="K167" s="672" t="s">
        <v>2354</v>
      </c>
      <c r="L167" s="672" t="s">
        <v>9219</v>
      </c>
    </row>
    <row r="168" spans="1:12" x14ac:dyDescent="0.2">
      <c r="A168" s="681" t="s">
        <v>220</v>
      </c>
      <c r="B168" s="681" t="s">
        <v>2351</v>
      </c>
      <c r="C168" s="736" t="s">
        <v>2694</v>
      </c>
      <c r="D168" s="736" t="s">
        <v>2695</v>
      </c>
      <c r="E168" s="683"/>
      <c r="F168" s="685">
        <v>1</v>
      </c>
      <c r="G168" s="737">
        <v>217</v>
      </c>
      <c r="H168" s="685">
        <v>217</v>
      </c>
      <c r="I168" s="672" t="s">
        <v>9218</v>
      </c>
      <c r="J168" s="672" t="s">
        <v>9219</v>
      </c>
      <c r="K168" s="672" t="s">
        <v>2354</v>
      </c>
      <c r="L168" s="672" t="s">
        <v>9219</v>
      </c>
    </row>
    <row r="169" spans="1:12" x14ac:dyDescent="0.2">
      <c r="A169" s="681" t="s">
        <v>220</v>
      </c>
      <c r="B169" s="681" t="s">
        <v>2351</v>
      </c>
      <c r="C169" s="736" t="s">
        <v>2698</v>
      </c>
      <c r="D169" s="736" t="s">
        <v>2699</v>
      </c>
      <c r="E169" s="683"/>
      <c r="F169" s="685">
        <v>2</v>
      </c>
      <c r="G169" s="737">
        <v>194.99600000000001</v>
      </c>
      <c r="H169" s="685">
        <v>389.99200000000002</v>
      </c>
      <c r="I169" s="672" t="s">
        <v>9218</v>
      </c>
      <c r="J169" s="672" t="s">
        <v>9219</v>
      </c>
      <c r="K169" s="672" t="s">
        <v>2354</v>
      </c>
      <c r="L169" s="672" t="s">
        <v>9219</v>
      </c>
    </row>
    <row r="170" spans="1:12" x14ac:dyDescent="0.2">
      <c r="A170" s="681" t="s">
        <v>220</v>
      </c>
      <c r="B170" s="681" t="s">
        <v>2351</v>
      </c>
      <c r="C170" s="736" t="s">
        <v>2706</v>
      </c>
      <c r="D170" s="736" t="s">
        <v>2707</v>
      </c>
      <c r="E170" s="683"/>
      <c r="F170" s="685">
        <v>1</v>
      </c>
      <c r="G170" s="737">
        <v>46.8</v>
      </c>
      <c r="H170" s="685">
        <v>46.8</v>
      </c>
      <c r="I170" s="672" t="s">
        <v>9218</v>
      </c>
      <c r="J170" s="672" t="s">
        <v>9219</v>
      </c>
      <c r="K170" s="672" t="s">
        <v>2354</v>
      </c>
      <c r="L170" s="672" t="s">
        <v>9219</v>
      </c>
    </row>
    <row r="171" spans="1:12" x14ac:dyDescent="0.2">
      <c r="A171" s="681" t="s">
        <v>220</v>
      </c>
      <c r="B171" s="681" t="s">
        <v>2351</v>
      </c>
      <c r="C171" s="736" t="s">
        <v>2708</v>
      </c>
      <c r="D171" s="736" t="s">
        <v>2709</v>
      </c>
      <c r="E171" s="683"/>
      <c r="F171" s="685">
        <v>1</v>
      </c>
      <c r="G171" s="737">
        <v>11.939399999999999</v>
      </c>
      <c r="H171" s="685">
        <v>11.939399999999999</v>
      </c>
      <c r="I171" s="672" t="s">
        <v>9218</v>
      </c>
      <c r="J171" s="672" t="s">
        <v>9219</v>
      </c>
      <c r="K171" s="672" t="s">
        <v>2354</v>
      </c>
      <c r="L171" s="672" t="s">
        <v>9219</v>
      </c>
    </row>
    <row r="172" spans="1:12" x14ac:dyDescent="0.2">
      <c r="A172" s="681" t="s">
        <v>220</v>
      </c>
      <c r="B172" s="681" t="s">
        <v>2351</v>
      </c>
      <c r="C172" s="736" t="s">
        <v>2710</v>
      </c>
      <c r="D172" s="736" t="s">
        <v>2711</v>
      </c>
      <c r="E172" s="683"/>
      <c r="F172" s="685">
        <v>1</v>
      </c>
      <c r="G172" s="737">
        <v>31.05</v>
      </c>
      <c r="H172" s="685">
        <v>31.05</v>
      </c>
      <c r="I172" s="672" t="s">
        <v>9218</v>
      </c>
      <c r="J172" s="672" t="s">
        <v>9219</v>
      </c>
      <c r="K172" s="672" t="s">
        <v>2354</v>
      </c>
      <c r="L172" s="672" t="s">
        <v>9219</v>
      </c>
    </row>
    <row r="173" spans="1:12" x14ac:dyDescent="0.2">
      <c r="A173" s="681" t="s">
        <v>220</v>
      </c>
      <c r="B173" s="681" t="s">
        <v>2351</v>
      </c>
      <c r="C173" s="736" t="s">
        <v>2712</v>
      </c>
      <c r="D173" s="736" t="s">
        <v>2713</v>
      </c>
      <c r="E173" s="683"/>
      <c r="F173" s="685">
        <v>1</v>
      </c>
      <c r="G173" s="737">
        <v>30.113999999999997</v>
      </c>
      <c r="H173" s="685">
        <v>30.113999999999997</v>
      </c>
      <c r="I173" s="672" t="s">
        <v>9218</v>
      </c>
      <c r="J173" s="672" t="s">
        <v>9219</v>
      </c>
      <c r="K173" s="672" t="s">
        <v>2354</v>
      </c>
      <c r="L173" s="672" t="s">
        <v>9219</v>
      </c>
    </row>
    <row r="174" spans="1:12" x14ac:dyDescent="0.2">
      <c r="A174" s="681" t="s">
        <v>220</v>
      </c>
      <c r="B174" s="681" t="s">
        <v>2351</v>
      </c>
      <c r="C174" s="736" t="s">
        <v>2716</v>
      </c>
      <c r="D174" s="736" t="s">
        <v>2717</v>
      </c>
      <c r="E174" s="683"/>
      <c r="F174" s="685">
        <v>1</v>
      </c>
      <c r="G174" s="737">
        <v>18.18</v>
      </c>
      <c r="H174" s="685">
        <v>18.18</v>
      </c>
      <c r="I174" s="672" t="s">
        <v>9218</v>
      </c>
      <c r="J174" s="672" t="s">
        <v>9219</v>
      </c>
      <c r="K174" s="672" t="s">
        <v>2354</v>
      </c>
      <c r="L174" s="672" t="s">
        <v>9219</v>
      </c>
    </row>
    <row r="175" spans="1:12" x14ac:dyDescent="0.2">
      <c r="A175" s="681" t="s">
        <v>220</v>
      </c>
      <c r="B175" s="681" t="s">
        <v>2351</v>
      </c>
      <c r="C175" s="736" t="s">
        <v>2718</v>
      </c>
      <c r="D175" s="736" t="s">
        <v>2719</v>
      </c>
      <c r="E175" s="683"/>
      <c r="F175" s="685">
        <v>1</v>
      </c>
      <c r="G175" s="737">
        <v>21.285</v>
      </c>
      <c r="H175" s="685">
        <v>21.285</v>
      </c>
      <c r="I175" s="672" t="s">
        <v>9218</v>
      </c>
      <c r="J175" s="672" t="s">
        <v>9219</v>
      </c>
      <c r="K175" s="672" t="s">
        <v>2354</v>
      </c>
      <c r="L175" s="672" t="s">
        <v>9219</v>
      </c>
    </row>
    <row r="176" spans="1:12" x14ac:dyDescent="0.2">
      <c r="A176" s="681" t="s">
        <v>220</v>
      </c>
      <c r="B176" s="681" t="s">
        <v>2351</v>
      </c>
      <c r="C176" s="736" t="s">
        <v>2720</v>
      </c>
      <c r="D176" s="736" t="s">
        <v>2721</v>
      </c>
      <c r="E176" s="683"/>
      <c r="F176" s="685">
        <v>2</v>
      </c>
      <c r="G176" s="737">
        <v>27</v>
      </c>
      <c r="H176" s="685">
        <v>54</v>
      </c>
      <c r="I176" s="672" t="s">
        <v>9218</v>
      </c>
      <c r="J176" s="672" t="s">
        <v>9219</v>
      </c>
      <c r="K176" s="672" t="s">
        <v>2354</v>
      </c>
      <c r="L176" s="672" t="s">
        <v>9219</v>
      </c>
    </row>
    <row r="177" spans="1:12" x14ac:dyDescent="0.2">
      <c r="A177" s="681" t="s">
        <v>220</v>
      </c>
      <c r="B177" s="681" t="s">
        <v>2351</v>
      </c>
      <c r="C177" s="736" t="s">
        <v>2722</v>
      </c>
      <c r="D177" s="736" t="s">
        <v>2723</v>
      </c>
      <c r="E177" s="683"/>
      <c r="F177" s="685">
        <v>2</v>
      </c>
      <c r="G177" s="737">
        <v>15.222000000000001</v>
      </c>
      <c r="H177" s="685">
        <v>30.444000000000003</v>
      </c>
      <c r="I177" s="672" t="s">
        <v>9218</v>
      </c>
      <c r="J177" s="672" t="s">
        <v>9219</v>
      </c>
      <c r="K177" s="672" t="s">
        <v>2354</v>
      </c>
      <c r="L177" s="672" t="s">
        <v>9219</v>
      </c>
    </row>
    <row r="178" spans="1:12" x14ac:dyDescent="0.2">
      <c r="A178" s="681" t="s">
        <v>220</v>
      </c>
      <c r="B178" s="681" t="s">
        <v>2351</v>
      </c>
      <c r="C178" s="736" t="s">
        <v>2724</v>
      </c>
      <c r="D178" s="736" t="s">
        <v>2725</v>
      </c>
      <c r="E178" s="683"/>
      <c r="F178" s="685">
        <v>2</v>
      </c>
      <c r="G178" s="737">
        <v>25.861049999999999</v>
      </c>
      <c r="H178" s="685">
        <v>51.722099999999998</v>
      </c>
      <c r="I178" s="672" t="s">
        <v>9218</v>
      </c>
      <c r="J178" s="672" t="s">
        <v>9219</v>
      </c>
      <c r="K178" s="672" t="s">
        <v>2354</v>
      </c>
      <c r="L178" s="672" t="s">
        <v>9219</v>
      </c>
    </row>
    <row r="179" spans="1:12" x14ac:dyDescent="0.2">
      <c r="A179" s="681" t="s">
        <v>220</v>
      </c>
      <c r="B179" s="681" t="s">
        <v>2351</v>
      </c>
      <c r="C179" s="736" t="s">
        <v>2726</v>
      </c>
      <c r="D179" s="736" t="s">
        <v>2727</v>
      </c>
      <c r="E179" s="683"/>
      <c r="F179" s="685">
        <v>1</v>
      </c>
      <c r="G179" s="737">
        <v>42.3</v>
      </c>
      <c r="H179" s="685">
        <v>42.3</v>
      </c>
      <c r="I179" s="672" t="s">
        <v>9218</v>
      </c>
      <c r="J179" s="672" t="s">
        <v>9219</v>
      </c>
      <c r="K179" s="672" t="s">
        <v>2354</v>
      </c>
      <c r="L179" s="672" t="s">
        <v>9219</v>
      </c>
    </row>
    <row r="180" spans="1:12" x14ac:dyDescent="0.2">
      <c r="A180" s="681" t="s">
        <v>220</v>
      </c>
      <c r="B180" s="681" t="s">
        <v>2351</v>
      </c>
      <c r="C180" s="736" t="s">
        <v>2728</v>
      </c>
      <c r="D180" s="736" t="s">
        <v>2729</v>
      </c>
      <c r="E180" s="683"/>
      <c r="F180" s="685">
        <v>1</v>
      </c>
      <c r="G180" s="737">
        <v>5.1738</v>
      </c>
      <c r="H180" s="685">
        <v>5.1738</v>
      </c>
      <c r="I180" s="672" t="s">
        <v>9218</v>
      </c>
      <c r="J180" s="672" t="s">
        <v>9219</v>
      </c>
      <c r="K180" s="672" t="s">
        <v>2354</v>
      </c>
      <c r="L180" s="672" t="s">
        <v>9219</v>
      </c>
    </row>
    <row r="181" spans="1:12" x14ac:dyDescent="0.2">
      <c r="A181" s="681" t="s">
        <v>220</v>
      </c>
      <c r="B181" s="681" t="s">
        <v>2351</v>
      </c>
      <c r="C181" s="736" t="s">
        <v>2730</v>
      </c>
      <c r="D181" s="736" t="s">
        <v>2731</v>
      </c>
      <c r="E181" s="683"/>
      <c r="F181" s="685">
        <v>6</v>
      </c>
      <c r="G181" s="737">
        <v>7.7606999999999999</v>
      </c>
      <c r="H181" s="685">
        <v>46.5642</v>
      </c>
      <c r="I181" s="672" t="s">
        <v>9218</v>
      </c>
      <c r="J181" s="672" t="s">
        <v>9219</v>
      </c>
      <c r="K181" s="672" t="s">
        <v>2354</v>
      </c>
      <c r="L181" s="672" t="s">
        <v>9219</v>
      </c>
    </row>
    <row r="182" spans="1:12" x14ac:dyDescent="0.2">
      <c r="A182" s="681" t="s">
        <v>220</v>
      </c>
      <c r="B182" s="681" t="s">
        <v>2351</v>
      </c>
      <c r="C182" s="736" t="s">
        <v>2736</v>
      </c>
      <c r="D182" s="736" t="s">
        <v>2737</v>
      </c>
      <c r="E182" s="683"/>
      <c r="F182" s="685">
        <v>2</v>
      </c>
      <c r="G182" s="737">
        <v>339.3</v>
      </c>
      <c r="H182" s="685">
        <v>678.6</v>
      </c>
      <c r="I182" s="672" t="s">
        <v>9218</v>
      </c>
      <c r="J182" s="672" t="s">
        <v>9219</v>
      </c>
      <c r="K182" s="672" t="s">
        <v>2354</v>
      </c>
      <c r="L182" s="672" t="s">
        <v>9219</v>
      </c>
    </row>
    <row r="183" spans="1:12" x14ac:dyDescent="0.2">
      <c r="A183" s="681" t="s">
        <v>220</v>
      </c>
      <c r="B183" s="681" t="s">
        <v>2351</v>
      </c>
      <c r="C183" s="736" t="s">
        <v>2742</v>
      </c>
      <c r="D183" s="736" t="s">
        <v>2743</v>
      </c>
      <c r="E183" s="683"/>
      <c r="F183" s="685">
        <v>5</v>
      </c>
      <c r="G183" s="737">
        <v>12.044</v>
      </c>
      <c r="H183" s="685">
        <v>60.22</v>
      </c>
      <c r="I183" s="672" t="s">
        <v>9218</v>
      </c>
      <c r="J183" s="672" t="s">
        <v>9219</v>
      </c>
      <c r="K183" s="672" t="s">
        <v>2354</v>
      </c>
      <c r="L183" s="672" t="s">
        <v>9219</v>
      </c>
    </row>
    <row r="184" spans="1:12" x14ac:dyDescent="0.2">
      <c r="A184" s="681" t="s">
        <v>220</v>
      </c>
      <c r="B184" s="681" t="s">
        <v>2351</v>
      </c>
      <c r="C184" s="736" t="s">
        <v>2744</v>
      </c>
      <c r="D184" s="736" t="s">
        <v>2745</v>
      </c>
      <c r="E184" s="683"/>
      <c r="F184" s="685">
        <v>4</v>
      </c>
      <c r="G184" s="737">
        <v>24.9255</v>
      </c>
      <c r="H184" s="685">
        <v>99.701999999999998</v>
      </c>
      <c r="I184" s="672" t="s">
        <v>9218</v>
      </c>
      <c r="J184" s="672" t="s">
        <v>9219</v>
      </c>
      <c r="K184" s="672" t="s">
        <v>2354</v>
      </c>
      <c r="L184" s="672" t="s">
        <v>9219</v>
      </c>
    </row>
    <row r="185" spans="1:12" x14ac:dyDescent="0.2">
      <c r="A185" s="681" t="s">
        <v>220</v>
      </c>
      <c r="B185" s="681" t="s">
        <v>2351</v>
      </c>
      <c r="C185" s="736" t="s">
        <v>2746</v>
      </c>
      <c r="D185" s="736" t="s">
        <v>2747</v>
      </c>
      <c r="E185" s="683"/>
      <c r="F185" s="685">
        <v>3</v>
      </c>
      <c r="G185" s="737">
        <v>18.611999999999998</v>
      </c>
      <c r="H185" s="685">
        <v>55.835999999999999</v>
      </c>
      <c r="I185" s="672" t="s">
        <v>9218</v>
      </c>
      <c r="J185" s="672" t="s">
        <v>9219</v>
      </c>
      <c r="K185" s="672" t="s">
        <v>2354</v>
      </c>
      <c r="L185" s="672" t="s">
        <v>9219</v>
      </c>
    </row>
    <row r="186" spans="1:12" x14ac:dyDescent="0.2">
      <c r="A186" s="681" t="s">
        <v>220</v>
      </c>
      <c r="B186" s="681" t="s">
        <v>2351</v>
      </c>
      <c r="C186" s="736" t="s">
        <v>2748</v>
      </c>
      <c r="D186" s="736" t="s">
        <v>2749</v>
      </c>
      <c r="E186" s="683"/>
      <c r="F186" s="685">
        <v>3</v>
      </c>
      <c r="G186" s="737">
        <v>16.72</v>
      </c>
      <c r="H186" s="685">
        <v>50.16</v>
      </c>
      <c r="I186" s="672" t="s">
        <v>9218</v>
      </c>
      <c r="J186" s="672" t="s">
        <v>9219</v>
      </c>
      <c r="K186" s="672" t="s">
        <v>2354</v>
      </c>
      <c r="L186" s="672" t="s">
        <v>9219</v>
      </c>
    </row>
    <row r="187" spans="1:12" x14ac:dyDescent="0.2">
      <c r="A187" s="681" t="s">
        <v>220</v>
      </c>
      <c r="B187" s="681" t="s">
        <v>2351</v>
      </c>
      <c r="C187" s="736" t="s">
        <v>2750</v>
      </c>
      <c r="D187" s="736" t="s">
        <v>2751</v>
      </c>
      <c r="E187" s="683"/>
      <c r="F187" s="685">
        <v>7</v>
      </c>
      <c r="G187" s="737">
        <v>0</v>
      </c>
      <c r="H187" s="685">
        <v>0</v>
      </c>
      <c r="I187" s="672" t="s">
        <v>9218</v>
      </c>
      <c r="J187" s="672" t="s">
        <v>9219</v>
      </c>
      <c r="K187" s="672" t="s">
        <v>2354</v>
      </c>
      <c r="L187" s="672" t="s">
        <v>9219</v>
      </c>
    </row>
    <row r="188" spans="1:12" x14ac:dyDescent="0.2">
      <c r="A188" s="681" t="s">
        <v>220</v>
      </c>
      <c r="B188" s="681" t="s">
        <v>2351</v>
      </c>
      <c r="C188" s="736" t="s">
        <v>2762</v>
      </c>
      <c r="D188" s="736" t="s">
        <v>2763</v>
      </c>
      <c r="E188" s="683"/>
      <c r="F188" s="685">
        <v>5</v>
      </c>
      <c r="G188" s="737">
        <v>11.16</v>
      </c>
      <c r="H188" s="685">
        <v>55.8</v>
      </c>
      <c r="I188" s="672" t="s">
        <v>9218</v>
      </c>
      <c r="J188" s="672" t="s">
        <v>9219</v>
      </c>
      <c r="K188" s="672" t="s">
        <v>2354</v>
      </c>
      <c r="L188" s="672" t="s">
        <v>9219</v>
      </c>
    </row>
    <row r="189" spans="1:12" x14ac:dyDescent="0.2">
      <c r="A189" s="681" t="s">
        <v>220</v>
      </c>
      <c r="B189" s="681" t="s">
        <v>2351</v>
      </c>
      <c r="C189" s="736" t="s">
        <v>2764</v>
      </c>
      <c r="D189" s="736" t="s">
        <v>2765</v>
      </c>
      <c r="E189" s="683"/>
      <c r="F189" s="685">
        <v>1</v>
      </c>
      <c r="G189" s="737">
        <v>0</v>
      </c>
      <c r="H189" s="685">
        <v>0</v>
      </c>
      <c r="I189" s="672" t="s">
        <v>9218</v>
      </c>
      <c r="J189" s="672" t="s">
        <v>9219</v>
      </c>
      <c r="K189" s="672" t="s">
        <v>2354</v>
      </c>
      <c r="L189" s="672" t="s">
        <v>9219</v>
      </c>
    </row>
    <row r="190" spans="1:12" x14ac:dyDescent="0.2">
      <c r="A190" s="681" t="s">
        <v>220</v>
      </c>
      <c r="B190" s="681" t="s">
        <v>2351</v>
      </c>
      <c r="C190" s="736" t="s">
        <v>2766</v>
      </c>
      <c r="D190" s="736" t="s">
        <v>2767</v>
      </c>
      <c r="E190" s="683"/>
      <c r="F190" s="685">
        <v>5</v>
      </c>
      <c r="G190" s="737">
        <v>14.476000000000001</v>
      </c>
      <c r="H190" s="685">
        <v>72.38000000000001</v>
      </c>
      <c r="I190" s="672" t="s">
        <v>9218</v>
      </c>
      <c r="J190" s="672" t="s">
        <v>9219</v>
      </c>
      <c r="K190" s="672" t="s">
        <v>2354</v>
      </c>
      <c r="L190" s="672" t="s">
        <v>9219</v>
      </c>
    </row>
    <row r="191" spans="1:12" x14ac:dyDescent="0.2">
      <c r="A191" s="681" t="s">
        <v>220</v>
      </c>
      <c r="B191" s="681" t="s">
        <v>2351</v>
      </c>
      <c r="C191" s="736" t="s">
        <v>2770</v>
      </c>
      <c r="D191" s="736" t="s">
        <v>2771</v>
      </c>
      <c r="E191" s="683"/>
      <c r="F191" s="685">
        <v>5</v>
      </c>
      <c r="G191" s="737">
        <v>4.5530999999999997</v>
      </c>
      <c r="H191" s="685">
        <v>22.765499999999999</v>
      </c>
      <c r="I191" s="672" t="s">
        <v>9218</v>
      </c>
      <c r="J191" s="672" t="s">
        <v>9219</v>
      </c>
      <c r="K191" s="672" t="s">
        <v>2354</v>
      </c>
      <c r="L191" s="672" t="s">
        <v>9219</v>
      </c>
    </row>
    <row r="192" spans="1:12" x14ac:dyDescent="0.2">
      <c r="A192" s="681" t="s">
        <v>220</v>
      </c>
      <c r="B192" s="681" t="s">
        <v>2351</v>
      </c>
      <c r="C192" s="736" t="s">
        <v>2776</v>
      </c>
      <c r="D192" s="736" t="s">
        <v>2777</v>
      </c>
      <c r="E192" s="683"/>
      <c r="F192" s="685">
        <v>8</v>
      </c>
      <c r="G192" s="737">
        <v>8.5500000000000007</v>
      </c>
      <c r="H192" s="685">
        <v>68.400000000000006</v>
      </c>
      <c r="I192" s="672" t="s">
        <v>9218</v>
      </c>
      <c r="J192" s="672" t="s">
        <v>9219</v>
      </c>
      <c r="K192" s="672" t="s">
        <v>2354</v>
      </c>
      <c r="L192" s="672" t="s">
        <v>9219</v>
      </c>
    </row>
    <row r="193" spans="1:12" x14ac:dyDescent="0.2">
      <c r="A193" s="681" t="s">
        <v>220</v>
      </c>
      <c r="B193" s="681" t="s">
        <v>2351</v>
      </c>
      <c r="C193" s="736" t="s">
        <v>2778</v>
      </c>
      <c r="D193" s="736" t="s">
        <v>2779</v>
      </c>
      <c r="E193" s="683"/>
      <c r="F193" s="685">
        <v>1</v>
      </c>
      <c r="G193" s="737">
        <v>10.35</v>
      </c>
      <c r="H193" s="685">
        <v>10.35</v>
      </c>
      <c r="I193" s="672" t="s">
        <v>9218</v>
      </c>
      <c r="J193" s="672" t="s">
        <v>9219</v>
      </c>
      <c r="K193" s="672" t="s">
        <v>2354</v>
      </c>
      <c r="L193" s="672" t="s">
        <v>9219</v>
      </c>
    </row>
    <row r="194" spans="1:12" x14ac:dyDescent="0.2">
      <c r="A194" s="681" t="s">
        <v>220</v>
      </c>
      <c r="B194" s="681" t="s">
        <v>2351</v>
      </c>
      <c r="C194" s="736" t="s">
        <v>2780</v>
      </c>
      <c r="D194" s="736" t="s">
        <v>2781</v>
      </c>
      <c r="E194" s="683"/>
      <c r="F194" s="685">
        <v>1</v>
      </c>
      <c r="G194" s="737">
        <v>31.95</v>
      </c>
      <c r="H194" s="685">
        <v>31.95</v>
      </c>
      <c r="I194" s="672" t="s">
        <v>9218</v>
      </c>
      <c r="J194" s="672" t="s">
        <v>9219</v>
      </c>
      <c r="K194" s="672" t="s">
        <v>2354</v>
      </c>
      <c r="L194" s="672" t="s">
        <v>9219</v>
      </c>
    </row>
    <row r="195" spans="1:12" x14ac:dyDescent="0.2">
      <c r="A195" s="681" t="s">
        <v>220</v>
      </c>
      <c r="B195" s="681" t="s">
        <v>2351</v>
      </c>
      <c r="C195" s="736" t="s">
        <v>2782</v>
      </c>
      <c r="D195" s="736" t="s">
        <v>2783</v>
      </c>
      <c r="E195" s="683"/>
      <c r="F195" s="685">
        <v>8</v>
      </c>
      <c r="G195" s="737">
        <v>9.9930000000000003</v>
      </c>
      <c r="H195" s="685">
        <v>79.944000000000003</v>
      </c>
      <c r="I195" s="672" t="s">
        <v>9218</v>
      </c>
      <c r="J195" s="672" t="s">
        <v>9219</v>
      </c>
      <c r="K195" s="672" t="s">
        <v>2354</v>
      </c>
      <c r="L195" s="672" t="s">
        <v>9219</v>
      </c>
    </row>
    <row r="196" spans="1:12" x14ac:dyDescent="0.2">
      <c r="A196" s="681" t="s">
        <v>220</v>
      </c>
      <c r="B196" s="681" t="s">
        <v>2351</v>
      </c>
      <c r="C196" s="736" t="s">
        <v>2784</v>
      </c>
      <c r="D196" s="736" t="s">
        <v>2785</v>
      </c>
      <c r="E196" s="683"/>
      <c r="F196" s="685">
        <v>5</v>
      </c>
      <c r="G196" s="737">
        <v>36.359099999999998</v>
      </c>
      <c r="H196" s="685">
        <v>181.7955</v>
      </c>
      <c r="I196" s="672" t="s">
        <v>9218</v>
      </c>
      <c r="J196" s="672" t="s">
        <v>9219</v>
      </c>
      <c r="K196" s="672" t="s">
        <v>2354</v>
      </c>
      <c r="L196" s="672" t="s">
        <v>9219</v>
      </c>
    </row>
    <row r="197" spans="1:12" x14ac:dyDescent="0.2">
      <c r="A197" s="681" t="s">
        <v>220</v>
      </c>
      <c r="B197" s="681" t="s">
        <v>2351</v>
      </c>
      <c r="C197" s="736" t="s">
        <v>2786</v>
      </c>
      <c r="D197" s="736" t="s">
        <v>2787</v>
      </c>
      <c r="E197" s="683"/>
      <c r="F197" s="685">
        <v>2</v>
      </c>
      <c r="G197" s="737">
        <v>19.299600000000002</v>
      </c>
      <c r="H197" s="685">
        <v>38.599200000000003</v>
      </c>
      <c r="I197" s="672" t="s">
        <v>9218</v>
      </c>
      <c r="J197" s="672" t="s">
        <v>9219</v>
      </c>
      <c r="K197" s="672" t="s">
        <v>2354</v>
      </c>
      <c r="L197" s="672" t="s">
        <v>9219</v>
      </c>
    </row>
    <row r="198" spans="1:12" x14ac:dyDescent="0.2">
      <c r="A198" s="681" t="s">
        <v>220</v>
      </c>
      <c r="B198" s="681" t="s">
        <v>2351</v>
      </c>
      <c r="C198" s="736" t="s">
        <v>2788</v>
      </c>
      <c r="D198" s="736" t="s">
        <v>2789</v>
      </c>
      <c r="E198" s="683"/>
      <c r="F198" s="685">
        <v>4</v>
      </c>
      <c r="G198" s="737">
        <v>49.68</v>
      </c>
      <c r="H198" s="685">
        <v>198.72</v>
      </c>
      <c r="I198" s="672" t="s">
        <v>9218</v>
      </c>
      <c r="J198" s="672" t="s">
        <v>9219</v>
      </c>
      <c r="K198" s="672" t="s">
        <v>2354</v>
      </c>
      <c r="L198" s="672" t="s">
        <v>9219</v>
      </c>
    </row>
    <row r="199" spans="1:12" x14ac:dyDescent="0.2">
      <c r="A199" s="681" t="s">
        <v>220</v>
      </c>
      <c r="B199" s="681" t="s">
        <v>2351</v>
      </c>
      <c r="C199" s="736" t="s">
        <v>2790</v>
      </c>
      <c r="D199" s="736" t="s">
        <v>2791</v>
      </c>
      <c r="E199" s="683"/>
      <c r="F199" s="685">
        <v>5</v>
      </c>
      <c r="G199" s="737">
        <v>16.878</v>
      </c>
      <c r="H199" s="685">
        <v>84.39</v>
      </c>
      <c r="I199" s="672" t="s">
        <v>9218</v>
      </c>
      <c r="J199" s="672" t="s">
        <v>9219</v>
      </c>
      <c r="K199" s="672" t="s">
        <v>2354</v>
      </c>
      <c r="L199" s="672" t="s">
        <v>9219</v>
      </c>
    </row>
    <row r="200" spans="1:12" x14ac:dyDescent="0.2">
      <c r="A200" s="681" t="s">
        <v>220</v>
      </c>
      <c r="B200" s="681" t="s">
        <v>2351</v>
      </c>
      <c r="C200" s="736" t="s">
        <v>2798</v>
      </c>
      <c r="D200" s="736" t="s">
        <v>2799</v>
      </c>
      <c r="E200" s="683"/>
      <c r="F200" s="685">
        <v>8</v>
      </c>
      <c r="G200" s="737">
        <v>10.35</v>
      </c>
      <c r="H200" s="685">
        <v>82.8</v>
      </c>
      <c r="I200" s="672" t="s">
        <v>9218</v>
      </c>
      <c r="J200" s="672" t="s">
        <v>9219</v>
      </c>
      <c r="K200" s="672" t="s">
        <v>2354</v>
      </c>
      <c r="L200" s="672" t="s">
        <v>9219</v>
      </c>
    </row>
    <row r="201" spans="1:12" x14ac:dyDescent="0.2">
      <c r="A201" s="681" t="s">
        <v>220</v>
      </c>
      <c r="B201" s="681" t="s">
        <v>2351</v>
      </c>
      <c r="C201" s="736" t="s">
        <v>2800</v>
      </c>
      <c r="D201" s="736" t="s">
        <v>2801</v>
      </c>
      <c r="E201" s="683"/>
      <c r="F201" s="685">
        <v>1</v>
      </c>
      <c r="G201" s="737">
        <v>10.35</v>
      </c>
      <c r="H201" s="685">
        <v>10.35</v>
      </c>
      <c r="I201" s="672" t="s">
        <v>9218</v>
      </c>
      <c r="J201" s="672" t="s">
        <v>9219</v>
      </c>
      <c r="K201" s="672" t="s">
        <v>2354</v>
      </c>
      <c r="L201" s="672" t="s">
        <v>9219</v>
      </c>
    </row>
    <row r="202" spans="1:12" x14ac:dyDescent="0.2">
      <c r="A202" s="681" t="s">
        <v>220</v>
      </c>
      <c r="B202" s="681" t="s">
        <v>2351</v>
      </c>
      <c r="C202" s="736" t="s">
        <v>2802</v>
      </c>
      <c r="D202" s="736" t="s">
        <v>2803</v>
      </c>
      <c r="E202" s="683"/>
      <c r="F202" s="685">
        <v>9</v>
      </c>
      <c r="G202" s="737">
        <v>22.5</v>
      </c>
      <c r="H202" s="685">
        <v>202.5</v>
      </c>
      <c r="I202" s="672" t="s">
        <v>9218</v>
      </c>
      <c r="J202" s="672" t="s">
        <v>9219</v>
      </c>
      <c r="K202" s="672" t="s">
        <v>2354</v>
      </c>
      <c r="L202" s="672" t="s">
        <v>9219</v>
      </c>
    </row>
    <row r="203" spans="1:12" x14ac:dyDescent="0.2">
      <c r="A203" s="681" t="s">
        <v>220</v>
      </c>
      <c r="B203" s="681" t="s">
        <v>2351</v>
      </c>
      <c r="C203" s="736" t="s">
        <v>2804</v>
      </c>
      <c r="D203" s="736" t="s">
        <v>2805</v>
      </c>
      <c r="E203" s="683"/>
      <c r="F203" s="685">
        <v>5</v>
      </c>
      <c r="G203" s="737">
        <v>29.7</v>
      </c>
      <c r="H203" s="685">
        <v>148.5</v>
      </c>
      <c r="I203" s="672" t="s">
        <v>9218</v>
      </c>
      <c r="J203" s="672" t="s">
        <v>9219</v>
      </c>
      <c r="K203" s="672" t="s">
        <v>2354</v>
      </c>
      <c r="L203" s="672" t="s">
        <v>9219</v>
      </c>
    </row>
    <row r="204" spans="1:12" x14ac:dyDescent="0.2">
      <c r="A204" s="681" t="s">
        <v>220</v>
      </c>
      <c r="B204" s="681" t="s">
        <v>2351</v>
      </c>
      <c r="C204" s="736" t="s">
        <v>2806</v>
      </c>
      <c r="D204" s="736" t="s">
        <v>2807</v>
      </c>
      <c r="E204" s="683"/>
      <c r="F204" s="685">
        <v>4</v>
      </c>
      <c r="G204" s="737">
        <v>10.35</v>
      </c>
      <c r="H204" s="685">
        <v>41.4</v>
      </c>
      <c r="I204" s="672" t="s">
        <v>9218</v>
      </c>
      <c r="J204" s="672" t="s">
        <v>9219</v>
      </c>
      <c r="K204" s="672" t="s">
        <v>2354</v>
      </c>
      <c r="L204" s="672" t="s">
        <v>9219</v>
      </c>
    </row>
    <row r="205" spans="1:12" x14ac:dyDescent="0.2">
      <c r="A205" s="681" t="s">
        <v>220</v>
      </c>
      <c r="B205" s="681" t="s">
        <v>2351</v>
      </c>
      <c r="C205" s="736" t="s">
        <v>2810</v>
      </c>
      <c r="D205" s="736" t="s">
        <v>2811</v>
      </c>
      <c r="E205" s="683"/>
      <c r="F205" s="685">
        <v>16</v>
      </c>
      <c r="G205" s="737">
        <v>25.238</v>
      </c>
      <c r="H205" s="685">
        <v>403.80799999999999</v>
      </c>
      <c r="I205" s="672" t="s">
        <v>9218</v>
      </c>
      <c r="J205" s="672" t="s">
        <v>9219</v>
      </c>
      <c r="K205" s="672" t="s">
        <v>2354</v>
      </c>
      <c r="L205" s="672" t="s">
        <v>9219</v>
      </c>
    </row>
    <row r="206" spans="1:12" x14ac:dyDescent="0.2">
      <c r="A206" s="681" t="s">
        <v>220</v>
      </c>
      <c r="B206" s="681" t="s">
        <v>2351</v>
      </c>
      <c r="C206" s="736" t="s">
        <v>2814</v>
      </c>
      <c r="D206" s="736" t="s">
        <v>2815</v>
      </c>
      <c r="E206" s="683"/>
      <c r="F206" s="685">
        <v>2</v>
      </c>
      <c r="G206" s="737">
        <v>144.81</v>
      </c>
      <c r="H206" s="685">
        <v>289.62</v>
      </c>
      <c r="I206" s="672" t="s">
        <v>9218</v>
      </c>
      <c r="J206" s="672" t="s">
        <v>9219</v>
      </c>
      <c r="K206" s="672" t="s">
        <v>2354</v>
      </c>
      <c r="L206" s="672" t="s">
        <v>9219</v>
      </c>
    </row>
    <row r="207" spans="1:12" x14ac:dyDescent="0.2">
      <c r="A207" s="681" t="s">
        <v>220</v>
      </c>
      <c r="B207" s="681" t="s">
        <v>2351</v>
      </c>
      <c r="C207" s="736" t="s">
        <v>2820</v>
      </c>
      <c r="D207" s="736" t="s">
        <v>2821</v>
      </c>
      <c r="E207" s="683"/>
      <c r="F207" s="685">
        <v>2</v>
      </c>
      <c r="G207" s="737">
        <v>21.08</v>
      </c>
      <c r="H207" s="685">
        <v>42.16</v>
      </c>
      <c r="I207" s="672" t="s">
        <v>9218</v>
      </c>
      <c r="J207" s="672" t="s">
        <v>9219</v>
      </c>
      <c r="K207" s="672" t="s">
        <v>2354</v>
      </c>
      <c r="L207" s="672" t="s">
        <v>9219</v>
      </c>
    </row>
    <row r="208" spans="1:12" x14ac:dyDescent="0.2">
      <c r="A208" s="681" t="s">
        <v>220</v>
      </c>
      <c r="B208" s="681" t="s">
        <v>2351</v>
      </c>
      <c r="C208" s="736" t="s">
        <v>2822</v>
      </c>
      <c r="D208" s="736" t="s">
        <v>2823</v>
      </c>
      <c r="E208" s="683"/>
      <c r="F208" s="685">
        <v>2</v>
      </c>
      <c r="G208" s="737">
        <v>21.08</v>
      </c>
      <c r="H208" s="685">
        <v>42.16</v>
      </c>
      <c r="I208" s="672" t="s">
        <v>9218</v>
      </c>
      <c r="J208" s="672" t="s">
        <v>9219</v>
      </c>
      <c r="K208" s="672" t="s">
        <v>2354</v>
      </c>
      <c r="L208" s="672" t="s">
        <v>9219</v>
      </c>
    </row>
    <row r="209" spans="1:12" x14ac:dyDescent="0.2">
      <c r="A209" s="681" t="s">
        <v>220</v>
      </c>
      <c r="B209" s="681" t="s">
        <v>2351</v>
      </c>
      <c r="C209" s="736" t="s">
        <v>2828</v>
      </c>
      <c r="D209" s="736" t="s">
        <v>2829</v>
      </c>
      <c r="E209" s="683"/>
      <c r="F209" s="685">
        <v>1</v>
      </c>
      <c r="G209" s="737">
        <v>175.21</v>
      </c>
      <c r="H209" s="685">
        <v>175.21</v>
      </c>
      <c r="I209" s="672" t="s">
        <v>9218</v>
      </c>
      <c r="J209" s="672" t="s">
        <v>9219</v>
      </c>
      <c r="K209" s="672" t="s">
        <v>2354</v>
      </c>
      <c r="L209" s="672" t="s">
        <v>9219</v>
      </c>
    </row>
    <row r="210" spans="1:12" x14ac:dyDescent="0.2">
      <c r="A210" s="681" t="s">
        <v>220</v>
      </c>
      <c r="B210" s="681" t="s">
        <v>2351</v>
      </c>
      <c r="C210" s="736" t="s">
        <v>2834</v>
      </c>
      <c r="D210" s="736" t="s">
        <v>2835</v>
      </c>
      <c r="E210" s="683"/>
      <c r="F210" s="685">
        <v>5</v>
      </c>
      <c r="G210" s="737">
        <v>16.881</v>
      </c>
      <c r="H210" s="685">
        <v>84.405000000000001</v>
      </c>
      <c r="I210" s="672" t="s">
        <v>9218</v>
      </c>
      <c r="J210" s="672" t="s">
        <v>9219</v>
      </c>
      <c r="K210" s="672" t="s">
        <v>2354</v>
      </c>
      <c r="L210" s="672" t="s">
        <v>9219</v>
      </c>
    </row>
    <row r="211" spans="1:12" x14ac:dyDescent="0.2">
      <c r="A211" s="681" t="s">
        <v>220</v>
      </c>
      <c r="B211" s="681" t="s">
        <v>2351</v>
      </c>
      <c r="C211" s="736" t="s">
        <v>2842</v>
      </c>
      <c r="D211" s="736" t="s">
        <v>2843</v>
      </c>
      <c r="E211" s="683"/>
      <c r="F211" s="685">
        <v>4</v>
      </c>
      <c r="G211" s="737">
        <v>21.59</v>
      </c>
      <c r="H211" s="685">
        <v>86.36</v>
      </c>
      <c r="I211" s="672" t="s">
        <v>9218</v>
      </c>
      <c r="J211" s="672" t="s">
        <v>9219</v>
      </c>
      <c r="K211" s="672" t="s">
        <v>2354</v>
      </c>
      <c r="L211" s="672" t="s">
        <v>9219</v>
      </c>
    </row>
    <row r="212" spans="1:12" x14ac:dyDescent="0.2">
      <c r="A212" s="681" t="s">
        <v>220</v>
      </c>
      <c r="B212" s="681" t="s">
        <v>2351</v>
      </c>
      <c r="C212" s="736" t="s">
        <v>2844</v>
      </c>
      <c r="D212" s="736" t="s">
        <v>2845</v>
      </c>
      <c r="E212" s="683"/>
      <c r="F212" s="685">
        <v>4</v>
      </c>
      <c r="G212" s="737">
        <v>75.203000000000003</v>
      </c>
      <c r="H212" s="685">
        <v>300.81200000000001</v>
      </c>
      <c r="I212" s="672" t="s">
        <v>9218</v>
      </c>
      <c r="J212" s="672" t="s">
        <v>9219</v>
      </c>
      <c r="K212" s="672" t="s">
        <v>2354</v>
      </c>
      <c r="L212" s="672" t="s">
        <v>9219</v>
      </c>
    </row>
    <row r="213" spans="1:12" x14ac:dyDescent="0.2">
      <c r="A213" s="681" t="s">
        <v>220</v>
      </c>
      <c r="B213" s="681" t="s">
        <v>2351</v>
      </c>
      <c r="C213" s="736" t="s">
        <v>2846</v>
      </c>
      <c r="D213" s="736" t="s">
        <v>2847</v>
      </c>
      <c r="E213" s="683"/>
      <c r="F213" s="685">
        <v>2</v>
      </c>
      <c r="G213" s="737">
        <v>42.953400000000002</v>
      </c>
      <c r="H213" s="685">
        <v>85.906800000000004</v>
      </c>
      <c r="I213" s="672" t="s">
        <v>9218</v>
      </c>
      <c r="J213" s="672" t="s">
        <v>9219</v>
      </c>
      <c r="K213" s="672" t="s">
        <v>2354</v>
      </c>
      <c r="L213" s="672" t="s">
        <v>9219</v>
      </c>
    </row>
    <row r="214" spans="1:12" x14ac:dyDescent="0.2">
      <c r="A214" s="681" t="s">
        <v>220</v>
      </c>
      <c r="B214" s="681" t="s">
        <v>2351</v>
      </c>
      <c r="C214" s="736" t="s">
        <v>2848</v>
      </c>
      <c r="D214" s="736" t="s">
        <v>2849</v>
      </c>
      <c r="E214" s="683"/>
      <c r="F214" s="685">
        <v>10</v>
      </c>
      <c r="G214" s="737">
        <v>49.3596</v>
      </c>
      <c r="H214" s="685">
        <v>493.596</v>
      </c>
      <c r="I214" s="672" t="s">
        <v>9218</v>
      </c>
      <c r="J214" s="672" t="s">
        <v>9219</v>
      </c>
      <c r="K214" s="672" t="s">
        <v>2354</v>
      </c>
      <c r="L214" s="672" t="s">
        <v>9219</v>
      </c>
    </row>
    <row r="215" spans="1:12" x14ac:dyDescent="0.2">
      <c r="A215" s="681" t="s">
        <v>220</v>
      </c>
      <c r="B215" s="681" t="s">
        <v>2351</v>
      </c>
      <c r="C215" s="736" t="s">
        <v>2852</v>
      </c>
      <c r="D215" s="736" t="s">
        <v>2853</v>
      </c>
      <c r="E215" s="683"/>
      <c r="F215" s="685">
        <v>8</v>
      </c>
      <c r="G215" s="737">
        <v>55.125</v>
      </c>
      <c r="H215" s="685">
        <v>441</v>
      </c>
      <c r="I215" s="672" t="s">
        <v>9218</v>
      </c>
      <c r="J215" s="672" t="s">
        <v>9219</v>
      </c>
      <c r="K215" s="672" t="s">
        <v>2354</v>
      </c>
      <c r="L215" s="672" t="s">
        <v>9219</v>
      </c>
    </row>
    <row r="216" spans="1:12" x14ac:dyDescent="0.2">
      <c r="A216" s="681" t="s">
        <v>220</v>
      </c>
      <c r="B216" s="681" t="s">
        <v>2351</v>
      </c>
      <c r="C216" s="736" t="s">
        <v>2856</v>
      </c>
      <c r="D216" s="736" t="s">
        <v>2857</v>
      </c>
      <c r="E216" s="683"/>
      <c r="F216" s="685">
        <v>3</v>
      </c>
      <c r="G216" s="737">
        <v>33.125</v>
      </c>
      <c r="H216" s="685">
        <v>99.375</v>
      </c>
      <c r="I216" s="672" t="s">
        <v>9218</v>
      </c>
      <c r="J216" s="672" t="s">
        <v>9219</v>
      </c>
      <c r="K216" s="672" t="s">
        <v>2354</v>
      </c>
      <c r="L216" s="672" t="s">
        <v>9219</v>
      </c>
    </row>
    <row r="217" spans="1:12" x14ac:dyDescent="0.2">
      <c r="A217" s="681" t="s">
        <v>220</v>
      </c>
      <c r="B217" s="681" t="s">
        <v>2351</v>
      </c>
      <c r="C217" s="736" t="s">
        <v>2858</v>
      </c>
      <c r="D217" s="736" t="s">
        <v>2859</v>
      </c>
      <c r="E217" s="683"/>
      <c r="F217" s="685">
        <v>6</v>
      </c>
      <c r="G217" s="737">
        <v>18.982800000000001</v>
      </c>
      <c r="H217" s="685">
        <v>113.89680000000001</v>
      </c>
      <c r="I217" s="672" t="s">
        <v>9218</v>
      </c>
      <c r="J217" s="672" t="s">
        <v>9219</v>
      </c>
      <c r="K217" s="672" t="s">
        <v>2354</v>
      </c>
      <c r="L217" s="672" t="s">
        <v>9219</v>
      </c>
    </row>
    <row r="218" spans="1:12" x14ac:dyDescent="0.2">
      <c r="A218" s="681" t="s">
        <v>220</v>
      </c>
      <c r="B218" s="681" t="s">
        <v>2351</v>
      </c>
      <c r="C218" s="736" t="s">
        <v>2860</v>
      </c>
      <c r="D218" s="736" t="s">
        <v>2861</v>
      </c>
      <c r="E218" s="683"/>
      <c r="F218" s="685">
        <v>2</v>
      </c>
      <c r="G218" s="737">
        <v>39.761099999999999</v>
      </c>
      <c r="H218" s="685">
        <v>79.522199999999998</v>
      </c>
      <c r="I218" s="672" t="s">
        <v>9218</v>
      </c>
      <c r="J218" s="672" t="s">
        <v>9219</v>
      </c>
      <c r="K218" s="672" t="s">
        <v>2354</v>
      </c>
      <c r="L218" s="672" t="s">
        <v>9219</v>
      </c>
    </row>
    <row r="219" spans="1:12" x14ac:dyDescent="0.2">
      <c r="A219" s="681" t="s">
        <v>220</v>
      </c>
      <c r="B219" s="681" t="s">
        <v>2351</v>
      </c>
      <c r="C219" s="736" t="s">
        <v>2874</v>
      </c>
      <c r="D219" s="736" t="s">
        <v>2875</v>
      </c>
      <c r="E219" s="683"/>
      <c r="F219" s="685">
        <v>2</v>
      </c>
      <c r="G219" s="737">
        <v>0</v>
      </c>
      <c r="H219" s="685">
        <v>0</v>
      </c>
      <c r="I219" s="672" t="s">
        <v>9218</v>
      </c>
      <c r="J219" s="672" t="s">
        <v>9219</v>
      </c>
      <c r="K219" s="672" t="s">
        <v>2354</v>
      </c>
      <c r="L219" s="672" t="s">
        <v>9219</v>
      </c>
    </row>
    <row r="220" spans="1:12" x14ac:dyDescent="0.2">
      <c r="A220" s="681" t="s">
        <v>220</v>
      </c>
      <c r="B220" s="681" t="s">
        <v>2351</v>
      </c>
      <c r="C220" s="736" t="s">
        <v>2876</v>
      </c>
      <c r="D220" s="736" t="s">
        <v>2877</v>
      </c>
      <c r="E220" s="683"/>
      <c r="F220" s="685">
        <v>2</v>
      </c>
      <c r="G220" s="737">
        <v>32.4</v>
      </c>
      <c r="H220" s="685">
        <v>64.8</v>
      </c>
      <c r="I220" s="672" t="s">
        <v>9218</v>
      </c>
      <c r="J220" s="672" t="s">
        <v>9219</v>
      </c>
      <c r="K220" s="672" t="s">
        <v>2354</v>
      </c>
      <c r="L220" s="672" t="s">
        <v>9219</v>
      </c>
    </row>
    <row r="221" spans="1:12" x14ac:dyDescent="0.2">
      <c r="A221" s="681" t="s">
        <v>220</v>
      </c>
      <c r="B221" s="681" t="s">
        <v>2351</v>
      </c>
      <c r="C221" s="736" t="s">
        <v>2878</v>
      </c>
      <c r="D221" s="736" t="s">
        <v>2879</v>
      </c>
      <c r="E221" s="683"/>
      <c r="F221" s="685">
        <v>1</v>
      </c>
      <c r="G221" s="737">
        <v>2.2029999999999998</v>
      </c>
      <c r="H221" s="685">
        <v>2.2029999999999998</v>
      </c>
      <c r="I221" s="672" t="s">
        <v>9218</v>
      </c>
      <c r="J221" s="672" t="s">
        <v>9219</v>
      </c>
      <c r="K221" s="672" t="s">
        <v>2354</v>
      </c>
      <c r="L221" s="672" t="s">
        <v>9219</v>
      </c>
    </row>
    <row r="222" spans="1:12" x14ac:dyDescent="0.2">
      <c r="A222" s="681" t="s">
        <v>220</v>
      </c>
      <c r="B222" s="681" t="s">
        <v>2351</v>
      </c>
      <c r="C222" s="736" t="s">
        <v>2880</v>
      </c>
      <c r="D222" s="736" t="s">
        <v>2881</v>
      </c>
      <c r="E222" s="683"/>
      <c r="F222" s="685">
        <v>4</v>
      </c>
      <c r="G222" s="737">
        <v>5.2939999999999996</v>
      </c>
      <c r="H222" s="685">
        <v>21.175999999999998</v>
      </c>
      <c r="I222" s="672" t="s">
        <v>9218</v>
      </c>
      <c r="J222" s="672" t="s">
        <v>9219</v>
      </c>
      <c r="K222" s="672" t="s">
        <v>2354</v>
      </c>
      <c r="L222" s="672" t="s">
        <v>9219</v>
      </c>
    </row>
    <row r="223" spans="1:12" x14ac:dyDescent="0.2">
      <c r="A223" s="681" t="s">
        <v>220</v>
      </c>
      <c r="B223" s="681" t="s">
        <v>2351</v>
      </c>
      <c r="C223" s="736" t="s">
        <v>2882</v>
      </c>
      <c r="D223" s="736" t="s">
        <v>2883</v>
      </c>
      <c r="E223" s="683"/>
      <c r="F223" s="685">
        <v>8</v>
      </c>
      <c r="G223" s="737">
        <v>4.4539999999999997</v>
      </c>
      <c r="H223" s="685">
        <v>35.631999999999998</v>
      </c>
      <c r="I223" s="672" t="s">
        <v>9218</v>
      </c>
      <c r="J223" s="672" t="s">
        <v>9219</v>
      </c>
      <c r="K223" s="672" t="s">
        <v>2354</v>
      </c>
      <c r="L223" s="672" t="s">
        <v>9219</v>
      </c>
    </row>
    <row r="224" spans="1:12" x14ac:dyDescent="0.2">
      <c r="A224" s="681" t="s">
        <v>220</v>
      </c>
      <c r="B224" s="681" t="s">
        <v>2351</v>
      </c>
      <c r="C224" s="736" t="s">
        <v>2888</v>
      </c>
      <c r="D224" s="736" t="s">
        <v>2889</v>
      </c>
      <c r="E224" s="683"/>
      <c r="F224" s="685">
        <v>3</v>
      </c>
      <c r="G224" s="737">
        <v>10.941000000000001</v>
      </c>
      <c r="H224" s="685">
        <v>32.823</v>
      </c>
      <c r="I224" s="672" t="s">
        <v>9218</v>
      </c>
      <c r="J224" s="672" t="s">
        <v>9219</v>
      </c>
      <c r="K224" s="672" t="s">
        <v>2354</v>
      </c>
      <c r="L224" s="672" t="s">
        <v>9219</v>
      </c>
    </row>
    <row r="225" spans="1:12" x14ac:dyDescent="0.2">
      <c r="A225" s="681" t="s">
        <v>220</v>
      </c>
      <c r="B225" s="681" t="s">
        <v>2351</v>
      </c>
      <c r="C225" s="736" t="s">
        <v>2890</v>
      </c>
      <c r="D225" s="736" t="s">
        <v>2891</v>
      </c>
      <c r="E225" s="683"/>
      <c r="F225" s="685">
        <v>2</v>
      </c>
      <c r="G225" s="737">
        <v>11.765000000000001</v>
      </c>
      <c r="H225" s="685">
        <v>23.53</v>
      </c>
      <c r="I225" s="672" t="s">
        <v>9218</v>
      </c>
      <c r="J225" s="672" t="s">
        <v>9219</v>
      </c>
      <c r="K225" s="672" t="s">
        <v>2354</v>
      </c>
      <c r="L225" s="672" t="s">
        <v>9219</v>
      </c>
    </row>
    <row r="226" spans="1:12" x14ac:dyDescent="0.2">
      <c r="A226" s="681" t="s">
        <v>220</v>
      </c>
      <c r="B226" s="681" t="s">
        <v>2351</v>
      </c>
      <c r="C226" s="736" t="s">
        <v>2892</v>
      </c>
      <c r="D226" s="736" t="s">
        <v>2893</v>
      </c>
      <c r="E226" s="683"/>
      <c r="F226" s="685">
        <v>4</v>
      </c>
      <c r="G226" s="737">
        <v>11.382</v>
      </c>
      <c r="H226" s="685">
        <v>45.527999999999999</v>
      </c>
      <c r="I226" s="672" t="s">
        <v>9218</v>
      </c>
      <c r="J226" s="672" t="s">
        <v>9219</v>
      </c>
      <c r="K226" s="672" t="s">
        <v>2354</v>
      </c>
      <c r="L226" s="672" t="s">
        <v>9219</v>
      </c>
    </row>
    <row r="227" spans="1:12" x14ac:dyDescent="0.2">
      <c r="A227" s="681" t="s">
        <v>220</v>
      </c>
      <c r="B227" s="681" t="s">
        <v>2351</v>
      </c>
      <c r="C227" s="736" t="s">
        <v>2894</v>
      </c>
      <c r="D227" s="736" t="s">
        <v>2895</v>
      </c>
      <c r="E227" s="683"/>
      <c r="F227" s="685">
        <v>3</v>
      </c>
      <c r="G227" s="737">
        <v>10.143000000000001</v>
      </c>
      <c r="H227" s="685">
        <v>30.429000000000002</v>
      </c>
      <c r="I227" s="672" t="s">
        <v>9218</v>
      </c>
      <c r="J227" s="672" t="s">
        <v>9219</v>
      </c>
      <c r="K227" s="672" t="s">
        <v>2354</v>
      </c>
      <c r="L227" s="672" t="s">
        <v>9219</v>
      </c>
    </row>
    <row r="228" spans="1:12" x14ac:dyDescent="0.2">
      <c r="A228" s="681" t="s">
        <v>220</v>
      </c>
      <c r="B228" s="681" t="s">
        <v>2351</v>
      </c>
      <c r="C228" s="736" t="s">
        <v>2896</v>
      </c>
      <c r="D228" s="736" t="s">
        <v>2897</v>
      </c>
      <c r="E228" s="683"/>
      <c r="F228" s="685">
        <v>10</v>
      </c>
      <c r="G228" s="737">
        <v>10.143000000000001</v>
      </c>
      <c r="H228" s="685">
        <v>101.43</v>
      </c>
      <c r="I228" s="672" t="s">
        <v>9218</v>
      </c>
      <c r="J228" s="672" t="s">
        <v>9219</v>
      </c>
      <c r="K228" s="672" t="s">
        <v>2354</v>
      </c>
      <c r="L228" s="672" t="s">
        <v>9219</v>
      </c>
    </row>
    <row r="229" spans="1:12" x14ac:dyDescent="0.2">
      <c r="A229" s="681" t="s">
        <v>220</v>
      </c>
      <c r="B229" s="681" t="s">
        <v>2351</v>
      </c>
      <c r="C229" s="736" t="s">
        <v>2898</v>
      </c>
      <c r="D229" s="736" t="s">
        <v>2899</v>
      </c>
      <c r="E229" s="683"/>
      <c r="F229" s="685">
        <v>4</v>
      </c>
      <c r="G229" s="737">
        <v>10.143000000000001</v>
      </c>
      <c r="H229" s="685">
        <v>40.572000000000003</v>
      </c>
      <c r="I229" s="672" t="s">
        <v>9218</v>
      </c>
      <c r="J229" s="672" t="s">
        <v>9219</v>
      </c>
      <c r="K229" s="672" t="s">
        <v>2354</v>
      </c>
      <c r="L229" s="672" t="s">
        <v>9219</v>
      </c>
    </row>
    <row r="230" spans="1:12" x14ac:dyDescent="0.2">
      <c r="A230" s="681" t="s">
        <v>220</v>
      </c>
      <c r="B230" s="681" t="s">
        <v>2351</v>
      </c>
      <c r="C230" s="736" t="s">
        <v>2900</v>
      </c>
      <c r="D230" s="736" t="s">
        <v>2901</v>
      </c>
      <c r="E230" s="683"/>
      <c r="F230" s="685">
        <v>6</v>
      </c>
      <c r="G230" s="737">
        <v>10.143000000000001</v>
      </c>
      <c r="H230" s="685">
        <v>60.858000000000004</v>
      </c>
      <c r="I230" s="672" t="s">
        <v>9218</v>
      </c>
      <c r="J230" s="672" t="s">
        <v>9219</v>
      </c>
      <c r="K230" s="672" t="s">
        <v>2354</v>
      </c>
      <c r="L230" s="672" t="s">
        <v>9219</v>
      </c>
    </row>
    <row r="231" spans="1:12" x14ac:dyDescent="0.2">
      <c r="A231" s="681" t="s">
        <v>220</v>
      </c>
      <c r="B231" s="681" t="s">
        <v>2351</v>
      </c>
      <c r="C231" s="736" t="s">
        <v>2902</v>
      </c>
      <c r="D231" s="736" t="s">
        <v>2903</v>
      </c>
      <c r="E231" s="683"/>
      <c r="F231" s="685">
        <v>6</v>
      </c>
      <c r="G231" s="737">
        <v>5.4503999999999992</v>
      </c>
      <c r="H231" s="685">
        <v>32.702399999999997</v>
      </c>
      <c r="I231" s="672" t="s">
        <v>9218</v>
      </c>
      <c r="J231" s="672" t="s">
        <v>9219</v>
      </c>
      <c r="K231" s="672" t="s">
        <v>2354</v>
      </c>
      <c r="L231" s="672" t="s">
        <v>9219</v>
      </c>
    </row>
    <row r="232" spans="1:12" x14ac:dyDescent="0.2">
      <c r="A232" s="681" t="s">
        <v>220</v>
      </c>
      <c r="B232" s="681" t="s">
        <v>2351</v>
      </c>
      <c r="C232" s="736" t="s">
        <v>2904</v>
      </c>
      <c r="D232" s="736" t="s">
        <v>2905</v>
      </c>
      <c r="E232" s="683"/>
      <c r="F232" s="685">
        <v>8</v>
      </c>
      <c r="G232" s="737">
        <v>14.86</v>
      </c>
      <c r="H232" s="685">
        <v>118.88</v>
      </c>
      <c r="I232" s="672" t="s">
        <v>9218</v>
      </c>
      <c r="J232" s="672" t="s">
        <v>9219</v>
      </c>
      <c r="K232" s="672" t="s">
        <v>2354</v>
      </c>
      <c r="L232" s="672" t="s">
        <v>9219</v>
      </c>
    </row>
    <row r="233" spans="1:12" x14ac:dyDescent="0.2">
      <c r="A233" s="681" t="s">
        <v>220</v>
      </c>
      <c r="B233" s="681" t="s">
        <v>2351</v>
      </c>
      <c r="C233" s="736" t="s">
        <v>2906</v>
      </c>
      <c r="D233" s="736" t="s">
        <v>2907</v>
      </c>
      <c r="E233" s="683"/>
      <c r="F233" s="685">
        <v>2</v>
      </c>
      <c r="G233" s="737">
        <v>7.1639999999999988</v>
      </c>
      <c r="H233" s="685">
        <v>14.327999999999998</v>
      </c>
      <c r="I233" s="672" t="s">
        <v>9218</v>
      </c>
      <c r="J233" s="672" t="s">
        <v>9219</v>
      </c>
      <c r="K233" s="672" t="s">
        <v>2354</v>
      </c>
      <c r="L233" s="672" t="s">
        <v>9219</v>
      </c>
    </row>
    <row r="234" spans="1:12" x14ac:dyDescent="0.2">
      <c r="A234" s="681" t="s">
        <v>220</v>
      </c>
      <c r="B234" s="681" t="s">
        <v>2351</v>
      </c>
      <c r="C234" s="736" t="s">
        <v>2908</v>
      </c>
      <c r="D234" s="736" t="s">
        <v>2909</v>
      </c>
      <c r="E234" s="683"/>
      <c r="F234" s="685">
        <v>9</v>
      </c>
      <c r="G234" s="737">
        <v>10.143000000000001</v>
      </c>
      <c r="H234" s="685">
        <v>91.287000000000006</v>
      </c>
      <c r="I234" s="672" t="s">
        <v>9218</v>
      </c>
      <c r="J234" s="672" t="s">
        <v>9219</v>
      </c>
      <c r="K234" s="672" t="s">
        <v>2354</v>
      </c>
      <c r="L234" s="672" t="s">
        <v>9219</v>
      </c>
    </row>
    <row r="235" spans="1:12" x14ac:dyDescent="0.2">
      <c r="A235" s="681" t="s">
        <v>220</v>
      </c>
      <c r="B235" s="681" t="s">
        <v>2351</v>
      </c>
      <c r="C235" s="736" t="s">
        <v>2910</v>
      </c>
      <c r="D235" s="736" t="s">
        <v>2911</v>
      </c>
      <c r="E235" s="683"/>
      <c r="F235" s="685">
        <v>1</v>
      </c>
      <c r="G235" s="737">
        <v>10.143000000000001</v>
      </c>
      <c r="H235" s="685">
        <v>10.143000000000001</v>
      </c>
      <c r="I235" s="672" t="s">
        <v>9218</v>
      </c>
      <c r="J235" s="672" t="s">
        <v>9219</v>
      </c>
      <c r="K235" s="672" t="s">
        <v>2354</v>
      </c>
      <c r="L235" s="672" t="s">
        <v>9219</v>
      </c>
    </row>
    <row r="236" spans="1:12" x14ac:dyDescent="0.2">
      <c r="A236" s="681" t="s">
        <v>220</v>
      </c>
      <c r="B236" s="681" t="s">
        <v>2351</v>
      </c>
      <c r="C236" s="736" t="s">
        <v>2912</v>
      </c>
      <c r="D236" s="736" t="s">
        <v>2913</v>
      </c>
      <c r="E236" s="683"/>
      <c r="F236" s="685">
        <v>10</v>
      </c>
      <c r="G236" s="737">
        <v>10.143000000000001</v>
      </c>
      <c r="H236" s="685">
        <v>101.43</v>
      </c>
      <c r="I236" s="672" t="s">
        <v>9218</v>
      </c>
      <c r="J236" s="672" t="s">
        <v>9219</v>
      </c>
      <c r="K236" s="672" t="s">
        <v>2354</v>
      </c>
      <c r="L236" s="672" t="s">
        <v>9219</v>
      </c>
    </row>
    <row r="237" spans="1:12" x14ac:dyDescent="0.2">
      <c r="A237" s="681" t="s">
        <v>220</v>
      </c>
      <c r="B237" s="681" t="s">
        <v>2351</v>
      </c>
      <c r="C237" s="736" t="s">
        <v>2914</v>
      </c>
      <c r="D237" s="736" t="s">
        <v>2915</v>
      </c>
      <c r="E237" s="683"/>
      <c r="F237" s="685">
        <v>8</v>
      </c>
      <c r="G237" s="737">
        <v>10.143000000000001</v>
      </c>
      <c r="H237" s="685">
        <v>81.144000000000005</v>
      </c>
      <c r="I237" s="672" t="s">
        <v>9218</v>
      </c>
      <c r="J237" s="672" t="s">
        <v>9219</v>
      </c>
      <c r="K237" s="672" t="s">
        <v>2354</v>
      </c>
      <c r="L237" s="672" t="s">
        <v>9219</v>
      </c>
    </row>
    <row r="238" spans="1:12" x14ac:dyDescent="0.2">
      <c r="A238" s="681" t="s">
        <v>220</v>
      </c>
      <c r="B238" s="681" t="s">
        <v>2351</v>
      </c>
      <c r="C238" s="736" t="s">
        <v>2916</v>
      </c>
      <c r="D238" s="736" t="s">
        <v>2917</v>
      </c>
      <c r="E238" s="683"/>
      <c r="F238" s="685">
        <v>2</v>
      </c>
      <c r="G238" s="737">
        <v>12.473999999999998</v>
      </c>
      <c r="H238" s="685">
        <v>24.947999999999997</v>
      </c>
      <c r="I238" s="672" t="s">
        <v>9218</v>
      </c>
      <c r="J238" s="672" t="s">
        <v>9219</v>
      </c>
      <c r="K238" s="672" t="s">
        <v>2354</v>
      </c>
      <c r="L238" s="672" t="s">
        <v>9219</v>
      </c>
    </row>
    <row r="239" spans="1:12" x14ac:dyDescent="0.2">
      <c r="A239" s="681" t="s">
        <v>220</v>
      </c>
      <c r="B239" s="681" t="s">
        <v>2351</v>
      </c>
      <c r="C239" s="736" t="s">
        <v>2918</v>
      </c>
      <c r="D239" s="736" t="s">
        <v>2919</v>
      </c>
      <c r="E239" s="683"/>
      <c r="F239" s="685">
        <v>5</v>
      </c>
      <c r="G239" s="737">
        <v>10.143000000000001</v>
      </c>
      <c r="H239" s="685">
        <v>50.715000000000003</v>
      </c>
      <c r="I239" s="672" t="s">
        <v>9218</v>
      </c>
      <c r="J239" s="672" t="s">
        <v>9219</v>
      </c>
      <c r="K239" s="672" t="s">
        <v>2354</v>
      </c>
      <c r="L239" s="672" t="s">
        <v>9219</v>
      </c>
    </row>
    <row r="240" spans="1:12" x14ac:dyDescent="0.2">
      <c r="A240" s="681" t="s">
        <v>220</v>
      </c>
      <c r="B240" s="681" t="s">
        <v>2351</v>
      </c>
      <c r="C240" s="736" t="s">
        <v>2920</v>
      </c>
      <c r="D240" s="736" t="s">
        <v>2921</v>
      </c>
      <c r="E240" s="683"/>
      <c r="F240" s="685">
        <v>3</v>
      </c>
      <c r="G240" s="737">
        <v>10.143000000000001</v>
      </c>
      <c r="H240" s="685">
        <v>30.429000000000002</v>
      </c>
      <c r="I240" s="672" t="s">
        <v>9218</v>
      </c>
      <c r="J240" s="672" t="s">
        <v>9219</v>
      </c>
      <c r="K240" s="672" t="s">
        <v>2354</v>
      </c>
      <c r="L240" s="672" t="s">
        <v>9219</v>
      </c>
    </row>
    <row r="241" spans="1:12" x14ac:dyDescent="0.2">
      <c r="A241" s="681" t="s">
        <v>220</v>
      </c>
      <c r="B241" s="681" t="s">
        <v>2351</v>
      </c>
      <c r="C241" s="736" t="s">
        <v>2922</v>
      </c>
      <c r="D241" s="736" t="s">
        <v>2923</v>
      </c>
      <c r="E241" s="683"/>
      <c r="F241" s="685">
        <v>9</v>
      </c>
      <c r="G241" s="737">
        <v>10.143000000000001</v>
      </c>
      <c r="H241" s="685">
        <v>91.287000000000006</v>
      </c>
      <c r="I241" s="672" t="s">
        <v>9218</v>
      </c>
      <c r="J241" s="672" t="s">
        <v>9219</v>
      </c>
      <c r="K241" s="672" t="s">
        <v>2354</v>
      </c>
      <c r="L241" s="672" t="s">
        <v>9219</v>
      </c>
    </row>
    <row r="242" spans="1:12" x14ac:dyDescent="0.2">
      <c r="A242" s="681" t="s">
        <v>220</v>
      </c>
      <c r="B242" s="681" t="s">
        <v>2351</v>
      </c>
      <c r="C242" s="736" t="s">
        <v>2924</v>
      </c>
      <c r="D242" s="736" t="s">
        <v>2925</v>
      </c>
      <c r="E242" s="683"/>
      <c r="F242" s="685">
        <v>6</v>
      </c>
      <c r="G242" s="737">
        <v>10.143000000000001</v>
      </c>
      <c r="H242" s="685">
        <v>60.858000000000004</v>
      </c>
      <c r="I242" s="672" t="s">
        <v>9218</v>
      </c>
      <c r="J242" s="672" t="s">
        <v>9219</v>
      </c>
      <c r="K242" s="672" t="s">
        <v>2354</v>
      </c>
      <c r="L242" s="672" t="s">
        <v>9219</v>
      </c>
    </row>
    <row r="243" spans="1:12" x14ac:dyDescent="0.2">
      <c r="A243" s="681" t="s">
        <v>220</v>
      </c>
      <c r="B243" s="681" t="s">
        <v>2351</v>
      </c>
      <c r="C243" s="736" t="s">
        <v>2926</v>
      </c>
      <c r="D243" s="736" t="s">
        <v>2927</v>
      </c>
      <c r="E243" s="683"/>
      <c r="F243" s="685">
        <v>2</v>
      </c>
      <c r="G243" s="737">
        <v>7.9001999999999999</v>
      </c>
      <c r="H243" s="685">
        <v>15.8004</v>
      </c>
      <c r="I243" s="672" t="s">
        <v>9218</v>
      </c>
      <c r="J243" s="672" t="s">
        <v>9219</v>
      </c>
      <c r="K243" s="672" t="s">
        <v>2354</v>
      </c>
      <c r="L243" s="672" t="s">
        <v>9219</v>
      </c>
    </row>
    <row r="244" spans="1:12" x14ac:dyDescent="0.2">
      <c r="A244" s="681" t="s">
        <v>220</v>
      </c>
      <c r="B244" s="681" t="s">
        <v>2351</v>
      </c>
      <c r="C244" s="736" t="s">
        <v>2928</v>
      </c>
      <c r="D244" s="736" t="s">
        <v>2929</v>
      </c>
      <c r="E244" s="683"/>
      <c r="F244" s="685">
        <v>1</v>
      </c>
      <c r="G244" s="737">
        <v>10.143000000000001</v>
      </c>
      <c r="H244" s="685">
        <v>10.143000000000001</v>
      </c>
      <c r="I244" s="672" t="s">
        <v>9218</v>
      </c>
      <c r="J244" s="672" t="s">
        <v>9219</v>
      </c>
      <c r="K244" s="672" t="s">
        <v>2354</v>
      </c>
      <c r="L244" s="672" t="s">
        <v>9219</v>
      </c>
    </row>
    <row r="245" spans="1:12" x14ac:dyDescent="0.2">
      <c r="A245" s="681" t="s">
        <v>220</v>
      </c>
      <c r="B245" s="681" t="s">
        <v>2351</v>
      </c>
      <c r="C245" s="736" t="s">
        <v>2932</v>
      </c>
      <c r="D245" s="736" t="s">
        <v>2933</v>
      </c>
      <c r="E245" s="683"/>
      <c r="F245" s="685">
        <v>6</v>
      </c>
      <c r="G245" s="737">
        <v>7.1459999999999999</v>
      </c>
      <c r="H245" s="685">
        <v>42.875999999999998</v>
      </c>
      <c r="I245" s="672" t="s">
        <v>9218</v>
      </c>
      <c r="J245" s="672" t="s">
        <v>9219</v>
      </c>
      <c r="K245" s="672" t="s">
        <v>2354</v>
      </c>
      <c r="L245" s="672" t="s">
        <v>9219</v>
      </c>
    </row>
    <row r="246" spans="1:12" x14ac:dyDescent="0.2">
      <c r="A246" s="681" t="s">
        <v>220</v>
      </c>
      <c r="B246" s="681" t="s">
        <v>2351</v>
      </c>
      <c r="C246" s="736" t="s">
        <v>2934</v>
      </c>
      <c r="D246" s="736" t="s">
        <v>2935</v>
      </c>
      <c r="E246" s="683"/>
      <c r="F246" s="685">
        <v>12</v>
      </c>
      <c r="G246" s="737">
        <v>38.568600000000004</v>
      </c>
      <c r="H246" s="685">
        <v>462.82320000000004</v>
      </c>
      <c r="I246" s="672" t="s">
        <v>9218</v>
      </c>
      <c r="J246" s="672" t="s">
        <v>9219</v>
      </c>
      <c r="K246" s="672" t="s">
        <v>2354</v>
      </c>
      <c r="L246" s="672" t="s">
        <v>9219</v>
      </c>
    </row>
    <row r="247" spans="1:12" x14ac:dyDescent="0.2">
      <c r="A247" s="681" t="s">
        <v>220</v>
      </c>
      <c r="B247" s="681" t="s">
        <v>2351</v>
      </c>
      <c r="C247" s="736" t="s">
        <v>2936</v>
      </c>
      <c r="D247" s="736" t="s">
        <v>2937</v>
      </c>
      <c r="E247" s="683"/>
      <c r="F247" s="685">
        <v>5</v>
      </c>
      <c r="G247" s="737">
        <v>10.143000000000001</v>
      </c>
      <c r="H247" s="685">
        <v>50.715000000000003</v>
      </c>
      <c r="I247" s="672" t="s">
        <v>9218</v>
      </c>
      <c r="J247" s="672" t="s">
        <v>9219</v>
      </c>
      <c r="K247" s="672" t="s">
        <v>2354</v>
      </c>
      <c r="L247" s="672" t="s">
        <v>9219</v>
      </c>
    </row>
    <row r="248" spans="1:12" x14ac:dyDescent="0.2">
      <c r="A248" s="681" t="s">
        <v>220</v>
      </c>
      <c r="B248" s="681" t="s">
        <v>2351</v>
      </c>
      <c r="C248" s="736" t="s">
        <v>2938</v>
      </c>
      <c r="D248" s="736" t="s">
        <v>2939</v>
      </c>
      <c r="E248" s="683"/>
      <c r="F248" s="685">
        <v>3</v>
      </c>
      <c r="G248" s="737">
        <v>1.9431</v>
      </c>
      <c r="H248" s="685">
        <v>5.8292999999999999</v>
      </c>
      <c r="I248" s="672" t="s">
        <v>9218</v>
      </c>
      <c r="J248" s="672" t="s">
        <v>9219</v>
      </c>
      <c r="K248" s="672" t="s">
        <v>2354</v>
      </c>
      <c r="L248" s="672" t="s">
        <v>9219</v>
      </c>
    </row>
    <row r="249" spans="1:12" x14ac:dyDescent="0.2">
      <c r="A249" s="681" t="s">
        <v>220</v>
      </c>
      <c r="B249" s="681" t="s">
        <v>2351</v>
      </c>
      <c r="C249" s="736" t="s">
        <v>2940</v>
      </c>
      <c r="D249" s="736" t="s">
        <v>2941</v>
      </c>
      <c r="E249" s="683"/>
      <c r="F249" s="685">
        <v>3</v>
      </c>
      <c r="G249" s="737">
        <v>10.143000000000001</v>
      </c>
      <c r="H249" s="685">
        <v>30.429000000000002</v>
      </c>
      <c r="I249" s="672" t="s">
        <v>9218</v>
      </c>
      <c r="J249" s="672" t="s">
        <v>9219</v>
      </c>
      <c r="K249" s="672" t="s">
        <v>2354</v>
      </c>
      <c r="L249" s="672" t="s">
        <v>9219</v>
      </c>
    </row>
    <row r="250" spans="1:12" x14ac:dyDescent="0.2">
      <c r="A250" s="681" t="s">
        <v>220</v>
      </c>
      <c r="B250" s="681" t="s">
        <v>2351</v>
      </c>
      <c r="C250" s="736" t="s">
        <v>2946</v>
      </c>
      <c r="D250" s="736" t="s">
        <v>2947</v>
      </c>
      <c r="E250" s="683"/>
      <c r="F250" s="685">
        <v>9</v>
      </c>
      <c r="G250" s="737">
        <v>10.6488</v>
      </c>
      <c r="H250" s="685">
        <v>95.839199999999991</v>
      </c>
      <c r="I250" s="672" t="s">
        <v>9218</v>
      </c>
      <c r="J250" s="672" t="s">
        <v>9219</v>
      </c>
      <c r="K250" s="672" t="s">
        <v>2354</v>
      </c>
      <c r="L250" s="672" t="s">
        <v>9219</v>
      </c>
    </row>
    <row r="251" spans="1:12" x14ac:dyDescent="0.2">
      <c r="A251" s="681" t="s">
        <v>220</v>
      </c>
      <c r="B251" s="681" t="s">
        <v>2351</v>
      </c>
      <c r="C251" s="736" t="s">
        <v>2956</v>
      </c>
      <c r="D251" s="736" t="s">
        <v>2957</v>
      </c>
      <c r="E251" s="683"/>
      <c r="F251" s="685">
        <v>4</v>
      </c>
      <c r="G251" s="737">
        <v>32.926000000000002</v>
      </c>
      <c r="H251" s="685">
        <v>131.70400000000001</v>
      </c>
      <c r="I251" s="672" t="s">
        <v>9218</v>
      </c>
      <c r="J251" s="672" t="s">
        <v>9219</v>
      </c>
      <c r="K251" s="672" t="s">
        <v>2354</v>
      </c>
      <c r="L251" s="672" t="s">
        <v>9219</v>
      </c>
    </row>
    <row r="252" spans="1:12" x14ac:dyDescent="0.2">
      <c r="A252" s="681" t="s">
        <v>220</v>
      </c>
      <c r="B252" s="681" t="s">
        <v>2351</v>
      </c>
      <c r="C252" s="736" t="s">
        <v>2962</v>
      </c>
      <c r="D252" s="736" t="s">
        <v>2963</v>
      </c>
      <c r="E252" s="683"/>
      <c r="F252" s="685">
        <v>2</v>
      </c>
      <c r="G252" s="737">
        <v>22.878</v>
      </c>
      <c r="H252" s="685">
        <v>45.756</v>
      </c>
      <c r="I252" s="672" t="s">
        <v>9218</v>
      </c>
      <c r="J252" s="672" t="s">
        <v>9219</v>
      </c>
      <c r="K252" s="672" t="s">
        <v>2354</v>
      </c>
      <c r="L252" s="672" t="s">
        <v>9219</v>
      </c>
    </row>
    <row r="253" spans="1:12" x14ac:dyDescent="0.2">
      <c r="A253" s="681" t="s">
        <v>220</v>
      </c>
      <c r="B253" s="681" t="s">
        <v>2351</v>
      </c>
      <c r="C253" s="736" t="s">
        <v>2964</v>
      </c>
      <c r="D253" s="736" t="s">
        <v>2965</v>
      </c>
      <c r="E253" s="683"/>
      <c r="F253" s="685">
        <v>7</v>
      </c>
      <c r="G253" s="737">
        <v>10.89</v>
      </c>
      <c r="H253" s="685">
        <v>76.23</v>
      </c>
      <c r="I253" s="672" t="s">
        <v>9218</v>
      </c>
      <c r="J253" s="672" t="s">
        <v>9219</v>
      </c>
      <c r="K253" s="672" t="s">
        <v>2354</v>
      </c>
      <c r="L253" s="672" t="s">
        <v>9219</v>
      </c>
    </row>
    <row r="254" spans="1:12" x14ac:dyDescent="0.2">
      <c r="A254" s="681" t="s">
        <v>220</v>
      </c>
      <c r="B254" s="681" t="s">
        <v>2351</v>
      </c>
      <c r="C254" s="736" t="s">
        <v>2966</v>
      </c>
      <c r="D254" s="736" t="s">
        <v>2967</v>
      </c>
      <c r="E254" s="683"/>
      <c r="F254" s="685">
        <v>6</v>
      </c>
      <c r="G254" s="737">
        <v>20.930399999999999</v>
      </c>
      <c r="H254" s="685">
        <v>125.58239999999999</v>
      </c>
      <c r="I254" s="672" t="s">
        <v>9218</v>
      </c>
      <c r="J254" s="672" t="s">
        <v>9219</v>
      </c>
      <c r="K254" s="672" t="s">
        <v>2354</v>
      </c>
      <c r="L254" s="672" t="s">
        <v>9219</v>
      </c>
    </row>
    <row r="255" spans="1:12" x14ac:dyDescent="0.2">
      <c r="A255" s="681" t="s">
        <v>220</v>
      </c>
      <c r="B255" s="681" t="s">
        <v>2351</v>
      </c>
      <c r="C255" s="736" t="s">
        <v>2968</v>
      </c>
      <c r="D255" s="736" t="s">
        <v>2969</v>
      </c>
      <c r="E255" s="683"/>
      <c r="F255" s="685">
        <v>2</v>
      </c>
      <c r="G255" s="737">
        <v>13.855049999999999</v>
      </c>
      <c r="H255" s="685">
        <v>27.710099999999997</v>
      </c>
      <c r="I255" s="672" t="s">
        <v>9218</v>
      </c>
      <c r="J255" s="672" t="s">
        <v>9219</v>
      </c>
      <c r="K255" s="672" t="s">
        <v>2354</v>
      </c>
      <c r="L255" s="672" t="s">
        <v>9219</v>
      </c>
    </row>
    <row r="256" spans="1:12" x14ac:dyDescent="0.2">
      <c r="A256" s="681" t="s">
        <v>220</v>
      </c>
      <c r="B256" s="681" t="s">
        <v>2351</v>
      </c>
      <c r="C256" s="736" t="s">
        <v>2970</v>
      </c>
      <c r="D256" s="736" t="s">
        <v>2971</v>
      </c>
      <c r="E256" s="683"/>
      <c r="F256" s="685">
        <v>10</v>
      </c>
      <c r="G256" s="737">
        <v>14.31</v>
      </c>
      <c r="H256" s="685">
        <v>143.1</v>
      </c>
      <c r="I256" s="672" t="s">
        <v>9218</v>
      </c>
      <c r="J256" s="672" t="s">
        <v>9219</v>
      </c>
      <c r="K256" s="672" t="s">
        <v>2354</v>
      </c>
      <c r="L256" s="672" t="s">
        <v>9219</v>
      </c>
    </row>
    <row r="257" spans="1:12" x14ac:dyDescent="0.2">
      <c r="A257" s="681" t="s">
        <v>220</v>
      </c>
      <c r="B257" s="681" t="s">
        <v>2351</v>
      </c>
      <c r="C257" s="736" t="s">
        <v>2972</v>
      </c>
      <c r="D257" s="736" t="s">
        <v>2973</v>
      </c>
      <c r="E257" s="683"/>
      <c r="F257" s="685">
        <v>1</v>
      </c>
      <c r="G257" s="737">
        <v>0</v>
      </c>
      <c r="H257" s="685">
        <v>0</v>
      </c>
      <c r="I257" s="672" t="s">
        <v>9218</v>
      </c>
      <c r="J257" s="672" t="s">
        <v>9219</v>
      </c>
      <c r="K257" s="672" t="s">
        <v>2354</v>
      </c>
      <c r="L257" s="672" t="s">
        <v>9219</v>
      </c>
    </row>
    <row r="258" spans="1:12" x14ac:dyDescent="0.2">
      <c r="A258" s="681" t="s">
        <v>220</v>
      </c>
      <c r="B258" s="681" t="s">
        <v>2351</v>
      </c>
      <c r="C258" s="736" t="s">
        <v>2976</v>
      </c>
      <c r="D258" s="736" t="s">
        <v>2977</v>
      </c>
      <c r="E258" s="683"/>
      <c r="F258" s="685">
        <v>1</v>
      </c>
      <c r="G258" s="737">
        <v>115</v>
      </c>
      <c r="H258" s="685">
        <v>115</v>
      </c>
      <c r="I258" s="672" t="s">
        <v>9218</v>
      </c>
      <c r="J258" s="672" t="s">
        <v>9219</v>
      </c>
      <c r="K258" s="672" t="s">
        <v>2354</v>
      </c>
      <c r="L258" s="672" t="s">
        <v>9219</v>
      </c>
    </row>
    <row r="259" spans="1:12" x14ac:dyDescent="0.2">
      <c r="A259" s="681" t="s">
        <v>220</v>
      </c>
      <c r="B259" s="681" t="s">
        <v>2351</v>
      </c>
      <c r="C259" s="736" t="s">
        <v>2978</v>
      </c>
      <c r="D259" s="736" t="s">
        <v>2979</v>
      </c>
      <c r="E259" s="683"/>
      <c r="F259" s="685">
        <v>2</v>
      </c>
      <c r="G259" s="737">
        <v>0</v>
      </c>
      <c r="H259" s="685">
        <v>0</v>
      </c>
      <c r="I259" s="672" t="s">
        <v>9218</v>
      </c>
      <c r="J259" s="672" t="s">
        <v>9219</v>
      </c>
      <c r="K259" s="672" t="s">
        <v>2354</v>
      </c>
      <c r="L259" s="672" t="s">
        <v>9219</v>
      </c>
    </row>
    <row r="260" spans="1:12" x14ac:dyDescent="0.2">
      <c r="A260" s="681" t="s">
        <v>220</v>
      </c>
      <c r="B260" s="681" t="s">
        <v>2351</v>
      </c>
      <c r="C260" s="736" t="s">
        <v>2980</v>
      </c>
      <c r="D260" s="736" t="s">
        <v>2981</v>
      </c>
      <c r="E260" s="683"/>
      <c r="F260" s="685">
        <v>17</v>
      </c>
      <c r="G260" s="737">
        <v>0</v>
      </c>
      <c r="H260" s="685">
        <v>0</v>
      </c>
      <c r="I260" s="672" t="s">
        <v>9218</v>
      </c>
      <c r="J260" s="672" t="s">
        <v>9219</v>
      </c>
      <c r="K260" s="672" t="s">
        <v>2354</v>
      </c>
      <c r="L260" s="672" t="s">
        <v>9219</v>
      </c>
    </row>
    <row r="261" spans="1:12" x14ac:dyDescent="0.2">
      <c r="A261" s="681" t="s">
        <v>220</v>
      </c>
      <c r="B261" s="681" t="s">
        <v>2351</v>
      </c>
      <c r="C261" s="736" t="s">
        <v>2984</v>
      </c>
      <c r="D261" s="736" t="s">
        <v>2985</v>
      </c>
      <c r="E261" s="683"/>
      <c r="F261" s="685">
        <v>6</v>
      </c>
      <c r="G261" s="737">
        <v>14.706</v>
      </c>
      <c r="H261" s="685">
        <v>88.23599999999999</v>
      </c>
      <c r="I261" s="672" t="s">
        <v>9218</v>
      </c>
      <c r="J261" s="672" t="s">
        <v>9219</v>
      </c>
      <c r="K261" s="672" t="s">
        <v>2354</v>
      </c>
      <c r="L261" s="672" t="s">
        <v>9219</v>
      </c>
    </row>
    <row r="262" spans="1:12" x14ac:dyDescent="0.2">
      <c r="A262" s="681" t="s">
        <v>220</v>
      </c>
      <c r="B262" s="681" t="s">
        <v>2351</v>
      </c>
      <c r="C262" s="736" t="s">
        <v>2986</v>
      </c>
      <c r="D262" s="736" t="s">
        <v>2987</v>
      </c>
      <c r="E262" s="683"/>
      <c r="F262" s="685">
        <v>1</v>
      </c>
      <c r="G262" s="737">
        <v>487.8</v>
      </c>
      <c r="H262" s="685">
        <v>487.8</v>
      </c>
      <c r="I262" s="672" t="s">
        <v>9218</v>
      </c>
      <c r="J262" s="672" t="s">
        <v>9219</v>
      </c>
      <c r="K262" s="672" t="s">
        <v>2354</v>
      </c>
      <c r="L262" s="672" t="s">
        <v>9219</v>
      </c>
    </row>
    <row r="263" spans="1:12" x14ac:dyDescent="0.2">
      <c r="A263" s="681" t="s">
        <v>220</v>
      </c>
      <c r="B263" s="681" t="s">
        <v>2351</v>
      </c>
      <c r="C263" s="736" t="s">
        <v>2988</v>
      </c>
      <c r="D263" s="736" t="s">
        <v>2989</v>
      </c>
      <c r="E263" s="683"/>
      <c r="F263" s="685">
        <v>1</v>
      </c>
      <c r="G263" s="737">
        <v>316.012</v>
      </c>
      <c r="H263" s="685">
        <v>316.012</v>
      </c>
      <c r="I263" s="672" t="s">
        <v>9218</v>
      </c>
      <c r="J263" s="672" t="s">
        <v>9219</v>
      </c>
      <c r="K263" s="672" t="s">
        <v>2354</v>
      </c>
      <c r="L263" s="672" t="s">
        <v>9219</v>
      </c>
    </row>
    <row r="264" spans="1:12" x14ac:dyDescent="0.2">
      <c r="A264" s="681" t="s">
        <v>220</v>
      </c>
      <c r="B264" s="681" t="s">
        <v>2351</v>
      </c>
      <c r="C264" s="736" t="s">
        <v>2990</v>
      </c>
      <c r="D264" s="736" t="s">
        <v>2991</v>
      </c>
      <c r="E264" s="683"/>
      <c r="F264" s="685">
        <v>1</v>
      </c>
      <c r="G264" s="737">
        <v>203.67</v>
      </c>
      <c r="H264" s="685">
        <v>203.67</v>
      </c>
      <c r="I264" s="672" t="s">
        <v>9218</v>
      </c>
      <c r="J264" s="672" t="s">
        <v>9219</v>
      </c>
      <c r="K264" s="672" t="s">
        <v>2354</v>
      </c>
      <c r="L264" s="672" t="s">
        <v>9219</v>
      </c>
    </row>
    <row r="265" spans="1:12" x14ac:dyDescent="0.2">
      <c r="A265" s="681" t="s">
        <v>220</v>
      </c>
      <c r="B265" s="681" t="s">
        <v>2351</v>
      </c>
      <c r="C265" s="736" t="s">
        <v>2992</v>
      </c>
      <c r="D265" s="736" t="s">
        <v>2993</v>
      </c>
      <c r="E265" s="683"/>
      <c r="F265" s="685">
        <v>1</v>
      </c>
      <c r="G265" s="737">
        <v>254.67189999999999</v>
      </c>
      <c r="H265" s="685">
        <v>254.67189999999999</v>
      </c>
      <c r="I265" s="672" t="s">
        <v>9218</v>
      </c>
      <c r="J265" s="672" t="s">
        <v>9219</v>
      </c>
      <c r="K265" s="672" t="s">
        <v>2354</v>
      </c>
      <c r="L265" s="672" t="s">
        <v>9219</v>
      </c>
    </row>
    <row r="266" spans="1:12" x14ac:dyDescent="0.2">
      <c r="A266" s="681" t="s">
        <v>220</v>
      </c>
      <c r="B266" s="681" t="s">
        <v>2351</v>
      </c>
      <c r="C266" s="736" t="s">
        <v>2994</v>
      </c>
      <c r="D266" s="736" t="s">
        <v>2995</v>
      </c>
      <c r="E266" s="739" t="s">
        <v>9528</v>
      </c>
      <c r="F266" s="685">
        <v>8</v>
      </c>
      <c r="G266" s="737">
        <v>79.137</v>
      </c>
      <c r="H266" s="685">
        <v>633.096</v>
      </c>
      <c r="I266" s="672" t="s">
        <v>9218</v>
      </c>
      <c r="J266" s="672" t="s">
        <v>9219</v>
      </c>
      <c r="K266" s="672" t="s">
        <v>2354</v>
      </c>
      <c r="L266" s="672" t="s">
        <v>9219</v>
      </c>
    </row>
    <row r="267" spans="1:12" x14ac:dyDescent="0.2">
      <c r="A267" s="681" t="s">
        <v>220</v>
      </c>
      <c r="B267" s="681" t="s">
        <v>2351</v>
      </c>
      <c r="C267" s="736" t="s">
        <v>2996</v>
      </c>
      <c r="D267" s="736" t="s">
        <v>2997</v>
      </c>
      <c r="E267" s="683"/>
      <c r="F267" s="685">
        <v>3</v>
      </c>
      <c r="G267" s="737">
        <v>9.4616999999999987</v>
      </c>
      <c r="H267" s="685">
        <v>28.385099999999994</v>
      </c>
      <c r="I267" s="672" t="s">
        <v>9218</v>
      </c>
      <c r="J267" s="672" t="s">
        <v>9219</v>
      </c>
      <c r="K267" s="672" t="s">
        <v>2354</v>
      </c>
      <c r="L267" s="672" t="s">
        <v>9219</v>
      </c>
    </row>
    <row r="268" spans="1:12" x14ac:dyDescent="0.2">
      <c r="A268" s="681" t="s">
        <v>220</v>
      </c>
      <c r="B268" s="681" t="s">
        <v>2351</v>
      </c>
      <c r="C268" s="736" t="s">
        <v>3000</v>
      </c>
      <c r="D268" s="736" t="s">
        <v>3001</v>
      </c>
      <c r="E268" s="683"/>
      <c r="F268" s="685">
        <v>1</v>
      </c>
      <c r="G268" s="737">
        <v>96.079499999999996</v>
      </c>
      <c r="H268" s="685">
        <v>96.079499999999996</v>
      </c>
      <c r="I268" s="672" t="s">
        <v>9218</v>
      </c>
      <c r="J268" s="672" t="s">
        <v>9219</v>
      </c>
      <c r="K268" s="672" t="s">
        <v>2354</v>
      </c>
      <c r="L268" s="672" t="s">
        <v>9219</v>
      </c>
    </row>
    <row r="269" spans="1:12" x14ac:dyDescent="0.2">
      <c r="A269" s="681" t="s">
        <v>220</v>
      </c>
      <c r="B269" s="681" t="s">
        <v>2351</v>
      </c>
      <c r="C269" s="736" t="s">
        <v>3002</v>
      </c>
      <c r="D269" s="736" t="s">
        <v>3003</v>
      </c>
      <c r="E269" s="683"/>
      <c r="F269" s="685">
        <v>10</v>
      </c>
      <c r="G269" s="737">
        <v>47.56</v>
      </c>
      <c r="H269" s="685">
        <v>475.6</v>
      </c>
      <c r="I269" s="672" t="s">
        <v>9218</v>
      </c>
      <c r="J269" s="672" t="s">
        <v>9219</v>
      </c>
      <c r="K269" s="672" t="s">
        <v>2354</v>
      </c>
      <c r="L269" s="672" t="s">
        <v>9219</v>
      </c>
    </row>
    <row r="270" spans="1:12" x14ac:dyDescent="0.2">
      <c r="A270" s="681" t="s">
        <v>220</v>
      </c>
      <c r="B270" s="681" t="s">
        <v>2351</v>
      </c>
      <c r="C270" s="736" t="s">
        <v>3006</v>
      </c>
      <c r="D270" s="736" t="s">
        <v>3007</v>
      </c>
      <c r="E270" s="683"/>
      <c r="F270" s="685">
        <v>12</v>
      </c>
      <c r="G270" s="737">
        <v>7.92</v>
      </c>
      <c r="H270" s="685">
        <v>95.039999999999992</v>
      </c>
      <c r="I270" s="672" t="s">
        <v>9218</v>
      </c>
      <c r="J270" s="672" t="s">
        <v>9219</v>
      </c>
      <c r="K270" s="672" t="s">
        <v>2354</v>
      </c>
      <c r="L270" s="672" t="s">
        <v>9219</v>
      </c>
    </row>
    <row r="271" spans="1:12" x14ac:dyDescent="0.2">
      <c r="A271" s="681" t="s">
        <v>220</v>
      </c>
      <c r="B271" s="681" t="s">
        <v>2351</v>
      </c>
      <c r="C271" s="736" t="s">
        <v>3008</v>
      </c>
      <c r="D271" s="736" t="s">
        <v>3009</v>
      </c>
      <c r="E271" s="683"/>
      <c r="F271" s="685">
        <v>15</v>
      </c>
      <c r="G271" s="737">
        <v>12.2445</v>
      </c>
      <c r="H271" s="685">
        <v>183.66750000000002</v>
      </c>
      <c r="I271" s="672" t="s">
        <v>9218</v>
      </c>
      <c r="J271" s="672" t="s">
        <v>9219</v>
      </c>
      <c r="K271" s="672" t="s">
        <v>2354</v>
      </c>
      <c r="L271" s="672" t="s">
        <v>9219</v>
      </c>
    </row>
    <row r="272" spans="1:12" x14ac:dyDescent="0.2">
      <c r="A272" s="681" t="s">
        <v>220</v>
      </c>
      <c r="B272" s="681" t="s">
        <v>2351</v>
      </c>
      <c r="C272" s="736" t="s">
        <v>3012</v>
      </c>
      <c r="D272" s="736" t="s">
        <v>3013</v>
      </c>
      <c r="E272" s="683"/>
      <c r="F272" s="685">
        <v>5</v>
      </c>
      <c r="G272" s="737">
        <v>14.4</v>
      </c>
      <c r="H272" s="685">
        <v>72</v>
      </c>
      <c r="I272" s="672" t="s">
        <v>9218</v>
      </c>
      <c r="J272" s="672" t="s">
        <v>9219</v>
      </c>
      <c r="K272" s="672" t="s">
        <v>2354</v>
      </c>
      <c r="L272" s="672" t="s">
        <v>9219</v>
      </c>
    </row>
    <row r="273" spans="1:12" x14ac:dyDescent="0.2">
      <c r="A273" s="681" t="s">
        <v>220</v>
      </c>
      <c r="B273" s="681" t="s">
        <v>2351</v>
      </c>
      <c r="C273" s="736" t="s">
        <v>3014</v>
      </c>
      <c r="D273" s="736" t="s">
        <v>3015</v>
      </c>
      <c r="E273" s="683"/>
      <c r="F273" s="685">
        <v>22</v>
      </c>
      <c r="G273" s="737">
        <v>8.1</v>
      </c>
      <c r="H273" s="685">
        <v>178.2</v>
      </c>
      <c r="I273" s="672" t="s">
        <v>9218</v>
      </c>
      <c r="J273" s="672" t="s">
        <v>9219</v>
      </c>
      <c r="K273" s="672" t="s">
        <v>2354</v>
      </c>
      <c r="L273" s="672" t="s">
        <v>9219</v>
      </c>
    </row>
    <row r="274" spans="1:12" x14ac:dyDescent="0.2">
      <c r="A274" s="681" t="s">
        <v>220</v>
      </c>
      <c r="B274" s="681" t="s">
        <v>2351</v>
      </c>
      <c r="C274" s="736" t="s">
        <v>2381</v>
      </c>
      <c r="D274" s="736" t="s">
        <v>2382</v>
      </c>
      <c r="E274" s="683"/>
      <c r="F274" s="685">
        <v>555</v>
      </c>
      <c r="G274" s="737">
        <v>6.8110285714285723</v>
      </c>
      <c r="H274" s="685">
        <v>3780.1208571428579</v>
      </c>
      <c r="I274" s="672" t="s">
        <v>9218</v>
      </c>
      <c r="J274" s="672" t="s">
        <v>9219</v>
      </c>
      <c r="K274" s="672" t="s">
        <v>2354</v>
      </c>
      <c r="L274" s="672" t="s">
        <v>9219</v>
      </c>
    </row>
    <row r="275" spans="1:12" x14ac:dyDescent="0.2">
      <c r="A275" s="681" t="s">
        <v>220</v>
      </c>
      <c r="B275" s="681" t="s">
        <v>2351</v>
      </c>
      <c r="C275" s="736" t="s">
        <v>3016</v>
      </c>
      <c r="D275" s="736" t="s">
        <v>3017</v>
      </c>
      <c r="E275" s="683"/>
      <c r="F275" s="685">
        <v>10</v>
      </c>
      <c r="G275" s="737">
        <v>10.744199999999999</v>
      </c>
      <c r="H275" s="685">
        <v>107.44199999999999</v>
      </c>
      <c r="I275" s="672" t="s">
        <v>9218</v>
      </c>
      <c r="J275" s="672" t="s">
        <v>9219</v>
      </c>
      <c r="K275" s="672" t="s">
        <v>2354</v>
      </c>
      <c r="L275" s="672" t="s">
        <v>9219</v>
      </c>
    </row>
    <row r="276" spans="1:12" x14ac:dyDescent="0.2">
      <c r="A276" s="681" t="s">
        <v>220</v>
      </c>
      <c r="B276" s="681" t="s">
        <v>2351</v>
      </c>
      <c r="C276" s="736" t="s">
        <v>3018</v>
      </c>
      <c r="D276" s="736" t="s">
        <v>3019</v>
      </c>
      <c r="E276" s="683"/>
      <c r="F276" s="685">
        <v>8</v>
      </c>
      <c r="G276" s="737">
        <v>11.7</v>
      </c>
      <c r="H276" s="685">
        <v>93.6</v>
      </c>
      <c r="I276" s="672" t="s">
        <v>9218</v>
      </c>
      <c r="J276" s="672" t="s">
        <v>9219</v>
      </c>
      <c r="K276" s="672" t="s">
        <v>2354</v>
      </c>
      <c r="L276" s="672" t="s">
        <v>9219</v>
      </c>
    </row>
    <row r="277" spans="1:12" x14ac:dyDescent="0.2">
      <c r="A277" s="681" t="s">
        <v>220</v>
      </c>
      <c r="B277" s="681" t="s">
        <v>2351</v>
      </c>
      <c r="C277" s="736" t="s">
        <v>3020</v>
      </c>
      <c r="D277" s="736" t="s">
        <v>3021</v>
      </c>
      <c r="E277" s="683"/>
      <c r="F277" s="685">
        <v>11</v>
      </c>
      <c r="G277" s="737">
        <v>10.8</v>
      </c>
      <c r="H277" s="685">
        <v>118.80000000000001</v>
      </c>
      <c r="I277" s="672" t="s">
        <v>9218</v>
      </c>
      <c r="J277" s="672" t="s">
        <v>9219</v>
      </c>
      <c r="K277" s="672" t="s">
        <v>2354</v>
      </c>
      <c r="L277" s="672" t="s">
        <v>9219</v>
      </c>
    </row>
    <row r="278" spans="1:12" x14ac:dyDescent="0.2">
      <c r="A278" s="681" t="s">
        <v>220</v>
      </c>
      <c r="B278" s="681" t="s">
        <v>2351</v>
      </c>
      <c r="C278" s="736" t="s">
        <v>3022</v>
      </c>
      <c r="D278" s="736" t="s">
        <v>3023</v>
      </c>
      <c r="E278" s="683"/>
      <c r="F278" s="685">
        <v>5</v>
      </c>
      <c r="G278" s="737">
        <v>16.02</v>
      </c>
      <c r="H278" s="685">
        <v>80.099999999999994</v>
      </c>
      <c r="I278" s="672" t="s">
        <v>9218</v>
      </c>
      <c r="J278" s="672" t="s">
        <v>9219</v>
      </c>
      <c r="K278" s="672" t="s">
        <v>2354</v>
      </c>
      <c r="L278" s="672" t="s">
        <v>9219</v>
      </c>
    </row>
    <row r="279" spans="1:12" x14ac:dyDescent="0.2">
      <c r="A279" s="681" t="s">
        <v>220</v>
      </c>
      <c r="B279" s="681" t="s">
        <v>2351</v>
      </c>
      <c r="C279" s="736" t="s">
        <v>3024</v>
      </c>
      <c r="D279" s="736" t="s">
        <v>3025</v>
      </c>
      <c r="E279" s="683"/>
      <c r="F279" s="685">
        <v>9</v>
      </c>
      <c r="G279" s="737">
        <v>21.105126666666667</v>
      </c>
      <c r="H279" s="685">
        <v>189.94614000000001</v>
      </c>
      <c r="I279" s="672" t="s">
        <v>9218</v>
      </c>
      <c r="J279" s="672" t="s">
        <v>9219</v>
      </c>
      <c r="K279" s="672" t="s">
        <v>2354</v>
      </c>
      <c r="L279" s="672" t="s">
        <v>9219</v>
      </c>
    </row>
    <row r="280" spans="1:12" x14ac:dyDescent="0.2">
      <c r="A280" s="681" t="s">
        <v>220</v>
      </c>
      <c r="B280" s="681" t="s">
        <v>2351</v>
      </c>
      <c r="C280" s="736" t="s">
        <v>5398</v>
      </c>
      <c r="D280" s="736" t="s">
        <v>5399</v>
      </c>
      <c r="E280" s="683"/>
      <c r="F280" s="685">
        <v>11</v>
      </c>
      <c r="G280" s="737">
        <v>32.843699999999998</v>
      </c>
      <c r="H280" s="685">
        <v>361.28069999999997</v>
      </c>
      <c r="I280" s="672" t="s">
        <v>9218</v>
      </c>
      <c r="J280" s="672" t="s">
        <v>9219</v>
      </c>
      <c r="K280" s="672" t="s">
        <v>2354</v>
      </c>
      <c r="L280" s="672" t="s">
        <v>9219</v>
      </c>
    </row>
    <row r="281" spans="1:12" x14ac:dyDescent="0.2">
      <c r="A281" s="681" t="s">
        <v>220</v>
      </c>
      <c r="B281" s="681" t="s">
        <v>2351</v>
      </c>
      <c r="C281" s="736" t="s">
        <v>3026</v>
      </c>
      <c r="D281" s="736" t="s">
        <v>3027</v>
      </c>
      <c r="E281" s="683"/>
      <c r="F281" s="685">
        <v>11</v>
      </c>
      <c r="G281" s="737">
        <v>10.098000000000001</v>
      </c>
      <c r="H281" s="685">
        <v>111.078</v>
      </c>
      <c r="I281" s="672" t="s">
        <v>9218</v>
      </c>
      <c r="J281" s="672" t="s">
        <v>9219</v>
      </c>
      <c r="K281" s="672" t="s">
        <v>2354</v>
      </c>
      <c r="L281" s="672" t="s">
        <v>9219</v>
      </c>
    </row>
    <row r="282" spans="1:12" x14ac:dyDescent="0.2">
      <c r="A282" s="681" t="s">
        <v>220</v>
      </c>
      <c r="B282" s="681" t="s">
        <v>2351</v>
      </c>
      <c r="C282" s="736" t="s">
        <v>3030</v>
      </c>
      <c r="D282" s="736" t="s">
        <v>3031</v>
      </c>
      <c r="E282" s="683"/>
      <c r="F282" s="685">
        <v>12</v>
      </c>
      <c r="G282" s="737">
        <v>15.205641046831957</v>
      </c>
      <c r="H282" s="685">
        <v>182.46769256198348</v>
      </c>
      <c r="I282" s="672" t="s">
        <v>9218</v>
      </c>
      <c r="J282" s="672" t="s">
        <v>9219</v>
      </c>
      <c r="K282" s="672" t="s">
        <v>2354</v>
      </c>
      <c r="L282" s="672" t="s">
        <v>9219</v>
      </c>
    </row>
    <row r="283" spans="1:12" x14ac:dyDescent="0.2">
      <c r="A283" s="681" t="s">
        <v>220</v>
      </c>
      <c r="B283" s="681" t="s">
        <v>2351</v>
      </c>
      <c r="C283" s="736" t="s">
        <v>3032</v>
      </c>
      <c r="D283" s="736" t="s">
        <v>3033</v>
      </c>
      <c r="E283" s="683"/>
      <c r="F283" s="685">
        <v>8</v>
      </c>
      <c r="G283" s="737">
        <v>41.399099999999997</v>
      </c>
      <c r="H283" s="685">
        <v>331.19279999999998</v>
      </c>
      <c r="I283" s="672" t="s">
        <v>9218</v>
      </c>
      <c r="J283" s="672" t="s">
        <v>9219</v>
      </c>
      <c r="K283" s="672" t="s">
        <v>2354</v>
      </c>
      <c r="L283" s="672" t="s">
        <v>9219</v>
      </c>
    </row>
    <row r="284" spans="1:12" x14ac:dyDescent="0.2">
      <c r="A284" s="681" t="s">
        <v>220</v>
      </c>
      <c r="B284" s="681" t="s">
        <v>2351</v>
      </c>
      <c r="C284" s="736" t="s">
        <v>3034</v>
      </c>
      <c r="D284" s="736" t="s">
        <v>3035</v>
      </c>
      <c r="E284" s="683"/>
      <c r="F284" s="685">
        <v>9</v>
      </c>
      <c r="G284" s="737">
        <v>18.839700000000001</v>
      </c>
      <c r="H284" s="685">
        <v>169.5573</v>
      </c>
      <c r="I284" s="672" t="s">
        <v>9218</v>
      </c>
      <c r="J284" s="672" t="s">
        <v>9219</v>
      </c>
      <c r="K284" s="672" t="s">
        <v>2354</v>
      </c>
      <c r="L284" s="672" t="s">
        <v>9219</v>
      </c>
    </row>
    <row r="285" spans="1:12" x14ac:dyDescent="0.2">
      <c r="A285" s="681" t="s">
        <v>220</v>
      </c>
      <c r="B285" s="681" t="s">
        <v>2351</v>
      </c>
      <c r="C285" s="736" t="s">
        <v>3036</v>
      </c>
      <c r="D285" s="736" t="s">
        <v>3037</v>
      </c>
      <c r="E285" s="683"/>
      <c r="F285" s="685">
        <v>4</v>
      </c>
      <c r="G285" s="737">
        <v>0</v>
      </c>
      <c r="H285" s="685">
        <v>0</v>
      </c>
      <c r="I285" s="672" t="s">
        <v>9218</v>
      </c>
      <c r="J285" s="672" t="s">
        <v>9219</v>
      </c>
      <c r="K285" s="672" t="s">
        <v>2354</v>
      </c>
      <c r="L285" s="672" t="s">
        <v>9219</v>
      </c>
    </row>
    <row r="286" spans="1:12" x14ac:dyDescent="0.2">
      <c r="A286" s="681" t="s">
        <v>220</v>
      </c>
      <c r="B286" s="681" t="s">
        <v>2351</v>
      </c>
      <c r="C286" s="736" t="s">
        <v>3038</v>
      </c>
      <c r="D286" s="736" t="s">
        <v>3039</v>
      </c>
      <c r="E286" s="683"/>
      <c r="F286" s="685">
        <v>4</v>
      </c>
      <c r="G286" s="737">
        <v>19.727550000000001</v>
      </c>
      <c r="H286" s="685">
        <v>78.910200000000003</v>
      </c>
      <c r="I286" s="672" t="s">
        <v>9218</v>
      </c>
      <c r="J286" s="672" t="s">
        <v>9219</v>
      </c>
      <c r="K286" s="672" t="s">
        <v>2354</v>
      </c>
      <c r="L286" s="672" t="s">
        <v>9219</v>
      </c>
    </row>
    <row r="287" spans="1:12" x14ac:dyDescent="0.2">
      <c r="A287" s="681" t="s">
        <v>220</v>
      </c>
      <c r="B287" s="681" t="s">
        <v>2351</v>
      </c>
      <c r="C287" s="736" t="s">
        <v>3042</v>
      </c>
      <c r="D287" s="736" t="s">
        <v>3043</v>
      </c>
      <c r="E287" s="683"/>
      <c r="F287" s="685">
        <v>14</v>
      </c>
      <c r="G287" s="737">
        <v>40.950000000000003</v>
      </c>
      <c r="H287" s="685">
        <v>573.30000000000007</v>
      </c>
      <c r="I287" s="672" t="s">
        <v>9218</v>
      </c>
      <c r="J287" s="672" t="s">
        <v>9219</v>
      </c>
      <c r="K287" s="672" t="s">
        <v>2354</v>
      </c>
      <c r="L287" s="672" t="s">
        <v>9219</v>
      </c>
    </row>
    <row r="288" spans="1:12" x14ac:dyDescent="0.2">
      <c r="A288" s="681" t="s">
        <v>220</v>
      </c>
      <c r="B288" s="681" t="s">
        <v>2351</v>
      </c>
      <c r="C288" s="736" t="s">
        <v>3044</v>
      </c>
      <c r="D288" s="736" t="s">
        <v>3045</v>
      </c>
      <c r="E288" s="683"/>
      <c r="F288" s="685">
        <v>9</v>
      </c>
      <c r="G288" s="737">
        <v>48.572099999999999</v>
      </c>
      <c r="H288" s="685">
        <v>437.14889999999997</v>
      </c>
      <c r="I288" s="672" t="s">
        <v>9218</v>
      </c>
      <c r="J288" s="672" t="s">
        <v>9219</v>
      </c>
      <c r="K288" s="672" t="s">
        <v>2354</v>
      </c>
      <c r="L288" s="672" t="s">
        <v>9219</v>
      </c>
    </row>
    <row r="289" spans="1:12" x14ac:dyDescent="0.2">
      <c r="A289" s="681" t="s">
        <v>220</v>
      </c>
      <c r="B289" s="681" t="s">
        <v>2351</v>
      </c>
      <c r="C289" s="736" t="s">
        <v>3046</v>
      </c>
      <c r="D289" s="736" t="s">
        <v>3047</v>
      </c>
      <c r="E289" s="683"/>
      <c r="F289" s="685">
        <v>9</v>
      </c>
      <c r="G289" s="737">
        <v>21.7224</v>
      </c>
      <c r="H289" s="685">
        <v>195.5016</v>
      </c>
      <c r="I289" s="672" t="s">
        <v>9218</v>
      </c>
      <c r="J289" s="672" t="s">
        <v>9219</v>
      </c>
      <c r="K289" s="672" t="s">
        <v>2354</v>
      </c>
      <c r="L289" s="672" t="s">
        <v>9219</v>
      </c>
    </row>
    <row r="290" spans="1:12" x14ac:dyDescent="0.2">
      <c r="A290" s="681" t="s">
        <v>220</v>
      </c>
      <c r="B290" s="681" t="s">
        <v>2351</v>
      </c>
      <c r="C290" s="736" t="s">
        <v>3048</v>
      </c>
      <c r="D290" s="736" t="s">
        <v>3049</v>
      </c>
      <c r="E290" s="683"/>
      <c r="F290" s="685">
        <v>18</v>
      </c>
      <c r="G290" s="737">
        <v>9</v>
      </c>
      <c r="H290" s="685">
        <v>162</v>
      </c>
      <c r="I290" s="672" t="s">
        <v>9218</v>
      </c>
      <c r="J290" s="672" t="s">
        <v>9219</v>
      </c>
      <c r="K290" s="672" t="s">
        <v>2354</v>
      </c>
      <c r="L290" s="672" t="s">
        <v>9219</v>
      </c>
    </row>
    <row r="291" spans="1:12" x14ac:dyDescent="0.2">
      <c r="A291" s="681" t="s">
        <v>220</v>
      </c>
      <c r="B291" s="681" t="s">
        <v>2351</v>
      </c>
      <c r="C291" s="736" t="s">
        <v>3050</v>
      </c>
      <c r="D291" s="736" t="s">
        <v>3051</v>
      </c>
      <c r="E291" s="683"/>
      <c r="F291" s="685">
        <v>10</v>
      </c>
      <c r="G291" s="737">
        <v>9.2178000000000004</v>
      </c>
      <c r="H291" s="685">
        <v>92.177999999999997</v>
      </c>
      <c r="I291" s="672" t="s">
        <v>9218</v>
      </c>
      <c r="J291" s="672" t="s">
        <v>9219</v>
      </c>
      <c r="K291" s="672" t="s">
        <v>2354</v>
      </c>
      <c r="L291" s="672" t="s">
        <v>9219</v>
      </c>
    </row>
    <row r="292" spans="1:12" x14ac:dyDescent="0.2">
      <c r="A292" s="681" t="s">
        <v>220</v>
      </c>
      <c r="B292" s="681" t="s">
        <v>2351</v>
      </c>
      <c r="C292" s="736" t="s">
        <v>3052</v>
      </c>
      <c r="D292" s="736" t="s">
        <v>3053</v>
      </c>
      <c r="E292" s="683"/>
      <c r="F292" s="685">
        <v>44</v>
      </c>
      <c r="G292" s="737">
        <v>8.2926000000000002</v>
      </c>
      <c r="H292" s="685">
        <v>364.87440000000004</v>
      </c>
      <c r="I292" s="672" t="s">
        <v>9218</v>
      </c>
      <c r="J292" s="672" t="s">
        <v>9219</v>
      </c>
      <c r="K292" s="672" t="s">
        <v>2354</v>
      </c>
      <c r="L292" s="672" t="s">
        <v>9219</v>
      </c>
    </row>
    <row r="293" spans="1:12" x14ac:dyDescent="0.2">
      <c r="A293" s="681" t="s">
        <v>220</v>
      </c>
      <c r="B293" s="681" t="s">
        <v>2351</v>
      </c>
      <c r="C293" s="736" t="s">
        <v>3054</v>
      </c>
      <c r="D293" s="736" t="s">
        <v>3055</v>
      </c>
      <c r="E293" s="683"/>
      <c r="F293" s="685">
        <v>4</v>
      </c>
      <c r="G293" s="737">
        <v>32.31</v>
      </c>
      <c r="H293" s="685">
        <v>129.24</v>
      </c>
      <c r="I293" s="672" t="s">
        <v>9218</v>
      </c>
      <c r="J293" s="672" t="s">
        <v>9219</v>
      </c>
      <c r="K293" s="672" t="s">
        <v>2354</v>
      </c>
      <c r="L293" s="672" t="s">
        <v>9219</v>
      </c>
    </row>
    <row r="294" spans="1:12" x14ac:dyDescent="0.2">
      <c r="A294" s="681" t="s">
        <v>220</v>
      </c>
      <c r="B294" s="681" t="s">
        <v>2351</v>
      </c>
      <c r="C294" s="736" t="s">
        <v>3056</v>
      </c>
      <c r="D294" s="736" t="s">
        <v>7559</v>
      </c>
      <c r="E294" s="683"/>
      <c r="F294" s="685">
        <v>2</v>
      </c>
      <c r="G294" s="737">
        <v>32.58</v>
      </c>
      <c r="H294" s="685">
        <v>65.16</v>
      </c>
      <c r="I294" s="672" t="s">
        <v>9218</v>
      </c>
      <c r="J294" s="672" t="s">
        <v>9219</v>
      </c>
      <c r="K294" s="672" t="s">
        <v>2354</v>
      </c>
      <c r="L294" s="672" t="s">
        <v>9219</v>
      </c>
    </row>
    <row r="295" spans="1:12" x14ac:dyDescent="0.2">
      <c r="A295" s="681" t="s">
        <v>220</v>
      </c>
      <c r="B295" s="681" t="s">
        <v>2351</v>
      </c>
      <c r="C295" s="736" t="s">
        <v>5400</v>
      </c>
      <c r="D295" s="736" t="s">
        <v>5401</v>
      </c>
      <c r="E295" s="683"/>
      <c r="F295" s="685">
        <v>12</v>
      </c>
      <c r="G295" s="737">
        <v>8.0970707070707064</v>
      </c>
      <c r="H295" s="685">
        <v>97.164848484848477</v>
      </c>
      <c r="I295" s="672" t="s">
        <v>9218</v>
      </c>
      <c r="J295" s="672" t="s">
        <v>9219</v>
      </c>
      <c r="K295" s="672" t="s">
        <v>2354</v>
      </c>
      <c r="L295" s="672" t="s">
        <v>9219</v>
      </c>
    </row>
    <row r="296" spans="1:12" x14ac:dyDescent="0.2">
      <c r="A296" s="681" t="s">
        <v>220</v>
      </c>
      <c r="B296" s="681" t="s">
        <v>2351</v>
      </c>
      <c r="C296" s="736" t="s">
        <v>3059</v>
      </c>
      <c r="D296" s="736" t="s">
        <v>3060</v>
      </c>
      <c r="E296" s="683"/>
      <c r="F296" s="685">
        <v>1</v>
      </c>
      <c r="G296" s="737">
        <v>284.39999999999998</v>
      </c>
      <c r="H296" s="685">
        <v>284.39999999999998</v>
      </c>
      <c r="I296" s="672" t="s">
        <v>9218</v>
      </c>
      <c r="J296" s="672" t="s">
        <v>9219</v>
      </c>
      <c r="K296" s="672" t="s">
        <v>2354</v>
      </c>
      <c r="L296" s="672" t="s">
        <v>9219</v>
      </c>
    </row>
    <row r="297" spans="1:12" x14ac:dyDescent="0.2">
      <c r="A297" s="681" t="s">
        <v>220</v>
      </c>
      <c r="B297" s="681" t="s">
        <v>2351</v>
      </c>
      <c r="C297" s="736" t="s">
        <v>3063</v>
      </c>
      <c r="D297" s="736" t="s">
        <v>3064</v>
      </c>
      <c r="E297" s="683"/>
      <c r="F297" s="685">
        <v>1</v>
      </c>
      <c r="G297" s="737">
        <v>697.5</v>
      </c>
      <c r="H297" s="685">
        <v>697.5</v>
      </c>
      <c r="I297" s="672" t="s">
        <v>9218</v>
      </c>
      <c r="J297" s="672" t="s">
        <v>9219</v>
      </c>
      <c r="K297" s="672" t="s">
        <v>2354</v>
      </c>
      <c r="L297" s="672" t="s">
        <v>9219</v>
      </c>
    </row>
    <row r="298" spans="1:12" x14ac:dyDescent="0.2">
      <c r="A298" s="681" t="s">
        <v>220</v>
      </c>
      <c r="B298" s="681" t="s">
        <v>2351</v>
      </c>
      <c r="C298" s="736" t="s">
        <v>3065</v>
      </c>
      <c r="D298" s="736" t="s">
        <v>3066</v>
      </c>
      <c r="E298" s="683"/>
      <c r="F298" s="685">
        <v>2</v>
      </c>
      <c r="G298" s="737">
        <v>115.65</v>
      </c>
      <c r="H298" s="685">
        <v>231.3</v>
      </c>
      <c r="I298" s="672" t="s">
        <v>9218</v>
      </c>
      <c r="J298" s="672" t="s">
        <v>9219</v>
      </c>
      <c r="K298" s="672" t="s">
        <v>2354</v>
      </c>
      <c r="L298" s="672" t="s">
        <v>9219</v>
      </c>
    </row>
    <row r="299" spans="1:12" x14ac:dyDescent="0.2">
      <c r="A299" s="695" t="s">
        <v>220</v>
      </c>
      <c r="B299" s="686" t="s">
        <v>2351</v>
      </c>
      <c r="C299" s="736"/>
      <c r="D299" s="736" t="s">
        <v>10138</v>
      </c>
      <c r="E299" s="683" t="s">
        <v>10137</v>
      </c>
      <c r="F299" s="685">
        <v>4</v>
      </c>
      <c r="G299" s="737">
        <v>92.25</v>
      </c>
      <c r="H299" s="685">
        <v>369</v>
      </c>
      <c r="I299" s="672" t="s">
        <v>9218</v>
      </c>
      <c r="J299" s="672" t="s">
        <v>9219</v>
      </c>
      <c r="K299" s="672" t="s">
        <v>2354</v>
      </c>
      <c r="L299" s="672" t="s">
        <v>9219</v>
      </c>
    </row>
    <row r="300" spans="1:12" x14ac:dyDescent="0.2">
      <c r="A300" s="681" t="s">
        <v>220</v>
      </c>
      <c r="B300" s="681" t="s">
        <v>2351</v>
      </c>
      <c r="C300" s="736" t="s">
        <v>3069</v>
      </c>
      <c r="D300" s="736" t="s">
        <v>3070</v>
      </c>
      <c r="E300" s="683"/>
      <c r="F300" s="685">
        <v>2</v>
      </c>
      <c r="G300" s="737">
        <v>68.31</v>
      </c>
      <c r="H300" s="685">
        <v>136.62</v>
      </c>
      <c r="I300" s="672" t="s">
        <v>9218</v>
      </c>
      <c r="J300" s="672" t="s">
        <v>9219</v>
      </c>
      <c r="K300" s="672" t="s">
        <v>2354</v>
      </c>
      <c r="L300" s="672" t="s">
        <v>9219</v>
      </c>
    </row>
    <row r="301" spans="1:12" x14ac:dyDescent="0.2">
      <c r="A301" s="681" t="s">
        <v>220</v>
      </c>
      <c r="B301" s="681" t="s">
        <v>2351</v>
      </c>
      <c r="C301" s="736" t="s">
        <v>3073</v>
      </c>
      <c r="D301" s="736" t="s">
        <v>3074</v>
      </c>
      <c r="E301" s="683"/>
      <c r="F301" s="685">
        <v>6</v>
      </c>
      <c r="G301" s="737">
        <v>35.276062499999995</v>
      </c>
      <c r="H301" s="685">
        <v>211.65637499999997</v>
      </c>
      <c r="I301" s="672" t="s">
        <v>9218</v>
      </c>
      <c r="J301" s="672" t="s">
        <v>9219</v>
      </c>
      <c r="K301" s="672" t="s">
        <v>2354</v>
      </c>
      <c r="L301" s="672" t="s">
        <v>9219</v>
      </c>
    </row>
    <row r="302" spans="1:12" x14ac:dyDescent="0.2">
      <c r="A302" s="681" t="s">
        <v>220</v>
      </c>
      <c r="B302" s="681" t="s">
        <v>2351</v>
      </c>
      <c r="C302" s="736" t="s">
        <v>3075</v>
      </c>
      <c r="D302" s="736" t="s">
        <v>3076</v>
      </c>
      <c r="E302" s="683"/>
      <c r="F302" s="685">
        <v>20</v>
      </c>
      <c r="G302" s="737">
        <v>14.2668</v>
      </c>
      <c r="H302" s="685">
        <v>285.33600000000001</v>
      </c>
      <c r="I302" s="672" t="s">
        <v>9218</v>
      </c>
      <c r="J302" s="672" t="s">
        <v>9219</v>
      </c>
      <c r="K302" s="672" t="s">
        <v>2354</v>
      </c>
      <c r="L302" s="672" t="s">
        <v>9219</v>
      </c>
    </row>
    <row r="303" spans="1:12" x14ac:dyDescent="0.2">
      <c r="A303" s="681" t="s">
        <v>220</v>
      </c>
      <c r="B303" s="681" t="s">
        <v>2351</v>
      </c>
      <c r="C303" s="736" t="s">
        <v>3077</v>
      </c>
      <c r="D303" s="736" t="s">
        <v>3078</v>
      </c>
      <c r="E303" s="683"/>
      <c r="F303" s="685">
        <v>12</v>
      </c>
      <c r="G303" s="737">
        <v>18.998248275862071</v>
      </c>
      <c r="H303" s="685">
        <v>227.97897931034487</v>
      </c>
      <c r="I303" s="672" t="s">
        <v>9218</v>
      </c>
      <c r="J303" s="672" t="s">
        <v>9219</v>
      </c>
      <c r="K303" s="672" t="s">
        <v>2354</v>
      </c>
      <c r="L303" s="672" t="s">
        <v>9219</v>
      </c>
    </row>
    <row r="304" spans="1:12" x14ac:dyDescent="0.2">
      <c r="A304" s="681" t="s">
        <v>220</v>
      </c>
      <c r="B304" s="681" t="s">
        <v>2351</v>
      </c>
      <c r="C304" s="736" t="s">
        <v>3079</v>
      </c>
      <c r="D304" s="736" t="s">
        <v>3080</v>
      </c>
      <c r="E304" s="683"/>
      <c r="F304" s="685">
        <v>11</v>
      </c>
      <c r="G304" s="737">
        <v>24.1128</v>
      </c>
      <c r="H304" s="685">
        <v>265.24079999999998</v>
      </c>
      <c r="I304" s="672" t="s">
        <v>9218</v>
      </c>
      <c r="J304" s="672" t="s">
        <v>9219</v>
      </c>
      <c r="K304" s="672" t="s">
        <v>2354</v>
      </c>
      <c r="L304" s="672" t="s">
        <v>9219</v>
      </c>
    </row>
    <row r="305" spans="1:12" x14ac:dyDescent="0.2">
      <c r="A305" s="681" t="s">
        <v>220</v>
      </c>
      <c r="B305" s="681" t="s">
        <v>2351</v>
      </c>
      <c r="C305" s="736" t="s">
        <v>3081</v>
      </c>
      <c r="D305" s="736" t="s">
        <v>3082</v>
      </c>
      <c r="E305" s="683"/>
      <c r="F305" s="685">
        <v>5</v>
      </c>
      <c r="G305" s="737">
        <v>9.9668571428571422</v>
      </c>
      <c r="H305" s="685">
        <v>49.834285714285713</v>
      </c>
      <c r="I305" s="672" t="s">
        <v>9218</v>
      </c>
      <c r="J305" s="672" t="s">
        <v>9219</v>
      </c>
      <c r="K305" s="672" t="s">
        <v>2354</v>
      </c>
      <c r="L305" s="672" t="s">
        <v>9219</v>
      </c>
    </row>
    <row r="306" spans="1:12" x14ac:dyDescent="0.2">
      <c r="A306" s="681" t="s">
        <v>220</v>
      </c>
      <c r="B306" s="681" t="s">
        <v>2351</v>
      </c>
      <c r="C306" s="736" t="s">
        <v>3083</v>
      </c>
      <c r="D306" s="736" t="s">
        <v>3084</v>
      </c>
      <c r="E306" s="683"/>
      <c r="F306" s="685">
        <v>4</v>
      </c>
      <c r="G306" s="737">
        <v>27</v>
      </c>
      <c r="H306" s="685">
        <v>108</v>
      </c>
      <c r="I306" s="672" t="s">
        <v>9218</v>
      </c>
      <c r="J306" s="672" t="s">
        <v>9219</v>
      </c>
      <c r="K306" s="672" t="s">
        <v>2354</v>
      </c>
      <c r="L306" s="672" t="s">
        <v>9219</v>
      </c>
    </row>
    <row r="307" spans="1:12" x14ac:dyDescent="0.2">
      <c r="A307" s="681" t="s">
        <v>220</v>
      </c>
      <c r="B307" s="681" t="s">
        <v>2351</v>
      </c>
      <c r="C307" s="736" t="s">
        <v>5370</v>
      </c>
      <c r="D307" s="736" t="s">
        <v>5371</v>
      </c>
      <c r="E307" s="683"/>
      <c r="F307" s="685">
        <v>4</v>
      </c>
      <c r="G307" s="737">
        <v>11.25</v>
      </c>
      <c r="H307" s="685">
        <v>45</v>
      </c>
      <c r="I307" s="672" t="s">
        <v>9218</v>
      </c>
      <c r="J307" s="672" t="s">
        <v>9219</v>
      </c>
      <c r="K307" s="672" t="s">
        <v>2354</v>
      </c>
      <c r="L307" s="672" t="s">
        <v>9219</v>
      </c>
    </row>
    <row r="308" spans="1:12" x14ac:dyDescent="0.2">
      <c r="A308" s="681" t="s">
        <v>220</v>
      </c>
      <c r="B308" s="681" t="s">
        <v>2351</v>
      </c>
      <c r="C308" s="736" t="s">
        <v>3085</v>
      </c>
      <c r="D308" s="736" t="s">
        <v>3086</v>
      </c>
      <c r="E308" s="683"/>
      <c r="F308" s="685">
        <v>5</v>
      </c>
      <c r="G308" s="737">
        <v>43.400700000000001</v>
      </c>
      <c r="H308" s="685">
        <v>217.0035</v>
      </c>
      <c r="I308" s="672" t="s">
        <v>9218</v>
      </c>
      <c r="J308" s="672" t="s">
        <v>9219</v>
      </c>
      <c r="K308" s="672" t="s">
        <v>2354</v>
      </c>
      <c r="L308" s="672" t="s">
        <v>9219</v>
      </c>
    </row>
    <row r="309" spans="1:12" x14ac:dyDescent="0.2">
      <c r="A309" s="681" t="s">
        <v>220</v>
      </c>
      <c r="B309" s="681" t="s">
        <v>2351</v>
      </c>
      <c r="C309" s="736" t="s">
        <v>3087</v>
      </c>
      <c r="D309" s="736" t="s">
        <v>3088</v>
      </c>
      <c r="E309" s="683"/>
      <c r="F309" s="685">
        <v>2</v>
      </c>
      <c r="G309" s="737">
        <v>31.5945</v>
      </c>
      <c r="H309" s="685">
        <v>63.189</v>
      </c>
      <c r="I309" s="672" t="s">
        <v>9218</v>
      </c>
      <c r="J309" s="672" t="s">
        <v>9219</v>
      </c>
      <c r="K309" s="672" t="s">
        <v>2354</v>
      </c>
      <c r="L309" s="672" t="s">
        <v>9219</v>
      </c>
    </row>
    <row r="310" spans="1:12" x14ac:dyDescent="0.2">
      <c r="A310" s="681" t="s">
        <v>220</v>
      </c>
      <c r="B310" s="681" t="s">
        <v>2351</v>
      </c>
      <c r="C310" s="736" t="s">
        <v>3091</v>
      </c>
      <c r="D310" s="736" t="s">
        <v>3092</v>
      </c>
      <c r="E310" s="683"/>
      <c r="F310" s="685">
        <v>4</v>
      </c>
      <c r="G310" s="737">
        <v>95.915700000000001</v>
      </c>
      <c r="H310" s="685">
        <v>383.6628</v>
      </c>
      <c r="I310" s="672" t="s">
        <v>9218</v>
      </c>
      <c r="J310" s="672" t="s">
        <v>9219</v>
      </c>
      <c r="K310" s="672" t="s">
        <v>2354</v>
      </c>
      <c r="L310" s="672" t="s">
        <v>9219</v>
      </c>
    </row>
    <row r="311" spans="1:12" x14ac:dyDescent="0.2">
      <c r="A311" s="681" t="s">
        <v>220</v>
      </c>
      <c r="B311" s="681" t="s">
        <v>2351</v>
      </c>
      <c r="C311" s="736" t="s">
        <v>3093</v>
      </c>
      <c r="D311" s="736" t="s">
        <v>3094</v>
      </c>
      <c r="E311" s="683"/>
      <c r="F311" s="685">
        <v>4</v>
      </c>
      <c r="G311" s="737">
        <v>94.6845</v>
      </c>
      <c r="H311" s="685">
        <v>378.738</v>
      </c>
      <c r="I311" s="672" t="s">
        <v>9218</v>
      </c>
      <c r="J311" s="672" t="s">
        <v>9219</v>
      </c>
      <c r="K311" s="672" t="s">
        <v>2354</v>
      </c>
      <c r="L311" s="672" t="s">
        <v>9219</v>
      </c>
    </row>
    <row r="312" spans="1:12" x14ac:dyDescent="0.2">
      <c r="A312" s="681" t="s">
        <v>220</v>
      </c>
      <c r="B312" s="681" t="s">
        <v>2351</v>
      </c>
      <c r="C312" s="736" t="s">
        <v>3095</v>
      </c>
      <c r="D312" s="736" t="s">
        <v>3096</v>
      </c>
      <c r="E312" s="683"/>
      <c r="F312" s="685">
        <v>1</v>
      </c>
      <c r="G312" s="737">
        <v>230.4855</v>
      </c>
      <c r="H312" s="685">
        <v>230.4855</v>
      </c>
      <c r="I312" s="672" t="s">
        <v>9218</v>
      </c>
      <c r="J312" s="672" t="s">
        <v>9219</v>
      </c>
      <c r="K312" s="672" t="s">
        <v>2354</v>
      </c>
      <c r="L312" s="672" t="s">
        <v>9219</v>
      </c>
    </row>
    <row r="313" spans="1:12" x14ac:dyDescent="0.2">
      <c r="A313" s="681" t="s">
        <v>220</v>
      </c>
      <c r="B313" s="681" t="s">
        <v>2351</v>
      </c>
      <c r="C313" s="736" t="s">
        <v>3097</v>
      </c>
      <c r="D313" s="736" t="s">
        <v>3098</v>
      </c>
      <c r="E313" s="683"/>
      <c r="F313" s="685">
        <v>1</v>
      </c>
      <c r="G313" s="737">
        <v>0</v>
      </c>
      <c r="H313" s="685">
        <v>0</v>
      </c>
      <c r="I313" s="672" t="s">
        <v>9218</v>
      </c>
      <c r="J313" s="672" t="s">
        <v>9219</v>
      </c>
      <c r="K313" s="672" t="s">
        <v>2354</v>
      </c>
      <c r="L313" s="672" t="s">
        <v>9219</v>
      </c>
    </row>
    <row r="314" spans="1:12" x14ac:dyDescent="0.2">
      <c r="A314" s="681" t="s">
        <v>220</v>
      </c>
      <c r="B314" s="681" t="s">
        <v>2351</v>
      </c>
      <c r="C314" s="736" t="s">
        <v>3099</v>
      </c>
      <c r="D314" s="736" t="s">
        <v>3100</v>
      </c>
      <c r="E314" s="683"/>
      <c r="F314" s="685">
        <v>4</v>
      </c>
      <c r="G314" s="737">
        <v>113.2002</v>
      </c>
      <c r="H314" s="685">
        <v>452.80079999999998</v>
      </c>
      <c r="I314" s="672" t="s">
        <v>9218</v>
      </c>
      <c r="J314" s="672" t="s">
        <v>9219</v>
      </c>
      <c r="K314" s="672" t="s">
        <v>2354</v>
      </c>
      <c r="L314" s="672" t="s">
        <v>9219</v>
      </c>
    </row>
    <row r="315" spans="1:12" x14ac:dyDescent="0.2">
      <c r="A315" s="681" t="s">
        <v>220</v>
      </c>
      <c r="B315" s="681" t="s">
        <v>2351</v>
      </c>
      <c r="C315" s="736" t="s">
        <v>3101</v>
      </c>
      <c r="D315" s="736" t="s">
        <v>3102</v>
      </c>
      <c r="E315" s="683"/>
      <c r="F315" s="685">
        <v>9</v>
      </c>
      <c r="G315" s="737">
        <v>12.132</v>
      </c>
      <c r="H315" s="685">
        <v>109.188</v>
      </c>
      <c r="I315" s="672" t="s">
        <v>9218</v>
      </c>
      <c r="J315" s="672" t="s">
        <v>9219</v>
      </c>
      <c r="K315" s="672" t="s">
        <v>2354</v>
      </c>
      <c r="L315" s="672" t="s">
        <v>9219</v>
      </c>
    </row>
    <row r="316" spans="1:12" x14ac:dyDescent="0.2">
      <c r="A316" s="681" t="s">
        <v>220</v>
      </c>
      <c r="B316" s="681" t="s">
        <v>2351</v>
      </c>
      <c r="C316" s="736" t="s">
        <v>3105</v>
      </c>
      <c r="D316" s="736" t="s">
        <v>3106</v>
      </c>
      <c r="E316" s="683"/>
      <c r="F316" s="685">
        <v>1</v>
      </c>
      <c r="G316" s="737">
        <v>0</v>
      </c>
      <c r="H316" s="685">
        <v>0</v>
      </c>
      <c r="I316" s="672" t="s">
        <v>9218</v>
      </c>
      <c r="J316" s="672" t="s">
        <v>9219</v>
      </c>
      <c r="K316" s="672" t="s">
        <v>2354</v>
      </c>
      <c r="L316" s="672" t="s">
        <v>9219</v>
      </c>
    </row>
    <row r="317" spans="1:12" x14ac:dyDescent="0.2">
      <c r="A317" s="681" t="s">
        <v>220</v>
      </c>
      <c r="B317" s="681" t="s">
        <v>2351</v>
      </c>
      <c r="C317" s="736" t="s">
        <v>3109</v>
      </c>
      <c r="D317" s="736" t="s">
        <v>3110</v>
      </c>
      <c r="E317" s="683"/>
      <c r="F317" s="685">
        <v>1</v>
      </c>
      <c r="G317" s="737">
        <v>0</v>
      </c>
      <c r="H317" s="685">
        <v>0</v>
      </c>
      <c r="I317" s="672" t="s">
        <v>9218</v>
      </c>
      <c r="J317" s="672" t="s">
        <v>9219</v>
      </c>
      <c r="K317" s="672" t="s">
        <v>2354</v>
      </c>
      <c r="L317" s="672" t="s">
        <v>9219</v>
      </c>
    </row>
    <row r="318" spans="1:12" x14ac:dyDescent="0.2">
      <c r="A318" s="681" t="s">
        <v>220</v>
      </c>
      <c r="B318" s="681" t="s">
        <v>2351</v>
      </c>
      <c r="C318" s="736" t="s">
        <v>3115</v>
      </c>
      <c r="D318" s="736" t="s">
        <v>3116</v>
      </c>
      <c r="E318" s="683"/>
      <c r="F318" s="685">
        <v>5</v>
      </c>
      <c r="G318" s="737">
        <v>161.76424</v>
      </c>
      <c r="H318" s="685">
        <v>808.82119999999998</v>
      </c>
      <c r="I318" s="672" t="s">
        <v>9218</v>
      </c>
      <c r="J318" s="672" t="s">
        <v>9219</v>
      </c>
      <c r="K318" s="672" t="s">
        <v>2354</v>
      </c>
      <c r="L318" s="672" t="s">
        <v>9219</v>
      </c>
    </row>
    <row r="319" spans="1:12" x14ac:dyDescent="0.2">
      <c r="A319" s="681" t="s">
        <v>220</v>
      </c>
      <c r="B319" s="681" t="s">
        <v>2351</v>
      </c>
      <c r="C319" s="736" t="s">
        <v>3119</v>
      </c>
      <c r="D319" s="736" t="s">
        <v>3120</v>
      </c>
      <c r="E319" s="683"/>
      <c r="F319" s="685">
        <v>1</v>
      </c>
      <c r="G319" s="737">
        <v>0</v>
      </c>
      <c r="H319" s="685">
        <v>0</v>
      </c>
      <c r="I319" s="672" t="s">
        <v>9218</v>
      </c>
      <c r="J319" s="672" t="s">
        <v>9219</v>
      </c>
      <c r="K319" s="672" t="s">
        <v>2354</v>
      </c>
      <c r="L319" s="672" t="s">
        <v>9219</v>
      </c>
    </row>
    <row r="320" spans="1:12" x14ac:dyDescent="0.2">
      <c r="A320" s="681" t="s">
        <v>220</v>
      </c>
      <c r="B320" s="681" t="s">
        <v>2351</v>
      </c>
      <c r="C320" s="736" t="s">
        <v>3123</v>
      </c>
      <c r="D320" s="736" t="s">
        <v>3124</v>
      </c>
      <c r="E320" s="683"/>
      <c r="F320" s="685">
        <v>2</v>
      </c>
      <c r="G320" s="737">
        <v>153.9</v>
      </c>
      <c r="H320" s="685">
        <v>307.8</v>
      </c>
      <c r="I320" s="672" t="s">
        <v>9218</v>
      </c>
      <c r="J320" s="672" t="s">
        <v>9219</v>
      </c>
      <c r="K320" s="672" t="s">
        <v>2354</v>
      </c>
      <c r="L320" s="672" t="s">
        <v>9219</v>
      </c>
    </row>
    <row r="321" spans="1:12" x14ac:dyDescent="0.2">
      <c r="A321" s="681" t="s">
        <v>220</v>
      </c>
      <c r="B321" s="681" t="s">
        <v>2351</v>
      </c>
      <c r="C321" s="736" t="s">
        <v>3125</v>
      </c>
      <c r="D321" s="736" t="s">
        <v>3126</v>
      </c>
      <c r="E321" s="683"/>
      <c r="F321" s="685">
        <v>1</v>
      </c>
      <c r="G321" s="737">
        <v>77.400000000000006</v>
      </c>
      <c r="H321" s="685">
        <v>77.400000000000006</v>
      </c>
      <c r="I321" s="672" t="s">
        <v>9218</v>
      </c>
      <c r="J321" s="672" t="s">
        <v>9219</v>
      </c>
      <c r="K321" s="672" t="s">
        <v>2354</v>
      </c>
      <c r="L321" s="672" t="s">
        <v>9219</v>
      </c>
    </row>
    <row r="322" spans="1:12" x14ac:dyDescent="0.2">
      <c r="A322" s="681" t="s">
        <v>220</v>
      </c>
      <c r="B322" s="681" t="s">
        <v>2351</v>
      </c>
      <c r="C322" s="736" t="s">
        <v>3127</v>
      </c>
      <c r="D322" s="736" t="s">
        <v>3128</v>
      </c>
      <c r="E322" s="683"/>
      <c r="F322" s="685">
        <v>1</v>
      </c>
      <c r="G322" s="737">
        <v>311.39800000000002</v>
      </c>
      <c r="H322" s="685">
        <v>311.39800000000002</v>
      </c>
      <c r="I322" s="672" t="s">
        <v>9218</v>
      </c>
      <c r="J322" s="672" t="s">
        <v>9219</v>
      </c>
      <c r="K322" s="672" t="s">
        <v>2354</v>
      </c>
      <c r="L322" s="672" t="s">
        <v>9219</v>
      </c>
    </row>
    <row r="323" spans="1:12" x14ac:dyDescent="0.2">
      <c r="A323" s="681" t="s">
        <v>220</v>
      </c>
      <c r="B323" s="681" t="s">
        <v>2351</v>
      </c>
      <c r="C323" s="736" t="s">
        <v>3129</v>
      </c>
      <c r="D323" s="736" t="s">
        <v>3130</v>
      </c>
      <c r="E323" s="683"/>
      <c r="F323" s="685">
        <v>3</v>
      </c>
      <c r="G323" s="737">
        <v>95.421000000000006</v>
      </c>
      <c r="H323" s="685">
        <v>286.26300000000003</v>
      </c>
      <c r="I323" s="672" t="s">
        <v>9218</v>
      </c>
      <c r="J323" s="672" t="s">
        <v>9219</v>
      </c>
      <c r="K323" s="672" t="s">
        <v>2354</v>
      </c>
      <c r="L323" s="672" t="s">
        <v>9219</v>
      </c>
    </row>
    <row r="324" spans="1:12" x14ac:dyDescent="0.2">
      <c r="A324" s="681" t="s">
        <v>220</v>
      </c>
      <c r="B324" s="681" t="s">
        <v>2351</v>
      </c>
      <c r="C324" s="736" t="s">
        <v>5315</v>
      </c>
      <c r="D324" s="736" t="s">
        <v>5316</v>
      </c>
      <c r="E324" s="683"/>
      <c r="F324" s="685">
        <v>6</v>
      </c>
      <c r="G324" s="737">
        <v>102.55249999999999</v>
      </c>
      <c r="H324" s="685">
        <v>615.31499999999994</v>
      </c>
      <c r="I324" s="672" t="s">
        <v>9218</v>
      </c>
      <c r="J324" s="672" t="s">
        <v>9219</v>
      </c>
      <c r="K324" s="672" t="s">
        <v>2354</v>
      </c>
      <c r="L324" s="672" t="s">
        <v>9219</v>
      </c>
    </row>
    <row r="325" spans="1:12" x14ac:dyDescent="0.2">
      <c r="A325" s="681" t="s">
        <v>220</v>
      </c>
      <c r="B325" s="681" t="s">
        <v>2351</v>
      </c>
      <c r="C325" s="736" t="s">
        <v>6674</v>
      </c>
      <c r="D325" s="736" t="s">
        <v>8221</v>
      </c>
      <c r="E325" s="683"/>
      <c r="F325" s="685">
        <v>2</v>
      </c>
      <c r="G325" s="737">
        <v>181.52</v>
      </c>
      <c r="H325" s="685">
        <v>363.04</v>
      </c>
      <c r="I325" s="672" t="s">
        <v>9218</v>
      </c>
      <c r="J325" s="672" t="s">
        <v>9219</v>
      </c>
      <c r="K325" s="672" t="s">
        <v>2354</v>
      </c>
      <c r="L325" s="672" t="s">
        <v>9219</v>
      </c>
    </row>
    <row r="326" spans="1:12" x14ac:dyDescent="0.2">
      <c r="A326" s="681" t="s">
        <v>220</v>
      </c>
      <c r="B326" s="681" t="s">
        <v>2351</v>
      </c>
      <c r="C326" s="736" t="s">
        <v>9254</v>
      </c>
      <c r="D326" s="736" t="s">
        <v>9255</v>
      </c>
      <c r="E326" s="683"/>
      <c r="F326" s="685">
        <v>1</v>
      </c>
      <c r="G326" s="737">
        <v>25.14</v>
      </c>
      <c r="H326" s="685">
        <v>25.14</v>
      </c>
      <c r="I326" s="672" t="s">
        <v>9218</v>
      </c>
      <c r="J326" s="672" t="s">
        <v>9219</v>
      </c>
      <c r="K326" s="672" t="s">
        <v>2354</v>
      </c>
      <c r="L326" s="672" t="s">
        <v>9219</v>
      </c>
    </row>
    <row r="327" spans="1:12" x14ac:dyDescent="0.2">
      <c r="A327" s="681" t="s">
        <v>220</v>
      </c>
      <c r="B327" s="681" t="s">
        <v>2351</v>
      </c>
      <c r="C327" s="736" t="s">
        <v>3155</v>
      </c>
      <c r="D327" s="736" t="s">
        <v>3156</v>
      </c>
      <c r="E327" s="683"/>
      <c r="F327" s="685">
        <v>1</v>
      </c>
      <c r="G327" s="737">
        <v>226.54079999999999</v>
      </c>
      <c r="H327" s="685">
        <v>226.54079999999999</v>
      </c>
      <c r="I327" s="672" t="s">
        <v>9218</v>
      </c>
      <c r="J327" s="672" t="s">
        <v>9219</v>
      </c>
      <c r="K327" s="672" t="s">
        <v>2354</v>
      </c>
      <c r="L327" s="672" t="s">
        <v>9219</v>
      </c>
    </row>
    <row r="328" spans="1:12" x14ac:dyDescent="0.2">
      <c r="A328" s="681" t="s">
        <v>220</v>
      </c>
      <c r="B328" s="681" t="s">
        <v>2351</v>
      </c>
      <c r="C328" s="736" t="s">
        <v>3159</v>
      </c>
      <c r="D328" s="736" t="s">
        <v>3160</v>
      </c>
      <c r="E328" s="683"/>
      <c r="F328" s="685">
        <v>1</v>
      </c>
      <c r="G328" s="737">
        <v>284.26499999999999</v>
      </c>
      <c r="H328" s="685">
        <v>284.26499999999999</v>
      </c>
      <c r="I328" s="672" t="s">
        <v>9218</v>
      </c>
      <c r="J328" s="672" t="s">
        <v>9219</v>
      </c>
      <c r="K328" s="672" t="s">
        <v>2354</v>
      </c>
      <c r="L328" s="672" t="s">
        <v>9219</v>
      </c>
    </row>
    <row r="329" spans="1:12" x14ac:dyDescent="0.2">
      <c r="A329" s="681" t="s">
        <v>220</v>
      </c>
      <c r="B329" s="681" t="s">
        <v>2351</v>
      </c>
      <c r="C329" s="736" t="s">
        <v>3161</v>
      </c>
      <c r="D329" s="736" t="s">
        <v>3162</v>
      </c>
      <c r="E329" s="683"/>
      <c r="F329" s="685">
        <v>6</v>
      </c>
      <c r="G329" s="737">
        <v>0</v>
      </c>
      <c r="H329" s="685">
        <v>0</v>
      </c>
      <c r="I329" s="672" t="s">
        <v>9218</v>
      </c>
      <c r="J329" s="672" t="s">
        <v>9219</v>
      </c>
      <c r="K329" s="672" t="s">
        <v>2354</v>
      </c>
      <c r="L329" s="672" t="s">
        <v>9219</v>
      </c>
    </row>
    <row r="330" spans="1:12" x14ac:dyDescent="0.2">
      <c r="A330" s="681" t="s">
        <v>220</v>
      </c>
      <c r="B330" s="681" t="s">
        <v>2351</v>
      </c>
      <c r="C330" s="736" t="s">
        <v>3163</v>
      </c>
      <c r="D330" s="736" t="s">
        <v>3164</v>
      </c>
      <c r="E330" s="683"/>
      <c r="F330" s="685">
        <v>31</v>
      </c>
      <c r="G330" s="737">
        <v>11.16</v>
      </c>
      <c r="H330" s="685">
        <v>345.96</v>
      </c>
      <c r="I330" s="672" t="s">
        <v>9218</v>
      </c>
      <c r="J330" s="672" t="s">
        <v>9219</v>
      </c>
      <c r="K330" s="672" t="s">
        <v>2354</v>
      </c>
      <c r="L330" s="672" t="s">
        <v>9219</v>
      </c>
    </row>
    <row r="331" spans="1:12" x14ac:dyDescent="0.2">
      <c r="A331" s="681" t="s">
        <v>220</v>
      </c>
      <c r="B331" s="681" t="s">
        <v>2351</v>
      </c>
      <c r="C331" s="736" t="s">
        <v>3171</v>
      </c>
      <c r="D331" s="736" t="s">
        <v>3172</v>
      </c>
      <c r="E331" s="683"/>
      <c r="F331" s="685">
        <v>789</v>
      </c>
      <c r="G331" s="737">
        <v>10.228109803194808</v>
      </c>
      <c r="H331" s="685">
        <v>8069.9786347207037</v>
      </c>
      <c r="I331" s="672" t="s">
        <v>9218</v>
      </c>
      <c r="J331" s="672" t="s">
        <v>9219</v>
      </c>
      <c r="K331" s="672" t="s">
        <v>2354</v>
      </c>
      <c r="L331" s="672" t="s">
        <v>9219</v>
      </c>
    </row>
    <row r="332" spans="1:12" x14ac:dyDescent="0.2">
      <c r="A332" s="681" t="s">
        <v>220</v>
      </c>
      <c r="B332" s="681" t="s">
        <v>2351</v>
      </c>
      <c r="C332" s="736" t="s">
        <v>3173</v>
      </c>
      <c r="D332" s="736" t="s">
        <v>3174</v>
      </c>
      <c r="E332" s="683"/>
      <c r="F332" s="685">
        <v>303</v>
      </c>
      <c r="G332" s="737">
        <v>16.332267584652133</v>
      </c>
      <c r="H332" s="685">
        <v>4948.6770781495961</v>
      </c>
      <c r="I332" s="672" t="s">
        <v>9218</v>
      </c>
      <c r="J332" s="672" t="s">
        <v>9219</v>
      </c>
      <c r="K332" s="672" t="s">
        <v>2354</v>
      </c>
      <c r="L332" s="672" t="s">
        <v>9219</v>
      </c>
    </row>
    <row r="333" spans="1:12" x14ac:dyDescent="0.2">
      <c r="A333" s="681" t="s">
        <v>220</v>
      </c>
      <c r="B333" s="681" t="s">
        <v>2351</v>
      </c>
      <c r="C333" s="736" t="s">
        <v>3203</v>
      </c>
      <c r="D333" s="736" t="s">
        <v>3204</v>
      </c>
      <c r="E333" s="683"/>
      <c r="F333" s="685">
        <v>19</v>
      </c>
      <c r="G333" s="737">
        <v>0.58096363636363624</v>
      </c>
      <c r="H333" s="685">
        <v>11.038309090909088</v>
      </c>
      <c r="I333" s="672" t="s">
        <v>9218</v>
      </c>
      <c r="J333" s="672" t="s">
        <v>9219</v>
      </c>
      <c r="K333" s="672" t="s">
        <v>2354</v>
      </c>
      <c r="L333" s="672" t="s">
        <v>9219</v>
      </c>
    </row>
    <row r="334" spans="1:12" x14ac:dyDescent="0.2">
      <c r="A334" s="681" t="s">
        <v>220</v>
      </c>
      <c r="B334" s="681" t="s">
        <v>2351</v>
      </c>
      <c r="C334" s="736" t="s">
        <v>5372</v>
      </c>
      <c r="D334" s="736" t="s">
        <v>5373</v>
      </c>
      <c r="E334" s="683"/>
      <c r="F334" s="685">
        <v>25</v>
      </c>
      <c r="G334" s="737">
        <v>0.69479999999999997</v>
      </c>
      <c r="H334" s="685">
        <v>17.37</v>
      </c>
      <c r="I334" s="672" t="s">
        <v>9218</v>
      </c>
      <c r="J334" s="672" t="s">
        <v>9219</v>
      </c>
      <c r="K334" s="672" t="s">
        <v>2354</v>
      </c>
      <c r="L334" s="672" t="s">
        <v>9219</v>
      </c>
    </row>
    <row r="335" spans="1:12" x14ac:dyDescent="0.2">
      <c r="A335" s="681" t="s">
        <v>220</v>
      </c>
      <c r="B335" s="681" t="s">
        <v>2351</v>
      </c>
      <c r="C335" s="736" t="s">
        <v>3207</v>
      </c>
      <c r="D335" s="736" t="s">
        <v>3208</v>
      </c>
      <c r="E335" s="683"/>
      <c r="F335" s="685">
        <v>24</v>
      </c>
      <c r="G335" s="737">
        <v>1.9525128964059197</v>
      </c>
      <c r="H335" s="685">
        <v>46.860309513742074</v>
      </c>
      <c r="I335" s="672" t="s">
        <v>9218</v>
      </c>
      <c r="J335" s="672" t="s">
        <v>9219</v>
      </c>
      <c r="K335" s="672" t="s">
        <v>2354</v>
      </c>
      <c r="L335" s="672" t="s">
        <v>9219</v>
      </c>
    </row>
    <row r="336" spans="1:12" x14ac:dyDescent="0.2">
      <c r="A336" s="681" t="s">
        <v>220</v>
      </c>
      <c r="B336" s="681" t="s">
        <v>2351</v>
      </c>
      <c r="C336" s="736" t="s">
        <v>3225</v>
      </c>
      <c r="D336" s="736" t="s">
        <v>3226</v>
      </c>
      <c r="E336" s="683"/>
      <c r="F336" s="685">
        <v>18</v>
      </c>
      <c r="G336" s="737">
        <v>1.3130999999999999</v>
      </c>
      <c r="H336" s="685">
        <v>23.6358</v>
      </c>
      <c r="I336" s="672" t="s">
        <v>9218</v>
      </c>
      <c r="J336" s="672" t="s">
        <v>9219</v>
      </c>
      <c r="K336" s="672" t="s">
        <v>2354</v>
      </c>
      <c r="L336" s="672" t="s">
        <v>9219</v>
      </c>
    </row>
    <row r="337" spans="1:12" x14ac:dyDescent="0.2">
      <c r="A337" s="681" t="s">
        <v>220</v>
      </c>
      <c r="B337" s="681" t="s">
        <v>2351</v>
      </c>
      <c r="C337" s="736" t="s">
        <v>3227</v>
      </c>
      <c r="D337" s="736" t="s">
        <v>3228</v>
      </c>
      <c r="E337" s="683"/>
      <c r="F337" s="685">
        <v>4</v>
      </c>
      <c r="G337" s="737">
        <v>2.3380000000000001</v>
      </c>
      <c r="H337" s="685">
        <v>9.3520000000000003</v>
      </c>
      <c r="I337" s="672" t="s">
        <v>9218</v>
      </c>
      <c r="J337" s="672" t="s">
        <v>9219</v>
      </c>
      <c r="K337" s="672" t="s">
        <v>2354</v>
      </c>
      <c r="L337" s="672" t="s">
        <v>9219</v>
      </c>
    </row>
    <row r="338" spans="1:12" x14ac:dyDescent="0.2">
      <c r="A338" s="681" t="s">
        <v>220</v>
      </c>
      <c r="B338" s="681" t="s">
        <v>2351</v>
      </c>
      <c r="C338" s="736" t="s">
        <v>3369</v>
      </c>
      <c r="D338" s="736" t="s">
        <v>3370</v>
      </c>
      <c r="E338" s="683"/>
      <c r="F338" s="685">
        <v>10</v>
      </c>
      <c r="G338" s="737">
        <v>100.2546</v>
      </c>
      <c r="H338" s="685">
        <v>1002.5459999999999</v>
      </c>
      <c r="I338" s="672" t="s">
        <v>9218</v>
      </c>
      <c r="J338" s="672" t="s">
        <v>9219</v>
      </c>
      <c r="K338" s="672" t="s">
        <v>2354</v>
      </c>
      <c r="L338" s="672" t="s">
        <v>9219</v>
      </c>
    </row>
    <row r="339" spans="1:12" x14ac:dyDescent="0.2">
      <c r="A339" s="681" t="s">
        <v>220</v>
      </c>
      <c r="B339" s="681" t="s">
        <v>2351</v>
      </c>
      <c r="C339" s="736" t="s">
        <v>9256</v>
      </c>
      <c r="D339" s="736" t="s">
        <v>9257</v>
      </c>
      <c r="E339" s="683"/>
      <c r="F339" s="685">
        <v>2</v>
      </c>
      <c r="G339" s="737">
        <v>0</v>
      </c>
      <c r="H339" s="685">
        <v>0</v>
      </c>
      <c r="I339" s="672" t="s">
        <v>9218</v>
      </c>
      <c r="J339" s="672" t="s">
        <v>9219</v>
      </c>
      <c r="K339" s="672" t="s">
        <v>2354</v>
      </c>
      <c r="L339" s="672" t="s">
        <v>9219</v>
      </c>
    </row>
    <row r="340" spans="1:12" x14ac:dyDescent="0.2">
      <c r="A340" s="681" t="s">
        <v>220</v>
      </c>
      <c r="B340" s="681" t="s">
        <v>2351</v>
      </c>
      <c r="C340" s="736"/>
      <c r="D340" s="736" t="s">
        <v>9258</v>
      </c>
      <c r="E340" s="683"/>
      <c r="F340" s="685">
        <v>1</v>
      </c>
      <c r="G340" s="737">
        <v>0</v>
      </c>
      <c r="H340" s="685">
        <v>0</v>
      </c>
      <c r="I340" s="672" t="s">
        <v>9218</v>
      </c>
      <c r="J340" s="672" t="s">
        <v>9219</v>
      </c>
      <c r="K340" s="672" t="s">
        <v>2354</v>
      </c>
      <c r="L340" s="672" t="s">
        <v>9219</v>
      </c>
    </row>
    <row r="341" spans="1:12" x14ac:dyDescent="0.2">
      <c r="A341" s="681" t="s">
        <v>220</v>
      </c>
      <c r="B341" s="681" t="s">
        <v>2351</v>
      </c>
      <c r="C341" s="736" t="s">
        <v>3371</v>
      </c>
      <c r="D341" s="736" t="s">
        <v>3372</v>
      </c>
      <c r="E341" s="683"/>
      <c r="F341" s="685">
        <v>6</v>
      </c>
      <c r="G341" s="737">
        <v>166.08</v>
      </c>
      <c r="H341" s="685">
        <v>996.48</v>
      </c>
      <c r="I341" s="672" t="s">
        <v>9218</v>
      </c>
      <c r="J341" s="672" t="s">
        <v>9219</v>
      </c>
      <c r="K341" s="672" t="s">
        <v>2354</v>
      </c>
      <c r="L341" s="672" t="s">
        <v>9219</v>
      </c>
    </row>
    <row r="342" spans="1:12" x14ac:dyDescent="0.2">
      <c r="A342" s="681" t="s">
        <v>220</v>
      </c>
      <c r="B342" s="681" t="s">
        <v>2351</v>
      </c>
      <c r="C342" s="736" t="s">
        <v>3375</v>
      </c>
      <c r="D342" s="736" t="s">
        <v>3376</v>
      </c>
      <c r="E342" s="683"/>
      <c r="F342" s="685">
        <v>6</v>
      </c>
      <c r="G342" s="737">
        <v>172.39200000000002</v>
      </c>
      <c r="H342" s="685">
        <v>1034.3520000000001</v>
      </c>
      <c r="I342" s="672" t="s">
        <v>9218</v>
      </c>
      <c r="J342" s="672" t="s">
        <v>9219</v>
      </c>
      <c r="K342" s="672" t="s">
        <v>2354</v>
      </c>
      <c r="L342" s="672" t="s">
        <v>9219</v>
      </c>
    </row>
    <row r="343" spans="1:12" x14ac:dyDescent="0.2">
      <c r="A343" s="681" t="s">
        <v>220</v>
      </c>
      <c r="B343" s="681" t="s">
        <v>2351</v>
      </c>
      <c r="C343" s="736" t="s">
        <v>3377</v>
      </c>
      <c r="D343" s="736" t="s">
        <v>3378</v>
      </c>
      <c r="E343" s="683"/>
      <c r="F343" s="685">
        <v>4</v>
      </c>
      <c r="G343" s="737">
        <v>177.88499999999999</v>
      </c>
      <c r="H343" s="685">
        <v>711.54</v>
      </c>
      <c r="I343" s="672" t="s">
        <v>9218</v>
      </c>
      <c r="J343" s="672" t="s">
        <v>9219</v>
      </c>
      <c r="K343" s="672" t="s">
        <v>2354</v>
      </c>
      <c r="L343" s="672" t="s">
        <v>9219</v>
      </c>
    </row>
    <row r="344" spans="1:12" x14ac:dyDescent="0.2">
      <c r="A344" s="681" t="s">
        <v>220</v>
      </c>
      <c r="B344" s="681" t="s">
        <v>2351</v>
      </c>
      <c r="C344" s="736" t="s">
        <v>3379</v>
      </c>
      <c r="D344" s="736" t="s">
        <v>3380</v>
      </c>
      <c r="E344" s="683"/>
      <c r="F344" s="685">
        <v>1</v>
      </c>
      <c r="G344" s="737">
        <v>198</v>
      </c>
      <c r="H344" s="685">
        <v>198</v>
      </c>
      <c r="I344" s="672" t="s">
        <v>9218</v>
      </c>
      <c r="J344" s="672" t="s">
        <v>9219</v>
      </c>
      <c r="K344" s="672" t="s">
        <v>2354</v>
      </c>
      <c r="L344" s="672" t="s">
        <v>9219</v>
      </c>
    </row>
    <row r="345" spans="1:12" x14ac:dyDescent="0.2">
      <c r="A345" s="681" t="s">
        <v>220</v>
      </c>
      <c r="B345" s="681" t="s">
        <v>2351</v>
      </c>
      <c r="C345" s="736" t="s">
        <v>3407</v>
      </c>
      <c r="D345" s="736" t="s">
        <v>3408</v>
      </c>
      <c r="E345" s="683"/>
      <c r="F345" s="685">
        <v>48</v>
      </c>
      <c r="G345" s="737">
        <v>5.0084999999999997</v>
      </c>
      <c r="H345" s="685">
        <v>240.40799999999999</v>
      </c>
      <c r="I345" s="672" t="s">
        <v>9218</v>
      </c>
      <c r="J345" s="672" t="s">
        <v>9219</v>
      </c>
      <c r="K345" s="672" t="s">
        <v>2354</v>
      </c>
      <c r="L345" s="672" t="s">
        <v>9219</v>
      </c>
    </row>
    <row r="346" spans="1:12" x14ac:dyDescent="0.2">
      <c r="A346" s="681" t="s">
        <v>220</v>
      </c>
      <c r="B346" s="681" t="s">
        <v>2351</v>
      </c>
      <c r="C346" s="736" t="s">
        <v>3409</v>
      </c>
      <c r="D346" s="736" t="s">
        <v>3410</v>
      </c>
      <c r="E346" s="683"/>
      <c r="F346" s="685">
        <v>4</v>
      </c>
      <c r="G346" s="737">
        <v>165.3</v>
      </c>
      <c r="H346" s="685">
        <v>661.2</v>
      </c>
      <c r="I346" s="672" t="s">
        <v>9218</v>
      </c>
      <c r="J346" s="672" t="s">
        <v>9219</v>
      </c>
      <c r="K346" s="672" t="s">
        <v>2354</v>
      </c>
      <c r="L346" s="672" t="s">
        <v>9219</v>
      </c>
    </row>
    <row r="347" spans="1:12" x14ac:dyDescent="0.2">
      <c r="A347" s="681" t="s">
        <v>220</v>
      </c>
      <c r="B347" s="681" t="s">
        <v>2351</v>
      </c>
      <c r="C347" s="736" t="s">
        <v>3411</v>
      </c>
      <c r="D347" s="736" t="s">
        <v>3412</v>
      </c>
      <c r="E347" s="683"/>
      <c r="F347" s="685">
        <v>2</v>
      </c>
      <c r="G347" s="737">
        <v>14.178599999999999</v>
      </c>
      <c r="H347" s="685">
        <v>28.357199999999999</v>
      </c>
      <c r="I347" s="672" t="s">
        <v>9218</v>
      </c>
      <c r="J347" s="672" t="s">
        <v>9219</v>
      </c>
      <c r="K347" s="672" t="s">
        <v>2354</v>
      </c>
      <c r="L347" s="672" t="s">
        <v>9219</v>
      </c>
    </row>
    <row r="348" spans="1:12" x14ac:dyDescent="0.2">
      <c r="A348" s="681" t="s">
        <v>220</v>
      </c>
      <c r="B348" s="681" t="s">
        <v>2351</v>
      </c>
      <c r="C348" s="736" t="s">
        <v>3413</v>
      </c>
      <c r="D348" s="736" t="s">
        <v>3414</v>
      </c>
      <c r="E348" s="683"/>
      <c r="F348" s="685">
        <v>4</v>
      </c>
      <c r="G348" s="737">
        <v>12.701700000000001</v>
      </c>
      <c r="H348" s="685">
        <v>50.806800000000003</v>
      </c>
      <c r="I348" s="672" t="s">
        <v>9218</v>
      </c>
      <c r="J348" s="672" t="s">
        <v>9219</v>
      </c>
      <c r="K348" s="672" t="s">
        <v>2354</v>
      </c>
      <c r="L348" s="672" t="s">
        <v>9219</v>
      </c>
    </row>
    <row r="349" spans="1:12" x14ac:dyDescent="0.2">
      <c r="A349" s="681" t="s">
        <v>220</v>
      </c>
      <c r="B349" s="681" t="s">
        <v>2351</v>
      </c>
      <c r="C349" s="736" t="s">
        <v>3415</v>
      </c>
      <c r="D349" s="736" t="s">
        <v>3416</v>
      </c>
      <c r="E349" s="683"/>
      <c r="F349" s="685">
        <v>2</v>
      </c>
      <c r="G349" s="737">
        <v>119.6001</v>
      </c>
      <c r="H349" s="685">
        <v>239.2002</v>
      </c>
      <c r="I349" s="672" t="s">
        <v>9218</v>
      </c>
      <c r="J349" s="672" t="s">
        <v>9219</v>
      </c>
      <c r="K349" s="672" t="s">
        <v>2354</v>
      </c>
      <c r="L349" s="672" t="s">
        <v>9219</v>
      </c>
    </row>
    <row r="350" spans="1:12" x14ac:dyDescent="0.2">
      <c r="A350" s="681" t="s">
        <v>220</v>
      </c>
      <c r="B350" s="681" t="s">
        <v>2351</v>
      </c>
      <c r="C350" s="736" t="s">
        <v>3417</v>
      </c>
      <c r="D350" s="736" t="s">
        <v>3418</v>
      </c>
      <c r="E350" s="683"/>
      <c r="F350" s="685">
        <v>1</v>
      </c>
      <c r="G350" s="737">
        <v>489.53530000000001</v>
      </c>
      <c r="H350" s="685">
        <v>489.53530000000001</v>
      </c>
      <c r="I350" s="672" t="s">
        <v>9218</v>
      </c>
      <c r="J350" s="672" t="s">
        <v>9219</v>
      </c>
      <c r="K350" s="672" t="s">
        <v>2354</v>
      </c>
      <c r="L350" s="672" t="s">
        <v>9219</v>
      </c>
    </row>
    <row r="351" spans="1:12" x14ac:dyDescent="0.2">
      <c r="A351" s="681" t="s">
        <v>220</v>
      </c>
      <c r="B351" s="681" t="s">
        <v>2351</v>
      </c>
      <c r="C351" s="736" t="s">
        <v>3419</v>
      </c>
      <c r="D351" s="736" t="s">
        <v>3420</v>
      </c>
      <c r="E351" s="683"/>
      <c r="F351" s="685">
        <v>4</v>
      </c>
      <c r="G351" s="737">
        <v>138</v>
      </c>
      <c r="H351" s="685">
        <v>552</v>
      </c>
      <c r="I351" s="672" t="s">
        <v>9218</v>
      </c>
      <c r="J351" s="672" t="s">
        <v>9219</v>
      </c>
      <c r="K351" s="672" t="s">
        <v>2354</v>
      </c>
      <c r="L351" s="672" t="s">
        <v>9219</v>
      </c>
    </row>
    <row r="352" spans="1:12" x14ac:dyDescent="0.2">
      <c r="A352" s="681" t="s">
        <v>220</v>
      </c>
      <c r="B352" s="681" t="s">
        <v>2351</v>
      </c>
      <c r="C352" s="736" t="s">
        <v>3421</v>
      </c>
      <c r="D352" s="736" t="s">
        <v>3422</v>
      </c>
      <c r="E352" s="683"/>
      <c r="F352" s="685">
        <v>31</v>
      </c>
      <c r="G352" s="737">
        <v>14</v>
      </c>
      <c r="H352" s="685">
        <v>434</v>
      </c>
      <c r="I352" s="672" t="s">
        <v>9218</v>
      </c>
      <c r="J352" s="672" t="s">
        <v>9219</v>
      </c>
      <c r="K352" s="672" t="s">
        <v>2354</v>
      </c>
      <c r="L352" s="672" t="s">
        <v>9219</v>
      </c>
    </row>
    <row r="353" spans="1:12" x14ac:dyDescent="0.2">
      <c r="A353" s="681" t="s">
        <v>220</v>
      </c>
      <c r="B353" s="681" t="s">
        <v>2351</v>
      </c>
      <c r="C353" s="736" t="s">
        <v>3423</v>
      </c>
      <c r="D353" s="736" t="s">
        <v>3424</v>
      </c>
      <c r="E353" s="683"/>
      <c r="F353" s="685">
        <v>3</v>
      </c>
      <c r="G353" s="737">
        <v>589.88173333333327</v>
      </c>
      <c r="H353" s="685">
        <v>1769.6451999999999</v>
      </c>
      <c r="I353" s="672" t="s">
        <v>9218</v>
      </c>
      <c r="J353" s="672" t="s">
        <v>9219</v>
      </c>
      <c r="K353" s="672" t="s">
        <v>2354</v>
      </c>
      <c r="L353" s="672" t="s">
        <v>9219</v>
      </c>
    </row>
    <row r="354" spans="1:12" x14ac:dyDescent="0.2">
      <c r="A354" s="681" t="s">
        <v>220</v>
      </c>
      <c r="B354" s="681" t="s">
        <v>2351</v>
      </c>
      <c r="C354" s="736" t="s">
        <v>3425</v>
      </c>
      <c r="D354" s="736" t="s">
        <v>3426</v>
      </c>
      <c r="E354" s="683"/>
      <c r="F354" s="685">
        <v>1</v>
      </c>
      <c r="G354" s="737">
        <v>133.62</v>
      </c>
      <c r="H354" s="685">
        <v>133.62</v>
      </c>
      <c r="I354" s="672" t="s">
        <v>9218</v>
      </c>
      <c r="J354" s="672" t="s">
        <v>9219</v>
      </c>
      <c r="K354" s="672" t="s">
        <v>2354</v>
      </c>
      <c r="L354" s="672" t="s">
        <v>9219</v>
      </c>
    </row>
    <row r="355" spans="1:12" x14ac:dyDescent="0.2">
      <c r="A355" s="681" t="s">
        <v>220</v>
      </c>
      <c r="B355" s="681" t="s">
        <v>2351</v>
      </c>
      <c r="C355" s="736" t="s">
        <v>3429</v>
      </c>
      <c r="D355" s="736" t="s">
        <v>3430</v>
      </c>
      <c r="E355" s="683"/>
      <c r="F355" s="685">
        <v>3</v>
      </c>
      <c r="G355" s="737">
        <v>2.7591000000000001</v>
      </c>
      <c r="H355" s="685">
        <v>8.2773000000000003</v>
      </c>
      <c r="I355" s="672" t="s">
        <v>9218</v>
      </c>
      <c r="J355" s="672" t="s">
        <v>9219</v>
      </c>
      <c r="K355" s="672" t="s">
        <v>2354</v>
      </c>
      <c r="L355" s="672" t="s">
        <v>9219</v>
      </c>
    </row>
    <row r="356" spans="1:12" x14ac:dyDescent="0.2">
      <c r="A356" s="681" t="s">
        <v>220</v>
      </c>
      <c r="B356" s="681" t="s">
        <v>2351</v>
      </c>
      <c r="C356" s="736" t="s">
        <v>3431</v>
      </c>
      <c r="D356" s="736" t="s">
        <v>3432</v>
      </c>
      <c r="E356" s="683"/>
      <c r="F356" s="685">
        <v>3</v>
      </c>
      <c r="G356" s="737">
        <v>50.4</v>
      </c>
      <c r="H356" s="685">
        <v>151.19999999999999</v>
      </c>
      <c r="I356" s="672" t="s">
        <v>9218</v>
      </c>
      <c r="J356" s="672" t="s">
        <v>9219</v>
      </c>
      <c r="K356" s="672" t="s">
        <v>2354</v>
      </c>
      <c r="L356" s="672" t="s">
        <v>9219</v>
      </c>
    </row>
    <row r="357" spans="1:12" x14ac:dyDescent="0.2">
      <c r="A357" s="681" t="s">
        <v>220</v>
      </c>
      <c r="B357" s="681" t="s">
        <v>2351</v>
      </c>
      <c r="C357" s="736" t="s">
        <v>3433</v>
      </c>
      <c r="D357" s="736" t="s">
        <v>3434</v>
      </c>
      <c r="E357" s="683" t="s">
        <v>10139</v>
      </c>
      <c r="F357" s="685">
        <v>5</v>
      </c>
      <c r="G357" s="737">
        <v>3.7944000000000004</v>
      </c>
      <c r="H357" s="685">
        <v>18.972000000000001</v>
      </c>
      <c r="I357" s="672" t="s">
        <v>9218</v>
      </c>
      <c r="J357" s="672" t="s">
        <v>9219</v>
      </c>
      <c r="K357" s="672" t="s">
        <v>2354</v>
      </c>
      <c r="L357" s="672" t="s">
        <v>9219</v>
      </c>
    </row>
    <row r="358" spans="1:12" x14ac:dyDescent="0.2">
      <c r="A358" s="681" t="s">
        <v>220</v>
      </c>
      <c r="B358" s="681" t="s">
        <v>2351</v>
      </c>
      <c r="C358" s="736" t="s">
        <v>9261</v>
      </c>
      <c r="D358" s="736" t="s">
        <v>9262</v>
      </c>
      <c r="E358" s="683"/>
      <c r="F358" s="685">
        <v>2</v>
      </c>
      <c r="G358" s="737">
        <v>145</v>
      </c>
      <c r="H358" s="685">
        <v>290</v>
      </c>
      <c r="I358" s="672" t="s">
        <v>9218</v>
      </c>
      <c r="J358" s="672" t="s">
        <v>9219</v>
      </c>
      <c r="K358" s="672" t="s">
        <v>2354</v>
      </c>
      <c r="L358" s="672" t="s">
        <v>9219</v>
      </c>
    </row>
    <row r="359" spans="1:12" x14ac:dyDescent="0.2">
      <c r="A359" s="681" t="s">
        <v>220</v>
      </c>
      <c r="B359" s="681" t="s">
        <v>2351</v>
      </c>
      <c r="C359" s="736" t="s">
        <v>3441</v>
      </c>
      <c r="D359" s="736" t="s">
        <v>3442</v>
      </c>
      <c r="E359" s="683"/>
      <c r="F359" s="685">
        <v>3</v>
      </c>
      <c r="G359" s="737">
        <v>53.76</v>
      </c>
      <c r="H359" s="685">
        <v>161.28</v>
      </c>
      <c r="I359" s="672" t="s">
        <v>9218</v>
      </c>
      <c r="J359" s="672" t="s">
        <v>9219</v>
      </c>
      <c r="K359" s="672" t="s">
        <v>2354</v>
      </c>
      <c r="L359" s="672" t="s">
        <v>9219</v>
      </c>
    </row>
    <row r="360" spans="1:12" x14ac:dyDescent="0.2">
      <c r="A360" s="681" t="s">
        <v>220</v>
      </c>
      <c r="B360" s="681" t="s">
        <v>2351</v>
      </c>
      <c r="C360" s="736" t="s">
        <v>3443</v>
      </c>
      <c r="D360" s="736" t="s">
        <v>3444</v>
      </c>
      <c r="E360" s="683"/>
      <c r="F360" s="685">
        <v>3</v>
      </c>
      <c r="G360" s="737">
        <v>24.678000000000001</v>
      </c>
      <c r="H360" s="685">
        <v>74.034000000000006</v>
      </c>
      <c r="I360" s="672" t="s">
        <v>9218</v>
      </c>
      <c r="J360" s="672" t="s">
        <v>9219</v>
      </c>
      <c r="K360" s="672" t="s">
        <v>2354</v>
      </c>
      <c r="L360" s="672" t="s">
        <v>9219</v>
      </c>
    </row>
    <row r="361" spans="1:12" x14ac:dyDescent="0.2">
      <c r="A361" s="681" t="s">
        <v>220</v>
      </c>
      <c r="B361" s="681" t="s">
        <v>2351</v>
      </c>
      <c r="C361" s="736" t="s">
        <v>3445</v>
      </c>
      <c r="D361" s="736" t="s">
        <v>3446</v>
      </c>
      <c r="E361" s="683"/>
      <c r="F361" s="685">
        <v>1</v>
      </c>
      <c r="G361" s="737">
        <v>62.092799999999997</v>
      </c>
      <c r="H361" s="685">
        <v>62.092799999999997</v>
      </c>
      <c r="I361" s="672" t="s">
        <v>9218</v>
      </c>
      <c r="J361" s="672" t="s">
        <v>9219</v>
      </c>
      <c r="K361" s="672" t="s">
        <v>2354</v>
      </c>
      <c r="L361" s="672" t="s">
        <v>9219</v>
      </c>
    </row>
    <row r="362" spans="1:12" x14ac:dyDescent="0.2">
      <c r="A362" s="681" t="s">
        <v>220</v>
      </c>
      <c r="B362" s="681" t="s">
        <v>2351</v>
      </c>
      <c r="C362" s="736" t="s">
        <v>3447</v>
      </c>
      <c r="D362" s="736" t="s">
        <v>3448</v>
      </c>
      <c r="E362" s="683"/>
      <c r="F362" s="685">
        <v>1</v>
      </c>
      <c r="G362" s="737">
        <v>46.98</v>
      </c>
      <c r="H362" s="685">
        <v>46.98</v>
      </c>
      <c r="I362" s="672" t="s">
        <v>9218</v>
      </c>
      <c r="J362" s="672" t="s">
        <v>9219</v>
      </c>
      <c r="K362" s="672" t="s">
        <v>2354</v>
      </c>
      <c r="L362" s="672" t="s">
        <v>9219</v>
      </c>
    </row>
    <row r="363" spans="1:12" x14ac:dyDescent="0.2">
      <c r="A363" s="681" t="s">
        <v>220</v>
      </c>
      <c r="B363" s="681" t="s">
        <v>2351</v>
      </c>
      <c r="C363" s="736" t="s">
        <v>3451</v>
      </c>
      <c r="D363" s="736" t="s">
        <v>3452</v>
      </c>
      <c r="E363" s="683"/>
      <c r="F363" s="685">
        <v>10</v>
      </c>
      <c r="G363" s="737">
        <v>14.076000000000001</v>
      </c>
      <c r="H363" s="685">
        <v>140.76</v>
      </c>
      <c r="I363" s="672" t="s">
        <v>9218</v>
      </c>
      <c r="J363" s="672" t="s">
        <v>9219</v>
      </c>
      <c r="K363" s="672" t="s">
        <v>2354</v>
      </c>
      <c r="L363" s="672" t="s">
        <v>9219</v>
      </c>
    </row>
    <row r="364" spans="1:12" x14ac:dyDescent="0.2">
      <c r="A364" s="681" t="s">
        <v>220</v>
      </c>
      <c r="B364" s="681" t="s">
        <v>2351</v>
      </c>
      <c r="C364" s="736" t="s">
        <v>3577</v>
      </c>
      <c r="D364" s="736" t="s">
        <v>3578</v>
      </c>
      <c r="E364" s="683"/>
      <c r="F364" s="685">
        <v>5</v>
      </c>
      <c r="G364" s="737">
        <v>11.475</v>
      </c>
      <c r="H364" s="685">
        <v>57.375</v>
      </c>
      <c r="I364" s="672" t="s">
        <v>9218</v>
      </c>
      <c r="J364" s="672" t="s">
        <v>9219</v>
      </c>
      <c r="K364" s="672" t="s">
        <v>2354</v>
      </c>
      <c r="L364" s="672" t="s">
        <v>9219</v>
      </c>
    </row>
    <row r="365" spans="1:12" x14ac:dyDescent="0.2">
      <c r="A365" s="681" t="s">
        <v>220</v>
      </c>
      <c r="B365" s="681" t="s">
        <v>2351</v>
      </c>
      <c r="C365" s="736" t="s">
        <v>2419</v>
      </c>
      <c r="D365" s="736" t="s">
        <v>2420</v>
      </c>
      <c r="E365" s="683"/>
      <c r="F365" s="685">
        <v>10</v>
      </c>
      <c r="G365" s="737">
        <v>12.07</v>
      </c>
      <c r="H365" s="685">
        <v>120.7</v>
      </c>
      <c r="I365" s="672" t="s">
        <v>9218</v>
      </c>
      <c r="J365" s="672" t="s">
        <v>9219</v>
      </c>
      <c r="K365" s="672" t="s">
        <v>2354</v>
      </c>
      <c r="L365" s="672" t="s">
        <v>9219</v>
      </c>
    </row>
    <row r="366" spans="1:12" x14ac:dyDescent="0.2">
      <c r="A366" s="681" t="s">
        <v>220</v>
      </c>
      <c r="B366" s="681" t="s">
        <v>2351</v>
      </c>
      <c r="C366" s="736" t="s">
        <v>3793</v>
      </c>
      <c r="D366" s="736" t="s">
        <v>3794</v>
      </c>
      <c r="E366" s="683"/>
      <c r="F366" s="685">
        <v>5</v>
      </c>
      <c r="G366" s="737">
        <v>110.37883333333301</v>
      </c>
      <c r="H366" s="685">
        <v>551.894166666665</v>
      </c>
      <c r="I366" s="672" t="s">
        <v>9218</v>
      </c>
      <c r="J366" s="672" t="s">
        <v>9219</v>
      </c>
      <c r="K366" s="672" t="s">
        <v>2354</v>
      </c>
      <c r="L366" s="672" t="s">
        <v>9219</v>
      </c>
    </row>
    <row r="367" spans="1:12" x14ac:dyDescent="0.2">
      <c r="A367" s="681" t="s">
        <v>220</v>
      </c>
      <c r="B367" s="681" t="s">
        <v>2351</v>
      </c>
      <c r="C367" s="736" t="s">
        <v>3795</v>
      </c>
      <c r="D367" s="736" t="s">
        <v>3796</v>
      </c>
      <c r="E367" s="683"/>
      <c r="F367" s="685">
        <v>4</v>
      </c>
      <c r="G367" s="737">
        <v>141.57864000000001</v>
      </c>
      <c r="H367" s="685">
        <v>566.31456000000003</v>
      </c>
      <c r="I367" s="672" t="s">
        <v>9218</v>
      </c>
      <c r="J367" s="672" t="s">
        <v>9219</v>
      </c>
      <c r="K367" s="672" t="s">
        <v>2354</v>
      </c>
      <c r="L367" s="672" t="s">
        <v>9219</v>
      </c>
    </row>
    <row r="368" spans="1:12" x14ac:dyDescent="0.2">
      <c r="A368" s="681" t="s">
        <v>220</v>
      </c>
      <c r="B368" s="681" t="s">
        <v>2351</v>
      </c>
      <c r="C368" s="736"/>
      <c r="D368" s="736" t="s">
        <v>10140</v>
      </c>
      <c r="E368" s="683"/>
      <c r="F368" s="685">
        <v>2</v>
      </c>
      <c r="G368" s="737">
        <v>340.8</v>
      </c>
      <c r="H368" s="685">
        <v>681.6</v>
      </c>
      <c r="I368" s="672" t="s">
        <v>9218</v>
      </c>
      <c r="J368" s="672" t="s">
        <v>9219</v>
      </c>
      <c r="K368" s="672" t="s">
        <v>2354</v>
      </c>
      <c r="L368" s="672" t="s">
        <v>9219</v>
      </c>
    </row>
    <row r="369" spans="1:12" x14ac:dyDescent="0.2">
      <c r="A369" s="681" t="s">
        <v>220</v>
      </c>
      <c r="B369" s="681" t="s">
        <v>2351</v>
      </c>
      <c r="C369" s="736"/>
      <c r="D369" s="736" t="s">
        <v>9263</v>
      </c>
      <c r="E369" s="683"/>
      <c r="F369" s="685">
        <v>1</v>
      </c>
      <c r="G369" s="737">
        <v>340.8</v>
      </c>
      <c r="H369" s="685">
        <v>340.8</v>
      </c>
      <c r="I369" s="672" t="s">
        <v>9218</v>
      </c>
      <c r="J369" s="672" t="s">
        <v>9219</v>
      </c>
      <c r="K369" s="672" t="s">
        <v>2354</v>
      </c>
      <c r="L369" s="672" t="s">
        <v>9219</v>
      </c>
    </row>
    <row r="370" spans="1:12" x14ac:dyDescent="0.2">
      <c r="A370" s="681" t="s">
        <v>220</v>
      </c>
      <c r="B370" s="681" t="s">
        <v>2351</v>
      </c>
      <c r="C370" s="736" t="s">
        <v>3797</v>
      </c>
      <c r="D370" s="736" t="s">
        <v>3798</v>
      </c>
      <c r="E370" s="683"/>
      <c r="F370" s="685">
        <v>7</v>
      </c>
      <c r="G370" s="737">
        <v>102.2805</v>
      </c>
      <c r="H370" s="685">
        <v>715.96350000000007</v>
      </c>
      <c r="I370" s="672" t="s">
        <v>9218</v>
      </c>
      <c r="J370" s="672" t="s">
        <v>9219</v>
      </c>
      <c r="K370" s="672" t="s">
        <v>2354</v>
      </c>
      <c r="L370" s="672" t="s">
        <v>9219</v>
      </c>
    </row>
    <row r="371" spans="1:12" x14ac:dyDescent="0.2">
      <c r="A371" s="681" t="s">
        <v>220</v>
      </c>
      <c r="B371" s="681" t="s">
        <v>2351</v>
      </c>
      <c r="C371" s="736" t="s">
        <v>3799</v>
      </c>
      <c r="D371" s="736" t="s">
        <v>3800</v>
      </c>
      <c r="E371" s="683"/>
      <c r="F371" s="685">
        <v>1</v>
      </c>
      <c r="G371" s="737">
        <v>346.16480000000001</v>
      </c>
      <c r="H371" s="685">
        <v>346.16480000000001</v>
      </c>
      <c r="I371" s="672" t="s">
        <v>9218</v>
      </c>
      <c r="J371" s="672" t="s">
        <v>9219</v>
      </c>
      <c r="K371" s="672" t="s">
        <v>2354</v>
      </c>
      <c r="L371" s="672" t="s">
        <v>9219</v>
      </c>
    </row>
    <row r="372" spans="1:12" x14ac:dyDescent="0.2">
      <c r="A372" s="681" t="s">
        <v>220</v>
      </c>
      <c r="B372" s="681" t="s">
        <v>2351</v>
      </c>
      <c r="C372" s="736" t="s">
        <v>3801</v>
      </c>
      <c r="D372" s="736" t="s">
        <v>3802</v>
      </c>
      <c r="E372" s="683"/>
      <c r="F372" s="685">
        <v>4</v>
      </c>
      <c r="G372" s="737">
        <v>145</v>
      </c>
      <c r="H372" s="685">
        <v>580</v>
      </c>
      <c r="I372" s="672" t="s">
        <v>9218</v>
      </c>
      <c r="J372" s="672" t="s">
        <v>9219</v>
      </c>
      <c r="K372" s="672" t="s">
        <v>2354</v>
      </c>
      <c r="L372" s="672" t="s">
        <v>9219</v>
      </c>
    </row>
    <row r="373" spans="1:12" x14ac:dyDescent="0.2">
      <c r="A373" s="681" t="s">
        <v>220</v>
      </c>
      <c r="B373" s="681" t="s">
        <v>2351</v>
      </c>
      <c r="C373" s="736" t="s">
        <v>3803</v>
      </c>
      <c r="D373" s="736" t="s">
        <v>3804</v>
      </c>
      <c r="E373" s="683"/>
      <c r="F373" s="685">
        <v>2</v>
      </c>
      <c r="G373" s="737">
        <v>181.62799999999999</v>
      </c>
      <c r="H373" s="685">
        <v>363.25599999999997</v>
      </c>
      <c r="I373" s="672" t="s">
        <v>9218</v>
      </c>
      <c r="J373" s="672" t="s">
        <v>9219</v>
      </c>
      <c r="K373" s="672" t="s">
        <v>2354</v>
      </c>
      <c r="L373" s="672" t="s">
        <v>9219</v>
      </c>
    </row>
    <row r="374" spans="1:12" x14ac:dyDescent="0.2">
      <c r="A374" s="681" t="s">
        <v>220</v>
      </c>
      <c r="B374" s="681" t="s">
        <v>2351</v>
      </c>
      <c r="C374" s="736" t="s">
        <v>3805</v>
      </c>
      <c r="D374" s="736" t="s">
        <v>3806</v>
      </c>
      <c r="E374" s="683"/>
      <c r="F374" s="685">
        <v>5</v>
      </c>
      <c r="G374" s="737">
        <v>127.00620000000001</v>
      </c>
      <c r="H374" s="685">
        <v>635.03100000000006</v>
      </c>
      <c r="I374" s="672" t="s">
        <v>9218</v>
      </c>
      <c r="J374" s="672" t="s">
        <v>9219</v>
      </c>
      <c r="K374" s="672" t="s">
        <v>2354</v>
      </c>
      <c r="L374" s="672" t="s">
        <v>9219</v>
      </c>
    </row>
    <row r="375" spans="1:12" x14ac:dyDescent="0.2">
      <c r="A375" s="681" t="s">
        <v>220</v>
      </c>
      <c r="B375" s="681" t="s">
        <v>2351</v>
      </c>
      <c r="C375" s="736" t="s">
        <v>3807</v>
      </c>
      <c r="D375" s="736" t="s">
        <v>3808</v>
      </c>
      <c r="E375" s="683"/>
      <c r="F375" s="685">
        <v>5</v>
      </c>
      <c r="G375" s="737">
        <v>93.975999999999999</v>
      </c>
      <c r="H375" s="685">
        <v>469.88</v>
      </c>
      <c r="I375" s="672" t="s">
        <v>9218</v>
      </c>
      <c r="J375" s="672" t="s">
        <v>9219</v>
      </c>
      <c r="K375" s="672" t="s">
        <v>2354</v>
      </c>
      <c r="L375" s="672" t="s">
        <v>9219</v>
      </c>
    </row>
    <row r="376" spans="1:12" x14ac:dyDescent="0.2">
      <c r="A376" s="681" t="s">
        <v>220</v>
      </c>
      <c r="B376" s="681" t="s">
        <v>2351</v>
      </c>
      <c r="C376" s="736" t="s">
        <v>3811</v>
      </c>
      <c r="D376" s="736" t="s">
        <v>3812</v>
      </c>
      <c r="E376" s="683"/>
      <c r="F376" s="685">
        <v>1</v>
      </c>
      <c r="G376" s="737">
        <v>89.798400000000001</v>
      </c>
      <c r="H376" s="685">
        <v>89.798400000000001</v>
      </c>
      <c r="I376" s="672" t="s">
        <v>9218</v>
      </c>
      <c r="J376" s="672" t="s">
        <v>9219</v>
      </c>
      <c r="K376" s="672" t="s">
        <v>2354</v>
      </c>
      <c r="L376" s="672" t="s">
        <v>9219</v>
      </c>
    </row>
    <row r="377" spans="1:12" x14ac:dyDescent="0.2">
      <c r="A377" s="681" t="s">
        <v>220</v>
      </c>
      <c r="B377" s="681" t="s">
        <v>2351</v>
      </c>
      <c r="C377" s="736" t="s">
        <v>3815</v>
      </c>
      <c r="D377" s="736" t="s">
        <v>3816</v>
      </c>
      <c r="E377" s="683"/>
      <c r="F377" s="685">
        <v>1</v>
      </c>
      <c r="G377" s="737">
        <v>44.763299999999994</v>
      </c>
      <c r="H377" s="685">
        <v>44.763299999999994</v>
      </c>
      <c r="I377" s="672" t="s">
        <v>9218</v>
      </c>
      <c r="J377" s="672" t="s">
        <v>9219</v>
      </c>
      <c r="K377" s="672" t="s">
        <v>2354</v>
      </c>
      <c r="L377" s="672" t="s">
        <v>9219</v>
      </c>
    </row>
    <row r="378" spans="1:12" x14ac:dyDescent="0.2">
      <c r="A378" s="681" t="s">
        <v>220</v>
      </c>
      <c r="B378" s="681" t="s">
        <v>2351</v>
      </c>
      <c r="C378" s="736" t="s">
        <v>3817</v>
      </c>
      <c r="D378" s="736" t="s">
        <v>3818</v>
      </c>
      <c r="E378" s="683"/>
      <c r="F378" s="685">
        <v>1</v>
      </c>
      <c r="G378" s="737">
        <v>1478.2349999999999</v>
      </c>
      <c r="H378" s="685">
        <v>1478.2349999999999</v>
      </c>
      <c r="I378" s="672" t="s">
        <v>9218</v>
      </c>
      <c r="J378" s="672" t="s">
        <v>9219</v>
      </c>
      <c r="K378" s="672" t="s">
        <v>2354</v>
      </c>
      <c r="L378" s="672" t="s">
        <v>9219</v>
      </c>
    </row>
    <row r="379" spans="1:12" x14ac:dyDescent="0.2">
      <c r="A379" s="681" t="s">
        <v>220</v>
      </c>
      <c r="B379" s="681" t="s">
        <v>2351</v>
      </c>
      <c r="C379" s="736" t="s">
        <v>5311</v>
      </c>
      <c r="D379" s="736" t="s">
        <v>5312</v>
      </c>
      <c r="E379" s="683"/>
      <c r="F379" s="685">
        <v>1</v>
      </c>
      <c r="G379" s="737">
        <v>0</v>
      </c>
      <c r="H379" s="685">
        <v>0</v>
      </c>
      <c r="I379" s="672" t="s">
        <v>9218</v>
      </c>
      <c r="J379" s="672" t="s">
        <v>9219</v>
      </c>
      <c r="K379" s="672" t="s">
        <v>2354</v>
      </c>
      <c r="L379" s="672" t="s">
        <v>9219</v>
      </c>
    </row>
    <row r="380" spans="1:12" x14ac:dyDescent="0.2">
      <c r="A380" s="681" t="s">
        <v>220</v>
      </c>
      <c r="B380" s="681" t="s">
        <v>2351</v>
      </c>
      <c r="C380" s="736" t="s">
        <v>3821</v>
      </c>
      <c r="D380" s="736" t="s">
        <v>3822</v>
      </c>
      <c r="E380" s="683"/>
      <c r="F380" s="685">
        <v>2</v>
      </c>
      <c r="G380" s="737">
        <v>382.89949999999999</v>
      </c>
      <c r="H380" s="685">
        <v>765.79899999999998</v>
      </c>
      <c r="I380" s="672" t="s">
        <v>9218</v>
      </c>
      <c r="J380" s="672" t="s">
        <v>9219</v>
      </c>
      <c r="K380" s="672" t="s">
        <v>2354</v>
      </c>
      <c r="L380" s="672" t="s">
        <v>9219</v>
      </c>
    </row>
    <row r="381" spans="1:12" x14ac:dyDescent="0.2">
      <c r="A381" s="681" t="s">
        <v>220</v>
      </c>
      <c r="B381" s="681" t="s">
        <v>2351</v>
      </c>
      <c r="C381" s="736" t="s">
        <v>3823</v>
      </c>
      <c r="D381" s="736" t="s">
        <v>3824</v>
      </c>
      <c r="E381" s="683"/>
      <c r="F381" s="685">
        <v>5</v>
      </c>
      <c r="G381" s="737">
        <v>0</v>
      </c>
      <c r="H381" s="685">
        <v>0</v>
      </c>
      <c r="I381" s="672" t="s">
        <v>9218</v>
      </c>
      <c r="J381" s="672" t="s">
        <v>9219</v>
      </c>
      <c r="K381" s="672" t="s">
        <v>2354</v>
      </c>
      <c r="L381" s="672" t="s">
        <v>9219</v>
      </c>
    </row>
    <row r="382" spans="1:12" x14ac:dyDescent="0.2">
      <c r="A382" s="681" t="s">
        <v>220</v>
      </c>
      <c r="B382" s="681" t="s">
        <v>2351</v>
      </c>
      <c r="C382" s="736" t="s">
        <v>9264</v>
      </c>
      <c r="D382" s="736" t="s">
        <v>9265</v>
      </c>
      <c r="E382" s="683"/>
      <c r="F382" s="685">
        <v>2</v>
      </c>
      <c r="G382" s="737">
        <v>184.62</v>
      </c>
      <c r="H382" s="685">
        <v>369.24</v>
      </c>
      <c r="I382" s="672" t="s">
        <v>9218</v>
      </c>
      <c r="J382" s="672" t="s">
        <v>9219</v>
      </c>
      <c r="K382" s="672" t="s">
        <v>2354</v>
      </c>
      <c r="L382" s="672" t="s">
        <v>9219</v>
      </c>
    </row>
    <row r="383" spans="1:12" x14ac:dyDescent="0.2">
      <c r="A383" s="681" t="s">
        <v>220</v>
      </c>
      <c r="B383" s="681" t="s">
        <v>2351</v>
      </c>
      <c r="C383" s="736" t="s">
        <v>3825</v>
      </c>
      <c r="D383" s="736" t="s">
        <v>3826</v>
      </c>
      <c r="E383" s="683"/>
      <c r="F383" s="685">
        <v>1</v>
      </c>
      <c r="G383" s="737">
        <v>150.75</v>
      </c>
      <c r="H383" s="685">
        <v>150.75</v>
      </c>
      <c r="I383" s="672" t="s">
        <v>9218</v>
      </c>
      <c r="J383" s="672" t="s">
        <v>9219</v>
      </c>
      <c r="K383" s="672" t="s">
        <v>2354</v>
      </c>
      <c r="L383" s="672" t="s">
        <v>9219</v>
      </c>
    </row>
    <row r="384" spans="1:12" x14ac:dyDescent="0.2">
      <c r="A384" s="681" t="s">
        <v>220</v>
      </c>
      <c r="B384" s="681" t="s">
        <v>2351</v>
      </c>
      <c r="C384" s="736" t="s">
        <v>3827</v>
      </c>
      <c r="D384" s="736" t="s">
        <v>3828</v>
      </c>
      <c r="E384" s="683"/>
      <c r="F384" s="685">
        <v>5</v>
      </c>
      <c r="G384" s="737">
        <v>100.2</v>
      </c>
      <c r="H384" s="685">
        <v>501</v>
      </c>
      <c r="I384" s="672" t="s">
        <v>9218</v>
      </c>
      <c r="J384" s="672" t="s">
        <v>9219</v>
      </c>
      <c r="K384" s="672" t="s">
        <v>2354</v>
      </c>
      <c r="L384" s="672" t="s">
        <v>9219</v>
      </c>
    </row>
    <row r="385" spans="1:12" x14ac:dyDescent="0.2">
      <c r="A385" s="681" t="s">
        <v>220</v>
      </c>
      <c r="B385" s="681" t="s">
        <v>2351</v>
      </c>
      <c r="C385" s="736" t="s">
        <v>3829</v>
      </c>
      <c r="D385" s="736" t="s">
        <v>3830</v>
      </c>
      <c r="E385" s="683"/>
      <c r="F385" s="685">
        <v>4</v>
      </c>
      <c r="G385" s="737">
        <v>6.9550000000000001</v>
      </c>
      <c r="H385" s="685">
        <v>27.82</v>
      </c>
      <c r="I385" s="672" t="s">
        <v>9218</v>
      </c>
      <c r="J385" s="672" t="s">
        <v>9219</v>
      </c>
      <c r="K385" s="672" t="s">
        <v>2354</v>
      </c>
      <c r="L385" s="672" t="s">
        <v>9219</v>
      </c>
    </row>
    <row r="386" spans="1:12" x14ac:dyDescent="0.2">
      <c r="A386" s="681" t="s">
        <v>220</v>
      </c>
      <c r="B386" s="681" t="s">
        <v>2351</v>
      </c>
      <c r="C386" s="736" t="s">
        <v>3841</v>
      </c>
      <c r="D386" s="736" t="s">
        <v>3842</v>
      </c>
      <c r="E386" s="683"/>
      <c r="F386" s="685">
        <v>2</v>
      </c>
      <c r="G386" s="737">
        <v>27.27</v>
      </c>
      <c r="H386" s="685">
        <v>54.54</v>
      </c>
      <c r="I386" s="672" t="s">
        <v>9218</v>
      </c>
      <c r="J386" s="672" t="s">
        <v>9219</v>
      </c>
      <c r="K386" s="672" t="s">
        <v>2354</v>
      </c>
      <c r="L386" s="672" t="s">
        <v>9219</v>
      </c>
    </row>
    <row r="387" spans="1:12" x14ac:dyDescent="0.2">
      <c r="A387" s="681" t="s">
        <v>220</v>
      </c>
      <c r="B387" s="681" t="s">
        <v>2351</v>
      </c>
      <c r="C387" s="736" t="s">
        <v>3843</v>
      </c>
      <c r="D387" s="736" t="s">
        <v>3844</v>
      </c>
      <c r="E387" s="683"/>
      <c r="F387" s="685">
        <v>2</v>
      </c>
      <c r="G387" s="737">
        <v>364.49275</v>
      </c>
      <c r="H387" s="685">
        <v>728.9855</v>
      </c>
      <c r="I387" s="672" t="s">
        <v>9218</v>
      </c>
      <c r="J387" s="672" t="s">
        <v>9219</v>
      </c>
      <c r="K387" s="672" t="s">
        <v>2354</v>
      </c>
      <c r="L387" s="672" t="s">
        <v>9219</v>
      </c>
    </row>
    <row r="388" spans="1:12" x14ac:dyDescent="0.2">
      <c r="A388" s="681" t="s">
        <v>220</v>
      </c>
      <c r="B388" s="681" t="s">
        <v>2351</v>
      </c>
      <c r="C388" s="736" t="s">
        <v>3845</v>
      </c>
      <c r="D388" s="736" t="s">
        <v>3846</v>
      </c>
      <c r="E388" s="683"/>
      <c r="F388" s="685">
        <v>7</v>
      </c>
      <c r="G388" s="737">
        <v>60.058216687116563</v>
      </c>
      <c r="H388" s="685">
        <v>420.40751680981595</v>
      </c>
      <c r="I388" s="672" t="s">
        <v>9218</v>
      </c>
      <c r="J388" s="672" t="s">
        <v>9219</v>
      </c>
      <c r="K388" s="672" t="s">
        <v>2354</v>
      </c>
      <c r="L388" s="672" t="s">
        <v>9219</v>
      </c>
    </row>
    <row r="389" spans="1:12" x14ac:dyDescent="0.2">
      <c r="A389" s="681" t="s">
        <v>220</v>
      </c>
      <c r="B389" s="681" t="s">
        <v>2351</v>
      </c>
      <c r="C389" s="736" t="s">
        <v>3847</v>
      </c>
      <c r="D389" s="736" t="s">
        <v>3848</v>
      </c>
      <c r="E389" s="683"/>
      <c r="F389" s="685">
        <v>2</v>
      </c>
      <c r="G389" s="737">
        <v>19.800999999999998</v>
      </c>
      <c r="H389" s="685">
        <v>39.601999999999997</v>
      </c>
      <c r="I389" s="672" t="s">
        <v>9218</v>
      </c>
      <c r="J389" s="672" t="s">
        <v>9219</v>
      </c>
      <c r="K389" s="672" t="s">
        <v>2354</v>
      </c>
      <c r="L389" s="672" t="s">
        <v>9219</v>
      </c>
    </row>
    <row r="390" spans="1:12" x14ac:dyDescent="0.2">
      <c r="A390" s="681" t="s">
        <v>220</v>
      </c>
      <c r="B390" s="681" t="s">
        <v>2351</v>
      </c>
      <c r="C390" s="736" t="s">
        <v>3849</v>
      </c>
      <c r="D390" s="736" t="s">
        <v>3850</v>
      </c>
      <c r="E390" s="683"/>
      <c r="F390" s="685">
        <v>7</v>
      </c>
      <c r="G390" s="737">
        <v>9.9990000000000006</v>
      </c>
      <c r="H390" s="685">
        <v>69.993000000000009</v>
      </c>
      <c r="I390" s="672" t="s">
        <v>9218</v>
      </c>
      <c r="J390" s="672" t="s">
        <v>9219</v>
      </c>
      <c r="K390" s="672" t="s">
        <v>2354</v>
      </c>
      <c r="L390" s="672" t="s">
        <v>9219</v>
      </c>
    </row>
    <row r="391" spans="1:12" x14ac:dyDescent="0.2">
      <c r="A391" s="681" t="s">
        <v>220</v>
      </c>
      <c r="B391" s="681" t="s">
        <v>2351</v>
      </c>
      <c r="C391" s="736" t="s">
        <v>3851</v>
      </c>
      <c r="D391" s="736" t="s">
        <v>3852</v>
      </c>
      <c r="E391" s="683"/>
      <c r="F391" s="685">
        <v>8</v>
      </c>
      <c r="G391" s="737">
        <v>1.7955000000000001</v>
      </c>
      <c r="H391" s="685">
        <v>14.364000000000001</v>
      </c>
      <c r="I391" s="672" t="s">
        <v>9218</v>
      </c>
      <c r="J391" s="672" t="s">
        <v>9219</v>
      </c>
      <c r="K391" s="672" t="s">
        <v>2354</v>
      </c>
      <c r="L391" s="672" t="s">
        <v>9219</v>
      </c>
    </row>
    <row r="392" spans="1:12" x14ac:dyDescent="0.2">
      <c r="A392" s="681" t="s">
        <v>220</v>
      </c>
      <c r="B392" s="681" t="s">
        <v>2351</v>
      </c>
      <c r="C392" s="736" t="s">
        <v>3853</v>
      </c>
      <c r="D392" s="736" t="s">
        <v>3854</v>
      </c>
      <c r="E392" s="683"/>
      <c r="F392" s="685">
        <v>10</v>
      </c>
      <c r="G392" s="737">
        <v>1.5498000000000001</v>
      </c>
      <c r="H392" s="685">
        <v>15.498000000000001</v>
      </c>
      <c r="I392" s="672" t="s">
        <v>9218</v>
      </c>
      <c r="J392" s="672" t="s">
        <v>9219</v>
      </c>
      <c r="K392" s="672" t="s">
        <v>2354</v>
      </c>
      <c r="L392" s="672" t="s">
        <v>9219</v>
      </c>
    </row>
    <row r="393" spans="1:12" x14ac:dyDescent="0.2">
      <c r="A393" s="681" t="s">
        <v>220</v>
      </c>
      <c r="B393" s="681" t="s">
        <v>2351</v>
      </c>
      <c r="C393" s="736" t="s">
        <v>3857</v>
      </c>
      <c r="D393" s="736" t="s">
        <v>3858</v>
      </c>
      <c r="E393" s="683"/>
      <c r="F393" s="685">
        <v>2</v>
      </c>
      <c r="G393" s="737">
        <v>407.12400000000002</v>
      </c>
      <c r="H393" s="685">
        <v>814.24800000000005</v>
      </c>
      <c r="I393" s="672" t="s">
        <v>9218</v>
      </c>
      <c r="J393" s="672" t="s">
        <v>9219</v>
      </c>
      <c r="K393" s="672" t="s">
        <v>2354</v>
      </c>
      <c r="L393" s="672" t="s">
        <v>9219</v>
      </c>
    </row>
    <row r="394" spans="1:12" x14ac:dyDescent="0.2">
      <c r="A394" s="681" t="s">
        <v>220</v>
      </c>
      <c r="B394" s="681" t="s">
        <v>2351</v>
      </c>
      <c r="C394" s="736" t="s">
        <v>3859</v>
      </c>
      <c r="D394" s="736" t="s">
        <v>3860</v>
      </c>
      <c r="E394" s="683"/>
      <c r="F394" s="685">
        <v>2</v>
      </c>
      <c r="G394" s="737">
        <v>248.01400000000001</v>
      </c>
      <c r="H394" s="685">
        <v>496.02800000000002</v>
      </c>
      <c r="I394" s="672" t="s">
        <v>9218</v>
      </c>
      <c r="J394" s="672" t="s">
        <v>9219</v>
      </c>
      <c r="K394" s="672" t="s">
        <v>2354</v>
      </c>
      <c r="L394" s="672" t="s">
        <v>9219</v>
      </c>
    </row>
    <row r="395" spans="1:12" x14ac:dyDescent="0.2">
      <c r="A395" s="681" t="s">
        <v>220</v>
      </c>
      <c r="B395" s="681" t="s">
        <v>2351</v>
      </c>
      <c r="C395" s="736" t="s">
        <v>3865</v>
      </c>
      <c r="D395" s="736" t="s">
        <v>3866</v>
      </c>
      <c r="E395" s="683"/>
      <c r="F395" s="685">
        <v>25</v>
      </c>
      <c r="G395" s="737">
        <v>12</v>
      </c>
      <c r="H395" s="685">
        <v>300</v>
      </c>
      <c r="I395" s="672" t="s">
        <v>9218</v>
      </c>
      <c r="J395" s="672" t="s">
        <v>9219</v>
      </c>
      <c r="K395" s="672" t="s">
        <v>2354</v>
      </c>
      <c r="L395" s="672" t="s">
        <v>9219</v>
      </c>
    </row>
    <row r="396" spans="1:12" x14ac:dyDescent="0.2">
      <c r="A396" s="681" t="s">
        <v>220</v>
      </c>
      <c r="B396" s="681" t="s">
        <v>2351</v>
      </c>
      <c r="C396" s="736" t="s">
        <v>3869</v>
      </c>
      <c r="D396" s="736" t="s">
        <v>3870</v>
      </c>
      <c r="E396" s="683"/>
      <c r="F396" s="685">
        <v>1</v>
      </c>
      <c r="G396" s="737">
        <v>193.8015</v>
      </c>
      <c r="H396" s="685">
        <v>193.8015</v>
      </c>
      <c r="I396" s="672" t="s">
        <v>9218</v>
      </c>
      <c r="J396" s="672" t="s">
        <v>9219</v>
      </c>
      <c r="K396" s="672" t="s">
        <v>2354</v>
      </c>
      <c r="L396" s="672" t="s">
        <v>9219</v>
      </c>
    </row>
    <row r="397" spans="1:12" x14ac:dyDescent="0.2">
      <c r="A397" s="681" t="s">
        <v>220</v>
      </c>
      <c r="B397" s="681" t="s">
        <v>2351</v>
      </c>
      <c r="C397" s="736" t="s">
        <v>3873</v>
      </c>
      <c r="D397" s="736" t="s">
        <v>3874</v>
      </c>
      <c r="E397" s="683"/>
      <c r="F397" s="685">
        <v>2</v>
      </c>
      <c r="G397" s="737">
        <v>24.84</v>
      </c>
      <c r="H397" s="685">
        <v>49.68</v>
      </c>
      <c r="I397" s="672" t="s">
        <v>9218</v>
      </c>
      <c r="J397" s="672" t="s">
        <v>9219</v>
      </c>
      <c r="K397" s="672" t="s">
        <v>2354</v>
      </c>
      <c r="L397" s="672" t="s">
        <v>9219</v>
      </c>
    </row>
    <row r="398" spans="1:12" x14ac:dyDescent="0.2">
      <c r="A398" s="681" t="s">
        <v>220</v>
      </c>
      <c r="B398" s="681" t="s">
        <v>2351</v>
      </c>
      <c r="C398" s="736" t="s">
        <v>3875</v>
      </c>
      <c r="D398" s="736" t="s">
        <v>3876</v>
      </c>
      <c r="E398" s="683"/>
      <c r="F398" s="685">
        <v>3</v>
      </c>
      <c r="G398" s="737">
        <v>11</v>
      </c>
      <c r="H398" s="685">
        <v>33</v>
      </c>
      <c r="I398" s="672" t="s">
        <v>9218</v>
      </c>
      <c r="J398" s="672" t="s">
        <v>9219</v>
      </c>
      <c r="K398" s="672" t="s">
        <v>2354</v>
      </c>
      <c r="L398" s="672" t="s">
        <v>9219</v>
      </c>
    </row>
    <row r="399" spans="1:12" x14ac:dyDescent="0.2">
      <c r="A399" s="681" t="s">
        <v>220</v>
      </c>
      <c r="B399" s="681" t="s">
        <v>2351</v>
      </c>
      <c r="C399" s="736"/>
      <c r="D399" s="736" t="s">
        <v>10141</v>
      </c>
      <c r="E399" s="683"/>
      <c r="F399" s="685">
        <v>4</v>
      </c>
      <c r="G399" s="737">
        <v>163.642</v>
      </c>
      <c r="H399" s="685">
        <v>654.56799999999998</v>
      </c>
      <c r="I399" s="672" t="s">
        <v>9218</v>
      </c>
      <c r="J399" s="672" t="s">
        <v>9219</v>
      </c>
      <c r="K399" s="672" t="s">
        <v>2354</v>
      </c>
      <c r="L399" s="672" t="s">
        <v>9219</v>
      </c>
    </row>
    <row r="400" spans="1:12" x14ac:dyDescent="0.2">
      <c r="A400" s="681" t="s">
        <v>220</v>
      </c>
      <c r="B400" s="681" t="s">
        <v>2351</v>
      </c>
      <c r="C400" s="736" t="s">
        <v>3879</v>
      </c>
      <c r="D400" s="736" t="s">
        <v>3880</v>
      </c>
      <c r="E400" s="683"/>
      <c r="F400" s="685">
        <v>3</v>
      </c>
      <c r="G400" s="737">
        <v>0</v>
      </c>
      <c r="H400" s="685">
        <v>0</v>
      </c>
      <c r="I400" s="672" t="s">
        <v>9218</v>
      </c>
      <c r="J400" s="672" t="s">
        <v>9219</v>
      </c>
      <c r="K400" s="672" t="s">
        <v>2354</v>
      </c>
      <c r="L400" s="672" t="s">
        <v>9219</v>
      </c>
    </row>
    <row r="401" spans="1:12" x14ac:dyDescent="0.2">
      <c r="A401" s="681" t="s">
        <v>220</v>
      </c>
      <c r="B401" s="681" t="s">
        <v>2351</v>
      </c>
      <c r="C401" s="736" t="s">
        <v>3883</v>
      </c>
      <c r="D401" s="736" t="s">
        <v>3884</v>
      </c>
      <c r="E401" s="683"/>
      <c r="F401" s="685">
        <v>4</v>
      </c>
      <c r="G401" s="737">
        <v>293.471</v>
      </c>
      <c r="H401" s="685">
        <v>1173.884</v>
      </c>
      <c r="I401" s="672" t="s">
        <v>9218</v>
      </c>
      <c r="J401" s="672" t="s">
        <v>9219</v>
      </c>
      <c r="K401" s="672" t="s">
        <v>2354</v>
      </c>
      <c r="L401" s="672" t="s">
        <v>9219</v>
      </c>
    </row>
    <row r="402" spans="1:12" x14ac:dyDescent="0.2">
      <c r="A402" s="681" t="s">
        <v>220</v>
      </c>
      <c r="B402" s="681" t="s">
        <v>2351</v>
      </c>
      <c r="C402" s="736" t="s">
        <v>3885</v>
      </c>
      <c r="D402" s="736" t="s">
        <v>3886</v>
      </c>
      <c r="E402" s="683"/>
      <c r="F402" s="685">
        <v>9</v>
      </c>
      <c r="G402" s="737">
        <v>146.642</v>
      </c>
      <c r="H402" s="685">
        <v>1319.778</v>
      </c>
      <c r="I402" s="672" t="s">
        <v>9218</v>
      </c>
      <c r="J402" s="672" t="s">
        <v>9219</v>
      </c>
      <c r="K402" s="672" t="s">
        <v>2354</v>
      </c>
      <c r="L402" s="672" t="s">
        <v>9219</v>
      </c>
    </row>
    <row r="403" spans="1:12" x14ac:dyDescent="0.2">
      <c r="A403" s="681" t="s">
        <v>220</v>
      </c>
      <c r="B403" s="681" t="s">
        <v>2351</v>
      </c>
      <c r="C403" s="736" t="s">
        <v>3887</v>
      </c>
      <c r="D403" s="736" t="s">
        <v>3888</v>
      </c>
      <c r="E403" s="683"/>
      <c r="F403" s="685">
        <v>3</v>
      </c>
      <c r="G403" s="737">
        <v>277.35500000000002</v>
      </c>
      <c r="H403" s="685">
        <v>832.06500000000005</v>
      </c>
      <c r="I403" s="672" t="s">
        <v>9218</v>
      </c>
      <c r="J403" s="672" t="s">
        <v>9219</v>
      </c>
      <c r="K403" s="672" t="s">
        <v>2354</v>
      </c>
      <c r="L403" s="672" t="s">
        <v>9219</v>
      </c>
    </row>
    <row r="404" spans="1:12" x14ac:dyDescent="0.2">
      <c r="A404" s="681" t="s">
        <v>220</v>
      </c>
      <c r="B404" s="681" t="s">
        <v>2351</v>
      </c>
      <c r="C404" s="736" t="s">
        <v>3889</v>
      </c>
      <c r="D404" s="736" t="s">
        <v>3890</v>
      </c>
      <c r="E404" s="683"/>
      <c r="F404" s="685">
        <v>4</v>
      </c>
      <c r="G404" s="737">
        <v>168.19800000000001</v>
      </c>
      <c r="H404" s="685">
        <v>672.79200000000003</v>
      </c>
      <c r="I404" s="672" t="s">
        <v>9218</v>
      </c>
      <c r="J404" s="672" t="s">
        <v>9219</v>
      </c>
      <c r="K404" s="672" t="s">
        <v>2354</v>
      </c>
      <c r="L404" s="672" t="s">
        <v>9219</v>
      </c>
    </row>
    <row r="405" spans="1:12" x14ac:dyDescent="0.2">
      <c r="A405" s="681" t="s">
        <v>220</v>
      </c>
      <c r="B405" s="681" t="s">
        <v>2351</v>
      </c>
      <c r="C405" s="736" t="s">
        <v>3893</v>
      </c>
      <c r="D405" s="736" t="s">
        <v>3894</v>
      </c>
      <c r="E405" s="683"/>
      <c r="F405" s="685">
        <v>3</v>
      </c>
      <c r="G405" s="737">
        <v>188.64</v>
      </c>
      <c r="H405" s="685">
        <v>565.91999999999996</v>
      </c>
      <c r="I405" s="672" t="s">
        <v>9218</v>
      </c>
      <c r="J405" s="672" t="s">
        <v>9219</v>
      </c>
      <c r="K405" s="672" t="s">
        <v>2354</v>
      </c>
      <c r="L405" s="672" t="s">
        <v>9219</v>
      </c>
    </row>
    <row r="406" spans="1:12" x14ac:dyDescent="0.2">
      <c r="A406" s="681" t="s">
        <v>220</v>
      </c>
      <c r="B406" s="681" t="s">
        <v>2351</v>
      </c>
      <c r="C406" s="736" t="s">
        <v>3895</v>
      </c>
      <c r="D406" s="736" t="s">
        <v>3896</v>
      </c>
      <c r="E406" s="683"/>
      <c r="F406" s="685">
        <v>1</v>
      </c>
      <c r="G406" s="737">
        <v>75.921300000000002</v>
      </c>
      <c r="H406" s="685">
        <v>75.921300000000002</v>
      </c>
      <c r="I406" s="672" t="s">
        <v>9218</v>
      </c>
      <c r="J406" s="672" t="s">
        <v>9219</v>
      </c>
      <c r="K406" s="672" t="s">
        <v>2354</v>
      </c>
      <c r="L406" s="672" t="s">
        <v>9219</v>
      </c>
    </row>
    <row r="407" spans="1:12" x14ac:dyDescent="0.2">
      <c r="A407" s="681" t="s">
        <v>220</v>
      </c>
      <c r="B407" s="681" t="s">
        <v>2351</v>
      </c>
      <c r="C407" s="736" t="s">
        <v>3943</v>
      </c>
      <c r="D407" s="736" t="s">
        <v>3944</v>
      </c>
      <c r="E407" s="683"/>
      <c r="F407" s="685">
        <v>1</v>
      </c>
      <c r="G407" s="737">
        <v>1.7869999999999999</v>
      </c>
      <c r="H407" s="685">
        <v>1.7869999999999999</v>
      </c>
      <c r="I407" s="672" t="s">
        <v>9218</v>
      </c>
      <c r="J407" s="672" t="s">
        <v>9219</v>
      </c>
      <c r="K407" s="672" t="s">
        <v>2354</v>
      </c>
      <c r="L407" s="672" t="s">
        <v>9219</v>
      </c>
    </row>
    <row r="408" spans="1:12" x14ac:dyDescent="0.2">
      <c r="A408" s="681" t="s">
        <v>220</v>
      </c>
      <c r="B408" s="681" t="s">
        <v>2351</v>
      </c>
      <c r="C408" s="736" t="s">
        <v>3947</v>
      </c>
      <c r="D408" s="736" t="s">
        <v>3948</v>
      </c>
      <c r="E408" s="683"/>
      <c r="F408" s="685">
        <v>4</v>
      </c>
      <c r="G408" s="737">
        <v>17.599772727272729</v>
      </c>
      <c r="H408" s="685">
        <v>70.399090909090916</v>
      </c>
      <c r="I408" s="672" t="s">
        <v>9218</v>
      </c>
      <c r="J408" s="672" t="s">
        <v>9219</v>
      </c>
      <c r="K408" s="672" t="s">
        <v>2354</v>
      </c>
      <c r="L408" s="672" t="s">
        <v>9219</v>
      </c>
    </row>
    <row r="409" spans="1:12" x14ac:dyDescent="0.2">
      <c r="A409" s="681" t="s">
        <v>220</v>
      </c>
      <c r="B409" s="681" t="s">
        <v>2351</v>
      </c>
      <c r="C409" s="736" t="s">
        <v>3949</v>
      </c>
      <c r="D409" s="736" t="s">
        <v>3950</v>
      </c>
      <c r="E409" s="683"/>
      <c r="F409" s="685">
        <v>6</v>
      </c>
      <c r="G409" s="737">
        <v>21.861000000000001</v>
      </c>
      <c r="H409" s="685">
        <v>131.166</v>
      </c>
      <c r="I409" s="672" t="s">
        <v>9218</v>
      </c>
      <c r="J409" s="672" t="s">
        <v>9219</v>
      </c>
      <c r="K409" s="672" t="s">
        <v>2354</v>
      </c>
      <c r="L409" s="672" t="s">
        <v>9219</v>
      </c>
    </row>
    <row r="410" spans="1:12" x14ac:dyDescent="0.2">
      <c r="A410" s="681" t="s">
        <v>220</v>
      </c>
      <c r="B410" s="681" t="s">
        <v>2351</v>
      </c>
      <c r="C410" s="736" t="s">
        <v>3951</v>
      </c>
      <c r="D410" s="736" t="s">
        <v>3952</v>
      </c>
      <c r="E410" s="683"/>
      <c r="F410" s="685">
        <v>3</v>
      </c>
      <c r="G410" s="737">
        <v>21.861000000000001</v>
      </c>
      <c r="H410" s="685">
        <v>65.582999999999998</v>
      </c>
      <c r="I410" s="672" t="s">
        <v>9218</v>
      </c>
      <c r="J410" s="672" t="s">
        <v>9219</v>
      </c>
      <c r="K410" s="672" t="s">
        <v>2354</v>
      </c>
      <c r="L410" s="672" t="s">
        <v>9219</v>
      </c>
    </row>
    <row r="411" spans="1:12" x14ac:dyDescent="0.2">
      <c r="A411" s="681" t="s">
        <v>220</v>
      </c>
      <c r="B411" s="681" t="s">
        <v>2351</v>
      </c>
      <c r="C411" s="736"/>
      <c r="D411" s="736" t="s">
        <v>9270</v>
      </c>
      <c r="E411" s="683"/>
      <c r="F411" s="685">
        <v>3</v>
      </c>
      <c r="G411" s="737">
        <v>67.3</v>
      </c>
      <c r="H411" s="685">
        <v>201.89999999999998</v>
      </c>
      <c r="I411" s="672" t="s">
        <v>9218</v>
      </c>
      <c r="J411" s="672" t="s">
        <v>9219</v>
      </c>
      <c r="K411" s="672" t="s">
        <v>2354</v>
      </c>
      <c r="L411" s="672" t="s">
        <v>9219</v>
      </c>
    </row>
    <row r="412" spans="1:12" x14ac:dyDescent="0.2">
      <c r="A412" s="681" t="s">
        <v>220</v>
      </c>
      <c r="B412" s="681" t="s">
        <v>2351</v>
      </c>
      <c r="C412" s="736" t="s">
        <v>3953</v>
      </c>
      <c r="D412" s="736" t="s">
        <v>3954</v>
      </c>
      <c r="E412" s="683"/>
      <c r="F412" s="685">
        <v>4</v>
      </c>
      <c r="G412" s="737">
        <v>14.273999999999999</v>
      </c>
      <c r="H412" s="685">
        <v>57.095999999999997</v>
      </c>
      <c r="I412" s="672" t="s">
        <v>9218</v>
      </c>
      <c r="J412" s="672" t="s">
        <v>9219</v>
      </c>
      <c r="K412" s="672" t="s">
        <v>2354</v>
      </c>
      <c r="L412" s="672" t="s">
        <v>9219</v>
      </c>
    </row>
    <row r="413" spans="1:12" x14ac:dyDescent="0.2">
      <c r="A413" s="681" t="s">
        <v>220</v>
      </c>
      <c r="B413" s="681" t="s">
        <v>2351</v>
      </c>
      <c r="C413" s="736" t="s">
        <v>9271</v>
      </c>
      <c r="D413" s="736" t="s">
        <v>9272</v>
      </c>
      <c r="E413" s="683"/>
      <c r="F413" s="685">
        <v>5</v>
      </c>
      <c r="G413" s="737">
        <v>83.718000000000004</v>
      </c>
      <c r="H413" s="685">
        <v>418.59000000000003</v>
      </c>
      <c r="I413" s="672" t="s">
        <v>9218</v>
      </c>
      <c r="J413" s="672" t="s">
        <v>9219</v>
      </c>
      <c r="K413" s="672" t="s">
        <v>2354</v>
      </c>
      <c r="L413" s="672" t="s">
        <v>9219</v>
      </c>
    </row>
    <row r="414" spans="1:12" x14ac:dyDescent="0.2">
      <c r="A414" s="681" t="s">
        <v>220</v>
      </c>
      <c r="B414" s="681" t="s">
        <v>2351</v>
      </c>
      <c r="C414" s="736" t="s">
        <v>3955</v>
      </c>
      <c r="D414" s="736" t="s">
        <v>3956</v>
      </c>
      <c r="E414" s="683"/>
      <c r="F414" s="685">
        <v>7</v>
      </c>
      <c r="G414" s="737">
        <v>83.718000000000004</v>
      </c>
      <c r="H414" s="685">
        <v>586.02600000000007</v>
      </c>
      <c r="I414" s="672" t="s">
        <v>9218</v>
      </c>
      <c r="J414" s="672" t="s">
        <v>9219</v>
      </c>
      <c r="K414" s="672" t="s">
        <v>2354</v>
      </c>
      <c r="L414" s="672" t="s">
        <v>9219</v>
      </c>
    </row>
    <row r="415" spans="1:12" x14ac:dyDescent="0.2">
      <c r="A415" s="681" t="s">
        <v>220</v>
      </c>
      <c r="B415" s="681" t="s">
        <v>2351</v>
      </c>
      <c r="C415" s="736" t="s">
        <v>3957</v>
      </c>
      <c r="D415" s="736" t="s">
        <v>3958</v>
      </c>
      <c r="E415" s="683"/>
      <c r="F415" s="685">
        <v>3</v>
      </c>
      <c r="G415" s="737">
        <v>80.75</v>
      </c>
      <c r="H415" s="685">
        <v>242.25</v>
      </c>
      <c r="I415" s="672" t="s">
        <v>9218</v>
      </c>
      <c r="J415" s="672" t="s">
        <v>9219</v>
      </c>
      <c r="K415" s="672" t="s">
        <v>2354</v>
      </c>
      <c r="L415" s="672" t="s">
        <v>9219</v>
      </c>
    </row>
    <row r="416" spans="1:12" x14ac:dyDescent="0.2">
      <c r="A416" s="681" t="s">
        <v>220</v>
      </c>
      <c r="B416" s="681" t="s">
        <v>2351</v>
      </c>
      <c r="C416" s="736" t="s">
        <v>3989</v>
      </c>
      <c r="D416" s="736" t="s">
        <v>3990</v>
      </c>
      <c r="E416" s="683"/>
      <c r="F416" s="685">
        <v>12</v>
      </c>
      <c r="G416" s="737">
        <v>80.531999999999996</v>
      </c>
      <c r="H416" s="685">
        <v>966.38400000000001</v>
      </c>
      <c r="I416" s="672" t="s">
        <v>9218</v>
      </c>
      <c r="J416" s="672" t="s">
        <v>9219</v>
      </c>
      <c r="K416" s="672" t="s">
        <v>2354</v>
      </c>
      <c r="L416" s="672" t="s">
        <v>9219</v>
      </c>
    </row>
    <row r="417" spans="1:12" x14ac:dyDescent="0.2">
      <c r="A417" s="681" t="s">
        <v>220</v>
      </c>
      <c r="B417" s="681" t="s">
        <v>2351</v>
      </c>
      <c r="C417" s="736" t="s">
        <v>3991</v>
      </c>
      <c r="D417" s="736" t="s">
        <v>3992</v>
      </c>
      <c r="E417" s="683"/>
      <c r="F417" s="685">
        <v>1</v>
      </c>
      <c r="G417" s="737">
        <v>109.34143583333334</v>
      </c>
      <c r="H417" s="685">
        <v>109.34143583333334</v>
      </c>
      <c r="I417" s="672" t="s">
        <v>9218</v>
      </c>
      <c r="J417" s="672" t="s">
        <v>9219</v>
      </c>
      <c r="K417" s="672" t="s">
        <v>2354</v>
      </c>
      <c r="L417" s="672" t="s">
        <v>9219</v>
      </c>
    </row>
    <row r="418" spans="1:12" x14ac:dyDescent="0.2">
      <c r="A418" s="681" t="s">
        <v>220</v>
      </c>
      <c r="B418" s="681" t="s">
        <v>2351</v>
      </c>
      <c r="C418" s="736" t="s">
        <v>3997</v>
      </c>
      <c r="D418" s="736" t="s">
        <v>3998</v>
      </c>
      <c r="E418" s="683"/>
      <c r="F418" s="685">
        <v>3</v>
      </c>
      <c r="G418" s="737">
        <v>84.272999999999996</v>
      </c>
      <c r="H418" s="685">
        <v>252.81899999999999</v>
      </c>
      <c r="I418" s="672" t="s">
        <v>9218</v>
      </c>
      <c r="J418" s="672" t="s">
        <v>9219</v>
      </c>
      <c r="K418" s="672" t="s">
        <v>2354</v>
      </c>
      <c r="L418" s="672" t="s">
        <v>9219</v>
      </c>
    </row>
    <row r="419" spans="1:12" x14ac:dyDescent="0.2">
      <c r="A419" s="681" t="s">
        <v>220</v>
      </c>
      <c r="B419" s="681" t="s">
        <v>2351</v>
      </c>
      <c r="C419" s="736" t="s">
        <v>4003</v>
      </c>
      <c r="D419" s="736" t="s">
        <v>4004</v>
      </c>
      <c r="E419" s="683"/>
      <c r="F419" s="685">
        <v>6</v>
      </c>
      <c r="G419" s="737">
        <v>58</v>
      </c>
      <c r="H419" s="685">
        <v>348</v>
      </c>
      <c r="I419" s="672" t="s">
        <v>9218</v>
      </c>
      <c r="J419" s="672" t="s">
        <v>9219</v>
      </c>
      <c r="K419" s="672" t="s">
        <v>2354</v>
      </c>
      <c r="L419" s="672" t="s">
        <v>9219</v>
      </c>
    </row>
    <row r="420" spans="1:12" x14ac:dyDescent="0.2">
      <c r="A420" s="681" t="s">
        <v>220</v>
      </c>
      <c r="B420" s="681" t="s">
        <v>2351</v>
      </c>
      <c r="C420" s="736"/>
      <c r="D420" s="736" t="s">
        <v>9276</v>
      </c>
      <c r="E420" s="683"/>
      <c r="F420" s="685">
        <v>3</v>
      </c>
      <c r="G420" s="737">
        <v>79</v>
      </c>
      <c r="H420" s="685">
        <v>237</v>
      </c>
      <c r="I420" s="672" t="s">
        <v>9218</v>
      </c>
      <c r="J420" s="672" t="s">
        <v>9219</v>
      </c>
      <c r="K420" s="672" t="s">
        <v>2354</v>
      </c>
      <c r="L420" s="672" t="s">
        <v>9219</v>
      </c>
    </row>
    <row r="421" spans="1:12" x14ac:dyDescent="0.2">
      <c r="A421" s="681" t="s">
        <v>220</v>
      </c>
      <c r="B421" s="681" t="s">
        <v>2351</v>
      </c>
      <c r="C421" s="736" t="s">
        <v>4017</v>
      </c>
      <c r="D421" s="736" t="s">
        <v>4018</v>
      </c>
      <c r="E421" s="683"/>
      <c r="F421" s="685">
        <v>3</v>
      </c>
      <c r="G421" s="737">
        <v>59.5</v>
      </c>
      <c r="H421" s="685">
        <v>178.5</v>
      </c>
      <c r="I421" s="672" t="s">
        <v>9218</v>
      </c>
      <c r="J421" s="672" t="s">
        <v>9219</v>
      </c>
      <c r="K421" s="672" t="s">
        <v>2354</v>
      </c>
      <c r="L421" s="672" t="s">
        <v>9219</v>
      </c>
    </row>
    <row r="422" spans="1:12" x14ac:dyDescent="0.2">
      <c r="A422" s="681" t="s">
        <v>220</v>
      </c>
      <c r="B422" s="681" t="s">
        <v>2351</v>
      </c>
      <c r="C422" s="736" t="s">
        <v>9277</v>
      </c>
      <c r="D422" s="736" t="s">
        <v>9278</v>
      </c>
      <c r="E422" s="683"/>
      <c r="F422" s="685">
        <v>1</v>
      </c>
      <c r="G422" s="737">
        <v>205.51300000000001</v>
      </c>
      <c r="H422" s="685">
        <v>205.51300000000001</v>
      </c>
      <c r="I422" s="672" t="s">
        <v>9218</v>
      </c>
      <c r="J422" s="672" t="s">
        <v>9219</v>
      </c>
      <c r="K422" s="672" t="s">
        <v>2354</v>
      </c>
      <c r="L422" s="672" t="s">
        <v>9219</v>
      </c>
    </row>
    <row r="423" spans="1:12" x14ac:dyDescent="0.2">
      <c r="A423" s="681" t="s">
        <v>220</v>
      </c>
      <c r="B423" s="681" t="s">
        <v>2351</v>
      </c>
      <c r="C423" s="736" t="s">
        <v>4019</v>
      </c>
      <c r="D423" s="736" t="s">
        <v>4020</v>
      </c>
      <c r="E423" s="683"/>
      <c r="F423" s="685">
        <v>1</v>
      </c>
      <c r="G423" s="737">
        <v>213.28200000000001</v>
      </c>
      <c r="H423" s="685">
        <v>213.28200000000001</v>
      </c>
      <c r="I423" s="672" t="s">
        <v>9218</v>
      </c>
      <c r="J423" s="672" t="s">
        <v>9219</v>
      </c>
      <c r="K423" s="672" t="s">
        <v>2354</v>
      </c>
      <c r="L423" s="672" t="s">
        <v>9219</v>
      </c>
    </row>
    <row r="424" spans="1:12" x14ac:dyDescent="0.2">
      <c r="A424" s="681" t="s">
        <v>220</v>
      </c>
      <c r="B424" s="681" t="s">
        <v>2351</v>
      </c>
      <c r="C424" s="736" t="s">
        <v>9279</v>
      </c>
      <c r="D424" s="736" t="s">
        <v>9280</v>
      </c>
      <c r="E424" s="683"/>
      <c r="F424" s="685">
        <v>14</v>
      </c>
      <c r="G424" s="737">
        <v>105</v>
      </c>
      <c r="H424" s="685">
        <v>1470</v>
      </c>
      <c r="I424" s="672" t="s">
        <v>9218</v>
      </c>
      <c r="J424" s="672" t="s">
        <v>9219</v>
      </c>
      <c r="K424" s="672" t="s">
        <v>2354</v>
      </c>
      <c r="L424" s="672" t="s">
        <v>9219</v>
      </c>
    </row>
    <row r="425" spans="1:12" x14ac:dyDescent="0.2">
      <c r="A425" s="681" t="s">
        <v>220</v>
      </c>
      <c r="B425" s="681" t="s">
        <v>2351</v>
      </c>
      <c r="C425" s="736" t="s">
        <v>4021</v>
      </c>
      <c r="D425" s="736" t="s">
        <v>4022</v>
      </c>
      <c r="E425" s="683"/>
      <c r="F425" s="685">
        <v>4</v>
      </c>
      <c r="G425" s="737">
        <v>115</v>
      </c>
      <c r="H425" s="685">
        <v>460</v>
      </c>
      <c r="I425" s="672" t="s">
        <v>9218</v>
      </c>
      <c r="J425" s="672" t="s">
        <v>9219</v>
      </c>
      <c r="K425" s="672" t="s">
        <v>2354</v>
      </c>
      <c r="L425" s="672" t="s">
        <v>9219</v>
      </c>
    </row>
    <row r="426" spans="1:12" x14ac:dyDescent="0.2">
      <c r="A426" s="681" t="s">
        <v>220</v>
      </c>
      <c r="B426" s="681" t="s">
        <v>2351</v>
      </c>
      <c r="C426" s="736" t="s">
        <v>4029</v>
      </c>
      <c r="D426" s="736" t="s">
        <v>4030</v>
      </c>
      <c r="E426" s="683"/>
      <c r="F426" s="685">
        <v>6</v>
      </c>
      <c r="G426" s="737">
        <v>20.962800000000001</v>
      </c>
      <c r="H426" s="685">
        <v>125.77680000000001</v>
      </c>
      <c r="I426" s="672" t="s">
        <v>9218</v>
      </c>
      <c r="J426" s="672" t="s">
        <v>9219</v>
      </c>
      <c r="K426" s="672" t="s">
        <v>2354</v>
      </c>
      <c r="L426" s="672" t="s">
        <v>9219</v>
      </c>
    </row>
    <row r="427" spans="1:12" x14ac:dyDescent="0.2">
      <c r="A427" s="681" t="s">
        <v>220</v>
      </c>
      <c r="B427" s="681" t="s">
        <v>2351</v>
      </c>
      <c r="C427" s="736" t="s">
        <v>4031</v>
      </c>
      <c r="D427" s="736" t="s">
        <v>4032</v>
      </c>
      <c r="E427" s="683"/>
      <c r="F427" s="685">
        <v>2</v>
      </c>
      <c r="G427" s="737">
        <v>141.928</v>
      </c>
      <c r="H427" s="685">
        <v>283.85599999999999</v>
      </c>
      <c r="I427" s="672" t="s">
        <v>9218</v>
      </c>
      <c r="J427" s="672" t="s">
        <v>9219</v>
      </c>
      <c r="K427" s="672" t="s">
        <v>2354</v>
      </c>
      <c r="L427" s="672" t="s">
        <v>9219</v>
      </c>
    </row>
    <row r="428" spans="1:12" x14ac:dyDescent="0.2">
      <c r="A428" s="681" t="s">
        <v>220</v>
      </c>
      <c r="B428" s="681" t="s">
        <v>2351</v>
      </c>
      <c r="C428" s="736" t="s">
        <v>4033</v>
      </c>
      <c r="D428" s="736" t="s">
        <v>4034</v>
      </c>
      <c r="E428" s="683"/>
      <c r="F428" s="685">
        <v>2</v>
      </c>
      <c r="G428" s="737">
        <v>157.5</v>
      </c>
      <c r="H428" s="685">
        <v>315</v>
      </c>
      <c r="I428" s="672" t="s">
        <v>9218</v>
      </c>
      <c r="J428" s="672" t="s">
        <v>9219</v>
      </c>
      <c r="K428" s="672" t="s">
        <v>2354</v>
      </c>
      <c r="L428" s="672" t="s">
        <v>9219</v>
      </c>
    </row>
    <row r="429" spans="1:12" x14ac:dyDescent="0.2">
      <c r="A429" s="681" t="s">
        <v>220</v>
      </c>
      <c r="B429" s="681" t="s">
        <v>2351</v>
      </c>
      <c r="C429" s="736" t="s">
        <v>9281</v>
      </c>
      <c r="D429" s="736" t="s">
        <v>9282</v>
      </c>
      <c r="E429" s="683"/>
      <c r="F429" s="685">
        <v>2</v>
      </c>
      <c r="G429" s="737">
        <v>1143.5</v>
      </c>
      <c r="H429" s="685">
        <v>2287</v>
      </c>
      <c r="I429" s="672" t="s">
        <v>9218</v>
      </c>
      <c r="J429" s="672" t="s">
        <v>9219</v>
      </c>
      <c r="K429" s="672" t="s">
        <v>2354</v>
      </c>
      <c r="L429" s="672" t="s">
        <v>9219</v>
      </c>
    </row>
    <row r="430" spans="1:12" x14ac:dyDescent="0.2">
      <c r="A430" s="681" t="s">
        <v>220</v>
      </c>
      <c r="B430" s="681" t="s">
        <v>2351</v>
      </c>
      <c r="C430" s="736" t="s">
        <v>4035</v>
      </c>
      <c r="D430" s="736" t="s">
        <v>4036</v>
      </c>
      <c r="E430" s="683"/>
      <c r="F430" s="685">
        <v>13</v>
      </c>
      <c r="G430" s="737">
        <v>68.522999999999996</v>
      </c>
      <c r="H430" s="685">
        <v>890.79899999999998</v>
      </c>
      <c r="I430" s="672" t="s">
        <v>9218</v>
      </c>
      <c r="J430" s="672" t="s">
        <v>9219</v>
      </c>
      <c r="K430" s="672" t="s">
        <v>2354</v>
      </c>
      <c r="L430" s="672" t="s">
        <v>9219</v>
      </c>
    </row>
    <row r="431" spans="1:12" x14ac:dyDescent="0.2">
      <c r="A431" s="681" t="s">
        <v>220</v>
      </c>
      <c r="B431" s="681" t="s">
        <v>2351</v>
      </c>
      <c r="C431" s="736" t="s">
        <v>9285</v>
      </c>
      <c r="D431" s="736" t="s">
        <v>9286</v>
      </c>
      <c r="E431" s="683"/>
      <c r="F431" s="685">
        <v>2</v>
      </c>
      <c r="G431" s="737">
        <v>238.5</v>
      </c>
      <c r="H431" s="685">
        <v>477</v>
      </c>
      <c r="I431" s="672" t="s">
        <v>9218</v>
      </c>
      <c r="J431" s="672" t="s">
        <v>9219</v>
      </c>
      <c r="K431" s="672" t="s">
        <v>2354</v>
      </c>
      <c r="L431" s="672" t="s">
        <v>9219</v>
      </c>
    </row>
    <row r="432" spans="1:12" x14ac:dyDescent="0.2">
      <c r="A432" s="681" t="s">
        <v>220</v>
      </c>
      <c r="B432" s="681" t="s">
        <v>2351</v>
      </c>
      <c r="C432" s="736" t="s">
        <v>9287</v>
      </c>
      <c r="D432" s="736" t="s">
        <v>9288</v>
      </c>
      <c r="E432" s="683"/>
      <c r="F432" s="685">
        <v>1</v>
      </c>
      <c r="G432" s="737">
        <v>335.26499999999999</v>
      </c>
      <c r="H432" s="685">
        <v>335.26499999999999</v>
      </c>
      <c r="I432" s="672" t="s">
        <v>9218</v>
      </c>
      <c r="J432" s="672" t="s">
        <v>9219</v>
      </c>
      <c r="K432" s="672" t="s">
        <v>2354</v>
      </c>
      <c r="L432" s="672" t="s">
        <v>9219</v>
      </c>
    </row>
    <row r="433" spans="1:12" x14ac:dyDescent="0.2">
      <c r="A433" s="681" t="s">
        <v>220</v>
      </c>
      <c r="B433" s="681" t="s">
        <v>2351</v>
      </c>
      <c r="C433" s="736" t="s">
        <v>9289</v>
      </c>
      <c r="D433" s="736" t="s">
        <v>9290</v>
      </c>
      <c r="E433" s="683"/>
      <c r="F433" s="685">
        <v>2</v>
      </c>
      <c r="G433" s="737">
        <v>618.49</v>
      </c>
      <c r="H433" s="685">
        <v>1236.98</v>
      </c>
      <c r="I433" s="672" t="s">
        <v>9218</v>
      </c>
      <c r="J433" s="672" t="s">
        <v>9219</v>
      </c>
      <c r="K433" s="672" t="s">
        <v>2354</v>
      </c>
      <c r="L433" s="672" t="s">
        <v>9219</v>
      </c>
    </row>
    <row r="434" spans="1:12" x14ac:dyDescent="0.2">
      <c r="A434" s="681" t="s">
        <v>220</v>
      </c>
      <c r="B434" s="681" t="s">
        <v>2351</v>
      </c>
      <c r="C434" s="736" t="s">
        <v>9293</v>
      </c>
      <c r="D434" s="736" t="s">
        <v>9294</v>
      </c>
      <c r="E434" s="683"/>
      <c r="F434" s="685">
        <v>5</v>
      </c>
      <c r="G434" s="737">
        <v>67.125</v>
      </c>
      <c r="H434" s="685">
        <v>335.625</v>
      </c>
      <c r="I434" s="672" t="s">
        <v>9218</v>
      </c>
      <c r="J434" s="672" t="s">
        <v>9219</v>
      </c>
      <c r="K434" s="672" t="s">
        <v>2354</v>
      </c>
      <c r="L434" s="672" t="s">
        <v>9219</v>
      </c>
    </row>
    <row r="435" spans="1:12" x14ac:dyDescent="0.2">
      <c r="A435" s="681" t="s">
        <v>220</v>
      </c>
      <c r="B435" s="681" t="s">
        <v>2351</v>
      </c>
      <c r="C435" s="736" t="s">
        <v>9295</v>
      </c>
      <c r="D435" s="736" t="s">
        <v>9296</v>
      </c>
      <c r="E435" s="683"/>
      <c r="F435" s="685">
        <v>1</v>
      </c>
      <c r="G435" s="737">
        <v>138.208</v>
      </c>
      <c r="H435" s="685">
        <v>138.208</v>
      </c>
      <c r="I435" s="672" t="s">
        <v>9218</v>
      </c>
      <c r="J435" s="672" t="s">
        <v>9219</v>
      </c>
      <c r="K435" s="672" t="s">
        <v>2354</v>
      </c>
      <c r="L435" s="672" t="s">
        <v>9219</v>
      </c>
    </row>
    <row r="436" spans="1:12" x14ac:dyDescent="0.2">
      <c r="A436" s="681" t="s">
        <v>220</v>
      </c>
      <c r="B436" s="681" t="s">
        <v>2351</v>
      </c>
      <c r="C436" s="736" t="s">
        <v>4043</v>
      </c>
      <c r="D436" s="736" t="s">
        <v>4044</v>
      </c>
      <c r="E436" s="683"/>
      <c r="F436" s="685">
        <v>4</v>
      </c>
      <c r="G436" s="737">
        <v>90.4</v>
      </c>
      <c r="H436" s="685">
        <v>361.6</v>
      </c>
      <c r="I436" s="672" t="s">
        <v>9218</v>
      </c>
      <c r="J436" s="672" t="s">
        <v>9219</v>
      </c>
      <c r="K436" s="672" t="s">
        <v>2354</v>
      </c>
      <c r="L436" s="672" t="s">
        <v>9219</v>
      </c>
    </row>
    <row r="437" spans="1:12" x14ac:dyDescent="0.2">
      <c r="A437" s="681" t="s">
        <v>220</v>
      </c>
      <c r="B437" s="681" t="s">
        <v>2351</v>
      </c>
      <c r="C437" s="736" t="s">
        <v>4077</v>
      </c>
      <c r="D437" s="736" t="s">
        <v>4078</v>
      </c>
      <c r="E437" s="683"/>
      <c r="F437" s="685">
        <v>5</v>
      </c>
      <c r="G437" s="737">
        <v>89.503</v>
      </c>
      <c r="H437" s="685">
        <v>447.51499999999999</v>
      </c>
      <c r="I437" s="672" t="s">
        <v>9218</v>
      </c>
      <c r="J437" s="672" t="s">
        <v>9219</v>
      </c>
      <c r="K437" s="672" t="s">
        <v>2354</v>
      </c>
      <c r="L437" s="672" t="s">
        <v>9219</v>
      </c>
    </row>
    <row r="438" spans="1:12" x14ac:dyDescent="0.2">
      <c r="A438" s="681" t="s">
        <v>220</v>
      </c>
      <c r="B438" s="681" t="s">
        <v>2351</v>
      </c>
      <c r="C438" s="736" t="s">
        <v>4079</v>
      </c>
      <c r="D438" s="736" t="s">
        <v>4080</v>
      </c>
      <c r="E438" s="683"/>
      <c r="F438" s="685">
        <v>3</v>
      </c>
      <c r="G438" s="737">
        <v>87.93</v>
      </c>
      <c r="H438" s="685">
        <v>263.79000000000002</v>
      </c>
      <c r="I438" s="672" t="s">
        <v>9218</v>
      </c>
      <c r="J438" s="672" t="s">
        <v>9219</v>
      </c>
      <c r="K438" s="672" t="s">
        <v>2354</v>
      </c>
      <c r="L438" s="672" t="s">
        <v>9219</v>
      </c>
    </row>
    <row r="439" spans="1:12" x14ac:dyDescent="0.2">
      <c r="A439" s="681" t="s">
        <v>220</v>
      </c>
      <c r="B439" s="681" t="s">
        <v>2351</v>
      </c>
      <c r="C439" s="736" t="s">
        <v>9297</v>
      </c>
      <c r="D439" s="736" t="s">
        <v>9298</v>
      </c>
      <c r="E439" s="683"/>
      <c r="F439" s="685">
        <v>3</v>
      </c>
      <c r="G439" s="737">
        <v>93.307000000000002</v>
      </c>
      <c r="H439" s="685">
        <v>279.92099999999999</v>
      </c>
      <c r="I439" s="672" t="s">
        <v>9218</v>
      </c>
      <c r="J439" s="672" t="s">
        <v>9219</v>
      </c>
      <c r="K439" s="672" t="s">
        <v>2354</v>
      </c>
      <c r="L439" s="672" t="s">
        <v>9219</v>
      </c>
    </row>
    <row r="440" spans="1:12" x14ac:dyDescent="0.2">
      <c r="A440" s="681" t="s">
        <v>220</v>
      </c>
      <c r="B440" s="681" t="s">
        <v>2351</v>
      </c>
      <c r="C440" s="736"/>
      <c r="D440" s="736" t="s">
        <v>4088</v>
      </c>
      <c r="E440" s="683"/>
      <c r="F440" s="685">
        <v>1</v>
      </c>
      <c r="G440" s="737">
        <v>18.45</v>
      </c>
      <c r="H440" s="685">
        <v>18.45</v>
      </c>
      <c r="I440" s="672" t="s">
        <v>9218</v>
      </c>
      <c r="J440" s="672" t="s">
        <v>9219</v>
      </c>
      <c r="K440" s="672" t="s">
        <v>2354</v>
      </c>
      <c r="L440" s="672" t="s">
        <v>9219</v>
      </c>
    </row>
    <row r="441" spans="1:12" x14ac:dyDescent="0.2">
      <c r="A441" s="681" t="s">
        <v>220</v>
      </c>
      <c r="B441" s="681" t="s">
        <v>2351</v>
      </c>
      <c r="C441" s="736" t="s">
        <v>4101</v>
      </c>
      <c r="D441" s="736" t="s">
        <v>4102</v>
      </c>
      <c r="E441" s="683"/>
      <c r="F441" s="685">
        <v>6</v>
      </c>
      <c r="G441" s="737">
        <v>139.21199999999999</v>
      </c>
      <c r="H441" s="685">
        <v>835.27199999999993</v>
      </c>
      <c r="I441" s="672" t="s">
        <v>9218</v>
      </c>
      <c r="J441" s="672" t="s">
        <v>9219</v>
      </c>
      <c r="K441" s="672" t="s">
        <v>2354</v>
      </c>
      <c r="L441" s="672" t="s">
        <v>9219</v>
      </c>
    </row>
    <row r="442" spans="1:12" x14ac:dyDescent="0.2">
      <c r="A442" s="681" t="s">
        <v>220</v>
      </c>
      <c r="B442" s="681" t="s">
        <v>2351</v>
      </c>
      <c r="C442" s="736" t="s">
        <v>4103</v>
      </c>
      <c r="D442" s="736" t="s">
        <v>4104</v>
      </c>
      <c r="E442" s="683"/>
      <c r="F442" s="685">
        <v>2</v>
      </c>
      <c r="G442" s="737">
        <v>11.548999999999999</v>
      </c>
      <c r="H442" s="685">
        <v>23.097999999999999</v>
      </c>
      <c r="I442" s="672" t="s">
        <v>9218</v>
      </c>
      <c r="J442" s="672" t="s">
        <v>9219</v>
      </c>
      <c r="K442" s="672" t="s">
        <v>2354</v>
      </c>
      <c r="L442" s="672" t="s">
        <v>9219</v>
      </c>
    </row>
    <row r="443" spans="1:12" x14ac:dyDescent="0.2">
      <c r="A443" s="681" t="s">
        <v>220</v>
      </c>
      <c r="B443" s="681" t="s">
        <v>2351</v>
      </c>
      <c r="C443" s="736" t="s">
        <v>4105</v>
      </c>
      <c r="D443" s="736" t="s">
        <v>4106</v>
      </c>
      <c r="E443" s="683"/>
      <c r="F443" s="685">
        <v>2</v>
      </c>
      <c r="G443" s="737">
        <v>137.6</v>
      </c>
      <c r="H443" s="685">
        <v>275.2</v>
      </c>
      <c r="I443" s="672" t="s">
        <v>9218</v>
      </c>
      <c r="J443" s="672" t="s">
        <v>9219</v>
      </c>
      <c r="K443" s="672" t="s">
        <v>2354</v>
      </c>
      <c r="L443" s="672" t="s">
        <v>9219</v>
      </c>
    </row>
    <row r="444" spans="1:12" x14ac:dyDescent="0.2">
      <c r="A444" s="681" t="s">
        <v>220</v>
      </c>
      <c r="B444" s="681" t="s">
        <v>2351</v>
      </c>
      <c r="C444" s="736" t="s">
        <v>5332</v>
      </c>
      <c r="D444" s="736" t="s">
        <v>5333</v>
      </c>
      <c r="E444" s="683"/>
      <c r="F444" s="685">
        <v>1</v>
      </c>
      <c r="G444" s="737">
        <v>0</v>
      </c>
      <c r="H444" s="685">
        <v>0</v>
      </c>
      <c r="I444" s="672" t="s">
        <v>9218</v>
      </c>
      <c r="J444" s="672" t="s">
        <v>9219</v>
      </c>
      <c r="K444" s="672" t="s">
        <v>2354</v>
      </c>
      <c r="L444" s="672" t="s">
        <v>9219</v>
      </c>
    </row>
    <row r="445" spans="1:12" x14ac:dyDescent="0.2">
      <c r="A445" s="681" t="s">
        <v>220</v>
      </c>
      <c r="B445" s="681" t="s">
        <v>2351</v>
      </c>
      <c r="C445" s="736" t="s">
        <v>4107</v>
      </c>
      <c r="D445" s="736" t="s">
        <v>4108</v>
      </c>
      <c r="E445" s="683"/>
      <c r="F445" s="685">
        <v>3</v>
      </c>
      <c r="G445" s="737">
        <v>104.83199999999999</v>
      </c>
      <c r="H445" s="685">
        <v>314.49599999999998</v>
      </c>
      <c r="I445" s="672" t="s">
        <v>9218</v>
      </c>
      <c r="J445" s="672" t="s">
        <v>9219</v>
      </c>
      <c r="K445" s="672" t="s">
        <v>2354</v>
      </c>
      <c r="L445" s="672" t="s">
        <v>9219</v>
      </c>
    </row>
    <row r="446" spans="1:12" x14ac:dyDescent="0.2">
      <c r="A446" s="681" t="s">
        <v>220</v>
      </c>
      <c r="B446" s="681" t="s">
        <v>2351</v>
      </c>
      <c r="C446" s="736" t="s">
        <v>9302</v>
      </c>
      <c r="D446" s="736" t="s">
        <v>9303</v>
      </c>
      <c r="E446" s="683"/>
      <c r="F446" s="685">
        <v>1</v>
      </c>
      <c r="G446" s="737">
        <v>247.13800000000001</v>
      </c>
      <c r="H446" s="685">
        <v>247.13800000000001</v>
      </c>
      <c r="I446" s="672" t="s">
        <v>9218</v>
      </c>
      <c r="J446" s="672" t="s">
        <v>9219</v>
      </c>
      <c r="K446" s="672" t="s">
        <v>2354</v>
      </c>
      <c r="L446" s="672" t="s">
        <v>9219</v>
      </c>
    </row>
    <row r="447" spans="1:12" x14ac:dyDescent="0.2">
      <c r="A447" s="681" t="s">
        <v>220</v>
      </c>
      <c r="B447" s="681" t="s">
        <v>2351</v>
      </c>
      <c r="C447" s="736" t="s">
        <v>4109</v>
      </c>
      <c r="D447" s="736" t="s">
        <v>4110</v>
      </c>
      <c r="E447" s="683"/>
      <c r="F447" s="685">
        <v>3</v>
      </c>
      <c r="G447" s="737">
        <v>80.91</v>
      </c>
      <c r="H447" s="685">
        <v>242.73</v>
      </c>
      <c r="I447" s="672" t="s">
        <v>9218</v>
      </c>
      <c r="J447" s="672" t="s">
        <v>9219</v>
      </c>
      <c r="K447" s="672" t="s">
        <v>2354</v>
      </c>
      <c r="L447" s="672" t="s">
        <v>9219</v>
      </c>
    </row>
    <row r="448" spans="1:12" x14ac:dyDescent="0.2">
      <c r="A448" s="681" t="s">
        <v>220</v>
      </c>
      <c r="B448" s="681" t="s">
        <v>2351</v>
      </c>
      <c r="C448" s="736"/>
      <c r="D448" s="736" t="s">
        <v>9307</v>
      </c>
      <c r="E448" s="683"/>
      <c r="F448" s="685">
        <v>1</v>
      </c>
      <c r="G448" s="737">
        <v>524.70000000000005</v>
      </c>
      <c r="H448" s="685">
        <v>524.70000000000005</v>
      </c>
      <c r="I448" s="672" t="s">
        <v>9218</v>
      </c>
      <c r="J448" s="672" t="s">
        <v>9219</v>
      </c>
      <c r="K448" s="672" t="s">
        <v>2354</v>
      </c>
      <c r="L448" s="672" t="s">
        <v>9219</v>
      </c>
    </row>
    <row r="449" spans="1:12" x14ac:dyDescent="0.2">
      <c r="A449" s="681" t="s">
        <v>220</v>
      </c>
      <c r="B449" s="681" t="s">
        <v>2351</v>
      </c>
      <c r="C449" s="736" t="s">
        <v>4111</v>
      </c>
      <c r="D449" s="736" t="s">
        <v>9308</v>
      </c>
      <c r="E449" s="683"/>
      <c r="F449" s="685">
        <v>1</v>
      </c>
      <c r="G449" s="737">
        <v>524.70000000000005</v>
      </c>
      <c r="H449" s="685">
        <v>524.70000000000005</v>
      </c>
      <c r="I449" s="672" t="s">
        <v>9218</v>
      </c>
      <c r="J449" s="672" t="s">
        <v>9219</v>
      </c>
      <c r="K449" s="672" t="s">
        <v>2354</v>
      </c>
      <c r="L449" s="672" t="s">
        <v>9219</v>
      </c>
    </row>
    <row r="450" spans="1:12" x14ac:dyDescent="0.2">
      <c r="A450" s="681" t="s">
        <v>220</v>
      </c>
      <c r="B450" s="681" t="s">
        <v>2351</v>
      </c>
      <c r="C450" s="736" t="s">
        <v>9309</v>
      </c>
      <c r="D450" s="736" t="s">
        <v>9310</v>
      </c>
      <c r="E450" s="683"/>
      <c r="F450" s="685">
        <v>1</v>
      </c>
      <c r="G450" s="737">
        <v>1432.4449999999999</v>
      </c>
      <c r="H450" s="685">
        <v>1432.4449999999999</v>
      </c>
      <c r="I450" s="672" t="s">
        <v>9218</v>
      </c>
      <c r="J450" s="672" t="s">
        <v>9219</v>
      </c>
      <c r="K450" s="672" t="s">
        <v>2354</v>
      </c>
      <c r="L450" s="672" t="s">
        <v>9219</v>
      </c>
    </row>
    <row r="451" spans="1:12" x14ac:dyDescent="0.2">
      <c r="A451" s="681" t="s">
        <v>220</v>
      </c>
      <c r="B451" s="681" t="s">
        <v>2351</v>
      </c>
      <c r="C451" s="736" t="s">
        <v>4119</v>
      </c>
      <c r="D451" s="736" t="s">
        <v>4120</v>
      </c>
      <c r="E451" s="683"/>
      <c r="F451" s="685">
        <v>1</v>
      </c>
      <c r="G451" s="737">
        <v>656.72973000000002</v>
      </c>
      <c r="H451" s="685">
        <v>656.72973000000002</v>
      </c>
      <c r="I451" s="672" t="s">
        <v>9218</v>
      </c>
      <c r="J451" s="672" t="s">
        <v>9219</v>
      </c>
      <c r="K451" s="672" t="s">
        <v>2354</v>
      </c>
      <c r="L451" s="672" t="s">
        <v>9219</v>
      </c>
    </row>
    <row r="452" spans="1:12" x14ac:dyDescent="0.2">
      <c r="A452" s="681" t="s">
        <v>220</v>
      </c>
      <c r="B452" s="681" t="s">
        <v>2351</v>
      </c>
      <c r="C452" s="736" t="s">
        <v>4123</v>
      </c>
      <c r="D452" s="736" t="s">
        <v>4124</v>
      </c>
      <c r="E452" s="683"/>
      <c r="F452" s="685">
        <v>1</v>
      </c>
      <c r="G452" s="737">
        <v>204.05269999999999</v>
      </c>
      <c r="H452" s="685">
        <v>204.05269999999999</v>
      </c>
      <c r="I452" s="672" t="s">
        <v>9218</v>
      </c>
      <c r="J452" s="672" t="s">
        <v>9219</v>
      </c>
      <c r="K452" s="672" t="s">
        <v>2354</v>
      </c>
      <c r="L452" s="672" t="s">
        <v>9219</v>
      </c>
    </row>
    <row r="453" spans="1:12" x14ac:dyDescent="0.2">
      <c r="A453" s="681" t="s">
        <v>220</v>
      </c>
      <c r="B453" s="681" t="s">
        <v>2351</v>
      </c>
      <c r="C453" s="736"/>
      <c r="D453" s="736" t="s">
        <v>9311</v>
      </c>
      <c r="E453" s="683"/>
      <c r="F453" s="685">
        <v>1</v>
      </c>
      <c r="G453" s="737">
        <v>786.25800000000004</v>
      </c>
      <c r="H453" s="685">
        <v>786.25800000000004</v>
      </c>
      <c r="I453" s="672" t="s">
        <v>9218</v>
      </c>
      <c r="J453" s="672" t="s">
        <v>9219</v>
      </c>
      <c r="K453" s="672" t="s">
        <v>2354</v>
      </c>
      <c r="L453" s="672" t="s">
        <v>9219</v>
      </c>
    </row>
    <row r="454" spans="1:12" x14ac:dyDescent="0.2">
      <c r="A454" s="681" t="s">
        <v>220</v>
      </c>
      <c r="B454" s="681" t="s">
        <v>2351</v>
      </c>
      <c r="C454" s="736" t="s">
        <v>4127</v>
      </c>
      <c r="D454" s="736" t="s">
        <v>4128</v>
      </c>
      <c r="E454" s="683"/>
      <c r="F454" s="685">
        <v>1</v>
      </c>
      <c r="G454" s="737">
        <v>1050</v>
      </c>
      <c r="H454" s="685">
        <v>1050</v>
      </c>
      <c r="I454" s="672" t="s">
        <v>9218</v>
      </c>
      <c r="J454" s="672" t="s">
        <v>9219</v>
      </c>
      <c r="K454" s="672" t="s">
        <v>2354</v>
      </c>
      <c r="L454" s="672" t="s">
        <v>9219</v>
      </c>
    </row>
    <row r="455" spans="1:12" x14ac:dyDescent="0.2">
      <c r="A455" s="681" t="s">
        <v>220</v>
      </c>
      <c r="B455" s="681" t="s">
        <v>2351</v>
      </c>
      <c r="C455" s="736"/>
      <c r="D455" s="736" t="s">
        <v>9313</v>
      </c>
      <c r="E455" s="683"/>
      <c r="F455" s="685">
        <v>1</v>
      </c>
      <c r="G455" s="737">
        <v>140.19999999999999</v>
      </c>
      <c r="H455" s="685">
        <v>140.19999999999999</v>
      </c>
      <c r="I455" s="672" t="s">
        <v>9218</v>
      </c>
      <c r="J455" s="672" t="s">
        <v>9219</v>
      </c>
      <c r="K455" s="672" t="s">
        <v>2354</v>
      </c>
      <c r="L455" s="672" t="s">
        <v>9219</v>
      </c>
    </row>
    <row r="456" spans="1:12" x14ac:dyDescent="0.2">
      <c r="A456" s="681" t="s">
        <v>220</v>
      </c>
      <c r="B456" s="681" t="s">
        <v>2351</v>
      </c>
      <c r="C456" s="736"/>
      <c r="D456" s="736" t="s">
        <v>9313</v>
      </c>
      <c r="E456" s="683"/>
      <c r="F456" s="685">
        <v>1</v>
      </c>
      <c r="G456" s="737">
        <v>140.19999999999999</v>
      </c>
      <c r="H456" s="685">
        <v>140.19999999999999</v>
      </c>
      <c r="I456" s="672" t="s">
        <v>9218</v>
      </c>
      <c r="J456" s="672" t="s">
        <v>9219</v>
      </c>
      <c r="K456" s="672" t="s">
        <v>2354</v>
      </c>
      <c r="L456" s="672" t="s">
        <v>9219</v>
      </c>
    </row>
    <row r="457" spans="1:12" x14ac:dyDescent="0.2">
      <c r="A457" s="681" t="s">
        <v>220</v>
      </c>
      <c r="B457" s="681" t="s">
        <v>2351</v>
      </c>
      <c r="C457" s="736" t="s">
        <v>4129</v>
      </c>
      <c r="D457" s="736" t="s">
        <v>4130</v>
      </c>
      <c r="E457" s="683"/>
      <c r="F457" s="685">
        <v>1</v>
      </c>
      <c r="G457" s="737">
        <v>152.15</v>
      </c>
      <c r="H457" s="685">
        <v>152.15</v>
      </c>
      <c r="I457" s="672" t="s">
        <v>9218</v>
      </c>
      <c r="J457" s="672" t="s">
        <v>9219</v>
      </c>
      <c r="K457" s="672" t="s">
        <v>2354</v>
      </c>
      <c r="L457" s="672" t="s">
        <v>9219</v>
      </c>
    </row>
    <row r="458" spans="1:12" x14ac:dyDescent="0.2">
      <c r="A458" s="681" t="s">
        <v>220</v>
      </c>
      <c r="B458" s="681" t="s">
        <v>2351</v>
      </c>
      <c r="C458" s="736" t="s">
        <v>4131</v>
      </c>
      <c r="D458" s="736" t="s">
        <v>4132</v>
      </c>
      <c r="E458" s="683"/>
      <c r="F458" s="685">
        <v>1</v>
      </c>
      <c r="G458" s="737">
        <v>45.05</v>
      </c>
      <c r="H458" s="685">
        <v>45.05</v>
      </c>
      <c r="I458" s="672" t="s">
        <v>9218</v>
      </c>
      <c r="J458" s="672" t="s">
        <v>9219</v>
      </c>
      <c r="K458" s="672" t="s">
        <v>2354</v>
      </c>
      <c r="L458" s="672" t="s">
        <v>9219</v>
      </c>
    </row>
    <row r="459" spans="1:12" x14ac:dyDescent="0.2">
      <c r="A459" s="681" t="s">
        <v>220</v>
      </c>
      <c r="B459" s="681" t="s">
        <v>2351</v>
      </c>
      <c r="C459" s="736" t="s">
        <v>4137</v>
      </c>
      <c r="D459" s="736" t="s">
        <v>4138</v>
      </c>
      <c r="E459" s="683"/>
      <c r="F459" s="685">
        <v>32</v>
      </c>
      <c r="G459" s="737">
        <v>0.96711999999999987</v>
      </c>
      <c r="H459" s="685">
        <v>30.947839999999996</v>
      </c>
      <c r="I459" s="672" t="s">
        <v>9218</v>
      </c>
      <c r="J459" s="672" t="s">
        <v>9219</v>
      </c>
      <c r="K459" s="672" t="s">
        <v>2354</v>
      </c>
      <c r="L459" s="672" t="s">
        <v>9219</v>
      </c>
    </row>
    <row r="460" spans="1:12" x14ac:dyDescent="0.2">
      <c r="A460" s="681" t="s">
        <v>220</v>
      </c>
      <c r="B460" s="681" t="s">
        <v>2351</v>
      </c>
      <c r="C460" s="736" t="s">
        <v>4139</v>
      </c>
      <c r="D460" s="736" t="s">
        <v>4140</v>
      </c>
      <c r="E460" s="683"/>
      <c r="F460" s="685">
        <v>59</v>
      </c>
      <c r="G460" s="737">
        <v>1.4933333333333334</v>
      </c>
      <c r="H460" s="685">
        <v>88.106666666666669</v>
      </c>
      <c r="I460" s="672" t="s">
        <v>9218</v>
      </c>
      <c r="J460" s="672" t="s">
        <v>9219</v>
      </c>
      <c r="K460" s="672" t="s">
        <v>2354</v>
      </c>
      <c r="L460" s="672" t="s">
        <v>9219</v>
      </c>
    </row>
    <row r="461" spans="1:12" x14ac:dyDescent="0.2">
      <c r="A461" s="681" t="s">
        <v>220</v>
      </c>
      <c r="B461" s="681" t="s">
        <v>2351</v>
      </c>
      <c r="C461" s="736" t="s">
        <v>4141</v>
      </c>
      <c r="D461" s="736" t="s">
        <v>4142</v>
      </c>
      <c r="E461" s="683"/>
      <c r="F461" s="685">
        <v>6</v>
      </c>
      <c r="G461" s="737">
        <v>0.47970000000000007</v>
      </c>
      <c r="H461" s="685">
        <v>2.8782000000000005</v>
      </c>
      <c r="I461" s="672" t="s">
        <v>9218</v>
      </c>
      <c r="J461" s="672" t="s">
        <v>9219</v>
      </c>
      <c r="K461" s="672" t="s">
        <v>2354</v>
      </c>
      <c r="L461" s="672" t="s">
        <v>9219</v>
      </c>
    </row>
    <row r="462" spans="1:12" x14ac:dyDescent="0.2">
      <c r="A462" s="681" t="s">
        <v>220</v>
      </c>
      <c r="B462" s="681" t="s">
        <v>2351</v>
      </c>
      <c r="C462" s="736" t="s">
        <v>4143</v>
      </c>
      <c r="D462" s="736" t="s">
        <v>4144</v>
      </c>
      <c r="E462" s="683"/>
      <c r="F462" s="685">
        <v>15</v>
      </c>
      <c r="G462" s="737">
        <v>5</v>
      </c>
      <c r="H462" s="685">
        <v>75</v>
      </c>
      <c r="I462" s="672" t="s">
        <v>9218</v>
      </c>
      <c r="J462" s="672" t="s">
        <v>9219</v>
      </c>
      <c r="K462" s="672" t="s">
        <v>2354</v>
      </c>
      <c r="L462" s="672" t="s">
        <v>9219</v>
      </c>
    </row>
    <row r="463" spans="1:12" x14ac:dyDescent="0.2">
      <c r="A463" s="681" t="s">
        <v>220</v>
      </c>
      <c r="B463" s="681" t="s">
        <v>2351</v>
      </c>
      <c r="C463" s="736" t="s">
        <v>4147</v>
      </c>
      <c r="D463" s="736" t="s">
        <v>4148</v>
      </c>
      <c r="E463" s="683"/>
      <c r="F463" s="685">
        <v>26</v>
      </c>
      <c r="G463" s="737">
        <v>1.067278911564626</v>
      </c>
      <c r="H463" s="685">
        <v>27.749251700680276</v>
      </c>
      <c r="I463" s="672" t="s">
        <v>9218</v>
      </c>
      <c r="J463" s="672" t="s">
        <v>9219</v>
      </c>
      <c r="K463" s="672" t="s">
        <v>2354</v>
      </c>
      <c r="L463" s="672" t="s">
        <v>9219</v>
      </c>
    </row>
    <row r="464" spans="1:12" x14ac:dyDescent="0.2">
      <c r="A464" s="681" t="s">
        <v>220</v>
      </c>
      <c r="B464" s="681" t="s">
        <v>2351</v>
      </c>
      <c r="C464" s="736" t="s">
        <v>4149</v>
      </c>
      <c r="D464" s="736" t="s">
        <v>4150</v>
      </c>
      <c r="E464" s="683"/>
      <c r="F464" s="685">
        <v>6</v>
      </c>
      <c r="G464" s="737">
        <v>1.116077922077922</v>
      </c>
      <c r="H464" s="685">
        <v>6.6964675324675316</v>
      </c>
      <c r="I464" s="672" t="s">
        <v>9218</v>
      </c>
      <c r="J464" s="672" t="s">
        <v>9219</v>
      </c>
      <c r="K464" s="672" t="s">
        <v>2354</v>
      </c>
      <c r="L464" s="672" t="s">
        <v>9219</v>
      </c>
    </row>
    <row r="465" spans="1:12" x14ac:dyDescent="0.2">
      <c r="A465" s="681" t="s">
        <v>220</v>
      </c>
      <c r="B465" s="681" t="s">
        <v>2351</v>
      </c>
      <c r="C465" s="736" t="s">
        <v>4155</v>
      </c>
      <c r="D465" s="736" t="s">
        <v>4156</v>
      </c>
      <c r="E465" s="683"/>
      <c r="F465" s="685">
        <v>23</v>
      </c>
      <c r="G465" s="737">
        <v>1.2300627272727274</v>
      </c>
      <c r="H465" s="685">
        <v>28.291442727272731</v>
      </c>
      <c r="I465" s="672" t="s">
        <v>9218</v>
      </c>
      <c r="J465" s="672" t="s">
        <v>9219</v>
      </c>
      <c r="K465" s="672" t="s">
        <v>2354</v>
      </c>
      <c r="L465" s="672" t="s">
        <v>9219</v>
      </c>
    </row>
    <row r="466" spans="1:12" x14ac:dyDescent="0.2">
      <c r="A466" s="740" t="s">
        <v>220</v>
      </c>
      <c r="B466" s="740" t="s">
        <v>2351</v>
      </c>
      <c r="C466" s="738" t="s">
        <v>4159</v>
      </c>
      <c r="D466" s="738" t="s">
        <v>4160</v>
      </c>
      <c r="E466" s="741"/>
      <c r="F466" s="685">
        <v>73</v>
      </c>
      <c r="G466" s="737">
        <v>0.24224999999999997</v>
      </c>
      <c r="H466" s="685">
        <v>17.684249999999999</v>
      </c>
      <c r="I466" s="672" t="s">
        <v>9218</v>
      </c>
      <c r="J466" s="672" t="s">
        <v>9219</v>
      </c>
      <c r="K466" s="672" t="s">
        <v>2354</v>
      </c>
      <c r="L466" s="672" t="s">
        <v>9219</v>
      </c>
    </row>
    <row r="467" spans="1:12" x14ac:dyDescent="0.2">
      <c r="A467" s="681" t="s">
        <v>220</v>
      </c>
      <c r="B467" s="681" t="s">
        <v>2351</v>
      </c>
      <c r="C467" s="736" t="s">
        <v>4161</v>
      </c>
      <c r="D467" s="736" t="s">
        <v>4162</v>
      </c>
      <c r="E467" s="683"/>
      <c r="F467" s="685">
        <v>17</v>
      </c>
      <c r="G467" s="737">
        <v>1.0888</v>
      </c>
      <c r="H467" s="685">
        <v>18.509599999999999</v>
      </c>
      <c r="I467" s="672" t="s">
        <v>9218</v>
      </c>
      <c r="J467" s="672" t="s">
        <v>9219</v>
      </c>
      <c r="K467" s="672" t="s">
        <v>2354</v>
      </c>
      <c r="L467" s="672" t="s">
        <v>9219</v>
      </c>
    </row>
    <row r="468" spans="1:12" x14ac:dyDescent="0.2">
      <c r="A468" s="681" t="s">
        <v>220</v>
      </c>
      <c r="B468" s="681" t="s">
        <v>2351</v>
      </c>
      <c r="C468" s="736" t="s">
        <v>4165</v>
      </c>
      <c r="D468" s="736" t="s">
        <v>4166</v>
      </c>
      <c r="E468" s="683"/>
      <c r="F468" s="685">
        <v>7</v>
      </c>
      <c r="G468" s="737">
        <v>77.048000000000002</v>
      </c>
      <c r="H468" s="685">
        <v>539.33600000000001</v>
      </c>
      <c r="I468" s="672" t="s">
        <v>9218</v>
      </c>
      <c r="J468" s="672" t="s">
        <v>9219</v>
      </c>
      <c r="K468" s="672" t="s">
        <v>2354</v>
      </c>
      <c r="L468" s="672" t="s">
        <v>9219</v>
      </c>
    </row>
    <row r="469" spans="1:12" x14ac:dyDescent="0.2">
      <c r="A469" s="681" t="s">
        <v>220</v>
      </c>
      <c r="B469" s="681" t="s">
        <v>2351</v>
      </c>
      <c r="C469" s="736" t="s">
        <v>4169</v>
      </c>
      <c r="D469" s="736" t="s">
        <v>4170</v>
      </c>
      <c r="E469" s="683"/>
      <c r="F469" s="685">
        <v>11</v>
      </c>
      <c r="G469" s="737">
        <v>2.2328999999999999</v>
      </c>
      <c r="H469" s="685">
        <v>24.561899999999998</v>
      </c>
      <c r="I469" s="672" t="s">
        <v>9218</v>
      </c>
      <c r="J469" s="672" t="s">
        <v>9219</v>
      </c>
      <c r="K469" s="672" t="s">
        <v>2354</v>
      </c>
      <c r="L469" s="672" t="s">
        <v>9219</v>
      </c>
    </row>
    <row r="470" spans="1:12" x14ac:dyDescent="0.2">
      <c r="A470" s="681" t="s">
        <v>220</v>
      </c>
      <c r="B470" s="681" t="s">
        <v>2351</v>
      </c>
      <c r="C470" s="736" t="s">
        <v>4175</v>
      </c>
      <c r="D470" s="736" t="s">
        <v>4176</v>
      </c>
      <c r="E470" s="683"/>
      <c r="F470" s="685">
        <v>75</v>
      </c>
      <c r="G470" s="737">
        <v>1.9125000000000001</v>
      </c>
      <c r="H470" s="685">
        <v>143.4375</v>
      </c>
      <c r="I470" s="672" t="s">
        <v>9218</v>
      </c>
      <c r="J470" s="672" t="s">
        <v>9219</v>
      </c>
      <c r="K470" s="672" t="s">
        <v>2354</v>
      </c>
      <c r="L470" s="672" t="s">
        <v>9219</v>
      </c>
    </row>
    <row r="471" spans="1:12" x14ac:dyDescent="0.2">
      <c r="A471" s="681" t="s">
        <v>220</v>
      </c>
      <c r="B471" s="681" t="s">
        <v>2351</v>
      </c>
      <c r="C471" s="736" t="s">
        <v>4179</v>
      </c>
      <c r="D471" s="736" t="s">
        <v>4180</v>
      </c>
      <c r="E471" s="683"/>
      <c r="F471" s="685">
        <v>7</v>
      </c>
      <c r="G471" s="737">
        <v>0.2475</v>
      </c>
      <c r="H471" s="685">
        <v>1.7324999999999999</v>
      </c>
      <c r="I471" s="672" t="s">
        <v>9218</v>
      </c>
      <c r="J471" s="672" t="s">
        <v>9219</v>
      </c>
      <c r="K471" s="672" t="s">
        <v>2354</v>
      </c>
      <c r="L471" s="672" t="s">
        <v>9219</v>
      </c>
    </row>
    <row r="472" spans="1:12" x14ac:dyDescent="0.2">
      <c r="A472" s="681" t="s">
        <v>220</v>
      </c>
      <c r="B472" s="681" t="s">
        <v>2351</v>
      </c>
      <c r="C472" s="736" t="s">
        <v>4181</v>
      </c>
      <c r="D472" s="736" t="s">
        <v>4182</v>
      </c>
      <c r="E472" s="683"/>
      <c r="F472" s="685">
        <v>21</v>
      </c>
      <c r="G472" s="737">
        <v>0.5214545454545455</v>
      </c>
      <c r="H472" s="685">
        <v>10.950545454545455</v>
      </c>
      <c r="I472" s="672" t="s">
        <v>9218</v>
      </c>
      <c r="J472" s="672" t="s">
        <v>9219</v>
      </c>
      <c r="K472" s="672" t="s">
        <v>2354</v>
      </c>
      <c r="L472" s="672" t="s">
        <v>9219</v>
      </c>
    </row>
    <row r="473" spans="1:12" x14ac:dyDescent="0.2">
      <c r="A473" s="681" t="s">
        <v>220</v>
      </c>
      <c r="B473" s="681" t="s">
        <v>2351</v>
      </c>
      <c r="C473" s="736" t="s">
        <v>4183</v>
      </c>
      <c r="D473" s="736" t="s">
        <v>4184</v>
      </c>
      <c r="E473" s="683"/>
      <c r="F473" s="685">
        <v>30</v>
      </c>
      <c r="G473" s="737">
        <v>1.0245283018867923</v>
      </c>
      <c r="H473" s="685">
        <v>30.735849056603769</v>
      </c>
      <c r="I473" s="672" t="s">
        <v>9218</v>
      </c>
      <c r="J473" s="672" t="s">
        <v>9219</v>
      </c>
      <c r="K473" s="672" t="s">
        <v>2354</v>
      </c>
      <c r="L473" s="672" t="s">
        <v>9219</v>
      </c>
    </row>
    <row r="474" spans="1:12" x14ac:dyDescent="0.2">
      <c r="A474" s="681" t="s">
        <v>220</v>
      </c>
      <c r="B474" s="681" t="s">
        <v>2351</v>
      </c>
      <c r="C474" s="736" t="s">
        <v>4185</v>
      </c>
      <c r="D474" s="736" t="s">
        <v>4186</v>
      </c>
      <c r="E474" s="683"/>
      <c r="F474" s="685">
        <v>27</v>
      </c>
      <c r="G474" s="737">
        <v>0.63749999999999996</v>
      </c>
      <c r="H474" s="685">
        <v>17.212499999999999</v>
      </c>
      <c r="I474" s="672" t="s">
        <v>9218</v>
      </c>
      <c r="J474" s="672" t="s">
        <v>9219</v>
      </c>
      <c r="K474" s="672" t="s">
        <v>2354</v>
      </c>
      <c r="L474" s="672" t="s">
        <v>9219</v>
      </c>
    </row>
    <row r="475" spans="1:12" x14ac:dyDescent="0.2">
      <c r="A475" s="681" t="s">
        <v>220</v>
      </c>
      <c r="B475" s="681" t="s">
        <v>2351</v>
      </c>
      <c r="C475" s="736" t="s">
        <v>4187</v>
      </c>
      <c r="D475" s="736" t="s">
        <v>4188</v>
      </c>
      <c r="E475" s="683"/>
      <c r="F475" s="685">
        <v>11</v>
      </c>
      <c r="G475" s="737">
        <v>0.52025434782608682</v>
      </c>
      <c r="H475" s="685">
        <v>5.7227978260869552</v>
      </c>
      <c r="I475" s="672" t="s">
        <v>9218</v>
      </c>
      <c r="J475" s="672" t="s">
        <v>9219</v>
      </c>
      <c r="K475" s="672" t="s">
        <v>2354</v>
      </c>
      <c r="L475" s="672" t="s">
        <v>9219</v>
      </c>
    </row>
    <row r="476" spans="1:12" x14ac:dyDescent="0.2">
      <c r="A476" s="681" t="s">
        <v>220</v>
      </c>
      <c r="B476" s="681" t="s">
        <v>2351</v>
      </c>
      <c r="C476" s="736" t="s">
        <v>4189</v>
      </c>
      <c r="D476" s="736" t="s">
        <v>4190</v>
      </c>
      <c r="E476" s="683"/>
      <c r="F476" s="685">
        <v>17</v>
      </c>
      <c r="G476" s="737">
        <v>0.184</v>
      </c>
      <c r="H476" s="685">
        <v>3.1280000000000001</v>
      </c>
      <c r="I476" s="672" t="s">
        <v>9218</v>
      </c>
      <c r="J476" s="672" t="s">
        <v>9219</v>
      </c>
      <c r="K476" s="672" t="s">
        <v>2354</v>
      </c>
      <c r="L476" s="672" t="s">
        <v>9219</v>
      </c>
    </row>
    <row r="477" spans="1:12" x14ac:dyDescent="0.2">
      <c r="A477" s="681" t="s">
        <v>220</v>
      </c>
      <c r="B477" s="681" t="s">
        <v>2351</v>
      </c>
      <c r="C477" s="736" t="s">
        <v>4223</v>
      </c>
      <c r="D477" s="736" t="s">
        <v>4224</v>
      </c>
      <c r="E477" s="683"/>
      <c r="F477" s="685">
        <v>1</v>
      </c>
      <c r="G477" s="737">
        <v>277.66694999999999</v>
      </c>
      <c r="H477" s="685">
        <v>277.66694999999999</v>
      </c>
      <c r="I477" s="672" t="s">
        <v>9218</v>
      </c>
      <c r="J477" s="672" t="s">
        <v>9219</v>
      </c>
      <c r="K477" s="672" t="s">
        <v>2354</v>
      </c>
      <c r="L477" s="672" t="s">
        <v>9219</v>
      </c>
    </row>
    <row r="478" spans="1:12" x14ac:dyDescent="0.2">
      <c r="A478" s="681" t="s">
        <v>220</v>
      </c>
      <c r="B478" s="681" t="s">
        <v>2351</v>
      </c>
      <c r="C478" s="736" t="s">
        <v>4225</v>
      </c>
      <c r="D478" s="736" t="s">
        <v>4226</v>
      </c>
      <c r="E478" s="683"/>
      <c r="F478" s="685">
        <v>1</v>
      </c>
      <c r="G478" s="737">
        <v>261.63</v>
      </c>
      <c r="H478" s="685">
        <v>261.63</v>
      </c>
      <c r="I478" s="672" t="s">
        <v>9218</v>
      </c>
      <c r="J478" s="672" t="s">
        <v>9219</v>
      </c>
      <c r="K478" s="672" t="s">
        <v>2354</v>
      </c>
      <c r="L478" s="672" t="s">
        <v>9219</v>
      </c>
    </row>
    <row r="479" spans="1:12" x14ac:dyDescent="0.2">
      <c r="A479" s="681" t="s">
        <v>220</v>
      </c>
      <c r="B479" s="681" t="s">
        <v>2351</v>
      </c>
      <c r="C479" s="736" t="s">
        <v>4241</v>
      </c>
      <c r="D479" s="736" t="s">
        <v>4242</v>
      </c>
      <c r="E479" s="683"/>
      <c r="F479" s="685">
        <v>1</v>
      </c>
      <c r="G479" s="737">
        <v>140.69019</v>
      </c>
      <c r="H479" s="685">
        <v>140.69019</v>
      </c>
      <c r="I479" s="672" t="s">
        <v>9218</v>
      </c>
      <c r="J479" s="672" t="s">
        <v>9219</v>
      </c>
      <c r="K479" s="672" t="s">
        <v>2354</v>
      </c>
      <c r="L479" s="672" t="s">
        <v>9219</v>
      </c>
    </row>
    <row r="480" spans="1:12" x14ac:dyDescent="0.2">
      <c r="A480" s="681" t="s">
        <v>220</v>
      </c>
      <c r="B480" s="681" t="s">
        <v>2351</v>
      </c>
      <c r="C480" s="736" t="s">
        <v>9316</v>
      </c>
      <c r="D480" s="736" t="s">
        <v>9317</v>
      </c>
      <c r="E480" s="683"/>
      <c r="F480" s="685">
        <v>2</v>
      </c>
      <c r="G480" s="737">
        <v>80.75</v>
      </c>
      <c r="H480" s="685">
        <v>161.5</v>
      </c>
      <c r="I480" s="672" t="s">
        <v>9218</v>
      </c>
      <c r="J480" s="672" t="s">
        <v>9219</v>
      </c>
      <c r="K480" s="672" t="s">
        <v>2354</v>
      </c>
      <c r="L480" s="672" t="s">
        <v>9219</v>
      </c>
    </row>
    <row r="481" spans="1:12" x14ac:dyDescent="0.2">
      <c r="A481" s="681" t="s">
        <v>220</v>
      </c>
      <c r="B481" s="681" t="s">
        <v>2351</v>
      </c>
      <c r="C481" s="736" t="s">
        <v>9318</v>
      </c>
      <c r="D481" s="736" t="s">
        <v>9319</v>
      </c>
      <c r="E481" s="683"/>
      <c r="F481" s="685">
        <v>3</v>
      </c>
      <c r="G481" s="737">
        <v>82.08</v>
      </c>
      <c r="H481" s="685">
        <v>246.24</v>
      </c>
      <c r="I481" s="672" t="s">
        <v>9218</v>
      </c>
      <c r="J481" s="672" t="s">
        <v>9219</v>
      </c>
      <c r="K481" s="672" t="s">
        <v>2354</v>
      </c>
      <c r="L481" s="672" t="s">
        <v>9219</v>
      </c>
    </row>
    <row r="482" spans="1:12" x14ac:dyDescent="0.2">
      <c r="A482" s="681" t="s">
        <v>220</v>
      </c>
      <c r="B482" s="681" t="s">
        <v>2351</v>
      </c>
      <c r="C482" s="736" t="s">
        <v>9320</v>
      </c>
      <c r="D482" s="736" t="s">
        <v>9321</v>
      </c>
      <c r="E482" s="683"/>
      <c r="F482" s="685">
        <v>2</v>
      </c>
      <c r="G482" s="737">
        <v>85.5</v>
      </c>
      <c r="H482" s="685">
        <v>171</v>
      </c>
      <c r="I482" s="672" t="s">
        <v>9218</v>
      </c>
      <c r="J482" s="672" t="s">
        <v>9219</v>
      </c>
      <c r="K482" s="672" t="s">
        <v>2354</v>
      </c>
      <c r="L482" s="672" t="s">
        <v>9219</v>
      </c>
    </row>
    <row r="483" spans="1:12" x14ac:dyDescent="0.2">
      <c r="A483" s="681" t="s">
        <v>220</v>
      </c>
      <c r="B483" s="681" t="s">
        <v>2351</v>
      </c>
      <c r="C483" s="736" t="s">
        <v>6889</v>
      </c>
      <c r="D483" s="736" t="s">
        <v>9322</v>
      </c>
      <c r="E483" s="683"/>
      <c r="F483" s="685">
        <v>4</v>
      </c>
      <c r="G483" s="737">
        <v>89.1</v>
      </c>
      <c r="H483" s="685">
        <v>356.4</v>
      </c>
      <c r="I483" s="672" t="s">
        <v>9218</v>
      </c>
      <c r="J483" s="672" t="s">
        <v>9219</v>
      </c>
      <c r="K483" s="672" t="s">
        <v>2354</v>
      </c>
      <c r="L483" s="672" t="s">
        <v>9219</v>
      </c>
    </row>
    <row r="484" spans="1:12" x14ac:dyDescent="0.2">
      <c r="A484" s="681" t="s">
        <v>220</v>
      </c>
      <c r="B484" s="681" t="s">
        <v>2351</v>
      </c>
      <c r="C484" s="736" t="s">
        <v>6885</v>
      </c>
      <c r="D484" s="736" t="s">
        <v>9323</v>
      </c>
      <c r="E484" s="683"/>
      <c r="F484" s="685">
        <v>3</v>
      </c>
      <c r="G484" s="737">
        <v>108.682</v>
      </c>
      <c r="H484" s="685">
        <v>326.04599999999999</v>
      </c>
      <c r="I484" s="672" t="s">
        <v>9218</v>
      </c>
      <c r="J484" s="672" t="s">
        <v>9219</v>
      </c>
      <c r="K484" s="672" t="s">
        <v>2354</v>
      </c>
      <c r="L484" s="672" t="s">
        <v>9219</v>
      </c>
    </row>
    <row r="485" spans="1:12" x14ac:dyDescent="0.2">
      <c r="A485" s="681" t="s">
        <v>220</v>
      </c>
      <c r="B485" s="681" t="s">
        <v>2351</v>
      </c>
      <c r="C485" s="736" t="s">
        <v>4247</v>
      </c>
      <c r="D485" s="736" t="s">
        <v>4248</v>
      </c>
      <c r="E485" s="683"/>
      <c r="F485" s="685">
        <v>2</v>
      </c>
      <c r="G485" s="737">
        <v>82.8</v>
      </c>
      <c r="H485" s="685">
        <v>165.6</v>
      </c>
      <c r="I485" s="672" t="s">
        <v>9218</v>
      </c>
      <c r="J485" s="672" t="s">
        <v>9219</v>
      </c>
      <c r="K485" s="672" t="s">
        <v>2354</v>
      </c>
      <c r="L485" s="672" t="s">
        <v>9219</v>
      </c>
    </row>
    <row r="486" spans="1:12" x14ac:dyDescent="0.2">
      <c r="A486" s="681" t="s">
        <v>220</v>
      </c>
      <c r="B486" s="681" t="s">
        <v>2351</v>
      </c>
      <c r="C486" s="736" t="s">
        <v>4249</v>
      </c>
      <c r="D486" s="736" t="s">
        <v>4250</v>
      </c>
      <c r="E486" s="683"/>
      <c r="F486" s="685">
        <v>2</v>
      </c>
      <c r="G486" s="737">
        <v>76.388249999999999</v>
      </c>
      <c r="H486" s="685">
        <v>152.7765</v>
      </c>
      <c r="I486" s="672" t="s">
        <v>9218</v>
      </c>
      <c r="J486" s="672" t="s">
        <v>9219</v>
      </c>
      <c r="K486" s="672" t="s">
        <v>2354</v>
      </c>
      <c r="L486" s="672" t="s">
        <v>9219</v>
      </c>
    </row>
    <row r="487" spans="1:12" x14ac:dyDescent="0.2">
      <c r="A487" s="681" t="s">
        <v>220</v>
      </c>
      <c r="B487" s="681" t="s">
        <v>2351</v>
      </c>
      <c r="C487" s="736" t="s">
        <v>4251</v>
      </c>
      <c r="D487" s="736" t="s">
        <v>4252</v>
      </c>
      <c r="E487" s="683"/>
      <c r="F487" s="685">
        <v>4</v>
      </c>
      <c r="G487" s="737">
        <v>10.78735</v>
      </c>
      <c r="H487" s="685">
        <v>43.1494</v>
      </c>
      <c r="I487" s="672" t="s">
        <v>9218</v>
      </c>
      <c r="J487" s="672" t="s">
        <v>9219</v>
      </c>
      <c r="K487" s="672" t="s">
        <v>2354</v>
      </c>
      <c r="L487" s="672" t="s">
        <v>9219</v>
      </c>
    </row>
    <row r="488" spans="1:12" x14ac:dyDescent="0.2">
      <c r="A488" s="681" t="s">
        <v>220</v>
      </c>
      <c r="B488" s="681" t="s">
        <v>2351</v>
      </c>
      <c r="C488" s="736" t="s">
        <v>4257</v>
      </c>
      <c r="D488" s="736" t="s">
        <v>4258</v>
      </c>
      <c r="E488" s="683"/>
      <c r="F488" s="685">
        <v>1</v>
      </c>
      <c r="G488" s="737">
        <v>60.252000000000002</v>
      </c>
      <c r="H488" s="685">
        <v>60.252000000000002</v>
      </c>
      <c r="I488" s="672" t="s">
        <v>9218</v>
      </c>
      <c r="J488" s="672" t="s">
        <v>9219</v>
      </c>
      <c r="K488" s="672" t="s">
        <v>2354</v>
      </c>
      <c r="L488" s="672" t="s">
        <v>9219</v>
      </c>
    </row>
    <row r="489" spans="1:12" x14ac:dyDescent="0.2">
      <c r="A489" s="681" t="s">
        <v>220</v>
      </c>
      <c r="B489" s="681" t="s">
        <v>2351</v>
      </c>
      <c r="C489" s="736" t="s">
        <v>4259</v>
      </c>
      <c r="D489" s="736" t="s">
        <v>4260</v>
      </c>
      <c r="E489" s="683"/>
      <c r="F489" s="685">
        <v>11</v>
      </c>
      <c r="G489" s="737">
        <v>10.932</v>
      </c>
      <c r="H489" s="685">
        <v>120.25200000000001</v>
      </c>
      <c r="I489" s="672" t="s">
        <v>9218</v>
      </c>
      <c r="J489" s="672" t="s">
        <v>9219</v>
      </c>
      <c r="K489" s="672" t="s">
        <v>2354</v>
      </c>
      <c r="L489" s="672" t="s">
        <v>9219</v>
      </c>
    </row>
    <row r="490" spans="1:12" x14ac:dyDescent="0.2">
      <c r="A490" s="681" t="s">
        <v>220</v>
      </c>
      <c r="B490" s="681" t="s">
        <v>2351</v>
      </c>
      <c r="C490" s="736" t="s">
        <v>4267</v>
      </c>
      <c r="D490" s="736" t="s">
        <v>4268</v>
      </c>
      <c r="E490" s="683"/>
      <c r="F490" s="685">
        <v>10</v>
      </c>
      <c r="G490" s="737">
        <v>30.50395</v>
      </c>
      <c r="H490" s="685">
        <v>305.03949999999998</v>
      </c>
      <c r="I490" s="672" t="s">
        <v>9218</v>
      </c>
      <c r="J490" s="672" t="s">
        <v>9219</v>
      </c>
      <c r="K490" s="672" t="s">
        <v>2354</v>
      </c>
      <c r="L490" s="672" t="s">
        <v>9219</v>
      </c>
    </row>
    <row r="491" spans="1:12" x14ac:dyDescent="0.2">
      <c r="A491" s="681" t="s">
        <v>220</v>
      </c>
      <c r="B491" s="681" t="s">
        <v>2351</v>
      </c>
      <c r="C491" s="736" t="s">
        <v>4271</v>
      </c>
      <c r="D491" s="736" t="s">
        <v>4272</v>
      </c>
      <c r="E491" s="683"/>
      <c r="F491" s="685">
        <v>9</v>
      </c>
      <c r="G491" s="737">
        <v>7.5906599999999997</v>
      </c>
      <c r="H491" s="685">
        <v>68.315939999999998</v>
      </c>
      <c r="I491" s="672" t="s">
        <v>9218</v>
      </c>
      <c r="J491" s="672" t="s">
        <v>9219</v>
      </c>
      <c r="K491" s="672" t="s">
        <v>2354</v>
      </c>
      <c r="L491" s="672" t="s">
        <v>9219</v>
      </c>
    </row>
    <row r="492" spans="1:12" x14ac:dyDescent="0.2">
      <c r="A492" s="681" t="s">
        <v>220</v>
      </c>
      <c r="B492" s="681" t="s">
        <v>2351</v>
      </c>
      <c r="C492" s="736" t="s">
        <v>4279</v>
      </c>
      <c r="D492" s="736" t="s">
        <v>4280</v>
      </c>
      <c r="E492" s="683"/>
      <c r="F492" s="685">
        <v>1</v>
      </c>
      <c r="G492" s="737">
        <v>114</v>
      </c>
      <c r="H492" s="685">
        <v>114</v>
      </c>
      <c r="I492" s="672" t="s">
        <v>9218</v>
      </c>
      <c r="J492" s="672" t="s">
        <v>9219</v>
      </c>
      <c r="K492" s="672" t="s">
        <v>2354</v>
      </c>
      <c r="L492" s="672" t="s">
        <v>9219</v>
      </c>
    </row>
    <row r="493" spans="1:12" x14ac:dyDescent="0.2">
      <c r="A493" s="681" t="s">
        <v>220</v>
      </c>
      <c r="B493" s="681" t="s">
        <v>2351</v>
      </c>
      <c r="C493" s="736" t="s">
        <v>5406</v>
      </c>
      <c r="D493" s="736" t="s">
        <v>5407</v>
      </c>
      <c r="E493" s="683"/>
      <c r="F493" s="685">
        <v>2</v>
      </c>
      <c r="G493" s="737">
        <v>30.321000000000002</v>
      </c>
      <c r="H493" s="685">
        <v>60.642000000000003</v>
      </c>
      <c r="I493" s="672" t="s">
        <v>9218</v>
      </c>
      <c r="J493" s="672" t="s">
        <v>9219</v>
      </c>
      <c r="K493" s="672" t="s">
        <v>2354</v>
      </c>
      <c r="L493" s="672" t="s">
        <v>9219</v>
      </c>
    </row>
    <row r="494" spans="1:12" x14ac:dyDescent="0.2">
      <c r="A494" s="681" t="s">
        <v>220</v>
      </c>
      <c r="B494" s="681" t="s">
        <v>2351</v>
      </c>
      <c r="C494" s="736" t="s">
        <v>4281</v>
      </c>
      <c r="D494" s="736" t="s">
        <v>4282</v>
      </c>
      <c r="E494" s="683"/>
      <c r="F494" s="685">
        <v>3</v>
      </c>
      <c r="G494" s="737">
        <v>129</v>
      </c>
      <c r="H494" s="685">
        <v>387</v>
      </c>
      <c r="I494" s="672" t="s">
        <v>9218</v>
      </c>
      <c r="J494" s="672" t="s">
        <v>9219</v>
      </c>
      <c r="K494" s="672" t="s">
        <v>2354</v>
      </c>
      <c r="L494" s="672" t="s">
        <v>9219</v>
      </c>
    </row>
    <row r="495" spans="1:12" x14ac:dyDescent="0.2">
      <c r="A495" s="681" t="s">
        <v>220</v>
      </c>
      <c r="B495" s="681" t="s">
        <v>2351</v>
      </c>
      <c r="C495" s="736" t="s">
        <v>4287</v>
      </c>
      <c r="D495" s="736" t="s">
        <v>4288</v>
      </c>
      <c r="E495" s="683"/>
      <c r="F495" s="685">
        <v>3</v>
      </c>
      <c r="G495" s="737">
        <v>317.63200000000001</v>
      </c>
      <c r="H495" s="685">
        <v>952.89599999999996</v>
      </c>
      <c r="I495" s="672" t="s">
        <v>9218</v>
      </c>
      <c r="J495" s="672" t="s">
        <v>9219</v>
      </c>
      <c r="K495" s="672" t="s">
        <v>2354</v>
      </c>
      <c r="L495" s="672" t="s">
        <v>9219</v>
      </c>
    </row>
    <row r="496" spans="1:12" x14ac:dyDescent="0.2">
      <c r="A496" s="681" t="s">
        <v>220</v>
      </c>
      <c r="B496" s="681" t="s">
        <v>2351</v>
      </c>
      <c r="C496" s="736" t="s">
        <v>4291</v>
      </c>
      <c r="D496" s="736" t="s">
        <v>4292</v>
      </c>
      <c r="E496" s="683"/>
      <c r="F496" s="685">
        <v>6</v>
      </c>
      <c r="G496" s="737">
        <v>127.7907</v>
      </c>
      <c r="H496" s="685">
        <v>766.74419999999998</v>
      </c>
      <c r="I496" s="672" t="s">
        <v>9218</v>
      </c>
      <c r="J496" s="672" t="s">
        <v>9219</v>
      </c>
      <c r="K496" s="672" t="s">
        <v>2354</v>
      </c>
      <c r="L496" s="672" t="s">
        <v>9219</v>
      </c>
    </row>
    <row r="497" spans="1:12" x14ac:dyDescent="0.2">
      <c r="A497" s="681" t="s">
        <v>220</v>
      </c>
      <c r="B497" s="681" t="s">
        <v>2351</v>
      </c>
      <c r="C497" s="736" t="s">
        <v>4295</v>
      </c>
      <c r="D497" s="736" t="s">
        <v>4296</v>
      </c>
      <c r="E497" s="683"/>
      <c r="F497" s="685">
        <v>4</v>
      </c>
      <c r="G497" s="737">
        <v>85.5</v>
      </c>
      <c r="H497" s="685">
        <v>342</v>
      </c>
      <c r="I497" s="672" t="s">
        <v>9218</v>
      </c>
      <c r="J497" s="672" t="s">
        <v>9219</v>
      </c>
      <c r="K497" s="672" t="s">
        <v>2354</v>
      </c>
      <c r="L497" s="672" t="s">
        <v>9219</v>
      </c>
    </row>
    <row r="498" spans="1:12" x14ac:dyDescent="0.2">
      <c r="A498" s="681" t="s">
        <v>220</v>
      </c>
      <c r="B498" s="681" t="s">
        <v>2351</v>
      </c>
      <c r="C498" s="736" t="s">
        <v>4297</v>
      </c>
      <c r="D498" s="736" t="s">
        <v>4298</v>
      </c>
      <c r="E498" s="683"/>
      <c r="F498" s="685">
        <v>7</v>
      </c>
      <c r="G498" s="737">
        <v>113.22</v>
      </c>
      <c r="H498" s="685">
        <v>792.54</v>
      </c>
      <c r="I498" s="672" t="s">
        <v>9218</v>
      </c>
      <c r="J498" s="672" t="s">
        <v>9219</v>
      </c>
      <c r="K498" s="672" t="s">
        <v>2354</v>
      </c>
      <c r="L498" s="672" t="s">
        <v>9219</v>
      </c>
    </row>
    <row r="499" spans="1:12" x14ac:dyDescent="0.2">
      <c r="A499" s="681" t="s">
        <v>220</v>
      </c>
      <c r="B499" s="681" t="s">
        <v>2351</v>
      </c>
      <c r="C499" s="736" t="s">
        <v>4299</v>
      </c>
      <c r="D499" s="736" t="s">
        <v>4300</v>
      </c>
      <c r="E499" s="683"/>
      <c r="F499" s="685">
        <v>4</v>
      </c>
      <c r="G499" s="737">
        <v>128.89876666666666</v>
      </c>
      <c r="H499" s="685">
        <v>515.59506666666664</v>
      </c>
      <c r="I499" s="672" t="s">
        <v>9218</v>
      </c>
      <c r="J499" s="672" t="s">
        <v>9219</v>
      </c>
      <c r="K499" s="672" t="s">
        <v>2354</v>
      </c>
      <c r="L499" s="672" t="s">
        <v>9219</v>
      </c>
    </row>
    <row r="500" spans="1:12" x14ac:dyDescent="0.2">
      <c r="A500" s="681" t="s">
        <v>220</v>
      </c>
      <c r="B500" s="681" t="s">
        <v>2351</v>
      </c>
      <c r="C500" s="736" t="s">
        <v>4301</v>
      </c>
      <c r="D500" s="736" t="s">
        <v>4302</v>
      </c>
      <c r="E500" s="683"/>
      <c r="F500" s="685">
        <v>4</v>
      </c>
      <c r="G500" s="737">
        <v>162.44999999999999</v>
      </c>
      <c r="H500" s="685">
        <v>649.79999999999995</v>
      </c>
      <c r="I500" s="672" t="s">
        <v>9218</v>
      </c>
      <c r="J500" s="672" t="s">
        <v>9219</v>
      </c>
      <c r="K500" s="672" t="s">
        <v>2354</v>
      </c>
      <c r="L500" s="672" t="s">
        <v>9219</v>
      </c>
    </row>
    <row r="501" spans="1:12" x14ac:dyDescent="0.2">
      <c r="A501" s="681" t="s">
        <v>220</v>
      </c>
      <c r="B501" s="681" t="s">
        <v>2351</v>
      </c>
      <c r="C501" s="736" t="s">
        <v>4303</v>
      </c>
      <c r="D501" s="736" t="s">
        <v>4304</v>
      </c>
      <c r="E501" s="683"/>
      <c r="F501" s="685">
        <v>4</v>
      </c>
      <c r="G501" s="737">
        <v>85.5</v>
      </c>
      <c r="H501" s="685">
        <v>342</v>
      </c>
      <c r="I501" s="672" t="s">
        <v>9218</v>
      </c>
      <c r="J501" s="672" t="s">
        <v>9219</v>
      </c>
      <c r="K501" s="672" t="s">
        <v>2354</v>
      </c>
      <c r="L501" s="672" t="s">
        <v>9219</v>
      </c>
    </row>
    <row r="502" spans="1:12" x14ac:dyDescent="0.2">
      <c r="A502" s="681" t="s">
        <v>220</v>
      </c>
      <c r="B502" s="681" t="s">
        <v>2351</v>
      </c>
      <c r="C502" s="736" t="s">
        <v>4305</v>
      </c>
      <c r="D502" s="736" t="s">
        <v>4306</v>
      </c>
      <c r="E502" s="683"/>
      <c r="F502" s="685">
        <v>8</v>
      </c>
      <c r="G502" s="737">
        <v>52.7624</v>
      </c>
      <c r="H502" s="685">
        <v>422.0992</v>
      </c>
      <c r="I502" s="672" t="s">
        <v>9218</v>
      </c>
      <c r="J502" s="672" t="s">
        <v>9219</v>
      </c>
      <c r="K502" s="672" t="s">
        <v>2354</v>
      </c>
      <c r="L502" s="672" t="s">
        <v>9219</v>
      </c>
    </row>
    <row r="503" spans="1:12" x14ac:dyDescent="0.2">
      <c r="A503" s="681" t="s">
        <v>220</v>
      </c>
      <c r="B503" s="681" t="s">
        <v>2351</v>
      </c>
      <c r="C503" s="736" t="s">
        <v>4307</v>
      </c>
      <c r="D503" s="736" t="s">
        <v>4308</v>
      </c>
      <c r="E503" s="683"/>
      <c r="F503" s="685">
        <v>3</v>
      </c>
      <c r="G503" s="737">
        <v>94.5</v>
      </c>
      <c r="H503" s="685">
        <v>283.5</v>
      </c>
      <c r="I503" s="672" t="s">
        <v>9218</v>
      </c>
      <c r="J503" s="672" t="s">
        <v>9219</v>
      </c>
      <c r="K503" s="672" t="s">
        <v>2354</v>
      </c>
      <c r="L503" s="672" t="s">
        <v>9219</v>
      </c>
    </row>
    <row r="504" spans="1:12" x14ac:dyDescent="0.2">
      <c r="A504" s="681" t="s">
        <v>220</v>
      </c>
      <c r="B504" s="681" t="s">
        <v>2351</v>
      </c>
      <c r="C504" s="736" t="s">
        <v>4309</v>
      </c>
      <c r="D504" s="736" t="s">
        <v>4310</v>
      </c>
      <c r="E504" s="683"/>
      <c r="F504" s="685">
        <v>9</v>
      </c>
      <c r="G504" s="737">
        <v>202.61458000000002</v>
      </c>
      <c r="H504" s="685">
        <v>1823.5312200000001</v>
      </c>
      <c r="I504" s="672" t="s">
        <v>9218</v>
      </c>
      <c r="J504" s="672" t="s">
        <v>9219</v>
      </c>
      <c r="K504" s="672" t="s">
        <v>2354</v>
      </c>
      <c r="L504" s="672" t="s">
        <v>9219</v>
      </c>
    </row>
    <row r="505" spans="1:12" x14ac:dyDescent="0.2">
      <c r="A505" s="681" t="s">
        <v>220</v>
      </c>
      <c r="B505" s="681" t="s">
        <v>2351</v>
      </c>
      <c r="C505" s="736" t="s">
        <v>4311</v>
      </c>
      <c r="D505" s="736" t="s">
        <v>4312</v>
      </c>
      <c r="E505" s="683"/>
      <c r="F505" s="685">
        <v>10</v>
      </c>
      <c r="G505" s="737">
        <v>88.56</v>
      </c>
      <c r="H505" s="685">
        <v>885.6</v>
      </c>
      <c r="I505" s="672" t="s">
        <v>9218</v>
      </c>
      <c r="J505" s="672" t="s">
        <v>9219</v>
      </c>
      <c r="K505" s="672" t="s">
        <v>2354</v>
      </c>
      <c r="L505" s="672" t="s">
        <v>9219</v>
      </c>
    </row>
    <row r="506" spans="1:12" x14ac:dyDescent="0.2">
      <c r="A506" s="681" t="s">
        <v>220</v>
      </c>
      <c r="B506" s="681" t="s">
        <v>2351</v>
      </c>
      <c r="C506" s="736" t="s">
        <v>4313</v>
      </c>
      <c r="D506" s="736" t="s">
        <v>4314</v>
      </c>
      <c r="E506" s="683"/>
      <c r="F506" s="685">
        <v>25</v>
      </c>
      <c r="G506" s="737">
        <v>193.09365</v>
      </c>
      <c r="H506" s="685">
        <v>4827.3412499999995</v>
      </c>
      <c r="I506" s="672" t="s">
        <v>9218</v>
      </c>
      <c r="J506" s="672" t="s">
        <v>9219</v>
      </c>
      <c r="K506" s="672" t="s">
        <v>2354</v>
      </c>
      <c r="L506" s="672" t="s">
        <v>9219</v>
      </c>
    </row>
    <row r="507" spans="1:12" x14ac:dyDescent="0.2">
      <c r="A507" s="681" t="s">
        <v>220</v>
      </c>
      <c r="B507" s="681" t="s">
        <v>2351</v>
      </c>
      <c r="C507" s="736" t="s">
        <v>4315</v>
      </c>
      <c r="D507" s="736" t="s">
        <v>4316</v>
      </c>
      <c r="E507" s="683"/>
      <c r="F507" s="685">
        <v>16</v>
      </c>
      <c r="G507" s="737">
        <v>78.825450000000004</v>
      </c>
      <c r="H507" s="685">
        <v>1261.2072000000001</v>
      </c>
      <c r="I507" s="672" t="s">
        <v>9218</v>
      </c>
      <c r="J507" s="672" t="s">
        <v>9219</v>
      </c>
      <c r="K507" s="672" t="s">
        <v>2354</v>
      </c>
      <c r="L507" s="672" t="s">
        <v>9219</v>
      </c>
    </row>
    <row r="508" spans="1:12" x14ac:dyDescent="0.2">
      <c r="A508" s="681" t="s">
        <v>220</v>
      </c>
      <c r="B508" s="681" t="s">
        <v>2351</v>
      </c>
      <c r="C508" s="736" t="s">
        <v>4317</v>
      </c>
      <c r="D508" s="736" t="s">
        <v>4318</v>
      </c>
      <c r="E508" s="683"/>
      <c r="F508" s="685">
        <v>16</v>
      </c>
      <c r="G508" s="737">
        <v>195.41329999999999</v>
      </c>
      <c r="H508" s="685">
        <v>3126.6127999999999</v>
      </c>
      <c r="I508" s="672" t="s">
        <v>9218</v>
      </c>
      <c r="J508" s="672" t="s">
        <v>9219</v>
      </c>
      <c r="K508" s="672" t="s">
        <v>2354</v>
      </c>
      <c r="L508" s="672" t="s">
        <v>9219</v>
      </c>
    </row>
    <row r="509" spans="1:12" x14ac:dyDescent="0.2">
      <c r="A509" s="681" t="s">
        <v>220</v>
      </c>
      <c r="B509" s="681" t="s">
        <v>2351</v>
      </c>
      <c r="C509" s="736" t="s">
        <v>4323</v>
      </c>
      <c r="D509" s="736" t="s">
        <v>9328</v>
      </c>
      <c r="E509" s="683"/>
      <c r="F509" s="685">
        <v>5</v>
      </c>
      <c r="G509" s="737">
        <v>75.246250000000003</v>
      </c>
      <c r="H509" s="685">
        <v>376.23125000000005</v>
      </c>
      <c r="I509" s="672" t="s">
        <v>9218</v>
      </c>
      <c r="J509" s="672" t="s">
        <v>9219</v>
      </c>
      <c r="K509" s="672" t="s">
        <v>2354</v>
      </c>
      <c r="L509" s="672" t="s">
        <v>9219</v>
      </c>
    </row>
    <row r="510" spans="1:12" x14ac:dyDescent="0.2">
      <c r="A510" s="681" t="s">
        <v>220</v>
      </c>
      <c r="B510" s="681" t="s">
        <v>2351</v>
      </c>
      <c r="C510" s="736" t="s">
        <v>9329</v>
      </c>
      <c r="D510" s="736" t="s">
        <v>9330</v>
      </c>
      <c r="E510" s="683"/>
      <c r="F510" s="685">
        <v>2</v>
      </c>
      <c r="G510" s="737">
        <v>0</v>
      </c>
      <c r="H510" s="685">
        <v>0</v>
      </c>
      <c r="I510" s="672" t="s">
        <v>9218</v>
      </c>
      <c r="J510" s="672" t="s">
        <v>9219</v>
      </c>
      <c r="K510" s="672" t="s">
        <v>2354</v>
      </c>
      <c r="L510" s="672" t="s">
        <v>9219</v>
      </c>
    </row>
    <row r="511" spans="1:12" x14ac:dyDescent="0.2">
      <c r="A511" s="681" t="s">
        <v>220</v>
      </c>
      <c r="B511" s="681" t="s">
        <v>2351</v>
      </c>
      <c r="C511" s="736" t="s">
        <v>4319</v>
      </c>
      <c r="D511" s="736" t="s">
        <v>4320</v>
      </c>
      <c r="E511" s="683"/>
      <c r="F511" s="685">
        <v>4</v>
      </c>
      <c r="G511" s="737">
        <v>241.45999</v>
      </c>
      <c r="H511" s="685">
        <v>965.83996000000002</v>
      </c>
      <c r="I511" s="672" t="s">
        <v>9218</v>
      </c>
      <c r="J511" s="672" t="s">
        <v>9219</v>
      </c>
      <c r="K511" s="672" t="s">
        <v>2354</v>
      </c>
      <c r="L511" s="672" t="s">
        <v>9219</v>
      </c>
    </row>
    <row r="512" spans="1:12" x14ac:dyDescent="0.2">
      <c r="A512" s="681" t="s">
        <v>220</v>
      </c>
      <c r="B512" s="681" t="s">
        <v>2351</v>
      </c>
      <c r="C512" s="736" t="s">
        <v>4321</v>
      </c>
      <c r="D512" s="736" t="s">
        <v>4322</v>
      </c>
      <c r="E512" s="683"/>
      <c r="F512" s="685">
        <v>3</v>
      </c>
      <c r="G512" s="737">
        <v>95.04</v>
      </c>
      <c r="H512" s="685">
        <v>285.12</v>
      </c>
      <c r="I512" s="672" t="s">
        <v>9218</v>
      </c>
      <c r="J512" s="672" t="s">
        <v>9219</v>
      </c>
      <c r="K512" s="672" t="s">
        <v>2354</v>
      </c>
      <c r="L512" s="672" t="s">
        <v>9219</v>
      </c>
    </row>
    <row r="513" spans="1:12" x14ac:dyDescent="0.2">
      <c r="A513" s="681" t="s">
        <v>220</v>
      </c>
      <c r="B513" s="681" t="s">
        <v>2351</v>
      </c>
      <c r="C513" s="736" t="s">
        <v>9331</v>
      </c>
      <c r="D513" s="736" t="s">
        <v>9332</v>
      </c>
      <c r="E513" s="683"/>
      <c r="F513" s="685">
        <v>4</v>
      </c>
      <c r="G513" s="737">
        <v>120</v>
      </c>
      <c r="H513" s="685">
        <v>480</v>
      </c>
      <c r="I513" s="672" t="s">
        <v>9218</v>
      </c>
      <c r="J513" s="672" t="s">
        <v>9219</v>
      </c>
      <c r="K513" s="672" t="s">
        <v>2354</v>
      </c>
      <c r="L513" s="672" t="s">
        <v>9219</v>
      </c>
    </row>
    <row r="514" spans="1:12" x14ac:dyDescent="0.2">
      <c r="A514" s="681" t="s">
        <v>220</v>
      </c>
      <c r="B514" s="681" t="s">
        <v>2351</v>
      </c>
      <c r="C514" s="736" t="s">
        <v>4325</v>
      </c>
      <c r="D514" s="736" t="s">
        <v>4326</v>
      </c>
      <c r="E514" s="683"/>
      <c r="F514" s="685">
        <v>12</v>
      </c>
      <c r="G514" s="737">
        <v>122.26655</v>
      </c>
      <c r="H514" s="685">
        <v>1467.1985999999999</v>
      </c>
      <c r="I514" s="672" t="s">
        <v>9218</v>
      </c>
      <c r="J514" s="672" t="s">
        <v>9219</v>
      </c>
      <c r="K514" s="672" t="s">
        <v>2354</v>
      </c>
      <c r="L514" s="672" t="s">
        <v>9219</v>
      </c>
    </row>
    <row r="515" spans="1:12" x14ac:dyDescent="0.2">
      <c r="A515" s="681" t="s">
        <v>220</v>
      </c>
      <c r="B515" s="681" t="s">
        <v>2351</v>
      </c>
      <c r="C515" s="736" t="s">
        <v>4329</v>
      </c>
      <c r="D515" s="736" t="s">
        <v>4330</v>
      </c>
      <c r="E515" s="683"/>
      <c r="F515" s="685">
        <v>2</v>
      </c>
      <c r="G515" s="737">
        <v>75.246250000000003</v>
      </c>
      <c r="H515" s="685">
        <v>150.49250000000001</v>
      </c>
      <c r="I515" s="672" t="s">
        <v>9218</v>
      </c>
      <c r="J515" s="672" t="s">
        <v>9219</v>
      </c>
      <c r="K515" s="672" t="s">
        <v>2354</v>
      </c>
      <c r="L515" s="672" t="s">
        <v>9219</v>
      </c>
    </row>
    <row r="516" spans="1:12" x14ac:dyDescent="0.2">
      <c r="A516" s="681" t="s">
        <v>220</v>
      </c>
      <c r="B516" s="681" t="s">
        <v>2351</v>
      </c>
      <c r="C516" s="736" t="s">
        <v>9334</v>
      </c>
      <c r="D516" s="736" t="s">
        <v>9335</v>
      </c>
      <c r="E516" s="683"/>
      <c r="F516" s="685">
        <v>1</v>
      </c>
      <c r="G516" s="737">
        <v>134.53200000000001</v>
      </c>
      <c r="H516" s="685">
        <v>134.53200000000001</v>
      </c>
      <c r="I516" s="672" t="s">
        <v>9218</v>
      </c>
      <c r="J516" s="672" t="s">
        <v>9219</v>
      </c>
      <c r="K516" s="672" t="s">
        <v>2354</v>
      </c>
      <c r="L516" s="672" t="s">
        <v>9219</v>
      </c>
    </row>
    <row r="517" spans="1:12" x14ac:dyDescent="0.2">
      <c r="A517" s="681" t="s">
        <v>220</v>
      </c>
      <c r="B517" s="681" t="s">
        <v>2351</v>
      </c>
      <c r="C517" s="736" t="s">
        <v>4333</v>
      </c>
      <c r="D517" s="736" t="s">
        <v>4334</v>
      </c>
      <c r="E517" s="683"/>
      <c r="F517" s="685">
        <v>4</v>
      </c>
      <c r="G517" s="737">
        <v>489.745</v>
      </c>
      <c r="H517" s="685">
        <v>1958.98</v>
      </c>
      <c r="I517" s="672" t="s">
        <v>9218</v>
      </c>
      <c r="J517" s="672" t="s">
        <v>9219</v>
      </c>
      <c r="K517" s="672" t="s">
        <v>2354</v>
      </c>
      <c r="L517" s="672" t="s">
        <v>9219</v>
      </c>
    </row>
    <row r="518" spans="1:12" x14ac:dyDescent="0.2">
      <c r="A518" s="681" t="s">
        <v>220</v>
      </c>
      <c r="B518" s="681" t="s">
        <v>2351</v>
      </c>
      <c r="C518" s="736" t="s">
        <v>4335</v>
      </c>
      <c r="D518" s="736" t="s">
        <v>4336</v>
      </c>
      <c r="E518" s="683"/>
      <c r="F518" s="685">
        <v>18</v>
      </c>
      <c r="G518" s="737">
        <v>107.1</v>
      </c>
      <c r="H518" s="685">
        <v>1927.8</v>
      </c>
      <c r="I518" s="672" t="s">
        <v>9218</v>
      </c>
      <c r="J518" s="672" t="s">
        <v>9219</v>
      </c>
      <c r="K518" s="672" t="s">
        <v>2354</v>
      </c>
      <c r="L518" s="672" t="s">
        <v>9219</v>
      </c>
    </row>
    <row r="519" spans="1:12" x14ac:dyDescent="0.2">
      <c r="A519" s="681" t="s">
        <v>220</v>
      </c>
      <c r="B519" s="681" t="s">
        <v>2351</v>
      </c>
      <c r="C519" s="736" t="s">
        <v>5408</v>
      </c>
      <c r="D519" s="736" t="s">
        <v>5409</v>
      </c>
      <c r="E519" s="683"/>
      <c r="F519" s="685">
        <v>6</v>
      </c>
      <c r="G519" s="737">
        <v>63.63</v>
      </c>
      <c r="H519" s="685">
        <v>381.78000000000003</v>
      </c>
      <c r="I519" s="672" t="s">
        <v>9218</v>
      </c>
      <c r="J519" s="672" t="s">
        <v>9219</v>
      </c>
      <c r="K519" s="672" t="s">
        <v>2354</v>
      </c>
      <c r="L519" s="672" t="s">
        <v>9219</v>
      </c>
    </row>
    <row r="520" spans="1:12" x14ac:dyDescent="0.2">
      <c r="A520" s="681" t="s">
        <v>220</v>
      </c>
      <c r="B520" s="681" t="s">
        <v>2351</v>
      </c>
      <c r="C520" s="736" t="s">
        <v>4339</v>
      </c>
      <c r="D520" s="736" t="s">
        <v>4340</v>
      </c>
      <c r="E520" s="683"/>
      <c r="F520" s="685">
        <v>12</v>
      </c>
      <c r="G520" s="737">
        <v>22.395800000000001</v>
      </c>
      <c r="H520" s="685">
        <v>268.74959999999999</v>
      </c>
      <c r="I520" s="672" t="s">
        <v>9218</v>
      </c>
      <c r="J520" s="672" t="s">
        <v>9219</v>
      </c>
      <c r="K520" s="672" t="s">
        <v>2354</v>
      </c>
      <c r="L520" s="672" t="s">
        <v>9219</v>
      </c>
    </row>
    <row r="521" spans="1:12" x14ac:dyDescent="0.2">
      <c r="A521" s="681" t="s">
        <v>220</v>
      </c>
      <c r="B521" s="681" t="s">
        <v>2351</v>
      </c>
      <c r="C521" s="736" t="s">
        <v>4341</v>
      </c>
      <c r="D521" s="736" t="s">
        <v>4342</v>
      </c>
      <c r="E521" s="683"/>
      <c r="F521" s="685">
        <v>12</v>
      </c>
      <c r="G521" s="737">
        <v>17.2958</v>
      </c>
      <c r="H521" s="685">
        <v>207.5496</v>
      </c>
      <c r="I521" s="672" t="s">
        <v>9218</v>
      </c>
      <c r="J521" s="672" t="s">
        <v>9219</v>
      </c>
      <c r="K521" s="672" t="s">
        <v>2354</v>
      </c>
      <c r="L521" s="672" t="s">
        <v>9219</v>
      </c>
    </row>
    <row r="522" spans="1:12" x14ac:dyDescent="0.2">
      <c r="A522" s="681" t="s">
        <v>220</v>
      </c>
      <c r="B522" s="681" t="s">
        <v>2351</v>
      </c>
      <c r="C522" s="736" t="s">
        <v>9338</v>
      </c>
      <c r="D522" s="736" t="s">
        <v>9339</v>
      </c>
      <c r="E522" s="683"/>
      <c r="F522" s="685">
        <v>1</v>
      </c>
      <c r="G522" s="737">
        <v>51.516010000000001</v>
      </c>
      <c r="H522" s="685">
        <v>51.516010000000001</v>
      </c>
      <c r="I522" s="672" t="s">
        <v>9218</v>
      </c>
      <c r="J522" s="672" t="s">
        <v>9219</v>
      </c>
      <c r="K522" s="672" t="s">
        <v>2354</v>
      </c>
      <c r="L522" s="672" t="s">
        <v>9219</v>
      </c>
    </row>
    <row r="523" spans="1:12" x14ac:dyDescent="0.2">
      <c r="A523" s="681" t="s">
        <v>220</v>
      </c>
      <c r="B523" s="681" t="s">
        <v>2351</v>
      </c>
      <c r="C523" s="736" t="s">
        <v>4345</v>
      </c>
      <c r="D523" s="736" t="s">
        <v>4346</v>
      </c>
      <c r="E523" s="683"/>
      <c r="F523" s="685">
        <v>2</v>
      </c>
      <c r="G523" s="737">
        <v>381.78</v>
      </c>
      <c r="H523" s="685">
        <v>763.56</v>
      </c>
      <c r="I523" s="672" t="s">
        <v>9218</v>
      </c>
      <c r="J523" s="672" t="s">
        <v>9219</v>
      </c>
      <c r="K523" s="672" t="s">
        <v>2354</v>
      </c>
      <c r="L523" s="672" t="s">
        <v>9219</v>
      </c>
    </row>
    <row r="524" spans="1:12" x14ac:dyDescent="0.2">
      <c r="A524" s="681" t="s">
        <v>220</v>
      </c>
      <c r="B524" s="681" t="s">
        <v>2351</v>
      </c>
      <c r="C524" s="736" t="s">
        <v>4347</v>
      </c>
      <c r="D524" s="736" t="s">
        <v>4348</v>
      </c>
      <c r="E524" s="683"/>
      <c r="F524" s="685">
        <v>1</v>
      </c>
      <c r="G524" s="737">
        <v>1579.6404</v>
      </c>
      <c r="H524" s="685">
        <v>1579.6404</v>
      </c>
      <c r="I524" s="672" t="s">
        <v>9218</v>
      </c>
      <c r="J524" s="672" t="s">
        <v>9219</v>
      </c>
      <c r="K524" s="672" t="s">
        <v>2354</v>
      </c>
      <c r="L524" s="672" t="s">
        <v>9219</v>
      </c>
    </row>
    <row r="525" spans="1:12" x14ac:dyDescent="0.2">
      <c r="A525" s="681" t="s">
        <v>220</v>
      </c>
      <c r="B525" s="681" t="s">
        <v>2351</v>
      </c>
      <c r="C525" s="736" t="s">
        <v>4349</v>
      </c>
      <c r="D525" s="736" t="s">
        <v>4350</v>
      </c>
      <c r="E525" s="683"/>
      <c r="F525" s="685">
        <v>10</v>
      </c>
      <c r="G525" s="737">
        <v>3.8250000000000002</v>
      </c>
      <c r="H525" s="685">
        <v>38.25</v>
      </c>
      <c r="I525" s="672" t="s">
        <v>9218</v>
      </c>
      <c r="J525" s="672" t="s">
        <v>9219</v>
      </c>
      <c r="K525" s="672" t="s">
        <v>2354</v>
      </c>
      <c r="L525" s="672" t="s">
        <v>9219</v>
      </c>
    </row>
    <row r="526" spans="1:12" x14ac:dyDescent="0.2">
      <c r="A526" s="681" t="s">
        <v>220</v>
      </c>
      <c r="B526" s="681" t="s">
        <v>2351</v>
      </c>
      <c r="C526" s="736" t="s">
        <v>4351</v>
      </c>
      <c r="D526" s="736" t="s">
        <v>4352</v>
      </c>
      <c r="E526" s="683"/>
      <c r="F526" s="685">
        <v>8</v>
      </c>
      <c r="G526" s="737">
        <v>2.6530475206611572</v>
      </c>
      <c r="H526" s="685">
        <v>21.224380165289258</v>
      </c>
      <c r="I526" s="672" t="s">
        <v>9218</v>
      </c>
      <c r="J526" s="672" t="s">
        <v>9219</v>
      </c>
      <c r="K526" s="672" t="s">
        <v>2354</v>
      </c>
      <c r="L526" s="672" t="s">
        <v>9219</v>
      </c>
    </row>
    <row r="527" spans="1:12" x14ac:dyDescent="0.2">
      <c r="A527" s="681" t="s">
        <v>220</v>
      </c>
      <c r="B527" s="681" t="s">
        <v>2351</v>
      </c>
      <c r="C527" s="736" t="s">
        <v>4353</v>
      </c>
      <c r="D527" s="736" t="s">
        <v>4354</v>
      </c>
      <c r="E527" s="683"/>
      <c r="F527" s="685">
        <v>6</v>
      </c>
      <c r="G527" s="737">
        <v>2.666122159090909</v>
      </c>
      <c r="H527" s="685">
        <v>15.996732954545454</v>
      </c>
      <c r="I527" s="672" t="s">
        <v>9218</v>
      </c>
      <c r="J527" s="672" t="s">
        <v>9219</v>
      </c>
      <c r="K527" s="672" t="s">
        <v>2354</v>
      </c>
      <c r="L527" s="672" t="s">
        <v>9219</v>
      </c>
    </row>
    <row r="528" spans="1:12" x14ac:dyDescent="0.2">
      <c r="A528" s="681" t="s">
        <v>220</v>
      </c>
      <c r="B528" s="681" t="s">
        <v>2351</v>
      </c>
      <c r="C528" s="736" t="s">
        <v>4355</v>
      </c>
      <c r="D528" s="736" t="s">
        <v>4356</v>
      </c>
      <c r="E528" s="683"/>
      <c r="F528" s="685">
        <v>4</v>
      </c>
      <c r="G528" s="737">
        <v>3.8250000000000002</v>
      </c>
      <c r="H528" s="685">
        <v>15.3</v>
      </c>
      <c r="I528" s="672" t="s">
        <v>9218</v>
      </c>
      <c r="J528" s="672" t="s">
        <v>9219</v>
      </c>
      <c r="K528" s="672" t="s">
        <v>2354</v>
      </c>
      <c r="L528" s="672" t="s">
        <v>9219</v>
      </c>
    </row>
    <row r="529" spans="1:12" x14ac:dyDescent="0.2">
      <c r="A529" s="681" t="s">
        <v>220</v>
      </c>
      <c r="B529" s="681" t="s">
        <v>2351</v>
      </c>
      <c r="C529" s="736" t="s">
        <v>4357</v>
      </c>
      <c r="D529" s="736" t="s">
        <v>4358</v>
      </c>
      <c r="E529" s="683"/>
      <c r="F529" s="685">
        <v>5</v>
      </c>
      <c r="G529" s="737">
        <v>3.8250000000000002</v>
      </c>
      <c r="H529" s="685">
        <v>19.125</v>
      </c>
      <c r="I529" s="672" t="s">
        <v>9218</v>
      </c>
      <c r="J529" s="672" t="s">
        <v>9219</v>
      </c>
      <c r="K529" s="672" t="s">
        <v>2354</v>
      </c>
      <c r="L529" s="672" t="s">
        <v>9219</v>
      </c>
    </row>
    <row r="530" spans="1:12" x14ac:dyDescent="0.2">
      <c r="A530" s="681" t="s">
        <v>220</v>
      </c>
      <c r="B530" s="681" t="s">
        <v>2351</v>
      </c>
      <c r="C530" s="736" t="s">
        <v>4359</v>
      </c>
      <c r="D530" s="736" t="s">
        <v>4360</v>
      </c>
      <c r="E530" s="683"/>
      <c r="F530" s="685">
        <v>6</v>
      </c>
      <c r="G530" s="737">
        <v>2.6100000000000003</v>
      </c>
      <c r="H530" s="685">
        <v>15.660000000000002</v>
      </c>
      <c r="I530" s="672" t="s">
        <v>9218</v>
      </c>
      <c r="J530" s="672" t="s">
        <v>9219</v>
      </c>
      <c r="K530" s="672" t="s">
        <v>2354</v>
      </c>
      <c r="L530" s="672" t="s">
        <v>9219</v>
      </c>
    </row>
    <row r="531" spans="1:12" x14ac:dyDescent="0.2">
      <c r="A531" s="681" t="s">
        <v>220</v>
      </c>
      <c r="B531" s="681" t="s">
        <v>2351</v>
      </c>
      <c r="C531" s="736" t="s">
        <v>9341</v>
      </c>
      <c r="D531" s="736" t="s">
        <v>9342</v>
      </c>
      <c r="E531" s="683"/>
      <c r="F531" s="685">
        <v>2</v>
      </c>
      <c r="G531" s="737">
        <v>132.59700000000001</v>
      </c>
      <c r="H531" s="685">
        <v>265.19400000000002</v>
      </c>
      <c r="I531" s="672" t="s">
        <v>9218</v>
      </c>
      <c r="J531" s="672" t="s">
        <v>9219</v>
      </c>
      <c r="K531" s="672" t="s">
        <v>2354</v>
      </c>
      <c r="L531" s="672" t="s">
        <v>9219</v>
      </c>
    </row>
    <row r="532" spans="1:12" x14ac:dyDescent="0.2">
      <c r="A532" s="681" t="s">
        <v>220</v>
      </c>
      <c r="B532" s="681" t="s">
        <v>2351</v>
      </c>
      <c r="C532" s="736" t="s">
        <v>9343</v>
      </c>
      <c r="D532" s="736" t="s">
        <v>9344</v>
      </c>
      <c r="E532" s="683"/>
      <c r="F532" s="685">
        <v>1</v>
      </c>
      <c r="G532" s="737">
        <v>155.6</v>
      </c>
      <c r="H532" s="685">
        <v>155.6</v>
      </c>
      <c r="I532" s="672" t="s">
        <v>9218</v>
      </c>
      <c r="J532" s="672" t="s">
        <v>9219</v>
      </c>
      <c r="K532" s="672" t="s">
        <v>2354</v>
      </c>
      <c r="L532" s="672" t="s">
        <v>9219</v>
      </c>
    </row>
    <row r="533" spans="1:12" x14ac:dyDescent="0.2">
      <c r="A533" s="681" t="s">
        <v>220</v>
      </c>
      <c r="B533" s="681" t="s">
        <v>2351</v>
      </c>
      <c r="C533" s="736" t="s">
        <v>9345</v>
      </c>
      <c r="D533" s="736" t="s">
        <v>9346</v>
      </c>
      <c r="E533" s="683"/>
      <c r="F533" s="685">
        <v>1</v>
      </c>
      <c r="G533" s="737">
        <v>92.36</v>
      </c>
      <c r="H533" s="685">
        <v>92.36</v>
      </c>
      <c r="I533" s="672" t="s">
        <v>9218</v>
      </c>
      <c r="J533" s="672" t="s">
        <v>9219</v>
      </c>
      <c r="K533" s="672" t="s">
        <v>2354</v>
      </c>
      <c r="L533" s="672" t="s">
        <v>9219</v>
      </c>
    </row>
    <row r="534" spans="1:12" x14ac:dyDescent="0.2">
      <c r="A534" s="681" t="s">
        <v>220</v>
      </c>
      <c r="B534" s="681" t="s">
        <v>2351</v>
      </c>
      <c r="C534" s="736" t="s">
        <v>4361</v>
      </c>
      <c r="D534" s="736" t="s">
        <v>4362</v>
      </c>
      <c r="E534" s="683"/>
      <c r="F534" s="685">
        <v>4</v>
      </c>
      <c r="G534" s="737">
        <v>74</v>
      </c>
      <c r="H534" s="685">
        <v>296</v>
      </c>
      <c r="I534" s="672" t="s">
        <v>9218</v>
      </c>
      <c r="J534" s="672" t="s">
        <v>9219</v>
      </c>
      <c r="K534" s="672" t="s">
        <v>2354</v>
      </c>
      <c r="L534" s="672" t="s">
        <v>9219</v>
      </c>
    </row>
    <row r="535" spans="1:12" x14ac:dyDescent="0.2">
      <c r="A535" s="681" t="s">
        <v>220</v>
      </c>
      <c r="B535" s="681" t="s">
        <v>2351</v>
      </c>
      <c r="C535" s="736" t="s">
        <v>4363</v>
      </c>
      <c r="D535" s="736" t="s">
        <v>4364</v>
      </c>
      <c r="E535" s="683"/>
      <c r="F535" s="685">
        <v>1</v>
      </c>
      <c r="G535" s="737">
        <v>122.94799999999999</v>
      </c>
      <c r="H535" s="685">
        <v>122.94799999999999</v>
      </c>
      <c r="I535" s="672" t="s">
        <v>9218</v>
      </c>
      <c r="J535" s="672" t="s">
        <v>9219</v>
      </c>
      <c r="K535" s="672" t="s">
        <v>2354</v>
      </c>
      <c r="L535" s="672" t="s">
        <v>9219</v>
      </c>
    </row>
    <row r="536" spans="1:12" x14ac:dyDescent="0.2">
      <c r="A536" s="681" t="s">
        <v>220</v>
      </c>
      <c r="B536" s="681" t="s">
        <v>2351</v>
      </c>
      <c r="C536" s="736" t="s">
        <v>4369</v>
      </c>
      <c r="D536" s="736" t="s">
        <v>4370</v>
      </c>
      <c r="E536" s="683"/>
      <c r="F536" s="685">
        <v>5</v>
      </c>
      <c r="G536" s="737">
        <v>8.9827999999999992</v>
      </c>
      <c r="H536" s="685">
        <v>44.913999999999994</v>
      </c>
      <c r="I536" s="672" t="s">
        <v>9218</v>
      </c>
      <c r="J536" s="672" t="s">
        <v>9219</v>
      </c>
      <c r="K536" s="672" t="s">
        <v>2354</v>
      </c>
      <c r="L536" s="672" t="s">
        <v>9219</v>
      </c>
    </row>
    <row r="537" spans="1:12" x14ac:dyDescent="0.2">
      <c r="A537" s="681" t="s">
        <v>220</v>
      </c>
      <c r="B537" s="681" t="s">
        <v>2351</v>
      </c>
      <c r="C537" s="736" t="s">
        <v>4371</v>
      </c>
      <c r="D537" s="736" t="s">
        <v>4372</v>
      </c>
      <c r="E537" s="683"/>
      <c r="F537" s="685">
        <v>41</v>
      </c>
      <c r="G537" s="737">
        <v>2.15</v>
      </c>
      <c r="H537" s="685">
        <v>88.149999999999991</v>
      </c>
      <c r="I537" s="672" t="s">
        <v>9218</v>
      </c>
      <c r="J537" s="672" t="s">
        <v>9219</v>
      </c>
      <c r="K537" s="672" t="s">
        <v>2354</v>
      </c>
      <c r="L537" s="672" t="s">
        <v>9219</v>
      </c>
    </row>
    <row r="538" spans="1:12" x14ac:dyDescent="0.2">
      <c r="A538" s="681" t="s">
        <v>220</v>
      </c>
      <c r="B538" s="681" t="s">
        <v>2351</v>
      </c>
      <c r="C538" s="736" t="s">
        <v>9347</v>
      </c>
      <c r="D538" s="736" t="s">
        <v>9348</v>
      </c>
      <c r="E538" s="683"/>
      <c r="F538" s="685">
        <v>1</v>
      </c>
      <c r="G538" s="737">
        <v>150.15</v>
      </c>
      <c r="H538" s="685">
        <v>150.15</v>
      </c>
      <c r="I538" s="672" t="s">
        <v>9218</v>
      </c>
      <c r="J538" s="672" t="s">
        <v>9219</v>
      </c>
      <c r="K538" s="672" t="s">
        <v>2354</v>
      </c>
      <c r="L538" s="672" t="s">
        <v>9219</v>
      </c>
    </row>
    <row r="539" spans="1:12" x14ac:dyDescent="0.2">
      <c r="A539" s="681" t="s">
        <v>220</v>
      </c>
      <c r="B539" s="681" t="s">
        <v>2351</v>
      </c>
      <c r="C539" s="736" t="s">
        <v>4379</v>
      </c>
      <c r="D539" s="736" t="s">
        <v>4380</v>
      </c>
      <c r="E539" s="683"/>
      <c r="F539" s="685">
        <v>6</v>
      </c>
      <c r="G539" s="737">
        <v>8.2176739999999988</v>
      </c>
      <c r="H539" s="685">
        <v>49.306043999999993</v>
      </c>
      <c r="I539" s="672" t="s">
        <v>9218</v>
      </c>
      <c r="J539" s="672" t="s">
        <v>9219</v>
      </c>
      <c r="K539" s="672" t="s">
        <v>2354</v>
      </c>
      <c r="L539" s="672" t="s">
        <v>9219</v>
      </c>
    </row>
    <row r="540" spans="1:12" x14ac:dyDescent="0.2">
      <c r="A540" s="681" t="s">
        <v>220</v>
      </c>
      <c r="B540" s="681" t="s">
        <v>2351</v>
      </c>
      <c r="C540" s="736" t="s">
        <v>4387</v>
      </c>
      <c r="D540" s="736" t="s">
        <v>4388</v>
      </c>
      <c r="E540" s="683"/>
      <c r="F540" s="685">
        <v>1</v>
      </c>
      <c r="G540" s="737">
        <v>375.78199999999998</v>
      </c>
      <c r="H540" s="685">
        <v>375.78199999999998</v>
      </c>
      <c r="I540" s="672" t="s">
        <v>9218</v>
      </c>
      <c r="J540" s="672" t="s">
        <v>9219</v>
      </c>
      <c r="K540" s="672" t="s">
        <v>2354</v>
      </c>
      <c r="L540" s="672" t="s">
        <v>9219</v>
      </c>
    </row>
    <row r="541" spans="1:12" x14ac:dyDescent="0.2">
      <c r="A541" s="681" t="s">
        <v>220</v>
      </c>
      <c r="B541" s="681" t="s">
        <v>2351</v>
      </c>
      <c r="C541" s="736" t="s">
        <v>4389</v>
      </c>
      <c r="D541" s="736" t="s">
        <v>4390</v>
      </c>
      <c r="E541" s="683"/>
      <c r="F541" s="685">
        <v>6</v>
      </c>
      <c r="G541" s="737">
        <v>43.74</v>
      </c>
      <c r="H541" s="685">
        <v>262.44</v>
      </c>
      <c r="I541" s="672" t="s">
        <v>9218</v>
      </c>
      <c r="J541" s="672" t="s">
        <v>9219</v>
      </c>
      <c r="K541" s="672" t="s">
        <v>2354</v>
      </c>
      <c r="L541" s="672" t="s">
        <v>9219</v>
      </c>
    </row>
    <row r="542" spans="1:12" x14ac:dyDescent="0.2">
      <c r="A542" s="681" t="s">
        <v>220</v>
      </c>
      <c r="B542" s="681" t="s">
        <v>2351</v>
      </c>
      <c r="C542" s="736" t="s">
        <v>4391</v>
      </c>
      <c r="D542" s="736" t="s">
        <v>9532</v>
      </c>
      <c r="E542" s="683"/>
      <c r="F542" s="685">
        <v>10</v>
      </c>
      <c r="G542" s="737">
        <v>205.96</v>
      </c>
      <c r="H542" s="685">
        <v>2059.6</v>
      </c>
      <c r="I542" s="672" t="s">
        <v>9218</v>
      </c>
      <c r="J542" s="672" t="s">
        <v>9219</v>
      </c>
      <c r="K542" s="672" t="s">
        <v>2354</v>
      </c>
      <c r="L542" s="672" t="s">
        <v>9219</v>
      </c>
    </row>
    <row r="543" spans="1:12" x14ac:dyDescent="0.2">
      <c r="A543" s="681" t="s">
        <v>220</v>
      </c>
      <c r="B543" s="681" t="s">
        <v>2351</v>
      </c>
      <c r="C543" s="736" t="s">
        <v>4397</v>
      </c>
      <c r="D543" s="736" t="s">
        <v>4398</v>
      </c>
      <c r="E543" s="683"/>
      <c r="F543" s="685">
        <v>25</v>
      </c>
      <c r="G543" s="737">
        <v>10.78735</v>
      </c>
      <c r="H543" s="685">
        <v>269.68374999999997</v>
      </c>
      <c r="I543" s="672" t="s">
        <v>9218</v>
      </c>
      <c r="J543" s="672" t="s">
        <v>9219</v>
      </c>
      <c r="K543" s="672" t="s">
        <v>2354</v>
      </c>
      <c r="L543" s="672" t="s">
        <v>9219</v>
      </c>
    </row>
    <row r="544" spans="1:12" x14ac:dyDescent="0.2">
      <c r="A544" s="681" t="s">
        <v>220</v>
      </c>
      <c r="B544" s="681" t="s">
        <v>2351</v>
      </c>
      <c r="C544" s="736"/>
      <c r="D544" s="736" t="s">
        <v>9351</v>
      </c>
      <c r="E544" s="683"/>
      <c r="F544" s="685">
        <v>11</v>
      </c>
      <c r="G544" s="737">
        <v>12.8</v>
      </c>
      <c r="H544" s="685">
        <v>140.80000000000001</v>
      </c>
      <c r="I544" s="672" t="s">
        <v>9218</v>
      </c>
      <c r="J544" s="672" t="s">
        <v>9219</v>
      </c>
      <c r="K544" s="672" t="s">
        <v>2354</v>
      </c>
      <c r="L544" s="672" t="s">
        <v>9219</v>
      </c>
    </row>
    <row r="545" spans="1:12" x14ac:dyDescent="0.2">
      <c r="A545" s="681" t="s">
        <v>220</v>
      </c>
      <c r="B545" s="681" t="s">
        <v>2351</v>
      </c>
      <c r="C545" s="736"/>
      <c r="D545" s="736" t="s">
        <v>9352</v>
      </c>
      <c r="E545" s="683"/>
      <c r="F545" s="685">
        <v>9</v>
      </c>
      <c r="G545" s="737">
        <v>11.6</v>
      </c>
      <c r="H545" s="685">
        <v>104.39999999999999</v>
      </c>
      <c r="I545" s="672" t="s">
        <v>9218</v>
      </c>
      <c r="J545" s="672" t="s">
        <v>9219</v>
      </c>
      <c r="K545" s="672" t="s">
        <v>2354</v>
      </c>
      <c r="L545" s="672" t="s">
        <v>9219</v>
      </c>
    </row>
    <row r="546" spans="1:12" x14ac:dyDescent="0.2">
      <c r="A546" s="681" t="s">
        <v>220</v>
      </c>
      <c r="B546" s="681" t="s">
        <v>2351</v>
      </c>
      <c r="C546" s="736" t="s">
        <v>4401</v>
      </c>
      <c r="D546" s="736" t="s">
        <v>4402</v>
      </c>
      <c r="E546" s="683"/>
      <c r="F546" s="685">
        <v>2</v>
      </c>
      <c r="G546" s="737">
        <v>36</v>
      </c>
      <c r="H546" s="685">
        <v>72</v>
      </c>
      <c r="I546" s="672" t="s">
        <v>9218</v>
      </c>
      <c r="J546" s="672" t="s">
        <v>9219</v>
      </c>
      <c r="K546" s="672" t="s">
        <v>2354</v>
      </c>
      <c r="L546" s="672" t="s">
        <v>9219</v>
      </c>
    </row>
    <row r="547" spans="1:12" x14ac:dyDescent="0.2">
      <c r="A547" s="681" t="s">
        <v>220</v>
      </c>
      <c r="B547" s="681" t="s">
        <v>2351</v>
      </c>
      <c r="C547" s="736" t="s">
        <v>4421</v>
      </c>
      <c r="D547" s="736" t="s">
        <v>4422</v>
      </c>
      <c r="E547" s="683"/>
      <c r="F547" s="685">
        <v>5</v>
      </c>
      <c r="G547" s="737">
        <v>42.399000000000001</v>
      </c>
      <c r="H547" s="685">
        <v>211.995</v>
      </c>
      <c r="I547" s="672" t="s">
        <v>9218</v>
      </c>
      <c r="J547" s="672" t="s">
        <v>9219</v>
      </c>
      <c r="K547" s="672" t="s">
        <v>2354</v>
      </c>
      <c r="L547" s="672" t="s">
        <v>9219</v>
      </c>
    </row>
    <row r="548" spans="1:12" x14ac:dyDescent="0.2">
      <c r="A548" s="681" t="s">
        <v>220</v>
      </c>
      <c r="B548" s="681" t="s">
        <v>2351</v>
      </c>
      <c r="C548" s="736" t="s">
        <v>4423</v>
      </c>
      <c r="D548" s="736" t="s">
        <v>4424</v>
      </c>
      <c r="E548" s="683"/>
      <c r="F548" s="685">
        <v>50</v>
      </c>
      <c r="G548" s="737">
        <v>10.614599999999999</v>
      </c>
      <c r="H548" s="685">
        <v>530.73</v>
      </c>
      <c r="I548" s="672" t="s">
        <v>9218</v>
      </c>
      <c r="J548" s="672" t="s">
        <v>9219</v>
      </c>
      <c r="K548" s="672" t="s">
        <v>2354</v>
      </c>
      <c r="L548" s="672" t="s">
        <v>9219</v>
      </c>
    </row>
    <row r="549" spans="1:12" x14ac:dyDescent="0.2">
      <c r="A549" s="681" t="s">
        <v>220</v>
      </c>
      <c r="B549" s="681" t="s">
        <v>2351</v>
      </c>
      <c r="C549" s="736" t="s">
        <v>4426</v>
      </c>
      <c r="D549" s="736" t="s">
        <v>4427</v>
      </c>
      <c r="E549" s="683"/>
      <c r="F549" s="685">
        <v>6</v>
      </c>
      <c r="G549" s="737">
        <v>7.021221052631577</v>
      </c>
      <c r="H549" s="685">
        <v>42.12732631578946</v>
      </c>
      <c r="I549" s="672" t="s">
        <v>9218</v>
      </c>
      <c r="J549" s="672" t="s">
        <v>9219</v>
      </c>
      <c r="K549" s="672" t="s">
        <v>2354</v>
      </c>
      <c r="L549" s="672" t="s">
        <v>9219</v>
      </c>
    </row>
    <row r="550" spans="1:12" x14ac:dyDescent="0.2">
      <c r="A550" s="681" t="s">
        <v>220</v>
      </c>
      <c r="B550" s="681" t="s">
        <v>2351</v>
      </c>
      <c r="C550" s="736"/>
      <c r="D550" s="736" t="s">
        <v>9353</v>
      </c>
      <c r="E550" s="683"/>
      <c r="F550" s="685">
        <v>3</v>
      </c>
      <c r="G550" s="737">
        <v>8.5</v>
      </c>
      <c r="H550" s="685">
        <v>25.5</v>
      </c>
      <c r="I550" s="672" t="s">
        <v>9218</v>
      </c>
      <c r="J550" s="672" t="s">
        <v>9219</v>
      </c>
      <c r="K550" s="672" t="s">
        <v>2354</v>
      </c>
      <c r="L550" s="672" t="s">
        <v>9219</v>
      </c>
    </row>
    <row r="551" spans="1:12" x14ac:dyDescent="0.2">
      <c r="A551" s="681" t="s">
        <v>220</v>
      </c>
      <c r="B551" s="681" t="s">
        <v>2351</v>
      </c>
      <c r="C551" s="736" t="s">
        <v>4436</v>
      </c>
      <c r="D551" s="736" t="s">
        <v>4437</v>
      </c>
      <c r="E551" s="683"/>
      <c r="F551" s="685">
        <v>2</v>
      </c>
      <c r="G551" s="737">
        <v>20.257575757575758</v>
      </c>
      <c r="H551" s="685">
        <v>40.515151515151516</v>
      </c>
      <c r="I551" s="672" t="s">
        <v>9218</v>
      </c>
      <c r="J551" s="672" t="s">
        <v>9219</v>
      </c>
      <c r="K551" s="672" t="s">
        <v>2354</v>
      </c>
      <c r="L551" s="672" t="s">
        <v>9219</v>
      </c>
    </row>
    <row r="552" spans="1:12" x14ac:dyDescent="0.2">
      <c r="A552" s="681" t="s">
        <v>220</v>
      </c>
      <c r="B552" s="681" t="s">
        <v>2351</v>
      </c>
      <c r="C552" s="736" t="s">
        <v>4492</v>
      </c>
      <c r="D552" s="736" t="s">
        <v>4493</v>
      </c>
      <c r="E552" s="683"/>
      <c r="F552" s="685">
        <v>12</v>
      </c>
      <c r="G552" s="737">
        <v>12.4</v>
      </c>
      <c r="H552" s="685">
        <v>148.80000000000001</v>
      </c>
      <c r="I552" s="672" t="s">
        <v>9218</v>
      </c>
      <c r="J552" s="672" t="s">
        <v>9219</v>
      </c>
      <c r="K552" s="672" t="s">
        <v>2354</v>
      </c>
      <c r="L552" s="672" t="s">
        <v>9219</v>
      </c>
    </row>
    <row r="553" spans="1:12" x14ac:dyDescent="0.2">
      <c r="A553" s="681" t="s">
        <v>220</v>
      </c>
      <c r="B553" s="681" t="s">
        <v>2351</v>
      </c>
      <c r="C553" s="736" t="s">
        <v>4494</v>
      </c>
      <c r="D553" s="736" t="s">
        <v>4495</v>
      </c>
      <c r="E553" s="683"/>
      <c r="F553" s="685">
        <v>10</v>
      </c>
      <c r="G553" s="737">
        <v>12.4</v>
      </c>
      <c r="H553" s="685">
        <v>124</v>
      </c>
      <c r="I553" s="672" t="s">
        <v>9218</v>
      </c>
      <c r="J553" s="672" t="s">
        <v>9219</v>
      </c>
      <c r="K553" s="672" t="s">
        <v>2354</v>
      </c>
      <c r="L553" s="672" t="s">
        <v>9219</v>
      </c>
    </row>
    <row r="554" spans="1:12" x14ac:dyDescent="0.2">
      <c r="A554" s="681" t="s">
        <v>220</v>
      </c>
      <c r="B554" s="681" t="s">
        <v>2351</v>
      </c>
      <c r="C554" s="736" t="s">
        <v>4500</v>
      </c>
      <c r="D554" s="736" t="s">
        <v>9354</v>
      </c>
      <c r="E554" s="683"/>
      <c r="F554" s="685">
        <v>3</v>
      </c>
      <c r="G554" s="737">
        <v>4.0911764705882359</v>
      </c>
      <c r="H554" s="685">
        <v>12.273529411764708</v>
      </c>
      <c r="I554" s="672" t="s">
        <v>9218</v>
      </c>
      <c r="J554" s="672" t="s">
        <v>9219</v>
      </c>
      <c r="K554" s="672" t="s">
        <v>2354</v>
      </c>
      <c r="L554" s="672" t="s">
        <v>9219</v>
      </c>
    </row>
    <row r="555" spans="1:12" x14ac:dyDescent="0.2">
      <c r="A555" s="681" t="s">
        <v>220</v>
      </c>
      <c r="B555" s="681" t="s">
        <v>2351</v>
      </c>
      <c r="C555" s="736" t="s">
        <v>4504</v>
      </c>
      <c r="D555" s="736" t="s">
        <v>4505</v>
      </c>
      <c r="E555" s="683"/>
      <c r="F555" s="685">
        <v>3</v>
      </c>
      <c r="G555" s="737">
        <v>12.260434210526316</v>
      </c>
      <c r="H555" s="685">
        <v>36.781302631578953</v>
      </c>
      <c r="I555" s="672" t="s">
        <v>9218</v>
      </c>
      <c r="J555" s="672" t="s">
        <v>9219</v>
      </c>
      <c r="K555" s="672" t="s">
        <v>2354</v>
      </c>
      <c r="L555" s="672" t="s">
        <v>9219</v>
      </c>
    </row>
    <row r="556" spans="1:12" x14ac:dyDescent="0.2">
      <c r="A556" s="681" t="s">
        <v>220</v>
      </c>
      <c r="B556" s="681" t="s">
        <v>2351</v>
      </c>
      <c r="C556" s="736" t="s">
        <v>4506</v>
      </c>
      <c r="D556" s="736" t="s">
        <v>4507</v>
      </c>
      <c r="E556" s="683"/>
      <c r="F556" s="685">
        <v>1</v>
      </c>
      <c r="G556" s="737">
        <v>55.295999999999999</v>
      </c>
      <c r="H556" s="685">
        <v>55.295999999999999</v>
      </c>
      <c r="I556" s="672" t="s">
        <v>9218</v>
      </c>
      <c r="J556" s="672" t="s">
        <v>9219</v>
      </c>
      <c r="K556" s="672" t="s">
        <v>2354</v>
      </c>
      <c r="L556" s="672" t="s">
        <v>9219</v>
      </c>
    </row>
    <row r="557" spans="1:12" x14ac:dyDescent="0.2">
      <c r="A557" s="681" t="s">
        <v>220</v>
      </c>
      <c r="B557" s="681" t="s">
        <v>2351</v>
      </c>
      <c r="C557" s="736" t="s">
        <v>4546</v>
      </c>
      <c r="D557" s="736" t="s">
        <v>4547</v>
      </c>
      <c r="E557" s="683"/>
      <c r="F557" s="685">
        <v>12</v>
      </c>
      <c r="G557" s="737">
        <v>10.228899999999999</v>
      </c>
      <c r="H557" s="685">
        <v>122.74679999999999</v>
      </c>
      <c r="I557" s="672" t="s">
        <v>9218</v>
      </c>
      <c r="J557" s="672" t="s">
        <v>9219</v>
      </c>
      <c r="K557" s="672" t="s">
        <v>2354</v>
      </c>
      <c r="L557" s="672" t="s">
        <v>9219</v>
      </c>
    </row>
    <row r="558" spans="1:12" x14ac:dyDescent="0.2">
      <c r="A558" s="681" t="s">
        <v>220</v>
      </c>
      <c r="B558" s="681" t="s">
        <v>2351</v>
      </c>
      <c r="C558" s="736"/>
      <c r="D558" s="736" t="s">
        <v>9355</v>
      </c>
      <c r="E558" s="683"/>
      <c r="F558" s="685">
        <v>7</v>
      </c>
      <c r="G558" s="737">
        <v>21.5</v>
      </c>
      <c r="H558" s="685">
        <v>150.5</v>
      </c>
      <c r="I558" s="672" t="s">
        <v>9218</v>
      </c>
      <c r="J558" s="672" t="s">
        <v>9219</v>
      </c>
      <c r="K558" s="672" t="s">
        <v>2354</v>
      </c>
      <c r="L558" s="672" t="s">
        <v>9219</v>
      </c>
    </row>
    <row r="559" spans="1:12" x14ac:dyDescent="0.2">
      <c r="A559" s="681" t="s">
        <v>220</v>
      </c>
      <c r="B559" s="681" t="s">
        <v>2351</v>
      </c>
      <c r="C559" s="736" t="s">
        <v>4550</v>
      </c>
      <c r="D559" s="736" t="s">
        <v>4551</v>
      </c>
      <c r="E559" s="683"/>
      <c r="F559" s="685">
        <v>9</v>
      </c>
      <c r="G559" s="737">
        <v>11.237</v>
      </c>
      <c r="H559" s="685">
        <v>101.133</v>
      </c>
      <c r="I559" s="672" t="s">
        <v>9218</v>
      </c>
      <c r="J559" s="672" t="s">
        <v>9219</v>
      </c>
      <c r="K559" s="672" t="s">
        <v>2354</v>
      </c>
      <c r="L559" s="672" t="s">
        <v>9219</v>
      </c>
    </row>
    <row r="560" spans="1:12" x14ac:dyDescent="0.2">
      <c r="A560" s="681" t="s">
        <v>220</v>
      </c>
      <c r="B560" s="681" t="s">
        <v>2351</v>
      </c>
      <c r="C560" s="736" t="s">
        <v>4554</v>
      </c>
      <c r="D560" s="736" t="s">
        <v>4555</v>
      </c>
      <c r="E560" s="683"/>
      <c r="F560" s="685">
        <v>10</v>
      </c>
      <c r="G560" s="737">
        <v>11.423999999999999</v>
      </c>
      <c r="H560" s="685">
        <v>114.24</v>
      </c>
      <c r="I560" s="672" t="s">
        <v>9218</v>
      </c>
      <c r="J560" s="672" t="s">
        <v>9219</v>
      </c>
      <c r="K560" s="672" t="s">
        <v>2354</v>
      </c>
      <c r="L560" s="672" t="s">
        <v>9219</v>
      </c>
    </row>
    <row r="561" spans="1:12" x14ac:dyDescent="0.2">
      <c r="A561" s="681" t="s">
        <v>220</v>
      </c>
      <c r="B561" s="681" t="s">
        <v>2351</v>
      </c>
      <c r="C561" s="736" t="s">
        <v>4556</v>
      </c>
      <c r="D561" s="736" t="s">
        <v>4557</v>
      </c>
      <c r="E561" s="683"/>
      <c r="F561" s="685">
        <v>3</v>
      </c>
      <c r="G561" s="737">
        <v>22.429345098039217</v>
      </c>
      <c r="H561" s="685">
        <v>67.288035294117648</v>
      </c>
      <c r="I561" s="672" t="s">
        <v>9218</v>
      </c>
      <c r="J561" s="672" t="s">
        <v>9219</v>
      </c>
      <c r="K561" s="672" t="s">
        <v>2354</v>
      </c>
      <c r="L561" s="672" t="s">
        <v>9219</v>
      </c>
    </row>
    <row r="562" spans="1:12" x14ac:dyDescent="0.2">
      <c r="A562" s="681" t="s">
        <v>220</v>
      </c>
      <c r="B562" s="681" t="s">
        <v>2351</v>
      </c>
      <c r="C562" s="736" t="s">
        <v>4558</v>
      </c>
      <c r="D562" s="736" t="s">
        <v>4559</v>
      </c>
      <c r="E562" s="683"/>
      <c r="F562" s="685">
        <v>10</v>
      </c>
      <c r="G562" s="737">
        <v>0.435</v>
      </c>
      <c r="H562" s="685">
        <v>4.3499999999999996</v>
      </c>
      <c r="I562" s="672" t="s">
        <v>9218</v>
      </c>
      <c r="J562" s="672" t="s">
        <v>9219</v>
      </c>
      <c r="K562" s="672" t="s">
        <v>2354</v>
      </c>
      <c r="L562" s="672" t="s">
        <v>9219</v>
      </c>
    </row>
    <row r="563" spans="1:12" x14ac:dyDescent="0.2">
      <c r="A563" s="681" t="s">
        <v>220</v>
      </c>
      <c r="B563" s="681" t="s">
        <v>2351</v>
      </c>
      <c r="C563" s="736" t="s">
        <v>4560</v>
      </c>
      <c r="D563" s="736" t="s">
        <v>4561</v>
      </c>
      <c r="E563" s="683"/>
      <c r="F563" s="685">
        <v>7</v>
      </c>
      <c r="G563" s="737">
        <v>7.3049999999999997</v>
      </c>
      <c r="H563" s="685">
        <v>51.134999999999998</v>
      </c>
      <c r="I563" s="672" t="s">
        <v>9218</v>
      </c>
      <c r="J563" s="672" t="s">
        <v>9219</v>
      </c>
      <c r="K563" s="672" t="s">
        <v>2354</v>
      </c>
      <c r="L563" s="672" t="s">
        <v>9219</v>
      </c>
    </row>
    <row r="564" spans="1:12" x14ac:dyDescent="0.2">
      <c r="A564" s="681" t="s">
        <v>220</v>
      </c>
      <c r="B564" s="681" t="s">
        <v>2351</v>
      </c>
      <c r="C564" s="736" t="s">
        <v>4562</v>
      </c>
      <c r="D564" s="736" t="s">
        <v>4563</v>
      </c>
      <c r="E564" s="683"/>
      <c r="F564" s="685">
        <v>3</v>
      </c>
      <c r="G564" s="737">
        <v>7.12</v>
      </c>
      <c r="H564" s="685">
        <v>21.36</v>
      </c>
      <c r="I564" s="672" t="s">
        <v>9218</v>
      </c>
      <c r="J564" s="672" t="s">
        <v>9219</v>
      </c>
      <c r="K564" s="672" t="s">
        <v>2354</v>
      </c>
      <c r="L564" s="672" t="s">
        <v>9219</v>
      </c>
    </row>
    <row r="565" spans="1:12" x14ac:dyDescent="0.2">
      <c r="A565" s="681" t="s">
        <v>220</v>
      </c>
      <c r="B565" s="681" t="s">
        <v>2351</v>
      </c>
      <c r="C565" s="736" t="s">
        <v>4564</v>
      </c>
      <c r="D565" s="736" t="s">
        <v>4565</v>
      </c>
      <c r="E565" s="683"/>
      <c r="F565" s="685">
        <v>5</v>
      </c>
      <c r="G565" s="737">
        <v>23.204999999999998</v>
      </c>
      <c r="H565" s="685">
        <v>116.02499999999999</v>
      </c>
      <c r="I565" s="672" t="s">
        <v>9218</v>
      </c>
      <c r="J565" s="672" t="s">
        <v>9219</v>
      </c>
      <c r="K565" s="672" t="s">
        <v>2354</v>
      </c>
      <c r="L565" s="672" t="s">
        <v>9219</v>
      </c>
    </row>
    <row r="566" spans="1:12" x14ac:dyDescent="0.2">
      <c r="A566" s="681" t="s">
        <v>220</v>
      </c>
      <c r="B566" s="681" t="s">
        <v>2351</v>
      </c>
      <c r="C566" s="736" t="s">
        <v>4566</v>
      </c>
      <c r="D566" s="736" t="s">
        <v>4567</v>
      </c>
      <c r="E566" s="683"/>
      <c r="F566" s="685">
        <v>4</v>
      </c>
      <c r="G566" s="737">
        <v>17.434999999999999</v>
      </c>
      <c r="H566" s="685">
        <v>69.739999999999995</v>
      </c>
      <c r="I566" s="672" t="s">
        <v>9218</v>
      </c>
      <c r="J566" s="672" t="s">
        <v>9219</v>
      </c>
      <c r="K566" s="672" t="s">
        <v>2354</v>
      </c>
      <c r="L566" s="672" t="s">
        <v>9219</v>
      </c>
    </row>
    <row r="567" spans="1:12" x14ac:dyDescent="0.2">
      <c r="A567" s="681" t="s">
        <v>220</v>
      </c>
      <c r="B567" s="681" t="s">
        <v>2351</v>
      </c>
      <c r="C567" s="736" t="s">
        <v>4580</v>
      </c>
      <c r="D567" s="736" t="s">
        <v>4581</v>
      </c>
      <c r="E567" s="683"/>
      <c r="F567" s="685">
        <v>1</v>
      </c>
      <c r="G567" s="737">
        <v>46.904000000000003</v>
      </c>
      <c r="H567" s="685">
        <v>46.904000000000003</v>
      </c>
      <c r="I567" s="672" t="s">
        <v>9218</v>
      </c>
      <c r="J567" s="672" t="s">
        <v>9219</v>
      </c>
      <c r="K567" s="672" t="s">
        <v>2354</v>
      </c>
      <c r="L567" s="672" t="s">
        <v>9219</v>
      </c>
    </row>
    <row r="568" spans="1:12" x14ac:dyDescent="0.2">
      <c r="A568" s="681" t="s">
        <v>220</v>
      </c>
      <c r="B568" s="681" t="s">
        <v>2351</v>
      </c>
      <c r="C568" s="736" t="s">
        <v>4630</v>
      </c>
      <c r="D568" s="736" t="s">
        <v>4631</v>
      </c>
      <c r="E568" s="683"/>
      <c r="F568" s="685">
        <v>1</v>
      </c>
      <c r="G568" s="737">
        <v>47.65</v>
      </c>
      <c r="H568" s="685">
        <v>47.65</v>
      </c>
      <c r="I568" s="672" t="s">
        <v>9218</v>
      </c>
      <c r="J568" s="672" t="s">
        <v>9219</v>
      </c>
      <c r="K568" s="672" t="s">
        <v>2354</v>
      </c>
      <c r="L568" s="672" t="s">
        <v>9219</v>
      </c>
    </row>
    <row r="569" spans="1:12" x14ac:dyDescent="0.2">
      <c r="A569" s="681" t="s">
        <v>220</v>
      </c>
      <c r="B569" s="681" t="s">
        <v>2351</v>
      </c>
      <c r="C569" s="736" t="s">
        <v>4750</v>
      </c>
      <c r="D569" s="736" t="s">
        <v>4751</v>
      </c>
      <c r="E569" s="683"/>
      <c r="F569" s="685">
        <v>24</v>
      </c>
      <c r="G569" s="737">
        <v>7.6760000000000002</v>
      </c>
      <c r="H569" s="685">
        <v>184.22399999999999</v>
      </c>
      <c r="I569" s="672" t="s">
        <v>9218</v>
      </c>
      <c r="J569" s="672" t="s">
        <v>9219</v>
      </c>
      <c r="K569" s="672" t="s">
        <v>2354</v>
      </c>
      <c r="L569" s="672" t="s">
        <v>9219</v>
      </c>
    </row>
    <row r="570" spans="1:12" x14ac:dyDescent="0.2">
      <c r="A570" s="681" t="s">
        <v>220</v>
      </c>
      <c r="B570" s="681" t="s">
        <v>2351</v>
      </c>
      <c r="C570" s="736" t="s">
        <v>4778</v>
      </c>
      <c r="D570" s="736" t="s">
        <v>4779</v>
      </c>
      <c r="E570" s="683"/>
      <c r="F570" s="685">
        <v>55</v>
      </c>
      <c r="G570" s="737">
        <v>6.06</v>
      </c>
      <c r="H570" s="685">
        <v>333.29999999999995</v>
      </c>
      <c r="I570" s="672" t="s">
        <v>9218</v>
      </c>
      <c r="J570" s="672" t="s">
        <v>9219</v>
      </c>
      <c r="K570" s="672" t="s">
        <v>2354</v>
      </c>
      <c r="L570" s="672" t="s">
        <v>9219</v>
      </c>
    </row>
    <row r="571" spans="1:12" x14ac:dyDescent="0.2">
      <c r="A571" s="681" t="s">
        <v>220</v>
      </c>
      <c r="B571" s="681" t="s">
        <v>2351</v>
      </c>
      <c r="C571" s="736" t="s">
        <v>4790</v>
      </c>
      <c r="D571" s="736" t="s">
        <v>4791</v>
      </c>
      <c r="E571" s="683"/>
      <c r="F571" s="685">
        <v>47</v>
      </c>
      <c r="G571" s="737">
        <v>5.7065000000000001</v>
      </c>
      <c r="H571" s="685">
        <v>268.20550000000003</v>
      </c>
      <c r="I571" s="672" t="s">
        <v>9218</v>
      </c>
      <c r="J571" s="672" t="s">
        <v>9219</v>
      </c>
      <c r="K571" s="672" t="s">
        <v>2354</v>
      </c>
      <c r="L571" s="672" t="s">
        <v>9219</v>
      </c>
    </row>
    <row r="572" spans="1:12" x14ac:dyDescent="0.2">
      <c r="A572" s="681" t="s">
        <v>220</v>
      </c>
      <c r="B572" s="681" t="s">
        <v>2351</v>
      </c>
      <c r="C572" s="736" t="s">
        <v>5096</v>
      </c>
      <c r="D572" s="736" t="s">
        <v>5097</v>
      </c>
      <c r="E572" s="683"/>
      <c r="F572" s="685">
        <v>25</v>
      </c>
      <c r="G572" s="737">
        <v>5.9085000000000001</v>
      </c>
      <c r="H572" s="685">
        <v>147.71250000000001</v>
      </c>
      <c r="I572" s="672" t="s">
        <v>9218</v>
      </c>
      <c r="J572" s="672" t="s">
        <v>9219</v>
      </c>
      <c r="K572" s="672" t="s">
        <v>2354</v>
      </c>
      <c r="L572" s="672" t="s">
        <v>9219</v>
      </c>
    </row>
    <row r="573" spans="1:12" x14ac:dyDescent="0.2">
      <c r="A573" s="681" t="s">
        <v>220</v>
      </c>
      <c r="B573" s="681" t="s">
        <v>2351</v>
      </c>
      <c r="C573" s="736" t="s">
        <v>5228</v>
      </c>
      <c r="D573" s="736" t="s">
        <v>5229</v>
      </c>
      <c r="E573" s="683"/>
      <c r="F573" s="685">
        <v>12</v>
      </c>
      <c r="G573" s="737">
        <v>11.5</v>
      </c>
      <c r="H573" s="685">
        <v>138</v>
      </c>
      <c r="I573" s="672" t="s">
        <v>9218</v>
      </c>
      <c r="J573" s="672" t="s">
        <v>9219</v>
      </c>
      <c r="K573" s="672" t="s">
        <v>2354</v>
      </c>
      <c r="L573" s="672" t="s">
        <v>9219</v>
      </c>
    </row>
    <row r="574" spans="1:12" x14ac:dyDescent="0.2">
      <c r="A574" s="681" t="s">
        <v>220</v>
      </c>
      <c r="B574" s="681" t="s">
        <v>2351</v>
      </c>
      <c r="C574" s="736" t="s">
        <v>5236</v>
      </c>
      <c r="D574" s="736" t="s">
        <v>5237</v>
      </c>
      <c r="E574" s="683"/>
      <c r="F574" s="685">
        <v>1</v>
      </c>
      <c r="G574" s="737">
        <v>158.625</v>
      </c>
      <c r="H574" s="685">
        <v>158.625</v>
      </c>
      <c r="I574" s="672" t="s">
        <v>9218</v>
      </c>
      <c r="J574" s="672" t="s">
        <v>9219</v>
      </c>
      <c r="K574" s="672" t="s">
        <v>2354</v>
      </c>
      <c r="L574" s="672" t="s">
        <v>9219</v>
      </c>
    </row>
    <row r="575" spans="1:12" x14ac:dyDescent="0.2">
      <c r="A575" s="681" t="s">
        <v>220</v>
      </c>
      <c r="B575" s="681" t="s">
        <v>2351</v>
      </c>
      <c r="C575" s="736" t="s">
        <v>5238</v>
      </c>
      <c r="D575" s="736" t="s">
        <v>5239</v>
      </c>
      <c r="E575" s="683"/>
      <c r="F575" s="685">
        <v>1</v>
      </c>
      <c r="G575" s="737">
        <v>1.6893</v>
      </c>
      <c r="H575" s="685">
        <v>1.6893</v>
      </c>
      <c r="I575" s="672" t="s">
        <v>9218</v>
      </c>
      <c r="J575" s="672" t="s">
        <v>9219</v>
      </c>
      <c r="K575" s="672" t="s">
        <v>2354</v>
      </c>
      <c r="L575" s="672" t="s">
        <v>9219</v>
      </c>
    </row>
    <row r="576" spans="1:12" x14ac:dyDescent="0.2">
      <c r="A576" s="681" t="s">
        <v>220</v>
      </c>
      <c r="B576" s="681" t="s">
        <v>2351</v>
      </c>
      <c r="C576" s="736" t="s">
        <v>5242</v>
      </c>
      <c r="D576" s="736" t="s">
        <v>5243</v>
      </c>
      <c r="E576" s="683"/>
      <c r="F576" s="685">
        <v>4</v>
      </c>
      <c r="G576" s="737">
        <v>25.6464</v>
      </c>
      <c r="H576" s="685">
        <v>102.5856</v>
      </c>
      <c r="I576" s="672" t="s">
        <v>9218</v>
      </c>
      <c r="J576" s="672" t="s">
        <v>9219</v>
      </c>
      <c r="K576" s="672" t="s">
        <v>2354</v>
      </c>
      <c r="L576" s="672" t="s">
        <v>9219</v>
      </c>
    </row>
    <row r="577" spans="1:12" x14ac:dyDescent="0.2">
      <c r="A577" s="681" t="s">
        <v>220</v>
      </c>
      <c r="B577" s="681" t="s">
        <v>2351</v>
      </c>
      <c r="C577" s="736" t="s">
        <v>5244</v>
      </c>
      <c r="D577" s="736" t="s">
        <v>5245</v>
      </c>
      <c r="E577" s="683"/>
      <c r="F577" s="685">
        <v>12</v>
      </c>
      <c r="G577" s="737">
        <v>11.8512</v>
      </c>
      <c r="H577" s="685">
        <v>142.21440000000001</v>
      </c>
      <c r="I577" s="672" t="s">
        <v>9218</v>
      </c>
      <c r="J577" s="672" t="s">
        <v>9219</v>
      </c>
      <c r="K577" s="672" t="s">
        <v>2354</v>
      </c>
      <c r="L577" s="672" t="s">
        <v>9219</v>
      </c>
    </row>
    <row r="578" spans="1:12" x14ac:dyDescent="0.2">
      <c r="A578" s="681" t="s">
        <v>220</v>
      </c>
      <c r="B578" s="681" t="s">
        <v>2351</v>
      </c>
      <c r="C578" s="736" t="s">
        <v>5264</v>
      </c>
      <c r="D578" s="736" t="s">
        <v>5265</v>
      </c>
      <c r="E578" s="683"/>
      <c r="F578" s="685">
        <v>1</v>
      </c>
      <c r="G578" s="737">
        <v>2788</v>
      </c>
      <c r="H578" s="685">
        <v>2788</v>
      </c>
      <c r="I578" s="672" t="s">
        <v>9218</v>
      </c>
      <c r="J578" s="672" t="s">
        <v>9219</v>
      </c>
      <c r="K578" s="672" t="s">
        <v>2354</v>
      </c>
      <c r="L578" s="672" t="s">
        <v>9219</v>
      </c>
    </row>
    <row r="579" spans="1:12" x14ac:dyDescent="0.2">
      <c r="A579" s="681" t="s">
        <v>220</v>
      </c>
      <c r="B579" s="681" t="s">
        <v>2351</v>
      </c>
      <c r="C579" s="736" t="s">
        <v>5270</v>
      </c>
      <c r="D579" s="736" t="s">
        <v>5271</v>
      </c>
      <c r="E579" s="683"/>
      <c r="F579" s="685">
        <v>1</v>
      </c>
      <c r="G579" s="737">
        <v>59.975999999999999</v>
      </c>
      <c r="H579" s="685">
        <v>59.975999999999999</v>
      </c>
      <c r="I579" s="672" t="s">
        <v>9218</v>
      </c>
      <c r="J579" s="672" t="s">
        <v>9219</v>
      </c>
      <c r="K579" s="672" t="s">
        <v>2354</v>
      </c>
      <c r="L579" s="672" t="s">
        <v>9219</v>
      </c>
    </row>
    <row r="580" spans="1:12" x14ac:dyDescent="0.2">
      <c r="A580" s="681" t="s">
        <v>220</v>
      </c>
      <c r="B580" s="681" t="s">
        <v>2351</v>
      </c>
      <c r="C580" s="736" t="s">
        <v>9356</v>
      </c>
      <c r="D580" s="736" t="s">
        <v>9357</v>
      </c>
      <c r="E580" s="683"/>
      <c r="F580" s="685">
        <v>1</v>
      </c>
      <c r="G580" s="737">
        <v>426.077</v>
      </c>
      <c r="H580" s="685">
        <v>426.077</v>
      </c>
      <c r="I580" s="672" t="s">
        <v>9218</v>
      </c>
      <c r="J580" s="672" t="s">
        <v>9219</v>
      </c>
      <c r="K580" s="672" t="s">
        <v>2354</v>
      </c>
      <c r="L580" s="672" t="s">
        <v>9219</v>
      </c>
    </row>
    <row r="581" spans="1:12" x14ac:dyDescent="0.2">
      <c r="A581" s="681" t="s">
        <v>220</v>
      </c>
      <c r="B581" s="681" t="s">
        <v>2351</v>
      </c>
      <c r="C581" s="736" t="s">
        <v>5396</v>
      </c>
      <c r="D581" s="736" t="s">
        <v>5397</v>
      </c>
      <c r="E581" s="683"/>
      <c r="F581" s="685">
        <v>10</v>
      </c>
      <c r="G581" s="737">
        <v>59.585000000000001</v>
      </c>
      <c r="H581" s="685">
        <v>595.85</v>
      </c>
      <c r="I581" s="672" t="s">
        <v>9218</v>
      </c>
      <c r="J581" s="672" t="s">
        <v>9219</v>
      </c>
      <c r="K581" s="672" t="s">
        <v>2354</v>
      </c>
      <c r="L581" s="672" t="s">
        <v>9219</v>
      </c>
    </row>
    <row r="582" spans="1:12" x14ac:dyDescent="0.2">
      <c r="A582" s="681" t="s">
        <v>220</v>
      </c>
      <c r="B582" s="681" t="s">
        <v>2351</v>
      </c>
      <c r="C582" s="736"/>
      <c r="D582" s="736" t="s">
        <v>2443</v>
      </c>
      <c r="E582" s="683"/>
      <c r="F582" s="685">
        <v>2</v>
      </c>
      <c r="G582" s="737">
        <v>215.5</v>
      </c>
      <c r="H582" s="685">
        <v>431</v>
      </c>
      <c r="I582" s="672" t="s">
        <v>9218</v>
      </c>
      <c r="J582" s="672" t="s">
        <v>9219</v>
      </c>
      <c r="K582" s="672" t="s">
        <v>2354</v>
      </c>
      <c r="L582" s="672" t="s">
        <v>9219</v>
      </c>
    </row>
    <row r="583" spans="1:12" x14ac:dyDescent="0.2">
      <c r="A583" s="681" t="s">
        <v>220</v>
      </c>
      <c r="B583" s="681" t="s">
        <v>2351</v>
      </c>
      <c r="C583" s="736"/>
      <c r="D583" s="736" t="s">
        <v>9358</v>
      </c>
      <c r="E583" s="683"/>
      <c r="F583" s="685">
        <v>2</v>
      </c>
      <c r="G583" s="737">
        <v>39.619999999999997</v>
      </c>
      <c r="H583" s="685">
        <v>79.239999999999995</v>
      </c>
      <c r="I583" s="672" t="s">
        <v>9218</v>
      </c>
      <c r="J583" s="672" t="s">
        <v>9219</v>
      </c>
      <c r="K583" s="672" t="s">
        <v>2354</v>
      </c>
      <c r="L583" s="672" t="s">
        <v>9219</v>
      </c>
    </row>
    <row r="584" spans="1:12" x14ac:dyDescent="0.2">
      <c r="A584" s="681" t="s">
        <v>220</v>
      </c>
      <c r="B584" s="681" t="s">
        <v>2351</v>
      </c>
      <c r="C584" s="736"/>
      <c r="D584" s="736" t="s">
        <v>2443</v>
      </c>
      <c r="E584" s="683"/>
      <c r="F584" s="685">
        <v>2</v>
      </c>
      <c r="G584" s="737">
        <v>215.5</v>
      </c>
      <c r="H584" s="685">
        <v>431</v>
      </c>
      <c r="I584" s="672" t="s">
        <v>9218</v>
      </c>
      <c r="J584" s="672" t="s">
        <v>9219</v>
      </c>
      <c r="K584" s="672" t="s">
        <v>2354</v>
      </c>
      <c r="L584" s="672" t="s">
        <v>9219</v>
      </c>
    </row>
    <row r="585" spans="1:12" x14ac:dyDescent="0.2">
      <c r="A585" s="681" t="s">
        <v>220</v>
      </c>
      <c r="B585" s="681" t="s">
        <v>2351</v>
      </c>
      <c r="C585" s="736"/>
      <c r="D585" s="736" t="s">
        <v>9359</v>
      </c>
      <c r="E585" s="683"/>
      <c r="F585" s="685">
        <v>1</v>
      </c>
      <c r="G585" s="737">
        <v>68</v>
      </c>
      <c r="H585" s="685">
        <v>68</v>
      </c>
      <c r="I585" s="672" t="s">
        <v>9218</v>
      </c>
      <c r="J585" s="672" t="s">
        <v>9219</v>
      </c>
      <c r="K585" s="672" t="s">
        <v>2354</v>
      </c>
      <c r="L585" s="672" t="s">
        <v>9219</v>
      </c>
    </row>
    <row r="586" spans="1:12" x14ac:dyDescent="0.2">
      <c r="A586" s="681" t="s">
        <v>220</v>
      </c>
      <c r="B586" s="681" t="s">
        <v>2351</v>
      </c>
      <c r="C586" s="736" t="s">
        <v>2385</v>
      </c>
      <c r="D586" s="736" t="s">
        <v>9360</v>
      </c>
      <c r="E586" s="683"/>
      <c r="F586" s="685">
        <v>1</v>
      </c>
      <c r="G586" s="737">
        <v>96.39</v>
      </c>
      <c r="H586" s="685">
        <v>96.39</v>
      </c>
      <c r="I586" s="672" t="s">
        <v>9218</v>
      </c>
      <c r="J586" s="672" t="s">
        <v>9219</v>
      </c>
      <c r="K586" s="672" t="s">
        <v>2354</v>
      </c>
      <c r="L586" s="672" t="s">
        <v>9219</v>
      </c>
    </row>
    <row r="587" spans="1:12" x14ac:dyDescent="0.2">
      <c r="A587" s="681" t="s">
        <v>220</v>
      </c>
      <c r="B587" s="681" t="s">
        <v>2351</v>
      </c>
      <c r="C587" s="736" t="s">
        <v>2417</v>
      </c>
      <c r="D587" s="736" t="s">
        <v>2438</v>
      </c>
      <c r="E587" s="683"/>
      <c r="F587" s="685">
        <v>5</v>
      </c>
      <c r="G587" s="737">
        <v>7.23</v>
      </c>
      <c r="H587" s="685">
        <v>36.150000000000006</v>
      </c>
      <c r="I587" s="672" t="s">
        <v>9218</v>
      </c>
      <c r="J587" s="672" t="s">
        <v>9219</v>
      </c>
      <c r="K587" s="672" t="s">
        <v>2354</v>
      </c>
      <c r="L587" s="672" t="s">
        <v>9219</v>
      </c>
    </row>
    <row r="588" spans="1:12" x14ac:dyDescent="0.2">
      <c r="A588" s="681" t="s">
        <v>220</v>
      </c>
      <c r="B588" s="681" t="s">
        <v>2351</v>
      </c>
      <c r="C588" s="736" t="s">
        <v>2417</v>
      </c>
      <c r="D588" s="736" t="s">
        <v>2437</v>
      </c>
      <c r="E588" s="683"/>
      <c r="F588" s="685">
        <v>5</v>
      </c>
      <c r="G588" s="737">
        <v>7.23</v>
      </c>
      <c r="H588" s="685">
        <v>36.150000000000006</v>
      </c>
      <c r="I588" s="672" t="s">
        <v>9218</v>
      </c>
      <c r="J588" s="672" t="s">
        <v>9219</v>
      </c>
      <c r="K588" s="672" t="s">
        <v>2354</v>
      </c>
      <c r="L588" s="672" t="s">
        <v>9219</v>
      </c>
    </row>
    <row r="589" spans="1:12" x14ac:dyDescent="0.2">
      <c r="A589" s="681" t="s">
        <v>220</v>
      </c>
      <c r="B589" s="681" t="s">
        <v>2351</v>
      </c>
      <c r="C589" s="736" t="s">
        <v>2417</v>
      </c>
      <c r="D589" s="736" t="s">
        <v>2442</v>
      </c>
      <c r="E589" s="683"/>
      <c r="F589" s="685">
        <v>23</v>
      </c>
      <c r="G589" s="737">
        <v>7.23</v>
      </c>
      <c r="H589" s="685">
        <v>166.29000000000002</v>
      </c>
      <c r="I589" s="672" t="s">
        <v>9218</v>
      </c>
      <c r="J589" s="672" t="s">
        <v>9219</v>
      </c>
      <c r="K589" s="672" t="s">
        <v>2354</v>
      </c>
      <c r="L589" s="672" t="s">
        <v>9219</v>
      </c>
    </row>
    <row r="590" spans="1:12" x14ac:dyDescent="0.2">
      <c r="A590" s="681" t="s">
        <v>220</v>
      </c>
      <c r="B590" s="681" t="s">
        <v>2351</v>
      </c>
      <c r="C590" s="736" t="s">
        <v>5463</v>
      </c>
      <c r="D590" s="736" t="s">
        <v>5464</v>
      </c>
      <c r="E590" s="683" t="s">
        <v>535</v>
      </c>
      <c r="F590" s="685">
        <v>20</v>
      </c>
      <c r="G590" s="737">
        <v>0.86299999999999999</v>
      </c>
      <c r="H590" s="685">
        <v>17.259999999999998</v>
      </c>
      <c r="I590" s="672" t="s">
        <v>9218</v>
      </c>
      <c r="J590" s="672" t="s">
        <v>9219</v>
      </c>
      <c r="K590" s="672" t="s">
        <v>2354</v>
      </c>
      <c r="L590" s="672" t="s">
        <v>9219</v>
      </c>
    </row>
    <row r="591" spans="1:12" x14ac:dyDescent="0.2">
      <c r="A591" s="681" t="s">
        <v>220</v>
      </c>
      <c r="B591" s="681" t="s">
        <v>2351</v>
      </c>
      <c r="C591" s="736" t="s">
        <v>3167</v>
      </c>
      <c r="D591" s="736" t="s">
        <v>3168</v>
      </c>
      <c r="E591" s="683"/>
      <c r="F591" s="685">
        <v>1</v>
      </c>
      <c r="G591" s="737">
        <v>35.167949999999998</v>
      </c>
      <c r="H591" s="685">
        <v>35.167949999999998</v>
      </c>
      <c r="I591" s="672" t="s">
        <v>9218</v>
      </c>
      <c r="J591" s="672" t="s">
        <v>9219</v>
      </c>
      <c r="K591" s="672" t="s">
        <v>2354</v>
      </c>
      <c r="L591" s="672" t="s">
        <v>9219</v>
      </c>
    </row>
    <row r="592" spans="1:12" x14ac:dyDescent="0.2">
      <c r="A592" s="681" t="s">
        <v>220</v>
      </c>
      <c r="B592" s="681" t="s">
        <v>2351</v>
      </c>
      <c r="C592" s="736" t="s">
        <v>3209</v>
      </c>
      <c r="D592" s="736" t="s">
        <v>3210</v>
      </c>
      <c r="E592" s="683"/>
      <c r="F592" s="685">
        <v>10</v>
      </c>
      <c r="G592" s="737">
        <v>3.5928</v>
      </c>
      <c r="H592" s="685">
        <v>35.927999999999997</v>
      </c>
      <c r="I592" s="672" t="s">
        <v>9218</v>
      </c>
      <c r="J592" s="672" t="s">
        <v>9219</v>
      </c>
      <c r="K592" s="672" t="s">
        <v>2354</v>
      </c>
      <c r="L592" s="672" t="s">
        <v>9219</v>
      </c>
    </row>
    <row r="593" spans="1:12" x14ac:dyDescent="0.2">
      <c r="A593" s="681" t="s">
        <v>220</v>
      </c>
      <c r="B593" s="681" t="s">
        <v>2351</v>
      </c>
      <c r="C593" s="736" t="s">
        <v>3211</v>
      </c>
      <c r="D593" s="736" t="s">
        <v>3212</v>
      </c>
      <c r="E593" s="683"/>
      <c r="F593" s="685">
        <v>55</v>
      </c>
      <c r="G593" s="737">
        <v>0.41129999999999994</v>
      </c>
      <c r="H593" s="685">
        <v>22.621499999999997</v>
      </c>
      <c r="I593" s="672" t="s">
        <v>9218</v>
      </c>
      <c r="J593" s="672" t="s">
        <v>9219</v>
      </c>
      <c r="K593" s="672" t="s">
        <v>2354</v>
      </c>
      <c r="L593" s="672" t="s">
        <v>9219</v>
      </c>
    </row>
    <row r="594" spans="1:12" x14ac:dyDescent="0.2">
      <c r="A594" s="681" t="s">
        <v>220</v>
      </c>
      <c r="B594" s="681" t="s">
        <v>2351</v>
      </c>
      <c r="C594" s="736" t="s">
        <v>3213</v>
      </c>
      <c r="D594" s="736" t="s">
        <v>3214</v>
      </c>
      <c r="E594" s="683"/>
      <c r="F594" s="685">
        <v>20</v>
      </c>
      <c r="G594" s="737">
        <v>0.70656967213114763</v>
      </c>
      <c r="H594" s="685">
        <v>14.131393442622953</v>
      </c>
      <c r="I594" s="672" t="s">
        <v>9218</v>
      </c>
      <c r="J594" s="672" t="s">
        <v>9219</v>
      </c>
      <c r="K594" s="672" t="s">
        <v>2354</v>
      </c>
      <c r="L594" s="672" t="s">
        <v>9219</v>
      </c>
    </row>
    <row r="595" spans="1:12" x14ac:dyDescent="0.2">
      <c r="A595" s="681" t="s">
        <v>220</v>
      </c>
      <c r="B595" s="681" t="s">
        <v>2351</v>
      </c>
      <c r="C595" s="736" t="s">
        <v>3215</v>
      </c>
      <c r="D595" s="736" t="s">
        <v>3216</v>
      </c>
      <c r="E595" s="683"/>
      <c r="F595" s="685">
        <v>46</v>
      </c>
      <c r="G595" s="737">
        <v>0.89190000000000003</v>
      </c>
      <c r="H595" s="685">
        <v>41.0274</v>
      </c>
      <c r="I595" s="672" t="s">
        <v>9218</v>
      </c>
      <c r="J595" s="672" t="s">
        <v>9219</v>
      </c>
      <c r="K595" s="672" t="s">
        <v>2354</v>
      </c>
      <c r="L595" s="672" t="s">
        <v>9219</v>
      </c>
    </row>
    <row r="596" spans="1:12" x14ac:dyDescent="0.2">
      <c r="A596" s="681" t="s">
        <v>220</v>
      </c>
      <c r="B596" s="681" t="s">
        <v>2351</v>
      </c>
      <c r="C596" s="736" t="s">
        <v>3217</v>
      </c>
      <c r="D596" s="736" t="s">
        <v>3218</v>
      </c>
      <c r="E596" s="683"/>
      <c r="F596" s="685">
        <v>160</v>
      </c>
      <c r="G596" s="737">
        <v>0.89190000000000003</v>
      </c>
      <c r="H596" s="685">
        <v>142.70400000000001</v>
      </c>
      <c r="I596" s="672" t="s">
        <v>9218</v>
      </c>
      <c r="J596" s="672" t="s">
        <v>9219</v>
      </c>
      <c r="K596" s="672" t="s">
        <v>2354</v>
      </c>
      <c r="L596" s="672" t="s">
        <v>9219</v>
      </c>
    </row>
    <row r="597" spans="1:12" x14ac:dyDescent="0.2">
      <c r="A597" s="681" t="s">
        <v>220</v>
      </c>
      <c r="B597" s="681" t="s">
        <v>2351</v>
      </c>
      <c r="C597" s="736" t="s">
        <v>3219</v>
      </c>
      <c r="D597" s="736" t="s">
        <v>3220</v>
      </c>
      <c r="E597" s="683"/>
      <c r="F597" s="685">
        <v>32</v>
      </c>
      <c r="G597" s="737">
        <v>0.89190000000000003</v>
      </c>
      <c r="H597" s="685">
        <v>28.540800000000001</v>
      </c>
      <c r="I597" s="672" t="s">
        <v>9218</v>
      </c>
      <c r="J597" s="672" t="s">
        <v>9219</v>
      </c>
      <c r="K597" s="672" t="s">
        <v>2354</v>
      </c>
      <c r="L597" s="672" t="s">
        <v>9219</v>
      </c>
    </row>
    <row r="598" spans="1:12" x14ac:dyDescent="0.2">
      <c r="A598" s="681" t="s">
        <v>220</v>
      </c>
      <c r="B598" s="681" t="s">
        <v>2351</v>
      </c>
      <c r="C598" s="736" t="s">
        <v>3223</v>
      </c>
      <c r="D598" s="736" t="s">
        <v>3224</v>
      </c>
      <c r="E598" s="683"/>
      <c r="F598" s="685">
        <v>80</v>
      </c>
      <c r="G598" s="737">
        <v>1.5</v>
      </c>
      <c r="H598" s="685">
        <v>120</v>
      </c>
      <c r="I598" s="672" t="s">
        <v>9218</v>
      </c>
      <c r="J598" s="672" t="s">
        <v>9219</v>
      </c>
      <c r="K598" s="672" t="s">
        <v>2354</v>
      </c>
      <c r="L598" s="672" t="s">
        <v>9219</v>
      </c>
    </row>
    <row r="599" spans="1:12" x14ac:dyDescent="0.2">
      <c r="A599" s="681" t="s">
        <v>220</v>
      </c>
      <c r="B599" s="681" t="s">
        <v>2351</v>
      </c>
      <c r="C599" s="736" t="s">
        <v>3357</v>
      </c>
      <c r="D599" s="736" t="s">
        <v>3358</v>
      </c>
      <c r="E599" s="683"/>
      <c r="F599" s="685">
        <v>32</v>
      </c>
      <c r="G599" s="737">
        <v>0.36099999999999999</v>
      </c>
      <c r="H599" s="685">
        <v>11.552</v>
      </c>
      <c r="I599" s="672" t="s">
        <v>9218</v>
      </c>
      <c r="J599" s="672" t="s">
        <v>9219</v>
      </c>
      <c r="K599" s="672" t="s">
        <v>2354</v>
      </c>
      <c r="L599" s="672" t="s">
        <v>9219</v>
      </c>
    </row>
    <row r="600" spans="1:12" x14ac:dyDescent="0.2">
      <c r="A600" s="681" t="s">
        <v>220</v>
      </c>
      <c r="B600" s="681" t="s">
        <v>2351</v>
      </c>
      <c r="C600" s="736" t="s">
        <v>3359</v>
      </c>
      <c r="D600" s="736" t="s">
        <v>3360</v>
      </c>
      <c r="E600" s="683"/>
      <c r="F600" s="685">
        <v>25</v>
      </c>
      <c r="G600" s="737">
        <v>0.10199999999999999</v>
      </c>
      <c r="H600" s="685">
        <v>2.5499999999999998</v>
      </c>
      <c r="I600" s="672" t="s">
        <v>9218</v>
      </c>
      <c r="J600" s="672" t="s">
        <v>9219</v>
      </c>
      <c r="K600" s="672" t="s">
        <v>2354</v>
      </c>
      <c r="L600" s="672" t="s">
        <v>9219</v>
      </c>
    </row>
    <row r="601" spans="1:12" x14ac:dyDescent="0.2">
      <c r="A601" s="681" t="s">
        <v>220</v>
      </c>
      <c r="B601" s="681" t="s">
        <v>2351</v>
      </c>
      <c r="C601" s="736" t="s">
        <v>3453</v>
      </c>
      <c r="D601" s="736" t="s">
        <v>3454</v>
      </c>
      <c r="E601" s="683"/>
      <c r="F601" s="685">
        <v>20</v>
      </c>
      <c r="G601" s="737">
        <v>1.1475</v>
      </c>
      <c r="H601" s="685">
        <v>22.95</v>
      </c>
      <c r="I601" s="672" t="s">
        <v>9218</v>
      </c>
      <c r="J601" s="672" t="s">
        <v>9219</v>
      </c>
      <c r="K601" s="672" t="s">
        <v>2354</v>
      </c>
      <c r="L601" s="672" t="s">
        <v>9219</v>
      </c>
    </row>
    <row r="602" spans="1:12" x14ac:dyDescent="0.2">
      <c r="A602" s="681" t="s">
        <v>220</v>
      </c>
      <c r="B602" s="681" t="s">
        <v>2351</v>
      </c>
      <c r="C602" s="736" t="s">
        <v>3455</v>
      </c>
      <c r="D602" s="736" t="s">
        <v>3456</v>
      </c>
      <c r="E602" s="683"/>
      <c r="F602" s="685">
        <v>50</v>
      </c>
      <c r="G602" s="737">
        <v>1.6575</v>
      </c>
      <c r="H602" s="685">
        <v>82.875</v>
      </c>
      <c r="I602" s="672" t="s">
        <v>9218</v>
      </c>
      <c r="J602" s="672" t="s">
        <v>9219</v>
      </c>
      <c r="K602" s="672" t="s">
        <v>2354</v>
      </c>
      <c r="L602" s="672" t="s">
        <v>9219</v>
      </c>
    </row>
    <row r="603" spans="1:12" x14ac:dyDescent="0.2">
      <c r="A603" s="681" t="s">
        <v>220</v>
      </c>
      <c r="B603" s="681" t="s">
        <v>2351</v>
      </c>
      <c r="C603" s="736" t="s">
        <v>3457</v>
      </c>
      <c r="D603" s="736" t="s">
        <v>3458</v>
      </c>
      <c r="E603" s="683"/>
      <c r="F603" s="685">
        <v>36</v>
      </c>
      <c r="G603" s="737">
        <v>2.46</v>
      </c>
      <c r="H603" s="685">
        <v>88.56</v>
      </c>
      <c r="I603" s="672" t="s">
        <v>9218</v>
      </c>
      <c r="J603" s="672" t="s">
        <v>9219</v>
      </c>
      <c r="K603" s="672" t="s">
        <v>2354</v>
      </c>
      <c r="L603" s="672" t="s">
        <v>9219</v>
      </c>
    </row>
    <row r="604" spans="1:12" x14ac:dyDescent="0.2">
      <c r="A604" s="681" t="s">
        <v>220</v>
      </c>
      <c r="B604" s="681" t="s">
        <v>2351</v>
      </c>
      <c r="C604" s="736" t="s">
        <v>3459</v>
      </c>
      <c r="D604" s="736" t="s">
        <v>3460</v>
      </c>
      <c r="E604" s="683"/>
      <c r="F604" s="685">
        <v>41</v>
      </c>
      <c r="G604" s="737">
        <v>2.5245000000000002</v>
      </c>
      <c r="H604" s="685">
        <v>103.50450000000001</v>
      </c>
      <c r="I604" s="672" t="s">
        <v>9218</v>
      </c>
      <c r="J604" s="672" t="s">
        <v>9219</v>
      </c>
      <c r="K604" s="672" t="s">
        <v>2354</v>
      </c>
      <c r="L604" s="672" t="s">
        <v>9219</v>
      </c>
    </row>
    <row r="605" spans="1:12" x14ac:dyDescent="0.2">
      <c r="A605" s="681" t="s">
        <v>220</v>
      </c>
      <c r="B605" s="681" t="s">
        <v>2351</v>
      </c>
      <c r="C605" s="736" t="s">
        <v>3461</v>
      </c>
      <c r="D605" s="736" t="s">
        <v>3462</v>
      </c>
      <c r="E605" s="683"/>
      <c r="F605" s="685">
        <v>32</v>
      </c>
      <c r="G605" s="737">
        <v>3.33</v>
      </c>
      <c r="H605" s="685">
        <v>106.56</v>
      </c>
      <c r="I605" s="672" t="s">
        <v>9218</v>
      </c>
      <c r="J605" s="672" t="s">
        <v>9219</v>
      </c>
      <c r="K605" s="672" t="s">
        <v>2354</v>
      </c>
      <c r="L605" s="672" t="s">
        <v>9219</v>
      </c>
    </row>
    <row r="606" spans="1:12" x14ac:dyDescent="0.2">
      <c r="A606" s="681" t="s">
        <v>220</v>
      </c>
      <c r="B606" s="681" t="s">
        <v>2351</v>
      </c>
      <c r="C606" s="736" t="s">
        <v>3545</v>
      </c>
      <c r="D606" s="736" t="s">
        <v>3546</v>
      </c>
      <c r="E606" s="683"/>
      <c r="F606" s="685">
        <v>14</v>
      </c>
      <c r="G606" s="737">
        <v>2.7899999999999996</v>
      </c>
      <c r="H606" s="685">
        <v>39.059999999999995</v>
      </c>
      <c r="I606" s="672" t="s">
        <v>9218</v>
      </c>
      <c r="J606" s="672" t="s">
        <v>9219</v>
      </c>
      <c r="K606" s="672" t="s">
        <v>2354</v>
      </c>
      <c r="L606" s="672" t="s">
        <v>9219</v>
      </c>
    </row>
    <row r="607" spans="1:12" x14ac:dyDescent="0.2">
      <c r="A607" s="681" t="s">
        <v>220</v>
      </c>
      <c r="B607" s="681" t="s">
        <v>2351</v>
      </c>
      <c r="C607" s="736" t="s">
        <v>3547</v>
      </c>
      <c r="D607" s="736" t="s">
        <v>3548</v>
      </c>
      <c r="E607" s="683"/>
      <c r="F607" s="685">
        <v>25</v>
      </c>
      <c r="G607" s="737">
        <v>3.8079999999999998</v>
      </c>
      <c r="H607" s="685">
        <v>95.199999999999989</v>
      </c>
      <c r="I607" s="672" t="s">
        <v>9218</v>
      </c>
      <c r="J607" s="672" t="s">
        <v>9219</v>
      </c>
      <c r="K607" s="672" t="s">
        <v>2354</v>
      </c>
      <c r="L607" s="672" t="s">
        <v>9219</v>
      </c>
    </row>
    <row r="608" spans="1:12" x14ac:dyDescent="0.2">
      <c r="A608" s="681" t="s">
        <v>220</v>
      </c>
      <c r="B608" s="681" t="s">
        <v>2351</v>
      </c>
      <c r="C608" s="736" t="s">
        <v>3549</v>
      </c>
      <c r="D608" s="736" t="s">
        <v>3550</v>
      </c>
      <c r="E608" s="683"/>
      <c r="F608" s="685">
        <v>14</v>
      </c>
      <c r="G608" s="737">
        <v>8.264325358851675</v>
      </c>
      <c r="H608" s="685">
        <v>115.70055502392344</v>
      </c>
      <c r="I608" s="672" t="s">
        <v>9218</v>
      </c>
      <c r="J608" s="672" t="s">
        <v>9219</v>
      </c>
      <c r="K608" s="672" t="s">
        <v>2354</v>
      </c>
      <c r="L608" s="672" t="s">
        <v>9219</v>
      </c>
    </row>
    <row r="609" spans="1:12" x14ac:dyDescent="0.2">
      <c r="A609" s="681" t="s">
        <v>220</v>
      </c>
      <c r="B609" s="681" t="s">
        <v>2351</v>
      </c>
      <c r="C609" s="736" t="s">
        <v>3551</v>
      </c>
      <c r="D609" s="736" t="s">
        <v>3552</v>
      </c>
      <c r="E609" s="683"/>
      <c r="F609" s="685">
        <v>23</v>
      </c>
      <c r="G609" s="737">
        <v>3.3299999999999996</v>
      </c>
      <c r="H609" s="685">
        <v>76.589999999999989</v>
      </c>
      <c r="I609" s="672" t="s">
        <v>9218</v>
      </c>
      <c r="J609" s="672" t="s">
        <v>9219</v>
      </c>
      <c r="K609" s="672" t="s">
        <v>2354</v>
      </c>
      <c r="L609" s="672" t="s">
        <v>9219</v>
      </c>
    </row>
    <row r="610" spans="1:12" x14ac:dyDescent="0.2">
      <c r="A610" s="681" t="s">
        <v>220</v>
      </c>
      <c r="B610" s="681" t="s">
        <v>2351</v>
      </c>
      <c r="C610" s="736" t="s">
        <v>3553</v>
      </c>
      <c r="D610" s="736" t="s">
        <v>3554</v>
      </c>
      <c r="E610" s="683"/>
      <c r="F610" s="685">
        <v>26</v>
      </c>
      <c r="G610" s="737">
        <v>3.298</v>
      </c>
      <c r="H610" s="685">
        <v>85.748000000000005</v>
      </c>
      <c r="I610" s="672" t="s">
        <v>9218</v>
      </c>
      <c r="J610" s="672" t="s">
        <v>9219</v>
      </c>
      <c r="K610" s="672" t="s">
        <v>2354</v>
      </c>
      <c r="L610" s="672" t="s">
        <v>9219</v>
      </c>
    </row>
    <row r="611" spans="1:12" x14ac:dyDescent="0.2">
      <c r="A611" s="681" t="s">
        <v>220</v>
      </c>
      <c r="B611" s="681" t="s">
        <v>2351</v>
      </c>
      <c r="C611" s="736"/>
      <c r="D611" s="736" t="s">
        <v>9361</v>
      </c>
      <c r="E611" s="683"/>
      <c r="F611" s="685">
        <v>2</v>
      </c>
      <c r="G611" s="737">
        <v>10.88</v>
      </c>
      <c r="H611" s="685">
        <v>21.76</v>
      </c>
      <c r="I611" s="672" t="s">
        <v>9218</v>
      </c>
      <c r="J611" s="672" t="s">
        <v>9219</v>
      </c>
      <c r="K611" s="672" t="s">
        <v>2354</v>
      </c>
      <c r="L611" s="672" t="s">
        <v>9219</v>
      </c>
    </row>
    <row r="612" spans="1:12" x14ac:dyDescent="0.2">
      <c r="A612" s="681" t="s">
        <v>220</v>
      </c>
      <c r="B612" s="681" t="s">
        <v>2351</v>
      </c>
      <c r="C612" s="736" t="s">
        <v>3555</v>
      </c>
      <c r="D612" s="736" t="s">
        <v>3556</v>
      </c>
      <c r="E612" s="683"/>
      <c r="F612" s="685">
        <v>44</v>
      </c>
      <c r="G612" s="737">
        <v>4.0205000000000002</v>
      </c>
      <c r="H612" s="685">
        <v>176.90200000000002</v>
      </c>
      <c r="I612" s="672" t="s">
        <v>9218</v>
      </c>
      <c r="J612" s="672" t="s">
        <v>9219</v>
      </c>
      <c r="K612" s="672" t="s">
        <v>2354</v>
      </c>
      <c r="L612" s="672" t="s">
        <v>9219</v>
      </c>
    </row>
    <row r="613" spans="1:12" x14ac:dyDescent="0.2">
      <c r="A613" s="681" t="s">
        <v>220</v>
      </c>
      <c r="B613" s="681" t="s">
        <v>2351</v>
      </c>
      <c r="C613" s="736" t="s">
        <v>3557</v>
      </c>
      <c r="D613" s="736" t="s">
        <v>3558</v>
      </c>
      <c r="E613" s="683"/>
      <c r="F613" s="685">
        <v>10</v>
      </c>
      <c r="G613" s="737">
        <v>2.6549999999999998</v>
      </c>
      <c r="H613" s="685">
        <v>26.549999999999997</v>
      </c>
      <c r="I613" s="672" t="s">
        <v>9218</v>
      </c>
      <c r="J613" s="672" t="s">
        <v>9219</v>
      </c>
      <c r="K613" s="672" t="s">
        <v>2354</v>
      </c>
      <c r="L613" s="672" t="s">
        <v>9219</v>
      </c>
    </row>
    <row r="614" spans="1:12" x14ac:dyDescent="0.2">
      <c r="A614" s="681" t="s">
        <v>220</v>
      </c>
      <c r="B614" s="681" t="s">
        <v>2351</v>
      </c>
      <c r="C614" s="736" t="s">
        <v>3561</v>
      </c>
      <c r="D614" s="736" t="s">
        <v>3562</v>
      </c>
      <c r="E614" s="683"/>
      <c r="F614" s="685">
        <v>50</v>
      </c>
      <c r="G614" s="737">
        <v>1.7100000000000002</v>
      </c>
      <c r="H614" s="685">
        <v>85.500000000000014</v>
      </c>
      <c r="I614" s="672" t="s">
        <v>9218</v>
      </c>
      <c r="J614" s="672" t="s">
        <v>9219</v>
      </c>
      <c r="K614" s="672" t="s">
        <v>2354</v>
      </c>
      <c r="L614" s="672" t="s">
        <v>9219</v>
      </c>
    </row>
    <row r="615" spans="1:12" x14ac:dyDescent="0.2">
      <c r="A615" s="681" t="s">
        <v>220</v>
      </c>
      <c r="B615" s="681" t="s">
        <v>2351</v>
      </c>
      <c r="C615" s="736" t="s">
        <v>3563</v>
      </c>
      <c r="D615" s="736" t="s">
        <v>3564</v>
      </c>
      <c r="E615" s="683"/>
      <c r="F615" s="685">
        <v>29</v>
      </c>
      <c r="G615" s="737">
        <v>1.7100000000000002</v>
      </c>
      <c r="H615" s="685">
        <v>49.59</v>
      </c>
      <c r="I615" s="672" t="s">
        <v>9218</v>
      </c>
      <c r="J615" s="672" t="s">
        <v>9219</v>
      </c>
      <c r="K615" s="672" t="s">
        <v>2354</v>
      </c>
      <c r="L615" s="672" t="s">
        <v>9219</v>
      </c>
    </row>
    <row r="616" spans="1:12" x14ac:dyDescent="0.2">
      <c r="A616" s="681" t="s">
        <v>220</v>
      </c>
      <c r="B616" s="681" t="s">
        <v>2351</v>
      </c>
      <c r="C616" s="736" t="s">
        <v>3565</v>
      </c>
      <c r="D616" s="736" t="s">
        <v>3566</v>
      </c>
      <c r="E616" s="683"/>
      <c r="F616" s="685">
        <v>44</v>
      </c>
      <c r="G616" s="737">
        <v>2.7879999999999998</v>
      </c>
      <c r="H616" s="685">
        <v>122.672</v>
      </c>
      <c r="I616" s="672" t="s">
        <v>9218</v>
      </c>
      <c r="J616" s="672" t="s">
        <v>9219</v>
      </c>
      <c r="K616" s="672" t="s">
        <v>2354</v>
      </c>
      <c r="L616" s="672" t="s">
        <v>9219</v>
      </c>
    </row>
    <row r="617" spans="1:12" x14ac:dyDescent="0.2">
      <c r="A617" s="681" t="s">
        <v>220</v>
      </c>
      <c r="B617" s="681" t="s">
        <v>2351</v>
      </c>
      <c r="C617" s="736" t="s">
        <v>3567</v>
      </c>
      <c r="D617" s="736" t="s">
        <v>3568</v>
      </c>
      <c r="E617" s="683"/>
      <c r="F617" s="685">
        <v>5</v>
      </c>
      <c r="G617" s="737">
        <v>7.2479626957759846</v>
      </c>
      <c r="H617" s="685">
        <v>36.239813478879924</v>
      </c>
      <c r="I617" s="672" t="s">
        <v>9218</v>
      </c>
      <c r="J617" s="672" t="s">
        <v>9219</v>
      </c>
      <c r="K617" s="672" t="s">
        <v>2354</v>
      </c>
      <c r="L617" s="672" t="s">
        <v>9219</v>
      </c>
    </row>
    <row r="618" spans="1:12" x14ac:dyDescent="0.2">
      <c r="A618" s="681" t="s">
        <v>220</v>
      </c>
      <c r="B618" s="681" t="s">
        <v>2351</v>
      </c>
      <c r="C618" s="736" t="s">
        <v>3571</v>
      </c>
      <c r="D618" s="736" t="s">
        <v>3572</v>
      </c>
      <c r="E618" s="683"/>
      <c r="F618" s="685">
        <v>18</v>
      </c>
      <c r="G618" s="737">
        <v>13.428499999999998</v>
      </c>
      <c r="H618" s="685">
        <v>241.71299999999997</v>
      </c>
      <c r="I618" s="672" t="s">
        <v>9218</v>
      </c>
      <c r="J618" s="672" t="s">
        <v>9219</v>
      </c>
      <c r="K618" s="672" t="s">
        <v>2354</v>
      </c>
      <c r="L618" s="672" t="s">
        <v>9219</v>
      </c>
    </row>
    <row r="619" spans="1:12" x14ac:dyDescent="0.2">
      <c r="A619" s="681" t="s">
        <v>220</v>
      </c>
      <c r="B619" s="681" t="s">
        <v>2351</v>
      </c>
      <c r="C619" s="736" t="s">
        <v>3573</v>
      </c>
      <c r="D619" s="736" t="s">
        <v>3574</v>
      </c>
      <c r="E619" s="683"/>
      <c r="F619" s="685">
        <v>1</v>
      </c>
      <c r="G619" s="737">
        <v>5.5250000000000004</v>
      </c>
      <c r="H619" s="685">
        <v>5.5250000000000004</v>
      </c>
      <c r="I619" s="672" t="s">
        <v>9218</v>
      </c>
      <c r="J619" s="672" t="s">
        <v>9219</v>
      </c>
      <c r="K619" s="672" t="s">
        <v>2354</v>
      </c>
      <c r="L619" s="672" t="s">
        <v>9219</v>
      </c>
    </row>
    <row r="620" spans="1:12" x14ac:dyDescent="0.2">
      <c r="A620" s="681" t="s">
        <v>220</v>
      </c>
      <c r="B620" s="681" t="s">
        <v>2351</v>
      </c>
      <c r="C620" s="736" t="s">
        <v>2411</v>
      </c>
      <c r="D620" s="736" t="s">
        <v>2412</v>
      </c>
      <c r="E620" s="683"/>
      <c r="F620" s="685">
        <v>35</v>
      </c>
      <c r="G620" s="737">
        <v>2.88</v>
      </c>
      <c r="H620" s="685">
        <v>100.8</v>
      </c>
      <c r="I620" s="672" t="s">
        <v>9218</v>
      </c>
      <c r="J620" s="672" t="s">
        <v>9219</v>
      </c>
      <c r="K620" s="672" t="s">
        <v>2354</v>
      </c>
      <c r="L620" s="672" t="s">
        <v>9219</v>
      </c>
    </row>
    <row r="621" spans="1:12" x14ac:dyDescent="0.2">
      <c r="A621" s="681" t="s">
        <v>220</v>
      </c>
      <c r="B621" s="681" t="s">
        <v>2351</v>
      </c>
      <c r="C621" s="736" t="s">
        <v>3575</v>
      </c>
      <c r="D621" s="736" t="s">
        <v>3576</v>
      </c>
      <c r="E621" s="683"/>
      <c r="F621" s="685">
        <v>6</v>
      </c>
      <c r="G621" s="737">
        <v>2.3111666666666668</v>
      </c>
      <c r="H621" s="685">
        <v>13.867000000000001</v>
      </c>
      <c r="I621" s="672" t="s">
        <v>9218</v>
      </c>
      <c r="J621" s="672" t="s">
        <v>9219</v>
      </c>
      <c r="K621" s="672" t="s">
        <v>2354</v>
      </c>
      <c r="L621" s="672" t="s">
        <v>9219</v>
      </c>
    </row>
    <row r="622" spans="1:12" x14ac:dyDescent="0.2">
      <c r="A622" s="681" t="s">
        <v>220</v>
      </c>
      <c r="B622" s="681" t="s">
        <v>2351</v>
      </c>
      <c r="C622" s="736" t="s">
        <v>3579</v>
      </c>
      <c r="D622" s="736" t="s">
        <v>3580</v>
      </c>
      <c r="E622" s="683"/>
      <c r="F622" s="685">
        <v>18</v>
      </c>
      <c r="G622" s="737">
        <v>2.7454999999999998</v>
      </c>
      <c r="H622" s="685">
        <v>49.418999999999997</v>
      </c>
      <c r="I622" s="672" t="s">
        <v>9218</v>
      </c>
      <c r="J622" s="672" t="s">
        <v>9219</v>
      </c>
      <c r="K622" s="672" t="s">
        <v>2354</v>
      </c>
      <c r="L622" s="672" t="s">
        <v>9219</v>
      </c>
    </row>
    <row r="623" spans="1:12" x14ac:dyDescent="0.2">
      <c r="A623" s="681" t="s">
        <v>220</v>
      </c>
      <c r="B623" s="681" t="s">
        <v>2351</v>
      </c>
      <c r="C623" s="736" t="s">
        <v>3581</v>
      </c>
      <c r="D623" s="736" t="s">
        <v>3582</v>
      </c>
      <c r="E623" s="683"/>
      <c r="F623" s="685">
        <v>30</v>
      </c>
      <c r="G623" s="737">
        <v>2.7879999999999998</v>
      </c>
      <c r="H623" s="685">
        <v>83.64</v>
      </c>
      <c r="I623" s="672" t="s">
        <v>9218</v>
      </c>
      <c r="J623" s="672" t="s">
        <v>9219</v>
      </c>
      <c r="K623" s="672" t="s">
        <v>2354</v>
      </c>
      <c r="L623" s="672" t="s">
        <v>9219</v>
      </c>
    </row>
    <row r="624" spans="1:12" x14ac:dyDescent="0.2">
      <c r="A624" s="681" t="s">
        <v>220</v>
      </c>
      <c r="B624" s="681" t="s">
        <v>2351</v>
      </c>
      <c r="C624" s="736" t="s">
        <v>3583</v>
      </c>
      <c r="D624" s="736" t="s">
        <v>3584</v>
      </c>
      <c r="E624" s="683"/>
      <c r="F624" s="685">
        <v>15</v>
      </c>
      <c r="G624" s="737">
        <v>2.7</v>
      </c>
      <c r="H624" s="685">
        <v>40.5</v>
      </c>
      <c r="I624" s="672" t="s">
        <v>9218</v>
      </c>
      <c r="J624" s="672" t="s">
        <v>9219</v>
      </c>
      <c r="K624" s="672" t="s">
        <v>2354</v>
      </c>
      <c r="L624" s="672" t="s">
        <v>9219</v>
      </c>
    </row>
    <row r="625" spans="1:12" x14ac:dyDescent="0.2">
      <c r="A625" s="681" t="s">
        <v>220</v>
      </c>
      <c r="B625" s="681" t="s">
        <v>2351</v>
      </c>
      <c r="C625" s="736" t="s">
        <v>3585</v>
      </c>
      <c r="D625" s="736" t="s">
        <v>3586</v>
      </c>
      <c r="E625" s="683"/>
      <c r="F625" s="685">
        <v>12</v>
      </c>
      <c r="G625" s="737">
        <v>2.8220000000000001</v>
      </c>
      <c r="H625" s="685">
        <v>33.864000000000004</v>
      </c>
      <c r="I625" s="672" t="s">
        <v>9218</v>
      </c>
      <c r="J625" s="672" t="s">
        <v>9219</v>
      </c>
      <c r="K625" s="672" t="s">
        <v>2354</v>
      </c>
      <c r="L625" s="672" t="s">
        <v>9219</v>
      </c>
    </row>
    <row r="626" spans="1:12" x14ac:dyDescent="0.2">
      <c r="A626" s="681" t="s">
        <v>220</v>
      </c>
      <c r="B626" s="681" t="s">
        <v>2351</v>
      </c>
      <c r="C626" s="736" t="s">
        <v>3587</v>
      </c>
      <c r="D626" s="736" t="s">
        <v>3588</v>
      </c>
      <c r="E626" s="683"/>
      <c r="F626" s="685">
        <v>16</v>
      </c>
      <c r="G626" s="737">
        <v>2.61</v>
      </c>
      <c r="H626" s="685">
        <v>41.76</v>
      </c>
      <c r="I626" s="672" t="s">
        <v>9218</v>
      </c>
      <c r="J626" s="672" t="s">
        <v>9219</v>
      </c>
      <c r="K626" s="672" t="s">
        <v>2354</v>
      </c>
      <c r="L626" s="672" t="s">
        <v>9219</v>
      </c>
    </row>
    <row r="627" spans="1:12" x14ac:dyDescent="0.2">
      <c r="A627" s="681" t="s">
        <v>220</v>
      </c>
      <c r="B627" s="681" t="s">
        <v>2351</v>
      </c>
      <c r="C627" s="736" t="s">
        <v>3589</v>
      </c>
      <c r="D627" s="736" t="s">
        <v>3590</v>
      </c>
      <c r="E627" s="683"/>
      <c r="F627" s="685">
        <v>18</v>
      </c>
      <c r="G627" s="737">
        <v>3.0855000000000001</v>
      </c>
      <c r="H627" s="685">
        <v>55.539000000000001</v>
      </c>
      <c r="I627" s="672" t="s">
        <v>9218</v>
      </c>
      <c r="J627" s="672" t="s">
        <v>9219</v>
      </c>
      <c r="K627" s="672" t="s">
        <v>2354</v>
      </c>
      <c r="L627" s="672" t="s">
        <v>9219</v>
      </c>
    </row>
    <row r="628" spans="1:12" x14ac:dyDescent="0.2">
      <c r="A628" s="681" t="s">
        <v>220</v>
      </c>
      <c r="B628" s="681" t="s">
        <v>2351</v>
      </c>
      <c r="C628" s="736" t="s">
        <v>3591</v>
      </c>
      <c r="D628" s="736" t="s">
        <v>3592</v>
      </c>
      <c r="E628" s="683"/>
      <c r="F628" s="685">
        <v>11</v>
      </c>
      <c r="G628" s="737">
        <v>2.7029999999999998</v>
      </c>
      <c r="H628" s="685">
        <v>29.732999999999997</v>
      </c>
      <c r="I628" s="672" t="s">
        <v>9218</v>
      </c>
      <c r="J628" s="672" t="s">
        <v>9219</v>
      </c>
      <c r="K628" s="672" t="s">
        <v>2354</v>
      </c>
      <c r="L628" s="672" t="s">
        <v>9219</v>
      </c>
    </row>
    <row r="629" spans="1:12" x14ac:dyDescent="0.2">
      <c r="A629" s="681" t="s">
        <v>220</v>
      </c>
      <c r="B629" s="681" t="s">
        <v>2351</v>
      </c>
      <c r="C629" s="736"/>
      <c r="D629" s="736" t="s">
        <v>9684</v>
      </c>
      <c r="E629" s="683"/>
      <c r="F629" s="685">
        <v>35</v>
      </c>
      <c r="G629" s="737">
        <v>4.1529999999999996</v>
      </c>
      <c r="H629" s="685">
        <v>145.35499999999999</v>
      </c>
      <c r="I629" s="672" t="s">
        <v>9218</v>
      </c>
      <c r="J629" s="672" t="s">
        <v>9219</v>
      </c>
      <c r="K629" s="672" t="s">
        <v>2354</v>
      </c>
      <c r="L629" s="672" t="s">
        <v>9219</v>
      </c>
    </row>
    <row r="630" spans="1:12" x14ac:dyDescent="0.2">
      <c r="A630" s="681" t="s">
        <v>220</v>
      </c>
      <c r="B630" s="681" t="s">
        <v>2351</v>
      </c>
      <c r="C630" s="736" t="s">
        <v>3593</v>
      </c>
      <c r="D630" s="736" t="s">
        <v>3594</v>
      </c>
      <c r="E630" s="683"/>
      <c r="F630" s="685">
        <v>13</v>
      </c>
      <c r="G630" s="737">
        <v>3.383</v>
      </c>
      <c r="H630" s="685">
        <v>43.978999999999999</v>
      </c>
      <c r="I630" s="672" t="s">
        <v>9218</v>
      </c>
      <c r="J630" s="672" t="s">
        <v>9219</v>
      </c>
      <c r="K630" s="672" t="s">
        <v>2354</v>
      </c>
      <c r="L630" s="672" t="s">
        <v>9219</v>
      </c>
    </row>
    <row r="631" spans="1:12" x14ac:dyDescent="0.2">
      <c r="A631" s="681" t="s">
        <v>220</v>
      </c>
      <c r="B631" s="681" t="s">
        <v>2351</v>
      </c>
      <c r="C631" s="736" t="s">
        <v>2415</v>
      </c>
      <c r="D631" s="736" t="s">
        <v>2416</v>
      </c>
      <c r="E631" s="683"/>
      <c r="F631" s="685">
        <v>9</v>
      </c>
      <c r="G631" s="737">
        <v>3.84</v>
      </c>
      <c r="H631" s="685">
        <v>34.56</v>
      </c>
      <c r="I631" s="672" t="s">
        <v>9218</v>
      </c>
      <c r="J631" s="672" t="s">
        <v>9219</v>
      </c>
      <c r="K631" s="672" t="s">
        <v>2354</v>
      </c>
      <c r="L631" s="672" t="s">
        <v>9219</v>
      </c>
    </row>
    <row r="632" spans="1:12" x14ac:dyDescent="0.2">
      <c r="A632" s="681" t="s">
        <v>220</v>
      </c>
      <c r="B632" s="681" t="s">
        <v>2351</v>
      </c>
      <c r="C632" s="736" t="s">
        <v>3595</v>
      </c>
      <c r="D632" s="736" t="s">
        <v>3596</v>
      </c>
      <c r="E632" s="683"/>
      <c r="F632" s="685">
        <v>8</v>
      </c>
      <c r="G632" s="737">
        <v>3.2980000000000005</v>
      </c>
      <c r="H632" s="685">
        <v>26.384000000000004</v>
      </c>
      <c r="I632" s="672" t="s">
        <v>9218</v>
      </c>
      <c r="J632" s="672" t="s">
        <v>9219</v>
      </c>
      <c r="K632" s="672" t="s">
        <v>2354</v>
      </c>
      <c r="L632" s="672" t="s">
        <v>9219</v>
      </c>
    </row>
    <row r="633" spans="1:12" x14ac:dyDescent="0.2">
      <c r="A633" s="681" t="s">
        <v>220</v>
      </c>
      <c r="B633" s="681" t="s">
        <v>2351</v>
      </c>
      <c r="C633" s="736" t="s">
        <v>3597</v>
      </c>
      <c r="D633" s="736" t="s">
        <v>3598</v>
      </c>
      <c r="E633" s="683"/>
      <c r="F633" s="685">
        <v>13</v>
      </c>
      <c r="G633" s="737">
        <v>3.077</v>
      </c>
      <c r="H633" s="685">
        <v>40.000999999999998</v>
      </c>
      <c r="I633" s="672" t="s">
        <v>9218</v>
      </c>
      <c r="J633" s="672" t="s">
        <v>9219</v>
      </c>
      <c r="K633" s="672" t="s">
        <v>2354</v>
      </c>
      <c r="L633" s="672" t="s">
        <v>9219</v>
      </c>
    </row>
    <row r="634" spans="1:12" x14ac:dyDescent="0.2">
      <c r="A634" s="681" t="s">
        <v>220</v>
      </c>
      <c r="B634" s="681" t="s">
        <v>2351</v>
      </c>
      <c r="C634" s="736" t="s">
        <v>2431</v>
      </c>
      <c r="D634" s="736" t="s">
        <v>2432</v>
      </c>
      <c r="E634" s="683"/>
      <c r="F634" s="685">
        <v>19</v>
      </c>
      <c r="G634" s="737">
        <v>4.5599999999999996</v>
      </c>
      <c r="H634" s="685">
        <v>86.639999999999986</v>
      </c>
      <c r="I634" s="672" t="s">
        <v>9218</v>
      </c>
      <c r="J634" s="672" t="s">
        <v>9219</v>
      </c>
      <c r="K634" s="672" t="s">
        <v>2354</v>
      </c>
      <c r="L634" s="672" t="s">
        <v>9219</v>
      </c>
    </row>
    <row r="635" spans="1:12" x14ac:dyDescent="0.2">
      <c r="A635" s="681" t="s">
        <v>220</v>
      </c>
      <c r="B635" s="681" t="s">
        <v>2351</v>
      </c>
      <c r="C635" s="736" t="s">
        <v>2440</v>
      </c>
      <c r="D635" s="736" t="s">
        <v>2441</v>
      </c>
      <c r="E635" s="683"/>
      <c r="F635" s="685">
        <v>23</v>
      </c>
      <c r="G635" s="737">
        <v>2.6179999999999999</v>
      </c>
      <c r="H635" s="685">
        <v>60.213999999999999</v>
      </c>
      <c r="I635" s="672" t="s">
        <v>9218</v>
      </c>
      <c r="J635" s="672" t="s">
        <v>9219</v>
      </c>
      <c r="K635" s="672" t="s">
        <v>2354</v>
      </c>
      <c r="L635" s="672" t="s">
        <v>9219</v>
      </c>
    </row>
    <row r="636" spans="1:12" x14ac:dyDescent="0.2">
      <c r="A636" s="681" t="s">
        <v>220</v>
      </c>
      <c r="B636" s="681" t="s">
        <v>2351</v>
      </c>
      <c r="C636" s="736" t="s">
        <v>3609</v>
      </c>
      <c r="D636" s="736" t="s">
        <v>3610</v>
      </c>
      <c r="E636" s="683"/>
      <c r="F636" s="685">
        <v>12</v>
      </c>
      <c r="G636" s="737">
        <v>7.4969999999999999</v>
      </c>
      <c r="H636" s="685">
        <v>89.963999999999999</v>
      </c>
      <c r="I636" s="672" t="s">
        <v>9218</v>
      </c>
      <c r="J636" s="672" t="s">
        <v>9219</v>
      </c>
      <c r="K636" s="672" t="s">
        <v>2354</v>
      </c>
      <c r="L636" s="672" t="s">
        <v>9219</v>
      </c>
    </row>
    <row r="637" spans="1:12" x14ac:dyDescent="0.2">
      <c r="A637" s="681" t="s">
        <v>220</v>
      </c>
      <c r="B637" s="681" t="s">
        <v>2351</v>
      </c>
      <c r="C637" s="736" t="s">
        <v>2433</v>
      </c>
      <c r="D637" s="736" t="s">
        <v>2434</v>
      </c>
      <c r="E637" s="683"/>
      <c r="F637" s="685">
        <v>22</v>
      </c>
      <c r="G637" s="737">
        <v>5.5419999999999998</v>
      </c>
      <c r="H637" s="685">
        <v>121.92399999999999</v>
      </c>
      <c r="I637" s="672" t="s">
        <v>9218</v>
      </c>
      <c r="J637" s="672" t="s">
        <v>9219</v>
      </c>
      <c r="K637" s="672" t="s">
        <v>2354</v>
      </c>
      <c r="L637" s="672" t="s">
        <v>9219</v>
      </c>
    </row>
    <row r="638" spans="1:12" x14ac:dyDescent="0.2">
      <c r="A638" s="681" t="s">
        <v>220</v>
      </c>
      <c r="B638" s="681" t="s">
        <v>2351</v>
      </c>
      <c r="C638" s="736"/>
      <c r="D638" s="736" t="s">
        <v>9362</v>
      </c>
      <c r="E638" s="683"/>
      <c r="F638" s="685">
        <v>5</v>
      </c>
      <c r="G638" s="737">
        <v>21.75</v>
      </c>
      <c r="H638" s="685">
        <v>108.75</v>
      </c>
      <c r="I638" s="672" t="s">
        <v>9218</v>
      </c>
      <c r="J638" s="672" t="s">
        <v>9219</v>
      </c>
      <c r="K638" s="672" t="s">
        <v>2354</v>
      </c>
      <c r="L638" s="672" t="s">
        <v>9219</v>
      </c>
    </row>
    <row r="639" spans="1:12" x14ac:dyDescent="0.2">
      <c r="A639" s="681" t="s">
        <v>220</v>
      </c>
      <c r="B639" s="681" t="s">
        <v>2351</v>
      </c>
      <c r="C639" s="736" t="s">
        <v>3615</v>
      </c>
      <c r="D639" s="736" t="s">
        <v>3616</v>
      </c>
      <c r="E639" s="683"/>
      <c r="F639" s="685">
        <v>18</v>
      </c>
      <c r="G639" s="737">
        <v>8.2278000000000002</v>
      </c>
      <c r="H639" s="685">
        <v>148.10040000000001</v>
      </c>
      <c r="I639" s="672" t="s">
        <v>9218</v>
      </c>
      <c r="J639" s="672" t="s">
        <v>9219</v>
      </c>
      <c r="K639" s="672" t="s">
        <v>2354</v>
      </c>
      <c r="L639" s="672" t="s">
        <v>9219</v>
      </c>
    </row>
    <row r="640" spans="1:12" x14ac:dyDescent="0.2">
      <c r="A640" s="681" t="s">
        <v>220</v>
      </c>
      <c r="B640" s="681" t="s">
        <v>2351</v>
      </c>
      <c r="C640" s="736" t="s">
        <v>3617</v>
      </c>
      <c r="D640" s="736" t="s">
        <v>3618</v>
      </c>
      <c r="E640" s="683"/>
      <c r="F640" s="685">
        <v>5</v>
      </c>
      <c r="G640" s="737">
        <v>2.7040000000000002</v>
      </c>
      <c r="H640" s="685">
        <v>13.520000000000001</v>
      </c>
      <c r="I640" s="672" t="s">
        <v>9218</v>
      </c>
      <c r="J640" s="672" t="s">
        <v>9219</v>
      </c>
      <c r="K640" s="672" t="s">
        <v>2354</v>
      </c>
      <c r="L640" s="672" t="s">
        <v>9219</v>
      </c>
    </row>
    <row r="641" spans="1:12" x14ac:dyDescent="0.2">
      <c r="A641" s="681" t="s">
        <v>220</v>
      </c>
      <c r="B641" s="681" t="s">
        <v>2351</v>
      </c>
      <c r="C641" s="736" t="s">
        <v>3621</v>
      </c>
      <c r="D641" s="736" t="s">
        <v>3622</v>
      </c>
      <c r="E641" s="683"/>
      <c r="F641" s="685">
        <v>26</v>
      </c>
      <c r="G641" s="737">
        <v>3.0179999999999998</v>
      </c>
      <c r="H641" s="685">
        <v>78.467999999999989</v>
      </c>
      <c r="I641" s="672" t="s">
        <v>9218</v>
      </c>
      <c r="J641" s="672" t="s">
        <v>9219</v>
      </c>
      <c r="K641" s="672" t="s">
        <v>2354</v>
      </c>
      <c r="L641" s="672" t="s">
        <v>9219</v>
      </c>
    </row>
    <row r="642" spans="1:12" x14ac:dyDescent="0.2">
      <c r="A642" s="681" t="s">
        <v>220</v>
      </c>
      <c r="B642" s="681" t="s">
        <v>2351</v>
      </c>
      <c r="C642" s="736" t="s">
        <v>2435</v>
      </c>
      <c r="D642" s="736" t="s">
        <v>2436</v>
      </c>
      <c r="E642" s="683"/>
      <c r="F642" s="685">
        <v>16</v>
      </c>
      <c r="G642" s="737">
        <v>6.4550000000000001</v>
      </c>
      <c r="H642" s="685">
        <v>103.28</v>
      </c>
      <c r="I642" s="672" t="s">
        <v>9218</v>
      </c>
      <c r="J642" s="672" t="s">
        <v>9219</v>
      </c>
      <c r="K642" s="672" t="s">
        <v>2354</v>
      </c>
      <c r="L642" s="672" t="s">
        <v>9219</v>
      </c>
    </row>
    <row r="643" spans="1:12" x14ac:dyDescent="0.2">
      <c r="A643" s="681" t="s">
        <v>220</v>
      </c>
      <c r="B643" s="681" t="s">
        <v>2351</v>
      </c>
      <c r="C643" s="736" t="s">
        <v>3627</v>
      </c>
      <c r="D643" s="736" t="s">
        <v>3628</v>
      </c>
      <c r="E643" s="683"/>
      <c r="F643" s="685">
        <v>6</v>
      </c>
      <c r="G643" s="737">
        <v>1.679</v>
      </c>
      <c r="H643" s="685">
        <v>10.074</v>
      </c>
      <c r="I643" s="672" t="s">
        <v>9218</v>
      </c>
      <c r="J643" s="672" t="s">
        <v>9219</v>
      </c>
      <c r="K643" s="672" t="s">
        <v>2354</v>
      </c>
      <c r="L643" s="672" t="s">
        <v>9219</v>
      </c>
    </row>
    <row r="644" spans="1:12" x14ac:dyDescent="0.2">
      <c r="A644" s="681" t="s">
        <v>220</v>
      </c>
      <c r="B644" s="681" t="s">
        <v>2351</v>
      </c>
      <c r="C644" s="736" t="s">
        <v>2421</v>
      </c>
      <c r="D644" s="736" t="s">
        <v>2422</v>
      </c>
      <c r="E644" s="683"/>
      <c r="F644" s="685">
        <v>11</v>
      </c>
      <c r="G644" s="737">
        <v>21.785499999999999</v>
      </c>
      <c r="H644" s="685">
        <v>239.64049999999997</v>
      </c>
      <c r="I644" s="672" t="s">
        <v>9218</v>
      </c>
      <c r="J644" s="672" t="s">
        <v>9219</v>
      </c>
      <c r="K644" s="672" t="s">
        <v>2354</v>
      </c>
      <c r="L644" s="672" t="s">
        <v>9219</v>
      </c>
    </row>
    <row r="645" spans="1:12" x14ac:dyDescent="0.2">
      <c r="A645" s="681" t="s">
        <v>220</v>
      </c>
      <c r="B645" s="681" t="s">
        <v>2351</v>
      </c>
      <c r="C645" s="736" t="s">
        <v>3629</v>
      </c>
      <c r="D645" s="736" t="s">
        <v>3630</v>
      </c>
      <c r="E645" s="683"/>
      <c r="F645" s="685">
        <v>8</v>
      </c>
      <c r="G645" s="737">
        <v>1.1729999999999998</v>
      </c>
      <c r="H645" s="685">
        <v>9.3839999999999986</v>
      </c>
      <c r="I645" s="672" t="s">
        <v>9218</v>
      </c>
      <c r="J645" s="672" t="s">
        <v>9219</v>
      </c>
      <c r="K645" s="672" t="s">
        <v>2354</v>
      </c>
      <c r="L645" s="672" t="s">
        <v>9219</v>
      </c>
    </row>
    <row r="646" spans="1:12" x14ac:dyDescent="0.2">
      <c r="A646" s="681" t="s">
        <v>220</v>
      </c>
      <c r="B646" s="681" t="s">
        <v>2351</v>
      </c>
      <c r="C646" s="736"/>
      <c r="D646" s="736" t="s">
        <v>9363</v>
      </c>
      <c r="E646" s="683"/>
      <c r="F646" s="685">
        <v>11</v>
      </c>
      <c r="G646" s="737">
        <v>8.26</v>
      </c>
      <c r="H646" s="685">
        <v>90.86</v>
      </c>
      <c r="I646" s="672" t="s">
        <v>9218</v>
      </c>
      <c r="J646" s="672" t="s">
        <v>9219</v>
      </c>
      <c r="K646" s="672" t="s">
        <v>2354</v>
      </c>
      <c r="L646" s="672" t="s">
        <v>9219</v>
      </c>
    </row>
    <row r="647" spans="1:12" x14ac:dyDescent="0.2">
      <c r="A647" s="681" t="s">
        <v>220</v>
      </c>
      <c r="B647" s="681" t="s">
        <v>2351</v>
      </c>
      <c r="C647" s="736" t="s">
        <v>3631</v>
      </c>
      <c r="D647" s="736" t="s">
        <v>3632</v>
      </c>
      <c r="E647" s="683"/>
      <c r="F647" s="685">
        <v>10</v>
      </c>
      <c r="G647" s="737">
        <v>1.6872499999999999</v>
      </c>
      <c r="H647" s="685">
        <v>16.872499999999999</v>
      </c>
      <c r="I647" s="672" t="s">
        <v>9218</v>
      </c>
      <c r="J647" s="672" t="s">
        <v>9219</v>
      </c>
      <c r="K647" s="672" t="s">
        <v>2354</v>
      </c>
      <c r="L647" s="672" t="s">
        <v>9219</v>
      </c>
    </row>
    <row r="648" spans="1:12" x14ac:dyDescent="0.2">
      <c r="A648" s="681" t="s">
        <v>220</v>
      </c>
      <c r="B648" s="681" t="s">
        <v>2351</v>
      </c>
      <c r="C648" s="736" t="s">
        <v>3633</v>
      </c>
      <c r="D648" s="736" t="s">
        <v>3634</v>
      </c>
      <c r="E648" s="683"/>
      <c r="F648" s="685">
        <v>10</v>
      </c>
      <c r="G648" s="737">
        <v>14.025</v>
      </c>
      <c r="H648" s="685">
        <v>140.25</v>
      </c>
      <c r="I648" s="672" t="s">
        <v>9218</v>
      </c>
      <c r="J648" s="672" t="s">
        <v>9219</v>
      </c>
      <c r="K648" s="672" t="s">
        <v>2354</v>
      </c>
      <c r="L648" s="672" t="s">
        <v>9219</v>
      </c>
    </row>
    <row r="649" spans="1:12" x14ac:dyDescent="0.2">
      <c r="A649" s="681" t="s">
        <v>220</v>
      </c>
      <c r="B649" s="681" t="s">
        <v>2351</v>
      </c>
      <c r="C649" s="736" t="s">
        <v>2404</v>
      </c>
      <c r="D649" s="736" t="s">
        <v>2405</v>
      </c>
      <c r="E649" s="683"/>
      <c r="F649" s="685">
        <v>3</v>
      </c>
      <c r="G649" s="737">
        <v>13.53</v>
      </c>
      <c r="H649" s="685">
        <v>40.589999999999996</v>
      </c>
      <c r="I649" s="672" t="s">
        <v>9218</v>
      </c>
      <c r="J649" s="672" t="s">
        <v>9219</v>
      </c>
      <c r="K649" s="672" t="s">
        <v>2354</v>
      </c>
      <c r="L649" s="672" t="s">
        <v>9219</v>
      </c>
    </row>
    <row r="650" spans="1:12" x14ac:dyDescent="0.2">
      <c r="A650" s="681" t="s">
        <v>220</v>
      </c>
      <c r="B650" s="681" t="s">
        <v>2351</v>
      </c>
      <c r="C650" s="736" t="s">
        <v>3637</v>
      </c>
      <c r="D650" s="736" t="s">
        <v>3638</v>
      </c>
      <c r="E650" s="683"/>
      <c r="F650" s="685">
        <v>31</v>
      </c>
      <c r="G650" s="737">
        <v>1.6830000000000001</v>
      </c>
      <c r="H650" s="685">
        <v>52.173000000000002</v>
      </c>
      <c r="I650" s="672" t="s">
        <v>9218</v>
      </c>
      <c r="J650" s="672" t="s">
        <v>9219</v>
      </c>
      <c r="K650" s="672" t="s">
        <v>2354</v>
      </c>
      <c r="L650" s="672" t="s">
        <v>9219</v>
      </c>
    </row>
    <row r="651" spans="1:12" x14ac:dyDescent="0.2">
      <c r="A651" s="681" t="s">
        <v>220</v>
      </c>
      <c r="B651" s="681" t="s">
        <v>2351</v>
      </c>
      <c r="C651" s="736" t="s">
        <v>3639</v>
      </c>
      <c r="D651" s="736" t="s">
        <v>3640</v>
      </c>
      <c r="E651" s="683"/>
      <c r="F651" s="685">
        <v>34</v>
      </c>
      <c r="G651" s="737">
        <v>1.9935000000000003</v>
      </c>
      <c r="H651" s="685">
        <v>67.779000000000011</v>
      </c>
      <c r="I651" s="672" t="s">
        <v>9218</v>
      </c>
      <c r="J651" s="672" t="s">
        <v>9219</v>
      </c>
      <c r="K651" s="672" t="s">
        <v>2354</v>
      </c>
      <c r="L651" s="672" t="s">
        <v>9219</v>
      </c>
    </row>
    <row r="652" spans="1:12" x14ac:dyDescent="0.2">
      <c r="A652" s="681" t="s">
        <v>220</v>
      </c>
      <c r="B652" s="681" t="s">
        <v>2351</v>
      </c>
      <c r="C652" s="736" t="s">
        <v>3641</v>
      </c>
      <c r="D652" s="736" t="s">
        <v>3642</v>
      </c>
      <c r="E652" s="683"/>
      <c r="F652" s="685">
        <v>16</v>
      </c>
      <c r="G652" s="737">
        <v>2.8834363636363638</v>
      </c>
      <c r="H652" s="685">
        <v>46.134981818181821</v>
      </c>
      <c r="I652" s="672" t="s">
        <v>9218</v>
      </c>
      <c r="J652" s="672" t="s">
        <v>9219</v>
      </c>
      <c r="K652" s="672" t="s">
        <v>2354</v>
      </c>
      <c r="L652" s="672" t="s">
        <v>9219</v>
      </c>
    </row>
    <row r="653" spans="1:12" x14ac:dyDescent="0.2">
      <c r="A653" s="681" t="s">
        <v>220</v>
      </c>
      <c r="B653" s="681" t="s">
        <v>2351</v>
      </c>
      <c r="C653" s="736" t="s">
        <v>3643</v>
      </c>
      <c r="D653" s="736" t="s">
        <v>3644</v>
      </c>
      <c r="E653" s="683"/>
      <c r="F653" s="685">
        <v>5</v>
      </c>
      <c r="G653" s="737">
        <v>5.4660000000000002</v>
      </c>
      <c r="H653" s="685">
        <v>27.330000000000002</v>
      </c>
      <c r="I653" s="672" t="s">
        <v>9218</v>
      </c>
      <c r="J653" s="672" t="s">
        <v>9219</v>
      </c>
      <c r="K653" s="672" t="s">
        <v>2354</v>
      </c>
      <c r="L653" s="672" t="s">
        <v>9219</v>
      </c>
    </row>
    <row r="654" spans="1:12" x14ac:dyDescent="0.2">
      <c r="A654" s="681" t="s">
        <v>220</v>
      </c>
      <c r="B654" s="681" t="s">
        <v>2351</v>
      </c>
      <c r="C654" s="736" t="s">
        <v>3649</v>
      </c>
      <c r="D654" s="736" t="s">
        <v>3650</v>
      </c>
      <c r="E654" s="683"/>
      <c r="F654" s="685">
        <v>25</v>
      </c>
      <c r="G654" s="737">
        <v>4.93</v>
      </c>
      <c r="H654" s="685">
        <v>123.25</v>
      </c>
      <c r="I654" s="672" t="s">
        <v>9218</v>
      </c>
      <c r="J654" s="672" t="s">
        <v>9219</v>
      </c>
      <c r="K654" s="672" t="s">
        <v>2354</v>
      </c>
      <c r="L654" s="672" t="s">
        <v>9219</v>
      </c>
    </row>
    <row r="655" spans="1:12" x14ac:dyDescent="0.2">
      <c r="A655" s="681" t="s">
        <v>220</v>
      </c>
      <c r="B655" s="681" t="s">
        <v>2351</v>
      </c>
      <c r="C655" s="736" t="s">
        <v>3651</v>
      </c>
      <c r="D655" s="736" t="s">
        <v>3652</v>
      </c>
      <c r="E655" s="683"/>
      <c r="F655" s="685">
        <v>31</v>
      </c>
      <c r="G655" s="737">
        <v>1.848857142857143</v>
      </c>
      <c r="H655" s="685">
        <v>57.314571428571433</v>
      </c>
      <c r="I655" s="672" t="s">
        <v>9218</v>
      </c>
      <c r="J655" s="672" t="s">
        <v>9219</v>
      </c>
      <c r="K655" s="672" t="s">
        <v>2354</v>
      </c>
      <c r="L655" s="672" t="s">
        <v>9219</v>
      </c>
    </row>
    <row r="656" spans="1:12" x14ac:dyDescent="0.2">
      <c r="A656" s="681" t="s">
        <v>220</v>
      </c>
      <c r="B656" s="681" t="s">
        <v>2351</v>
      </c>
      <c r="C656" s="736" t="s">
        <v>3653</v>
      </c>
      <c r="D656" s="736" t="s">
        <v>3654</v>
      </c>
      <c r="E656" s="683"/>
      <c r="F656" s="685">
        <v>16</v>
      </c>
      <c r="G656" s="737">
        <v>2.2440000000000002</v>
      </c>
      <c r="H656" s="685">
        <v>35.904000000000003</v>
      </c>
      <c r="I656" s="672" t="s">
        <v>9218</v>
      </c>
      <c r="J656" s="672" t="s">
        <v>9219</v>
      </c>
      <c r="K656" s="672" t="s">
        <v>2354</v>
      </c>
      <c r="L656" s="672" t="s">
        <v>9219</v>
      </c>
    </row>
    <row r="657" spans="1:12" x14ac:dyDescent="0.2">
      <c r="A657" s="681" t="s">
        <v>220</v>
      </c>
      <c r="B657" s="681" t="s">
        <v>2351</v>
      </c>
      <c r="C657" s="736" t="s">
        <v>3655</v>
      </c>
      <c r="D657" s="736" t="s">
        <v>3656</v>
      </c>
      <c r="E657" s="683"/>
      <c r="F657" s="685">
        <v>18</v>
      </c>
      <c r="G657" s="737">
        <v>3.6</v>
      </c>
      <c r="H657" s="685">
        <v>64.8</v>
      </c>
      <c r="I657" s="672" t="s">
        <v>9218</v>
      </c>
      <c r="J657" s="672" t="s">
        <v>9219</v>
      </c>
      <c r="K657" s="672" t="s">
        <v>2354</v>
      </c>
      <c r="L657" s="672" t="s">
        <v>9219</v>
      </c>
    </row>
    <row r="658" spans="1:12" x14ac:dyDescent="0.2">
      <c r="A658" s="681" t="s">
        <v>220</v>
      </c>
      <c r="B658" s="681" t="s">
        <v>2351</v>
      </c>
      <c r="C658" s="736" t="s">
        <v>5402</v>
      </c>
      <c r="D658" s="736" t="s">
        <v>5403</v>
      </c>
      <c r="E658" s="683"/>
      <c r="F658" s="685">
        <v>3</v>
      </c>
      <c r="G658" s="737">
        <v>3.8759999999999999</v>
      </c>
      <c r="H658" s="685">
        <v>11.628</v>
      </c>
      <c r="I658" s="672" t="s">
        <v>9218</v>
      </c>
      <c r="J658" s="672" t="s">
        <v>9219</v>
      </c>
      <c r="K658" s="672" t="s">
        <v>2354</v>
      </c>
      <c r="L658" s="672" t="s">
        <v>9219</v>
      </c>
    </row>
    <row r="659" spans="1:12" x14ac:dyDescent="0.2">
      <c r="A659" s="681" t="s">
        <v>220</v>
      </c>
      <c r="B659" s="681" t="s">
        <v>2351</v>
      </c>
      <c r="C659" s="736" t="s">
        <v>3679</v>
      </c>
      <c r="D659" s="736" t="s">
        <v>3680</v>
      </c>
      <c r="E659" s="683"/>
      <c r="F659" s="685">
        <v>23</v>
      </c>
      <c r="G659" s="737">
        <v>3.927</v>
      </c>
      <c r="H659" s="685">
        <v>90.320999999999998</v>
      </c>
      <c r="I659" s="672" t="s">
        <v>9218</v>
      </c>
      <c r="J659" s="672" t="s">
        <v>9219</v>
      </c>
      <c r="K659" s="672" t="s">
        <v>2354</v>
      </c>
      <c r="L659" s="672" t="s">
        <v>9219</v>
      </c>
    </row>
    <row r="660" spans="1:12" x14ac:dyDescent="0.2">
      <c r="A660" s="681" t="s">
        <v>220</v>
      </c>
      <c r="B660" s="681" t="s">
        <v>2351</v>
      </c>
      <c r="C660" s="736" t="s">
        <v>3681</v>
      </c>
      <c r="D660" s="736" t="s">
        <v>3682</v>
      </c>
      <c r="E660" s="683"/>
      <c r="F660" s="685">
        <v>9</v>
      </c>
      <c r="G660" s="737">
        <v>7.2</v>
      </c>
      <c r="H660" s="685">
        <v>64.8</v>
      </c>
      <c r="I660" s="672" t="s">
        <v>9218</v>
      </c>
      <c r="J660" s="672" t="s">
        <v>9219</v>
      </c>
      <c r="K660" s="672" t="s">
        <v>2354</v>
      </c>
      <c r="L660" s="672" t="s">
        <v>9219</v>
      </c>
    </row>
    <row r="661" spans="1:12" x14ac:dyDescent="0.2">
      <c r="A661" s="681" t="s">
        <v>220</v>
      </c>
      <c r="B661" s="681" t="s">
        <v>2351</v>
      </c>
      <c r="C661" s="736" t="s">
        <v>3727</v>
      </c>
      <c r="D661" s="736" t="s">
        <v>3728</v>
      </c>
      <c r="E661" s="683"/>
      <c r="F661" s="685">
        <v>13</v>
      </c>
      <c r="G661" s="737">
        <v>5.1802306451612896</v>
      </c>
      <c r="H661" s="685">
        <v>67.34299838709677</v>
      </c>
      <c r="I661" s="672" t="s">
        <v>9218</v>
      </c>
      <c r="J661" s="672" t="s">
        <v>9219</v>
      </c>
      <c r="K661" s="672" t="s">
        <v>2354</v>
      </c>
      <c r="L661" s="672" t="s">
        <v>9219</v>
      </c>
    </row>
    <row r="662" spans="1:12" x14ac:dyDescent="0.2">
      <c r="A662" s="681" t="s">
        <v>220</v>
      </c>
      <c r="B662" s="681" t="s">
        <v>2351</v>
      </c>
      <c r="C662" s="736" t="s">
        <v>3729</v>
      </c>
      <c r="D662" s="736" t="s">
        <v>3730</v>
      </c>
      <c r="E662" s="683"/>
      <c r="F662" s="685">
        <v>33</v>
      </c>
      <c r="G662" s="737">
        <v>2.7116999999999996</v>
      </c>
      <c r="H662" s="685">
        <v>89.486099999999979</v>
      </c>
      <c r="I662" s="672" t="s">
        <v>9218</v>
      </c>
      <c r="J662" s="672" t="s">
        <v>9219</v>
      </c>
      <c r="K662" s="672" t="s">
        <v>2354</v>
      </c>
      <c r="L662" s="672" t="s">
        <v>9219</v>
      </c>
    </row>
    <row r="663" spans="1:12" x14ac:dyDescent="0.2">
      <c r="A663" s="681" t="s">
        <v>220</v>
      </c>
      <c r="B663" s="681" t="s">
        <v>2351</v>
      </c>
      <c r="C663" s="736" t="s">
        <v>3731</v>
      </c>
      <c r="D663" s="736" t="s">
        <v>3732</v>
      </c>
      <c r="E663" s="683"/>
      <c r="F663" s="685">
        <v>18</v>
      </c>
      <c r="G663" s="737">
        <v>2.3933750000000003</v>
      </c>
      <c r="H663" s="685">
        <v>43.080750000000002</v>
      </c>
      <c r="I663" s="672" t="s">
        <v>9218</v>
      </c>
      <c r="J663" s="672" t="s">
        <v>9219</v>
      </c>
      <c r="K663" s="672" t="s">
        <v>2354</v>
      </c>
      <c r="L663" s="672" t="s">
        <v>9219</v>
      </c>
    </row>
    <row r="664" spans="1:12" x14ac:dyDescent="0.2">
      <c r="A664" s="681" t="s">
        <v>220</v>
      </c>
      <c r="B664" s="681" t="s">
        <v>2351</v>
      </c>
      <c r="C664" s="736" t="s">
        <v>3733</v>
      </c>
      <c r="D664" s="736" t="s">
        <v>3734</v>
      </c>
      <c r="E664" s="683"/>
      <c r="F664" s="685">
        <v>20</v>
      </c>
      <c r="G664" s="737">
        <v>5.2429499999999996</v>
      </c>
      <c r="H664" s="685">
        <v>104.85899999999999</v>
      </c>
      <c r="I664" s="672" t="s">
        <v>9218</v>
      </c>
      <c r="J664" s="672" t="s">
        <v>9219</v>
      </c>
      <c r="K664" s="672" t="s">
        <v>2354</v>
      </c>
      <c r="L664" s="672" t="s">
        <v>9219</v>
      </c>
    </row>
    <row r="665" spans="1:12" x14ac:dyDescent="0.2">
      <c r="A665" s="681" t="s">
        <v>220</v>
      </c>
      <c r="B665" s="681" t="s">
        <v>2351</v>
      </c>
      <c r="C665" s="736" t="s">
        <v>3735</v>
      </c>
      <c r="D665" s="736" t="s">
        <v>3736</v>
      </c>
      <c r="E665" s="683"/>
      <c r="F665" s="685">
        <v>6</v>
      </c>
      <c r="G665" s="737">
        <v>8.2799999999999994</v>
      </c>
      <c r="H665" s="685">
        <v>49.679999999999993</v>
      </c>
      <c r="I665" s="672" t="s">
        <v>9218</v>
      </c>
      <c r="J665" s="672" t="s">
        <v>9219</v>
      </c>
      <c r="K665" s="672" t="s">
        <v>2354</v>
      </c>
      <c r="L665" s="672" t="s">
        <v>9219</v>
      </c>
    </row>
    <row r="666" spans="1:12" x14ac:dyDescent="0.2">
      <c r="A666" s="681" t="s">
        <v>220</v>
      </c>
      <c r="B666" s="681" t="s">
        <v>2351</v>
      </c>
      <c r="C666" s="736" t="s">
        <v>3899</v>
      </c>
      <c r="D666" s="736" t="s">
        <v>3900</v>
      </c>
      <c r="E666" s="683"/>
      <c r="F666" s="685">
        <v>32</v>
      </c>
      <c r="G666" s="737">
        <v>5.7948750000000002</v>
      </c>
      <c r="H666" s="685">
        <v>185.43600000000001</v>
      </c>
      <c r="I666" s="672" t="s">
        <v>9218</v>
      </c>
      <c r="J666" s="672" t="s">
        <v>9219</v>
      </c>
      <c r="K666" s="672" t="s">
        <v>2354</v>
      </c>
      <c r="L666" s="672" t="s">
        <v>9219</v>
      </c>
    </row>
    <row r="667" spans="1:12" x14ac:dyDescent="0.2">
      <c r="A667" s="681" t="s">
        <v>220</v>
      </c>
      <c r="B667" s="681" t="s">
        <v>2351</v>
      </c>
      <c r="C667" s="736" t="s">
        <v>3901</v>
      </c>
      <c r="D667" s="736" t="s">
        <v>3902</v>
      </c>
      <c r="E667" s="683"/>
      <c r="F667" s="685">
        <v>49</v>
      </c>
      <c r="G667" s="737">
        <v>7.5750000000000002</v>
      </c>
      <c r="H667" s="685">
        <v>371.17500000000001</v>
      </c>
      <c r="I667" s="672" t="s">
        <v>9218</v>
      </c>
      <c r="J667" s="672" t="s">
        <v>9219</v>
      </c>
      <c r="K667" s="672" t="s">
        <v>2354</v>
      </c>
      <c r="L667" s="672" t="s">
        <v>9219</v>
      </c>
    </row>
    <row r="668" spans="1:12" x14ac:dyDescent="0.2">
      <c r="A668" s="681" t="s">
        <v>220</v>
      </c>
      <c r="B668" s="681" t="s">
        <v>2351</v>
      </c>
      <c r="C668" s="736" t="s">
        <v>3903</v>
      </c>
      <c r="D668" s="736" t="s">
        <v>3904</v>
      </c>
      <c r="E668" s="683"/>
      <c r="F668" s="685">
        <v>41</v>
      </c>
      <c r="G668" s="737">
        <v>6.1554726368159205</v>
      </c>
      <c r="H668" s="685">
        <v>252.37437810945275</v>
      </c>
      <c r="I668" s="672" t="s">
        <v>9218</v>
      </c>
      <c r="J668" s="672" t="s">
        <v>9219</v>
      </c>
      <c r="K668" s="672" t="s">
        <v>2354</v>
      </c>
      <c r="L668" s="672" t="s">
        <v>9219</v>
      </c>
    </row>
    <row r="669" spans="1:12" x14ac:dyDescent="0.2">
      <c r="A669" s="681" t="s">
        <v>220</v>
      </c>
      <c r="B669" s="681" t="s">
        <v>2351</v>
      </c>
      <c r="C669" s="736" t="s">
        <v>3909</v>
      </c>
      <c r="D669" s="736" t="s">
        <v>3910</v>
      </c>
      <c r="E669" s="683"/>
      <c r="F669" s="685">
        <v>179</v>
      </c>
      <c r="G669" s="737">
        <v>4.103131067961165</v>
      </c>
      <c r="H669" s="685">
        <v>734.46046116504851</v>
      </c>
      <c r="I669" s="672" t="s">
        <v>9218</v>
      </c>
      <c r="J669" s="672" t="s">
        <v>9219</v>
      </c>
      <c r="K669" s="672" t="s">
        <v>2354</v>
      </c>
      <c r="L669" s="672" t="s">
        <v>9219</v>
      </c>
    </row>
    <row r="670" spans="1:12" x14ac:dyDescent="0.2">
      <c r="A670" s="681" t="s">
        <v>220</v>
      </c>
      <c r="B670" s="681" t="s">
        <v>2351</v>
      </c>
      <c r="C670" s="736" t="s">
        <v>3911</v>
      </c>
      <c r="D670" s="736" t="s">
        <v>3912</v>
      </c>
      <c r="E670" s="683"/>
      <c r="F670" s="685">
        <v>53</v>
      </c>
      <c r="G670" s="737">
        <v>3.7033333333333331</v>
      </c>
      <c r="H670" s="685">
        <v>196.27666666666664</v>
      </c>
      <c r="I670" s="672" t="s">
        <v>9218</v>
      </c>
      <c r="J670" s="672" t="s">
        <v>9219</v>
      </c>
      <c r="K670" s="672" t="s">
        <v>2354</v>
      </c>
      <c r="L670" s="672" t="s">
        <v>9219</v>
      </c>
    </row>
    <row r="671" spans="1:12" x14ac:dyDescent="0.2">
      <c r="A671" s="681" t="s">
        <v>220</v>
      </c>
      <c r="B671" s="681" t="s">
        <v>2351</v>
      </c>
      <c r="C671" s="736" t="s">
        <v>3915</v>
      </c>
      <c r="D671" s="736" t="s">
        <v>10142</v>
      </c>
      <c r="E671" s="683"/>
      <c r="F671" s="685">
        <v>96</v>
      </c>
      <c r="G671" s="737">
        <v>0</v>
      </c>
      <c r="H671" s="685">
        <v>0</v>
      </c>
      <c r="I671" s="672" t="s">
        <v>9218</v>
      </c>
      <c r="J671" s="672" t="s">
        <v>9219</v>
      </c>
      <c r="K671" s="672" t="s">
        <v>2354</v>
      </c>
      <c r="L671" s="672" t="s">
        <v>9219</v>
      </c>
    </row>
    <row r="672" spans="1:12" x14ac:dyDescent="0.2">
      <c r="A672" s="681" t="s">
        <v>220</v>
      </c>
      <c r="B672" s="681" t="s">
        <v>2351</v>
      </c>
      <c r="C672" s="736" t="s">
        <v>5374</v>
      </c>
      <c r="D672" s="736" t="s">
        <v>5375</v>
      </c>
      <c r="E672" s="683"/>
      <c r="F672" s="685">
        <v>23</v>
      </c>
      <c r="G672" s="737">
        <v>2.8799999999999999E-2</v>
      </c>
      <c r="H672" s="685">
        <v>0.66239999999999999</v>
      </c>
      <c r="I672" s="672" t="s">
        <v>9218</v>
      </c>
      <c r="J672" s="672" t="s">
        <v>9219</v>
      </c>
      <c r="K672" s="672" t="s">
        <v>2354</v>
      </c>
      <c r="L672" s="672" t="s">
        <v>9219</v>
      </c>
    </row>
    <row r="673" spans="1:12" x14ac:dyDescent="0.2">
      <c r="A673" s="681" t="s">
        <v>220</v>
      </c>
      <c r="B673" s="681" t="s">
        <v>2351</v>
      </c>
      <c r="C673" s="736" t="s">
        <v>3959</v>
      </c>
      <c r="D673" s="736" t="s">
        <v>3960</v>
      </c>
      <c r="E673" s="683" t="s">
        <v>10136</v>
      </c>
      <c r="F673" s="685">
        <v>80</v>
      </c>
      <c r="G673" s="737">
        <v>0.31363636363636366</v>
      </c>
      <c r="H673" s="685">
        <v>25.090909090909093</v>
      </c>
      <c r="I673" s="672" t="s">
        <v>9218</v>
      </c>
      <c r="J673" s="672" t="s">
        <v>9219</v>
      </c>
      <c r="K673" s="672" t="s">
        <v>2354</v>
      </c>
      <c r="L673" s="672" t="s">
        <v>9219</v>
      </c>
    </row>
    <row r="674" spans="1:12" x14ac:dyDescent="0.2">
      <c r="A674" s="681" t="s">
        <v>220</v>
      </c>
      <c r="B674" s="681" t="s">
        <v>2351</v>
      </c>
      <c r="C674" s="736" t="s">
        <v>3961</v>
      </c>
      <c r="D674" s="736" t="s">
        <v>3962</v>
      </c>
      <c r="E674" s="683" t="s">
        <v>10136</v>
      </c>
      <c r="F674" s="685">
        <v>40</v>
      </c>
      <c r="G674" s="737">
        <v>0.96513000000000004</v>
      </c>
      <c r="H674" s="685">
        <v>38.605200000000004</v>
      </c>
      <c r="I674" s="672" t="s">
        <v>9218</v>
      </c>
      <c r="J674" s="672" t="s">
        <v>9219</v>
      </c>
      <c r="K674" s="672" t="s">
        <v>2354</v>
      </c>
      <c r="L674" s="672" t="s">
        <v>9219</v>
      </c>
    </row>
    <row r="675" spans="1:12" x14ac:dyDescent="0.2">
      <c r="A675" s="681" t="s">
        <v>220</v>
      </c>
      <c r="B675" s="681" t="s">
        <v>2351</v>
      </c>
      <c r="C675" s="736" t="s">
        <v>3963</v>
      </c>
      <c r="D675" s="736" t="s">
        <v>3964</v>
      </c>
      <c r="E675" s="683"/>
      <c r="F675" s="685">
        <v>20</v>
      </c>
      <c r="G675" s="737">
        <v>1.1257200000000001</v>
      </c>
      <c r="H675" s="685">
        <v>22.514400000000002</v>
      </c>
      <c r="I675" s="672" t="s">
        <v>9218</v>
      </c>
      <c r="J675" s="672" t="s">
        <v>9219</v>
      </c>
      <c r="K675" s="672" t="s">
        <v>2354</v>
      </c>
      <c r="L675" s="672" t="s">
        <v>9219</v>
      </c>
    </row>
    <row r="676" spans="1:12" x14ac:dyDescent="0.2">
      <c r="A676" s="681" t="s">
        <v>220</v>
      </c>
      <c r="B676" s="681" t="s">
        <v>2351</v>
      </c>
      <c r="C676" s="736" t="s">
        <v>3965</v>
      </c>
      <c r="D676" s="736" t="s">
        <v>3966</v>
      </c>
      <c r="E676" s="683"/>
      <c r="F676" s="685">
        <v>36</v>
      </c>
      <c r="G676" s="737">
        <v>0.34026000000000001</v>
      </c>
      <c r="H676" s="685">
        <v>12.249359999999999</v>
      </c>
      <c r="I676" s="672" t="s">
        <v>9218</v>
      </c>
      <c r="J676" s="672" t="s">
        <v>9219</v>
      </c>
      <c r="K676" s="672" t="s">
        <v>2354</v>
      </c>
      <c r="L676" s="672" t="s">
        <v>9219</v>
      </c>
    </row>
    <row r="677" spans="1:12" x14ac:dyDescent="0.2">
      <c r="A677" s="681" t="s">
        <v>220</v>
      </c>
      <c r="B677" s="681" t="s">
        <v>2351</v>
      </c>
      <c r="C677" s="736" t="s">
        <v>3967</v>
      </c>
      <c r="D677" s="736" t="s">
        <v>3968</v>
      </c>
      <c r="E677" s="683"/>
      <c r="F677" s="685">
        <v>42</v>
      </c>
      <c r="G677" s="737">
        <v>0.61002999999999996</v>
      </c>
      <c r="H677" s="685">
        <v>25.621259999999999</v>
      </c>
      <c r="I677" s="672" t="s">
        <v>9218</v>
      </c>
      <c r="J677" s="672" t="s">
        <v>9219</v>
      </c>
      <c r="K677" s="672" t="s">
        <v>2354</v>
      </c>
      <c r="L677" s="672" t="s">
        <v>9219</v>
      </c>
    </row>
    <row r="678" spans="1:12" x14ac:dyDescent="0.2">
      <c r="A678" s="681" t="s">
        <v>220</v>
      </c>
      <c r="B678" s="681" t="s">
        <v>2351</v>
      </c>
      <c r="C678" s="736"/>
      <c r="D678" s="736" t="s">
        <v>9364</v>
      </c>
      <c r="E678" s="683"/>
      <c r="F678" s="685">
        <v>50</v>
      </c>
      <c r="G678" s="737">
        <v>2.8450000000000002</v>
      </c>
      <c r="H678" s="685">
        <v>142.25</v>
      </c>
      <c r="I678" s="672" t="s">
        <v>9218</v>
      </c>
      <c r="J678" s="672" t="s">
        <v>9219</v>
      </c>
      <c r="K678" s="672" t="s">
        <v>2354</v>
      </c>
      <c r="L678" s="672" t="s">
        <v>9219</v>
      </c>
    </row>
    <row r="679" spans="1:12" x14ac:dyDescent="0.2">
      <c r="A679" s="681" t="s">
        <v>220</v>
      </c>
      <c r="B679" s="681" t="s">
        <v>2351</v>
      </c>
      <c r="C679" s="736"/>
      <c r="D679" s="736" t="s">
        <v>9366</v>
      </c>
      <c r="E679" s="683"/>
      <c r="F679" s="685">
        <v>100</v>
      </c>
      <c r="G679" s="737">
        <v>2.218</v>
      </c>
      <c r="H679" s="685">
        <v>221.8</v>
      </c>
      <c r="I679" s="672" t="s">
        <v>9218</v>
      </c>
      <c r="J679" s="672" t="s">
        <v>9219</v>
      </c>
      <c r="K679" s="672" t="s">
        <v>2354</v>
      </c>
      <c r="L679" s="672" t="s">
        <v>9219</v>
      </c>
    </row>
    <row r="680" spans="1:12" x14ac:dyDescent="0.2">
      <c r="A680" s="681" t="s">
        <v>220</v>
      </c>
      <c r="B680" s="681" t="s">
        <v>2351</v>
      </c>
      <c r="C680" s="736"/>
      <c r="D680" s="736" t="s">
        <v>9367</v>
      </c>
      <c r="E680" s="683"/>
      <c r="F680" s="685">
        <v>63</v>
      </c>
      <c r="G680" s="737">
        <v>3.4580000000000002</v>
      </c>
      <c r="H680" s="685">
        <v>217.85400000000001</v>
      </c>
      <c r="I680" s="672" t="s">
        <v>9218</v>
      </c>
      <c r="J680" s="672" t="s">
        <v>9219</v>
      </c>
      <c r="K680" s="672" t="s">
        <v>2354</v>
      </c>
      <c r="L680" s="672" t="s">
        <v>9219</v>
      </c>
    </row>
    <row r="681" spans="1:12" x14ac:dyDescent="0.2">
      <c r="A681" s="681" t="s">
        <v>220</v>
      </c>
      <c r="B681" s="681" t="s">
        <v>2351</v>
      </c>
      <c r="C681" s="736" t="s">
        <v>3971</v>
      </c>
      <c r="D681" s="736" t="s">
        <v>3972</v>
      </c>
      <c r="E681" s="683"/>
      <c r="F681" s="685">
        <v>35</v>
      </c>
      <c r="G681" s="737">
        <v>8.6093200000000003</v>
      </c>
      <c r="H681" s="685">
        <v>301.32620000000003</v>
      </c>
      <c r="I681" s="672" t="s">
        <v>9218</v>
      </c>
      <c r="J681" s="672" t="s">
        <v>9219</v>
      </c>
      <c r="K681" s="672" t="s">
        <v>2354</v>
      </c>
      <c r="L681" s="672" t="s">
        <v>9219</v>
      </c>
    </row>
    <row r="682" spans="1:12" x14ac:dyDescent="0.2">
      <c r="A682" s="681" t="s">
        <v>220</v>
      </c>
      <c r="B682" s="681" t="s">
        <v>2351</v>
      </c>
      <c r="C682" s="736" t="s">
        <v>3973</v>
      </c>
      <c r="D682" s="736" t="s">
        <v>3974</v>
      </c>
      <c r="E682" s="683"/>
      <c r="F682" s="685">
        <v>60</v>
      </c>
      <c r="G682" s="737">
        <v>19.754000000000001</v>
      </c>
      <c r="H682" s="685">
        <v>1185.24</v>
      </c>
      <c r="I682" s="672" t="s">
        <v>9218</v>
      </c>
      <c r="J682" s="672" t="s">
        <v>9219</v>
      </c>
      <c r="K682" s="672" t="s">
        <v>2354</v>
      </c>
      <c r="L682" s="672" t="s">
        <v>9219</v>
      </c>
    </row>
    <row r="683" spans="1:12" x14ac:dyDescent="0.2">
      <c r="A683" s="681" t="s">
        <v>220</v>
      </c>
      <c r="B683" s="681" t="s">
        <v>2351</v>
      </c>
      <c r="C683" s="736" t="s">
        <v>3977</v>
      </c>
      <c r="D683" s="736" t="s">
        <v>3978</v>
      </c>
      <c r="E683" s="683"/>
      <c r="F683" s="685">
        <v>52</v>
      </c>
      <c r="G683" s="737">
        <v>3.0068999999999999</v>
      </c>
      <c r="H683" s="685">
        <v>156.3588</v>
      </c>
      <c r="I683" s="672" t="s">
        <v>9218</v>
      </c>
      <c r="J683" s="672" t="s">
        <v>9219</v>
      </c>
      <c r="K683" s="672" t="s">
        <v>2354</v>
      </c>
      <c r="L683" s="672" t="s">
        <v>9219</v>
      </c>
    </row>
    <row r="684" spans="1:12" x14ac:dyDescent="0.2">
      <c r="A684" s="681" t="s">
        <v>220</v>
      </c>
      <c r="B684" s="681" t="s">
        <v>2351</v>
      </c>
      <c r="C684" s="736" t="s">
        <v>3979</v>
      </c>
      <c r="D684" s="736" t="s">
        <v>3980</v>
      </c>
      <c r="E684" s="683"/>
      <c r="F684" s="685">
        <v>53</v>
      </c>
      <c r="G684" s="737">
        <v>4.0301999999999998</v>
      </c>
      <c r="H684" s="685">
        <v>213.60059999999999</v>
      </c>
      <c r="I684" s="672" t="s">
        <v>9218</v>
      </c>
      <c r="J684" s="672" t="s">
        <v>9219</v>
      </c>
      <c r="K684" s="672" t="s">
        <v>2354</v>
      </c>
      <c r="L684" s="672" t="s">
        <v>9219</v>
      </c>
    </row>
    <row r="685" spans="1:12" x14ac:dyDescent="0.2">
      <c r="A685" s="681" t="s">
        <v>220</v>
      </c>
      <c r="B685" s="681" t="s">
        <v>2351</v>
      </c>
      <c r="C685" s="736" t="s">
        <v>3981</v>
      </c>
      <c r="D685" s="736" t="s">
        <v>3982</v>
      </c>
      <c r="E685" s="683"/>
      <c r="F685" s="685">
        <v>70</v>
      </c>
      <c r="G685" s="737">
        <v>5.67</v>
      </c>
      <c r="H685" s="685">
        <v>396.9</v>
      </c>
      <c r="I685" s="672" t="s">
        <v>9218</v>
      </c>
      <c r="J685" s="672" t="s">
        <v>9219</v>
      </c>
      <c r="K685" s="672" t="s">
        <v>2354</v>
      </c>
      <c r="L685" s="672" t="s">
        <v>9219</v>
      </c>
    </row>
    <row r="686" spans="1:12" x14ac:dyDescent="0.2">
      <c r="A686" s="681" t="s">
        <v>220</v>
      </c>
      <c r="B686" s="681" t="s">
        <v>2351</v>
      </c>
      <c r="C686" s="736" t="s">
        <v>3983</v>
      </c>
      <c r="D686" s="736" t="s">
        <v>3984</v>
      </c>
      <c r="E686" s="683"/>
      <c r="F686" s="685">
        <v>20</v>
      </c>
      <c r="G686" s="737">
        <v>0.61426999999999998</v>
      </c>
      <c r="H686" s="685">
        <v>12.285399999999999</v>
      </c>
      <c r="I686" s="672" t="s">
        <v>9218</v>
      </c>
      <c r="J686" s="672" t="s">
        <v>9219</v>
      </c>
      <c r="K686" s="672" t="s">
        <v>2354</v>
      </c>
      <c r="L686" s="672" t="s">
        <v>9219</v>
      </c>
    </row>
    <row r="687" spans="1:12" x14ac:dyDescent="0.2">
      <c r="A687" s="681" t="s">
        <v>220</v>
      </c>
      <c r="B687" s="681" t="s">
        <v>2351</v>
      </c>
      <c r="C687" s="736" t="s">
        <v>3987</v>
      </c>
      <c r="D687" s="736" t="s">
        <v>3988</v>
      </c>
      <c r="E687" s="683"/>
      <c r="F687" s="685">
        <v>14</v>
      </c>
      <c r="G687" s="737">
        <v>4.0857700000000001</v>
      </c>
      <c r="H687" s="685">
        <v>57.200780000000002</v>
      </c>
      <c r="I687" s="672" t="s">
        <v>9218</v>
      </c>
      <c r="J687" s="672" t="s">
        <v>9219</v>
      </c>
      <c r="K687" s="672" t="s">
        <v>2354</v>
      </c>
      <c r="L687" s="672" t="s">
        <v>9219</v>
      </c>
    </row>
    <row r="688" spans="1:12" x14ac:dyDescent="0.2">
      <c r="A688" s="681" t="s">
        <v>220</v>
      </c>
      <c r="B688" s="681" t="s">
        <v>2351</v>
      </c>
      <c r="C688" s="736" t="s">
        <v>4049</v>
      </c>
      <c r="D688" s="736" t="s">
        <v>4050</v>
      </c>
      <c r="E688" s="683"/>
      <c r="F688" s="685">
        <v>4</v>
      </c>
      <c r="G688" s="737">
        <v>0.68720000000000003</v>
      </c>
      <c r="H688" s="685">
        <v>2.7488000000000001</v>
      </c>
      <c r="I688" s="672" t="s">
        <v>9218</v>
      </c>
      <c r="J688" s="672" t="s">
        <v>9219</v>
      </c>
      <c r="K688" s="672" t="s">
        <v>2354</v>
      </c>
      <c r="L688" s="672" t="s">
        <v>9219</v>
      </c>
    </row>
    <row r="689" spans="1:12" x14ac:dyDescent="0.2">
      <c r="A689" s="681" t="s">
        <v>220</v>
      </c>
      <c r="B689" s="681" t="s">
        <v>2351</v>
      </c>
      <c r="C689" s="736" t="s">
        <v>4051</v>
      </c>
      <c r="D689" s="736" t="s">
        <v>4052</v>
      </c>
      <c r="E689" s="683"/>
      <c r="F689" s="685">
        <v>2</v>
      </c>
      <c r="G689" s="737">
        <v>1.30515</v>
      </c>
      <c r="H689" s="685">
        <v>2.6103000000000001</v>
      </c>
      <c r="I689" s="672" t="s">
        <v>9218</v>
      </c>
      <c r="J689" s="672" t="s">
        <v>9219</v>
      </c>
      <c r="K689" s="672" t="s">
        <v>2354</v>
      </c>
      <c r="L689" s="672" t="s">
        <v>9219</v>
      </c>
    </row>
    <row r="690" spans="1:12" x14ac:dyDescent="0.2">
      <c r="A690" s="681" t="s">
        <v>220</v>
      </c>
      <c r="B690" s="681" t="s">
        <v>2351</v>
      </c>
      <c r="C690" s="736" t="s">
        <v>4053</v>
      </c>
      <c r="D690" s="736" t="s">
        <v>4054</v>
      </c>
      <c r="E690" s="683"/>
      <c r="F690" s="685">
        <v>14</v>
      </c>
      <c r="G690" s="737">
        <v>1.6960000000000002</v>
      </c>
      <c r="H690" s="685">
        <v>23.744000000000003</v>
      </c>
      <c r="I690" s="672" t="s">
        <v>9218</v>
      </c>
      <c r="J690" s="672" t="s">
        <v>9219</v>
      </c>
      <c r="K690" s="672" t="s">
        <v>2354</v>
      </c>
      <c r="L690" s="672" t="s">
        <v>9219</v>
      </c>
    </row>
    <row r="691" spans="1:12" x14ac:dyDescent="0.2">
      <c r="A691" s="681" t="s">
        <v>220</v>
      </c>
      <c r="B691" s="681" t="s">
        <v>2351</v>
      </c>
      <c r="C691" s="736" t="s">
        <v>4055</v>
      </c>
      <c r="D691" s="736" t="s">
        <v>4056</v>
      </c>
      <c r="E691" s="683"/>
      <c r="F691" s="685">
        <v>5</v>
      </c>
      <c r="G691" s="737">
        <v>3.9119999999999999</v>
      </c>
      <c r="H691" s="685">
        <v>19.559999999999999</v>
      </c>
      <c r="I691" s="672" t="s">
        <v>9218</v>
      </c>
      <c r="J691" s="672" t="s">
        <v>9219</v>
      </c>
      <c r="K691" s="672" t="s">
        <v>2354</v>
      </c>
      <c r="L691" s="672" t="s">
        <v>9219</v>
      </c>
    </row>
    <row r="692" spans="1:12" x14ac:dyDescent="0.2">
      <c r="A692" s="681" t="s">
        <v>220</v>
      </c>
      <c r="B692" s="681" t="s">
        <v>2351</v>
      </c>
      <c r="C692" s="736" t="s">
        <v>4057</v>
      </c>
      <c r="D692" s="736" t="s">
        <v>4058</v>
      </c>
      <c r="E692" s="683"/>
      <c r="F692" s="685">
        <v>101</v>
      </c>
      <c r="G692" s="737">
        <v>15.1264</v>
      </c>
      <c r="H692" s="685">
        <v>1527.7664</v>
      </c>
      <c r="I692" s="672" t="s">
        <v>9218</v>
      </c>
      <c r="J692" s="672" t="s">
        <v>9219</v>
      </c>
      <c r="K692" s="672" t="s">
        <v>2354</v>
      </c>
      <c r="L692" s="672" t="s">
        <v>9219</v>
      </c>
    </row>
    <row r="693" spans="1:12" x14ac:dyDescent="0.2">
      <c r="A693" s="681" t="s">
        <v>220</v>
      </c>
      <c r="B693" s="681" t="s">
        <v>2351</v>
      </c>
      <c r="C693" s="736" t="s">
        <v>4059</v>
      </c>
      <c r="D693" s="736" t="s">
        <v>4060</v>
      </c>
      <c r="E693" s="683"/>
      <c r="F693" s="685">
        <v>4</v>
      </c>
      <c r="G693" s="737">
        <v>0.59075</v>
      </c>
      <c r="H693" s="685">
        <v>2.363</v>
      </c>
      <c r="I693" s="672" t="s">
        <v>9218</v>
      </c>
      <c r="J693" s="672" t="s">
        <v>9219</v>
      </c>
      <c r="K693" s="672" t="s">
        <v>2354</v>
      </c>
      <c r="L693" s="672" t="s">
        <v>9219</v>
      </c>
    </row>
    <row r="694" spans="1:12" x14ac:dyDescent="0.2">
      <c r="A694" s="681" t="s">
        <v>220</v>
      </c>
      <c r="B694" s="681" t="s">
        <v>2351</v>
      </c>
      <c r="C694" s="736" t="s">
        <v>4061</v>
      </c>
      <c r="D694" s="736" t="s">
        <v>4062</v>
      </c>
      <c r="E694" s="683"/>
      <c r="F694" s="685">
        <v>5</v>
      </c>
      <c r="G694" s="737">
        <v>7.4999999999999997E-2</v>
      </c>
      <c r="H694" s="685">
        <v>0.375</v>
      </c>
      <c r="I694" s="672" t="s">
        <v>9218</v>
      </c>
      <c r="J694" s="672" t="s">
        <v>9219</v>
      </c>
      <c r="K694" s="672" t="s">
        <v>2354</v>
      </c>
      <c r="L694" s="672" t="s">
        <v>9219</v>
      </c>
    </row>
    <row r="695" spans="1:12" x14ac:dyDescent="0.2">
      <c r="A695" s="681" t="s">
        <v>220</v>
      </c>
      <c r="B695" s="681" t="s">
        <v>2351</v>
      </c>
      <c r="C695" s="736" t="s">
        <v>4063</v>
      </c>
      <c r="D695" s="736" t="s">
        <v>4064</v>
      </c>
      <c r="E695" s="683"/>
      <c r="F695" s="685">
        <v>6</v>
      </c>
      <c r="G695" s="737">
        <v>7.4999999999999997E-2</v>
      </c>
      <c r="H695" s="685">
        <v>0.44999999999999996</v>
      </c>
      <c r="I695" s="672" t="s">
        <v>9218</v>
      </c>
      <c r="J695" s="672" t="s">
        <v>9219</v>
      </c>
      <c r="K695" s="672" t="s">
        <v>2354</v>
      </c>
      <c r="L695" s="672" t="s">
        <v>9219</v>
      </c>
    </row>
    <row r="696" spans="1:12" x14ac:dyDescent="0.2">
      <c r="A696" s="681" t="s">
        <v>220</v>
      </c>
      <c r="B696" s="681" t="s">
        <v>2351</v>
      </c>
      <c r="C696" s="736" t="s">
        <v>4065</v>
      </c>
      <c r="D696" s="736" t="s">
        <v>4066</v>
      </c>
      <c r="E696" s="683"/>
      <c r="F696" s="685">
        <v>4</v>
      </c>
      <c r="G696" s="737">
        <v>0.22196666666666667</v>
      </c>
      <c r="H696" s="685">
        <v>0.88786666666666669</v>
      </c>
      <c r="I696" s="672" t="s">
        <v>9218</v>
      </c>
      <c r="J696" s="672" t="s">
        <v>9219</v>
      </c>
      <c r="K696" s="672" t="s">
        <v>2354</v>
      </c>
      <c r="L696" s="672" t="s">
        <v>9219</v>
      </c>
    </row>
    <row r="697" spans="1:12" x14ac:dyDescent="0.2">
      <c r="A697" s="681" t="s">
        <v>220</v>
      </c>
      <c r="B697" s="681" t="s">
        <v>2351</v>
      </c>
      <c r="C697" s="736" t="s">
        <v>4067</v>
      </c>
      <c r="D697" s="736" t="s">
        <v>4068</v>
      </c>
      <c r="E697" s="683"/>
      <c r="F697" s="685">
        <v>1</v>
      </c>
      <c r="G697" s="737">
        <v>0.19326999999999997</v>
      </c>
      <c r="H697" s="685">
        <v>0.19326999999999997</v>
      </c>
      <c r="I697" s="672" t="s">
        <v>9218</v>
      </c>
      <c r="J697" s="672" t="s">
        <v>9219</v>
      </c>
      <c r="K697" s="672" t="s">
        <v>2354</v>
      </c>
      <c r="L697" s="672" t="s">
        <v>9219</v>
      </c>
    </row>
    <row r="698" spans="1:12" x14ac:dyDescent="0.2">
      <c r="A698" s="681" t="s">
        <v>220</v>
      </c>
      <c r="B698" s="681" t="s">
        <v>2351</v>
      </c>
      <c r="C698" s="736" t="s">
        <v>4069</v>
      </c>
      <c r="D698" s="736" t="s">
        <v>4070</v>
      </c>
      <c r="E698" s="683"/>
      <c r="F698" s="685">
        <v>1</v>
      </c>
      <c r="G698" s="737">
        <v>7.2999999999999995E-2</v>
      </c>
      <c r="H698" s="685">
        <v>7.2999999999999995E-2</v>
      </c>
      <c r="I698" s="672" t="s">
        <v>9218</v>
      </c>
      <c r="J698" s="672" t="s">
        <v>9219</v>
      </c>
      <c r="K698" s="672" t="s">
        <v>2354</v>
      </c>
      <c r="L698" s="672" t="s">
        <v>9219</v>
      </c>
    </row>
    <row r="699" spans="1:12" x14ac:dyDescent="0.2">
      <c r="A699" s="681" t="s">
        <v>220</v>
      </c>
      <c r="B699" s="681" t="s">
        <v>2351</v>
      </c>
      <c r="C699" s="736" t="s">
        <v>4071</v>
      </c>
      <c r="D699" s="736" t="s">
        <v>4072</v>
      </c>
      <c r="E699" s="683"/>
      <c r="F699" s="685">
        <v>3</v>
      </c>
      <c r="G699" s="737">
        <v>0.11814</v>
      </c>
      <c r="H699" s="685">
        <v>0.35441999999999996</v>
      </c>
      <c r="I699" s="672" t="s">
        <v>9218</v>
      </c>
      <c r="J699" s="672" t="s">
        <v>9219</v>
      </c>
      <c r="K699" s="672" t="s">
        <v>2354</v>
      </c>
      <c r="L699" s="672" t="s">
        <v>9219</v>
      </c>
    </row>
    <row r="700" spans="1:12" x14ac:dyDescent="0.2">
      <c r="A700" s="681" t="s">
        <v>220</v>
      </c>
      <c r="B700" s="681" t="s">
        <v>2351</v>
      </c>
      <c r="C700" s="736" t="s">
        <v>4073</v>
      </c>
      <c r="D700" s="736" t="s">
        <v>4074</v>
      </c>
      <c r="E700" s="683"/>
      <c r="F700" s="685">
        <v>12</v>
      </c>
      <c r="G700" s="737">
        <v>0.87570000000000003</v>
      </c>
      <c r="H700" s="685">
        <v>10.5084</v>
      </c>
      <c r="I700" s="672" t="s">
        <v>9218</v>
      </c>
      <c r="J700" s="672" t="s">
        <v>9219</v>
      </c>
      <c r="K700" s="672" t="s">
        <v>2354</v>
      </c>
      <c r="L700" s="672" t="s">
        <v>9219</v>
      </c>
    </row>
    <row r="701" spans="1:12" x14ac:dyDescent="0.2">
      <c r="A701" s="681" t="s">
        <v>220</v>
      </c>
      <c r="B701" s="681" t="s">
        <v>2351</v>
      </c>
      <c r="C701" s="736" t="s">
        <v>4075</v>
      </c>
      <c r="D701" s="736" t="s">
        <v>4076</v>
      </c>
      <c r="E701" s="683"/>
      <c r="F701" s="685">
        <v>4</v>
      </c>
      <c r="G701" s="737">
        <v>0.77371794871794874</v>
      </c>
      <c r="H701" s="685">
        <v>3.094871794871795</v>
      </c>
      <c r="I701" s="672" t="s">
        <v>9218</v>
      </c>
      <c r="J701" s="672" t="s">
        <v>9219</v>
      </c>
      <c r="K701" s="672" t="s">
        <v>2354</v>
      </c>
      <c r="L701" s="672" t="s">
        <v>9219</v>
      </c>
    </row>
    <row r="702" spans="1:12" x14ac:dyDescent="0.2">
      <c r="A702" s="681" t="s">
        <v>220</v>
      </c>
      <c r="B702" s="681" t="s">
        <v>2351</v>
      </c>
      <c r="C702" s="736" t="s">
        <v>4193</v>
      </c>
      <c r="D702" s="736" t="s">
        <v>4194</v>
      </c>
      <c r="E702" s="683"/>
      <c r="F702" s="685">
        <v>3</v>
      </c>
      <c r="G702" s="737">
        <v>20.988800000000001</v>
      </c>
      <c r="H702" s="685">
        <v>62.966400000000007</v>
      </c>
      <c r="I702" s="672" t="s">
        <v>9218</v>
      </c>
      <c r="J702" s="672" t="s">
        <v>9219</v>
      </c>
      <c r="K702" s="672" t="s">
        <v>2354</v>
      </c>
      <c r="L702" s="672" t="s">
        <v>9219</v>
      </c>
    </row>
    <row r="703" spans="1:12" x14ac:dyDescent="0.2">
      <c r="A703" s="681" t="s">
        <v>220</v>
      </c>
      <c r="B703" s="681" t="s">
        <v>2351</v>
      </c>
      <c r="C703" s="736" t="s">
        <v>4195</v>
      </c>
      <c r="D703" s="736" t="s">
        <v>4196</v>
      </c>
      <c r="E703" s="683"/>
      <c r="F703" s="685">
        <v>9</v>
      </c>
      <c r="G703" s="737">
        <v>5.3904857142857141</v>
      </c>
      <c r="H703" s="685">
        <v>48.51437142857143</v>
      </c>
      <c r="I703" s="672" t="s">
        <v>9218</v>
      </c>
      <c r="J703" s="672" t="s">
        <v>9219</v>
      </c>
      <c r="K703" s="672" t="s">
        <v>2354</v>
      </c>
      <c r="L703" s="672" t="s">
        <v>9219</v>
      </c>
    </row>
    <row r="704" spans="1:12" x14ac:dyDescent="0.2">
      <c r="A704" s="681" t="s">
        <v>220</v>
      </c>
      <c r="B704" s="681" t="s">
        <v>2351</v>
      </c>
      <c r="C704" s="736" t="s">
        <v>4197</v>
      </c>
      <c r="D704" s="736" t="s">
        <v>4198</v>
      </c>
      <c r="E704" s="683"/>
      <c r="F704" s="685">
        <v>5</v>
      </c>
      <c r="G704" s="737">
        <v>1.2709999999999999</v>
      </c>
      <c r="H704" s="685">
        <v>6.3549999999999995</v>
      </c>
      <c r="I704" s="672" t="s">
        <v>9218</v>
      </c>
      <c r="J704" s="672" t="s">
        <v>9219</v>
      </c>
      <c r="K704" s="672" t="s">
        <v>2354</v>
      </c>
      <c r="L704" s="672" t="s">
        <v>9219</v>
      </c>
    </row>
    <row r="705" spans="1:12" x14ac:dyDescent="0.2">
      <c r="A705" s="681" t="s">
        <v>220</v>
      </c>
      <c r="B705" s="681" t="s">
        <v>2351</v>
      </c>
      <c r="C705" s="736" t="s">
        <v>4199</v>
      </c>
      <c r="D705" s="736" t="s">
        <v>4200</v>
      </c>
      <c r="E705" s="683"/>
      <c r="F705" s="685">
        <v>1</v>
      </c>
      <c r="G705" s="737">
        <v>5.2329999999999997</v>
      </c>
      <c r="H705" s="685">
        <v>5.2329999999999997</v>
      </c>
      <c r="I705" s="672" t="s">
        <v>9218</v>
      </c>
      <c r="J705" s="672" t="s">
        <v>9219</v>
      </c>
      <c r="K705" s="672" t="s">
        <v>2354</v>
      </c>
      <c r="L705" s="672" t="s">
        <v>9219</v>
      </c>
    </row>
    <row r="706" spans="1:12" x14ac:dyDescent="0.2">
      <c r="A706" s="681" t="s">
        <v>220</v>
      </c>
      <c r="B706" s="681" t="s">
        <v>2351</v>
      </c>
      <c r="C706" s="736" t="s">
        <v>4201</v>
      </c>
      <c r="D706" s="736" t="s">
        <v>4202</v>
      </c>
      <c r="E706" s="683"/>
      <c r="F706" s="685">
        <v>6</v>
      </c>
      <c r="G706" s="737">
        <v>3.4649999999999999</v>
      </c>
      <c r="H706" s="685">
        <v>20.79</v>
      </c>
      <c r="I706" s="672" t="s">
        <v>9218</v>
      </c>
      <c r="J706" s="672" t="s">
        <v>9219</v>
      </c>
      <c r="K706" s="672" t="s">
        <v>2354</v>
      </c>
      <c r="L706" s="672" t="s">
        <v>9219</v>
      </c>
    </row>
    <row r="707" spans="1:12" x14ac:dyDescent="0.2">
      <c r="A707" s="681" t="s">
        <v>220</v>
      </c>
      <c r="B707" s="681" t="s">
        <v>2351</v>
      </c>
      <c r="C707" s="736" t="s">
        <v>4203</v>
      </c>
      <c r="D707" s="736" t="s">
        <v>4204</v>
      </c>
      <c r="E707" s="683"/>
      <c r="F707" s="685">
        <v>4</v>
      </c>
      <c r="G707" s="737">
        <v>5.4135</v>
      </c>
      <c r="H707" s="685">
        <v>21.654</v>
      </c>
      <c r="I707" s="672" t="s">
        <v>9218</v>
      </c>
      <c r="J707" s="672" t="s">
        <v>9219</v>
      </c>
      <c r="K707" s="672" t="s">
        <v>2354</v>
      </c>
      <c r="L707" s="672" t="s">
        <v>9219</v>
      </c>
    </row>
    <row r="708" spans="1:12" x14ac:dyDescent="0.2">
      <c r="A708" s="681" t="s">
        <v>220</v>
      </c>
      <c r="B708" s="681" t="s">
        <v>2351</v>
      </c>
      <c r="C708" s="736" t="s">
        <v>4205</v>
      </c>
      <c r="D708" s="736" t="s">
        <v>4206</v>
      </c>
      <c r="E708" s="683"/>
      <c r="F708" s="685">
        <v>2</v>
      </c>
      <c r="G708" s="737">
        <v>2.0790000000000002</v>
      </c>
      <c r="H708" s="685">
        <v>4.1580000000000004</v>
      </c>
      <c r="I708" s="672" t="s">
        <v>9218</v>
      </c>
      <c r="J708" s="672" t="s">
        <v>9219</v>
      </c>
      <c r="K708" s="672" t="s">
        <v>2354</v>
      </c>
      <c r="L708" s="672" t="s">
        <v>9219</v>
      </c>
    </row>
    <row r="709" spans="1:12" x14ac:dyDescent="0.2">
      <c r="A709" s="681" t="s">
        <v>220</v>
      </c>
      <c r="B709" s="681" t="s">
        <v>2351</v>
      </c>
      <c r="C709" s="736" t="s">
        <v>4207</v>
      </c>
      <c r="D709" s="736" t="s">
        <v>4208</v>
      </c>
      <c r="E709" s="683"/>
      <c r="F709" s="685">
        <v>19</v>
      </c>
      <c r="G709" s="737">
        <v>2.7423000000000002</v>
      </c>
      <c r="H709" s="685">
        <v>52.103700000000003</v>
      </c>
      <c r="I709" s="672" t="s">
        <v>9218</v>
      </c>
      <c r="J709" s="672" t="s">
        <v>9219</v>
      </c>
      <c r="K709" s="672" t="s">
        <v>2354</v>
      </c>
      <c r="L709" s="672" t="s">
        <v>9219</v>
      </c>
    </row>
    <row r="710" spans="1:12" x14ac:dyDescent="0.2">
      <c r="A710" s="681" t="s">
        <v>220</v>
      </c>
      <c r="B710" s="681" t="s">
        <v>2351</v>
      </c>
      <c r="C710" s="736" t="s">
        <v>4211</v>
      </c>
      <c r="D710" s="736" t="s">
        <v>4212</v>
      </c>
      <c r="E710" s="683"/>
      <c r="F710" s="685">
        <v>10</v>
      </c>
      <c r="G710" s="737">
        <v>0.47260000000000002</v>
      </c>
      <c r="H710" s="685">
        <v>4.726</v>
      </c>
      <c r="I710" s="672" t="s">
        <v>9218</v>
      </c>
      <c r="J710" s="672" t="s">
        <v>9219</v>
      </c>
      <c r="K710" s="672" t="s">
        <v>2354</v>
      </c>
      <c r="L710" s="672" t="s">
        <v>9219</v>
      </c>
    </row>
    <row r="711" spans="1:12" x14ac:dyDescent="0.2">
      <c r="A711" s="681" t="s">
        <v>220</v>
      </c>
      <c r="B711" s="681" t="s">
        <v>2351</v>
      </c>
      <c r="C711" s="736" t="s">
        <v>4213</v>
      </c>
      <c r="D711" s="736" t="s">
        <v>4214</v>
      </c>
      <c r="E711" s="683"/>
      <c r="F711" s="685">
        <v>12</v>
      </c>
      <c r="G711" s="737">
        <v>1.1661585365853659</v>
      </c>
      <c r="H711" s="685">
        <v>13.993902439024392</v>
      </c>
      <c r="I711" s="672" t="s">
        <v>9218</v>
      </c>
      <c r="J711" s="672" t="s">
        <v>9219</v>
      </c>
      <c r="K711" s="672" t="s">
        <v>2354</v>
      </c>
      <c r="L711" s="672" t="s">
        <v>9219</v>
      </c>
    </row>
    <row r="712" spans="1:12" x14ac:dyDescent="0.2">
      <c r="A712" s="681" t="s">
        <v>220</v>
      </c>
      <c r="B712" s="681" t="s">
        <v>2351</v>
      </c>
      <c r="C712" s="736" t="s">
        <v>4217</v>
      </c>
      <c r="D712" s="736" t="s">
        <v>4218</v>
      </c>
      <c r="E712" s="683"/>
      <c r="F712" s="685">
        <v>32</v>
      </c>
      <c r="G712" s="737">
        <v>0.28150974025974029</v>
      </c>
      <c r="H712" s="685">
        <v>9.0083116883116894</v>
      </c>
      <c r="I712" s="672" t="s">
        <v>9218</v>
      </c>
      <c r="J712" s="672" t="s">
        <v>9219</v>
      </c>
      <c r="K712" s="672" t="s">
        <v>2354</v>
      </c>
      <c r="L712" s="672" t="s">
        <v>9219</v>
      </c>
    </row>
    <row r="713" spans="1:12" x14ac:dyDescent="0.2">
      <c r="A713" s="681" t="s">
        <v>220</v>
      </c>
      <c r="B713" s="681" t="s">
        <v>2351</v>
      </c>
      <c r="C713" s="736" t="s">
        <v>4395</v>
      </c>
      <c r="D713" s="736" t="s">
        <v>4396</v>
      </c>
      <c r="E713" s="683"/>
      <c r="F713" s="685">
        <v>10</v>
      </c>
      <c r="G713" s="737">
        <v>6.8080000000000007</v>
      </c>
      <c r="H713" s="685">
        <v>68.080000000000013</v>
      </c>
      <c r="I713" s="672" t="s">
        <v>9218</v>
      </c>
      <c r="J713" s="672" t="s">
        <v>9219</v>
      </c>
      <c r="K713" s="672" t="s">
        <v>2354</v>
      </c>
      <c r="L713" s="672" t="s">
        <v>9219</v>
      </c>
    </row>
    <row r="714" spans="1:12" x14ac:dyDescent="0.2">
      <c r="A714" s="681" t="s">
        <v>220</v>
      </c>
      <c r="B714" s="681" t="s">
        <v>2351</v>
      </c>
      <c r="C714" s="736" t="s">
        <v>4405</v>
      </c>
      <c r="D714" s="736" t="s">
        <v>4406</v>
      </c>
      <c r="E714" s="683"/>
      <c r="F714" s="685">
        <v>15</v>
      </c>
      <c r="G714" s="737">
        <v>1.1486666666666665</v>
      </c>
      <c r="H714" s="685">
        <v>17.229999999999997</v>
      </c>
      <c r="I714" s="672" t="s">
        <v>9218</v>
      </c>
      <c r="J714" s="672" t="s">
        <v>9219</v>
      </c>
      <c r="K714" s="672" t="s">
        <v>2354</v>
      </c>
      <c r="L714" s="672" t="s">
        <v>9219</v>
      </c>
    </row>
    <row r="715" spans="1:12" x14ac:dyDescent="0.2">
      <c r="A715" s="681" t="s">
        <v>220</v>
      </c>
      <c r="B715" s="681" t="s">
        <v>2351</v>
      </c>
      <c r="C715" s="736" t="s">
        <v>4425</v>
      </c>
      <c r="D715" s="736" t="s">
        <v>2402</v>
      </c>
      <c r="E715" s="683"/>
      <c r="F715" s="685">
        <v>2</v>
      </c>
      <c r="G715" s="737">
        <v>2.2999999999999998</v>
      </c>
      <c r="H715" s="685">
        <v>4.5999999999999996</v>
      </c>
      <c r="I715" s="672" t="s">
        <v>9218</v>
      </c>
      <c r="J715" s="672" t="s">
        <v>9219</v>
      </c>
      <c r="K715" s="672" t="s">
        <v>2354</v>
      </c>
      <c r="L715" s="672" t="s">
        <v>9219</v>
      </c>
    </row>
    <row r="716" spans="1:12" x14ac:dyDescent="0.2">
      <c r="A716" s="681" t="s">
        <v>220</v>
      </c>
      <c r="B716" s="681" t="s">
        <v>2351</v>
      </c>
      <c r="C716" s="736" t="s">
        <v>4442</v>
      </c>
      <c r="D716" s="736" t="s">
        <v>4443</v>
      </c>
      <c r="E716" s="683"/>
      <c r="F716" s="685">
        <v>10</v>
      </c>
      <c r="G716" s="737">
        <v>0.23452000000000001</v>
      </c>
      <c r="H716" s="685">
        <v>2.3452000000000002</v>
      </c>
      <c r="I716" s="672" t="s">
        <v>9218</v>
      </c>
      <c r="J716" s="672" t="s">
        <v>9219</v>
      </c>
      <c r="K716" s="672" t="s">
        <v>2354</v>
      </c>
      <c r="L716" s="672" t="s">
        <v>9219</v>
      </c>
    </row>
    <row r="717" spans="1:12" x14ac:dyDescent="0.2">
      <c r="A717" s="681" t="s">
        <v>220</v>
      </c>
      <c r="B717" s="681" t="s">
        <v>2351</v>
      </c>
      <c r="C717" s="736" t="s">
        <v>4444</v>
      </c>
      <c r="D717" s="736" t="s">
        <v>4445</v>
      </c>
      <c r="E717" s="683"/>
      <c r="F717" s="685">
        <v>14</v>
      </c>
      <c r="G717" s="737">
        <v>0.252</v>
      </c>
      <c r="H717" s="685">
        <v>3.528</v>
      </c>
      <c r="I717" s="672" t="s">
        <v>9218</v>
      </c>
      <c r="J717" s="672" t="s">
        <v>9219</v>
      </c>
      <c r="K717" s="672" t="s">
        <v>2354</v>
      </c>
      <c r="L717" s="672" t="s">
        <v>9219</v>
      </c>
    </row>
    <row r="718" spans="1:12" x14ac:dyDescent="0.2">
      <c r="A718" s="681" t="s">
        <v>220</v>
      </c>
      <c r="B718" s="681" t="s">
        <v>2351</v>
      </c>
      <c r="C718" s="736" t="s">
        <v>4446</v>
      </c>
      <c r="D718" s="736" t="s">
        <v>4447</v>
      </c>
      <c r="E718" s="683"/>
      <c r="F718" s="685">
        <v>44</v>
      </c>
      <c r="G718" s="737">
        <v>0.37309999999999999</v>
      </c>
      <c r="H718" s="685">
        <v>16.416399999999999</v>
      </c>
      <c r="I718" s="672" t="s">
        <v>9218</v>
      </c>
      <c r="J718" s="672" t="s">
        <v>9219</v>
      </c>
      <c r="K718" s="672" t="s">
        <v>2354</v>
      </c>
      <c r="L718" s="672" t="s">
        <v>9219</v>
      </c>
    </row>
    <row r="719" spans="1:12" x14ac:dyDescent="0.2">
      <c r="A719" s="681" t="s">
        <v>220</v>
      </c>
      <c r="B719" s="681" t="s">
        <v>2351</v>
      </c>
      <c r="C719" s="736" t="s">
        <v>4448</v>
      </c>
      <c r="D719" s="736" t="s">
        <v>4449</v>
      </c>
      <c r="E719" s="683"/>
      <c r="F719" s="685">
        <v>12</v>
      </c>
      <c r="G719" s="737">
        <v>0.79300000000000004</v>
      </c>
      <c r="H719" s="685">
        <v>9.516</v>
      </c>
      <c r="I719" s="672" t="s">
        <v>9218</v>
      </c>
      <c r="J719" s="672" t="s">
        <v>9219</v>
      </c>
      <c r="K719" s="672" t="s">
        <v>2354</v>
      </c>
      <c r="L719" s="672" t="s">
        <v>9219</v>
      </c>
    </row>
    <row r="720" spans="1:12" x14ac:dyDescent="0.2">
      <c r="A720" s="681" t="s">
        <v>220</v>
      </c>
      <c r="B720" s="681" t="s">
        <v>2351</v>
      </c>
      <c r="C720" s="736" t="s">
        <v>4450</v>
      </c>
      <c r="D720" s="736" t="s">
        <v>4451</v>
      </c>
      <c r="E720" s="683"/>
      <c r="F720" s="685">
        <v>12</v>
      </c>
      <c r="G720" s="737">
        <v>1.0857000000000001</v>
      </c>
      <c r="H720" s="685">
        <v>13.028400000000001</v>
      </c>
      <c r="I720" s="672" t="s">
        <v>9218</v>
      </c>
      <c r="J720" s="672" t="s">
        <v>9219</v>
      </c>
      <c r="K720" s="672" t="s">
        <v>2354</v>
      </c>
      <c r="L720" s="672" t="s">
        <v>9219</v>
      </c>
    </row>
    <row r="721" spans="1:12" x14ac:dyDescent="0.2">
      <c r="A721" s="681" t="s">
        <v>220</v>
      </c>
      <c r="B721" s="681" t="s">
        <v>2351</v>
      </c>
      <c r="C721" s="736" t="s">
        <v>4454</v>
      </c>
      <c r="D721" s="736" t="s">
        <v>4455</v>
      </c>
      <c r="E721" s="683"/>
      <c r="F721" s="685">
        <v>40</v>
      </c>
      <c r="G721" s="737">
        <v>0.40589999999999998</v>
      </c>
      <c r="H721" s="685">
        <v>16.236000000000001</v>
      </c>
      <c r="I721" s="672" t="s">
        <v>9218</v>
      </c>
      <c r="J721" s="672" t="s">
        <v>9219</v>
      </c>
      <c r="K721" s="672" t="s">
        <v>2354</v>
      </c>
      <c r="L721" s="672" t="s">
        <v>9219</v>
      </c>
    </row>
    <row r="722" spans="1:12" x14ac:dyDescent="0.2">
      <c r="A722" s="681" t="s">
        <v>220</v>
      </c>
      <c r="B722" s="681" t="s">
        <v>2351</v>
      </c>
      <c r="C722" s="736" t="s">
        <v>4456</v>
      </c>
      <c r="D722" s="736" t="s">
        <v>4457</v>
      </c>
      <c r="E722" s="683"/>
      <c r="F722" s="685">
        <v>20</v>
      </c>
      <c r="G722" s="737">
        <v>6.3960000000000003E-2</v>
      </c>
      <c r="H722" s="685">
        <v>1.2792000000000001</v>
      </c>
      <c r="I722" s="672" t="s">
        <v>9218</v>
      </c>
      <c r="J722" s="672" t="s">
        <v>9219</v>
      </c>
      <c r="K722" s="672" t="s">
        <v>2354</v>
      </c>
      <c r="L722" s="672" t="s">
        <v>9219</v>
      </c>
    </row>
    <row r="723" spans="1:12" x14ac:dyDescent="0.2">
      <c r="A723" s="681" t="s">
        <v>220</v>
      </c>
      <c r="B723" s="681" t="s">
        <v>2351</v>
      </c>
      <c r="C723" s="736" t="s">
        <v>4458</v>
      </c>
      <c r="D723" s="736" t="s">
        <v>4459</v>
      </c>
      <c r="E723" s="683"/>
      <c r="F723" s="685">
        <v>17</v>
      </c>
      <c r="G723" s="737">
        <v>6.3960000000000003E-2</v>
      </c>
      <c r="H723" s="685">
        <v>1.0873200000000001</v>
      </c>
      <c r="I723" s="672" t="s">
        <v>9218</v>
      </c>
      <c r="J723" s="672" t="s">
        <v>9219</v>
      </c>
      <c r="K723" s="672" t="s">
        <v>2354</v>
      </c>
      <c r="L723" s="672" t="s">
        <v>9219</v>
      </c>
    </row>
    <row r="724" spans="1:12" x14ac:dyDescent="0.2">
      <c r="A724" s="681" t="s">
        <v>220</v>
      </c>
      <c r="B724" s="681" t="s">
        <v>2351</v>
      </c>
      <c r="C724" s="736" t="s">
        <v>4460</v>
      </c>
      <c r="D724" s="736" t="s">
        <v>4461</v>
      </c>
      <c r="E724" s="683"/>
      <c r="F724" s="685">
        <v>4</v>
      </c>
      <c r="G724" s="737">
        <v>6.3960000000000003E-2</v>
      </c>
      <c r="H724" s="685">
        <v>0.25584000000000001</v>
      </c>
      <c r="I724" s="672" t="s">
        <v>9218</v>
      </c>
      <c r="J724" s="672" t="s">
        <v>9219</v>
      </c>
      <c r="K724" s="672" t="s">
        <v>2354</v>
      </c>
      <c r="L724" s="672" t="s">
        <v>9219</v>
      </c>
    </row>
    <row r="725" spans="1:12" x14ac:dyDescent="0.2">
      <c r="A725" s="681" t="s">
        <v>220</v>
      </c>
      <c r="B725" s="681" t="s">
        <v>2351</v>
      </c>
      <c r="C725" s="736" t="s">
        <v>4462</v>
      </c>
      <c r="D725" s="736" t="s">
        <v>4463</v>
      </c>
      <c r="E725" s="683"/>
      <c r="F725" s="685">
        <v>10</v>
      </c>
      <c r="G725" s="737">
        <v>6.3960000000000003E-2</v>
      </c>
      <c r="H725" s="685">
        <v>0.63960000000000006</v>
      </c>
      <c r="I725" s="672" t="s">
        <v>9218</v>
      </c>
      <c r="J725" s="672" t="s">
        <v>9219</v>
      </c>
      <c r="K725" s="672" t="s">
        <v>2354</v>
      </c>
      <c r="L725" s="672" t="s">
        <v>9219</v>
      </c>
    </row>
    <row r="726" spans="1:12" x14ac:dyDescent="0.2">
      <c r="A726" s="681" t="s">
        <v>220</v>
      </c>
      <c r="B726" s="681" t="s">
        <v>2351</v>
      </c>
      <c r="C726" s="736" t="s">
        <v>4464</v>
      </c>
      <c r="D726" s="736" t="s">
        <v>4465</v>
      </c>
      <c r="E726" s="683"/>
      <c r="F726" s="685">
        <v>14</v>
      </c>
      <c r="G726" s="737">
        <v>6.3960000000000003E-2</v>
      </c>
      <c r="H726" s="685">
        <v>0.89544000000000001</v>
      </c>
      <c r="I726" s="672" t="s">
        <v>9218</v>
      </c>
      <c r="J726" s="672" t="s">
        <v>9219</v>
      </c>
      <c r="K726" s="672" t="s">
        <v>2354</v>
      </c>
      <c r="L726" s="672" t="s">
        <v>9219</v>
      </c>
    </row>
    <row r="727" spans="1:12" x14ac:dyDescent="0.2">
      <c r="A727" s="681" t="s">
        <v>220</v>
      </c>
      <c r="B727" s="681" t="s">
        <v>2351</v>
      </c>
      <c r="C727" s="736" t="s">
        <v>4466</v>
      </c>
      <c r="D727" s="736" t="s">
        <v>4467</v>
      </c>
      <c r="E727" s="683"/>
      <c r="F727" s="685">
        <v>4</v>
      </c>
      <c r="G727" s="737">
        <v>6.3960000000000003E-2</v>
      </c>
      <c r="H727" s="685">
        <v>0.25584000000000001</v>
      </c>
      <c r="I727" s="672" t="s">
        <v>9218</v>
      </c>
      <c r="J727" s="672" t="s">
        <v>9219</v>
      </c>
      <c r="K727" s="672" t="s">
        <v>2354</v>
      </c>
      <c r="L727" s="672" t="s">
        <v>9219</v>
      </c>
    </row>
    <row r="728" spans="1:12" x14ac:dyDescent="0.2">
      <c r="A728" s="681" t="s">
        <v>220</v>
      </c>
      <c r="B728" s="681" t="s">
        <v>2351</v>
      </c>
      <c r="C728" s="736" t="s">
        <v>4468</v>
      </c>
      <c r="D728" s="736" t="s">
        <v>4469</v>
      </c>
      <c r="E728" s="683"/>
      <c r="F728" s="685">
        <v>3</v>
      </c>
      <c r="G728" s="737">
        <v>6.3960000000000003E-2</v>
      </c>
      <c r="H728" s="685">
        <v>0.19188</v>
      </c>
      <c r="I728" s="672" t="s">
        <v>9218</v>
      </c>
      <c r="J728" s="672" t="s">
        <v>9219</v>
      </c>
      <c r="K728" s="672" t="s">
        <v>2354</v>
      </c>
      <c r="L728" s="672" t="s">
        <v>9219</v>
      </c>
    </row>
    <row r="729" spans="1:12" x14ac:dyDescent="0.2">
      <c r="A729" s="681" t="s">
        <v>220</v>
      </c>
      <c r="B729" s="681" t="s">
        <v>2351</v>
      </c>
      <c r="C729" s="736" t="s">
        <v>4480</v>
      </c>
      <c r="D729" s="736" t="s">
        <v>4481</v>
      </c>
      <c r="E729" s="683"/>
      <c r="F729" s="685">
        <v>4</v>
      </c>
      <c r="G729" s="737">
        <v>7.4620000000000006E-2</v>
      </c>
      <c r="H729" s="685">
        <v>0.29848000000000002</v>
      </c>
      <c r="I729" s="672" t="s">
        <v>9218</v>
      </c>
      <c r="J729" s="672" t="s">
        <v>9219</v>
      </c>
      <c r="K729" s="672" t="s">
        <v>2354</v>
      </c>
      <c r="L729" s="672" t="s">
        <v>9219</v>
      </c>
    </row>
    <row r="730" spans="1:12" x14ac:dyDescent="0.2">
      <c r="A730" s="681" t="s">
        <v>220</v>
      </c>
      <c r="B730" s="681" t="s">
        <v>2351</v>
      </c>
      <c r="C730" s="736" t="s">
        <v>4490</v>
      </c>
      <c r="D730" s="736" t="s">
        <v>4491</v>
      </c>
      <c r="E730" s="683"/>
      <c r="F730" s="685">
        <v>2</v>
      </c>
      <c r="G730" s="737">
        <v>0.75768000000000002</v>
      </c>
      <c r="H730" s="685">
        <v>1.51536</v>
      </c>
      <c r="I730" s="672" t="s">
        <v>9218</v>
      </c>
      <c r="J730" s="672" t="s">
        <v>9219</v>
      </c>
      <c r="K730" s="672" t="s">
        <v>2354</v>
      </c>
      <c r="L730" s="672" t="s">
        <v>9219</v>
      </c>
    </row>
    <row r="731" spans="1:12" x14ac:dyDescent="0.2">
      <c r="A731" s="681" t="s">
        <v>220</v>
      </c>
      <c r="B731" s="681" t="s">
        <v>2351</v>
      </c>
      <c r="C731" s="736" t="s">
        <v>4502</v>
      </c>
      <c r="D731" s="736" t="s">
        <v>4503</v>
      </c>
      <c r="E731" s="683"/>
      <c r="F731" s="685">
        <v>1</v>
      </c>
      <c r="G731" s="737">
        <v>16.380179999999999</v>
      </c>
      <c r="H731" s="685">
        <v>16.380179999999999</v>
      </c>
      <c r="I731" s="672" t="s">
        <v>9218</v>
      </c>
      <c r="J731" s="672" t="s">
        <v>9219</v>
      </c>
      <c r="K731" s="672" t="s">
        <v>2354</v>
      </c>
      <c r="L731" s="672" t="s">
        <v>9219</v>
      </c>
    </row>
    <row r="732" spans="1:12" x14ac:dyDescent="0.2">
      <c r="A732" s="681" t="s">
        <v>220</v>
      </c>
      <c r="B732" s="681" t="s">
        <v>2351</v>
      </c>
      <c r="C732" s="736" t="s">
        <v>4516</v>
      </c>
      <c r="D732" s="736" t="s">
        <v>4517</v>
      </c>
      <c r="E732" s="683"/>
      <c r="F732" s="685">
        <v>2</v>
      </c>
      <c r="G732" s="737">
        <v>3.4286498632010942</v>
      </c>
      <c r="H732" s="685">
        <v>6.8572997264021884</v>
      </c>
      <c r="I732" s="672" t="s">
        <v>9218</v>
      </c>
      <c r="J732" s="672" t="s">
        <v>9219</v>
      </c>
      <c r="K732" s="672" t="s">
        <v>2354</v>
      </c>
      <c r="L732" s="672" t="s">
        <v>9219</v>
      </c>
    </row>
    <row r="733" spans="1:12" x14ac:dyDescent="0.2">
      <c r="A733" s="681" t="s">
        <v>220</v>
      </c>
      <c r="B733" s="681" t="s">
        <v>2351</v>
      </c>
      <c r="C733" s="736" t="s">
        <v>4518</v>
      </c>
      <c r="D733" s="736" t="s">
        <v>4519</v>
      </c>
      <c r="E733" s="683"/>
      <c r="F733" s="685">
        <v>1</v>
      </c>
      <c r="G733" s="737">
        <v>6.48</v>
      </c>
      <c r="H733" s="685">
        <v>6.48</v>
      </c>
      <c r="I733" s="672" t="s">
        <v>9218</v>
      </c>
      <c r="J733" s="672" t="s">
        <v>9219</v>
      </c>
      <c r="K733" s="672" t="s">
        <v>2354</v>
      </c>
      <c r="L733" s="672" t="s">
        <v>9219</v>
      </c>
    </row>
    <row r="734" spans="1:12" x14ac:dyDescent="0.2">
      <c r="A734" s="681" t="s">
        <v>220</v>
      </c>
      <c r="B734" s="681" t="s">
        <v>2351</v>
      </c>
      <c r="C734" s="736" t="s">
        <v>4520</v>
      </c>
      <c r="D734" s="736" t="s">
        <v>4521</v>
      </c>
      <c r="E734" s="683"/>
      <c r="F734" s="685">
        <v>20</v>
      </c>
      <c r="G734" s="737">
        <v>8.1062130909090904</v>
      </c>
      <c r="H734" s="685">
        <v>162.12426181818182</v>
      </c>
      <c r="I734" s="672" t="s">
        <v>9218</v>
      </c>
      <c r="J734" s="672" t="s">
        <v>9219</v>
      </c>
      <c r="K734" s="672" t="s">
        <v>2354</v>
      </c>
      <c r="L734" s="672" t="s">
        <v>9219</v>
      </c>
    </row>
    <row r="735" spans="1:12" x14ac:dyDescent="0.2">
      <c r="A735" s="681" t="s">
        <v>220</v>
      </c>
      <c r="B735" s="681" t="s">
        <v>2351</v>
      </c>
      <c r="C735" s="736" t="s">
        <v>4538</v>
      </c>
      <c r="D735" s="736" t="s">
        <v>4539</v>
      </c>
      <c r="E735" s="683"/>
      <c r="F735" s="685">
        <v>4</v>
      </c>
      <c r="G735" s="737">
        <v>3.4620000000000002</v>
      </c>
      <c r="H735" s="685">
        <v>13.848000000000001</v>
      </c>
      <c r="I735" s="672" t="s">
        <v>9218</v>
      </c>
      <c r="J735" s="672" t="s">
        <v>9219</v>
      </c>
      <c r="K735" s="672" t="s">
        <v>2354</v>
      </c>
      <c r="L735" s="672" t="s">
        <v>9219</v>
      </c>
    </row>
    <row r="736" spans="1:12" x14ac:dyDescent="0.2">
      <c r="A736" s="681" t="s">
        <v>220</v>
      </c>
      <c r="B736" s="681" t="s">
        <v>2351</v>
      </c>
      <c r="C736" s="736" t="s">
        <v>4540</v>
      </c>
      <c r="D736" s="736" t="s">
        <v>4541</v>
      </c>
      <c r="E736" s="683"/>
      <c r="F736" s="685">
        <v>3</v>
      </c>
      <c r="G736" s="737">
        <v>5.49</v>
      </c>
      <c r="H736" s="685">
        <v>16.47</v>
      </c>
      <c r="I736" s="672" t="s">
        <v>9218</v>
      </c>
      <c r="J736" s="672" t="s">
        <v>9219</v>
      </c>
      <c r="K736" s="672" t="s">
        <v>2354</v>
      </c>
      <c r="L736" s="672" t="s">
        <v>9219</v>
      </c>
    </row>
    <row r="737" spans="1:12" x14ac:dyDescent="0.2">
      <c r="A737" s="681" t="s">
        <v>220</v>
      </c>
      <c r="B737" s="681" t="s">
        <v>2351</v>
      </c>
      <c r="C737" s="736" t="s">
        <v>4542</v>
      </c>
      <c r="D737" s="736" t="s">
        <v>4543</v>
      </c>
      <c r="E737" s="683"/>
      <c r="F737" s="685">
        <v>2</v>
      </c>
      <c r="G737" s="737">
        <v>23.315999999999999</v>
      </c>
      <c r="H737" s="685">
        <v>46.631999999999998</v>
      </c>
      <c r="I737" s="672" t="s">
        <v>9218</v>
      </c>
      <c r="J737" s="672" t="s">
        <v>9219</v>
      </c>
      <c r="K737" s="672" t="s">
        <v>2354</v>
      </c>
      <c r="L737" s="672" t="s">
        <v>9219</v>
      </c>
    </row>
    <row r="738" spans="1:12" x14ac:dyDescent="0.2">
      <c r="A738" s="681" t="s">
        <v>220</v>
      </c>
      <c r="B738" s="681" t="s">
        <v>2351</v>
      </c>
      <c r="C738" s="736" t="s">
        <v>4544</v>
      </c>
      <c r="D738" s="736" t="s">
        <v>4545</v>
      </c>
      <c r="E738" s="683"/>
      <c r="F738" s="685">
        <v>1</v>
      </c>
      <c r="G738" s="737">
        <v>34.799999999999997</v>
      </c>
      <c r="H738" s="685">
        <v>34.799999999999997</v>
      </c>
      <c r="I738" s="672" t="s">
        <v>9218</v>
      </c>
      <c r="J738" s="672" t="s">
        <v>9219</v>
      </c>
      <c r="K738" s="672" t="s">
        <v>2354</v>
      </c>
      <c r="L738" s="672" t="s">
        <v>9219</v>
      </c>
    </row>
    <row r="739" spans="1:12" x14ac:dyDescent="0.2">
      <c r="A739" s="681" t="s">
        <v>220</v>
      </c>
      <c r="B739" s="681" t="s">
        <v>2351</v>
      </c>
      <c r="C739" s="736" t="s">
        <v>4548</v>
      </c>
      <c r="D739" s="736" t="s">
        <v>4549</v>
      </c>
      <c r="E739" s="683"/>
      <c r="F739" s="685">
        <v>5</v>
      </c>
      <c r="G739" s="737">
        <v>1.1833238095238097</v>
      </c>
      <c r="H739" s="685">
        <v>5.9166190476190481</v>
      </c>
      <c r="I739" s="672" t="s">
        <v>9218</v>
      </c>
      <c r="J739" s="672" t="s">
        <v>9219</v>
      </c>
      <c r="K739" s="672" t="s">
        <v>2354</v>
      </c>
      <c r="L739" s="672" t="s">
        <v>9219</v>
      </c>
    </row>
    <row r="740" spans="1:12" x14ac:dyDescent="0.2">
      <c r="A740" s="681" t="s">
        <v>220</v>
      </c>
      <c r="B740" s="681" t="s">
        <v>2351</v>
      </c>
      <c r="C740" s="736" t="s">
        <v>4552</v>
      </c>
      <c r="D740" s="736" t="s">
        <v>4553</v>
      </c>
      <c r="E740" s="683"/>
      <c r="F740" s="685">
        <v>7</v>
      </c>
      <c r="G740" s="737">
        <v>1.165</v>
      </c>
      <c r="H740" s="685">
        <v>8.1550000000000011</v>
      </c>
      <c r="I740" s="672" t="s">
        <v>9218</v>
      </c>
      <c r="J740" s="672" t="s">
        <v>9219</v>
      </c>
      <c r="K740" s="672" t="s">
        <v>2354</v>
      </c>
      <c r="L740" s="672" t="s">
        <v>9219</v>
      </c>
    </row>
    <row r="741" spans="1:12" x14ac:dyDescent="0.2">
      <c r="A741" s="681" t="s">
        <v>220</v>
      </c>
      <c r="B741" s="681" t="s">
        <v>2351</v>
      </c>
      <c r="C741" s="736" t="s">
        <v>4568</v>
      </c>
      <c r="D741" s="736" t="s">
        <v>4569</v>
      </c>
      <c r="E741" s="683"/>
      <c r="F741" s="685">
        <v>1</v>
      </c>
      <c r="G741" s="737">
        <v>4.5599999999999996</v>
      </c>
      <c r="H741" s="685">
        <v>4.5599999999999996</v>
      </c>
      <c r="I741" s="672" t="s">
        <v>9218</v>
      </c>
      <c r="J741" s="672" t="s">
        <v>9219</v>
      </c>
      <c r="K741" s="672" t="s">
        <v>2354</v>
      </c>
      <c r="L741" s="672" t="s">
        <v>9219</v>
      </c>
    </row>
    <row r="742" spans="1:12" x14ac:dyDescent="0.2">
      <c r="A742" s="681" t="s">
        <v>220</v>
      </c>
      <c r="B742" s="681" t="s">
        <v>2351</v>
      </c>
      <c r="C742" s="736" t="s">
        <v>4588</v>
      </c>
      <c r="D742" s="736" t="s">
        <v>4589</v>
      </c>
      <c r="E742" s="683"/>
      <c r="F742" s="685">
        <v>21</v>
      </c>
      <c r="G742" s="737">
        <v>0.58499999999999996</v>
      </c>
      <c r="H742" s="685">
        <v>12.285</v>
      </c>
      <c r="I742" s="672" t="s">
        <v>9218</v>
      </c>
      <c r="J742" s="672" t="s">
        <v>9219</v>
      </c>
      <c r="K742" s="672" t="s">
        <v>2354</v>
      </c>
      <c r="L742" s="672" t="s">
        <v>9219</v>
      </c>
    </row>
    <row r="743" spans="1:12" x14ac:dyDescent="0.2">
      <c r="A743" s="681" t="s">
        <v>220</v>
      </c>
      <c r="B743" s="681" t="s">
        <v>2351</v>
      </c>
      <c r="C743" s="736" t="s">
        <v>4590</v>
      </c>
      <c r="D743" s="736" t="s">
        <v>4591</v>
      </c>
      <c r="E743" s="683"/>
      <c r="F743" s="685">
        <v>32</v>
      </c>
      <c r="G743" s="737">
        <v>0.56200000000000006</v>
      </c>
      <c r="H743" s="685">
        <v>17.984000000000002</v>
      </c>
      <c r="I743" s="672" t="s">
        <v>9218</v>
      </c>
      <c r="J743" s="672" t="s">
        <v>9219</v>
      </c>
      <c r="K743" s="672" t="s">
        <v>2354</v>
      </c>
      <c r="L743" s="672" t="s">
        <v>9219</v>
      </c>
    </row>
    <row r="744" spans="1:12" x14ac:dyDescent="0.2">
      <c r="A744" s="681" t="s">
        <v>220</v>
      </c>
      <c r="B744" s="681" t="s">
        <v>2351</v>
      </c>
      <c r="C744" s="736" t="s">
        <v>4592</v>
      </c>
      <c r="D744" s="736" t="s">
        <v>4593</v>
      </c>
      <c r="E744" s="683"/>
      <c r="F744" s="685">
        <v>11</v>
      </c>
      <c r="G744" s="737">
        <v>0.68579999999999997</v>
      </c>
      <c r="H744" s="685">
        <v>7.5437999999999992</v>
      </c>
      <c r="I744" s="672" t="s">
        <v>9218</v>
      </c>
      <c r="J744" s="672" t="s">
        <v>9219</v>
      </c>
      <c r="K744" s="672" t="s">
        <v>2354</v>
      </c>
      <c r="L744" s="672" t="s">
        <v>9219</v>
      </c>
    </row>
    <row r="745" spans="1:12" x14ac:dyDescent="0.2">
      <c r="A745" s="681" t="s">
        <v>220</v>
      </c>
      <c r="B745" s="681" t="s">
        <v>2351</v>
      </c>
      <c r="C745" s="736" t="s">
        <v>4594</v>
      </c>
      <c r="D745" s="736" t="s">
        <v>4595</v>
      </c>
      <c r="E745" s="683"/>
      <c r="F745" s="685">
        <v>2</v>
      </c>
      <c r="G745" s="737">
        <v>24.379000000000001</v>
      </c>
      <c r="H745" s="685">
        <v>48.758000000000003</v>
      </c>
      <c r="I745" s="672" t="s">
        <v>9218</v>
      </c>
      <c r="J745" s="672" t="s">
        <v>9219</v>
      </c>
      <c r="K745" s="672" t="s">
        <v>2354</v>
      </c>
      <c r="L745" s="672" t="s">
        <v>9219</v>
      </c>
    </row>
    <row r="746" spans="1:12" x14ac:dyDescent="0.2">
      <c r="A746" s="681" t="s">
        <v>220</v>
      </c>
      <c r="B746" s="681" t="s">
        <v>2351</v>
      </c>
      <c r="C746" s="736" t="s">
        <v>4596</v>
      </c>
      <c r="D746" s="736" t="s">
        <v>4597</v>
      </c>
      <c r="E746" s="683"/>
      <c r="F746" s="685">
        <v>1</v>
      </c>
      <c r="G746" s="737">
        <v>4.1710000000000003</v>
      </c>
      <c r="H746" s="685">
        <v>4.1710000000000003</v>
      </c>
      <c r="I746" s="672" t="s">
        <v>9218</v>
      </c>
      <c r="J746" s="672" t="s">
        <v>9219</v>
      </c>
      <c r="K746" s="672" t="s">
        <v>2354</v>
      </c>
      <c r="L746" s="672" t="s">
        <v>9219</v>
      </c>
    </row>
    <row r="747" spans="1:12" x14ac:dyDescent="0.2">
      <c r="A747" s="681" t="s">
        <v>220</v>
      </c>
      <c r="B747" s="681" t="s">
        <v>2351</v>
      </c>
      <c r="C747" s="736" t="s">
        <v>4598</v>
      </c>
      <c r="D747" s="736" t="s">
        <v>4599</v>
      </c>
      <c r="E747" s="683"/>
      <c r="F747" s="685">
        <v>10</v>
      </c>
      <c r="G747" s="737">
        <v>3.3580000000000001</v>
      </c>
      <c r="H747" s="685">
        <v>33.58</v>
      </c>
      <c r="I747" s="672" t="s">
        <v>9218</v>
      </c>
      <c r="J747" s="672" t="s">
        <v>9219</v>
      </c>
      <c r="K747" s="672" t="s">
        <v>2354</v>
      </c>
      <c r="L747" s="672" t="s">
        <v>9219</v>
      </c>
    </row>
    <row r="748" spans="1:12" x14ac:dyDescent="0.2">
      <c r="A748" s="681" t="s">
        <v>220</v>
      </c>
      <c r="B748" s="681" t="s">
        <v>2351</v>
      </c>
      <c r="C748" s="736" t="s">
        <v>4600</v>
      </c>
      <c r="D748" s="736" t="s">
        <v>4601</v>
      </c>
      <c r="E748" s="683"/>
      <c r="F748" s="685">
        <v>1</v>
      </c>
      <c r="G748" s="737">
        <v>58.65</v>
      </c>
      <c r="H748" s="685">
        <v>58.65</v>
      </c>
      <c r="I748" s="672" t="s">
        <v>9218</v>
      </c>
      <c r="J748" s="672" t="s">
        <v>9219</v>
      </c>
      <c r="K748" s="672" t="s">
        <v>2354</v>
      </c>
      <c r="L748" s="672" t="s">
        <v>9219</v>
      </c>
    </row>
    <row r="749" spans="1:12" x14ac:dyDescent="0.2">
      <c r="A749" s="681" t="s">
        <v>220</v>
      </c>
      <c r="B749" s="681" t="s">
        <v>2351</v>
      </c>
      <c r="C749" s="736" t="s">
        <v>4604</v>
      </c>
      <c r="D749" s="736" t="s">
        <v>4605</v>
      </c>
      <c r="E749" s="683"/>
      <c r="F749" s="685">
        <v>19</v>
      </c>
      <c r="G749" s="737">
        <v>2.1</v>
      </c>
      <c r="H749" s="685">
        <v>39.9</v>
      </c>
      <c r="I749" s="672" t="s">
        <v>9218</v>
      </c>
      <c r="J749" s="672" t="s">
        <v>9219</v>
      </c>
      <c r="K749" s="672" t="s">
        <v>2354</v>
      </c>
      <c r="L749" s="672" t="s">
        <v>9219</v>
      </c>
    </row>
    <row r="750" spans="1:12" x14ac:dyDescent="0.2">
      <c r="A750" s="681" t="s">
        <v>220</v>
      </c>
      <c r="B750" s="681" t="s">
        <v>2351</v>
      </c>
      <c r="C750" s="736" t="s">
        <v>4606</v>
      </c>
      <c r="D750" s="736" t="s">
        <v>4607</v>
      </c>
      <c r="E750" s="683"/>
      <c r="F750" s="685">
        <v>23</v>
      </c>
      <c r="G750" s="737">
        <v>6.8979999999999997</v>
      </c>
      <c r="H750" s="685">
        <v>158.654</v>
      </c>
      <c r="I750" s="672" t="s">
        <v>9218</v>
      </c>
      <c r="J750" s="672" t="s">
        <v>9219</v>
      </c>
      <c r="K750" s="672" t="s">
        <v>2354</v>
      </c>
      <c r="L750" s="672" t="s">
        <v>9219</v>
      </c>
    </row>
    <row r="751" spans="1:12" x14ac:dyDescent="0.2">
      <c r="A751" s="681" t="s">
        <v>220</v>
      </c>
      <c r="B751" s="681" t="s">
        <v>2351</v>
      </c>
      <c r="C751" s="736" t="s">
        <v>4610</v>
      </c>
      <c r="D751" s="736" t="s">
        <v>4611</v>
      </c>
      <c r="E751" s="683"/>
      <c r="F751" s="685">
        <v>21</v>
      </c>
      <c r="G751" s="737">
        <v>2.9224888888888887</v>
      </c>
      <c r="H751" s="685">
        <v>61.372266666666661</v>
      </c>
      <c r="I751" s="672" t="s">
        <v>9218</v>
      </c>
      <c r="J751" s="672" t="s">
        <v>9219</v>
      </c>
      <c r="K751" s="672" t="s">
        <v>2354</v>
      </c>
      <c r="L751" s="672" t="s">
        <v>9219</v>
      </c>
    </row>
    <row r="752" spans="1:12" x14ac:dyDescent="0.2">
      <c r="A752" s="681" t="s">
        <v>220</v>
      </c>
      <c r="B752" s="681" t="s">
        <v>2351</v>
      </c>
      <c r="C752" s="736" t="s">
        <v>4612</v>
      </c>
      <c r="D752" s="736" t="s">
        <v>4613</v>
      </c>
      <c r="E752" s="683"/>
      <c r="F752" s="685">
        <v>12</v>
      </c>
      <c r="G752" s="737">
        <v>2.9186999999999999</v>
      </c>
      <c r="H752" s="685">
        <v>35.0244</v>
      </c>
      <c r="I752" s="672" t="s">
        <v>9218</v>
      </c>
      <c r="J752" s="672" t="s">
        <v>9219</v>
      </c>
      <c r="K752" s="672" t="s">
        <v>2354</v>
      </c>
      <c r="L752" s="672" t="s">
        <v>9219</v>
      </c>
    </row>
    <row r="753" spans="1:12" x14ac:dyDescent="0.2">
      <c r="A753" s="681" t="s">
        <v>220</v>
      </c>
      <c r="B753" s="681" t="s">
        <v>2351</v>
      </c>
      <c r="C753" s="736" t="s">
        <v>4614</v>
      </c>
      <c r="D753" s="736" t="s">
        <v>4615</v>
      </c>
      <c r="E753" s="683"/>
      <c r="F753" s="685">
        <v>18</v>
      </c>
      <c r="G753" s="737">
        <v>3.3929999999999998</v>
      </c>
      <c r="H753" s="685">
        <v>61.073999999999998</v>
      </c>
      <c r="I753" s="672" t="s">
        <v>9218</v>
      </c>
      <c r="J753" s="672" t="s">
        <v>9219</v>
      </c>
      <c r="K753" s="672" t="s">
        <v>2354</v>
      </c>
      <c r="L753" s="672" t="s">
        <v>9219</v>
      </c>
    </row>
    <row r="754" spans="1:12" x14ac:dyDescent="0.2">
      <c r="A754" s="681" t="s">
        <v>220</v>
      </c>
      <c r="B754" s="681" t="s">
        <v>2351</v>
      </c>
      <c r="C754" s="736" t="s">
        <v>4616</v>
      </c>
      <c r="D754" s="736" t="s">
        <v>4617</v>
      </c>
      <c r="E754" s="683"/>
      <c r="F754" s="685">
        <v>15</v>
      </c>
      <c r="G754" s="737">
        <v>1.4990000000000001</v>
      </c>
      <c r="H754" s="685">
        <v>22.485000000000003</v>
      </c>
      <c r="I754" s="672" t="s">
        <v>9218</v>
      </c>
      <c r="J754" s="672" t="s">
        <v>9219</v>
      </c>
      <c r="K754" s="672" t="s">
        <v>2354</v>
      </c>
      <c r="L754" s="672" t="s">
        <v>9219</v>
      </c>
    </row>
    <row r="755" spans="1:12" x14ac:dyDescent="0.2">
      <c r="A755" s="681" t="s">
        <v>220</v>
      </c>
      <c r="B755" s="681" t="s">
        <v>2351</v>
      </c>
      <c r="C755" s="736" t="s">
        <v>4622</v>
      </c>
      <c r="D755" s="736" t="s">
        <v>4623</v>
      </c>
      <c r="E755" s="683"/>
      <c r="F755" s="685">
        <v>10</v>
      </c>
      <c r="G755" s="737">
        <v>2.3290000000000002</v>
      </c>
      <c r="H755" s="685">
        <v>23.290000000000003</v>
      </c>
      <c r="I755" s="672" t="s">
        <v>9218</v>
      </c>
      <c r="J755" s="672" t="s">
        <v>9219</v>
      </c>
      <c r="K755" s="672" t="s">
        <v>2354</v>
      </c>
      <c r="L755" s="672" t="s">
        <v>9219</v>
      </c>
    </row>
    <row r="756" spans="1:12" x14ac:dyDescent="0.2">
      <c r="A756" s="681" t="s">
        <v>220</v>
      </c>
      <c r="B756" s="681" t="s">
        <v>2351</v>
      </c>
      <c r="C756" s="736" t="s">
        <v>4640</v>
      </c>
      <c r="D756" s="736" t="s">
        <v>4641</v>
      </c>
      <c r="E756" s="683"/>
      <c r="F756" s="685">
        <v>20</v>
      </c>
      <c r="G756" s="737">
        <v>0.82499999999999996</v>
      </c>
      <c r="H756" s="685">
        <v>16.5</v>
      </c>
      <c r="I756" s="672" t="s">
        <v>9218</v>
      </c>
      <c r="J756" s="672" t="s">
        <v>9219</v>
      </c>
      <c r="K756" s="672" t="s">
        <v>2354</v>
      </c>
      <c r="L756" s="672" t="s">
        <v>9219</v>
      </c>
    </row>
    <row r="757" spans="1:12" x14ac:dyDescent="0.2">
      <c r="A757" s="681" t="s">
        <v>220</v>
      </c>
      <c r="B757" s="681" t="s">
        <v>2351</v>
      </c>
      <c r="C757" s="736" t="s">
        <v>4684</v>
      </c>
      <c r="D757" s="736" t="s">
        <v>4685</v>
      </c>
      <c r="E757" s="683"/>
      <c r="F757" s="685">
        <v>2</v>
      </c>
      <c r="G757" s="737">
        <v>11.813000000000001</v>
      </c>
      <c r="H757" s="685">
        <v>23.626000000000001</v>
      </c>
      <c r="I757" s="672" t="s">
        <v>9218</v>
      </c>
      <c r="J757" s="672" t="s">
        <v>9219</v>
      </c>
      <c r="K757" s="672" t="s">
        <v>2354</v>
      </c>
      <c r="L757" s="672" t="s">
        <v>9219</v>
      </c>
    </row>
    <row r="758" spans="1:12" x14ac:dyDescent="0.2">
      <c r="A758" s="681" t="s">
        <v>220</v>
      </c>
      <c r="B758" s="681" t="s">
        <v>2351</v>
      </c>
      <c r="C758" s="736" t="s">
        <v>4704</v>
      </c>
      <c r="D758" s="736" t="s">
        <v>4705</v>
      </c>
      <c r="E758" s="683"/>
      <c r="F758" s="685">
        <v>4</v>
      </c>
      <c r="G758" s="737">
        <v>0.94299999999999995</v>
      </c>
      <c r="H758" s="685">
        <v>3.7719999999999998</v>
      </c>
      <c r="I758" s="672" t="s">
        <v>9218</v>
      </c>
      <c r="J758" s="672" t="s">
        <v>9219</v>
      </c>
      <c r="K758" s="672" t="s">
        <v>2354</v>
      </c>
      <c r="L758" s="672" t="s">
        <v>9219</v>
      </c>
    </row>
    <row r="759" spans="1:12" x14ac:dyDescent="0.2">
      <c r="A759" s="681" t="s">
        <v>220</v>
      </c>
      <c r="B759" s="681" t="s">
        <v>2351</v>
      </c>
      <c r="C759" s="736" t="s">
        <v>4738</v>
      </c>
      <c r="D759" s="736" t="s">
        <v>4739</v>
      </c>
      <c r="E759" s="683"/>
      <c r="F759" s="685">
        <v>26</v>
      </c>
      <c r="G759" s="737">
        <v>0.2328625924314919</v>
      </c>
      <c r="H759" s="685">
        <v>6.0544274032187895</v>
      </c>
      <c r="I759" s="672" t="s">
        <v>9218</v>
      </c>
      <c r="J759" s="672" t="s">
        <v>9219</v>
      </c>
      <c r="K759" s="672" t="s">
        <v>2354</v>
      </c>
      <c r="L759" s="672" t="s">
        <v>9219</v>
      </c>
    </row>
    <row r="760" spans="1:12" x14ac:dyDescent="0.2">
      <c r="A760" s="681" t="s">
        <v>220</v>
      </c>
      <c r="B760" s="681" t="s">
        <v>2351</v>
      </c>
      <c r="C760" s="736" t="s">
        <v>4740</v>
      </c>
      <c r="D760" s="736" t="s">
        <v>4741</v>
      </c>
      <c r="E760" s="683"/>
      <c r="F760" s="685">
        <v>2</v>
      </c>
      <c r="G760" s="737">
        <v>23.007999999999999</v>
      </c>
      <c r="H760" s="685">
        <v>46.015999999999998</v>
      </c>
      <c r="I760" s="672" t="s">
        <v>9218</v>
      </c>
      <c r="J760" s="672" t="s">
        <v>9219</v>
      </c>
      <c r="K760" s="672" t="s">
        <v>2354</v>
      </c>
      <c r="L760" s="672" t="s">
        <v>9219</v>
      </c>
    </row>
    <row r="761" spans="1:12" x14ac:dyDescent="0.2">
      <c r="A761" s="681" t="s">
        <v>220</v>
      </c>
      <c r="B761" s="681" t="s">
        <v>2351</v>
      </c>
      <c r="C761" s="736" t="s">
        <v>4742</v>
      </c>
      <c r="D761" s="736" t="s">
        <v>4743</v>
      </c>
      <c r="E761" s="683"/>
      <c r="F761" s="685">
        <v>3</v>
      </c>
      <c r="G761" s="737">
        <v>36.194000000000003</v>
      </c>
      <c r="H761" s="685">
        <v>108.58200000000001</v>
      </c>
      <c r="I761" s="672" t="s">
        <v>9218</v>
      </c>
      <c r="J761" s="672" t="s">
        <v>9219</v>
      </c>
      <c r="K761" s="672" t="s">
        <v>2354</v>
      </c>
      <c r="L761" s="672" t="s">
        <v>9219</v>
      </c>
    </row>
    <row r="762" spans="1:12" x14ac:dyDescent="0.2">
      <c r="A762" s="681" t="s">
        <v>220</v>
      </c>
      <c r="B762" s="681" t="s">
        <v>2351</v>
      </c>
      <c r="C762" s="736" t="s">
        <v>4963</v>
      </c>
      <c r="D762" s="736" t="s">
        <v>4964</v>
      </c>
      <c r="E762" s="683"/>
      <c r="F762" s="685">
        <v>6</v>
      </c>
      <c r="G762" s="737">
        <v>2.2429999999999999</v>
      </c>
      <c r="H762" s="685">
        <v>13.457999999999998</v>
      </c>
      <c r="I762" s="672" t="s">
        <v>9218</v>
      </c>
      <c r="J762" s="672" t="s">
        <v>9219</v>
      </c>
      <c r="K762" s="672" t="s">
        <v>2354</v>
      </c>
      <c r="L762" s="672" t="s">
        <v>9219</v>
      </c>
    </row>
    <row r="763" spans="1:12" x14ac:dyDescent="0.2">
      <c r="A763" s="681" t="s">
        <v>220</v>
      </c>
      <c r="B763" s="681" t="s">
        <v>2351</v>
      </c>
      <c r="C763" s="736" t="s">
        <v>4965</v>
      </c>
      <c r="D763" s="736" t="s">
        <v>4966</v>
      </c>
      <c r="E763" s="683"/>
      <c r="F763" s="685">
        <v>2</v>
      </c>
      <c r="G763" s="737">
        <v>3.2429999999999999</v>
      </c>
      <c r="H763" s="685">
        <v>6.4859999999999998</v>
      </c>
      <c r="I763" s="672" t="s">
        <v>9218</v>
      </c>
      <c r="J763" s="672" t="s">
        <v>9219</v>
      </c>
      <c r="K763" s="672" t="s">
        <v>2354</v>
      </c>
      <c r="L763" s="672" t="s">
        <v>9219</v>
      </c>
    </row>
    <row r="764" spans="1:12" x14ac:dyDescent="0.2">
      <c r="A764" s="681" t="s">
        <v>220</v>
      </c>
      <c r="B764" s="681" t="s">
        <v>2351</v>
      </c>
      <c r="C764" s="736" t="s">
        <v>4967</v>
      </c>
      <c r="D764" s="736" t="s">
        <v>4968</v>
      </c>
      <c r="E764" s="683"/>
      <c r="F764" s="685">
        <v>4</v>
      </c>
      <c r="G764" s="737">
        <v>4.4850000000000003</v>
      </c>
      <c r="H764" s="685">
        <v>17.940000000000001</v>
      </c>
      <c r="I764" s="672" t="s">
        <v>9218</v>
      </c>
      <c r="J764" s="672" t="s">
        <v>9219</v>
      </c>
      <c r="K764" s="672" t="s">
        <v>2354</v>
      </c>
      <c r="L764" s="672" t="s">
        <v>9219</v>
      </c>
    </row>
    <row r="765" spans="1:12" x14ac:dyDescent="0.2">
      <c r="A765" s="681" t="s">
        <v>220</v>
      </c>
      <c r="B765" s="681" t="s">
        <v>2351</v>
      </c>
      <c r="C765" s="736" t="s">
        <v>4969</v>
      </c>
      <c r="D765" s="736" t="s">
        <v>4970</v>
      </c>
      <c r="E765" s="683"/>
      <c r="F765" s="685">
        <v>5</v>
      </c>
      <c r="G765" s="737">
        <v>4.3360000000000003</v>
      </c>
      <c r="H765" s="685">
        <v>21.68</v>
      </c>
      <c r="I765" s="672" t="s">
        <v>9218</v>
      </c>
      <c r="J765" s="672" t="s">
        <v>9219</v>
      </c>
      <c r="K765" s="672" t="s">
        <v>2354</v>
      </c>
      <c r="L765" s="672" t="s">
        <v>9219</v>
      </c>
    </row>
    <row r="766" spans="1:12" x14ac:dyDescent="0.2">
      <c r="A766" s="681" t="s">
        <v>220</v>
      </c>
      <c r="B766" s="681" t="s">
        <v>2351</v>
      </c>
      <c r="C766" s="736" t="s">
        <v>4971</v>
      </c>
      <c r="D766" s="736" t="s">
        <v>4972</v>
      </c>
      <c r="E766" s="683"/>
      <c r="F766" s="685">
        <v>1</v>
      </c>
      <c r="G766" s="737">
        <v>8.4700000000000006</v>
      </c>
      <c r="H766" s="685">
        <v>8.4700000000000006</v>
      </c>
      <c r="I766" s="672" t="s">
        <v>9218</v>
      </c>
      <c r="J766" s="672" t="s">
        <v>9219</v>
      </c>
      <c r="K766" s="672" t="s">
        <v>2354</v>
      </c>
      <c r="L766" s="672" t="s">
        <v>9219</v>
      </c>
    </row>
    <row r="767" spans="1:12" x14ac:dyDescent="0.2">
      <c r="A767" s="681" t="s">
        <v>220</v>
      </c>
      <c r="B767" s="681" t="s">
        <v>2351</v>
      </c>
      <c r="C767" s="736" t="s">
        <v>5012</v>
      </c>
      <c r="D767" s="736" t="s">
        <v>5013</v>
      </c>
      <c r="E767" s="683"/>
      <c r="F767" s="685">
        <v>23</v>
      </c>
      <c r="G767" s="737">
        <v>5.04E-2</v>
      </c>
      <c r="H767" s="685">
        <v>1.1592</v>
      </c>
      <c r="I767" s="672" t="s">
        <v>9218</v>
      </c>
      <c r="J767" s="672" t="s">
        <v>9219</v>
      </c>
      <c r="K767" s="672" t="s">
        <v>2354</v>
      </c>
      <c r="L767" s="672" t="s">
        <v>9219</v>
      </c>
    </row>
    <row r="768" spans="1:12" x14ac:dyDescent="0.2">
      <c r="A768" s="681" t="s">
        <v>220</v>
      </c>
      <c r="B768" s="681" t="s">
        <v>2351</v>
      </c>
      <c r="C768" s="736" t="s">
        <v>5014</v>
      </c>
      <c r="D768" s="736" t="s">
        <v>5015</v>
      </c>
      <c r="E768" s="683"/>
      <c r="F768" s="685">
        <v>33</v>
      </c>
      <c r="G768" s="737">
        <v>3.9600000000000003E-2</v>
      </c>
      <c r="H768" s="685">
        <v>1.3068000000000002</v>
      </c>
      <c r="I768" s="672" t="s">
        <v>9218</v>
      </c>
      <c r="J768" s="672" t="s">
        <v>9219</v>
      </c>
      <c r="K768" s="672" t="s">
        <v>2354</v>
      </c>
      <c r="L768" s="672" t="s">
        <v>9219</v>
      </c>
    </row>
    <row r="769" spans="1:12" x14ac:dyDescent="0.2">
      <c r="A769" s="681" t="s">
        <v>220</v>
      </c>
      <c r="B769" s="681" t="s">
        <v>2351</v>
      </c>
      <c r="C769" s="736" t="s">
        <v>5016</v>
      </c>
      <c r="D769" s="736" t="s">
        <v>5017</v>
      </c>
      <c r="E769" s="683"/>
      <c r="F769" s="685">
        <v>65</v>
      </c>
      <c r="G769" s="737">
        <v>2.6100000000000002E-2</v>
      </c>
      <c r="H769" s="685">
        <v>1.6965000000000001</v>
      </c>
      <c r="I769" s="672" t="s">
        <v>9218</v>
      </c>
      <c r="J769" s="672" t="s">
        <v>9219</v>
      </c>
      <c r="K769" s="672" t="s">
        <v>2354</v>
      </c>
      <c r="L769" s="672" t="s">
        <v>9219</v>
      </c>
    </row>
    <row r="770" spans="1:12" x14ac:dyDescent="0.2">
      <c r="A770" s="681" t="s">
        <v>220</v>
      </c>
      <c r="B770" s="681" t="s">
        <v>2351</v>
      </c>
      <c r="C770" s="736" t="s">
        <v>5050</v>
      </c>
      <c r="D770" s="736" t="s">
        <v>5051</v>
      </c>
      <c r="E770" s="683"/>
      <c r="F770" s="685">
        <v>6</v>
      </c>
      <c r="G770" s="737">
        <v>1.35</v>
      </c>
      <c r="H770" s="685">
        <v>8.1000000000000014</v>
      </c>
      <c r="I770" s="672" t="s">
        <v>9218</v>
      </c>
      <c r="J770" s="672" t="s">
        <v>9219</v>
      </c>
      <c r="K770" s="672" t="s">
        <v>2354</v>
      </c>
      <c r="L770" s="672" t="s">
        <v>9219</v>
      </c>
    </row>
    <row r="771" spans="1:12" x14ac:dyDescent="0.2">
      <c r="A771" s="681" t="s">
        <v>220</v>
      </c>
      <c r="B771" s="681" t="s">
        <v>2351</v>
      </c>
      <c r="C771" s="736" t="s">
        <v>5070</v>
      </c>
      <c r="D771" s="736" t="s">
        <v>5071</v>
      </c>
      <c r="E771" s="683"/>
      <c r="F771" s="685">
        <v>21</v>
      </c>
      <c r="G771" s="737">
        <v>0.18</v>
      </c>
      <c r="H771" s="685">
        <v>3.78</v>
      </c>
      <c r="I771" s="672" t="s">
        <v>9218</v>
      </c>
      <c r="J771" s="672" t="s">
        <v>9219</v>
      </c>
      <c r="K771" s="672" t="s">
        <v>2354</v>
      </c>
      <c r="L771" s="672" t="s">
        <v>9219</v>
      </c>
    </row>
    <row r="772" spans="1:12" x14ac:dyDescent="0.2">
      <c r="A772" s="681" t="s">
        <v>220</v>
      </c>
      <c r="B772" s="681" t="s">
        <v>2351</v>
      </c>
      <c r="C772" s="736" t="s">
        <v>5072</v>
      </c>
      <c r="D772" s="736" t="s">
        <v>5073</v>
      </c>
      <c r="E772" s="683"/>
      <c r="F772" s="685">
        <v>32</v>
      </c>
      <c r="G772" s="737">
        <v>0.19800000000000001</v>
      </c>
      <c r="H772" s="685">
        <v>6.3360000000000003</v>
      </c>
      <c r="I772" s="672" t="s">
        <v>9218</v>
      </c>
      <c r="J772" s="672" t="s">
        <v>9219</v>
      </c>
      <c r="K772" s="672" t="s">
        <v>2354</v>
      </c>
      <c r="L772" s="672" t="s">
        <v>9219</v>
      </c>
    </row>
    <row r="773" spans="1:12" x14ac:dyDescent="0.2">
      <c r="A773" s="681" t="s">
        <v>220</v>
      </c>
      <c r="B773" s="681" t="s">
        <v>2351</v>
      </c>
      <c r="C773" s="736" t="s">
        <v>5074</v>
      </c>
      <c r="D773" s="736" t="s">
        <v>5075</v>
      </c>
      <c r="E773" s="683"/>
      <c r="F773" s="685">
        <v>14</v>
      </c>
      <c r="G773" s="737">
        <v>0.25740000000000002</v>
      </c>
      <c r="H773" s="685">
        <v>3.6036000000000001</v>
      </c>
      <c r="I773" s="672" t="s">
        <v>9218</v>
      </c>
      <c r="J773" s="672" t="s">
        <v>9219</v>
      </c>
      <c r="K773" s="672" t="s">
        <v>2354</v>
      </c>
      <c r="L773" s="672" t="s">
        <v>9219</v>
      </c>
    </row>
    <row r="774" spans="1:12" x14ac:dyDescent="0.2">
      <c r="A774" s="681" t="s">
        <v>220</v>
      </c>
      <c r="B774" s="681" t="s">
        <v>2351</v>
      </c>
      <c r="C774" s="736" t="s">
        <v>5076</v>
      </c>
      <c r="D774" s="736" t="s">
        <v>5077</v>
      </c>
      <c r="E774" s="683"/>
      <c r="F774" s="685">
        <v>26</v>
      </c>
      <c r="G774" s="737">
        <v>0.38159999999999999</v>
      </c>
      <c r="H774" s="685">
        <v>9.9215999999999998</v>
      </c>
      <c r="I774" s="672" t="s">
        <v>9218</v>
      </c>
      <c r="J774" s="672" t="s">
        <v>9219</v>
      </c>
      <c r="K774" s="672" t="s">
        <v>2354</v>
      </c>
      <c r="L774" s="672" t="s">
        <v>9219</v>
      </c>
    </row>
    <row r="775" spans="1:12" x14ac:dyDescent="0.2">
      <c r="A775" s="681" t="s">
        <v>220</v>
      </c>
      <c r="B775" s="681" t="s">
        <v>2351</v>
      </c>
      <c r="C775" s="736" t="s">
        <v>5078</v>
      </c>
      <c r="D775" s="736" t="s">
        <v>5079</v>
      </c>
      <c r="E775" s="683"/>
      <c r="F775" s="685">
        <v>36</v>
      </c>
      <c r="G775" s="737">
        <v>0.33750000000000002</v>
      </c>
      <c r="H775" s="685">
        <v>12.15</v>
      </c>
      <c r="I775" s="672" t="s">
        <v>9218</v>
      </c>
      <c r="J775" s="672" t="s">
        <v>9219</v>
      </c>
      <c r="K775" s="672" t="s">
        <v>2354</v>
      </c>
      <c r="L775" s="672" t="s">
        <v>9219</v>
      </c>
    </row>
    <row r="776" spans="1:12" x14ac:dyDescent="0.2">
      <c r="A776" s="681" t="s">
        <v>220</v>
      </c>
      <c r="B776" s="681" t="s">
        <v>2351</v>
      </c>
      <c r="C776" s="736" t="s">
        <v>5080</v>
      </c>
      <c r="D776" s="736" t="s">
        <v>5081</v>
      </c>
      <c r="E776" s="683"/>
      <c r="F776" s="685">
        <v>7</v>
      </c>
      <c r="G776" s="737">
        <v>17.193000000000001</v>
      </c>
      <c r="H776" s="685">
        <v>120.35100000000001</v>
      </c>
      <c r="I776" s="672" t="s">
        <v>9218</v>
      </c>
      <c r="J776" s="672" t="s">
        <v>9219</v>
      </c>
      <c r="K776" s="672" t="s">
        <v>2354</v>
      </c>
      <c r="L776" s="672" t="s">
        <v>9219</v>
      </c>
    </row>
    <row r="777" spans="1:12" x14ac:dyDescent="0.2">
      <c r="A777" s="681" t="s">
        <v>220</v>
      </c>
      <c r="B777" s="681" t="s">
        <v>2351</v>
      </c>
      <c r="C777" s="736" t="s">
        <v>5082</v>
      </c>
      <c r="D777" s="736" t="s">
        <v>5083</v>
      </c>
      <c r="E777" s="683"/>
      <c r="F777" s="685">
        <v>8</v>
      </c>
      <c r="G777" s="737">
        <v>22.925000000000001</v>
      </c>
      <c r="H777" s="685">
        <v>183.4</v>
      </c>
      <c r="I777" s="672" t="s">
        <v>9218</v>
      </c>
      <c r="J777" s="672" t="s">
        <v>9219</v>
      </c>
      <c r="K777" s="672" t="s">
        <v>2354</v>
      </c>
      <c r="L777" s="672" t="s">
        <v>9219</v>
      </c>
    </row>
    <row r="778" spans="1:12" x14ac:dyDescent="0.2">
      <c r="A778" s="681" t="s">
        <v>220</v>
      </c>
      <c r="B778" s="681" t="s">
        <v>2351</v>
      </c>
      <c r="C778" s="736" t="s">
        <v>5092</v>
      </c>
      <c r="D778" s="736" t="s">
        <v>5093</v>
      </c>
      <c r="E778" s="683"/>
      <c r="F778" s="685">
        <v>5</v>
      </c>
      <c r="G778" s="737">
        <v>6.63</v>
      </c>
      <c r="H778" s="685">
        <v>33.15</v>
      </c>
      <c r="I778" s="672" t="s">
        <v>9218</v>
      </c>
      <c r="J778" s="672" t="s">
        <v>9219</v>
      </c>
      <c r="K778" s="672" t="s">
        <v>2354</v>
      </c>
      <c r="L778" s="672" t="s">
        <v>9219</v>
      </c>
    </row>
    <row r="779" spans="1:12" x14ac:dyDescent="0.2">
      <c r="A779" s="681" t="s">
        <v>220</v>
      </c>
      <c r="B779" s="681" t="s">
        <v>2351</v>
      </c>
      <c r="C779" s="736" t="s">
        <v>5118</v>
      </c>
      <c r="D779" s="736" t="s">
        <v>5119</v>
      </c>
      <c r="E779" s="683"/>
      <c r="F779" s="685">
        <v>7</v>
      </c>
      <c r="G779" s="737">
        <v>34.384999999999998</v>
      </c>
      <c r="H779" s="685">
        <v>240.69499999999999</v>
      </c>
      <c r="I779" s="672" t="s">
        <v>9218</v>
      </c>
      <c r="J779" s="672" t="s">
        <v>9219</v>
      </c>
      <c r="K779" s="672" t="s">
        <v>2354</v>
      </c>
      <c r="L779" s="672" t="s">
        <v>9219</v>
      </c>
    </row>
    <row r="780" spans="1:12" x14ac:dyDescent="0.2">
      <c r="A780" s="681" t="s">
        <v>220</v>
      </c>
      <c r="B780" s="681" t="s">
        <v>2351</v>
      </c>
      <c r="C780" s="736" t="s">
        <v>5138</v>
      </c>
      <c r="D780" s="736" t="s">
        <v>5139</v>
      </c>
      <c r="E780" s="683"/>
      <c r="F780" s="685">
        <v>20</v>
      </c>
      <c r="G780" s="737">
        <v>0.10878985088138404</v>
      </c>
      <c r="H780" s="685">
        <v>2.1757970176276809</v>
      </c>
      <c r="I780" s="672" t="s">
        <v>9218</v>
      </c>
      <c r="J780" s="672" t="s">
        <v>9219</v>
      </c>
      <c r="K780" s="672" t="s">
        <v>2354</v>
      </c>
      <c r="L780" s="672" t="s">
        <v>9219</v>
      </c>
    </row>
    <row r="781" spans="1:12" x14ac:dyDescent="0.2">
      <c r="A781" s="681" t="s">
        <v>220</v>
      </c>
      <c r="B781" s="681" t="s">
        <v>2351</v>
      </c>
      <c r="C781" s="736" t="s">
        <v>5152</v>
      </c>
      <c r="D781" s="736" t="s">
        <v>5153</v>
      </c>
      <c r="E781" s="683"/>
      <c r="F781" s="685">
        <v>23</v>
      </c>
      <c r="G781" s="737">
        <v>0.39100000000000001</v>
      </c>
      <c r="H781" s="685">
        <v>8.9930000000000003</v>
      </c>
      <c r="I781" s="672" t="s">
        <v>9218</v>
      </c>
      <c r="J781" s="672" t="s">
        <v>9219</v>
      </c>
      <c r="K781" s="672" t="s">
        <v>2354</v>
      </c>
      <c r="L781" s="672" t="s">
        <v>9219</v>
      </c>
    </row>
    <row r="782" spans="1:12" x14ac:dyDescent="0.2">
      <c r="A782" s="681" t="s">
        <v>220</v>
      </c>
      <c r="B782" s="681" t="s">
        <v>2351</v>
      </c>
      <c r="C782" s="736" t="s">
        <v>5156</v>
      </c>
      <c r="D782" s="736" t="s">
        <v>5157</v>
      </c>
      <c r="E782" s="683"/>
      <c r="F782" s="685">
        <v>2</v>
      </c>
      <c r="G782" s="737">
        <v>47.84</v>
      </c>
      <c r="H782" s="685">
        <v>95.68</v>
      </c>
      <c r="I782" s="672" t="s">
        <v>9218</v>
      </c>
      <c r="J782" s="672" t="s">
        <v>9219</v>
      </c>
      <c r="K782" s="672" t="s">
        <v>2354</v>
      </c>
      <c r="L782" s="672" t="s">
        <v>9219</v>
      </c>
    </row>
    <row r="783" spans="1:12" x14ac:dyDescent="0.2">
      <c r="A783" s="681" t="s">
        <v>220</v>
      </c>
      <c r="B783" s="681" t="s">
        <v>2351</v>
      </c>
      <c r="C783" s="736" t="s">
        <v>5158</v>
      </c>
      <c r="D783" s="736" t="s">
        <v>5159</v>
      </c>
      <c r="E783" s="683"/>
      <c r="F783" s="685">
        <v>26</v>
      </c>
      <c r="G783" s="737">
        <v>0.54700000000000004</v>
      </c>
      <c r="H783" s="685">
        <v>14.222000000000001</v>
      </c>
      <c r="I783" s="672" t="s">
        <v>9218</v>
      </c>
      <c r="J783" s="672" t="s">
        <v>9219</v>
      </c>
      <c r="K783" s="672" t="s">
        <v>2354</v>
      </c>
      <c r="L783" s="672" t="s">
        <v>9219</v>
      </c>
    </row>
    <row r="784" spans="1:12" x14ac:dyDescent="0.2">
      <c r="A784" s="681" t="s">
        <v>220</v>
      </c>
      <c r="B784" s="681" t="s">
        <v>2351</v>
      </c>
      <c r="C784" s="736" t="s">
        <v>5160</v>
      </c>
      <c r="D784" s="736" t="s">
        <v>5161</v>
      </c>
      <c r="E784" s="683"/>
      <c r="F784" s="685">
        <v>4</v>
      </c>
      <c r="G784" s="737">
        <v>6.7910000000000004</v>
      </c>
      <c r="H784" s="685">
        <v>27.164000000000001</v>
      </c>
      <c r="I784" s="672" t="s">
        <v>9218</v>
      </c>
      <c r="J784" s="672" t="s">
        <v>9219</v>
      </c>
      <c r="K784" s="672" t="s">
        <v>2354</v>
      </c>
      <c r="L784" s="672" t="s">
        <v>9219</v>
      </c>
    </row>
    <row r="785" spans="1:12" x14ac:dyDescent="0.2">
      <c r="A785" s="681" t="s">
        <v>220</v>
      </c>
      <c r="B785" s="681" t="s">
        <v>2351</v>
      </c>
      <c r="C785" s="736" t="s">
        <v>5162</v>
      </c>
      <c r="D785" s="736" t="s">
        <v>5163</v>
      </c>
      <c r="E785" s="683"/>
      <c r="F785" s="685">
        <v>2</v>
      </c>
      <c r="G785" s="737">
        <v>10.92</v>
      </c>
      <c r="H785" s="685">
        <v>21.84</v>
      </c>
      <c r="I785" s="672" t="s">
        <v>9218</v>
      </c>
      <c r="J785" s="672" t="s">
        <v>9219</v>
      </c>
      <c r="K785" s="672" t="s">
        <v>2354</v>
      </c>
      <c r="L785" s="672" t="s">
        <v>9219</v>
      </c>
    </row>
    <row r="786" spans="1:12" x14ac:dyDescent="0.2">
      <c r="A786" s="681" t="s">
        <v>220</v>
      </c>
      <c r="B786" s="681" t="s">
        <v>2351</v>
      </c>
      <c r="C786" s="736" t="s">
        <v>5164</v>
      </c>
      <c r="D786" s="736" t="s">
        <v>5165</v>
      </c>
      <c r="E786" s="683"/>
      <c r="F786" s="685">
        <v>1</v>
      </c>
      <c r="G786" s="737">
        <v>15.81</v>
      </c>
      <c r="H786" s="685">
        <v>15.81</v>
      </c>
      <c r="I786" s="672" t="s">
        <v>9218</v>
      </c>
      <c r="J786" s="672" t="s">
        <v>9219</v>
      </c>
      <c r="K786" s="672" t="s">
        <v>2354</v>
      </c>
      <c r="L786" s="672" t="s">
        <v>9219</v>
      </c>
    </row>
    <row r="787" spans="1:12" x14ac:dyDescent="0.2">
      <c r="A787" s="681" t="s">
        <v>220</v>
      </c>
      <c r="B787" s="681" t="s">
        <v>2351</v>
      </c>
      <c r="C787" s="736" t="s">
        <v>5166</v>
      </c>
      <c r="D787" s="736" t="s">
        <v>5167</v>
      </c>
      <c r="E787" s="683"/>
      <c r="F787" s="685">
        <v>6</v>
      </c>
      <c r="G787" s="737">
        <v>6.593</v>
      </c>
      <c r="H787" s="685">
        <v>39.558</v>
      </c>
      <c r="I787" s="672" t="s">
        <v>9218</v>
      </c>
      <c r="J787" s="672" t="s">
        <v>9219</v>
      </c>
      <c r="K787" s="672" t="s">
        <v>2354</v>
      </c>
      <c r="L787" s="672" t="s">
        <v>9219</v>
      </c>
    </row>
    <row r="788" spans="1:12" x14ac:dyDescent="0.2">
      <c r="A788" s="681" t="s">
        <v>220</v>
      </c>
      <c r="B788" s="681" t="s">
        <v>2351</v>
      </c>
      <c r="C788" s="736" t="s">
        <v>5178</v>
      </c>
      <c r="D788" s="736" t="s">
        <v>5179</v>
      </c>
      <c r="E788" s="683"/>
      <c r="F788" s="685">
        <v>6</v>
      </c>
      <c r="G788" s="737">
        <v>4.5625526315789475</v>
      </c>
      <c r="H788" s="685">
        <v>27.375315789473685</v>
      </c>
      <c r="I788" s="672" t="s">
        <v>9218</v>
      </c>
      <c r="J788" s="672" t="s">
        <v>9219</v>
      </c>
      <c r="K788" s="672" t="s">
        <v>2354</v>
      </c>
      <c r="L788" s="672" t="s">
        <v>9219</v>
      </c>
    </row>
    <row r="789" spans="1:12" x14ac:dyDescent="0.2">
      <c r="A789" s="681" t="s">
        <v>220</v>
      </c>
      <c r="B789" s="681" t="s">
        <v>2351</v>
      </c>
      <c r="C789" s="736" t="s">
        <v>5184</v>
      </c>
      <c r="D789" s="736" t="s">
        <v>5185</v>
      </c>
      <c r="E789" s="683"/>
      <c r="F789" s="685">
        <v>5</v>
      </c>
      <c r="G789" s="737">
        <v>8.6880000000000006</v>
      </c>
      <c r="H789" s="685">
        <v>43.440000000000005</v>
      </c>
      <c r="I789" s="672" t="s">
        <v>9218</v>
      </c>
      <c r="J789" s="672" t="s">
        <v>9219</v>
      </c>
      <c r="K789" s="672" t="s">
        <v>2354</v>
      </c>
      <c r="L789" s="672" t="s">
        <v>9219</v>
      </c>
    </row>
    <row r="790" spans="1:12" x14ac:dyDescent="0.2">
      <c r="A790" s="681" t="s">
        <v>220</v>
      </c>
      <c r="B790" s="681" t="s">
        <v>2351</v>
      </c>
      <c r="C790" s="736" t="s">
        <v>5186</v>
      </c>
      <c r="D790" s="736" t="s">
        <v>5187</v>
      </c>
      <c r="E790" s="683"/>
      <c r="F790" s="685">
        <v>2</v>
      </c>
      <c r="G790" s="737">
        <v>1.1559999999999999</v>
      </c>
      <c r="H790" s="685">
        <v>2.3119999999999998</v>
      </c>
      <c r="I790" s="672" t="s">
        <v>9218</v>
      </c>
      <c r="J790" s="672" t="s">
        <v>9219</v>
      </c>
      <c r="K790" s="672" t="s">
        <v>2354</v>
      </c>
      <c r="L790" s="672" t="s">
        <v>9219</v>
      </c>
    </row>
    <row r="791" spans="1:12" x14ac:dyDescent="0.2">
      <c r="A791" s="681" t="s">
        <v>220</v>
      </c>
      <c r="B791" s="681" t="s">
        <v>2351</v>
      </c>
      <c r="C791" s="736" t="s">
        <v>5188</v>
      </c>
      <c r="D791" s="736" t="s">
        <v>5189</v>
      </c>
      <c r="E791" s="683"/>
      <c r="F791" s="685">
        <v>7</v>
      </c>
      <c r="G791" s="737">
        <v>4.6139999999999999</v>
      </c>
      <c r="H791" s="685">
        <v>32.298000000000002</v>
      </c>
      <c r="I791" s="672" t="s">
        <v>9218</v>
      </c>
      <c r="J791" s="672" t="s">
        <v>9219</v>
      </c>
      <c r="K791" s="672" t="s">
        <v>2354</v>
      </c>
      <c r="L791" s="672" t="s">
        <v>9219</v>
      </c>
    </row>
    <row r="792" spans="1:12" x14ac:dyDescent="0.2">
      <c r="A792" s="681" t="s">
        <v>220</v>
      </c>
      <c r="B792" s="681" t="s">
        <v>2351</v>
      </c>
      <c r="C792" s="736" t="s">
        <v>5190</v>
      </c>
      <c r="D792" s="736" t="s">
        <v>5191</v>
      </c>
      <c r="E792" s="683"/>
      <c r="F792" s="685">
        <v>34</v>
      </c>
      <c r="G792" s="737">
        <v>0.33700000000000002</v>
      </c>
      <c r="H792" s="685">
        <v>11.458</v>
      </c>
      <c r="I792" s="672" t="s">
        <v>9218</v>
      </c>
      <c r="J792" s="672" t="s">
        <v>9219</v>
      </c>
      <c r="K792" s="672" t="s">
        <v>2354</v>
      </c>
      <c r="L792" s="672" t="s">
        <v>9219</v>
      </c>
    </row>
    <row r="793" spans="1:12" x14ac:dyDescent="0.2">
      <c r="A793" s="681" t="s">
        <v>220</v>
      </c>
      <c r="B793" s="681" t="s">
        <v>2351</v>
      </c>
      <c r="C793" s="736" t="s">
        <v>5194</v>
      </c>
      <c r="D793" s="736" t="s">
        <v>5195</v>
      </c>
      <c r="E793" s="683"/>
      <c r="F793" s="685">
        <v>12</v>
      </c>
      <c r="G793" s="737">
        <v>0.46500000000000002</v>
      </c>
      <c r="H793" s="685">
        <v>5.58</v>
      </c>
      <c r="I793" s="672" t="s">
        <v>9218</v>
      </c>
      <c r="J793" s="672" t="s">
        <v>9219</v>
      </c>
      <c r="K793" s="672" t="s">
        <v>2354</v>
      </c>
      <c r="L793" s="672" t="s">
        <v>9219</v>
      </c>
    </row>
    <row r="794" spans="1:12" x14ac:dyDescent="0.2">
      <c r="A794" s="681" t="s">
        <v>220</v>
      </c>
      <c r="B794" s="681" t="s">
        <v>2351</v>
      </c>
      <c r="C794" s="736" t="s">
        <v>5196</v>
      </c>
      <c r="D794" s="736" t="s">
        <v>5197</v>
      </c>
      <c r="E794" s="683"/>
      <c r="F794" s="685">
        <v>9</v>
      </c>
      <c r="G794" s="737">
        <v>0.112</v>
      </c>
      <c r="H794" s="685">
        <v>1.008</v>
      </c>
      <c r="I794" s="672" t="s">
        <v>9218</v>
      </c>
      <c r="J794" s="672" t="s">
        <v>9219</v>
      </c>
      <c r="K794" s="672" t="s">
        <v>2354</v>
      </c>
      <c r="L794" s="672" t="s">
        <v>9219</v>
      </c>
    </row>
    <row r="795" spans="1:12" x14ac:dyDescent="0.2">
      <c r="A795" s="681" t="s">
        <v>220</v>
      </c>
      <c r="B795" s="681" t="s">
        <v>2351</v>
      </c>
      <c r="C795" s="736" t="s">
        <v>5200</v>
      </c>
      <c r="D795" s="736" t="s">
        <v>5201</v>
      </c>
      <c r="E795" s="683"/>
      <c r="F795" s="685">
        <v>31</v>
      </c>
      <c r="G795" s="737">
        <v>0.33700000000000002</v>
      </c>
      <c r="H795" s="685">
        <v>10.447000000000001</v>
      </c>
      <c r="I795" s="672" t="s">
        <v>9218</v>
      </c>
      <c r="J795" s="672" t="s">
        <v>9219</v>
      </c>
      <c r="K795" s="672" t="s">
        <v>2354</v>
      </c>
      <c r="L795" s="672" t="s">
        <v>9219</v>
      </c>
    </row>
    <row r="796" spans="1:12" x14ac:dyDescent="0.2">
      <c r="A796" s="681" t="s">
        <v>220</v>
      </c>
      <c r="B796" s="681" t="s">
        <v>2351</v>
      </c>
      <c r="C796" s="736" t="s">
        <v>5204</v>
      </c>
      <c r="D796" s="736" t="s">
        <v>5205</v>
      </c>
      <c r="E796" s="683"/>
      <c r="F796" s="685">
        <v>2</v>
      </c>
      <c r="G796" s="737">
        <v>1.1952</v>
      </c>
      <c r="H796" s="685">
        <v>2.3904000000000001</v>
      </c>
      <c r="I796" s="672" t="s">
        <v>9218</v>
      </c>
      <c r="J796" s="672" t="s">
        <v>9219</v>
      </c>
      <c r="K796" s="672" t="s">
        <v>2354</v>
      </c>
      <c r="L796" s="672" t="s">
        <v>9219</v>
      </c>
    </row>
    <row r="797" spans="1:12" x14ac:dyDescent="0.2">
      <c r="A797" s="681" t="s">
        <v>220</v>
      </c>
      <c r="B797" s="681" t="s">
        <v>2351</v>
      </c>
      <c r="C797" s="736" t="s">
        <v>5206</v>
      </c>
      <c r="D797" s="736" t="s">
        <v>5207</v>
      </c>
      <c r="E797" s="683"/>
      <c r="F797" s="685">
        <v>2</v>
      </c>
      <c r="G797" s="737">
        <v>1.0109999999999999</v>
      </c>
      <c r="H797" s="685">
        <v>2.0219999999999998</v>
      </c>
      <c r="I797" s="672" t="s">
        <v>9218</v>
      </c>
      <c r="J797" s="672" t="s">
        <v>9219</v>
      </c>
      <c r="K797" s="672" t="s">
        <v>2354</v>
      </c>
      <c r="L797" s="672" t="s">
        <v>9219</v>
      </c>
    </row>
    <row r="798" spans="1:12" x14ac:dyDescent="0.2">
      <c r="A798" s="681" t="s">
        <v>220</v>
      </c>
      <c r="B798" s="681" t="s">
        <v>2351</v>
      </c>
      <c r="C798" s="736" t="s">
        <v>5208</v>
      </c>
      <c r="D798" s="736" t="s">
        <v>5209</v>
      </c>
      <c r="E798" s="683"/>
      <c r="F798" s="685">
        <v>1</v>
      </c>
      <c r="G798" s="737">
        <v>1.304</v>
      </c>
      <c r="H798" s="685">
        <v>1.304</v>
      </c>
      <c r="I798" s="672" t="s">
        <v>9218</v>
      </c>
      <c r="J798" s="672" t="s">
        <v>9219</v>
      </c>
      <c r="K798" s="672" t="s">
        <v>2354</v>
      </c>
      <c r="L798" s="672" t="s">
        <v>9219</v>
      </c>
    </row>
    <row r="799" spans="1:12" x14ac:dyDescent="0.2">
      <c r="A799" s="681" t="s">
        <v>220</v>
      </c>
      <c r="B799" s="681" t="s">
        <v>2351</v>
      </c>
      <c r="C799" s="736" t="s">
        <v>5210</v>
      </c>
      <c r="D799" s="736" t="s">
        <v>5211</v>
      </c>
      <c r="E799" s="683"/>
      <c r="F799" s="685">
        <v>4</v>
      </c>
      <c r="G799" s="737">
        <v>1.4</v>
      </c>
      <c r="H799" s="685">
        <v>5.6</v>
      </c>
      <c r="I799" s="672" t="s">
        <v>9218</v>
      </c>
      <c r="J799" s="672" t="s">
        <v>9219</v>
      </c>
      <c r="K799" s="672" t="s">
        <v>2354</v>
      </c>
      <c r="L799" s="672" t="s">
        <v>9219</v>
      </c>
    </row>
    <row r="800" spans="1:12" x14ac:dyDescent="0.2">
      <c r="A800" s="681" t="s">
        <v>220</v>
      </c>
      <c r="B800" s="681" t="s">
        <v>2351</v>
      </c>
      <c r="C800" s="736" t="s">
        <v>5212</v>
      </c>
      <c r="D800" s="736" t="s">
        <v>5213</v>
      </c>
      <c r="E800" s="683"/>
      <c r="F800" s="685">
        <v>7</v>
      </c>
      <c r="G800" s="737">
        <v>2.6070000000000002</v>
      </c>
      <c r="H800" s="685">
        <v>18.249000000000002</v>
      </c>
      <c r="I800" s="672" t="s">
        <v>9218</v>
      </c>
      <c r="J800" s="672" t="s">
        <v>9219</v>
      </c>
      <c r="K800" s="672" t="s">
        <v>2354</v>
      </c>
      <c r="L800" s="672" t="s">
        <v>9219</v>
      </c>
    </row>
    <row r="801" spans="1:12" x14ac:dyDescent="0.2">
      <c r="A801" s="681" t="s">
        <v>220</v>
      </c>
      <c r="B801" s="681" t="s">
        <v>2351</v>
      </c>
      <c r="C801" s="736" t="s">
        <v>5214</v>
      </c>
      <c r="D801" s="736" t="s">
        <v>5215</v>
      </c>
      <c r="E801" s="683"/>
      <c r="F801" s="685">
        <v>3</v>
      </c>
      <c r="G801" s="737">
        <v>2.1909999999999998</v>
      </c>
      <c r="H801" s="685">
        <v>6.5729999999999995</v>
      </c>
      <c r="I801" s="672" t="s">
        <v>9218</v>
      </c>
      <c r="J801" s="672" t="s">
        <v>9219</v>
      </c>
      <c r="K801" s="672" t="s">
        <v>2354</v>
      </c>
      <c r="L801" s="672" t="s">
        <v>9219</v>
      </c>
    </row>
    <row r="802" spans="1:12" x14ac:dyDescent="0.2">
      <c r="A802" s="681" t="s">
        <v>220</v>
      </c>
      <c r="B802" s="681" t="s">
        <v>2351</v>
      </c>
      <c r="C802" s="736" t="s">
        <v>5216</v>
      </c>
      <c r="D802" s="736" t="s">
        <v>5217</v>
      </c>
      <c r="E802" s="683"/>
      <c r="F802" s="685">
        <v>13</v>
      </c>
      <c r="G802" s="737">
        <v>3.71</v>
      </c>
      <c r="H802" s="685">
        <v>48.23</v>
      </c>
      <c r="I802" s="672" t="s">
        <v>9218</v>
      </c>
      <c r="J802" s="672" t="s">
        <v>9219</v>
      </c>
      <c r="K802" s="672" t="s">
        <v>2354</v>
      </c>
      <c r="L802" s="672" t="s">
        <v>9219</v>
      </c>
    </row>
    <row r="803" spans="1:12" x14ac:dyDescent="0.2">
      <c r="A803" s="681" t="s">
        <v>220</v>
      </c>
      <c r="B803" s="681" t="s">
        <v>2351</v>
      </c>
      <c r="C803" s="736" t="s">
        <v>5218</v>
      </c>
      <c r="D803" s="736" t="s">
        <v>5219</v>
      </c>
      <c r="E803" s="683"/>
      <c r="F803" s="685">
        <v>7</v>
      </c>
      <c r="G803" s="737">
        <v>6.718</v>
      </c>
      <c r="H803" s="685">
        <v>47.025999999999996</v>
      </c>
      <c r="I803" s="672" t="s">
        <v>9218</v>
      </c>
      <c r="J803" s="672" t="s">
        <v>9219</v>
      </c>
      <c r="K803" s="672" t="s">
        <v>2354</v>
      </c>
      <c r="L803" s="672" t="s">
        <v>9219</v>
      </c>
    </row>
    <row r="804" spans="1:12" x14ac:dyDescent="0.2">
      <c r="A804" s="681" t="s">
        <v>220</v>
      </c>
      <c r="B804" s="681" t="s">
        <v>2351</v>
      </c>
      <c r="C804" s="736" t="s">
        <v>5392</v>
      </c>
      <c r="D804" s="736" t="s">
        <v>5393</v>
      </c>
      <c r="E804" s="683"/>
      <c r="F804" s="685">
        <v>3</v>
      </c>
      <c r="G804" s="737">
        <v>3.2562000000000002</v>
      </c>
      <c r="H804" s="685">
        <v>9.7686000000000011</v>
      </c>
      <c r="I804" s="672" t="s">
        <v>9218</v>
      </c>
      <c r="J804" s="672" t="s">
        <v>9219</v>
      </c>
      <c r="K804" s="672" t="s">
        <v>2354</v>
      </c>
      <c r="L804" s="672" t="s">
        <v>9219</v>
      </c>
    </row>
    <row r="805" spans="1:12" x14ac:dyDescent="0.2">
      <c r="A805" s="681" t="s">
        <v>220</v>
      </c>
      <c r="B805" s="681" t="s">
        <v>2351</v>
      </c>
      <c r="C805" s="736" t="s">
        <v>5220</v>
      </c>
      <c r="D805" s="736" t="s">
        <v>5221</v>
      </c>
      <c r="E805" s="683"/>
      <c r="F805" s="685">
        <v>2</v>
      </c>
      <c r="G805" s="737">
        <v>9.0962999999999994</v>
      </c>
      <c r="H805" s="685">
        <v>18.192599999999999</v>
      </c>
      <c r="I805" s="672" t="s">
        <v>9218</v>
      </c>
      <c r="J805" s="672" t="s">
        <v>9219</v>
      </c>
      <c r="K805" s="672" t="s">
        <v>2354</v>
      </c>
      <c r="L805" s="672" t="s">
        <v>9219</v>
      </c>
    </row>
    <row r="806" spans="1:12" x14ac:dyDescent="0.2">
      <c r="A806" s="681" t="s">
        <v>220</v>
      </c>
      <c r="B806" s="681" t="s">
        <v>2351</v>
      </c>
      <c r="C806" s="736"/>
      <c r="D806" s="736" t="s">
        <v>9380</v>
      </c>
      <c r="E806" s="683"/>
      <c r="F806" s="685">
        <v>2</v>
      </c>
      <c r="G806" s="737">
        <v>7.2759999999999998</v>
      </c>
      <c r="H806" s="685">
        <v>14.552</v>
      </c>
      <c r="I806" s="672" t="s">
        <v>9218</v>
      </c>
      <c r="J806" s="672" t="s">
        <v>9219</v>
      </c>
      <c r="K806" s="672" t="s">
        <v>2354</v>
      </c>
      <c r="L806" s="672" t="s">
        <v>9219</v>
      </c>
    </row>
    <row r="807" spans="1:12" x14ac:dyDescent="0.2">
      <c r="A807" s="681" t="s">
        <v>220</v>
      </c>
      <c r="B807" s="681" t="s">
        <v>2351</v>
      </c>
      <c r="C807" s="736" t="s">
        <v>5222</v>
      </c>
      <c r="D807" s="736" t="s">
        <v>5223</v>
      </c>
      <c r="E807" s="683"/>
      <c r="F807" s="685">
        <v>2</v>
      </c>
      <c r="G807" s="737">
        <v>9.6929999999999996</v>
      </c>
      <c r="H807" s="685">
        <v>19.385999999999999</v>
      </c>
      <c r="I807" s="672" t="s">
        <v>9218</v>
      </c>
      <c r="J807" s="672" t="s">
        <v>9219</v>
      </c>
      <c r="K807" s="672" t="s">
        <v>2354</v>
      </c>
      <c r="L807" s="672" t="s">
        <v>9219</v>
      </c>
    </row>
    <row r="808" spans="1:12" x14ac:dyDescent="0.2">
      <c r="A808" s="681" t="s">
        <v>220</v>
      </c>
      <c r="B808" s="681" t="s">
        <v>2351</v>
      </c>
      <c r="C808" s="736"/>
      <c r="D808" s="736" t="s">
        <v>9381</v>
      </c>
      <c r="E808" s="683"/>
      <c r="F808" s="685">
        <v>1</v>
      </c>
      <c r="G808" s="737">
        <v>13.516999999999999</v>
      </c>
      <c r="H808" s="685">
        <v>13.516999999999999</v>
      </c>
      <c r="I808" s="672" t="s">
        <v>9218</v>
      </c>
      <c r="J808" s="672" t="s">
        <v>9219</v>
      </c>
      <c r="K808" s="672" t="s">
        <v>2354</v>
      </c>
      <c r="L808" s="672" t="s">
        <v>9219</v>
      </c>
    </row>
    <row r="809" spans="1:12" x14ac:dyDescent="0.2">
      <c r="A809" s="681" t="s">
        <v>220</v>
      </c>
      <c r="B809" s="681" t="s">
        <v>2351</v>
      </c>
      <c r="C809" s="736"/>
      <c r="D809" s="736" t="s">
        <v>9382</v>
      </c>
      <c r="E809" s="683"/>
      <c r="F809" s="685">
        <v>1</v>
      </c>
      <c r="G809" s="737">
        <v>16.393999999999998</v>
      </c>
      <c r="H809" s="685">
        <v>16.393999999999998</v>
      </c>
      <c r="I809" s="672" t="s">
        <v>9218</v>
      </c>
      <c r="J809" s="672" t="s">
        <v>9219</v>
      </c>
      <c r="K809" s="672" t="s">
        <v>2354</v>
      </c>
      <c r="L809" s="672" t="s">
        <v>9219</v>
      </c>
    </row>
    <row r="810" spans="1:12" x14ac:dyDescent="0.2">
      <c r="A810" s="681" t="s">
        <v>220</v>
      </c>
      <c r="B810" s="681" t="s">
        <v>2351</v>
      </c>
      <c r="C810" s="736"/>
      <c r="D810" s="736" t="s">
        <v>9383</v>
      </c>
      <c r="E810" s="683"/>
      <c r="F810" s="685">
        <v>10</v>
      </c>
      <c r="G810" s="737">
        <v>11.8</v>
      </c>
      <c r="H810" s="685">
        <v>118</v>
      </c>
      <c r="I810" s="672" t="s">
        <v>9218</v>
      </c>
      <c r="J810" s="672" t="s">
        <v>9219</v>
      </c>
      <c r="K810" s="672" t="s">
        <v>2354</v>
      </c>
      <c r="L810" s="672" t="s">
        <v>9219</v>
      </c>
    </row>
    <row r="811" spans="1:12" x14ac:dyDescent="0.2">
      <c r="A811" s="681" t="s">
        <v>220</v>
      </c>
      <c r="B811" s="681" t="s">
        <v>2351</v>
      </c>
      <c r="C811" s="736"/>
      <c r="D811" s="736" t="s">
        <v>9384</v>
      </c>
      <c r="E811" s="683"/>
      <c r="F811" s="685">
        <v>44</v>
      </c>
      <c r="G811" s="737">
        <v>0.47599999999999998</v>
      </c>
      <c r="H811" s="685">
        <v>20.943999999999999</v>
      </c>
      <c r="I811" s="672" t="s">
        <v>9218</v>
      </c>
      <c r="J811" s="672" t="s">
        <v>9219</v>
      </c>
      <c r="K811" s="672" t="s">
        <v>2354</v>
      </c>
      <c r="L811" s="672" t="s">
        <v>9219</v>
      </c>
    </row>
    <row r="812" spans="1:12" x14ac:dyDescent="0.2">
      <c r="A812" s="681" t="s">
        <v>220</v>
      </c>
      <c r="B812" s="681" t="s">
        <v>2351</v>
      </c>
      <c r="C812" s="736"/>
      <c r="D812" s="736" t="s">
        <v>9385</v>
      </c>
      <c r="E812" s="683"/>
      <c r="F812" s="685">
        <v>38</v>
      </c>
      <c r="G812" s="737">
        <v>0.16900000000000001</v>
      </c>
      <c r="H812" s="685">
        <v>6.4220000000000006</v>
      </c>
      <c r="I812" s="672" t="s">
        <v>9218</v>
      </c>
      <c r="J812" s="672" t="s">
        <v>9219</v>
      </c>
      <c r="K812" s="672" t="s">
        <v>2354</v>
      </c>
      <c r="L812" s="672" t="s">
        <v>9219</v>
      </c>
    </row>
    <row r="813" spans="1:12" x14ac:dyDescent="0.2">
      <c r="A813" s="681" t="s">
        <v>220</v>
      </c>
      <c r="B813" s="681" t="s">
        <v>2351</v>
      </c>
      <c r="C813" s="736"/>
      <c r="D813" s="736" t="s">
        <v>9386</v>
      </c>
      <c r="E813" s="683"/>
      <c r="F813" s="685">
        <v>47</v>
      </c>
      <c r="G813" s="737">
        <v>0.63700000000000001</v>
      </c>
      <c r="H813" s="685">
        <v>29.939</v>
      </c>
      <c r="I813" s="672" t="s">
        <v>9218</v>
      </c>
      <c r="J813" s="672" t="s">
        <v>9219</v>
      </c>
      <c r="K813" s="672" t="s">
        <v>2354</v>
      </c>
      <c r="L813" s="672" t="s">
        <v>9219</v>
      </c>
    </row>
    <row r="814" spans="1:12" x14ac:dyDescent="0.2">
      <c r="A814" s="681" t="s">
        <v>220</v>
      </c>
      <c r="B814" s="681" t="s">
        <v>2351</v>
      </c>
      <c r="C814" s="736"/>
      <c r="D814" s="736" t="s">
        <v>9387</v>
      </c>
      <c r="E814" s="683"/>
      <c r="F814" s="685">
        <v>52</v>
      </c>
      <c r="G814" s="737">
        <v>0.60499999999999998</v>
      </c>
      <c r="H814" s="685">
        <v>31.46</v>
      </c>
      <c r="I814" s="672" t="s">
        <v>9218</v>
      </c>
      <c r="J814" s="672" t="s">
        <v>9219</v>
      </c>
      <c r="K814" s="672" t="s">
        <v>2354</v>
      </c>
      <c r="L814" s="672" t="s">
        <v>9219</v>
      </c>
    </row>
    <row r="815" spans="1:12" x14ac:dyDescent="0.2">
      <c r="A815" s="681" t="s">
        <v>220</v>
      </c>
      <c r="B815" s="681" t="s">
        <v>2351</v>
      </c>
      <c r="C815" s="736" t="s">
        <v>5246</v>
      </c>
      <c r="D815" s="736" t="s">
        <v>5247</v>
      </c>
      <c r="E815" s="683"/>
      <c r="F815" s="685">
        <v>24</v>
      </c>
      <c r="G815" s="737">
        <v>0.1953</v>
      </c>
      <c r="H815" s="685">
        <v>4.6871999999999998</v>
      </c>
      <c r="I815" s="672" t="s">
        <v>9218</v>
      </c>
      <c r="J815" s="672" t="s">
        <v>9219</v>
      </c>
      <c r="K815" s="672" t="s">
        <v>2354</v>
      </c>
      <c r="L815" s="672" t="s">
        <v>9219</v>
      </c>
    </row>
    <row r="816" spans="1:12" x14ac:dyDescent="0.2">
      <c r="A816" s="681" t="s">
        <v>220</v>
      </c>
      <c r="B816" s="681" t="s">
        <v>2351</v>
      </c>
      <c r="C816" s="736" t="s">
        <v>5250</v>
      </c>
      <c r="D816" s="736" t="s">
        <v>5251</v>
      </c>
      <c r="E816" s="683"/>
      <c r="F816" s="685">
        <v>2</v>
      </c>
      <c r="G816" s="737">
        <v>23.079599999999999</v>
      </c>
      <c r="H816" s="685">
        <v>46.159199999999998</v>
      </c>
      <c r="I816" s="672" t="s">
        <v>9218</v>
      </c>
      <c r="J816" s="672" t="s">
        <v>9219</v>
      </c>
      <c r="K816" s="672" t="s">
        <v>2354</v>
      </c>
      <c r="L816" s="672" t="s">
        <v>9219</v>
      </c>
    </row>
    <row r="817" spans="1:12" x14ac:dyDescent="0.2">
      <c r="A817" s="681" t="s">
        <v>220</v>
      </c>
      <c r="B817" s="681" t="s">
        <v>2351</v>
      </c>
      <c r="C817" s="736" t="s">
        <v>5296</v>
      </c>
      <c r="D817" s="736" t="s">
        <v>2392</v>
      </c>
      <c r="E817" s="683"/>
      <c r="F817" s="685">
        <v>3</v>
      </c>
      <c r="G817" s="737">
        <v>0.59940000000000004</v>
      </c>
      <c r="H817" s="685">
        <v>1.7982</v>
      </c>
      <c r="I817" s="672" t="s">
        <v>9218</v>
      </c>
      <c r="J817" s="672" t="s">
        <v>9219</v>
      </c>
      <c r="K817" s="672" t="s">
        <v>2354</v>
      </c>
      <c r="L817" s="672" t="s">
        <v>9219</v>
      </c>
    </row>
    <row r="818" spans="1:12" x14ac:dyDescent="0.2">
      <c r="A818" s="681" t="s">
        <v>220</v>
      </c>
      <c r="B818" s="681" t="s">
        <v>2351</v>
      </c>
      <c r="C818" s="736" t="s">
        <v>5297</v>
      </c>
      <c r="D818" s="736" t="s">
        <v>5298</v>
      </c>
      <c r="E818" s="683"/>
      <c r="F818" s="685">
        <v>10</v>
      </c>
      <c r="G818" s="737">
        <v>1.5021</v>
      </c>
      <c r="H818" s="685">
        <v>15.021000000000001</v>
      </c>
      <c r="I818" s="672" t="s">
        <v>9218</v>
      </c>
      <c r="J818" s="672" t="s">
        <v>9219</v>
      </c>
      <c r="K818" s="672" t="s">
        <v>2354</v>
      </c>
      <c r="L818" s="672" t="s">
        <v>9219</v>
      </c>
    </row>
    <row r="819" spans="1:12" x14ac:dyDescent="0.2">
      <c r="A819" s="681" t="s">
        <v>220</v>
      </c>
      <c r="B819" s="681" t="s">
        <v>2351</v>
      </c>
      <c r="C819" s="736"/>
      <c r="D819" s="736" t="s">
        <v>2406</v>
      </c>
      <c r="E819" s="683"/>
      <c r="F819" s="685">
        <v>16</v>
      </c>
      <c r="G819" s="737">
        <v>14.94</v>
      </c>
      <c r="H819" s="685">
        <v>239.04</v>
      </c>
      <c r="I819" s="672" t="s">
        <v>9218</v>
      </c>
      <c r="J819" s="672" t="s">
        <v>9219</v>
      </c>
      <c r="K819" s="672" t="s">
        <v>2354</v>
      </c>
      <c r="L819" s="672" t="s">
        <v>9219</v>
      </c>
    </row>
    <row r="820" spans="1:12" x14ac:dyDescent="0.2">
      <c r="A820" s="681" t="s">
        <v>220</v>
      </c>
      <c r="B820" s="681" t="s">
        <v>2351</v>
      </c>
      <c r="C820" s="736"/>
      <c r="D820" s="736" t="s">
        <v>2398</v>
      </c>
      <c r="E820" s="683"/>
      <c r="F820" s="685">
        <v>8</v>
      </c>
      <c r="G820" s="737">
        <v>12.458</v>
      </c>
      <c r="H820" s="685">
        <v>99.664000000000001</v>
      </c>
      <c r="I820" s="672" t="s">
        <v>9218</v>
      </c>
      <c r="J820" s="672" t="s">
        <v>9219</v>
      </c>
      <c r="K820" s="672" t="s">
        <v>2354</v>
      </c>
      <c r="L820" s="672" t="s">
        <v>9219</v>
      </c>
    </row>
    <row r="821" spans="1:12" x14ac:dyDescent="0.2">
      <c r="A821" s="681" t="s">
        <v>220</v>
      </c>
      <c r="B821" s="681" t="s">
        <v>2351</v>
      </c>
      <c r="C821" s="736"/>
      <c r="D821" s="736" t="s">
        <v>2357</v>
      </c>
      <c r="E821" s="683"/>
      <c r="F821" s="685">
        <v>5</v>
      </c>
      <c r="G821" s="737">
        <v>3.9660000000000002</v>
      </c>
      <c r="H821" s="685">
        <v>19.830000000000002</v>
      </c>
      <c r="I821" s="672" t="s">
        <v>9218</v>
      </c>
      <c r="J821" s="672" t="s">
        <v>9219</v>
      </c>
      <c r="K821" s="672" t="s">
        <v>2354</v>
      </c>
      <c r="L821" s="672" t="s">
        <v>9219</v>
      </c>
    </row>
    <row r="822" spans="1:12" x14ac:dyDescent="0.2">
      <c r="A822" s="681" t="s">
        <v>220</v>
      </c>
      <c r="B822" s="681" t="s">
        <v>2351</v>
      </c>
      <c r="C822" s="736"/>
      <c r="D822" s="736" t="s">
        <v>2394</v>
      </c>
      <c r="E822" s="683"/>
      <c r="F822" s="685">
        <v>5</v>
      </c>
      <c r="G822" s="737">
        <v>2.1019999999999999</v>
      </c>
      <c r="H822" s="685">
        <v>10.51</v>
      </c>
      <c r="I822" s="672" t="s">
        <v>9218</v>
      </c>
      <c r="J822" s="672" t="s">
        <v>9219</v>
      </c>
      <c r="K822" s="672" t="s">
        <v>2354</v>
      </c>
      <c r="L822" s="672" t="s">
        <v>9219</v>
      </c>
    </row>
    <row r="823" spans="1:12" x14ac:dyDescent="0.2">
      <c r="A823" s="681" t="s">
        <v>220</v>
      </c>
      <c r="B823" s="681" t="s">
        <v>2351</v>
      </c>
      <c r="C823" s="736"/>
      <c r="D823" s="736" t="s">
        <v>2401</v>
      </c>
      <c r="E823" s="683"/>
      <c r="F823" s="685">
        <v>10</v>
      </c>
      <c r="G823" s="737">
        <v>1.619</v>
      </c>
      <c r="H823" s="685">
        <v>16.190000000000001</v>
      </c>
      <c r="I823" s="672" t="s">
        <v>9218</v>
      </c>
      <c r="J823" s="672" t="s">
        <v>9219</v>
      </c>
      <c r="K823" s="672" t="s">
        <v>2354</v>
      </c>
      <c r="L823" s="672" t="s">
        <v>9219</v>
      </c>
    </row>
    <row r="824" spans="1:12" x14ac:dyDescent="0.2">
      <c r="A824" s="681" t="s">
        <v>220</v>
      </c>
      <c r="B824" s="681" t="s">
        <v>2351</v>
      </c>
      <c r="C824" s="736" t="s">
        <v>3229</v>
      </c>
      <c r="D824" s="736" t="s">
        <v>3230</v>
      </c>
      <c r="E824" s="683"/>
      <c r="F824" s="685">
        <v>5</v>
      </c>
      <c r="G824" s="737">
        <v>0.88700000000000001</v>
      </c>
      <c r="H824" s="685">
        <v>4.4350000000000005</v>
      </c>
      <c r="I824" s="672" t="s">
        <v>9218</v>
      </c>
      <c r="J824" s="672" t="s">
        <v>9219</v>
      </c>
      <c r="K824" s="672" t="s">
        <v>2354</v>
      </c>
      <c r="L824" s="672" t="s">
        <v>9219</v>
      </c>
    </row>
    <row r="825" spans="1:12" x14ac:dyDescent="0.2">
      <c r="A825" s="681" t="s">
        <v>220</v>
      </c>
      <c r="B825" s="681" t="s">
        <v>2351</v>
      </c>
      <c r="C825" s="736" t="s">
        <v>3231</v>
      </c>
      <c r="D825" s="736" t="s">
        <v>3232</v>
      </c>
      <c r="E825" s="683"/>
      <c r="F825" s="685">
        <v>2</v>
      </c>
      <c r="G825" s="737">
        <v>2.13</v>
      </c>
      <c r="H825" s="685">
        <v>4.26</v>
      </c>
      <c r="I825" s="672" t="s">
        <v>9218</v>
      </c>
      <c r="J825" s="672" t="s">
        <v>9219</v>
      </c>
      <c r="K825" s="672" t="s">
        <v>2354</v>
      </c>
      <c r="L825" s="672" t="s">
        <v>9219</v>
      </c>
    </row>
    <row r="826" spans="1:12" x14ac:dyDescent="0.2">
      <c r="A826" s="681" t="s">
        <v>220</v>
      </c>
      <c r="B826" s="681" t="s">
        <v>2351</v>
      </c>
      <c r="C826" s="736" t="s">
        <v>3233</v>
      </c>
      <c r="D826" s="736" t="s">
        <v>3234</v>
      </c>
      <c r="E826" s="683"/>
      <c r="F826" s="685">
        <v>1</v>
      </c>
      <c r="G826" s="737">
        <v>3.5009999999999999</v>
      </c>
      <c r="H826" s="685">
        <v>3.5009999999999999</v>
      </c>
      <c r="I826" s="672" t="s">
        <v>9218</v>
      </c>
      <c r="J826" s="672" t="s">
        <v>9219</v>
      </c>
      <c r="K826" s="672" t="s">
        <v>2354</v>
      </c>
      <c r="L826" s="672" t="s">
        <v>9219</v>
      </c>
    </row>
    <row r="827" spans="1:12" x14ac:dyDescent="0.2">
      <c r="A827" s="681" t="s">
        <v>220</v>
      </c>
      <c r="B827" s="681" t="s">
        <v>2351</v>
      </c>
      <c r="C827" s="736" t="s">
        <v>3235</v>
      </c>
      <c r="D827" s="736" t="s">
        <v>3236</v>
      </c>
      <c r="E827" s="683"/>
      <c r="F827" s="685">
        <v>1</v>
      </c>
      <c r="G827" s="737">
        <v>8.9250000000000007</v>
      </c>
      <c r="H827" s="685">
        <v>8.9250000000000007</v>
      </c>
      <c r="I827" s="672" t="s">
        <v>9218</v>
      </c>
      <c r="J827" s="672" t="s">
        <v>9219</v>
      </c>
      <c r="K827" s="672" t="s">
        <v>2354</v>
      </c>
      <c r="L827" s="672" t="s">
        <v>9219</v>
      </c>
    </row>
    <row r="828" spans="1:12" x14ac:dyDescent="0.2">
      <c r="A828" s="681" t="s">
        <v>220</v>
      </c>
      <c r="B828" s="681" t="s">
        <v>2351</v>
      </c>
      <c r="C828" s="736" t="s">
        <v>3237</v>
      </c>
      <c r="D828" s="736" t="s">
        <v>3238</v>
      </c>
      <c r="E828" s="683"/>
      <c r="F828" s="685">
        <v>4</v>
      </c>
      <c r="G828" s="737">
        <v>45.576999999999998</v>
      </c>
      <c r="H828" s="685">
        <v>182.30799999999999</v>
      </c>
      <c r="I828" s="672" t="s">
        <v>9218</v>
      </c>
      <c r="J828" s="672" t="s">
        <v>9219</v>
      </c>
      <c r="K828" s="672" t="s">
        <v>2354</v>
      </c>
      <c r="L828" s="672" t="s">
        <v>9219</v>
      </c>
    </row>
    <row r="829" spans="1:12" x14ac:dyDescent="0.2">
      <c r="A829" s="681" t="s">
        <v>220</v>
      </c>
      <c r="B829" s="681" t="s">
        <v>2351</v>
      </c>
      <c r="C829" s="736" t="s">
        <v>3239</v>
      </c>
      <c r="D829" s="736" t="s">
        <v>3240</v>
      </c>
      <c r="E829" s="683"/>
      <c r="F829" s="685">
        <v>1</v>
      </c>
      <c r="G829" s="737">
        <v>88.346999999999994</v>
      </c>
      <c r="H829" s="685">
        <v>88.346999999999994</v>
      </c>
      <c r="I829" s="672" t="s">
        <v>9218</v>
      </c>
      <c r="J829" s="672" t="s">
        <v>9219</v>
      </c>
      <c r="K829" s="672" t="s">
        <v>2354</v>
      </c>
      <c r="L829" s="672" t="s">
        <v>9219</v>
      </c>
    </row>
    <row r="830" spans="1:12" x14ac:dyDescent="0.2">
      <c r="A830" s="681" t="s">
        <v>220</v>
      </c>
      <c r="B830" s="681" t="s">
        <v>2351</v>
      </c>
      <c r="C830" s="736" t="s">
        <v>3245</v>
      </c>
      <c r="D830" s="736" t="s">
        <v>3246</v>
      </c>
      <c r="E830" s="683"/>
      <c r="F830" s="685">
        <v>1</v>
      </c>
      <c r="G830" s="737">
        <v>15.0642</v>
      </c>
      <c r="H830" s="685">
        <v>15.0642</v>
      </c>
      <c r="I830" s="672" t="s">
        <v>9218</v>
      </c>
      <c r="J830" s="672" t="s">
        <v>9219</v>
      </c>
      <c r="K830" s="672" t="s">
        <v>2354</v>
      </c>
      <c r="L830" s="672" t="s">
        <v>9219</v>
      </c>
    </row>
    <row r="831" spans="1:12" x14ac:dyDescent="0.2">
      <c r="A831" s="681" t="s">
        <v>220</v>
      </c>
      <c r="B831" s="681" t="s">
        <v>2351</v>
      </c>
      <c r="C831" s="736" t="s">
        <v>3247</v>
      </c>
      <c r="D831" s="736" t="s">
        <v>3248</v>
      </c>
      <c r="E831" s="683"/>
      <c r="F831" s="685">
        <v>1</v>
      </c>
      <c r="G831" s="737">
        <v>23.836500000000001</v>
      </c>
      <c r="H831" s="685">
        <v>23.836500000000001</v>
      </c>
      <c r="I831" s="672" t="s">
        <v>9218</v>
      </c>
      <c r="J831" s="672" t="s">
        <v>9219</v>
      </c>
      <c r="K831" s="672" t="s">
        <v>2354</v>
      </c>
      <c r="L831" s="672" t="s">
        <v>9219</v>
      </c>
    </row>
    <row r="832" spans="1:12" x14ac:dyDescent="0.2">
      <c r="A832" s="681" t="s">
        <v>220</v>
      </c>
      <c r="B832" s="681" t="s">
        <v>2351</v>
      </c>
      <c r="C832" s="738" t="s">
        <v>3249</v>
      </c>
      <c r="D832" s="738" t="s">
        <v>9390</v>
      </c>
      <c r="E832" s="741"/>
      <c r="F832" s="685">
        <v>15</v>
      </c>
      <c r="G832" s="737">
        <v>5.4981</v>
      </c>
      <c r="H832" s="685">
        <v>82.471500000000006</v>
      </c>
      <c r="I832" s="672" t="s">
        <v>9218</v>
      </c>
      <c r="J832" s="672" t="s">
        <v>9219</v>
      </c>
      <c r="K832" s="672" t="s">
        <v>2354</v>
      </c>
      <c r="L832" s="672" t="s">
        <v>9219</v>
      </c>
    </row>
    <row r="833" spans="1:12" x14ac:dyDescent="0.2">
      <c r="A833" s="681" t="s">
        <v>220</v>
      </c>
      <c r="B833" s="681" t="s">
        <v>2351</v>
      </c>
      <c r="C833" s="738" t="s">
        <v>3251</v>
      </c>
      <c r="D833" s="738" t="s">
        <v>3252</v>
      </c>
      <c r="E833" s="741"/>
      <c r="F833" s="685">
        <v>5</v>
      </c>
      <c r="G833" s="737">
        <v>3.3184</v>
      </c>
      <c r="H833" s="685">
        <v>16.591999999999999</v>
      </c>
      <c r="I833" s="672" t="s">
        <v>9218</v>
      </c>
      <c r="J833" s="672" t="s">
        <v>9219</v>
      </c>
      <c r="K833" s="672" t="s">
        <v>2354</v>
      </c>
      <c r="L833" s="672" t="s">
        <v>9219</v>
      </c>
    </row>
    <row r="834" spans="1:12" x14ac:dyDescent="0.2">
      <c r="A834" s="681" t="s">
        <v>220</v>
      </c>
      <c r="B834" s="681" t="s">
        <v>2351</v>
      </c>
      <c r="C834" s="738" t="s">
        <v>3253</v>
      </c>
      <c r="D834" s="738" t="s">
        <v>3254</v>
      </c>
      <c r="E834" s="741"/>
      <c r="F834" s="685">
        <v>36</v>
      </c>
      <c r="G834" s="737">
        <v>0.58699999999999997</v>
      </c>
      <c r="H834" s="685">
        <v>21.131999999999998</v>
      </c>
      <c r="I834" s="672" t="s">
        <v>9218</v>
      </c>
      <c r="J834" s="672" t="s">
        <v>9219</v>
      </c>
      <c r="K834" s="672" t="s">
        <v>2354</v>
      </c>
      <c r="L834" s="672" t="s">
        <v>9219</v>
      </c>
    </row>
    <row r="835" spans="1:12" x14ac:dyDescent="0.2">
      <c r="A835" s="681" t="s">
        <v>220</v>
      </c>
      <c r="B835" s="681" t="s">
        <v>2351</v>
      </c>
      <c r="C835" s="738"/>
      <c r="D835" s="738" t="s">
        <v>9391</v>
      </c>
      <c r="E835" s="741"/>
      <c r="F835" s="685">
        <v>10</v>
      </c>
      <c r="G835" s="737">
        <v>0.497</v>
      </c>
      <c r="H835" s="685">
        <v>4.97</v>
      </c>
      <c r="I835" s="672" t="s">
        <v>9218</v>
      </c>
      <c r="J835" s="672" t="s">
        <v>9219</v>
      </c>
      <c r="K835" s="672" t="s">
        <v>2354</v>
      </c>
      <c r="L835" s="672" t="s">
        <v>9219</v>
      </c>
    </row>
    <row r="836" spans="1:12" x14ac:dyDescent="0.2">
      <c r="A836" s="681" t="s">
        <v>220</v>
      </c>
      <c r="B836" s="681" t="s">
        <v>2351</v>
      </c>
      <c r="C836" s="738" t="s">
        <v>3255</v>
      </c>
      <c r="D836" s="738" t="s">
        <v>3256</v>
      </c>
      <c r="E836" s="741"/>
      <c r="F836" s="685">
        <v>1</v>
      </c>
      <c r="G836" s="737">
        <v>6.6790000000000003</v>
      </c>
      <c r="H836" s="685">
        <v>6.6790000000000003</v>
      </c>
      <c r="I836" s="672" t="s">
        <v>9218</v>
      </c>
      <c r="J836" s="672" t="s">
        <v>9219</v>
      </c>
      <c r="K836" s="672" t="s">
        <v>2354</v>
      </c>
      <c r="L836" s="672" t="s">
        <v>9219</v>
      </c>
    </row>
    <row r="837" spans="1:12" x14ac:dyDescent="0.2">
      <c r="A837" s="681" t="s">
        <v>220</v>
      </c>
      <c r="B837" s="681" t="s">
        <v>2351</v>
      </c>
      <c r="C837" s="738" t="s">
        <v>5356</v>
      </c>
      <c r="D837" s="738" t="s">
        <v>5357</v>
      </c>
      <c r="E837" s="741"/>
      <c r="F837" s="685">
        <v>14</v>
      </c>
      <c r="G837" s="737">
        <v>7.7145999999999999</v>
      </c>
      <c r="H837" s="685">
        <v>108.0044</v>
      </c>
      <c r="I837" s="672" t="s">
        <v>9218</v>
      </c>
      <c r="J837" s="672" t="s">
        <v>9219</v>
      </c>
      <c r="K837" s="672" t="s">
        <v>2354</v>
      </c>
      <c r="L837" s="672" t="s">
        <v>9219</v>
      </c>
    </row>
    <row r="838" spans="1:12" x14ac:dyDescent="0.2">
      <c r="A838" s="681" t="s">
        <v>220</v>
      </c>
      <c r="B838" s="681" t="s">
        <v>2351</v>
      </c>
      <c r="C838" s="738" t="s">
        <v>3257</v>
      </c>
      <c r="D838" s="738" t="s">
        <v>3258</v>
      </c>
      <c r="E838" s="741"/>
      <c r="F838" s="685">
        <v>2</v>
      </c>
      <c r="G838" s="737">
        <v>13.855</v>
      </c>
      <c r="H838" s="685">
        <v>27.71</v>
      </c>
      <c r="I838" s="672" t="s">
        <v>9218</v>
      </c>
      <c r="J838" s="672" t="s">
        <v>9219</v>
      </c>
      <c r="K838" s="672" t="s">
        <v>2354</v>
      </c>
      <c r="L838" s="672" t="s">
        <v>9219</v>
      </c>
    </row>
    <row r="839" spans="1:12" x14ac:dyDescent="0.2">
      <c r="A839" s="681" t="s">
        <v>220</v>
      </c>
      <c r="B839" s="681" t="s">
        <v>2351</v>
      </c>
      <c r="C839" s="738" t="s">
        <v>3259</v>
      </c>
      <c r="D839" s="738" t="s">
        <v>3260</v>
      </c>
      <c r="E839" s="741"/>
      <c r="F839" s="685">
        <v>2</v>
      </c>
      <c r="G839" s="737">
        <v>22.513499999999997</v>
      </c>
      <c r="H839" s="685">
        <v>45.026999999999994</v>
      </c>
      <c r="I839" s="672" t="s">
        <v>9218</v>
      </c>
      <c r="J839" s="672" t="s">
        <v>9219</v>
      </c>
      <c r="K839" s="672" t="s">
        <v>2354</v>
      </c>
      <c r="L839" s="672" t="s">
        <v>9219</v>
      </c>
    </row>
    <row r="840" spans="1:12" x14ac:dyDescent="0.2">
      <c r="A840" s="681" t="s">
        <v>220</v>
      </c>
      <c r="B840" s="681" t="s">
        <v>2351</v>
      </c>
      <c r="C840" s="738" t="s">
        <v>3261</v>
      </c>
      <c r="D840" s="738" t="s">
        <v>3262</v>
      </c>
      <c r="E840" s="741"/>
      <c r="F840" s="685">
        <v>8</v>
      </c>
      <c r="G840" s="737">
        <v>3.762</v>
      </c>
      <c r="H840" s="685">
        <v>30.096</v>
      </c>
      <c r="I840" s="672" t="s">
        <v>9218</v>
      </c>
      <c r="J840" s="672" t="s">
        <v>9219</v>
      </c>
      <c r="K840" s="672" t="s">
        <v>2354</v>
      </c>
      <c r="L840" s="672" t="s">
        <v>9219</v>
      </c>
    </row>
    <row r="841" spans="1:12" x14ac:dyDescent="0.2">
      <c r="A841" s="681" t="s">
        <v>220</v>
      </c>
      <c r="B841" s="681" t="s">
        <v>2351</v>
      </c>
      <c r="C841" s="738" t="s">
        <v>3263</v>
      </c>
      <c r="D841" s="738" t="s">
        <v>3264</v>
      </c>
      <c r="E841" s="741"/>
      <c r="F841" s="685">
        <v>1</v>
      </c>
      <c r="G841" s="737">
        <v>26.030999999999999</v>
      </c>
      <c r="H841" s="685">
        <v>26.030999999999999</v>
      </c>
      <c r="I841" s="672" t="s">
        <v>9218</v>
      </c>
      <c r="J841" s="672" t="s">
        <v>9219</v>
      </c>
      <c r="K841" s="672" t="s">
        <v>2354</v>
      </c>
      <c r="L841" s="672" t="s">
        <v>9219</v>
      </c>
    </row>
    <row r="842" spans="1:12" x14ac:dyDescent="0.2">
      <c r="A842" s="681" t="s">
        <v>220</v>
      </c>
      <c r="B842" s="681" t="s">
        <v>2351</v>
      </c>
      <c r="C842" s="738" t="s">
        <v>3265</v>
      </c>
      <c r="D842" s="738" t="s">
        <v>3266</v>
      </c>
      <c r="E842" s="741"/>
      <c r="F842" s="685">
        <v>4</v>
      </c>
      <c r="G842" s="737">
        <v>44.594999999999999</v>
      </c>
      <c r="H842" s="685">
        <v>178.38</v>
      </c>
      <c r="I842" s="672" t="s">
        <v>9218</v>
      </c>
      <c r="J842" s="672" t="s">
        <v>9219</v>
      </c>
      <c r="K842" s="672" t="s">
        <v>2354</v>
      </c>
      <c r="L842" s="672" t="s">
        <v>9219</v>
      </c>
    </row>
    <row r="843" spans="1:12" x14ac:dyDescent="0.2">
      <c r="A843" s="681" t="s">
        <v>220</v>
      </c>
      <c r="B843" s="681" t="s">
        <v>2351</v>
      </c>
      <c r="C843" s="738" t="s">
        <v>3267</v>
      </c>
      <c r="D843" s="738" t="s">
        <v>3268</v>
      </c>
      <c r="E843" s="741"/>
      <c r="F843" s="685">
        <v>3</v>
      </c>
      <c r="G843" s="737">
        <v>16.214741666666665</v>
      </c>
      <c r="H843" s="685">
        <v>48.644224999999992</v>
      </c>
      <c r="I843" s="672" t="s">
        <v>9218</v>
      </c>
      <c r="J843" s="672" t="s">
        <v>9219</v>
      </c>
      <c r="K843" s="672" t="s">
        <v>2354</v>
      </c>
      <c r="L843" s="672" t="s">
        <v>9219</v>
      </c>
    </row>
    <row r="844" spans="1:12" x14ac:dyDescent="0.2">
      <c r="A844" s="681" t="s">
        <v>220</v>
      </c>
      <c r="B844" s="681" t="s">
        <v>2351</v>
      </c>
      <c r="C844" s="738" t="s">
        <v>3269</v>
      </c>
      <c r="D844" s="738" t="s">
        <v>3270</v>
      </c>
      <c r="E844" s="741"/>
      <c r="F844" s="685">
        <v>7</v>
      </c>
      <c r="G844" s="737">
        <v>12.332700000000001</v>
      </c>
      <c r="H844" s="685">
        <v>86.328900000000004</v>
      </c>
      <c r="I844" s="672" t="s">
        <v>9218</v>
      </c>
      <c r="J844" s="672" t="s">
        <v>9219</v>
      </c>
      <c r="K844" s="672" t="s">
        <v>2354</v>
      </c>
      <c r="L844" s="672" t="s">
        <v>9219</v>
      </c>
    </row>
    <row r="845" spans="1:12" x14ac:dyDescent="0.2">
      <c r="A845" s="681" t="s">
        <v>220</v>
      </c>
      <c r="B845" s="681" t="s">
        <v>2351</v>
      </c>
      <c r="C845" s="738" t="s">
        <v>3273</v>
      </c>
      <c r="D845" s="738" t="s">
        <v>3274</v>
      </c>
      <c r="E845" s="741"/>
      <c r="F845" s="685">
        <v>15</v>
      </c>
      <c r="G845" s="737">
        <v>5.9912121212121212</v>
      </c>
      <c r="H845" s="685">
        <v>89.868181818181824</v>
      </c>
      <c r="I845" s="672" t="s">
        <v>9218</v>
      </c>
      <c r="J845" s="672" t="s">
        <v>9219</v>
      </c>
      <c r="K845" s="672" t="s">
        <v>2354</v>
      </c>
      <c r="L845" s="672" t="s">
        <v>9219</v>
      </c>
    </row>
    <row r="846" spans="1:12" x14ac:dyDescent="0.2">
      <c r="A846" s="681" t="s">
        <v>220</v>
      </c>
      <c r="B846" s="681" t="s">
        <v>2351</v>
      </c>
      <c r="C846" s="738" t="s">
        <v>3275</v>
      </c>
      <c r="D846" s="738" t="s">
        <v>3276</v>
      </c>
      <c r="E846" s="741"/>
      <c r="F846" s="685">
        <v>13</v>
      </c>
      <c r="G846" s="737">
        <v>0.83979999999999999</v>
      </c>
      <c r="H846" s="685">
        <v>10.917400000000001</v>
      </c>
      <c r="I846" s="672" t="s">
        <v>9218</v>
      </c>
      <c r="J846" s="672" t="s">
        <v>9219</v>
      </c>
      <c r="K846" s="672" t="s">
        <v>2354</v>
      </c>
      <c r="L846" s="672" t="s">
        <v>9219</v>
      </c>
    </row>
    <row r="847" spans="1:12" x14ac:dyDescent="0.2">
      <c r="A847" s="681" t="s">
        <v>220</v>
      </c>
      <c r="B847" s="681" t="s">
        <v>2351</v>
      </c>
      <c r="C847" s="738" t="s">
        <v>3277</v>
      </c>
      <c r="D847" s="738" t="s">
        <v>3278</v>
      </c>
      <c r="E847" s="741"/>
      <c r="F847" s="685">
        <v>4</v>
      </c>
      <c r="G847" s="737">
        <v>1.048</v>
      </c>
      <c r="H847" s="685">
        <v>4.1920000000000002</v>
      </c>
      <c r="I847" s="672" t="s">
        <v>9218</v>
      </c>
      <c r="J847" s="672" t="s">
        <v>9219</v>
      </c>
      <c r="K847" s="672" t="s">
        <v>2354</v>
      </c>
      <c r="L847" s="672" t="s">
        <v>9219</v>
      </c>
    </row>
    <row r="848" spans="1:12" x14ac:dyDescent="0.2">
      <c r="A848" s="681" t="s">
        <v>220</v>
      </c>
      <c r="B848" s="681" t="s">
        <v>2351</v>
      </c>
      <c r="C848" s="738" t="s">
        <v>3279</v>
      </c>
      <c r="D848" s="738" t="s">
        <v>3280</v>
      </c>
      <c r="E848" s="741"/>
      <c r="F848" s="685">
        <v>3</v>
      </c>
      <c r="G848" s="737">
        <v>2.6389999999999998</v>
      </c>
      <c r="H848" s="685">
        <v>7.9169999999999998</v>
      </c>
      <c r="I848" s="672" t="s">
        <v>9218</v>
      </c>
      <c r="J848" s="672" t="s">
        <v>9219</v>
      </c>
      <c r="K848" s="672" t="s">
        <v>2354</v>
      </c>
      <c r="L848" s="672" t="s">
        <v>9219</v>
      </c>
    </row>
    <row r="849" spans="1:12" x14ac:dyDescent="0.2">
      <c r="A849" s="681" t="s">
        <v>220</v>
      </c>
      <c r="B849" s="681" t="s">
        <v>2351</v>
      </c>
      <c r="C849" s="738" t="s">
        <v>3281</v>
      </c>
      <c r="D849" s="738" t="s">
        <v>3282</v>
      </c>
      <c r="E849" s="741"/>
      <c r="F849" s="685">
        <v>2</v>
      </c>
      <c r="G849" s="737">
        <v>4.6609999999999996</v>
      </c>
      <c r="H849" s="685">
        <v>9.3219999999999992</v>
      </c>
      <c r="I849" s="672" t="s">
        <v>9218</v>
      </c>
      <c r="J849" s="672" t="s">
        <v>9219</v>
      </c>
      <c r="K849" s="672" t="s">
        <v>2354</v>
      </c>
      <c r="L849" s="672" t="s">
        <v>9219</v>
      </c>
    </row>
    <row r="850" spans="1:12" x14ac:dyDescent="0.2">
      <c r="A850" s="681" t="s">
        <v>220</v>
      </c>
      <c r="B850" s="681" t="s">
        <v>2351</v>
      </c>
      <c r="C850" s="738" t="s">
        <v>3285</v>
      </c>
      <c r="D850" s="738" t="s">
        <v>3286</v>
      </c>
      <c r="E850" s="741"/>
      <c r="F850" s="685">
        <v>12</v>
      </c>
      <c r="G850" s="737">
        <v>11.2506</v>
      </c>
      <c r="H850" s="685">
        <v>135.00720000000001</v>
      </c>
      <c r="I850" s="672" t="s">
        <v>9218</v>
      </c>
      <c r="J850" s="672" t="s">
        <v>9219</v>
      </c>
      <c r="K850" s="672" t="s">
        <v>2354</v>
      </c>
      <c r="L850" s="672" t="s">
        <v>9219</v>
      </c>
    </row>
    <row r="851" spans="1:12" x14ac:dyDescent="0.2">
      <c r="A851" s="681" t="s">
        <v>220</v>
      </c>
      <c r="B851" s="681" t="s">
        <v>2351</v>
      </c>
      <c r="C851" s="738" t="s">
        <v>3287</v>
      </c>
      <c r="D851" s="738" t="s">
        <v>3288</v>
      </c>
      <c r="E851" s="741"/>
      <c r="F851" s="685">
        <v>3</v>
      </c>
      <c r="G851" s="737">
        <v>9.2750000000000004</v>
      </c>
      <c r="H851" s="685">
        <v>27.825000000000003</v>
      </c>
      <c r="I851" s="672" t="s">
        <v>9218</v>
      </c>
      <c r="J851" s="672" t="s">
        <v>9219</v>
      </c>
      <c r="K851" s="672" t="s">
        <v>2354</v>
      </c>
      <c r="L851" s="672" t="s">
        <v>9219</v>
      </c>
    </row>
    <row r="852" spans="1:12" x14ac:dyDescent="0.2">
      <c r="A852" s="681" t="s">
        <v>220</v>
      </c>
      <c r="B852" s="681" t="s">
        <v>2351</v>
      </c>
      <c r="C852" s="738" t="s">
        <v>3289</v>
      </c>
      <c r="D852" s="738" t="s">
        <v>3290</v>
      </c>
      <c r="E852" s="741"/>
      <c r="F852" s="685">
        <v>10</v>
      </c>
      <c r="G852" s="737">
        <v>2.0020000000000002</v>
      </c>
      <c r="H852" s="685">
        <v>20.020000000000003</v>
      </c>
      <c r="I852" s="672" t="s">
        <v>9218</v>
      </c>
      <c r="J852" s="672" t="s">
        <v>9219</v>
      </c>
      <c r="K852" s="672" t="s">
        <v>2354</v>
      </c>
      <c r="L852" s="672" t="s">
        <v>9219</v>
      </c>
    </row>
    <row r="853" spans="1:12" x14ac:dyDescent="0.2">
      <c r="A853" s="681" t="s">
        <v>220</v>
      </c>
      <c r="B853" s="681" t="s">
        <v>2351</v>
      </c>
      <c r="C853" s="738" t="s">
        <v>3293</v>
      </c>
      <c r="D853" s="738" t="s">
        <v>3294</v>
      </c>
      <c r="E853" s="741"/>
      <c r="F853" s="685">
        <v>7</v>
      </c>
      <c r="G853" s="737">
        <v>1.105</v>
      </c>
      <c r="H853" s="685">
        <v>7.7349999999999994</v>
      </c>
      <c r="I853" s="672" t="s">
        <v>9218</v>
      </c>
      <c r="J853" s="672" t="s">
        <v>9219</v>
      </c>
      <c r="K853" s="672" t="s">
        <v>2354</v>
      </c>
      <c r="L853" s="672" t="s">
        <v>9219</v>
      </c>
    </row>
    <row r="854" spans="1:12" x14ac:dyDescent="0.2">
      <c r="A854" s="681" t="s">
        <v>220</v>
      </c>
      <c r="B854" s="681" t="s">
        <v>2351</v>
      </c>
      <c r="C854" s="738" t="s">
        <v>3295</v>
      </c>
      <c r="D854" s="738" t="s">
        <v>3296</v>
      </c>
      <c r="E854" s="741"/>
      <c r="F854" s="685">
        <v>2</v>
      </c>
      <c r="G854" s="737">
        <v>3.3797142857142854</v>
      </c>
      <c r="H854" s="685">
        <v>6.7594285714285709</v>
      </c>
      <c r="I854" s="672" t="s">
        <v>9218</v>
      </c>
      <c r="J854" s="672" t="s">
        <v>9219</v>
      </c>
      <c r="K854" s="672" t="s">
        <v>2354</v>
      </c>
      <c r="L854" s="672" t="s">
        <v>9219</v>
      </c>
    </row>
    <row r="855" spans="1:12" x14ac:dyDescent="0.2">
      <c r="A855" s="681" t="s">
        <v>220</v>
      </c>
      <c r="B855" s="681" t="s">
        <v>2351</v>
      </c>
      <c r="C855" s="738" t="s">
        <v>3297</v>
      </c>
      <c r="D855" s="738" t="s">
        <v>3298</v>
      </c>
      <c r="E855" s="741"/>
      <c r="F855" s="685">
        <v>2</v>
      </c>
      <c r="G855" s="737">
        <v>2.3119999999999998</v>
      </c>
      <c r="H855" s="685">
        <v>4.6239999999999997</v>
      </c>
      <c r="I855" s="672" t="s">
        <v>9218</v>
      </c>
      <c r="J855" s="672" t="s">
        <v>9219</v>
      </c>
      <c r="K855" s="672" t="s">
        <v>2354</v>
      </c>
      <c r="L855" s="672" t="s">
        <v>9219</v>
      </c>
    </row>
    <row r="856" spans="1:12" x14ac:dyDescent="0.2">
      <c r="A856" s="681" t="s">
        <v>220</v>
      </c>
      <c r="B856" s="681" t="s">
        <v>2351</v>
      </c>
      <c r="C856" s="738" t="s">
        <v>3299</v>
      </c>
      <c r="D856" s="738" t="s">
        <v>3300</v>
      </c>
      <c r="E856" s="741"/>
      <c r="F856" s="685">
        <v>4</v>
      </c>
      <c r="G856" s="737">
        <v>14.5512</v>
      </c>
      <c r="H856" s="685">
        <v>58.204799999999999</v>
      </c>
      <c r="I856" s="672" t="s">
        <v>9218</v>
      </c>
      <c r="J856" s="672" t="s">
        <v>9219</v>
      </c>
      <c r="K856" s="672" t="s">
        <v>2354</v>
      </c>
      <c r="L856" s="672" t="s">
        <v>9219</v>
      </c>
    </row>
    <row r="857" spans="1:12" x14ac:dyDescent="0.2">
      <c r="A857" s="681" t="s">
        <v>220</v>
      </c>
      <c r="B857" s="681" t="s">
        <v>2351</v>
      </c>
      <c r="C857" s="738" t="s">
        <v>3301</v>
      </c>
      <c r="D857" s="738" t="s">
        <v>3302</v>
      </c>
      <c r="E857" s="741"/>
      <c r="F857" s="685">
        <v>2</v>
      </c>
      <c r="G857" s="737">
        <v>20.162183333333335</v>
      </c>
      <c r="H857" s="685">
        <v>40.32436666666667</v>
      </c>
      <c r="I857" s="672" t="s">
        <v>9218</v>
      </c>
      <c r="J857" s="672" t="s">
        <v>9219</v>
      </c>
      <c r="K857" s="672" t="s">
        <v>2354</v>
      </c>
      <c r="L857" s="672" t="s">
        <v>9219</v>
      </c>
    </row>
    <row r="858" spans="1:12" x14ac:dyDescent="0.2">
      <c r="A858" s="681" t="s">
        <v>220</v>
      </c>
      <c r="B858" s="681" t="s">
        <v>2351</v>
      </c>
      <c r="C858" s="738" t="s">
        <v>3303</v>
      </c>
      <c r="D858" s="738" t="s">
        <v>3304</v>
      </c>
      <c r="E858" s="741"/>
      <c r="F858" s="685">
        <v>1</v>
      </c>
      <c r="G858" s="737">
        <v>6.5119999999999996</v>
      </c>
      <c r="H858" s="685">
        <v>6.5119999999999996</v>
      </c>
      <c r="I858" s="672" t="s">
        <v>9218</v>
      </c>
      <c r="J858" s="672" t="s">
        <v>9219</v>
      </c>
      <c r="K858" s="672" t="s">
        <v>2354</v>
      </c>
      <c r="L858" s="672" t="s">
        <v>9219</v>
      </c>
    </row>
    <row r="859" spans="1:12" x14ac:dyDescent="0.2">
      <c r="A859" s="681" t="s">
        <v>220</v>
      </c>
      <c r="B859" s="681" t="s">
        <v>2351</v>
      </c>
      <c r="C859" s="738" t="s">
        <v>3305</v>
      </c>
      <c r="D859" s="738" t="s">
        <v>3306</v>
      </c>
      <c r="E859" s="741"/>
      <c r="F859" s="685">
        <v>2</v>
      </c>
      <c r="G859" s="737">
        <v>4.9580000000000002</v>
      </c>
      <c r="H859" s="685">
        <v>9.9160000000000004</v>
      </c>
      <c r="I859" s="672" t="s">
        <v>9218</v>
      </c>
      <c r="J859" s="672" t="s">
        <v>9219</v>
      </c>
      <c r="K859" s="672" t="s">
        <v>2354</v>
      </c>
      <c r="L859" s="672" t="s">
        <v>9219</v>
      </c>
    </row>
    <row r="860" spans="1:12" x14ac:dyDescent="0.2">
      <c r="A860" s="681" t="s">
        <v>220</v>
      </c>
      <c r="B860" s="681" t="s">
        <v>2351</v>
      </c>
      <c r="C860" s="738" t="s">
        <v>3307</v>
      </c>
      <c r="D860" s="738" t="s">
        <v>3308</v>
      </c>
      <c r="E860" s="741"/>
      <c r="F860" s="685">
        <v>1</v>
      </c>
      <c r="G860" s="737">
        <v>4.6580000000000004</v>
      </c>
      <c r="H860" s="685">
        <v>4.6580000000000004</v>
      </c>
      <c r="I860" s="672" t="s">
        <v>9218</v>
      </c>
      <c r="J860" s="672" t="s">
        <v>9219</v>
      </c>
      <c r="K860" s="672" t="s">
        <v>2354</v>
      </c>
      <c r="L860" s="672" t="s">
        <v>9219</v>
      </c>
    </row>
    <row r="861" spans="1:12" x14ac:dyDescent="0.2">
      <c r="A861" s="681" t="s">
        <v>220</v>
      </c>
      <c r="B861" s="681" t="s">
        <v>2351</v>
      </c>
      <c r="C861" s="738" t="s">
        <v>3311</v>
      </c>
      <c r="D861" s="738" t="s">
        <v>3312</v>
      </c>
      <c r="E861" s="741"/>
      <c r="F861" s="685">
        <v>3</v>
      </c>
      <c r="G861" s="737">
        <v>19.899999999999999</v>
      </c>
      <c r="H861" s="685">
        <v>59.699999999999996</v>
      </c>
      <c r="I861" s="672" t="s">
        <v>9218</v>
      </c>
      <c r="J861" s="672" t="s">
        <v>9219</v>
      </c>
      <c r="K861" s="672" t="s">
        <v>2354</v>
      </c>
      <c r="L861" s="672" t="s">
        <v>9219</v>
      </c>
    </row>
    <row r="862" spans="1:12" x14ac:dyDescent="0.2">
      <c r="A862" s="681" t="s">
        <v>220</v>
      </c>
      <c r="B862" s="681" t="s">
        <v>2351</v>
      </c>
      <c r="C862" s="738" t="s">
        <v>5337</v>
      </c>
      <c r="D862" s="738" t="s">
        <v>5338</v>
      </c>
      <c r="E862" s="741"/>
      <c r="F862" s="685">
        <v>2</v>
      </c>
      <c r="G862" s="737">
        <v>2.75</v>
      </c>
      <c r="H862" s="685">
        <v>5.5</v>
      </c>
      <c r="I862" s="672" t="s">
        <v>9218</v>
      </c>
      <c r="J862" s="672" t="s">
        <v>9219</v>
      </c>
      <c r="K862" s="672" t="s">
        <v>2354</v>
      </c>
      <c r="L862" s="672" t="s">
        <v>9219</v>
      </c>
    </row>
    <row r="863" spans="1:12" x14ac:dyDescent="0.2">
      <c r="A863" s="681" t="s">
        <v>220</v>
      </c>
      <c r="B863" s="681" t="s">
        <v>2351</v>
      </c>
      <c r="C863" s="738" t="s">
        <v>3315</v>
      </c>
      <c r="D863" s="738" t="s">
        <v>3316</v>
      </c>
      <c r="E863" s="741"/>
      <c r="F863" s="685">
        <v>4</v>
      </c>
      <c r="G863" s="737">
        <v>4.17</v>
      </c>
      <c r="H863" s="685">
        <v>16.68</v>
      </c>
      <c r="I863" s="672" t="s">
        <v>9218</v>
      </c>
      <c r="J863" s="672" t="s">
        <v>9219</v>
      </c>
      <c r="K863" s="672" t="s">
        <v>2354</v>
      </c>
      <c r="L863" s="672" t="s">
        <v>9219</v>
      </c>
    </row>
    <row r="864" spans="1:12" x14ac:dyDescent="0.2">
      <c r="A864" s="681" t="s">
        <v>220</v>
      </c>
      <c r="B864" s="681" t="s">
        <v>2351</v>
      </c>
      <c r="C864" s="738" t="s">
        <v>5339</v>
      </c>
      <c r="D864" s="738" t="s">
        <v>5340</v>
      </c>
      <c r="E864" s="741"/>
      <c r="F864" s="685">
        <v>6</v>
      </c>
      <c r="G864" s="737">
        <v>1.464</v>
      </c>
      <c r="H864" s="685">
        <v>8.7839999999999989</v>
      </c>
      <c r="I864" s="672" t="s">
        <v>9218</v>
      </c>
      <c r="J864" s="672" t="s">
        <v>9219</v>
      </c>
      <c r="K864" s="672" t="s">
        <v>2354</v>
      </c>
      <c r="L864" s="672" t="s">
        <v>9219</v>
      </c>
    </row>
    <row r="865" spans="1:12" x14ac:dyDescent="0.2">
      <c r="A865" s="681" t="s">
        <v>220</v>
      </c>
      <c r="B865" s="681" t="s">
        <v>2351</v>
      </c>
      <c r="C865" s="738" t="s">
        <v>3319</v>
      </c>
      <c r="D865" s="738" t="s">
        <v>3320</v>
      </c>
      <c r="E865" s="741"/>
      <c r="F865" s="685">
        <v>3</v>
      </c>
      <c r="G865" s="737">
        <v>1.171</v>
      </c>
      <c r="H865" s="685">
        <v>3.5129999999999999</v>
      </c>
      <c r="I865" s="672" t="s">
        <v>9218</v>
      </c>
      <c r="J865" s="672" t="s">
        <v>9219</v>
      </c>
      <c r="K865" s="672" t="s">
        <v>2354</v>
      </c>
      <c r="L865" s="672" t="s">
        <v>9219</v>
      </c>
    </row>
    <row r="866" spans="1:12" x14ac:dyDescent="0.2">
      <c r="A866" s="681" t="s">
        <v>220</v>
      </c>
      <c r="B866" s="681" t="s">
        <v>2351</v>
      </c>
      <c r="C866" s="738" t="s">
        <v>5309</v>
      </c>
      <c r="D866" s="738" t="s">
        <v>5310</v>
      </c>
      <c r="E866" s="741"/>
      <c r="F866" s="685">
        <v>4</v>
      </c>
      <c r="G866" s="737">
        <v>3.2147000000000001</v>
      </c>
      <c r="H866" s="685">
        <v>12.8588</v>
      </c>
      <c r="I866" s="672" t="s">
        <v>9218</v>
      </c>
      <c r="J866" s="672" t="s">
        <v>9219</v>
      </c>
      <c r="K866" s="672" t="s">
        <v>2354</v>
      </c>
      <c r="L866" s="672" t="s">
        <v>9219</v>
      </c>
    </row>
    <row r="867" spans="1:12" x14ac:dyDescent="0.2">
      <c r="A867" s="681" t="s">
        <v>220</v>
      </c>
      <c r="B867" s="681" t="s">
        <v>2351</v>
      </c>
      <c r="C867" s="738" t="s">
        <v>5358</v>
      </c>
      <c r="D867" s="738" t="s">
        <v>5359</v>
      </c>
      <c r="E867" s="741"/>
      <c r="F867" s="685">
        <v>1</v>
      </c>
      <c r="G867" s="737">
        <v>11.30594</v>
      </c>
      <c r="H867" s="685">
        <v>11.30594</v>
      </c>
      <c r="I867" s="672" t="s">
        <v>9218</v>
      </c>
      <c r="J867" s="672" t="s">
        <v>9219</v>
      </c>
      <c r="K867" s="672" t="s">
        <v>2354</v>
      </c>
      <c r="L867" s="672" t="s">
        <v>9219</v>
      </c>
    </row>
    <row r="868" spans="1:12" x14ac:dyDescent="0.2">
      <c r="A868" s="681" t="s">
        <v>220</v>
      </c>
      <c r="B868" s="681" t="s">
        <v>2351</v>
      </c>
      <c r="C868" s="738" t="s">
        <v>3321</v>
      </c>
      <c r="D868" s="738" t="s">
        <v>3322</v>
      </c>
      <c r="E868" s="741"/>
      <c r="F868" s="685">
        <v>30</v>
      </c>
      <c r="G868" s="737">
        <v>0.18990909090909092</v>
      </c>
      <c r="H868" s="685">
        <v>5.6972727272727273</v>
      </c>
      <c r="I868" s="672" t="s">
        <v>9218</v>
      </c>
      <c r="J868" s="672" t="s">
        <v>9219</v>
      </c>
      <c r="K868" s="672" t="s">
        <v>2354</v>
      </c>
      <c r="L868" s="672" t="s">
        <v>9219</v>
      </c>
    </row>
    <row r="869" spans="1:12" x14ac:dyDescent="0.2">
      <c r="A869" s="681" t="s">
        <v>220</v>
      </c>
      <c r="B869" s="681" t="s">
        <v>2351</v>
      </c>
      <c r="C869" s="738" t="s">
        <v>3323</v>
      </c>
      <c r="D869" s="738" t="s">
        <v>3324</v>
      </c>
      <c r="E869" s="741"/>
      <c r="F869" s="685">
        <v>15</v>
      </c>
      <c r="G869" s="737">
        <v>0.53843333333333332</v>
      </c>
      <c r="H869" s="685">
        <v>8.0764999999999993</v>
      </c>
      <c r="I869" s="672" t="s">
        <v>9218</v>
      </c>
      <c r="J869" s="672" t="s">
        <v>9219</v>
      </c>
      <c r="K869" s="672" t="s">
        <v>2354</v>
      </c>
      <c r="L869" s="672" t="s">
        <v>9219</v>
      </c>
    </row>
    <row r="870" spans="1:12" x14ac:dyDescent="0.2">
      <c r="A870" s="681" t="s">
        <v>220</v>
      </c>
      <c r="B870" s="681" t="s">
        <v>2351</v>
      </c>
      <c r="C870" s="738" t="s">
        <v>3325</v>
      </c>
      <c r="D870" s="738" t="s">
        <v>3326</v>
      </c>
      <c r="E870" s="741"/>
      <c r="F870" s="685">
        <v>42</v>
      </c>
      <c r="G870" s="737">
        <v>0.28736</v>
      </c>
      <c r="H870" s="685">
        <v>12.06912</v>
      </c>
      <c r="I870" s="672" t="s">
        <v>9218</v>
      </c>
      <c r="J870" s="672" t="s">
        <v>9219</v>
      </c>
      <c r="K870" s="672" t="s">
        <v>2354</v>
      </c>
      <c r="L870" s="672" t="s">
        <v>9219</v>
      </c>
    </row>
    <row r="871" spans="1:12" x14ac:dyDescent="0.2">
      <c r="A871" s="681" t="s">
        <v>220</v>
      </c>
      <c r="B871" s="681" t="s">
        <v>2351</v>
      </c>
      <c r="C871" s="738" t="s">
        <v>3329</v>
      </c>
      <c r="D871" s="738" t="s">
        <v>3330</v>
      </c>
      <c r="E871" s="741"/>
      <c r="F871" s="685">
        <v>10</v>
      </c>
      <c r="G871" s="737">
        <v>0.65705000000000002</v>
      </c>
      <c r="H871" s="685">
        <v>6.5705</v>
      </c>
      <c r="I871" s="672" t="s">
        <v>9218</v>
      </c>
      <c r="J871" s="672" t="s">
        <v>9219</v>
      </c>
      <c r="K871" s="672" t="s">
        <v>2354</v>
      </c>
      <c r="L871" s="672" t="s">
        <v>9219</v>
      </c>
    </row>
    <row r="872" spans="1:12" x14ac:dyDescent="0.2">
      <c r="A872" s="681" t="s">
        <v>220</v>
      </c>
      <c r="B872" s="681" t="s">
        <v>2351</v>
      </c>
      <c r="C872" s="738" t="s">
        <v>3335</v>
      </c>
      <c r="D872" s="738" t="s">
        <v>3336</v>
      </c>
      <c r="E872" s="741"/>
      <c r="F872" s="685">
        <v>11</v>
      </c>
      <c r="G872" s="737">
        <v>0.30199999999999999</v>
      </c>
      <c r="H872" s="685">
        <v>3.3220000000000001</v>
      </c>
      <c r="I872" s="672" t="s">
        <v>9218</v>
      </c>
      <c r="J872" s="672" t="s">
        <v>9219</v>
      </c>
      <c r="K872" s="672" t="s">
        <v>2354</v>
      </c>
      <c r="L872" s="672" t="s">
        <v>9219</v>
      </c>
    </row>
    <row r="873" spans="1:12" x14ac:dyDescent="0.2">
      <c r="A873" s="681" t="s">
        <v>220</v>
      </c>
      <c r="B873" s="681" t="s">
        <v>2351</v>
      </c>
      <c r="C873" s="738" t="s">
        <v>3337</v>
      </c>
      <c r="D873" s="738" t="s">
        <v>3338</v>
      </c>
      <c r="E873" s="741"/>
      <c r="F873" s="685">
        <v>8</v>
      </c>
      <c r="G873" s="737">
        <v>1.4450000000000001</v>
      </c>
      <c r="H873" s="685">
        <v>11.56</v>
      </c>
      <c r="I873" s="672" t="s">
        <v>9218</v>
      </c>
      <c r="J873" s="672" t="s">
        <v>9219</v>
      </c>
      <c r="K873" s="672" t="s">
        <v>2354</v>
      </c>
      <c r="L873" s="672" t="s">
        <v>9219</v>
      </c>
    </row>
    <row r="874" spans="1:12" x14ac:dyDescent="0.2">
      <c r="A874" s="681" t="s">
        <v>220</v>
      </c>
      <c r="B874" s="681" t="s">
        <v>2351</v>
      </c>
      <c r="C874" s="738" t="s">
        <v>3339</v>
      </c>
      <c r="D874" s="738" t="s">
        <v>3340</v>
      </c>
      <c r="E874" s="741"/>
      <c r="F874" s="685">
        <v>22</v>
      </c>
      <c r="G874" s="737">
        <v>1.5419375000000002</v>
      </c>
      <c r="H874" s="685">
        <v>33.922625000000004</v>
      </c>
      <c r="I874" s="672" t="s">
        <v>9218</v>
      </c>
      <c r="J874" s="672" t="s">
        <v>9219</v>
      </c>
      <c r="K874" s="672" t="s">
        <v>2354</v>
      </c>
      <c r="L874" s="672" t="s">
        <v>9219</v>
      </c>
    </row>
    <row r="875" spans="1:12" x14ac:dyDescent="0.2">
      <c r="A875" s="681" t="s">
        <v>220</v>
      </c>
      <c r="B875" s="681" t="s">
        <v>2351</v>
      </c>
      <c r="C875" s="738" t="s">
        <v>3341</v>
      </c>
      <c r="D875" s="738" t="s">
        <v>3342</v>
      </c>
      <c r="E875" s="741"/>
      <c r="F875" s="685">
        <v>20</v>
      </c>
      <c r="G875" s="737">
        <v>1.5614499999999998</v>
      </c>
      <c r="H875" s="685">
        <v>31.228999999999996</v>
      </c>
      <c r="I875" s="672" t="s">
        <v>9218</v>
      </c>
      <c r="J875" s="672" t="s">
        <v>9219</v>
      </c>
      <c r="K875" s="672" t="s">
        <v>2354</v>
      </c>
      <c r="L875" s="672" t="s">
        <v>9219</v>
      </c>
    </row>
    <row r="876" spans="1:12" x14ac:dyDescent="0.2">
      <c r="A876" s="681" t="s">
        <v>220</v>
      </c>
      <c r="B876" s="681" t="s">
        <v>2351</v>
      </c>
      <c r="C876" s="738" t="s">
        <v>3343</v>
      </c>
      <c r="D876" s="738" t="s">
        <v>3344</v>
      </c>
      <c r="E876" s="741"/>
      <c r="F876" s="685">
        <v>23</v>
      </c>
      <c r="G876" s="737">
        <v>0.13932</v>
      </c>
      <c r="H876" s="685">
        <v>3.2043599999999999</v>
      </c>
      <c r="I876" s="672" t="s">
        <v>9218</v>
      </c>
      <c r="J876" s="672" t="s">
        <v>9219</v>
      </c>
      <c r="K876" s="672" t="s">
        <v>2354</v>
      </c>
      <c r="L876" s="672" t="s">
        <v>9219</v>
      </c>
    </row>
    <row r="877" spans="1:12" x14ac:dyDescent="0.2">
      <c r="A877" s="681" t="s">
        <v>220</v>
      </c>
      <c r="B877" s="681" t="s">
        <v>2351</v>
      </c>
      <c r="C877" s="738" t="s">
        <v>3345</v>
      </c>
      <c r="D877" s="738" t="s">
        <v>3346</v>
      </c>
      <c r="E877" s="741"/>
      <c r="F877" s="685">
        <v>25</v>
      </c>
      <c r="G877" s="737">
        <v>1.2929999999999999</v>
      </c>
      <c r="H877" s="685">
        <v>32.324999999999996</v>
      </c>
      <c r="I877" s="672" t="s">
        <v>9218</v>
      </c>
      <c r="J877" s="672" t="s">
        <v>9219</v>
      </c>
      <c r="K877" s="672" t="s">
        <v>2354</v>
      </c>
      <c r="L877" s="672" t="s">
        <v>9219</v>
      </c>
    </row>
    <row r="878" spans="1:12" x14ac:dyDescent="0.2">
      <c r="A878" s="681" t="s">
        <v>220</v>
      </c>
      <c r="B878" s="681" t="s">
        <v>2351</v>
      </c>
      <c r="C878" s="738" t="s">
        <v>3349</v>
      </c>
      <c r="D878" s="738" t="s">
        <v>3350</v>
      </c>
      <c r="E878" s="741"/>
      <c r="F878" s="685">
        <v>17</v>
      </c>
      <c r="G878" s="737">
        <v>1.7324999999999997</v>
      </c>
      <c r="H878" s="685">
        <v>29.452499999999993</v>
      </c>
      <c r="I878" s="672" t="s">
        <v>9218</v>
      </c>
      <c r="J878" s="672" t="s">
        <v>9219</v>
      </c>
      <c r="K878" s="672" t="s">
        <v>2354</v>
      </c>
      <c r="L878" s="672" t="s">
        <v>9219</v>
      </c>
    </row>
    <row r="879" spans="1:12" x14ac:dyDescent="0.2">
      <c r="A879" s="681" t="s">
        <v>220</v>
      </c>
      <c r="B879" s="681" t="s">
        <v>2351</v>
      </c>
      <c r="C879" s="738" t="s">
        <v>3351</v>
      </c>
      <c r="D879" s="738" t="s">
        <v>3352</v>
      </c>
      <c r="E879" s="741"/>
      <c r="F879" s="685">
        <v>6</v>
      </c>
      <c r="G879" s="737">
        <v>10.1304</v>
      </c>
      <c r="H879" s="685">
        <v>60.782399999999996</v>
      </c>
      <c r="I879" s="672" t="s">
        <v>9218</v>
      </c>
      <c r="J879" s="672" t="s">
        <v>9219</v>
      </c>
      <c r="K879" s="672" t="s">
        <v>2354</v>
      </c>
      <c r="L879" s="672" t="s">
        <v>9219</v>
      </c>
    </row>
    <row r="880" spans="1:12" x14ac:dyDescent="0.2">
      <c r="A880" s="681" t="s">
        <v>220</v>
      </c>
      <c r="B880" s="681" t="s">
        <v>2351</v>
      </c>
      <c r="C880" s="738" t="s">
        <v>3353</v>
      </c>
      <c r="D880" s="738" t="s">
        <v>3354</v>
      </c>
      <c r="E880" s="741"/>
      <c r="F880" s="685">
        <v>11</v>
      </c>
      <c r="G880" s="737">
        <v>10.134</v>
      </c>
      <c r="H880" s="685">
        <v>111.474</v>
      </c>
      <c r="I880" s="672" t="s">
        <v>9218</v>
      </c>
      <c r="J880" s="672" t="s">
        <v>9219</v>
      </c>
      <c r="K880" s="672" t="s">
        <v>2354</v>
      </c>
      <c r="L880" s="672" t="s">
        <v>9219</v>
      </c>
    </row>
    <row r="881" spans="1:12" x14ac:dyDescent="0.2">
      <c r="A881" s="681" t="s">
        <v>220</v>
      </c>
      <c r="B881" s="681" t="s">
        <v>2351</v>
      </c>
      <c r="C881" s="738" t="s">
        <v>3355</v>
      </c>
      <c r="D881" s="738" t="s">
        <v>3356</v>
      </c>
      <c r="E881" s="741"/>
      <c r="F881" s="685">
        <v>12</v>
      </c>
      <c r="G881" s="737">
        <v>3.6414</v>
      </c>
      <c r="H881" s="685">
        <v>43.696799999999996</v>
      </c>
      <c r="I881" s="672" t="s">
        <v>9218</v>
      </c>
      <c r="J881" s="672" t="s">
        <v>9219</v>
      </c>
      <c r="K881" s="672" t="s">
        <v>2354</v>
      </c>
      <c r="L881" s="672" t="s">
        <v>9219</v>
      </c>
    </row>
    <row r="882" spans="1:12" x14ac:dyDescent="0.2">
      <c r="A882" s="681" t="s">
        <v>220</v>
      </c>
      <c r="B882" s="681" t="s">
        <v>2351</v>
      </c>
      <c r="C882" s="738" t="s">
        <v>3361</v>
      </c>
      <c r="D882" s="738" t="s">
        <v>3362</v>
      </c>
      <c r="E882" s="741"/>
      <c r="F882" s="685">
        <v>15</v>
      </c>
      <c r="G882" s="737">
        <v>6.2471578947368425</v>
      </c>
      <c r="H882" s="685">
        <v>93.707368421052635</v>
      </c>
      <c r="I882" s="672" t="s">
        <v>9218</v>
      </c>
      <c r="J882" s="672" t="s">
        <v>9219</v>
      </c>
      <c r="K882" s="672" t="s">
        <v>2354</v>
      </c>
      <c r="L882" s="672" t="s">
        <v>9219</v>
      </c>
    </row>
    <row r="883" spans="1:12" x14ac:dyDescent="0.2">
      <c r="A883" s="681" t="s">
        <v>220</v>
      </c>
      <c r="B883" s="681" t="s">
        <v>2351</v>
      </c>
      <c r="C883" s="738" t="s">
        <v>3363</v>
      </c>
      <c r="D883" s="738" t="s">
        <v>3364</v>
      </c>
      <c r="E883" s="741"/>
      <c r="F883" s="685">
        <v>41</v>
      </c>
      <c r="G883" s="737">
        <v>1.8508579999999999</v>
      </c>
      <c r="H883" s="685">
        <v>75.885177999999996</v>
      </c>
      <c r="I883" s="672" t="s">
        <v>9218</v>
      </c>
      <c r="J883" s="672" t="s">
        <v>9219</v>
      </c>
      <c r="K883" s="672" t="s">
        <v>2354</v>
      </c>
      <c r="L883" s="672" t="s">
        <v>9219</v>
      </c>
    </row>
    <row r="884" spans="1:12" x14ac:dyDescent="0.2">
      <c r="A884" s="681" t="s">
        <v>220</v>
      </c>
      <c r="B884" s="681" t="s">
        <v>2351</v>
      </c>
      <c r="C884" s="738" t="s">
        <v>3367</v>
      </c>
      <c r="D884" s="738" t="s">
        <v>3368</v>
      </c>
      <c r="E884" s="741"/>
      <c r="F884" s="685">
        <v>6</v>
      </c>
      <c r="G884" s="737">
        <v>7.95</v>
      </c>
      <c r="H884" s="685">
        <v>47.7</v>
      </c>
      <c r="I884" s="672" t="s">
        <v>9218</v>
      </c>
      <c r="J884" s="672" t="s">
        <v>9219</v>
      </c>
      <c r="K884" s="672" t="s">
        <v>2354</v>
      </c>
      <c r="L884" s="672" t="s">
        <v>9219</v>
      </c>
    </row>
    <row r="885" spans="1:12" x14ac:dyDescent="0.2">
      <c r="A885" s="681" t="s">
        <v>220</v>
      </c>
      <c r="B885" s="681" t="s">
        <v>2351</v>
      </c>
      <c r="C885" s="738" t="s">
        <v>3381</v>
      </c>
      <c r="D885" s="738" t="s">
        <v>3382</v>
      </c>
      <c r="E885" s="741"/>
      <c r="F885" s="685">
        <v>6</v>
      </c>
      <c r="G885" s="737">
        <v>2.3374999999999999</v>
      </c>
      <c r="H885" s="685">
        <v>14.024999999999999</v>
      </c>
      <c r="I885" s="672" t="s">
        <v>9218</v>
      </c>
      <c r="J885" s="672" t="s">
        <v>9219</v>
      </c>
      <c r="K885" s="672" t="s">
        <v>2354</v>
      </c>
      <c r="L885" s="672" t="s">
        <v>9219</v>
      </c>
    </row>
    <row r="886" spans="1:12" x14ac:dyDescent="0.2">
      <c r="A886" s="681" t="s">
        <v>220</v>
      </c>
      <c r="B886" s="681" t="s">
        <v>2351</v>
      </c>
      <c r="C886" s="738" t="s">
        <v>3383</v>
      </c>
      <c r="D886" s="738" t="s">
        <v>3384</v>
      </c>
      <c r="E886" s="741"/>
      <c r="F886" s="685">
        <v>1</v>
      </c>
      <c r="G886" s="737">
        <v>4.8330000000000002</v>
      </c>
      <c r="H886" s="685">
        <v>4.8330000000000002</v>
      </c>
      <c r="I886" s="672" t="s">
        <v>9218</v>
      </c>
      <c r="J886" s="672" t="s">
        <v>9219</v>
      </c>
      <c r="K886" s="672" t="s">
        <v>2354</v>
      </c>
      <c r="L886" s="672" t="s">
        <v>9219</v>
      </c>
    </row>
    <row r="887" spans="1:12" x14ac:dyDescent="0.2">
      <c r="A887" s="681" t="s">
        <v>220</v>
      </c>
      <c r="B887" s="681" t="s">
        <v>2351</v>
      </c>
      <c r="C887" s="738" t="s">
        <v>3385</v>
      </c>
      <c r="D887" s="738" t="s">
        <v>3386</v>
      </c>
      <c r="E887" s="741"/>
      <c r="F887" s="685">
        <v>11</v>
      </c>
      <c r="G887" s="737">
        <v>6.3577166666666658</v>
      </c>
      <c r="H887" s="685">
        <v>69.934883333333318</v>
      </c>
      <c r="I887" s="672" t="s">
        <v>9218</v>
      </c>
      <c r="J887" s="672" t="s">
        <v>9219</v>
      </c>
      <c r="K887" s="672" t="s">
        <v>2354</v>
      </c>
      <c r="L887" s="672" t="s">
        <v>9219</v>
      </c>
    </row>
    <row r="888" spans="1:12" x14ac:dyDescent="0.2">
      <c r="A888" s="681" t="s">
        <v>220</v>
      </c>
      <c r="B888" s="681" t="s">
        <v>2351</v>
      </c>
      <c r="C888" s="738" t="s">
        <v>3387</v>
      </c>
      <c r="D888" s="738" t="s">
        <v>3388</v>
      </c>
      <c r="E888" s="741"/>
      <c r="F888" s="685">
        <v>4</v>
      </c>
      <c r="G888" s="737">
        <v>8.1259999999999994</v>
      </c>
      <c r="H888" s="685">
        <v>32.503999999999998</v>
      </c>
      <c r="I888" s="672" t="s">
        <v>9218</v>
      </c>
      <c r="J888" s="672" t="s">
        <v>9219</v>
      </c>
      <c r="K888" s="672" t="s">
        <v>2354</v>
      </c>
      <c r="L888" s="672" t="s">
        <v>9219</v>
      </c>
    </row>
    <row r="889" spans="1:12" x14ac:dyDescent="0.2">
      <c r="A889" s="681" t="s">
        <v>220</v>
      </c>
      <c r="B889" s="681" t="s">
        <v>2351</v>
      </c>
      <c r="C889" s="738" t="s">
        <v>2365</v>
      </c>
      <c r="D889" s="738" t="s">
        <v>2366</v>
      </c>
      <c r="E889" s="741"/>
      <c r="F889" s="685">
        <v>2</v>
      </c>
      <c r="G889" s="737">
        <v>16.256</v>
      </c>
      <c r="H889" s="685">
        <v>32.512</v>
      </c>
      <c r="I889" s="672" t="s">
        <v>9218</v>
      </c>
      <c r="J889" s="672" t="s">
        <v>9219</v>
      </c>
      <c r="K889" s="672" t="s">
        <v>2354</v>
      </c>
      <c r="L889" s="672" t="s">
        <v>9219</v>
      </c>
    </row>
    <row r="890" spans="1:12" x14ac:dyDescent="0.2">
      <c r="A890" s="681" t="s">
        <v>220</v>
      </c>
      <c r="B890" s="681" t="s">
        <v>2351</v>
      </c>
      <c r="C890" s="738" t="s">
        <v>3389</v>
      </c>
      <c r="D890" s="738" t="s">
        <v>3390</v>
      </c>
      <c r="E890" s="741"/>
      <c r="F890" s="685">
        <v>2</v>
      </c>
      <c r="G890" s="737">
        <v>68.424999999999997</v>
      </c>
      <c r="H890" s="685">
        <v>136.85</v>
      </c>
      <c r="I890" s="672" t="s">
        <v>9218</v>
      </c>
      <c r="J890" s="672" t="s">
        <v>9219</v>
      </c>
      <c r="K890" s="672" t="s">
        <v>2354</v>
      </c>
      <c r="L890" s="672" t="s">
        <v>9219</v>
      </c>
    </row>
    <row r="891" spans="1:12" x14ac:dyDescent="0.2">
      <c r="A891" s="681" t="s">
        <v>220</v>
      </c>
      <c r="B891" s="681" t="s">
        <v>2351</v>
      </c>
      <c r="C891" s="738" t="s">
        <v>3393</v>
      </c>
      <c r="D891" s="738" t="s">
        <v>3394</v>
      </c>
      <c r="E891" s="741"/>
      <c r="F891" s="685">
        <v>1</v>
      </c>
      <c r="G891" s="737">
        <v>3.3359999999999999</v>
      </c>
      <c r="H891" s="685">
        <v>3.3359999999999999</v>
      </c>
      <c r="I891" s="672" t="s">
        <v>9218</v>
      </c>
      <c r="J891" s="672" t="s">
        <v>9219</v>
      </c>
      <c r="K891" s="672" t="s">
        <v>2354</v>
      </c>
      <c r="L891" s="672" t="s">
        <v>9219</v>
      </c>
    </row>
    <row r="892" spans="1:12" x14ac:dyDescent="0.2">
      <c r="A892" s="681" t="s">
        <v>220</v>
      </c>
      <c r="B892" s="681" t="s">
        <v>2351</v>
      </c>
      <c r="C892" s="738" t="s">
        <v>3395</v>
      </c>
      <c r="D892" s="738" t="s">
        <v>3396</v>
      </c>
      <c r="E892" s="741"/>
      <c r="F892" s="685">
        <v>5</v>
      </c>
      <c r="G892" s="737">
        <v>3.2725</v>
      </c>
      <c r="H892" s="685">
        <v>16.362500000000001</v>
      </c>
      <c r="I892" s="672" t="s">
        <v>9218</v>
      </c>
      <c r="J892" s="672" t="s">
        <v>9219</v>
      </c>
      <c r="K892" s="672" t="s">
        <v>2354</v>
      </c>
      <c r="L892" s="672" t="s">
        <v>9219</v>
      </c>
    </row>
    <row r="893" spans="1:12" x14ac:dyDescent="0.2">
      <c r="A893" s="681" t="s">
        <v>220</v>
      </c>
      <c r="B893" s="681" t="s">
        <v>2351</v>
      </c>
      <c r="C893" s="738" t="s">
        <v>3397</v>
      </c>
      <c r="D893" s="738" t="s">
        <v>3398</v>
      </c>
      <c r="E893" s="741"/>
      <c r="F893" s="685">
        <v>1</v>
      </c>
      <c r="G893" s="737">
        <v>2.6760000000000002</v>
      </c>
      <c r="H893" s="685">
        <v>2.6760000000000002</v>
      </c>
      <c r="I893" s="672" t="s">
        <v>9218</v>
      </c>
      <c r="J893" s="672" t="s">
        <v>9219</v>
      </c>
      <c r="K893" s="672" t="s">
        <v>2354</v>
      </c>
      <c r="L893" s="672" t="s">
        <v>9219</v>
      </c>
    </row>
    <row r="894" spans="1:12" x14ac:dyDescent="0.2">
      <c r="A894" s="681" t="s">
        <v>220</v>
      </c>
      <c r="B894" s="681" t="s">
        <v>2351</v>
      </c>
      <c r="C894" s="738" t="s">
        <v>3399</v>
      </c>
      <c r="D894" s="738" t="s">
        <v>3400</v>
      </c>
      <c r="E894" s="741"/>
      <c r="F894" s="685">
        <v>3</v>
      </c>
      <c r="G894" s="737">
        <v>1.4670000000000001</v>
      </c>
      <c r="H894" s="685">
        <v>4.4009999999999998</v>
      </c>
      <c r="I894" s="672" t="s">
        <v>9218</v>
      </c>
      <c r="J894" s="672" t="s">
        <v>9219</v>
      </c>
      <c r="K894" s="672" t="s">
        <v>2354</v>
      </c>
      <c r="L894" s="672" t="s">
        <v>9219</v>
      </c>
    </row>
    <row r="895" spans="1:12" x14ac:dyDescent="0.2">
      <c r="A895" s="681" t="s">
        <v>220</v>
      </c>
      <c r="B895" s="681" t="s">
        <v>2351</v>
      </c>
      <c r="C895" s="738" t="s">
        <v>3401</v>
      </c>
      <c r="D895" s="738" t="s">
        <v>3402</v>
      </c>
      <c r="E895" s="741"/>
      <c r="F895" s="685">
        <v>4</v>
      </c>
      <c r="G895" s="737">
        <v>2.7233999999999998</v>
      </c>
      <c r="H895" s="685">
        <v>10.893599999999999</v>
      </c>
      <c r="I895" s="672" t="s">
        <v>9218</v>
      </c>
      <c r="J895" s="672" t="s">
        <v>9219</v>
      </c>
      <c r="K895" s="672" t="s">
        <v>2354</v>
      </c>
      <c r="L895" s="672" t="s">
        <v>9219</v>
      </c>
    </row>
    <row r="896" spans="1:12" x14ac:dyDescent="0.2">
      <c r="A896" s="681" t="s">
        <v>220</v>
      </c>
      <c r="B896" s="681" t="s">
        <v>2351</v>
      </c>
      <c r="C896" s="738" t="s">
        <v>3465</v>
      </c>
      <c r="D896" s="738" t="s">
        <v>3466</v>
      </c>
      <c r="E896" s="741"/>
      <c r="F896" s="685">
        <v>2</v>
      </c>
      <c r="G896" s="737">
        <v>8.0640000000000001</v>
      </c>
      <c r="H896" s="685">
        <v>16.128</v>
      </c>
      <c r="I896" s="672" t="s">
        <v>9218</v>
      </c>
      <c r="J896" s="672" t="s">
        <v>9219</v>
      </c>
      <c r="K896" s="672" t="s">
        <v>2354</v>
      </c>
      <c r="L896" s="672" t="s">
        <v>9219</v>
      </c>
    </row>
    <row r="897" spans="1:12" x14ac:dyDescent="0.2">
      <c r="A897" s="681" t="s">
        <v>220</v>
      </c>
      <c r="B897" s="681" t="s">
        <v>2351</v>
      </c>
      <c r="C897" s="738" t="s">
        <v>3467</v>
      </c>
      <c r="D897" s="738" t="s">
        <v>3468</v>
      </c>
      <c r="E897" s="741"/>
      <c r="F897" s="685">
        <v>10</v>
      </c>
      <c r="G897" s="737">
        <v>2.0994999999999999</v>
      </c>
      <c r="H897" s="685">
        <v>20.994999999999997</v>
      </c>
      <c r="I897" s="672" t="s">
        <v>9218</v>
      </c>
      <c r="J897" s="672" t="s">
        <v>9219</v>
      </c>
      <c r="K897" s="672" t="s">
        <v>2354</v>
      </c>
      <c r="L897" s="672" t="s">
        <v>9219</v>
      </c>
    </row>
    <row r="898" spans="1:12" x14ac:dyDescent="0.2">
      <c r="A898" s="681" t="s">
        <v>220</v>
      </c>
      <c r="B898" s="681" t="s">
        <v>2351</v>
      </c>
      <c r="C898" s="738" t="s">
        <v>3469</v>
      </c>
      <c r="D898" s="738" t="s">
        <v>3470</v>
      </c>
      <c r="E898" s="741"/>
      <c r="F898" s="685">
        <v>15</v>
      </c>
      <c r="G898" s="737">
        <v>3.2949999999999999</v>
      </c>
      <c r="H898" s="685">
        <v>49.424999999999997</v>
      </c>
      <c r="I898" s="672" t="s">
        <v>9218</v>
      </c>
      <c r="J898" s="672" t="s">
        <v>9219</v>
      </c>
      <c r="K898" s="672" t="s">
        <v>2354</v>
      </c>
      <c r="L898" s="672" t="s">
        <v>9219</v>
      </c>
    </row>
    <row r="899" spans="1:12" x14ac:dyDescent="0.2">
      <c r="A899" s="681" t="s">
        <v>220</v>
      </c>
      <c r="B899" s="681" t="s">
        <v>2351</v>
      </c>
      <c r="C899" s="738" t="s">
        <v>3473</v>
      </c>
      <c r="D899" s="738" t="s">
        <v>3474</v>
      </c>
      <c r="E899" s="741"/>
      <c r="F899" s="685">
        <v>3</v>
      </c>
      <c r="G899" s="737">
        <v>8.8757999999999999</v>
      </c>
      <c r="H899" s="685">
        <v>26.627400000000002</v>
      </c>
      <c r="I899" s="672" t="s">
        <v>9218</v>
      </c>
      <c r="J899" s="672" t="s">
        <v>9219</v>
      </c>
      <c r="K899" s="672" t="s">
        <v>2354</v>
      </c>
      <c r="L899" s="672" t="s">
        <v>9219</v>
      </c>
    </row>
    <row r="900" spans="1:12" x14ac:dyDescent="0.2">
      <c r="A900" s="681" t="s">
        <v>220</v>
      </c>
      <c r="B900" s="681" t="s">
        <v>2351</v>
      </c>
      <c r="C900" s="738" t="s">
        <v>3475</v>
      </c>
      <c r="D900" s="738" t="s">
        <v>3476</v>
      </c>
      <c r="E900" s="741"/>
      <c r="F900" s="685">
        <v>8</v>
      </c>
      <c r="G900" s="737">
        <v>1.9379999999999999</v>
      </c>
      <c r="H900" s="685">
        <v>15.504</v>
      </c>
      <c r="I900" s="672" t="s">
        <v>9218</v>
      </c>
      <c r="J900" s="672" t="s">
        <v>9219</v>
      </c>
      <c r="K900" s="672" t="s">
        <v>2354</v>
      </c>
      <c r="L900" s="672" t="s">
        <v>9219</v>
      </c>
    </row>
    <row r="901" spans="1:12" x14ac:dyDescent="0.2">
      <c r="A901" s="681" t="s">
        <v>220</v>
      </c>
      <c r="B901" s="681" t="s">
        <v>2351</v>
      </c>
      <c r="C901" s="738" t="s">
        <v>3479</v>
      </c>
      <c r="D901" s="738" t="s">
        <v>3480</v>
      </c>
      <c r="E901" s="741"/>
      <c r="F901" s="685">
        <v>4</v>
      </c>
      <c r="G901" s="737">
        <v>2.5865999999999998</v>
      </c>
      <c r="H901" s="685">
        <v>10.346399999999999</v>
      </c>
      <c r="I901" s="672" t="s">
        <v>9218</v>
      </c>
      <c r="J901" s="672" t="s">
        <v>9219</v>
      </c>
      <c r="K901" s="672" t="s">
        <v>2354</v>
      </c>
      <c r="L901" s="672" t="s">
        <v>9219</v>
      </c>
    </row>
    <row r="902" spans="1:12" x14ac:dyDescent="0.2">
      <c r="A902" s="681" t="s">
        <v>220</v>
      </c>
      <c r="B902" s="681" t="s">
        <v>2351</v>
      </c>
      <c r="C902" s="738" t="s">
        <v>3481</v>
      </c>
      <c r="D902" s="738" t="s">
        <v>3482</v>
      </c>
      <c r="E902" s="741"/>
      <c r="F902" s="685">
        <v>1</v>
      </c>
      <c r="G902" s="737">
        <v>16.520399999999999</v>
      </c>
      <c r="H902" s="685">
        <v>16.520399999999999</v>
      </c>
      <c r="I902" s="672" t="s">
        <v>9218</v>
      </c>
      <c r="J902" s="672" t="s">
        <v>9219</v>
      </c>
      <c r="K902" s="672" t="s">
        <v>2354</v>
      </c>
      <c r="L902" s="672" t="s">
        <v>9219</v>
      </c>
    </row>
    <row r="903" spans="1:12" x14ac:dyDescent="0.2">
      <c r="A903" s="681" t="s">
        <v>220</v>
      </c>
      <c r="B903" s="681" t="s">
        <v>2351</v>
      </c>
      <c r="C903" s="738" t="s">
        <v>3483</v>
      </c>
      <c r="D903" s="738" t="s">
        <v>3484</v>
      </c>
      <c r="E903" s="741"/>
      <c r="F903" s="685">
        <v>1</v>
      </c>
      <c r="G903" s="737">
        <v>4.3019999999999996</v>
      </c>
      <c r="H903" s="685">
        <v>4.3019999999999996</v>
      </c>
      <c r="I903" s="672" t="s">
        <v>9218</v>
      </c>
      <c r="J903" s="672" t="s">
        <v>9219</v>
      </c>
      <c r="K903" s="672" t="s">
        <v>2354</v>
      </c>
      <c r="L903" s="672" t="s">
        <v>9219</v>
      </c>
    </row>
    <row r="904" spans="1:12" x14ac:dyDescent="0.2">
      <c r="A904" s="681" t="s">
        <v>220</v>
      </c>
      <c r="B904" s="681" t="s">
        <v>2351</v>
      </c>
      <c r="C904" s="738" t="s">
        <v>3485</v>
      </c>
      <c r="D904" s="738" t="s">
        <v>3486</v>
      </c>
      <c r="E904" s="741"/>
      <c r="F904" s="685">
        <v>1</v>
      </c>
      <c r="G904" s="737">
        <v>16.832000000000001</v>
      </c>
      <c r="H904" s="685">
        <v>16.832000000000001</v>
      </c>
      <c r="I904" s="672" t="s">
        <v>9218</v>
      </c>
      <c r="J904" s="672" t="s">
        <v>9219</v>
      </c>
      <c r="K904" s="672" t="s">
        <v>2354</v>
      </c>
      <c r="L904" s="672" t="s">
        <v>9219</v>
      </c>
    </row>
    <row r="905" spans="1:12" x14ac:dyDescent="0.2">
      <c r="A905" s="681" t="s">
        <v>220</v>
      </c>
      <c r="B905" s="681" t="s">
        <v>2351</v>
      </c>
      <c r="C905" s="738" t="s">
        <v>3489</v>
      </c>
      <c r="D905" s="738" t="s">
        <v>3490</v>
      </c>
      <c r="E905" s="741"/>
      <c r="F905" s="685">
        <v>1</v>
      </c>
      <c r="G905" s="737">
        <v>0.81430000000000002</v>
      </c>
      <c r="H905" s="685">
        <v>0.81430000000000002</v>
      </c>
      <c r="I905" s="672" t="s">
        <v>9218</v>
      </c>
      <c r="J905" s="672" t="s">
        <v>9219</v>
      </c>
      <c r="K905" s="672" t="s">
        <v>2354</v>
      </c>
      <c r="L905" s="672" t="s">
        <v>9219</v>
      </c>
    </row>
    <row r="906" spans="1:12" x14ac:dyDescent="0.2">
      <c r="A906" s="681" t="s">
        <v>220</v>
      </c>
      <c r="B906" s="681" t="s">
        <v>2351</v>
      </c>
      <c r="C906" s="738" t="s">
        <v>3491</v>
      </c>
      <c r="D906" s="738" t="s">
        <v>5354</v>
      </c>
      <c r="E906" s="741"/>
      <c r="F906" s="685">
        <v>3</v>
      </c>
      <c r="G906" s="737">
        <v>11.490237762237765</v>
      </c>
      <c r="H906" s="685">
        <v>34.470713286713291</v>
      </c>
      <c r="I906" s="672" t="s">
        <v>9218</v>
      </c>
      <c r="J906" s="672" t="s">
        <v>9219</v>
      </c>
      <c r="K906" s="672" t="s">
        <v>2354</v>
      </c>
      <c r="L906" s="672" t="s">
        <v>9219</v>
      </c>
    </row>
    <row r="907" spans="1:12" x14ac:dyDescent="0.2">
      <c r="A907" s="681" t="s">
        <v>220</v>
      </c>
      <c r="B907" s="681" t="s">
        <v>2351</v>
      </c>
      <c r="C907" s="738" t="s">
        <v>6482</v>
      </c>
      <c r="D907" s="738" t="s">
        <v>6483</v>
      </c>
      <c r="E907" s="741"/>
      <c r="F907" s="685">
        <v>1</v>
      </c>
      <c r="G907" s="737">
        <v>26.393000000000001</v>
      </c>
      <c r="H907" s="685">
        <v>26.393000000000001</v>
      </c>
      <c r="I907" s="672" t="s">
        <v>9218</v>
      </c>
      <c r="J907" s="672" t="s">
        <v>9219</v>
      </c>
      <c r="K907" s="672" t="s">
        <v>2354</v>
      </c>
      <c r="L907" s="672" t="s">
        <v>9219</v>
      </c>
    </row>
    <row r="908" spans="1:12" x14ac:dyDescent="0.2">
      <c r="A908" s="681" t="s">
        <v>220</v>
      </c>
      <c r="B908" s="681" t="s">
        <v>2351</v>
      </c>
      <c r="C908" s="738" t="s">
        <v>3495</v>
      </c>
      <c r="D908" s="738" t="s">
        <v>3496</v>
      </c>
      <c r="E908" s="741"/>
      <c r="F908" s="685">
        <v>8</v>
      </c>
      <c r="G908" s="737">
        <v>2.3460000000000001</v>
      </c>
      <c r="H908" s="685">
        <v>18.768000000000001</v>
      </c>
      <c r="I908" s="672" t="s">
        <v>9218</v>
      </c>
      <c r="J908" s="672" t="s">
        <v>9219</v>
      </c>
      <c r="K908" s="672" t="s">
        <v>2354</v>
      </c>
      <c r="L908" s="672" t="s">
        <v>9219</v>
      </c>
    </row>
    <row r="909" spans="1:12" x14ac:dyDescent="0.2">
      <c r="A909" s="681" t="s">
        <v>220</v>
      </c>
      <c r="B909" s="681" t="s">
        <v>2351</v>
      </c>
      <c r="C909" s="738" t="s">
        <v>3497</v>
      </c>
      <c r="D909" s="738" t="s">
        <v>3498</v>
      </c>
      <c r="E909" s="741"/>
      <c r="F909" s="685">
        <v>1</v>
      </c>
      <c r="G909" s="737">
        <v>8.5</v>
      </c>
      <c r="H909" s="685">
        <v>8.5</v>
      </c>
      <c r="I909" s="672" t="s">
        <v>9218</v>
      </c>
      <c r="J909" s="672" t="s">
        <v>9219</v>
      </c>
      <c r="K909" s="672" t="s">
        <v>2354</v>
      </c>
      <c r="L909" s="672" t="s">
        <v>9219</v>
      </c>
    </row>
    <row r="910" spans="1:12" x14ac:dyDescent="0.2">
      <c r="A910" s="681" t="s">
        <v>220</v>
      </c>
      <c r="B910" s="681" t="s">
        <v>2351</v>
      </c>
      <c r="C910" s="738" t="s">
        <v>3499</v>
      </c>
      <c r="D910" s="738" t="s">
        <v>3500</v>
      </c>
      <c r="E910" s="741"/>
      <c r="F910" s="685">
        <v>5</v>
      </c>
      <c r="G910" s="737">
        <v>3.7376999999999998</v>
      </c>
      <c r="H910" s="685">
        <v>18.688499999999998</v>
      </c>
      <c r="I910" s="672" t="s">
        <v>9218</v>
      </c>
      <c r="J910" s="672" t="s">
        <v>9219</v>
      </c>
      <c r="K910" s="672" t="s">
        <v>2354</v>
      </c>
      <c r="L910" s="672" t="s">
        <v>9219</v>
      </c>
    </row>
    <row r="911" spans="1:12" x14ac:dyDescent="0.2">
      <c r="A911" s="681" t="s">
        <v>220</v>
      </c>
      <c r="B911" s="681" t="s">
        <v>2351</v>
      </c>
      <c r="C911" s="738" t="s">
        <v>3501</v>
      </c>
      <c r="D911" s="738" t="s">
        <v>3502</v>
      </c>
      <c r="E911" s="741"/>
      <c r="F911" s="685">
        <v>20</v>
      </c>
      <c r="G911" s="737">
        <v>2.9015151515151514</v>
      </c>
      <c r="H911" s="685">
        <v>58.030303030303031</v>
      </c>
      <c r="I911" s="672" t="s">
        <v>9218</v>
      </c>
      <c r="J911" s="672" t="s">
        <v>9219</v>
      </c>
      <c r="K911" s="672" t="s">
        <v>2354</v>
      </c>
      <c r="L911" s="672" t="s">
        <v>9219</v>
      </c>
    </row>
    <row r="912" spans="1:12" x14ac:dyDescent="0.2">
      <c r="A912" s="681" t="s">
        <v>220</v>
      </c>
      <c r="B912" s="681" t="s">
        <v>2351</v>
      </c>
      <c r="C912" s="738" t="s">
        <v>3503</v>
      </c>
      <c r="D912" s="738" t="s">
        <v>3504</v>
      </c>
      <c r="E912" s="741"/>
      <c r="F912" s="685">
        <v>5</v>
      </c>
      <c r="G912" s="737">
        <v>2.448</v>
      </c>
      <c r="H912" s="685">
        <v>12.24</v>
      </c>
      <c r="I912" s="672" t="s">
        <v>9218</v>
      </c>
      <c r="J912" s="672" t="s">
        <v>9219</v>
      </c>
      <c r="K912" s="672" t="s">
        <v>2354</v>
      </c>
      <c r="L912" s="672" t="s">
        <v>9219</v>
      </c>
    </row>
    <row r="913" spans="1:12" x14ac:dyDescent="0.2">
      <c r="A913" s="681" t="s">
        <v>220</v>
      </c>
      <c r="B913" s="681" t="s">
        <v>2351</v>
      </c>
      <c r="C913" s="738" t="s">
        <v>3505</v>
      </c>
      <c r="D913" s="738" t="s">
        <v>3506</v>
      </c>
      <c r="E913" s="741"/>
      <c r="F913" s="685">
        <v>1</v>
      </c>
      <c r="G913" s="737">
        <v>11.22</v>
      </c>
      <c r="H913" s="685">
        <v>11.22</v>
      </c>
      <c r="I913" s="672" t="s">
        <v>9218</v>
      </c>
      <c r="J913" s="672" t="s">
        <v>9219</v>
      </c>
      <c r="K913" s="672" t="s">
        <v>2354</v>
      </c>
      <c r="L913" s="672" t="s">
        <v>9219</v>
      </c>
    </row>
    <row r="914" spans="1:12" x14ac:dyDescent="0.2">
      <c r="A914" s="681" t="s">
        <v>220</v>
      </c>
      <c r="B914" s="681" t="s">
        <v>2351</v>
      </c>
      <c r="C914" s="738" t="s">
        <v>3507</v>
      </c>
      <c r="D914" s="738" t="s">
        <v>3508</v>
      </c>
      <c r="E914" s="741"/>
      <c r="F914" s="685">
        <v>1</v>
      </c>
      <c r="G914" s="737">
        <v>8.8308</v>
      </c>
      <c r="H914" s="685">
        <v>8.8308</v>
      </c>
      <c r="I914" s="672" t="s">
        <v>9218</v>
      </c>
      <c r="J914" s="672" t="s">
        <v>9219</v>
      </c>
      <c r="K914" s="672" t="s">
        <v>2354</v>
      </c>
      <c r="L914" s="672" t="s">
        <v>9219</v>
      </c>
    </row>
    <row r="915" spans="1:12" x14ac:dyDescent="0.2">
      <c r="A915" s="681" t="s">
        <v>220</v>
      </c>
      <c r="B915" s="681" t="s">
        <v>2351</v>
      </c>
      <c r="C915" s="738" t="s">
        <v>3509</v>
      </c>
      <c r="D915" s="738" t="s">
        <v>3510</v>
      </c>
      <c r="E915" s="741"/>
      <c r="F915" s="685">
        <v>1</v>
      </c>
      <c r="G915" s="737">
        <v>37.822742857142863</v>
      </c>
      <c r="H915" s="685">
        <v>37.822742857142863</v>
      </c>
      <c r="I915" s="672" t="s">
        <v>9218</v>
      </c>
      <c r="J915" s="672" t="s">
        <v>9219</v>
      </c>
      <c r="K915" s="672" t="s">
        <v>2354</v>
      </c>
      <c r="L915" s="672" t="s">
        <v>9219</v>
      </c>
    </row>
    <row r="916" spans="1:12" x14ac:dyDescent="0.2">
      <c r="A916" s="681" t="s">
        <v>220</v>
      </c>
      <c r="B916" s="681" t="s">
        <v>2351</v>
      </c>
      <c r="C916" s="738" t="s">
        <v>3511</v>
      </c>
      <c r="D916" s="738" t="s">
        <v>3512</v>
      </c>
      <c r="E916" s="741"/>
      <c r="F916" s="685">
        <v>1</v>
      </c>
      <c r="G916" s="737">
        <v>40.950000000000003</v>
      </c>
      <c r="H916" s="685">
        <v>40.950000000000003</v>
      </c>
      <c r="I916" s="672" t="s">
        <v>9218</v>
      </c>
      <c r="J916" s="672" t="s">
        <v>9219</v>
      </c>
      <c r="K916" s="672" t="s">
        <v>2354</v>
      </c>
      <c r="L916" s="672" t="s">
        <v>9219</v>
      </c>
    </row>
    <row r="917" spans="1:12" x14ac:dyDescent="0.2">
      <c r="A917" s="681" t="s">
        <v>220</v>
      </c>
      <c r="B917" s="681" t="s">
        <v>2351</v>
      </c>
      <c r="C917" s="738" t="s">
        <v>3517</v>
      </c>
      <c r="D917" s="738" t="s">
        <v>3518</v>
      </c>
      <c r="E917" s="741"/>
      <c r="F917" s="685">
        <v>4</v>
      </c>
      <c r="G917" s="737">
        <v>2.0655000000000001</v>
      </c>
      <c r="H917" s="685">
        <v>8.2620000000000005</v>
      </c>
      <c r="I917" s="672" t="s">
        <v>9218</v>
      </c>
      <c r="J917" s="672" t="s">
        <v>9219</v>
      </c>
      <c r="K917" s="672" t="s">
        <v>2354</v>
      </c>
      <c r="L917" s="672" t="s">
        <v>9219</v>
      </c>
    </row>
    <row r="918" spans="1:12" x14ac:dyDescent="0.2">
      <c r="A918" s="681" t="s">
        <v>220</v>
      </c>
      <c r="B918" s="681" t="s">
        <v>2351</v>
      </c>
      <c r="C918" s="738" t="s">
        <v>3521</v>
      </c>
      <c r="D918" s="738" t="s">
        <v>3522</v>
      </c>
      <c r="E918" s="741"/>
      <c r="F918" s="685">
        <v>5</v>
      </c>
      <c r="G918" s="737">
        <v>4.0460000000000003</v>
      </c>
      <c r="H918" s="685">
        <v>20.23</v>
      </c>
      <c r="I918" s="672" t="s">
        <v>9218</v>
      </c>
      <c r="J918" s="672" t="s">
        <v>9219</v>
      </c>
      <c r="K918" s="672" t="s">
        <v>2354</v>
      </c>
      <c r="L918" s="672" t="s">
        <v>9219</v>
      </c>
    </row>
    <row r="919" spans="1:12" x14ac:dyDescent="0.2">
      <c r="A919" s="681" t="s">
        <v>220</v>
      </c>
      <c r="B919" s="681" t="s">
        <v>2351</v>
      </c>
      <c r="C919" s="738" t="s">
        <v>3523</v>
      </c>
      <c r="D919" s="738" t="s">
        <v>3524</v>
      </c>
      <c r="E919" s="741"/>
      <c r="F919" s="685">
        <v>10</v>
      </c>
      <c r="G919" s="737">
        <v>1.153</v>
      </c>
      <c r="H919" s="685">
        <v>11.530000000000001</v>
      </c>
      <c r="I919" s="672" t="s">
        <v>9218</v>
      </c>
      <c r="J919" s="672" t="s">
        <v>9219</v>
      </c>
      <c r="K919" s="672" t="s">
        <v>2354</v>
      </c>
      <c r="L919" s="672" t="s">
        <v>9219</v>
      </c>
    </row>
    <row r="920" spans="1:12" x14ac:dyDescent="0.2">
      <c r="A920" s="681" t="s">
        <v>220</v>
      </c>
      <c r="B920" s="681" t="s">
        <v>2351</v>
      </c>
      <c r="C920" s="738" t="s">
        <v>3525</v>
      </c>
      <c r="D920" s="738" t="s">
        <v>3526</v>
      </c>
      <c r="E920" s="741"/>
      <c r="F920" s="685">
        <v>7</v>
      </c>
      <c r="G920" s="737">
        <v>0.8075</v>
      </c>
      <c r="H920" s="685">
        <v>5.6524999999999999</v>
      </c>
      <c r="I920" s="672" t="s">
        <v>9218</v>
      </c>
      <c r="J920" s="672" t="s">
        <v>9219</v>
      </c>
      <c r="K920" s="672" t="s">
        <v>2354</v>
      </c>
      <c r="L920" s="672" t="s">
        <v>9219</v>
      </c>
    </row>
    <row r="921" spans="1:12" x14ac:dyDescent="0.2">
      <c r="A921" s="681" t="s">
        <v>220</v>
      </c>
      <c r="B921" s="681" t="s">
        <v>2351</v>
      </c>
      <c r="C921" s="738" t="s">
        <v>3527</v>
      </c>
      <c r="D921" s="738" t="s">
        <v>3528</v>
      </c>
      <c r="E921" s="741"/>
      <c r="F921" s="685">
        <v>1</v>
      </c>
      <c r="G921" s="737">
        <v>1.0250999999999999</v>
      </c>
      <c r="H921" s="685">
        <v>1.0250999999999999</v>
      </c>
      <c r="I921" s="672" t="s">
        <v>9218</v>
      </c>
      <c r="J921" s="672" t="s">
        <v>9219</v>
      </c>
      <c r="K921" s="672" t="s">
        <v>2354</v>
      </c>
      <c r="L921" s="672" t="s">
        <v>9219</v>
      </c>
    </row>
    <row r="922" spans="1:12" x14ac:dyDescent="0.2">
      <c r="A922" s="681" t="s">
        <v>220</v>
      </c>
      <c r="B922" s="681" t="s">
        <v>2351</v>
      </c>
      <c r="C922" s="738" t="s">
        <v>2367</v>
      </c>
      <c r="D922" s="738" t="s">
        <v>2368</v>
      </c>
      <c r="E922" s="741"/>
      <c r="F922" s="685">
        <v>5</v>
      </c>
      <c r="G922" s="737">
        <v>1.78</v>
      </c>
      <c r="H922" s="685">
        <v>8.9</v>
      </c>
      <c r="I922" s="672" t="s">
        <v>9218</v>
      </c>
      <c r="J922" s="672" t="s">
        <v>9219</v>
      </c>
      <c r="K922" s="672" t="s">
        <v>2354</v>
      </c>
      <c r="L922" s="672" t="s">
        <v>9219</v>
      </c>
    </row>
    <row r="923" spans="1:12" x14ac:dyDescent="0.2">
      <c r="A923" s="681" t="s">
        <v>220</v>
      </c>
      <c r="B923" s="681" t="s">
        <v>2351</v>
      </c>
      <c r="C923" s="738" t="s">
        <v>3529</v>
      </c>
      <c r="D923" s="738" t="s">
        <v>3530</v>
      </c>
      <c r="E923" s="741"/>
      <c r="F923" s="685">
        <v>3</v>
      </c>
      <c r="G923" s="737">
        <v>3.103017857142857</v>
      </c>
      <c r="H923" s="685">
        <v>9.3090535714285707</v>
      </c>
      <c r="I923" s="672" t="s">
        <v>9218</v>
      </c>
      <c r="J923" s="672" t="s">
        <v>9219</v>
      </c>
      <c r="K923" s="672" t="s">
        <v>2354</v>
      </c>
      <c r="L923" s="672" t="s">
        <v>9219</v>
      </c>
    </row>
    <row r="924" spans="1:12" x14ac:dyDescent="0.2">
      <c r="A924" s="681" t="s">
        <v>220</v>
      </c>
      <c r="B924" s="681" t="s">
        <v>2351</v>
      </c>
      <c r="C924" s="738" t="s">
        <v>3531</v>
      </c>
      <c r="D924" s="738" t="s">
        <v>3532</v>
      </c>
      <c r="E924" s="741"/>
      <c r="F924" s="685">
        <v>33</v>
      </c>
      <c r="G924" s="737">
        <v>0.63154999999999994</v>
      </c>
      <c r="H924" s="685">
        <v>20.841149999999999</v>
      </c>
      <c r="I924" s="672" t="s">
        <v>9218</v>
      </c>
      <c r="J924" s="672" t="s">
        <v>9219</v>
      </c>
      <c r="K924" s="672" t="s">
        <v>2354</v>
      </c>
      <c r="L924" s="672" t="s">
        <v>9219</v>
      </c>
    </row>
    <row r="925" spans="1:12" x14ac:dyDescent="0.2">
      <c r="A925" s="681" t="s">
        <v>220</v>
      </c>
      <c r="B925" s="681" t="s">
        <v>2351</v>
      </c>
      <c r="C925" s="738" t="s">
        <v>3533</v>
      </c>
      <c r="D925" s="738" t="s">
        <v>3534</v>
      </c>
      <c r="E925" s="741"/>
      <c r="F925" s="685">
        <v>1</v>
      </c>
      <c r="G925" s="737">
        <v>2.3913333333333338</v>
      </c>
      <c r="H925" s="685">
        <v>2.3913333333333338</v>
      </c>
      <c r="I925" s="672" t="s">
        <v>9218</v>
      </c>
      <c r="J925" s="672" t="s">
        <v>9219</v>
      </c>
      <c r="K925" s="672" t="s">
        <v>2354</v>
      </c>
      <c r="L925" s="672" t="s">
        <v>9219</v>
      </c>
    </row>
    <row r="926" spans="1:12" x14ac:dyDescent="0.2">
      <c r="A926" s="681" t="s">
        <v>220</v>
      </c>
      <c r="B926" s="681" t="s">
        <v>2351</v>
      </c>
      <c r="C926" s="738" t="s">
        <v>3535</v>
      </c>
      <c r="D926" s="738" t="s">
        <v>3536</v>
      </c>
      <c r="E926" s="741"/>
      <c r="F926" s="685">
        <v>10</v>
      </c>
      <c r="G926" s="737">
        <v>6.7829999999999995</v>
      </c>
      <c r="H926" s="685">
        <v>67.83</v>
      </c>
      <c r="I926" s="672" t="s">
        <v>9218</v>
      </c>
      <c r="J926" s="672" t="s">
        <v>9219</v>
      </c>
      <c r="K926" s="672" t="s">
        <v>2354</v>
      </c>
      <c r="L926" s="672" t="s">
        <v>9219</v>
      </c>
    </row>
    <row r="927" spans="1:12" x14ac:dyDescent="0.2">
      <c r="A927" s="681" t="s">
        <v>220</v>
      </c>
      <c r="B927" s="681" t="s">
        <v>2351</v>
      </c>
      <c r="C927" s="738" t="s">
        <v>5323</v>
      </c>
      <c r="D927" s="738" t="s">
        <v>5324</v>
      </c>
      <c r="E927" s="741"/>
      <c r="F927" s="685">
        <v>2</v>
      </c>
      <c r="G927" s="737">
        <v>0</v>
      </c>
      <c r="H927" s="685">
        <v>0</v>
      </c>
      <c r="I927" s="672" t="s">
        <v>9218</v>
      </c>
      <c r="J927" s="672" t="s">
        <v>9219</v>
      </c>
      <c r="K927" s="672" t="s">
        <v>2354</v>
      </c>
      <c r="L927" s="672" t="s">
        <v>9219</v>
      </c>
    </row>
    <row r="928" spans="1:12" x14ac:dyDescent="0.2">
      <c r="A928" s="681" t="s">
        <v>220</v>
      </c>
      <c r="B928" s="681" t="s">
        <v>2351</v>
      </c>
      <c r="C928" s="738" t="s">
        <v>3537</v>
      </c>
      <c r="D928" s="738" t="s">
        <v>3538</v>
      </c>
      <c r="E928" s="741"/>
      <c r="F928" s="685">
        <v>2</v>
      </c>
      <c r="G928" s="737">
        <v>9.9719999999999995</v>
      </c>
      <c r="H928" s="685">
        <v>19.943999999999999</v>
      </c>
      <c r="I928" s="672" t="s">
        <v>9218</v>
      </c>
      <c r="J928" s="672" t="s">
        <v>9219</v>
      </c>
      <c r="K928" s="672" t="s">
        <v>2354</v>
      </c>
      <c r="L928" s="672" t="s">
        <v>9219</v>
      </c>
    </row>
    <row r="929" spans="1:12" x14ac:dyDescent="0.2">
      <c r="A929" s="681" t="s">
        <v>220</v>
      </c>
      <c r="B929" s="681" t="s">
        <v>2351</v>
      </c>
      <c r="C929" s="738" t="s">
        <v>3539</v>
      </c>
      <c r="D929" s="738" t="s">
        <v>3540</v>
      </c>
      <c r="E929" s="741"/>
      <c r="F929" s="685">
        <v>10</v>
      </c>
      <c r="G929" s="737">
        <v>11.917</v>
      </c>
      <c r="H929" s="685">
        <v>119.17</v>
      </c>
      <c r="I929" s="672" t="s">
        <v>9218</v>
      </c>
      <c r="J929" s="672" t="s">
        <v>9219</v>
      </c>
      <c r="K929" s="672" t="s">
        <v>2354</v>
      </c>
      <c r="L929" s="672" t="s">
        <v>9219</v>
      </c>
    </row>
    <row r="930" spans="1:12" x14ac:dyDescent="0.2">
      <c r="A930" s="681" t="s">
        <v>220</v>
      </c>
      <c r="B930" s="681" t="s">
        <v>2351</v>
      </c>
      <c r="C930" s="738" t="s">
        <v>3541</v>
      </c>
      <c r="D930" s="738" t="s">
        <v>3542</v>
      </c>
      <c r="E930" s="741"/>
      <c r="F930" s="685">
        <v>4</v>
      </c>
      <c r="G930" s="737">
        <v>3.2937500000000002</v>
      </c>
      <c r="H930" s="685">
        <v>13.175000000000001</v>
      </c>
      <c r="I930" s="672" t="s">
        <v>9218</v>
      </c>
      <c r="J930" s="672" t="s">
        <v>9219</v>
      </c>
      <c r="K930" s="672" t="s">
        <v>2354</v>
      </c>
      <c r="L930" s="672" t="s">
        <v>9219</v>
      </c>
    </row>
    <row r="931" spans="1:12" x14ac:dyDescent="0.2">
      <c r="A931" s="681" t="s">
        <v>220</v>
      </c>
      <c r="B931" s="681" t="s">
        <v>2351</v>
      </c>
      <c r="C931" s="738" t="s">
        <v>3601</v>
      </c>
      <c r="D931" s="738" t="s">
        <v>3602</v>
      </c>
      <c r="E931" s="741"/>
      <c r="F931" s="685">
        <v>2</v>
      </c>
      <c r="G931" s="737">
        <v>8.75</v>
      </c>
      <c r="H931" s="685">
        <v>17.5</v>
      </c>
      <c r="I931" s="672" t="s">
        <v>9218</v>
      </c>
      <c r="J931" s="672" t="s">
        <v>9219</v>
      </c>
      <c r="K931" s="672" t="s">
        <v>2354</v>
      </c>
      <c r="L931" s="672" t="s">
        <v>9219</v>
      </c>
    </row>
    <row r="932" spans="1:12" x14ac:dyDescent="0.2">
      <c r="A932" s="681" t="s">
        <v>220</v>
      </c>
      <c r="B932" s="681" t="s">
        <v>2351</v>
      </c>
      <c r="C932" s="738" t="s">
        <v>3607</v>
      </c>
      <c r="D932" s="738" t="s">
        <v>3608</v>
      </c>
      <c r="E932" s="741"/>
      <c r="F932" s="685">
        <v>3</v>
      </c>
      <c r="G932" s="737">
        <v>14.757300000000001</v>
      </c>
      <c r="H932" s="685">
        <v>44.271900000000002</v>
      </c>
      <c r="I932" s="672" t="s">
        <v>9218</v>
      </c>
      <c r="J932" s="672" t="s">
        <v>9219</v>
      </c>
      <c r="K932" s="672" t="s">
        <v>2354</v>
      </c>
      <c r="L932" s="672" t="s">
        <v>9219</v>
      </c>
    </row>
    <row r="933" spans="1:12" x14ac:dyDescent="0.2">
      <c r="A933" s="681" t="s">
        <v>220</v>
      </c>
      <c r="B933" s="681" t="s">
        <v>2351</v>
      </c>
      <c r="C933" s="738" t="s">
        <v>5327</v>
      </c>
      <c r="D933" s="738" t="s">
        <v>5328</v>
      </c>
      <c r="E933" s="741"/>
      <c r="F933" s="685">
        <v>2</v>
      </c>
      <c r="G933" s="737">
        <v>0</v>
      </c>
      <c r="H933" s="685">
        <v>0</v>
      </c>
      <c r="I933" s="672" t="s">
        <v>9218</v>
      </c>
      <c r="J933" s="672" t="s">
        <v>9219</v>
      </c>
      <c r="K933" s="672" t="s">
        <v>2354</v>
      </c>
      <c r="L933" s="672" t="s">
        <v>9219</v>
      </c>
    </row>
    <row r="934" spans="1:12" x14ac:dyDescent="0.2">
      <c r="A934" s="681" t="s">
        <v>220</v>
      </c>
      <c r="B934" s="681" t="s">
        <v>2351</v>
      </c>
      <c r="C934" s="738" t="s">
        <v>5325</v>
      </c>
      <c r="D934" s="738" t="s">
        <v>5326</v>
      </c>
      <c r="E934" s="741"/>
      <c r="F934" s="685">
        <v>4</v>
      </c>
      <c r="G934" s="737">
        <v>11.900700000000001</v>
      </c>
      <c r="H934" s="685">
        <v>47.602800000000002</v>
      </c>
      <c r="I934" s="672" t="s">
        <v>9218</v>
      </c>
      <c r="J934" s="672" t="s">
        <v>9219</v>
      </c>
      <c r="K934" s="672" t="s">
        <v>2354</v>
      </c>
      <c r="L934" s="672" t="s">
        <v>9219</v>
      </c>
    </row>
    <row r="935" spans="1:12" x14ac:dyDescent="0.2">
      <c r="A935" s="681" t="s">
        <v>220</v>
      </c>
      <c r="B935" s="681" t="s">
        <v>2351</v>
      </c>
      <c r="C935" s="738" t="s">
        <v>5364</v>
      </c>
      <c r="D935" s="738" t="s">
        <v>5365</v>
      </c>
      <c r="E935" s="741"/>
      <c r="F935" s="685">
        <v>1</v>
      </c>
      <c r="G935" s="737">
        <v>0</v>
      </c>
      <c r="H935" s="685">
        <v>0</v>
      </c>
      <c r="I935" s="672" t="s">
        <v>9218</v>
      </c>
      <c r="J935" s="672" t="s">
        <v>9219</v>
      </c>
      <c r="K935" s="672" t="s">
        <v>2354</v>
      </c>
      <c r="L935" s="672" t="s">
        <v>9219</v>
      </c>
    </row>
    <row r="936" spans="1:12" x14ac:dyDescent="0.2">
      <c r="A936" s="681" t="s">
        <v>220</v>
      </c>
      <c r="B936" s="681" t="s">
        <v>2351</v>
      </c>
      <c r="C936" s="738" t="s">
        <v>3657</v>
      </c>
      <c r="D936" s="738" t="s">
        <v>3658</v>
      </c>
      <c r="E936" s="741"/>
      <c r="F936" s="685">
        <v>1</v>
      </c>
      <c r="G936" s="737">
        <v>6.2409999999999997</v>
      </c>
      <c r="H936" s="685">
        <v>6.2409999999999997</v>
      </c>
      <c r="I936" s="672" t="s">
        <v>9218</v>
      </c>
      <c r="J936" s="672" t="s">
        <v>9219</v>
      </c>
      <c r="K936" s="672" t="s">
        <v>2354</v>
      </c>
      <c r="L936" s="672" t="s">
        <v>9219</v>
      </c>
    </row>
    <row r="937" spans="1:12" x14ac:dyDescent="0.2">
      <c r="A937" s="681" t="s">
        <v>220</v>
      </c>
      <c r="B937" s="681" t="s">
        <v>2351</v>
      </c>
      <c r="C937" s="738" t="s">
        <v>3659</v>
      </c>
      <c r="D937" s="738" t="s">
        <v>3660</v>
      </c>
      <c r="E937" s="741"/>
      <c r="F937" s="685">
        <v>4</v>
      </c>
      <c r="G937" s="737">
        <v>3.032</v>
      </c>
      <c r="H937" s="685">
        <v>12.128</v>
      </c>
      <c r="I937" s="672" t="s">
        <v>9218</v>
      </c>
      <c r="J937" s="672" t="s">
        <v>9219</v>
      </c>
      <c r="K937" s="672" t="s">
        <v>2354</v>
      </c>
      <c r="L937" s="672" t="s">
        <v>9219</v>
      </c>
    </row>
    <row r="938" spans="1:12" x14ac:dyDescent="0.2">
      <c r="A938" s="681" t="s">
        <v>220</v>
      </c>
      <c r="B938" s="681" t="s">
        <v>2351</v>
      </c>
      <c r="C938" s="738" t="s">
        <v>3661</v>
      </c>
      <c r="D938" s="738" t="s">
        <v>3662</v>
      </c>
      <c r="E938" s="741"/>
      <c r="F938" s="685">
        <v>1</v>
      </c>
      <c r="G938" s="737">
        <v>2.9</v>
      </c>
      <c r="H938" s="685">
        <v>2.9</v>
      </c>
      <c r="I938" s="672" t="s">
        <v>9218</v>
      </c>
      <c r="J938" s="672" t="s">
        <v>9219</v>
      </c>
      <c r="K938" s="672" t="s">
        <v>2354</v>
      </c>
      <c r="L938" s="672" t="s">
        <v>9219</v>
      </c>
    </row>
    <row r="939" spans="1:12" x14ac:dyDescent="0.2">
      <c r="A939" s="681" t="s">
        <v>220</v>
      </c>
      <c r="B939" s="681" t="s">
        <v>2351</v>
      </c>
      <c r="C939" s="738" t="s">
        <v>5360</v>
      </c>
      <c r="D939" s="738" t="s">
        <v>5361</v>
      </c>
      <c r="E939" s="741"/>
      <c r="F939" s="685">
        <v>4</v>
      </c>
      <c r="G939" s="737">
        <v>0</v>
      </c>
      <c r="H939" s="685">
        <v>0</v>
      </c>
      <c r="I939" s="672" t="s">
        <v>9218</v>
      </c>
      <c r="J939" s="672" t="s">
        <v>9219</v>
      </c>
      <c r="K939" s="672" t="s">
        <v>2354</v>
      </c>
      <c r="L939" s="672" t="s">
        <v>9219</v>
      </c>
    </row>
    <row r="940" spans="1:12" x14ac:dyDescent="0.2">
      <c r="A940" s="681" t="s">
        <v>220</v>
      </c>
      <c r="B940" s="681" t="s">
        <v>2351</v>
      </c>
      <c r="C940" s="738" t="s">
        <v>3665</v>
      </c>
      <c r="D940" s="738" t="s">
        <v>3666</v>
      </c>
      <c r="E940" s="741"/>
      <c r="F940" s="685">
        <v>3</v>
      </c>
      <c r="G940" s="737">
        <v>1.83</v>
      </c>
      <c r="H940" s="685">
        <v>5.49</v>
      </c>
      <c r="I940" s="672" t="s">
        <v>9218</v>
      </c>
      <c r="J940" s="672" t="s">
        <v>9219</v>
      </c>
      <c r="K940" s="672" t="s">
        <v>2354</v>
      </c>
      <c r="L940" s="672" t="s">
        <v>9219</v>
      </c>
    </row>
    <row r="941" spans="1:12" x14ac:dyDescent="0.2">
      <c r="A941" s="681" t="s">
        <v>220</v>
      </c>
      <c r="B941" s="681" t="s">
        <v>2351</v>
      </c>
      <c r="C941" s="738" t="s">
        <v>3667</v>
      </c>
      <c r="D941" s="738" t="s">
        <v>3668</v>
      </c>
      <c r="E941" s="741"/>
      <c r="F941" s="685">
        <v>6</v>
      </c>
      <c r="G941" s="737">
        <v>1.472</v>
      </c>
      <c r="H941" s="685">
        <v>8.8320000000000007</v>
      </c>
      <c r="I941" s="672" t="s">
        <v>9218</v>
      </c>
      <c r="J941" s="672" t="s">
        <v>9219</v>
      </c>
      <c r="K941" s="672" t="s">
        <v>2354</v>
      </c>
      <c r="L941" s="672" t="s">
        <v>9219</v>
      </c>
    </row>
    <row r="942" spans="1:12" x14ac:dyDescent="0.2">
      <c r="A942" s="681" t="s">
        <v>220</v>
      </c>
      <c r="B942" s="681" t="s">
        <v>2351</v>
      </c>
      <c r="C942" s="738" t="s">
        <v>3669</v>
      </c>
      <c r="D942" s="738" t="s">
        <v>3670</v>
      </c>
      <c r="E942" s="741"/>
      <c r="F942" s="685">
        <v>4</v>
      </c>
      <c r="G942" s="737">
        <v>1.2078500000000001</v>
      </c>
      <c r="H942" s="685">
        <v>4.8314000000000004</v>
      </c>
      <c r="I942" s="672" t="s">
        <v>9218</v>
      </c>
      <c r="J942" s="672" t="s">
        <v>9219</v>
      </c>
      <c r="K942" s="672" t="s">
        <v>2354</v>
      </c>
      <c r="L942" s="672" t="s">
        <v>9219</v>
      </c>
    </row>
    <row r="943" spans="1:12" x14ac:dyDescent="0.2">
      <c r="A943" s="681" t="s">
        <v>220</v>
      </c>
      <c r="B943" s="681" t="s">
        <v>2351</v>
      </c>
      <c r="C943" s="738" t="s">
        <v>3671</v>
      </c>
      <c r="D943" s="738" t="s">
        <v>3672</v>
      </c>
      <c r="E943" s="741"/>
      <c r="F943" s="685">
        <v>2</v>
      </c>
      <c r="G943" s="737">
        <v>10.659000000000001</v>
      </c>
      <c r="H943" s="685">
        <v>21.318000000000001</v>
      </c>
      <c r="I943" s="672" t="s">
        <v>9218</v>
      </c>
      <c r="J943" s="672" t="s">
        <v>9219</v>
      </c>
      <c r="K943" s="672" t="s">
        <v>2354</v>
      </c>
      <c r="L943" s="672" t="s">
        <v>9219</v>
      </c>
    </row>
    <row r="944" spans="1:12" x14ac:dyDescent="0.2">
      <c r="A944" s="681" t="s">
        <v>220</v>
      </c>
      <c r="B944" s="681" t="s">
        <v>2351</v>
      </c>
      <c r="C944" s="738" t="s">
        <v>3673</v>
      </c>
      <c r="D944" s="738" t="s">
        <v>3674</v>
      </c>
      <c r="E944" s="741"/>
      <c r="F944" s="685">
        <v>10</v>
      </c>
      <c r="G944" s="737">
        <v>11.33095</v>
      </c>
      <c r="H944" s="685">
        <v>113.3095</v>
      </c>
      <c r="I944" s="672" t="s">
        <v>9218</v>
      </c>
      <c r="J944" s="672" t="s">
        <v>9219</v>
      </c>
      <c r="K944" s="672" t="s">
        <v>2354</v>
      </c>
      <c r="L944" s="672" t="s">
        <v>9219</v>
      </c>
    </row>
    <row r="945" spans="1:12" x14ac:dyDescent="0.2">
      <c r="A945" s="681" t="s">
        <v>220</v>
      </c>
      <c r="B945" s="681" t="s">
        <v>2351</v>
      </c>
      <c r="C945" s="738" t="s">
        <v>3675</v>
      </c>
      <c r="D945" s="738" t="s">
        <v>3676</v>
      </c>
      <c r="E945" s="741"/>
      <c r="F945" s="685">
        <v>1</v>
      </c>
      <c r="G945" s="737">
        <v>8.9250000000000007</v>
      </c>
      <c r="H945" s="685">
        <v>8.9250000000000007</v>
      </c>
      <c r="I945" s="672" t="s">
        <v>9218</v>
      </c>
      <c r="J945" s="672" t="s">
        <v>9219</v>
      </c>
      <c r="K945" s="672" t="s">
        <v>2354</v>
      </c>
      <c r="L945" s="672" t="s">
        <v>9219</v>
      </c>
    </row>
    <row r="946" spans="1:12" x14ac:dyDescent="0.2">
      <c r="A946" s="681" t="s">
        <v>220</v>
      </c>
      <c r="B946" s="681" t="s">
        <v>2351</v>
      </c>
      <c r="C946" s="738" t="s">
        <v>3677</v>
      </c>
      <c r="D946" s="738" t="s">
        <v>3678</v>
      </c>
      <c r="E946" s="741"/>
      <c r="F946" s="685">
        <v>32</v>
      </c>
      <c r="G946" s="737">
        <v>2.2440000000000002</v>
      </c>
      <c r="H946" s="685">
        <v>71.808000000000007</v>
      </c>
      <c r="I946" s="672" t="s">
        <v>9218</v>
      </c>
      <c r="J946" s="672" t="s">
        <v>9219</v>
      </c>
      <c r="K946" s="672" t="s">
        <v>2354</v>
      </c>
      <c r="L946" s="672" t="s">
        <v>9219</v>
      </c>
    </row>
    <row r="947" spans="1:12" x14ac:dyDescent="0.2">
      <c r="A947" s="681" t="s">
        <v>220</v>
      </c>
      <c r="B947" s="681" t="s">
        <v>2351</v>
      </c>
      <c r="C947" s="738" t="s">
        <v>3683</v>
      </c>
      <c r="D947" s="738" t="s">
        <v>3684</v>
      </c>
      <c r="E947" s="741"/>
      <c r="F947" s="685">
        <v>2</v>
      </c>
      <c r="G947" s="737">
        <v>2.0278500000000004</v>
      </c>
      <c r="H947" s="685">
        <v>4.0557000000000007</v>
      </c>
      <c r="I947" s="672" t="s">
        <v>9218</v>
      </c>
      <c r="J947" s="672" t="s">
        <v>9219</v>
      </c>
      <c r="K947" s="672" t="s">
        <v>2354</v>
      </c>
      <c r="L947" s="672" t="s">
        <v>9219</v>
      </c>
    </row>
    <row r="948" spans="1:12" x14ac:dyDescent="0.2">
      <c r="A948" s="681" t="s">
        <v>220</v>
      </c>
      <c r="B948" s="681" t="s">
        <v>2351</v>
      </c>
      <c r="C948" s="736" t="s">
        <v>3685</v>
      </c>
      <c r="D948" s="736" t="s">
        <v>3686</v>
      </c>
      <c r="E948" s="683"/>
      <c r="F948" s="685">
        <v>6</v>
      </c>
      <c r="G948" s="737">
        <v>0.42499999999999999</v>
      </c>
      <c r="H948" s="685">
        <v>2.5499999999999998</v>
      </c>
      <c r="I948" s="672" t="s">
        <v>9218</v>
      </c>
      <c r="J948" s="672" t="s">
        <v>9219</v>
      </c>
      <c r="K948" s="672" t="s">
        <v>2354</v>
      </c>
      <c r="L948" s="672" t="s">
        <v>9219</v>
      </c>
    </row>
    <row r="949" spans="1:12" x14ac:dyDescent="0.2">
      <c r="A949" s="681" t="s">
        <v>220</v>
      </c>
      <c r="B949" s="681" t="s">
        <v>2351</v>
      </c>
      <c r="C949" s="736" t="s">
        <v>3687</v>
      </c>
      <c r="D949" s="736" t="s">
        <v>3688</v>
      </c>
      <c r="E949" s="683"/>
      <c r="F949" s="685">
        <v>2</v>
      </c>
      <c r="G949" s="737">
        <v>1.852153846153846</v>
      </c>
      <c r="H949" s="685">
        <v>3.7043076923076921</v>
      </c>
      <c r="I949" s="672" t="s">
        <v>9218</v>
      </c>
      <c r="J949" s="672" t="s">
        <v>9219</v>
      </c>
      <c r="K949" s="672" t="s">
        <v>2354</v>
      </c>
      <c r="L949" s="672" t="s">
        <v>9219</v>
      </c>
    </row>
    <row r="950" spans="1:12" x14ac:dyDescent="0.2">
      <c r="A950" s="681" t="s">
        <v>220</v>
      </c>
      <c r="B950" s="681" t="s">
        <v>2351</v>
      </c>
      <c r="C950" s="736" t="s">
        <v>3689</v>
      </c>
      <c r="D950" s="736" t="s">
        <v>3690</v>
      </c>
      <c r="E950" s="683"/>
      <c r="F950" s="685">
        <v>4</v>
      </c>
      <c r="G950" s="737">
        <v>1.4553636363636364</v>
      </c>
      <c r="H950" s="685">
        <v>5.8214545454545457</v>
      </c>
      <c r="I950" s="672" t="s">
        <v>9218</v>
      </c>
      <c r="J950" s="672" t="s">
        <v>9219</v>
      </c>
      <c r="K950" s="672" t="s">
        <v>2354</v>
      </c>
      <c r="L950" s="672" t="s">
        <v>9219</v>
      </c>
    </row>
    <row r="951" spans="1:12" x14ac:dyDescent="0.2">
      <c r="A951" s="681" t="s">
        <v>220</v>
      </c>
      <c r="B951" s="681" t="s">
        <v>2351</v>
      </c>
      <c r="C951" s="736" t="s">
        <v>3695</v>
      </c>
      <c r="D951" s="736" t="s">
        <v>3696</v>
      </c>
      <c r="E951" s="683"/>
      <c r="F951" s="685">
        <v>3</v>
      </c>
      <c r="G951" s="737">
        <v>0.42499999999999999</v>
      </c>
      <c r="H951" s="685">
        <v>1.2749999999999999</v>
      </c>
      <c r="I951" s="672" t="s">
        <v>9218</v>
      </c>
      <c r="J951" s="672" t="s">
        <v>9219</v>
      </c>
      <c r="K951" s="672" t="s">
        <v>2354</v>
      </c>
      <c r="L951" s="672" t="s">
        <v>9219</v>
      </c>
    </row>
    <row r="952" spans="1:12" x14ac:dyDescent="0.2">
      <c r="A952" s="681" t="s">
        <v>220</v>
      </c>
      <c r="B952" s="681" t="s">
        <v>2351</v>
      </c>
      <c r="C952" s="736" t="s">
        <v>3697</v>
      </c>
      <c r="D952" s="736" t="s">
        <v>3698</v>
      </c>
      <c r="E952" s="683"/>
      <c r="F952" s="685">
        <v>1</v>
      </c>
      <c r="G952" s="737">
        <v>4.0999999999999996</v>
      </c>
      <c r="H952" s="685">
        <v>4.0999999999999996</v>
      </c>
      <c r="I952" s="672" t="s">
        <v>9218</v>
      </c>
      <c r="J952" s="672" t="s">
        <v>9219</v>
      </c>
      <c r="K952" s="672" t="s">
        <v>2354</v>
      </c>
      <c r="L952" s="672" t="s">
        <v>9219</v>
      </c>
    </row>
    <row r="953" spans="1:12" x14ac:dyDescent="0.2">
      <c r="A953" s="681" t="s">
        <v>220</v>
      </c>
      <c r="B953" s="681" t="s">
        <v>2351</v>
      </c>
      <c r="C953" s="736" t="s">
        <v>3699</v>
      </c>
      <c r="D953" s="736" t="s">
        <v>3700</v>
      </c>
      <c r="E953" s="683"/>
      <c r="F953" s="685">
        <v>15</v>
      </c>
      <c r="G953" s="737">
        <v>3.5</v>
      </c>
      <c r="H953" s="685">
        <v>52.5</v>
      </c>
      <c r="I953" s="672" t="s">
        <v>9218</v>
      </c>
      <c r="J953" s="672" t="s">
        <v>9219</v>
      </c>
      <c r="K953" s="672" t="s">
        <v>2354</v>
      </c>
      <c r="L953" s="672" t="s">
        <v>9219</v>
      </c>
    </row>
    <row r="954" spans="1:12" x14ac:dyDescent="0.2">
      <c r="A954" s="681" t="s">
        <v>220</v>
      </c>
      <c r="B954" s="681" t="s">
        <v>2351</v>
      </c>
      <c r="C954" s="736" t="s">
        <v>3701</v>
      </c>
      <c r="D954" s="736" t="s">
        <v>3702</v>
      </c>
      <c r="E954" s="683"/>
      <c r="F954" s="685">
        <v>4</v>
      </c>
      <c r="G954" s="737">
        <v>3.0479482142857139</v>
      </c>
      <c r="H954" s="685">
        <v>12.191792857142856</v>
      </c>
      <c r="I954" s="672" t="s">
        <v>9218</v>
      </c>
      <c r="J954" s="672" t="s">
        <v>9219</v>
      </c>
      <c r="K954" s="672" t="s">
        <v>2354</v>
      </c>
      <c r="L954" s="672" t="s">
        <v>9219</v>
      </c>
    </row>
    <row r="955" spans="1:12" x14ac:dyDescent="0.2">
      <c r="A955" s="681" t="s">
        <v>220</v>
      </c>
      <c r="B955" s="681" t="s">
        <v>2351</v>
      </c>
      <c r="C955" s="736" t="s">
        <v>3703</v>
      </c>
      <c r="D955" s="736" t="s">
        <v>3704</v>
      </c>
      <c r="E955" s="683"/>
      <c r="F955" s="685">
        <v>7</v>
      </c>
      <c r="G955" s="737">
        <v>1.6575</v>
      </c>
      <c r="H955" s="685">
        <v>11.602499999999999</v>
      </c>
      <c r="I955" s="672" t="s">
        <v>9218</v>
      </c>
      <c r="J955" s="672" t="s">
        <v>9219</v>
      </c>
      <c r="K955" s="672" t="s">
        <v>2354</v>
      </c>
      <c r="L955" s="672" t="s">
        <v>9219</v>
      </c>
    </row>
    <row r="956" spans="1:12" x14ac:dyDescent="0.2">
      <c r="A956" s="681" t="s">
        <v>220</v>
      </c>
      <c r="B956" s="681" t="s">
        <v>2351</v>
      </c>
      <c r="C956" s="736" t="s">
        <v>3705</v>
      </c>
      <c r="D956" s="736" t="s">
        <v>3706</v>
      </c>
      <c r="E956" s="683"/>
      <c r="F956" s="685">
        <v>3</v>
      </c>
      <c r="G956" s="737">
        <v>4.375</v>
      </c>
      <c r="H956" s="685">
        <v>13.125</v>
      </c>
      <c r="I956" s="672" t="s">
        <v>9218</v>
      </c>
      <c r="J956" s="672" t="s">
        <v>9219</v>
      </c>
      <c r="K956" s="672" t="s">
        <v>2354</v>
      </c>
      <c r="L956" s="672" t="s">
        <v>9219</v>
      </c>
    </row>
    <row r="957" spans="1:12" x14ac:dyDescent="0.2">
      <c r="A957" s="681" t="s">
        <v>220</v>
      </c>
      <c r="B957" s="681" t="s">
        <v>2351</v>
      </c>
      <c r="C957" s="736" t="s">
        <v>5343</v>
      </c>
      <c r="D957" s="736" t="s">
        <v>5344</v>
      </c>
      <c r="E957" s="683"/>
      <c r="F957" s="685">
        <v>1</v>
      </c>
      <c r="G957" s="737">
        <v>25.4711</v>
      </c>
      <c r="H957" s="685">
        <v>25.4711</v>
      </c>
      <c r="I957" s="672" t="s">
        <v>9218</v>
      </c>
      <c r="J957" s="672" t="s">
        <v>9219</v>
      </c>
      <c r="K957" s="672" t="s">
        <v>2354</v>
      </c>
      <c r="L957" s="672" t="s">
        <v>9219</v>
      </c>
    </row>
    <row r="958" spans="1:12" x14ac:dyDescent="0.2">
      <c r="A958" s="681" t="s">
        <v>220</v>
      </c>
      <c r="B958" s="681" t="s">
        <v>2351</v>
      </c>
      <c r="C958" s="736" t="s">
        <v>5341</v>
      </c>
      <c r="D958" s="736" t="s">
        <v>5342</v>
      </c>
      <c r="E958" s="683"/>
      <c r="F958" s="685">
        <v>3</v>
      </c>
      <c r="G958" s="737">
        <v>12.2</v>
      </c>
      <c r="H958" s="685">
        <v>36.599999999999994</v>
      </c>
      <c r="I958" s="672" t="s">
        <v>9218</v>
      </c>
      <c r="J958" s="672" t="s">
        <v>9219</v>
      </c>
      <c r="K958" s="672" t="s">
        <v>2354</v>
      </c>
      <c r="L958" s="672" t="s">
        <v>9219</v>
      </c>
    </row>
    <row r="959" spans="1:12" x14ac:dyDescent="0.2">
      <c r="A959" s="681" t="s">
        <v>220</v>
      </c>
      <c r="B959" s="681" t="s">
        <v>2351</v>
      </c>
      <c r="C959" s="736" t="s">
        <v>3707</v>
      </c>
      <c r="D959" s="736" t="s">
        <v>3708</v>
      </c>
      <c r="E959" s="683"/>
      <c r="F959" s="685">
        <v>9</v>
      </c>
      <c r="G959" s="737">
        <v>15.5799</v>
      </c>
      <c r="H959" s="685">
        <v>140.2191</v>
      </c>
      <c r="I959" s="672" t="s">
        <v>9218</v>
      </c>
      <c r="J959" s="672" t="s">
        <v>9219</v>
      </c>
      <c r="K959" s="672" t="s">
        <v>2354</v>
      </c>
      <c r="L959" s="672" t="s">
        <v>9219</v>
      </c>
    </row>
    <row r="960" spans="1:12" x14ac:dyDescent="0.2">
      <c r="A960" s="681" t="s">
        <v>220</v>
      </c>
      <c r="B960" s="681" t="s">
        <v>2351</v>
      </c>
      <c r="C960" s="736" t="s">
        <v>3711</v>
      </c>
      <c r="D960" s="736" t="s">
        <v>3712</v>
      </c>
      <c r="E960" s="683"/>
      <c r="F960" s="685">
        <v>10</v>
      </c>
      <c r="G960" s="737">
        <v>1.6575</v>
      </c>
      <c r="H960" s="685">
        <v>16.574999999999999</v>
      </c>
      <c r="I960" s="672" t="s">
        <v>9218</v>
      </c>
      <c r="J960" s="672" t="s">
        <v>9219</v>
      </c>
      <c r="K960" s="672" t="s">
        <v>2354</v>
      </c>
      <c r="L960" s="672" t="s">
        <v>9219</v>
      </c>
    </row>
    <row r="961" spans="1:12" x14ac:dyDescent="0.2">
      <c r="A961" s="681" t="s">
        <v>220</v>
      </c>
      <c r="B961" s="681" t="s">
        <v>2351</v>
      </c>
      <c r="C961" s="736" t="s">
        <v>3713</v>
      </c>
      <c r="D961" s="736" t="s">
        <v>3714</v>
      </c>
      <c r="E961" s="683"/>
      <c r="F961" s="685">
        <v>16</v>
      </c>
      <c r="G961" s="737">
        <v>33.090700000000005</v>
      </c>
      <c r="H961" s="685">
        <v>529.45120000000009</v>
      </c>
      <c r="I961" s="672" t="s">
        <v>9218</v>
      </c>
      <c r="J961" s="672" t="s">
        <v>9219</v>
      </c>
      <c r="K961" s="672" t="s">
        <v>2354</v>
      </c>
      <c r="L961" s="672" t="s">
        <v>9219</v>
      </c>
    </row>
    <row r="962" spans="1:12" x14ac:dyDescent="0.2">
      <c r="A962" s="681" t="s">
        <v>220</v>
      </c>
      <c r="B962" s="681" t="s">
        <v>2351</v>
      </c>
      <c r="C962" s="736" t="s">
        <v>3719</v>
      </c>
      <c r="D962" s="736" t="s">
        <v>3720</v>
      </c>
      <c r="E962" s="683"/>
      <c r="F962" s="685">
        <v>5</v>
      </c>
      <c r="G962" s="737">
        <v>24.788016666666664</v>
      </c>
      <c r="H962" s="685">
        <v>123.94008333333332</v>
      </c>
      <c r="I962" s="672" t="s">
        <v>9218</v>
      </c>
      <c r="J962" s="672" t="s">
        <v>9219</v>
      </c>
      <c r="K962" s="672" t="s">
        <v>2354</v>
      </c>
      <c r="L962" s="672" t="s">
        <v>9219</v>
      </c>
    </row>
    <row r="963" spans="1:12" x14ac:dyDescent="0.2">
      <c r="A963" s="681" t="s">
        <v>220</v>
      </c>
      <c r="B963" s="681" t="s">
        <v>2351</v>
      </c>
      <c r="C963" s="736" t="s">
        <v>5345</v>
      </c>
      <c r="D963" s="736" t="s">
        <v>5346</v>
      </c>
      <c r="E963" s="683"/>
      <c r="F963" s="685">
        <v>4</v>
      </c>
      <c r="G963" s="737">
        <v>1.2050000000000001</v>
      </c>
      <c r="H963" s="685">
        <v>4.82</v>
      </c>
      <c r="I963" s="672" t="s">
        <v>9218</v>
      </c>
      <c r="J963" s="672" t="s">
        <v>9219</v>
      </c>
      <c r="K963" s="672" t="s">
        <v>2354</v>
      </c>
      <c r="L963" s="672" t="s">
        <v>9219</v>
      </c>
    </row>
    <row r="964" spans="1:12" x14ac:dyDescent="0.2">
      <c r="A964" s="681" t="s">
        <v>220</v>
      </c>
      <c r="B964" s="681" t="s">
        <v>2351</v>
      </c>
      <c r="C964" s="736" t="s">
        <v>3739</v>
      </c>
      <c r="D964" s="736" t="s">
        <v>3740</v>
      </c>
      <c r="E964" s="683"/>
      <c r="F964" s="685">
        <v>2</v>
      </c>
      <c r="G964" s="737">
        <v>3.044</v>
      </c>
      <c r="H964" s="685">
        <v>6.0880000000000001</v>
      </c>
      <c r="I964" s="672" t="s">
        <v>9218</v>
      </c>
      <c r="J964" s="672" t="s">
        <v>9219</v>
      </c>
      <c r="K964" s="672" t="s">
        <v>2354</v>
      </c>
      <c r="L964" s="672" t="s">
        <v>9219</v>
      </c>
    </row>
    <row r="965" spans="1:12" x14ac:dyDescent="0.2">
      <c r="A965" s="681" t="s">
        <v>220</v>
      </c>
      <c r="B965" s="681" t="s">
        <v>2351</v>
      </c>
      <c r="C965" s="736" t="s">
        <v>3741</v>
      </c>
      <c r="D965" s="736" t="s">
        <v>3742</v>
      </c>
      <c r="E965" s="683"/>
      <c r="F965" s="685">
        <v>5</v>
      </c>
      <c r="G965" s="737">
        <v>2.4782999999999999</v>
      </c>
      <c r="H965" s="685">
        <v>12.391500000000001</v>
      </c>
      <c r="I965" s="672" t="s">
        <v>9218</v>
      </c>
      <c r="J965" s="672" t="s">
        <v>9219</v>
      </c>
      <c r="K965" s="672" t="s">
        <v>2354</v>
      </c>
      <c r="L965" s="672" t="s">
        <v>9219</v>
      </c>
    </row>
    <row r="966" spans="1:12" x14ac:dyDescent="0.2">
      <c r="A966" s="681" t="s">
        <v>220</v>
      </c>
      <c r="B966" s="681" t="s">
        <v>2351</v>
      </c>
      <c r="C966" s="736" t="s">
        <v>3743</v>
      </c>
      <c r="D966" s="736" t="s">
        <v>3744</v>
      </c>
      <c r="E966" s="683"/>
      <c r="F966" s="685">
        <v>4</v>
      </c>
      <c r="G966" s="737">
        <v>11.231999999999999</v>
      </c>
      <c r="H966" s="685">
        <v>44.927999999999997</v>
      </c>
      <c r="I966" s="672" t="s">
        <v>9218</v>
      </c>
      <c r="J966" s="672" t="s">
        <v>9219</v>
      </c>
      <c r="K966" s="672" t="s">
        <v>2354</v>
      </c>
      <c r="L966" s="672" t="s">
        <v>9219</v>
      </c>
    </row>
    <row r="967" spans="1:12" x14ac:dyDescent="0.2">
      <c r="A967" s="681" t="s">
        <v>220</v>
      </c>
      <c r="B967" s="681" t="s">
        <v>2351</v>
      </c>
      <c r="C967" s="736" t="s">
        <v>5350</v>
      </c>
      <c r="D967" s="736" t="s">
        <v>5351</v>
      </c>
      <c r="E967" s="683"/>
      <c r="F967" s="685">
        <v>2</v>
      </c>
      <c r="G967" s="737">
        <v>0</v>
      </c>
      <c r="H967" s="685">
        <v>0</v>
      </c>
      <c r="I967" s="672" t="s">
        <v>9218</v>
      </c>
      <c r="J967" s="672" t="s">
        <v>9219</v>
      </c>
      <c r="K967" s="672" t="s">
        <v>2354</v>
      </c>
      <c r="L967" s="672" t="s">
        <v>9219</v>
      </c>
    </row>
    <row r="968" spans="1:12" x14ac:dyDescent="0.2">
      <c r="A968" s="681" t="s">
        <v>220</v>
      </c>
      <c r="B968" s="681" t="s">
        <v>2351</v>
      </c>
      <c r="C968" s="736" t="s">
        <v>3747</v>
      </c>
      <c r="D968" s="736" t="s">
        <v>3748</v>
      </c>
      <c r="E968" s="683" t="s">
        <v>10139</v>
      </c>
      <c r="F968" s="685">
        <v>10</v>
      </c>
      <c r="G968" s="737">
        <v>6.8849999999999998</v>
      </c>
      <c r="H968" s="685">
        <v>68.849999999999994</v>
      </c>
      <c r="I968" s="672" t="s">
        <v>9218</v>
      </c>
      <c r="J968" s="672" t="s">
        <v>9219</v>
      </c>
      <c r="K968" s="672" t="s">
        <v>2354</v>
      </c>
      <c r="L968" s="672" t="s">
        <v>9219</v>
      </c>
    </row>
    <row r="969" spans="1:12" x14ac:dyDescent="0.2">
      <c r="A969" s="681" t="s">
        <v>220</v>
      </c>
      <c r="B969" s="681" t="s">
        <v>2351</v>
      </c>
      <c r="C969" s="736" t="s">
        <v>3749</v>
      </c>
      <c r="D969" s="736" t="s">
        <v>3750</v>
      </c>
      <c r="E969" s="683" t="s">
        <v>10139</v>
      </c>
      <c r="F969" s="685">
        <v>20</v>
      </c>
      <c r="G969" s="737">
        <v>0.91969999999999996</v>
      </c>
      <c r="H969" s="685">
        <v>18.393999999999998</v>
      </c>
      <c r="I969" s="672" t="s">
        <v>9218</v>
      </c>
      <c r="J969" s="672" t="s">
        <v>9219</v>
      </c>
      <c r="K969" s="672" t="s">
        <v>2354</v>
      </c>
      <c r="L969" s="672" t="s">
        <v>9219</v>
      </c>
    </row>
    <row r="970" spans="1:12" x14ac:dyDescent="0.2">
      <c r="A970" s="681" t="s">
        <v>220</v>
      </c>
      <c r="B970" s="681" t="s">
        <v>2351</v>
      </c>
      <c r="C970" s="736" t="s">
        <v>3759</v>
      </c>
      <c r="D970" s="736" t="s">
        <v>3760</v>
      </c>
      <c r="E970" s="683"/>
      <c r="F970" s="685">
        <v>10</v>
      </c>
      <c r="G970" s="737">
        <v>0.32900000000000001</v>
      </c>
      <c r="H970" s="685">
        <v>3.29</v>
      </c>
      <c r="I970" s="672" t="s">
        <v>9218</v>
      </c>
      <c r="J970" s="672" t="s">
        <v>9219</v>
      </c>
      <c r="K970" s="672" t="s">
        <v>2354</v>
      </c>
      <c r="L970" s="672" t="s">
        <v>9219</v>
      </c>
    </row>
    <row r="971" spans="1:12" x14ac:dyDescent="0.2">
      <c r="A971" s="681" t="s">
        <v>220</v>
      </c>
      <c r="B971" s="681" t="s">
        <v>2351</v>
      </c>
      <c r="C971" s="736" t="s">
        <v>3761</v>
      </c>
      <c r="D971" s="736" t="s">
        <v>3762</v>
      </c>
      <c r="E971" s="683"/>
      <c r="F971" s="685">
        <v>5</v>
      </c>
      <c r="G971" s="737">
        <v>0.74250000000000005</v>
      </c>
      <c r="H971" s="685">
        <v>3.7125000000000004</v>
      </c>
      <c r="I971" s="672" t="s">
        <v>9218</v>
      </c>
      <c r="J971" s="672" t="s">
        <v>9219</v>
      </c>
      <c r="K971" s="672" t="s">
        <v>2354</v>
      </c>
      <c r="L971" s="672" t="s">
        <v>9219</v>
      </c>
    </row>
    <row r="972" spans="1:12" x14ac:dyDescent="0.2">
      <c r="A972" s="681" t="s">
        <v>220</v>
      </c>
      <c r="B972" s="681" t="s">
        <v>2351</v>
      </c>
      <c r="C972" s="736" t="s">
        <v>3769</v>
      </c>
      <c r="D972" s="736" t="s">
        <v>3770</v>
      </c>
      <c r="E972" s="683"/>
      <c r="F972" s="685">
        <v>3</v>
      </c>
      <c r="G972" s="737">
        <v>10.25</v>
      </c>
      <c r="H972" s="685">
        <v>30.75</v>
      </c>
      <c r="I972" s="672" t="s">
        <v>9218</v>
      </c>
      <c r="J972" s="672" t="s">
        <v>9219</v>
      </c>
      <c r="K972" s="672" t="s">
        <v>2354</v>
      </c>
      <c r="L972" s="672" t="s">
        <v>9219</v>
      </c>
    </row>
    <row r="973" spans="1:12" x14ac:dyDescent="0.2">
      <c r="A973" s="681" t="s">
        <v>220</v>
      </c>
      <c r="B973" s="681" t="s">
        <v>2351</v>
      </c>
      <c r="C973" s="736" t="s">
        <v>3771</v>
      </c>
      <c r="D973" s="736" t="s">
        <v>3772</v>
      </c>
      <c r="E973" s="683"/>
      <c r="F973" s="685">
        <v>5</v>
      </c>
      <c r="G973" s="737">
        <v>10.246</v>
      </c>
      <c r="H973" s="685">
        <v>51.230000000000004</v>
      </c>
      <c r="I973" s="672" t="s">
        <v>9218</v>
      </c>
      <c r="J973" s="672" t="s">
        <v>9219</v>
      </c>
      <c r="K973" s="672" t="s">
        <v>2354</v>
      </c>
      <c r="L973" s="672" t="s">
        <v>9219</v>
      </c>
    </row>
    <row r="974" spans="1:12" x14ac:dyDescent="0.2">
      <c r="A974" s="681" t="s">
        <v>220</v>
      </c>
      <c r="B974" s="681" t="s">
        <v>2351</v>
      </c>
      <c r="C974" s="736" t="s">
        <v>3773</v>
      </c>
      <c r="D974" s="736" t="s">
        <v>3774</v>
      </c>
      <c r="E974" s="683"/>
      <c r="F974" s="685">
        <v>4</v>
      </c>
      <c r="G974" s="737">
        <v>12.023999999999999</v>
      </c>
      <c r="H974" s="685">
        <v>48.095999999999997</v>
      </c>
      <c r="I974" s="672" t="s">
        <v>9218</v>
      </c>
      <c r="J974" s="672" t="s">
        <v>9219</v>
      </c>
      <c r="K974" s="672" t="s">
        <v>2354</v>
      </c>
      <c r="L974" s="672" t="s">
        <v>9219</v>
      </c>
    </row>
    <row r="975" spans="1:12" x14ac:dyDescent="0.2">
      <c r="A975" s="681" t="s">
        <v>220</v>
      </c>
      <c r="B975" s="681" t="s">
        <v>2351</v>
      </c>
      <c r="C975" s="736" t="s">
        <v>3775</v>
      </c>
      <c r="D975" s="736" t="s">
        <v>3776</v>
      </c>
      <c r="E975" s="683"/>
      <c r="F975" s="685">
        <v>5</v>
      </c>
      <c r="G975" s="737">
        <v>42.075000000000003</v>
      </c>
      <c r="H975" s="685">
        <v>210.375</v>
      </c>
      <c r="I975" s="672" t="s">
        <v>9218</v>
      </c>
      <c r="J975" s="672" t="s">
        <v>9219</v>
      </c>
      <c r="K975" s="672" t="s">
        <v>2354</v>
      </c>
      <c r="L975" s="672" t="s">
        <v>9219</v>
      </c>
    </row>
    <row r="976" spans="1:12" x14ac:dyDescent="0.2">
      <c r="A976" s="681" t="s">
        <v>220</v>
      </c>
      <c r="B976" s="681" t="s">
        <v>2351</v>
      </c>
      <c r="C976" s="736" t="s">
        <v>3777</v>
      </c>
      <c r="D976" s="736" t="s">
        <v>3778</v>
      </c>
      <c r="E976" s="683"/>
      <c r="F976" s="685">
        <v>10</v>
      </c>
      <c r="G976" s="737">
        <v>13.922000000000001</v>
      </c>
      <c r="H976" s="685">
        <v>139.22</v>
      </c>
      <c r="I976" s="672" t="s">
        <v>9218</v>
      </c>
      <c r="J976" s="672" t="s">
        <v>9219</v>
      </c>
      <c r="K976" s="672" t="s">
        <v>2354</v>
      </c>
      <c r="L976" s="672" t="s">
        <v>9219</v>
      </c>
    </row>
    <row r="977" spans="1:12" x14ac:dyDescent="0.2">
      <c r="A977" s="681" t="s">
        <v>220</v>
      </c>
      <c r="B977" s="681" t="s">
        <v>2351</v>
      </c>
      <c r="C977" s="736" t="s">
        <v>3779</v>
      </c>
      <c r="D977" s="736" t="s">
        <v>3780</v>
      </c>
      <c r="E977" s="683"/>
      <c r="F977" s="685">
        <v>2</v>
      </c>
      <c r="G977" s="737">
        <v>30.245999999999999</v>
      </c>
      <c r="H977" s="685">
        <v>60.491999999999997</v>
      </c>
      <c r="I977" s="672" t="s">
        <v>9218</v>
      </c>
      <c r="J977" s="672" t="s">
        <v>9219</v>
      </c>
      <c r="K977" s="672" t="s">
        <v>2354</v>
      </c>
      <c r="L977" s="672" t="s">
        <v>9219</v>
      </c>
    </row>
    <row r="978" spans="1:12" x14ac:dyDescent="0.2">
      <c r="A978" s="681" t="s">
        <v>220</v>
      </c>
      <c r="B978" s="681" t="s">
        <v>2351</v>
      </c>
      <c r="C978" s="736" t="s">
        <v>3781</v>
      </c>
      <c r="D978" s="736" t="s">
        <v>3782</v>
      </c>
      <c r="E978" s="683"/>
      <c r="F978" s="685">
        <v>2</v>
      </c>
      <c r="G978" s="737">
        <v>31.045999999999999</v>
      </c>
      <c r="H978" s="685">
        <v>62.091999999999999</v>
      </c>
      <c r="I978" s="672" t="s">
        <v>9218</v>
      </c>
      <c r="J978" s="672" t="s">
        <v>9219</v>
      </c>
      <c r="K978" s="672" t="s">
        <v>2354</v>
      </c>
      <c r="L978" s="672" t="s">
        <v>9219</v>
      </c>
    </row>
    <row r="979" spans="1:12" x14ac:dyDescent="0.2">
      <c r="A979" s="681" t="s">
        <v>220</v>
      </c>
      <c r="B979" s="681" t="s">
        <v>2351</v>
      </c>
      <c r="C979" s="736" t="s">
        <v>3783</v>
      </c>
      <c r="D979" s="736" t="s">
        <v>3784</v>
      </c>
      <c r="E979" s="683"/>
      <c r="F979" s="685">
        <v>6</v>
      </c>
      <c r="G979" s="737">
        <v>72.319342105263146</v>
      </c>
      <c r="H979" s="685">
        <v>433.91605263157885</v>
      </c>
      <c r="I979" s="672" t="s">
        <v>9218</v>
      </c>
      <c r="J979" s="672" t="s">
        <v>9219</v>
      </c>
      <c r="K979" s="672" t="s">
        <v>2354</v>
      </c>
      <c r="L979" s="672" t="s">
        <v>9219</v>
      </c>
    </row>
    <row r="980" spans="1:12" x14ac:dyDescent="0.2">
      <c r="A980" s="681" t="s">
        <v>220</v>
      </c>
      <c r="B980" s="681" t="s">
        <v>2351</v>
      </c>
      <c r="C980" s="736" t="s">
        <v>3785</v>
      </c>
      <c r="D980" s="736" t="s">
        <v>3786</v>
      </c>
      <c r="E980" s="683"/>
      <c r="F980" s="685">
        <v>1</v>
      </c>
      <c r="G980" s="737">
        <v>6.1020500000000002</v>
      </c>
      <c r="H980" s="685">
        <v>6.1020500000000002</v>
      </c>
      <c r="I980" s="672" t="s">
        <v>9218</v>
      </c>
      <c r="J980" s="672" t="s">
        <v>9219</v>
      </c>
      <c r="K980" s="672" t="s">
        <v>2354</v>
      </c>
      <c r="L980" s="672" t="s">
        <v>9219</v>
      </c>
    </row>
    <row r="981" spans="1:12" x14ac:dyDescent="0.2">
      <c r="A981" s="681" t="s">
        <v>220</v>
      </c>
      <c r="B981" s="681" t="s">
        <v>2351</v>
      </c>
      <c r="C981" s="736" t="s">
        <v>3787</v>
      </c>
      <c r="D981" s="736" t="s">
        <v>3788</v>
      </c>
      <c r="E981" s="683"/>
      <c r="F981" s="685">
        <v>5</v>
      </c>
      <c r="G981" s="737">
        <v>27.2</v>
      </c>
      <c r="H981" s="685">
        <v>136</v>
      </c>
      <c r="I981" s="672" t="s">
        <v>9218</v>
      </c>
      <c r="J981" s="672" t="s">
        <v>9219</v>
      </c>
      <c r="K981" s="672" t="s">
        <v>2354</v>
      </c>
      <c r="L981" s="672" t="s">
        <v>9219</v>
      </c>
    </row>
    <row r="982" spans="1:12" x14ac:dyDescent="0.2">
      <c r="A982" s="681" t="s">
        <v>220</v>
      </c>
      <c r="B982" s="681" t="s">
        <v>2351</v>
      </c>
      <c r="C982" s="736" t="s">
        <v>3789</v>
      </c>
      <c r="D982" s="736" t="s">
        <v>3790</v>
      </c>
      <c r="E982" s="683"/>
      <c r="F982" s="685">
        <v>5</v>
      </c>
      <c r="G982" s="737">
        <v>28.732500000000005</v>
      </c>
      <c r="H982" s="685">
        <v>143.66250000000002</v>
      </c>
      <c r="I982" s="672" t="s">
        <v>9218</v>
      </c>
      <c r="J982" s="672" t="s">
        <v>9219</v>
      </c>
      <c r="K982" s="672" t="s">
        <v>2354</v>
      </c>
      <c r="L982" s="672" t="s">
        <v>9219</v>
      </c>
    </row>
    <row r="983" spans="1:12" x14ac:dyDescent="0.2">
      <c r="A983" s="681" t="s">
        <v>220</v>
      </c>
      <c r="B983" s="681" t="s">
        <v>2351</v>
      </c>
      <c r="C983" s="736" t="s">
        <v>3791</v>
      </c>
      <c r="D983" s="736" t="s">
        <v>3792</v>
      </c>
      <c r="E983" s="683"/>
      <c r="F983" s="685">
        <v>1</v>
      </c>
      <c r="G983" s="737">
        <v>35.191000000000003</v>
      </c>
      <c r="H983" s="685">
        <v>35.191000000000003</v>
      </c>
      <c r="I983" s="672" t="s">
        <v>9218</v>
      </c>
      <c r="J983" s="672" t="s">
        <v>9219</v>
      </c>
      <c r="K983" s="672" t="s">
        <v>2354</v>
      </c>
      <c r="L983" s="672" t="s">
        <v>9219</v>
      </c>
    </row>
    <row r="984" spans="1:12" x14ac:dyDescent="0.2">
      <c r="A984" s="681" t="s">
        <v>220</v>
      </c>
      <c r="B984" s="681" t="s">
        <v>2351</v>
      </c>
      <c r="C984" s="736" t="s">
        <v>3929</v>
      </c>
      <c r="D984" s="736" t="s">
        <v>3930</v>
      </c>
      <c r="E984" s="683"/>
      <c r="F984" s="685">
        <v>2</v>
      </c>
      <c r="G984" s="737">
        <v>15</v>
      </c>
      <c r="H984" s="685">
        <v>30</v>
      </c>
      <c r="I984" s="672" t="s">
        <v>9218</v>
      </c>
      <c r="J984" s="672" t="s">
        <v>9219</v>
      </c>
      <c r="K984" s="672" t="s">
        <v>2354</v>
      </c>
      <c r="L984" s="672" t="s">
        <v>9219</v>
      </c>
    </row>
    <row r="985" spans="1:12" x14ac:dyDescent="0.2">
      <c r="A985" s="681" t="s">
        <v>220</v>
      </c>
      <c r="B985" s="681" t="s">
        <v>2351</v>
      </c>
      <c r="C985" s="736" t="s">
        <v>3931</v>
      </c>
      <c r="D985" s="736" t="s">
        <v>3932</v>
      </c>
      <c r="E985" s="683"/>
      <c r="F985" s="685">
        <v>2</v>
      </c>
      <c r="G985" s="737">
        <v>16</v>
      </c>
      <c r="H985" s="685">
        <v>32</v>
      </c>
      <c r="I985" s="672" t="s">
        <v>9218</v>
      </c>
      <c r="J985" s="672" t="s">
        <v>9219</v>
      </c>
      <c r="K985" s="672" t="s">
        <v>2354</v>
      </c>
      <c r="L985" s="672" t="s">
        <v>9219</v>
      </c>
    </row>
    <row r="986" spans="1:12" x14ac:dyDescent="0.2">
      <c r="A986" s="681" t="s">
        <v>220</v>
      </c>
      <c r="B986" s="681" t="s">
        <v>2351</v>
      </c>
      <c r="C986" s="736" t="s">
        <v>3939</v>
      </c>
      <c r="D986" s="736" t="s">
        <v>3940</v>
      </c>
      <c r="E986" s="683"/>
      <c r="F986" s="685">
        <v>2</v>
      </c>
      <c r="G986" s="737">
        <v>25.228000000000002</v>
      </c>
      <c r="H986" s="685">
        <v>50.456000000000003</v>
      </c>
      <c r="I986" s="672" t="s">
        <v>9218</v>
      </c>
      <c r="J986" s="672" t="s">
        <v>9219</v>
      </c>
      <c r="K986" s="672" t="s">
        <v>2354</v>
      </c>
      <c r="L986" s="672" t="s">
        <v>9219</v>
      </c>
    </row>
    <row r="987" spans="1:12" x14ac:dyDescent="0.2">
      <c r="A987" s="681" t="s">
        <v>220</v>
      </c>
      <c r="B987" s="681" t="s">
        <v>2351</v>
      </c>
      <c r="C987" s="736" t="s">
        <v>4417</v>
      </c>
      <c r="D987" s="736" t="s">
        <v>4418</v>
      </c>
      <c r="E987" s="683"/>
      <c r="F987" s="685">
        <v>3</v>
      </c>
      <c r="G987" s="737">
        <v>8</v>
      </c>
      <c r="H987" s="685">
        <v>24</v>
      </c>
      <c r="I987" s="672" t="s">
        <v>9218</v>
      </c>
      <c r="J987" s="672" t="s">
        <v>9219</v>
      </c>
      <c r="K987" s="672" t="s">
        <v>2354</v>
      </c>
      <c r="L987" s="672" t="s">
        <v>9219</v>
      </c>
    </row>
    <row r="988" spans="1:12" x14ac:dyDescent="0.2">
      <c r="A988" s="681" t="s">
        <v>220</v>
      </c>
      <c r="B988" s="681" t="s">
        <v>2351</v>
      </c>
      <c r="C988" s="736"/>
      <c r="D988" s="736" t="s">
        <v>2355</v>
      </c>
      <c r="E988" s="683"/>
      <c r="F988" s="685">
        <v>8</v>
      </c>
      <c r="G988" s="737">
        <v>9.7360000000000007</v>
      </c>
      <c r="H988" s="685">
        <v>77.888000000000005</v>
      </c>
      <c r="I988" s="672" t="s">
        <v>9218</v>
      </c>
      <c r="J988" s="672" t="s">
        <v>9219</v>
      </c>
      <c r="K988" s="672" t="s">
        <v>2354</v>
      </c>
      <c r="L988" s="672" t="s">
        <v>9219</v>
      </c>
    </row>
    <row r="989" spans="1:12" x14ac:dyDescent="0.2">
      <c r="A989" s="681" t="s">
        <v>220</v>
      </c>
      <c r="B989" s="681" t="s">
        <v>2351</v>
      </c>
      <c r="C989" s="736"/>
      <c r="D989" s="736" t="s">
        <v>2359</v>
      </c>
      <c r="E989" s="683"/>
      <c r="F989" s="685">
        <v>1</v>
      </c>
      <c r="G989" s="737">
        <v>6.2939999999999996</v>
      </c>
      <c r="H989" s="685">
        <v>6.2939999999999996</v>
      </c>
      <c r="I989" s="672" t="s">
        <v>9218</v>
      </c>
      <c r="J989" s="672" t="s">
        <v>9219</v>
      </c>
      <c r="K989" s="672" t="s">
        <v>2354</v>
      </c>
      <c r="L989" s="672" t="s">
        <v>9219</v>
      </c>
    </row>
    <row r="990" spans="1:12" x14ac:dyDescent="0.2">
      <c r="A990" s="681" t="s">
        <v>220</v>
      </c>
      <c r="B990" s="681" t="s">
        <v>2351</v>
      </c>
      <c r="C990" s="736"/>
      <c r="D990" s="736" t="s">
        <v>2358</v>
      </c>
      <c r="E990" s="683"/>
      <c r="F990" s="685">
        <v>1</v>
      </c>
      <c r="G990" s="737">
        <v>3.4860000000000002</v>
      </c>
      <c r="H990" s="685">
        <v>3.4860000000000002</v>
      </c>
      <c r="I990" s="672" t="s">
        <v>9218</v>
      </c>
      <c r="J990" s="672" t="s">
        <v>9219</v>
      </c>
      <c r="K990" s="672" t="s">
        <v>2354</v>
      </c>
      <c r="L990" s="672" t="s">
        <v>9219</v>
      </c>
    </row>
    <row r="991" spans="1:12" x14ac:dyDescent="0.2">
      <c r="A991" s="681" t="s">
        <v>220</v>
      </c>
      <c r="B991" s="681" t="s">
        <v>2351</v>
      </c>
      <c r="C991" s="736"/>
      <c r="D991" s="736" t="s">
        <v>9592</v>
      </c>
      <c r="E991" s="683"/>
      <c r="F991" s="685">
        <v>20</v>
      </c>
      <c r="G991" s="737">
        <v>3.39</v>
      </c>
      <c r="H991" s="685">
        <v>67.8</v>
      </c>
      <c r="I991" s="672" t="s">
        <v>9218</v>
      </c>
      <c r="J991" s="672" t="s">
        <v>9219</v>
      </c>
      <c r="K991" s="672" t="s">
        <v>2354</v>
      </c>
      <c r="L991" s="672" t="s">
        <v>9219</v>
      </c>
    </row>
    <row r="992" spans="1:12" x14ac:dyDescent="0.2">
      <c r="A992" s="681" t="s">
        <v>220</v>
      </c>
      <c r="B992" s="681" t="s">
        <v>2351</v>
      </c>
      <c r="C992" s="736"/>
      <c r="D992" s="736" t="s">
        <v>9594</v>
      </c>
      <c r="E992" s="683"/>
      <c r="F992" s="685">
        <v>30</v>
      </c>
      <c r="G992" s="737">
        <v>3.96</v>
      </c>
      <c r="H992" s="685">
        <v>118.8</v>
      </c>
      <c r="I992" s="672" t="s">
        <v>9218</v>
      </c>
      <c r="J992" s="672" t="s">
        <v>9219</v>
      </c>
      <c r="K992" s="672" t="s">
        <v>2354</v>
      </c>
      <c r="L992" s="672" t="s">
        <v>9219</v>
      </c>
    </row>
    <row r="993" spans="1:12" x14ac:dyDescent="0.2">
      <c r="A993" s="681" t="s">
        <v>220</v>
      </c>
      <c r="B993" s="681" t="s">
        <v>2351</v>
      </c>
      <c r="C993" s="736"/>
      <c r="D993" s="736" t="s">
        <v>9595</v>
      </c>
      <c r="E993" s="683"/>
      <c r="F993" s="685">
        <v>9</v>
      </c>
      <c r="G993" s="737">
        <v>4</v>
      </c>
      <c r="H993" s="685">
        <v>36</v>
      </c>
      <c r="I993" s="672" t="s">
        <v>9218</v>
      </c>
      <c r="J993" s="672" t="s">
        <v>9219</v>
      </c>
      <c r="K993" s="672" t="s">
        <v>2354</v>
      </c>
      <c r="L993" s="672" t="s">
        <v>9219</v>
      </c>
    </row>
    <row r="994" spans="1:12" x14ac:dyDescent="0.2">
      <c r="A994" s="681" t="s">
        <v>220</v>
      </c>
      <c r="B994" s="681" t="s">
        <v>2351</v>
      </c>
      <c r="C994" s="736"/>
      <c r="D994" s="736" t="s">
        <v>9598</v>
      </c>
      <c r="E994" s="683"/>
      <c r="F994" s="685">
        <v>1</v>
      </c>
      <c r="G994" s="737">
        <v>221.7</v>
      </c>
      <c r="H994" s="685">
        <v>221.7</v>
      </c>
      <c r="I994" s="672" t="s">
        <v>9218</v>
      </c>
      <c r="J994" s="672" t="s">
        <v>9219</v>
      </c>
      <c r="K994" s="672" t="s">
        <v>2354</v>
      </c>
      <c r="L994" s="672" t="s">
        <v>9219</v>
      </c>
    </row>
    <row r="995" spans="1:12" x14ac:dyDescent="0.2">
      <c r="A995" s="681" t="s">
        <v>220</v>
      </c>
      <c r="B995" s="681" t="s">
        <v>2351</v>
      </c>
      <c r="C995" s="736"/>
      <c r="D995" s="736" t="s">
        <v>9599</v>
      </c>
      <c r="E995" s="683"/>
      <c r="F995" s="685">
        <v>1</v>
      </c>
      <c r="G995" s="737">
        <v>1171.117</v>
      </c>
      <c r="H995" s="685">
        <v>1171.117</v>
      </c>
      <c r="I995" s="672" t="s">
        <v>9218</v>
      </c>
      <c r="J995" s="672" t="s">
        <v>9219</v>
      </c>
      <c r="K995" s="672" t="s">
        <v>2354</v>
      </c>
      <c r="L995" s="672" t="s">
        <v>9219</v>
      </c>
    </row>
    <row r="996" spans="1:12" x14ac:dyDescent="0.2">
      <c r="A996" s="681" t="s">
        <v>220</v>
      </c>
      <c r="B996" s="681" t="s">
        <v>2351</v>
      </c>
      <c r="C996" s="736"/>
      <c r="D996" s="736" t="s">
        <v>9707</v>
      </c>
      <c r="E996" s="683"/>
      <c r="F996" s="685">
        <v>1</v>
      </c>
      <c r="G996" s="737">
        <v>2651.55</v>
      </c>
      <c r="H996" s="685">
        <v>2651.55</v>
      </c>
      <c r="I996" s="672" t="s">
        <v>9218</v>
      </c>
      <c r="J996" s="672" t="s">
        <v>9219</v>
      </c>
      <c r="K996" s="672" t="s">
        <v>2354</v>
      </c>
      <c r="L996" s="672" t="s">
        <v>9219</v>
      </c>
    </row>
    <row r="997" spans="1:12" x14ac:dyDescent="0.2">
      <c r="A997" s="681" t="s">
        <v>220</v>
      </c>
      <c r="B997" s="681" t="s">
        <v>2351</v>
      </c>
      <c r="C997" s="736"/>
      <c r="D997" s="736" t="s">
        <v>10143</v>
      </c>
      <c r="E997" s="742"/>
      <c r="F997" s="685">
        <v>2</v>
      </c>
      <c r="G997" s="737">
        <v>92.25</v>
      </c>
      <c r="H997" s="685">
        <v>184.5</v>
      </c>
      <c r="I997" s="672" t="s">
        <v>9218</v>
      </c>
      <c r="J997" s="672" t="s">
        <v>9219</v>
      </c>
      <c r="K997" s="672" t="s">
        <v>2354</v>
      </c>
      <c r="L997" s="672" t="s">
        <v>9219</v>
      </c>
    </row>
    <row r="998" spans="1:12" x14ac:dyDescent="0.2">
      <c r="A998" s="681" t="s">
        <v>220</v>
      </c>
      <c r="B998" s="681" t="s">
        <v>2351</v>
      </c>
      <c r="C998" s="736"/>
      <c r="D998" s="736" t="s">
        <v>10144</v>
      </c>
      <c r="E998" s="742"/>
      <c r="F998" s="685">
        <v>5</v>
      </c>
      <c r="G998" s="737">
        <v>0</v>
      </c>
      <c r="H998" s="685">
        <v>0</v>
      </c>
      <c r="I998" s="672" t="s">
        <v>9218</v>
      </c>
      <c r="J998" s="672" t="s">
        <v>9219</v>
      </c>
      <c r="K998" s="672" t="s">
        <v>2354</v>
      </c>
      <c r="L998" s="672" t="s">
        <v>9219</v>
      </c>
    </row>
    <row r="999" spans="1:12" x14ac:dyDescent="0.2">
      <c r="A999" s="681" t="s">
        <v>220</v>
      </c>
      <c r="B999" s="681" t="s">
        <v>2351</v>
      </c>
      <c r="C999" s="736"/>
      <c r="D999" s="736" t="s">
        <v>10145</v>
      </c>
      <c r="E999" s="742"/>
      <c r="F999" s="685">
        <v>1</v>
      </c>
      <c r="G999" s="737">
        <v>0</v>
      </c>
      <c r="H999" s="685">
        <v>0</v>
      </c>
      <c r="I999" s="672" t="s">
        <v>9218</v>
      </c>
      <c r="J999" s="672" t="s">
        <v>9219</v>
      </c>
      <c r="K999" s="672" t="s">
        <v>2354</v>
      </c>
      <c r="L999" s="672" t="s">
        <v>9219</v>
      </c>
    </row>
    <row r="1000" spans="1:12" x14ac:dyDescent="0.2">
      <c r="A1000" s="681" t="s">
        <v>220</v>
      </c>
      <c r="B1000" s="681" t="s">
        <v>2351</v>
      </c>
      <c r="C1000" s="736"/>
      <c r="D1000" s="736" t="s">
        <v>10146</v>
      </c>
      <c r="E1000" s="742"/>
      <c r="F1000" s="685">
        <v>1</v>
      </c>
      <c r="G1000" s="737">
        <v>46.08</v>
      </c>
      <c r="H1000" s="685">
        <v>46.08</v>
      </c>
      <c r="I1000" s="672" t="s">
        <v>9218</v>
      </c>
      <c r="J1000" s="672" t="s">
        <v>9219</v>
      </c>
      <c r="K1000" s="672" t="s">
        <v>2354</v>
      </c>
      <c r="L1000" s="672" t="s">
        <v>9219</v>
      </c>
    </row>
    <row r="1001" spans="1:12" x14ac:dyDescent="0.2">
      <c r="A1001" s="681" t="s">
        <v>220</v>
      </c>
      <c r="B1001" s="681" t="s">
        <v>2351</v>
      </c>
      <c r="C1001" s="736"/>
      <c r="D1001" s="736" t="s">
        <v>10147</v>
      </c>
      <c r="E1001" s="742"/>
      <c r="F1001" s="685">
        <v>4</v>
      </c>
      <c r="G1001" s="737">
        <v>6.2729999999999997</v>
      </c>
      <c r="H1001" s="685">
        <v>25.091999999999999</v>
      </c>
      <c r="I1001" s="672" t="s">
        <v>9218</v>
      </c>
      <c r="J1001" s="672" t="s">
        <v>9219</v>
      </c>
      <c r="K1001" s="672" t="s">
        <v>2354</v>
      </c>
      <c r="L1001" s="672" t="s">
        <v>9219</v>
      </c>
    </row>
    <row r="1002" spans="1:12" x14ac:dyDescent="0.2">
      <c r="A1002" s="681" t="s">
        <v>220</v>
      </c>
      <c r="B1002" s="681" t="s">
        <v>2351</v>
      </c>
      <c r="C1002" s="736"/>
      <c r="D1002" s="736" t="s">
        <v>10148</v>
      </c>
      <c r="E1002" s="742"/>
      <c r="F1002" s="685">
        <v>1</v>
      </c>
      <c r="G1002" s="737">
        <v>0</v>
      </c>
      <c r="H1002" s="685">
        <v>0</v>
      </c>
      <c r="I1002" s="672" t="s">
        <v>9218</v>
      </c>
      <c r="J1002" s="672" t="s">
        <v>9219</v>
      </c>
      <c r="K1002" s="672" t="s">
        <v>2354</v>
      </c>
      <c r="L1002" s="672" t="s">
        <v>9219</v>
      </c>
    </row>
    <row r="1003" spans="1:12" x14ac:dyDescent="0.2">
      <c r="A1003" s="681" t="s">
        <v>220</v>
      </c>
      <c r="B1003" s="681" t="s">
        <v>2351</v>
      </c>
      <c r="C1003" s="736"/>
      <c r="D1003" s="736" t="s">
        <v>10149</v>
      </c>
      <c r="E1003" s="742"/>
      <c r="F1003" s="685">
        <v>1</v>
      </c>
      <c r="G1003" s="737">
        <v>0</v>
      </c>
      <c r="H1003" s="685">
        <v>0</v>
      </c>
      <c r="I1003" s="672" t="s">
        <v>9218</v>
      </c>
      <c r="J1003" s="672" t="s">
        <v>9219</v>
      </c>
      <c r="K1003" s="672" t="s">
        <v>2354</v>
      </c>
      <c r="L1003" s="672" t="s">
        <v>9219</v>
      </c>
    </row>
    <row r="1004" spans="1:12" x14ac:dyDescent="0.2">
      <c r="A1004" s="681" t="s">
        <v>220</v>
      </c>
      <c r="B1004" s="681" t="s">
        <v>2351</v>
      </c>
      <c r="C1004" s="736"/>
      <c r="D1004" s="736" t="s">
        <v>10150</v>
      </c>
      <c r="E1004" s="742"/>
      <c r="F1004" s="685">
        <v>1</v>
      </c>
      <c r="G1004" s="737">
        <v>0</v>
      </c>
      <c r="H1004" s="685">
        <v>0</v>
      </c>
      <c r="I1004" s="672" t="s">
        <v>9218</v>
      </c>
      <c r="J1004" s="672" t="s">
        <v>9219</v>
      </c>
      <c r="K1004" s="672" t="s">
        <v>2354</v>
      </c>
      <c r="L1004" s="672" t="s">
        <v>9219</v>
      </c>
    </row>
    <row r="1005" spans="1:12" x14ac:dyDescent="0.2">
      <c r="A1005" s="681" t="s">
        <v>220</v>
      </c>
      <c r="B1005" s="681" t="s">
        <v>2351</v>
      </c>
      <c r="C1005" s="736"/>
      <c r="D1005" s="736" t="s">
        <v>10151</v>
      </c>
      <c r="E1005" s="742"/>
      <c r="F1005" s="685">
        <v>1</v>
      </c>
      <c r="G1005" s="737">
        <v>0</v>
      </c>
      <c r="H1005" s="685">
        <v>0</v>
      </c>
      <c r="I1005" s="672" t="s">
        <v>9218</v>
      </c>
      <c r="J1005" s="672" t="s">
        <v>9219</v>
      </c>
      <c r="K1005" s="672" t="s">
        <v>2354</v>
      </c>
      <c r="L1005" s="672" t="s">
        <v>9219</v>
      </c>
    </row>
    <row r="1006" spans="1:12" x14ac:dyDescent="0.2">
      <c r="A1006" s="681" t="s">
        <v>220</v>
      </c>
      <c r="B1006" s="681" t="s">
        <v>2351</v>
      </c>
      <c r="C1006" s="736"/>
      <c r="D1006" s="736" t="s">
        <v>10152</v>
      </c>
      <c r="E1006" s="742"/>
      <c r="F1006" s="685">
        <v>7</v>
      </c>
      <c r="G1006" s="737">
        <v>86.292000000000002</v>
      </c>
      <c r="H1006" s="685">
        <v>604.04399999999998</v>
      </c>
      <c r="I1006" s="672" t="s">
        <v>9218</v>
      </c>
      <c r="J1006" s="672" t="s">
        <v>9219</v>
      </c>
      <c r="K1006" s="672" t="s">
        <v>2354</v>
      </c>
      <c r="L1006" s="672" t="s">
        <v>9219</v>
      </c>
    </row>
    <row r="1007" spans="1:12" x14ac:dyDescent="0.2">
      <c r="A1007" s="681" t="s">
        <v>220</v>
      </c>
      <c r="B1007" s="681" t="s">
        <v>2351</v>
      </c>
      <c r="C1007" s="736"/>
      <c r="D1007" s="736" t="s">
        <v>10153</v>
      </c>
      <c r="E1007" s="742"/>
      <c r="F1007" s="685">
        <v>4</v>
      </c>
      <c r="G1007" s="737">
        <v>0</v>
      </c>
      <c r="H1007" s="685">
        <v>0</v>
      </c>
      <c r="I1007" s="672" t="s">
        <v>9218</v>
      </c>
      <c r="J1007" s="672" t="s">
        <v>9219</v>
      </c>
      <c r="K1007" s="672" t="s">
        <v>2354</v>
      </c>
      <c r="L1007" s="672" t="s">
        <v>9219</v>
      </c>
    </row>
    <row r="1008" spans="1:12" x14ac:dyDescent="0.2">
      <c r="A1008" s="681" t="s">
        <v>220</v>
      </c>
      <c r="B1008" s="681" t="s">
        <v>2351</v>
      </c>
      <c r="C1008" s="736" t="s">
        <v>2850</v>
      </c>
      <c r="D1008" s="736" t="s">
        <v>10154</v>
      </c>
      <c r="E1008" s="742"/>
      <c r="F1008" s="685">
        <v>2</v>
      </c>
      <c r="G1008" s="737">
        <v>92.7</v>
      </c>
      <c r="H1008" s="685">
        <v>185.4</v>
      </c>
      <c r="I1008" s="672" t="s">
        <v>9218</v>
      </c>
      <c r="J1008" s="672" t="s">
        <v>9219</v>
      </c>
      <c r="K1008" s="672" t="s">
        <v>9219</v>
      </c>
      <c r="L1008" s="672" t="s">
        <v>9219</v>
      </c>
    </row>
    <row r="1009" spans="1:12" x14ac:dyDescent="0.2">
      <c r="A1009" s="681" t="s">
        <v>220</v>
      </c>
      <c r="B1009" s="681" t="s">
        <v>2351</v>
      </c>
      <c r="C1009" s="736" t="s">
        <v>2854</v>
      </c>
      <c r="D1009" s="736" t="s">
        <v>10155</v>
      </c>
      <c r="E1009" s="742"/>
      <c r="F1009" s="685">
        <v>2</v>
      </c>
      <c r="G1009" s="737">
        <v>41.268000000000001</v>
      </c>
      <c r="H1009" s="685">
        <v>82.536000000000001</v>
      </c>
      <c r="I1009" s="672" t="s">
        <v>9218</v>
      </c>
      <c r="J1009" s="672" t="s">
        <v>9219</v>
      </c>
      <c r="K1009" s="672" t="s">
        <v>9219</v>
      </c>
      <c r="L1009" s="672" t="s">
        <v>9219</v>
      </c>
    </row>
    <row r="1010" spans="1:12" x14ac:dyDescent="0.2">
      <c r="A1010" s="681" t="s">
        <v>220</v>
      </c>
      <c r="B1010" s="681" t="s">
        <v>2351</v>
      </c>
      <c r="C1010" s="736" t="s">
        <v>2868</v>
      </c>
      <c r="D1010" s="736" t="s">
        <v>10156</v>
      </c>
      <c r="E1010" s="742"/>
      <c r="F1010" s="685">
        <v>2</v>
      </c>
      <c r="G1010" s="737">
        <v>48</v>
      </c>
      <c r="H1010" s="685">
        <v>96</v>
      </c>
      <c r="I1010" s="672" t="s">
        <v>9218</v>
      </c>
      <c r="J1010" s="672" t="s">
        <v>9219</v>
      </c>
      <c r="K1010" s="672" t="s">
        <v>2354</v>
      </c>
      <c r="L1010" s="672" t="s">
        <v>9219</v>
      </c>
    </row>
    <row r="1011" spans="1:12" x14ac:dyDescent="0.2">
      <c r="A1011" s="681" t="s">
        <v>220</v>
      </c>
      <c r="B1011" s="681" t="s">
        <v>2351</v>
      </c>
      <c r="C1011" s="736"/>
      <c r="D1011" s="736" t="s">
        <v>10157</v>
      </c>
      <c r="E1011" s="742"/>
      <c r="F1011" s="685">
        <v>4</v>
      </c>
      <c r="G1011" s="737">
        <v>144</v>
      </c>
      <c r="H1011" s="685">
        <v>576</v>
      </c>
      <c r="I1011" s="672" t="s">
        <v>9218</v>
      </c>
      <c r="J1011" s="672" t="s">
        <v>9219</v>
      </c>
      <c r="K1011" s="672" t="s">
        <v>2354</v>
      </c>
      <c r="L1011" s="672" t="s">
        <v>9219</v>
      </c>
    </row>
    <row r="1012" spans="1:12" x14ac:dyDescent="0.2">
      <c r="A1012" s="681" t="s">
        <v>220</v>
      </c>
      <c r="B1012" s="681" t="s">
        <v>2351</v>
      </c>
      <c r="C1012" s="736"/>
      <c r="D1012" s="736" t="s">
        <v>10158</v>
      </c>
      <c r="E1012" s="742"/>
      <c r="F1012" s="685">
        <v>4</v>
      </c>
      <c r="G1012" s="737">
        <v>115.02800000000001</v>
      </c>
      <c r="H1012" s="685">
        <v>460.11200000000002</v>
      </c>
      <c r="I1012" s="672" t="s">
        <v>9218</v>
      </c>
      <c r="J1012" s="672" t="s">
        <v>9219</v>
      </c>
      <c r="K1012" s="672" t="s">
        <v>2354</v>
      </c>
      <c r="L1012" s="672" t="s">
        <v>9219</v>
      </c>
    </row>
    <row r="1013" spans="1:12" x14ac:dyDescent="0.2">
      <c r="A1013" s="681" t="s">
        <v>220</v>
      </c>
      <c r="B1013" s="681" t="s">
        <v>2351</v>
      </c>
      <c r="C1013" s="736"/>
      <c r="D1013" s="736" t="s">
        <v>10159</v>
      </c>
      <c r="E1013" s="742"/>
      <c r="F1013" s="685">
        <v>1</v>
      </c>
      <c r="G1013" s="737">
        <v>26.725999999999999</v>
      </c>
      <c r="H1013" s="685">
        <v>26.725999999999999</v>
      </c>
      <c r="I1013" s="672" t="s">
        <v>9218</v>
      </c>
      <c r="J1013" s="672" t="s">
        <v>9219</v>
      </c>
      <c r="K1013" s="672" t="s">
        <v>2354</v>
      </c>
      <c r="L1013" s="672" t="s">
        <v>9219</v>
      </c>
    </row>
    <row r="1014" spans="1:12" x14ac:dyDescent="0.2">
      <c r="A1014" s="681" t="s">
        <v>220</v>
      </c>
      <c r="B1014" s="681" t="s">
        <v>2351</v>
      </c>
      <c r="C1014" s="736"/>
      <c r="D1014" s="736" t="s">
        <v>10160</v>
      </c>
      <c r="E1014" s="742"/>
      <c r="F1014" s="685">
        <v>1</v>
      </c>
      <c r="G1014" s="737">
        <v>0</v>
      </c>
      <c r="H1014" s="685">
        <v>0</v>
      </c>
      <c r="I1014" s="672" t="s">
        <v>9218</v>
      </c>
      <c r="J1014" s="672" t="s">
        <v>9219</v>
      </c>
      <c r="K1014" s="672" t="s">
        <v>2354</v>
      </c>
      <c r="L1014" s="672" t="s">
        <v>9219</v>
      </c>
    </row>
    <row r="1015" spans="1:12" x14ac:dyDescent="0.2">
      <c r="A1015" s="681" t="s">
        <v>220</v>
      </c>
      <c r="B1015" s="681" t="s">
        <v>2351</v>
      </c>
      <c r="C1015" s="736"/>
      <c r="D1015" s="736" t="s">
        <v>10161</v>
      </c>
      <c r="E1015" s="742"/>
      <c r="F1015" s="685">
        <v>1</v>
      </c>
      <c r="G1015" s="737">
        <v>0</v>
      </c>
      <c r="H1015" s="685">
        <v>0</v>
      </c>
      <c r="I1015" s="672" t="s">
        <v>9218</v>
      </c>
      <c r="J1015" s="672" t="s">
        <v>9219</v>
      </c>
      <c r="K1015" s="672" t="s">
        <v>2354</v>
      </c>
      <c r="L1015" s="672" t="s">
        <v>9219</v>
      </c>
    </row>
    <row r="1016" spans="1:12" x14ac:dyDescent="0.2">
      <c r="A1016" s="681" t="s">
        <v>220</v>
      </c>
      <c r="B1016" s="681" t="s">
        <v>2351</v>
      </c>
      <c r="C1016" s="736" t="s">
        <v>2944</v>
      </c>
      <c r="D1016" s="736" t="s">
        <v>10162</v>
      </c>
      <c r="E1016" s="742"/>
      <c r="F1016" s="685">
        <v>1</v>
      </c>
      <c r="G1016" s="737">
        <v>34.503</v>
      </c>
      <c r="H1016" s="685">
        <v>34.503</v>
      </c>
      <c r="I1016" s="672" t="s">
        <v>9218</v>
      </c>
      <c r="J1016" s="672" t="s">
        <v>9219</v>
      </c>
      <c r="K1016" s="672" t="s">
        <v>2354</v>
      </c>
      <c r="L1016" s="672" t="s">
        <v>9219</v>
      </c>
    </row>
    <row r="1017" spans="1:12" x14ac:dyDescent="0.2">
      <c r="A1017" s="681" t="s">
        <v>220</v>
      </c>
      <c r="B1017" s="681" t="s">
        <v>2351</v>
      </c>
      <c r="C1017" s="736" t="s">
        <v>2952</v>
      </c>
      <c r="D1017" s="736" t="s">
        <v>10163</v>
      </c>
      <c r="E1017" s="742"/>
      <c r="F1017" s="685">
        <v>1</v>
      </c>
      <c r="G1017" s="737">
        <v>0</v>
      </c>
      <c r="H1017" s="685">
        <v>0</v>
      </c>
      <c r="I1017" s="672" t="s">
        <v>9218</v>
      </c>
      <c r="J1017" s="672" t="s">
        <v>9219</v>
      </c>
      <c r="K1017" s="672" t="s">
        <v>2354</v>
      </c>
      <c r="L1017" s="672" t="s">
        <v>9219</v>
      </c>
    </row>
    <row r="1018" spans="1:12" x14ac:dyDescent="0.2">
      <c r="A1018" s="681" t="s">
        <v>220</v>
      </c>
      <c r="B1018" s="681" t="s">
        <v>2351</v>
      </c>
      <c r="C1018" s="736"/>
      <c r="D1018" s="736" t="s">
        <v>10164</v>
      </c>
      <c r="E1018" s="742"/>
      <c r="F1018" s="685">
        <v>1</v>
      </c>
      <c r="G1018" s="737">
        <v>174.6</v>
      </c>
      <c r="H1018" s="685">
        <v>174.6</v>
      </c>
      <c r="I1018" s="672" t="s">
        <v>9218</v>
      </c>
      <c r="J1018" s="672" t="s">
        <v>9219</v>
      </c>
      <c r="K1018" s="672" t="s">
        <v>2354</v>
      </c>
      <c r="L1018" s="672" t="s">
        <v>9219</v>
      </c>
    </row>
    <row r="1019" spans="1:12" x14ac:dyDescent="0.2">
      <c r="A1019" s="681" t="s">
        <v>220</v>
      </c>
      <c r="B1019" s="681" t="s">
        <v>2351</v>
      </c>
      <c r="C1019" s="736"/>
      <c r="D1019" s="736" t="s">
        <v>10165</v>
      </c>
      <c r="E1019" s="742"/>
      <c r="F1019" s="685">
        <v>1</v>
      </c>
      <c r="G1019" s="737">
        <v>0</v>
      </c>
      <c r="H1019" s="685">
        <v>0</v>
      </c>
      <c r="I1019" s="672" t="s">
        <v>9218</v>
      </c>
      <c r="J1019" s="672" t="s">
        <v>9219</v>
      </c>
      <c r="K1019" s="672" t="s">
        <v>2354</v>
      </c>
      <c r="L1019" s="672" t="s">
        <v>9219</v>
      </c>
    </row>
    <row r="1020" spans="1:12" x14ac:dyDescent="0.2">
      <c r="A1020" s="681" t="s">
        <v>220</v>
      </c>
      <c r="B1020" s="681" t="s">
        <v>2351</v>
      </c>
      <c r="C1020" s="736"/>
      <c r="D1020" s="736" t="s">
        <v>10166</v>
      </c>
      <c r="E1020" s="742"/>
      <c r="F1020" s="685">
        <v>1</v>
      </c>
      <c r="G1020" s="737">
        <v>0</v>
      </c>
      <c r="H1020" s="685">
        <v>0</v>
      </c>
      <c r="I1020" s="672" t="s">
        <v>9218</v>
      </c>
      <c r="J1020" s="672" t="s">
        <v>9219</v>
      </c>
      <c r="K1020" s="672" t="s">
        <v>2354</v>
      </c>
      <c r="L1020" s="672" t="s">
        <v>9219</v>
      </c>
    </row>
    <row r="1021" spans="1:12" x14ac:dyDescent="0.2">
      <c r="A1021" s="681" t="s">
        <v>220</v>
      </c>
      <c r="B1021" s="681" t="s">
        <v>2351</v>
      </c>
      <c r="C1021" s="736" t="s">
        <v>10167</v>
      </c>
      <c r="D1021" s="736" t="s">
        <v>10168</v>
      </c>
      <c r="E1021" s="742"/>
      <c r="F1021" s="685">
        <v>4</v>
      </c>
      <c r="G1021" s="737">
        <v>598.38599999999997</v>
      </c>
      <c r="H1021" s="685">
        <v>2393.5439999999999</v>
      </c>
      <c r="I1021" s="672" t="s">
        <v>9218</v>
      </c>
      <c r="J1021" s="672" t="s">
        <v>9219</v>
      </c>
      <c r="K1021" s="672" t="s">
        <v>2354</v>
      </c>
      <c r="L1021" s="672" t="s">
        <v>9219</v>
      </c>
    </row>
    <row r="1022" spans="1:12" x14ac:dyDescent="0.2">
      <c r="A1022" s="681" t="s">
        <v>220</v>
      </c>
      <c r="B1022" s="681" t="s">
        <v>2351</v>
      </c>
      <c r="C1022" s="736"/>
      <c r="D1022" s="736" t="s">
        <v>10169</v>
      </c>
      <c r="E1022" s="742"/>
      <c r="F1022" s="685">
        <v>1</v>
      </c>
      <c r="G1022" s="737">
        <v>0</v>
      </c>
      <c r="H1022" s="685">
        <v>0</v>
      </c>
      <c r="I1022" s="672" t="s">
        <v>9218</v>
      </c>
      <c r="J1022" s="672" t="s">
        <v>9219</v>
      </c>
      <c r="K1022" s="672" t="s">
        <v>2354</v>
      </c>
      <c r="L1022" s="672" t="s">
        <v>9219</v>
      </c>
    </row>
    <row r="1023" spans="1:12" x14ac:dyDescent="0.2">
      <c r="A1023" s="681" t="s">
        <v>220</v>
      </c>
      <c r="B1023" s="681" t="s">
        <v>2351</v>
      </c>
      <c r="C1023" s="736"/>
      <c r="D1023" s="736" t="s">
        <v>10170</v>
      </c>
      <c r="E1023" s="742"/>
      <c r="F1023" s="685">
        <v>4</v>
      </c>
      <c r="G1023" s="737">
        <v>0</v>
      </c>
      <c r="H1023" s="685">
        <v>0</v>
      </c>
      <c r="I1023" s="672" t="s">
        <v>9218</v>
      </c>
      <c r="J1023" s="672" t="s">
        <v>9219</v>
      </c>
      <c r="K1023" s="672" t="s">
        <v>2354</v>
      </c>
      <c r="L1023" s="672" t="s">
        <v>9219</v>
      </c>
    </row>
    <row r="1024" spans="1:12" x14ac:dyDescent="0.2">
      <c r="A1024" s="681" t="s">
        <v>220</v>
      </c>
      <c r="B1024" s="681" t="s">
        <v>2351</v>
      </c>
      <c r="C1024" s="736"/>
      <c r="D1024" s="736" t="s">
        <v>10171</v>
      </c>
      <c r="E1024" s="742"/>
      <c r="F1024" s="685">
        <v>9</v>
      </c>
      <c r="G1024" s="737">
        <v>17.626000000000001</v>
      </c>
      <c r="H1024" s="685">
        <v>158.63400000000001</v>
      </c>
      <c r="I1024" s="672" t="s">
        <v>9218</v>
      </c>
      <c r="J1024" s="672" t="s">
        <v>9219</v>
      </c>
      <c r="K1024" s="672" t="s">
        <v>2354</v>
      </c>
      <c r="L1024" s="672" t="s">
        <v>9219</v>
      </c>
    </row>
    <row r="1025" spans="1:12" x14ac:dyDescent="0.2">
      <c r="A1025" s="681" t="s">
        <v>220</v>
      </c>
      <c r="B1025" s="681" t="s">
        <v>2351</v>
      </c>
      <c r="C1025" s="736"/>
      <c r="D1025" s="736" t="s">
        <v>10172</v>
      </c>
      <c r="E1025" s="742"/>
      <c r="F1025" s="685">
        <v>2</v>
      </c>
      <c r="G1025" s="737">
        <v>0</v>
      </c>
      <c r="H1025" s="685">
        <v>0</v>
      </c>
      <c r="I1025" s="672" t="s">
        <v>9218</v>
      </c>
      <c r="J1025" s="672" t="s">
        <v>9219</v>
      </c>
      <c r="K1025" s="672" t="s">
        <v>2354</v>
      </c>
      <c r="L1025" s="672" t="s">
        <v>9219</v>
      </c>
    </row>
    <row r="1026" spans="1:12" x14ac:dyDescent="0.2">
      <c r="A1026" s="681" t="s">
        <v>220</v>
      </c>
      <c r="B1026" s="681" t="s">
        <v>2351</v>
      </c>
      <c r="C1026" s="736"/>
      <c r="D1026" s="736" t="s">
        <v>10173</v>
      </c>
      <c r="E1026" s="742"/>
      <c r="F1026" s="685">
        <v>4</v>
      </c>
      <c r="G1026" s="737">
        <v>0</v>
      </c>
      <c r="H1026" s="685">
        <v>0</v>
      </c>
      <c r="I1026" s="672" t="s">
        <v>9218</v>
      </c>
      <c r="J1026" s="672" t="s">
        <v>9219</v>
      </c>
      <c r="K1026" s="672" t="s">
        <v>2354</v>
      </c>
      <c r="L1026" s="672" t="s">
        <v>9219</v>
      </c>
    </row>
    <row r="1027" spans="1:12" x14ac:dyDescent="0.2">
      <c r="A1027" s="681" t="s">
        <v>220</v>
      </c>
      <c r="B1027" s="681" t="s">
        <v>2351</v>
      </c>
      <c r="C1027" s="736" t="s">
        <v>2768</v>
      </c>
      <c r="D1027" s="736" t="s">
        <v>10174</v>
      </c>
      <c r="E1027" s="742"/>
      <c r="F1027" s="685">
        <v>2</v>
      </c>
      <c r="G1027" s="737">
        <v>46.548999999999999</v>
      </c>
      <c r="H1027" s="685">
        <v>93.097999999999999</v>
      </c>
      <c r="I1027" s="672" t="s">
        <v>9218</v>
      </c>
      <c r="J1027" s="672" t="s">
        <v>9219</v>
      </c>
      <c r="K1027" s="672" t="s">
        <v>9219</v>
      </c>
      <c r="L1027" s="672" t="s">
        <v>9219</v>
      </c>
    </row>
    <row r="1028" spans="1:12" x14ac:dyDescent="0.2">
      <c r="A1028" s="681" t="s">
        <v>220</v>
      </c>
      <c r="B1028" s="681" t="s">
        <v>2351</v>
      </c>
      <c r="C1028" s="736" t="s">
        <v>2794</v>
      </c>
      <c r="D1028" s="736" t="s">
        <v>2795</v>
      </c>
      <c r="E1028" s="742"/>
      <c r="F1028" s="685">
        <v>1</v>
      </c>
      <c r="G1028" s="737">
        <v>0</v>
      </c>
      <c r="H1028" s="685">
        <v>0</v>
      </c>
      <c r="I1028" s="672" t="s">
        <v>9218</v>
      </c>
      <c r="J1028" s="672" t="s">
        <v>9219</v>
      </c>
      <c r="K1028" s="672" t="s">
        <v>9219</v>
      </c>
      <c r="L1028" s="672" t="s">
        <v>9219</v>
      </c>
    </row>
    <row r="1029" spans="1:12" x14ac:dyDescent="0.2">
      <c r="A1029" s="681" t="s">
        <v>220</v>
      </c>
      <c r="B1029" s="681" t="s">
        <v>2351</v>
      </c>
      <c r="C1029" s="736" t="s">
        <v>2796</v>
      </c>
      <c r="D1029" s="736" t="s">
        <v>2797</v>
      </c>
      <c r="E1029" s="742"/>
      <c r="F1029" s="685">
        <v>1</v>
      </c>
      <c r="G1029" s="737">
        <v>10.35</v>
      </c>
      <c r="H1029" s="685">
        <v>10.35</v>
      </c>
      <c r="I1029" s="672" t="s">
        <v>9218</v>
      </c>
      <c r="J1029" s="672" t="s">
        <v>9219</v>
      </c>
      <c r="K1029" s="672" t="s">
        <v>2354</v>
      </c>
      <c r="L1029" s="672" t="s">
        <v>9219</v>
      </c>
    </row>
    <row r="1030" spans="1:12" x14ac:dyDescent="0.2">
      <c r="A1030" s="681" t="s">
        <v>220</v>
      </c>
      <c r="B1030" s="681" t="s">
        <v>2351</v>
      </c>
      <c r="C1030" s="736"/>
      <c r="D1030" s="736" t="s">
        <v>10175</v>
      </c>
      <c r="E1030" s="742"/>
      <c r="F1030" s="685">
        <v>6</v>
      </c>
      <c r="G1030" s="737">
        <v>0</v>
      </c>
      <c r="H1030" s="685">
        <v>0</v>
      </c>
      <c r="I1030" s="672" t="s">
        <v>9218</v>
      </c>
      <c r="J1030" s="672" t="s">
        <v>9219</v>
      </c>
      <c r="K1030" s="672" t="s">
        <v>2354</v>
      </c>
      <c r="L1030" s="672" t="s">
        <v>9219</v>
      </c>
    </row>
    <row r="1031" spans="1:12" x14ac:dyDescent="0.2">
      <c r="A1031" s="681" t="s">
        <v>220</v>
      </c>
      <c r="B1031" s="681" t="s">
        <v>2351</v>
      </c>
      <c r="C1031" s="736"/>
      <c r="D1031" s="736" t="s">
        <v>10176</v>
      </c>
      <c r="E1031" s="742"/>
      <c r="F1031" s="685">
        <v>6</v>
      </c>
      <c r="G1031" s="737">
        <v>0</v>
      </c>
      <c r="H1031" s="685">
        <v>0</v>
      </c>
      <c r="I1031" s="672" t="s">
        <v>9218</v>
      </c>
      <c r="J1031" s="672" t="s">
        <v>9219</v>
      </c>
      <c r="K1031" s="672" t="s">
        <v>2354</v>
      </c>
      <c r="L1031" s="672" t="s">
        <v>9219</v>
      </c>
    </row>
    <row r="1032" spans="1:12" x14ac:dyDescent="0.2">
      <c r="A1032" s="681" t="s">
        <v>220</v>
      </c>
      <c r="B1032" s="681" t="s">
        <v>2351</v>
      </c>
      <c r="C1032" s="736"/>
      <c r="D1032" s="736" t="s">
        <v>10177</v>
      </c>
      <c r="E1032" s="742"/>
      <c r="F1032" s="685">
        <v>3</v>
      </c>
      <c r="G1032" s="737">
        <v>0</v>
      </c>
      <c r="H1032" s="685">
        <v>0</v>
      </c>
      <c r="I1032" s="672" t="s">
        <v>9218</v>
      </c>
      <c r="J1032" s="672" t="s">
        <v>9219</v>
      </c>
      <c r="K1032" s="672" t="s">
        <v>2354</v>
      </c>
      <c r="L1032" s="672" t="s">
        <v>9219</v>
      </c>
    </row>
    <row r="1033" spans="1:12" x14ac:dyDescent="0.2">
      <c r="A1033" s="681" t="s">
        <v>220</v>
      </c>
      <c r="B1033" s="681" t="s">
        <v>2351</v>
      </c>
      <c r="C1033" s="736"/>
      <c r="D1033" s="736" t="s">
        <v>10178</v>
      </c>
      <c r="E1033" s="742"/>
      <c r="F1033" s="685">
        <v>2</v>
      </c>
      <c r="G1033" s="737">
        <v>0</v>
      </c>
      <c r="H1033" s="685">
        <v>0</v>
      </c>
      <c r="I1033" s="672" t="s">
        <v>9218</v>
      </c>
      <c r="J1033" s="672" t="s">
        <v>9219</v>
      </c>
      <c r="K1033" s="672" t="s">
        <v>2354</v>
      </c>
      <c r="L1033" s="672" t="s">
        <v>9219</v>
      </c>
    </row>
    <row r="1034" spans="1:12" x14ac:dyDescent="0.2">
      <c r="A1034" s="681" t="s">
        <v>220</v>
      </c>
      <c r="B1034" s="681" t="s">
        <v>2351</v>
      </c>
      <c r="C1034" s="736"/>
      <c r="D1034" s="736" t="s">
        <v>10179</v>
      </c>
      <c r="E1034" s="742"/>
      <c r="F1034" s="685">
        <v>3</v>
      </c>
      <c r="G1034" s="737">
        <v>19.834</v>
      </c>
      <c r="H1034" s="685">
        <v>59.501999999999995</v>
      </c>
      <c r="I1034" s="672" t="s">
        <v>9218</v>
      </c>
      <c r="J1034" s="672" t="s">
        <v>9219</v>
      </c>
      <c r="K1034" s="672" t="s">
        <v>2354</v>
      </c>
      <c r="L1034" s="672" t="s">
        <v>9219</v>
      </c>
    </row>
    <row r="1035" spans="1:12" x14ac:dyDescent="0.2">
      <c r="A1035" s="681" t="s">
        <v>220</v>
      </c>
      <c r="B1035" s="681" t="s">
        <v>2351</v>
      </c>
      <c r="C1035" s="736"/>
      <c r="D1035" s="736" t="s">
        <v>10180</v>
      </c>
      <c r="E1035" s="742"/>
      <c r="F1035" s="685">
        <v>3</v>
      </c>
      <c r="G1035" s="737">
        <v>0</v>
      </c>
      <c r="H1035" s="685">
        <v>0</v>
      </c>
      <c r="I1035" s="672" t="s">
        <v>9218</v>
      </c>
      <c r="J1035" s="672" t="s">
        <v>9219</v>
      </c>
      <c r="K1035" s="672" t="s">
        <v>2354</v>
      </c>
      <c r="L1035" s="672" t="s">
        <v>9219</v>
      </c>
    </row>
    <row r="1036" spans="1:12" x14ac:dyDescent="0.2">
      <c r="A1036" s="681" t="s">
        <v>220</v>
      </c>
      <c r="B1036" s="681" t="s">
        <v>2351</v>
      </c>
      <c r="C1036" s="736"/>
      <c r="D1036" s="736" t="s">
        <v>10181</v>
      </c>
      <c r="E1036" s="742"/>
      <c r="F1036" s="685">
        <v>2</v>
      </c>
      <c r="G1036" s="737">
        <v>0</v>
      </c>
      <c r="H1036" s="685">
        <v>0</v>
      </c>
      <c r="I1036" s="672" t="s">
        <v>9218</v>
      </c>
      <c r="J1036" s="672" t="s">
        <v>9219</v>
      </c>
      <c r="K1036" s="672" t="s">
        <v>2354</v>
      </c>
      <c r="L1036" s="672" t="s">
        <v>9219</v>
      </c>
    </row>
    <row r="1037" spans="1:12" x14ac:dyDescent="0.2">
      <c r="A1037" s="681" t="s">
        <v>220</v>
      </c>
      <c r="B1037" s="681" t="s">
        <v>2351</v>
      </c>
      <c r="C1037" s="736"/>
      <c r="D1037" s="736" t="s">
        <v>10182</v>
      </c>
      <c r="E1037" s="742"/>
      <c r="F1037" s="685">
        <v>2</v>
      </c>
      <c r="G1037" s="737">
        <v>0</v>
      </c>
      <c r="H1037" s="685">
        <v>0</v>
      </c>
      <c r="I1037" s="672" t="s">
        <v>9218</v>
      </c>
      <c r="J1037" s="672" t="s">
        <v>9219</v>
      </c>
      <c r="K1037" s="672" t="s">
        <v>2354</v>
      </c>
      <c r="L1037" s="672" t="s">
        <v>9219</v>
      </c>
    </row>
    <row r="1038" spans="1:12" x14ac:dyDescent="0.2">
      <c r="A1038" s="681" t="s">
        <v>220</v>
      </c>
      <c r="B1038" s="681" t="s">
        <v>2351</v>
      </c>
      <c r="C1038" s="736"/>
      <c r="D1038" s="736" t="s">
        <v>10183</v>
      </c>
      <c r="E1038" s="742"/>
      <c r="F1038" s="685">
        <v>6</v>
      </c>
      <c r="G1038" s="737">
        <v>0</v>
      </c>
      <c r="H1038" s="685">
        <v>0</v>
      </c>
      <c r="I1038" s="672" t="s">
        <v>9218</v>
      </c>
      <c r="J1038" s="672" t="s">
        <v>9219</v>
      </c>
      <c r="K1038" s="672" t="s">
        <v>2354</v>
      </c>
      <c r="L1038" s="672" t="s">
        <v>9219</v>
      </c>
    </row>
    <row r="1039" spans="1:12" x14ac:dyDescent="0.2">
      <c r="A1039" s="681" t="s">
        <v>220</v>
      </c>
      <c r="B1039" s="681" t="s">
        <v>2351</v>
      </c>
      <c r="C1039" s="736"/>
      <c r="D1039" s="736" t="s">
        <v>10184</v>
      </c>
      <c r="E1039" s="742"/>
      <c r="F1039" s="685">
        <v>1</v>
      </c>
      <c r="G1039" s="737">
        <v>10.692</v>
      </c>
      <c r="H1039" s="685">
        <v>10.692</v>
      </c>
      <c r="I1039" s="672" t="s">
        <v>9218</v>
      </c>
      <c r="J1039" s="672" t="s">
        <v>9219</v>
      </c>
      <c r="K1039" s="672" t="s">
        <v>2354</v>
      </c>
      <c r="L1039" s="672" t="s">
        <v>9219</v>
      </c>
    </row>
    <row r="1040" spans="1:12" x14ac:dyDescent="0.2">
      <c r="A1040" s="681" t="s">
        <v>220</v>
      </c>
      <c r="B1040" s="681" t="s">
        <v>2351</v>
      </c>
      <c r="C1040" s="736"/>
      <c r="D1040" s="736" t="s">
        <v>10185</v>
      </c>
      <c r="E1040" s="742"/>
      <c r="F1040" s="685">
        <v>1</v>
      </c>
      <c r="G1040" s="737">
        <v>22.105</v>
      </c>
      <c r="H1040" s="685">
        <v>22.105</v>
      </c>
      <c r="I1040" s="672" t="s">
        <v>9218</v>
      </c>
      <c r="J1040" s="672" t="s">
        <v>9219</v>
      </c>
      <c r="K1040" s="672" t="s">
        <v>2354</v>
      </c>
      <c r="L1040" s="672" t="s">
        <v>9219</v>
      </c>
    </row>
    <row r="1041" spans="1:12" x14ac:dyDescent="0.2">
      <c r="A1041" s="681" t="s">
        <v>220</v>
      </c>
      <c r="B1041" s="681" t="s">
        <v>2351</v>
      </c>
      <c r="C1041" s="736"/>
      <c r="D1041" s="736" t="s">
        <v>10186</v>
      </c>
      <c r="E1041" s="742" t="s">
        <v>2387</v>
      </c>
      <c r="F1041" s="685">
        <v>8</v>
      </c>
      <c r="G1041" s="737">
        <v>100</v>
      </c>
      <c r="H1041" s="685">
        <v>800</v>
      </c>
      <c r="I1041" s="672" t="s">
        <v>9218</v>
      </c>
      <c r="J1041" s="672" t="s">
        <v>9219</v>
      </c>
      <c r="K1041" s="672" t="s">
        <v>2354</v>
      </c>
      <c r="L1041" s="672" t="s">
        <v>9219</v>
      </c>
    </row>
    <row r="1042" spans="1:12" x14ac:dyDescent="0.2">
      <c r="A1042" s="681" t="s">
        <v>220</v>
      </c>
      <c r="B1042" s="681" t="s">
        <v>2351</v>
      </c>
      <c r="C1042" s="736"/>
      <c r="D1042" s="736" t="s">
        <v>10187</v>
      </c>
      <c r="E1042" s="742"/>
      <c r="F1042" s="685">
        <v>1</v>
      </c>
      <c r="G1042" s="737">
        <v>401.78649999999999</v>
      </c>
      <c r="H1042" s="685">
        <v>401.78649999999999</v>
      </c>
      <c r="I1042" s="672" t="s">
        <v>9218</v>
      </c>
      <c r="J1042" s="672" t="s">
        <v>9219</v>
      </c>
      <c r="K1042" s="672" t="s">
        <v>2354</v>
      </c>
      <c r="L1042" s="672" t="s">
        <v>9219</v>
      </c>
    </row>
    <row r="1043" spans="1:12" x14ac:dyDescent="0.2">
      <c r="A1043" s="681" t="s">
        <v>220</v>
      </c>
      <c r="B1043" s="681" t="s">
        <v>2351</v>
      </c>
      <c r="C1043" s="736"/>
      <c r="D1043" s="736" t="s">
        <v>10188</v>
      </c>
      <c r="E1043" s="742"/>
      <c r="F1043" s="685">
        <v>1</v>
      </c>
      <c r="G1043" s="737">
        <v>276.82799999999997</v>
      </c>
      <c r="H1043" s="685">
        <v>276.82799999999997</v>
      </c>
      <c r="I1043" s="672" t="s">
        <v>9218</v>
      </c>
      <c r="J1043" s="672" t="s">
        <v>9219</v>
      </c>
      <c r="K1043" s="672" t="s">
        <v>2354</v>
      </c>
      <c r="L1043" s="672" t="s">
        <v>9219</v>
      </c>
    </row>
    <row r="1044" spans="1:12" x14ac:dyDescent="0.2">
      <c r="A1044" s="681" t="s">
        <v>220</v>
      </c>
      <c r="B1044" s="681" t="s">
        <v>2351</v>
      </c>
      <c r="C1044" s="736"/>
      <c r="D1044" s="736" t="s">
        <v>10189</v>
      </c>
      <c r="E1044" s="742"/>
      <c r="F1044" s="685">
        <v>1</v>
      </c>
      <c r="G1044" s="737">
        <v>0</v>
      </c>
      <c r="H1044" s="685">
        <v>0</v>
      </c>
      <c r="I1044" s="672" t="s">
        <v>9218</v>
      </c>
      <c r="J1044" s="672" t="s">
        <v>9219</v>
      </c>
      <c r="K1044" s="672" t="s">
        <v>2354</v>
      </c>
      <c r="L1044" s="672" t="s">
        <v>9219</v>
      </c>
    </row>
    <row r="1045" spans="1:12" x14ac:dyDescent="0.2">
      <c r="A1045" s="681" t="s">
        <v>220</v>
      </c>
      <c r="B1045" s="681" t="s">
        <v>2351</v>
      </c>
      <c r="C1045" s="736"/>
      <c r="D1045" s="736" t="s">
        <v>10190</v>
      </c>
      <c r="E1045" s="742"/>
      <c r="F1045" s="685">
        <v>2</v>
      </c>
      <c r="G1045" s="737">
        <v>156.92699999999999</v>
      </c>
      <c r="H1045" s="685">
        <v>313.85399999999998</v>
      </c>
      <c r="I1045" s="672" t="s">
        <v>9218</v>
      </c>
      <c r="J1045" s="672" t="s">
        <v>9219</v>
      </c>
      <c r="K1045" s="672" t="s">
        <v>2354</v>
      </c>
      <c r="L1045" s="672" t="s">
        <v>9219</v>
      </c>
    </row>
    <row r="1046" spans="1:12" x14ac:dyDescent="0.2">
      <c r="A1046" s="681" t="s">
        <v>220</v>
      </c>
      <c r="B1046" s="681" t="s">
        <v>2351</v>
      </c>
      <c r="C1046" s="736" t="s">
        <v>10191</v>
      </c>
      <c r="D1046" s="736" t="s">
        <v>10192</v>
      </c>
      <c r="E1046" s="742"/>
      <c r="F1046" s="685">
        <v>8</v>
      </c>
      <c r="G1046" s="737">
        <v>62.62</v>
      </c>
      <c r="H1046" s="685">
        <v>500.96</v>
      </c>
      <c r="I1046" s="672" t="s">
        <v>9218</v>
      </c>
      <c r="J1046" s="672" t="s">
        <v>9219</v>
      </c>
      <c r="K1046" s="672" t="s">
        <v>2354</v>
      </c>
      <c r="L1046" s="672" t="s">
        <v>9219</v>
      </c>
    </row>
    <row r="1047" spans="1:12" x14ac:dyDescent="0.2">
      <c r="A1047" s="681" t="s">
        <v>220</v>
      </c>
      <c r="B1047" s="681" t="s">
        <v>2351</v>
      </c>
      <c r="C1047" s="736"/>
      <c r="D1047" s="736" t="s">
        <v>10193</v>
      </c>
      <c r="E1047" s="742"/>
      <c r="F1047" s="685">
        <v>2</v>
      </c>
      <c r="G1047" s="737">
        <v>0</v>
      </c>
      <c r="H1047" s="685">
        <v>0</v>
      </c>
      <c r="I1047" s="672" t="s">
        <v>9218</v>
      </c>
      <c r="J1047" s="672" t="s">
        <v>9219</v>
      </c>
      <c r="K1047" s="672" t="s">
        <v>2354</v>
      </c>
      <c r="L1047" s="672" t="s">
        <v>9219</v>
      </c>
    </row>
    <row r="1048" spans="1:12" x14ac:dyDescent="0.2">
      <c r="A1048" s="681" t="s">
        <v>220</v>
      </c>
      <c r="B1048" s="681" t="s">
        <v>2351</v>
      </c>
      <c r="C1048" s="736"/>
      <c r="D1048" s="736" t="s">
        <v>10194</v>
      </c>
      <c r="E1048" s="742"/>
      <c r="F1048" s="685">
        <v>4</v>
      </c>
      <c r="G1048" s="737">
        <v>0</v>
      </c>
      <c r="H1048" s="685">
        <v>0</v>
      </c>
      <c r="I1048" s="672" t="s">
        <v>9218</v>
      </c>
      <c r="J1048" s="672" t="s">
        <v>9219</v>
      </c>
      <c r="K1048" s="672" t="s">
        <v>2354</v>
      </c>
      <c r="L1048" s="672" t="s">
        <v>9219</v>
      </c>
    </row>
    <row r="1049" spans="1:12" x14ac:dyDescent="0.2">
      <c r="A1049" s="681" t="s">
        <v>220</v>
      </c>
      <c r="B1049" s="681" t="s">
        <v>2351</v>
      </c>
      <c r="C1049" s="736"/>
      <c r="D1049" s="736" t="s">
        <v>10195</v>
      </c>
      <c r="E1049" s="742"/>
      <c r="F1049" s="685">
        <v>8</v>
      </c>
      <c r="G1049" s="737">
        <v>0</v>
      </c>
      <c r="H1049" s="685">
        <v>0</v>
      </c>
      <c r="I1049" s="672" t="s">
        <v>9218</v>
      </c>
      <c r="J1049" s="672" t="s">
        <v>9219</v>
      </c>
      <c r="K1049" s="672" t="s">
        <v>2354</v>
      </c>
      <c r="L1049" s="672" t="s">
        <v>9219</v>
      </c>
    </row>
    <row r="1050" spans="1:12" x14ac:dyDescent="0.2">
      <c r="A1050" s="681" t="s">
        <v>220</v>
      </c>
      <c r="B1050" s="681" t="s">
        <v>2351</v>
      </c>
      <c r="C1050" s="736"/>
      <c r="D1050" s="736" t="s">
        <v>10196</v>
      </c>
      <c r="E1050" s="742"/>
      <c r="F1050" s="685">
        <v>1</v>
      </c>
      <c r="G1050" s="737">
        <v>0</v>
      </c>
      <c r="H1050" s="685">
        <v>0</v>
      </c>
      <c r="I1050" s="672" t="s">
        <v>9218</v>
      </c>
      <c r="J1050" s="672" t="s">
        <v>9219</v>
      </c>
      <c r="K1050" s="672" t="s">
        <v>2354</v>
      </c>
      <c r="L1050" s="672" t="s">
        <v>9219</v>
      </c>
    </row>
    <row r="1051" spans="1:12" x14ac:dyDescent="0.2">
      <c r="A1051" s="681" t="s">
        <v>220</v>
      </c>
      <c r="B1051" s="681" t="s">
        <v>2351</v>
      </c>
      <c r="C1051" s="736" t="s">
        <v>4327</v>
      </c>
      <c r="D1051" s="736"/>
      <c r="E1051" s="742"/>
      <c r="F1051" s="685">
        <v>1</v>
      </c>
      <c r="G1051" s="737">
        <v>113.22</v>
      </c>
      <c r="H1051" s="685">
        <v>113.22</v>
      </c>
      <c r="I1051" s="672" t="s">
        <v>9218</v>
      </c>
      <c r="J1051" s="672" t="s">
        <v>9219</v>
      </c>
      <c r="K1051" s="672" t="s">
        <v>2354</v>
      </c>
      <c r="L1051" s="672" t="s">
        <v>9219</v>
      </c>
    </row>
    <row r="1052" spans="1:12" x14ac:dyDescent="0.2">
      <c r="A1052" s="681" t="s">
        <v>220</v>
      </c>
      <c r="B1052" s="681" t="s">
        <v>2351</v>
      </c>
      <c r="C1052" s="736"/>
      <c r="D1052" s="736" t="s">
        <v>10197</v>
      </c>
      <c r="E1052" s="742"/>
      <c r="F1052" s="685">
        <v>16</v>
      </c>
      <c r="G1052" s="737">
        <v>0</v>
      </c>
      <c r="H1052" s="685">
        <v>0</v>
      </c>
      <c r="I1052" s="672" t="s">
        <v>9218</v>
      </c>
      <c r="J1052" s="672" t="s">
        <v>9219</v>
      </c>
      <c r="K1052" s="672" t="s">
        <v>2354</v>
      </c>
      <c r="L1052" s="672" t="s">
        <v>9219</v>
      </c>
    </row>
    <row r="1053" spans="1:12" x14ac:dyDescent="0.2">
      <c r="A1053" s="681" t="s">
        <v>220</v>
      </c>
      <c r="B1053" s="681" t="s">
        <v>2351</v>
      </c>
      <c r="C1053" s="736" t="s">
        <v>9247</v>
      </c>
      <c r="D1053" s="736"/>
      <c r="E1053" s="742"/>
      <c r="F1053" s="685">
        <v>10</v>
      </c>
      <c r="G1053" s="737">
        <v>0</v>
      </c>
      <c r="H1053" s="685">
        <v>0</v>
      </c>
      <c r="I1053" s="672" t="s">
        <v>9218</v>
      </c>
      <c r="J1053" s="672" t="s">
        <v>9219</v>
      </c>
      <c r="K1053" s="672" t="s">
        <v>2354</v>
      </c>
      <c r="L1053" s="672" t="s">
        <v>9219</v>
      </c>
    </row>
    <row r="1054" spans="1:12" x14ac:dyDescent="0.2">
      <c r="A1054" s="681" t="s">
        <v>220</v>
      </c>
      <c r="B1054" s="681" t="s">
        <v>2351</v>
      </c>
      <c r="C1054" s="736"/>
      <c r="D1054" s="736" t="s">
        <v>10198</v>
      </c>
      <c r="E1054" s="742"/>
      <c r="F1054" s="685">
        <v>4</v>
      </c>
      <c r="G1054" s="737">
        <v>255.66300000000001</v>
      </c>
      <c r="H1054" s="685">
        <v>1022.652</v>
      </c>
      <c r="I1054" s="672" t="s">
        <v>9218</v>
      </c>
      <c r="J1054" s="672" t="s">
        <v>9219</v>
      </c>
      <c r="K1054" s="672" t="s">
        <v>2354</v>
      </c>
      <c r="L1054" s="672" t="s">
        <v>9219</v>
      </c>
    </row>
    <row r="1055" spans="1:12" x14ac:dyDescent="0.2">
      <c r="A1055" s="681" t="s">
        <v>220</v>
      </c>
      <c r="B1055" s="681" t="s">
        <v>2351</v>
      </c>
      <c r="C1055" s="736" t="s">
        <v>2676</v>
      </c>
      <c r="D1055" s="736"/>
      <c r="E1055" s="742"/>
      <c r="F1055" s="685">
        <v>2</v>
      </c>
      <c r="G1055" s="737">
        <v>87.26812402038496</v>
      </c>
      <c r="H1055" s="685">
        <v>174.53624804076992</v>
      </c>
      <c r="I1055" s="672" t="s">
        <v>9218</v>
      </c>
      <c r="J1055" s="672" t="s">
        <v>9219</v>
      </c>
      <c r="K1055" s="672" t="s">
        <v>2354</v>
      </c>
      <c r="L1055" s="672" t="s">
        <v>9219</v>
      </c>
    </row>
    <row r="1056" spans="1:12" x14ac:dyDescent="0.2">
      <c r="A1056" s="681" t="s">
        <v>220</v>
      </c>
      <c r="B1056" s="681" t="s">
        <v>2351</v>
      </c>
      <c r="C1056" s="736" t="s">
        <v>10199</v>
      </c>
      <c r="D1056" s="736"/>
      <c r="E1056" s="742"/>
      <c r="F1056" s="685">
        <v>1</v>
      </c>
      <c r="G1056" s="737">
        <v>0</v>
      </c>
      <c r="H1056" s="685">
        <v>0</v>
      </c>
      <c r="I1056" s="672" t="s">
        <v>9218</v>
      </c>
      <c r="J1056" s="672" t="s">
        <v>9219</v>
      </c>
      <c r="K1056" s="672" t="s">
        <v>9219</v>
      </c>
      <c r="L1056" s="672" t="s">
        <v>9219</v>
      </c>
    </row>
    <row r="1057" spans="1:12" x14ac:dyDescent="0.2">
      <c r="A1057" s="681" t="s">
        <v>220</v>
      </c>
      <c r="B1057" s="681" t="s">
        <v>2351</v>
      </c>
      <c r="C1057" s="736" t="s">
        <v>4027</v>
      </c>
      <c r="D1057" s="736"/>
      <c r="E1057" s="742"/>
      <c r="F1057" s="685">
        <v>2</v>
      </c>
      <c r="G1057" s="737">
        <v>0</v>
      </c>
      <c r="H1057" s="685">
        <v>0</v>
      </c>
      <c r="I1057" s="672" t="s">
        <v>9218</v>
      </c>
      <c r="J1057" s="672" t="s">
        <v>9219</v>
      </c>
      <c r="K1057" s="672" t="s">
        <v>9219</v>
      </c>
      <c r="L1057" s="672" t="s">
        <v>9219</v>
      </c>
    </row>
    <row r="1058" spans="1:12" x14ac:dyDescent="0.2">
      <c r="A1058" s="681" t="s">
        <v>220</v>
      </c>
      <c r="B1058" s="681" t="s">
        <v>2351</v>
      </c>
      <c r="C1058" s="736" t="s">
        <v>10200</v>
      </c>
      <c r="D1058" s="736"/>
      <c r="E1058" s="742"/>
      <c r="F1058" s="685">
        <v>1</v>
      </c>
      <c r="G1058" s="737">
        <v>0</v>
      </c>
      <c r="H1058" s="685">
        <v>0</v>
      </c>
      <c r="I1058" s="672" t="s">
        <v>9218</v>
      </c>
      <c r="J1058" s="672" t="s">
        <v>9219</v>
      </c>
      <c r="K1058" s="672" t="s">
        <v>9219</v>
      </c>
      <c r="L1058" s="672" t="s">
        <v>9219</v>
      </c>
    </row>
    <row r="1059" spans="1:12" x14ac:dyDescent="0.2">
      <c r="A1059" s="681" t="s">
        <v>220</v>
      </c>
      <c r="B1059" s="681" t="s">
        <v>2351</v>
      </c>
      <c r="C1059" s="736" t="s">
        <v>10201</v>
      </c>
      <c r="D1059" s="736"/>
      <c r="E1059" s="742"/>
      <c r="F1059" s="685">
        <v>3</v>
      </c>
      <c r="G1059" s="737">
        <v>0</v>
      </c>
      <c r="H1059" s="685">
        <v>0</v>
      </c>
      <c r="I1059" s="672" t="s">
        <v>9218</v>
      </c>
      <c r="J1059" s="672" t="s">
        <v>9219</v>
      </c>
      <c r="K1059" s="672" t="s">
        <v>2354</v>
      </c>
      <c r="L1059" s="672" t="s">
        <v>9219</v>
      </c>
    </row>
    <row r="1060" spans="1:12" x14ac:dyDescent="0.2">
      <c r="A1060" s="681" t="s">
        <v>220</v>
      </c>
      <c r="B1060" s="681" t="s">
        <v>2351</v>
      </c>
      <c r="C1060" s="736" t="s">
        <v>10202</v>
      </c>
      <c r="D1060" s="736"/>
      <c r="E1060" s="742"/>
      <c r="F1060" s="685">
        <v>3</v>
      </c>
      <c r="G1060" s="737">
        <v>0</v>
      </c>
      <c r="H1060" s="685">
        <v>0</v>
      </c>
      <c r="I1060" s="672" t="s">
        <v>9218</v>
      </c>
      <c r="J1060" s="672" t="s">
        <v>9219</v>
      </c>
      <c r="K1060" s="672" t="s">
        <v>2354</v>
      </c>
      <c r="L1060" s="672" t="s">
        <v>9219</v>
      </c>
    </row>
    <row r="1061" spans="1:12" x14ac:dyDescent="0.2">
      <c r="A1061" s="681" t="s">
        <v>220</v>
      </c>
      <c r="B1061" s="681" t="s">
        <v>2351</v>
      </c>
      <c r="C1061" s="736"/>
      <c r="D1061" s="736" t="s">
        <v>10203</v>
      </c>
      <c r="E1061" s="742"/>
      <c r="F1061" s="685">
        <v>1</v>
      </c>
      <c r="G1061" s="737">
        <v>0</v>
      </c>
      <c r="H1061" s="685">
        <v>0</v>
      </c>
      <c r="I1061" s="672" t="s">
        <v>9218</v>
      </c>
      <c r="J1061" s="672" t="s">
        <v>9219</v>
      </c>
      <c r="K1061" s="672" t="s">
        <v>2354</v>
      </c>
      <c r="L1061" s="672" t="s">
        <v>9219</v>
      </c>
    </row>
    <row r="1062" spans="1:12" x14ac:dyDescent="0.2">
      <c r="A1062" s="681" t="s">
        <v>220</v>
      </c>
      <c r="B1062" s="681" t="s">
        <v>2351</v>
      </c>
      <c r="C1062" s="736"/>
      <c r="D1062" s="736" t="s">
        <v>10204</v>
      </c>
      <c r="E1062" s="742"/>
      <c r="F1062" s="685">
        <v>2</v>
      </c>
      <c r="G1062" s="737">
        <v>110.70059999999999</v>
      </c>
      <c r="H1062" s="685">
        <v>221.40119999999999</v>
      </c>
      <c r="I1062" s="672" t="s">
        <v>9218</v>
      </c>
      <c r="J1062" s="672" t="s">
        <v>9219</v>
      </c>
      <c r="K1062" s="672" t="s">
        <v>2354</v>
      </c>
      <c r="L1062" s="672" t="s">
        <v>9219</v>
      </c>
    </row>
    <row r="1063" spans="1:12" x14ac:dyDescent="0.2">
      <c r="A1063" s="681" t="s">
        <v>220</v>
      </c>
      <c r="B1063" s="681" t="s">
        <v>2351</v>
      </c>
      <c r="C1063" s="736"/>
      <c r="D1063" s="736" t="s">
        <v>10205</v>
      </c>
      <c r="E1063" s="742"/>
      <c r="F1063" s="685">
        <v>2</v>
      </c>
      <c r="G1063" s="737">
        <v>0</v>
      </c>
      <c r="H1063" s="685">
        <v>0</v>
      </c>
      <c r="I1063" s="672" t="s">
        <v>9218</v>
      </c>
      <c r="J1063" s="672" t="s">
        <v>9219</v>
      </c>
      <c r="K1063" s="672" t="s">
        <v>2354</v>
      </c>
      <c r="L1063" s="672" t="s">
        <v>9219</v>
      </c>
    </row>
    <row r="1064" spans="1:12" x14ac:dyDescent="0.2">
      <c r="A1064" s="681" t="s">
        <v>220</v>
      </c>
      <c r="B1064" s="681" t="s">
        <v>2351</v>
      </c>
      <c r="C1064" s="736"/>
      <c r="D1064" s="736" t="s">
        <v>10206</v>
      </c>
      <c r="E1064" s="742"/>
      <c r="F1064" s="685">
        <v>1</v>
      </c>
      <c r="G1064" s="737">
        <v>0</v>
      </c>
      <c r="H1064" s="685">
        <v>0</v>
      </c>
      <c r="I1064" s="672" t="s">
        <v>9218</v>
      </c>
      <c r="J1064" s="672" t="s">
        <v>9219</v>
      </c>
      <c r="K1064" s="672" t="s">
        <v>2354</v>
      </c>
      <c r="L1064" s="672" t="s">
        <v>9219</v>
      </c>
    </row>
    <row r="1065" spans="1:12" x14ac:dyDescent="0.2">
      <c r="A1065" s="681" t="s">
        <v>220</v>
      </c>
      <c r="B1065" s="681" t="s">
        <v>2351</v>
      </c>
      <c r="C1065" s="736" t="s">
        <v>10207</v>
      </c>
      <c r="D1065" s="736"/>
      <c r="E1065" s="742"/>
      <c r="F1065" s="685">
        <v>6</v>
      </c>
      <c r="G1065" s="737">
        <v>0</v>
      </c>
      <c r="H1065" s="685">
        <v>0</v>
      </c>
      <c r="I1065" s="672" t="s">
        <v>9218</v>
      </c>
      <c r="J1065" s="672" t="s">
        <v>9219</v>
      </c>
      <c r="K1065" s="672" t="s">
        <v>9219</v>
      </c>
      <c r="L1065" s="672" t="s">
        <v>9219</v>
      </c>
    </row>
    <row r="1066" spans="1:12" x14ac:dyDescent="0.2">
      <c r="A1066" s="681" t="s">
        <v>220</v>
      </c>
      <c r="B1066" s="681" t="s">
        <v>2351</v>
      </c>
      <c r="C1066" s="736"/>
      <c r="D1066" s="736" t="s">
        <v>10208</v>
      </c>
      <c r="E1066" s="742"/>
      <c r="F1066" s="685">
        <v>2</v>
      </c>
      <c r="G1066" s="737">
        <v>223</v>
      </c>
      <c r="H1066" s="685">
        <v>446</v>
      </c>
      <c r="I1066" s="672" t="s">
        <v>9218</v>
      </c>
      <c r="J1066" s="672" t="s">
        <v>9219</v>
      </c>
      <c r="K1066" s="672" t="s">
        <v>2354</v>
      </c>
      <c r="L1066" s="672" t="s">
        <v>9219</v>
      </c>
    </row>
    <row r="1067" spans="1:12" x14ac:dyDescent="0.2">
      <c r="A1067" s="681" t="s">
        <v>220</v>
      </c>
      <c r="B1067" s="681" t="s">
        <v>2351</v>
      </c>
      <c r="C1067" s="736" t="s">
        <v>4261</v>
      </c>
      <c r="D1067" s="736"/>
      <c r="E1067" s="742"/>
      <c r="F1067" s="685">
        <v>1</v>
      </c>
      <c r="G1067" s="737">
        <v>90</v>
      </c>
      <c r="H1067" s="685">
        <v>90</v>
      </c>
      <c r="I1067" s="672" t="s">
        <v>9218</v>
      </c>
      <c r="J1067" s="672" t="s">
        <v>9219</v>
      </c>
      <c r="K1067" s="672" t="s">
        <v>2354</v>
      </c>
      <c r="L1067" s="672" t="s">
        <v>9219</v>
      </c>
    </row>
    <row r="1068" spans="1:12" x14ac:dyDescent="0.2">
      <c r="A1068" s="681" t="s">
        <v>220</v>
      </c>
      <c r="B1068" s="681" t="s">
        <v>2351</v>
      </c>
      <c r="C1068" s="736"/>
      <c r="D1068" s="736" t="s">
        <v>10209</v>
      </c>
      <c r="E1068" s="742"/>
      <c r="F1068" s="685">
        <v>30</v>
      </c>
      <c r="G1068" s="737">
        <v>4.0999999999999996</v>
      </c>
      <c r="H1068" s="685">
        <v>122.99999999999999</v>
      </c>
      <c r="I1068" s="672" t="s">
        <v>9218</v>
      </c>
      <c r="J1068" s="672" t="s">
        <v>9219</v>
      </c>
      <c r="K1068" s="672" t="s">
        <v>2354</v>
      </c>
      <c r="L1068" s="672" t="s">
        <v>9219</v>
      </c>
    </row>
    <row r="1069" spans="1:12" x14ac:dyDescent="0.2">
      <c r="A1069" s="681" t="s">
        <v>220</v>
      </c>
      <c r="B1069" s="681" t="s">
        <v>2351</v>
      </c>
      <c r="C1069" s="736"/>
      <c r="D1069" s="736" t="s">
        <v>10210</v>
      </c>
      <c r="E1069" s="742"/>
      <c r="F1069" s="685">
        <v>16</v>
      </c>
      <c r="G1069" s="737">
        <v>4.25</v>
      </c>
      <c r="H1069" s="685">
        <v>68</v>
      </c>
      <c r="I1069" s="672" t="s">
        <v>9218</v>
      </c>
      <c r="J1069" s="672" t="s">
        <v>9219</v>
      </c>
      <c r="K1069" s="672" t="s">
        <v>2354</v>
      </c>
      <c r="L1069" s="672" t="s">
        <v>9219</v>
      </c>
    </row>
    <row r="1070" spans="1:12" x14ac:dyDescent="0.2">
      <c r="A1070" s="681" t="s">
        <v>220</v>
      </c>
      <c r="B1070" s="681" t="s">
        <v>2351</v>
      </c>
      <c r="C1070" s="736"/>
      <c r="D1070" s="736" t="s">
        <v>10211</v>
      </c>
      <c r="E1070" s="742"/>
      <c r="F1070" s="685">
        <v>11</v>
      </c>
      <c r="G1070" s="737">
        <v>3.63</v>
      </c>
      <c r="H1070" s="685">
        <v>39.93</v>
      </c>
      <c r="I1070" s="672" t="s">
        <v>9218</v>
      </c>
      <c r="J1070" s="672" t="s">
        <v>9219</v>
      </c>
      <c r="K1070" s="672" t="s">
        <v>2354</v>
      </c>
      <c r="L1070" s="672" t="s">
        <v>9219</v>
      </c>
    </row>
    <row r="1071" spans="1:12" x14ac:dyDescent="0.2">
      <c r="A1071" s="681" t="s">
        <v>220</v>
      </c>
      <c r="B1071" s="681" t="s">
        <v>2351</v>
      </c>
      <c r="C1071" s="736"/>
      <c r="D1071" s="736" t="s">
        <v>6498</v>
      </c>
      <c r="E1071" s="742"/>
      <c r="F1071" s="685">
        <v>9</v>
      </c>
      <c r="G1071" s="737">
        <v>3.25</v>
      </c>
      <c r="H1071" s="685">
        <v>29.25</v>
      </c>
      <c r="I1071" s="672" t="s">
        <v>9218</v>
      </c>
      <c r="J1071" s="672" t="s">
        <v>9219</v>
      </c>
      <c r="K1071" s="672" t="s">
        <v>2354</v>
      </c>
      <c r="L1071" s="672" t="s">
        <v>9219</v>
      </c>
    </row>
    <row r="1072" spans="1:12" x14ac:dyDescent="0.2">
      <c r="A1072" s="681" t="s">
        <v>220</v>
      </c>
      <c r="B1072" s="681" t="s">
        <v>2351</v>
      </c>
      <c r="C1072" s="736"/>
      <c r="D1072" s="736" t="s">
        <v>10212</v>
      </c>
      <c r="E1072" s="742"/>
      <c r="F1072" s="685">
        <v>7</v>
      </c>
      <c r="G1072" s="737">
        <v>3.46</v>
      </c>
      <c r="H1072" s="685">
        <v>24.22</v>
      </c>
      <c r="I1072" s="672" t="s">
        <v>9218</v>
      </c>
      <c r="J1072" s="672" t="s">
        <v>9219</v>
      </c>
      <c r="K1072" s="672" t="s">
        <v>2354</v>
      </c>
      <c r="L1072" s="672" t="s">
        <v>9219</v>
      </c>
    </row>
    <row r="1073" spans="1:12" x14ac:dyDescent="0.2">
      <c r="A1073" s="681" t="s">
        <v>220</v>
      </c>
      <c r="B1073" s="681" t="s">
        <v>2351</v>
      </c>
      <c r="C1073" s="736"/>
      <c r="D1073" s="736" t="s">
        <v>10213</v>
      </c>
      <c r="E1073" s="742"/>
      <c r="F1073" s="685">
        <v>8</v>
      </c>
      <c r="G1073" s="737">
        <v>6.55</v>
      </c>
      <c r="H1073" s="685">
        <v>52.4</v>
      </c>
      <c r="I1073" s="672" t="s">
        <v>9218</v>
      </c>
      <c r="J1073" s="672" t="s">
        <v>9219</v>
      </c>
      <c r="K1073" s="672" t="s">
        <v>2354</v>
      </c>
      <c r="L1073" s="672" t="s">
        <v>9219</v>
      </c>
    </row>
    <row r="1074" spans="1:12" x14ac:dyDescent="0.2">
      <c r="A1074" s="681" t="s">
        <v>220</v>
      </c>
      <c r="B1074" s="681" t="s">
        <v>2351</v>
      </c>
      <c r="C1074" s="736"/>
      <c r="D1074" s="736" t="s">
        <v>10214</v>
      </c>
      <c r="E1074" s="742"/>
      <c r="F1074" s="685">
        <v>8</v>
      </c>
      <c r="G1074" s="737">
        <v>6.75</v>
      </c>
      <c r="H1074" s="685">
        <v>54</v>
      </c>
      <c r="I1074" s="672" t="s">
        <v>9218</v>
      </c>
      <c r="J1074" s="672" t="s">
        <v>9219</v>
      </c>
      <c r="K1074" s="672" t="s">
        <v>2354</v>
      </c>
      <c r="L1074" s="672" t="s">
        <v>9219</v>
      </c>
    </row>
    <row r="1075" spans="1:12" x14ac:dyDescent="0.2">
      <c r="A1075" s="681" t="s">
        <v>220</v>
      </c>
      <c r="B1075" s="681" t="s">
        <v>2351</v>
      </c>
      <c r="C1075" s="736"/>
      <c r="D1075" s="736" t="s">
        <v>10215</v>
      </c>
      <c r="E1075" s="742"/>
      <c r="F1075" s="685">
        <v>9</v>
      </c>
      <c r="G1075" s="737">
        <v>4.7</v>
      </c>
      <c r="H1075" s="685">
        <v>42.300000000000004</v>
      </c>
      <c r="I1075" s="672" t="s">
        <v>9218</v>
      </c>
      <c r="J1075" s="672" t="s">
        <v>9219</v>
      </c>
      <c r="K1075" s="672" t="s">
        <v>2354</v>
      </c>
      <c r="L1075" s="672" t="s">
        <v>9219</v>
      </c>
    </row>
    <row r="1076" spans="1:12" x14ac:dyDescent="0.2">
      <c r="A1076" s="681" t="s">
        <v>220</v>
      </c>
      <c r="B1076" s="681" t="s">
        <v>2351</v>
      </c>
      <c r="C1076" s="736"/>
      <c r="D1076" s="736" t="s">
        <v>10216</v>
      </c>
      <c r="E1076" s="742"/>
      <c r="F1076" s="685">
        <v>10</v>
      </c>
      <c r="G1076" s="737">
        <v>15.4</v>
      </c>
      <c r="H1076" s="685">
        <v>154</v>
      </c>
      <c r="I1076" s="672" t="s">
        <v>9218</v>
      </c>
      <c r="J1076" s="672" t="s">
        <v>9219</v>
      </c>
      <c r="K1076" s="672" t="s">
        <v>2354</v>
      </c>
      <c r="L1076" s="672" t="s">
        <v>9219</v>
      </c>
    </row>
    <row r="1077" spans="1:12" x14ac:dyDescent="0.2">
      <c r="A1077" s="681" t="s">
        <v>220</v>
      </c>
      <c r="B1077" s="681" t="s">
        <v>2351</v>
      </c>
      <c r="C1077" s="736"/>
      <c r="D1077" s="736" t="s">
        <v>10217</v>
      </c>
      <c r="E1077" s="742"/>
      <c r="F1077" s="685">
        <v>11</v>
      </c>
      <c r="G1077" s="737">
        <v>25.6</v>
      </c>
      <c r="H1077" s="685">
        <v>281.60000000000002</v>
      </c>
      <c r="I1077" s="672" t="s">
        <v>9218</v>
      </c>
      <c r="J1077" s="672" t="s">
        <v>9219</v>
      </c>
      <c r="K1077" s="672" t="s">
        <v>2354</v>
      </c>
      <c r="L1077" s="672" t="s">
        <v>9219</v>
      </c>
    </row>
    <row r="1078" spans="1:12" x14ac:dyDescent="0.2">
      <c r="A1078" s="681" t="s">
        <v>220</v>
      </c>
      <c r="B1078" s="681" t="s">
        <v>2351</v>
      </c>
      <c r="C1078" s="736"/>
      <c r="D1078" s="736" t="s">
        <v>10218</v>
      </c>
      <c r="E1078" s="742"/>
      <c r="F1078" s="685">
        <v>10</v>
      </c>
      <c r="G1078" s="737">
        <v>26.12</v>
      </c>
      <c r="H1078" s="685">
        <v>261.2</v>
      </c>
      <c r="I1078" s="672" t="s">
        <v>9218</v>
      </c>
      <c r="J1078" s="672" t="s">
        <v>9219</v>
      </c>
      <c r="K1078" s="672" t="s">
        <v>2354</v>
      </c>
      <c r="L1078" s="672" t="s">
        <v>9219</v>
      </c>
    </row>
    <row r="1079" spans="1:12" x14ac:dyDescent="0.2">
      <c r="A1079" s="681" t="s">
        <v>220</v>
      </c>
      <c r="B1079" s="681" t="s">
        <v>2351</v>
      </c>
      <c r="C1079" s="736"/>
      <c r="D1079" s="736" t="s">
        <v>10219</v>
      </c>
      <c r="E1079" s="742"/>
      <c r="F1079" s="685">
        <v>5</v>
      </c>
      <c r="G1079" s="737">
        <v>26.65</v>
      </c>
      <c r="H1079" s="685">
        <v>133.25</v>
      </c>
      <c r="I1079" s="672" t="s">
        <v>9218</v>
      </c>
      <c r="J1079" s="672" t="s">
        <v>9219</v>
      </c>
      <c r="K1079" s="672" t="s">
        <v>2354</v>
      </c>
      <c r="L1079" s="672" t="s">
        <v>9219</v>
      </c>
    </row>
    <row r="1080" spans="1:12" x14ac:dyDescent="0.2">
      <c r="A1080" s="681" t="s">
        <v>220</v>
      </c>
      <c r="B1080" s="681" t="s">
        <v>2351</v>
      </c>
      <c r="C1080" s="736"/>
      <c r="D1080" s="736" t="s">
        <v>10220</v>
      </c>
      <c r="E1080" s="742"/>
      <c r="F1080" s="685">
        <v>11</v>
      </c>
      <c r="G1080" s="737">
        <v>20.28</v>
      </c>
      <c r="H1080" s="685">
        <v>223.08</v>
      </c>
      <c r="I1080" s="672" t="s">
        <v>9218</v>
      </c>
      <c r="J1080" s="672" t="s">
        <v>9219</v>
      </c>
      <c r="K1080" s="672" t="s">
        <v>2354</v>
      </c>
      <c r="L1080" s="672" t="s">
        <v>9219</v>
      </c>
    </row>
    <row r="1081" spans="1:12" x14ac:dyDescent="0.2">
      <c r="A1081" s="681" t="s">
        <v>220</v>
      </c>
      <c r="B1081" s="681" t="s">
        <v>2351</v>
      </c>
      <c r="C1081" s="736"/>
      <c r="D1081" s="736" t="s">
        <v>10221</v>
      </c>
      <c r="E1081" s="742"/>
      <c r="F1081" s="685">
        <v>4</v>
      </c>
      <c r="G1081" s="737">
        <v>18.75</v>
      </c>
      <c r="H1081" s="685">
        <v>75</v>
      </c>
      <c r="I1081" s="672" t="s">
        <v>9218</v>
      </c>
      <c r="J1081" s="672" t="s">
        <v>9219</v>
      </c>
      <c r="K1081" s="672" t="s">
        <v>2354</v>
      </c>
      <c r="L1081" s="672" t="s">
        <v>9219</v>
      </c>
    </row>
    <row r="1082" spans="1:12" x14ac:dyDescent="0.2">
      <c r="A1082" s="681" t="s">
        <v>220</v>
      </c>
      <c r="B1082" s="681" t="s">
        <v>2351</v>
      </c>
      <c r="C1082" s="736"/>
      <c r="D1082" s="736" t="s">
        <v>10222</v>
      </c>
      <c r="E1082" s="742"/>
      <c r="F1082" s="685">
        <v>5</v>
      </c>
      <c r="G1082" s="737">
        <v>19.25</v>
      </c>
      <c r="H1082" s="685">
        <v>96.25</v>
      </c>
      <c r="I1082" s="672" t="s">
        <v>9218</v>
      </c>
      <c r="J1082" s="672" t="s">
        <v>9219</v>
      </c>
      <c r="K1082" s="672" t="s">
        <v>2354</v>
      </c>
      <c r="L1082" s="672" t="s">
        <v>9219</v>
      </c>
    </row>
    <row r="1083" spans="1:12" x14ac:dyDescent="0.2">
      <c r="A1083" s="681" t="s">
        <v>220</v>
      </c>
      <c r="B1083" s="681" t="s">
        <v>2351</v>
      </c>
      <c r="C1083" s="736"/>
      <c r="D1083" s="736" t="s">
        <v>10223</v>
      </c>
      <c r="E1083" s="742"/>
      <c r="F1083" s="685">
        <v>5</v>
      </c>
      <c r="G1083" s="737">
        <v>0</v>
      </c>
      <c r="H1083" s="685">
        <v>0</v>
      </c>
      <c r="I1083" s="672" t="s">
        <v>9218</v>
      </c>
      <c r="J1083" s="672" t="s">
        <v>9219</v>
      </c>
      <c r="K1083" s="672" t="s">
        <v>2354</v>
      </c>
      <c r="L1083" s="672" t="s">
        <v>9219</v>
      </c>
    </row>
    <row r="1084" spans="1:12" x14ac:dyDescent="0.2">
      <c r="A1084" s="681" t="s">
        <v>220</v>
      </c>
      <c r="B1084" s="681" t="s">
        <v>2351</v>
      </c>
      <c r="C1084" s="736"/>
      <c r="D1084" s="736" t="s">
        <v>10224</v>
      </c>
      <c r="E1084" s="742"/>
      <c r="F1084" s="685">
        <v>6</v>
      </c>
      <c r="G1084" s="737">
        <v>0</v>
      </c>
      <c r="H1084" s="685">
        <v>0</v>
      </c>
      <c r="I1084" s="672" t="s">
        <v>9218</v>
      </c>
      <c r="J1084" s="672" t="s">
        <v>9219</v>
      </c>
      <c r="K1084" s="672" t="s">
        <v>2354</v>
      </c>
      <c r="L1084" s="672" t="s">
        <v>9219</v>
      </c>
    </row>
    <row r="1085" spans="1:12" x14ac:dyDescent="0.2">
      <c r="A1085" s="681" t="s">
        <v>220</v>
      </c>
      <c r="B1085" s="681" t="s">
        <v>2351</v>
      </c>
      <c r="C1085" s="736"/>
      <c r="D1085" s="736" t="s">
        <v>10225</v>
      </c>
      <c r="E1085" s="742"/>
      <c r="F1085" s="685">
        <v>25</v>
      </c>
      <c r="G1085" s="737">
        <v>0</v>
      </c>
      <c r="H1085" s="685">
        <v>0</v>
      </c>
      <c r="I1085" s="672" t="s">
        <v>9218</v>
      </c>
      <c r="J1085" s="672" t="s">
        <v>9219</v>
      </c>
      <c r="K1085" s="672" t="s">
        <v>2354</v>
      </c>
      <c r="L1085" s="672" t="s">
        <v>9219</v>
      </c>
    </row>
    <row r="1086" spans="1:12" x14ac:dyDescent="0.2">
      <c r="A1086" s="681" t="s">
        <v>220</v>
      </c>
      <c r="B1086" s="681" t="s">
        <v>2351</v>
      </c>
      <c r="C1086" s="736"/>
      <c r="D1086" s="736" t="s">
        <v>10226</v>
      </c>
      <c r="E1086" s="742"/>
      <c r="F1086" s="685">
        <v>2</v>
      </c>
      <c r="G1086" s="737">
        <v>0</v>
      </c>
      <c r="H1086" s="685">
        <v>0</v>
      </c>
      <c r="I1086" s="672" t="s">
        <v>9218</v>
      </c>
      <c r="J1086" s="672" t="s">
        <v>9219</v>
      </c>
      <c r="K1086" s="672" t="s">
        <v>2354</v>
      </c>
      <c r="L1086" s="672" t="s">
        <v>9219</v>
      </c>
    </row>
    <row r="1087" spans="1:12" x14ac:dyDescent="0.2">
      <c r="A1087" s="681" t="s">
        <v>220</v>
      </c>
      <c r="B1087" s="681" t="s">
        <v>2351</v>
      </c>
      <c r="C1087" s="736"/>
      <c r="D1087" s="736" t="s">
        <v>10227</v>
      </c>
      <c r="E1087" s="742"/>
      <c r="F1087" s="685">
        <v>5</v>
      </c>
      <c r="G1087" s="737">
        <v>0</v>
      </c>
      <c r="H1087" s="685">
        <v>0</v>
      </c>
      <c r="I1087" s="672" t="s">
        <v>9218</v>
      </c>
      <c r="J1087" s="672" t="s">
        <v>9219</v>
      </c>
      <c r="K1087" s="672" t="s">
        <v>2354</v>
      </c>
      <c r="L1087" s="672" t="s">
        <v>9219</v>
      </c>
    </row>
    <row r="1088" spans="1:12" x14ac:dyDescent="0.2">
      <c r="A1088" s="681" t="s">
        <v>220</v>
      </c>
      <c r="B1088" s="681" t="s">
        <v>2351</v>
      </c>
      <c r="C1088" s="736"/>
      <c r="D1088" s="736" t="s">
        <v>10228</v>
      </c>
      <c r="E1088" s="742"/>
      <c r="F1088" s="685">
        <v>1</v>
      </c>
      <c r="G1088" s="737">
        <v>0</v>
      </c>
      <c r="H1088" s="685">
        <v>0</v>
      </c>
      <c r="I1088" s="672" t="s">
        <v>9218</v>
      </c>
      <c r="J1088" s="672" t="s">
        <v>9219</v>
      </c>
      <c r="K1088" s="672" t="s">
        <v>2354</v>
      </c>
      <c r="L1088" s="672" t="s">
        <v>9219</v>
      </c>
    </row>
    <row r="1089" spans="1:12" x14ac:dyDescent="0.2">
      <c r="A1089" s="681" t="s">
        <v>220</v>
      </c>
      <c r="B1089" s="681" t="s">
        <v>2351</v>
      </c>
      <c r="C1089" s="736"/>
      <c r="D1089" s="736" t="s">
        <v>10229</v>
      </c>
      <c r="E1089" s="742"/>
      <c r="F1089" s="685">
        <v>3</v>
      </c>
      <c r="G1089" s="737">
        <v>0</v>
      </c>
      <c r="H1089" s="685">
        <v>0</v>
      </c>
      <c r="I1089" s="672" t="s">
        <v>9218</v>
      </c>
      <c r="J1089" s="672" t="s">
        <v>9219</v>
      </c>
      <c r="K1089" s="672" t="s">
        <v>2354</v>
      </c>
      <c r="L1089" s="672" t="s">
        <v>9219</v>
      </c>
    </row>
    <row r="1090" spans="1:12" x14ac:dyDescent="0.2">
      <c r="A1090" s="681" t="s">
        <v>220</v>
      </c>
      <c r="B1090" s="681" t="s">
        <v>2351</v>
      </c>
      <c r="C1090" s="736"/>
      <c r="D1090" s="736" t="s">
        <v>2887</v>
      </c>
      <c r="E1090" s="742"/>
      <c r="F1090" s="685">
        <v>7</v>
      </c>
      <c r="G1090" s="737">
        <v>0</v>
      </c>
      <c r="H1090" s="685">
        <v>0</v>
      </c>
      <c r="I1090" s="672" t="s">
        <v>9218</v>
      </c>
      <c r="J1090" s="672" t="s">
        <v>9219</v>
      </c>
      <c r="K1090" s="672" t="s">
        <v>2354</v>
      </c>
      <c r="L1090" s="672" t="s">
        <v>9219</v>
      </c>
    </row>
    <row r="1091" spans="1:12" x14ac:dyDescent="0.2">
      <c r="A1091" s="681" t="s">
        <v>220</v>
      </c>
      <c r="B1091" s="681" t="s">
        <v>2351</v>
      </c>
      <c r="C1091" s="736"/>
      <c r="D1091" s="736" t="s">
        <v>10230</v>
      </c>
      <c r="E1091" s="742"/>
      <c r="F1091" s="685">
        <v>4</v>
      </c>
      <c r="G1091" s="737">
        <v>0</v>
      </c>
      <c r="H1091" s="685">
        <v>0</v>
      </c>
      <c r="I1091" s="672" t="s">
        <v>9218</v>
      </c>
      <c r="J1091" s="672" t="s">
        <v>9219</v>
      </c>
      <c r="K1091" s="672" t="s">
        <v>2354</v>
      </c>
      <c r="L1091" s="672" t="s">
        <v>9219</v>
      </c>
    </row>
    <row r="1092" spans="1:12" x14ac:dyDescent="0.2">
      <c r="A1092" s="681" t="s">
        <v>220</v>
      </c>
      <c r="B1092" s="681" t="s">
        <v>2351</v>
      </c>
      <c r="C1092" s="736"/>
      <c r="D1092" s="736" t="s">
        <v>10231</v>
      </c>
      <c r="E1092" s="742"/>
      <c r="F1092" s="685">
        <v>21</v>
      </c>
      <c r="G1092" s="737">
        <v>0</v>
      </c>
      <c r="H1092" s="685">
        <v>0</v>
      </c>
      <c r="I1092" s="672" t="s">
        <v>9218</v>
      </c>
      <c r="J1092" s="672" t="s">
        <v>9219</v>
      </c>
      <c r="K1092" s="672" t="s">
        <v>2354</v>
      </c>
      <c r="L1092" s="672" t="s">
        <v>9219</v>
      </c>
    </row>
    <row r="1093" spans="1:12" x14ac:dyDescent="0.2">
      <c r="A1093" s="681" t="s">
        <v>220</v>
      </c>
      <c r="B1093" s="681" t="s">
        <v>2351</v>
      </c>
      <c r="C1093" s="736"/>
      <c r="D1093" s="736" t="s">
        <v>10232</v>
      </c>
      <c r="E1093" s="742"/>
      <c r="F1093" s="685">
        <v>70</v>
      </c>
      <c r="G1093" s="737">
        <v>0</v>
      </c>
      <c r="H1093" s="685">
        <v>0</v>
      </c>
      <c r="I1093" s="672" t="s">
        <v>9218</v>
      </c>
      <c r="J1093" s="672" t="s">
        <v>9219</v>
      </c>
      <c r="K1093" s="672" t="s">
        <v>2354</v>
      </c>
      <c r="L1093" s="672" t="s">
        <v>9219</v>
      </c>
    </row>
    <row r="1094" spans="1:12" x14ac:dyDescent="0.2">
      <c r="A1094" s="681" t="s">
        <v>220</v>
      </c>
      <c r="B1094" s="681" t="s">
        <v>2351</v>
      </c>
      <c r="C1094" s="736"/>
      <c r="D1094" s="736" t="s">
        <v>10233</v>
      </c>
      <c r="E1094" s="742"/>
      <c r="F1094" s="685">
        <v>2</v>
      </c>
      <c r="G1094" s="737">
        <v>0</v>
      </c>
      <c r="H1094" s="685">
        <v>0</v>
      </c>
      <c r="I1094" s="672" t="s">
        <v>9218</v>
      </c>
      <c r="J1094" s="672" t="s">
        <v>9219</v>
      </c>
      <c r="K1094" s="672" t="s">
        <v>2354</v>
      </c>
      <c r="L1094" s="672" t="s">
        <v>9219</v>
      </c>
    </row>
    <row r="1095" spans="1:12" x14ac:dyDescent="0.2">
      <c r="A1095" s="681" t="s">
        <v>220</v>
      </c>
      <c r="B1095" s="681" t="s">
        <v>2351</v>
      </c>
      <c r="C1095" s="736"/>
      <c r="D1095" s="736" t="s">
        <v>10234</v>
      </c>
      <c r="E1095" s="742"/>
      <c r="F1095" s="685">
        <v>2</v>
      </c>
      <c r="G1095" s="737">
        <v>168.75</v>
      </c>
      <c r="H1095" s="685">
        <v>337.5</v>
      </c>
      <c r="I1095" s="672" t="s">
        <v>9218</v>
      </c>
      <c r="J1095" s="672" t="s">
        <v>9219</v>
      </c>
      <c r="K1095" s="672" t="s">
        <v>2354</v>
      </c>
      <c r="L1095" s="672" t="s">
        <v>9219</v>
      </c>
    </row>
    <row r="1096" spans="1:12" x14ac:dyDescent="0.2">
      <c r="A1096" s="681" t="s">
        <v>220</v>
      </c>
      <c r="B1096" s="681" t="s">
        <v>2351</v>
      </c>
      <c r="C1096" s="736"/>
      <c r="D1096" s="736" t="s">
        <v>10235</v>
      </c>
      <c r="E1096" s="742"/>
      <c r="F1096" s="685">
        <v>22</v>
      </c>
      <c r="G1096" s="737">
        <v>2.13</v>
      </c>
      <c r="H1096" s="685">
        <v>46.86</v>
      </c>
      <c r="I1096" s="672" t="s">
        <v>9218</v>
      </c>
      <c r="J1096" s="672" t="s">
        <v>9219</v>
      </c>
      <c r="K1096" s="672" t="s">
        <v>2354</v>
      </c>
      <c r="L1096" s="672" t="s">
        <v>9219</v>
      </c>
    </row>
    <row r="1097" spans="1:12" x14ac:dyDescent="0.2">
      <c r="A1097" s="681" t="s">
        <v>220</v>
      </c>
      <c r="B1097" s="681" t="s">
        <v>2351</v>
      </c>
      <c r="C1097" s="736"/>
      <c r="D1097" s="736" t="s">
        <v>10236</v>
      </c>
      <c r="E1097" s="742"/>
      <c r="F1097" s="685">
        <v>19</v>
      </c>
      <c r="G1097" s="737">
        <v>3.95</v>
      </c>
      <c r="H1097" s="685">
        <v>75.05</v>
      </c>
      <c r="I1097" s="672" t="s">
        <v>9218</v>
      </c>
      <c r="J1097" s="672" t="s">
        <v>9219</v>
      </c>
      <c r="K1097" s="672" t="s">
        <v>2354</v>
      </c>
      <c r="L1097" s="672" t="s">
        <v>9219</v>
      </c>
    </row>
    <row r="1098" spans="1:12" x14ac:dyDescent="0.2">
      <c r="A1098" s="681" t="s">
        <v>220</v>
      </c>
      <c r="B1098" s="681" t="s">
        <v>2351</v>
      </c>
      <c r="C1098" s="736"/>
      <c r="D1098" s="736" t="s">
        <v>10237</v>
      </c>
      <c r="E1098" s="742"/>
      <c r="F1098" s="685">
        <v>2</v>
      </c>
      <c r="G1098" s="737">
        <v>3.12</v>
      </c>
      <c r="H1098" s="685">
        <v>6.24</v>
      </c>
      <c r="I1098" s="672" t="s">
        <v>9218</v>
      </c>
      <c r="J1098" s="672" t="s">
        <v>9219</v>
      </c>
      <c r="K1098" s="672" t="s">
        <v>2354</v>
      </c>
      <c r="L1098" s="672" t="s">
        <v>9219</v>
      </c>
    </row>
    <row r="1099" spans="1:12" x14ac:dyDescent="0.2">
      <c r="A1099" s="681" t="s">
        <v>220</v>
      </c>
      <c r="B1099" s="681" t="s">
        <v>2351</v>
      </c>
      <c r="C1099" s="736"/>
      <c r="D1099" s="736" t="s">
        <v>10238</v>
      </c>
      <c r="E1099" s="742"/>
      <c r="F1099" s="685">
        <v>4</v>
      </c>
      <c r="G1099" s="737">
        <v>3.92</v>
      </c>
      <c r="H1099" s="685">
        <v>15.68</v>
      </c>
      <c r="I1099" s="672" t="s">
        <v>9218</v>
      </c>
      <c r="J1099" s="672" t="s">
        <v>9219</v>
      </c>
      <c r="K1099" s="672" t="s">
        <v>2354</v>
      </c>
      <c r="L1099" s="672" t="s">
        <v>9219</v>
      </c>
    </row>
    <row r="1100" spans="1:12" x14ac:dyDescent="0.2">
      <c r="A1100" s="681" t="s">
        <v>220</v>
      </c>
      <c r="B1100" s="681" t="s">
        <v>2351</v>
      </c>
      <c r="C1100" s="736"/>
      <c r="D1100" s="736" t="s">
        <v>10239</v>
      </c>
      <c r="E1100" s="742"/>
      <c r="F1100" s="685">
        <v>25</v>
      </c>
      <c r="G1100" s="737">
        <v>3.65</v>
      </c>
      <c r="H1100" s="685">
        <v>91.25</v>
      </c>
      <c r="I1100" s="672" t="s">
        <v>9218</v>
      </c>
      <c r="J1100" s="672" t="s">
        <v>9219</v>
      </c>
      <c r="K1100" s="672" t="s">
        <v>2354</v>
      </c>
      <c r="L1100" s="672" t="s">
        <v>9219</v>
      </c>
    </row>
    <row r="1101" spans="1:12" x14ac:dyDescent="0.2">
      <c r="A1101" s="681" t="s">
        <v>220</v>
      </c>
      <c r="B1101" s="681" t="s">
        <v>2351</v>
      </c>
      <c r="C1101" s="736"/>
      <c r="D1101" s="736" t="s">
        <v>10240</v>
      </c>
      <c r="E1101" s="742"/>
      <c r="F1101" s="685">
        <v>1</v>
      </c>
      <c r="G1101" s="737">
        <v>13.35</v>
      </c>
      <c r="H1101" s="685">
        <v>13.35</v>
      </c>
      <c r="I1101" s="672" t="s">
        <v>9218</v>
      </c>
      <c r="J1101" s="672" t="s">
        <v>9219</v>
      </c>
      <c r="K1101" s="672" t="s">
        <v>2354</v>
      </c>
      <c r="L1101" s="672" t="s">
        <v>9219</v>
      </c>
    </row>
    <row r="1102" spans="1:12" x14ac:dyDescent="0.2">
      <c r="A1102" s="681" t="s">
        <v>220</v>
      </c>
      <c r="B1102" s="681" t="s">
        <v>2351</v>
      </c>
      <c r="C1102" s="736"/>
      <c r="D1102" s="736" t="s">
        <v>10241</v>
      </c>
      <c r="E1102" s="742"/>
      <c r="F1102" s="685">
        <v>1</v>
      </c>
      <c r="G1102" s="737">
        <v>2.85</v>
      </c>
      <c r="H1102" s="685">
        <v>2.85</v>
      </c>
      <c r="I1102" s="672" t="s">
        <v>9218</v>
      </c>
      <c r="J1102" s="672" t="s">
        <v>9219</v>
      </c>
      <c r="K1102" s="672" t="s">
        <v>2354</v>
      </c>
      <c r="L1102" s="672" t="s">
        <v>9219</v>
      </c>
    </row>
    <row r="1103" spans="1:12" x14ac:dyDescent="0.2">
      <c r="A1103" s="681" t="s">
        <v>220</v>
      </c>
      <c r="B1103" s="681" t="s">
        <v>2351</v>
      </c>
      <c r="C1103" s="736"/>
      <c r="D1103" s="736" t="s">
        <v>10242</v>
      </c>
      <c r="E1103" s="742"/>
      <c r="F1103" s="685">
        <v>2</v>
      </c>
      <c r="G1103" s="737">
        <v>1.63</v>
      </c>
      <c r="H1103" s="685">
        <v>3.26</v>
      </c>
      <c r="I1103" s="672" t="s">
        <v>9218</v>
      </c>
      <c r="J1103" s="672" t="s">
        <v>9219</v>
      </c>
      <c r="K1103" s="672" t="s">
        <v>2354</v>
      </c>
      <c r="L1103" s="672" t="s">
        <v>9219</v>
      </c>
    </row>
    <row r="1104" spans="1:12" x14ac:dyDescent="0.2">
      <c r="A1104" s="681" t="s">
        <v>220</v>
      </c>
      <c r="B1104" s="681" t="s">
        <v>2351</v>
      </c>
      <c r="C1104" s="736"/>
      <c r="D1104" s="736" t="s">
        <v>10243</v>
      </c>
      <c r="E1104" s="742"/>
      <c r="F1104" s="685">
        <v>2</v>
      </c>
      <c r="G1104" s="737">
        <v>0.75700000000000001</v>
      </c>
      <c r="H1104" s="685">
        <v>1.514</v>
      </c>
      <c r="I1104" s="672" t="s">
        <v>9218</v>
      </c>
      <c r="J1104" s="672" t="s">
        <v>9219</v>
      </c>
      <c r="K1104" s="672" t="s">
        <v>2354</v>
      </c>
      <c r="L1104" s="672" t="s">
        <v>9219</v>
      </c>
    </row>
    <row r="1105" spans="1:12" x14ac:dyDescent="0.2">
      <c r="A1105" s="681" t="s">
        <v>220</v>
      </c>
      <c r="B1105" s="681" t="s">
        <v>2351</v>
      </c>
      <c r="C1105" s="736"/>
      <c r="D1105" s="736" t="s">
        <v>10244</v>
      </c>
      <c r="E1105" s="742"/>
      <c r="F1105" s="685">
        <v>2</v>
      </c>
      <c r="G1105" s="737">
        <v>0</v>
      </c>
      <c r="H1105" s="685">
        <v>0</v>
      </c>
      <c r="I1105" s="672" t="s">
        <v>9218</v>
      </c>
      <c r="J1105" s="672" t="s">
        <v>9219</v>
      </c>
      <c r="K1105" s="672" t="s">
        <v>2354</v>
      </c>
      <c r="L1105" s="672" t="s">
        <v>9219</v>
      </c>
    </row>
    <row r="1106" spans="1:12" x14ac:dyDescent="0.2">
      <c r="A1106" s="681" t="s">
        <v>220</v>
      </c>
      <c r="B1106" s="681" t="s">
        <v>2351</v>
      </c>
      <c r="C1106" s="736"/>
      <c r="D1106" s="736" t="s">
        <v>10245</v>
      </c>
      <c r="E1106" s="742"/>
      <c r="F1106" s="685">
        <v>2</v>
      </c>
      <c r="G1106" s="737">
        <v>0</v>
      </c>
      <c r="H1106" s="685">
        <v>0</v>
      </c>
      <c r="I1106" s="672" t="s">
        <v>9218</v>
      </c>
      <c r="J1106" s="672" t="s">
        <v>9219</v>
      </c>
      <c r="K1106" s="672" t="s">
        <v>2354</v>
      </c>
      <c r="L1106" s="672" t="s">
        <v>9219</v>
      </c>
    </row>
    <row r="1107" spans="1:12" x14ac:dyDescent="0.2">
      <c r="A1107" s="681" t="s">
        <v>220</v>
      </c>
      <c r="B1107" s="681" t="s">
        <v>2351</v>
      </c>
      <c r="C1107" s="736"/>
      <c r="D1107" s="736" t="s">
        <v>10246</v>
      </c>
      <c r="E1107" s="742"/>
      <c r="F1107" s="685">
        <v>8</v>
      </c>
      <c r="G1107" s="737">
        <v>0</v>
      </c>
      <c r="H1107" s="685">
        <v>0</v>
      </c>
      <c r="I1107" s="672" t="s">
        <v>9218</v>
      </c>
      <c r="J1107" s="672" t="s">
        <v>9219</v>
      </c>
      <c r="K1107" s="672" t="s">
        <v>2354</v>
      </c>
      <c r="L1107" s="672" t="s">
        <v>9219</v>
      </c>
    </row>
    <row r="1108" spans="1:12" x14ac:dyDescent="0.2">
      <c r="A1108" s="681" t="s">
        <v>220</v>
      </c>
      <c r="B1108" s="681" t="s">
        <v>2351</v>
      </c>
      <c r="C1108" s="736"/>
      <c r="D1108" s="736" t="s">
        <v>10247</v>
      </c>
      <c r="E1108" s="742"/>
      <c r="F1108" s="685">
        <v>3</v>
      </c>
      <c r="G1108" s="737">
        <v>0</v>
      </c>
      <c r="H1108" s="685">
        <v>0</v>
      </c>
      <c r="I1108" s="672" t="s">
        <v>9218</v>
      </c>
      <c r="J1108" s="672" t="s">
        <v>9219</v>
      </c>
      <c r="K1108" s="672" t="s">
        <v>2354</v>
      </c>
      <c r="L1108" s="672" t="s">
        <v>9219</v>
      </c>
    </row>
    <row r="1109" spans="1:12" x14ac:dyDescent="0.2">
      <c r="A1109" s="681" t="s">
        <v>220</v>
      </c>
      <c r="B1109" s="681" t="s">
        <v>2351</v>
      </c>
      <c r="C1109" s="736"/>
      <c r="D1109" s="736" t="s">
        <v>10248</v>
      </c>
      <c r="E1109" s="742"/>
      <c r="F1109" s="685">
        <v>13</v>
      </c>
      <c r="G1109" s="737">
        <v>0</v>
      </c>
      <c r="H1109" s="685">
        <v>0</v>
      </c>
      <c r="I1109" s="672" t="s">
        <v>9218</v>
      </c>
      <c r="J1109" s="672" t="s">
        <v>9219</v>
      </c>
      <c r="K1109" s="672" t="s">
        <v>2354</v>
      </c>
      <c r="L1109" s="672" t="s">
        <v>9219</v>
      </c>
    </row>
    <row r="1110" spans="1:12" x14ac:dyDescent="0.2">
      <c r="A1110" s="681" t="s">
        <v>220</v>
      </c>
      <c r="B1110" s="681" t="s">
        <v>2351</v>
      </c>
      <c r="C1110" s="736"/>
      <c r="D1110" s="736" t="s">
        <v>10249</v>
      </c>
      <c r="E1110" s="742"/>
      <c r="F1110" s="685">
        <v>1</v>
      </c>
      <c r="G1110" s="737">
        <v>0</v>
      </c>
      <c r="H1110" s="685">
        <v>0</v>
      </c>
      <c r="I1110" s="672" t="s">
        <v>9218</v>
      </c>
      <c r="J1110" s="672" t="s">
        <v>9219</v>
      </c>
      <c r="K1110" s="672" t="s">
        <v>2354</v>
      </c>
      <c r="L1110" s="672" t="s">
        <v>9219</v>
      </c>
    </row>
    <row r="1111" spans="1:12" x14ac:dyDescent="0.2">
      <c r="A1111" s="681" t="s">
        <v>220</v>
      </c>
      <c r="B1111" s="681" t="s">
        <v>2351</v>
      </c>
      <c r="C1111" s="736"/>
      <c r="D1111" s="736" t="s">
        <v>10250</v>
      </c>
      <c r="E1111" s="742"/>
      <c r="F1111" s="685">
        <v>5</v>
      </c>
      <c r="G1111" s="737">
        <v>0</v>
      </c>
      <c r="H1111" s="685">
        <v>0</v>
      </c>
      <c r="I1111" s="672" t="s">
        <v>9218</v>
      </c>
      <c r="J1111" s="672" t="s">
        <v>9219</v>
      </c>
      <c r="K1111" s="672" t="s">
        <v>2354</v>
      </c>
      <c r="L1111" s="672" t="s">
        <v>9219</v>
      </c>
    </row>
    <row r="1112" spans="1:12" x14ac:dyDescent="0.2">
      <c r="A1112" s="681" t="s">
        <v>220</v>
      </c>
      <c r="B1112" s="681" t="s">
        <v>2351</v>
      </c>
      <c r="C1112" s="736" t="s">
        <v>3405</v>
      </c>
      <c r="D1112" s="736"/>
      <c r="E1112" s="742"/>
      <c r="F1112" s="685">
        <v>103</v>
      </c>
      <c r="G1112" s="737">
        <v>0</v>
      </c>
      <c r="H1112" s="685">
        <v>0</v>
      </c>
      <c r="I1112" s="672" t="s">
        <v>9218</v>
      </c>
      <c r="J1112" s="672" t="s">
        <v>9219</v>
      </c>
      <c r="K1112" s="672" t="s">
        <v>2354</v>
      </c>
      <c r="L1112" s="672" t="s">
        <v>9219</v>
      </c>
    </row>
    <row r="1113" spans="1:12" x14ac:dyDescent="0.2">
      <c r="A1113" s="681" t="s">
        <v>220</v>
      </c>
      <c r="B1113" s="681" t="s">
        <v>2351</v>
      </c>
      <c r="C1113" s="736" t="s">
        <v>9601</v>
      </c>
      <c r="D1113" s="736" t="s">
        <v>9602</v>
      </c>
      <c r="E1113" s="742"/>
      <c r="F1113" s="685">
        <v>1</v>
      </c>
      <c r="G1113" s="737">
        <v>204.11600000000001</v>
      </c>
      <c r="H1113" s="685">
        <v>204.11600000000001</v>
      </c>
      <c r="I1113" s="672" t="s">
        <v>9218</v>
      </c>
      <c r="J1113" s="672" t="s">
        <v>9219</v>
      </c>
      <c r="K1113" s="672" t="s">
        <v>2354</v>
      </c>
      <c r="L1113" s="672" t="s">
        <v>9219</v>
      </c>
    </row>
    <row r="1114" spans="1:12" x14ac:dyDescent="0.2">
      <c r="A1114" s="681" t="s">
        <v>220</v>
      </c>
      <c r="B1114" s="681" t="s">
        <v>2351</v>
      </c>
      <c r="C1114" s="736" t="s">
        <v>9603</v>
      </c>
      <c r="D1114" s="736" t="s">
        <v>9604</v>
      </c>
      <c r="E1114" s="742"/>
      <c r="F1114" s="685">
        <v>1</v>
      </c>
      <c r="G1114" s="737">
        <v>27.574000000000002</v>
      </c>
      <c r="H1114" s="685">
        <v>27.574000000000002</v>
      </c>
      <c r="I1114" s="672" t="s">
        <v>9218</v>
      </c>
      <c r="J1114" s="672" t="s">
        <v>9219</v>
      </c>
      <c r="K1114" s="672" t="s">
        <v>2354</v>
      </c>
      <c r="L1114" s="672" t="s">
        <v>9219</v>
      </c>
    </row>
    <row r="1115" spans="1:12" x14ac:dyDescent="0.2">
      <c r="A1115" s="681" t="s">
        <v>220</v>
      </c>
      <c r="B1115" s="681" t="s">
        <v>2351</v>
      </c>
      <c r="C1115" s="736" t="s">
        <v>9605</v>
      </c>
      <c r="D1115" s="736" t="s">
        <v>9602</v>
      </c>
      <c r="E1115" s="742"/>
      <c r="F1115" s="685">
        <v>1</v>
      </c>
      <c r="G1115" s="737">
        <v>204.11600000000001</v>
      </c>
      <c r="H1115" s="685">
        <v>204.11600000000001</v>
      </c>
      <c r="I1115" s="672" t="s">
        <v>9218</v>
      </c>
      <c r="J1115" s="672" t="s">
        <v>9219</v>
      </c>
      <c r="K1115" s="672" t="s">
        <v>2354</v>
      </c>
      <c r="L1115" s="672" t="s">
        <v>9219</v>
      </c>
    </row>
    <row r="1116" spans="1:12" x14ac:dyDescent="0.2">
      <c r="A1116" s="681" t="s">
        <v>220</v>
      </c>
      <c r="B1116" s="681" t="s">
        <v>2351</v>
      </c>
      <c r="C1116" s="736" t="s">
        <v>10251</v>
      </c>
      <c r="D1116" s="736" t="s">
        <v>9604</v>
      </c>
      <c r="E1116" s="742"/>
      <c r="F1116" s="685">
        <v>1</v>
      </c>
      <c r="G1116" s="737">
        <v>27.574000000000002</v>
      </c>
      <c r="H1116" s="685">
        <v>27.574000000000002</v>
      </c>
      <c r="I1116" s="672" t="s">
        <v>9218</v>
      </c>
      <c r="J1116" s="672" t="s">
        <v>9219</v>
      </c>
      <c r="K1116" s="672" t="s">
        <v>2354</v>
      </c>
      <c r="L1116" s="672" t="s">
        <v>9219</v>
      </c>
    </row>
    <row r="1117" spans="1:12" x14ac:dyDescent="0.2">
      <c r="A1117" s="681" t="s">
        <v>220</v>
      </c>
      <c r="B1117" s="681" t="s">
        <v>2351</v>
      </c>
      <c r="C1117" s="736" t="s">
        <v>9606</v>
      </c>
      <c r="D1117" s="736" t="s">
        <v>9602</v>
      </c>
      <c r="E1117" s="742"/>
      <c r="F1117" s="685">
        <v>1</v>
      </c>
      <c r="G1117" s="737">
        <v>204.11600000000001</v>
      </c>
      <c r="H1117" s="685">
        <v>204.11600000000001</v>
      </c>
      <c r="I1117" s="672" t="s">
        <v>9218</v>
      </c>
      <c r="J1117" s="672" t="s">
        <v>9219</v>
      </c>
      <c r="K1117" s="672" t="s">
        <v>2354</v>
      </c>
      <c r="L1117" s="672" t="s">
        <v>9219</v>
      </c>
    </row>
    <row r="1118" spans="1:12" x14ac:dyDescent="0.2">
      <c r="A1118" s="681" t="s">
        <v>220</v>
      </c>
      <c r="B1118" s="681" t="s">
        <v>2351</v>
      </c>
      <c r="C1118" s="736" t="s">
        <v>10252</v>
      </c>
      <c r="D1118" s="736" t="s">
        <v>9604</v>
      </c>
      <c r="E1118" s="742"/>
      <c r="F1118" s="685">
        <v>1</v>
      </c>
      <c r="G1118" s="737">
        <v>27.574000000000002</v>
      </c>
      <c r="H1118" s="685">
        <v>27.574000000000002</v>
      </c>
      <c r="I1118" s="672" t="s">
        <v>9218</v>
      </c>
      <c r="J1118" s="672" t="s">
        <v>9219</v>
      </c>
      <c r="K1118" s="672" t="s">
        <v>2354</v>
      </c>
      <c r="L1118" s="672" t="s">
        <v>9219</v>
      </c>
    </row>
    <row r="1119" spans="1:12" x14ac:dyDescent="0.2">
      <c r="A1119" s="681" t="s">
        <v>220</v>
      </c>
      <c r="B1119" s="681" t="s">
        <v>2351</v>
      </c>
      <c r="C1119" s="736" t="s">
        <v>9607</v>
      </c>
      <c r="D1119" s="736" t="s">
        <v>9602</v>
      </c>
      <c r="E1119" s="742"/>
      <c r="F1119" s="685">
        <v>1</v>
      </c>
      <c r="G1119" s="737">
        <v>204.11600000000001</v>
      </c>
      <c r="H1119" s="685">
        <v>204.11600000000001</v>
      </c>
      <c r="I1119" s="672" t="s">
        <v>9218</v>
      </c>
      <c r="J1119" s="672" t="s">
        <v>9219</v>
      </c>
      <c r="K1119" s="672" t="s">
        <v>2354</v>
      </c>
      <c r="L1119" s="672" t="s">
        <v>9219</v>
      </c>
    </row>
    <row r="1120" spans="1:12" x14ac:dyDescent="0.2">
      <c r="A1120" s="681" t="s">
        <v>220</v>
      </c>
      <c r="B1120" s="681" t="s">
        <v>2351</v>
      </c>
      <c r="C1120" s="736" t="s">
        <v>10253</v>
      </c>
      <c r="D1120" s="736" t="s">
        <v>9604</v>
      </c>
      <c r="E1120" s="742"/>
      <c r="F1120" s="685">
        <v>1</v>
      </c>
      <c r="G1120" s="737">
        <v>27.574000000000002</v>
      </c>
      <c r="H1120" s="685">
        <v>27.574000000000002</v>
      </c>
      <c r="I1120" s="672" t="s">
        <v>9218</v>
      </c>
      <c r="J1120" s="672" t="s">
        <v>9219</v>
      </c>
      <c r="K1120" s="672" t="s">
        <v>2354</v>
      </c>
      <c r="L1120" s="672" t="s">
        <v>9219</v>
      </c>
    </row>
    <row r="1121" spans="1:12" x14ac:dyDescent="0.2">
      <c r="A1121" s="681" t="s">
        <v>220</v>
      </c>
      <c r="B1121" s="681" t="s">
        <v>2351</v>
      </c>
      <c r="C1121" s="736" t="s">
        <v>9608</v>
      </c>
      <c r="D1121" s="736" t="s">
        <v>9609</v>
      </c>
      <c r="E1121" s="742"/>
      <c r="F1121" s="685">
        <v>1</v>
      </c>
      <c r="G1121" s="737">
        <v>874.30199999999991</v>
      </c>
      <c r="H1121" s="685">
        <v>874.30199999999991</v>
      </c>
      <c r="I1121" s="672" t="s">
        <v>9218</v>
      </c>
      <c r="J1121" s="672" t="s">
        <v>9219</v>
      </c>
      <c r="K1121" s="672" t="s">
        <v>2354</v>
      </c>
      <c r="L1121" s="672" t="s">
        <v>9219</v>
      </c>
    </row>
    <row r="1122" spans="1:12" x14ac:dyDescent="0.2">
      <c r="A1122" s="681" t="s">
        <v>220</v>
      </c>
      <c r="B1122" s="681" t="s">
        <v>2351</v>
      </c>
      <c r="C1122" s="736" t="s">
        <v>9610</v>
      </c>
      <c r="D1122" s="736" t="s">
        <v>9611</v>
      </c>
      <c r="E1122" s="742"/>
      <c r="F1122" s="685">
        <v>1</v>
      </c>
      <c r="G1122" s="737">
        <v>163.09094999999999</v>
      </c>
      <c r="H1122" s="685">
        <v>163.09094999999999</v>
      </c>
      <c r="I1122" s="672" t="s">
        <v>9218</v>
      </c>
      <c r="J1122" s="672" t="s">
        <v>9219</v>
      </c>
      <c r="K1122" s="672" t="s">
        <v>2354</v>
      </c>
      <c r="L1122" s="672" t="s">
        <v>9219</v>
      </c>
    </row>
    <row r="1123" spans="1:12" x14ac:dyDescent="0.2">
      <c r="A1123" s="681" t="s">
        <v>220</v>
      </c>
      <c r="B1123" s="681" t="s">
        <v>2351</v>
      </c>
      <c r="C1123" s="736" t="s">
        <v>9612</v>
      </c>
      <c r="D1123" s="736" t="s">
        <v>9613</v>
      </c>
      <c r="E1123" s="742"/>
      <c r="F1123" s="685">
        <v>1</v>
      </c>
      <c r="G1123" s="737">
        <v>2047.8842999999999</v>
      </c>
      <c r="H1123" s="685">
        <v>2047.8842999999999</v>
      </c>
      <c r="I1123" s="672" t="s">
        <v>9218</v>
      </c>
      <c r="J1123" s="672" t="s">
        <v>9219</v>
      </c>
      <c r="K1123" s="672" t="s">
        <v>2354</v>
      </c>
      <c r="L1123" s="672" t="s">
        <v>9219</v>
      </c>
    </row>
    <row r="1124" spans="1:12" x14ac:dyDescent="0.2">
      <c r="A1124" s="681" t="s">
        <v>220</v>
      </c>
      <c r="B1124" s="681" t="s">
        <v>2351</v>
      </c>
      <c r="C1124" s="736" t="s">
        <v>9614</v>
      </c>
      <c r="D1124" s="736" t="s">
        <v>9615</v>
      </c>
      <c r="E1124" s="742"/>
      <c r="F1124" s="685">
        <v>1</v>
      </c>
      <c r="G1124" s="737">
        <v>71.289239999999992</v>
      </c>
      <c r="H1124" s="685">
        <v>71.289239999999992</v>
      </c>
      <c r="I1124" s="672" t="s">
        <v>9218</v>
      </c>
      <c r="J1124" s="672" t="s">
        <v>9219</v>
      </c>
      <c r="K1124" s="672" t="s">
        <v>2354</v>
      </c>
      <c r="L1124" s="672" t="s">
        <v>9219</v>
      </c>
    </row>
    <row r="1125" spans="1:12" x14ac:dyDescent="0.2">
      <c r="A1125" s="681" t="s">
        <v>220</v>
      </c>
      <c r="B1125" s="681" t="s">
        <v>2351</v>
      </c>
      <c r="C1125" s="736" t="s">
        <v>9616</v>
      </c>
      <c r="D1125" s="736" t="s">
        <v>9617</v>
      </c>
      <c r="E1125" s="742"/>
      <c r="F1125" s="685">
        <v>1</v>
      </c>
      <c r="G1125" s="737">
        <v>64.362077999999997</v>
      </c>
      <c r="H1125" s="685">
        <v>64.362077999999997</v>
      </c>
      <c r="I1125" s="672" t="s">
        <v>9218</v>
      </c>
      <c r="J1125" s="672" t="s">
        <v>9219</v>
      </c>
      <c r="K1125" s="672" t="s">
        <v>2354</v>
      </c>
      <c r="L1125" s="672" t="s">
        <v>9219</v>
      </c>
    </row>
    <row r="1126" spans="1:12" x14ac:dyDescent="0.2">
      <c r="A1126" s="681" t="s">
        <v>220</v>
      </c>
      <c r="B1126" s="681" t="s">
        <v>2351</v>
      </c>
      <c r="C1126" s="736" t="s">
        <v>9618</v>
      </c>
      <c r="D1126" s="736" t="s">
        <v>9619</v>
      </c>
      <c r="E1126" s="742"/>
      <c r="F1126" s="685">
        <v>1</v>
      </c>
      <c r="G1126" s="737">
        <v>93.819329999999994</v>
      </c>
      <c r="H1126" s="685">
        <v>93.819329999999994</v>
      </c>
      <c r="I1126" s="672" t="s">
        <v>9218</v>
      </c>
      <c r="J1126" s="672" t="s">
        <v>9219</v>
      </c>
      <c r="K1126" s="672" t="s">
        <v>2354</v>
      </c>
      <c r="L1126" s="672" t="s">
        <v>9219</v>
      </c>
    </row>
    <row r="1127" spans="1:12" x14ac:dyDescent="0.2">
      <c r="A1127" s="681" t="s">
        <v>220</v>
      </c>
      <c r="B1127" s="681" t="s">
        <v>2351</v>
      </c>
      <c r="C1127" s="736" t="s">
        <v>9620</v>
      </c>
      <c r="D1127" s="736" t="s">
        <v>9621</v>
      </c>
      <c r="E1127" s="742"/>
      <c r="F1127" s="685">
        <v>1</v>
      </c>
      <c r="G1127" s="737">
        <v>93.819329999999994</v>
      </c>
      <c r="H1127" s="685">
        <v>93.819329999999994</v>
      </c>
      <c r="I1127" s="672" t="s">
        <v>9218</v>
      </c>
      <c r="J1127" s="672" t="s">
        <v>9219</v>
      </c>
      <c r="K1127" s="672" t="s">
        <v>2354</v>
      </c>
      <c r="L1127" s="672" t="s">
        <v>9219</v>
      </c>
    </row>
    <row r="1128" spans="1:12" x14ac:dyDescent="0.2">
      <c r="A1128" s="681" t="s">
        <v>220</v>
      </c>
      <c r="B1128" s="681" t="s">
        <v>2351</v>
      </c>
      <c r="C1128" s="736" t="s">
        <v>9622</v>
      </c>
      <c r="D1128" s="736" t="s">
        <v>9623</v>
      </c>
      <c r="E1128" s="742"/>
      <c r="F1128" s="685">
        <v>1</v>
      </c>
      <c r="G1128" s="737">
        <v>93.819329999999994</v>
      </c>
      <c r="H1128" s="685">
        <v>93.819329999999994</v>
      </c>
      <c r="I1128" s="672" t="s">
        <v>9218</v>
      </c>
      <c r="J1128" s="672" t="s">
        <v>9219</v>
      </c>
      <c r="K1128" s="672" t="s">
        <v>2354</v>
      </c>
      <c r="L1128" s="672" t="s">
        <v>9219</v>
      </c>
    </row>
    <row r="1129" spans="1:12" x14ac:dyDescent="0.2">
      <c r="A1129" s="681" t="s">
        <v>220</v>
      </c>
      <c r="B1129" s="681" t="s">
        <v>2351</v>
      </c>
      <c r="C1129" s="736" t="s">
        <v>9624</v>
      </c>
      <c r="D1129" s="736" t="s">
        <v>9625</v>
      </c>
      <c r="E1129" s="742"/>
      <c r="F1129" s="685">
        <v>1</v>
      </c>
      <c r="G1129" s="737">
        <v>103.13400900000001</v>
      </c>
      <c r="H1129" s="685">
        <v>103.13400900000001</v>
      </c>
      <c r="I1129" s="672" t="s">
        <v>9218</v>
      </c>
      <c r="J1129" s="672" t="s">
        <v>9219</v>
      </c>
      <c r="K1129" s="672" t="s">
        <v>2354</v>
      </c>
      <c r="L1129" s="672" t="s">
        <v>9219</v>
      </c>
    </row>
    <row r="1130" spans="1:12" x14ac:dyDescent="0.2">
      <c r="A1130" s="681" t="s">
        <v>220</v>
      </c>
      <c r="B1130" s="681" t="s">
        <v>2351</v>
      </c>
      <c r="C1130" s="736" t="s">
        <v>9626</v>
      </c>
      <c r="D1130" s="736" t="s">
        <v>9627</v>
      </c>
      <c r="E1130" s="742"/>
      <c r="F1130" s="685">
        <v>1</v>
      </c>
      <c r="G1130" s="737">
        <v>171.83396999999999</v>
      </c>
      <c r="H1130" s="685">
        <v>171.83396999999999</v>
      </c>
      <c r="I1130" s="672" t="s">
        <v>9218</v>
      </c>
      <c r="J1130" s="672" t="s">
        <v>9219</v>
      </c>
      <c r="K1130" s="672" t="s">
        <v>2354</v>
      </c>
      <c r="L1130" s="672" t="s">
        <v>9219</v>
      </c>
    </row>
    <row r="1131" spans="1:12" x14ac:dyDescent="0.2">
      <c r="A1131" s="681" t="s">
        <v>220</v>
      </c>
      <c r="B1131" s="681" t="s">
        <v>2351</v>
      </c>
      <c r="C1131" s="736" t="s">
        <v>9628</v>
      </c>
      <c r="D1131" s="736" t="s">
        <v>9629</v>
      </c>
      <c r="E1131" s="742"/>
      <c r="F1131" s="685">
        <v>1</v>
      </c>
      <c r="G1131" s="737">
        <v>101.85618299999999</v>
      </c>
      <c r="H1131" s="685">
        <v>101.85618299999999</v>
      </c>
      <c r="I1131" s="672" t="s">
        <v>9218</v>
      </c>
      <c r="J1131" s="672" t="s">
        <v>9219</v>
      </c>
      <c r="K1131" s="672" t="s">
        <v>2354</v>
      </c>
      <c r="L1131" s="672" t="s">
        <v>9219</v>
      </c>
    </row>
    <row r="1132" spans="1:12" x14ac:dyDescent="0.2">
      <c r="A1132" s="681" t="s">
        <v>220</v>
      </c>
      <c r="B1132" s="681" t="s">
        <v>2351</v>
      </c>
      <c r="C1132" s="736" t="s">
        <v>9630</v>
      </c>
      <c r="D1132" s="736" t="s">
        <v>9631</v>
      </c>
      <c r="E1132" s="742"/>
      <c r="F1132" s="685">
        <v>6</v>
      </c>
      <c r="G1132" s="737">
        <v>106.59758999999998</v>
      </c>
      <c r="H1132" s="685">
        <v>639.58553999999992</v>
      </c>
      <c r="I1132" s="672" t="s">
        <v>9218</v>
      </c>
      <c r="J1132" s="672" t="s">
        <v>9219</v>
      </c>
      <c r="K1132" s="672" t="s">
        <v>2354</v>
      </c>
      <c r="L1132" s="672" t="s">
        <v>9219</v>
      </c>
    </row>
    <row r="1133" spans="1:12" x14ac:dyDescent="0.2">
      <c r="A1133" s="681" t="s">
        <v>220</v>
      </c>
      <c r="B1133" s="681" t="s">
        <v>2351</v>
      </c>
      <c r="C1133" s="736" t="s">
        <v>9632</v>
      </c>
      <c r="D1133" s="736" t="s">
        <v>9633</v>
      </c>
      <c r="E1133" s="742"/>
      <c r="F1133" s="685">
        <v>6</v>
      </c>
      <c r="G1133" s="737">
        <v>152.66657999999998</v>
      </c>
      <c r="H1133" s="685">
        <v>915.99947999999995</v>
      </c>
      <c r="I1133" s="672" t="s">
        <v>9218</v>
      </c>
      <c r="J1133" s="672" t="s">
        <v>9219</v>
      </c>
      <c r="K1133" s="672" t="s">
        <v>2354</v>
      </c>
      <c r="L1133" s="672" t="s">
        <v>9219</v>
      </c>
    </row>
    <row r="1134" spans="1:12" x14ac:dyDescent="0.2">
      <c r="A1134" s="681" t="s">
        <v>220</v>
      </c>
      <c r="B1134" s="681" t="s">
        <v>2351</v>
      </c>
      <c r="C1134" s="736" t="s">
        <v>9634</v>
      </c>
      <c r="D1134" s="736" t="s">
        <v>9635</v>
      </c>
      <c r="E1134" s="742"/>
      <c r="F1134" s="685">
        <v>3</v>
      </c>
      <c r="G1134" s="737">
        <v>1028.9862000000001</v>
      </c>
      <c r="H1134" s="685">
        <v>3086.9585999999999</v>
      </c>
      <c r="I1134" s="672" t="s">
        <v>9218</v>
      </c>
      <c r="J1134" s="672" t="s">
        <v>9219</v>
      </c>
      <c r="K1134" s="672" t="s">
        <v>2354</v>
      </c>
      <c r="L1134" s="672" t="s">
        <v>9219</v>
      </c>
    </row>
    <row r="1135" spans="1:12" x14ac:dyDescent="0.2">
      <c r="A1135" s="681" t="s">
        <v>220</v>
      </c>
      <c r="B1135" s="681" t="s">
        <v>2351</v>
      </c>
      <c r="C1135" s="736" t="s">
        <v>9628</v>
      </c>
      <c r="D1135" s="736" t="s">
        <v>9629</v>
      </c>
      <c r="E1135" s="742"/>
      <c r="F1135" s="685">
        <v>3</v>
      </c>
      <c r="G1135" s="737">
        <v>101.85618299999999</v>
      </c>
      <c r="H1135" s="685">
        <v>305.56854899999996</v>
      </c>
      <c r="I1135" s="672" t="s">
        <v>9218</v>
      </c>
      <c r="J1135" s="672" t="s">
        <v>9219</v>
      </c>
      <c r="K1135" s="672" t="s">
        <v>2354</v>
      </c>
      <c r="L1135" s="672" t="s">
        <v>9219</v>
      </c>
    </row>
    <row r="1136" spans="1:12" x14ac:dyDescent="0.2">
      <c r="A1136" s="681" t="s">
        <v>220</v>
      </c>
      <c r="B1136" s="681" t="s">
        <v>2351</v>
      </c>
      <c r="C1136" s="736"/>
      <c r="D1136" s="736" t="s">
        <v>10254</v>
      </c>
      <c r="E1136" s="742"/>
      <c r="F1136" s="685">
        <v>50</v>
      </c>
      <c r="G1136" s="737">
        <v>7.0000000000000007E-2</v>
      </c>
      <c r="H1136" s="685">
        <v>3.5000000000000004</v>
      </c>
      <c r="I1136" s="672" t="s">
        <v>9218</v>
      </c>
      <c r="J1136" s="672" t="s">
        <v>9219</v>
      </c>
      <c r="K1136" s="672" t="s">
        <v>2354</v>
      </c>
      <c r="L1136" s="672" t="s">
        <v>9219</v>
      </c>
    </row>
    <row r="1137" spans="1:12" x14ac:dyDescent="0.2">
      <c r="A1137" s="681" t="s">
        <v>220</v>
      </c>
      <c r="B1137" s="681" t="s">
        <v>2351</v>
      </c>
      <c r="C1137" s="736"/>
      <c r="D1137" s="736" t="s">
        <v>10255</v>
      </c>
      <c r="E1137" s="742"/>
      <c r="F1137" s="685">
        <v>50</v>
      </c>
      <c r="G1137" s="737">
        <v>0.42</v>
      </c>
      <c r="H1137" s="685">
        <v>21</v>
      </c>
      <c r="I1137" s="672" t="s">
        <v>9218</v>
      </c>
      <c r="J1137" s="672" t="s">
        <v>9219</v>
      </c>
      <c r="K1137" s="672" t="s">
        <v>2354</v>
      </c>
      <c r="L1137" s="672" t="s">
        <v>9219</v>
      </c>
    </row>
    <row r="1138" spans="1:12" x14ac:dyDescent="0.2">
      <c r="A1138" s="681" t="s">
        <v>220</v>
      </c>
      <c r="B1138" s="681" t="s">
        <v>2351</v>
      </c>
      <c r="C1138" s="736"/>
      <c r="D1138" s="736" t="s">
        <v>10256</v>
      </c>
      <c r="E1138" s="742"/>
      <c r="F1138" s="685">
        <v>35</v>
      </c>
      <c r="G1138" s="737">
        <v>0.83</v>
      </c>
      <c r="H1138" s="685">
        <v>29.049999999999997</v>
      </c>
      <c r="I1138" s="672" t="s">
        <v>9218</v>
      </c>
      <c r="J1138" s="672" t="s">
        <v>9219</v>
      </c>
      <c r="K1138" s="672" t="s">
        <v>2354</v>
      </c>
      <c r="L1138" s="672" t="s">
        <v>9219</v>
      </c>
    </row>
    <row r="1139" spans="1:12" x14ac:dyDescent="0.2">
      <c r="A1139" s="681" t="s">
        <v>220</v>
      </c>
      <c r="B1139" s="681" t="s">
        <v>2351</v>
      </c>
      <c r="C1139" s="736"/>
      <c r="D1139" s="736" t="s">
        <v>10257</v>
      </c>
      <c r="E1139" s="742"/>
      <c r="F1139" s="685">
        <v>20</v>
      </c>
      <c r="G1139" s="737">
        <v>0.72</v>
      </c>
      <c r="H1139" s="685">
        <v>14.399999999999999</v>
      </c>
      <c r="I1139" s="672" t="s">
        <v>9218</v>
      </c>
      <c r="J1139" s="672" t="s">
        <v>9219</v>
      </c>
      <c r="K1139" s="672" t="s">
        <v>2354</v>
      </c>
      <c r="L1139" s="672" t="s">
        <v>9219</v>
      </c>
    </row>
    <row r="1140" spans="1:12" x14ac:dyDescent="0.2">
      <c r="A1140" s="681" t="s">
        <v>220</v>
      </c>
      <c r="B1140" s="681" t="s">
        <v>2351</v>
      </c>
      <c r="C1140" s="736"/>
      <c r="D1140" s="736" t="s">
        <v>10258</v>
      </c>
      <c r="E1140" s="742"/>
      <c r="F1140" s="685">
        <v>15</v>
      </c>
      <c r="G1140" s="737">
        <v>0.65</v>
      </c>
      <c r="H1140" s="685">
        <v>9.75</v>
      </c>
      <c r="I1140" s="672" t="s">
        <v>9218</v>
      </c>
      <c r="J1140" s="672" t="s">
        <v>9219</v>
      </c>
      <c r="K1140" s="672" t="s">
        <v>2354</v>
      </c>
      <c r="L1140" s="672" t="s">
        <v>9219</v>
      </c>
    </row>
    <row r="1141" spans="1:12" x14ac:dyDescent="0.2">
      <c r="A1141" s="681" t="s">
        <v>220</v>
      </c>
      <c r="B1141" s="681" t="s">
        <v>2351</v>
      </c>
      <c r="C1141" s="736"/>
      <c r="D1141" s="736" t="s">
        <v>10259</v>
      </c>
      <c r="E1141" s="742"/>
      <c r="F1141" s="685">
        <v>60</v>
      </c>
      <c r="G1141" s="737">
        <v>0.45</v>
      </c>
      <c r="H1141" s="685">
        <v>27</v>
      </c>
      <c r="I1141" s="672" t="s">
        <v>9218</v>
      </c>
      <c r="J1141" s="672" t="s">
        <v>9219</v>
      </c>
      <c r="K1141" s="672" t="s">
        <v>2354</v>
      </c>
      <c r="L1141" s="672" t="s">
        <v>9219</v>
      </c>
    </row>
    <row r="1142" spans="1:12" x14ac:dyDescent="0.2">
      <c r="A1142" s="681" t="s">
        <v>220</v>
      </c>
      <c r="B1142" s="681" t="s">
        <v>2351</v>
      </c>
      <c r="C1142" s="736"/>
      <c r="D1142" s="736" t="s">
        <v>10260</v>
      </c>
      <c r="E1142" s="742"/>
      <c r="F1142" s="685">
        <v>65</v>
      </c>
      <c r="G1142" s="737">
        <v>0.98</v>
      </c>
      <c r="H1142" s="685">
        <v>63.699999999999996</v>
      </c>
      <c r="I1142" s="672" t="s">
        <v>9218</v>
      </c>
      <c r="J1142" s="672" t="s">
        <v>9219</v>
      </c>
      <c r="K1142" s="672" t="s">
        <v>2354</v>
      </c>
      <c r="L1142" s="672" t="s">
        <v>9219</v>
      </c>
    </row>
    <row r="1143" spans="1:12" x14ac:dyDescent="0.2">
      <c r="A1143" s="681" t="s">
        <v>220</v>
      </c>
      <c r="B1143" s="681" t="s">
        <v>2351</v>
      </c>
      <c r="C1143" s="736"/>
      <c r="D1143" s="736" t="s">
        <v>10261</v>
      </c>
      <c r="E1143" s="742"/>
      <c r="F1143" s="685">
        <v>45</v>
      </c>
      <c r="G1143" s="737">
        <v>1.0349999999999999</v>
      </c>
      <c r="H1143" s="685">
        <v>46.574999999999996</v>
      </c>
      <c r="I1143" s="672" t="s">
        <v>9218</v>
      </c>
      <c r="J1143" s="672" t="s">
        <v>9219</v>
      </c>
      <c r="K1143" s="672" t="s">
        <v>2354</v>
      </c>
      <c r="L1143" s="672" t="s">
        <v>9219</v>
      </c>
    </row>
    <row r="1144" spans="1:12" x14ac:dyDescent="0.2">
      <c r="A1144" s="681" t="s">
        <v>220</v>
      </c>
      <c r="B1144" s="681" t="s">
        <v>2351</v>
      </c>
      <c r="C1144" s="736"/>
      <c r="D1144" s="736" t="s">
        <v>10262</v>
      </c>
      <c r="E1144" s="742"/>
      <c r="F1144" s="685">
        <v>120</v>
      </c>
      <c r="G1144" s="737">
        <v>0.92</v>
      </c>
      <c r="H1144" s="685">
        <v>110.4</v>
      </c>
      <c r="I1144" s="672" t="s">
        <v>9218</v>
      </c>
      <c r="J1144" s="672" t="s">
        <v>9219</v>
      </c>
      <c r="K1144" s="672" t="s">
        <v>2354</v>
      </c>
      <c r="L1144" s="672" t="s">
        <v>9219</v>
      </c>
    </row>
    <row r="1145" spans="1:12" x14ac:dyDescent="0.2">
      <c r="A1145" s="681" t="s">
        <v>220</v>
      </c>
      <c r="B1145" s="681" t="s">
        <v>2351</v>
      </c>
      <c r="C1145" s="736"/>
      <c r="D1145" s="736" t="s">
        <v>10263</v>
      </c>
      <c r="E1145" s="742"/>
      <c r="F1145" s="685">
        <v>1</v>
      </c>
      <c r="G1145" s="737">
        <v>473.8</v>
      </c>
      <c r="H1145" s="685">
        <v>473.8</v>
      </c>
      <c r="I1145" s="672" t="s">
        <v>9218</v>
      </c>
      <c r="J1145" s="672" t="s">
        <v>9219</v>
      </c>
      <c r="K1145" s="672" t="s">
        <v>2354</v>
      </c>
      <c r="L1145" s="672" t="s">
        <v>9219</v>
      </c>
    </row>
    <row r="1146" spans="1:12" x14ac:dyDescent="0.2">
      <c r="A1146" s="681" t="s">
        <v>220</v>
      </c>
      <c r="B1146" s="681" t="s">
        <v>2351</v>
      </c>
      <c r="C1146" s="736"/>
      <c r="D1146" s="736" t="s">
        <v>10264</v>
      </c>
      <c r="E1146" s="742"/>
      <c r="F1146" s="685">
        <v>1</v>
      </c>
      <c r="G1146" s="737">
        <v>1709.835</v>
      </c>
      <c r="H1146" s="685">
        <v>1709.835</v>
      </c>
      <c r="I1146" s="672" t="s">
        <v>9218</v>
      </c>
      <c r="J1146" s="672" t="s">
        <v>9219</v>
      </c>
      <c r="K1146" s="672" t="s">
        <v>2354</v>
      </c>
      <c r="L1146" s="672" t="s">
        <v>9219</v>
      </c>
    </row>
    <row r="1147" spans="1:12" x14ac:dyDescent="0.2">
      <c r="A1147" s="681" t="s">
        <v>220</v>
      </c>
      <c r="B1147" s="681" t="s">
        <v>2351</v>
      </c>
      <c r="C1147" s="736"/>
      <c r="D1147" s="736" t="s">
        <v>10265</v>
      </c>
      <c r="E1147" s="742"/>
      <c r="F1147" s="685">
        <v>1</v>
      </c>
      <c r="G1147" s="737">
        <v>268.61020000000002</v>
      </c>
      <c r="H1147" s="685">
        <v>268.61020000000002</v>
      </c>
      <c r="I1147" s="672" t="s">
        <v>9218</v>
      </c>
      <c r="J1147" s="672" t="s">
        <v>9219</v>
      </c>
      <c r="K1147" s="672" t="s">
        <v>2354</v>
      </c>
      <c r="L1147" s="672" t="s">
        <v>9219</v>
      </c>
    </row>
    <row r="1148" spans="1:12" x14ac:dyDescent="0.2">
      <c r="A1148" s="681" t="s">
        <v>220</v>
      </c>
      <c r="B1148" s="681" t="s">
        <v>2351</v>
      </c>
      <c r="C1148" s="736"/>
      <c r="D1148" s="736" t="s">
        <v>10266</v>
      </c>
      <c r="E1148" s="742"/>
      <c r="F1148" s="685">
        <v>1</v>
      </c>
      <c r="G1148" s="737">
        <v>1171.117</v>
      </c>
      <c r="H1148" s="685">
        <v>1171.117</v>
      </c>
      <c r="I1148" s="672" t="s">
        <v>9218</v>
      </c>
      <c r="J1148" s="672" t="s">
        <v>9219</v>
      </c>
      <c r="K1148" s="672" t="s">
        <v>2354</v>
      </c>
      <c r="L1148" s="672" t="s">
        <v>9219</v>
      </c>
    </row>
    <row r="1149" spans="1:12" x14ac:dyDescent="0.2">
      <c r="A1149" s="681" t="s">
        <v>220</v>
      </c>
      <c r="B1149" s="681" t="s">
        <v>2351</v>
      </c>
      <c r="C1149" s="736"/>
      <c r="D1149" s="736" t="s">
        <v>10267</v>
      </c>
      <c r="E1149" s="742"/>
      <c r="F1149" s="685">
        <v>1</v>
      </c>
      <c r="G1149" s="737">
        <v>286.30805000000004</v>
      </c>
      <c r="H1149" s="685">
        <v>286.30805000000004</v>
      </c>
      <c r="I1149" s="672" t="s">
        <v>9218</v>
      </c>
      <c r="J1149" s="672" t="s">
        <v>9219</v>
      </c>
      <c r="K1149" s="672" t="s">
        <v>2354</v>
      </c>
      <c r="L1149" s="672" t="s">
        <v>9219</v>
      </c>
    </row>
    <row r="1150" spans="1:12" x14ac:dyDescent="0.2">
      <c r="A1150" s="681" t="s">
        <v>220</v>
      </c>
      <c r="B1150" s="681" t="s">
        <v>2351</v>
      </c>
      <c r="C1150" s="736"/>
      <c r="D1150" s="736" t="s">
        <v>10268</v>
      </c>
      <c r="E1150" s="742"/>
      <c r="F1150" s="685">
        <v>1</v>
      </c>
      <c r="G1150" s="737">
        <v>931</v>
      </c>
      <c r="H1150" s="685">
        <v>931</v>
      </c>
      <c r="I1150" s="672" t="s">
        <v>9218</v>
      </c>
      <c r="J1150" s="672" t="s">
        <v>9219</v>
      </c>
      <c r="K1150" s="672" t="s">
        <v>2354</v>
      </c>
      <c r="L1150" s="672" t="s">
        <v>9219</v>
      </c>
    </row>
    <row r="1151" spans="1:12" x14ac:dyDescent="0.2">
      <c r="A1151" s="681" t="s">
        <v>220</v>
      </c>
      <c r="B1151" s="681" t="s">
        <v>2351</v>
      </c>
      <c r="C1151" s="736"/>
      <c r="D1151" s="736" t="s">
        <v>10269</v>
      </c>
      <c r="E1151" s="742"/>
      <c r="F1151" s="685">
        <v>4</v>
      </c>
      <c r="G1151" s="737">
        <v>369.72</v>
      </c>
      <c r="H1151" s="685">
        <v>1478.88</v>
      </c>
      <c r="I1151" s="672" t="s">
        <v>9218</v>
      </c>
      <c r="J1151" s="672" t="s">
        <v>9219</v>
      </c>
      <c r="K1151" s="672" t="s">
        <v>2354</v>
      </c>
      <c r="L1151" s="672" t="s">
        <v>9219</v>
      </c>
    </row>
    <row r="1152" spans="1:12" x14ac:dyDescent="0.2">
      <c r="A1152" s="681" t="s">
        <v>220</v>
      </c>
      <c r="B1152" s="681" t="s">
        <v>2351</v>
      </c>
      <c r="C1152" s="736"/>
      <c r="D1152" s="736" t="s">
        <v>10270</v>
      </c>
      <c r="E1152" s="742"/>
      <c r="F1152" s="685">
        <v>2</v>
      </c>
      <c r="G1152" s="737">
        <v>931</v>
      </c>
      <c r="H1152" s="685">
        <v>1862</v>
      </c>
      <c r="I1152" s="672" t="s">
        <v>9218</v>
      </c>
      <c r="J1152" s="672" t="s">
        <v>9219</v>
      </c>
      <c r="K1152" s="672" t="s">
        <v>2354</v>
      </c>
      <c r="L1152" s="672" t="s">
        <v>9219</v>
      </c>
    </row>
    <row r="1153" spans="1:12" x14ac:dyDescent="0.2">
      <c r="A1153" s="681" t="s">
        <v>220</v>
      </c>
      <c r="B1153" s="681" t="s">
        <v>2351</v>
      </c>
      <c r="C1153" s="736"/>
      <c r="D1153" s="736" t="s">
        <v>10271</v>
      </c>
      <c r="E1153" s="742"/>
      <c r="F1153" s="685">
        <v>1</v>
      </c>
      <c r="G1153" s="737">
        <v>780.46699999999998</v>
      </c>
      <c r="H1153" s="685">
        <v>780.46699999999998</v>
      </c>
      <c r="I1153" s="672" t="s">
        <v>9218</v>
      </c>
      <c r="J1153" s="672" t="s">
        <v>9219</v>
      </c>
      <c r="K1153" s="672" t="s">
        <v>2354</v>
      </c>
      <c r="L1153" s="672" t="s">
        <v>9219</v>
      </c>
    </row>
    <row r="1154" spans="1:12" x14ac:dyDescent="0.2">
      <c r="A1154" s="681" t="s">
        <v>220</v>
      </c>
      <c r="B1154" s="681" t="s">
        <v>2351</v>
      </c>
      <c r="C1154" s="736"/>
      <c r="D1154" s="736" t="s">
        <v>10272</v>
      </c>
      <c r="E1154" s="742"/>
      <c r="F1154" s="685">
        <v>1</v>
      </c>
      <c r="G1154" s="737">
        <v>1780.8</v>
      </c>
      <c r="H1154" s="685">
        <v>1780.8</v>
      </c>
      <c r="I1154" s="672" t="s">
        <v>9218</v>
      </c>
      <c r="J1154" s="672" t="s">
        <v>9219</v>
      </c>
      <c r="K1154" s="672" t="s">
        <v>2354</v>
      </c>
      <c r="L1154" s="672" t="s">
        <v>9219</v>
      </c>
    </row>
    <row r="1155" spans="1:12" x14ac:dyDescent="0.2">
      <c r="A1155" s="681" t="s">
        <v>220</v>
      </c>
      <c r="B1155" s="681" t="s">
        <v>2351</v>
      </c>
      <c r="C1155" s="736"/>
      <c r="D1155" s="736" t="s">
        <v>10273</v>
      </c>
      <c r="E1155" s="742"/>
      <c r="F1155" s="685">
        <v>1</v>
      </c>
      <c r="G1155" s="737">
        <v>221.7</v>
      </c>
      <c r="H1155" s="685">
        <v>221.7</v>
      </c>
      <c r="I1155" s="672" t="s">
        <v>9218</v>
      </c>
      <c r="J1155" s="672" t="s">
        <v>9219</v>
      </c>
      <c r="K1155" s="672" t="s">
        <v>2354</v>
      </c>
      <c r="L1155" s="672" t="s">
        <v>9219</v>
      </c>
    </row>
    <row r="1156" spans="1:12" x14ac:dyDescent="0.2">
      <c r="A1156" s="681" t="s">
        <v>220</v>
      </c>
      <c r="B1156" s="681" t="s">
        <v>2351</v>
      </c>
      <c r="C1156" s="736"/>
      <c r="D1156" s="736" t="s">
        <v>10274</v>
      </c>
      <c r="E1156" s="742"/>
      <c r="F1156" s="685">
        <v>1</v>
      </c>
      <c r="G1156" s="737">
        <v>591.56100000000004</v>
      </c>
      <c r="H1156" s="685">
        <v>591.56100000000004</v>
      </c>
      <c r="I1156" s="672" t="s">
        <v>9218</v>
      </c>
      <c r="J1156" s="672" t="s">
        <v>9219</v>
      </c>
      <c r="K1156" s="672" t="s">
        <v>2354</v>
      </c>
      <c r="L1156" s="672" t="s">
        <v>9219</v>
      </c>
    </row>
    <row r="1157" spans="1:12" x14ac:dyDescent="0.2">
      <c r="A1157" s="681" t="s">
        <v>220</v>
      </c>
      <c r="B1157" s="681" t="s">
        <v>2351</v>
      </c>
      <c r="C1157" s="736"/>
      <c r="D1157" s="736" t="s">
        <v>10275</v>
      </c>
      <c r="E1157" s="742"/>
      <c r="F1157" s="685">
        <v>6</v>
      </c>
      <c r="G1157" s="737">
        <v>292.69499999999999</v>
      </c>
      <c r="H1157" s="685">
        <v>1756.17</v>
      </c>
      <c r="I1157" s="672" t="s">
        <v>9218</v>
      </c>
      <c r="J1157" s="672" t="s">
        <v>9219</v>
      </c>
      <c r="K1157" s="672" t="s">
        <v>2354</v>
      </c>
      <c r="L1157" s="672" t="s">
        <v>9219</v>
      </c>
    </row>
    <row r="1158" spans="1:12" x14ac:dyDescent="0.2">
      <c r="A1158" s="681" t="s">
        <v>220</v>
      </c>
      <c r="B1158" s="681" t="s">
        <v>2351</v>
      </c>
      <c r="C1158" s="736"/>
      <c r="D1158" s="736" t="s">
        <v>10276</v>
      </c>
      <c r="E1158" s="742" t="s">
        <v>2387</v>
      </c>
      <c r="F1158" s="743">
        <v>30</v>
      </c>
      <c r="G1158" s="737">
        <v>46.215000000000003</v>
      </c>
      <c r="H1158" s="685">
        <v>1386.45</v>
      </c>
      <c r="I1158" s="672" t="s">
        <v>9218</v>
      </c>
      <c r="J1158" s="672" t="s">
        <v>9219</v>
      </c>
      <c r="K1158" s="672" t="s">
        <v>2354</v>
      </c>
      <c r="L1158" s="672" t="s">
        <v>9219</v>
      </c>
    </row>
    <row r="1159" spans="1:12" x14ac:dyDescent="0.2">
      <c r="A1159" s="681" t="s">
        <v>220</v>
      </c>
      <c r="B1159" s="681" t="s">
        <v>2351</v>
      </c>
      <c r="C1159" s="736" t="s">
        <v>10277</v>
      </c>
      <c r="D1159" s="736" t="s">
        <v>10278</v>
      </c>
      <c r="E1159" s="742"/>
      <c r="F1159" s="685">
        <v>200</v>
      </c>
      <c r="G1159" s="737">
        <v>21.707999999999998</v>
      </c>
      <c r="H1159" s="685">
        <v>4341.5999999999995</v>
      </c>
      <c r="I1159" s="672" t="s">
        <v>9218</v>
      </c>
      <c r="J1159" s="672" t="s">
        <v>9219</v>
      </c>
      <c r="K1159" s="672" t="s">
        <v>2354</v>
      </c>
      <c r="L1159" s="672" t="s">
        <v>9219</v>
      </c>
    </row>
    <row r="1160" spans="1:12" x14ac:dyDescent="0.2">
      <c r="A1160" s="681" t="s">
        <v>220</v>
      </c>
      <c r="B1160" s="681" t="s">
        <v>2351</v>
      </c>
      <c r="C1160" s="736" t="s">
        <v>10279</v>
      </c>
      <c r="D1160" s="736" t="s">
        <v>10280</v>
      </c>
      <c r="E1160" s="742"/>
      <c r="F1160" s="685">
        <v>200</v>
      </c>
      <c r="G1160" s="737">
        <v>21.707999999999998</v>
      </c>
      <c r="H1160" s="685">
        <v>4341.5999999999995</v>
      </c>
      <c r="I1160" s="672" t="s">
        <v>9218</v>
      </c>
      <c r="J1160" s="672" t="s">
        <v>9219</v>
      </c>
      <c r="K1160" s="672" t="s">
        <v>2354</v>
      </c>
      <c r="L1160" s="672" t="s">
        <v>9219</v>
      </c>
    </row>
    <row r="1161" spans="1:12" x14ac:dyDescent="0.2">
      <c r="A1161" s="681" t="s">
        <v>220</v>
      </c>
      <c r="B1161" s="681" t="s">
        <v>2351</v>
      </c>
      <c r="C1161" s="736"/>
      <c r="D1161" s="736" t="s">
        <v>10281</v>
      </c>
      <c r="E1161" s="742"/>
      <c r="F1161" s="685">
        <v>1</v>
      </c>
      <c r="G1161" s="737">
        <v>3310</v>
      </c>
      <c r="H1161" s="685">
        <v>3310</v>
      </c>
      <c r="I1161" s="672" t="s">
        <v>9218</v>
      </c>
      <c r="J1161" s="672" t="s">
        <v>9219</v>
      </c>
      <c r="K1161" s="672" t="s">
        <v>2354</v>
      </c>
      <c r="L1161" s="672" t="s">
        <v>9219</v>
      </c>
    </row>
    <row r="1162" spans="1:12" x14ac:dyDescent="0.2">
      <c r="A1162" s="681" t="s">
        <v>220</v>
      </c>
      <c r="B1162" s="681" t="s">
        <v>2351</v>
      </c>
      <c r="C1162" s="736"/>
      <c r="D1162" s="736" t="s">
        <v>10282</v>
      </c>
      <c r="E1162" s="742"/>
      <c r="F1162" s="685">
        <v>1</v>
      </c>
      <c r="G1162" s="737">
        <v>850</v>
      </c>
      <c r="H1162" s="685">
        <v>850</v>
      </c>
      <c r="I1162" s="672" t="s">
        <v>9218</v>
      </c>
      <c r="J1162" s="672" t="s">
        <v>9219</v>
      </c>
      <c r="K1162" s="672" t="s">
        <v>2354</v>
      </c>
      <c r="L1162" s="672" t="s">
        <v>9219</v>
      </c>
    </row>
    <row r="1163" spans="1:12" x14ac:dyDescent="0.2">
      <c r="A1163" s="681" t="s">
        <v>220</v>
      </c>
      <c r="B1163" s="681" t="s">
        <v>2351</v>
      </c>
      <c r="C1163" s="736"/>
      <c r="D1163" s="736" t="s">
        <v>10283</v>
      </c>
      <c r="E1163" s="742"/>
      <c r="F1163" s="685">
        <v>1</v>
      </c>
      <c r="G1163" s="737">
        <v>452.54</v>
      </c>
      <c r="H1163" s="685">
        <v>452.54</v>
      </c>
      <c r="I1163" s="672" t="s">
        <v>9218</v>
      </c>
      <c r="J1163" s="672" t="s">
        <v>9219</v>
      </c>
      <c r="K1163" s="672" t="s">
        <v>2354</v>
      </c>
      <c r="L1163" s="672" t="s">
        <v>9219</v>
      </c>
    </row>
    <row r="1164" spans="1:12" x14ac:dyDescent="0.2">
      <c r="A1164" s="681" t="s">
        <v>220</v>
      </c>
      <c r="B1164" s="681" t="s">
        <v>2351</v>
      </c>
      <c r="C1164" s="736"/>
      <c r="D1164" s="736" t="s">
        <v>10284</v>
      </c>
      <c r="E1164" s="742"/>
      <c r="F1164" s="685">
        <v>2</v>
      </c>
      <c r="G1164" s="737">
        <v>320</v>
      </c>
      <c r="H1164" s="685">
        <v>640</v>
      </c>
      <c r="I1164" s="672" t="s">
        <v>9218</v>
      </c>
      <c r="J1164" s="672" t="s">
        <v>9219</v>
      </c>
      <c r="K1164" s="672" t="s">
        <v>2354</v>
      </c>
      <c r="L1164" s="672" t="s">
        <v>9219</v>
      </c>
    </row>
    <row r="1165" spans="1:12" x14ac:dyDescent="0.2">
      <c r="A1165" s="681" t="s">
        <v>220</v>
      </c>
      <c r="B1165" s="681" t="s">
        <v>2351</v>
      </c>
      <c r="C1165" s="736"/>
      <c r="D1165" s="736" t="s">
        <v>10285</v>
      </c>
      <c r="E1165" s="742"/>
      <c r="F1165" s="685">
        <v>1</v>
      </c>
      <c r="G1165" s="737">
        <v>430</v>
      </c>
      <c r="H1165" s="685">
        <v>430</v>
      </c>
      <c r="I1165" s="672" t="s">
        <v>9218</v>
      </c>
      <c r="J1165" s="672" t="s">
        <v>9219</v>
      </c>
      <c r="K1165" s="672" t="s">
        <v>2354</v>
      </c>
      <c r="L1165" s="672" t="s">
        <v>9219</v>
      </c>
    </row>
    <row r="1166" spans="1:12" x14ac:dyDescent="0.2">
      <c r="A1166" s="681" t="s">
        <v>220</v>
      </c>
      <c r="B1166" s="681" t="s">
        <v>2351</v>
      </c>
      <c r="C1166" s="736"/>
      <c r="D1166" s="736" t="s">
        <v>10286</v>
      </c>
      <c r="E1166" s="742"/>
      <c r="F1166" s="685">
        <v>1</v>
      </c>
      <c r="G1166" s="737">
        <v>328</v>
      </c>
      <c r="H1166" s="685">
        <v>328</v>
      </c>
      <c r="I1166" s="672" t="s">
        <v>9218</v>
      </c>
      <c r="J1166" s="672" t="s">
        <v>9219</v>
      </c>
      <c r="K1166" s="672" t="s">
        <v>2354</v>
      </c>
      <c r="L1166" s="672" t="s">
        <v>9219</v>
      </c>
    </row>
    <row r="1167" spans="1:12" x14ac:dyDescent="0.2">
      <c r="A1167" s="681" t="s">
        <v>220</v>
      </c>
      <c r="B1167" s="681" t="s">
        <v>2351</v>
      </c>
      <c r="C1167" s="736"/>
      <c r="D1167" s="736" t="s">
        <v>10287</v>
      </c>
      <c r="E1167" s="742"/>
      <c r="F1167" s="728">
        <v>4</v>
      </c>
      <c r="G1167" s="737">
        <v>349.9</v>
      </c>
      <c r="H1167" s="685">
        <v>1399.6</v>
      </c>
      <c r="I1167" s="672" t="s">
        <v>9218</v>
      </c>
      <c r="J1167" s="672" t="s">
        <v>9219</v>
      </c>
      <c r="K1167" s="672" t="s">
        <v>2354</v>
      </c>
      <c r="L1167" s="672" t="s">
        <v>9219</v>
      </c>
    </row>
    <row r="1168" spans="1:12" x14ac:dyDescent="0.2">
      <c r="A1168" s="681" t="s">
        <v>220</v>
      </c>
      <c r="B1168" s="681" t="s">
        <v>2351</v>
      </c>
      <c r="C1168" s="736" t="s">
        <v>4642</v>
      </c>
      <c r="D1168" s="736" t="s">
        <v>4643</v>
      </c>
      <c r="E1168" s="742"/>
      <c r="F1168" s="685">
        <v>75</v>
      </c>
      <c r="G1168" s="737">
        <v>0.46500000000000002</v>
      </c>
      <c r="H1168" s="685">
        <v>34.875</v>
      </c>
      <c r="I1168" s="672" t="s">
        <v>9218</v>
      </c>
      <c r="J1168" s="672" t="s">
        <v>9219</v>
      </c>
      <c r="K1168" s="672" t="s">
        <v>2354</v>
      </c>
      <c r="L1168" s="672" t="s">
        <v>9219</v>
      </c>
    </row>
    <row r="1169" spans="1:12" x14ac:dyDescent="0.2">
      <c r="A1169" s="681" t="s">
        <v>220</v>
      </c>
      <c r="B1169" s="681" t="s">
        <v>2351</v>
      </c>
      <c r="C1169" s="736" t="s">
        <v>4646</v>
      </c>
      <c r="D1169" s="736" t="s">
        <v>4647</v>
      </c>
      <c r="E1169" s="742"/>
      <c r="F1169" s="685">
        <v>80</v>
      </c>
      <c r="G1169" s="737">
        <v>0.16726573619631901</v>
      </c>
      <c r="H1169" s="685">
        <v>13.381258895705521</v>
      </c>
      <c r="I1169" s="672" t="s">
        <v>9218</v>
      </c>
      <c r="J1169" s="672" t="s">
        <v>9219</v>
      </c>
      <c r="K1169" s="672" t="s">
        <v>2354</v>
      </c>
      <c r="L1169" s="672" t="s">
        <v>9219</v>
      </c>
    </row>
    <row r="1170" spans="1:12" x14ac:dyDescent="0.2">
      <c r="A1170" s="681" t="s">
        <v>220</v>
      </c>
      <c r="B1170" s="681" t="s">
        <v>2351</v>
      </c>
      <c r="C1170" s="736" t="s">
        <v>4666</v>
      </c>
      <c r="D1170" s="736" t="s">
        <v>4667</v>
      </c>
      <c r="E1170" s="742"/>
      <c r="F1170" s="685">
        <v>15</v>
      </c>
      <c r="G1170" s="737">
        <v>0.315</v>
      </c>
      <c r="H1170" s="685">
        <v>4.7249999999999996</v>
      </c>
      <c r="I1170" s="672" t="s">
        <v>9218</v>
      </c>
      <c r="J1170" s="672" t="s">
        <v>9219</v>
      </c>
      <c r="K1170" s="672" t="s">
        <v>2354</v>
      </c>
      <c r="L1170" s="672" t="s">
        <v>9219</v>
      </c>
    </row>
    <row r="1171" spans="1:12" x14ac:dyDescent="0.2">
      <c r="A1171" s="681" t="s">
        <v>220</v>
      </c>
      <c r="B1171" s="681" t="s">
        <v>2351</v>
      </c>
      <c r="C1171" s="736" t="s">
        <v>4668</v>
      </c>
      <c r="D1171" s="736" t="s">
        <v>4669</v>
      </c>
      <c r="E1171" s="742"/>
      <c r="F1171" s="685">
        <v>18</v>
      </c>
      <c r="G1171" s="737">
        <v>1.0674870607734805</v>
      </c>
      <c r="H1171" s="685">
        <v>19.214767093922649</v>
      </c>
      <c r="I1171" s="672" t="s">
        <v>9218</v>
      </c>
      <c r="J1171" s="672" t="s">
        <v>9219</v>
      </c>
      <c r="K1171" s="672" t="s">
        <v>2354</v>
      </c>
      <c r="L1171" s="672" t="s">
        <v>9219</v>
      </c>
    </row>
    <row r="1172" spans="1:12" x14ac:dyDescent="0.2">
      <c r="A1172" s="681" t="s">
        <v>220</v>
      </c>
      <c r="B1172" s="681" t="s">
        <v>2351</v>
      </c>
      <c r="C1172" s="736" t="s">
        <v>4670</v>
      </c>
      <c r="D1172" s="736" t="s">
        <v>4671</v>
      </c>
      <c r="E1172" s="742"/>
      <c r="F1172" s="685">
        <v>55</v>
      </c>
      <c r="G1172" s="737">
        <v>0.48299999999999998</v>
      </c>
      <c r="H1172" s="685">
        <v>26.564999999999998</v>
      </c>
      <c r="I1172" s="672" t="s">
        <v>9218</v>
      </c>
      <c r="J1172" s="672" t="s">
        <v>9219</v>
      </c>
      <c r="K1172" s="672" t="s">
        <v>2354</v>
      </c>
      <c r="L1172" s="672" t="s">
        <v>9219</v>
      </c>
    </row>
    <row r="1173" spans="1:12" x14ac:dyDescent="0.2">
      <c r="A1173" s="681" t="s">
        <v>220</v>
      </c>
      <c r="B1173" s="681" t="s">
        <v>2351</v>
      </c>
      <c r="C1173" s="736" t="s">
        <v>4672</v>
      </c>
      <c r="D1173" s="736" t="s">
        <v>4673</v>
      </c>
      <c r="E1173" s="742"/>
      <c r="F1173" s="685">
        <v>20</v>
      </c>
      <c r="G1173" s="737">
        <v>1.1539999999999999</v>
      </c>
      <c r="H1173" s="685">
        <v>23.08</v>
      </c>
      <c r="I1173" s="672" t="s">
        <v>9218</v>
      </c>
      <c r="J1173" s="672" t="s">
        <v>9219</v>
      </c>
      <c r="K1173" s="672" t="s">
        <v>2354</v>
      </c>
      <c r="L1173" s="672" t="s">
        <v>9219</v>
      </c>
    </row>
    <row r="1174" spans="1:12" x14ac:dyDescent="0.2">
      <c r="A1174" s="681" t="s">
        <v>220</v>
      </c>
      <c r="B1174" s="681" t="s">
        <v>2351</v>
      </c>
      <c r="C1174" s="736" t="s">
        <v>4674</v>
      </c>
      <c r="D1174" s="736" t="s">
        <v>4675</v>
      </c>
      <c r="E1174" s="742"/>
      <c r="F1174" s="685">
        <v>39</v>
      </c>
      <c r="G1174" s="737">
        <v>1.5189999999999999</v>
      </c>
      <c r="H1174" s="685">
        <v>59.241</v>
      </c>
      <c r="I1174" s="672" t="s">
        <v>9218</v>
      </c>
      <c r="J1174" s="672" t="s">
        <v>9219</v>
      </c>
      <c r="K1174" s="672" t="s">
        <v>2354</v>
      </c>
      <c r="L1174" s="672" t="s">
        <v>9219</v>
      </c>
    </row>
    <row r="1175" spans="1:12" x14ac:dyDescent="0.2">
      <c r="A1175" s="681" t="s">
        <v>220</v>
      </c>
      <c r="B1175" s="681" t="s">
        <v>2351</v>
      </c>
      <c r="C1175" s="736" t="s">
        <v>4676</v>
      </c>
      <c r="D1175" s="736" t="s">
        <v>4677</v>
      </c>
      <c r="E1175" s="742"/>
      <c r="F1175" s="685">
        <v>46</v>
      </c>
      <c r="G1175" s="737">
        <v>1.8360000000000001</v>
      </c>
      <c r="H1175" s="685">
        <v>84.456000000000003</v>
      </c>
      <c r="I1175" s="672" t="s">
        <v>9218</v>
      </c>
      <c r="J1175" s="672" t="s">
        <v>9219</v>
      </c>
      <c r="K1175" s="672" t="s">
        <v>2354</v>
      </c>
      <c r="L1175" s="672" t="s">
        <v>9219</v>
      </c>
    </row>
    <row r="1176" spans="1:12" x14ac:dyDescent="0.2">
      <c r="A1176" s="681" t="s">
        <v>220</v>
      </c>
      <c r="B1176" s="681" t="s">
        <v>2351</v>
      </c>
      <c r="C1176" s="736" t="s">
        <v>5382</v>
      </c>
      <c r="D1176" s="736" t="s">
        <v>5383</v>
      </c>
      <c r="E1176" s="742"/>
      <c r="F1176" s="685">
        <v>25</v>
      </c>
      <c r="G1176" s="737">
        <v>0.45100000000000001</v>
      </c>
      <c r="H1176" s="685">
        <v>11.275</v>
      </c>
      <c r="I1176" s="672" t="s">
        <v>9218</v>
      </c>
      <c r="J1176" s="672" t="s">
        <v>9219</v>
      </c>
      <c r="K1176" s="672" t="s">
        <v>2354</v>
      </c>
      <c r="L1176" s="672" t="s">
        <v>9219</v>
      </c>
    </row>
    <row r="1177" spans="1:12" x14ac:dyDescent="0.2">
      <c r="A1177" s="681" t="s">
        <v>220</v>
      </c>
      <c r="B1177" s="681" t="s">
        <v>2351</v>
      </c>
      <c r="C1177" s="736" t="s">
        <v>4682</v>
      </c>
      <c r="D1177" s="736" t="s">
        <v>4683</v>
      </c>
      <c r="E1177" s="742"/>
      <c r="F1177" s="685">
        <v>52</v>
      </c>
      <c r="G1177" s="737">
        <v>0.90400000000000003</v>
      </c>
      <c r="H1177" s="685">
        <v>47.008000000000003</v>
      </c>
      <c r="I1177" s="672" t="s">
        <v>9218</v>
      </c>
      <c r="J1177" s="672" t="s">
        <v>9219</v>
      </c>
      <c r="K1177" s="672" t="s">
        <v>2354</v>
      </c>
      <c r="L1177" s="672" t="s">
        <v>9219</v>
      </c>
    </row>
    <row r="1178" spans="1:12" x14ac:dyDescent="0.2">
      <c r="A1178" s="681" t="s">
        <v>220</v>
      </c>
      <c r="B1178" s="681" t="s">
        <v>2351</v>
      </c>
      <c r="C1178" s="736" t="s">
        <v>4686</v>
      </c>
      <c r="D1178" s="736" t="s">
        <v>4687</v>
      </c>
      <c r="E1178" s="742"/>
      <c r="F1178" s="685">
        <v>86</v>
      </c>
      <c r="G1178" s="737">
        <v>0.33638000000000001</v>
      </c>
      <c r="H1178" s="685">
        <v>28.92868</v>
      </c>
      <c r="I1178" s="672" t="s">
        <v>9218</v>
      </c>
      <c r="J1178" s="672" t="s">
        <v>9219</v>
      </c>
      <c r="K1178" s="672" t="s">
        <v>2354</v>
      </c>
      <c r="L1178" s="672" t="s">
        <v>9219</v>
      </c>
    </row>
    <row r="1179" spans="1:12" x14ac:dyDescent="0.2">
      <c r="A1179" s="681" t="s">
        <v>220</v>
      </c>
      <c r="B1179" s="681" t="s">
        <v>2351</v>
      </c>
      <c r="C1179" s="736" t="s">
        <v>4688</v>
      </c>
      <c r="D1179" s="736" t="s">
        <v>4689</v>
      </c>
      <c r="E1179" s="742"/>
      <c r="F1179" s="685">
        <v>84</v>
      </c>
      <c r="G1179" s="737">
        <v>0.84150000000000003</v>
      </c>
      <c r="H1179" s="685">
        <v>70.686000000000007</v>
      </c>
      <c r="I1179" s="672" t="s">
        <v>9218</v>
      </c>
      <c r="J1179" s="672" t="s">
        <v>9219</v>
      </c>
      <c r="K1179" s="672" t="s">
        <v>2354</v>
      </c>
      <c r="L1179" s="672" t="s">
        <v>9219</v>
      </c>
    </row>
    <row r="1180" spans="1:12" x14ac:dyDescent="0.2">
      <c r="A1180" s="681" t="s">
        <v>220</v>
      </c>
      <c r="B1180" s="681" t="s">
        <v>2351</v>
      </c>
      <c r="C1180" s="736" t="s">
        <v>4694</v>
      </c>
      <c r="D1180" s="736" t="s">
        <v>4695</v>
      </c>
      <c r="E1180" s="742"/>
      <c r="F1180" s="685">
        <v>21</v>
      </c>
      <c r="G1180" s="737">
        <v>3.4</v>
      </c>
      <c r="H1180" s="685">
        <v>71.399999999999991</v>
      </c>
      <c r="I1180" s="672" t="s">
        <v>9218</v>
      </c>
      <c r="J1180" s="672" t="s">
        <v>9219</v>
      </c>
      <c r="K1180" s="672" t="s">
        <v>2354</v>
      </c>
      <c r="L1180" s="672" t="s">
        <v>9219</v>
      </c>
    </row>
    <row r="1181" spans="1:12" x14ac:dyDescent="0.2">
      <c r="A1181" s="681" t="s">
        <v>220</v>
      </c>
      <c r="B1181" s="681" t="s">
        <v>2351</v>
      </c>
      <c r="C1181" s="736" t="s">
        <v>4696</v>
      </c>
      <c r="D1181" s="736" t="s">
        <v>4697</v>
      </c>
      <c r="E1181" s="742"/>
      <c r="F1181" s="685">
        <v>25</v>
      </c>
      <c r="G1181" s="737">
        <v>1.0529999999999999</v>
      </c>
      <c r="H1181" s="685">
        <v>26.324999999999999</v>
      </c>
      <c r="I1181" s="672" t="s">
        <v>9218</v>
      </c>
      <c r="J1181" s="672" t="s">
        <v>9219</v>
      </c>
      <c r="K1181" s="672" t="s">
        <v>2354</v>
      </c>
      <c r="L1181" s="672" t="s">
        <v>9219</v>
      </c>
    </row>
    <row r="1182" spans="1:12" x14ac:dyDescent="0.2">
      <c r="A1182" s="681" t="s">
        <v>220</v>
      </c>
      <c r="B1182" s="681" t="s">
        <v>2351</v>
      </c>
      <c r="C1182" s="736" t="s">
        <v>4698</v>
      </c>
      <c r="D1182" s="736" t="s">
        <v>4699</v>
      </c>
      <c r="E1182" s="742"/>
      <c r="F1182" s="685">
        <v>120</v>
      </c>
      <c r="G1182" s="737">
        <v>0.998</v>
      </c>
      <c r="H1182" s="685">
        <v>119.76</v>
      </c>
      <c r="I1182" s="672" t="s">
        <v>9218</v>
      </c>
      <c r="J1182" s="672" t="s">
        <v>9219</v>
      </c>
      <c r="K1182" s="672" t="s">
        <v>2354</v>
      </c>
      <c r="L1182" s="672" t="s">
        <v>9219</v>
      </c>
    </row>
    <row r="1183" spans="1:12" x14ac:dyDescent="0.2">
      <c r="A1183" s="681" t="s">
        <v>220</v>
      </c>
      <c r="B1183" s="681" t="s">
        <v>2351</v>
      </c>
      <c r="C1183" s="736" t="s">
        <v>4702</v>
      </c>
      <c r="D1183" s="736" t="s">
        <v>4703</v>
      </c>
      <c r="E1183" s="742"/>
      <c r="F1183" s="685">
        <v>180</v>
      </c>
      <c r="G1183" s="737">
        <v>0.11600000000000001</v>
      </c>
      <c r="H1183" s="685">
        <v>20.880000000000003</v>
      </c>
      <c r="I1183" s="672" t="s">
        <v>9218</v>
      </c>
      <c r="J1183" s="672" t="s">
        <v>9219</v>
      </c>
      <c r="K1183" s="672" t="s">
        <v>2354</v>
      </c>
      <c r="L1183" s="672" t="s">
        <v>9219</v>
      </c>
    </row>
    <row r="1184" spans="1:12" x14ac:dyDescent="0.2">
      <c r="A1184" s="681" t="s">
        <v>220</v>
      </c>
      <c r="B1184" s="681" t="s">
        <v>2351</v>
      </c>
      <c r="C1184" s="736" t="s">
        <v>4804</v>
      </c>
      <c r="D1184" s="736" t="s">
        <v>4805</v>
      </c>
      <c r="E1184" s="742"/>
      <c r="F1184" s="685">
        <v>220</v>
      </c>
      <c r="G1184" s="737">
        <v>0.10620000000000002</v>
      </c>
      <c r="H1184" s="685">
        <v>23.364000000000004</v>
      </c>
      <c r="I1184" s="672" t="s">
        <v>9218</v>
      </c>
      <c r="J1184" s="672" t="s">
        <v>9219</v>
      </c>
      <c r="K1184" s="672" t="s">
        <v>2354</v>
      </c>
      <c r="L1184" s="672" t="s">
        <v>9219</v>
      </c>
    </row>
    <row r="1185" spans="1:12" x14ac:dyDescent="0.2">
      <c r="A1185" s="681" t="s">
        <v>220</v>
      </c>
      <c r="B1185" s="681" t="s">
        <v>2351</v>
      </c>
      <c r="C1185" s="736" t="s">
        <v>4806</v>
      </c>
      <c r="D1185" s="736" t="s">
        <v>4807</v>
      </c>
      <c r="E1185" s="742"/>
      <c r="F1185" s="685">
        <v>45</v>
      </c>
      <c r="G1185" s="737">
        <v>9.1999999999999998E-2</v>
      </c>
      <c r="H1185" s="685">
        <v>4.1399999999999997</v>
      </c>
      <c r="I1185" s="672" t="s">
        <v>9218</v>
      </c>
      <c r="J1185" s="672" t="s">
        <v>9219</v>
      </c>
      <c r="K1185" s="672" t="s">
        <v>2354</v>
      </c>
      <c r="L1185" s="672" t="s">
        <v>9219</v>
      </c>
    </row>
    <row r="1186" spans="1:12" x14ac:dyDescent="0.2">
      <c r="A1186" s="681" t="s">
        <v>220</v>
      </c>
      <c r="B1186" s="681" t="s">
        <v>2351</v>
      </c>
      <c r="C1186" s="736" t="s">
        <v>4818</v>
      </c>
      <c r="D1186" s="736" t="s">
        <v>4819</v>
      </c>
      <c r="E1186" s="742"/>
      <c r="F1186" s="685">
        <v>50</v>
      </c>
      <c r="G1186" s="737">
        <v>0.46300000000000002</v>
      </c>
      <c r="H1186" s="685">
        <v>23.150000000000002</v>
      </c>
      <c r="I1186" s="672" t="s">
        <v>9218</v>
      </c>
      <c r="J1186" s="672" t="s">
        <v>9219</v>
      </c>
      <c r="K1186" s="672" t="s">
        <v>2354</v>
      </c>
      <c r="L1186" s="672" t="s">
        <v>9219</v>
      </c>
    </row>
    <row r="1187" spans="1:12" x14ac:dyDescent="0.2">
      <c r="A1187" s="681" t="s">
        <v>220</v>
      </c>
      <c r="B1187" s="681" t="s">
        <v>2351</v>
      </c>
      <c r="C1187" s="736" t="s">
        <v>4820</v>
      </c>
      <c r="D1187" s="736" t="s">
        <v>4821</v>
      </c>
      <c r="E1187" s="742"/>
      <c r="F1187" s="685">
        <v>43</v>
      </c>
      <c r="G1187" s="737">
        <v>0.29199999999999998</v>
      </c>
      <c r="H1187" s="685">
        <v>12.555999999999999</v>
      </c>
      <c r="I1187" s="672" t="s">
        <v>9218</v>
      </c>
      <c r="J1187" s="672" t="s">
        <v>9219</v>
      </c>
      <c r="K1187" s="672" t="s">
        <v>2354</v>
      </c>
      <c r="L1187" s="672" t="s">
        <v>9219</v>
      </c>
    </row>
    <row r="1188" spans="1:12" x14ac:dyDescent="0.2">
      <c r="A1188" s="681" t="s">
        <v>220</v>
      </c>
      <c r="B1188" s="681" t="s">
        <v>2351</v>
      </c>
      <c r="C1188" s="736" t="s">
        <v>4822</v>
      </c>
      <c r="D1188" s="736" t="s">
        <v>4823</v>
      </c>
      <c r="E1188" s="742"/>
      <c r="F1188" s="685">
        <v>28</v>
      </c>
      <c r="G1188" s="737">
        <v>0.44600000000000001</v>
      </c>
      <c r="H1188" s="685">
        <v>12.488</v>
      </c>
      <c r="I1188" s="672" t="s">
        <v>9218</v>
      </c>
      <c r="J1188" s="672" t="s">
        <v>9219</v>
      </c>
      <c r="K1188" s="672" t="s">
        <v>2354</v>
      </c>
      <c r="L1188" s="672" t="s">
        <v>9219</v>
      </c>
    </row>
    <row r="1189" spans="1:12" x14ac:dyDescent="0.2">
      <c r="A1189" s="681" t="s">
        <v>220</v>
      </c>
      <c r="B1189" s="681" t="s">
        <v>2351</v>
      </c>
      <c r="C1189" s="736" t="s">
        <v>4826</v>
      </c>
      <c r="D1189" s="736" t="s">
        <v>4827</v>
      </c>
      <c r="E1189" s="742"/>
      <c r="F1189" s="685">
        <v>29</v>
      </c>
      <c r="G1189" s="737">
        <v>1.1100000000000001</v>
      </c>
      <c r="H1189" s="685">
        <v>32.190000000000005</v>
      </c>
      <c r="I1189" s="672" t="s">
        <v>9218</v>
      </c>
      <c r="J1189" s="672" t="s">
        <v>9219</v>
      </c>
      <c r="K1189" s="672" t="s">
        <v>2354</v>
      </c>
      <c r="L1189" s="672" t="s">
        <v>9219</v>
      </c>
    </row>
    <row r="1190" spans="1:12" x14ac:dyDescent="0.2">
      <c r="A1190" s="681" t="s">
        <v>220</v>
      </c>
      <c r="B1190" s="681" t="s">
        <v>2351</v>
      </c>
      <c r="C1190" s="736" t="s">
        <v>4879</v>
      </c>
      <c r="D1190" s="736" t="s">
        <v>4880</v>
      </c>
      <c r="E1190" s="742"/>
      <c r="F1190" s="685">
        <v>56</v>
      </c>
      <c r="G1190" s="737">
        <v>0</v>
      </c>
      <c r="H1190" s="685">
        <v>0</v>
      </c>
      <c r="I1190" s="672" t="s">
        <v>9218</v>
      </c>
      <c r="J1190" s="672" t="s">
        <v>9219</v>
      </c>
      <c r="K1190" s="672" t="s">
        <v>2354</v>
      </c>
      <c r="L1190" s="672" t="s">
        <v>9219</v>
      </c>
    </row>
    <row r="1191" spans="1:12" x14ac:dyDescent="0.2">
      <c r="A1191" s="681" t="s">
        <v>220</v>
      </c>
      <c r="B1191" s="681" t="s">
        <v>2351</v>
      </c>
      <c r="C1191" s="736" t="s">
        <v>4881</v>
      </c>
      <c r="D1191" s="736" t="s">
        <v>4882</v>
      </c>
      <c r="E1191" s="742"/>
      <c r="F1191" s="685">
        <v>210</v>
      </c>
      <c r="G1191" s="737">
        <v>0.224</v>
      </c>
      <c r="H1191" s="685">
        <v>47.04</v>
      </c>
      <c r="I1191" s="672" t="s">
        <v>9218</v>
      </c>
      <c r="J1191" s="672" t="s">
        <v>9219</v>
      </c>
      <c r="K1191" s="672" t="s">
        <v>2354</v>
      </c>
      <c r="L1191" s="672" t="s">
        <v>9219</v>
      </c>
    </row>
    <row r="1192" spans="1:12" x14ac:dyDescent="0.2">
      <c r="A1192" s="681" t="s">
        <v>220</v>
      </c>
      <c r="B1192" s="681" t="s">
        <v>2351</v>
      </c>
      <c r="C1192" s="736" t="s">
        <v>4891</v>
      </c>
      <c r="D1192" s="736" t="s">
        <v>4892</v>
      </c>
      <c r="E1192" s="742"/>
      <c r="F1192" s="685">
        <v>66</v>
      </c>
      <c r="G1192" s="737">
        <v>0.82448999999999995</v>
      </c>
      <c r="H1192" s="685">
        <v>54.416339999999998</v>
      </c>
      <c r="I1192" s="672" t="s">
        <v>9218</v>
      </c>
      <c r="J1192" s="672" t="s">
        <v>9219</v>
      </c>
      <c r="K1192" s="672" t="s">
        <v>2354</v>
      </c>
      <c r="L1192" s="672" t="s">
        <v>9219</v>
      </c>
    </row>
    <row r="1193" spans="1:12" x14ac:dyDescent="0.2">
      <c r="A1193" s="681" t="s">
        <v>220</v>
      </c>
      <c r="B1193" s="681" t="s">
        <v>2351</v>
      </c>
      <c r="C1193" s="736" t="s">
        <v>4893</v>
      </c>
      <c r="D1193" s="736" t="s">
        <v>4894</v>
      </c>
      <c r="E1193" s="742"/>
      <c r="F1193" s="685">
        <v>92</v>
      </c>
      <c r="G1193" s="737">
        <v>1.3174999999999999</v>
      </c>
      <c r="H1193" s="685">
        <v>121.21</v>
      </c>
      <c r="I1193" s="672" t="s">
        <v>9218</v>
      </c>
      <c r="J1193" s="672" t="s">
        <v>9219</v>
      </c>
      <c r="K1193" s="672" t="s">
        <v>2354</v>
      </c>
      <c r="L1193" s="672" t="s">
        <v>9219</v>
      </c>
    </row>
    <row r="1194" spans="1:12" x14ac:dyDescent="0.2">
      <c r="A1194" s="681" t="s">
        <v>220</v>
      </c>
      <c r="B1194" s="681" t="s">
        <v>2351</v>
      </c>
      <c r="C1194" s="736" t="s">
        <v>4895</v>
      </c>
      <c r="D1194" s="736" t="s">
        <v>4896</v>
      </c>
      <c r="E1194" s="742"/>
      <c r="F1194" s="685">
        <v>63</v>
      </c>
      <c r="G1194" s="737">
        <v>0.82450000000000001</v>
      </c>
      <c r="H1194" s="685">
        <v>51.9435</v>
      </c>
      <c r="I1194" s="672" t="s">
        <v>9218</v>
      </c>
      <c r="J1194" s="672" t="s">
        <v>9219</v>
      </c>
      <c r="K1194" s="672" t="s">
        <v>2354</v>
      </c>
      <c r="L1194" s="672" t="s">
        <v>9219</v>
      </c>
    </row>
    <row r="1195" spans="1:12" x14ac:dyDescent="0.2">
      <c r="A1195" s="681" t="s">
        <v>220</v>
      </c>
      <c r="B1195" s="681" t="s">
        <v>2351</v>
      </c>
      <c r="C1195" s="736" t="s">
        <v>4899</v>
      </c>
      <c r="D1195" s="736" t="s">
        <v>4900</v>
      </c>
      <c r="E1195" s="742"/>
      <c r="F1195" s="685">
        <v>48</v>
      </c>
      <c r="G1195" s="737">
        <v>2.2949999999999999</v>
      </c>
      <c r="H1195" s="685">
        <v>110.16</v>
      </c>
      <c r="I1195" s="672" t="s">
        <v>9218</v>
      </c>
      <c r="J1195" s="672" t="s">
        <v>9219</v>
      </c>
      <c r="K1195" s="672" t="s">
        <v>2354</v>
      </c>
      <c r="L1195" s="672" t="s">
        <v>9219</v>
      </c>
    </row>
    <row r="1196" spans="1:12" x14ac:dyDescent="0.2">
      <c r="A1196" s="681" t="s">
        <v>220</v>
      </c>
      <c r="B1196" s="681" t="s">
        <v>2351</v>
      </c>
      <c r="C1196" s="736"/>
      <c r="D1196" s="736" t="s">
        <v>9368</v>
      </c>
      <c r="E1196" s="742"/>
      <c r="F1196" s="685">
        <v>120</v>
      </c>
      <c r="G1196" s="737">
        <v>0.11799999999999999</v>
      </c>
      <c r="H1196" s="685">
        <v>14.16</v>
      </c>
      <c r="I1196" s="672" t="s">
        <v>9218</v>
      </c>
      <c r="J1196" s="672" t="s">
        <v>9219</v>
      </c>
      <c r="K1196" s="672" t="s">
        <v>2354</v>
      </c>
      <c r="L1196" s="672" t="s">
        <v>9219</v>
      </c>
    </row>
    <row r="1197" spans="1:12" x14ac:dyDescent="0.2">
      <c r="A1197" s="681" t="s">
        <v>220</v>
      </c>
      <c r="B1197" s="681" t="s">
        <v>2351</v>
      </c>
      <c r="C1197" s="736" t="s">
        <v>4716</v>
      </c>
      <c r="D1197" s="736" t="s">
        <v>4717</v>
      </c>
      <c r="E1197" s="742"/>
      <c r="F1197" s="685">
        <v>66</v>
      </c>
      <c r="G1197" s="737">
        <v>0.17799999999999999</v>
      </c>
      <c r="H1197" s="685">
        <v>11.747999999999999</v>
      </c>
      <c r="I1197" s="672" t="s">
        <v>9218</v>
      </c>
      <c r="J1197" s="672" t="s">
        <v>9219</v>
      </c>
      <c r="K1197" s="672" t="s">
        <v>2354</v>
      </c>
      <c r="L1197" s="672" t="s">
        <v>9219</v>
      </c>
    </row>
    <row r="1198" spans="1:12" x14ac:dyDescent="0.2">
      <c r="A1198" s="681" t="s">
        <v>220</v>
      </c>
      <c r="B1198" s="681" t="s">
        <v>2351</v>
      </c>
      <c r="C1198" s="736" t="s">
        <v>4722</v>
      </c>
      <c r="D1198" s="736" t="s">
        <v>4723</v>
      </c>
      <c r="E1198" s="742"/>
      <c r="F1198" s="685">
        <v>45</v>
      </c>
      <c r="G1198" s="737">
        <v>9.5399999999999985E-2</v>
      </c>
      <c r="H1198" s="685">
        <v>4.2929999999999993</v>
      </c>
      <c r="I1198" s="672" t="s">
        <v>9218</v>
      </c>
      <c r="J1198" s="672" t="s">
        <v>9219</v>
      </c>
      <c r="K1198" s="672" t="s">
        <v>2354</v>
      </c>
      <c r="L1198" s="672" t="s">
        <v>9219</v>
      </c>
    </row>
    <row r="1199" spans="1:12" x14ac:dyDescent="0.2">
      <c r="A1199" s="681" t="s">
        <v>220</v>
      </c>
      <c r="B1199" s="681" t="s">
        <v>2351</v>
      </c>
      <c r="C1199" s="736"/>
      <c r="D1199" s="736" t="s">
        <v>9369</v>
      </c>
      <c r="E1199" s="742"/>
      <c r="F1199" s="685">
        <v>250</v>
      </c>
      <c r="G1199" s="737">
        <v>0.23400000000000001</v>
      </c>
      <c r="H1199" s="685">
        <v>58.5</v>
      </c>
      <c r="I1199" s="672" t="s">
        <v>9218</v>
      </c>
      <c r="J1199" s="672" t="s">
        <v>9219</v>
      </c>
      <c r="K1199" s="672" t="s">
        <v>2354</v>
      </c>
      <c r="L1199" s="672" t="s">
        <v>9219</v>
      </c>
    </row>
    <row r="1200" spans="1:12" x14ac:dyDescent="0.2">
      <c r="A1200" s="681" t="s">
        <v>220</v>
      </c>
      <c r="B1200" s="681" t="s">
        <v>2351</v>
      </c>
      <c r="C1200" s="736" t="s">
        <v>4776</v>
      </c>
      <c r="D1200" s="736" t="s">
        <v>4777</v>
      </c>
      <c r="E1200" s="742"/>
      <c r="F1200" s="685">
        <v>32</v>
      </c>
      <c r="G1200" s="737">
        <v>7.5666666666666664</v>
      </c>
      <c r="H1200" s="685">
        <v>242.13333333333333</v>
      </c>
      <c r="I1200" s="672" t="s">
        <v>9218</v>
      </c>
      <c r="J1200" s="672" t="s">
        <v>9219</v>
      </c>
      <c r="K1200" s="672" t="s">
        <v>2354</v>
      </c>
      <c r="L1200" s="672" t="s">
        <v>9219</v>
      </c>
    </row>
    <row r="1201" spans="1:12" x14ac:dyDescent="0.2">
      <c r="A1201" s="681" t="s">
        <v>220</v>
      </c>
      <c r="B1201" s="681" t="s">
        <v>2351</v>
      </c>
      <c r="C1201" s="736" t="s">
        <v>4788</v>
      </c>
      <c r="D1201" s="736" t="s">
        <v>4789</v>
      </c>
      <c r="E1201" s="742"/>
      <c r="F1201" s="685">
        <v>20</v>
      </c>
      <c r="G1201" s="737">
        <v>0.12</v>
      </c>
      <c r="H1201" s="685">
        <v>2.4</v>
      </c>
      <c r="I1201" s="672" t="s">
        <v>9218</v>
      </c>
      <c r="J1201" s="672" t="s">
        <v>9219</v>
      </c>
      <c r="K1201" s="672" t="s">
        <v>2354</v>
      </c>
      <c r="L1201" s="672" t="s">
        <v>9219</v>
      </c>
    </row>
    <row r="1202" spans="1:12" x14ac:dyDescent="0.2">
      <c r="A1202" s="681" t="s">
        <v>220</v>
      </c>
      <c r="B1202" s="681" t="s">
        <v>2351</v>
      </c>
      <c r="C1202" s="736"/>
      <c r="D1202" s="736" t="s">
        <v>9371</v>
      </c>
      <c r="E1202" s="742"/>
      <c r="F1202" s="685">
        <v>52</v>
      </c>
      <c r="G1202" s="737">
        <v>0.156</v>
      </c>
      <c r="H1202" s="685">
        <v>8.1120000000000001</v>
      </c>
      <c r="I1202" s="672" t="s">
        <v>9218</v>
      </c>
      <c r="J1202" s="672" t="s">
        <v>9219</v>
      </c>
      <c r="K1202" s="672" t="s">
        <v>2354</v>
      </c>
      <c r="L1202" s="672" t="s">
        <v>9219</v>
      </c>
    </row>
    <row r="1203" spans="1:12" x14ac:dyDescent="0.2">
      <c r="A1203" s="681" t="s">
        <v>220</v>
      </c>
      <c r="B1203" s="681" t="s">
        <v>2351</v>
      </c>
      <c r="C1203" s="736" t="s">
        <v>4794</v>
      </c>
      <c r="D1203" s="736" t="s">
        <v>4795</v>
      </c>
      <c r="E1203" s="742"/>
      <c r="F1203" s="685">
        <v>36</v>
      </c>
      <c r="G1203" s="737">
        <v>5.058E-2</v>
      </c>
      <c r="H1203" s="685">
        <v>1.8208800000000001</v>
      </c>
      <c r="I1203" s="672" t="s">
        <v>9218</v>
      </c>
      <c r="J1203" s="672" t="s">
        <v>9219</v>
      </c>
      <c r="K1203" s="672" t="s">
        <v>2354</v>
      </c>
      <c r="L1203" s="672" t="s">
        <v>9219</v>
      </c>
    </row>
    <row r="1204" spans="1:12" x14ac:dyDescent="0.2">
      <c r="A1204" s="681" t="s">
        <v>220</v>
      </c>
      <c r="B1204" s="681" t="s">
        <v>2351</v>
      </c>
      <c r="C1204" s="736" t="s">
        <v>4796</v>
      </c>
      <c r="D1204" s="736" t="s">
        <v>4797</v>
      </c>
      <c r="E1204" s="742"/>
      <c r="F1204" s="685">
        <v>12</v>
      </c>
      <c r="G1204" s="737">
        <v>0</v>
      </c>
      <c r="H1204" s="685">
        <v>0</v>
      </c>
      <c r="I1204" s="672" t="s">
        <v>9218</v>
      </c>
      <c r="J1204" s="672" t="s">
        <v>9219</v>
      </c>
      <c r="K1204" s="672" t="s">
        <v>2354</v>
      </c>
      <c r="L1204" s="672" t="s">
        <v>9219</v>
      </c>
    </row>
    <row r="1205" spans="1:12" x14ac:dyDescent="0.2">
      <c r="A1205" s="681" t="s">
        <v>220</v>
      </c>
      <c r="B1205" s="681" t="s">
        <v>2351</v>
      </c>
      <c r="C1205" s="736" t="s">
        <v>4798</v>
      </c>
      <c r="D1205" s="736" t="s">
        <v>4799</v>
      </c>
      <c r="E1205" s="742"/>
      <c r="F1205" s="685">
        <v>36</v>
      </c>
      <c r="G1205" s="737">
        <v>3.78E-2</v>
      </c>
      <c r="H1205" s="685">
        <v>1.3608</v>
      </c>
      <c r="I1205" s="672" t="s">
        <v>9218</v>
      </c>
      <c r="J1205" s="672" t="s">
        <v>9219</v>
      </c>
      <c r="K1205" s="672" t="s">
        <v>2354</v>
      </c>
      <c r="L1205" s="672" t="s">
        <v>9219</v>
      </c>
    </row>
    <row r="1206" spans="1:12" x14ac:dyDescent="0.2">
      <c r="A1206" s="681" t="s">
        <v>220</v>
      </c>
      <c r="B1206" s="681" t="s">
        <v>2351</v>
      </c>
      <c r="C1206" s="736" t="s">
        <v>4800</v>
      </c>
      <c r="D1206" s="736" t="s">
        <v>4801</v>
      </c>
      <c r="E1206" s="742"/>
      <c r="F1206" s="685">
        <v>50</v>
      </c>
      <c r="G1206" s="737">
        <v>0.13755999999999999</v>
      </c>
      <c r="H1206" s="685">
        <v>6.8779999999999992</v>
      </c>
      <c r="I1206" s="672" t="s">
        <v>9218</v>
      </c>
      <c r="J1206" s="672" t="s">
        <v>9219</v>
      </c>
      <c r="K1206" s="672" t="s">
        <v>2354</v>
      </c>
      <c r="L1206" s="672" t="s">
        <v>9219</v>
      </c>
    </row>
    <row r="1207" spans="1:12" x14ac:dyDescent="0.2">
      <c r="A1207" s="681" t="s">
        <v>220</v>
      </c>
      <c r="B1207" s="681" t="s">
        <v>2351</v>
      </c>
      <c r="C1207" s="736" t="s">
        <v>4802</v>
      </c>
      <c r="D1207" s="736" t="s">
        <v>4803</v>
      </c>
      <c r="E1207" s="742"/>
      <c r="F1207" s="685">
        <v>300</v>
      </c>
      <c r="G1207" s="737">
        <v>0.05</v>
      </c>
      <c r="H1207" s="685">
        <v>15</v>
      </c>
      <c r="I1207" s="672" t="s">
        <v>9218</v>
      </c>
      <c r="J1207" s="672" t="s">
        <v>9219</v>
      </c>
      <c r="K1207" s="672" t="s">
        <v>2354</v>
      </c>
      <c r="L1207" s="672" t="s">
        <v>9219</v>
      </c>
    </row>
    <row r="1208" spans="1:12" x14ac:dyDescent="0.2">
      <c r="A1208" s="681" t="s">
        <v>220</v>
      </c>
      <c r="B1208" s="681" t="s">
        <v>2351</v>
      </c>
      <c r="C1208" s="736" t="s">
        <v>4808</v>
      </c>
      <c r="D1208" s="736" t="s">
        <v>4809</v>
      </c>
      <c r="E1208" s="742"/>
      <c r="F1208" s="685">
        <v>30</v>
      </c>
      <c r="G1208" s="737">
        <v>0.183</v>
      </c>
      <c r="H1208" s="685">
        <v>5.49</v>
      </c>
      <c r="I1208" s="672" t="s">
        <v>9218</v>
      </c>
      <c r="J1208" s="672" t="s">
        <v>9219</v>
      </c>
      <c r="K1208" s="672" t="s">
        <v>2354</v>
      </c>
      <c r="L1208" s="672" t="s">
        <v>9219</v>
      </c>
    </row>
    <row r="1209" spans="1:12" x14ac:dyDescent="0.2">
      <c r="A1209" s="681" t="s">
        <v>220</v>
      </c>
      <c r="B1209" s="681" t="s">
        <v>2351</v>
      </c>
      <c r="C1209" s="736" t="s">
        <v>4810</v>
      </c>
      <c r="D1209" s="736" t="s">
        <v>4811</v>
      </c>
      <c r="E1209" s="742"/>
      <c r="F1209" s="685">
        <v>46</v>
      </c>
      <c r="G1209" s="737">
        <v>0.13900000000000001</v>
      </c>
      <c r="H1209" s="685">
        <v>6.3940000000000001</v>
      </c>
      <c r="I1209" s="672" t="s">
        <v>9218</v>
      </c>
      <c r="J1209" s="672" t="s">
        <v>9219</v>
      </c>
      <c r="K1209" s="672" t="s">
        <v>2354</v>
      </c>
      <c r="L1209" s="672" t="s">
        <v>9219</v>
      </c>
    </row>
    <row r="1210" spans="1:12" x14ac:dyDescent="0.2">
      <c r="A1210" s="681" t="s">
        <v>220</v>
      </c>
      <c r="B1210" s="681" t="s">
        <v>2351</v>
      </c>
      <c r="C1210" s="736" t="s">
        <v>4812</v>
      </c>
      <c r="D1210" s="736" t="s">
        <v>4813</v>
      </c>
      <c r="E1210" s="742"/>
      <c r="F1210" s="685">
        <v>20</v>
      </c>
      <c r="G1210" s="737">
        <v>0.49</v>
      </c>
      <c r="H1210" s="685">
        <v>9.8000000000000007</v>
      </c>
      <c r="I1210" s="672" t="s">
        <v>9218</v>
      </c>
      <c r="J1210" s="672" t="s">
        <v>9219</v>
      </c>
      <c r="K1210" s="672" t="s">
        <v>2354</v>
      </c>
      <c r="L1210" s="672" t="s">
        <v>9219</v>
      </c>
    </row>
    <row r="1211" spans="1:12" x14ac:dyDescent="0.2">
      <c r="A1211" s="681" t="s">
        <v>220</v>
      </c>
      <c r="B1211" s="681" t="s">
        <v>2351</v>
      </c>
      <c r="C1211" s="736" t="s">
        <v>4814</v>
      </c>
      <c r="D1211" s="736" t="s">
        <v>4815</v>
      </c>
      <c r="E1211" s="742"/>
      <c r="F1211" s="685">
        <v>70</v>
      </c>
      <c r="G1211" s="737">
        <v>0.16076999999999997</v>
      </c>
      <c r="H1211" s="685">
        <v>11.253899999999998</v>
      </c>
      <c r="I1211" s="672" t="s">
        <v>9218</v>
      </c>
      <c r="J1211" s="672" t="s">
        <v>9219</v>
      </c>
      <c r="K1211" s="672" t="s">
        <v>2354</v>
      </c>
      <c r="L1211" s="672" t="s">
        <v>9219</v>
      </c>
    </row>
    <row r="1212" spans="1:12" x14ac:dyDescent="0.2">
      <c r="A1212" s="681" t="s">
        <v>220</v>
      </c>
      <c r="B1212" s="681" t="s">
        <v>2351</v>
      </c>
      <c r="C1212" s="736" t="s">
        <v>4816</v>
      </c>
      <c r="D1212" s="736" t="s">
        <v>4817</v>
      </c>
      <c r="E1212" s="742"/>
      <c r="F1212" s="685">
        <v>66</v>
      </c>
      <c r="G1212" s="737">
        <v>0.28799999999999998</v>
      </c>
      <c r="H1212" s="685">
        <v>19.007999999999999</v>
      </c>
      <c r="I1212" s="672" t="s">
        <v>9218</v>
      </c>
      <c r="J1212" s="672" t="s">
        <v>9219</v>
      </c>
      <c r="K1212" s="672" t="s">
        <v>2354</v>
      </c>
      <c r="L1212" s="672" t="s">
        <v>9219</v>
      </c>
    </row>
    <row r="1213" spans="1:12" x14ac:dyDescent="0.2">
      <c r="A1213" s="681" t="s">
        <v>220</v>
      </c>
      <c r="B1213" s="681" t="s">
        <v>2351</v>
      </c>
      <c r="C1213" s="736" t="s">
        <v>4824</v>
      </c>
      <c r="D1213" s="736" t="s">
        <v>4825</v>
      </c>
      <c r="E1213" s="742"/>
      <c r="F1213" s="685">
        <v>120</v>
      </c>
      <c r="G1213" s="737">
        <v>0.59</v>
      </c>
      <c r="H1213" s="685">
        <v>70.8</v>
      </c>
      <c r="I1213" s="672" t="s">
        <v>9218</v>
      </c>
      <c r="J1213" s="672" t="s">
        <v>9219</v>
      </c>
      <c r="K1213" s="672" t="s">
        <v>2354</v>
      </c>
      <c r="L1213" s="672" t="s">
        <v>9219</v>
      </c>
    </row>
    <row r="1214" spans="1:12" x14ac:dyDescent="0.2">
      <c r="A1214" s="681" t="s">
        <v>220</v>
      </c>
      <c r="B1214" s="681" t="s">
        <v>2351</v>
      </c>
      <c r="C1214" s="736"/>
      <c r="D1214" s="736" t="s">
        <v>9372</v>
      </c>
      <c r="E1214" s="742"/>
      <c r="F1214" s="685">
        <v>180</v>
      </c>
      <c r="G1214" s="737">
        <v>0.17199999999999999</v>
      </c>
      <c r="H1214" s="685">
        <v>30.959999999999997</v>
      </c>
      <c r="I1214" s="672" t="s">
        <v>9218</v>
      </c>
      <c r="J1214" s="672" t="s">
        <v>9219</v>
      </c>
      <c r="K1214" s="672" t="s">
        <v>2354</v>
      </c>
      <c r="L1214" s="672" t="s">
        <v>9219</v>
      </c>
    </row>
    <row r="1215" spans="1:12" x14ac:dyDescent="0.2">
      <c r="A1215" s="681" t="s">
        <v>220</v>
      </c>
      <c r="B1215" s="681" t="s">
        <v>2351</v>
      </c>
      <c r="C1215" s="736"/>
      <c r="D1215" s="736" t="s">
        <v>9373</v>
      </c>
      <c r="E1215" s="742"/>
      <c r="F1215" s="685">
        <v>36</v>
      </c>
      <c r="G1215" s="737">
        <v>0.156</v>
      </c>
      <c r="H1215" s="685">
        <v>5.6159999999999997</v>
      </c>
      <c r="I1215" s="672" t="s">
        <v>9218</v>
      </c>
      <c r="J1215" s="672" t="s">
        <v>9219</v>
      </c>
      <c r="K1215" s="672" t="s">
        <v>2354</v>
      </c>
      <c r="L1215" s="672" t="s">
        <v>9219</v>
      </c>
    </row>
    <row r="1216" spans="1:12" x14ac:dyDescent="0.2">
      <c r="A1216" s="681" t="s">
        <v>220</v>
      </c>
      <c r="B1216" s="681" t="s">
        <v>2351</v>
      </c>
      <c r="C1216" s="736"/>
      <c r="D1216" s="736" t="s">
        <v>9374</v>
      </c>
      <c r="E1216" s="742"/>
      <c r="F1216" s="685">
        <v>58</v>
      </c>
      <c r="G1216" s="737">
        <v>0.156</v>
      </c>
      <c r="H1216" s="685">
        <v>9.048</v>
      </c>
      <c r="I1216" s="672" t="s">
        <v>9218</v>
      </c>
      <c r="J1216" s="672" t="s">
        <v>9219</v>
      </c>
      <c r="K1216" s="672" t="s">
        <v>2354</v>
      </c>
      <c r="L1216" s="672" t="s">
        <v>9219</v>
      </c>
    </row>
    <row r="1217" spans="1:12" x14ac:dyDescent="0.2">
      <c r="A1217" s="681" t="s">
        <v>220</v>
      </c>
      <c r="B1217" s="681" t="s">
        <v>2351</v>
      </c>
      <c r="C1217" s="736" t="s">
        <v>4883</v>
      </c>
      <c r="D1217" s="736" t="s">
        <v>4884</v>
      </c>
      <c r="E1217" s="742"/>
      <c r="F1217" s="685">
        <v>250</v>
      </c>
      <c r="G1217" s="737">
        <v>0.29299999999999998</v>
      </c>
      <c r="H1217" s="685">
        <v>73.25</v>
      </c>
      <c r="I1217" s="672" t="s">
        <v>9218</v>
      </c>
      <c r="J1217" s="672" t="s">
        <v>9219</v>
      </c>
      <c r="K1217" s="672" t="s">
        <v>2354</v>
      </c>
      <c r="L1217" s="672" t="s">
        <v>9219</v>
      </c>
    </row>
    <row r="1218" spans="1:12" x14ac:dyDescent="0.2">
      <c r="A1218" s="681" t="s">
        <v>220</v>
      </c>
      <c r="B1218" s="681" t="s">
        <v>2351</v>
      </c>
      <c r="C1218" s="736" t="s">
        <v>4885</v>
      </c>
      <c r="D1218" s="736" t="s">
        <v>4886</v>
      </c>
      <c r="E1218" s="742"/>
      <c r="F1218" s="685">
        <v>210</v>
      </c>
      <c r="G1218" s="737">
        <v>0.49233774696707111</v>
      </c>
      <c r="H1218" s="685">
        <v>103.39092686308493</v>
      </c>
      <c r="I1218" s="672" t="s">
        <v>9218</v>
      </c>
      <c r="J1218" s="672" t="s">
        <v>9219</v>
      </c>
      <c r="K1218" s="672" t="s">
        <v>2354</v>
      </c>
      <c r="L1218" s="672" t="s">
        <v>9219</v>
      </c>
    </row>
    <row r="1219" spans="1:12" x14ac:dyDescent="0.2">
      <c r="A1219" s="681" t="s">
        <v>220</v>
      </c>
      <c r="B1219" s="681" t="s">
        <v>2351</v>
      </c>
      <c r="C1219" s="736" t="s">
        <v>4887</v>
      </c>
      <c r="D1219" s="736" t="s">
        <v>4888</v>
      </c>
      <c r="E1219" s="742"/>
      <c r="F1219" s="685">
        <v>58</v>
      </c>
      <c r="G1219" s="737">
        <v>0.71399999999999997</v>
      </c>
      <c r="H1219" s="685">
        <v>41.411999999999999</v>
      </c>
      <c r="I1219" s="672" t="s">
        <v>9218</v>
      </c>
      <c r="J1219" s="672" t="s">
        <v>9219</v>
      </c>
      <c r="K1219" s="672" t="s">
        <v>2354</v>
      </c>
      <c r="L1219" s="672" t="s">
        <v>9219</v>
      </c>
    </row>
    <row r="1220" spans="1:12" x14ac:dyDescent="0.2">
      <c r="A1220" s="681" t="s">
        <v>220</v>
      </c>
      <c r="B1220" s="681" t="s">
        <v>2351</v>
      </c>
      <c r="C1220" s="736" t="s">
        <v>4889</v>
      </c>
      <c r="D1220" s="736" t="s">
        <v>4890</v>
      </c>
      <c r="E1220" s="742"/>
      <c r="F1220" s="685">
        <v>36</v>
      </c>
      <c r="G1220" s="737">
        <v>0.78539999999999988</v>
      </c>
      <c r="H1220" s="685">
        <v>28.274399999999996</v>
      </c>
      <c r="I1220" s="672" t="s">
        <v>9218</v>
      </c>
      <c r="J1220" s="672" t="s">
        <v>9219</v>
      </c>
      <c r="K1220" s="672" t="s">
        <v>2354</v>
      </c>
      <c r="L1220" s="672" t="s">
        <v>9219</v>
      </c>
    </row>
    <row r="1221" spans="1:12" x14ac:dyDescent="0.2">
      <c r="A1221" s="681" t="s">
        <v>220</v>
      </c>
      <c r="B1221" s="681" t="s">
        <v>2351</v>
      </c>
      <c r="C1221" s="736" t="s">
        <v>4897</v>
      </c>
      <c r="D1221" s="736" t="s">
        <v>4898</v>
      </c>
      <c r="E1221" s="742"/>
      <c r="F1221" s="685">
        <v>28</v>
      </c>
      <c r="G1221" s="737">
        <v>1.9635</v>
      </c>
      <c r="H1221" s="685">
        <v>54.978000000000002</v>
      </c>
      <c r="I1221" s="672" t="s">
        <v>9218</v>
      </c>
      <c r="J1221" s="672" t="s">
        <v>9219</v>
      </c>
      <c r="K1221" s="672" t="s">
        <v>2354</v>
      </c>
      <c r="L1221" s="672" t="s">
        <v>9219</v>
      </c>
    </row>
    <row r="1222" spans="1:12" x14ac:dyDescent="0.2">
      <c r="A1222" s="681" t="s">
        <v>220</v>
      </c>
      <c r="B1222" s="681" t="s">
        <v>2351</v>
      </c>
      <c r="C1222" s="736"/>
      <c r="D1222" s="736" t="s">
        <v>9376</v>
      </c>
      <c r="E1222" s="742"/>
      <c r="F1222" s="685">
        <v>120</v>
      </c>
      <c r="G1222" s="737">
        <v>7.8E-2</v>
      </c>
      <c r="H1222" s="685">
        <v>9.36</v>
      </c>
      <c r="I1222" s="672" t="s">
        <v>9218</v>
      </c>
      <c r="J1222" s="672" t="s">
        <v>9219</v>
      </c>
      <c r="K1222" s="672" t="s">
        <v>2354</v>
      </c>
      <c r="L1222" s="672" t="s">
        <v>9219</v>
      </c>
    </row>
    <row r="1223" spans="1:12" x14ac:dyDescent="0.2">
      <c r="A1223" s="681" t="s">
        <v>220</v>
      </c>
      <c r="B1223" s="681" t="s">
        <v>2351</v>
      </c>
      <c r="C1223" s="736" t="s">
        <v>5060</v>
      </c>
      <c r="D1223" s="736" t="s">
        <v>5061</v>
      </c>
      <c r="E1223" s="742"/>
      <c r="F1223" s="685">
        <v>66</v>
      </c>
      <c r="G1223" s="737">
        <v>2.1949999999999998</v>
      </c>
      <c r="H1223" s="685">
        <v>144.86999999999998</v>
      </c>
      <c r="I1223" s="672" t="s">
        <v>9218</v>
      </c>
      <c r="J1223" s="672" t="s">
        <v>9219</v>
      </c>
      <c r="K1223" s="672" t="s">
        <v>2354</v>
      </c>
      <c r="L1223" s="672" t="s">
        <v>9219</v>
      </c>
    </row>
    <row r="1224" spans="1:12" x14ac:dyDescent="0.2">
      <c r="A1224" s="681" t="s">
        <v>220</v>
      </c>
      <c r="B1224" s="681" t="s">
        <v>2351</v>
      </c>
      <c r="C1224" s="736" t="s">
        <v>5062</v>
      </c>
      <c r="D1224" s="736" t="s">
        <v>5063</v>
      </c>
      <c r="E1224" s="742"/>
      <c r="F1224" s="685">
        <v>38</v>
      </c>
      <c r="G1224" s="737">
        <v>3.8250000000000002</v>
      </c>
      <c r="H1224" s="685">
        <v>145.35</v>
      </c>
      <c r="I1224" s="672" t="s">
        <v>9218</v>
      </c>
      <c r="J1224" s="672" t="s">
        <v>9219</v>
      </c>
      <c r="K1224" s="672" t="s">
        <v>2354</v>
      </c>
      <c r="L1224" s="672" t="s">
        <v>9219</v>
      </c>
    </row>
    <row r="1225" spans="1:12" x14ac:dyDescent="0.2">
      <c r="A1225" s="681" t="s">
        <v>220</v>
      </c>
      <c r="B1225" s="681" t="s">
        <v>2351</v>
      </c>
      <c r="C1225" s="736" t="s">
        <v>5066</v>
      </c>
      <c r="D1225" s="736" t="s">
        <v>5067</v>
      </c>
      <c r="E1225" s="742"/>
      <c r="F1225" s="685">
        <v>71</v>
      </c>
      <c r="G1225" s="737">
        <v>0.32200000000000001</v>
      </c>
      <c r="H1225" s="685">
        <v>22.862000000000002</v>
      </c>
      <c r="I1225" s="672" t="s">
        <v>9218</v>
      </c>
      <c r="J1225" s="672" t="s">
        <v>9219</v>
      </c>
      <c r="K1225" s="672" t="s">
        <v>2354</v>
      </c>
      <c r="L1225" s="672" t="s">
        <v>9219</v>
      </c>
    </row>
    <row r="1226" spans="1:12" x14ac:dyDescent="0.2">
      <c r="A1226" s="681" t="s">
        <v>220</v>
      </c>
      <c r="B1226" s="681" t="s">
        <v>2351</v>
      </c>
      <c r="C1226" s="736"/>
      <c r="D1226" s="736" t="s">
        <v>9377</v>
      </c>
      <c r="E1226" s="742"/>
      <c r="F1226" s="685">
        <v>38</v>
      </c>
      <c r="G1226" s="737">
        <v>0.125</v>
      </c>
      <c r="H1226" s="685">
        <v>4.75</v>
      </c>
      <c r="I1226" s="672" t="s">
        <v>9218</v>
      </c>
      <c r="J1226" s="672" t="s">
        <v>9219</v>
      </c>
      <c r="K1226" s="672" t="s">
        <v>2354</v>
      </c>
      <c r="L1226" s="672" t="s">
        <v>9219</v>
      </c>
    </row>
    <row r="1227" spans="1:12" x14ac:dyDescent="0.2">
      <c r="A1227" s="681" t="s">
        <v>220</v>
      </c>
      <c r="B1227" s="681" t="s">
        <v>2351</v>
      </c>
      <c r="C1227" s="736"/>
      <c r="D1227" s="736" t="s">
        <v>9379</v>
      </c>
      <c r="E1227" s="742"/>
      <c r="F1227" s="685">
        <v>65</v>
      </c>
      <c r="G1227" s="737">
        <v>0.23400000000000001</v>
      </c>
      <c r="H1227" s="685">
        <v>15.21</v>
      </c>
      <c r="I1227" s="672" t="s">
        <v>9218</v>
      </c>
      <c r="J1227" s="672" t="s">
        <v>9219</v>
      </c>
      <c r="K1227" s="672" t="s">
        <v>2354</v>
      </c>
      <c r="L1227" s="672" t="s">
        <v>9219</v>
      </c>
    </row>
    <row r="1228" spans="1:12" x14ac:dyDescent="0.2">
      <c r="A1228" s="681" t="s">
        <v>220</v>
      </c>
      <c r="B1228" s="681" t="s">
        <v>2351</v>
      </c>
      <c r="C1228" s="736" t="s">
        <v>5112</v>
      </c>
      <c r="D1228" s="736" t="s">
        <v>5113</v>
      </c>
      <c r="E1228" s="742"/>
      <c r="F1228" s="685">
        <v>35</v>
      </c>
      <c r="G1228" s="737">
        <v>0.20200000000000001</v>
      </c>
      <c r="H1228" s="685">
        <v>7.07</v>
      </c>
      <c r="I1228" s="672" t="s">
        <v>9218</v>
      </c>
      <c r="J1228" s="672" t="s">
        <v>9219</v>
      </c>
      <c r="K1228" s="672" t="s">
        <v>2354</v>
      </c>
      <c r="L1228" s="672" t="s">
        <v>9219</v>
      </c>
    </row>
    <row r="1229" spans="1:12" x14ac:dyDescent="0.2">
      <c r="A1229" s="681" t="s">
        <v>220</v>
      </c>
      <c r="B1229" s="681" t="s">
        <v>2351</v>
      </c>
      <c r="C1229" s="736" t="s">
        <v>5144</v>
      </c>
      <c r="D1229" s="736" t="s">
        <v>5145</v>
      </c>
      <c r="E1229" s="742"/>
      <c r="F1229" s="685">
        <v>41</v>
      </c>
      <c r="G1229" s="737">
        <v>0.77500000000000002</v>
      </c>
      <c r="H1229" s="685">
        <v>31.775000000000002</v>
      </c>
      <c r="I1229" s="672" t="s">
        <v>9218</v>
      </c>
      <c r="J1229" s="672" t="s">
        <v>9219</v>
      </c>
      <c r="K1229" s="672" t="s">
        <v>2354</v>
      </c>
      <c r="L1229" s="672" t="s">
        <v>9219</v>
      </c>
    </row>
    <row r="1230" spans="1:12" x14ac:dyDescent="0.2">
      <c r="A1230" s="681" t="s">
        <v>220</v>
      </c>
      <c r="B1230" s="681" t="s">
        <v>2351</v>
      </c>
      <c r="C1230" s="736" t="s">
        <v>5146</v>
      </c>
      <c r="D1230" s="736" t="s">
        <v>5147</v>
      </c>
      <c r="E1230" s="742"/>
      <c r="F1230" s="685">
        <v>32</v>
      </c>
      <c r="G1230" s="737">
        <v>1.0395066666666666</v>
      </c>
      <c r="H1230" s="685">
        <v>33.264213333333331</v>
      </c>
      <c r="I1230" s="672" t="s">
        <v>9218</v>
      </c>
      <c r="J1230" s="672" t="s">
        <v>9219</v>
      </c>
      <c r="K1230" s="672" t="s">
        <v>2354</v>
      </c>
      <c r="L1230" s="672" t="s">
        <v>9219</v>
      </c>
    </row>
    <row r="1231" spans="1:12" x14ac:dyDescent="0.2">
      <c r="A1231" s="681" t="s">
        <v>220</v>
      </c>
      <c r="B1231" s="681" t="s">
        <v>2351</v>
      </c>
      <c r="C1231" s="736"/>
      <c r="D1231" s="736" t="s">
        <v>2400</v>
      </c>
      <c r="E1231" s="742"/>
      <c r="F1231" s="685">
        <v>62</v>
      </c>
      <c r="G1231" s="737">
        <v>0.48</v>
      </c>
      <c r="H1231" s="685">
        <v>29.759999999999998</v>
      </c>
      <c r="I1231" s="672" t="s">
        <v>9218</v>
      </c>
      <c r="J1231" s="672" t="s">
        <v>9219</v>
      </c>
      <c r="K1231" s="672" t="s">
        <v>2354</v>
      </c>
      <c r="L1231" s="672" t="s">
        <v>9219</v>
      </c>
    </row>
    <row r="1232" spans="1:12" x14ac:dyDescent="0.2">
      <c r="A1232" s="681" t="s">
        <v>220</v>
      </c>
      <c r="B1232" s="681" t="s">
        <v>2351</v>
      </c>
      <c r="C1232" s="736" t="s">
        <v>4656</v>
      </c>
      <c r="D1232" s="736" t="s">
        <v>4657</v>
      </c>
      <c r="E1232" s="742"/>
      <c r="F1232" s="685">
        <v>213</v>
      </c>
      <c r="G1232" s="737">
        <v>0.19486187845303865</v>
      </c>
      <c r="H1232" s="685">
        <v>41.505580110497235</v>
      </c>
      <c r="I1232" s="672" t="s">
        <v>9218</v>
      </c>
      <c r="J1232" s="672" t="s">
        <v>9219</v>
      </c>
      <c r="K1232" s="672" t="s">
        <v>2354</v>
      </c>
      <c r="L1232" s="672" t="s">
        <v>9219</v>
      </c>
    </row>
    <row r="1233" spans="1:12" x14ac:dyDescent="0.2">
      <c r="A1233" s="681" t="s">
        <v>220</v>
      </c>
      <c r="B1233" s="681" t="s">
        <v>2351</v>
      </c>
      <c r="C1233" s="736" t="s">
        <v>4658</v>
      </c>
      <c r="D1233" s="736" t="s">
        <v>4659</v>
      </c>
      <c r="E1233" s="742"/>
      <c r="F1233" s="685">
        <v>240</v>
      </c>
      <c r="G1233" s="737">
        <v>0.21568278894472359</v>
      </c>
      <c r="H1233" s="685">
        <v>51.763869346733664</v>
      </c>
      <c r="I1233" s="672" t="s">
        <v>9218</v>
      </c>
      <c r="J1233" s="672" t="s">
        <v>9219</v>
      </c>
      <c r="K1233" s="672" t="s">
        <v>2354</v>
      </c>
      <c r="L1233" s="672" t="s">
        <v>9219</v>
      </c>
    </row>
    <row r="1234" spans="1:12" x14ac:dyDescent="0.2">
      <c r="A1234" s="681" t="s">
        <v>220</v>
      </c>
      <c r="B1234" s="681" t="s">
        <v>2351</v>
      </c>
      <c r="C1234" s="736" t="s">
        <v>4660</v>
      </c>
      <c r="D1234" s="736" t="s">
        <v>4661</v>
      </c>
      <c r="E1234" s="742"/>
      <c r="F1234" s="685">
        <v>10</v>
      </c>
      <c r="G1234" s="737">
        <v>9.35E-2</v>
      </c>
      <c r="H1234" s="685">
        <v>0.93500000000000005</v>
      </c>
      <c r="I1234" s="672" t="s">
        <v>9218</v>
      </c>
      <c r="J1234" s="672" t="s">
        <v>9219</v>
      </c>
      <c r="K1234" s="672" t="s">
        <v>2354</v>
      </c>
      <c r="L1234" s="672" t="s">
        <v>9219</v>
      </c>
    </row>
    <row r="1235" spans="1:12" x14ac:dyDescent="0.2">
      <c r="A1235" s="681" t="s">
        <v>220</v>
      </c>
      <c r="B1235" s="681" t="s">
        <v>2351</v>
      </c>
      <c r="C1235" s="736" t="s">
        <v>4662</v>
      </c>
      <c r="D1235" s="736" t="s">
        <v>4663</v>
      </c>
      <c r="E1235" s="742"/>
      <c r="F1235" s="685">
        <v>61</v>
      </c>
      <c r="G1235" s="737">
        <v>0.21</v>
      </c>
      <c r="H1235" s="685">
        <v>12.809999999999999</v>
      </c>
      <c r="I1235" s="672" t="s">
        <v>9218</v>
      </c>
      <c r="J1235" s="672" t="s">
        <v>9219</v>
      </c>
      <c r="K1235" s="672" t="s">
        <v>2354</v>
      </c>
      <c r="L1235" s="672" t="s">
        <v>9219</v>
      </c>
    </row>
    <row r="1236" spans="1:12" x14ac:dyDescent="0.2">
      <c r="A1236" s="681" t="s">
        <v>220</v>
      </c>
      <c r="B1236" s="681" t="s">
        <v>2351</v>
      </c>
      <c r="C1236" s="736" t="s">
        <v>4664</v>
      </c>
      <c r="D1236" s="736" t="s">
        <v>4665</v>
      </c>
      <c r="E1236" s="742"/>
      <c r="F1236" s="685">
        <v>218</v>
      </c>
      <c r="G1236" s="737">
        <v>0.28599999999999998</v>
      </c>
      <c r="H1236" s="685">
        <v>62.347999999999992</v>
      </c>
      <c r="I1236" s="672" t="s">
        <v>9218</v>
      </c>
      <c r="J1236" s="672" t="s">
        <v>9219</v>
      </c>
      <c r="K1236" s="672" t="s">
        <v>2354</v>
      </c>
      <c r="L1236" s="672" t="s">
        <v>9219</v>
      </c>
    </row>
    <row r="1237" spans="1:12" x14ac:dyDescent="0.2">
      <c r="A1237" s="681" t="s">
        <v>220</v>
      </c>
      <c r="B1237" s="681" t="s">
        <v>2351</v>
      </c>
      <c r="C1237" s="736" t="s">
        <v>4708</v>
      </c>
      <c r="D1237" s="736" t="s">
        <v>4709</v>
      </c>
      <c r="E1237" s="742"/>
      <c r="F1237" s="685">
        <v>131</v>
      </c>
      <c r="G1237" s="737">
        <v>0.30499999999999999</v>
      </c>
      <c r="H1237" s="685">
        <v>39.954999999999998</v>
      </c>
      <c r="I1237" s="672" t="s">
        <v>9218</v>
      </c>
      <c r="J1237" s="672" t="s">
        <v>9219</v>
      </c>
      <c r="K1237" s="672" t="s">
        <v>2354</v>
      </c>
      <c r="L1237" s="672" t="s">
        <v>9219</v>
      </c>
    </row>
    <row r="1238" spans="1:12" x14ac:dyDescent="0.2">
      <c r="A1238" s="681" t="s">
        <v>220</v>
      </c>
      <c r="B1238" s="681" t="s">
        <v>2351</v>
      </c>
      <c r="C1238" s="736" t="s">
        <v>4718</v>
      </c>
      <c r="D1238" s="736" t="s">
        <v>4719</v>
      </c>
      <c r="E1238" s="742"/>
      <c r="F1238" s="685">
        <v>71</v>
      </c>
      <c r="G1238" s="737">
        <v>0.51200000000000001</v>
      </c>
      <c r="H1238" s="685">
        <v>36.352000000000004</v>
      </c>
      <c r="I1238" s="672" t="s">
        <v>9218</v>
      </c>
      <c r="J1238" s="672" t="s">
        <v>9219</v>
      </c>
      <c r="K1238" s="672" t="s">
        <v>2354</v>
      </c>
      <c r="L1238" s="672" t="s">
        <v>9219</v>
      </c>
    </row>
    <row r="1239" spans="1:12" x14ac:dyDescent="0.2">
      <c r="A1239" s="681" t="s">
        <v>220</v>
      </c>
      <c r="B1239" s="681" t="s">
        <v>2351</v>
      </c>
      <c r="C1239" s="736" t="s">
        <v>4732</v>
      </c>
      <c r="D1239" s="736" t="s">
        <v>4733</v>
      </c>
      <c r="E1239" s="742"/>
      <c r="F1239" s="685">
        <v>320</v>
      </c>
      <c r="G1239" s="737">
        <v>0.13600000000000001</v>
      </c>
      <c r="H1239" s="685">
        <v>43.52</v>
      </c>
      <c r="I1239" s="672" t="s">
        <v>9218</v>
      </c>
      <c r="J1239" s="672" t="s">
        <v>9219</v>
      </c>
      <c r="K1239" s="672" t="s">
        <v>2354</v>
      </c>
      <c r="L1239" s="672" t="s">
        <v>9219</v>
      </c>
    </row>
    <row r="1240" spans="1:12" x14ac:dyDescent="0.2">
      <c r="A1240" s="681" t="s">
        <v>220</v>
      </c>
      <c r="B1240" s="681" t="s">
        <v>2351</v>
      </c>
      <c r="C1240" s="736" t="s">
        <v>4756</v>
      </c>
      <c r="D1240" s="736" t="s">
        <v>4757</v>
      </c>
      <c r="E1240" s="742"/>
      <c r="F1240" s="685">
        <v>32</v>
      </c>
      <c r="G1240" s="737">
        <v>8.4000000000000005E-2</v>
      </c>
      <c r="H1240" s="685">
        <v>2.6880000000000002</v>
      </c>
      <c r="I1240" s="672" t="s">
        <v>9218</v>
      </c>
      <c r="J1240" s="672" t="s">
        <v>9219</v>
      </c>
      <c r="K1240" s="672" t="s">
        <v>2354</v>
      </c>
      <c r="L1240" s="672" t="s">
        <v>9219</v>
      </c>
    </row>
    <row r="1241" spans="1:12" x14ac:dyDescent="0.2">
      <c r="A1241" s="681" t="s">
        <v>220</v>
      </c>
      <c r="B1241" s="681" t="s">
        <v>2351</v>
      </c>
      <c r="C1241" s="736" t="s">
        <v>4760</v>
      </c>
      <c r="D1241" s="736" t="s">
        <v>4761</v>
      </c>
      <c r="E1241" s="742"/>
      <c r="F1241" s="685">
        <v>274</v>
      </c>
      <c r="G1241" s="737">
        <v>0.127</v>
      </c>
      <c r="H1241" s="685">
        <v>34.798000000000002</v>
      </c>
      <c r="I1241" s="672" t="s">
        <v>9218</v>
      </c>
      <c r="J1241" s="672" t="s">
        <v>9219</v>
      </c>
      <c r="K1241" s="672" t="s">
        <v>2354</v>
      </c>
      <c r="L1241" s="672" t="s">
        <v>9219</v>
      </c>
    </row>
    <row r="1242" spans="1:12" x14ac:dyDescent="0.2">
      <c r="A1242" s="681" t="s">
        <v>220</v>
      </c>
      <c r="B1242" s="681" t="s">
        <v>2351</v>
      </c>
      <c r="C1242" s="736" t="s">
        <v>4762</v>
      </c>
      <c r="D1242" s="736" t="s">
        <v>4763</v>
      </c>
      <c r="E1242" s="742"/>
      <c r="F1242" s="685">
        <v>47</v>
      </c>
      <c r="G1242" s="737">
        <v>0.81799999999999995</v>
      </c>
      <c r="H1242" s="685">
        <v>38.445999999999998</v>
      </c>
      <c r="I1242" s="672" t="s">
        <v>9218</v>
      </c>
      <c r="J1242" s="672" t="s">
        <v>9219</v>
      </c>
      <c r="K1242" s="672" t="s">
        <v>2354</v>
      </c>
      <c r="L1242" s="672" t="s">
        <v>9219</v>
      </c>
    </row>
    <row r="1243" spans="1:12" x14ac:dyDescent="0.2">
      <c r="A1243" s="681" t="s">
        <v>220</v>
      </c>
      <c r="B1243" s="681" t="s">
        <v>2351</v>
      </c>
      <c r="C1243" s="736" t="s">
        <v>4764</v>
      </c>
      <c r="D1243" s="736" t="s">
        <v>4765</v>
      </c>
      <c r="E1243" s="742"/>
      <c r="F1243" s="685">
        <v>140</v>
      </c>
      <c r="G1243" s="737">
        <v>3.3000000000000002E-2</v>
      </c>
      <c r="H1243" s="685">
        <v>4.62</v>
      </c>
      <c r="I1243" s="672" t="s">
        <v>9218</v>
      </c>
      <c r="J1243" s="672" t="s">
        <v>9219</v>
      </c>
      <c r="K1243" s="672" t="s">
        <v>2354</v>
      </c>
      <c r="L1243" s="672" t="s">
        <v>9219</v>
      </c>
    </row>
    <row r="1244" spans="1:12" x14ac:dyDescent="0.2">
      <c r="A1244" s="681" t="s">
        <v>220</v>
      </c>
      <c r="B1244" s="681" t="s">
        <v>2351</v>
      </c>
      <c r="C1244" s="736" t="s">
        <v>4766</v>
      </c>
      <c r="D1244" s="736" t="s">
        <v>4767</v>
      </c>
      <c r="E1244" s="742"/>
      <c r="F1244" s="685">
        <v>81</v>
      </c>
      <c r="G1244" s="737">
        <v>0.05</v>
      </c>
      <c r="H1244" s="685">
        <v>4.05</v>
      </c>
      <c r="I1244" s="672" t="s">
        <v>9218</v>
      </c>
      <c r="J1244" s="672" t="s">
        <v>9219</v>
      </c>
      <c r="K1244" s="672" t="s">
        <v>2354</v>
      </c>
      <c r="L1244" s="672" t="s">
        <v>9219</v>
      </c>
    </row>
    <row r="1245" spans="1:12" x14ac:dyDescent="0.2">
      <c r="A1245" s="681" t="s">
        <v>220</v>
      </c>
      <c r="B1245" s="681" t="s">
        <v>2351</v>
      </c>
      <c r="C1245" s="736" t="s">
        <v>4774</v>
      </c>
      <c r="D1245" s="736" t="s">
        <v>4775</v>
      </c>
      <c r="E1245" s="742"/>
      <c r="F1245" s="685">
        <v>120</v>
      </c>
      <c r="G1245" s="737">
        <v>1.1559999999999999</v>
      </c>
      <c r="H1245" s="685">
        <v>138.72</v>
      </c>
      <c r="I1245" s="672" t="s">
        <v>9218</v>
      </c>
      <c r="J1245" s="672" t="s">
        <v>9219</v>
      </c>
      <c r="K1245" s="672" t="s">
        <v>2354</v>
      </c>
      <c r="L1245" s="672" t="s">
        <v>9219</v>
      </c>
    </row>
    <row r="1246" spans="1:12" x14ac:dyDescent="0.2">
      <c r="A1246" s="681" t="s">
        <v>220</v>
      </c>
      <c r="B1246" s="681" t="s">
        <v>2351</v>
      </c>
      <c r="C1246" s="736"/>
      <c r="D1246" s="736" t="s">
        <v>9370</v>
      </c>
      <c r="E1246" s="742"/>
      <c r="F1246" s="685">
        <v>174</v>
      </c>
      <c r="G1246" s="737">
        <v>0.14799999999999999</v>
      </c>
      <c r="H1246" s="685">
        <v>25.751999999999999</v>
      </c>
      <c r="I1246" s="672" t="s">
        <v>9218</v>
      </c>
      <c r="J1246" s="672" t="s">
        <v>9219</v>
      </c>
      <c r="K1246" s="672" t="s">
        <v>2354</v>
      </c>
      <c r="L1246" s="672" t="s">
        <v>9219</v>
      </c>
    </row>
    <row r="1247" spans="1:12" x14ac:dyDescent="0.2">
      <c r="A1247" s="681" t="s">
        <v>220</v>
      </c>
      <c r="B1247" s="681" t="s">
        <v>2351</v>
      </c>
      <c r="C1247" s="736" t="s">
        <v>4830</v>
      </c>
      <c r="D1247" s="736" t="s">
        <v>4831</v>
      </c>
      <c r="E1247" s="742"/>
      <c r="F1247" s="685">
        <v>171</v>
      </c>
      <c r="G1247" s="737">
        <v>9.799999999999999E-2</v>
      </c>
      <c r="H1247" s="685">
        <v>16.757999999999999</v>
      </c>
      <c r="I1247" s="672" t="s">
        <v>9218</v>
      </c>
      <c r="J1247" s="672" t="s">
        <v>9219</v>
      </c>
      <c r="K1247" s="672" t="s">
        <v>2354</v>
      </c>
      <c r="L1247" s="672" t="s">
        <v>9219</v>
      </c>
    </row>
    <row r="1248" spans="1:12" x14ac:dyDescent="0.2">
      <c r="A1248" s="681" t="s">
        <v>220</v>
      </c>
      <c r="B1248" s="681" t="s">
        <v>2351</v>
      </c>
      <c r="C1248" s="736" t="s">
        <v>4832</v>
      </c>
      <c r="D1248" s="736" t="s">
        <v>4833</v>
      </c>
      <c r="E1248" s="742"/>
      <c r="F1248" s="685">
        <v>184</v>
      </c>
      <c r="G1248" s="737">
        <v>5.9033281409406252E-2</v>
      </c>
      <c r="H1248" s="685">
        <v>10.86212377933075</v>
      </c>
      <c r="I1248" s="672" t="s">
        <v>9218</v>
      </c>
      <c r="J1248" s="672" t="s">
        <v>9219</v>
      </c>
      <c r="K1248" s="672" t="s">
        <v>2354</v>
      </c>
      <c r="L1248" s="672" t="s">
        <v>9219</v>
      </c>
    </row>
    <row r="1249" spans="1:12" x14ac:dyDescent="0.2">
      <c r="A1249" s="681" t="s">
        <v>220</v>
      </c>
      <c r="B1249" s="681" t="s">
        <v>2351</v>
      </c>
      <c r="C1249" s="736" t="s">
        <v>4834</v>
      </c>
      <c r="D1249" s="736" t="s">
        <v>4835</v>
      </c>
      <c r="E1249" s="742"/>
      <c r="F1249" s="685">
        <v>247</v>
      </c>
      <c r="G1249" s="737">
        <v>0.06</v>
      </c>
      <c r="H1249" s="685">
        <v>14.82</v>
      </c>
      <c r="I1249" s="672" t="s">
        <v>9218</v>
      </c>
      <c r="J1249" s="672" t="s">
        <v>9219</v>
      </c>
      <c r="K1249" s="672" t="s">
        <v>2354</v>
      </c>
      <c r="L1249" s="672" t="s">
        <v>9219</v>
      </c>
    </row>
    <row r="1250" spans="1:12" x14ac:dyDescent="0.2">
      <c r="A1250" s="681" t="s">
        <v>220</v>
      </c>
      <c r="B1250" s="681" t="s">
        <v>2351</v>
      </c>
      <c r="C1250" s="736" t="s">
        <v>4836</v>
      </c>
      <c r="D1250" s="736" t="s">
        <v>4837</v>
      </c>
      <c r="E1250" s="742"/>
      <c r="F1250" s="685">
        <v>120</v>
      </c>
      <c r="G1250" s="737">
        <v>0.58602392565597661</v>
      </c>
      <c r="H1250" s="685">
        <v>70.322871078717199</v>
      </c>
      <c r="I1250" s="672" t="s">
        <v>9218</v>
      </c>
      <c r="J1250" s="672" t="s">
        <v>9219</v>
      </c>
      <c r="K1250" s="672" t="s">
        <v>2354</v>
      </c>
      <c r="L1250" s="672" t="s">
        <v>9219</v>
      </c>
    </row>
    <row r="1251" spans="1:12" x14ac:dyDescent="0.2">
      <c r="A1251" s="681" t="s">
        <v>220</v>
      </c>
      <c r="B1251" s="681" t="s">
        <v>2351</v>
      </c>
      <c r="C1251" s="736" t="s">
        <v>4838</v>
      </c>
      <c r="D1251" s="736" t="s">
        <v>4839</v>
      </c>
      <c r="E1251" s="742"/>
      <c r="F1251" s="685">
        <v>130</v>
      </c>
      <c r="G1251" s="737">
        <v>0.68090066225165569</v>
      </c>
      <c r="H1251" s="685">
        <v>88.517086092715246</v>
      </c>
      <c r="I1251" s="672" t="s">
        <v>9218</v>
      </c>
      <c r="J1251" s="672" t="s">
        <v>9219</v>
      </c>
      <c r="K1251" s="672" t="s">
        <v>2354</v>
      </c>
      <c r="L1251" s="672" t="s">
        <v>9219</v>
      </c>
    </row>
    <row r="1252" spans="1:12" x14ac:dyDescent="0.2">
      <c r="A1252" s="681" t="s">
        <v>220</v>
      </c>
      <c r="B1252" s="681" t="s">
        <v>2351</v>
      </c>
      <c r="C1252" s="736" t="s">
        <v>4840</v>
      </c>
      <c r="D1252" s="736" t="s">
        <v>4841</v>
      </c>
      <c r="E1252" s="742"/>
      <c r="F1252" s="685">
        <v>67</v>
      </c>
      <c r="G1252" s="737">
        <v>0.40460000000000002</v>
      </c>
      <c r="H1252" s="685">
        <v>27.1082</v>
      </c>
      <c r="I1252" s="672" t="s">
        <v>9218</v>
      </c>
      <c r="J1252" s="672" t="s">
        <v>9219</v>
      </c>
      <c r="K1252" s="672" t="s">
        <v>2354</v>
      </c>
      <c r="L1252" s="672" t="s">
        <v>9219</v>
      </c>
    </row>
    <row r="1253" spans="1:12" x14ac:dyDescent="0.2">
      <c r="A1253" s="681" t="s">
        <v>220</v>
      </c>
      <c r="B1253" s="681" t="s">
        <v>2351</v>
      </c>
      <c r="C1253" s="736" t="s">
        <v>4842</v>
      </c>
      <c r="D1253" s="736" t="s">
        <v>4843</v>
      </c>
      <c r="E1253" s="742"/>
      <c r="F1253" s="685">
        <v>71</v>
      </c>
      <c r="G1253" s="737">
        <v>0.10833</v>
      </c>
      <c r="H1253" s="685">
        <v>7.6914299999999995</v>
      </c>
      <c r="I1253" s="672" t="s">
        <v>9218</v>
      </c>
      <c r="J1253" s="672" t="s">
        <v>9219</v>
      </c>
      <c r="K1253" s="672" t="s">
        <v>2354</v>
      </c>
      <c r="L1253" s="672" t="s">
        <v>9219</v>
      </c>
    </row>
    <row r="1254" spans="1:12" x14ac:dyDescent="0.2">
      <c r="A1254" s="681" t="s">
        <v>220</v>
      </c>
      <c r="B1254" s="681" t="s">
        <v>2351</v>
      </c>
      <c r="C1254" s="736" t="s">
        <v>4844</v>
      </c>
      <c r="D1254" s="736" t="s">
        <v>4845</v>
      </c>
      <c r="E1254" s="742"/>
      <c r="F1254" s="685">
        <v>320</v>
      </c>
      <c r="G1254" s="737">
        <v>7.2249999999999995E-2</v>
      </c>
      <c r="H1254" s="685">
        <v>23.119999999999997</v>
      </c>
      <c r="I1254" s="672" t="s">
        <v>9218</v>
      </c>
      <c r="J1254" s="672" t="s">
        <v>9219</v>
      </c>
      <c r="K1254" s="672" t="s">
        <v>2354</v>
      </c>
      <c r="L1254" s="672" t="s">
        <v>9219</v>
      </c>
    </row>
    <row r="1255" spans="1:12" x14ac:dyDescent="0.2">
      <c r="A1255" s="681" t="s">
        <v>220</v>
      </c>
      <c r="B1255" s="681" t="s">
        <v>2351</v>
      </c>
      <c r="C1255" s="736" t="s">
        <v>4846</v>
      </c>
      <c r="D1255" s="736" t="s">
        <v>4847</v>
      </c>
      <c r="E1255" s="742"/>
      <c r="F1255" s="685">
        <v>211</v>
      </c>
      <c r="G1255" s="737">
        <v>6.8000000000000005E-2</v>
      </c>
      <c r="H1255" s="685">
        <v>14.348000000000001</v>
      </c>
      <c r="I1255" s="672" t="s">
        <v>9218</v>
      </c>
      <c r="J1255" s="672" t="s">
        <v>9219</v>
      </c>
      <c r="K1255" s="672" t="s">
        <v>2354</v>
      </c>
      <c r="L1255" s="672" t="s">
        <v>9219</v>
      </c>
    </row>
    <row r="1256" spans="1:12" x14ac:dyDescent="0.2">
      <c r="A1256" s="681" t="s">
        <v>220</v>
      </c>
      <c r="B1256" s="681" t="s">
        <v>2351</v>
      </c>
      <c r="C1256" s="736" t="s">
        <v>4848</v>
      </c>
      <c r="D1256" s="736" t="s">
        <v>4849</v>
      </c>
      <c r="E1256" s="742"/>
      <c r="F1256" s="685">
        <v>21</v>
      </c>
      <c r="G1256" s="737">
        <v>8.6999999999999994E-2</v>
      </c>
      <c r="H1256" s="685">
        <v>1.827</v>
      </c>
      <c r="I1256" s="672" t="s">
        <v>9218</v>
      </c>
      <c r="J1256" s="672" t="s">
        <v>9219</v>
      </c>
      <c r="K1256" s="672" t="s">
        <v>2354</v>
      </c>
      <c r="L1256" s="672" t="s">
        <v>9219</v>
      </c>
    </row>
    <row r="1257" spans="1:12" x14ac:dyDescent="0.2">
      <c r="A1257" s="681" t="s">
        <v>220</v>
      </c>
      <c r="B1257" s="681" t="s">
        <v>2351</v>
      </c>
      <c r="C1257" s="736" t="s">
        <v>4850</v>
      </c>
      <c r="D1257" s="736" t="s">
        <v>4851</v>
      </c>
      <c r="E1257" s="742"/>
      <c r="F1257" s="685">
        <v>320</v>
      </c>
      <c r="G1257" s="737">
        <v>0.12358</v>
      </c>
      <c r="H1257" s="685">
        <v>39.5456</v>
      </c>
      <c r="I1257" s="672" t="s">
        <v>9218</v>
      </c>
      <c r="J1257" s="672" t="s">
        <v>9219</v>
      </c>
      <c r="K1257" s="672" t="s">
        <v>2354</v>
      </c>
      <c r="L1257" s="672" t="s">
        <v>9219</v>
      </c>
    </row>
    <row r="1258" spans="1:12" x14ac:dyDescent="0.2">
      <c r="A1258" s="681" t="s">
        <v>220</v>
      </c>
      <c r="B1258" s="681" t="s">
        <v>2351</v>
      </c>
      <c r="C1258" s="736" t="s">
        <v>4852</v>
      </c>
      <c r="D1258" s="736" t="s">
        <v>4853</v>
      </c>
      <c r="E1258" s="742"/>
      <c r="F1258" s="685">
        <v>127</v>
      </c>
      <c r="G1258" s="737">
        <v>0.19259000000000001</v>
      </c>
      <c r="H1258" s="685">
        <v>24.458930000000002</v>
      </c>
      <c r="I1258" s="672" t="s">
        <v>9218</v>
      </c>
      <c r="J1258" s="672" t="s">
        <v>9219</v>
      </c>
      <c r="K1258" s="672" t="s">
        <v>2354</v>
      </c>
      <c r="L1258" s="672" t="s">
        <v>9219</v>
      </c>
    </row>
    <row r="1259" spans="1:12" x14ac:dyDescent="0.2">
      <c r="A1259" s="681" t="s">
        <v>220</v>
      </c>
      <c r="B1259" s="681" t="s">
        <v>2351</v>
      </c>
      <c r="C1259" s="736" t="s">
        <v>4854</v>
      </c>
      <c r="D1259" s="736" t="s">
        <v>4855</v>
      </c>
      <c r="E1259" s="742"/>
      <c r="F1259" s="685">
        <v>33</v>
      </c>
      <c r="G1259" s="737">
        <v>0.186</v>
      </c>
      <c r="H1259" s="685">
        <v>6.1379999999999999</v>
      </c>
      <c r="I1259" s="672" t="s">
        <v>9218</v>
      </c>
      <c r="J1259" s="672" t="s">
        <v>9219</v>
      </c>
      <c r="K1259" s="672" t="s">
        <v>2354</v>
      </c>
      <c r="L1259" s="672" t="s">
        <v>9219</v>
      </c>
    </row>
    <row r="1260" spans="1:12" x14ac:dyDescent="0.2">
      <c r="A1260" s="681" t="s">
        <v>220</v>
      </c>
      <c r="B1260" s="681" t="s">
        <v>2351</v>
      </c>
      <c r="C1260" s="736" t="s">
        <v>4856</v>
      </c>
      <c r="D1260" s="736" t="s">
        <v>4857</v>
      </c>
      <c r="E1260" s="742"/>
      <c r="F1260" s="685">
        <v>21</v>
      </c>
      <c r="G1260" s="737">
        <v>0.29599999999999999</v>
      </c>
      <c r="H1260" s="685">
        <v>6.2159999999999993</v>
      </c>
      <c r="I1260" s="672" t="s">
        <v>9218</v>
      </c>
      <c r="J1260" s="672" t="s">
        <v>9219</v>
      </c>
      <c r="K1260" s="672" t="s">
        <v>2354</v>
      </c>
      <c r="L1260" s="672" t="s">
        <v>9219</v>
      </c>
    </row>
    <row r="1261" spans="1:12" x14ac:dyDescent="0.2">
      <c r="A1261" s="681" t="s">
        <v>220</v>
      </c>
      <c r="B1261" s="681" t="s">
        <v>2351</v>
      </c>
      <c r="C1261" s="736" t="s">
        <v>4858</v>
      </c>
      <c r="D1261" s="736" t="s">
        <v>4859</v>
      </c>
      <c r="E1261" s="742"/>
      <c r="F1261" s="685">
        <v>77</v>
      </c>
      <c r="G1261" s="737">
        <v>0.442</v>
      </c>
      <c r="H1261" s="685">
        <v>34.033999999999999</v>
      </c>
      <c r="I1261" s="672" t="s">
        <v>9218</v>
      </c>
      <c r="J1261" s="672" t="s">
        <v>9219</v>
      </c>
      <c r="K1261" s="672" t="s">
        <v>2354</v>
      </c>
      <c r="L1261" s="672" t="s">
        <v>9219</v>
      </c>
    </row>
    <row r="1262" spans="1:12" x14ac:dyDescent="0.2">
      <c r="A1262" s="681" t="s">
        <v>220</v>
      </c>
      <c r="B1262" s="681" t="s">
        <v>2351</v>
      </c>
      <c r="C1262" s="736" t="s">
        <v>4862</v>
      </c>
      <c r="D1262" s="736" t="s">
        <v>4841</v>
      </c>
      <c r="E1262" s="742"/>
      <c r="F1262" s="685">
        <v>32</v>
      </c>
      <c r="G1262" s="737">
        <v>0.40460000000000002</v>
      </c>
      <c r="H1262" s="685">
        <v>12.9472</v>
      </c>
      <c r="I1262" s="672" t="s">
        <v>9218</v>
      </c>
      <c r="J1262" s="672" t="s">
        <v>9219</v>
      </c>
      <c r="K1262" s="672" t="s">
        <v>2354</v>
      </c>
      <c r="L1262" s="672" t="s">
        <v>9219</v>
      </c>
    </row>
    <row r="1263" spans="1:12" x14ac:dyDescent="0.2">
      <c r="A1263" s="681" t="s">
        <v>220</v>
      </c>
      <c r="B1263" s="681" t="s">
        <v>2351</v>
      </c>
      <c r="C1263" s="736" t="s">
        <v>4863</v>
      </c>
      <c r="D1263" s="736" t="s">
        <v>4864</v>
      </c>
      <c r="E1263" s="742"/>
      <c r="F1263" s="685">
        <v>57</v>
      </c>
      <c r="G1263" s="737">
        <v>0.43010585751978891</v>
      </c>
      <c r="H1263" s="685">
        <v>24.516033878627969</v>
      </c>
      <c r="I1263" s="672" t="s">
        <v>9218</v>
      </c>
      <c r="J1263" s="672" t="s">
        <v>9219</v>
      </c>
      <c r="K1263" s="672" t="s">
        <v>2354</v>
      </c>
      <c r="L1263" s="672" t="s">
        <v>9219</v>
      </c>
    </row>
    <row r="1264" spans="1:12" x14ac:dyDescent="0.2">
      <c r="A1264" s="681" t="s">
        <v>220</v>
      </c>
      <c r="B1264" s="681" t="s">
        <v>2351</v>
      </c>
      <c r="C1264" s="736" t="s">
        <v>4865</v>
      </c>
      <c r="D1264" s="736" t="s">
        <v>4866</v>
      </c>
      <c r="E1264" s="742"/>
      <c r="F1264" s="685">
        <v>67</v>
      </c>
      <c r="G1264" s="737">
        <v>0.51533571428571434</v>
      </c>
      <c r="H1264" s="685">
        <v>34.52749285714286</v>
      </c>
      <c r="I1264" s="672" t="s">
        <v>9218</v>
      </c>
      <c r="J1264" s="672" t="s">
        <v>9219</v>
      </c>
      <c r="K1264" s="672" t="s">
        <v>2354</v>
      </c>
      <c r="L1264" s="672" t="s">
        <v>9219</v>
      </c>
    </row>
    <row r="1265" spans="1:12" x14ac:dyDescent="0.2">
      <c r="A1265" s="681" t="s">
        <v>220</v>
      </c>
      <c r="B1265" s="681" t="s">
        <v>2351</v>
      </c>
      <c r="C1265" s="736" t="s">
        <v>4867</v>
      </c>
      <c r="D1265" s="736" t="s">
        <v>4868</v>
      </c>
      <c r="E1265" s="742"/>
      <c r="F1265" s="685">
        <v>72</v>
      </c>
      <c r="G1265" s="737">
        <v>0.69750999999999985</v>
      </c>
      <c r="H1265" s="685">
        <v>50.220719999999986</v>
      </c>
      <c r="I1265" s="672" t="s">
        <v>9218</v>
      </c>
      <c r="J1265" s="672" t="s">
        <v>9219</v>
      </c>
      <c r="K1265" s="672" t="s">
        <v>2354</v>
      </c>
      <c r="L1265" s="672" t="s">
        <v>9219</v>
      </c>
    </row>
    <row r="1266" spans="1:12" x14ac:dyDescent="0.2">
      <c r="A1266" s="681" t="s">
        <v>220</v>
      </c>
      <c r="B1266" s="681" t="s">
        <v>2351</v>
      </c>
      <c r="C1266" s="736" t="s">
        <v>4869</v>
      </c>
      <c r="D1266" s="736" t="s">
        <v>4870</v>
      </c>
      <c r="E1266" s="742"/>
      <c r="F1266" s="685">
        <v>67</v>
      </c>
      <c r="G1266" s="737">
        <v>0.83717239130434784</v>
      </c>
      <c r="H1266" s="685">
        <v>56.090550217391304</v>
      </c>
      <c r="I1266" s="672" t="s">
        <v>9218</v>
      </c>
      <c r="J1266" s="672" t="s">
        <v>9219</v>
      </c>
      <c r="K1266" s="672" t="s">
        <v>2354</v>
      </c>
      <c r="L1266" s="672" t="s">
        <v>9219</v>
      </c>
    </row>
    <row r="1267" spans="1:12" x14ac:dyDescent="0.2">
      <c r="A1267" s="681" t="s">
        <v>220</v>
      </c>
      <c r="B1267" s="681" t="s">
        <v>2351</v>
      </c>
      <c r="C1267" s="736" t="s">
        <v>4871</v>
      </c>
      <c r="D1267" s="736" t="s">
        <v>4872</v>
      </c>
      <c r="E1267" s="742"/>
      <c r="F1267" s="685">
        <v>83</v>
      </c>
      <c r="G1267" s="737">
        <v>1.0309999999999999</v>
      </c>
      <c r="H1267" s="685">
        <v>85.572999999999993</v>
      </c>
      <c r="I1267" s="672" t="s">
        <v>9218</v>
      </c>
      <c r="J1267" s="672" t="s">
        <v>9219</v>
      </c>
      <c r="K1267" s="672" t="s">
        <v>2354</v>
      </c>
      <c r="L1267" s="672" t="s">
        <v>9219</v>
      </c>
    </row>
    <row r="1268" spans="1:12" x14ac:dyDescent="0.2">
      <c r="A1268" s="681" t="s">
        <v>220</v>
      </c>
      <c r="B1268" s="681" t="s">
        <v>2351</v>
      </c>
      <c r="C1268" s="736" t="s">
        <v>4873</v>
      </c>
      <c r="D1268" s="736" t="s">
        <v>4874</v>
      </c>
      <c r="E1268" s="742"/>
      <c r="F1268" s="685">
        <v>71</v>
      </c>
      <c r="G1268" s="737">
        <v>0.63500000000000001</v>
      </c>
      <c r="H1268" s="685">
        <v>45.085000000000001</v>
      </c>
      <c r="I1268" s="672" t="s">
        <v>9218</v>
      </c>
      <c r="J1268" s="672" t="s">
        <v>9219</v>
      </c>
      <c r="K1268" s="672" t="s">
        <v>2354</v>
      </c>
      <c r="L1268" s="672" t="s">
        <v>9219</v>
      </c>
    </row>
    <row r="1269" spans="1:12" x14ac:dyDescent="0.2">
      <c r="A1269" s="681" t="s">
        <v>220</v>
      </c>
      <c r="B1269" s="681" t="s">
        <v>2351</v>
      </c>
      <c r="C1269" s="736" t="s">
        <v>4875</v>
      </c>
      <c r="D1269" s="736" t="s">
        <v>4876</v>
      </c>
      <c r="E1269" s="742"/>
      <c r="F1269" s="685">
        <v>62</v>
      </c>
      <c r="G1269" s="737">
        <v>1.078997948051948</v>
      </c>
      <c r="H1269" s="685">
        <v>66.897872779220776</v>
      </c>
      <c r="I1269" s="672" t="s">
        <v>9218</v>
      </c>
      <c r="J1269" s="672" t="s">
        <v>9219</v>
      </c>
      <c r="K1269" s="672" t="s">
        <v>2354</v>
      </c>
      <c r="L1269" s="672" t="s">
        <v>9219</v>
      </c>
    </row>
    <row r="1270" spans="1:12" x14ac:dyDescent="0.2">
      <c r="A1270" s="681" t="s">
        <v>220</v>
      </c>
      <c r="B1270" s="681" t="s">
        <v>2351</v>
      </c>
      <c r="C1270" s="736" t="s">
        <v>4877</v>
      </c>
      <c r="D1270" s="736" t="s">
        <v>4878</v>
      </c>
      <c r="E1270" s="742"/>
      <c r="F1270" s="685">
        <v>71</v>
      </c>
      <c r="G1270" s="737">
        <v>1.0269999999999999</v>
      </c>
      <c r="H1270" s="685">
        <v>72.916999999999987</v>
      </c>
      <c r="I1270" s="672" t="s">
        <v>9218</v>
      </c>
      <c r="J1270" s="672" t="s">
        <v>9219</v>
      </c>
      <c r="K1270" s="672" t="s">
        <v>2354</v>
      </c>
      <c r="L1270" s="672" t="s">
        <v>9219</v>
      </c>
    </row>
    <row r="1271" spans="1:12" x14ac:dyDescent="0.2">
      <c r="A1271" s="681" t="s">
        <v>220</v>
      </c>
      <c r="B1271" s="681" t="s">
        <v>2351</v>
      </c>
      <c r="C1271" s="736"/>
      <c r="D1271" s="736" t="s">
        <v>9375</v>
      </c>
      <c r="E1271" s="742"/>
      <c r="F1271" s="685">
        <v>32</v>
      </c>
      <c r="G1271" s="737">
        <v>0.94699999999999995</v>
      </c>
      <c r="H1271" s="685">
        <v>30.303999999999998</v>
      </c>
      <c r="I1271" s="672" t="s">
        <v>9218</v>
      </c>
      <c r="J1271" s="672" t="s">
        <v>9219</v>
      </c>
      <c r="K1271" s="672" t="s">
        <v>2354</v>
      </c>
      <c r="L1271" s="672" t="s">
        <v>9219</v>
      </c>
    </row>
    <row r="1272" spans="1:12" x14ac:dyDescent="0.2">
      <c r="A1272" s="681" t="s">
        <v>220</v>
      </c>
      <c r="B1272" s="681" t="s">
        <v>2351</v>
      </c>
      <c r="C1272" s="736" t="s">
        <v>4901</v>
      </c>
      <c r="D1272" s="736" t="s">
        <v>4902</v>
      </c>
      <c r="E1272" s="742"/>
      <c r="F1272" s="685">
        <v>15</v>
      </c>
      <c r="G1272" s="737">
        <v>0.21</v>
      </c>
      <c r="H1272" s="685">
        <v>3.15</v>
      </c>
      <c r="I1272" s="672" t="s">
        <v>9218</v>
      </c>
      <c r="J1272" s="672" t="s">
        <v>9219</v>
      </c>
      <c r="K1272" s="672" t="s">
        <v>2354</v>
      </c>
      <c r="L1272" s="672" t="s">
        <v>9219</v>
      </c>
    </row>
    <row r="1273" spans="1:12" x14ac:dyDescent="0.2">
      <c r="A1273" s="681" t="s">
        <v>220</v>
      </c>
      <c r="B1273" s="681" t="s">
        <v>2351</v>
      </c>
      <c r="C1273" s="736" t="s">
        <v>4903</v>
      </c>
      <c r="D1273" s="736" t="s">
        <v>4904</v>
      </c>
      <c r="E1273" s="742"/>
      <c r="F1273" s="685">
        <v>38</v>
      </c>
      <c r="G1273" s="737">
        <v>0.31818000000000002</v>
      </c>
      <c r="H1273" s="685">
        <v>12.09084</v>
      </c>
      <c r="I1273" s="672" t="s">
        <v>9218</v>
      </c>
      <c r="J1273" s="672" t="s">
        <v>9219</v>
      </c>
      <c r="K1273" s="672" t="s">
        <v>2354</v>
      </c>
      <c r="L1273" s="672" t="s">
        <v>9219</v>
      </c>
    </row>
    <row r="1274" spans="1:12" x14ac:dyDescent="0.2">
      <c r="A1274" s="681" t="s">
        <v>220</v>
      </c>
      <c r="B1274" s="681" t="s">
        <v>2351</v>
      </c>
      <c r="C1274" s="736" t="s">
        <v>4905</v>
      </c>
      <c r="D1274" s="736" t="s">
        <v>4906</v>
      </c>
      <c r="E1274" s="742"/>
      <c r="F1274" s="685">
        <v>41</v>
      </c>
      <c r="G1274" s="737">
        <v>0.44500000000000001</v>
      </c>
      <c r="H1274" s="685">
        <v>18.245000000000001</v>
      </c>
      <c r="I1274" s="672" t="s">
        <v>9218</v>
      </c>
      <c r="J1274" s="672" t="s">
        <v>9219</v>
      </c>
      <c r="K1274" s="672" t="s">
        <v>2354</v>
      </c>
      <c r="L1274" s="672" t="s">
        <v>9219</v>
      </c>
    </row>
    <row r="1275" spans="1:12" x14ac:dyDescent="0.2">
      <c r="A1275" s="681" t="s">
        <v>220</v>
      </c>
      <c r="B1275" s="681" t="s">
        <v>2351</v>
      </c>
      <c r="C1275" s="736" t="s">
        <v>4907</v>
      </c>
      <c r="D1275" s="736" t="s">
        <v>4908</v>
      </c>
      <c r="E1275" s="742"/>
      <c r="F1275" s="685">
        <v>115</v>
      </c>
      <c r="G1275" s="737">
        <v>0.58799999999999997</v>
      </c>
      <c r="H1275" s="685">
        <v>67.61999999999999</v>
      </c>
      <c r="I1275" s="672" t="s">
        <v>9218</v>
      </c>
      <c r="J1275" s="672" t="s">
        <v>9219</v>
      </c>
      <c r="K1275" s="672" t="s">
        <v>2354</v>
      </c>
      <c r="L1275" s="672" t="s">
        <v>9219</v>
      </c>
    </row>
    <row r="1276" spans="1:12" x14ac:dyDescent="0.2">
      <c r="A1276" s="681" t="s">
        <v>220</v>
      </c>
      <c r="B1276" s="681" t="s">
        <v>2351</v>
      </c>
      <c r="C1276" s="736" t="s">
        <v>4909</v>
      </c>
      <c r="D1276" s="736" t="s">
        <v>4910</v>
      </c>
      <c r="E1276" s="742"/>
      <c r="F1276" s="685">
        <v>97</v>
      </c>
      <c r="G1276" s="737">
        <v>0.67300000000000004</v>
      </c>
      <c r="H1276" s="685">
        <v>65.281000000000006</v>
      </c>
      <c r="I1276" s="672" t="s">
        <v>9218</v>
      </c>
      <c r="J1276" s="672" t="s">
        <v>9219</v>
      </c>
      <c r="K1276" s="672" t="s">
        <v>2354</v>
      </c>
      <c r="L1276" s="672" t="s">
        <v>9219</v>
      </c>
    </row>
    <row r="1277" spans="1:12" x14ac:dyDescent="0.2">
      <c r="A1277" s="681" t="s">
        <v>220</v>
      </c>
      <c r="B1277" s="681" t="s">
        <v>2351</v>
      </c>
      <c r="C1277" s="736" t="s">
        <v>4911</v>
      </c>
      <c r="D1277" s="736" t="s">
        <v>4912</v>
      </c>
      <c r="E1277" s="742"/>
      <c r="F1277" s="685">
        <v>57</v>
      </c>
      <c r="G1277" s="737">
        <v>0.69615000000000005</v>
      </c>
      <c r="H1277" s="685">
        <v>39.680550000000004</v>
      </c>
      <c r="I1277" s="672" t="s">
        <v>9218</v>
      </c>
      <c r="J1277" s="672" t="s">
        <v>9219</v>
      </c>
      <c r="K1277" s="672" t="s">
        <v>2354</v>
      </c>
      <c r="L1277" s="672" t="s">
        <v>9219</v>
      </c>
    </row>
    <row r="1278" spans="1:12" x14ac:dyDescent="0.2">
      <c r="A1278" s="681" t="s">
        <v>220</v>
      </c>
      <c r="B1278" s="681" t="s">
        <v>2351</v>
      </c>
      <c r="C1278" s="736" t="s">
        <v>4913</v>
      </c>
      <c r="D1278" s="736" t="s">
        <v>4914</v>
      </c>
      <c r="E1278" s="742"/>
      <c r="F1278" s="685">
        <v>4</v>
      </c>
      <c r="G1278" s="737">
        <v>1.071</v>
      </c>
      <c r="H1278" s="685">
        <v>4.2839999999999998</v>
      </c>
      <c r="I1278" s="672" t="s">
        <v>9218</v>
      </c>
      <c r="J1278" s="672" t="s">
        <v>9219</v>
      </c>
      <c r="K1278" s="672" t="s">
        <v>2354</v>
      </c>
      <c r="L1278" s="672" t="s">
        <v>9219</v>
      </c>
    </row>
    <row r="1279" spans="1:12" x14ac:dyDescent="0.2">
      <c r="A1279" s="681" t="s">
        <v>220</v>
      </c>
      <c r="B1279" s="681" t="s">
        <v>2351</v>
      </c>
      <c r="C1279" s="736" t="s">
        <v>5086</v>
      </c>
      <c r="D1279" s="736" t="s">
        <v>5087</v>
      </c>
      <c r="E1279" s="742"/>
      <c r="F1279" s="685">
        <v>30</v>
      </c>
      <c r="G1279" s="737">
        <v>8.5980000000000001E-2</v>
      </c>
      <c r="H1279" s="685">
        <v>2.5794000000000001</v>
      </c>
      <c r="I1279" s="672" t="s">
        <v>9218</v>
      </c>
      <c r="J1279" s="672" t="s">
        <v>9219</v>
      </c>
      <c r="K1279" s="672" t="s">
        <v>2354</v>
      </c>
      <c r="L1279" s="672" t="s">
        <v>9219</v>
      </c>
    </row>
    <row r="1280" spans="1:12" x14ac:dyDescent="0.2">
      <c r="A1280" s="681" t="s">
        <v>220</v>
      </c>
      <c r="B1280" s="681" t="s">
        <v>2351</v>
      </c>
      <c r="C1280" s="736" t="s">
        <v>5088</v>
      </c>
      <c r="D1280" s="736" t="s">
        <v>5089</v>
      </c>
      <c r="E1280" s="742"/>
      <c r="F1280" s="685">
        <v>140</v>
      </c>
      <c r="G1280" s="737">
        <v>4.7600000000000003E-2</v>
      </c>
      <c r="H1280" s="685">
        <v>6.6640000000000006</v>
      </c>
      <c r="I1280" s="672" t="s">
        <v>9218</v>
      </c>
      <c r="J1280" s="672" t="s">
        <v>9219</v>
      </c>
      <c r="K1280" s="672" t="s">
        <v>2354</v>
      </c>
      <c r="L1280" s="672" t="s">
        <v>9219</v>
      </c>
    </row>
    <row r="1281" spans="1:12" x14ac:dyDescent="0.2">
      <c r="A1281" s="681" t="s">
        <v>220</v>
      </c>
      <c r="B1281" s="681" t="s">
        <v>2351</v>
      </c>
      <c r="C1281" s="736" t="s">
        <v>5094</v>
      </c>
      <c r="D1281" s="736" t="s">
        <v>5095</v>
      </c>
      <c r="E1281" s="742"/>
      <c r="F1281" s="685">
        <v>81</v>
      </c>
      <c r="G1281" s="737">
        <v>0.85746000000000011</v>
      </c>
      <c r="H1281" s="685">
        <v>69.454260000000005</v>
      </c>
      <c r="I1281" s="672" t="s">
        <v>9218</v>
      </c>
      <c r="J1281" s="672" t="s">
        <v>9219</v>
      </c>
      <c r="K1281" s="672" t="s">
        <v>2354</v>
      </c>
      <c r="L1281" s="672" t="s">
        <v>9219</v>
      </c>
    </row>
    <row r="1282" spans="1:12" x14ac:dyDescent="0.2">
      <c r="A1282" s="681" t="s">
        <v>220</v>
      </c>
      <c r="B1282" s="681" t="s">
        <v>2351</v>
      </c>
      <c r="C1282" s="736" t="s">
        <v>5102</v>
      </c>
      <c r="D1282" s="736" t="s">
        <v>5103</v>
      </c>
      <c r="E1282" s="742"/>
      <c r="F1282" s="685">
        <v>71</v>
      </c>
      <c r="G1282" s="737">
        <v>0.26656000000000002</v>
      </c>
      <c r="H1282" s="685">
        <v>18.92576</v>
      </c>
      <c r="I1282" s="672" t="s">
        <v>9218</v>
      </c>
      <c r="J1282" s="672" t="s">
        <v>9219</v>
      </c>
      <c r="K1282" s="672" t="s">
        <v>2354</v>
      </c>
      <c r="L1282" s="672" t="s">
        <v>9219</v>
      </c>
    </row>
    <row r="1283" spans="1:12" x14ac:dyDescent="0.2">
      <c r="A1283" s="681" t="s">
        <v>220</v>
      </c>
      <c r="B1283" s="681" t="s">
        <v>2351</v>
      </c>
      <c r="C1283" s="736" t="s">
        <v>5106</v>
      </c>
      <c r="D1283" s="736" t="s">
        <v>5107</v>
      </c>
      <c r="E1283" s="742"/>
      <c r="F1283" s="685">
        <v>28</v>
      </c>
      <c r="G1283" s="737">
        <v>1.00674</v>
      </c>
      <c r="H1283" s="685">
        <v>28.18872</v>
      </c>
      <c r="I1283" s="672" t="s">
        <v>9218</v>
      </c>
      <c r="J1283" s="672" t="s">
        <v>9219</v>
      </c>
      <c r="K1283" s="672" t="s">
        <v>2354</v>
      </c>
      <c r="L1283" s="672" t="s">
        <v>9219</v>
      </c>
    </row>
    <row r="1284" spans="1:12" x14ac:dyDescent="0.2">
      <c r="A1284" s="681" t="s">
        <v>220</v>
      </c>
      <c r="B1284" s="681" t="s">
        <v>2351</v>
      </c>
      <c r="C1284" s="736" t="s">
        <v>5120</v>
      </c>
      <c r="D1284" s="736" t="s">
        <v>5121</v>
      </c>
      <c r="E1284" s="742"/>
      <c r="F1284" s="685">
        <v>18</v>
      </c>
      <c r="G1284" s="737">
        <v>0.19800000000000001</v>
      </c>
      <c r="H1284" s="685">
        <v>3.5640000000000001</v>
      </c>
      <c r="I1284" s="672" t="s">
        <v>9218</v>
      </c>
      <c r="J1284" s="672" t="s">
        <v>9219</v>
      </c>
      <c r="K1284" s="672" t="s">
        <v>2354</v>
      </c>
      <c r="L1284" s="672" t="s">
        <v>9219</v>
      </c>
    </row>
    <row r="1285" spans="1:12" x14ac:dyDescent="0.2">
      <c r="A1285" s="681" t="s">
        <v>220</v>
      </c>
      <c r="B1285" s="681" t="s">
        <v>2351</v>
      </c>
      <c r="C1285" s="736" t="s">
        <v>5122</v>
      </c>
      <c r="D1285" s="736" t="s">
        <v>5123</v>
      </c>
      <c r="E1285" s="742"/>
      <c r="F1285" s="685">
        <v>31</v>
      </c>
      <c r="G1285" s="737">
        <v>0.63200000000000001</v>
      </c>
      <c r="H1285" s="685">
        <v>19.591999999999999</v>
      </c>
      <c r="I1285" s="672" t="s">
        <v>9218</v>
      </c>
      <c r="J1285" s="672" t="s">
        <v>9219</v>
      </c>
      <c r="K1285" s="672" t="s">
        <v>2354</v>
      </c>
      <c r="L1285" s="672" t="s">
        <v>9219</v>
      </c>
    </row>
    <row r="1286" spans="1:12" x14ac:dyDescent="0.2">
      <c r="A1286" s="681" t="s">
        <v>220</v>
      </c>
      <c r="B1286" s="681" t="s">
        <v>2351</v>
      </c>
      <c r="C1286" s="736" t="s">
        <v>5124</v>
      </c>
      <c r="D1286" s="736" t="s">
        <v>5125</v>
      </c>
      <c r="E1286" s="742"/>
      <c r="F1286" s="685">
        <v>140</v>
      </c>
      <c r="G1286" s="737">
        <v>0.40799999999999997</v>
      </c>
      <c r="H1286" s="685">
        <v>57.12</v>
      </c>
      <c r="I1286" s="672" t="s">
        <v>9218</v>
      </c>
      <c r="J1286" s="672" t="s">
        <v>9219</v>
      </c>
      <c r="K1286" s="672" t="s">
        <v>2354</v>
      </c>
      <c r="L1286" s="672" t="s">
        <v>9219</v>
      </c>
    </row>
    <row r="1287" spans="1:12" x14ac:dyDescent="0.2">
      <c r="A1287" s="681" t="s">
        <v>220</v>
      </c>
      <c r="B1287" s="681" t="s">
        <v>2351</v>
      </c>
      <c r="C1287" s="736" t="s">
        <v>5130</v>
      </c>
      <c r="D1287" s="736" t="s">
        <v>5131</v>
      </c>
      <c r="E1287" s="742"/>
      <c r="F1287" s="685">
        <v>18</v>
      </c>
      <c r="G1287" s="737">
        <v>1.0429999999999999</v>
      </c>
      <c r="H1287" s="685">
        <v>18.773999999999997</v>
      </c>
      <c r="I1287" s="672" t="s">
        <v>9218</v>
      </c>
      <c r="J1287" s="672" t="s">
        <v>9219</v>
      </c>
      <c r="K1287" s="672" t="s">
        <v>2354</v>
      </c>
      <c r="L1287" s="672" t="s">
        <v>9219</v>
      </c>
    </row>
    <row r="1288" spans="1:12" x14ac:dyDescent="0.2">
      <c r="A1288" s="681" t="s">
        <v>220</v>
      </c>
      <c r="B1288" s="681" t="s">
        <v>2351</v>
      </c>
      <c r="C1288" s="736" t="s">
        <v>5140</v>
      </c>
      <c r="D1288" s="736" t="s">
        <v>5141</v>
      </c>
      <c r="E1288" s="742"/>
      <c r="F1288" s="685">
        <v>82</v>
      </c>
      <c r="G1288" s="737">
        <v>0.34900939226519334</v>
      </c>
      <c r="H1288" s="685">
        <v>28.618770165745854</v>
      </c>
      <c r="I1288" s="672" t="s">
        <v>9218</v>
      </c>
      <c r="J1288" s="672" t="s">
        <v>9219</v>
      </c>
      <c r="K1288" s="672" t="s">
        <v>2354</v>
      </c>
      <c r="L1288" s="672" t="s">
        <v>9219</v>
      </c>
    </row>
    <row r="1289" spans="1:12" x14ac:dyDescent="0.2">
      <c r="A1289" s="681" t="s">
        <v>220</v>
      </c>
      <c r="B1289" s="681" t="s">
        <v>2351</v>
      </c>
      <c r="C1289" s="736"/>
      <c r="D1289" s="736" t="s">
        <v>2390</v>
      </c>
      <c r="E1289" s="742"/>
      <c r="F1289" s="685">
        <v>221</v>
      </c>
      <c r="G1289" s="737">
        <v>0.1061</v>
      </c>
      <c r="H1289" s="685">
        <v>23.4481</v>
      </c>
      <c r="I1289" s="672" t="s">
        <v>9218</v>
      </c>
      <c r="J1289" s="672" t="s">
        <v>9219</v>
      </c>
      <c r="K1289" s="672" t="s">
        <v>2354</v>
      </c>
      <c r="L1289" s="672" t="s">
        <v>9219</v>
      </c>
    </row>
    <row r="1290" spans="1:12" x14ac:dyDescent="0.2">
      <c r="A1290" s="681" t="s">
        <v>220</v>
      </c>
      <c r="B1290" s="681" t="s">
        <v>2351</v>
      </c>
      <c r="C1290" s="736"/>
      <c r="D1290" s="736" t="s">
        <v>2389</v>
      </c>
      <c r="E1290" s="742"/>
      <c r="F1290" s="685">
        <v>160</v>
      </c>
      <c r="G1290" s="737">
        <v>9.5460000000000003E-2</v>
      </c>
      <c r="H1290" s="685">
        <v>15.2736</v>
      </c>
      <c r="I1290" s="672" t="s">
        <v>9218</v>
      </c>
      <c r="J1290" s="672" t="s">
        <v>9219</v>
      </c>
      <c r="K1290" s="672" t="s">
        <v>2354</v>
      </c>
      <c r="L1290" s="672" t="s">
        <v>9219</v>
      </c>
    </row>
    <row r="1291" spans="1:12" x14ac:dyDescent="0.2">
      <c r="A1291" s="681" t="s">
        <v>220</v>
      </c>
      <c r="B1291" s="681" t="s">
        <v>2351</v>
      </c>
      <c r="C1291" s="736"/>
      <c r="D1291" s="736" t="s">
        <v>9389</v>
      </c>
      <c r="E1291" s="742"/>
      <c r="F1291" s="685">
        <v>27</v>
      </c>
      <c r="G1291" s="737">
        <v>6.2E-2</v>
      </c>
      <c r="H1291" s="685">
        <v>1.6739999999999999</v>
      </c>
      <c r="I1291" s="672" t="s">
        <v>9218</v>
      </c>
      <c r="J1291" s="672" t="s">
        <v>9219</v>
      </c>
      <c r="K1291" s="672" t="s">
        <v>2354</v>
      </c>
      <c r="L1291" s="672" t="s">
        <v>9219</v>
      </c>
    </row>
    <row r="1292" spans="1:12" x14ac:dyDescent="0.2">
      <c r="A1292" s="681" t="s">
        <v>220</v>
      </c>
      <c r="B1292" s="681" t="s">
        <v>2351</v>
      </c>
      <c r="C1292" s="736"/>
      <c r="D1292" s="736" t="s">
        <v>2391</v>
      </c>
      <c r="E1292" s="742"/>
      <c r="F1292" s="685">
        <v>37</v>
      </c>
      <c r="G1292" s="737">
        <v>7.4270000000000003E-2</v>
      </c>
      <c r="H1292" s="685">
        <v>2.7479900000000002</v>
      </c>
      <c r="I1292" s="672" t="s">
        <v>9218</v>
      </c>
      <c r="J1292" s="672" t="s">
        <v>9219</v>
      </c>
      <c r="K1292" s="672" t="s">
        <v>2354</v>
      </c>
      <c r="L1292" s="672" t="s">
        <v>9219</v>
      </c>
    </row>
    <row r="1293" spans="1:12" x14ac:dyDescent="0.2">
      <c r="A1293" s="681" t="s">
        <v>220</v>
      </c>
      <c r="B1293" s="681" t="s">
        <v>2351</v>
      </c>
      <c r="C1293" s="736" t="s">
        <v>3921</v>
      </c>
      <c r="D1293" s="736" t="s">
        <v>3922</v>
      </c>
      <c r="E1293" s="742"/>
      <c r="F1293" s="685">
        <v>14</v>
      </c>
      <c r="G1293" s="737">
        <v>0.127</v>
      </c>
      <c r="H1293" s="685">
        <v>1.778</v>
      </c>
      <c r="I1293" s="672" t="s">
        <v>9218</v>
      </c>
      <c r="J1293" s="672" t="s">
        <v>9219</v>
      </c>
      <c r="K1293" s="672" t="s">
        <v>2354</v>
      </c>
      <c r="L1293" s="672" t="s">
        <v>9219</v>
      </c>
    </row>
    <row r="1294" spans="1:12" x14ac:dyDescent="0.2">
      <c r="A1294" s="681" t="s">
        <v>220</v>
      </c>
      <c r="B1294" s="681" t="s">
        <v>2351</v>
      </c>
      <c r="C1294" s="736" t="s">
        <v>5018</v>
      </c>
      <c r="D1294" s="736" t="s">
        <v>5019</v>
      </c>
      <c r="E1294" s="742"/>
      <c r="F1294" s="685">
        <v>44</v>
      </c>
      <c r="G1294" s="737">
        <v>0.16</v>
      </c>
      <c r="H1294" s="685">
        <v>7.04</v>
      </c>
      <c r="I1294" s="672" t="s">
        <v>9218</v>
      </c>
      <c r="J1294" s="672" t="s">
        <v>9219</v>
      </c>
      <c r="K1294" s="672" t="s">
        <v>2354</v>
      </c>
      <c r="L1294" s="672" t="s">
        <v>9219</v>
      </c>
    </row>
    <row r="1295" spans="1:12" x14ac:dyDescent="0.2">
      <c r="A1295" s="681" t="s">
        <v>220</v>
      </c>
      <c r="B1295" s="681" t="s">
        <v>2351</v>
      </c>
      <c r="C1295" s="736" t="s">
        <v>5384</v>
      </c>
      <c r="D1295" s="736" t="s">
        <v>5385</v>
      </c>
      <c r="E1295" s="742"/>
      <c r="F1295" s="685">
        <v>81</v>
      </c>
      <c r="G1295" s="737">
        <v>0.53974999999999995</v>
      </c>
      <c r="H1295" s="685">
        <v>43.719749999999998</v>
      </c>
      <c r="I1295" s="672" t="s">
        <v>9218</v>
      </c>
      <c r="J1295" s="672" t="s">
        <v>9219</v>
      </c>
      <c r="K1295" s="672" t="s">
        <v>2354</v>
      </c>
      <c r="L1295" s="672" t="s">
        <v>9219</v>
      </c>
    </row>
    <row r="1296" spans="1:12" x14ac:dyDescent="0.2">
      <c r="A1296" s="681" t="s">
        <v>220</v>
      </c>
      <c r="B1296" s="681" t="s">
        <v>2351</v>
      </c>
      <c r="C1296" s="736" t="s">
        <v>5084</v>
      </c>
      <c r="D1296" s="736" t="s">
        <v>5085</v>
      </c>
      <c r="E1296" s="742"/>
      <c r="F1296" s="685">
        <v>8</v>
      </c>
      <c r="G1296" s="737">
        <v>0.57757000000000003</v>
      </c>
      <c r="H1296" s="685">
        <v>4.6205600000000002</v>
      </c>
      <c r="I1296" s="672" t="s">
        <v>9218</v>
      </c>
      <c r="J1296" s="672" t="s">
        <v>9219</v>
      </c>
      <c r="K1296" s="672" t="s">
        <v>2354</v>
      </c>
      <c r="L1296" s="672" t="s">
        <v>9219</v>
      </c>
    </row>
    <row r="1297" spans="1:12" x14ac:dyDescent="0.2">
      <c r="A1297" s="681" t="s">
        <v>220</v>
      </c>
      <c r="B1297" s="681" t="s">
        <v>2351</v>
      </c>
      <c r="C1297" s="736" t="s">
        <v>5386</v>
      </c>
      <c r="D1297" s="736" t="s">
        <v>5387</v>
      </c>
      <c r="E1297" s="742"/>
      <c r="F1297" s="685">
        <v>4</v>
      </c>
      <c r="G1297" s="737">
        <v>4.505E-2</v>
      </c>
      <c r="H1297" s="685">
        <v>0.1802</v>
      </c>
      <c r="I1297" s="672" t="s">
        <v>9218</v>
      </c>
      <c r="J1297" s="672" t="s">
        <v>9219</v>
      </c>
      <c r="K1297" s="672" t="s">
        <v>2354</v>
      </c>
      <c r="L1297" s="672" t="s">
        <v>9219</v>
      </c>
    </row>
    <row r="1298" spans="1:12" x14ac:dyDescent="0.2">
      <c r="A1298" s="681" t="s">
        <v>220</v>
      </c>
      <c r="B1298" s="681" t="s">
        <v>2351</v>
      </c>
      <c r="C1298" s="736" t="s">
        <v>5388</v>
      </c>
      <c r="D1298" s="736" t="s">
        <v>5389</v>
      </c>
      <c r="E1298" s="742"/>
      <c r="F1298" s="685">
        <v>130</v>
      </c>
      <c r="G1298" s="737">
        <v>4.8576666666666671E-2</v>
      </c>
      <c r="H1298" s="685">
        <v>6.3149666666666668</v>
      </c>
      <c r="I1298" s="672" t="s">
        <v>9218</v>
      </c>
      <c r="J1298" s="672" t="s">
        <v>9219</v>
      </c>
      <c r="K1298" s="672" t="s">
        <v>2354</v>
      </c>
      <c r="L1298" s="672" t="s">
        <v>9219</v>
      </c>
    </row>
    <row r="1299" spans="1:12" x14ac:dyDescent="0.2">
      <c r="A1299" s="681" t="s">
        <v>220</v>
      </c>
      <c r="B1299" s="681" t="s">
        <v>2351</v>
      </c>
      <c r="C1299" s="736" t="s">
        <v>5114</v>
      </c>
      <c r="D1299" s="736" t="s">
        <v>5115</v>
      </c>
      <c r="E1299" s="742"/>
      <c r="F1299" s="685">
        <v>263</v>
      </c>
      <c r="G1299" s="737">
        <v>0</v>
      </c>
      <c r="H1299" s="685">
        <v>0</v>
      </c>
      <c r="I1299" s="672" t="s">
        <v>9218</v>
      </c>
      <c r="J1299" s="672" t="s">
        <v>9219</v>
      </c>
      <c r="K1299" s="672" t="s">
        <v>2354</v>
      </c>
      <c r="L1299" s="672" t="s">
        <v>9219</v>
      </c>
    </row>
    <row r="1300" spans="1:12" x14ac:dyDescent="0.2">
      <c r="A1300" s="681" t="s">
        <v>220</v>
      </c>
      <c r="B1300" s="681" t="s">
        <v>2351</v>
      </c>
      <c r="C1300" s="736" t="s">
        <v>5116</v>
      </c>
      <c r="D1300" s="736" t="s">
        <v>5117</v>
      </c>
      <c r="E1300" s="742"/>
      <c r="F1300" s="685">
        <v>22</v>
      </c>
      <c r="G1300" s="737">
        <v>5.1999999999999998E-2</v>
      </c>
      <c r="H1300" s="685">
        <v>1.1439999999999999</v>
      </c>
      <c r="I1300" s="672" t="s">
        <v>9218</v>
      </c>
      <c r="J1300" s="672" t="s">
        <v>9219</v>
      </c>
      <c r="K1300" s="672" t="s">
        <v>2354</v>
      </c>
      <c r="L1300" s="672" t="s">
        <v>9219</v>
      </c>
    </row>
    <row r="1301" spans="1:12" x14ac:dyDescent="0.2">
      <c r="A1301" s="681" t="s">
        <v>220</v>
      </c>
      <c r="B1301" s="681" t="s">
        <v>2351</v>
      </c>
      <c r="C1301" s="736" t="s">
        <v>5136</v>
      </c>
      <c r="D1301" s="736" t="s">
        <v>5137</v>
      </c>
      <c r="E1301" s="742"/>
      <c r="F1301" s="685">
        <v>160</v>
      </c>
      <c r="G1301" s="737">
        <v>0.96084849999999999</v>
      </c>
      <c r="H1301" s="685">
        <v>153.73576</v>
      </c>
      <c r="I1301" s="672" t="s">
        <v>9218</v>
      </c>
      <c r="J1301" s="672" t="s">
        <v>9219</v>
      </c>
      <c r="K1301" s="672" t="s">
        <v>2354</v>
      </c>
      <c r="L1301" s="672" t="s">
        <v>9219</v>
      </c>
    </row>
    <row r="1302" spans="1:12" x14ac:dyDescent="0.2">
      <c r="A1302" s="681" t="s">
        <v>220</v>
      </c>
      <c r="B1302" s="681" t="s">
        <v>2351</v>
      </c>
      <c r="C1302" s="736" t="s">
        <v>4648</v>
      </c>
      <c r="D1302" s="736" t="s">
        <v>4649</v>
      </c>
      <c r="E1302" s="742"/>
      <c r="F1302" s="685">
        <v>72</v>
      </c>
      <c r="G1302" s="737">
        <v>0.125</v>
      </c>
      <c r="H1302" s="685">
        <v>9</v>
      </c>
      <c r="I1302" s="672" t="s">
        <v>9218</v>
      </c>
      <c r="J1302" s="672" t="s">
        <v>9219</v>
      </c>
      <c r="K1302" s="672" t="s">
        <v>2354</v>
      </c>
      <c r="L1302" s="672" t="s">
        <v>9219</v>
      </c>
    </row>
    <row r="1303" spans="1:12" x14ac:dyDescent="0.2">
      <c r="A1303" s="681" t="s">
        <v>220</v>
      </c>
      <c r="B1303" s="681" t="s">
        <v>2351</v>
      </c>
      <c r="C1303" s="736" t="s">
        <v>4678</v>
      </c>
      <c r="D1303" s="736" t="s">
        <v>4679</v>
      </c>
      <c r="E1303" s="742"/>
      <c r="F1303" s="685">
        <v>31</v>
      </c>
      <c r="G1303" s="737">
        <v>0.48481246339775336</v>
      </c>
      <c r="H1303" s="685">
        <v>15.029186365330354</v>
      </c>
      <c r="I1303" s="672" t="s">
        <v>9218</v>
      </c>
      <c r="J1303" s="672" t="s">
        <v>9219</v>
      </c>
      <c r="K1303" s="672" t="s">
        <v>2354</v>
      </c>
      <c r="L1303" s="672" t="s">
        <v>9219</v>
      </c>
    </row>
    <row r="1304" spans="1:12" x14ac:dyDescent="0.2">
      <c r="A1304" s="681" t="s">
        <v>220</v>
      </c>
      <c r="B1304" s="681" t="s">
        <v>2351</v>
      </c>
      <c r="C1304" s="736" t="s">
        <v>4680</v>
      </c>
      <c r="D1304" s="736" t="s">
        <v>4681</v>
      </c>
      <c r="E1304" s="742"/>
      <c r="F1304" s="685">
        <v>30</v>
      </c>
      <c r="G1304" s="737">
        <v>0.46</v>
      </c>
      <c r="H1304" s="685">
        <v>13.8</v>
      </c>
      <c r="I1304" s="672" t="s">
        <v>9218</v>
      </c>
      <c r="J1304" s="672" t="s">
        <v>9219</v>
      </c>
      <c r="K1304" s="672" t="s">
        <v>2354</v>
      </c>
      <c r="L1304" s="672" t="s">
        <v>9219</v>
      </c>
    </row>
    <row r="1305" spans="1:12" x14ac:dyDescent="0.2">
      <c r="A1305" s="681" t="s">
        <v>220</v>
      </c>
      <c r="B1305" s="681" t="s">
        <v>2351</v>
      </c>
      <c r="C1305" s="736" t="s">
        <v>4690</v>
      </c>
      <c r="D1305" s="736" t="s">
        <v>4691</v>
      </c>
      <c r="E1305" s="742"/>
      <c r="F1305" s="685">
        <v>18</v>
      </c>
      <c r="G1305" s="737">
        <v>0.62900999999999996</v>
      </c>
      <c r="H1305" s="685">
        <v>11.322179999999999</v>
      </c>
      <c r="I1305" s="672" t="s">
        <v>9218</v>
      </c>
      <c r="J1305" s="672" t="s">
        <v>9219</v>
      </c>
      <c r="K1305" s="672" t="s">
        <v>2354</v>
      </c>
      <c r="L1305" s="672" t="s">
        <v>9219</v>
      </c>
    </row>
    <row r="1306" spans="1:12" x14ac:dyDescent="0.2">
      <c r="A1306" s="681" t="s">
        <v>220</v>
      </c>
      <c r="B1306" s="681" t="s">
        <v>2351</v>
      </c>
      <c r="C1306" s="736" t="s">
        <v>4700</v>
      </c>
      <c r="D1306" s="736" t="s">
        <v>4701</v>
      </c>
      <c r="E1306" s="742"/>
      <c r="F1306" s="685">
        <v>63</v>
      </c>
      <c r="G1306" s="737">
        <v>2.5437308868501526E-2</v>
      </c>
      <c r="H1306" s="685">
        <v>1.6025504587155961</v>
      </c>
      <c r="I1306" s="672" t="s">
        <v>9218</v>
      </c>
      <c r="J1306" s="672" t="s">
        <v>9219</v>
      </c>
      <c r="K1306" s="672" t="s">
        <v>2354</v>
      </c>
      <c r="L1306" s="672" t="s">
        <v>9219</v>
      </c>
    </row>
    <row r="1307" spans="1:12" x14ac:dyDescent="0.2">
      <c r="A1307" s="681" t="s">
        <v>220</v>
      </c>
      <c r="B1307" s="681" t="s">
        <v>2351</v>
      </c>
      <c r="C1307" s="736" t="s">
        <v>4744</v>
      </c>
      <c r="D1307" s="736" t="s">
        <v>4745</v>
      </c>
      <c r="E1307" s="742"/>
      <c r="F1307" s="685">
        <v>37</v>
      </c>
      <c r="G1307" s="737">
        <v>30.584700000000002</v>
      </c>
      <c r="H1307" s="685">
        <v>1131.6339</v>
      </c>
      <c r="I1307" s="672" t="s">
        <v>9218</v>
      </c>
      <c r="J1307" s="672" t="s">
        <v>9219</v>
      </c>
      <c r="K1307" s="672" t="s">
        <v>2354</v>
      </c>
      <c r="L1307" s="672" t="s">
        <v>9219</v>
      </c>
    </row>
    <row r="1308" spans="1:12" x14ac:dyDescent="0.2">
      <c r="A1308" s="681" t="s">
        <v>220</v>
      </c>
      <c r="B1308" s="681" t="s">
        <v>2351</v>
      </c>
      <c r="C1308" s="736" t="s">
        <v>4754</v>
      </c>
      <c r="D1308" s="736" t="s">
        <v>4755</v>
      </c>
      <c r="E1308" s="742"/>
      <c r="F1308" s="685">
        <v>78</v>
      </c>
      <c r="G1308" s="737">
        <v>9.3700000000000006E-2</v>
      </c>
      <c r="H1308" s="685">
        <v>7.3086000000000002</v>
      </c>
      <c r="I1308" s="672" t="s">
        <v>9218</v>
      </c>
      <c r="J1308" s="672" t="s">
        <v>9219</v>
      </c>
      <c r="K1308" s="672" t="s">
        <v>2354</v>
      </c>
      <c r="L1308" s="672" t="s">
        <v>9219</v>
      </c>
    </row>
    <row r="1309" spans="1:12" x14ac:dyDescent="0.2">
      <c r="A1309" s="681" t="s">
        <v>220</v>
      </c>
      <c r="B1309" s="681" t="s">
        <v>2351</v>
      </c>
      <c r="C1309" s="736" t="s">
        <v>4915</v>
      </c>
      <c r="D1309" s="736" t="s">
        <v>4916</v>
      </c>
      <c r="E1309" s="742"/>
      <c r="F1309" s="685">
        <v>31</v>
      </c>
      <c r="G1309" s="737">
        <v>1.5776000000000001</v>
      </c>
      <c r="H1309" s="685">
        <v>48.905600000000007</v>
      </c>
      <c r="I1309" s="672" t="s">
        <v>9218</v>
      </c>
      <c r="J1309" s="672" t="s">
        <v>9219</v>
      </c>
      <c r="K1309" s="672" t="s">
        <v>2354</v>
      </c>
      <c r="L1309" s="672" t="s">
        <v>9219</v>
      </c>
    </row>
    <row r="1310" spans="1:12" x14ac:dyDescent="0.2">
      <c r="A1310" s="681" t="s">
        <v>220</v>
      </c>
      <c r="B1310" s="681" t="s">
        <v>2351</v>
      </c>
      <c r="C1310" s="736" t="s">
        <v>4917</v>
      </c>
      <c r="D1310" s="736" t="s">
        <v>4918</v>
      </c>
      <c r="E1310" s="742"/>
      <c r="F1310" s="685">
        <v>120</v>
      </c>
      <c r="G1310" s="737">
        <v>1.069E-2</v>
      </c>
      <c r="H1310" s="685">
        <v>1.2827999999999999</v>
      </c>
      <c r="I1310" s="672" t="s">
        <v>9218</v>
      </c>
      <c r="J1310" s="672" t="s">
        <v>9219</v>
      </c>
      <c r="K1310" s="672" t="s">
        <v>2354</v>
      </c>
      <c r="L1310" s="672" t="s">
        <v>9219</v>
      </c>
    </row>
    <row r="1311" spans="1:12" x14ac:dyDescent="0.2">
      <c r="A1311" s="681" t="s">
        <v>220</v>
      </c>
      <c r="B1311" s="681" t="s">
        <v>2351</v>
      </c>
      <c r="C1311" s="736" t="s">
        <v>4919</v>
      </c>
      <c r="D1311" s="736" t="s">
        <v>4920</v>
      </c>
      <c r="E1311" s="742"/>
      <c r="F1311" s="685">
        <v>133</v>
      </c>
      <c r="G1311" s="737">
        <v>1.2E-2</v>
      </c>
      <c r="H1311" s="685">
        <v>1.5960000000000001</v>
      </c>
      <c r="I1311" s="672" t="s">
        <v>9218</v>
      </c>
      <c r="J1311" s="672" t="s">
        <v>9219</v>
      </c>
      <c r="K1311" s="672" t="s">
        <v>2354</v>
      </c>
      <c r="L1311" s="672" t="s">
        <v>9219</v>
      </c>
    </row>
    <row r="1312" spans="1:12" x14ac:dyDescent="0.2">
      <c r="A1312" s="681" t="s">
        <v>220</v>
      </c>
      <c r="B1312" s="681" t="s">
        <v>2351</v>
      </c>
      <c r="C1312" s="736" t="s">
        <v>4921</v>
      </c>
      <c r="D1312" s="736" t="s">
        <v>4922</v>
      </c>
      <c r="E1312" s="742"/>
      <c r="F1312" s="685">
        <v>28</v>
      </c>
      <c r="G1312" s="737">
        <v>1.7000000000000001E-2</v>
      </c>
      <c r="H1312" s="685">
        <v>0.47600000000000003</v>
      </c>
      <c r="I1312" s="672" t="s">
        <v>9218</v>
      </c>
      <c r="J1312" s="672" t="s">
        <v>9219</v>
      </c>
      <c r="K1312" s="672" t="s">
        <v>2354</v>
      </c>
      <c r="L1312" s="672" t="s">
        <v>9219</v>
      </c>
    </row>
    <row r="1313" spans="1:12" x14ac:dyDescent="0.2">
      <c r="A1313" s="681" t="s">
        <v>220</v>
      </c>
      <c r="B1313" s="681" t="s">
        <v>2351</v>
      </c>
      <c r="C1313" s="736" t="s">
        <v>4925</v>
      </c>
      <c r="D1313" s="736" t="s">
        <v>4926</v>
      </c>
      <c r="E1313" s="742"/>
      <c r="F1313" s="685">
        <v>210</v>
      </c>
      <c r="G1313" s="737">
        <v>0.11</v>
      </c>
      <c r="H1313" s="685">
        <v>23.1</v>
      </c>
      <c r="I1313" s="672" t="s">
        <v>9218</v>
      </c>
      <c r="J1313" s="672" t="s">
        <v>9219</v>
      </c>
      <c r="K1313" s="672" t="s">
        <v>2354</v>
      </c>
      <c r="L1313" s="672" t="s">
        <v>9219</v>
      </c>
    </row>
    <row r="1314" spans="1:12" x14ac:dyDescent="0.2">
      <c r="A1314" s="681" t="s">
        <v>220</v>
      </c>
      <c r="B1314" s="681" t="s">
        <v>2351</v>
      </c>
      <c r="C1314" s="736" t="s">
        <v>4927</v>
      </c>
      <c r="D1314" s="736" t="s">
        <v>4928</v>
      </c>
      <c r="E1314" s="742"/>
      <c r="F1314" s="685">
        <v>211</v>
      </c>
      <c r="G1314" s="737">
        <v>0.127</v>
      </c>
      <c r="H1314" s="685">
        <v>26.797000000000001</v>
      </c>
      <c r="I1314" s="672" t="s">
        <v>9218</v>
      </c>
      <c r="J1314" s="672" t="s">
        <v>9219</v>
      </c>
      <c r="K1314" s="672" t="s">
        <v>2354</v>
      </c>
      <c r="L1314" s="672" t="s">
        <v>9219</v>
      </c>
    </row>
    <row r="1315" spans="1:12" x14ac:dyDescent="0.2">
      <c r="A1315" s="681" t="s">
        <v>220</v>
      </c>
      <c r="B1315" s="681" t="s">
        <v>2351</v>
      </c>
      <c r="C1315" s="736" t="s">
        <v>4929</v>
      </c>
      <c r="D1315" s="736" t="s">
        <v>4930</v>
      </c>
      <c r="E1315" s="742"/>
      <c r="F1315" s="685">
        <v>4</v>
      </c>
      <c r="G1315" s="737">
        <v>0.30299999999999999</v>
      </c>
      <c r="H1315" s="685">
        <v>1.212</v>
      </c>
      <c r="I1315" s="672" t="s">
        <v>9218</v>
      </c>
      <c r="J1315" s="672" t="s">
        <v>9219</v>
      </c>
      <c r="K1315" s="672" t="s">
        <v>2354</v>
      </c>
      <c r="L1315" s="672" t="s">
        <v>9219</v>
      </c>
    </row>
    <row r="1316" spans="1:12" x14ac:dyDescent="0.2">
      <c r="A1316" s="681" t="s">
        <v>220</v>
      </c>
      <c r="B1316" s="681" t="s">
        <v>2351</v>
      </c>
      <c r="C1316" s="736" t="s">
        <v>4931</v>
      </c>
      <c r="D1316" s="736" t="s">
        <v>4932</v>
      </c>
      <c r="E1316" s="742"/>
      <c r="F1316" s="685">
        <v>59</v>
      </c>
      <c r="G1316" s="737">
        <v>7.8E-2</v>
      </c>
      <c r="H1316" s="685">
        <v>4.6020000000000003</v>
      </c>
      <c r="I1316" s="672" t="s">
        <v>9218</v>
      </c>
      <c r="J1316" s="672" t="s">
        <v>9219</v>
      </c>
      <c r="K1316" s="672" t="s">
        <v>2354</v>
      </c>
      <c r="L1316" s="672" t="s">
        <v>9219</v>
      </c>
    </row>
    <row r="1317" spans="1:12" x14ac:dyDescent="0.2">
      <c r="A1317" s="681" t="s">
        <v>220</v>
      </c>
      <c r="B1317" s="681" t="s">
        <v>2351</v>
      </c>
      <c r="C1317" s="736" t="s">
        <v>4933</v>
      </c>
      <c r="D1317" s="736" t="s">
        <v>4934</v>
      </c>
      <c r="E1317" s="742"/>
      <c r="F1317" s="685">
        <v>20</v>
      </c>
      <c r="G1317" s="737">
        <v>7.1999999999999995E-2</v>
      </c>
      <c r="H1317" s="685">
        <v>1.44</v>
      </c>
      <c r="I1317" s="672" t="s">
        <v>9218</v>
      </c>
      <c r="J1317" s="672" t="s">
        <v>9219</v>
      </c>
      <c r="K1317" s="672" t="s">
        <v>2354</v>
      </c>
      <c r="L1317" s="672" t="s">
        <v>9219</v>
      </c>
    </row>
    <row r="1318" spans="1:12" x14ac:dyDescent="0.2">
      <c r="A1318" s="681" t="s">
        <v>220</v>
      </c>
      <c r="B1318" s="681" t="s">
        <v>2351</v>
      </c>
      <c r="C1318" s="736" t="s">
        <v>4935</v>
      </c>
      <c r="D1318" s="736" t="s">
        <v>4936</v>
      </c>
      <c r="E1318" s="742"/>
      <c r="F1318" s="685">
        <v>31</v>
      </c>
      <c r="G1318" s="737">
        <v>8.2000000000000003E-2</v>
      </c>
      <c r="H1318" s="685">
        <v>2.5420000000000003</v>
      </c>
      <c r="I1318" s="672" t="s">
        <v>9218</v>
      </c>
      <c r="J1318" s="672" t="s">
        <v>9219</v>
      </c>
      <c r="K1318" s="672" t="s">
        <v>2354</v>
      </c>
      <c r="L1318" s="672" t="s">
        <v>9219</v>
      </c>
    </row>
    <row r="1319" spans="1:12" x14ac:dyDescent="0.2">
      <c r="A1319" s="681" t="s">
        <v>220</v>
      </c>
      <c r="B1319" s="681" t="s">
        <v>2351</v>
      </c>
      <c r="C1319" s="736" t="s">
        <v>4937</v>
      </c>
      <c r="D1319" s="736" t="s">
        <v>4938</v>
      </c>
      <c r="E1319" s="742"/>
      <c r="F1319" s="685">
        <v>37</v>
      </c>
      <c r="G1319" s="737">
        <v>0.15327726708074535</v>
      </c>
      <c r="H1319" s="685">
        <v>5.671258881987578</v>
      </c>
      <c r="I1319" s="672" t="s">
        <v>9218</v>
      </c>
      <c r="J1319" s="672" t="s">
        <v>9219</v>
      </c>
      <c r="K1319" s="672" t="s">
        <v>2354</v>
      </c>
      <c r="L1319" s="672" t="s">
        <v>9219</v>
      </c>
    </row>
    <row r="1320" spans="1:12" x14ac:dyDescent="0.2">
      <c r="A1320" s="681" t="s">
        <v>220</v>
      </c>
      <c r="B1320" s="681" t="s">
        <v>2351</v>
      </c>
      <c r="C1320" s="736" t="s">
        <v>4939</v>
      </c>
      <c r="D1320" s="736" t="s">
        <v>4940</v>
      </c>
      <c r="E1320" s="742"/>
      <c r="F1320" s="685">
        <v>21</v>
      </c>
      <c r="G1320" s="737">
        <v>0.27565000000000001</v>
      </c>
      <c r="H1320" s="685">
        <v>5.7886500000000005</v>
      </c>
      <c r="I1320" s="672" t="s">
        <v>9218</v>
      </c>
      <c r="J1320" s="672" t="s">
        <v>9219</v>
      </c>
      <c r="K1320" s="672" t="s">
        <v>2354</v>
      </c>
      <c r="L1320" s="672" t="s">
        <v>9219</v>
      </c>
    </row>
    <row r="1321" spans="1:12" x14ac:dyDescent="0.2">
      <c r="A1321" s="681" t="s">
        <v>220</v>
      </c>
      <c r="B1321" s="681" t="s">
        <v>2351</v>
      </c>
      <c r="C1321" s="736" t="s">
        <v>4941</v>
      </c>
      <c r="D1321" s="736" t="s">
        <v>4942</v>
      </c>
      <c r="E1321" s="742"/>
      <c r="F1321" s="685">
        <v>124</v>
      </c>
      <c r="G1321" s="737">
        <v>0.41649999999999998</v>
      </c>
      <c r="H1321" s="685">
        <v>51.646000000000001</v>
      </c>
      <c r="I1321" s="672" t="s">
        <v>9218</v>
      </c>
      <c r="J1321" s="672" t="s">
        <v>9219</v>
      </c>
      <c r="K1321" s="672" t="s">
        <v>2354</v>
      </c>
      <c r="L1321" s="672" t="s">
        <v>9219</v>
      </c>
    </row>
    <row r="1322" spans="1:12" x14ac:dyDescent="0.2">
      <c r="A1322" s="681" t="s">
        <v>220</v>
      </c>
      <c r="B1322" s="681" t="s">
        <v>2351</v>
      </c>
      <c r="C1322" s="736" t="s">
        <v>4943</v>
      </c>
      <c r="D1322" s="736" t="s">
        <v>4944</v>
      </c>
      <c r="E1322" s="742"/>
      <c r="F1322" s="685">
        <v>160</v>
      </c>
      <c r="G1322" s="737">
        <v>3.7376999999999998</v>
      </c>
      <c r="H1322" s="685">
        <v>598.03199999999993</v>
      </c>
      <c r="I1322" s="672" t="s">
        <v>9218</v>
      </c>
      <c r="J1322" s="672" t="s">
        <v>9219</v>
      </c>
      <c r="K1322" s="672" t="s">
        <v>2354</v>
      </c>
      <c r="L1322" s="672" t="s">
        <v>9219</v>
      </c>
    </row>
    <row r="1323" spans="1:12" x14ac:dyDescent="0.2">
      <c r="A1323" s="681" t="s">
        <v>220</v>
      </c>
      <c r="B1323" s="681" t="s">
        <v>2351</v>
      </c>
      <c r="C1323" s="736" t="s">
        <v>5056</v>
      </c>
      <c r="D1323" s="736" t="s">
        <v>5057</v>
      </c>
      <c r="E1323" s="742"/>
      <c r="F1323" s="685">
        <v>56</v>
      </c>
      <c r="G1323" s="737">
        <v>1.1126499999999999</v>
      </c>
      <c r="H1323" s="685">
        <v>62.308399999999992</v>
      </c>
      <c r="I1323" s="672" t="s">
        <v>9218</v>
      </c>
      <c r="J1323" s="672" t="s">
        <v>9219</v>
      </c>
      <c r="K1323" s="672" t="s">
        <v>2354</v>
      </c>
      <c r="L1323" s="672" t="s">
        <v>9219</v>
      </c>
    </row>
    <row r="1324" spans="1:12" x14ac:dyDescent="0.2">
      <c r="A1324" s="681" t="s">
        <v>220</v>
      </c>
      <c r="B1324" s="681" t="s">
        <v>2351</v>
      </c>
      <c r="C1324" s="736" t="s">
        <v>5148</v>
      </c>
      <c r="D1324" s="736" t="s">
        <v>5149</v>
      </c>
      <c r="E1324" s="742"/>
      <c r="F1324" s="685">
        <v>14</v>
      </c>
      <c r="G1324" s="737">
        <v>0.129</v>
      </c>
      <c r="H1324" s="685">
        <v>1.806</v>
      </c>
      <c r="I1324" s="672" t="s">
        <v>9218</v>
      </c>
      <c r="J1324" s="672" t="s">
        <v>9219</v>
      </c>
      <c r="K1324" s="672" t="s">
        <v>2354</v>
      </c>
      <c r="L1324" s="672" t="s">
        <v>9219</v>
      </c>
    </row>
    <row r="1325" spans="1:12" x14ac:dyDescent="0.2">
      <c r="A1325" s="681" t="s">
        <v>220</v>
      </c>
      <c r="B1325" s="681" t="s">
        <v>2351</v>
      </c>
      <c r="C1325" s="736" t="s">
        <v>4692</v>
      </c>
      <c r="D1325" s="736" t="s">
        <v>4693</v>
      </c>
      <c r="E1325" s="742"/>
      <c r="F1325" s="685">
        <v>39</v>
      </c>
      <c r="G1325" s="737">
        <v>0.2465</v>
      </c>
      <c r="H1325" s="685">
        <v>9.6135000000000002</v>
      </c>
      <c r="I1325" s="672" t="s">
        <v>9218</v>
      </c>
      <c r="J1325" s="672" t="s">
        <v>9219</v>
      </c>
      <c r="K1325" s="672" t="s">
        <v>2354</v>
      </c>
      <c r="L1325" s="672" t="s">
        <v>9219</v>
      </c>
    </row>
    <row r="1326" spans="1:12" x14ac:dyDescent="0.2">
      <c r="A1326" s="681" t="s">
        <v>220</v>
      </c>
      <c r="B1326" s="681" t="s">
        <v>2351</v>
      </c>
      <c r="C1326" s="736" t="s">
        <v>4730</v>
      </c>
      <c r="D1326" s="736" t="s">
        <v>4731</v>
      </c>
      <c r="E1326" s="742"/>
      <c r="F1326" s="685">
        <v>48</v>
      </c>
      <c r="G1326" s="737">
        <v>3.15</v>
      </c>
      <c r="H1326" s="685">
        <v>151.19999999999999</v>
      </c>
      <c r="I1326" s="672" t="s">
        <v>9218</v>
      </c>
      <c r="J1326" s="672" t="s">
        <v>9219</v>
      </c>
      <c r="K1326" s="672" t="s">
        <v>2354</v>
      </c>
      <c r="L1326" s="672" t="s">
        <v>9219</v>
      </c>
    </row>
    <row r="1327" spans="1:12" x14ac:dyDescent="0.2">
      <c r="A1327" s="681" t="s">
        <v>220</v>
      </c>
      <c r="B1327" s="681" t="s">
        <v>2351</v>
      </c>
      <c r="C1327" s="736" t="s">
        <v>4973</v>
      </c>
      <c r="D1327" s="736" t="s">
        <v>4974</v>
      </c>
      <c r="E1327" s="742"/>
      <c r="F1327" s="685">
        <v>132</v>
      </c>
      <c r="G1327" s="737">
        <v>6.1900000000000002E-3</v>
      </c>
      <c r="H1327" s="685">
        <v>0.81708000000000003</v>
      </c>
      <c r="I1327" s="672" t="s">
        <v>9218</v>
      </c>
      <c r="J1327" s="672" t="s">
        <v>9219</v>
      </c>
      <c r="K1327" s="672" t="s">
        <v>2354</v>
      </c>
      <c r="L1327" s="672" t="s">
        <v>9219</v>
      </c>
    </row>
    <row r="1328" spans="1:12" x14ac:dyDescent="0.2">
      <c r="A1328" s="681" t="s">
        <v>220</v>
      </c>
      <c r="B1328" s="681" t="s">
        <v>2351</v>
      </c>
      <c r="C1328" s="736" t="s">
        <v>4975</v>
      </c>
      <c r="D1328" s="736" t="s">
        <v>4976</v>
      </c>
      <c r="E1328" s="742"/>
      <c r="F1328" s="685">
        <v>87</v>
      </c>
      <c r="G1328" s="737">
        <v>7.6499999999999999E-2</v>
      </c>
      <c r="H1328" s="685">
        <v>6.6555</v>
      </c>
      <c r="I1328" s="672" t="s">
        <v>9218</v>
      </c>
      <c r="J1328" s="672" t="s">
        <v>9219</v>
      </c>
      <c r="K1328" s="672" t="s">
        <v>2354</v>
      </c>
      <c r="L1328" s="672" t="s">
        <v>9219</v>
      </c>
    </row>
    <row r="1329" spans="1:12" x14ac:dyDescent="0.2">
      <c r="A1329" s="681" t="s">
        <v>220</v>
      </c>
      <c r="B1329" s="681" t="s">
        <v>2351</v>
      </c>
      <c r="C1329" s="736" t="s">
        <v>4977</v>
      </c>
      <c r="D1329" s="736" t="s">
        <v>4978</v>
      </c>
      <c r="E1329" s="742"/>
      <c r="F1329" s="685">
        <v>72</v>
      </c>
      <c r="G1329" s="737">
        <v>4.2750000000000003E-2</v>
      </c>
      <c r="H1329" s="685">
        <v>3.0780000000000003</v>
      </c>
      <c r="I1329" s="672" t="s">
        <v>9218</v>
      </c>
      <c r="J1329" s="672" t="s">
        <v>9219</v>
      </c>
      <c r="K1329" s="672" t="s">
        <v>2354</v>
      </c>
      <c r="L1329" s="672" t="s">
        <v>9219</v>
      </c>
    </row>
    <row r="1330" spans="1:12" x14ac:dyDescent="0.2">
      <c r="A1330" s="681" t="s">
        <v>220</v>
      </c>
      <c r="B1330" s="681" t="s">
        <v>2351</v>
      </c>
      <c r="C1330" s="736" t="s">
        <v>4979</v>
      </c>
      <c r="D1330" s="736" t="s">
        <v>4980</v>
      </c>
      <c r="E1330" s="742"/>
      <c r="F1330" s="685">
        <v>103</v>
      </c>
      <c r="G1330" s="737">
        <v>2.826E-2</v>
      </c>
      <c r="H1330" s="685">
        <v>2.9107799999999999</v>
      </c>
      <c r="I1330" s="672" t="s">
        <v>9218</v>
      </c>
      <c r="J1330" s="672" t="s">
        <v>9219</v>
      </c>
      <c r="K1330" s="672" t="s">
        <v>2354</v>
      </c>
      <c r="L1330" s="672" t="s">
        <v>9219</v>
      </c>
    </row>
    <row r="1331" spans="1:12" x14ac:dyDescent="0.2">
      <c r="A1331" s="681" t="s">
        <v>220</v>
      </c>
      <c r="B1331" s="681" t="s">
        <v>2351</v>
      </c>
      <c r="C1331" s="736" t="s">
        <v>4981</v>
      </c>
      <c r="D1331" s="736" t="s">
        <v>4982</v>
      </c>
      <c r="E1331" s="742"/>
      <c r="F1331" s="685">
        <v>4</v>
      </c>
      <c r="G1331" s="737">
        <v>8.1000000000000003E-2</v>
      </c>
      <c r="H1331" s="685">
        <v>0.32400000000000001</v>
      </c>
      <c r="I1331" s="672" t="s">
        <v>9218</v>
      </c>
      <c r="J1331" s="672" t="s">
        <v>9219</v>
      </c>
      <c r="K1331" s="672" t="s">
        <v>2354</v>
      </c>
      <c r="L1331" s="672" t="s">
        <v>9219</v>
      </c>
    </row>
    <row r="1332" spans="1:12" x14ac:dyDescent="0.2">
      <c r="A1332" s="681" t="s">
        <v>220</v>
      </c>
      <c r="B1332" s="681" t="s">
        <v>2351</v>
      </c>
      <c r="C1332" s="736" t="s">
        <v>4983</v>
      </c>
      <c r="D1332" s="736" t="s">
        <v>4984</v>
      </c>
      <c r="E1332" s="742"/>
      <c r="F1332" s="685">
        <v>37</v>
      </c>
      <c r="G1332" s="737">
        <v>0.14147000000000001</v>
      </c>
      <c r="H1332" s="685">
        <v>5.2343900000000003</v>
      </c>
      <c r="I1332" s="672" t="s">
        <v>9218</v>
      </c>
      <c r="J1332" s="672" t="s">
        <v>9219</v>
      </c>
      <c r="K1332" s="672" t="s">
        <v>2354</v>
      </c>
      <c r="L1332" s="672" t="s">
        <v>9219</v>
      </c>
    </row>
    <row r="1333" spans="1:12" x14ac:dyDescent="0.2">
      <c r="A1333" s="681" t="s">
        <v>220</v>
      </c>
      <c r="B1333" s="681" t="s">
        <v>2351</v>
      </c>
      <c r="C1333" s="736" t="s">
        <v>4985</v>
      </c>
      <c r="D1333" s="736" t="s">
        <v>4986</v>
      </c>
      <c r="E1333" s="742"/>
      <c r="F1333" s="685">
        <v>164</v>
      </c>
      <c r="G1333" s="737">
        <v>0.26100000000000001</v>
      </c>
      <c r="H1333" s="685">
        <v>42.804000000000002</v>
      </c>
      <c r="I1333" s="672" t="s">
        <v>9218</v>
      </c>
      <c r="J1333" s="672" t="s">
        <v>9219</v>
      </c>
      <c r="K1333" s="672" t="s">
        <v>2354</v>
      </c>
      <c r="L1333" s="672" t="s">
        <v>9219</v>
      </c>
    </row>
    <row r="1334" spans="1:12" x14ac:dyDescent="0.2">
      <c r="A1334" s="681" t="s">
        <v>220</v>
      </c>
      <c r="B1334" s="681" t="s">
        <v>2351</v>
      </c>
      <c r="C1334" s="736" t="s">
        <v>4987</v>
      </c>
      <c r="D1334" s="736" t="s">
        <v>4988</v>
      </c>
      <c r="E1334" s="742"/>
      <c r="F1334" s="685">
        <v>48</v>
      </c>
      <c r="G1334" s="737">
        <v>5.1999999999999998E-2</v>
      </c>
      <c r="H1334" s="685">
        <v>2.496</v>
      </c>
      <c r="I1334" s="672" t="s">
        <v>9218</v>
      </c>
      <c r="J1334" s="672" t="s">
        <v>9219</v>
      </c>
      <c r="K1334" s="672" t="s">
        <v>2354</v>
      </c>
      <c r="L1334" s="672" t="s">
        <v>9219</v>
      </c>
    </row>
    <row r="1335" spans="1:12" x14ac:dyDescent="0.2">
      <c r="A1335" s="681" t="s">
        <v>220</v>
      </c>
      <c r="B1335" s="681" t="s">
        <v>2351</v>
      </c>
      <c r="C1335" s="736" t="s">
        <v>4989</v>
      </c>
      <c r="D1335" s="736" t="s">
        <v>4990</v>
      </c>
      <c r="E1335" s="742"/>
      <c r="F1335" s="685">
        <v>71</v>
      </c>
      <c r="G1335" s="737">
        <v>0.16500000000000001</v>
      </c>
      <c r="H1335" s="685">
        <v>11.715</v>
      </c>
      <c r="I1335" s="672" t="s">
        <v>9218</v>
      </c>
      <c r="J1335" s="672" t="s">
        <v>9219</v>
      </c>
      <c r="K1335" s="672" t="s">
        <v>2354</v>
      </c>
      <c r="L1335" s="672" t="s">
        <v>9219</v>
      </c>
    </row>
    <row r="1336" spans="1:12" x14ac:dyDescent="0.2">
      <c r="A1336" s="681" t="s">
        <v>220</v>
      </c>
      <c r="B1336" s="681" t="s">
        <v>2351</v>
      </c>
      <c r="C1336" s="736" t="s">
        <v>4991</v>
      </c>
      <c r="D1336" s="736" t="s">
        <v>4992</v>
      </c>
      <c r="E1336" s="742"/>
      <c r="F1336" s="685">
        <v>47</v>
      </c>
      <c r="G1336" s="737">
        <v>0.01</v>
      </c>
      <c r="H1336" s="685">
        <v>0.47000000000000003</v>
      </c>
      <c r="I1336" s="672" t="s">
        <v>9218</v>
      </c>
      <c r="J1336" s="672" t="s">
        <v>9219</v>
      </c>
      <c r="K1336" s="672" t="s">
        <v>2354</v>
      </c>
      <c r="L1336" s="672" t="s">
        <v>9219</v>
      </c>
    </row>
    <row r="1337" spans="1:12" x14ac:dyDescent="0.2">
      <c r="A1337" s="681" t="s">
        <v>220</v>
      </c>
      <c r="B1337" s="681" t="s">
        <v>2351</v>
      </c>
      <c r="C1337" s="736" t="s">
        <v>4993</v>
      </c>
      <c r="D1337" s="736" t="s">
        <v>4994</v>
      </c>
      <c r="E1337" s="742"/>
      <c r="F1337" s="685">
        <v>57</v>
      </c>
      <c r="G1337" s="737">
        <v>1.9E-2</v>
      </c>
      <c r="H1337" s="685">
        <v>1.083</v>
      </c>
      <c r="I1337" s="672" t="s">
        <v>9218</v>
      </c>
      <c r="J1337" s="672" t="s">
        <v>9219</v>
      </c>
      <c r="K1337" s="672" t="s">
        <v>2354</v>
      </c>
      <c r="L1337" s="672" t="s">
        <v>9219</v>
      </c>
    </row>
    <row r="1338" spans="1:12" x14ac:dyDescent="0.2">
      <c r="A1338" s="681" t="s">
        <v>220</v>
      </c>
      <c r="B1338" s="681" t="s">
        <v>2351</v>
      </c>
      <c r="C1338" s="736" t="s">
        <v>4995</v>
      </c>
      <c r="D1338" s="736" t="s">
        <v>4996</v>
      </c>
      <c r="E1338" s="742"/>
      <c r="F1338" s="685">
        <v>67</v>
      </c>
      <c r="G1338" s="737">
        <v>3.04725</v>
      </c>
      <c r="H1338" s="685">
        <v>204.16575</v>
      </c>
      <c r="I1338" s="672" t="s">
        <v>9218</v>
      </c>
      <c r="J1338" s="672" t="s">
        <v>9219</v>
      </c>
      <c r="K1338" s="672" t="s">
        <v>2354</v>
      </c>
      <c r="L1338" s="672" t="s">
        <v>9219</v>
      </c>
    </row>
    <row r="1339" spans="1:12" x14ac:dyDescent="0.2">
      <c r="A1339" s="681" t="s">
        <v>220</v>
      </c>
      <c r="B1339" s="681" t="s">
        <v>2351</v>
      </c>
      <c r="C1339" s="736" t="s">
        <v>4997</v>
      </c>
      <c r="D1339" s="736" t="s">
        <v>4998</v>
      </c>
      <c r="E1339" s="742"/>
      <c r="F1339" s="685">
        <v>71</v>
      </c>
      <c r="G1339" s="737">
        <v>4.6214500000000003</v>
      </c>
      <c r="H1339" s="685">
        <v>328.12295</v>
      </c>
      <c r="I1339" s="672" t="s">
        <v>9218</v>
      </c>
      <c r="J1339" s="672" t="s">
        <v>9219</v>
      </c>
      <c r="K1339" s="672" t="s">
        <v>2354</v>
      </c>
      <c r="L1339" s="672" t="s">
        <v>9219</v>
      </c>
    </row>
    <row r="1340" spans="1:12" x14ac:dyDescent="0.2">
      <c r="A1340" s="681" t="s">
        <v>220</v>
      </c>
      <c r="B1340" s="681" t="s">
        <v>2351</v>
      </c>
      <c r="C1340" s="736" t="s">
        <v>4999</v>
      </c>
      <c r="D1340" s="736" t="s">
        <v>5000</v>
      </c>
      <c r="E1340" s="742"/>
      <c r="F1340" s="685">
        <v>83</v>
      </c>
      <c r="G1340" s="737">
        <v>6.0000000000000001E-3</v>
      </c>
      <c r="H1340" s="685">
        <v>0.498</v>
      </c>
      <c r="I1340" s="672" t="s">
        <v>9218</v>
      </c>
      <c r="J1340" s="672" t="s">
        <v>9219</v>
      </c>
      <c r="K1340" s="672" t="s">
        <v>2354</v>
      </c>
      <c r="L1340" s="672" t="s">
        <v>9219</v>
      </c>
    </row>
    <row r="1341" spans="1:12" x14ac:dyDescent="0.2">
      <c r="A1341" s="681" t="s">
        <v>220</v>
      </c>
      <c r="B1341" s="681" t="s">
        <v>2351</v>
      </c>
      <c r="C1341" s="736" t="s">
        <v>5001</v>
      </c>
      <c r="D1341" s="736" t="s">
        <v>4994</v>
      </c>
      <c r="E1341" s="742"/>
      <c r="F1341" s="685">
        <v>98</v>
      </c>
      <c r="G1341" s="737">
        <v>1.9E-2</v>
      </c>
      <c r="H1341" s="685">
        <v>1.8619999999999999</v>
      </c>
      <c r="I1341" s="672" t="s">
        <v>9218</v>
      </c>
      <c r="J1341" s="672" t="s">
        <v>9219</v>
      </c>
      <c r="K1341" s="672" t="s">
        <v>2354</v>
      </c>
      <c r="L1341" s="672" t="s">
        <v>9219</v>
      </c>
    </row>
    <row r="1342" spans="1:12" x14ac:dyDescent="0.2">
      <c r="A1342" s="681" t="s">
        <v>220</v>
      </c>
      <c r="B1342" s="681" t="s">
        <v>2351</v>
      </c>
      <c r="C1342" s="736" t="s">
        <v>5002</v>
      </c>
      <c r="D1342" s="736" t="s">
        <v>5003</v>
      </c>
      <c r="E1342" s="742"/>
      <c r="F1342" s="685">
        <v>58</v>
      </c>
      <c r="G1342" s="737">
        <v>0.17</v>
      </c>
      <c r="H1342" s="685">
        <v>9.8600000000000012</v>
      </c>
      <c r="I1342" s="672" t="s">
        <v>9218</v>
      </c>
      <c r="J1342" s="672" t="s">
        <v>9219</v>
      </c>
      <c r="K1342" s="672" t="s">
        <v>2354</v>
      </c>
      <c r="L1342" s="672" t="s">
        <v>9219</v>
      </c>
    </row>
    <row r="1343" spans="1:12" x14ac:dyDescent="0.2">
      <c r="A1343" s="681" t="s">
        <v>220</v>
      </c>
      <c r="B1343" s="681" t="s">
        <v>2351</v>
      </c>
      <c r="C1343" s="736" t="s">
        <v>5142</v>
      </c>
      <c r="D1343" s="736" t="s">
        <v>5143</v>
      </c>
      <c r="E1343" s="742"/>
      <c r="F1343" s="685">
        <v>56</v>
      </c>
      <c r="G1343" s="737">
        <v>0.46400000000000002</v>
      </c>
      <c r="H1343" s="685">
        <v>25.984000000000002</v>
      </c>
      <c r="I1343" s="672" t="s">
        <v>9218</v>
      </c>
      <c r="J1343" s="672" t="s">
        <v>9219</v>
      </c>
      <c r="K1343" s="672" t="s">
        <v>2354</v>
      </c>
      <c r="L1343" s="672" t="s">
        <v>9219</v>
      </c>
    </row>
    <row r="1344" spans="1:12" x14ac:dyDescent="0.2">
      <c r="A1344" s="681" t="s">
        <v>220</v>
      </c>
      <c r="B1344" s="681" t="s">
        <v>2351</v>
      </c>
      <c r="C1344" s="736" t="s">
        <v>5152</v>
      </c>
      <c r="D1344" s="736" t="s">
        <v>5153</v>
      </c>
      <c r="E1344" s="742"/>
      <c r="F1344" s="685">
        <v>44</v>
      </c>
      <c r="G1344" s="737">
        <v>0.39100000000000001</v>
      </c>
      <c r="H1344" s="685">
        <v>17.204000000000001</v>
      </c>
      <c r="I1344" s="672" t="s">
        <v>9218</v>
      </c>
      <c r="J1344" s="672" t="s">
        <v>9219</v>
      </c>
      <c r="K1344" s="672" t="s">
        <v>2354</v>
      </c>
      <c r="L1344" s="672" t="s">
        <v>9219</v>
      </c>
    </row>
    <row r="1345" spans="1:12" x14ac:dyDescent="0.2">
      <c r="A1345" s="681" t="s">
        <v>220</v>
      </c>
      <c r="B1345" s="681" t="s">
        <v>2351</v>
      </c>
      <c r="C1345" s="736" t="s">
        <v>5158</v>
      </c>
      <c r="D1345" s="736" t="s">
        <v>5159</v>
      </c>
      <c r="E1345" s="742"/>
      <c r="F1345" s="685">
        <v>20</v>
      </c>
      <c r="G1345" s="737">
        <v>0.54700000000000004</v>
      </c>
      <c r="H1345" s="685">
        <v>10.940000000000001</v>
      </c>
      <c r="I1345" s="672" t="s">
        <v>9218</v>
      </c>
      <c r="J1345" s="672" t="s">
        <v>9219</v>
      </c>
      <c r="K1345" s="672" t="s">
        <v>2354</v>
      </c>
      <c r="L1345" s="672" t="s">
        <v>9219</v>
      </c>
    </row>
    <row r="1346" spans="1:12" x14ac:dyDescent="0.2">
      <c r="A1346" s="681" t="s">
        <v>220</v>
      </c>
      <c r="B1346" s="681" t="s">
        <v>2351</v>
      </c>
      <c r="C1346" s="736"/>
      <c r="D1346" s="736" t="s">
        <v>9387</v>
      </c>
      <c r="E1346" s="742"/>
      <c r="F1346" s="685">
        <v>55</v>
      </c>
      <c r="G1346" s="737">
        <v>0.60499999999999998</v>
      </c>
      <c r="H1346" s="685">
        <v>33.274999999999999</v>
      </c>
      <c r="I1346" s="672" t="s">
        <v>9218</v>
      </c>
      <c r="J1346" s="672" t="s">
        <v>9219</v>
      </c>
      <c r="K1346" s="672" t="s">
        <v>2354</v>
      </c>
      <c r="L1346" s="672" t="s">
        <v>9219</v>
      </c>
    </row>
    <row r="1347" spans="1:12" x14ac:dyDescent="0.2">
      <c r="A1347" s="681" t="s">
        <v>220</v>
      </c>
      <c r="B1347" s="681" t="s">
        <v>2351</v>
      </c>
      <c r="C1347" s="736" t="s">
        <v>4752</v>
      </c>
      <c r="D1347" s="736" t="s">
        <v>4753</v>
      </c>
      <c r="E1347" s="742"/>
      <c r="F1347" s="685">
        <v>52</v>
      </c>
      <c r="G1347" s="737">
        <v>5.5488</v>
      </c>
      <c r="H1347" s="685">
        <v>288.5376</v>
      </c>
      <c r="I1347" s="672" t="s">
        <v>9218</v>
      </c>
      <c r="J1347" s="672" t="s">
        <v>9219</v>
      </c>
      <c r="K1347" s="672" t="s">
        <v>2354</v>
      </c>
      <c r="L1347" s="672" t="s">
        <v>9219</v>
      </c>
    </row>
    <row r="1348" spans="1:12" x14ac:dyDescent="0.2">
      <c r="A1348" s="681" t="s">
        <v>220</v>
      </c>
      <c r="B1348" s="681" t="s">
        <v>2351</v>
      </c>
      <c r="C1348" s="736" t="s">
        <v>4780</v>
      </c>
      <c r="D1348" s="736" t="s">
        <v>4781</v>
      </c>
      <c r="E1348" s="742"/>
      <c r="F1348" s="685">
        <v>27</v>
      </c>
      <c r="G1348" s="737">
        <v>0.122</v>
      </c>
      <c r="H1348" s="685">
        <v>3.294</v>
      </c>
      <c r="I1348" s="672" t="s">
        <v>9218</v>
      </c>
      <c r="J1348" s="672" t="s">
        <v>9219</v>
      </c>
      <c r="K1348" s="672" t="s">
        <v>2354</v>
      </c>
      <c r="L1348" s="672" t="s">
        <v>9219</v>
      </c>
    </row>
    <row r="1349" spans="1:12" x14ac:dyDescent="0.2">
      <c r="A1349" s="681" t="s">
        <v>220</v>
      </c>
      <c r="B1349" s="681" t="s">
        <v>2351</v>
      </c>
      <c r="C1349" s="736" t="s">
        <v>4782</v>
      </c>
      <c r="D1349" s="736" t="s">
        <v>4783</v>
      </c>
      <c r="E1349" s="742"/>
      <c r="F1349" s="685">
        <v>57</v>
      </c>
      <c r="G1349" s="737">
        <v>0.17199999999999999</v>
      </c>
      <c r="H1349" s="685">
        <v>9.8039999999999985</v>
      </c>
      <c r="I1349" s="672" t="s">
        <v>9218</v>
      </c>
      <c r="J1349" s="672" t="s">
        <v>9219</v>
      </c>
      <c r="K1349" s="672" t="s">
        <v>2354</v>
      </c>
      <c r="L1349" s="672" t="s">
        <v>9219</v>
      </c>
    </row>
    <row r="1350" spans="1:12" x14ac:dyDescent="0.2">
      <c r="A1350" s="681" t="s">
        <v>220</v>
      </c>
      <c r="B1350" s="681" t="s">
        <v>2351</v>
      </c>
      <c r="C1350" s="736" t="s">
        <v>4784</v>
      </c>
      <c r="D1350" s="736" t="s">
        <v>4785</v>
      </c>
      <c r="E1350" s="742"/>
      <c r="F1350" s="685">
        <v>49</v>
      </c>
      <c r="G1350" s="737">
        <v>0.20699999999999999</v>
      </c>
      <c r="H1350" s="685">
        <v>10.142999999999999</v>
      </c>
      <c r="I1350" s="672" t="s">
        <v>9218</v>
      </c>
      <c r="J1350" s="672" t="s">
        <v>9219</v>
      </c>
      <c r="K1350" s="672" t="s">
        <v>2354</v>
      </c>
      <c r="L1350" s="672" t="s">
        <v>9219</v>
      </c>
    </row>
    <row r="1351" spans="1:12" x14ac:dyDescent="0.2">
      <c r="A1351" s="681" t="s">
        <v>220</v>
      </c>
      <c r="B1351" s="681" t="s">
        <v>2351</v>
      </c>
      <c r="C1351" s="736" t="s">
        <v>4786</v>
      </c>
      <c r="D1351" s="736" t="s">
        <v>4787</v>
      </c>
      <c r="E1351" s="742"/>
      <c r="F1351" s="685">
        <v>61</v>
      </c>
      <c r="G1351" s="737">
        <v>0.23599999999999999</v>
      </c>
      <c r="H1351" s="685">
        <v>14.395999999999999</v>
      </c>
      <c r="I1351" s="672" t="s">
        <v>9218</v>
      </c>
      <c r="J1351" s="672" t="s">
        <v>9219</v>
      </c>
      <c r="K1351" s="672" t="s">
        <v>2354</v>
      </c>
      <c r="L1351" s="672" t="s">
        <v>9219</v>
      </c>
    </row>
    <row r="1352" spans="1:12" x14ac:dyDescent="0.2">
      <c r="A1352" s="681" t="s">
        <v>220</v>
      </c>
      <c r="B1352" s="681" t="s">
        <v>2351</v>
      </c>
      <c r="C1352" s="736" t="s">
        <v>4945</v>
      </c>
      <c r="D1352" s="736" t="s">
        <v>4946</v>
      </c>
      <c r="E1352" s="742"/>
      <c r="F1352" s="685">
        <v>57</v>
      </c>
      <c r="G1352" s="737">
        <v>0.16788</v>
      </c>
      <c r="H1352" s="685">
        <v>9.5691600000000001</v>
      </c>
      <c r="I1352" s="672" t="s">
        <v>9218</v>
      </c>
      <c r="J1352" s="672" t="s">
        <v>9219</v>
      </c>
      <c r="K1352" s="672" t="s">
        <v>2354</v>
      </c>
      <c r="L1352" s="672" t="s">
        <v>9219</v>
      </c>
    </row>
    <row r="1353" spans="1:12" x14ac:dyDescent="0.2">
      <c r="A1353" s="681" t="s">
        <v>220</v>
      </c>
      <c r="B1353" s="681" t="s">
        <v>2351</v>
      </c>
      <c r="C1353" s="736" t="s">
        <v>4947</v>
      </c>
      <c r="D1353" s="736" t="s">
        <v>4948</v>
      </c>
      <c r="E1353" s="742"/>
      <c r="F1353" s="685">
        <v>62</v>
      </c>
      <c r="G1353" s="737">
        <v>0.08</v>
      </c>
      <c r="H1353" s="685">
        <v>4.96</v>
      </c>
      <c r="I1353" s="672" t="s">
        <v>9218</v>
      </c>
      <c r="J1353" s="672" t="s">
        <v>9219</v>
      </c>
      <c r="K1353" s="672" t="s">
        <v>2354</v>
      </c>
      <c r="L1353" s="672" t="s">
        <v>9219</v>
      </c>
    </row>
    <row r="1354" spans="1:12" x14ac:dyDescent="0.2">
      <c r="A1354" s="681" t="s">
        <v>220</v>
      </c>
      <c r="B1354" s="681" t="s">
        <v>2351</v>
      </c>
      <c r="C1354" s="736" t="s">
        <v>4949</v>
      </c>
      <c r="D1354" s="736" t="s">
        <v>4950</v>
      </c>
      <c r="E1354" s="742"/>
      <c r="F1354" s="685">
        <v>71</v>
      </c>
      <c r="G1354" s="737">
        <v>0.18895999999999999</v>
      </c>
      <c r="H1354" s="685">
        <v>13.41616</v>
      </c>
      <c r="I1354" s="672" t="s">
        <v>9218</v>
      </c>
      <c r="J1354" s="672" t="s">
        <v>9219</v>
      </c>
      <c r="K1354" s="672" t="s">
        <v>2354</v>
      </c>
      <c r="L1354" s="672" t="s">
        <v>9219</v>
      </c>
    </row>
    <row r="1355" spans="1:12" x14ac:dyDescent="0.2">
      <c r="A1355" s="681" t="s">
        <v>220</v>
      </c>
      <c r="B1355" s="681" t="s">
        <v>2351</v>
      </c>
      <c r="C1355" s="736" t="s">
        <v>4951</v>
      </c>
      <c r="D1355" s="736" t="s">
        <v>4952</v>
      </c>
      <c r="E1355" s="742"/>
      <c r="F1355" s="685">
        <v>72</v>
      </c>
      <c r="G1355" s="737">
        <v>0.189</v>
      </c>
      <c r="H1355" s="685">
        <v>13.608000000000001</v>
      </c>
      <c r="I1355" s="672" t="s">
        <v>9218</v>
      </c>
      <c r="J1355" s="672" t="s">
        <v>9219</v>
      </c>
      <c r="K1355" s="672" t="s">
        <v>2354</v>
      </c>
      <c r="L1355" s="672" t="s">
        <v>9219</v>
      </c>
    </row>
    <row r="1356" spans="1:12" x14ac:dyDescent="0.2">
      <c r="A1356" s="681" t="s">
        <v>220</v>
      </c>
      <c r="B1356" s="681" t="s">
        <v>2351</v>
      </c>
      <c r="C1356" s="736" t="s">
        <v>4953</v>
      </c>
      <c r="D1356" s="736" t="s">
        <v>4954</v>
      </c>
      <c r="E1356" s="742"/>
      <c r="F1356" s="685">
        <v>24</v>
      </c>
      <c r="G1356" s="737">
        <v>0.124</v>
      </c>
      <c r="H1356" s="685">
        <v>2.976</v>
      </c>
      <c r="I1356" s="672" t="s">
        <v>9218</v>
      </c>
      <c r="J1356" s="672" t="s">
        <v>9219</v>
      </c>
      <c r="K1356" s="672" t="s">
        <v>2354</v>
      </c>
      <c r="L1356" s="672" t="s">
        <v>9219</v>
      </c>
    </row>
    <row r="1357" spans="1:12" x14ac:dyDescent="0.2">
      <c r="A1357" s="681" t="s">
        <v>220</v>
      </c>
      <c r="B1357" s="681" t="s">
        <v>2351</v>
      </c>
      <c r="C1357" s="736" t="s">
        <v>4955</v>
      </c>
      <c r="D1357" s="736" t="s">
        <v>4956</v>
      </c>
      <c r="E1357" s="742"/>
      <c r="F1357" s="685">
        <v>68</v>
      </c>
      <c r="G1357" s="737">
        <v>0.128</v>
      </c>
      <c r="H1357" s="685">
        <v>8.7040000000000006</v>
      </c>
      <c r="I1357" s="672" t="s">
        <v>9218</v>
      </c>
      <c r="J1357" s="672" t="s">
        <v>9219</v>
      </c>
      <c r="K1357" s="672" t="s">
        <v>2354</v>
      </c>
      <c r="L1357" s="672" t="s">
        <v>9219</v>
      </c>
    </row>
    <row r="1358" spans="1:12" x14ac:dyDescent="0.2">
      <c r="A1358" s="681" t="s">
        <v>220</v>
      </c>
      <c r="B1358" s="681" t="s">
        <v>2351</v>
      </c>
      <c r="C1358" s="736" t="s">
        <v>4957</v>
      </c>
      <c r="D1358" s="736" t="s">
        <v>4958</v>
      </c>
      <c r="E1358" s="742"/>
      <c r="F1358" s="685">
        <v>35</v>
      </c>
      <c r="G1358" s="737">
        <v>0.152</v>
      </c>
      <c r="H1358" s="685">
        <v>5.32</v>
      </c>
      <c r="I1358" s="672" t="s">
        <v>9218</v>
      </c>
      <c r="J1358" s="672" t="s">
        <v>9219</v>
      </c>
      <c r="K1358" s="672" t="s">
        <v>2354</v>
      </c>
      <c r="L1358" s="672" t="s">
        <v>9219</v>
      </c>
    </row>
    <row r="1359" spans="1:12" x14ac:dyDescent="0.2">
      <c r="A1359" s="681" t="s">
        <v>220</v>
      </c>
      <c r="B1359" s="681" t="s">
        <v>2351</v>
      </c>
      <c r="C1359" s="736" t="s">
        <v>4959</v>
      </c>
      <c r="D1359" s="736" t="s">
        <v>4960</v>
      </c>
      <c r="E1359" s="742"/>
      <c r="F1359" s="685">
        <v>59</v>
      </c>
      <c r="G1359" s="737">
        <v>0.28334745762711866</v>
      </c>
      <c r="H1359" s="685">
        <v>16.717500000000001</v>
      </c>
      <c r="I1359" s="672" t="s">
        <v>9218</v>
      </c>
      <c r="J1359" s="672" t="s">
        <v>9219</v>
      </c>
      <c r="K1359" s="672" t="s">
        <v>2354</v>
      </c>
      <c r="L1359" s="672" t="s">
        <v>9219</v>
      </c>
    </row>
    <row r="1360" spans="1:12" x14ac:dyDescent="0.2">
      <c r="A1360" s="681" t="s">
        <v>220</v>
      </c>
      <c r="B1360" s="681" t="s">
        <v>2351</v>
      </c>
      <c r="C1360" s="736" t="s">
        <v>5046</v>
      </c>
      <c r="D1360" s="736" t="s">
        <v>5047</v>
      </c>
      <c r="E1360" s="742"/>
      <c r="F1360" s="685">
        <v>86</v>
      </c>
      <c r="G1360" s="737">
        <v>0.23749999999999999</v>
      </c>
      <c r="H1360" s="685">
        <v>20.425000000000001</v>
      </c>
      <c r="I1360" s="672" t="s">
        <v>9218</v>
      </c>
      <c r="J1360" s="672" t="s">
        <v>9219</v>
      </c>
      <c r="K1360" s="672" t="s">
        <v>2354</v>
      </c>
      <c r="L1360" s="672" t="s">
        <v>9219</v>
      </c>
    </row>
    <row r="1361" spans="1:12" x14ac:dyDescent="0.2">
      <c r="A1361" s="681" t="s">
        <v>220</v>
      </c>
      <c r="B1361" s="681" t="s">
        <v>2351</v>
      </c>
      <c r="C1361" s="736" t="s">
        <v>5048</v>
      </c>
      <c r="D1361" s="736" t="s">
        <v>5049</v>
      </c>
      <c r="E1361" s="742"/>
      <c r="F1361" s="685">
        <v>25</v>
      </c>
      <c r="G1361" s="737">
        <v>0.50349999999999995</v>
      </c>
      <c r="H1361" s="685">
        <v>12.587499999999999</v>
      </c>
      <c r="I1361" s="672" t="s">
        <v>9218</v>
      </c>
      <c r="J1361" s="672" t="s">
        <v>9219</v>
      </c>
      <c r="K1361" s="672" t="s">
        <v>2354</v>
      </c>
      <c r="L1361" s="672" t="s">
        <v>9219</v>
      </c>
    </row>
    <row r="1362" spans="1:12" x14ac:dyDescent="0.2">
      <c r="A1362" s="681" t="s">
        <v>220</v>
      </c>
      <c r="B1362" s="681" t="s">
        <v>2351</v>
      </c>
      <c r="C1362" s="736" t="s">
        <v>5052</v>
      </c>
      <c r="D1362" s="736" t="s">
        <v>5053</v>
      </c>
      <c r="E1362" s="742"/>
      <c r="F1362" s="685">
        <v>23</v>
      </c>
      <c r="G1362" s="737">
        <v>0.50349999999999995</v>
      </c>
      <c r="H1362" s="685">
        <v>11.580499999999999</v>
      </c>
      <c r="I1362" s="672" t="s">
        <v>9218</v>
      </c>
      <c r="J1362" s="672" t="s">
        <v>9219</v>
      </c>
      <c r="K1362" s="672" t="s">
        <v>2354</v>
      </c>
      <c r="L1362" s="672" t="s">
        <v>9219</v>
      </c>
    </row>
    <row r="1363" spans="1:12" x14ac:dyDescent="0.2">
      <c r="A1363" s="681" t="s">
        <v>220</v>
      </c>
      <c r="B1363" s="681" t="s">
        <v>2351</v>
      </c>
      <c r="C1363" s="736" t="s">
        <v>5054</v>
      </c>
      <c r="D1363" s="736" t="s">
        <v>5055</v>
      </c>
      <c r="E1363" s="742"/>
      <c r="F1363" s="685">
        <v>24</v>
      </c>
      <c r="G1363" s="737">
        <v>0.16800000000000001</v>
      </c>
      <c r="H1363" s="685">
        <v>4.032</v>
      </c>
      <c r="I1363" s="672" t="s">
        <v>9218</v>
      </c>
      <c r="J1363" s="672" t="s">
        <v>9219</v>
      </c>
      <c r="K1363" s="672" t="s">
        <v>2354</v>
      </c>
      <c r="L1363" s="672" t="s">
        <v>9219</v>
      </c>
    </row>
    <row r="1364" spans="1:12" x14ac:dyDescent="0.2">
      <c r="A1364" s="744" t="s">
        <v>587</v>
      </c>
      <c r="B1364" s="672" t="s">
        <v>588</v>
      </c>
      <c r="C1364" s="672" t="s">
        <v>642</v>
      </c>
      <c r="D1364" s="672" t="s">
        <v>643</v>
      </c>
      <c r="E1364" s="745" t="s">
        <v>639</v>
      </c>
      <c r="F1364" s="746">
        <v>169520</v>
      </c>
      <c r="G1364" s="685">
        <v>0.15894473674818574</v>
      </c>
      <c r="H1364" s="685">
        <v>26944.311773552447</v>
      </c>
      <c r="I1364" s="686" t="s">
        <v>9009</v>
      </c>
      <c r="J1364" s="672" t="s">
        <v>9011</v>
      </c>
      <c r="K1364" s="672" t="s">
        <v>541</v>
      </c>
      <c r="L1364" s="672" t="s">
        <v>9038</v>
      </c>
    </row>
    <row r="1365" spans="1:12" x14ac:dyDescent="0.2">
      <c r="A1365" s="744" t="s">
        <v>587</v>
      </c>
      <c r="B1365" s="672" t="s">
        <v>588</v>
      </c>
      <c r="C1365" s="672" t="s">
        <v>637</v>
      </c>
      <c r="D1365" s="672" t="s">
        <v>638</v>
      </c>
      <c r="E1365" s="745" t="s">
        <v>639</v>
      </c>
      <c r="F1365" s="746">
        <v>255520</v>
      </c>
      <c r="G1365" s="685">
        <v>0.17133898225510802</v>
      </c>
      <c r="H1365" s="685">
        <v>43780.5367458252</v>
      </c>
      <c r="I1365" s="686" t="s">
        <v>9009</v>
      </c>
      <c r="J1365" s="672" t="s">
        <v>9011</v>
      </c>
      <c r="K1365" s="672" t="s">
        <v>541</v>
      </c>
      <c r="L1365" s="672" t="s">
        <v>9038</v>
      </c>
    </row>
    <row r="1366" spans="1:12" x14ac:dyDescent="0.2">
      <c r="A1366" s="744" t="s">
        <v>587</v>
      </c>
      <c r="B1366" s="672" t="s">
        <v>588</v>
      </c>
      <c r="C1366" s="672" t="s">
        <v>713</v>
      </c>
      <c r="D1366" s="672" t="s">
        <v>714</v>
      </c>
      <c r="E1366" s="745" t="s">
        <v>639</v>
      </c>
      <c r="F1366" s="746">
        <v>52320</v>
      </c>
      <c r="G1366" s="685">
        <v>0.15580064491637435</v>
      </c>
      <c r="H1366" s="685">
        <v>8151.4897420247062</v>
      </c>
      <c r="I1366" s="686" t="s">
        <v>9009</v>
      </c>
      <c r="J1366" s="672" t="s">
        <v>9011</v>
      </c>
      <c r="K1366" s="672" t="s">
        <v>541</v>
      </c>
      <c r="L1366" s="672" t="s">
        <v>9038</v>
      </c>
    </row>
    <row r="1367" spans="1:12" x14ac:dyDescent="0.2">
      <c r="A1367" s="744" t="s">
        <v>587</v>
      </c>
      <c r="B1367" s="672" t="s">
        <v>588</v>
      </c>
      <c r="C1367" s="672" t="s">
        <v>640</v>
      </c>
      <c r="D1367" s="672" t="s">
        <v>641</v>
      </c>
      <c r="E1367" s="745" t="s">
        <v>639</v>
      </c>
      <c r="F1367" s="746">
        <v>351680</v>
      </c>
      <c r="G1367" s="685">
        <v>0.17146450626275003</v>
      </c>
      <c r="H1367" s="685">
        <v>60300.637562483935</v>
      </c>
      <c r="I1367" s="686" t="s">
        <v>9009</v>
      </c>
      <c r="J1367" s="672" t="s">
        <v>9011</v>
      </c>
      <c r="K1367" s="672" t="s">
        <v>541</v>
      </c>
      <c r="L1367" s="672" t="s">
        <v>9038</v>
      </c>
    </row>
    <row r="1368" spans="1:12" x14ac:dyDescent="0.2">
      <c r="A1368" s="744" t="s">
        <v>587</v>
      </c>
      <c r="B1368" s="672" t="s">
        <v>588</v>
      </c>
      <c r="C1368" s="672" t="s">
        <v>715</v>
      </c>
      <c r="D1368" s="672" t="s">
        <v>716</v>
      </c>
      <c r="E1368" s="745" t="s">
        <v>639</v>
      </c>
      <c r="F1368" s="746">
        <v>39360</v>
      </c>
      <c r="G1368" s="685">
        <v>1.1673196483156583</v>
      </c>
      <c r="H1368" s="685">
        <v>45945.701357704311</v>
      </c>
      <c r="I1368" s="686" t="s">
        <v>9009</v>
      </c>
      <c r="J1368" s="672" t="s">
        <v>9011</v>
      </c>
      <c r="K1368" s="672" t="s">
        <v>541</v>
      </c>
      <c r="L1368" s="672" t="s">
        <v>9038</v>
      </c>
    </row>
    <row r="1369" spans="1:12" x14ac:dyDescent="0.2">
      <c r="A1369" s="744" t="s">
        <v>587</v>
      </c>
      <c r="B1369" s="672" t="s">
        <v>588</v>
      </c>
      <c r="C1369" s="672" t="s">
        <v>717</v>
      </c>
      <c r="D1369" s="672" t="s">
        <v>718</v>
      </c>
      <c r="E1369" s="745" t="s">
        <v>639</v>
      </c>
      <c r="F1369" s="746">
        <v>110320</v>
      </c>
      <c r="G1369" s="685">
        <v>1.1673196483156583</v>
      </c>
      <c r="H1369" s="685">
        <v>128778.70360218342</v>
      </c>
      <c r="I1369" s="686" t="s">
        <v>9009</v>
      </c>
      <c r="J1369" s="672" t="s">
        <v>9011</v>
      </c>
      <c r="K1369" s="672" t="s">
        <v>541</v>
      </c>
      <c r="L1369" s="672" t="s">
        <v>9038</v>
      </c>
    </row>
    <row r="1370" spans="1:12" x14ac:dyDescent="0.2">
      <c r="A1370" s="744" t="s">
        <v>587</v>
      </c>
      <c r="B1370" s="672" t="s">
        <v>588</v>
      </c>
      <c r="C1370" s="672" t="s">
        <v>666</v>
      </c>
      <c r="D1370" s="672" t="s">
        <v>667</v>
      </c>
      <c r="E1370" s="745" t="s">
        <v>535</v>
      </c>
      <c r="F1370" s="746">
        <v>160</v>
      </c>
      <c r="G1370" s="685">
        <v>14.447026627672727</v>
      </c>
      <c r="H1370" s="685">
        <v>2311.5242604276364</v>
      </c>
      <c r="I1370" s="686" t="s">
        <v>9009</v>
      </c>
      <c r="J1370" s="672" t="s">
        <v>9011</v>
      </c>
      <c r="K1370" s="672" t="s">
        <v>541</v>
      </c>
      <c r="L1370" s="672" t="s">
        <v>8996</v>
      </c>
    </row>
    <row r="1371" spans="1:12" x14ac:dyDescent="0.2">
      <c r="A1371" s="744" t="s">
        <v>587</v>
      </c>
      <c r="B1371" s="672" t="s">
        <v>588</v>
      </c>
      <c r="C1371" s="672" t="s">
        <v>668</v>
      </c>
      <c r="D1371" s="672" t="s">
        <v>669</v>
      </c>
      <c r="E1371" s="745" t="s">
        <v>535</v>
      </c>
      <c r="F1371" s="746">
        <v>640</v>
      </c>
      <c r="G1371" s="685">
        <v>13.541652250000004</v>
      </c>
      <c r="H1371" s="685">
        <v>8666.6574400000027</v>
      </c>
      <c r="I1371" s="686" t="s">
        <v>9009</v>
      </c>
      <c r="J1371" s="672" t="s">
        <v>9011</v>
      </c>
      <c r="K1371" s="672" t="s">
        <v>541</v>
      </c>
      <c r="L1371" s="672" t="s">
        <v>8996</v>
      </c>
    </row>
    <row r="1372" spans="1:12" x14ac:dyDescent="0.2">
      <c r="A1372" s="744" t="s">
        <v>587</v>
      </c>
      <c r="B1372" s="672" t="s">
        <v>588</v>
      </c>
      <c r="C1372" s="672" t="s">
        <v>721</v>
      </c>
      <c r="D1372" s="672" t="s">
        <v>722</v>
      </c>
      <c r="E1372" s="745" t="s">
        <v>535</v>
      </c>
      <c r="F1372" s="746">
        <v>2520</v>
      </c>
      <c r="G1372" s="685">
        <v>15.580609350842851</v>
      </c>
      <c r="H1372" s="685">
        <v>39263.135564123986</v>
      </c>
      <c r="I1372" s="686" t="s">
        <v>9009</v>
      </c>
      <c r="J1372" s="672" t="s">
        <v>9011</v>
      </c>
      <c r="K1372" s="672" t="s">
        <v>541</v>
      </c>
      <c r="L1372" s="672" t="s">
        <v>8996</v>
      </c>
    </row>
    <row r="1373" spans="1:12" x14ac:dyDescent="0.2">
      <c r="A1373" s="744" t="s">
        <v>587</v>
      </c>
      <c r="B1373" s="672" t="s">
        <v>588</v>
      </c>
      <c r="C1373" s="672" t="s">
        <v>725</v>
      </c>
      <c r="D1373" s="672" t="s">
        <v>726</v>
      </c>
      <c r="E1373" s="745" t="s">
        <v>535</v>
      </c>
      <c r="F1373" s="746">
        <v>6540</v>
      </c>
      <c r="G1373" s="685">
        <v>13.827577959678543</v>
      </c>
      <c r="H1373" s="685">
        <v>90432.359856297669</v>
      </c>
      <c r="I1373" s="686" t="s">
        <v>9009</v>
      </c>
      <c r="J1373" s="672" t="s">
        <v>9011</v>
      </c>
      <c r="K1373" s="672" t="s">
        <v>541</v>
      </c>
      <c r="L1373" s="672" t="s">
        <v>8996</v>
      </c>
    </row>
    <row r="1374" spans="1:12" x14ac:dyDescent="0.2">
      <c r="A1374" s="744" t="s">
        <v>587</v>
      </c>
      <c r="B1374" s="672" t="s">
        <v>588</v>
      </c>
      <c r="D1374" s="672" t="s">
        <v>738</v>
      </c>
      <c r="E1374" s="745" t="s">
        <v>535</v>
      </c>
      <c r="F1374" s="746">
        <v>2027</v>
      </c>
      <c r="G1374" s="685">
        <v>13.827577959678543</v>
      </c>
      <c r="H1374" s="685">
        <v>28028.500524268406</v>
      </c>
      <c r="I1374" s="686" t="s">
        <v>9009</v>
      </c>
      <c r="J1374" s="672" t="s">
        <v>9011</v>
      </c>
      <c r="K1374" s="672" t="s">
        <v>541</v>
      </c>
      <c r="L1374" s="672" t="s">
        <v>8996</v>
      </c>
    </row>
    <row r="1375" spans="1:12" x14ac:dyDescent="0.2">
      <c r="A1375" s="744" t="s">
        <v>587</v>
      </c>
      <c r="B1375" s="672" t="s">
        <v>588</v>
      </c>
      <c r="C1375" s="672" t="s">
        <v>727</v>
      </c>
      <c r="D1375" s="672" t="s">
        <v>728</v>
      </c>
      <c r="E1375" s="745" t="s">
        <v>535</v>
      </c>
      <c r="F1375" s="746">
        <v>3100</v>
      </c>
      <c r="G1375" s="685">
        <v>13.827783737305175</v>
      </c>
      <c r="H1375" s="685">
        <v>42866.129585646042</v>
      </c>
      <c r="I1375" s="686" t="s">
        <v>9009</v>
      </c>
      <c r="J1375" s="672" t="s">
        <v>9011</v>
      </c>
      <c r="K1375" s="672" t="s">
        <v>541</v>
      </c>
      <c r="L1375" s="672" t="s">
        <v>8996</v>
      </c>
    </row>
    <row r="1376" spans="1:12" x14ac:dyDescent="0.2">
      <c r="A1376" s="744" t="s">
        <v>587</v>
      </c>
      <c r="B1376" s="672" t="s">
        <v>588</v>
      </c>
      <c r="C1376" s="672" t="s">
        <v>707</v>
      </c>
      <c r="D1376" s="672" t="s">
        <v>7747</v>
      </c>
      <c r="E1376" s="745" t="s">
        <v>535</v>
      </c>
      <c r="F1376" s="746">
        <v>1000</v>
      </c>
      <c r="G1376" s="685">
        <v>1.35</v>
      </c>
      <c r="H1376" s="685">
        <v>1350</v>
      </c>
      <c r="I1376" s="686" t="s">
        <v>9009</v>
      </c>
      <c r="J1376" s="672" t="s">
        <v>9201</v>
      </c>
      <c r="K1376" s="672" t="s">
        <v>541</v>
      </c>
      <c r="L1376" s="672" t="s">
        <v>8996</v>
      </c>
    </row>
    <row r="1377" spans="1:12" x14ac:dyDescent="0.2">
      <c r="A1377" s="744" t="s">
        <v>587</v>
      </c>
      <c r="B1377" s="672" t="s">
        <v>588</v>
      </c>
      <c r="C1377" s="672" t="s">
        <v>646</v>
      </c>
      <c r="D1377" s="672" t="s">
        <v>645</v>
      </c>
      <c r="E1377" s="745" t="s">
        <v>545</v>
      </c>
      <c r="F1377" s="746">
        <v>4204</v>
      </c>
      <c r="G1377" s="685">
        <v>1.3572324365654362</v>
      </c>
      <c r="H1377" s="685">
        <v>5705.8051633210944</v>
      </c>
      <c r="I1377" s="686" t="s">
        <v>9009</v>
      </c>
      <c r="J1377" s="672" t="s">
        <v>9011</v>
      </c>
      <c r="K1377" s="672" t="s">
        <v>541</v>
      </c>
      <c r="L1377" s="672" t="s">
        <v>8996</v>
      </c>
    </row>
    <row r="1378" spans="1:12" x14ac:dyDescent="0.2">
      <c r="A1378" s="744" t="s">
        <v>587</v>
      </c>
      <c r="B1378" s="672" t="s">
        <v>588</v>
      </c>
      <c r="C1378" s="672" t="s">
        <v>646</v>
      </c>
      <c r="D1378" s="672" t="s">
        <v>647</v>
      </c>
      <c r="E1378" s="745" t="s">
        <v>545</v>
      </c>
      <c r="F1378" s="746">
        <v>2320</v>
      </c>
      <c r="G1378" s="685">
        <v>1.3572324365654362</v>
      </c>
      <c r="H1378" s="685">
        <v>3148.7792528318123</v>
      </c>
      <c r="I1378" s="686" t="s">
        <v>9009</v>
      </c>
      <c r="J1378" s="672" t="s">
        <v>9011</v>
      </c>
      <c r="K1378" s="672" t="s">
        <v>541</v>
      </c>
      <c r="L1378" s="672" t="s">
        <v>8996</v>
      </c>
    </row>
    <row r="1379" spans="1:12" x14ac:dyDescent="0.2">
      <c r="A1379" s="744" t="s">
        <v>587</v>
      </c>
      <c r="B1379" s="672" t="s">
        <v>588</v>
      </c>
      <c r="C1379" s="672" t="s">
        <v>648</v>
      </c>
      <c r="D1379" s="672" t="s">
        <v>649</v>
      </c>
      <c r="E1379" s="745" t="s">
        <v>545</v>
      </c>
      <c r="F1379" s="746">
        <v>5342</v>
      </c>
      <c r="G1379" s="685">
        <v>1.1599999999999999</v>
      </c>
      <c r="H1379" s="685">
        <v>6196.7199999999993</v>
      </c>
      <c r="I1379" s="686" t="s">
        <v>9009</v>
      </c>
      <c r="J1379" s="672" t="s">
        <v>9011</v>
      </c>
      <c r="K1379" s="672" t="s">
        <v>541</v>
      </c>
      <c r="L1379" s="672" t="s">
        <v>8996</v>
      </c>
    </row>
    <row r="1380" spans="1:12" x14ac:dyDescent="0.2">
      <c r="A1380" s="744" t="s">
        <v>587</v>
      </c>
      <c r="B1380" s="672" t="s">
        <v>588</v>
      </c>
      <c r="C1380" s="672" t="s">
        <v>650</v>
      </c>
      <c r="D1380" s="672" t="s">
        <v>651</v>
      </c>
      <c r="E1380" s="745" t="s">
        <v>545</v>
      </c>
      <c r="F1380" s="746">
        <v>4073</v>
      </c>
      <c r="G1380" s="685">
        <v>1.5528073028453109</v>
      </c>
      <c r="H1380" s="685">
        <v>6324.5841444889511</v>
      </c>
      <c r="I1380" s="686" t="s">
        <v>9009</v>
      </c>
      <c r="J1380" s="672" t="s">
        <v>9011</v>
      </c>
      <c r="K1380" s="672" t="s">
        <v>541</v>
      </c>
      <c r="L1380" s="672" t="s">
        <v>8996</v>
      </c>
    </row>
    <row r="1381" spans="1:12" x14ac:dyDescent="0.2">
      <c r="A1381" s="744" t="s">
        <v>587</v>
      </c>
      <c r="B1381" s="672" t="s">
        <v>588</v>
      </c>
      <c r="C1381" s="672" t="s">
        <v>652</v>
      </c>
      <c r="D1381" s="672" t="s">
        <v>653</v>
      </c>
      <c r="E1381" s="745" t="s">
        <v>545</v>
      </c>
      <c r="F1381" s="746">
        <v>12485</v>
      </c>
      <c r="G1381" s="685">
        <v>2.0094622849434631</v>
      </c>
      <c r="H1381" s="685">
        <v>25088.136627519136</v>
      </c>
      <c r="I1381" s="686" t="s">
        <v>9009</v>
      </c>
      <c r="J1381" s="672" t="s">
        <v>9011</v>
      </c>
      <c r="K1381" s="672" t="s">
        <v>541</v>
      </c>
      <c r="L1381" s="672" t="s">
        <v>8996</v>
      </c>
    </row>
    <row r="1382" spans="1:12" x14ac:dyDescent="0.2">
      <c r="A1382" s="744" t="s">
        <v>587</v>
      </c>
      <c r="B1382" s="672" t="s">
        <v>588</v>
      </c>
      <c r="C1382" s="672" t="s">
        <v>654</v>
      </c>
      <c r="D1382" s="672" t="s">
        <v>655</v>
      </c>
      <c r="E1382" s="745" t="s">
        <v>545</v>
      </c>
      <c r="F1382" s="746">
        <v>5437</v>
      </c>
      <c r="G1382" s="685">
        <v>2.0631118638677806</v>
      </c>
      <c r="H1382" s="685">
        <v>11217.139203849123</v>
      </c>
      <c r="I1382" s="686" t="s">
        <v>9009</v>
      </c>
      <c r="J1382" s="672" t="s">
        <v>9011</v>
      </c>
      <c r="K1382" s="672" t="s">
        <v>541</v>
      </c>
      <c r="L1382" s="672" t="s">
        <v>8996</v>
      </c>
    </row>
    <row r="1383" spans="1:12" x14ac:dyDescent="0.2">
      <c r="A1383" s="744" t="s">
        <v>587</v>
      </c>
      <c r="B1383" s="672" t="s">
        <v>588</v>
      </c>
      <c r="C1383" s="672" t="s">
        <v>656</v>
      </c>
      <c r="D1383" s="672" t="s">
        <v>657</v>
      </c>
      <c r="E1383" s="745" t="s">
        <v>545</v>
      </c>
      <c r="F1383" s="746">
        <v>6620</v>
      </c>
      <c r="G1383" s="685">
        <v>2.5935974701451214</v>
      </c>
      <c r="H1383" s="685">
        <v>17169.615252360705</v>
      </c>
      <c r="I1383" s="686" t="s">
        <v>9009</v>
      </c>
      <c r="J1383" s="672" t="s">
        <v>9011</v>
      </c>
      <c r="K1383" s="672" t="s">
        <v>541</v>
      </c>
      <c r="L1383" s="672" t="s">
        <v>8996</v>
      </c>
    </row>
    <row r="1384" spans="1:12" x14ac:dyDescent="0.2">
      <c r="A1384" s="744" t="s">
        <v>587</v>
      </c>
      <c r="B1384" s="672" t="s">
        <v>588</v>
      </c>
      <c r="C1384" s="672" t="s">
        <v>723</v>
      </c>
      <c r="D1384" s="672" t="s">
        <v>724</v>
      </c>
      <c r="E1384" s="745"/>
      <c r="F1384" s="746">
        <v>150</v>
      </c>
      <c r="G1384" s="685">
        <v>26.512264150943391</v>
      </c>
      <c r="H1384" s="685">
        <v>3976.8396226415089</v>
      </c>
      <c r="I1384" s="686" t="s">
        <v>9009</v>
      </c>
      <c r="J1384" s="672" t="s">
        <v>9147</v>
      </c>
      <c r="K1384" s="672" t="s">
        <v>541</v>
      </c>
      <c r="L1384" s="672" t="s">
        <v>8996</v>
      </c>
    </row>
    <row r="1385" spans="1:12" x14ac:dyDescent="0.2">
      <c r="A1385" s="744" t="s">
        <v>587</v>
      </c>
      <c r="B1385" s="672" t="s">
        <v>588</v>
      </c>
      <c r="C1385" s="672" t="s">
        <v>662</v>
      </c>
      <c r="D1385" s="672" t="s">
        <v>663</v>
      </c>
      <c r="E1385" s="745"/>
      <c r="F1385" s="746">
        <v>11.200000000000003</v>
      </c>
      <c r="G1385" s="685">
        <v>4.9485335738670599</v>
      </c>
      <c r="H1385" s="685">
        <v>55.423576027311086</v>
      </c>
      <c r="I1385" s="686" t="s">
        <v>9009</v>
      </c>
      <c r="J1385" s="672" t="s">
        <v>9201</v>
      </c>
      <c r="K1385" s="672" t="s">
        <v>541</v>
      </c>
      <c r="L1385" s="672" t="s">
        <v>8996</v>
      </c>
    </row>
    <row r="1386" spans="1:12" x14ac:dyDescent="0.2">
      <c r="A1386" s="744" t="s">
        <v>587</v>
      </c>
      <c r="B1386" s="672" t="s">
        <v>588</v>
      </c>
      <c r="D1386" s="672" t="s">
        <v>9713</v>
      </c>
      <c r="E1386" s="745" t="s">
        <v>545</v>
      </c>
      <c r="F1386" s="746">
        <v>70</v>
      </c>
      <c r="G1386" s="685">
        <v>3.2650000000000001</v>
      </c>
      <c r="H1386" s="685">
        <v>228.55</v>
      </c>
      <c r="I1386" s="686" t="s">
        <v>9009</v>
      </c>
      <c r="J1386" s="672" t="s">
        <v>10128</v>
      </c>
      <c r="K1386" s="672" t="s">
        <v>541</v>
      </c>
      <c r="L1386" s="672" t="s">
        <v>8996</v>
      </c>
    </row>
    <row r="1387" spans="1:12" x14ac:dyDescent="0.2">
      <c r="A1387" s="744" t="s">
        <v>587</v>
      </c>
      <c r="B1387" s="672" t="s">
        <v>588</v>
      </c>
      <c r="C1387" s="672" t="s">
        <v>688</v>
      </c>
      <c r="D1387" s="672" t="s">
        <v>689</v>
      </c>
      <c r="E1387" s="745"/>
      <c r="F1387" s="746">
        <v>6</v>
      </c>
      <c r="G1387" s="685">
        <v>352.43900000000002</v>
      </c>
      <c r="H1387" s="685">
        <v>2114.634</v>
      </c>
      <c r="I1387" s="686" t="s">
        <v>9009</v>
      </c>
      <c r="J1387" s="672" t="s">
        <v>9147</v>
      </c>
      <c r="K1387" s="672" t="s">
        <v>541</v>
      </c>
      <c r="L1387" s="672" t="s">
        <v>8996</v>
      </c>
    </row>
    <row r="1388" spans="1:12" x14ac:dyDescent="0.2">
      <c r="A1388" s="744" t="s">
        <v>587</v>
      </c>
      <c r="B1388" s="672" t="s">
        <v>588</v>
      </c>
      <c r="C1388" s="672" t="s">
        <v>680</v>
      </c>
      <c r="D1388" s="672" t="s">
        <v>681</v>
      </c>
      <c r="E1388" s="745"/>
      <c r="F1388" s="746">
        <v>33</v>
      </c>
      <c r="G1388" s="685">
        <v>5.4087843099460295</v>
      </c>
      <c r="H1388" s="685">
        <v>178.48988222821899</v>
      </c>
      <c r="I1388" s="686" t="s">
        <v>9009</v>
      </c>
      <c r="J1388" s="672" t="s">
        <v>9147</v>
      </c>
      <c r="K1388" s="672" t="s">
        <v>541</v>
      </c>
      <c r="L1388" s="672" t="s">
        <v>8996</v>
      </c>
    </row>
    <row r="1389" spans="1:12" x14ac:dyDescent="0.2">
      <c r="A1389" s="744" t="s">
        <v>587</v>
      </c>
      <c r="B1389" s="672" t="s">
        <v>588</v>
      </c>
      <c r="C1389" s="672" t="s">
        <v>700</v>
      </c>
      <c r="D1389" s="672" t="s">
        <v>701</v>
      </c>
      <c r="E1389" s="745"/>
      <c r="F1389" s="746">
        <v>1</v>
      </c>
      <c r="G1389" s="685">
        <v>30.505706430295454</v>
      </c>
      <c r="H1389" s="685">
        <v>30.505706430295454</v>
      </c>
      <c r="I1389" s="686" t="s">
        <v>9009</v>
      </c>
      <c r="J1389" s="672" t="s">
        <v>9147</v>
      </c>
      <c r="K1389" s="672" t="s">
        <v>541</v>
      </c>
      <c r="L1389" s="672" t="s">
        <v>8996</v>
      </c>
    </row>
    <row r="1390" spans="1:12" x14ac:dyDescent="0.2">
      <c r="A1390" s="744" t="s">
        <v>587</v>
      </c>
      <c r="B1390" s="672" t="s">
        <v>588</v>
      </c>
      <c r="C1390" s="672" t="s">
        <v>729</v>
      </c>
      <c r="D1390" s="672" t="s">
        <v>730</v>
      </c>
      <c r="E1390" s="745"/>
      <c r="F1390" s="746">
        <v>2700</v>
      </c>
      <c r="G1390" s="685">
        <v>6.565E-2</v>
      </c>
      <c r="H1390" s="685">
        <v>177.255</v>
      </c>
      <c r="I1390" s="686" t="s">
        <v>9009</v>
      </c>
      <c r="J1390" s="672" t="s">
        <v>9201</v>
      </c>
      <c r="K1390" s="672" t="s">
        <v>541</v>
      </c>
      <c r="L1390" s="672" t="s">
        <v>8996</v>
      </c>
    </row>
    <row r="1391" spans="1:12" x14ac:dyDescent="0.2">
      <c r="A1391" s="744" t="s">
        <v>587</v>
      </c>
      <c r="B1391" s="672" t="s">
        <v>588</v>
      </c>
      <c r="C1391" s="672" t="s">
        <v>731</v>
      </c>
      <c r="D1391" s="672" t="s">
        <v>732</v>
      </c>
      <c r="E1391" s="745"/>
      <c r="F1391" s="746">
        <v>1</v>
      </c>
      <c r="G1391" s="685">
        <v>156.55000000000001</v>
      </c>
      <c r="H1391" s="685">
        <v>156.55000000000001</v>
      </c>
      <c r="I1391" s="686" t="s">
        <v>9009</v>
      </c>
      <c r="J1391" s="672" t="s">
        <v>9201</v>
      </c>
      <c r="K1391" s="672" t="s">
        <v>541</v>
      </c>
      <c r="L1391" s="672" t="s">
        <v>8996</v>
      </c>
    </row>
    <row r="1392" spans="1:12" x14ac:dyDescent="0.2">
      <c r="A1392" s="744" t="s">
        <v>587</v>
      </c>
      <c r="B1392" s="672" t="s">
        <v>588</v>
      </c>
      <c r="D1392" s="672" t="s">
        <v>9215</v>
      </c>
      <c r="E1392" s="745" t="s">
        <v>545</v>
      </c>
      <c r="F1392" s="746">
        <v>100</v>
      </c>
      <c r="G1392" s="685">
        <v>12.108366927190456</v>
      </c>
      <c r="H1392" s="685">
        <v>1210.8366927190457</v>
      </c>
      <c r="I1392" s="686" t="s">
        <v>9009</v>
      </c>
      <c r="J1392" s="672" t="s">
        <v>9147</v>
      </c>
      <c r="K1392" s="672" t="s">
        <v>541</v>
      </c>
      <c r="L1392" s="672" t="s">
        <v>8996</v>
      </c>
    </row>
    <row r="1393" spans="1:12" x14ac:dyDescent="0.2">
      <c r="A1393" s="744" t="s">
        <v>587</v>
      </c>
      <c r="B1393" s="672" t="s">
        <v>588</v>
      </c>
      <c r="C1393" s="672" t="s">
        <v>1797</v>
      </c>
      <c r="D1393" s="672" t="s">
        <v>9216</v>
      </c>
      <c r="E1393" s="745"/>
      <c r="F1393" s="746">
        <v>110</v>
      </c>
      <c r="G1393" s="685">
        <v>12.108366927190456</v>
      </c>
      <c r="H1393" s="685">
        <v>1331.9203619909501</v>
      </c>
      <c r="I1393" s="686" t="s">
        <v>9009</v>
      </c>
      <c r="J1393" s="672" t="s">
        <v>9147</v>
      </c>
      <c r="K1393" s="672" t="s">
        <v>541</v>
      </c>
      <c r="L1393" s="672" t="s">
        <v>8996</v>
      </c>
    </row>
    <row r="1394" spans="1:12" x14ac:dyDescent="0.2">
      <c r="A1394" s="744" t="s">
        <v>587</v>
      </c>
      <c r="B1394" s="672" t="s">
        <v>588</v>
      </c>
      <c r="D1394" s="672" t="s">
        <v>733</v>
      </c>
      <c r="E1394" s="745" t="s">
        <v>1894</v>
      </c>
      <c r="F1394" s="746">
        <v>100</v>
      </c>
      <c r="G1394" s="685">
        <v>49.03904001590476</v>
      </c>
      <c r="H1394" s="685">
        <v>4903.9040015904757</v>
      </c>
      <c r="I1394" s="686" t="s">
        <v>9009</v>
      </c>
      <c r="J1394" s="672" t="s">
        <v>9147</v>
      </c>
      <c r="K1394" s="672" t="s">
        <v>541</v>
      </c>
      <c r="L1394" s="672" t="s">
        <v>8996</v>
      </c>
    </row>
    <row r="1395" spans="1:12" x14ac:dyDescent="0.2">
      <c r="A1395" s="744" t="s">
        <v>587</v>
      </c>
      <c r="B1395" s="672" t="s">
        <v>588</v>
      </c>
      <c r="C1395" s="672" t="s">
        <v>719</v>
      </c>
      <c r="D1395" s="672" t="s">
        <v>720</v>
      </c>
      <c r="E1395" s="745"/>
      <c r="F1395" s="746">
        <v>161600</v>
      </c>
      <c r="G1395" s="685">
        <v>0.21457018061935432</v>
      </c>
      <c r="H1395" s="685">
        <v>34674.541188087656</v>
      </c>
      <c r="I1395" s="686" t="s">
        <v>9009</v>
      </c>
      <c r="J1395" s="672" t="s">
        <v>9011</v>
      </c>
      <c r="K1395" s="672" t="s">
        <v>541</v>
      </c>
      <c r="L1395" s="672" t="s">
        <v>8996</v>
      </c>
    </row>
    <row r="1396" spans="1:12" x14ac:dyDescent="0.2">
      <c r="A1396" s="744" t="s">
        <v>587</v>
      </c>
      <c r="B1396" s="672" t="s">
        <v>588</v>
      </c>
      <c r="C1396" s="672" t="s">
        <v>1117</v>
      </c>
      <c r="D1396" s="672" t="s">
        <v>7681</v>
      </c>
      <c r="E1396" s="745"/>
      <c r="F1396" s="746">
        <v>9025</v>
      </c>
      <c r="G1396" s="685">
        <v>0.65004816140349075</v>
      </c>
      <c r="H1396" s="685">
        <v>5866.6846566665045</v>
      </c>
      <c r="I1396" s="686" t="s">
        <v>9009</v>
      </c>
      <c r="J1396" s="672" t="s">
        <v>9011</v>
      </c>
      <c r="K1396" s="672" t="s">
        <v>541</v>
      </c>
      <c r="L1396" s="672" t="s">
        <v>8996</v>
      </c>
    </row>
    <row r="1397" spans="1:12" x14ac:dyDescent="0.2">
      <c r="A1397" s="744" t="s">
        <v>587</v>
      </c>
      <c r="B1397" s="672" t="s">
        <v>588</v>
      </c>
      <c r="C1397" s="672" t="s">
        <v>739</v>
      </c>
      <c r="D1397" s="672" t="s">
        <v>7682</v>
      </c>
      <c r="E1397" s="745"/>
      <c r="F1397" s="746">
        <v>10528</v>
      </c>
      <c r="G1397" s="685">
        <v>1.0414720120690593</v>
      </c>
      <c r="H1397" s="685">
        <v>10964.617343063055</v>
      </c>
      <c r="I1397" s="686" t="s">
        <v>9009</v>
      </c>
      <c r="J1397" s="672" t="s">
        <v>9011</v>
      </c>
      <c r="K1397" s="672" t="s">
        <v>541</v>
      </c>
      <c r="L1397" s="672" t="s">
        <v>8996</v>
      </c>
    </row>
    <row r="1398" spans="1:12" x14ac:dyDescent="0.2">
      <c r="A1398" s="744" t="s">
        <v>587</v>
      </c>
      <c r="B1398" s="672" t="s">
        <v>588</v>
      </c>
      <c r="C1398" s="672" t="s">
        <v>741</v>
      </c>
      <c r="D1398" s="672" t="s">
        <v>7683</v>
      </c>
      <c r="E1398" s="745"/>
      <c r="F1398" s="746">
        <v>7218</v>
      </c>
      <c r="G1398" s="685">
        <v>2.0094622849434631</v>
      </c>
      <c r="H1398" s="685">
        <v>14504.298772721917</v>
      </c>
      <c r="I1398" s="686" t="s">
        <v>9009</v>
      </c>
      <c r="J1398" s="672" t="s">
        <v>9011</v>
      </c>
      <c r="K1398" s="672" t="s">
        <v>541</v>
      </c>
      <c r="L1398" s="672" t="s">
        <v>8996</v>
      </c>
    </row>
    <row r="1399" spans="1:12" x14ac:dyDescent="0.2">
      <c r="A1399" s="744" t="s">
        <v>587</v>
      </c>
      <c r="B1399" s="672" t="s">
        <v>588</v>
      </c>
      <c r="C1399" s="672" t="s">
        <v>743</v>
      </c>
      <c r="D1399" s="672" t="s">
        <v>7749</v>
      </c>
      <c r="E1399" s="745"/>
      <c r="F1399" s="746">
        <v>9350</v>
      </c>
      <c r="G1399" s="685">
        <v>0.50519924585659148</v>
      </c>
      <c r="H1399" s="685">
        <v>4723.6129487591306</v>
      </c>
      <c r="I1399" s="686" t="s">
        <v>9009</v>
      </c>
      <c r="J1399" s="672" t="s">
        <v>9011</v>
      </c>
      <c r="K1399" s="672" t="s">
        <v>541</v>
      </c>
      <c r="L1399" s="672" t="s">
        <v>8996</v>
      </c>
    </row>
    <row r="1400" spans="1:12" x14ac:dyDescent="0.2">
      <c r="A1400" s="744" t="s">
        <v>587</v>
      </c>
      <c r="B1400" s="672" t="s">
        <v>588</v>
      </c>
      <c r="C1400" s="672" t="s">
        <v>745</v>
      </c>
      <c r="D1400" s="672" t="s">
        <v>7684</v>
      </c>
      <c r="E1400" s="745"/>
      <c r="F1400" s="746">
        <v>16313</v>
      </c>
      <c r="G1400" s="685">
        <v>0.60196053975898778</v>
      </c>
      <c r="H1400" s="685">
        <v>9819.7822850883676</v>
      </c>
      <c r="I1400" s="686" t="s">
        <v>9009</v>
      </c>
      <c r="J1400" s="672" t="s">
        <v>9011</v>
      </c>
      <c r="K1400" s="672" t="s">
        <v>541</v>
      </c>
      <c r="L1400" s="672" t="s">
        <v>8996</v>
      </c>
    </row>
    <row r="1401" spans="1:12" x14ac:dyDescent="0.2">
      <c r="A1401" s="744" t="s">
        <v>220</v>
      </c>
      <c r="B1401" s="672" t="s">
        <v>7455</v>
      </c>
      <c r="C1401" s="672" t="s">
        <v>2087</v>
      </c>
      <c r="D1401" s="672" t="s">
        <v>7490</v>
      </c>
      <c r="E1401" s="745" t="s">
        <v>545</v>
      </c>
      <c r="F1401" s="732">
        <v>15</v>
      </c>
      <c r="G1401" s="704">
        <v>130.48334584556275</v>
      </c>
      <c r="H1401" s="685">
        <v>1957.2501876834413</v>
      </c>
      <c r="I1401" s="686" t="s">
        <v>9009</v>
      </c>
      <c r="J1401" s="672" t="s">
        <v>9024</v>
      </c>
      <c r="K1401" s="672" t="s">
        <v>536</v>
      </c>
      <c r="L1401" s="672" t="s">
        <v>9024</v>
      </c>
    </row>
    <row r="1402" spans="1:12" x14ac:dyDescent="0.2">
      <c r="A1402" s="744" t="s">
        <v>220</v>
      </c>
      <c r="B1402" s="672" t="s">
        <v>7455</v>
      </c>
      <c r="C1402" s="672" t="s">
        <v>7639</v>
      </c>
      <c r="D1402" s="672" t="s">
        <v>7640</v>
      </c>
      <c r="E1402" s="745" t="s">
        <v>545</v>
      </c>
      <c r="F1402" s="732">
        <v>2</v>
      </c>
      <c r="G1402" s="704">
        <v>53.649785555567433</v>
      </c>
      <c r="H1402" s="685">
        <v>107.29957111113487</v>
      </c>
      <c r="I1402" s="686" t="s">
        <v>9009</v>
      </c>
      <c r="J1402" s="672" t="s">
        <v>9024</v>
      </c>
      <c r="K1402" s="672" t="s">
        <v>536</v>
      </c>
      <c r="L1402" s="672" t="s">
        <v>9024</v>
      </c>
    </row>
    <row r="1403" spans="1:12" x14ac:dyDescent="0.2">
      <c r="A1403" s="744" t="s">
        <v>220</v>
      </c>
      <c r="B1403" s="672" t="s">
        <v>7455</v>
      </c>
      <c r="C1403" s="672" t="s">
        <v>7631</v>
      </c>
      <c r="D1403" s="672" t="s">
        <v>7752</v>
      </c>
      <c r="E1403" s="745" t="s">
        <v>545</v>
      </c>
      <c r="F1403" s="732">
        <v>5</v>
      </c>
      <c r="G1403" s="704">
        <v>53.361335118244682</v>
      </c>
      <c r="H1403" s="685">
        <v>266.80667559122344</v>
      </c>
      <c r="I1403" s="686" t="s">
        <v>9009</v>
      </c>
      <c r="J1403" s="672" t="s">
        <v>9024</v>
      </c>
      <c r="K1403" s="672" t="s">
        <v>536</v>
      </c>
      <c r="L1403" s="672" t="s">
        <v>9024</v>
      </c>
    </row>
    <row r="1404" spans="1:12" x14ac:dyDescent="0.2">
      <c r="A1404" s="744" t="s">
        <v>220</v>
      </c>
      <c r="B1404" s="672" t="s">
        <v>7455</v>
      </c>
      <c r="C1404" s="672" t="s">
        <v>2128</v>
      </c>
      <c r="D1404" s="672" t="s">
        <v>7764</v>
      </c>
      <c r="E1404" s="745" t="s">
        <v>545</v>
      </c>
      <c r="F1404" s="732">
        <v>10</v>
      </c>
      <c r="G1404" s="704">
        <v>58.923182338044533</v>
      </c>
      <c r="H1404" s="685">
        <v>589.23182338044535</v>
      </c>
      <c r="I1404" s="686" t="s">
        <v>9009</v>
      </c>
      <c r="J1404" s="672" t="s">
        <v>9024</v>
      </c>
      <c r="K1404" s="672" t="s">
        <v>536</v>
      </c>
      <c r="L1404" s="672" t="s">
        <v>9024</v>
      </c>
    </row>
    <row r="1405" spans="1:12" x14ac:dyDescent="0.2">
      <c r="A1405" s="744" t="s">
        <v>220</v>
      </c>
      <c r="B1405" s="672" t="s">
        <v>7455</v>
      </c>
      <c r="C1405" s="672" t="s">
        <v>2138</v>
      </c>
      <c r="D1405" s="672" t="s">
        <v>7648</v>
      </c>
      <c r="E1405" s="745" t="s">
        <v>545</v>
      </c>
      <c r="F1405" s="732">
        <v>12</v>
      </c>
      <c r="G1405" s="704">
        <v>63.701341608137156</v>
      </c>
      <c r="H1405" s="685">
        <v>764.41609929764581</v>
      </c>
      <c r="I1405" s="686" t="s">
        <v>9009</v>
      </c>
      <c r="J1405" s="672" t="s">
        <v>9024</v>
      </c>
      <c r="K1405" s="672" t="s">
        <v>536</v>
      </c>
      <c r="L1405" s="672" t="s">
        <v>9024</v>
      </c>
    </row>
    <row r="1406" spans="1:12" x14ac:dyDescent="0.2">
      <c r="A1406" s="744" t="s">
        <v>220</v>
      </c>
      <c r="B1406" s="672" t="s">
        <v>7455</v>
      </c>
      <c r="C1406" s="672" t="s">
        <v>2138</v>
      </c>
      <c r="D1406" s="672" t="s">
        <v>10288</v>
      </c>
      <c r="E1406" s="745" t="s">
        <v>545</v>
      </c>
      <c r="F1406" s="732">
        <v>1</v>
      </c>
      <c r="G1406" s="704">
        <v>63.701341608137156</v>
      </c>
      <c r="H1406" s="685">
        <v>63.701341608137156</v>
      </c>
      <c r="I1406" s="686" t="s">
        <v>9009</v>
      </c>
      <c r="J1406" s="672" t="s">
        <v>9024</v>
      </c>
      <c r="K1406" s="672" t="s">
        <v>536</v>
      </c>
      <c r="L1406" s="672" t="s">
        <v>9024</v>
      </c>
    </row>
    <row r="1407" spans="1:12" x14ac:dyDescent="0.2">
      <c r="A1407" s="744" t="s">
        <v>220</v>
      </c>
      <c r="B1407" s="672" t="s">
        <v>7455</v>
      </c>
      <c r="C1407" s="672" t="s">
        <v>2138</v>
      </c>
      <c r="D1407" s="672" t="s">
        <v>7605</v>
      </c>
      <c r="E1407" s="745" t="s">
        <v>545</v>
      </c>
      <c r="F1407" s="732">
        <v>16</v>
      </c>
      <c r="G1407" s="704">
        <v>63.701341608137156</v>
      </c>
      <c r="H1407" s="685">
        <v>1019.2214657301945</v>
      </c>
      <c r="I1407" s="686" t="s">
        <v>9009</v>
      </c>
      <c r="J1407" s="672" t="s">
        <v>9024</v>
      </c>
      <c r="K1407" s="672" t="s">
        <v>536</v>
      </c>
      <c r="L1407" s="672" t="s">
        <v>9024</v>
      </c>
    </row>
    <row r="1408" spans="1:12" x14ac:dyDescent="0.2">
      <c r="A1408" s="744" t="s">
        <v>220</v>
      </c>
      <c r="B1408" s="672" t="s">
        <v>7455</v>
      </c>
      <c r="C1408" s="672" t="s">
        <v>2079</v>
      </c>
      <c r="D1408" s="672" t="s">
        <v>7613</v>
      </c>
      <c r="E1408" s="745" t="s">
        <v>545</v>
      </c>
      <c r="F1408" s="732">
        <v>40</v>
      </c>
      <c r="G1408" s="704">
        <v>64.663139276087733</v>
      </c>
      <c r="H1408" s="685">
        <v>2586.5255710435094</v>
      </c>
      <c r="I1408" s="686" t="s">
        <v>9009</v>
      </c>
      <c r="J1408" s="672" t="s">
        <v>9024</v>
      </c>
      <c r="K1408" s="672" t="s">
        <v>536</v>
      </c>
      <c r="L1408" s="672" t="s">
        <v>9024</v>
      </c>
    </row>
    <row r="1409" spans="1:12" x14ac:dyDescent="0.2">
      <c r="A1409" s="744" t="s">
        <v>220</v>
      </c>
      <c r="B1409" s="672" t="s">
        <v>7455</v>
      </c>
      <c r="C1409" s="672" t="s">
        <v>7763</v>
      </c>
      <c r="D1409" s="672" t="s">
        <v>7775</v>
      </c>
      <c r="E1409" s="745" t="s">
        <v>545</v>
      </c>
      <c r="F1409" s="732">
        <v>6</v>
      </c>
      <c r="G1409" s="704">
        <v>58.919145133075403</v>
      </c>
      <c r="H1409" s="685">
        <v>353.51487079845242</v>
      </c>
      <c r="I1409" s="686" t="s">
        <v>9009</v>
      </c>
      <c r="J1409" s="672" t="s">
        <v>9024</v>
      </c>
      <c r="K1409" s="672" t="s">
        <v>536</v>
      </c>
      <c r="L1409" s="672" t="s">
        <v>9024</v>
      </c>
    </row>
    <row r="1410" spans="1:12" x14ac:dyDescent="0.2">
      <c r="A1410" s="744" t="s">
        <v>220</v>
      </c>
      <c r="B1410" s="672" t="s">
        <v>7455</v>
      </c>
      <c r="C1410" s="672" t="s">
        <v>7767</v>
      </c>
      <c r="D1410" s="672" t="s">
        <v>7768</v>
      </c>
      <c r="E1410" s="745" t="s">
        <v>545</v>
      </c>
      <c r="F1410" s="732">
        <v>3</v>
      </c>
      <c r="G1410" s="704">
        <v>65.939786941083923</v>
      </c>
      <c r="H1410" s="685">
        <v>197.81936082325177</v>
      </c>
      <c r="I1410" s="686" t="s">
        <v>9009</v>
      </c>
      <c r="J1410" s="672" t="s">
        <v>9024</v>
      </c>
      <c r="K1410" s="672" t="s">
        <v>536</v>
      </c>
      <c r="L1410" s="672" t="s">
        <v>9024</v>
      </c>
    </row>
    <row r="1411" spans="1:12" x14ac:dyDescent="0.2">
      <c r="A1411" s="744" t="s">
        <v>220</v>
      </c>
      <c r="B1411" s="672" t="s">
        <v>7455</v>
      </c>
      <c r="C1411" s="672" t="s">
        <v>7646</v>
      </c>
      <c r="D1411" s="672" t="s">
        <v>7647</v>
      </c>
      <c r="E1411" s="745" t="s">
        <v>545</v>
      </c>
      <c r="F1411" s="732">
        <v>1</v>
      </c>
      <c r="G1411" s="704">
        <v>62.357646288967445</v>
      </c>
      <c r="H1411" s="685">
        <v>62.357646288967445</v>
      </c>
      <c r="I1411" s="686" t="s">
        <v>9009</v>
      </c>
      <c r="J1411" s="672" t="s">
        <v>9024</v>
      </c>
      <c r="K1411" s="672" t="s">
        <v>536</v>
      </c>
      <c r="L1411" s="672" t="s">
        <v>9024</v>
      </c>
    </row>
    <row r="1412" spans="1:12" x14ac:dyDescent="0.2">
      <c r="A1412" s="744" t="s">
        <v>220</v>
      </c>
      <c r="B1412" s="672" t="s">
        <v>7455</v>
      </c>
      <c r="C1412" s="672" t="s">
        <v>7646</v>
      </c>
      <c r="D1412" s="672" t="s">
        <v>7605</v>
      </c>
      <c r="E1412" s="745" t="s">
        <v>545</v>
      </c>
      <c r="F1412" s="732">
        <v>1</v>
      </c>
      <c r="G1412" s="704">
        <v>62.357646288967445</v>
      </c>
      <c r="H1412" s="685">
        <v>62.357646288967445</v>
      </c>
      <c r="I1412" s="686" t="s">
        <v>9009</v>
      </c>
      <c r="J1412" s="672" t="s">
        <v>9024</v>
      </c>
      <c r="K1412" s="672" t="s">
        <v>536</v>
      </c>
      <c r="L1412" s="672" t="s">
        <v>9024</v>
      </c>
    </row>
    <row r="1413" spans="1:12" x14ac:dyDescent="0.2">
      <c r="A1413" s="744" t="s">
        <v>220</v>
      </c>
      <c r="B1413" s="672" t="s">
        <v>7455</v>
      </c>
      <c r="C1413" s="672" t="s">
        <v>2068</v>
      </c>
      <c r="D1413" s="672" t="s">
        <v>7605</v>
      </c>
      <c r="E1413" s="745" t="s">
        <v>545</v>
      </c>
      <c r="F1413" s="732">
        <v>1</v>
      </c>
      <c r="G1413" s="704">
        <v>68.694126818999706</v>
      </c>
      <c r="H1413" s="685">
        <v>68.694126818999706</v>
      </c>
      <c r="I1413" s="686" t="s">
        <v>9009</v>
      </c>
      <c r="J1413" s="672" t="s">
        <v>9024</v>
      </c>
      <c r="K1413" s="672" t="s">
        <v>536</v>
      </c>
      <c r="L1413" s="672" t="s">
        <v>9024</v>
      </c>
    </row>
    <row r="1414" spans="1:12" x14ac:dyDescent="0.2">
      <c r="A1414" s="744" t="s">
        <v>220</v>
      </c>
      <c r="B1414" s="672" t="s">
        <v>7455</v>
      </c>
      <c r="C1414" s="672" t="s">
        <v>2116</v>
      </c>
      <c r="D1414" s="672" t="s">
        <v>10289</v>
      </c>
      <c r="E1414" s="745" t="s">
        <v>545</v>
      </c>
      <c r="F1414" s="732">
        <v>8</v>
      </c>
      <c r="G1414" s="704">
        <v>68.740788574890274</v>
      </c>
      <c r="H1414" s="685">
        <v>549.92630859912219</v>
      </c>
      <c r="I1414" s="686" t="s">
        <v>9009</v>
      </c>
      <c r="J1414" s="672" t="s">
        <v>9024</v>
      </c>
      <c r="K1414" s="672" t="s">
        <v>536</v>
      </c>
      <c r="L1414" s="672" t="s">
        <v>9024</v>
      </c>
    </row>
    <row r="1415" spans="1:12" x14ac:dyDescent="0.2">
      <c r="A1415" s="744" t="s">
        <v>220</v>
      </c>
      <c r="B1415" s="672" t="s">
        <v>7455</v>
      </c>
      <c r="C1415" s="672" t="s">
        <v>7646</v>
      </c>
      <c r="D1415" s="672" t="s">
        <v>9136</v>
      </c>
      <c r="E1415" s="745" t="s">
        <v>545</v>
      </c>
      <c r="F1415" s="732">
        <v>2</v>
      </c>
      <c r="G1415" s="704">
        <v>62.357646288967445</v>
      </c>
      <c r="H1415" s="685">
        <v>124.71529257793489</v>
      </c>
      <c r="I1415" s="686" t="s">
        <v>9009</v>
      </c>
      <c r="J1415" s="672" t="s">
        <v>9024</v>
      </c>
      <c r="K1415" s="672" t="s">
        <v>536</v>
      </c>
      <c r="L1415" s="672" t="s">
        <v>9024</v>
      </c>
    </row>
    <row r="1416" spans="1:12" x14ac:dyDescent="0.2">
      <c r="A1416" s="744" t="s">
        <v>220</v>
      </c>
      <c r="B1416" s="672" t="s">
        <v>7455</v>
      </c>
      <c r="C1416" s="672" t="s">
        <v>2070</v>
      </c>
      <c r="D1416" s="672" t="s">
        <v>7606</v>
      </c>
      <c r="E1416" s="745" t="s">
        <v>545</v>
      </c>
      <c r="F1416" s="732">
        <v>34</v>
      </c>
      <c r="G1416" s="704">
        <v>68.531320135750008</v>
      </c>
      <c r="H1416" s="685">
        <v>2330.0648846155004</v>
      </c>
      <c r="I1416" s="686" t="s">
        <v>9009</v>
      </c>
      <c r="J1416" s="672" t="s">
        <v>9024</v>
      </c>
      <c r="K1416" s="672" t="s">
        <v>536</v>
      </c>
      <c r="L1416" s="672" t="s">
        <v>9024</v>
      </c>
    </row>
    <row r="1417" spans="1:12" x14ac:dyDescent="0.2">
      <c r="A1417" s="744" t="s">
        <v>220</v>
      </c>
      <c r="B1417" s="672" t="s">
        <v>7455</v>
      </c>
      <c r="C1417" s="672" t="s">
        <v>2132</v>
      </c>
      <c r="D1417" s="672" t="s">
        <v>9064</v>
      </c>
      <c r="E1417" s="745" t="s">
        <v>545</v>
      </c>
      <c r="F1417" s="732">
        <v>2</v>
      </c>
      <c r="G1417" s="704">
        <v>68.718163274408298</v>
      </c>
      <c r="H1417" s="685">
        <v>137.4363265488166</v>
      </c>
      <c r="I1417" s="686" t="s">
        <v>9009</v>
      </c>
      <c r="J1417" s="672" t="s">
        <v>9024</v>
      </c>
      <c r="K1417" s="672" t="s">
        <v>536</v>
      </c>
      <c r="L1417" s="672" t="s">
        <v>9024</v>
      </c>
    </row>
    <row r="1418" spans="1:12" x14ac:dyDescent="0.2">
      <c r="A1418" s="744" t="s">
        <v>220</v>
      </c>
      <c r="B1418" s="672" t="s">
        <v>7455</v>
      </c>
      <c r="C1418" s="672" t="s">
        <v>2082</v>
      </c>
      <c r="D1418" s="672" t="s">
        <v>9131</v>
      </c>
      <c r="E1418" s="745" t="s">
        <v>545</v>
      </c>
      <c r="F1418" s="732">
        <v>2</v>
      </c>
      <c r="G1418" s="704">
        <v>75.145167585075157</v>
      </c>
      <c r="H1418" s="685">
        <v>150.29033517015031</v>
      </c>
      <c r="I1418" s="686" t="s">
        <v>9009</v>
      </c>
      <c r="J1418" s="672" t="s">
        <v>9024</v>
      </c>
      <c r="K1418" s="672" t="s">
        <v>536</v>
      </c>
      <c r="L1418" s="672" t="s">
        <v>9024</v>
      </c>
    </row>
    <row r="1419" spans="1:12" x14ac:dyDescent="0.2">
      <c r="A1419" s="744" t="s">
        <v>220</v>
      </c>
      <c r="B1419" s="672" t="s">
        <v>7455</v>
      </c>
      <c r="C1419" s="672" t="s">
        <v>2064</v>
      </c>
      <c r="D1419" s="672" t="s">
        <v>10290</v>
      </c>
      <c r="E1419" s="745" t="s">
        <v>545</v>
      </c>
      <c r="F1419" s="732">
        <v>1</v>
      </c>
      <c r="G1419" s="704">
        <v>74.64834065531933</v>
      </c>
      <c r="H1419" s="685">
        <v>74.64834065531933</v>
      </c>
      <c r="I1419" s="686" t="s">
        <v>9009</v>
      </c>
      <c r="J1419" s="672" t="s">
        <v>9024</v>
      </c>
      <c r="K1419" s="672" t="s">
        <v>536</v>
      </c>
      <c r="L1419" s="672" t="s">
        <v>9024</v>
      </c>
    </row>
    <row r="1420" spans="1:12" x14ac:dyDescent="0.2">
      <c r="A1420" s="744" t="s">
        <v>220</v>
      </c>
      <c r="B1420" s="672" t="s">
        <v>7455</v>
      </c>
      <c r="C1420" s="672" t="s">
        <v>2064</v>
      </c>
      <c r="D1420" s="672" t="s">
        <v>7603</v>
      </c>
      <c r="E1420" s="745" t="s">
        <v>545</v>
      </c>
      <c r="F1420" s="732">
        <v>33</v>
      </c>
      <c r="G1420" s="704">
        <v>74.64834065531933</v>
      </c>
      <c r="H1420" s="685">
        <v>2463.3952416255379</v>
      </c>
      <c r="I1420" s="686" t="s">
        <v>9009</v>
      </c>
      <c r="J1420" s="672" t="s">
        <v>9024</v>
      </c>
      <c r="K1420" s="672" t="s">
        <v>536</v>
      </c>
      <c r="L1420" s="672" t="s">
        <v>9024</v>
      </c>
    </row>
    <row r="1421" spans="1:12" x14ac:dyDescent="0.2">
      <c r="A1421" s="744" t="s">
        <v>220</v>
      </c>
      <c r="B1421" s="672" t="s">
        <v>7455</v>
      </c>
      <c r="C1421" s="672" t="s">
        <v>2082</v>
      </c>
      <c r="D1421" s="672" t="s">
        <v>7476</v>
      </c>
      <c r="E1421" s="745" t="s">
        <v>545</v>
      </c>
      <c r="F1421" s="732">
        <v>3</v>
      </c>
      <c r="G1421" s="704">
        <v>75.145167585075157</v>
      </c>
      <c r="H1421" s="685">
        <v>225.43550275522546</v>
      </c>
      <c r="I1421" s="686" t="s">
        <v>9009</v>
      </c>
      <c r="J1421" s="672" t="s">
        <v>9024</v>
      </c>
      <c r="K1421" s="672" t="s">
        <v>536</v>
      </c>
      <c r="L1421" s="672" t="s">
        <v>9024</v>
      </c>
    </row>
    <row r="1422" spans="1:12" x14ac:dyDescent="0.2">
      <c r="A1422" s="744" t="s">
        <v>220</v>
      </c>
      <c r="B1422" s="672" t="s">
        <v>7455</v>
      </c>
      <c r="C1422" s="672" t="s">
        <v>9071</v>
      </c>
      <c r="D1422" s="672" t="s">
        <v>9046</v>
      </c>
      <c r="E1422" s="745" t="s">
        <v>545</v>
      </c>
      <c r="F1422" s="732">
        <v>7</v>
      </c>
      <c r="G1422" s="704">
        <v>74.081456758427706</v>
      </c>
      <c r="H1422" s="685">
        <v>518.5701973089939</v>
      </c>
      <c r="I1422" s="686" t="s">
        <v>9009</v>
      </c>
      <c r="J1422" s="672" t="s">
        <v>9024</v>
      </c>
      <c r="K1422" s="672" t="s">
        <v>536</v>
      </c>
      <c r="L1422" s="672" t="s">
        <v>9024</v>
      </c>
    </row>
    <row r="1423" spans="1:12" x14ac:dyDescent="0.2">
      <c r="A1423" s="744" t="s">
        <v>220</v>
      </c>
      <c r="B1423" s="672" t="s">
        <v>7455</v>
      </c>
      <c r="C1423" s="672" t="s">
        <v>2134</v>
      </c>
      <c r="D1423" s="672" t="s">
        <v>10291</v>
      </c>
      <c r="E1423" s="745" t="s">
        <v>545</v>
      </c>
      <c r="F1423" s="732">
        <v>3</v>
      </c>
      <c r="G1423" s="704">
        <v>80.346128985226883</v>
      </c>
      <c r="H1423" s="685">
        <v>241.03838695568066</v>
      </c>
      <c r="I1423" s="686" t="s">
        <v>9009</v>
      </c>
      <c r="J1423" s="672" t="s">
        <v>9024</v>
      </c>
      <c r="K1423" s="672" t="s">
        <v>536</v>
      </c>
      <c r="L1423" s="672" t="s">
        <v>9024</v>
      </c>
    </row>
    <row r="1424" spans="1:12" x14ac:dyDescent="0.2">
      <c r="A1424" s="744" t="s">
        <v>220</v>
      </c>
      <c r="B1424" s="672" t="s">
        <v>7455</v>
      </c>
      <c r="C1424" s="672" t="s">
        <v>2134</v>
      </c>
      <c r="D1424" s="672" t="s">
        <v>9046</v>
      </c>
      <c r="E1424" s="745" t="s">
        <v>545</v>
      </c>
      <c r="F1424" s="732">
        <v>6</v>
      </c>
      <c r="G1424" s="704">
        <v>80.346128985226883</v>
      </c>
      <c r="H1424" s="685">
        <v>482.07677391136133</v>
      </c>
      <c r="I1424" s="686" t="s">
        <v>9009</v>
      </c>
      <c r="J1424" s="672" t="s">
        <v>9024</v>
      </c>
      <c r="K1424" s="672" t="s">
        <v>536</v>
      </c>
      <c r="L1424" s="672" t="s">
        <v>9024</v>
      </c>
    </row>
    <row r="1425" spans="1:12" x14ac:dyDescent="0.2">
      <c r="A1425" s="744" t="s">
        <v>220</v>
      </c>
      <c r="B1425" s="672" t="s">
        <v>7455</v>
      </c>
      <c r="C1425" s="672" t="s">
        <v>2141</v>
      </c>
      <c r="D1425" s="672" t="s">
        <v>7649</v>
      </c>
      <c r="E1425" s="745" t="s">
        <v>545</v>
      </c>
      <c r="F1425" s="732">
        <v>9</v>
      </c>
      <c r="G1425" s="704">
        <v>72.690253470847153</v>
      </c>
      <c r="H1425" s="685">
        <v>654.21228123762444</v>
      </c>
      <c r="I1425" s="686" t="s">
        <v>9009</v>
      </c>
      <c r="J1425" s="672" t="s">
        <v>9024</v>
      </c>
      <c r="K1425" s="672" t="s">
        <v>536</v>
      </c>
      <c r="L1425" s="672" t="s">
        <v>9024</v>
      </c>
    </row>
    <row r="1426" spans="1:12" x14ac:dyDescent="0.2">
      <c r="A1426" s="744" t="s">
        <v>220</v>
      </c>
      <c r="B1426" s="672" t="s">
        <v>7455</v>
      </c>
      <c r="C1426" s="672" t="s">
        <v>2071</v>
      </c>
      <c r="D1426" s="672" t="s">
        <v>9065</v>
      </c>
      <c r="E1426" s="745" t="s">
        <v>545</v>
      </c>
      <c r="F1426" s="732">
        <v>3</v>
      </c>
      <c r="G1426" s="704">
        <v>79.915676869676744</v>
      </c>
      <c r="H1426" s="685">
        <v>239.74703060903022</v>
      </c>
      <c r="I1426" s="686" t="s">
        <v>9009</v>
      </c>
      <c r="J1426" s="672" t="s">
        <v>9024</v>
      </c>
      <c r="K1426" s="672" t="s">
        <v>536</v>
      </c>
      <c r="L1426" s="672" t="s">
        <v>9024</v>
      </c>
    </row>
    <row r="1427" spans="1:12" x14ac:dyDescent="0.2">
      <c r="A1427" s="744" t="s">
        <v>220</v>
      </c>
      <c r="B1427" s="672" t="s">
        <v>7455</v>
      </c>
      <c r="C1427" s="672" t="s">
        <v>2071</v>
      </c>
      <c r="D1427" s="672" t="s">
        <v>7658</v>
      </c>
      <c r="E1427" s="745" t="s">
        <v>545</v>
      </c>
      <c r="F1427" s="732">
        <v>29</v>
      </c>
      <c r="G1427" s="704">
        <v>79.915676869676744</v>
      </c>
      <c r="H1427" s="685">
        <v>2317.5546292206254</v>
      </c>
      <c r="I1427" s="686" t="s">
        <v>9009</v>
      </c>
      <c r="J1427" s="672" t="s">
        <v>9024</v>
      </c>
      <c r="K1427" s="672" t="s">
        <v>536</v>
      </c>
      <c r="L1427" s="672" t="s">
        <v>9024</v>
      </c>
    </row>
    <row r="1428" spans="1:12" x14ac:dyDescent="0.2">
      <c r="A1428" s="744" t="s">
        <v>220</v>
      </c>
      <c r="B1428" s="672" t="s">
        <v>7455</v>
      </c>
      <c r="C1428" s="672" t="s">
        <v>9050</v>
      </c>
      <c r="D1428" s="672" t="s">
        <v>7665</v>
      </c>
      <c r="E1428" s="745" t="s">
        <v>545</v>
      </c>
      <c r="F1428" s="732">
        <v>1</v>
      </c>
      <c r="G1428" s="704">
        <v>75.591976440184197</v>
      </c>
      <c r="H1428" s="685">
        <v>75.591976440184197</v>
      </c>
      <c r="I1428" s="686" t="s">
        <v>9009</v>
      </c>
      <c r="J1428" s="672" t="s">
        <v>9024</v>
      </c>
      <c r="K1428" s="672" t="s">
        <v>536</v>
      </c>
      <c r="L1428" s="672" t="s">
        <v>9024</v>
      </c>
    </row>
    <row r="1429" spans="1:12" x14ac:dyDescent="0.2">
      <c r="A1429" s="744" t="s">
        <v>220</v>
      </c>
      <c r="B1429" s="672" t="s">
        <v>7455</v>
      </c>
      <c r="C1429" s="672" t="s">
        <v>2133</v>
      </c>
      <c r="D1429" s="672" t="s">
        <v>7643</v>
      </c>
      <c r="E1429" s="745" t="s">
        <v>545</v>
      </c>
      <c r="F1429" s="732">
        <v>1</v>
      </c>
      <c r="G1429" s="704">
        <v>85.277637535730321</v>
      </c>
      <c r="H1429" s="685">
        <v>85.277637535730321</v>
      </c>
      <c r="I1429" s="686" t="s">
        <v>9009</v>
      </c>
      <c r="J1429" s="672" t="s">
        <v>9024</v>
      </c>
      <c r="K1429" s="672" t="s">
        <v>536</v>
      </c>
      <c r="L1429" s="672" t="s">
        <v>9024</v>
      </c>
    </row>
    <row r="1430" spans="1:12" x14ac:dyDescent="0.2">
      <c r="A1430" s="744" t="s">
        <v>220</v>
      </c>
      <c r="B1430" s="672" t="s">
        <v>7455</v>
      </c>
      <c r="C1430" s="672" t="s">
        <v>2142</v>
      </c>
      <c r="D1430" s="672" t="s">
        <v>7650</v>
      </c>
      <c r="E1430" s="745" t="s">
        <v>545</v>
      </c>
      <c r="F1430" s="732">
        <v>3</v>
      </c>
      <c r="G1430" s="704">
        <v>88.214069931369821</v>
      </c>
      <c r="H1430" s="685">
        <v>264.64220979410948</v>
      </c>
      <c r="I1430" s="686" t="s">
        <v>9009</v>
      </c>
      <c r="J1430" s="672" t="s">
        <v>9024</v>
      </c>
      <c r="K1430" s="672" t="s">
        <v>536</v>
      </c>
      <c r="L1430" s="672" t="s">
        <v>9024</v>
      </c>
    </row>
    <row r="1431" spans="1:12" x14ac:dyDescent="0.2">
      <c r="A1431" s="744" t="s">
        <v>220</v>
      </c>
      <c r="B1431" s="672" t="s">
        <v>7455</v>
      </c>
      <c r="C1431" s="672" t="s">
        <v>2065</v>
      </c>
      <c r="D1431" s="672" t="s">
        <v>7604</v>
      </c>
      <c r="E1431" s="745" t="s">
        <v>545</v>
      </c>
      <c r="F1431" s="732">
        <v>80</v>
      </c>
      <c r="G1431" s="704">
        <v>86.690709028275577</v>
      </c>
      <c r="H1431" s="685">
        <v>6935.2567222620464</v>
      </c>
      <c r="I1431" s="686" t="s">
        <v>9009</v>
      </c>
      <c r="J1431" s="672" t="s">
        <v>9024</v>
      </c>
      <c r="K1431" s="672" t="s">
        <v>536</v>
      </c>
      <c r="L1431" s="672" t="s">
        <v>9024</v>
      </c>
    </row>
    <row r="1432" spans="1:12" x14ac:dyDescent="0.2">
      <c r="A1432" s="744" t="s">
        <v>220</v>
      </c>
      <c r="B1432" s="672" t="s">
        <v>7455</v>
      </c>
      <c r="C1432" s="672" t="s">
        <v>2085</v>
      </c>
      <c r="D1432" s="672" t="s">
        <v>7614</v>
      </c>
      <c r="E1432" s="745" t="s">
        <v>545</v>
      </c>
      <c r="F1432" s="732">
        <v>32</v>
      </c>
      <c r="G1432" s="704">
        <v>88.852122336985218</v>
      </c>
      <c r="H1432" s="685">
        <v>2843.267914783527</v>
      </c>
      <c r="I1432" s="686" t="s">
        <v>9009</v>
      </c>
      <c r="J1432" s="672" t="s">
        <v>9024</v>
      </c>
      <c r="K1432" s="672" t="s">
        <v>536</v>
      </c>
      <c r="L1432" s="672" t="s">
        <v>9024</v>
      </c>
    </row>
    <row r="1433" spans="1:12" x14ac:dyDescent="0.2">
      <c r="A1433" s="744" t="s">
        <v>220</v>
      </c>
      <c r="B1433" s="672" t="s">
        <v>7455</v>
      </c>
      <c r="C1433" s="672" t="s">
        <v>7598</v>
      </c>
      <c r="D1433" s="672" t="s">
        <v>7651</v>
      </c>
      <c r="E1433" s="745" t="s">
        <v>545</v>
      </c>
      <c r="F1433" s="732">
        <v>26</v>
      </c>
      <c r="G1433" s="704">
        <v>88.953202641804936</v>
      </c>
      <c r="H1433" s="685">
        <v>2312.7832686869283</v>
      </c>
      <c r="I1433" s="686" t="s">
        <v>9009</v>
      </c>
      <c r="J1433" s="672" t="s">
        <v>9024</v>
      </c>
      <c r="K1433" s="672" t="s">
        <v>536</v>
      </c>
      <c r="L1433" s="672" t="s">
        <v>9024</v>
      </c>
    </row>
    <row r="1434" spans="1:12" x14ac:dyDescent="0.2">
      <c r="A1434" s="744" t="s">
        <v>220</v>
      </c>
      <c r="B1434" s="672" t="s">
        <v>7455</v>
      </c>
      <c r="C1434" s="672" t="s">
        <v>7598</v>
      </c>
      <c r="D1434" s="672" t="s">
        <v>7644</v>
      </c>
      <c r="E1434" s="745" t="s">
        <v>545</v>
      </c>
      <c r="F1434" s="732">
        <v>4</v>
      </c>
      <c r="G1434" s="704">
        <v>88.953202641804936</v>
      </c>
      <c r="H1434" s="685">
        <v>355.81281056721974</v>
      </c>
      <c r="I1434" s="686" t="s">
        <v>9009</v>
      </c>
      <c r="J1434" s="672" t="s">
        <v>9024</v>
      </c>
      <c r="K1434" s="672" t="s">
        <v>536</v>
      </c>
      <c r="L1434" s="672" t="s">
        <v>9024</v>
      </c>
    </row>
    <row r="1435" spans="1:12" x14ac:dyDescent="0.2">
      <c r="A1435" s="744" t="s">
        <v>220</v>
      </c>
      <c r="B1435" s="672" t="s">
        <v>7455</v>
      </c>
      <c r="C1435" s="672" t="s">
        <v>2135</v>
      </c>
      <c r="D1435" s="672" t="s">
        <v>7644</v>
      </c>
      <c r="E1435" s="745" t="s">
        <v>545</v>
      </c>
      <c r="F1435" s="732">
        <v>29</v>
      </c>
      <c r="G1435" s="704">
        <v>92.955439604858512</v>
      </c>
      <c r="H1435" s="685">
        <v>2695.7077485408968</v>
      </c>
      <c r="I1435" s="686" t="s">
        <v>9009</v>
      </c>
      <c r="J1435" s="672" t="s">
        <v>9024</v>
      </c>
      <c r="K1435" s="672" t="s">
        <v>536</v>
      </c>
      <c r="L1435" s="672" t="s">
        <v>9024</v>
      </c>
    </row>
    <row r="1436" spans="1:12" x14ac:dyDescent="0.2">
      <c r="A1436" s="744" t="s">
        <v>220</v>
      </c>
      <c r="B1436" s="672" t="s">
        <v>7455</v>
      </c>
      <c r="C1436" s="672" t="s">
        <v>7652</v>
      </c>
      <c r="D1436" s="672" t="s">
        <v>7653</v>
      </c>
      <c r="E1436" s="745" t="s">
        <v>545</v>
      </c>
      <c r="F1436" s="732">
        <v>8</v>
      </c>
      <c r="G1436" s="704">
        <v>87.183860711542849</v>
      </c>
      <c r="H1436" s="685">
        <v>697.47088569234279</v>
      </c>
      <c r="I1436" s="686" t="s">
        <v>9009</v>
      </c>
      <c r="J1436" s="672" t="s">
        <v>9024</v>
      </c>
      <c r="K1436" s="672" t="s">
        <v>536</v>
      </c>
      <c r="L1436" s="672" t="s">
        <v>9024</v>
      </c>
    </row>
    <row r="1437" spans="1:12" x14ac:dyDescent="0.2">
      <c r="A1437" s="744" t="s">
        <v>220</v>
      </c>
      <c r="B1437" s="672" t="s">
        <v>7455</v>
      </c>
      <c r="C1437" s="672" t="s">
        <v>10292</v>
      </c>
      <c r="D1437" s="672" t="s">
        <v>7481</v>
      </c>
      <c r="E1437" s="745" t="s">
        <v>545</v>
      </c>
      <c r="F1437" s="732">
        <v>1</v>
      </c>
      <c r="G1437" s="704">
        <v>92.652714154295978</v>
      </c>
      <c r="H1437" s="685">
        <v>92.652714154295978</v>
      </c>
      <c r="I1437" s="686" t="s">
        <v>9009</v>
      </c>
      <c r="J1437" s="672" t="s">
        <v>9024</v>
      </c>
      <c r="K1437" s="672" t="s">
        <v>536</v>
      </c>
      <c r="L1437" s="672" t="s">
        <v>9024</v>
      </c>
    </row>
    <row r="1438" spans="1:12" x14ac:dyDescent="0.2">
      <c r="A1438" s="744" t="s">
        <v>220</v>
      </c>
      <c r="B1438" s="672" t="s">
        <v>7455</v>
      </c>
      <c r="C1438" s="672" t="s">
        <v>2072</v>
      </c>
      <c r="D1438" s="672" t="s">
        <v>7481</v>
      </c>
      <c r="E1438" s="745" t="s">
        <v>545</v>
      </c>
      <c r="F1438" s="732">
        <v>310</v>
      </c>
      <c r="G1438" s="704">
        <v>92.417227656975584</v>
      </c>
      <c r="H1438" s="685">
        <v>28649.34057366243</v>
      </c>
      <c r="I1438" s="686" t="s">
        <v>9009</v>
      </c>
      <c r="J1438" s="672" t="s">
        <v>9024</v>
      </c>
      <c r="K1438" s="672" t="s">
        <v>536</v>
      </c>
      <c r="L1438" s="672" t="s">
        <v>9024</v>
      </c>
    </row>
    <row r="1439" spans="1:12" x14ac:dyDescent="0.2">
      <c r="A1439" s="744" t="s">
        <v>220</v>
      </c>
      <c r="B1439" s="672" t="s">
        <v>7455</v>
      </c>
      <c r="C1439" s="672" t="s">
        <v>9058</v>
      </c>
      <c r="D1439" s="672" t="s">
        <v>9059</v>
      </c>
      <c r="E1439" s="745" t="s">
        <v>545</v>
      </c>
      <c r="F1439" s="732">
        <v>19</v>
      </c>
      <c r="G1439" s="704">
        <v>97.794540304046109</v>
      </c>
      <c r="H1439" s="685">
        <v>1858.096265776876</v>
      </c>
      <c r="I1439" s="686" t="s">
        <v>9009</v>
      </c>
      <c r="J1439" s="672" t="s">
        <v>9024</v>
      </c>
      <c r="K1439" s="672" t="s">
        <v>536</v>
      </c>
      <c r="L1439" s="672" t="s">
        <v>9024</v>
      </c>
    </row>
    <row r="1440" spans="1:12" x14ac:dyDescent="0.2">
      <c r="A1440" s="744" t="s">
        <v>220</v>
      </c>
      <c r="B1440" s="672" t="s">
        <v>7455</v>
      </c>
      <c r="C1440" s="672" t="s">
        <v>7654</v>
      </c>
      <c r="D1440" s="672" t="s">
        <v>7655</v>
      </c>
      <c r="E1440" s="745" t="s">
        <v>545</v>
      </c>
      <c r="F1440" s="732">
        <v>7</v>
      </c>
      <c r="G1440" s="704">
        <v>98.502757277182653</v>
      </c>
      <c r="H1440" s="685">
        <v>689.51930094027853</v>
      </c>
      <c r="I1440" s="686" t="s">
        <v>9009</v>
      </c>
      <c r="J1440" s="672" t="s">
        <v>9024</v>
      </c>
      <c r="K1440" s="672" t="s">
        <v>536</v>
      </c>
      <c r="L1440" s="672" t="s">
        <v>9024</v>
      </c>
    </row>
    <row r="1441" spans="1:12" x14ac:dyDescent="0.2">
      <c r="A1441" s="744" t="s">
        <v>220</v>
      </c>
      <c r="B1441" s="672" t="s">
        <v>7455</v>
      </c>
      <c r="C1441" s="672" t="s">
        <v>2066</v>
      </c>
      <c r="D1441" s="672" t="s">
        <v>7479</v>
      </c>
      <c r="E1441" s="745" t="s">
        <v>545</v>
      </c>
      <c r="F1441" s="732">
        <v>87</v>
      </c>
      <c r="G1441" s="704">
        <v>99.324213234702441</v>
      </c>
      <c r="H1441" s="685">
        <v>8641.2065514191127</v>
      </c>
      <c r="I1441" s="686" t="s">
        <v>9009</v>
      </c>
      <c r="J1441" s="672" t="s">
        <v>9024</v>
      </c>
      <c r="K1441" s="672" t="s">
        <v>536</v>
      </c>
      <c r="L1441" s="672" t="s">
        <v>9024</v>
      </c>
    </row>
    <row r="1442" spans="1:12" x14ac:dyDescent="0.2">
      <c r="A1442" s="744" t="s">
        <v>220</v>
      </c>
      <c r="B1442" s="672" t="s">
        <v>7455</v>
      </c>
      <c r="C1442" s="672" t="s">
        <v>7766</v>
      </c>
      <c r="D1442" s="672" t="s">
        <v>7780</v>
      </c>
      <c r="E1442" s="745" t="s">
        <v>545</v>
      </c>
      <c r="F1442" s="732">
        <v>2</v>
      </c>
      <c r="G1442" s="704">
        <v>101.46049078286178</v>
      </c>
      <c r="H1442" s="685">
        <v>202.92098156572357</v>
      </c>
      <c r="I1442" s="686" t="s">
        <v>9009</v>
      </c>
      <c r="J1442" s="672" t="s">
        <v>9024</v>
      </c>
      <c r="K1442" s="672" t="s">
        <v>536</v>
      </c>
      <c r="L1442" s="672" t="s">
        <v>9024</v>
      </c>
    </row>
    <row r="1443" spans="1:12" x14ac:dyDescent="0.2">
      <c r="A1443" s="744" t="s">
        <v>220</v>
      </c>
      <c r="B1443" s="672" t="s">
        <v>7455</v>
      </c>
      <c r="C1443" s="672" t="s">
        <v>2123</v>
      </c>
      <c r="D1443" s="672" t="s">
        <v>7636</v>
      </c>
      <c r="E1443" s="745" t="s">
        <v>545</v>
      </c>
      <c r="F1443" s="732">
        <v>2</v>
      </c>
      <c r="G1443" s="704">
        <v>107.75068748802488</v>
      </c>
      <c r="H1443" s="685">
        <v>215.50137497604976</v>
      </c>
      <c r="I1443" s="686" t="s">
        <v>9009</v>
      </c>
      <c r="J1443" s="672" t="s">
        <v>9024</v>
      </c>
      <c r="K1443" s="672" t="s">
        <v>536</v>
      </c>
      <c r="L1443" s="672" t="s">
        <v>9024</v>
      </c>
    </row>
    <row r="1444" spans="1:12" x14ac:dyDescent="0.2">
      <c r="A1444" s="744" t="s">
        <v>220</v>
      </c>
      <c r="B1444" s="672" t="s">
        <v>7455</v>
      </c>
      <c r="C1444" s="672" t="s">
        <v>2086</v>
      </c>
      <c r="D1444" s="672" t="s">
        <v>7615</v>
      </c>
      <c r="E1444" s="745" t="s">
        <v>545</v>
      </c>
      <c r="F1444" s="732">
        <v>28</v>
      </c>
      <c r="G1444" s="704">
        <v>112.53235250900947</v>
      </c>
      <c r="H1444" s="685">
        <v>3150.9058702522652</v>
      </c>
      <c r="I1444" s="686" t="s">
        <v>9009</v>
      </c>
      <c r="J1444" s="672" t="s">
        <v>9024</v>
      </c>
      <c r="K1444" s="672" t="s">
        <v>536</v>
      </c>
      <c r="L1444" s="672" t="s">
        <v>9024</v>
      </c>
    </row>
    <row r="1445" spans="1:12" x14ac:dyDescent="0.2">
      <c r="A1445" s="744" t="s">
        <v>220</v>
      </c>
      <c r="B1445" s="672" t="s">
        <v>7455</v>
      </c>
      <c r="C1445" s="672" t="s">
        <v>2136</v>
      </c>
      <c r="D1445" s="672" t="s">
        <v>10293</v>
      </c>
      <c r="E1445" s="745" t="s">
        <v>545</v>
      </c>
      <c r="F1445" s="732">
        <v>1</v>
      </c>
      <c r="G1445" s="704">
        <v>116.23662725163969</v>
      </c>
      <c r="H1445" s="685">
        <v>116.23662725163969</v>
      </c>
      <c r="I1445" s="686" t="s">
        <v>9009</v>
      </c>
      <c r="J1445" s="672" t="s">
        <v>9024</v>
      </c>
      <c r="K1445" s="672" t="s">
        <v>536</v>
      </c>
      <c r="L1445" s="672" t="s">
        <v>9024</v>
      </c>
    </row>
    <row r="1446" spans="1:12" x14ac:dyDescent="0.2">
      <c r="A1446" s="744" t="s">
        <v>220</v>
      </c>
      <c r="B1446" s="672" t="s">
        <v>7455</v>
      </c>
      <c r="C1446" s="672" t="s">
        <v>2136</v>
      </c>
      <c r="D1446" s="672" t="s">
        <v>9521</v>
      </c>
      <c r="E1446" s="745" t="s">
        <v>545</v>
      </c>
      <c r="F1446" s="732">
        <v>3</v>
      </c>
      <c r="G1446" s="704">
        <v>116.23662725163969</v>
      </c>
      <c r="H1446" s="685">
        <v>348.70988175491908</v>
      </c>
      <c r="I1446" s="686" t="s">
        <v>9009</v>
      </c>
      <c r="J1446" s="672" t="s">
        <v>9024</v>
      </c>
      <c r="K1446" s="672" t="s">
        <v>536</v>
      </c>
      <c r="L1446" s="672" t="s">
        <v>9024</v>
      </c>
    </row>
    <row r="1447" spans="1:12" x14ac:dyDescent="0.2">
      <c r="A1447" s="744" t="s">
        <v>220</v>
      </c>
      <c r="B1447" s="672" t="s">
        <v>7455</v>
      </c>
      <c r="C1447" s="672" t="s">
        <v>2136</v>
      </c>
      <c r="D1447" s="672" t="s">
        <v>7645</v>
      </c>
      <c r="E1447" s="745" t="s">
        <v>545</v>
      </c>
      <c r="F1447" s="732">
        <v>2</v>
      </c>
      <c r="G1447" s="704">
        <v>116.23662725163969</v>
      </c>
      <c r="H1447" s="685">
        <v>232.47325450327938</v>
      </c>
      <c r="I1447" s="686" t="s">
        <v>9009</v>
      </c>
      <c r="J1447" s="672" t="s">
        <v>9024</v>
      </c>
      <c r="K1447" s="672" t="s">
        <v>536</v>
      </c>
      <c r="L1447" s="672" t="s">
        <v>9024</v>
      </c>
    </row>
    <row r="1448" spans="1:12" x14ac:dyDescent="0.2">
      <c r="A1448" s="744" t="s">
        <v>220</v>
      </c>
      <c r="B1448" s="672" t="s">
        <v>7455</v>
      </c>
      <c r="C1448" s="672" t="s">
        <v>2136</v>
      </c>
      <c r="D1448" s="672" t="s">
        <v>7645</v>
      </c>
      <c r="E1448" s="745" t="s">
        <v>545</v>
      </c>
      <c r="F1448" s="732">
        <v>63</v>
      </c>
      <c r="G1448" s="704">
        <v>116.23662725163969</v>
      </c>
      <c r="H1448" s="685">
        <v>7322.9075168533</v>
      </c>
      <c r="I1448" s="686" t="s">
        <v>9009</v>
      </c>
      <c r="J1448" s="672" t="s">
        <v>9024</v>
      </c>
      <c r="K1448" s="672" t="s">
        <v>536</v>
      </c>
      <c r="L1448" s="672" t="s">
        <v>9024</v>
      </c>
    </row>
    <row r="1449" spans="1:12" x14ac:dyDescent="0.2">
      <c r="A1449" s="744" t="s">
        <v>220</v>
      </c>
      <c r="B1449" s="672" t="s">
        <v>7455</v>
      </c>
      <c r="C1449" s="672" t="s">
        <v>7624</v>
      </c>
      <c r="D1449" s="672" t="s">
        <v>7488</v>
      </c>
      <c r="E1449" s="745" t="s">
        <v>545</v>
      </c>
      <c r="F1449" s="732">
        <v>43</v>
      </c>
      <c r="G1449" s="704">
        <v>127.85202238072894</v>
      </c>
      <c r="H1449" s="685">
        <v>5497.6369623713445</v>
      </c>
      <c r="I1449" s="686" t="s">
        <v>9009</v>
      </c>
      <c r="J1449" s="672" t="s">
        <v>9024</v>
      </c>
      <c r="K1449" s="672" t="s">
        <v>536</v>
      </c>
      <c r="L1449" s="672" t="s">
        <v>9024</v>
      </c>
    </row>
    <row r="1450" spans="1:12" x14ac:dyDescent="0.2">
      <c r="A1450" s="744" t="s">
        <v>220</v>
      </c>
      <c r="B1450" s="672" t="s">
        <v>7455</v>
      </c>
      <c r="C1450" s="672" t="s">
        <v>2150</v>
      </c>
      <c r="D1450" s="672" t="s">
        <v>9523</v>
      </c>
      <c r="E1450" s="745" t="s">
        <v>545</v>
      </c>
      <c r="F1450" s="732">
        <v>3</v>
      </c>
      <c r="G1450" s="704">
        <v>87.429880137172049</v>
      </c>
      <c r="H1450" s="685">
        <v>262.28964041151613</v>
      </c>
      <c r="I1450" s="686" t="s">
        <v>9009</v>
      </c>
      <c r="J1450" s="672" t="s">
        <v>9024</v>
      </c>
      <c r="K1450" s="672" t="s">
        <v>536</v>
      </c>
      <c r="L1450" s="672" t="s">
        <v>9024</v>
      </c>
    </row>
    <row r="1451" spans="1:12" x14ac:dyDescent="0.2">
      <c r="A1451" s="744" t="s">
        <v>220</v>
      </c>
      <c r="B1451" s="672" t="s">
        <v>7455</v>
      </c>
      <c r="C1451" s="672" t="s">
        <v>7773</v>
      </c>
      <c r="D1451" s="672" t="s">
        <v>7757</v>
      </c>
      <c r="E1451" s="745" t="s">
        <v>545</v>
      </c>
      <c r="F1451" s="732">
        <v>8</v>
      </c>
      <c r="G1451" s="704">
        <v>66.934492603606486</v>
      </c>
      <c r="H1451" s="685">
        <v>535.47594082885189</v>
      </c>
      <c r="I1451" s="686" t="s">
        <v>9009</v>
      </c>
      <c r="J1451" s="672" t="s">
        <v>9024</v>
      </c>
      <c r="K1451" s="672" t="s">
        <v>536</v>
      </c>
      <c r="L1451" s="672" t="s">
        <v>9024</v>
      </c>
    </row>
    <row r="1452" spans="1:12" x14ac:dyDescent="0.2">
      <c r="A1452" s="744" t="s">
        <v>220</v>
      </c>
      <c r="B1452" s="672" t="s">
        <v>7455</v>
      </c>
      <c r="C1452" s="672" t="s">
        <v>7755</v>
      </c>
      <c r="D1452" s="672" t="s">
        <v>7756</v>
      </c>
      <c r="E1452" s="745" t="s">
        <v>545</v>
      </c>
      <c r="F1452" s="732">
        <v>2</v>
      </c>
      <c r="G1452" s="704">
        <v>74.069567197914566</v>
      </c>
      <c r="H1452" s="685">
        <v>148.13913439582913</v>
      </c>
      <c r="I1452" s="686" t="s">
        <v>9009</v>
      </c>
      <c r="J1452" s="672" t="s">
        <v>9024</v>
      </c>
      <c r="K1452" s="672" t="s">
        <v>536</v>
      </c>
      <c r="L1452" s="672" t="s">
        <v>9024</v>
      </c>
    </row>
    <row r="1453" spans="1:12" x14ac:dyDescent="0.2">
      <c r="A1453" s="744" t="s">
        <v>220</v>
      </c>
      <c r="B1453" s="672" t="s">
        <v>7455</v>
      </c>
      <c r="C1453" s="672" t="s">
        <v>9055</v>
      </c>
      <c r="D1453" s="672" t="s">
        <v>9056</v>
      </c>
      <c r="E1453" s="745" t="s">
        <v>545</v>
      </c>
      <c r="F1453" s="732">
        <v>3</v>
      </c>
      <c r="G1453" s="704">
        <v>91.202859279279139</v>
      </c>
      <c r="H1453" s="685">
        <v>273.6085778378374</v>
      </c>
      <c r="I1453" s="686" t="s">
        <v>9009</v>
      </c>
      <c r="J1453" s="672" t="s">
        <v>9024</v>
      </c>
      <c r="K1453" s="672" t="s">
        <v>536</v>
      </c>
      <c r="L1453" s="672" t="s">
        <v>9024</v>
      </c>
    </row>
    <row r="1454" spans="1:12" x14ac:dyDescent="0.2">
      <c r="A1454" s="744" t="s">
        <v>220</v>
      </c>
      <c r="B1454" s="672" t="s">
        <v>7455</v>
      </c>
      <c r="C1454" s="672" t="s">
        <v>2088</v>
      </c>
      <c r="D1454" s="672" t="s">
        <v>7486</v>
      </c>
      <c r="E1454" s="745" t="s">
        <v>545</v>
      </c>
      <c r="F1454" s="732">
        <v>29</v>
      </c>
      <c r="G1454" s="704">
        <v>93.631886631924147</v>
      </c>
      <c r="H1454" s="685">
        <v>2715.3247123258002</v>
      </c>
      <c r="I1454" s="686" t="s">
        <v>9009</v>
      </c>
      <c r="J1454" s="672" t="s">
        <v>9024</v>
      </c>
      <c r="K1454" s="672" t="s">
        <v>536</v>
      </c>
      <c r="L1454" s="672" t="s">
        <v>9024</v>
      </c>
    </row>
    <row r="1455" spans="1:12" x14ac:dyDescent="0.2">
      <c r="A1455" s="744" t="s">
        <v>220</v>
      </c>
      <c r="B1455" s="672" t="s">
        <v>7455</v>
      </c>
      <c r="C1455" s="672" t="s">
        <v>7505</v>
      </c>
      <c r="D1455" s="672" t="s">
        <v>7660</v>
      </c>
      <c r="E1455" s="745" t="s">
        <v>545</v>
      </c>
      <c r="F1455" s="732">
        <v>24</v>
      </c>
      <c r="G1455" s="704">
        <v>105.40610801715657</v>
      </c>
      <c r="H1455" s="685">
        <v>2529.7465924117578</v>
      </c>
      <c r="I1455" s="686" t="s">
        <v>9009</v>
      </c>
      <c r="J1455" s="672" t="s">
        <v>9024</v>
      </c>
      <c r="K1455" s="672" t="s">
        <v>536</v>
      </c>
      <c r="L1455" s="672" t="s">
        <v>9024</v>
      </c>
    </row>
    <row r="1456" spans="1:12" x14ac:dyDescent="0.2">
      <c r="A1456" s="744" t="s">
        <v>220</v>
      </c>
      <c r="B1456" s="672" t="s">
        <v>7455</v>
      </c>
      <c r="C1456" s="672" t="s">
        <v>2078</v>
      </c>
      <c r="D1456" s="672" t="s">
        <v>7478</v>
      </c>
      <c r="E1456" s="745" t="s">
        <v>545</v>
      </c>
      <c r="F1456" s="732">
        <v>23</v>
      </c>
      <c r="G1456" s="704">
        <v>99.769773945460486</v>
      </c>
      <c r="H1456" s="685">
        <v>2294.704800745591</v>
      </c>
      <c r="I1456" s="686" t="s">
        <v>9009</v>
      </c>
      <c r="J1456" s="672" t="s">
        <v>9024</v>
      </c>
      <c r="K1456" s="672" t="s">
        <v>536</v>
      </c>
      <c r="L1456" s="672" t="s">
        <v>9024</v>
      </c>
    </row>
    <row r="1457" spans="1:12" x14ac:dyDescent="0.2">
      <c r="A1457" s="744" t="s">
        <v>220</v>
      </c>
      <c r="B1457" s="672" t="s">
        <v>7455</v>
      </c>
      <c r="C1457" s="672" t="s">
        <v>10294</v>
      </c>
      <c r="D1457" s="672" t="s">
        <v>10295</v>
      </c>
      <c r="E1457" s="745" t="s">
        <v>545</v>
      </c>
      <c r="F1457" s="732">
        <v>6</v>
      </c>
      <c r="G1457" s="704">
        <v>115.19018894644645</v>
      </c>
      <c r="H1457" s="685">
        <v>691.14113367867867</v>
      </c>
      <c r="I1457" s="686" t="s">
        <v>9009</v>
      </c>
      <c r="J1457" s="672" t="s">
        <v>9024</v>
      </c>
      <c r="K1457" s="672" t="s">
        <v>536</v>
      </c>
      <c r="L1457" s="672" t="s">
        <v>9024</v>
      </c>
    </row>
    <row r="1458" spans="1:12" x14ac:dyDescent="0.2">
      <c r="A1458" s="744" t="s">
        <v>220</v>
      </c>
      <c r="B1458" s="672" t="s">
        <v>7455</v>
      </c>
      <c r="C1458" s="672" t="s">
        <v>10296</v>
      </c>
      <c r="D1458" s="672" t="s">
        <v>10297</v>
      </c>
      <c r="E1458" s="745" t="s">
        <v>545</v>
      </c>
      <c r="F1458" s="732">
        <v>18</v>
      </c>
      <c r="G1458" s="704">
        <v>113.12779884224553</v>
      </c>
      <c r="H1458" s="685">
        <v>2036.3003791604194</v>
      </c>
      <c r="I1458" s="686" t="s">
        <v>9009</v>
      </c>
      <c r="J1458" s="672" t="s">
        <v>9024</v>
      </c>
      <c r="K1458" s="672" t="s">
        <v>536</v>
      </c>
      <c r="L1458" s="672" t="s">
        <v>9024</v>
      </c>
    </row>
    <row r="1459" spans="1:12" x14ac:dyDescent="0.2">
      <c r="A1459" s="744" t="s">
        <v>220</v>
      </c>
      <c r="B1459" s="672" t="s">
        <v>7455</v>
      </c>
      <c r="C1459" s="672" t="s">
        <v>2112</v>
      </c>
      <c r="D1459" s="672" t="s">
        <v>7483</v>
      </c>
      <c r="E1459" s="745" t="s">
        <v>545</v>
      </c>
      <c r="F1459" s="732">
        <v>20</v>
      </c>
      <c r="G1459" s="704">
        <v>113.42010531317611</v>
      </c>
      <c r="H1459" s="685">
        <v>2268.402106263522</v>
      </c>
      <c r="I1459" s="686" t="s">
        <v>9009</v>
      </c>
      <c r="J1459" s="672" t="s">
        <v>9024</v>
      </c>
      <c r="K1459" s="672" t="s">
        <v>536</v>
      </c>
      <c r="L1459" s="672" t="s">
        <v>9024</v>
      </c>
    </row>
    <row r="1460" spans="1:12" x14ac:dyDescent="0.2">
      <c r="A1460" s="744" t="s">
        <v>220</v>
      </c>
      <c r="B1460" s="672" t="s">
        <v>7455</v>
      </c>
      <c r="C1460" s="672" t="s">
        <v>2092</v>
      </c>
      <c r="D1460" s="672" t="s">
        <v>7491</v>
      </c>
      <c r="E1460" s="745" t="s">
        <v>545</v>
      </c>
      <c r="F1460" s="732">
        <v>6</v>
      </c>
      <c r="G1460" s="704">
        <v>130.62749974004029</v>
      </c>
      <c r="H1460" s="685">
        <v>783.7649984402417</v>
      </c>
      <c r="I1460" s="686" t="s">
        <v>9009</v>
      </c>
      <c r="J1460" s="672" t="s">
        <v>9024</v>
      </c>
      <c r="K1460" s="672" t="s">
        <v>536</v>
      </c>
      <c r="L1460" s="672" t="s">
        <v>9024</v>
      </c>
    </row>
    <row r="1461" spans="1:12" x14ac:dyDescent="0.2">
      <c r="A1461" s="744" t="s">
        <v>220</v>
      </c>
      <c r="B1461" s="672" t="s">
        <v>7455</v>
      </c>
      <c r="C1461" s="672" t="s">
        <v>7597</v>
      </c>
      <c r="D1461" s="672" t="s">
        <v>7456</v>
      </c>
      <c r="E1461" s="745" t="s">
        <v>545</v>
      </c>
      <c r="F1461" s="732">
        <v>39</v>
      </c>
      <c r="G1461" s="704">
        <v>122.01405510908974</v>
      </c>
      <c r="H1461" s="685">
        <v>4758.5481492544995</v>
      </c>
      <c r="I1461" s="686" t="s">
        <v>9009</v>
      </c>
      <c r="J1461" s="672" t="s">
        <v>9024</v>
      </c>
      <c r="K1461" s="672" t="s">
        <v>536</v>
      </c>
      <c r="L1461" s="672" t="s">
        <v>9024</v>
      </c>
    </row>
    <row r="1462" spans="1:12" x14ac:dyDescent="0.2">
      <c r="A1462" s="744" t="s">
        <v>220</v>
      </c>
      <c r="B1462" s="672" t="s">
        <v>7455</v>
      </c>
      <c r="C1462" s="672" t="s">
        <v>7611</v>
      </c>
      <c r="D1462" s="672" t="s">
        <v>7612</v>
      </c>
      <c r="E1462" s="745" t="s">
        <v>545</v>
      </c>
      <c r="F1462" s="732">
        <v>43</v>
      </c>
      <c r="G1462" s="704">
        <v>129.13387861005873</v>
      </c>
      <c r="H1462" s="685">
        <v>5552.7567802325257</v>
      </c>
      <c r="I1462" s="686" t="s">
        <v>9009</v>
      </c>
      <c r="J1462" s="672" t="s">
        <v>9024</v>
      </c>
      <c r="K1462" s="672" t="s">
        <v>536</v>
      </c>
      <c r="L1462" s="672" t="s">
        <v>9024</v>
      </c>
    </row>
    <row r="1463" spans="1:12" x14ac:dyDescent="0.2">
      <c r="A1463" s="744" t="s">
        <v>220</v>
      </c>
      <c r="B1463" s="672" t="s">
        <v>7455</v>
      </c>
      <c r="C1463" s="672" t="s">
        <v>2090</v>
      </c>
      <c r="D1463" s="672" t="s">
        <v>7484</v>
      </c>
      <c r="E1463" s="745" t="s">
        <v>545</v>
      </c>
      <c r="F1463" s="732">
        <v>5</v>
      </c>
      <c r="G1463" s="704">
        <v>135.23710412798499</v>
      </c>
      <c r="H1463" s="685">
        <v>676.18552063992502</v>
      </c>
      <c r="I1463" s="686" t="s">
        <v>9009</v>
      </c>
      <c r="J1463" s="672" t="s">
        <v>9024</v>
      </c>
      <c r="K1463" s="672" t="s">
        <v>536</v>
      </c>
      <c r="L1463" s="672" t="s">
        <v>9024</v>
      </c>
    </row>
    <row r="1464" spans="1:12" x14ac:dyDescent="0.2">
      <c r="A1464" s="744" t="s">
        <v>220</v>
      </c>
      <c r="B1464" s="672" t="s">
        <v>7455</v>
      </c>
      <c r="C1464" s="672" t="s">
        <v>2091</v>
      </c>
      <c r="D1464" s="672" t="s">
        <v>7484</v>
      </c>
      <c r="E1464" s="745" t="s">
        <v>545</v>
      </c>
      <c r="F1464" s="732">
        <v>1</v>
      </c>
      <c r="G1464" s="704">
        <v>121.9715777999086</v>
      </c>
      <c r="H1464" s="685">
        <v>121.9715777999086</v>
      </c>
      <c r="I1464" s="686" t="s">
        <v>9009</v>
      </c>
      <c r="J1464" s="672" t="s">
        <v>9024</v>
      </c>
      <c r="K1464" s="672" t="s">
        <v>536</v>
      </c>
      <c r="L1464" s="672" t="s">
        <v>9024</v>
      </c>
    </row>
    <row r="1465" spans="1:12" x14ac:dyDescent="0.2">
      <c r="A1465" s="744" t="s">
        <v>220</v>
      </c>
      <c r="B1465" s="672" t="s">
        <v>7455</v>
      </c>
      <c r="C1465" s="672" t="s">
        <v>2094</v>
      </c>
      <c r="D1465" s="672" t="s">
        <v>7487</v>
      </c>
      <c r="E1465" s="745" t="s">
        <v>545</v>
      </c>
      <c r="F1465" s="732">
        <v>2</v>
      </c>
      <c r="G1465" s="704">
        <v>158.85888891888138</v>
      </c>
      <c r="H1465" s="685">
        <v>317.71777783776275</v>
      </c>
      <c r="I1465" s="686" t="s">
        <v>9009</v>
      </c>
      <c r="J1465" s="672" t="s">
        <v>9024</v>
      </c>
      <c r="K1465" s="672" t="s">
        <v>536</v>
      </c>
      <c r="L1465" s="672" t="s">
        <v>9024</v>
      </c>
    </row>
    <row r="1466" spans="1:12" x14ac:dyDescent="0.2">
      <c r="A1466" s="744" t="s">
        <v>220</v>
      </c>
      <c r="B1466" s="672" t="s">
        <v>7455</v>
      </c>
      <c r="C1466" s="672" t="s">
        <v>9051</v>
      </c>
      <c r="D1466" s="672" t="s">
        <v>9052</v>
      </c>
      <c r="E1466" s="745" t="s">
        <v>545</v>
      </c>
      <c r="F1466" s="732">
        <v>27</v>
      </c>
      <c r="G1466" s="704">
        <v>212.51399264631283</v>
      </c>
      <c r="H1466" s="685">
        <v>5737.877801450446</v>
      </c>
      <c r="I1466" s="686" t="s">
        <v>9009</v>
      </c>
      <c r="J1466" s="672" t="s">
        <v>9024</v>
      </c>
      <c r="K1466" s="672" t="s">
        <v>536</v>
      </c>
      <c r="L1466" s="672" t="s">
        <v>9024</v>
      </c>
    </row>
    <row r="1467" spans="1:12" x14ac:dyDescent="0.2">
      <c r="A1467" s="744" t="s">
        <v>220</v>
      </c>
      <c r="B1467" s="672" t="s">
        <v>7455</v>
      </c>
      <c r="C1467" s="672" t="s">
        <v>10298</v>
      </c>
      <c r="D1467" s="672" t="s">
        <v>10299</v>
      </c>
      <c r="E1467" s="745" t="s">
        <v>545</v>
      </c>
      <c r="F1467" s="732">
        <v>22</v>
      </c>
      <c r="G1467" s="704">
        <v>219.47742119113238</v>
      </c>
      <c r="H1467" s="685">
        <v>4828.5032662049125</v>
      </c>
      <c r="I1467" s="686" t="s">
        <v>9009</v>
      </c>
      <c r="J1467" s="672" t="s">
        <v>9024</v>
      </c>
      <c r="K1467" s="672" t="s">
        <v>536</v>
      </c>
      <c r="L1467" s="672" t="s">
        <v>9024</v>
      </c>
    </row>
    <row r="1468" spans="1:12" x14ac:dyDescent="0.2">
      <c r="A1468" s="744" t="s">
        <v>220</v>
      </c>
      <c r="B1468" s="672" t="s">
        <v>7455</v>
      </c>
      <c r="C1468" s="672" t="s">
        <v>9053</v>
      </c>
      <c r="D1468" s="672" t="s">
        <v>9054</v>
      </c>
      <c r="E1468" s="745" t="s">
        <v>545</v>
      </c>
      <c r="F1468" s="732">
        <v>1</v>
      </c>
      <c r="G1468" s="704">
        <v>238.91509526859306</v>
      </c>
      <c r="H1468" s="685">
        <v>238.91509526859306</v>
      </c>
      <c r="I1468" s="686" t="s">
        <v>9009</v>
      </c>
      <c r="J1468" s="672" t="s">
        <v>9024</v>
      </c>
      <c r="K1468" s="672" t="s">
        <v>536</v>
      </c>
      <c r="L1468" s="672" t="s">
        <v>9024</v>
      </c>
    </row>
    <row r="1469" spans="1:12" x14ac:dyDescent="0.2">
      <c r="A1469" s="744" t="s">
        <v>220</v>
      </c>
      <c r="B1469" s="672" t="s">
        <v>7455</v>
      </c>
      <c r="C1469" s="672" t="s">
        <v>2098</v>
      </c>
      <c r="D1469" s="672" t="s">
        <v>7459</v>
      </c>
      <c r="E1469" s="745" t="s">
        <v>545</v>
      </c>
      <c r="F1469" s="732">
        <v>2</v>
      </c>
      <c r="G1469" s="704">
        <v>245.96614100488927</v>
      </c>
      <c r="H1469" s="685">
        <v>491.93228200977853</v>
      </c>
      <c r="I1469" s="686" t="s">
        <v>9009</v>
      </c>
      <c r="J1469" s="672" t="s">
        <v>9024</v>
      </c>
      <c r="K1469" s="672" t="s">
        <v>536</v>
      </c>
      <c r="L1469" s="672" t="s">
        <v>9024</v>
      </c>
    </row>
    <row r="1470" spans="1:12" x14ac:dyDescent="0.2">
      <c r="A1470" s="744" t="s">
        <v>220</v>
      </c>
      <c r="B1470" s="672" t="s">
        <v>7455</v>
      </c>
      <c r="C1470" s="672" t="s">
        <v>7599</v>
      </c>
      <c r="D1470" s="672" t="s">
        <v>10300</v>
      </c>
      <c r="E1470" s="745" t="s">
        <v>545</v>
      </c>
      <c r="F1470" s="732">
        <v>5</v>
      </c>
      <c r="G1470" s="704">
        <v>272.49098089885666</v>
      </c>
      <c r="H1470" s="685">
        <v>1362.4549044942833</v>
      </c>
      <c r="I1470" s="686" t="s">
        <v>9009</v>
      </c>
      <c r="J1470" s="672" t="s">
        <v>9024</v>
      </c>
      <c r="K1470" s="672" t="s">
        <v>536</v>
      </c>
      <c r="L1470" s="672" t="s">
        <v>9024</v>
      </c>
    </row>
    <row r="1471" spans="1:12" x14ac:dyDescent="0.2">
      <c r="A1471" s="744" t="s">
        <v>220</v>
      </c>
      <c r="B1471" s="672" t="s">
        <v>7455</v>
      </c>
      <c r="C1471" s="672" t="s">
        <v>2095</v>
      </c>
      <c r="D1471" s="672" t="s">
        <v>7753</v>
      </c>
      <c r="E1471" s="745" t="s">
        <v>545</v>
      </c>
      <c r="F1471" s="732">
        <v>14</v>
      </c>
      <c r="G1471" s="704">
        <v>274.70330970329479</v>
      </c>
      <c r="H1471" s="685">
        <v>3845.8463358461272</v>
      </c>
      <c r="I1471" s="686" t="s">
        <v>9009</v>
      </c>
      <c r="J1471" s="672" t="s">
        <v>9024</v>
      </c>
      <c r="K1471" s="672" t="s">
        <v>536</v>
      </c>
      <c r="L1471" s="672" t="s">
        <v>9024</v>
      </c>
    </row>
    <row r="1472" spans="1:12" x14ac:dyDescent="0.2">
      <c r="A1472" s="744" t="s">
        <v>220</v>
      </c>
      <c r="B1472" s="672" t="s">
        <v>7455</v>
      </c>
      <c r="C1472" s="672" t="s">
        <v>10301</v>
      </c>
      <c r="D1472" s="672" t="s">
        <v>10302</v>
      </c>
      <c r="E1472" s="745" t="s">
        <v>545</v>
      </c>
      <c r="F1472" s="732">
        <v>2</v>
      </c>
      <c r="G1472" s="704">
        <v>164.02109232308925</v>
      </c>
      <c r="H1472" s="685">
        <v>328.0421846461785</v>
      </c>
      <c r="I1472" s="686" t="s">
        <v>9009</v>
      </c>
      <c r="J1472" s="672" t="s">
        <v>9024</v>
      </c>
      <c r="K1472" s="672" t="s">
        <v>536</v>
      </c>
      <c r="L1472" s="672" t="s">
        <v>9024</v>
      </c>
    </row>
    <row r="1473" spans="1:12" x14ac:dyDescent="0.2">
      <c r="A1473" s="744" t="s">
        <v>220</v>
      </c>
      <c r="B1473" s="672" t="s">
        <v>7455</v>
      </c>
      <c r="C1473" s="672" t="s">
        <v>10301</v>
      </c>
      <c r="D1473" s="672" t="s">
        <v>10302</v>
      </c>
      <c r="E1473" s="745" t="s">
        <v>545</v>
      </c>
      <c r="F1473" s="732">
        <v>1</v>
      </c>
      <c r="G1473" s="704">
        <v>164.02109232308925</v>
      </c>
      <c r="H1473" s="685">
        <v>164.02109232308925</v>
      </c>
      <c r="I1473" s="686" t="s">
        <v>9009</v>
      </c>
      <c r="J1473" s="672" t="s">
        <v>9024</v>
      </c>
      <c r="K1473" s="672" t="s">
        <v>536</v>
      </c>
      <c r="L1473" s="672" t="s">
        <v>9024</v>
      </c>
    </row>
    <row r="1474" spans="1:12" x14ac:dyDescent="0.2">
      <c r="A1474" s="744" t="s">
        <v>220</v>
      </c>
      <c r="B1474" s="672" t="s">
        <v>7455</v>
      </c>
      <c r="C1474" s="672" t="s">
        <v>9733</v>
      </c>
      <c r="D1474" s="672" t="s">
        <v>9734</v>
      </c>
      <c r="E1474" s="745" t="s">
        <v>545</v>
      </c>
      <c r="F1474" s="732">
        <v>48</v>
      </c>
      <c r="G1474" s="704">
        <v>168.33840949322112</v>
      </c>
      <c r="H1474" s="685">
        <v>8080.2436556746143</v>
      </c>
      <c r="I1474" s="686" t="s">
        <v>9009</v>
      </c>
      <c r="J1474" s="672" t="s">
        <v>9024</v>
      </c>
      <c r="K1474" s="672" t="s">
        <v>536</v>
      </c>
      <c r="L1474" s="672" t="s">
        <v>9024</v>
      </c>
    </row>
    <row r="1475" spans="1:12" x14ac:dyDescent="0.2">
      <c r="A1475" s="744" t="s">
        <v>220</v>
      </c>
      <c r="B1475" s="672" t="s">
        <v>7455</v>
      </c>
      <c r="C1475" s="672" t="s">
        <v>10303</v>
      </c>
      <c r="D1475" s="672" t="s">
        <v>10304</v>
      </c>
      <c r="E1475" s="745" t="s">
        <v>545</v>
      </c>
      <c r="F1475" s="732">
        <v>2</v>
      </c>
      <c r="G1475" s="704">
        <v>192.1427612728269</v>
      </c>
      <c r="H1475" s="685">
        <v>384.28552254565381</v>
      </c>
      <c r="I1475" s="686" t="s">
        <v>9009</v>
      </c>
      <c r="J1475" s="672" t="s">
        <v>9024</v>
      </c>
      <c r="K1475" s="672" t="s">
        <v>536</v>
      </c>
      <c r="L1475" s="672" t="s">
        <v>9024</v>
      </c>
    </row>
    <row r="1476" spans="1:12" x14ac:dyDescent="0.2">
      <c r="A1476" s="744" t="s">
        <v>220</v>
      </c>
      <c r="B1476" s="672" t="s">
        <v>7455</v>
      </c>
      <c r="C1476" s="672" t="s">
        <v>10305</v>
      </c>
      <c r="D1476" s="672" t="s">
        <v>10306</v>
      </c>
      <c r="E1476" s="745" t="s">
        <v>545</v>
      </c>
      <c r="F1476" s="732">
        <v>36</v>
      </c>
      <c r="G1476" s="704">
        <v>184.03492172890017</v>
      </c>
      <c r="H1476" s="685">
        <v>6625.2571822404061</v>
      </c>
      <c r="I1476" s="686" t="s">
        <v>9009</v>
      </c>
      <c r="J1476" s="672" t="s">
        <v>9024</v>
      </c>
      <c r="K1476" s="672" t="s">
        <v>536</v>
      </c>
      <c r="L1476" s="672" t="s">
        <v>9024</v>
      </c>
    </row>
    <row r="1477" spans="1:12" x14ac:dyDescent="0.2">
      <c r="A1477" s="744" t="s">
        <v>220</v>
      </c>
      <c r="B1477" s="672" t="s">
        <v>7455</v>
      </c>
      <c r="C1477" s="672" t="s">
        <v>10305</v>
      </c>
      <c r="D1477" s="672" t="s">
        <v>10307</v>
      </c>
      <c r="E1477" s="745" t="s">
        <v>545</v>
      </c>
      <c r="F1477" s="732">
        <v>6</v>
      </c>
      <c r="G1477" s="704">
        <v>184.03492172890017</v>
      </c>
      <c r="H1477" s="685">
        <v>1104.2095303734011</v>
      </c>
      <c r="I1477" s="686" t="s">
        <v>9009</v>
      </c>
      <c r="J1477" s="672" t="s">
        <v>9024</v>
      </c>
      <c r="K1477" s="672" t="s">
        <v>536</v>
      </c>
      <c r="L1477" s="672" t="s">
        <v>9024</v>
      </c>
    </row>
    <row r="1478" spans="1:12" x14ac:dyDescent="0.2">
      <c r="A1478" s="744" t="s">
        <v>220</v>
      </c>
      <c r="B1478" s="672" t="s">
        <v>7455</v>
      </c>
      <c r="C1478" s="672" t="s">
        <v>10308</v>
      </c>
      <c r="D1478" s="672" t="s">
        <v>10309</v>
      </c>
      <c r="E1478" s="745" t="s">
        <v>545</v>
      </c>
      <c r="F1478" s="732">
        <v>7</v>
      </c>
      <c r="G1478" s="704">
        <v>64.312929804905508</v>
      </c>
      <c r="H1478" s="685">
        <v>450.19050863433858</v>
      </c>
      <c r="I1478" s="686" t="s">
        <v>9009</v>
      </c>
      <c r="J1478" s="672" t="s">
        <v>9024</v>
      </c>
      <c r="K1478" s="672" t="s">
        <v>536</v>
      </c>
      <c r="L1478" s="672" t="s">
        <v>9024</v>
      </c>
    </row>
    <row r="1479" spans="1:12" x14ac:dyDescent="0.2">
      <c r="A1479" s="744" t="s">
        <v>220</v>
      </c>
      <c r="B1479" s="672" t="s">
        <v>7455</v>
      </c>
      <c r="C1479" s="672" t="s">
        <v>2073</v>
      </c>
      <c r="D1479" s="672" t="s">
        <v>10310</v>
      </c>
      <c r="E1479" s="745" t="s">
        <v>545</v>
      </c>
      <c r="F1479" s="732">
        <v>1</v>
      </c>
      <c r="G1479" s="704">
        <v>59.20744614337206</v>
      </c>
      <c r="H1479" s="685">
        <v>59.20744614337206</v>
      </c>
      <c r="I1479" s="686" t="s">
        <v>9009</v>
      </c>
      <c r="J1479" s="672" t="s">
        <v>9024</v>
      </c>
      <c r="K1479" s="672" t="s">
        <v>536</v>
      </c>
      <c r="L1479" s="672" t="s">
        <v>9024</v>
      </c>
    </row>
    <row r="1480" spans="1:12" x14ac:dyDescent="0.2">
      <c r="A1480" s="744" t="s">
        <v>220</v>
      </c>
      <c r="B1480" s="672" t="s">
        <v>7455</v>
      </c>
      <c r="C1480" s="672" t="s">
        <v>10311</v>
      </c>
      <c r="D1480" s="672" t="s">
        <v>10312</v>
      </c>
      <c r="E1480" s="745" t="s">
        <v>545</v>
      </c>
      <c r="F1480" s="732">
        <v>58</v>
      </c>
      <c r="G1480" s="704">
        <v>61.251524429693923</v>
      </c>
      <c r="H1480" s="685">
        <v>3552.5884169222477</v>
      </c>
      <c r="I1480" s="686" t="s">
        <v>9009</v>
      </c>
      <c r="J1480" s="672" t="s">
        <v>9024</v>
      </c>
      <c r="K1480" s="672" t="s">
        <v>536</v>
      </c>
      <c r="L1480" s="672" t="s">
        <v>9024</v>
      </c>
    </row>
    <row r="1481" spans="1:12" x14ac:dyDescent="0.2">
      <c r="A1481" s="744" t="s">
        <v>220</v>
      </c>
      <c r="B1481" s="672" t="s">
        <v>7455</v>
      </c>
      <c r="C1481" s="672" t="s">
        <v>10313</v>
      </c>
      <c r="D1481" s="672" t="s">
        <v>10314</v>
      </c>
      <c r="E1481" s="745" t="s">
        <v>545</v>
      </c>
      <c r="F1481" s="732">
        <v>1</v>
      </c>
      <c r="G1481" s="704">
        <v>59.082040552753625</v>
      </c>
      <c r="H1481" s="685">
        <v>59.082040552753625</v>
      </c>
      <c r="I1481" s="686" t="s">
        <v>9009</v>
      </c>
      <c r="J1481" s="672" t="s">
        <v>9024</v>
      </c>
      <c r="K1481" s="672" t="s">
        <v>536</v>
      </c>
      <c r="L1481" s="672" t="s">
        <v>9024</v>
      </c>
    </row>
    <row r="1482" spans="1:12" x14ac:dyDescent="0.2">
      <c r="A1482" s="744" t="s">
        <v>220</v>
      </c>
      <c r="B1482" s="672" t="s">
        <v>7455</v>
      </c>
      <c r="C1482" s="672" t="s">
        <v>2075</v>
      </c>
      <c r="D1482" s="672" t="s">
        <v>10315</v>
      </c>
      <c r="E1482" s="745" t="s">
        <v>545</v>
      </c>
      <c r="F1482" s="732">
        <v>1</v>
      </c>
      <c r="G1482" s="704">
        <v>60.597108982258405</v>
      </c>
      <c r="H1482" s="685">
        <v>60.597108982258405</v>
      </c>
      <c r="I1482" s="686" t="s">
        <v>9009</v>
      </c>
      <c r="J1482" s="672" t="s">
        <v>9024</v>
      </c>
      <c r="K1482" s="672" t="s">
        <v>536</v>
      </c>
      <c r="L1482" s="672" t="s">
        <v>9024</v>
      </c>
    </row>
    <row r="1483" spans="1:12" x14ac:dyDescent="0.2">
      <c r="A1483" s="744" t="s">
        <v>220</v>
      </c>
      <c r="B1483" s="672" t="s">
        <v>7455</v>
      </c>
      <c r="C1483" s="672" t="s">
        <v>2075</v>
      </c>
      <c r="D1483" s="672" t="s">
        <v>10316</v>
      </c>
      <c r="E1483" s="745" t="s">
        <v>545</v>
      </c>
      <c r="F1483" s="732">
        <v>5</v>
      </c>
      <c r="G1483" s="704">
        <v>60.597108982258405</v>
      </c>
      <c r="H1483" s="685">
        <v>302.98554491129204</v>
      </c>
      <c r="I1483" s="686" t="s">
        <v>9009</v>
      </c>
      <c r="J1483" s="672" t="s">
        <v>9024</v>
      </c>
      <c r="K1483" s="672" t="s">
        <v>536</v>
      </c>
      <c r="L1483" s="672" t="s">
        <v>9024</v>
      </c>
    </row>
    <row r="1484" spans="1:12" x14ac:dyDescent="0.2">
      <c r="A1484" s="744" t="s">
        <v>220</v>
      </c>
      <c r="B1484" s="672" t="s">
        <v>7455</v>
      </c>
      <c r="C1484" s="672" t="s">
        <v>2075</v>
      </c>
      <c r="D1484" s="672" t="s">
        <v>10317</v>
      </c>
      <c r="E1484" s="745" t="s">
        <v>545</v>
      </c>
      <c r="F1484" s="732">
        <v>133</v>
      </c>
      <c r="G1484" s="704">
        <v>60.597108982258405</v>
      </c>
      <c r="H1484" s="685">
        <v>8059.4154946403678</v>
      </c>
      <c r="I1484" s="686" t="s">
        <v>9009</v>
      </c>
      <c r="J1484" s="672" t="s">
        <v>9024</v>
      </c>
      <c r="K1484" s="672" t="s">
        <v>536</v>
      </c>
      <c r="L1484" s="672" t="s">
        <v>9024</v>
      </c>
    </row>
    <row r="1485" spans="1:12" x14ac:dyDescent="0.2">
      <c r="A1485" s="744" t="s">
        <v>220</v>
      </c>
      <c r="B1485" s="672" t="s">
        <v>7455</v>
      </c>
      <c r="C1485" s="672" t="s">
        <v>821</v>
      </c>
      <c r="D1485" s="672" t="s">
        <v>822</v>
      </c>
      <c r="E1485" s="745" t="s">
        <v>545</v>
      </c>
      <c r="F1485" s="732">
        <v>32</v>
      </c>
      <c r="G1485" s="704">
        <v>96.286432901041721</v>
      </c>
      <c r="H1485" s="685">
        <v>3081.1658528333351</v>
      </c>
      <c r="I1485" s="686" t="s">
        <v>9009</v>
      </c>
      <c r="J1485" s="672" t="s">
        <v>9024</v>
      </c>
      <c r="K1485" s="672" t="s">
        <v>536</v>
      </c>
      <c r="L1485" s="672" t="s">
        <v>9024</v>
      </c>
    </row>
    <row r="1486" spans="1:12" x14ac:dyDescent="0.2">
      <c r="A1486" s="744" t="s">
        <v>220</v>
      </c>
      <c r="B1486" s="672" t="s">
        <v>7455</v>
      </c>
      <c r="C1486" s="672" t="s">
        <v>7622</v>
      </c>
      <c r="D1486" s="672" t="s">
        <v>10318</v>
      </c>
      <c r="E1486" s="745" t="s">
        <v>545</v>
      </c>
      <c r="F1486" s="732">
        <v>1</v>
      </c>
      <c r="G1486" s="704">
        <v>95.707268276369589</v>
      </c>
      <c r="H1486" s="685">
        <v>95.707268276369589</v>
      </c>
      <c r="I1486" s="686" t="s">
        <v>9009</v>
      </c>
      <c r="J1486" s="672" t="s">
        <v>9024</v>
      </c>
      <c r="K1486" s="672" t="s">
        <v>536</v>
      </c>
      <c r="L1486" s="672" t="s">
        <v>9024</v>
      </c>
    </row>
    <row r="1487" spans="1:12" x14ac:dyDescent="0.2">
      <c r="A1487" s="744" t="s">
        <v>220</v>
      </c>
      <c r="B1487" s="672" t="s">
        <v>7455</v>
      </c>
      <c r="C1487" s="672" t="s">
        <v>2092</v>
      </c>
      <c r="D1487" s="672" t="s">
        <v>10319</v>
      </c>
      <c r="E1487" s="745" t="s">
        <v>545</v>
      </c>
      <c r="F1487" s="732">
        <v>4</v>
      </c>
      <c r="G1487" s="704">
        <v>130.62749974004029</v>
      </c>
      <c r="H1487" s="685">
        <v>522.50999896016117</v>
      </c>
      <c r="I1487" s="686" t="s">
        <v>9009</v>
      </c>
      <c r="J1487" s="672" t="s">
        <v>9024</v>
      </c>
      <c r="K1487" s="672" t="s">
        <v>536</v>
      </c>
      <c r="L1487" s="672" t="s">
        <v>9024</v>
      </c>
    </row>
    <row r="1488" spans="1:12" x14ac:dyDescent="0.2">
      <c r="A1488" s="744" t="s">
        <v>220</v>
      </c>
      <c r="B1488" s="672" t="s">
        <v>7455</v>
      </c>
      <c r="C1488" s="672" t="s">
        <v>2116</v>
      </c>
      <c r="E1488" s="745" t="s">
        <v>545</v>
      </c>
      <c r="F1488" s="732">
        <v>2</v>
      </c>
      <c r="G1488" s="704">
        <v>68.740788574890274</v>
      </c>
      <c r="H1488" s="685">
        <v>137.48157714978055</v>
      </c>
      <c r="I1488" s="686" t="s">
        <v>9009</v>
      </c>
      <c r="J1488" s="672" t="s">
        <v>9024</v>
      </c>
      <c r="K1488" s="672" t="s">
        <v>536</v>
      </c>
      <c r="L1488" s="672" t="s">
        <v>9024</v>
      </c>
    </row>
    <row r="1489" spans="1:12" x14ac:dyDescent="0.2">
      <c r="A1489" s="744" t="s">
        <v>220</v>
      </c>
      <c r="B1489" s="672" t="s">
        <v>7455</v>
      </c>
      <c r="C1489" s="672" t="s">
        <v>2064</v>
      </c>
      <c r="D1489" s="672" t="s">
        <v>10320</v>
      </c>
      <c r="E1489" s="745" t="s">
        <v>545</v>
      </c>
      <c r="F1489" s="732">
        <v>2</v>
      </c>
      <c r="G1489" s="704">
        <v>74.64834065531933</v>
      </c>
      <c r="H1489" s="685">
        <v>149.29668131063866</v>
      </c>
      <c r="I1489" s="686" t="s">
        <v>9009</v>
      </c>
      <c r="J1489" s="672" t="s">
        <v>9024</v>
      </c>
      <c r="K1489" s="672" t="s">
        <v>536</v>
      </c>
      <c r="L1489" s="672" t="s">
        <v>9024</v>
      </c>
    </row>
    <row r="1490" spans="1:12" x14ac:dyDescent="0.2">
      <c r="A1490" s="744" t="s">
        <v>220</v>
      </c>
      <c r="B1490" s="672" t="s">
        <v>7455</v>
      </c>
      <c r="C1490" s="672" t="s">
        <v>10321</v>
      </c>
      <c r="D1490" s="672" t="s">
        <v>10322</v>
      </c>
      <c r="E1490" s="745" t="s">
        <v>545</v>
      </c>
      <c r="F1490" s="732">
        <v>4</v>
      </c>
      <c r="G1490" s="704">
        <v>123.03876943325018</v>
      </c>
      <c r="H1490" s="685">
        <v>492.15507773300072</v>
      </c>
      <c r="I1490" s="686" t="s">
        <v>9009</v>
      </c>
      <c r="J1490" s="672" t="s">
        <v>9024</v>
      </c>
      <c r="K1490" s="672" t="s">
        <v>536</v>
      </c>
      <c r="L1490" s="672" t="s">
        <v>9024</v>
      </c>
    </row>
    <row r="1491" spans="1:12" x14ac:dyDescent="0.2">
      <c r="A1491" s="672" t="s">
        <v>587</v>
      </c>
      <c r="B1491" s="672" t="s">
        <v>591</v>
      </c>
      <c r="C1491" s="672" t="s">
        <v>606</v>
      </c>
      <c r="D1491" s="672" t="s">
        <v>607</v>
      </c>
      <c r="E1491" s="745" t="s">
        <v>535</v>
      </c>
      <c r="F1491" s="747">
        <v>849.02599999999995</v>
      </c>
      <c r="G1491" s="685">
        <v>7.7544167830568647</v>
      </c>
      <c r="H1491" s="685">
        <v>6583.7014636516369</v>
      </c>
      <c r="I1491" s="686" t="s">
        <v>9009</v>
      </c>
      <c r="J1491" s="672" t="s">
        <v>10323</v>
      </c>
      <c r="K1491" s="672" t="s">
        <v>536</v>
      </c>
      <c r="L1491" s="672" t="s">
        <v>10323</v>
      </c>
    </row>
    <row r="1492" spans="1:12" x14ac:dyDescent="0.2">
      <c r="A1492" s="672" t="s">
        <v>587</v>
      </c>
      <c r="B1492" s="672" t="s">
        <v>591</v>
      </c>
      <c r="C1492" s="672" t="s">
        <v>7464</v>
      </c>
      <c r="D1492" s="672" t="s">
        <v>7465</v>
      </c>
      <c r="E1492" s="745" t="s">
        <v>535</v>
      </c>
      <c r="F1492" s="747">
        <v>782.25</v>
      </c>
      <c r="G1492" s="685">
        <v>8.4029636771717744</v>
      </c>
      <c r="H1492" s="685">
        <v>6573.2183364676202</v>
      </c>
      <c r="I1492" s="686" t="s">
        <v>9009</v>
      </c>
      <c r="J1492" s="672" t="s">
        <v>10323</v>
      </c>
      <c r="K1492" s="672" t="s">
        <v>536</v>
      </c>
      <c r="L1492" s="672" t="s">
        <v>10323</v>
      </c>
    </row>
    <row r="1493" spans="1:12" x14ac:dyDescent="0.2">
      <c r="A1493" s="672" t="s">
        <v>587</v>
      </c>
      <c r="B1493" s="672" t="s">
        <v>591</v>
      </c>
      <c r="C1493" s="672" t="s">
        <v>632</v>
      </c>
      <c r="D1493" s="672" t="s">
        <v>633</v>
      </c>
      <c r="E1493" s="745" t="s">
        <v>535</v>
      </c>
      <c r="F1493" s="747">
        <v>698.99199999999996</v>
      </c>
      <c r="G1493" s="685">
        <v>8.3070030131974235</v>
      </c>
      <c r="H1493" s="685">
        <v>5806.528650200893</v>
      </c>
      <c r="I1493" s="686" t="s">
        <v>9009</v>
      </c>
      <c r="J1493" s="672" t="s">
        <v>10323</v>
      </c>
      <c r="K1493" s="672" t="s">
        <v>536</v>
      </c>
      <c r="L1493" s="672" t="s">
        <v>10323</v>
      </c>
    </row>
    <row r="1494" spans="1:12" x14ac:dyDescent="0.2">
      <c r="A1494" s="672" t="s">
        <v>587</v>
      </c>
      <c r="B1494" s="672" t="s">
        <v>591</v>
      </c>
      <c r="C1494" s="672" t="s">
        <v>634</v>
      </c>
      <c r="D1494" s="672" t="s">
        <v>635</v>
      </c>
      <c r="E1494" s="745" t="s">
        <v>535</v>
      </c>
      <c r="F1494" s="747">
        <v>474.25</v>
      </c>
      <c r="G1494" s="685">
        <v>8.370490004042308</v>
      </c>
      <c r="H1494" s="685">
        <v>3969.7048844170645</v>
      </c>
      <c r="I1494" s="686" t="s">
        <v>9009</v>
      </c>
      <c r="J1494" s="672" t="s">
        <v>10323</v>
      </c>
      <c r="K1494" s="672" t="s">
        <v>536</v>
      </c>
      <c r="L1494" s="672" t="s">
        <v>10323</v>
      </c>
    </row>
    <row r="1495" spans="1:12" x14ac:dyDescent="0.2">
      <c r="A1495" s="672" t="s">
        <v>587</v>
      </c>
      <c r="B1495" s="672" t="s">
        <v>591</v>
      </c>
      <c r="C1495" s="672" t="s">
        <v>626</v>
      </c>
      <c r="D1495" s="672" t="s">
        <v>627</v>
      </c>
      <c r="E1495" s="745" t="s">
        <v>535</v>
      </c>
      <c r="F1495" s="747">
        <v>458.85</v>
      </c>
      <c r="G1495" s="685">
        <v>7.4935420431253528</v>
      </c>
      <c r="H1495" s="685">
        <v>3438.4117664880682</v>
      </c>
      <c r="I1495" s="686" t="s">
        <v>9009</v>
      </c>
      <c r="J1495" s="672" t="s">
        <v>10323</v>
      </c>
      <c r="K1495" s="672" t="s">
        <v>536</v>
      </c>
      <c r="L1495" s="672" t="s">
        <v>10323</v>
      </c>
    </row>
    <row r="1496" spans="1:12" x14ac:dyDescent="0.2">
      <c r="A1496" s="672" t="s">
        <v>587</v>
      </c>
      <c r="B1496" s="672" t="s">
        <v>591</v>
      </c>
      <c r="C1496" s="672" t="s">
        <v>614</v>
      </c>
      <c r="D1496" s="672" t="s">
        <v>615</v>
      </c>
      <c r="E1496" s="745" t="s">
        <v>535</v>
      </c>
      <c r="F1496" s="747">
        <v>352.66</v>
      </c>
      <c r="G1496" s="685">
        <v>8.8391259371829669</v>
      </c>
      <c r="H1496" s="685">
        <v>3117.2061530069454</v>
      </c>
      <c r="I1496" s="686" t="s">
        <v>9009</v>
      </c>
      <c r="J1496" s="672" t="s">
        <v>10323</v>
      </c>
      <c r="K1496" s="672" t="s">
        <v>536</v>
      </c>
      <c r="L1496" s="672" t="s">
        <v>10323</v>
      </c>
    </row>
    <row r="1497" spans="1:12" x14ac:dyDescent="0.2">
      <c r="A1497" s="672" t="s">
        <v>587</v>
      </c>
      <c r="B1497" s="672" t="s">
        <v>591</v>
      </c>
      <c r="C1497" s="672" t="s">
        <v>618</v>
      </c>
      <c r="D1497" s="672" t="s">
        <v>619</v>
      </c>
      <c r="E1497" s="745" t="s">
        <v>535</v>
      </c>
      <c r="F1497" s="747">
        <v>238.76</v>
      </c>
      <c r="G1497" s="685">
        <v>7.4253484164325663</v>
      </c>
      <c r="H1497" s="685">
        <v>1772.8761879074395</v>
      </c>
      <c r="I1497" s="686" t="s">
        <v>9009</v>
      </c>
      <c r="J1497" s="672" t="s">
        <v>10323</v>
      </c>
      <c r="K1497" s="672" t="s">
        <v>536</v>
      </c>
      <c r="L1497" s="672" t="s">
        <v>10323</v>
      </c>
    </row>
    <row r="1498" spans="1:12" x14ac:dyDescent="0.2">
      <c r="A1498" s="672" t="s">
        <v>587</v>
      </c>
      <c r="B1498" s="672" t="s">
        <v>591</v>
      </c>
      <c r="C1498" s="672" t="s">
        <v>624</v>
      </c>
      <c r="D1498" s="672" t="s">
        <v>625</v>
      </c>
      <c r="E1498" s="745" t="s">
        <v>535</v>
      </c>
      <c r="F1498" s="747">
        <v>188.1</v>
      </c>
      <c r="G1498" s="685">
        <v>7.4209478247389118</v>
      </c>
      <c r="H1498" s="685">
        <v>1395.8802858333893</v>
      </c>
      <c r="I1498" s="686" t="s">
        <v>9009</v>
      </c>
      <c r="J1498" s="672" t="s">
        <v>10323</v>
      </c>
      <c r="K1498" s="672" t="s">
        <v>536</v>
      </c>
      <c r="L1498" s="672" t="s">
        <v>10323</v>
      </c>
    </row>
    <row r="1499" spans="1:12" x14ac:dyDescent="0.2">
      <c r="A1499" s="672" t="s">
        <v>587</v>
      </c>
      <c r="B1499" s="672" t="s">
        <v>591</v>
      </c>
      <c r="C1499" s="672" t="s">
        <v>622</v>
      </c>
      <c r="D1499" s="672" t="s">
        <v>623</v>
      </c>
      <c r="E1499" s="745" t="s">
        <v>535</v>
      </c>
      <c r="F1499" s="747">
        <v>185.4</v>
      </c>
      <c r="G1499" s="685">
        <v>7.421391560100254</v>
      </c>
      <c r="H1499" s="685">
        <v>1375.9259952425871</v>
      </c>
      <c r="I1499" s="686" t="s">
        <v>9009</v>
      </c>
      <c r="J1499" s="672" t="s">
        <v>10323</v>
      </c>
      <c r="K1499" s="672" t="s">
        <v>536</v>
      </c>
      <c r="L1499" s="672" t="s">
        <v>10323</v>
      </c>
    </row>
    <row r="1500" spans="1:12" x14ac:dyDescent="0.2">
      <c r="A1500" s="672" t="s">
        <v>587</v>
      </c>
      <c r="B1500" s="672" t="s">
        <v>591</v>
      </c>
      <c r="C1500" s="672" t="s">
        <v>690</v>
      </c>
      <c r="D1500" s="672" t="s">
        <v>691</v>
      </c>
      <c r="E1500" s="745" t="s">
        <v>535</v>
      </c>
      <c r="F1500" s="747">
        <v>126.36</v>
      </c>
      <c r="G1500" s="685">
        <v>8.2738020600404418</v>
      </c>
      <c r="H1500" s="685">
        <v>1045.4776283067101</v>
      </c>
      <c r="I1500" s="686" t="s">
        <v>9009</v>
      </c>
      <c r="J1500" s="672" t="s">
        <v>10323</v>
      </c>
      <c r="K1500" s="672" t="s">
        <v>536</v>
      </c>
      <c r="L1500" s="672" t="s">
        <v>10323</v>
      </c>
    </row>
    <row r="1501" spans="1:12" x14ac:dyDescent="0.2">
      <c r="A1501" s="672" t="s">
        <v>587</v>
      </c>
      <c r="B1501" s="672" t="s">
        <v>591</v>
      </c>
      <c r="C1501" s="672" t="s">
        <v>608</v>
      </c>
      <c r="D1501" s="672" t="s">
        <v>609</v>
      </c>
      <c r="E1501" s="745" t="s">
        <v>535</v>
      </c>
      <c r="F1501" s="747">
        <v>121.2</v>
      </c>
      <c r="G1501" s="685">
        <v>8.4769598691220054</v>
      </c>
      <c r="H1501" s="685">
        <v>1027.4075361375872</v>
      </c>
      <c r="I1501" s="686" t="s">
        <v>9009</v>
      </c>
      <c r="J1501" s="672" t="s">
        <v>10323</v>
      </c>
      <c r="K1501" s="672" t="s">
        <v>536</v>
      </c>
      <c r="L1501" s="672" t="s">
        <v>10323</v>
      </c>
    </row>
    <row r="1502" spans="1:12" x14ac:dyDescent="0.2">
      <c r="A1502" s="672" t="s">
        <v>587</v>
      </c>
      <c r="B1502" s="672" t="s">
        <v>591</v>
      </c>
      <c r="C1502" s="672" t="s">
        <v>602</v>
      </c>
      <c r="D1502" s="672" t="s">
        <v>603</v>
      </c>
      <c r="E1502" s="745" t="s">
        <v>535</v>
      </c>
      <c r="F1502" s="747">
        <v>145.19999999999999</v>
      </c>
      <c r="G1502" s="685">
        <v>7.0485055291013108</v>
      </c>
      <c r="H1502" s="685">
        <v>1023.4430028255102</v>
      </c>
      <c r="I1502" s="686" t="s">
        <v>9009</v>
      </c>
      <c r="J1502" s="672" t="s">
        <v>10323</v>
      </c>
      <c r="K1502" s="672" t="s">
        <v>536</v>
      </c>
      <c r="L1502" s="672" t="s">
        <v>10323</v>
      </c>
    </row>
    <row r="1503" spans="1:12" x14ac:dyDescent="0.2">
      <c r="A1503" s="672" t="s">
        <v>587</v>
      </c>
      <c r="B1503" s="672" t="s">
        <v>591</v>
      </c>
      <c r="C1503" s="672" t="s">
        <v>7462</v>
      </c>
      <c r="D1503" s="672" t="s">
        <v>7732</v>
      </c>
      <c r="E1503" s="745" t="s">
        <v>535</v>
      </c>
      <c r="F1503" s="747">
        <v>79.900000000000006</v>
      </c>
      <c r="G1503" s="685">
        <v>7.7037627471332772</v>
      </c>
      <c r="H1503" s="685">
        <v>615.53064349594888</v>
      </c>
      <c r="I1503" s="686" t="s">
        <v>9009</v>
      </c>
      <c r="J1503" s="672" t="s">
        <v>10323</v>
      </c>
      <c r="K1503" s="672" t="s">
        <v>536</v>
      </c>
      <c r="L1503" s="672" t="s">
        <v>10323</v>
      </c>
    </row>
    <row r="1504" spans="1:12" x14ac:dyDescent="0.2">
      <c r="A1504" s="672" t="s">
        <v>587</v>
      </c>
      <c r="B1504" s="672" t="s">
        <v>591</v>
      </c>
      <c r="C1504" s="672" t="s">
        <v>612</v>
      </c>
      <c r="D1504" s="672" t="s">
        <v>613</v>
      </c>
      <c r="E1504" s="745" t="s">
        <v>535</v>
      </c>
      <c r="F1504" s="747">
        <v>84.11</v>
      </c>
      <c r="G1504" s="685">
        <v>7.2346773919839906</v>
      </c>
      <c r="H1504" s="685">
        <v>608.50871543977348</v>
      </c>
      <c r="I1504" s="686" t="s">
        <v>9009</v>
      </c>
      <c r="J1504" s="672" t="s">
        <v>10323</v>
      </c>
      <c r="K1504" s="672" t="s">
        <v>536</v>
      </c>
      <c r="L1504" s="672" t="s">
        <v>10323</v>
      </c>
    </row>
    <row r="1505" spans="1:12" x14ac:dyDescent="0.2">
      <c r="A1505" s="672" t="s">
        <v>587</v>
      </c>
      <c r="B1505" s="672" t="s">
        <v>591</v>
      </c>
      <c r="C1505" s="672" t="s">
        <v>600</v>
      </c>
      <c r="D1505" s="672" t="s">
        <v>601</v>
      </c>
      <c r="E1505" s="745" t="s">
        <v>535</v>
      </c>
      <c r="F1505" s="747">
        <v>56.88</v>
      </c>
      <c r="G1505" s="685">
        <v>7.4710374702688611</v>
      </c>
      <c r="H1505" s="685">
        <v>424.95261130889281</v>
      </c>
      <c r="I1505" s="686" t="s">
        <v>9009</v>
      </c>
      <c r="J1505" s="672" t="s">
        <v>10323</v>
      </c>
      <c r="K1505" s="672" t="s">
        <v>536</v>
      </c>
      <c r="L1505" s="672" t="s">
        <v>10323</v>
      </c>
    </row>
    <row r="1506" spans="1:12" x14ac:dyDescent="0.2">
      <c r="A1506" s="672" t="s">
        <v>587</v>
      </c>
      <c r="B1506" s="672" t="s">
        <v>591</v>
      </c>
      <c r="C1506" s="672" t="s">
        <v>604</v>
      </c>
      <c r="D1506" s="672" t="s">
        <v>605</v>
      </c>
      <c r="E1506" s="745" t="s">
        <v>535</v>
      </c>
      <c r="F1506" s="747">
        <v>53.3</v>
      </c>
      <c r="G1506" s="685">
        <v>7.4597273456662467</v>
      </c>
      <c r="H1506" s="685">
        <v>397.60346752401091</v>
      </c>
      <c r="I1506" s="686" t="s">
        <v>9009</v>
      </c>
      <c r="J1506" s="672" t="s">
        <v>10323</v>
      </c>
      <c r="K1506" s="672" t="s">
        <v>536</v>
      </c>
      <c r="L1506" s="672" t="s">
        <v>10323</v>
      </c>
    </row>
    <row r="1507" spans="1:12" x14ac:dyDescent="0.2">
      <c r="A1507" s="672" t="s">
        <v>587</v>
      </c>
      <c r="B1507" s="672" t="s">
        <v>591</v>
      </c>
      <c r="C1507" s="672" t="s">
        <v>628</v>
      </c>
      <c r="D1507" s="672" t="s">
        <v>629</v>
      </c>
      <c r="E1507" s="745" t="s">
        <v>535</v>
      </c>
      <c r="F1507" s="747">
        <v>38.74</v>
      </c>
      <c r="G1507" s="685">
        <v>8.0632541509475111</v>
      </c>
      <c r="H1507" s="685">
        <v>312.37046580770658</v>
      </c>
      <c r="I1507" s="686" t="s">
        <v>9009</v>
      </c>
      <c r="J1507" s="672" t="s">
        <v>10323</v>
      </c>
      <c r="K1507" s="672" t="s">
        <v>536</v>
      </c>
      <c r="L1507" s="672" t="s">
        <v>10323</v>
      </c>
    </row>
    <row r="1508" spans="1:12" x14ac:dyDescent="0.2">
      <c r="A1508" s="672" t="s">
        <v>587</v>
      </c>
      <c r="B1508" s="672" t="s">
        <v>591</v>
      </c>
      <c r="C1508" s="672" t="s">
        <v>630</v>
      </c>
      <c r="D1508" s="672" t="s">
        <v>631</v>
      </c>
      <c r="E1508" s="745" t="s">
        <v>535</v>
      </c>
      <c r="F1508" s="747">
        <v>40.020000000000003</v>
      </c>
      <c r="G1508" s="685">
        <v>7.1336770756969896</v>
      </c>
      <c r="H1508" s="685">
        <v>285.48975656939353</v>
      </c>
      <c r="I1508" s="686" t="s">
        <v>9009</v>
      </c>
      <c r="J1508" s="672" t="s">
        <v>10323</v>
      </c>
      <c r="K1508" s="672" t="s">
        <v>536</v>
      </c>
      <c r="L1508" s="672" t="s">
        <v>10323</v>
      </c>
    </row>
    <row r="1509" spans="1:12" x14ac:dyDescent="0.2">
      <c r="A1509" s="672" t="s">
        <v>587</v>
      </c>
      <c r="B1509" s="672" t="s">
        <v>591</v>
      </c>
      <c r="C1509" s="672" t="s">
        <v>610</v>
      </c>
      <c r="D1509" s="672" t="s">
        <v>611</v>
      </c>
      <c r="E1509" s="745" t="s">
        <v>535</v>
      </c>
      <c r="F1509" s="747">
        <v>29.85</v>
      </c>
      <c r="G1509" s="685">
        <v>7.456365273215118</v>
      </c>
      <c r="H1509" s="685">
        <v>222.57250340547128</v>
      </c>
      <c r="I1509" s="686" t="s">
        <v>9009</v>
      </c>
      <c r="J1509" s="672" t="s">
        <v>10323</v>
      </c>
      <c r="K1509" s="672" t="s">
        <v>536</v>
      </c>
      <c r="L1509" s="672" t="s">
        <v>10323</v>
      </c>
    </row>
    <row r="1510" spans="1:12" x14ac:dyDescent="0.2">
      <c r="A1510" s="672" t="s">
        <v>587</v>
      </c>
      <c r="B1510" s="672" t="s">
        <v>591</v>
      </c>
      <c r="C1510" s="672" t="s">
        <v>616</v>
      </c>
      <c r="D1510" s="672" t="s">
        <v>617</v>
      </c>
      <c r="E1510" s="745" t="s">
        <v>535</v>
      </c>
      <c r="F1510" s="747">
        <v>27.84</v>
      </c>
      <c r="G1510" s="685">
        <v>8.0921512644837961</v>
      </c>
      <c r="H1510" s="685">
        <v>225.28549120322887</v>
      </c>
      <c r="I1510" s="686" t="s">
        <v>9009</v>
      </c>
      <c r="J1510" s="672" t="s">
        <v>10323</v>
      </c>
      <c r="K1510" s="672" t="s">
        <v>536</v>
      </c>
      <c r="L1510" s="672" t="s">
        <v>10323</v>
      </c>
    </row>
    <row r="1511" spans="1:12" x14ac:dyDescent="0.2">
      <c r="A1511" s="672" t="s">
        <v>587</v>
      </c>
      <c r="B1511" s="672" t="s">
        <v>591</v>
      </c>
      <c r="C1511" s="672" t="s">
        <v>620</v>
      </c>
      <c r="D1511" s="672" t="s">
        <v>621</v>
      </c>
      <c r="E1511" s="745" t="s">
        <v>535</v>
      </c>
      <c r="F1511" s="747">
        <v>20.175000000000001</v>
      </c>
      <c r="G1511" s="685">
        <v>7.4202376821592084</v>
      </c>
      <c r="H1511" s="685">
        <v>149.70329523756203</v>
      </c>
      <c r="I1511" s="686" t="s">
        <v>9009</v>
      </c>
      <c r="J1511" s="672" t="s">
        <v>10323</v>
      </c>
      <c r="K1511" s="672" t="s">
        <v>536</v>
      </c>
      <c r="L1511" s="672" t="s">
        <v>10323</v>
      </c>
    </row>
    <row r="1512" spans="1:12" x14ac:dyDescent="0.2">
      <c r="A1512" s="672" t="s">
        <v>587</v>
      </c>
      <c r="B1512" s="672" t="s">
        <v>591</v>
      </c>
      <c r="C1512" s="672" t="s">
        <v>7738</v>
      </c>
      <c r="D1512" s="672" t="s">
        <v>9480</v>
      </c>
      <c r="E1512" s="745" t="s">
        <v>535</v>
      </c>
      <c r="F1512" s="747">
        <v>17.742999999999999</v>
      </c>
      <c r="G1512" s="685">
        <v>7.9509638181415774</v>
      </c>
      <c r="H1512" s="685">
        <v>141.07395102528599</v>
      </c>
      <c r="I1512" s="686" t="s">
        <v>9009</v>
      </c>
      <c r="J1512" s="672" t="s">
        <v>10323</v>
      </c>
      <c r="K1512" s="672" t="s">
        <v>536</v>
      </c>
      <c r="L1512" s="672" t="s">
        <v>10323</v>
      </c>
    </row>
    <row r="1513" spans="1:12" x14ac:dyDescent="0.2">
      <c r="A1513" s="672" t="s">
        <v>587</v>
      </c>
      <c r="B1513" s="672" t="s">
        <v>591</v>
      </c>
      <c r="C1513" s="672" t="s">
        <v>9091</v>
      </c>
      <c r="D1513" s="672" t="s">
        <v>9543</v>
      </c>
      <c r="E1513" s="745" t="s">
        <v>535</v>
      </c>
      <c r="F1513" s="747">
        <v>120.96</v>
      </c>
      <c r="G1513" s="685">
        <v>9.3030110431425399</v>
      </c>
      <c r="H1513" s="685">
        <v>1125.2922157785215</v>
      </c>
      <c r="I1513" s="686" t="s">
        <v>9009</v>
      </c>
      <c r="J1513" s="672" t="s">
        <v>10323</v>
      </c>
      <c r="K1513" s="672" t="s">
        <v>536</v>
      </c>
      <c r="L1513" s="672" t="s">
        <v>10323</v>
      </c>
    </row>
    <row r="1514" spans="1:12" x14ac:dyDescent="0.2">
      <c r="A1514" s="672" t="s">
        <v>587</v>
      </c>
      <c r="B1514" s="672" t="s">
        <v>591</v>
      </c>
      <c r="C1514" s="672" t="s">
        <v>9093</v>
      </c>
      <c r="D1514" s="672" t="s">
        <v>9544</v>
      </c>
      <c r="E1514" s="745" t="s">
        <v>535</v>
      </c>
      <c r="F1514" s="747">
        <v>75.031999999999996</v>
      </c>
      <c r="G1514" s="685">
        <v>9.0987282434313919</v>
      </c>
      <c r="H1514" s="685">
        <v>682.69577756114415</v>
      </c>
      <c r="I1514" s="686" t="s">
        <v>9009</v>
      </c>
      <c r="J1514" s="672" t="s">
        <v>10323</v>
      </c>
      <c r="K1514" s="672" t="s">
        <v>536</v>
      </c>
      <c r="L1514" s="672" t="s">
        <v>10323</v>
      </c>
    </row>
    <row r="1515" spans="1:12" x14ac:dyDescent="0.2">
      <c r="A1515" s="672" t="s">
        <v>220</v>
      </c>
      <c r="B1515" s="672" t="s">
        <v>532</v>
      </c>
      <c r="C1515" s="672" t="s">
        <v>7408</v>
      </c>
      <c r="D1515" s="672" t="s">
        <v>9702</v>
      </c>
      <c r="E1515" s="745" t="s">
        <v>535</v>
      </c>
      <c r="F1515" s="747">
        <v>9488.3469999999998</v>
      </c>
      <c r="G1515" s="685">
        <v>8.5078631866790175</v>
      </c>
      <c r="H1515" s="685">
        <v>80725.5581437363</v>
      </c>
      <c r="I1515" s="686" t="s">
        <v>9009</v>
      </c>
      <c r="J1515" s="672" t="s">
        <v>10127</v>
      </c>
      <c r="K1515" s="672" t="s">
        <v>536</v>
      </c>
      <c r="L1515" s="672" t="s">
        <v>9010</v>
      </c>
    </row>
    <row r="1516" spans="1:12" x14ac:dyDescent="0.2">
      <c r="A1516" s="672" t="s">
        <v>220</v>
      </c>
      <c r="B1516" s="672" t="s">
        <v>532</v>
      </c>
      <c r="C1516" s="672" t="s">
        <v>7422</v>
      </c>
      <c r="D1516" s="672" t="s">
        <v>9701</v>
      </c>
      <c r="E1516" s="745" t="s">
        <v>535</v>
      </c>
      <c r="F1516" s="747">
        <v>8780.7000000000007</v>
      </c>
      <c r="G1516" s="685">
        <v>8.4891737388108286</v>
      </c>
      <c r="H1516" s="685">
        <v>74540.887848376253</v>
      </c>
      <c r="I1516" s="686" t="s">
        <v>9009</v>
      </c>
      <c r="J1516" s="672" t="s">
        <v>10127</v>
      </c>
      <c r="K1516" s="672" t="s">
        <v>536</v>
      </c>
      <c r="L1516" s="672" t="s">
        <v>9010</v>
      </c>
    </row>
    <row r="1517" spans="1:12" x14ac:dyDescent="0.2">
      <c r="A1517" s="672" t="s">
        <v>220</v>
      </c>
      <c r="B1517" s="672" t="s">
        <v>532</v>
      </c>
      <c r="C1517" s="672" t="s">
        <v>7414</v>
      </c>
      <c r="D1517" s="672" t="s">
        <v>9703</v>
      </c>
      <c r="E1517" s="745" t="s">
        <v>535</v>
      </c>
      <c r="F1517" s="747">
        <v>7980.24</v>
      </c>
      <c r="G1517" s="685">
        <v>8.5282559778886196</v>
      </c>
      <c r="H1517" s="685">
        <v>68057.529484985876</v>
      </c>
      <c r="I1517" s="686" t="s">
        <v>9009</v>
      </c>
      <c r="J1517" s="672" t="s">
        <v>10127</v>
      </c>
      <c r="K1517" s="672" t="s">
        <v>536</v>
      </c>
      <c r="L1517" s="672" t="s">
        <v>9010</v>
      </c>
    </row>
    <row r="1518" spans="1:12" x14ac:dyDescent="0.2">
      <c r="A1518" s="672" t="s">
        <v>220</v>
      </c>
      <c r="B1518" s="672" t="s">
        <v>532</v>
      </c>
      <c r="C1518" s="672" t="s">
        <v>7413</v>
      </c>
      <c r="D1518" s="672" t="s">
        <v>9704</v>
      </c>
      <c r="E1518" s="745" t="s">
        <v>535</v>
      </c>
      <c r="F1518" s="747">
        <v>7233.8</v>
      </c>
      <c r="G1518" s="685">
        <v>8.4603988036719979</v>
      </c>
      <c r="H1518" s="685">
        <v>61200.8328660025</v>
      </c>
      <c r="I1518" s="686" t="s">
        <v>9009</v>
      </c>
      <c r="J1518" s="672" t="s">
        <v>10127</v>
      </c>
      <c r="K1518" s="672" t="s">
        <v>536</v>
      </c>
      <c r="L1518" s="672" t="s">
        <v>9010</v>
      </c>
    </row>
    <row r="1519" spans="1:12" x14ac:dyDescent="0.2">
      <c r="A1519" s="672" t="s">
        <v>220</v>
      </c>
      <c r="B1519" s="672" t="s">
        <v>532</v>
      </c>
      <c r="C1519" s="672" t="s">
        <v>7414</v>
      </c>
      <c r="D1519" s="672" t="s">
        <v>9705</v>
      </c>
      <c r="E1519" s="745" t="s">
        <v>535</v>
      </c>
      <c r="F1519" s="747">
        <v>204.75</v>
      </c>
      <c r="G1519" s="685">
        <v>8.5282559778886196</v>
      </c>
      <c r="H1519" s="685">
        <v>1746.1604114726949</v>
      </c>
      <c r="I1519" s="686" t="s">
        <v>9009</v>
      </c>
      <c r="J1519" s="672" t="s">
        <v>10127</v>
      </c>
      <c r="K1519" s="672" t="s">
        <v>536</v>
      </c>
      <c r="L1519" s="672" t="s">
        <v>9010</v>
      </c>
    </row>
    <row r="1520" spans="1:12" x14ac:dyDescent="0.2">
      <c r="A1520" s="672" t="s">
        <v>220</v>
      </c>
      <c r="B1520" s="672" t="s">
        <v>532</v>
      </c>
      <c r="C1520" s="672" t="s">
        <v>7413</v>
      </c>
      <c r="D1520" s="672" t="s">
        <v>9706</v>
      </c>
      <c r="E1520" s="745" t="s">
        <v>535</v>
      </c>
      <c r="F1520" s="747">
        <v>185.21999999999997</v>
      </c>
      <c r="G1520" s="685">
        <v>8.4603988036719979</v>
      </c>
      <c r="H1520" s="685">
        <v>1567.0350664161272</v>
      </c>
      <c r="I1520" s="686" t="s">
        <v>9009</v>
      </c>
      <c r="J1520" s="672" t="s">
        <v>10127</v>
      </c>
      <c r="K1520" s="672" t="s">
        <v>536</v>
      </c>
      <c r="L1520" s="672" t="s">
        <v>9010</v>
      </c>
    </row>
    <row r="1521" spans="1:12" x14ac:dyDescent="0.2">
      <c r="A1521" s="672" t="s">
        <v>220</v>
      </c>
      <c r="B1521" s="672" t="s">
        <v>532</v>
      </c>
      <c r="C1521" s="672" t="s">
        <v>539</v>
      </c>
      <c r="D1521" s="672" t="s">
        <v>9037</v>
      </c>
      <c r="E1521" s="745" t="s">
        <v>535</v>
      </c>
      <c r="F1521" s="748">
        <v>3362.12</v>
      </c>
      <c r="G1521" s="685">
        <v>9.3358086797316187</v>
      </c>
      <c r="H1521" s="685">
        <v>31388.109078299269</v>
      </c>
      <c r="I1521" s="686" t="s">
        <v>9009</v>
      </c>
      <c r="J1521" s="672" t="s">
        <v>9011</v>
      </c>
      <c r="K1521" s="672" t="s">
        <v>541</v>
      </c>
      <c r="L1521" s="672" t="s">
        <v>8994</v>
      </c>
    </row>
    <row r="1522" spans="1:12" x14ac:dyDescent="0.2">
      <c r="A1522" s="672" t="s">
        <v>220</v>
      </c>
      <c r="B1522" s="672" t="s">
        <v>532</v>
      </c>
      <c r="C1522" s="672" t="s">
        <v>7422</v>
      </c>
      <c r="D1522" s="672" t="s">
        <v>9018</v>
      </c>
      <c r="E1522" s="745" t="s">
        <v>535</v>
      </c>
      <c r="F1522" s="747">
        <v>4927.2120000000004</v>
      </c>
      <c r="G1522" s="685">
        <v>8.4891737388108286</v>
      </c>
      <c r="H1522" s="685">
        <v>41827.958715953588</v>
      </c>
      <c r="I1522" s="686" t="s">
        <v>9009</v>
      </c>
      <c r="J1522" s="672" t="s">
        <v>10127</v>
      </c>
      <c r="K1522" s="672" t="s">
        <v>536</v>
      </c>
      <c r="L1522" s="672" t="s">
        <v>9010</v>
      </c>
    </row>
    <row r="1523" spans="1:12" x14ac:dyDescent="0.2">
      <c r="A1523" s="672" t="s">
        <v>220</v>
      </c>
      <c r="B1523" s="672" t="s">
        <v>532</v>
      </c>
      <c r="C1523" s="672" t="s">
        <v>7408</v>
      </c>
      <c r="D1523" s="672" t="s">
        <v>9017</v>
      </c>
      <c r="E1523" s="745" t="s">
        <v>535</v>
      </c>
      <c r="F1523" s="747">
        <v>5410.2719999999999</v>
      </c>
      <c r="G1523" s="685">
        <v>8.5078631866790175</v>
      </c>
      <c r="H1523" s="685">
        <v>46029.853978720261</v>
      </c>
      <c r="I1523" s="686" t="s">
        <v>9009</v>
      </c>
      <c r="J1523" s="672" t="s">
        <v>10127</v>
      </c>
      <c r="K1523" s="672" t="s">
        <v>536</v>
      </c>
      <c r="L1523" s="672" t="s">
        <v>9010</v>
      </c>
    </row>
    <row r="1524" spans="1:12" x14ac:dyDescent="0.2">
      <c r="A1524" s="672" t="s">
        <v>220</v>
      </c>
      <c r="B1524" s="672" t="s">
        <v>532</v>
      </c>
      <c r="C1524" s="672" t="s">
        <v>9041</v>
      </c>
      <c r="D1524" s="672" t="s">
        <v>9739</v>
      </c>
      <c r="E1524" s="745" t="s">
        <v>535</v>
      </c>
      <c r="F1524" s="747">
        <v>2889.9716312056735</v>
      </c>
      <c r="G1524" s="685">
        <v>8.5751785773954676</v>
      </c>
      <c r="H1524" s="685">
        <v>24782.022821195525</v>
      </c>
      <c r="I1524" s="686" t="s">
        <v>9009</v>
      </c>
      <c r="J1524" s="672" t="s">
        <v>10127</v>
      </c>
      <c r="K1524" s="672" t="s">
        <v>536</v>
      </c>
      <c r="L1524" s="672" t="s">
        <v>9010</v>
      </c>
    </row>
    <row r="1525" spans="1:12" x14ac:dyDescent="0.2">
      <c r="A1525" s="672" t="s">
        <v>220</v>
      </c>
      <c r="B1525" s="672" t="s">
        <v>532</v>
      </c>
      <c r="C1525" s="672" t="s">
        <v>7412</v>
      </c>
      <c r="D1525" s="672" t="s">
        <v>9740</v>
      </c>
      <c r="E1525" s="745" t="s">
        <v>535</v>
      </c>
      <c r="F1525" s="747">
        <v>2692.0283687943261</v>
      </c>
      <c r="G1525" s="685">
        <v>8.5202602565974619</v>
      </c>
      <c r="H1525" s="685">
        <v>22936.782320271192</v>
      </c>
      <c r="I1525" s="686" t="s">
        <v>9009</v>
      </c>
      <c r="J1525" s="672" t="s">
        <v>10127</v>
      </c>
      <c r="K1525" s="672" t="s">
        <v>536</v>
      </c>
      <c r="L1525" s="672" t="s">
        <v>9010</v>
      </c>
    </row>
    <row r="1526" spans="1:12" x14ac:dyDescent="0.2">
      <c r="A1526" s="672" t="s">
        <v>220</v>
      </c>
      <c r="B1526" s="672" t="s">
        <v>532</v>
      </c>
      <c r="C1526" s="672" t="s">
        <v>9041</v>
      </c>
      <c r="D1526" s="672" t="s">
        <v>9741</v>
      </c>
      <c r="E1526" s="745" t="s">
        <v>535</v>
      </c>
      <c r="F1526" s="747">
        <v>5794.74</v>
      </c>
      <c r="G1526" s="685">
        <v>8.5751785773954676</v>
      </c>
      <c r="H1526" s="685">
        <v>49690.930309576608</v>
      </c>
      <c r="I1526" s="686" t="s">
        <v>9009</v>
      </c>
      <c r="J1526" s="672" t="s">
        <v>10127</v>
      </c>
      <c r="K1526" s="672" t="s">
        <v>536</v>
      </c>
      <c r="L1526" s="672" t="s">
        <v>9010</v>
      </c>
    </row>
    <row r="1527" spans="1:12" x14ac:dyDescent="0.2">
      <c r="A1527" s="672" t="s">
        <v>220</v>
      </c>
      <c r="B1527" s="672" t="s">
        <v>532</v>
      </c>
      <c r="C1527" s="672" t="s">
        <v>7412</v>
      </c>
      <c r="D1527" s="672" t="s">
        <v>9742</v>
      </c>
      <c r="E1527" s="745" t="s">
        <v>535</v>
      </c>
      <c r="F1527" s="747">
        <v>6477.4079999999994</v>
      </c>
      <c r="G1527" s="685">
        <v>8.5202602565974619</v>
      </c>
      <c r="H1527" s="685">
        <v>55189.201948166447</v>
      </c>
      <c r="I1527" s="686" t="s">
        <v>9009</v>
      </c>
      <c r="J1527" s="672" t="s">
        <v>10127</v>
      </c>
      <c r="K1527" s="672" t="s">
        <v>536</v>
      </c>
      <c r="L1527" s="672" t="s">
        <v>9010</v>
      </c>
    </row>
    <row r="1528" spans="1:12" x14ac:dyDescent="0.2">
      <c r="A1528" s="672" t="s">
        <v>220</v>
      </c>
      <c r="B1528" s="672" t="s">
        <v>532</v>
      </c>
      <c r="C1528" s="672" t="s">
        <v>894</v>
      </c>
      <c r="D1528" s="672" t="s">
        <v>895</v>
      </c>
      <c r="E1528" s="745" t="s">
        <v>545</v>
      </c>
      <c r="F1528" s="747">
        <v>15</v>
      </c>
      <c r="G1528" s="685">
        <v>22.245871827610767</v>
      </c>
      <c r="H1528" s="685">
        <v>333.68807741416151</v>
      </c>
      <c r="I1528" s="686" t="s">
        <v>9009</v>
      </c>
      <c r="J1528" s="672" t="s">
        <v>9011</v>
      </c>
      <c r="K1528" s="672" t="s">
        <v>541</v>
      </c>
      <c r="L1528" s="672" t="s">
        <v>9068</v>
      </c>
    </row>
    <row r="1529" spans="1:12" x14ac:dyDescent="0.2">
      <c r="A1529" s="672" t="s">
        <v>220</v>
      </c>
      <c r="B1529" s="672" t="s">
        <v>532</v>
      </c>
      <c r="C1529" s="672" t="s">
        <v>7533</v>
      </c>
      <c r="D1529" s="672" t="s">
        <v>7534</v>
      </c>
      <c r="E1529" s="745" t="s">
        <v>545</v>
      </c>
      <c r="F1529" s="747">
        <v>619</v>
      </c>
      <c r="G1529" s="685">
        <v>4.490157739445829</v>
      </c>
      <c r="H1529" s="685">
        <v>2779.4076407169682</v>
      </c>
      <c r="I1529" s="686" t="s">
        <v>9009</v>
      </c>
      <c r="J1529" s="672" t="s">
        <v>9011</v>
      </c>
      <c r="K1529" s="672" t="s">
        <v>541</v>
      </c>
      <c r="L1529" s="672" t="s">
        <v>9068</v>
      </c>
    </row>
    <row r="1530" spans="1:12" x14ac:dyDescent="0.2">
      <c r="A1530" s="672" t="s">
        <v>220</v>
      </c>
      <c r="B1530" s="672" t="s">
        <v>532</v>
      </c>
      <c r="C1530" s="672" t="s">
        <v>959</v>
      </c>
      <c r="D1530" s="672" t="s">
        <v>10324</v>
      </c>
      <c r="E1530" s="745" t="s">
        <v>545</v>
      </c>
      <c r="F1530" s="747">
        <v>619</v>
      </c>
      <c r="G1530" s="685">
        <v>4.8473673058411544</v>
      </c>
      <c r="H1530" s="685">
        <v>3000.5203623156744</v>
      </c>
      <c r="I1530" s="686" t="s">
        <v>9009</v>
      </c>
      <c r="J1530" s="672" t="s">
        <v>9011</v>
      </c>
      <c r="K1530" s="672" t="s">
        <v>541</v>
      </c>
      <c r="L1530" s="672" t="s">
        <v>9068</v>
      </c>
    </row>
    <row r="1531" spans="1:12" x14ac:dyDescent="0.2">
      <c r="A1531" s="672" t="s">
        <v>220</v>
      </c>
      <c r="B1531" s="672" t="s">
        <v>532</v>
      </c>
      <c r="C1531" s="672" t="s">
        <v>902</v>
      </c>
      <c r="D1531" s="672" t="s">
        <v>9067</v>
      </c>
      <c r="E1531" s="745" t="s">
        <v>545</v>
      </c>
      <c r="F1531" s="747">
        <v>1323</v>
      </c>
      <c r="G1531" s="685">
        <v>7.7104070162602056</v>
      </c>
      <c r="H1531" s="685">
        <v>10200.868482512253</v>
      </c>
      <c r="I1531" s="686" t="s">
        <v>9009</v>
      </c>
      <c r="J1531" s="672" t="s">
        <v>9011</v>
      </c>
      <c r="K1531" s="672" t="s">
        <v>541</v>
      </c>
      <c r="L1531" s="672" t="s">
        <v>9068</v>
      </c>
    </row>
    <row r="1532" spans="1:12" x14ac:dyDescent="0.2">
      <c r="A1532" s="672" t="s">
        <v>220</v>
      </c>
      <c r="B1532" s="672" t="s">
        <v>532</v>
      </c>
      <c r="C1532" s="672" t="s">
        <v>1069</v>
      </c>
      <c r="D1532" s="672" t="s">
        <v>10325</v>
      </c>
      <c r="E1532" s="745" t="s">
        <v>545</v>
      </c>
      <c r="F1532" s="747">
        <v>1323</v>
      </c>
      <c r="G1532" s="685">
        <v>4.2848345201244618</v>
      </c>
      <c r="H1532" s="685">
        <v>5668.8360701246629</v>
      </c>
      <c r="I1532" s="686" t="s">
        <v>9009</v>
      </c>
      <c r="J1532" s="672" t="s">
        <v>9011</v>
      </c>
      <c r="K1532" s="672" t="s">
        <v>541</v>
      </c>
      <c r="L1532" s="672" t="s">
        <v>9068</v>
      </c>
    </row>
    <row r="1533" spans="1:12" x14ac:dyDescent="0.2">
      <c r="A1533" s="672" t="s">
        <v>220</v>
      </c>
      <c r="B1533" s="672" t="s">
        <v>532</v>
      </c>
      <c r="C1533" s="672" t="s">
        <v>859</v>
      </c>
      <c r="D1533" s="672" t="s">
        <v>860</v>
      </c>
      <c r="E1533" s="745" t="s">
        <v>545</v>
      </c>
      <c r="F1533" s="747">
        <v>708</v>
      </c>
      <c r="G1533" s="685">
        <v>4.9163685234262964</v>
      </c>
      <c r="H1533" s="685">
        <v>3480.788914585818</v>
      </c>
      <c r="I1533" s="686" t="s">
        <v>9009</v>
      </c>
      <c r="J1533" s="672" t="s">
        <v>9011</v>
      </c>
      <c r="K1533" s="672" t="s">
        <v>541</v>
      </c>
      <c r="L1533" s="672" t="s">
        <v>9068</v>
      </c>
    </row>
    <row r="1534" spans="1:12" x14ac:dyDescent="0.2">
      <c r="A1534" s="672" t="s">
        <v>220</v>
      </c>
      <c r="B1534" s="672" t="s">
        <v>532</v>
      </c>
      <c r="C1534" s="672" t="s">
        <v>10326</v>
      </c>
      <c r="D1534" s="672" t="s">
        <v>10327</v>
      </c>
      <c r="E1534" s="745" t="s">
        <v>545</v>
      </c>
      <c r="F1534" s="747">
        <v>708</v>
      </c>
      <c r="G1534" s="685">
        <v>4.708051286930047</v>
      </c>
      <c r="H1534" s="685">
        <v>3333.3003111464732</v>
      </c>
      <c r="I1534" s="686" t="s">
        <v>9009</v>
      </c>
      <c r="J1534" s="672" t="s">
        <v>9011</v>
      </c>
      <c r="K1534" s="672" t="s">
        <v>541</v>
      </c>
      <c r="L1534" s="672" t="s">
        <v>9068</v>
      </c>
    </row>
    <row r="1535" spans="1:12" x14ac:dyDescent="0.2">
      <c r="A1535" s="672" t="s">
        <v>220</v>
      </c>
      <c r="B1535" s="672" t="s">
        <v>532</v>
      </c>
      <c r="C1535" s="672" t="s">
        <v>1043</v>
      </c>
      <c r="D1535" s="672" t="s">
        <v>10328</v>
      </c>
      <c r="E1535" s="745" t="s">
        <v>545</v>
      </c>
      <c r="F1535" s="747">
        <v>15</v>
      </c>
      <c r="G1535" s="685">
        <v>7.3173987426277591</v>
      </c>
      <c r="H1535" s="685">
        <v>109.76098113941639</v>
      </c>
      <c r="I1535" s="686" t="s">
        <v>9009</v>
      </c>
      <c r="J1535" s="672" t="s">
        <v>9011</v>
      </c>
      <c r="K1535" s="672" t="s">
        <v>541</v>
      </c>
      <c r="L1535" s="672" t="s">
        <v>9068</v>
      </c>
    </row>
    <row r="1536" spans="1:12" x14ac:dyDescent="0.2">
      <c r="A1536" s="672" t="s">
        <v>220</v>
      </c>
      <c r="B1536" s="672" t="s">
        <v>532</v>
      </c>
      <c r="C1536" s="672" t="s">
        <v>7408</v>
      </c>
      <c r="D1536" s="672" t="s">
        <v>10329</v>
      </c>
      <c r="E1536" s="745" t="s">
        <v>535</v>
      </c>
      <c r="F1536" s="747">
        <v>8555</v>
      </c>
      <c r="G1536" s="685">
        <v>8.5078631866790175</v>
      </c>
      <c r="H1536" s="685">
        <v>72784.769562039</v>
      </c>
      <c r="I1536" s="686" t="s">
        <v>9009</v>
      </c>
      <c r="J1536" s="672" t="s">
        <v>10127</v>
      </c>
      <c r="K1536" s="672" t="s">
        <v>536</v>
      </c>
      <c r="L1536" s="672" t="s">
        <v>9010</v>
      </c>
    </row>
    <row r="1537" spans="1:12" x14ac:dyDescent="0.2">
      <c r="A1537" s="672" t="s">
        <v>220</v>
      </c>
      <c r="B1537" s="672" t="s">
        <v>532</v>
      </c>
      <c r="C1537" s="672" t="s">
        <v>7422</v>
      </c>
      <c r="D1537" s="672" t="s">
        <v>10330</v>
      </c>
      <c r="E1537" s="745" t="s">
        <v>535</v>
      </c>
      <c r="F1537" s="747">
        <v>3777</v>
      </c>
      <c r="G1537" s="685">
        <v>8.4891737388108286</v>
      </c>
      <c r="H1537" s="685">
        <v>32063.6092114885</v>
      </c>
      <c r="I1537" s="686" t="s">
        <v>9009</v>
      </c>
      <c r="J1537" s="672" t="s">
        <v>10127</v>
      </c>
      <c r="K1537" s="672" t="s">
        <v>536</v>
      </c>
      <c r="L1537" s="672" t="s">
        <v>9010</v>
      </c>
    </row>
    <row r="1538" spans="1:12" x14ac:dyDescent="0.2">
      <c r="A1538" s="672" t="s">
        <v>220</v>
      </c>
      <c r="B1538" s="672" t="s">
        <v>532</v>
      </c>
      <c r="C1538" s="672" t="s">
        <v>10331</v>
      </c>
      <c r="D1538" s="672" t="s">
        <v>10332</v>
      </c>
      <c r="E1538" s="745" t="s">
        <v>639</v>
      </c>
      <c r="F1538" s="747">
        <v>1135</v>
      </c>
      <c r="G1538" s="685">
        <v>2.5440352565217168</v>
      </c>
      <c r="H1538" s="685">
        <v>2887.4800161521484</v>
      </c>
      <c r="I1538" s="686" t="s">
        <v>9009</v>
      </c>
      <c r="J1538" s="672" t="s">
        <v>9011</v>
      </c>
      <c r="K1538" s="672" t="s">
        <v>541</v>
      </c>
      <c r="L1538" s="672" t="s">
        <v>9038</v>
      </c>
    </row>
    <row r="1539" spans="1:12" x14ac:dyDescent="0.2">
      <c r="A1539" s="672" t="s">
        <v>220</v>
      </c>
      <c r="B1539" s="672" t="s">
        <v>532</v>
      </c>
      <c r="C1539" s="672" t="s">
        <v>902</v>
      </c>
      <c r="D1539" s="672" t="s">
        <v>10333</v>
      </c>
      <c r="E1539" s="745" t="s">
        <v>545</v>
      </c>
      <c r="F1539" s="747">
        <v>251</v>
      </c>
      <c r="G1539" s="685">
        <v>7.7104070162602056</v>
      </c>
      <c r="H1539" s="685">
        <v>1935.3121610813116</v>
      </c>
      <c r="I1539" s="686" t="s">
        <v>9009</v>
      </c>
      <c r="J1539" s="672" t="s">
        <v>9011</v>
      </c>
      <c r="K1539" s="672" t="s">
        <v>541</v>
      </c>
      <c r="L1539" s="672" t="s">
        <v>9068</v>
      </c>
    </row>
    <row r="1540" spans="1:12" x14ac:dyDescent="0.2">
      <c r="A1540" s="672" t="s">
        <v>220</v>
      </c>
      <c r="B1540" s="672" t="s">
        <v>532</v>
      </c>
      <c r="C1540" s="672" t="s">
        <v>911</v>
      </c>
      <c r="D1540" s="672" t="s">
        <v>10334</v>
      </c>
      <c r="E1540" s="745" t="s">
        <v>545</v>
      </c>
      <c r="F1540" s="747">
        <v>107</v>
      </c>
      <c r="G1540" s="685">
        <v>5.247448709226318</v>
      </c>
      <c r="H1540" s="685">
        <v>561.47701188721601</v>
      </c>
      <c r="I1540" s="686" t="s">
        <v>9009</v>
      </c>
      <c r="J1540" s="672" t="s">
        <v>9011</v>
      </c>
      <c r="K1540" s="672" t="s">
        <v>541</v>
      </c>
      <c r="L1540" s="672" t="s">
        <v>9068</v>
      </c>
    </row>
    <row r="1541" spans="1:12" x14ac:dyDescent="0.2">
      <c r="A1541" s="672" t="s">
        <v>220</v>
      </c>
      <c r="B1541" s="672" t="s">
        <v>532</v>
      </c>
      <c r="C1541" s="672" t="s">
        <v>10335</v>
      </c>
      <c r="D1541" s="672" t="s">
        <v>10336</v>
      </c>
      <c r="E1541" s="745" t="s">
        <v>545</v>
      </c>
      <c r="F1541" s="747">
        <v>388</v>
      </c>
      <c r="G1541" s="685">
        <v>5.4038853923776964</v>
      </c>
      <c r="H1541" s="685">
        <v>2096.7075322425462</v>
      </c>
      <c r="I1541" s="686" t="s">
        <v>9009</v>
      </c>
      <c r="J1541" s="672" t="s">
        <v>9011</v>
      </c>
      <c r="K1541" s="672" t="s">
        <v>541</v>
      </c>
      <c r="L1541" s="672" t="s">
        <v>9068</v>
      </c>
    </row>
    <row r="1542" spans="1:12" x14ac:dyDescent="0.2">
      <c r="A1542" s="672" t="s">
        <v>220</v>
      </c>
      <c r="B1542" s="672" t="s">
        <v>532</v>
      </c>
      <c r="C1542" s="672" t="s">
        <v>10337</v>
      </c>
      <c r="D1542" s="672" t="s">
        <v>10338</v>
      </c>
      <c r="E1542" s="745" t="s">
        <v>545</v>
      </c>
      <c r="F1542" s="747">
        <v>42</v>
      </c>
      <c r="G1542" s="685">
        <v>22.245871827610767</v>
      </c>
      <c r="H1542" s="685">
        <v>934.32661675965221</v>
      </c>
      <c r="I1542" s="686" t="s">
        <v>9009</v>
      </c>
      <c r="J1542" s="672" t="s">
        <v>9011</v>
      </c>
      <c r="K1542" s="672" t="s">
        <v>541</v>
      </c>
      <c r="L1542" s="672" t="s">
        <v>9068</v>
      </c>
    </row>
    <row r="1543" spans="1:12" x14ac:dyDescent="0.2">
      <c r="A1543" s="672" t="s">
        <v>220</v>
      </c>
      <c r="B1543" s="672" t="s">
        <v>532</v>
      </c>
      <c r="C1543" s="672" t="s">
        <v>1069</v>
      </c>
      <c r="D1543" s="672" t="s">
        <v>10339</v>
      </c>
      <c r="E1543" s="745" t="s">
        <v>545</v>
      </c>
      <c r="F1543" s="747">
        <v>69</v>
      </c>
      <c r="G1543" s="685">
        <v>4.2848345201244618</v>
      </c>
      <c r="H1543" s="685">
        <v>295.65358188858784</v>
      </c>
      <c r="I1543" s="686" t="s">
        <v>9009</v>
      </c>
      <c r="J1543" s="672" t="s">
        <v>9011</v>
      </c>
      <c r="K1543" s="672" t="s">
        <v>541</v>
      </c>
      <c r="L1543" s="672" t="s">
        <v>9068</v>
      </c>
    </row>
    <row r="1544" spans="1:12" x14ac:dyDescent="0.2">
      <c r="A1544" s="672" t="s">
        <v>220</v>
      </c>
      <c r="B1544" s="672" t="s">
        <v>532</v>
      </c>
      <c r="C1544" s="672" t="s">
        <v>1067</v>
      </c>
      <c r="D1544" s="672" t="s">
        <v>10340</v>
      </c>
      <c r="E1544" s="745" t="s">
        <v>545</v>
      </c>
      <c r="F1544" s="747">
        <v>2</v>
      </c>
      <c r="G1544" s="685">
        <v>4.4630730216745906</v>
      </c>
      <c r="H1544" s="685">
        <v>8.9261460433491813</v>
      </c>
      <c r="I1544" s="686" t="s">
        <v>9009</v>
      </c>
      <c r="J1544" s="672" t="s">
        <v>9011</v>
      </c>
      <c r="K1544" s="672" t="s">
        <v>541</v>
      </c>
      <c r="L1544" s="672" t="s">
        <v>9068</v>
      </c>
    </row>
    <row r="1545" spans="1:12" x14ac:dyDescent="0.2">
      <c r="A1545" s="672" t="s">
        <v>220</v>
      </c>
      <c r="B1545" s="672" t="s">
        <v>532</v>
      </c>
      <c r="C1545" s="672" t="s">
        <v>981</v>
      </c>
      <c r="D1545" s="672" t="s">
        <v>10341</v>
      </c>
      <c r="E1545" s="745" t="s">
        <v>545</v>
      </c>
      <c r="F1545" s="747">
        <v>89</v>
      </c>
      <c r="G1545" s="685">
        <v>4.7172763952586596</v>
      </c>
      <c r="H1545" s="685">
        <v>419.8375991780207</v>
      </c>
      <c r="I1545" s="686" t="s">
        <v>9009</v>
      </c>
      <c r="J1545" s="672" t="s">
        <v>9011</v>
      </c>
      <c r="K1545" s="672" t="s">
        <v>541</v>
      </c>
      <c r="L1545" s="672" t="s">
        <v>9068</v>
      </c>
    </row>
    <row r="1546" spans="1:12" x14ac:dyDescent="0.2">
      <c r="A1546" s="672" t="s">
        <v>220</v>
      </c>
      <c r="B1546" s="672" t="s">
        <v>532</v>
      </c>
      <c r="C1546" s="672" t="s">
        <v>9557</v>
      </c>
      <c r="D1546" s="672" t="s">
        <v>10342</v>
      </c>
      <c r="E1546" s="745" t="s">
        <v>545</v>
      </c>
      <c r="F1546" s="747">
        <v>20</v>
      </c>
      <c r="G1546" s="685">
        <v>4.7242755136184096</v>
      </c>
      <c r="H1546" s="685">
        <v>94.485510272368188</v>
      </c>
      <c r="I1546" s="686" t="s">
        <v>9009</v>
      </c>
      <c r="J1546" s="672" t="s">
        <v>9011</v>
      </c>
      <c r="K1546" s="672" t="s">
        <v>541</v>
      </c>
      <c r="L1546" s="672" t="s">
        <v>9068</v>
      </c>
    </row>
    <row r="1547" spans="1:12" x14ac:dyDescent="0.2">
      <c r="A1547" s="672" t="s">
        <v>220</v>
      </c>
      <c r="B1547" s="672" t="s">
        <v>532</v>
      </c>
      <c r="C1547" s="672" t="s">
        <v>10343</v>
      </c>
      <c r="D1547" s="672" t="s">
        <v>10344</v>
      </c>
      <c r="E1547" s="745" t="s">
        <v>545</v>
      </c>
      <c r="F1547" s="747">
        <v>33</v>
      </c>
      <c r="G1547" s="685">
        <v>4.5121155105963435</v>
      </c>
      <c r="H1547" s="685">
        <v>148.89981184967934</v>
      </c>
      <c r="I1547" s="686" t="s">
        <v>9009</v>
      </c>
      <c r="J1547" s="672" t="s">
        <v>9011</v>
      </c>
      <c r="K1547" s="672" t="s">
        <v>541</v>
      </c>
      <c r="L1547" s="672" t="s">
        <v>9068</v>
      </c>
    </row>
    <row r="1548" spans="1:12" x14ac:dyDescent="0.2">
      <c r="A1548" s="672" t="s">
        <v>220</v>
      </c>
      <c r="B1548" s="672" t="s">
        <v>532</v>
      </c>
      <c r="C1548" s="672" t="s">
        <v>969</v>
      </c>
      <c r="D1548" s="672" t="s">
        <v>10345</v>
      </c>
      <c r="E1548" s="745" t="s">
        <v>545</v>
      </c>
      <c r="F1548" s="747">
        <v>6</v>
      </c>
      <c r="G1548" s="685">
        <v>4.5553049036588744</v>
      </c>
      <c r="H1548" s="685">
        <v>27.331829421953245</v>
      </c>
      <c r="I1548" s="686" t="s">
        <v>9009</v>
      </c>
      <c r="J1548" s="672" t="s">
        <v>9011</v>
      </c>
      <c r="K1548" s="672" t="s">
        <v>541</v>
      </c>
      <c r="L1548" s="672" t="s">
        <v>9068</v>
      </c>
    </row>
    <row r="1549" spans="1:12" x14ac:dyDescent="0.2">
      <c r="A1549" s="672" t="s">
        <v>220</v>
      </c>
      <c r="B1549" s="672" t="s">
        <v>532</v>
      </c>
      <c r="C1549" s="672" t="s">
        <v>10346</v>
      </c>
      <c r="D1549" s="672" t="s">
        <v>10347</v>
      </c>
      <c r="E1549" s="745" t="s">
        <v>545</v>
      </c>
      <c r="F1549" s="747">
        <v>15</v>
      </c>
      <c r="G1549" s="685">
        <v>20.090906909496098</v>
      </c>
      <c r="H1549" s="685">
        <v>301.36360364244149</v>
      </c>
      <c r="I1549" s="686" t="s">
        <v>9009</v>
      </c>
      <c r="J1549" s="672" t="s">
        <v>9011</v>
      </c>
      <c r="K1549" s="672" t="s">
        <v>541</v>
      </c>
      <c r="L1549" s="672" t="s">
        <v>9068</v>
      </c>
    </row>
    <row r="1550" spans="1:12" x14ac:dyDescent="0.2">
      <c r="A1550" s="672" t="s">
        <v>220</v>
      </c>
      <c r="B1550" s="672" t="s">
        <v>532</v>
      </c>
      <c r="C1550" s="672" t="s">
        <v>539</v>
      </c>
      <c r="D1550" s="672" t="s">
        <v>540</v>
      </c>
      <c r="E1550" s="745" t="s">
        <v>535</v>
      </c>
      <c r="F1550" s="748" t="s">
        <v>10348</v>
      </c>
      <c r="G1550" s="685">
        <v>9.3358086797316187</v>
      </c>
      <c r="H1550" s="685">
        <v>3155.5033337492873</v>
      </c>
      <c r="I1550" s="686" t="s">
        <v>9009</v>
      </c>
      <c r="J1550" s="672" t="s">
        <v>9011</v>
      </c>
      <c r="K1550" s="672" t="s">
        <v>541</v>
      </c>
      <c r="L1550" s="672" t="s">
        <v>8994</v>
      </c>
    </row>
    <row r="1551" spans="1:12" x14ac:dyDescent="0.2">
      <c r="A1551" s="672" t="s">
        <v>220</v>
      </c>
      <c r="B1551" s="672" t="s">
        <v>532</v>
      </c>
      <c r="C1551" s="672" t="s">
        <v>9041</v>
      </c>
      <c r="D1551" s="672" t="s">
        <v>534</v>
      </c>
      <c r="E1551" s="745" t="s">
        <v>535</v>
      </c>
      <c r="F1551" s="747">
        <v>44</v>
      </c>
      <c r="G1551" s="685">
        <v>8.5751785773954676</v>
      </c>
      <c r="H1551" s="685">
        <v>377.30785740540057</v>
      </c>
      <c r="I1551" s="686" t="s">
        <v>9009</v>
      </c>
      <c r="J1551" s="672" t="s">
        <v>10127</v>
      </c>
      <c r="K1551" s="672" t="s">
        <v>536</v>
      </c>
      <c r="L1551" s="672" t="s">
        <v>9010</v>
      </c>
    </row>
    <row r="1552" spans="1:12" x14ac:dyDescent="0.2">
      <c r="A1552" s="672" t="s">
        <v>220</v>
      </c>
      <c r="B1552" s="672" t="s">
        <v>532</v>
      </c>
      <c r="C1552" s="672" t="s">
        <v>7412</v>
      </c>
      <c r="D1552" s="672" t="s">
        <v>538</v>
      </c>
      <c r="E1552" s="745" t="s">
        <v>535</v>
      </c>
      <c r="F1552" s="747">
        <v>27</v>
      </c>
      <c r="G1552" s="685">
        <v>8.5202602565974619</v>
      </c>
      <c r="H1552" s="685">
        <v>230.04702692813146</v>
      </c>
      <c r="I1552" s="686" t="s">
        <v>9009</v>
      </c>
      <c r="J1552" s="672" t="s">
        <v>10127</v>
      </c>
      <c r="K1552" s="672" t="s">
        <v>536</v>
      </c>
      <c r="L1552" s="672" t="s">
        <v>9010</v>
      </c>
    </row>
    <row r="1553" spans="1:12" x14ac:dyDescent="0.2">
      <c r="A1553" s="672" t="s">
        <v>220</v>
      </c>
      <c r="B1553" s="672" t="s">
        <v>532</v>
      </c>
      <c r="C1553" s="672" t="s">
        <v>7414</v>
      </c>
      <c r="D1553" s="672" t="s">
        <v>10349</v>
      </c>
      <c r="E1553" s="745" t="s">
        <v>535</v>
      </c>
      <c r="F1553" s="747">
        <v>63</v>
      </c>
      <c r="G1553" s="685">
        <v>8.5282559778886196</v>
      </c>
      <c r="H1553" s="685">
        <v>537.280126606983</v>
      </c>
      <c r="I1553" s="686" t="s">
        <v>9009</v>
      </c>
      <c r="J1553" s="672" t="s">
        <v>10127</v>
      </c>
      <c r="K1553" s="672" t="s">
        <v>536</v>
      </c>
      <c r="L1553" s="672" t="s">
        <v>9010</v>
      </c>
    </row>
    <row r="1554" spans="1:12" x14ac:dyDescent="0.2">
      <c r="A1554" s="672" t="s">
        <v>220</v>
      </c>
      <c r="B1554" s="672" t="s">
        <v>532</v>
      </c>
      <c r="C1554" s="672" t="s">
        <v>7413</v>
      </c>
      <c r="D1554" s="672" t="s">
        <v>10350</v>
      </c>
      <c r="E1554" s="745" t="s">
        <v>535</v>
      </c>
      <c r="F1554" s="747">
        <v>38</v>
      </c>
      <c r="G1554" s="685">
        <v>8.4603988036719979</v>
      </c>
      <c r="H1554" s="685">
        <v>321.49515453953592</v>
      </c>
      <c r="I1554" s="686" t="s">
        <v>9009</v>
      </c>
      <c r="J1554" s="672" t="s">
        <v>10127</v>
      </c>
      <c r="K1554" s="672" t="s">
        <v>536</v>
      </c>
      <c r="L1554" s="672" t="s">
        <v>9010</v>
      </c>
    </row>
    <row r="1555" spans="1:12" x14ac:dyDescent="0.2">
      <c r="A1555" s="672" t="s">
        <v>220</v>
      </c>
      <c r="B1555" s="672" t="s">
        <v>532</v>
      </c>
      <c r="C1555" s="672" t="s">
        <v>662</v>
      </c>
      <c r="D1555" s="672" t="s">
        <v>10351</v>
      </c>
      <c r="E1555" s="745" t="s">
        <v>639</v>
      </c>
      <c r="F1555" s="747">
        <v>15</v>
      </c>
      <c r="G1555" s="685">
        <v>4.9485335738670599</v>
      </c>
      <c r="H1555" s="685">
        <v>74.228003608005906</v>
      </c>
      <c r="I1555" s="686" t="s">
        <v>9009</v>
      </c>
      <c r="J1555" s="672" t="s">
        <v>9201</v>
      </c>
      <c r="K1555" s="672" t="s">
        <v>541</v>
      </c>
      <c r="L1555" s="672" t="s">
        <v>8996</v>
      </c>
    </row>
    <row r="1556" spans="1:12" x14ac:dyDescent="0.2">
      <c r="A1556" s="744" t="s">
        <v>220</v>
      </c>
      <c r="B1556" s="672" t="s">
        <v>532</v>
      </c>
      <c r="D1556" s="672" t="s">
        <v>2349</v>
      </c>
      <c r="E1556" s="745" t="s">
        <v>535</v>
      </c>
      <c r="F1556" s="747">
        <v>493</v>
      </c>
      <c r="G1556" s="685">
        <v>3.7654790246645566</v>
      </c>
      <c r="H1556" s="685">
        <v>1856.3811591596263</v>
      </c>
      <c r="I1556" s="686" t="s">
        <v>9009</v>
      </c>
      <c r="J1556" s="672" t="s">
        <v>10352</v>
      </c>
      <c r="K1556" s="672" t="s">
        <v>541</v>
      </c>
      <c r="L1556" s="672" t="s">
        <v>8994</v>
      </c>
    </row>
    <row r="1557" spans="1:12" x14ac:dyDescent="0.2">
      <c r="A1557" s="744" t="s">
        <v>220</v>
      </c>
      <c r="B1557" s="672" t="s">
        <v>532</v>
      </c>
      <c r="D1557" s="672" t="s">
        <v>10353</v>
      </c>
      <c r="E1557" s="745" t="s">
        <v>535</v>
      </c>
      <c r="F1557" s="747">
        <v>716</v>
      </c>
      <c r="G1557" s="685">
        <v>3.7654790246645566</v>
      </c>
      <c r="H1557" s="685">
        <v>2696.0829816598225</v>
      </c>
      <c r="I1557" s="686" t="s">
        <v>9009</v>
      </c>
      <c r="J1557" s="672" t="s">
        <v>10352</v>
      </c>
      <c r="K1557" s="672" t="s">
        <v>541</v>
      </c>
      <c r="L1557" s="672" t="s">
        <v>8994</v>
      </c>
    </row>
    <row r="1558" spans="1:12" x14ac:dyDescent="0.2">
      <c r="A1558" s="744" t="s">
        <v>220</v>
      </c>
      <c r="B1558" s="672" t="s">
        <v>532</v>
      </c>
      <c r="D1558" s="672" t="s">
        <v>10354</v>
      </c>
      <c r="E1558" s="745" t="s">
        <v>535</v>
      </c>
      <c r="F1558" s="747">
        <v>380</v>
      </c>
      <c r="G1558" s="685">
        <v>5.8940900299620171</v>
      </c>
      <c r="H1558" s="685">
        <v>2239.7542113855666</v>
      </c>
      <c r="I1558" s="686" t="s">
        <v>9009</v>
      </c>
      <c r="J1558" s="672" t="s">
        <v>10352</v>
      </c>
      <c r="K1558" s="672" t="s">
        <v>541</v>
      </c>
      <c r="L1558" s="672" t="s">
        <v>8994</v>
      </c>
    </row>
    <row r="1559" spans="1:12" x14ac:dyDescent="0.2">
      <c r="A1559" s="744" t="s">
        <v>220</v>
      </c>
      <c r="B1559" s="672" t="s">
        <v>532</v>
      </c>
      <c r="D1559" s="672" t="s">
        <v>10355</v>
      </c>
      <c r="E1559" s="745" t="s">
        <v>535</v>
      </c>
      <c r="F1559" s="747">
        <v>734</v>
      </c>
      <c r="G1559" s="685">
        <v>1.8</v>
      </c>
      <c r="H1559" s="685">
        <v>1321.2</v>
      </c>
      <c r="I1559" s="686" t="s">
        <v>9009</v>
      </c>
      <c r="J1559" s="672" t="s">
        <v>9201</v>
      </c>
      <c r="K1559" s="672" t="s">
        <v>541</v>
      </c>
      <c r="L1559" s="672" t="s">
        <v>8996</v>
      </c>
    </row>
    <row r="1560" spans="1:12" x14ac:dyDescent="0.2">
      <c r="A1560" s="744" t="s">
        <v>220</v>
      </c>
      <c r="B1560" s="672" t="s">
        <v>532</v>
      </c>
      <c r="D1560" s="672" t="s">
        <v>10356</v>
      </c>
      <c r="E1560" s="745" t="s">
        <v>535</v>
      </c>
      <c r="F1560" s="747">
        <v>5829</v>
      </c>
      <c r="G1560" s="685">
        <v>2.1630388517600379</v>
      </c>
      <c r="H1560" s="685">
        <v>12608.353466909261</v>
      </c>
      <c r="I1560" s="686" t="s">
        <v>9009</v>
      </c>
      <c r="J1560" s="672" t="s">
        <v>10352</v>
      </c>
      <c r="K1560" s="672" t="s">
        <v>541</v>
      </c>
      <c r="L1560" s="672" t="s">
        <v>8994</v>
      </c>
    </row>
    <row r="1561" spans="1:12" x14ac:dyDescent="0.2">
      <c r="A1561" s="744" t="s">
        <v>220</v>
      </c>
      <c r="B1561" s="672" t="s">
        <v>802</v>
      </c>
      <c r="C1561" s="672" t="s">
        <v>7422</v>
      </c>
      <c r="D1561" s="672" t="s">
        <v>804</v>
      </c>
      <c r="E1561" s="745"/>
      <c r="F1561" s="747">
        <v>6057</v>
      </c>
      <c r="G1561" s="685">
        <v>8.4891737388108286</v>
      </c>
      <c r="H1561" s="685">
        <v>51418.92533597719</v>
      </c>
      <c r="I1561" s="686" t="s">
        <v>9009</v>
      </c>
      <c r="J1561" s="672" t="s">
        <v>10127</v>
      </c>
      <c r="K1561" s="672" t="s">
        <v>536</v>
      </c>
      <c r="L1561" s="672" t="s">
        <v>9010</v>
      </c>
    </row>
    <row r="1562" spans="1:12" x14ac:dyDescent="0.2">
      <c r="A1562" s="744" t="s">
        <v>220</v>
      </c>
      <c r="B1562" s="672" t="s">
        <v>802</v>
      </c>
      <c r="C1562" s="672" t="s">
        <v>7408</v>
      </c>
      <c r="D1562" s="672" t="s">
        <v>7751</v>
      </c>
      <c r="E1562" s="745"/>
      <c r="F1562" s="747">
        <v>4419</v>
      </c>
      <c r="G1562" s="685">
        <v>8.5078631866790175</v>
      </c>
      <c r="H1562" s="685">
        <v>37596.247421934575</v>
      </c>
      <c r="I1562" s="686" t="s">
        <v>9009</v>
      </c>
      <c r="J1562" s="672" t="s">
        <v>10127</v>
      </c>
      <c r="K1562" s="672" t="s">
        <v>536</v>
      </c>
      <c r="L1562" s="672" t="s">
        <v>9010</v>
      </c>
    </row>
    <row r="1563" spans="1:12" x14ac:dyDescent="0.2">
      <c r="A1563" s="744" t="s">
        <v>220</v>
      </c>
      <c r="B1563" s="672" t="s">
        <v>802</v>
      </c>
      <c r="C1563" s="672" t="s">
        <v>7412</v>
      </c>
      <c r="D1563" s="672" t="s">
        <v>805</v>
      </c>
      <c r="E1563" s="745"/>
      <c r="F1563" s="747">
        <v>4694</v>
      </c>
      <c r="G1563" s="685">
        <v>8.5202602565974619</v>
      </c>
      <c r="H1563" s="685">
        <v>39994.101644468486</v>
      </c>
      <c r="I1563" s="686" t="s">
        <v>9009</v>
      </c>
      <c r="J1563" s="672" t="s">
        <v>10127</v>
      </c>
      <c r="K1563" s="672" t="s">
        <v>536</v>
      </c>
      <c r="L1563" s="672" t="s">
        <v>9010</v>
      </c>
    </row>
    <row r="1564" spans="1:12" x14ac:dyDescent="0.2">
      <c r="A1564" s="744" t="s">
        <v>220</v>
      </c>
      <c r="B1564" s="672" t="s">
        <v>802</v>
      </c>
      <c r="C1564" s="672" t="s">
        <v>9041</v>
      </c>
      <c r="D1564" s="672" t="s">
        <v>806</v>
      </c>
      <c r="E1564" s="745"/>
      <c r="F1564" s="747">
        <v>4858</v>
      </c>
      <c r="G1564" s="685">
        <v>8.5751785773954676</v>
      </c>
      <c r="H1564" s="685">
        <v>41658.217528987181</v>
      </c>
      <c r="I1564" s="686" t="s">
        <v>9009</v>
      </c>
      <c r="J1564" s="672" t="s">
        <v>10127</v>
      </c>
      <c r="K1564" s="672" t="s">
        <v>536</v>
      </c>
      <c r="L1564" s="672" t="s">
        <v>9010</v>
      </c>
    </row>
    <row r="1565" spans="1:12" x14ac:dyDescent="0.2">
      <c r="A1565" s="744" t="s">
        <v>220</v>
      </c>
      <c r="B1565" s="672" t="s">
        <v>802</v>
      </c>
      <c r="C1565" s="672" t="s">
        <v>7423</v>
      </c>
      <c r="D1565" s="672" t="s">
        <v>808</v>
      </c>
      <c r="E1565" s="745"/>
      <c r="F1565" s="747">
        <v>1932</v>
      </c>
      <c r="G1565" s="685">
        <v>8.5588360106864041</v>
      </c>
      <c r="H1565" s="685">
        <v>16535.671172646133</v>
      </c>
      <c r="I1565" s="686" t="s">
        <v>9009</v>
      </c>
      <c r="J1565" s="672" t="s">
        <v>10127</v>
      </c>
      <c r="K1565" s="672" t="s">
        <v>536</v>
      </c>
      <c r="L1565" s="672" t="s">
        <v>9010</v>
      </c>
    </row>
    <row r="1566" spans="1:12" x14ac:dyDescent="0.2">
      <c r="A1566" s="744" t="s">
        <v>220</v>
      </c>
      <c r="B1566" s="672" t="s">
        <v>802</v>
      </c>
      <c r="C1566" s="672" t="s">
        <v>7413</v>
      </c>
      <c r="D1566" s="672" t="s">
        <v>812</v>
      </c>
      <c r="E1566" s="745"/>
      <c r="F1566" s="747">
        <v>2994</v>
      </c>
      <c r="G1566" s="685">
        <v>8.4603988036719979</v>
      </c>
      <c r="H1566" s="685">
        <v>25330.434018193962</v>
      </c>
      <c r="I1566" s="686" t="s">
        <v>9009</v>
      </c>
      <c r="J1566" s="672" t="s">
        <v>10127</v>
      </c>
      <c r="K1566" s="672" t="s">
        <v>536</v>
      </c>
      <c r="L1566" s="672" t="s">
        <v>9010</v>
      </c>
    </row>
    <row r="1567" spans="1:12" x14ac:dyDescent="0.2">
      <c r="A1567" s="744" t="s">
        <v>220</v>
      </c>
      <c r="B1567" s="672" t="s">
        <v>802</v>
      </c>
      <c r="C1567" s="672" t="s">
        <v>7414</v>
      </c>
      <c r="D1567" s="672" t="s">
        <v>810</v>
      </c>
      <c r="E1567" s="745"/>
      <c r="F1567" s="747">
        <v>1793</v>
      </c>
      <c r="G1567" s="685">
        <v>8.5282559778886196</v>
      </c>
      <c r="H1567" s="685">
        <v>15291.162968354294</v>
      </c>
      <c r="I1567" s="686" t="s">
        <v>9009</v>
      </c>
      <c r="J1567" s="672" t="s">
        <v>10127</v>
      </c>
      <c r="K1567" s="672" t="s">
        <v>536</v>
      </c>
      <c r="L1567" s="672" t="s">
        <v>9010</v>
      </c>
    </row>
    <row r="1568" spans="1:12" x14ac:dyDescent="0.2">
      <c r="A1568" s="744" t="s">
        <v>220</v>
      </c>
      <c r="B1568" s="672" t="s">
        <v>802</v>
      </c>
      <c r="C1568" s="672" t="s">
        <v>7411</v>
      </c>
      <c r="D1568" s="672" t="s">
        <v>10357</v>
      </c>
      <c r="E1568" s="745"/>
      <c r="F1568" s="747">
        <v>84</v>
      </c>
      <c r="G1568" s="685">
        <v>8.4504370781521576</v>
      </c>
      <c r="H1568" s="685">
        <v>709.83671456478123</v>
      </c>
      <c r="I1568" s="686" t="s">
        <v>9009</v>
      </c>
      <c r="J1568" s="672" t="s">
        <v>10127</v>
      </c>
      <c r="K1568" s="672" t="s">
        <v>536</v>
      </c>
      <c r="L1568" s="672" t="s">
        <v>9010</v>
      </c>
    </row>
    <row r="1569" spans="1:12" x14ac:dyDescent="0.2">
      <c r="A1569" s="695" t="s">
        <v>747</v>
      </c>
      <c r="B1569" s="681" t="s">
        <v>748</v>
      </c>
      <c r="C1569" s="681" t="s">
        <v>782</v>
      </c>
      <c r="D1569" s="681" t="s">
        <v>10358</v>
      </c>
      <c r="E1569" s="683"/>
      <c r="F1569" s="749">
        <v>116576</v>
      </c>
      <c r="G1569" s="704">
        <v>2.1630388517600379</v>
      </c>
      <c r="H1569" s="685">
        <v>252158.41718277818</v>
      </c>
      <c r="I1569" s="698" t="s">
        <v>8992</v>
      </c>
      <c r="J1569" s="672" t="s">
        <v>8994</v>
      </c>
      <c r="K1569" s="672" t="s">
        <v>541</v>
      </c>
      <c r="L1569" s="672" t="s">
        <v>8994</v>
      </c>
    </row>
    <row r="1570" spans="1:12" x14ac:dyDescent="0.2">
      <c r="A1570" s="695" t="s">
        <v>747</v>
      </c>
      <c r="B1570" s="681" t="s">
        <v>748</v>
      </c>
      <c r="C1570" s="681" t="s">
        <v>751</v>
      </c>
      <c r="D1570" s="681" t="s">
        <v>7689</v>
      </c>
      <c r="E1570" s="683"/>
      <c r="F1570" s="749">
        <v>612</v>
      </c>
      <c r="G1570" s="685">
        <v>33.272198032285303</v>
      </c>
      <c r="H1570" s="685">
        <v>20362.585195758606</v>
      </c>
      <c r="I1570" s="698" t="s">
        <v>8992</v>
      </c>
      <c r="J1570" s="672" t="s">
        <v>8996</v>
      </c>
      <c r="K1570" s="672" t="s">
        <v>541</v>
      </c>
      <c r="L1570" s="672" t="s">
        <v>8996</v>
      </c>
    </row>
    <row r="1571" spans="1:12" x14ac:dyDescent="0.2">
      <c r="A1571" s="695" t="s">
        <v>747</v>
      </c>
      <c r="B1571" s="681" t="s">
        <v>748</v>
      </c>
      <c r="C1571" s="681" t="s">
        <v>751</v>
      </c>
      <c r="D1571" s="681" t="s">
        <v>7690</v>
      </c>
      <c r="E1571" s="683"/>
      <c r="F1571" s="749">
        <v>1138</v>
      </c>
      <c r="G1571" s="685">
        <v>33.272198032285303</v>
      </c>
      <c r="H1571" s="685">
        <v>37863.761360740675</v>
      </c>
      <c r="I1571" s="698" t="s">
        <v>8992</v>
      </c>
      <c r="J1571" s="672" t="s">
        <v>8996</v>
      </c>
      <c r="K1571" s="672" t="s">
        <v>541</v>
      </c>
      <c r="L1571" s="672" t="s">
        <v>8996</v>
      </c>
    </row>
    <row r="1572" spans="1:12" x14ac:dyDescent="0.2">
      <c r="A1572" s="695" t="s">
        <v>747</v>
      </c>
      <c r="B1572" s="681" t="s">
        <v>748</v>
      </c>
      <c r="C1572" s="681" t="s">
        <v>753</v>
      </c>
      <c r="D1572" s="681" t="s">
        <v>754</v>
      </c>
      <c r="E1572" s="683"/>
      <c r="F1572" s="749">
        <v>2350</v>
      </c>
      <c r="G1572" s="685">
        <v>1.4955574987911482</v>
      </c>
      <c r="H1572" s="685">
        <v>3514.5601221591983</v>
      </c>
      <c r="I1572" s="698" t="s">
        <v>8992</v>
      </c>
      <c r="J1572" s="672" t="s">
        <v>8996</v>
      </c>
      <c r="K1572" s="672" t="s">
        <v>541</v>
      </c>
      <c r="L1572" s="672" t="s">
        <v>8996</v>
      </c>
    </row>
    <row r="1573" spans="1:12" x14ac:dyDescent="0.2">
      <c r="A1573" s="695" t="s">
        <v>747</v>
      </c>
      <c r="B1573" s="681" t="s">
        <v>748</v>
      </c>
      <c r="C1573" s="681" t="s">
        <v>755</v>
      </c>
      <c r="D1573" s="681" t="s">
        <v>7691</v>
      </c>
      <c r="E1573" s="683"/>
      <c r="F1573" s="749">
        <v>16725</v>
      </c>
      <c r="G1573" s="685">
        <v>4.6102952500472769</v>
      </c>
      <c r="H1573" s="685">
        <v>77107.188057040708</v>
      </c>
      <c r="I1573" s="698" t="s">
        <v>8992</v>
      </c>
      <c r="J1573" s="672" t="s">
        <v>8996</v>
      </c>
      <c r="K1573" s="672" t="s">
        <v>541</v>
      </c>
      <c r="L1573" s="672" t="s">
        <v>8996</v>
      </c>
    </row>
    <row r="1574" spans="1:12" x14ac:dyDescent="0.2">
      <c r="A1574" s="695" t="s">
        <v>747</v>
      </c>
      <c r="B1574" s="681" t="s">
        <v>748</v>
      </c>
      <c r="C1574" s="681" t="s">
        <v>757</v>
      </c>
      <c r="D1574" s="681" t="s">
        <v>758</v>
      </c>
      <c r="E1574" s="683"/>
      <c r="F1574" s="749">
        <v>497</v>
      </c>
      <c r="G1574" s="685">
        <v>18.050055207176154</v>
      </c>
      <c r="H1574" s="685">
        <v>8970.8774379665483</v>
      </c>
      <c r="I1574" s="698" t="s">
        <v>8992</v>
      </c>
      <c r="J1574" s="672" t="s">
        <v>8996</v>
      </c>
      <c r="K1574" s="672" t="s">
        <v>541</v>
      </c>
      <c r="L1574" s="672" t="s">
        <v>8996</v>
      </c>
    </row>
    <row r="1575" spans="1:12" x14ac:dyDescent="0.2">
      <c r="A1575" s="695" t="s">
        <v>747</v>
      </c>
      <c r="B1575" s="681" t="s">
        <v>748</v>
      </c>
      <c r="C1575" s="681" t="s">
        <v>759</v>
      </c>
      <c r="D1575" s="681" t="s">
        <v>760</v>
      </c>
      <c r="E1575" s="683"/>
      <c r="F1575" s="749">
        <v>50</v>
      </c>
      <c r="G1575" s="685">
        <v>214.09332923336098</v>
      </c>
      <c r="H1575" s="685">
        <v>10704.666461668048</v>
      </c>
      <c r="I1575" s="698" t="s">
        <v>8992</v>
      </c>
      <c r="J1575" s="672" t="s">
        <v>8996</v>
      </c>
      <c r="K1575" s="672" t="s">
        <v>541</v>
      </c>
      <c r="L1575" s="672" t="s">
        <v>8996</v>
      </c>
    </row>
    <row r="1576" spans="1:12" x14ac:dyDescent="0.2">
      <c r="A1576" s="695" t="s">
        <v>747</v>
      </c>
      <c r="B1576" s="681" t="s">
        <v>748</v>
      </c>
      <c r="C1576" s="681" t="s">
        <v>8997</v>
      </c>
      <c r="D1576" s="681" t="s">
        <v>8998</v>
      </c>
      <c r="E1576" s="683"/>
      <c r="F1576" s="749">
        <v>76</v>
      </c>
      <c r="G1576" s="685">
        <v>5.8275862068965516</v>
      </c>
      <c r="H1576" s="685">
        <v>442.89655172413791</v>
      </c>
      <c r="I1576" s="698" t="s">
        <v>8992</v>
      </c>
      <c r="J1576" s="672" t="s">
        <v>8996</v>
      </c>
      <c r="K1576" s="672" t="s">
        <v>541</v>
      </c>
      <c r="L1576" s="672" t="s">
        <v>8996</v>
      </c>
    </row>
    <row r="1577" spans="1:12" x14ac:dyDescent="0.2">
      <c r="A1577" s="695" t="s">
        <v>747</v>
      </c>
      <c r="B1577" s="681" t="s">
        <v>748</v>
      </c>
      <c r="C1577" s="681" t="s">
        <v>763</v>
      </c>
      <c r="D1577" s="681" t="s">
        <v>764</v>
      </c>
      <c r="E1577" s="683"/>
      <c r="F1577" s="749">
        <v>2191</v>
      </c>
      <c r="G1577" s="685">
        <v>102.55926516350998</v>
      </c>
      <c r="H1577" s="685">
        <v>224707.34997325036</v>
      </c>
      <c r="I1577" s="698" t="s">
        <v>8992</v>
      </c>
      <c r="J1577" s="672" t="s">
        <v>8996</v>
      </c>
      <c r="K1577" s="672" t="s">
        <v>541</v>
      </c>
      <c r="L1577" s="672" t="s">
        <v>8996</v>
      </c>
    </row>
    <row r="1578" spans="1:12" x14ac:dyDescent="0.2">
      <c r="A1578" s="695" t="s">
        <v>747</v>
      </c>
      <c r="B1578" s="681" t="s">
        <v>748</v>
      </c>
      <c r="C1578" s="681" t="s">
        <v>705</v>
      </c>
      <c r="D1578" s="681" t="s">
        <v>7692</v>
      </c>
      <c r="E1578" s="683"/>
      <c r="F1578" s="749">
        <v>650</v>
      </c>
      <c r="G1578" s="685">
        <v>3.1348770077786092</v>
      </c>
      <c r="H1578" s="685">
        <v>2037.6700550560961</v>
      </c>
      <c r="I1578" s="698" t="s">
        <v>8992</v>
      </c>
      <c r="J1578" s="672" t="s">
        <v>8996</v>
      </c>
      <c r="K1578" s="672" t="s">
        <v>541</v>
      </c>
      <c r="L1578" s="672" t="s">
        <v>8996</v>
      </c>
    </row>
    <row r="1579" spans="1:12" x14ac:dyDescent="0.2">
      <c r="A1579" s="695" t="s">
        <v>747</v>
      </c>
      <c r="B1579" s="681" t="s">
        <v>748</v>
      </c>
      <c r="C1579" s="681" t="s">
        <v>767</v>
      </c>
      <c r="D1579" s="681" t="s">
        <v>768</v>
      </c>
      <c r="E1579" s="683"/>
      <c r="F1579" s="749">
        <v>59067</v>
      </c>
      <c r="G1579" s="685">
        <v>1.3063477063447397</v>
      </c>
      <c r="H1579" s="685">
        <v>77162.039970664744</v>
      </c>
      <c r="I1579" s="698" t="s">
        <v>8992</v>
      </c>
      <c r="J1579" s="672" t="s">
        <v>8996</v>
      </c>
      <c r="K1579" s="672" t="s">
        <v>541</v>
      </c>
      <c r="L1579" s="672" t="s">
        <v>8996</v>
      </c>
    </row>
    <row r="1580" spans="1:12" x14ac:dyDescent="0.2">
      <c r="A1580" s="695" t="s">
        <v>747</v>
      </c>
      <c r="B1580" s="681" t="s">
        <v>748</v>
      </c>
      <c r="C1580" s="681" t="s">
        <v>765</v>
      </c>
      <c r="D1580" s="681" t="s">
        <v>766</v>
      </c>
      <c r="E1580" s="683"/>
      <c r="F1580" s="749">
        <v>98882</v>
      </c>
      <c r="G1580" s="685">
        <v>0.1243315607746641</v>
      </c>
      <c r="H1580" s="685">
        <v>12294.153392520337</v>
      </c>
      <c r="I1580" s="698" t="s">
        <v>8992</v>
      </c>
      <c r="J1580" s="672" t="s">
        <v>8996</v>
      </c>
      <c r="K1580" s="672" t="s">
        <v>541</v>
      </c>
      <c r="L1580" s="672" t="s">
        <v>8996</v>
      </c>
    </row>
    <row r="1581" spans="1:12" x14ac:dyDescent="0.2">
      <c r="A1581" s="695" t="s">
        <v>747</v>
      </c>
      <c r="B1581" s="681" t="s">
        <v>748</v>
      </c>
      <c r="C1581" s="681" t="s">
        <v>775</v>
      </c>
      <c r="D1581" s="681" t="s">
        <v>7693</v>
      </c>
      <c r="E1581" s="683"/>
      <c r="F1581" s="750">
        <v>9300</v>
      </c>
      <c r="G1581" s="685">
        <v>2.7142732054286474</v>
      </c>
      <c r="H1581" s="685">
        <v>25242.740810486419</v>
      </c>
      <c r="I1581" s="698" t="s">
        <v>8992</v>
      </c>
      <c r="J1581" s="672" t="s">
        <v>8996</v>
      </c>
      <c r="K1581" s="672" t="s">
        <v>541</v>
      </c>
      <c r="L1581" s="672" t="s">
        <v>8996</v>
      </c>
    </row>
    <row r="1582" spans="1:12" x14ac:dyDescent="0.2">
      <c r="A1582" s="695" t="s">
        <v>220</v>
      </c>
      <c r="B1582" s="681" t="s">
        <v>748</v>
      </c>
      <c r="C1582" s="681" t="s">
        <v>675</v>
      </c>
      <c r="D1582" s="681" t="s">
        <v>10359</v>
      </c>
      <c r="E1582" s="688"/>
      <c r="F1582" s="716">
        <v>54082</v>
      </c>
      <c r="G1582" s="685">
        <v>7.9690198258180445</v>
      </c>
      <c r="H1582" s="685">
        <v>430980.53021989146</v>
      </c>
      <c r="I1582" s="686" t="s">
        <v>9009</v>
      </c>
      <c r="J1582" s="672" t="s">
        <v>9011</v>
      </c>
      <c r="K1582" s="672" t="s">
        <v>541</v>
      </c>
      <c r="L1582" s="672" t="s">
        <v>8994</v>
      </c>
    </row>
    <row r="1583" spans="1:12" x14ac:dyDescent="0.2">
      <c r="A1583" s="695" t="s">
        <v>220</v>
      </c>
      <c r="B1583" s="681" t="s">
        <v>748</v>
      </c>
      <c r="C1583" s="681" t="s">
        <v>677</v>
      </c>
      <c r="D1583" s="681" t="s">
        <v>7438</v>
      </c>
      <c r="E1583" s="688"/>
      <c r="F1583" s="716">
        <v>30364</v>
      </c>
      <c r="G1583" s="685">
        <v>7.7380033231352208</v>
      </c>
      <c r="H1583" s="685">
        <v>234956.73290367785</v>
      </c>
      <c r="I1583" s="686" t="s">
        <v>9009</v>
      </c>
      <c r="J1583" s="672" t="s">
        <v>9011</v>
      </c>
      <c r="K1583" s="672" t="s">
        <v>541</v>
      </c>
      <c r="L1583" s="672" t="s">
        <v>8994</v>
      </c>
    </row>
    <row r="1584" spans="1:12" x14ac:dyDescent="0.2">
      <c r="A1584" s="695" t="s">
        <v>747</v>
      </c>
      <c r="B1584" s="681" t="s">
        <v>748</v>
      </c>
      <c r="C1584" s="681" t="s">
        <v>675</v>
      </c>
      <c r="D1584" s="681" t="s">
        <v>777</v>
      </c>
      <c r="E1584" s="683"/>
      <c r="F1584" s="751">
        <v>4463</v>
      </c>
      <c r="G1584" s="704">
        <v>7.5099805391547489</v>
      </c>
      <c r="H1584" s="685">
        <v>33517.043146247648</v>
      </c>
      <c r="I1584" s="698" t="s">
        <v>8992</v>
      </c>
      <c r="J1584" s="672" t="s">
        <v>8994</v>
      </c>
      <c r="K1584" s="672" t="s">
        <v>541</v>
      </c>
      <c r="L1584" s="672" t="s">
        <v>8994</v>
      </c>
    </row>
    <row r="1585" spans="1:12" x14ac:dyDescent="0.2">
      <c r="A1585" s="695" t="s">
        <v>220</v>
      </c>
      <c r="B1585" s="681" t="s">
        <v>748</v>
      </c>
      <c r="C1585" s="681" t="s">
        <v>7415</v>
      </c>
      <c r="D1585" s="681" t="s">
        <v>10360</v>
      </c>
      <c r="E1585" s="688"/>
      <c r="F1585" s="716">
        <v>12802</v>
      </c>
      <c r="G1585" s="685">
        <v>6.9852878972590444</v>
      </c>
      <c r="H1585" s="685">
        <v>89425.655660710283</v>
      </c>
      <c r="I1585" s="686" t="s">
        <v>9009</v>
      </c>
      <c r="J1585" s="672" t="s">
        <v>9011</v>
      </c>
      <c r="K1585" s="672" t="s">
        <v>541</v>
      </c>
      <c r="L1585" s="672" t="s">
        <v>8994</v>
      </c>
    </row>
    <row r="1586" spans="1:12" x14ac:dyDescent="0.2">
      <c r="A1586" s="695" t="s">
        <v>747</v>
      </c>
      <c r="B1586" s="681" t="s">
        <v>748</v>
      </c>
      <c r="C1586" s="681" t="s">
        <v>10361</v>
      </c>
      <c r="D1586" s="681" t="s">
        <v>7698</v>
      </c>
      <c r="E1586" s="683"/>
      <c r="F1586" s="752">
        <v>3152</v>
      </c>
      <c r="G1586" s="704">
        <v>6.9571865033887228</v>
      </c>
      <c r="H1586" s="685">
        <v>21929.051858681254</v>
      </c>
      <c r="I1586" s="698" t="s">
        <v>8992</v>
      </c>
      <c r="J1586" s="672" t="s">
        <v>8994</v>
      </c>
      <c r="K1586" s="672" t="s">
        <v>541</v>
      </c>
      <c r="L1586" s="672" t="s">
        <v>8994</v>
      </c>
    </row>
    <row r="1587" spans="1:12" x14ac:dyDescent="0.2">
      <c r="A1587" s="695" t="s">
        <v>747</v>
      </c>
      <c r="B1587" s="681" t="s">
        <v>748</v>
      </c>
      <c r="C1587" s="681" t="s">
        <v>10362</v>
      </c>
      <c r="D1587" s="681" t="s">
        <v>9659</v>
      </c>
      <c r="E1587" s="683"/>
      <c r="F1587" s="749">
        <v>978</v>
      </c>
      <c r="G1587" s="685">
        <v>61.687668950191068</v>
      </c>
      <c r="H1587" s="685">
        <v>60330.540233286862</v>
      </c>
      <c r="I1587" s="698" t="s">
        <v>8992</v>
      </c>
      <c r="J1587" s="672" t="s">
        <v>9001</v>
      </c>
      <c r="K1587" s="672" t="s">
        <v>541</v>
      </c>
      <c r="L1587" s="672" t="s">
        <v>9001</v>
      </c>
    </row>
    <row r="1588" spans="1:12" x14ac:dyDescent="0.2">
      <c r="A1588" s="695" t="s">
        <v>747</v>
      </c>
      <c r="B1588" s="681" t="s">
        <v>748</v>
      </c>
      <c r="C1588" s="681" t="s">
        <v>7699</v>
      </c>
      <c r="D1588" s="681" t="s">
        <v>7700</v>
      </c>
      <c r="E1588" s="683"/>
      <c r="F1588" s="749">
        <v>1299</v>
      </c>
      <c r="G1588" s="685">
        <v>117.02679804245538</v>
      </c>
      <c r="H1588" s="685">
        <v>152017.81065714953</v>
      </c>
      <c r="I1588" s="698" t="s">
        <v>8992</v>
      </c>
      <c r="J1588" s="672" t="s">
        <v>9001</v>
      </c>
      <c r="K1588" s="672" t="s">
        <v>541</v>
      </c>
      <c r="L1588" s="672" t="s">
        <v>9001</v>
      </c>
    </row>
    <row r="1589" spans="1:12" x14ac:dyDescent="0.2">
      <c r="A1589" s="695" t="s">
        <v>747</v>
      </c>
      <c r="B1589" s="681" t="s">
        <v>748</v>
      </c>
      <c r="C1589" s="681" t="s">
        <v>771</v>
      </c>
      <c r="D1589" s="681" t="s">
        <v>7702</v>
      </c>
      <c r="E1589" s="683"/>
      <c r="F1589" s="749">
        <v>2316</v>
      </c>
      <c r="G1589" s="685">
        <v>42.639605245741372</v>
      </c>
      <c r="H1589" s="685">
        <v>98753.325749137017</v>
      </c>
      <c r="I1589" s="698" t="s">
        <v>8992</v>
      </c>
      <c r="J1589" s="672" t="s">
        <v>9001</v>
      </c>
      <c r="K1589" s="672" t="s">
        <v>541</v>
      </c>
      <c r="L1589" s="672" t="s">
        <v>9001</v>
      </c>
    </row>
    <row r="1590" spans="1:12" x14ac:dyDescent="0.2">
      <c r="A1590" s="695" t="s">
        <v>747</v>
      </c>
      <c r="B1590" s="681" t="s">
        <v>748</v>
      </c>
      <c r="C1590" s="681" t="s">
        <v>797</v>
      </c>
      <c r="D1590" s="681" t="s">
        <v>7703</v>
      </c>
      <c r="E1590" s="683"/>
      <c r="F1590" s="749">
        <v>12</v>
      </c>
      <c r="G1590" s="685">
        <v>50</v>
      </c>
      <c r="H1590" s="685">
        <v>600</v>
      </c>
      <c r="I1590" s="698" t="s">
        <v>8992</v>
      </c>
      <c r="J1590" s="672" t="s">
        <v>9001</v>
      </c>
      <c r="K1590" s="672" t="s">
        <v>541</v>
      </c>
      <c r="L1590" s="672" t="s">
        <v>9001</v>
      </c>
    </row>
    <row r="1591" spans="1:12" x14ac:dyDescent="0.2">
      <c r="A1591" s="695" t="s">
        <v>747</v>
      </c>
      <c r="B1591" s="681" t="s">
        <v>748</v>
      </c>
      <c r="C1591" s="681" t="s">
        <v>10363</v>
      </c>
      <c r="D1591" s="681" t="s">
        <v>10364</v>
      </c>
      <c r="E1591" s="683"/>
      <c r="F1591" s="749">
        <v>1305</v>
      </c>
      <c r="G1591" s="685">
        <v>67.95451996295192</v>
      </c>
      <c r="H1591" s="685">
        <v>88680.648551652252</v>
      </c>
      <c r="I1591" s="698" t="s">
        <v>8992</v>
      </c>
      <c r="J1591" s="672" t="s">
        <v>9001</v>
      </c>
      <c r="K1591" s="672" t="s">
        <v>541</v>
      </c>
      <c r="L1591" s="672" t="s">
        <v>9001</v>
      </c>
    </row>
    <row r="1592" spans="1:12" x14ac:dyDescent="0.2">
      <c r="A1592" s="695" t="s">
        <v>747</v>
      </c>
      <c r="B1592" s="681" t="s">
        <v>748</v>
      </c>
      <c r="C1592" s="681" t="s">
        <v>773</v>
      </c>
      <c r="D1592" s="681" t="s">
        <v>7705</v>
      </c>
      <c r="E1592" s="683"/>
      <c r="F1592" s="749">
        <v>1399</v>
      </c>
      <c r="G1592" s="685">
        <v>71.784795321637432</v>
      </c>
      <c r="H1592" s="685">
        <v>100426.92865497076</v>
      </c>
      <c r="I1592" s="698" t="s">
        <v>8992</v>
      </c>
      <c r="J1592" s="672" t="s">
        <v>9001</v>
      </c>
      <c r="K1592" s="672" t="s">
        <v>541</v>
      </c>
      <c r="L1592" s="672" t="s">
        <v>9001</v>
      </c>
    </row>
    <row r="1593" spans="1:12" x14ac:dyDescent="0.2">
      <c r="A1593" s="672" t="s">
        <v>220</v>
      </c>
      <c r="B1593" s="672" t="s">
        <v>2152</v>
      </c>
      <c r="C1593" s="672" t="s">
        <v>827</v>
      </c>
      <c r="D1593" s="672" t="s">
        <v>828</v>
      </c>
      <c r="E1593" s="745" t="s">
        <v>545</v>
      </c>
      <c r="F1593" s="747">
        <v>283</v>
      </c>
      <c r="G1593" s="685">
        <v>7.9457692462815732</v>
      </c>
      <c r="H1593" s="685">
        <v>2248.6526966976853</v>
      </c>
      <c r="I1593" s="686" t="s">
        <v>9009</v>
      </c>
      <c r="J1593" s="672" t="s">
        <v>9011</v>
      </c>
      <c r="K1593" s="672" t="s">
        <v>541</v>
      </c>
      <c r="L1593" s="672" t="s">
        <v>9068</v>
      </c>
    </row>
    <row r="1594" spans="1:12" x14ac:dyDescent="0.2">
      <c r="A1594" s="672" t="s">
        <v>220</v>
      </c>
      <c r="B1594" s="672" t="s">
        <v>2152</v>
      </c>
      <c r="C1594" s="672" t="s">
        <v>849</v>
      </c>
      <c r="D1594" s="672" t="s">
        <v>850</v>
      </c>
      <c r="E1594" s="745" t="s">
        <v>545</v>
      </c>
      <c r="F1594" s="747">
        <v>144</v>
      </c>
      <c r="G1594" s="685">
        <v>4.3059139447251029</v>
      </c>
      <c r="H1594" s="685">
        <v>620.05160804041486</v>
      </c>
      <c r="I1594" s="686" t="s">
        <v>9009</v>
      </c>
      <c r="J1594" s="672" t="s">
        <v>9011</v>
      </c>
      <c r="K1594" s="672" t="s">
        <v>541</v>
      </c>
      <c r="L1594" s="672" t="s">
        <v>9068</v>
      </c>
    </row>
    <row r="1595" spans="1:12" x14ac:dyDescent="0.2">
      <c r="A1595" s="672" t="s">
        <v>220</v>
      </c>
      <c r="B1595" s="672" t="s">
        <v>2152</v>
      </c>
      <c r="C1595" s="672" t="s">
        <v>851</v>
      </c>
      <c r="D1595" s="672" t="s">
        <v>852</v>
      </c>
      <c r="E1595" s="745" t="s">
        <v>545</v>
      </c>
      <c r="F1595" s="747">
        <v>216</v>
      </c>
      <c r="G1595" s="685">
        <v>5.4451132845537913</v>
      </c>
      <c r="H1595" s="685">
        <v>1176.1444694636189</v>
      </c>
      <c r="I1595" s="686" t="s">
        <v>9009</v>
      </c>
      <c r="J1595" s="672" t="s">
        <v>9011</v>
      </c>
      <c r="K1595" s="672" t="s">
        <v>541</v>
      </c>
      <c r="L1595" s="672" t="s">
        <v>9068</v>
      </c>
    </row>
    <row r="1596" spans="1:12" x14ac:dyDescent="0.2">
      <c r="A1596" s="672" t="s">
        <v>220</v>
      </c>
      <c r="B1596" s="672" t="s">
        <v>2152</v>
      </c>
      <c r="C1596" s="672" t="s">
        <v>853</v>
      </c>
      <c r="D1596" s="672" t="s">
        <v>854</v>
      </c>
      <c r="E1596" s="745" t="s">
        <v>545</v>
      </c>
      <c r="F1596" s="747">
        <v>350</v>
      </c>
      <c r="G1596" s="685">
        <v>5.4038853923776964</v>
      </c>
      <c r="H1596" s="685">
        <v>1891.3598873321937</v>
      </c>
      <c r="I1596" s="686" t="s">
        <v>9009</v>
      </c>
      <c r="J1596" s="672" t="s">
        <v>9011</v>
      </c>
      <c r="K1596" s="672" t="s">
        <v>541</v>
      </c>
      <c r="L1596" s="672" t="s">
        <v>9068</v>
      </c>
    </row>
    <row r="1597" spans="1:12" x14ac:dyDescent="0.2">
      <c r="A1597" s="672" t="s">
        <v>220</v>
      </c>
      <c r="B1597" s="672" t="s">
        <v>2152</v>
      </c>
      <c r="C1597" s="672" t="s">
        <v>876</v>
      </c>
      <c r="D1597" s="672" t="s">
        <v>877</v>
      </c>
      <c r="E1597" s="745" t="s">
        <v>545</v>
      </c>
      <c r="F1597" s="747">
        <v>153</v>
      </c>
      <c r="G1597" s="685">
        <v>7.710256132827201</v>
      </c>
      <c r="H1597" s="685">
        <v>1179.6691883225617</v>
      </c>
      <c r="I1597" s="686" t="s">
        <v>9009</v>
      </c>
      <c r="J1597" s="672" t="s">
        <v>9011</v>
      </c>
      <c r="K1597" s="672" t="s">
        <v>541</v>
      </c>
      <c r="L1597" s="672" t="s">
        <v>9068</v>
      </c>
    </row>
    <row r="1598" spans="1:12" x14ac:dyDescent="0.2">
      <c r="A1598" s="672" t="s">
        <v>220</v>
      </c>
      <c r="B1598" s="672" t="s">
        <v>2152</v>
      </c>
      <c r="C1598" s="672" t="s">
        <v>882</v>
      </c>
      <c r="D1598" s="672" t="s">
        <v>883</v>
      </c>
      <c r="E1598" s="745" t="s">
        <v>545</v>
      </c>
      <c r="F1598" s="747">
        <v>172</v>
      </c>
      <c r="G1598" s="685">
        <v>11.185792601150798</v>
      </c>
      <c r="H1598" s="685">
        <v>1923.9563273979372</v>
      </c>
      <c r="I1598" s="686" t="s">
        <v>9009</v>
      </c>
      <c r="J1598" s="672" t="s">
        <v>9011</v>
      </c>
      <c r="K1598" s="672" t="s">
        <v>541</v>
      </c>
      <c r="L1598" s="672" t="s">
        <v>9068</v>
      </c>
    </row>
    <row r="1599" spans="1:12" x14ac:dyDescent="0.2">
      <c r="A1599" s="672" t="s">
        <v>220</v>
      </c>
      <c r="B1599" s="672" t="s">
        <v>2152</v>
      </c>
      <c r="C1599" s="672" t="s">
        <v>890</v>
      </c>
      <c r="D1599" s="672" t="s">
        <v>891</v>
      </c>
      <c r="E1599" s="745" t="s">
        <v>545</v>
      </c>
      <c r="F1599" s="747">
        <v>175</v>
      </c>
      <c r="G1599" s="685">
        <v>16.100236678529633</v>
      </c>
      <c r="H1599" s="685">
        <v>2817.5414187426859</v>
      </c>
      <c r="I1599" s="686" t="s">
        <v>9009</v>
      </c>
      <c r="J1599" s="672" t="s">
        <v>9011</v>
      </c>
      <c r="K1599" s="672" t="s">
        <v>541</v>
      </c>
      <c r="L1599" s="672" t="s">
        <v>9068</v>
      </c>
    </row>
    <row r="1600" spans="1:12" x14ac:dyDescent="0.2">
      <c r="A1600" s="744" t="s">
        <v>220</v>
      </c>
      <c r="B1600" s="672" t="s">
        <v>2152</v>
      </c>
      <c r="C1600" s="672" t="s">
        <v>902</v>
      </c>
      <c r="D1600" s="672" t="s">
        <v>903</v>
      </c>
      <c r="E1600" s="745" t="s">
        <v>545</v>
      </c>
      <c r="F1600" s="747">
        <v>131</v>
      </c>
      <c r="G1600" s="685">
        <v>7.7104070162602056</v>
      </c>
      <c r="H1600" s="685">
        <v>1010.0633191300869</v>
      </c>
      <c r="I1600" s="686" t="s">
        <v>9009</v>
      </c>
      <c r="J1600" s="672" t="s">
        <v>9011</v>
      </c>
      <c r="K1600" s="672" t="s">
        <v>541</v>
      </c>
      <c r="L1600" s="672" t="s">
        <v>9068</v>
      </c>
    </row>
    <row r="1601" spans="1:12" x14ac:dyDescent="0.2">
      <c r="A1601" s="672" t="s">
        <v>220</v>
      </c>
      <c r="B1601" s="672" t="s">
        <v>2152</v>
      </c>
      <c r="C1601" s="672" t="s">
        <v>813</v>
      </c>
      <c r="D1601" s="672" t="s">
        <v>904</v>
      </c>
      <c r="E1601" s="745" t="s">
        <v>545</v>
      </c>
      <c r="F1601" s="747">
        <v>111</v>
      </c>
      <c r="G1601" s="685">
        <v>7.916010672126454</v>
      </c>
      <c r="H1601" s="685">
        <v>878.67718460603635</v>
      </c>
      <c r="I1601" s="686" t="s">
        <v>9009</v>
      </c>
      <c r="J1601" s="672" t="s">
        <v>9011</v>
      </c>
      <c r="K1601" s="672" t="s">
        <v>541</v>
      </c>
      <c r="L1601" s="672" t="s">
        <v>9068</v>
      </c>
    </row>
    <row r="1602" spans="1:12" x14ac:dyDescent="0.2">
      <c r="A1602" s="672" t="s">
        <v>220</v>
      </c>
      <c r="B1602" s="672" t="s">
        <v>2152</v>
      </c>
      <c r="C1602" s="672" t="s">
        <v>2155</v>
      </c>
      <c r="D1602" s="672" t="s">
        <v>2156</v>
      </c>
      <c r="E1602" s="745" t="s">
        <v>545</v>
      </c>
      <c r="F1602" s="747">
        <v>736</v>
      </c>
      <c r="G1602" s="685">
        <v>7.5318441523671078</v>
      </c>
      <c r="H1602" s="685">
        <v>5543.4372961421914</v>
      </c>
      <c r="I1602" s="686" t="s">
        <v>9009</v>
      </c>
      <c r="J1602" s="672" t="s">
        <v>9011</v>
      </c>
      <c r="K1602" s="672" t="s">
        <v>541</v>
      </c>
      <c r="L1602" s="672" t="s">
        <v>9068</v>
      </c>
    </row>
    <row r="1603" spans="1:12" x14ac:dyDescent="0.2">
      <c r="A1603" s="672" t="s">
        <v>220</v>
      </c>
      <c r="B1603" s="672" t="s">
        <v>10365</v>
      </c>
      <c r="C1603" s="672" t="s">
        <v>909</v>
      </c>
      <c r="D1603" s="672" t="s">
        <v>910</v>
      </c>
      <c r="E1603" s="745" t="s">
        <v>545</v>
      </c>
      <c r="F1603" s="747">
        <v>360</v>
      </c>
      <c r="G1603" s="685">
        <v>5.2495178654712245</v>
      </c>
      <c r="H1603" s="685">
        <v>1889.8264315696408</v>
      </c>
      <c r="I1603" s="686" t="s">
        <v>9009</v>
      </c>
      <c r="J1603" s="672" t="s">
        <v>9011</v>
      </c>
      <c r="K1603" s="672" t="s">
        <v>541</v>
      </c>
      <c r="L1603" s="672" t="s">
        <v>9068</v>
      </c>
    </row>
    <row r="1604" spans="1:12" x14ac:dyDescent="0.2">
      <c r="A1604" s="672" t="s">
        <v>220</v>
      </c>
      <c r="B1604" s="672" t="s">
        <v>10365</v>
      </c>
      <c r="C1604" s="672" t="s">
        <v>911</v>
      </c>
      <c r="D1604" s="672" t="s">
        <v>912</v>
      </c>
      <c r="E1604" s="745" t="s">
        <v>545</v>
      </c>
      <c r="F1604" s="747">
        <v>770</v>
      </c>
      <c r="G1604" s="685">
        <v>5.247448709226318</v>
      </c>
      <c r="H1604" s="685">
        <v>4040.5355061042646</v>
      </c>
      <c r="I1604" s="686" t="s">
        <v>9009</v>
      </c>
      <c r="J1604" s="672" t="s">
        <v>9011</v>
      </c>
      <c r="K1604" s="672" t="s">
        <v>541</v>
      </c>
      <c r="L1604" s="672" t="s">
        <v>9068</v>
      </c>
    </row>
    <row r="1605" spans="1:12" x14ac:dyDescent="0.2">
      <c r="A1605" s="672" t="s">
        <v>220</v>
      </c>
      <c r="B1605" s="672" t="s">
        <v>2152</v>
      </c>
      <c r="C1605" s="672" t="s">
        <v>913</v>
      </c>
      <c r="D1605" s="672" t="s">
        <v>914</v>
      </c>
      <c r="E1605" s="745" t="s">
        <v>545</v>
      </c>
      <c r="F1605" s="747">
        <v>1320</v>
      </c>
      <c r="G1605" s="685">
        <v>5.6039854667224818</v>
      </c>
      <c r="H1605" s="685">
        <v>7397.2608160736763</v>
      </c>
      <c r="I1605" s="686" t="s">
        <v>9009</v>
      </c>
      <c r="J1605" s="672" t="s">
        <v>9011</v>
      </c>
      <c r="K1605" s="672" t="s">
        <v>541</v>
      </c>
      <c r="L1605" s="672" t="s">
        <v>9068</v>
      </c>
    </row>
    <row r="1606" spans="1:12" x14ac:dyDescent="0.2">
      <c r="A1606" s="672" t="s">
        <v>220</v>
      </c>
      <c r="B1606" s="672" t="s">
        <v>2152</v>
      </c>
      <c r="C1606" s="672" t="s">
        <v>937</v>
      </c>
      <c r="D1606" s="672" t="s">
        <v>938</v>
      </c>
      <c r="E1606" s="745" t="s">
        <v>545</v>
      </c>
      <c r="F1606" s="747">
        <v>1908</v>
      </c>
      <c r="G1606" s="685">
        <v>4.0335748970829028</v>
      </c>
      <c r="H1606" s="685">
        <v>7696.0609036341784</v>
      </c>
      <c r="I1606" s="686" t="s">
        <v>9009</v>
      </c>
      <c r="J1606" s="672" t="s">
        <v>9011</v>
      </c>
      <c r="K1606" s="672" t="s">
        <v>541</v>
      </c>
      <c r="L1606" s="672" t="s">
        <v>9068</v>
      </c>
    </row>
    <row r="1607" spans="1:12" x14ac:dyDescent="0.2">
      <c r="A1607" s="672" t="s">
        <v>220</v>
      </c>
      <c r="B1607" s="672" t="s">
        <v>2152</v>
      </c>
      <c r="C1607" s="672" t="s">
        <v>957</v>
      </c>
      <c r="D1607" s="672" t="s">
        <v>958</v>
      </c>
      <c r="E1607" s="745" t="s">
        <v>545</v>
      </c>
      <c r="F1607" s="747">
        <v>650</v>
      </c>
      <c r="G1607" s="685">
        <v>4.3222877881831794</v>
      </c>
      <c r="H1607" s="685">
        <v>2809.4870623190668</v>
      </c>
      <c r="I1607" s="686" t="s">
        <v>9009</v>
      </c>
      <c r="J1607" s="672" t="s">
        <v>9011</v>
      </c>
      <c r="K1607" s="672" t="s">
        <v>541</v>
      </c>
      <c r="L1607" s="672" t="s">
        <v>9068</v>
      </c>
    </row>
    <row r="1608" spans="1:12" x14ac:dyDescent="0.2">
      <c r="A1608" s="672" t="s">
        <v>220</v>
      </c>
      <c r="B1608" s="672" t="s">
        <v>2152</v>
      </c>
      <c r="C1608" s="672" t="s">
        <v>959</v>
      </c>
      <c r="D1608" s="672" t="s">
        <v>960</v>
      </c>
      <c r="E1608" s="745" t="s">
        <v>545</v>
      </c>
      <c r="F1608" s="747">
        <v>3941</v>
      </c>
      <c r="G1608" s="685">
        <v>4.8473673058411544</v>
      </c>
      <c r="H1608" s="685">
        <v>19103.474552319989</v>
      </c>
      <c r="I1608" s="686" t="s">
        <v>9009</v>
      </c>
      <c r="J1608" s="672" t="s">
        <v>9011</v>
      </c>
      <c r="K1608" s="672" t="s">
        <v>541</v>
      </c>
      <c r="L1608" s="672" t="s">
        <v>9068</v>
      </c>
    </row>
    <row r="1609" spans="1:12" x14ac:dyDescent="0.2">
      <c r="A1609" s="672" t="s">
        <v>220</v>
      </c>
      <c r="B1609" s="672" t="s">
        <v>2152</v>
      </c>
      <c r="C1609" s="672" t="s">
        <v>971</v>
      </c>
      <c r="D1609" s="672" t="s">
        <v>972</v>
      </c>
      <c r="E1609" s="745" t="s">
        <v>545</v>
      </c>
      <c r="F1609" s="747">
        <v>2199</v>
      </c>
      <c r="G1609" s="685">
        <v>4.9176947025606097</v>
      </c>
      <c r="H1609" s="685">
        <v>10814.010650930781</v>
      </c>
      <c r="I1609" s="686" t="s">
        <v>9009</v>
      </c>
      <c r="J1609" s="672" t="s">
        <v>9011</v>
      </c>
      <c r="K1609" s="672" t="s">
        <v>541</v>
      </c>
      <c r="L1609" s="672" t="s">
        <v>9068</v>
      </c>
    </row>
    <row r="1610" spans="1:12" x14ac:dyDescent="0.2">
      <c r="A1610" s="672" t="s">
        <v>220</v>
      </c>
      <c r="B1610" s="672" t="s">
        <v>2152</v>
      </c>
      <c r="C1610" s="672" t="s">
        <v>985</v>
      </c>
      <c r="D1610" s="672" t="s">
        <v>986</v>
      </c>
      <c r="E1610" s="745" t="s">
        <v>545</v>
      </c>
      <c r="F1610" s="747">
        <v>5746</v>
      </c>
      <c r="G1610" s="685">
        <v>6.0465629979594908</v>
      </c>
      <c r="H1610" s="685">
        <v>34743.550986275237</v>
      </c>
      <c r="I1610" s="686" t="s">
        <v>9009</v>
      </c>
      <c r="J1610" s="672" t="s">
        <v>9011</v>
      </c>
      <c r="K1610" s="672" t="s">
        <v>541</v>
      </c>
      <c r="L1610" s="672" t="s">
        <v>9068</v>
      </c>
    </row>
    <row r="1611" spans="1:12" x14ac:dyDescent="0.2">
      <c r="A1611" s="672" t="s">
        <v>220</v>
      </c>
      <c r="B1611" s="672" t="s">
        <v>2152</v>
      </c>
      <c r="C1611" s="672" t="s">
        <v>1007</v>
      </c>
      <c r="D1611" s="672" t="s">
        <v>1008</v>
      </c>
      <c r="E1611" s="745" t="s">
        <v>545</v>
      </c>
      <c r="F1611" s="747">
        <v>661</v>
      </c>
      <c r="G1611" s="685">
        <v>7.0411855665611025</v>
      </c>
      <c r="H1611" s="685">
        <v>4654.223659496889</v>
      </c>
      <c r="I1611" s="686" t="s">
        <v>9009</v>
      </c>
      <c r="J1611" s="672" t="s">
        <v>9011</v>
      </c>
      <c r="K1611" s="672" t="s">
        <v>541</v>
      </c>
      <c r="L1611" s="672" t="s">
        <v>9068</v>
      </c>
    </row>
    <row r="1612" spans="1:12" x14ac:dyDescent="0.2">
      <c r="A1612" s="672" t="s">
        <v>220</v>
      </c>
      <c r="B1612" s="672" t="s">
        <v>2152</v>
      </c>
      <c r="C1612" s="672" t="s">
        <v>1009</v>
      </c>
      <c r="D1612" s="672" t="s">
        <v>1010</v>
      </c>
      <c r="E1612" s="745" t="s">
        <v>545</v>
      </c>
      <c r="F1612" s="747">
        <v>210</v>
      </c>
      <c r="G1612" s="685">
        <v>7.1245275922579561</v>
      </c>
      <c r="H1612" s="685">
        <v>1496.1507943741708</v>
      </c>
      <c r="I1612" s="686" t="s">
        <v>9009</v>
      </c>
      <c r="J1612" s="672" t="s">
        <v>9011</v>
      </c>
      <c r="K1612" s="672" t="s">
        <v>541</v>
      </c>
      <c r="L1612" s="672" t="s">
        <v>9068</v>
      </c>
    </row>
    <row r="1613" spans="1:12" x14ac:dyDescent="0.2">
      <c r="A1613" s="672" t="s">
        <v>220</v>
      </c>
      <c r="B1613" s="672" t="s">
        <v>2152</v>
      </c>
      <c r="C1613" s="672" t="s">
        <v>2166</v>
      </c>
      <c r="D1613" s="672" t="s">
        <v>9731</v>
      </c>
      <c r="E1613" s="745" t="s">
        <v>545</v>
      </c>
      <c r="F1613" s="747">
        <v>1164</v>
      </c>
      <c r="G1613" s="685">
        <v>7.6764845528992485</v>
      </c>
      <c r="H1613" s="685">
        <v>8935.4280195747251</v>
      </c>
      <c r="I1613" s="686" t="s">
        <v>9009</v>
      </c>
      <c r="J1613" s="672" t="s">
        <v>9011</v>
      </c>
      <c r="K1613" s="672" t="s">
        <v>541</v>
      </c>
      <c r="L1613" s="672" t="s">
        <v>9068</v>
      </c>
    </row>
    <row r="1614" spans="1:12" x14ac:dyDescent="0.2">
      <c r="A1614" s="672" t="s">
        <v>220</v>
      </c>
      <c r="B1614" s="672" t="s">
        <v>2152</v>
      </c>
      <c r="C1614" s="672" t="s">
        <v>2168</v>
      </c>
      <c r="D1614" s="672" t="s">
        <v>9732</v>
      </c>
      <c r="E1614" s="745" t="s">
        <v>545</v>
      </c>
      <c r="F1614" s="747">
        <v>455</v>
      </c>
      <c r="G1614" s="685">
        <v>7.560044501699501</v>
      </c>
      <c r="H1614" s="685">
        <v>3439.8202482732731</v>
      </c>
      <c r="I1614" s="686" t="s">
        <v>9009</v>
      </c>
      <c r="J1614" s="672" t="s">
        <v>9011</v>
      </c>
      <c r="K1614" s="672" t="s">
        <v>541</v>
      </c>
      <c r="L1614" s="672" t="s">
        <v>9068</v>
      </c>
    </row>
    <row r="1615" spans="1:12" x14ac:dyDescent="0.2">
      <c r="A1615" s="672" t="s">
        <v>220</v>
      </c>
      <c r="B1615" s="672" t="s">
        <v>2152</v>
      </c>
      <c r="C1615" s="672" t="s">
        <v>1021</v>
      </c>
      <c r="D1615" s="672" t="s">
        <v>1022</v>
      </c>
      <c r="E1615" s="745" t="s">
        <v>545</v>
      </c>
      <c r="F1615" s="747">
        <v>139</v>
      </c>
      <c r="G1615" s="685">
        <v>4.3210521017805297</v>
      </c>
      <c r="H1615" s="685">
        <v>600.6262421474936</v>
      </c>
      <c r="I1615" s="686" t="s">
        <v>9009</v>
      </c>
      <c r="J1615" s="672" t="s">
        <v>9011</v>
      </c>
      <c r="K1615" s="672" t="s">
        <v>541</v>
      </c>
      <c r="L1615" s="672" t="s">
        <v>9068</v>
      </c>
    </row>
    <row r="1616" spans="1:12" x14ac:dyDescent="0.2">
      <c r="A1616" s="672" t="s">
        <v>220</v>
      </c>
      <c r="B1616" s="672" t="s">
        <v>2152</v>
      </c>
      <c r="C1616" s="672" t="s">
        <v>1027</v>
      </c>
      <c r="D1616" s="672" t="s">
        <v>1028</v>
      </c>
      <c r="E1616" s="745" t="s">
        <v>545</v>
      </c>
      <c r="F1616" s="747">
        <v>784</v>
      </c>
      <c r="G1616" s="685">
        <v>10.890478945301657</v>
      </c>
      <c r="H1616" s="685">
        <v>8538.1354931164988</v>
      </c>
      <c r="I1616" s="686" t="s">
        <v>9009</v>
      </c>
      <c r="J1616" s="672" t="s">
        <v>9011</v>
      </c>
      <c r="K1616" s="672" t="s">
        <v>541</v>
      </c>
      <c r="L1616" s="672" t="s">
        <v>9068</v>
      </c>
    </row>
    <row r="1617" spans="1:12" x14ac:dyDescent="0.2">
      <c r="A1617" s="672" t="s">
        <v>220</v>
      </c>
      <c r="B1617" s="672" t="s">
        <v>2152</v>
      </c>
      <c r="C1617" s="672" t="s">
        <v>1031</v>
      </c>
      <c r="D1617" s="672" t="s">
        <v>1032</v>
      </c>
      <c r="E1617" s="745" t="s">
        <v>545</v>
      </c>
      <c r="F1617" s="747">
        <v>306</v>
      </c>
      <c r="G1617" s="685">
        <v>6.2209072649100747</v>
      </c>
      <c r="H1617" s="685">
        <v>1903.5976230624829</v>
      </c>
      <c r="I1617" s="686" t="s">
        <v>9009</v>
      </c>
      <c r="J1617" s="672" t="s">
        <v>9011</v>
      </c>
      <c r="K1617" s="672" t="s">
        <v>541</v>
      </c>
      <c r="L1617" s="672" t="s">
        <v>9068</v>
      </c>
    </row>
    <row r="1618" spans="1:12" x14ac:dyDescent="0.2">
      <c r="A1618" s="672" t="s">
        <v>220</v>
      </c>
      <c r="B1618" s="672" t="s">
        <v>2152</v>
      </c>
      <c r="C1618" s="672" t="s">
        <v>1033</v>
      </c>
      <c r="D1618" s="672" t="s">
        <v>1034</v>
      </c>
      <c r="E1618" s="745" t="s">
        <v>545</v>
      </c>
      <c r="F1618" s="747">
        <v>32</v>
      </c>
      <c r="G1618" s="685">
        <v>3.4670000000000001</v>
      </c>
      <c r="H1618" s="685">
        <v>110.944</v>
      </c>
      <c r="I1618" s="686" t="s">
        <v>9009</v>
      </c>
      <c r="J1618" s="672" t="s">
        <v>9011</v>
      </c>
      <c r="K1618" s="672" t="s">
        <v>541</v>
      </c>
      <c r="L1618" s="672" t="s">
        <v>9068</v>
      </c>
    </row>
    <row r="1619" spans="1:12" x14ac:dyDescent="0.2">
      <c r="A1619" s="672" t="s">
        <v>220</v>
      </c>
      <c r="B1619" s="672" t="s">
        <v>2152</v>
      </c>
      <c r="C1619" s="672" t="s">
        <v>1035</v>
      </c>
      <c r="D1619" s="672" t="s">
        <v>1036</v>
      </c>
      <c r="E1619" s="745" t="s">
        <v>545</v>
      </c>
      <c r="F1619" s="747">
        <v>958</v>
      </c>
      <c r="G1619" s="685">
        <v>7.4506442602233012</v>
      </c>
      <c r="H1619" s="685">
        <v>7137.7172012939227</v>
      </c>
      <c r="I1619" s="686" t="s">
        <v>9009</v>
      </c>
      <c r="J1619" s="672" t="s">
        <v>9011</v>
      </c>
      <c r="K1619" s="672" t="s">
        <v>541</v>
      </c>
      <c r="L1619" s="672" t="s">
        <v>9068</v>
      </c>
    </row>
    <row r="1620" spans="1:12" x14ac:dyDescent="0.2">
      <c r="A1620" s="672" t="s">
        <v>220</v>
      </c>
      <c r="B1620" s="672" t="s">
        <v>2152</v>
      </c>
      <c r="C1620" s="672" t="s">
        <v>1037</v>
      </c>
      <c r="D1620" s="672" t="s">
        <v>1038</v>
      </c>
      <c r="E1620" s="745" t="s">
        <v>545</v>
      </c>
      <c r="F1620" s="747">
        <v>163</v>
      </c>
      <c r="G1620" s="685">
        <v>8.9541844410378246</v>
      </c>
      <c r="H1620" s="685">
        <v>1459.5320638891653</v>
      </c>
      <c r="I1620" s="686" t="s">
        <v>9009</v>
      </c>
      <c r="J1620" s="672" t="s">
        <v>9011</v>
      </c>
      <c r="K1620" s="672" t="s">
        <v>541</v>
      </c>
      <c r="L1620" s="672" t="s">
        <v>9068</v>
      </c>
    </row>
    <row r="1621" spans="1:12" x14ac:dyDescent="0.2">
      <c r="A1621" s="672" t="s">
        <v>220</v>
      </c>
      <c r="B1621" s="672" t="s">
        <v>2152</v>
      </c>
      <c r="C1621" s="672" t="s">
        <v>1039</v>
      </c>
      <c r="D1621" s="672" t="s">
        <v>1040</v>
      </c>
      <c r="E1621" s="745" t="s">
        <v>545</v>
      </c>
      <c r="F1621" s="747">
        <v>49</v>
      </c>
      <c r="G1621" s="685">
        <v>12.199833565124555</v>
      </c>
      <c r="H1621" s="685">
        <v>597.79184469110317</v>
      </c>
      <c r="I1621" s="686" t="s">
        <v>9009</v>
      </c>
      <c r="J1621" s="672" t="s">
        <v>9011</v>
      </c>
      <c r="K1621" s="672" t="s">
        <v>541</v>
      </c>
      <c r="L1621" s="672" t="s">
        <v>9068</v>
      </c>
    </row>
    <row r="1622" spans="1:12" x14ac:dyDescent="0.2">
      <c r="A1622" s="672" t="s">
        <v>220</v>
      </c>
      <c r="B1622" s="672" t="s">
        <v>2152</v>
      </c>
      <c r="C1622" s="672" t="s">
        <v>1146</v>
      </c>
      <c r="D1622" s="672" t="s">
        <v>1147</v>
      </c>
      <c r="E1622" s="745" t="s">
        <v>545</v>
      </c>
      <c r="F1622" s="747">
        <v>1400</v>
      </c>
      <c r="G1622" s="685">
        <v>0.04</v>
      </c>
      <c r="H1622" s="685">
        <v>56</v>
      </c>
      <c r="I1622" s="686" t="s">
        <v>9009</v>
      </c>
      <c r="J1622" s="672" t="s">
        <v>10128</v>
      </c>
      <c r="K1622" s="672" t="s">
        <v>541</v>
      </c>
      <c r="L1622" s="672" t="s">
        <v>8996</v>
      </c>
    </row>
    <row r="1623" spans="1:12" x14ac:dyDescent="0.2">
      <c r="A1623" s="672" t="s">
        <v>220</v>
      </c>
      <c r="B1623" s="672" t="s">
        <v>2152</v>
      </c>
      <c r="C1623" s="672" t="s">
        <v>2171</v>
      </c>
      <c r="D1623" s="672" t="s">
        <v>2172</v>
      </c>
      <c r="E1623" s="745" t="s">
        <v>545</v>
      </c>
      <c r="F1623" s="747">
        <v>2670</v>
      </c>
      <c r="G1623" s="685">
        <v>0.27994328621908127</v>
      </c>
      <c r="H1623" s="685">
        <v>747.44857420494702</v>
      </c>
      <c r="I1623" s="686" t="s">
        <v>9009</v>
      </c>
      <c r="J1623" s="672" t="s">
        <v>10128</v>
      </c>
      <c r="K1623" s="672" t="s">
        <v>541</v>
      </c>
      <c r="L1623" s="672" t="s">
        <v>8996</v>
      </c>
    </row>
    <row r="1624" spans="1:12" x14ac:dyDescent="0.2">
      <c r="A1624" s="672" t="s">
        <v>220</v>
      </c>
      <c r="B1624" s="672" t="s">
        <v>2152</v>
      </c>
      <c r="C1624" s="672" t="s">
        <v>2173</v>
      </c>
      <c r="D1624" s="672" t="s">
        <v>2174</v>
      </c>
      <c r="E1624" s="745" t="s">
        <v>545</v>
      </c>
      <c r="F1624" s="747">
        <v>1500</v>
      </c>
      <c r="G1624" s="685">
        <v>0.21687358490566039</v>
      </c>
      <c r="H1624" s="685">
        <v>325.3103773584906</v>
      </c>
      <c r="I1624" s="686" t="s">
        <v>9009</v>
      </c>
      <c r="J1624" s="672" t="s">
        <v>10128</v>
      </c>
      <c r="K1624" s="672" t="s">
        <v>541</v>
      </c>
      <c r="L1624" s="672" t="s">
        <v>8996</v>
      </c>
    </row>
    <row r="1625" spans="1:12" x14ac:dyDescent="0.2">
      <c r="A1625" s="672" t="s">
        <v>220</v>
      </c>
      <c r="B1625" s="672" t="s">
        <v>2152</v>
      </c>
      <c r="C1625" s="672" t="s">
        <v>2175</v>
      </c>
      <c r="D1625" s="672" t="s">
        <v>2176</v>
      </c>
      <c r="E1625" s="745" t="s">
        <v>545</v>
      </c>
      <c r="F1625" s="747">
        <v>400</v>
      </c>
      <c r="G1625" s="685">
        <v>0.13</v>
      </c>
      <c r="H1625" s="685">
        <v>52</v>
      </c>
      <c r="I1625" s="686" t="s">
        <v>9009</v>
      </c>
      <c r="J1625" s="672" t="s">
        <v>10128</v>
      </c>
      <c r="K1625" s="672" t="s">
        <v>541</v>
      </c>
      <c r="L1625" s="672" t="s">
        <v>8996</v>
      </c>
    </row>
    <row r="1626" spans="1:12" x14ac:dyDescent="0.2">
      <c r="A1626" s="672" t="s">
        <v>220</v>
      </c>
      <c r="B1626" s="672" t="s">
        <v>2152</v>
      </c>
      <c r="C1626" s="672" t="s">
        <v>2177</v>
      </c>
      <c r="D1626" s="672" t="s">
        <v>2178</v>
      </c>
      <c r="E1626" s="745" t="s">
        <v>545</v>
      </c>
      <c r="F1626" s="747">
        <v>150</v>
      </c>
      <c r="G1626" s="685">
        <v>2.9794999999999998</v>
      </c>
      <c r="H1626" s="685">
        <v>446.92499999999995</v>
      </c>
      <c r="I1626" s="686" t="s">
        <v>9009</v>
      </c>
      <c r="J1626" s="672" t="s">
        <v>10128</v>
      </c>
      <c r="K1626" s="672" t="s">
        <v>541</v>
      </c>
      <c r="L1626" s="672" t="s">
        <v>8996</v>
      </c>
    </row>
    <row r="1627" spans="1:12" x14ac:dyDescent="0.2">
      <c r="A1627" s="672" t="s">
        <v>220</v>
      </c>
      <c r="B1627" s="672" t="s">
        <v>2152</v>
      </c>
      <c r="C1627" s="672" t="s">
        <v>2179</v>
      </c>
      <c r="D1627" s="672" t="s">
        <v>2180</v>
      </c>
      <c r="E1627" s="745" t="s">
        <v>545</v>
      </c>
      <c r="F1627" s="747">
        <v>1500</v>
      </c>
      <c r="G1627" s="685">
        <v>0.25755</v>
      </c>
      <c r="H1627" s="685">
        <v>386.32499999999999</v>
      </c>
      <c r="I1627" s="686" t="s">
        <v>9009</v>
      </c>
      <c r="J1627" s="672" t="s">
        <v>10128</v>
      </c>
      <c r="K1627" s="672" t="s">
        <v>541</v>
      </c>
      <c r="L1627" s="672" t="s">
        <v>8996</v>
      </c>
    </row>
    <row r="1628" spans="1:12" x14ac:dyDescent="0.2">
      <c r="A1628" s="672" t="s">
        <v>220</v>
      </c>
      <c r="B1628" s="672" t="s">
        <v>2152</v>
      </c>
      <c r="C1628" s="672" t="s">
        <v>2181</v>
      </c>
      <c r="D1628" s="672" t="s">
        <v>2182</v>
      </c>
      <c r="E1628" s="745" t="s">
        <v>545</v>
      </c>
      <c r="F1628" s="747">
        <v>500</v>
      </c>
      <c r="G1628" s="685">
        <v>0.31655998148353298</v>
      </c>
      <c r="H1628" s="685">
        <v>158.27999074176648</v>
      </c>
      <c r="I1628" s="686" t="s">
        <v>9009</v>
      </c>
      <c r="J1628" s="672" t="s">
        <v>10128</v>
      </c>
      <c r="K1628" s="672" t="s">
        <v>541</v>
      </c>
      <c r="L1628" s="672" t="s">
        <v>8996</v>
      </c>
    </row>
    <row r="1629" spans="1:12" x14ac:dyDescent="0.2">
      <c r="A1629" s="672" t="s">
        <v>220</v>
      </c>
      <c r="B1629" s="672" t="s">
        <v>2152</v>
      </c>
      <c r="C1629" s="672" t="s">
        <v>2183</v>
      </c>
      <c r="D1629" s="672" t="s">
        <v>2184</v>
      </c>
      <c r="E1629" s="745" t="s">
        <v>545</v>
      </c>
      <c r="F1629" s="747">
        <v>1000</v>
      </c>
      <c r="G1629" s="685">
        <v>0.24745</v>
      </c>
      <c r="H1629" s="685">
        <v>247.45000000000002</v>
      </c>
      <c r="I1629" s="686" t="s">
        <v>9009</v>
      </c>
      <c r="J1629" s="672" t="s">
        <v>10128</v>
      </c>
      <c r="K1629" s="672" t="s">
        <v>541</v>
      </c>
      <c r="L1629" s="672" t="s">
        <v>8996</v>
      </c>
    </row>
    <row r="1630" spans="1:12" x14ac:dyDescent="0.2">
      <c r="A1630" s="672" t="s">
        <v>220</v>
      </c>
      <c r="B1630" s="672" t="s">
        <v>2152</v>
      </c>
      <c r="C1630" s="672" t="s">
        <v>2185</v>
      </c>
      <c r="D1630" s="672" t="s">
        <v>2186</v>
      </c>
      <c r="E1630" s="745" t="s">
        <v>545</v>
      </c>
      <c r="F1630" s="747">
        <v>1000</v>
      </c>
      <c r="G1630" s="685">
        <v>0.38031635542247016</v>
      </c>
      <c r="H1630" s="685">
        <v>380.31635542247017</v>
      </c>
      <c r="I1630" s="686" t="s">
        <v>9009</v>
      </c>
      <c r="J1630" s="672" t="s">
        <v>10128</v>
      </c>
      <c r="K1630" s="672" t="s">
        <v>541</v>
      </c>
      <c r="L1630" s="672" t="s">
        <v>8996</v>
      </c>
    </row>
    <row r="1631" spans="1:12" x14ac:dyDescent="0.2">
      <c r="A1631" s="672" t="s">
        <v>220</v>
      </c>
      <c r="B1631" s="672" t="s">
        <v>2152</v>
      </c>
      <c r="C1631" s="672" t="s">
        <v>2187</v>
      </c>
      <c r="D1631" s="672" t="s">
        <v>2188</v>
      </c>
      <c r="E1631" s="745" t="s">
        <v>545</v>
      </c>
      <c r="F1631" s="747">
        <v>2500</v>
      </c>
      <c r="G1631" s="685">
        <v>0.34593227430373091</v>
      </c>
      <c r="H1631" s="685">
        <v>864.83068575932725</v>
      </c>
      <c r="I1631" s="686" t="s">
        <v>9009</v>
      </c>
      <c r="J1631" s="672" t="s">
        <v>10128</v>
      </c>
      <c r="K1631" s="672" t="s">
        <v>541</v>
      </c>
      <c r="L1631" s="672" t="s">
        <v>8996</v>
      </c>
    </row>
    <row r="1632" spans="1:12" x14ac:dyDescent="0.2">
      <c r="A1632" s="672" t="s">
        <v>220</v>
      </c>
      <c r="B1632" s="672" t="s">
        <v>2152</v>
      </c>
      <c r="C1632" s="672" t="s">
        <v>2189</v>
      </c>
      <c r="D1632" s="672" t="s">
        <v>2190</v>
      </c>
      <c r="E1632" s="745" t="s">
        <v>545</v>
      </c>
      <c r="F1632" s="747">
        <v>3000</v>
      </c>
      <c r="G1632" s="685">
        <v>0.52613787528868361</v>
      </c>
      <c r="H1632" s="685">
        <v>1578.4136258660508</v>
      </c>
      <c r="I1632" s="686" t="s">
        <v>9009</v>
      </c>
      <c r="J1632" s="672" t="s">
        <v>10128</v>
      </c>
      <c r="K1632" s="672" t="s">
        <v>541</v>
      </c>
      <c r="L1632" s="672" t="s">
        <v>8996</v>
      </c>
    </row>
    <row r="1633" spans="1:12" x14ac:dyDescent="0.2">
      <c r="A1633" s="672" t="s">
        <v>220</v>
      </c>
      <c r="B1633" s="672" t="s">
        <v>2152</v>
      </c>
      <c r="C1633" s="672" t="s">
        <v>2191</v>
      </c>
      <c r="D1633" s="672" t="s">
        <v>2192</v>
      </c>
      <c r="E1633" s="745" t="s">
        <v>545</v>
      </c>
      <c r="F1633" s="747">
        <v>2000</v>
      </c>
      <c r="G1633" s="685">
        <v>0.25755</v>
      </c>
      <c r="H1633" s="685">
        <v>515.1</v>
      </c>
      <c r="I1633" s="686" t="s">
        <v>9009</v>
      </c>
      <c r="J1633" s="672" t="s">
        <v>10128</v>
      </c>
      <c r="K1633" s="672" t="s">
        <v>541</v>
      </c>
      <c r="L1633" s="672" t="s">
        <v>8996</v>
      </c>
    </row>
    <row r="1634" spans="1:12" x14ac:dyDescent="0.2">
      <c r="A1634" s="672" t="s">
        <v>220</v>
      </c>
      <c r="B1634" s="672" t="s">
        <v>2152</v>
      </c>
      <c r="C1634" s="672" t="s">
        <v>2193</v>
      </c>
      <c r="D1634" s="672" t="s">
        <v>2194</v>
      </c>
      <c r="E1634" s="745" t="s">
        <v>545</v>
      </c>
      <c r="F1634" s="747">
        <v>3000</v>
      </c>
      <c r="G1634" s="685">
        <v>0.23520000000000002</v>
      </c>
      <c r="H1634" s="685">
        <v>705.6</v>
      </c>
      <c r="I1634" s="686" t="s">
        <v>9009</v>
      </c>
      <c r="J1634" s="672" t="s">
        <v>10128</v>
      </c>
      <c r="K1634" s="672" t="s">
        <v>541</v>
      </c>
      <c r="L1634" s="672" t="s">
        <v>8996</v>
      </c>
    </row>
    <row r="1635" spans="1:12" x14ac:dyDescent="0.2">
      <c r="A1635" s="672" t="s">
        <v>220</v>
      </c>
      <c r="B1635" s="672" t="s">
        <v>2152</v>
      </c>
      <c r="C1635" s="672" t="s">
        <v>2195</v>
      </c>
      <c r="D1635" s="672" t="s">
        <v>2196</v>
      </c>
      <c r="E1635" s="745" t="s">
        <v>545</v>
      </c>
      <c r="F1635" s="747">
        <v>500</v>
      </c>
      <c r="G1635" s="685">
        <v>0.24</v>
      </c>
      <c r="H1635" s="685">
        <v>120</v>
      </c>
      <c r="I1635" s="686" t="s">
        <v>9009</v>
      </c>
      <c r="J1635" s="672" t="s">
        <v>10128</v>
      </c>
      <c r="K1635" s="672" t="s">
        <v>541</v>
      </c>
      <c r="L1635" s="672" t="s">
        <v>8996</v>
      </c>
    </row>
    <row r="1636" spans="1:12" x14ac:dyDescent="0.2">
      <c r="A1636" s="672" t="s">
        <v>220</v>
      </c>
      <c r="B1636" s="672" t="s">
        <v>2152</v>
      </c>
      <c r="C1636" s="672" t="s">
        <v>2197</v>
      </c>
      <c r="D1636" s="672" t="s">
        <v>2198</v>
      </c>
      <c r="E1636" s="745" t="s">
        <v>545</v>
      </c>
      <c r="F1636" s="747">
        <v>3100</v>
      </c>
      <c r="G1636" s="685">
        <v>0.27929999999999999</v>
      </c>
      <c r="H1636" s="685">
        <v>865.82999999999993</v>
      </c>
      <c r="I1636" s="686" t="s">
        <v>9009</v>
      </c>
      <c r="J1636" s="672" t="s">
        <v>10128</v>
      </c>
      <c r="K1636" s="672" t="s">
        <v>541</v>
      </c>
      <c r="L1636" s="672" t="s">
        <v>8996</v>
      </c>
    </row>
    <row r="1637" spans="1:12" x14ac:dyDescent="0.2">
      <c r="A1637" s="672" t="s">
        <v>220</v>
      </c>
      <c r="B1637" s="672" t="s">
        <v>2152</v>
      </c>
      <c r="C1637" s="672" t="s">
        <v>1306</v>
      </c>
      <c r="D1637" s="672" t="s">
        <v>1307</v>
      </c>
      <c r="E1637" s="745" t="s">
        <v>545</v>
      </c>
      <c r="F1637" s="747">
        <v>1500</v>
      </c>
      <c r="G1637" s="685">
        <v>0.30528988899645421</v>
      </c>
      <c r="H1637" s="685">
        <v>457.9348334946813</v>
      </c>
      <c r="I1637" s="686" t="s">
        <v>9009</v>
      </c>
      <c r="J1637" s="672" t="s">
        <v>10128</v>
      </c>
      <c r="K1637" s="672" t="s">
        <v>541</v>
      </c>
      <c r="L1637" s="672" t="s">
        <v>8996</v>
      </c>
    </row>
    <row r="1638" spans="1:12" x14ac:dyDescent="0.2">
      <c r="A1638" s="672" t="s">
        <v>220</v>
      </c>
      <c r="B1638" s="672" t="s">
        <v>10365</v>
      </c>
      <c r="C1638" s="672" t="s">
        <v>1308</v>
      </c>
      <c r="D1638" s="672" t="s">
        <v>1309</v>
      </c>
      <c r="E1638" s="745" t="s">
        <v>545</v>
      </c>
      <c r="F1638" s="747">
        <v>2500</v>
      </c>
      <c r="G1638" s="685">
        <v>0.54727052307402646</v>
      </c>
      <c r="H1638" s="685">
        <v>1368.1763076850661</v>
      </c>
      <c r="I1638" s="686" t="s">
        <v>9009</v>
      </c>
      <c r="J1638" s="672" t="s">
        <v>10128</v>
      </c>
      <c r="K1638" s="672" t="s">
        <v>541</v>
      </c>
      <c r="L1638" s="672" t="s">
        <v>8996</v>
      </c>
    </row>
    <row r="1639" spans="1:12" x14ac:dyDescent="0.2">
      <c r="A1639" s="672" t="s">
        <v>220</v>
      </c>
      <c r="B1639" s="672" t="s">
        <v>2152</v>
      </c>
      <c r="C1639" s="672" t="s">
        <v>2199</v>
      </c>
      <c r="D1639" s="672" t="s">
        <v>2200</v>
      </c>
      <c r="E1639" s="745" t="s">
        <v>545</v>
      </c>
      <c r="F1639" s="747">
        <v>4512</v>
      </c>
      <c r="G1639" s="685">
        <v>0.5179883361683012</v>
      </c>
      <c r="H1639" s="685">
        <v>2337.163372791375</v>
      </c>
      <c r="I1639" s="686" t="s">
        <v>9009</v>
      </c>
      <c r="J1639" s="672" t="s">
        <v>10128</v>
      </c>
      <c r="K1639" s="672" t="s">
        <v>541</v>
      </c>
      <c r="L1639" s="672" t="s">
        <v>8996</v>
      </c>
    </row>
    <row r="1640" spans="1:12" x14ac:dyDescent="0.2">
      <c r="A1640" s="672" t="s">
        <v>220</v>
      </c>
      <c r="B1640" s="672" t="s">
        <v>2152</v>
      </c>
      <c r="C1640" s="672" t="s">
        <v>1310</v>
      </c>
      <c r="D1640" s="672" t="s">
        <v>1311</v>
      </c>
      <c r="E1640" s="745" t="s">
        <v>545</v>
      </c>
      <c r="F1640" s="747">
        <v>400</v>
      </c>
      <c r="G1640" s="685">
        <v>1.3230641258607909</v>
      </c>
      <c r="H1640" s="685">
        <v>529.22565034431636</v>
      </c>
      <c r="I1640" s="686" t="s">
        <v>9009</v>
      </c>
      <c r="J1640" s="672" t="s">
        <v>10128</v>
      </c>
      <c r="K1640" s="672" t="s">
        <v>541</v>
      </c>
      <c r="L1640" s="672" t="s">
        <v>8996</v>
      </c>
    </row>
    <row r="1641" spans="1:12" x14ac:dyDescent="0.2">
      <c r="A1641" s="672" t="s">
        <v>220</v>
      </c>
      <c r="B1641" s="672" t="s">
        <v>2152</v>
      </c>
      <c r="C1641" s="672" t="s">
        <v>2201</v>
      </c>
      <c r="D1641" s="672" t="s">
        <v>2202</v>
      </c>
      <c r="E1641" s="745" t="s">
        <v>545</v>
      </c>
      <c r="F1641" s="747">
        <v>1700</v>
      </c>
      <c r="G1641" s="685">
        <v>0.5252</v>
      </c>
      <c r="H1641" s="685">
        <v>892.84</v>
      </c>
      <c r="I1641" s="686" t="s">
        <v>9009</v>
      </c>
      <c r="J1641" s="672" t="s">
        <v>10128</v>
      </c>
      <c r="K1641" s="672" t="s">
        <v>541</v>
      </c>
      <c r="L1641" s="672" t="s">
        <v>8996</v>
      </c>
    </row>
    <row r="1642" spans="1:12" x14ac:dyDescent="0.2">
      <c r="A1642" s="672" t="s">
        <v>220</v>
      </c>
      <c r="B1642" s="672" t="s">
        <v>2152</v>
      </c>
      <c r="C1642" s="672" t="s">
        <v>2203</v>
      </c>
      <c r="D1642" s="672" t="s">
        <v>2204</v>
      </c>
      <c r="E1642" s="745" t="s">
        <v>545</v>
      </c>
      <c r="F1642" s="747">
        <v>2922</v>
      </c>
      <c r="G1642" s="685">
        <v>0.43394054054054054</v>
      </c>
      <c r="H1642" s="685">
        <v>1267.9742594594595</v>
      </c>
      <c r="I1642" s="686" t="s">
        <v>9009</v>
      </c>
      <c r="J1642" s="672" t="s">
        <v>10128</v>
      </c>
      <c r="K1642" s="672" t="s">
        <v>541</v>
      </c>
      <c r="L1642" s="672" t="s">
        <v>8996</v>
      </c>
    </row>
    <row r="1643" spans="1:12" x14ac:dyDescent="0.2">
      <c r="A1643" s="672" t="s">
        <v>220</v>
      </c>
      <c r="B1643" s="672" t="s">
        <v>2152</v>
      </c>
      <c r="C1643" s="672" t="s">
        <v>2205</v>
      </c>
      <c r="D1643" s="672" t="s">
        <v>2206</v>
      </c>
      <c r="E1643" s="745" t="s">
        <v>545</v>
      </c>
      <c r="F1643" s="747">
        <v>500</v>
      </c>
      <c r="G1643" s="685">
        <v>0.30804999999999999</v>
      </c>
      <c r="H1643" s="685">
        <v>154.02500000000001</v>
      </c>
      <c r="I1643" s="686" t="s">
        <v>9009</v>
      </c>
      <c r="J1643" s="672" t="s">
        <v>10128</v>
      </c>
      <c r="K1643" s="672" t="s">
        <v>541</v>
      </c>
      <c r="L1643" s="672" t="s">
        <v>8996</v>
      </c>
    </row>
    <row r="1644" spans="1:12" x14ac:dyDescent="0.2">
      <c r="A1644" s="672" t="s">
        <v>220</v>
      </c>
      <c r="B1644" s="672" t="s">
        <v>2152</v>
      </c>
      <c r="C1644" s="672" t="s">
        <v>2207</v>
      </c>
      <c r="D1644" s="672" t="s">
        <v>2208</v>
      </c>
      <c r="E1644" s="745" t="s">
        <v>545</v>
      </c>
      <c r="F1644" s="747">
        <v>1000</v>
      </c>
      <c r="G1644" s="685">
        <v>0.38887059473350172</v>
      </c>
      <c r="H1644" s="685">
        <v>388.87059473350172</v>
      </c>
      <c r="I1644" s="686" t="s">
        <v>9009</v>
      </c>
      <c r="J1644" s="672" t="s">
        <v>10128</v>
      </c>
      <c r="K1644" s="672" t="s">
        <v>541</v>
      </c>
      <c r="L1644" s="672" t="s">
        <v>8996</v>
      </c>
    </row>
    <row r="1645" spans="1:12" x14ac:dyDescent="0.2">
      <c r="A1645" s="672" t="s">
        <v>220</v>
      </c>
      <c r="B1645" s="672" t="s">
        <v>2152</v>
      </c>
      <c r="C1645" s="672" t="s">
        <v>2209</v>
      </c>
      <c r="D1645" s="672" t="s">
        <v>2210</v>
      </c>
      <c r="E1645" s="745" t="s">
        <v>545</v>
      </c>
      <c r="F1645" s="747">
        <v>1500</v>
      </c>
      <c r="G1645" s="685">
        <v>0.27777639182522906</v>
      </c>
      <c r="H1645" s="685">
        <v>416.66458773784359</v>
      </c>
      <c r="I1645" s="686" t="s">
        <v>9009</v>
      </c>
      <c r="J1645" s="672" t="s">
        <v>10128</v>
      </c>
      <c r="K1645" s="672" t="s">
        <v>541</v>
      </c>
      <c r="L1645" s="672" t="s">
        <v>8996</v>
      </c>
    </row>
    <row r="1646" spans="1:12" x14ac:dyDescent="0.2">
      <c r="A1646" s="672" t="s">
        <v>220</v>
      </c>
      <c r="B1646" s="672" t="s">
        <v>2152</v>
      </c>
      <c r="C1646" s="672" t="s">
        <v>2211</v>
      </c>
      <c r="D1646" s="672" t="s">
        <v>2212</v>
      </c>
      <c r="E1646" s="745" t="s">
        <v>545</v>
      </c>
      <c r="F1646" s="747">
        <v>2000</v>
      </c>
      <c r="G1646" s="685">
        <v>0.5252</v>
      </c>
      <c r="H1646" s="685">
        <v>1050.4000000000001</v>
      </c>
      <c r="I1646" s="686" t="s">
        <v>9009</v>
      </c>
      <c r="J1646" s="672" t="s">
        <v>10128</v>
      </c>
      <c r="K1646" s="672" t="s">
        <v>541</v>
      </c>
      <c r="L1646" s="672" t="s">
        <v>8996</v>
      </c>
    </row>
    <row r="1647" spans="1:12" x14ac:dyDescent="0.2">
      <c r="A1647" s="672" t="s">
        <v>220</v>
      </c>
      <c r="B1647" s="672" t="s">
        <v>2152</v>
      </c>
      <c r="C1647" s="672" t="s">
        <v>2213</v>
      </c>
      <c r="D1647" s="672" t="s">
        <v>2214</v>
      </c>
      <c r="E1647" s="745" t="s">
        <v>545</v>
      </c>
      <c r="F1647" s="747">
        <v>1000</v>
      </c>
      <c r="G1647" s="685">
        <v>0.17728474576271186</v>
      </c>
      <c r="H1647" s="685">
        <v>177.28474576271185</v>
      </c>
      <c r="I1647" s="686" t="s">
        <v>9009</v>
      </c>
      <c r="J1647" s="672" t="s">
        <v>10128</v>
      </c>
      <c r="K1647" s="672" t="s">
        <v>541</v>
      </c>
      <c r="L1647" s="672" t="s">
        <v>8996</v>
      </c>
    </row>
    <row r="1648" spans="1:12" x14ac:dyDescent="0.2">
      <c r="A1648" s="672" t="s">
        <v>220</v>
      </c>
      <c r="B1648" s="672" t="s">
        <v>2152</v>
      </c>
      <c r="C1648" s="672" t="s">
        <v>2215</v>
      </c>
      <c r="D1648" s="672" t="s">
        <v>2216</v>
      </c>
      <c r="E1648" s="745" t="s">
        <v>545</v>
      </c>
      <c r="F1648" s="747">
        <v>2600</v>
      </c>
      <c r="G1648" s="685">
        <v>0.2643177602198557</v>
      </c>
      <c r="H1648" s="685">
        <v>687.22617657162482</v>
      </c>
      <c r="I1648" s="686" t="s">
        <v>9009</v>
      </c>
      <c r="J1648" s="672" t="s">
        <v>10128</v>
      </c>
      <c r="K1648" s="672" t="s">
        <v>541</v>
      </c>
      <c r="L1648" s="672" t="s">
        <v>8996</v>
      </c>
    </row>
    <row r="1649" spans="1:12" x14ac:dyDescent="0.2">
      <c r="A1649" s="672" t="s">
        <v>220</v>
      </c>
      <c r="B1649" s="672" t="s">
        <v>2152</v>
      </c>
      <c r="C1649" s="672" t="s">
        <v>2217</v>
      </c>
      <c r="D1649" s="672" t="s">
        <v>2218</v>
      </c>
      <c r="E1649" s="745" t="s">
        <v>545</v>
      </c>
      <c r="F1649" s="747">
        <v>2000</v>
      </c>
      <c r="G1649" s="685">
        <v>0.21210000000000001</v>
      </c>
      <c r="H1649" s="685">
        <v>424.20000000000005</v>
      </c>
      <c r="I1649" s="686" t="s">
        <v>9009</v>
      </c>
      <c r="J1649" s="672" t="s">
        <v>10128</v>
      </c>
      <c r="K1649" s="672" t="s">
        <v>541</v>
      </c>
      <c r="L1649" s="672" t="s">
        <v>8996</v>
      </c>
    </row>
    <row r="1650" spans="1:12" x14ac:dyDescent="0.2">
      <c r="A1650" s="672" t="s">
        <v>220</v>
      </c>
      <c r="B1650" s="672" t="s">
        <v>2152</v>
      </c>
      <c r="C1650" s="672" t="s">
        <v>2219</v>
      </c>
      <c r="D1650" s="672" t="s">
        <v>2220</v>
      </c>
      <c r="E1650" s="745" t="s">
        <v>545</v>
      </c>
      <c r="F1650" s="747">
        <v>1100</v>
      </c>
      <c r="G1650" s="685">
        <v>0.31303508531644125</v>
      </c>
      <c r="H1650" s="685">
        <v>344.3385938480854</v>
      </c>
      <c r="I1650" s="686" t="s">
        <v>9009</v>
      </c>
      <c r="J1650" s="672" t="s">
        <v>10128</v>
      </c>
      <c r="K1650" s="672" t="s">
        <v>541</v>
      </c>
      <c r="L1650" s="672" t="s">
        <v>8996</v>
      </c>
    </row>
    <row r="1651" spans="1:12" x14ac:dyDescent="0.2">
      <c r="A1651" s="672" t="s">
        <v>220</v>
      </c>
      <c r="B1651" s="672" t="s">
        <v>2152</v>
      </c>
      <c r="C1651" s="672" t="s">
        <v>2221</v>
      </c>
      <c r="D1651" s="672" t="s">
        <v>2222</v>
      </c>
      <c r="E1651" s="745" t="s">
        <v>545</v>
      </c>
      <c r="F1651" s="747">
        <v>2100</v>
      </c>
      <c r="G1651" s="685">
        <v>0.36359999999999998</v>
      </c>
      <c r="H1651" s="685">
        <v>763.56</v>
      </c>
      <c r="I1651" s="686" t="s">
        <v>9009</v>
      </c>
      <c r="J1651" s="672" t="s">
        <v>10128</v>
      </c>
      <c r="K1651" s="672" t="s">
        <v>541</v>
      </c>
      <c r="L1651" s="672" t="s">
        <v>8996</v>
      </c>
    </row>
    <row r="1652" spans="1:12" x14ac:dyDescent="0.2">
      <c r="A1652" s="672" t="s">
        <v>220</v>
      </c>
      <c r="B1652" s="672" t="s">
        <v>2152</v>
      </c>
      <c r="C1652" s="672" t="s">
        <v>2223</v>
      </c>
      <c r="D1652" s="672" t="s">
        <v>2224</v>
      </c>
      <c r="E1652" s="745" t="s">
        <v>545</v>
      </c>
      <c r="F1652" s="747">
        <v>1000</v>
      </c>
      <c r="G1652" s="685">
        <v>0.2727</v>
      </c>
      <c r="H1652" s="685">
        <v>272.7</v>
      </c>
      <c r="I1652" s="686" t="s">
        <v>9009</v>
      </c>
      <c r="J1652" s="672" t="s">
        <v>10128</v>
      </c>
      <c r="K1652" s="672" t="s">
        <v>541</v>
      </c>
      <c r="L1652" s="672" t="s">
        <v>8996</v>
      </c>
    </row>
    <row r="1653" spans="1:12" x14ac:dyDescent="0.2">
      <c r="A1653" s="672" t="s">
        <v>220</v>
      </c>
      <c r="B1653" s="672" t="s">
        <v>2152</v>
      </c>
      <c r="C1653" s="672" t="s">
        <v>2225</v>
      </c>
      <c r="D1653" s="672" t="s">
        <v>2226</v>
      </c>
      <c r="E1653" s="745" t="s">
        <v>545</v>
      </c>
      <c r="F1653" s="747">
        <v>500</v>
      </c>
      <c r="G1653" s="685">
        <v>0.30804999999999999</v>
      </c>
      <c r="H1653" s="685">
        <v>154.02500000000001</v>
      </c>
      <c r="I1653" s="686" t="s">
        <v>9009</v>
      </c>
      <c r="J1653" s="672" t="s">
        <v>10128</v>
      </c>
      <c r="K1653" s="672" t="s">
        <v>541</v>
      </c>
      <c r="L1653" s="672" t="s">
        <v>8996</v>
      </c>
    </row>
    <row r="1654" spans="1:12" x14ac:dyDescent="0.2">
      <c r="A1654" s="672" t="s">
        <v>220</v>
      </c>
      <c r="B1654" s="672" t="s">
        <v>2152</v>
      </c>
      <c r="C1654" s="672" t="s">
        <v>2227</v>
      </c>
      <c r="D1654" s="672" t="s">
        <v>2228</v>
      </c>
      <c r="E1654" s="745" t="s">
        <v>545</v>
      </c>
      <c r="F1654" s="747">
        <v>1000</v>
      </c>
      <c r="G1654" s="685">
        <v>0.60599999999999998</v>
      </c>
      <c r="H1654" s="685">
        <v>606</v>
      </c>
      <c r="I1654" s="686" t="s">
        <v>9009</v>
      </c>
      <c r="J1654" s="672" t="s">
        <v>10128</v>
      </c>
      <c r="K1654" s="672" t="s">
        <v>541</v>
      </c>
      <c r="L1654" s="672" t="s">
        <v>8996</v>
      </c>
    </row>
    <row r="1655" spans="1:12" x14ac:dyDescent="0.2">
      <c r="A1655" s="672" t="s">
        <v>220</v>
      </c>
      <c r="B1655" s="672" t="s">
        <v>2152</v>
      </c>
      <c r="C1655" s="672" t="s">
        <v>2229</v>
      </c>
      <c r="D1655" s="672" t="s">
        <v>2230</v>
      </c>
      <c r="E1655" s="745" t="s">
        <v>545</v>
      </c>
      <c r="F1655" s="747">
        <v>2000</v>
      </c>
      <c r="G1655" s="685">
        <v>0.23786557377049181</v>
      </c>
      <c r="H1655" s="685">
        <v>475.73114754098361</v>
      </c>
      <c r="I1655" s="686" t="s">
        <v>9009</v>
      </c>
      <c r="J1655" s="672" t="s">
        <v>10128</v>
      </c>
      <c r="K1655" s="672" t="s">
        <v>541</v>
      </c>
      <c r="L1655" s="672" t="s">
        <v>8996</v>
      </c>
    </row>
    <row r="1656" spans="1:12" x14ac:dyDescent="0.2">
      <c r="A1656" s="672" t="s">
        <v>220</v>
      </c>
      <c r="B1656" s="672" t="s">
        <v>2152</v>
      </c>
      <c r="C1656" s="672" t="s">
        <v>2231</v>
      </c>
      <c r="D1656" s="672" t="s">
        <v>2232</v>
      </c>
      <c r="E1656" s="745" t="s">
        <v>545</v>
      </c>
      <c r="F1656" s="747">
        <v>2000</v>
      </c>
      <c r="G1656" s="685">
        <v>0.29795000000000005</v>
      </c>
      <c r="H1656" s="685">
        <v>595.90000000000009</v>
      </c>
      <c r="I1656" s="686" t="s">
        <v>9009</v>
      </c>
      <c r="J1656" s="672" t="s">
        <v>10128</v>
      </c>
      <c r="K1656" s="672" t="s">
        <v>541</v>
      </c>
      <c r="L1656" s="672" t="s">
        <v>8996</v>
      </c>
    </row>
    <row r="1657" spans="1:12" x14ac:dyDescent="0.2">
      <c r="A1657" s="672" t="s">
        <v>220</v>
      </c>
      <c r="B1657" s="672" t="s">
        <v>2152</v>
      </c>
      <c r="C1657" s="672" t="s">
        <v>2233</v>
      </c>
      <c r="D1657" s="672" t="s">
        <v>2234</v>
      </c>
      <c r="E1657" s="745" t="s">
        <v>545</v>
      </c>
      <c r="F1657" s="747">
        <v>5630</v>
      </c>
      <c r="G1657" s="685">
        <v>0.36761032467189586</v>
      </c>
      <c r="H1657" s="685">
        <v>2069.6461279027735</v>
      </c>
      <c r="I1657" s="686" t="s">
        <v>9009</v>
      </c>
      <c r="J1657" s="672" t="s">
        <v>10128</v>
      </c>
      <c r="K1657" s="672" t="s">
        <v>541</v>
      </c>
      <c r="L1657" s="672" t="s">
        <v>8996</v>
      </c>
    </row>
    <row r="1658" spans="1:12" x14ac:dyDescent="0.2">
      <c r="A1658" s="672" t="s">
        <v>220</v>
      </c>
      <c r="B1658" s="672" t="s">
        <v>2152</v>
      </c>
      <c r="C1658" s="672" t="s">
        <v>1428</v>
      </c>
      <c r="D1658" s="672" t="s">
        <v>1429</v>
      </c>
      <c r="E1658" s="745" t="s">
        <v>545</v>
      </c>
      <c r="F1658" s="747">
        <v>8600</v>
      </c>
      <c r="G1658" s="685">
        <v>0.39843465327029159</v>
      </c>
      <c r="H1658" s="685">
        <v>3426.5380181245077</v>
      </c>
      <c r="I1658" s="686" t="s">
        <v>9009</v>
      </c>
      <c r="J1658" s="672" t="s">
        <v>10128</v>
      </c>
      <c r="K1658" s="672" t="s">
        <v>541</v>
      </c>
      <c r="L1658" s="672" t="s">
        <v>8996</v>
      </c>
    </row>
    <row r="1659" spans="1:12" x14ac:dyDescent="0.2">
      <c r="A1659" s="672" t="s">
        <v>220</v>
      </c>
      <c r="B1659" s="672" t="s">
        <v>2152</v>
      </c>
      <c r="C1659" s="672" t="s">
        <v>1430</v>
      </c>
      <c r="D1659" s="672" t="s">
        <v>1431</v>
      </c>
      <c r="E1659" s="745" t="s">
        <v>545</v>
      </c>
      <c r="F1659" s="747">
        <v>8750</v>
      </c>
      <c r="G1659" s="685">
        <v>0.37564969642239526</v>
      </c>
      <c r="H1659" s="685">
        <v>3286.9348436959585</v>
      </c>
      <c r="I1659" s="686" t="s">
        <v>9009</v>
      </c>
      <c r="J1659" s="672" t="s">
        <v>10128</v>
      </c>
      <c r="K1659" s="672" t="s">
        <v>541</v>
      </c>
      <c r="L1659" s="672" t="s">
        <v>8996</v>
      </c>
    </row>
    <row r="1660" spans="1:12" x14ac:dyDescent="0.2">
      <c r="A1660" s="672" t="s">
        <v>220</v>
      </c>
      <c r="B1660" s="672" t="s">
        <v>2152</v>
      </c>
      <c r="C1660" s="672" t="s">
        <v>1432</v>
      </c>
      <c r="D1660" s="672" t="s">
        <v>1433</v>
      </c>
      <c r="E1660" s="745" t="s">
        <v>545</v>
      </c>
      <c r="F1660" s="747">
        <v>7800</v>
      </c>
      <c r="G1660" s="685">
        <v>0.47470000000000012</v>
      </c>
      <c r="H1660" s="685">
        <v>3702.6600000000008</v>
      </c>
      <c r="I1660" s="686" t="s">
        <v>9009</v>
      </c>
      <c r="J1660" s="672" t="s">
        <v>10128</v>
      </c>
      <c r="K1660" s="672" t="s">
        <v>541</v>
      </c>
      <c r="L1660" s="672" t="s">
        <v>8996</v>
      </c>
    </row>
    <row r="1661" spans="1:12" x14ac:dyDescent="0.2">
      <c r="A1661" s="672" t="s">
        <v>220</v>
      </c>
      <c r="B1661" s="672" t="s">
        <v>2152</v>
      </c>
      <c r="C1661" s="672" t="s">
        <v>1434</v>
      </c>
      <c r="D1661" s="672" t="s">
        <v>1435</v>
      </c>
      <c r="E1661" s="745" t="s">
        <v>545</v>
      </c>
      <c r="F1661" s="747">
        <v>6096</v>
      </c>
      <c r="G1661" s="685">
        <v>0.48984999999999995</v>
      </c>
      <c r="H1661" s="685">
        <v>2986.1255999999998</v>
      </c>
      <c r="I1661" s="686" t="s">
        <v>9009</v>
      </c>
      <c r="J1661" s="672" t="s">
        <v>10128</v>
      </c>
      <c r="K1661" s="672" t="s">
        <v>541</v>
      </c>
      <c r="L1661" s="672" t="s">
        <v>8996</v>
      </c>
    </row>
    <row r="1662" spans="1:12" x14ac:dyDescent="0.2">
      <c r="A1662" s="672" t="s">
        <v>220</v>
      </c>
      <c r="B1662" s="672" t="s">
        <v>2152</v>
      </c>
      <c r="C1662" s="672" t="s">
        <v>2235</v>
      </c>
      <c r="D1662" s="672" t="s">
        <v>1437</v>
      </c>
      <c r="E1662" s="745" t="s">
        <v>545</v>
      </c>
      <c r="F1662" s="747">
        <v>6500</v>
      </c>
      <c r="G1662" s="685">
        <v>0.63629999999999998</v>
      </c>
      <c r="H1662" s="685">
        <v>4135.95</v>
      </c>
      <c r="I1662" s="686" t="s">
        <v>9009</v>
      </c>
      <c r="J1662" s="672" t="s">
        <v>10128</v>
      </c>
      <c r="K1662" s="672" t="s">
        <v>541</v>
      </c>
      <c r="L1662" s="672" t="s">
        <v>8996</v>
      </c>
    </row>
    <row r="1663" spans="1:12" x14ac:dyDescent="0.2">
      <c r="A1663" s="672" t="s">
        <v>220</v>
      </c>
      <c r="B1663" s="672" t="s">
        <v>2152</v>
      </c>
      <c r="C1663" s="672" t="s">
        <v>2236</v>
      </c>
      <c r="D1663" s="672" t="s">
        <v>2237</v>
      </c>
      <c r="E1663" s="745" t="s">
        <v>545</v>
      </c>
      <c r="F1663" s="747">
        <v>3000</v>
      </c>
      <c r="G1663" s="685">
        <v>0.1</v>
      </c>
      <c r="H1663" s="685">
        <v>300</v>
      </c>
      <c r="I1663" s="686" t="s">
        <v>9009</v>
      </c>
      <c r="J1663" s="672" t="s">
        <v>10128</v>
      </c>
      <c r="K1663" s="672" t="s">
        <v>541</v>
      </c>
      <c r="L1663" s="672" t="s">
        <v>8996</v>
      </c>
    </row>
    <row r="1664" spans="1:12" x14ac:dyDescent="0.2">
      <c r="A1664" s="672" t="s">
        <v>220</v>
      </c>
      <c r="B1664" s="672" t="s">
        <v>2152</v>
      </c>
      <c r="C1664" s="672" t="s">
        <v>2238</v>
      </c>
      <c r="D1664" s="672" t="s">
        <v>2239</v>
      </c>
      <c r="E1664" s="745" t="s">
        <v>545</v>
      </c>
      <c r="F1664" s="747">
        <v>2500</v>
      </c>
      <c r="G1664" s="685">
        <v>0.06</v>
      </c>
      <c r="H1664" s="685">
        <v>150</v>
      </c>
      <c r="I1664" s="686" t="s">
        <v>9009</v>
      </c>
      <c r="J1664" s="672" t="s">
        <v>10128</v>
      </c>
      <c r="K1664" s="672" t="s">
        <v>541</v>
      </c>
      <c r="L1664" s="672" t="s">
        <v>8996</v>
      </c>
    </row>
    <row r="1665" spans="1:12" x14ac:dyDescent="0.2">
      <c r="A1665" s="672" t="s">
        <v>220</v>
      </c>
      <c r="B1665" s="672" t="s">
        <v>2152</v>
      </c>
      <c r="C1665" s="672" t="s">
        <v>2240</v>
      </c>
      <c r="D1665" s="672" t="s">
        <v>2241</v>
      </c>
      <c r="E1665" s="745" t="s">
        <v>545</v>
      </c>
      <c r="F1665" s="747">
        <v>2500</v>
      </c>
      <c r="G1665" s="685">
        <v>0.2518296529968454</v>
      </c>
      <c r="H1665" s="685">
        <v>629.57413249211345</v>
      </c>
      <c r="I1665" s="686" t="s">
        <v>9009</v>
      </c>
      <c r="J1665" s="672" t="s">
        <v>10128</v>
      </c>
      <c r="K1665" s="672" t="s">
        <v>541</v>
      </c>
      <c r="L1665" s="672" t="s">
        <v>8996</v>
      </c>
    </row>
    <row r="1666" spans="1:12" x14ac:dyDescent="0.2">
      <c r="A1666" s="672" t="s">
        <v>220</v>
      </c>
      <c r="B1666" s="672" t="s">
        <v>2152</v>
      </c>
      <c r="C1666" s="672" t="s">
        <v>2242</v>
      </c>
      <c r="D1666" s="672" t="s">
        <v>2243</v>
      </c>
      <c r="E1666" s="745" t="s">
        <v>545</v>
      </c>
      <c r="F1666" s="747">
        <v>2000</v>
      </c>
      <c r="G1666" s="685">
        <v>0.22724999999999995</v>
      </c>
      <c r="H1666" s="685">
        <v>454.49999999999989</v>
      </c>
      <c r="I1666" s="686" t="s">
        <v>9009</v>
      </c>
      <c r="J1666" s="672" t="s">
        <v>10128</v>
      </c>
      <c r="K1666" s="672" t="s">
        <v>541</v>
      </c>
      <c r="L1666" s="672" t="s">
        <v>8996</v>
      </c>
    </row>
    <row r="1667" spans="1:12" x14ac:dyDescent="0.2">
      <c r="A1667" s="672" t="s">
        <v>220</v>
      </c>
      <c r="B1667" s="672" t="s">
        <v>2152</v>
      </c>
      <c r="C1667" s="672" t="s">
        <v>2244</v>
      </c>
      <c r="D1667" s="672" t="s">
        <v>2245</v>
      </c>
      <c r="E1667" s="745" t="s">
        <v>545</v>
      </c>
      <c r="F1667" s="747">
        <v>1500</v>
      </c>
      <c r="G1667" s="685">
        <v>0.27659480063693587</v>
      </c>
      <c r="H1667" s="685">
        <v>414.89220095540378</v>
      </c>
      <c r="I1667" s="686" t="s">
        <v>9009</v>
      </c>
      <c r="J1667" s="672" t="s">
        <v>10128</v>
      </c>
      <c r="K1667" s="672" t="s">
        <v>541</v>
      </c>
      <c r="L1667" s="672" t="s">
        <v>8996</v>
      </c>
    </row>
    <row r="1668" spans="1:12" x14ac:dyDescent="0.2">
      <c r="A1668" s="672" t="s">
        <v>220</v>
      </c>
      <c r="B1668" s="672" t="s">
        <v>2152</v>
      </c>
      <c r="C1668" s="672" t="s">
        <v>2246</v>
      </c>
      <c r="D1668" s="672" t="s">
        <v>2247</v>
      </c>
      <c r="E1668" s="745" t="s">
        <v>545</v>
      </c>
      <c r="F1668" s="747">
        <v>2200</v>
      </c>
      <c r="G1668" s="685">
        <v>0.30299999999999999</v>
      </c>
      <c r="H1668" s="685">
        <v>666.6</v>
      </c>
      <c r="I1668" s="686" t="s">
        <v>9009</v>
      </c>
      <c r="J1668" s="672" t="s">
        <v>10128</v>
      </c>
      <c r="K1668" s="672" t="s">
        <v>541</v>
      </c>
      <c r="L1668" s="672" t="s">
        <v>8996</v>
      </c>
    </row>
    <row r="1669" spans="1:12" x14ac:dyDescent="0.2">
      <c r="A1669" s="672" t="s">
        <v>220</v>
      </c>
      <c r="B1669" s="672" t="s">
        <v>2152</v>
      </c>
      <c r="C1669" s="672" t="s">
        <v>2248</v>
      </c>
      <c r="D1669" s="672" t="s">
        <v>2249</v>
      </c>
      <c r="E1669" s="745" t="s">
        <v>545</v>
      </c>
      <c r="F1669" s="747">
        <v>2200</v>
      </c>
      <c r="G1669" s="685">
        <v>0.30299999999999999</v>
      </c>
      <c r="H1669" s="685">
        <v>666.6</v>
      </c>
      <c r="I1669" s="686" t="s">
        <v>9009</v>
      </c>
      <c r="J1669" s="672" t="s">
        <v>10128</v>
      </c>
      <c r="K1669" s="672" t="s">
        <v>541</v>
      </c>
      <c r="L1669" s="672" t="s">
        <v>8996</v>
      </c>
    </row>
    <row r="1670" spans="1:12" x14ac:dyDescent="0.2">
      <c r="A1670" s="672" t="s">
        <v>220</v>
      </c>
      <c r="B1670" s="672" t="s">
        <v>2152</v>
      </c>
      <c r="C1670" s="672" t="s">
        <v>2250</v>
      </c>
      <c r="D1670" s="672" t="s">
        <v>2251</v>
      </c>
      <c r="E1670" s="745" t="s">
        <v>545</v>
      </c>
      <c r="F1670" s="747">
        <v>3000</v>
      </c>
      <c r="G1670" s="685">
        <v>0.37010515374331554</v>
      </c>
      <c r="H1670" s="685">
        <v>1110.3154612299465</v>
      </c>
      <c r="I1670" s="686" t="s">
        <v>9009</v>
      </c>
      <c r="J1670" s="672" t="s">
        <v>10128</v>
      </c>
      <c r="K1670" s="672" t="s">
        <v>541</v>
      </c>
      <c r="L1670" s="672" t="s">
        <v>8996</v>
      </c>
    </row>
    <row r="1671" spans="1:12" x14ac:dyDescent="0.2">
      <c r="A1671" s="672" t="s">
        <v>220</v>
      </c>
      <c r="B1671" s="672" t="s">
        <v>2152</v>
      </c>
      <c r="C1671" s="672" t="s">
        <v>2252</v>
      </c>
      <c r="D1671" s="672" t="s">
        <v>2253</v>
      </c>
      <c r="E1671" s="745" t="s">
        <v>545</v>
      </c>
      <c r="F1671" s="747">
        <v>1000</v>
      </c>
      <c r="G1671" s="685">
        <v>0.82820000000000005</v>
      </c>
      <c r="H1671" s="685">
        <v>828.2</v>
      </c>
      <c r="I1671" s="686" t="s">
        <v>9009</v>
      </c>
      <c r="J1671" s="672" t="s">
        <v>10128</v>
      </c>
      <c r="K1671" s="672" t="s">
        <v>541</v>
      </c>
      <c r="L1671" s="672" t="s">
        <v>8996</v>
      </c>
    </row>
    <row r="1672" spans="1:12" x14ac:dyDescent="0.2">
      <c r="A1672" s="672" t="s">
        <v>220</v>
      </c>
      <c r="B1672" s="672" t="s">
        <v>2152</v>
      </c>
      <c r="C1672" s="672" t="s">
        <v>2254</v>
      </c>
      <c r="D1672" s="672" t="s">
        <v>2255</v>
      </c>
      <c r="E1672" s="745" t="s">
        <v>545</v>
      </c>
      <c r="F1672" s="747">
        <v>2300</v>
      </c>
      <c r="G1672" s="685">
        <v>0.1340995507705729</v>
      </c>
      <c r="H1672" s="685">
        <v>308.42896677231766</v>
      </c>
      <c r="I1672" s="686" t="s">
        <v>9009</v>
      </c>
      <c r="J1672" s="672" t="s">
        <v>10128</v>
      </c>
      <c r="K1672" s="672" t="s">
        <v>541</v>
      </c>
      <c r="L1672" s="672" t="s">
        <v>8996</v>
      </c>
    </row>
    <row r="1673" spans="1:12" x14ac:dyDescent="0.2">
      <c r="A1673" s="672" t="s">
        <v>220</v>
      </c>
      <c r="B1673" s="672" t="s">
        <v>2152</v>
      </c>
      <c r="C1673" s="672" t="s">
        <v>2256</v>
      </c>
      <c r="D1673" s="672" t="s">
        <v>2257</v>
      </c>
      <c r="E1673" s="745" t="s">
        <v>545</v>
      </c>
      <c r="F1673" s="747">
        <v>500</v>
      </c>
      <c r="G1673" s="685">
        <v>7.5999999999999998E-2</v>
      </c>
      <c r="H1673" s="685">
        <v>38</v>
      </c>
      <c r="I1673" s="686" t="s">
        <v>9009</v>
      </c>
      <c r="J1673" s="672" t="s">
        <v>10128</v>
      </c>
      <c r="K1673" s="672" t="s">
        <v>541</v>
      </c>
      <c r="L1673" s="672" t="s">
        <v>8996</v>
      </c>
    </row>
    <row r="1674" spans="1:12" x14ac:dyDescent="0.2">
      <c r="A1674" s="672" t="s">
        <v>220</v>
      </c>
      <c r="B1674" s="672" t="s">
        <v>2152</v>
      </c>
      <c r="C1674" s="672" t="s">
        <v>2258</v>
      </c>
      <c r="D1674" s="672" t="s">
        <v>2259</v>
      </c>
      <c r="E1674" s="745" t="s">
        <v>545</v>
      </c>
      <c r="F1674" s="747">
        <v>1000</v>
      </c>
      <c r="G1674" s="685">
        <v>0.10545201249132548</v>
      </c>
      <c r="H1674" s="685">
        <v>105.45201249132548</v>
      </c>
      <c r="I1674" s="686" t="s">
        <v>9009</v>
      </c>
      <c r="J1674" s="672" t="s">
        <v>10128</v>
      </c>
      <c r="K1674" s="672" t="s">
        <v>541</v>
      </c>
      <c r="L1674" s="672" t="s">
        <v>8996</v>
      </c>
    </row>
    <row r="1675" spans="1:12" x14ac:dyDescent="0.2">
      <c r="A1675" s="672" t="s">
        <v>220</v>
      </c>
      <c r="B1675" s="672" t="s">
        <v>2152</v>
      </c>
      <c r="C1675" s="672" t="s">
        <v>2260</v>
      </c>
      <c r="D1675" s="672" t="s">
        <v>2261</v>
      </c>
      <c r="E1675" s="745" t="s">
        <v>545</v>
      </c>
      <c r="F1675" s="747">
        <v>2400</v>
      </c>
      <c r="G1675" s="685">
        <v>0.30299999999999999</v>
      </c>
      <c r="H1675" s="685">
        <v>727.19999999999993</v>
      </c>
      <c r="I1675" s="686" t="s">
        <v>9009</v>
      </c>
      <c r="J1675" s="672" t="s">
        <v>10128</v>
      </c>
      <c r="K1675" s="672" t="s">
        <v>541</v>
      </c>
      <c r="L1675" s="672" t="s">
        <v>8996</v>
      </c>
    </row>
    <row r="1676" spans="1:12" x14ac:dyDescent="0.2">
      <c r="A1676" s="672" t="s">
        <v>220</v>
      </c>
      <c r="B1676" s="672" t="s">
        <v>2152</v>
      </c>
      <c r="C1676" s="672" t="s">
        <v>2262</v>
      </c>
      <c r="D1676" s="672" t="s">
        <v>2263</v>
      </c>
      <c r="E1676" s="745" t="s">
        <v>545</v>
      </c>
      <c r="F1676" s="747">
        <v>2000</v>
      </c>
      <c r="G1676" s="685">
        <v>0.26722962706336201</v>
      </c>
      <c r="H1676" s="685">
        <v>534.45925412672398</v>
      </c>
      <c r="I1676" s="686" t="s">
        <v>9009</v>
      </c>
      <c r="J1676" s="672" t="s">
        <v>10128</v>
      </c>
      <c r="K1676" s="672" t="s">
        <v>541</v>
      </c>
      <c r="L1676" s="672" t="s">
        <v>8996</v>
      </c>
    </row>
    <row r="1677" spans="1:12" x14ac:dyDescent="0.2">
      <c r="A1677" s="672" t="s">
        <v>220</v>
      </c>
      <c r="B1677" s="672" t="s">
        <v>2152</v>
      </c>
      <c r="C1677" s="672" t="s">
        <v>2266</v>
      </c>
      <c r="D1677" s="672" t="s">
        <v>2267</v>
      </c>
      <c r="E1677" s="745" t="s">
        <v>545</v>
      </c>
      <c r="F1677" s="747">
        <v>2000</v>
      </c>
      <c r="G1677" s="685">
        <v>0.29289999999999999</v>
      </c>
      <c r="H1677" s="685">
        <v>585.79999999999995</v>
      </c>
      <c r="I1677" s="686" t="s">
        <v>9009</v>
      </c>
      <c r="J1677" s="672" t="s">
        <v>10128</v>
      </c>
      <c r="K1677" s="672" t="s">
        <v>541</v>
      </c>
      <c r="L1677" s="672" t="s">
        <v>8996</v>
      </c>
    </row>
    <row r="1678" spans="1:12" x14ac:dyDescent="0.2">
      <c r="A1678" s="672" t="s">
        <v>220</v>
      </c>
      <c r="B1678" s="672" t="s">
        <v>2152</v>
      </c>
      <c r="C1678" s="672" t="s">
        <v>2268</v>
      </c>
      <c r="D1678" s="672" t="s">
        <v>2269</v>
      </c>
      <c r="E1678" s="745" t="s">
        <v>545</v>
      </c>
      <c r="F1678" s="747">
        <v>2500</v>
      </c>
      <c r="G1678" s="685">
        <v>0.14661583064481437</v>
      </c>
      <c r="H1678" s="685">
        <v>366.53957661203594</v>
      </c>
      <c r="I1678" s="686" t="s">
        <v>9009</v>
      </c>
      <c r="J1678" s="672" t="s">
        <v>10128</v>
      </c>
      <c r="K1678" s="672" t="s">
        <v>541</v>
      </c>
      <c r="L1678" s="672" t="s">
        <v>8996</v>
      </c>
    </row>
    <row r="1679" spans="1:12" x14ac:dyDescent="0.2">
      <c r="A1679" s="672" t="s">
        <v>220</v>
      </c>
      <c r="B1679" s="672" t="s">
        <v>2152</v>
      </c>
      <c r="C1679" s="672" t="s">
        <v>2270</v>
      </c>
      <c r="D1679" s="672" t="s">
        <v>2271</v>
      </c>
      <c r="E1679" s="745" t="s">
        <v>545</v>
      </c>
      <c r="F1679" s="747">
        <v>1000</v>
      </c>
      <c r="G1679" s="685">
        <v>0.18640952380952377</v>
      </c>
      <c r="H1679" s="685">
        <v>186.40952380952376</v>
      </c>
      <c r="I1679" s="686" t="s">
        <v>9009</v>
      </c>
      <c r="J1679" s="672" t="s">
        <v>10128</v>
      </c>
      <c r="K1679" s="672" t="s">
        <v>541</v>
      </c>
      <c r="L1679" s="672" t="s">
        <v>8996</v>
      </c>
    </row>
    <row r="1680" spans="1:12" x14ac:dyDescent="0.2">
      <c r="A1680" s="672" t="s">
        <v>220</v>
      </c>
      <c r="B1680" s="672" t="s">
        <v>2152</v>
      </c>
      <c r="C1680" s="672" t="s">
        <v>2272</v>
      </c>
      <c r="D1680" s="672" t="s">
        <v>2273</v>
      </c>
      <c r="E1680" s="745" t="s">
        <v>545</v>
      </c>
      <c r="F1680" s="747">
        <v>1000</v>
      </c>
      <c r="G1680" s="685">
        <v>0.20049655340859748</v>
      </c>
      <c r="H1680" s="685">
        <v>200.49655340859749</v>
      </c>
      <c r="I1680" s="686" t="s">
        <v>9009</v>
      </c>
      <c r="J1680" s="672" t="s">
        <v>10128</v>
      </c>
      <c r="K1680" s="672" t="s">
        <v>541</v>
      </c>
      <c r="L1680" s="672" t="s">
        <v>8996</v>
      </c>
    </row>
    <row r="1681" spans="1:12" x14ac:dyDescent="0.2">
      <c r="A1681" s="672" t="s">
        <v>220</v>
      </c>
      <c r="B1681" s="672" t="s">
        <v>2152</v>
      </c>
      <c r="C1681" s="672" t="s">
        <v>2274</v>
      </c>
      <c r="D1681" s="672" t="s">
        <v>2275</v>
      </c>
      <c r="E1681" s="745" t="s">
        <v>545</v>
      </c>
      <c r="F1681" s="747">
        <v>2000</v>
      </c>
      <c r="G1681" s="685">
        <v>8.0799999999999997E-2</v>
      </c>
      <c r="H1681" s="685">
        <v>161.6</v>
      </c>
      <c r="I1681" s="686" t="s">
        <v>9009</v>
      </c>
      <c r="J1681" s="672" t="s">
        <v>10128</v>
      </c>
      <c r="K1681" s="672" t="s">
        <v>541</v>
      </c>
      <c r="L1681" s="672" t="s">
        <v>8996</v>
      </c>
    </row>
    <row r="1682" spans="1:12" x14ac:dyDescent="0.2">
      <c r="A1682" s="672" t="s">
        <v>220</v>
      </c>
      <c r="B1682" s="672" t="s">
        <v>2152</v>
      </c>
      <c r="C1682" s="672" t="s">
        <v>2276</v>
      </c>
      <c r="D1682" s="672" t="s">
        <v>2277</v>
      </c>
      <c r="E1682" s="745" t="s">
        <v>545</v>
      </c>
      <c r="F1682" s="747">
        <v>700</v>
      </c>
      <c r="G1682" s="685">
        <v>0.22219999999999998</v>
      </c>
      <c r="H1682" s="685">
        <v>155.54</v>
      </c>
      <c r="I1682" s="686" t="s">
        <v>9009</v>
      </c>
      <c r="J1682" s="672" t="s">
        <v>10128</v>
      </c>
      <c r="K1682" s="672" t="s">
        <v>541</v>
      </c>
      <c r="L1682" s="672" t="s">
        <v>8996</v>
      </c>
    </row>
    <row r="1683" spans="1:12" x14ac:dyDescent="0.2">
      <c r="A1683" s="672" t="s">
        <v>220</v>
      </c>
      <c r="B1683" s="672" t="s">
        <v>2152</v>
      </c>
      <c r="C1683" s="672" t="s">
        <v>2278</v>
      </c>
      <c r="D1683" s="672" t="s">
        <v>2279</v>
      </c>
      <c r="E1683" s="745" t="s">
        <v>545</v>
      </c>
      <c r="F1683" s="747">
        <v>1000</v>
      </c>
      <c r="G1683" s="685">
        <v>0.27158617327144191</v>
      </c>
      <c r="H1683" s="685">
        <v>271.58617327144191</v>
      </c>
      <c r="I1683" s="686" t="s">
        <v>9009</v>
      </c>
      <c r="J1683" s="672" t="s">
        <v>10128</v>
      </c>
      <c r="K1683" s="672" t="s">
        <v>541</v>
      </c>
      <c r="L1683" s="672" t="s">
        <v>8996</v>
      </c>
    </row>
    <row r="1684" spans="1:12" x14ac:dyDescent="0.2">
      <c r="A1684" s="672" t="s">
        <v>220</v>
      </c>
      <c r="B1684" s="672" t="s">
        <v>2152</v>
      </c>
      <c r="C1684" s="672" t="s">
        <v>2280</v>
      </c>
      <c r="D1684" s="672" t="s">
        <v>2281</v>
      </c>
      <c r="E1684" s="745" t="s">
        <v>545</v>
      </c>
      <c r="F1684" s="747">
        <v>1700</v>
      </c>
      <c r="G1684" s="685">
        <v>0.25646241902594008</v>
      </c>
      <c r="H1684" s="685">
        <v>435.98611234409816</v>
      </c>
      <c r="I1684" s="686" t="s">
        <v>9009</v>
      </c>
      <c r="J1684" s="672" t="s">
        <v>10128</v>
      </c>
      <c r="K1684" s="672" t="s">
        <v>541</v>
      </c>
      <c r="L1684" s="672" t="s">
        <v>8996</v>
      </c>
    </row>
    <row r="1685" spans="1:12" x14ac:dyDescent="0.2">
      <c r="A1685" s="672" t="s">
        <v>220</v>
      </c>
      <c r="B1685" s="672" t="s">
        <v>2152</v>
      </c>
      <c r="C1685" s="672" t="s">
        <v>2282</v>
      </c>
      <c r="D1685" s="672" t="s">
        <v>2283</v>
      </c>
      <c r="E1685" s="745" t="s">
        <v>545</v>
      </c>
      <c r="F1685" s="747">
        <v>1000</v>
      </c>
      <c r="G1685" s="685">
        <v>0.24569383034335271</v>
      </c>
      <c r="H1685" s="685">
        <v>245.69383034335272</v>
      </c>
      <c r="I1685" s="686" t="s">
        <v>9009</v>
      </c>
      <c r="J1685" s="672" t="s">
        <v>10128</v>
      </c>
      <c r="K1685" s="672" t="s">
        <v>541</v>
      </c>
      <c r="L1685" s="672" t="s">
        <v>8996</v>
      </c>
    </row>
    <row r="1686" spans="1:12" x14ac:dyDescent="0.2">
      <c r="A1686" s="672" t="s">
        <v>220</v>
      </c>
      <c r="B1686" s="672" t="s">
        <v>2152</v>
      </c>
      <c r="C1686" s="672" t="s">
        <v>2284</v>
      </c>
      <c r="D1686" s="672" t="s">
        <v>2285</v>
      </c>
      <c r="E1686" s="745" t="s">
        <v>545</v>
      </c>
      <c r="F1686" s="747">
        <v>2000</v>
      </c>
      <c r="G1686" s="685">
        <v>0.17410476190476185</v>
      </c>
      <c r="H1686" s="685">
        <v>348.20952380952372</v>
      </c>
      <c r="I1686" s="686" t="s">
        <v>9009</v>
      </c>
      <c r="J1686" s="672" t="s">
        <v>10128</v>
      </c>
      <c r="K1686" s="672" t="s">
        <v>541</v>
      </c>
      <c r="L1686" s="672" t="s">
        <v>8996</v>
      </c>
    </row>
    <row r="1687" spans="1:12" x14ac:dyDescent="0.2">
      <c r="A1687" s="672" t="s">
        <v>220</v>
      </c>
      <c r="B1687" s="672" t="s">
        <v>2152</v>
      </c>
      <c r="C1687" s="672" t="s">
        <v>2286</v>
      </c>
      <c r="D1687" s="672" t="s">
        <v>2287</v>
      </c>
      <c r="E1687" s="745" t="s">
        <v>545</v>
      </c>
      <c r="F1687" s="747">
        <v>2000</v>
      </c>
      <c r="G1687" s="685">
        <v>0.2525</v>
      </c>
      <c r="H1687" s="685">
        <v>505</v>
      </c>
      <c r="I1687" s="686" t="s">
        <v>9009</v>
      </c>
      <c r="J1687" s="672" t="s">
        <v>10128</v>
      </c>
      <c r="K1687" s="672" t="s">
        <v>541</v>
      </c>
      <c r="L1687" s="672" t="s">
        <v>8996</v>
      </c>
    </row>
    <row r="1688" spans="1:12" x14ac:dyDescent="0.2">
      <c r="A1688" s="672" t="s">
        <v>220</v>
      </c>
      <c r="B1688" s="672" t="s">
        <v>2152</v>
      </c>
      <c r="C1688" s="672" t="s">
        <v>2288</v>
      </c>
      <c r="D1688" s="672" t="s">
        <v>2289</v>
      </c>
      <c r="E1688" s="745" t="s">
        <v>545</v>
      </c>
      <c r="F1688" s="747">
        <v>2000</v>
      </c>
      <c r="G1688" s="685">
        <v>0.26352316456834513</v>
      </c>
      <c r="H1688" s="685">
        <v>527.04632913669025</v>
      </c>
      <c r="I1688" s="686" t="s">
        <v>9009</v>
      </c>
      <c r="J1688" s="672" t="s">
        <v>10128</v>
      </c>
      <c r="K1688" s="672" t="s">
        <v>541</v>
      </c>
      <c r="L1688" s="672" t="s">
        <v>8996</v>
      </c>
    </row>
    <row r="1689" spans="1:12" x14ac:dyDescent="0.2">
      <c r="A1689" s="672" t="s">
        <v>220</v>
      </c>
      <c r="B1689" s="672" t="s">
        <v>2152</v>
      </c>
      <c r="C1689" s="672" t="s">
        <v>2290</v>
      </c>
      <c r="D1689" s="672" t="s">
        <v>2291</v>
      </c>
      <c r="E1689" s="745" t="s">
        <v>545</v>
      </c>
      <c r="F1689" s="747">
        <v>1900</v>
      </c>
      <c r="G1689" s="685">
        <v>0.10610834090417477</v>
      </c>
      <c r="H1689" s="685">
        <v>201.60584771793208</v>
      </c>
      <c r="I1689" s="686" t="s">
        <v>9009</v>
      </c>
      <c r="J1689" s="672" t="s">
        <v>10128</v>
      </c>
      <c r="K1689" s="672" t="s">
        <v>541</v>
      </c>
      <c r="L1689" s="672" t="s">
        <v>8996</v>
      </c>
    </row>
    <row r="1690" spans="1:12" x14ac:dyDescent="0.2">
      <c r="A1690" s="672" t="s">
        <v>220</v>
      </c>
      <c r="B1690" s="672" t="s">
        <v>2152</v>
      </c>
      <c r="C1690" s="672" t="s">
        <v>1504</v>
      </c>
      <c r="D1690" s="672" t="s">
        <v>1505</v>
      </c>
      <c r="E1690" s="745" t="s">
        <v>545</v>
      </c>
      <c r="F1690" s="747">
        <v>460</v>
      </c>
      <c r="G1690" s="685">
        <v>0.30071575047882365</v>
      </c>
      <c r="H1690" s="685">
        <v>138.32924522025888</v>
      </c>
      <c r="I1690" s="686" t="s">
        <v>9009</v>
      </c>
      <c r="J1690" s="672" t="s">
        <v>10128</v>
      </c>
      <c r="K1690" s="672" t="s">
        <v>541</v>
      </c>
      <c r="L1690" s="672" t="s">
        <v>8996</v>
      </c>
    </row>
    <row r="1691" spans="1:12" x14ac:dyDescent="0.2">
      <c r="A1691" s="672" t="s">
        <v>220</v>
      </c>
      <c r="B1691" s="672" t="s">
        <v>2152</v>
      </c>
      <c r="C1691" s="672" t="s">
        <v>2292</v>
      </c>
      <c r="D1691" s="672" t="s">
        <v>2293</v>
      </c>
      <c r="E1691" s="745" t="s">
        <v>545</v>
      </c>
      <c r="F1691" s="747">
        <v>3500</v>
      </c>
      <c r="G1691" s="685">
        <v>0.125</v>
      </c>
      <c r="H1691" s="685">
        <v>437.5</v>
      </c>
      <c r="I1691" s="686" t="s">
        <v>9009</v>
      </c>
      <c r="J1691" s="672" t="s">
        <v>10128</v>
      </c>
      <c r="K1691" s="672" t="s">
        <v>541</v>
      </c>
      <c r="L1691" s="672" t="s">
        <v>8996</v>
      </c>
    </row>
    <row r="1692" spans="1:12" x14ac:dyDescent="0.2">
      <c r="A1692" s="672" t="s">
        <v>220</v>
      </c>
      <c r="B1692" s="672" t="s">
        <v>2152</v>
      </c>
      <c r="C1692" s="672" t="s">
        <v>2294</v>
      </c>
      <c r="D1692" s="672" t="s">
        <v>2295</v>
      </c>
      <c r="E1692" s="745" t="s">
        <v>545</v>
      </c>
      <c r="F1692" s="747">
        <v>1000</v>
      </c>
      <c r="G1692" s="685">
        <v>3.3489166387679951E-2</v>
      </c>
      <c r="H1692" s="685">
        <v>33.489166387679951</v>
      </c>
      <c r="I1692" s="686" t="s">
        <v>9009</v>
      </c>
      <c r="J1692" s="672" t="s">
        <v>10128</v>
      </c>
      <c r="K1692" s="672" t="s">
        <v>541</v>
      </c>
      <c r="L1692" s="672" t="s">
        <v>8996</v>
      </c>
    </row>
    <row r="1693" spans="1:12" x14ac:dyDescent="0.2">
      <c r="A1693" s="672" t="s">
        <v>220</v>
      </c>
      <c r="B1693" s="672" t="s">
        <v>2152</v>
      </c>
      <c r="C1693" s="672" t="s">
        <v>2296</v>
      </c>
      <c r="D1693" s="672" t="s">
        <v>2297</v>
      </c>
      <c r="E1693" s="745" t="s">
        <v>545</v>
      </c>
      <c r="F1693" s="747">
        <v>1000</v>
      </c>
      <c r="G1693" s="685">
        <v>0.15866131221719457</v>
      </c>
      <c r="H1693" s="685">
        <v>158.66131221719456</v>
      </c>
      <c r="I1693" s="686" t="s">
        <v>9009</v>
      </c>
      <c r="J1693" s="672" t="s">
        <v>10128</v>
      </c>
      <c r="K1693" s="672" t="s">
        <v>541</v>
      </c>
      <c r="L1693" s="672" t="s">
        <v>8996</v>
      </c>
    </row>
    <row r="1694" spans="1:12" x14ac:dyDescent="0.2">
      <c r="A1694" s="672" t="s">
        <v>220</v>
      </c>
      <c r="B1694" s="672" t="s">
        <v>2152</v>
      </c>
      <c r="C1694" s="672" t="s">
        <v>2298</v>
      </c>
      <c r="D1694" s="672" t="s">
        <v>2299</v>
      </c>
      <c r="E1694" s="745" t="s">
        <v>545</v>
      </c>
      <c r="F1694" s="747">
        <v>3400</v>
      </c>
      <c r="G1694" s="685">
        <v>0.17169999999999999</v>
      </c>
      <c r="H1694" s="685">
        <v>583.78</v>
      </c>
      <c r="I1694" s="686" t="s">
        <v>9009</v>
      </c>
      <c r="J1694" s="672" t="s">
        <v>10128</v>
      </c>
      <c r="K1694" s="672" t="s">
        <v>541</v>
      </c>
      <c r="L1694" s="672" t="s">
        <v>8996</v>
      </c>
    </row>
    <row r="1695" spans="1:12" x14ac:dyDescent="0.2">
      <c r="A1695" s="672" t="s">
        <v>220</v>
      </c>
      <c r="B1695" s="672" t="s">
        <v>2152</v>
      </c>
      <c r="C1695" s="672" t="s">
        <v>2300</v>
      </c>
      <c r="D1695" s="672" t="s">
        <v>2301</v>
      </c>
      <c r="E1695" s="745" t="s">
        <v>545</v>
      </c>
      <c r="F1695" s="747">
        <v>5000</v>
      </c>
      <c r="G1695" s="685">
        <v>0.17729165545879538</v>
      </c>
      <c r="H1695" s="685">
        <v>886.45827729397695</v>
      </c>
      <c r="I1695" s="686" t="s">
        <v>9009</v>
      </c>
      <c r="J1695" s="672" t="s">
        <v>10128</v>
      </c>
      <c r="K1695" s="672" t="s">
        <v>541</v>
      </c>
      <c r="L1695" s="672" t="s">
        <v>8996</v>
      </c>
    </row>
    <row r="1696" spans="1:12" x14ac:dyDescent="0.2">
      <c r="A1696" s="672" t="s">
        <v>220</v>
      </c>
      <c r="B1696" s="672" t="s">
        <v>2152</v>
      </c>
      <c r="C1696" s="672" t="s">
        <v>2302</v>
      </c>
      <c r="D1696" s="672" t="s">
        <v>2303</v>
      </c>
      <c r="E1696" s="745" t="s">
        <v>545</v>
      </c>
      <c r="F1696" s="747">
        <v>3463</v>
      </c>
      <c r="G1696" s="685">
        <v>0.20228623237993706</v>
      </c>
      <c r="H1696" s="685">
        <v>700.51722273172209</v>
      </c>
      <c r="I1696" s="686" t="s">
        <v>9009</v>
      </c>
      <c r="J1696" s="672" t="s">
        <v>10128</v>
      </c>
      <c r="K1696" s="672" t="s">
        <v>541</v>
      </c>
      <c r="L1696" s="672" t="s">
        <v>8996</v>
      </c>
    </row>
    <row r="1697" spans="1:12" x14ac:dyDescent="0.2">
      <c r="A1697" s="672" t="s">
        <v>220</v>
      </c>
      <c r="B1697" s="672" t="s">
        <v>2152</v>
      </c>
      <c r="C1697" s="672" t="s">
        <v>1516</v>
      </c>
      <c r="D1697" s="672" t="s">
        <v>1517</v>
      </c>
      <c r="E1697" s="745" t="s">
        <v>545</v>
      </c>
      <c r="F1697" s="747">
        <v>2600</v>
      </c>
      <c r="G1697" s="685">
        <v>0.35295722527875129</v>
      </c>
      <c r="H1697" s="685">
        <v>917.6887857247533</v>
      </c>
      <c r="I1697" s="686" t="s">
        <v>9009</v>
      </c>
      <c r="J1697" s="672" t="s">
        <v>10128</v>
      </c>
      <c r="K1697" s="672" t="s">
        <v>541</v>
      </c>
      <c r="L1697" s="672" t="s">
        <v>8996</v>
      </c>
    </row>
    <row r="1698" spans="1:12" x14ac:dyDescent="0.2">
      <c r="A1698" s="672" t="s">
        <v>220</v>
      </c>
      <c r="B1698" s="672" t="s">
        <v>2152</v>
      </c>
      <c r="C1698" s="672" t="s">
        <v>2304</v>
      </c>
      <c r="D1698" s="672" t="s">
        <v>2305</v>
      </c>
      <c r="E1698" s="745" t="s">
        <v>545</v>
      </c>
      <c r="F1698" s="747">
        <v>2000</v>
      </c>
      <c r="G1698" s="685">
        <v>0.12548780487804878</v>
      </c>
      <c r="H1698" s="685">
        <v>250.97560975609755</v>
      </c>
      <c r="I1698" s="686" t="s">
        <v>9009</v>
      </c>
      <c r="J1698" s="672" t="s">
        <v>10128</v>
      </c>
      <c r="K1698" s="672" t="s">
        <v>541</v>
      </c>
      <c r="L1698" s="672" t="s">
        <v>8996</v>
      </c>
    </row>
    <row r="1699" spans="1:12" x14ac:dyDescent="0.2">
      <c r="A1699" s="672" t="s">
        <v>220</v>
      </c>
      <c r="B1699" s="672" t="s">
        <v>2152</v>
      </c>
      <c r="C1699" s="672" t="s">
        <v>2306</v>
      </c>
      <c r="D1699" s="672" t="s">
        <v>2307</v>
      </c>
      <c r="E1699" s="745" t="s">
        <v>545</v>
      </c>
      <c r="F1699" s="747">
        <v>6400</v>
      </c>
      <c r="G1699" s="685">
        <v>0.24233607594936707</v>
      </c>
      <c r="H1699" s="685">
        <v>1550.9508860759493</v>
      </c>
      <c r="I1699" s="686" t="s">
        <v>9009</v>
      </c>
      <c r="J1699" s="672" t="s">
        <v>10128</v>
      </c>
      <c r="K1699" s="672" t="s">
        <v>541</v>
      </c>
      <c r="L1699" s="672" t="s">
        <v>8996</v>
      </c>
    </row>
    <row r="1700" spans="1:12" x14ac:dyDescent="0.2">
      <c r="A1700" s="672" t="s">
        <v>220</v>
      </c>
      <c r="B1700" s="672" t="s">
        <v>2152</v>
      </c>
      <c r="C1700" s="672" t="s">
        <v>1518</v>
      </c>
      <c r="D1700" s="672" t="s">
        <v>1519</v>
      </c>
      <c r="E1700" s="745" t="s">
        <v>545</v>
      </c>
      <c r="F1700" s="747">
        <v>3100</v>
      </c>
      <c r="G1700" s="685">
        <v>0.23626010935804323</v>
      </c>
      <c r="H1700" s="685">
        <v>732.40633900993396</v>
      </c>
      <c r="I1700" s="686" t="s">
        <v>9009</v>
      </c>
      <c r="J1700" s="672" t="s">
        <v>10128</v>
      </c>
      <c r="K1700" s="672" t="s">
        <v>541</v>
      </c>
      <c r="L1700" s="672" t="s">
        <v>8996</v>
      </c>
    </row>
    <row r="1701" spans="1:12" x14ac:dyDescent="0.2">
      <c r="A1701" s="672" t="s">
        <v>220</v>
      </c>
      <c r="B1701" s="672" t="s">
        <v>2152</v>
      </c>
      <c r="C1701" s="672" t="s">
        <v>2308</v>
      </c>
      <c r="D1701" s="672" t="s">
        <v>2309</v>
      </c>
      <c r="E1701" s="745" t="s">
        <v>545</v>
      </c>
      <c r="F1701" s="747">
        <v>6000</v>
      </c>
      <c r="G1701" s="685">
        <v>7.0699999999999999E-2</v>
      </c>
      <c r="H1701" s="685">
        <v>424.2</v>
      </c>
      <c r="I1701" s="686" t="s">
        <v>9009</v>
      </c>
      <c r="J1701" s="672" t="s">
        <v>10128</v>
      </c>
      <c r="K1701" s="672" t="s">
        <v>541</v>
      </c>
      <c r="L1701" s="672" t="s">
        <v>8996</v>
      </c>
    </row>
    <row r="1702" spans="1:12" x14ac:dyDescent="0.2">
      <c r="A1702" s="672" t="s">
        <v>220</v>
      </c>
      <c r="B1702" s="672" t="s">
        <v>2152</v>
      </c>
      <c r="C1702" s="672" t="s">
        <v>1553</v>
      </c>
      <c r="D1702" s="672" t="s">
        <v>1554</v>
      </c>
      <c r="E1702" s="745" t="s">
        <v>545</v>
      </c>
      <c r="F1702" s="747">
        <v>47600</v>
      </c>
      <c r="G1702" s="685">
        <v>0.19905091680227216</v>
      </c>
      <c r="H1702" s="685">
        <v>9474.8236397881556</v>
      </c>
      <c r="I1702" s="686" t="s">
        <v>9009</v>
      </c>
      <c r="J1702" s="672" t="s">
        <v>10128</v>
      </c>
      <c r="K1702" s="672" t="s">
        <v>541</v>
      </c>
      <c r="L1702" s="672" t="s">
        <v>8996</v>
      </c>
    </row>
    <row r="1703" spans="1:12" x14ac:dyDescent="0.2">
      <c r="A1703" s="672" t="s">
        <v>220</v>
      </c>
      <c r="B1703" s="672" t="s">
        <v>2152</v>
      </c>
      <c r="C1703" s="672" t="s">
        <v>2310</v>
      </c>
      <c r="D1703" s="672" t="s">
        <v>2311</v>
      </c>
      <c r="E1703" s="745" t="s">
        <v>545</v>
      </c>
      <c r="F1703" s="747">
        <v>1000</v>
      </c>
      <c r="G1703" s="685">
        <v>0.25987967479674801</v>
      </c>
      <c r="H1703" s="685">
        <v>259.87967479674802</v>
      </c>
      <c r="I1703" s="686" t="s">
        <v>9009</v>
      </c>
      <c r="J1703" s="672" t="s">
        <v>10128</v>
      </c>
      <c r="K1703" s="672" t="s">
        <v>541</v>
      </c>
      <c r="L1703" s="672" t="s">
        <v>8996</v>
      </c>
    </row>
    <row r="1704" spans="1:12" x14ac:dyDescent="0.2">
      <c r="A1704" s="672" t="s">
        <v>220</v>
      </c>
      <c r="B1704" s="672" t="s">
        <v>2152</v>
      </c>
      <c r="C1704" s="672" t="s">
        <v>2312</v>
      </c>
      <c r="D1704" s="672" t="s">
        <v>2313</v>
      </c>
      <c r="E1704" s="745" t="s">
        <v>545</v>
      </c>
      <c r="F1704" s="747">
        <v>2500</v>
      </c>
      <c r="G1704" s="685">
        <v>0.33096666666666663</v>
      </c>
      <c r="H1704" s="685">
        <v>827.41666666666663</v>
      </c>
      <c r="I1704" s="686" t="s">
        <v>9009</v>
      </c>
      <c r="J1704" s="672" t="s">
        <v>10128</v>
      </c>
      <c r="K1704" s="672" t="s">
        <v>541</v>
      </c>
      <c r="L1704" s="672" t="s">
        <v>8996</v>
      </c>
    </row>
    <row r="1705" spans="1:12" x14ac:dyDescent="0.2">
      <c r="A1705" s="672" t="s">
        <v>220</v>
      </c>
      <c r="B1705" s="672" t="s">
        <v>2152</v>
      </c>
      <c r="C1705" s="672" t="s">
        <v>2314</v>
      </c>
      <c r="D1705" s="672" t="s">
        <v>2315</v>
      </c>
      <c r="E1705" s="745" t="s">
        <v>545</v>
      </c>
      <c r="F1705" s="747">
        <v>3500</v>
      </c>
      <c r="G1705" s="685">
        <v>0.13561250000000002</v>
      </c>
      <c r="H1705" s="685">
        <v>474.64375000000007</v>
      </c>
      <c r="I1705" s="686" t="s">
        <v>9009</v>
      </c>
      <c r="J1705" s="672" t="s">
        <v>10128</v>
      </c>
      <c r="K1705" s="672" t="s">
        <v>541</v>
      </c>
      <c r="L1705" s="672" t="s">
        <v>8996</v>
      </c>
    </row>
    <row r="1706" spans="1:12" x14ac:dyDescent="0.2">
      <c r="A1706" s="672" t="s">
        <v>220</v>
      </c>
      <c r="B1706" s="672" t="s">
        <v>2152</v>
      </c>
      <c r="C1706" s="672" t="s">
        <v>2316</v>
      </c>
      <c r="D1706" s="672" t="s">
        <v>2317</v>
      </c>
      <c r="E1706" s="745" t="s">
        <v>545</v>
      </c>
      <c r="F1706" s="747">
        <v>2000</v>
      </c>
      <c r="G1706" s="685">
        <v>0.22847999999999999</v>
      </c>
      <c r="H1706" s="685">
        <v>456.96</v>
      </c>
      <c r="I1706" s="686" t="s">
        <v>9009</v>
      </c>
      <c r="J1706" s="672" t="s">
        <v>10128</v>
      </c>
      <c r="K1706" s="672" t="s">
        <v>541</v>
      </c>
      <c r="L1706" s="672" t="s">
        <v>8996</v>
      </c>
    </row>
    <row r="1707" spans="1:12" x14ac:dyDescent="0.2">
      <c r="A1707" s="672" t="s">
        <v>220</v>
      </c>
      <c r="B1707" s="672" t="s">
        <v>2152</v>
      </c>
      <c r="C1707" s="672" t="s">
        <v>2318</v>
      </c>
      <c r="D1707" s="672" t="s">
        <v>2319</v>
      </c>
      <c r="E1707" s="745" t="s">
        <v>545</v>
      </c>
      <c r="F1707" s="747">
        <v>2500</v>
      </c>
      <c r="G1707" s="685">
        <v>6.4000000000000001E-2</v>
      </c>
      <c r="H1707" s="685">
        <v>160</v>
      </c>
      <c r="I1707" s="686" t="s">
        <v>9009</v>
      </c>
      <c r="J1707" s="672" t="s">
        <v>10128</v>
      </c>
      <c r="K1707" s="672" t="s">
        <v>541</v>
      </c>
      <c r="L1707" s="672" t="s">
        <v>8996</v>
      </c>
    </row>
    <row r="1708" spans="1:12" x14ac:dyDescent="0.2">
      <c r="A1708" s="672" t="s">
        <v>220</v>
      </c>
      <c r="B1708" s="672" t="s">
        <v>2152</v>
      </c>
      <c r="C1708" s="672" t="s">
        <v>1663</v>
      </c>
      <c r="D1708" s="672" t="s">
        <v>1664</v>
      </c>
      <c r="E1708" s="745" t="s">
        <v>545</v>
      </c>
      <c r="F1708" s="747">
        <v>3500</v>
      </c>
      <c r="G1708" s="685">
        <v>9.6687558107738575E-2</v>
      </c>
      <c r="H1708" s="685">
        <v>338.40645337708503</v>
      </c>
      <c r="I1708" s="686" t="s">
        <v>9009</v>
      </c>
      <c r="J1708" s="672" t="s">
        <v>10128</v>
      </c>
      <c r="K1708" s="672" t="s">
        <v>541</v>
      </c>
      <c r="L1708" s="672" t="s">
        <v>8996</v>
      </c>
    </row>
    <row r="1709" spans="1:12" x14ac:dyDescent="0.2">
      <c r="A1709" s="672" t="s">
        <v>220</v>
      </c>
      <c r="B1709" s="672" t="s">
        <v>2152</v>
      </c>
      <c r="C1709" s="672" t="s">
        <v>2320</v>
      </c>
      <c r="D1709" s="672" t="s">
        <v>2321</v>
      </c>
      <c r="E1709" s="745" t="s">
        <v>545</v>
      </c>
      <c r="F1709" s="747">
        <v>3000</v>
      </c>
      <c r="G1709" s="685">
        <v>0.185</v>
      </c>
      <c r="H1709" s="685">
        <v>555</v>
      </c>
      <c r="I1709" s="686" t="s">
        <v>9009</v>
      </c>
      <c r="J1709" s="672" t="s">
        <v>10128</v>
      </c>
      <c r="K1709" s="672" t="s">
        <v>541</v>
      </c>
      <c r="L1709" s="672" t="s">
        <v>8996</v>
      </c>
    </row>
    <row r="1710" spans="1:12" x14ac:dyDescent="0.2">
      <c r="A1710" s="672" t="s">
        <v>220</v>
      </c>
      <c r="B1710" s="672" t="s">
        <v>2152</v>
      </c>
      <c r="C1710" s="672" t="s">
        <v>2322</v>
      </c>
      <c r="D1710" s="672" t="s">
        <v>2323</v>
      </c>
      <c r="E1710" s="745" t="s">
        <v>545</v>
      </c>
      <c r="F1710" s="747">
        <v>2500</v>
      </c>
      <c r="G1710" s="685">
        <v>0.185</v>
      </c>
      <c r="H1710" s="685">
        <v>462.5</v>
      </c>
      <c r="I1710" s="686" t="s">
        <v>9009</v>
      </c>
      <c r="J1710" s="672" t="s">
        <v>10128</v>
      </c>
      <c r="K1710" s="672" t="s">
        <v>541</v>
      </c>
      <c r="L1710" s="672" t="s">
        <v>8996</v>
      </c>
    </row>
    <row r="1711" spans="1:12" x14ac:dyDescent="0.2">
      <c r="A1711" s="672" t="s">
        <v>220</v>
      </c>
      <c r="B1711" s="672" t="s">
        <v>2152</v>
      </c>
      <c r="C1711" s="672" t="s">
        <v>2324</v>
      </c>
      <c r="D1711" s="672" t="s">
        <v>2325</v>
      </c>
      <c r="E1711" s="745" t="s">
        <v>545</v>
      </c>
      <c r="F1711" s="747">
        <v>3000</v>
      </c>
      <c r="G1711" s="685">
        <v>0.16160000000000002</v>
      </c>
      <c r="H1711" s="685">
        <v>484.80000000000007</v>
      </c>
      <c r="I1711" s="686" t="s">
        <v>9009</v>
      </c>
      <c r="J1711" s="672" t="s">
        <v>10128</v>
      </c>
      <c r="K1711" s="672" t="s">
        <v>541</v>
      </c>
      <c r="L1711" s="672" t="s">
        <v>8996</v>
      </c>
    </row>
    <row r="1712" spans="1:12" x14ac:dyDescent="0.2">
      <c r="A1712" s="672" t="s">
        <v>220</v>
      </c>
      <c r="B1712" s="672" t="s">
        <v>2152</v>
      </c>
      <c r="C1712" s="672" t="s">
        <v>2326</v>
      </c>
      <c r="D1712" s="672" t="s">
        <v>2327</v>
      </c>
      <c r="E1712" s="745" t="s">
        <v>545</v>
      </c>
      <c r="F1712" s="747">
        <v>1000</v>
      </c>
      <c r="G1712" s="685">
        <v>0.16159999999999999</v>
      </c>
      <c r="H1712" s="685">
        <v>161.6</v>
      </c>
      <c r="I1712" s="686" t="s">
        <v>9009</v>
      </c>
      <c r="J1712" s="672" t="s">
        <v>10128</v>
      </c>
      <c r="K1712" s="672" t="s">
        <v>541</v>
      </c>
      <c r="L1712" s="672" t="s">
        <v>8996</v>
      </c>
    </row>
    <row r="1713" spans="1:12" x14ac:dyDescent="0.2">
      <c r="A1713" s="672" t="s">
        <v>220</v>
      </c>
      <c r="B1713" s="672" t="s">
        <v>2152</v>
      </c>
      <c r="C1713" s="672" t="s">
        <v>2328</v>
      </c>
      <c r="D1713" s="672" t="s">
        <v>1760</v>
      </c>
      <c r="E1713" s="745" t="s">
        <v>545</v>
      </c>
      <c r="F1713" s="747">
        <v>8130</v>
      </c>
      <c r="G1713" s="685">
        <v>0.30779464568718118</v>
      </c>
      <c r="H1713" s="685">
        <v>2502.370469436783</v>
      </c>
      <c r="I1713" s="686" t="s">
        <v>9009</v>
      </c>
      <c r="J1713" s="672" t="s">
        <v>10128</v>
      </c>
      <c r="K1713" s="672" t="s">
        <v>541</v>
      </c>
      <c r="L1713" s="672" t="s">
        <v>8996</v>
      </c>
    </row>
    <row r="1714" spans="1:12" x14ac:dyDescent="0.2">
      <c r="A1714" s="672" t="s">
        <v>220</v>
      </c>
      <c r="B1714" s="672" t="s">
        <v>2152</v>
      </c>
      <c r="C1714" s="672" t="s">
        <v>2329</v>
      </c>
      <c r="D1714" s="672" t="s">
        <v>1762</v>
      </c>
      <c r="E1714" s="745" t="s">
        <v>545</v>
      </c>
      <c r="F1714" s="747">
        <v>10900</v>
      </c>
      <c r="G1714" s="685">
        <v>0.48025137876127089</v>
      </c>
      <c r="H1714" s="685">
        <v>5234.740028497853</v>
      </c>
      <c r="I1714" s="686" t="s">
        <v>9009</v>
      </c>
      <c r="J1714" s="672" t="s">
        <v>10128</v>
      </c>
      <c r="K1714" s="672" t="s">
        <v>541</v>
      </c>
      <c r="L1714" s="672" t="s">
        <v>8996</v>
      </c>
    </row>
    <row r="1715" spans="1:12" x14ac:dyDescent="0.2">
      <c r="A1715" s="672" t="s">
        <v>220</v>
      </c>
      <c r="B1715" s="672" t="s">
        <v>2152</v>
      </c>
      <c r="C1715" s="672" t="s">
        <v>2330</v>
      </c>
      <c r="D1715" s="672" t="s">
        <v>1764</v>
      </c>
      <c r="E1715" s="745" t="s">
        <v>545</v>
      </c>
      <c r="F1715" s="747">
        <v>10000</v>
      </c>
      <c r="G1715" s="685">
        <v>0.48093956169418828</v>
      </c>
      <c r="H1715" s="685">
        <v>4809.3956169418825</v>
      </c>
      <c r="I1715" s="686" t="s">
        <v>9009</v>
      </c>
      <c r="J1715" s="672" t="s">
        <v>10128</v>
      </c>
      <c r="K1715" s="672" t="s">
        <v>541</v>
      </c>
      <c r="L1715" s="672" t="s">
        <v>8996</v>
      </c>
    </row>
    <row r="1716" spans="1:12" x14ac:dyDescent="0.2">
      <c r="A1716" s="672" t="s">
        <v>220</v>
      </c>
      <c r="B1716" s="672" t="s">
        <v>2152</v>
      </c>
      <c r="C1716" s="672" t="s">
        <v>2331</v>
      </c>
      <c r="D1716" s="672" t="s">
        <v>1766</v>
      </c>
      <c r="E1716" s="745" t="s">
        <v>545</v>
      </c>
      <c r="F1716" s="747">
        <v>7870</v>
      </c>
      <c r="G1716" s="685">
        <v>0.52520000000000011</v>
      </c>
      <c r="H1716" s="685">
        <v>4133.3240000000005</v>
      </c>
      <c r="I1716" s="686" t="s">
        <v>9009</v>
      </c>
      <c r="J1716" s="672" t="s">
        <v>10128</v>
      </c>
      <c r="K1716" s="672" t="s">
        <v>541</v>
      </c>
      <c r="L1716" s="672" t="s">
        <v>8996</v>
      </c>
    </row>
    <row r="1717" spans="1:12" x14ac:dyDescent="0.2">
      <c r="A1717" s="672" t="s">
        <v>220</v>
      </c>
      <c r="B1717" s="672" t="s">
        <v>2152</v>
      </c>
      <c r="C1717" s="672" t="s">
        <v>1767</v>
      </c>
      <c r="D1717" s="672" t="s">
        <v>1768</v>
      </c>
      <c r="E1717" s="745" t="s">
        <v>545</v>
      </c>
      <c r="F1717" s="747">
        <v>5396</v>
      </c>
      <c r="G1717" s="685">
        <v>0.5188486000272523</v>
      </c>
      <c r="H1717" s="685">
        <v>2799.7070457470536</v>
      </c>
      <c r="I1717" s="686" t="s">
        <v>9009</v>
      </c>
      <c r="J1717" s="672" t="s">
        <v>10128</v>
      </c>
      <c r="K1717" s="672" t="s">
        <v>541</v>
      </c>
      <c r="L1717" s="672" t="s">
        <v>8996</v>
      </c>
    </row>
    <row r="1718" spans="1:12" x14ac:dyDescent="0.2">
      <c r="A1718" s="672" t="s">
        <v>220</v>
      </c>
      <c r="B1718" s="672" t="s">
        <v>2152</v>
      </c>
      <c r="C1718" s="672" t="s">
        <v>1769</v>
      </c>
      <c r="D1718" s="672" t="s">
        <v>1770</v>
      </c>
      <c r="E1718" s="745" t="s">
        <v>545</v>
      </c>
      <c r="F1718" s="747">
        <v>8200</v>
      </c>
      <c r="G1718" s="685">
        <v>0.68175000000000008</v>
      </c>
      <c r="H1718" s="685">
        <v>5590.35</v>
      </c>
      <c r="I1718" s="686" t="s">
        <v>9009</v>
      </c>
      <c r="J1718" s="672" t="s">
        <v>10128</v>
      </c>
      <c r="K1718" s="672" t="s">
        <v>541</v>
      </c>
      <c r="L1718" s="672" t="s">
        <v>8996</v>
      </c>
    </row>
    <row r="1719" spans="1:12" x14ac:dyDescent="0.2">
      <c r="A1719" s="672" t="s">
        <v>220</v>
      </c>
      <c r="B1719" s="672" t="s">
        <v>2152</v>
      </c>
      <c r="C1719" s="672" t="s">
        <v>1789</v>
      </c>
      <c r="D1719" s="672" t="s">
        <v>1790</v>
      </c>
      <c r="E1719" s="745" t="s">
        <v>545</v>
      </c>
      <c r="F1719" s="747">
        <v>8300</v>
      </c>
      <c r="G1719" s="685">
        <v>0.11614816070087436</v>
      </c>
      <c r="H1719" s="685">
        <v>964.02973381725712</v>
      </c>
      <c r="I1719" s="686" t="s">
        <v>9009</v>
      </c>
      <c r="J1719" s="672" t="s">
        <v>10128</v>
      </c>
      <c r="K1719" s="672" t="s">
        <v>541</v>
      </c>
      <c r="L1719" s="672" t="s">
        <v>8996</v>
      </c>
    </row>
    <row r="1720" spans="1:12" x14ac:dyDescent="0.2">
      <c r="A1720" s="695" t="s">
        <v>747</v>
      </c>
      <c r="B1720" s="681" t="s">
        <v>748</v>
      </c>
      <c r="C1720" s="681"/>
      <c r="D1720" s="681" t="s">
        <v>10366</v>
      </c>
      <c r="E1720" s="683"/>
      <c r="F1720" s="720">
        <v>48008</v>
      </c>
      <c r="G1720" s="685">
        <v>3.7654790246645566</v>
      </c>
      <c r="H1720" s="685">
        <v>180773.11701609605</v>
      </c>
      <c r="I1720" s="698" t="s">
        <v>8992</v>
      </c>
      <c r="J1720" s="672" t="s">
        <v>8994</v>
      </c>
      <c r="K1720" s="672" t="s">
        <v>541</v>
      </c>
      <c r="L1720" s="672" t="s">
        <v>8994</v>
      </c>
    </row>
    <row r="1721" spans="1:12" x14ac:dyDescent="0.2">
      <c r="A1721" s="695" t="s">
        <v>747</v>
      </c>
      <c r="B1721" s="681" t="s">
        <v>748</v>
      </c>
      <c r="C1721" s="681"/>
      <c r="D1721" s="681" t="s">
        <v>9680</v>
      </c>
      <c r="E1721" s="683"/>
      <c r="F1721" s="720">
        <v>5406</v>
      </c>
      <c r="G1721" s="685">
        <v>5.8940900299620171</v>
      </c>
      <c r="H1721" s="685">
        <v>31863.450701974663</v>
      </c>
      <c r="I1721" s="698" t="s">
        <v>8992</v>
      </c>
      <c r="J1721" s="672" t="s">
        <v>8994</v>
      </c>
      <c r="K1721" s="672" t="s">
        <v>541</v>
      </c>
      <c r="L1721" s="672" t="s">
        <v>8994</v>
      </c>
    </row>
    <row r="1722" spans="1:12" x14ac:dyDescent="0.2">
      <c r="A1722" s="695" t="s">
        <v>747</v>
      </c>
      <c r="B1722" s="681" t="s">
        <v>748</v>
      </c>
      <c r="C1722" s="681"/>
      <c r="D1722" s="681" t="s">
        <v>10367</v>
      </c>
      <c r="E1722" s="683"/>
      <c r="F1722" s="720">
        <v>51640</v>
      </c>
      <c r="G1722" s="685">
        <v>3.7654790246645566</v>
      </c>
      <c r="H1722" s="685">
        <v>194449.33683367769</v>
      </c>
      <c r="I1722" s="698" t="s">
        <v>8992</v>
      </c>
      <c r="J1722" s="672" t="s">
        <v>8994</v>
      </c>
      <c r="K1722" s="672" t="s">
        <v>541</v>
      </c>
      <c r="L1722" s="672" t="s">
        <v>8994</v>
      </c>
    </row>
    <row r="1723" spans="1:12" x14ac:dyDescent="0.2">
      <c r="A1723" s="695" t="s">
        <v>747</v>
      </c>
      <c r="B1723" s="681" t="s">
        <v>748</v>
      </c>
      <c r="C1723" s="681"/>
      <c r="D1723" s="681" t="s">
        <v>10368</v>
      </c>
      <c r="E1723" s="683"/>
      <c r="F1723" s="720">
        <v>29872</v>
      </c>
      <c r="G1723" s="685">
        <v>3.7654790246645566</v>
      </c>
      <c r="H1723" s="685">
        <v>112482.38942477964</v>
      </c>
      <c r="I1723" s="698" t="s">
        <v>8992</v>
      </c>
      <c r="J1723" s="672" t="s">
        <v>8994</v>
      </c>
      <c r="K1723" s="672" t="s">
        <v>541</v>
      </c>
      <c r="L1723" s="672" t="s">
        <v>8994</v>
      </c>
    </row>
    <row r="1724" spans="1:12" x14ac:dyDescent="0.2">
      <c r="A1724" s="695" t="s">
        <v>747</v>
      </c>
      <c r="B1724" s="681" t="s">
        <v>748</v>
      </c>
      <c r="C1724" s="681"/>
      <c r="D1724" s="681" t="s">
        <v>9681</v>
      </c>
      <c r="E1724" s="683"/>
      <c r="F1724" s="720">
        <v>13111</v>
      </c>
      <c r="G1724" s="685">
        <v>3.7654790246645566</v>
      </c>
      <c r="H1724" s="685">
        <v>49369.195492377003</v>
      </c>
      <c r="I1724" s="698" t="s">
        <v>8992</v>
      </c>
      <c r="J1724" s="672" t="s">
        <v>8994</v>
      </c>
      <c r="K1724" s="672" t="s">
        <v>541</v>
      </c>
      <c r="L1724" s="672" t="s">
        <v>8994</v>
      </c>
    </row>
    <row r="1725" spans="1:12" x14ac:dyDescent="0.2">
      <c r="A1725" s="695" t="s">
        <v>747</v>
      </c>
      <c r="B1725" s="681" t="s">
        <v>748</v>
      </c>
      <c r="C1725" s="681"/>
      <c r="D1725" s="681" t="s">
        <v>9682</v>
      </c>
      <c r="E1725" s="683"/>
      <c r="F1725" s="720">
        <v>80685.596000000005</v>
      </c>
      <c r="G1725" s="685">
        <v>3.7654790246645566</v>
      </c>
      <c r="H1725" s="685">
        <v>303819.91933055845</v>
      </c>
      <c r="I1725" s="698" t="s">
        <v>8992</v>
      </c>
      <c r="J1725" s="672" t="s">
        <v>8994</v>
      </c>
      <c r="K1725" s="672" t="s">
        <v>541</v>
      </c>
      <c r="L1725" s="672" t="s">
        <v>8994</v>
      </c>
    </row>
    <row r="1726" spans="1:12" x14ac:dyDescent="0.2">
      <c r="A1726" s="695" t="s">
        <v>747</v>
      </c>
      <c r="B1726" s="681" t="s">
        <v>748</v>
      </c>
      <c r="C1726" s="681"/>
      <c r="D1726" s="681" t="s">
        <v>10369</v>
      </c>
      <c r="E1726" s="683"/>
      <c r="F1726" s="720">
        <v>1040</v>
      </c>
      <c r="G1726" s="685">
        <v>1.8</v>
      </c>
      <c r="H1726" s="685">
        <v>1872</v>
      </c>
      <c r="I1726" s="698" t="s">
        <v>8992</v>
      </c>
      <c r="J1726" s="672" t="s">
        <v>8996</v>
      </c>
      <c r="K1726" s="672" t="s">
        <v>541</v>
      </c>
      <c r="L1726" s="672" t="s">
        <v>8996</v>
      </c>
    </row>
    <row r="1727" spans="1:12" x14ac:dyDescent="0.2">
      <c r="A1727" s="672" t="s">
        <v>220</v>
      </c>
      <c r="B1727" s="672" t="s">
        <v>7448</v>
      </c>
      <c r="C1727" s="672" t="s">
        <v>9110</v>
      </c>
      <c r="D1727" s="672" t="s">
        <v>7770</v>
      </c>
      <c r="E1727" s="745" t="s">
        <v>545</v>
      </c>
      <c r="F1727" s="732">
        <v>2</v>
      </c>
      <c r="G1727" s="685">
        <v>217.43397156424726</v>
      </c>
      <c r="H1727" s="685">
        <v>434.86794312849452</v>
      </c>
      <c r="I1727" s="686" t="s">
        <v>9009</v>
      </c>
      <c r="J1727" s="672" t="s">
        <v>9020</v>
      </c>
      <c r="K1727" s="672" t="s">
        <v>1911</v>
      </c>
      <c r="L1727" s="672" t="s">
        <v>9020</v>
      </c>
    </row>
    <row r="1728" spans="1:12" x14ac:dyDescent="0.2">
      <c r="A1728" s="672" t="s">
        <v>220</v>
      </c>
      <c r="B1728" s="672" t="s">
        <v>7448</v>
      </c>
      <c r="C1728" s="672" t="s">
        <v>9735</v>
      </c>
      <c r="D1728" s="672" t="s">
        <v>9056</v>
      </c>
      <c r="E1728" s="745" t="s">
        <v>545</v>
      </c>
      <c r="F1728" s="732">
        <v>2</v>
      </c>
      <c r="G1728" s="685">
        <v>117.27097515360306</v>
      </c>
      <c r="H1728" s="685">
        <v>234.54195030720612</v>
      </c>
      <c r="I1728" s="686" t="s">
        <v>9009</v>
      </c>
      <c r="J1728" s="672" t="s">
        <v>9020</v>
      </c>
      <c r="K1728" s="672" t="s">
        <v>1911</v>
      </c>
      <c r="L1728" s="672" t="s">
        <v>9020</v>
      </c>
    </row>
    <row r="1729" spans="1:12" x14ac:dyDescent="0.2">
      <c r="A1729" s="672" t="s">
        <v>220</v>
      </c>
      <c r="B1729" s="672" t="s">
        <v>7448</v>
      </c>
      <c r="C1729" s="672" t="s">
        <v>7667</v>
      </c>
      <c r="D1729" s="672" t="s">
        <v>7640</v>
      </c>
      <c r="E1729" s="745" t="s">
        <v>545</v>
      </c>
      <c r="F1729" s="732">
        <v>84</v>
      </c>
      <c r="G1729" s="685">
        <v>59.132617549575151</v>
      </c>
      <c r="H1729" s="685">
        <v>4967.1398741643125</v>
      </c>
      <c r="I1729" s="686" t="s">
        <v>9009</v>
      </c>
      <c r="J1729" s="672" t="s">
        <v>9020</v>
      </c>
      <c r="K1729" s="672" t="s">
        <v>1911</v>
      </c>
      <c r="L1729" s="672" t="s">
        <v>9020</v>
      </c>
    </row>
    <row r="1730" spans="1:12" x14ac:dyDescent="0.2">
      <c r="A1730" s="672" t="s">
        <v>220</v>
      </c>
      <c r="B1730" s="672" t="s">
        <v>7448</v>
      </c>
      <c r="C1730" s="672" t="s">
        <v>2011</v>
      </c>
      <c r="D1730" s="672" t="s">
        <v>7764</v>
      </c>
      <c r="E1730" s="745" t="s">
        <v>545</v>
      </c>
      <c r="F1730" s="732">
        <v>22</v>
      </c>
      <c r="G1730" s="685">
        <v>64.967001541463162</v>
      </c>
      <c r="H1730" s="685">
        <v>1429.2740339121897</v>
      </c>
      <c r="I1730" s="686" t="s">
        <v>9009</v>
      </c>
      <c r="J1730" s="672" t="s">
        <v>9020</v>
      </c>
      <c r="K1730" s="672" t="s">
        <v>1911</v>
      </c>
      <c r="L1730" s="672" t="s">
        <v>9020</v>
      </c>
    </row>
    <row r="1731" spans="1:12" x14ac:dyDescent="0.2">
      <c r="A1731" s="672" t="s">
        <v>220</v>
      </c>
      <c r="B1731" s="672" t="s">
        <v>7448</v>
      </c>
      <c r="C1731" s="672" t="s">
        <v>2011</v>
      </c>
      <c r="D1731" s="672" t="s">
        <v>7764</v>
      </c>
      <c r="E1731" s="745" t="s">
        <v>545</v>
      </c>
      <c r="F1731" s="732">
        <v>37</v>
      </c>
      <c r="G1731" s="685">
        <v>64.967001541463162</v>
      </c>
      <c r="H1731" s="685">
        <v>2403.7790570341372</v>
      </c>
      <c r="I1731" s="686" t="s">
        <v>9009</v>
      </c>
      <c r="J1731" s="672" t="s">
        <v>9020</v>
      </c>
      <c r="K1731" s="672" t="s">
        <v>1911</v>
      </c>
      <c r="L1731" s="672" t="s">
        <v>9020</v>
      </c>
    </row>
    <row r="1732" spans="1:12" x14ac:dyDescent="0.2">
      <c r="A1732" s="672" t="s">
        <v>220</v>
      </c>
      <c r="B1732" s="672" t="s">
        <v>7448</v>
      </c>
      <c r="C1732" s="672" t="s">
        <v>2031</v>
      </c>
      <c r="D1732" s="672" t="s">
        <v>7648</v>
      </c>
      <c r="E1732" s="745" t="s">
        <v>545</v>
      </c>
      <c r="F1732" s="732">
        <v>58</v>
      </c>
      <c r="G1732" s="685">
        <v>69.329020192759273</v>
      </c>
      <c r="H1732" s="685">
        <v>4021.0831711800379</v>
      </c>
      <c r="I1732" s="686" t="s">
        <v>9009</v>
      </c>
      <c r="J1732" s="672" t="s">
        <v>9020</v>
      </c>
      <c r="K1732" s="672" t="s">
        <v>1911</v>
      </c>
      <c r="L1732" s="672" t="s">
        <v>9020</v>
      </c>
    </row>
    <row r="1733" spans="1:12" x14ac:dyDescent="0.2">
      <c r="A1733" s="672" t="s">
        <v>220</v>
      </c>
      <c r="B1733" s="672" t="s">
        <v>7448</v>
      </c>
      <c r="C1733" s="672" t="s">
        <v>1948</v>
      </c>
      <c r="D1733" s="672" t="s">
        <v>7613</v>
      </c>
      <c r="E1733" s="745" t="s">
        <v>545</v>
      </c>
      <c r="F1733" s="732">
        <v>8</v>
      </c>
      <c r="G1733" s="685">
        <v>70.31947368742027</v>
      </c>
      <c r="H1733" s="685">
        <v>562.55578949936216</v>
      </c>
      <c r="I1733" s="686" t="s">
        <v>9009</v>
      </c>
      <c r="J1733" s="672" t="s">
        <v>9020</v>
      </c>
      <c r="K1733" s="672" t="s">
        <v>1911</v>
      </c>
      <c r="L1733" s="672" t="s">
        <v>9020</v>
      </c>
    </row>
    <row r="1734" spans="1:12" x14ac:dyDescent="0.2">
      <c r="A1734" s="672" t="s">
        <v>220</v>
      </c>
      <c r="B1734" s="672" t="s">
        <v>7448</v>
      </c>
      <c r="C1734" s="672" t="s">
        <v>10370</v>
      </c>
      <c r="D1734" s="672" t="s">
        <v>7613</v>
      </c>
      <c r="E1734" s="745" t="s">
        <v>545</v>
      </c>
      <c r="F1734" s="732">
        <v>8</v>
      </c>
      <c r="G1734" s="685">
        <v>65.09501738907305</v>
      </c>
      <c r="H1734" s="685">
        <v>520.7601391125844</v>
      </c>
      <c r="I1734" s="686" t="s">
        <v>9009</v>
      </c>
      <c r="J1734" s="672" t="s">
        <v>9020</v>
      </c>
      <c r="K1734" s="672" t="s">
        <v>1911</v>
      </c>
      <c r="L1734" s="672" t="s">
        <v>9020</v>
      </c>
    </row>
    <row r="1735" spans="1:12" x14ac:dyDescent="0.2">
      <c r="A1735" s="672" t="s">
        <v>220</v>
      </c>
      <c r="B1735" s="672" t="s">
        <v>7448</v>
      </c>
      <c r="C1735" s="672" t="s">
        <v>1918</v>
      </c>
      <c r="D1735" s="672" t="s">
        <v>7605</v>
      </c>
      <c r="E1735" s="745" t="s">
        <v>545</v>
      </c>
      <c r="F1735" s="732">
        <v>14</v>
      </c>
      <c r="G1735" s="685">
        <v>76.953805926758861</v>
      </c>
      <c r="H1735" s="685">
        <v>1077.3532829746241</v>
      </c>
      <c r="I1735" s="686" t="s">
        <v>9009</v>
      </c>
      <c r="J1735" s="672" t="s">
        <v>9020</v>
      </c>
      <c r="K1735" s="672" t="s">
        <v>1911</v>
      </c>
      <c r="L1735" s="672" t="s">
        <v>9020</v>
      </c>
    </row>
    <row r="1736" spans="1:12" x14ac:dyDescent="0.2">
      <c r="A1736" s="672" t="s">
        <v>220</v>
      </c>
      <c r="B1736" s="672" t="s">
        <v>7448</v>
      </c>
      <c r="C1736" s="672" t="s">
        <v>1922</v>
      </c>
      <c r="D1736" s="672" t="s">
        <v>7606</v>
      </c>
      <c r="E1736" s="745" t="s">
        <v>545</v>
      </c>
      <c r="F1736" s="732">
        <v>6</v>
      </c>
      <c r="G1736" s="685">
        <v>76.240312578966964</v>
      </c>
      <c r="H1736" s="685">
        <v>457.44187547380182</v>
      </c>
      <c r="I1736" s="686" t="s">
        <v>9009</v>
      </c>
      <c r="J1736" s="672" t="s">
        <v>9020</v>
      </c>
      <c r="K1736" s="672" t="s">
        <v>1911</v>
      </c>
      <c r="L1736" s="672" t="s">
        <v>9020</v>
      </c>
    </row>
    <row r="1737" spans="1:12" x14ac:dyDescent="0.2">
      <c r="A1737" s="672" t="s">
        <v>220</v>
      </c>
      <c r="B1737" s="672" t="s">
        <v>7448</v>
      </c>
      <c r="C1737" s="672" t="s">
        <v>1920</v>
      </c>
      <c r="D1737" s="672" t="s">
        <v>7606</v>
      </c>
      <c r="E1737" s="745" t="s">
        <v>545</v>
      </c>
      <c r="F1737" s="732">
        <v>1</v>
      </c>
      <c r="G1737" s="685">
        <v>70.029374564899655</v>
      </c>
      <c r="H1737" s="685">
        <v>70.029374564899655</v>
      </c>
      <c r="I1737" s="686" t="s">
        <v>9009</v>
      </c>
      <c r="J1737" s="672" t="s">
        <v>9020</v>
      </c>
      <c r="K1737" s="672" t="s">
        <v>1911</v>
      </c>
      <c r="L1737" s="672" t="s">
        <v>9020</v>
      </c>
    </row>
    <row r="1738" spans="1:12" x14ac:dyDescent="0.2">
      <c r="A1738" s="672" t="s">
        <v>220</v>
      </c>
      <c r="B1738" s="672" t="s">
        <v>7448</v>
      </c>
      <c r="C1738" s="672" t="s">
        <v>10371</v>
      </c>
      <c r="D1738" s="672" t="s">
        <v>7476</v>
      </c>
      <c r="E1738" s="745" t="s">
        <v>545</v>
      </c>
      <c r="F1738" s="732">
        <v>11</v>
      </c>
      <c r="G1738" s="685">
        <v>65.026674726248729</v>
      </c>
      <c r="H1738" s="685">
        <v>715.29342198873599</v>
      </c>
      <c r="I1738" s="686" t="s">
        <v>9009</v>
      </c>
      <c r="J1738" s="672" t="s">
        <v>9020</v>
      </c>
      <c r="K1738" s="672" t="s">
        <v>1911</v>
      </c>
      <c r="L1738" s="672" t="s">
        <v>9020</v>
      </c>
    </row>
    <row r="1739" spans="1:12" x14ac:dyDescent="0.2">
      <c r="A1739" s="672" t="s">
        <v>220</v>
      </c>
      <c r="B1739" s="672" t="s">
        <v>7448</v>
      </c>
      <c r="C1739" s="672" t="s">
        <v>10371</v>
      </c>
      <c r="D1739" s="672" t="s">
        <v>7476</v>
      </c>
      <c r="E1739" s="745" t="s">
        <v>545</v>
      </c>
      <c r="F1739" s="732">
        <v>35</v>
      </c>
      <c r="G1739" s="685">
        <v>65.026674726248729</v>
      </c>
      <c r="H1739" s="685">
        <v>2275.9336154187054</v>
      </c>
      <c r="I1739" s="686" t="s">
        <v>9009</v>
      </c>
      <c r="J1739" s="672" t="s">
        <v>9020</v>
      </c>
      <c r="K1739" s="672" t="s">
        <v>1911</v>
      </c>
      <c r="L1739" s="672" t="s">
        <v>9020</v>
      </c>
    </row>
    <row r="1740" spans="1:12" x14ac:dyDescent="0.2">
      <c r="A1740" s="672" t="s">
        <v>220</v>
      </c>
      <c r="B1740" s="672" t="s">
        <v>7448</v>
      </c>
      <c r="C1740" s="672" t="s">
        <v>2015</v>
      </c>
      <c r="D1740" s="672" t="s">
        <v>7640</v>
      </c>
      <c r="E1740" s="745" t="s">
        <v>545</v>
      </c>
      <c r="F1740" s="732">
        <v>19</v>
      </c>
      <c r="G1740" s="685">
        <v>78.603114257455161</v>
      </c>
      <c r="H1740" s="685">
        <v>1493.459170891648</v>
      </c>
      <c r="I1740" s="686" t="s">
        <v>9009</v>
      </c>
      <c r="J1740" s="672" t="s">
        <v>9020</v>
      </c>
      <c r="K1740" s="672" t="s">
        <v>1911</v>
      </c>
      <c r="L1740" s="672" t="s">
        <v>9020</v>
      </c>
    </row>
    <row r="1741" spans="1:12" x14ac:dyDescent="0.2">
      <c r="A1741" s="672" t="s">
        <v>220</v>
      </c>
      <c r="B1741" s="672" t="s">
        <v>7448</v>
      </c>
      <c r="C1741" s="672" t="s">
        <v>2015</v>
      </c>
      <c r="D1741" s="672" t="s">
        <v>7640</v>
      </c>
      <c r="E1741" s="745" t="s">
        <v>545</v>
      </c>
      <c r="F1741" s="732">
        <v>26</v>
      </c>
      <c r="G1741" s="685">
        <v>78.603114257455161</v>
      </c>
      <c r="H1741" s="685">
        <v>2043.6809706938343</v>
      </c>
      <c r="I1741" s="686" t="s">
        <v>9009</v>
      </c>
      <c r="J1741" s="672" t="s">
        <v>9020</v>
      </c>
      <c r="K1741" s="672" t="s">
        <v>1911</v>
      </c>
      <c r="L1741" s="672" t="s">
        <v>9020</v>
      </c>
    </row>
    <row r="1742" spans="1:12" x14ac:dyDescent="0.2">
      <c r="A1742" s="672" t="s">
        <v>220</v>
      </c>
      <c r="B1742" s="672" t="s">
        <v>7448</v>
      </c>
      <c r="C1742" s="672" t="s">
        <v>2017</v>
      </c>
      <c r="D1742" s="672" t="s">
        <v>9064</v>
      </c>
      <c r="E1742" s="745" t="s">
        <v>545</v>
      </c>
      <c r="F1742" s="732">
        <v>23</v>
      </c>
      <c r="G1742" s="685">
        <v>87.871967619304328</v>
      </c>
      <c r="H1742" s="685">
        <v>2021.0552552439995</v>
      </c>
      <c r="I1742" s="686" t="s">
        <v>9009</v>
      </c>
      <c r="J1742" s="672" t="s">
        <v>9020</v>
      </c>
      <c r="K1742" s="672" t="s">
        <v>1911</v>
      </c>
      <c r="L1742" s="672" t="s">
        <v>9020</v>
      </c>
    </row>
    <row r="1743" spans="1:12" x14ac:dyDescent="0.2">
      <c r="A1743" s="672" t="s">
        <v>220</v>
      </c>
      <c r="B1743" s="672" t="s">
        <v>7448</v>
      </c>
      <c r="C1743" s="672" t="s">
        <v>10372</v>
      </c>
      <c r="D1743" s="672" t="s">
        <v>9131</v>
      </c>
      <c r="E1743" s="745" t="s">
        <v>545</v>
      </c>
      <c r="F1743" s="732">
        <v>1</v>
      </c>
      <c r="G1743" s="685">
        <v>78.223770499623271</v>
      </c>
      <c r="H1743" s="685">
        <v>78.223770499623271</v>
      </c>
      <c r="I1743" s="686" t="s">
        <v>9009</v>
      </c>
      <c r="J1743" s="672" t="s">
        <v>9020</v>
      </c>
      <c r="K1743" s="672" t="s">
        <v>1911</v>
      </c>
      <c r="L1743" s="672" t="s">
        <v>9020</v>
      </c>
    </row>
    <row r="1744" spans="1:12" x14ac:dyDescent="0.2">
      <c r="A1744" s="672" t="s">
        <v>220</v>
      </c>
      <c r="B1744" s="672" t="s">
        <v>7448</v>
      </c>
      <c r="C1744" s="672" t="s">
        <v>10373</v>
      </c>
      <c r="D1744" s="672" t="s">
        <v>7603</v>
      </c>
      <c r="E1744" s="745" t="s">
        <v>545</v>
      </c>
      <c r="F1744" s="732">
        <v>1</v>
      </c>
      <c r="G1744" s="685">
        <v>83.491214648768562</v>
      </c>
      <c r="H1744" s="685">
        <v>83.491214648768562</v>
      </c>
      <c r="I1744" s="686" t="s">
        <v>9009</v>
      </c>
      <c r="J1744" s="672" t="s">
        <v>9020</v>
      </c>
      <c r="K1744" s="672" t="s">
        <v>1911</v>
      </c>
      <c r="L1744" s="672" t="s">
        <v>9020</v>
      </c>
    </row>
    <row r="1745" spans="1:12" x14ac:dyDescent="0.2">
      <c r="A1745" s="672" t="s">
        <v>220</v>
      </c>
      <c r="B1745" s="672" t="s">
        <v>7448</v>
      </c>
      <c r="C1745" s="672" t="s">
        <v>1909</v>
      </c>
      <c r="D1745" s="672" t="s">
        <v>7603</v>
      </c>
      <c r="E1745" s="745" t="s">
        <v>545</v>
      </c>
      <c r="F1745" s="732">
        <v>3</v>
      </c>
      <c r="G1745" s="685">
        <v>83.206441162464969</v>
      </c>
      <c r="H1745" s="685">
        <v>249.61932348739492</v>
      </c>
      <c r="I1745" s="686" t="s">
        <v>9009</v>
      </c>
      <c r="J1745" s="672" t="s">
        <v>9020</v>
      </c>
      <c r="K1745" s="672" t="s">
        <v>1911</v>
      </c>
      <c r="L1745" s="672" t="s">
        <v>9020</v>
      </c>
    </row>
    <row r="1746" spans="1:12" x14ac:dyDescent="0.2">
      <c r="A1746" s="672" t="s">
        <v>220</v>
      </c>
      <c r="B1746" s="672" t="s">
        <v>7448</v>
      </c>
      <c r="C1746" s="672" t="s">
        <v>1950</v>
      </c>
      <c r="D1746" s="672" t="s">
        <v>7476</v>
      </c>
      <c r="E1746" s="745" t="s">
        <v>545</v>
      </c>
      <c r="F1746" s="732">
        <v>10</v>
      </c>
      <c r="G1746" s="685">
        <v>81.579954490070719</v>
      </c>
      <c r="H1746" s="685">
        <v>815.79954490070713</v>
      </c>
      <c r="I1746" s="686" t="s">
        <v>9009</v>
      </c>
      <c r="J1746" s="672" t="s">
        <v>9020</v>
      </c>
      <c r="K1746" s="672" t="s">
        <v>1911</v>
      </c>
      <c r="L1746" s="672" t="s">
        <v>9020</v>
      </c>
    </row>
    <row r="1747" spans="1:12" x14ac:dyDescent="0.2">
      <c r="A1747" s="672" t="s">
        <v>220</v>
      </c>
      <c r="B1747" s="672" t="s">
        <v>7448</v>
      </c>
      <c r="C1747" s="672" t="s">
        <v>2037</v>
      </c>
      <c r="D1747" s="672" t="s">
        <v>9065</v>
      </c>
      <c r="E1747" s="745" t="s">
        <v>545</v>
      </c>
      <c r="F1747" s="732">
        <v>19</v>
      </c>
      <c r="G1747" s="685">
        <v>86.106426384816942</v>
      </c>
      <c r="H1747" s="685">
        <v>1636.022101311522</v>
      </c>
      <c r="I1747" s="686" t="s">
        <v>9009</v>
      </c>
      <c r="J1747" s="672" t="s">
        <v>9020</v>
      </c>
      <c r="K1747" s="672" t="s">
        <v>1911</v>
      </c>
      <c r="L1747" s="672" t="s">
        <v>9020</v>
      </c>
    </row>
    <row r="1748" spans="1:12" x14ac:dyDescent="0.2">
      <c r="A1748" s="672" t="s">
        <v>220</v>
      </c>
      <c r="B1748" s="672" t="s">
        <v>7448</v>
      </c>
      <c r="C1748" s="672" t="s">
        <v>1924</v>
      </c>
      <c r="D1748" s="672" t="s">
        <v>9046</v>
      </c>
      <c r="E1748" s="745" t="s">
        <v>545</v>
      </c>
      <c r="F1748" s="732">
        <v>58</v>
      </c>
      <c r="G1748" s="685">
        <v>89.702927982992463</v>
      </c>
      <c r="H1748" s="685">
        <v>5202.7698230135629</v>
      </c>
      <c r="I1748" s="686" t="s">
        <v>9009</v>
      </c>
      <c r="J1748" s="672" t="s">
        <v>9020</v>
      </c>
      <c r="K1748" s="672" t="s">
        <v>1911</v>
      </c>
      <c r="L1748" s="672" t="s">
        <v>9020</v>
      </c>
    </row>
    <row r="1749" spans="1:12" x14ac:dyDescent="0.2">
      <c r="A1749" s="672" t="s">
        <v>220</v>
      </c>
      <c r="B1749" s="672" t="s">
        <v>7448</v>
      </c>
      <c r="C1749" s="672" t="s">
        <v>1926</v>
      </c>
      <c r="D1749" s="672" t="s">
        <v>7658</v>
      </c>
      <c r="E1749" s="745" t="s">
        <v>545</v>
      </c>
      <c r="F1749" s="732">
        <v>164</v>
      </c>
      <c r="G1749" s="685">
        <v>89.36605095148397</v>
      </c>
      <c r="H1749" s="685">
        <v>14656.032356043372</v>
      </c>
      <c r="I1749" s="686" t="s">
        <v>9009</v>
      </c>
      <c r="J1749" s="672" t="s">
        <v>9020</v>
      </c>
      <c r="K1749" s="672" t="s">
        <v>1911</v>
      </c>
      <c r="L1749" s="672" t="s">
        <v>9020</v>
      </c>
    </row>
    <row r="1750" spans="1:12" x14ac:dyDescent="0.2">
      <c r="A1750" s="672" t="s">
        <v>220</v>
      </c>
      <c r="B1750" s="672" t="s">
        <v>7448</v>
      </c>
      <c r="C1750" s="672" t="s">
        <v>2019</v>
      </c>
      <c r="D1750" s="672" t="s">
        <v>7643</v>
      </c>
      <c r="E1750" s="745" t="s">
        <v>545</v>
      </c>
      <c r="F1750" s="732">
        <v>14</v>
      </c>
      <c r="G1750" s="685">
        <v>94.501393408883501</v>
      </c>
      <c r="H1750" s="685">
        <v>1323.0195077243691</v>
      </c>
      <c r="I1750" s="686" t="s">
        <v>9009</v>
      </c>
      <c r="J1750" s="672" t="s">
        <v>9020</v>
      </c>
      <c r="K1750" s="672" t="s">
        <v>1911</v>
      </c>
      <c r="L1750" s="672" t="s">
        <v>9020</v>
      </c>
    </row>
    <row r="1751" spans="1:12" x14ac:dyDescent="0.2">
      <c r="A1751" s="672" t="s">
        <v>220</v>
      </c>
      <c r="B1751" s="672" t="s">
        <v>7448</v>
      </c>
      <c r="C1751" s="672" t="s">
        <v>1954</v>
      </c>
      <c r="D1751" s="672" t="s">
        <v>7650</v>
      </c>
      <c r="E1751" s="745" t="s">
        <v>545</v>
      </c>
      <c r="F1751" s="732">
        <v>40</v>
      </c>
      <c r="G1751" s="685">
        <v>95.48828922796514</v>
      </c>
      <c r="H1751" s="685">
        <v>3819.5315691186056</v>
      </c>
      <c r="I1751" s="686" t="s">
        <v>9009</v>
      </c>
      <c r="J1751" s="672" t="s">
        <v>9020</v>
      </c>
      <c r="K1751" s="672" t="s">
        <v>1911</v>
      </c>
      <c r="L1751" s="672" t="s">
        <v>9020</v>
      </c>
    </row>
    <row r="1752" spans="1:12" x14ac:dyDescent="0.2">
      <c r="A1752" s="672" t="s">
        <v>220</v>
      </c>
      <c r="B1752" s="672" t="s">
        <v>7448</v>
      </c>
      <c r="C1752" s="672" t="s">
        <v>1912</v>
      </c>
      <c r="D1752" s="672" t="s">
        <v>7604</v>
      </c>
      <c r="E1752" s="745" t="s">
        <v>545</v>
      </c>
      <c r="F1752" s="732">
        <v>5</v>
      </c>
      <c r="G1752" s="685">
        <v>96.620393934778491</v>
      </c>
      <c r="H1752" s="685">
        <v>483.10196967389243</v>
      </c>
      <c r="I1752" s="686" t="s">
        <v>9009</v>
      </c>
      <c r="J1752" s="672" t="s">
        <v>9020</v>
      </c>
      <c r="K1752" s="672" t="s">
        <v>1911</v>
      </c>
      <c r="L1752" s="672" t="s">
        <v>9020</v>
      </c>
    </row>
    <row r="1753" spans="1:12" x14ac:dyDescent="0.2">
      <c r="A1753" s="672" t="s">
        <v>220</v>
      </c>
      <c r="B1753" s="672" t="s">
        <v>7448</v>
      </c>
      <c r="C1753" s="672" t="s">
        <v>1952</v>
      </c>
      <c r="D1753" s="672" t="s">
        <v>7614</v>
      </c>
      <c r="E1753" s="745" t="s">
        <v>545</v>
      </c>
      <c r="F1753" s="732">
        <v>3</v>
      </c>
      <c r="G1753" s="685">
        <v>96.563447439152199</v>
      </c>
      <c r="H1753" s="685">
        <v>289.69034231745661</v>
      </c>
      <c r="I1753" s="686" t="s">
        <v>9009</v>
      </c>
      <c r="J1753" s="672" t="s">
        <v>9020</v>
      </c>
      <c r="K1753" s="672" t="s">
        <v>1911</v>
      </c>
      <c r="L1753" s="672" t="s">
        <v>9020</v>
      </c>
    </row>
    <row r="1754" spans="1:12" x14ac:dyDescent="0.2">
      <c r="A1754" s="672" t="s">
        <v>220</v>
      </c>
      <c r="B1754" s="672" t="s">
        <v>7448</v>
      </c>
      <c r="C1754" s="672" t="s">
        <v>1928</v>
      </c>
      <c r="D1754" s="672" t="s">
        <v>7644</v>
      </c>
      <c r="E1754" s="745" t="s">
        <v>545</v>
      </c>
      <c r="F1754" s="732">
        <v>3</v>
      </c>
      <c r="G1754" s="685">
        <v>103.33704408751677</v>
      </c>
      <c r="H1754" s="685">
        <v>310.01113226255029</v>
      </c>
      <c r="I1754" s="686" t="s">
        <v>9009</v>
      </c>
      <c r="J1754" s="672" t="s">
        <v>9020</v>
      </c>
      <c r="K1754" s="672" t="s">
        <v>1911</v>
      </c>
      <c r="L1754" s="672" t="s">
        <v>9020</v>
      </c>
    </row>
    <row r="1755" spans="1:12" x14ac:dyDescent="0.2">
      <c r="A1755" s="672" t="s">
        <v>220</v>
      </c>
      <c r="B1755" s="672" t="s">
        <v>7448</v>
      </c>
      <c r="C1755" s="672" t="s">
        <v>1930</v>
      </c>
      <c r="D1755" s="672" t="s">
        <v>7481</v>
      </c>
      <c r="E1755" s="745" t="s">
        <v>545</v>
      </c>
      <c r="F1755" s="732">
        <v>56</v>
      </c>
      <c r="G1755" s="685">
        <v>102.73494880083368</v>
      </c>
      <c r="H1755" s="685">
        <v>5753.1571328466862</v>
      </c>
      <c r="I1755" s="686" t="s">
        <v>9009</v>
      </c>
      <c r="J1755" s="672" t="s">
        <v>9020</v>
      </c>
      <c r="K1755" s="672" t="s">
        <v>1911</v>
      </c>
      <c r="L1755" s="672" t="s">
        <v>9020</v>
      </c>
    </row>
    <row r="1756" spans="1:12" x14ac:dyDescent="0.2">
      <c r="A1756" s="672" t="s">
        <v>220</v>
      </c>
      <c r="B1756" s="672" t="s">
        <v>7448</v>
      </c>
      <c r="C1756" s="672" t="s">
        <v>2021</v>
      </c>
      <c r="D1756" s="672" t="s">
        <v>7479</v>
      </c>
      <c r="E1756" s="745" t="s">
        <v>545</v>
      </c>
      <c r="F1756" s="732">
        <v>28</v>
      </c>
      <c r="G1756" s="685">
        <v>110.71175356711439</v>
      </c>
      <c r="H1756" s="685">
        <v>3099.929099879203</v>
      </c>
      <c r="I1756" s="686" t="s">
        <v>9009</v>
      </c>
      <c r="J1756" s="672" t="s">
        <v>9020</v>
      </c>
      <c r="K1756" s="672" t="s">
        <v>1911</v>
      </c>
      <c r="L1756" s="672" t="s">
        <v>9020</v>
      </c>
    </row>
    <row r="1757" spans="1:12" x14ac:dyDescent="0.2">
      <c r="A1757" s="672" t="s">
        <v>220</v>
      </c>
      <c r="B1757" s="672" t="s">
        <v>7448</v>
      </c>
      <c r="C1757" s="672" t="s">
        <v>580</v>
      </c>
      <c r="D1757" s="672" t="s">
        <v>7479</v>
      </c>
      <c r="E1757" s="745" t="s">
        <v>545</v>
      </c>
      <c r="F1757" s="732">
        <v>8</v>
      </c>
      <c r="G1757" s="685">
        <v>108.97054761805732</v>
      </c>
      <c r="H1757" s="685">
        <v>871.76438094445859</v>
      </c>
      <c r="I1757" s="686" t="s">
        <v>9009</v>
      </c>
      <c r="J1757" s="672" t="s">
        <v>9020</v>
      </c>
      <c r="K1757" s="672" t="s">
        <v>1911</v>
      </c>
      <c r="L1757" s="672" t="s">
        <v>9020</v>
      </c>
    </row>
    <row r="1758" spans="1:12" x14ac:dyDescent="0.2">
      <c r="A1758" s="672" t="s">
        <v>220</v>
      </c>
      <c r="B1758" s="672" t="s">
        <v>7448</v>
      </c>
      <c r="C1758" s="672" t="s">
        <v>1914</v>
      </c>
      <c r="D1758" s="672" t="s">
        <v>7479</v>
      </c>
      <c r="E1758" s="745" t="s">
        <v>545</v>
      </c>
      <c r="F1758" s="732">
        <v>7</v>
      </c>
      <c r="G1758" s="685">
        <v>110.71255698728228</v>
      </c>
      <c r="H1758" s="685">
        <v>774.98789891097601</v>
      </c>
      <c r="I1758" s="686" t="s">
        <v>9009</v>
      </c>
      <c r="J1758" s="672" t="s">
        <v>9020</v>
      </c>
      <c r="K1758" s="672" t="s">
        <v>1911</v>
      </c>
      <c r="L1758" s="672" t="s">
        <v>9020</v>
      </c>
    </row>
    <row r="1759" spans="1:12" x14ac:dyDescent="0.2">
      <c r="A1759" s="672" t="s">
        <v>220</v>
      </c>
      <c r="B1759" s="672" t="s">
        <v>7448</v>
      </c>
      <c r="C1759" s="672" t="s">
        <v>7779</v>
      </c>
      <c r="D1759" s="672" t="s">
        <v>7780</v>
      </c>
      <c r="E1759" s="745" t="s">
        <v>545</v>
      </c>
      <c r="F1759" s="732">
        <v>2</v>
      </c>
      <c r="G1759" s="685">
        <v>112.11028660546883</v>
      </c>
      <c r="H1759" s="685">
        <v>224.22057321093766</v>
      </c>
      <c r="I1759" s="686" t="s">
        <v>9009</v>
      </c>
      <c r="J1759" s="672" t="s">
        <v>9020</v>
      </c>
      <c r="K1759" s="672" t="s">
        <v>1911</v>
      </c>
      <c r="L1759" s="672" t="s">
        <v>9020</v>
      </c>
    </row>
    <row r="1760" spans="1:12" x14ac:dyDescent="0.2">
      <c r="A1760" s="672" t="s">
        <v>220</v>
      </c>
      <c r="B1760" s="672" t="s">
        <v>7448</v>
      </c>
      <c r="C1760" s="672" t="s">
        <v>2001</v>
      </c>
      <c r="D1760" s="672" t="s">
        <v>7636</v>
      </c>
      <c r="E1760" s="745" t="s">
        <v>545</v>
      </c>
      <c r="F1760" s="732">
        <v>24</v>
      </c>
      <c r="G1760" s="685">
        <v>116.97228025731665</v>
      </c>
      <c r="H1760" s="685">
        <v>2807.3347261755998</v>
      </c>
      <c r="I1760" s="686" t="s">
        <v>9009</v>
      </c>
      <c r="J1760" s="672" t="s">
        <v>9020</v>
      </c>
      <c r="K1760" s="672" t="s">
        <v>1911</v>
      </c>
      <c r="L1760" s="672" t="s">
        <v>9020</v>
      </c>
    </row>
    <row r="1761" spans="1:12" x14ac:dyDescent="0.2">
      <c r="A1761" s="672" t="s">
        <v>220</v>
      </c>
      <c r="B1761" s="672" t="s">
        <v>7448</v>
      </c>
      <c r="C1761" s="672" t="s">
        <v>1956</v>
      </c>
      <c r="D1761" s="672" t="s">
        <v>7615</v>
      </c>
      <c r="E1761" s="745" t="s">
        <v>545</v>
      </c>
      <c r="F1761" s="732">
        <v>9</v>
      </c>
      <c r="G1761" s="685">
        <v>122.47143597131557</v>
      </c>
      <c r="H1761" s="685">
        <v>1102.2429237418401</v>
      </c>
      <c r="I1761" s="686" t="s">
        <v>9009</v>
      </c>
      <c r="J1761" s="672" t="s">
        <v>9020</v>
      </c>
      <c r="K1761" s="672" t="s">
        <v>1911</v>
      </c>
      <c r="L1761" s="672" t="s">
        <v>9020</v>
      </c>
    </row>
    <row r="1762" spans="1:12" x14ac:dyDescent="0.2">
      <c r="A1762" s="672" t="s">
        <v>220</v>
      </c>
      <c r="B1762" s="672" t="s">
        <v>7448</v>
      </c>
      <c r="C1762" s="672" t="s">
        <v>2024</v>
      </c>
      <c r="D1762" s="672" t="s">
        <v>7645</v>
      </c>
      <c r="E1762" s="745" t="s">
        <v>545</v>
      </c>
      <c r="F1762" s="732">
        <v>14</v>
      </c>
      <c r="G1762" s="685">
        <v>128.73463480485395</v>
      </c>
      <c r="H1762" s="685">
        <v>1802.2848872679554</v>
      </c>
      <c r="I1762" s="686" t="s">
        <v>9009</v>
      </c>
      <c r="J1762" s="672" t="s">
        <v>9020</v>
      </c>
      <c r="K1762" s="672" t="s">
        <v>1911</v>
      </c>
      <c r="L1762" s="672" t="s">
        <v>9020</v>
      </c>
    </row>
    <row r="1763" spans="1:12" x14ac:dyDescent="0.2">
      <c r="A1763" s="672" t="s">
        <v>220</v>
      </c>
      <c r="B1763" s="672" t="s">
        <v>7448</v>
      </c>
      <c r="C1763" s="672" t="s">
        <v>1916</v>
      </c>
      <c r="D1763" s="672" t="s">
        <v>7488</v>
      </c>
      <c r="E1763" s="745" t="s">
        <v>545</v>
      </c>
      <c r="F1763" s="732">
        <v>37</v>
      </c>
      <c r="G1763" s="685">
        <v>143.23935136975939</v>
      </c>
      <c r="H1763" s="685">
        <v>5299.8560006810976</v>
      </c>
      <c r="I1763" s="686" t="s">
        <v>9009</v>
      </c>
      <c r="J1763" s="672" t="s">
        <v>9020</v>
      </c>
      <c r="K1763" s="672" t="s">
        <v>1911</v>
      </c>
      <c r="L1763" s="672" t="s">
        <v>9020</v>
      </c>
    </row>
    <row r="1764" spans="1:12" x14ac:dyDescent="0.2">
      <c r="A1764" s="672" t="s">
        <v>220</v>
      </c>
      <c r="B1764" s="672" t="s">
        <v>7448</v>
      </c>
      <c r="C1764" s="672" t="s">
        <v>7602</v>
      </c>
      <c r="D1764" s="672" t="s">
        <v>9022</v>
      </c>
      <c r="E1764" s="745" t="s">
        <v>545</v>
      </c>
      <c r="F1764" s="732">
        <v>11</v>
      </c>
      <c r="G1764" s="685">
        <v>106.99129289231435</v>
      </c>
      <c r="H1764" s="685">
        <v>1176.9042218154577</v>
      </c>
      <c r="I1764" s="686" t="s">
        <v>9009</v>
      </c>
      <c r="J1764" s="672" t="s">
        <v>9020</v>
      </c>
      <c r="K1764" s="672" t="s">
        <v>1911</v>
      </c>
      <c r="L1764" s="672" t="s">
        <v>9020</v>
      </c>
    </row>
    <row r="1765" spans="1:12" x14ac:dyDescent="0.2">
      <c r="A1765" s="672" t="s">
        <v>220</v>
      </c>
      <c r="B1765" s="672" t="s">
        <v>7448</v>
      </c>
      <c r="C1765" s="672" t="s">
        <v>7460</v>
      </c>
      <c r="D1765" s="672" t="s">
        <v>7669</v>
      </c>
      <c r="E1765" s="745" t="s">
        <v>545</v>
      </c>
      <c r="F1765" s="732">
        <v>140</v>
      </c>
      <c r="G1765" s="685">
        <v>115.75575790394886</v>
      </c>
      <c r="H1765" s="685">
        <v>16205.80610655284</v>
      </c>
      <c r="I1765" s="686" t="s">
        <v>9009</v>
      </c>
      <c r="J1765" s="672" t="s">
        <v>9020</v>
      </c>
      <c r="K1765" s="672" t="s">
        <v>1911</v>
      </c>
      <c r="L1765" s="672" t="s">
        <v>9020</v>
      </c>
    </row>
    <row r="1766" spans="1:12" x14ac:dyDescent="0.2">
      <c r="A1766" s="672" t="s">
        <v>220</v>
      </c>
      <c r="B1766" s="672" t="s">
        <v>7448</v>
      </c>
      <c r="C1766" s="672" t="s">
        <v>10374</v>
      </c>
      <c r="D1766" s="672" t="s">
        <v>10375</v>
      </c>
      <c r="E1766" s="745" t="s">
        <v>545</v>
      </c>
      <c r="F1766" s="732">
        <v>36</v>
      </c>
      <c r="G1766" s="685">
        <v>285.73219714954109</v>
      </c>
      <c r="H1766" s="685">
        <v>10286.35909738348</v>
      </c>
      <c r="I1766" s="686" t="s">
        <v>9009</v>
      </c>
      <c r="J1766" s="672" t="s">
        <v>9020</v>
      </c>
      <c r="K1766" s="672" t="s">
        <v>1911</v>
      </c>
      <c r="L1766" s="672" t="s">
        <v>9020</v>
      </c>
    </row>
    <row r="1767" spans="1:12" x14ac:dyDescent="0.2">
      <c r="A1767" s="672" t="s">
        <v>220</v>
      </c>
      <c r="B1767" s="672" t="s">
        <v>7448</v>
      </c>
      <c r="C1767" s="672" t="s">
        <v>7461</v>
      </c>
      <c r="D1767" s="672" t="s">
        <v>7670</v>
      </c>
      <c r="E1767" s="745" t="s">
        <v>545</v>
      </c>
      <c r="F1767" s="732">
        <v>200</v>
      </c>
      <c r="G1767" s="685">
        <v>117.71201190019173</v>
      </c>
      <c r="H1767" s="685">
        <v>23542.402380038344</v>
      </c>
      <c r="I1767" s="686" t="s">
        <v>9009</v>
      </c>
      <c r="J1767" s="672" t="s">
        <v>9020</v>
      </c>
      <c r="K1767" s="672" t="s">
        <v>1911</v>
      </c>
      <c r="L1767" s="672" t="s">
        <v>9020</v>
      </c>
    </row>
    <row r="1768" spans="1:12" x14ac:dyDescent="0.2">
      <c r="A1768" s="672" t="s">
        <v>220</v>
      </c>
      <c r="B1768" s="672" t="s">
        <v>7448</v>
      </c>
      <c r="C1768" s="672" t="s">
        <v>7781</v>
      </c>
      <c r="D1768" s="672" t="s">
        <v>7757</v>
      </c>
      <c r="E1768" s="745" t="s">
        <v>545</v>
      </c>
      <c r="F1768" s="732">
        <v>43</v>
      </c>
      <c r="G1768" s="685">
        <v>107.19954031499476</v>
      </c>
      <c r="H1768" s="685">
        <v>4609.5802335447752</v>
      </c>
      <c r="I1768" s="686" t="s">
        <v>9009</v>
      </c>
      <c r="J1768" s="672" t="s">
        <v>9020</v>
      </c>
      <c r="K1768" s="672" t="s">
        <v>1911</v>
      </c>
      <c r="L1768" s="672" t="s">
        <v>9020</v>
      </c>
    </row>
    <row r="1769" spans="1:12" x14ac:dyDescent="0.2">
      <c r="A1769" s="672" t="s">
        <v>220</v>
      </c>
      <c r="B1769" s="672" t="s">
        <v>7448</v>
      </c>
      <c r="C1769" s="672" t="s">
        <v>9690</v>
      </c>
      <c r="D1769" s="672" t="s">
        <v>9128</v>
      </c>
      <c r="E1769" s="745" t="s">
        <v>545</v>
      </c>
      <c r="F1769" s="732">
        <v>40</v>
      </c>
      <c r="G1769" s="685">
        <v>102.93403396390786</v>
      </c>
      <c r="H1769" s="685">
        <v>4117.3613585563144</v>
      </c>
      <c r="I1769" s="686" t="s">
        <v>9009</v>
      </c>
      <c r="J1769" s="672" t="s">
        <v>9020</v>
      </c>
      <c r="K1769" s="672" t="s">
        <v>1911</v>
      </c>
      <c r="L1769" s="672" t="s">
        <v>9020</v>
      </c>
    </row>
    <row r="1770" spans="1:12" x14ac:dyDescent="0.2">
      <c r="A1770" s="672" t="s">
        <v>220</v>
      </c>
      <c r="B1770" s="672" t="s">
        <v>7448</v>
      </c>
      <c r="C1770" s="672" t="s">
        <v>1938</v>
      </c>
      <c r="D1770" s="672" t="s">
        <v>7609</v>
      </c>
      <c r="E1770" s="745" t="s">
        <v>545</v>
      </c>
      <c r="F1770" s="732">
        <v>13</v>
      </c>
      <c r="G1770" s="685">
        <v>103.28329097466981</v>
      </c>
      <c r="H1770" s="685">
        <v>1342.6827826707076</v>
      </c>
      <c r="I1770" s="686" t="s">
        <v>9009</v>
      </c>
      <c r="J1770" s="672" t="s">
        <v>9020</v>
      </c>
      <c r="K1770" s="672" t="s">
        <v>1911</v>
      </c>
      <c r="L1770" s="672" t="s">
        <v>9020</v>
      </c>
    </row>
    <row r="1771" spans="1:12" x14ac:dyDescent="0.2">
      <c r="A1771" s="672" t="s">
        <v>220</v>
      </c>
      <c r="B1771" s="672" t="s">
        <v>7448</v>
      </c>
      <c r="C1771" s="672" t="s">
        <v>1960</v>
      </c>
      <c r="D1771" s="672" t="s">
        <v>7486</v>
      </c>
      <c r="E1771" s="745" t="s">
        <v>545</v>
      </c>
      <c r="F1771" s="732">
        <v>31</v>
      </c>
      <c r="G1771" s="685">
        <v>102.70250986558361</v>
      </c>
      <c r="H1771" s="685">
        <v>3183.7778058330919</v>
      </c>
      <c r="I1771" s="686" t="s">
        <v>9009</v>
      </c>
      <c r="J1771" s="672" t="s">
        <v>9020</v>
      </c>
      <c r="K1771" s="672" t="s">
        <v>1911</v>
      </c>
      <c r="L1771" s="672" t="s">
        <v>9020</v>
      </c>
    </row>
    <row r="1772" spans="1:12" x14ac:dyDescent="0.2">
      <c r="A1772" s="672" t="s">
        <v>220</v>
      </c>
      <c r="B1772" s="672" t="s">
        <v>7448</v>
      </c>
      <c r="C1772" s="672" t="s">
        <v>1940</v>
      </c>
      <c r="D1772" s="672" t="s">
        <v>7660</v>
      </c>
      <c r="E1772" s="745" t="s">
        <v>545</v>
      </c>
      <c r="F1772" s="732">
        <v>179</v>
      </c>
      <c r="G1772" s="685">
        <v>112.23658549928935</v>
      </c>
      <c r="H1772" s="685">
        <v>20090.348804372792</v>
      </c>
      <c r="I1772" s="686" t="s">
        <v>9009</v>
      </c>
      <c r="J1772" s="672" t="s">
        <v>9020</v>
      </c>
      <c r="K1772" s="672" t="s">
        <v>1911</v>
      </c>
      <c r="L1772" s="672" t="s">
        <v>9020</v>
      </c>
    </row>
    <row r="1773" spans="1:12" x14ac:dyDescent="0.2">
      <c r="A1773" s="672" t="s">
        <v>220</v>
      </c>
      <c r="B1773" s="672" t="s">
        <v>7448</v>
      </c>
      <c r="C1773" s="672" t="s">
        <v>1942</v>
      </c>
      <c r="D1773" s="672" t="s">
        <v>7478</v>
      </c>
      <c r="E1773" s="745" t="s">
        <v>545</v>
      </c>
      <c r="F1773" s="732">
        <v>265</v>
      </c>
      <c r="G1773" s="685">
        <v>112.036015593396</v>
      </c>
      <c r="H1773" s="685">
        <v>29689.544132249939</v>
      </c>
      <c r="I1773" s="686" t="s">
        <v>9009</v>
      </c>
      <c r="J1773" s="672" t="s">
        <v>9020</v>
      </c>
      <c r="K1773" s="672" t="s">
        <v>1911</v>
      </c>
      <c r="L1773" s="672" t="s">
        <v>9020</v>
      </c>
    </row>
    <row r="1774" spans="1:12" x14ac:dyDescent="0.2">
      <c r="A1774" s="672" t="s">
        <v>220</v>
      </c>
      <c r="B1774" s="672" t="s">
        <v>7448</v>
      </c>
      <c r="C1774" s="672" t="s">
        <v>7663</v>
      </c>
      <c r="D1774" s="672" t="s">
        <v>10376</v>
      </c>
      <c r="E1774" s="745" t="s">
        <v>545</v>
      </c>
      <c r="F1774" s="732">
        <v>20</v>
      </c>
      <c r="G1774" s="685">
        <v>103.38320446006901</v>
      </c>
      <c r="H1774" s="685">
        <v>2067.6640892013802</v>
      </c>
      <c r="I1774" s="686" t="s">
        <v>9009</v>
      </c>
      <c r="J1774" s="672" t="s">
        <v>9020</v>
      </c>
      <c r="K1774" s="672" t="s">
        <v>1911</v>
      </c>
      <c r="L1774" s="672" t="s">
        <v>9020</v>
      </c>
    </row>
    <row r="1775" spans="1:12" x14ac:dyDescent="0.2">
      <c r="A1775" s="672" t="s">
        <v>220</v>
      </c>
      <c r="B1775" s="672" t="s">
        <v>7448</v>
      </c>
      <c r="C1775" s="672" t="s">
        <v>10377</v>
      </c>
      <c r="D1775" s="672" t="s">
        <v>9033</v>
      </c>
      <c r="E1775" s="745" t="s">
        <v>545</v>
      </c>
      <c r="F1775" s="732">
        <v>11</v>
      </c>
      <c r="G1775" s="685">
        <v>112.34484419558122</v>
      </c>
      <c r="H1775" s="685">
        <v>1235.7932861513934</v>
      </c>
      <c r="I1775" s="686" t="s">
        <v>9009</v>
      </c>
      <c r="J1775" s="672" t="s">
        <v>9020</v>
      </c>
      <c r="K1775" s="672" t="s">
        <v>1911</v>
      </c>
      <c r="L1775" s="672" t="s">
        <v>9020</v>
      </c>
    </row>
    <row r="1776" spans="1:12" x14ac:dyDescent="0.2">
      <c r="A1776" s="672" t="s">
        <v>220</v>
      </c>
      <c r="B1776" s="672" t="s">
        <v>7448</v>
      </c>
      <c r="C1776" s="672" t="s">
        <v>7661</v>
      </c>
      <c r="D1776" s="672" t="s">
        <v>7456</v>
      </c>
      <c r="E1776" s="745" t="s">
        <v>545</v>
      </c>
      <c r="F1776" s="732">
        <v>208</v>
      </c>
      <c r="G1776" s="685">
        <v>143.94921629563308</v>
      </c>
      <c r="H1776" s="685">
        <v>29941.436989491682</v>
      </c>
      <c r="I1776" s="686" t="s">
        <v>9009</v>
      </c>
      <c r="J1776" s="672" t="s">
        <v>9020</v>
      </c>
      <c r="K1776" s="672" t="s">
        <v>1911</v>
      </c>
      <c r="L1776" s="672" t="s">
        <v>9020</v>
      </c>
    </row>
    <row r="1777" spans="1:12" x14ac:dyDescent="0.2">
      <c r="A1777" s="672" t="s">
        <v>220</v>
      </c>
      <c r="B1777" s="672" t="s">
        <v>7448</v>
      </c>
      <c r="C1777" s="672" t="s">
        <v>7662</v>
      </c>
      <c r="D1777" s="672" t="s">
        <v>9031</v>
      </c>
      <c r="E1777" s="745" t="s">
        <v>545</v>
      </c>
      <c r="F1777" s="732">
        <v>272</v>
      </c>
      <c r="G1777" s="685">
        <v>150.80792283160068</v>
      </c>
      <c r="H1777" s="685">
        <v>41019.755010195382</v>
      </c>
      <c r="I1777" s="686" t="s">
        <v>9009</v>
      </c>
      <c r="J1777" s="672" t="s">
        <v>9020</v>
      </c>
      <c r="K1777" s="672" t="s">
        <v>1911</v>
      </c>
      <c r="L1777" s="672" t="s">
        <v>9020</v>
      </c>
    </row>
    <row r="1778" spans="1:12" x14ac:dyDescent="0.2">
      <c r="A1778" s="672" t="s">
        <v>220</v>
      </c>
      <c r="B1778" s="672" t="s">
        <v>7448</v>
      </c>
      <c r="C1778" s="672" t="s">
        <v>1972</v>
      </c>
      <c r="D1778" s="672" t="s">
        <v>7617</v>
      </c>
      <c r="E1778" s="745" t="s">
        <v>545</v>
      </c>
      <c r="F1778" s="732">
        <v>46</v>
      </c>
      <c r="G1778" s="685">
        <v>159.59204416819983</v>
      </c>
      <c r="H1778" s="685">
        <v>7341.2340317371927</v>
      </c>
      <c r="I1778" s="686" t="s">
        <v>9009</v>
      </c>
      <c r="J1778" s="672" t="s">
        <v>9020</v>
      </c>
      <c r="K1778" s="672" t="s">
        <v>1911</v>
      </c>
      <c r="L1778" s="672" t="s">
        <v>9020</v>
      </c>
    </row>
    <row r="1779" spans="1:12" x14ac:dyDescent="0.2">
      <c r="A1779" s="672" t="s">
        <v>220</v>
      </c>
      <c r="B1779" s="672" t="s">
        <v>7448</v>
      </c>
      <c r="C1779" s="672" t="s">
        <v>1974</v>
      </c>
      <c r="D1779" s="672" t="s">
        <v>7487</v>
      </c>
      <c r="E1779" s="745" t="s">
        <v>545</v>
      </c>
      <c r="F1779" s="732">
        <v>4</v>
      </c>
      <c r="G1779" s="685">
        <v>173.93375206229146</v>
      </c>
      <c r="H1779" s="685">
        <v>695.73500824916584</v>
      </c>
      <c r="I1779" s="686" t="s">
        <v>9009</v>
      </c>
      <c r="J1779" s="672" t="s">
        <v>9020</v>
      </c>
      <c r="K1779" s="672" t="s">
        <v>1911</v>
      </c>
      <c r="L1779" s="672" t="s">
        <v>9020</v>
      </c>
    </row>
    <row r="1780" spans="1:12" x14ac:dyDescent="0.2">
      <c r="A1780" s="672" t="s">
        <v>220</v>
      </c>
      <c r="B1780" s="672" t="s">
        <v>7448</v>
      </c>
      <c r="C1780" s="672" t="s">
        <v>9114</v>
      </c>
      <c r="D1780" s="672" t="s">
        <v>9052</v>
      </c>
      <c r="E1780" s="745" t="s">
        <v>545</v>
      </c>
      <c r="F1780" s="732">
        <v>20</v>
      </c>
      <c r="G1780" s="685">
        <v>232.65887383181351</v>
      </c>
      <c r="H1780" s="685">
        <v>4653.1774766362705</v>
      </c>
      <c r="I1780" s="686" t="s">
        <v>9009</v>
      </c>
      <c r="J1780" s="672" t="s">
        <v>9020</v>
      </c>
      <c r="K1780" s="672" t="s">
        <v>1911</v>
      </c>
      <c r="L1780" s="672" t="s">
        <v>9020</v>
      </c>
    </row>
    <row r="1781" spans="1:12" x14ac:dyDescent="0.2">
      <c r="A1781" s="672" t="s">
        <v>220</v>
      </c>
      <c r="B1781" s="672" t="s">
        <v>7448</v>
      </c>
      <c r="C1781" s="672" t="s">
        <v>9061</v>
      </c>
      <c r="D1781" s="672" t="s">
        <v>9054</v>
      </c>
      <c r="E1781" s="745" t="s">
        <v>545</v>
      </c>
      <c r="F1781" s="732">
        <v>5</v>
      </c>
      <c r="G1781" s="685">
        <v>261.12977294783673</v>
      </c>
      <c r="H1781" s="685">
        <v>1305.6488647391836</v>
      </c>
      <c r="I1781" s="686" t="s">
        <v>9009</v>
      </c>
      <c r="J1781" s="672" t="s">
        <v>9020</v>
      </c>
      <c r="K1781" s="672" t="s">
        <v>1911</v>
      </c>
      <c r="L1781" s="672" t="s">
        <v>9020</v>
      </c>
    </row>
    <row r="1782" spans="1:12" x14ac:dyDescent="0.2">
      <c r="A1782" s="672" t="s">
        <v>220</v>
      </c>
      <c r="B1782" s="672" t="s">
        <v>7448</v>
      </c>
      <c r="C1782" s="672" t="s">
        <v>1984</v>
      </c>
      <c r="D1782" s="672" t="s">
        <v>7459</v>
      </c>
      <c r="E1782" s="745" t="s">
        <v>545</v>
      </c>
      <c r="F1782" s="732">
        <v>3</v>
      </c>
      <c r="G1782" s="685">
        <v>269.44680069832242</v>
      </c>
      <c r="H1782" s="685">
        <v>808.3404020949672</v>
      </c>
      <c r="I1782" s="686" t="s">
        <v>9009</v>
      </c>
      <c r="J1782" s="672" t="s">
        <v>9020</v>
      </c>
      <c r="K1782" s="672" t="s">
        <v>1911</v>
      </c>
      <c r="L1782" s="672" t="s">
        <v>9020</v>
      </c>
    </row>
    <row r="1783" spans="1:12" x14ac:dyDescent="0.2">
      <c r="A1783" s="672" t="s">
        <v>220</v>
      </c>
      <c r="B1783" s="672" t="s">
        <v>7448</v>
      </c>
      <c r="C1783" s="672" t="s">
        <v>1976</v>
      </c>
      <c r="D1783" s="672" t="s">
        <v>7753</v>
      </c>
      <c r="E1783" s="745" t="s">
        <v>545</v>
      </c>
      <c r="F1783" s="732">
        <v>4</v>
      </c>
      <c r="G1783" s="685">
        <v>291.06135277255351</v>
      </c>
      <c r="H1783" s="685">
        <v>1164.245411090214</v>
      </c>
      <c r="I1783" s="686" t="s">
        <v>9009</v>
      </c>
      <c r="J1783" s="672" t="s">
        <v>9020</v>
      </c>
      <c r="K1783" s="672" t="s">
        <v>1911</v>
      </c>
      <c r="L1783" s="672" t="s">
        <v>9020</v>
      </c>
    </row>
    <row r="1784" spans="1:12" x14ac:dyDescent="0.2">
      <c r="A1784" s="672" t="s">
        <v>220</v>
      </c>
      <c r="B1784" s="672" t="s">
        <v>7448</v>
      </c>
      <c r="C1784" s="672" t="s">
        <v>1932</v>
      </c>
      <c r="D1784" s="672" t="s">
        <v>7659</v>
      </c>
      <c r="E1784" s="745" t="s">
        <v>545</v>
      </c>
      <c r="F1784" s="732">
        <v>9</v>
      </c>
      <c r="G1784" s="685">
        <v>65.937506063778542</v>
      </c>
      <c r="H1784" s="685">
        <v>593.43755457400687</v>
      </c>
      <c r="I1784" s="686" t="s">
        <v>9009</v>
      </c>
      <c r="J1784" s="672" t="s">
        <v>9020</v>
      </c>
      <c r="K1784" s="672" t="s">
        <v>1911</v>
      </c>
      <c r="L1784" s="672" t="s">
        <v>9020</v>
      </c>
    </row>
    <row r="1785" spans="1:12" x14ac:dyDescent="0.2">
      <c r="A1785" s="672" t="s">
        <v>220</v>
      </c>
      <c r="B1785" s="672" t="s">
        <v>7448</v>
      </c>
      <c r="C1785" s="672" t="s">
        <v>1936</v>
      </c>
      <c r="D1785" s="672" t="s">
        <v>10378</v>
      </c>
      <c r="E1785" s="745" t="s">
        <v>545</v>
      </c>
      <c r="F1785" s="732">
        <v>8</v>
      </c>
      <c r="G1785" s="685">
        <v>68.174214793826593</v>
      </c>
      <c r="H1785" s="685">
        <v>545.39371835061274</v>
      </c>
      <c r="I1785" s="686" t="s">
        <v>9009</v>
      </c>
      <c r="J1785" s="672" t="s">
        <v>9020</v>
      </c>
      <c r="K1785" s="672" t="s">
        <v>1911</v>
      </c>
      <c r="L1785" s="672" t="s">
        <v>9020</v>
      </c>
    </row>
    <row r="1786" spans="1:12" x14ac:dyDescent="0.2">
      <c r="A1786" s="672" t="s">
        <v>220</v>
      </c>
      <c r="B1786" s="672" t="s">
        <v>7448</v>
      </c>
      <c r="C1786" s="672" t="s">
        <v>1936</v>
      </c>
      <c r="D1786" s="672" t="s">
        <v>10379</v>
      </c>
      <c r="E1786" s="745" t="s">
        <v>545</v>
      </c>
      <c r="F1786" s="732">
        <v>336</v>
      </c>
      <c r="G1786" s="685">
        <v>68.174214793826593</v>
      </c>
      <c r="H1786" s="685">
        <v>22906.536170725736</v>
      </c>
      <c r="I1786" s="686" t="s">
        <v>9009</v>
      </c>
      <c r="J1786" s="672" t="s">
        <v>9020</v>
      </c>
      <c r="K1786" s="672" t="s">
        <v>1911</v>
      </c>
      <c r="L1786" s="672" t="s">
        <v>9020</v>
      </c>
    </row>
    <row r="1787" spans="1:12" x14ac:dyDescent="0.2">
      <c r="A1787" s="672" t="s">
        <v>220</v>
      </c>
      <c r="B1787" s="672" t="s">
        <v>7448</v>
      </c>
      <c r="C1787" s="672" t="s">
        <v>1936</v>
      </c>
      <c r="D1787" s="672" t="s">
        <v>10380</v>
      </c>
      <c r="E1787" s="745" t="s">
        <v>545</v>
      </c>
      <c r="F1787" s="732">
        <v>14</v>
      </c>
      <c r="G1787" s="685">
        <v>68.174214793826593</v>
      </c>
      <c r="H1787" s="685">
        <v>954.4390071135723</v>
      </c>
      <c r="I1787" s="686" t="s">
        <v>9009</v>
      </c>
      <c r="J1787" s="672" t="s">
        <v>9020</v>
      </c>
      <c r="K1787" s="672" t="s">
        <v>1911</v>
      </c>
      <c r="L1787" s="672" t="s">
        <v>9020</v>
      </c>
    </row>
    <row r="1788" spans="1:12" x14ac:dyDescent="0.2">
      <c r="A1788" s="672" t="s">
        <v>220</v>
      </c>
      <c r="B1788" s="672" t="s">
        <v>7448</v>
      </c>
      <c r="C1788" s="672" t="s">
        <v>7657</v>
      </c>
      <c r="D1788" s="672" t="s">
        <v>9525</v>
      </c>
      <c r="E1788" s="745" t="s">
        <v>545</v>
      </c>
      <c r="F1788" s="732">
        <v>3</v>
      </c>
      <c r="G1788" s="685">
        <v>229.21418905493132</v>
      </c>
      <c r="H1788" s="685">
        <v>687.64256716479395</v>
      </c>
      <c r="I1788" s="686" t="s">
        <v>9009</v>
      </c>
      <c r="J1788" s="672" t="s">
        <v>9020</v>
      </c>
      <c r="K1788" s="672" t="s">
        <v>1911</v>
      </c>
      <c r="L1788" s="672" t="s">
        <v>9020</v>
      </c>
    </row>
    <row r="1789" spans="1:12" x14ac:dyDescent="0.2">
      <c r="A1789" s="672" t="s">
        <v>220</v>
      </c>
      <c r="B1789" s="672" t="s">
        <v>7448</v>
      </c>
      <c r="C1789" s="672" t="s">
        <v>7666</v>
      </c>
      <c r="D1789" s="672" t="s">
        <v>7638</v>
      </c>
      <c r="E1789" s="745" t="s">
        <v>545</v>
      </c>
      <c r="F1789" s="732">
        <v>39</v>
      </c>
      <c r="G1789" s="685">
        <v>179.34279474942977</v>
      </c>
      <c r="H1789" s="685">
        <v>6994.3689952277609</v>
      </c>
      <c r="I1789" s="686" t="s">
        <v>9009</v>
      </c>
      <c r="J1789" s="672" t="s">
        <v>9020</v>
      </c>
      <c r="K1789" s="672" t="s">
        <v>1911</v>
      </c>
      <c r="L1789" s="672" t="s">
        <v>9020</v>
      </c>
    </row>
    <row r="1790" spans="1:12" x14ac:dyDescent="0.2">
      <c r="A1790" s="672" t="s">
        <v>220</v>
      </c>
      <c r="B1790" s="672" t="s">
        <v>7448</v>
      </c>
      <c r="C1790" s="672" t="s">
        <v>1978</v>
      </c>
      <c r="D1790" s="672" t="s">
        <v>7618</v>
      </c>
      <c r="E1790" s="745" t="s">
        <v>545</v>
      </c>
      <c r="F1790" s="732">
        <v>10</v>
      </c>
      <c r="G1790" s="685">
        <v>176.32254350770452</v>
      </c>
      <c r="H1790" s="685">
        <v>1763.2254350770452</v>
      </c>
      <c r="I1790" s="686" t="s">
        <v>9009</v>
      </c>
      <c r="J1790" s="672" t="s">
        <v>9020</v>
      </c>
      <c r="K1790" s="672" t="s">
        <v>1911</v>
      </c>
      <c r="L1790" s="672" t="s">
        <v>9020</v>
      </c>
    </row>
    <row r="1791" spans="1:12" x14ac:dyDescent="0.2">
      <c r="A1791" s="672" t="s">
        <v>220</v>
      </c>
      <c r="B1791" s="672" t="s">
        <v>7448</v>
      </c>
      <c r="C1791" s="672" t="s">
        <v>2005</v>
      </c>
      <c r="D1791" s="672" t="s">
        <v>7485</v>
      </c>
      <c r="E1791" s="745" t="s">
        <v>545</v>
      </c>
      <c r="F1791" s="732">
        <v>21</v>
      </c>
      <c r="G1791" s="685">
        <v>198.65069785298371</v>
      </c>
      <c r="H1791" s="685">
        <v>4171.6646549126581</v>
      </c>
      <c r="I1791" s="686" t="s">
        <v>9009</v>
      </c>
      <c r="J1791" s="672" t="s">
        <v>9020</v>
      </c>
      <c r="K1791" s="672" t="s">
        <v>1911</v>
      </c>
      <c r="L1791" s="672" t="s">
        <v>9020</v>
      </c>
    </row>
    <row r="1792" spans="1:12" x14ac:dyDescent="0.2">
      <c r="A1792" s="672" t="s">
        <v>220</v>
      </c>
      <c r="B1792" s="672" t="s">
        <v>10381</v>
      </c>
      <c r="C1792" s="672" t="s">
        <v>825</v>
      </c>
      <c r="D1792" s="672" t="s">
        <v>826</v>
      </c>
      <c r="E1792" s="745" t="s">
        <v>545</v>
      </c>
      <c r="F1792" s="747">
        <v>129</v>
      </c>
      <c r="G1792" s="685">
        <v>12.081488303723731</v>
      </c>
      <c r="H1792" s="685">
        <v>1558.5119911803613</v>
      </c>
      <c r="I1792" s="686" t="s">
        <v>9009</v>
      </c>
      <c r="J1792" s="672" t="s">
        <v>9011</v>
      </c>
      <c r="K1792" s="672" t="s">
        <v>541</v>
      </c>
      <c r="L1792" s="672" t="s">
        <v>9068</v>
      </c>
    </row>
    <row r="1793" spans="1:12" x14ac:dyDescent="0.2">
      <c r="A1793" s="672" t="s">
        <v>220</v>
      </c>
      <c r="B1793" s="672" t="s">
        <v>10381</v>
      </c>
      <c r="C1793" s="672" t="s">
        <v>827</v>
      </c>
      <c r="D1793" s="672" t="s">
        <v>828</v>
      </c>
      <c r="E1793" s="745" t="s">
        <v>545</v>
      </c>
      <c r="F1793" s="747">
        <v>32</v>
      </c>
      <c r="G1793" s="685">
        <v>7.9457692462815732</v>
      </c>
      <c r="H1793" s="685">
        <v>254.26461588101034</v>
      </c>
      <c r="I1793" s="686" t="s">
        <v>9009</v>
      </c>
      <c r="J1793" s="672" t="s">
        <v>9011</v>
      </c>
      <c r="K1793" s="672" t="s">
        <v>541</v>
      </c>
      <c r="L1793" s="672" t="s">
        <v>9068</v>
      </c>
    </row>
    <row r="1794" spans="1:12" x14ac:dyDescent="0.2">
      <c r="A1794" s="672" t="s">
        <v>220</v>
      </c>
      <c r="B1794" s="672" t="s">
        <v>10381</v>
      </c>
      <c r="C1794" s="672" t="s">
        <v>829</v>
      </c>
      <c r="D1794" s="672" t="s">
        <v>830</v>
      </c>
      <c r="E1794" s="745" t="s">
        <v>545</v>
      </c>
      <c r="F1794" s="747">
        <v>6</v>
      </c>
      <c r="G1794" s="685">
        <v>7.5061281974308773</v>
      </c>
      <c r="H1794" s="685">
        <v>45.036769184585268</v>
      </c>
      <c r="I1794" s="686" t="s">
        <v>9009</v>
      </c>
      <c r="J1794" s="672" t="s">
        <v>9011</v>
      </c>
      <c r="K1794" s="672" t="s">
        <v>541</v>
      </c>
      <c r="L1794" s="672" t="s">
        <v>9068</v>
      </c>
    </row>
    <row r="1795" spans="1:12" x14ac:dyDescent="0.2">
      <c r="A1795" s="672" t="s">
        <v>220</v>
      </c>
      <c r="B1795" s="672" t="s">
        <v>10381</v>
      </c>
      <c r="C1795" s="672" t="s">
        <v>833</v>
      </c>
      <c r="D1795" s="672" t="s">
        <v>834</v>
      </c>
      <c r="E1795" s="745" t="s">
        <v>545</v>
      </c>
      <c r="F1795" s="747">
        <v>90</v>
      </c>
      <c r="G1795" s="685">
        <v>5.1668278697492651</v>
      </c>
      <c r="H1795" s="685">
        <v>465.01450827743383</v>
      </c>
      <c r="I1795" s="686" t="s">
        <v>9009</v>
      </c>
      <c r="J1795" s="672" t="s">
        <v>9011</v>
      </c>
      <c r="K1795" s="672" t="s">
        <v>541</v>
      </c>
      <c r="L1795" s="672" t="s">
        <v>9068</v>
      </c>
    </row>
    <row r="1796" spans="1:12" x14ac:dyDescent="0.2">
      <c r="A1796" s="672" t="s">
        <v>220</v>
      </c>
      <c r="B1796" s="672" t="s">
        <v>10381</v>
      </c>
      <c r="C1796" s="672" t="s">
        <v>835</v>
      </c>
      <c r="D1796" s="672" t="s">
        <v>836</v>
      </c>
      <c r="E1796" s="745" t="s">
        <v>545</v>
      </c>
      <c r="F1796" s="747">
        <v>31</v>
      </c>
      <c r="G1796" s="685">
        <v>4.2500357223489855</v>
      </c>
      <c r="H1796" s="685">
        <v>131.75110739281854</v>
      </c>
      <c r="I1796" s="686" t="s">
        <v>9009</v>
      </c>
      <c r="J1796" s="672" t="s">
        <v>9011</v>
      </c>
      <c r="K1796" s="672" t="s">
        <v>541</v>
      </c>
      <c r="L1796" s="672" t="s">
        <v>9068</v>
      </c>
    </row>
    <row r="1797" spans="1:12" x14ac:dyDescent="0.2">
      <c r="A1797" s="672" t="s">
        <v>220</v>
      </c>
      <c r="B1797" s="672" t="s">
        <v>10381</v>
      </c>
      <c r="C1797" s="672" t="s">
        <v>839</v>
      </c>
      <c r="D1797" s="672" t="s">
        <v>840</v>
      </c>
      <c r="E1797" s="745" t="s">
        <v>545</v>
      </c>
      <c r="F1797" s="747">
        <v>113</v>
      </c>
      <c r="G1797" s="685">
        <v>4.2615928527875875</v>
      </c>
      <c r="H1797" s="685">
        <v>481.55999236499741</v>
      </c>
      <c r="I1797" s="686" t="s">
        <v>9009</v>
      </c>
      <c r="J1797" s="672" t="s">
        <v>9011</v>
      </c>
      <c r="K1797" s="672" t="s">
        <v>541</v>
      </c>
      <c r="L1797" s="672" t="s">
        <v>9068</v>
      </c>
    </row>
    <row r="1798" spans="1:12" x14ac:dyDescent="0.2">
      <c r="A1798" s="672" t="s">
        <v>220</v>
      </c>
      <c r="B1798" s="672" t="s">
        <v>10381</v>
      </c>
      <c r="C1798" s="672" t="s">
        <v>841</v>
      </c>
      <c r="D1798" s="672" t="s">
        <v>842</v>
      </c>
      <c r="E1798" s="745" t="s">
        <v>545</v>
      </c>
      <c r="F1798" s="747">
        <v>78</v>
      </c>
      <c r="G1798" s="685">
        <v>4.1249721771996413</v>
      </c>
      <c r="H1798" s="685">
        <v>321.747829821572</v>
      </c>
      <c r="I1798" s="686" t="s">
        <v>9009</v>
      </c>
      <c r="J1798" s="672" t="s">
        <v>9011</v>
      </c>
      <c r="K1798" s="672" t="s">
        <v>541</v>
      </c>
      <c r="L1798" s="672" t="s">
        <v>9068</v>
      </c>
    </row>
    <row r="1799" spans="1:12" x14ac:dyDescent="0.2">
      <c r="A1799" s="672" t="s">
        <v>220</v>
      </c>
      <c r="B1799" s="672" t="s">
        <v>10381</v>
      </c>
      <c r="C1799" s="672" t="s">
        <v>843</v>
      </c>
      <c r="D1799" s="672" t="s">
        <v>844</v>
      </c>
      <c r="E1799" s="745" t="s">
        <v>545</v>
      </c>
      <c r="F1799" s="747">
        <v>106</v>
      </c>
      <c r="G1799" s="685">
        <v>5.9648175593552235</v>
      </c>
      <c r="H1799" s="685">
        <v>632.27066129165371</v>
      </c>
      <c r="I1799" s="686" t="s">
        <v>9009</v>
      </c>
      <c r="J1799" s="672" t="s">
        <v>9011</v>
      </c>
      <c r="K1799" s="672" t="s">
        <v>541</v>
      </c>
      <c r="L1799" s="672" t="s">
        <v>9068</v>
      </c>
    </row>
    <row r="1800" spans="1:12" x14ac:dyDescent="0.2">
      <c r="A1800" s="672" t="s">
        <v>220</v>
      </c>
      <c r="B1800" s="672" t="s">
        <v>10381</v>
      </c>
      <c r="C1800" s="672" t="s">
        <v>847</v>
      </c>
      <c r="D1800" s="672" t="s">
        <v>848</v>
      </c>
      <c r="E1800" s="745" t="s">
        <v>545</v>
      </c>
      <c r="F1800" s="747">
        <v>101</v>
      </c>
      <c r="G1800" s="685">
        <v>5.7323337064227609</v>
      </c>
      <c r="H1800" s="685">
        <v>578.96570434869886</v>
      </c>
      <c r="I1800" s="686" t="s">
        <v>9009</v>
      </c>
      <c r="J1800" s="672" t="s">
        <v>9011</v>
      </c>
      <c r="K1800" s="672" t="s">
        <v>541</v>
      </c>
      <c r="L1800" s="672" t="s">
        <v>9068</v>
      </c>
    </row>
    <row r="1801" spans="1:12" x14ac:dyDescent="0.2">
      <c r="A1801" s="672" t="s">
        <v>220</v>
      </c>
      <c r="B1801" s="672" t="s">
        <v>10381</v>
      </c>
      <c r="C1801" s="672" t="s">
        <v>849</v>
      </c>
      <c r="D1801" s="672" t="s">
        <v>850</v>
      </c>
      <c r="E1801" s="745" t="s">
        <v>545</v>
      </c>
      <c r="F1801" s="747">
        <v>28</v>
      </c>
      <c r="G1801" s="685">
        <v>4.3059139447251029</v>
      </c>
      <c r="H1801" s="685">
        <v>120.56559045230289</v>
      </c>
      <c r="I1801" s="686" t="s">
        <v>9009</v>
      </c>
      <c r="J1801" s="672" t="s">
        <v>9011</v>
      </c>
      <c r="K1801" s="672" t="s">
        <v>541</v>
      </c>
      <c r="L1801" s="672" t="s">
        <v>9068</v>
      </c>
    </row>
    <row r="1802" spans="1:12" x14ac:dyDescent="0.2">
      <c r="A1802" s="672" t="s">
        <v>220</v>
      </c>
      <c r="B1802" s="672" t="s">
        <v>10381</v>
      </c>
      <c r="C1802" s="672" t="s">
        <v>851</v>
      </c>
      <c r="D1802" s="672" t="s">
        <v>852</v>
      </c>
      <c r="E1802" s="745" t="s">
        <v>545</v>
      </c>
      <c r="F1802" s="747">
        <v>26392</v>
      </c>
      <c r="G1802" s="685">
        <v>5.4451132845537913</v>
      </c>
      <c r="H1802" s="685">
        <v>143707.42980594366</v>
      </c>
      <c r="I1802" s="686" t="s">
        <v>9009</v>
      </c>
      <c r="J1802" s="672" t="s">
        <v>9011</v>
      </c>
      <c r="K1802" s="672" t="s">
        <v>541</v>
      </c>
      <c r="L1802" s="672" t="s">
        <v>9068</v>
      </c>
    </row>
    <row r="1803" spans="1:12" x14ac:dyDescent="0.2">
      <c r="A1803" s="672" t="s">
        <v>220</v>
      </c>
      <c r="B1803" s="672" t="s">
        <v>10381</v>
      </c>
      <c r="C1803" s="672" t="s">
        <v>7533</v>
      </c>
      <c r="D1803" s="672" t="s">
        <v>7534</v>
      </c>
      <c r="E1803" s="745" t="s">
        <v>545</v>
      </c>
      <c r="F1803" s="747">
        <v>21390</v>
      </c>
      <c r="G1803" s="685">
        <v>4.490157739445829</v>
      </c>
      <c r="H1803" s="685">
        <v>96044.474046746283</v>
      </c>
      <c r="I1803" s="686" t="s">
        <v>9009</v>
      </c>
      <c r="J1803" s="672" t="s">
        <v>9011</v>
      </c>
      <c r="K1803" s="672" t="s">
        <v>541</v>
      </c>
      <c r="L1803" s="672" t="s">
        <v>9068</v>
      </c>
    </row>
    <row r="1804" spans="1:12" x14ac:dyDescent="0.2">
      <c r="A1804" s="672" t="s">
        <v>220</v>
      </c>
      <c r="B1804" s="672" t="s">
        <v>10381</v>
      </c>
      <c r="C1804" s="672" t="s">
        <v>853</v>
      </c>
      <c r="D1804" s="672" t="s">
        <v>854</v>
      </c>
      <c r="E1804" s="745" t="s">
        <v>545</v>
      </c>
      <c r="F1804" s="747">
        <v>416</v>
      </c>
      <c r="G1804" s="685">
        <v>5.4038853923776964</v>
      </c>
      <c r="H1804" s="685">
        <v>2248.0163232291216</v>
      </c>
      <c r="I1804" s="686" t="s">
        <v>9009</v>
      </c>
      <c r="J1804" s="672" t="s">
        <v>9011</v>
      </c>
      <c r="K1804" s="672" t="s">
        <v>541</v>
      </c>
      <c r="L1804" s="672" t="s">
        <v>9068</v>
      </c>
    </row>
    <row r="1805" spans="1:12" x14ac:dyDescent="0.2">
      <c r="A1805" s="672" t="s">
        <v>220</v>
      </c>
      <c r="B1805" s="672" t="s">
        <v>10381</v>
      </c>
      <c r="C1805" s="672" t="s">
        <v>855</v>
      </c>
      <c r="D1805" s="672" t="s">
        <v>856</v>
      </c>
      <c r="E1805" s="745" t="s">
        <v>545</v>
      </c>
      <c r="F1805" s="747">
        <v>2019</v>
      </c>
      <c r="G1805" s="685">
        <v>3.5545831049279544</v>
      </c>
      <c r="H1805" s="685">
        <v>7176.7032888495396</v>
      </c>
      <c r="I1805" s="686" t="s">
        <v>9009</v>
      </c>
      <c r="J1805" s="672" t="s">
        <v>9011</v>
      </c>
      <c r="K1805" s="672" t="s">
        <v>541</v>
      </c>
      <c r="L1805" s="672" t="s">
        <v>9068</v>
      </c>
    </row>
    <row r="1806" spans="1:12" x14ac:dyDescent="0.2">
      <c r="A1806" s="672" t="s">
        <v>220</v>
      </c>
      <c r="B1806" s="672" t="s">
        <v>10381</v>
      </c>
      <c r="C1806" s="672" t="s">
        <v>859</v>
      </c>
      <c r="D1806" s="672" t="s">
        <v>860</v>
      </c>
      <c r="E1806" s="745" t="s">
        <v>545</v>
      </c>
      <c r="F1806" s="747">
        <v>10572</v>
      </c>
      <c r="G1806" s="685">
        <v>4.9163685234262964</v>
      </c>
      <c r="H1806" s="685">
        <v>51975.848029662804</v>
      </c>
      <c r="I1806" s="686" t="s">
        <v>9009</v>
      </c>
      <c r="J1806" s="672" t="s">
        <v>9011</v>
      </c>
      <c r="K1806" s="672" t="s">
        <v>541</v>
      </c>
      <c r="L1806" s="672" t="s">
        <v>9068</v>
      </c>
    </row>
    <row r="1807" spans="1:12" x14ac:dyDescent="0.2">
      <c r="A1807" s="672" t="s">
        <v>220</v>
      </c>
      <c r="B1807" s="672" t="s">
        <v>10381</v>
      </c>
      <c r="C1807" s="672" t="s">
        <v>861</v>
      </c>
      <c r="D1807" s="672" t="s">
        <v>862</v>
      </c>
      <c r="E1807" s="745" t="s">
        <v>545</v>
      </c>
      <c r="F1807" s="747">
        <v>842</v>
      </c>
      <c r="G1807" s="685">
        <v>5.9680923504620749</v>
      </c>
      <c r="H1807" s="685">
        <v>5025.1337590890671</v>
      </c>
      <c r="I1807" s="686" t="s">
        <v>9009</v>
      </c>
      <c r="J1807" s="672" t="s">
        <v>9011</v>
      </c>
      <c r="K1807" s="672" t="s">
        <v>541</v>
      </c>
      <c r="L1807" s="672" t="s">
        <v>9068</v>
      </c>
    </row>
    <row r="1808" spans="1:12" x14ac:dyDescent="0.2">
      <c r="A1808" s="672" t="s">
        <v>220</v>
      </c>
      <c r="B1808" s="672" t="s">
        <v>10381</v>
      </c>
      <c r="C1808" s="672" t="s">
        <v>863</v>
      </c>
      <c r="D1808" s="672" t="s">
        <v>864</v>
      </c>
      <c r="E1808" s="745" t="s">
        <v>545</v>
      </c>
      <c r="F1808" s="747">
        <v>66</v>
      </c>
      <c r="G1808" s="685">
        <v>3.4771593863103991</v>
      </c>
      <c r="H1808" s="685">
        <v>229.49251949648635</v>
      </c>
      <c r="I1808" s="686" t="s">
        <v>9009</v>
      </c>
      <c r="J1808" s="672" t="s">
        <v>9011</v>
      </c>
      <c r="K1808" s="672" t="s">
        <v>541</v>
      </c>
      <c r="L1808" s="672" t="s">
        <v>9068</v>
      </c>
    </row>
    <row r="1809" spans="1:12" x14ac:dyDescent="0.2">
      <c r="A1809" s="672" t="s">
        <v>220</v>
      </c>
      <c r="B1809" s="672" t="s">
        <v>10381</v>
      </c>
      <c r="C1809" s="672" t="s">
        <v>865</v>
      </c>
      <c r="D1809" s="672" t="s">
        <v>866</v>
      </c>
      <c r="E1809" s="745" t="s">
        <v>545</v>
      </c>
      <c r="F1809" s="747">
        <v>558</v>
      </c>
      <c r="G1809" s="685">
        <v>6.3368180094906368</v>
      </c>
      <c r="H1809" s="685">
        <v>3535.9444492957755</v>
      </c>
      <c r="I1809" s="686" t="s">
        <v>9009</v>
      </c>
      <c r="J1809" s="672" t="s">
        <v>9011</v>
      </c>
      <c r="K1809" s="672" t="s">
        <v>541</v>
      </c>
      <c r="L1809" s="672" t="s">
        <v>9068</v>
      </c>
    </row>
    <row r="1810" spans="1:12" x14ac:dyDescent="0.2">
      <c r="A1810" s="672" t="s">
        <v>220</v>
      </c>
      <c r="B1810" s="672" t="s">
        <v>10381</v>
      </c>
      <c r="C1810" s="672" t="s">
        <v>867</v>
      </c>
      <c r="D1810" s="672" t="s">
        <v>868</v>
      </c>
      <c r="E1810" s="745" t="s">
        <v>545</v>
      </c>
      <c r="F1810" s="747">
        <v>122</v>
      </c>
      <c r="G1810" s="685">
        <v>4.346584430574163</v>
      </c>
      <c r="H1810" s="685">
        <v>530.28330053004788</v>
      </c>
      <c r="I1810" s="686" t="s">
        <v>9009</v>
      </c>
      <c r="J1810" s="672" t="s">
        <v>9011</v>
      </c>
      <c r="K1810" s="672" t="s">
        <v>541</v>
      </c>
      <c r="L1810" s="672" t="s">
        <v>9068</v>
      </c>
    </row>
    <row r="1811" spans="1:12" x14ac:dyDescent="0.2">
      <c r="A1811" s="672" t="s">
        <v>220</v>
      </c>
      <c r="B1811" s="672" t="s">
        <v>10381</v>
      </c>
      <c r="C1811" s="672" t="s">
        <v>871</v>
      </c>
      <c r="D1811" s="672" t="s">
        <v>872</v>
      </c>
      <c r="E1811" s="745" t="s">
        <v>545</v>
      </c>
      <c r="F1811" s="747">
        <v>3717</v>
      </c>
      <c r="G1811" s="685">
        <v>5.3711786372714956</v>
      </c>
      <c r="H1811" s="685">
        <v>19964.67099473815</v>
      </c>
      <c r="I1811" s="686" t="s">
        <v>9009</v>
      </c>
      <c r="J1811" s="672" t="s">
        <v>9011</v>
      </c>
      <c r="K1811" s="672" t="s">
        <v>541</v>
      </c>
      <c r="L1811" s="672" t="s">
        <v>9068</v>
      </c>
    </row>
    <row r="1812" spans="1:12" x14ac:dyDescent="0.2">
      <c r="A1812" s="672" t="s">
        <v>220</v>
      </c>
      <c r="B1812" s="672" t="s">
        <v>10381</v>
      </c>
      <c r="C1812" s="672" t="s">
        <v>871</v>
      </c>
      <c r="D1812" s="672" t="s">
        <v>874</v>
      </c>
      <c r="E1812" s="745" t="s">
        <v>545</v>
      </c>
      <c r="F1812" s="747">
        <v>33</v>
      </c>
      <c r="G1812" s="685">
        <v>5.3711786372714956</v>
      </c>
      <c r="H1812" s="685">
        <v>177.24889502995936</v>
      </c>
      <c r="I1812" s="686" t="s">
        <v>9009</v>
      </c>
      <c r="J1812" s="672" t="s">
        <v>9011</v>
      </c>
      <c r="K1812" s="672" t="s">
        <v>541</v>
      </c>
      <c r="L1812" s="672" t="s">
        <v>9068</v>
      </c>
    </row>
    <row r="1813" spans="1:12" x14ac:dyDescent="0.2">
      <c r="A1813" s="672" t="s">
        <v>220</v>
      </c>
      <c r="B1813" s="672" t="s">
        <v>10381</v>
      </c>
      <c r="C1813" s="672" t="s">
        <v>9504</v>
      </c>
      <c r="D1813" s="672" t="s">
        <v>9505</v>
      </c>
      <c r="E1813" s="745" t="s">
        <v>545</v>
      </c>
      <c r="F1813" s="747">
        <v>720</v>
      </c>
      <c r="G1813" s="685">
        <v>7.3005071261885783</v>
      </c>
      <c r="H1813" s="685">
        <v>5256.3651308557764</v>
      </c>
      <c r="I1813" s="686" t="s">
        <v>9009</v>
      </c>
      <c r="J1813" s="672" t="s">
        <v>9011</v>
      </c>
      <c r="K1813" s="672" t="s">
        <v>541</v>
      </c>
      <c r="L1813" s="672" t="s">
        <v>9068</v>
      </c>
    </row>
    <row r="1814" spans="1:12" x14ac:dyDescent="0.2">
      <c r="A1814" s="672" t="s">
        <v>220</v>
      </c>
      <c r="B1814" s="672" t="s">
        <v>10381</v>
      </c>
      <c r="C1814" s="672" t="s">
        <v>876</v>
      </c>
      <c r="D1814" s="672" t="s">
        <v>877</v>
      </c>
      <c r="E1814" s="745" t="s">
        <v>545</v>
      </c>
      <c r="F1814" s="747">
        <v>4942</v>
      </c>
      <c r="G1814" s="685">
        <v>7.710256132827201</v>
      </c>
      <c r="H1814" s="685">
        <v>38104.085808432028</v>
      </c>
      <c r="I1814" s="686" t="s">
        <v>9009</v>
      </c>
      <c r="J1814" s="672" t="s">
        <v>9011</v>
      </c>
      <c r="K1814" s="672" t="s">
        <v>541</v>
      </c>
      <c r="L1814" s="672" t="s">
        <v>9068</v>
      </c>
    </row>
    <row r="1815" spans="1:12" x14ac:dyDescent="0.2">
      <c r="A1815" s="672" t="s">
        <v>220</v>
      </c>
      <c r="B1815" s="672" t="s">
        <v>10381</v>
      </c>
      <c r="C1815" s="672" t="s">
        <v>878</v>
      </c>
      <c r="D1815" s="672" t="s">
        <v>879</v>
      </c>
      <c r="E1815" s="745" t="s">
        <v>545</v>
      </c>
      <c r="F1815" s="747">
        <v>690</v>
      </c>
      <c r="G1815" s="685">
        <v>9.5193756553841613</v>
      </c>
      <c r="H1815" s="685">
        <v>6568.3692022150717</v>
      </c>
      <c r="I1815" s="686" t="s">
        <v>9009</v>
      </c>
      <c r="J1815" s="672" t="s">
        <v>9011</v>
      </c>
      <c r="K1815" s="672" t="s">
        <v>541</v>
      </c>
      <c r="L1815" s="672" t="s">
        <v>9068</v>
      </c>
    </row>
    <row r="1816" spans="1:12" x14ac:dyDescent="0.2">
      <c r="A1816" s="672" t="s">
        <v>220</v>
      </c>
      <c r="B1816" s="672" t="s">
        <v>10381</v>
      </c>
      <c r="C1816" s="672" t="s">
        <v>882</v>
      </c>
      <c r="D1816" s="672" t="s">
        <v>883</v>
      </c>
      <c r="E1816" s="745" t="s">
        <v>545</v>
      </c>
      <c r="F1816" s="747">
        <v>694</v>
      </c>
      <c r="G1816" s="685">
        <v>11.185792601150798</v>
      </c>
      <c r="H1816" s="685">
        <v>7762.9400651986534</v>
      </c>
      <c r="I1816" s="686" t="s">
        <v>9009</v>
      </c>
      <c r="J1816" s="672" t="s">
        <v>9011</v>
      </c>
      <c r="K1816" s="672" t="s">
        <v>541</v>
      </c>
      <c r="L1816" s="672" t="s">
        <v>9068</v>
      </c>
    </row>
    <row r="1817" spans="1:12" x14ac:dyDescent="0.2">
      <c r="A1817" s="672" t="s">
        <v>220</v>
      </c>
      <c r="B1817" s="672" t="s">
        <v>10381</v>
      </c>
      <c r="C1817" s="672" t="s">
        <v>7535</v>
      </c>
      <c r="D1817" s="672" t="s">
        <v>889</v>
      </c>
      <c r="E1817" s="745" t="s">
        <v>545</v>
      </c>
      <c r="F1817" s="747">
        <v>1685</v>
      </c>
      <c r="G1817" s="685">
        <v>11.602500071874863</v>
      </c>
      <c r="H1817" s="685">
        <v>19550.212621109142</v>
      </c>
      <c r="I1817" s="686" t="s">
        <v>9009</v>
      </c>
      <c r="J1817" s="672" t="s">
        <v>9011</v>
      </c>
      <c r="K1817" s="672" t="s">
        <v>541</v>
      </c>
      <c r="L1817" s="672" t="s">
        <v>9068</v>
      </c>
    </row>
    <row r="1818" spans="1:12" x14ac:dyDescent="0.2">
      <c r="A1818" s="672" t="s">
        <v>220</v>
      </c>
      <c r="B1818" s="672" t="s">
        <v>10381</v>
      </c>
      <c r="C1818" s="672" t="s">
        <v>894</v>
      </c>
      <c r="D1818" s="672" t="s">
        <v>895</v>
      </c>
      <c r="E1818" s="745" t="s">
        <v>545</v>
      </c>
      <c r="F1818" s="747">
        <v>1080</v>
      </c>
      <c r="G1818" s="685">
        <v>22.245871827610767</v>
      </c>
      <c r="H1818" s="685">
        <v>24025.541573819628</v>
      </c>
      <c r="I1818" s="686" t="s">
        <v>9009</v>
      </c>
      <c r="J1818" s="672" t="s">
        <v>9011</v>
      </c>
      <c r="K1818" s="672" t="s">
        <v>541</v>
      </c>
      <c r="L1818" s="672" t="s">
        <v>9068</v>
      </c>
    </row>
    <row r="1819" spans="1:12" x14ac:dyDescent="0.2">
      <c r="A1819" s="672" t="s">
        <v>220</v>
      </c>
      <c r="B1819" s="672" t="s">
        <v>10381</v>
      </c>
      <c r="C1819" s="672" t="s">
        <v>896</v>
      </c>
      <c r="D1819" s="672" t="s">
        <v>897</v>
      </c>
      <c r="E1819" s="745" t="s">
        <v>545</v>
      </c>
      <c r="F1819" s="747">
        <v>403</v>
      </c>
      <c r="G1819" s="685">
        <v>20.090906909496098</v>
      </c>
      <c r="H1819" s="685">
        <v>8096.6354845269279</v>
      </c>
      <c r="I1819" s="686" t="s">
        <v>9009</v>
      </c>
      <c r="J1819" s="672" t="s">
        <v>9011</v>
      </c>
      <c r="K1819" s="672" t="s">
        <v>541</v>
      </c>
      <c r="L1819" s="672" t="s">
        <v>9068</v>
      </c>
    </row>
    <row r="1820" spans="1:12" x14ac:dyDescent="0.2">
      <c r="A1820" s="672" t="s">
        <v>220</v>
      </c>
      <c r="B1820" s="672" t="s">
        <v>10381</v>
      </c>
      <c r="C1820" s="672" t="s">
        <v>898</v>
      </c>
      <c r="D1820" s="672" t="s">
        <v>899</v>
      </c>
      <c r="E1820" s="745" t="s">
        <v>545</v>
      </c>
      <c r="F1820" s="747">
        <v>60</v>
      </c>
      <c r="G1820" s="685">
        <v>14.21146013360571</v>
      </c>
      <c r="H1820" s="685">
        <v>852.68760801634266</v>
      </c>
      <c r="I1820" s="686" t="s">
        <v>9009</v>
      </c>
      <c r="J1820" s="672" t="s">
        <v>9011</v>
      </c>
      <c r="K1820" s="672" t="s">
        <v>541</v>
      </c>
      <c r="L1820" s="672" t="s">
        <v>9068</v>
      </c>
    </row>
    <row r="1821" spans="1:12" x14ac:dyDescent="0.2">
      <c r="A1821" s="672" t="s">
        <v>220</v>
      </c>
      <c r="B1821" s="672" t="s">
        <v>10381</v>
      </c>
      <c r="C1821" s="672" t="s">
        <v>900</v>
      </c>
      <c r="D1821" s="672" t="s">
        <v>901</v>
      </c>
      <c r="E1821" s="745" t="s">
        <v>545</v>
      </c>
      <c r="F1821" s="747">
        <v>980</v>
      </c>
      <c r="G1821" s="685">
        <v>15.529326142689605</v>
      </c>
      <c r="H1821" s="685">
        <v>15218.739619835813</v>
      </c>
      <c r="I1821" s="686" t="s">
        <v>9009</v>
      </c>
      <c r="J1821" s="672" t="s">
        <v>9011</v>
      </c>
      <c r="K1821" s="672" t="s">
        <v>541</v>
      </c>
      <c r="L1821" s="672" t="s">
        <v>9068</v>
      </c>
    </row>
    <row r="1822" spans="1:12" x14ac:dyDescent="0.2">
      <c r="A1822" s="672" t="s">
        <v>220</v>
      </c>
      <c r="B1822" s="672" t="s">
        <v>10381</v>
      </c>
      <c r="C1822" s="672" t="s">
        <v>902</v>
      </c>
      <c r="D1822" s="672" t="s">
        <v>903</v>
      </c>
      <c r="E1822" s="745" t="s">
        <v>545</v>
      </c>
      <c r="F1822" s="747">
        <v>280</v>
      </c>
      <c r="G1822" s="685">
        <v>7.7104070162602056</v>
      </c>
      <c r="H1822" s="685">
        <v>2158.9139645528576</v>
      </c>
      <c r="I1822" s="686" t="s">
        <v>9009</v>
      </c>
      <c r="J1822" s="672" t="s">
        <v>9011</v>
      </c>
      <c r="K1822" s="672" t="s">
        <v>541</v>
      </c>
      <c r="L1822" s="672" t="s">
        <v>9068</v>
      </c>
    </row>
    <row r="1823" spans="1:12" x14ac:dyDescent="0.2">
      <c r="A1823" s="672" t="s">
        <v>220</v>
      </c>
      <c r="B1823" s="672" t="s">
        <v>10381</v>
      </c>
      <c r="C1823" s="672" t="s">
        <v>9506</v>
      </c>
      <c r="D1823" s="672" t="s">
        <v>9507</v>
      </c>
      <c r="E1823" s="745" t="s">
        <v>545</v>
      </c>
      <c r="F1823" s="747">
        <v>320</v>
      </c>
      <c r="G1823" s="685">
        <v>8.7151994632320573</v>
      </c>
      <c r="H1823" s="685">
        <v>2788.8638282342581</v>
      </c>
      <c r="I1823" s="686" t="s">
        <v>9009</v>
      </c>
      <c r="J1823" s="672" t="s">
        <v>9011</v>
      </c>
      <c r="K1823" s="672" t="s">
        <v>541</v>
      </c>
      <c r="L1823" s="672" t="s">
        <v>9068</v>
      </c>
    </row>
    <row r="1824" spans="1:12" x14ac:dyDescent="0.2">
      <c r="A1824" s="672" t="s">
        <v>220</v>
      </c>
      <c r="B1824" s="672" t="s">
        <v>10381</v>
      </c>
      <c r="C1824" s="672" t="s">
        <v>813</v>
      </c>
      <c r="D1824" s="672" t="s">
        <v>904</v>
      </c>
      <c r="E1824" s="745" t="s">
        <v>545</v>
      </c>
      <c r="F1824" s="747">
        <v>3646</v>
      </c>
      <c r="G1824" s="685">
        <v>7.916010672126454</v>
      </c>
      <c r="H1824" s="685">
        <v>28861.774910573051</v>
      </c>
      <c r="I1824" s="686" t="s">
        <v>9009</v>
      </c>
      <c r="J1824" s="672" t="s">
        <v>9011</v>
      </c>
      <c r="K1824" s="672" t="s">
        <v>541</v>
      </c>
      <c r="L1824" s="672" t="s">
        <v>9068</v>
      </c>
    </row>
    <row r="1825" spans="1:12" x14ac:dyDescent="0.2">
      <c r="A1825" s="672" t="s">
        <v>220</v>
      </c>
      <c r="B1825" s="672" t="s">
        <v>10381</v>
      </c>
      <c r="C1825" s="672" t="s">
        <v>905</v>
      </c>
      <c r="D1825" s="672" t="s">
        <v>906</v>
      </c>
      <c r="E1825" s="745" t="s">
        <v>545</v>
      </c>
      <c r="F1825" s="747">
        <v>384</v>
      </c>
      <c r="G1825" s="685">
        <v>6.8624613913190524</v>
      </c>
      <c r="H1825" s="685">
        <v>2635.1851742665162</v>
      </c>
      <c r="I1825" s="686" t="s">
        <v>9009</v>
      </c>
      <c r="J1825" s="672" t="s">
        <v>9011</v>
      </c>
      <c r="K1825" s="672" t="s">
        <v>541</v>
      </c>
      <c r="L1825" s="672" t="s">
        <v>9068</v>
      </c>
    </row>
    <row r="1826" spans="1:12" x14ac:dyDescent="0.2">
      <c r="A1826" s="672" t="s">
        <v>220</v>
      </c>
      <c r="B1826" s="672" t="s">
        <v>10381</v>
      </c>
      <c r="C1826" s="672" t="s">
        <v>907</v>
      </c>
      <c r="D1826" s="672" t="s">
        <v>908</v>
      </c>
      <c r="E1826" s="745" t="s">
        <v>545</v>
      </c>
      <c r="F1826" s="747">
        <v>104</v>
      </c>
      <c r="G1826" s="685">
        <v>36.09955101660929</v>
      </c>
      <c r="H1826" s="685">
        <v>3754.3533057273662</v>
      </c>
      <c r="I1826" s="686" t="s">
        <v>9009</v>
      </c>
      <c r="J1826" s="672" t="s">
        <v>9011</v>
      </c>
      <c r="K1826" s="672" t="s">
        <v>541</v>
      </c>
      <c r="L1826" s="672" t="s">
        <v>9068</v>
      </c>
    </row>
    <row r="1827" spans="1:12" x14ac:dyDescent="0.2">
      <c r="A1827" s="672" t="s">
        <v>220</v>
      </c>
      <c r="B1827" s="672" t="s">
        <v>10381</v>
      </c>
      <c r="C1827" s="672" t="s">
        <v>909</v>
      </c>
      <c r="D1827" s="672" t="s">
        <v>910</v>
      </c>
      <c r="E1827" s="745" t="s">
        <v>545</v>
      </c>
      <c r="F1827" s="747">
        <v>787</v>
      </c>
      <c r="G1827" s="685">
        <v>5.2495178654712245</v>
      </c>
      <c r="H1827" s="685">
        <v>4131.3705601258534</v>
      </c>
      <c r="I1827" s="686" t="s">
        <v>9009</v>
      </c>
      <c r="J1827" s="672" t="s">
        <v>9011</v>
      </c>
      <c r="K1827" s="672" t="s">
        <v>541</v>
      </c>
      <c r="L1827" s="672" t="s">
        <v>9068</v>
      </c>
    </row>
    <row r="1828" spans="1:12" x14ac:dyDescent="0.2">
      <c r="A1828" s="672" t="s">
        <v>220</v>
      </c>
      <c r="B1828" s="672" t="s">
        <v>10381</v>
      </c>
      <c r="C1828" s="672" t="s">
        <v>911</v>
      </c>
      <c r="D1828" s="672" t="s">
        <v>912</v>
      </c>
      <c r="E1828" s="745" t="s">
        <v>545</v>
      </c>
      <c r="F1828" s="747">
        <v>543</v>
      </c>
      <c r="G1828" s="685">
        <v>5.247448709226318</v>
      </c>
      <c r="H1828" s="685">
        <v>2849.3646491098907</v>
      </c>
      <c r="I1828" s="686" t="s">
        <v>9009</v>
      </c>
      <c r="J1828" s="672" t="s">
        <v>9011</v>
      </c>
      <c r="K1828" s="672" t="s">
        <v>541</v>
      </c>
      <c r="L1828" s="672" t="s">
        <v>9068</v>
      </c>
    </row>
    <row r="1829" spans="1:12" x14ac:dyDescent="0.2">
      <c r="A1829" s="672" t="s">
        <v>220</v>
      </c>
      <c r="B1829" s="672" t="s">
        <v>10381</v>
      </c>
      <c r="C1829" s="672" t="s">
        <v>913</v>
      </c>
      <c r="D1829" s="672" t="s">
        <v>914</v>
      </c>
      <c r="E1829" s="745" t="s">
        <v>545</v>
      </c>
      <c r="F1829" s="747">
        <v>2026</v>
      </c>
      <c r="G1829" s="685">
        <v>5.6039854667224818</v>
      </c>
      <c r="H1829" s="685">
        <v>11353.674555579748</v>
      </c>
      <c r="I1829" s="686" t="s">
        <v>9009</v>
      </c>
      <c r="J1829" s="672" t="s">
        <v>9011</v>
      </c>
      <c r="K1829" s="672" t="s">
        <v>541</v>
      </c>
      <c r="L1829" s="672" t="s">
        <v>9068</v>
      </c>
    </row>
    <row r="1830" spans="1:12" x14ac:dyDescent="0.2">
      <c r="A1830" s="672" t="s">
        <v>220</v>
      </c>
      <c r="B1830" s="672" t="s">
        <v>10381</v>
      </c>
      <c r="C1830" s="672" t="s">
        <v>915</v>
      </c>
      <c r="D1830" s="672" t="s">
        <v>916</v>
      </c>
      <c r="E1830" s="745" t="s">
        <v>545</v>
      </c>
      <c r="F1830" s="747">
        <v>1094</v>
      </c>
      <c r="G1830" s="685">
        <v>7.0930742467419252</v>
      </c>
      <c r="H1830" s="685">
        <v>7759.8232259356664</v>
      </c>
      <c r="I1830" s="686" t="s">
        <v>9009</v>
      </c>
      <c r="J1830" s="672" t="s">
        <v>9011</v>
      </c>
      <c r="K1830" s="672" t="s">
        <v>541</v>
      </c>
      <c r="L1830" s="672" t="s">
        <v>9068</v>
      </c>
    </row>
    <row r="1831" spans="1:12" x14ac:dyDescent="0.2">
      <c r="A1831" s="672" t="s">
        <v>220</v>
      </c>
      <c r="B1831" s="672" t="s">
        <v>10381</v>
      </c>
      <c r="C1831" s="672" t="s">
        <v>917</v>
      </c>
      <c r="D1831" s="672" t="s">
        <v>918</v>
      </c>
      <c r="E1831" s="745" t="s">
        <v>545</v>
      </c>
      <c r="F1831" s="747">
        <v>229</v>
      </c>
      <c r="G1831" s="685">
        <v>4.5909629006197488</v>
      </c>
      <c r="H1831" s="685">
        <v>1051.3305042419224</v>
      </c>
      <c r="I1831" s="686" t="s">
        <v>9009</v>
      </c>
      <c r="J1831" s="672" t="s">
        <v>9011</v>
      </c>
      <c r="K1831" s="672" t="s">
        <v>541</v>
      </c>
      <c r="L1831" s="672" t="s">
        <v>9068</v>
      </c>
    </row>
    <row r="1832" spans="1:12" x14ac:dyDescent="0.2">
      <c r="A1832" s="672" t="s">
        <v>220</v>
      </c>
      <c r="B1832" s="672" t="s">
        <v>10381</v>
      </c>
      <c r="C1832" s="672" t="s">
        <v>919</v>
      </c>
      <c r="D1832" s="672" t="s">
        <v>920</v>
      </c>
      <c r="E1832" s="745" t="s">
        <v>545</v>
      </c>
      <c r="F1832" s="747">
        <v>2022</v>
      </c>
      <c r="G1832" s="685">
        <v>4.2929804472906854</v>
      </c>
      <c r="H1832" s="685">
        <v>8680.4064644217651</v>
      </c>
      <c r="I1832" s="686" t="s">
        <v>9009</v>
      </c>
      <c r="J1832" s="672" t="s">
        <v>9011</v>
      </c>
      <c r="K1832" s="672" t="s">
        <v>541</v>
      </c>
      <c r="L1832" s="672" t="s">
        <v>9068</v>
      </c>
    </row>
    <row r="1833" spans="1:12" x14ac:dyDescent="0.2">
      <c r="A1833" s="672" t="s">
        <v>220</v>
      </c>
      <c r="B1833" s="672" t="s">
        <v>10381</v>
      </c>
      <c r="C1833" s="672" t="s">
        <v>921</v>
      </c>
      <c r="D1833" s="672" t="s">
        <v>922</v>
      </c>
      <c r="E1833" s="745" t="s">
        <v>545</v>
      </c>
      <c r="F1833" s="747">
        <v>2502</v>
      </c>
      <c r="G1833" s="685">
        <v>4.4514939447333353</v>
      </c>
      <c r="H1833" s="685">
        <v>11137.637849722805</v>
      </c>
      <c r="I1833" s="686" t="s">
        <v>9009</v>
      </c>
      <c r="J1833" s="672" t="s">
        <v>9011</v>
      </c>
      <c r="K1833" s="672" t="s">
        <v>541</v>
      </c>
      <c r="L1833" s="672" t="s">
        <v>9068</v>
      </c>
    </row>
    <row r="1834" spans="1:12" x14ac:dyDescent="0.2">
      <c r="A1834" s="672" t="s">
        <v>220</v>
      </c>
      <c r="B1834" s="672" t="s">
        <v>10381</v>
      </c>
      <c r="C1834" s="672" t="s">
        <v>923</v>
      </c>
      <c r="D1834" s="672" t="s">
        <v>924</v>
      </c>
      <c r="E1834" s="745" t="s">
        <v>545</v>
      </c>
      <c r="F1834" s="747">
        <v>33</v>
      </c>
      <c r="G1834" s="685">
        <v>1.8058866423822733</v>
      </c>
      <c r="H1834" s="685">
        <v>59.594259198615021</v>
      </c>
      <c r="I1834" s="686" t="s">
        <v>9009</v>
      </c>
      <c r="J1834" s="672" t="s">
        <v>9011</v>
      </c>
      <c r="K1834" s="672" t="s">
        <v>541</v>
      </c>
      <c r="L1834" s="672" t="s">
        <v>9068</v>
      </c>
    </row>
    <row r="1835" spans="1:12" x14ac:dyDescent="0.2">
      <c r="A1835" s="672" t="s">
        <v>220</v>
      </c>
      <c r="B1835" s="672" t="s">
        <v>10381</v>
      </c>
      <c r="C1835" s="672" t="s">
        <v>925</v>
      </c>
      <c r="D1835" s="672" t="s">
        <v>926</v>
      </c>
      <c r="E1835" s="745" t="s">
        <v>545</v>
      </c>
      <c r="F1835" s="747">
        <v>100</v>
      </c>
      <c r="G1835" s="685">
        <v>1.6838572466932886</v>
      </c>
      <c r="H1835" s="685">
        <v>168.38572466932885</v>
      </c>
      <c r="I1835" s="686" t="s">
        <v>9009</v>
      </c>
      <c r="J1835" s="672" t="s">
        <v>9011</v>
      </c>
      <c r="K1835" s="672" t="s">
        <v>541</v>
      </c>
      <c r="L1835" s="672" t="s">
        <v>9068</v>
      </c>
    </row>
    <row r="1836" spans="1:12" x14ac:dyDescent="0.2">
      <c r="A1836" s="672" t="s">
        <v>220</v>
      </c>
      <c r="B1836" s="672" t="s">
        <v>10381</v>
      </c>
      <c r="C1836" s="672" t="s">
        <v>927</v>
      </c>
      <c r="D1836" s="672" t="s">
        <v>928</v>
      </c>
      <c r="E1836" s="745" t="s">
        <v>545</v>
      </c>
      <c r="F1836" s="747">
        <v>166</v>
      </c>
      <c r="G1836" s="685">
        <v>1.7375056995890412</v>
      </c>
      <c r="H1836" s="685">
        <v>288.42594613178085</v>
      </c>
      <c r="I1836" s="686" t="s">
        <v>9009</v>
      </c>
      <c r="J1836" s="672" t="s">
        <v>9011</v>
      </c>
      <c r="K1836" s="672" t="s">
        <v>541</v>
      </c>
      <c r="L1836" s="672" t="s">
        <v>9068</v>
      </c>
    </row>
    <row r="1837" spans="1:12" x14ac:dyDescent="0.2">
      <c r="A1837" s="672" t="s">
        <v>220</v>
      </c>
      <c r="B1837" s="672" t="s">
        <v>10381</v>
      </c>
      <c r="C1837" s="672" t="s">
        <v>929</v>
      </c>
      <c r="D1837" s="672" t="s">
        <v>930</v>
      </c>
      <c r="E1837" s="745" t="s">
        <v>545</v>
      </c>
      <c r="F1837" s="747">
        <v>2400</v>
      </c>
      <c r="G1837" s="685">
        <v>3.1509544104832674</v>
      </c>
      <c r="H1837" s="685">
        <v>7562.2905851598416</v>
      </c>
      <c r="I1837" s="686" t="s">
        <v>9009</v>
      </c>
      <c r="J1837" s="672" t="s">
        <v>9011</v>
      </c>
      <c r="K1837" s="672" t="s">
        <v>541</v>
      </c>
      <c r="L1837" s="672" t="s">
        <v>9068</v>
      </c>
    </row>
    <row r="1838" spans="1:12" x14ac:dyDescent="0.2">
      <c r="A1838" s="672" t="s">
        <v>220</v>
      </c>
      <c r="B1838" s="672" t="s">
        <v>10381</v>
      </c>
      <c r="C1838" s="672" t="s">
        <v>931</v>
      </c>
      <c r="D1838" s="672" t="s">
        <v>932</v>
      </c>
      <c r="E1838" s="745" t="s">
        <v>545</v>
      </c>
      <c r="F1838" s="747">
        <v>600</v>
      </c>
      <c r="G1838" s="685">
        <v>3.1509544104832674</v>
      </c>
      <c r="H1838" s="685">
        <v>1890.5726462899604</v>
      </c>
      <c r="I1838" s="686" t="s">
        <v>9009</v>
      </c>
      <c r="J1838" s="672" t="s">
        <v>9011</v>
      </c>
      <c r="K1838" s="672" t="s">
        <v>541</v>
      </c>
      <c r="L1838" s="672" t="s">
        <v>9068</v>
      </c>
    </row>
    <row r="1839" spans="1:12" x14ac:dyDescent="0.2">
      <c r="A1839" s="672" t="s">
        <v>220</v>
      </c>
      <c r="B1839" s="672" t="s">
        <v>10381</v>
      </c>
      <c r="C1839" s="672" t="s">
        <v>933</v>
      </c>
      <c r="D1839" s="672" t="s">
        <v>934</v>
      </c>
      <c r="E1839" s="745" t="s">
        <v>545</v>
      </c>
      <c r="F1839" s="747">
        <v>126</v>
      </c>
      <c r="G1839" s="685">
        <v>3.587914531954393</v>
      </c>
      <c r="H1839" s="685">
        <v>452.07723102625351</v>
      </c>
      <c r="I1839" s="686" t="s">
        <v>9009</v>
      </c>
      <c r="J1839" s="672" t="s">
        <v>9011</v>
      </c>
      <c r="K1839" s="672" t="s">
        <v>541</v>
      </c>
      <c r="L1839" s="672" t="s">
        <v>9068</v>
      </c>
    </row>
    <row r="1840" spans="1:12" x14ac:dyDescent="0.2">
      <c r="A1840" s="672" t="s">
        <v>220</v>
      </c>
      <c r="B1840" s="672" t="s">
        <v>10381</v>
      </c>
      <c r="C1840" s="672" t="s">
        <v>935</v>
      </c>
      <c r="D1840" s="672" t="s">
        <v>936</v>
      </c>
      <c r="E1840" s="745" t="s">
        <v>545</v>
      </c>
      <c r="F1840" s="747">
        <v>112</v>
      </c>
      <c r="G1840" s="685">
        <v>3.6576161250341985</v>
      </c>
      <c r="H1840" s="685">
        <v>409.65300600383023</v>
      </c>
      <c r="I1840" s="686" t="s">
        <v>9009</v>
      </c>
      <c r="J1840" s="672" t="s">
        <v>9011</v>
      </c>
      <c r="K1840" s="672" t="s">
        <v>541</v>
      </c>
      <c r="L1840" s="672" t="s">
        <v>9068</v>
      </c>
    </row>
    <row r="1841" spans="1:12" x14ac:dyDescent="0.2">
      <c r="A1841" s="672" t="s">
        <v>220</v>
      </c>
      <c r="B1841" s="672" t="s">
        <v>10381</v>
      </c>
      <c r="C1841" s="672" t="s">
        <v>937</v>
      </c>
      <c r="D1841" s="672" t="s">
        <v>938</v>
      </c>
      <c r="E1841" s="745" t="s">
        <v>545</v>
      </c>
      <c r="F1841" s="747">
        <v>660</v>
      </c>
      <c r="G1841" s="685">
        <v>4.0335748970829028</v>
      </c>
      <c r="H1841" s="685">
        <v>2662.1594320747158</v>
      </c>
      <c r="I1841" s="686" t="s">
        <v>9009</v>
      </c>
      <c r="J1841" s="672" t="s">
        <v>9011</v>
      </c>
      <c r="K1841" s="672" t="s">
        <v>541</v>
      </c>
      <c r="L1841" s="672" t="s">
        <v>9068</v>
      </c>
    </row>
    <row r="1842" spans="1:12" x14ac:dyDescent="0.2">
      <c r="A1842" s="672" t="s">
        <v>220</v>
      </c>
      <c r="B1842" s="672" t="s">
        <v>10381</v>
      </c>
      <c r="C1842" s="672" t="s">
        <v>939</v>
      </c>
      <c r="D1842" s="672" t="s">
        <v>940</v>
      </c>
      <c r="E1842" s="745" t="s">
        <v>545</v>
      </c>
      <c r="F1842" s="747">
        <v>5208</v>
      </c>
      <c r="G1842" s="685">
        <v>4.0455078400798747</v>
      </c>
      <c r="H1842" s="685">
        <v>21069.004831135986</v>
      </c>
      <c r="I1842" s="686" t="s">
        <v>9009</v>
      </c>
      <c r="J1842" s="672" t="s">
        <v>9011</v>
      </c>
      <c r="K1842" s="672" t="s">
        <v>541</v>
      </c>
      <c r="L1842" s="672" t="s">
        <v>9068</v>
      </c>
    </row>
    <row r="1843" spans="1:12" x14ac:dyDescent="0.2">
      <c r="A1843" s="672" t="s">
        <v>220</v>
      </c>
      <c r="B1843" s="672" t="s">
        <v>10381</v>
      </c>
      <c r="C1843" s="672" t="s">
        <v>941</v>
      </c>
      <c r="D1843" s="672" t="s">
        <v>942</v>
      </c>
      <c r="E1843" s="745" t="s">
        <v>545</v>
      </c>
      <c r="F1843" s="747">
        <v>182</v>
      </c>
      <c r="G1843" s="685">
        <v>0.24200000000000002</v>
      </c>
      <c r="H1843" s="685">
        <v>44.044000000000004</v>
      </c>
      <c r="I1843" s="686" t="s">
        <v>9009</v>
      </c>
      <c r="J1843" s="672" t="s">
        <v>10128</v>
      </c>
      <c r="K1843" s="672" t="s">
        <v>541</v>
      </c>
      <c r="L1843" s="672" t="s">
        <v>8996</v>
      </c>
    </row>
    <row r="1844" spans="1:12" x14ac:dyDescent="0.2">
      <c r="A1844" s="672" t="s">
        <v>220</v>
      </c>
      <c r="B1844" s="672" t="s">
        <v>10381</v>
      </c>
      <c r="C1844" s="672" t="s">
        <v>943</v>
      </c>
      <c r="D1844" s="672" t="s">
        <v>944</v>
      </c>
      <c r="E1844" s="745" t="s">
        <v>545</v>
      </c>
      <c r="F1844" s="747">
        <v>414</v>
      </c>
      <c r="G1844" s="685">
        <v>4.8445442390232882</v>
      </c>
      <c r="H1844" s="685">
        <v>2005.6413149556413</v>
      </c>
      <c r="I1844" s="686" t="s">
        <v>9009</v>
      </c>
      <c r="J1844" s="672" t="s">
        <v>9011</v>
      </c>
      <c r="K1844" s="672" t="s">
        <v>541</v>
      </c>
      <c r="L1844" s="672" t="s">
        <v>9068</v>
      </c>
    </row>
    <row r="1845" spans="1:12" x14ac:dyDescent="0.2">
      <c r="A1845" s="672" t="s">
        <v>220</v>
      </c>
      <c r="B1845" s="672" t="s">
        <v>10381</v>
      </c>
      <c r="C1845" s="672" t="s">
        <v>945</v>
      </c>
      <c r="D1845" s="672" t="s">
        <v>946</v>
      </c>
      <c r="E1845" s="745" t="s">
        <v>545</v>
      </c>
      <c r="F1845" s="747">
        <v>774</v>
      </c>
      <c r="G1845" s="685">
        <v>4.07</v>
      </c>
      <c r="H1845" s="685">
        <v>3150.1800000000003</v>
      </c>
      <c r="I1845" s="686" t="s">
        <v>9009</v>
      </c>
      <c r="J1845" s="672" t="s">
        <v>9011</v>
      </c>
      <c r="K1845" s="672" t="s">
        <v>541</v>
      </c>
      <c r="L1845" s="672" t="s">
        <v>9068</v>
      </c>
    </row>
    <row r="1846" spans="1:12" x14ac:dyDescent="0.2">
      <c r="A1846" s="672" t="s">
        <v>220</v>
      </c>
      <c r="B1846" s="672" t="s">
        <v>10381</v>
      </c>
      <c r="C1846" s="672" t="s">
        <v>947</v>
      </c>
      <c r="D1846" s="672" t="s">
        <v>948</v>
      </c>
      <c r="E1846" s="745" t="s">
        <v>545</v>
      </c>
      <c r="F1846" s="747">
        <v>51</v>
      </c>
      <c r="G1846" s="685">
        <v>5.2794782884201883</v>
      </c>
      <c r="H1846" s="685">
        <v>269.25339270942959</v>
      </c>
      <c r="I1846" s="686" t="s">
        <v>9009</v>
      </c>
      <c r="J1846" s="672" t="s">
        <v>9011</v>
      </c>
      <c r="K1846" s="672" t="s">
        <v>541</v>
      </c>
      <c r="L1846" s="672" t="s">
        <v>9068</v>
      </c>
    </row>
    <row r="1847" spans="1:12" x14ac:dyDescent="0.2">
      <c r="A1847" s="672" t="s">
        <v>220</v>
      </c>
      <c r="B1847" s="672" t="s">
        <v>10381</v>
      </c>
      <c r="C1847" s="672" t="s">
        <v>949</v>
      </c>
      <c r="D1847" s="672" t="s">
        <v>950</v>
      </c>
      <c r="E1847" s="745" t="s">
        <v>545</v>
      </c>
      <c r="F1847" s="747">
        <v>2712</v>
      </c>
      <c r="G1847" s="685">
        <v>4.6089807827158351</v>
      </c>
      <c r="H1847" s="685">
        <v>12499.555882725344</v>
      </c>
      <c r="I1847" s="686" t="s">
        <v>9009</v>
      </c>
      <c r="J1847" s="672" t="s">
        <v>9011</v>
      </c>
      <c r="K1847" s="672" t="s">
        <v>541</v>
      </c>
      <c r="L1847" s="672" t="s">
        <v>9068</v>
      </c>
    </row>
    <row r="1848" spans="1:12" x14ac:dyDescent="0.2">
      <c r="A1848" s="672" t="s">
        <v>220</v>
      </c>
      <c r="B1848" s="672" t="s">
        <v>10381</v>
      </c>
      <c r="C1848" s="672" t="s">
        <v>951</v>
      </c>
      <c r="D1848" s="672" t="s">
        <v>952</v>
      </c>
      <c r="E1848" s="745" t="s">
        <v>545</v>
      </c>
      <c r="F1848" s="747">
        <v>446</v>
      </c>
      <c r="G1848" s="685">
        <v>4.803858124576502</v>
      </c>
      <c r="H1848" s="685">
        <v>2142.5207235611197</v>
      </c>
      <c r="I1848" s="686" t="s">
        <v>9009</v>
      </c>
      <c r="J1848" s="672" t="s">
        <v>9011</v>
      </c>
      <c r="K1848" s="672" t="s">
        <v>541</v>
      </c>
      <c r="L1848" s="672" t="s">
        <v>9068</v>
      </c>
    </row>
    <row r="1849" spans="1:12" x14ac:dyDescent="0.2">
      <c r="A1849" s="672" t="s">
        <v>220</v>
      </c>
      <c r="B1849" s="672" t="s">
        <v>10381</v>
      </c>
      <c r="C1849" s="672" t="s">
        <v>953</v>
      </c>
      <c r="D1849" s="672" t="s">
        <v>954</v>
      </c>
      <c r="E1849" s="745" t="s">
        <v>545</v>
      </c>
      <c r="F1849" s="747">
        <v>6743</v>
      </c>
      <c r="G1849" s="685">
        <v>4.4574960197085698</v>
      </c>
      <c r="H1849" s="685">
        <v>30056.895660894887</v>
      </c>
      <c r="I1849" s="686" t="s">
        <v>9009</v>
      </c>
      <c r="J1849" s="672" t="s">
        <v>9011</v>
      </c>
      <c r="K1849" s="672" t="s">
        <v>541</v>
      </c>
      <c r="L1849" s="672" t="s">
        <v>9068</v>
      </c>
    </row>
    <row r="1850" spans="1:12" x14ac:dyDescent="0.2">
      <c r="A1850" s="672" t="s">
        <v>220</v>
      </c>
      <c r="B1850" s="672" t="s">
        <v>10381</v>
      </c>
      <c r="C1850" s="672" t="s">
        <v>9553</v>
      </c>
      <c r="D1850" s="672" t="s">
        <v>9554</v>
      </c>
      <c r="E1850" s="745" t="s">
        <v>545</v>
      </c>
      <c r="F1850" s="747">
        <v>1876</v>
      </c>
      <c r="G1850" s="685">
        <v>4.4529216608454281</v>
      </c>
      <c r="H1850" s="685">
        <v>8353.6810357460236</v>
      </c>
      <c r="I1850" s="686" t="s">
        <v>9009</v>
      </c>
      <c r="J1850" s="672" t="s">
        <v>9011</v>
      </c>
      <c r="K1850" s="672" t="s">
        <v>541</v>
      </c>
      <c r="L1850" s="672" t="s">
        <v>9068</v>
      </c>
    </row>
    <row r="1851" spans="1:12" x14ac:dyDescent="0.2">
      <c r="A1851" s="672" t="s">
        <v>220</v>
      </c>
      <c r="B1851" s="672" t="s">
        <v>10381</v>
      </c>
      <c r="C1851" s="672" t="s">
        <v>955</v>
      </c>
      <c r="D1851" s="672" t="s">
        <v>956</v>
      </c>
      <c r="E1851" s="745" t="s">
        <v>545</v>
      </c>
      <c r="F1851" s="747">
        <v>6432</v>
      </c>
      <c r="G1851" s="685">
        <v>4.3893574056383295</v>
      </c>
      <c r="H1851" s="685">
        <v>28232.346833065734</v>
      </c>
      <c r="I1851" s="686" t="s">
        <v>9009</v>
      </c>
      <c r="J1851" s="672" t="s">
        <v>9011</v>
      </c>
      <c r="K1851" s="672" t="s">
        <v>541</v>
      </c>
      <c r="L1851" s="672" t="s">
        <v>9068</v>
      </c>
    </row>
    <row r="1852" spans="1:12" x14ac:dyDescent="0.2">
      <c r="A1852" s="672" t="s">
        <v>220</v>
      </c>
      <c r="B1852" s="672" t="s">
        <v>10381</v>
      </c>
      <c r="C1852" s="672" t="s">
        <v>957</v>
      </c>
      <c r="D1852" s="672" t="s">
        <v>958</v>
      </c>
      <c r="E1852" s="745" t="s">
        <v>545</v>
      </c>
      <c r="F1852" s="747">
        <v>2020</v>
      </c>
      <c r="G1852" s="685">
        <v>4.3222877881831794</v>
      </c>
      <c r="H1852" s="685">
        <v>8731.0213321300216</v>
      </c>
      <c r="I1852" s="686" t="s">
        <v>9009</v>
      </c>
      <c r="J1852" s="672" t="s">
        <v>9011</v>
      </c>
      <c r="K1852" s="672" t="s">
        <v>541</v>
      </c>
      <c r="L1852" s="672" t="s">
        <v>9068</v>
      </c>
    </row>
    <row r="1853" spans="1:12" x14ac:dyDescent="0.2">
      <c r="A1853" s="672" t="s">
        <v>220</v>
      </c>
      <c r="B1853" s="672" t="s">
        <v>10381</v>
      </c>
      <c r="C1853" s="672" t="s">
        <v>959</v>
      </c>
      <c r="D1853" s="672" t="s">
        <v>960</v>
      </c>
      <c r="E1853" s="745" t="s">
        <v>545</v>
      </c>
      <c r="F1853" s="747">
        <v>2256</v>
      </c>
      <c r="G1853" s="685">
        <v>4.8473673058411544</v>
      </c>
      <c r="H1853" s="685">
        <v>10935.660641977644</v>
      </c>
      <c r="I1853" s="686" t="s">
        <v>9009</v>
      </c>
      <c r="J1853" s="672" t="s">
        <v>9011</v>
      </c>
      <c r="K1853" s="672" t="s">
        <v>541</v>
      </c>
      <c r="L1853" s="672" t="s">
        <v>9068</v>
      </c>
    </row>
    <row r="1854" spans="1:12" x14ac:dyDescent="0.2">
      <c r="A1854" s="672" t="s">
        <v>220</v>
      </c>
      <c r="B1854" s="672" t="s">
        <v>10381</v>
      </c>
      <c r="C1854" s="672" t="s">
        <v>961</v>
      </c>
      <c r="D1854" s="672" t="s">
        <v>962</v>
      </c>
      <c r="E1854" s="745" t="s">
        <v>545</v>
      </c>
      <c r="F1854" s="747">
        <v>1012</v>
      </c>
      <c r="G1854" s="685">
        <v>4.6494713842283106</v>
      </c>
      <c r="H1854" s="685">
        <v>4705.26504083905</v>
      </c>
      <c r="I1854" s="686" t="s">
        <v>9009</v>
      </c>
      <c r="J1854" s="672" t="s">
        <v>9011</v>
      </c>
      <c r="K1854" s="672" t="s">
        <v>541</v>
      </c>
      <c r="L1854" s="672" t="s">
        <v>9068</v>
      </c>
    </row>
    <row r="1855" spans="1:12" x14ac:dyDescent="0.2">
      <c r="A1855" s="672" t="s">
        <v>220</v>
      </c>
      <c r="B1855" s="672" t="s">
        <v>10381</v>
      </c>
      <c r="C1855" s="672" t="s">
        <v>963</v>
      </c>
      <c r="D1855" s="672" t="s">
        <v>964</v>
      </c>
      <c r="E1855" s="745" t="s">
        <v>545</v>
      </c>
      <c r="F1855" s="747">
        <v>1137</v>
      </c>
      <c r="G1855" s="685">
        <v>3.2293108743729606</v>
      </c>
      <c r="H1855" s="685">
        <v>3671.7264641620563</v>
      </c>
      <c r="I1855" s="686" t="s">
        <v>9009</v>
      </c>
      <c r="J1855" s="672" t="s">
        <v>9011</v>
      </c>
      <c r="K1855" s="672" t="s">
        <v>541</v>
      </c>
      <c r="L1855" s="672" t="s">
        <v>9068</v>
      </c>
    </row>
    <row r="1856" spans="1:12" x14ac:dyDescent="0.2">
      <c r="A1856" s="672" t="s">
        <v>220</v>
      </c>
      <c r="B1856" s="672" t="s">
        <v>10381</v>
      </c>
      <c r="C1856" s="672" t="s">
        <v>965</v>
      </c>
      <c r="D1856" s="672" t="s">
        <v>966</v>
      </c>
      <c r="E1856" s="745" t="s">
        <v>545</v>
      </c>
      <c r="F1856" s="747">
        <v>384</v>
      </c>
      <c r="G1856" s="685">
        <v>5.5569070193330568</v>
      </c>
      <c r="H1856" s="685">
        <v>2133.8522954238938</v>
      </c>
      <c r="I1856" s="686" t="s">
        <v>9009</v>
      </c>
      <c r="J1856" s="672" t="s">
        <v>9011</v>
      </c>
      <c r="K1856" s="672" t="s">
        <v>541</v>
      </c>
      <c r="L1856" s="672" t="s">
        <v>9068</v>
      </c>
    </row>
    <row r="1857" spans="1:12" x14ac:dyDescent="0.2">
      <c r="A1857" s="672" t="s">
        <v>220</v>
      </c>
      <c r="B1857" s="672" t="s">
        <v>10381</v>
      </c>
      <c r="C1857" s="672" t="s">
        <v>967</v>
      </c>
      <c r="D1857" s="672" t="s">
        <v>968</v>
      </c>
      <c r="E1857" s="745" t="s">
        <v>545</v>
      </c>
      <c r="F1857" s="747">
        <v>3500</v>
      </c>
      <c r="G1857" s="685">
        <v>4.8250600596433681</v>
      </c>
      <c r="H1857" s="685">
        <v>16887.710208751789</v>
      </c>
      <c r="I1857" s="686" t="s">
        <v>9009</v>
      </c>
      <c r="J1857" s="672" t="s">
        <v>9011</v>
      </c>
      <c r="K1857" s="672" t="s">
        <v>541</v>
      </c>
      <c r="L1857" s="672" t="s">
        <v>9068</v>
      </c>
    </row>
    <row r="1858" spans="1:12" x14ac:dyDescent="0.2">
      <c r="A1858" s="672" t="s">
        <v>220</v>
      </c>
      <c r="B1858" s="672" t="s">
        <v>10381</v>
      </c>
      <c r="C1858" s="672" t="s">
        <v>969</v>
      </c>
      <c r="D1858" s="672" t="s">
        <v>970</v>
      </c>
      <c r="E1858" s="745" t="s">
        <v>545</v>
      </c>
      <c r="F1858" s="747">
        <v>13300</v>
      </c>
      <c r="G1858" s="685">
        <v>4.5553049036588744</v>
      </c>
      <c r="H1858" s="685">
        <v>60585.55521866303</v>
      </c>
      <c r="I1858" s="686" t="s">
        <v>9009</v>
      </c>
      <c r="J1858" s="672" t="s">
        <v>9011</v>
      </c>
      <c r="K1858" s="672" t="s">
        <v>541</v>
      </c>
      <c r="L1858" s="672" t="s">
        <v>9068</v>
      </c>
    </row>
    <row r="1859" spans="1:12" x14ac:dyDescent="0.2">
      <c r="A1859" s="672" t="s">
        <v>220</v>
      </c>
      <c r="B1859" s="672" t="s">
        <v>10381</v>
      </c>
      <c r="C1859" s="672" t="s">
        <v>9555</v>
      </c>
      <c r="D1859" s="672" t="s">
        <v>9556</v>
      </c>
      <c r="E1859" s="745" t="s">
        <v>545</v>
      </c>
      <c r="F1859" s="747">
        <v>4075</v>
      </c>
      <c r="G1859" s="685">
        <v>4.6012182959953432</v>
      </c>
      <c r="H1859" s="685">
        <v>18749.964556181025</v>
      </c>
      <c r="I1859" s="686" t="s">
        <v>9009</v>
      </c>
      <c r="J1859" s="672" t="s">
        <v>9011</v>
      </c>
      <c r="K1859" s="672" t="s">
        <v>541</v>
      </c>
      <c r="L1859" s="672" t="s">
        <v>9068</v>
      </c>
    </row>
    <row r="1860" spans="1:12" x14ac:dyDescent="0.2">
      <c r="A1860" s="672" t="s">
        <v>220</v>
      </c>
      <c r="B1860" s="672" t="s">
        <v>10381</v>
      </c>
      <c r="C1860" s="672" t="s">
        <v>971</v>
      </c>
      <c r="D1860" s="672" t="s">
        <v>972</v>
      </c>
      <c r="E1860" s="745" t="s">
        <v>545</v>
      </c>
      <c r="F1860" s="747">
        <v>260</v>
      </c>
      <c r="G1860" s="685">
        <v>4.9176947025606097</v>
      </c>
      <c r="H1860" s="685">
        <v>1278.6006226657585</v>
      </c>
      <c r="I1860" s="686" t="s">
        <v>9009</v>
      </c>
      <c r="J1860" s="672" t="s">
        <v>9011</v>
      </c>
      <c r="K1860" s="672" t="s">
        <v>541</v>
      </c>
      <c r="L1860" s="672" t="s">
        <v>9068</v>
      </c>
    </row>
    <row r="1861" spans="1:12" x14ac:dyDescent="0.2">
      <c r="A1861" s="672" t="s">
        <v>220</v>
      </c>
      <c r="B1861" s="672" t="s">
        <v>10381</v>
      </c>
      <c r="C1861" s="672" t="s">
        <v>973</v>
      </c>
      <c r="D1861" s="672" t="s">
        <v>974</v>
      </c>
      <c r="E1861" s="745" t="s">
        <v>545</v>
      </c>
      <c r="F1861" s="747">
        <v>35</v>
      </c>
      <c r="G1861" s="685">
        <v>6.2201157594826944</v>
      </c>
      <c r="H1861" s="685">
        <v>217.7040515818943</v>
      </c>
      <c r="I1861" s="686" t="s">
        <v>9009</v>
      </c>
      <c r="J1861" s="672" t="s">
        <v>9011</v>
      </c>
      <c r="K1861" s="672" t="s">
        <v>541</v>
      </c>
      <c r="L1861" s="672" t="s">
        <v>9068</v>
      </c>
    </row>
    <row r="1862" spans="1:12" x14ac:dyDescent="0.2">
      <c r="A1862" s="672" t="s">
        <v>220</v>
      </c>
      <c r="B1862" s="672" t="s">
        <v>10381</v>
      </c>
      <c r="C1862" s="672" t="s">
        <v>977</v>
      </c>
      <c r="D1862" s="672" t="s">
        <v>978</v>
      </c>
      <c r="E1862" s="745" t="s">
        <v>545</v>
      </c>
      <c r="F1862" s="747">
        <v>44</v>
      </c>
      <c r="G1862" s="685">
        <v>6.8493448357360753</v>
      </c>
      <c r="H1862" s="685">
        <v>301.3711727723873</v>
      </c>
      <c r="I1862" s="686" t="s">
        <v>9009</v>
      </c>
      <c r="J1862" s="672" t="s">
        <v>9011</v>
      </c>
      <c r="K1862" s="672" t="s">
        <v>541</v>
      </c>
      <c r="L1862" s="672" t="s">
        <v>9068</v>
      </c>
    </row>
    <row r="1863" spans="1:12" x14ac:dyDescent="0.2">
      <c r="A1863" s="672" t="s">
        <v>220</v>
      </c>
      <c r="B1863" s="672" t="s">
        <v>10381</v>
      </c>
      <c r="C1863" s="672" t="s">
        <v>979</v>
      </c>
      <c r="D1863" s="672" t="s">
        <v>980</v>
      </c>
      <c r="E1863" s="745" t="s">
        <v>545</v>
      </c>
      <c r="F1863" s="747">
        <v>1761</v>
      </c>
      <c r="G1863" s="685">
        <v>5.0414773035907157</v>
      </c>
      <c r="H1863" s="685">
        <v>8878.0415316232502</v>
      </c>
      <c r="I1863" s="686" t="s">
        <v>9009</v>
      </c>
      <c r="J1863" s="672" t="s">
        <v>9011</v>
      </c>
      <c r="K1863" s="672" t="s">
        <v>541</v>
      </c>
      <c r="L1863" s="672" t="s">
        <v>9068</v>
      </c>
    </row>
    <row r="1864" spans="1:12" x14ac:dyDescent="0.2">
      <c r="A1864" s="672" t="s">
        <v>220</v>
      </c>
      <c r="B1864" s="672" t="s">
        <v>10381</v>
      </c>
      <c r="C1864" s="672" t="s">
        <v>981</v>
      </c>
      <c r="D1864" s="672" t="s">
        <v>982</v>
      </c>
      <c r="E1864" s="745" t="s">
        <v>545</v>
      </c>
      <c r="F1864" s="747">
        <v>23122</v>
      </c>
      <c r="G1864" s="685">
        <v>4.7172763952586596</v>
      </c>
      <c r="H1864" s="685">
        <v>109072.86481117073</v>
      </c>
      <c r="I1864" s="686" t="s">
        <v>9009</v>
      </c>
      <c r="J1864" s="672" t="s">
        <v>9011</v>
      </c>
      <c r="K1864" s="672" t="s">
        <v>541</v>
      </c>
      <c r="L1864" s="672" t="s">
        <v>9068</v>
      </c>
    </row>
    <row r="1865" spans="1:12" x14ac:dyDescent="0.2">
      <c r="A1865" s="672" t="s">
        <v>220</v>
      </c>
      <c r="B1865" s="672" t="s">
        <v>10381</v>
      </c>
      <c r="C1865" s="672" t="s">
        <v>9557</v>
      </c>
      <c r="D1865" s="672" t="s">
        <v>9558</v>
      </c>
      <c r="E1865" s="745" t="s">
        <v>545</v>
      </c>
      <c r="F1865" s="747">
        <v>3960</v>
      </c>
      <c r="G1865" s="685">
        <v>4.7242755136184096</v>
      </c>
      <c r="H1865" s="685">
        <v>18708.131033928901</v>
      </c>
      <c r="I1865" s="686" t="s">
        <v>9009</v>
      </c>
      <c r="J1865" s="672" t="s">
        <v>9011</v>
      </c>
      <c r="K1865" s="672" t="s">
        <v>541</v>
      </c>
      <c r="L1865" s="672" t="s">
        <v>9068</v>
      </c>
    </row>
    <row r="1866" spans="1:12" x14ac:dyDescent="0.2">
      <c r="A1866" s="672" t="s">
        <v>220</v>
      </c>
      <c r="B1866" s="672" t="s">
        <v>10381</v>
      </c>
      <c r="C1866" s="672" t="s">
        <v>983</v>
      </c>
      <c r="D1866" s="672" t="s">
        <v>984</v>
      </c>
      <c r="E1866" s="745" t="s">
        <v>545</v>
      </c>
      <c r="F1866" s="747">
        <v>1520</v>
      </c>
      <c r="G1866" s="685">
        <v>5.9459098552887735</v>
      </c>
      <c r="H1866" s="685">
        <v>9037.7829800389354</v>
      </c>
      <c r="I1866" s="686" t="s">
        <v>9009</v>
      </c>
      <c r="J1866" s="672" t="s">
        <v>9011</v>
      </c>
      <c r="K1866" s="672" t="s">
        <v>541</v>
      </c>
      <c r="L1866" s="672" t="s">
        <v>9068</v>
      </c>
    </row>
    <row r="1867" spans="1:12" x14ac:dyDescent="0.2">
      <c r="A1867" s="672" t="s">
        <v>220</v>
      </c>
      <c r="B1867" s="672" t="s">
        <v>10381</v>
      </c>
      <c r="C1867" s="672" t="s">
        <v>985</v>
      </c>
      <c r="D1867" s="672" t="s">
        <v>986</v>
      </c>
      <c r="E1867" s="745" t="s">
        <v>545</v>
      </c>
      <c r="F1867" s="747">
        <v>968</v>
      </c>
      <c r="G1867" s="685">
        <v>6.0465629979594908</v>
      </c>
      <c r="H1867" s="685">
        <v>5853.0729820247871</v>
      </c>
      <c r="I1867" s="686" t="s">
        <v>9009</v>
      </c>
      <c r="J1867" s="672" t="s">
        <v>9011</v>
      </c>
      <c r="K1867" s="672" t="s">
        <v>541</v>
      </c>
      <c r="L1867" s="672" t="s">
        <v>9068</v>
      </c>
    </row>
    <row r="1868" spans="1:12" x14ac:dyDescent="0.2">
      <c r="A1868" s="672" t="s">
        <v>220</v>
      </c>
      <c r="B1868" s="672" t="s">
        <v>10381</v>
      </c>
      <c r="C1868" s="672" t="s">
        <v>987</v>
      </c>
      <c r="D1868" s="672" t="s">
        <v>988</v>
      </c>
      <c r="E1868" s="745" t="s">
        <v>545</v>
      </c>
      <c r="F1868" s="747">
        <v>1130</v>
      </c>
      <c r="G1868" s="685">
        <v>0.45100000000000001</v>
      </c>
      <c r="H1868" s="685">
        <v>509.63</v>
      </c>
      <c r="I1868" s="686" t="s">
        <v>9009</v>
      </c>
      <c r="J1868" s="672" t="s">
        <v>10128</v>
      </c>
      <c r="K1868" s="672" t="s">
        <v>541</v>
      </c>
      <c r="L1868" s="672" t="s">
        <v>8996</v>
      </c>
    </row>
    <row r="1869" spans="1:12" x14ac:dyDescent="0.2">
      <c r="A1869" s="672" t="s">
        <v>220</v>
      </c>
      <c r="B1869" s="672" t="s">
        <v>10381</v>
      </c>
      <c r="C1869" s="672" t="s">
        <v>989</v>
      </c>
      <c r="D1869" s="672" t="s">
        <v>990</v>
      </c>
      <c r="E1869" s="745" t="s">
        <v>545</v>
      </c>
      <c r="F1869" s="747">
        <v>27</v>
      </c>
      <c r="G1869" s="685">
        <v>6.4735627942378278</v>
      </c>
      <c r="H1869" s="685">
        <v>174.78619544442134</v>
      </c>
      <c r="I1869" s="686" t="s">
        <v>9009</v>
      </c>
      <c r="J1869" s="672" t="s">
        <v>9011</v>
      </c>
      <c r="K1869" s="672" t="s">
        <v>541</v>
      </c>
      <c r="L1869" s="672" t="s">
        <v>9068</v>
      </c>
    </row>
    <row r="1870" spans="1:12" x14ac:dyDescent="0.2">
      <c r="A1870" s="672" t="s">
        <v>220</v>
      </c>
      <c r="B1870" s="672" t="s">
        <v>10381</v>
      </c>
      <c r="C1870" s="672" t="s">
        <v>991</v>
      </c>
      <c r="D1870" s="672" t="s">
        <v>992</v>
      </c>
      <c r="E1870" s="745" t="s">
        <v>545</v>
      </c>
      <c r="F1870" s="747">
        <v>862</v>
      </c>
      <c r="G1870" s="685">
        <v>4.2218079140908236</v>
      </c>
      <c r="H1870" s="685">
        <v>3639.1984219462897</v>
      </c>
      <c r="I1870" s="686" t="s">
        <v>9009</v>
      </c>
      <c r="J1870" s="672" t="s">
        <v>9011</v>
      </c>
      <c r="K1870" s="672" t="s">
        <v>541</v>
      </c>
      <c r="L1870" s="672" t="s">
        <v>9068</v>
      </c>
    </row>
    <row r="1871" spans="1:12" x14ac:dyDescent="0.2">
      <c r="A1871" s="672" t="s">
        <v>220</v>
      </c>
      <c r="B1871" s="672" t="s">
        <v>10381</v>
      </c>
      <c r="C1871" s="672" t="s">
        <v>993</v>
      </c>
      <c r="D1871" s="672" t="s">
        <v>994</v>
      </c>
      <c r="E1871" s="745" t="s">
        <v>545</v>
      </c>
      <c r="F1871" s="747">
        <v>127</v>
      </c>
      <c r="G1871" s="685">
        <v>3.6604320471050991</v>
      </c>
      <c r="H1871" s="685">
        <v>464.8748699823476</v>
      </c>
      <c r="I1871" s="686" t="s">
        <v>9009</v>
      </c>
      <c r="J1871" s="672" t="s">
        <v>9011</v>
      </c>
      <c r="K1871" s="672" t="s">
        <v>541</v>
      </c>
      <c r="L1871" s="672" t="s">
        <v>9068</v>
      </c>
    </row>
    <row r="1872" spans="1:12" x14ac:dyDescent="0.2">
      <c r="A1872" s="672" t="s">
        <v>220</v>
      </c>
      <c r="B1872" s="672" t="s">
        <v>10381</v>
      </c>
      <c r="C1872" s="672" t="s">
        <v>995</v>
      </c>
      <c r="D1872" s="672" t="s">
        <v>996</v>
      </c>
      <c r="E1872" s="745" t="s">
        <v>545</v>
      </c>
      <c r="F1872" s="747">
        <v>952</v>
      </c>
      <c r="G1872" s="685">
        <v>5.0516859086628108</v>
      </c>
      <c r="H1872" s="685">
        <v>4809.2049850469957</v>
      </c>
      <c r="I1872" s="686" t="s">
        <v>9009</v>
      </c>
      <c r="J1872" s="672" t="s">
        <v>9011</v>
      </c>
      <c r="K1872" s="672" t="s">
        <v>541</v>
      </c>
      <c r="L1872" s="672" t="s">
        <v>9068</v>
      </c>
    </row>
    <row r="1873" spans="1:12" x14ac:dyDescent="0.2">
      <c r="A1873" s="672" t="s">
        <v>220</v>
      </c>
      <c r="B1873" s="672" t="s">
        <v>10381</v>
      </c>
      <c r="C1873" s="672" t="s">
        <v>999</v>
      </c>
      <c r="D1873" s="672" t="s">
        <v>1000</v>
      </c>
      <c r="E1873" s="745" t="s">
        <v>545</v>
      </c>
      <c r="F1873" s="747">
        <v>4026</v>
      </c>
      <c r="G1873" s="685">
        <v>5.1119749761867892</v>
      </c>
      <c r="H1873" s="685">
        <v>20580.811254128013</v>
      </c>
      <c r="I1873" s="686" t="s">
        <v>9009</v>
      </c>
      <c r="J1873" s="672" t="s">
        <v>9011</v>
      </c>
      <c r="K1873" s="672" t="s">
        <v>541</v>
      </c>
      <c r="L1873" s="672" t="s">
        <v>9068</v>
      </c>
    </row>
    <row r="1874" spans="1:12" x14ac:dyDescent="0.2">
      <c r="A1874" s="672" t="s">
        <v>220</v>
      </c>
      <c r="B1874" s="672" t="s">
        <v>10381</v>
      </c>
      <c r="C1874" s="672" t="s">
        <v>1001</v>
      </c>
      <c r="D1874" s="672" t="s">
        <v>9714</v>
      </c>
      <c r="E1874" s="745" t="s">
        <v>545</v>
      </c>
      <c r="F1874" s="747">
        <v>672</v>
      </c>
      <c r="G1874" s="685">
        <v>8.4756157494320021</v>
      </c>
      <c r="H1874" s="685">
        <v>5695.6137836183052</v>
      </c>
      <c r="I1874" s="686" t="s">
        <v>9009</v>
      </c>
      <c r="J1874" s="672" t="s">
        <v>9011</v>
      </c>
      <c r="K1874" s="672" t="s">
        <v>541</v>
      </c>
      <c r="L1874" s="672" t="s">
        <v>9068</v>
      </c>
    </row>
    <row r="1875" spans="1:12" x14ac:dyDescent="0.2">
      <c r="A1875" s="672" t="s">
        <v>220</v>
      </c>
      <c r="B1875" s="672" t="s">
        <v>10381</v>
      </c>
      <c r="C1875" s="672" t="s">
        <v>819</v>
      </c>
      <c r="D1875" s="672" t="s">
        <v>820</v>
      </c>
      <c r="E1875" s="745" t="s">
        <v>545</v>
      </c>
      <c r="F1875" s="747">
        <v>629</v>
      </c>
      <c r="G1875" s="685">
        <v>3.0693452782718431</v>
      </c>
      <c r="H1875" s="685">
        <v>1930.6181800329894</v>
      </c>
      <c r="I1875" s="686" t="s">
        <v>9009</v>
      </c>
      <c r="J1875" s="672" t="s">
        <v>9011</v>
      </c>
      <c r="K1875" s="672" t="s">
        <v>541</v>
      </c>
      <c r="L1875" s="672" t="s">
        <v>9068</v>
      </c>
    </row>
    <row r="1876" spans="1:12" x14ac:dyDescent="0.2">
      <c r="A1876" s="672" t="s">
        <v>220</v>
      </c>
      <c r="B1876" s="672" t="s">
        <v>10381</v>
      </c>
      <c r="C1876" s="672" t="s">
        <v>1003</v>
      </c>
      <c r="D1876" s="672" t="s">
        <v>1004</v>
      </c>
      <c r="E1876" s="745" t="s">
        <v>545</v>
      </c>
      <c r="F1876" s="747">
        <v>241</v>
      </c>
      <c r="G1876" s="685">
        <v>4.0065036896362285</v>
      </c>
      <c r="H1876" s="685">
        <v>965.56738920233101</v>
      </c>
      <c r="I1876" s="686" t="s">
        <v>9009</v>
      </c>
      <c r="J1876" s="672" t="s">
        <v>9011</v>
      </c>
      <c r="K1876" s="672" t="s">
        <v>541</v>
      </c>
      <c r="L1876" s="672" t="s">
        <v>9068</v>
      </c>
    </row>
    <row r="1877" spans="1:12" x14ac:dyDescent="0.2">
      <c r="A1877" s="672" t="s">
        <v>220</v>
      </c>
      <c r="B1877" s="672" t="s">
        <v>10381</v>
      </c>
      <c r="C1877" s="672" t="s">
        <v>1005</v>
      </c>
      <c r="D1877" s="672" t="s">
        <v>1006</v>
      </c>
      <c r="E1877" s="745" t="s">
        <v>545</v>
      </c>
      <c r="F1877" s="747">
        <v>784</v>
      </c>
      <c r="G1877" s="685">
        <v>3.0321303557388903</v>
      </c>
      <c r="H1877" s="685">
        <v>2377.19019889929</v>
      </c>
      <c r="I1877" s="686" t="s">
        <v>9009</v>
      </c>
      <c r="J1877" s="672" t="s">
        <v>9011</v>
      </c>
      <c r="K1877" s="672" t="s">
        <v>541</v>
      </c>
      <c r="L1877" s="672" t="s">
        <v>9068</v>
      </c>
    </row>
    <row r="1878" spans="1:12" x14ac:dyDescent="0.2">
      <c r="A1878" s="672" t="s">
        <v>220</v>
      </c>
      <c r="B1878" s="672" t="s">
        <v>10381</v>
      </c>
      <c r="C1878" s="672" t="s">
        <v>1011</v>
      </c>
      <c r="D1878" s="672" t="s">
        <v>1012</v>
      </c>
      <c r="E1878" s="745" t="s">
        <v>545</v>
      </c>
      <c r="F1878" s="747">
        <v>5393</v>
      </c>
      <c r="G1878" s="685">
        <v>3.7366037341172276</v>
      </c>
      <c r="H1878" s="685">
        <v>20151.503938094207</v>
      </c>
      <c r="I1878" s="686" t="s">
        <v>9009</v>
      </c>
      <c r="J1878" s="672" t="s">
        <v>9011</v>
      </c>
      <c r="K1878" s="672" t="s">
        <v>541</v>
      </c>
      <c r="L1878" s="672" t="s">
        <v>9068</v>
      </c>
    </row>
    <row r="1879" spans="1:12" x14ac:dyDescent="0.2">
      <c r="A1879" s="672" t="s">
        <v>220</v>
      </c>
      <c r="B1879" s="672" t="s">
        <v>10381</v>
      </c>
      <c r="C1879" s="672" t="s">
        <v>1013</v>
      </c>
      <c r="D1879" s="672" t="s">
        <v>1014</v>
      </c>
      <c r="E1879" s="745" t="s">
        <v>545</v>
      </c>
      <c r="F1879" s="747">
        <v>2108</v>
      </c>
      <c r="G1879" s="685">
        <v>3.8013364889902275</v>
      </c>
      <c r="H1879" s="685">
        <v>8013.2173187913995</v>
      </c>
      <c r="I1879" s="686" t="s">
        <v>9009</v>
      </c>
      <c r="J1879" s="672" t="s">
        <v>9011</v>
      </c>
      <c r="K1879" s="672" t="s">
        <v>541</v>
      </c>
      <c r="L1879" s="672" t="s">
        <v>9068</v>
      </c>
    </row>
    <row r="1880" spans="1:12" x14ac:dyDescent="0.2">
      <c r="A1880" s="672" t="s">
        <v>220</v>
      </c>
      <c r="B1880" s="672" t="s">
        <v>10381</v>
      </c>
      <c r="C1880" s="672" t="s">
        <v>1015</v>
      </c>
      <c r="D1880" s="672" t="s">
        <v>1016</v>
      </c>
      <c r="E1880" s="745" t="s">
        <v>545</v>
      </c>
      <c r="F1880" s="747">
        <v>394</v>
      </c>
      <c r="G1880" s="685">
        <v>4.0292730848688931</v>
      </c>
      <c r="H1880" s="685">
        <v>1587.5335954383438</v>
      </c>
      <c r="I1880" s="686" t="s">
        <v>9009</v>
      </c>
      <c r="J1880" s="672" t="s">
        <v>9011</v>
      </c>
      <c r="K1880" s="672" t="s">
        <v>541</v>
      </c>
      <c r="L1880" s="672" t="s">
        <v>9068</v>
      </c>
    </row>
    <row r="1881" spans="1:12" x14ac:dyDescent="0.2">
      <c r="A1881" s="672" t="s">
        <v>220</v>
      </c>
      <c r="B1881" s="672" t="s">
        <v>10381</v>
      </c>
      <c r="C1881" s="672" t="s">
        <v>1017</v>
      </c>
      <c r="D1881" s="672" t="s">
        <v>1018</v>
      </c>
      <c r="E1881" s="745" t="s">
        <v>545</v>
      </c>
      <c r="F1881" s="747">
        <v>711</v>
      </c>
      <c r="G1881" s="685">
        <v>5.3818660087289869</v>
      </c>
      <c r="H1881" s="685">
        <v>3826.5067322063096</v>
      </c>
      <c r="I1881" s="686" t="s">
        <v>9009</v>
      </c>
      <c r="J1881" s="672" t="s">
        <v>9011</v>
      </c>
      <c r="K1881" s="672" t="s">
        <v>541</v>
      </c>
      <c r="L1881" s="672" t="s">
        <v>9068</v>
      </c>
    </row>
    <row r="1882" spans="1:12" x14ac:dyDescent="0.2">
      <c r="A1882" s="672" t="s">
        <v>220</v>
      </c>
      <c r="B1882" s="672" t="s">
        <v>10381</v>
      </c>
      <c r="C1882" s="672" t="s">
        <v>1019</v>
      </c>
      <c r="D1882" s="672" t="s">
        <v>1020</v>
      </c>
      <c r="E1882" s="745" t="s">
        <v>545</v>
      </c>
      <c r="F1882" s="747">
        <v>61</v>
      </c>
      <c r="G1882" s="685">
        <v>3.799210713387116</v>
      </c>
      <c r="H1882" s="685">
        <v>231.75185351661409</v>
      </c>
      <c r="I1882" s="686" t="s">
        <v>9009</v>
      </c>
      <c r="J1882" s="672" t="s">
        <v>9011</v>
      </c>
      <c r="K1882" s="672" t="s">
        <v>541</v>
      </c>
      <c r="L1882" s="672" t="s">
        <v>9068</v>
      </c>
    </row>
    <row r="1883" spans="1:12" x14ac:dyDescent="0.2">
      <c r="A1883" s="672" t="s">
        <v>220</v>
      </c>
      <c r="B1883" s="672" t="s">
        <v>10381</v>
      </c>
      <c r="C1883" s="672" t="s">
        <v>1023</v>
      </c>
      <c r="D1883" s="672" t="s">
        <v>1024</v>
      </c>
      <c r="E1883" s="745" t="s">
        <v>545</v>
      </c>
      <c r="F1883" s="747">
        <v>1845</v>
      </c>
      <c r="G1883" s="685">
        <v>5.6900501675274002</v>
      </c>
      <c r="H1883" s="685">
        <v>10498.142559088054</v>
      </c>
      <c r="I1883" s="686" t="s">
        <v>9009</v>
      </c>
      <c r="J1883" s="672" t="s">
        <v>9011</v>
      </c>
      <c r="K1883" s="672" t="s">
        <v>541</v>
      </c>
      <c r="L1883" s="672" t="s">
        <v>9068</v>
      </c>
    </row>
    <row r="1884" spans="1:12" x14ac:dyDescent="0.2">
      <c r="A1884" s="672" t="s">
        <v>220</v>
      </c>
      <c r="B1884" s="672" t="s">
        <v>10381</v>
      </c>
      <c r="C1884" s="672" t="s">
        <v>1043</v>
      </c>
      <c r="D1884" s="672" t="s">
        <v>1044</v>
      </c>
      <c r="E1884" s="745" t="s">
        <v>545</v>
      </c>
      <c r="F1884" s="747">
        <v>1564</v>
      </c>
      <c r="G1884" s="685">
        <v>7.3173987426277591</v>
      </c>
      <c r="H1884" s="685">
        <v>11444.411633469816</v>
      </c>
      <c r="I1884" s="686" t="s">
        <v>9009</v>
      </c>
      <c r="J1884" s="672" t="s">
        <v>9011</v>
      </c>
      <c r="K1884" s="672" t="s">
        <v>541</v>
      </c>
      <c r="L1884" s="672" t="s">
        <v>9068</v>
      </c>
    </row>
    <row r="1885" spans="1:12" x14ac:dyDescent="0.2">
      <c r="A1885" s="672" t="s">
        <v>220</v>
      </c>
      <c r="B1885" s="672" t="s">
        <v>10381</v>
      </c>
      <c r="C1885" s="672" t="s">
        <v>1047</v>
      </c>
      <c r="D1885" s="672" t="s">
        <v>1048</v>
      </c>
      <c r="E1885" s="745" t="s">
        <v>545</v>
      </c>
      <c r="F1885" s="747">
        <v>950</v>
      </c>
      <c r="G1885" s="685">
        <v>8.3012478988117557</v>
      </c>
      <c r="H1885" s="685">
        <v>7886.1855038711683</v>
      </c>
      <c r="I1885" s="686" t="s">
        <v>9009</v>
      </c>
      <c r="J1885" s="672" t="s">
        <v>9011</v>
      </c>
      <c r="K1885" s="672" t="s">
        <v>541</v>
      </c>
      <c r="L1885" s="672" t="s">
        <v>9068</v>
      </c>
    </row>
    <row r="1886" spans="1:12" x14ac:dyDescent="0.2">
      <c r="A1886" s="672" t="s">
        <v>220</v>
      </c>
      <c r="B1886" s="672" t="s">
        <v>10381</v>
      </c>
      <c r="C1886" s="672" t="s">
        <v>1049</v>
      </c>
      <c r="D1886" s="672" t="s">
        <v>1050</v>
      </c>
      <c r="E1886" s="745" t="s">
        <v>545</v>
      </c>
      <c r="F1886" s="747">
        <v>326</v>
      </c>
      <c r="G1886" s="685">
        <v>7.1065880653533515</v>
      </c>
      <c r="H1886" s="685">
        <v>2316.7477093051925</v>
      </c>
      <c r="I1886" s="686" t="s">
        <v>9009</v>
      </c>
      <c r="J1886" s="672" t="s">
        <v>9011</v>
      </c>
      <c r="K1886" s="672" t="s">
        <v>541</v>
      </c>
      <c r="L1886" s="672" t="s">
        <v>9068</v>
      </c>
    </row>
    <row r="1887" spans="1:12" x14ac:dyDescent="0.2">
      <c r="A1887" s="672" t="s">
        <v>220</v>
      </c>
      <c r="B1887" s="672" t="s">
        <v>10381</v>
      </c>
      <c r="C1887" s="672" t="s">
        <v>1051</v>
      </c>
      <c r="D1887" s="672" t="s">
        <v>1052</v>
      </c>
      <c r="E1887" s="745" t="s">
        <v>545</v>
      </c>
      <c r="F1887" s="747">
        <v>752</v>
      </c>
      <c r="G1887" s="685">
        <v>12.986919601584198</v>
      </c>
      <c r="H1887" s="685">
        <v>9766.1635403913169</v>
      </c>
      <c r="I1887" s="686" t="s">
        <v>9009</v>
      </c>
      <c r="J1887" s="672" t="s">
        <v>9011</v>
      </c>
      <c r="K1887" s="672" t="s">
        <v>541</v>
      </c>
      <c r="L1887" s="672" t="s">
        <v>9068</v>
      </c>
    </row>
    <row r="1888" spans="1:12" x14ac:dyDescent="0.2">
      <c r="A1888" s="672" t="s">
        <v>220</v>
      </c>
      <c r="B1888" s="672" t="s">
        <v>10381</v>
      </c>
      <c r="C1888" s="672" t="s">
        <v>1053</v>
      </c>
      <c r="D1888" s="672" t="s">
        <v>1054</v>
      </c>
      <c r="E1888" s="745" t="s">
        <v>545</v>
      </c>
      <c r="F1888" s="747">
        <v>1300</v>
      </c>
      <c r="G1888" s="685">
        <v>7.4112083043452701</v>
      </c>
      <c r="H1888" s="685">
        <v>9634.5707956488513</v>
      </c>
      <c r="I1888" s="686" t="s">
        <v>9009</v>
      </c>
      <c r="J1888" s="672" t="s">
        <v>9011</v>
      </c>
      <c r="K1888" s="672" t="s">
        <v>541</v>
      </c>
      <c r="L1888" s="672" t="s">
        <v>9068</v>
      </c>
    </row>
    <row r="1889" spans="1:12" x14ac:dyDescent="0.2">
      <c r="A1889" s="672" t="s">
        <v>220</v>
      </c>
      <c r="B1889" s="672" t="s">
        <v>10381</v>
      </c>
      <c r="C1889" s="672" t="s">
        <v>1055</v>
      </c>
      <c r="D1889" s="672" t="s">
        <v>1056</v>
      </c>
      <c r="E1889" s="745" t="s">
        <v>545</v>
      </c>
      <c r="F1889" s="747">
        <v>134</v>
      </c>
      <c r="G1889" s="685">
        <v>5.3951399315746089</v>
      </c>
      <c r="H1889" s="685">
        <v>722.9487508309976</v>
      </c>
      <c r="I1889" s="686" t="s">
        <v>9009</v>
      </c>
      <c r="J1889" s="672" t="s">
        <v>9011</v>
      </c>
      <c r="K1889" s="672" t="s">
        <v>541</v>
      </c>
      <c r="L1889" s="672" t="s">
        <v>9068</v>
      </c>
    </row>
    <row r="1890" spans="1:12" x14ac:dyDescent="0.2">
      <c r="A1890" s="672" t="s">
        <v>220</v>
      </c>
      <c r="B1890" s="672" t="s">
        <v>10381</v>
      </c>
      <c r="C1890" s="672" t="s">
        <v>1057</v>
      </c>
      <c r="D1890" s="672" t="s">
        <v>1058</v>
      </c>
      <c r="E1890" s="745" t="s">
        <v>545</v>
      </c>
      <c r="F1890" s="747">
        <v>640</v>
      </c>
      <c r="G1890" s="685">
        <v>6.390525900598095</v>
      </c>
      <c r="H1890" s="685">
        <v>4089.9365763827809</v>
      </c>
      <c r="I1890" s="686" t="s">
        <v>9009</v>
      </c>
      <c r="J1890" s="672" t="s">
        <v>9011</v>
      </c>
      <c r="K1890" s="672" t="s">
        <v>541</v>
      </c>
      <c r="L1890" s="672" t="s">
        <v>9068</v>
      </c>
    </row>
    <row r="1891" spans="1:12" x14ac:dyDescent="0.2">
      <c r="A1891" s="672" t="s">
        <v>220</v>
      </c>
      <c r="B1891" s="672" t="s">
        <v>10381</v>
      </c>
      <c r="C1891" s="672" t="s">
        <v>1059</v>
      </c>
      <c r="D1891" s="672" t="s">
        <v>1060</v>
      </c>
      <c r="E1891" s="745" t="s">
        <v>545</v>
      </c>
      <c r="F1891" s="747">
        <v>484</v>
      </c>
      <c r="G1891" s="685">
        <v>3.2336327000489491</v>
      </c>
      <c r="H1891" s="685">
        <v>1565.0782268236915</v>
      </c>
      <c r="I1891" s="686" t="s">
        <v>9009</v>
      </c>
      <c r="J1891" s="672" t="s">
        <v>9011</v>
      </c>
      <c r="K1891" s="672" t="s">
        <v>541</v>
      </c>
      <c r="L1891" s="672" t="s">
        <v>9068</v>
      </c>
    </row>
    <row r="1892" spans="1:12" x14ac:dyDescent="0.2">
      <c r="A1892" s="672" t="s">
        <v>220</v>
      </c>
      <c r="B1892" s="672" t="s">
        <v>10381</v>
      </c>
      <c r="C1892" s="672" t="s">
        <v>1061</v>
      </c>
      <c r="D1892" s="672" t="s">
        <v>1062</v>
      </c>
      <c r="E1892" s="745" t="s">
        <v>545</v>
      </c>
      <c r="F1892" s="747">
        <v>169</v>
      </c>
      <c r="G1892" s="685">
        <v>2.9343711995187785</v>
      </c>
      <c r="H1892" s="685">
        <v>495.90873271867355</v>
      </c>
      <c r="I1892" s="686" t="s">
        <v>9009</v>
      </c>
      <c r="J1892" s="672" t="s">
        <v>9011</v>
      </c>
      <c r="K1892" s="672" t="s">
        <v>541</v>
      </c>
      <c r="L1892" s="672" t="s">
        <v>9068</v>
      </c>
    </row>
    <row r="1893" spans="1:12" x14ac:dyDescent="0.2">
      <c r="A1893" s="672" t="s">
        <v>220</v>
      </c>
      <c r="B1893" s="672" t="s">
        <v>10381</v>
      </c>
      <c r="C1893" s="672" t="s">
        <v>1063</v>
      </c>
      <c r="D1893" s="672" t="s">
        <v>1064</v>
      </c>
      <c r="E1893" s="745" t="s">
        <v>545</v>
      </c>
      <c r="F1893" s="747">
        <v>69</v>
      </c>
      <c r="G1893" s="685">
        <v>2.934371199518778</v>
      </c>
      <c r="H1893" s="685">
        <v>202.47161276679569</v>
      </c>
      <c r="I1893" s="686" t="s">
        <v>9009</v>
      </c>
      <c r="J1893" s="672" t="s">
        <v>9011</v>
      </c>
      <c r="K1893" s="672" t="s">
        <v>541</v>
      </c>
      <c r="L1893" s="672" t="s">
        <v>9068</v>
      </c>
    </row>
    <row r="1894" spans="1:12" x14ac:dyDescent="0.2">
      <c r="A1894" s="672" t="s">
        <v>220</v>
      </c>
      <c r="B1894" s="672" t="s">
        <v>10381</v>
      </c>
      <c r="C1894" s="672" t="s">
        <v>1065</v>
      </c>
      <c r="D1894" s="672" t="s">
        <v>1066</v>
      </c>
      <c r="E1894" s="745" t="s">
        <v>545</v>
      </c>
      <c r="F1894" s="747">
        <v>340</v>
      </c>
      <c r="G1894" s="685">
        <v>4.7065467692809513</v>
      </c>
      <c r="H1894" s="685">
        <v>1600.2259015555235</v>
      </c>
      <c r="I1894" s="686" t="s">
        <v>9009</v>
      </c>
      <c r="J1894" s="672" t="s">
        <v>9011</v>
      </c>
      <c r="K1894" s="672" t="s">
        <v>541</v>
      </c>
      <c r="L1894" s="672" t="s">
        <v>9068</v>
      </c>
    </row>
    <row r="1895" spans="1:12" x14ac:dyDescent="0.2">
      <c r="A1895" s="672" t="s">
        <v>220</v>
      </c>
      <c r="B1895" s="672" t="s">
        <v>10381</v>
      </c>
      <c r="C1895" s="672" t="s">
        <v>1067</v>
      </c>
      <c r="D1895" s="672" t="s">
        <v>1068</v>
      </c>
      <c r="E1895" s="745" t="s">
        <v>545</v>
      </c>
      <c r="F1895" s="747">
        <v>1288</v>
      </c>
      <c r="G1895" s="685">
        <v>4.4630730216745906</v>
      </c>
      <c r="H1895" s="685">
        <v>5748.4380519168726</v>
      </c>
      <c r="I1895" s="686" t="s">
        <v>9009</v>
      </c>
      <c r="J1895" s="672" t="s">
        <v>9011</v>
      </c>
      <c r="K1895" s="672" t="s">
        <v>541</v>
      </c>
      <c r="L1895" s="672" t="s">
        <v>9068</v>
      </c>
    </row>
    <row r="1896" spans="1:12" x14ac:dyDescent="0.2">
      <c r="A1896" s="672" t="s">
        <v>220</v>
      </c>
      <c r="B1896" s="672" t="s">
        <v>10381</v>
      </c>
      <c r="C1896" s="672" t="s">
        <v>1069</v>
      </c>
      <c r="D1896" s="672" t="s">
        <v>1070</v>
      </c>
      <c r="E1896" s="745" t="s">
        <v>545</v>
      </c>
      <c r="F1896" s="747">
        <v>506</v>
      </c>
      <c r="G1896" s="685">
        <v>4.2848345201244618</v>
      </c>
      <c r="H1896" s="685">
        <v>2168.1262671829777</v>
      </c>
      <c r="I1896" s="686" t="s">
        <v>9009</v>
      </c>
      <c r="J1896" s="672" t="s">
        <v>9011</v>
      </c>
      <c r="K1896" s="672" t="s">
        <v>541</v>
      </c>
      <c r="L1896" s="672" t="s">
        <v>9068</v>
      </c>
    </row>
    <row r="1897" spans="1:12" x14ac:dyDescent="0.2">
      <c r="A1897" s="672" t="s">
        <v>220</v>
      </c>
      <c r="B1897" s="672" t="s">
        <v>10381</v>
      </c>
      <c r="C1897" s="672" t="s">
        <v>9508</v>
      </c>
      <c r="D1897" s="672" t="s">
        <v>9509</v>
      </c>
      <c r="E1897" s="745" t="s">
        <v>545</v>
      </c>
      <c r="F1897" s="747">
        <v>360</v>
      </c>
      <c r="G1897" s="685">
        <v>6.6771433043290171</v>
      </c>
      <c r="H1897" s="685">
        <v>2403.7715895584461</v>
      </c>
      <c r="I1897" s="686" t="s">
        <v>9009</v>
      </c>
      <c r="J1897" s="672" t="s">
        <v>9011</v>
      </c>
      <c r="K1897" s="672" t="s">
        <v>541</v>
      </c>
      <c r="L1897" s="672" t="s">
        <v>9068</v>
      </c>
    </row>
    <row r="1898" spans="1:12" x14ac:dyDescent="0.2">
      <c r="A1898" s="672" t="s">
        <v>220</v>
      </c>
      <c r="B1898" s="672" t="s">
        <v>10381</v>
      </c>
      <c r="C1898" s="672" t="s">
        <v>1071</v>
      </c>
      <c r="D1898" s="672" t="s">
        <v>1072</v>
      </c>
      <c r="E1898" s="745" t="s">
        <v>545</v>
      </c>
      <c r="F1898" s="747">
        <v>2058</v>
      </c>
      <c r="G1898" s="685">
        <v>4.5566203743201257</v>
      </c>
      <c r="H1898" s="685">
        <v>9377.5247303508186</v>
      </c>
      <c r="I1898" s="686" t="s">
        <v>9009</v>
      </c>
      <c r="J1898" s="672" t="s">
        <v>9011</v>
      </c>
      <c r="K1898" s="672" t="s">
        <v>541</v>
      </c>
      <c r="L1898" s="672" t="s">
        <v>9068</v>
      </c>
    </row>
    <row r="1899" spans="1:12" x14ac:dyDescent="0.2">
      <c r="A1899" s="672" t="s">
        <v>220</v>
      </c>
      <c r="B1899" s="672" t="s">
        <v>10381</v>
      </c>
      <c r="C1899" s="672" t="s">
        <v>1073</v>
      </c>
      <c r="D1899" s="672" t="s">
        <v>1074</v>
      </c>
      <c r="E1899" s="745" t="s">
        <v>545</v>
      </c>
      <c r="F1899" s="747">
        <v>1804</v>
      </c>
      <c r="G1899" s="685">
        <v>4.5186316518481826</v>
      </c>
      <c r="H1899" s="685">
        <v>8151.6114999341216</v>
      </c>
      <c r="I1899" s="686" t="s">
        <v>9009</v>
      </c>
      <c r="J1899" s="672" t="s">
        <v>9011</v>
      </c>
      <c r="K1899" s="672" t="s">
        <v>541</v>
      </c>
      <c r="L1899" s="672" t="s">
        <v>9068</v>
      </c>
    </row>
    <row r="1900" spans="1:12" x14ac:dyDescent="0.2">
      <c r="A1900" s="672" t="s">
        <v>220</v>
      </c>
      <c r="B1900" s="672" t="s">
        <v>10381</v>
      </c>
      <c r="C1900" s="672" t="s">
        <v>1075</v>
      </c>
      <c r="D1900" s="672" t="s">
        <v>1076</v>
      </c>
      <c r="E1900" s="745" t="s">
        <v>545</v>
      </c>
      <c r="F1900" s="747">
        <v>252</v>
      </c>
      <c r="G1900" s="685">
        <v>3.7557741381350422</v>
      </c>
      <c r="H1900" s="685">
        <v>946.4550828100306</v>
      </c>
      <c r="I1900" s="686" t="s">
        <v>9009</v>
      </c>
      <c r="J1900" s="672" t="s">
        <v>9011</v>
      </c>
      <c r="K1900" s="672" t="s">
        <v>541</v>
      </c>
      <c r="L1900" s="672" t="s">
        <v>9068</v>
      </c>
    </row>
    <row r="1901" spans="1:12" x14ac:dyDescent="0.2">
      <c r="A1901" s="672" t="s">
        <v>220</v>
      </c>
      <c r="B1901" s="672" t="s">
        <v>10381</v>
      </c>
      <c r="C1901" s="672" t="s">
        <v>1077</v>
      </c>
      <c r="D1901" s="672" t="s">
        <v>1078</v>
      </c>
      <c r="E1901" s="745" t="s">
        <v>545</v>
      </c>
      <c r="F1901" s="747">
        <v>220</v>
      </c>
      <c r="G1901" s="685">
        <v>3.7910068628949665</v>
      </c>
      <c r="H1901" s="685">
        <v>834.02150983689262</v>
      </c>
      <c r="I1901" s="686" t="s">
        <v>9009</v>
      </c>
      <c r="J1901" s="672" t="s">
        <v>9011</v>
      </c>
      <c r="K1901" s="672" t="s">
        <v>541</v>
      </c>
      <c r="L1901" s="672" t="s">
        <v>9068</v>
      </c>
    </row>
    <row r="1902" spans="1:12" x14ac:dyDescent="0.2">
      <c r="A1902" s="672" t="s">
        <v>220</v>
      </c>
      <c r="B1902" s="672" t="s">
        <v>10381</v>
      </c>
      <c r="C1902" s="672" t="s">
        <v>1079</v>
      </c>
      <c r="D1902" s="672" t="s">
        <v>1080</v>
      </c>
      <c r="E1902" s="745" t="s">
        <v>545</v>
      </c>
      <c r="F1902" s="747">
        <v>416</v>
      </c>
      <c r="G1902" s="685">
        <v>3.5997570689072611</v>
      </c>
      <c r="H1902" s="685">
        <v>1497.4989406654206</v>
      </c>
      <c r="I1902" s="686" t="s">
        <v>9009</v>
      </c>
      <c r="J1902" s="672" t="s">
        <v>9011</v>
      </c>
      <c r="K1902" s="672" t="s">
        <v>541</v>
      </c>
      <c r="L1902" s="672" t="s">
        <v>9068</v>
      </c>
    </row>
    <row r="1903" spans="1:12" x14ac:dyDescent="0.2">
      <c r="A1903" s="672" t="s">
        <v>220</v>
      </c>
      <c r="B1903" s="672" t="s">
        <v>10381</v>
      </c>
      <c r="C1903" s="672" t="s">
        <v>1081</v>
      </c>
      <c r="D1903" s="672" t="s">
        <v>1082</v>
      </c>
      <c r="E1903" s="745" t="s">
        <v>545</v>
      </c>
      <c r="F1903" s="747">
        <v>258</v>
      </c>
      <c r="G1903" s="685">
        <v>3.6825427709029004</v>
      </c>
      <c r="H1903" s="685">
        <v>950.0960348929483</v>
      </c>
      <c r="I1903" s="686" t="s">
        <v>9009</v>
      </c>
      <c r="J1903" s="672" t="s">
        <v>9011</v>
      </c>
      <c r="K1903" s="672" t="s">
        <v>541</v>
      </c>
      <c r="L1903" s="672" t="s">
        <v>9068</v>
      </c>
    </row>
    <row r="1904" spans="1:12" x14ac:dyDescent="0.2">
      <c r="A1904" s="672" t="s">
        <v>220</v>
      </c>
      <c r="B1904" s="672" t="s">
        <v>10381</v>
      </c>
      <c r="C1904" s="672" t="s">
        <v>1083</v>
      </c>
      <c r="D1904" s="672" t="s">
        <v>1084</v>
      </c>
      <c r="E1904" s="745" t="s">
        <v>545</v>
      </c>
      <c r="F1904" s="747">
        <v>110</v>
      </c>
      <c r="G1904" s="685">
        <v>14.521924566237061</v>
      </c>
      <c r="H1904" s="685">
        <v>1597.4117022860767</v>
      </c>
      <c r="I1904" s="686" t="s">
        <v>9009</v>
      </c>
      <c r="J1904" s="672" t="s">
        <v>9011</v>
      </c>
      <c r="K1904" s="672" t="s">
        <v>541</v>
      </c>
      <c r="L1904" s="672" t="s">
        <v>9068</v>
      </c>
    </row>
    <row r="1905" spans="1:12" x14ac:dyDescent="0.2">
      <c r="A1905" s="672" t="s">
        <v>220</v>
      </c>
      <c r="B1905" s="672" t="s">
        <v>10381</v>
      </c>
      <c r="C1905" s="672" t="s">
        <v>1085</v>
      </c>
      <c r="D1905" s="672" t="s">
        <v>1086</v>
      </c>
      <c r="E1905" s="745" t="s">
        <v>545</v>
      </c>
      <c r="F1905" s="747">
        <v>324</v>
      </c>
      <c r="G1905" s="685">
        <v>5.5481160630178872</v>
      </c>
      <c r="H1905" s="685">
        <v>1797.5896044177955</v>
      </c>
      <c r="I1905" s="686" t="s">
        <v>9009</v>
      </c>
      <c r="J1905" s="672" t="s">
        <v>9011</v>
      </c>
      <c r="K1905" s="672" t="s">
        <v>541</v>
      </c>
      <c r="L1905" s="672" t="s">
        <v>9068</v>
      </c>
    </row>
    <row r="1906" spans="1:12" x14ac:dyDescent="0.2">
      <c r="A1906" s="672" t="s">
        <v>220</v>
      </c>
      <c r="B1906" s="672" t="s">
        <v>10381</v>
      </c>
      <c r="C1906" s="672" t="s">
        <v>1087</v>
      </c>
      <c r="D1906" s="672" t="s">
        <v>1088</v>
      </c>
      <c r="E1906" s="745" t="s">
        <v>545</v>
      </c>
      <c r="F1906" s="747">
        <v>1208</v>
      </c>
      <c r="G1906" s="685">
        <v>6.061147378368406</v>
      </c>
      <c r="H1906" s="685">
        <v>7321.8660330690345</v>
      </c>
      <c r="I1906" s="686" t="s">
        <v>9009</v>
      </c>
      <c r="J1906" s="672" t="s">
        <v>9011</v>
      </c>
      <c r="K1906" s="672" t="s">
        <v>541</v>
      </c>
      <c r="L1906" s="672" t="s">
        <v>9068</v>
      </c>
    </row>
    <row r="1907" spans="1:12" x14ac:dyDescent="0.2">
      <c r="A1907" s="672" t="s">
        <v>220</v>
      </c>
      <c r="B1907" s="672" t="s">
        <v>10381</v>
      </c>
      <c r="C1907" s="672" t="s">
        <v>1089</v>
      </c>
      <c r="D1907" s="672" t="s">
        <v>1090</v>
      </c>
      <c r="E1907" s="745" t="s">
        <v>545</v>
      </c>
      <c r="F1907" s="747">
        <v>1497</v>
      </c>
      <c r="G1907" s="685">
        <v>6.1706129697112155</v>
      </c>
      <c r="H1907" s="685">
        <v>9237.4076156576903</v>
      </c>
      <c r="I1907" s="686" t="s">
        <v>9009</v>
      </c>
      <c r="J1907" s="672" t="s">
        <v>9011</v>
      </c>
      <c r="K1907" s="672" t="s">
        <v>541</v>
      </c>
      <c r="L1907" s="672" t="s">
        <v>9068</v>
      </c>
    </row>
    <row r="1908" spans="1:12" x14ac:dyDescent="0.2">
      <c r="A1908" s="672" t="s">
        <v>220</v>
      </c>
      <c r="B1908" s="672" t="s">
        <v>10381</v>
      </c>
      <c r="C1908" s="672" t="s">
        <v>1091</v>
      </c>
      <c r="D1908" s="672" t="s">
        <v>1092</v>
      </c>
      <c r="E1908" s="745" t="s">
        <v>545</v>
      </c>
      <c r="F1908" s="747">
        <v>112</v>
      </c>
      <c r="G1908" s="685">
        <v>5.9537973873009085</v>
      </c>
      <c r="H1908" s="685">
        <v>666.82530737770173</v>
      </c>
      <c r="I1908" s="686" t="s">
        <v>9009</v>
      </c>
      <c r="J1908" s="672" t="s">
        <v>9011</v>
      </c>
      <c r="K1908" s="672" t="s">
        <v>541</v>
      </c>
      <c r="L1908" s="672" t="s">
        <v>9068</v>
      </c>
    </row>
    <row r="1909" spans="1:12" x14ac:dyDescent="0.2">
      <c r="A1909" s="672" t="s">
        <v>220</v>
      </c>
      <c r="B1909" s="672" t="s">
        <v>10381</v>
      </c>
      <c r="C1909" s="672" t="s">
        <v>1093</v>
      </c>
      <c r="D1909" s="672" t="s">
        <v>1094</v>
      </c>
      <c r="E1909" s="745" t="s">
        <v>545</v>
      </c>
      <c r="F1909" s="747">
        <v>663</v>
      </c>
      <c r="G1909" s="685">
        <v>3.6094779630937355</v>
      </c>
      <c r="H1909" s="685">
        <v>2393.0838895311467</v>
      </c>
      <c r="I1909" s="686" t="s">
        <v>9009</v>
      </c>
      <c r="J1909" s="672" t="s">
        <v>9011</v>
      </c>
      <c r="K1909" s="672" t="s">
        <v>541</v>
      </c>
      <c r="L1909" s="672" t="s">
        <v>9068</v>
      </c>
    </row>
    <row r="1910" spans="1:12" x14ac:dyDescent="0.2">
      <c r="A1910" s="672" t="s">
        <v>220</v>
      </c>
      <c r="B1910" s="672" t="s">
        <v>10381</v>
      </c>
      <c r="C1910" s="672" t="s">
        <v>1095</v>
      </c>
      <c r="D1910" s="672" t="s">
        <v>1096</v>
      </c>
      <c r="E1910" s="745" t="s">
        <v>545</v>
      </c>
      <c r="F1910" s="747">
        <v>573</v>
      </c>
      <c r="G1910" s="685">
        <v>3.7259121124582602</v>
      </c>
      <c r="H1910" s="685">
        <v>2134.9476404385832</v>
      </c>
      <c r="I1910" s="686" t="s">
        <v>9009</v>
      </c>
      <c r="J1910" s="672" t="s">
        <v>9011</v>
      </c>
      <c r="K1910" s="672" t="s">
        <v>541</v>
      </c>
      <c r="L1910" s="672" t="s">
        <v>9068</v>
      </c>
    </row>
    <row r="1911" spans="1:12" x14ac:dyDescent="0.2">
      <c r="A1911" s="672" t="s">
        <v>220</v>
      </c>
      <c r="B1911" s="672" t="s">
        <v>10381</v>
      </c>
      <c r="C1911" s="672" t="s">
        <v>1097</v>
      </c>
      <c r="D1911" s="672" t="s">
        <v>1098</v>
      </c>
      <c r="E1911" s="745" t="s">
        <v>545</v>
      </c>
      <c r="F1911" s="747">
        <v>794</v>
      </c>
      <c r="G1911" s="685">
        <v>6.4336815331759523</v>
      </c>
      <c r="H1911" s="685">
        <v>5108.3431373417061</v>
      </c>
      <c r="I1911" s="686" t="s">
        <v>9009</v>
      </c>
      <c r="J1911" s="672" t="s">
        <v>9011</v>
      </c>
      <c r="K1911" s="672" t="s">
        <v>541</v>
      </c>
      <c r="L1911" s="672" t="s">
        <v>9068</v>
      </c>
    </row>
    <row r="1912" spans="1:12" x14ac:dyDescent="0.2">
      <c r="A1912" s="672" t="s">
        <v>220</v>
      </c>
      <c r="B1912" s="672" t="s">
        <v>10381</v>
      </c>
      <c r="C1912" s="672" t="s">
        <v>1099</v>
      </c>
      <c r="D1912" s="672" t="s">
        <v>1100</v>
      </c>
      <c r="E1912" s="745" t="s">
        <v>545</v>
      </c>
      <c r="F1912" s="747">
        <v>560</v>
      </c>
      <c r="G1912" s="685">
        <v>6.5476639429128749</v>
      </c>
      <c r="H1912" s="685">
        <v>3666.6918080312098</v>
      </c>
      <c r="I1912" s="686" t="s">
        <v>9009</v>
      </c>
      <c r="J1912" s="672" t="s">
        <v>9011</v>
      </c>
      <c r="K1912" s="672" t="s">
        <v>541</v>
      </c>
      <c r="L1912" s="672" t="s">
        <v>9068</v>
      </c>
    </row>
    <row r="1913" spans="1:12" x14ac:dyDescent="0.2">
      <c r="A1913" s="672" t="s">
        <v>220</v>
      </c>
      <c r="B1913" s="672" t="s">
        <v>10381</v>
      </c>
      <c r="C1913" s="672" t="s">
        <v>1101</v>
      </c>
      <c r="D1913" s="672" t="s">
        <v>9563</v>
      </c>
      <c r="E1913" s="745" t="s">
        <v>545</v>
      </c>
      <c r="F1913" s="747">
        <v>2370</v>
      </c>
      <c r="G1913" s="685">
        <v>4.0687738557246291</v>
      </c>
      <c r="H1913" s="685">
        <v>9642.9940380673706</v>
      </c>
      <c r="I1913" s="686" t="s">
        <v>9009</v>
      </c>
      <c r="J1913" s="672" t="s">
        <v>9011</v>
      </c>
      <c r="K1913" s="672" t="s">
        <v>541</v>
      </c>
      <c r="L1913" s="672" t="s">
        <v>9068</v>
      </c>
    </row>
    <row r="1914" spans="1:12" x14ac:dyDescent="0.2">
      <c r="A1914" s="672" t="s">
        <v>220</v>
      </c>
      <c r="B1914" s="672" t="s">
        <v>10381</v>
      </c>
      <c r="C1914" s="672" t="s">
        <v>1103</v>
      </c>
      <c r="D1914" s="672" t="s">
        <v>1104</v>
      </c>
      <c r="E1914" s="745" t="s">
        <v>545</v>
      </c>
      <c r="F1914" s="747">
        <v>1081</v>
      </c>
      <c r="G1914" s="685">
        <v>3.9785766482005323</v>
      </c>
      <c r="H1914" s="685">
        <v>4300.8413567047755</v>
      </c>
      <c r="I1914" s="686" t="s">
        <v>9009</v>
      </c>
      <c r="J1914" s="672" t="s">
        <v>9011</v>
      </c>
      <c r="K1914" s="672" t="s">
        <v>541</v>
      </c>
      <c r="L1914" s="672" t="s">
        <v>9068</v>
      </c>
    </row>
    <row r="1915" spans="1:12" x14ac:dyDescent="0.2">
      <c r="A1915" s="672" t="s">
        <v>220</v>
      </c>
      <c r="B1915" s="672" t="s">
        <v>10381</v>
      </c>
      <c r="C1915" s="672" t="s">
        <v>1105</v>
      </c>
      <c r="D1915" s="672" t="s">
        <v>7674</v>
      </c>
      <c r="E1915" s="745" t="s">
        <v>545</v>
      </c>
      <c r="F1915" s="747">
        <v>94</v>
      </c>
      <c r="G1915" s="685">
        <v>3.9493330190045932</v>
      </c>
      <c r="H1915" s="685">
        <v>371.23730378643177</v>
      </c>
      <c r="I1915" s="686" t="s">
        <v>9009</v>
      </c>
      <c r="J1915" s="672" t="s">
        <v>9011</v>
      </c>
      <c r="K1915" s="672" t="s">
        <v>541</v>
      </c>
      <c r="L1915" s="672" t="s">
        <v>9068</v>
      </c>
    </row>
    <row r="1916" spans="1:12" x14ac:dyDescent="0.2">
      <c r="A1916" s="672" t="s">
        <v>220</v>
      </c>
      <c r="B1916" s="672" t="s">
        <v>10381</v>
      </c>
      <c r="C1916" s="672" t="s">
        <v>1107</v>
      </c>
      <c r="D1916" s="672" t="s">
        <v>1108</v>
      </c>
      <c r="E1916" s="745" t="s">
        <v>639</v>
      </c>
      <c r="F1916" s="747">
        <v>8882</v>
      </c>
      <c r="G1916" s="685">
        <v>3.2548945146705948</v>
      </c>
      <c r="H1916" s="685">
        <v>28909.973079304222</v>
      </c>
      <c r="I1916" s="686" t="s">
        <v>9009</v>
      </c>
      <c r="J1916" s="672" t="s">
        <v>9011</v>
      </c>
      <c r="K1916" s="672" t="s">
        <v>541</v>
      </c>
      <c r="L1916" s="672" t="s">
        <v>9038</v>
      </c>
    </row>
    <row r="1917" spans="1:12" x14ac:dyDescent="0.2">
      <c r="A1917" s="672" t="s">
        <v>220</v>
      </c>
      <c r="B1917" s="672" t="s">
        <v>10381</v>
      </c>
      <c r="C1917" s="672" t="s">
        <v>1109</v>
      </c>
      <c r="D1917" s="672" t="s">
        <v>9139</v>
      </c>
      <c r="E1917" s="745" t="s">
        <v>639</v>
      </c>
      <c r="F1917" s="747">
        <v>2454</v>
      </c>
      <c r="G1917" s="685">
        <v>6.3686935474583306</v>
      </c>
      <c r="H1917" s="685">
        <v>15628.773965462744</v>
      </c>
      <c r="I1917" s="686" t="s">
        <v>9009</v>
      </c>
      <c r="J1917" s="672" t="s">
        <v>9011</v>
      </c>
      <c r="K1917" s="672" t="s">
        <v>541</v>
      </c>
      <c r="L1917" s="672" t="s">
        <v>9038</v>
      </c>
    </row>
    <row r="1918" spans="1:12" x14ac:dyDescent="0.2">
      <c r="A1918" s="672" t="s">
        <v>220</v>
      </c>
      <c r="B1918" s="672" t="s">
        <v>10381</v>
      </c>
      <c r="C1918" s="672" t="s">
        <v>1111</v>
      </c>
      <c r="D1918" s="672" t="s">
        <v>1112</v>
      </c>
      <c r="E1918" s="745" t="s">
        <v>639</v>
      </c>
      <c r="F1918" s="747">
        <v>14292</v>
      </c>
      <c r="G1918" s="685">
        <v>2.2172700303772923</v>
      </c>
      <c r="H1918" s="685">
        <v>31689.22327415226</v>
      </c>
      <c r="I1918" s="686" t="s">
        <v>9009</v>
      </c>
      <c r="J1918" s="672" t="s">
        <v>9011</v>
      </c>
      <c r="K1918" s="672" t="s">
        <v>541</v>
      </c>
      <c r="L1918" s="672" t="s">
        <v>9038</v>
      </c>
    </row>
    <row r="1919" spans="1:12" x14ac:dyDescent="0.2">
      <c r="A1919" s="672" t="s">
        <v>220</v>
      </c>
      <c r="B1919" s="672" t="s">
        <v>10381</v>
      </c>
      <c r="C1919" s="672" t="s">
        <v>1113</v>
      </c>
      <c r="D1919" s="672" t="s">
        <v>1114</v>
      </c>
      <c r="E1919" s="745" t="s">
        <v>639</v>
      </c>
      <c r="F1919" s="747">
        <v>80456</v>
      </c>
      <c r="G1919" s="685">
        <v>2.2862242790810319</v>
      </c>
      <c r="H1919" s="685">
        <v>183940.46059774351</v>
      </c>
      <c r="I1919" s="686" t="s">
        <v>9009</v>
      </c>
      <c r="J1919" s="672" t="s">
        <v>9011</v>
      </c>
      <c r="K1919" s="672" t="s">
        <v>541</v>
      </c>
      <c r="L1919" s="672" t="s">
        <v>9038</v>
      </c>
    </row>
    <row r="1920" spans="1:12" x14ac:dyDescent="0.2">
      <c r="A1920" s="672" t="s">
        <v>220</v>
      </c>
      <c r="B1920" s="672" t="s">
        <v>10381</v>
      </c>
      <c r="C1920" s="672" t="s">
        <v>1122</v>
      </c>
      <c r="D1920" s="672" t="s">
        <v>1123</v>
      </c>
      <c r="E1920" s="745" t="s">
        <v>545</v>
      </c>
      <c r="F1920" s="747">
        <v>1500</v>
      </c>
      <c r="G1920" s="685">
        <v>0.74569773950216922</v>
      </c>
      <c r="H1920" s="685">
        <v>1118.5466092532538</v>
      </c>
      <c r="I1920" s="686" t="s">
        <v>9009</v>
      </c>
      <c r="J1920" s="672" t="s">
        <v>10128</v>
      </c>
      <c r="K1920" s="672" t="s">
        <v>541</v>
      </c>
      <c r="L1920" s="672" t="s">
        <v>8996</v>
      </c>
    </row>
    <row r="1921" spans="1:12" x14ac:dyDescent="0.2">
      <c r="A1921" s="672" t="s">
        <v>220</v>
      </c>
      <c r="B1921" s="672" t="s">
        <v>10381</v>
      </c>
      <c r="C1921" s="672" t="s">
        <v>1124</v>
      </c>
      <c r="D1921" s="672" t="s">
        <v>1125</v>
      </c>
      <c r="E1921" s="745" t="s">
        <v>545</v>
      </c>
      <c r="F1921" s="747">
        <v>5000</v>
      </c>
      <c r="G1921" s="685">
        <v>0.16800000000000001</v>
      </c>
      <c r="H1921" s="685">
        <v>840</v>
      </c>
      <c r="I1921" s="686" t="s">
        <v>9009</v>
      </c>
      <c r="J1921" s="672" t="s">
        <v>10128</v>
      </c>
      <c r="K1921" s="672" t="s">
        <v>541</v>
      </c>
      <c r="L1921" s="672" t="s">
        <v>8996</v>
      </c>
    </row>
    <row r="1922" spans="1:12" x14ac:dyDescent="0.2">
      <c r="A1922" s="672" t="s">
        <v>220</v>
      </c>
      <c r="B1922" s="672" t="s">
        <v>10381</v>
      </c>
      <c r="C1922" s="672" t="s">
        <v>1126</v>
      </c>
      <c r="D1922" s="672" t="s">
        <v>1127</v>
      </c>
      <c r="E1922" s="745" t="s">
        <v>545</v>
      </c>
      <c r="F1922" s="747">
        <v>2800</v>
      </c>
      <c r="G1922" s="685">
        <v>0.17177000000000001</v>
      </c>
      <c r="H1922" s="685">
        <v>480.95600000000002</v>
      </c>
      <c r="I1922" s="686" t="s">
        <v>9009</v>
      </c>
      <c r="J1922" s="672" t="s">
        <v>10128</v>
      </c>
      <c r="K1922" s="672" t="s">
        <v>541</v>
      </c>
      <c r="L1922" s="672" t="s">
        <v>8996</v>
      </c>
    </row>
    <row r="1923" spans="1:12" x14ac:dyDescent="0.2">
      <c r="A1923" s="672" t="s">
        <v>220</v>
      </c>
      <c r="B1923" s="672" t="s">
        <v>10381</v>
      </c>
      <c r="C1923" s="672" t="s">
        <v>1128</v>
      </c>
      <c r="D1923" s="672" t="s">
        <v>1129</v>
      </c>
      <c r="E1923" s="745" t="s">
        <v>545</v>
      </c>
      <c r="F1923" s="747">
        <v>28600</v>
      </c>
      <c r="G1923" s="685">
        <v>0.46477679503795366</v>
      </c>
      <c r="H1923" s="685">
        <v>13292.616338085474</v>
      </c>
      <c r="I1923" s="686" t="s">
        <v>9009</v>
      </c>
      <c r="J1923" s="672" t="s">
        <v>10128</v>
      </c>
      <c r="K1923" s="672" t="s">
        <v>541</v>
      </c>
      <c r="L1923" s="672" t="s">
        <v>8996</v>
      </c>
    </row>
    <row r="1924" spans="1:12" x14ac:dyDescent="0.2">
      <c r="A1924" s="672" t="s">
        <v>220</v>
      </c>
      <c r="B1924" s="672" t="s">
        <v>10381</v>
      </c>
      <c r="C1924" s="672" t="s">
        <v>1130</v>
      </c>
      <c r="D1924" s="672" t="s">
        <v>1131</v>
      </c>
      <c r="E1924" s="745" t="s">
        <v>545</v>
      </c>
      <c r="F1924" s="747">
        <v>14000</v>
      </c>
      <c r="G1924" s="685">
        <v>4.2423225523259056E-2</v>
      </c>
      <c r="H1924" s="685">
        <v>593.92515732562674</v>
      </c>
      <c r="I1924" s="686" t="s">
        <v>9009</v>
      </c>
      <c r="J1924" s="672" t="s">
        <v>10128</v>
      </c>
      <c r="K1924" s="672" t="s">
        <v>541</v>
      </c>
      <c r="L1924" s="672" t="s">
        <v>8996</v>
      </c>
    </row>
    <row r="1925" spans="1:12" x14ac:dyDescent="0.2">
      <c r="A1925" s="672" t="s">
        <v>220</v>
      </c>
      <c r="B1925" s="672" t="s">
        <v>10381</v>
      </c>
      <c r="C1925" s="672" t="s">
        <v>1132</v>
      </c>
      <c r="D1925" s="672" t="s">
        <v>1133</v>
      </c>
      <c r="E1925" s="745" t="s">
        <v>545</v>
      </c>
      <c r="F1925" s="747">
        <v>550</v>
      </c>
      <c r="G1925" s="685">
        <v>0.26982530896707219</v>
      </c>
      <c r="H1925" s="685">
        <v>148.4039199318897</v>
      </c>
      <c r="I1925" s="686" t="s">
        <v>9009</v>
      </c>
      <c r="J1925" s="672" t="s">
        <v>10128</v>
      </c>
      <c r="K1925" s="672" t="s">
        <v>541</v>
      </c>
      <c r="L1925" s="672" t="s">
        <v>8996</v>
      </c>
    </row>
    <row r="1926" spans="1:12" x14ac:dyDescent="0.2">
      <c r="A1926" s="672" t="s">
        <v>220</v>
      </c>
      <c r="B1926" s="672" t="s">
        <v>10381</v>
      </c>
      <c r="C1926" s="672" t="s">
        <v>1134</v>
      </c>
      <c r="D1926" s="672" t="s">
        <v>1135</v>
      </c>
      <c r="E1926" s="745" t="s">
        <v>545</v>
      </c>
      <c r="F1926" s="747">
        <v>8000</v>
      </c>
      <c r="G1926" s="685">
        <v>7.2081642607498053E-2</v>
      </c>
      <c r="H1926" s="685">
        <v>576.65314085998443</v>
      </c>
      <c r="I1926" s="686" t="s">
        <v>9009</v>
      </c>
      <c r="J1926" s="672" t="s">
        <v>10128</v>
      </c>
      <c r="K1926" s="672" t="s">
        <v>541</v>
      </c>
      <c r="L1926" s="672" t="s">
        <v>8996</v>
      </c>
    </row>
    <row r="1927" spans="1:12" x14ac:dyDescent="0.2">
      <c r="A1927" s="672" t="s">
        <v>220</v>
      </c>
      <c r="B1927" s="672" t="s">
        <v>10381</v>
      </c>
      <c r="C1927" s="672" t="s">
        <v>1136</v>
      </c>
      <c r="D1927" s="672" t="s">
        <v>1137</v>
      </c>
      <c r="E1927" s="745" t="s">
        <v>545</v>
      </c>
      <c r="F1927" s="747">
        <v>97500</v>
      </c>
      <c r="G1927" s="685">
        <v>0.12509796213052274</v>
      </c>
      <c r="H1927" s="685">
        <v>12197.051307725967</v>
      </c>
      <c r="I1927" s="686" t="s">
        <v>9009</v>
      </c>
      <c r="J1927" s="672" t="s">
        <v>10128</v>
      </c>
      <c r="K1927" s="672" t="s">
        <v>541</v>
      </c>
      <c r="L1927" s="672" t="s">
        <v>8996</v>
      </c>
    </row>
    <row r="1928" spans="1:12" x14ac:dyDescent="0.2">
      <c r="A1928" s="672" t="s">
        <v>220</v>
      </c>
      <c r="B1928" s="672" t="s">
        <v>10381</v>
      </c>
      <c r="C1928" s="672" t="s">
        <v>1138</v>
      </c>
      <c r="D1928" s="672" t="s">
        <v>1139</v>
      </c>
      <c r="E1928" s="745" t="s">
        <v>545</v>
      </c>
      <c r="F1928" s="747">
        <v>126000</v>
      </c>
      <c r="G1928" s="685">
        <v>0.12030651236000431</v>
      </c>
      <c r="H1928" s="685">
        <v>15158.620557360542</v>
      </c>
      <c r="I1928" s="686" t="s">
        <v>9009</v>
      </c>
      <c r="J1928" s="672" t="s">
        <v>10128</v>
      </c>
      <c r="K1928" s="672" t="s">
        <v>541</v>
      </c>
      <c r="L1928" s="672" t="s">
        <v>8996</v>
      </c>
    </row>
    <row r="1929" spans="1:12" x14ac:dyDescent="0.2">
      <c r="A1929" s="672" t="s">
        <v>220</v>
      </c>
      <c r="B1929" s="672" t="s">
        <v>10381</v>
      </c>
      <c r="C1929" s="672" t="s">
        <v>1140</v>
      </c>
      <c r="D1929" s="672" t="s">
        <v>1141</v>
      </c>
      <c r="E1929" s="745" t="s">
        <v>545</v>
      </c>
      <c r="F1929" s="747">
        <v>39000</v>
      </c>
      <c r="G1929" s="685">
        <v>9.9137774151080577E-2</v>
      </c>
      <c r="H1929" s="685">
        <v>3866.3731918921426</v>
      </c>
      <c r="I1929" s="686" t="s">
        <v>9009</v>
      </c>
      <c r="J1929" s="672" t="s">
        <v>10128</v>
      </c>
      <c r="K1929" s="672" t="s">
        <v>541</v>
      </c>
      <c r="L1929" s="672" t="s">
        <v>8996</v>
      </c>
    </row>
    <row r="1930" spans="1:12" x14ac:dyDescent="0.2">
      <c r="A1930" s="672" t="s">
        <v>220</v>
      </c>
      <c r="B1930" s="672" t="s">
        <v>10381</v>
      </c>
      <c r="C1930" s="672" t="s">
        <v>1142</v>
      </c>
      <c r="D1930" s="672" t="s">
        <v>1143</v>
      </c>
      <c r="E1930" s="745" t="s">
        <v>545</v>
      </c>
      <c r="F1930" s="747">
        <v>39000</v>
      </c>
      <c r="G1930" s="685">
        <v>0.12262080362346872</v>
      </c>
      <c r="H1930" s="685">
        <v>4782.2113413152802</v>
      </c>
      <c r="I1930" s="686" t="s">
        <v>9009</v>
      </c>
      <c r="J1930" s="672" t="s">
        <v>10128</v>
      </c>
      <c r="K1930" s="672" t="s">
        <v>541</v>
      </c>
      <c r="L1930" s="672" t="s">
        <v>8996</v>
      </c>
    </row>
    <row r="1931" spans="1:12" x14ac:dyDescent="0.2">
      <c r="A1931" s="672" t="s">
        <v>220</v>
      </c>
      <c r="B1931" s="672" t="s">
        <v>10381</v>
      </c>
      <c r="C1931" s="672" t="s">
        <v>1144</v>
      </c>
      <c r="D1931" s="672" t="s">
        <v>1145</v>
      </c>
      <c r="E1931" s="745" t="s">
        <v>545</v>
      </c>
      <c r="F1931" s="747">
        <v>8200</v>
      </c>
      <c r="G1931" s="685">
        <v>6.2E-2</v>
      </c>
      <c r="H1931" s="685">
        <v>508.4</v>
      </c>
      <c r="I1931" s="686" t="s">
        <v>9009</v>
      </c>
      <c r="J1931" s="672" t="s">
        <v>10128</v>
      </c>
      <c r="K1931" s="672" t="s">
        <v>541</v>
      </c>
      <c r="L1931" s="672" t="s">
        <v>8996</v>
      </c>
    </row>
    <row r="1932" spans="1:12" x14ac:dyDescent="0.2">
      <c r="A1932" s="672" t="s">
        <v>220</v>
      </c>
      <c r="B1932" s="672" t="s">
        <v>10381</v>
      </c>
      <c r="C1932" s="672" t="s">
        <v>1146</v>
      </c>
      <c r="D1932" s="672" t="s">
        <v>1147</v>
      </c>
      <c r="E1932" s="745" t="s">
        <v>545</v>
      </c>
      <c r="F1932" s="747">
        <v>1100</v>
      </c>
      <c r="G1932" s="685">
        <v>0.04</v>
      </c>
      <c r="H1932" s="685">
        <v>44</v>
      </c>
      <c r="I1932" s="686" t="s">
        <v>9009</v>
      </c>
      <c r="J1932" s="672" t="s">
        <v>10128</v>
      </c>
      <c r="K1932" s="672" t="s">
        <v>541</v>
      </c>
      <c r="L1932" s="672" t="s">
        <v>8996</v>
      </c>
    </row>
    <row r="1933" spans="1:12" x14ac:dyDescent="0.2">
      <c r="A1933" s="672" t="s">
        <v>220</v>
      </c>
      <c r="B1933" s="672" t="s">
        <v>10381</v>
      </c>
      <c r="C1933" s="672" t="s">
        <v>1148</v>
      </c>
      <c r="D1933" s="672" t="s">
        <v>1149</v>
      </c>
      <c r="E1933" s="745" t="s">
        <v>545</v>
      </c>
      <c r="F1933" s="747">
        <v>58500</v>
      </c>
      <c r="G1933" s="685">
        <v>0.12203063938266952</v>
      </c>
      <c r="H1933" s="685">
        <v>7138.7924038861665</v>
      </c>
      <c r="I1933" s="686" t="s">
        <v>9009</v>
      </c>
      <c r="J1933" s="672" t="s">
        <v>10128</v>
      </c>
      <c r="K1933" s="672" t="s">
        <v>541</v>
      </c>
      <c r="L1933" s="672" t="s">
        <v>8996</v>
      </c>
    </row>
    <row r="1934" spans="1:12" x14ac:dyDescent="0.2">
      <c r="A1934" s="672" t="s">
        <v>220</v>
      </c>
      <c r="B1934" s="672" t="s">
        <v>10381</v>
      </c>
      <c r="C1934" s="672" t="s">
        <v>1150</v>
      </c>
      <c r="D1934" s="672" t="s">
        <v>1151</v>
      </c>
      <c r="E1934" s="745" t="s">
        <v>545</v>
      </c>
      <c r="F1934" s="747">
        <v>39000</v>
      </c>
      <c r="G1934" s="685">
        <v>9.294162627161931E-2</v>
      </c>
      <c r="H1934" s="685">
        <v>3624.7234245931531</v>
      </c>
      <c r="I1934" s="686" t="s">
        <v>9009</v>
      </c>
      <c r="J1934" s="672" t="s">
        <v>10128</v>
      </c>
      <c r="K1934" s="672" t="s">
        <v>541</v>
      </c>
      <c r="L1934" s="672" t="s">
        <v>8996</v>
      </c>
    </row>
    <row r="1935" spans="1:12" x14ac:dyDescent="0.2">
      <c r="A1935" s="672" t="s">
        <v>220</v>
      </c>
      <c r="B1935" s="672" t="s">
        <v>10381</v>
      </c>
      <c r="C1935" s="672" t="s">
        <v>1152</v>
      </c>
      <c r="D1935" s="672" t="s">
        <v>1153</v>
      </c>
      <c r="E1935" s="745" t="s">
        <v>545</v>
      </c>
      <c r="F1935" s="747">
        <v>13000</v>
      </c>
      <c r="G1935" s="685">
        <v>0.45058882505142306</v>
      </c>
      <c r="H1935" s="685">
        <v>5857.6547256684999</v>
      </c>
      <c r="I1935" s="686" t="s">
        <v>9009</v>
      </c>
      <c r="J1935" s="672" t="s">
        <v>10128</v>
      </c>
      <c r="K1935" s="672" t="s">
        <v>541</v>
      </c>
      <c r="L1935" s="672" t="s">
        <v>8996</v>
      </c>
    </row>
    <row r="1936" spans="1:12" x14ac:dyDescent="0.2">
      <c r="A1936" s="672" t="s">
        <v>220</v>
      </c>
      <c r="B1936" s="672" t="s">
        <v>10381</v>
      </c>
      <c r="C1936" s="672" t="s">
        <v>1154</v>
      </c>
      <c r="D1936" s="672" t="s">
        <v>1155</v>
      </c>
      <c r="E1936" s="745" t="s">
        <v>545</v>
      </c>
      <c r="F1936" s="747">
        <v>4000</v>
      </c>
      <c r="G1936" s="685">
        <v>0.45058882505142306</v>
      </c>
      <c r="H1936" s="685">
        <v>1802.3553002056922</v>
      </c>
      <c r="I1936" s="686" t="s">
        <v>9009</v>
      </c>
      <c r="J1936" s="672" t="s">
        <v>10128</v>
      </c>
      <c r="K1936" s="672" t="s">
        <v>541</v>
      </c>
      <c r="L1936" s="672" t="s">
        <v>8996</v>
      </c>
    </row>
    <row r="1937" spans="1:12" x14ac:dyDescent="0.2">
      <c r="A1937" s="672" t="s">
        <v>220</v>
      </c>
      <c r="B1937" s="672" t="s">
        <v>10381</v>
      </c>
      <c r="C1937" s="672" t="s">
        <v>1156</v>
      </c>
      <c r="D1937" s="672" t="s">
        <v>1157</v>
      </c>
      <c r="E1937" s="745" t="s">
        <v>545</v>
      </c>
      <c r="F1937" s="747">
        <v>39000</v>
      </c>
      <c r="G1937" s="685">
        <v>0.17979554812799184</v>
      </c>
      <c r="H1937" s="685">
        <v>7012.0263769916819</v>
      </c>
      <c r="I1937" s="686" t="s">
        <v>9009</v>
      </c>
      <c r="J1937" s="672" t="s">
        <v>10128</v>
      </c>
      <c r="K1937" s="672" t="s">
        <v>541</v>
      </c>
      <c r="L1937" s="672" t="s">
        <v>8996</v>
      </c>
    </row>
    <row r="1938" spans="1:12" x14ac:dyDescent="0.2">
      <c r="A1938" s="672" t="s">
        <v>220</v>
      </c>
      <c r="B1938" s="672" t="s">
        <v>10381</v>
      </c>
      <c r="C1938" s="672" t="s">
        <v>1158</v>
      </c>
      <c r="D1938" s="672" t="s">
        <v>1159</v>
      </c>
      <c r="E1938" s="745" t="s">
        <v>545</v>
      </c>
      <c r="F1938" s="747">
        <v>36960</v>
      </c>
      <c r="G1938" s="685">
        <v>1.0299507058430681</v>
      </c>
      <c r="H1938" s="685">
        <v>38066.978087959797</v>
      </c>
      <c r="I1938" s="686" t="s">
        <v>9009</v>
      </c>
      <c r="J1938" s="672" t="s">
        <v>10128</v>
      </c>
      <c r="K1938" s="672" t="s">
        <v>541</v>
      </c>
      <c r="L1938" s="672" t="s">
        <v>8996</v>
      </c>
    </row>
    <row r="1939" spans="1:12" x14ac:dyDescent="0.2">
      <c r="A1939" s="672" t="s">
        <v>220</v>
      </c>
      <c r="B1939" s="672" t="s">
        <v>10381</v>
      </c>
      <c r="C1939" s="672" t="s">
        <v>1160</v>
      </c>
      <c r="D1939" s="672" t="s">
        <v>1161</v>
      </c>
      <c r="E1939" s="745" t="s">
        <v>545</v>
      </c>
      <c r="F1939" s="747">
        <v>6000</v>
      </c>
      <c r="G1939" s="685">
        <v>7.2081642607498053E-2</v>
      </c>
      <c r="H1939" s="685">
        <v>432.48985564498832</v>
      </c>
      <c r="I1939" s="686" t="s">
        <v>9009</v>
      </c>
      <c r="J1939" s="672" t="s">
        <v>10128</v>
      </c>
      <c r="K1939" s="672" t="s">
        <v>541</v>
      </c>
      <c r="L1939" s="672" t="s">
        <v>8996</v>
      </c>
    </row>
    <row r="1940" spans="1:12" x14ac:dyDescent="0.2">
      <c r="A1940" s="672" t="s">
        <v>220</v>
      </c>
      <c r="B1940" s="672" t="s">
        <v>10381</v>
      </c>
      <c r="C1940" s="672" t="s">
        <v>1162</v>
      </c>
      <c r="D1940" s="672" t="s">
        <v>1163</v>
      </c>
      <c r="E1940" s="745" t="s">
        <v>545</v>
      </c>
      <c r="F1940" s="747">
        <v>110500</v>
      </c>
      <c r="G1940" s="685">
        <v>0.11979794529420784</v>
      </c>
      <c r="H1940" s="685">
        <v>13237.672955009966</v>
      </c>
      <c r="I1940" s="686" t="s">
        <v>9009</v>
      </c>
      <c r="J1940" s="672" t="s">
        <v>10128</v>
      </c>
      <c r="K1940" s="672" t="s">
        <v>541</v>
      </c>
      <c r="L1940" s="672" t="s">
        <v>8996</v>
      </c>
    </row>
    <row r="1941" spans="1:12" x14ac:dyDescent="0.2">
      <c r="A1941" s="672" t="s">
        <v>220</v>
      </c>
      <c r="B1941" s="672" t="s">
        <v>10381</v>
      </c>
      <c r="C1941" s="672" t="s">
        <v>1164</v>
      </c>
      <c r="D1941" s="672" t="s">
        <v>1165</v>
      </c>
      <c r="E1941" s="745" t="s">
        <v>545</v>
      </c>
      <c r="F1941" s="747">
        <v>40000</v>
      </c>
      <c r="G1941" s="685">
        <v>1.2058452589383868</v>
      </c>
      <c r="H1941" s="685">
        <v>48233.810357535469</v>
      </c>
      <c r="I1941" s="686" t="s">
        <v>9009</v>
      </c>
      <c r="J1941" s="672" t="s">
        <v>10128</v>
      </c>
      <c r="K1941" s="672" t="s">
        <v>541</v>
      </c>
      <c r="L1941" s="672" t="s">
        <v>8996</v>
      </c>
    </row>
    <row r="1942" spans="1:12" x14ac:dyDescent="0.2">
      <c r="A1942" s="672" t="s">
        <v>220</v>
      </c>
      <c r="B1942" s="672" t="s">
        <v>10381</v>
      </c>
      <c r="C1942" s="672" t="s">
        <v>1166</v>
      </c>
      <c r="D1942" s="672" t="s">
        <v>1167</v>
      </c>
      <c r="E1942" s="745" t="s">
        <v>545</v>
      </c>
      <c r="F1942" s="747">
        <v>82500</v>
      </c>
      <c r="G1942" s="685">
        <v>0.3353815087095105</v>
      </c>
      <c r="H1942" s="685">
        <v>27668.974468534616</v>
      </c>
      <c r="I1942" s="686" t="s">
        <v>9009</v>
      </c>
      <c r="J1942" s="672" t="s">
        <v>10128</v>
      </c>
      <c r="K1942" s="672" t="s">
        <v>541</v>
      </c>
      <c r="L1942" s="672" t="s">
        <v>8996</v>
      </c>
    </row>
    <row r="1943" spans="1:12" x14ac:dyDescent="0.2">
      <c r="A1943" s="672" t="s">
        <v>220</v>
      </c>
      <c r="B1943" s="672" t="s">
        <v>10381</v>
      </c>
      <c r="C1943" s="672" t="s">
        <v>1168</v>
      </c>
      <c r="D1943" s="672" t="s">
        <v>1169</v>
      </c>
      <c r="E1943" s="745" t="s">
        <v>545</v>
      </c>
      <c r="F1943" s="747">
        <v>104000</v>
      </c>
      <c r="G1943" s="685">
        <v>0.12701501758475559</v>
      </c>
      <c r="H1943" s="685">
        <v>13209.561828814582</v>
      </c>
      <c r="I1943" s="686" t="s">
        <v>9009</v>
      </c>
      <c r="J1943" s="672" t="s">
        <v>10128</v>
      </c>
      <c r="K1943" s="672" t="s">
        <v>541</v>
      </c>
      <c r="L1943" s="672" t="s">
        <v>8996</v>
      </c>
    </row>
    <row r="1944" spans="1:12" x14ac:dyDescent="0.2">
      <c r="A1944" s="672" t="s">
        <v>220</v>
      </c>
      <c r="B1944" s="672" t="s">
        <v>10381</v>
      </c>
      <c r="C1944" s="672" t="s">
        <v>1170</v>
      </c>
      <c r="D1944" s="672" t="s">
        <v>1171</v>
      </c>
      <c r="E1944" s="745" t="s">
        <v>545</v>
      </c>
      <c r="F1944" s="747">
        <v>2300</v>
      </c>
      <c r="G1944" s="685">
        <v>0.93449681548994601</v>
      </c>
      <c r="H1944" s="685">
        <v>2149.3426756268759</v>
      </c>
      <c r="I1944" s="686" t="s">
        <v>9009</v>
      </c>
      <c r="J1944" s="672" t="s">
        <v>10128</v>
      </c>
      <c r="K1944" s="672" t="s">
        <v>541</v>
      </c>
      <c r="L1944" s="672" t="s">
        <v>8996</v>
      </c>
    </row>
    <row r="1945" spans="1:12" x14ac:dyDescent="0.2">
      <c r="A1945" s="672" t="s">
        <v>220</v>
      </c>
      <c r="B1945" s="672" t="s">
        <v>10381</v>
      </c>
      <c r="C1945" s="672" t="s">
        <v>1172</v>
      </c>
      <c r="D1945" s="672" t="s">
        <v>1173</v>
      </c>
      <c r="E1945" s="745" t="s">
        <v>545</v>
      </c>
      <c r="F1945" s="747">
        <v>17000</v>
      </c>
      <c r="G1945" s="685">
        <v>0.45292966504642573</v>
      </c>
      <c r="H1945" s="685">
        <v>7699.8043057892373</v>
      </c>
      <c r="I1945" s="686" t="s">
        <v>9009</v>
      </c>
      <c r="J1945" s="672" t="s">
        <v>10128</v>
      </c>
      <c r="K1945" s="672" t="s">
        <v>541</v>
      </c>
      <c r="L1945" s="672" t="s">
        <v>8996</v>
      </c>
    </row>
    <row r="1946" spans="1:12" x14ac:dyDescent="0.2">
      <c r="A1946" s="672" t="s">
        <v>220</v>
      </c>
      <c r="B1946" s="672" t="s">
        <v>10381</v>
      </c>
      <c r="C1946" s="672" t="s">
        <v>7536</v>
      </c>
      <c r="D1946" s="672" t="s">
        <v>7537</v>
      </c>
      <c r="E1946" s="745" t="s">
        <v>545</v>
      </c>
      <c r="F1946" s="747">
        <v>30000</v>
      </c>
      <c r="G1946" s="685">
        <v>0.42606129206349203</v>
      </c>
      <c r="H1946" s="685">
        <v>12781.838761904761</v>
      </c>
      <c r="I1946" s="686" t="s">
        <v>9009</v>
      </c>
      <c r="J1946" s="672" t="s">
        <v>10128</v>
      </c>
      <c r="K1946" s="672" t="s">
        <v>541</v>
      </c>
      <c r="L1946" s="672" t="s">
        <v>8996</v>
      </c>
    </row>
    <row r="1947" spans="1:12" x14ac:dyDescent="0.2">
      <c r="A1947" s="672" t="s">
        <v>220</v>
      </c>
      <c r="B1947" s="672" t="s">
        <v>10381</v>
      </c>
      <c r="C1947" s="672" t="s">
        <v>9510</v>
      </c>
      <c r="D1947" s="672" t="s">
        <v>9511</v>
      </c>
      <c r="E1947" s="745" t="s">
        <v>545</v>
      </c>
      <c r="F1947" s="747">
        <v>30000</v>
      </c>
      <c r="G1947" s="685">
        <v>0.49457948333333335</v>
      </c>
      <c r="H1947" s="685">
        <v>14837.3845</v>
      </c>
      <c r="I1947" s="686" t="s">
        <v>9009</v>
      </c>
      <c r="J1947" s="672" t="s">
        <v>10128</v>
      </c>
      <c r="K1947" s="672" t="s">
        <v>541</v>
      </c>
      <c r="L1947" s="672" t="s">
        <v>8996</v>
      </c>
    </row>
    <row r="1948" spans="1:12" x14ac:dyDescent="0.2">
      <c r="A1948" s="672" t="s">
        <v>220</v>
      </c>
      <c r="B1948" s="672" t="s">
        <v>10381</v>
      </c>
      <c r="C1948" s="672" t="s">
        <v>1180</v>
      </c>
      <c r="D1948" s="672" t="s">
        <v>1181</v>
      </c>
      <c r="E1948" s="745" t="s">
        <v>545</v>
      </c>
      <c r="F1948" s="747">
        <v>53000</v>
      </c>
      <c r="G1948" s="685">
        <v>8.9777293041835862E-2</v>
      </c>
      <c r="H1948" s="685">
        <v>4758.1965312173006</v>
      </c>
      <c r="I1948" s="686" t="s">
        <v>9009</v>
      </c>
      <c r="J1948" s="672" t="s">
        <v>10128</v>
      </c>
      <c r="K1948" s="672" t="s">
        <v>541</v>
      </c>
      <c r="L1948" s="672" t="s">
        <v>8996</v>
      </c>
    </row>
    <row r="1949" spans="1:12" x14ac:dyDescent="0.2">
      <c r="A1949" s="672" t="s">
        <v>220</v>
      </c>
      <c r="B1949" s="672" t="s">
        <v>10381</v>
      </c>
      <c r="C1949" s="672" t="s">
        <v>1182</v>
      </c>
      <c r="D1949" s="672" t="s">
        <v>1183</v>
      </c>
      <c r="E1949" s="745" t="s">
        <v>545</v>
      </c>
      <c r="F1949" s="747">
        <v>8000</v>
      </c>
      <c r="G1949" s="685">
        <v>5.0160191444765453E-2</v>
      </c>
      <c r="H1949" s="685">
        <v>401.28153155812362</v>
      </c>
      <c r="I1949" s="686" t="s">
        <v>9009</v>
      </c>
      <c r="J1949" s="672" t="s">
        <v>10128</v>
      </c>
      <c r="K1949" s="672" t="s">
        <v>541</v>
      </c>
      <c r="L1949" s="672" t="s">
        <v>8996</v>
      </c>
    </row>
    <row r="1950" spans="1:12" x14ac:dyDescent="0.2">
      <c r="A1950" s="672" t="s">
        <v>220</v>
      </c>
      <c r="B1950" s="672" t="s">
        <v>10381</v>
      </c>
      <c r="C1950" s="672" t="s">
        <v>1184</v>
      </c>
      <c r="D1950" s="672" t="s">
        <v>1185</v>
      </c>
      <c r="E1950" s="745" t="s">
        <v>545</v>
      </c>
      <c r="F1950" s="747">
        <v>77500</v>
      </c>
      <c r="G1950" s="685">
        <v>0.17028846393360689</v>
      </c>
      <c r="H1950" s="685">
        <v>13197.355954854535</v>
      </c>
      <c r="I1950" s="686" t="s">
        <v>9009</v>
      </c>
      <c r="J1950" s="672" t="s">
        <v>10128</v>
      </c>
      <c r="K1950" s="672" t="s">
        <v>541</v>
      </c>
      <c r="L1950" s="672" t="s">
        <v>8996</v>
      </c>
    </row>
    <row r="1951" spans="1:12" x14ac:dyDescent="0.2">
      <c r="A1951" s="672" t="s">
        <v>220</v>
      </c>
      <c r="B1951" s="672" t="s">
        <v>10381</v>
      </c>
      <c r="C1951" s="672" t="s">
        <v>1186</v>
      </c>
      <c r="D1951" s="672" t="s">
        <v>1187</v>
      </c>
      <c r="E1951" s="745" t="s">
        <v>545</v>
      </c>
      <c r="F1951" s="747">
        <v>48000</v>
      </c>
      <c r="G1951" s="685">
        <v>0.11885412855675345</v>
      </c>
      <c r="H1951" s="685">
        <v>5704.9981707241659</v>
      </c>
      <c r="I1951" s="686" t="s">
        <v>9009</v>
      </c>
      <c r="J1951" s="672" t="s">
        <v>10128</v>
      </c>
      <c r="K1951" s="672" t="s">
        <v>541</v>
      </c>
      <c r="L1951" s="672" t="s">
        <v>8996</v>
      </c>
    </row>
    <row r="1952" spans="1:12" x14ac:dyDescent="0.2">
      <c r="A1952" s="672" t="s">
        <v>220</v>
      </c>
      <c r="B1952" s="672" t="s">
        <v>10381</v>
      </c>
      <c r="C1952" s="672" t="s">
        <v>1188</v>
      </c>
      <c r="D1952" s="672" t="s">
        <v>1189</v>
      </c>
      <c r="E1952" s="745" t="s">
        <v>545</v>
      </c>
      <c r="F1952" s="747">
        <v>48000</v>
      </c>
      <c r="G1952" s="685">
        <v>0.11390237598642186</v>
      </c>
      <c r="H1952" s="685">
        <v>5467.314047348249</v>
      </c>
      <c r="I1952" s="686" t="s">
        <v>9009</v>
      </c>
      <c r="J1952" s="672" t="s">
        <v>10128</v>
      </c>
      <c r="K1952" s="672" t="s">
        <v>541</v>
      </c>
      <c r="L1952" s="672" t="s">
        <v>8996</v>
      </c>
    </row>
    <row r="1953" spans="1:12" x14ac:dyDescent="0.2">
      <c r="A1953" s="672" t="s">
        <v>220</v>
      </c>
      <c r="B1953" s="672" t="s">
        <v>10381</v>
      </c>
      <c r="C1953" s="672" t="s">
        <v>1190</v>
      </c>
      <c r="D1953" s="672" t="s">
        <v>1191</v>
      </c>
      <c r="E1953" s="745" t="s">
        <v>545</v>
      </c>
      <c r="F1953" s="747">
        <v>42000</v>
      </c>
      <c r="G1953" s="685">
        <v>0.12094268105057562</v>
      </c>
      <c r="H1953" s="685">
        <v>5079.5926041241764</v>
      </c>
      <c r="I1953" s="686" t="s">
        <v>9009</v>
      </c>
      <c r="J1953" s="672" t="s">
        <v>10128</v>
      </c>
      <c r="K1953" s="672" t="s">
        <v>541</v>
      </c>
      <c r="L1953" s="672" t="s">
        <v>8996</v>
      </c>
    </row>
    <row r="1954" spans="1:12" x14ac:dyDescent="0.2">
      <c r="A1954" s="672" t="s">
        <v>220</v>
      </c>
      <c r="B1954" s="672" t="s">
        <v>10381</v>
      </c>
      <c r="C1954" s="672" t="s">
        <v>1192</v>
      </c>
      <c r="D1954" s="672" t="s">
        <v>1193</v>
      </c>
      <c r="E1954" s="745" t="s">
        <v>545</v>
      </c>
      <c r="F1954" s="747">
        <v>900</v>
      </c>
      <c r="G1954" s="685">
        <v>1.5958152173460489</v>
      </c>
      <c r="H1954" s="685">
        <v>1436.2336956114441</v>
      </c>
      <c r="I1954" s="686" t="s">
        <v>9009</v>
      </c>
      <c r="J1954" s="672" t="s">
        <v>10128</v>
      </c>
      <c r="K1954" s="672" t="s">
        <v>541</v>
      </c>
      <c r="L1954" s="672" t="s">
        <v>8996</v>
      </c>
    </row>
    <row r="1955" spans="1:12" x14ac:dyDescent="0.2">
      <c r="A1955" s="672" t="s">
        <v>220</v>
      </c>
      <c r="B1955" s="672" t="s">
        <v>10381</v>
      </c>
      <c r="C1955" s="672" t="s">
        <v>1194</v>
      </c>
      <c r="D1955" s="672" t="s">
        <v>1195</v>
      </c>
      <c r="E1955" s="745" t="s">
        <v>545</v>
      </c>
      <c r="F1955" s="747">
        <v>900</v>
      </c>
      <c r="G1955" s="685">
        <v>1.5899074534561191</v>
      </c>
      <c r="H1955" s="685">
        <v>1430.9167081105072</v>
      </c>
      <c r="I1955" s="686" t="s">
        <v>9009</v>
      </c>
      <c r="J1955" s="672" t="s">
        <v>10128</v>
      </c>
      <c r="K1955" s="672" t="s">
        <v>541</v>
      </c>
      <c r="L1955" s="672" t="s">
        <v>8996</v>
      </c>
    </row>
    <row r="1956" spans="1:12" x14ac:dyDescent="0.2">
      <c r="A1956" s="672" t="s">
        <v>220</v>
      </c>
      <c r="B1956" s="672" t="s">
        <v>10381</v>
      </c>
      <c r="C1956" s="672" t="s">
        <v>1196</v>
      </c>
      <c r="D1956" s="672" t="s">
        <v>1197</v>
      </c>
      <c r="E1956" s="745" t="s">
        <v>545</v>
      </c>
      <c r="F1956" s="747">
        <v>3850</v>
      </c>
      <c r="G1956" s="685">
        <v>0.30982538621643413</v>
      </c>
      <c r="H1956" s="685">
        <v>1192.8277369332714</v>
      </c>
      <c r="I1956" s="686" t="s">
        <v>9009</v>
      </c>
      <c r="J1956" s="672" t="s">
        <v>10128</v>
      </c>
      <c r="K1956" s="672" t="s">
        <v>541</v>
      </c>
      <c r="L1956" s="672" t="s">
        <v>8996</v>
      </c>
    </row>
    <row r="1957" spans="1:12" x14ac:dyDescent="0.2">
      <c r="A1957" s="672" t="s">
        <v>220</v>
      </c>
      <c r="B1957" s="672" t="s">
        <v>10381</v>
      </c>
      <c r="C1957" s="672" t="s">
        <v>1198</v>
      </c>
      <c r="D1957" s="672" t="s">
        <v>1199</v>
      </c>
      <c r="E1957" s="745" t="s">
        <v>545</v>
      </c>
      <c r="F1957" s="747">
        <v>3850</v>
      </c>
      <c r="G1957" s="685">
        <v>0.31258975071171191</v>
      </c>
      <c r="H1957" s="685">
        <v>1203.4705402400909</v>
      </c>
      <c r="I1957" s="686" t="s">
        <v>9009</v>
      </c>
      <c r="J1957" s="672" t="s">
        <v>10128</v>
      </c>
      <c r="K1957" s="672" t="s">
        <v>541</v>
      </c>
      <c r="L1957" s="672" t="s">
        <v>8996</v>
      </c>
    </row>
    <row r="1958" spans="1:12" x14ac:dyDescent="0.2">
      <c r="A1958" s="672" t="s">
        <v>220</v>
      </c>
      <c r="B1958" s="672" t="s">
        <v>10381</v>
      </c>
      <c r="C1958" s="672" t="s">
        <v>1200</v>
      </c>
      <c r="D1958" s="672" t="s">
        <v>1201</v>
      </c>
      <c r="E1958" s="745" t="s">
        <v>545</v>
      </c>
      <c r="F1958" s="747">
        <v>1650</v>
      </c>
      <c r="G1958" s="685">
        <v>0.19247513901472693</v>
      </c>
      <c r="H1958" s="685">
        <v>317.58397937429942</v>
      </c>
      <c r="I1958" s="686" t="s">
        <v>9009</v>
      </c>
      <c r="J1958" s="672" t="s">
        <v>10128</v>
      </c>
      <c r="K1958" s="672" t="s">
        <v>541</v>
      </c>
      <c r="L1958" s="672" t="s">
        <v>8996</v>
      </c>
    </row>
    <row r="1959" spans="1:12" x14ac:dyDescent="0.2">
      <c r="A1959" s="672" t="s">
        <v>220</v>
      </c>
      <c r="B1959" s="672" t="s">
        <v>10381</v>
      </c>
      <c r="C1959" s="672" t="s">
        <v>1202</v>
      </c>
      <c r="D1959" s="672" t="s">
        <v>1203</v>
      </c>
      <c r="E1959" s="745" t="s">
        <v>545</v>
      </c>
      <c r="F1959" s="747">
        <v>1100</v>
      </c>
      <c r="G1959" s="685">
        <v>0.19247513901472693</v>
      </c>
      <c r="H1959" s="685">
        <v>211.72265291619962</v>
      </c>
      <c r="I1959" s="686" t="s">
        <v>9009</v>
      </c>
      <c r="J1959" s="672" t="s">
        <v>10128</v>
      </c>
      <c r="K1959" s="672" t="s">
        <v>541</v>
      </c>
      <c r="L1959" s="672" t="s">
        <v>8996</v>
      </c>
    </row>
    <row r="1960" spans="1:12" x14ac:dyDescent="0.2">
      <c r="A1960" s="672" t="s">
        <v>220</v>
      </c>
      <c r="B1960" s="672" t="s">
        <v>10381</v>
      </c>
      <c r="C1960" s="672" t="s">
        <v>1204</v>
      </c>
      <c r="D1960" s="672" t="s">
        <v>1205</v>
      </c>
      <c r="E1960" s="745" t="s">
        <v>545</v>
      </c>
      <c r="F1960" s="747">
        <v>112000</v>
      </c>
      <c r="G1960" s="685">
        <v>3.8989078590165038E-2</v>
      </c>
      <c r="H1960" s="685">
        <v>4366.776802098484</v>
      </c>
      <c r="I1960" s="686" t="s">
        <v>9009</v>
      </c>
      <c r="J1960" s="672" t="s">
        <v>10128</v>
      </c>
      <c r="K1960" s="672" t="s">
        <v>541</v>
      </c>
      <c r="L1960" s="672" t="s">
        <v>8996</v>
      </c>
    </row>
    <row r="1961" spans="1:12" x14ac:dyDescent="0.2">
      <c r="A1961" s="672" t="s">
        <v>220</v>
      </c>
      <c r="B1961" s="672" t="s">
        <v>10381</v>
      </c>
      <c r="C1961" s="672" t="s">
        <v>1206</v>
      </c>
      <c r="D1961" s="672" t="s">
        <v>1207</v>
      </c>
      <c r="E1961" s="745" t="s">
        <v>545</v>
      </c>
      <c r="F1961" s="747">
        <v>42000</v>
      </c>
      <c r="G1961" s="685">
        <v>2.9202713512210866E-2</v>
      </c>
      <c r="H1961" s="685">
        <v>1226.5139675128564</v>
      </c>
      <c r="I1961" s="686" t="s">
        <v>9009</v>
      </c>
      <c r="J1961" s="672" t="s">
        <v>10128</v>
      </c>
      <c r="K1961" s="672" t="s">
        <v>541</v>
      </c>
      <c r="L1961" s="672" t="s">
        <v>8996</v>
      </c>
    </row>
    <row r="1962" spans="1:12" x14ac:dyDescent="0.2">
      <c r="A1962" s="672" t="s">
        <v>220</v>
      </c>
      <c r="B1962" s="672" t="s">
        <v>10381</v>
      </c>
      <c r="C1962" s="672" t="s">
        <v>1212</v>
      </c>
      <c r="D1962" s="672" t="s">
        <v>1213</v>
      </c>
      <c r="E1962" s="745" t="s">
        <v>545</v>
      </c>
      <c r="F1962" s="747">
        <v>31500</v>
      </c>
      <c r="G1962" s="685">
        <v>0.02</v>
      </c>
      <c r="H1962" s="685">
        <v>630</v>
      </c>
      <c r="I1962" s="686" t="s">
        <v>9009</v>
      </c>
      <c r="J1962" s="672" t="s">
        <v>10128</v>
      </c>
      <c r="K1962" s="672" t="s">
        <v>541</v>
      </c>
      <c r="L1962" s="672" t="s">
        <v>8996</v>
      </c>
    </row>
    <row r="1963" spans="1:12" x14ac:dyDescent="0.2">
      <c r="A1963" s="672" t="s">
        <v>220</v>
      </c>
      <c r="B1963" s="672" t="s">
        <v>10381</v>
      </c>
      <c r="C1963" s="672" t="s">
        <v>1214</v>
      </c>
      <c r="D1963" s="672" t="s">
        <v>1215</v>
      </c>
      <c r="E1963" s="745" t="s">
        <v>545</v>
      </c>
      <c r="F1963" s="747">
        <v>56000</v>
      </c>
      <c r="G1963" s="685">
        <v>2.9252832322886984E-2</v>
      </c>
      <c r="H1963" s="685">
        <v>1638.1586100816712</v>
      </c>
      <c r="I1963" s="686" t="s">
        <v>9009</v>
      </c>
      <c r="J1963" s="672" t="s">
        <v>10128</v>
      </c>
      <c r="K1963" s="672" t="s">
        <v>541</v>
      </c>
      <c r="L1963" s="672" t="s">
        <v>8996</v>
      </c>
    </row>
    <row r="1964" spans="1:12" x14ac:dyDescent="0.2">
      <c r="A1964" s="672" t="s">
        <v>220</v>
      </c>
      <c r="B1964" s="672" t="s">
        <v>10381</v>
      </c>
      <c r="C1964" s="672" t="s">
        <v>1216</v>
      </c>
      <c r="D1964" s="672" t="s">
        <v>1217</v>
      </c>
      <c r="E1964" s="745" t="s">
        <v>545</v>
      </c>
      <c r="F1964" s="747">
        <v>20000</v>
      </c>
      <c r="G1964" s="685">
        <v>0.22915483792235314</v>
      </c>
      <c r="H1964" s="685">
        <v>4583.0967584470627</v>
      </c>
      <c r="I1964" s="686" t="s">
        <v>9009</v>
      </c>
      <c r="J1964" s="672" t="s">
        <v>10128</v>
      </c>
      <c r="K1964" s="672" t="s">
        <v>541</v>
      </c>
      <c r="L1964" s="672" t="s">
        <v>8996</v>
      </c>
    </row>
    <row r="1965" spans="1:12" x14ac:dyDescent="0.2">
      <c r="A1965" s="672" t="s">
        <v>220</v>
      </c>
      <c r="B1965" s="672" t="s">
        <v>10381</v>
      </c>
      <c r="C1965" s="672" t="s">
        <v>1218</v>
      </c>
      <c r="D1965" s="672" t="s">
        <v>1219</v>
      </c>
      <c r="E1965" s="745" t="s">
        <v>545</v>
      </c>
      <c r="F1965" s="747">
        <v>18500</v>
      </c>
      <c r="G1965" s="685">
        <v>0.22368809637000531</v>
      </c>
      <c r="H1965" s="685">
        <v>4138.2297828450983</v>
      </c>
      <c r="I1965" s="686" t="s">
        <v>9009</v>
      </c>
      <c r="J1965" s="672" t="s">
        <v>10128</v>
      </c>
      <c r="K1965" s="672" t="s">
        <v>541</v>
      </c>
      <c r="L1965" s="672" t="s">
        <v>8996</v>
      </c>
    </row>
    <row r="1966" spans="1:12" x14ac:dyDescent="0.2">
      <c r="A1966" s="672" t="s">
        <v>220</v>
      </c>
      <c r="B1966" s="672" t="s">
        <v>10381</v>
      </c>
      <c r="C1966" s="672" t="s">
        <v>1220</v>
      </c>
      <c r="D1966" s="672" t="s">
        <v>1221</v>
      </c>
      <c r="E1966" s="745" t="s">
        <v>545</v>
      </c>
      <c r="F1966" s="747">
        <v>20500</v>
      </c>
      <c r="G1966" s="685">
        <v>0.24509900042343385</v>
      </c>
      <c r="H1966" s="685">
        <v>5024.5295086803944</v>
      </c>
      <c r="I1966" s="686" t="s">
        <v>9009</v>
      </c>
      <c r="J1966" s="672" t="s">
        <v>10128</v>
      </c>
      <c r="K1966" s="672" t="s">
        <v>541</v>
      </c>
      <c r="L1966" s="672" t="s">
        <v>8996</v>
      </c>
    </row>
    <row r="1967" spans="1:12" x14ac:dyDescent="0.2">
      <c r="A1967" s="672" t="s">
        <v>220</v>
      </c>
      <c r="B1967" s="672" t="s">
        <v>10381</v>
      </c>
      <c r="C1967" s="672" t="s">
        <v>1222</v>
      </c>
      <c r="D1967" s="672" t="s">
        <v>1223</v>
      </c>
      <c r="E1967" s="745" t="s">
        <v>545</v>
      </c>
      <c r="F1967" s="747">
        <v>17000</v>
      </c>
      <c r="G1967" s="685">
        <v>0.24965409415322362</v>
      </c>
      <c r="H1967" s="685">
        <v>4244.1196006048012</v>
      </c>
      <c r="I1967" s="686" t="s">
        <v>9009</v>
      </c>
      <c r="J1967" s="672" t="s">
        <v>10128</v>
      </c>
      <c r="K1967" s="672" t="s">
        <v>541</v>
      </c>
      <c r="L1967" s="672" t="s">
        <v>8996</v>
      </c>
    </row>
    <row r="1968" spans="1:12" x14ac:dyDescent="0.2">
      <c r="A1968" s="672" t="s">
        <v>220</v>
      </c>
      <c r="B1968" s="672" t="s">
        <v>10381</v>
      </c>
      <c r="C1968" s="672" t="s">
        <v>1224</v>
      </c>
      <c r="D1968" s="672" t="s">
        <v>1225</v>
      </c>
      <c r="E1968" s="745" t="s">
        <v>545</v>
      </c>
      <c r="F1968" s="747">
        <v>500</v>
      </c>
      <c r="G1968" s="685">
        <v>0.7689095750960816</v>
      </c>
      <c r="H1968" s="685">
        <v>384.45478754804083</v>
      </c>
      <c r="I1968" s="686" t="s">
        <v>9009</v>
      </c>
      <c r="J1968" s="672" t="s">
        <v>10128</v>
      </c>
      <c r="K1968" s="672" t="s">
        <v>541</v>
      </c>
      <c r="L1968" s="672" t="s">
        <v>8996</v>
      </c>
    </row>
    <row r="1969" spans="1:12" x14ac:dyDescent="0.2">
      <c r="A1969" s="672" t="s">
        <v>220</v>
      </c>
      <c r="B1969" s="672" t="s">
        <v>10381</v>
      </c>
      <c r="C1969" s="672" t="s">
        <v>1226</v>
      </c>
      <c r="D1969" s="672" t="s">
        <v>1227</v>
      </c>
      <c r="E1969" s="745" t="s">
        <v>545</v>
      </c>
      <c r="F1969" s="747">
        <v>500</v>
      </c>
      <c r="G1969" s="685">
        <v>0.76304576429719428</v>
      </c>
      <c r="H1969" s="685">
        <v>381.52288214859715</v>
      </c>
      <c r="I1969" s="686" t="s">
        <v>9009</v>
      </c>
      <c r="J1969" s="672" t="s">
        <v>10128</v>
      </c>
      <c r="K1969" s="672" t="s">
        <v>541</v>
      </c>
      <c r="L1969" s="672" t="s">
        <v>8996</v>
      </c>
    </row>
    <row r="1970" spans="1:12" x14ac:dyDescent="0.2">
      <c r="A1970" s="672" t="s">
        <v>220</v>
      </c>
      <c r="B1970" s="672" t="s">
        <v>10381</v>
      </c>
      <c r="C1970" s="672" t="s">
        <v>1228</v>
      </c>
      <c r="D1970" s="672" t="s">
        <v>1229</v>
      </c>
      <c r="E1970" s="745" t="s">
        <v>545</v>
      </c>
      <c r="F1970" s="747">
        <v>30000</v>
      </c>
      <c r="G1970" s="685">
        <v>0.19595903981459409</v>
      </c>
      <c r="H1970" s="685">
        <v>5878.7711944378225</v>
      </c>
      <c r="I1970" s="686" t="s">
        <v>9009</v>
      </c>
      <c r="J1970" s="672" t="s">
        <v>10128</v>
      </c>
      <c r="K1970" s="672" t="s">
        <v>541</v>
      </c>
      <c r="L1970" s="672" t="s">
        <v>8996</v>
      </c>
    </row>
    <row r="1971" spans="1:12" x14ac:dyDescent="0.2">
      <c r="A1971" s="672" t="s">
        <v>220</v>
      </c>
      <c r="B1971" s="672" t="s">
        <v>10381</v>
      </c>
      <c r="C1971" s="672" t="s">
        <v>1230</v>
      </c>
      <c r="D1971" s="672" t="s">
        <v>1231</v>
      </c>
      <c r="E1971" s="745" t="s">
        <v>545</v>
      </c>
      <c r="F1971" s="747">
        <v>32000</v>
      </c>
      <c r="G1971" s="685">
        <v>0.21298721893710454</v>
      </c>
      <c r="H1971" s="685">
        <v>6815.5910059873449</v>
      </c>
      <c r="I1971" s="686" t="s">
        <v>9009</v>
      </c>
      <c r="J1971" s="672" t="s">
        <v>10128</v>
      </c>
      <c r="K1971" s="672" t="s">
        <v>541</v>
      </c>
      <c r="L1971" s="672" t="s">
        <v>8996</v>
      </c>
    </row>
    <row r="1972" spans="1:12" x14ac:dyDescent="0.2">
      <c r="A1972" s="672" t="s">
        <v>220</v>
      </c>
      <c r="B1972" s="672" t="s">
        <v>10381</v>
      </c>
      <c r="C1972" s="672" t="s">
        <v>1232</v>
      </c>
      <c r="D1972" s="672" t="s">
        <v>1233</v>
      </c>
      <c r="E1972" s="745" t="s">
        <v>545</v>
      </c>
      <c r="F1972" s="747">
        <v>22500</v>
      </c>
      <c r="G1972" s="685">
        <v>0.23838051807018235</v>
      </c>
      <c r="H1972" s="685">
        <v>5363.5616565791024</v>
      </c>
      <c r="I1972" s="686" t="s">
        <v>9009</v>
      </c>
      <c r="J1972" s="672" t="s">
        <v>10128</v>
      </c>
      <c r="K1972" s="672" t="s">
        <v>541</v>
      </c>
      <c r="L1972" s="672" t="s">
        <v>8996</v>
      </c>
    </row>
    <row r="1973" spans="1:12" x14ac:dyDescent="0.2">
      <c r="A1973" s="672" t="s">
        <v>220</v>
      </c>
      <c r="B1973" s="672" t="s">
        <v>10381</v>
      </c>
      <c r="C1973" s="672" t="s">
        <v>1234</v>
      </c>
      <c r="D1973" s="672" t="s">
        <v>1235</v>
      </c>
      <c r="E1973" s="745" t="s">
        <v>545</v>
      </c>
      <c r="F1973" s="747">
        <v>15000</v>
      </c>
      <c r="G1973" s="685">
        <v>6.8861855497382204E-2</v>
      </c>
      <c r="H1973" s="685">
        <v>1032.927832460733</v>
      </c>
      <c r="I1973" s="686" t="s">
        <v>9009</v>
      </c>
      <c r="J1973" s="672" t="s">
        <v>10128</v>
      </c>
      <c r="K1973" s="672" t="s">
        <v>541</v>
      </c>
      <c r="L1973" s="672" t="s">
        <v>8996</v>
      </c>
    </row>
    <row r="1974" spans="1:12" x14ac:dyDescent="0.2">
      <c r="A1974" s="672" t="s">
        <v>220</v>
      </c>
      <c r="B1974" s="672" t="s">
        <v>10381</v>
      </c>
      <c r="C1974" s="672" t="s">
        <v>1236</v>
      </c>
      <c r="D1974" s="672" t="s">
        <v>1237</v>
      </c>
      <c r="E1974" s="745" t="s">
        <v>545</v>
      </c>
      <c r="F1974" s="747">
        <v>700</v>
      </c>
      <c r="G1974" s="685">
        <v>0.11899999999999998</v>
      </c>
      <c r="H1974" s="685">
        <v>83.299999999999983</v>
      </c>
      <c r="I1974" s="686" t="s">
        <v>9009</v>
      </c>
      <c r="J1974" s="672" t="s">
        <v>10128</v>
      </c>
      <c r="K1974" s="672" t="s">
        <v>541</v>
      </c>
      <c r="L1974" s="672" t="s">
        <v>8996</v>
      </c>
    </row>
    <row r="1975" spans="1:12" x14ac:dyDescent="0.2">
      <c r="A1975" s="672" t="s">
        <v>220</v>
      </c>
      <c r="B1975" s="672" t="s">
        <v>10381</v>
      </c>
      <c r="C1975" s="672" t="s">
        <v>9694</v>
      </c>
      <c r="D1975" s="672" t="s">
        <v>9695</v>
      </c>
      <c r="E1975" s="745" t="s">
        <v>545</v>
      </c>
      <c r="F1975" s="747">
        <v>34000</v>
      </c>
      <c r="G1975" s="685">
        <v>0.21687749096545017</v>
      </c>
      <c r="H1975" s="685">
        <v>7373.8346928253059</v>
      </c>
      <c r="I1975" s="686" t="s">
        <v>9009</v>
      </c>
      <c r="J1975" s="672" t="s">
        <v>10128</v>
      </c>
      <c r="K1975" s="672" t="s">
        <v>541</v>
      </c>
      <c r="L1975" s="672" t="s">
        <v>8996</v>
      </c>
    </row>
    <row r="1976" spans="1:12" x14ac:dyDescent="0.2">
      <c r="A1976" s="672" t="s">
        <v>220</v>
      </c>
      <c r="B1976" s="672" t="s">
        <v>10381</v>
      </c>
      <c r="C1976" s="672" t="s">
        <v>1240</v>
      </c>
      <c r="D1976" s="672" t="s">
        <v>1241</v>
      </c>
      <c r="E1976" s="745" t="s">
        <v>545</v>
      </c>
      <c r="F1976" s="747">
        <v>15500</v>
      </c>
      <c r="G1976" s="685">
        <v>0.24234489614888946</v>
      </c>
      <c r="H1976" s="685">
        <v>3756.3458903077867</v>
      </c>
      <c r="I1976" s="686" t="s">
        <v>9009</v>
      </c>
      <c r="J1976" s="672" t="s">
        <v>10128</v>
      </c>
      <c r="K1976" s="672" t="s">
        <v>541</v>
      </c>
      <c r="L1976" s="672" t="s">
        <v>8996</v>
      </c>
    </row>
    <row r="1977" spans="1:12" x14ac:dyDescent="0.2">
      <c r="A1977" s="672" t="s">
        <v>220</v>
      </c>
      <c r="B1977" s="672" t="s">
        <v>10381</v>
      </c>
      <c r="C1977" s="672" t="s">
        <v>1242</v>
      </c>
      <c r="D1977" s="672" t="s">
        <v>1243</v>
      </c>
      <c r="E1977" s="745" t="s">
        <v>545</v>
      </c>
      <c r="F1977" s="747">
        <v>7750</v>
      </c>
      <c r="G1977" s="685">
        <v>0.15</v>
      </c>
      <c r="H1977" s="685">
        <v>1162.5</v>
      </c>
      <c r="I1977" s="686" t="s">
        <v>9009</v>
      </c>
      <c r="J1977" s="672" t="s">
        <v>10128</v>
      </c>
      <c r="K1977" s="672" t="s">
        <v>541</v>
      </c>
      <c r="L1977" s="672" t="s">
        <v>8996</v>
      </c>
    </row>
    <row r="1978" spans="1:12" x14ac:dyDescent="0.2">
      <c r="A1978" s="672" t="s">
        <v>220</v>
      </c>
      <c r="B1978" s="672" t="s">
        <v>10381</v>
      </c>
      <c r="C1978" s="672" t="s">
        <v>1244</v>
      </c>
      <c r="D1978" s="672" t="s">
        <v>1245</v>
      </c>
      <c r="E1978" s="745" t="s">
        <v>545</v>
      </c>
      <c r="F1978" s="747">
        <v>88890</v>
      </c>
      <c r="G1978" s="685">
        <v>0.27270000000000005</v>
      </c>
      <c r="H1978" s="685">
        <v>24240.303000000004</v>
      </c>
      <c r="I1978" s="686" t="s">
        <v>9009</v>
      </c>
      <c r="J1978" s="672" t="s">
        <v>9201</v>
      </c>
      <c r="K1978" s="672" t="s">
        <v>541</v>
      </c>
      <c r="L1978" s="672" t="s">
        <v>8996</v>
      </c>
    </row>
    <row r="1979" spans="1:12" x14ac:dyDescent="0.2">
      <c r="A1979" s="672" t="s">
        <v>220</v>
      </c>
      <c r="B1979" s="672" t="s">
        <v>10381</v>
      </c>
      <c r="C1979" s="672" t="s">
        <v>1248</v>
      </c>
      <c r="D1979" s="672" t="s">
        <v>9696</v>
      </c>
      <c r="E1979" s="745" t="s">
        <v>545</v>
      </c>
      <c r="F1979" s="747">
        <v>300</v>
      </c>
      <c r="G1979" s="685">
        <v>0.3805336722915485</v>
      </c>
      <c r="H1979" s="685">
        <v>114.16010168746455</v>
      </c>
      <c r="I1979" s="686" t="s">
        <v>9009</v>
      </c>
      <c r="J1979" s="672" t="s">
        <v>10128</v>
      </c>
      <c r="K1979" s="672" t="s">
        <v>541</v>
      </c>
      <c r="L1979" s="672" t="s">
        <v>8996</v>
      </c>
    </row>
    <row r="1980" spans="1:12" x14ac:dyDescent="0.2">
      <c r="A1980" s="672" t="s">
        <v>220</v>
      </c>
      <c r="B1980" s="672" t="s">
        <v>10381</v>
      </c>
      <c r="C1980" s="672" t="s">
        <v>1252</v>
      </c>
      <c r="D1980" s="672" t="s">
        <v>9715</v>
      </c>
      <c r="E1980" s="745" t="s">
        <v>545</v>
      </c>
      <c r="F1980" s="747">
        <v>3634</v>
      </c>
      <c r="G1980" s="685">
        <v>0.62208852262760084</v>
      </c>
      <c r="H1980" s="685">
        <v>2260.6696912287016</v>
      </c>
      <c r="I1980" s="686" t="s">
        <v>9009</v>
      </c>
      <c r="J1980" s="672" t="s">
        <v>10128</v>
      </c>
      <c r="K1980" s="672" t="s">
        <v>541</v>
      </c>
      <c r="L1980" s="672" t="s">
        <v>8996</v>
      </c>
    </row>
    <row r="1981" spans="1:12" x14ac:dyDescent="0.2">
      <c r="A1981" s="672" t="s">
        <v>220</v>
      </c>
      <c r="B1981" s="672" t="s">
        <v>10381</v>
      </c>
      <c r="C1981" s="672" t="s">
        <v>1254</v>
      </c>
      <c r="D1981" s="672" t="s">
        <v>9716</v>
      </c>
      <c r="E1981" s="745" t="s">
        <v>545</v>
      </c>
      <c r="F1981" s="747">
        <v>15456</v>
      </c>
      <c r="G1981" s="685">
        <v>0.66635199915316157</v>
      </c>
      <c r="H1981" s="685">
        <v>10299.136498911264</v>
      </c>
      <c r="I1981" s="686" t="s">
        <v>9009</v>
      </c>
      <c r="J1981" s="672" t="s">
        <v>9201</v>
      </c>
      <c r="K1981" s="672" t="s">
        <v>541</v>
      </c>
      <c r="L1981" s="672" t="s">
        <v>8996</v>
      </c>
    </row>
    <row r="1982" spans="1:12" x14ac:dyDescent="0.2">
      <c r="A1982" s="672" t="s">
        <v>220</v>
      </c>
      <c r="B1982" s="672" t="s">
        <v>10381</v>
      </c>
      <c r="C1982" s="672" t="s">
        <v>1256</v>
      </c>
      <c r="D1982" s="672" t="s">
        <v>9697</v>
      </c>
      <c r="E1982" s="745" t="s">
        <v>545</v>
      </c>
      <c r="F1982" s="747">
        <v>23400</v>
      </c>
      <c r="G1982" s="685">
        <v>0.7585862246393914</v>
      </c>
      <c r="H1982" s="685">
        <v>17750.91765656176</v>
      </c>
      <c r="I1982" s="686" t="s">
        <v>9009</v>
      </c>
      <c r="J1982" s="672" t="s">
        <v>10128</v>
      </c>
      <c r="K1982" s="672" t="s">
        <v>541</v>
      </c>
      <c r="L1982" s="672" t="s">
        <v>8996</v>
      </c>
    </row>
    <row r="1983" spans="1:12" x14ac:dyDescent="0.2">
      <c r="A1983" s="672" t="s">
        <v>220</v>
      </c>
      <c r="B1983" s="672" t="s">
        <v>10381</v>
      </c>
      <c r="C1983" s="672" t="s">
        <v>1260</v>
      </c>
      <c r="D1983" s="672" t="s">
        <v>9698</v>
      </c>
      <c r="E1983" s="745" t="s">
        <v>545</v>
      </c>
      <c r="F1983" s="747">
        <v>23400</v>
      </c>
      <c r="G1983" s="685">
        <v>0.79557183545354682</v>
      </c>
      <c r="H1983" s="685">
        <v>18616.380949612994</v>
      </c>
      <c r="I1983" s="686" t="s">
        <v>9009</v>
      </c>
      <c r="J1983" s="672" t="s">
        <v>10128</v>
      </c>
      <c r="K1983" s="672" t="s">
        <v>541</v>
      </c>
      <c r="L1983" s="672" t="s">
        <v>8996</v>
      </c>
    </row>
    <row r="1984" spans="1:12" x14ac:dyDescent="0.2">
      <c r="A1984" s="672" t="s">
        <v>220</v>
      </c>
      <c r="B1984" s="672" t="s">
        <v>10381</v>
      </c>
      <c r="C1984" s="672" t="s">
        <v>1262</v>
      </c>
      <c r="D1984" s="672" t="s">
        <v>1263</v>
      </c>
      <c r="E1984" s="745" t="s">
        <v>545</v>
      </c>
      <c r="F1984" s="747">
        <v>25000</v>
      </c>
      <c r="G1984" s="685">
        <v>5.2999999999999999E-2</v>
      </c>
      <c r="H1984" s="685">
        <v>1325</v>
      </c>
      <c r="I1984" s="686" t="s">
        <v>9009</v>
      </c>
      <c r="J1984" s="672" t="s">
        <v>10128</v>
      </c>
      <c r="K1984" s="672" t="s">
        <v>541</v>
      </c>
      <c r="L1984" s="672" t="s">
        <v>8996</v>
      </c>
    </row>
    <row r="1985" spans="1:12" x14ac:dyDescent="0.2">
      <c r="A1985" s="672" t="s">
        <v>220</v>
      </c>
      <c r="B1985" s="672" t="s">
        <v>10381</v>
      </c>
      <c r="C1985" s="672" t="s">
        <v>1264</v>
      </c>
      <c r="D1985" s="672" t="s">
        <v>1265</v>
      </c>
      <c r="E1985" s="745" t="s">
        <v>545</v>
      </c>
      <c r="F1985" s="747">
        <v>13000</v>
      </c>
      <c r="G1985" s="685">
        <v>0.34724963040822543</v>
      </c>
      <c r="H1985" s="685">
        <v>4514.2451953069303</v>
      </c>
      <c r="I1985" s="686" t="s">
        <v>9009</v>
      </c>
      <c r="J1985" s="672" t="s">
        <v>10128</v>
      </c>
      <c r="K1985" s="672" t="s">
        <v>541</v>
      </c>
      <c r="L1985" s="672" t="s">
        <v>8996</v>
      </c>
    </row>
    <row r="1986" spans="1:12" x14ac:dyDescent="0.2">
      <c r="A1986" s="672" t="s">
        <v>220</v>
      </c>
      <c r="B1986" s="672" t="s">
        <v>10381</v>
      </c>
      <c r="C1986" s="672" t="s">
        <v>1266</v>
      </c>
      <c r="D1986" s="672" t="s">
        <v>1267</v>
      </c>
      <c r="E1986" s="745" t="s">
        <v>545</v>
      </c>
      <c r="F1986" s="747">
        <v>26800</v>
      </c>
      <c r="G1986" s="685">
        <v>2.7019999999999992E-2</v>
      </c>
      <c r="H1986" s="685">
        <v>724.13599999999974</v>
      </c>
      <c r="I1986" s="686" t="s">
        <v>9009</v>
      </c>
      <c r="J1986" s="672" t="s">
        <v>10128</v>
      </c>
      <c r="K1986" s="672" t="s">
        <v>541</v>
      </c>
      <c r="L1986" s="672" t="s">
        <v>8996</v>
      </c>
    </row>
    <row r="1987" spans="1:12" x14ac:dyDescent="0.2">
      <c r="A1987" s="672" t="s">
        <v>220</v>
      </c>
      <c r="B1987" s="672" t="s">
        <v>10381</v>
      </c>
      <c r="C1987" s="672" t="s">
        <v>1268</v>
      </c>
      <c r="D1987" s="672" t="s">
        <v>1269</v>
      </c>
      <c r="E1987" s="745" t="s">
        <v>545</v>
      </c>
      <c r="F1987" s="747">
        <v>45000</v>
      </c>
      <c r="G1987" s="685">
        <v>2.614022295904227E-2</v>
      </c>
      <c r="H1987" s="685">
        <v>1176.3100331569021</v>
      </c>
      <c r="I1987" s="686" t="s">
        <v>9009</v>
      </c>
      <c r="J1987" s="672" t="s">
        <v>10128</v>
      </c>
      <c r="K1987" s="672" t="s">
        <v>541</v>
      </c>
      <c r="L1987" s="672" t="s">
        <v>8996</v>
      </c>
    </row>
    <row r="1988" spans="1:12" x14ac:dyDescent="0.2">
      <c r="A1988" s="672" t="s">
        <v>220</v>
      </c>
      <c r="B1988" s="672" t="s">
        <v>10381</v>
      </c>
      <c r="C1988" s="672" t="s">
        <v>1270</v>
      </c>
      <c r="D1988" s="672" t="s">
        <v>1271</v>
      </c>
      <c r="E1988" s="745" t="s">
        <v>545</v>
      </c>
      <c r="F1988" s="747">
        <v>37500</v>
      </c>
      <c r="G1988" s="685">
        <v>2.7288557484309889E-2</v>
      </c>
      <c r="H1988" s="685">
        <v>1023.3209056616208</v>
      </c>
      <c r="I1988" s="686" t="s">
        <v>9009</v>
      </c>
      <c r="J1988" s="672" t="s">
        <v>10128</v>
      </c>
      <c r="K1988" s="672" t="s">
        <v>541</v>
      </c>
      <c r="L1988" s="672" t="s">
        <v>8996</v>
      </c>
    </row>
    <row r="1989" spans="1:12" x14ac:dyDescent="0.2">
      <c r="A1989" s="672" t="s">
        <v>220</v>
      </c>
      <c r="B1989" s="672" t="s">
        <v>10381</v>
      </c>
      <c r="C1989" s="672" t="s">
        <v>1272</v>
      </c>
      <c r="D1989" s="672" t="s">
        <v>1273</v>
      </c>
      <c r="E1989" s="745" t="s">
        <v>545</v>
      </c>
      <c r="F1989" s="747">
        <v>13500</v>
      </c>
      <c r="G1989" s="685">
        <v>1.3510000000000001E-2</v>
      </c>
      <c r="H1989" s="685">
        <v>182.38500000000002</v>
      </c>
      <c r="I1989" s="686" t="s">
        <v>9009</v>
      </c>
      <c r="J1989" s="672" t="s">
        <v>10128</v>
      </c>
      <c r="K1989" s="672" t="s">
        <v>541</v>
      </c>
      <c r="L1989" s="672" t="s">
        <v>8996</v>
      </c>
    </row>
    <row r="1990" spans="1:12" x14ac:dyDescent="0.2">
      <c r="A1990" s="672" t="s">
        <v>220</v>
      </c>
      <c r="B1990" s="672" t="s">
        <v>10381</v>
      </c>
      <c r="C1990" s="672" t="s">
        <v>1274</v>
      </c>
      <c r="D1990" s="672" t="s">
        <v>1275</v>
      </c>
      <c r="E1990" s="745" t="s">
        <v>545</v>
      </c>
      <c r="F1990" s="747">
        <v>7500</v>
      </c>
      <c r="G1990" s="685">
        <v>7.3099999999999998E-2</v>
      </c>
      <c r="H1990" s="685">
        <v>548.25</v>
      </c>
      <c r="I1990" s="686" t="s">
        <v>9009</v>
      </c>
      <c r="J1990" s="672" t="s">
        <v>10128</v>
      </c>
      <c r="K1990" s="672" t="s">
        <v>541</v>
      </c>
      <c r="L1990" s="672" t="s">
        <v>8996</v>
      </c>
    </row>
    <row r="1991" spans="1:12" x14ac:dyDescent="0.2">
      <c r="A1991" s="672" t="s">
        <v>220</v>
      </c>
      <c r="B1991" s="672" t="s">
        <v>10381</v>
      </c>
      <c r="C1991" s="672" t="s">
        <v>1276</v>
      </c>
      <c r="D1991" s="672" t="s">
        <v>1277</v>
      </c>
      <c r="E1991" s="745" t="s">
        <v>545</v>
      </c>
      <c r="F1991" s="747">
        <v>7500</v>
      </c>
      <c r="G1991" s="685">
        <v>7.0514705882352938E-2</v>
      </c>
      <c r="H1991" s="685">
        <v>528.86029411764707</v>
      </c>
      <c r="I1991" s="686" t="s">
        <v>9009</v>
      </c>
      <c r="J1991" s="672" t="s">
        <v>10128</v>
      </c>
      <c r="K1991" s="672" t="s">
        <v>541</v>
      </c>
      <c r="L1991" s="672" t="s">
        <v>8996</v>
      </c>
    </row>
    <row r="1992" spans="1:12" x14ac:dyDescent="0.2">
      <c r="A1992" s="672" t="s">
        <v>220</v>
      </c>
      <c r="B1992" s="672" t="s">
        <v>10381</v>
      </c>
      <c r="C1992" s="672" t="s">
        <v>1278</v>
      </c>
      <c r="D1992" s="672" t="s">
        <v>1279</v>
      </c>
      <c r="E1992" s="745" t="s">
        <v>545</v>
      </c>
      <c r="F1992" s="747">
        <v>5760</v>
      </c>
      <c r="G1992" s="685">
        <v>1.771364731876055</v>
      </c>
      <c r="H1992" s="685">
        <v>10203.060855606076</v>
      </c>
      <c r="I1992" s="686" t="s">
        <v>9009</v>
      </c>
      <c r="J1992" s="672" t="s">
        <v>10128</v>
      </c>
      <c r="K1992" s="672" t="s">
        <v>541</v>
      </c>
      <c r="L1992" s="672" t="s">
        <v>8996</v>
      </c>
    </row>
    <row r="1993" spans="1:12" x14ac:dyDescent="0.2">
      <c r="A1993" s="672" t="s">
        <v>220</v>
      </c>
      <c r="B1993" s="672" t="s">
        <v>10381</v>
      </c>
      <c r="C1993" s="672" t="s">
        <v>1280</v>
      </c>
      <c r="D1993" s="672" t="s">
        <v>1281</v>
      </c>
      <c r="E1993" s="745" t="s">
        <v>545</v>
      </c>
      <c r="F1993" s="747">
        <v>4080</v>
      </c>
      <c r="G1993" s="685">
        <v>1.8095108293463769</v>
      </c>
      <c r="H1993" s="685">
        <v>7382.8041837332175</v>
      </c>
      <c r="I1993" s="686" t="s">
        <v>9009</v>
      </c>
      <c r="J1993" s="672" t="s">
        <v>10128</v>
      </c>
      <c r="K1993" s="672" t="s">
        <v>541</v>
      </c>
      <c r="L1993" s="672" t="s">
        <v>8996</v>
      </c>
    </row>
    <row r="1994" spans="1:12" x14ac:dyDescent="0.2">
      <c r="A1994" s="672" t="s">
        <v>220</v>
      </c>
      <c r="B1994" s="672" t="s">
        <v>10381</v>
      </c>
      <c r="C1994" s="672" t="s">
        <v>1282</v>
      </c>
      <c r="D1994" s="672" t="s">
        <v>1283</v>
      </c>
      <c r="E1994" s="745" t="s">
        <v>545</v>
      </c>
      <c r="F1994" s="747">
        <v>5952</v>
      </c>
      <c r="G1994" s="685">
        <v>1.9112127760396671</v>
      </c>
      <c r="H1994" s="685">
        <v>11375.538442988098</v>
      </c>
      <c r="I1994" s="686" t="s">
        <v>9009</v>
      </c>
      <c r="J1994" s="672" t="s">
        <v>9011</v>
      </c>
      <c r="K1994" s="672" t="s">
        <v>541</v>
      </c>
      <c r="L1994" s="672" t="s">
        <v>8996</v>
      </c>
    </row>
    <row r="1995" spans="1:12" x14ac:dyDescent="0.2">
      <c r="A1995" s="672" t="s">
        <v>220</v>
      </c>
      <c r="B1995" s="672" t="s">
        <v>10381</v>
      </c>
      <c r="C1995" s="672" t="s">
        <v>9514</v>
      </c>
      <c r="D1995" s="672" t="s">
        <v>9515</v>
      </c>
      <c r="E1995" s="745" t="s">
        <v>545</v>
      </c>
      <c r="F1995" s="747">
        <v>300</v>
      </c>
      <c r="G1995" s="685">
        <v>3.7531655174659835</v>
      </c>
      <c r="H1995" s="685">
        <v>1125.949655239795</v>
      </c>
      <c r="I1995" s="686" t="s">
        <v>9009</v>
      </c>
      <c r="J1995" s="672" t="s">
        <v>9011</v>
      </c>
      <c r="K1995" s="672" t="s">
        <v>541</v>
      </c>
      <c r="L1995" s="672" t="s">
        <v>8996</v>
      </c>
    </row>
    <row r="1996" spans="1:12" x14ac:dyDescent="0.2">
      <c r="A1996" s="672" t="s">
        <v>220</v>
      </c>
      <c r="B1996" s="672" t="s">
        <v>10381</v>
      </c>
      <c r="C1996" s="672" t="s">
        <v>1284</v>
      </c>
      <c r="D1996" s="672" t="s">
        <v>1285</v>
      </c>
      <c r="E1996" s="745" t="s">
        <v>545</v>
      </c>
      <c r="F1996" s="747">
        <v>14352</v>
      </c>
      <c r="G1996" s="685">
        <v>1.4281510719412909</v>
      </c>
      <c r="H1996" s="685">
        <v>20496.824184501405</v>
      </c>
      <c r="I1996" s="686" t="s">
        <v>9009</v>
      </c>
      <c r="J1996" s="672" t="s">
        <v>10128</v>
      </c>
      <c r="K1996" s="672" t="s">
        <v>541</v>
      </c>
      <c r="L1996" s="672" t="s">
        <v>8996</v>
      </c>
    </row>
    <row r="1997" spans="1:12" x14ac:dyDescent="0.2">
      <c r="A1997" s="672" t="s">
        <v>220</v>
      </c>
      <c r="B1997" s="672" t="s">
        <v>10381</v>
      </c>
      <c r="C1997" s="672" t="s">
        <v>1286</v>
      </c>
      <c r="D1997" s="672" t="s">
        <v>1287</v>
      </c>
      <c r="E1997" s="745" t="s">
        <v>545</v>
      </c>
      <c r="F1997" s="747">
        <v>3255</v>
      </c>
      <c r="G1997" s="685">
        <v>1.4450582455291476</v>
      </c>
      <c r="H1997" s="685">
        <v>4703.6645891973758</v>
      </c>
      <c r="I1997" s="686" t="s">
        <v>9009</v>
      </c>
      <c r="J1997" s="672" t="s">
        <v>10128</v>
      </c>
      <c r="K1997" s="672" t="s">
        <v>541</v>
      </c>
      <c r="L1997" s="672" t="s">
        <v>8996</v>
      </c>
    </row>
    <row r="1998" spans="1:12" x14ac:dyDescent="0.2">
      <c r="A1998" s="672" t="s">
        <v>220</v>
      </c>
      <c r="B1998" s="672" t="s">
        <v>10381</v>
      </c>
      <c r="C1998" s="672" t="s">
        <v>1288</v>
      </c>
      <c r="D1998" s="672" t="s">
        <v>1289</v>
      </c>
      <c r="E1998" s="745" t="s">
        <v>545</v>
      </c>
      <c r="F1998" s="747">
        <v>23808</v>
      </c>
      <c r="G1998" s="685">
        <v>1.511837212133077</v>
      </c>
      <c r="H1998" s="685">
        <v>35993.820346464294</v>
      </c>
      <c r="I1998" s="686" t="s">
        <v>9009</v>
      </c>
      <c r="J1998" s="672" t="s">
        <v>10128</v>
      </c>
      <c r="K1998" s="672" t="s">
        <v>541</v>
      </c>
      <c r="L1998" s="672" t="s">
        <v>8996</v>
      </c>
    </row>
    <row r="1999" spans="1:12" x14ac:dyDescent="0.2">
      <c r="A1999" s="672" t="s">
        <v>220</v>
      </c>
      <c r="B1999" s="672" t="s">
        <v>10381</v>
      </c>
      <c r="C1999" s="672" t="s">
        <v>1290</v>
      </c>
      <c r="D1999" s="672" t="s">
        <v>1291</v>
      </c>
      <c r="E1999" s="745" t="s">
        <v>545</v>
      </c>
      <c r="F1999" s="747">
        <v>2112</v>
      </c>
      <c r="G1999" s="685">
        <v>1.5853425593048702</v>
      </c>
      <c r="H1999" s="685">
        <v>3348.2434852518859</v>
      </c>
      <c r="I1999" s="686" t="s">
        <v>9009</v>
      </c>
      <c r="J1999" s="672" t="s">
        <v>10128</v>
      </c>
      <c r="K1999" s="672" t="s">
        <v>541</v>
      </c>
      <c r="L1999" s="672" t="s">
        <v>8996</v>
      </c>
    </row>
    <row r="2000" spans="1:12" x14ac:dyDescent="0.2">
      <c r="A2000" s="672" t="s">
        <v>220</v>
      </c>
      <c r="B2000" s="672" t="s">
        <v>10381</v>
      </c>
      <c r="C2000" s="672" t="s">
        <v>1292</v>
      </c>
      <c r="D2000" s="672" t="s">
        <v>1293</v>
      </c>
      <c r="E2000" s="745" t="s">
        <v>545</v>
      </c>
      <c r="F2000" s="747">
        <v>33612</v>
      </c>
      <c r="G2000" s="685">
        <v>1.5586853745080931</v>
      </c>
      <c r="H2000" s="685">
        <v>52390.532807966025</v>
      </c>
      <c r="I2000" s="686" t="s">
        <v>9009</v>
      </c>
      <c r="J2000" s="672" t="s">
        <v>10128</v>
      </c>
      <c r="K2000" s="672" t="s">
        <v>541</v>
      </c>
      <c r="L2000" s="672" t="s">
        <v>8996</v>
      </c>
    </row>
    <row r="2001" spans="1:12" x14ac:dyDescent="0.2">
      <c r="A2001" s="672" t="s">
        <v>220</v>
      </c>
      <c r="B2001" s="672" t="s">
        <v>10381</v>
      </c>
      <c r="C2001" s="672" t="s">
        <v>1294</v>
      </c>
      <c r="D2001" s="672" t="s">
        <v>1295</v>
      </c>
      <c r="E2001" s="745" t="s">
        <v>545</v>
      </c>
      <c r="F2001" s="747">
        <v>2304</v>
      </c>
      <c r="G2001" s="685">
        <v>1.7999036584262238</v>
      </c>
      <c r="H2001" s="685">
        <v>4146.9780290140197</v>
      </c>
      <c r="I2001" s="686" t="s">
        <v>9009</v>
      </c>
      <c r="J2001" s="672" t="s">
        <v>10128</v>
      </c>
      <c r="K2001" s="672" t="s">
        <v>541</v>
      </c>
      <c r="L2001" s="672" t="s">
        <v>8996</v>
      </c>
    </row>
    <row r="2002" spans="1:12" x14ac:dyDescent="0.2">
      <c r="A2002" s="672" t="s">
        <v>220</v>
      </c>
      <c r="B2002" s="672" t="s">
        <v>10381</v>
      </c>
      <c r="C2002" s="672" t="s">
        <v>1296</v>
      </c>
      <c r="D2002" s="672" t="s">
        <v>1297</v>
      </c>
      <c r="E2002" s="745" t="s">
        <v>545</v>
      </c>
      <c r="F2002" s="747">
        <v>6494</v>
      </c>
      <c r="G2002" s="685">
        <v>1.6988247288502702</v>
      </c>
      <c r="H2002" s="685">
        <v>11032.167789153655</v>
      </c>
      <c r="I2002" s="686" t="s">
        <v>9009</v>
      </c>
      <c r="J2002" s="672" t="s">
        <v>10128</v>
      </c>
      <c r="K2002" s="672" t="s">
        <v>541</v>
      </c>
      <c r="L2002" s="672" t="s">
        <v>8996</v>
      </c>
    </row>
    <row r="2003" spans="1:12" x14ac:dyDescent="0.2">
      <c r="A2003" s="672" t="s">
        <v>220</v>
      </c>
      <c r="B2003" s="672" t="s">
        <v>10381</v>
      </c>
      <c r="C2003" s="672" t="s">
        <v>1298</v>
      </c>
      <c r="D2003" s="672" t="s">
        <v>1299</v>
      </c>
      <c r="E2003" s="745" t="s">
        <v>545</v>
      </c>
      <c r="F2003" s="747">
        <v>695</v>
      </c>
      <c r="G2003" s="685">
        <v>1.905795172712855</v>
      </c>
      <c r="H2003" s="685">
        <v>1324.5276450354343</v>
      </c>
      <c r="I2003" s="686" t="s">
        <v>9009</v>
      </c>
      <c r="J2003" s="672" t="s">
        <v>10128</v>
      </c>
      <c r="K2003" s="672" t="s">
        <v>541</v>
      </c>
      <c r="L2003" s="672" t="s">
        <v>8996</v>
      </c>
    </row>
    <row r="2004" spans="1:12" x14ac:dyDescent="0.2">
      <c r="A2004" s="672" t="s">
        <v>220</v>
      </c>
      <c r="B2004" s="672" t="s">
        <v>10381</v>
      </c>
      <c r="C2004" s="672" t="s">
        <v>1300</v>
      </c>
      <c r="D2004" s="672" t="s">
        <v>1301</v>
      </c>
      <c r="E2004" s="745" t="s">
        <v>545</v>
      </c>
      <c r="F2004" s="747">
        <v>1871</v>
      </c>
      <c r="G2004" s="685">
        <v>1.5065834189702625</v>
      </c>
      <c r="H2004" s="685">
        <v>2818.8175768933611</v>
      </c>
      <c r="I2004" s="686" t="s">
        <v>9009</v>
      </c>
      <c r="J2004" s="672" t="s">
        <v>10128</v>
      </c>
      <c r="K2004" s="672" t="s">
        <v>541</v>
      </c>
      <c r="L2004" s="672" t="s">
        <v>8996</v>
      </c>
    </row>
    <row r="2005" spans="1:12" x14ac:dyDescent="0.2">
      <c r="A2005" s="672" t="s">
        <v>220</v>
      </c>
      <c r="B2005" s="672" t="s">
        <v>10381</v>
      </c>
      <c r="C2005" s="672" t="s">
        <v>1302</v>
      </c>
      <c r="D2005" s="672" t="s">
        <v>1303</v>
      </c>
      <c r="E2005" s="745" t="s">
        <v>545</v>
      </c>
      <c r="F2005" s="747">
        <v>2904</v>
      </c>
      <c r="G2005" s="685">
        <v>1.6696377641540132</v>
      </c>
      <c r="H2005" s="685">
        <v>4848.6280671032546</v>
      </c>
      <c r="I2005" s="686" t="s">
        <v>9009</v>
      </c>
      <c r="J2005" s="672" t="s">
        <v>10128</v>
      </c>
      <c r="K2005" s="672" t="s">
        <v>541</v>
      </c>
      <c r="L2005" s="672" t="s">
        <v>8996</v>
      </c>
    </row>
    <row r="2006" spans="1:12" x14ac:dyDescent="0.2">
      <c r="A2006" s="672" t="s">
        <v>220</v>
      </c>
      <c r="B2006" s="672" t="s">
        <v>10381</v>
      </c>
      <c r="C2006" s="672" t="s">
        <v>1306</v>
      </c>
      <c r="D2006" s="672" t="s">
        <v>1307</v>
      </c>
      <c r="E2006" s="745" t="s">
        <v>545</v>
      </c>
      <c r="F2006" s="747">
        <v>1000</v>
      </c>
      <c r="G2006" s="685">
        <v>0.30528988899645421</v>
      </c>
      <c r="H2006" s="685">
        <v>305.28988899645418</v>
      </c>
      <c r="I2006" s="686" t="s">
        <v>9009</v>
      </c>
      <c r="J2006" s="672" t="s">
        <v>10128</v>
      </c>
      <c r="K2006" s="672" t="s">
        <v>541</v>
      </c>
      <c r="L2006" s="672" t="s">
        <v>8996</v>
      </c>
    </row>
    <row r="2007" spans="1:12" x14ac:dyDescent="0.2">
      <c r="A2007" s="672" t="s">
        <v>220</v>
      </c>
      <c r="B2007" s="672" t="s">
        <v>10381</v>
      </c>
      <c r="C2007" s="672" t="s">
        <v>1314</v>
      </c>
      <c r="D2007" s="672" t="s">
        <v>1315</v>
      </c>
      <c r="E2007" s="745" t="s">
        <v>545</v>
      </c>
      <c r="F2007" s="747">
        <v>500</v>
      </c>
      <c r="G2007" s="685">
        <v>0.28799999999999998</v>
      </c>
      <c r="H2007" s="685">
        <v>144</v>
      </c>
      <c r="I2007" s="686" t="s">
        <v>9009</v>
      </c>
      <c r="J2007" s="672" t="s">
        <v>10128</v>
      </c>
      <c r="K2007" s="672" t="s">
        <v>541</v>
      </c>
      <c r="L2007" s="672" t="s">
        <v>8996</v>
      </c>
    </row>
    <row r="2008" spans="1:12" x14ac:dyDescent="0.2">
      <c r="A2008" s="672" t="s">
        <v>220</v>
      </c>
      <c r="B2008" s="672" t="s">
        <v>10381</v>
      </c>
      <c r="C2008" s="672" t="s">
        <v>1316</v>
      </c>
      <c r="D2008" s="672" t="s">
        <v>1317</v>
      </c>
      <c r="E2008" s="745" t="s">
        <v>545</v>
      </c>
      <c r="F2008" s="747">
        <v>2000</v>
      </c>
      <c r="G2008" s="685">
        <v>0.55041091954022991</v>
      </c>
      <c r="H2008" s="685">
        <v>1100.8218390804598</v>
      </c>
      <c r="I2008" s="686" t="s">
        <v>9009</v>
      </c>
      <c r="J2008" s="672" t="s">
        <v>10128</v>
      </c>
      <c r="K2008" s="672" t="s">
        <v>541</v>
      </c>
      <c r="L2008" s="672" t="s">
        <v>8996</v>
      </c>
    </row>
    <row r="2009" spans="1:12" x14ac:dyDescent="0.2">
      <c r="A2009" s="672" t="s">
        <v>220</v>
      </c>
      <c r="B2009" s="672" t="s">
        <v>10381</v>
      </c>
      <c r="C2009" s="672" t="s">
        <v>1318</v>
      </c>
      <c r="D2009" s="672" t="s">
        <v>1319</v>
      </c>
      <c r="E2009" s="745" t="s">
        <v>545</v>
      </c>
      <c r="F2009" s="747">
        <v>600</v>
      </c>
      <c r="G2009" s="685">
        <v>0.60599999999999998</v>
      </c>
      <c r="H2009" s="685">
        <v>363.59999999999997</v>
      </c>
      <c r="I2009" s="686" t="s">
        <v>9009</v>
      </c>
      <c r="J2009" s="672" t="s">
        <v>10128</v>
      </c>
      <c r="K2009" s="672" t="s">
        <v>541</v>
      </c>
      <c r="L2009" s="672" t="s">
        <v>8996</v>
      </c>
    </row>
    <row r="2010" spans="1:12" x14ac:dyDescent="0.2">
      <c r="A2010" s="672" t="s">
        <v>220</v>
      </c>
      <c r="B2010" s="672" t="s">
        <v>10381</v>
      </c>
      <c r="C2010" s="672" t="s">
        <v>1320</v>
      </c>
      <c r="D2010" s="672" t="s">
        <v>1321</v>
      </c>
      <c r="E2010" s="745" t="s">
        <v>545</v>
      </c>
      <c r="F2010" s="747">
        <v>1180</v>
      </c>
      <c r="G2010" s="685">
        <v>0.37369999999999998</v>
      </c>
      <c r="H2010" s="685">
        <v>440.96599999999995</v>
      </c>
      <c r="I2010" s="686" t="s">
        <v>9009</v>
      </c>
      <c r="J2010" s="672" t="s">
        <v>10128</v>
      </c>
      <c r="K2010" s="672" t="s">
        <v>541</v>
      </c>
      <c r="L2010" s="672" t="s">
        <v>8996</v>
      </c>
    </row>
    <row r="2011" spans="1:12" x14ac:dyDescent="0.2">
      <c r="A2011" s="672" t="s">
        <v>220</v>
      </c>
      <c r="B2011" s="672" t="s">
        <v>10381</v>
      </c>
      <c r="C2011" s="672" t="s">
        <v>1324</v>
      </c>
      <c r="D2011" s="672" t="s">
        <v>1325</v>
      </c>
      <c r="E2011" s="745" t="s">
        <v>545</v>
      </c>
      <c r="F2011" s="747">
        <v>1000</v>
      </c>
      <c r="G2011" s="685">
        <v>0.68679999999999997</v>
      </c>
      <c r="H2011" s="685">
        <v>686.8</v>
      </c>
      <c r="I2011" s="686" t="s">
        <v>9009</v>
      </c>
      <c r="J2011" s="672" t="s">
        <v>10128</v>
      </c>
      <c r="K2011" s="672" t="s">
        <v>541</v>
      </c>
      <c r="L2011" s="672" t="s">
        <v>8996</v>
      </c>
    </row>
    <row r="2012" spans="1:12" x14ac:dyDescent="0.2">
      <c r="A2012" s="672" t="s">
        <v>220</v>
      </c>
      <c r="B2012" s="672" t="s">
        <v>10381</v>
      </c>
      <c r="C2012" s="672" t="s">
        <v>1326</v>
      </c>
      <c r="D2012" s="672" t="s">
        <v>1327</v>
      </c>
      <c r="E2012" s="745" t="s">
        <v>545</v>
      </c>
      <c r="F2012" s="747">
        <v>5670</v>
      </c>
      <c r="G2012" s="685">
        <v>0.68356282051282058</v>
      </c>
      <c r="H2012" s="685">
        <v>3875.8011923076929</v>
      </c>
      <c r="I2012" s="686" t="s">
        <v>9009</v>
      </c>
      <c r="J2012" s="672" t="s">
        <v>10128</v>
      </c>
      <c r="K2012" s="672" t="s">
        <v>541</v>
      </c>
      <c r="L2012" s="672" t="s">
        <v>8996</v>
      </c>
    </row>
    <row r="2013" spans="1:12" x14ac:dyDescent="0.2">
      <c r="A2013" s="672" t="s">
        <v>220</v>
      </c>
      <c r="B2013" s="672" t="s">
        <v>10381</v>
      </c>
      <c r="C2013" s="672" t="s">
        <v>1328</v>
      </c>
      <c r="D2013" s="672" t="s">
        <v>1329</v>
      </c>
      <c r="E2013" s="745" t="s">
        <v>545</v>
      </c>
      <c r="F2013" s="747">
        <v>2000</v>
      </c>
      <c r="G2013" s="685">
        <v>0.45070999999999994</v>
      </c>
      <c r="H2013" s="685">
        <v>901.41999999999985</v>
      </c>
      <c r="I2013" s="686" t="s">
        <v>9009</v>
      </c>
      <c r="J2013" s="672" t="s">
        <v>10128</v>
      </c>
      <c r="K2013" s="672" t="s">
        <v>541</v>
      </c>
      <c r="L2013" s="672" t="s">
        <v>8996</v>
      </c>
    </row>
    <row r="2014" spans="1:12" x14ac:dyDescent="0.2">
      <c r="A2014" s="672" t="s">
        <v>220</v>
      </c>
      <c r="B2014" s="672" t="s">
        <v>10381</v>
      </c>
      <c r="C2014" s="672" t="s">
        <v>1330</v>
      </c>
      <c r="D2014" s="672" t="s">
        <v>1331</v>
      </c>
      <c r="E2014" s="745" t="s">
        <v>545</v>
      </c>
      <c r="F2014" s="747">
        <v>5480</v>
      </c>
      <c r="G2014" s="685">
        <v>0.37505269406703134</v>
      </c>
      <c r="H2014" s="685">
        <v>2055.2887634873318</v>
      </c>
      <c r="I2014" s="686" t="s">
        <v>9009</v>
      </c>
      <c r="J2014" s="672" t="s">
        <v>10128</v>
      </c>
      <c r="K2014" s="672" t="s">
        <v>541</v>
      </c>
      <c r="L2014" s="672" t="s">
        <v>8996</v>
      </c>
    </row>
    <row r="2015" spans="1:12" x14ac:dyDescent="0.2">
      <c r="A2015" s="672" t="s">
        <v>220</v>
      </c>
      <c r="B2015" s="672" t="s">
        <v>10381</v>
      </c>
      <c r="C2015" s="672" t="s">
        <v>1334</v>
      </c>
      <c r="D2015" s="672" t="s">
        <v>1335</v>
      </c>
      <c r="E2015" s="745" t="s">
        <v>545</v>
      </c>
      <c r="F2015" s="747">
        <v>5620</v>
      </c>
      <c r="G2015" s="685">
        <v>0.49674010333392704</v>
      </c>
      <c r="H2015" s="685">
        <v>2791.6793807366698</v>
      </c>
      <c r="I2015" s="686" t="s">
        <v>9009</v>
      </c>
      <c r="J2015" s="672" t="s">
        <v>10128</v>
      </c>
      <c r="K2015" s="672" t="s">
        <v>541</v>
      </c>
      <c r="L2015" s="672" t="s">
        <v>8996</v>
      </c>
    </row>
    <row r="2016" spans="1:12" x14ac:dyDescent="0.2">
      <c r="A2016" s="672" t="s">
        <v>220</v>
      </c>
      <c r="B2016" s="672" t="s">
        <v>10381</v>
      </c>
      <c r="C2016" s="672" t="s">
        <v>1336</v>
      </c>
      <c r="D2016" s="672" t="s">
        <v>1337</v>
      </c>
      <c r="E2016" s="745" t="s">
        <v>545</v>
      </c>
      <c r="F2016" s="747">
        <v>1890</v>
      </c>
      <c r="G2016" s="685">
        <v>0.60094999999999998</v>
      </c>
      <c r="H2016" s="685">
        <v>1135.7954999999999</v>
      </c>
      <c r="I2016" s="686" t="s">
        <v>9009</v>
      </c>
      <c r="J2016" s="672" t="s">
        <v>10128</v>
      </c>
      <c r="K2016" s="672" t="s">
        <v>541</v>
      </c>
      <c r="L2016" s="672" t="s">
        <v>8996</v>
      </c>
    </row>
    <row r="2017" spans="1:12" x14ac:dyDescent="0.2">
      <c r="A2017" s="672" t="s">
        <v>220</v>
      </c>
      <c r="B2017" s="672" t="s">
        <v>10381</v>
      </c>
      <c r="C2017" s="672" t="s">
        <v>1338</v>
      </c>
      <c r="D2017" s="672" t="s">
        <v>1339</v>
      </c>
      <c r="E2017" s="745" t="s">
        <v>545</v>
      </c>
      <c r="F2017" s="747">
        <v>5350</v>
      </c>
      <c r="G2017" s="685">
        <v>0.58967420262664161</v>
      </c>
      <c r="H2017" s="685">
        <v>3154.7569840525325</v>
      </c>
      <c r="I2017" s="686" t="s">
        <v>9009</v>
      </c>
      <c r="J2017" s="672" t="s">
        <v>10128</v>
      </c>
      <c r="K2017" s="672" t="s">
        <v>541</v>
      </c>
      <c r="L2017" s="672" t="s">
        <v>8996</v>
      </c>
    </row>
    <row r="2018" spans="1:12" x14ac:dyDescent="0.2">
      <c r="A2018" s="672" t="s">
        <v>220</v>
      </c>
      <c r="B2018" s="672" t="s">
        <v>10381</v>
      </c>
      <c r="C2018" s="672" t="s">
        <v>1340</v>
      </c>
      <c r="D2018" s="672" t="s">
        <v>1341</v>
      </c>
      <c r="E2018" s="745" t="s">
        <v>545</v>
      </c>
      <c r="F2018" s="747">
        <v>8000</v>
      </c>
      <c r="G2018" s="685">
        <v>0.45450000000000002</v>
      </c>
      <c r="H2018" s="685">
        <v>3636</v>
      </c>
      <c r="I2018" s="686" t="s">
        <v>9009</v>
      </c>
      <c r="J2018" s="672" t="s">
        <v>10128</v>
      </c>
      <c r="K2018" s="672" t="s">
        <v>541</v>
      </c>
      <c r="L2018" s="672" t="s">
        <v>8996</v>
      </c>
    </row>
    <row r="2019" spans="1:12" x14ac:dyDescent="0.2">
      <c r="A2019" s="672" t="s">
        <v>220</v>
      </c>
      <c r="B2019" s="672" t="s">
        <v>10381</v>
      </c>
      <c r="C2019" s="672" t="s">
        <v>1342</v>
      </c>
      <c r="D2019" s="672" t="s">
        <v>1343</v>
      </c>
      <c r="E2019" s="745" t="s">
        <v>545</v>
      </c>
      <c r="F2019" s="747">
        <v>8000</v>
      </c>
      <c r="G2019" s="685">
        <v>0.45448732914075063</v>
      </c>
      <c r="H2019" s="685">
        <v>3635.8986331260048</v>
      </c>
      <c r="I2019" s="686" t="s">
        <v>9009</v>
      </c>
      <c r="J2019" s="672" t="s">
        <v>10128</v>
      </c>
      <c r="K2019" s="672" t="s">
        <v>541</v>
      </c>
      <c r="L2019" s="672" t="s">
        <v>8996</v>
      </c>
    </row>
    <row r="2020" spans="1:12" x14ac:dyDescent="0.2">
      <c r="A2020" s="672" t="s">
        <v>220</v>
      </c>
      <c r="B2020" s="672" t="s">
        <v>10381</v>
      </c>
      <c r="C2020" s="672" t="s">
        <v>1344</v>
      </c>
      <c r="D2020" s="672" t="s">
        <v>1345</v>
      </c>
      <c r="E2020" s="745" t="s">
        <v>545</v>
      </c>
      <c r="F2020" s="747">
        <v>12000</v>
      </c>
      <c r="G2020" s="685">
        <v>0.58048484897267205</v>
      </c>
      <c r="H2020" s="685">
        <v>6965.8181876720646</v>
      </c>
      <c r="I2020" s="686" t="s">
        <v>9009</v>
      </c>
      <c r="J2020" s="672" t="s">
        <v>10128</v>
      </c>
      <c r="K2020" s="672" t="s">
        <v>541</v>
      </c>
      <c r="L2020" s="672" t="s">
        <v>8996</v>
      </c>
    </row>
    <row r="2021" spans="1:12" x14ac:dyDescent="0.2">
      <c r="A2021" s="672" t="s">
        <v>220</v>
      </c>
      <c r="B2021" s="672" t="s">
        <v>10381</v>
      </c>
      <c r="C2021" s="672" t="s">
        <v>1346</v>
      </c>
      <c r="D2021" s="672" t="s">
        <v>1347</v>
      </c>
      <c r="E2021" s="745" t="s">
        <v>545</v>
      </c>
      <c r="F2021" s="747">
        <v>8250</v>
      </c>
      <c r="G2021" s="685">
        <v>0.48806327357812085</v>
      </c>
      <c r="H2021" s="685">
        <v>4026.5220070194969</v>
      </c>
      <c r="I2021" s="686" t="s">
        <v>9009</v>
      </c>
      <c r="J2021" s="672" t="s">
        <v>10128</v>
      </c>
      <c r="K2021" s="672" t="s">
        <v>541</v>
      </c>
      <c r="L2021" s="672" t="s">
        <v>8996</v>
      </c>
    </row>
    <row r="2022" spans="1:12" x14ac:dyDescent="0.2">
      <c r="A2022" s="672" t="s">
        <v>220</v>
      </c>
      <c r="B2022" s="672" t="s">
        <v>10381</v>
      </c>
      <c r="C2022" s="672" t="s">
        <v>1348</v>
      </c>
      <c r="D2022" s="672" t="s">
        <v>1349</v>
      </c>
      <c r="E2022" s="745" t="s">
        <v>545</v>
      </c>
      <c r="F2022" s="747">
        <v>6670</v>
      </c>
      <c r="G2022" s="685">
        <v>0.46460000000000001</v>
      </c>
      <c r="H2022" s="685">
        <v>3098.8820000000001</v>
      </c>
      <c r="I2022" s="686" t="s">
        <v>9009</v>
      </c>
      <c r="J2022" s="672" t="s">
        <v>10128</v>
      </c>
      <c r="K2022" s="672" t="s">
        <v>541</v>
      </c>
      <c r="L2022" s="672" t="s">
        <v>8996</v>
      </c>
    </row>
    <row r="2023" spans="1:12" x14ac:dyDescent="0.2">
      <c r="A2023" s="672" t="s">
        <v>220</v>
      </c>
      <c r="B2023" s="672" t="s">
        <v>10381</v>
      </c>
      <c r="C2023" s="672" t="s">
        <v>1352</v>
      </c>
      <c r="D2023" s="672" t="s">
        <v>1353</v>
      </c>
      <c r="E2023" s="745" t="s">
        <v>545</v>
      </c>
      <c r="F2023" s="747">
        <v>5000</v>
      </c>
      <c r="G2023" s="685">
        <v>0.36817928111523229</v>
      </c>
      <c r="H2023" s="685">
        <v>1840.8964055761614</v>
      </c>
      <c r="I2023" s="686" t="s">
        <v>9009</v>
      </c>
      <c r="J2023" s="672" t="s">
        <v>10128</v>
      </c>
      <c r="K2023" s="672" t="s">
        <v>541</v>
      </c>
      <c r="L2023" s="672" t="s">
        <v>8996</v>
      </c>
    </row>
    <row r="2024" spans="1:12" x14ac:dyDescent="0.2">
      <c r="A2024" s="672" t="s">
        <v>220</v>
      </c>
      <c r="B2024" s="672" t="s">
        <v>10381</v>
      </c>
      <c r="C2024" s="672" t="s">
        <v>1354</v>
      </c>
      <c r="D2024" s="672" t="s">
        <v>1355</v>
      </c>
      <c r="E2024" s="745" t="s">
        <v>545</v>
      </c>
      <c r="F2024" s="747">
        <v>11100</v>
      </c>
      <c r="G2024" s="685">
        <v>0.41386613423484897</v>
      </c>
      <c r="H2024" s="685">
        <v>4593.9140900068232</v>
      </c>
      <c r="I2024" s="686" t="s">
        <v>9009</v>
      </c>
      <c r="J2024" s="672" t="s">
        <v>10128</v>
      </c>
      <c r="K2024" s="672" t="s">
        <v>541</v>
      </c>
      <c r="L2024" s="672" t="s">
        <v>8996</v>
      </c>
    </row>
    <row r="2025" spans="1:12" x14ac:dyDescent="0.2">
      <c r="A2025" s="672" t="s">
        <v>220</v>
      </c>
      <c r="B2025" s="672" t="s">
        <v>10381</v>
      </c>
      <c r="C2025" s="672" t="s">
        <v>1356</v>
      </c>
      <c r="D2025" s="672" t="s">
        <v>1357</v>
      </c>
      <c r="E2025" s="745" t="s">
        <v>545</v>
      </c>
      <c r="F2025" s="747">
        <v>6500</v>
      </c>
      <c r="G2025" s="685">
        <v>0.43426666012848858</v>
      </c>
      <c r="H2025" s="685">
        <v>2822.7332908351759</v>
      </c>
      <c r="I2025" s="686" t="s">
        <v>9009</v>
      </c>
      <c r="J2025" s="672" t="s">
        <v>10128</v>
      </c>
      <c r="K2025" s="672" t="s">
        <v>541</v>
      </c>
      <c r="L2025" s="672" t="s">
        <v>8996</v>
      </c>
    </row>
    <row r="2026" spans="1:12" x14ac:dyDescent="0.2">
      <c r="A2026" s="672" t="s">
        <v>220</v>
      </c>
      <c r="B2026" s="672" t="s">
        <v>10381</v>
      </c>
      <c r="C2026" s="672" t="s">
        <v>1358</v>
      </c>
      <c r="D2026" s="672" t="s">
        <v>1359</v>
      </c>
      <c r="E2026" s="745" t="s">
        <v>545</v>
      </c>
      <c r="F2026" s="747">
        <v>8000</v>
      </c>
      <c r="G2026" s="685">
        <v>0.59943807992374121</v>
      </c>
      <c r="H2026" s="685">
        <v>4795.5046393899293</v>
      </c>
      <c r="I2026" s="686" t="s">
        <v>9009</v>
      </c>
      <c r="J2026" s="672" t="s">
        <v>10128</v>
      </c>
      <c r="K2026" s="672" t="s">
        <v>541</v>
      </c>
      <c r="L2026" s="672" t="s">
        <v>8996</v>
      </c>
    </row>
    <row r="2027" spans="1:12" x14ac:dyDescent="0.2">
      <c r="A2027" s="672" t="s">
        <v>220</v>
      </c>
      <c r="B2027" s="672" t="s">
        <v>10381</v>
      </c>
      <c r="C2027" s="672" t="s">
        <v>7538</v>
      </c>
      <c r="D2027" s="672" t="s">
        <v>7539</v>
      </c>
      <c r="E2027" s="745" t="s">
        <v>545</v>
      </c>
      <c r="F2027" s="747">
        <v>6000</v>
      </c>
      <c r="G2027" s="685">
        <v>0.37089444444444442</v>
      </c>
      <c r="H2027" s="685">
        <v>2225.3666666666663</v>
      </c>
      <c r="I2027" s="686" t="s">
        <v>9009</v>
      </c>
      <c r="J2027" s="672" t="s">
        <v>10128</v>
      </c>
      <c r="K2027" s="672" t="s">
        <v>541</v>
      </c>
      <c r="L2027" s="672" t="s">
        <v>8996</v>
      </c>
    </row>
    <row r="2028" spans="1:12" x14ac:dyDescent="0.2">
      <c r="A2028" s="672" t="s">
        <v>220</v>
      </c>
      <c r="B2028" s="672" t="s">
        <v>10381</v>
      </c>
      <c r="C2028" s="672" t="s">
        <v>1360</v>
      </c>
      <c r="D2028" s="672" t="s">
        <v>1361</v>
      </c>
      <c r="E2028" s="745" t="s">
        <v>545</v>
      </c>
      <c r="F2028" s="747">
        <v>1900</v>
      </c>
      <c r="G2028" s="685">
        <v>0.34496445386064029</v>
      </c>
      <c r="H2028" s="685">
        <v>655.43246233521654</v>
      </c>
      <c r="I2028" s="686" t="s">
        <v>9009</v>
      </c>
      <c r="J2028" s="672" t="s">
        <v>10128</v>
      </c>
      <c r="K2028" s="672" t="s">
        <v>541</v>
      </c>
      <c r="L2028" s="672" t="s">
        <v>8996</v>
      </c>
    </row>
    <row r="2029" spans="1:12" x14ac:dyDescent="0.2">
      <c r="A2029" s="672" t="s">
        <v>220</v>
      </c>
      <c r="B2029" s="672" t="s">
        <v>10381</v>
      </c>
      <c r="C2029" s="672" t="s">
        <v>1362</v>
      </c>
      <c r="D2029" s="672" t="s">
        <v>1363</v>
      </c>
      <c r="E2029" s="745" t="s">
        <v>545</v>
      </c>
      <c r="F2029" s="747">
        <v>4000</v>
      </c>
      <c r="G2029" s="685">
        <v>0.4387843626024861</v>
      </c>
      <c r="H2029" s="685">
        <v>1755.1374504099444</v>
      </c>
      <c r="I2029" s="686" t="s">
        <v>9009</v>
      </c>
      <c r="J2029" s="672" t="s">
        <v>10128</v>
      </c>
      <c r="K2029" s="672" t="s">
        <v>541</v>
      </c>
      <c r="L2029" s="672" t="s">
        <v>8996</v>
      </c>
    </row>
    <row r="2030" spans="1:12" x14ac:dyDescent="0.2">
      <c r="A2030" s="672" t="s">
        <v>220</v>
      </c>
      <c r="B2030" s="672" t="s">
        <v>10381</v>
      </c>
      <c r="C2030" s="672" t="s">
        <v>1364</v>
      </c>
      <c r="D2030" s="672" t="s">
        <v>1365</v>
      </c>
      <c r="E2030" s="745" t="s">
        <v>545</v>
      </c>
      <c r="F2030" s="747">
        <v>4070</v>
      </c>
      <c r="G2030" s="685">
        <v>0.38379999999999997</v>
      </c>
      <c r="H2030" s="685">
        <v>1562.0659999999998</v>
      </c>
      <c r="I2030" s="686" t="s">
        <v>9009</v>
      </c>
      <c r="J2030" s="672" t="s">
        <v>10128</v>
      </c>
      <c r="K2030" s="672" t="s">
        <v>541</v>
      </c>
      <c r="L2030" s="672" t="s">
        <v>8996</v>
      </c>
    </row>
    <row r="2031" spans="1:12" x14ac:dyDescent="0.2">
      <c r="A2031" s="672" t="s">
        <v>220</v>
      </c>
      <c r="B2031" s="672" t="s">
        <v>10381</v>
      </c>
      <c r="C2031" s="672" t="s">
        <v>1366</v>
      </c>
      <c r="D2031" s="672" t="s">
        <v>1367</v>
      </c>
      <c r="E2031" s="745" t="s">
        <v>545</v>
      </c>
      <c r="F2031" s="747">
        <v>3086</v>
      </c>
      <c r="G2031" s="685">
        <v>0.45450000000000002</v>
      </c>
      <c r="H2031" s="685">
        <v>1402.587</v>
      </c>
      <c r="I2031" s="686" t="s">
        <v>9009</v>
      </c>
      <c r="J2031" s="672" t="s">
        <v>10128</v>
      </c>
      <c r="K2031" s="672" t="s">
        <v>541</v>
      </c>
      <c r="L2031" s="672" t="s">
        <v>8996</v>
      </c>
    </row>
    <row r="2032" spans="1:12" x14ac:dyDescent="0.2">
      <c r="A2032" s="672" t="s">
        <v>220</v>
      </c>
      <c r="B2032" s="672" t="s">
        <v>10381</v>
      </c>
      <c r="C2032" s="672" t="s">
        <v>1368</v>
      </c>
      <c r="D2032" s="672" t="s">
        <v>1369</v>
      </c>
      <c r="E2032" s="745" t="s">
        <v>545</v>
      </c>
      <c r="F2032" s="747">
        <v>2730</v>
      </c>
      <c r="G2032" s="685">
        <v>0.42420000000000002</v>
      </c>
      <c r="H2032" s="685">
        <v>1158.066</v>
      </c>
      <c r="I2032" s="686" t="s">
        <v>9009</v>
      </c>
      <c r="J2032" s="672" t="s">
        <v>10128</v>
      </c>
      <c r="K2032" s="672" t="s">
        <v>541</v>
      </c>
      <c r="L2032" s="672" t="s">
        <v>8996</v>
      </c>
    </row>
    <row r="2033" spans="1:12" x14ac:dyDescent="0.2">
      <c r="A2033" s="672" t="s">
        <v>220</v>
      </c>
      <c r="B2033" s="672" t="s">
        <v>10381</v>
      </c>
      <c r="C2033" s="672" t="s">
        <v>1370</v>
      </c>
      <c r="D2033" s="672" t="s">
        <v>1371</v>
      </c>
      <c r="E2033" s="745" t="s">
        <v>545</v>
      </c>
      <c r="F2033" s="747">
        <v>5060</v>
      </c>
      <c r="G2033" s="685">
        <v>0.38516514227642279</v>
      </c>
      <c r="H2033" s="685">
        <v>1948.9356199186993</v>
      </c>
      <c r="I2033" s="686" t="s">
        <v>9009</v>
      </c>
      <c r="J2033" s="672" t="s">
        <v>10128</v>
      </c>
      <c r="K2033" s="672" t="s">
        <v>541</v>
      </c>
      <c r="L2033" s="672" t="s">
        <v>8996</v>
      </c>
    </row>
    <row r="2034" spans="1:12" x14ac:dyDescent="0.2">
      <c r="A2034" s="672" t="s">
        <v>220</v>
      </c>
      <c r="B2034" s="672" t="s">
        <v>10381</v>
      </c>
      <c r="C2034" s="672" t="s">
        <v>1372</v>
      </c>
      <c r="D2034" s="672" t="s">
        <v>1373</v>
      </c>
      <c r="E2034" s="745" t="s">
        <v>545</v>
      </c>
      <c r="F2034" s="747">
        <v>4500</v>
      </c>
      <c r="G2034" s="685">
        <v>0.37369999999999998</v>
      </c>
      <c r="H2034" s="685">
        <v>1681.6499999999999</v>
      </c>
      <c r="I2034" s="686" t="s">
        <v>9009</v>
      </c>
      <c r="J2034" s="672" t="s">
        <v>10128</v>
      </c>
      <c r="K2034" s="672" t="s">
        <v>541</v>
      </c>
      <c r="L2034" s="672" t="s">
        <v>8996</v>
      </c>
    </row>
    <row r="2035" spans="1:12" x14ac:dyDescent="0.2">
      <c r="A2035" s="672" t="s">
        <v>220</v>
      </c>
      <c r="B2035" s="672" t="s">
        <v>10381</v>
      </c>
      <c r="C2035" s="672" t="s">
        <v>1374</v>
      </c>
      <c r="D2035" s="672" t="s">
        <v>1375</v>
      </c>
      <c r="E2035" s="745" t="s">
        <v>545</v>
      </c>
      <c r="F2035" s="747">
        <v>2000</v>
      </c>
      <c r="G2035" s="685">
        <v>0.45445555555555556</v>
      </c>
      <c r="H2035" s="685">
        <v>908.91111111111115</v>
      </c>
      <c r="I2035" s="686" t="s">
        <v>9009</v>
      </c>
      <c r="J2035" s="672" t="s">
        <v>10128</v>
      </c>
      <c r="K2035" s="672" t="s">
        <v>541</v>
      </c>
      <c r="L2035" s="672" t="s">
        <v>8996</v>
      </c>
    </row>
    <row r="2036" spans="1:12" x14ac:dyDescent="0.2">
      <c r="A2036" s="672" t="s">
        <v>220</v>
      </c>
      <c r="B2036" s="672" t="s">
        <v>10381</v>
      </c>
      <c r="C2036" s="672" t="s">
        <v>1376</v>
      </c>
      <c r="D2036" s="672" t="s">
        <v>1377</v>
      </c>
      <c r="E2036" s="745" t="s">
        <v>545</v>
      </c>
      <c r="F2036" s="747">
        <v>1970</v>
      </c>
      <c r="G2036" s="685">
        <v>0.42420000000000002</v>
      </c>
      <c r="H2036" s="685">
        <v>835.67400000000009</v>
      </c>
      <c r="I2036" s="686" t="s">
        <v>9009</v>
      </c>
      <c r="J2036" s="672" t="s">
        <v>10128</v>
      </c>
      <c r="K2036" s="672" t="s">
        <v>541</v>
      </c>
      <c r="L2036" s="672" t="s">
        <v>8996</v>
      </c>
    </row>
    <row r="2037" spans="1:12" x14ac:dyDescent="0.2">
      <c r="A2037" s="672" t="s">
        <v>220</v>
      </c>
      <c r="B2037" s="672" t="s">
        <v>10381</v>
      </c>
      <c r="C2037" s="672" t="s">
        <v>1378</v>
      </c>
      <c r="D2037" s="672" t="s">
        <v>1379</v>
      </c>
      <c r="E2037" s="745" t="s">
        <v>545</v>
      </c>
      <c r="F2037" s="747">
        <v>3000</v>
      </c>
      <c r="G2037" s="685">
        <v>0.37369999999999992</v>
      </c>
      <c r="H2037" s="685">
        <v>1121.0999999999997</v>
      </c>
      <c r="I2037" s="686" t="s">
        <v>9009</v>
      </c>
      <c r="J2037" s="672" t="s">
        <v>10128</v>
      </c>
      <c r="K2037" s="672" t="s">
        <v>541</v>
      </c>
      <c r="L2037" s="672" t="s">
        <v>8996</v>
      </c>
    </row>
    <row r="2038" spans="1:12" x14ac:dyDescent="0.2">
      <c r="A2038" s="672" t="s">
        <v>220</v>
      </c>
      <c r="B2038" s="672" t="s">
        <v>10381</v>
      </c>
      <c r="C2038" s="672" t="s">
        <v>1380</v>
      </c>
      <c r="D2038" s="672" t="s">
        <v>1381</v>
      </c>
      <c r="E2038" s="745" t="s">
        <v>545</v>
      </c>
      <c r="F2038" s="747">
        <v>2500</v>
      </c>
      <c r="G2038" s="685">
        <v>0.47470000000000001</v>
      </c>
      <c r="H2038" s="685">
        <v>1186.75</v>
      </c>
      <c r="I2038" s="686" t="s">
        <v>9009</v>
      </c>
      <c r="J2038" s="672" t="s">
        <v>10128</v>
      </c>
      <c r="K2038" s="672" t="s">
        <v>541</v>
      </c>
      <c r="L2038" s="672" t="s">
        <v>8996</v>
      </c>
    </row>
    <row r="2039" spans="1:12" x14ac:dyDescent="0.2">
      <c r="A2039" s="672" t="s">
        <v>220</v>
      </c>
      <c r="B2039" s="672" t="s">
        <v>10381</v>
      </c>
      <c r="C2039" s="672" t="s">
        <v>1382</v>
      </c>
      <c r="D2039" s="672" t="s">
        <v>1383</v>
      </c>
      <c r="E2039" s="745" t="s">
        <v>545</v>
      </c>
      <c r="F2039" s="747">
        <v>3360</v>
      </c>
      <c r="G2039" s="685">
        <v>0.78762798053527983</v>
      </c>
      <c r="H2039" s="685">
        <v>2646.4300145985403</v>
      </c>
      <c r="I2039" s="686" t="s">
        <v>9009</v>
      </c>
      <c r="J2039" s="672" t="s">
        <v>10128</v>
      </c>
      <c r="K2039" s="672" t="s">
        <v>541</v>
      </c>
      <c r="L2039" s="672" t="s">
        <v>8996</v>
      </c>
    </row>
    <row r="2040" spans="1:12" x14ac:dyDescent="0.2">
      <c r="A2040" s="672" t="s">
        <v>220</v>
      </c>
      <c r="B2040" s="672" t="s">
        <v>10381</v>
      </c>
      <c r="C2040" s="672" t="s">
        <v>1384</v>
      </c>
      <c r="D2040" s="672" t="s">
        <v>9717</v>
      </c>
      <c r="E2040" s="745" t="s">
        <v>545</v>
      </c>
      <c r="F2040" s="747">
        <v>3360</v>
      </c>
      <c r="G2040" s="685">
        <v>0.79285000000000005</v>
      </c>
      <c r="H2040" s="685">
        <v>2663.9760000000001</v>
      </c>
      <c r="I2040" s="686" t="s">
        <v>9009</v>
      </c>
      <c r="J2040" s="672" t="s">
        <v>10128</v>
      </c>
      <c r="K2040" s="672" t="s">
        <v>541</v>
      </c>
      <c r="L2040" s="672" t="s">
        <v>8996</v>
      </c>
    </row>
    <row r="2041" spans="1:12" x14ac:dyDescent="0.2">
      <c r="A2041" s="672" t="s">
        <v>220</v>
      </c>
      <c r="B2041" s="672" t="s">
        <v>10381</v>
      </c>
      <c r="C2041" s="672" t="s">
        <v>1386</v>
      </c>
      <c r="D2041" s="672" t="s">
        <v>9718</v>
      </c>
      <c r="E2041" s="745" t="s">
        <v>9693</v>
      </c>
      <c r="F2041" s="747">
        <v>900</v>
      </c>
      <c r="G2041" s="685">
        <v>0.79285000000000005</v>
      </c>
      <c r="H2041" s="685">
        <v>713.56500000000005</v>
      </c>
      <c r="I2041" s="686" t="s">
        <v>9009</v>
      </c>
      <c r="J2041" s="672" t="s">
        <v>10128</v>
      </c>
      <c r="K2041" s="672" t="s">
        <v>541</v>
      </c>
      <c r="L2041" s="672" t="s">
        <v>8996</v>
      </c>
    </row>
    <row r="2042" spans="1:12" x14ac:dyDescent="0.2">
      <c r="A2042" s="672" t="s">
        <v>220</v>
      </c>
      <c r="B2042" s="672" t="s">
        <v>10381</v>
      </c>
      <c r="C2042" s="672" t="s">
        <v>1388</v>
      </c>
      <c r="D2042" s="672" t="s">
        <v>1389</v>
      </c>
      <c r="E2042" s="745" t="s">
        <v>545</v>
      </c>
      <c r="F2042" s="747">
        <v>3500</v>
      </c>
      <c r="G2042" s="685">
        <v>9.1999999999999998E-2</v>
      </c>
      <c r="H2042" s="685">
        <v>322</v>
      </c>
      <c r="I2042" s="686" t="s">
        <v>9009</v>
      </c>
      <c r="J2042" s="672" t="s">
        <v>10128</v>
      </c>
      <c r="K2042" s="672" t="s">
        <v>541</v>
      </c>
      <c r="L2042" s="672" t="s">
        <v>8996</v>
      </c>
    </row>
    <row r="2043" spans="1:12" x14ac:dyDescent="0.2">
      <c r="A2043" s="672" t="s">
        <v>220</v>
      </c>
      <c r="B2043" s="672" t="s">
        <v>10381</v>
      </c>
      <c r="C2043" s="672" t="s">
        <v>1390</v>
      </c>
      <c r="D2043" s="672" t="s">
        <v>1391</v>
      </c>
      <c r="E2043" s="745" t="s">
        <v>545</v>
      </c>
      <c r="F2043" s="747">
        <v>3500</v>
      </c>
      <c r="G2043" s="685">
        <v>9.2000000000000012E-2</v>
      </c>
      <c r="H2043" s="685">
        <v>322.00000000000006</v>
      </c>
      <c r="I2043" s="686" t="s">
        <v>9009</v>
      </c>
      <c r="J2043" s="672" t="s">
        <v>10128</v>
      </c>
      <c r="K2043" s="672" t="s">
        <v>541</v>
      </c>
      <c r="L2043" s="672" t="s">
        <v>8996</v>
      </c>
    </row>
    <row r="2044" spans="1:12" x14ac:dyDescent="0.2">
      <c r="A2044" s="672" t="s">
        <v>220</v>
      </c>
      <c r="B2044" s="672" t="s">
        <v>10381</v>
      </c>
      <c r="C2044" s="672" t="s">
        <v>1392</v>
      </c>
      <c r="D2044" s="672" t="s">
        <v>1393</v>
      </c>
      <c r="E2044" s="745" t="s">
        <v>545</v>
      </c>
      <c r="F2044" s="747">
        <v>8500</v>
      </c>
      <c r="G2044" s="685">
        <v>0.30073257356344602</v>
      </c>
      <c r="H2044" s="685">
        <v>2556.226875289291</v>
      </c>
      <c r="I2044" s="686" t="s">
        <v>9009</v>
      </c>
      <c r="J2044" s="672" t="s">
        <v>10128</v>
      </c>
      <c r="K2044" s="672" t="s">
        <v>541</v>
      </c>
      <c r="L2044" s="672" t="s">
        <v>8996</v>
      </c>
    </row>
    <row r="2045" spans="1:12" x14ac:dyDescent="0.2">
      <c r="A2045" s="672" t="s">
        <v>220</v>
      </c>
      <c r="B2045" s="672" t="s">
        <v>10381</v>
      </c>
      <c r="C2045" s="672" t="s">
        <v>1394</v>
      </c>
      <c r="D2045" s="672" t="s">
        <v>1395</v>
      </c>
      <c r="E2045" s="745" t="s">
        <v>545</v>
      </c>
      <c r="F2045" s="747">
        <v>1400</v>
      </c>
      <c r="G2045" s="685">
        <v>0.27</v>
      </c>
      <c r="H2045" s="685">
        <v>378</v>
      </c>
      <c r="I2045" s="686" t="s">
        <v>9009</v>
      </c>
      <c r="J2045" s="672" t="s">
        <v>10128</v>
      </c>
      <c r="K2045" s="672" t="s">
        <v>541</v>
      </c>
      <c r="L2045" s="672" t="s">
        <v>8996</v>
      </c>
    </row>
    <row r="2046" spans="1:12" x14ac:dyDescent="0.2">
      <c r="A2046" s="672" t="s">
        <v>220</v>
      </c>
      <c r="B2046" s="672" t="s">
        <v>10381</v>
      </c>
      <c r="C2046" s="672" t="s">
        <v>1396</v>
      </c>
      <c r="D2046" s="672" t="s">
        <v>1397</v>
      </c>
      <c r="E2046" s="745" t="s">
        <v>545</v>
      </c>
      <c r="F2046" s="747">
        <v>2600</v>
      </c>
      <c r="G2046" s="685">
        <v>0.42</v>
      </c>
      <c r="H2046" s="685">
        <v>1092</v>
      </c>
      <c r="I2046" s="686" t="s">
        <v>9009</v>
      </c>
      <c r="J2046" s="672" t="s">
        <v>10128</v>
      </c>
      <c r="K2046" s="672" t="s">
        <v>541</v>
      </c>
      <c r="L2046" s="672" t="s">
        <v>8996</v>
      </c>
    </row>
    <row r="2047" spans="1:12" x14ac:dyDescent="0.2">
      <c r="A2047" s="672" t="s">
        <v>220</v>
      </c>
      <c r="B2047" s="672" t="s">
        <v>10381</v>
      </c>
      <c r="C2047" s="672" t="s">
        <v>1398</v>
      </c>
      <c r="D2047" s="672" t="s">
        <v>1399</v>
      </c>
      <c r="E2047" s="745" t="s">
        <v>545</v>
      </c>
      <c r="F2047" s="747">
        <v>2600</v>
      </c>
      <c r="G2047" s="685">
        <v>0.23643</v>
      </c>
      <c r="H2047" s="685">
        <v>614.71799999999996</v>
      </c>
      <c r="I2047" s="686" t="s">
        <v>9009</v>
      </c>
      <c r="J2047" s="672" t="s">
        <v>10128</v>
      </c>
      <c r="K2047" s="672" t="s">
        <v>541</v>
      </c>
      <c r="L2047" s="672" t="s">
        <v>8996</v>
      </c>
    </row>
    <row r="2048" spans="1:12" x14ac:dyDescent="0.2">
      <c r="A2048" s="672" t="s">
        <v>220</v>
      </c>
      <c r="B2048" s="672" t="s">
        <v>10381</v>
      </c>
      <c r="C2048" s="672" t="s">
        <v>1400</v>
      </c>
      <c r="D2048" s="672" t="s">
        <v>1401</v>
      </c>
      <c r="E2048" s="745" t="s">
        <v>545</v>
      </c>
      <c r="F2048" s="747">
        <v>8200</v>
      </c>
      <c r="G2048" s="685">
        <v>0.30131539823084258</v>
      </c>
      <c r="H2048" s="685">
        <v>2470.786265492909</v>
      </c>
      <c r="I2048" s="686" t="s">
        <v>9009</v>
      </c>
      <c r="J2048" s="672" t="s">
        <v>10128</v>
      </c>
      <c r="K2048" s="672" t="s">
        <v>541</v>
      </c>
      <c r="L2048" s="672" t="s">
        <v>8996</v>
      </c>
    </row>
    <row r="2049" spans="1:12" x14ac:dyDescent="0.2">
      <c r="A2049" s="672" t="s">
        <v>220</v>
      </c>
      <c r="B2049" s="672" t="s">
        <v>10381</v>
      </c>
      <c r="C2049" s="672" t="s">
        <v>1402</v>
      </c>
      <c r="D2049" s="672" t="s">
        <v>1403</v>
      </c>
      <c r="E2049" s="745" t="s">
        <v>545</v>
      </c>
      <c r="F2049" s="747">
        <v>8200</v>
      </c>
      <c r="G2049" s="685">
        <v>0.28905333333333333</v>
      </c>
      <c r="H2049" s="685">
        <v>2370.2373333333335</v>
      </c>
      <c r="I2049" s="686" t="s">
        <v>9009</v>
      </c>
      <c r="J2049" s="672" t="s">
        <v>10128</v>
      </c>
      <c r="K2049" s="672" t="s">
        <v>541</v>
      </c>
      <c r="L2049" s="672" t="s">
        <v>8996</v>
      </c>
    </row>
    <row r="2050" spans="1:12" x14ac:dyDescent="0.2">
      <c r="A2050" s="672" t="s">
        <v>220</v>
      </c>
      <c r="B2050" s="672" t="s">
        <v>10381</v>
      </c>
      <c r="C2050" s="672" t="s">
        <v>1404</v>
      </c>
      <c r="D2050" s="672" t="s">
        <v>1405</v>
      </c>
      <c r="E2050" s="745" t="s">
        <v>545</v>
      </c>
      <c r="F2050" s="747">
        <v>2500</v>
      </c>
      <c r="G2050" s="685">
        <v>0.42</v>
      </c>
      <c r="H2050" s="685">
        <v>1050</v>
      </c>
      <c r="I2050" s="686" t="s">
        <v>9009</v>
      </c>
      <c r="J2050" s="672" t="s">
        <v>10128</v>
      </c>
      <c r="K2050" s="672" t="s">
        <v>541</v>
      </c>
      <c r="L2050" s="672" t="s">
        <v>8996</v>
      </c>
    </row>
    <row r="2051" spans="1:12" x14ac:dyDescent="0.2">
      <c r="A2051" s="672" t="s">
        <v>220</v>
      </c>
      <c r="B2051" s="672" t="s">
        <v>10381</v>
      </c>
      <c r="C2051" s="672" t="s">
        <v>1406</v>
      </c>
      <c r="D2051" s="672" t="s">
        <v>1407</v>
      </c>
      <c r="E2051" s="745" t="s">
        <v>545</v>
      </c>
      <c r="F2051" s="747">
        <v>2500</v>
      </c>
      <c r="G2051" s="685">
        <v>0.2727</v>
      </c>
      <c r="H2051" s="685">
        <v>681.75</v>
      </c>
      <c r="I2051" s="686" t="s">
        <v>9009</v>
      </c>
      <c r="J2051" s="672" t="s">
        <v>10128</v>
      </c>
      <c r="K2051" s="672" t="s">
        <v>541</v>
      </c>
      <c r="L2051" s="672" t="s">
        <v>8996</v>
      </c>
    </row>
    <row r="2052" spans="1:12" x14ac:dyDescent="0.2">
      <c r="A2052" s="672" t="s">
        <v>220</v>
      </c>
      <c r="B2052" s="672" t="s">
        <v>10381</v>
      </c>
      <c r="C2052" s="672" t="s">
        <v>1408</v>
      </c>
      <c r="D2052" s="672" t="s">
        <v>1409</v>
      </c>
      <c r="E2052" s="745" t="s">
        <v>545</v>
      </c>
      <c r="F2052" s="747">
        <v>1000</v>
      </c>
      <c r="G2052" s="685">
        <v>0.29794999999999999</v>
      </c>
      <c r="H2052" s="685">
        <v>297.95</v>
      </c>
      <c r="I2052" s="686" t="s">
        <v>9009</v>
      </c>
      <c r="J2052" s="672" t="s">
        <v>10128</v>
      </c>
      <c r="K2052" s="672" t="s">
        <v>541</v>
      </c>
      <c r="L2052" s="672" t="s">
        <v>8996</v>
      </c>
    </row>
    <row r="2053" spans="1:12" x14ac:dyDescent="0.2">
      <c r="A2053" s="672" t="s">
        <v>220</v>
      </c>
      <c r="B2053" s="672" t="s">
        <v>10381</v>
      </c>
      <c r="C2053" s="672" t="s">
        <v>1410</v>
      </c>
      <c r="D2053" s="672" t="s">
        <v>1411</v>
      </c>
      <c r="E2053" s="745" t="s">
        <v>545</v>
      </c>
      <c r="F2053" s="747">
        <v>3000</v>
      </c>
      <c r="G2053" s="685">
        <v>0.2727</v>
      </c>
      <c r="H2053" s="685">
        <v>818.1</v>
      </c>
      <c r="I2053" s="686" t="s">
        <v>9009</v>
      </c>
      <c r="J2053" s="672" t="s">
        <v>10128</v>
      </c>
      <c r="K2053" s="672" t="s">
        <v>541</v>
      </c>
      <c r="L2053" s="672" t="s">
        <v>8996</v>
      </c>
    </row>
    <row r="2054" spans="1:12" x14ac:dyDescent="0.2">
      <c r="A2054" s="672" t="s">
        <v>220</v>
      </c>
      <c r="B2054" s="672" t="s">
        <v>10381</v>
      </c>
      <c r="C2054" s="672" t="s">
        <v>1412</v>
      </c>
      <c r="D2054" s="672" t="s">
        <v>1413</v>
      </c>
      <c r="E2054" s="745" t="s">
        <v>545</v>
      </c>
      <c r="F2054" s="747">
        <v>2500</v>
      </c>
      <c r="G2054" s="685">
        <v>0.29794999999999999</v>
      </c>
      <c r="H2054" s="685">
        <v>744.875</v>
      </c>
      <c r="I2054" s="686" t="s">
        <v>9009</v>
      </c>
      <c r="J2054" s="672" t="s">
        <v>10128</v>
      </c>
      <c r="K2054" s="672" t="s">
        <v>541</v>
      </c>
      <c r="L2054" s="672" t="s">
        <v>8996</v>
      </c>
    </row>
    <row r="2055" spans="1:12" x14ac:dyDescent="0.2">
      <c r="A2055" s="672" t="s">
        <v>220</v>
      </c>
      <c r="B2055" s="672" t="s">
        <v>10381</v>
      </c>
      <c r="C2055" s="672" t="s">
        <v>1414</v>
      </c>
      <c r="D2055" s="672" t="s">
        <v>1415</v>
      </c>
      <c r="E2055" s="745" t="s">
        <v>545</v>
      </c>
      <c r="F2055" s="747">
        <v>5000</v>
      </c>
      <c r="G2055" s="685">
        <v>0.33835000000000004</v>
      </c>
      <c r="H2055" s="685">
        <v>1691.7500000000002</v>
      </c>
      <c r="I2055" s="686" t="s">
        <v>9009</v>
      </c>
      <c r="J2055" s="672" t="s">
        <v>10128</v>
      </c>
      <c r="K2055" s="672" t="s">
        <v>541</v>
      </c>
      <c r="L2055" s="672" t="s">
        <v>8996</v>
      </c>
    </row>
    <row r="2056" spans="1:12" x14ac:dyDescent="0.2">
      <c r="A2056" s="672" t="s">
        <v>220</v>
      </c>
      <c r="B2056" s="672" t="s">
        <v>10381</v>
      </c>
      <c r="C2056" s="672" t="s">
        <v>1416</v>
      </c>
      <c r="D2056" s="672" t="s">
        <v>1417</v>
      </c>
      <c r="E2056" s="745" t="s">
        <v>545</v>
      </c>
      <c r="F2056" s="747">
        <v>5100</v>
      </c>
      <c r="G2056" s="685">
        <v>0.5252</v>
      </c>
      <c r="H2056" s="685">
        <v>2678.52</v>
      </c>
      <c r="I2056" s="686" t="s">
        <v>9009</v>
      </c>
      <c r="J2056" s="672" t="s">
        <v>10128</v>
      </c>
      <c r="K2056" s="672" t="s">
        <v>541</v>
      </c>
      <c r="L2056" s="672" t="s">
        <v>8996</v>
      </c>
    </row>
    <row r="2057" spans="1:12" x14ac:dyDescent="0.2">
      <c r="A2057" s="672" t="s">
        <v>220</v>
      </c>
      <c r="B2057" s="672" t="s">
        <v>10381</v>
      </c>
      <c r="C2057" s="672" t="s">
        <v>1418</v>
      </c>
      <c r="D2057" s="672" t="s">
        <v>1419</v>
      </c>
      <c r="E2057" s="745" t="s">
        <v>545</v>
      </c>
      <c r="F2057" s="747">
        <v>5000</v>
      </c>
      <c r="G2057" s="685">
        <v>0.18179999999999999</v>
      </c>
      <c r="H2057" s="685">
        <v>909</v>
      </c>
      <c r="I2057" s="686" t="s">
        <v>9009</v>
      </c>
      <c r="J2057" s="672" t="s">
        <v>10128</v>
      </c>
      <c r="K2057" s="672" t="s">
        <v>541</v>
      </c>
      <c r="L2057" s="672" t="s">
        <v>8996</v>
      </c>
    </row>
    <row r="2058" spans="1:12" x14ac:dyDescent="0.2">
      <c r="A2058" s="672" t="s">
        <v>220</v>
      </c>
      <c r="B2058" s="672" t="s">
        <v>10381</v>
      </c>
      <c r="C2058" s="672" t="s">
        <v>1420</v>
      </c>
      <c r="D2058" s="672" t="s">
        <v>1421</v>
      </c>
      <c r="E2058" s="745" t="s">
        <v>545</v>
      </c>
      <c r="F2058" s="747">
        <v>4000</v>
      </c>
      <c r="G2058" s="685">
        <v>0.47399058585182707</v>
      </c>
      <c r="H2058" s="685">
        <v>1895.9623434073083</v>
      </c>
      <c r="I2058" s="686" t="s">
        <v>9009</v>
      </c>
      <c r="J2058" s="672" t="s">
        <v>10128</v>
      </c>
      <c r="K2058" s="672" t="s">
        <v>541</v>
      </c>
      <c r="L2058" s="672" t="s">
        <v>8996</v>
      </c>
    </row>
    <row r="2059" spans="1:12" x14ac:dyDescent="0.2">
      <c r="A2059" s="672" t="s">
        <v>220</v>
      </c>
      <c r="B2059" s="672" t="s">
        <v>10381</v>
      </c>
      <c r="C2059" s="672" t="s">
        <v>1422</v>
      </c>
      <c r="D2059" s="672" t="s">
        <v>1423</v>
      </c>
      <c r="E2059" s="745" t="s">
        <v>545</v>
      </c>
      <c r="F2059" s="747">
        <v>2500</v>
      </c>
      <c r="G2059" s="685">
        <v>0.49246411764705877</v>
      </c>
      <c r="H2059" s="685">
        <v>1231.160294117647</v>
      </c>
      <c r="I2059" s="686" t="s">
        <v>9009</v>
      </c>
      <c r="J2059" s="672" t="s">
        <v>10128</v>
      </c>
      <c r="K2059" s="672" t="s">
        <v>541</v>
      </c>
      <c r="L2059" s="672" t="s">
        <v>8996</v>
      </c>
    </row>
    <row r="2060" spans="1:12" x14ac:dyDescent="0.2">
      <c r="A2060" s="672" t="s">
        <v>220</v>
      </c>
      <c r="B2060" s="672" t="s">
        <v>10381</v>
      </c>
      <c r="C2060" s="672" t="s">
        <v>2233</v>
      </c>
      <c r="D2060" s="672" t="s">
        <v>2234</v>
      </c>
      <c r="E2060" s="745" t="s">
        <v>545</v>
      </c>
      <c r="F2060" s="747">
        <v>3200</v>
      </c>
      <c r="G2060" s="685">
        <v>0.36761032467189586</v>
      </c>
      <c r="H2060" s="685">
        <v>1176.3530389500668</v>
      </c>
      <c r="I2060" s="686" t="s">
        <v>9009</v>
      </c>
      <c r="J2060" s="672" t="s">
        <v>10128</v>
      </c>
      <c r="K2060" s="672" t="s">
        <v>541</v>
      </c>
      <c r="L2060" s="672" t="s">
        <v>8996</v>
      </c>
    </row>
    <row r="2061" spans="1:12" x14ac:dyDescent="0.2">
      <c r="A2061" s="672" t="s">
        <v>220</v>
      </c>
      <c r="B2061" s="672" t="s">
        <v>10381</v>
      </c>
      <c r="C2061" s="672" t="s">
        <v>1428</v>
      </c>
      <c r="D2061" s="672" t="s">
        <v>1429</v>
      </c>
      <c r="E2061" s="745" t="s">
        <v>545</v>
      </c>
      <c r="F2061" s="747">
        <v>2200</v>
      </c>
      <c r="G2061" s="685">
        <v>0.39843465327029159</v>
      </c>
      <c r="H2061" s="685">
        <v>876.55623719464154</v>
      </c>
      <c r="I2061" s="686" t="s">
        <v>9009</v>
      </c>
      <c r="J2061" s="672" t="s">
        <v>10128</v>
      </c>
      <c r="K2061" s="672" t="s">
        <v>541</v>
      </c>
      <c r="L2061" s="672" t="s">
        <v>8996</v>
      </c>
    </row>
    <row r="2062" spans="1:12" x14ac:dyDescent="0.2">
      <c r="A2062" s="672" t="s">
        <v>220</v>
      </c>
      <c r="B2062" s="672" t="s">
        <v>10381</v>
      </c>
      <c r="C2062" s="672" t="s">
        <v>1430</v>
      </c>
      <c r="D2062" s="672" t="s">
        <v>1431</v>
      </c>
      <c r="E2062" s="745" t="s">
        <v>545</v>
      </c>
      <c r="F2062" s="747">
        <v>1000</v>
      </c>
      <c r="G2062" s="685">
        <v>0.37564969642239526</v>
      </c>
      <c r="H2062" s="685">
        <v>375.64969642239527</v>
      </c>
      <c r="I2062" s="686" t="s">
        <v>9009</v>
      </c>
      <c r="J2062" s="672" t="s">
        <v>10128</v>
      </c>
      <c r="K2062" s="672" t="s">
        <v>541</v>
      </c>
      <c r="L2062" s="672" t="s">
        <v>8996</v>
      </c>
    </row>
    <row r="2063" spans="1:12" x14ac:dyDescent="0.2">
      <c r="A2063" s="672" t="s">
        <v>220</v>
      </c>
      <c r="B2063" s="672" t="s">
        <v>10381</v>
      </c>
      <c r="C2063" s="672" t="s">
        <v>1432</v>
      </c>
      <c r="D2063" s="672" t="s">
        <v>1433</v>
      </c>
      <c r="E2063" s="745" t="s">
        <v>545</v>
      </c>
      <c r="F2063" s="747">
        <v>5500</v>
      </c>
      <c r="G2063" s="685">
        <v>0.47470000000000012</v>
      </c>
      <c r="H2063" s="685">
        <v>2610.8500000000008</v>
      </c>
      <c r="I2063" s="686" t="s">
        <v>9009</v>
      </c>
      <c r="J2063" s="672" t="s">
        <v>10128</v>
      </c>
      <c r="K2063" s="672" t="s">
        <v>541</v>
      </c>
      <c r="L2063" s="672" t="s">
        <v>8996</v>
      </c>
    </row>
    <row r="2064" spans="1:12" x14ac:dyDescent="0.2">
      <c r="A2064" s="672" t="s">
        <v>220</v>
      </c>
      <c r="B2064" s="672" t="s">
        <v>10381</v>
      </c>
      <c r="C2064" s="672" t="s">
        <v>1434</v>
      </c>
      <c r="D2064" s="672" t="s">
        <v>1435</v>
      </c>
      <c r="E2064" s="745" t="s">
        <v>545</v>
      </c>
      <c r="F2064" s="747">
        <v>4750</v>
      </c>
      <c r="G2064" s="685">
        <v>0.48984999999999995</v>
      </c>
      <c r="H2064" s="685">
        <v>2326.7874999999999</v>
      </c>
      <c r="I2064" s="686" t="s">
        <v>9009</v>
      </c>
      <c r="J2064" s="672" t="s">
        <v>10128</v>
      </c>
      <c r="K2064" s="672" t="s">
        <v>541</v>
      </c>
      <c r="L2064" s="672" t="s">
        <v>8996</v>
      </c>
    </row>
    <row r="2065" spans="1:12" x14ac:dyDescent="0.2">
      <c r="A2065" s="672" t="s">
        <v>220</v>
      </c>
      <c r="B2065" s="672" t="s">
        <v>10381</v>
      </c>
      <c r="C2065" s="672" t="s">
        <v>1436</v>
      </c>
      <c r="D2065" s="672" t="s">
        <v>1437</v>
      </c>
      <c r="E2065" s="745" t="s">
        <v>545</v>
      </c>
      <c r="F2065" s="747">
        <v>4000</v>
      </c>
      <c r="G2065" s="685">
        <v>0.63629999999999998</v>
      </c>
      <c r="H2065" s="685">
        <v>2545.1999999999998</v>
      </c>
      <c r="I2065" s="686" t="s">
        <v>9009</v>
      </c>
      <c r="J2065" s="672" t="s">
        <v>10128</v>
      </c>
      <c r="K2065" s="672" t="s">
        <v>541</v>
      </c>
      <c r="L2065" s="672" t="s">
        <v>8996</v>
      </c>
    </row>
    <row r="2066" spans="1:12" x14ac:dyDescent="0.2">
      <c r="A2066" s="672" t="s">
        <v>220</v>
      </c>
      <c r="B2066" s="672" t="s">
        <v>10381</v>
      </c>
      <c r="C2066" s="672" t="s">
        <v>9143</v>
      </c>
      <c r="D2066" s="672" t="s">
        <v>9144</v>
      </c>
      <c r="E2066" s="745" t="s">
        <v>545</v>
      </c>
      <c r="F2066" s="747">
        <v>1500</v>
      </c>
      <c r="G2066" s="685">
        <v>0.76676605504587159</v>
      </c>
      <c r="H2066" s="685">
        <v>1150.1490825688074</v>
      </c>
      <c r="I2066" s="686" t="s">
        <v>9009</v>
      </c>
      <c r="J2066" s="672" t="s">
        <v>10128</v>
      </c>
      <c r="K2066" s="672" t="s">
        <v>541</v>
      </c>
      <c r="L2066" s="672" t="s">
        <v>8996</v>
      </c>
    </row>
    <row r="2067" spans="1:12" x14ac:dyDescent="0.2">
      <c r="A2067" s="672" t="s">
        <v>220</v>
      </c>
      <c r="B2067" s="672" t="s">
        <v>10381</v>
      </c>
      <c r="C2067" s="672" t="s">
        <v>9719</v>
      </c>
      <c r="D2067" s="672" t="s">
        <v>9720</v>
      </c>
      <c r="E2067" s="745" t="s">
        <v>545</v>
      </c>
      <c r="F2067" s="747">
        <v>1000</v>
      </c>
      <c r="G2067" s="685">
        <v>0.65649999999999997</v>
      </c>
      <c r="H2067" s="685">
        <v>656.5</v>
      </c>
      <c r="I2067" s="686" t="s">
        <v>9009</v>
      </c>
      <c r="J2067" s="672" t="s">
        <v>10128</v>
      </c>
      <c r="K2067" s="672" t="s">
        <v>541</v>
      </c>
      <c r="L2067" s="672" t="s">
        <v>8996</v>
      </c>
    </row>
    <row r="2068" spans="1:12" x14ac:dyDescent="0.2">
      <c r="A2068" s="672" t="s">
        <v>220</v>
      </c>
      <c r="B2068" s="672" t="s">
        <v>10381</v>
      </c>
      <c r="C2068" s="672" t="s">
        <v>9721</v>
      </c>
      <c r="D2068" s="672" t="s">
        <v>9722</v>
      </c>
      <c r="E2068" s="745" t="s">
        <v>545</v>
      </c>
      <c r="F2068" s="747">
        <v>7000</v>
      </c>
      <c r="G2068" s="685">
        <v>0.48985000000000006</v>
      </c>
      <c r="H2068" s="685">
        <v>3428.9500000000003</v>
      </c>
      <c r="I2068" s="686" t="s">
        <v>9009</v>
      </c>
      <c r="J2068" s="672" t="s">
        <v>10128</v>
      </c>
      <c r="K2068" s="672" t="s">
        <v>541</v>
      </c>
      <c r="L2068" s="672" t="s">
        <v>8996</v>
      </c>
    </row>
    <row r="2069" spans="1:12" x14ac:dyDescent="0.2">
      <c r="A2069" s="672" t="s">
        <v>220</v>
      </c>
      <c r="B2069" s="672" t="s">
        <v>10381</v>
      </c>
      <c r="C2069" s="672" t="s">
        <v>9723</v>
      </c>
      <c r="D2069" s="672" t="s">
        <v>9724</v>
      </c>
      <c r="E2069" s="745" t="s">
        <v>545</v>
      </c>
      <c r="F2069" s="747">
        <v>8000</v>
      </c>
      <c r="G2069" s="685">
        <v>0.39895000000000003</v>
      </c>
      <c r="H2069" s="685">
        <v>3191.6000000000004</v>
      </c>
      <c r="I2069" s="686" t="s">
        <v>9009</v>
      </c>
      <c r="J2069" s="672" t="s">
        <v>10128</v>
      </c>
      <c r="K2069" s="672" t="s">
        <v>541</v>
      </c>
      <c r="L2069" s="672" t="s">
        <v>8996</v>
      </c>
    </row>
    <row r="2070" spans="1:12" x14ac:dyDescent="0.2">
      <c r="A2070" s="672" t="s">
        <v>220</v>
      </c>
      <c r="B2070" s="672" t="s">
        <v>10381</v>
      </c>
      <c r="C2070" s="672" t="s">
        <v>9725</v>
      </c>
      <c r="D2070" s="672" t="s">
        <v>9726</v>
      </c>
      <c r="E2070" s="745" t="s">
        <v>545</v>
      </c>
      <c r="F2070" s="747">
        <v>500</v>
      </c>
      <c r="G2070" s="685">
        <v>0.48985000000000001</v>
      </c>
      <c r="H2070" s="685">
        <v>244.92500000000001</v>
      </c>
      <c r="I2070" s="686" t="s">
        <v>9009</v>
      </c>
      <c r="J2070" s="672" t="s">
        <v>10128</v>
      </c>
      <c r="K2070" s="672" t="s">
        <v>541</v>
      </c>
      <c r="L2070" s="672" t="s">
        <v>8996</v>
      </c>
    </row>
    <row r="2071" spans="1:12" x14ac:dyDescent="0.2">
      <c r="A2071" s="672" t="s">
        <v>220</v>
      </c>
      <c r="B2071" s="672" t="s">
        <v>10381</v>
      </c>
      <c r="C2071" s="672" t="s">
        <v>9727</v>
      </c>
      <c r="D2071" s="672" t="s">
        <v>9728</v>
      </c>
      <c r="E2071" s="745" t="s">
        <v>545</v>
      </c>
      <c r="F2071" s="747">
        <v>1500</v>
      </c>
      <c r="G2071" s="685">
        <v>0.48985000000000001</v>
      </c>
      <c r="H2071" s="685">
        <v>734.77499999999998</v>
      </c>
      <c r="I2071" s="686" t="s">
        <v>9009</v>
      </c>
      <c r="J2071" s="672" t="s">
        <v>10128</v>
      </c>
      <c r="K2071" s="672" t="s">
        <v>541</v>
      </c>
      <c r="L2071" s="672" t="s">
        <v>8996</v>
      </c>
    </row>
    <row r="2072" spans="1:12" x14ac:dyDescent="0.2">
      <c r="A2072" s="672" t="s">
        <v>220</v>
      </c>
      <c r="B2072" s="672" t="s">
        <v>10381</v>
      </c>
      <c r="C2072" s="672" t="s">
        <v>9729</v>
      </c>
      <c r="D2072" s="672" t="s">
        <v>9730</v>
      </c>
      <c r="E2072" s="745" t="s">
        <v>545</v>
      </c>
      <c r="F2072" s="747">
        <v>1500</v>
      </c>
      <c r="G2072" s="685">
        <v>0.39895000000000003</v>
      </c>
      <c r="H2072" s="685">
        <v>598.42500000000007</v>
      </c>
      <c r="I2072" s="686" t="s">
        <v>9009</v>
      </c>
      <c r="J2072" s="672" t="s">
        <v>10128</v>
      </c>
      <c r="K2072" s="672" t="s">
        <v>541</v>
      </c>
      <c r="L2072" s="672" t="s">
        <v>8996</v>
      </c>
    </row>
    <row r="2073" spans="1:12" x14ac:dyDescent="0.2">
      <c r="A2073" s="672" t="s">
        <v>220</v>
      </c>
      <c r="B2073" s="672" t="s">
        <v>10381</v>
      </c>
      <c r="C2073" s="672" t="s">
        <v>7540</v>
      </c>
      <c r="D2073" s="672" t="s">
        <v>7541</v>
      </c>
      <c r="E2073" s="745" t="s">
        <v>545</v>
      </c>
      <c r="F2073" s="747">
        <v>1000</v>
      </c>
      <c r="G2073" s="685">
        <v>0.35349999999999998</v>
      </c>
      <c r="H2073" s="685">
        <v>353.5</v>
      </c>
      <c r="I2073" s="686" t="s">
        <v>9009</v>
      </c>
      <c r="J2073" s="672" t="s">
        <v>10128</v>
      </c>
      <c r="K2073" s="672" t="s">
        <v>541</v>
      </c>
      <c r="L2073" s="672" t="s">
        <v>8996</v>
      </c>
    </row>
    <row r="2074" spans="1:12" x14ac:dyDescent="0.2">
      <c r="A2074" s="672" t="s">
        <v>220</v>
      </c>
      <c r="B2074" s="672" t="s">
        <v>10381</v>
      </c>
      <c r="C2074" s="672" t="s">
        <v>1438</v>
      </c>
      <c r="D2074" s="672" t="s">
        <v>1439</v>
      </c>
      <c r="E2074" s="745" t="s">
        <v>545</v>
      </c>
      <c r="F2074" s="747">
        <v>4000</v>
      </c>
      <c r="G2074" s="685">
        <v>0.35349999999999998</v>
      </c>
      <c r="H2074" s="685">
        <v>1414</v>
      </c>
      <c r="I2074" s="686" t="s">
        <v>9009</v>
      </c>
      <c r="J2074" s="672" t="s">
        <v>10128</v>
      </c>
      <c r="K2074" s="672" t="s">
        <v>541</v>
      </c>
      <c r="L2074" s="672" t="s">
        <v>8996</v>
      </c>
    </row>
    <row r="2075" spans="1:12" x14ac:dyDescent="0.2">
      <c r="A2075" s="672" t="s">
        <v>220</v>
      </c>
      <c r="B2075" s="672" t="s">
        <v>10381</v>
      </c>
      <c r="C2075" s="672" t="s">
        <v>1440</v>
      </c>
      <c r="D2075" s="672" t="s">
        <v>9566</v>
      </c>
      <c r="E2075" s="745" t="s">
        <v>545</v>
      </c>
      <c r="F2075" s="747">
        <v>870</v>
      </c>
      <c r="G2075" s="685">
        <v>0.89385000000000003</v>
      </c>
      <c r="H2075" s="685">
        <v>777.64949999999999</v>
      </c>
      <c r="I2075" s="686" t="s">
        <v>9009</v>
      </c>
      <c r="J2075" s="672" t="s">
        <v>10128</v>
      </c>
      <c r="K2075" s="672" t="s">
        <v>541</v>
      </c>
      <c r="L2075" s="672" t="s">
        <v>8996</v>
      </c>
    </row>
    <row r="2076" spans="1:12" x14ac:dyDescent="0.2">
      <c r="A2076" s="672" t="s">
        <v>220</v>
      </c>
      <c r="B2076" s="672" t="s">
        <v>10381</v>
      </c>
      <c r="C2076" s="672" t="s">
        <v>1442</v>
      </c>
      <c r="D2076" s="672" t="s">
        <v>1443</v>
      </c>
      <c r="E2076" s="745" t="s">
        <v>545</v>
      </c>
      <c r="F2076" s="747">
        <v>5000</v>
      </c>
      <c r="G2076" s="685">
        <v>0.35441618640087474</v>
      </c>
      <c r="H2076" s="685">
        <v>1772.0809320043736</v>
      </c>
      <c r="I2076" s="686" t="s">
        <v>9009</v>
      </c>
      <c r="J2076" s="672" t="s">
        <v>10128</v>
      </c>
      <c r="K2076" s="672" t="s">
        <v>541</v>
      </c>
      <c r="L2076" s="672" t="s">
        <v>8996</v>
      </c>
    </row>
    <row r="2077" spans="1:12" x14ac:dyDescent="0.2">
      <c r="A2077" s="672" t="s">
        <v>220</v>
      </c>
      <c r="B2077" s="672" t="s">
        <v>10381</v>
      </c>
      <c r="C2077" s="672" t="s">
        <v>7542</v>
      </c>
      <c r="D2077" s="672" t="s">
        <v>7543</v>
      </c>
      <c r="E2077" s="745" t="s">
        <v>545</v>
      </c>
      <c r="F2077" s="747">
        <v>1000</v>
      </c>
      <c r="G2077" s="685">
        <v>0.38609011697217932</v>
      </c>
      <c r="H2077" s="685">
        <v>386.09011697217932</v>
      </c>
      <c r="I2077" s="686" t="s">
        <v>9009</v>
      </c>
      <c r="J2077" s="672" t="s">
        <v>10128</v>
      </c>
      <c r="K2077" s="672" t="s">
        <v>541</v>
      </c>
      <c r="L2077" s="672" t="s">
        <v>8996</v>
      </c>
    </row>
    <row r="2078" spans="1:12" x14ac:dyDescent="0.2">
      <c r="A2078" s="672" t="s">
        <v>220</v>
      </c>
      <c r="B2078" s="672" t="s">
        <v>10381</v>
      </c>
      <c r="C2078" s="672" t="s">
        <v>7544</v>
      </c>
      <c r="D2078" s="672" t="s">
        <v>7545</v>
      </c>
      <c r="E2078" s="745" t="s">
        <v>545</v>
      </c>
      <c r="F2078" s="747">
        <v>3750</v>
      </c>
      <c r="G2078" s="685">
        <v>0.35349999999999998</v>
      </c>
      <c r="H2078" s="685">
        <v>1325.625</v>
      </c>
      <c r="I2078" s="686" t="s">
        <v>9009</v>
      </c>
      <c r="J2078" s="672" t="s">
        <v>10128</v>
      </c>
      <c r="K2078" s="672" t="s">
        <v>541</v>
      </c>
      <c r="L2078" s="672" t="s">
        <v>8996</v>
      </c>
    </row>
    <row r="2079" spans="1:12" x14ac:dyDescent="0.2">
      <c r="A2079" s="672" t="s">
        <v>220</v>
      </c>
      <c r="B2079" s="672" t="s">
        <v>10381</v>
      </c>
      <c r="C2079" s="672" t="s">
        <v>1444</v>
      </c>
      <c r="D2079" s="672" t="s">
        <v>9567</v>
      </c>
      <c r="E2079" s="745" t="s">
        <v>545</v>
      </c>
      <c r="F2079" s="747">
        <v>810</v>
      </c>
      <c r="G2079" s="685">
        <v>0.39895000000000003</v>
      </c>
      <c r="H2079" s="685">
        <v>323.14950000000005</v>
      </c>
      <c r="I2079" s="686" t="s">
        <v>9009</v>
      </c>
      <c r="J2079" s="672" t="s">
        <v>10128</v>
      </c>
      <c r="K2079" s="672" t="s">
        <v>541</v>
      </c>
      <c r="L2079" s="672" t="s">
        <v>8996</v>
      </c>
    </row>
    <row r="2080" spans="1:12" x14ac:dyDescent="0.2">
      <c r="A2080" s="672" t="s">
        <v>220</v>
      </c>
      <c r="B2080" s="672" t="s">
        <v>10381</v>
      </c>
      <c r="C2080" s="672" t="s">
        <v>1446</v>
      </c>
      <c r="D2080" s="672" t="s">
        <v>1447</v>
      </c>
      <c r="E2080" s="745" t="s">
        <v>545</v>
      </c>
      <c r="F2080" s="747">
        <v>6560</v>
      </c>
      <c r="G2080" s="685">
        <v>0.35349999999999998</v>
      </c>
      <c r="H2080" s="685">
        <v>2318.96</v>
      </c>
      <c r="I2080" s="686" t="s">
        <v>9009</v>
      </c>
      <c r="J2080" s="672" t="s">
        <v>10128</v>
      </c>
      <c r="K2080" s="672" t="s">
        <v>541</v>
      </c>
      <c r="L2080" s="672" t="s">
        <v>8996</v>
      </c>
    </row>
    <row r="2081" spans="1:12" x14ac:dyDescent="0.2">
      <c r="A2081" s="672" t="s">
        <v>220</v>
      </c>
      <c r="B2081" s="672" t="s">
        <v>10381</v>
      </c>
      <c r="C2081" s="672" t="s">
        <v>1448</v>
      </c>
      <c r="D2081" s="672" t="s">
        <v>1449</v>
      </c>
      <c r="E2081" s="745" t="s">
        <v>545</v>
      </c>
      <c r="F2081" s="747">
        <v>1000</v>
      </c>
      <c r="G2081" s="685">
        <v>8.0985849056603762E-2</v>
      </c>
      <c r="H2081" s="685">
        <v>80.985849056603769</v>
      </c>
      <c r="I2081" s="686" t="s">
        <v>9009</v>
      </c>
      <c r="J2081" s="672" t="s">
        <v>10128</v>
      </c>
      <c r="K2081" s="672" t="s">
        <v>541</v>
      </c>
      <c r="L2081" s="672" t="s">
        <v>8996</v>
      </c>
    </row>
    <row r="2082" spans="1:12" x14ac:dyDescent="0.2">
      <c r="A2082" s="672" t="s">
        <v>220</v>
      </c>
      <c r="B2082" s="672" t="s">
        <v>10381</v>
      </c>
      <c r="C2082" s="672" t="s">
        <v>1450</v>
      </c>
      <c r="D2082" s="672" t="s">
        <v>1451</v>
      </c>
      <c r="E2082" s="745" t="s">
        <v>545</v>
      </c>
      <c r="F2082" s="747">
        <v>13000</v>
      </c>
      <c r="G2082" s="685">
        <v>0.16158720532497417</v>
      </c>
      <c r="H2082" s="685">
        <v>2100.6336692246641</v>
      </c>
      <c r="I2082" s="686" t="s">
        <v>9009</v>
      </c>
      <c r="J2082" s="672" t="s">
        <v>10128</v>
      </c>
      <c r="K2082" s="672" t="s">
        <v>541</v>
      </c>
      <c r="L2082" s="672" t="s">
        <v>8996</v>
      </c>
    </row>
    <row r="2083" spans="1:12" x14ac:dyDescent="0.2">
      <c r="A2083" s="672" t="s">
        <v>220</v>
      </c>
      <c r="B2083" s="672" t="s">
        <v>10381</v>
      </c>
      <c r="C2083" s="672" t="s">
        <v>1452</v>
      </c>
      <c r="D2083" s="672" t="s">
        <v>1453</v>
      </c>
      <c r="E2083" s="745" t="s">
        <v>545</v>
      </c>
      <c r="F2083" s="747">
        <v>2500</v>
      </c>
      <c r="G2083" s="685">
        <v>0.16159999999999997</v>
      </c>
      <c r="H2083" s="685">
        <v>403.99999999999989</v>
      </c>
      <c r="I2083" s="686" t="s">
        <v>9009</v>
      </c>
      <c r="J2083" s="672" t="s">
        <v>10128</v>
      </c>
      <c r="K2083" s="672" t="s">
        <v>541</v>
      </c>
      <c r="L2083" s="672" t="s">
        <v>8996</v>
      </c>
    </row>
    <row r="2084" spans="1:12" x14ac:dyDescent="0.2">
      <c r="A2084" s="672" t="s">
        <v>220</v>
      </c>
      <c r="B2084" s="672" t="s">
        <v>10381</v>
      </c>
      <c r="C2084" s="672" t="s">
        <v>1454</v>
      </c>
      <c r="D2084" s="672" t="s">
        <v>1455</v>
      </c>
      <c r="E2084" s="745" t="s">
        <v>545</v>
      </c>
      <c r="F2084" s="747">
        <v>1000</v>
      </c>
      <c r="G2084" s="685">
        <v>7.5999999999999998E-2</v>
      </c>
      <c r="H2084" s="685">
        <v>76</v>
      </c>
      <c r="I2084" s="686" t="s">
        <v>9009</v>
      </c>
      <c r="J2084" s="672" t="s">
        <v>10128</v>
      </c>
      <c r="K2084" s="672" t="s">
        <v>541</v>
      </c>
      <c r="L2084" s="672" t="s">
        <v>8996</v>
      </c>
    </row>
    <row r="2085" spans="1:12" x14ac:dyDescent="0.2">
      <c r="A2085" s="672" t="s">
        <v>220</v>
      </c>
      <c r="B2085" s="672" t="s">
        <v>10381</v>
      </c>
      <c r="C2085" s="672" t="s">
        <v>1456</v>
      </c>
      <c r="D2085" s="672" t="s">
        <v>1457</v>
      </c>
      <c r="E2085" s="745" t="s">
        <v>545</v>
      </c>
      <c r="F2085" s="747">
        <v>5200</v>
      </c>
      <c r="G2085" s="685">
        <v>0.16157059039295388</v>
      </c>
      <c r="H2085" s="685">
        <v>840.16707004336013</v>
      </c>
      <c r="I2085" s="686" t="s">
        <v>9009</v>
      </c>
      <c r="J2085" s="672" t="s">
        <v>10128</v>
      </c>
      <c r="K2085" s="672" t="s">
        <v>541</v>
      </c>
      <c r="L2085" s="672" t="s">
        <v>8996</v>
      </c>
    </row>
    <row r="2086" spans="1:12" x14ac:dyDescent="0.2">
      <c r="A2086" s="672" t="s">
        <v>220</v>
      </c>
      <c r="B2086" s="672" t="s">
        <v>10381</v>
      </c>
      <c r="C2086" s="672" t="s">
        <v>1458</v>
      </c>
      <c r="D2086" s="672" t="s">
        <v>1459</v>
      </c>
      <c r="E2086" s="745" t="s">
        <v>545</v>
      </c>
      <c r="F2086" s="747">
        <v>3160</v>
      </c>
      <c r="G2086" s="685">
        <v>0.16159999999999999</v>
      </c>
      <c r="H2086" s="685">
        <v>510.65600000000001</v>
      </c>
      <c r="I2086" s="686" t="s">
        <v>9009</v>
      </c>
      <c r="J2086" s="672" t="s">
        <v>10128</v>
      </c>
      <c r="K2086" s="672" t="s">
        <v>541</v>
      </c>
      <c r="L2086" s="672" t="s">
        <v>8996</v>
      </c>
    </row>
    <row r="2087" spans="1:12" x14ac:dyDescent="0.2">
      <c r="A2087" s="672" t="s">
        <v>220</v>
      </c>
      <c r="B2087" s="672" t="s">
        <v>10381</v>
      </c>
      <c r="C2087" s="672" t="s">
        <v>1460</v>
      </c>
      <c r="D2087" s="672" t="s">
        <v>1461</v>
      </c>
      <c r="E2087" s="745" t="s">
        <v>545</v>
      </c>
      <c r="F2087" s="747">
        <v>3400</v>
      </c>
      <c r="G2087" s="685">
        <v>0.27448235294117646</v>
      </c>
      <c r="H2087" s="685">
        <v>933.2399999999999</v>
      </c>
      <c r="I2087" s="686" t="s">
        <v>9009</v>
      </c>
      <c r="J2087" s="672" t="s">
        <v>10128</v>
      </c>
      <c r="K2087" s="672" t="s">
        <v>541</v>
      </c>
      <c r="L2087" s="672" t="s">
        <v>8996</v>
      </c>
    </row>
    <row r="2088" spans="1:12" x14ac:dyDescent="0.2">
      <c r="A2088" s="672" t="s">
        <v>220</v>
      </c>
      <c r="B2088" s="672" t="s">
        <v>10381</v>
      </c>
      <c r="C2088" s="672" t="s">
        <v>1462</v>
      </c>
      <c r="D2088" s="672" t="s">
        <v>1463</v>
      </c>
      <c r="E2088" s="745" t="s">
        <v>545</v>
      </c>
      <c r="F2088" s="747">
        <v>1330</v>
      </c>
      <c r="G2088" s="685">
        <v>0.27430750750750749</v>
      </c>
      <c r="H2088" s="685">
        <v>364.82898498498497</v>
      </c>
      <c r="I2088" s="686" t="s">
        <v>9009</v>
      </c>
      <c r="J2088" s="672" t="s">
        <v>10128</v>
      </c>
      <c r="K2088" s="672" t="s">
        <v>541</v>
      </c>
      <c r="L2088" s="672" t="s">
        <v>8996</v>
      </c>
    </row>
    <row r="2089" spans="1:12" x14ac:dyDescent="0.2">
      <c r="A2089" s="672" t="s">
        <v>220</v>
      </c>
      <c r="B2089" s="672" t="s">
        <v>10381</v>
      </c>
      <c r="C2089" s="672" t="s">
        <v>1464</v>
      </c>
      <c r="D2089" s="672" t="s">
        <v>1465</v>
      </c>
      <c r="E2089" s="745" t="s">
        <v>545</v>
      </c>
      <c r="F2089" s="747">
        <v>3000</v>
      </c>
      <c r="G2089" s="685">
        <v>0.35349892751375656</v>
      </c>
      <c r="H2089" s="685">
        <v>1060.4967825412696</v>
      </c>
      <c r="I2089" s="686" t="s">
        <v>9009</v>
      </c>
      <c r="J2089" s="672" t="s">
        <v>10128</v>
      </c>
      <c r="K2089" s="672" t="s">
        <v>541</v>
      </c>
      <c r="L2089" s="672" t="s">
        <v>8996</v>
      </c>
    </row>
    <row r="2090" spans="1:12" x14ac:dyDescent="0.2">
      <c r="A2090" s="672" t="s">
        <v>220</v>
      </c>
      <c r="B2090" s="672" t="s">
        <v>10381</v>
      </c>
      <c r="C2090" s="672" t="s">
        <v>1466</v>
      </c>
      <c r="D2090" s="672" t="s">
        <v>1467</v>
      </c>
      <c r="E2090" s="745" t="s">
        <v>545</v>
      </c>
      <c r="F2090" s="747">
        <v>3000</v>
      </c>
      <c r="G2090" s="685">
        <v>0.36132268913495091</v>
      </c>
      <c r="H2090" s="685">
        <v>1083.9680674048527</v>
      </c>
      <c r="I2090" s="686" t="s">
        <v>9009</v>
      </c>
      <c r="J2090" s="672" t="s">
        <v>10128</v>
      </c>
      <c r="K2090" s="672" t="s">
        <v>541</v>
      </c>
      <c r="L2090" s="672" t="s">
        <v>8996</v>
      </c>
    </row>
    <row r="2091" spans="1:12" x14ac:dyDescent="0.2">
      <c r="A2091" s="672" t="s">
        <v>220</v>
      </c>
      <c r="B2091" s="672" t="s">
        <v>10381</v>
      </c>
      <c r="C2091" s="672" t="s">
        <v>1468</v>
      </c>
      <c r="D2091" s="672" t="s">
        <v>1469</v>
      </c>
      <c r="E2091" s="745" t="s">
        <v>545</v>
      </c>
      <c r="F2091" s="747">
        <v>1600</v>
      </c>
      <c r="G2091" s="685">
        <v>0.26841498652291107</v>
      </c>
      <c r="H2091" s="685">
        <v>429.46397843665773</v>
      </c>
      <c r="I2091" s="686" t="s">
        <v>9009</v>
      </c>
      <c r="J2091" s="672" t="s">
        <v>10128</v>
      </c>
      <c r="K2091" s="672" t="s">
        <v>541</v>
      </c>
      <c r="L2091" s="672" t="s">
        <v>8996</v>
      </c>
    </row>
    <row r="2092" spans="1:12" x14ac:dyDescent="0.2">
      <c r="A2092" s="672" t="s">
        <v>220</v>
      </c>
      <c r="B2092" s="672" t="s">
        <v>10381</v>
      </c>
      <c r="C2092" s="672" t="s">
        <v>1470</v>
      </c>
      <c r="D2092" s="672" t="s">
        <v>1471</v>
      </c>
      <c r="E2092" s="745" t="s">
        <v>545</v>
      </c>
      <c r="F2092" s="747">
        <v>3200</v>
      </c>
      <c r="G2092" s="685">
        <v>0.32753402061855674</v>
      </c>
      <c r="H2092" s="685">
        <v>1048.1088659793816</v>
      </c>
      <c r="I2092" s="686" t="s">
        <v>9009</v>
      </c>
      <c r="J2092" s="672" t="s">
        <v>10128</v>
      </c>
      <c r="K2092" s="672" t="s">
        <v>541</v>
      </c>
      <c r="L2092" s="672" t="s">
        <v>8996</v>
      </c>
    </row>
    <row r="2093" spans="1:12" x14ac:dyDescent="0.2">
      <c r="A2093" s="672" t="s">
        <v>220</v>
      </c>
      <c r="B2093" s="672" t="s">
        <v>10381</v>
      </c>
      <c r="C2093" s="672" t="s">
        <v>1472</v>
      </c>
      <c r="D2093" s="672" t="s">
        <v>1473</v>
      </c>
      <c r="E2093" s="745" t="s">
        <v>545</v>
      </c>
      <c r="F2093" s="747">
        <v>10800</v>
      </c>
      <c r="G2093" s="685">
        <v>0.37017916288909603</v>
      </c>
      <c r="H2093" s="685">
        <v>3997.9349592022372</v>
      </c>
      <c r="I2093" s="686" t="s">
        <v>9009</v>
      </c>
      <c r="J2093" s="672" t="s">
        <v>10128</v>
      </c>
      <c r="K2093" s="672" t="s">
        <v>541</v>
      </c>
      <c r="L2093" s="672" t="s">
        <v>8996</v>
      </c>
    </row>
    <row r="2094" spans="1:12" x14ac:dyDescent="0.2">
      <c r="A2094" s="672" t="s">
        <v>220</v>
      </c>
      <c r="B2094" s="672" t="s">
        <v>10381</v>
      </c>
      <c r="C2094" s="672" t="s">
        <v>1474</v>
      </c>
      <c r="D2094" s="672" t="s">
        <v>1475</v>
      </c>
      <c r="E2094" s="745" t="s">
        <v>545</v>
      </c>
      <c r="F2094" s="747">
        <v>6500</v>
      </c>
      <c r="G2094" s="685">
        <v>0.35349999999999998</v>
      </c>
      <c r="H2094" s="685">
        <v>2297.75</v>
      </c>
      <c r="I2094" s="686" t="s">
        <v>9009</v>
      </c>
      <c r="J2094" s="672" t="s">
        <v>10128</v>
      </c>
      <c r="K2094" s="672" t="s">
        <v>541</v>
      </c>
      <c r="L2094" s="672" t="s">
        <v>8996</v>
      </c>
    </row>
    <row r="2095" spans="1:12" x14ac:dyDescent="0.2">
      <c r="A2095" s="672" t="s">
        <v>220</v>
      </c>
      <c r="B2095" s="672" t="s">
        <v>10381</v>
      </c>
      <c r="C2095" s="672" t="s">
        <v>1476</v>
      </c>
      <c r="D2095" s="672" t="s">
        <v>1477</v>
      </c>
      <c r="E2095" s="745" t="s">
        <v>545</v>
      </c>
      <c r="F2095" s="747">
        <v>5580</v>
      </c>
      <c r="G2095" s="685">
        <v>0.35590609170745985</v>
      </c>
      <c r="H2095" s="685">
        <v>1985.955991727626</v>
      </c>
      <c r="I2095" s="686" t="s">
        <v>9009</v>
      </c>
      <c r="J2095" s="672" t="s">
        <v>10128</v>
      </c>
      <c r="K2095" s="672" t="s">
        <v>541</v>
      </c>
      <c r="L2095" s="672" t="s">
        <v>8996</v>
      </c>
    </row>
    <row r="2096" spans="1:12" x14ac:dyDescent="0.2">
      <c r="A2096" s="672" t="s">
        <v>220</v>
      </c>
      <c r="B2096" s="672" t="s">
        <v>10381</v>
      </c>
      <c r="C2096" s="672" t="s">
        <v>2264</v>
      </c>
      <c r="D2096" s="672" t="s">
        <v>2265</v>
      </c>
      <c r="E2096" s="745" t="s">
        <v>545</v>
      </c>
      <c r="F2096" s="747">
        <v>3500</v>
      </c>
      <c r="G2096" s="685">
        <v>0.35046659474671671</v>
      </c>
      <c r="H2096" s="685">
        <v>1226.6330816135085</v>
      </c>
      <c r="I2096" s="686" t="s">
        <v>9009</v>
      </c>
      <c r="J2096" s="672" t="s">
        <v>10128</v>
      </c>
      <c r="K2096" s="672" t="s">
        <v>541</v>
      </c>
      <c r="L2096" s="672" t="s">
        <v>8996</v>
      </c>
    </row>
    <row r="2097" spans="1:12" x14ac:dyDescent="0.2">
      <c r="A2097" s="672" t="s">
        <v>220</v>
      </c>
      <c r="B2097" s="672" t="s">
        <v>10381</v>
      </c>
      <c r="C2097" s="672" t="s">
        <v>1480</v>
      </c>
      <c r="D2097" s="672" t="s">
        <v>1481</v>
      </c>
      <c r="E2097" s="745" t="s">
        <v>545</v>
      </c>
      <c r="F2097" s="747">
        <v>3000</v>
      </c>
      <c r="G2097" s="685">
        <v>0.30804999999999999</v>
      </c>
      <c r="H2097" s="685">
        <v>924.15</v>
      </c>
      <c r="I2097" s="686" t="s">
        <v>9009</v>
      </c>
      <c r="J2097" s="672" t="s">
        <v>10128</v>
      </c>
      <c r="K2097" s="672" t="s">
        <v>541</v>
      </c>
      <c r="L2097" s="672" t="s">
        <v>8996</v>
      </c>
    </row>
    <row r="2098" spans="1:12" x14ac:dyDescent="0.2">
      <c r="A2098" s="672" t="s">
        <v>220</v>
      </c>
      <c r="B2098" s="672" t="s">
        <v>10381</v>
      </c>
      <c r="C2098" s="672" t="s">
        <v>1482</v>
      </c>
      <c r="D2098" s="672" t="s">
        <v>1483</v>
      </c>
      <c r="E2098" s="745" t="s">
        <v>545</v>
      </c>
      <c r="F2098" s="747">
        <v>3000</v>
      </c>
      <c r="G2098" s="685">
        <v>0.42419999999999997</v>
      </c>
      <c r="H2098" s="685">
        <v>1272.5999999999999</v>
      </c>
      <c r="I2098" s="686" t="s">
        <v>9009</v>
      </c>
      <c r="J2098" s="672" t="s">
        <v>10128</v>
      </c>
      <c r="K2098" s="672" t="s">
        <v>541</v>
      </c>
      <c r="L2098" s="672" t="s">
        <v>8996</v>
      </c>
    </row>
    <row r="2099" spans="1:12" x14ac:dyDescent="0.2">
      <c r="A2099" s="672" t="s">
        <v>220</v>
      </c>
      <c r="B2099" s="672" t="s">
        <v>10381</v>
      </c>
      <c r="C2099" s="672" t="s">
        <v>7675</v>
      </c>
      <c r="D2099" s="672" t="s">
        <v>7676</v>
      </c>
      <c r="E2099" s="745" t="s">
        <v>545</v>
      </c>
      <c r="F2099" s="747">
        <v>3500</v>
      </c>
      <c r="G2099" s="685">
        <v>0.45450000000000002</v>
      </c>
      <c r="H2099" s="685">
        <v>1590.75</v>
      </c>
      <c r="I2099" s="686" t="s">
        <v>9009</v>
      </c>
      <c r="J2099" s="672" t="s">
        <v>10128</v>
      </c>
      <c r="K2099" s="672" t="s">
        <v>541</v>
      </c>
      <c r="L2099" s="672" t="s">
        <v>8996</v>
      </c>
    </row>
    <row r="2100" spans="1:12" x14ac:dyDescent="0.2">
      <c r="A2100" s="672" t="s">
        <v>220</v>
      </c>
      <c r="B2100" s="672" t="s">
        <v>10381</v>
      </c>
      <c r="C2100" s="672" t="s">
        <v>1484</v>
      </c>
      <c r="D2100" s="672" t="s">
        <v>1485</v>
      </c>
      <c r="E2100" s="745" t="s">
        <v>545</v>
      </c>
      <c r="F2100" s="747">
        <v>1000</v>
      </c>
      <c r="G2100" s="685">
        <v>0.2828</v>
      </c>
      <c r="H2100" s="685">
        <v>282.8</v>
      </c>
      <c r="I2100" s="686" t="s">
        <v>9009</v>
      </c>
      <c r="J2100" s="672" t="s">
        <v>10128</v>
      </c>
      <c r="K2100" s="672" t="s">
        <v>541</v>
      </c>
      <c r="L2100" s="672" t="s">
        <v>8996</v>
      </c>
    </row>
    <row r="2101" spans="1:12" x14ac:dyDescent="0.2">
      <c r="A2101" s="672" t="s">
        <v>220</v>
      </c>
      <c r="B2101" s="672" t="s">
        <v>10381</v>
      </c>
      <c r="C2101" s="672" t="s">
        <v>1486</v>
      </c>
      <c r="D2101" s="672" t="s">
        <v>1487</v>
      </c>
      <c r="E2101" s="745" t="s">
        <v>545</v>
      </c>
      <c r="F2101" s="747">
        <v>8500</v>
      </c>
      <c r="G2101" s="685">
        <v>0.28279999999999994</v>
      </c>
      <c r="H2101" s="685">
        <v>2403.7999999999993</v>
      </c>
      <c r="I2101" s="686" t="s">
        <v>9009</v>
      </c>
      <c r="J2101" s="672" t="s">
        <v>10128</v>
      </c>
      <c r="K2101" s="672" t="s">
        <v>541</v>
      </c>
      <c r="L2101" s="672" t="s">
        <v>8996</v>
      </c>
    </row>
    <row r="2102" spans="1:12" x14ac:dyDescent="0.2">
      <c r="A2102" s="672" t="s">
        <v>220</v>
      </c>
      <c r="B2102" s="672" t="s">
        <v>10381</v>
      </c>
      <c r="C2102" s="672" t="s">
        <v>1488</v>
      </c>
      <c r="D2102" s="672" t="s">
        <v>1489</v>
      </c>
      <c r="E2102" s="745" t="s">
        <v>545</v>
      </c>
      <c r="F2102" s="747">
        <v>3000</v>
      </c>
      <c r="G2102" s="685">
        <v>0.35349999999999998</v>
      </c>
      <c r="H2102" s="685">
        <v>1060.5</v>
      </c>
      <c r="I2102" s="686" t="s">
        <v>9009</v>
      </c>
      <c r="J2102" s="672" t="s">
        <v>10128</v>
      </c>
      <c r="K2102" s="672" t="s">
        <v>541</v>
      </c>
      <c r="L2102" s="672" t="s">
        <v>8996</v>
      </c>
    </row>
    <row r="2103" spans="1:12" x14ac:dyDescent="0.2">
      <c r="A2103" s="672" t="s">
        <v>220</v>
      </c>
      <c r="B2103" s="672" t="s">
        <v>10381</v>
      </c>
      <c r="C2103" s="672" t="s">
        <v>1490</v>
      </c>
      <c r="D2103" s="672" t="s">
        <v>1491</v>
      </c>
      <c r="E2103" s="745" t="s">
        <v>545</v>
      </c>
      <c r="F2103" s="747">
        <v>2000</v>
      </c>
      <c r="G2103" s="685">
        <v>0.35349999999999998</v>
      </c>
      <c r="H2103" s="685">
        <v>707</v>
      </c>
      <c r="I2103" s="686" t="s">
        <v>9009</v>
      </c>
      <c r="J2103" s="672" t="s">
        <v>10128</v>
      </c>
      <c r="K2103" s="672" t="s">
        <v>541</v>
      </c>
      <c r="L2103" s="672" t="s">
        <v>8996</v>
      </c>
    </row>
    <row r="2104" spans="1:12" x14ac:dyDescent="0.2">
      <c r="A2104" s="672" t="s">
        <v>220</v>
      </c>
      <c r="B2104" s="672" t="s">
        <v>10381</v>
      </c>
      <c r="C2104" s="672" t="s">
        <v>1492</v>
      </c>
      <c r="D2104" s="672" t="s">
        <v>1493</v>
      </c>
      <c r="E2104" s="745" t="s">
        <v>545</v>
      </c>
      <c r="F2104" s="747">
        <v>5900</v>
      </c>
      <c r="G2104" s="685">
        <v>0.38380000000000003</v>
      </c>
      <c r="H2104" s="685">
        <v>2264.42</v>
      </c>
      <c r="I2104" s="686" t="s">
        <v>9009</v>
      </c>
      <c r="J2104" s="672" t="s">
        <v>10128</v>
      </c>
      <c r="K2104" s="672" t="s">
        <v>541</v>
      </c>
      <c r="L2104" s="672" t="s">
        <v>8996</v>
      </c>
    </row>
    <row r="2105" spans="1:12" x14ac:dyDescent="0.2">
      <c r="A2105" s="672" t="s">
        <v>220</v>
      </c>
      <c r="B2105" s="672" t="s">
        <v>10381</v>
      </c>
      <c r="C2105" s="672" t="s">
        <v>1494</v>
      </c>
      <c r="D2105" s="672" t="s">
        <v>1495</v>
      </c>
      <c r="E2105" s="745" t="s">
        <v>545</v>
      </c>
      <c r="F2105" s="747">
        <v>6500</v>
      </c>
      <c r="G2105" s="685">
        <v>0.38379999999999992</v>
      </c>
      <c r="H2105" s="685">
        <v>2494.6999999999994</v>
      </c>
      <c r="I2105" s="686" t="s">
        <v>9009</v>
      </c>
      <c r="J2105" s="672" t="s">
        <v>10128</v>
      </c>
      <c r="K2105" s="672" t="s">
        <v>541</v>
      </c>
      <c r="L2105" s="672" t="s">
        <v>8996</v>
      </c>
    </row>
    <row r="2106" spans="1:12" x14ac:dyDescent="0.2">
      <c r="A2106" s="672" t="s">
        <v>220</v>
      </c>
      <c r="B2106" s="672" t="s">
        <v>10381</v>
      </c>
      <c r="C2106" s="672" t="s">
        <v>7677</v>
      </c>
      <c r="D2106" s="672" t="s">
        <v>7678</v>
      </c>
      <c r="E2106" s="745" t="s">
        <v>545</v>
      </c>
      <c r="F2106" s="747">
        <v>1000</v>
      </c>
      <c r="G2106" s="685">
        <v>0.29794999999999999</v>
      </c>
      <c r="H2106" s="685">
        <v>297.95</v>
      </c>
      <c r="I2106" s="686" t="s">
        <v>9009</v>
      </c>
      <c r="J2106" s="672" t="s">
        <v>10128</v>
      </c>
      <c r="K2106" s="672" t="s">
        <v>541</v>
      </c>
      <c r="L2106" s="672" t="s">
        <v>8996</v>
      </c>
    </row>
    <row r="2107" spans="1:12" x14ac:dyDescent="0.2">
      <c r="A2107" s="672" t="s">
        <v>220</v>
      </c>
      <c r="B2107" s="672" t="s">
        <v>10381</v>
      </c>
      <c r="C2107" s="672" t="s">
        <v>1496</v>
      </c>
      <c r="D2107" s="672" t="s">
        <v>1497</v>
      </c>
      <c r="E2107" s="745" t="s">
        <v>545</v>
      </c>
      <c r="F2107" s="747">
        <v>2080</v>
      </c>
      <c r="G2107" s="685">
        <v>0.42420000000000008</v>
      </c>
      <c r="H2107" s="685">
        <v>882.33600000000013</v>
      </c>
      <c r="I2107" s="686" t="s">
        <v>9009</v>
      </c>
      <c r="J2107" s="672" t="s">
        <v>10128</v>
      </c>
      <c r="K2107" s="672" t="s">
        <v>541</v>
      </c>
      <c r="L2107" s="672" t="s">
        <v>8996</v>
      </c>
    </row>
    <row r="2108" spans="1:12" x14ac:dyDescent="0.2">
      <c r="A2108" s="672" t="s">
        <v>220</v>
      </c>
      <c r="B2108" s="672" t="s">
        <v>10381</v>
      </c>
      <c r="C2108" s="672" t="s">
        <v>1498</v>
      </c>
      <c r="D2108" s="672" t="s">
        <v>1499</v>
      </c>
      <c r="E2108" s="745" t="s">
        <v>545</v>
      </c>
      <c r="F2108" s="747">
        <v>1000</v>
      </c>
      <c r="G2108" s="685">
        <v>0.30299999999999999</v>
      </c>
      <c r="H2108" s="685">
        <v>303</v>
      </c>
      <c r="I2108" s="686" t="s">
        <v>9009</v>
      </c>
      <c r="J2108" s="672" t="s">
        <v>10128</v>
      </c>
      <c r="K2108" s="672" t="s">
        <v>541</v>
      </c>
      <c r="L2108" s="672" t="s">
        <v>8996</v>
      </c>
    </row>
    <row r="2109" spans="1:12" x14ac:dyDescent="0.2">
      <c r="A2109" s="672" t="s">
        <v>220</v>
      </c>
      <c r="B2109" s="672" t="s">
        <v>10381</v>
      </c>
      <c r="C2109" s="672" t="s">
        <v>1500</v>
      </c>
      <c r="D2109" s="672" t="s">
        <v>1501</v>
      </c>
      <c r="E2109" s="745" t="s">
        <v>545</v>
      </c>
      <c r="F2109" s="747">
        <v>900</v>
      </c>
      <c r="G2109" s="685">
        <v>0.32319999999999999</v>
      </c>
      <c r="H2109" s="685">
        <v>290.88</v>
      </c>
      <c r="I2109" s="686" t="s">
        <v>9009</v>
      </c>
      <c r="J2109" s="672" t="s">
        <v>10128</v>
      </c>
      <c r="K2109" s="672" t="s">
        <v>541</v>
      </c>
      <c r="L2109" s="672" t="s">
        <v>8996</v>
      </c>
    </row>
    <row r="2110" spans="1:12" x14ac:dyDescent="0.2">
      <c r="A2110" s="672" t="s">
        <v>220</v>
      </c>
      <c r="B2110" s="672" t="s">
        <v>10381</v>
      </c>
      <c r="C2110" s="672" t="s">
        <v>1502</v>
      </c>
      <c r="D2110" s="672" t="s">
        <v>1503</v>
      </c>
      <c r="E2110" s="745" t="s">
        <v>545</v>
      </c>
      <c r="F2110" s="747">
        <v>9000</v>
      </c>
      <c r="G2110" s="685">
        <v>0.29765778128834386</v>
      </c>
      <c r="H2110" s="685">
        <v>2678.9200315950948</v>
      </c>
      <c r="I2110" s="686" t="s">
        <v>9009</v>
      </c>
      <c r="J2110" s="672" t="s">
        <v>10128</v>
      </c>
      <c r="K2110" s="672" t="s">
        <v>541</v>
      </c>
      <c r="L2110" s="672" t="s">
        <v>8996</v>
      </c>
    </row>
    <row r="2111" spans="1:12" x14ac:dyDescent="0.2">
      <c r="A2111" s="672" t="s">
        <v>220</v>
      </c>
      <c r="B2111" s="672" t="s">
        <v>10381</v>
      </c>
      <c r="C2111" s="672" t="s">
        <v>1506</v>
      </c>
      <c r="D2111" s="672" t="s">
        <v>1507</v>
      </c>
      <c r="E2111" s="745" t="s">
        <v>545</v>
      </c>
      <c r="F2111" s="747">
        <v>1000</v>
      </c>
      <c r="G2111" s="685">
        <v>0.35134885129236643</v>
      </c>
      <c r="H2111" s="685">
        <v>351.34885129236642</v>
      </c>
      <c r="I2111" s="686" t="s">
        <v>9009</v>
      </c>
      <c r="J2111" s="672" t="s">
        <v>10128</v>
      </c>
      <c r="K2111" s="672" t="s">
        <v>541</v>
      </c>
      <c r="L2111" s="672" t="s">
        <v>8996</v>
      </c>
    </row>
    <row r="2112" spans="1:12" x14ac:dyDescent="0.2">
      <c r="A2112" s="672" t="s">
        <v>220</v>
      </c>
      <c r="B2112" s="672" t="s">
        <v>10381</v>
      </c>
      <c r="C2112" s="672" t="s">
        <v>1508</v>
      </c>
      <c r="D2112" s="672" t="s">
        <v>1509</v>
      </c>
      <c r="E2112" s="745" t="s">
        <v>545</v>
      </c>
      <c r="F2112" s="747">
        <v>5100</v>
      </c>
      <c r="G2112" s="685">
        <v>0.5908500000000001</v>
      </c>
      <c r="H2112" s="685">
        <v>3013.3350000000005</v>
      </c>
      <c r="I2112" s="686" t="s">
        <v>9009</v>
      </c>
      <c r="J2112" s="672" t="s">
        <v>10128</v>
      </c>
      <c r="K2112" s="672" t="s">
        <v>541</v>
      </c>
      <c r="L2112" s="672" t="s">
        <v>8996</v>
      </c>
    </row>
    <row r="2113" spans="1:12" x14ac:dyDescent="0.2">
      <c r="A2113" s="672" t="s">
        <v>220</v>
      </c>
      <c r="B2113" s="672" t="s">
        <v>10381</v>
      </c>
      <c r="C2113" s="672" t="s">
        <v>1510</v>
      </c>
      <c r="D2113" s="672" t="s">
        <v>1511</v>
      </c>
      <c r="E2113" s="745" t="s">
        <v>545</v>
      </c>
      <c r="F2113" s="747">
        <v>7600</v>
      </c>
      <c r="G2113" s="685">
        <v>0.42419999999999997</v>
      </c>
      <c r="H2113" s="685">
        <v>3223.9199999999996</v>
      </c>
      <c r="I2113" s="686" t="s">
        <v>9009</v>
      </c>
      <c r="J2113" s="672" t="s">
        <v>10128</v>
      </c>
      <c r="K2113" s="672" t="s">
        <v>541</v>
      </c>
      <c r="L2113" s="672" t="s">
        <v>8996</v>
      </c>
    </row>
    <row r="2114" spans="1:12" x14ac:dyDescent="0.2">
      <c r="A2114" s="672" t="s">
        <v>220</v>
      </c>
      <c r="B2114" s="672" t="s">
        <v>10381</v>
      </c>
      <c r="C2114" s="672" t="s">
        <v>1512</v>
      </c>
      <c r="D2114" s="672" t="s">
        <v>1513</v>
      </c>
      <c r="E2114" s="745" t="s">
        <v>545</v>
      </c>
      <c r="F2114" s="747">
        <v>1000</v>
      </c>
      <c r="G2114" s="685">
        <v>0.26480555555555563</v>
      </c>
      <c r="H2114" s="685">
        <v>264.8055555555556</v>
      </c>
      <c r="I2114" s="686" t="s">
        <v>9009</v>
      </c>
      <c r="J2114" s="672" t="s">
        <v>10128</v>
      </c>
      <c r="K2114" s="672" t="s">
        <v>541</v>
      </c>
      <c r="L2114" s="672" t="s">
        <v>8996</v>
      </c>
    </row>
    <row r="2115" spans="1:12" x14ac:dyDescent="0.2">
      <c r="A2115" s="672" t="s">
        <v>220</v>
      </c>
      <c r="B2115" s="672" t="s">
        <v>10381</v>
      </c>
      <c r="C2115" s="672" t="s">
        <v>1514</v>
      </c>
      <c r="D2115" s="672" t="s">
        <v>1515</v>
      </c>
      <c r="E2115" s="745" t="s">
        <v>545</v>
      </c>
      <c r="F2115" s="747">
        <v>1379</v>
      </c>
      <c r="G2115" s="685">
        <v>0.32319999999999999</v>
      </c>
      <c r="H2115" s="685">
        <v>445.69279999999998</v>
      </c>
      <c r="I2115" s="686" t="s">
        <v>9009</v>
      </c>
      <c r="J2115" s="672" t="s">
        <v>10128</v>
      </c>
      <c r="K2115" s="672" t="s">
        <v>541</v>
      </c>
      <c r="L2115" s="672" t="s">
        <v>8996</v>
      </c>
    </row>
    <row r="2116" spans="1:12" x14ac:dyDescent="0.2">
      <c r="A2116" s="672" t="s">
        <v>220</v>
      </c>
      <c r="B2116" s="672" t="s">
        <v>10381</v>
      </c>
      <c r="C2116" s="672" t="s">
        <v>1516</v>
      </c>
      <c r="D2116" s="672" t="s">
        <v>1517</v>
      </c>
      <c r="E2116" s="745" t="s">
        <v>545</v>
      </c>
      <c r="F2116" s="747">
        <v>750</v>
      </c>
      <c r="G2116" s="685">
        <v>0.35295722527875129</v>
      </c>
      <c r="H2116" s="685">
        <v>264.71791895906347</v>
      </c>
      <c r="I2116" s="686" t="s">
        <v>9009</v>
      </c>
      <c r="J2116" s="672" t="s">
        <v>10128</v>
      </c>
      <c r="K2116" s="672" t="s">
        <v>541</v>
      </c>
      <c r="L2116" s="672" t="s">
        <v>8996</v>
      </c>
    </row>
    <row r="2117" spans="1:12" x14ac:dyDescent="0.2">
      <c r="A2117" s="672" t="s">
        <v>220</v>
      </c>
      <c r="B2117" s="672" t="s">
        <v>10381</v>
      </c>
      <c r="C2117" s="672" t="s">
        <v>1518</v>
      </c>
      <c r="D2117" s="672" t="s">
        <v>1519</v>
      </c>
      <c r="E2117" s="745" t="s">
        <v>545</v>
      </c>
      <c r="F2117" s="747">
        <v>1000</v>
      </c>
      <c r="G2117" s="685">
        <v>0.23626010935804323</v>
      </c>
      <c r="H2117" s="685">
        <v>236.26010935804322</v>
      </c>
      <c r="I2117" s="686" t="s">
        <v>9009</v>
      </c>
      <c r="J2117" s="672" t="s">
        <v>10128</v>
      </c>
      <c r="K2117" s="672" t="s">
        <v>541</v>
      </c>
      <c r="L2117" s="672" t="s">
        <v>8996</v>
      </c>
    </row>
    <row r="2118" spans="1:12" x14ac:dyDescent="0.2">
      <c r="A2118" s="672" t="s">
        <v>220</v>
      </c>
      <c r="B2118" s="672" t="s">
        <v>10381</v>
      </c>
      <c r="C2118" s="672" t="s">
        <v>1522</v>
      </c>
      <c r="D2118" s="672" t="s">
        <v>1523</v>
      </c>
      <c r="E2118" s="745" t="s">
        <v>545</v>
      </c>
      <c r="F2118" s="747">
        <v>52500</v>
      </c>
      <c r="G2118" s="685">
        <v>9.3566623832702436E-2</v>
      </c>
      <c r="H2118" s="685">
        <v>4912.247751216878</v>
      </c>
      <c r="I2118" s="686" t="s">
        <v>9009</v>
      </c>
      <c r="J2118" s="672" t="s">
        <v>10128</v>
      </c>
      <c r="K2118" s="672" t="s">
        <v>541</v>
      </c>
      <c r="L2118" s="672" t="s">
        <v>8996</v>
      </c>
    </row>
    <row r="2119" spans="1:12" x14ac:dyDescent="0.2">
      <c r="A2119" s="672" t="s">
        <v>220</v>
      </c>
      <c r="B2119" s="672" t="s">
        <v>10381</v>
      </c>
      <c r="C2119" s="672" t="s">
        <v>7546</v>
      </c>
      <c r="D2119" s="672" t="s">
        <v>7547</v>
      </c>
      <c r="E2119" s="745" t="s">
        <v>545</v>
      </c>
      <c r="F2119" s="747">
        <v>13</v>
      </c>
      <c r="G2119" s="685">
        <v>3.0094739631841634</v>
      </c>
      <c r="H2119" s="685">
        <v>39.123161521394124</v>
      </c>
      <c r="I2119" s="686" t="s">
        <v>9009</v>
      </c>
      <c r="J2119" s="672" t="s">
        <v>10128</v>
      </c>
      <c r="K2119" s="672" t="s">
        <v>541</v>
      </c>
      <c r="L2119" s="672" t="s">
        <v>8996</v>
      </c>
    </row>
    <row r="2120" spans="1:12" x14ac:dyDescent="0.2">
      <c r="A2120" s="672" t="s">
        <v>220</v>
      </c>
      <c r="B2120" s="672" t="s">
        <v>10381</v>
      </c>
      <c r="C2120" s="672" t="s">
        <v>1524</v>
      </c>
      <c r="D2120" s="672" t="s">
        <v>1525</v>
      </c>
      <c r="E2120" s="745" t="s">
        <v>545</v>
      </c>
      <c r="F2120" s="747">
        <v>3250</v>
      </c>
      <c r="G2120" s="685">
        <v>0.20200000000000001</v>
      </c>
      <c r="H2120" s="685">
        <v>656.5</v>
      </c>
      <c r="I2120" s="686" t="s">
        <v>9009</v>
      </c>
      <c r="J2120" s="672" t="s">
        <v>9147</v>
      </c>
      <c r="K2120" s="672" t="s">
        <v>541</v>
      </c>
      <c r="L2120" s="672" t="s">
        <v>8996</v>
      </c>
    </row>
    <row r="2121" spans="1:12" x14ac:dyDescent="0.2">
      <c r="A2121" s="672" t="s">
        <v>220</v>
      </c>
      <c r="B2121" s="672" t="s">
        <v>10381</v>
      </c>
      <c r="C2121" s="672" t="s">
        <v>1526</v>
      </c>
      <c r="D2121" s="672" t="s">
        <v>1527</v>
      </c>
      <c r="E2121" s="745" t="s">
        <v>545</v>
      </c>
      <c r="F2121" s="747">
        <v>2750</v>
      </c>
      <c r="G2121" s="685">
        <v>0.45450000000000002</v>
      </c>
      <c r="H2121" s="685">
        <v>1249.875</v>
      </c>
      <c r="I2121" s="686" t="s">
        <v>9009</v>
      </c>
      <c r="J2121" s="672" t="s">
        <v>10128</v>
      </c>
      <c r="K2121" s="672" t="s">
        <v>541</v>
      </c>
      <c r="L2121" s="672" t="s">
        <v>8996</v>
      </c>
    </row>
    <row r="2122" spans="1:12" x14ac:dyDescent="0.2">
      <c r="A2122" s="672" t="s">
        <v>220</v>
      </c>
      <c r="B2122" s="672" t="s">
        <v>10381</v>
      </c>
      <c r="C2122" s="672" t="s">
        <v>1528</v>
      </c>
      <c r="D2122" s="672" t="s">
        <v>1529</v>
      </c>
      <c r="E2122" s="745" t="s">
        <v>545</v>
      </c>
      <c r="F2122" s="747">
        <v>2500</v>
      </c>
      <c r="G2122" s="685">
        <v>8.0799999999999997E-2</v>
      </c>
      <c r="H2122" s="685">
        <v>202</v>
      </c>
      <c r="I2122" s="686" t="s">
        <v>9009</v>
      </c>
      <c r="J2122" s="672" t="s">
        <v>10128</v>
      </c>
      <c r="K2122" s="672" t="s">
        <v>541</v>
      </c>
      <c r="L2122" s="672" t="s">
        <v>8996</v>
      </c>
    </row>
    <row r="2123" spans="1:12" x14ac:dyDescent="0.2">
      <c r="A2123" s="672" t="s">
        <v>220</v>
      </c>
      <c r="B2123" s="672" t="s">
        <v>10381</v>
      </c>
      <c r="C2123" s="672" t="s">
        <v>1530</v>
      </c>
      <c r="D2123" s="672" t="s">
        <v>1531</v>
      </c>
      <c r="E2123" s="745" t="s">
        <v>545</v>
      </c>
      <c r="F2123" s="747">
        <v>16500</v>
      </c>
      <c r="G2123" s="685">
        <v>8.9890000000000012E-2</v>
      </c>
      <c r="H2123" s="685">
        <v>1483.1850000000002</v>
      </c>
      <c r="I2123" s="686" t="s">
        <v>9009</v>
      </c>
      <c r="J2123" s="672" t="s">
        <v>10128</v>
      </c>
      <c r="K2123" s="672" t="s">
        <v>541</v>
      </c>
      <c r="L2123" s="672" t="s">
        <v>8996</v>
      </c>
    </row>
    <row r="2124" spans="1:12" x14ac:dyDescent="0.2">
      <c r="A2124" s="672" t="s">
        <v>220</v>
      </c>
      <c r="B2124" s="672" t="s">
        <v>10381</v>
      </c>
      <c r="C2124" s="672" t="s">
        <v>1537</v>
      </c>
      <c r="D2124" s="672" t="s">
        <v>1538</v>
      </c>
      <c r="E2124" s="745" t="s">
        <v>545</v>
      </c>
      <c r="F2124" s="747">
        <v>58000</v>
      </c>
      <c r="G2124" s="685">
        <v>0.19695358650539382</v>
      </c>
      <c r="H2124" s="685">
        <v>11423.308017312842</v>
      </c>
      <c r="I2124" s="686" t="s">
        <v>9009</v>
      </c>
      <c r="J2124" s="672" t="s">
        <v>10128</v>
      </c>
      <c r="K2124" s="672" t="s">
        <v>541</v>
      </c>
      <c r="L2124" s="672" t="s">
        <v>8996</v>
      </c>
    </row>
    <row r="2125" spans="1:12" x14ac:dyDescent="0.2">
      <c r="A2125" s="672" t="s">
        <v>220</v>
      </c>
      <c r="B2125" s="672" t="s">
        <v>10381</v>
      </c>
      <c r="C2125" s="672" t="s">
        <v>1539</v>
      </c>
      <c r="D2125" s="672" t="s">
        <v>1540</v>
      </c>
      <c r="E2125" s="745" t="s">
        <v>545</v>
      </c>
      <c r="F2125" s="747">
        <v>42500</v>
      </c>
      <c r="G2125" s="685">
        <v>8.7420574162679412E-2</v>
      </c>
      <c r="H2125" s="685">
        <v>3715.3744019138749</v>
      </c>
      <c r="I2125" s="686" t="s">
        <v>9009</v>
      </c>
      <c r="J2125" s="672" t="s">
        <v>10128</v>
      </c>
      <c r="K2125" s="672" t="s">
        <v>541</v>
      </c>
      <c r="L2125" s="672" t="s">
        <v>8996</v>
      </c>
    </row>
    <row r="2126" spans="1:12" x14ac:dyDescent="0.2">
      <c r="A2126" s="672" t="s">
        <v>220</v>
      </c>
      <c r="B2126" s="672" t="s">
        <v>10381</v>
      </c>
      <c r="C2126" s="672" t="s">
        <v>734</v>
      </c>
      <c r="D2126" s="672" t="s">
        <v>735</v>
      </c>
      <c r="E2126" s="745" t="s">
        <v>545</v>
      </c>
      <c r="F2126" s="747">
        <v>1000</v>
      </c>
      <c r="G2126" s="685">
        <v>0.2525</v>
      </c>
      <c r="H2126" s="685">
        <v>252.5</v>
      </c>
      <c r="I2126" s="686" t="s">
        <v>9009</v>
      </c>
      <c r="J2126" s="672" t="s">
        <v>9201</v>
      </c>
      <c r="K2126" s="672" t="s">
        <v>541</v>
      </c>
      <c r="L2126" s="672" t="s">
        <v>8996</v>
      </c>
    </row>
    <row r="2127" spans="1:12" x14ac:dyDescent="0.2">
      <c r="A2127" s="672" t="s">
        <v>220</v>
      </c>
      <c r="B2127" s="672" t="s">
        <v>10381</v>
      </c>
      <c r="C2127" s="672" t="s">
        <v>1541</v>
      </c>
      <c r="D2127" s="672" t="s">
        <v>1542</v>
      </c>
      <c r="E2127" s="745" t="s">
        <v>545</v>
      </c>
      <c r="F2127" s="747">
        <v>8400</v>
      </c>
      <c r="G2127" s="685">
        <v>0.13127541457650588</v>
      </c>
      <c r="H2127" s="685">
        <v>1102.7134824426494</v>
      </c>
      <c r="I2127" s="686" t="s">
        <v>9009</v>
      </c>
      <c r="J2127" s="672" t="s">
        <v>10128</v>
      </c>
      <c r="K2127" s="672" t="s">
        <v>541</v>
      </c>
      <c r="L2127" s="672" t="s">
        <v>8996</v>
      </c>
    </row>
    <row r="2128" spans="1:12" x14ac:dyDescent="0.2">
      <c r="A2128" s="672" t="s">
        <v>220</v>
      </c>
      <c r="B2128" s="672" t="s">
        <v>10381</v>
      </c>
      <c r="C2128" s="672" t="s">
        <v>9568</v>
      </c>
      <c r="D2128" s="672" t="s">
        <v>9569</v>
      </c>
      <c r="E2128" s="745" t="s">
        <v>545</v>
      </c>
      <c r="F2128" s="747">
        <v>14000</v>
      </c>
      <c r="G2128" s="685">
        <v>0.10100000000000001</v>
      </c>
      <c r="H2128" s="685">
        <v>1414</v>
      </c>
      <c r="I2128" s="686" t="s">
        <v>9009</v>
      </c>
      <c r="J2128" s="672" t="s">
        <v>10128</v>
      </c>
      <c r="K2128" s="672" t="s">
        <v>541</v>
      </c>
      <c r="L2128" s="672" t="s">
        <v>8996</v>
      </c>
    </row>
    <row r="2129" spans="1:12" x14ac:dyDescent="0.2">
      <c r="A2129" s="672" t="s">
        <v>220</v>
      </c>
      <c r="B2129" s="672" t="s">
        <v>10381</v>
      </c>
      <c r="C2129" s="672" t="s">
        <v>9570</v>
      </c>
      <c r="D2129" s="672" t="s">
        <v>9571</v>
      </c>
      <c r="E2129" s="745" t="s">
        <v>545</v>
      </c>
      <c r="F2129" s="747">
        <v>24000</v>
      </c>
      <c r="G2129" s="685">
        <v>0.10100000000000001</v>
      </c>
      <c r="H2129" s="685">
        <v>2424</v>
      </c>
      <c r="I2129" s="686" t="s">
        <v>9009</v>
      </c>
      <c r="J2129" s="672" t="s">
        <v>10128</v>
      </c>
      <c r="K2129" s="672" t="s">
        <v>541</v>
      </c>
      <c r="L2129" s="672" t="s">
        <v>8996</v>
      </c>
    </row>
    <row r="2130" spans="1:12" x14ac:dyDescent="0.2">
      <c r="A2130" s="672" t="s">
        <v>220</v>
      </c>
      <c r="B2130" s="672" t="s">
        <v>10381</v>
      </c>
      <c r="C2130" s="672" t="s">
        <v>9572</v>
      </c>
      <c r="D2130" s="672" t="s">
        <v>9573</v>
      </c>
      <c r="E2130" s="745" t="s">
        <v>545</v>
      </c>
      <c r="F2130" s="747">
        <v>23000</v>
      </c>
      <c r="G2130" s="685">
        <v>0.10100000000000002</v>
      </c>
      <c r="H2130" s="685">
        <v>2323.0000000000005</v>
      </c>
      <c r="I2130" s="686" t="s">
        <v>9009</v>
      </c>
      <c r="J2130" s="672" t="s">
        <v>10128</v>
      </c>
      <c r="K2130" s="672" t="s">
        <v>541</v>
      </c>
      <c r="L2130" s="672" t="s">
        <v>8996</v>
      </c>
    </row>
    <row r="2131" spans="1:12" x14ac:dyDescent="0.2">
      <c r="A2131" s="672" t="s">
        <v>220</v>
      </c>
      <c r="B2131" s="672" t="s">
        <v>10381</v>
      </c>
      <c r="C2131" s="672" t="s">
        <v>9574</v>
      </c>
      <c r="D2131" s="672" t="s">
        <v>9575</v>
      </c>
      <c r="E2131" s="745" t="s">
        <v>545</v>
      </c>
      <c r="F2131" s="747">
        <v>12000</v>
      </c>
      <c r="G2131" s="685">
        <v>0.10100000000000001</v>
      </c>
      <c r="H2131" s="685">
        <v>1212</v>
      </c>
      <c r="I2131" s="686" t="s">
        <v>9009</v>
      </c>
      <c r="J2131" s="672" t="s">
        <v>10128</v>
      </c>
      <c r="K2131" s="672" t="s">
        <v>541</v>
      </c>
      <c r="L2131" s="672" t="s">
        <v>8996</v>
      </c>
    </row>
    <row r="2132" spans="1:12" x14ac:dyDescent="0.2">
      <c r="A2132" s="672" t="s">
        <v>220</v>
      </c>
      <c r="B2132" s="672" t="s">
        <v>10381</v>
      </c>
      <c r="C2132" s="672" t="s">
        <v>9660</v>
      </c>
      <c r="D2132" s="672" t="s">
        <v>9661</v>
      </c>
      <c r="E2132" s="745" t="s">
        <v>545</v>
      </c>
      <c r="F2132" s="747">
        <v>11000</v>
      </c>
      <c r="G2132" s="685">
        <v>0.10100000000000001</v>
      </c>
      <c r="H2132" s="685">
        <v>1111</v>
      </c>
      <c r="I2132" s="686" t="s">
        <v>9009</v>
      </c>
      <c r="J2132" s="672" t="s">
        <v>10128</v>
      </c>
      <c r="K2132" s="672" t="s">
        <v>541</v>
      </c>
      <c r="L2132" s="672" t="s">
        <v>8996</v>
      </c>
    </row>
    <row r="2133" spans="1:12" x14ac:dyDescent="0.2">
      <c r="A2133" s="672" t="s">
        <v>220</v>
      </c>
      <c r="B2133" s="672" t="s">
        <v>10381</v>
      </c>
      <c r="C2133" s="672" t="s">
        <v>9662</v>
      </c>
      <c r="D2133" s="672" t="s">
        <v>9663</v>
      </c>
      <c r="E2133" s="745" t="s">
        <v>545</v>
      </c>
      <c r="F2133" s="747">
        <v>10000</v>
      </c>
      <c r="G2133" s="685">
        <v>8.0799999999999997E-2</v>
      </c>
      <c r="H2133" s="685">
        <v>808</v>
      </c>
      <c r="I2133" s="686" t="s">
        <v>9009</v>
      </c>
      <c r="J2133" s="672" t="s">
        <v>10128</v>
      </c>
      <c r="K2133" s="672" t="s">
        <v>541</v>
      </c>
      <c r="L2133" s="672" t="s">
        <v>8996</v>
      </c>
    </row>
    <row r="2134" spans="1:12" x14ac:dyDescent="0.2">
      <c r="A2134" s="672" t="s">
        <v>220</v>
      </c>
      <c r="B2134" s="672" t="s">
        <v>10381</v>
      </c>
      <c r="C2134" s="672" t="s">
        <v>1543</v>
      </c>
      <c r="D2134" s="672" t="s">
        <v>1544</v>
      </c>
      <c r="E2134" s="745" t="s">
        <v>545</v>
      </c>
      <c r="F2134" s="747">
        <v>37000</v>
      </c>
      <c r="G2134" s="685">
        <v>2.5748804833685576E-2</v>
      </c>
      <c r="H2134" s="685">
        <v>952.70577884636634</v>
      </c>
      <c r="I2134" s="686" t="s">
        <v>9009</v>
      </c>
      <c r="J2134" s="672" t="s">
        <v>10128</v>
      </c>
      <c r="K2134" s="672" t="s">
        <v>541</v>
      </c>
      <c r="L2134" s="672" t="s">
        <v>8996</v>
      </c>
    </row>
    <row r="2135" spans="1:12" x14ac:dyDescent="0.2">
      <c r="A2135" s="672" t="s">
        <v>220</v>
      </c>
      <c r="B2135" s="672" t="s">
        <v>10381</v>
      </c>
      <c r="C2135" s="672" t="s">
        <v>1545</v>
      </c>
      <c r="D2135" s="672" t="s">
        <v>9664</v>
      </c>
      <c r="E2135" s="745" t="s">
        <v>545</v>
      </c>
      <c r="F2135" s="747">
        <v>16000</v>
      </c>
      <c r="G2135" s="685">
        <v>0.11026574500943101</v>
      </c>
      <c r="H2135" s="685">
        <v>1764.2519201508962</v>
      </c>
      <c r="I2135" s="686" t="s">
        <v>9009</v>
      </c>
      <c r="J2135" s="672" t="s">
        <v>10128</v>
      </c>
      <c r="K2135" s="672" t="s">
        <v>541</v>
      </c>
      <c r="L2135" s="672" t="s">
        <v>8996</v>
      </c>
    </row>
    <row r="2136" spans="1:12" x14ac:dyDescent="0.2">
      <c r="A2136" s="672" t="s">
        <v>220</v>
      </c>
      <c r="B2136" s="672" t="s">
        <v>10381</v>
      </c>
      <c r="C2136" s="672" t="s">
        <v>1547</v>
      </c>
      <c r="D2136" s="672" t="s">
        <v>1548</v>
      </c>
      <c r="E2136" s="745" t="s">
        <v>545</v>
      </c>
      <c r="F2136" s="747">
        <v>2000</v>
      </c>
      <c r="G2136" s="685">
        <v>0.22</v>
      </c>
      <c r="H2136" s="685">
        <v>440</v>
      </c>
      <c r="I2136" s="686" t="s">
        <v>9009</v>
      </c>
      <c r="J2136" s="672" t="s">
        <v>10128</v>
      </c>
      <c r="K2136" s="672" t="s">
        <v>541</v>
      </c>
      <c r="L2136" s="672" t="s">
        <v>8996</v>
      </c>
    </row>
    <row r="2137" spans="1:12" x14ac:dyDescent="0.2">
      <c r="A2137" s="672" t="s">
        <v>220</v>
      </c>
      <c r="B2137" s="672" t="s">
        <v>10381</v>
      </c>
      <c r="C2137" s="672" t="s">
        <v>1549</v>
      </c>
      <c r="D2137" s="672" t="s">
        <v>1550</v>
      </c>
      <c r="E2137" s="745" t="s">
        <v>545</v>
      </c>
      <c r="F2137" s="747">
        <v>1000</v>
      </c>
      <c r="G2137" s="685">
        <v>0.22</v>
      </c>
      <c r="H2137" s="685">
        <v>220</v>
      </c>
      <c r="I2137" s="686" t="s">
        <v>9009</v>
      </c>
      <c r="J2137" s="672" t="s">
        <v>10128</v>
      </c>
      <c r="K2137" s="672" t="s">
        <v>541</v>
      </c>
      <c r="L2137" s="672" t="s">
        <v>8996</v>
      </c>
    </row>
    <row r="2138" spans="1:12" x14ac:dyDescent="0.2">
      <c r="A2138" s="672" t="s">
        <v>220</v>
      </c>
      <c r="B2138" s="672" t="s">
        <v>10381</v>
      </c>
      <c r="C2138" s="672" t="s">
        <v>1551</v>
      </c>
      <c r="D2138" s="672" t="s">
        <v>1552</v>
      </c>
      <c r="E2138" s="745" t="s">
        <v>545</v>
      </c>
      <c r="F2138" s="747">
        <v>8000</v>
      </c>
      <c r="G2138" s="685">
        <v>0.22</v>
      </c>
      <c r="H2138" s="685">
        <v>1760</v>
      </c>
      <c r="I2138" s="686" t="s">
        <v>9009</v>
      </c>
      <c r="J2138" s="672" t="s">
        <v>10128</v>
      </c>
      <c r="K2138" s="672" t="s">
        <v>541</v>
      </c>
      <c r="L2138" s="672" t="s">
        <v>8996</v>
      </c>
    </row>
    <row r="2139" spans="1:12" x14ac:dyDescent="0.2">
      <c r="A2139" s="672" t="s">
        <v>220</v>
      </c>
      <c r="B2139" s="672" t="s">
        <v>10381</v>
      </c>
      <c r="C2139" s="672" t="s">
        <v>1553</v>
      </c>
      <c r="D2139" s="672" t="s">
        <v>1554</v>
      </c>
      <c r="E2139" s="745" t="s">
        <v>545</v>
      </c>
      <c r="F2139" s="747">
        <v>6000</v>
      </c>
      <c r="G2139" s="685">
        <v>0.19905091680227216</v>
      </c>
      <c r="H2139" s="685">
        <v>1194.305500813633</v>
      </c>
      <c r="I2139" s="686" t="s">
        <v>9009</v>
      </c>
      <c r="J2139" s="672" t="s">
        <v>10128</v>
      </c>
      <c r="K2139" s="672" t="s">
        <v>541</v>
      </c>
      <c r="L2139" s="672" t="s">
        <v>8996</v>
      </c>
    </row>
    <row r="2140" spans="1:12" x14ac:dyDescent="0.2">
      <c r="A2140" s="672" t="s">
        <v>220</v>
      </c>
      <c r="B2140" s="672" t="s">
        <v>10381</v>
      </c>
      <c r="C2140" s="672" t="s">
        <v>1555</v>
      </c>
      <c r="D2140" s="672" t="s">
        <v>1556</v>
      </c>
      <c r="E2140" s="745" t="s">
        <v>545</v>
      </c>
      <c r="F2140" s="747">
        <v>1000</v>
      </c>
      <c r="G2140" s="685">
        <v>4.632E-2</v>
      </c>
      <c r="H2140" s="685">
        <v>46.32</v>
      </c>
      <c r="I2140" s="686" t="s">
        <v>9009</v>
      </c>
      <c r="J2140" s="672" t="s">
        <v>10128</v>
      </c>
      <c r="K2140" s="672" t="s">
        <v>541</v>
      </c>
      <c r="L2140" s="672" t="s">
        <v>8996</v>
      </c>
    </row>
    <row r="2141" spans="1:12" x14ac:dyDescent="0.2">
      <c r="A2141" s="672" t="s">
        <v>220</v>
      </c>
      <c r="B2141" s="672" t="s">
        <v>10381</v>
      </c>
      <c r="C2141" s="672" t="s">
        <v>1557</v>
      </c>
      <c r="D2141" s="672" t="s">
        <v>1558</v>
      </c>
      <c r="E2141" s="745" t="s">
        <v>545</v>
      </c>
      <c r="F2141" s="747">
        <v>3800</v>
      </c>
      <c r="G2141" s="685">
        <v>0.04</v>
      </c>
      <c r="H2141" s="685">
        <v>152</v>
      </c>
      <c r="I2141" s="686" t="s">
        <v>9009</v>
      </c>
      <c r="J2141" s="672" t="s">
        <v>10128</v>
      </c>
      <c r="K2141" s="672" t="s">
        <v>541</v>
      </c>
      <c r="L2141" s="672" t="s">
        <v>8996</v>
      </c>
    </row>
    <row r="2142" spans="1:12" x14ac:dyDescent="0.2">
      <c r="A2142" s="672" t="s">
        <v>220</v>
      </c>
      <c r="B2142" s="672" t="s">
        <v>10381</v>
      </c>
      <c r="C2142" s="672" t="s">
        <v>1559</v>
      </c>
      <c r="D2142" s="672" t="s">
        <v>1560</v>
      </c>
      <c r="E2142" s="745" t="s">
        <v>545</v>
      </c>
      <c r="F2142" s="747">
        <v>3500</v>
      </c>
      <c r="G2142" s="685">
        <v>9.6970161290322598E-2</v>
      </c>
      <c r="H2142" s="685">
        <v>339.39556451612907</v>
      </c>
      <c r="I2142" s="686" t="s">
        <v>9009</v>
      </c>
      <c r="J2142" s="672" t="s">
        <v>10128</v>
      </c>
      <c r="K2142" s="672" t="s">
        <v>541</v>
      </c>
      <c r="L2142" s="672" t="s">
        <v>8996</v>
      </c>
    </row>
    <row r="2143" spans="1:12" x14ac:dyDescent="0.2">
      <c r="A2143" s="672" t="s">
        <v>220</v>
      </c>
      <c r="B2143" s="672" t="s">
        <v>10381</v>
      </c>
      <c r="C2143" s="672" t="s">
        <v>1561</v>
      </c>
      <c r="D2143" s="672" t="s">
        <v>1562</v>
      </c>
      <c r="E2143" s="745" t="s">
        <v>545</v>
      </c>
      <c r="F2143" s="747">
        <v>6000</v>
      </c>
      <c r="G2143" s="685">
        <v>0.04</v>
      </c>
      <c r="H2143" s="685">
        <v>240</v>
      </c>
      <c r="I2143" s="686" t="s">
        <v>9009</v>
      </c>
      <c r="J2143" s="672" t="s">
        <v>10128</v>
      </c>
      <c r="K2143" s="672" t="s">
        <v>541</v>
      </c>
      <c r="L2143" s="672" t="s">
        <v>8996</v>
      </c>
    </row>
    <row r="2144" spans="1:12" x14ac:dyDescent="0.2">
      <c r="A2144" s="672" t="s">
        <v>220</v>
      </c>
      <c r="B2144" s="672" t="s">
        <v>10381</v>
      </c>
      <c r="C2144" s="672" t="s">
        <v>1563</v>
      </c>
      <c r="D2144" s="672" t="s">
        <v>1564</v>
      </c>
      <c r="E2144" s="745" t="s">
        <v>545</v>
      </c>
      <c r="F2144" s="747">
        <v>3000</v>
      </c>
      <c r="G2144" s="685">
        <v>3.7999999999999999E-2</v>
      </c>
      <c r="H2144" s="685">
        <v>114</v>
      </c>
      <c r="I2144" s="686" t="s">
        <v>9009</v>
      </c>
      <c r="J2144" s="672" t="s">
        <v>10128</v>
      </c>
      <c r="K2144" s="672" t="s">
        <v>541</v>
      </c>
      <c r="L2144" s="672" t="s">
        <v>8996</v>
      </c>
    </row>
    <row r="2145" spans="1:12" x14ac:dyDescent="0.2">
      <c r="A2145" s="672" t="s">
        <v>220</v>
      </c>
      <c r="B2145" s="672" t="s">
        <v>10381</v>
      </c>
      <c r="C2145" s="672" t="s">
        <v>1565</v>
      </c>
      <c r="D2145" s="672" t="s">
        <v>1566</v>
      </c>
      <c r="E2145" s="745" t="s">
        <v>545</v>
      </c>
      <c r="F2145" s="747">
        <v>2800</v>
      </c>
      <c r="G2145" s="685">
        <v>0.04</v>
      </c>
      <c r="H2145" s="685">
        <v>112</v>
      </c>
      <c r="I2145" s="686" t="s">
        <v>9009</v>
      </c>
      <c r="J2145" s="672" t="s">
        <v>10128</v>
      </c>
      <c r="K2145" s="672" t="s">
        <v>541</v>
      </c>
      <c r="L2145" s="672" t="s">
        <v>8996</v>
      </c>
    </row>
    <row r="2146" spans="1:12" x14ac:dyDescent="0.2">
      <c r="A2146" s="672" t="s">
        <v>220</v>
      </c>
      <c r="B2146" s="672" t="s">
        <v>10381</v>
      </c>
      <c r="C2146" s="672" t="s">
        <v>1567</v>
      </c>
      <c r="D2146" s="672" t="s">
        <v>1568</v>
      </c>
      <c r="E2146" s="745" t="s">
        <v>545</v>
      </c>
      <c r="F2146" s="747">
        <v>2000</v>
      </c>
      <c r="G2146" s="685">
        <v>8.5849999999999996E-2</v>
      </c>
      <c r="H2146" s="685">
        <v>171.7</v>
      </c>
      <c r="I2146" s="686" t="s">
        <v>9009</v>
      </c>
      <c r="J2146" s="672" t="s">
        <v>10128</v>
      </c>
      <c r="K2146" s="672" t="s">
        <v>541</v>
      </c>
      <c r="L2146" s="672" t="s">
        <v>8996</v>
      </c>
    </row>
    <row r="2147" spans="1:12" x14ac:dyDescent="0.2">
      <c r="A2147" s="672" t="s">
        <v>220</v>
      </c>
      <c r="B2147" s="672" t="s">
        <v>10381</v>
      </c>
      <c r="C2147" s="672" t="s">
        <v>1569</v>
      </c>
      <c r="D2147" s="672" t="s">
        <v>1570</v>
      </c>
      <c r="E2147" s="745" t="s">
        <v>545</v>
      </c>
      <c r="F2147" s="747">
        <v>3500</v>
      </c>
      <c r="G2147" s="685">
        <v>4.632E-2</v>
      </c>
      <c r="H2147" s="685">
        <v>162.12</v>
      </c>
      <c r="I2147" s="686" t="s">
        <v>9009</v>
      </c>
      <c r="J2147" s="672" t="s">
        <v>10128</v>
      </c>
      <c r="K2147" s="672" t="s">
        <v>541</v>
      </c>
      <c r="L2147" s="672" t="s">
        <v>8996</v>
      </c>
    </row>
    <row r="2148" spans="1:12" x14ac:dyDescent="0.2">
      <c r="A2148" s="672" t="s">
        <v>220</v>
      </c>
      <c r="B2148" s="672" t="s">
        <v>10381</v>
      </c>
      <c r="C2148" s="672" t="s">
        <v>1571</v>
      </c>
      <c r="D2148" s="672" t="s">
        <v>1572</v>
      </c>
      <c r="E2148" s="745" t="s">
        <v>545</v>
      </c>
      <c r="F2148" s="747">
        <v>1500</v>
      </c>
      <c r="G2148" s="685">
        <v>0.1</v>
      </c>
      <c r="H2148" s="685">
        <v>150</v>
      </c>
      <c r="I2148" s="686" t="s">
        <v>9009</v>
      </c>
      <c r="J2148" s="672" t="s">
        <v>10128</v>
      </c>
      <c r="K2148" s="672" t="s">
        <v>541</v>
      </c>
      <c r="L2148" s="672" t="s">
        <v>8996</v>
      </c>
    </row>
    <row r="2149" spans="1:12" x14ac:dyDescent="0.2">
      <c r="A2149" s="672" t="s">
        <v>220</v>
      </c>
      <c r="B2149" s="672" t="s">
        <v>10381</v>
      </c>
      <c r="C2149" s="672" t="s">
        <v>1573</v>
      </c>
      <c r="D2149" s="672" t="s">
        <v>1574</v>
      </c>
      <c r="E2149" s="745" t="s">
        <v>545</v>
      </c>
      <c r="F2149" s="747">
        <v>2000</v>
      </c>
      <c r="G2149" s="685">
        <v>0.04</v>
      </c>
      <c r="H2149" s="685">
        <v>80</v>
      </c>
      <c r="I2149" s="686" t="s">
        <v>9009</v>
      </c>
      <c r="J2149" s="672" t="s">
        <v>10128</v>
      </c>
      <c r="K2149" s="672" t="s">
        <v>541</v>
      </c>
      <c r="L2149" s="672" t="s">
        <v>8996</v>
      </c>
    </row>
    <row r="2150" spans="1:12" x14ac:dyDescent="0.2">
      <c r="A2150" s="672" t="s">
        <v>220</v>
      </c>
      <c r="B2150" s="672" t="s">
        <v>10381</v>
      </c>
      <c r="C2150" s="672" t="s">
        <v>1575</v>
      </c>
      <c r="D2150" s="672" t="s">
        <v>1576</v>
      </c>
      <c r="E2150" s="745" t="s">
        <v>545</v>
      </c>
      <c r="F2150" s="747">
        <v>2000</v>
      </c>
      <c r="G2150" s="685">
        <v>0.04</v>
      </c>
      <c r="H2150" s="685">
        <v>80</v>
      </c>
      <c r="I2150" s="686" t="s">
        <v>9009</v>
      </c>
      <c r="J2150" s="672" t="s">
        <v>10128</v>
      </c>
      <c r="K2150" s="672" t="s">
        <v>541</v>
      </c>
      <c r="L2150" s="672" t="s">
        <v>8996</v>
      </c>
    </row>
    <row r="2151" spans="1:12" x14ac:dyDescent="0.2">
      <c r="A2151" s="672" t="s">
        <v>220</v>
      </c>
      <c r="B2151" s="672" t="s">
        <v>10381</v>
      </c>
      <c r="C2151" s="672" t="s">
        <v>1577</v>
      </c>
      <c r="D2151" s="672" t="s">
        <v>1578</v>
      </c>
      <c r="E2151" s="745" t="s">
        <v>545</v>
      </c>
      <c r="F2151" s="747">
        <v>475</v>
      </c>
      <c r="G2151" s="685">
        <v>0.02</v>
      </c>
      <c r="H2151" s="685">
        <v>9.5</v>
      </c>
      <c r="I2151" s="686" t="s">
        <v>9009</v>
      </c>
      <c r="J2151" s="672" t="s">
        <v>10128</v>
      </c>
      <c r="K2151" s="672" t="s">
        <v>541</v>
      </c>
      <c r="L2151" s="672" t="s">
        <v>8996</v>
      </c>
    </row>
    <row r="2152" spans="1:12" x14ac:dyDescent="0.2">
      <c r="A2152" s="672" t="s">
        <v>220</v>
      </c>
      <c r="B2152" s="672" t="s">
        <v>10381</v>
      </c>
      <c r="C2152" s="672" t="s">
        <v>1579</v>
      </c>
      <c r="D2152" s="672" t="s">
        <v>1580</v>
      </c>
      <c r="E2152" s="745" t="s">
        <v>545</v>
      </c>
      <c r="F2152" s="747">
        <v>700</v>
      </c>
      <c r="G2152" s="685">
        <v>0.02</v>
      </c>
      <c r="H2152" s="685">
        <v>14</v>
      </c>
      <c r="I2152" s="686" t="s">
        <v>9009</v>
      </c>
      <c r="J2152" s="672" t="s">
        <v>10128</v>
      </c>
      <c r="K2152" s="672" t="s">
        <v>541</v>
      </c>
      <c r="L2152" s="672" t="s">
        <v>8996</v>
      </c>
    </row>
    <row r="2153" spans="1:12" x14ac:dyDescent="0.2">
      <c r="A2153" s="672" t="s">
        <v>220</v>
      </c>
      <c r="B2153" s="672" t="s">
        <v>10381</v>
      </c>
      <c r="C2153" s="672" t="s">
        <v>1581</v>
      </c>
      <c r="D2153" s="672" t="s">
        <v>1582</v>
      </c>
      <c r="E2153" s="745" t="s">
        <v>545</v>
      </c>
      <c r="F2153" s="747">
        <v>1500</v>
      </c>
      <c r="G2153" s="685">
        <v>0.1</v>
      </c>
      <c r="H2153" s="685">
        <v>150</v>
      </c>
      <c r="I2153" s="686" t="s">
        <v>9009</v>
      </c>
      <c r="J2153" s="672" t="s">
        <v>10128</v>
      </c>
      <c r="K2153" s="672" t="s">
        <v>541</v>
      </c>
      <c r="L2153" s="672" t="s">
        <v>8996</v>
      </c>
    </row>
    <row r="2154" spans="1:12" x14ac:dyDescent="0.2">
      <c r="A2154" s="672" t="s">
        <v>220</v>
      </c>
      <c r="B2154" s="672" t="s">
        <v>10381</v>
      </c>
      <c r="C2154" s="672" t="s">
        <v>1583</v>
      </c>
      <c r="D2154" s="672" t="s">
        <v>1584</v>
      </c>
      <c r="E2154" s="745" t="s">
        <v>545</v>
      </c>
      <c r="F2154" s="747">
        <v>800</v>
      </c>
      <c r="G2154" s="685">
        <v>0.5</v>
      </c>
      <c r="H2154" s="685">
        <v>400</v>
      </c>
      <c r="I2154" s="686" t="s">
        <v>9009</v>
      </c>
      <c r="J2154" s="672" t="s">
        <v>10128</v>
      </c>
      <c r="K2154" s="672" t="s">
        <v>541</v>
      </c>
      <c r="L2154" s="672" t="s">
        <v>8996</v>
      </c>
    </row>
    <row r="2155" spans="1:12" x14ac:dyDescent="0.2">
      <c r="A2155" s="672" t="s">
        <v>220</v>
      </c>
      <c r="B2155" s="672" t="s">
        <v>10381</v>
      </c>
      <c r="C2155" s="672" t="s">
        <v>1585</v>
      </c>
      <c r="D2155" s="672" t="s">
        <v>1586</v>
      </c>
      <c r="E2155" s="745" t="s">
        <v>545</v>
      </c>
      <c r="F2155" s="747">
        <v>500</v>
      </c>
      <c r="G2155" s="685">
        <v>7.3804819277108427E-2</v>
      </c>
      <c r="H2155" s="685">
        <v>36.902409638554211</v>
      </c>
      <c r="I2155" s="686" t="s">
        <v>9009</v>
      </c>
      <c r="J2155" s="672" t="s">
        <v>10128</v>
      </c>
      <c r="K2155" s="672" t="s">
        <v>541</v>
      </c>
      <c r="L2155" s="672" t="s">
        <v>8996</v>
      </c>
    </row>
    <row r="2156" spans="1:12" x14ac:dyDescent="0.2">
      <c r="A2156" s="672" t="s">
        <v>220</v>
      </c>
      <c r="B2156" s="672" t="s">
        <v>10381</v>
      </c>
      <c r="C2156" s="672" t="s">
        <v>1587</v>
      </c>
      <c r="D2156" s="672" t="s">
        <v>1588</v>
      </c>
      <c r="E2156" s="745" t="s">
        <v>545</v>
      </c>
      <c r="F2156" s="747">
        <v>2000</v>
      </c>
      <c r="G2156" s="685">
        <v>0.19261557329462989</v>
      </c>
      <c r="H2156" s="685">
        <v>385.23114658925977</v>
      </c>
      <c r="I2156" s="686" t="s">
        <v>9009</v>
      </c>
      <c r="J2156" s="672" t="s">
        <v>10128</v>
      </c>
      <c r="K2156" s="672" t="s">
        <v>541</v>
      </c>
      <c r="L2156" s="672" t="s">
        <v>8996</v>
      </c>
    </row>
    <row r="2157" spans="1:12" x14ac:dyDescent="0.2">
      <c r="A2157" s="672" t="s">
        <v>220</v>
      </c>
      <c r="B2157" s="672" t="s">
        <v>10381</v>
      </c>
      <c r="C2157" s="672" t="s">
        <v>1589</v>
      </c>
      <c r="D2157" s="672" t="s">
        <v>1590</v>
      </c>
      <c r="E2157" s="745" t="s">
        <v>545</v>
      </c>
      <c r="F2157" s="747">
        <v>3700</v>
      </c>
      <c r="G2157" s="685">
        <v>0.16409220779220779</v>
      </c>
      <c r="H2157" s="685">
        <v>607.14116883116878</v>
      </c>
      <c r="I2157" s="686" t="s">
        <v>9009</v>
      </c>
      <c r="J2157" s="672" t="s">
        <v>10128</v>
      </c>
      <c r="K2157" s="672" t="s">
        <v>541</v>
      </c>
      <c r="L2157" s="672" t="s">
        <v>8996</v>
      </c>
    </row>
    <row r="2158" spans="1:12" x14ac:dyDescent="0.2">
      <c r="A2158" s="672" t="s">
        <v>220</v>
      </c>
      <c r="B2158" s="672" t="s">
        <v>10381</v>
      </c>
      <c r="C2158" s="672" t="s">
        <v>1591</v>
      </c>
      <c r="D2158" s="672" t="s">
        <v>1592</v>
      </c>
      <c r="E2158" s="745" t="s">
        <v>545</v>
      </c>
      <c r="F2158" s="747">
        <v>2500</v>
      </c>
      <c r="G2158" s="685">
        <v>6.239999999999999E-2</v>
      </c>
      <c r="H2158" s="685">
        <v>155.99999999999997</v>
      </c>
      <c r="I2158" s="686" t="s">
        <v>9009</v>
      </c>
      <c r="J2158" s="672" t="s">
        <v>10128</v>
      </c>
      <c r="K2158" s="672" t="s">
        <v>541</v>
      </c>
      <c r="L2158" s="672" t="s">
        <v>8996</v>
      </c>
    </row>
    <row r="2159" spans="1:12" x14ac:dyDescent="0.2">
      <c r="A2159" s="672" t="s">
        <v>220</v>
      </c>
      <c r="B2159" s="672" t="s">
        <v>10381</v>
      </c>
      <c r="C2159" s="672" t="s">
        <v>1593</v>
      </c>
      <c r="D2159" s="672" t="s">
        <v>1594</v>
      </c>
      <c r="E2159" s="745" t="s">
        <v>545</v>
      </c>
      <c r="F2159" s="747">
        <v>7700</v>
      </c>
      <c r="G2159" s="685">
        <v>0.14368813320825516</v>
      </c>
      <c r="H2159" s="685">
        <v>1106.3986257035647</v>
      </c>
      <c r="I2159" s="686" t="s">
        <v>9009</v>
      </c>
      <c r="J2159" s="672" t="s">
        <v>10128</v>
      </c>
      <c r="K2159" s="672" t="s">
        <v>541</v>
      </c>
      <c r="L2159" s="672" t="s">
        <v>8996</v>
      </c>
    </row>
    <row r="2160" spans="1:12" x14ac:dyDescent="0.2">
      <c r="A2160" s="672" t="s">
        <v>220</v>
      </c>
      <c r="B2160" s="672" t="s">
        <v>10381</v>
      </c>
      <c r="C2160" s="672" t="s">
        <v>1595</v>
      </c>
      <c r="D2160" s="672" t="s">
        <v>1596</v>
      </c>
      <c r="E2160" s="745" t="s">
        <v>545</v>
      </c>
      <c r="F2160" s="747">
        <v>2000</v>
      </c>
      <c r="G2160" s="685">
        <v>0.18179999999999999</v>
      </c>
      <c r="H2160" s="685">
        <v>363.59999999999997</v>
      </c>
      <c r="I2160" s="686" t="s">
        <v>9009</v>
      </c>
      <c r="J2160" s="672" t="s">
        <v>10128</v>
      </c>
      <c r="K2160" s="672" t="s">
        <v>541</v>
      </c>
      <c r="L2160" s="672" t="s">
        <v>8996</v>
      </c>
    </row>
    <row r="2161" spans="1:12" x14ac:dyDescent="0.2">
      <c r="A2161" s="672" t="s">
        <v>220</v>
      </c>
      <c r="B2161" s="672" t="s">
        <v>10381</v>
      </c>
      <c r="C2161" s="672" t="s">
        <v>1597</v>
      </c>
      <c r="D2161" s="672" t="s">
        <v>1598</v>
      </c>
      <c r="E2161" s="745" t="s">
        <v>545</v>
      </c>
      <c r="F2161" s="747">
        <v>2000</v>
      </c>
      <c r="G2161" s="685">
        <v>7.648421052631578E-2</v>
      </c>
      <c r="H2161" s="685">
        <v>152.96842105263156</v>
      </c>
      <c r="I2161" s="686" t="s">
        <v>9009</v>
      </c>
      <c r="J2161" s="672" t="s">
        <v>10128</v>
      </c>
      <c r="K2161" s="672" t="s">
        <v>541</v>
      </c>
      <c r="L2161" s="672" t="s">
        <v>8996</v>
      </c>
    </row>
    <row r="2162" spans="1:12" x14ac:dyDescent="0.2">
      <c r="A2162" s="672" t="s">
        <v>220</v>
      </c>
      <c r="B2162" s="672" t="s">
        <v>10381</v>
      </c>
      <c r="C2162" s="672" t="s">
        <v>1599</v>
      </c>
      <c r="D2162" s="672" t="s">
        <v>1600</v>
      </c>
      <c r="E2162" s="745" t="s">
        <v>545</v>
      </c>
      <c r="F2162" s="747">
        <v>1000</v>
      </c>
      <c r="G2162" s="685">
        <v>3.6799999999999999E-2</v>
      </c>
      <c r="H2162" s="685">
        <v>36.799999999999997</v>
      </c>
      <c r="I2162" s="686" t="s">
        <v>9009</v>
      </c>
      <c r="J2162" s="672" t="s">
        <v>10128</v>
      </c>
      <c r="K2162" s="672" t="s">
        <v>541</v>
      </c>
      <c r="L2162" s="672" t="s">
        <v>8996</v>
      </c>
    </row>
    <row r="2163" spans="1:12" x14ac:dyDescent="0.2">
      <c r="A2163" s="672" t="s">
        <v>220</v>
      </c>
      <c r="B2163" s="672" t="s">
        <v>10381</v>
      </c>
      <c r="C2163" s="672" t="s">
        <v>1601</v>
      </c>
      <c r="D2163" s="672" t="s">
        <v>1602</v>
      </c>
      <c r="E2163" s="745" t="s">
        <v>545</v>
      </c>
      <c r="F2163" s="747">
        <v>2500</v>
      </c>
      <c r="G2163" s="685">
        <v>0.24112265193370166</v>
      </c>
      <c r="H2163" s="685">
        <v>602.80662983425418</v>
      </c>
      <c r="I2163" s="686" t="s">
        <v>9009</v>
      </c>
      <c r="J2163" s="672" t="s">
        <v>10128</v>
      </c>
      <c r="K2163" s="672" t="s">
        <v>541</v>
      </c>
      <c r="L2163" s="672" t="s">
        <v>8996</v>
      </c>
    </row>
    <row r="2164" spans="1:12" x14ac:dyDescent="0.2">
      <c r="A2164" s="672" t="s">
        <v>220</v>
      </c>
      <c r="B2164" s="672" t="s">
        <v>10381</v>
      </c>
      <c r="C2164" s="672" t="s">
        <v>1603</v>
      </c>
      <c r="D2164" s="672" t="s">
        <v>1604</v>
      </c>
      <c r="E2164" s="745" t="s">
        <v>545</v>
      </c>
      <c r="F2164" s="747">
        <v>1500</v>
      </c>
      <c r="G2164" s="685">
        <v>0.217</v>
      </c>
      <c r="H2164" s="685">
        <v>325.5</v>
      </c>
      <c r="I2164" s="686" t="s">
        <v>9009</v>
      </c>
      <c r="J2164" s="672" t="s">
        <v>10128</v>
      </c>
      <c r="K2164" s="672" t="s">
        <v>541</v>
      </c>
      <c r="L2164" s="672" t="s">
        <v>8996</v>
      </c>
    </row>
    <row r="2165" spans="1:12" x14ac:dyDescent="0.2">
      <c r="A2165" s="672" t="s">
        <v>220</v>
      </c>
      <c r="B2165" s="672" t="s">
        <v>10381</v>
      </c>
      <c r="C2165" s="672" t="s">
        <v>1605</v>
      </c>
      <c r="D2165" s="672" t="s">
        <v>1606</v>
      </c>
      <c r="E2165" s="745" t="s">
        <v>545</v>
      </c>
      <c r="F2165" s="747">
        <v>3700</v>
      </c>
      <c r="G2165" s="685">
        <v>0.24612894736842103</v>
      </c>
      <c r="H2165" s="685">
        <v>910.67710526315784</v>
      </c>
      <c r="I2165" s="686" t="s">
        <v>9009</v>
      </c>
      <c r="J2165" s="672" t="s">
        <v>10128</v>
      </c>
      <c r="K2165" s="672" t="s">
        <v>541</v>
      </c>
      <c r="L2165" s="672" t="s">
        <v>8996</v>
      </c>
    </row>
    <row r="2166" spans="1:12" x14ac:dyDescent="0.2">
      <c r="A2166" s="672" t="s">
        <v>220</v>
      </c>
      <c r="B2166" s="672" t="s">
        <v>10381</v>
      </c>
      <c r="C2166" s="672" t="s">
        <v>1607</v>
      </c>
      <c r="D2166" s="672" t="s">
        <v>1608</v>
      </c>
      <c r="E2166" s="745" t="s">
        <v>545</v>
      </c>
      <c r="F2166" s="747">
        <v>500</v>
      </c>
      <c r="G2166" s="685">
        <v>0.221</v>
      </c>
      <c r="H2166" s="685">
        <v>110.5</v>
      </c>
      <c r="I2166" s="686" t="s">
        <v>9009</v>
      </c>
      <c r="J2166" s="672" t="s">
        <v>10128</v>
      </c>
      <c r="K2166" s="672" t="s">
        <v>541</v>
      </c>
      <c r="L2166" s="672" t="s">
        <v>8996</v>
      </c>
    </row>
    <row r="2167" spans="1:12" x14ac:dyDescent="0.2">
      <c r="A2167" s="672" t="s">
        <v>220</v>
      </c>
      <c r="B2167" s="672" t="s">
        <v>10381</v>
      </c>
      <c r="C2167" s="672" t="s">
        <v>1609</v>
      </c>
      <c r="D2167" s="672" t="s">
        <v>1610</v>
      </c>
      <c r="E2167" s="745" t="s">
        <v>545</v>
      </c>
      <c r="F2167" s="747">
        <v>3000</v>
      </c>
      <c r="G2167" s="685">
        <v>0.15185128205128204</v>
      </c>
      <c r="H2167" s="685">
        <v>455.55384615384611</v>
      </c>
      <c r="I2167" s="686" t="s">
        <v>9009</v>
      </c>
      <c r="J2167" s="672" t="s">
        <v>10128</v>
      </c>
      <c r="K2167" s="672" t="s">
        <v>541</v>
      </c>
      <c r="L2167" s="672" t="s">
        <v>8996</v>
      </c>
    </row>
    <row r="2168" spans="1:12" x14ac:dyDescent="0.2">
      <c r="A2168" s="672" t="s">
        <v>220</v>
      </c>
      <c r="B2168" s="672" t="s">
        <v>10381</v>
      </c>
      <c r="C2168" s="672" t="s">
        <v>1611</v>
      </c>
      <c r="D2168" s="672" t="s">
        <v>1612</v>
      </c>
      <c r="E2168" s="745" t="s">
        <v>545</v>
      </c>
      <c r="F2168" s="747">
        <v>1000</v>
      </c>
      <c r="G2168" s="685">
        <v>0.5</v>
      </c>
      <c r="H2168" s="685">
        <v>500</v>
      </c>
      <c r="I2168" s="686" t="s">
        <v>9009</v>
      </c>
      <c r="J2168" s="672" t="s">
        <v>10128</v>
      </c>
      <c r="K2168" s="672" t="s">
        <v>541</v>
      </c>
      <c r="L2168" s="672" t="s">
        <v>8996</v>
      </c>
    </row>
    <row r="2169" spans="1:12" x14ac:dyDescent="0.2">
      <c r="A2169" s="672" t="s">
        <v>220</v>
      </c>
      <c r="B2169" s="672" t="s">
        <v>10381</v>
      </c>
      <c r="C2169" s="672" t="s">
        <v>1613</v>
      </c>
      <c r="D2169" s="672" t="s">
        <v>1614</v>
      </c>
      <c r="E2169" s="745" t="s">
        <v>545</v>
      </c>
      <c r="F2169" s="747">
        <v>5200</v>
      </c>
      <c r="G2169" s="685">
        <v>0.15802043257091608</v>
      </c>
      <c r="H2169" s="685">
        <v>821.70624936876357</v>
      </c>
      <c r="I2169" s="686" t="s">
        <v>9009</v>
      </c>
      <c r="J2169" s="672" t="s">
        <v>10128</v>
      </c>
      <c r="K2169" s="672" t="s">
        <v>541</v>
      </c>
      <c r="L2169" s="672" t="s">
        <v>8996</v>
      </c>
    </row>
    <row r="2170" spans="1:12" x14ac:dyDescent="0.2">
      <c r="A2170" s="672" t="s">
        <v>220</v>
      </c>
      <c r="B2170" s="672" t="s">
        <v>10381</v>
      </c>
      <c r="C2170" s="672" t="s">
        <v>1615</v>
      </c>
      <c r="D2170" s="672" t="s">
        <v>1616</v>
      </c>
      <c r="E2170" s="745" t="s">
        <v>545</v>
      </c>
      <c r="F2170" s="747">
        <v>9600</v>
      </c>
      <c r="G2170" s="685">
        <v>0.159</v>
      </c>
      <c r="H2170" s="685">
        <v>1526.4</v>
      </c>
      <c r="I2170" s="686" t="s">
        <v>9009</v>
      </c>
      <c r="J2170" s="672" t="s">
        <v>10128</v>
      </c>
      <c r="K2170" s="672" t="s">
        <v>541</v>
      </c>
      <c r="L2170" s="672" t="s">
        <v>8996</v>
      </c>
    </row>
    <row r="2171" spans="1:12" x14ac:dyDescent="0.2">
      <c r="A2171" s="672" t="s">
        <v>220</v>
      </c>
      <c r="B2171" s="672" t="s">
        <v>10381</v>
      </c>
      <c r="C2171" s="672" t="s">
        <v>1617</v>
      </c>
      <c r="D2171" s="672" t="s">
        <v>1618</v>
      </c>
      <c r="E2171" s="745" t="s">
        <v>545</v>
      </c>
      <c r="F2171" s="747">
        <v>2700</v>
      </c>
      <c r="G2171" s="685">
        <v>0.18179999999999999</v>
      </c>
      <c r="H2171" s="685">
        <v>490.85999999999996</v>
      </c>
      <c r="I2171" s="686" t="s">
        <v>9009</v>
      </c>
      <c r="J2171" s="672" t="s">
        <v>10128</v>
      </c>
      <c r="K2171" s="672" t="s">
        <v>541</v>
      </c>
      <c r="L2171" s="672" t="s">
        <v>8996</v>
      </c>
    </row>
    <row r="2172" spans="1:12" x14ac:dyDescent="0.2">
      <c r="A2172" s="672" t="s">
        <v>220</v>
      </c>
      <c r="B2172" s="672" t="s">
        <v>10381</v>
      </c>
      <c r="C2172" s="672" t="s">
        <v>1619</v>
      </c>
      <c r="D2172" s="672" t="s">
        <v>1620</v>
      </c>
      <c r="E2172" s="745" t="s">
        <v>545</v>
      </c>
      <c r="F2172" s="747">
        <v>7000</v>
      </c>
      <c r="G2172" s="685">
        <v>6.565E-2</v>
      </c>
      <c r="H2172" s="685">
        <v>459.55</v>
      </c>
      <c r="I2172" s="686" t="s">
        <v>9009</v>
      </c>
      <c r="J2172" s="672" t="s">
        <v>10128</v>
      </c>
      <c r="K2172" s="672" t="s">
        <v>541</v>
      </c>
      <c r="L2172" s="672" t="s">
        <v>8996</v>
      </c>
    </row>
    <row r="2173" spans="1:12" x14ac:dyDescent="0.2">
      <c r="A2173" s="672" t="s">
        <v>220</v>
      </c>
      <c r="B2173" s="672" t="s">
        <v>10381</v>
      </c>
      <c r="C2173" s="672" t="s">
        <v>1621</v>
      </c>
      <c r="D2173" s="672" t="s">
        <v>1622</v>
      </c>
      <c r="E2173" s="745" t="s">
        <v>545</v>
      </c>
      <c r="F2173" s="747">
        <v>1000</v>
      </c>
      <c r="G2173" s="685">
        <v>0.2224008620689655</v>
      </c>
      <c r="H2173" s="685">
        <v>222.40086206896549</v>
      </c>
      <c r="I2173" s="686" t="s">
        <v>9009</v>
      </c>
      <c r="J2173" s="672" t="s">
        <v>10128</v>
      </c>
      <c r="K2173" s="672" t="s">
        <v>541</v>
      </c>
      <c r="L2173" s="672" t="s">
        <v>8996</v>
      </c>
    </row>
    <row r="2174" spans="1:12" x14ac:dyDescent="0.2">
      <c r="A2174" s="672" t="s">
        <v>220</v>
      </c>
      <c r="B2174" s="672" t="s">
        <v>10381</v>
      </c>
      <c r="C2174" s="672" t="s">
        <v>1623</v>
      </c>
      <c r="D2174" s="672" t="s">
        <v>1624</v>
      </c>
      <c r="E2174" s="745" t="s">
        <v>545</v>
      </c>
      <c r="F2174" s="747">
        <v>1000</v>
      </c>
      <c r="G2174" s="685">
        <v>0.221</v>
      </c>
      <c r="H2174" s="685">
        <v>221</v>
      </c>
      <c r="I2174" s="686" t="s">
        <v>9009</v>
      </c>
      <c r="J2174" s="672" t="s">
        <v>10128</v>
      </c>
      <c r="K2174" s="672" t="s">
        <v>541</v>
      </c>
      <c r="L2174" s="672" t="s">
        <v>8996</v>
      </c>
    </row>
    <row r="2175" spans="1:12" x14ac:dyDescent="0.2">
      <c r="A2175" s="672" t="s">
        <v>220</v>
      </c>
      <c r="B2175" s="672" t="s">
        <v>10381</v>
      </c>
      <c r="C2175" s="672" t="s">
        <v>1625</v>
      </c>
      <c r="D2175" s="672" t="s">
        <v>1626</v>
      </c>
      <c r="E2175" s="745" t="s">
        <v>545</v>
      </c>
      <c r="F2175" s="747">
        <v>2100</v>
      </c>
      <c r="G2175" s="685">
        <v>0.22500000000000001</v>
      </c>
      <c r="H2175" s="685">
        <v>472.5</v>
      </c>
      <c r="I2175" s="686" t="s">
        <v>9009</v>
      </c>
      <c r="J2175" s="672" t="s">
        <v>10128</v>
      </c>
      <c r="K2175" s="672" t="s">
        <v>541</v>
      </c>
      <c r="L2175" s="672" t="s">
        <v>8996</v>
      </c>
    </row>
    <row r="2176" spans="1:12" x14ac:dyDescent="0.2">
      <c r="A2176" s="672" t="s">
        <v>220</v>
      </c>
      <c r="B2176" s="672" t="s">
        <v>10381</v>
      </c>
      <c r="C2176" s="672" t="s">
        <v>1627</v>
      </c>
      <c r="D2176" s="672" t="s">
        <v>1628</v>
      </c>
      <c r="E2176" s="745" t="s">
        <v>545</v>
      </c>
      <c r="F2176" s="747">
        <v>3500</v>
      </c>
      <c r="G2176" s="685">
        <v>0.24947</v>
      </c>
      <c r="H2176" s="685">
        <v>873.14499999999998</v>
      </c>
      <c r="I2176" s="686" t="s">
        <v>9009</v>
      </c>
      <c r="J2176" s="672" t="s">
        <v>10128</v>
      </c>
      <c r="K2176" s="672" t="s">
        <v>541</v>
      </c>
      <c r="L2176" s="672" t="s">
        <v>8996</v>
      </c>
    </row>
    <row r="2177" spans="1:12" x14ac:dyDescent="0.2">
      <c r="A2177" s="672" t="s">
        <v>220</v>
      </c>
      <c r="B2177" s="672" t="s">
        <v>10381</v>
      </c>
      <c r="C2177" s="672" t="s">
        <v>1631</v>
      </c>
      <c r="D2177" s="672" t="s">
        <v>1632</v>
      </c>
      <c r="E2177" s="745" t="s">
        <v>545</v>
      </c>
      <c r="F2177" s="747">
        <v>2200</v>
      </c>
      <c r="G2177" s="685">
        <v>9.6559444444444448E-2</v>
      </c>
      <c r="H2177" s="685">
        <v>212.43077777777779</v>
      </c>
      <c r="I2177" s="686" t="s">
        <v>9009</v>
      </c>
      <c r="J2177" s="672" t="s">
        <v>10128</v>
      </c>
      <c r="K2177" s="672" t="s">
        <v>541</v>
      </c>
      <c r="L2177" s="672" t="s">
        <v>8996</v>
      </c>
    </row>
    <row r="2178" spans="1:12" x14ac:dyDescent="0.2">
      <c r="A2178" s="672" t="s">
        <v>220</v>
      </c>
      <c r="B2178" s="672" t="s">
        <v>10381</v>
      </c>
      <c r="C2178" s="672" t="s">
        <v>1633</v>
      </c>
      <c r="D2178" s="672" t="s">
        <v>1634</v>
      </c>
      <c r="E2178" s="745" t="s">
        <v>545</v>
      </c>
      <c r="F2178" s="747">
        <v>2000</v>
      </c>
      <c r="G2178" s="685">
        <v>0.18596489361702126</v>
      </c>
      <c r="H2178" s="685">
        <v>371.92978723404252</v>
      </c>
      <c r="I2178" s="686" t="s">
        <v>9009</v>
      </c>
      <c r="J2178" s="672" t="s">
        <v>10128</v>
      </c>
      <c r="K2178" s="672" t="s">
        <v>541</v>
      </c>
      <c r="L2178" s="672" t="s">
        <v>8996</v>
      </c>
    </row>
    <row r="2179" spans="1:12" x14ac:dyDescent="0.2">
      <c r="A2179" s="672" t="s">
        <v>220</v>
      </c>
      <c r="B2179" s="672" t="s">
        <v>10381</v>
      </c>
      <c r="C2179" s="672" t="s">
        <v>1635</v>
      </c>
      <c r="D2179" s="672" t="s">
        <v>1636</v>
      </c>
      <c r="E2179" s="745" t="s">
        <v>545</v>
      </c>
      <c r="F2179" s="747">
        <v>2000</v>
      </c>
      <c r="G2179" s="685">
        <v>0.22049999999999997</v>
      </c>
      <c r="H2179" s="685">
        <v>440.99999999999994</v>
      </c>
      <c r="I2179" s="686" t="s">
        <v>9009</v>
      </c>
      <c r="J2179" s="672" t="s">
        <v>10128</v>
      </c>
      <c r="K2179" s="672" t="s">
        <v>541</v>
      </c>
      <c r="L2179" s="672" t="s">
        <v>8996</v>
      </c>
    </row>
    <row r="2180" spans="1:12" x14ac:dyDescent="0.2">
      <c r="A2180" s="672" t="s">
        <v>220</v>
      </c>
      <c r="B2180" s="672" t="s">
        <v>10381</v>
      </c>
      <c r="C2180" s="672" t="s">
        <v>1637</v>
      </c>
      <c r="D2180" s="672" t="s">
        <v>1638</v>
      </c>
      <c r="E2180" s="745" t="s">
        <v>545</v>
      </c>
      <c r="F2180" s="747">
        <v>3500</v>
      </c>
      <c r="G2180" s="685">
        <v>0.21712999999999993</v>
      </c>
      <c r="H2180" s="685">
        <v>759.95499999999981</v>
      </c>
      <c r="I2180" s="686" t="s">
        <v>9009</v>
      </c>
      <c r="J2180" s="672" t="s">
        <v>10128</v>
      </c>
      <c r="K2180" s="672" t="s">
        <v>541</v>
      </c>
      <c r="L2180" s="672" t="s">
        <v>8996</v>
      </c>
    </row>
    <row r="2181" spans="1:12" x14ac:dyDescent="0.2">
      <c r="A2181" s="672" t="s">
        <v>220</v>
      </c>
      <c r="B2181" s="672" t="s">
        <v>10381</v>
      </c>
      <c r="C2181" s="672" t="s">
        <v>1639</v>
      </c>
      <c r="D2181" s="672" t="s">
        <v>1640</v>
      </c>
      <c r="E2181" s="745" t="s">
        <v>545</v>
      </c>
      <c r="F2181" s="747">
        <v>2000</v>
      </c>
      <c r="G2181" s="685">
        <v>0.10500000000000001</v>
      </c>
      <c r="H2181" s="685">
        <v>210.00000000000003</v>
      </c>
      <c r="I2181" s="686" t="s">
        <v>9009</v>
      </c>
      <c r="J2181" s="672" t="s">
        <v>10128</v>
      </c>
      <c r="K2181" s="672" t="s">
        <v>541</v>
      </c>
      <c r="L2181" s="672" t="s">
        <v>8996</v>
      </c>
    </row>
    <row r="2182" spans="1:12" x14ac:dyDescent="0.2">
      <c r="A2182" s="672" t="s">
        <v>220</v>
      </c>
      <c r="B2182" s="672" t="s">
        <v>10381</v>
      </c>
      <c r="C2182" s="672" t="s">
        <v>1647</v>
      </c>
      <c r="D2182" s="672" t="s">
        <v>1648</v>
      </c>
      <c r="E2182" s="745" t="s">
        <v>545</v>
      </c>
      <c r="F2182" s="747">
        <v>3000</v>
      </c>
      <c r="G2182" s="685">
        <v>3.0720000000000004E-2</v>
      </c>
      <c r="H2182" s="685">
        <v>92.160000000000011</v>
      </c>
      <c r="I2182" s="686" t="s">
        <v>9009</v>
      </c>
      <c r="J2182" s="672" t="s">
        <v>10128</v>
      </c>
      <c r="K2182" s="672" t="s">
        <v>541</v>
      </c>
      <c r="L2182" s="672" t="s">
        <v>8996</v>
      </c>
    </row>
    <row r="2183" spans="1:12" x14ac:dyDescent="0.2">
      <c r="A2183" s="672" t="s">
        <v>220</v>
      </c>
      <c r="B2183" s="672" t="s">
        <v>10381</v>
      </c>
      <c r="C2183" s="672" t="s">
        <v>1653</v>
      </c>
      <c r="D2183" s="672" t="s">
        <v>1654</v>
      </c>
      <c r="E2183" s="745" t="s">
        <v>545</v>
      </c>
      <c r="F2183" s="747">
        <v>4000</v>
      </c>
      <c r="G2183" s="685">
        <v>0.228495</v>
      </c>
      <c r="H2183" s="685">
        <v>913.98</v>
      </c>
      <c r="I2183" s="686" t="s">
        <v>9009</v>
      </c>
      <c r="J2183" s="672" t="s">
        <v>10128</v>
      </c>
      <c r="K2183" s="672" t="s">
        <v>541</v>
      </c>
      <c r="L2183" s="672" t="s">
        <v>8996</v>
      </c>
    </row>
    <row r="2184" spans="1:12" x14ac:dyDescent="0.2">
      <c r="A2184" s="672" t="s">
        <v>220</v>
      </c>
      <c r="B2184" s="672" t="s">
        <v>10381</v>
      </c>
      <c r="C2184" s="672" t="s">
        <v>1655</v>
      </c>
      <c r="D2184" s="672" t="s">
        <v>1656</v>
      </c>
      <c r="E2184" s="745" t="s">
        <v>545</v>
      </c>
      <c r="F2184" s="747">
        <v>1000</v>
      </c>
      <c r="G2184" s="685">
        <v>0.14879999999999999</v>
      </c>
      <c r="H2184" s="685">
        <v>148.79999999999998</v>
      </c>
      <c r="I2184" s="686" t="s">
        <v>9009</v>
      </c>
      <c r="J2184" s="672" t="s">
        <v>10128</v>
      </c>
      <c r="K2184" s="672" t="s">
        <v>541</v>
      </c>
      <c r="L2184" s="672" t="s">
        <v>8996</v>
      </c>
    </row>
    <row r="2185" spans="1:12" x14ac:dyDescent="0.2">
      <c r="A2185" s="672" t="s">
        <v>220</v>
      </c>
      <c r="B2185" s="672" t="s">
        <v>10381</v>
      </c>
      <c r="C2185" s="672" t="s">
        <v>1657</v>
      </c>
      <c r="D2185" s="672" t="s">
        <v>1658</v>
      </c>
      <c r="E2185" s="745" t="s">
        <v>545</v>
      </c>
      <c r="F2185" s="747">
        <v>3300</v>
      </c>
      <c r="G2185" s="685">
        <v>0.1515</v>
      </c>
      <c r="H2185" s="685">
        <v>499.95</v>
      </c>
      <c r="I2185" s="686" t="s">
        <v>9009</v>
      </c>
      <c r="J2185" s="672" t="s">
        <v>10128</v>
      </c>
      <c r="K2185" s="672" t="s">
        <v>541</v>
      </c>
      <c r="L2185" s="672" t="s">
        <v>8996</v>
      </c>
    </row>
    <row r="2186" spans="1:12" x14ac:dyDescent="0.2">
      <c r="A2186" s="672" t="s">
        <v>220</v>
      </c>
      <c r="B2186" s="672" t="s">
        <v>10381</v>
      </c>
      <c r="C2186" s="672" t="s">
        <v>1659</v>
      </c>
      <c r="D2186" s="672" t="s">
        <v>1660</v>
      </c>
      <c r="E2186" s="745" t="s">
        <v>545</v>
      </c>
      <c r="F2186" s="747">
        <v>1500</v>
      </c>
      <c r="G2186" s="685">
        <v>3.3600000000000005E-2</v>
      </c>
      <c r="H2186" s="685">
        <v>50.400000000000006</v>
      </c>
      <c r="I2186" s="686" t="s">
        <v>9009</v>
      </c>
      <c r="J2186" s="672" t="s">
        <v>10128</v>
      </c>
      <c r="K2186" s="672" t="s">
        <v>541</v>
      </c>
      <c r="L2186" s="672" t="s">
        <v>8996</v>
      </c>
    </row>
    <row r="2187" spans="1:12" x14ac:dyDescent="0.2">
      <c r="A2187" s="672" t="s">
        <v>220</v>
      </c>
      <c r="B2187" s="672" t="s">
        <v>10381</v>
      </c>
      <c r="C2187" s="672" t="s">
        <v>1661</v>
      </c>
      <c r="D2187" s="672" t="s">
        <v>1662</v>
      </c>
      <c r="E2187" s="745" t="s">
        <v>545</v>
      </c>
      <c r="F2187" s="747">
        <v>1000</v>
      </c>
      <c r="G2187" s="685">
        <v>0.20316491228070174</v>
      </c>
      <c r="H2187" s="685">
        <v>203.16491228070174</v>
      </c>
      <c r="I2187" s="686" t="s">
        <v>9009</v>
      </c>
      <c r="J2187" s="672" t="s">
        <v>10128</v>
      </c>
      <c r="K2187" s="672" t="s">
        <v>541</v>
      </c>
      <c r="L2187" s="672" t="s">
        <v>8996</v>
      </c>
    </row>
    <row r="2188" spans="1:12" x14ac:dyDescent="0.2">
      <c r="A2188" s="672" t="s">
        <v>220</v>
      </c>
      <c r="B2188" s="672" t="s">
        <v>10381</v>
      </c>
      <c r="C2188" s="672" t="s">
        <v>1663</v>
      </c>
      <c r="D2188" s="672" t="s">
        <v>1664</v>
      </c>
      <c r="E2188" s="745" t="s">
        <v>545</v>
      </c>
      <c r="F2188" s="747">
        <v>3400</v>
      </c>
      <c r="G2188" s="685">
        <v>9.6687558107738575E-2</v>
      </c>
      <c r="H2188" s="685">
        <v>328.73769756631117</v>
      </c>
      <c r="I2188" s="686" t="s">
        <v>9009</v>
      </c>
      <c r="J2188" s="672" t="s">
        <v>10128</v>
      </c>
      <c r="K2188" s="672" t="s">
        <v>541</v>
      </c>
      <c r="L2188" s="672" t="s">
        <v>8996</v>
      </c>
    </row>
    <row r="2189" spans="1:12" x14ac:dyDescent="0.2">
      <c r="A2189" s="672" t="s">
        <v>220</v>
      </c>
      <c r="B2189" s="672" t="s">
        <v>10381</v>
      </c>
      <c r="C2189" s="672" t="s">
        <v>1665</v>
      </c>
      <c r="D2189" s="672" t="s">
        <v>1666</v>
      </c>
      <c r="E2189" s="745" t="s">
        <v>545</v>
      </c>
      <c r="F2189" s="747">
        <v>2500</v>
      </c>
      <c r="G2189" s="685">
        <v>0.216</v>
      </c>
      <c r="H2189" s="685">
        <v>540</v>
      </c>
      <c r="I2189" s="686" t="s">
        <v>9009</v>
      </c>
      <c r="J2189" s="672" t="s">
        <v>10128</v>
      </c>
      <c r="K2189" s="672" t="s">
        <v>541</v>
      </c>
      <c r="L2189" s="672" t="s">
        <v>8996</v>
      </c>
    </row>
    <row r="2190" spans="1:12" x14ac:dyDescent="0.2">
      <c r="A2190" s="672" t="s">
        <v>220</v>
      </c>
      <c r="B2190" s="672" t="s">
        <v>10381</v>
      </c>
      <c r="C2190" s="672" t="s">
        <v>1667</v>
      </c>
      <c r="D2190" s="672" t="s">
        <v>1668</v>
      </c>
      <c r="E2190" s="745" t="s">
        <v>545</v>
      </c>
      <c r="F2190" s="747">
        <v>3500</v>
      </c>
      <c r="G2190" s="685">
        <v>0.25755</v>
      </c>
      <c r="H2190" s="685">
        <v>901.42499999999995</v>
      </c>
      <c r="I2190" s="686" t="s">
        <v>9009</v>
      </c>
      <c r="J2190" s="672" t="s">
        <v>10128</v>
      </c>
      <c r="K2190" s="672" t="s">
        <v>541</v>
      </c>
      <c r="L2190" s="672" t="s">
        <v>8996</v>
      </c>
    </row>
    <row r="2191" spans="1:12" x14ac:dyDescent="0.2">
      <c r="A2191" s="672" t="s">
        <v>220</v>
      </c>
      <c r="B2191" s="672" t="s">
        <v>10381</v>
      </c>
      <c r="C2191" s="672" t="s">
        <v>1669</v>
      </c>
      <c r="D2191" s="672" t="s">
        <v>1670</v>
      </c>
      <c r="E2191" s="745" t="s">
        <v>545</v>
      </c>
      <c r="F2191" s="747">
        <v>3300</v>
      </c>
      <c r="G2191" s="685">
        <v>0.29289999999999999</v>
      </c>
      <c r="H2191" s="685">
        <v>966.56999999999994</v>
      </c>
      <c r="I2191" s="686" t="s">
        <v>9009</v>
      </c>
      <c r="J2191" s="672" t="s">
        <v>10128</v>
      </c>
      <c r="K2191" s="672" t="s">
        <v>541</v>
      </c>
      <c r="L2191" s="672" t="s">
        <v>8996</v>
      </c>
    </row>
    <row r="2192" spans="1:12" x14ac:dyDescent="0.2">
      <c r="A2192" s="672" t="s">
        <v>220</v>
      </c>
      <c r="B2192" s="672" t="s">
        <v>10381</v>
      </c>
      <c r="C2192" s="672" t="s">
        <v>1671</v>
      </c>
      <c r="D2192" s="672" t="s">
        <v>1672</v>
      </c>
      <c r="E2192" s="745" t="s">
        <v>545</v>
      </c>
      <c r="F2192" s="747">
        <v>2500</v>
      </c>
      <c r="G2192" s="685">
        <v>0.25755</v>
      </c>
      <c r="H2192" s="685">
        <v>643.875</v>
      </c>
      <c r="I2192" s="686" t="s">
        <v>9009</v>
      </c>
      <c r="J2192" s="672" t="s">
        <v>10128</v>
      </c>
      <c r="K2192" s="672" t="s">
        <v>541</v>
      </c>
      <c r="L2192" s="672" t="s">
        <v>8996</v>
      </c>
    </row>
    <row r="2193" spans="1:12" x14ac:dyDescent="0.2">
      <c r="A2193" s="672" t="s">
        <v>220</v>
      </c>
      <c r="B2193" s="672" t="s">
        <v>10381</v>
      </c>
      <c r="C2193" s="672" t="s">
        <v>1673</v>
      </c>
      <c r="D2193" s="672" t="s">
        <v>1674</v>
      </c>
      <c r="E2193" s="745" t="s">
        <v>545</v>
      </c>
      <c r="F2193" s="747">
        <v>3000</v>
      </c>
      <c r="G2193" s="685">
        <v>0.29289999999999999</v>
      </c>
      <c r="H2193" s="685">
        <v>878.69999999999993</v>
      </c>
      <c r="I2193" s="686" t="s">
        <v>9009</v>
      </c>
      <c r="J2193" s="672" t="s">
        <v>10128</v>
      </c>
      <c r="K2193" s="672" t="s">
        <v>541</v>
      </c>
      <c r="L2193" s="672" t="s">
        <v>8996</v>
      </c>
    </row>
    <row r="2194" spans="1:12" x14ac:dyDescent="0.2">
      <c r="A2194" s="672" t="s">
        <v>220</v>
      </c>
      <c r="B2194" s="672" t="s">
        <v>10381</v>
      </c>
      <c r="C2194" s="672" t="s">
        <v>1675</v>
      </c>
      <c r="D2194" s="672" t="s">
        <v>1676</v>
      </c>
      <c r="E2194" s="745" t="s">
        <v>545</v>
      </c>
      <c r="F2194" s="747">
        <v>2000</v>
      </c>
      <c r="G2194" s="685">
        <v>0.20705000000000004</v>
      </c>
      <c r="H2194" s="685">
        <v>414.10000000000008</v>
      </c>
      <c r="I2194" s="686" t="s">
        <v>9009</v>
      </c>
      <c r="J2194" s="672" t="s">
        <v>10128</v>
      </c>
      <c r="K2194" s="672" t="s">
        <v>541</v>
      </c>
      <c r="L2194" s="672" t="s">
        <v>8996</v>
      </c>
    </row>
    <row r="2195" spans="1:12" x14ac:dyDescent="0.2">
      <c r="A2195" s="672" t="s">
        <v>220</v>
      </c>
      <c r="B2195" s="672" t="s">
        <v>10381</v>
      </c>
      <c r="C2195" s="672" t="s">
        <v>1677</v>
      </c>
      <c r="D2195" s="672" t="s">
        <v>1678</v>
      </c>
      <c r="E2195" s="745" t="s">
        <v>545</v>
      </c>
      <c r="F2195" s="747">
        <v>3000</v>
      </c>
      <c r="G2195" s="685">
        <v>0.21210000000000001</v>
      </c>
      <c r="H2195" s="685">
        <v>636.30000000000007</v>
      </c>
      <c r="I2195" s="686" t="s">
        <v>9009</v>
      </c>
      <c r="J2195" s="672" t="s">
        <v>10128</v>
      </c>
      <c r="K2195" s="672" t="s">
        <v>541</v>
      </c>
      <c r="L2195" s="672" t="s">
        <v>8996</v>
      </c>
    </row>
    <row r="2196" spans="1:12" x14ac:dyDescent="0.2">
      <c r="A2196" s="672" t="s">
        <v>220</v>
      </c>
      <c r="B2196" s="672" t="s">
        <v>10381</v>
      </c>
      <c r="C2196" s="672" t="s">
        <v>1679</v>
      </c>
      <c r="D2196" s="672" t="s">
        <v>1680</v>
      </c>
      <c r="E2196" s="745" t="s">
        <v>545</v>
      </c>
      <c r="F2196" s="747">
        <v>3700</v>
      </c>
      <c r="G2196" s="685">
        <v>0.20891192341166234</v>
      </c>
      <c r="H2196" s="685">
        <v>772.97411662315062</v>
      </c>
      <c r="I2196" s="686" t="s">
        <v>9009</v>
      </c>
      <c r="J2196" s="672" t="s">
        <v>10128</v>
      </c>
      <c r="K2196" s="672" t="s">
        <v>541</v>
      </c>
      <c r="L2196" s="672" t="s">
        <v>8996</v>
      </c>
    </row>
    <row r="2197" spans="1:12" x14ac:dyDescent="0.2">
      <c r="A2197" s="672" t="s">
        <v>220</v>
      </c>
      <c r="B2197" s="672" t="s">
        <v>10381</v>
      </c>
      <c r="C2197" s="672" t="s">
        <v>1681</v>
      </c>
      <c r="D2197" s="672" t="s">
        <v>1682</v>
      </c>
      <c r="E2197" s="745" t="s">
        <v>545</v>
      </c>
      <c r="F2197" s="747">
        <v>2220</v>
      </c>
      <c r="G2197" s="685">
        <v>0.20388062827225134</v>
      </c>
      <c r="H2197" s="685">
        <v>452.61499476439798</v>
      </c>
      <c r="I2197" s="686" t="s">
        <v>9009</v>
      </c>
      <c r="J2197" s="672" t="s">
        <v>10128</v>
      </c>
      <c r="K2197" s="672" t="s">
        <v>541</v>
      </c>
      <c r="L2197" s="672" t="s">
        <v>8996</v>
      </c>
    </row>
    <row r="2198" spans="1:12" x14ac:dyDescent="0.2">
      <c r="A2198" s="672" t="s">
        <v>220</v>
      </c>
      <c r="B2198" s="672" t="s">
        <v>10381</v>
      </c>
      <c r="C2198" s="672" t="s">
        <v>1683</v>
      </c>
      <c r="D2198" s="672" t="s">
        <v>1684</v>
      </c>
      <c r="E2198" s="745" t="s">
        <v>545</v>
      </c>
      <c r="F2198" s="747">
        <v>3820</v>
      </c>
      <c r="G2198" s="685">
        <v>0.18387219917012451</v>
      </c>
      <c r="H2198" s="685">
        <v>702.39180082987559</v>
      </c>
      <c r="I2198" s="686" t="s">
        <v>9009</v>
      </c>
      <c r="J2198" s="672" t="s">
        <v>10128</v>
      </c>
      <c r="K2198" s="672" t="s">
        <v>541</v>
      </c>
      <c r="L2198" s="672" t="s">
        <v>8996</v>
      </c>
    </row>
    <row r="2199" spans="1:12" x14ac:dyDescent="0.2">
      <c r="A2199" s="672" t="s">
        <v>220</v>
      </c>
      <c r="B2199" s="672" t="s">
        <v>10381</v>
      </c>
      <c r="C2199" s="672" t="s">
        <v>1685</v>
      </c>
      <c r="D2199" s="672" t="s">
        <v>1686</v>
      </c>
      <c r="E2199" s="745" t="s">
        <v>545</v>
      </c>
      <c r="F2199" s="747">
        <v>28500</v>
      </c>
      <c r="G2199" s="685">
        <v>0.18173517307026654</v>
      </c>
      <c r="H2199" s="685">
        <v>5179.4524325025968</v>
      </c>
      <c r="I2199" s="686" t="s">
        <v>9009</v>
      </c>
      <c r="J2199" s="672" t="s">
        <v>10128</v>
      </c>
      <c r="K2199" s="672" t="s">
        <v>541</v>
      </c>
      <c r="L2199" s="672" t="s">
        <v>8996</v>
      </c>
    </row>
    <row r="2200" spans="1:12" x14ac:dyDescent="0.2">
      <c r="A2200" s="672" t="s">
        <v>220</v>
      </c>
      <c r="B2200" s="672" t="s">
        <v>10381</v>
      </c>
      <c r="C2200" s="672" t="s">
        <v>1687</v>
      </c>
      <c r="D2200" s="672" t="s">
        <v>1688</v>
      </c>
      <c r="E2200" s="745" t="s">
        <v>545</v>
      </c>
      <c r="F2200" s="747">
        <v>2850</v>
      </c>
      <c r="G2200" s="685">
        <v>0.21210000000000001</v>
      </c>
      <c r="H2200" s="685">
        <v>604.48500000000001</v>
      </c>
      <c r="I2200" s="686" t="s">
        <v>9009</v>
      </c>
      <c r="J2200" s="672" t="s">
        <v>10128</v>
      </c>
      <c r="K2200" s="672" t="s">
        <v>541</v>
      </c>
      <c r="L2200" s="672" t="s">
        <v>8996</v>
      </c>
    </row>
    <row r="2201" spans="1:12" x14ac:dyDescent="0.2">
      <c r="A2201" s="672" t="s">
        <v>220</v>
      </c>
      <c r="B2201" s="672" t="s">
        <v>10381</v>
      </c>
      <c r="C2201" s="672" t="s">
        <v>1689</v>
      </c>
      <c r="D2201" s="672" t="s">
        <v>1690</v>
      </c>
      <c r="E2201" s="745" t="s">
        <v>545</v>
      </c>
      <c r="F2201" s="747">
        <v>2850</v>
      </c>
      <c r="G2201" s="685">
        <v>0.2828</v>
      </c>
      <c r="H2201" s="685">
        <v>805.98</v>
      </c>
      <c r="I2201" s="686" t="s">
        <v>9009</v>
      </c>
      <c r="J2201" s="672" t="s">
        <v>10128</v>
      </c>
      <c r="K2201" s="672" t="s">
        <v>541</v>
      </c>
      <c r="L2201" s="672" t="s">
        <v>8996</v>
      </c>
    </row>
    <row r="2202" spans="1:12" x14ac:dyDescent="0.2">
      <c r="A2202" s="672" t="s">
        <v>220</v>
      </c>
      <c r="B2202" s="672" t="s">
        <v>10381</v>
      </c>
      <c r="C2202" s="672" t="s">
        <v>1691</v>
      </c>
      <c r="D2202" s="672" t="s">
        <v>1692</v>
      </c>
      <c r="E2202" s="745" t="s">
        <v>545</v>
      </c>
      <c r="F2202" s="747">
        <v>2850</v>
      </c>
      <c r="G2202" s="685">
        <v>0.21210000000000001</v>
      </c>
      <c r="H2202" s="685">
        <v>604.48500000000001</v>
      </c>
      <c r="I2202" s="686" t="s">
        <v>9009</v>
      </c>
      <c r="J2202" s="672" t="s">
        <v>10128</v>
      </c>
      <c r="K2202" s="672" t="s">
        <v>541</v>
      </c>
      <c r="L2202" s="672" t="s">
        <v>8996</v>
      </c>
    </row>
    <row r="2203" spans="1:12" x14ac:dyDescent="0.2">
      <c r="A2203" s="672" t="s">
        <v>220</v>
      </c>
      <c r="B2203" s="672" t="s">
        <v>10381</v>
      </c>
      <c r="C2203" s="672" t="s">
        <v>1693</v>
      </c>
      <c r="D2203" s="672" t="s">
        <v>1694</v>
      </c>
      <c r="E2203" s="745" t="s">
        <v>545</v>
      </c>
      <c r="F2203" s="747">
        <v>2850</v>
      </c>
      <c r="G2203" s="685">
        <v>0.30299999999999999</v>
      </c>
      <c r="H2203" s="685">
        <v>863.55</v>
      </c>
      <c r="I2203" s="686" t="s">
        <v>9009</v>
      </c>
      <c r="J2203" s="672" t="s">
        <v>10128</v>
      </c>
      <c r="K2203" s="672" t="s">
        <v>541</v>
      </c>
      <c r="L2203" s="672" t="s">
        <v>8996</v>
      </c>
    </row>
    <row r="2204" spans="1:12" x14ac:dyDescent="0.2">
      <c r="A2204" s="672" t="s">
        <v>220</v>
      </c>
      <c r="B2204" s="672" t="s">
        <v>10381</v>
      </c>
      <c r="C2204" s="672" t="s">
        <v>1695</v>
      </c>
      <c r="D2204" s="672" t="s">
        <v>1696</v>
      </c>
      <c r="E2204" s="745" t="s">
        <v>545</v>
      </c>
      <c r="F2204" s="747">
        <v>2850</v>
      </c>
      <c r="G2204" s="685">
        <v>0.21210000000000001</v>
      </c>
      <c r="H2204" s="685">
        <v>604.48500000000001</v>
      </c>
      <c r="I2204" s="686" t="s">
        <v>9009</v>
      </c>
      <c r="J2204" s="672" t="s">
        <v>10128</v>
      </c>
      <c r="K2204" s="672" t="s">
        <v>541</v>
      </c>
      <c r="L2204" s="672" t="s">
        <v>8996</v>
      </c>
    </row>
    <row r="2205" spans="1:12" x14ac:dyDescent="0.2">
      <c r="A2205" s="672" t="s">
        <v>220</v>
      </c>
      <c r="B2205" s="672" t="s">
        <v>10381</v>
      </c>
      <c r="C2205" s="672" t="s">
        <v>1697</v>
      </c>
      <c r="D2205" s="672" t="s">
        <v>1698</v>
      </c>
      <c r="E2205" s="745" t="s">
        <v>545</v>
      </c>
      <c r="F2205" s="747">
        <v>2850</v>
      </c>
      <c r="G2205" s="685">
        <v>0.30299999999999999</v>
      </c>
      <c r="H2205" s="685">
        <v>863.55</v>
      </c>
      <c r="I2205" s="686" t="s">
        <v>9009</v>
      </c>
      <c r="J2205" s="672" t="s">
        <v>10128</v>
      </c>
      <c r="K2205" s="672" t="s">
        <v>541</v>
      </c>
      <c r="L2205" s="672" t="s">
        <v>8996</v>
      </c>
    </row>
    <row r="2206" spans="1:12" x14ac:dyDescent="0.2">
      <c r="A2206" s="672" t="s">
        <v>220</v>
      </c>
      <c r="B2206" s="672" t="s">
        <v>10381</v>
      </c>
      <c r="C2206" s="672" t="s">
        <v>1699</v>
      </c>
      <c r="D2206" s="672" t="s">
        <v>1700</v>
      </c>
      <c r="E2206" s="745" t="s">
        <v>545</v>
      </c>
      <c r="F2206" s="747">
        <v>2200</v>
      </c>
      <c r="G2206" s="685">
        <v>0.2828</v>
      </c>
      <c r="H2206" s="685">
        <v>622.16</v>
      </c>
      <c r="I2206" s="686" t="s">
        <v>9009</v>
      </c>
      <c r="J2206" s="672" t="s">
        <v>10128</v>
      </c>
      <c r="K2206" s="672" t="s">
        <v>541</v>
      </c>
      <c r="L2206" s="672" t="s">
        <v>8996</v>
      </c>
    </row>
    <row r="2207" spans="1:12" x14ac:dyDescent="0.2">
      <c r="A2207" s="672" t="s">
        <v>220</v>
      </c>
      <c r="B2207" s="672" t="s">
        <v>10381</v>
      </c>
      <c r="C2207" s="672" t="s">
        <v>1701</v>
      </c>
      <c r="D2207" s="672" t="s">
        <v>1702</v>
      </c>
      <c r="E2207" s="745" t="s">
        <v>545</v>
      </c>
      <c r="F2207" s="747">
        <v>2200</v>
      </c>
      <c r="G2207" s="685">
        <v>0.2828</v>
      </c>
      <c r="H2207" s="685">
        <v>622.16</v>
      </c>
      <c r="I2207" s="686" t="s">
        <v>9009</v>
      </c>
      <c r="J2207" s="672" t="s">
        <v>10128</v>
      </c>
      <c r="K2207" s="672" t="s">
        <v>541</v>
      </c>
      <c r="L2207" s="672" t="s">
        <v>8996</v>
      </c>
    </row>
    <row r="2208" spans="1:12" x14ac:dyDescent="0.2">
      <c r="A2208" s="672" t="s">
        <v>220</v>
      </c>
      <c r="B2208" s="672" t="s">
        <v>10381</v>
      </c>
      <c r="C2208" s="672" t="s">
        <v>1703</v>
      </c>
      <c r="D2208" s="672" t="s">
        <v>1704</v>
      </c>
      <c r="E2208" s="745" t="s">
        <v>545</v>
      </c>
      <c r="F2208" s="747">
        <v>2500</v>
      </c>
      <c r="G2208" s="685">
        <v>0.34945999999999999</v>
      </c>
      <c r="H2208" s="685">
        <v>873.65</v>
      </c>
      <c r="I2208" s="686" t="s">
        <v>9009</v>
      </c>
      <c r="J2208" s="672" t="s">
        <v>10128</v>
      </c>
      <c r="K2208" s="672" t="s">
        <v>541</v>
      </c>
      <c r="L2208" s="672" t="s">
        <v>8996</v>
      </c>
    </row>
    <row r="2209" spans="1:12" x14ac:dyDescent="0.2">
      <c r="A2209" s="672" t="s">
        <v>220</v>
      </c>
      <c r="B2209" s="672" t="s">
        <v>10381</v>
      </c>
      <c r="C2209" s="672" t="s">
        <v>1705</v>
      </c>
      <c r="D2209" s="672" t="s">
        <v>1706</v>
      </c>
      <c r="E2209" s="745" t="s">
        <v>545</v>
      </c>
      <c r="F2209" s="747">
        <v>2500</v>
      </c>
      <c r="G2209" s="685">
        <v>0.34945999999999999</v>
      </c>
      <c r="H2209" s="685">
        <v>873.65</v>
      </c>
      <c r="I2209" s="686" t="s">
        <v>9009</v>
      </c>
      <c r="J2209" s="672" t="s">
        <v>10128</v>
      </c>
      <c r="K2209" s="672" t="s">
        <v>541</v>
      </c>
      <c r="L2209" s="672" t="s">
        <v>8996</v>
      </c>
    </row>
    <row r="2210" spans="1:12" x14ac:dyDescent="0.2">
      <c r="A2210" s="672" t="s">
        <v>220</v>
      </c>
      <c r="B2210" s="672" t="s">
        <v>10381</v>
      </c>
      <c r="C2210" s="672" t="s">
        <v>1707</v>
      </c>
      <c r="D2210" s="672" t="s">
        <v>1708</v>
      </c>
      <c r="E2210" s="745" t="s">
        <v>545</v>
      </c>
      <c r="F2210" s="747">
        <v>2250</v>
      </c>
      <c r="G2210" s="685">
        <v>0.40400000000000003</v>
      </c>
      <c r="H2210" s="685">
        <v>909.00000000000011</v>
      </c>
      <c r="I2210" s="686" t="s">
        <v>9009</v>
      </c>
      <c r="J2210" s="672" t="s">
        <v>10128</v>
      </c>
      <c r="K2210" s="672" t="s">
        <v>541</v>
      </c>
      <c r="L2210" s="672" t="s">
        <v>8996</v>
      </c>
    </row>
    <row r="2211" spans="1:12" x14ac:dyDescent="0.2">
      <c r="A2211" s="672" t="s">
        <v>220</v>
      </c>
      <c r="B2211" s="672" t="s">
        <v>10381</v>
      </c>
      <c r="C2211" s="672" t="s">
        <v>1709</v>
      </c>
      <c r="D2211" s="672" t="s">
        <v>1710</v>
      </c>
      <c r="E2211" s="745" t="s">
        <v>545</v>
      </c>
      <c r="F2211" s="747">
        <v>2370</v>
      </c>
      <c r="G2211" s="685">
        <v>0.40400000000000003</v>
      </c>
      <c r="H2211" s="685">
        <v>957.48</v>
      </c>
      <c r="I2211" s="686" t="s">
        <v>9009</v>
      </c>
      <c r="J2211" s="672" t="s">
        <v>10128</v>
      </c>
      <c r="K2211" s="672" t="s">
        <v>541</v>
      </c>
      <c r="L2211" s="672" t="s">
        <v>8996</v>
      </c>
    </row>
    <row r="2212" spans="1:12" x14ac:dyDescent="0.2">
      <c r="A2212" s="672" t="s">
        <v>220</v>
      </c>
      <c r="B2212" s="672" t="s">
        <v>10381</v>
      </c>
      <c r="C2212" s="672" t="s">
        <v>1711</v>
      </c>
      <c r="D2212" s="672" t="s">
        <v>1712</v>
      </c>
      <c r="E2212" s="745" t="s">
        <v>545</v>
      </c>
      <c r="F2212" s="747">
        <v>1870</v>
      </c>
      <c r="G2212" s="685">
        <v>0.45449999999999996</v>
      </c>
      <c r="H2212" s="685">
        <v>849.91499999999996</v>
      </c>
      <c r="I2212" s="686" t="s">
        <v>9009</v>
      </c>
      <c r="J2212" s="672" t="s">
        <v>10128</v>
      </c>
      <c r="K2212" s="672" t="s">
        <v>541</v>
      </c>
      <c r="L2212" s="672" t="s">
        <v>8996</v>
      </c>
    </row>
    <row r="2213" spans="1:12" x14ac:dyDescent="0.2">
      <c r="A2213" s="672" t="s">
        <v>220</v>
      </c>
      <c r="B2213" s="672" t="s">
        <v>10381</v>
      </c>
      <c r="C2213" s="672" t="s">
        <v>1713</v>
      </c>
      <c r="D2213" s="672" t="s">
        <v>1714</v>
      </c>
      <c r="E2213" s="745" t="s">
        <v>545</v>
      </c>
      <c r="F2213" s="747">
        <v>2370</v>
      </c>
      <c r="G2213" s="685">
        <v>0.55549999999999999</v>
      </c>
      <c r="H2213" s="685">
        <v>1316.5350000000001</v>
      </c>
      <c r="I2213" s="686" t="s">
        <v>9009</v>
      </c>
      <c r="J2213" s="672" t="s">
        <v>10128</v>
      </c>
      <c r="K2213" s="672" t="s">
        <v>541</v>
      </c>
      <c r="L2213" s="672" t="s">
        <v>8996</v>
      </c>
    </row>
    <row r="2214" spans="1:12" x14ac:dyDescent="0.2">
      <c r="A2214" s="672" t="s">
        <v>220</v>
      </c>
      <c r="B2214" s="672" t="s">
        <v>10381</v>
      </c>
      <c r="C2214" s="672" t="s">
        <v>1759</v>
      </c>
      <c r="D2214" s="672" t="s">
        <v>1760</v>
      </c>
      <c r="E2214" s="745" t="s">
        <v>545</v>
      </c>
      <c r="F2214" s="747">
        <v>5000</v>
      </c>
      <c r="G2214" s="685">
        <v>0.30779464568718118</v>
      </c>
      <c r="H2214" s="685">
        <v>1538.9732284359059</v>
      </c>
      <c r="I2214" s="686" t="s">
        <v>9009</v>
      </c>
      <c r="J2214" s="672" t="s">
        <v>10128</v>
      </c>
      <c r="K2214" s="672" t="s">
        <v>541</v>
      </c>
      <c r="L2214" s="672" t="s">
        <v>8996</v>
      </c>
    </row>
    <row r="2215" spans="1:12" x14ac:dyDescent="0.2">
      <c r="A2215" s="672" t="s">
        <v>220</v>
      </c>
      <c r="B2215" s="672" t="s">
        <v>10381</v>
      </c>
      <c r="C2215" s="672" t="s">
        <v>1763</v>
      </c>
      <c r="D2215" s="672" t="s">
        <v>1764</v>
      </c>
      <c r="E2215" s="745" t="s">
        <v>545</v>
      </c>
      <c r="F2215" s="747">
        <v>1000</v>
      </c>
      <c r="G2215" s="685">
        <v>0.48093956169418828</v>
      </c>
      <c r="H2215" s="685">
        <v>480.93956169418828</v>
      </c>
      <c r="I2215" s="686" t="s">
        <v>9009</v>
      </c>
      <c r="J2215" s="672" t="s">
        <v>10128</v>
      </c>
      <c r="K2215" s="672" t="s">
        <v>541</v>
      </c>
      <c r="L2215" s="672" t="s">
        <v>8996</v>
      </c>
    </row>
    <row r="2216" spans="1:12" x14ac:dyDescent="0.2">
      <c r="A2216" s="672" t="s">
        <v>220</v>
      </c>
      <c r="B2216" s="672" t="s">
        <v>10381</v>
      </c>
      <c r="C2216" s="672" t="s">
        <v>1765</v>
      </c>
      <c r="D2216" s="672" t="s">
        <v>1766</v>
      </c>
      <c r="E2216" s="745" t="s">
        <v>545</v>
      </c>
      <c r="F2216" s="747">
        <v>4750</v>
      </c>
      <c r="G2216" s="685">
        <v>0.52520000000000011</v>
      </c>
      <c r="H2216" s="685">
        <v>2494.7000000000007</v>
      </c>
      <c r="I2216" s="686" t="s">
        <v>9009</v>
      </c>
      <c r="J2216" s="672" t="s">
        <v>10128</v>
      </c>
      <c r="K2216" s="672" t="s">
        <v>541</v>
      </c>
      <c r="L2216" s="672" t="s">
        <v>8996</v>
      </c>
    </row>
    <row r="2217" spans="1:12" x14ac:dyDescent="0.2">
      <c r="A2217" s="672" t="s">
        <v>220</v>
      </c>
      <c r="B2217" s="672" t="s">
        <v>10381</v>
      </c>
      <c r="C2217" s="672" t="s">
        <v>1767</v>
      </c>
      <c r="D2217" s="672" t="s">
        <v>1768</v>
      </c>
      <c r="E2217" s="745" t="s">
        <v>545</v>
      </c>
      <c r="F2217" s="747">
        <v>4000</v>
      </c>
      <c r="G2217" s="685">
        <v>0.5188486000272523</v>
      </c>
      <c r="H2217" s="685">
        <v>2075.3944001090094</v>
      </c>
      <c r="I2217" s="686" t="s">
        <v>9009</v>
      </c>
      <c r="J2217" s="672" t="s">
        <v>10128</v>
      </c>
      <c r="K2217" s="672" t="s">
        <v>541</v>
      </c>
      <c r="L2217" s="672" t="s">
        <v>8996</v>
      </c>
    </row>
    <row r="2218" spans="1:12" x14ac:dyDescent="0.2">
      <c r="A2218" s="672" t="s">
        <v>220</v>
      </c>
      <c r="B2218" s="672" t="s">
        <v>10381</v>
      </c>
      <c r="C2218" s="672" t="s">
        <v>1769</v>
      </c>
      <c r="D2218" s="672" t="s">
        <v>1770</v>
      </c>
      <c r="E2218" s="745" t="s">
        <v>545</v>
      </c>
      <c r="F2218" s="747">
        <v>4000</v>
      </c>
      <c r="G2218" s="685">
        <v>0.68175000000000008</v>
      </c>
      <c r="H2218" s="685">
        <v>2727.0000000000005</v>
      </c>
      <c r="I2218" s="686" t="s">
        <v>9009</v>
      </c>
      <c r="J2218" s="672" t="s">
        <v>10128</v>
      </c>
      <c r="K2218" s="672" t="s">
        <v>541</v>
      </c>
      <c r="L2218" s="672" t="s">
        <v>8996</v>
      </c>
    </row>
    <row r="2219" spans="1:12" x14ac:dyDescent="0.2">
      <c r="A2219" s="672" t="s">
        <v>220</v>
      </c>
      <c r="B2219" s="672" t="s">
        <v>10381</v>
      </c>
      <c r="C2219" s="672" t="s">
        <v>1771</v>
      </c>
      <c r="D2219" s="672" t="s">
        <v>9148</v>
      </c>
      <c r="E2219" s="745" t="s">
        <v>545</v>
      </c>
      <c r="F2219" s="747">
        <v>4800</v>
      </c>
      <c r="G2219" s="685">
        <v>0.39894999999999997</v>
      </c>
      <c r="H2219" s="685">
        <v>1914.9599999999998</v>
      </c>
      <c r="I2219" s="686" t="s">
        <v>9009</v>
      </c>
      <c r="J2219" s="672" t="s">
        <v>10128</v>
      </c>
      <c r="K2219" s="672" t="s">
        <v>541</v>
      </c>
      <c r="L2219" s="672" t="s">
        <v>8996</v>
      </c>
    </row>
    <row r="2220" spans="1:12" x14ac:dyDescent="0.2">
      <c r="A2220" s="672" t="s">
        <v>220</v>
      </c>
      <c r="B2220" s="672" t="s">
        <v>10381</v>
      </c>
      <c r="C2220" s="672" t="s">
        <v>1773</v>
      </c>
      <c r="D2220" s="672" t="s">
        <v>1774</v>
      </c>
      <c r="E2220" s="745" t="s">
        <v>545</v>
      </c>
      <c r="F2220" s="747">
        <v>6498</v>
      </c>
      <c r="G2220" s="685">
        <v>0.47469999999999996</v>
      </c>
      <c r="H2220" s="685">
        <v>3084.6005999999998</v>
      </c>
      <c r="I2220" s="686" t="s">
        <v>9009</v>
      </c>
      <c r="J2220" s="672" t="s">
        <v>10128</v>
      </c>
      <c r="K2220" s="672" t="s">
        <v>541</v>
      </c>
      <c r="L2220" s="672" t="s">
        <v>8996</v>
      </c>
    </row>
    <row r="2221" spans="1:12" x14ac:dyDescent="0.2">
      <c r="A2221" s="672" t="s">
        <v>220</v>
      </c>
      <c r="B2221" s="672" t="s">
        <v>10381</v>
      </c>
      <c r="C2221" s="672" t="s">
        <v>1775</v>
      </c>
      <c r="D2221" s="672" t="s">
        <v>1776</v>
      </c>
      <c r="E2221" s="745" t="s">
        <v>545</v>
      </c>
      <c r="F2221" s="747">
        <v>2730</v>
      </c>
      <c r="G2221" s="685">
        <v>0.505</v>
      </c>
      <c r="H2221" s="685">
        <v>1378.65</v>
      </c>
      <c r="I2221" s="686" t="s">
        <v>9009</v>
      </c>
      <c r="J2221" s="672" t="s">
        <v>10128</v>
      </c>
      <c r="K2221" s="672" t="s">
        <v>541</v>
      </c>
      <c r="L2221" s="672" t="s">
        <v>8996</v>
      </c>
    </row>
    <row r="2222" spans="1:12" x14ac:dyDescent="0.2">
      <c r="A2222" s="672" t="s">
        <v>220</v>
      </c>
      <c r="B2222" s="672" t="s">
        <v>10381</v>
      </c>
      <c r="C2222" s="672" t="s">
        <v>1777</v>
      </c>
      <c r="D2222" s="672" t="s">
        <v>1778</v>
      </c>
      <c r="E2222" s="745" t="s">
        <v>545</v>
      </c>
      <c r="F2222" s="747">
        <v>6930</v>
      </c>
      <c r="G2222" s="685">
        <v>0.57569999999999999</v>
      </c>
      <c r="H2222" s="685">
        <v>3989.6010000000001</v>
      </c>
      <c r="I2222" s="686" t="s">
        <v>9009</v>
      </c>
      <c r="J2222" s="672" t="s">
        <v>10128</v>
      </c>
      <c r="K2222" s="672" t="s">
        <v>541</v>
      </c>
      <c r="L2222" s="672" t="s">
        <v>8996</v>
      </c>
    </row>
    <row r="2223" spans="1:12" x14ac:dyDescent="0.2">
      <c r="A2223" s="672" t="s">
        <v>220</v>
      </c>
      <c r="B2223" s="672" t="s">
        <v>10381</v>
      </c>
      <c r="C2223" s="672" t="s">
        <v>1779</v>
      </c>
      <c r="D2223" s="672" t="s">
        <v>1780</v>
      </c>
      <c r="E2223" s="745" t="s">
        <v>545</v>
      </c>
      <c r="F2223" s="747">
        <v>2645</v>
      </c>
      <c r="G2223" s="685">
        <v>0.55044999999999999</v>
      </c>
      <c r="H2223" s="685">
        <v>1455.9402499999999</v>
      </c>
      <c r="I2223" s="686" t="s">
        <v>9009</v>
      </c>
      <c r="J2223" s="672" t="s">
        <v>10128</v>
      </c>
      <c r="K2223" s="672" t="s">
        <v>541</v>
      </c>
      <c r="L2223" s="672" t="s">
        <v>8996</v>
      </c>
    </row>
    <row r="2224" spans="1:12" x14ac:dyDescent="0.2">
      <c r="A2224" s="672" t="s">
        <v>220</v>
      </c>
      <c r="B2224" s="672" t="s">
        <v>10381</v>
      </c>
      <c r="C2224" s="672" t="s">
        <v>1781</v>
      </c>
      <c r="D2224" s="672" t="s">
        <v>1782</v>
      </c>
      <c r="E2224" s="745" t="s">
        <v>545</v>
      </c>
      <c r="F2224" s="747">
        <v>3835</v>
      </c>
      <c r="G2224" s="685">
        <v>0.68679999999999997</v>
      </c>
      <c r="H2224" s="685">
        <v>2633.8779999999997</v>
      </c>
      <c r="I2224" s="686" t="s">
        <v>9009</v>
      </c>
      <c r="J2224" s="672" t="s">
        <v>10128</v>
      </c>
      <c r="K2224" s="672" t="s">
        <v>541</v>
      </c>
      <c r="L2224" s="672" t="s">
        <v>8996</v>
      </c>
    </row>
    <row r="2225" spans="1:12" x14ac:dyDescent="0.2">
      <c r="A2225" s="672" t="s">
        <v>220</v>
      </c>
      <c r="B2225" s="672" t="s">
        <v>10381</v>
      </c>
      <c r="C2225" s="672" t="s">
        <v>1783</v>
      </c>
      <c r="D2225" s="672" t="s">
        <v>1784</v>
      </c>
      <c r="E2225" s="745" t="s">
        <v>545</v>
      </c>
      <c r="F2225" s="747">
        <v>2080</v>
      </c>
      <c r="G2225" s="685">
        <v>0.22219999999999998</v>
      </c>
      <c r="H2225" s="685">
        <v>462.17599999999999</v>
      </c>
      <c r="I2225" s="686" t="s">
        <v>9009</v>
      </c>
      <c r="J2225" s="672" t="s">
        <v>10128</v>
      </c>
      <c r="K2225" s="672" t="s">
        <v>541</v>
      </c>
      <c r="L2225" s="672" t="s">
        <v>8996</v>
      </c>
    </row>
    <row r="2226" spans="1:12" x14ac:dyDescent="0.2">
      <c r="A2226" s="672" t="s">
        <v>220</v>
      </c>
      <c r="B2226" s="672" t="s">
        <v>10381</v>
      </c>
      <c r="C2226" s="672" t="s">
        <v>1785</v>
      </c>
      <c r="D2226" s="672" t="s">
        <v>1786</v>
      </c>
      <c r="E2226" s="745" t="s">
        <v>545</v>
      </c>
      <c r="F2226" s="747">
        <v>2860</v>
      </c>
      <c r="G2226" s="685">
        <v>0.38380000000000003</v>
      </c>
      <c r="H2226" s="685">
        <v>1097.6680000000001</v>
      </c>
      <c r="I2226" s="686" t="s">
        <v>9009</v>
      </c>
      <c r="J2226" s="672" t="s">
        <v>10128</v>
      </c>
      <c r="K2226" s="672" t="s">
        <v>541</v>
      </c>
      <c r="L2226" s="672" t="s">
        <v>8996</v>
      </c>
    </row>
    <row r="2227" spans="1:12" x14ac:dyDescent="0.2">
      <c r="A2227" s="672" t="s">
        <v>220</v>
      </c>
      <c r="B2227" s="672" t="s">
        <v>10381</v>
      </c>
      <c r="C2227" s="672" t="s">
        <v>1787</v>
      </c>
      <c r="D2227" s="672" t="s">
        <v>1788</v>
      </c>
      <c r="E2227" s="745" t="s">
        <v>545</v>
      </c>
      <c r="F2227" s="747">
        <v>3480</v>
      </c>
      <c r="G2227" s="685">
        <v>0.38379999999999992</v>
      </c>
      <c r="H2227" s="685">
        <v>1335.6239999999998</v>
      </c>
      <c r="I2227" s="686" t="s">
        <v>9009</v>
      </c>
      <c r="J2227" s="672" t="s">
        <v>10128</v>
      </c>
      <c r="K2227" s="672" t="s">
        <v>541</v>
      </c>
      <c r="L2227" s="672" t="s">
        <v>8996</v>
      </c>
    </row>
    <row r="2228" spans="1:12" x14ac:dyDescent="0.2">
      <c r="A2228" s="672" t="s">
        <v>220</v>
      </c>
      <c r="B2228" s="672" t="s">
        <v>10381</v>
      </c>
      <c r="C2228" s="672" t="s">
        <v>9153</v>
      </c>
      <c r="D2228" s="672" t="s">
        <v>9154</v>
      </c>
      <c r="E2228" s="745" t="s">
        <v>545</v>
      </c>
      <c r="F2228" s="747">
        <v>2000</v>
      </c>
      <c r="G2228" s="685">
        <v>0.30804999999999999</v>
      </c>
      <c r="H2228" s="685">
        <v>616.1</v>
      </c>
      <c r="I2228" s="686" t="s">
        <v>9009</v>
      </c>
      <c r="J2228" s="672" t="s">
        <v>10128</v>
      </c>
      <c r="K2228" s="672" t="s">
        <v>541</v>
      </c>
      <c r="L2228" s="672" t="s">
        <v>8996</v>
      </c>
    </row>
    <row r="2229" spans="1:12" x14ac:dyDescent="0.2">
      <c r="A2229" s="672" t="s">
        <v>220</v>
      </c>
      <c r="B2229" s="672" t="s">
        <v>10381</v>
      </c>
      <c r="C2229" s="672" t="s">
        <v>9155</v>
      </c>
      <c r="D2229" s="672" t="s">
        <v>9156</v>
      </c>
      <c r="E2229" s="745" t="s">
        <v>545</v>
      </c>
      <c r="F2229" s="747">
        <v>2000</v>
      </c>
      <c r="G2229" s="685">
        <v>0.30804999999999999</v>
      </c>
      <c r="H2229" s="685">
        <v>616.1</v>
      </c>
      <c r="I2229" s="686" t="s">
        <v>9009</v>
      </c>
      <c r="J2229" s="672" t="s">
        <v>10128</v>
      </c>
      <c r="K2229" s="672" t="s">
        <v>541</v>
      </c>
      <c r="L2229" s="672" t="s">
        <v>8996</v>
      </c>
    </row>
    <row r="2230" spans="1:12" x14ac:dyDescent="0.2">
      <c r="A2230" s="672" t="s">
        <v>220</v>
      </c>
      <c r="B2230" s="672" t="s">
        <v>10381</v>
      </c>
      <c r="C2230" s="672" t="s">
        <v>9157</v>
      </c>
      <c r="D2230" s="672" t="s">
        <v>9158</v>
      </c>
      <c r="E2230" s="745" t="s">
        <v>545</v>
      </c>
      <c r="F2230" s="747">
        <v>3250</v>
      </c>
      <c r="G2230" s="685">
        <v>0.30804999999999999</v>
      </c>
      <c r="H2230" s="685">
        <v>1001.1625</v>
      </c>
      <c r="I2230" s="686" t="s">
        <v>9009</v>
      </c>
      <c r="J2230" s="672" t="s">
        <v>10128</v>
      </c>
      <c r="K2230" s="672" t="s">
        <v>541</v>
      </c>
      <c r="L2230" s="672" t="s">
        <v>8996</v>
      </c>
    </row>
    <row r="2231" spans="1:12" x14ac:dyDescent="0.2">
      <c r="A2231" s="672" t="s">
        <v>220</v>
      </c>
      <c r="B2231" s="672" t="s">
        <v>10381</v>
      </c>
      <c r="C2231" s="672" t="s">
        <v>9159</v>
      </c>
      <c r="D2231" s="672" t="s">
        <v>9160</v>
      </c>
      <c r="E2231" s="745" t="s">
        <v>545</v>
      </c>
      <c r="F2231" s="747">
        <v>3250</v>
      </c>
      <c r="G2231" s="685">
        <v>0.30804999999999999</v>
      </c>
      <c r="H2231" s="685">
        <v>1001.1625</v>
      </c>
      <c r="I2231" s="686" t="s">
        <v>9009</v>
      </c>
      <c r="J2231" s="672" t="s">
        <v>10128</v>
      </c>
      <c r="K2231" s="672" t="s">
        <v>541</v>
      </c>
      <c r="L2231" s="672" t="s">
        <v>8996</v>
      </c>
    </row>
    <row r="2232" spans="1:12" x14ac:dyDescent="0.2">
      <c r="A2232" s="672" t="s">
        <v>220</v>
      </c>
      <c r="B2232" s="672" t="s">
        <v>10381</v>
      </c>
      <c r="C2232" s="672" t="s">
        <v>9165</v>
      </c>
      <c r="D2232" s="672" t="s">
        <v>9166</v>
      </c>
      <c r="E2232" s="745" t="s">
        <v>545</v>
      </c>
      <c r="F2232" s="747">
        <v>1500</v>
      </c>
      <c r="G2232" s="685">
        <v>0.32103571428571431</v>
      </c>
      <c r="H2232" s="685">
        <v>481.55357142857144</v>
      </c>
      <c r="I2232" s="686" t="s">
        <v>9009</v>
      </c>
      <c r="J2232" s="672" t="s">
        <v>10128</v>
      </c>
      <c r="K2232" s="672" t="s">
        <v>541</v>
      </c>
      <c r="L2232" s="672" t="s">
        <v>8996</v>
      </c>
    </row>
    <row r="2233" spans="1:12" x14ac:dyDescent="0.2">
      <c r="A2233" s="672" t="s">
        <v>220</v>
      </c>
      <c r="B2233" s="672" t="s">
        <v>10381</v>
      </c>
      <c r="C2233" s="672" t="s">
        <v>9167</v>
      </c>
      <c r="D2233" s="672" t="s">
        <v>9168</v>
      </c>
      <c r="E2233" s="745" t="s">
        <v>545</v>
      </c>
      <c r="F2233" s="747">
        <v>1500</v>
      </c>
      <c r="G2233" s="685">
        <v>0.32103571428571431</v>
      </c>
      <c r="H2233" s="685">
        <v>481.55357142857144</v>
      </c>
      <c r="I2233" s="686" t="s">
        <v>9009</v>
      </c>
      <c r="J2233" s="672" t="s">
        <v>10128</v>
      </c>
      <c r="K2233" s="672" t="s">
        <v>541</v>
      </c>
      <c r="L2233" s="672" t="s">
        <v>8996</v>
      </c>
    </row>
    <row r="2234" spans="1:12" x14ac:dyDescent="0.2">
      <c r="A2234" s="672" t="s">
        <v>220</v>
      </c>
      <c r="B2234" s="672" t="s">
        <v>10381</v>
      </c>
      <c r="C2234" s="672" t="s">
        <v>9665</v>
      </c>
      <c r="D2234" s="672" t="s">
        <v>9666</v>
      </c>
      <c r="E2234" s="745" t="s">
        <v>545</v>
      </c>
      <c r="F2234" s="747">
        <v>750</v>
      </c>
      <c r="G2234" s="685">
        <v>0.48984999999999995</v>
      </c>
      <c r="H2234" s="685">
        <v>367.38749999999999</v>
      </c>
      <c r="I2234" s="686" t="s">
        <v>9009</v>
      </c>
      <c r="J2234" s="672" t="s">
        <v>10128</v>
      </c>
      <c r="K2234" s="672" t="s">
        <v>541</v>
      </c>
      <c r="L2234" s="672" t="s">
        <v>8996</v>
      </c>
    </row>
    <row r="2235" spans="1:12" x14ac:dyDescent="0.2">
      <c r="A2235" s="672" t="s">
        <v>220</v>
      </c>
      <c r="B2235" s="672" t="s">
        <v>10381</v>
      </c>
      <c r="C2235" s="672" t="s">
        <v>9169</v>
      </c>
      <c r="D2235" s="672" t="s">
        <v>9170</v>
      </c>
      <c r="E2235" s="745" t="s">
        <v>545</v>
      </c>
      <c r="F2235" s="747">
        <v>1750</v>
      </c>
      <c r="G2235" s="685">
        <v>0.48985000000000001</v>
      </c>
      <c r="H2235" s="685">
        <v>857.23750000000007</v>
      </c>
      <c r="I2235" s="686" t="s">
        <v>9009</v>
      </c>
      <c r="J2235" s="672" t="s">
        <v>10128</v>
      </c>
      <c r="K2235" s="672" t="s">
        <v>541</v>
      </c>
      <c r="L2235" s="672" t="s">
        <v>8996</v>
      </c>
    </row>
    <row r="2236" spans="1:12" x14ac:dyDescent="0.2">
      <c r="A2236" s="672" t="s">
        <v>220</v>
      </c>
      <c r="B2236" s="672" t="s">
        <v>10381</v>
      </c>
      <c r="C2236" s="672" t="s">
        <v>9171</v>
      </c>
      <c r="D2236" s="672" t="s">
        <v>9172</v>
      </c>
      <c r="E2236" s="745" t="s">
        <v>545</v>
      </c>
      <c r="F2236" s="747">
        <v>2000</v>
      </c>
      <c r="G2236" s="685">
        <v>0.48985000000000001</v>
      </c>
      <c r="H2236" s="685">
        <v>979.7</v>
      </c>
      <c r="I2236" s="686" t="s">
        <v>9009</v>
      </c>
      <c r="J2236" s="672" t="s">
        <v>10128</v>
      </c>
      <c r="K2236" s="672" t="s">
        <v>541</v>
      </c>
      <c r="L2236" s="672" t="s">
        <v>8996</v>
      </c>
    </row>
    <row r="2237" spans="1:12" x14ac:dyDescent="0.2">
      <c r="A2237" s="672" t="s">
        <v>220</v>
      </c>
      <c r="B2237" s="672" t="s">
        <v>10381</v>
      </c>
      <c r="C2237" s="672" t="s">
        <v>9173</v>
      </c>
      <c r="D2237" s="672" t="s">
        <v>9174</v>
      </c>
      <c r="E2237" s="745" t="s">
        <v>545</v>
      </c>
      <c r="F2237" s="747">
        <v>1500</v>
      </c>
      <c r="G2237" s="685">
        <v>0.3853630952380952</v>
      </c>
      <c r="H2237" s="685">
        <v>578.04464285714278</v>
      </c>
      <c r="I2237" s="686" t="s">
        <v>9009</v>
      </c>
      <c r="J2237" s="672" t="s">
        <v>10128</v>
      </c>
      <c r="K2237" s="672" t="s">
        <v>541</v>
      </c>
      <c r="L2237" s="672" t="s">
        <v>8996</v>
      </c>
    </row>
    <row r="2238" spans="1:12" x14ac:dyDescent="0.2">
      <c r="A2238" s="672" t="s">
        <v>220</v>
      </c>
      <c r="B2238" s="672" t="s">
        <v>10381</v>
      </c>
      <c r="C2238" s="672" t="s">
        <v>9667</v>
      </c>
      <c r="D2238" s="672" t="s">
        <v>9668</v>
      </c>
      <c r="E2238" s="745" t="s">
        <v>545</v>
      </c>
      <c r="F2238" s="747">
        <v>1500</v>
      </c>
      <c r="G2238" s="685">
        <v>0.37874999999999998</v>
      </c>
      <c r="H2238" s="685">
        <v>568.125</v>
      </c>
      <c r="I2238" s="686" t="s">
        <v>9009</v>
      </c>
      <c r="J2238" s="672" t="s">
        <v>10128</v>
      </c>
      <c r="K2238" s="672" t="s">
        <v>541</v>
      </c>
      <c r="L2238" s="672" t="s">
        <v>8996</v>
      </c>
    </row>
    <row r="2239" spans="1:12" x14ac:dyDescent="0.2">
      <c r="A2239" s="672" t="s">
        <v>220</v>
      </c>
      <c r="B2239" s="672" t="s">
        <v>10381</v>
      </c>
      <c r="C2239" s="672" t="s">
        <v>9669</v>
      </c>
      <c r="D2239" s="672" t="s">
        <v>9670</v>
      </c>
      <c r="E2239" s="745" t="s">
        <v>545</v>
      </c>
      <c r="F2239" s="747">
        <v>2000</v>
      </c>
      <c r="G2239" s="685">
        <v>0.37874999999999998</v>
      </c>
      <c r="H2239" s="685">
        <v>757.5</v>
      </c>
      <c r="I2239" s="686" t="s">
        <v>9009</v>
      </c>
      <c r="J2239" s="672" t="s">
        <v>10128</v>
      </c>
      <c r="K2239" s="672" t="s">
        <v>541</v>
      </c>
      <c r="L2239" s="672" t="s">
        <v>8996</v>
      </c>
    </row>
    <row r="2240" spans="1:12" x14ac:dyDescent="0.2">
      <c r="A2240" s="672" t="s">
        <v>220</v>
      </c>
      <c r="B2240" s="672" t="s">
        <v>10381</v>
      </c>
      <c r="C2240" s="672" t="s">
        <v>9671</v>
      </c>
      <c r="D2240" s="672" t="s">
        <v>9672</v>
      </c>
      <c r="E2240" s="745" t="s">
        <v>545</v>
      </c>
      <c r="F2240" s="747">
        <v>2000</v>
      </c>
      <c r="G2240" s="685">
        <v>0.37874999999999998</v>
      </c>
      <c r="H2240" s="685">
        <v>757.5</v>
      </c>
      <c r="I2240" s="686" t="s">
        <v>9009</v>
      </c>
      <c r="J2240" s="672" t="s">
        <v>10128</v>
      </c>
      <c r="K2240" s="672" t="s">
        <v>541</v>
      </c>
      <c r="L2240" s="672" t="s">
        <v>8996</v>
      </c>
    </row>
    <row r="2241" spans="1:12" x14ac:dyDescent="0.2">
      <c r="A2241" s="672" t="s">
        <v>220</v>
      </c>
      <c r="B2241" s="672" t="s">
        <v>10381</v>
      </c>
      <c r="C2241" s="672" t="s">
        <v>9673</v>
      </c>
      <c r="D2241" s="672" t="s">
        <v>9674</v>
      </c>
      <c r="E2241" s="745" t="s">
        <v>545</v>
      </c>
      <c r="F2241" s="747">
        <v>1500</v>
      </c>
      <c r="G2241" s="685">
        <v>0.37874999999999998</v>
      </c>
      <c r="H2241" s="685">
        <v>568.125</v>
      </c>
      <c r="I2241" s="686" t="s">
        <v>9009</v>
      </c>
      <c r="J2241" s="672" t="s">
        <v>10128</v>
      </c>
      <c r="K2241" s="672" t="s">
        <v>541</v>
      </c>
      <c r="L2241" s="672" t="s">
        <v>8996</v>
      </c>
    </row>
    <row r="2242" spans="1:12" x14ac:dyDescent="0.2">
      <c r="A2242" s="672" t="s">
        <v>220</v>
      </c>
      <c r="B2242" s="672" t="s">
        <v>10381</v>
      </c>
      <c r="C2242" s="672" t="s">
        <v>9175</v>
      </c>
      <c r="D2242" s="672" t="s">
        <v>9176</v>
      </c>
      <c r="E2242" s="745" t="s">
        <v>545</v>
      </c>
      <c r="F2242" s="747">
        <v>2000</v>
      </c>
      <c r="G2242" s="685">
        <v>0.35349999999999998</v>
      </c>
      <c r="H2242" s="685">
        <v>707</v>
      </c>
      <c r="I2242" s="686" t="s">
        <v>9009</v>
      </c>
      <c r="J2242" s="672" t="s">
        <v>10128</v>
      </c>
      <c r="K2242" s="672" t="s">
        <v>541</v>
      </c>
      <c r="L2242" s="672" t="s">
        <v>8996</v>
      </c>
    </row>
    <row r="2243" spans="1:12" x14ac:dyDescent="0.2">
      <c r="A2243" s="672" t="s">
        <v>220</v>
      </c>
      <c r="B2243" s="672" t="s">
        <v>10381</v>
      </c>
      <c r="C2243" s="672" t="s">
        <v>9675</v>
      </c>
      <c r="D2243" s="672" t="s">
        <v>9676</v>
      </c>
      <c r="E2243" s="745" t="s">
        <v>545</v>
      </c>
      <c r="F2243" s="747">
        <v>2500</v>
      </c>
      <c r="G2243" s="685">
        <v>0.48985000000000001</v>
      </c>
      <c r="H2243" s="685">
        <v>1224.625</v>
      </c>
      <c r="I2243" s="686" t="s">
        <v>9009</v>
      </c>
      <c r="J2243" s="672" t="s">
        <v>10128</v>
      </c>
      <c r="K2243" s="672" t="s">
        <v>541</v>
      </c>
      <c r="L2243" s="672" t="s">
        <v>8996</v>
      </c>
    </row>
    <row r="2244" spans="1:12" x14ac:dyDescent="0.2">
      <c r="A2244" s="672" t="s">
        <v>220</v>
      </c>
      <c r="B2244" s="672" t="s">
        <v>10381</v>
      </c>
      <c r="C2244" s="672" t="s">
        <v>9678</v>
      </c>
      <c r="D2244" s="672" t="s">
        <v>9679</v>
      </c>
      <c r="E2244" s="745" t="s">
        <v>545</v>
      </c>
      <c r="F2244" s="747">
        <v>1000</v>
      </c>
      <c r="G2244" s="685">
        <v>0.37874999999999998</v>
      </c>
      <c r="H2244" s="685">
        <v>378.75</v>
      </c>
      <c r="I2244" s="686" t="s">
        <v>9009</v>
      </c>
      <c r="J2244" s="672" t="s">
        <v>10128</v>
      </c>
      <c r="K2244" s="672" t="s">
        <v>541</v>
      </c>
      <c r="L2244" s="672" t="s">
        <v>8996</v>
      </c>
    </row>
    <row r="2245" spans="1:12" x14ac:dyDescent="0.2">
      <c r="A2245" s="672" t="s">
        <v>220</v>
      </c>
      <c r="B2245" s="672" t="s">
        <v>10381</v>
      </c>
      <c r="C2245" s="672" t="s">
        <v>9577</v>
      </c>
      <c r="D2245" s="672" t="s">
        <v>9578</v>
      </c>
      <c r="E2245" s="745" t="s">
        <v>545</v>
      </c>
      <c r="F2245" s="747">
        <v>18000</v>
      </c>
      <c r="G2245" s="685">
        <v>0.1212</v>
      </c>
      <c r="H2245" s="685">
        <v>2181.6</v>
      </c>
      <c r="I2245" s="686" t="s">
        <v>9009</v>
      </c>
      <c r="J2245" s="672" t="s">
        <v>10128</v>
      </c>
      <c r="K2245" s="672" t="s">
        <v>541</v>
      </c>
      <c r="L2245" s="672" t="s">
        <v>8996</v>
      </c>
    </row>
    <row r="2246" spans="1:12" x14ac:dyDescent="0.2">
      <c r="A2246" s="672" t="s">
        <v>220</v>
      </c>
      <c r="B2246" s="672" t="s">
        <v>10381</v>
      </c>
      <c r="C2246" s="672" t="s">
        <v>1799</v>
      </c>
      <c r="D2246" s="672" t="s">
        <v>1800</v>
      </c>
      <c r="E2246" s="745" t="s">
        <v>545</v>
      </c>
      <c r="F2246" s="747">
        <v>3725</v>
      </c>
      <c r="G2246" s="685">
        <v>0.51798123017236741</v>
      </c>
      <c r="H2246" s="685">
        <v>1929.4800823920687</v>
      </c>
      <c r="I2246" s="686" t="s">
        <v>9009</v>
      </c>
      <c r="J2246" s="672" t="s">
        <v>10128</v>
      </c>
      <c r="K2246" s="672" t="s">
        <v>541</v>
      </c>
      <c r="L2246" s="672" t="s">
        <v>8996</v>
      </c>
    </row>
    <row r="2247" spans="1:12" x14ac:dyDescent="0.2">
      <c r="A2247" s="672" t="s">
        <v>220</v>
      </c>
      <c r="B2247" s="672" t="s">
        <v>10381</v>
      </c>
      <c r="C2247" s="672" t="s">
        <v>1807</v>
      </c>
      <c r="D2247" s="672" t="s">
        <v>1808</v>
      </c>
      <c r="E2247" s="745" t="s">
        <v>545</v>
      </c>
      <c r="F2247" s="747">
        <v>320</v>
      </c>
      <c r="G2247" s="685">
        <v>0.10925000000000001</v>
      </c>
      <c r="H2247" s="685">
        <v>34.960000000000008</v>
      </c>
      <c r="I2247" s="686" t="s">
        <v>9009</v>
      </c>
      <c r="J2247" s="672" t="s">
        <v>10128</v>
      </c>
      <c r="K2247" s="672" t="s">
        <v>541</v>
      </c>
      <c r="L2247" s="672" t="s">
        <v>8996</v>
      </c>
    </row>
    <row r="2248" spans="1:12" x14ac:dyDescent="0.2">
      <c r="A2248" s="672" t="s">
        <v>220</v>
      </c>
      <c r="B2248" s="672" t="s">
        <v>10381</v>
      </c>
      <c r="C2248" s="672" t="s">
        <v>1809</v>
      </c>
      <c r="D2248" s="672" t="s">
        <v>1810</v>
      </c>
      <c r="E2248" s="745" t="s">
        <v>545</v>
      </c>
      <c r="F2248" s="747">
        <v>180</v>
      </c>
      <c r="G2248" s="685">
        <v>0.13355081967213117</v>
      </c>
      <c r="H2248" s="685">
        <v>24.03914754098361</v>
      </c>
      <c r="I2248" s="686" t="s">
        <v>9009</v>
      </c>
      <c r="J2248" s="672" t="s">
        <v>10128</v>
      </c>
      <c r="K2248" s="672" t="s">
        <v>541</v>
      </c>
      <c r="L2248" s="672" t="s">
        <v>8996</v>
      </c>
    </row>
    <row r="2249" spans="1:12" x14ac:dyDescent="0.2">
      <c r="A2249" s="672" t="s">
        <v>220</v>
      </c>
      <c r="B2249" s="672" t="s">
        <v>10381</v>
      </c>
      <c r="C2249" s="672" t="s">
        <v>1811</v>
      </c>
      <c r="D2249" s="672" t="s">
        <v>1812</v>
      </c>
      <c r="E2249" s="745" t="s">
        <v>545</v>
      </c>
      <c r="F2249" s="747">
        <v>210</v>
      </c>
      <c r="G2249" s="685">
        <v>0.152</v>
      </c>
      <c r="H2249" s="685">
        <v>31.919999999999998</v>
      </c>
      <c r="I2249" s="686" t="s">
        <v>9009</v>
      </c>
      <c r="J2249" s="672" t="s">
        <v>10128</v>
      </c>
      <c r="K2249" s="672" t="s">
        <v>541</v>
      </c>
      <c r="L2249" s="672" t="s">
        <v>8996</v>
      </c>
    </row>
    <row r="2250" spans="1:12" x14ac:dyDescent="0.2">
      <c r="A2250" s="672" t="s">
        <v>220</v>
      </c>
      <c r="B2250" s="672" t="s">
        <v>10381</v>
      </c>
      <c r="C2250" s="672" t="s">
        <v>1813</v>
      </c>
      <c r="D2250" s="672" t="s">
        <v>1814</v>
      </c>
      <c r="E2250" s="745" t="s">
        <v>545</v>
      </c>
      <c r="F2250" s="747">
        <v>130</v>
      </c>
      <c r="G2250" s="685">
        <v>0.19</v>
      </c>
      <c r="H2250" s="685">
        <v>24.7</v>
      </c>
      <c r="I2250" s="686" t="s">
        <v>9009</v>
      </c>
      <c r="J2250" s="672" t="s">
        <v>10128</v>
      </c>
      <c r="K2250" s="672" t="s">
        <v>541</v>
      </c>
      <c r="L2250" s="672" t="s">
        <v>8996</v>
      </c>
    </row>
    <row r="2251" spans="1:12" x14ac:dyDescent="0.2">
      <c r="A2251" s="672" t="s">
        <v>220</v>
      </c>
      <c r="B2251" s="672" t="s">
        <v>10381</v>
      </c>
      <c r="C2251" s="672" t="s">
        <v>1825</v>
      </c>
      <c r="D2251" s="672" t="s">
        <v>1826</v>
      </c>
      <c r="E2251" s="745" t="s">
        <v>545</v>
      </c>
      <c r="F2251" s="747">
        <v>895</v>
      </c>
      <c r="G2251" s="685">
        <v>4.8479999999999999</v>
      </c>
      <c r="H2251" s="685">
        <v>4338.96</v>
      </c>
      <c r="I2251" s="686" t="s">
        <v>9009</v>
      </c>
      <c r="J2251" s="672" t="s">
        <v>10128</v>
      </c>
      <c r="K2251" s="672" t="s">
        <v>541</v>
      </c>
      <c r="L2251" s="672" t="s">
        <v>8996</v>
      </c>
    </row>
    <row r="2252" spans="1:12" x14ac:dyDescent="0.2">
      <c r="A2252" s="672" t="s">
        <v>220</v>
      </c>
      <c r="B2252" s="672" t="s">
        <v>10381</v>
      </c>
      <c r="C2252" s="672" t="s">
        <v>1827</v>
      </c>
      <c r="D2252" s="672" t="s">
        <v>1828</v>
      </c>
      <c r="E2252" s="745" t="s">
        <v>545</v>
      </c>
      <c r="F2252" s="747">
        <v>1000</v>
      </c>
      <c r="G2252" s="685">
        <v>7.3730000000000002</v>
      </c>
      <c r="H2252" s="685">
        <v>7373</v>
      </c>
      <c r="I2252" s="686" t="s">
        <v>9009</v>
      </c>
      <c r="J2252" s="672" t="s">
        <v>10128</v>
      </c>
      <c r="K2252" s="672" t="s">
        <v>541</v>
      </c>
      <c r="L2252" s="672" t="s">
        <v>8996</v>
      </c>
    </row>
    <row r="2253" spans="1:12" x14ac:dyDescent="0.2">
      <c r="A2253" s="672" t="s">
        <v>220</v>
      </c>
      <c r="B2253" s="672" t="s">
        <v>10381</v>
      </c>
      <c r="C2253" s="672" t="s">
        <v>1829</v>
      </c>
      <c r="D2253" s="672" t="s">
        <v>1830</v>
      </c>
      <c r="E2253" s="745" t="s">
        <v>545</v>
      </c>
      <c r="F2253" s="747">
        <v>866</v>
      </c>
      <c r="G2253" s="685">
        <v>5.05</v>
      </c>
      <c r="H2253" s="685">
        <v>4373.3</v>
      </c>
      <c r="I2253" s="686" t="s">
        <v>9009</v>
      </c>
      <c r="J2253" s="672" t="s">
        <v>10128</v>
      </c>
      <c r="K2253" s="672" t="s">
        <v>541</v>
      </c>
      <c r="L2253" s="672" t="s">
        <v>8996</v>
      </c>
    </row>
    <row r="2254" spans="1:12" x14ac:dyDescent="0.2">
      <c r="A2254" s="672" t="s">
        <v>220</v>
      </c>
      <c r="B2254" s="672" t="s">
        <v>10381</v>
      </c>
      <c r="C2254" s="672" t="s">
        <v>1831</v>
      </c>
      <c r="D2254" s="672" t="s">
        <v>1832</v>
      </c>
      <c r="E2254" s="745" t="s">
        <v>545</v>
      </c>
      <c r="F2254" s="747">
        <v>660</v>
      </c>
      <c r="G2254" s="685">
        <v>5.9589999999999996</v>
      </c>
      <c r="H2254" s="685">
        <v>3932.9399999999996</v>
      </c>
      <c r="I2254" s="686" t="s">
        <v>9009</v>
      </c>
      <c r="J2254" s="672" t="s">
        <v>10128</v>
      </c>
      <c r="K2254" s="672" t="s">
        <v>541</v>
      </c>
      <c r="L2254" s="672" t="s">
        <v>8996</v>
      </c>
    </row>
    <row r="2255" spans="1:12" x14ac:dyDescent="0.2">
      <c r="A2255" s="672" t="s">
        <v>220</v>
      </c>
      <c r="B2255" s="672" t="s">
        <v>10381</v>
      </c>
      <c r="C2255" s="672" t="s">
        <v>1833</v>
      </c>
      <c r="D2255" s="672" t="s">
        <v>1834</v>
      </c>
      <c r="E2255" s="745" t="s">
        <v>545</v>
      </c>
      <c r="F2255" s="747">
        <v>750</v>
      </c>
      <c r="G2255" s="685">
        <v>6.3630000000000004</v>
      </c>
      <c r="H2255" s="685">
        <v>4772.25</v>
      </c>
      <c r="I2255" s="686" t="s">
        <v>9009</v>
      </c>
      <c r="J2255" s="672" t="s">
        <v>10128</v>
      </c>
      <c r="K2255" s="672" t="s">
        <v>541</v>
      </c>
      <c r="L2255" s="672" t="s">
        <v>8996</v>
      </c>
    </row>
    <row r="2256" spans="1:12" x14ac:dyDescent="0.2">
      <c r="A2256" s="672" t="s">
        <v>220</v>
      </c>
      <c r="B2256" s="672" t="s">
        <v>10381</v>
      </c>
      <c r="C2256" s="672" t="s">
        <v>1835</v>
      </c>
      <c r="D2256" s="672" t="s">
        <v>1836</v>
      </c>
      <c r="E2256" s="745" t="s">
        <v>545</v>
      </c>
      <c r="F2256" s="747">
        <v>909</v>
      </c>
      <c r="G2256" s="685">
        <v>7.676000000000001</v>
      </c>
      <c r="H2256" s="685">
        <v>6977.4840000000013</v>
      </c>
      <c r="I2256" s="686" t="s">
        <v>9009</v>
      </c>
      <c r="J2256" s="672" t="s">
        <v>10128</v>
      </c>
      <c r="K2256" s="672" t="s">
        <v>541</v>
      </c>
      <c r="L2256" s="672" t="s">
        <v>8996</v>
      </c>
    </row>
    <row r="2257" spans="1:12" x14ac:dyDescent="0.2">
      <c r="A2257" s="672" t="s">
        <v>220</v>
      </c>
      <c r="B2257" s="672" t="s">
        <v>10381</v>
      </c>
      <c r="C2257" s="672" t="s">
        <v>1864</v>
      </c>
      <c r="D2257" s="672" t="s">
        <v>1865</v>
      </c>
      <c r="E2257" s="745" t="s">
        <v>545</v>
      </c>
      <c r="F2257" s="747">
        <v>13</v>
      </c>
      <c r="G2257" s="685">
        <v>0.52629617977528087</v>
      </c>
      <c r="H2257" s="685">
        <v>6.8418503370786512</v>
      </c>
      <c r="I2257" s="686" t="s">
        <v>9009</v>
      </c>
      <c r="J2257" s="672" t="s">
        <v>10128</v>
      </c>
      <c r="K2257" s="672" t="s">
        <v>541</v>
      </c>
      <c r="L2257" s="672" t="s">
        <v>8996</v>
      </c>
    </row>
    <row r="2258" spans="1:12" x14ac:dyDescent="0.2">
      <c r="A2258" s="672" t="s">
        <v>220</v>
      </c>
      <c r="B2258" s="672" t="s">
        <v>10381</v>
      </c>
      <c r="C2258" s="672" t="s">
        <v>9185</v>
      </c>
      <c r="D2258" s="672" t="s">
        <v>9186</v>
      </c>
      <c r="E2258" s="745" t="s">
        <v>545</v>
      </c>
      <c r="F2258" s="747">
        <v>656</v>
      </c>
      <c r="G2258" s="685">
        <v>0.43631999999999993</v>
      </c>
      <c r="H2258" s="685">
        <v>286.22591999999997</v>
      </c>
      <c r="I2258" s="686" t="s">
        <v>9009</v>
      </c>
      <c r="J2258" s="672" t="s">
        <v>10128</v>
      </c>
      <c r="K2258" s="672" t="s">
        <v>541</v>
      </c>
      <c r="L2258" s="672" t="s">
        <v>8996</v>
      </c>
    </row>
    <row r="2259" spans="1:12" x14ac:dyDescent="0.2">
      <c r="A2259" s="672" t="s">
        <v>220</v>
      </c>
      <c r="B2259" s="672" t="s">
        <v>10381</v>
      </c>
      <c r="C2259" s="672" t="s">
        <v>9187</v>
      </c>
      <c r="D2259" s="672" t="s">
        <v>9188</v>
      </c>
      <c r="E2259" s="745" t="s">
        <v>545</v>
      </c>
      <c r="F2259" s="747">
        <v>611</v>
      </c>
      <c r="G2259" s="685">
        <v>0.50904000000000005</v>
      </c>
      <c r="H2259" s="685">
        <v>311.02344000000005</v>
      </c>
      <c r="I2259" s="686" t="s">
        <v>9009</v>
      </c>
      <c r="J2259" s="672" t="s">
        <v>10128</v>
      </c>
      <c r="K2259" s="672" t="s">
        <v>541</v>
      </c>
      <c r="L2259" s="672" t="s">
        <v>8996</v>
      </c>
    </row>
    <row r="2260" spans="1:12" x14ac:dyDescent="0.2">
      <c r="A2260" s="672" t="s">
        <v>220</v>
      </c>
      <c r="B2260" s="672" t="s">
        <v>10381</v>
      </c>
      <c r="C2260" s="672" t="s">
        <v>9189</v>
      </c>
      <c r="D2260" s="672" t="s">
        <v>9190</v>
      </c>
      <c r="E2260" s="745" t="s">
        <v>545</v>
      </c>
      <c r="F2260" s="747">
        <v>1253</v>
      </c>
      <c r="G2260" s="685">
        <v>0.56357999999999997</v>
      </c>
      <c r="H2260" s="685">
        <v>706.16573999999991</v>
      </c>
      <c r="I2260" s="686" t="s">
        <v>9009</v>
      </c>
      <c r="J2260" s="672" t="s">
        <v>10128</v>
      </c>
      <c r="K2260" s="672" t="s">
        <v>541</v>
      </c>
      <c r="L2260" s="672" t="s">
        <v>8996</v>
      </c>
    </row>
    <row r="2261" spans="1:12" x14ac:dyDescent="0.2">
      <c r="A2261" s="672" t="s">
        <v>220</v>
      </c>
      <c r="B2261" s="672" t="s">
        <v>10381</v>
      </c>
      <c r="C2261" s="672" t="s">
        <v>662</v>
      </c>
      <c r="D2261" s="672" t="s">
        <v>1866</v>
      </c>
      <c r="E2261" s="745" t="s">
        <v>535</v>
      </c>
      <c r="F2261" s="747">
        <v>1545</v>
      </c>
      <c r="G2261" s="685">
        <v>4.9485335738670599</v>
      </c>
      <c r="H2261" s="685">
        <v>7645.4843716246078</v>
      </c>
      <c r="I2261" s="686" t="s">
        <v>9009</v>
      </c>
      <c r="J2261" s="672" t="s">
        <v>9201</v>
      </c>
      <c r="K2261" s="672" t="s">
        <v>541</v>
      </c>
      <c r="L2261" s="672" t="s">
        <v>8996</v>
      </c>
    </row>
    <row r="2262" spans="1:12" x14ac:dyDescent="0.2">
      <c r="A2262" s="672" t="s">
        <v>220</v>
      </c>
      <c r="B2262" s="672" t="s">
        <v>10381</v>
      </c>
      <c r="C2262" s="672" t="s">
        <v>1867</v>
      </c>
      <c r="D2262" s="672" t="s">
        <v>1868</v>
      </c>
      <c r="E2262" s="745" t="s">
        <v>535</v>
      </c>
      <c r="F2262" s="747">
        <v>928</v>
      </c>
      <c r="G2262" s="685">
        <v>4.9519338018406147</v>
      </c>
      <c r="H2262" s="685">
        <v>4595.3945681080904</v>
      </c>
      <c r="I2262" s="686" t="s">
        <v>9009</v>
      </c>
      <c r="J2262" s="672" t="s">
        <v>9201</v>
      </c>
      <c r="K2262" s="672" t="s">
        <v>541</v>
      </c>
      <c r="L2262" s="672" t="s">
        <v>8996</v>
      </c>
    </row>
    <row r="2263" spans="1:12" x14ac:dyDescent="0.2">
      <c r="A2263" s="672" t="s">
        <v>220</v>
      </c>
      <c r="B2263" s="672" t="s">
        <v>10381</v>
      </c>
      <c r="C2263" s="672" t="s">
        <v>1873</v>
      </c>
      <c r="D2263" s="672" t="s">
        <v>1874</v>
      </c>
      <c r="E2263" s="745" t="s">
        <v>535</v>
      </c>
      <c r="F2263" s="747">
        <v>923</v>
      </c>
      <c r="G2263" s="685">
        <v>4.8500000000000005</v>
      </c>
      <c r="H2263" s="685">
        <v>4476.55</v>
      </c>
      <c r="I2263" s="686" t="s">
        <v>9009</v>
      </c>
      <c r="J2263" s="672" t="s">
        <v>9201</v>
      </c>
      <c r="K2263" s="672" t="s">
        <v>541</v>
      </c>
      <c r="L2263" s="672" t="s">
        <v>8996</v>
      </c>
    </row>
    <row r="2264" spans="1:12" x14ac:dyDescent="0.2">
      <c r="A2264" s="672" t="s">
        <v>220</v>
      </c>
      <c r="B2264" s="672" t="s">
        <v>10381</v>
      </c>
      <c r="C2264" s="672" t="s">
        <v>9202</v>
      </c>
      <c r="D2264" s="672" t="s">
        <v>9203</v>
      </c>
      <c r="E2264" s="745" t="s">
        <v>535</v>
      </c>
      <c r="F2264" s="747">
        <v>378</v>
      </c>
      <c r="G2264" s="685">
        <v>6.8000000000000007</v>
      </c>
      <c r="H2264" s="685">
        <v>2570.4</v>
      </c>
      <c r="I2264" s="686" t="s">
        <v>9009</v>
      </c>
      <c r="J2264" s="672" t="s">
        <v>9201</v>
      </c>
      <c r="K2264" s="672" t="s">
        <v>541</v>
      </c>
      <c r="L2264" s="672" t="s">
        <v>8996</v>
      </c>
    </row>
    <row r="2265" spans="1:12" x14ac:dyDescent="0.2">
      <c r="A2265" s="672" t="s">
        <v>220</v>
      </c>
      <c r="B2265" s="672" t="s">
        <v>10381</v>
      </c>
      <c r="C2265" s="672" t="s">
        <v>9204</v>
      </c>
      <c r="D2265" s="672" t="s">
        <v>9205</v>
      </c>
      <c r="E2265" s="745" t="s">
        <v>535</v>
      </c>
      <c r="F2265" s="747">
        <v>759</v>
      </c>
      <c r="G2265" s="685">
        <v>6.8</v>
      </c>
      <c r="H2265" s="685">
        <v>5161.2</v>
      </c>
      <c r="I2265" s="686" t="s">
        <v>9009</v>
      </c>
      <c r="J2265" s="672" t="s">
        <v>9201</v>
      </c>
      <c r="K2265" s="672" t="s">
        <v>541</v>
      </c>
      <c r="L2265" s="672" t="s">
        <v>8996</v>
      </c>
    </row>
    <row r="2266" spans="1:12" x14ac:dyDescent="0.2">
      <c r="A2266" s="672" t="s">
        <v>220</v>
      </c>
      <c r="B2266" s="672" t="s">
        <v>10381</v>
      </c>
      <c r="C2266" s="672" t="s">
        <v>9206</v>
      </c>
      <c r="D2266" s="672" t="s">
        <v>9207</v>
      </c>
      <c r="E2266" s="745" t="s">
        <v>535</v>
      </c>
      <c r="F2266" s="747">
        <v>1060</v>
      </c>
      <c r="G2266" s="685">
        <v>6.8</v>
      </c>
      <c r="H2266" s="685">
        <v>7208</v>
      </c>
      <c r="I2266" s="686" t="s">
        <v>9009</v>
      </c>
      <c r="J2266" s="672" t="s">
        <v>9201</v>
      </c>
      <c r="K2266" s="672" t="s">
        <v>541</v>
      </c>
      <c r="L2266" s="672" t="s">
        <v>8996</v>
      </c>
    </row>
    <row r="2267" spans="1:12" x14ac:dyDescent="0.2">
      <c r="A2267" s="672" t="s">
        <v>220</v>
      </c>
      <c r="B2267" s="672" t="s">
        <v>10381</v>
      </c>
      <c r="C2267" s="672" t="s">
        <v>9208</v>
      </c>
      <c r="D2267" s="672" t="s">
        <v>9209</v>
      </c>
      <c r="E2267" s="745" t="s">
        <v>535</v>
      </c>
      <c r="F2267" s="747">
        <v>1850</v>
      </c>
      <c r="G2267" s="685">
        <v>6.8</v>
      </c>
      <c r="H2267" s="685">
        <v>12580</v>
      </c>
      <c r="I2267" s="686" t="s">
        <v>9009</v>
      </c>
      <c r="J2267" s="672" t="s">
        <v>9201</v>
      </c>
      <c r="K2267" s="672" t="s">
        <v>541</v>
      </c>
      <c r="L2267" s="672" t="s">
        <v>8996</v>
      </c>
    </row>
    <row r="2268" spans="1:12" x14ac:dyDescent="0.2">
      <c r="A2268" s="672" t="s">
        <v>220</v>
      </c>
      <c r="B2268" s="672" t="s">
        <v>10381</v>
      </c>
      <c r="C2268" s="672" t="s">
        <v>1879</v>
      </c>
      <c r="D2268" s="672" t="s">
        <v>1880</v>
      </c>
      <c r="E2268" s="745" t="s">
        <v>545</v>
      </c>
      <c r="F2268" s="747">
        <v>50</v>
      </c>
      <c r="G2268" s="685">
        <v>6.0009044768812059</v>
      </c>
      <c r="H2268" s="685">
        <v>300.04522384406027</v>
      </c>
      <c r="I2268" s="686" t="s">
        <v>9009</v>
      </c>
      <c r="J2268" s="672" t="s">
        <v>9147</v>
      </c>
      <c r="K2268" s="672" t="s">
        <v>541</v>
      </c>
      <c r="L2268" s="672" t="s">
        <v>8996</v>
      </c>
    </row>
    <row r="2269" spans="1:12" x14ac:dyDescent="0.2">
      <c r="A2269" s="672" t="s">
        <v>220</v>
      </c>
      <c r="B2269" s="672" t="s">
        <v>10381</v>
      </c>
      <c r="C2269" s="672" t="s">
        <v>1881</v>
      </c>
      <c r="D2269" s="672" t="s">
        <v>1882</v>
      </c>
      <c r="E2269" s="745" t="s">
        <v>545</v>
      </c>
      <c r="F2269" s="747">
        <v>302</v>
      </c>
      <c r="G2269" s="685">
        <v>26.966964078810076</v>
      </c>
      <c r="H2269" s="685">
        <v>8144.0231518006431</v>
      </c>
      <c r="I2269" s="686" t="s">
        <v>9009</v>
      </c>
      <c r="J2269" s="672" t="s">
        <v>9201</v>
      </c>
      <c r="K2269" s="672" t="s">
        <v>541</v>
      </c>
      <c r="L2269" s="672" t="s">
        <v>8996</v>
      </c>
    </row>
    <row r="2270" spans="1:12" x14ac:dyDescent="0.2">
      <c r="A2270" s="672" t="s">
        <v>220</v>
      </c>
      <c r="B2270" s="672" t="s">
        <v>10381</v>
      </c>
      <c r="C2270" s="672" t="s">
        <v>1883</v>
      </c>
      <c r="D2270" s="672" t="s">
        <v>1884</v>
      </c>
      <c r="E2270" s="745" t="s">
        <v>545</v>
      </c>
      <c r="F2270" s="747">
        <v>45</v>
      </c>
      <c r="G2270" s="685">
        <v>17.106837606837608</v>
      </c>
      <c r="H2270" s="685">
        <v>769.80769230769238</v>
      </c>
      <c r="I2270" s="686" t="s">
        <v>9009</v>
      </c>
      <c r="J2270" s="672" t="s">
        <v>9201</v>
      </c>
      <c r="K2270" s="672" t="s">
        <v>541</v>
      </c>
      <c r="L2270" s="672" t="s">
        <v>8996</v>
      </c>
    </row>
    <row r="2271" spans="1:12" x14ac:dyDescent="0.2">
      <c r="A2271" s="672" t="s">
        <v>220</v>
      </c>
      <c r="B2271" s="672" t="s">
        <v>10381</v>
      </c>
      <c r="C2271" s="672" t="s">
        <v>1885</v>
      </c>
      <c r="D2271" s="672" t="s">
        <v>1886</v>
      </c>
      <c r="E2271" s="745" t="s">
        <v>545</v>
      </c>
      <c r="F2271" s="747">
        <v>7</v>
      </c>
      <c r="G2271" s="685">
        <v>17</v>
      </c>
      <c r="H2271" s="685">
        <v>119</v>
      </c>
      <c r="I2271" s="686" t="s">
        <v>9009</v>
      </c>
      <c r="J2271" s="672" t="s">
        <v>9201</v>
      </c>
      <c r="K2271" s="672" t="s">
        <v>541</v>
      </c>
      <c r="L2271" s="672" t="s">
        <v>8996</v>
      </c>
    </row>
    <row r="2272" spans="1:12" x14ac:dyDescent="0.2">
      <c r="A2272" s="672" t="s">
        <v>220</v>
      </c>
      <c r="B2272" s="672" t="s">
        <v>10381</v>
      </c>
      <c r="C2272" s="672" t="s">
        <v>664</v>
      </c>
      <c r="D2272" s="672" t="s">
        <v>1891</v>
      </c>
      <c r="E2272" s="745" t="s">
        <v>545</v>
      </c>
      <c r="F2272" s="747">
        <v>700</v>
      </c>
      <c r="G2272" s="685">
        <v>3.579911115770825</v>
      </c>
      <c r="H2272" s="685">
        <v>2505.9377810395777</v>
      </c>
      <c r="I2272" s="686" t="s">
        <v>9009</v>
      </c>
      <c r="J2272" s="672" t="s">
        <v>9201</v>
      </c>
      <c r="K2272" s="672" t="s">
        <v>541</v>
      </c>
      <c r="L2272" s="672" t="s">
        <v>8996</v>
      </c>
    </row>
    <row r="2273" spans="1:12" x14ac:dyDescent="0.2">
      <c r="A2273" s="672" t="s">
        <v>220</v>
      </c>
      <c r="B2273" s="672" t="s">
        <v>10381</v>
      </c>
      <c r="C2273" s="672" t="s">
        <v>1892</v>
      </c>
      <c r="D2273" s="672" t="s">
        <v>1893</v>
      </c>
      <c r="E2273" s="745" t="s">
        <v>1894</v>
      </c>
      <c r="F2273" s="747">
        <v>60</v>
      </c>
      <c r="G2273" s="685">
        <v>3.2995480001725852</v>
      </c>
      <c r="H2273" s="685">
        <v>197.97288001035511</v>
      </c>
      <c r="I2273" s="686" t="s">
        <v>9009</v>
      </c>
      <c r="J2273" s="672" t="s">
        <v>9147</v>
      </c>
      <c r="K2273" s="672" t="s">
        <v>541</v>
      </c>
      <c r="L2273" s="672" t="s">
        <v>8996</v>
      </c>
    </row>
    <row r="2274" spans="1:12" x14ac:dyDescent="0.2">
      <c r="A2274" s="672" t="s">
        <v>220</v>
      </c>
      <c r="B2274" s="672" t="s">
        <v>10381</v>
      </c>
      <c r="C2274" s="672" t="s">
        <v>1897</v>
      </c>
      <c r="D2274" s="672" t="s">
        <v>1898</v>
      </c>
      <c r="E2274" s="745" t="s">
        <v>535</v>
      </c>
      <c r="F2274" s="747">
        <v>360</v>
      </c>
      <c r="G2274" s="685">
        <v>44.689120007952383</v>
      </c>
      <c r="H2274" s="685">
        <v>16088.083202862857</v>
      </c>
      <c r="I2274" s="686" t="s">
        <v>9009</v>
      </c>
      <c r="J2274" s="672" t="s">
        <v>9147</v>
      </c>
      <c r="K2274" s="672" t="s">
        <v>541</v>
      </c>
      <c r="L2274" s="672" t="s">
        <v>8996</v>
      </c>
    </row>
    <row r="2275" spans="1:12" x14ac:dyDescent="0.2">
      <c r="A2275" s="672" t="s">
        <v>220</v>
      </c>
      <c r="B2275" s="672" t="s">
        <v>10381</v>
      </c>
      <c r="C2275" s="672" t="s">
        <v>700</v>
      </c>
      <c r="D2275" s="672" t="s">
        <v>701</v>
      </c>
      <c r="E2275" s="745" t="s">
        <v>545</v>
      </c>
      <c r="F2275" s="747">
        <v>34</v>
      </c>
      <c r="G2275" s="685">
        <v>30.505706430295454</v>
      </c>
      <c r="H2275" s="685">
        <v>1037.1940186300455</v>
      </c>
      <c r="I2275" s="686" t="s">
        <v>9009</v>
      </c>
      <c r="J2275" s="672" t="s">
        <v>9147</v>
      </c>
      <c r="K2275" s="672" t="s">
        <v>541</v>
      </c>
      <c r="L2275" s="672" t="s">
        <v>8996</v>
      </c>
    </row>
    <row r="2276" spans="1:12" x14ac:dyDescent="0.2">
      <c r="A2276" s="672" t="s">
        <v>220</v>
      </c>
      <c r="B2276" s="672" t="s">
        <v>10381</v>
      </c>
      <c r="C2276" s="672" t="s">
        <v>1899</v>
      </c>
      <c r="D2276" s="672" t="s">
        <v>1900</v>
      </c>
      <c r="E2276" s="745" t="s">
        <v>535</v>
      </c>
      <c r="F2276" s="747">
        <v>240</v>
      </c>
      <c r="G2276" s="685">
        <v>19.719606724089633</v>
      </c>
      <c r="H2276" s="685">
        <v>4732.7056137815116</v>
      </c>
      <c r="I2276" s="686" t="s">
        <v>9009</v>
      </c>
      <c r="J2276" s="672" t="s">
        <v>9011</v>
      </c>
      <c r="K2276" s="672" t="s">
        <v>541</v>
      </c>
      <c r="L2276" s="672" t="s">
        <v>8996</v>
      </c>
    </row>
    <row r="2277" spans="1:12" x14ac:dyDescent="0.2">
      <c r="A2277" s="672" t="s">
        <v>220</v>
      </c>
      <c r="B2277" s="672" t="s">
        <v>10381</v>
      </c>
      <c r="C2277" s="672" t="s">
        <v>731</v>
      </c>
      <c r="D2277" s="672" t="s">
        <v>1903</v>
      </c>
      <c r="E2277" s="745" t="s">
        <v>545</v>
      </c>
      <c r="F2277" s="747">
        <v>4</v>
      </c>
      <c r="G2277" s="685">
        <v>156.55000000000001</v>
      </c>
      <c r="H2277" s="685">
        <v>626.20000000000005</v>
      </c>
      <c r="I2277" s="686" t="s">
        <v>9009</v>
      </c>
      <c r="J2277" s="672" t="s">
        <v>9201</v>
      </c>
      <c r="K2277" s="672" t="s">
        <v>541</v>
      </c>
      <c r="L2277" s="672" t="s">
        <v>8996</v>
      </c>
    </row>
    <row r="2278" spans="1:12" x14ac:dyDescent="0.2">
      <c r="A2278" s="672" t="s">
        <v>220</v>
      </c>
      <c r="B2278" s="672" t="s">
        <v>10381</v>
      </c>
      <c r="C2278" s="672" t="s">
        <v>1904</v>
      </c>
      <c r="D2278" s="672" t="s">
        <v>1905</v>
      </c>
      <c r="E2278" s="745" t="s">
        <v>545</v>
      </c>
      <c r="F2278" s="747">
        <v>2</v>
      </c>
      <c r="G2278" s="685">
        <v>49.1</v>
      </c>
      <c r="H2278" s="685">
        <v>98.2</v>
      </c>
      <c r="I2278" s="686" t="s">
        <v>9009</v>
      </c>
      <c r="J2278" s="672" t="s">
        <v>9147</v>
      </c>
      <c r="K2278" s="672" t="s">
        <v>541</v>
      </c>
      <c r="L2278" s="672" t="s">
        <v>8996</v>
      </c>
    </row>
    <row r="2279" spans="1:12" x14ac:dyDescent="0.2">
      <c r="A2279" s="672" t="s">
        <v>220</v>
      </c>
      <c r="B2279" s="672" t="s">
        <v>10381</v>
      </c>
      <c r="C2279" s="744" t="s">
        <v>1322</v>
      </c>
      <c r="D2279" s="672" t="s">
        <v>10382</v>
      </c>
      <c r="E2279" s="745" t="s">
        <v>545</v>
      </c>
      <c r="F2279" s="747">
        <v>2270</v>
      </c>
      <c r="G2279" s="685">
        <v>0.68381026774725628</v>
      </c>
      <c r="H2279" s="685">
        <v>1552.2493077862719</v>
      </c>
      <c r="I2279" s="686" t="s">
        <v>9009</v>
      </c>
      <c r="J2279" s="672" t="s">
        <v>10128</v>
      </c>
      <c r="K2279" s="672" t="s">
        <v>541</v>
      </c>
      <c r="L2279" s="672" t="s">
        <v>8996</v>
      </c>
    </row>
    <row r="2280" spans="1:12" x14ac:dyDescent="0.2">
      <c r="A2280" s="672" t="s">
        <v>220</v>
      </c>
      <c r="B2280" s="672" t="s">
        <v>10381</v>
      </c>
      <c r="C2280" s="672" t="s">
        <v>10383</v>
      </c>
      <c r="E2280" s="745" t="s">
        <v>545</v>
      </c>
      <c r="F2280" s="747">
        <v>12500</v>
      </c>
      <c r="G2280" s="685">
        <v>0.10100000000000002</v>
      </c>
      <c r="H2280" s="685">
        <v>1262.5000000000002</v>
      </c>
      <c r="I2280" s="686" t="s">
        <v>9009</v>
      </c>
      <c r="J2280" s="672" t="s">
        <v>10128</v>
      </c>
      <c r="K2280" s="672" t="s">
        <v>541</v>
      </c>
      <c r="L2280" s="672" t="s">
        <v>8996</v>
      </c>
    </row>
    <row r="2281" spans="1:12" x14ac:dyDescent="0.2">
      <c r="A2281" s="672" t="s">
        <v>220</v>
      </c>
      <c r="B2281" s="672" t="s">
        <v>10381</v>
      </c>
      <c r="C2281" s="672" t="s">
        <v>10384</v>
      </c>
      <c r="E2281" s="745" t="s">
        <v>545</v>
      </c>
      <c r="F2281" s="747">
        <v>22500</v>
      </c>
      <c r="G2281" s="685">
        <v>0.10100000000000002</v>
      </c>
      <c r="H2281" s="685">
        <v>2272.5000000000005</v>
      </c>
      <c r="I2281" s="686" t="s">
        <v>9009</v>
      </c>
      <c r="J2281" s="672" t="s">
        <v>10128</v>
      </c>
      <c r="K2281" s="672" t="s">
        <v>541</v>
      </c>
      <c r="L2281" s="672" t="s">
        <v>8996</v>
      </c>
    </row>
    <row r="2282" spans="1:12" x14ac:dyDescent="0.2">
      <c r="A2282" s="672" t="s">
        <v>220</v>
      </c>
      <c r="B2282" s="672" t="s">
        <v>10381</v>
      </c>
      <c r="C2282" s="672" t="s">
        <v>10385</v>
      </c>
      <c r="E2282" s="745" t="s">
        <v>545</v>
      </c>
      <c r="F2282" s="747">
        <v>2500</v>
      </c>
      <c r="G2282" s="685">
        <v>0.10100000000000001</v>
      </c>
      <c r="H2282" s="685">
        <v>252.50000000000003</v>
      </c>
      <c r="I2282" s="686" t="s">
        <v>9009</v>
      </c>
      <c r="J2282" s="672" t="s">
        <v>10128</v>
      </c>
      <c r="K2282" s="672" t="s">
        <v>541</v>
      </c>
      <c r="L2282" s="672" t="s">
        <v>8996</v>
      </c>
    </row>
    <row r="2283" spans="1:12" x14ac:dyDescent="0.2">
      <c r="A2283" s="672" t="s">
        <v>220</v>
      </c>
      <c r="B2283" s="672" t="s">
        <v>10381</v>
      </c>
      <c r="C2283" s="672" t="s">
        <v>1761</v>
      </c>
      <c r="E2283" s="745" t="s">
        <v>545</v>
      </c>
      <c r="F2283" s="747">
        <v>1000</v>
      </c>
      <c r="G2283" s="685">
        <v>0.48025137876127089</v>
      </c>
      <c r="H2283" s="685">
        <v>480.25137876127087</v>
      </c>
      <c r="I2283" s="686" t="s">
        <v>9009</v>
      </c>
      <c r="J2283" s="672" t="s">
        <v>10128</v>
      </c>
      <c r="K2283" s="672" t="s">
        <v>541</v>
      </c>
      <c r="L2283" s="672" t="s">
        <v>8996</v>
      </c>
    </row>
    <row r="2284" spans="1:12" x14ac:dyDescent="0.2">
      <c r="A2284" s="672" t="s">
        <v>220</v>
      </c>
      <c r="B2284" s="672" t="s">
        <v>10381</v>
      </c>
      <c r="C2284" s="672" t="s">
        <v>9149</v>
      </c>
      <c r="E2284" s="745" t="s">
        <v>545</v>
      </c>
      <c r="F2284" s="747">
        <v>5000</v>
      </c>
      <c r="G2284" s="685">
        <v>0.22220000000000001</v>
      </c>
      <c r="H2284" s="685">
        <v>1111</v>
      </c>
      <c r="I2284" s="686" t="s">
        <v>9009</v>
      </c>
      <c r="J2284" s="672" t="s">
        <v>10128</v>
      </c>
      <c r="K2284" s="672" t="s">
        <v>541</v>
      </c>
      <c r="L2284" s="672" t="s">
        <v>8996</v>
      </c>
    </row>
    <row r="2285" spans="1:12" x14ac:dyDescent="0.2">
      <c r="A2285" s="672" t="s">
        <v>220</v>
      </c>
      <c r="B2285" s="672" t="s">
        <v>10381</v>
      </c>
      <c r="C2285" s="672" t="s">
        <v>9151</v>
      </c>
      <c r="E2285" s="745" t="s">
        <v>545</v>
      </c>
      <c r="F2285" s="747">
        <v>1000</v>
      </c>
      <c r="G2285" s="685">
        <v>0.30804999999999999</v>
      </c>
      <c r="H2285" s="685">
        <v>308.05</v>
      </c>
      <c r="I2285" s="686" t="s">
        <v>9009</v>
      </c>
      <c r="J2285" s="672" t="s">
        <v>10128</v>
      </c>
      <c r="K2285" s="672" t="s">
        <v>541</v>
      </c>
      <c r="L2285" s="672" t="s">
        <v>8996</v>
      </c>
    </row>
    <row r="2286" spans="1:12" x14ac:dyDescent="0.2">
      <c r="A2286" s="672" t="s">
        <v>220</v>
      </c>
      <c r="B2286" s="672" t="s">
        <v>10381</v>
      </c>
      <c r="C2286" s="672" t="s">
        <v>10386</v>
      </c>
      <c r="E2286" s="745" t="s">
        <v>545</v>
      </c>
      <c r="F2286" s="747">
        <v>6000</v>
      </c>
      <c r="G2286" s="685">
        <v>0.22220000000000001</v>
      </c>
      <c r="H2286" s="685">
        <v>1333.2</v>
      </c>
      <c r="I2286" s="686" t="s">
        <v>9009</v>
      </c>
      <c r="J2286" s="672" t="s">
        <v>10128</v>
      </c>
      <c r="K2286" s="672" t="s">
        <v>541</v>
      </c>
      <c r="L2286" s="672" t="s">
        <v>8996</v>
      </c>
    </row>
    <row r="2287" spans="1:12" x14ac:dyDescent="0.2">
      <c r="A2287" s="672" t="s">
        <v>220</v>
      </c>
      <c r="B2287" s="672" t="s">
        <v>10381</v>
      </c>
      <c r="C2287" s="672" t="s">
        <v>10387</v>
      </c>
      <c r="E2287" s="745" t="s">
        <v>545</v>
      </c>
      <c r="F2287" s="747">
        <v>6000</v>
      </c>
      <c r="G2287" s="685">
        <v>0.32319999999999999</v>
      </c>
      <c r="H2287" s="685">
        <v>1939.1999999999998</v>
      </c>
      <c r="I2287" s="686" t="s">
        <v>9009</v>
      </c>
      <c r="J2287" s="672" t="s">
        <v>10128</v>
      </c>
      <c r="K2287" s="672" t="s">
        <v>541</v>
      </c>
      <c r="L2287" s="672" t="s">
        <v>8996</v>
      </c>
    </row>
    <row r="2288" spans="1:12" x14ac:dyDescent="0.2">
      <c r="A2288" s="672" t="s">
        <v>220</v>
      </c>
      <c r="B2288" s="672" t="s">
        <v>10381</v>
      </c>
      <c r="C2288" s="672" t="s">
        <v>817</v>
      </c>
      <c r="D2288" s="672" t="s">
        <v>10388</v>
      </c>
      <c r="E2288" s="745" t="s">
        <v>545</v>
      </c>
      <c r="F2288" s="747">
        <v>1782</v>
      </c>
      <c r="G2288" s="685">
        <v>7.5103636745756317</v>
      </c>
      <c r="H2288" s="685">
        <v>13383.468068093776</v>
      </c>
      <c r="I2288" s="686" t="s">
        <v>9009</v>
      </c>
      <c r="J2288" s="672" t="s">
        <v>9011</v>
      </c>
      <c r="K2288" s="672" t="s">
        <v>541</v>
      </c>
      <c r="L2288" s="672" t="s">
        <v>9068</v>
      </c>
    </row>
    <row r="2289" spans="1:12" x14ac:dyDescent="0.2">
      <c r="A2289" s="672" t="s">
        <v>220</v>
      </c>
      <c r="B2289" s="672" t="s">
        <v>10381</v>
      </c>
      <c r="C2289" s="672" t="s">
        <v>10389</v>
      </c>
      <c r="E2289" s="745" t="s">
        <v>545</v>
      </c>
      <c r="F2289" s="747">
        <v>140</v>
      </c>
      <c r="G2289" s="685">
        <v>9.1786717631795991</v>
      </c>
      <c r="H2289" s="685">
        <v>1285.0140468451439</v>
      </c>
      <c r="I2289" s="686" t="s">
        <v>9009</v>
      </c>
      <c r="J2289" s="672" t="s">
        <v>9011</v>
      </c>
      <c r="K2289" s="672" t="s">
        <v>541</v>
      </c>
      <c r="L2289" s="672" t="s">
        <v>9068</v>
      </c>
    </row>
    <row r="2290" spans="1:12" x14ac:dyDescent="0.2">
      <c r="A2290" s="672" t="s">
        <v>220</v>
      </c>
      <c r="B2290" s="672" t="s">
        <v>10381</v>
      </c>
      <c r="C2290" s="672" t="s">
        <v>10390</v>
      </c>
      <c r="E2290" s="745" t="s">
        <v>545</v>
      </c>
      <c r="F2290" s="747">
        <v>128</v>
      </c>
      <c r="G2290" s="685">
        <v>6.5025774663073426</v>
      </c>
      <c r="H2290" s="685">
        <v>832.32991568733985</v>
      </c>
      <c r="I2290" s="686" t="s">
        <v>9009</v>
      </c>
      <c r="J2290" s="672" t="s">
        <v>9011</v>
      </c>
      <c r="K2290" s="672" t="s">
        <v>541</v>
      </c>
      <c r="L2290" s="672" t="s">
        <v>9068</v>
      </c>
    </row>
    <row r="2291" spans="1:12" x14ac:dyDescent="0.2">
      <c r="A2291" s="672" t="s">
        <v>220</v>
      </c>
      <c r="B2291" s="672" t="s">
        <v>10381</v>
      </c>
      <c r="C2291" s="672" t="s">
        <v>1031</v>
      </c>
      <c r="E2291" s="745" t="s">
        <v>545</v>
      </c>
      <c r="F2291" s="747">
        <v>1479</v>
      </c>
      <c r="G2291" s="685">
        <v>6.2209072649100747</v>
      </c>
      <c r="H2291" s="685">
        <v>9200.7218448020012</v>
      </c>
      <c r="I2291" s="686" t="s">
        <v>9009</v>
      </c>
      <c r="J2291" s="672" t="s">
        <v>9011</v>
      </c>
      <c r="K2291" s="672" t="s">
        <v>541</v>
      </c>
      <c r="L2291" s="672" t="s">
        <v>9068</v>
      </c>
    </row>
    <row r="2292" spans="1:12" x14ac:dyDescent="0.2">
      <c r="A2292" s="672" t="s">
        <v>220</v>
      </c>
      <c r="B2292" s="672" t="s">
        <v>10381</v>
      </c>
      <c r="C2292" s="672" t="s">
        <v>1033</v>
      </c>
      <c r="E2292" s="745" t="s">
        <v>545</v>
      </c>
      <c r="F2292" s="747">
        <v>32</v>
      </c>
      <c r="G2292" s="685">
        <v>3.4670000000000001</v>
      </c>
      <c r="H2292" s="685">
        <v>110.944</v>
      </c>
      <c r="I2292" s="686" t="s">
        <v>9009</v>
      </c>
      <c r="J2292" s="672" t="s">
        <v>9011</v>
      </c>
      <c r="K2292" s="672" t="s">
        <v>541</v>
      </c>
      <c r="L2292" s="672" t="s">
        <v>9068</v>
      </c>
    </row>
    <row r="2293" spans="1:12" x14ac:dyDescent="0.2">
      <c r="A2293" s="672" t="s">
        <v>220</v>
      </c>
      <c r="B2293" s="672" t="s">
        <v>10381</v>
      </c>
      <c r="C2293" s="672" t="s">
        <v>7727</v>
      </c>
      <c r="D2293" s="672" t="s">
        <v>10391</v>
      </c>
      <c r="E2293" s="745" t="s">
        <v>545</v>
      </c>
      <c r="F2293" s="747">
        <v>1369</v>
      </c>
      <c r="G2293" s="685">
        <v>0.35349999999999998</v>
      </c>
      <c r="H2293" s="685">
        <v>483.94149999999996</v>
      </c>
      <c r="I2293" s="686" t="s">
        <v>9009</v>
      </c>
      <c r="J2293" s="672" t="s">
        <v>10128</v>
      </c>
      <c r="K2293" s="672" t="s">
        <v>541</v>
      </c>
      <c r="L2293" s="672" t="s">
        <v>8996</v>
      </c>
    </row>
    <row r="2294" spans="1:12" x14ac:dyDescent="0.2">
      <c r="A2294" s="672" t="s">
        <v>220</v>
      </c>
      <c r="B2294" s="672" t="s">
        <v>10381</v>
      </c>
      <c r="C2294" s="672" t="s">
        <v>7729</v>
      </c>
      <c r="D2294" s="672" t="s">
        <v>10392</v>
      </c>
      <c r="E2294" s="745" t="s">
        <v>545</v>
      </c>
      <c r="F2294" s="747">
        <v>76</v>
      </c>
      <c r="G2294" s="685">
        <v>0.2525</v>
      </c>
      <c r="H2294" s="685">
        <v>19.190000000000001</v>
      </c>
      <c r="I2294" s="686" t="s">
        <v>9009</v>
      </c>
      <c r="J2294" s="672" t="s">
        <v>10128</v>
      </c>
      <c r="K2294" s="672" t="s">
        <v>541</v>
      </c>
      <c r="L2294" s="672" t="s">
        <v>8996</v>
      </c>
    </row>
    <row r="2295" spans="1:12" x14ac:dyDescent="0.2">
      <c r="A2295" s="672" t="s">
        <v>220</v>
      </c>
      <c r="B2295" s="672" t="s">
        <v>10381</v>
      </c>
      <c r="C2295" s="672" t="s">
        <v>7556</v>
      </c>
      <c r="D2295" s="672" t="s">
        <v>10393</v>
      </c>
      <c r="E2295" s="745" t="s">
        <v>545</v>
      </c>
      <c r="F2295" s="747">
        <v>972</v>
      </c>
      <c r="G2295" s="685">
        <v>0.39389999999999997</v>
      </c>
      <c r="H2295" s="685">
        <v>382.87079999999997</v>
      </c>
      <c r="I2295" s="686" t="s">
        <v>9009</v>
      </c>
      <c r="J2295" s="672" t="s">
        <v>10128</v>
      </c>
      <c r="K2295" s="672" t="s">
        <v>541</v>
      </c>
      <c r="L2295" s="672" t="s">
        <v>8996</v>
      </c>
    </row>
    <row r="2296" spans="1:12" x14ac:dyDescent="0.2">
      <c r="A2296" s="672" t="s">
        <v>220</v>
      </c>
      <c r="B2296" s="672" t="s">
        <v>10381</v>
      </c>
      <c r="C2296" s="672" t="s">
        <v>10394</v>
      </c>
      <c r="D2296" s="672" t="s">
        <v>10395</v>
      </c>
      <c r="E2296" s="745" t="s">
        <v>545</v>
      </c>
      <c r="F2296" s="747">
        <v>78</v>
      </c>
      <c r="G2296" s="685">
        <v>0.35349999999999998</v>
      </c>
      <c r="H2296" s="685">
        <v>27.572999999999997</v>
      </c>
      <c r="I2296" s="686" t="s">
        <v>9009</v>
      </c>
      <c r="J2296" s="672" t="s">
        <v>10128</v>
      </c>
      <c r="K2296" s="672" t="s">
        <v>541</v>
      </c>
      <c r="L2296" s="672" t="s">
        <v>8996</v>
      </c>
    </row>
    <row r="2297" spans="1:12" x14ac:dyDescent="0.2">
      <c r="A2297" s="672" t="s">
        <v>220</v>
      </c>
      <c r="B2297" s="672" t="s">
        <v>10381</v>
      </c>
      <c r="C2297" s="672" t="s">
        <v>9183</v>
      </c>
      <c r="D2297" s="672" t="s">
        <v>10396</v>
      </c>
      <c r="E2297" s="745" t="s">
        <v>545</v>
      </c>
      <c r="F2297" s="747">
        <v>576</v>
      </c>
      <c r="G2297" s="685">
        <v>0.2727</v>
      </c>
      <c r="H2297" s="685">
        <v>157.0752</v>
      </c>
      <c r="I2297" s="686" t="s">
        <v>9009</v>
      </c>
      <c r="J2297" s="672" t="s">
        <v>10128</v>
      </c>
      <c r="K2297" s="672" t="s">
        <v>541</v>
      </c>
      <c r="L2297" s="672" t="s">
        <v>8996</v>
      </c>
    </row>
    <row r="2298" spans="1:12" x14ac:dyDescent="0.2">
      <c r="A2298" s="672" t="s">
        <v>220</v>
      </c>
      <c r="B2298" s="672" t="s">
        <v>10381</v>
      </c>
      <c r="C2298" s="672" t="s">
        <v>9191</v>
      </c>
      <c r="D2298" s="672" t="s">
        <v>10397</v>
      </c>
      <c r="E2298" s="745" t="s">
        <v>545</v>
      </c>
      <c r="F2298" s="747">
        <v>510</v>
      </c>
      <c r="G2298" s="685">
        <v>0.292578901734104</v>
      </c>
      <c r="H2298" s="685">
        <v>149.21523988439304</v>
      </c>
      <c r="I2298" s="686" t="s">
        <v>9009</v>
      </c>
      <c r="J2298" s="672" t="s">
        <v>10128</v>
      </c>
      <c r="K2298" s="672" t="s">
        <v>541</v>
      </c>
      <c r="L2298" s="672" t="s">
        <v>8996</v>
      </c>
    </row>
    <row r="2299" spans="1:12" x14ac:dyDescent="0.2">
      <c r="A2299" s="672" t="s">
        <v>220</v>
      </c>
      <c r="B2299" s="672" t="s">
        <v>10381</v>
      </c>
      <c r="C2299" s="672" t="s">
        <v>9177</v>
      </c>
      <c r="D2299" s="672" t="s">
        <v>10398</v>
      </c>
      <c r="E2299" s="745" t="s">
        <v>545</v>
      </c>
      <c r="F2299" s="747">
        <v>3670</v>
      </c>
      <c r="G2299" s="685">
        <v>0.16361999999999999</v>
      </c>
      <c r="H2299" s="685">
        <v>600.48539999999991</v>
      </c>
      <c r="I2299" s="686" t="s">
        <v>9009</v>
      </c>
      <c r="J2299" s="672" t="s">
        <v>10128</v>
      </c>
      <c r="K2299" s="672" t="s">
        <v>541</v>
      </c>
      <c r="L2299" s="672" t="s">
        <v>8996</v>
      </c>
    </row>
    <row r="2300" spans="1:12" x14ac:dyDescent="0.2">
      <c r="A2300" s="672" t="s">
        <v>220</v>
      </c>
      <c r="B2300" s="672" t="s">
        <v>10381</v>
      </c>
      <c r="C2300" s="672" t="s">
        <v>10399</v>
      </c>
      <c r="D2300" s="672" t="s">
        <v>10400</v>
      </c>
      <c r="E2300" s="745" t="s">
        <v>545</v>
      </c>
      <c r="F2300" s="747">
        <v>1175</v>
      </c>
      <c r="G2300" s="685">
        <v>0.42723</v>
      </c>
      <c r="H2300" s="685">
        <v>501.99525</v>
      </c>
      <c r="I2300" s="686" t="s">
        <v>9009</v>
      </c>
      <c r="J2300" s="672" t="s">
        <v>10128</v>
      </c>
      <c r="K2300" s="672" t="s">
        <v>541</v>
      </c>
      <c r="L2300" s="672" t="s">
        <v>8996</v>
      </c>
    </row>
    <row r="2301" spans="1:12" x14ac:dyDescent="0.2">
      <c r="A2301" s="672" t="s">
        <v>220</v>
      </c>
      <c r="B2301" s="672" t="s">
        <v>10381</v>
      </c>
      <c r="C2301" s="672" t="s">
        <v>9199</v>
      </c>
      <c r="D2301" s="672" t="s">
        <v>10401</v>
      </c>
      <c r="E2301" s="745" t="s">
        <v>545</v>
      </c>
      <c r="F2301" s="747">
        <v>488</v>
      </c>
      <c r="G2301" s="685">
        <v>0.56006964593301434</v>
      </c>
      <c r="H2301" s="685">
        <v>273.31398721531099</v>
      </c>
      <c r="I2301" s="686" t="s">
        <v>9009</v>
      </c>
      <c r="J2301" s="672" t="s">
        <v>10128</v>
      </c>
      <c r="K2301" s="672" t="s">
        <v>541</v>
      </c>
      <c r="L2301" s="672" t="s">
        <v>8996</v>
      </c>
    </row>
    <row r="2302" spans="1:12" x14ac:dyDescent="0.2">
      <c r="A2302" s="672" t="s">
        <v>220</v>
      </c>
      <c r="B2302" s="672" t="s">
        <v>10381</v>
      </c>
      <c r="C2302" s="672" t="s">
        <v>9193</v>
      </c>
      <c r="D2302" s="672" t="s">
        <v>10402</v>
      </c>
      <c r="E2302" s="745" t="s">
        <v>545</v>
      </c>
      <c r="F2302" s="747">
        <v>1020</v>
      </c>
      <c r="G2302" s="685">
        <v>0.33329999999999999</v>
      </c>
      <c r="H2302" s="685">
        <v>339.96600000000001</v>
      </c>
      <c r="I2302" s="686" t="s">
        <v>9009</v>
      </c>
      <c r="J2302" s="672" t="s">
        <v>10128</v>
      </c>
      <c r="K2302" s="672" t="s">
        <v>541</v>
      </c>
      <c r="L2302" s="672" t="s">
        <v>8996</v>
      </c>
    </row>
    <row r="2303" spans="1:12" x14ac:dyDescent="0.2">
      <c r="A2303" s="672" t="s">
        <v>220</v>
      </c>
      <c r="B2303" s="672" t="s">
        <v>5430</v>
      </c>
      <c r="C2303" s="672" t="s">
        <v>1901</v>
      </c>
      <c r="D2303" s="672" t="s">
        <v>7783</v>
      </c>
      <c r="E2303" s="745"/>
      <c r="F2303" s="732">
        <v>20</v>
      </c>
      <c r="G2303" s="737">
        <v>0</v>
      </c>
      <c r="H2303" s="685">
        <v>0</v>
      </c>
      <c r="I2303" s="672" t="s">
        <v>9218</v>
      </c>
      <c r="J2303" s="672" t="s">
        <v>9219</v>
      </c>
      <c r="K2303" s="672" t="s">
        <v>2354</v>
      </c>
      <c r="L2303" s="672" t="s">
        <v>9219</v>
      </c>
    </row>
    <row r="2304" spans="1:12" x14ac:dyDescent="0.2">
      <c r="A2304" s="672" t="s">
        <v>220</v>
      </c>
      <c r="B2304" s="672" t="s">
        <v>5430</v>
      </c>
      <c r="D2304" s="672" t="s">
        <v>9420</v>
      </c>
      <c r="E2304" s="745"/>
      <c r="F2304" s="732">
        <v>2</v>
      </c>
      <c r="G2304" s="737">
        <v>2420</v>
      </c>
      <c r="H2304" s="685">
        <v>4840</v>
      </c>
      <c r="I2304" s="672" t="s">
        <v>9218</v>
      </c>
      <c r="J2304" s="672" t="s">
        <v>9219</v>
      </c>
      <c r="K2304" s="672" t="s">
        <v>2354</v>
      </c>
      <c r="L2304" s="672" t="s">
        <v>9219</v>
      </c>
    </row>
    <row r="2305" spans="1:12" x14ac:dyDescent="0.2">
      <c r="A2305" s="672" t="s">
        <v>220</v>
      </c>
      <c r="B2305" s="672" t="s">
        <v>5430</v>
      </c>
      <c r="C2305" s="672" t="s">
        <v>5489</v>
      </c>
      <c r="D2305" s="672" t="s">
        <v>7784</v>
      </c>
      <c r="E2305" s="745"/>
      <c r="F2305" s="732">
        <v>2</v>
      </c>
      <c r="G2305" s="737">
        <v>538</v>
      </c>
      <c r="H2305" s="685">
        <v>1076</v>
      </c>
      <c r="I2305" s="672" t="s">
        <v>9218</v>
      </c>
      <c r="J2305" s="672" t="s">
        <v>9219</v>
      </c>
      <c r="K2305" s="672" t="s">
        <v>2354</v>
      </c>
      <c r="L2305" s="672" t="s">
        <v>9219</v>
      </c>
    </row>
    <row r="2306" spans="1:12" x14ac:dyDescent="0.2">
      <c r="A2306" s="672" t="s">
        <v>220</v>
      </c>
      <c r="B2306" s="672" t="s">
        <v>5430</v>
      </c>
      <c r="C2306" s="672" t="s">
        <v>5491</v>
      </c>
      <c r="D2306" s="672" t="s">
        <v>7785</v>
      </c>
      <c r="E2306" s="745"/>
      <c r="F2306" s="732">
        <v>5</v>
      </c>
      <c r="G2306" s="737">
        <v>30.778500000000001</v>
      </c>
      <c r="H2306" s="685">
        <v>153.89250000000001</v>
      </c>
      <c r="I2306" s="672" t="s">
        <v>9218</v>
      </c>
      <c r="J2306" s="672" t="s">
        <v>9219</v>
      </c>
      <c r="K2306" s="672" t="s">
        <v>2354</v>
      </c>
      <c r="L2306" s="672" t="s">
        <v>9219</v>
      </c>
    </row>
    <row r="2307" spans="1:12" x14ac:dyDescent="0.2">
      <c r="A2307" s="672" t="s">
        <v>220</v>
      </c>
      <c r="B2307" s="672" t="s">
        <v>5430</v>
      </c>
      <c r="C2307" s="672" t="s">
        <v>9421</v>
      </c>
      <c r="D2307" s="672" t="s">
        <v>9422</v>
      </c>
      <c r="E2307" s="745"/>
      <c r="F2307" s="732">
        <v>1</v>
      </c>
      <c r="G2307" s="737">
        <v>147.88399999999999</v>
      </c>
      <c r="H2307" s="685">
        <v>147.88399999999999</v>
      </c>
      <c r="I2307" s="672" t="s">
        <v>9218</v>
      </c>
      <c r="J2307" s="672" t="s">
        <v>9219</v>
      </c>
      <c r="K2307" s="672" t="s">
        <v>2354</v>
      </c>
      <c r="L2307" s="672" t="s">
        <v>9219</v>
      </c>
    </row>
    <row r="2308" spans="1:12" x14ac:dyDescent="0.2">
      <c r="A2308" s="672" t="s">
        <v>220</v>
      </c>
      <c r="B2308" s="672" t="s">
        <v>5430</v>
      </c>
      <c r="C2308" s="672" t="s">
        <v>9423</v>
      </c>
      <c r="D2308" s="672" t="s">
        <v>9424</v>
      </c>
      <c r="E2308" s="745"/>
      <c r="F2308" s="732">
        <v>2</v>
      </c>
      <c r="G2308" s="737">
        <v>1330.671</v>
      </c>
      <c r="H2308" s="685">
        <v>2661.3420000000001</v>
      </c>
      <c r="I2308" s="672" t="s">
        <v>9218</v>
      </c>
      <c r="J2308" s="672" t="s">
        <v>9219</v>
      </c>
      <c r="K2308" s="672" t="s">
        <v>2354</v>
      </c>
      <c r="L2308" s="672" t="s">
        <v>9219</v>
      </c>
    </row>
    <row r="2309" spans="1:12" x14ac:dyDescent="0.2">
      <c r="A2309" s="672" t="s">
        <v>220</v>
      </c>
      <c r="B2309" s="672" t="s">
        <v>5430</v>
      </c>
      <c r="C2309" s="672" t="s">
        <v>9425</v>
      </c>
      <c r="D2309" s="672" t="s">
        <v>9426</v>
      </c>
      <c r="E2309" s="745"/>
      <c r="F2309" s="732">
        <v>1</v>
      </c>
      <c r="G2309" s="737">
        <v>353.70800000000003</v>
      </c>
      <c r="H2309" s="685">
        <v>353.70800000000003</v>
      </c>
      <c r="I2309" s="672" t="s">
        <v>9218</v>
      </c>
      <c r="J2309" s="672" t="s">
        <v>9219</v>
      </c>
      <c r="K2309" s="672" t="s">
        <v>2354</v>
      </c>
      <c r="L2309" s="672" t="s">
        <v>9219</v>
      </c>
    </row>
    <row r="2310" spans="1:12" x14ac:dyDescent="0.2">
      <c r="A2310" s="672" t="s">
        <v>220</v>
      </c>
      <c r="B2310" s="672" t="s">
        <v>5430</v>
      </c>
      <c r="D2310" s="672" t="s">
        <v>9427</v>
      </c>
      <c r="E2310" s="745"/>
      <c r="F2310" s="732">
        <v>4</v>
      </c>
      <c r="G2310" s="737">
        <v>49.7</v>
      </c>
      <c r="H2310" s="685">
        <v>198.8</v>
      </c>
      <c r="I2310" s="672" t="s">
        <v>9218</v>
      </c>
      <c r="J2310" s="672" t="s">
        <v>9219</v>
      </c>
      <c r="K2310" s="672" t="s">
        <v>2354</v>
      </c>
      <c r="L2310" s="672" t="s">
        <v>9219</v>
      </c>
    </row>
    <row r="2311" spans="1:12" x14ac:dyDescent="0.2">
      <c r="A2311" s="672" t="s">
        <v>220</v>
      </c>
      <c r="B2311" s="672" t="s">
        <v>5430</v>
      </c>
      <c r="D2311" s="672" t="s">
        <v>9428</v>
      </c>
      <c r="E2311" s="745"/>
      <c r="F2311" s="732">
        <v>6</v>
      </c>
      <c r="G2311" s="737">
        <v>49.7</v>
      </c>
      <c r="H2311" s="685">
        <v>298.20000000000005</v>
      </c>
      <c r="I2311" s="672" t="s">
        <v>9218</v>
      </c>
      <c r="J2311" s="672" t="s">
        <v>9219</v>
      </c>
      <c r="K2311" s="672" t="s">
        <v>2354</v>
      </c>
      <c r="L2311" s="672" t="s">
        <v>9219</v>
      </c>
    </row>
    <row r="2312" spans="1:12" x14ac:dyDescent="0.2">
      <c r="A2312" s="672" t="s">
        <v>220</v>
      </c>
      <c r="B2312" s="672" t="s">
        <v>5430</v>
      </c>
      <c r="C2312" s="672" t="s">
        <v>7788</v>
      </c>
      <c r="D2312" s="672" t="s">
        <v>5499</v>
      </c>
      <c r="E2312" s="745"/>
      <c r="F2312" s="732">
        <v>3</v>
      </c>
      <c r="G2312" s="737">
        <v>258.3</v>
      </c>
      <c r="H2312" s="685">
        <v>774.90000000000009</v>
      </c>
      <c r="I2312" s="672" t="s">
        <v>9218</v>
      </c>
      <c r="J2312" s="672" t="s">
        <v>9219</v>
      </c>
      <c r="K2312" s="672" t="s">
        <v>2354</v>
      </c>
      <c r="L2312" s="672" t="s">
        <v>9219</v>
      </c>
    </row>
    <row r="2313" spans="1:12" x14ac:dyDescent="0.2">
      <c r="A2313" s="672" t="s">
        <v>220</v>
      </c>
      <c r="B2313" s="672" t="s">
        <v>5430</v>
      </c>
      <c r="D2313" s="672" t="s">
        <v>9433</v>
      </c>
      <c r="E2313" s="745"/>
      <c r="F2313" s="732">
        <v>3</v>
      </c>
      <c r="G2313" s="737">
        <v>22.858000000000001</v>
      </c>
      <c r="H2313" s="685">
        <v>68.573999999999998</v>
      </c>
      <c r="I2313" s="672" t="s">
        <v>9218</v>
      </c>
      <c r="J2313" s="672" t="s">
        <v>9219</v>
      </c>
      <c r="K2313" s="672" t="s">
        <v>2354</v>
      </c>
      <c r="L2313" s="672" t="s">
        <v>9219</v>
      </c>
    </row>
    <row r="2314" spans="1:12" x14ac:dyDescent="0.2">
      <c r="A2314" s="672" t="s">
        <v>220</v>
      </c>
      <c r="B2314" s="672" t="s">
        <v>5430</v>
      </c>
      <c r="C2314" s="672" t="s">
        <v>5502</v>
      </c>
      <c r="D2314" s="672" t="s">
        <v>7789</v>
      </c>
      <c r="E2314" s="745"/>
      <c r="F2314" s="732">
        <v>4</v>
      </c>
      <c r="G2314" s="737">
        <v>177.255</v>
      </c>
      <c r="H2314" s="685">
        <v>709.02</v>
      </c>
      <c r="I2314" s="672" t="s">
        <v>9218</v>
      </c>
      <c r="J2314" s="672" t="s">
        <v>9219</v>
      </c>
      <c r="K2314" s="672" t="s">
        <v>2354</v>
      </c>
      <c r="L2314" s="672" t="s">
        <v>9219</v>
      </c>
    </row>
    <row r="2315" spans="1:12" x14ac:dyDescent="0.2">
      <c r="A2315" s="672" t="s">
        <v>220</v>
      </c>
      <c r="B2315" s="672" t="s">
        <v>5430</v>
      </c>
      <c r="C2315" s="672" t="s">
        <v>5504</v>
      </c>
      <c r="D2315" s="672" t="s">
        <v>7790</v>
      </c>
      <c r="E2315" s="745"/>
      <c r="F2315" s="732">
        <v>2</v>
      </c>
      <c r="G2315" s="737">
        <v>155</v>
      </c>
      <c r="H2315" s="685">
        <v>310</v>
      </c>
      <c r="I2315" s="672" t="s">
        <v>9218</v>
      </c>
      <c r="J2315" s="672" t="s">
        <v>9219</v>
      </c>
      <c r="K2315" s="672" t="s">
        <v>2354</v>
      </c>
      <c r="L2315" s="672" t="s">
        <v>9219</v>
      </c>
    </row>
    <row r="2316" spans="1:12" x14ac:dyDescent="0.2">
      <c r="A2316" s="672" t="s">
        <v>220</v>
      </c>
      <c r="B2316" s="672" t="s">
        <v>5430</v>
      </c>
      <c r="C2316" s="672" t="s">
        <v>5506</v>
      </c>
      <c r="D2316" s="672" t="s">
        <v>7791</v>
      </c>
      <c r="E2316" s="745"/>
      <c r="F2316" s="732">
        <v>5</v>
      </c>
      <c r="G2316" s="737">
        <v>71.948999999999998</v>
      </c>
      <c r="H2316" s="685">
        <v>359.745</v>
      </c>
      <c r="I2316" s="672" t="s">
        <v>9218</v>
      </c>
      <c r="J2316" s="672" t="s">
        <v>9219</v>
      </c>
      <c r="K2316" s="672" t="s">
        <v>2354</v>
      </c>
      <c r="L2316" s="672" t="s">
        <v>9219</v>
      </c>
    </row>
    <row r="2317" spans="1:12" x14ac:dyDescent="0.2">
      <c r="A2317" s="672" t="s">
        <v>220</v>
      </c>
      <c r="B2317" s="672" t="s">
        <v>5430</v>
      </c>
      <c r="C2317" s="672" t="s">
        <v>5508</v>
      </c>
      <c r="D2317" s="672" t="s">
        <v>7792</v>
      </c>
      <c r="E2317" s="745"/>
      <c r="F2317" s="732">
        <v>4</v>
      </c>
      <c r="G2317" s="737">
        <v>51.515999999999998</v>
      </c>
      <c r="H2317" s="685">
        <v>206.06399999999999</v>
      </c>
      <c r="I2317" s="672" t="s">
        <v>9218</v>
      </c>
      <c r="J2317" s="672" t="s">
        <v>9219</v>
      </c>
      <c r="K2317" s="672" t="s">
        <v>2354</v>
      </c>
      <c r="L2317" s="672" t="s">
        <v>9219</v>
      </c>
    </row>
    <row r="2318" spans="1:12" x14ac:dyDescent="0.2">
      <c r="A2318" s="672" t="s">
        <v>220</v>
      </c>
      <c r="B2318" s="672" t="s">
        <v>5430</v>
      </c>
      <c r="C2318" s="672" t="s">
        <v>5510</v>
      </c>
      <c r="D2318" s="672" t="s">
        <v>7793</v>
      </c>
      <c r="E2318" s="745"/>
      <c r="F2318" s="732">
        <v>1</v>
      </c>
      <c r="G2318" s="737">
        <v>109.11499999999999</v>
      </c>
      <c r="H2318" s="685">
        <v>109.11499999999999</v>
      </c>
      <c r="I2318" s="672" t="s">
        <v>9218</v>
      </c>
      <c r="J2318" s="672" t="s">
        <v>9219</v>
      </c>
      <c r="K2318" s="672" t="s">
        <v>2354</v>
      </c>
      <c r="L2318" s="672" t="s">
        <v>9219</v>
      </c>
    </row>
    <row r="2319" spans="1:12" x14ac:dyDescent="0.2">
      <c r="A2319" s="672" t="s">
        <v>220</v>
      </c>
      <c r="B2319" s="672" t="s">
        <v>5430</v>
      </c>
      <c r="C2319" s="672" t="s">
        <v>5512</v>
      </c>
      <c r="D2319" s="672" t="s">
        <v>7794</v>
      </c>
      <c r="E2319" s="745"/>
      <c r="F2319" s="732">
        <v>3</v>
      </c>
      <c r="G2319" s="737">
        <v>157.405</v>
      </c>
      <c r="H2319" s="685">
        <v>472.21500000000003</v>
      </c>
      <c r="I2319" s="672" t="s">
        <v>9218</v>
      </c>
      <c r="J2319" s="672" t="s">
        <v>9219</v>
      </c>
      <c r="K2319" s="672" t="s">
        <v>2354</v>
      </c>
      <c r="L2319" s="672" t="s">
        <v>9219</v>
      </c>
    </row>
    <row r="2320" spans="1:12" x14ac:dyDescent="0.2">
      <c r="A2320" s="672" t="s">
        <v>220</v>
      </c>
      <c r="B2320" s="672" t="s">
        <v>5430</v>
      </c>
      <c r="C2320" s="672" t="s">
        <v>5514</v>
      </c>
      <c r="D2320" s="672" t="s">
        <v>7795</v>
      </c>
      <c r="E2320" s="745"/>
      <c r="F2320" s="732">
        <v>1</v>
      </c>
      <c r="G2320" s="737">
        <v>2.181</v>
      </c>
      <c r="H2320" s="685">
        <v>2.181</v>
      </c>
      <c r="I2320" s="672" t="s">
        <v>9218</v>
      </c>
      <c r="J2320" s="672" t="s">
        <v>9219</v>
      </c>
      <c r="K2320" s="672" t="s">
        <v>2354</v>
      </c>
      <c r="L2320" s="672" t="s">
        <v>9219</v>
      </c>
    </row>
    <row r="2321" spans="1:12" x14ac:dyDescent="0.2">
      <c r="A2321" s="672" t="s">
        <v>220</v>
      </c>
      <c r="B2321" s="672" t="s">
        <v>5430</v>
      </c>
      <c r="C2321" s="672" t="s">
        <v>5516</v>
      </c>
      <c r="D2321" s="672" t="s">
        <v>7796</v>
      </c>
      <c r="E2321" s="745"/>
      <c r="F2321" s="732">
        <v>2</v>
      </c>
      <c r="G2321" s="737">
        <v>2.181</v>
      </c>
      <c r="H2321" s="685">
        <v>4.3620000000000001</v>
      </c>
      <c r="I2321" s="672" t="s">
        <v>9218</v>
      </c>
      <c r="J2321" s="672" t="s">
        <v>9219</v>
      </c>
      <c r="K2321" s="672" t="s">
        <v>2354</v>
      </c>
      <c r="L2321" s="672" t="s">
        <v>9219</v>
      </c>
    </row>
    <row r="2322" spans="1:12" x14ac:dyDescent="0.2">
      <c r="A2322" s="672" t="s">
        <v>220</v>
      </c>
      <c r="B2322" s="672" t="s">
        <v>5430</v>
      </c>
      <c r="C2322" s="672" t="s">
        <v>5518</v>
      </c>
      <c r="D2322" s="672" t="s">
        <v>7797</v>
      </c>
      <c r="E2322" s="745"/>
      <c r="F2322" s="732">
        <v>4</v>
      </c>
      <c r="G2322" s="737">
        <v>2.181</v>
      </c>
      <c r="H2322" s="685">
        <v>8.7240000000000002</v>
      </c>
      <c r="I2322" s="672" t="s">
        <v>9218</v>
      </c>
      <c r="J2322" s="672" t="s">
        <v>9219</v>
      </c>
      <c r="K2322" s="672" t="s">
        <v>2354</v>
      </c>
      <c r="L2322" s="672" t="s">
        <v>9219</v>
      </c>
    </row>
    <row r="2323" spans="1:12" x14ac:dyDescent="0.2">
      <c r="A2323" s="672" t="s">
        <v>220</v>
      </c>
      <c r="B2323" s="672" t="s">
        <v>5430</v>
      </c>
      <c r="C2323" s="672" t="s">
        <v>5520</v>
      </c>
      <c r="D2323" s="672" t="s">
        <v>7798</v>
      </c>
      <c r="E2323" s="745"/>
      <c r="F2323" s="732">
        <v>1</v>
      </c>
      <c r="G2323" s="737">
        <v>2.181</v>
      </c>
      <c r="H2323" s="685">
        <v>2.181</v>
      </c>
      <c r="I2323" s="672" t="s">
        <v>9218</v>
      </c>
      <c r="J2323" s="672" t="s">
        <v>9219</v>
      </c>
      <c r="K2323" s="672" t="s">
        <v>2354</v>
      </c>
      <c r="L2323" s="672" t="s">
        <v>9219</v>
      </c>
    </row>
    <row r="2324" spans="1:12" x14ac:dyDescent="0.2">
      <c r="A2324" s="672" t="s">
        <v>220</v>
      </c>
      <c r="B2324" s="672" t="s">
        <v>5430</v>
      </c>
      <c r="C2324" s="672" t="s">
        <v>5522</v>
      </c>
      <c r="D2324" s="672" t="s">
        <v>7799</v>
      </c>
      <c r="E2324" s="745"/>
      <c r="F2324" s="732">
        <v>2</v>
      </c>
      <c r="G2324" s="737">
        <v>149.98500000000001</v>
      </c>
      <c r="H2324" s="685">
        <v>299.97000000000003</v>
      </c>
      <c r="I2324" s="672" t="s">
        <v>9218</v>
      </c>
      <c r="J2324" s="672" t="s">
        <v>9219</v>
      </c>
      <c r="K2324" s="672" t="s">
        <v>2354</v>
      </c>
      <c r="L2324" s="672" t="s">
        <v>9219</v>
      </c>
    </row>
    <row r="2325" spans="1:12" x14ac:dyDescent="0.2">
      <c r="A2325" s="672" t="s">
        <v>220</v>
      </c>
      <c r="B2325" s="672" t="s">
        <v>5430</v>
      </c>
      <c r="C2325" s="672" t="s">
        <v>5524</v>
      </c>
      <c r="D2325" s="672" t="s">
        <v>7800</v>
      </c>
      <c r="E2325" s="745"/>
      <c r="F2325" s="732">
        <v>2</v>
      </c>
      <c r="G2325" s="737">
        <v>357.96</v>
      </c>
      <c r="H2325" s="685">
        <v>715.92</v>
      </c>
      <c r="I2325" s="672" t="s">
        <v>9218</v>
      </c>
      <c r="J2325" s="672" t="s">
        <v>9219</v>
      </c>
      <c r="K2325" s="672" t="s">
        <v>2354</v>
      </c>
      <c r="L2325" s="672" t="s">
        <v>9219</v>
      </c>
    </row>
    <row r="2326" spans="1:12" x14ac:dyDescent="0.2">
      <c r="A2326" s="672" t="s">
        <v>220</v>
      </c>
      <c r="B2326" s="672" t="s">
        <v>5430</v>
      </c>
      <c r="C2326" s="672" t="s">
        <v>7801</v>
      </c>
      <c r="D2326" s="672" t="s">
        <v>7802</v>
      </c>
      <c r="E2326" s="745"/>
      <c r="F2326" s="732">
        <v>2</v>
      </c>
      <c r="G2326" s="737">
        <v>76.664000000000001</v>
      </c>
      <c r="H2326" s="685">
        <v>153.328</v>
      </c>
      <c r="I2326" s="672" t="s">
        <v>9218</v>
      </c>
      <c r="J2326" s="672" t="s">
        <v>9219</v>
      </c>
      <c r="K2326" s="672" t="s">
        <v>2354</v>
      </c>
      <c r="L2326" s="672" t="s">
        <v>9219</v>
      </c>
    </row>
    <row r="2327" spans="1:12" x14ac:dyDescent="0.2">
      <c r="A2327" s="672" t="s">
        <v>220</v>
      </c>
      <c r="B2327" s="672" t="s">
        <v>5430</v>
      </c>
      <c r="C2327" s="672" t="s">
        <v>7803</v>
      </c>
      <c r="D2327" s="672" t="s">
        <v>7804</v>
      </c>
      <c r="E2327" s="745"/>
      <c r="F2327" s="732">
        <v>1</v>
      </c>
      <c r="G2327" s="737">
        <v>42.723999999999997</v>
      </c>
      <c r="H2327" s="685">
        <v>42.723999999999997</v>
      </c>
      <c r="I2327" s="672" t="s">
        <v>9218</v>
      </c>
      <c r="J2327" s="672" t="s">
        <v>9219</v>
      </c>
      <c r="K2327" s="672" t="s">
        <v>2354</v>
      </c>
      <c r="L2327" s="672" t="s">
        <v>9219</v>
      </c>
    </row>
    <row r="2328" spans="1:12" x14ac:dyDescent="0.2">
      <c r="A2328" s="672" t="s">
        <v>220</v>
      </c>
      <c r="B2328" s="672" t="s">
        <v>5430</v>
      </c>
      <c r="C2328" s="672" t="s">
        <v>5530</v>
      </c>
      <c r="D2328" s="672" t="s">
        <v>7805</v>
      </c>
      <c r="E2328" s="745"/>
      <c r="F2328" s="732">
        <v>1</v>
      </c>
      <c r="G2328" s="737">
        <v>66.019000000000005</v>
      </c>
      <c r="H2328" s="685">
        <v>66.019000000000005</v>
      </c>
      <c r="I2328" s="672" t="s">
        <v>9218</v>
      </c>
      <c r="J2328" s="672" t="s">
        <v>9219</v>
      </c>
      <c r="K2328" s="672" t="s">
        <v>2354</v>
      </c>
      <c r="L2328" s="672" t="s">
        <v>9219</v>
      </c>
    </row>
    <row r="2329" spans="1:12" x14ac:dyDescent="0.2">
      <c r="A2329" s="672" t="s">
        <v>220</v>
      </c>
      <c r="B2329" s="672" t="s">
        <v>5430</v>
      </c>
      <c r="C2329" s="672" t="s">
        <v>7806</v>
      </c>
      <c r="D2329" s="672" t="s">
        <v>7807</v>
      </c>
      <c r="E2329" s="745"/>
      <c r="F2329" s="732">
        <v>1</v>
      </c>
      <c r="G2329" s="737">
        <v>42.722999999999999</v>
      </c>
      <c r="H2329" s="685">
        <v>42.722999999999999</v>
      </c>
      <c r="I2329" s="672" t="s">
        <v>9218</v>
      </c>
      <c r="J2329" s="672" t="s">
        <v>9219</v>
      </c>
      <c r="K2329" s="672" t="s">
        <v>2354</v>
      </c>
      <c r="L2329" s="672" t="s">
        <v>9219</v>
      </c>
    </row>
    <row r="2330" spans="1:12" x14ac:dyDescent="0.2">
      <c r="A2330" s="672" t="s">
        <v>220</v>
      </c>
      <c r="B2330" s="672" t="s">
        <v>5430</v>
      </c>
      <c r="C2330" s="672" t="s">
        <v>5536</v>
      </c>
      <c r="D2330" s="672" t="s">
        <v>7810</v>
      </c>
      <c r="E2330" s="745"/>
      <c r="F2330" s="732">
        <v>1</v>
      </c>
      <c r="G2330" s="737">
        <v>2.181</v>
      </c>
      <c r="H2330" s="685">
        <v>2.181</v>
      </c>
      <c r="I2330" s="672" t="s">
        <v>9218</v>
      </c>
      <c r="J2330" s="672" t="s">
        <v>9219</v>
      </c>
      <c r="K2330" s="672" t="s">
        <v>2354</v>
      </c>
      <c r="L2330" s="672" t="s">
        <v>9219</v>
      </c>
    </row>
    <row r="2331" spans="1:12" x14ac:dyDescent="0.2">
      <c r="A2331" s="672" t="s">
        <v>220</v>
      </c>
      <c r="B2331" s="672" t="s">
        <v>5430</v>
      </c>
      <c r="C2331" s="672" t="s">
        <v>5538</v>
      </c>
      <c r="D2331" s="672" t="s">
        <v>7811</v>
      </c>
      <c r="E2331" s="745"/>
      <c r="F2331" s="732">
        <v>5</v>
      </c>
      <c r="G2331" s="737">
        <v>136.35</v>
      </c>
      <c r="H2331" s="685">
        <v>681.75</v>
      </c>
      <c r="I2331" s="672" t="s">
        <v>9218</v>
      </c>
      <c r="J2331" s="672" t="s">
        <v>9219</v>
      </c>
      <c r="K2331" s="672" t="s">
        <v>2354</v>
      </c>
      <c r="L2331" s="672" t="s">
        <v>9219</v>
      </c>
    </row>
    <row r="2332" spans="1:12" x14ac:dyDescent="0.2">
      <c r="A2332" s="672" t="s">
        <v>220</v>
      </c>
      <c r="B2332" s="672" t="s">
        <v>5430</v>
      </c>
      <c r="C2332" s="672" t="s">
        <v>7812</v>
      </c>
      <c r="D2332" s="672" t="s">
        <v>7813</v>
      </c>
      <c r="E2332" s="745"/>
      <c r="F2332" s="732">
        <v>1</v>
      </c>
      <c r="G2332" s="737">
        <v>1.2090000000000001</v>
      </c>
      <c r="H2332" s="685">
        <v>1.2090000000000001</v>
      </c>
      <c r="I2332" s="672" t="s">
        <v>9218</v>
      </c>
      <c r="J2332" s="672" t="s">
        <v>9219</v>
      </c>
      <c r="K2332" s="672" t="s">
        <v>2354</v>
      </c>
      <c r="L2332" s="672" t="s">
        <v>9219</v>
      </c>
    </row>
    <row r="2333" spans="1:12" x14ac:dyDescent="0.2">
      <c r="A2333" s="672" t="s">
        <v>220</v>
      </c>
      <c r="B2333" s="672" t="s">
        <v>5430</v>
      </c>
      <c r="C2333" s="672" t="s">
        <v>5542</v>
      </c>
      <c r="D2333" s="672" t="s">
        <v>7814</v>
      </c>
      <c r="E2333" s="745"/>
      <c r="F2333" s="732">
        <v>1</v>
      </c>
      <c r="G2333" s="737">
        <v>292.69799999999998</v>
      </c>
      <c r="H2333" s="685">
        <v>292.69799999999998</v>
      </c>
      <c r="I2333" s="672" t="s">
        <v>9218</v>
      </c>
      <c r="J2333" s="672" t="s">
        <v>9219</v>
      </c>
      <c r="K2333" s="672" t="s">
        <v>2354</v>
      </c>
      <c r="L2333" s="672" t="s">
        <v>9219</v>
      </c>
    </row>
    <row r="2334" spans="1:12" x14ac:dyDescent="0.2">
      <c r="A2334" s="672" t="s">
        <v>220</v>
      </c>
      <c r="B2334" s="672" t="s">
        <v>5430</v>
      </c>
      <c r="C2334" s="672" t="s">
        <v>5546</v>
      </c>
      <c r="D2334" s="672" t="s">
        <v>7815</v>
      </c>
      <c r="E2334" s="745"/>
      <c r="F2334" s="732">
        <v>2</v>
      </c>
      <c r="G2334" s="737">
        <v>724.51700000000005</v>
      </c>
      <c r="H2334" s="685">
        <v>1449.0340000000001</v>
      </c>
      <c r="I2334" s="672" t="s">
        <v>9218</v>
      </c>
      <c r="J2334" s="672" t="s">
        <v>9219</v>
      </c>
      <c r="K2334" s="672" t="s">
        <v>2354</v>
      </c>
      <c r="L2334" s="672" t="s">
        <v>9219</v>
      </c>
    </row>
    <row r="2335" spans="1:12" x14ac:dyDescent="0.2">
      <c r="A2335" s="672" t="s">
        <v>220</v>
      </c>
      <c r="B2335" s="672" t="s">
        <v>5430</v>
      </c>
      <c r="C2335" s="672" t="s">
        <v>5548</v>
      </c>
      <c r="D2335" s="672" t="s">
        <v>7816</v>
      </c>
      <c r="E2335" s="745"/>
      <c r="F2335" s="732">
        <v>1</v>
      </c>
      <c r="G2335" s="737">
        <v>54.738</v>
      </c>
      <c r="H2335" s="685">
        <v>54.738</v>
      </c>
      <c r="I2335" s="672" t="s">
        <v>9218</v>
      </c>
      <c r="J2335" s="672" t="s">
        <v>9219</v>
      </c>
      <c r="K2335" s="672" t="s">
        <v>2354</v>
      </c>
      <c r="L2335" s="672" t="s">
        <v>9219</v>
      </c>
    </row>
    <row r="2336" spans="1:12" x14ac:dyDescent="0.2">
      <c r="A2336" s="672" t="s">
        <v>220</v>
      </c>
      <c r="B2336" s="672" t="s">
        <v>5430</v>
      </c>
      <c r="C2336" s="672" t="s">
        <v>7817</v>
      </c>
      <c r="D2336" s="672" t="s">
        <v>7818</v>
      </c>
      <c r="E2336" s="745"/>
      <c r="F2336" s="732">
        <v>1</v>
      </c>
      <c r="G2336" s="737">
        <v>101.85899999999999</v>
      </c>
      <c r="H2336" s="685">
        <v>101.85899999999999</v>
      </c>
      <c r="I2336" s="672" t="s">
        <v>9218</v>
      </c>
      <c r="J2336" s="672" t="s">
        <v>9219</v>
      </c>
      <c r="K2336" s="672" t="s">
        <v>2354</v>
      </c>
      <c r="L2336" s="672" t="s">
        <v>9219</v>
      </c>
    </row>
    <row r="2337" spans="1:12" x14ac:dyDescent="0.2">
      <c r="A2337" s="672" t="s">
        <v>220</v>
      </c>
      <c r="B2337" s="672" t="s">
        <v>5430</v>
      </c>
      <c r="C2337" s="672" t="s">
        <v>5552</v>
      </c>
      <c r="D2337" s="672" t="s">
        <v>7819</v>
      </c>
      <c r="E2337" s="745"/>
      <c r="F2337" s="732">
        <v>4</v>
      </c>
      <c r="G2337" s="737">
        <v>430.26</v>
      </c>
      <c r="H2337" s="685">
        <v>1721.04</v>
      </c>
      <c r="I2337" s="672" t="s">
        <v>9218</v>
      </c>
      <c r="J2337" s="672" t="s">
        <v>9219</v>
      </c>
      <c r="K2337" s="672" t="s">
        <v>2354</v>
      </c>
      <c r="L2337" s="672" t="s">
        <v>9219</v>
      </c>
    </row>
    <row r="2338" spans="1:12" x14ac:dyDescent="0.2">
      <c r="A2338" s="672" t="s">
        <v>220</v>
      </c>
      <c r="B2338" s="672" t="s">
        <v>5430</v>
      </c>
      <c r="C2338" s="672" t="s">
        <v>5554</v>
      </c>
      <c r="D2338" s="672" t="s">
        <v>5555</v>
      </c>
      <c r="E2338" s="745"/>
      <c r="F2338" s="732">
        <v>4</v>
      </c>
      <c r="G2338" s="737">
        <v>101.85899999999999</v>
      </c>
      <c r="H2338" s="685">
        <v>407.43599999999998</v>
      </c>
      <c r="I2338" s="672" t="s">
        <v>9218</v>
      </c>
      <c r="J2338" s="672" t="s">
        <v>9219</v>
      </c>
      <c r="K2338" s="672" t="s">
        <v>2354</v>
      </c>
      <c r="L2338" s="672" t="s">
        <v>9219</v>
      </c>
    </row>
    <row r="2339" spans="1:12" x14ac:dyDescent="0.2">
      <c r="A2339" s="672" t="s">
        <v>220</v>
      </c>
      <c r="B2339" s="672" t="s">
        <v>5430</v>
      </c>
      <c r="C2339" s="672" t="s">
        <v>5556</v>
      </c>
      <c r="D2339" s="672" t="s">
        <v>7820</v>
      </c>
      <c r="E2339" s="745"/>
      <c r="F2339" s="732">
        <v>14</v>
      </c>
      <c r="G2339" s="737">
        <v>21.968</v>
      </c>
      <c r="H2339" s="685">
        <v>307.55200000000002</v>
      </c>
      <c r="I2339" s="672" t="s">
        <v>9218</v>
      </c>
      <c r="J2339" s="672" t="s">
        <v>9219</v>
      </c>
      <c r="K2339" s="672" t="s">
        <v>2354</v>
      </c>
      <c r="L2339" s="672" t="s">
        <v>9219</v>
      </c>
    </row>
    <row r="2340" spans="1:12" x14ac:dyDescent="0.2">
      <c r="A2340" s="672" t="s">
        <v>220</v>
      </c>
      <c r="B2340" s="672" t="s">
        <v>5430</v>
      </c>
      <c r="C2340" s="672" t="s">
        <v>5558</v>
      </c>
      <c r="D2340" s="672" t="s">
        <v>7821</v>
      </c>
      <c r="E2340" s="745"/>
      <c r="F2340" s="732">
        <v>15</v>
      </c>
      <c r="G2340" s="737">
        <v>27.774999999999999</v>
      </c>
      <c r="H2340" s="685">
        <v>416.625</v>
      </c>
      <c r="I2340" s="672" t="s">
        <v>9218</v>
      </c>
      <c r="J2340" s="672" t="s">
        <v>9219</v>
      </c>
      <c r="K2340" s="672" t="s">
        <v>2354</v>
      </c>
      <c r="L2340" s="672" t="s">
        <v>9219</v>
      </c>
    </row>
    <row r="2341" spans="1:12" x14ac:dyDescent="0.2">
      <c r="A2341" s="672" t="s">
        <v>220</v>
      </c>
      <c r="B2341" s="672" t="s">
        <v>5430</v>
      </c>
      <c r="C2341" s="672" t="s">
        <v>5560</v>
      </c>
      <c r="D2341" s="672" t="s">
        <v>7822</v>
      </c>
      <c r="E2341" s="745"/>
      <c r="F2341" s="732">
        <v>12</v>
      </c>
      <c r="G2341" s="737">
        <v>528.92100000000005</v>
      </c>
      <c r="H2341" s="685">
        <v>6347.0520000000006</v>
      </c>
      <c r="I2341" s="672" t="s">
        <v>9218</v>
      </c>
      <c r="J2341" s="672" t="s">
        <v>9219</v>
      </c>
      <c r="K2341" s="672" t="s">
        <v>2354</v>
      </c>
      <c r="L2341" s="672" t="s">
        <v>9219</v>
      </c>
    </row>
    <row r="2342" spans="1:12" x14ac:dyDescent="0.2">
      <c r="A2342" s="672" t="s">
        <v>220</v>
      </c>
      <c r="B2342" s="672" t="s">
        <v>5430</v>
      </c>
      <c r="C2342" s="672" t="s">
        <v>5562</v>
      </c>
      <c r="D2342" s="672" t="s">
        <v>7823</v>
      </c>
      <c r="E2342" s="745"/>
      <c r="F2342" s="732">
        <v>160</v>
      </c>
      <c r="G2342" s="737">
        <v>160</v>
      </c>
      <c r="H2342" s="685">
        <v>25600</v>
      </c>
      <c r="I2342" s="672" t="s">
        <v>9218</v>
      </c>
      <c r="J2342" s="672" t="s">
        <v>9219</v>
      </c>
      <c r="K2342" s="672" t="s">
        <v>2354</v>
      </c>
      <c r="L2342" s="672" t="s">
        <v>9219</v>
      </c>
    </row>
    <row r="2343" spans="1:12" x14ac:dyDescent="0.2">
      <c r="A2343" s="672" t="s">
        <v>220</v>
      </c>
      <c r="B2343" s="672" t="s">
        <v>5430</v>
      </c>
      <c r="C2343" s="672" t="s">
        <v>5564</v>
      </c>
      <c r="D2343" s="672" t="s">
        <v>7824</v>
      </c>
      <c r="E2343" s="745"/>
      <c r="F2343" s="732">
        <v>25</v>
      </c>
      <c r="G2343" s="737">
        <v>50.5</v>
      </c>
      <c r="H2343" s="685">
        <v>1262.5</v>
      </c>
      <c r="I2343" s="672" t="s">
        <v>9218</v>
      </c>
      <c r="J2343" s="672" t="s">
        <v>9219</v>
      </c>
      <c r="K2343" s="672" t="s">
        <v>2354</v>
      </c>
      <c r="L2343" s="672" t="s">
        <v>9219</v>
      </c>
    </row>
    <row r="2344" spans="1:12" x14ac:dyDescent="0.2">
      <c r="A2344" s="672" t="s">
        <v>220</v>
      </c>
      <c r="B2344" s="672" t="s">
        <v>5430</v>
      </c>
      <c r="C2344" s="672" t="s">
        <v>7826</v>
      </c>
      <c r="D2344" s="672" t="s">
        <v>7827</v>
      </c>
      <c r="E2344" s="745"/>
      <c r="F2344" s="732">
        <v>1</v>
      </c>
      <c r="G2344" s="737">
        <v>7.5510000000000002</v>
      </c>
      <c r="H2344" s="685">
        <v>7.5510000000000002</v>
      </c>
      <c r="I2344" s="672" t="s">
        <v>9218</v>
      </c>
      <c r="J2344" s="672" t="s">
        <v>9219</v>
      </c>
      <c r="K2344" s="672" t="s">
        <v>2354</v>
      </c>
      <c r="L2344" s="672" t="s">
        <v>9219</v>
      </c>
    </row>
    <row r="2345" spans="1:12" x14ac:dyDescent="0.2">
      <c r="A2345" s="672" t="s">
        <v>220</v>
      </c>
      <c r="B2345" s="672" t="s">
        <v>5430</v>
      </c>
      <c r="C2345" s="672" t="s">
        <v>5576</v>
      </c>
      <c r="D2345" s="672" t="s">
        <v>7828</v>
      </c>
      <c r="E2345" s="745"/>
      <c r="F2345" s="732">
        <v>1</v>
      </c>
      <c r="G2345" s="737">
        <v>919.82</v>
      </c>
      <c r="H2345" s="685">
        <v>919.82</v>
      </c>
      <c r="I2345" s="672" t="s">
        <v>9218</v>
      </c>
      <c r="J2345" s="672" t="s">
        <v>9219</v>
      </c>
      <c r="K2345" s="672" t="s">
        <v>2354</v>
      </c>
      <c r="L2345" s="672" t="s">
        <v>9219</v>
      </c>
    </row>
    <row r="2346" spans="1:12" x14ac:dyDescent="0.2">
      <c r="A2346" s="672" t="s">
        <v>220</v>
      </c>
      <c r="B2346" s="672" t="s">
        <v>5430</v>
      </c>
      <c r="C2346" s="672" t="s">
        <v>5578</v>
      </c>
      <c r="D2346" s="672" t="s">
        <v>7829</v>
      </c>
      <c r="E2346" s="745"/>
      <c r="F2346" s="732">
        <v>1</v>
      </c>
      <c r="G2346" s="737">
        <v>478.08199999999999</v>
      </c>
      <c r="H2346" s="685">
        <v>478.08199999999999</v>
      </c>
      <c r="I2346" s="672" t="s">
        <v>9218</v>
      </c>
      <c r="J2346" s="672" t="s">
        <v>9219</v>
      </c>
      <c r="K2346" s="672" t="s">
        <v>2354</v>
      </c>
      <c r="L2346" s="672" t="s">
        <v>9219</v>
      </c>
    </row>
    <row r="2347" spans="1:12" x14ac:dyDescent="0.2">
      <c r="A2347" s="672" t="s">
        <v>220</v>
      </c>
      <c r="B2347" s="672" t="s">
        <v>5430</v>
      </c>
      <c r="C2347" s="672" t="s">
        <v>5580</v>
      </c>
      <c r="D2347" s="672" t="s">
        <v>7830</v>
      </c>
      <c r="E2347" s="745"/>
      <c r="F2347" s="732">
        <v>1</v>
      </c>
      <c r="G2347" s="737">
        <v>365.74700000000001</v>
      </c>
      <c r="H2347" s="685">
        <v>365.74700000000001</v>
      </c>
      <c r="I2347" s="672" t="s">
        <v>9218</v>
      </c>
      <c r="J2347" s="672" t="s">
        <v>9219</v>
      </c>
      <c r="K2347" s="672" t="s">
        <v>2354</v>
      </c>
      <c r="L2347" s="672" t="s">
        <v>9219</v>
      </c>
    </row>
    <row r="2348" spans="1:12" x14ac:dyDescent="0.2">
      <c r="A2348" s="672" t="s">
        <v>220</v>
      </c>
      <c r="B2348" s="672" t="s">
        <v>5430</v>
      </c>
      <c r="C2348" s="672" t="s">
        <v>5582</v>
      </c>
      <c r="D2348" s="672" t="s">
        <v>7831</v>
      </c>
      <c r="E2348" s="745"/>
      <c r="F2348" s="732">
        <v>1</v>
      </c>
      <c r="G2348" s="737">
        <v>651.53899999999999</v>
      </c>
      <c r="H2348" s="685">
        <v>651.53899999999999</v>
      </c>
      <c r="I2348" s="672" t="s">
        <v>9218</v>
      </c>
      <c r="J2348" s="672" t="s">
        <v>9219</v>
      </c>
      <c r="K2348" s="672" t="s">
        <v>2354</v>
      </c>
      <c r="L2348" s="672" t="s">
        <v>9219</v>
      </c>
    </row>
    <row r="2349" spans="1:12" x14ac:dyDescent="0.2">
      <c r="A2349" s="672" t="s">
        <v>220</v>
      </c>
      <c r="B2349" s="672" t="s">
        <v>5430</v>
      </c>
      <c r="C2349" s="672" t="s">
        <v>5584</v>
      </c>
      <c r="D2349" s="672" t="s">
        <v>7832</v>
      </c>
      <c r="E2349" s="745"/>
      <c r="F2349" s="732">
        <v>1</v>
      </c>
      <c r="G2349" s="737">
        <v>63.436</v>
      </c>
      <c r="H2349" s="685">
        <v>63.436</v>
      </c>
      <c r="I2349" s="672" t="s">
        <v>9218</v>
      </c>
      <c r="J2349" s="672" t="s">
        <v>9219</v>
      </c>
      <c r="K2349" s="672" t="s">
        <v>2354</v>
      </c>
      <c r="L2349" s="672" t="s">
        <v>9219</v>
      </c>
    </row>
    <row r="2350" spans="1:12" x14ac:dyDescent="0.2">
      <c r="A2350" s="672" t="s">
        <v>220</v>
      </c>
      <c r="B2350" s="672" t="s">
        <v>5430</v>
      </c>
      <c r="C2350" s="672" t="s">
        <v>5586</v>
      </c>
      <c r="D2350" s="672" t="s">
        <v>7833</v>
      </c>
      <c r="E2350" s="745"/>
      <c r="F2350" s="732">
        <v>1</v>
      </c>
      <c r="G2350" s="737">
        <v>1.7909999999999999</v>
      </c>
      <c r="H2350" s="685">
        <v>1.7909999999999999</v>
      </c>
      <c r="I2350" s="672" t="s">
        <v>9218</v>
      </c>
      <c r="J2350" s="672" t="s">
        <v>9219</v>
      </c>
      <c r="K2350" s="672" t="s">
        <v>2354</v>
      </c>
      <c r="L2350" s="672" t="s">
        <v>9219</v>
      </c>
    </row>
    <row r="2351" spans="1:12" x14ac:dyDescent="0.2">
      <c r="A2351" s="672" t="s">
        <v>220</v>
      </c>
      <c r="B2351" s="672" t="s">
        <v>5430</v>
      </c>
      <c r="C2351" s="672" t="s">
        <v>5588</v>
      </c>
      <c r="D2351" s="672" t="s">
        <v>7834</v>
      </c>
      <c r="E2351" s="745"/>
      <c r="F2351" s="732">
        <v>4</v>
      </c>
      <c r="G2351" s="737">
        <v>69.551000000000002</v>
      </c>
      <c r="H2351" s="685">
        <v>278.20400000000001</v>
      </c>
      <c r="I2351" s="672" t="s">
        <v>9218</v>
      </c>
      <c r="J2351" s="672" t="s">
        <v>9219</v>
      </c>
      <c r="K2351" s="672" t="s">
        <v>2354</v>
      </c>
      <c r="L2351" s="672" t="s">
        <v>9219</v>
      </c>
    </row>
    <row r="2352" spans="1:12" x14ac:dyDescent="0.2">
      <c r="A2352" s="672" t="s">
        <v>220</v>
      </c>
      <c r="B2352" s="672" t="s">
        <v>5430</v>
      </c>
      <c r="C2352" s="672" t="s">
        <v>5590</v>
      </c>
      <c r="D2352" s="672" t="s">
        <v>7835</v>
      </c>
      <c r="E2352" s="745"/>
      <c r="F2352" s="732">
        <v>1</v>
      </c>
      <c r="G2352" s="737">
        <v>0</v>
      </c>
      <c r="H2352" s="685">
        <v>0</v>
      </c>
      <c r="I2352" s="672" t="s">
        <v>9218</v>
      </c>
      <c r="J2352" s="672" t="s">
        <v>9219</v>
      </c>
      <c r="K2352" s="672" t="s">
        <v>2354</v>
      </c>
      <c r="L2352" s="672" t="s">
        <v>9219</v>
      </c>
    </row>
    <row r="2353" spans="1:12" x14ac:dyDescent="0.2">
      <c r="A2353" s="672" t="s">
        <v>220</v>
      </c>
      <c r="B2353" s="672" t="s">
        <v>5430</v>
      </c>
      <c r="C2353" s="672" t="s">
        <v>5592</v>
      </c>
      <c r="D2353" s="672" t="s">
        <v>7836</v>
      </c>
      <c r="E2353" s="745"/>
      <c r="F2353" s="732">
        <v>2</v>
      </c>
      <c r="G2353" s="737">
        <v>0</v>
      </c>
      <c r="H2353" s="685">
        <v>0</v>
      </c>
      <c r="I2353" s="672" t="s">
        <v>9218</v>
      </c>
      <c r="J2353" s="672" t="s">
        <v>9219</v>
      </c>
      <c r="K2353" s="672" t="s">
        <v>2354</v>
      </c>
      <c r="L2353" s="672" t="s">
        <v>9219</v>
      </c>
    </row>
    <row r="2354" spans="1:12" x14ac:dyDescent="0.2">
      <c r="A2354" s="672" t="s">
        <v>220</v>
      </c>
      <c r="B2354" s="672" t="s">
        <v>5430</v>
      </c>
      <c r="C2354" s="672" t="s">
        <v>5594</v>
      </c>
      <c r="D2354" s="672" t="s">
        <v>7837</v>
      </c>
      <c r="E2354" s="745"/>
      <c r="F2354" s="732">
        <v>1</v>
      </c>
      <c r="G2354" s="737">
        <v>0</v>
      </c>
      <c r="H2354" s="685">
        <v>0</v>
      </c>
      <c r="I2354" s="672" t="s">
        <v>9218</v>
      </c>
      <c r="J2354" s="672" t="s">
        <v>9219</v>
      </c>
      <c r="K2354" s="672" t="s">
        <v>2354</v>
      </c>
      <c r="L2354" s="672" t="s">
        <v>9219</v>
      </c>
    </row>
    <row r="2355" spans="1:12" x14ac:dyDescent="0.2">
      <c r="A2355" s="672" t="s">
        <v>220</v>
      </c>
      <c r="B2355" s="672" t="s">
        <v>5430</v>
      </c>
      <c r="C2355" s="672" t="s">
        <v>5596</v>
      </c>
      <c r="D2355" s="672" t="s">
        <v>7838</v>
      </c>
      <c r="E2355" s="745"/>
      <c r="F2355" s="732">
        <v>2</v>
      </c>
      <c r="G2355" s="737">
        <v>0</v>
      </c>
      <c r="H2355" s="685">
        <v>0</v>
      </c>
      <c r="I2355" s="672" t="s">
        <v>9218</v>
      </c>
      <c r="J2355" s="672" t="s">
        <v>9219</v>
      </c>
      <c r="K2355" s="672" t="s">
        <v>2354</v>
      </c>
      <c r="L2355" s="672" t="s">
        <v>9219</v>
      </c>
    </row>
    <row r="2356" spans="1:12" x14ac:dyDescent="0.2">
      <c r="A2356" s="672" t="s">
        <v>220</v>
      </c>
      <c r="B2356" s="672" t="s">
        <v>5430</v>
      </c>
      <c r="C2356" s="672" t="s">
        <v>5598</v>
      </c>
      <c r="D2356" s="672" t="s">
        <v>7839</v>
      </c>
      <c r="E2356" s="745"/>
      <c r="F2356" s="732">
        <v>1</v>
      </c>
      <c r="G2356" s="737">
        <v>0</v>
      </c>
      <c r="H2356" s="685">
        <v>0</v>
      </c>
      <c r="I2356" s="672" t="s">
        <v>9218</v>
      </c>
      <c r="J2356" s="672" t="s">
        <v>9219</v>
      </c>
      <c r="K2356" s="672" t="s">
        <v>2354</v>
      </c>
      <c r="L2356" s="672" t="s">
        <v>9219</v>
      </c>
    </row>
    <row r="2357" spans="1:12" x14ac:dyDescent="0.2">
      <c r="A2357" s="672" t="s">
        <v>220</v>
      </c>
      <c r="B2357" s="672" t="s">
        <v>5430</v>
      </c>
      <c r="C2357" s="672" t="s">
        <v>5601</v>
      </c>
      <c r="D2357" s="672" t="s">
        <v>7840</v>
      </c>
      <c r="E2357" s="745"/>
      <c r="F2357" s="732">
        <v>2</v>
      </c>
      <c r="G2357" s="737">
        <v>0</v>
      </c>
      <c r="H2357" s="685">
        <v>0</v>
      </c>
      <c r="I2357" s="672" t="s">
        <v>9218</v>
      </c>
      <c r="J2357" s="672" t="s">
        <v>9219</v>
      </c>
      <c r="K2357" s="672" t="s">
        <v>2354</v>
      </c>
      <c r="L2357" s="672" t="s">
        <v>9219</v>
      </c>
    </row>
    <row r="2358" spans="1:12" x14ac:dyDescent="0.2">
      <c r="A2358" s="672" t="s">
        <v>220</v>
      </c>
      <c r="B2358" s="672" t="s">
        <v>5430</v>
      </c>
      <c r="C2358" s="672" t="s">
        <v>5603</v>
      </c>
      <c r="D2358" s="672" t="s">
        <v>7841</v>
      </c>
      <c r="E2358" s="745"/>
      <c r="F2358" s="732">
        <v>3</v>
      </c>
      <c r="G2358" s="737">
        <v>0</v>
      </c>
      <c r="H2358" s="685">
        <v>0</v>
      </c>
      <c r="I2358" s="672" t="s">
        <v>9218</v>
      </c>
      <c r="J2358" s="672" t="s">
        <v>9219</v>
      </c>
      <c r="K2358" s="672" t="s">
        <v>2354</v>
      </c>
      <c r="L2358" s="672" t="s">
        <v>9219</v>
      </c>
    </row>
    <row r="2359" spans="1:12" x14ac:dyDescent="0.2">
      <c r="A2359" s="672" t="s">
        <v>220</v>
      </c>
      <c r="B2359" s="672" t="s">
        <v>5430</v>
      </c>
      <c r="C2359" s="672" t="s">
        <v>5605</v>
      </c>
      <c r="D2359" s="672" t="s">
        <v>7842</v>
      </c>
      <c r="E2359" s="745"/>
      <c r="F2359" s="732">
        <v>2</v>
      </c>
      <c r="G2359" s="737">
        <v>0</v>
      </c>
      <c r="H2359" s="685">
        <v>0</v>
      </c>
      <c r="I2359" s="672" t="s">
        <v>9218</v>
      </c>
      <c r="J2359" s="672" t="s">
        <v>9219</v>
      </c>
      <c r="K2359" s="672" t="s">
        <v>2354</v>
      </c>
      <c r="L2359" s="672" t="s">
        <v>9219</v>
      </c>
    </row>
    <row r="2360" spans="1:12" x14ac:dyDescent="0.2">
      <c r="A2360" s="672" t="s">
        <v>220</v>
      </c>
      <c r="B2360" s="672" t="s">
        <v>5430</v>
      </c>
      <c r="C2360" s="672" t="s">
        <v>5607</v>
      </c>
      <c r="D2360" s="672" t="s">
        <v>7843</v>
      </c>
      <c r="E2360" s="745"/>
      <c r="F2360" s="732">
        <v>1</v>
      </c>
      <c r="G2360" s="737">
        <v>0</v>
      </c>
      <c r="H2360" s="685">
        <v>0</v>
      </c>
      <c r="I2360" s="672" t="s">
        <v>9218</v>
      </c>
      <c r="J2360" s="672" t="s">
        <v>9219</v>
      </c>
      <c r="K2360" s="672" t="s">
        <v>2354</v>
      </c>
      <c r="L2360" s="672" t="s">
        <v>9219</v>
      </c>
    </row>
    <row r="2361" spans="1:12" x14ac:dyDescent="0.2">
      <c r="A2361" s="672" t="s">
        <v>220</v>
      </c>
      <c r="B2361" s="672" t="s">
        <v>5430</v>
      </c>
      <c r="C2361" s="672" t="s">
        <v>5609</v>
      </c>
      <c r="D2361" s="672" t="s">
        <v>7844</v>
      </c>
      <c r="E2361" s="745"/>
      <c r="F2361" s="732">
        <v>1</v>
      </c>
      <c r="G2361" s="737">
        <v>0</v>
      </c>
      <c r="H2361" s="685">
        <v>0</v>
      </c>
      <c r="I2361" s="672" t="s">
        <v>9218</v>
      </c>
      <c r="J2361" s="672" t="s">
        <v>9219</v>
      </c>
      <c r="K2361" s="672" t="s">
        <v>2354</v>
      </c>
      <c r="L2361" s="672" t="s">
        <v>9219</v>
      </c>
    </row>
    <row r="2362" spans="1:12" x14ac:dyDescent="0.2">
      <c r="A2362" s="672" t="s">
        <v>220</v>
      </c>
      <c r="B2362" s="672" t="s">
        <v>5430</v>
      </c>
      <c r="C2362" s="672" t="s">
        <v>5611</v>
      </c>
      <c r="D2362" s="672" t="s">
        <v>7845</v>
      </c>
      <c r="E2362" s="745"/>
      <c r="F2362" s="732">
        <v>1</v>
      </c>
      <c r="G2362" s="737">
        <v>0</v>
      </c>
      <c r="H2362" s="685">
        <v>0</v>
      </c>
      <c r="I2362" s="672" t="s">
        <v>9218</v>
      </c>
      <c r="J2362" s="672" t="s">
        <v>9219</v>
      </c>
      <c r="K2362" s="672" t="s">
        <v>2354</v>
      </c>
      <c r="L2362" s="672" t="s">
        <v>9219</v>
      </c>
    </row>
    <row r="2363" spans="1:12" x14ac:dyDescent="0.2">
      <c r="A2363" s="672" t="s">
        <v>220</v>
      </c>
      <c r="B2363" s="672" t="s">
        <v>5430</v>
      </c>
      <c r="C2363" s="672" t="s">
        <v>5613</v>
      </c>
      <c r="D2363" s="672" t="s">
        <v>7846</v>
      </c>
      <c r="E2363" s="745"/>
      <c r="F2363" s="732">
        <v>1</v>
      </c>
      <c r="G2363" s="737">
        <v>2821.5</v>
      </c>
      <c r="H2363" s="685">
        <v>2821.5</v>
      </c>
      <c r="I2363" s="672" t="s">
        <v>9218</v>
      </c>
      <c r="J2363" s="672" t="s">
        <v>9219</v>
      </c>
      <c r="K2363" s="672" t="s">
        <v>2354</v>
      </c>
      <c r="L2363" s="672" t="s">
        <v>9219</v>
      </c>
    </row>
    <row r="2364" spans="1:12" x14ac:dyDescent="0.2">
      <c r="A2364" s="672" t="s">
        <v>220</v>
      </c>
      <c r="B2364" s="672" t="s">
        <v>5430</v>
      </c>
      <c r="C2364" s="672" t="s">
        <v>5615</v>
      </c>
      <c r="D2364" s="672" t="s">
        <v>7847</v>
      </c>
      <c r="E2364" s="745"/>
      <c r="F2364" s="732">
        <v>2</v>
      </c>
      <c r="G2364" s="737">
        <v>0</v>
      </c>
      <c r="H2364" s="685">
        <v>0</v>
      </c>
      <c r="I2364" s="672" t="s">
        <v>9218</v>
      </c>
      <c r="J2364" s="672" t="s">
        <v>9219</v>
      </c>
      <c r="K2364" s="672" t="s">
        <v>2354</v>
      </c>
      <c r="L2364" s="672" t="s">
        <v>9219</v>
      </c>
    </row>
    <row r="2365" spans="1:12" x14ac:dyDescent="0.2">
      <c r="A2365" s="672" t="s">
        <v>220</v>
      </c>
      <c r="B2365" s="672" t="s">
        <v>5430</v>
      </c>
      <c r="C2365" s="672" t="s">
        <v>5617</v>
      </c>
      <c r="D2365" s="672" t="s">
        <v>7848</v>
      </c>
      <c r="E2365" s="745"/>
      <c r="F2365" s="732">
        <v>1</v>
      </c>
      <c r="G2365" s="737">
        <v>0</v>
      </c>
      <c r="H2365" s="685">
        <v>0</v>
      </c>
      <c r="I2365" s="672" t="s">
        <v>9218</v>
      </c>
      <c r="J2365" s="672" t="s">
        <v>9219</v>
      </c>
      <c r="K2365" s="672" t="s">
        <v>2354</v>
      </c>
      <c r="L2365" s="672" t="s">
        <v>9219</v>
      </c>
    </row>
    <row r="2366" spans="1:12" x14ac:dyDescent="0.2">
      <c r="A2366" s="672" t="s">
        <v>220</v>
      </c>
      <c r="B2366" s="672" t="s">
        <v>5430</v>
      </c>
      <c r="C2366" s="672" t="s">
        <v>5619</v>
      </c>
      <c r="D2366" s="672" t="s">
        <v>7849</v>
      </c>
      <c r="E2366" s="745"/>
      <c r="F2366" s="732">
        <v>1</v>
      </c>
      <c r="G2366" s="737">
        <v>0</v>
      </c>
      <c r="H2366" s="685">
        <v>0</v>
      </c>
      <c r="I2366" s="672" t="s">
        <v>9218</v>
      </c>
      <c r="J2366" s="672" t="s">
        <v>9219</v>
      </c>
      <c r="K2366" s="672" t="s">
        <v>2354</v>
      </c>
      <c r="L2366" s="672" t="s">
        <v>9219</v>
      </c>
    </row>
    <row r="2367" spans="1:12" x14ac:dyDescent="0.2">
      <c r="A2367" s="672" t="s">
        <v>220</v>
      </c>
      <c r="B2367" s="672" t="s">
        <v>5430</v>
      </c>
      <c r="C2367" s="672" t="s">
        <v>7850</v>
      </c>
      <c r="D2367" s="672" t="s">
        <v>7851</v>
      </c>
      <c r="E2367" s="745"/>
      <c r="F2367" s="732">
        <v>1</v>
      </c>
      <c r="G2367" s="737">
        <v>0</v>
      </c>
      <c r="H2367" s="685">
        <v>0</v>
      </c>
      <c r="I2367" s="672" t="s">
        <v>9218</v>
      </c>
      <c r="J2367" s="672" t="s">
        <v>9219</v>
      </c>
      <c r="K2367" s="672" t="s">
        <v>2354</v>
      </c>
      <c r="L2367" s="672" t="s">
        <v>9219</v>
      </c>
    </row>
    <row r="2368" spans="1:12" x14ac:dyDescent="0.2">
      <c r="A2368" s="672" t="s">
        <v>220</v>
      </c>
      <c r="B2368" s="672" t="s">
        <v>5430</v>
      </c>
      <c r="C2368" s="672" t="s">
        <v>7852</v>
      </c>
      <c r="D2368" s="672" t="s">
        <v>7853</v>
      </c>
      <c r="E2368" s="745"/>
      <c r="F2368" s="732">
        <v>1</v>
      </c>
      <c r="G2368" s="737">
        <v>0</v>
      </c>
      <c r="H2368" s="685">
        <v>0</v>
      </c>
      <c r="I2368" s="672" t="s">
        <v>9218</v>
      </c>
      <c r="J2368" s="672" t="s">
        <v>9219</v>
      </c>
      <c r="K2368" s="672" t="s">
        <v>2354</v>
      </c>
      <c r="L2368" s="672" t="s">
        <v>9219</v>
      </c>
    </row>
    <row r="2369" spans="1:12" x14ac:dyDescent="0.2">
      <c r="A2369" s="672" t="s">
        <v>220</v>
      </c>
      <c r="B2369" s="672" t="s">
        <v>5430</v>
      </c>
      <c r="C2369" s="672" t="s">
        <v>7854</v>
      </c>
      <c r="D2369" s="672" t="s">
        <v>7855</v>
      </c>
      <c r="E2369" s="745"/>
      <c r="F2369" s="732">
        <v>1</v>
      </c>
      <c r="G2369" s="737">
        <v>0</v>
      </c>
      <c r="H2369" s="685">
        <v>0</v>
      </c>
      <c r="I2369" s="672" t="s">
        <v>9218</v>
      </c>
      <c r="J2369" s="672" t="s">
        <v>9219</v>
      </c>
      <c r="K2369" s="672" t="s">
        <v>2354</v>
      </c>
      <c r="L2369" s="672" t="s">
        <v>9219</v>
      </c>
    </row>
    <row r="2370" spans="1:12" x14ac:dyDescent="0.2">
      <c r="A2370" s="672" t="s">
        <v>220</v>
      </c>
      <c r="B2370" s="672" t="s">
        <v>5430</v>
      </c>
      <c r="C2370" s="672" t="s">
        <v>5627</v>
      </c>
      <c r="D2370" s="672" t="s">
        <v>7856</v>
      </c>
      <c r="E2370" s="745"/>
      <c r="F2370" s="732">
        <v>2</v>
      </c>
      <c r="G2370" s="737">
        <v>0</v>
      </c>
      <c r="H2370" s="685">
        <v>0</v>
      </c>
      <c r="I2370" s="672" t="s">
        <v>9218</v>
      </c>
      <c r="J2370" s="672" t="s">
        <v>9219</v>
      </c>
      <c r="K2370" s="672" t="s">
        <v>2354</v>
      </c>
      <c r="L2370" s="672" t="s">
        <v>9219</v>
      </c>
    </row>
    <row r="2371" spans="1:12" x14ac:dyDescent="0.2">
      <c r="A2371" s="672" t="s">
        <v>220</v>
      </c>
      <c r="B2371" s="672" t="s">
        <v>5430</v>
      </c>
      <c r="C2371" s="672" t="s">
        <v>5629</v>
      </c>
      <c r="D2371" s="672" t="s">
        <v>7857</v>
      </c>
      <c r="E2371" s="745"/>
      <c r="F2371" s="732">
        <v>1</v>
      </c>
      <c r="G2371" s="737">
        <v>1834.2945475713532</v>
      </c>
      <c r="H2371" s="685">
        <v>1834.2945475713532</v>
      </c>
      <c r="I2371" s="672" t="s">
        <v>9218</v>
      </c>
      <c r="J2371" s="672" t="s">
        <v>9219</v>
      </c>
      <c r="K2371" s="672" t="s">
        <v>2354</v>
      </c>
      <c r="L2371" s="672" t="s">
        <v>9219</v>
      </c>
    </row>
    <row r="2372" spans="1:12" x14ac:dyDescent="0.2">
      <c r="A2372" s="672" t="s">
        <v>220</v>
      </c>
      <c r="B2372" s="672" t="s">
        <v>5430</v>
      </c>
      <c r="C2372" s="672" t="s">
        <v>5631</v>
      </c>
      <c r="D2372" s="672" t="s">
        <v>5632</v>
      </c>
      <c r="E2372" s="745"/>
      <c r="F2372" s="732">
        <v>5</v>
      </c>
      <c r="G2372" s="737">
        <v>600</v>
      </c>
      <c r="H2372" s="685">
        <v>3000</v>
      </c>
      <c r="I2372" s="672" t="s">
        <v>9218</v>
      </c>
      <c r="J2372" s="672" t="s">
        <v>9219</v>
      </c>
      <c r="K2372" s="672" t="s">
        <v>2354</v>
      </c>
      <c r="L2372" s="672" t="s">
        <v>9219</v>
      </c>
    </row>
    <row r="2373" spans="1:12" x14ac:dyDescent="0.2">
      <c r="A2373" s="672" t="s">
        <v>220</v>
      </c>
      <c r="B2373" s="672" t="s">
        <v>5430</v>
      </c>
      <c r="C2373" s="672" t="s">
        <v>5639</v>
      </c>
      <c r="D2373" s="672" t="s">
        <v>7861</v>
      </c>
      <c r="E2373" s="745"/>
      <c r="F2373" s="732">
        <v>2</v>
      </c>
      <c r="G2373" s="737">
        <v>1.0289999999999999</v>
      </c>
      <c r="H2373" s="685">
        <v>2.0579999999999998</v>
      </c>
      <c r="I2373" s="672" t="s">
        <v>9218</v>
      </c>
      <c r="J2373" s="672" t="s">
        <v>9219</v>
      </c>
      <c r="K2373" s="672" t="s">
        <v>2354</v>
      </c>
      <c r="L2373" s="672" t="s">
        <v>9219</v>
      </c>
    </row>
    <row r="2374" spans="1:12" x14ac:dyDescent="0.2">
      <c r="A2374" s="672" t="s">
        <v>220</v>
      </c>
      <c r="B2374" s="672" t="s">
        <v>5430</v>
      </c>
      <c r="C2374" s="672" t="s">
        <v>7862</v>
      </c>
      <c r="D2374" s="672" t="s">
        <v>7863</v>
      </c>
      <c r="E2374" s="745"/>
      <c r="F2374" s="732">
        <v>2</v>
      </c>
      <c r="G2374" s="737">
        <v>1.028</v>
      </c>
      <c r="H2374" s="685">
        <v>2.056</v>
      </c>
      <c r="I2374" s="672" t="s">
        <v>9218</v>
      </c>
      <c r="J2374" s="672" t="s">
        <v>9219</v>
      </c>
      <c r="K2374" s="672" t="s">
        <v>2354</v>
      </c>
      <c r="L2374" s="672" t="s">
        <v>9219</v>
      </c>
    </row>
    <row r="2375" spans="1:12" x14ac:dyDescent="0.2">
      <c r="A2375" s="672" t="s">
        <v>220</v>
      </c>
      <c r="B2375" s="672" t="s">
        <v>5430</v>
      </c>
      <c r="C2375" s="672" t="s">
        <v>5643</v>
      </c>
      <c r="D2375" s="672" t="s">
        <v>7864</v>
      </c>
      <c r="E2375" s="745"/>
      <c r="F2375" s="732">
        <v>22</v>
      </c>
      <c r="G2375" s="737">
        <v>29.393000000000001</v>
      </c>
      <c r="H2375" s="685">
        <v>646.64599999999996</v>
      </c>
      <c r="I2375" s="672" t="s">
        <v>9218</v>
      </c>
      <c r="J2375" s="672" t="s">
        <v>9219</v>
      </c>
      <c r="K2375" s="672" t="s">
        <v>2354</v>
      </c>
      <c r="L2375" s="672" t="s">
        <v>9219</v>
      </c>
    </row>
    <row r="2376" spans="1:12" x14ac:dyDescent="0.2">
      <c r="A2376" s="672" t="s">
        <v>220</v>
      </c>
      <c r="B2376" s="672" t="s">
        <v>5430</v>
      </c>
      <c r="C2376" s="672" t="s">
        <v>5645</v>
      </c>
      <c r="D2376" s="672" t="s">
        <v>7865</v>
      </c>
      <c r="E2376" s="745"/>
      <c r="F2376" s="732">
        <v>12</v>
      </c>
      <c r="G2376" s="737">
        <v>41.15</v>
      </c>
      <c r="H2376" s="685">
        <v>493.79999999999995</v>
      </c>
      <c r="I2376" s="672" t="s">
        <v>9218</v>
      </c>
      <c r="J2376" s="672" t="s">
        <v>9219</v>
      </c>
      <c r="K2376" s="672" t="s">
        <v>2354</v>
      </c>
      <c r="L2376" s="672" t="s">
        <v>9219</v>
      </c>
    </row>
    <row r="2377" spans="1:12" x14ac:dyDescent="0.2">
      <c r="A2377" s="672" t="s">
        <v>220</v>
      </c>
      <c r="B2377" s="672" t="s">
        <v>5430</v>
      </c>
      <c r="C2377" s="672" t="s">
        <v>5647</v>
      </c>
      <c r="D2377" s="672" t="s">
        <v>7866</v>
      </c>
      <c r="E2377" s="745"/>
      <c r="F2377" s="732">
        <v>8</v>
      </c>
      <c r="G2377" s="737">
        <v>49.968000000000004</v>
      </c>
      <c r="H2377" s="685">
        <v>399.74400000000003</v>
      </c>
      <c r="I2377" s="672" t="s">
        <v>9218</v>
      </c>
      <c r="J2377" s="672" t="s">
        <v>9219</v>
      </c>
      <c r="K2377" s="672" t="s">
        <v>2354</v>
      </c>
      <c r="L2377" s="672" t="s">
        <v>9219</v>
      </c>
    </row>
    <row r="2378" spans="1:12" x14ac:dyDescent="0.2">
      <c r="A2378" s="672" t="s">
        <v>220</v>
      </c>
      <c r="B2378" s="672" t="s">
        <v>5430</v>
      </c>
      <c r="C2378" s="672" t="s">
        <v>5649</v>
      </c>
      <c r="D2378" s="672" t="s">
        <v>7867</v>
      </c>
      <c r="E2378" s="745"/>
      <c r="F2378" s="732">
        <v>24</v>
      </c>
      <c r="G2378" s="737">
        <v>29.393000000000001</v>
      </c>
      <c r="H2378" s="685">
        <v>705.43200000000002</v>
      </c>
      <c r="I2378" s="672" t="s">
        <v>9218</v>
      </c>
      <c r="J2378" s="672" t="s">
        <v>9219</v>
      </c>
      <c r="K2378" s="672" t="s">
        <v>2354</v>
      </c>
      <c r="L2378" s="672" t="s">
        <v>9219</v>
      </c>
    </row>
    <row r="2379" spans="1:12" x14ac:dyDescent="0.2">
      <c r="A2379" s="672" t="s">
        <v>220</v>
      </c>
      <c r="B2379" s="672" t="s">
        <v>5430</v>
      </c>
      <c r="C2379" s="672" t="s">
        <v>5651</v>
      </c>
      <c r="D2379" s="672" t="s">
        <v>7868</v>
      </c>
      <c r="E2379" s="745"/>
      <c r="F2379" s="732">
        <v>4</v>
      </c>
      <c r="G2379" s="737">
        <v>38.210999999999999</v>
      </c>
      <c r="H2379" s="685">
        <v>152.84399999999999</v>
      </c>
      <c r="I2379" s="672" t="s">
        <v>9218</v>
      </c>
      <c r="J2379" s="672" t="s">
        <v>9219</v>
      </c>
      <c r="K2379" s="672" t="s">
        <v>2354</v>
      </c>
      <c r="L2379" s="672" t="s">
        <v>9219</v>
      </c>
    </row>
    <row r="2380" spans="1:12" x14ac:dyDescent="0.2">
      <c r="A2380" s="672" t="s">
        <v>220</v>
      </c>
      <c r="B2380" s="672" t="s">
        <v>5430</v>
      </c>
      <c r="C2380" s="672" t="s">
        <v>5653</v>
      </c>
      <c r="D2380" s="672" t="s">
        <v>7869</v>
      </c>
      <c r="E2380" s="745"/>
      <c r="F2380" s="732">
        <v>16</v>
      </c>
      <c r="G2380" s="737">
        <v>44.09</v>
      </c>
      <c r="H2380" s="685">
        <v>705.44</v>
      </c>
      <c r="I2380" s="672" t="s">
        <v>9218</v>
      </c>
      <c r="J2380" s="672" t="s">
        <v>9219</v>
      </c>
      <c r="K2380" s="672" t="s">
        <v>2354</v>
      </c>
      <c r="L2380" s="672" t="s">
        <v>9219</v>
      </c>
    </row>
    <row r="2381" spans="1:12" x14ac:dyDescent="0.2">
      <c r="A2381" s="672" t="s">
        <v>220</v>
      </c>
      <c r="B2381" s="672" t="s">
        <v>5430</v>
      </c>
      <c r="C2381" s="672" t="s">
        <v>5655</v>
      </c>
      <c r="D2381" s="672" t="s">
        <v>7870</v>
      </c>
      <c r="E2381" s="745"/>
      <c r="F2381" s="732">
        <v>1</v>
      </c>
      <c r="G2381" s="737">
        <v>291.62489194494992</v>
      </c>
      <c r="H2381" s="685">
        <v>291.62489194494992</v>
      </c>
      <c r="I2381" s="672" t="s">
        <v>9218</v>
      </c>
      <c r="J2381" s="672" t="s">
        <v>9219</v>
      </c>
      <c r="K2381" s="672" t="s">
        <v>2354</v>
      </c>
      <c r="L2381" s="672" t="s">
        <v>9219</v>
      </c>
    </row>
    <row r="2382" spans="1:12" x14ac:dyDescent="0.2">
      <c r="A2382" s="672" t="s">
        <v>220</v>
      </c>
      <c r="B2382" s="672" t="s">
        <v>5430</v>
      </c>
      <c r="C2382" s="672" t="s">
        <v>7871</v>
      </c>
      <c r="D2382" s="672" t="s">
        <v>7872</v>
      </c>
      <c r="E2382" s="745"/>
      <c r="F2382" s="732">
        <v>1</v>
      </c>
      <c r="G2382" s="737">
        <v>294.72000000000003</v>
      </c>
      <c r="H2382" s="685">
        <v>294.72000000000003</v>
      </c>
      <c r="I2382" s="672" t="s">
        <v>9218</v>
      </c>
      <c r="J2382" s="672" t="s">
        <v>9219</v>
      </c>
      <c r="K2382" s="672" t="s">
        <v>2354</v>
      </c>
      <c r="L2382" s="672" t="s">
        <v>9219</v>
      </c>
    </row>
    <row r="2383" spans="1:12" x14ac:dyDescent="0.2">
      <c r="A2383" s="672" t="s">
        <v>220</v>
      </c>
      <c r="B2383" s="672" t="s">
        <v>5430</v>
      </c>
      <c r="C2383" s="672" t="s">
        <v>2638</v>
      </c>
      <c r="D2383" s="672" t="s">
        <v>7873</v>
      </c>
      <c r="E2383" s="745"/>
      <c r="F2383" s="732">
        <v>1</v>
      </c>
      <c r="G2383" s="737">
        <v>40</v>
      </c>
      <c r="H2383" s="685">
        <v>40</v>
      </c>
      <c r="I2383" s="672" t="s">
        <v>9218</v>
      </c>
      <c r="J2383" s="672" t="s">
        <v>9219</v>
      </c>
      <c r="K2383" s="672" t="s">
        <v>2354</v>
      </c>
      <c r="L2383" s="672" t="s">
        <v>9219</v>
      </c>
    </row>
    <row r="2384" spans="1:12" x14ac:dyDescent="0.2">
      <c r="A2384" s="672" t="s">
        <v>220</v>
      </c>
      <c r="B2384" s="672" t="s">
        <v>5430</v>
      </c>
      <c r="C2384" s="672" t="s">
        <v>5658</v>
      </c>
      <c r="D2384" s="672" t="s">
        <v>7874</v>
      </c>
      <c r="E2384" s="745"/>
      <c r="F2384" s="732">
        <v>2</v>
      </c>
      <c r="G2384" s="737">
        <v>59.043999999999997</v>
      </c>
      <c r="H2384" s="685">
        <v>118.08799999999999</v>
      </c>
      <c r="I2384" s="672" t="s">
        <v>9218</v>
      </c>
      <c r="J2384" s="672" t="s">
        <v>9219</v>
      </c>
      <c r="K2384" s="672" t="s">
        <v>2354</v>
      </c>
      <c r="L2384" s="672" t="s">
        <v>9219</v>
      </c>
    </row>
    <row r="2385" spans="1:12" x14ac:dyDescent="0.2">
      <c r="A2385" s="672" t="s">
        <v>220</v>
      </c>
      <c r="B2385" s="672" t="s">
        <v>5430</v>
      </c>
      <c r="C2385" s="672" t="s">
        <v>5662</v>
      </c>
      <c r="D2385" s="672" t="s">
        <v>7875</v>
      </c>
      <c r="E2385" s="745"/>
      <c r="F2385" s="732">
        <v>1</v>
      </c>
      <c r="G2385" s="737">
        <v>230.4</v>
      </c>
      <c r="H2385" s="685">
        <v>230.4</v>
      </c>
      <c r="I2385" s="672" t="s">
        <v>9218</v>
      </c>
      <c r="J2385" s="672" t="s">
        <v>9219</v>
      </c>
      <c r="K2385" s="672" t="s">
        <v>2354</v>
      </c>
      <c r="L2385" s="672" t="s">
        <v>9219</v>
      </c>
    </row>
    <row r="2386" spans="1:12" x14ac:dyDescent="0.2">
      <c r="A2386" s="672" t="s">
        <v>220</v>
      </c>
      <c r="B2386" s="672" t="s">
        <v>5430</v>
      </c>
      <c r="C2386" s="672" t="s">
        <v>5666</v>
      </c>
      <c r="D2386" s="672" t="s">
        <v>7877</v>
      </c>
      <c r="E2386" s="745"/>
      <c r="F2386" s="732">
        <v>1</v>
      </c>
      <c r="G2386" s="737">
        <v>7.0679999999999996</v>
      </c>
      <c r="H2386" s="685">
        <v>7.0679999999999996</v>
      </c>
      <c r="I2386" s="672" t="s">
        <v>9218</v>
      </c>
      <c r="J2386" s="672" t="s">
        <v>9219</v>
      </c>
      <c r="K2386" s="672" t="s">
        <v>2354</v>
      </c>
      <c r="L2386" s="672" t="s">
        <v>9219</v>
      </c>
    </row>
    <row r="2387" spans="1:12" x14ac:dyDescent="0.2">
      <c r="A2387" s="672" t="s">
        <v>220</v>
      </c>
      <c r="B2387" s="672" t="s">
        <v>5430</v>
      </c>
      <c r="C2387" s="672" t="s">
        <v>7878</v>
      </c>
      <c r="D2387" s="672" t="s">
        <v>7879</v>
      </c>
      <c r="E2387" s="745"/>
      <c r="F2387" s="732">
        <v>1</v>
      </c>
      <c r="G2387" s="737">
        <v>1.089</v>
      </c>
      <c r="H2387" s="685">
        <v>1.089</v>
      </c>
      <c r="I2387" s="672" t="s">
        <v>9218</v>
      </c>
      <c r="J2387" s="672" t="s">
        <v>9219</v>
      </c>
      <c r="K2387" s="672" t="s">
        <v>2354</v>
      </c>
      <c r="L2387" s="672" t="s">
        <v>9219</v>
      </c>
    </row>
    <row r="2388" spans="1:12" x14ac:dyDescent="0.2">
      <c r="A2388" s="672" t="s">
        <v>220</v>
      </c>
      <c r="B2388" s="672" t="s">
        <v>5430</v>
      </c>
      <c r="C2388" s="672" t="s">
        <v>5670</v>
      </c>
      <c r="D2388" s="672" t="s">
        <v>7880</v>
      </c>
      <c r="E2388" s="745"/>
      <c r="F2388" s="732">
        <v>1</v>
      </c>
      <c r="G2388" s="737">
        <v>179.482</v>
      </c>
      <c r="H2388" s="685">
        <v>179.482</v>
      </c>
      <c r="I2388" s="672" t="s">
        <v>9218</v>
      </c>
      <c r="J2388" s="672" t="s">
        <v>9219</v>
      </c>
      <c r="K2388" s="672" t="s">
        <v>2354</v>
      </c>
      <c r="L2388" s="672" t="s">
        <v>9219</v>
      </c>
    </row>
    <row r="2389" spans="1:12" x14ac:dyDescent="0.2">
      <c r="A2389" s="672" t="s">
        <v>220</v>
      </c>
      <c r="B2389" s="672" t="s">
        <v>5430</v>
      </c>
      <c r="C2389" s="672" t="s">
        <v>9708</v>
      </c>
      <c r="D2389" s="672" t="s">
        <v>9685</v>
      </c>
      <c r="E2389" s="745"/>
      <c r="F2389" s="732">
        <v>1</v>
      </c>
      <c r="G2389" s="737">
        <v>604.39700000000005</v>
      </c>
      <c r="H2389" s="685">
        <v>604.39700000000005</v>
      </c>
      <c r="I2389" s="672" t="s">
        <v>9218</v>
      </c>
      <c r="J2389" s="672" t="s">
        <v>9219</v>
      </c>
      <c r="K2389" s="672" t="s">
        <v>2354</v>
      </c>
      <c r="L2389" s="672" t="s">
        <v>9219</v>
      </c>
    </row>
    <row r="2390" spans="1:12" x14ac:dyDescent="0.2">
      <c r="A2390" s="672" t="s">
        <v>220</v>
      </c>
      <c r="B2390" s="672" t="s">
        <v>5430</v>
      </c>
      <c r="C2390" s="672" t="s">
        <v>5674</v>
      </c>
      <c r="D2390" s="672" t="s">
        <v>7881</v>
      </c>
      <c r="E2390" s="745"/>
      <c r="F2390" s="732">
        <v>2</v>
      </c>
      <c r="G2390" s="737">
        <v>327.63200000000001</v>
      </c>
      <c r="H2390" s="685">
        <v>655.26400000000001</v>
      </c>
      <c r="I2390" s="672" t="s">
        <v>9218</v>
      </c>
      <c r="J2390" s="672" t="s">
        <v>9219</v>
      </c>
      <c r="K2390" s="672" t="s">
        <v>2354</v>
      </c>
      <c r="L2390" s="672" t="s">
        <v>9219</v>
      </c>
    </row>
    <row r="2391" spans="1:12" x14ac:dyDescent="0.2">
      <c r="A2391" s="672" t="s">
        <v>220</v>
      </c>
      <c r="B2391" s="672" t="s">
        <v>5430</v>
      </c>
      <c r="C2391" s="672" t="s">
        <v>5676</v>
      </c>
      <c r="D2391" s="672" t="s">
        <v>7882</v>
      </c>
      <c r="E2391" s="745"/>
      <c r="F2391" s="732">
        <v>7</v>
      </c>
      <c r="G2391" s="737">
        <v>88.278000000000006</v>
      </c>
      <c r="H2391" s="685">
        <v>617.94600000000003</v>
      </c>
      <c r="I2391" s="672" t="s">
        <v>9218</v>
      </c>
      <c r="J2391" s="672" t="s">
        <v>9219</v>
      </c>
      <c r="K2391" s="672" t="s">
        <v>2354</v>
      </c>
      <c r="L2391" s="672" t="s">
        <v>9219</v>
      </c>
    </row>
    <row r="2392" spans="1:12" x14ac:dyDescent="0.2">
      <c r="A2392" s="672" t="s">
        <v>220</v>
      </c>
      <c r="B2392" s="672" t="s">
        <v>5430</v>
      </c>
      <c r="C2392" s="672" t="s">
        <v>2740</v>
      </c>
      <c r="D2392" s="672" t="s">
        <v>7883</v>
      </c>
      <c r="E2392" s="745"/>
      <c r="F2392" s="732">
        <v>1</v>
      </c>
      <c r="G2392" s="737">
        <v>10.101692307692307</v>
      </c>
      <c r="H2392" s="685">
        <v>10.101692307692307</v>
      </c>
      <c r="I2392" s="672" t="s">
        <v>9218</v>
      </c>
      <c r="J2392" s="672" t="s">
        <v>9219</v>
      </c>
      <c r="K2392" s="672" t="s">
        <v>2354</v>
      </c>
      <c r="L2392" s="672" t="s">
        <v>9219</v>
      </c>
    </row>
    <row r="2393" spans="1:12" x14ac:dyDescent="0.2">
      <c r="A2393" s="672" t="s">
        <v>220</v>
      </c>
      <c r="B2393" s="672" t="s">
        <v>5430</v>
      </c>
      <c r="C2393" s="672" t="s">
        <v>5687</v>
      </c>
      <c r="D2393" s="672" t="s">
        <v>7884</v>
      </c>
      <c r="E2393" s="745"/>
      <c r="F2393" s="732">
        <v>5</v>
      </c>
      <c r="G2393" s="737">
        <v>27.943999999999999</v>
      </c>
      <c r="H2393" s="685">
        <v>139.72</v>
      </c>
      <c r="I2393" s="672" t="s">
        <v>9218</v>
      </c>
      <c r="J2393" s="672" t="s">
        <v>9219</v>
      </c>
      <c r="K2393" s="672" t="s">
        <v>2354</v>
      </c>
      <c r="L2393" s="672" t="s">
        <v>9219</v>
      </c>
    </row>
    <row r="2394" spans="1:12" x14ac:dyDescent="0.2">
      <c r="A2394" s="672" t="s">
        <v>220</v>
      </c>
      <c r="B2394" s="672" t="s">
        <v>5430</v>
      </c>
      <c r="C2394" s="672" t="s">
        <v>5689</v>
      </c>
      <c r="D2394" s="672" t="s">
        <v>7885</v>
      </c>
      <c r="E2394" s="745"/>
      <c r="F2394" s="732">
        <v>5</v>
      </c>
      <c r="G2394" s="737">
        <v>18.518000000000001</v>
      </c>
      <c r="H2394" s="685">
        <v>92.59</v>
      </c>
      <c r="I2394" s="672" t="s">
        <v>9218</v>
      </c>
      <c r="J2394" s="672" t="s">
        <v>9219</v>
      </c>
      <c r="K2394" s="672" t="s">
        <v>2354</v>
      </c>
      <c r="L2394" s="672" t="s">
        <v>9219</v>
      </c>
    </row>
    <row r="2395" spans="1:12" x14ac:dyDescent="0.2">
      <c r="A2395" s="672" t="s">
        <v>220</v>
      </c>
      <c r="B2395" s="672" t="s">
        <v>5430</v>
      </c>
      <c r="C2395" s="672" t="s">
        <v>5691</v>
      </c>
      <c r="D2395" s="672" t="s">
        <v>7886</v>
      </c>
      <c r="E2395" s="745"/>
      <c r="F2395" s="732">
        <v>3</v>
      </c>
      <c r="G2395" s="737">
        <v>46.35</v>
      </c>
      <c r="H2395" s="685">
        <v>139.05000000000001</v>
      </c>
      <c r="I2395" s="672" t="s">
        <v>9218</v>
      </c>
      <c r="J2395" s="672" t="s">
        <v>9219</v>
      </c>
      <c r="K2395" s="672" t="s">
        <v>2354</v>
      </c>
      <c r="L2395" s="672" t="s">
        <v>9219</v>
      </c>
    </row>
    <row r="2396" spans="1:12" x14ac:dyDescent="0.2">
      <c r="A2396" s="672" t="s">
        <v>220</v>
      </c>
      <c r="B2396" s="672" t="s">
        <v>5430</v>
      </c>
      <c r="C2396" s="672" t="s">
        <v>5695</v>
      </c>
      <c r="D2396" s="672" t="s">
        <v>7888</v>
      </c>
      <c r="E2396" s="745"/>
      <c r="F2396" s="732">
        <v>1</v>
      </c>
      <c r="G2396" s="737">
        <v>275.67</v>
      </c>
      <c r="H2396" s="685">
        <v>275.67</v>
      </c>
      <c r="I2396" s="672" t="s">
        <v>9218</v>
      </c>
      <c r="J2396" s="672" t="s">
        <v>9219</v>
      </c>
      <c r="K2396" s="672" t="s">
        <v>2354</v>
      </c>
      <c r="L2396" s="672" t="s">
        <v>9219</v>
      </c>
    </row>
    <row r="2397" spans="1:12" x14ac:dyDescent="0.2">
      <c r="A2397" s="672" t="s">
        <v>220</v>
      </c>
      <c r="B2397" s="672" t="s">
        <v>5430</v>
      </c>
      <c r="C2397" s="672" t="s">
        <v>5697</v>
      </c>
      <c r="D2397" s="672" t="s">
        <v>7889</v>
      </c>
      <c r="E2397" s="745"/>
      <c r="F2397" s="732">
        <v>1</v>
      </c>
      <c r="G2397" s="737">
        <v>93.42</v>
      </c>
      <c r="H2397" s="685">
        <v>93.42</v>
      </c>
      <c r="I2397" s="672" t="s">
        <v>9218</v>
      </c>
      <c r="J2397" s="672" t="s">
        <v>9219</v>
      </c>
      <c r="K2397" s="672" t="s">
        <v>2354</v>
      </c>
      <c r="L2397" s="672" t="s">
        <v>9219</v>
      </c>
    </row>
    <row r="2398" spans="1:12" x14ac:dyDescent="0.2">
      <c r="A2398" s="672" t="s">
        <v>220</v>
      </c>
      <c r="B2398" s="672" t="s">
        <v>5430</v>
      </c>
      <c r="C2398" s="672" t="s">
        <v>5699</v>
      </c>
      <c r="D2398" s="672" t="s">
        <v>7890</v>
      </c>
      <c r="E2398" s="745"/>
      <c r="F2398" s="732">
        <v>5</v>
      </c>
      <c r="G2398" s="737">
        <v>74.069999999999993</v>
      </c>
      <c r="H2398" s="685">
        <v>370.34999999999997</v>
      </c>
      <c r="I2398" s="672" t="s">
        <v>9218</v>
      </c>
      <c r="J2398" s="672" t="s">
        <v>9219</v>
      </c>
      <c r="K2398" s="672" t="s">
        <v>2354</v>
      </c>
      <c r="L2398" s="672" t="s">
        <v>9219</v>
      </c>
    </row>
    <row r="2399" spans="1:12" x14ac:dyDescent="0.2">
      <c r="A2399" s="672" t="s">
        <v>220</v>
      </c>
      <c r="B2399" s="672" t="s">
        <v>5430</v>
      </c>
      <c r="C2399" s="672" t="s">
        <v>5701</v>
      </c>
      <c r="D2399" s="672" t="s">
        <v>7891</v>
      </c>
      <c r="E2399" s="745"/>
      <c r="F2399" s="732">
        <v>5</v>
      </c>
      <c r="G2399" s="737">
        <v>6.7949999999999999</v>
      </c>
      <c r="H2399" s="685">
        <v>33.975000000000001</v>
      </c>
      <c r="I2399" s="672" t="s">
        <v>9218</v>
      </c>
      <c r="J2399" s="672" t="s">
        <v>9219</v>
      </c>
      <c r="K2399" s="672" t="s">
        <v>2354</v>
      </c>
      <c r="L2399" s="672" t="s">
        <v>9219</v>
      </c>
    </row>
    <row r="2400" spans="1:12" x14ac:dyDescent="0.2">
      <c r="A2400" s="672" t="s">
        <v>220</v>
      </c>
      <c r="B2400" s="672" t="s">
        <v>5430</v>
      </c>
      <c r="C2400" s="672" t="s">
        <v>5703</v>
      </c>
      <c r="D2400" s="672" t="s">
        <v>7892</v>
      </c>
      <c r="E2400" s="745"/>
      <c r="F2400" s="732">
        <v>2</v>
      </c>
      <c r="G2400" s="737">
        <v>85.801000000000002</v>
      </c>
      <c r="H2400" s="685">
        <v>171.602</v>
      </c>
      <c r="I2400" s="672" t="s">
        <v>9218</v>
      </c>
      <c r="J2400" s="672" t="s">
        <v>9219</v>
      </c>
      <c r="K2400" s="672" t="s">
        <v>2354</v>
      </c>
      <c r="L2400" s="672" t="s">
        <v>9219</v>
      </c>
    </row>
    <row r="2401" spans="1:12" x14ac:dyDescent="0.2">
      <c r="A2401" s="672" t="s">
        <v>220</v>
      </c>
      <c r="B2401" s="672" t="s">
        <v>5430</v>
      </c>
      <c r="C2401" s="672" t="s">
        <v>5705</v>
      </c>
      <c r="D2401" s="672" t="s">
        <v>7893</v>
      </c>
      <c r="E2401" s="745"/>
      <c r="F2401" s="732">
        <v>2</v>
      </c>
      <c r="G2401" s="737">
        <v>85.801000000000002</v>
      </c>
      <c r="H2401" s="685">
        <v>171.602</v>
      </c>
      <c r="I2401" s="672" t="s">
        <v>9218</v>
      </c>
      <c r="J2401" s="672" t="s">
        <v>9219</v>
      </c>
      <c r="K2401" s="672" t="s">
        <v>2354</v>
      </c>
      <c r="L2401" s="672" t="s">
        <v>9219</v>
      </c>
    </row>
    <row r="2402" spans="1:12" x14ac:dyDescent="0.2">
      <c r="A2402" s="672" t="s">
        <v>220</v>
      </c>
      <c r="B2402" s="672" t="s">
        <v>5430</v>
      </c>
      <c r="C2402" s="672" t="s">
        <v>5707</v>
      </c>
      <c r="D2402" s="672" t="s">
        <v>7894</v>
      </c>
      <c r="E2402" s="745"/>
      <c r="F2402" s="732">
        <v>3</v>
      </c>
      <c r="G2402" s="737">
        <v>85.801000000000002</v>
      </c>
      <c r="H2402" s="685">
        <v>257.40300000000002</v>
      </c>
      <c r="I2402" s="672" t="s">
        <v>9218</v>
      </c>
      <c r="J2402" s="672" t="s">
        <v>9219</v>
      </c>
      <c r="K2402" s="672" t="s">
        <v>2354</v>
      </c>
      <c r="L2402" s="672" t="s">
        <v>9219</v>
      </c>
    </row>
    <row r="2403" spans="1:12" x14ac:dyDescent="0.2">
      <c r="A2403" s="672" t="s">
        <v>220</v>
      </c>
      <c r="B2403" s="672" t="s">
        <v>5430</v>
      </c>
      <c r="C2403" s="672" t="s">
        <v>5709</v>
      </c>
      <c r="D2403" s="672" t="s">
        <v>7895</v>
      </c>
      <c r="E2403" s="745"/>
      <c r="F2403" s="732">
        <v>2</v>
      </c>
      <c r="G2403" s="737">
        <v>85.801000000000002</v>
      </c>
      <c r="H2403" s="685">
        <v>171.602</v>
      </c>
      <c r="I2403" s="672" t="s">
        <v>9218</v>
      </c>
      <c r="J2403" s="672" t="s">
        <v>9219</v>
      </c>
      <c r="K2403" s="672" t="s">
        <v>2354</v>
      </c>
      <c r="L2403" s="672" t="s">
        <v>9219</v>
      </c>
    </row>
    <row r="2404" spans="1:12" x14ac:dyDescent="0.2">
      <c r="A2404" s="672" t="s">
        <v>220</v>
      </c>
      <c r="B2404" s="672" t="s">
        <v>5430</v>
      </c>
      <c r="C2404" s="672" t="s">
        <v>5711</v>
      </c>
      <c r="D2404" s="672" t="s">
        <v>7896</v>
      </c>
      <c r="E2404" s="745"/>
      <c r="F2404" s="732">
        <v>9</v>
      </c>
      <c r="G2404" s="737">
        <v>28</v>
      </c>
      <c r="H2404" s="685">
        <v>252</v>
      </c>
      <c r="I2404" s="672" t="s">
        <v>9218</v>
      </c>
      <c r="J2404" s="672" t="s">
        <v>9219</v>
      </c>
      <c r="K2404" s="672" t="s">
        <v>2354</v>
      </c>
      <c r="L2404" s="672" t="s">
        <v>9219</v>
      </c>
    </row>
    <row r="2405" spans="1:12" x14ac:dyDescent="0.2">
      <c r="A2405" s="672" t="s">
        <v>220</v>
      </c>
      <c r="B2405" s="672" t="s">
        <v>5430</v>
      </c>
      <c r="C2405" s="672" t="s">
        <v>5713</v>
      </c>
      <c r="D2405" s="672" t="s">
        <v>7897</v>
      </c>
      <c r="E2405" s="745"/>
      <c r="F2405" s="732">
        <v>1</v>
      </c>
      <c r="G2405" s="737">
        <v>38.706000000000003</v>
      </c>
      <c r="H2405" s="685">
        <v>38.706000000000003</v>
      </c>
      <c r="I2405" s="672" t="s">
        <v>9218</v>
      </c>
      <c r="J2405" s="672" t="s">
        <v>9219</v>
      </c>
      <c r="K2405" s="672" t="s">
        <v>2354</v>
      </c>
      <c r="L2405" s="672" t="s">
        <v>9219</v>
      </c>
    </row>
    <row r="2406" spans="1:12" x14ac:dyDescent="0.2">
      <c r="A2406" s="672" t="s">
        <v>220</v>
      </c>
      <c r="B2406" s="672" t="s">
        <v>5430</v>
      </c>
      <c r="C2406" s="672" t="s">
        <v>5715</v>
      </c>
      <c r="D2406" s="672" t="s">
        <v>7898</v>
      </c>
      <c r="E2406" s="745"/>
      <c r="F2406" s="732">
        <v>1</v>
      </c>
      <c r="G2406" s="737">
        <v>37.08</v>
      </c>
      <c r="H2406" s="685">
        <v>37.08</v>
      </c>
      <c r="I2406" s="672" t="s">
        <v>9218</v>
      </c>
      <c r="J2406" s="672" t="s">
        <v>9219</v>
      </c>
      <c r="K2406" s="672" t="s">
        <v>2354</v>
      </c>
      <c r="L2406" s="672" t="s">
        <v>9219</v>
      </c>
    </row>
    <row r="2407" spans="1:12" x14ac:dyDescent="0.2">
      <c r="A2407" s="672" t="s">
        <v>220</v>
      </c>
      <c r="B2407" s="672" t="s">
        <v>5430</v>
      </c>
      <c r="C2407" s="672" t="s">
        <v>5717</v>
      </c>
      <c r="D2407" s="672" t="s">
        <v>5718</v>
      </c>
      <c r="E2407" s="745"/>
      <c r="F2407" s="732">
        <v>2</v>
      </c>
      <c r="G2407" s="737">
        <v>85.801000000000002</v>
      </c>
      <c r="H2407" s="685">
        <v>171.602</v>
      </c>
      <c r="I2407" s="672" t="s">
        <v>9218</v>
      </c>
      <c r="J2407" s="672" t="s">
        <v>9219</v>
      </c>
      <c r="K2407" s="672" t="s">
        <v>2354</v>
      </c>
      <c r="L2407" s="672" t="s">
        <v>9219</v>
      </c>
    </row>
    <row r="2408" spans="1:12" x14ac:dyDescent="0.2">
      <c r="A2408" s="672" t="s">
        <v>220</v>
      </c>
      <c r="B2408" s="672" t="s">
        <v>5430</v>
      </c>
      <c r="C2408" s="672" t="s">
        <v>5719</v>
      </c>
      <c r="D2408" s="672" t="s">
        <v>7899</v>
      </c>
      <c r="E2408" s="745"/>
      <c r="F2408" s="732">
        <v>1</v>
      </c>
      <c r="G2408" s="737">
        <v>85.801000000000002</v>
      </c>
      <c r="H2408" s="685">
        <v>85.801000000000002</v>
      </c>
      <c r="I2408" s="672" t="s">
        <v>9218</v>
      </c>
      <c r="J2408" s="672" t="s">
        <v>9219</v>
      </c>
      <c r="K2408" s="672" t="s">
        <v>2354</v>
      </c>
      <c r="L2408" s="672" t="s">
        <v>9219</v>
      </c>
    </row>
    <row r="2409" spans="1:12" x14ac:dyDescent="0.2">
      <c r="A2409" s="672" t="s">
        <v>220</v>
      </c>
      <c r="B2409" s="672" t="s">
        <v>5430</v>
      </c>
      <c r="C2409" s="672" t="s">
        <v>5721</v>
      </c>
      <c r="D2409" s="672" t="s">
        <v>7900</v>
      </c>
      <c r="E2409" s="745"/>
      <c r="F2409" s="732">
        <v>6</v>
      </c>
      <c r="G2409" s="737">
        <v>85.801000000000002</v>
      </c>
      <c r="H2409" s="685">
        <v>514.80600000000004</v>
      </c>
      <c r="I2409" s="672" t="s">
        <v>9218</v>
      </c>
      <c r="J2409" s="672" t="s">
        <v>9219</v>
      </c>
      <c r="K2409" s="672" t="s">
        <v>2354</v>
      </c>
      <c r="L2409" s="672" t="s">
        <v>9219</v>
      </c>
    </row>
    <row r="2410" spans="1:12" x14ac:dyDescent="0.2">
      <c r="A2410" s="672" t="s">
        <v>220</v>
      </c>
      <c r="B2410" s="672" t="s">
        <v>5430</v>
      </c>
      <c r="C2410" s="672" t="s">
        <v>5723</v>
      </c>
      <c r="D2410" s="672" t="s">
        <v>7901</v>
      </c>
      <c r="E2410" s="745"/>
      <c r="F2410" s="732">
        <v>1</v>
      </c>
      <c r="G2410" s="737">
        <v>85.801000000000002</v>
      </c>
      <c r="H2410" s="685">
        <v>85.801000000000002</v>
      </c>
      <c r="I2410" s="672" t="s">
        <v>9218</v>
      </c>
      <c r="J2410" s="672" t="s">
        <v>9219</v>
      </c>
      <c r="K2410" s="672" t="s">
        <v>2354</v>
      </c>
      <c r="L2410" s="672" t="s">
        <v>9219</v>
      </c>
    </row>
    <row r="2411" spans="1:12" x14ac:dyDescent="0.2">
      <c r="A2411" s="672" t="s">
        <v>220</v>
      </c>
      <c r="B2411" s="672" t="s">
        <v>5430</v>
      </c>
      <c r="C2411" s="672" t="s">
        <v>5725</v>
      </c>
      <c r="D2411" s="672" t="s">
        <v>7902</v>
      </c>
      <c r="E2411" s="745"/>
      <c r="F2411" s="732">
        <v>5</v>
      </c>
      <c r="G2411" s="737">
        <v>65.216999999999999</v>
      </c>
      <c r="H2411" s="685">
        <v>326.08499999999998</v>
      </c>
      <c r="I2411" s="672" t="s">
        <v>9218</v>
      </c>
      <c r="J2411" s="672" t="s">
        <v>9219</v>
      </c>
      <c r="K2411" s="672" t="s">
        <v>2354</v>
      </c>
      <c r="L2411" s="672" t="s">
        <v>9219</v>
      </c>
    </row>
    <row r="2412" spans="1:12" x14ac:dyDescent="0.2">
      <c r="A2412" s="672" t="s">
        <v>220</v>
      </c>
      <c r="B2412" s="672" t="s">
        <v>5430</v>
      </c>
      <c r="C2412" s="672" t="s">
        <v>5727</v>
      </c>
      <c r="D2412" s="672" t="s">
        <v>7903</v>
      </c>
      <c r="E2412" s="745"/>
      <c r="F2412" s="732">
        <v>4</v>
      </c>
      <c r="G2412" s="737">
        <v>85.801000000000002</v>
      </c>
      <c r="H2412" s="685">
        <v>343.20400000000001</v>
      </c>
      <c r="I2412" s="672" t="s">
        <v>9218</v>
      </c>
      <c r="J2412" s="672" t="s">
        <v>9219</v>
      </c>
      <c r="K2412" s="672" t="s">
        <v>2354</v>
      </c>
      <c r="L2412" s="672" t="s">
        <v>9219</v>
      </c>
    </row>
    <row r="2413" spans="1:12" x14ac:dyDescent="0.2">
      <c r="A2413" s="672" t="s">
        <v>220</v>
      </c>
      <c r="B2413" s="672" t="s">
        <v>5430</v>
      </c>
      <c r="C2413" s="672" t="s">
        <v>5729</v>
      </c>
      <c r="D2413" s="672" t="s">
        <v>7904</v>
      </c>
      <c r="E2413" s="745"/>
      <c r="F2413" s="732">
        <v>3</v>
      </c>
      <c r="G2413" s="737">
        <v>41.414999999999999</v>
      </c>
      <c r="H2413" s="685">
        <v>124.245</v>
      </c>
      <c r="I2413" s="672" t="s">
        <v>9218</v>
      </c>
      <c r="J2413" s="672" t="s">
        <v>9219</v>
      </c>
      <c r="K2413" s="672" t="s">
        <v>2354</v>
      </c>
      <c r="L2413" s="672" t="s">
        <v>9219</v>
      </c>
    </row>
    <row r="2414" spans="1:12" x14ac:dyDescent="0.2">
      <c r="A2414" s="672" t="s">
        <v>220</v>
      </c>
      <c r="B2414" s="672" t="s">
        <v>5430</v>
      </c>
      <c r="C2414" s="672" t="s">
        <v>5731</v>
      </c>
      <c r="D2414" s="672" t="s">
        <v>7905</v>
      </c>
      <c r="E2414" s="745"/>
      <c r="F2414" s="732">
        <v>1</v>
      </c>
      <c r="G2414" s="737">
        <v>21.791</v>
      </c>
      <c r="H2414" s="685">
        <v>21.791</v>
      </c>
      <c r="I2414" s="672" t="s">
        <v>9218</v>
      </c>
      <c r="J2414" s="672" t="s">
        <v>9219</v>
      </c>
      <c r="K2414" s="672" t="s">
        <v>2354</v>
      </c>
      <c r="L2414" s="672" t="s">
        <v>9219</v>
      </c>
    </row>
    <row r="2415" spans="1:12" x14ac:dyDescent="0.2">
      <c r="A2415" s="672" t="s">
        <v>220</v>
      </c>
      <c r="B2415" s="672" t="s">
        <v>5430</v>
      </c>
      <c r="C2415" s="672" t="s">
        <v>5733</v>
      </c>
      <c r="D2415" s="672" t="s">
        <v>7906</v>
      </c>
      <c r="E2415" s="745"/>
      <c r="F2415" s="732">
        <v>1</v>
      </c>
      <c r="G2415" s="737">
        <v>12.499000000000001</v>
      </c>
      <c r="H2415" s="685">
        <v>12.499000000000001</v>
      </c>
      <c r="I2415" s="672" t="s">
        <v>9218</v>
      </c>
      <c r="J2415" s="672" t="s">
        <v>9219</v>
      </c>
      <c r="K2415" s="672" t="s">
        <v>2354</v>
      </c>
      <c r="L2415" s="672" t="s">
        <v>9219</v>
      </c>
    </row>
    <row r="2416" spans="1:12" x14ac:dyDescent="0.2">
      <c r="A2416" s="672" t="s">
        <v>220</v>
      </c>
      <c r="B2416" s="672" t="s">
        <v>5430</v>
      </c>
      <c r="C2416" s="672" t="s">
        <v>5735</v>
      </c>
      <c r="D2416" s="672" t="s">
        <v>7907</v>
      </c>
      <c r="E2416" s="745"/>
      <c r="F2416" s="732">
        <v>4</v>
      </c>
      <c r="G2416" s="737">
        <v>135.33000000000001</v>
      </c>
      <c r="H2416" s="685">
        <v>541.32000000000005</v>
      </c>
      <c r="I2416" s="672" t="s">
        <v>9218</v>
      </c>
      <c r="J2416" s="672" t="s">
        <v>9219</v>
      </c>
      <c r="K2416" s="672" t="s">
        <v>2354</v>
      </c>
      <c r="L2416" s="672" t="s">
        <v>9219</v>
      </c>
    </row>
    <row r="2417" spans="1:12" x14ac:dyDescent="0.2">
      <c r="A2417" s="672" t="s">
        <v>220</v>
      </c>
      <c r="B2417" s="672" t="s">
        <v>5430</v>
      </c>
      <c r="C2417" s="672" t="s">
        <v>5737</v>
      </c>
      <c r="D2417" s="672" t="s">
        <v>7908</v>
      </c>
      <c r="E2417" s="745"/>
      <c r="F2417" s="732">
        <v>5</v>
      </c>
      <c r="G2417" s="737">
        <v>85.441999999999993</v>
      </c>
      <c r="H2417" s="685">
        <v>427.21</v>
      </c>
      <c r="I2417" s="672" t="s">
        <v>9218</v>
      </c>
      <c r="J2417" s="672" t="s">
        <v>9219</v>
      </c>
      <c r="K2417" s="672" t="s">
        <v>2354</v>
      </c>
      <c r="L2417" s="672" t="s">
        <v>9219</v>
      </c>
    </row>
    <row r="2418" spans="1:12" x14ac:dyDescent="0.2">
      <c r="A2418" s="672" t="s">
        <v>220</v>
      </c>
      <c r="B2418" s="672" t="s">
        <v>5430</v>
      </c>
      <c r="C2418" s="672" t="s">
        <v>7909</v>
      </c>
      <c r="D2418" s="672" t="s">
        <v>7910</v>
      </c>
      <c r="E2418" s="745"/>
      <c r="F2418" s="732">
        <v>4</v>
      </c>
      <c r="G2418" s="737">
        <v>19.849</v>
      </c>
      <c r="H2418" s="685">
        <v>79.396000000000001</v>
      </c>
      <c r="I2418" s="672" t="s">
        <v>9218</v>
      </c>
      <c r="J2418" s="672" t="s">
        <v>9219</v>
      </c>
      <c r="K2418" s="672" t="s">
        <v>2354</v>
      </c>
      <c r="L2418" s="672" t="s">
        <v>9219</v>
      </c>
    </row>
    <row r="2419" spans="1:12" x14ac:dyDescent="0.2">
      <c r="A2419" s="672" t="s">
        <v>220</v>
      </c>
      <c r="B2419" s="672" t="s">
        <v>5430</v>
      </c>
      <c r="C2419" s="672" t="s">
        <v>5741</v>
      </c>
      <c r="D2419" s="672" t="s">
        <v>7911</v>
      </c>
      <c r="E2419" s="745"/>
      <c r="F2419" s="732">
        <v>4</v>
      </c>
      <c r="G2419" s="737">
        <v>14.327999999999999</v>
      </c>
      <c r="H2419" s="685">
        <v>57.311999999999998</v>
      </c>
      <c r="I2419" s="672" t="s">
        <v>9218</v>
      </c>
      <c r="J2419" s="672" t="s">
        <v>9219</v>
      </c>
      <c r="K2419" s="672" t="s">
        <v>2354</v>
      </c>
      <c r="L2419" s="672" t="s">
        <v>9219</v>
      </c>
    </row>
    <row r="2420" spans="1:12" x14ac:dyDescent="0.2">
      <c r="A2420" s="672" t="s">
        <v>220</v>
      </c>
      <c r="B2420" s="672" t="s">
        <v>5430</v>
      </c>
      <c r="C2420" s="672" t="s">
        <v>5743</v>
      </c>
      <c r="D2420" s="672" t="s">
        <v>7912</v>
      </c>
      <c r="E2420" s="745"/>
      <c r="F2420" s="732">
        <v>4</v>
      </c>
      <c r="G2420" s="737">
        <v>42.3</v>
      </c>
      <c r="H2420" s="685">
        <v>169.2</v>
      </c>
      <c r="I2420" s="672" t="s">
        <v>9218</v>
      </c>
      <c r="J2420" s="672" t="s">
        <v>9219</v>
      </c>
      <c r="K2420" s="672" t="s">
        <v>2354</v>
      </c>
      <c r="L2420" s="672" t="s">
        <v>9219</v>
      </c>
    </row>
    <row r="2421" spans="1:12" x14ac:dyDescent="0.2">
      <c r="A2421" s="672" t="s">
        <v>220</v>
      </c>
      <c r="B2421" s="672" t="s">
        <v>5430</v>
      </c>
      <c r="C2421" s="672" t="s">
        <v>5745</v>
      </c>
      <c r="D2421" s="672" t="s">
        <v>7913</v>
      </c>
      <c r="E2421" s="745"/>
      <c r="F2421" s="732">
        <v>10</v>
      </c>
      <c r="G2421" s="737">
        <v>53.241</v>
      </c>
      <c r="H2421" s="685">
        <v>532.41</v>
      </c>
      <c r="I2421" s="672" t="s">
        <v>9218</v>
      </c>
      <c r="J2421" s="672" t="s">
        <v>9219</v>
      </c>
      <c r="K2421" s="672" t="s">
        <v>2354</v>
      </c>
      <c r="L2421" s="672" t="s">
        <v>9219</v>
      </c>
    </row>
    <row r="2422" spans="1:12" x14ac:dyDescent="0.2">
      <c r="A2422" s="672" t="s">
        <v>220</v>
      </c>
      <c r="B2422" s="672" t="s">
        <v>5430</v>
      </c>
      <c r="C2422" s="672" t="s">
        <v>5747</v>
      </c>
      <c r="D2422" s="672" t="s">
        <v>7914</v>
      </c>
      <c r="E2422" s="745"/>
      <c r="F2422" s="732">
        <v>1</v>
      </c>
      <c r="G2422" s="737">
        <v>130.05000000000001</v>
      </c>
      <c r="H2422" s="685">
        <v>130.05000000000001</v>
      </c>
      <c r="I2422" s="672" t="s">
        <v>9218</v>
      </c>
      <c r="J2422" s="672" t="s">
        <v>9219</v>
      </c>
      <c r="K2422" s="672" t="s">
        <v>2354</v>
      </c>
      <c r="L2422" s="672" t="s">
        <v>9219</v>
      </c>
    </row>
    <row r="2423" spans="1:12" x14ac:dyDescent="0.2">
      <c r="A2423" s="672" t="s">
        <v>220</v>
      </c>
      <c r="B2423" s="672" t="s">
        <v>5430</v>
      </c>
      <c r="C2423" s="672" t="s">
        <v>5749</v>
      </c>
      <c r="D2423" s="672" t="s">
        <v>7915</v>
      </c>
      <c r="E2423" s="745"/>
      <c r="F2423" s="732">
        <v>6</v>
      </c>
      <c r="G2423" s="737">
        <v>38.130000000000003</v>
      </c>
      <c r="H2423" s="685">
        <v>228.78000000000003</v>
      </c>
      <c r="I2423" s="672" t="s">
        <v>9218</v>
      </c>
      <c r="J2423" s="672" t="s">
        <v>9219</v>
      </c>
      <c r="K2423" s="672" t="s">
        <v>2354</v>
      </c>
      <c r="L2423" s="672" t="s">
        <v>9219</v>
      </c>
    </row>
    <row r="2424" spans="1:12" x14ac:dyDescent="0.2">
      <c r="A2424" s="672" t="s">
        <v>220</v>
      </c>
      <c r="B2424" s="672" t="s">
        <v>5430</v>
      </c>
      <c r="C2424" s="672" t="s">
        <v>5751</v>
      </c>
      <c r="D2424" s="672" t="s">
        <v>7916</v>
      </c>
      <c r="E2424" s="745"/>
      <c r="F2424" s="732">
        <v>1</v>
      </c>
      <c r="G2424" s="737">
        <v>28.117000000000001</v>
      </c>
      <c r="H2424" s="685">
        <v>28.117000000000001</v>
      </c>
      <c r="I2424" s="672" t="s">
        <v>9218</v>
      </c>
      <c r="J2424" s="672" t="s">
        <v>9219</v>
      </c>
      <c r="K2424" s="672" t="s">
        <v>2354</v>
      </c>
      <c r="L2424" s="672" t="s">
        <v>9219</v>
      </c>
    </row>
    <row r="2425" spans="1:12" x14ac:dyDescent="0.2">
      <c r="A2425" s="672" t="s">
        <v>220</v>
      </c>
      <c r="B2425" s="672" t="s">
        <v>5430</v>
      </c>
      <c r="C2425" s="672" t="s">
        <v>5753</v>
      </c>
      <c r="D2425" s="672" t="s">
        <v>7917</v>
      </c>
      <c r="E2425" s="745"/>
      <c r="F2425" s="732">
        <v>5</v>
      </c>
      <c r="G2425" s="737">
        <v>52.929000000000002</v>
      </c>
      <c r="H2425" s="685">
        <v>264.64499999999998</v>
      </c>
      <c r="I2425" s="672" t="s">
        <v>9218</v>
      </c>
      <c r="J2425" s="672" t="s">
        <v>9219</v>
      </c>
      <c r="K2425" s="672" t="s">
        <v>2354</v>
      </c>
      <c r="L2425" s="672" t="s">
        <v>9219</v>
      </c>
    </row>
    <row r="2426" spans="1:12" x14ac:dyDescent="0.2">
      <c r="A2426" s="672" t="s">
        <v>220</v>
      </c>
      <c r="B2426" s="672" t="s">
        <v>5430</v>
      </c>
      <c r="C2426" s="672" t="s">
        <v>2774</v>
      </c>
      <c r="D2426" s="672" t="s">
        <v>7918</v>
      </c>
      <c r="E2426" s="745"/>
      <c r="F2426" s="732">
        <v>2</v>
      </c>
      <c r="G2426" s="737">
        <v>13.4361</v>
      </c>
      <c r="H2426" s="685">
        <v>26.872199999999999</v>
      </c>
      <c r="I2426" s="672" t="s">
        <v>9218</v>
      </c>
      <c r="J2426" s="672" t="s">
        <v>9219</v>
      </c>
      <c r="K2426" s="672" t="s">
        <v>2354</v>
      </c>
      <c r="L2426" s="672" t="s">
        <v>9219</v>
      </c>
    </row>
    <row r="2427" spans="1:12" x14ac:dyDescent="0.2">
      <c r="A2427" s="672" t="s">
        <v>220</v>
      </c>
      <c r="B2427" s="672" t="s">
        <v>5430</v>
      </c>
      <c r="C2427" s="672" t="s">
        <v>5755</v>
      </c>
      <c r="D2427" s="672" t="s">
        <v>7919</v>
      </c>
      <c r="E2427" s="745"/>
      <c r="F2427" s="732">
        <v>2</v>
      </c>
      <c r="G2427" s="737">
        <v>47.057000000000002</v>
      </c>
      <c r="H2427" s="685">
        <v>94.114000000000004</v>
      </c>
      <c r="I2427" s="672" t="s">
        <v>9218</v>
      </c>
      <c r="J2427" s="672" t="s">
        <v>9219</v>
      </c>
      <c r="K2427" s="672" t="s">
        <v>2354</v>
      </c>
      <c r="L2427" s="672" t="s">
        <v>9219</v>
      </c>
    </row>
    <row r="2428" spans="1:12" x14ac:dyDescent="0.2">
      <c r="A2428" s="672" t="s">
        <v>220</v>
      </c>
      <c r="B2428" s="672" t="s">
        <v>5430</v>
      </c>
      <c r="C2428" s="672" t="s">
        <v>5757</v>
      </c>
      <c r="D2428" s="672" t="s">
        <v>7920</v>
      </c>
      <c r="E2428" s="745"/>
      <c r="F2428" s="732">
        <v>1</v>
      </c>
      <c r="G2428" s="737">
        <v>22.442</v>
      </c>
      <c r="H2428" s="685">
        <v>22.442</v>
      </c>
      <c r="I2428" s="672" t="s">
        <v>9218</v>
      </c>
      <c r="J2428" s="672" t="s">
        <v>9219</v>
      </c>
      <c r="K2428" s="672" t="s">
        <v>2354</v>
      </c>
      <c r="L2428" s="672" t="s">
        <v>9219</v>
      </c>
    </row>
    <row r="2429" spans="1:12" x14ac:dyDescent="0.2">
      <c r="A2429" s="672" t="s">
        <v>220</v>
      </c>
      <c r="B2429" s="672" t="s">
        <v>5430</v>
      </c>
      <c r="C2429" s="672" t="s">
        <v>5759</v>
      </c>
      <c r="D2429" s="672" t="s">
        <v>7921</v>
      </c>
      <c r="E2429" s="745"/>
      <c r="F2429" s="732">
        <v>6</v>
      </c>
      <c r="G2429" s="737">
        <v>44</v>
      </c>
      <c r="H2429" s="685">
        <v>264</v>
      </c>
      <c r="I2429" s="672" t="s">
        <v>9218</v>
      </c>
      <c r="J2429" s="672" t="s">
        <v>9219</v>
      </c>
      <c r="K2429" s="672" t="s">
        <v>2354</v>
      </c>
      <c r="L2429" s="672" t="s">
        <v>9219</v>
      </c>
    </row>
    <row r="2430" spans="1:12" x14ac:dyDescent="0.2">
      <c r="A2430" s="672" t="s">
        <v>220</v>
      </c>
      <c r="B2430" s="672" t="s">
        <v>5430</v>
      </c>
      <c r="C2430" s="672" t="s">
        <v>5761</v>
      </c>
      <c r="D2430" s="672" t="s">
        <v>7922</v>
      </c>
      <c r="E2430" s="745"/>
      <c r="F2430" s="732">
        <v>1</v>
      </c>
      <c r="G2430" s="737">
        <v>122.31</v>
      </c>
      <c r="H2430" s="685">
        <v>122.31</v>
      </c>
      <c r="I2430" s="672" t="s">
        <v>9218</v>
      </c>
      <c r="J2430" s="672" t="s">
        <v>9219</v>
      </c>
      <c r="K2430" s="672" t="s">
        <v>2354</v>
      </c>
      <c r="L2430" s="672" t="s">
        <v>9219</v>
      </c>
    </row>
    <row r="2431" spans="1:12" x14ac:dyDescent="0.2">
      <c r="A2431" s="672" t="s">
        <v>220</v>
      </c>
      <c r="B2431" s="672" t="s">
        <v>5430</v>
      </c>
      <c r="C2431" s="672" t="s">
        <v>5763</v>
      </c>
      <c r="D2431" s="672" t="s">
        <v>7923</v>
      </c>
      <c r="E2431" s="745"/>
      <c r="F2431" s="732">
        <v>3</v>
      </c>
      <c r="G2431" s="737">
        <v>22.105</v>
      </c>
      <c r="H2431" s="685">
        <v>66.314999999999998</v>
      </c>
      <c r="I2431" s="672" t="s">
        <v>9218</v>
      </c>
      <c r="J2431" s="672" t="s">
        <v>9219</v>
      </c>
      <c r="K2431" s="672" t="s">
        <v>2354</v>
      </c>
      <c r="L2431" s="672" t="s">
        <v>9219</v>
      </c>
    </row>
    <row r="2432" spans="1:12" x14ac:dyDescent="0.2">
      <c r="A2432" s="672" t="s">
        <v>220</v>
      </c>
      <c r="B2432" s="672" t="s">
        <v>5430</v>
      </c>
      <c r="C2432" s="672" t="s">
        <v>5765</v>
      </c>
      <c r="D2432" s="672" t="s">
        <v>7924</v>
      </c>
      <c r="E2432" s="745"/>
      <c r="F2432" s="732">
        <v>3</v>
      </c>
      <c r="G2432" s="737">
        <v>10.35</v>
      </c>
      <c r="H2432" s="685">
        <v>31.049999999999997</v>
      </c>
      <c r="I2432" s="672" t="s">
        <v>9218</v>
      </c>
      <c r="J2432" s="672" t="s">
        <v>9219</v>
      </c>
      <c r="K2432" s="672" t="s">
        <v>2354</v>
      </c>
      <c r="L2432" s="672" t="s">
        <v>9219</v>
      </c>
    </row>
    <row r="2433" spans="1:12" x14ac:dyDescent="0.2">
      <c r="A2433" s="672" t="s">
        <v>220</v>
      </c>
      <c r="B2433" s="672" t="s">
        <v>5430</v>
      </c>
      <c r="C2433" s="672" t="s">
        <v>5767</v>
      </c>
      <c r="D2433" s="672" t="s">
        <v>7925</v>
      </c>
      <c r="E2433" s="745"/>
      <c r="F2433" s="732">
        <v>1</v>
      </c>
      <c r="G2433" s="737">
        <v>10.35</v>
      </c>
      <c r="H2433" s="685">
        <v>10.35</v>
      </c>
      <c r="I2433" s="672" t="s">
        <v>9218</v>
      </c>
      <c r="J2433" s="672" t="s">
        <v>9219</v>
      </c>
      <c r="K2433" s="672" t="s">
        <v>2354</v>
      </c>
      <c r="L2433" s="672" t="s">
        <v>9219</v>
      </c>
    </row>
    <row r="2434" spans="1:12" x14ac:dyDescent="0.2">
      <c r="A2434" s="672" t="s">
        <v>220</v>
      </c>
      <c r="B2434" s="672" t="s">
        <v>5430</v>
      </c>
      <c r="C2434" s="672" t="s">
        <v>5769</v>
      </c>
      <c r="D2434" s="672" t="s">
        <v>7926</v>
      </c>
      <c r="E2434" s="745"/>
      <c r="F2434" s="732">
        <v>1</v>
      </c>
      <c r="G2434" s="737">
        <v>10.35</v>
      </c>
      <c r="H2434" s="685">
        <v>10.35</v>
      </c>
      <c r="I2434" s="672" t="s">
        <v>9218</v>
      </c>
      <c r="J2434" s="672" t="s">
        <v>9219</v>
      </c>
      <c r="K2434" s="672" t="s">
        <v>2354</v>
      </c>
      <c r="L2434" s="672" t="s">
        <v>9219</v>
      </c>
    </row>
    <row r="2435" spans="1:12" x14ac:dyDescent="0.2">
      <c r="A2435" s="672" t="s">
        <v>220</v>
      </c>
      <c r="B2435" s="672" t="s">
        <v>5430</v>
      </c>
      <c r="C2435" s="672" t="s">
        <v>2796</v>
      </c>
      <c r="D2435" s="672" t="s">
        <v>7927</v>
      </c>
      <c r="E2435" s="745"/>
      <c r="F2435" s="732">
        <v>2</v>
      </c>
      <c r="G2435" s="737">
        <v>10.35</v>
      </c>
      <c r="H2435" s="685">
        <v>20.7</v>
      </c>
      <c r="I2435" s="672" t="s">
        <v>9218</v>
      </c>
      <c r="J2435" s="672" t="s">
        <v>9219</v>
      </c>
      <c r="K2435" s="672" t="s">
        <v>2354</v>
      </c>
      <c r="L2435" s="672" t="s">
        <v>9219</v>
      </c>
    </row>
    <row r="2436" spans="1:12" x14ac:dyDescent="0.2">
      <c r="A2436" s="672" t="s">
        <v>220</v>
      </c>
      <c r="B2436" s="672" t="s">
        <v>5430</v>
      </c>
      <c r="C2436" s="672" t="s">
        <v>5771</v>
      </c>
      <c r="D2436" s="672" t="s">
        <v>7928</v>
      </c>
      <c r="E2436" s="745"/>
      <c r="F2436" s="732">
        <v>2</v>
      </c>
      <c r="G2436" s="737">
        <v>114.4008</v>
      </c>
      <c r="H2436" s="685">
        <v>228.80160000000001</v>
      </c>
      <c r="I2436" s="672" t="s">
        <v>9218</v>
      </c>
      <c r="J2436" s="672" t="s">
        <v>9219</v>
      </c>
      <c r="K2436" s="672" t="s">
        <v>2354</v>
      </c>
      <c r="L2436" s="672" t="s">
        <v>9219</v>
      </c>
    </row>
    <row r="2437" spans="1:12" x14ac:dyDescent="0.2">
      <c r="A2437" s="672" t="s">
        <v>220</v>
      </c>
      <c r="B2437" s="672" t="s">
        <v>5430</v>
      </c>
      <c r="C2437" s="672" t="s">
        <v>5773</v>
      </c>
      <c r="D2437" s="672" t="s">
        <v>7929</v>
      </c>
      <c r="E2437" s="745"/>
      <c r="F2437" s="732">
        <v>2</v>
      </c>
      <c r="G2437" s="737">
        <v>85.801000000000002</v>
      </c>
      <c r="H2437" s="685">
        <v>171.602</v>
      </c>
      <c r="I2437" s="672" t="s">
        <v>9218</v>
      </c>
      <c r="J2437" s="672" t="s">
        <v>9219</v>
      </c>
      <c r="K2437" s="672" t="s">
        <v>2354</v>
      </c>
      <c r="L2437" s="672" t="s">
        <v>9219</v>
      </c>
    </row>
    <row r="2438" spans="1:12" x14ac:dyDescent="0.2">
      <c r="A2438" s="672" t="s">
        <v>220</v>
      </c>
      <c r="B2438" s="672" t="s">
        <v>5430</v>
      </c>
      <c r="C2438" s="672" t="s">
        <v>5775</v>
      </c>
      <c r="D2438" s="672" t="s">
        <v>7930</v>
      </c>
      <c r="E2438" s="745"/>
      <c r="F2438" s="732">
        <v>2</v>
      </c>
      <c r="G2438" s="737">
        <v>19.8</v>
      </c>
      <c r="H2438" s="685">
        <v>39.6</v>
      </c>
      <c r="I2438" s="672" t="s">
        <v>9218</v>
      </c>
      <c r="J2438" s="672" t="s">
        <v>9219</v>
      </c>
      <c r="K2438" s="672" t="s">
        <v>2354</v>
      </c>
      <c r="L2438" s="672" t="s">
        <v>9219</v>
      </c>
    </row>
    <row r="2439" spans="1:12" x14ac:dyDescent="0.2">
      <c r="A2439" s="672" t="s">
        <v>220</v>
      </c>
      <c r="B2439" s="672" t="s">
        <v>5430</v>
      </c>
      <c r="C2439" s="672" t="s">
        <v>5777</v>
      </c>
      <c r="D2439" s="672" t="s">
        <v>7931</v>
      </c>
      <c r="E2439" s="745"/>
      <c r="F2439" s="732">
        <v>2</v>
      </c>
      <c r="G2439" s="737">
        <v>19.8</v>
      </c>
      <c r="H2439" s="685">
        <v>39.6</v>
      </c>
      <c r="I2439" s="672" t="s">
        <v>9218</v>
      </c>
      <c r="J2439" s="672" t="s">
        <v>9219</v>
      </c>
      <c r="K2439" s="672" t="s">
        <v>2354</v>
      </c>
      <c r="L2439" s="672" t="s">
        <v>9219</v>
      </c>
    </row>
    <row r="2440" spans="1:12" x14ac:dyDescent="0.2">
      <c r="A2440" s="672" t="s">
        <v>220</v>
      </c>
      <c r="B2440" s="672" t="s">
        <v>5430</v>
      </c>
      <c r="C2440" s="672" t="s">
        <v>5779</v>
      </c>
      <c r="D2440" s="672" t="s">
        <v>7932</v>
      </c>
      <c r="E2440" s="745"/>
      <c r="F2440" s="732">
        <v>2</v>
      </c>
      <c r="G2440" s="737">
        <v>81.62</v>
      </c>
      <c r="H2440" s="685">
        <v>163.24</v>
      </c>
      <c r="I2440" s="672" t="s">
        <v>9218</v>
      </c>
      <c r="J2440" s="672" t="s">
        <v>9219</v>
      </c>
      <c r="K2440" s="672" t="s">
        <v>2354</v>
      </c>
      <c r="L2440" s="672" t="s">
        <v>9219</v>
      </c>
    </row>
    <row r="2441" spans="1:12" x14ac:dyDescent="0.2">
      <c r="A2441" s="672" t="s">
        <v>220</v>
      </c>
      <c r="B2441" s="672" t="s">
        <v>5430</v>
      </c>
      <c r="C2441" s="672" t="s">
        <v>5781</v>
      </c>
      <c r="D2441" s="672" t="s">
        <v>7933</v>
      </c>
      <c r="E2441" s="745"/>
      <c r="F2441" s="732">
        <v>2</v>
      </c>
      <c r="G2441" s="737">
        <v>91.004000000000005</v>
      </c>
      <c r="H2441" s="685">
        <v>182.00800000000001</v>
      </c>
      <c r="I2441" s="672" t="s">
        <v>9218</v>
      </c>
      <c r="J2441" s="672" t="s">
        <v>9219</v>
      </c>
      <c r="K2441" s="672" t="s">
        <v>2354</v>
      </c>
      <c r="L2441" s="672" t="s">
        <v>9219</v>
      </c>
    </row>
    <row r="2442" spans="1:12" x14ac:dyDescent="0.2">
      <c r="A2442" s="672" t="s">
        <v>220</v>
      </c>
      <c r="B2442" s="672" t="s">
        <v>5430</v>
      </c>
      <c r="C2442" s="672" t="s">
        <v>5783</v>
      </c>
      <c r="D2442" s="672" t="s">
        <v>7934</v>
      </c>
      <c r="E2442" s="745"/>
      <c r="F2442" s="732">
        <v>2</v>
      </c>
      <c r="G2442" s="737">
        <v>53.74</v>
      </c>
      <c r="H2442" s="685">
        <v>107.48</v>
      </c>
      <c r="I2442" s="672" t="s">
        <v>9218</v>
      </c>
      <c r="J2442" s="672" t="s">
        <v>9219</v>
      </c>
      <c r="K2442" s="672" t="s">
        <v>2354</v>
      </c>
      <c r="L2442" s="672" t="s">
        <v>9219</v>
      </c>
    </row>
    <row r="2443" spans="1:12" x14ac:dyDescent="0.2">
      <c r="A2443" s="672" t="s">
        <v>220</v>
      </c>
      <c r="B2443" s="672" t="s">
        <v>5430</v>
      </c>
      <c r="C2443" s="672" t="s">
        <v>5785</v>
      </c>
      <c r="D2443" s="672" t="s">
        <v>7935</v>
      </c>
      <c r="E2443" s="745"/>
      <c r="F2443" s="732">
        <v>4</v>
      </c>
      <c r="G2443" s="737">
        <v>124.32899999999999</v>
      </c>
      <c r="H2443" s="685">
        <v>497.31599999999997</v>
      </c>
      <c r="I2443" s="672" t="s">
        <v>9218</v>
      </c>
      <c r="J2443" s="672" t="s">
        <v>9219</v>
      </c>
      <c r="K2443" s="672" t="s">
        <v>2354</v>
      </c>
      <c r="L2443" s="672" t="s">
        <v>9219</v>
      </c>
    </row>
    <row r="2444" spans="1:12" x14ac:dyDescent="0.2">
      <c r="A2444" s="672" t="s">
        <v>220</v>
      </c>
      <c r="B2444" s="672" t="s">
        <v>5430</v>
      </c>
      <c r="C2444" s="672" t="s">
        <v>5789</v>
      </c>
      <c r="D2444" s="672" t="s">
        <v>7936</v>
      </c>
      <c r="E2444" s="745"/>
      <c r="F2444" s="732">
        <v>1</v>
      </c>
      <c r="G2444" s="737">
        <v>23.5</v>
      </c>
      <c r="H2444" s="685">
        <v>23.5</v>
      </c>
      <c r="I2444" s="672" t="s">
        <v>9218</v>
      </c>
      <c r="J2444" s="672" t="s">
        <v>9219</v>
      </c>
      <c r="K2444" s="672" t="s">
        <v>2354</v>
      </c>
      <c r="L2444" s="672" t="s">
        <v>9219</v>
      </c>
    </row>
    <row r="2445" spans="1:12" x14ac:dyDescent="0.2">
      <c r="A2445" s="672" t="s">
        <v>220</v>
      </c>
      <c r="B2445" s="672" t="s">
        <v>5430</v>
      </c>
      <c r="C2445" s="672" t="s">
        <v>2824</v>
      </c>
      <c r="D2445" s="672" t="s">
        <v>7937</v>
      </c>
      <c r="E2445" s="745"/>
      <c r="F2445" s="732">
        <v>1</v>
      </c>
      <c r="G2445" s="737">
        <v>173.69900000000001</v>
      </c>
      <c r="H2445" s="685">
        <v>173.69900000000001</v>
      </c>
      <c r="I2445" s="672" t="s">
        <v>9218</v>
      </c>
      <c r="J2445" s="672" t="s">
        <v>9219</v>
      </c>
      <c r="K2445" s="672" t="s">
        <v>2354</v>
      </c>
      <c r="L2445" s="672" t="s">
        <v>9219</v>
      </c>
    </row>
    <row r="2446" spans="1:12" x14ac:dyDescent="0.2">
      <c r="A2446" s="672" t="s">
        <v>220</v>
      </c>
      <c r="B2446" s="672" t="s">
        <v>5430</v>
      </c>
      <c r="C2446" s="672" t="s">
        <v>5792</v>
      </c>
      <c r="D2446" s="672" t="s">
        <v>7938</v>
      </c>
      <c r="E2446" s="745"/>
      <c r="F2446" s="732">
        <v>1</v>
      </c>
      <c r="G2446" s="737">
        <v>149.43</v>
      </c>
      <c r="H2446" s="685">
        <v>149.43</v>
      </c>
      <c r="I2446" s="672" t="s">
        <v>9218</v>
      </c>
      <c r="J2446" s="672" t="s">
        <v>9219</v>
      </c>
      <c r="K2446" s="672" t="s">
        <v>2354</v>
      </c>
      <c r="L2446" s="672" t="s">
        <v>9219</v>
      </c>
    </row>
    <row r="2447" spans="1:12" x14ac:dyDescent="0.2">
      <c r="A2447" s="672" t="s">
        <v>220</v>
      </c>
      <c r="B2447" s="672" t="s">
        <v>5430</v>
      </c>
      <c r="C2447" s="672" t="s">
        <v>2830</v>
      </c>
      <c r="D2447" s="672" t="s">
        <v>7939</v>
      </c>
      <c r="E2447" s="745"/>
      <c r="F2447" s="732">
        <v>1</v>
      </c>
      <c r="G2447" s="737">
        <v>162.423</v>
      </c>
      <c r="H2447" s="685">
        <v>162.423</v>
      </c>
      <c r="I2447" s="672" t="s">
        <v>9218</v>
      </c>
      <c r="J2447" s="672" t="s">
        <v>9219</v>
      </c>
      <c r="K2447" s="672" t="s">
        <v>2354</v>
      </c>
      <c r="L2447" s="672" t="s">
        <v>9219</v>
      </c>
    </row>
    <row r="2448" spans="1:12" x14ac:dyDescent="0.2">
      <c r="A2448" s="672" t="s">
        <v>220</v>
      </c>
      <c r="B2448" s="672" t="s">
        <v>5430</v>
      </c>
      <c r="C2448" s="672" t="s">
        <v>2842</v>
      </c>
      <c r="D2448" s="672" t="s">
        <v>7940</v>
      </c>
      <c r="E2448" s="745"/>
      <c r="F2448" s="732">
        <v>2</v>
      </c>
      <c r="G2448" s="737">
        <v>21.59</v>
      </c>
      <c r="H2448" s="685">
        <v>43.18</v>
      </c>
      <c r="I2448" s="672" t="s">
        <v>9218</v>
      </c>
      <c r="J2448" s="672" t="s">
        <v>9219</v>
      </c>
      <c r="K2448" s="672" t="s">
        <v>2354</v>
      </c>
      <c r="L2448" s="672" t="s">
        <v>9219</v>
      </c>
    </row>
    <row r="2449" spans="1:12" x14ac:dyDescent="0.2">
      <c r="A2449" s="672" t="s">
        <v>220</v>
      </c>
      <c r="B2449" s="672" t="s">
        <v>5430</v>
      </c>
      <c r="C2449" s="672" t="s">
        <v>5795</v>
      </c>
      <c r="D2449" s="672" t="s">
        <v>7941</v>
      </c>
      <c r="E2449" s="745"/>
      <c r="F2449" s="732">
        <v>5</v>
      </c>
      <c r="G2449" s="737">
        <v>46.984000000000002</v>
      </c>
      <c r="H2449" s="685">
        <v>234.92000000000002</v>
      </c>
      <c r="I2449" s="672" t="s">
        <v>9218</v>
      </c>
      <c r="J2449" s="672" t="s">
        <v>9219</v>
      </c>
      <c r="K2449" s="672" t="s">
        <v>2354</v>
      </c>
      <c r="L2449" s="672" t="s">
        <v>9219</v>
      </c>
    </row>
    <row r="2450" spans="1:12" x14ac:dyDescent="0.2">
      <c r="A2450" s="672" t="s">
        <v>220</v>
      </c>
      <c r="B2450" s="672" t="s">
        <v>5430</v>
      </c>
      <c r="C2450" s="672" t="s">
        <v>5431</v>
      </c>
      <c r="D2450" s="672" t="s">
        <v>7942</v>
      </c>
      <c r="E2450" s="745"/>
      <c r="F2450" s="732">
        <v>7</v>
      </c>
      <c r="G2450" s="737">
        <v>45.18</v>
      </c>
      <c r="H2450" s="685">
        <v>316.26</v>
      </c>
      <c r="I2450" s="672" t="s">
        <v>9218</v>
      </c>
      <c r="J2450" s="672" t="s">
        <v>9219</v>
      </c>
      <c r="K2450" s="672" t="s">
        <v>2354</v>
      </c>
      <c r="L2450" s="672" t="s">
        <v>9219</v>
      </c>
    </row>
    <row r="2451" spans="1:12" x14ac:dyDescent="0.2">
      <c r="A2451" s="672" t="s">
        <v>220</v>
      </c>
      <c r="B2451" s="672" t="s">
        <v>5430</v>
      </c>
      <c r="C2451" s="672" t="s">
        <v>7943</v>
      </c>
      <c r="D2451" s="672" t="s">
        <v>7944</v>
      </c>
      <c r="E2451" s="745"/>
      <c r="F2451" s="732">
        <v>5</v>
      </c>
      <c r="G2451" s="737">
        <v>105.02200000000001</v>
      </c>
      <c r="H2451" s="685">
        <v>525.11</v>
      </c>
      <c r="I2451" s="672" t="s">
        <v>9218</v>
      </c>
      <c r="J2451" s="672" t="s">
        <v>9219</v>
      </c>
      <c r="K2451" s="672" t="s">
        <v>2354</v>
      </c>
      <c r="L2451" s="672" t="s">
        <v>9219</v>
      </c>
    </row>
    <row r="2452" spans="1:12" x14ac:dyDescent="0.2">
      <c r="A2452" s="672" t="s">
        <v>220</v>
      </c>
      <c r="B2452" s="672" t="s">
        <v>5430</v>
      </c>
      <c r="C2452" s="672" t="s">
        <v>5801</v>
      </c>
      <c r="D2452" s="672" t="s">
        <v>5802</v>
      </c>
      <c r="E2452" s="745"/>
      <c r="F2452" s="732">
        <v>7</v>
      </c>
      <c r="G2452" s="737">
        <v>62.075000000000003</v>
      </c>
      <c r="H2452" s="685">
        <v>434.52500000000003</v>
      </c>
      <c r="I2452" s="672" t="s">
        <v>9218</v>
      </c>
      <c r="J2452" s="672" t="s">
        <v>9219</v>
      </c>
      <c r="K2452" s="672" t="s">
        <v>2354</v>
      </c>
      <c r="L2452" s="672" t="s">
        <v>9219</v>
      </c>
    </row>
    <row r="2453" spans="1:12" x14ac:dyDescent="0.2">
      <c r="A2453" s="672" t="s">
        <v>220</v>
      </c>
      <c r="B2453" s="672" t="s">
        <v>5430</v>
      </c>
      <c r="C2453" s="672" t="s">
        <v>7950</v>
      </c>
      <c r="D2453" s="672" t="s">
        <v>7951</v>
      </c>
      <c r="E2453" s="745"/>
      <c r="F2453" s="732">
        <v>6</v>
      </c>
      <c r="G2453" s="737">
        <v>55.762</v>
      </c>
      <c r="H2453" s="685">
        <v>334.572</v>
      </c>
      <c r="I2453" s="672" t="s">
        <v>9218</v>
      </c>
      <c r="J2453" s="672" t="s">
        <v>9219</v>
      </c>
      <c r="K2453" s="672" t="s">
        <v>2354</v>
      </c>
      <c r="L2453" s="672" t="s">
        <v>9219</v>
      </c>
    </row>
    <row r="2454" spans="1:12" x14ac:dyDescent="0.2">
      <c r="A2454" s="672" t="s">
        <v>220</v>
      </c>
      <c r="B2454" s="672" t="s">
        <v>5430</v>
      </c>
      <c r="C2454" s="672" t="s">
        <v>5811</v>
      </c>
      <c r="D2454" s="672" t="s">
        <v>7952</v>
      </c>
      <c r="E2454" s="745"/>
      <c r="F2454" s="732">
        <v>5</v>
      </c>
      <c r="G2454" s="737">
        <v>49.41</v>
      </c>
      <c r="H2454" s="685">
        <v>247.04999999999998</v>
      </c>
      <c r="I2454" s="672" t="s">
        <v>9218</v>
      </c>
      <c r="J2454" s="672" t="s">
        <v>9219</v>
      </c>
      <c r="K2454" s="672" t="s">
        <v>2354</v>
      </c>
      <c r="L2454" s="672" t="s">
        <v>9219</v>
      </c>
    </row>
    <row r="2455" spans="1:12" x14ac:dyDescent="0.2">
      <c r="A2455" s="672" t="s">
        <v>220</v>
      </c>
      <c r="B2455" s="672" t="s">
        <v>5430</v>
      </c>
      <c r="C2455" s="672" t="s">
        <v>5813</v>
      </c>
      <c r="D2455" s="672" t="s">
        <v>7953</v>
      </c>
      <c r="E2455" s="745"/>
      <c r="F2455" s="732">
        <v>5</v>
      </c>
      <c r="G2455" s="737">
        <v>49.68</v>
      </c>
      <c r="H2455" s="685">
        <v>248.4</v>
      </c>
      <c r="I2455" s="672" t="s">
        <v>9218</v>
      </c>
      <c r="J2455" s="672" t="s">
        <v>9219</v>
      </c>
      <c r="K2455" s="672" t="s">
        <v>2354</v>
      </c>
      <c r="L2455" s="672" t="s">
        <v>9219</v>
      </c>
    </row>
    <row r="2456" spans="1:12" x14ac:dyDescent="0.2">
      <c r="A2456" s="672" t="s">
        <v>220</v>
      </c>
      <c r="B2456" s="672" t="s">
        <v>5430</v>
      </c>
      <c r="C2456" s="672" t="s">
        <v>5815</v>
      </c>
      <c r="D2456" s="672" t="s">
        <v>7954</v>
      </c>
      <c r="E2456" s="745"/>
      <c r="F2456" s="732">
        <v>1</v>
      </c>
      <c r="G2456" s="737">
        <v>33.125</v>
      </c>
      <c r="H2456" s="685">
        <v>33.125</v>
      </c>
      <c r="I2456" s="672" t="s">
        <v>9218</v>
      </c>
      <c r="J2456" s="672" t="s">
        <v>9219</v>
      </c>
      <c r="K2456" s="672" t="s">
        <v>2354</v>
      </c>
      <c r="L2456" s="672" t="s">
        <v>9219</v>
      </c>
    </row>
    <row r="2457" spans="1:12" x14ac:dyDescent="0.2">
      <c r="A2457" s="672" t="s">
        <v>220</v>
      </c>
      <c r="B2457" s="672" t="s">
        <v>5430</v>
      </c>
      <c r="C2457" s="672" t="s">
        <v>5817</v>
      </c>
      <c r="D2457" s="672" t="s">
        <v>7955</v>
      </c>
      <c r="E2457" s="745"/>
      <c r="F2457" s="732">
        <v>7</v>
      </c>
      <c r="G2457" s="737">
        <v>144</v>
      </c>
      <c r="H2457" s="685">
        <v>1008</v>
      </c>
      <c r="I2457" s="672" t="s">
        <v>9218</v>
      </c>
      <c r="J2457" s="672" t="s">
        <v>9219</v>
      </c>
      <c r="K2457" s="672" t="s">
        <v>2354</v>
      </c>
      <c r="L2457" s="672" t="s">
        <v>9219</v>
      </c>
    </row>
    <row r="2458" spans="1:12" x14ac:dyDescent="0.2">
      <c r="A2458" s="672" t="s">
        <v>220</v>
      </c>
      <c r="B2458" s="672" t="s">
        <v>5430</v>
      </c>
      <c r="C2458" s="672" t="s">
        <v>5819</v>
      </c>
      <c r="D2458" s="672" t="s">
        <v>5820</v>
      </c>
      <c r="E2458" s="745"/>
      <c r="F2458" s="732">
        <v>4</v>
      </c>
      <c r="G2458" s="737">
        <v>117.664</v>
      </c>
      <c r="H2458" s="685">
        <v>470.65600000000001</v>
      </c>
      <c r="I2458" s="672" t="s">
        <v>9218</v>
      </c>
      <c r="J2458" s="672" t="s">
        <v>9219</v>
      </c>
      <c r="K2458" s="672" t="s">
        <v>2354</v>
      </c>
      <c r="L2458" s="672" t="s">
        <v>9219</v>
      </c>
    </row>
    <row r="2459" spans="1:12" x14ac:dyDescent="0.2">
      <c r="A2459" s="672" t="s">
        <v>220</v>
      </c>
      <c r="B2459" s="672" t="s">
        <v>5430</v>
      </c>
      <c r="C2459" s="672" t="s">
        <v>5821</v>
      </c>
      <c r="D2459" s="672" t="s">
        <v>7956</v>
      </c>
      <c r="E2459" s="745"/>
      <c r="F2459" s="732">
        <v>1</v>
      </c>
      <c r="G2459" s="737">
        <v>33.125</v>
      </c>
      <c r="H2459" s="685">
        <v>33.125</v>
      </c>
      <c r="I2459" s="672" t="s">
        <v>9218</v>
      </c>
      <c r="J2459" s="672" t="s">
        <v>9219</v>
      </c>
      <c r="K2459" s="672" t="s">
        <v>2354</v>
      </c>
      <c r="L2459" s="672" t="s">
        <v>9219</v>
      </c>
    </row>
    <row r="2460" spans="1:12" x14ac:dyDescent="0.2">
      <c r="A2460" s="672" t="s">
        <v>220</v>
      </c>
      <c r="B2460" s="672" t="s">
        <v>5430</v>
      </c>
      <c r="C2460" s="672" t="s">
        <v>5823</v>
      </c>
      <c r="D2460" s="672" t="s">
        <v>5824</v>
      </c>
      <c r="E2460" s="745"/>
      <c r="F2460" s="732">
        <v>7</v>
      </c>
      <c r="G2460" s="737">
        <v>73.283000000000001</v>
      </c>
      <c r="H2460" s="685">
        <v>512.98099999999999</v>
      </c>
      <c r="I2460" s="672" t="s">
        <v>9218</v>
      </c>
      <c r="J2460" s="672" t="s">
        <v>9219</v>
      </c>
      <c r="K2460" s="672" t="s">
        <v>2354</v>
      </c>
      <c r="L2460" s="672" t="s">
        <v>9219</v>
      </c>
    </row>
    <row r="2461" spans="1:12" x14ac:dyDescent="0.2">
      <c r="A2461" s="672" t="s">
        <v>220</v>
      </c>
      <c r="B2461" s="672" t="s">
        <v>5430</v>
      </c>
      <c r="C2461" s="672" t="s">
        <v>5827</v>
      </c>
      <c r="D2461" s="672" t="s">
        <v>7958</v>
      </c>
      <c r="E2461" s="745"/>
      <c r="F2461" s="732">
        <v>2</v>
      </c>
      <c r="G2461" s="737">
        <v>32.4</v>
      </c>
      <c r="H2461" s="685">
        <v>64.8</v>
      </c>
      <c r="I2461" s="672" t="s">
        <v>9218</v>
      </c>
      <c r="J2461" s="672" t="s">
        <v>9219</v>
      </c>
      <c r="K2461" s="672" t="s">
        <v>2354</v>
      </c>
      <c r="L2461" s="672" t="s">
        <v>9219</v>
      </c>
    </row>
    <row r="2462" spans="1:12" x14ac:dyDescent="0.2">
      <c r="A2462" s="672" t="s">
        <v>220</v>
      </c>
      <c r="B2462" s="672" t="s">
        <v>5430</v>
      </c>
      <c r="C2462" s="672" t="s">
        <v>5831</v>
      </c>
      <c r="D2462" s="672" t="s">
        <v>5832</v>
      </c>
      <c r="E2462" s="745"/>
      <c r="F2462" s="732">
        <v>8</v>
      </c>
      <c r="G2462" s="737">
        <v>65.992000000000004</v>
      </c>
      <c r="H2462" s="685">
        <v>527.93600000000004</v>
      </c>
      <c r="I2462" s="672" t="s">
        <v>9218</v>
      </c>
      <c r="J2462" s="672" t="s">
        <v>9219</v>
      </c>
      <c r="K2462" s="672" t="s">
        <v>2354</v>
      </c>
      <c r="L2462" s="672" t="s">
        <v>9219</v>
      </c>
    </row>
    <row r="2463" spans="1:12" x14ac:dyDescent="0.2">
      <c r="A2463" s="672" t="s">
        <v>220</v>
      </c>
      <c r="B2463" s="672" t="s">
        <v>5430</v>
      </c>
      <c r="C2463" s="672" t="s">
        <v>5834</v>
      </c>
      <c r="D2463" s="672" t="s">
        <v>7961</v>
      </c>
      <c r="E2463" s="745"/>
      <c r="F2463" s="732">
        <v>5</v>
      </c>
      <c r="G2463" s="737">
        <v>86.207999999999998</v>
      </c>
      <c r="H2463" s="685">
        <v>431.03999999999996</v>
      </c>
      <c r="I2463" s="672" t="s">
        <v>9218</v>
      </c>
      <c r="J2463" s="672" t="s">
        <v>9219</v>
      </c>
      <c r="K2463" s="672" t="s">
        <v>2354</v>
      </c>
      <c r="L2463" s="672" t="s">
        <v>9219</v>
      </c>
    </row>
    <row r="2464" spans="1:12" x14ac:dyDescent="0.2">
      <c r="A2464" s="672" t="s">
        <v>220</v>
      </c>
      <c r="B2464" s="672" t="s">
        <v>5430</v>
      </c>
      <c r="C2464" s="672" t="s">
        <v>5836</v>
      </c>
      <c r="D2464" s="672" t="s">
        <v>7962</v>
      </c>
      <c r="E2464" s="745"/>
      <c r="F2464" s="732">
        <v>2</v>
      </c>
      <c r="G2464" s="737">
        <v>164.81399999999999</v>
      </c>
      <c r="H2464" s="685">
        <v>329.62799999999999</v>
      </c>
      <c r="I2464" s="672" t="s">
        <v>9218</v>
      </c>
      <c r="J2464" s="672" t="s">
        <v>9219</v>
      </c>
      <c r="K2464" s="672" t="s">
        <v>2354</v>
      </c>
      <c r="L2464" s="672" t="s">
        <v>9219</v>
      </c>
    </row>
    <row r="2465" spans="1:12" x14ac:dyDescent="0.2">
      <c r="A2465" s="672" t="s">
        <v>220</v>
      </c>
      <c r="B2465" s="672" t="s">
        <v>5430</v>
      </c>
      <c r="C2465" s="672" t="s">
        <v>5838</v>
      </c>
      <c r="D2465" s="672" t="s">
        <v>7963</v>
      </c>
      <c r="E2465" s="745"/>
      <c r="F2465" s="732">
        <v>5</v>
      </c>
      <c r="G2465" s="737">
        <v>22.024999999999999</v>
      </c>
      <c r="H2465" s="685">
        <v>110.125</v>
      </c>
      <c r="I2465" s="672" t="s">
        <v>9218</v>
      </c>
      <c r="J2465" s="672" t="s">
        <v>9219</v>
      </c>
      <c r="K2465" s="672" t="s">
        <v>2354</v>
      </c>
      <c r="L2465" s="672" t="s">
        <v>9219</v>
      </c>
    </row>
    <row r="2466" spans="1:12" x14ac:dyDescent="0.2">
      <c r="A2466" s="672" t="s">
        <v>220</v>
      </c>
      <c r="B2466" s="672" t="s">
        <v>5430</v>
      </c>
      <c r="C2466" s="672" t="s">
        <v>5840</v>
      </c>
      <c r="D2466" s="672" t="s">
        <v>7964</v>
      </c>
      <c r="E2466" s="745"/>
      <c r="F2466" s="732">
        <v>2</v>
      </c>
      <c r="G2466" s="737">
        <v>3.1190000000000002</v>
      </c>
      <c r="H2466" s="685">
        <v>6.2380000000000004</v>
      </c>
      <c r="I2466" s="672" t="s">
        <v>9218</v>
      </c>
      <c r="J2466" s="672" t="s">
        <v>9219</v>
      </c>
      <c r="K2466" s="672" t="s">
        <v>2354</v>
      </c>
      <c r="L2466" s="672" t="s">
        <v>9219</v>
      </c>
    </row>
    <row r="2467" spans="1:12" x14ac:dyDescent="0.2">
      <c r="A2467" s="672" t="s">
        <v>220</v>
      </c>
      <c r="B2467" s="672" t="s">
        <v>5430</v>
      </c>
      <c r="C2467" s="672" t="s">
        <v>5842</v>
      </c>
      <c r="D2467" s="672" t="s">
        <v>7965</v>
      </c>
      <c r="E2467" s="745"/>
      <c r="F2467" s="732">
        <v>11</v>
      </c>
      <c r="G2467" s="737">
        <v>29.864000000000001</v>
      </c>
      <c r="H2467" s="685">
        <v>328.50400000000002</v>
      </c>
      <c r="I2467" s="672" t="s">
        <v>9218</v>
      </c>
      <c r="J2467" s="672" t="s">
        <v>9219</v>
      </c>
      <c r="K2467" s="672" t="s">
        <v>2354</v>
      </c>
      <c r="L2467" s="672" t="s">
        <v>9219</v>
      </c>
    </row>
    <row r="2468" spans="1:12" x14ac:dyDescent="0.2">
      <c r="A2468" s="672" t="s">
        <v>220</v>
      </c>
      <c r="B2468" s="672" t="s">
        <v>5430</v>
      </c>
      <c r="C2468" s="672" t="s">
        <v>5844</v>
      </c>
      <c r="D2468" s="672" t="s">
        <v>5845</v>
      </c>
      <c r="E2468" s="745"/>
      <c r="F2468" s="732">
        <v>3</v>
      </c>
      <c r="G2468" s="737">
        <v>8.0809999999999995</v>
      </c>
      <c r="H2468" s="685">
        <v>24.242999999999999</v>
      </c>
      <c r="I2468" s="672" t="s">
        <v>9218</v>
      </c>
      <c r="J2468" s="672" t="s">
        <v>9219</v>
      </c>
      <c r="K2468" s="672" t="s">
        <v>2354</v>
      </c>
      <c r="L2468" s="672" t="s">
        <v>9219</v>
      </c>
    </row>
    <row r="2469" spans="1:12" x14ac:dyDescent="0.2">
      <c r="A2469" s="672" t="s">
        <v>220</v>
      </c>
      <c r="B2469" s="672" t="s">
        <v>5430</v>
      </c>
      <c r="C2469" s="672" t="s">
        <v>5848</v>
      </c>
      <c r="D2469" s="672" t="s">
        <v>5849</v>
      </c>
      <c r="E2469" s="745"/>
      <c r="F2469" s="732">
        <v>3</v>
      </c>
      <c r="G2469" s="737">
        <v>10.143000000000001</v>
      </c>
      <c r="H2469" s="685">
        <v>30.429000000000002</v>
      </c>
      <c r="I2469" s="672" t="s">
        <v>9218</v>
      </c>
      <c r="J2469" s="672" t="s">
        <v>9219</v>
      </c>
      <c r="K2469" s="672" t="s">
        <v>2354</v>
      </c>
      <c r="L2469" s="672" t="s">
        <v>9219</v>
      </c>
    </row>
    <row r="2470" spans="1:12" x14ac:dyDescent="0.2">
      <c r="A2470" s="672" t="s">
        <v>220</v>
      </c>
      <c r="B2470" s="672" t="s">
        <v>5430</v>
      </c>
      <c r="C2470" s="672" t="s">
        <v>5850</v>
      </c>
      <c r="D2470" s="672" t="s">
        <v>5851</v>
      </c>
      <c r="E2470" s="745"/>
      <c r="F2470" s="732">
        <v>4</v>
      </c>
      <c r="G2470" s="737">
        <v>9.3439999999999994</v>
      </c>
      <c r="H2470" s="685">
        <v>37.375999999999998</v>
      </c>
      <c r="I2470" s="672" t="s">
        <v>9218</v>
      </c>
      <c r="J2470" s="672" t="s">
        <v>9219</v>
      </c>
      <c r="K2470" s="672" t="s">
        <v>2354</v>
      </c>
      <c r="L2470" s="672" t="s">
        <v>9219</v>
      </c>
    </row>
    <row r="2471" spans="1:12" x14ac:dyDescent="0.2">
      <c r="A2471" s="672" t="s">
        <v>220</v>
      </c>
      <c r="B2471" s="672" t="s">
        <v>5430</v>
      </c>
      <c r="C2471" s="672" t="s">
        <v>5852</v>
      </c>
      <c r="D2471" s="672" t="s">
        <v>5853</v>
      </c>
      <c r="E2471" s="745"/>
      <c r="F2471" s="732">
        <v>12</v>
      </c>
      <c r="G2471" s="737">
        <v>4.01</v>
      </c>
      <c r="H2471" s="685">
        <v>48.12</v>
      </c>
      <c r="I2471" s="672" t="s">
        <v>9218</v>
      </c>
      <c r="J2471" s="672" t="s">
        <v>9219</v>
      </c>
      <c r="K2471" s="672" t="s">
        <v>2354</v>
      </c>
      <c r="L2471" s="672" t="s">
        <v>9219</v>
      </c>
    </row>
    <row r="2472" spans="1:12" x14ac:dyDescent="0.2">
      <c r="A2472" s="672" t="s">
        <v>220</v>
      </c>
      <c r="B2472" s="672" t="s">
        <v>5430</v>
      </c>
      <c r="C2472" s="672" t="s">
        <v>5854</v>
      </c>
      <c r="D2472" s="672" t="s">
        <v>7966</v>
      </c>
      <c r="E2472" s="745"/>
      <c r="F2472" s="732">
        <v>7</v>
      </c>
      <c r="G2472" s="737">
        <v>24.501999999999999</v>
      </c>
      <c r="H2472" s="685">
        <v>171.51399999999998</v>
      </c>
      <c r="I2472" s="672" t="s">
        <v>9218</v>
      </c>
      <c r="J2472" s="672" t="s">
        <v>9219</v>
      </c>
      <c r="K2472" s="672" t="s">
        <v>2354</v>
      </c>
      <c r="L2472" s="672" t="s">
        <v>9219</v>
      </c>
    </row>
    <row r="2473" spans="1:12" x14ac:dyDescent="0.2">
      <c r="A2473" s="672" t="s">
        <v>220</v>
      </c>
      <c r="B2473" s="672" t="s">
        <v>5430</v>
      </c>
      <c r="C2473" s="672" t="s">
        <v>5856</v>
      </c>
      <c r="D2473" s="672" t="s">
        <v>5857</v>
      </c>
      <c r="E2473" s="745"/>
      <c r="F2473" s="732">
        <v>3</v>
      </c>
      <c r="G2473" s="737">
        <v>4.01</v>
      </c>
      <c r="H2473" s="685">
        <v>12.03</v>
      </c>
      <c r="I2473" s="672" t="s">
        <v>9218</v>
      </c>
      <c r="J2473" s="672" t="s">
        <v>9219</v>
      </c>
      <c r="K2473" s="672" t="s">
        <v>2354</v>
      </c>
      <c r="L2473" s="672" t="s">
        <v>9219</v>
      </c>
    </row>
    <row r="2474" spans="1:12" x14ac:dyDescent="0.2">
      <c r="A2474" s="672" t="s">
        <v>220</v>
      </c>
      <c r="B2474" s="672" t="s">
        <v>5430</v>
      </c>
      <c r="C2474" s="672" t="s">
        <v>5858</v>
      </c>
      <c r="D2474" s="672" t="s">
        <v>5859</v>
      </c>
      <c r="E2474" s="745"/>
      <c r="F2474" s="732">
        <v>2</v>
      </c>
      <c r="G2474" s="737">
        <v>4.01</v>
      </c>
      <c r="H2474" s="685">
        <v>8.02</v>
      </c>
      <c r="I2474" s="672" t="s">
        <v>9218</v>
      </c>
      <c r="J2474" s="672" t="s">
        <v>9219</v>
      </c>
      <c r="K2474" s="672" t="s">
        <v>2354</v>
      </c>
      <c r="L2474" s="672" t="s">
        <v>9219</v>
      </c>
    </row>
    <row r="2475" spans="1:12" x14ac:dyDescent="0.2">
      <c r="A2475" s="672" t="s">
        <v>220</v>
      </c>
      <c r="B2475" s="672" t="s">
        <v>5430</v>
      </c>
      <c r="C2475" s="672" t="s">
        <v>5860</v>
      </c>
      <c r="D2475" s="672" t="s">
        <v>5861</v>
      </c>
      <c r="E2475" s="745"/>
      <c r="F2475" s="732">
        <v>4</v>
      </c>
      <c r="G2475" s="737">
        <v>7.335</v>
      </c>
      <c r="H2475" s="685">
        <v>29.34</v>
      </c>
      <c r="I2475" s="672" t="s">
        <v>9218</v>
      </c>
      <c r="J2475" s="672" t="s">
        <v>9219</v>
      </c>
      <c r="K2475" s="672" t="s">
        <v>2354</v>
      </c>
      <c r="L2475" s="672" t="s">
        <v>9219</v>
      </c>
    </row>
    <row r="2476" spans="1:12" x14ac:dyDescent="0.2">
      <c r="A2476" s="672" t="s">
        <v>220</v>
      </c>
      <c r="B2476" s="672" t="s">
        <v>5430</v>
      </c>
      <c r="D2476" s="672" t="s">
        <v>9434</v>
      </c>
      <c r="E2476" s="745"/>
      <c r="F2476" s="732">
        <v>2</v>
      </c>
      <c r="G2476" s="737">
        <v>7.35</v>
      </c>
      <c r="H2476" s="685">
        <v>14.7</v>
      </c>
      <c r="I2476" s="672" t="s">
        <v>9218</v>
      </c>
      <c r="J2476" s="672" t="s">
        <v>9219</v>
      </c>
      <c r="K2476" s="672" t="s">
        <v>2354</v>
      </c>
      <c r="L2476" s="672" t="s">
        <v>9219</v>
      </c>
    </row>
    <row r="2477" spans="1:12" x14ac:dyDescent="0.2">
      <c r="A2477" s="672" t="s">
        <v>220</v>
      </c>
      <c r="B2477" s="672" t="s">
        <v>5430</v>
      </c>
      <c r="C2477" s="672" t="s">
        <v>2379</v>
      </c>
      <c r="D2477" s="672" t="s">
        <v>5864</v>
      </c>
      <c r="E2477" s="745"/>
      <c r="F2477" s="732">
        <v>2</v>
      </c>
      <c r="G2477" s="737">
        <v>10.143000000000001</v>
      </c>
      <c r="H2477" s="685">
        <v>20.286000000000001</v>
      </c>
      <c r="I2477" s="672" t="s">
        <v>9218</v>
      </c>
      <c r="J2477" s="672" t="s">
        <v>9219</v>
      </c>
      <c r="K2477" s="672" t="s">
        <v>2354</v>
      </c>
      <c r="L2477" s="672" t="s">
        <v>9219</v>
      </c>
    </row>
    <row r="2478" spans="1:12" x14ac:dyDescent="0.2">
      <c r="A2478" s="672" t="s">
        <v>220</v>
      </c>
      <c r="B2478" s="672" t="s">
        <v>5430</v>
      </c>
      <c r="C2478" s="672" t="s">
        <v>5865</v>
      </c>
      <c r="D2478" s="672" t="s">
        <v>5866</v>
      </c>
      <c r="E2478" s="745"/>
      <c r="F2478" s="732">
        <v>5</v>
      </c>
      <c r="G2478" s="737">
        <v>4.01</v>
      </c>
      <c r="H2478" s="685">
        <v>20.049999999999997</v>
      </c>
      <c r="I2478" s="672" t="s">
        <v>9218</v>
      </c>
      <c r="J2478" s="672" t="s">
        <v>9219</v>
      </c>
      <c r="K2478" s="672" t="s">
        <v>2354</v>
      </c>
      <c r="L2478" s="672" t="s">
        <v>9219</v>
      </c>
    </row>
    <row r="2479" spans="1:12" x14ac:dyDescent="0.2">
      <c r="A2479" s="672" t="s">
        <v>220</v>
      </c>
      <c r="B2479" s="672" t="s">
        <v>5430</v>
      </c>
      <c r="C2479" s="672" t="s">
        <v>2872</v>
      </c>
      <c r="D2479" s="672" t="s">
        <v>2873</v>
      </c>
      <c r="E2479" s="745"/>
      <c r="F2479" s="732">
        <v>3</v>
      </c>
      <c r="G2479" s="737">
        <v>4.01</v>
      </c>
      <c r="H2479" s="685">
        <v>12.03</v>
      </c>
      <c r="I2479" s="672" t="s">
        <v>9218</v>
      </c>
      <c r="J2479" s="672" t="s">
        <v>9219</v>
      </c>
      <c r="K2479" s="672" t="s">
        <v>2354</v>
      </c>
      <c r="L2479" s="672" t="s">
        <v>9219</v>
      </c>
    </row>
    <row r="2480" spans="1:12" x14ac:dyDescent="0.2">
      <c r="A2480" s="672" t="s">
        <v>220</v>
      </c>
      <c r="B2480" s="672" t="s">
        <v>5430</v>
      </c>
      <c r="C2480" s="672" t="s">
        <v>5867</v>
      </c>
      <c r="D2480" s="672" t="s">
        <v>7968</v>
      </c>
      <c r="E2480" s="745"/>
      <c r="F2480" s="732">
        <v>2</v>
      </c>
      <c r="G2480" s="737">
        <v>3.4289999999999998</v>
      </c>
      <c r="H2480" s="685">
        <v>6.8579999999999997</v>
      </c>
      <c r="I2480" s="672" t="s">
        <v>9218</v>
      </c>
      <c r="J2480" s="672" t="s">
        <v>9219</v>
      </c>
      <c r="K2480" s="672" t="s">
        <v>2354</v>
      </c>
      <c r="L2480" s="672" t="s">
        <v>9219</v>
      </c>
    </row>
    <row r="2481" spans="1:12" x14ac:dyDescent="0.2">
      <c r="A2481" s="672" t="s">
        <v>220</v>
      </c>
      <c r="B2481" s="672" t="s">
        <v>5430</v>
      </c>
      <c r="C2481" s="672" t="s">
        <v>5869</v>
      </c>
      <c r="D2481" s="672" t="s">
        <v>5870</v>
      </c>
      <c r="E2481" s="745"/>
      <c r="F2481" s="732">
        <v>1</v>
      </c>
      <c r="G2481" s="737">
        <v>4.9489999999999998</v>
      </c>
      <c r="H2481" s="685">
        <v>4.9489999999999998</v>
      </c>
      <c r="I2481" s="672" t="s">
        <v>9218</v>
      </c>
      <c r="J2481" s="672" t="s">
        <v>9219</v>
      </c>
      <c r="K2481" s="672" t="s">
        <v>2354</v>
      </c>
      <c r="L2481" s="672" t="s">
        <v>9219</v>
      </c>
    </row>
    <row r="2482" spans="1:12" x14ac:dyDescent="0.2">
      <c r="A2482" s="672" t="s">
        <v>220</v>
      </c>
      <c r="B2482" s="672" t="s">
        <v>5430</v>
      </c>
      <c r="C2482" s="672" t="s">
        <v>5871</v>
      </c>
      <c r="D2482" s="672" t="s">
        <v>7969</v>
      </c>
      <c r="E2482" s="745"/>
      <c r="F2482" s="732">
        <v>7</v>
      </c>
      <c r="G2482" s="737">
        <v>4.3019999999999996</v>
      </c>
      <c r="H2482" s="685">
        <v>30.113999999999997</v>
      </c>
      <c r="I2482" s="672" t="s">
        <v>9218</v>
      </c>
      <c r="J2482" s="672" t="s">
        <v>9219</v>
      </c>
      <c r="K2482" s="672" t="s">
        <v>2354</v>
      </c>
      <c r="L2482" s="672" t="s">
        <v>9219</v>
      </c>
    </row>
    <row r="2483" spans="1:12" x14ac:dyDescent="0.2">
      <c r="A2483" s="672" t="s">
        <v>220</v>
      </c>
      <c r="B2483" s="672" t="s">
        <v>5430</v>
      </c>
      <c r="C2483" s="672" t="s">
        <v>5873</v>
      </c>
      <c r="D2483" s="672" t="s">
        <v>7970</v>
      </c>
      <c r="E2483" s="745"/>
      <c r="F2483" s="732">
        <v>8</v>
      </c>
      <c r="G2483" s="737">
        <v>30.215</v>
      </c>
      <c r="H2483" s="685">
        <v>241.72</v>
      </c>
      <c r="I2483" s="672" t="s">
        <v>9218</v>
      </c>
      <c r="J2483" s="672" t="s">
        <v>9219</v>
      </c>
      <c r="K2483" s="672" t="s">
        <v>2354</v>
      </c>
      <c r="L2483" s="672" t="s">
        <v>9219</v>
      </c>
    </row>
    <row r="2484" spans="1:12" x14ac:dyDescent="0.2">
      <c r="A2484" s="672" t="s">
        <v>220</v>
      </c>
      <c r="B2484" s="672" t="s">
        <v>5430</v>
      </c>
      <c r="C2484" s="672" t="s">
        <v>5875</v>
      </c>
      <c r="D2484" s="672" t="s">
        <v>7971</v>
      </c>
      <c r="E2484" s="745"/>
      <c r="F2484" s="732">
        <v>4</v>
      </c>
      <c r="G2484" s="737">
        <v>4.0819999999999999</v>
      </c>
      <c r="H2484" s="685">
        <v>16.327999999999999</v>
      </c>
      <c r="I2484" s="672" t="s">
        <v>9218</v>
      </c>
      <c r="J2484" s="672" t="s">
        <v>9219</v>
      </c>
      <c r="K2484" s="672" t="s">
        <v>2354</v>
      </c>
      <c r="L2484" s="672" t="s">
        <v>9219</v>
      </c>
    </row>
    <row r="2485" spans="1:12" x14ac:dyDescent="0.2">
      <c r="A2485" s="672" t="s">
        <v>220</v>
      </c>
      <c r="B2485" s="672" t="s">
        <v>5430</v>
      </c>
      <c r="C2485" s="672" t="s">
        <v>7972</v>
      </c>
      <c r="D2485" s="672" t="s">
        <v>7973</v>
      </c>
      <c r="E2485" s="745"/>
      <c r="F2485" s="732">
        <v>4</v>
      </c>
      <c r="G2485" s="737">
        <v>3.06</v>
      </c>
      <c r="H2485" s="685">
        <v>12.24</v>
      </c>
      <c r="I2485" s="672" t="s">
        <v>9218</v>
      </c>
      <c r="J2485" s="672" t="s">
        <v>9219</v>
      </c>
      <c r="K2485" s="672" t="s">
        <v>2354</v>
      </c>
      <c r="L2485" s="672" t="s">
        <v>9219</v>
      </c>
    </row>
    <row r="2486" spans="1:12" x14ac:dyDescent="0.2">
      <c r="A2486" s="672" t="s">
        <v>220</v>
      </c>
      <c r="B2486" s="672" t="s">
        <v>5430</v>
      </c>
      <c r="C2486" s="672" t="s">
        <v>5879</v>
      </c>
      <c r="D2486" s="672" t="s">
        <v>7974</v>
      </c>
      <c r="E2486" s="745"/>
      <c r="F2486" s="732">
        <v>2</v>
      </c>
      <c r="G2486" s="737">
        <v>3.47</v>
      </c>
      <c r="H2486" s="685">
        <v>6.94</v>
      </c>
      <c r="I2486" s="672" t="s">
        <v>9218</v>
      </c>
      <c r="J2486" s="672" t="s">
        <v>9219</v>
      </c>
      <c r="K2486" s="672" t="s">
        <v>2354</v>
      </c>
      <c r="L2486" s="672" t="s">
        <v>9219</v>
      </c>
    </row>
    <row r="2487" spans="1:12" x14ac:dyDescent="0.2">
      <c r="A2487" s="672" t="s">
        <v>220</v>
      </c>
      <c r="B2487" s="672" t="s">
        <v>5430</v>
      </c>
      <c r="C2487" s="672" t="s">
        <v>5881</v>
      </c>
      <c r="D2487" s="672" t="s">
        <v>7975</v>
      </c>
      <c r="E2487" s="745"/>
      <c r="F2487" s="732">
        <v>2</v>
      </c>
      <c r="G2487" s="737">
        <v>2.1429999999999998</v>
      </c>
      <c r="H2487" s="685">
        <v>4.2859999999999996</v>
      </c>
      <c r="I2487" s="672" t="s">
        <v>9218</v>
      </c>
      <c r="J2487" s="672" t="s">
        <v>9219</v>
      </c>
      <c r="K2487" s="672" t="s">
        <v>2354</v>
      </c>
      <c r="L2487" s="672" t="s">
        <v>9219</v>
      </c>
    </row>
    <row r="2488" spans="1:12" x14ac:dyDescent="0.2">
      <c r="A2488" s="672" t="s">
        <v>220</v>
      </c>
      <c r="B2488" s="672" t="s">
        <v>5430</v>
      </c>
      <c r="C2488" s="672" t="s">
        <v>5883</v>
      </c>
      <c r="D2488" s="672" t="s">
        <v>7976</v>
      </c>
      <c r="E2488" s="745"/>
      <c r="F2488" s="732">
        <v>4</v>
      </c>
      <c r="G2488" s="737">
        <v>117.227</v>
      </c>
      <c r="H2488" s="685">
        <v>468.90800000000002</v>
      </c>
      <c r="I2488" s="672" t="s">
        <v>9218</v>
      </c>
      <c r="J2488" s="672" t="s">
        <v>9219</v>
      </c>
      <c r="K2488" s="672" t="s">
        <v>2354</v>
      </c>
      <c r="L2488" s="672" t="s">
        <v>9219</v>
      </c>
    </row>
    <row r="2489" spans="1:12" x14ac:dyDescent="0.2">
      <c r="A2489" s="672" t="s">
        <v>220</v>
      </c>
      <c r="B2489" s="672" t="s">
        <v>5430</v>
      </c>
      <c r="C2489" s="672" t="s">
        <v>5885</v>
      </c>
      <c r="D2489" s="672" t="s">
        <v>7977</v>
      </c>
      <c r="E2489" s="745"/>
      <c r="F2489" s="732">
        <v>6</v>
      </c>
      <c r="G2489" s="737">
        <v>7.2</v>
      </c>
      <c r="H2489" s="685">
        <v>43.2</v>
      </c>
      <c r="I2489" s="672" t="s">
        <v>9218</v>
      </c>
      <c r="J2489" s="672" t="s">
        <v>9219</v>
      </c>
      <c r="K2489" s="672" t="s">
        <v>2354</v>
      </c>
      <c r="L2489" s="672" t="s">
        <v>9219</v>
      </c>
    </row>
    <row r="2490" spans="1:12" x14ac:dyDescent="0.2">
      <c r="A2490" s="672" t="s">
        <v>220</v>
      </c>
      <c r="B2490" s="672" t="s">
        <v>5430</v>
      </c>
      <c r="C2490" s="672" t="s">
        <v>5887</v>
      </c>
      <c r="D2490" s="672" t="s">
        <v>5888</v>
      </c>
      <c r="E2490" s="745"/>
      <c r="F2490" s="732">
        <v>2</v>
      </c>
      <c r="G2490" s="737">
        <v>3.2309999999999999</v>
      </c>
      <c r="H2490" s="685">
        <v>6.4619999999999997</v>
      </c>
      <c r="I2490" s="672" t="s">
        <v>9218</v>
      </c>
      <c r="J2490" s="672" t="s">
        <v>9219</v>
      </c>
      <c r="K2490" s="672" t="s">
        <v>2354</v>
      </c>
      <c r="L2490" s="672" t="s">
        <v>9219</v>
      </c>
    </row>
    <row r="2491" spans="1:12" x14ac:dyDescent="0.2">
      <c r="A2491" s="672" t="s">
        <v>220</v>
      </c>
      <c r="B2491" s="672" t="s">
        <v>5430</v>
      </c>
      <c r="C2491" s="672" t="s">
        <v>5889</v>
      </c>
      <c r="D2491" s="672" t="s">
        <v>7978</v>
      </c>
      <c r="E2491" s="745"/>
      <c r="F2491" s="732">
        <v>5</v>
      </c>
      <c r="G2491" s="737">
        <v>8.1649999999999991</v>
      </c>
      <c r="H2491" s="685">
        <v>40.824999999999996</v>
      </c>
      <c r="I2491" s="672" t="s">
        <v>9218</v>
      </c>
      <c r="J2491" s="672" t="s">
        <v>9219</v>
      </c>
      <c r="K2491" s="672" t="s">
        <v>2354</v>
      </c>
      <c r="L2491" s="672" t="s">
        <v>9219</v>
      </c>
    </row>
    <row r="2492" spans="1:12" x14ac:dyDescent="0.2">
      <c r="A2492" s="672" t="s">
        <v>220</v>
      </c>
      <c r="B2492" s="672" t="s">
        <v>5430</v>
      </c>
      <c r="C2492" s="672" t="s">
        <v>2896</v>
      </c>
      <c r="D2492" s="672" t="s">
        <v>2897</v>
      </c>
      <c r="E2492" s="745"/>
      <c r="F2492" s="732">
        <v>1</v>
      </c>
      <c r="G2492" s="737">
        <v>10.143000000000001</v>
      </c>
      <c r="H2492" s="685">
        <v>10.143000000000001</v>
      </c>
      <c r="I2492" s="672" t="s">
        <v>9218</v>
      </c>
      <c r="J2492" s="672" t="s">
        <v>9219</v>
      </c>
      <c r="K2492" s="672" t="s">
        <v>2354</v>
      </c>
      <c r="L2492" s="672" t="s">
        <v>9219</v>
      </c>
    </row>
    <row r="2493" spans="1:12" x14ac:dyDescent="0.2">
      <c r="A2493" s="672" t="s">
        <v>220</v>
      </c>
      <c r="B2493" s="672" t="s">
        <v>5430</v>
      </c>
      <c r="C2493" s="672" t="s">
        <v>2900</v>
      </c>
      <c r="D2493" s="672" t="s">
        <v>2901</v>
      </c>
      <c r="E2493" s="745"/>
      <c r="F2493" s="732">
        <v>2</v>
      </c>
      <c r="G2493" s="737">
        <v>10.143000000000001</v>
      </c>
      <c r="H2493" s="685">
        <v>20.286000000000001</v>
      </c>
      <c r="I2493" s="672" t="s">
        <v>9218</v>
      </c>
      <c r="J2493" s="672" t="s">
        <v>9219</v>
      </c>
      <c r="K2493" s="672" t="s">
        <v>2354</v>
      </c>
      <c r="L2493" s="672" t="s">
        <v>9219</v>
      </c>
    </row>
    <row r="2494" spans="1:12" x14ac:dyDescent="0.2">
      <c r="A2494" s="672" t="s">
        <v>220</v>
      </c>
      <c r="B2494" s="672" t="s">
        <v>5430</v>
      </c>
      <c r="C2494" s="672" t="s">
        <v>5891</v>
      </c>
      <c r="D2494" s="672" t="s">
        <v>5892</v>
      </c>
      <c r="E2494" s="745"/>
      <c r="F2494" s="732">
        <v>5</v>
      </c>
      <c r="G2494" s="737">
        <v>11.933999999999999</v>
      </c>
      <c r="H2494" s="685">
        <v>59.669999999999995</v>
      </c>
      <c r="I2494" s="672" t="s">
        <v>9218</v>
      </c>
      <c r="J2494" s="672" t="s">
        <v>9219</v>
      </c>
      <c r="K2494" s="672" t="s">
        <v>2354</v>
      </c>
      <c r="L2494" s="672" t="s">
        <v>9219</v>
      </c>
    </row>
    <row r="2495" spans="1:12" x14ac:dyDescent="0.2">
      <c r="A2495" s="672" t="s">
        <v>220</v>
      </c>
      <c r="B2495" s="672" t="s">
        <v>5430</v>
      </c>
      <c r="C2495" s="672" t="s">
        <v>5893</v>
      </c>
      <c r="D2495" s="672" t="s">
        <v>7979</v>
      </c>
      <c r="E2495" s="745"/>
      <c r="F2495" s="732">
        <v>1</v>
      </c>
      <c r="G2495" s="737">
        <v>22.193000000000001</v>
      </c>
      <c r="H2495" s="685">
        <v>22.193000000000001</v>
      </c>
      <c r="I2495" s="672" t="s">
        <v>9218</v>
      </c>
      <c r="J2495" s="672" t="s">
        <v>9219</v>
      </c>
      <c r="K2495" s="672" t="s">
        <v>2354</v>
      </c>
      <c r="L2495" s="672" t="s">
        <v>9219</v>
      </c>
    </row>
    <row r="2496" spans="1:12" x14ac:dyDescent="0.2">
      <c r="A2496" s="672" t="s">
        <v>220</v>
      </c>
      <c r="B2496" s="672" t="s">
        <v>5430</v>
      </c>
      <c r="C2496" s="672" t="s">
        <v>2906</v>
      </c>
      <c r="D2496" s="672" t="s">
        <v>2907</v>
      </c>
      <c r="E2496" s="745"/>
      <c r="F2496" s="732">
        <v>6</v>
      </c>
      <c r="G2496" s="737">
        <v>7.1639999999999988</v>
      </c>
      <c r="H2496" s="685">
        <v>42.983999999999995</v>
      </c>
      <c r="I2496" s="672" t="s">
        <v>9218</v>
      </c>
      <c r="J2496" s="672" t="s">
        <v>9219</v>
      </c>
      <c r="K2496" s="672" t="s">
        <v>2354</v>
      </c>
      <c r="L2496" s="672" t="s">
        <v>9219</v>
      </c>
    </row>
    <row r="2497" spans="1:12" x14ac:dyDescent="0.2">
      <c r="A2497" s="672" t="s">
        <v>220</v>
      </c>
      <c r="B2497" s="672" t="s">
        <v>5430</v>
      </c>
      <c r="C2497" s="672" t="s">
        <v>5895</v>
      </c>
      <c r="D2497" s="672" t="s">
        <v>5896</v>
      </c>
      <c r="E2497" s="745"/>
      <c r="F2497" s="732">
        <v>5</v>
      </c>
      <c r="G2497" s="737">
        <v>12.473999999999998</v>
      </c>
      <c r="H2497" s="685">
        <v>62.36999999999999</v>
      </c>
      <c r="I2497" s="672" t="s">
        <v>9218</v>
      </c>
      <c r="J2497" s="672" t="s">
        <v>9219</v>
      </c>
      <c r="K2497" s="672" t="s">
        <v>2354</v>
      </c>
      <c r="L2497" s="672" t="s">
        <v>9219</v>
      </c>
    </row>
    <row r="2498" spans="1:12" x14ac:dyDescent="0.2">
      <c r="A2498" s="672" t="s">
        <v>220</v>
      </c>
      <c r="B2498" s="672" t="s">
        <v>5430</v>
      </c>
      <c r="C2498" s="672" t="s">
        <v>5897</v>
      </c>
      <c r="D2498" s="672" t="s">
        <v>5898</v>
      </c>
      <c r="E2498" s="745"/>
      <c r="F2498" s="732">
        <v>6</v>
      </c>
      <c r="G2498" s="737">
        <v>10.143000000000001</v>
      </c>
      <c r="H2498" s="685">
        <v>60.858000000000004</v>
      </c>
      <c r="I2498" s="672" t="s">
        <v>9218</v>
      </c>
      <c r="J2498" s="672" t="s">
        <v>9219</v>
      </c>
      <c r="K2498" s="672" t="s">
        <v>2354</v>
      </c>
      <c r="L2498" s="672" t="s">
        <v>9219</v>
      </c>
    </row>
    <row r="2499" spans="1:12" x14ac:dyDescent="0.2">
      <c r="A2499" s="672" t="s">
        <v>220</v>
      </c>
      <c r="B2499" s="672" t="s">
        <v>5430</v>
      </c>
      <c r="C2499" s="672" t="s">
        <v>5899</v>
      </c>
      <c r="D2499" s="672" t="s">
        <v>5900</v>
      </c>
      <c r="E2499" s="745"/>
      <c r="F2499" s="732">
        <v>5</v>
      </c>
      <c r="G2499" s="737">
        <v>6.75</v>
      </c>
      <c r="H2499" s="685">
        <v>33.75</v>
      </c>
      <c r="I2499" s="672" t="s">
        <v>9218</v>
      </c>
      <c r="J2499" s="672" t="s">
        <v>9219</v>
      </c>
      <c r="K2499" s="672" t="s">
        <v>2354</v>
      </c>
      <c r="L2499" s="672" t="s">
        <v>9219</v>
      </c>
    </row>
    <row r="2500" spans="1:12" x14ac:dyDescent="0.2">
      <c r="A2500" s="672" t="s">
        <v>220</v>
      </c>
      <c r="B2500" s="672" t="s">
        <v>5430</v>
      </c>
      <c r="C2500" s="672" t="s">
        <v>7980</v>
      </c>
      <c r="D2500" s="672" t="s">
        <v>7981</v>
      </c>
      <c r="E2500" s="745"/>
      <c r="F2500" s="732">
        <v>3</v>
      </c>
      <c r="G2500" s="737">
        <v>15.587999999999999</v>
      </c>
      <c r="H2500" s="685">
        <v>46.763999999999996</v>
      </c>
      <c r="I2500" s="672" t="s">
        <v>9218</v>
      </c>
      <c r="J2500" s="672" t="s">
        <v>9219</v>
      </c>
      <c r="K2500" s="672" t="s">
        <v>2354</v>
      </c>
      <c r="L2500" s="672" t="s">
        <v>9219</v>
      </c>
    </row>
    <row r="2501" spans="1:12" x14ac:dyDescent="0.2">
      <c r="A2501" s="672" t="s">
        <v>220</v>
      </c>
      <c r="B2501" s="672" t="s">
        <v>5430</v>
      </c>
      <c r="C2501" s="672" t="s">
        <v>5903</v>
      </c>
      <c r="D2501" s="672" t="s">
        <v>5904</v>
      </c>
      <c r="E2501" s="745"/>
      <c r="F2501" s="732">
        <v>22</v>
      </c>
      <c r="G2501" s="737">
        <v>10.143000000000001</v>
      </c>
      <c r="H2501" s="685">
        <v>223.14600000000002</v>
      </c>
      <c r="I2501" s="672" t="s">
        <v>9218</v>
      </c>
      <c r="J2501" s="672" t="s">
        <v>9219</v>
      </c>
      <c r="K2501" s="672" t="s">
        <v>2354</v>
      </c>
      <c r="L2501" s="672" t="s">
        <v>9219</v>
      </c>
    </row>
    <row r="2502" spans="1:12" x14ac:dyDescent="0.2">
      <c r="A2502" s="672" t="s">
        <v>220</v>
      </c>
      <c r="B2502" s="672" t="s">
        <v>5430</v>
      </c>
      <c r="C2502" s="672" t="s">
        <v>2926</v>
      </c>
      <c r="D2502" s="672" t="s">
        <v>2927</v>
      </c>
      <c r="E2502" s="745"/>
      <c r="F2502" s="732">
        <v>1</v>
      </c>
      <c r="G2502" s="737">
        <v>7.9001999999999999</v>
      </c>
      <c r="H2502" s="685">
        <v>7.9001999999999999</v>
      </c>
      <c r="I2502" s="672" t="s">
        <v>9218</v>
      </c>
      <c r="J2502" s="672" t="s">
        <v>9219</v>
      </c>
      <c r="K2502" s="672" t="s">
        <v>2354</v>
      </c>
      <c r="L2502" s="672" t="s">
        <v>9219</v>
      </c>
    </row>
    <row r="2503" spans="1:12" x14ac:dyDescent="0.2">
      <c r="A2503" s="672" t="s">
        <v>220</v>
      </c>
      <c r="B2503" s="672" t="s">
        <v>5430</v>
      </c>
      <c r="C2503" s="672" t="s">
        <v>5905</v>
      </c>
      <c r="D2503" s="672" t="s">
        <v>5906</v>
      </c>
      <c r="E2503" s="745"/>
      <c r="F2503" s="732">
        <v>5</v>
      </c>
      <c r="G2503" s="737">
        <v>5.2350000000000003</v>
      </c>
      <c r="H2503" s="685">
        <v>26.175000000000001</v>
      </c>
      <c r="I2503" s="672" t="s">
        <v>9218</v>
      </c>
      <c r="J2503" s="672" t="s">
        <v>9219</v>
      </c>
      <c r="K2503" s="672" t="s">
        <v>2354</v>
      </c>
      <c r="L2503" s="672" t="s">
        <v>9219</v>
      </c>
    </row>
    <row r="2504" spans="1:12" x14ac:dyDescent="0.2">
      <c r="A2504" s="672" t="s">
        <v>220</v>
      </c>
      <c r="B2504" s="672" t="s">
        <v>5430</v>
      </c>
      <c r="C2504" s="672" t="s">
        <v>2934</v>
      </c>
      <c r="D2504" s="672" t="s">
        <v>2935</v>
      </c>
      <c r="E2504" s="745"/>
      <c r="F2504" s="732">
        <v>3</v>
      </c>
      <c r="G2504" s="737">
        <v>38.568600000000004</v>
      </c>
      <c r="H2504" s="685">
        <v>115.70580000000001</v>
      </c>
      <c r="I2504" s="672" t="s">
        <v>9218</v>
      </c>
      <c r="J2504" s="672" t="s">
        <v>9219</v>
      </c>
      <c r="K2504" s="672" t="s">
        <v>2354</v>
      </c>
      <c r="L2504" s="672" t="s">
        <v>9219</v>
      </c>
    </row>
    <row r="2505" spans="1:12" x14ac:dyDescent="0.2">
      <c r="A2505" s="672" t="s">
        <v>220</v>
      </c>
      <c r="B2505" s="672" t="s">
        <v>5430</v>
      </c>
      <c r="C2505" s="672" t="s">
        <v>5907</v>
      </c>
      <c r="D2505" s="672" t="s">
        <v>5908</v>
      </c>
      <c r="E2505" s="745"/>
      <c r="F2505" s="732">
        <v>3</v>
      </c>
      <c r="G2505" s="737">
        <v>10.143000000000001</v>
      </c>
      <c r="H2505" s="685">
        <v>30.429000000000002</v>
      </c>
      <c r="I2505" s="672" t="s">
        <v>9218</v>
      </c>
      <c r="J2505" s="672" t="s">
        <v>9219</v>
      </c>
      <c r="K2505" s="672" t="s">
        <v>2354</v>
      </c>
      <c r="L2505" s="672" t="s">
        <v>9219</v>
      </c>
    </row>
    <row r="2506" spans="1:12" x14ac:dyDescent="0.2">
      <c r="A2506" s="672" t="s">
        <v>220</v>
      </c>
      <c r="B2506" s="672" t="s">
        <v>5430</v>
      </c>
      <c r="C2506" s="672" t="s">
        <v>5909</v>
      </c>
      <c r="D2506" s="672" t="s">
        <v>5910</v>
      </c>
      <c r="E2506" s="745"/>
      <c r="F2506" s="732">
        <v>5</v>
      </c>
      <c r="G2506" s="737">
        <v>10.143000000000001</v>
      </c>
      <c r="H2506" s="685">
        <v>50.715000000000003</v>
      </c>
      <c r="I2506" s="672" t="s">
        <v>9218</v>
      </c>
      <c r="J2506" s="672" t="s">
        <v>9219</v>
      </c>
      <c r="K2506" s="672" t="s">
        <v>2354</v>
      </c>
      <c r="L2506" s="672" t="s">
        <v>9219</v>
      </c>
    </row>
    <row r="2507" spans="1:12" x14ac:dyDescent="0.2">
      <c r="A2507" s="672" t="s">
        <v>220</v>
      </c>
      <c r="B2507" s="672" t="s">
        <v>5430</v>
      </c>
      <c r="C2507" s="672" t="s">
        <v>5911</v>
      </c>
      <c r="D2507" s="672" t="s">
        <v>7982</v>
      </c>
      <c r="E2507" s="745"/>
      <c r="F2507" s="732">
        <v>6</v>
      </c>
      <c r="G2507" s="737">
        <v>43.07</v>
      </c>
      <c r="H2507" s="685">
        <v>258.42</v>
      </c>
      <c r="I2507" s="672" t="s">
        <v>9218</v>
      </c>
      <c r="J2507" s="672" t="s">
        <v>9219</v>
      </c>
      <c r="K2507" s="672" t="s">
        <v>2354</v>
      </c>
      <c r="L2507" s="672" t="s">
        <v>9219</v>
      </c>
    </row>
    <row r="2508" spans="1:12" x14ac:dyDescent="0.2">
      <c r="A2508" s="672" t="s">
        <v>220</v>
      </c>
      <c r="B2508" s="672" t="s">
        <v>5430</v>
      </c>
      <c r="C2508" s="672" t="s">
        <v>5913</v>
      </c>
      <c r="D2508" s="672" t="s">
        <v>7983</v>
      </c>
      <c r="E2508" s="745"/>
      <c r="F2508" s="732">
        <v>10</v>
      </c>
      <c r="G2508" s="737">
        <v>26.96</v>
      </c>
      <c r="H2508" s="685">
        <v>269.60000000000002</v>
      </c>
      <c r="I2508" s="672" t="s">
        <v>9218</v>
      </c>
      <c r="J2508" s="672" t="s">
        <v>9219</v>
      </c>
      <c r="K2508" s="672" t="s">
        <v>2354</v>
      </c>
      <c r="L2508" s="672" t="s">
        <v>9219</v>
      </c>
    </row>
    <row r="2509" spans="1:12" x14ac:dyDescent="0.2">
      <c r="A2509" s="672" t="s">
        <v>220</v>
      </c>
      <c r="B2509" s="672" t="s">
        <v>5430</v>
      </c>
      <c r="C2509" s="672" t="s">
        <v>5915</v>
      </c>
      <c r="D2509" s="672" t="s">
        <v>7984</v>
      </c>
      <c r="E2509" s="745"/>
      <c r="F2509" s="732">
        <v>3</v>
      </c>
      <c r="G2509" s="737">
        <v>5.7370000000000001</v>
      </c>
      <c r="H2509" s="685">
        <v>17.210999999999999</v>
      </c>
      <c r="I2509" s="672" t="s">
        <v>9218</v>
      </c>
      <c r="J2509" s="672" t="s">
        <v>9219</v>
      </c>
      <c r="K2509" s="672" t="s">
        <v>2354</v>
      </c>
      <c r="L2509" s="672" t="s">
        <v>9219</v>
      </c>
    </row>
    <row r="2510" spans="1:12" x14ac:dyDescent="0.2">
      <c r="A2510" s="672" t="s">
        <v>220</v>
      </c>
      <c r="B2510" s="672" t="s">
        <v>5430</v>
      </c>
      <c r="C2510" s="672" t="s">
        <v>5917</v>
      </c>
      <c r="D2510" s="672" t="s">
        <v>7985</v>
      </c>
      <c r="E2510" s="745"/>
      <c r="F2510" s="732">
        <v>1</v>
      </c>
      <c r="G2510" s="737">
        <v>5.58</v>
      </c>
      <c r="H2510" s="685">
        <v>5.58</v>
      </c>
      <c r="I2510" s="672" t="s">
        <v>9218</v>
      </c>
      <c r="J2510" s="672" t="s">
        <v>9219</v>
      </c>
      <c r="K2510" s="672" t="s">
        <v>2354</v>
      </c>
      <c r="L2510" s="672" t="s">
        <v>9219</v>
      </c>
    </row>
    <row r="2511" spans="1:12" x14ac:dyDescent="0.2">
      <c r="A2511" s="672" t="s">
        <v>220</v>
      </c>
      <c r="B2511" s="672" t="s">
        <v>5430</v>
      </c>
      <c r="C2511" s="672" t="s">
        <v>5919</v>
      </c>
      <c r="D2511" s="672" t="s">
        <v>7986</v>
      </c>
      <c r="E2511" s="745"/>
      <c r="F2511" s="732">
        <v>3</v>
      </c>
      <c r="G2511" s="737">
        <v>9.57</v>
      </c>
      <c r="H2511" s="685">
        <v>28.71</v>
      </c>
      <c r="I2511" s="672" t="s">
        <v>9218</v>
      </c>
      <c r="J2511" s="672" t="s">
        <v>9219</v>
      </c>
      <c r="K2511" s="672" t="s">
        <v>2354</v>
      </c>
      <c r="L2511" s="672" t="s">
        <v>9219</v>
      </c>
    </row>
    <row r="2512" spans="1:12" x14ac:dyDescent="0.2">
      <c r="A2512" s="672" t="s">
        <v>220</v>
      </c>
      <c r="B2512" s="672" t="s">
        <v>5430</v>
      </c>
      <c r="C2512" s="672" t="s">
        <v>5921</v>
      </c>
      <c r="D2512" s="672" t="s">
        <v>7987</v>
      </c>
      <c r="E2512" s="745"/>
      <c r="F2512" s="732">
        <v>1</v>
      </c>
      <c r="G2512" s="737">
        <v>10.917999999999999</v>
      </c>
      <c r="H2512" s="685">
        <v>10.917999999999999</v>
      </c>
      <c r="I2512" s="672" t="s">
        <v>9218</v>
      </c>
      <c r="J2512" s="672" t="s">
        <v>9219</v>
      </c>
      <c r="K2512" s="672" t="s">
        <v>2354</v>
      </c>
      <c r="L2512" s="672" t="s">
        <v>9219</v>
      </c>
    </row>
    <row r="2513" spans="1:12" x14ac:dyDescent="0.2">
      <c r="A2513" s="672" t="s">
        <v>220</v>
      </c>
      <c r="B2513" s="672" t="s">
        <v>5430</v>
      </c>
      <c r="C2513" s="672" t="s">
        <v>5923</v>
      </c>
      <c r="D2513" s="672" t="s">
        <v>7988</v>
      </c>
      <c r="E2513" s="745"/>
      <c r="F2513" s="732">
        <v>4</v>
      </c>
      <c r="G2513" s="737">
        <v>4.1040000000000001</v>
      </c>
      <c r="H2513" s="685">
        <v>16.416</v>
      </c>
      <c r="I2513" s="672" t="s">
        <v>9218</v>
      </c>
      <c r="J2513" s="672" t="s">
        <v>9219</v>
      </c>
      <c r="K2513" s="672" t="s">
        <v>2354</v>
      </c>
      <c r="L2513" s="672" t="s">
        <v>9219</v>
      </c>
    </row>
    <row r="2514" spans="1:12" x14ac:dyDescent="0.2">
      <c r="A2514" s="672" t="s">
        <v>220</v>
      </c>
      <c r="B2514" s="672" t="s">
        <v>5430</v>
      </c>
      <c r="C2514" s="672" t="s">
        <v>5925</v>
      </c>
      <c r="D2514" s="672" t="s">
        <v>7989</v>
      </c>
      <c r="E2514" s="745"/>
      <c r="F2514" s="732">
        <v>2</v>
      </c>
      <c r="G2514" s="737">
        <v>6.9989999999999997</v>
      </c>
      <c r="H2514" s="685">
        <v>13.997999999999999</v>
      </c>
      <c r="I2514" s="672" t="s">
        <v>9218</v>
      </c>
      <c r="J2514" s="672" t="s">
        <v>9219</v>
      </c>
      <c r="K2514" s="672" t="s">
        <v>2354</v>
      </c>
      <c r="L2514" s="672" t="s">
        <v>9219</v>
      </c>
    </row>
    <row r="2515" spans="1:12" x14ac:dyDescent="0.2">
      <c r="A2515" s="672" t="s">
        <v>220</v>
      </c>
      <c r="B2515" s="672" t="s">
        <v>5430</v>
      </c>
      <c r="C2515" s="672" t="s">
        <v>5927</v>
      </c>
      <c r="D2515" s="672" t="s">
        <v>7990</v>
      </c>
      <c r="E2515" s="745"/>
      <c r="F2515" s="732">
        <v>1</v>
      </c>
      <c r="G2515" s="737">
        <v>44.609000000000002</v>
      </c>
      <c r="H2515" s="685">
        <v>44.609000000000002</v>
      </c>
      <c r="I2515" s="672" t="s">
        <v>9218</v>
      </c>
      <c r="J2515" s="672" t="s">
        <v>9219</v>
      </c>
      <c r="K2515" s="672" t="s">
        <v>2354</v>
      </c>
      <c r="L2515" s="672" t="s">
        <v>9219</v>
      </c>
    </row>
    <row r="2516" spans="1:12" x14ac:dyDescent="0.2">
      <c r="A2516" s="672" t="s">
        <v>220</v>
      </c>
      <c r="B2516" s="672" t="s">
        <v>5430</v>
      </c>
      <c r="C2516" s="672" t="s">
        <v>5929</v>
      </c>
      <c r="D2516" s="672" t="s">
        <v>5930</v>
      </c>
      <c r="E2516" s="745"/>
      <c r="F2516" s="732">
        <v>2</v>
      </c>
      <c r="G2516" s="737">
        <v>3.7530000000000001</v>
      </c>
      <c r="H2516" s="685">
        <v>7.5060000000000002</v>
      </c>
      <c r="I2516" s="672" t="s">
        <v>9218</v>
      </c>
      <c r="J2516" s="672" t="s">
        <v>9219</v>
      </c>
      <c r="K2516" s="672" t="s">
        <v>2354</v>
      </c>
      <c r="L2516" s="672" t="s">
        <v>9219</v>
      </c>
    </row>
    <row r="2517" spans="1:12" x14ac:dyDescent="0.2">
      <c r="A2517" s="672" t="s">
        <v>220</v>
      </c>
      <c r="B2517" s="672" t="s">
        <v>5430</v>
      </c>
      <c r="C2517" s="672" t="s">
        <v>5931</v>
      </c>
      <c r="D2517" s="672" t="s">
        <v>7991</v>
      </c>
      <c r="E2517" s="745"/>
      <c r="F2517" s="732">
        <v>3</v>
      </c>
      <c r="G2517" s="737">
        <v>13.048</v>
      </c>
      <c r="H2517" s="685">
        <v>39.143999999999998</v>
      </c>
      <c r="I2517" s="672" t="s">
        <v>9218</v>
      </c>
      <c r="J2517" s="672" t="s">
        <v>9219</v>
      </c>
      <c r="K2517" s="672" t="s">
        <v>2354</v>
      </c>
      <c r="L2517" s="672" t="s">
        <v>9219</v>
      </c>
    </row>
    <row r="2518" spans="1:12" x14ac:dyDescent="0.2">
      <c r="A2518" s="672" t="s">
        <v>220</v>
      </c>
      <c r="B2518" s="672" t="s">
        <v>5430</v>
      </c>
      <c r="C2518" s="672" t="s">
        <v>5933</v>
      </c>
      <c r="D2518" s="672" t="s">
        <v>7992</v>
      </c>
      <c r="E2518" s="745"/>
      <c r="F2518" s="732">
        <v>5</v>
      </c>
      <c r="G2518" s="737">
        <v>10.901999999999999</v>
      </c>
      <c r="H2518" s="685">
        <v>54.51</v>
      </c>
      <c r="I2518" s="672" t="s">
        <v>9218</v>
      </c>
      <c r="J2518" s="672" t="s">
        <v>9219</v>
      </c>
      <c r="K2518" s="672" t="s">
        <v>2354</v>
      </c>
      <c r="L2518" s="672" t="s">
        <v>9219</v>
      </c>
    </row>
    <row r="2519" spans="1:12" x14ac:dyDescent="0.2">
      <c r="A2519" s="672" t="s">
        <v>220</v>
      </c>
      <c r="B2519" s="672" t="s">
        <v>5430</v>
      </c>
      <c r="C2519" s="672" t="s">
        <v>5935</v>
      </c>
      <c r="D2519" s="672" t="s">
        <v>7993</v>
      </c>
      <c r="E2519" s="745"/>
      <c r="F2519" s="732">
        <v>3</v>
      </c>
      <c r="G2519" s="737">
        <v>8.2460000000000004</v>
      </c>
      <c r="H2519" s="685">
        <v>24.738</v>
      </c>
      <c r="I2519" s="672" t="s">
        <v>9218</v>
      </c>
      <c r="J2519" s="672" t="s">
        <v>9219</v>
      </c>
      <c r="K2519" s="672" t="s">
        <v>2354</v>
      </c>
      <c r="L2519" s="672" t="s">
        <v>9219</v>
      </c>
    </row>
    <row r="2520" spans="1:12" x14ac:dyDescent="0.2">
      <c r="A2520" s="672" t="s">
        <v>220</v>
      </c>
      <c r="B2520" s="672" t="s">
        <v>5430</v>
      </c>
      <c r="C2520" s="672" t="s">
        <v>5937</v>
      </c>
      <c r="D2520" s="672" t="s">
        <v>7994</v>
      </c>
      <c r="E2520" s="745"/>
      <c r="F2520" s="732">
        <v>3</v>
      </c>
      <c r="G2520" s="737">
        <v>4.05</v>
      </c>
      <c r="H2520" s="685">
        <v>12.149999999999999</v>
      </c>
      <c r="I2520" s="672" t="s">
        <v>9218</v>
      </c>
      <c r="J2520" s="672" t="s">
        <v>9219</v>
      </c>
      <c r="K2520" s="672" t="s">
        <v>2354</v>
      </c>
      <c r="L2520" s="672" t="s">
        <v>9219</v>
      </c>
    </row>
    <row r="2521" spans="1:12" x14ac:dyDescent="0.2">
      <c r="A2521" s="672" t="s">
        <v>220</v>
      </c>
      <c r="B2521" s="672" t="s">
        <v>5430</v>
      </c>
      <c r="C2521" s="672" t="s">
        <v>5939</v>
      </c>
      <c r="D2521" s="672" t="s">
        <v>7995</v>
      </c>
      <c r="E2521" s="745"/>
      <c r="F2521" s="732">
        <v>1</v>
      </c>
      <c r="G2521" s="737">
        <v>20.411999999999999</v>
      </c>
      <c r="H2521" s="685">
        <v>20.411999999999999</v>
      </c>
      <c r="I2521" s="672" t="s">
        <v>9218</v>
      </c>
      <c r="J2521" s="672" t="s">
        <v>9219</v>
      </c>
      <c r="K2521" s="672" t="s">
        <v>2354</v>
      </c>
      <c r="L2521" s="672" t="s">
        <v>9219</v>
      </c>
    </row>
    <row r="2522" spans="1:12" x14ac:dyDescent="0.2">
      <c r="A2522" s="672" t="s">
        <v>220</v>
      </c>
      <c r="B2522" s="672" t="s">
        <v>5430</v>
      </c>
      <c r="C2522" s="672" t="s">
        <v>5941</v>
      </c>
      <c r="D2522" s="672" t="s">
        <v>7996</v>
      </c>
      <c r="E2522" s="745"/>
      <c r="F2522" s="732">
        <v>6</v>
      </c>
      <c r="G2522" s="737">
        <v>3.927</v>
      </c>
      <c r="H2522" s="685">
        <v>23.562000000000001</v>
      </c>
      <c r="I2522" s="672" t="s">
        <v>9218</v>
      </c>
      <c r="J2522" s="672" t="s">
        <v>9219</v>
      </c>
      <c r="K2522" s="672" t="s">
        <v>2354</v>
      </c>
      <c r="L2522" s="672" t="s">
        <v>9219</v>
      </c>
    </row>
    <row r="2523" spans="1:12" x14ac:dyDescent="0.2">
      <c r="A2523" s="672" t="s">
        <v>220</v>
      </c>
      <c r="B2523" s="672" t="s">
        <v>5430</v>
      </c>
      <c r="C2523" s="672" t="s">
        <v>5943</v>
      </c>
      <c r="D2523" s="672" t="s">
        <v>7997</v>
      </c>
      <c r="E2523" s="745"/>
      <c r="F2523" s="732">
        <v>12</v>
      </c>
      <c r="G2523" s="737">
        <v>15.744</v>
      </c>
      <c r="H2523" s="685">
        <v>188.928</v>
      </c>
      <c r="I2523" s="672" t="s">
        <v>9218</v>
      </c>
      <c r="J2523" s="672" t="s">
        <v>9219</v>
      </c>
      <c r="K2523" s="672" t="s">
        <v>2354</v>
      </c>
      <c r="L2523" s="672" t="s">
        <v>9219</v>
      </c>
    </row>
    <row r="2524" spans="1:12" x14ac:dyDescent="0.2">
      <c r="A2524" s="672" t="s">
        <v>220</v>
      </c>
      <c r="B2524" s="672" t="s">
        <v>5430</v>
      </c>
      <c r="C2524" s="672" t="s">
        <v>5945</v>
      </c>
      <c r="D2524" s="672" t="s">
        <v>5946</v>
      </c>
      <c r="E2524" s="745"/>
      <c r="F2524" s="732">
        <v>6</v>
      </c>
      <c r="G2524" s="737">
        <v>31.013999999999999</v>
      </c>
      <c r="H2524" s="685">
        <v>186.084</v>
      </c>
      <c r="I2524" s="672" t="s">
        <v>9218</v>
      </c>
      <c r="J2524" s="672" t="s">
        <v>9219</v>
      </c>
      <c r="K2524" s="672" t="s">
        <v>2354</v>
      </c>
      <c r="L2524" s="672" t="s">
        <v>9219</v>
      </c>
    </row>
    <row r="2525" spans="1:12" x14ac:dyDescent="0.2">
      <c r="A2525" s="672" t="s">
        <v>220</v>
      </c>
      <c r="B2525" s="672" t="s">
        <v>5430</v>
      </c>
      <c r="C2525" s="672" t="s">
        <v>2956</v>
      </c>
      <c r="D2525" s="672" t="s">
        <v>2957</v>
      </c>
      <c r="E2525" s="745"/>
      <c r="F2525" s="732">
        <v>4</v>
      </c>
      <c r="G2525" s="737">
        <v>32.926000000000002</v>
      </c>
      <c r="H2525" s="685">
        <v>131.70400000000001</v>
      </c>
      <c r="I2525" s="672" t="s">
        <v>9218</v>
      </c>
      <c r="J2525" s="672" t="s">
        <v>9219</v>
      </c>
      <c r="K2525" s="672" t="s">
        <v>2354</v>
      </c>
      <c r="L2525" s="672" t="s">
        <v>9219</v>
      </c>
    </row>
    <row r="2526" spans="1:12" x14ac:dyDescent="0.2">
      <c r="A2526" s="672" t="s">
        <v>220</v>
      </c>
      <c r="B2526" s="672" t="s">
        <v>5430</v>
      </c>
      <c r="C2526" s="672" t="s">
        <v>5947</v>
      </c>
      <c r="D2526" s="672" t="s">
        <v>7998</v>
      </c>
      <c r="E2526" s="745"/>
      <c r="F2526" s="732">
        <v>2</v>
      </c>
      <c r="G2526" s="737">
        <v>59.164999999999999</v>
      </c>
      <c r="H2526" s="685">
        <v>118.33</v>
      </c>
      <c r="I2526" s="672" t="s">
        <v>9218</v>
      </c>
      <c r="J2526" s="672" t="s">
        <v>9219</v>
      </c>
      <c r="K2526" s="672" t="s">
        <v>2354</v>
      </c>
      <c r="L2526" s="672" t="s">
        <v>9219</v>
      </c>
    </row>
    <row r="2527" spans="1:12" x14ac:dyDescent="0.2">
      <c r="A2527" s="672" t="s">
        <v>220</v>
      </c>
      <c r="B2527" s="672" t="s">
        <v>5430</v>
      </c>
      <c r="C2527" s="672" t="s">
        <v>5949</v>
      </c>
      <c r="D2527" s="672" t="s">
        <v>7999</v>
      </c>
      <c r="E2527" s="745"/>
      <c r="F2527" s="732">
        <v>3</v>
      </c>
      <c r="G2527" s="737">
        <v>19.135999999999999</v>
      </c>
      <c r="H2527" s="685">
        <v>57.408000000000001</v>
      </c>
      <c r="I2527" s="672" t="s">
        <v>9218</v>
      </c>
      <c r="J2527" s="672" t="s">
        <v>9219</v>
      </c>
      <c r="K2527" s="672" t="s">
        <v>2354</v>
      </c>
      <c r="L2527" s="672" t="s">
        <v>9219</v>
      </c>
    </row>
    <row r="2528" spans="1:12" x14ac:dyDescent="0.2">
      <c r="A2528" s="672" t="s">
        <v>220</v>
      </c>
      <c r="B2528" s="672" t="s">
        <v>5430</v>
      </c>
      <c r="C2528" s="672" t="s">
        <v>5951</v>
      </c>
      <c r="D2528" s="672" t="s">
        <v>5952</v>
      </c>
      <c r="E2528" s="745"/>
      <c r="F2528" s="732">
        <v>6</v>
      </c>
      <c r="G2528" s="737">
        <v>13.86</v>
      </c>
      <c r="H2528" s="685">
        <v>83.16</v>
      </c>
      <c r="I2528" s="672" t="s">
        <v>9218</v>
      </c>
      <c r="J2528" s="672" t="s">
        <v>9219</v>
      </c>
      <c r="K2528" s="672" t="s">
        <v>2354</v>
      </c>
      <c r="L2528" s="672" t="s">
        <v>9219</v>
      </c>
    </row>
    <row r="2529" spans="1:12" x14ac:dyDescent="0.2">
      <c r="A2529" s="672" t="s">
        <v>220</v>
      </c>
      <c r="B2529" s="672" t="s">
        <v>5430</v>
      </c>
      <c r="C2529" s="672" t="s">
        <v>5953</v>
      </c>
      <c r="D2529" s="672" t="s">
        <v>5954</v>
      </c>
      <c r="E2529" s="745"/>
      <c r="F2529" s="732">
        <v>4</v>
      </c>
      <c r="G2529" s="737">
        <v>15.013999999999999</v>
      </c>
      <c r="H2529" s="685">
        <v>60.055999999999997</v>
      </c>
      <c r="I2529" s="672" t="s">
        <v>9218</v>
      </c>
      <c r="J2529" s="672" t="s">
        <v>9219</v>
      </c>
      <c r="K2529" s="672" t="s">
        <v>2354</v>
      </c>
      <c r="L2529" s="672" t="s">
        <v>9219</v>
      </c>
    </row>
    <row r="2530" spans="1:12" x14ac:dyDescent="0.2">
      <c r="A2530" s="672" t="s">
        <v>220</v>
      </c>
      <c r="B2530" s="672" t="s">
        <v>5430</v>
      </c>
      <c r="C2530" s="672" t="s">
        <v>5955</v>
      </c>
      <c r="D2530" s="672" t="s">
        <v>8000</v>
      </c>
      <c r="E2530" s="745"/>
      <c r="F2530" s="732">
        <v>3</v>
      </c>
      <c r="G2530" s="737">
        <v>25.212</v>
      </c>
      <c r="H2530" s="685">
        <v>75.635999999999996</v>
      </c>
      <c r="I2530" s="672" t="s">
        <v>9218</v>
      </c>
      <c r="J2530" s="672" t="s">
        <v>9219</v>
      </c>
      <c r="K2530" s="672" t="s">
        <v>2354</v>
      </c>
      <c r="L2530" s="672" t="s">
        <v>9219</v>
      </c>
    </row>
    <row r="2531" spans="1:12" x14ac:dyDescent="0.2">
      <c r="A2531" s="672" t="s">
        <v>220</v>
      </c>
      <c r="B2531" s="672" t="s">
        <v>5430</v>
      </c>
      <c r="C2531" s="672" t="s">
        <v>5957</v>
      </c>
      <c r="D2531" s="672" t="s">
        <v>8001</v>
      </c>
      <c r="E2531" s="745"/>
      <c r="F2531" s="732">
        <v>4</v>
      </c>
      <c r="G2531" s="737">
        <v>25.212</v>
      </c>
      <c r="H2531" s="685">
        <v>100.848</v>
      </c>
      <c r="I2531" s="672" t="s">
        <v>9218</v>
      </c>
      <c r="J2531" s="672" t="s">
        <v>9219</v>
      </c>
      <c r="K2531" s="672" t="s">
        <v>2354</v>
      </c>
      <c r="L2531" s="672" t="s">
        <v>9219</v>
      </c>
    </row>
    <row r="2532" spans="1:12" x14ac:dyDescent="0.2">
      <c r="A2532" s="672" t="s">
        <v>220</v>
      </c>
      <c r="B2532" s="672" t="s">
        <v>5430</v>
      </c>
      <c r="C2532" s="672" t="s">
        <v>5959</v>
      </c>
      <c r="D2532" s="672" t="s">
        <v>8002</v>
      </c>
      <c r="E2532" s="745"/>
      <c r="F2532" s="732">
        <v>5</v>
      </c>
      <c r="G2532" s="737">
        <v>25.212</v>
      </c>
      <c r="H2532" s="685">
        <v>126.06</v>
      </c>
      <c r="I2532" s="672" t="s">
        <v>9218</v>
      </c>
      <c r="J2532" s="672" t="s">
        <v>9219</v>
      </c>
      <c r="K2532" s="672" t="s">
        <v>2354</v>
      </c>
      <c r="L2532" s="672" t="s">
        <v>9219</v>
      </c>
    </row>
    <row r="2533" spans="1:12" x14ac:dyDescent="0.2">
      <c r="A2533" s="672" t="s">
        <v>220</v>
      </c>
      <c r="B2533" s="672" t="s">
        <v>5430</v>
      </c>
      <c r="C2533" s="672" t="s">
        <v>5961</v>
      </c>
      <c r="D2533" s="672" t="s">
        <v>8003</v>
      </c>
      <c r="E2533" s="745"/>
      <c r="F2533" s="732">
        <v>6</v>
      </c>
      <c r="G2533" s="737">
        <v>25.212</v>
      </c>
      <c r="H2533" s="685">
        <v>151.27199999999999</v>
      </c>
      <c r="I2533" s="672" t="s">
        <v>9218</v>
      </c>
      <c r="J2533" s="672" t="s">
        <v>9219</v>
      </c>
      <c r="K2533" s="672" t="s">
        <v>2354</v>
      </c>
      <c r="L2533" s="672" t="s">
        <v>9219</v>
      </c>
    </row>
    <row r="2534" spans="1:12" x14ac:dyDescent="0.2">
      <c r="A2534" s="672" t="s">
        <v>220</v>
      </c>
      <c r="B2534" s="672" t="s">
        <v>5430</v>
      </c>
      <c r="C2534" s="672" t="s">
        <v>8004</v>
      </c>
      <c r="D2534" s="672" t="s">
        <v>8005</v>
      </c>
      <c r="E2534" s="745"/>
      <c r="F2534" s="732">
        <v>2</v>
      </c>
      <c r="G2534" s="737">
        <v>87.971000000000004</v>
      </c>
      <c r="H2534" s="685">
        <v>175.94200000000001</v>
      </c>
      <c r="I2534" s="672" t="s">
        <v>9218</v>
      </c>
      <c r="J2534" s="672" t="s">
        <v>9219</v>
      </c>
      <c r="K2534" s="672" t="s">
        <v>2354</v>
      </c>
      <c r="L2534" s="672" t="s">
        <v>9219</v>
      </c>
    </row>
    <row r="2535" spans="1:12" x14ac:dyDescent="0.2">
      <c r="A2535" s="672" t="s">
        <v>220</v>
      </c>
      <c r="B2535" s="672" t="s">
        <v>5430</v>
      </c>
      <c r="C2535" s="672" t="s">
        <v>5963</v>
      </c>
      <c r="D2535" s="672" t="s">
        <v>8006</v>
      </c>
      <c r="E2535" s="745"/>
      <c r="F2535" s="732">
        <v>4</v>
      </c>
      <c r="G2535" s="737">
        <v>25.974</v>
      </c>
      <c r="H2535" s="685">
        <v>103.896</v>
      </c>
      <c r="I2535" s="672" t="s">
        <v>9218</v>
      </c>
      <c r="J2535" s="672" t="s">
        <v>9219</v>
      </c>
      <c r="K2535" s="672" t="s">
        <v>2354</v>
      </c>
      <c r="L2535" s="672" t="s">
        <v>9219</v>
      </c>
    </row>
    <row r="2536" spans="1:12" x14ac:dyDescent="0.2">
      <c r="A2536" s="672" t="s">
        <v>220</v>
      </c>
      <c r="B2536" s="672" t="s">
        <v>5430</v>
      </c>
      <c r="C2536" s="672" t="s">
        <v>5965</v>
      </c>
      <c r="D2536" s="672" t="s">
        <v>8007</v>
      </c>
      <c r="E2536" s="745"/>
      <c r="F2536" s="732">
        <v>4</v>
      </c>
      <c r="G2536" s="737">
        <v>32.456000000000003</v>
      </c>
      <c r="H2536" s="685">
        <v>129.82400000000001</v>
      </c>
      <c r="I2536" s="672" t="s">
        <v>9218</v>
      </c>
      <c r="J2536" s="672" t="s">
        <v>9219</v>
      </c>
      <c r="K2536" s="672" t="s">
        <v>2354</v>
      </c>
      <c r="L2536" s="672" t="s">
        <v>9219</v>
      </c>
    </row>
    <row r="2537" spans="1:12" x14ac:dyDescent="0.2">
      <c r="A2537" s="672" t="s">
        <v>220</v>
      </c>
      <c r="B2537" s="672" t="s">
        <v>5430</v>
      </c>
      <c r="C2537" s="672" t="s">
        <v>5967</v>
      </c>
      <c r="D2537" s="672" t="s">
        <v>8008</v>
      </c>
      <c r="E2537" s="745"/>
      <c r="F2537" s="732">
        <v>4</v>
      </c>
      <c r="G2537" s="737">
        <v>25.212</v>
      </c>
      <c r="H2537" s="685">
        <v>100.848</v>
      </c>
      <c r="I2537" s="672" t="s">
        <v>9218</v>
      </c>
      <c r="J2537" s="672" t="s">
        <v>9219</v>
      </c>
      <c r="K2537" s="672" t="s">
        <v>2354</v>
      </c>
      <c r="L2537" s="672" t="s">
        <v>9219</v>
      </c>
    </row>
    <row r="2538" spans="1:12" x14ac:dyDescent="0.2">
      <c r="A2538" s="672" t="s">
        <v>220</v>
      </c>
      <c r="B2538" s="672" t="s">
        <v>5430</v>
      </c>
      <c r="C2538" s="672" t="s">
        <v>8009</v>
      </c>
      <c r="D2538" s="672" t="s">
        <v>8010</v>
      </c>
      <c r="E2538" s="745"/>
      <c r="F2538" s="732">
        <v>6</v>
      </c>
      <c r="G2538" s="737">
        <v>11.52</v>
      </c>
      <c r="H2538" s="685">
        <v>69.12</v>
      </c>
      <c r="I2538" s="672" t="s">
        <v>9218</v>
      </c>
      <c r="J2538" s="672" t="s">
        <v>9219</v>
      </c>
      <c r="K2538" s="672" t="s">
        <v>2354</v>
      </c>
      <c r="L2538" s="672" t="s">
        <v>9219</v>
      </c>
    </row>
    <row r="2539" spans="1:12" x14ac:dyDescent="0.2">
      <c r="A2539" s="672" t="s">
        <v>220</v>
      </c>
      <c r="B2539" s="672" t="s">
        <v>5430</v>
      </c>
      <c r="C2539" s="672" t="s">
        <v>8011</v>
      </c>
      <c r="D2539" s="672" t="s">
        <v>8012</v>
      </c>
      <c r="E2539" s="745"/>
      <c r="F2539" s="732">
        <v>5</v>
      </c>
      <c r="G2539" s="737">
        <v>235</v>
      </c>
      <c r="H2539" s="685">
        <v>1175</v>
      </c>
      <c r="I2539" s="672" t="s">
        <v>9218</v>
      </c>
      <c r="J2539" s="672" t="s">
        <v>9219</v>
      </c>
      <c r="K2539" s="672" t="s">
        <v>2354</v>
      </c>
      <c r="L2539" s="672" t="s">
        <v>9219</v>
      </c>
    </row>
    <row r="2540" spans="1:12" x14ac:dyDescent="0.2">
      <c r="A2540" s="672" t="s">
        <v>220</v>
      </c>
      <c r="B2540" s="672" t="s">
        <v>5430</v>
      </c>
      <c r="C2540" s="672" t="s">
        <v>8013</v>
      </c>
      <c r="D2540" s="672" t="s">
        <v>8014</v>
      </c>
      <c r="E2540" s="745"/>
      <c r="F2540" s="732">
        <v>2</v>
      </c>
      <c r="G2540" s="737">
        <v>210</v>
      </c>
      <c r="H2540" s="685">
        <v>420</v>
      </c>
      <c r="I2540" s="672" t="s">
        <v>9218</v>
      </c>
      <c r="J2540" s="672" t="s">
        <v>9219</v>
      </c>
      <c r="K2540" s="672" t="s">
        <v>2354</v>
      </c>
      <c r="L2540" s="672" t="s">
        <v>9219</v>
      </c>
    </row>
    <row r="2541" spans="1:12" x14ac:dyDescent="0.2">
      <c r="A2541" s="672" t="s">
        <v>220</v>
      </c>
      <c r="B2541" s="672" t="s">
        <v>5430</v>
      </c>
      <c r="C2541" s="672" t="s">
        <v>5969</v>
      </c>
      <c r="D2541" s="672" t="s">
        <v>8015</v>
      </c>
      <c r="E2541" s="745"/>
      <c r="F2541" s="732">
        <v>4</v>
      </c>
      <c r="G2541" s="737">
        <v>27.608000000000001</v>
      </c>
      <c r="H2541" s="685">
        <v>110.432</v>
      </c>
      <c r="I2541" s="672" t="s">
        <v>9218</v>
      </c>
      <c r="J2541" s="672" t="s">
        <v>9219</v>
      </c>
      <c r="K2541" s="672" t="s">
        <v>2354</v>
      </c>
      <c r="L2541" s="672" t="s">
        <v>9219</v>
      </c>
    </row>
    <row r="2542" spans="1:12" x14ac:dyDescent="0.2">
      <c r="A2542" s="672" t="s">
        <v>220</v>
      </c>
      <c r="B2542" s="672" t="s">
        <v>5430</v>
      </c>
      <c r="C2542" s="672" t="s">
        <v>5971</v>
      </c>
      <c r="D2542" s="672" t="s">
        <v>8016</v>
      </c>
      <c r="E2542" s="745"/>
      <c r="F2542" s="732">
        <v>2</v>
      </c>
      <c r="G2542" s="737">
        <v>16.087</v>
      </c>
      <c r="H2542" s="685">
        <v>32.173999999999999</v>
      </c>
      <c r="I2542" s="672" t="s">
        <v>9218</v>
      </c>
      <c r="J2542" s="672" t="s">
        <v>9219</v>
      </c>
      <c r="K2542" s="672" t="s">
        <v>2354</v>
      </c>
      <c r="L2542" s="672" t="s">
        <v>9219</v>
      </c>
    </row>
    <row r="2543" spans="1:12" x14ac:dyDescent="0.2">
      <c r="A2543" s="672" t="s">
        <v>220</v>
      </c>
      <c r="B2543" s="672" t="s">
        <v>5430</v>
      </c>
      <c r="C2543" s="672" t="s">
        <v>5973</v>
      </c>
      <c r="D2543" s="672" t="s">
        <v>8017</v>
      </c>
      <c r="E2543" s="745"/>
      <c r="F2543" s="732">
        <v>1</v>
      </c>
      <c r="G2543" s="737">
        <v>43.1</v>
      </c>
      <c r="H2543" s="685">
        <v>43.1</v>
      </c>
      <c r="I2543" s="672" t="s">
        <v>9218</v>
      </c>
      <c r="J2543" s="672" t="s">
        <v>9219</v>
      </c>
      <c r="K2543" s="672" t="s">
        <v>2354</v>
      </c>
      <c r="L2543" s="672" t="s">
        <v>9219</v>
      </c>
    </row>
    <row r="2544" spans="1:12" x14ac:dyDescent="0.2">
      <c r="A2544" s="672" t="s">
        <v>220</v>
      </c>
      <c r="B2544" s="672" t="s">
        <v>5430</v>
      </c>
      <c r="C2544" s="672" t="s">
        <v>5975</v>
      </c>
      <c r="D2544" s="672" t="s">
        <v>8018</v>
      </c>
      <c r="E2544" s="745"/>
      <c r="F2544" s="732">
        <v>3</v>
      </c>
      <c r="G2544" s="737">
        <v>37.319000000000003</v>
      </c>
      <c r="H2544" s="685">
        <v>111.95700000000001</v>
      </c>
      <c r="I2544" s="672" t="s">
        <v>9218</v>
      </c>
      <c r="J2544" s="672" t="s">
        <v>9219</v>
      </c>
      <c r="K2544" s="672" t="s">
        <v>2354</v>
      </c>
      <c r="L2544" s="672" t="s">
        <v>9219</v>
      </c>
    </row>
    <row r="2545" spans="1:12" x14ac:dyDescent="0.2">
      <c r="A2545" s="672" t="s">
        <v>220</v>
      </c>
      <c r="B2545" s="672" t="s">
        <v>5430</v>
      </c>
      <c r="C2545" s="672" t="s">
        <v>5977</v>
      </c>
      <c r="D2545" s="672" t="s">
        <v>8019</v>
      </c>
      <c r="E2545" s="745"/>
      <c r="F2545" s="732">
        <v>2</v>
      </c>
      <c r="G2545" s="737">
        <v>42.73</v>
      </c>
      <c r="H2545" s="685">
        <v>85.46</v>
      </c>
      <c r="I2545" s="672" t="s">
        <v>9218</v>
      </c>
      <c r="J2545" s="672" t="s">
        <v>9219</v>
      </c>
      <c r="K2545" s="672" t="s">
        <v>2354</v>
      </c>
      <c r="L2545" s="672" t="s">
        <v>9219</v>
      </c>
    </row>
    <row r="2546" spans="1:12" x14ac:dyDescent="0.2">
      <c r="A2546" s="672" t="s">
        <v>220</v>
      </c>
      <c r="B2546" s="672" t="s">
        <v>5430</v>
      </c>
      <c r="C2546" s="672" t="s">
        <v>5979</v>
      </c>
      <c r="D2546" s="672" t="s">
        <v>5980</v>
      </c>
      <c r="E2546" s="745"/>
      <c r="F2546" s="732">
        <v>5</v>
      </c>
      <c r="G2546" s="737">
        <v>54.817999999999998</v>
      </c>
      <c r="H2546" s="685">
        <v>274.08999999999997</v>
      </c>
      <c r="I2546" s="672" t="s">
        <v>9218</v>
      </c>
      <c r="J2546" s="672" t="s">
        <v>9219</v>
      </c>
      <c r="K2546" s="672" t="s">
        <v>2354</v>
      </c>
      <c r="L2546" s="672" t="s">
        <v>9219</v>
      </c>
    </row>
    <row r="2547" spans="1:12" x14ac:dyDescent="0.2">
      <c r="A2547" s="672" t="s">
        <v>220</v>
      </c>
      <c r="B2547" s="672" t="s">
        <v>5430</v>
      </c>
      <c r="C2547" s="672" t="s">
        <v>5981</v>
      </c>
      <c r="D2547" s="672" t="s">
        <v>8020</v>
      </c>
      <c r="E2547" s="745"/>
      <c r="F2547" s="732">
        <v>5</v>
      </c>
      <c r="G2547" s="737">
        <v>67.524000000000001</v>
      </c>
      <c r="H2547" s="685">
        <v>337.62</v>
      </c>
      <c r="I2547" s="672" t="s">
        <v>9218</v>
      </c>
      <c r="J2547" s="672" t="s">
        <v>9219</v>
      </c>
      <c r="K2547" s="672" t="s">
        <v>2354</v>
      </c>
      <c r="L2547" s="672" t="s">
        <v>9219</v>
      </c>
    </row>
    <row r="2548" spans="1:12" x14ac:dyDescent="0.2">
      <c r="A2548" s="672" t="s">
        <v>220</v>
      </c>
      <c r="B2548" s="672" t="s">
        <v>5430</v>
      </c>
      <c r="C2548" s="672" t="s">
        <v>5983</v>
      </c>
      <c r="D2548" s="672" t="s">
        <v>8021</v>
      </c>
      <c r="E2548" s="745"/>
      <c r="F2548" s="732">
        <v>2</v>
      </c>
      <c r="G2548" s="737">
        <v>26.14</v>
      </c>
      <c r="H2548" s="685">
        <v>52.28</v>
      </c>
      <c r="I2548" s="672" t="s">
        <v>9218</v>
      </c>
      <c r="J2548" s="672" t="s">
        <v>9219</v>
      </c>
      <c r="K2548" s="672" t="s">
        <v>2354</v>
      </c>
      <c r="L2548" s="672" t="s">
        <v>9219</v>
      </c>
    </row>
    <row r="2549" spans="1:12" x14ac:dyDescent="0.2">
      <c r="A2549" s="672" t="s">
        <v>220</v>
      </c>
      <c r="B2549" s="672" t="s">
        <v>5430</v>
      </c>
      <c r="C2549" s="672" t="s">
        <v>5985</v>
      </c>
      <c r="D2549" s="672" t="s">
        <v>8022</v>
      </c>
      <c r="E2549" s="745"/>
      <c r="F2549" s="732">
        <v>3</v>
      </c>
      <c r="G2549" s="737">
        <v>23.4</v>
      </c>
      <c r="H2549" s="685">
        <v>70.199999999999989</v>
      </c>
      <c r="I2549" s="672" t="s">
        <v>9218</v>
      </c>
      <c r="J2549" s="672" t="s">
        <v>9219</v>
      </c>
      <c r="K2549" s="672" t="s">
        <v>2354</v>
      </c>
      <c r="L2549" s="672" t="s">
        <v>9219</v>
      </c>
    </row>
    <row r="2550" spans="1:12" x14ac:dyDescent="0.2">
      <c r="A2550" s="672" t="s">
        <v>220</v>
      </c>
      <c r="B2550" s="672" t="s">
        <v>5430</v>
      </c>
      <c r="C2550" s="672" t="s">
        <v>2383</v>
      </c>
      <c r="D2550" s="672" t="s">
        <v>8026</v>
      </c>
      <c r="E2550" s="745"/>
      <c r="F2550" s="732">
        <v>3</v>
      </c>
      <c r="G2550" s="737">
        <v>21.7224</v>
      </c>
      <c r="H2550" s="685">
        <v>65.167200000000008</v>
      </c>
      <c r="I2550" s="672" t="s">
        <v>9218</v>
      </c>
      <c r="J2550" s="672" t="s">
        <v>9219</v>
      </c>
      <c r="K2550" s="672" t="s">
        <v>2354</v>
      </c>
      <c r="L2550" s="672" t="s">
        <v>9219</v>
      </c>
    </row>
    <row r="2551" spans="1:12" x14ac:dyDescent="0.2">
      <c r="A2551" s="672" t="s">
        <v>220</v>
      </c>
      <c r="B2551" s="672" t="s">
        <v>5430</v>
      </c>
      <c r="C2551" s="672" t="s">
        <v>5994</v>
      </c>
      <c r="D2551" s="672" t="s">
        <v>5995</v>
      </c>
      <c r="E2551" s="745"/>
      <c r="F2551" s="732">
        <v>4</v>
      </c>
      <c r="G2551" s="737">
        <v>36.265000000000001</v>
      </c>
      <c r="H2551" s="685">
        <v>145.06</v>
      </c>
      <c r="I2551" s="672" t="s">
        <v>9218</v>
      </c>
      <c r="J2551" s="672" t="s">
        <v>9219</v>
      </c>
      <c r="K2551" s="672" t="s">
        <v>2354</v>
      </c>
      <c r="L2551" s="672" t="s">
        <v>9219</v>
      </c>
    </row>
    <row r="2552" spans="1:12" x14ac:dyDescent="0.2">
      <c r="A2552" s="672" t="s">
        <v>220</v>
      </c>
      <c r="B2552" s="672" t="s">
        <v>5430</v>
      </c>
      <c r="C2552" s="672" t="s">
        <v>8028</v>
      </c>
      <c r="D2552" s="672" t="s">
        <v>8029</v>
      </c>
      <c r="E2552" s="745"/>
      <c r="F2552" s="732">
        <v>6</v>
      </c>
      <c r="G2552" s="737">
        <v>103.428</v>
      </c>
      <c r="H2552" s="685">
        <v>620.56799999999998</v>
      </c>
      <c r="I2552" s="672" t="s">
        <v>9218</v>
      </c>
      <c r="J2552" s="672" t="s">
        <v>9219</v>
      </c>
      <c r="K2552" s="672" t="s">
        <v>2354</v>
      </c>
      <c r="L2552" s="672" t="s">
        <v>9219</v>
      </c>
    </row>
    <row r="2553" spans="1:12" x14ac:dyDescent="0.2">
      <c r="A2553" s="672" t="s">
        <v>220</v>
      </c>
      <c r="B2553" s="672" t="s">
        <v>5430</v>
      </c>
      <c r="C2553" s="672" t="s">
        <v>5996</v>
      </c>
      <c r="D2553" s="672" t="s">
        <v>5997</v>
      </c>
      <c r="E2553" s="745"/>
      <c r="F2553" s="732">
        <v>11</v>
      </c>
      <c r="G2553" s="737">
        <v>177.44200000000001</v>
      </c>
      <c r="H2553" s="685">
        <v>1951.8620000000001</v>
      </c>
      <c r="I2553" s="672" t="s">
        <v>9218</v>
      </c>
      <c r="J2553" s="672" t="s">
        <v>9219</v>
      </c>
      <c r="K2553" s="672" t="s">
        <v>2354</v>
      </c>
      <c r="L2553" s="672" t="s">
        <v>9219</v>
      </c>
    </row>
    <row r="2554" spans="1:12" x14ac:dyDescent="0.2">
      <c r="A2554" s="672" t="s">
        <v>220</v>
      </c>
      <c r="B2554" s="672" t="s">
        <v>5430</v>
      </c>
      <c r="C2554" s="672" t="s">
        <v>5998</v>
      </c>
      <c r="D2554" s="672" t="s">
        <v>8030</v>
      </c>
      <c r="E2554" s="745"/>
      <c r="F2554" s="732">
        <v>1</v>
      </c>
      <c r="G2554" s="737">
        <v>16.11</v>
      </c>
      <c r="H2554" s="685">
        <v>16.11</v>
      </c>
      <c r="I2554" s="672" t="s">
        <v>9218</v>
      </c>
      <c r="J2554" s="672" t="s">
        <v>9219</v>
      </c>
      <c r="K2554" s="672" t="s">
        <v>2354</v>
      </c>
      <c r="L2554" s="672" t="s">
        <v>9219</v>
      </c>
    </row>
    <row r="2555" spans="1:12" x14ac:dyDescent="0.2">
      <c r="A2555" s="672" t="s">
        <v>220</v>
      </c>
      <c r="B2555" s="672" t="s">
        <v>5430</v>
      </c>
      <c r="C2555" s="672" t="s">
        <v>3006</v>
      </c>
      <c r="D2555" s="672" t="s">
        <v>8031</v>
      </c>
      <c r="E2555" s="745"/>
      <c r="F2555" s="732">
        <v>9</v>
      </c>
      <c r="G2555" s="737">
        <v>7.92</v>
      </c>
      <c r="H2555" s="685">
        <v>71.28</v>
      </c>
      <c r="I2555" s="672" t="s">
        <v>9218</v>
      </c>
      <c r="J2555" s="672" t="s">
        <v>9219</v>
      </c>
      <c r="K2555" s="672" t="s">
        <v>2354</v>
      </c>
      <c r="L2555" s="672" t="s">
        <v>9219</v>
      </c>
    </row>
    <row r="2556" spans="1:12" x14ac:dyDescent="0.2">
      <c r="A2556" s="672" t="s">
        <v>220</v>
      </c>
      <c r="B2556" s="672" t="s">
        <v>5430</v>
      </c>
      <c r="C2556" s="672" t="s">
        <v>3010</v>
      </c>
      <c r="D2556" s="672" t="s">
        <v>8032</v>
      </c>
      <c r="E2556" s="745"/>
      <c r="F2556" s="732">
        <v>12</v>
      </c>
      <c r="G2556" s="737">
        <v>12.5</v>
      </c>
      <c r="H2556" s="685">
        <v>150</v>
      </c>
      <c r="I2556" s="672" t="s">
        <v>9218</v>
      </c>
      <c r="J2556" s="672" t="s">
        <v>9219</v>
      </c>
      <c r="K2556" s="672" t="s">
        <v>2354</v>
      </c>
      <c r="L2556" s="672" t="s">
        <v>9219</v>
      </c>
    </row>
    <row r="2557" spans="1:12" x14ac:dyDescent="0.2">
      <c r="A2557" s="672" t="s">
        <v>220</v>
      </c>
      <c r="B2557" s="672" t="s">
        <v>5430</v>
      </c>
      <c r="C2557" s="672" t="s">
        <v>6000</v>
      </c>
      <c r="D2557" s="672" t="s">
        <v>8033</v>
      </c>
      <c r="E2557" s="745"/>
      <c r="F2557" s="732">
        <v>10</v>
      </c>
      <c r="G2557" s="737">
        <v>11.157</v>
      </c>
      <c r="H2557" s="685">
        <v>111.57</v>
      </c>
      <c r="I2557" s="672" t="s">
        <v>9218</v>
      </c>
      <c r="J2557" s="672" t="s">
        <v>9219</v>
      </c>
      <c r="K2557" s="672" t="s">
        <v>2354</v>
      </c>
      <c r="L2557" s="672" t="s">
        <v>9219</v>
      </c>
    </row>
    <row r="2558" spans="1:12" x14ac:dyDescent="0.2">
      <c r="A2558" s="672" t="s">
        <v>220</v>
      </c>
      <c r="B2558" s="672" t="s">
        <v>5430</v>
      </c>
      <c r="C2558" s="672" t="s">
        <v>6002</v>
      </c>
      <c r="D2558" s="672" t="s">
        <v>8034</v>
      </c>
      <c r="E2558" s="745"/>
      <c r="F2558" s="732">
        <v>2</v>
      </c>
      <c r="G2558" s="737">
        <v>100.035</v>
      </c>
      <c r="H2558" s="685">
        <v>200.07</v>
      </c>
      <c r="I2558" s="672" t="s">
        <v>9218</v>
      </c>
      <c r="J2558" s="672" t="s">
        <v>9219</v>
      </c>
      <c r="K2558" s="672" t="s">
        <v>2354</v>
      </c>
      <c r="L2558" s="672" t="s">
        <v>9219</v>
      </c>
    </row>
    <row r="2559" spans="1:12" x14ac:dyDescent="0.2">
      <c r="A2559" s="672" t="s">
        <v>220</v>
      </c>
      <c r="B2559" s="672" t="s">
        <v>5430</v>
      </c>
      <c r="C2559" s="672" t="s">
        <v>3012</v>
      </c>
      <c r="D2559" s="672" t="s">
        <v>3013</v>
      </c>
      <c r="E2559" s="745"/>
      <c r="F2559" s="732">
        <v>20</v>
      </c>
      <c r="G2559" s="737">
        <v>14.4</v>
      </c>
      <c r="H2559" s="685">
        <v>288</v>
      </c>
      <c r="I2559" s="672" t="s">
        <v>9218</v>
      </c>
      <c r="J2559" s="672" t="s">
        <v>9219</v>
      </c>
      <c r="K2559" s="672" t="s">
        <v>2354</v>
      </c>
      <c r="L2559" s="672" t="s">
        <v>9219</v>
      </c>
    </row>
    <row r="2560" spans="1:12" x14ac:dyDescent="0.2">
      <c r="A2560" s="672" t="s">
        <v>220</v>
      </c>
      <c r="B2560" s="672" t="s">
        <v>5430</v>
      </c>
      <c r="C2560" s="672" t="s">
        <v>6004</v>
      </c>
      <c r="D2560" s="672" t="s">
        <v>8035</v>
      </c>
      <c r="E2560" s="745"/>
      <c r="F2560" s="732">
        <v>23</v>
      </c>
      <c r="G2560" s="737">
        <v>21.577000000000002</v>
      </c>
      <c r="H2560" s="685">
        <v>496.27100000000002</v>
      </c>
      <c r="I2560" s="672" t="s">
        <v>9218</v>
      </c>
      <c r="J2560" s="672" t="s">
        <v>9219</v>
      </c>
      <c r="K2560" s="672" t="s">
        <v>2354</v>
      </c>
      <c r="L2560" s="672" t="s">
        <v>9219</v>
      </c>
    </row>
    <row r="2561" spans="1:12" x14ac:dyDescent="0.2">
      <c r="A2561" s="672" t="s">
        <v>220</v>
      </c>
      <c r="B2561" s="672" t="s">
        <v>5430</v>
      </c>
      <c r="C2561" s="672" t="s">
        <v>3014</v>
      </c>
      <c r="D2561" s="672" t="s">
        <v>8036</v>
      </c>
      <c r="E2561" s="745"/>
      <c r="F2561" s="732">
        <v>7</v>
      </c>
      <c r="G2561" s="737">
        <v>8.1</v>
      </c>
      <c r="H2561" s="685">
        <v>56.699999999999996</v>
      </c>
      <c r="I2561" s="672" t="s">
        <v>9218</v>
      </c>
      <c r="J2561" s="672" t="s">
        <v>9219</v>
      </c>
      <c r="K2561" s="672" t="s">
        <v>2354</v>
      </c>
      <c r="L2561" s="672" t="s">
        <v>9219</v>
      </c>
    </row>
    <row r="2562" spans="1:12" x14ac:dyDescent="0.2">
      <c r="A2562" s="672" t="s">
        <v>220</v>
      </c>
      <c r="B2562" s="672" t="s">
        <v>5430</v>
      </c>
      <c r="C2562" s="672" t="s">
        <v>2381</v>
      </c>
      <c r="D2562" s="672" t="s">
        <v>6006</v>
      </c>
      <c r="E2562" s="745"/>
      <c r="F2562" s="732">
        <v>4</v>
      </c>
      <c r="G2562" s="737">
        <v>6.8110285714285723</v>
      </c>
      <c r="H2562" s="685">
        <v>27.244114285714289</v>
      </c>
      <c r="I2562" s="672" t="s">
        <v>9218</v>
      </c>
      <c r="J2562" s="672" t="s">
        <v>9219</v>
      </c>
      <c r="K2562" s="672" t="s">
        <v>2354</v>
      </c>
      <c r="L2562" s="672" t="s">
        <v>9219</v>
      </c>
    </row>
    <row r="2563" spans="1:12" x14ac:dyDescent="0.2">
      <c r="A2563" s="672" t="s">
        <v>220</v>
      </c>
      <c r="B2563" s="672" t="s">
        <v>5430</v>
      </c>
      <c r="C2563" s="672" t="s">
        <v>3018</v>
      </c>
      <c r="D2563" s="672" t="s">
        <v>8038</v>
      </c>
      <c r="E2563" s="745"/>
      <c r="F2563" s="732">
        <v>21</v>
      </c>
      <c r="G2563" s="737">
        <v>11.7</v>
      </c>
      <c r="H2563" s="685">
        <v>245.7</v>
      </c>
      <c r="I2563" s="672" t="s">
        <v>9218</v>
      </c>
      <c r="J2563" s="672" t="s">
        <v>9219</v>
      </c>
      <c r="K2563" s="672" t="s">
        <v>2354</v>
      </c>
      <c r="L2563" s="672" t="s">
        <v>9219</v>
      </c>
    </row>
    <row r="2564" spans="1:12" x14ac:dyDescent="0.2">
      <c r="A2564" s="672" t="s">
        <v>220</v>
      </c>
      <c r="B2564" s="672" t="s">
        <v>5430</v>
      </c>
      <c r="C2564" s="672" t="s">
        <v>3020</v>
      </c>
      <c r="D2564" s="672" t="s">
        <v>3021</v>
      </c>
      <c r="E2564" s="745"/>
      <c r="F2564" s="732">
        <v>20</v>
      </c>
      <c r="G2564" s="737">
        <v>10.8</v>
      </c>
      <c r="H2564" s="685">
        <v>216</v>
      </c>
      <c r="I2564" s="672" t="s">
        <v>9218</v>
      </c>
      <c r="J2564" s="672" t="s">
        <v>9219</v>
      </c>
      <c r="K2564" s="672" t="s">
        <v>2354</v>
      </c>
      <c r="L2564" s="672" t="s">
        <v>9219</v>
      </c>
    </row>
    <row r="2565" spans="1:12" x14ac:dyDescent="0.2">
      <c r="A2565" s="672" t="s">
        <v>220</v>
      </c>
      <c r="B2565" s="672" t="s">
        <v>5430</v>
      </c>
      <c r="C2565" s="672" t="s">
        <v>3022</v>
      </c>
      <c r="D2565" s="672" t="s">
        <v>8039</v>
      </c>
      <c r="E2565" s="745"/>
      <c r="F2565" s="732">
        <v>18</v>
      </c>
      <c r="G2565" s="737">
        <v>16.02</v>
      </c>
      <c r="H2565" s="685">
        <v>288.36</v>
      </c>
      <c r="I2565" s="672" t="s">
        <v>9218</v>
      </c>
      <c r="J2565" s="672" t="s">
        <v>9219</v>
      </c>
      <c r="K2565" s="672" t="s">
        <v>2354</v>
      </c>
      <c r="L2565" s="672" t="s">
        <v>9219</v>
      </c>
    </row>
    <row r="2566" spans="1:12" x14ac:dyDescent="0.2">
      <c r="A2566" s="672" t="s">
        <v>220</v>
      </c>
      <c r="B2566" s="672" t="s">
        <v>5430</v>
      </c>
      <c r="C2566" s="672" t="s">
        <v>3024</v>
      </c>
      <c r="D2566" s="672" t="s">
        <v>8040</v>
      </c>
      <c r="E2566" s="745"/>
      <c r="F2566" s="732">
        <v>16</v>
      </c>
      <c r="G2566" s="737">
        <v>21.105126666666667</v>
      </c>
      <c r="H2566" s="685">
        <v>337.68202666666667</v>
      </c>
      <c r="I2566" s="672" t="s">
        <v>9218</v>
      </c>
      <c r="J2566" s="672" t="s">
        <v>9219</v>
      </c>
      <c r="K2566" s="672" t="s">
        <v>2354</v>
      </c>
      <c r="L2566" s="672" t="s">
        <v>9219</v>
      </c>
    </row>
    <row r="2567" spans="1:12" x14ac:dyDescent="0.2">
      <c r="A2567" s="672" t="s">
        <v>220</v>
      </c>
      <c r="B2567" s="672" t="s">
        <v>5430</v>
      </c>
      <c r="D2567" s="672" t="s">
        <v>9435</v>
      </c>
      <c r="E2567" s="745"/>
      <c r="F2567" s="732">
        <v>12</v>
      </c>
      <c r="G2567" s="737">
        <v>31.992999999999999</v>
      </c>
      <c r="H2567" s="685">
        <v>383.916</v>
      </c>
      <c r="I2567" s="672" t="s">
        <v>9218</v>
      </c>
      <c r="J2567" s="672" t="s">
        <v>9219</v>
      </c>
      <c r="K2567" s="672" t="s">
        <v>2354</v>
      </c>
      <c r="L2567" s="672" t="s">
        <v>9219</v>
      </c>
    </row>
    <row r="2568" spans="1:12" x14ac:dyDescent="0.2">
      <c r="A2568" s="672" t="s">
        <v>220</v>
      </c>
      <c r="B2568" s="672" t="s">
        <v>5430</v>
      </c>
      <c r="C2568" s="672" t="s">
        <v>6007</v>
      </c>
      <c r="D2568" s="672" t="s">
        <v>8041</v>
      </c>
      <c r="E2568" s="745"/>
      <c r="F2568" s="732">
        <v>1</v>
      </c>
      <c r="G2568" s="737">
        <v>81.38</v>
      </c>
      <c r="H2568" s="685">
        <v>81.38</v>
      </c>
      <c r="I2568" s="672" t="s">
        <v>9218</v>
      </c>
      <c r="J2568" s="672" t="s">
        <v>9219</v>
      </c>
      <c r="K2568" s="672" t="s">
        <v>2354</v>
      </c>
      <c r="L2568" s="672" t="s">
        <v>9219</v>
      </c>
    </row>
    <row r="2569" spans="1:12" x14ac:dyDescent="0.2">
      <c r="A2569" s="672" t="s">
        <v>220</v>
      </c>
      <c r="B2569" s="672" t="s">
        <v>5430</v>
      </c>
      <c r="C2569" s="672" t="s">
        <v>3026</v>
      </c>
      <c r="D2569" s="672" t="s">
        <v>8042</v>
      </c>
      <c r="E2569" s="745"/>
      <c r="F2569" s="732">
        <v>7</v>
      </c>
      <c r="G2569" s="737">
        <v>10.098000000000001</v>
      </c>
      <c r="H2569" s="685">
        <v>70.686000000000007</v>
      </c>
      <c r="I2569" s="672" t="s">
        <v>9218</v>
      </c>
      <c r="J2569" s="672" t="s">
        <v>9219</v>
      </c>
      <c r="K2569" s="672" t="s">
        <v>2354</v>
      </c>
      <c r="L2569" s="672" t="s">
        <v>9219</v>
      </c>
    </row>
    <row r="2570" spans="1:12" x14ac:dyDescent="0.2">
      <c r="A2570" s="672" t="s">
        <v>220</v>
      </c>
      <c r="B2570" s="672" t="s">
        <v>5430</v>
      </c>
      <c r="C2570" s="672" t="s">
        <v>3030</v>
      </c>
      <c r="D2570" s="672" t="s">
        <v>8043</v>
      </c>
      <c r="E2570" s="745"/>
      <c r="F2570" s="732">
        <v>5</v>
      </c>
      <c r="G2570" s="737">
        <v>15.205641046831957</v>
      </c>
      <c r="H2570" s="685">
        <v>76.028205234159785</v>
      </c>
      <c r="I2570" s="672" t="s">
        <v>9218</v>
      </c>
      <c r="J2570" s="672" t="s">
        <v>9219</v>
      </c>
      <c r="K2570" s="672" t="s">
        <v>2354</v>
      </c>
      <c r="L2570" s="672" t="s">
        <v>9219</v>
      </c>
    </row>
    <row r="2571" spans="1:12" x14ac:dyDescent="0.2">
      <c r="A2571" s="672" t="s">
        <v>220</v>
      </c>
      <c r="B2571" s="672" t="s">
        <v>5430</v>
      </c>
      <c r="C2571" s="672" t="s">
        <v>3032</v>
      </c>
      <c r="D2571" s="672" t="s">
        <v>3033</v>
      </c>
      <c r="E2571" s="745"/>
      <c r="F2571" s="732">
        <v>4</v>
      </c>
      <c r="G2571" s="737">
        <v>41.399099999999997</v>
      </c>
      <c r="H2571" s="685">
        <v>165.59639999999999</v>
      </c>
      <c r="I2571" s="672" t="s">
        <v>9218</v>
      </c>
      <c r="J2571" s="672" t="s">
        <v>9219</v>
      </c>
      <c r="K2571" s="672" t="s">
        <v>2354</v>
      </c>
      <c r="L2571" s="672" t="s">
        <v>9219</v>
      </c>
    </row>
    <row r="2572" spans="1:12" x14ac:dyDescent="0.2">
      <c r="A2572" s="672" t="s">
        <v>220</v>
      </c>
      <c r="B2572" s="672" t="s">
        <v>5430</v>
      </c>
      <c r="C2572" s="672" t="s">
        <v>6009</v>
      </c>
      <c r="D2572" s="672" t="s">
        <v>6010</v>
      </c>
      <c r="E2572" s="745"/>
      <c r="F2572" s="732">
        <v>6</v>
      </c>
      <c r="G2572" s="737">
        <v>99.581000000000003</v>
      </c>
      <c r="H2572" s="685">
        <v>597.48599999999999</v>
      </c>
      <c r="I2572" s="672" t="s">
        <v>9218</v>
      </c>
      <c r="J2572" s="672" t="s">
        <v>9219</v>
      </c>
      <c r="K2572" s="672" t="s">
        <v>2354</v>
      </c>
      <c r="L2572" s="672" t="s">
        <v>9219</v>
      </c>
    </row>
    <row r="2573" spans="1:12" x14ac:dyDescent="0.2">
      <c r="A2573" s="672" t="s">
        <v>220</v>
      </c>
      <c r="B2573" s="672" t="s">
        <v>5430</v>
      </c>
      <c r="C2573" s="672" t="s">
        <v>6011</v>
      </c>
      <c r="D2573" s="672" t="s">
        <v>8044</v>
      </c>
      <c r="E2573" s="745"/>
      <c r="F2573" s="732">
        <v>2</v>
      </c>
      <c r="G2573" s="737">
        <v>145.80000000000001</v>
      </c>
      <c r="H2573" s="685">
        <v>291.60000000000002</v>
      </c>
      <c r="I2573" s="672" t="s">
        <v>9218</v>
      </c>
      <c r="J2573" s="672" t="s">
        <v>9219</v>
      </c>
      <c r="K2573" s="672" t="s">
        <v>2354</v>
      </c>
      <c r="L2573" s="672" t="s">
        <v>9219</v>
      </c>
    </row>
    <row r="2574" spans="1:12" x14ac:dyDescent="0.2">
      <c r="A2574" s="672" t="s">
        <v>220</v>
      </c>
      <c r="B2574" s="672" t="s">
        <v>5430</v>
      </c>
      <c r="C2574" s="672" t="s">
        <v>6013</v>
      </c>
      <c r="D2574" s="672" t="s">
        <v>6014</v>
      </c>
      <c r="E2574" s="745"/>
      <c r="F2574" s="732">
        <v>4</v>
      </c>
      <c r="G2574" s="737">
        <v>115.34699999999999</v>
      </c>
      <c r="H2574" s="685">
        <v>461.38799999999998</v>
      </c>
      <c r="I2574" s="672" t="s">
        <v>9218</v>
      </c>
      <c r="J2574" s="672" t="s">
        <v>9219</v>
      </c>
      <c r="K2574" s="672" t="s">
        <v>2354</v>
      </c>
      <c r="L2574" s="672" t="s">
        <v>9219</v>
      </c>
    </row>
    <row r="2575" spans="1:12" x14ac:dyDescent="0.2">
      <c r="A2575" s="672" t="s">
        <v>220</v>
      </c>
      <c r="B2575" s="672" t="s">
        <v>5430</v>
      </c>
      <c r="C2575" s="672" t="s">
        <v>6019</v>
      </c>
      <c r="D2575" s="672" t="s">
        <v>8046</v>
      </c>
      <c r="E2575" s="745"/>
      <c r="F2575" s="732">
        <v>6</v>
      </c>
      <c r="G2575" s="737">
        <v>121.892</v>
      </c>
      <c r="H2575" s="685">
        <v>731.35199999999998</v>
      </c>
      <c r="I2575" s="672" t="s">
        <v>9218</v>
      </c>
      <c r="J2575" s="672" t="s">
        <v>9219</v>
      </c>
      <c r="K2575" s="672" t="s">
        <v>2354</v>
      </c>
      <c r="L2575" s="672" t="s">
        <v>9219</v>
      </c>
    </row>
    <row r="2576" spans="1:12" x14ac:dyDescent="0.2">
      <c r="A2576" s="672" t="s">
        <v>220</v>
      </c>
      <c r="B2576" s="672" t="s">
        <v>5430</v>
      </c>
      <c r="C2576" s="672" t="s">
        <v>6021</v>
      </c>
      <c r="D2576" s="672" t="s">
        <v>8047</v>
      </c>
      <c r="E2576" s="745"/>
      <c r="F2576" s="732">
        <v>9</v>
      </c>
      <c r="G2576" s="737">
        <v>28.763999999999999</v>
      </c>
      <c r="H2576" s="685">
        <v>258.87599999999998</v>
      </c>
      <c r="I2576" s="672" t="s">
        <v>9218</v>
      </c>
      <c r="J2576" s="672" t="s">
        <v>9219</v>
      </c>
      <c r="K2576" s="672" t="s">
        <v>2354</v>
      </c>
      <c r="L2576" s="672" t="s">
        <v>9219</v>
      </c>
    </row>
    <row r="2577" spans="1:12" x14ac:dyDescent="0.2">
      <c r="A2577" s="672" t="s">
        <v>220</v>
      </c>
      <c r="B2577" s="672" t="s">
        <v>5430</v>
      </c>
      <c r="C2577" s="672" t="s">
        <v>6023</v>
      </c>
      <c r="D2577" s="672" t="s">
        <v>8048</v>
      </c>
      <c r="E2577" s="745"/>
      <c r="F2577" s="732">
        <v>1</v>
      </c>
      <c r="G2577" s="737">
        <v>10.7127</v>
      </c>
      <c r="H2577" s="685">
        <v>10.7127</v>
      </c>
      <c r="I2577" s="672" t="s">
        <v>9218</v>
      </c>
      <c r="J2577" s="672" t="s">
        <v>9219</v>
      </c>
      <c r="K2577" s="672" t="s">
        <v>2354</v>
      </c>
      <c r="L2577" s="672" t="s">
        <v>9219</v>
      </c>
    </row>
    <row r="2578" spans="1:12" x14ac:dyDescent="0.2">
      <c r="A2578" s="672" t="s">
        <v>220</v>
      </c>
      <c r="B2578" s="672" t="s">
        <v>5430</v>
      </c>
      <c r="C2578" s="672" t="s">
        <v>3044</v>
      </c>
      <c r="D2578" s="672" t="s">
        <v>8049</v>
      </c>
      <c r="E2578" s="745"/>
      <c r="F2578" s="732">
        <v>13</v>
      </c>
      <c r="G2578" s="737">
        <v>48.572099999999999</v>
      </c>
      <c r="H2578" s="685">
        <v>631.43729999999994</v>
      </c>
      <c r="I2578" s="672" t="s">
        <v>9218</v>
      </c>
      <c r="J2578" s="672" t="s">
        <v>9219</v>
      </c>
      <c r="K2578" s="672" t="s">
        <v>2354</v>
      </c>
      <c r="L2578" s="672" t="s">
        <v>9219</v>
      </c>
    </row>
    <row r="2579" spans="1:12" x14ac:dyDescent="0.2">
      <c r="A2579" s="672" t="s">
        <v>220</v>
      </c>
      <c r="B2579" s="672" t="s">
        <v>5430</v>
      </c>
      <c r="C2579" s="672" t="s">
        <v>8050</v>
      </c>
      <c r="D2579" s="672" t="s">
        <v>8051</v>
      </c>
      <c r="E2579" s="745"/>
      <c r="F2579" s="732">
        <v>2</v>
      </c>
      <c r="G2579" s="737">
        <v>77.227999999999994</v>
      </c>
      <c r="H2579" s="685">
        <v>154.45599999999999</v>
      </c>
      <c r="I2579" s="672" t="s">
        <v>9218</v>
      </c>
      <c r="J2579" s="672" t="s">
        <v>9219</v>
      </c>
      <c r="K2579" s="672" t="s">
        <v>2354</v>
      </c>
      <c r="L2579" s="672" t="s">
        <v>9219</v>
      </c>
    </row>
    <row r="2580" spans="1:12" x14ac:dyDescent="0.2">
      <c r="A2580" s="672" t="s">
        <v>220</v>
      </c>
      <c r="B2580" s="672" t="s">
        <v>5430</v>
      </c>
      <c r="C2580" s="672" t="s">
        <v>6026</v>
      </c>
      <c r="D2580" s="672" t="s">
        <v>8053</v>
      </c>
      <c r="E2580" s="745"/>
      <c r="F2580" s="732">
        <v>1</v>
      </c>
      <c r="G2580" s="737">
        <v>79.123000000000005</v>
      </c>
      <c r="H2580" s="685">
        <v>79.123000000000005</v>
      </c>
      <c r="I2580" s="672" t="s">
        <v>9218</v>
      </c>
      <c r="J2580" s="672" t="s">
        <v>9219</v>
      </c>
      <c r="K2580" s="672" t="s">
        <v>2354</v>
      </c>
      <c r="L2580" s="672" t="s">
        <v>9219</v>
      </c>
    </row>
    <row r="2581" spans="1:12" x14ac:dyDescent="0.2">
      <c r="A2581" s="672" t="s">
        <v>220</v>
      </c>
      <c r="B2581" s="672" t="s">
        <v>5430</v>
      </c>
      <c r="C2581" s="672" t="s">
        <v>6028</v>
      </c>
      <c r="D2581" s="672" t="s">
        <v>8054</v>
      </c>
      <c r="E2581" s="745"/>
      <c r="F2581" s="732">
        <v>10</v>
      </c>
      <c r="G2581" s="737">
        <v>65.546999999999997</v>
      </c>
      <c r="H2581" s="685">
        <v>655.47</v>
      </c>
      <c r="I2581" s="672" t="s">
        <v>9218</v>
      </c>
      <c r="J2581" s="672" t="s">
        <v>9219</v>
      </c>
      <c r="K2581" s="672" t="s">
        <v>2354</v>
      </c>
      <c r="L2581" s="672" t="s">
        <v>9219</v>
      </c>
    </row>
    <row r="2582" spans="1:12" x14ac:dyDescent="0.2">
      <c r="A2582" s="672" t="s">
        <v>220</v>
      </c>
      <c r="B2582" s="672" t="s">
        <v>5430</v>
      </c>
      <c r="C2582" s="672" t="s">
        <v>6032</v>
      </c>
      <c r="D2582" s="672" t="s">
        <v>6033</v>
      </c>
      <c r="E2582" s="745"/>
      <c r="F2582" s="732">
        <v>11</v>
      </c>
      <c r="G2582" s="737">
        <v>18.158000000000001</v>
      </c>
      <c r="H2582" s="685">
        <v>199.738</v>
      </c>
      <c r="I2582" s="672" t="s">
        <v>9218</v>
      </c>
      <c r="J2582" s="672" t="s">
        <v>9219</v>
      </c>
      <c r="K2582" s="672" t="s">
        <v>2354</v>
      </c>
      <c r="L2582" s="672" t="s">
        <v>9219</v>
      </c>
    </row>
    <row r="2583" spans="1:12" x14ac:dyDescent="0.2">
      <c r="A2583" s="672" t="s">
        <v>220</v>
      </c>
      <c r="B2583" s="672" t="s">
        <v>5430</v>
      </c>
      <c r="C2583" s="672" t="s">
        <v>6036</v>
      </c>
      <c r="D2583" s="672" t="s">
        <v>8056</v>
      </c>
      <c r="E2583" s="745"/>
      <c r="F2583" s="732">
        <v>3</v>
      </c>
      <c r="G2583" s="737">
        <v>69.587999999999994</v>
      </c>
      <c r="H2583" s="685">
        <v>208.76399999999998</v>
      </c>
      <c r="I2583" s="672" t="s">
        <v>9218</v>
      </c>
      <c r="J2583" s="672" t="s">
        <v>9219</v>
      </c>
      <c r="K2583" s="672" t="s">
        <v>2354</v>
      </c>
      <c r="L2583" s="672" t="s">
        <v>9219</v>
      </c>
    </row>
    <row r="2584" spans="1:12" x14ac:dyDescent="0.2">
      <c r="A2584" s="672" t="s">
        <v>220</v>
      </c>
      <c r="B2584" s="672" t="s">
        <v>5430</v>
      </c>
      <c r="C2584" s="672" t="s">
        <v>6038</v>
      </c>
      <c r="D2584" s="672" t="s">
        <v>8057</v>
      </c>
      <c r="E2584" s="745"/>
      <c r="F2584" s="732">
        <v>10</v>
      </c>
      <c r="G2584" s="737">
        <v>32.517000000000003</v>
      </c>
      <c r="H2584" s="685">
        <v>325.17</v>
      </c>
      <c r="I2584" s="672" t="s">
        <v>9218</v>
      </c>
      <c r="J2584" s="672" t="s">
        <v>9219</v>
      </c>
      <c r="K2584" s="672" t="s">
        <v>2354</v>
      </c>
      <c r="L2584" s="672" t="s">
        <v>9219</v>
      </c>
    </row>
    <row r="2585" spans="1:12" x14ac:dyDescent="0.2">
      <c r="A2585" s="672" t="s">
        <v>220</v>
      </c>
      <c r="B2585" s="672" t="s">
        <v>5430</v>
      </c>
      <c r="C2585" s="672" t="s">
        <v>6040</v>
      </c>
      <c r="D2585" s="672" t="s">
        <v>8058</v>
      </c>
      <c r="E2585" s="745"/>
      <c r="F2585" s="732">
        <v>302</v>
      </c>
      <c r="G2585" s="737">
        <v>66.613</v>
      </c>
      <c r="H2585" s="685">
        <v>20117.126</v>
      </c>
      <c r="I2585" s="672" t="s">
        <v>9218</v>
      </c>
      <c r="J2585" s="672" t="s">
        <v>9219</v>
      </c>
      <c r="K2585" s="672" t="s">
        <v>2354</v>
      </c>
      <c r="L2585" s="672" t="s">
        <v>9219</v>
      </c>
    </row>
    <row r="2586" spans="1:12" x14ac:dyDescent="0.2">
      <c r="A2586" s="672" t="s">
        <v>220</v>
      </c>
      <c r="B2586" s="672" t="s">
        <v>5430</v>
      </c>
      <c r="C2586" s="672" t="s">
        <v>5433</v>
      </c>
      <c r="D2586" s="672" t="s">
        <v>8059</v>
      </c>
      <c r="E2586" s="745"/>
      <c r="F2586" s="732">
        <v>6</v>
      </c>
      <c r="G2586" s="737">
        <v>54.09</v>
      </c>
      <c r="H2586" s="685">
        <v>324.54000000000002</v>
      </c>
      <c r="I2586" s="672" t="s">
        <v>9218</v>
      </c>
      <c r="J2586" s="672" t="s">
        <v>9219</v>
      </c>
      <c r="K2586" s="672" t="s">
        <v>2354</v>
      </c>
      <c r="L2586" s="672" t="s">
        <v>9219</v>
      </c>
    </row>
    <row r="2587" spans="1:12" x14ac:dyDescent="0.2">
      <c r="A2587" s="672" t="s">
        <v>220</v>
      </c>
      <c r="B2587" s="672" t="s">
        <v>5430</v>
      </c>
      <c r="C2587" s="672" t="s">
        <v>6042</v>
      </c>
      <c r="D2587" s="672" t="s">
        <v>8060</v>
      </c>
      <c r="E2587" s="745"/>
      <c r="F2587" s="732">
        <v>5</v>
      </c>
      <c r="G2587" s="737">
        <v>27.242000000000001</v>
      </c>
      <c r="H2587" s="685">
        <v>136.21</v>
      </c>
      <c r="I2587" s="672" t="s">
        <v>9218</v>
      </c>
      <c r="J2587" s="672" t="s">
        <v>9219</v>
      </c>
      <c r="K2587" s="672" t="s">
        <v>2354</v>
      </c>
      <c r="L2587" s="672" t="s">
        <v>9219</v>
      </c>
    </row>
    <row r="2588" spans="1:12" x14ac:dyDescent="0.2">
      <c r="A2588" s="672" t="s">
        <v>220</v>
      </c>
      <c r="B2588" s="672" t="s">
        <v>5430</v>
      </c>
      <c r="C2588" s="672" t="s">
        <v>6043</v>
      </c>
      <c r="D2588" s="672" t="s">
        <v>6044</v>
      </c>
      <c r="E2588" s="745"/>
      <c r="F2588" s="732">
        <v>2</v>
      </c>
      <c r="G2588" s="737">
        <v>145.916</v>
      </c>
      <c r="H2588" s="685">
        <v>291.83199999999999</v>
      </c>
      <c r="I2588" s="672" t="s">
        <v>9218</v>
      </c>
      <c r="J2588" s="672" t="s">
        <v>9219</v>
      </c>
      <c r="K2588" s="672" t="s">
        <v>2354</v>
      </c>
      <c r="L2588" s="672" t="s">
        <v>9219</v>
      </c>
    </row>
    <row r="2589" spans="1:12" x14ac:dyDescent="0.2">
      <c r="A2589" s="672" t="s">
        <v>220</v>
      </c>
      <c r="B2589" s="672" t="s">
        <v>5430</v>
      </c>
      <c r="C2589" s="672" t="s">
        <v>5400</v>
      </c>
      <c r="D2589" s="672" t="s">
        <v>5401</v>
      </c>
      <c r="E2589" s="745"/>
      <c r="F2589" s="732">
        <v>5</v>
      </c>
      <c r="G2589" s="737">
        <v>8.0970707070707064</v>
      </c>
      <c r="H2589" s="685">
        <v>40.485353535353532</v>
      </c>
      <c r="I2589" s="672" t="s">
        <v>9218</v>
      </c>
      <c r="J2589" s="672" t="s">
        <v>9219</v>
      </c>
      <c r="K2589" s="672" t="s">
        <v>2354</v>
      </c>
      <c r="L2589" s="672" t="s">
        <v>9219</v>
      </c>
    </row>
    <row r="2590" spans="1:12" x14ac:dyDescent="0.2">
      <c r="A2590" s="672" t="s">
        <v>220</v>
      </c>
      <c r="B2590" s="672" t="s">
        <v>5430</v>
      </c>
      <c r="C2590" s="672" t="s">
        <v>3065</v>
      </c>
      <c r="D2590" s="672" t="s">
        <v>3066</v>
      </c>
      <c r="E2590" s="745"/>
      <c r="F2590" s="732">
        <v>1</v>
      </c>
      <c r="G2590" s="737">
        <v>115.65</v>
      </c>
      <c r="H2590" s="685">
        <v>115.65</v>
      </c>
      <c r="I2590" s="672" t="s">
        <v>9218</v>
      </c>
      <c r="J2590" s="672" t="s">
        <v>9219</v>
      </c>
      <c r="K2590" s="672" t="s">
        <v>2354</v>
      </c>
      <c r="L2590" s="672" t="s">
        <v>9219</v>
      </c>
    </row>
    <row r="2591" spans="1:12" x14ac:dyDescent="0.2">
      <c r="A2591" s="672" t="s">
        <v>220</v>
      </c>
      <c r="B2591" s="672" t="s">
        <v>5430</v>
      </c>
      <c r="C2591" s="672" t="s">
        <v>6049</v>
      </c>
      <c r="D2591" s="672" t="s">
        <v>8065</v>
      </c>
      <c r="E2591" s="745"/>
      <c r="F2591" s="732">
        <v>4</v>
      </c>
      <c r="G2591" s="737">
        <v>344.03100000000001</v>
      </c>
      <c r="H2591" s="685">
        <v>1376.124</v>
      </c>
      <c r="I2591" s="672" t="s">
        <v>9218</v>
      </c>
      <c r="J2591" s="672" t="s">
        <v>9219</v>
      </c>
      <c r="K2591" s="672" t="s">
        <v>2354</v>
      </c>
      <c r="L2591" s="672" t="s">
        <v>9219</v>
      </c>
    </row>
    <row r="2592" spans="1:12" x14ac:dyDescent="0.2">
      <c r="A2592" s="672" t="s">
        <v>220</v>
      </c>
      <c r="B2592" s="672" t="s">
        <v>5430</v>
      </c>
      <c r="C2592" s="672" t="s">
        <v>3069</v>
      </c>
      <c r="D2592" s="672" t="s">
        <v>3070</v>
      </c>
      <c r="E2592" s="745"/>
      <c r="F2592" s="732">
        <v>6</v>
      </c>
      <c r="G2592" s="737">
        <v>68.31</v>
      </c>
      <c r="H2592" s="685">
        <v>409.86</v>
      </c>
      <c r="I2592" s="672" t="s">
        <v>9218</v>
      </c>
      <c r="J2592" s="672" t="s">
        <v>9219</v>
      </c>
      <c r="K2592" s="672" t="s">
        <v>2354</v>
      </c>
      <c r="L2592" s="672" t="s">
        <v>9219</v>
      </c>
    </row>
    <row r="2593" spans="1:12" x14ac:dyDescent="0.2">
      <c r="A2593" s="672" t="s">
        <v>220</v>
      </c>
      <c r="B2593" s="672" t="s">
        <v>5430</v>
      </c>
      <c r="C2593" s="672" t="s">
        <v>6053</v>
      </c>
      <c r="D2593" s="672" t="s">
        <v>8067</v>
      </c>
      <c r="E2593" s="745"/>
      <c r="F2593" s="732">
        <v>4</v>
      </c>
      <c r="G2593" s="737">
        <v>65.703000000000003</v>
      </c>
      <c r="H2593" s="685">
        <v>262.81200000000001</v>
      </c>
      <c r="I2593" s="672" t="s">
        <v>9218</v>
      </c>
      <c r="J2593" s="672" t="s">
        <v>9219</v>
      </c>
      <c r="K2593" s="672" t="s">
        <v>2354</v>
      </c>
      <c r="L2593" s="672" t="s">
        <v>9219</v>
      </c>
    </row>
    <row r="2594" spans="1:12" x14ac:dyDescent="0.2">
      <c r="A2594" s="672" t="s">
        <v>220</v>
      </c>
      <c r="B2594" s="672" t="s">
        <v>5430</v>
      </c>
      <c r="C2594" s="672" t="s">
        <v>6057</v>
      </c>
      <c r="D2594" s="672" t="s">
        <v>8069</v>
      </c>
      <c r="E2594" s="745"/>
      <c r="F2594" s="732">
        <v>3</v>
      </c>
      <c r="G2594" s="737">
        <v>65.941999999999993</v>
      </c>
      <c r="H2594" s="685">
        <v>197.82599999999996</v>
      </c>
      <c r="I2594" s="672" t="s">
        <v>9218</v>
      </c>
      <c r="J2594" s="672" t="s">
        <v>9219</v>
      </c>
      <c r="K2594" s="672" t="s">
        <v>2354</v>
      </c>
      <c r="L2594" s="672" t="s">
        <v>9219</v>
      </c>
    </row>
    <row r="2595" spans="1:12" x14ac:dyDescent="0.2">
      <c r="A2595" s="672" t="s">
        <v>220</v>
      </c>
      <c r="B2595" s="672" t="s">
        <v>5430</v>
      </c>
      <c r="C2595" s="672" t="s">
        <v>6061</v>
      </c>
      <c r="D2595" s="672" t="s">
        <v>8070</v>
      </c>
      <c r="E2595" s="745"/>
      <c r="F2595" s="732">
        <v>6</v>
      </c>
      <c r="G2595" s="737">
        <v>33.57</v>
      </c>
      <c r="H2595" s="685">
        <v>201.42000000000002</v>
      </c>
      <c r="I2595" s="672" t="s">
        <v>9218</v>
      </c>
      <c r="J2595" s="672" t="s">
        <v>9219</v>
      </c>
      <c r="K2595" s="672" t="s">
        <v>2354</v>
      </c>
      <c r="L2595" s="672" t="s">
        <v>9219</v>
      </c>
    </row>
    <row r="2596" spans="1:12" x14ac:dyDescent="0.2">
      <c r="A2596" s="672" t="s">
        <v>220</v>
      </c>
      <c r="B2596" s="672" t="s">
        <v>5430</v>
      </c>
      <c r="C2596" s="672" t="s">
        <v>6063</v>
      </c>
      <c r="D2596" s="672" t="s">
        <v>6064</v>
      </c>
      <c r="E2596" s="745"/>
      <c r="F2596" s="732">
        <v>2</v>
      </c>
      <c r="G2596" s="737">
        <v>33.57</v>
      </c>
      <c r="H2596" s="685">
        <v>67.14</v>
      </c>
      <c r="I2596" s="672" t="s">
        <v>9218</v>
      </c>
      <c r="J2596" s="672" t="s">
        <v>9219</v>
      </c>
      <c r="K2596" s="672" t="s">
        <v>2354</v>
      </c>
      <c r="L2596" s="672" t="s">
        <v>9219</v>
      </c>
    </row>
    <row r="2597" spans="1:12" x14ac:dyDescent="0.2">
      <c r="A2597" s="672" t="s">
        <v>220</v>
      </c>
      <c r="B2597" s="672" t="s">
        <v>5430</v>
      </c>
      <c r="C2597" s="672" t="s">
        <v>6067</v>
      </c>
      <c r="D2597" s="672" t="s">
        <v>6068</v>
      </c>
      <c r="E2597" s="745"/>
      <c r="F2597" s="732">
        <v>5</v>
      </c>
      <c r="G2597" s="737">
        <v>145.99700000000001</v>
      </c>
      <c r="H2597" s="685">
        <v>729.98500000000013</v>
      </c>
      <c r="I2597" s="672" t="s">
        <v>9218</v>
      </c>
      <c r="J2597" s="672" t="s">
        <v>9219</v>
      </c>
      <c r="K2597" s="672" t="s">
        <v>2354</v>
      </c>
      <c r="L2597" s="672" t="s">
        <v>9219</v>
      </c>
    </row>
    <row r="2598" spans="1:12" x14ac:dyDescent="0.2">
      <c r="A2598" s="672" t="s">
        <v>220</v>
      </c>
      <c r="B2598" s="672" t="s">
        <v>5430</v>
      </c>
      <c r="C2598" s="672" t="s">
        <v>6069</v>
      </c>
      <c r="D2598" s="672" t="s">
        <v>6070</v>
      </c>
      <c r="E2598" s="745"/>
      <c r="F2598" s="732">
        <v>2</v>
      </c>
      <c r="G2598" s="737">
        <v>33.57</v>
      </c>
      <c r="H2598" s="685">
        <v>67.14</v>
      </c>
      <c r="I2598" s="672" t="s">
        <v>9218</v>
      </c>
      <c r="J2598" s="672" t="s">
        <v>9219</v>
      </c>
      <c r="K2598" s="672" t="s">
        <v>2354</v>
      </c>
      <c r="L2598" s="672" t="s">
        <v>9219</v>
      </c>
    </row>
    <row r="2599" spans="1:12" x14ac:dyDescent="0.2">
      <c r="A2599" s="672" t="s">
        <v>220</v>
      </c>
      <c r="B2599" s="672" t="s">
        <v>5430</v>
      </c>
      <c r="C2599" s="672" t="s">
        <v>6071</v>
      </c>
      <c r="D2599" s="672" t="s">
        <v>6072</v>
      </c>
      <c r="E2599" s="745"/>
      <c r="F2599" s="732">
        <v>2</v>
      </c>
      <c r="G2599" s="737">
        <v>33.57</v>
      </c>
      <c r="H2599" s="685">
        <v>67.14</v>
      </c>
      <c r="I2599" s="672" t="s">
        <v>9218</v>
      </c>
      <c r="J2599" s="672" t="s">
        <v>9219</v>
      </c>
      <c r="K2599" s="672" t="s">
        <v>2354</v>
      </c>
      <c r="L2599" s="672" t="s">
        <v>9219</v>
      </c>
    </row>
    <row r="2600" spans="1:12" x14ac:dyDescent="0.2">
      <c r="A2600" s="672" t="s">
        <v>220</v>
      </c>
      <c r="B2600" s="672" t="s">
        <v>5430</v>
      </c>
      <c r="C2600" s="672" t="s">
        <v>6073</v>
      </c>
      <c r="D2600" s="672" t="s">
        <v>6074</v>
      </c>
      <c r="E2600" s="745"/>
      <c r="F2600" s="732">
        <v>1</v>
      </c>
      <c r="G2600" s="737">
        <v>33.57</v>
      </c>
      <c r="H2600" s="685">
        <v>33.57</v>
      </c>
      <c r="I2600" s="672" t="s">
        <v>9218</v>
      </c>
      <c r="J2600" s="672" t="s">
        <v>9219</v>
      </c>
      <c r="K2600" s="672" t="s">
        <v>2354</v>
      </c>
      <c r="L2600" s="672" t="s">
        <v>9219</v>
      </c>
    </row>
    <row r="2601" spans="1:12" x14ac:dyDescent="0.2">
      <c r="A2601" s="672" t="s">
        <v>220</v>
      </c>
      <c r="B2601" s="672" t="s">
        <v>5430</v>
      </c>
      <c r="C2601" s="672" t="s">
        <v>6075</v>
      </c>
      <c r="D2601" s="672" t="s">
        <v>6076</v>
      </c>
      <c r="E2601" s="745"/>
      <c r="F2601" s="732">
        <v>2</v>
      </c>
      <c r="G2601" s="737">
        <v>37.804000000000002</v>
      </c>
      <c r="H2601" s="685">
        <v>75.608000000000004</v>
      </c>
      <c r="I2601" s="672" t="s">
        <v>9218</v>
      </c>
      <c r="J2601" s="672" t="s">
        <v>9219</v>
      </c>
      <c r="K2601" s="672" t="s">
        <v>2354</v>
      </c>
      <c r="L2601" s="672" t="s">
        <v>9219</v>
      </c>
    </row>
    <row r="2602" spans="1:12" x14ac:dyDescent="0.2">
      <c r="A2602" s="672" t="s">
        <v>220</v>
      </c>
      <c r="B2602" s="672" t="s">
        <v>5430</v>
      </c>
      <c r="C2602" s="672" t="s">
        <v>6077</v>
      </c>
      <c r="D2602" s="672" t="s">
        <v>6078</v>
      </c>
      <c r="E2602" s="745"/>
      <c r="F2602" s="732">
        <v>7</v>
      </c>
      <c r="G2602" s="737">
        <v>33.57</v>
      </c>
      <c r="H2602" s="685">
        <v>234.99</v>
      </c>
      <c r="I2602" s="672" t="s">
        <v>9218</v>
      </c>
      <c r="J2602" s="672" t="s">
        <v>9219</v>
      </c>
      <c r="K2602" s="672" t="s">
        <v>2354</v>
      </c>
      <c r="L2602" s="672" t="s">
        <v>9219</v>
      </c>
    </row>
    <row r="2603" spans="1:12" x14ac:dyDescent="0.2">
      <c r="A2603" s="672" t="s">
        <v>220</v>
      </c>
      <c r="B2603" s="672" t="s">
        <v>5430</v>
      </c>
      <c r="C2603" s="672" t="s">
        <v>5440</v>
      </c>
      <c r="D2603" s="672" t="s">
        <v>8071</v>
      </c>
      <c r="E2603" s="745"/>
      <c r="F2603" s="732">
        <v>19</v>
      </c>
      <c r="G2603" s="737">
        <v>1.7869999999999999</v>
      </c>
      <c r="H2603" s="685">
        <v>33.952999999999996</v>
      </c>
      <c r="I2603" s="672" t="s">
        <v>9218</v>
      </c>
      <c r="J2603" s="672" t="s">
        <v>9219</v>
      </c>
      <c r="K2603" s="672" t="s">
        <v>2354</v>
      </c>
      <c r="L2603" s="672" t="s">
        <v>9219</v>
      </c>
    </row>
    <row r="2604" spans="1:12" x14ac:dyDescent="0.2">
      <c r="A2604" s="672" t="s">
        <v>220</v>
      </c>
      <c r="B2604" s="672" t="s">
        <v>5430</v>
      </c>
      <c r="C2604" s="672" t="s">
        <v>6079</v>
      </c>
      <c r="D2604" s="672" t="s">
        <v>8072</v>
      </c>
      <c r="E2604" s="745"/>
      <c r="F2604" s="732">
        <v>8</v>
      </c>
      <c r="G2604" s="737">
        <v>20.576000000000001</v>
      </c>
      <c r="H2604" s="685">
        <v>164.608</v>
      </c>
      <c r="I2604" s="672" t="s">
        <v>9218</v>
      </c>
      <c r="J2604" s="672" t="s">
        <v>9219</v>
      </c>
      <c r="K2604" s="672" t="s">
        <v>2354</v>
      </c>
      <c r="L2604" s="672" t="s">
        <v>9219</v>
      </c>
    </row>
    <row r="2605" spans="1:12" x14ac:dyDescent="0.2">
      <c r="A2605" s="672" t="s">
        <v>220</v>
      </c>
      <c r="B2605" s="672" t="s">
        <v>5430</v>
      </c>
      <c r="C2605" s="672" t="s">
        <v>6081</v>
      </c>
      <c r="D2605" s="672" t="s">
        <v>8073</v>
      </c>
      <c r="E2605" s="745"/>
      <c r="F2605" s="732">
        <v>4</v>
      </c>
      <c r="G2605" s="737">
        <v>23.085999999999999</v>
      </c>
      <c r="H2605" s="685">
        <v>92.343999999999994</v>
      </c>
      <c r="I2605" s="672" t="s">
        <v>9218</v>
      </c>
      <c r="J2605" s="672" t="s">
        <v>9219</v>
      </c>
      <c r="K2605" s="672" t="s">
        <v>2354</v>
      </c>
      <c r="L2605" s="672" t="s">
        <v>9219</v>
      </c>
    </row>
    <row r="2606" spans="1:12" x14ac:dyDescent="0.2">
      <c r="A2606" s="672" t="s">
        <v>220</v>
      </c>
      <c r="B2606" s="672" t="s">
        <v>5430</v>
      </c>
      <c r="C2606" s="672" t="s">
        <v>8074</v>
      </c>
      <c r="D2606" s="672" t="s">
        <v>8075</v>
      </c>
      <c r="E2606" s="745"/>
      <c r="F2606" s="732">
        <v>13</v>
      </c>
      <c r="G2606" s="737">
        <v>64.44</v>
      </c>
      <c r="H2606" s="685">
        <v>837.72</v>
      </c>
      <c r="I2606" s="672" t="s">
        <v>9218</v>
      </c>
      <c r="J2606" s="672" t="s">
        <v>9219</v>
      </c>
      <c r="K2606" s="672" t="s">
        <v>2354</v>
      </c>
      <c r="L2606" s="672" t="s">
        <v>9219</v>
      </c>
    </row>
    <row r="2607" spans="1:12" x14ac:dyDescent="0.2">
      <c r="A2607" s="672" t="s">
        <v>220</v>
      </c>
      <c r="B2607" s="672" t="s">
        <v>5430</v>
      </c>
      <c r="C2607" s="672" t="s">
        <v>6083</v>
      </c>
      <c r="D2607" s="672" t="s">
        <v>8076</v>
      </c>
      <c r="E2607" s="745"/>
      <c r="F2607" s="732">
        <v>2</v>
      </c>
      <c r="G2607" s="737">
        <v>169.56</v>
      </c>
      <c r="H2607" s="685">
        <v>339.12</v>
      </c>
      <c r="I2607" s="672" t="s">
        <v>9218</v>
      </c>
      <c r="J2607" s="672" t="s">
        <v>9219</v>
      </c>
      <c r="K2607" s="672" t="s">
        <v>2354</v>
      </c>
      <c r="L2607" s="672" t="s">
        <v>9219</v>
      </c>
    </row>
    <row r="2608" spans="1:12" x14ac:dyDescent="0.2">
      <c r="A2608" s="672" t="s">
        <v>220</v>
      </c>
      <c r="B2608" s="672" t="s">
        <v>5430</v>
      </c>
      <c r="C2608" s="672" t="s">
        <v>8077</v>
      </c>
      <c r="D2608" s="672" t="s">
        <v>3076</v>
      </c>
      <c r="E2608" s="745"/>
      <c r="F2608" s="732">
        <v>10</v>
      </c>
      <c r="G2608" s="737">
        <v>14.2668</v>
      </c>
      <c r="H2608" s="685">
        <v>142.66800000000001</v>
      </c>
      <c r="I2608" s="672" t="s">
        <v>9218</v>
      </c>
      <c r="J2608" s="672" t="s">
        <v>9219</v>
      </c>
      <c r="K2608" s="672" t="s">
        <v>2354</v>
      </c>
      <c r="L2608" s="672" t="s">
        <v>9219</v>
      </c>
    </row>
    <row r="2609" spans="1:12" x14ac:dyDescent="0.2">
      <c r="A2609" s="672" t="s">
        <v>220</v>
      </c>
      <c r="B2609" s="672" t="s">
        <v>5430</v>
      </c>
      <c r="C2609" s="672" t="s">
        <v>8078</v>
      </c>
      <c r="D2609" s="672" t="s">
        <v>3078</v>
      </c>
      <c r="E2609" s="745"/>
      <c r="F2609" s="732">
        <v>10</v>
      </c>
      <c r="G2609" s="737">
        <v>18.998248275862071</v>
      </c>
      <c r="H2609" s="685">
        <v>189.9824827586207</v>
      </c>
      <c r="I2609" s="672" t="s">
        <v>9218</v>
      </c>
      <c r="J2609" s="672" t="s">
        <v>9219</v>
      </c>
      <c r="K2609" s="672" t="s">
        <v>2354</v>
      </c>
      <c r="L2609" s="672" t="s">
        <v>9219</v>
      </c>
    </row>
    <row r="2610" spans="1:12" x14ac:dyDescent="0.2">
      <c r="A2610" s="672" t="s">
        <v>220</v>
      </c>
      <c r="B2610" s="672" t="s">
        <v>5430</v>
      </c>
      <c r="C2610" s="672" t="s">
        <v>8079</v>
      </c>
      <c r="D2610" s="672" t="s">
        <v>8080</v>
      </c>
      <c r="E2610" s="745"/>
      <c r="F2610" s="732">
        <v>4</v>
      </c>
      <c r="G2610" s="737">
        <v>216.68899999999999</v>
      </c>
      <c r="H2610" s="685">
        <v>866.75599999999997</v>
      </c>
      <c r="I2610" s="672" t="s">
        <v>9218</v>
      </c>
      <c r="J2610" s="672" t="s">
        <v>9219</v>
      </c>
      <c r="K2610" s="672" t="s">
        <v>2354</v>
      </c>
      <c r="L2610" s="672" t="s">
        <v>9219</v>
      </c>
    </row>
    <row r="2611" spans="1:12" x14ac:dyDescent="0.2">
      <c r="A2611" s="672" t="s">
        <v>220</v>
      </c>
      <c r="B2611" s="672" t="s">
        <v>5430</v>
      </c>
      <c r="C2611" s="672" t="s">
        <v>6087</v>
      </c>
      <c r="D2611" s="672" t="s">
        <v>9686</v>
      </c>
      <c r="E2611" s="745"/>
      <c r="F2611" s="732">
        <v>8</v>
      </c>
      <c r="G2611" s="737">
        <v>75.882000000000005</v>
      </c>
      <c r="H2611" s="685">
        <v>607.05600000000004</v>
      </c>
      <c r="I2611" s="672" t="s">
        <v>9218</v>
      </c>
      <c r="J2611" s="672" t="s">
        <v>9219</v>
      </c>
      <c r="K2611" s="672" t="s">
        <v>2354</v>
      </c>
      <c r="L2611" s="672" t="s">
        <v>9219</v>
      </c>
    </row>
    <row r="2612" spans="1:12" x14ac:dyDescent="0.2">
      <c r="A2612" s="672" t="s">
        <v>220</v>
      </c>
      <c r="B2612" s="672" t="s">
        <v>5430</v>
      </c>
      <c r="C2612" s="672" t="s">
        <v>8081</v>
      </c>
      <c r="D2612" s="672" t="s">
        <v>6090</v>
      </c>
      <c r="E2612" s="745"/>
      <c r="F2612" s="732">
        <v>4</v>
      </c>
      <c r="G2612" s="737">
        <v>45.218000000000004</v>
      </c>
      <c r="H2612" s="685">
        <v>180.87200000000001</v>
      </c>
      <c r="I2612" s="672" t="s">
        <v>9218</v>
      </c>
      <c r="J2612" s="672" t="s">
        <v>9219</v>
      </c>
      <c r="K2612" s="672" t="s">
        <v>2354</v>
      </c>
      <c r="L2612" s="672" t="s">
        <v>9219</v>
      </c>
    </row>
    <row r="2613" spans="1:12" x14ac:dyDescent="0.2">
      <c r="A2613" s="672" t="s">
        <v>220</v>
      </c>
      <c r="B2613" s="672" t="s">
        <v>5430</v>
      </c>
      <c r="C2613" s="672" t="s">
        <v>6091</v>
      </c>
      <c r="D2613" s="672" t="s">
        <v>6092</v>
      </c>
      <c r="E2613" s="745"/>
      <c r="F2613" s="732">
        <v>30</v>
      </c>
      <c r="G2613" s="737">
        <v>26.411999999999999</v>
      </c>
      <c r="H2613" s="685">
        <v>792.36</v>
      </c>
      <c r="I2613" s="672" t="s">
        <v>9218</v>
      </c>
      <c r="J2613" s="672" t="s">
        <v>9219</v>
      </c>
      <c r="K2613" s="672" t="s">
        <v>2354</v>
      </c>
      <c r="L2613" s="672" t="s">
        <v>9219</v>
      </c>
    </row>
    <row r="2614" spans="1:12" x14ac:dyDescent="0.2">
      <c r="A2614" s="672" t="s">
        <v>220</v>
      </c>
      <c r="B2614" s="672" t="s">
        <v>5430</v>
      </c>
      <c r="C2614" s="672" t="s">
        <v>6093</v>
      </c>
      <c r="D2614" s="672" t="s">
        <v>6094</v>
      </c>
      <c r="E2614" s="745"/>
      <c r="F2614" s="732">
        <v>3</v>
      </c>
      <c r="G2614" s="737">
        <v>21.696000000000002</v>
      </c>
      <c r="H2614" s="685">
        <v>65.088000000000008</v>
      </c>
      <c r="I2614" s="672" t="s">
        <v>9218</v>
      </c>
      <c r="J2614" s="672" t="s">
        <v>9219</v>
      </c>
      <c r="K2614" s="672" t="s">
        <v>2354</v>
      </c>
      <c r="L2614" s="672" t="s">
        <v>9219</v>
      </c>
    </row>
    <row r="2615" spans="1:12" x14ac:dyDescent="0.2">
      <c r="A2615" s="672" t="s">
        <v>220</v>
      </c>
      <c r="B2615" s="672" t="s">
        <v>5430</v>
      </c>
      <c r="C2615" s="672" t="s">
        <v>6095</v>
      </c>
      <c r="D2615" s="672" t="s">
        <v>6096</v>
      </c>
      <c r="E2615" s="745"/>
      <c r="F2615" s="732">
        <v>1</v>
      </c>
      <c r="G2615" s="737">
        <v>83.682000000000002</v>
      </c>
      <c r="H2615" s="685">
        <v>83.682000000000002</v>
      </c>
      <c r="I2615" s="672" t="s">
        <v>9218</v>
      </c>
      <c r="J2615" s="672" t="s">
        <v>9219</v>
      </c>
      <c r="K2615" s="672" t="s">
        <v>2354</v>
      </c>
      <c r="L2615" s="672" t="s">
        <v>9219</v>
      </c>
    </row>
    <row r="2616" spans="1:12" x14ac:dyDescent="0.2">
      <c r="A2616" s="672" t="s">
        <v>220</v>
      </c>
      <c r="B2616" s="672" t="s">
        <v>5430</v>
      </c>
      <c r="C2616" s="672" t="s">
        <v>6097</v>
      </c>
      <c r="D2616" s="672" t="s">
        <v>8082</v>
      </c>
      <c r="E2616" s="745"/>
      <c r="F2616" s="732">
        <v>4</v>
      </c>
      <c r="G2616" s="737">
        <v>44.521999999999998</v>
      </c>
      <c r="H2616" s="685">
        <v>178.08799999999999</v>
      </c>
      <c r="I2616" s="672" t="s">
        <v>9218</v>
      </c>
      <c r="J2616" s="672" t="s">
        <v>9219</v>
      </c>
      <c r="K2616" s="672" t="s">
        <v>2354</v>
      </c>
      <c r="L2616" s="672" t="s">
        <v>9219</v>
      </c>
    </row>
    <row r="2617" spans="1:12" x14ac:dyDescent="0.2">
      <c r="A2617" s="672" t="s">
        <v>220</v>
      </c>
      <c r="B2617" s="672" t="s">
        <v>5430</v>
      </c>
      <c r="C2617" s="672" t="s">
        <v>6099</v>
      </c>
      <c r="D2617" s="672" t="s">
        <v>8083</v>
      </c>
      <c r="E2617" s="745"/>
      <c r="F2617" s="732">
        <v>3</v>
      </c>
      <c r="G2617" s="737">
        <v>116.01</v>
      </c>
      <c r="H2617" s="685">
        <v>348.03000000000003</v>
      </c>
      <c r="I2617" s="672" t="s">
        <v>9218</v>
      </c>
      <c r="J2617" s="672" t="s">
        <v>9219</v>
      </c>
      <c r="K2617" s="672" t="s">
        <v>2354</v>
      </c>
      <c r="L2617" s="672" t="s">
        <v>9219</v>
      </c>
    </row>
    <row r="2618" spans="1:12" x14ac:dyDescent="0.2">
      <c r="A2618" s="672" t="s">
        <v>220</v>
      </c>
      <c r="B2618" s="672" t="s">
        <v>5430</v>
      </c>
      <c r="C2618" s="672" t="s">
        <v>6101</v>
      </c>
      <c r="D2618" s="672" t="s">
        <v>8084</v>
      </c>
      <c r="E2618" s="745"/>
      <c r="F2618" s="732">
        <v>5</v>
      </c>
      <c r="G2618" s="737">
        <v>166.77</v>
      </c>
      <c r="H2618" s="685">
        <v>833.85</v>
      </c>
      <c r="I2618" s="672" t="s">
        <v>9218</v>
      </c>
      <c r="J2618" s="672" t="s">
        <v>9219</v>
      </c>
      <c r="K2618" s="672" t="s">
        <v>2354</v>
      </c>
      <c r="L2618" s="672" t="s">
        <v>9219</v>
      </c>
    </row>
    <row r="2619" spans="1:12" x14ac:dyDescent="0.2">
      <c r="A2619" s="672" t="s">
        <v>220</v>
      </c>
      <c r="B2619" s="672" t="s">
        <v>5430</v>
      </c>
      <c r="C2619" s="672" t="s">
        <v>6103</v>
      </c>
      <c r="D2619" s="672" t="s">
        <v>8085</v>
      </c>
      <c r="E2619" s="745"/>
      <c r="F2619" s="732">
        <v>8</v>
      </c>
      <c r="G2619" s="737">
        <v>129.71</v>
      </c>
      <c r="H2619" s="685">
        <v>1037.68</v>
      </c>
      <c r="I2619" s="672" t="s">
        <v>9218</v>
      </c>
      <c r="J2619" s="672" t="s">
        <v>9219</v>
      </c>
      <c r="K2619" s="672" t="s">
        <v>2354</v>
      </c>
      <c r="L2619" s="672" t="s">
        <v>9219</v>
      </c>
    </row>
    <row r="2620" spans="1:12" x14ac:dyDescent="0.2">
      <c r="A2620" s="672" t="s">
        <v>220</v>
      </c>
      <c r="B2620" s="672" t="s">
        <v>5430</v>
      </c>
      <c r="C2620" s="672" t="s">
        <v>6105</v>
      </c>
      <c r="D2620" s="672" t="s">
        <v>8086</v>
      </c>
      <c r="E2620" s="745"/>
      <c r="F2620" s="732">
        <v>4</v>
      </c>
      <c r="G2620" s="737">
        <v>115.998</v>
      </c>
      <c r="H2620" s="685">
        <v>463.99200000000002</v>
      </c>
      <c r="I2620" s="672" t="s">
        <v>9218</v>
      </c>
      <c r="J2620" s="672" t="s">
        <v>9219</v>
      </c>
      <c r="K2620" s="672" t="s">
        <v>2354</v>
      </c>
      <c r="L2620" s="672" t="s">
        <v>9219</v>
      </c>
    </row>
    <row r="2621" spans="1:12" x14ac:dyDescent="0.2">
      <c r="A2621" s="672" t="s">
        <v>220</v>
      </c>
      <c r="B2621" s="672" t="s">
        <v>5430</v>
      </c>
      <c r="C2621" s="672" t="s">
        <v>6107</v>
      </c>
      <c r="D2621" s="672" t="s">
        <v>8087</v>
      </c>
      <c r="E2621" s="745"/>
      <c r="F2621" s="732">
        <v>4</v>
      </c>
      <c r="G2621" s="737">
        <v>60.418999999999997</v>
      </c>
      <c r="H2621" s="685">
        <v>241.67599999999999</v>
      </c>
      <c r="I2621" s="672" t="s">
        <v>9218</v>
      </c>
      <c r="J2621" s="672" t="s">
        <v>9219</v>
      </c>
      <c r="K2621" s="672" t="s">
        <v>2354</v>
      </c>
      <c r="L2621" s="672" t="s">
        <v>9219</v>
      </c>
    </row>
    <row r="2622" spans="1:12" x14ac:dyDescent="0.2">
      <c r="A2622" s="672" t="s">
        <v>220</v>
      </c>
      <c r="B2622" s="672" t="s">
        <v>5430</v>
      </c>
      <c r="C2622" s="672" t="s">
        <v>6109</v>
      </c>
      <c r="D2622" s="672" t="s">
        <v>8088</v>
      </c>
      <c r="E2622" s="745"/>
      <c r="F2622" s="732">
        <v>1</v>
      </c>
      <c r="G2622" s="737">
        <v>192.51400000000001</v>
      </c>
      <c r="H2622" s="685">
        <v>192.51400000000001</v>
      </c>
      <c r="I2622" s="672" t="s">
        <v>9218</v>
      </c>
      <c r="J2622" s="672" t="s">
        <v>9219</v>
      </c>
      <c r="K2622" s="672" t="s">
        <v>2354</v>
      </c>
      <c r="L2622" s="672" t="s">
        <v>9219</v>
      </c>
    </row>
    <row r="2623" spans="1:12" x14ac:dyDescent="0.2">
      <c r="A2623" s="672" t="s">
        <v>220</v>
      </c>
      <c r="B2623" s="672" t="s">
        <v>5430</v>
      </c>
      <c r="C2623" s="672" t="s">
        <v>8089</v>
      </c>
      <c r="D2623" s="672" t="s">
        <v>8090</v>
      </c>
      <c r="E2623" s="745"/>
      <c r="F2623" s="732">
        <v>7</v>
      </c>
      <c r="G2623" s="737">
        <v>37.896999999999998</v>
      </c>
      <c r="H2623" s="685">
        <v>265.279</v>
      </c>
      <c r="I2623" s="672" t="s">
        <v>9218</v>
      </c>
      <c r="J2623" s="672" t="s">
        <v>9219</v>
      </c>
      <c r="K2623" s="672" t="s">
        <v>2354</v>
      </c>
      <c r="L2623" s="672" t="s">
        <v>9219</v>
      </c>
    </row>
    <row r="2624" spans="1:12" x14ac:dyDescent="0.2">
      <c r="A2624" s="672" t="s">
        <v>220</v>
      </c>
      <c r="B2624" s="672" t="s">
        <v>5430</v>
      </c>
      <c r="C2624" s="672" t="s">
        <v>6113</v>
      </c>
      <c r="D2624" s="672" t="s">
        <v>8091</v>
      </c>
      <c r="E2624" s="745"/>
      <c r="F2624" s="732">
        <v>2</v>
      </c>
      <c r="G2624" s="737">
        <v>102.24</v>
      </c>
      <c r="H2624" s="685">
        <v>204.48</v>
      </c>
      <c r="I2624" s="672" t="s">
        <v>9218</v>
      </c>
      <c r="J2624" s="672" t="s">
        <v>9219</v>
      </c>
      <c r="K2624" s="672" t="s">
        <v>2354</v>
      </c>
      <c r="L2624" s="672" t="s">
        <v>9219</v>
      </c>
    </row>
    <row r="2625" spans="1:12" x14ac:dyDescent="0.2">
      <c r="A2625" s="672" t="s">
        <v>220</v>
      </c>
      <c r="B2625" s="672" t="s">
        <v>5430</v>
      </c>
      <c r="C2625" s="672" t="s">
        <v>6115</v>
      </c>
      <c r="D2625" s="672" t="s">
        <v>8092</v>
      </c>
      <c r="E2625" s="745"/>
      <c r="F2625" s="732">
        <v>1</v>
      </c>
      <c r="G2625" s="737">
        <v>2442.3110000000001</v>
      </c>
      <c r="H2625" s="685">
        <v>2442.3110000000001</v>
      </c>
      <c r="I2625" s="672" t="s">
        <v>9218</v>
      </c>
      <c r="J2625" s="672" t="s">
        <v>9219</v>
      </c>
      <c r="K2625" s="672" t="s">
        <v>2354</v>
      </c>
      <c r="L2625" s="672" t="s">
        <v>9219</v>
      </c>
    </row>
    <row r="2626" spans="1:12" x14ac:dyDescent="0.2">
      <c r="A2626" s="672" t="s">
        <v>220</v>
      </c>
      <c r="B2626" s="672" t="s">
        <v>5430</v>
      </c>
      <c r="C2626" s="672" t="s">
        <v>6117</v>
      </c>
      <c r="D2626" s="672" t="s">
        <v>8093</v>
      </c>
      <c r="E2626" s="745"/>
      <c r="F2626" s="732">
        <v>1</v>
      </c>
      <c r="G2626" s="737">
        <v>253.16800000000001</v>
      </c>
      <c r="H2626" s="685">
        <v>253.16800000000001</v>
      </c>
      <c r="I2626" s="672" t="s">
        <v>9218</v>
      </c>
      <c r="J2626" s="672" t="s">
        <v>9219</v>
      </c>
      <c r="K2626" s="672" t="s">
        <v>2354</v>
      </c>
      <c r="L2626" s="672" t="s">
        <v>9219</v>
      </c>
    </row>
    <row r="2627" spans="1:12" x14ac:dyDescent="0.2">
      <c r="A2627" s="672" t="s">
        <v>220</v>
      </c>
      <c r="B2627" s="672" t="s">
        <v>5430</v>
      </c>
      <c r="C2627" s="672" t="s">
        <v>8094</v>
      </c>
      <c r="D2627" s="672" t="s">
        <v>8095</v>
      </c>
      <c r="E2627" s="745"/>
      <c r="F2627" s="732">
        <v>1</v>
      </c>
      <c r="G2627" s="737">
        <v>102.24</v>
      </c>
      <c r="H2627" s="685">
        <v>102.24</v>
      </c>
      <c r="I2627" s="672" t="s">
        <v>9218</v>
      </c>
      <c r="J2627" s="672" t="s">
        <v>9219</v>
      </c>
      <c r="K2627" s="672" t="s">
        <v>2354</v>
      </c>
      <c r="L2627" s="672" t="s">
        <v>9219</v>
      </c>
    </row>
    <row r="2628" spans="1:12" x14ac:dyDescent="0.2">
      <c r="A2628" s="672" t="s">
        <v>220</v>
      </c>
      <c r="B2628" s="672" t="s">
        <v>5430</v>
      </c>
      <c r="C2628" s="672" t="s">
        <v>6119</v>
      </c>
      <c r="D2628" s="672" t="s">
        <v>8096</v>
      </c>
      <c r="E2628" s="745"/>
      <c r="F2628" s="732">
        <v>2</v>
      </c>
      <c r="G2628" s="737">
        <v>102.24</v>
      </c>
      <c r="H2628" s="685">
        <v>204.48</v>
      </c>
      <c r="I2628" s="672" t="s">
        <v>9218</v>
      </c>
      <c r="J2628" s="672" t="s">
        <v>9219</v>
      </c>
      <c r="K2628" s="672" t="s">
        <v>2354</v>
      </c>
      <c r="L2628" s="672" t="s">
        <v>9219</v>
      </c>
    </row>
    <row r="2629" spans="1:12" x14ac:dyDescent="0.2">
      <c r="A2629" s="672" t="s">
        <v>220</v>
      </c>
      <c r="B2629" s="672" t="s">
        <v>5430</v>
      </c>
      <c r="C2629" s="672" t="s">
        <v>6121</v>
      </c>
      <c r="D2629" s="672" t="s">
        <v>6122</v>
      </c>
      <c r="E2629" s="745"/>
      <c r="F2629" s="732">
        <v>4</v>
      </c>
      <c r="G2629" s="737">
        <v>87.78</v>
      </c>
      <c r="H2629" s="685">
        <v>351.12</v>
      </c>
      <c r="I2629" s="672" t="s">
        <v>9218</v>
      </c>
      <c r="J2629" s="672" t="s">
        <v>9219</v>
      </c>
      <c r="K2629" s="672" t="s">
        <v>2354</v>
      </c>
      <c r="L2629" s="672" t="s">
        <v>9219</v>
      </c>
    </row>
    <row r="2630" spans="1:12" x14ac:dyDescent="0.2">
      <c r="A2630" s="672" t="s">
        <v>220</v>
      </c>
      <c r="B2630" s="672" t="s">
        <v>5430</v>
      </c>
      <c r="C2630" s="672" t="s">
        <v>6123</v>
      </c>
      <c r="D2630" s="672" t="s">
        <v>8097</v>
      </c>
      <c r="E2630" s="745"/>
      <c r="F2630" s="732">
        <v>6</v>
      </c>
      <c r="G2630" s="737">
        <v>186.74600000000001</v>
      </c>
      <c r="H2630" s="685">
        <v>1120.4760000000001</v>
      </c>
      <c r="I2630" s="672" t="s">
        <v>9218</v>
      </c>
      <c r="J2630" s="672" t="s">
        <v>9219</v>
      </c>
      <c r="K2630" s="672" t="s">
        <v>2354</v>
      </c>
      <c r="L2630" s="672" t="s">
        <v>9219</v>
      </c>
    </row>
    <row r="2631" spans="1:12" x14ac:dyDescent="0.2">
      <c r="A2631" s="672" t="s">
        <v>220</v>
      </c>
      <c r="B2631" s="672" t="s">
        <v>5430</v>
      </c>
      <c r="C2631" s="672" t="s">
        <v>6127</v>
      </c>
      <c r="D2631" s="672" t="s">
        <v>8100</v>
      </c>
      <c r="E2631" s="745"/>
      <c r="F2631" s="732">
        <v>8</v>
      </c>
      <c r="G2631" s="737">
        <v>33.786000000000001</v>
      </c>
      <c r="H2631" s="685">
        <v>270.28800000000001</v>
      </c>
      <c r="I2631" s="672" t="s">
        <v>9218</v>
      </c>
      <c r="J2631" s="672" t="s">
        <v>9219</v>
      </c>
      <c r="K2631" s="672" t="s">
        <v>2354</v>
      </c>
      <c r="L2631" s="672" t="s">
        <v>9219</v>
      </c>
    </row>
    <row r="2632" spans="1:12" x14ac:dyDescent="0.2">
      <c r="A2632" s="672" t="s">
        <v>220</v>
      </c>
      <c r="B2632" s="672" t="s">
        <v>5430</v>
      </c>
      <c r="C2632" s="672" t="s">
        <v>8101</v>
      </c>
      <c r="D2632" s="672" t="s">
        <v>8102</v>
      </c>
      <c r="E2632" s="745"/>
      <c r="F2632" s="732">
        <v>11</v>
      </c>
      <c r="G2632" s="737">
        <v>7.6289999999999996</v>
      </c>
      <c r="H2632" s="685">
        <v>83.918999999999997</v>
      </c>
      <c r="I2632" s="672" t="s">
        <v>9218</v>
      </c>
      <c r="J2632" s="672" t="s">
        <v>9219</v>
      </c>
      <c r="K2632" s="672" t="s">
        <v>2354</v>
      </c>
      <c r="L2632" s="672" t="s">
        <v>9219</v>
      </c>
    </row>
    <row r="2633" spans="1:12" x14ac:dyDescent="0.2">
      <c r="A2633" s="672" t="s">
        <v>220</v>
      </c>
      <c r="B2633" s="672" t="s">
        <v>5430</v>
      </c>
      <c r="C2633" s="672" t="s">
        <v>6131</v>
      </c>
      <c r="D2633" s="672" t="s">
        <v>8103</v>
      </c>
      <c r="E2633" s="745"/>
      <c r="F2633" s="732">
        <v>2</v>
      </c>
      <c r="G2633" s="737">
        <v>46.94</v>
      </c>
      <c r="H2633" s="685">
        <v>93.88</v>
      </c>
      <c r="I2633" s="672" t="s">
        <v>9218</v>
      </c>
      <c r="J2633" s="672" t="s">
        <v>9219</v>
      </c>
      <c r="K2633" s="672" t="s">
        <v>2354</v>
      </c>
      <c r="L2633" s="672" t="s">
        <v>9219</v>
      </c>
    </row>
    <row r="2634" spans="1:12" x14ac:dyDescent="0.2">
      <c r="A2634" s="672" t="s">
        <v>220</v>
      </c>
      <c r="B2634" s="672" t="s">
        <v>5430</v>
      </c>
      <c r="C2634" s="672" t="s">
        <v>8104</v>
      </c>
      <c r="D2634" s="672" t="s">
        <v>8105</v>
      </c>
      <c r="E2634" s="745"/>
      <c r="F2634" s="732">
        <v>4</v>
      </c>
      <c r="G2634" s="737">
        <v>43.616999999999997</v>
      </c>
      <c r="H2634" s="685">
        <v>174.46799999999999</v>
      </c>
      <c r="I2634" s="672" t="s">
        <v>9218</v>
      </c>
      <c r="J2634" s="672" t="s">
        <v>9219</v>
      </c>
      <c r="K2634" s="672" t="s">
        <v>2354</v>
      </c>
      <c r="L2634" s="672" t="s">
        <v>9219</v>
      </c>
    </row>
    <row r="2635" spans="1:12" x14ac:dyDescent="0.2">
      <c r="A2635" s="672" t="s">
        <v>220</v>
      </c>
      <c r="B2635" s="672" t="s">
        <v>5430</v>
      </c>
      <c r="C2635" s="672" t="s">
        <v>6137</v>
      </c>
      <c r="D2635" s="672" t="s">
        <v>8108</v>
      </c>
      <c r="E2635" s="745"/>
      <c r="F2635" s="732">
        <v>4</v>
      </c>
      <c r="G2635" s="737">
        <v>138.08099999999999</v>
      </c>
      <c r="H2635" s="685">
        <v>552.32399999999996</v>
      </c>
      <c r="I2635" s="672" t="s">
        <v>9218</v>
      </c>
      <c r="J2635" s="672" t="s">
        <v>9219</v>
      </c>
      <c r="K2635" s="672" t="s">
        <v>2354</v>
      </c>
      <c r="L2635" s="672" t="s">
        <v>9219</v>
      </c>
    </row>
    <row r="2636" spans="1:12" x14ac:dyDescent="0.2">
      <c r="A2636" s="672" t="s">
        <v>220</v>
      </c>
      <c r="B2636" s="672" t="s">
        <v>5430</v>
      </c>
      <c r="C2636" s="672" t="s">
        <v>6139</v>
      </c>
      <c r="D2636" s="672" t="s">
        <v>8109</v>
      </c>
      <c r="E2636" s="745"/>
      <c r="F2636" s="732">
        <v>6</v>
      </c>
      <c r="G2636" s="737">
        <v>28.08</v>
      </c>
      <c r="H2636" s="685">
        <v>168.48</v>
      </c>
      <c r="I2636" s="672" t="s">
        <v>9218</v>
      </c>
      <c r="J2636" s="672" t="s">
        <v>9219</v>
      </c>
      <c r="K2636" s="672" t="s">
        <v>2354</v>
      </c>
      <c r="L2636" s="672" t="s">
        <v>9219</v>
      </c>
    </row>
    <row r="2637" spans="1:12" x14ac:dyDescent="0.2">
      <c r="A2637" s="672" t="s">
        <v>220</v>
      </c>
      <c r="B2637" s="672" t="s">
        <v>5430</v>
      </c>
      <c r="C2637" s="672" t="s">
        <v>6141</v>
      </c>
      <c r="D2637" s="672" t="s">
        <v>8110</v>
      </c>
      <c r="E2637" s="745"/>
      <c r="F2637" s="732">
        <v>6</v>
      </c>
      <c r="G2637" s="737">
        <v>38.700000000000003</v>
      </c>
      <c r="H2637" s="685">
        <v>232.20000000000002</v>
      </c>
      <c r="I2637" s="672" t="s">
        <v>9218</v>
      </c>
      <c r="J2637" s="672" t="s">
        <v>9219</v>
      </c>
      <c r="K2637" s="672" t="s">
        <v>2354</v>
      </c>
      <c r="L2637" s="672" t="s">
        <v>9219</v>
      </c>
    </row>
    <row r="2638" spans="1:12" x14ac:dyDescent="0.2">
      <c r="A2638" s="672" t="s">
        <v>220</v>
      </c>
      <c r="B2638" s="672" t="s">
        <v>5430</v>
      </c>
      <c r="C2638" s="672" t="s">
        <v>9687</v>
      </c>
      <c r="D2638" s="672" t="s">
        <v>9688</v>
      </c>
      <c r="E2638" s="745"/>
      <c r="F2638" s="732">
        <v>2</v>
      </c>
      <c r="G2638" s="737">
        <v>0</v>
      </c>
      <c r="H2638" s="685">
        <v>0</v>
      </c>
      <c r="I2638" s="672" t="s">
        <v>9218</v>
      </c>
      <c r="J2638" s="672" t="s">
        <v>9219</v>
      </c>
      <c r="K2638" s="672" t="s">
        <v>2354</v>
      </c>
      <c r="L2638" s="672" t="s">
        <v>9219</v>
      </c>
    </row>
    <row r="2639" spans="1:12" x14ac:dyDescent="0.2">
      <c r="A2639" s="672" t="s">
        <v>220</v>
      </c>
      <c r="B2639" s="672" t="s">
        <v>5430</v>
      </c>
      <c r="C2639" s="672" t="s">
        <v>5370</v>
      </c>
      <c r="D2639" s="672" t="s">
        <v>5371</v>
      </c>
      <c r="E2639" s="745"/>
      <c r="F2639" s="732">
        <v>18</v>
      </c>
      <c r="G2639" s="737">
        <v>11.25</v>
      </c>
      <c r="H2639" s="685">
        <v>202.5</v>
      </c>
      <c r="I2639" s="672" t="s">
        <v>9218</v>
      </c>
      <c r="J2639" s="672" t="s">
        <v>9219</v>
      </c>
      <c r="K2639" s="672" t="s">
        <v>2354</v>
      </c>
      <c r="L2639" s="672" t="s">
        <v>9219</v>
      </c>
    </row>
    <row r="2640" spans="1:12" x14ac:dyDescent="0.2">
      <c r="A2640" s="672" t="s">
        <v>220</v>
      </c>
      <c r="B2640" s="672" t="s">
        <v>5430</v>
      </c>
      <c r="C2640" s="672" t="s">
        <v>6146</v>
      </c>
      <c r="D2640" s="672" t="s">
        <v>8112</v>
      </c>
      <c r="E2640" s="745"/>
      <c r="F2640" s="732">
        <v>19</v>
      </c>
      <c r="G2640" s="737">
        <v>20.884</v>
      </c>
      <c r="H2640" s="685">
        <v>396.79599999999999</v>
      </c>
      <c r="I2640" s="672" t="s">
        <v>9218</v>
      </c>
      <c r="J2640" s="672" t="s">
        <v>9219</v>
      </c>
      <c r="K2640" s="672" t="s">
        <v>2354</v>
      </c>
      <c r="L2640" s="672" t="s">
        <v>9219</v>
      </c>
    </row>
    <row r="2641" spans="1:12" x14ac:dyDescent="0.2">
      <c r="A2641" s="672" t="s">
        <v>220</v>
      </c>
      <c r="B2641" s="672" t="s">
        <v>5430</v>
      </c>
      <c r="C2641" s="672" t="s">
        <v>6148</v>
      </c>
      <c r="D2641" s="672" t="s">
        <v>8113</v>
      </c>
      <c r="E2641" s="745"/>
      <c r="F2641" s="732">
        <v>2</v>
      </c>
      <c r="G2641" s="737">
        <v>23.238</v>
      </c>
      <c r="H2641" s="685">
        <v>46.475999999999999</v>
      </c>
      <c r="I2641" s="672" t="s">
        <v>9218</v>
      </c>
      <c r="J2641" s="672" t="s">
        <v>9219</v>
      </c>
      <c r="K2641" s="672" t="s">
        <v>2354</v>
      </c>
      <c r="L2641" s="672" t="s">
        <v>9219</v>
      </c>
    </row>
    <row r="2642" spans="1:12" x14ac:dyDescent="0.2">
      <c r="A2642" s="672" t="s">
        <v>220</v>
      </c>
      <c r="B2642" s="672" t="s">
        <v>5430</v>
      </c>
      <c r="C2642" s="672" t="s">
        <v>6150</v>
      </c>
      <c r="D2642" s="672" t="s">
        <v>8114</v>
      </c>
      <c r="E2642" s="745"/>
      <c r="F2642" s="732">
        <v>3</v>
      </c>
      <c r="G2642" s="737">
        <v>75.099000000000004</v>
      </c>
      <c r="H2642" s="685">
        <v>225.29700000000003</v>
      </c>
      <c r="I2642" s="672" t="s">
        <v>9218</v>
      </c>
      <c r="J2642" s="672" t="s">
        <v>9219</v>
      </c>
      <c r="K2642" s="672" t="s">
        <v>2354</v>
      </c>
      <c r="L2642" s="672" t="s">
        <v>9219</v>
      </c>
    </row>
    <row r="2643" spans="1:12" x14ac:dyDescent="0.2">
      <c r="A2643" s="672" t="s">
        <v>220</v>
      </c>
      <c r="B2643" s="672" t="s">
        <v>5430</v>
      </c>
      <c r="C2643" s="672" t="s">
        <v>6154</v>
      </c>
      <c r="D2643" s="672" t="s">
        <v>8115</v>
      </c>
      <c r="E2643" s="745"/>
      <c r="F2643" s="732">
        <v>7</v>
      </c>
      <c r="G2643" s="737">
        <v>24.623999999999999</v>
      </c>
      <c r="H2643" s="685">
        <v>172.36799999999999</v>
      </c>
      <c r="I2643" s="672" t="s">
        <v>9218</v>
      </c>
      <c r="J2643" s="672" t="s">
        <v>9219</v>
      </c>
      <c r="K2643" s="672" t="s">
        <v>2354</v>
      </c>
      <c r="L2643" s="672" t="s">
        <v>9219</v>
      </c>
    </row>
    <row r="2644" spans="1:12" x14ac:dyDescent="0.2">
      <c r="A2644" s="672" t="s">
        <v>220</v>
      </c>
      <c r="B2644" s="672" t="s">
        <v>5430</v>
      </c>
      <c r="C2644" s="672" t="s">
        <v>6156</v>
      </c>
      <c r="D2644" s="672" t="s">
        <v>8116</v>
      </c>
      <c r="E2644" s="745"/>
      <c r="F2644" s="732">
        <v>6</v>
      </c>
      <c r="G2644" s="737">
        <v>26.891999999999999</v>
      </c>
      <c r="H2644" s="685">
        <v>161.352</v>
      </c>
      <c r="I2644" s="672" t="s">
        <v>9218</v>
      </c>
      <c r="J2644" s="672" t="s">
        <v>9219</v>
      </c>
      <c r="K2644" s="672" t="s">
        <v>2354</v>
      </c>
      <c r="L2644" s="672" t="s">
        <v>9219</v>
      </c>
    </row>
    <row r="2645" spans="1:12" x14ac:dyDescent="0.2">
      <c r="A2645" s="672" t="s">
        <v>220</v>
      </c>
      <c r="B2645" s="672" t="s">
        <v>5430</v>
      </c>
      <c r="C2645" s="672" t="s">
        <v>6158</v>
      </c>
      <c r="D2645" s="672" t="s">
        <v>8117</v>
      </c>
      <c r="E2645" s="745"/>
      <c r="F2645" s="732">
        <v>3</v>
      </c>
      <c r="G2645" s="737">
        <v>21.134</v>
      </c>
      <c r="H2645" s="685">
        <v>63.402000000000001</v>
      </c>
      <c r="I2645" s="672" t="s">
        <v>9218</v>
      </c>
      <c r="J2645" s="672" t="s">
        <v>9219</v>
      </c>
      <c r="K2645" s="672" t="s">
        <v>2354</v>
      </c>
      <c r="L2645" s="672" t="s">
        <v>9219</v>
      </c>
    </row>
    <row r="2646" spans="1:12" x14ac:dyDescent="0.2">
      <c r="A2646" s="672" t="s">
        <v>220</v>
      </c>
      <c r="B2646" s="672" t="s">
        <v>5430</v>
      </c>
      <c r="C2646" s="672" t="s">
        <v>6162</v>
      </c>
      <c r="D2646" s="672" t="s">
        <v>8119</v>
      </c>
      <c r="E2646" s="745"/>
      <c r="F2646" s="732">
        <v>2</v>
      </c>
      <c r="G2646" s="737">
        <v>113.4</v>
      </c>
      <c r="H2646" s="685">
        <v>226.8</v>
      </c>
      <c r="I2646" s="672" t="s">
        <v>9218</v>
      </c>
      <c r="J2646" s="672" t="s">
        <v>9219</v>
      </c>
      <c r="K2646" s="672" t="s">
        <v>2354</v>
      </c>
      <c r="L2646" s="672" t="s">
        <v>9219</v>
      </c>
    </row>
    <row r="2647" spans="1:12" x14ac:dyDescent="0.2">
      <c r="A2647" s="672" t="s">
        <v>220</v>
      </c>
      <c r="B2647" s="672" t="s">
        <v>5430</v>
      </c>
      <c r="C2647" s="672" t="s">
        <v>6164</v>
      </c>
      <c r="D2647" s="672" t="s">
        <v>8120</v>
      </c>
      <c r="E2647" s="745"/>
      <c r="F2647" s="732">
        <v>1</v>
      </c>
      <c r="G2647" s="737">
        <v>104.997</v>
      </c>
      <c r="H2647" s="685">
        <v>104.997</v>
      </c>
      <c r="I2647" s="672" t="s">
        <v>9218</v>
      </c>
      <c r="J2647" s="672" t="s">
        <v>9219</v>
      </c>
      <c r="K2647" s="672" t="s">
        <v>2354</v>
      </c>
      <c r="L2647" s="672" t="s">
        <v>9219</v>
      </c>
    </row>
    <row r="2648" spans="1:12" x14ac:dyDescent="0.2">
      <c r="A2648" s="672" t="s">
        <v>220</v>
      </c>
      <c r="B2648" s="672" t="s">
        <v>5430</v>
      </c>
      <c r="C2648" s="672" t="s">
        <v>6166</v>
      </c>
      <c r="D2648" s="672" t="s">
        <v>8121</v>
      </c>
      <c r="E2648" s="745"/>
      <c r="F2648" s="732">
        <v>6</v>
      </c>
      <c r="G2648" s="737">
        <v>41.37</v>
      </c>
      <c r="H2648" s="685">
        <v>248.21999999999997</v>
      </c>
      <c r="I2648" s="672" t="s">
        <v>9218</v>
      </c>
      <c r="J2648" s="672" t="s">
        <v>9219</v>
      </c>
      <c r="K2648" s="672" t="s">
        <v>2354</v>
      </c>
      <c r="L2648" s="672" t="s">
        <v>9219</v>
      </c>
    </row>
    <row r="2649" spans="1:12" x14ac:dyDescent="0.2">
      <c r="A2649" s="672" t="s">
        <v>220</v>
      </c>
      <c r="B2649" s="672" t="s">
        <v>5430</v>
      </c>
      <c r="C2649" s="672" t="s">
        <v>6168</v>
      </c>
      <c r="D2649" s="672" t="s">
        <v>8122</v>
      </c>
      <c r="E2649" s="745"/>
      <c r="F2649" s="732">
        <v>12</v>
      </c>
      <c r="G2649" s="737">
        <v>10.492000000000001</v>
      </c>
      <c r="H2649" s="685">
        <v>125.90400000000001</v>
      </c>
      <c r="I2649" s="672" t="s">
        <v>9218</v>
      </c>
      <c r="J2649" s="672" t="s">
        <v>9219</v>
      </c>
      <c r="K2649" s="672" t="s">
        <v>2354</v>
      </c>
      <c r="L2649" s="672" t="s">
        <v>9219</v>
      </c>
    </row>
    <row r="2650" spans="1:12" x14ac:dyDescent="0.2">
      <c r="A2650" s="672" t="s">
        <v>220</v>
      </c>
      <c r="B2650" s="672" t="s">
        <v>5430</v>
      </c>
      <c r="C2650" s="672" t="s">
        <v>6170</v>
      </c>
      <c r="D2650" s="672" t="s">
        <v>8123</v>
      </c>
      <c r="E2650" s="745"/>
      <c r="F2650" s="732">
        <v>3</v>
      </c>
      <c r="G2650" s="737">
        <v>239.04</v>
      </c>
      <c r="H2650" s="685">
        <v>717.12</v>
      </c>
      <c r="I2650" s="672" t="s">
        <v>9218</v>
      </c>
      <c r="J2650" s="672" t="s">
        <v>9219</v>
      </c>
      <c r="K2650" s="672" t="s">
        <v>2354</v>
      </c>
      <c r="L2650" s="672" t="s">
        <v>9219</v>
      </c>
    </row>
    <row r="2651" spans="1:12" x14ac:dyDescent="0.2">
      <c r="A2651" s="672" t="s">
        <v>220</v>
      </c>
      <c r="B2651" s="672" t="s">
        <v>5430</v>
      </c>
      <c r="C2651" s="672" t="s">
        <v>6174</v>
      </c>
      <c r="D2651" s="672" t="s">
        <v>8125</v>
      </c>
      <c r="E2651" s="745"/>
      <c r="F2651" s="732">
        <v>3</v>
      </c>
      <c r="G2651" s="737">
        <v>131.12100000000001</v>
      </c>
      <c r="H2651" s="685">
        <v>393.36300000000006</v>
      </c>
      <c r="I2651" s="672" t="s">
        <v>9218</v>
      </c>
      <c r="J2651" s="672" t="s">
        <v>9219</v>
      </c>
      <c r="K2651" s="672" t="s">
        <v>2354</v>
      </c>
      <c r="L2651" s="672" t="s">
        <v>9219</v>
      </c>
    </row>
    <row r="2652" spans="1:12" x14ac:dyDescent="0.2">
      <c r="A2652" s="672" t="s">
        <v>220</v>
      </c>
      <c r="B2652" s="672" t="s">
        <v>5430</v>
      </c>
      <c r="C2652" s="672" t="s">
        <v>6176</v>
      </c>
      <c r="D2652" s="672" t="s">
        <v>8126</v>
      </c>
      <c r="E2652" s="745"/>
      <c r="F2652" s="732">
        <v>6</v>
      </c>
      <c r="G2652" s="737">
        <v>159.40600000000001</v>
      </c>
      <c r="H2652" s="685">
        <v>956.43600000000004</v>
      </c>
      <c r="I2652" s="672" t="s">
        <v>9218</v>
      </c>
      <c r="J2652" s="672" t="s">
        <v>9219</v>
      </c>
      <c r="K2652" s="672" t="s">
        <v>2354</v>
      </c>
      <c r="L2652" s="672" t="s">
        <v>9219</v>
      </c>
    </row>
    <row r="2653" spans="1:12" x14ac:dyDescent="0.2">
      <c r="A2653" s="672" t="s">
        <v>220</v>
      </c>
      <c r="B2653" s="672" t="s">
        <v>5430</v>
      </c>
      <c r="C2653" s="672" t="s">
        <v>6178</v>
      </c>
      <c r="D2653" s="672" t="s">
        <v>8127</v>
      </c>
      <c r="E2653" s="745"/>
      <c r="F2653" s="732">
        <v>1</v>
      </c>
      <c r="G2653" s="737">
        <v>52.758000000000003</v>
      </c>
      <c r="H2653" s="685">
        <v>52.758000000000003</v>
      </c>
      <c r="I2653" s="672" t="s">
        <v>9218</v>
      </c>
      <c r="J2653" s="672" t="s">
        <v>9219</v>
      </c>
      <c r="K2653" s="672" t="s">
        <v>2354</v>
      </c>
      <c r="L2653" s="672" t="s">
        <v>9219</v>
      </c>
    </row>
    <row r="2654" spans="1:12" x14ac:dyDescent="0.2">
      <c r="A2654" s="672" t="s">
        <v>220</v>
      </c>
      <c r="B2654" s="672" t="s">
        <v>5430</v>
      </c>
      <c r="C2654" s="672" t="s">
        <v>6180</v>
      </c>
      <c r="D2654" s="672" t="s">
        <v>8128</v>
      </c>
      <c r="E2654" s="745"/>
      <c r="F2654" s="732">
        <v>1</v>
      </c>
      <c r="G2654" s="737">
        <v>278.327</v>
      </c>
      <c r="H2654" s="685">
        <v>278.327</v>
      </c>
      <c r="I2654" s="672" t="s">
        <v>9218</v>
      </c>
      <c r="J2654" s="672" t="s">
        <v>9219</v>
      </c>
      <c r="K2654" s="672" t="s">
        <v>2354</v>
      </c>
      <c r="L2654" s="672" t="s">
        <v>9219</v>
      </c>
    </row>
    <row r="2655" spans="1:12" x14ac:dyDescent="0.2">
      <c r="A2655" s="672" t="s">
        <v>220</v>
      </c>
      <c r="B2655" s="672" t="s">
        <v>5430</v>
      </c>
      <c r="C2655" s="672" t="s">
        <v>6182</v>
      </c>
      <c r="D2655" s="672" t="s">
        <v>8129</v>
      </c>
      <c r="E2655" s="745"/>
      <c r="F2655" s="732">
        <v>2</v>
      </c>
      <c r="G2655" s="737">
        <v>21.667000000000002</v>
      </c>
      <c r="H2655" s="685">
        <v>43.334000000000003</v>
      </c>
      <c r="I2655" s="672" t="s">
        <v>9218</v>
      </c>
      <c r="J2655" s="672" t="s">
        <v>9219</v>
      </c>
      <c r="K2655" s="672" t="s">
        <v>2354</v>
      </c>
      <c r="L2655" s="672" t="s">
        <v>9219</v>
      </c>
    </row>
    <row r="2656" spans="1:12" x14ac:dyDescent="0.2">
      <c r="A2656" s="672" t="s">
        <v>220</v>
      </c>
      <c r="B2656" s="672" t="s">
        <v>5430</v>
      </c>
      <c r="C2656" s="672" t="s">
        <v>8130</v>
      </c>
      <c r="D2656" s="672" t="s">
        <v>8131</v>
      </c>
      <c r="E2656" s="745"/>
      <c r="F2656" s="732">
        <v>8</v>
      </c>
      <c r="G2656" s="737">
        <v>681.18799999999999</v>
      </c>
      <c r="H2656" s="685">
        <v>5449.5039999999999</v>
      </c>
      <c r="I2656" s="672" t="s">
        <v>9218</v>
      </c>
      <c r="J2656" s="672" t="s">
        <v>9219</v>
      </c>
      <c r="K2656" s="672" t="s">
        <v>2354</v>
      </c>
      <c r="L2656" s="672" t="s">
        <v>9219</v>
      </c>
    </row>
    <row r="2657" spans="1:12" x14ac:dyDescent="0.2">
      <c r="A2657" s="672" t="s">
        <v>220</v>
      </c>
      <c r="B2657" s="672" t="s">
        <v>5430</v>
      </c>
      <c r="C2657" s="672" t="s">
        <v>6186</v>
      </c>
      <c r="D2657" s="672" t="s">
        <v>8132</v>
      </c>
      <c r="E2657" s="745"/>
      <c r="F2657" s="732">
        <v>8</v>
      </c>
      <c r="G2657" s="737">
        <v>104.4</v>
      </c>
      <c r="H2657" s="685">
        <v>835.2</v>
      </c>
      <c r="I2657" s="672" t="s">
        <v>9218</v>
      </c>
      <c r="J2657" s="672" t="s">
        <v>9219</v>
      </c>
      <c r="K2657" s="672" t="s">
        <v>2354</v>
      </c>
      <c r="L2657" s="672" t="s">
        <v>9219</v>
      </c>
    </row>
    <row r="2658" spans="1:12" x14ac:dyDescent="0.2">
      <c r="A2658" s="672" t="s">
        <v>220</v>
      </c>
      <c r="B2658" s="672" t="s">
        <v>5430</v>
      </c>
      <c r="C2658" s="672" t="s">
        <v>6188</v>
      </c>
      <c r="D2658" s="672" t="s">
        <v>8133</v>
      </c>
      <c r="E2658" s="745"/>
      <c r="F2658" s="732">
        <v>2</v>
      </c>
      <c r="G2658" s="737">
        <v>12.442</v>
      </c>
      <c r="H2658" s="685">
        <v>24.884</v>
      </c>
      <c r="I2658" s="672" t="s">
        <v>9218</v>
      </c>
      <c r="J2658" s="672" t="s">
        <v>9219</v>
      </c>
      <c r="K2658" s="672" t="s">
        <v>2354</v>
      </c>
      <c r="L2658" s="672" t="s">
        <v>9219</v>
      </c>
    </row>
    <row r="2659" spans="1:12" x14ac:dyDescent="0.2">
      <c r="A2659" s="672" t="s">
        <v>220</v>
      </c>
      <c r="B2659" s="672" t="s">
        <v>5430</v>
      </c>
      <c r="C2659" s="672" t="s">
        <v>8134</v>
      </c>
      <c r="D2659" s="672" t="s">
        <v>8135</v>
      </c>
      <c r="E2659" s="745"/>
      <c r="F2659" s="732">
        <v>5</v>
      </c>
      <c r="G2659" s="737">
        <v>72.275999999999996</v>
      </c>
      <c r="H2659" s="685">
        <v>361.38</v>
      </c>
      <c r="I2659" s="672" t="s">
        <v>9218</v>
      </c>
      <c r="J2659" s="672" t="s">
        <v>9219</v>
      </c>
      <c r="K2659" s="672" t="s">
        <v>2354</v>
      </c>
      <c r="L2659" s="672" t="s">
        <v>9219</v>
      </c>
    </row>
    <row r="2660" spans="1:12" x14ac:dyDescent="0.2">
      <c r="A2660" s="672" t="s">
        <v>220</v>
      </c>
      <c r="B2660" s="672" t="s">
        <v>5430</v>
      </c>
      <c r="C2660" s="672" t="s">
        <v>6196</v>
      </c>
      <c r="D2660" s="672" t="s">
        <v>8139</v>
      </c>
      <c r="E2660" s="745"/>
      <c r="F2660" s="732">
        <v>4</v>
      </c>
      <c r="G2660" s="737">
        <v>226.06700000000001</v>
      </c>
      <c r="H2660" s="685">
        <v>904.26800000000003</v>
      </c>
      <c r="I2660" s="672" t="s">
        <v>9218</v>
      </c>
      <c r="J2660" s="672" t="s">
        <v>9219</v>
      </c>
      <c r="K2660" s="672" t="s">
        <v>2354</v>
      </c>
      <c r="L2660" s="672" t="s">
        <v>9219</v>
      </c>
    </row>
    <row r="2661" spans="1:12" x14ac:dyDescent="0.2">
      <c r="A2661" s="672" t="s">
        <v>220</v>
      </c>
      <c r="B2661" s="672" t="s">
        <v>5430</v>
      </c>
      <c r="C2661" s="672" t="s">
        <v>6198</v>
      </c>
      <c r="D2661" s="672" t="s">
        <v>8140</v>
      </c>
      <c r="E2661" s="745"/>
      <c r="F2661" s="732">
        <v>12</v>
      </c>
      <c r="G2661" s="737">
        <v>73.260000000000005</v>
      </c>
      <c r="H2661" s="685">
        <v>879.12000000000012</v>
      </c>
      <c r="I2661" s="672" t="s">
        <v>9218</v>
      </c>
      <c r="J2661" s="672" t="s">
        <v>9219</v>
      </c>
      <c r="K2661" s="672" t="s">
        <v>2354</v>
      </c>
      <c r="L2661" s="672" t="s">
        <v>9219</v>
      </c>
    </row>
    <row r="2662" spans="1:12" x14ac:dyDescent="0.2">
      <c r="A2662" s="672" t="s">
        <v>220</v>
      </c>
      <c r="B2662" s="672" t="s">
        <v>5430</v>
      </c>
      <c r="C2662" s="672" t="s">
        <v>8141</v>
      </c>
      <c r="D2662" s="672" t="s">
        <v>8142</v>
      </c>
      <c r="E2662" s="745"/>
      <c r="F2662" s="732">
        <v>5</v>
      </c>
      <c r="G2662" s="737">
        <v>21.271999999999998</v>
      </c>
      <c r="H2662" s="685">
        <v>106.35999999999999</v>
      </c>
      <c r="I2662" s="672" t="s">
        <v>9218</v>
      </c>
      <c r="J2662" s="672" t="s">
        <v>9219</v>
      </c>
      <c r="K2662" s="672" t="s">
        <v>2354</v>
      </c>
      <c r="L2662" s="672" t="s">
        <v>9219</v>
      </c>
    </row>
    <row r="2663" spans="1:12" x14ac:dyDescent="0.2">
      <c r="A2663" s="672" t="s">
        <v>220</v>
      </c>
      <c r="B2663" s="672" t="s">
        <v>5430</v>
      </c>
      <c r="C2663" s="672" t="s">
        <v>6200</v>
      </c>
      <c r="D2663" s="672" t="s">
        <v>8143</v>
      </c>
      <c r="E2663" s="745"/>
      <c r="F2663" s="732">
        <v>5</v>
      </c>
      <c r="G2663" s="737">
        <v>23.01</v>
      </c>
      <c r="H2663" s="685">
        <v>115.05000000000001</v>
      </c>
      <c r="I2663" s="672" t="s">
        <v>9218</v>
      </c>
      <c r="J2663" s="672" t="s">
        <v>9219</v>
      </c>
      <c r="K2663" s="672" t="s">
        <v>2354</v>
      </c>
      <c r="L2663" s="672" t="s">
        <v>9219</v>
      </c>
    </row>
    <row r="2664" spans="1:12" x14ac:dyDescent="0.2">
      <c r="A2664" s="672" t="s">
        <v>220</v>
      </c>
      <c r="B2664" s="672" t="s">
        <v>5430</v>
      </c>
      <c r="C2664" s="672" t="s">
        <v>6202</v>
      </c>
      <c r="D2664" s="672" t="s">
        <v>6203</v>
      </c>
      <c r="E2664" s="745"/>
      <c r="F2664" s="732">
        <v>2</v>
      </c>
      <c r="G2664" s="737">
        <v>64.346999999999994</v>
      </c>
      <c r="H2664" s="685">
        <v>128.69399999999999</v>
      </c>
      <c r="I2664" s="672" t="s">
        <v>9218</v>
      </c>
      <c r="J2664" s="672" t="s">
        <v>9219</v>
      </c>
      <c r="K2664" s="672" t="s">
        <v>2354</v>
      </c>
      <c r="L2664" s="672" t="s">
        <v>9219</v>
      </c>
    </row>
    <row r="2665" spans="1:12" x14ac:dyDescent="0.2">
      <c r="A2665" s="672" t="s">
        <v>220</v>
      </c>
      <c r="B2665" s="672" t="s">
        <v>5430</v>
      </c>
      <c r="C2665" s="672" t="s">
        <v>6204</v>
      </c>
      <c r="D2665" s="672" t="s">
        <v>8144</v>
      </c>
      <c r="E2665" s="745"/>
      <c r="F2665" s="732">
        <v>1</v>
      </c>
      <c r="G2665" s="737">
        <v>162</v>
      </c>
      <c r="H2665" s="685">
        <v>162</v>
      </c>
      <c r="I2665" s="672" t="s">
        <v>9218</v>
      </c>
      <c r="J2665" s="672" t="s">
        <v>9219</v>
      </c>
      <c r="K2665" s="672" t="s">
        <v>2354</v>
      </c>
      <c r="L2665" s="672" t="s">
        <v>9219</v>
      </c>
    </row>
    <row r="2666" spans="1:12" x14ac:dyDescent="0.2">
      <c r="A2666" s="672" t="s">
        <v>220</v>
      </c>
      <c r="B2666" s="672" t="s">
        <v>5430</v>
      </c>
      <c r="C2666" s="672" t="s">
        <v>6206</v>
      </c>
      <c r="D2666" s="672" t="s">
        <v>6207</v>
      </c>
      <c r="E2666" s="745"/>
      <c r="F2666" s="732">
        <v>1</v>
      </c>
      <c r="G2666" s="737">
        <v>162</v>
      </c>
      <c r="H2666" s="685">
        <v>162</v>
      </c>
      <c r="I2666" s="672" t="s">
        <v>9218</v>
      </c>
      <c r="J2666" s="672" t="s">
        <v>9219</v>
      </c>
      <c r="K2666" s="672" t="s">
        <v>2354</v>
      </c>
      <c r="L2666" s="672" t="s">
        <v>9219</v>
      </c>
    </row>
    <row r="2667" spans="1:12" x14ac:dyDescent="0.2">
      <c r="A2667" s="672" t="s">
        <v>220</v>
      </c>
      <c r="B2667" s="672" t="s">
        <v>5430</v>
      </c>
      <c r="C2667" s="672" t="s">
        <v>6208</v>
      </c>
      <c r="D2667" s="672" t="s">
        <v>8145</v>
      </c>
      <c r="E2667" s="745"/>
      <c r="F2667" s="732">
        <v>2</v>
      </c>
      <c r="G2667" s="737">
        <v>162</v>
      </c>
      <c r="H2667" s="685">
        <v>324</v>
      </c>
      <c r="I2667" s="672" t="s">
        <v>9218</v>
      </c>
      <c r="J2667" s="672" t="s">
        <v>9219</v>
      </c>
      <c r="K2667" s="672" t="s">
        <v>2354</v>
      </c>
      <c r="L2667" s="672" t="s">
        <v>9219</v>
      </c>
    </row>
    <row r="2668" spans="1:12" x14ac:dyDescent="0.2">
      <c r="A2668" s="672" t="s">
        <v>220</v>
      </c>
      <c r="B2668" s="672" t="s">
        <v>5430</v>
      </c>
      <c r="C2668" s="672" t="s">
        <v>6210</v>
      </c>
      <c r="D2668" s="672" t="s">
        <v>8146</v>
      </c>
      <c r="E2668" s="745"/>
      <c r="F2668" s="732">
        <v>6</v>
      </c>
      <c r="G2668" s="737">
        <v>179.5</v>
      </c>
      <c r="H2668" s="685">
        <v>1077</v>
      </c>
      <c r="I2668" s="672" t="s">
        <v>9218</v>
      </c>
      <c r="J2668" s="672" t="s">
        <v>9219</v>
      </c>
      <c r="K2668" s="672" t="s">
        <v>2354</v>
      </c>
      <c r="L2668" s="672" t="s">
        <v>9219</v>
      </c>
    </row>
    <row r="2669" spans="1:12" x14ac:dyDescent="0.2">
      <c r="A2669" s="672" t="s">
        <v>220</v>
      </c>
      <c r="B2669" s="672" t="s">
        <v>5430</v>
      </c>
      <c r="C2669" s="672" t="s">
        <v>6212</v>
      </c>
      <c r="D2669" s="672" t="s">
        <v>8147</v>
      </c>
      <c r="E2669" s="745"/>
      <c r="F2669" s="732">
        <v>1</v>
      </c>
      <c r="G2669" s="737">
        <v>405.87799999999999</v>
      </c>
      <c r="H2669" s="685">
        <v>405.87799999999999</v>
      </c>
      <c r="I2669" s="672" t="s">
        <v>9218</v>
      </c>
      <c r="J2669" s="672" t="s">
        <v>9219</v>
      </c>
      <c r="K2669" s="672" t="s">
        <v>2354</v>
      </c>
      <c r="L2669" s="672" t="s">
        <v>9219</v>
      </c>
    </row>
    <row r="2670" spans="1:12" x14ac:dyDescent="0.2">
      <c r="A2670" s="672" t="s">
        <v>220</v>
      </c>
      <c r="B2670" s="672" t="s">
        <v>5430</v>
      </c>
      <c r="C2670" s="672" t="s">
        <v>8149</v>
      </c>
      <c r="D2670" s="672" t="s">
        <v>8150</v>
      </c>
      <c r="E2670" s="745"/>
      <c r="F2670" s="732">
        <v>1</v>
      </c>
      <c r="G2670" s="737">
        <v>598.4</v>
      </c>
      <c r="H2670" s="685">
        <v>598.4</v>
      </c>
      <c r="I2670" s="672" t="s">
        <v>9218</v>
      </c>
      <c r="J2670" s="672" t="s">
        <v>9219</v>
      </c>
      <c r="K2670" s="672" t="s">
        <v>2354</v>
      </c>
      <c r="L2670" s="672" t="s">
        <v>9219</v>
      </c>
    </row>
    <row r="2671" spans="1:12" x14ac:dyDescent="0.2">
      <c r="A2671" s="672" t="s">
        <v>220</v>
      </c>
      <c r="B2671" s="672" t="s">
        <v>5430</v>
      </c>
      <c r="C2671" s="672" t="s">
        <v>6216</v>
      </c>
      <c r="D2671" s="672" t="s">
        <v>8151</v>
      </c>
      <c r="E2671" s="745"/>
      <c r="F2671" s="732">
        <v>1</v>
      </c>
      <c r="G2671" s="737">
        <v>414</v>
      </c>
      <c r="H2671" s="685">
        <v>414</v>
      </c>
      <c r="I2671" s="672" t="s">
        <v>9218</v>
      </c>
      <c r="J2671" s="672" t="s">
        <v>9219</v>
      </c>
      <c r="K2671" s="672" t="s">
        <v>2354</v>
      </c>
      <c r="L2671" s="672" t="s">
        <v>9219</v>
      </c>
    </row>
    <row r="2672" spans="1:12" x14ac:dyDescent="0.2">
      <c r="A2672" s="672" t="s">
        <v>220</v>
      </c>
      <c r="B2672" s="672" t="s">
        <v>5430</v>
      </c>
      <c r="C2672" s="672" t="s">
        <v>5568</v>
      </c>
      <c r="D2672" s="672" t="s">
        <v>5569</v>
      </c>
      <c r="E2672" s="745"/>
      <c r="F2672" s="732">
        <v>35</v>
      </c>
      <c r="G2672" s="737">
        <v>321.209</v>
      </c>
      <c r="H2672" s="685">
        <v>11242.315000000001</v>
      </c>
      <c r="I2672" s="672" t="s">
        <v>9218</v>
      </c>
      <c r="J2672" s="672" t="s">
        <v>9219</v>
      </c>
      <c r="K2672" s="672" t="s">
        <v>2354</v>
      </c>
      <c r="L2672" s="672" t="s">
        <v>9219</v>
      </c>
    </row>
    <row r="2673" spans="1:12" x14ac:dyDescent="0.2">
      <c r="A2673" s="672" t="s">
        <v>220</v>
      </c>
      <c r="B2673" s="672" t="s">
        <v>5430</v>
      </c>
      <c r="C2673" s="672" t="s">
        <v>6224</v>
      </c>
      <c r="D2673" s="672" t="s">
        <v>6225</v>
      </c>
      <c r="E2673" s="745"/>
      <c r="F2673" s="732">
        <v>1</v>
      </c>
      <c r="G2673" s="737">
        <v>50.92</v>
      </c>
      <c r="H2673" s="685">
        <v>50.92</v>
      </c>
      <c r="I2673" s="672" t="s">
        <v>9218</v>
      </c>
      <c r="J2673" s="672" t="s">
        <v>9219</v>
      </c>
      <c r="K2673" s="672" t="s">
        <v>2354</v>
      </c>
      <c r="L2673" s="672" t="s">
        <v>9219</v>
      </c>
    </row>
    <row r="2674" spans="1:12" x14ac:dyDescent="0.2">
      <c r="A2674" s="672" t="s">
        <v>220</v>
      </c>
      <c r="B2674" s="672" t="s">
        <v>5430</v>
      </c>
      <c r="C2674" s="672" t="s">
        <v>6228</v>
      </c>
      <c r="D2674" s="672" t="s">
        <v>6229</v>
      </c>
      <c r="E2674" s="745"/>
      <c r="F2674" s="732">
        <v>3</v>
      </c>
      <c r="G2674" s="737">
        <v>51.457999999999998</v>
      </c>
      <c r="H2674" s="685">
        <v>154.374</v>
      </c>
      <c r="I2674" s="672" t="s">
        <v>9218</v>
      </c>
      <c r="J2674" s="672" t="s">
        <v>9219</v>
      </c>
      <c r="K2674" s="672" t="s">
        <v>2354</v>
      </c>
      <c r="L2674" s="672" t="s">
        <v>9219</v>
      </c>
    </row>
    <row r="2675" spans="1:12" x14ac:dyDescent="0.2">
      <c r="A2675" s="672" t="s">
        <v>220</v>
      </c>
      <c r="B2675" s="672" t="s">
        <v>5430</v>
      </c>
      <c r="C2675" s="672" t="s">
        <v>6230</v>
      </c>
      <c r="D2675" s="672" t="s">
        <v>6231</v>
      </c>
      <c r="E2675" s="745"/>
      <c r="F2675" s="732">
        <v>1</v>
      </c>
      <c r="G2675" s="737">
        <v>87.867999999999995</v>
      </c>
      <c r="H2675" s="685">
        <v>87.867999999999995</v>
      </c>
      <c r="I2675" s="672" t="s">
        <v>9218</v>
      </c>
      <c r="J2675" s="672" t="s">
        <v>9219</v>
      </c>
      <c r="K2675" s="672" t="s">
        <v>2354</v>
      </c>
      <c r="L2675" s="672" t="s">
        <v>9219</v>
      </c>
    </row>
    <row r="2676" spans="1:12" x14ac:dyDescent="0.2">
      <c r="A2676" s="672" t="s">
        <v>220</v>
      </c>
      <c r="B2676" s="672" t="s">
        <v>5430</v>
      </c>
      <c r="C2676" s="672" t="s">
        <v>5456</v>
      </c>
      <c r="D2676" s="672" t="s">
        <v>8156</v>
      </c>
      <c r="E2676" s="745"/>
      <c r="F2676" s="732">
        <v>9</v>
      </c>
      <c r="G2676" s="737">
        <v>4.8849999999999998</v>
      </c>
      <c r="H2676" s="685">
        <v>43.964999999999996</v>
      </c>
      <c r="I2676" s="672" t="s">
        <v>9218</v>
      </c>
      <c r="J2676" s="672" t="s">
        <v>9219</v>
      </c>
      <c r="K2676" s="672" t="s">
        <v>2354</v>
      </c>
      <c r="L2676" s="672" t="s">
        <v>9219</v>
      </c>
    </row>
    <row r="2677" spans="1:12" x14ac:dyDescent="0.2">
      <c r="A2677" s="672" t="s">
        <v>220</v>
      </c>
      <c r="B2677" s="672" t="s">
        <v>5430</v>
      </c>
      <c r="D2677" s="672" t="s">
        <v>9689</v>
      </c>
      <c r="E2677" s="745"/>
      <c r="F2677" s="732">
        <v>60</v>
      </c>
      <c r="G2677" s="737">
        <v>6.25</v>
      </c>
      <c r="H2677" s="685">
        <v>375</v>
      </c>
      <c r="I2677" s="672" t="s">
        <v>9218</v>
      </c>
      <c r="J2677" s="672" t="s">
        <v>9219</v>
      </c>
      <c r="K2677" s="672" t="s">
        <v>2354</v>
      </c>
      <c r="L2677" s="672" t="s">
        <v>9219</v>
      </c>
    </row>
    <row r="2678" spans="1:12" x14ac:dyDescent="0.2">
      <c r="A2678" s="672" t="s">
        <v>220</v>
      </c>
      <c r="B2678" s="672" t="s">
        <v>5430</v>
      </c>
      <c r="C2678" s="672" t="s">
        <v>8159</v>
      </c>
      <c r="D2678" s="672" t="s">
        <v>8160</v>
      </c>
      <c r="E2678" s="745"/>
      <c r="F2678" s="732">
        <v>60</v>
      </c>
      <c r="G2678" s="737">
        <v>7.8650000000000002</v>
      </c>
      <c r="H2678" s="685">
        <v>471.90000000000003</v>
      </c>
      <c r="I2678" s="672" t="s">
        <v>9218</v>
      </c>
      <c r="J2678" s="672" t="s">
        <v>9219</v>
      </c>
      <c r="K2678" s="672" t="s">
        <v>2354</v>
      </c>
      <c r="L2678" s="672" t="s">
        <v>9219</v>
      </c>
    </row>
    <row r="2679" spans="1:12" x14ac:dyDescent="0.2">
      <c r="A2679" s="672" t="s">
        <v>220</v>
      </c>
      <c r="B2679" s="672" t="s">
        <v>5430</v>
      </c>
      <c r="C2679" s="672" t="s">
        <v>3417</v>
      </c>
      <c r="D2679" s="672" t="s">
        <v>8162</v>
      </c>
      <c r="E2679" s="745"/>
      <c r="F2679" s="732">
        <v>1</v>
      </c>
      <c r="G2679" s="737">
        <v>489.53530000000001</v>
      </c>
      <c r="H2679" s="685">
        <v>489.53530000000001</v>
      </c>
      <c r="I2679" s="672" t="s">
        <v>9218</v>
      </c>
      <c r="J2679" s="672" t="s">
        <v>9219</v>
      </c>
      <c r="K2679" s="672" t="s">
        <v>2354</v>
      </c>
      <c r="L2679" s="672" t="s">
        <v>9219</v>
      </c>
    </row>
    <row r="2680" spans="1:12" x14ac:dyDescent="0.2">
      <c r="A2680" s="672" t="s">
        <v>220</v>
      </c>
      <c r="B2680" s="672" t="s">
        <v>5430</v>
      </c>
      <c r="C2680" s="672" t="s">
        <v>6377</v>
      </c>
      <c r="D2680" s="672" t="s">
        <v>8167</v>
      </c>
      <c r="E2680" s="745"/>
      <c r="F2680" s="732">
        <v>5</v>
      </c>
      <c r="G2680" s="737">
        <v>4.548</v>
      </c>
      <c r="H2680" s="685">
        <v>22.740000000000002</v>
      </c>
      <c r="I2680" s="672" t="s">
        <v>9218</v>
      </c>
      <c r="J2680" s="672" t="s">
        <v>9219</v>
      </c>
      <c r="K2680" s="672" t="s">
        <v>2354</v>
      </c>
      <c r="L2680" s="672" t="s">
        <v>9219</v>
      </c>
    </row>
    <row r="2681" spans="1:12" x14ac:dyDescent="0.2">
      <c r="A2681" s="672" t="s">
        <v>220</v>
      </c>
      <c r="B2681" s="672" t="s">
        <v>5430</v>
      </c>
      <c r="C2681" s="672" t="s">
        <v>6379</v>
      </c>
      <c r="D2681" s="672" t="s">
        <v>8168</v>
      </c>
      <c r="E2681" s="745"/>
      <c r="F2681" s="732">
        <v>1</v>
      </c>
      <c r="G2681" s="737">
        <v>39.973999999999997</v>
      </c>
      <c r="H2681" s="685">
        <v>39.973999999999997</v>
      </c>
      <c r="I2681" s="672" t="s">
        <v>9218</v>
      </c>
      <c r="J2681" s="672" t="s">
        <v>9219</v>
      </c>
      <c r="K2681" s="672" t="s">
        <v>2354</v>
      </c>
      <c r="L2681" s="672" t="s">
        <v>9219</v>
      </c>
    </row>
    <row r="2682" spans="1:12" x14ac:dyDescent="0.2">
      <c r="A2682" s="672" t="s">
        <v>220</v>
      </c>
      <c r="B2682" s="672" t="s">
        <v>5430</v>
      </c>
      <c r="C2682" s="672" t="s">
        <v>6381</v>
      </c>
      <c r="D2682" s="672" t="s">
        <v>8169</v>
      </c>
      <c r="E2682" s="745"/>
      <c r="F2682" s="732">
        <v>6</v>
      </c>
      <c r="G2682" s="737">
        <v>5.94</v>
      </c>
      <c r="H2682" s="685">
        <v>35.64</v>
      </c>
      <c r="I2682" s="672" t="s">
        <v>9218</v>
      </c>
      <c r="J2682" s="672" t="s">
        <v>9219</v>
      </c>
      <c r="K2682" s="672" t="s">
        <v>2354</v>
      </c>
      <c r="L2682" s="672" t="s">
        <v>9219</v>
      </c>
    </row>
    <row r="2683" spans="1:12" x14ac:dyDescent="0.2">
      <c r="A2683" s="672" t="s">
        <v>220</v>
      </c>
      <c r="B2683" s="672" t="s">
        <v>5430</v>
      </c>
      <c r="C2683" s="672" t="s">
        <v>6383</v>
      </c>
      <c r="D2683" s="672" t="s">
        <v>8170</v>
      </c>
      <c r="E2683" s="745"/>
      <c r="F2683" s="732">
        <v>10</v>
      </c>
      <c r="G2683" s="737">
        <v>2.5449999999999999</v>
      </c>
      <c r="H2683" s="685">
        <v>25.45</v>
      </c>
      <c r="I2683" s="672" t="s">
        <v>9218</v>
      </c>
      <c r="J2683" s="672" t="s">
        <v>9219</v>
      </c>
      <c r="K2683" s="672" t="s">
        <v>2354</v>
      </c>
      <c r="L2683" s="672" t="s">
        <v>9219</v>
      </c>
    </row>
    <row r="2684" spans="1:12" x14ac:dyDescent="0.2">
      <c r="A2684" s="672" t="s">
        <v>220</v>
      </c>
      <c r="B2684" s="672" t="s">
        <v>5430</v>
      </c>
      <c r="C2684" s="672" t="s">
        <v>6385</v>
      </c>
      <c r="D2684" s="672" t="s">
        <v>8171</v>
      </c>
      <c r="E2684" s="745"/>
      <c r="F2684" s="732">
        <v>4</v>
      </c>
      <c r="G2684" s="737">
        <v>59.351999999999997</v>
      </c>
      <c r="H2684" s="685">
        <v>237.40799999999999</v>
      </c>
      <c r="I2684" s="672" t="s">
        <v>9218</v>
      </c>
      <c r="J2684" s="672" t="s">
        <v>9219</v>
      </c>
      <c r="K2684" s="672" t="s">
        <v>2354</v>
      </c>
      <c r="L2684" s="672" t="s">
        <v>9219</v>
      </c>
    </row>
    <row r="2685" spans="1:12" x14ac:dyDescent="0.2">
      <c r="A2685" s="672" t="s">
        <v>220</v>
      </c>
      <c r="B2685" s="672" t="s">
        <v>5430</v>
      </c>
      <c r="C2685" s="672" t="s">
        <v>6387</v>
      </c>
      <c r="D2685" s="672" t="s">
        <v>8172</v>
      </c>
      <c r="E2685" s="745"/>
      <c r="F2685" s="732">
        <v>1</v>
      </c>
      <c r="G2685" s="737">
        <v>37.799999999999997</v>
      </c>
      <c r="H2685" s="685">
        <v>37.799999999999997</v>
      </c>
      <c r="I2685" s="672" t="s">
        <v>9218</v>
      </c>
      <c r="J2685" s="672" t="s">
        <v>9219</v>
      </c>
      <c r="K2685" s="672" t="s">
        <v>2354</v>
      </c>
      <c r="L2685" s="672" t="s">
        <v>9219</v>
      </c>
    </row>
    <row r="2686" spans="1:12" x14ac:dyDescent="0.2">
      <c r="A2686" s="672" t="s">
        <v>220</v>
      </c>
      <c r="B2686" s="672" t="s">
        <v>5430</v>
      </c>
      <c r="C2686" s="672" t="s">
        <v>6389</v>
      </c>
      <c r="D2686" s="672" t="s">
        <v>8173</v>
      </c>
      <c r="E2686" s="745"/>
      <c r="F2686" s="732">
        <v>1</v>
      </c>
      <c r="G2686" s="737">
        <v>43.271999999999998</v>
      </c>
      <c r="H2686" s="685">
        <v>43.271999999999998</v>
      </c>
      <c r="I2686" s="672" t="s">
        <v>9218</v>
      </c>
      <c r="J2686" s="672" t="s">
        <v>9219</v>
      </c>
      <c r="K2686" s="672" t="s">
        <v>2354</v>
      </c>
      <c r="L2686" s="672" t="s">
        <v>9219</v>
      </c>
    </row>
    <row r="2687" spans="1:12" x14ac:dyDescent="0.2">
      <c r="A2687" s="672" t="s">
        <v>220</v>
      </c>
      <c r="B2687" s="672" t="s">
        <v>5430</v>
      </c>
      <c r="C2687" s="672" t="s">
        <v>6391</v>
      </c>
      <c r="D2687" s="672" t="s">
        <v>8174</v>
      </c>
      <c r="E2687" s="745"/>
      <c r="F2687" s="732">
        <v>30</v>
      </c>
      <c r="G2687" s="737">
        <v>1.9850000000000001</v>
      </c>
      <c r="H2687" s="685">
        <v>59.550000000000004</v>
      </c>
      <c r="I2687" s="672" t="s">
        <v>9218</v>
      </c>
      <c r="J2687" s="672" t="s">
        <v>9219</v>
      </c>
      <c r="K2687" s="672" t="s">
        <v>2354</v>
      </c>
      <c r="L2687" s="672" t="s">
        <v>9219</v>
      </c>
    </row>
    <row r="2688" spans="1:12" x14ac:dyDescent="0.2">
      <c r="A2688" s="672" t="s">
        <v>220</v>
      </c>
      <c r="B2688" s="672" t="s">
        <v>5430</v>
      </c>
      <c r="C2688" s="672" t="s">
        <v>6393</v>
      </c>
      <c r="D2688" s="672" t="s">
        <v>8175</v>
      </c>
      <c r="E2688" s="745"/>
      <c r="F2688" s="732">
        <v>4</v>
      </c>
      <c r="G2688" s="737">
        <v>5.3070000000000004</v>
      </c>
      <c r="H2688" s="685">
        <v>21.228000000000002</v>
      </c>
      <c r="I2688" s="672" t="s">
        <v>9218</v>
      </c>
      <c r="J2688" s="672" t="s">
        <v>9219</v>
      </c>
      <c r="K2688" s="672" t="s">
        <v>2354</v>
      </c>
      <c r="L2688" s="672" t="s">
        <v>9219</v>
      </c>
    </row>
    <row r="2689" spans="1:12" x14ac:dyDescent="0.2">
      <c r="A2689" s="672" t="s">
        <v>220</v>
      </c>
      <c r="B2689" s="672" t="s">
        <v>5430</v>
      </c>
      <c r="C2689" s="672" t="s">
        <v>6395</v>
      </c>
      <c r="D2689" s="672" t="s">
        <v>8176</v>
      </c>
      <c r="E2689" s="745"/>
      <c r="F2689" s="732">
        <v>1</v>
      </c>
      <c r="G2689" s="737">
        <v>4.7629999999999999</v>
      </c>
      <c r="H2689" s="685">
        <v>4.7629999999999999</v>
      </c>
      <c r="I2689" s="672" t="s">
        <v>9218</v>
      </c>
      <c r="J2689" s="672" t="s">
        <v>9219</v>
      </c>
      <c r="K2689" s="672" t="s">
        <v>2354</v>
      </c>
      <c r="L2689" s="672" t="s">
        <v>9219</v>
      </c>
    </row>
    <row r="2690" spans="1:12" x14ac:dyDescent="0.2">
      <c r="A2690" s="672" t="s">
        <v>220</v>
      </c>
      <c r="B2690" s="672" t="s">
        <v>5430</v>
      </c>
      <c r="C2690" s="672" t="s">
        <v>6397</v>
      </c>
      <c r="D2690" s="672" t="s">
        <v>8177</v>
      </c>
      <c r="E2690" s="745"/>
      <c r="F2690" s="732">
        <v>2</v>
      </c>
      <c r="G2690" s="737">
        <v>28.116</v>
      </c>
      <c r="H2690" s="685">
        <v>56.231999999999999</v>
      </c>
      <c r="I2690" s="672" t="s">
        <v>9218</v>
      </c>
      <c r="J2690" s="672" t="s">
        <v>9219</v>
      </c>
      <c r="K2690" s="672" t="s">
        <v>2354</v>
      </c>
      <c r="L2690" s="672" t="s">
        <v>9219</v>
      </c>
    </row>
    <row r="2691" spans="1:12" x14ac:dyDescent="0.2">
      <c r="A2691" s="672" t="s">
        <v>220</v>
      </c>
      <c r="B2691" s="672" t="s">
        <v>5430</v>
      </c>
      <c r="C2691" s="672" t="s">
        <v>6399</v>
      </c>
      <c r="D2691" s="672" t="s">
        <v>8178</v>
      </c>
      <c r="E2691" s="745"/>
      <c r="F2691" s="732">
        <v>25</v>
      </c>
      <c r="G2691" s="737">
        <v>4.32</v>
      </c>
      <c r="H2691" s="685">
        <v>108</v>
      </c>
      <c r="I2691" s="672" t="s">
        <v>9218</v>
      </c>
      <c r="J2691" s="672" t="s">
        <v>9219</v>
      </c>
      <c r="K2691" s="672" t="s">
        <v>2354</v>
      </c>
      <c r="L2691" s="672" t="s">
        <v>9219</v>
      </c>
    </row>
    <row r="2692" spans="1:12" x14ac:dyDescent="0.2">
      <c r="A2692" s="672" t="s">
        <v>220</v>
      </c>
      <c r="B2692" s="672" t="s">
        <v>5430</v>
      </c>
      <c r="C2692" s="672" t="s">
        <v>8179</v>
      </c>
      <c r="D2692" s="672" t="s">
        <v>8180</v>
      </c>
      <c r="E2692" s="745"/>
      <c r="F2692" s="732">
        <v>1</v>
      </c>
      <c r="G2692" s="737">
        <v>50.58</v>
      </c>
      <c r="H2692" s="685">
        <v>50.58</v>
      </c>
      <c r="I2692" s="672" t="s">
        <v>9218</v>
      </c>
      <c r="J2692" s="672" t="s">
        <v>9219</v>
      </c>
      <c r="K2692" s="672" t="s">
        <v>2354</v>
      </c>
      <c r="L2692" s="672" t="s">
        <v>9219</v>
      </c>
    </row>
    <row r="2693" spans="1:12" x14ac:dyDescent="0.2">
      <c r="A2693" s="672" t="s">
        <v>220</v>
      </c>
      <c r="B2693" s="672" t="s">
        <v>5430</v>
      </c>
      <c r="C2693" s="672" t="s">
        <v>8181</v>
      </c>
      <c r="D2693" s="672" t="s">
        <v>8182</v>
      </c>
      <c r="E2693" s="745"/>
      <c r="F2693" s="732">
        <v>2</v>
      </c>
      <c r="G2693" s="737">
        <v>85.850999999999999</v>
      </c>
      <c r="H2693" s="685">
        <v>171.702</v>
      </c>
      <c r="I2693" s="672" t="s">
        <v>9218</v>
      </c>
      <c r="J2693" s="672" t="s">
        <v>9219</v>
      </c>
      <c r="K2693" s="672" t="s">
        <v>2354</v>
      </c>
      <c r="L2693" s="672" t="s">
        <v>9219</v>
      </c>
    </row>
    <row r="2694" spans="1:12" x14ac:dyDescent="0.2">
      <c r="A2694" s="672" t="s">
        <v>220</v>
      </c>
      <c r="B2694" s="672" t="s">
        <v>5430</v>
      </c>
      <c r="C2694" s="672" t="s">
        <v>8183</v>
      </c>
      <c r="D2694" s="672" t="s">
        <v>8184</v>
      </c>
      <c r="E2694" s="745"/>
      <c r="F2694" s="732">
        <v>1</v>
      </c>
      <c r="G2694" s="737">
        <v>35.085999999999999</v>
      </c>
      <c r="H2694" s="685">
        <v>35.085999999999999</v>
      </c>
      <c r="I2694" s="672" t="s">
        <v>9218</v>
      </c>
      <c r="J2694" s="672" t="s">
        <v>9219</v>
      </c>
      <c r="K2694" s="672" t="s">
        <v>2354</v>
      </c>
      <c r="L2694" s="672" t="s">
        <v>9219</v>
      </c>
    </row>
    <row r="2695" spans="1:12" x14ac:dyDescent="0.2">
      <c r="A2695" s="672" t="s">
        <v>220</v>
      </c>
      <c r="B2695" s="672" t="s">
        <v>5430</v>
      </c>
      <c r="C2695" s="672" t="s">
        <v>8185</v>
      </c>
      <c r="D2695" s="672" t="s">
        <v>8186</v>
      </c>
      <c r="E2695" s="745"/>
      <c r="F2695" s="732">
        <v>1</v>
      </c>
      <c r="G2695" s="737">
        <v>42.161000000000001</v>
      </c>
      <c r="H2695" s="685">
        <v>42.161000000000001</v>
      </c>
      <c r="I2695" s="672" t="s">
        <v>9218</v>
      </c>
      <c r="J2695" s="672" t="s">
        <v>9219</v>
      </c>
      <c r="K2695" s="672" t="s">
        <v>2354</v>
      </c>
      <c r="L2695" s="672" t="s">
        <v>9219</v>
      </c>
    </row>
    <row r="2696" spans="1:12" x14ac:dyDescent="0.2">
      <c r="A2696" s="672" t="s">
        <v>220</v>
      </c>
      <c r="B2696" s="672" t="s">
        <v>5430</v>
      </c>
      <c r="C2696" s="672" t="s">
        <v>6409</v>
      </c>
      <c r="D2696" s="672" t="s">
        <v>8187</v>
      </c>
      <c r="E2696" s="745"/>
      <c r="F2696" s="732">
        <v>5</v>
      </c>
      <c r="G2696" s="737">
        <v>20.7</v>
      </c>
      <c r="H2696" s="685">
        <v>103.5</v>
      </c>
      <c r="I2696" s="672" t="s">
        <v>9218</v>
      </c>
      <c r="J2696" s="672" t="s">
        <v>9219</v>
      </c>
      <c r="K2696" s="672" t="s">
        <v>2354</v>
      </c>
      <c r="L2696" s="672" t="s">
        <v>9219</v>
      </c>
    </row>
    <row r="2697" spans="1:12" x14ac:dyDescent="0.2">
      <c r="A2697" s="672" t="s">
        <v>220</v>
      </c>
      <c r="B2697" s="672" t="s">
        <v>5430</v>
      </c>
      <c r="C2697" s="672" t="s">
        <v>6411</v>
      </c>
      <c r="D2697" s="672" t="s">
        <v>8188</v>
      </c>
      <c r="E2697" s="745"/>
      <c r="F2697" s="732">
        <v>5</v>
      </c>
      <c r="G2697" s="737">
        <v>25.2</v>
      </c>
      <c r="H2697" s="685">
        <v>126</v>
      </c>
      <c r="I2697" s="672" t="s">
        <v>9218</v>
      </c>
      <c r="J2697" s="672" t="s">
        <v>9219</v>
      </c>
      <c r="K2697" s="672" t="s">
        <v>2354</v>
      </c>
      <c r="L2697" s="672" t="s">
        <v>9219</v>
      </c>
    </row>
    <row r="2698" spans="1:12" x14ac:dyDescent="0.2">
      <c r="A2698" s="672" t="s">
        <v>220</v>
      </c>
      <c r="B2698" s="672" t="s">
        <v>5430</v>
      </c>
      <c r="C2698" s="672" t="s">
        <v>6413</v>
      </c>
      <c r="D2698" s="672" t="s">
        <v>8189</v>
      </c>
      <c r="E2698" s="745"/>
      <c r="F2698" s="732">
        <v>1</v>
      </c>
      <c r="G2698" s="737">
        <v>120.6</v>
      </c>
      <c r="H2698" s="685">
        <v>120.6</v>
      </c>
      <c r="I2698" s="672" t="s">
        <v>9218</v>
      </c>
      <c r="J2698" s="672" t="s">
        <v>9219</v>
      </c>
      <c r="K2698" s="672" t="s">
        <v>2354</v>
      </c>
      <c r="L2698" s="672" t="s">
        <v>9219</v>
      </c>
    </row>
    <row r="2699" spans="1:12" x14ac:dyDescent="0.2">
      <c r="A2699" s="672" t="s">
        <v>220</v>
      </c>
      <c r="B2699" s="672" t="s">
        <v>5430</v>
      </c>
      <c r="C2699" s="672" t="s">
        <v>6415</v>
      </c>
      <c r="D2699" s="672" t="s">
        <v>8190</v>
      </c>
      <c r="E2699" s="745"/>
      <c r="F2699" s="732">
        <v>11</v>
      </c>
      <c r="G2699" s="737">
        <v>175.16499999999999</v>
      </c>
      <c r="H2699" s="685">
        <v>1926.8149999999998</v>
      </c>
      <c r="I2699" s="672" t="s">
        <v>9218</v>
      </c>
      <c r="J2699" s="672" t="s">
        <v>9219</v>
      </c>
      <c r="K2699" s="672" t="s">
        <v>2354</v>
      </c>
      <c r="L2699" s="672" t="s">
        <v>9219</v>
      </c>
    </row>
    <row r="2700" spans="1:12" x14ac:dyDescent="0.2">
      <c r="A2700" s="672" t="s">
        <v>220</v>
      </c>
      <c r="B2700" s="672" t="s">
        <v>5430</v>
      </c>
      <c r="C2700" s="672" t="s">
        <v>6417</v>
      </c>
      <c r="D2700" s="672" t="s">
        <v>8191</v>
      </c>
      <c r="E2700" s="745"/>
      <c r="F2700" s="732">
        <v>2</v>
      </c>
      <c r="G2700" s="737">
        <v>37.646999999999998</v>
      </c>
      <c r="H2700" s="685">
        <v>75.293999999999997</v>
      </c>
      <c r="I2700" s="672" t="s">
        <v>9218</v>
      </c>
      <c r="J2700" s="672" t="s">
        <v>9219</v>
      </c>
      <c r="K2700" s="672" t="s">
        <v>2354</v>
      </c>
      <c r="L2700" s="672" t="s">
        <v>9219</v>
      </c>
    </row>
    <row r="2701" spans="1:12" x14ac:dyDescent="0.2">
      <c r="A2701" s="672" t="s">
        <v>220</v>
      </c>
      <c r="B2701" s="672" t="s">
        <v>5430</v>
      </c>
      <c r="C2701" s="672" t="s">
        <v>6419</v>
      </c>
      <c r="D2701" s="672" t="s">
        <v>8192</v>
      </c>
      <c r="E2701" s="745"/>
      <c r="F2701" s="732">
        <v>2</v>
      </c>
      <c r="G2701" s="737">
        <v>31.440999999999999</v>
      </c>
      <c r="H2701" s="685">
        <v>62.881999999999998</v>
      </c>
      <c r="I2701" s="672" t="s">
        <v>9218</v>
      </c>
      <c r="J2701" s="672" t="s">
        <v>9219</v>
      </c>
      <c r="K2701" s="672" t="s">
        <v>2354</v>
      </c>
      <c r="L2701" s="672" t="s">
        <v>9219</v>
      </c>
    </row>
    <row r="2702" spans="1:12" x14ac:dyDescent="0.2">
      <c r="A2702" s="672" t="s">
        <v>220</v>
      </c>
      <c r="B2702" s="672" t="s">
        <v>5430</v>
      </c>
      <c r="C2702" s="672" t="s">
        <v>6421</v>
      </c>
      <c r="D2702" s="672" t="s">
        <v>8193</v>
      </c>
      <c r="E2702" s="745"/>
      <c r="F2702" s="732">
        <v>4</v>
      </c>
      <c r="G2702" s="737">
        <v>98.108000000000004</v>
      </c>
      <c r="H2702" s="685">
        <v>392.43200000000002</v>
      </c>
      <c r="I2702" s="672" t="s">
        <v>9218</v>
      </c>
      <c r="J2702" s="672" t="s">
        <v>9219</v>
      </c>
      <c r="K2702" s="672" t="s">
        <v>2354</v>
      </c>
      <c r="L2702" s="672" t="s">
        <v>9219</v>
      </c>
    </row>
    <row r="2703" spans="1:12" x14ac:dyDescent="0.2">
      <c r="A2703" s="672" t="s">
        <v>220</v>
      </c>
      <c r="B2703" s="672" t="s">
        <v>5430</v>
      </c>
      <c r="C2703" s="672" t="s">
        <v>6423</v>
      </c>
      <c r="D2703" s="672" t="s">
        <v>6424</v>
      </c>
      <c r="E2703" s="745"/>
      <c r="F2703" s="732">
        <v>3</v>
      </c>
      <c r="G2703" s="737">
        <v>28.116</v>
      </c>
      <c r="H2703" s="685">
        <v>84.347999999999999</v>
      </c>
      <c r="I2703" s="672" t="s">
        <v>9218</v>
      </c>
      <c r="J2703" s="672" t="s">
        <v>9219</v>
      </c>
      <c r="K2703" s="672" t="s">
        <v>2354</v>
      </c>
      <c r="L2703" s="672" t="s">
        <v>9219</v>
      </c>
    </row>
    <row r="2704" spans="1:12" x14ac:dyDescent="0.2">
      <c r="A2704" s="672" t="s">
        <v>220</v>
      </c>
      <c r="B2704" s="672" t="s">
        <v>5430</v>
      </c>
      <c r="C2704" s="672" t="s">
        <v>6425</v>
      </c>
      <c r="D2704" s="672" t="s">
        <v>8194</v>
      </c>
      <c r="E2704" s="745"/>
      <c r="F2704" s="732">
        <v>2</v>
      </c>
      <c r="G2704" s="737">
        <v>83.16</v>
      </c>
      <c r="H2704" s="685">
        <v>166.32</v>
      </c>
      <c r="I2704" s="672" t="s">
        <v>9218</v>
      </c>
      <c r="J2704" s="672" t="s">
        <v>9219</v>
      </c>
      <c r="K2704" s="672" t="s">
        <v>2354</v>
      </c>
      <c r="L2704" s="672" t="s">
        <v>9219</v>
      </c>
    </row>
    <row r="2705" spans="1:12" x14ac:dyDescent="0.2">
      <c r="A2705" s="672" t="s">
        <v>220</v>
      </c>
      <c r="B2705" s="672" t="s">
        <v>5430</v>
      </c>
      <c r="C2705" s="672" t="s">
        <v>6427</v>
      </c>
      <c r="D2705" s="672" t="s">
        <v>8195</v>
      </c>
      <c r="E2705" s="745"/>
      <c r="F2705" s="732">
        <v>2</v>
      </c>
      <c r="G2705" s="737">
        <v>63.204000000000001</v>
      </c>
      <c r="H2705" s="685">
        <v>126.408</v>
      </c>
      <c r="I2705" s="672" t="s">
        <v>9218</v>
      </c>
      <c r="J2705" s="672" t="s">
        <v>9219</v>
      </c>
      <c r="K2705" s="672" t="s">
        <v>2354</v>
      </c>
      <c r="L2705" s="672" t="s">
        <v>9219</v>
      </c>
    </row>
    <row r="2706" spans="1:12" x14ac:dyDescent="0.2">
      <c r="A2706" s="672" t="s">
        <v>220</v>
      </c>
      <c r="B2706" s="672" t="s">
        <v>5430</v>
      </c>
      <c r="C2706" s="672" t="s">
        <v>6429</v>
      </c>
      <c r="D2706" s="672" t="s">
        <v>8196</v>
      </c>
      <c r="E2706" s="745"/>
      <c r="F2706" s="732">
        <v>2</v>
      </c>
      <c r="G2706" s="737">
        <v>33.542000000000002</v>
      </c>
      <c r="H2706" s="685">
        <v>67.084000000000003</v>
      </c>
      <c r="I2706" s="672" t="s">
        <v>9218</v>
      </c>
      <c r="J2706" s="672" t="s">
        <v>9219</v>
      </c>
      <c r="K2706" s="672" t="s">
        <v>2354</v>
      </c>
      <c r="L2706" s="672" t="s">
        <v>9219</v>
      </c>
    </row>
    <row r="2707" spans="1:12" x14ac:dyDescent="0.2">
      <c r="A2707" s="672" t="s">
        <v>220</v>
      </c>
      <c r="B2707" s="672" t="s">
        <v>5430</v>
      </c>
      <c r="C2707" s="672" t="s">
        <v>6431</v>
      </c>
      <c r="D2707" s="672" t="s">
        <v>8197</v>
      </c>
      <c r="E2707" s="745"/>
      <c r="F2707" s="732">
        <v>1</v>
      </c>
      <c r="G2707" s="737">
        <v>58.968000000000004</v>
      </c>
      <c r="H2707" s="685">
        <v>58.968000000000004</v>
      </c>
      <c r="I2707" s="672" t="s">
        <v>9218</v>
      </c>
      <c r="J2707" s="672" t="s">
        <v>9219</v>
      </c>
      <c r="K2707" s="672" t="s">
        <v>2354</v>
      </c>
      <c r="L2707" s="672" t="s">
        <v>9219</v>
      </c>
    </row>
    <row r="2708" spans="1:12" x14ac:dyDescent="0.2">
      <c r="A2708" s="672" t="s">
        <v>220</v>
      </c>
      <c r="B2708" s="672" t="s">
        <v>5430</v>
      </c>
      <c r="C2708" s="672" t="s">
        <v>6433</v>
      </c>
      <c r="D2708" s="672" t="s">
        <v>8198</v>
      </c>
      <c r="E2708" s="745"/>
      <c r="F2708" s="732">
        <v>3</v>
      </c>
      <c r="G2708" s="737">
        <v>408.12</v>
      </c>
      <c r="H2708" s="685">
        <v>1224.3600000000001</v>
      </c>
      <c r="I2708" s="672" t="s">
        <v>9218</v>
      </c>
      <c r="J2708" s="672" t="s">
        <v>9219</v>
      </c>
      <c r="K2708" s="672" t="s">
        <v>2354</v>
      </c>
      <c r="L2708" s="672" t="s">
        <v>9219</v>
      </c>
    </row>
    <row r="2709" spans="1:12" x14ac:dyDescent="0.2">
      <c r="A2709" s="672" t="s">
        <v>220</v>
      </c>
      <c r="B2709" s="672" t="s">
        <v>5430</v>
      </c>
      <c r="C2709" s="672" t="s">
        <v>6435</v>
      </c>
      <c r="D2709" s="672" t="s">
        <v>8199</v>
      </c>
      <c r="E2709" s="745"/>
      <c r="F2709" s="732">
        <v>2</v>
      </c>
      <c r="G2709" s="737">
        <v>77.004000000000005</v>
      </c>
      <c r="H2709" s="685">
        <v>154.00800000000001</v>
      </c>
      <c r="I2709" s="672" t="s">
        <v>9218</v>
      </c>
      <c r="J2709" s="672" t="s">
        <v>9219</v>
      </c>
      <c r="K2709" s="672" t="s">
        <v>2354</v>
      </c>
      <c r="L2709" s="672" t="s">
        <v>9219</v>
      </c>
    </row>
    <row r="2710" spans="1:12" x14ac:dyDescent="0.2">
      <c r="A2710" s="672" t="s">
        <v>220</v>
      </c>
      <c r="B2710" s="672" t="s">
        <v>5430</v>
      </c>
      <c r="C2710" s="672" t="s">
        <v>6437</v>
      </c>
      <c r="D2710" s="672" t="s">
        <v>8200</v>
      </c>
      <c r="E2710" s="745"/>
      <c r="F2710" s="732">
        <v>2</v>
      </c>
      <c r="G2710" s="737">
        <v>76.105999999999995</v>
      </c>
      <c r="H2710" s="685">
        <v>152.21199999999999</v>
      </c>
      <c r="I2710" s="672" t="s">
        <v>9218</v>
      </c>
      <c r="J2710" s="672" t="s">
        <v>9219</v>
      </c>
      <c r="K2710" s="672" t="s">
        <v>2354</v>
      </c>
      <c r="L2710" s="672" t="s">
        <v>9219</v>
      </c>
    </row>
    <row r="2711" spans="1:12" x14ac:dyDescent="0.2">
      <c r="A2711" s="672" t="s">
        <v>220</v>
      </c>
      <c r="B2711" s="672" t="s">
        <v>5430</v>
      </c>
      <c r="C2711" s="672" t="s">
        <v>6439</v>
      </c>
      <c r="D2711" s="672" t="s">
        <v>8201</v>
      </c>
      <c r="E2711" s="745"/>
      <c r="F2711" s="732">
        <v>2</v>
      </c>
      <c r="G2711" s="737">
        <v>51.171999999999997</v>
      </c>
      <c r="H2711" s="685">
        <v>102.34399999999999</v>
      </c>
      <c r="I2711" s="672" t="s">
        <v>9218</v>
      </c>
      <c r="J2711" s="672" t="s">
        <v>9219</v>
      </c>
      <c r="K2711" s="672" t="s">
        <v>2354</v>
      </c>
      <c r="L2711" s="672" t="s">
        <v>9219</v>
      </c>
    </row>
    <row r="2712" spans="1:12" x14ac:dyDescent="0.2">
      <c r="A2712" s="672" t="s">
        <v>220</v>
      </c>
      <c r="B2712" s="672" t="s">
        <v>5430</v>
      </c>
      <c r="C2712" s="672" t="s">
        <v>6441</v>
      </c>
      <c r="D2712" s="672" t="s">
        <v>8202</v>
      </c>
      <c r="E2712" s="745"/>
      <c r="F2712" s="732">
        <v>2</v>
      </c>
      <c r="G2712" s="737">
        <v>131.006</v>
      </c>
      <c r="H2712" s="685">
        <v>262.012</v>
      </c>
      <c r="I2712" s="672" t="s">
        <v>9218</v>
      </c>
      <c r="J2712" s="672" t="s">
        <v>9219</v>
      </c>
      <c r="K2712" s="672" t="s">
        <v>2354</v>
      </c>
      <c r="L2712" s="672" t="s">
        <v>9219</v>
      </c>
    </row>
    <row r="2713" spans="1:12" x14ac:dyDescent="0.2">
      <c r="A2713" s="672" t="s">
        <v>220</v>
      </c>
      <c r="B2713" s="672" t="s">
        <v>5430</v>
      </c>
      <c r="C2713" s="672" t="s">
        <v>6443</v>
      </c>
      <c r="D2713" s="672" t="s">
        <v>8203</v>
      </c>
      <c r="E2713" s="745"/>
      <c r="F2713" s="732">
        <v>2</v>
      </c>
      <c r="G2713" s="737">
        <v>131.00800000000001</v>
      </c>
      <c r="H2713" s="685">
        <v>262.01600000000002</v>
      </c>
      <c r="I2713" s="672" t="s">
        <v>9218</v>
      </c>
      <c r="J2713" s="672" t="s">
        <v>9219</v>
      </c>
      <c r="K2713" s="672" t="s">
        <v>2354</v>
      </c>
      <c r="L2713" s="672" t="s">
        <v>9219</v>
      </c>
    </row>
    <row r="2714" spans="1:12" x14ac:dyDescent="0.2">
      <c r="A2714" s="672" t="s">
        <v>220</v>
      </c>
      <c r="B2714" s="672" t="s">
        <v>5430</v>
      </c>
      <c r="C2714" s="672" t="s">
        <v>8204</v>
      </c>
      <c r="D2714" s="672" t="s">
        <v>8205</v>
      </c>
      <c r="E2714" s="745"/>
      <c r="F2714" s="732">
        <v>2</v>
      </c>
      <c r="G2714" s="737">
        <v>617.00599999999997</v>
      </c>
      <c r="H2714" s="685">
        <v>1234.0119999999999</v>
      </c>
      <c r="I2714" s="672" t="s">
        <v>9218</v>
      </c>
      <c r="J2714" s="672" t="s">
        <v>9219</v>
      </c>
      <c r="K2714" s="672" t="s">
        <v>2354</v>
      </c>
      <c r="L2714" s="672" t="s">
        <v>9219</v>
      </c>
    </row>
    <row r="2715" spans="1:12" x14ac:dyDescent="0.2">
      <c r="A2715" s="672" t="s">
        <v>220</v>
      </c>
      <c r="B2715" s="672" t="s">
        <v>5430</v>
      </c>
      <c r="C2715" s="672" t="s">
        <v>6447</v>
      </c>
      <c r="D2715" s="672" t="s">
        <v>8206</v>
      </c>
      <c r="E2715" s="745"/>
      <c r="F2715" s="732">
        <v>4</v>
      </c>
      <c r="G2715" s="737">
        <v>177.80600000000001</v>
      </c>
      <c r="H2715" s="685">
        <v>711.22400000000005</v>
      </c>
      <c r="I2715" s="672" t="s">
        <v>9218</v>
      </c>
      <c r="J2715" s="672" t="s">
        <v>9219</v>
      </c>
      <c r="K2715" s="672" t="s">
        <v>2354</v>
      </c>
      <c r="L2715" s="672" t="s">
        <v>9219</v>
      </c>
    </row>
    <row r="2716" spans="1:12" x14ac:dyDescent="0.2">
      <c r="A2716" s="672" t="s">
        <v>220</v>
      </c>
      <c r="B2716" s="672" t="s">
        <v>5430</v>
      </c>
      <c r="C2716" s="672" t="s">
        <v>6449</v>
      </c>
      <c r="D2716" s="672" t="s">
        <v>8207</v>
      </c>
      <c r="E2716" s="745"/>
      <c r="F2716" s="732">
        <v>3</v>
      </c>
      <c r="G2716" s="737">
        <v>178.88</v>
      </c>
      <c r="H2716" s="685">
        <v>536.64</v>
      </c>
      <c r="I2716" s="672" t="s">
        <v>9218</v>
      </c>
      <c r="J2716" s="672" t="s">
        <v>9219</v>
      </c>
      <c r="K2716" s="672" t="s">
        <v>2354</v>
      </c>
      <c r="L2716" s="672" t="s">
        <v>9219</v>
      </c>
    </row>
    <row r="2717" spans="1:12" x14ac:dyDescent="0.2">
      <c r="A2717" s="672" t="s">
        <v>220</v>
      </c>
      <c r="B2717" s="672" t="s">
        <v>5430</v>
      </c>
      <c r="C2717" s="672" t="s">
        <v>6451</v>
      </c>
      <c r="D2717" s="672" t="s">
        <v>8208</v>
      </c>
      <c r="E2717" s="745"/>
      <c r="F2717" s="732">
        <v>3</v>
      </c>
      <c r="G2717" s="737">
        <v>17.510000000000002</v>
      </c>
      <c r="H2717" s="685">
        <v>52.53</v>
      </c>
      <c r="I2717" s="672" t="s">
        <v>9218</v>
      </c>
      <c r="J2717" s="672" t="s">
        <v>9219</v>
      </c>
      <c r="K2717" s="672" t="s">
        <v>2354</v>
      </c>
      <c r="L2717" s="672" t="s">
        <v>9219</v>
      </c>
    </row>
    <row r="2718" spans="1:12" x14ac:dyDescent="0.2">
      <c r="A2718" s="672" t="s">
        <v>220</v>
      </c>
      <c r="B2718" s="672" t="s">
        <v>5430</v>
      </c>
      <c r="C2718" s="672" t="s">
        <v>3453</v>
      </c>
      <c r="D2718" s="672" t="s">
        <v>3454</v>
      </c>
      <c r="E2718" s="745"/>
      <c r="F2718" s="732">
        <v>50</v>
      </c>
      <c r="G2718" s="737">
        <v>1.1475</v>
      </c>
      <c r="H2718" s="685">
        <v>57.375</v>
      </c>
      <c r="I2718" s="672" t="s">
        <v>9218</v>
      </c>
      <c r="J2718" s="672" t="s">
        <v>9219</v>
      </c>
      <c r="K2718" s="672" t="s">
        <v>2354</v>
      </c>
      <c r="L2718" s="672" t="s">
        <v>9219</v>
      </c>
    </row>
    <row r="2719" spans="1:12" x14ac:dyDescent="0.2">
      <c r="A2719" s="672" t="s">
        <v>220</v>
      </c>
      <c r="B2719" s="672" t="s">
        <v>5430</v>
      </c>
      <c r="C2719" s="672" t="s">
        <v>6636</v>
      </c>
      <c r="D2719" s="672" t="s">
        <v>8209</v>
      </c>
      <c r="E2719" s="745"/>
      <c r="F2719" s="732">
        <v>2</v>
      </c>
      <c r="G2719" s="737">
        <v>193.80199999999999</v>
      </c>
      <c r="H2719" s="685">
        <v>387.60399999999998</v>
      </c>
      <c r="I2719" s="672" t="s">
        <v>9218</v>
      </c>
      <c r="J2719" s="672" t="s">
        <v>9219</v>
      </c>
      <c r="K2719" s="672" t="s">
        <v>2354</v>
      </c>
      <c r="L2719" s="672" t="s">
        <v>9219</v>
      </c>
    </row>
    <row r="2720" spans="1:12" x14ac:dyDescent="0.2">
      <c r="A2720" s="672" t="s">
        <v>220</v>
      </c>
      <c r="B2720" s="672" t="s">
        <v>5430</v>
      </c>
      <c r="C2720" s="672" t="s">
        <v>6638</v>
      </c>
      <c r="D2720" s="672" t="s">
        <v>8210</v>
      </c>
      <c r="E2720" s="745"/>
      <c r="F2720" s="732">
        <v>1</v>
      </c>
      <c r="G2720" s="737">
        <v>193.80199999999999</v>
      </c>
      <c r="H2720" s="685">
        <v>193.80199999999999</v>
      </c>
      <c r="I2720" s="672" t="s">
        <v>9218</v>
      </c>
      <c r="J2720" s="672" t="s">
        <v>9219</v>
      </c>
      <c r="K2720" s="672" t="s">
        <v>2354</v>
      </c>
      <c r="L2720" s="672" t="s">
        <v>9219</v>
      </c>
    </row>
    <row r="2721" spans="1:12" x14ac:dyDescent="0.2">
      <c r="A2721" s="672" t="s">
        <v>220</v>
      </c>
      <c r="B2721" s="672" t="s">
        <v>5430</v>
      </c>
      <c r="C2721" s="672" t="s">
        <v>6640</v>
      </c>
      <c r="D2721" s="672" t="s">
        <v>6641</v>
      </c>
      <c r="E2721" s="745"/>
      <c r="F2721" s="732">
        <v>1</v>
      </c>
      <c r="G2721" s="737">
        <v>376.78</v>
      </c>
      <c r="H2721" s="685">
        <v>376.78</v>
      </c>
      <c r="I2721" s="672" t="s">
        <v>9218</v>
      </c>
      <c r="J2721" s="672" t="s">
        <v>9219</v>
      </c>
      <c r="K2721" s="672" t="s">
        <v>2354</v>
      </c>
      <c r="L2721" s="672" t="s">
        <v>9219</v>
      </c>
    </row>
    <row r="2722" spans="1:12" x14ac:dyDescent="0.2">
      <c r="A2722" s="672" t="s">
        <v>220</v>
      </c>
      <c r="B2722" s="672" t="s">
        <v>5430</v>
      </c>
      <c r="C2722" s="672" t="s">
        <v>6642</v>
      </c>
      <c r="D2722" s="672" t="s">
        <v>6643</v>
      </c>
      <c r="E2722" s="745"/>
      <c r="F2722" s="732">
        <v>1</v>
      </c>
      <c r="G2722" s="737">
        <v>193.80199999999999</v>
      </c>
      <c r="H2722" s="685">
        <v>193.80199999999999</v>
      </c>
      <c r="I2722" s="672" t="s">
        <v>9218</v>
      </c>
      <c r="J2722" s="672" t="s">
        <v>9219</v>
      </c>
      <c r="K2722" s="672" t="s">
        <v>2354</v>
      </c>
      <c r="L2722" s="672" t="s">
        <v>9219</v>
      </c>
    </row>
    <row r="2723" spans="1:12" x14ac:dyDescent="0.2">
      <c r="A2723" s="672" t="s">
        <v>220</v>
      </c>
      <c r="B2723" s="672" t="s">
        <v>5430</v>
      </c>
      <c r="C2723" s="672" t="s">
        <v>6644</v>
      </c>
      <c r="D2723" s="672" t="s">
        <v>6645</v>
      </c>
      <c r="E2723" s="745"/>
      <c r="F2723" s="732">
        <v>1</v>
      </c>
      <c r="G2723" s="737">
        <v>193.80199999999999</v>
      </c>
      <c r="H2723" s="685">
        <v>193.80199999999999</v>
      </c>
      <c r="I2723" s="672" t="s">
        <v>9218</v>
      </c>
      <c r="J2723" s="672" t="s">
        <v>9219</v>
      </c>
      <c r="K2723" s="672" t="s">
        <v>2354</v>
      </c>
      <c r="L2723" s="672" t="s">
        <v>9219</v>
      </c>
    </row>
    <row r="2724" spans="1:12" x14ac:dyDescent="0.2">
      <c r="A2724" s="672" t="s">
        <v>220</v>
      </c>
      <c r="B2724" s="672" t="s">
        <v>5430</v>
      </c>
      <c r="C2724" s="672" t="s">
        <v>6646</v>
      </c>
      <c r="D2724" s="672" t="s">
        <v>6647</v>
      </c>
      <c r="E2724" s="745"/>
      <c r="F2724" s="732">
        <v>1</v>
      </c>
      <c r="G2724" s="737">
        <v>193.80199999999999</v>
      </c>
      <c r="H2724" s="685">
        <v>193.80199999999999</v>
      </c>
      <c r="I2724" s="672" t="s">
        <v>9218</v>
      </c>
      <c r="J2724" s="672" t="s">
        <v>9219</v>
      </c>
      <c r="K2724" s="672" t="s">
        <v>2354</v>
      </c>
      <c r="L2724" s="672" t="s">
        <v>9219</v>
      </c>
    </row>
    <row r="2725" spans="1:12" x14ac:dyDescent="0.2">
      <c r="A2725" s="672" t="s">
        <v>220</v>
      </c>
      <c r="B2725" s="672" t="s">
        <v>5430</v>
      </c>
      <c r="C2725" s="672" t="s">
        <v>6648</v>
      </c>
      <c r="D2725" s="672" t="s">
        <v>8211</v>
      </c>
      <c r="E2725" s="745"/>
      <c r="F2725" s="732">
        <v>1</v>
      </c>
      <c r="G2725" s="737">
        <v>193.80199999999999</v>
      </c>
      <c r="H2725" s="685">
        <v>193.80199999999999</v>
      </c>
      <c r="I2725" s="672" t="s">
        <v>9218</v>
      </c>
      <c r="J2725" s="672" t="s">
        <v>9219</v>
      </c>
      <c r="K2725" s="672" t="s">
        <v>2354</v>
      </c>
      <c r="L2725" s="672" t="s">
        <v>9219</v>
      </c>
    </row>
    <row r="2726" spans="1:12" x14ac:dyDescent="0.2">
      <c r="A2726" s="672" t="s">
        <v>220</v>
      </c>
      <c r="B2726" s="672" t="s">
        <v>5430</v>
      </c>
      <c r="C2726" s="672" t="s">
        <v>6650</v>
      </c>
      <c r="D2726" s="672" t="s">
        <v>6651</v>
      </c>
      <c r="E2726" s="745"/>
      <c r="F2726" s="732">
        <v>1</v>
      </c>
      <c r="G2726" s="737">
        <v>193.80199999999999</v>
      </c>
      <c r="H2726" s="685">
        <v>193.80199999999999</v>
      </c>
      <c r="I2726" s="672" t="s">
        <v>9218</v>
      </c>
      <c r="J2726" s="672" t="s">
        <v>9219</v>
      </c>
      <c r="K2726" s="672" t="s">
        <v>2354</v>
      </c>
      <c r="L2726" s="672" t="s">
        <v>9219</v>
      </c>
    </row>
    <row r="2727" spans="1:12" x14ac:dyDescent="0.2">
      <c r="A2727" s="672" t="s">
        <v>220</v>
      </c>
      <c r="B2727" s="672" t="s">
        <v>5430</v>
      </c>
      <c r="C2727" s="672" t="s">
        <v>6652</v>
      </c>
      <c r="D2727" s="672" t="s">
        <v>6653</v>
      </c>
      <c r="E2727" s="745"/>
      <c r="F2727" s="732">
        <v>1</v>
      </c>
      <c r="G2727" s="737">
        <v>193.80199999999999</v>
      </c>
      <c r="H2727" s="685">
        <v>193.80199999999999</v>
      </c>
      <c r="I2727" s="672" t="s">
        <v>9218</v>
      </c>
      <c r="J2727" s="672" t="s">
        <v>9219</v>
      </c>
      <c r="K2727" s="672" t="s">
        <v>2354</v>
      </c>
      <c r="L2727" s="672" t="s">
        <v>9219</v>
      </c>
    </row>
    <row r="2728" spans="1:12" x14ac:dyDescent="0.2">
      <c r="A2728" s="672" t="s">
        <v>220</v>
      </c>
      <c r="B2728" s="672" t="s">
        <v>5430</v>
      </c>
      <c r="C2728" s="672" t="s">
        <v>6654</v>
      </c>
      <c r="D2728" s="672" t="s">
        <v>6655</v>
      </c>
      <c r="E2728" s="745"/>
      <c r="F2728" s="732">
        <v>1</v>
      </c>
      <c r="G2728" s="737">
        <v>193.80199999999999</v>
      </c>
      <c r="H2728" s="685">
        <v>193.80199999999999</v>
      </c>
      <c r="I2728" s="672" t="s">
        <v>9218</v>
      </c>
      <c r="J2728" s="672" t="s">
        <v>9219</v>
      </c>
      <c r="K2728" s="672" t="s">
        <v>2354</v>
      </c>
      <c r="L2728" s="672" t="s">
        <v>9219</v>
      </c>
    </row>
    <row r="2729" spans="1:12" x14ac:dyDescent="0.2">
      <c r="A2729" s="672" t="s">
        <v>220</v>
      </c>
      <c r="B2729" s="672" t="s">
        <v>5430</v>
      </c>
      <c r="C2729" s="672" t="s">
        <v>6656</v>
      </c>
      <c r="D2729" s="672" t="s">
        <v>8212</v>
      </c>
      <c r="E2729" s="745"/>
      <c r="F2729" s="732">
        <v>1</v>
      </c>
      <c r="G2729" s="737">
        <v>0</v>
      </c>
      <c r="H2729" s="685">
        <v>0</v>
      </c>
      <c r="I2729" s="672" t="s">
        <v>9218</v>
      </c>
      <c r="J2729" s="672" t="s">
        <v>9219</v>
      </c>
      <c r="K2729" s="672" t="s">
        <v>2354</v>
      </c>
      <c r="L2729" s="672" t="s">
        <v>9219</v>
      </c>
    </row>
    <row r="2730" spans="1:12" x14ac:dyDescent="0.2">
      <c r="A2730" s="672" t="s">
        <v>220</v>
      </c>
      <c r="B2730" s="672" t="s">
        <v>5430</v>
      </c>
      <c r="C2730" s="672" t="s">
        <v>6658</v>
      </c>
      <c r="D2730" s="672" t="s">
        <v>8213</v>
      </c>
      <c r="E2730" s="745"/>
      <c r="F2730" s="732">
        <v>2</v>
      </c>
      <c r="G2730" s="737">
        <v>0</v>
      </c>
      <c r="H2730" s="685">
        <v>0</v>
      </c>
      <c r="I2730" s="672" t="s">
        <v>9218</v>
      </c>
      <c r="J2730" s="672" t="s">
        <v>9219</v>
      </c>
      <c r="K2730" s="672" t="s">
        <v>2354</v>
      </c>
      <c r="L2730" s="672" t="s">
        <v>9219</v>
      </c>
    </row>
    <row r="2731" spans="1:12" x14ac:dyDescent="0.2">
      <c r="A2731" s="672" t="s">
        <v>220</v>
      </c>
      <c r="B2731" s="672" t="s">
        <v>5430</v>
      </c>
      <c r="C2731" s="672" t="s">
        <v>6660</v>
      </c>
      <c r="D2731" s="672" t="s">
        <v>8214</v>
      </c>
      <c r="E2731" s="745"/>
      <c r="F2731" s="732">
        <v>1</v>
      </c>
      <c r="G2731" s="737">
        <v>0</v>
      </c>
      <c r="H2731" s="685">
        <v>0</v>
      </c>
      <c r="I2731" s="672" t="s">
        <v>9218</v>
      </c>
      <c r="J2731" s="672" t="s">
        <v>9219</v>
      </c>
      <c r="K2731" s="672" t="s">
        <v>2354</v>
      </c>
      <c r="L2731" s="672" t="s">
        <v>9219</v>
      </c>
    </row>
    <row r="2732" spans="1:12" x14ac:dyDescent="0.2">
      <c r="A2732" s="672" t="s">
        <v>220</v>
      </c>
      <c r="B2732" s="672" t="s">
        <v>5430</v>
      </c>
      <c r="C2732" s="672" t="s">
        <v>6662</v>
      </c>
      <c r="D2732" s="672" t="s">
        <v>8215</v>
      </c>
      <c r="E2732" s="745"/>
      <c r="F2732" s="732">
        <v>1</v>
      </c>
      <c r="G2732" s="737">
        <v>0</v>
      </c>
      <c r="H2732" s="685">
        <v>0</v>
      </c>
      <c r="I2732" s="672" t="s">
        <v>9218</v>
      </c>
      <c r="J2732" s="672" t="s">
        <v>9219</v>
      </c>
      <c r="K2732" s="672" t="s">
        <v>2354</v>
      </c>
      <c r="L2732" s="672" t="s">
        <v>9219</v>
      </c>
    </row>
    <row r="2733" spans="1:12" x14ac:dyDescent="0.2">
      <c r="A2733" s="672" t="s">
        <v>220</v>
      </c>
      <c r="B2733" s="672" t="s">
        <v>5430</v>
      </c>
      <c r="C2733" s="672" t="s">
        <v>6664</v>
      </c>
      <c r="D2733" s="672" t="s">
        <v>8216</v>
      </c>
      <c r="E2733" s="745"/>
      <c r="F2733" s="732">
        <v>1</v>
      </c>
      <c r="G2733" s="737">
        <v>0</v>
      </c>
      <c r="H2733" s="685">
        <v>0</v>
      </c>
      <c r="I2733" s="672" t="s">
        <v>9218</v>
      </c>
      <c r="J2733" s="672" t="s">
        <v>9219</v>
      </c>
      <c r="K2733" s="672" t="s">
        <v>2354</v>
      </c>
      <c r="L2733" s="672" t="s">
        <v>9219</v>
      </c>
    </row>
    <row r="2734" spans="1:12" x14ac:dyDescent="0.2">
      <c r="A2734" s="672" t="s">
        <v>220</v>
      </c>
      <c r="B2734" s="672" t="s">
        <v>5430</v>
      </c>
      <c r="C2734" s="672" t="s">
        <v>6666</v>
      </c>
      <c r="D2734" s="672" t="s">
        <v>8217</v>
      </c>
      <c r="E2734" s="745"/>
      <c r="F2734" s="732">
        <v>1</v>
      </c>
      <c r="G2734" s="737">
        <v>0</v>
      </c>
      <c r="H2734" s="685">
        <v>0</v>
      </c>
      <c r="I2734" s="672" t="s">
        <v>9218</v>
      </c>
      <c r="J2734" s="672" t="s">
        <v>9219</v>
      </c>
      <c r="K2734" s="672" t="s">
        <v>2354</v>
      </c>
      <c r="L2734" s="672" t="s">
        <v>9219</v>
      </c>
    </row>
    <row r="2735" spans="1:12" x14ac:dyDescent="0.2">
      <c r="A2735" s="672" t="s">
        <v>220</v>
      </c>
      <c r="B2735" s="672" t="s">
        <v>5430</v>
      </c>
      <c r="C2735" s="672" t="s">
        <v>6668</v>
      </c>
      <c r="D2735" s="672" t="s">
        <v>8218</v>
      </c>
      <c r="E2735" s="745"/>
      <c r="F2735" s="732">
        <v>5</v>
      </c>
      <c r="G2735" s="737">
        <v>0</v>
      </c>
      <c r="H2735" s="685">
        <v>0</v>
      </c>
      <c r="I2735" s="672" t="s">
        <v>9218</v>
      </c>
      <c r="J2735" s="672" t="s">
        <v>9219</v>
      </c>
      <c r="K2735" s="672" t="s">
        <v>2354</v>
      </c>
      <c r="L2735" s="672" t="s">
        <v>9219</v>
      </c>
    </row>
    <row r="2736" spans="1:12" x14ac:dyDescent="0.2">
      <c r="A2736" s="672" t="s">
        <v>220</v>
      </c>
      <c r="B2736" s="672" t="s">
        <v>5430</v>
      </c>
      <c r="C2736" s="672" t="s">
        <v>6670</v>
      </c>
      <c r="D2736" s="672" t="s">
        <v>8219</v>
      </c>
      <c r="E2736" s="745"/>
      <c r="F2736" s="732">
        <v>3</v>
      </c>
      <c r="G2736" s="737">
        <v>413.48160000000001</v>
      </c>
      <c r="H2736" s="685">
        <v>1240.4448</v>
      </c>
      <c r="I2736" s="672" t="s">
        <v>9218</v>
      </c>
      <c r="J2736" s="672" t="s">
        <v>9219</v>
      </c>
      <c r="K2736" s="672" t="s">
        <v>2354</v>
      </c>
      <c r="L2736" s="672" t="s">
        <v>9219</v>
      </c>
    </row>
    <row r="2737" spans="1:12" x14ac:dyDescent="0.2">
      <c r="A2737" s="672" t="s">
        <v>220</v>
      </c>
      <c r="B2737" s="672" t="s">
        <v>5430</v>
      </c>
      <c r="C2737" s="672" t="s">
        <v>6672</v>
      </c>
      <c r="D2737" s="672" t="s">
        <v>8220</v>
      </c>
      <c r="E2737" s="745"/>
      <c r="F2737" s="732">
        <v>4</v>
      </c>
      <c r="G2737" s="737">
        <v>0</v>
      </c>
      <c r="H2737" s="685">
        <v>0</v>
      </c>
      <c r="I2737" s="672" t="s">
        <v>9218</v>
      </c>
      <c r="J2737" s="672" t="s">
        <v>9219</v>
      </c>
      <c r="K2737" s="672" t="s">
        <v>2354</v>
      </c>
      <c r="L2737" s="672" t="s">
        <v>9219</v>
      </c>
    </row>
    <row r="2738" spans="1:12" x14ac:dyDescent="0.2">
      <c r="A2738" s="672" t="s">
        <v>220</v>
      </c>
      <c r="B2738" s="672" t="s">
        <v>5430</v>
      </c>
      <c r="C2738" s="672" t="s">
        <v>6674</v>
      </c>
      <c r="D2738" s="672" t="s">
        <v>8221</v>
      </c>
      <c r="E2738" s="745"/>
      <c r="F2738" s="732">
        <v>1</v>
      </c>
      <c r="G2738" s="737">
        <v>181.52</v>
      </c>
      <c r="H2738" s="685">
        <v>181.52</v>
      </c>
      <c r="I2738" s="672" t="s">
        <v>9218</v>
      </c>
      <c r="J2738" s="672" t="s">
        <v>9219</v>
      </c>
      <c r="K2738" s="672" t="s">
        <v>2354</v>
      </c>
      <c r="L2738" s="672" t="s">
        <v>9219</v>
      </c>
    </row>
    <row r="2739" spans="1:12" x14ac:dyDescent="0.2">
      <c r="A2739" s="672" t="s">
        <v>220</v>
      </c>
      <c r="B2739" s="672" t="s">
        <v>5430</v>
      </c>
      <c r="C2739" s="672" t="s">
        <v>6676</v>
      </c>
      <c r="D2739" s="672" t="s">
        <v>8222</v>
      </c>
      <c r="E2739" s="745"/>
      <c r="F2739" s="732">
        <v>1</v>
      </c>
      <c r="G2739" s="737">
        <v>149.4</v>
      </c>
      <c r="H2739" s="685">
        <v>149.4</v>
      </c>
      <c r="I2739" s="672" t="s">
        <v>9218</v>
      </c>
      <c r="J2739" s="672" t="s">
        <v>9219</v>
      </c>
      <c r="K2739" s="672" t="s">
        <v>2354</v>
      </c>
      <c r="L2739" s="672" t="s">
        <v>9219</v>
      </c>
    </row>
    <row r="2740" spans="1:12" x14ac:dyDescent="0.2">
      <c r="A2740" s="672" t="s">
        <v>220</v>
      </c>
      <c r="B2740" s="672" t="s">
        <v>5430</v>
      </c>
      <c r="C2740" s="672" t="s">
        <v>6678</v>
      </c>
      <c r="D2740" s="672" t="s">
        <v>8223</v>
      </c>
      <c r="E2740" s="745"/>
      <c r="F2740" s="732">
        <v>2</v>
      </c>
      <c r="G2740" s="737">
        <v>0</v>
      </c>
      <c r="H2740" s="685">
        <v>0</v>
      </c>
      <c r="I2740" s="672" t="s">
        <v>9218</v>
      </c>
      <c r="J2740" s="672" t="s">
        <v>9219</v>
      </c>
      <c r="K2740" s="672" t="s">
        <v>2354</v>
      </c>
      <c r="L2740" s="672" t="s">
        <v>9219</v>
      </c>
    </row>
    <row r="2741" spans="1:12" x14ac:dyDescent="0.2">
      <c r="A2741" s="672" t="s">
        <v>220</v>
      </c>
      <c r="B2741" s="672" t="s">
        <v>5430</v>
      </c>
      <c r="C2741" s="672" t="s">
        <v>6680</v>
      </c>
      <c r="D2741" s="672" t="s">
        <v>8224</v>
      </c>
      <c r="E2741" s="745"/>
      <c r="F2741" s="732">
        <v>1</v>
      </c>
      <c r="G2741" s="737">
        <v>0</v>
      </c>
      <c r="H2741" s="685">
        <v>0</v>
      </c>
      <c r="I2741" s="672" t="s">
        <v>9218</v>
      </c>
      <c r="J2741" s="672" t="s">
        <v>9219</v>
      </c>
      <c r="K2741" s="672" t="s">
        <v>2354</v>
      </c>
      <c r="L2741" s="672" t="s">
        <v>9219</v>
      </c>
    </row>
    <row r="2742" spans="1:12" x14ac:dyDescent="0.2">
      <c r="A2742" s="672" t="s">
        <v>220</v>
      </c>
      <c r="B2742" s="672" t="s">
        <v>5430</v>
      </c>
      <c r="C2742" s="672" t="s">
        <v>3823</v>
      </c>
      <c r="D2742" s="672" t="s">
        <v>8225</v>
      </c>
      <c r="E2742" s="745"/>
      <c r="F2742" s="732">
        <v>5</v>
      </c>
      <c r="G2742" s="737">
        <v>0</v>
      </c>
      <c r="H2742" s="685">
        <v>0</v>
      </c>
      <c r="I2742" s="672" t="s">
        <v>9218</v>
      </c>
      <c r="J2742" s="672" t="s">
        <v>9219</v>
      </c>
      <c r="K2742" s="672" t="s">
        <v>2354</v>
      </c>
      <c r="L2742" s="672" t="s">
        <v>9219</v>
      </c>
    </row>
    <row r="2743" spans="1:12" x14ac:dyDescent="0.2">
      <c r="A2743" s="672" t="s">
        <v>220</v>
      </c>
      <c r="B2743" s="672" t="s">
        <v>5430</v>
      </c>
      <c r="C2743" s="672" t="s">
        <v>6682</v>
      </c>
      <c r="D2743" s="672" t="s">
        <v>8226</v>
      </c>
      <c r="E2743" s="745"/>
      <c r="F2743" s="732">
        <v>1</v>
      </c>
      <c r="G2743" s="737">
        <v>0</v>
      </c>
      <c r="H2743" s="685">
        <v>0</v>
      </c>
      <c r="I2743" s="672" t="s">
        <v>9218</v>
      </c>
      <c r="J2743" s="672" t="s">
        <v>9219</v>
      </c>
      <c r="K2743" s="672" t="s">
        <v>2354</v>
      </c>
      <c r="L2743" s="672" t="s">
        <v>9219</v>
      </c>
    </row>
    <row r="2744" spans="1:12" x14ac:dyDescent="0.2">
      <c r="A2744" s="672" t="s">
        <v>220</v>
      </c>
      <c r="B2744" s="672" t="s">
        <v>5430</v>
      </c>
      <c r="C2744" s="672" t="s">
        <v>6684</v>
      </c>
      <c r="D2744" s="672" t="s">
        <v>8227</v>
      </c>
      <c r="E2744" s="745"/>
      <c r="F2744" s="732">
        <v>1</v>
      </c>
      <c r="G2744" s="737">
        <v>0</v>
      </c>
      <c r="H2744" s="685">
        <v>0</v>
      </c>
      <c r="I2744" s="672" t="s">
        <v>9218</v>
      </c>
      <c r="J2744" s="672" t="s">
        <v>9219</v>
      </c>
      <c r="K2744" s="672" t="s">
        <v>2354</v>
      </c>
      <c r="L2744" s="672" t="s">
        <v>9219</v>
      </c>
    </row>
    <row r="2745" spans="1:12" x14ac:dyDescent="0.2">
      <c r="A2745" s="672" t="s">
        <v>220</v>
      </c>
      <c r="B2745" s="672" t="s">
        <v>5430</v>
      </c>
      <c r="C2745" s="672" t="s">
        <v>6686</v>
      </c>
      <c r="D2745" s="672" t="s">
        <v>8228</v>
      </c>
      <c r="E2745" s="745"/>
      <c r="F2745" s="732">
        <v>6</v>
      </c>
      <c r="G2745" s="737">
        <v>0</v>
      </c>
      <c r="H2745" s="685">
        <v>0</v>
      </c>
      <c r="I2745" s="672" t="s">
        <v>9218</v>
      </c>
      <c r="J2745" s="672" t="s">
        <v>9219</v>
      </c>
      <c r="K2745" s="672" t="s">
        <v>2354</v>
      </c>
      <c r="L2745" s="672" t="s">
        <v>9219</v>
      </c>
    </row>
    <row r="2746" spans="1:12" x14ac:dyDescent="0.2">
      <c r="A2746" s="672" t="s">
        <v>220</v>
      </c>
      <c r="B2746" s="672" t="s">
        <v>5430</v>
      </c>
      <c r="D2746" s="672" t="s">
        <v>8229</v>
      </c>
      <c r="E2746" s="745"/>
      <c r="F2746" s="732">
        <v>1</v>
      </c>
      <c r="G2746" s="737">
        <v>302.19600000000003</v>
      </c>
      <c r="H2746" s="685">
        <v>302.19600000000003</v>
      </c>
      <c r="I2746" s="672" t="s">
        <v>9218</v>
      </c>
      <c r="J2746" s="672" t="s">
        <v>9219</v>
      </c>
      <c r="K2746" s="672" t="s">
        <v>2354</v>
      </c>
      <c r="L2746" s="672" t="s">
        <v>9219</v>
      </c>
    </row>
    <row r="2747" spans="1:12" x14ac:dyDescent="0.2">
      <c r="A2747" s="672" t="s">
        <v>220</v>
      </c>
      <c r="B2747" s="672" t="s">
        <v>5430</v>
      </c>
      <c r="C2747" s="672" t="s">
        <v>6688</v>
      </c>
      <c r="D2747" s="672" t="s">
        <v>8230</v>
      </c>
      <c r="E2747" s="745"/>
      <c r="F2747" s="732">
        <v>2</v>
      </c>
      <c r="G2747" s="737">
        <v>0</v>
      </c>
      <c r="H2747" s="685">
        <v>0</v>
      </c>
      <c r="I2747" s="672" t="s">
        <v>9218</v>
      </c>
      <c r="J2747" s="672" t="s">
        <v>9219</v>
      </c>
      <c r="K2747" s="672" t="s">
        <v>2354</v>
      </c>
      <c r="L2747" s="672" t="s">
        <v>9219</v>
      </c>
    </row>
    <row r="2748" spans="1:12" x14ac:dyDescent="0.2">
      <c r="A2748" s="672" t="s">
        <v>220</v>
      </c>
      <c r="B2748" s="672" t="s">
        <v>5430</v>
      </c>
      <c r="C2748" s="672" t="s">
        <v>6690</v>
      </c>
      <c r="D2748" s="672" t="s">
        <v>8231</v>
      </c>
      <c r="E2748" s="745"/>
      <c r="F2748" s="732">
        <v>2</v>
      </c>
      <c r="G2748" s="737">
        <v>193.64699999999999</v>
      </c>
      <c r="H2748" s="685">
        <v>387.29399999999998</v>
      </c>
      <c r="I2748" s="672" t="s">
        <v>9218</v>
      </c>
      <c r="J2748" s="672" t="s">
        <v>9219</v>
      </c>
      <c r="K2748" s="672" t="s">
        <v>2354</v>
      </c>
      <c r="L2748" s="672" t="s">
        <v>9219</v>
      </c>
    </row>
    <row r="2749" spans="1:12" x14ac:dyDescent="0.2">
      <c r="A2749" s="672" t="s">
        <v>220</v>
      </c>
      <c r="B2749" s="672" t="s">
        <v>5430</v>
      </c>
      <c r="C2749" s="672" t="s">
        <v>6692</v>
      </c>
      <c r="D2749" s="672" t="s">
        <v>8232</v>
      </c>
      <c r="E2749" s="745"/>
      <c r="F2749" s="732">
        <v>1</v>
      </c>
      <c r="G2749" s="737">
        <v>114.77</v>
      </c>
      <c r="H2749" s="685">
        <v>114.77</v>
      </c>
      <c r="I2749" s="672" t="s">
        <v>9218</v>
      </c>
      <c r="J2749" s="672" t="s">
        <v>9219</v>
      </c>
      <c r="K2749" s="672" t="s">
        <v>2354</v>
      </c>
      <c r="L2749" s="672" t="s">
        <v>9219</v>
      </c>
    </row>
    <row r="2750" spans="1:12" x14ac:dyDescent="0.2">
      <c r="A2750" s="672" t="s">
        <v>220</v>
      </c>
      <c r="B2750" s="672" t="s">
        <v>5430</v>
      </c>
      <c r="C2750" s="672" t="s">
        <v>8234</v>
      </c>
      <c r="D2750" s="672" t="s">
        <v>8235</v>
      </c>
      <c r="E2750" s="745"/>
      <c r="F2750" s="732">
        <v>15</v>
      </c>
      <c r="G2750" s="737">
        <v>0.127</v>
      </c>
      <c r="H2750" s="685">
        <v>1.905</v>
      </c>
      <c r="I2750" s="672" t="s">
        <v>9218</v>
      </c>
      <c r="J2750" s="672" t="s">
        <v>9219</v>
      </c>
      <c r="K2750" s="672" t="s">
        <v>2354</v>
      </c>
      <c r="L2750" s="672" t="s">
        <v>9219</v>
      </c>
    </row>
    <row r="2751" spans="1:12" x14ac:dyDescent="0.2">
      <c r="A2751" s="672" t="s">
        <v>220</v>
      </c>
      <c r="B2751" s="672" t="s">
        <v>5430</v>
      </c>
      <c r="C2751" s="672" t="s">
        <v>6720</v>
      </c>
      <c r="D2751" s="672" t="s">
        <v>6721</v>
      </c>
      <c r="E2751" s="745"/>
      <c r="F2751" s="732">
        <v>1</v>
      </c>
      <c r="G2751" s="737">
        <v>93.9</v>
      </c>
      <c r="H2751" s="685">
        <v>93.9</v>
      </c>
      <c r="I2751" s="672" t="s">
        <v>9218</v>
      </c>
      <c r="J2751" s="672" t="s">
        <v>9219</v>
      </c>
      <c r="K2751" s="672" t="s">
        <v>2354</v>
      </c>
      <c r="L2751" s="672" t="s">
        <v>9219</v>
      </c>
    </row>
    <row r="2752" spans="1:12" x14ac:dyDescent="0.2">
      <c r="A2752" s="672" t="s">
        <v>220</v>
      </c>
      <c r="B2752" s="672" t="s">
        <v>5430</v>
      </c>
      <c r="C2752" s="672" t="s">
        <v>6726</v>
      </c>
      <c r="D2752" s="672" t="s">
        <v>8236</v>
      </c>
      <c r="E2752" s="745"/>
      <c r="F2752" s="732">
        <v>1</v>
      </c>
      <c r="G2752" s="737">
        <v>34.720999999999997</v>
      </c>
      <c r="H2752" s="685">
        <v>34.720999999999997</v>
      </c>
      <c r="I2752" s="672" t="s">
        <v>9218</v>
      </c>
      <c r="J2752" s="672" t="s">
        <v>9219</v>
      </c>
      <c r="K2752" s="672" t="s">
        <v>2354</v>
      </c>
      <c r="L2752" s="672" t="s">
        <v>9219</v>
      </c>
    </row>
    <row r="2753" spans="1:12" x14ac:dyDescent="0.2">
      <c r="A2753" s="672" t="s">
        <v>220</v>
      </c>
      <c r="B2753" s="672" t="s">
        <v>5430</v>
      </c>
      <c r="C2753" s="672" t="s">
        <v>6728</v>
      </c>
      <c r="D2753" s="672" t="s">
        <v>8237</v>
      </c>
      <c r="E2753" s="745"/>
      <c r="F2753" s="732">
        <v>4</v>
      </c>
      <c r="G2753" s="737">
        <v>18.068999999999999</v>
      </c>
      <c r="H2753" s="685">
        <v>72.275999999999996</v>
      </c>
      <c r="I2753" s="672" t="s">
        <v>9218</v>
      </c>
      <c r="J2753" s="672" t="s">
        <v>9219</v>
      </c>
      <c r="K2753" s="672" t="s">
        <v>2354</v>
      </c>
      <c r="L2753" s="672" t="s">
        <v>9219</v>
      </c>
    </row>
    <row r="2754" spans="1:12" x14ac:dyDescent="0.2">
      <c r="A2754" s="672" t="s">
        <v>220</v>
      </c>
      <c r="B2754" s="672" t="s">
        <v>5430</v>
      </c>
      <c r="C2754" s="672" t="s">
        <v>3955</v>
      </c>
      <c r="D2754" s="672" t="s">
        <v>8238</v>
      </c>
      <c r="E2754" s="745"/>
      <c r="F2754" s="732">
        <v>2</v>
      </c>
      <c r="G2754" s="737">
        <v>83.718000000000004</v>
      </c>
      <c r="H2754" s="685">
        <v>167.43600000000001</v>
      </c>
      <c r="I2754" s="672" t="s">
        <v>9218</v>
      </c>
      <c r="J2754" s="672" t="s">
        <v>9219</v>
      </c>
      <c r="K2754" s="672" t="s">
        <v>2354</v>
      </c>
      <c r="L2754" s="672" t="s">
        <v>9219</v>
      </c>
    </row>
    <row r="2755" spans="1:12" x14ac:dyDescent="0.2">
      <c r="A2755" s="672" t="s">
        <v>220</v>
      </c>
      <c r="B2755" s="672" t="s">
        <v>5430</v>
      </c>
      <c r="C2755" s="672" t="s">
        <v>3995</v>
      </c>
      <c r="D2755" s="672" t="s">
        <v>8239</v>
      </c>
      <c r="E2755" s="745"/>
      <c r="F2755" s="732">
        <v>4</v>
      </c>
      <c r="G2755" s="737">
        <v>70.52</v>
      </c>
      <c r="H2755" s="685">
        <v>282.08</v>
      </c>
      <c r="I2755" s="672" t="s">
        <v>9218</v>
      </c>
      <c r="J2755" s="672" t="s">
        <v>9219</v>
      </c>
      <c r="K2755" s="672" t="s">
        <v>2354</v>
      </c>
      <c r="L2755" s="672" t="s">
        <v>9219</v>
      </c>
    </row>
    <row r="2756" spans="1:12" x14ac:dyDescent="0.2">
      <c r="A2756" s="672" t="s">
        <v>220</v>
      </c>
      <c r="B2756" s="672" t="s">
        <v>5430</v>
      </c>
      <c r="C2756" s="672" t="s">
        <v>6743</v>
      </c>
      <c r="D2756" s="672" t="s">
        <v>6744</v>
      </c>
      <c r="E2756" s="745"/>
      <c r="F2756" s="732">
        <v>1</v>
      </c>
      <c r="G2756" s="737">
        <v>82.65</v>
      </c>
      <c r="H2756" s="685">
        <v>82.65</v>
      </c>
      <c r="I2756" s="672" t="s">
        <v>9218</v>
      </c>
      <c r="J2756" s="672" t="s">
        <v>9219</v>
      </c>
      <c r="K2756" s="672" t="s">
        <v>2354</v>
      </c>
      <c r="L2756" s="672" t="s">
        <v>9219</v>
      </c>
    </row>
    <row r="2757" spans="1:12" x14ac:dyDescent="0.2">
      <c r="A2757" s="672" t="s">
        <v>220</v>
      </c>
      <c r="B2757" s="672" t="s">
        <v>5430</v>
      </c>
      <c r="C2757" s="672" t="s">
        <v>6747</v>
      </c>
      <c r="D2757" s="672" t="s">
        <v>8241</v>
      </c>
      <c r="E2757" s="745"/>
      <c r="F2757" s="732">
        <v>2</v>
      </c>
      <c r="G2757" s="737">
        <v>74.048000000000002</v>
      </c>
      <c r="H2757" s="685">
        <v>148.096</v>
      </c>
      <c r="I2757" s="672" t="s">
        <v>9218</v>
      </c>
      <c r="J2757" s="672" t="s">
        <v>9219</v>
      </c>
      <c r="K2757" s="672" t="s">
        <v>2354</v>
      </c>
      <c r="L2757" s="672" t="s">
        <v>9219</v>
      </c>
    </row>
    <row r="2758" spans="1:12" x14ac:dyDescent="0.2">
      <c r="A2758" s="672" t="s">
        <v>220</v>
      </c>
      <c r="B2758" s="672" t="s">
        <v>5430</v>
      </c>
      <c r="C2758" s="672" t="s">
        <v>6749</v>
      </c>
      <c r="D2758" s="672" t="s">
        <v>8242</v>
      </c>
      <c r="E2758" s="745"/>
      <c r="F2758" s="732">
        <v>1</v>
      </c>
      <c r="G2758" s="737">
        <v>1.1679999999999999</v>
      </c>
      <c r="H2758" s="685">
        <v>1.1679999999999999</v>
      </c>
      <c r="I2758" s="672" t="s">
        <v>9218</v>
      </c>
      <c r="J2758" s="672" t="s">
        <v>9219</v>
      </c>
      <c r="K2758" s="672" t="s">
        <v>2354</v>
      </c>
      <c r="L2758" s="672" t="s">
        <v>9219</v>
      </c>
    </row>
    <row r="2759" spans="1:12" x14ac:dyDescent="0.2">
      <c r="A2759" s="672" t="s">
        <v>220</v>
      </c>
      <c r="B2759" s="672" t="s">
        <v>5430</v>
      </c>
      <c r="C2759" s="672" t="s">
        <v>6751</v>
      </c>
      <c r="D2759" s="672" t="s">
        <v>8243</v>
      </c>
      <c r="E2759" s="745"/>
      <c r="F2759" s="732">
        <v>4</v>
      </c>
      <c r="G2759" s="737">
        <v>10.744</v>
      </c>
      <c r="H2759" s="685">
        <v>42.975999999999999</v>
      </c>
      <c r="I2759" s="672" t="s">
        <v>9218</v>
      </c>
      <c r="J2759" s="672" t="s">
        <v>9219</v>
      </c>
      <c r="K2759" s="672" t="s">
        <v>2354</v>
      </c>
      <c r="L2759" s="672" t="s">
        <v>9219</v>
      </c>
    </row>
    <row r="2760" spans="1:12" x14ac:dyDescent="0.2">
      <c r="A2760" s="672" t="s">
        <v>220</v>
      </c>
      <c r="B2760" s="672" t="s">
        <v>5430</v>
      </c>
      <c r="C2760" s="672" t="s">
        <v>6753</v>
      </c>
      <c r="D2760" s="672" t="s">
        <v>8244</v>
      </c>
      <c r="E2760" s="745"/>
      <c r="F2760" s="732">
        <v>2</v>
      </c>
      <c r="G2760" s="737">
        <v>0</v>
      </c>
      <c r="H2760" s="685">
        <v>0</v>
      </c>
      <c r="I2760" s="672" t="s">
        <v>9218</v>
      </c>
      <c r="J2760" s="672" t="s">
        <v>9219</v>
      </c>
      <c r="K2760" s="672" t="s">
        <v>2354</v>
      </c>
      <c r="L2760" s="672" t="s">
        <v>9219</v>
      </c>
    </row>
    <row r="2761" spans="1:12" x14ac:dyDescent="0.2">
      <c r="A2761" s="672" t="s">
        <v>220</v>
      </c>
      <c r="B2761" s="672" t="s">
        <v>5430</v>
      </c>
      <c r="C2761" s="672" t="s">
        <v>6755</v>
      </c>
      <c r="D2761" s="672" t="s">
        <v>8245</v>
      </c>
      <c r="E2761" s="745"/>
      <c r="F2761" s="732">
        <v>1</v>
      </c>
      <c r="G2761" s="737">
        <v>0</v>
      </c>
      <c r="H2761" s="685">
        <v>0</v>
      </c>
      <c r="I2761" s="672" t="s">
        <v>9218</v>
      </c>
      <c r="J2761" s="672" t="s">
        <v>9219</v>
      </c>
      <c r="K2761" s="672" t="s">
        <v>2354</v>
      </c>
      <c r="L2761" s="672" t="s">
        <v>9219</v>
      </c>
    </row>
    <row r="2762" spans="1:12" x14ac:dyDescent="0.2">
      <c r="A2762" s="672" t="s">
        <v>220</v>
      </c>
      <c r="B2762" s="672" t="s">
        <v>5430</v>
      </c>
      <c r="C2762" s="672" t="s">
        <v>6757</v>
      </c>
      <c r="D2762" s="672" t="s">
        <v>8246</v>
      </c>
      <c r="E2762" s="745"/>
      <c r="F2762" s="732">
        <v>1</v>
      </c>
      <c r="G2762" s="737">
        <v>0</v>
      </c>
      <c r="H2762" s="685">
        <v>0</v>
      </c>
      <c r="I2762" s="672" t="s">
        <v>9218</v>
      </c>
      <c r="J2762" s="672" t="s">
        <v>9219</v>
      </c>
      <c r="K2762" s="672" t="s">
        <v>2354</v>
      </c>
      <c r="L2762" s="672" t="s">
        <v>9219</v>
      </c>
    </row>
    <row r="2763" spans="1:12" x14ac:dyDescent="0.2">
      <c r="A2763" s="672" t="s">
        <v>220</v>
      </c>
      <c r="B2763" s="672" t="s">
        <v>5430</v>
      </c>
      <c r="C2763" s="672" t="s">
        <v>6759</v>
      </c>
      <c r="D2763" s="672" t="s">
        <v>8247</v>
      </c>
      <c r="E2763" s="745"/>
      <c r="F2763" s="732">
        <v>2</v>
      </c>
      <c r="G2763" s="737">
        <v>0</v>
      </c>
      <c r="H2763" s="685">
        <v>0</v>
      </c>
      <c r="I2763" s="672" t="s">
        <v>9218</v>
      </c>
      <c r="J2763" s="672" t="s">
        <v>9219</v>
      </c>
      <c r="K2763" s="672" t="s">
        <v>2354</v>
      </c>
      <c r="L2763" s="672" t="s">
        <v>9219</v>
      </c>
    </row>
    <row r="2764" spans="1:12" x14ac:dyDescent="0.2">
      <c r="A2764" s="672" t="s">
        <v>220</v>
      </c>
      <c r="B2764" s="672" t="s">
        <v>5430</v>
      </c>
      <c r="C2764" s="672" t="s">
        <v>6761</v>
      </c>
      <c r="D2764" s="672" t="s">
        <v>8248</v>
      </c>
      <c r="E2764" s="745"/>
      <c r="F2764" s="732">
        <v>2</v>
      </c>
      <c r="G2764" s="737">
        <v>0</v>
      </c>
      <c r="H2764" s="685">
        <v>0</v>
      </c>
      <c r="I2764" s="672" t="s">
        <v>9218</v>
      </c>
      <c r="J2764" s="672" t="s">
        <v>9219</v>
      </c>
      <c r="K2764" s="672" t="s">
        <v>2354</v>
      </c>
      <c r="L2764" s="672" t="s">
        <v>9219</v>
      </c>
    </row>
    <row r="2765" spans="1:12" x14ac:dyDescent="0.2">
      <c r="A2765" s="672" t="s">
        <v>220</v>
      </c>
      <c r="B2765" s="672" t="s">
        <v>5430</v>
      </c>
      <c r="C2765" s="672" t="s">
        <v>6763</v>
      </c>
      <c r="D2765" s="672" t="s">
        <v>8249</v>
      </c>
      <c r="E2765" s="745"/>
      <c r="F2765" s="732">
        <v>2</v>
      </c>
      <c r="G2765" s="737">
        <v>70.090999999999994</v>
      </c>
      <c r="H2765" s="685">
        <v>140.18199999999999</v>
      </c>
      <c r="I2765" s="672" t="s">
        <v>9218</v>
      </c>
      <c r="J2765" s="672" t="s">
        <v>9219</v>
      </c>
      <c r="K2765" s="672" t="s">
        <v>2354</v>
      </c>
      <c r="L2765" s="672" t="s">
        <v>9219</v>
      </c>
    </row>
    <row r="2766" spans="1:12" x14ac:dyDescent="0.2">
      <c r="A2766" s="672" t="s">
        <v>220</v>
      </c>
      <c r="B2766" s="672" t="s">
        <v>5430</v>
      </c>
      <c r="C2766" s="672" t="s">
        <v>6765</v>
      </c>
      <c r="D2766" s="672" t="s">
        <v>8250</v>
      </c>
      <c r="E2766" s="745"/>
      <c r="F2766" s="732">
        <v>3</v>
      </c>
      <c r="G2766" s="737">
        <v>44.814</v>
      </c>
      <c r="H2766" s="685">
        <v>134.44200000000001</v>
      </c>
      <c r="I2766" s="672" t="s">
        <v>9218</v>
      </c>
      <c r="J2766" s="672" t="s">
        <v>9219</v>
      </c>
      <c r="K2766" s="672" t="s">
        <v>2354</v>
      </c>
      <c r="L2766" s="672" t="s">
        <v>9219</v>
      </c>
    </row>
    <row r="2767" spans="1:12" x14ac:dyDescent="0.2">
      <c r="A2767" s="672" t="s">
        <v>220</v>
      </c>
      <c r="B2767" s="672" t="s">
        <v>5430</v>
      </c>
      <c r="C2767" s="672" t="s">
        <v>6767</v>
      </c>
      <c r="D2767" s="672" t="s">
        <v>8251</v>
      </c>
      <c r="E2767" s="745"/>
      <c r="F2767" s="732">
        <v>1</v>
      </c>
      <c r="G2767" s="737">
        <v>1.087</v>
      </c>
      <c r="H2767" s="685">
        <v>1.087</v>
      </c>
      <c r="I2767" s="672" t="s">
        <v>9218</v>
      </c>
      <c r="J2767" s="672" t="s">
        <v>9219</v>
      </c>
      <c r="K2767" s="672" t="s">
        <v>2354</v>
      </c>
      <c r="L2767" s="672" t="s">
        <v>9219</v>
      </c>
    </row>
    <row r="2768" spans="1:12" x14ac:dyDescent="0.2">
      <c r="A2768" s="672" t="s">
        <v>220</v>
      </c>
      <c r="B2768" s="672" t="s">
        <v>5430</v>
      </c>
      <c r="C2768" s="672" t="s">
        <v>6769</v>
      </c>
      <c r="D2768" s="672" t="s">
        <v>6770</v>
      </c>
      <c r="E2768" s="745"/>
      <c r="F2768" s="732">
        <v>1</v>
      </c>
      <c r="G2768" s="737">
        <v>126.664</v>
      </c>
      <c r="H2768" s="685">
        <v>126.664</v>
      </c>
      <c r="I2768" s="672" t="s">
        <v>9218</v>
      </c>
      <c r="J2768" s="672" t="s">
        <v>9219</v>
      </c>
      <c r="K2768" s="672" t="s">
        <v>2354</v>
      </c>
      <c r="L2768" s="672" t="s">
        <v>9219</v>
      </c>
    </row>
    <row r="2769" spans="1:12" x14ac:dyDescent="0.2">
      <c r="A2769" s="672" t="s">
        <v>220</v>
      </c>
      <c r="B2769" s="672" t="s">
        <v>5430</v>
      </c>
      <c r="C2769" s="672" t="s">
        <v>4039</v>
      </c>
      <c r="D2769" s="672" t="s">
        <v>8257</v>
      </c>
      <c r="E2769" s="745"/>
      <c r="F2769" s="732">
        <v>3</v>
      </c>
      <c r="G2769" s="737">
        <v>70.956000000000003</v>
      </c>
      <c r="H2769" s="685">
        <v>212.86799999999999</v>
      </c>
      <c r="I2769" s="672" t="s">
        <v>9218</v>
      </c>
      <c r="J2769" s="672" t="s">
        <v>9219</v>
      </c>
      <c r="K2769" s="672" t="s">
        <v>2354</v>
      </c>
      <c r="L2769" s="672" t="s">
        <v>9219</v>
      </c>
    </row>
    <row r="2770" spans="1:12" x14ac:dyDescent="0.2">
      <c r="A2770" s="672" t="s">
        <v>220</v>
      </c>
      <c r="B2770" s="672" t="s">
        <v>5430</v>
      </c>
      <c r="C2770" s="672" t="s">
        <v>6779</v>
      </c>
      <c r="D2770" s="672" t="s">
        <v>6780</v>
      </c>
      <c r="E2770" s="745"/>
      <c r="F2770" s="732">
        <v>2</v>
      </c>
      <c r="G2770" s="737">
        <v>354.71</v>
      </c>
      <c r="H2770" s="685">
        <v>709.42</v>
      </c>
      <c r="I2770" s="672" t="s">
        <v>9218</v>
      </c>
      <c r="J2770" s="672" t="s">
        <v>9219</v>
      </c>
      <c r="K2770" s="672" t="s">
        <v>2354</v>
      </c>
      <c r="L2770" s="672" t="s">
        <v>9219</v>
      </c>
    </row>
    <row r="2771" spans="1:12" x14ac:dyDescent="0.2">
      <c r="A2771" s="672" t="s">
        <v>220</v>
      </c>
      <c r="B2771" s="672" t="s">
        <v>5430</v>
      </c>
      <c r="C2771" s="672" t="s">
        <v>4079</v>
      </c>
      <c r="D2771" s="672" t="s">
        <v>8259</v>
      </c>
      <c r="E2771" s="745"/>
      <c r="F2771" s="732">
        <v>2</v>
      </c>
      <c r="G2771" s="737">
        <v>87.93</v>
      </c>
      <c r="H2771" s="685">
        <v>175.86</v>
      </c>
      <c r="I2771" s="672" t="s">
        <v>9218</v>
      </c>
      <c r="J2771" s="672" t="s">
        <v>9219</v>
      </c>
      <c r="K2771" s="672" t="s">
        <v>2354</v>
      </c>
      <c r="L2771" s="672" t="s">
        <v>9219</v>
      </c>
    </row>
    <row r="2772" spans="1:12" x14ac:dyDescent="0.2">
      <c r="A2772" s="672" t="s">
        <v>220</v>
      </c>
      <c r="B2772" s="672" t="s">
        <v>5430</v>
      </c>
      <c r="C2772" s="672" t="s">
        <v>6797</v>
      </c>
      <c r="D2772" s="672" t="s">
        <v>8262</v>
      </c>
      <c r="E2772" s="745"/>
      <c r="F2772" s="732">
        <v>2</v>
      </c>
      <c r="G2772" s="737">
        <v>40.435000000000002</v>
      </c>
      <c r="H2772" s="685">
        <v>80.87</v>
      </c>
      <c r="I2772" s="672" t="s">
        <v>9218</v>
      </c>
      <c r="J2772" s="672" t="s">
        <v>9219</v>
      </c>
      <c r="K2772" s="672" t="s">
        <v>2354</v>
      </c>
      <c r="L2772" s="672" t="s">
        <v>9219</v>
      </c>
    </row>
    <row r="2773" spans="1:12" x14ac:dyDescent="0.2">
      <c r="A2773" s="672" t="s">
        <v>220</v>
      </c>
      <c r="B2773" s="672" t="s">
        <v>5430</v>
      </c>
      <c r="C2773" s="672" t="s">
        <v>4099</v>
      </c>
      <c r="D2773" s="672" t="s">
        <v>8264</v>
      </c>
      <c r="E2773" s="745"/>
      <c r="F2773" s="732">
        <v>2</v>
      </c>
      <c r="G2773" s="737">
        <v>55.271000000000001</v>
      </c>
      <c r="H2773" s="685">
        <v>110.542</v>
      </c>
      <c r="I2773" s="672" t="s">
        <v>9218</v>
      </c>
      <c r="J2773" s="672" t="s">
        <v>9219</v>
      </c>
      <c r="K2773" s="672" t="s">
        <v>2354</v>
      </c>
      <c r="L2773" s="672" t="s">
        <v>9219</v>
      </c>
    </row>
    <row r="2774" spans="1:12" x14ac:dyDescent="0.2">
      <c r="A2774" s="672" t="s">
        <v>220</v>
      </c>
      <c r="B2774" s="672" t="s">
        <v>5430</v>
      </c>
      <c r="C2774" s="672" t="s">
        <v>6803</v>
      </c>
      <c r="D2774" s="672" t="s">
        <v>8266</v>
      </c>
      <c r="E2774" s="745"/>
      <c r="F2774" s="732">
        <v>2</v>
      </c>
      <c r="G2774" s="737">
        <v>29.016999999999999</v>
      </c>
      <c r="H2774" s="685">
        <v>58.033999999999999</v>
      </c>
      <c r="I2774" s="672" t="s">
        <v>9218</v>
      </c>
      <c r="J2774" s="672" t="s">
        <v>9219</v>
      </c>
      <c r="K2774" s="672" t="s">
        <v>2354</v>
      </c>
      <c r="L2774" s="672" t="s">
        <v>9219</v>
      </c>
    </row>
    <row r="2775" spans="1:12" x14ac:dyDescent="0.2">
      <c r="A2775" s="672" t="s">
        <v>220</v>
      </c>
      <c r="B2775" s="672" t="s">
        <v>5430</v>
      </c>
      <c r="C2775" s="672" t="s">
        <v>4105</v>
      </c>
      <c r="D2775" s="672" t="s">
        <v>8267</v>
      </c>
      <c r="E2775" s="745"/>
      <c r="F2775" s="732">
        <v>1</v>
      </c>
      <c r="G2775" s="737">
        <v>137.6</v>
      </c>
      <c r="H2775" s="685">
        <v>137.6</v>
      </c>
      <c r="I2775" s="672" t="s">
        <v>9218</v>
      </c>
      <c r="J2775" s="672" t="s">
        <v>9219</v>
      </c>
      <c r="K2775" s="672" t="s">
        <v>2354</v>
      </c>
      <c r="L2775" s="672" t="s">
        <v>9219</v>
      </c>
    </row>
    <row r="2776" spans="1:12" x14ac:dyDescent="0.2">
      <c r="A2776" s="672" t="s">
        <v>220</v>
      </c>
      <c r="B2776" s="672" t="s">
        <v>5430</v>
      </c>
      <c r="C2776" s="672" t="s">
        <v>8268</v>
      </c>
      <c r="D2776" s="672" t="s">
        <v>8269</v>
      </c>
      <c r="E2776" s="745"/>
      <c r="F2776" s="732">
        <v>1</v>
      </c>
      <c r="G2776" s="737">
        <v>91.44</v>
      </c>
      <c r="H2776" s="685">
        <v>91.44</v>
      </c>
      <c r="I2776" s="672" t="s">
        <v>9218</v>
      </c>
      <c r="J2776" s="672" t="s">
        <v>9219</v>
      </c>
      <c r="K2776" s="672" t="s">
        <v>2354</v>
      </c>
      <c r="L2776" s="672" t="s">
        <v>9219</v>
      </c>
    </row>
    <row r="2777" spans="1:12" x14ac:dyDescent="0.2">
      <c r="A2777" s="672" t="s">
        <v>220</v>
      </c>
      <c r="B2777" s="672" t="s">
        <v>5430</v>
      </c>
      <c r="C2777" s="672" t="s">
        <v>6807</v>
      </c>
      <c r="D2777" s="672" t="s">
        <v>8270</v>
      </c>
      <c r="E2777" s="745"/>
      <c r="F2777" s="732">
        <v>1</v>
      </c>
      <c r="G2777" s="737">
        <v>57.844000000000001</v>
      </c>
      <c r="H2777" s="685">
        <v>57.844000000000001</v>
      </c>
      <c r="I2777" s="672" t="s">
        <v>9218</v>
      </c>
      <c r="J2777" s="672" t="s">
        <v>9219</v>
      </c>
      <c r="K2777" s="672" t="s">
        <v>2354</v>
      </c>
      <c r="L2777" s="672" t="s">
        <v>9219</v>
      </c>
    </row>
    <row r="2778" spans="1:12" x14ac:dyDescent="0.2">
      <c r="A2778" s="672" t="s">
        <v>220</v>
      </c>
      <c r="B2778" s="672" t="s">
        <v>5430</v>
      </c>
      <c r="C2778" s="672" t="s">
        <v>6809</v>
      </c>
      <c r="D2778" s="672" t="s">
        <v>8271</v>
      </c>
      <c r="E2778" s="745"/>
      <c r="F2778" s="732">
        <v>2</v>
      </c>
      <c r="G2778" s="737">
        <v>138.006</v>
      </c>
      <c r="H2778" s="685">
        <v>276.012</v>
      </c>
      <c r="I2778" s="672" t="s">
        <v>9218</v>
      </c>
      <c r="J2778" s="672" t="s">
        <v>9219</v>
      </c>
      <c r="K2778" s="672" t="s">
        <v>2354</v>
      </c>
      <c r="L2778" s="672" t="s">
        <v>9219</v>
      </c>
    </row>
    <row r="2779" spans="1:12" x14ac:dyDescent="0.2">
      <c r="A2779" s="672" t="s">
        <v>220</v>
      </c>
      <c r="B2779" s="672" t="s">
        <v>5430</v>
      </c>
      <c r="C2779" s="672" t="s">
        <v>6811</v>
      </c>
      <c r="D2779" s="672" t="s">
        <v>6812</v>
      </c>
      <c r="E2779" s="745"/>
      <c r="F2779" s="732">
        <v>1</v>
      </c>
      <c r="G2779" s="737">
        <v>158.322</v>
      </c>
      <c r="H2779" s="685">
        <v>158.322</v>
      </c>
      <c r="I2779" s="672" t="s">
        <v>9218</v>
      </c>
      <c r="J2779" s="672" t="s">
        <v>9219</v>
      </c>
      <c r="K2779" s="672" t="s">
        <v>2354</v>
      </c>
      <c r="L2779" s="672" t="s">
        <v>9219</v>
      </c>
    </row>
    <row r="2780" spans="1:12" x14ac:dyDescent="0.2">
      <c r="A2780" s="672" t="s">
        <v>220</v>
      </c>
      <c r="B2780" s="672" t="s">
        <v>5430</v>
      </c>
      <c r="C2780" s="672" t="s">
        <v>6813</v>
      </c>
      <c r="D2780" s="672" t="s">
        <v>8272</v>
      </c>
      <c r="E2780" s="745"/>
      <c r="F2780" s="732">
        <v>2</v>
      </c>
      <c r="G2780" s="737">
        <v>27.905000000000001</v>
      </c>
      <c r="H2780" s="685">
        <v>55.81</v>
      </c>
      <c r="I2780" s="672" t="s">
        <v>9218</v>
      </c>
      <c r="J2780" s="672" t="s">
        <v>9219</v>
      </c>
      <c r="K2780" s="672" t="s">
        <v>2354</v>
      </c>
      <c r="L2780" s="672" t="s">
        <v>9219</v>
      </c>
    </row>
    <row r="2781" spans="1:12" x14ac:dyDescent="0.2">
      <c r="A2781" s="672" t="s">
        <v>220</v>
      </c>
      <c r="B2781" s="672" t="s">
        <v>5430</v>
      </c>
      <c r="C2781" s="672" t="s">
        <v>6817</v>
      </c>
      <c r="D2781" s="672" t="s">
        <v>8274</v>
      </c>
      <c r="E2781" s="745"/>
      <c r="F2781" s="732">
        <v>2</v>
      </c>
      <c r="G2781" s="737">
        <v>23.648</v>
      </c>
      <c r="H2781" s="685">
        <v>47.295999999999999</v>
      </c>
      <c r="I2781" s="672" t="s">
        <v>9218</v>
      </c>
      <c r="J2781" s="672" t="s">
        <v>9219</v>
      </c>
      <c r="K2781" s="672" t="s">
        <v>2354</v>
      </c>
      <c r="L2781" s="672" t="s">
        <v>9219</v>
      </c>
    </row>
    <row r="2782" spans="1:12" x14ac:dyDescent="0.2">
      <c r="A2782" s="672" t="s">
        <v>220</v>
      </c>
      <c r="B2782" s="672" t="s">
        <v>5430</v>
      </c>
      <c r="C2782" s="672" t="s">
        <v>6819</v>
      </c>
      <c r="D2782" s="672" t="s">
        <v>8275</v>
      </c>
      <c r="E2782" s="745"/>
      <c r="F2782" s="732">
        <v>1</v>
      </c>
      <c r="G2782" s="737">
        <v>167.148</v>
      </c>
      <c r="H2782" s="685">
        <v>167.148</v>
      </c>
      <c r="I2782" s="672" t="s">
        <v>9218</v>
      </c>
      <c r="J2782" s="672" t="s">
        <v>9219</v>
      </c>
      <c r="K2782" s="672" t="s">
        <v>2354</v>
      </c>
      <c r="L2782" s="672" t="s">
        <v>9219</v>
      </c>
    </row>
    <row r="2783" spans="1:12" x14ac:dyDescent="0.2">
      <c r="A2783" s="672" t="s">
        <v>220</v>
      </c>
      <c r="B2783" s="672" t="s">
        <v>5430</v>
      </c>
      <c r="C2783" s="672" t="s">
        <v>6821</v>
      </c>
      <c r="D2783" s="672" t="s">
        <v>8276</v>
      </c>
      <c r="E2783" s="745"/>
      <c r="F2783" s="732">
        <v>1</v>
      </c>
      <c r="G2783" s="737">
        <v>25.14</v>
      </c>
      <c r="H2783" s="685">
        <v>25.14</v>
      </c>
      <c r="I2783" s="672" t="s">
        <v>9218</v>
      </c>
      <c r="J2783" s="672" t="s">
        <v>9219</v>
      </c>
      <c r="K2783" s="672" t="s">
        <v>2354</v>
      </c>
      <c r="L2783" s="672" t="s">
        <v>9219</v>
      </c>
    </row>
    <row r="2784" spans="1:12" x14ac:dyDescent="0.2">
      <c r="A2784" s="672" t="s">
        <v>220</v>
      </c>
      <c r="B2784" s="672" t="s">
        <v>5430</v>
      </c>
      <c r="C2784" s="672" t="s">
        <v>8277</v>
      </c>
      <c r="D2784" s="672" t="s">
        <v>8278</v>
      </c>
      <c r="E2784" s="745"/>
      <c r="F2784" s="732">
        <v>1</v>
      </c>
      <c r="G2784" s="737">
        <v>0</v>
      </c>
      <c r="H2784" s="685">
        <v>0</v>
      </c>
      <c r="I2784" s="672" t="s">
        <v>9218</v>
      </c>
      <c r="J2784" s="672" t="s">
        <v>9219</v>
      </c>
      <c r="K2784" s="672" t="s">
        <v>2354</v>
      </c>
      <c r="L2784" s="672" t="s">
        <v>9219</v>
      </c>
    </row>
    <row r="2785" spans="1:12" x14ac:dyDescent="0.2">
      <c r="A2785" s="672" t="s">
        <v>220</v>
      </c>
      <c r="B2785" s="672" t="s">
        <v>5430</v>
      </c>
      <c r="C2785" s="672" t="s">
        <v>8279</v>
      </c>
      <c r="D2785" s="672" t="s">
        <v>8280</v>
      </c>
      <c r="E2785" s="745"/>
      <c r="F2785" s="732">
        <v>1</v>
      </c>
      <c r="G2785" s="737">
        <v>0</v>
      </c>
      <c r="H2785" s="685">
        <v>0</v>
      </c>
      <c r="I2785" s="672" t="s">
        <v>9218</v>
      </c>
      <c r="J2785" s="672" t="s">
        <v>9219</v>
      </c>
      <c r="K2785" s="672" t="s">
        <v>2354</v>
      </c>
      <c r="L2785" s="672" t="s">
        <v>9219</v>
      </c>
    </row>
    <row r="2786" spans="1:12" x14ac:dyDescent="0.2">
      <c r="A2786" s="672" t="s">
        <v>220</v>
      </c>
      <c r="B2786" s="672" t="s">
        <v>5430</v>
      </c>
      <c r="C2786" s="672" t="s">
        <v>8281</v>
      </c>
      <c r="D2786" s="672" t="s">
        <v>8282</v>
      </c>
      <c r="E2786" s="745"/>
      <c r="F2786" s="732">
        <v>1</v>
      </c>
      <c r="G2786" s="737">
        <v>0</v>
      </c>
      <c r="H2786" s="685">
        <v>0</v>
      </c>
      <c r="I2786" s="672" t="s">
        <v>9218</v>
      </c>
      <c r="J2786" s="672" t="s">
        <v>9219</v>
      </c>
      <c r="K2786" s="672" t="s">
        <v>2354</v>
      </c>
      <c r="L2786" s="672" t="s">
        <v>9219</v>
      </c>
    </row>
    <row r="2787" spans="1:12" x14ac:dyDescent="0.2">
      <c r="A2787" s="672" t="s">
        <v>220</v>
      </c>
      <c r="B2787" s="672" t="s">
        <v>5430</v>
      </c>
      <c r="C2787" s="672" t="s">
        <v>6829</v>
      </c>
      <c r="D2787" s="672" t="s">
        <v>8283</v>
      </c>
      <c r="E2787" s="745"/>
      <c r="F2787" s="732">
        <v>2</v>
      </c>
      <c r="G2787" s="737">
        <v>55.569000000000003</v>
      </c>
      <c r="H2787" s="685">
        <v>111.13800000000001</v>
      </c>
      <c r="I2787" s="672" t="s">
        <v>9218</v>
      </c>
      <c r="J2787" s="672" t="s">
        <v>9219</v>
      </c>
      <c r="K2787" s="672" t="s">
        <v>2354</v>
      </c>
      <c r="L2787" s="672" t="s">
        <v>9219</v>
      </c>
    </row>
    <row r="2788" spans="1:12" x14ac:dyDescent="0.2">
      <c r="A2788" s="672" t="s">
        <v>220</v>
      </c>
      <c r="B2788" s="672" t="s">
        <v>5430</v>
      </c>
      <c r="C2788" s="672" t="s">
        <v>4133</v>
      </c>
      <c r="D2788" s="672" t="s">
        <v>8284</v>
      </c>
      <c r="E2788" s="745"/>
      <c r="F2788" s="732">
        <v>4</v>
      </c>
      <c r="G2788" s="737">
        <v>125.46</v>
      </c>
      <c r="H2788" s="685">
        <v>501.84</v>
      </c>
      <c r="I2788" s="672" t="s">
        <v>9218</v>
      </c>
      <c r="J2788" s="672" t="s">
        <v>9219</v>
      </c>
      <c r="K2788" s="672" t="s">
        <v>2354</v>
      </c>
      <c r="L2788" s="672" t="s">
        <v>9219</v>
      </c>
    </row>
    <row r="2789" spans="1:12" x14ac:dyDescent="0.2">
      <c r="A2789" s="672" t="s">
        <v>220</v>
      </c>
      <c r="B2789" s="672" t="s">
        <v>5430</v>
      </c>
      <c r="C2789" s="672" t="s">
        <v>8285</v>
      </c>
      <c r="D2789" s="672" t="s">
        <v>8286</v>
      </c>
      <c r="E2789" s="745"/>
      <c r="F2789" s="732">
        <v>2</v>
      </c>
      <c r="G2789" s="737">
        <v>274.899</v>
      </c>
      <c r="H2789" s="685">
        <v>549.798</v>
      </c>
      <c r="I2789" s="672" t="s">
        <v>9218</v>
      </c>
      <c r="J2789" s="672" t="s">
        <v>9219</v>
      </c>
      <c r="K2789" s="672" t="s">
        <v>2354</v>
      </c>
      <c r="L2789" s="672" t="s">
        <v>9219</v>
      </c>
    </row>
    <row r="2790" spans="1:12" x14ac:dyDescent="0.2">
      <c r="A2790" s="672" t="s">
        <v>220</v>
      </c>
      <c r="B2790" s="672" t="s">
        <v>5430</v>
      </c>
      <c r="C2790" s="672" t="s">
        <v>6833</v>
      </c>
      <c r="D2790" s="672" t="s">
        <v>8287</v>
      </c>
      <c r="E2790" s="745"/>
      <c r="F2790" s="732">
        <v>8</v>
      </c>
      <c r="G2790" s="737">
        <v>11.853999999999999</v>
      </c>
      <c r="H2790" s="685">
        <v>94.831999999999994</v>
      </c>
      <c r="I2790" s="672" t="s">
        <v>9218</v>
      </c>
      <c r="J2790" s="672" t="s">
        <v>9219</v>
      </c>
      <c r="K2790" s="672" t="s">
        <v>2354</v>
      </c>
      <c r="L2790" s="672" t="s">
        <v>9219</v>
      </c>
    </row>
    <row r="2791" spans="1:12" x14ac:dyDescent="0.2">
      <c r="A2791" s="672" t="s">
        <v>220</v>
      </c>
      <c r="B2791" s="672" t="s">
        <v>5430</v>
      </c>
      <c r="C2791" s="672" t="s">
        <v>6835</v>
      </c>
      <c r="D2791" s="672" t="s">
        <v>8288</v>
      </c>
      <c r="E2791" s="745"/>
      <c r="F2791" s="732">
        <v>1</v>
      </c>
      <c r="G2791" s="737">
        <v>9.4499999999999993</v>
      </c>
      <c r="H2791" s="685">
        <v>9.4499999999999993</v>
      </c>
      <c r="I2791" s="672" t="s">
        <v>9218</v>
      </c>
      <c r="J2791" s="672" t="s">
        <v>9219</v>
      </c>
      <c r="K2791" s="672" t="s">
        <v>2354</v>
      </c>
      <c r="L2791" s="672" t="s">
        <v>9219</v>
      </c>
    </row>
    <row r="2792" spans="1:12" x14ac:dyDescent="0.2">
      <c r="A2792" s="672" t="s">
        <v>220</v>
      </c>
      <c r="B2792" s="672" t="s">
        <v>5430</v>
      </c>
      <c r="C2792" s="672" t="s">
        <v>6837</v>
      </c>
      <c r="D2792" s="672" t="s">
        <v>8289</v>
      </c>
      <c r="E2792" s="745"/>
      <c r="F2792" s="732">
        <v>1</v>
      </c>
      <c r="G2792" s="737">
        <v>12.6</v>
      </c>
      <c r="H2792" s="685">
        <v>12.6</v>
      </c>
      <c r="I2792" s="672" t="s">
        <v>9218</v>
      </c>
      <c r="J2792" s="672" t="s">
        <v>9219</v>
      </c>
      <c r="K2792" s="672" t="s">
        <v>2354</v>
      </c>
      <c r="L2792" s="672" t="s">
        <v>9219</v>
      </c>
    </row>
    <row r="2793" spans="1:12" x14ac:dyDescent="0.2">
      <c r="A2793" s="672" t="s">
        <v>220</v>
      </c>
      <c r="B2793" s="672" t="s">
        <v>5430</v>
      </c>
      <c r="C2793" s="672" t="s">
        <v>6839</v>
      </c>
      <c r="D2793" s="672" t="s">
        <v>8290</v>
      </c>
      <c r="E2793" s="745"/>
      <c r="F2793" s="732">
        <v>1</v>
      </c>
      <c r="G2793" s="737">
        <v>14.4</v>
      </c>
      <c r="H2793" s="685">
        <v>14.4</v>
      </c>
      <c r="I2793" s="672" t="s">
        <v>9218</v>
      </c>
      <c r="J2793" s="672" t="s">
        <v>9219</v>
      </c>
      <c r="K2793" s="672" t="s">
        <v>2354</v>
      </c>
      <c r="L2793" s="672" t="s">
        <v>9219</v>
      </c>
    </row>
    <row r="2794" spans="1:12" x14ac:dyDescent="0.2">
      <c r="A2794" s="672" t="s">
        <v>220</v>
      </c>
      <c r="B2794" s="672" t="s">
        <v>5430</v>
      </c>
      <c r="C2794" s="672" t="s">
        <v>6841</v>
      </c>
      <c r="D2794" s="672" t="s">
        <v>8291</v>
      </c>
      <c r="E2794" s="745"/>
      <c r="F2794" s="732">
        <v>10</v>
      </c>
      <c r="G2794" s="737">
        <v>7.2140000000000004</v>
      </c>
      <c r="H2794" s="685">
        <v>72.14</v>
      </c>
      <c r="I2794" s="672" t="s">
        <v>9218</v>
      </c>
      <c r="J2794" s="672" t="s">
        <v>9219</v>
      </c>
      <c r="K2794" s="672" t="s">
        <v>2354</v>
      </c>
      <c r="L2794" s="672" t="s">
        <v>9219</v>
      </c>
    </row>
    <row r="2795" spans="1:12" x14ac:dyDescent="0.2">
      <c r="A2795" s="672" t="s">
        <v>220</v>
      </c>
      <c r="B2795" s="672" t="s">
        <v>5430</v>
      </c>
      <c r="C2795" s="672" t="s">
        <v>6843</v>
      </c>
      <c r="D2795" s="672" t="s">
        <v>8292</v>
      </c>
      <c r="E2795" s="745"/>
      <c r="F2795" s="732">
        <v>7</v>
      </c>
      <c r="G2795" s="737">
        <v>6.1369999999999996</v>
      </c>
      <c r="H2795" s="685">
        <v>42.958999999999996</v>
      </c>
      <c r="I2795" s="672" t="s">
        <v>9218</v>
      </c>
      <c r="J2795" s="672" t="s">
        <v>9219</v>
      </c>
      <c r="K2795" s="672" t="s">
        <v>2354</v>
      </c>
      <c r="L2795" s="672" t="s">
        <v>9219</v>
      </c>
    </row>
    <row r="2796" spans="1:12" x14ac:dyDescent="0.2">
      <c r="A2796" s="672" t="s">
        <v>220</v>
      </c>
      <c r="B2796" s="672" t="s">
        <v>5430</v>
      </c>
      <c r="C2796" s="672" t="s">
        <v>4141</v>
      </c>
      <c r="D2796" s="672" t="s">
        <v>8293</v>
      </c>
      <c r="E2796" s="745"/>
      <c r="F2796" s="732">
        <v>6</v>
      </c>
      <c r="G2796" s="737">
        <v>0.47970000000000007</v>
      </c>
      <c r="H2796" s="685">
        <v>2.8782000000000005</v>
      </c>
      <c r="I2796" s="672" t="s">
        <v>9218</v>
      </c>
      <c r="J2796" s="672" t="s">
        <v>9219</v>
      </c>
      <c r="K2796" s="672" t="s">
        <v>2354</v>
      </c>
      <c r="L2796" s="672" t="s">
        <v>9219</v>
      </c>
    </row>
    <row r="2797" spans="1:12" x14ac:dyDescent="0.2">
      <c r="A2797" s="672" t="s">
        <v>220</v>
      </c>
      <c r="B2797" s="672" t="s">
        <v>5430</v>
      </c>
      <c r="C2797" s="672" t="s">
        <v>4143</v>
      </c>
      <c r="D2797" s="672" t="s">
        <v>8294</v>
      </c>
      <c r="E2797" s="745"/>
      <c r="F2797" s="732">
        <v>2</v>
      </c>
      <c r="G2797" s="737">
        <v>5</v>
      </c>
      <c r="H2797" s="685">
        <v>10</v>
      </c>
      <c r="I2797" s="672" t="s">
        <v>9218</v>
      </c>
      <c r="J2797" s="672" t="s">
        <v>9219</v>
      </c>
      <c r="K2797" s="672" t="s">
        <v>2354</v>
      </c>
      <c r="L2797" s="672" t="s">
        <v>9219</v>
      </c>
    </row>
    <row r="2798" spans="1:12" x14ac:dyDescent="0.2">
      <c r="A2798" s="672" t="s">
        <v>220</v>
      </c>
      <c r="B2798" s="672" t="s">
        <v>5430</v>
      </c>
      <c r="C2798" s="672" t="s">
        <v>4145</v>
      </c>
      <c r="D2798" s="672" t="s">
        <v>8295</v>
      </c>
      <c r="E2798" s="745"/>
      <c r="F2798" s="732">
        <v>9</v>
      </c>
      <c r="G2798" s="737">
        <v>0.26371428571428573</v>
      </c>
      <c r="H2798" s="685">
        <v>2.3734285714285717</v>
      </c>
      <c r="I2798" s="672" t="s">
        <v>9218</v>
      </c>
      <c r="J2798" s="672" t="s">
        <v>9219</v>
      </c>
      <c r="K2798" s="672" t="s">
        <v>2354</v>
      </c>
      <c r="L2798" s="672" t="s">
        <v>9219</v>
      </c>
    </row>
    <row r="2799" spans="1:12" x14ac:dyDescent="0.2">
      <c r="A2799" s="672" t="s">
        <v>220</v>
      </c>
      <c r="B2799" s="672" t="s">
        <v>5430</v>
      </c>
      <c r="C2799" s="672" t="s">
        <v>4147</v>
      </c>
      <c r="D2799" s="672" t="s">
        <v>8296</v>
      </c>
      <c r="E2799" s="745"/>
      <c r="F2799" s="732">
        <v>6</v>
      </c>
      <c r="G2799" s="737">
        <v>1.067278911564626</v>
      </c>
      <c r="H2799" s="685">
        <v>6.4036734693877557</v>
      </c>
      <c r="I2799" s="672" t="s">
        <v>9218</v>
      </c>
      <c r="J2799" s="672" t="s">
        <v>9219</v>
      </c>
      <c r="K2799" s="672" t="s">
        <v>2354</v>
      </c>
      <c r="L2799" s="672" t="s">
        <v>9219</v>
      </c>
    </row>
    <row r="2800" spans="1:12" x14ac:dyDescent="0.2">
      <c r="A2800" s="672" t="s">
        <v>220</v>
      </c>
      <c r="B2800" s="672" t="s">
        <v>5430</v>
      </c>
      <c r="C2800" s="672" t="s">
        <v>6845</v>
      </c>
      <c r="D2800" s="672" t="s">
        <v>8297</v>
      </c>
      <c r="E2800" s="745"/>
      <c r="F2800" s="732">
        <v>10</v>
      </c>
      <c r="G2800" s="737">
        <v>1.116077922077922</v>
      </c>
      <c r="H2800" s="685">
        <v>11.16077922077922</v>
      </c>
      <c r="I2800" s="672" t="s">
        <v>9218</v>
      </c>
      <c r="J2800" s="672" t="s">
        <v>9219</v>
      </c>
      <c r="K2800" s="672" t="s">
        <v>2354</v>
      </c>
      <c r="L2800" s="672" t="s">
        <v>9219</v>
      </c>
    </row>
    <row r="2801" spans="1:12" x14ac:dyDescent="0.2">
      <c r="A2801" s="672" t="s">
        <v>220</v>
      </c>
      <c r="B2801" s="672" t="s">
        <v>5430</v>
      </c>
      <c r="C2801" s="672" t="s">
        <v>6846</v>
      </c>
      <c r="D2801" s="672" t="s">
        <v>8298</v>
      </c>
      <c r="E2801" s="745"/>
      <c r="F2801" s="732">
        <v>12</v>
      </c>
      <c r="G2801" s="737">
        <v>15.270860000000003</v>
      </c>
      <c r="H2801" s="685">
        <v>183.25032000000004</v>
      </c>
      <c r="I2801" s="672" t="s">
        <v>9218</v>
      </c>
      <c r="J2801" s="672" t="s">
        <v>9219</v>
      </c>
      <c r="K2801" s="672" t="s">
        <v>2354</v>
      </c>
      <c r="L2801" s="672" t="s">
        <v>9219</v>
      </c>
    </row>
    <row r="2802" spans="1:12" x14ac:dyDescent="0.2">
      <c r="A2802" s="672" t="s">
        <v>220</v>
      </c>
      <c r="B2802" s="672" t="s">
        <v>5430</v>
      </c>
      <c r="C2802" s="672" t="s">
        <v>6847</v>
      </c>
      <c r="D2802" s="672" t="s">
        <v>8299</v>
      </c>
      <c r="E2802" s="745"/>
      <c r="F2802" s="732">
        <v>3</v>
      </c>
      <c r="G2802" s="737">
        <v>1.72</v>
      </c>
      <c r="H2802" s="685">
        <v>5.16</v>
      </c>
      <c r="I2802" s="672" t="s">
        <v>9218</v>
      </c>
      <c r="J2802" s="672" t="s">
        <v>9219</v>
      </c>
      <c r="K2802" s="672" t="s">
        <v>2354</v>
      </c>
      <c r="L2802" s="672" t="s">
        <v>9219</v>
      </c>
    </row>
    <row r="2803" spans="1:12" x14ac:dyDescent="0.2">
      <c r="A2803" s="672" t="s">
        <v>220</v>
      </c>
      <c r="B2803" s="672" t="s">
        <v>5430</v>
      </c>
      <c r="C2803" s="672" t="s">
        <v>6849</v>
      </c>
      <c r="D2803" s="672" t="s">
        <v>8300</v>
      </c>
      <c r="E2803" s="745"/>
      <c r="F2803" s="732">
        <v>22</v>
      </c>
      <c r="G2803" s="737">
        <v>0.98199999999999998</v>
      </c>
      <c r="H2803" s="685">
        <v>21.603999999999999</v>
      </c>
      <c r="I2803" s="672" t="s">
        <v>9218</v>
      </c>
      <c r="J2803" s="672" t="s">
        <v>9219</v>
      </c>
      <c r="K2803" s="672" t="s">
        <v>2354</v>
      </c>
      <c r="L2803" s="672" t="s">
        <v>9219</v>
      </c>
    </row>
    <row r="2804" spans="1:12" x14ac:dyDescent="0.2">
      <c r="A2804" s="672" t="s">
        <v>220</v>
      </c>
      <c r="B2804" s="672" t="s">
        <v>5430</v>
      </c>
      <c r="C2804" s="672" t="s">
        <v>6851</v>
      </c>
      <c r="D2804" s="672" t="s">
        <v>8301</v>
      </c>
      <c r="E2804" s="745"/>
      <c r="F2804" s="732">
        <v>2</v>
      </c>
      <c r="G2804" s="737">
        <v>0.75</v>
      </c>
      <c r="H2804" s="685">
        <v>1.5</v>
      </c>
      <c r="I2804" s="672" t="s">
        <v>9218</v>
      </c>
      <c r="J2804" s="672" t="s">
        <v>9219</v>
      </c>
      <c r="K2804" s="672" t="s">
        <v>2354</v>
      </c>
      <c r="L2804" s="672" t="s">
        <v>9219</v>
      </c>
    </row>
    <row r="2805" spans="1:12" x14ac:dyDescent="0.2">
      <c r="A2805" s="672" t="s">
        <v>220</v>
      </c>
      <c r="B2805" s="672" t="s">
        <v>5430</v>
      </c>
      <c r="C2805" s="672" t="s">
        <v>4155</v>
      </c>
      <c r="D2805" s="672" t="s">
        <v>8302</v>
      </c>
      <c r="E2805" s="745"/>
      <c r="F2805" s="732">
        <v>12</v>
      </c>
      <c r="G2805" s="737">
        <v>1.2300627272727274</v>
      </c>
      <c r="H2805" s="685">
        <v>14.760752727272727</v>
      </c>
      <c r="I2805" s="672" t="s">
        <v>9218</v>
      </c>
      <c r="J2805" s="672" t="s">
        <v>9219</v>
      </c>
      <c r="K2805" s="672" t="s">
        <v>2354</v>
      </c>
      <c r="L2805" s="672" t="s">
        <v>9219</v>
      </c>
    </row>
    <row r="2806" spans="1:12" x14ac:dyDescent="0.2">
      <c r="A2806" s="672" t="s">
        <v>220</v>
      </c>
      <c r="B2806" s="672" t="s">
        <v>5430</v>
      </c>
      <c r="C2806" s="672" t="s">
        <v>6853</v>
      </c>
      <c r="D2806" s="672" t="s">
        <v>6854</v>
      </c>
      <c r="E2806" s="745"/>
      <c r="F2806" s="732">
        <v>21</v>
      </c>
      <c r="G2806" s="737">
        <v>1.72</v>
      </c>
      <c r="H2806" s="685">
        <v>36.119999999999997</v>
      </c>
      <c r="I2806" s="672" t="s">
        <v>9218</v>
      </c>
      <c r="J2806" s="672" t="s">
        <v>9219</v>
      </c>
      <c r="K2806" s="672" t="s">
        <v>2354</v>
      </c>
      <c r="L2806" s="672" t="s">
        <v>9219</v>
      </c>
    </row>
    <row r="2807" spans="1:12" x14ac:dyDescent="0.2">
      <c r="A2807" s="672" t="s">
        <v>220</v>
      </c>
      <c r="B2807" s="672" t="s">
        <v>5430</v>
      </c>
      <c r="C2807" s="672" t="s">
        <v>6855</v>
      </c>
      <c r="D2807" s="672" t="s">
        <v>6856</v>
      </c>
      <c r="E2807" s="745"/>
      <c r="F2807" s="732">
        <v>10</v>
      </c>
      <c r="G2807" s="737">
        <v>0.75</v>
      </c>
      <c r="H2807" s="685">
        <v>7.5</v>
      </c>
      <c r="I2807" s="672" t="s">
        <v>9218</v>
      </c>
      <c r="J2807" s="672" t="s">
        <v>9219</v>
      </c>
      <c r="K2807" s="672" t="s">
        <v>2354</v>
      </c>
      <c r="L2807" s="672" t="s">
        <v>9219</v>
      </c>
    </row>
    <row r="2808" spans="1:12" x14ac:dyDescent="0.2">
      <c r="A2808" s="672" t="s">
        <v>220</v>
      </c>
      <c r="B2808" s="672" t="s">
        <v>5430</v>
      </c>
      <c r="C2808" s="672" t="s">
        <v>6857</v>
      </c>
      <c r="D2808" s="672" t="s">
        <v>6858</v>
      </c>
      <c r="E2808" s="745"/>
      <c r="F2808" s="732">
        <v>11</v>
      </c>
      <c r="G2808" s="737">
        <v>1.72</v>
      </c>
      <c r="H2808" s="685">
        <v>18.919999999999998</v>
      </c>
      <c r="I2808" s="672" t="s">
        <v>9218</v>
      </c>
      <c r="J2808" s="672" t="s">
        <v>9219</v>
      </c>
      <c r="K2808" s="672" t="s">
        <v>2354</v>
      </c>
      <c r="L2808" s="672" t="s">
        <v>9219</v>
      </c>
    </row>
    <row r="2809" spans="1:12" x14ac:dyDescent="0.2">
      <c r="A2809" s="672" t="s">
        <v>220</v>
      </c>
      <c r="B2809" s="672" t="s">
        <v>5430</v>
      </c>
      <c r="C2809" s="672" t="s">
        <v>6859</v>
      </c>
      <c r="D2809" s="672" t="s">
        <v>6860</v>
      </c>
      <c r="E2809" s="745"/>
      <c r="F2809" s="732">
        <v>5</v>
      </c>
      <c r="G2809" s="737">
        <v>0.19800000000000001</v>
      </c>
      <c r="H2809" s="685">
        <v>0.99</v>
      </c>
      <c r="I2809" s="672" t="s">
        <v>9218</v>
      </c>
      <c r="J2809" s="672" t="s">
        <v>9219</v>
      </c>
      <c r="K2809" s="672" t="s">
        <v>2354</v>
      </c>
      <c r="L2809" s="672" t="s">
        <v>9219</v>
      </c>
    </row>
    <row r="2810" spans="1:12" x14ac:dyDescent="0.2">
      <c r="A2810" s="672" t="s">
        <v>220</v>
      </c>
      <c r="B2810" s="672" t="s">
        <v>5430</v>
      </c>
      <c r="C2810" s="672" t="s">
        <v>8303</v>
      </c>
      <c r="D2810" s="672" t="s">
        <v>8304</v>
      </c>
      <c r="E2810" s="745"/>
      <c r="F2810" s="732">
        <v>1</v>
      </c>
      <c r="G2810" s="737">
        <v>8.5500000000000007</v>
      </c>
      <c r="H2810" s="685">
        <v>8.5500000000000007</v>
      </c>
      <c r="I2810" s="672" t="s">
        <v>9218</v>
      </c>
      <c r="J2810" s="672" t="s">
        <v>9219</v>
      </c>
      <c r="K2810" s="672" t="s">
        <v>2354</v>
      </c>
      <c r="L2810" s="672" t="s">
        <v>9219</v>
      </c>
    </row>
    <row r="2811" spans="1:12" x14ac:dyDescent="0.2">
      <c r="A2811" s="672" t="s">
        <v>220</v>
      </c>
      <c r="B2811" s="672" t="s">
        <v>5430</v>
      </c>
      <c r="C2811" s="672" t="s">
        <v>4175</v>
      </c>
      <c r="D2811" s="672" t="s">
        <v>4176</v>
      </c>
      <c r="E2811" s="745"/>
      <c r="F2811" s="732">
        <v>1</v>
      </c>
      <c r="G2811" s="737">
        <v>1.9125000000000001</v>
      </c>
      <c r="H2811" s="685">
        <v>1.9125000000000001</v>
      </c>
      <c r="I2811" s="672" t="s">
        <v>9218</v>
      </c>
      <c r="J2811" s="672" t="s">
        <v>9219</v>
      </c>
      <c r="K2811" s="672" t="s">
        <v>2354</v>
      </c>
      <c r="L2811" s="672" t="s">
        <v>9219</v>
      </c>
    </row>
    <row r="2812" spans="1:12" x14ac:dyDescent="0.2">
      <c r="A2812" s="672" t="s">
        <v>220</v>
      </c>
      <c r="B2812" s="672" t="s">
        <v>5430</v>
      </c>
      <c r="C2812" s="672" t="s">
        <v>4179</v>
      </c>
      <c r="D2812" s="672" t="s">
        <v>8305</v>
      </c>
      <c r="E2812" s="745"/>
      <c r="F2812" s="732">
        <v>14</v>
      </c>
      <c r="G2812" s="737">
        <v>0.2475</v>
      </c>
      <c r="H2812" s="685">
        <v>3.4649999999999999</v>
      </c>
      <c r="I2812" s="672" t="s">
        <v>9218</v>
      </c>
      <c r="J2812" s="672" t="s">
        <v>9219</v>
      </c>
      <c r="K2812" s="672" t="s">
        <v>2354</v>
      </c>
      <c r="L2812" s="672" t="s">
        <v>9219</v>
      </c>
    </row>
    <row r="2813" spans="1:12" x14ac:dyDescent="0.2">
      <c r="A2813" s="672" t="s">
        <v>220</v>
      </c>
      <c r="B2813" s="672" t="s">
        <v>5430</v>
      </c>
      <c r="C2813" s="672" t="s">
        <v>4181</v>
      </c>
      <c r="D2813" s="672" t="s">
        <v>8306</v>
      </c>
      <c r="E2813" s="745"/>
      <c r="F2813" s="732">
        <v>12</v>
      </c>
      <c r="G2813" s="737">
        <v>0.5214545454545455</v>
      </c>
      <c r="H2813" s="685">
        <v>6.2574545454545465</v>
      </c>
      <c r="I2813" s="672" t="s">
        <v>9218</v>
      </c>
      <c r="J2813" s="672" t="s">
        <v>9219</v>
      </c>
      <c r="K2813" s="672" t="s">
        <v>2354</v>
      </c>
      <c r="L2813" s="672" t="s">
        <v>9219</v>
      </c>
    </row>
    <row r="2814" spans="1:12" x14ac:dyDescent="0.2">
      <c r="A2814" s="672" t="s">
        <v>220</v>
      </c>
      <c r="B2814" s="672" t="s">
        <v>5430</v>
      </c>
      <c r="C2814" s="672" t="s">
        <v>4187</v>
      </c>
      <c r="D2814" s="672" t="s">
        <v>8308</v>
      </c>
      <c r="E2814" s="745"/>
      <c r="F2814" s="732">
        <v>12</v>
      </c>
      <c r="G2814" s="737">
        <v>0.52025434782608682</v>
      </c>
      <c r="H2814" s="685">
        <v>6.2430521739130418</v>
      </c>
      <c r="I2814" s="672" t="s">
        <v>9218</v>
      </c>
      <c r="J2814" s="672" t="s">
        <v>9219</v>
      </c>
      <c r="K2814" s="672" t="s">
        <v>2354</v>
      </c>
      <c r="L2814" s="672" t="s">
        <v>9219</v>
      </c>
    </row>
    <row r="2815" spans="1:12" x14ac:dyDescent="0.2">
      <c r="A2815" s="672" t="s">
        <v>220</v>
      </c>
      <c r="B2815" s="672" t="s">
        <v>5430</v>
      </c>
      <c r="C2815" s="672" t="s">
        <v>4189</v>
      </c>
      <c r="D2815" s="672" t="s">
        <v>4190</v>
      </c>
      <c r="E2815" s="745"/>
      <c r="F2815" s="732">
        <v>11</v>
      </c>
      <c r="G2815" s="737">
        <v>0.184</v>
      </c>
      <c r="H2815" s="685">
        <v>2.024</v>
      </c>
      <c r="I2815" s="672" t="s">
        <v>9218</v>
      </c>
      <c r="J2815" s="672" t="s">
        <v>9219</v>
      </c>
      <c r="K2815" s="672" t="s">
        <v>2354</v>
      </c>
      <c r="L2815" s="672" t="s">
        <v>9219</v>
      </c>
    </row>
    <row r="2816" spans="1:12" x14ac:dyDescent="0.2">
      <c r="A2816" s="672" t="s">
        <v>220</v>
      </c>
      <c r="B2816" s="672" t="s">
        <v>5430</v>
      </c>
      <c r="C2816" s="672" t="s">
        <v>6870</v>
      </c>
      <c r="D2816" s="672" t="s">
        <v>8309</v>
      </c>
      <c r="E2816" s="745"/>
      <c r="F2816" s="732">
        <v>2</v>
      </c>
      <c r="G2816" s="737">
        <v>44.555</v>
      </c>
      <c r="H2816" s="685">
        <v>89.11</v>
      </c>
      <c r="I2816" s="672" t="s">
        <v>9218</v>
      </c>
      <c r="J2816" s="672" t="s">
        <v>9219</v>
      </c>
      <c r="K2816" s="672" t="s">
        <v>2354</v>
      </c>
      <c r="L2816" s="672" t="s">
        <v>9219</v>
      </c>
    </row>
    <row r="2817" spans="1:12" x14ac:dyDescent="0.2">
      <c r="A2817" s="672" t="s">
        <v>220</v>
      </c>
      <c r="B2817" s="672" t="s">
        <v>5430</v>
      </c>
      <c r="C2817" s="672" t="s">
        <v>8310</v>
      </c>
      <c r="D2817" s="672" t="s">
        <v>8311</v>
      </c>
      <c r="E2817" s="745"/>
      <c r="F2817" s="732">
        <v>1</v>
      </c>
      <c r="G2817" s="737">
        <v>421.01499999999999</v>
      </c>
      <c r="H2817" s="685">
        <v>421.01499999999999</v>
      </c>
      <c r="I2817" s="672" t="s">
        <v>9218</v>
      </c>
      <c r="J2817" s="672" t="s">
        <v>9219</v>
      </c>
      <c r="K2817" s="672" t="s">
        <v>2354</v>
      </c>
      <c r="L2817" s="672" t="s">
        <v>9219</v>
      </c>
    </row>
    <row r="2818" spans="1:12" x14ac:dyDescent="0.2">
      <c r="A2818" s="672" t="s">
        <v>220</v>
      </c>
      <c r="B2818" s="672" t="s">
        <v>5430</v>
      </c>
      <c r="C2818" s="672" t="s">
        <v>6883</v>
      </c>
      <c r="D2818" s="672" t="s">
        <v>8320</v>
      </c>
      <c r="E2818" s="745"/>
      <c r="F2818" s="732">
        <v>2</v>
      </c>
      <c r="G2818" s="737">
        <v>88.55</v>
      </c>
      <c r="H2818" s="685">
        <v>177.1</v>
      </c>
      <c r="I2818" s="672" t="s">
        <v>9218</v>
      </c>
      <c r="J2818" s="672" t="s">
        <v>9219</v>
      </c>
      <c r="K2818" s="672" t="s">
        <v>2354</v>
      </c>
      <c r="L2818" s="672" t="s">
        <v>9219</v>
      </c>
    </row>
    <row r="2819" spans="1:12" x14ac:dyDescent="0.2">
      <c r="A2819" s="672" t="s">
        <v>220</v>
      </c>
      <c r="B2819" s="672" t="s">
        <v>5430</v>
      </c>
      <c r="C2819" s="672" t="s">
        <v>6887</v>
      </c>
      <c r="D2819" s="672" t="s">
        <v>8321</v>
      </c>
      <c r="E2819" s="745"/>
      <c r="F2819" s="732">
        <v>4</v>
      </c>
      <c r="G2819" s="737">
        <v>10.228999999999999</v>
      </c>
      <c r="H2819" s="685">
        <v>40.915999999999997</v>
      </c>
      <c r="I2819" s="672" t="s">
        <v>9218</v>
      </c>
      <c r="J2819" s="672" t="s">
        <v>9219</v>
      </c>
      <c r="K2819" s="672" t="s">
        <v>2354</v>
      </c>
      <c r="L2819" s="672" t="s">
        <v>9219</v>
      </c>
    </row>
    <row r="2820" spans="1:12" x14ac:dyDescent="0.2">
      <c r="A2820" s="672" t="s">
        <v>220</v>
      </c>
      <c r="B2820" s="672" t="s">
        <v>5430</v>
      </c>
      <c r="C2820" s="672" t="s">
        <v>6891</v>
      </c>
      <c r="D2820" s="672" t="s">
        <v>8323</v>
      </c>
      <c r="E2820" s="745"/>
      <c r="F2820" s="732">
        <v>3</v>
      </c>
      <c r="G2820" s="737">
        <v>50.32</v>
      </c>
      <c r="H2820" s="685">
        <v>150.96</v>
      </c>
      <c r="I2820" s="672" t="s">
        <v>9218</v>
      </c>
      <c r="J2820" s="672" t="s">
        <v>9219</v>
      </c>
      <c r="K2820" s="672" t="s">
        <v>2354</v>
      </c>
      <c r="L2820" s="672" t="s">
        <v>9219</v>
      </c>
    </row>
    <row r="2821" spans="1:12" x14ac:dyDescent="0.2">
      <c r="A2821" s="672" t="s">
        <v>220</v>
      </c>
      <c r="B2821" s="672" t="s">
        <v>5430</v>
      </c>
      <c r="C2821" s="672" t="s">
        <v>6893</v>
      </c>
      <c r="D2821" s="672" t="s">
        <v>8324</v>
      </c>
      <c r="E2821" s="745"/>
      <c r="F2821" s="732">
        <v>3</v>
      </c>
      <c r="G2821" s="737">
        <v>86.003</v>
      </c>
      <c r="H2821" s="685">
        <v>258.00900000000001</v>
      </c>
      <c r="I2821" s="672" t="s">
        <v>9218</v>
      </c>
      <c r="J2821" s="672" t="s">
        <v>9219</v>
      </c>
      <c r="K2821" s="672" t="s">
        <v>2354</v>
      </c>
      <c r="L2821" s="672" t="s">
        <v>9219</v>
      </c>
    </row>
    <row r="2822" spans="1:12" x14ac:dyDescent="0.2">
      <c r="A2822" s="672" t="s">
        <v>220</v>
      </c>
      <c r="B2822" s="672" t="s">
        <v>5430</v>
      </c>
      <c r="C2822" s="672" t="s">
        <v>6901</v>
      </c>
      <c r="D2822" s="672" t="s">
        <v>8328</v>
      </c>
      <c r="E2822" s="745"/>
      <c r="F2822" s="732">
        <v>2</v>
      </c>
      <c r="G2822" s="737">
        <v>300</v>
      </c>
      <c r="H2822" s="685">
        <v>600</v>
      </c>
      <c r="I2822" s="672" t="s">
        <v>9218</v>
      </c>
      <c r="J2822" s="672" t="s">
        <v>9219</v>
      </c>
      <c r="K2822" s="672" t="s">
        <v>2354</v>
      </c>
      <c r="L2822" s="672" t="s">
        <v>9219</v>
      </c>
    </row>
    <row r="2823" spans="1:12" x14ac:dyDescent="0.2">
      <c r="A2823" s="672" t="s">
        <v>220</v>
      </c>
      <c r="B2823" s="672" t="s">
        <v>5430</v>
      </c>
      <c r="C2823" s="672" t="s">
        <v>4295</v>
      </c>
      <c r="D2823" s="672" t="s">
        <v>8329</v>
      </c>
      <c r="E2823" s="745"/>
      <c r="F2823" s="732">
        <v>7</v>
      </c>
      <c r="G2823" s="737">
        <v>85.5</v>
      </c>
      <c r="H2823" s="685">
        <v>598.5</v>
      </c>
      <c r="I2823" s="672" t="s">
        <v>9218</v>
      </c>
      <c r="J2823" s="672" t="s">
        <v>9219</v>
      </c>
      <c r="K2823" s="672" t="s">
        <v>2354</v>
      </c>
      <c r="L2823" s="672" t="s">
        <v>9219</v>
      </c>
    </row>
    <row r="2824" spans="1:12" x14ac:dyDescent="0.2">
      <c r="A2824" s="672" t="s">
        <v>220</v>
      </c>
      <c r="B2824" s="672" t="s">
        <v>5430</v>
      </c>
      <c r="C2824" s="672" t="s">
        <v>4301</v>
      </c>
      <c r="D2824" s="672" t="s">
        <v>8331</v>
      </c>
      <c r="E2824" s="745"/>
      <c r="F2824" s="732">
        <v>4</v>
      </c>
      <c r="G2824" s="737">
        <v>162.44999999999999</v>
      </c>
      <c r="H2824" s="685">
        <v>649.79999999999995</v>
      </c>
      <c r="I2824" s="672" t="s">
        <v>9218</v>
      </c>
      <c r="J2824" s="672" t="s">
        <v>9219</v>
      </c>
      <c r="K2824" s="672" t="s">
        <v>2354</v>
      </c>
      <c r="L2824" s="672" t="s">
        <v>9219</v>
      </c>
    </row>
    <row r="2825" spans="1:12" x14ac:dyDescent="0.2">
      <c r="A2825" s="672" t="s">
        <v>220</v>
      </c>
      <c r="B2825" s="672" t="s">
        <v>5430</v>
      </c>
      <c r="C2825" s="672" t="s">
        <v>4303</v>
      </c>
      <c r="D2825" s="672" t="s">
        <v>8332</v>
      </c>
      <c r="E2825" s="745"/>
      <c r="F2825" s="732">
        <v>14</v>
      </c>
      <c r="G2825" s="737">
        <v>85.5</v>
      </c>
      <c r="H2825" s="685">
        <v>1197</v>
      </c>
      <c r="I2825" s="672" t="s">
        <v>9218</v>
      </c>
      <c r="J2825" s="672" t="s">
        <v>9219</v>
      </c>
      <c r="K2825" s="672" t="s">
        <v>2354</v>
      </c>
      <c r="L2825" s="672" t="s">
        <v>9219</v>
      </c>
    </row>
    <row r="2826" spans="1:12" x14ac:dyDescent="0.2">
      <c r="A2826" s="672" t="s">
        <v>220</v>
      </c>
      <c r="B2826" s="672" t="s">
        <v>5430</v>
      </c>
      <c r="C2826" s="672" t="s">
        <v>8333</v>
      </c>
      <c r="D2826" s="672" t="s">
        <v>8334</v>
      </c>
      <c r="E2826" s="745"/>
      <c r="F2826" s="732">
        <v>1</v>
      </c>
      <c r="G2826" s="737">
        <v>138.339</v>
      </c>
      <c r="H2826" s="685">
        <v>138.339</v>
      </c>
      <c r="I2826" s="672" t="s">
        <v>9218</v>
      </c>
      <c r="J2826" s="672" t="s">
        <v>9219</v>
      </c>
      <c r="K2826" s="672" t="s">
        <v>2354</v>
      </c>
      <c r="L2826" s="672" t="s">
        <v>9219</v>
      </c>
    </row>
    <row r="2827" spans="1:12" x14ac:dyDescent="0.2">
      <c r="A2827" s="672" t="s">
        <v>220</v>
      </c>
      <c r="B2827" s="672" t="s">
        <v>5430</v>
      </c>
      <c r="C2827" s="672" t="s">
        <v>6907</v>
      </c>
      <c r="D2827" s="672" t="s">
        <v>8335</v>
      </c>
      <c r="E2827" s="745"/>
      <c r="F2827" s="732">
        <v>4</v>
      </c>
      <c r="G2827" s="737">
        <v>203.059</v>
      </c>
      <c r="H2827" s="685">
        <v>812.23599999999999</v>
      </c>
      <c r="I2827" s="672" t="s">
        <v>9218</v>
      </c>
      <c r="J2827" s="672" t="s">
        <v>9219</v>
      </c>
      <c r="K2827" s="672" t="s">
        <v>2354</v>
      </c>
      <c r="L2827" s="672" t="s">
        <v>9219</v>
      </c>
    </row>
    <row r="2828" spans="1:12" x14ac:dyDescent="0.2">
      <c r="A2828" s="672" t="s">
        <v>220</v>
      </c>
      <c r="B2828" s="672" t="s">
        <v>5430</v>
      </c>
      <c r="C2828" s="672" t="s">
        <v>8336</v>
      </c>
      <c r="D2828" s="672" t="s">
        <v>8337</v>
      </c>
      <c r="E2828" s="745"/>
      <c r="F2828" s="732">
        <v>2</v>
      </c>
      <c r="G2828" s="737">
        <v>219.06</v>
      </c>
      <c r="H2828" s="685">
        <v>438.12</v>
      </c>
      <c r="I2828" s="672" t="s">
        <v>9218</v>
      </c>
      <c r="J2828" s="672" t="s">
        <v>9219</v>
      </c>
      <c r="K2828" s="672" t="s">
        <v>2354</v>
      </c>
      <c r="L2828" s="672" t="s">
        <v>9219</v>
      </c>
    </row>
    <row r="2829" spans="1:12" x14ac:dyDescent="0.2">
      <c r="A2829" s="672" t="s">
        <v>220</v>
      </c>
      <c r="B2829" s="672" t="s">
        <v>5430</v>
      </c>
      <c r="C2829" s="672" t="s">
        <v>6911</v>
      </c>
      <c r="D2829" s="672" t="s">
        <v>8338</v>
      </c>
      <c r="E2829" s="745"/>
      <c r="F2829" s="732">
        <v>4</v>
      </c>
      <c r="G2829" s="737">
        <v>108.461</v>
      </c>
      <c r="H2829" s="685">
        <v>433.84399999999999</v>
      </c>
      <c r="I2829" s="672" t="s">
        <v>9218</v>
      </c>
      <c r="J2829" s="672" t="s">
        <v>9219</v>
      </c>
      <c r="K2829" s="672" t="s">
        <v>2354</v>
      </c>
      <c r="L2829" s="672" t="s">
        <v>9219</v>
      </c>
    </row>
    <row r="2830" spans="1:12" x14ac:dyDescent="0.2">
      <c r="A2830" s="672" t="s">
        <v>220</v>
      </c>
      <c r="B2830" s="672" t="s">
        <v>5430</v>
      </c>
      <c r="C2830" s="672" t="s">
        <v>6913</v>
      </c>
      <c r="D2830" s="672" t="s">
        <v>8339</v>
      </c>
      <c r="E2830" s="745"/>
      <c r="F2830" s="732">
        <v>1</v>
      </c>
      <c r="G2830" s="737">
        <v>279.18</v>
      </c>
      <c r="H2830" s="685">
        <v>279.18</v>
      </c>
      <c r="I2830" s="672" t="s">
        <v>9218</v>
      </c>
      <c r="J2830" s="672" t="s">
        <v>9219</v>
      </c>
      <c r="K2830" s="672" t="s">
        <v>2354</v>
      </c>
      <c r="L2830" s="672" t="s">
        <v>9219</v>
      </c>
    </row>
    <row r="2831" spans="1:12" x14ac:dyDescent="0.2">
      <c r="A2831" s="672" t="s">
        <v>220</v>
      </c>
      <c r="B2831" s="672" t="s">
        <v>5430</v>
      </c>
      <c r="C2831" s="672" t="s">
        <v>6915</v>
      </c>
      <c r="D2831" s="672" t="s">
        <v>8340</v>
      </c>
      <c r="E2831" s="745"/>
      <c r="F2831" s="732">
        <v>1</v>
      </c>
      <c r="G2831" s="737">
        <v>279.18</v>
      </c>
      <c r="H2831" s="685">
        <v>279.18</v>
      </c>
      <c r="I2831" s="672" t="s">
        <v>9218</v>
      </c>
      <c r="J2831" s="672" t="s">
        <v>9219</v>
      </c>
      <c r="K2831" s="672" t="s">
        <v>2354</v>
      </c>
      <c r="L2831" s="672" t="s">
        <v>9219</v>
      </c>
    </row>
    <row r="2832" spans="1:12" x14ac:dyDescent="0.2">
      <c r="A2832" s="672" t="s">
        <v>220</v>
      </c>
      <c r="B2832" s="672" t="s">
        <v>5430</v>
      </c>
      <c r="C2832" s="672" t="s">
        <v>6917</v>
      </c>
      <c r="D2832" s="672" t="s">
        <v>8341</v>
      </c>
      <c r="E2832" s="745"/>
      <c r="F2832" s="732">
        <v>4</v>
      </c>
      <c r="G2832" s="737">
        <v>227.02699999999999</v>
      </c>
      <c r="H2832" s="685">
        <v>908.10799999999995</v>
      </c>
      <c r="I2832" s="672" t="s">
        <v>9218</v>
      </c>
      <c r="J2832" s="672" t="s">
        <v>9219</v>
      </c>
      <c r="K2832" s="672" t="s">
        <v>2354</v>
      </c>
      <c r="L2832" s="672" t="s">
        <v>9219</v>
      </c>
    </row>
    <row r="2833" spans="1:12" x14ac:dyDescent="0.2">
      <c r="A2833" s="672" t="s">
        <v>220</v>
      </c>
      <c r="B2833" s="672" t="s">
        <v>5430</v>
      </c>
      <c r="C2833" s="672" t="s">
        <v>6919</v>
      </c>
      <c r="D2833" s="672" t="s">
        <v>8342</v>
      </c>
      <c r="E2833" s="745"/>
      <c r="F2833" s="732">
        <v>5</v>
      </c>
      <c r="G2833" s="737">
        <v>124.07899999999999</v>
      </c>
      <c r="H2833" s="685">
        <v>620.39499999999998</v>
      </c>
      <c r="I2833" s="672" t="s">
        <v>9218</v>
      </c>
      <c r="J2833" s="672" t="s">
        <v>9219</v>
      </c>
      <c r="K2833" s="672" t="s">
        <v>2354</v>
      </c>
      <c r="L2833" s="672" t="s">
        <v>9219</v>
      </c>
    </row>
    <row r="2834" spans="1:12" x14ac:dyDescent="0.2">
      <c r="A2834" s="672" t="s">
        <v>220</v>
      </c>
      <c r="B2834" s="672" t="s">
        <v>5430</v>
      </c>
      <c r="C2834" s="672" t="s">
        <v>6923</v>
      </c>
      <c r="D2834" s="672" t="s">
        <v>8344</v>
      </c>
      <c r="E2834" s="745"/>
      <c r="F2834" s="732">
        <v>1</v>
      </c>
      <c r="G2834" s="737">
        <v>182.75800000000001</v>
      </c>
      <c r="H2834" s="685">
        <v>182.75800000000001</v>
      </c>
      <c r="I2834" s="672" t="s">
        <v>9218</v>
      </c>
      <c r="J2834" s="672" t="s">
        <v>9219</v>
      </c>
      <c r="K2834" s="672" t="s">
        <v>2354</v>
      </c>
      <c r="L2834" s="672" t="s">
        <v>9219</v>
      </c>
    </row>
    <row r="2835" spans="1:12" x14ac:dyDescent="0.2">
      <c r="A2835" s="672" t="s">
        <v>220</v>
      </c>
      <c r="B2835" s="672" t="s">
        <v>5430</v>
      </c>
      <c r="C2835" s="672" t="s">
        <v>6925</v>
      </c>
      <c r="D2835" s="672" t="s">
        <v>8345</v>
      </c>
      <c r="E2835" s="745"/>
      <c r="F2835" s="732">
        <v>6</v>
      </c>
      <c r="G2835" s="737">
        <v>113.4</v>
      </c>
      <c r="H2835" s="685">
        <v>680.40000000000009</v>
      </c>
      <c r="I2835" s="672" t="s">
        <v>9218</v>
      </c>
      <c r="J2835" s="672" t="s">
        <v>9219</v>
      </c>
      <c r="K2835" s="672" t="s">
        <v>2354</v>
      </c>
      <c r="L2835" s="672" t="s">
        <v>9219</v>
      </c>
    </row>
    <row r="2836" spans="1:12" x14ac:dyDescent="0.2">
      <c r="A2836" s="672" t="s">
        <v>220</v>
      </c>
      <c r="B2836" s="672" t="s">
        <v>5430</v>
      </c>
      <c r="C2836" s="672" t="s">
        <v>6929</v>
      </c>
      <c r="D2836" s="672" t="s">
        <v>8347</v>
      </c>
      <c r="E2836" s="745"/>
      <c r="F2836" s="732">
        <v>5</v>
      </c>
      <c r="G2836" s="737">
        <v>107.42400000000001</v>
      </c>
      <c r="H2836" s="685">
        <v>537.12</v>
      </c>
      <c r="I2836" s="672" t="s">
        <v>9218</v>
      </c>
      <c r="J2836" s="672" t="s">
        <v>9219</v>
      </c>
      <c r="K2836" s="672" t="s">
        <v>2354</v>
      </c>
      <c r="L2836" s="672" t="s">
        <v>9219</v>
      </c>
    </row>
    <row r="2837" spans="1:12" x14ac:dyDescent="0.2">
      <c r="A2837" s="672" t="s">
        <v>220</v>
      </c>
      <c r="B2837" s="672" t="s">
        <v>5430</v>
      </c>
      <c r="C2837" s="672" t="s">
        <v>6931</v>
      </c>
      <c r="D2837" s="672" t="s">
        <v>8348</v>
      </c>
      <c r="E2837" s="745"/>
      <c r="F2837" s="732">
        <v>2</v>
      </c>
      <c r="G2837" s="737">
        <v>78.825000000000003</v>
      </c>
      <c r="H2837" s="685">
        <v>157.65</v>
      </c>
      <c r="I2837" s="672" t="s">
        <v>9218</v>
      </c>
      <c r="J2837" s="672" t="s">
        <v>9219</v>
      </c>
      <c r="K2837" s="672" t="s">
        <v>2354</v>
      </c>
      <c r="L2837" s="672" t="s">
        <v>9219</v>
      </c>
    </row>
    <row r="2838" spans="1:12" x14ac:dyDescent="0.2">
      <c r="A2838" s="672" t="s">
        <v>220</v>
      </c>
      <c r="B2838" s="672" t="s">
        <v>5430</v>
      </c>
      <c r="C2838" s="672" t="s">
        <v>6933</v>
      </c>
      <c r="D2838" s="672" t="s">
        <v>8349</v>
      </c>
      <c r="E2838" s="745"/>
      <c r="F2838" s="732">
        <v>2</v>
      </c>
      <c r="G2838" s="737">
        <v>86.463999999999999</v>
      </c>
      <c r="H2838" s="685">
        <v>172.928</v>
      </c>
      <c r="I2838" s="672" t="s">
        <v>9218</v>
      </c>
      <c r="J2838" s="672" t="s">
        <v>9219</v>
      </c>
      <c r="K2838" s="672" t="s">
        <v>2354</v>
      </c>
      <c r="L2838" s="672" t="s">
        <v>9219</v>
      </c>
    </row>
    <row r="2839" spans="1:12" x14ac:dyDescent="0.2">
      <c r="A2839" s="672" t="s">
        <v>220</v>
      </c>
      <c r="B2839" s="672" t="s">
        <v>5430</v>
      </c>
      <c r="C2839" s="672" t="s">
        <v>6935</v>
      </c>
      <c r="D2839" s="672" t="s">
        <v>8350</v>
      </c>
      <c r="E2839" s="745"/>
      <c r="F2839" s="732">
        <v>2</v>
      </c>
      <c r="G2839" s="737">
        <v>105.40600000000001</v>
      </c>
      <c r="H2839" s="685">
        <v>210.81200000000001</v>
      </c>
      <c r="I2839" s="672" t="s">
        <v>9218</v>
      </c>
      <c r="J2839" s="672" t="s">
        <v>9219</v>
      </c>
      <c r="K2839" s="672" t="s">
        <v>2354</v>
      </c>
      <c r="L2839" s="672" t="s">
        <v>9219</v>
      </c>
    </row>
    <row r="2840" spans="1:12" x14ac:dyDescent="0.2">
      <c r="A2840" s="672" t="s">
        <v>220</v>
      </c>
      <c r="B2840" s="672" t="s">
        <v>5430</v>
      </c>
      <c r="C2840" s="672" t="s">
        <v>6937</v>
      </c>
      <c r="D2840" s="672" t="s">
        <v>8351</v>
      </c>
      <c r="E2840" s="745"/>
      <c r="F2840" s="732">
        <v>4</v>
      </c>
      <c r="G2840" s="737">
        <v>122.715</v>
      </c>
      <c r="H2840" s="685">
        <v>490.86</v>
      </c>
      <c r="I2840" s="672" t="s">
        <v>9218</v>
      </c>
      <c r="J2840" s="672" t="s">
        <v>9219</v>
      </c>
      <c r="K2840" s="672" t="s">
        <v>2354</v>
      </c>
      <c r="L2840" s="672" t="s">
        <v>9219</v>
      </c>
    </row>
    <row r="2841" spans="1:12" x14ac:dyDescent="0.2">
      <c r="A2841" s="672" t="s">
        <v>220</v>
      </c>
      <c r="B2841" s="672" t="s">
        <v>5430</v>
      </c>
      <c r="C2841" s="672" t="s">
        <v>6939</v>
      </c>
      <c r="D2841" s="672" t="s">
        <v>8352</v>
      </c>
      <c r="E2841" s="745"/>
      <c r="F2841" s="732">
        <v>4</v>
      </c>
      <c r="G2841" s="737">
        <v>150.27600000000001</v>
      </c>
      <c r="H2841" s="685">
        <v>601.10400000000004</v>
      </c>
      <c r="I2841" s="672" t="s">
        <v>9218</v>
      </c>
      <c r="J2841" s="672" t="s">
        <v>9219</v>
      </c>
      <c r="K2841" s="672" t="s">
        <v>2354</v>
      </c>
      <c r="L2841" s="672" t="s">
        <v>9219</v>
      </c>
    </row>
    <row r="2842" spans="1:12" x14ac:dyDescent="0.2">
      <c r="A2842" s="672" t="s">
        <v>220</v>
      </c>
      <c r="B2842" s="672" t="s">
        <v>5430</v>
      </c>
      <c r="C2842" s="672" t="s">
        <v>4339</v>
      </c>
      <c r="D2842" s="672" t="s">
        <v>4340</v>
      </c>
      <c r="E2842" s="745"/>
      <c r="F2842" s="732">
        <v>4</v>
      </c>
      <c r="G2842" s="737">
        <v>22.395800000000001</v>
      </c>
      <c r="H2842" s="685">
        <v>89.583200000000005</v>
      </c>
      <c r="I2842" s="672" t="s">
        <v>9218</v>
      </c>
      <c r="J2842" s="672" t="s">
        <v>9219</v>
      </c>
      <c r="K2842" s="672" t="s">
        <v>2354</v>
      </c>
      <c r="L2842" s="672" t="s">
        <v>9219</v>
      </c>
    </row>
    <row r="2843" spans="1:12" x14ac:dyDescent="0.2">
      <c r="A2843" s="672" t="s">
        <v>220</v>
      </c>
      <c r="B2843" s="672" t="s">
        <v>5430</v>
      </c>
      <c r="C2843" s="672" t="s">
        <v>6944</v>
      </c>
      <c r="D2843" s="672" t="s">
        <v>8354</v>
      </c>
      <c r="E2843" s="745"/>
      <c r="F2843" s="732">
        <v>1</v>
      </c>
      <c r="G2843" s="737">
        <v>11</v>
      </c>
      <c r="H2843" s="685">
        <v>11</v>
      </c>
      <c r="I2843" s="672" t="s">
        <v>9218</v>
      </c>
      <c r="J2843" s="672" t="s">
        <v>9219</v>
      </c>
      <c r="K2843" s="672" t="s">
        <v>2354</v>
      </c>
      <c r="L2843" s="672" t="s">
        <v>9219</v>
      </c>
    </row>
    <row r="2844" spans="1:12" x14ac:dyDescent="0.2">
      <c r="A2844" s="672" t="s">
        <v>220</v>
      </c>
      <c r="B2844" s="672" t="s">
        <v>5430</v>
      </c>
      <c r="C2844" s="672" t="s">
        <v>6946</v>
      </c>
      <c r="D2844" s="672" t="s">
        <v>8355</v>
      </c>
      <c r="E2844" s="745"/>
      <c r="F2844" s="732">
        <v>1</v>
      </c>
      <c r="G2844" s="737">
        <v>11</v>
      </c>
      <c r="H2844" s="685">
        <v>11</v>
      </c>
      <c r="I2844" s="672" t="s">
        <v>9218</v>
      </c>
      <c r="J2844" s="672" t="s">
        <v>9219</v>
      </c>
      <c r="K2844" s="672" t="s">
        <v>2354</v>
      </c>
      <c r="L2844" s="672" t="s">
        <v>9219</v>
      </c>
    </row>
    <row r="2845" spans="1:12" x14ac:dyDescent="0.2">
      <c r="A2845" s="672" t="s">
        <v>220</v>
      </c>
      <c r="B2845" s="672" t="s">
        <v>5430</v>
      </c>
      <c r="C2845" s="672" t="s">
        <v>6948</v>
      </c>
      <c r="D2845" s="672" t="s">
        <v>8356</v>
      </c>
      <c r="E2845" s="745"/>
      <c r="F2845" s="732">
        <v>1</v>
      </c>
      <c r="G2845" s="737">
        <v>11</v>
      </c>
      <c r="H2845" s="685">
        <v>11</v>
      </c>
      <c r="I2845" s="672" t="s">
        <v>9218</v>
      </c>
      <c r="J2845" s="672" t="s">
        <v>9219</v>
      </c>
      <c r="K2845" s="672" t="s">
        <v>2354</v>
      </c>
      <c r="L2845" s="672" t="s">
        <v>9219</v>
      </c>
    </row>
    <row r="2846" spans="1:12" x14ac:dyDescent="0.2">
      <c r="A2846" s="672" t="s">
        <v>220</v>
      </c>
      <c r="B2846" s="672" t="s">
        <v>5430</v>
      </c>
      <c r="C2846" s="672" t="s">
        <v>6950</v>
      </c>
      <c r="D2846" s="672" t="s">
        <v>8357</v>
      </c>
      <c r="E2846" s="745"/>
      <c r="F2846" s="732">
        <v>1</v>
      </c>
      <c r="G2846" s="737">
        <v>11</v>
      </c>
      <c r="H2846" s="685">
        <v>11</v>
      </c>
      <c r="I2846" s="672" t="s">
        <v>9218</v>
      </c>
      <c r="J2846" s="672" t="s">
        <v>9219</v>
      </c>
      <c r="K2846" s="672" t="s">
        <v>2354</v>
      </c>
      <c r="L2846" s="672" t="s">
        <v>9219</v>
      </c>
    </row>
    <row r="2847" spans="1:12" x14ac:dyDescent="0.2">
      <c r="A2847" s="672" t="s">
        <v>220</v>
      </c>
      <c r="B2847" s="672" t="s">
        <v>5430</v>
      </c>
      <c r="C2847" s="672" t="s">
        <v>6952</v>
      </c>
      <c r="D2847" s="672" t="s">
        <v>8358</v>
      </c>
      <c r="E2847" s="745"/>
      <c r="F2847" s="732">
        <v>1</v>
      </c>
      <c r="G2847" s="737">
        <v>11</v>
      </c>
      <c r="H2847" s="685">
        <v>11</v>
      </c>
      <c r="I2847" s="672" t="s">
        <v>9218</v>
      </c>
      <c r="J2847" s="672" t="s">
        <v>9219</v>
      </c>
      <c r="K2847" s="672" t="s">
        <v>2354</v>
      </c>
      <c r="L2847" s="672" t="s">
        <v>9219</v>
      </c>
    </row>
    <row r="2848" spans="1:12" x14ac:dyDescent="0.2">
      <c r="A2848" s="672" t="s">
        <v>220</v>
      </c>
      <c r="B2848" s="672" t="s">
        <v>5430</v>
      </c>
      <c r="C2848" s="672" t="s">
        <v>4355</v>
      </c>
      <c r="D2848" s="672" t="s">
        <v>4356</v>
      </c>
      <c r="E2848" s="745"/>
      <c r="F2848" s="732">
        <v>5</v>
      </c>
      <c r="G2848" s="737">
        <v>3.8250000000000002</v>
      </c>
      <c r="H2848" s="685">
        <v>19.125</v>
      </c>
      <c r="I2848" s="672" t="s">
        <v>9218</v>
      </c>
      <c r="J2848" s="672" t="s">
        <v>9219</v>
      </c>
      <c r="K2848" s="672" t="s">
        <v>2354</v>
      </c>
      <c r="L2848" s="672" t="s">
        <v>9219</v>
      </c>
    </row>
    <row r="2849" spans="1:12" x14ac:dyDescent="0.2">
      <c r="A2849" s="672" t="s">
        <v>220</v>
      </c>
      <c r="B2849" s="672" t="s">
        <v>5430</v>
      </c>
      <c r="C2849" s="672" t="s">
        <v>8359</v>
      </c>
      <c r="D2849" s="672" t="s">
        <v>8360</v>
      </c>
      <c r="E2849" s="745"/>
      <c r="F2849" s="732">
        <v>3</v>
      </c>
      <c r="G2849" s="737">
        <v>2.7</v>
      </c>
      <c r="H2849" s="685">
        <v>8.1000000000000014</v>
      </c>
      <c r="I2849" s="672" t="s">
        <v>9218</v>
      </c>
      <c r="J2849" s="672" t="s">
        <v>9219</v>
      </c>
      <c r="K2849" s="672" t="s">
        <v>2354</v>
      </c>
      <c r="L2849" s="672" t="s">
        <v>9219</v>
      </c>
    </row>
    <row r="2850" spans="1:12" x14ac:dyDescent="0.2">
      <c r="A2850" s="672" t="s">
        <v>220</v>
      </c>
      <c r="B2850" s="672" t="s">
        <v>5430</v>
      </c>
      <c r="C2850" s="672" t="s">
        <v>4391</v>
      </c>
      <c r="D2850" s="672" t="s">
        <v>8361</v>
      </c>
      <c r="E2850" s="745"/>
      <c r="F2850" s="732">
        <v>2</v>
      </c>
      <c r="G2850" s="737">
        <v>205.96</v>
      </c>
      <c r="H2850" s="685">
        <v>411.92</v>
      </c>
      <c r="I2850" s="672" t="s">
        <v>9218</v>
      </c>
      <c r="J2850" s="672" t="s">
        <v>9219</v>
      </c>
      <c r="K2850" s="672" t="s">
        <v>2354</v>
      </c>
      <c r="L2850" s="672" t="s">
        <v>9219</v>
      </c>
    </row>
    <row r="2851" spans="1:12" x14ac:dyDescent="0.2">
      <c r="A2851" s="672" t="s">
        <v>220</v>
      </c>
      <c r="B2851" s="672" t="s">
        <v>5430</v>
      </c>
      <c r="C2851" s="672" t="s">
        <v>8362</v>
      </c>
      <c r="D2851" s="672" t="s">
        <v>8363</v>
      </c>
      <c r="E2851" s="745"/>
      <c r="F2851" s="732">
        <v>4</v>
      </c>
      <c r="G2851" s="737">
        <v>1.1819999999999999</v>
      </c>
      <c r="H2851" s="685">
        <v>4.7279999999999998</v>
      </c>
      <c r="I2851" s="672" t="s">
        <v>9218</v>
      </c>
      <c r="J2851" s="672" t="s">
        <v>9219</v>
      </c>
      <c r="K2851" s="672" t="s">
        <v>2354</v>
      </c>
      <c r="L2851" s="672" t="s">
        <v>9219</v>
      </c>
    </row>
    <row r="2852" spans="1:12" x14ac:dyDescent="0.2">
      <c r="A2852" s="672" t="s">
        <v>220</v>
      </c>
      <c r="B2852" s="672" t="s">
        <v>5430</v>
      </c>
      <c r="C2852" s="672" t="s">
        <v>4401</v>
      </c>
      <c r="D2852" s="672" t="s">
        <v>8364</v>
      </c>
      <c r="E2852" s="745"/>
      <c r="F2852" s="732">
        <v>1</v>
      </c>
      <c r="G2852" s="737">
        <v>36</v>
      </c>
      <c r="H2852" s="685">
        <v>36</v>
      </c>
      <c r="I2852" s="672" t="s">
        <v>9218</v>
      </c>
      <c r="J2852" s="672" t="s">
        <v>9219</v>
      </c>
      <c r="K2852" s="672" t="s">
        <v>2354</v>
      </c>
      <c r="L2852" s="672" t="s">
        <v>9219</v>
      </c>
    </row>
    <row r="2853" spans="1:12" x14ac:dyDescent="0.2">
      <c r="A2853" s="672" t="s">
        <v>220</v>
      </c>
      <c r="B2853" s="672" t="s">
        <v>5430</v>
      </c>
      <c r="C2853" s="672" t="s">
        <v>4421</v>
      </c>
      <c r="D2853" s="672" t="s">
        <v>4422</v>
      </c>
      <c r="E2853" s="745"/>
      <c r="F2853" s="732">
        <v>3</v>
      </c>
      <c r="G2853" s="737">
        <v>42.399000000000001</v>
      </c>
      <c r="H2853" s="685">
        <v>127.197</v>
      </c>
      <c r="I2853" s="672" t="s">
        <v>9218</v>
      </c>
      <c r="J2853" s="672" t="s">
        <v>9219</v>
      </c>
      <c r="K2853" s="672" t="s">
        <v>2354</v>
      </c>
      <c r="L2853" s="672" t="s">
        <v>9219</v>
      </c>
    </row>
    <row r="2854" spans="1:12" x14ac:dyDescent="0.2">
      <c r="A2854" s="672" t="s">
        <v>220</v>
      </c>
      <c r="B2854" s="672" t="s">
        <v>5430</v>
      </c>
      <c r="C2854" s="672" t="s">
        <v>6965</v>
      </c>
      <c r="D2854" s="672" t="s">
        <v>8365</v>
      </c>
      <c r="E2854" s="745"/>
      <c r="F2854" s="732">
        <v>1</v>
      </c>
      <c r="G2854" s="737">
        <v>10.967000000000001</v>
      </c>
      <c r="H2854" s="685">
        <v>10.967000000000001</v>
      </c>
      <c r="I2854" s="672" t="s">
        <v>9218</v>
      </c>
      <c r="J2854" s="672" t="s">
        <v>9219</v>
      </c>
      <c r="K2854" s="672" t="s">
        <v>2354</v>
      </c>
      <c r="L2854" s="672" t="s">
        <v>9219</v>
      </c>
    </row>
    <row r="2855" spans="1:12" x14ac:dyDescent="0.2">
      <c r="A2855" s="672" t="s">
        <v>220</v>
      </c>
      <c r="B2855" s="672" t="s">
        <v>5430</v>
      </c>
      <c r="C2855" s="672" t="s">
        <v>6967</v>
      </c>
      <c r="D2855" s="672" t="s">
        <v>8366</v>
      </c>
      <c r="E2855" s="745"/>
      <c r="F2855" s="732">
        <v>2</v>
      </c>
      <c r="G2855" s="737">
        <v>10.967000000000001</v>
      </c>
      <c r="H2855" s="685">
        <v>21.934000000000001</v>
      </c>
      <c r="I2855" s="672" t="s">
        <v>9218</v>
      </c>
      <c r="J2855" s="672" t="s">
        <v>9219</v>
      </c>
      <c r="K2855" s="672" t="s">
        <v>2354</v>
      </c>
      <c r="L2855" s="672" t="s">
        <v>9219</v>
      </c>
    </row>
    <row r="2856" spans="1:12" x14ac:dyDescent="0.2">
      <c r="A2856" s="672" t="s">
        <v>220</v>
      </c>
      <c r="B2856" s="672" t="s">
        <v>5430</v>
      </c>
      <c r="C2856" s="672" t="s">
        <v>6969</v>
      </c>
      <c r="D2856" s="672" t="s">
        <v>8367</v>
      </c>
      <c r="E2856" s="745"/>
      <c r="F2856" s="732">
        <v>4</v>
      </c>
      <c r="G2856" s="737">
        <v>10.967000000000001</v>
      </c>
      <c r="H2856" s="685">
        <v>43.868000000000002</v>
      </c>
      <c r="I2856" s="672" t="s">
        <v>9218</v>
      </c>
      <c r="J2856" s="672" t="s">
        <v>9219</v>
      </c>
      <c r="K2856" s="672" t="s">
        <v>2354</v>
      </c>
      <c r="L2856" s="672" t="s">
        <v>9219</v>
      </c>
    </row>
    <row r="2857" spans="1:12" x14ac:dyDescent="0.2">
      <c r="A2857" s="672" t="s">
        <v>220</v>
      </c>
      <c r="B2857" s="672" t="s">
        <v>5430</v>
      </c>
      <c r="C2857" s="672" t="s">
        <v>6971</v>
      </c>
      <c r="D2857" s="672" t="s">
        <v>8368</v>
      </c>
      <c r="E2857" s="745"/>
      <c r="F2857" s="732">
        <v>8</v>
      </c>
      <c r="G2857" s="737">
        <v>7.021221052631577</v>
      </c>
      <c r="H2857" s="685">
        <v>56.169768421052616</v>
      </c>
      <c r="I2857" s="672" t="s">
        <v>9218</v>
      </c>
      <c r="J2857" s="672" t="s">
        <v>9219</v>
      </c>
      <c r="K2857" s="672" t="s">
        <v>2354</v>
      </c>
      <c r="L2857" s="672" t="s">
        <v>9219</v>
      </c>
    </row>
    <row r="2858" spans="1:12" x14ac:dyDescent="0.2">
      <c r="A2858" s="672" t="s">
        <v>220</v>
      </c>
      <c r="B2858" s="672" t="s">
        <v>5430</v>
      </c>
      <c r="C2858" s="672" t="s">
        <v>4434</v>
      </c>
      <c r="D2858" s="672" t="s">
        <v>8371</v>
      </c>
      <c r="E2858" s="745"/>
      <c r="F2858" s="732">
        <v>1</v>
      </c>
      <c r="G2858" s="737">
        <v>49.5</v>
      </c>
      <c r="H2858" s="685">
        <v>49.5</v>
      </c>
      <c r="I2858" s="672" t="s">
        <v>9218</v>
      </c>
      <c r="J2858" s="672" t="s">
        <v>9219</v>
      </c>
      <c r="K2858" s="672" t="s">
        <v>2354</v>
      </c>
      <c r="L2858" s="672" t="s">
        <v>9219</v>
      </c>
    </row>
    <row r="2859" spans="1:12" x14ac:dyDescent="0.2">
      <c r="A2859" s="672" t="s">
        <v>220</v>
      </c>
      <c r="B2859" s="672" t="s">
        <v>5430</v>
      </c>
      <c r="C2859" s="672" t="s">
        <v>6974</v>
      </c>
      <c r="D2859" s="672" t="s">
        <v>8372</v>
      </c>
      <c r="E2859" s="745"/>
      <c r="F2859" s="732">
        <v>1</v>
      </c>
      <c r="G2859" s="737">
        <v>20.257575757575758</v>
      </c>
      <c r="H2859" s="685">
        <v>20.257575757575758</v>
      </c>
      <c r="I2859" s="672" t="s">
        <v>9218</v>
      </c>
      <c r="J2859" s="672" t="s">
        <v>9219</v>
      </c>
      <c r="K2859" s="672" t="s">
        <v>2354</v>
      </c>
      <c r="L2859" s="672" t="s">
        <v>9219</v>
      </c>
    </row>
    <row r="2860" spans="1:12" x14ac:dyDescent="0.2">
      <c r="A2860" s="672" t="s">
        <v>220</v>
      </c>
      <c r="B2860" s="672" t="s">
        <v>5430</v>
      </c>
      <c r="C2860" s="672" t="s">
        <v>8373</v>
      </c>
      <c r="D2860" s="672" t="s">
        <v>8374</v>
      </c>
      <c r="E2860" s="745"/>
      <c r="F2860" s="732">
        <v>1</v>
      </c>
      <c r="G2860" s="737">
        <v>164.148</v>
      </c>
      <c r="H2860" s="685">
        <v>164.148</v>
      </c>
      <c r="I2860" s="672" t="s">
        <v>9218</v>
      </c>
      <c r="J2860" s="672" t="s">
        <v>9219</v>
      </c>
      <c r="K2860" s="672" t="s">
        <v>2354</v>
      </c>
      <c r="L2860" s="672" t="s">
        <v>9219</v>
      </c>
    </row>
    <row r="2861" spans="1:12" x14ac:dyDescent="0.2">
      <c r="A2861" s="672" t="s">
        <v>220</v>
      </c>
      <c r="B2861" s="672" t="s">
        <v>5430</v>
      </c>
      <c r="C2861" s="672" t="s">
        <v>6977</v>
      </c>
      <c r="D2861" s="672" t="s">
        <v>8375</v>
      </c>
      <c r="E2861" s="745"/>
      <c r="F2861" s="732">
        <v>1</v>
      </c>
      <c r="G2861" s="737">
        <v>6.806</v>
      </c>
      <c r="H2861" s="685">
        <v>6.806</v>
      </c>
      <c r="I2861" s="672" t="s">
        <v>9218</v>
      </c>
      <c r="J2861" s="672" t="s">
        <v>9219</v>
      </c>
      <c r="K2861" s="672" t="s">
        <v>2354</v>
      </c>
      <c r="L2861" s="672" t="s">
        <v>9219</v>
      </c>
    </row>
    <row r="2862" spans="1:12" x14ac:dyDescent="0.2">
      <c r="A2862" s="672" t="s">
        <v>220</v>
      </c>
      <c r="B2862" s="672" t="s">
        <v>5430</v>
      </c>
      <c r="C2862" s="672" t="s">
        <v>6979</v>
      </c>
      <c r="D2862" s="672" t="s">
        <v>8376</v>
      </c>
      <c r="E2862" s="745"/>
      <c r="F2862" s="732">
        <v>1</v>
      </c>
      <c r="G2862" s="737">
        <v>171</v>
      </c>
      <c r="H2862" s="685">
        <v>171</v>
      </c>
      <c r="I2862" s="672" t="s">
        <v>9218</v>
      </c>
      <c r="J2862" s="672" t="s">
        <v>9219</v>
      </c>
      <c r="K2862" s="672" t="s">
        <v>2354</v>
      </c>
      <c r="L2862" s="672" t="s">
        <v>9219</v>
      </c>
    </row>
    <row r="2863" spans="1:12" x14ac:dyDescent="0.2">
      <c r="A2863" s="672" t="s">
        <v>220</v>
      </c>
      <c r="B2863" s="672" t="s">
        <v>5430</v>
      </c>
      <c r="C2863" s="672" t="s">
        <v>6981</v>
      </c>
      <c r="D2863" s="672" t="s">
        <v>8377</v>
      </c>
      <c r="E2863" s="745"/>
      <c r="F2863" s="732">
        <v>1</v>
      </c>
      <c r="G2863" s="737">
        <v>133.63900000000001</v>
      </c>
      <c r="H2863" s="685">
        <v>133.63900000000001</v>
      </c>
      <c r="I2863" s="672" t="s">
        <v>9218</v>
      </c>
      <c r="J2863" s="672" t="s">
        <v>9219</v>
      </c>
      <c r="K2863" s="672" t="s">
        <v>2354</v>
      </c>
      <c r="L2863" s="672" t="s">
        <v>9219</v>
      </c>
    </row>
    <row r="2864" spans="1:12" x14ac:dyDescent="0.2">
      <c r="A2864" s="672" t="s">
        <v>220</v>
      </c>
      <c r="B2864" s="672" t="s">
        <v>5430</v>
      </c>
      <c r="C2864" s="672" t="s">
        <v>4379</v>
      </c>
      <c r="D2864" s="672" t="s">
        <v>8378</v>
      </c>
      <c r="E2864" s="745"/>
      <c r="F2864" s="732">
        <v>16</v>
      </c>
      <c r="G2864" s="737">
        <v>8.2176739999999988</v>
      </c>
      <c r="H2864" s="685">
        <v>131.48278399999998</v>
      </c>
      <c r="I2864" s="672" t="s">
        <v>9218</v>
      </c>
      <c r="J2864" s="672" t="s">
        <v>9219</v>
      </c>
      <c r="K2864" s="672" t="s">
        <v>2354</v>
      </c>
      <c r="L2864" s="672" t="s">
        <v>9219</v>
      </c>
    </row>
    <row r="2865" spans="1:12" x14ac:dyDescent="0.2">
      <c r="A2865" s="672" t="s">
        <v>220</v>
      </c>
      <c r="B2865" s="672" t="s">
        <v>5430</v>
      </c>
      <c r="C2865" s="672" t="s">
        <v>6983</v>
      </c>
      <c r="D2865" s="672" t="s">
        <v>8379</v>
      </c>
      <c r="E2865" s="745"/>
      <c r="F2865" s="732">
        <v>2</v>
      </c>
      <c r="G2865" s="737">
        <v>124.973</v>
      </c>
      <c r="H2865" s="685">
        <v>249.946</v>
      </c>
      <c r="I2865" s="672" t="s">
        <v>9218</v>
      </c>
      <c r="J2865" s="672" t="s">
        <v>9219</v>
      </c>
      <c r="K2865" s="672" t="s">
        <v>2354</v>
      </c>
      <c r="L2865" s="672" t="s">
        <v>9219</v>
      </c>
    </row>
    <row r="2866" spans="1:12" x14ac:dyDescent="0.2">
      <c r="A2866" s="672" t="s">
        <v>220</v>
      </c>
      <c r="B2866" s="672" t="s">
        <v>5430</v>
      </c>
      <c r="C2866" s="672" t="s">
        <v>8380</v>
      </c>
      <c r="D2866" s="672" t="s">
        <v>8381</v>
      </c>
      <c r="E2866" s="745"/>
      <c r="F2866" s="732">
        <v>1</v>
      </c>
      <c r="G2866" s="737">
        <v>172.48500000000001</v>
      </c>
      <c r="H2866" s="685">
        <v>172.48500000000001</v>
      </c>
      <c r="I2866" s="672" t="s">
        <v>9218</v>
      </c>
      <c r="J2866" s="672" t="s">
        <v>9219</v>
      </c>
      <c r="K2866" s="672" t="s">
        <v>2354</v>
      </c>
      <c r="L2866" s="672" t="s">
        <v>9219</v>
      </c>
    </row>
    <row r="2867" spans="1:12" x14ac:dyDescent="0.2">
      <c r="A2867" s="672" t="s">
        <v>220</v>
      </c>
      <c r="B2867" s="672" t="s">
        <v>5430</v>
      </c>
      <c r="C2867" s="672" t="s">
        <v>4494</v>
      </c>
      <c r="D2867" s="672" t="s">
        <v>8383</v>
      </c>
      <c r="E2867" s="745"/>
      <c r="F2867" s="732">
        <v>20</v>
      </c>
      <c r="G2867" s="737">
        <v>12.4</v>
      </c>
      <c r="H2867" s="685">
        <v>248</v>
      </c>
      <c r="I2867" s="672" t="s">
        <v>9218</v>
      </c>
      <c r="J2867" s="672" t="s">
        <v>9219</v>
      </c>
      <c r="K2867" s="672" t="s">
        <v>2354</v>
      </c>
      <c r="L2867" s="672" t="s">
        <v>9219</v>
      </c>
    </row>
    <row r="2868" spans="1:12" x14ac:dyDescent="0.2">
      <c r="A2868" s="672" t="s">
        <v>220</v>
      </c>
      <c r="B2868" s="672" t="s">
        <v>5430</v>
      </c>
      <c r="C2868" s="672" t="s">
        <v>4001</v>
      </c>
      <c r="D2868" s="672" t="s">
        <v>8384</v>
      </c>
      <c r="E2868" s="745"/>
      <c r="F2868" s="732">
        <v>8</v>
      </c>
      <c r="G2868" s="737">
        <v>13.5</v>
      </c>
      <c r="H2868" s="685">
        <v>108</v>
      </c>
      <c r="I2868" s="672" t="s">
        <v>9218</v>
      </c>
      <c r="J2868" s="672" t="s">
        <v>9219</v>
      </c>
      <c r="K2868" s="672" t="s">
        <v>2354</v>
      </c>
      <c r="L2868" s="672" t="s">
        <v>9219</v>
      </c>
    </row>
    <row r="2869" spans="1:12" x14ac:dyDescent="0.2">
      <c r="A2869" s="672" t="s">
        <v>220</v>
      </c>
      <c r="B2869" s="672" t="s">
        <v>5430</v>
      </c>
      <c r="C2869" s="672" t="s">
        <v>6990</v>
      </c>
      <c r="D2869" s="672" t="s">
        <v>8385</v>
      </c>
      <c r="E2869" s="745"/>
      <c r="F2869" s="732">
        <v>1</v>
      </c>
      <c r="G2869" s="737">
        <v>32.340000000000003</v>
      </c>
      <c r="H2869" s="685">
        <v>32.340000000000003</v>
      </c>
      <c r="I2869" s="672" t="s">
        <v>9218</v>
      </c>
      <c r="J2869" s="672" t="s">
        <v>9219</v>
      </c>
      <c r="K2869" s="672" t="s">
        <v>2354</v>
      </c>
      <c r="L2869" s="672" t="s">
        <v>9219</v>
      </c>
    </row>
    <row r="2870" spans="1:12" x14ac:dyDescent="0.2">
      <c r="A2870" s="672" t="s">
        <v>220</v>
      </c>
      <c r="B2870" s="672" t="s">
        <v>5430</v>
      </c>
      <c r="C2870" s="672" t="s">
        <v>6994</v>
      </c>
      <c r="D2870" s="672" t="s">
        <v>8388</v>
      </c>
      <c r="E2870" s="745"/>
      <c r="F2870" s="732">
        <v>1</v>
      </c>
      <c r="G2870" s="737">
        <v>86.861999999999995</v>
      </c>
      <c r="H2870" s="685">
        <v>86.861999999999995</v>
      </c>
      <c r="I2870" s="672" t="s">
        <v>9218</v>
      </c>
      <c r="J2870" s="672" t="s">
        <v>9219</v>
      </c>
      <c r="K2870" s="672" t="s">
        <v>2354</v>
      </c>
      <c r="L2870" s="672" t="s">
        <v>9219</v>
      </c>
    </row>
    <row r="2871" spans="1:12" x14ac:dyDescent="0.2">
      <c r="A2871" s="672" t="s">
        <v>220</v>
      </c>
      <c r="B2871" s="672" t="s">
        <v>5430</v>
      </c>
      <c r="C2871" s="672" t="s">
        <v>6996</v>
      </c>
      <c r="D2871" s="672" t="s">
        <v>6997</v>
      </c>
      <c r="E2871" s="745"/>
      <c r="F2871" s="732">
        <v>7</v>
      </c>
      <c r="G2871" s="737">
        <v>64.986000000000004</v>
      </c>
      <c r="H2871" s="685">
        <v>454.90200000000004</v>
      </c>
      <c r="I2871" s="672" t="s">
        <v>9218</v>
      </c>
      <c r="J2871" s="672" t="s">
        <v>9219</v>
      </c>
      <c r="K2871" s="672" t="s">
        <v>2354</v>
      </c>
      <c r="L2871" s="672" t="s">
        <v>9219</v>
      </c>
    </row>
    <row r="2872" spans="1:12" x14ac:dyDescent="0.2">
      <c r="A2872" s="672" t="s">
        <v>220</v>
      </c>
      <c r="B2872" s="672" t="s">
        <v>5430</v>
      </c>
      <c r="C2872" s="672" t="s">
        <v>6998</v>
      </c>
      <c r="D2872" s="672" t="s">
        <v>6999</v>
      </c>
      <c r="E2872" s="745"/>
      <c r="F2872" s="732">
        <v>4</v>
      </c>
      <c r="G2872" s="737">
        <v>85.569000000000003</v>
      </c>
      <c r="H2872" s="685">
        <v>342.27600000000001</v>
      </c>
      <c r="I2872" s="672" t="s">
        <v>9218</v>
      </c>
      <c r="J2872" s="672" t="s">
        <v>9219</v>
      </c>
      <c r="K2872" s="672" t="s">
        <v>2354</v>
      </c>
      <c r="L2872" s="672" t="s">
        <v>9219</v>
      </c>
    </row>
    <row r="2873" spans="1:12" x14ac:dyDescent="0.2">
      <c r="A2873" s="672" t="s">
        <v>220</v>
      </c>
      <c r="B2873" s="672" t="s">
        <v>5430</v>
      </c>
      <c r="C2873" s="672" t="s">
        <v>7020</v>
      </c>
      <c r="D2873" s="672" t="s">
        <v>8395</v>
      </c>
      <c r="E2873" s="745"/>
      <c r="F2873" s="732">
        <v>5</v>
      </c>
      <c r="G2873" s="737">
        <v>9.8103999999999996</v>
      </c>
      <c r="H2873" s="685">
        <v>49.052</v>
      </c>
      <c r="I2873" s="672" t="s">
        <v>9218</v>
      </c>
      <c r="J2873" s="672" t="s">
        <v>9219</v>
      </c>
      <c r="K2873" s="672" t="s">
        <v>2354</v>
      </c>
      <c r="L2873" s="672" t="s">
        <v>9219</v>
      </c>
    </row>
    <row r="2874" spans="1:12" x14ac:dyDescent="0.2">
      <c r="A2874" s="672" t="s">
        <v>220</v>
      </c>
      <c r="B2874" s="672" t="s">
        <v>5430</v>
      </c>
      <c r="C2874" s="672" t="s">
        <v>4552</v>
      </c>
      <c r="D2874" s="672" t="s">
        <v>4553</v>
      </c>
      <c r="E2874" s="745"/>
      <c r="F2874" s="732">
        <v>15</v>
      </c>
      <c r="G2874" s="737">
        <v>1.165</v>
      </c>
      <c r="H2874" s="685">
        <v>17.475000000000001</v>
      </c>
      <c r="I2874" s="672" t="s">
        <v>9218</v>
      </c>
      <c r="J2874" s="672" t="s">
        <v>9219</v>
      </c>
      <c r="K2874" s="672" t="s">
        <v>2354</v>
      </c>
      <c r="L2874" s="672" t="s">
        <v>9219</v>
      </c>
    </row>
    <row r="2875" spans="1:12" x14ac:dyDescent="0.2">
      <c r="A2875" s="672" t="s">
        <v>220</v>
      </c>
      <c r="B2875" s="672" t="s">
        <v>5430</v>
      </c>
      <c r="C2875" s="672" t="s">
        <v>4554</v>
      </c>
      <c r="D2875" s="672" t="s">
        <v>8397</v>
      </c>
      <c r="E2875" s="745"/>
      <c r="F2875" s="732">
        <v>6</v>
      </c>
      <c r="G2875" s="737">
        <v>11.423999999999999</v>
      </c>
      <c r="H2875" s="685">
        <v>68.543999999999997</v>
      </c>
      <c r="I2875" s="672" t="s">
        <v>9218</v>
      </c>
      <c r="J2875" s="672" t="s">
        <v>9219</v>
      </c>
      <c r="K2875" s="672" t="s">
        <v>2354</v>
      </c>
      <c r="L2875" s="672" t="s">
        <v>9219</v>
      </c>
    </row>
    <row r="2876" spans="1:12" x14ac:dyDescent="0.2">
      <c r="A2876" s="672" t="s">
        <v>220</v>
      </c>
      <c r="B2876" s="672" t="s">
        <v>5430</v>
      </c>
      <c r="C2876" s="672" t="s">
        <v>4556</v>
      </c>
      <c r="D2876" s="672" t="s">
        <v>4557</v>
      </c>
      <c r="E2876" s="745"/>
      <c r="F2876" s="732">
        <v>2</v>
      </c>
      <c r="G2876" s="737">
        <v>22.429345098039217</v>
      </c>
      <c r="H2876" s="685">
        <v>44.858690196078435</v>
      </c>
      <c r="I2876" s="672" t="s">
        <v>9218</v>
      </c>
      <c r="J2876" s="672" t="s">
        <v>9219</v>
      </c>
      <c r="K2876" s="672" t="s">
        <v>2354</v>
      </c>
      <c r="L2876" s="672" t="s">
        <v>9219</v>
      </c>
    </row>
    <row r="2877" spans="1:12" x14ac:dyDescent="0.2">
      <c r="A2877" s="672" t="s">
        <v>220</v>
      </c>
      <c r="B2877" s="672" t="s">
        <v>5430</v>
      </c>
      <c r="C2877" s="672" t="s">
        <v>7051</v>
      </c>
      <c r="D2877" s="672" t="s">
        <v>8398</v>
      </c>
      <c r="E2877" s="745"/>
      <c r="F2877" s="732">
        <v>6</v>
      </c>
      <c r="G2877" s="737">
        <v>62</v>
      </c>
      <c r="H2877" s="685">
        <v>372</v>
      </c>
      <c r="I2877" s="672" t="s">
        <v>9218</v>
      </c>
      <c r="J2877" s="672" t="s">
        <v>9219</v>
      </c>
      <c r="K2877" s="672" t="s">
        <v>2354</v>
      </c>
      <c r="L2877" s="672" t="s">
        <v>9219</v>
      </c>
    </row>
    <row r="2878" spans="1:12" x14ac:dyDescent="0.2">
      <c r="A2878" s="672" t="s">
        <v>220</v>
      </c>
      <c r="B2878" s="672" t="s">
        <v>5430</v>
      </c>
      <c r="C2878" s="672" t="s">
        <v>7053</v>
      </c>
      <c r="D2878" s="672" t="s">
        <v>8399</v>
      </c>
      <c r="E2878" s="745"/>
      <c r="F2878" s="732">
        <v>6</v>
      </c>
      <c r="G2878" s="737">
        <v>62</v>
      </c>
      <c r="H2878" s="685">
        <v>372</v>
      </c>
      <c r="I2878" s="672" t="s">
        <v>9218</v>
      </c>
      <c r="J2878" s="672" t="s">
        <v>9219</v>
      </c>
      <c r="K2878" s="672" t="s">
        <v>2354</v>
      </c>
      <c r="L2878" s="672" t="s">
        <v>9219</v>
      </c>
    </row>
    <row r="2879" spans="1:12" x14ac:dyDescent="0.2">
      <c r="A2879" s="672" t="s">
        <v>220</v>
      </c>
      <c r="B2879" s="672" t="s">
        <v>5430</v>
      </c>
      <c r="C2879" s="672" t="s">
        <v>4560</v>
      </c>
      <c r="D2879" s="672" t="s">
        <v>8400</v>
      </c>
      <c r="E2879" s="745"/>
      <c r="F2879" s="732">
        <v>5</v>
      </c>
      <c r="G2879" s="737">
        <v>7.3049999999999997</v>
      </c>
      <c r="H2879" s="685">
        <v>36.524999999999999</v>
      </c>
      <c r="I2879" s="672" t="s">
        <v>9218</v>
      </c>
      <c r="J2879" s="672" t="s">
        <v>9219</v>
      </c>
      <c r="K2879" s="672" t="s">
        <v>2354</v>
      </c>
      <c r="L2879" s="672" t="s">
        <v>9219</v>
      </c>
    </row>
    <row r="2880" spans="1:12" x14ac:dyDescent="0.2">
      <c r="A2880" s="672" t="s">
        <v>220</v>
      </c>
      <c r="B2880" s="672" t="s">
        <v>5430</v>
      </c>
      <c r="C2880" s="672" t="s">
        <v>7021</v>
      </c>
      <c r="D2880" s="672" t="s">
        <v>8401</v>
      </c>
      <c r="E2880" s="745"/>
      <c r="F2880" s="732">
        <v>1</v>
      </c>
      <c r="G2880" s="737">
        <v>19.085999999999999</v>
      </c>
      <c r="H2880" s="685">
        <v>19.085999999999999</v>
      </c>
      <c r="I2880" s="672" t="s">
        <v>9218</v>
      </c>
      <c r="J2880" s="672" t="s">
        <v>9219</v>
      </c>
      <c r="K2880" s="672" t="s">
        <v>2354</v>
      </c>
      <c r="L2880" s="672" t="s">
        <v>9219</v>
      </c>
    </row>
    <row r="2881" spans="1:12" x14ac:dyDescent="0.2">
      <c r="A2881" s="672" t="s">
        <v>220</v>
      </c>
      <c r="B2881" s="672" t="s">
        <v>5430</v>
      </c>
      <c r="C2881" s="672" t="s">
        <v>8402</v>
      </c>
      <c r="D2881" s="672" t="s">
        <v>8403</v>
      </c>
      <c r="E2881" s="745"/>
      <c r="F2881" s="732">
        <v>2</v>
      </c>
      <c r="G2881" s="737">
        <v>11.183999999999999</v>
      </c>
      <c r="H2881" s="685">
        <v>22.367999999999999</v>
      </c>
      <c r="I2881" s="672" t="s">
        <v>9218</v>
      </c>
      <c r="J2881" s="672" t="s">
        <v>9219</v>
      </c>
      <c r="K2881" s="672" t="s">
        <v>2354</v>
      </c>
      <c r="L2881" s="672" t="s">
        <v>9219</v>
      </c>
    </row>
    <row r="2882" spans="1:12" x14ac:dyDescent="0.2">
      <c r="A2882" s="672" t="s">
        <v>220</v>
      </c>
      <c r="B2882" s="672" t="s">
        <v>5430</v>
      </c>
      <c r="C2882" s="672" t="s">
        <v>7025</v>
      </c>
      <c r="D2882" s="672" t="s">
        <v>8404</v>
      </c>
      <c r="E2882" s="745"/>
      <c r="F2882" s="732">
        <v>1</v>
      </c>
      <c r="G2882" s="737">
        <v>39.695999999999998</v>
      </c>
      <c r="H2882" s="685">
        <v>39.695999999999998</v>
      </c>
      <c r="I2882" s="672" t="s">
        <v>9218</v>
      </c>
      <c r="J2882" s="672" t="s">
        <v>9219</v>
      </c>
      <c r="K2882" s="672" t="s">
        <v>2354</v>
      </c>
      <c r="L2882" s="672" t="s">
        <v>9219</v>
      </c>
    </row>
    <row r="2883" spans="1:12" x14ac:dyDescent="0.2">
      <c r="A2883" s="672" t="s">
        <v>220</v>
      </c>
      <c r="B2883" s="672" t="s">
        <v>5430</v>
      </c>
      <c r="C2883" s="672" t="s">
        <v>7029</v>
      </c>
      <c r="D2883" s="672" t="s">
        <v>8406</v>
      </c>
      <c r="E2883" s="745"/>
      <c r="F2883" s="732">
        <v>20</v>
      </c>
      <c r="G2883" s="737">
        <v>2.577</v>
      </c>
      <c r="H2883" s="685">
        <v>51.54</v>
      </c>
      <c r="I2883" s="672" t="s">
        <v>9218</v>
      </c>
      <c r="J2883" s="672" t="s">
        <v>9219</v>
      </c>
      <c r="K2883" s="672" t="s">
        <v>2354</v>
      </c>
      <c r="L2883" s="672" t="s">
        <v>9219</v>
      </c>
    </row>
    <row r="2884" spans="1:12" x14ac:dyDescent="0.2">
      <c r="A2884" s="672" t="s">
        <v>220</v>
      </c>
      <c r="B2884" s="672" t="s">
        <v>5430</v>
      </c>
      <c r="C2884" s="672" t="s">
        <v>7031</v>
      </c>
      <c r="D2884" s="672" t="s">
        <v>8407</v>
      </c>
      <c r="E2884" s="745"/>
      <c r="F2884" s="732">
        <v>3</v>
      </c>
      <c r="G2884" s="737">
        <v>20.16</v>
      </c>
      <c r="H2884" s="685">
        <v>60.480000000000004</v>
      </c>
      <c r="I2884" s="672" t="s">
        <v>9218</v>
      </c>
      <c r="J2884" s="672" t="s">
        <v>9219</v>
      </c>
      <c r="K2884" s="672" t="s">
        <v>2354</v>
      </c>
      <c r="L2884" s="672" t="s">
        <v>9219</v>
      </c>
    </row>
    <row r="2885" spans="1:12" x14ac:dyDescent="0.2">
      <c r="A2885" s="672" t="s">
        <v>220</v>
      </c>
      <c r="B2885" s="672" t="s">
        <v>5430</v>
      </c>
      <c r="C2885" s="672" t="s">
        <v>7033</v>
      </c>
      <c r="D2885" s="672" t="s">
        <v>8408</v>
      </c>
      <c r="E2885" s="745"/>
      <c r="F2885" s="732">
        <v>3</v>
      </c>
      <c r="G2885" s="737">
        <v>20.16</v>
      </c>
      <c r="H2885" s="685">
        <v>60.480000000000004</v>
      </c>
      <c r="I2885" s="672" t="s">
        <v>9218</v>
      </c>
      <c r="J2885" s="672" t="s">
        <v>9219</v>
      </c>
      <c r="K2885" s="672" t="s">
        <v>2354</v>
      </c>
      <c r="L2885" s="672" t="s">
        <v>9219</v>
      </c>
    </row>
    <row r="2886" spans="1:12" x14ac:dyDescent="0.2">
      <c r="A2886" s="672" t="s">
        <v>220</v>
      </c>
      <c r="B2886" s="672" t="s">
        <v>5430</v>
      </c>
      <c r="C2886" s="672" t="s">
        <v>7047</v>
      </c>
      <c r="D2886" s="672" t="s">
        <v>8411</v>
      </c>
      <c r="E2886" s="745"/>
      <c r="F2886" s="732">
        <v>10</v>
      </c>
      <c r="G2886" s="737">
        <v>9.766</v>
      </c>
      <c r="H2886" s="685">
        <v>97.66</v>
      </c>
      <c r="I2886" s="672" t="s">
        <v>9218</v>
      </c>
      <c r="J2886" s="672" t="s">
        <v>9219</v>
      </c>
      <c r="K2886" s="672" t="s">
        <v>2354</v>
      </c>
      <c r="L2886" s="672" t="s">
        <v>9219</v>
      </c>
    </row>
    <row r="2887" spans="1:12" x14ac:dyDescent="0.2">
      <c r="A2887" s="672" t="s">
        <v>220</v>
      </c>
      <c r="B2887" s="672" t="s">
        <v>5430</v>
      </c>
      <c r="C2887" s="672" t="s">
        <v>7051</v>
      </c>
      <c r="D2887" s="672" t="s">
        <v>8412</v>
      </c>
      <c r="E2887" s="745"/>
      <c r="F2887" s="732">
        <v>5</v>
      </c>
      <c r="G2887" s="737">
        <v>62</v>
      </c>
      <c r="H2887" s="685">
        <v>310</v>
      </c>
      <c r="I2887" s="672" t="s">
        <v>9218</v>
      </c>
      <c r="J2887" s="672" t="s">
        <v>9219</v>
      </c>
      <c r="K2887" s="672" t="s">
        <v>2354</v>
      </c>
      <c r="L2887" s="672" t="s">
        <v>9219</v>
      </c>
    </row>
    <row r="2888" spans="1:12" x14ac:dyDescent="0.2">
      <c r="A2888" s="672" t="s">
        <v>220</v>
      </c>
      <c r="B2888" s="672" t="s">
        <v>5430</v>
      </c>
      <c r="C2888" s="672" t="s">
        <v>7053</v>
      </c>
      <c r="D2888" s="672" t="s">
        <v>8413</v>
      </c>
      <c r="E2888" s="745"/>
      <c r="F2888" s="732">
        <v>7</v>
      </c>
      <c r="G2888" s="737">
        <v>62</v>
      </c>
      <c r="H2888" s="685">
        <v>434</v>
      </c>
      <c r="I2888" s="672" t="s">
        <v>9218</v>
      </c>
      <c r="J2888" s="672" t="s">
        <v>9219</v>
      </c>
      <c r="K2888" s="672" t="s">
        <v>2354</v>
      </c>
      <c r="L2888" s="672" t="s">
        <v>9219</v>
      </c>
    </row>
    <row r="2889" spans="1:12" x14ac:dyDescent="0.2">
      <c r="A2889" s="672" t="s">
        <v>220</v>
      </c>
      <c r="B2889" s="672" t="s">
        <v>5430</v>
      </c>
      <c r="C2889" s="672" t="s">
        <v>7057</v>
      </c>
      <c r="D2889" s="672" t="s">
        <v>8415</v>
      </c>
      <c r="E2889" s="745"/>
      <c r="F2889" s="732">
        <v>1</v>
      </c>
      <c r="G2889" s="737">
        <v>8.9169999999999998</v>
      </c>
      <c r="H2889" s="685">
        <v>8.9169999999999998</v>
      </c>
      <c r="I2889" s="672" t="s">
        <v>9218</v>
      </c>
      <c r="J2889" s="672" t="s">
        <v>9219</v>
      </c>
      <c r="K2889" s="672" t="s">
        <v>2354</v>
      </c>
      <c r="L2889" s="672" t="s">
        <v>9219</v>
      </c>
    </row>
    <row r="2890" spans="1:12" x14ac:dyDescent="0.2">
      <c r="A2890" s="672" t="s">
        <v>220</v>
      </c>
      <c r="B2890" s="672" t="s">
        <v>5430</v>
      </c>
      <c r="C2890" s="672" t="s">
        <v>7067</v>
      </c>
      <c r="D2890" s="672" t="s">
        <v>8416</v>
      </c>
      <c r="E2890" s="745"/>
      <c r="F2890" s="732">
        <v>1</v>
      </c>
      <c r="G2890" s="737">
        <v>1.089</v>
      </c>
      <c r="H2890" s="685">
        <v>1.089</v>
      </c>
      <c r="I2890" s="672" t="s">
        <v>9218</v>
      </c>
      <c r="J2890" s="672" t="s">
        <v>9219</v>
      </c>
      <c r="K2890" s="672" t="s">
        <v>2354</v>
      </c>
      <c r="L2890" s="672" t="s">
        <v>9219</v>
      </c>
    </row>
    <row r="2891" spans="1:12" x14ac:dyDescent="0.2">
      <c r="A2891" s="672" t="s">
        <v>220</v>
      </c>
      <c r="B2891" s="672" t="s">
        <v>5430</v>
      </c>
      <c r="C2891" s="672" t="s">
        <v>7069</v>
      </c>
      <c r="D2891" s="672" t="s">
        <v>8417</v>
      </c>
      <c r="E2891" s="745"/>
      <c r="F2891" s="732">
        <v>1</v>
      </c>
      <c r="G2891" s="737">
        <v>365.5</v>
      </c>
      <c r="H2891" s="685">
        <v>365.5</v>
      </c>
      <c r="I2891" s="672" t="s">
        <v>9218</v>
      </c>
      <c r="J2891" s="672" t="s">
        <v>9219</v>
      </c>
      <c r="K2891" s="672" t="s">
        <v>2354</v>
      </c>
      <c r="L2891" s="672" t="s">
        <v>9219</v>
      </c>
    </row>
    <row r="2892" spans="1:12" x14ac:dyDescent="0.2">
      <c r="A2892" s="672" t="s">
        <v>220</v>
      </c>
      <c r="B2892" s="672" t="s">
        <v>5430</v>
      </c>
      <c r="C2892" s="672" t="s">
        <v>7071</v>
      </c>
      <c r="D2892" s="672" t="s">
        <v>8418</v>
      </c>
      <c r="E2892" s="745"/>
      <c r="F2892" s="732">
        <v>1</v>
      </c>
      <c r="G2892" s="737">
        <v>833.5</v>
      </c>
      <c r="H2892" s="685">
        <v>833.5</v>
      </c>
      <c r="I2892" s="672" t="s">
        <v>9218</v>
      </c>
      <c r="J2892" s="672" t="s">
        <v>9219</v>
      </c>
      <c r="K2892" s="672" t="s">
        <v>2354</v>
      </c>
      <c r="L2892" s="672" t="s">
        <v>9219</v>
      </c>
    </row>
    <row r="2893" spans="1:12" x14ac:dyDescent="0.2">
      <c r="A2893" s="672" t="s">
        <v>220</v>
      </c>
      <c r="B2893" s="672" t="s">
        <v>5430</v>
      </c>
      <c r="C2893" s="672" t="s">
        <v>7073</v>
      </c>
      <c r="D2893" s="672" t="s">
        <v>8419</v>
      </c>
      <c r="E2893" s="745"/>
      <c r="F2893" s="732">
        <v>1</v>
      </c>
      <c r="G2893" s="737">
        <v>667.68</v>
      </c>
      <c r="H2893" s="685">
        <v>667.68</v>
      </c>
      <c r="I2893" s="672" t="s">
        <v>9218</v>
      </c>
      <c r="J2893" s="672" t="s">
        <v>9219</v>
      </c>
      <c r="K2893" s="672" t="s">
        <v>2354</v>
      </c>
      <c r="L2893" s="672" t="s">
        <v>9219</v>
      </c>
    </row>
    <row r="2894" spans="1:12" x14ac:dyDescent="0.2">
      <c r="A2894" s="672" t="s">
        <v>220</v>
      </c>
      <c r="B2894" s="672" t="s">
        <v>5430</v>
      </c>
      <c r="C2894" s="672" t="s">
        <v>7083</v>
      </c>
      <c r="D2894" s="672" t="s">
        <v>8423</v>
      </c>
      <c r="E2894" s="745"/>
      <c r="F2894" s="732">
        <v>16</v>
      </c>
      <c r="G2894" s="737">
        <v>16.242000000000001</v>
      </c>
      <c r="H2894" s="685">
        <v>259.87200000000001</v>
      </c>
      <c r="I2894" s="672" t="s">
        <v>9218</v>
      </c>
      <c r="J2894" s="672" t="s">
        <v>9219</v>
      </c>
      <c r="K2894" s="672" t="s">
        <v>2354</v>
      </c>
      <c r="L2894" s="672" t="s">
        <v>9219</v>
      </c>
    </row>
    <row r="2895" spans="1:12" x14ac:dyDescent="0.2">
      <c r="A2895" s="672" t="s">
        <v>220</v>
      </c>
      <c r="B2895" s="672" t="s">
        <v>5430</v>
      </c>
      <c r="C2895" s="672" t="s">
        <v>7129</v>
      </c>
      <c r="D2895" s="672" t="s">
        <v>8427</v>
      </c>
      <c r="E2895" s="745"/>
      <c r="F2895" s="732">
        <v>40</v>
      </c>
      <c r="G2895" s="737">
        <v>6.2</v>
      </c>
      <c r="H2895" s="685">
        <v>248</v>
      </c>
      <c r="I2895" s="672" t="s">
        <v>9218</v>
      </c>
      <c r="J2895" s="672" t="s">
        <v>9219</v>
      </c>
      <c r="K2895" s="672" t="s">
        <v>2354</v>
      </c>
      <c r="L2895" s="672" t="s">
        <v>9219</v>
      </c>
    </row>
    <row r="2896" spans="1:12" x14ac:dyDescent="0.2">
      <c r="A2896" s="672" t="s">
        <v>220</v>
      </c>
      <c r="B2896" s="672" t="s">
        <v>5430</v>
      </c>
      <c r="C2896" s="672" t="s">
        <v>7131</v>
      </c>
      <c r="D2896" s="672" t="s">
        <v>8428</v>
      </c>
      <c r="E2896" s="745"/>
      <c r="F2896" s="732">
        <v>8</v>
      </c>
      <c r="G2896" s="737">
        <v>20</v>
      </c>
      <c r="H2896" s="685">
        <v>160</v>
      </c>
      <c r="I2896" s="672" t="s">
        <v>9218</v>
      </c>
      <c r="J2896" s="672" t="s">
        <v>9219</v>
      </c>
      <c r="K2896" s="672" t="s">
        <v>2354</v>
      </c>
      <c r="L2896" s="672" t="s">
        <v>9219</v>
      </c>
    </row>
    <row r="2897" spans="1:12" x14ac:dyDescent="0.2">
      <c r="A2897" s="672" t="s">
        <v>220</v>
      </c>
      <c r="B2897" s="672" t="s">
        <v>5430</v>
      </c>
      <c r="C2897" s="672" t="s">
        <v>7142</v>
      </c>
      <c r="D2897" s="672" t="s">
        <v>8429</v>
      </c>
      <c r="E2897" s="745"/>
      <c r="F2897" s="732">
        <v>1</v>
      </c>
      <c r="G2897" s="737">
        <v>0</v>
      </c>
      <c r="H2897" s="685">
        <v>0</v>
      </c>
      <c r="I2897" s="672" t="s">
        <v>9218</v>
      </c>
      <c r="J2897" s="672" t="s">
        <v>9219</v>
      </c>
      <c r="K2897" s="672" t="s">
        <v>2354</v>
      </c>
      <c r="L2897" s="672" t="s">
        <v>9219</v>
      </c>
    </row>
    <row r="2898" spans="1:12" x14ac:dyDescent="0.2">
      <c r="A2898" s="672" t="s">
        <v>220</v>
      </c>
      <c r="B2898" s="672" t="s">
        <v>5430</v>
      </c>
      <c r="C2898" s="672" t="s">
        <v>7144</v>
      </c>
      <c r="D2898" s="672" t="s">
        <v>8430</v>
      </c>
      <c r="E2898" s="745"/>
      <c r="F2898" s="732">
        <v>1</v>
      </c>
      <c r="G2898" s="737">
        <v>38.46</v>
      </c>
      <c r="H2898" s="685">
        <v>38.46</v>
      </c>
      <c r="I2898" s="672" t="s">
        <v>9218</v>
      </c>
      <c r="J2898" s="672" t="s">
        <v>9219</v>
      </c>
      <c r="K2898" s="672" t="s">
        <v>2354</v>
      </c>
      <c r="L2898" s="672" t="s">
        <v>9219</v>
      </c>
    </row>
    <row r="2899" spans="1:12" x14ac:dyDescent="0.2">
      <c r="A2899" s="672" t="s">
        <v>220</v>
      </c>
      <c r="B2899" s="672" t="s">
        <v>5430</v>
      </c>
      <c r="C2899" s="672" t="s">
        <v>7146</v>
      </c>
      <c r="D2899" s="672" t="s">
        <v>8431</v>
      </c>
      <c r="E2899" s="745"/>
      <c r="F2899" s="732">
        <v>2</v>
      </c>
      <c r="G2899" s="737">
        <v>32.965000000000003</v>
      </c>
      <c r="H2899" s="685">
        <v>65.930000000000007</v>
      </c>
      <c r="I2899" s="672" t="s">
        <v>9218</v>
      </c>
      <c r="J2899" s="672" t="s">
        <v>9219</v>
      </c>
      <c r="K2899" s="672" t="s">
        <v>2354</v>
      </c>
      <c r="L2899" s="672" t="s">
        <v>9219</v>
      </c>
    </row>
    <row r="2900" spans="1:12" x14ac:dyDescent="0.2">
      <c r="A2900" s="672" t="s">
        <v>220</v>
      </c>
      <c r="B2900" s="672" t="s">
        <v>5430</v>
      </c>
      <c r="C2900" s="672" t="s">
        <v>7148</v>
      </c>
      <c r="D2900" s="672" t="s">
        <v>8432</v>
      </c>
      <c r="E2900" s="745"/>
      <c r="F2900" s="732">
        <v>2</v>
      </c>
      <c r="G2900" s="737">
        <v>16.483000000000001</v>
      </c>
      <c r="H2900" s="685">
        <v>32.966000000000001</v>
      </c>
      <c r="I2900" s="672" t="s">
        <v>9218</v>
      </c>
      <c r="J2900" s="672" t="s">
        <v>9219</v>
      </c>
      <c r="K2900" s="672" t="s">
        <v>2354</v>
      </c>
      <c r="L2900" s="672" t="s">
        <v>9219</v>
      </c>
    </row>
    <row r="2901" spans="1:12" x14ac:dyDescent="0.2">
      <c r="A2901" s="672" t="s">
        <v>220</v>
      </c>
      <c r="B2901" s="672" t="s">
        <v>5430</v>
      </c>
      <c r="C2901" s="672" t="s">
        <v>7150</v>
      </c>
      <c r="D2901" s="672" t="s">
        <v>8433</v>
      </c>
      <c r="E2901" s="745"/>
      <c r="F2901" s="732">
        <v>1</v>
      </c>
      <c r="G2901" s="737">
        <v>21.978000000000002</v>
      </c>
      <c r="H2901" s="685">
        <v>21.978000000000002</v>
      </c>
      <c r="I2901" s="672" t="s">
        <v>9218</v>
      </c>
      <c r="J2901" s="672" t="s">
        <v>9219</v>
      </c>
      <c r="K2901" s="672" t="s">
        <v>2354</v>
      </c>
      <c r="L2901" s="672" t="s">
        <v>9219</v>
      </c>
    </row>
    <row r="2902" spans="1:12" x14ac:dyDescent="0.2">
      <c r="A2902" s="672" t="s">
        <v>220</v>
      </c>
      <c r="B2902" s="672" t="s">
        <v>5430</v>
      </c>
      <c r="C2902" s="672" t="s">
        <v>7155</v>
      </c>
      <c r="D2902" s="672" t="s">
        <v>8434</v>
      </c>
      <c r="E2902" s="745"/>
      <c r="F2902" s="732">
        <v>22</v>
      </c>
      <c r="G2902" s="737">
        <v>38</v>
      </c>
      <c r="H2902" s="685">
        <v>836</v>
      </c>
      <c r="I2902" s="672" t="s">
        <v>9218</v>
      </c>
      <c r="J2902" s="672" t="s">
        <v>9219</v>
      </c>
      <c r="K2902" s="672" t="s">
        <v>2354</v>
      </c>
      <c r="L2902" s="672" t="s">
        <v>9219</v>
      </c>
    </row>
    <row r="2903" spans="1:12" x14ac:dyDescent="0.2">
      <c r="A2903" s="672" t="s">
        <v>220</v>
      </c>
      <c r="B2903" s="672" t="s">
        <v>5430</v>
      </c>
      <c r="C2903" s="672" t="s">
        <v>7157</v>
      </c>
      <c r="D2903" s="672" t="s">
        <v>8435</v>
      </c>
      <c r="E2903" s="745"/>
      <c r="F2903" s="732">
        <v>1</v>
      </c>
      <c r="G2903" s="737">
        <v>350</v>
      </c>
      <c r="H2903" s="685">
        <v>350</v>
      </c>
      <c r="I2903" s="672" t="s">
        <v>9218</v>
      </c>
      <c r="J2903" s="672" t="s">
        <v>9219</v>
      </c>
      <c r="K2903" s="672" t="s">
        <v>2354</v>
      </c>
      <c r="L2903" s="672" t="s">
        <v>9219</v>
      </c>
    </row>
    <row r="2904" spans="1:12" x14ac:dyDescent="0.2">
      <c r="A2904" s="672" t="s">
        <v>220</v>
      </c>
      <c r="B2904" s="672" t="s">
        <v>5430</v>
      </c>
      <c r="C2904" s="672" t="s">
        <v>7159</v>
      </c>
      <c r="D2904" s="672" t="s">
        <v>8436</v>
      </c>
      <c r="E2904" s="745"/>
      <c r="F2904" s="732">
        <v>7</v>
      </c>
      <c r="G2904" s="737">
        <v>52.52</v>
      </c>
      <c r="H2904" s="685">
        <v>367.64000000000004</v>
      </c>
      <c r="I2904" s="672" t="s">
        <v>9218</v>
      </c>
      <c r="J2904" s="672" t="s">
        <v>9219</v>
      </c>
      <c r="K2904" s="672" t="s">
        <v>2354</v>
      </c>
      <c r="L2904" s="672" t="s">
        <v>9219</v>
      </c>
    </row>
    <row r="2905" spans="1:12" x14ac:dyDescent="0.2">
      <c r="A2905" s="672" t="s">
        <v>220</v>
      </c>
      <c r="B2905" s="672" t="s">
        <v>5430</v>
      </c>
      <c r="C2905" s="672" t="s">
        <v>8440</v>
      </c>
      <c r="D2905" s="672" t="s">
        <v>8441</v>
      </c>
      <c r="E2905" s="745"/>
      <c r="F2905" s="732">
        <v>8</v>
      </c>
      <c r="G2905" s="737">
        <v>426.08</v>
      </c>
      <c r="H2905" s="685">
        <v>3408.64</v>
      </c>
      <c r="I2905" s="672" t="s">
        <v>9218</v>
      </c>
      <c r="J2905" s="672" t="s">
        <v>9219</v>
      </c>
      <c r="K2905" s="672" t="s">
        <v>2354</v>
      </c>
      <c r="L2905" s="672" t="s">
        <v>9219</v>
      </c>
    </row>
    <row r="2906" spans="1:12" x14ac:dyDescent="0.2">
      <c r="A2906" s="672" t="s">
        <v>220</v>
      </c>
      <c r="B2906" s="672" t="s">
        <v>5430</v>
      </c>
      <c r="C2906" s="672" t="s">
        <v>7214</v>
      </c>
      <c r="D2906" s="672" t="s">
        <v>8444</v>
      </c>
      <c r="E2906" s="745"/>
      <c r="F2906" s="732">
        <v>12</v>
      </c>
      <c r="G2906" s="737">
        <v>22.725000000000001</v>
      </c>
      <c r="H2906" s="685">
        <v>272.70000000000005</v>
      </c>
      <c r="I2906" s="672" t="s">
        <v>9218</v>
      </c>
      <c r="J2906" s="672" t="s">
        <v>9219</v>
      </c>
      <c r="K2906" s="672" t="s">
        <v>2354</v>
      </c>
      <c r="L2906" s="672" t="s">
        <v>9219</v>
      </c>
    </row>
    <row r="2907" spans="1:12" x14ac:dyDescent="0.2">
      <c r="A2907" s="672" t="s">
        <v>220</v>
      </c>
      <c r="B2907" s="672" t="s">
        <v>5430</v>
      </c>
      <c r="C2907" s="672" t="s">
        <v>7225</v>
      </c>
      <c r="D2907" s="672" t="s">
        <v>8445</v>
      </c>
      <c r="E2907" s="745"/>
      <c r="F2907" s="732">
        <v>1</v>
      </c>
      <c r="G2907" s="737">
        <v>54.99</v>
      </c>
      <c r="H2907" s="685">
        <v>54.99</v>
      </c>
      <c r="I2907" s="672" t="s">
        <v>9218</v>
      </c>
      <c r="J2907" s="672" t="s">
        <v>9219</v>
      </c>
      <c r="K2907" s="672" t="s">
        <v>2354</v>
      </c>
      <c r="L2907" s="672" t="s">
        <v>9219</v>
      </c>
    </row>
    <row r="2908" spans="1:12" x14ac:dyDescent="0.2">
      <c r="A2908" s="672" t="s">
        <v>220</v>
      </c>
      <c r="B2908" s="672" t="s">
        <v>5430</v>
      </c>
      <c r="C2908" s="672" t="s">
        <v>7231</v>
      </c>
      <c r="D2908" s="672" t="s">
        <v>8448</v>
      </c>
      <c r="E2908" s="745"/>
      <c r="F2908" s="732">
        <v>10</v>
      </c>
      <c r="G2908" s="737">
        <v>25.65</v>
      </c>
      <c r="H2908" s="685">
        <v>256.5</v>
      </c>
      <c r="I2908" s="672" t="s">
        <v>9218</v>
      </c>
      <c r="J2908" s="672" t="s">
        <v>9219</v>
      </c>
      <c r="K2908" s="672" t="s">
        <v>2354</v>
      </c>
      <c r="L2908" s="672" t="s">
        <v>9219</v>
      </c>
    </row>
    <row r="2909" spans="1:12" x14ac:dyDescent="0.2">
      <c r="A2909" s="672" t="s">
        <v>220</v>
      </c>
      <c r="B2909" s="672" t="s">
        <v>5430</v>
      </c>
      <c r="C2909" s="672" t="s">
        <v>7235</v>
      </c>
      <c r="D2909" s="672" t="s">
        <v>8449</v>
      </c>
      <c r="E2909" s="745"/>
      <c r="F2909" s="732">
        <v>80</v>
      </c>
      <c r="G2909" s="737">
        <v>13.736000000000001</v>
      </c>
      <c r="H2909" s="685">
        <v>1098.8800000000001</v>
      </c>
      <c r="I2909" s="672" t="s">
        <v>9218</v>
      </c>
      <c r="J2909" s="672" t="s">
        <v>9219</v>
      </c>
      <c r="K2909" s="672" t="s">
        <v>2354</v>
      </c>
      <c r="L2909" s="672" t="s">
        <v>9219</v>
      </c>
    </row>
    <row r="2910" spans="1:12" x14ac:dyDescent="0.2">
      <c r="A2910" s="672" t="s">
        <v>220</v>
      </c>
      <c r="B2910" s="672" t="s">
        <v>5430</v>
      </c>
      <c r="C2910" s="672" t="s">
        <v>7252</v>
      </c>
      <c r="D2910" s="672" t="s">
        <v>9438</v>
      </c>
      <c r="E2910" s="745"/>
      <c r="F2910" s="732">
        <v>1</v>
      </c>
      <c r="G2910" s="737">
        <v>269.51400000000001</v>
      </c>
      <c r="H2910" s="685">
        <v>269.51400000000001</v>
      </c>
      <c r="I2910" s="672" t="s">
        <v>9218</v>
      </c>
      <c r="J2910" s="672" t="s">
        <v>9219</v>
      </c>
      <c r="K2910" s="672" t="s">
        <v>2354</v>
      </c>
      <c r="L2910" s="672" t="s">
        <v>9219</v>
      </c>
    </row>
    <row r="2911" spans="1:12" x14ac:dyDescent="0.2">
      <c r="A2911" s="672" t="s">
        <v>220</v>
      </c>
      <c r="B2911" s="672" t="s">
        <v>5430</v>
      </c>
      <c r="C2911" s="672" t="s">
        <v>7260</v>
      </c>
      <c r="D2911" s="672" t="s">
        <v>8451</v>
      </c>
      <c r="E2911" s="745"/>
      <c r="F2911" s="732">
        <v>5</v>
      </c>
      <c r="G2911" s="737">
        <v>3.5223300000000002</v>
      </c>
      <c r="H2911" s="685">
        <v>17.611650000000001</v>
      </c>
      <c r="I2911" s="672" t="s">
        <v>9218</v>
      </c>
      <c r="J2911" s="672" t="s">
        <v>9219</v>
      </c>
      <c r="K2911" s="672" t="s">
        <v>2354</v>
      </c>
      <c r="L2911" s="672" t="s">
        <v>9219</v>
      </c>
    </row>
    <row r="2912" spans="1:12" x14ac:dyDescent="0.2">
      <c r="A2912" s="672" t="s">
        <v>220</v>
      </c>
      <c r="B2912" s="672" t="s">
        <v>5430</v>
      </c>
      <c r="C2912" s="672" t="s">
        <v>7262</v>
      </c>
      <c r="D2912" s="672" t="s">
        <v>8452</v>
      </c>
      <c r="E2912" s="745"/>
      <c r="F2912" s="732">
        <v>5</v>
      </c>
      <c r="G2912" s="737">
        <v>0</v>
      </c>
      <c r="H2912" s="685">
        <v>0</v>
      </c>
      <c r="I2912" s="672" t="s">
        <v>9218</v>
      </c>
      <c r="J2912" s="672" t="s">
        <v>9219</v>
      </c>
      <c r="K2912" s="672" t="s">
        <v>2354</v>
      </c>
      <c r="L2912" s="672" t="s">
        <v>9219</v>
      </c>
    </row>
    <row r="2913" spans="1:12" x14ac:dyDescent="0.2">
      <c r="A2913" s="672" t="s">
        <v>220</v>
      </c>
      <c r="B2913" s="672" t="s">
        <v>5430</v>
      </c>
      <c r="C2913" s="672" t="s">
        <v>7276</v>
      </c>
      <c r="D2913" s="672" t="s">
        <v>8457</v>
      </c>
      <c r="E2913" s="745"/>
      <c r="F2913" s="732">
        <v>3</v>
      </c>
      <c r="G2913" s="737">
        <v>151.28700000000001</v>
      </c>
      <c r="H2913" s="685">
        <v>453.86099999999999</v>
      </c>
      <c r="I2913" s="672" t="s">
        <v>9218</v>
      </c>
      <c r="J2913" s="672" t="s">
        <v>9219</v>
      </c>
      <c r="K2913" s="672" t="s">
        <v>2354</v>
      </c>
      <c r="L2913" s="672" t="s">
        <v>9219</v>
      </c>
    </row>
    <row r="2914" spans="1:12" x14ac:dyDescent="0.2">
      <c r="A2914" s="672" t="s">
        <v>220</v>
      </c>
      <c r="B2914" s="672" t="s">
        <v>5430</v>
      </c>
      <c r="C2914" s="672" t="s">
        <v>8459</v>
      </c>
      <c r="D2914" s="672" t="s">
        <v>8460</v>
      </c>
      <c r="E2914" s="745"/>
      <c r="F2914" s="732">
        <v>8</v>
      </c>
      <c r="G2914" s="737">
        <v>36.03</v>
      </c>
      <c r="H2914" s="685">
        <v>288.24</v>
      </c>
      <c r="I2914" s="672" t="s">
        <v>9218</v>
      </c>
      <c r="J2914" s="672" t="s">
        <v>9219</v>
      </c>
      <c r="K2914" s="672" t="s">
        <v>2354</v>
      </c>
      <c r="L2914" s="672" t="s">
        <v>9219</v>
      </c>
    </row>
    <row r="2915" spans="1:12" x14ac:dyDescent="0.2">
      <c r="A2915" s="672" t="s">
        <v>220</v>
      </c>
      <c r="B2915" s="672" t="s">
        <v>5430</v>
      </c>
      <c r="C2915" s="672" t="s">
        <v>7280</v>
      </c>
      <c r="D2915" s="672" t="s">
        <v>7281</v>
      </c>
      <c r="E2915" s="745"/>
      <c r="F2915" s="732">
        <v>1</v>
      </c>
      <c r="G2915" s="737">
        <v>19.125</v>
      </c>
      <c r="H2915" s="685">
        <v>19.125</v>
      </c>
      <c r="I2915" s="672" t="s">
        <v>9218</v>
      </c>
      <c r="J2915" s="672" t="s">
        <v>9219</v>
      </c>
      <c r="K2915" s="672" t="s">
        <v>2354</v>
      </c>
      <c r="L2915" s="672" t="s">
        <v>9219</v>
      </c>
    </row>
    <row r="2916" spans="1:12" x14ac:dyDescent="0.2">
      <c r="A2916" s="672" t="s">
        <v>220</v>
      </c>
      <c r="B2916" s="672" t="s">
        <v>5430</v>
      </c>
      <c r="C2916" s="672" t="s">
        <v>7286</v>
      </c>
      <c r="D2916" s="672" t="s">
        <v>8464</v>
      </c>
      <c r="E2916" s="745"/>
      <c r="F2916" s="732">
        <v>1</v>
      </c>
      <c r="G2916" s="737">
        <v>97.703000000000003</v>
      </c>
      <c r="H2916" s="685">
        <v>97.703000000000003</v>
      </c>
      <c r="I2916" s="672" t="s">
        <v>9218</v>
      </c>
      <c r="J2916" s="672" t="s">
        <v>9219</v>
      </c>
      <c r="K2916" s="672" t="s">
        <v>2354</v>
      </c>
      <c r="L2916" s="672" t="s">
        <v>9219</v>
      </c>
    </row>
    <row r="2917" spans="1:12" x14ac:dyDescent="0.2">
      <c r="A2917" s="672" t="s">
        <v>220</v>
      </c>
      <c r="B2917" s="672" t="s">
        <v>5430</v>
      </c>
      <c r="C2917" s="672" t="s">
        <v>7292</v>
      </c>
      <c r="D2917" s="672" t="s">
        <v>8465</v>
      </c>
      <c r="E2917" s="745"/>
      <c r="F2917" s="732">
        <v>1</v>
      </c>
      <c r="G2917" s="737">
        <v>71.822999999999993</v>
      </c>
      <c r="H2917" s="685">
        <v>71.822999999999993</v>
      </c>
      <c r="I2917" s="672" t="s">
        <v>9218</v>
      </c>
      <c r="J2917" s="672" t="s">
        <v>9219</v>
      </c>
      <c r="K2917" s="672" t="s">
        <v>2354</v>
      </c>
      <c r="L2917" s="672" t="s">
        <v>9219</v>
      </c>
    </row>
    <row r="2918" spans="1:12" x14ac:dyDescent="0.2">
      <c r="A2918" s="672" t="s">
        <v>220</v>
      </c>
      <c r="B2918" s="672" t="s">
        <v>5430</v>
      </c>
      <c r="C2918" s="672" t="s">
        <v>7294</v>
      </c>
      <c r="D2918" s="672" t="s">
        <v>8466</v>
      </c>
      <c r="E2918" s="745"/>
      <c r="F2918" s="732">
        <v>2</v>
      </c>
      <c r="G2918" s="737">
        <v>23.536000000000001</v>
      </c>
      <c r="H2918" s="685">
        <v>47.072000000000003</v>
      </c>
      <c r="I2918" s="672" t="s">
        <v>9218</v>
      </c>
      <c r="J2918" s="672" t="s">
        <v>9219</v>
      </c>
      <c r="K2918" s="672" t="s">
        <v>2354</v>
      </c>
      <c r="L2918" s="672" t="s">
        <v>9219</v>
      </c>
    </row>
    <row r="2919" spans="1:12" x14ac:dyDescent="0.2">
      <c r="A2919" s="672" t="s">
        <v>220</v>
      </c>
      <c r="B2919" s="672" t="s">
        <v>5430</v>
      </c>
      <c r="C2919" s="672" t="s">
        <v>7300</v>
      </c>
      <c r="D2919" s="672" t="s">
        <v>8468</v>
      </c>
      <c r="E2919" s="745"/>
      <c r="F2919" s="732">
        <v>10</v>
      </c>
      <c r="G2919" s="737">
        <v>18.908000000000001</v>
      </c>
      <c r="H2919" s="685">
        <v>189.08</v>
      </c>
      <c r="I2919" s="672" t="s">
        <v>9218</v>
      </c>
      <c r="J2919" s="672" t="s">
        <v>9219</v>
      </c>
      <c r="K2919" s="672" t="s">
        <v>2354</v>
      </c>
      <c r="L2919" s="672" t="s">
        <v>9219</v>
      </c>
    </row>
    <row r="2920" spans="1:12" x14ac:dyDescent="0.2">
      <c r="A2920" s="672" t="s">
        <v>220</v>
      </c>
      <c r="B2920" s="672" t="s">
        <v>5430</v>
      </c>
      <c r="C2920" s="672" t="s">
        <v>7302</v>
      </c>
      <c r="D2920" s="672" t="s">
        <v>8469</v>
      </c>
      <c r="E2920" s="745"/>
      <c r="F2920" s="732">
        <v>5</v>
      </c>
      <c r="G2920" s="737">
        <v>19.975000000000001</v>
      </c>
      <c r="H2920" s="685">
        <v>99.875</v>
      </c>
      <c r="I2920" s="672" t="s">
        <v>9218</v>
      </c>
      <c r="J2920" s="672" t="s">
        <v>9219</v>
      </c>
      <c r="K2920" s="672" t="s">
        <v>2354</v>
      </c>
      <c r="L2920" s="672" t="s">
        <v>9219</v>
      </c>
    </row>
    <row r="2921" spans="1:12" x14ac:dyDescent="0.2">
      <c r="A2921" s="672" t="s">
        <v>220</v>
      </c>
      <c r="B2921" s="672" t="s">
        <v>5430</v>
      </c>
      <c r="C2921" s="672" t="s">
        <v>7306</v>
      </c>
      <c r="D2921" s="672" t="s">
        <v>8471</v>
      </c>
      <c r="E2921" s="745"/>
      <c r="F2921" s="732">
        <v>3</v>
      </c>
      <c r="G2921" s="737">
        <v>70</v>
      </c>
      <c r="H2921" s="685">
        <v>210</v>
      </c>
      <c r="I2921" s="672" t="s">
        <v>9218</v>
      </c>
      <c r="J2921" s="672" t="s">
        <v>9219</v>
      </c>
      <c r="K2921" s="672" t="s">
        <v>2354</v>
      </c>
      <c r="L2921" s="672" t="s">
        <v>9219</v>
      </c>
    </row>
    <row r="2922" spans="1:12" x14ac:dyDescent="0.2">
      <c r="A2922" s="672" t="s">
        <v>220</v>
      </c>
      <c r="B2922" s="672" t="s">
        <v>5430</v>
      </c>
      <c r="C2922" s="672" t="s">
        <v>7308</v>
      </c>
      <c r="D2922" s="672" t="s">
        <v>8472</v>
      </c>
      <c r="E2922" s="745"/>
      <c r="F2922" s="732">
        <v>2</v>
      </c>
      <c r="G2922" s="737">
        <v>70</v>
      </c>
      <c r="H2922" s="685">
        <v>140</v>
      </c>
      <c r="I2922" s="672" t="s">
        <v>9218</v>
      </c>
      <c r="J2922" s="672" t="s">
        <v>9219</v>
      </c>
      <c r="K2922" s="672" t="s">
        <v>2354</v>
      </c>
      <c r="L2922" s="672" t="s">
        <v>9219</v>
      </c>
    </row>
    <row r="2923" spans="1:12" x14ac:dyDescent="0.2">
      <c r="A2923" s="672" t="s">
        <v>220</v>
      </c>
      <c r="B2923" s="672" t="s">
        <v>5430</v>
      </c>
      <c r="C2923" s="672" t="s">
        <v>7312</v>
      </c>
      <c r="D2923" s="672" t="s">
        <v>8473</v>
      </c>
      <c r="E2923" s="745"/>
      <c r="F2923" s="732">
        <v>2</v>
      </c>
      <c r="G2923" s="737">
        <v>377.78399999999999</v>
      </c>
      <c r="H2923" s="685">
        <v>755.56799999999998</v>
      </c>
      <c r="I2923" s="672" t="s">
        <v>9218</v>
      </c>
      <c r="J2923" s="672" t="s">
        <v>9219</v>
      </c>
      <c r="K2923" s="672" t="s">
        <v>2354</v>
      </c>
      <c r="L2923" s="672" t="s">
        <v>9219</v>
      </c>
    </row>
    <row r="2924" spans="1:12" x14ac:dyDescent="0.2">
      <c r="A2924" s="672" t="s">
        <v>220</v>
      </c>
      <c r="B2924" s="672" t="s">
        <v>5430</v>
      </c>
      <c r="C2924" s="672" t="s">
        <v>7314</v>
      </c>
      <c r="D2924" s="672" t="s">
        <v>7315</v>
      </c>
      <c r="E2924" s="745"/>
      <c r="F2924" s="732">
        <v>2</v>
      </c>
      <c r="G2924" s="737">
        <v>28.763000000000002</v>
      </c>
      <c r="H2924" s="685">
        <v>57.526000000000003</v>
      </c>
      <c r="I2924" s="672" t="s">
        <v>9218</v>
      </c>
      <c r="J2924" s="672" t="s">
        <v>9219</v>
      </c>
      <c r="K2924" s="672" t="s">
        <v>2354</v>
      </c>
      <c r="L2924" s="672" t="s">
        <v>9219</v>
      </c>
    </row>
    <row r="2925" spans="1:12" x14ac:dyDescent="0.2">
      <c r="A2925" s="672" t="s">
        <v>220</v>
      </c>
      <c r="B2925" s="672" t="s">
        <v>5430</v>
      </c>
      <c r="C2925" s="672" t="s">
        <v>5303</v>
      </c>
      <c r="D2925" s="672" t="s">
        <v>8475</v>
      </c>
      <c r="E2925" s="745"/>
      <c r="F2925" s="732">
        <v>2</v>
      </c>
      <c r="G2925" s="737">
        <v>367.673</v>
      </c>
      <c r="H2925" s="685">
        <v>735.346</v>
      </c>
      <c r="I2925" s="672" t="s">
        <v>9218</v>
      </c>
      <c r="J2925" s="672" t="s">
        <v>9219</v>
      </c>
      <c r="K2925" s="672" t="s">
        <v>2354</v>
      </c>
      <c r="L2925" s="672" t="s">
        <v>9219</v>
      </c>
    </row>
    <row r="2926" spans="1:12" x14ac:dyDescent="0.2">
      <c r="A2926" s="672" t="s">
        <v>220</v>
      </c>
      <c r="B2926" s="672" t="s">
        <v>5430</v>
      </c>
      <c r="C2926" s="672" t="s">
        <v>7334</v>
      </c>
      <c r="D2926" s="672" t="s">
        <v>8476</v>
      </c>
      <c r="E2926" s="745"/>
      <c r="F2926" s="732">
        <v>3</v>
      </c>
      <c r="G2926" s="737">
        <v>426.077</v>
      </c>
      <c r="H2926" s="685">
        <v>1278.231</v>
      </c>
      <c r="I2926" s="672" t="s">
        <v>9218</v>
      </c>
      <c r="J2926" s="672" t="s">
        <v>9219</v>
      </c>
      <c r="K2926" s="672" t="s">
        <v>2354</v>
      </c>
      <c r="L2926" s="672" t="s">
        <v>9219</v>
      </c>
    </row>
    <row r="2927" spans="1:12" x14ac:dyDescent="0.2">
      <c r="A2927" s="672" t="s">
        <v>220</v>
      </c>
      <c r="B2927" s="672" t="s">
        <v>5430</v>
      </c>
      <c r="C2927" s="672" t="s">
        <v>5305</v>
      </c>
      <c r="D2927" s="672" t="s">
        <v>8477</v>
      </c>
      <c r="E2927" s="745"/>
      <c r="F2927" s="732">
        <v>1</v>
      </c>
      <c r="G2927" s="737">
        <v>529.20000000000005</v>
      </c>
      <c r="H2927" s="685">
        <v>529.20000000000005</v>
      </c>
      <c r="I2927" s="672" t="s">
        <v>9218</v>
      </c>
      <c r="J2927" s="672" t="s">
        <v>9219</v>
      </c>
      <c r="K2927" s="672" t="s">
        <v>2354</v>
      </c>
      <c r="L2927" s="672" t="s">
        <v>9219</v>
      </c>
    </row>
    <row r="2928" spans="1:12" x14ac:dyDescent="0.2">
      <c r="A2928" s="672" t="s">
        <v>220</v>
      </c>
      <c r="B2928" s="672" t="s">
        <v>5430</v>
      </c>
      <c r="C2928" s="672" t="s">
        <v>7336</v>
      </c>
      <c r="D2928" s="672" t="s">
        <v>8478</v>
      </c>
      <c r="E2928" s="745"/>
      <c r="F2928" s="732">
        <v>1</v>
      </c>
      <c r="G2928" s="737">
        <v>377.142</v>
      </c>
      <c r="H2928" s="685">
        <v>377.142</v>
      </c>
      <c r="I2928" s="672" t="s">
        <v>9218</v>
      </c>
      <c r="J2928" s="672" t="s">
        <v>9219</v>
      </c>
      <c r="K2928" s="672" t="s">
        <v>2354</v>
      </c>
      <c r="L2928" s="672" t="s">
        <v>9219</v>
      </c>
    </row>
    <row r="2929" spans="1:12" x14ac:dyDescent="0.2">
      <c r="A2929" s="672" t="s">
        <v>220</v>
      </c>
      <c r="B2929" s="672" t="s">
        <v>5430</v>
      </c>
      <c r="C2929" s="672" t="s">
        <v>7338</v>
      </c>
      <c r="D2929" s="672" t="s">
        <v>8480</v>
      </c>
      <c r="E2929" s="745"/>
      <c r="F2929" s="732">
        <v>1</v>
      </c>
      <c r="G2929" s="737">
        <v>372.10500000000002</v>
      </c>
      <c r="H2929" s="685">
        <v>372.10500000000002</v>
      </c>
      <c r="I2929" s="672" t="s">
        <v>9218</v>
      </c>
      <c r="J2929" s="672" t="s">
        <v>9219</v>
      </c>
      <c r="K2929" s="672" t="s">
        <v>2354</v>
      </c>
      <c r="L2929" s="672" t="s">
        <v>9219</v>
      </c>
    </row>
    <row r="2930" spans="1:12" x14ac:dyDescent="0.2">
      <c r="A2930" s="672" t="s">
        <v>220</v>
      </c>
      <c r="B2930" s="672" t="s">
        <v>5430</v>
      </c>
      <c r="C2930" s="672" t="s">
        <v>7340</v>
      </c>
      <c r="D2930" s="672" t="s">
        <v>8481</v>
      </c>
      <c r="E2930" s="745"/>
      <c r="F2930" s="732">
        <v>1</v>
      </c>
      <c r="G2930" s="737">
        <v>1.681</v>
      </c>
      <c r="H2930" s="685">
        <v>1.681</v>
      </c>
      <c r="I2930" s="672" t="s">
        <v>9218</v>
      </c>
      <c r="J2930" s="672" t="s">
        <v>9219</v>
      </c>
      <c r="K2930" s="672" t="s">
        <v>2354</v>
      </c>
      <c r="L2930" s="672" t="s">
        <v>9219</v>
      </c>
    </row>
    <row r="2931" spans="1:12" x14ac:dyDescent="0.2">
      <c r="A2931" s="672" t="s">
        <v>220</v>
      </c>
      <c r="B2931" s="672" t="s">
        <v>5430</v>
      </c>
      <c r="C2931" s="672" t="s">
        <v>7342</v>
      </c>
      <c r="D2931" s="672" t="s">
        <v>7343</v>
      </c>
      <c r="E2931" s="745"/>
      <c r="F2931" s="732">
        <v>1</v>
      </c>
      <c r="G2931" s="737">
        <v>10.81</v>
      </c>
      <c r="H2931" s="685">
        <v>10.81</v>
      </c>
      <c r="I2931" s="672" t="s">
        <v>9218</v>
      </c>
      <c r="J2931" s="672" t="s">
        <v>9219</v>
      </c>
      <c r="K2931" s="672" t="s">
        <v>2354</v>
      </c>
      <c r="L2931" s="672" t="s">
        <v>9219</v>
      </c>
    </row>
    <row r="2932" spans="1:12" x14ac:dyDescent="0.2">
      <c r="A2932" s="672" t="s">
        <v>220</v>
      </c>
      <c r="B2932" s="672" t="s">
        <v>5430</v>
      </c>
      <c r="C2932" s="672" t="s">
        <v>8485</v>
      </c>
      <c r="D2932" s="672" t="s">
        <v>8486</v>
      </c>
      <c r="E2932" s="745"/>
      <c r="F2932" s="732">
        <v>1</v>
      </c>
      <c r="G2932" s="737">
        <v>220.99</v>
      </c>
      <c r="H2932" s="685">
        <v>220.99</v>
      </c>
      <c r="I2932" s="672" t="s">
        <v>9218</v>
      </c>
      <c r="J2932" s="672" t="s">
        <v>9219</v>
      </c>
      <c r="K2932" s="672" t="s">
        <v>2354</v>
      </c>
      <c r="L2932" s="672" t="s">
        <v>9219</v>
      </c>
    </row>
    <row r="2933" spans="1:12" x14ac:dyDescent="0.2">
      <c r="A2933" s="672" t="s">
        <v>220</v>
      </c>
      <c r="B2933" s="672" t="s">
        <v>5430</v>
      </c>
      <c r="C2933" s="672" t="s">
        <v>5680</v>
      </c>
      <c r="D2933" s="672" t="s">
        <v>8491</v>
      </c>
      <c r="E2933" s="745"/>
      <c r="F2933" s="732">
        <v>8</v>
      </c>
      <c r="G2933" s="737">
        <v>8.7989999999999995</v>
      </c>
      <c r="H2933" s="685">
        <v>70.391999999999996</v>
      </c>
      <c r="I2933" s="672" t="s">
        <v>9218</v>
      </c>
      <c r="J2933" s="672" t="s">
        <v>9219</v>
      </c>
      <c r="K2933" s="672" t="s">
        <v>2354</v>
      </c>
      <c r="L2933" s="672" t="s">
        <v>9219</v>
      </c>
    </row>
    <row r="2934" spans="1:12" x14ac:dyDescent="0.2">
      <c r="A2934" s="672" t="s">
        <v>220</v>
      </c>
      <c r="B2934" s="672" t="s">
        <v>5430</v>
      </c>
      <c r="C2934" s="672" t="s">
        <v>5682</v>
      </c>
      <c r="D2934" s="672" t="s">
        <v>5683</v>
      </c>
      <c r="E2934" s="745"/>
      <c r="F2934" s="732">
        <v>3</v>
      </c>
      <c r="G2934" s="737">
        <v>34.466999999999999</v>
      </c>
      <c r="H2934" s="685">
        <v>103.401</v>
      </c>
      <c r="I2934" s="672" t="s">
        <v>9218</v>
      </c>
      <c r="J2934" s="672" t="s">
        <v>9219</v>
      </c>
      <c r="K2934" s="672" t="s">
        <v>2354</v>
      </c>
      <c r="L2934" s="672" t="s">
        <v>9219</v>
      </c>
    </row>
    <row r="2935" spans="1:12" x14ac:dyDescent="0.2">
      <c r="A2935" s="672" t="s">
        <v>220</v>
      </c>
      <c r="B2935" s="672" t="s">
        <v>5430</v>
      </c>
      <c r="C2935" s="672" t="s">
        <v>2712</v>
      </c>
      <c r="D2935" s="672" t="s">
        <v>8493</v>
      </c>
      <c r="E2935" s="745"/>
      <c r="F2935" s="732">
        <v>1</v>
      </c>
      <c r="G2935" s="737">
        <v>30.113999999999997</v>
      </c>
      <c r="H2935" s="685">
        <v>30.113999999999997</v>
      </c>
      <c r="I2935" s="672" t="s">
        <v>9218</v>
      </c>
      <c r="J2935" s="672" t="s">
        <v>9219</v>
      </c>
      <c r="K2935" s="672" t="s">
        <v>2354</v>
      </c>
      <c r="L2935" s="672" t="s">
        <v>9219</v>
      </c>
    </row>
    <row r="2936" spans="1:12" x14ac:dyDescent="0.2">
      <c r="A2936" s="672" t="s">
        <v>220</v>
      </c>
      <c r="B2936" s="672" t="s">
        <v>5430</v>
      </c>
      <c r="C2936" s="672" t="s">
        <v>8494</v>
      </c>
      <c r="D2936" s="672" t="s">
        <v>5685</v>
      </c>
      <c r="E2936" s="745"/>
      <c r="F2936" s="732">
        <v>2</v>
      </c>
      <c r="G2936" s="737">
        <v>29.474</v>
      </c>
      <c r="H2936" s="685">
        <v>58.948</v>
      </c>
      <c r="I2936" s="672" t="s">
        <v>9218</v>
      </c>
      <c r="J2936" s="672" t="s">
        <v>9219</v>
      </c>
      <c r="K2936" s="672" t="s">
        <v>2354</v>
      </c>
      <c r="L2936" s="672" t="s">
        <v>9219</v>
      </c>
    </row>
    <row r="2937" spans="1:12" x14ac:dyDescent="0.2">
      <c r="A2937" s="672" t="s">
        <v>220</v>
      </c>
      <c r="B2937" s="672" t="s">
        <v>5430</v>
      </c>
      <c r="C2937" s="672" t="s">
        <v>2716</v>
      </c>
      <c r="D2937" s="672" t="s">
        <v>2717</v>
      </c>
      <c r="E2937" s="745"/>
      <c r="F2937" s="732">
        <v>2</v>
      </c>
      <c r="G2937" s="737">
        <v>18.18</v>
      </c>
      <c r="H2937" s="685">
        <v>36.36</v>
      </c>
      <c r="I2937" s="672" t="s">
        <v>9218</v>
      </c>
      <c r="J2937" s="672" t="s">
        <v>9219</v>
      </c>
      <c r="K2937" s="672" t="s">
        <v>2354</v>
      </c>
      <c r="L2937" s="672" t="s">
        <v>9219</v>
      </c>
    </row>
    <row r="2938" spans="1:12" x14ac:dyDescent="0.2">
      <c r="A2938" s="672" t="s">
        <v>220</v>
      </c>
      <c r="B2938" s="672" t="s">
        <v>5430</v>
      </c>
      <c r="C2938" s="672" t="s">
        <v>2718</v>
      </c>
      <c r="D2938" s="672" t="s">
        <v>2719</v>
      </c>
      <c r="E2938" s="745"/>
      <c r="F2938" s="732">
        <v>2</v>
      </c>
      <c r="G2938" s="737">
        <v>21.285</v>
      </c>
      <c r="H2938" s="685">
        <v>42.57</v>
      </c>
      <c r="I2938" s="672" t="s">
        <v>9218</v>
      </c>
      <c r="J2938" s="672" t="s">
        <v>9219</v>
      </c>
      <c r="K2938" s="672" t="s">
        <v>2354</v>
      </c>
      <c r="L2938" s="672" t="s">
        <v>9219</v>
      </c>
    </row>
    <row r="2939" spans="1:12" x14ac:dyDescent="0.2">
      <c r="A2939" s="672" t="s">
        <v>220</v>
      </c>
      <c r="B2939" s="672" t="s">
        <v>5430</v>
      </c>
      <c r="C2939" s="672" t="s">
        <v>2720</v>
      </c>
      <c r="D2939" s="672" t="s">
        <v>2721</v>
      </c>
      <c r="E2939" s="745"/>
      <c r="F2939" s="732">
        <v>2</v>
      </c>
      <c r="G2939" s="737">
        <v>27</v>
      </c>
      <c r="H2939" s="685">
        <v>54</v>
      </c>
      <c r="I2939" s="672" t="s">
        <v>9218</v>
      </c>
      <c r="J2939" s="672" t="s">
        <v>9219</v>
      </c>
      <c r="K2939" s="672" t="s">
        <v>2354</v>
      </c>
      <c r="L2939" s="672" t="s">
        <v>9219</v>
      </c>
    </row>
    <row r="2940" spans="1:12" x14ac:dyDescent="0.2">
      <c r="A2940" s="672" t="s">
        <v>220</v>
      </c>
      <c r="B2940" s="672" t="s">
        <v>5430</v>
      </c>
      <c r="C2940" s="672" t="s">
        <v>2722</v>
      </c>
      <c r="D2940" s="672" t="s">
        <v>2723</v>
      </c>
      <c r="E2940" s="745"/>
      <c r="F2940" s="732">
        <v>2</v>
      </c>
      <c r="G2940" s="737">
        <v>15.222000000000001</v>
      </c>
      <c r="H2940" s="685">
        <v>30.444000000000003</v>
      </c>
      <c r="I2940" s="672" t="s">
        <v>9218</v>
      </c>
      <c r="J2940" s="672" t="s">
        <v>9219</v>
      </c>
      <c r="K2940" s="672" t="s">
        <v>2354</v>
      </c>
      <c r="L2940" s="672" t="s">
        <v>9219</v>
      </c>
    </row>
    <row r="2941" spans="1:12" x14ac:dyDescent="0.2">
      <c r="A2941" s="672" t="s">
        <v>220</v>
      </c>
      <c r="B2941" s="672" t="s">
        <v>5430</v>
      </c>
      <c r="D2941" s="672" t="s">
        <v>9450</v>
      </c>
      <c r="E2941" s="745"/>
      <c r="F2941" s="732">
        <v>2</v>
      </c>
      <c r="G2941" s="737">
        <v>52.5</v>
      </c>
      <c r="H2941" s="685">
        <v>105</v>
      </c>
      <c r="I2941" s="672" t="s">
        <v>9218</v>
      </c>
      <c r="J2941" s="672" t="s">
        <v>9219</v>
      </c>
      <c r="K2941" s="672" t="s">
        <v>2354</v>
      </c>
      <c r="L2941" s="672" t="s">
        <v>9219</v>
      </c>
    </row>
    <row r="2942" spans="1:12" x14ac:dyDescent="0.2">
      <c r="A2942" s="672" t="s">
        <v>220</v>
      </c>
      <c r="B2942" s="672" t="s">
        <v>5430</v>
      </c>
      <c r="C2942" s="672" t="s">
        <v>2724</v>
      </c>
      <c r="D2942" s="672" t="s">
        <v>2725</v>
      </c>
      <c r="E2942" s="745"/>
      <c r="F2942" s="732">
        <v>2</v>
      </c>
      <c r="G2942" s="737">
        <v>25.861049999999999</v>
      </c>
      <c r="H2942" s="685">
        <v>51.722099999999998</v>
      </c>
      <c r="I2942" s="672" t="s">
        <v>9218</v>
      </c>
      <c r="J2942" s="672" t="s">
        <v>9219</v>
      </c>
      <c r="K2942" s="672" t="s">
        <v>2354</v>
      </c>
      <c r="L2942" s="672" t="s">
        <v>9219</v>
      </c>
    </row>
    <row r="2943" spans="1:12" x14ac:dyDescent="0.2">
      <c r="A2943" s="672" t="s">
        <v>220</v>
      </c>
      <c r="B2943" s="672" t="s">
        <v>5430</v>
      </c>
      <c r="C2943" s="672" t="s">
        <v>2726</v>
      </c>
      <c r="D2943" s="672" t="s">
        <v>2727</v>
      </c>
      <c r="E2943" s="745"/>
      <c r="F2943" s="732">
        <v>2</v>
      </c>
      <c r="G2943" s="737">
        <v>42.3</v>
      </c>
      <c r="H2943" s="685">
        <v>84.6</v>
      </c>
      <c r="I2943" s="672" t="s">
        <v>9218</v>
      </c>
      <c r="J2943" s="672" t="s">
        <v>9219</v>
      </c>
      <c r="K2943" s="672" t="s">
        <v>2354</v>
      </c>
      <c r="L2943" s="672" t="s">
        <v>9219</v>
      </c>
    </row>
    <row r="2944" spans="1:12" x14ac:dyDescent="0.2">
      <c r="A2944" s="672" t="s">
        <v>220</v>
      </c>
      <c r="B2944" s="672" t="s">
        <v>5430</v>
      </c>
      <c r="C2944" s="672" t="s">
        <v>5787</v>
      </c>
      <c r="D2944" s="672" t="s">
        <v>5788</v>
      </c>
      <c r="E2944" s="745"/>
      <c r="F2944" s="732">
        <v>50</v>
      </c>
      <c r="G2944" s="737">
        <v>2.0499999999999998</v>
      </c>
      <c r="H2944" s="685">
        <v>102.49999999999999</v>
      </c>
      <c r="I2944" s="672" t="s">
        <v>9218</v>
      </c>
      <c r="J2944" s="672" t="s">
        <v>9219</v>
      </c>
      <c r="K2944" s="672" t="s">
        <v>2354</v>
      </c>
      <c r="L2944" s="672" t="s">
        <v>9219</v>
      </c>
    </row>
    <row r="2945" spans="1:12" x14ac:dyDescent="0.2">
      <c r="A2945" s="672" t="s">
        <v>220</v>
      </c>
      <c r="B2945" s="672" t="s">
        <v>5430</v>
      </c>
      <c r="C2945" s="672" t="s">
        <v>3145</v>
      </c>
      <c r="D2945" s="672" t="s">
        <v>8495</v>
      </c>
      <c r="E2945" s="745"/>
      <c r="F2945" s="732">
        <v>10</v>
      </c>
      <c r="G2945" s="737">
        <v>3.3993000000000002</v>
      </c>
      <c r="H2945" s="685">
        <v>33.993000000000002</v>
      </c>
      <c r="I2945" s="672" t="s">
        <v>9218</v>
      </c>
      <c r="J2945" s="672" t="s">
        <v>9219</v>
      </c>
      <c r="K2945" s="672" t="s">
        <v>2354</v>
      </c>
      <c r="L2945" s="672" t="s">
        <v>9219</v>
      </c>
    </row>
    <row r="2946" spans="1:12" x14ac:dyDescent="0.2">
      <c r="A2946" s="672" t="s">
        <v>220</v>
      </c>
      <c r="B2946" s="672" t="s">
        <v>5430</v>
      </c>
      <c r="C2946" s="672" t="s">
        <v>6234</v>
      </c>
      <c r="D2946" s="672" t="s">
        <v>8496</v>
      </c>
      <c r="E2946" s="745"/>
      <c r="F2946" s="732">
        <v>22</v>
      </c>
      <c r="G2946" s="737">
        <v>2.6747999999999998</v>
      </c>
      <c r="H2946" s="685">
        <v>58.845599999999997</v>
      </c>
      <c r="I2946" s="672" t="s">
        <v>9218</v>
      </c>
      <c r="J2946" s="672" t="s">
        <v>9219</v>
      </c>
      <c r="K2946" s="672" t="s">
        <v>2354</v>
      </c>
      <c r="L2946" s="672" t="s">
        <v>9219</v>
      </c>
    </row>
    <row r="2947" spans="1:12" x14ac:dyDescent="0.2">
      <c r="A2947" s="672" t="s">
        <v>220</v>
      </c>
      <c r="B2947" s="672" t="s">
        <v>5430</v>
      </c>
      <c r="C2947" s="672" t="s">
        <v>3149</v>
      </c>
      <c r="D2947" s="672" t="s">
        <v>8497</v>
      </c>
      <c r="E2947" s="745"/>
      <c r="F2947" s="732">
        <v>12</v>
      </c>
      <c r="G2947" s="737">
        <v>1.1348999999999998</v>
      </c>
      <c r="H2947" s="685">
        <v>13.618799999999997</v>
      </c>
      <c r="I2947" s="672" t="s">
        <v>9218</v>
      </c>
      <c r="J2947" s="672" t="s">
        <v>9219</v>
      </c>
      <c r="K2947" s="672" t="s">
        <v>2354</v>
      </c>
      <c r="L2947" s="672" t="s">
        <v>9219</v>
      </c>
    </row>
    <row r="2948" spans="1:12" x14ac:dyDescent="0.2">
      <c r="A2948" s="672" t="s">
        <v>220</v>
      </c>
      <c r="B2948" s="672" t="s">
        <v>5430</v>
      </c>
      <c r="C2948" s="672" t="s">
        <v>3153</v>
      </c>
      <c r="D2948" s="672" t="s">
        <v>8498</v>
      </c>
      <c r="E2948" s="745"/>
      <c r="F2948" s="732">
        <v>12</v>
      </c>
      <c r="G2948" s="737">
        <v>4.1769999999999996</v>
      </c>
      <c r="H2948" s="685">
        <v>50.123999999999995</v>
      </c>
      <c r="I2948" s="672" t="s">
        <v>9218</v>
      </c>
      <c r="J2948" s="672" t="s">
        <v>9219</v>
      </c>
      <c r="K2948" s="672" t="s">
        <v>2354</v>
      </c>
      <c r="L2948" s="672" t="s">
        <v>9219</v>
      </c>
    </row>
    <row r="2949" spans="1:12" x14ac:dyDescent="0.2">
      <c r="A2949" s="672" t="s">
        <v>220</v>
      </c>
      <c r="B2949" s="672" t="s">
        <v>5430</v>
      </c>
      <c r="C2949" s="672" t="s">
        <v>6237</v>
      </c>
      <c r="D2949" s="672" t="s">
        <v>8500</v>
      </c>
      <c r="E2949" s="745"/>
      <c r="F2949" s="732">
        <v>20</v>
      </c>
      <c r="G2949" s="737">
        <v>8.702</v>
      </c>
      <c r="H2949" s="685">
        <v>174.04</v>
      </c>
      <c r="I2949" s="672" t="s">
        <v>9218</v>
      </c>
      <c r="J2949" s="672" t="s">
        <v>9219</v>
      </c>
      <c r="K2949" s="672" t="s">
        <v>2354</v>
      </c>
      <c r="L2949" s="672" t="s">
        <v>9219</v>
      </c>
    </row>
    <row r="2950" spans="1:12" x14ac:dyDescent="0.2">
      <c r="A2950" s="672" t="s">
        <v>220</v>
      </c>
      <c r="B2950" s="672" t="s">
        <v>5430</v>
      </c>
      <c r="C2950" s="672" t="s">
        <v>6239</v>
      </c>
      <c r="D2950" s="672" t="s">
        <v>8501</v>
      </c>
      <c r="E2950" s="745"/>
      <c r="F2950" s="732">
        <v>10</v>
      </c>
      <c r="G2950" s="737">
        <v>13.973000000000001</v>
      </c>
      <c r="H2950" s="685">
        <v>139.73000000000002</v>
      </c>
      <c r="I2950" s="672" t="s">
        <v>9218</v>
      </c>
      <c r="J2950" s="672" t="s">
        <v>9219</v>
      </c>
      <c r="K2950" s="672" t="s">
        <v>2354</v>
      </c>
      <c r="L2950" s="672" t="s">
        <v>9219</v>
      </c>
    </row>
    <row r="2951" spans="1:12" x14ac:dyDescent="0.2">
      <c r="A2951" s="672" t="s">
        <v>220</v>
      </c>
      <c r="B2951" s="672" t="s">
        <v>5430</v>
      </c>
      <c r="C2951" s="672" t="s">
        <v>6241</v>
      </c>
      <c r="D2951" s="672" t="s">
        <v>8502</v>
      </c>
      <c r="E2951" s="745"/>
      <c r="F2951" s="732">
        <v>5</v>
      </c>
      <c r="G2951" s="737">
        <v>4.7530000000000001</v>
      </c>
      <c r="H2951" s="685">
        <v>23.765000000000001</v>
      </c>
      <c r="I2951" s="672" t="s">
        <v>9218</v>
      </c>
      <c r="J2951" s="672" t="s">
        <v>9219</v>
      </c>
      <c r="K2951" s="672" t="s">
        <v>2354</v>
      </c>
      <c r="L2951" s="672" t="s">
        <v>9219</v>
      </c>
    </row>
    <row r="2952" spans="1:12" x14ac:dyDescent="0.2">
      <c r="A2952" s="672" t="s">
        <v>220</v>
      </c>
      <c r="B2952" s="672" t="s">
        <v>5430</v>
      </c>
      <c r="C2952" s="672" t="s">
        <v>6245</v>
      </c>
      <c r="D2952" s="672" t="s">
        <v>8504</v>
      </c>
      <c r="E2952" s="745"/>
      <c r="F2952" s="732">
        <v>4</v>
      </c>
      <c r="G2952" s="737">
        <v>45.441000000000003</v>
      </c>
      <c r="H2952" s="685">
        <v>181.76400000000001</v>
      </c>
      <c r="I2952" s="672" t="s">
        <v>9218</v>
      </c>
      <c r="J2952" s="672" t="s">
        <v>9219</v>
      </c>
      <c r="K2952" s="672" t="s">
        <v>2354</v>
      </c>
      <c r="L2952" s="672" t="s">
        <v>9219</v>
      </c>
    </row>
    <row r="2953" spans="1:12" x14ac:dyDescent="0.2">
      <c r="A2953" s="672" t="s">
        <v>220</v>
      </c>
      <c r="B2953" s="672" t="s">
        <v>5430</v>
      </c>
      <c r="C2953" s="672" t="s">
        <v>6247</v>
      </c>
      <c r="D2953" s="672" t="s">
        <v>8505</v>
      </c>
      <c r="E2953" s="745"/>
      <c r="F2953" s="732">
        <v>13</v>
      </c>
      <c r="G2953" s="737">
        <v>8.4109999999999996</v>
      </c>
      <c r="H2953" s="685">
        <v>109.34299999999999</v>
      </c>
      <c r="I2953" s="672" t="s">
        <v>9218</v>
      </c>
      <c r="J2953" s="672" t="s">
        <v>9219</v>
      </c>
      <c r="K2953" s="672" t="s">
        <v>2354</v>
      </c>
      <c r="L2953" s="672" t="s">
        <v>9219</v>
      </c>
    </row>
    <row r="2954" spans="1:12" x14ac:dyDescent="0.2">
      <c r="A2954" s="672" t="s">
        <v>220</v>
      </c>
      <c r="B2954" s="672" t="s">
        <v>5430</v>
      </c>
      <c r="C2954" s="672" t="s">
        <v>6249</v>
      </c>
      <c r="D2954" s="672" t="s">
        <v>8508</v>
      </c>
      <c r="E2954" s="745"/>
      <c r="F2954" s="732">
        <v>14</v>
      </c>
      <c r="G2954" s="737">
        <v>2.8570000000000002</v>
      </c>
      <c r="H2954" s="685">
        <v>39.998000000000005</v>
      </c>
      <c r="I2954" s="672" t="s">
        <v>9218</v>
      </c>
      <c r="J2954" s="672" t="s">
        <v>9219</v>
      </c>
      <c r="K2954" s="672" t="s">
        <v>2354</v>
      </c>
      <c r="L2954" s="672" t="s">
        <v>9219</v>
      </c>
    </row>
    <row r="2955" spans="1:12" x14ac:dyDescent="0.2">
      <c r="A2955" s="672" t="s">
        <v>220</v>
      </c>
      <c r="B2955" s="672" t="s">
        <v>5430</v>
      </c>
      <c r="C2955" s="672" t="s">
        <v>3165</v>
      </c>
      <c r="D2955" s="672" t="s">
        <v>8509</v>
      </c>
      <c r="E2955" s="745"/>
      <c r="F2955" s="732">
        <v>9</v>
      </c>
      <c r="G2955" s="737">
        <v>0.67500000000000004</v>
      </c>
      <c r="H2955" s="685">
        <v>6.0750000000000002</v>
      </c>
      <c r="I2955" s="672" t="s">
        <v>9218</v>
      </c>
      <c r="J2955" s="672" t="s">
        <v>9219</v>
      </c>
      <c r="K2955" s="672" t="s">
        <v>2354</v>
      </c>
      <c r="L2955" s="672" t="s">
        <v>9219</v>
      </c>
    </row>
    <row r="2956" spans="1:12" x14ac:dyDescent="0.2">
      <c r="A2956" s="672" t="s">
        <v>220</v>
      </c>
      <c r="B2956" s="672" t="s">
        <v>5430</v>
      </c>
      <c r="C2956" s="672" t="s">
        <v>6253</v>
      </c>
      <c r="D2956" s="672" t="s">
        <v>8510</v>
      </c>
      <c r="E2956" s="745"/>
      <c r="F2956" s="732">
        <v>1</v>
      </c>
      <c r="G2956" s="737">
        <v>35.167999999999999</v>
      </c>
      <c r="H2956" s="685">
        <v>35.167999999999999</v>
      </c>
      <c r="I2956" s="672" t="s">
        <v>9218</v>
      </c>
      <c r="J2956" s="672" t="s">
        <v>9219</v>
      </c>
      <c r="K2956" s="672" t="s">
        <v>2354</v>
      </c>
      <c r="L2956" s="672" t="s">
        <v>9219</v>
      </c>
    </row>
    <row r="2957" spans="1:12" x14ac:dyDescent="0.2">
      <c r="A2957" s="672" t="s">
        <v>220</v>
      </c>
      <c r="B2957" s="672" t="s">
        <v>5430</v>
      </c>
      <c r="C2957" s="672" t="s">
        <v>3167</v>
      </c>
      <c r="D2957" s="672" t="s">
        <v>8511</v>
      </c>
      <c r="E2957" s="745"/>
      <c r="F2957" s="732">
        <v>1</v>
      </c>
      <c r="G2957" s="737">
        <v>35.167949999999998</v>
      </c>
      <c r="H2957" s="685">
        <v>35.167949999999998</v>
      </c>
      <c r="I2957" s="672" t="s">
        <v>9218</v>
      </c>
      <c r="J2957" s="672" t="s">
        <v>9219</v>
      </c>
      <c r="K2957" s="672" t="s">
        <v>2354</v>
      </c>
      <c r="L2957" s="672" t="s">
        <v>9219</v>
      </c>
    </row>
    <row r="2958" spans="1:12" x14ac:dyDescent="0.2">
      <c r="A2958" s="672" t="s">
        <v>220</v>
      </c>
      <c r="B2958" s="672" t="s">
        <v>5430</v>
      </c>
      <c r="C2958" s="672" t="s">
        <v>6255</v>
      </c>
      <c r="D2958" s="672" t="s">
        <v>8512</v>
      </c>
      <c r="E2958" s="745"/>
      <c r="F2958" s="732">
        <v>1</v>
      </c>
      <c r="G2958" s="737">
        <v>35.167999999999999</v>
      </c>
      <c r="H2958" s="685">
        <v>35.167999999999999</v>
      </c>
      <c r="I2958" s="672" t="s">
        <v>9218</v>
      </c>
      <c r="J2958" s="672" t="s">
        <v>9219</v>
      </c>
      <c r="K2958" s="672" t="s">
        <v>2354</v>
      </c>
      <c r="L2958" s="672" t="s">
        <v>9219</v>
      </c>
    </row>
    <row r="2959" spans="1:12" x14ac:dyDescent="0.2">
      <c r="A2959" s="672" t="s">
        <v>220</v>
      </c>
      <c r="B2959" s="672" t="s">
        <v>5430</v>
      </c>
      <c r="C2959" s="672" t="s">
        <v>6257</v>
      </c>
      <c r="D2959" s="672" t="s">
        <v>8513</v>
      </c>
      <c r="E2959" s="745"/>
      <c r="F2959" s="732">
        <v>2</v>
      </c>
      <c r="G2959" s="737">
        <v>48.454000000000001</v>
      </c>
      <c r="H2959" s="685">
        <v>96.908000000000001</v>
      </c>
      <c r="I2959" s="672" t="s">
        <v>9218</v>
      </c>
      <c r="J2959" s="672" t="s">
        <v>9219</v>
      </c>
      <c r="K2959" s="672" t="s">
        <v>2354</v>
      </c>
      <c r="L2959" s="672" t="s">
        <v>9219</v>
      </c>
    </row>
    <row r="2960" spans="1:12" x14ac:dyDescent="0.2">
      <c r="A2960" s="672" t="s">
        <v>220</v>
      </c>
      <c r="B2960" s="672" t="s">
        <v>5430</v>
      </c>
      <c r="C2960" s="672" t="s">
        <v>6259</v>
      </c>
      <c r="D2960" s="672" t="s">
        <v>8514</v>
      </c>
      <c r="E2960" s="745"/>
      <c r="F2960" s="732">
        <v>2</v>
      </c>
      <c r="G2960" s="737">
        <v>48.454000000000001</v>
      </c>
      <c r="H2960" s="685">
        <v>96.908000000000001</v>
      </c>
      <c r="I2960" s="672" t="s">
        <v>9218</v>
      </c>
      <c r="J2960" s="672" t="s">
        <v>9219</v>
      </c>
      <c r="K2960" s="672" t="s">
        <v>2354</v>
      </c>
      <c r="L2960" s="672" t="s">
        <v>9219</v>
      </c>
    </row>
    <row r="2961" spans="1:12" x14ac:dyDescent="0.2">
      <c r="A2961" s="672" t="s">
        <v>220</v>
      </c>
      <c r="B2961" s="672" t="s">
        <v>5430</v>
      </c>
      <c r="C2961" s="672" t="s">
        <v>6261</v>
      </c>
      <c r="D2961" s="672" t="s">
        <v>8515</v>
      </c>
      <c r="E2961" s="745"/>
      <c r="F2961" s="732">
        <v>2</v>
      </c>
      <c r="G2961" s="737">
        <v>58.637</v>
      </c>
      <c r="H2961" s="685">
        <v>117.274</v>
      </c>
      <c r="I2961" s="672" t="s">
        <v>9218</v>
      </c>
      <c r="J2961" s="672" t="s">
        <v>9219</v>
      </c>
      <c r="K2961" s="672" t="s">
        <v>2354</v>
      </c>
      <c r="L2961" s="672" t="s">
        <v>9219</v>
      </c>
    </row>
    <row r="2962" spans="1:12" x14ac:dyDescent="0.2">
      <c r="A2962" s="672" t="s">
        <v>220</v>
      </c>
      <c r="B2962" s="672" t="s">
        <v>5430</v>
      </c>
      <c r="C2962" s="672" t="s">
        <v>5452</v>
      </c>
      <c r="D2962" s="672" t="s">
        <v>8516</v>
      </c>
      <c r="E2962" s="745"/>
      <c r="F2962" s="732">
        <v>1</v>
      </c>
      <c r="G2962" s="737">
        <v>1.8</v>
      </c>
      <c r="H2962" s="685">
        <v>1.8</v>
      </c>
      <c r="I2962" s="672" t="s">
        <v>9218</v>
      </c>
      <c r="J2962" s="672" t="s">
        <v>9219</v>
      </c>
      <c r="K2962" s="672" t="s">
        <v>2354</v>
      </c>
      <c r="L2962" s="672" t="s">
        <v>9219</v>
      </c>
    </row>
    <row r="2963" spans="1:12" x14ac:dyDescent="0.2">
      <c r="A2963" s="672" t="s">
        <v>220</v>
      </c>
      <c r="B2963" s="672" t="s">
        <v>5430</v>
      </c>
      <c r="C2963" s="672" t="s">
        <v>6263</v>
      </c>
      <c r="D2963" s="672" t="s">
        <v>8517</v>
      </c>
      <c r="E2963" s="745"/>
      <c r="F2963" s="732">
        <v>3</v>
      </c>
      <c r="G2963" s="737">
        <v>113.399</v>
      </c>
      <c r="H2963" s="685">
        <v>340.197</v>
      </c>
      <c r="I2963" s="672" t="s">
        <v>9218</v>
      </c>
      <c r="J2963" s="672" t="s">
        <v>9219</v>
      </c>
      <c r="K2963" s="672" t="s">
        <v>2354</v>
      </c>
      <c r="L2963" s="672" t="s">
        <v>9219</v>
      </c>
    </row>
    <row r="2964" spans="1:12" x14ac:dyDescent="0.2">
      <c r="A2964" s="672" t="s">
        <v>220</v>
      </c>
      <c r="B2964" s="672" t="s">
        <v>5430</v>
      </c>
      <c r="C2964" s="672" t="s">
        <v>3203</v>
      </c>
      <c r="D2964" s="672" t="s">
        <v>8518</v>
      </c>
      <c r="E2964" s="745"/>
      <c r="F2964" s="732">
        <v>12</v>
      </c>
      <c r="G2964" s="737">
        <v>0.58096363636363624</v>
      </c>
      <c r="H2964" s="685">
        <v>6.9715636363636353</v>
      </c>
      <c r="I2964" s="672" t="s">
        <v>9218</v>
      </c>
      <c r="J2964" s="672" t="s">
        <v>9219</v>
      </c>
      <c r="K2964" s="672" t="s">
        <v>2354</v>
      </c>
      <c r="L2964" s="672" t="s">
        <v>9219</v>
      </c>
    </row>
    <row r="2965" spans="1:12" x14ac:dyDescent="0.2">
      <c r="A2965" s="672" t="s">
        <v>220</v>
      </c>
      <c r="B2965" s="672" t="s">
        <v>5430</v>
      </c>
      <c r="C2965" s="672" t="s">
        <v>5372</v>
      </c>
      <c r="D2965" s="672" t="s">
        <v>8519</v>
      </c>
      <c r="E2965" s="745"/>
      <c r="F2965" s="732">
        <v>2</v>
      </c>
      <c r="G2965" s="737">
        <v>0.69479999999999997</v>
      </c>
      <c r="H2965" s="685">
        <v>1.3895999999999999</v>
      </c>
      <c r="I2965" s="672" t="s">
        <v>9218</v>
      </c>
      <c r="J2965" s="672" t="s">
        <v>9219</v>
      </c>
      <c r="K2965" s="672" t="s">
        <v>2354</v>
      </c>
      <c r="L2965" s="672" t="s">
        <v>9219</v>
      </c>
    </row>
    <row r="2966" spans="1:12" x14ac:dyDescent="0.2">
      <c r="A2966" s="672" t="s">
        <v>220</v>
      </c>
      <c r="B2966" s="672" t="s">
        <v>5430</v>
      </c>
      <c r="C2966" s="672" t="s">
        <v>6265</v>
      </c>
      <c r="D2966" s="672" t="s">
        <v>8520</v>
      </c>
      <c r="E2966" s="745"/>
      <c r="F2966" s="732">
        <v>3</v>
      </c>
      <c r="G2966" s="737">
        <v>0.77400000000000002</v>
      </c>
      <c r="H2966" s="685">
        <v>2.3220000000000001</v>
      </c>
      <c r="I2966" s="672" t="s">
        <v>9218</v>
      </c>
      <c r="J2966" s="672" t="s">
        <v>9219</v>
      </c>
      <c r="K2966" s="672" t="s">
        <v>2354</v>
      </c>
      <c r="L2966" s="672" t="s">
        <v>9219</v>
      </c>
    </row>
    <row r="2967" spans="1:12" x14ac:dyDescent="0.2">
      <c r="A2967" s="672" t="s">
        <v>220</v>
      </c>
      <c r="B2967" s="672" t="s">
        <v>5430</v>
      </c>
      <c r="C2967" s="672" t="s">
        <v>3205</v>
      </c>
      <c r="D2967" s="672" t="s">
        <v>8521</v>
      </c>
      <c r="E2967" s="745"/>
      <c r="F2967" s="732">
        <v>4</v>
      </c>
      <c r="G2967" s="737">
        <v>1.08</v>
      </c>
      <c r="H2967" s="685">
        <v>4.32</v>
      </c>
      <c r="I2967" s="672" t="s">
        <v>9218</v>
      </c>
      <c r="J2967" s="672" t="s">
        <v>9219</v>
      </c>
      <c r="K2967" s="672" t="s">
        <v>2354</v>
      </c>
      <c r="L2967" s="672" t="s">
        <v>9219</v>
      </c>
    </row>
    <row r="2968" spans="1:12" x14ac:dyDescent="0.2">
      <c r="A2968" s="672" t="s">
        <v>220</v>
      </c>
      <c r="B2968" s="672" t="s">
        <v>5430</v>
      </c>
      <c r="C2968" s="672" t="s">
        <v>3207</v>
      </c>
      <c r="D2968" s="672" t="s">
        <v>8522</v>
      </c>
      <c r="E2968" s="745"/>
      <c r="F2968" s="732">
        <v>6</v>
      </c>
      <c r="G2968" s="737">
        <v>1.9525128964059197</v>
      </c>
      <c r="H2968" s="685">
        <v>11.715077378435518</v>
      </c>
      <c r="I2968" s="672" t="s">
        <v>9218</v>
      </c>
      <c r="J2968" s="672" t="s">
        <v>9219</v>
      </c>
      <c r="K2968" s="672" t="s">
        <v>2354</v>
      </c>
      <c r="L2968" s="672" t="s">
        <v>9219</v>
      </c>
    </row>
    <row r="2969" spans="1:12" x14ac:dyDescent="0.2">
      <c r="A2969" s="672" t="s">
        <v>220</v>
      </c>
      <c r="B2969" s="672" t="s">
        <v>5430</v>
      </c>
      <c r="C2969" s="672" t="s">
        <v>6268</v>
      </c>
      <c r="D2969" s="672" t="s">
        <v>6269</v>
      </c>
      <c r="E2969" s="745"/>
      <c r="F2969" s="732">
        <v>3</v>
      </c>
      <c r="G2969" s="737">
        <v>8.3849999999999998</v>
      </c>
      <c r="H2969" s="685">
        <v>25.155000000000001</v>
      </c>
      <c r="I2969" s="672" t="s">
        <v>9218</v>
      </c>
      <c r="J2969" s="672" t="s">
        <v>9219</v>
      </c>
      <c r="K2969" s="672" t="s">
        <v>2354</v>
      </c>
      <c r="L2969" s="672" t="s">
        <v>9219</v>
      </c>
    </row>
    <row r="2970" spans="1:12" x14ac:dyDescent="0.2">
      <c r="A2970" s="672" t="s">
        <v>220</v>
      </c>
      <c r="B2970" s="672" t="s">
        <v>5430</v>
      </c>
      <c r="C2970" s="672" t="s">
        <v>6270</v>
      </c>
      <c r="D2970" s="672" t="s">
        <v>6271</v>
      </c>
      <c r="E2970" s="745"/>
      <c r="F2970" s="732">
        <v>6</v>
      </c>
      <c r="G2970" s="737">
        <v>11.939</v>
      </c>
      <c r="H2970" s="685">
        <v>71.634</v>
      </c>
      <c r="I2970" s="672" t="s">
        <v>9218</v>
      </c>
      <c r="J2970" s="672" t="s">
        <v>9219</v>
      </c>
      <c r="K2970" s="672" t="s">
        <v>2354</v>
      </c>
      <c r="L2970" s="672" t="s">
        <v>9219</v>
      </c>
    </row>
    <row r="2971" spans="1:12" x14ac:dyDescent="0.2">
      <c r="A2971" s="672" t="s">
        <v>220</v>
      </c>
      <c r="B2971" s="672" t="s">
        <v>5430</v>
      </c>
      <c r="C2971" s="672" t="s">
        <v>6272</v>
      </c>
      <c r="D2971" s="672" t="s">
        <v>6273</v>
      </c>
      <c r="E2971" s="745"/>
      <c r="F2971" s="732">
        <v>10</v>
      </c>
      <c r="G2971" s="737">
        <v>0.36599999999999999</v>
      </c>
      <c r="H2971" s="685">
        <v>3.66</v>
      </c>
      <c r="I2971" s="672" t="s">
        <v>9218</v>
      </c>
      <c r="J2971" s="672" t="s">
        <v>9219</v>
      </c>
      <c r="K2971" s="672" t="s">
        <v>2354</v>
      </c>
      <c r="L2971" s="672" t="s">
        <v>9219</v>
      </c>
    </row>
    <row r="2972" spans="1:12" x14ac:dyDescent="0.2">
      <c r="A2972" s="672" t="s">
        <v>220</v>
      </c>
      <c r="B2972" s="672" t="s">
        <v>5430</v>
      </c>
      <c r="C2972" s="672" t="s">
        <v>3211</v>
      </c>
      <c r="D2972" s="672" t="s">
        <v>3212</v>
      </c>
      <c r="E2972" s="745"/>
      <c r="F2972" s="732">
        <v>25</v>
      </c>
      <c r="G2972" s="737">
        <v>0.41129999999999994</v>
      </c>
      <c r="H2972" s="685">
        <v>10.282499999999999</v>
      </c>
      <c r="I2972" s="672" t="s">
        <v>9218</v>
      </c>
      <c r="J2972" s="672" t="s">
        <v>9219</v>
      </c>
      <c r="K2972" s="672" t="s">
        <v>2354</v>
      </c>
      <c r="L2972" s="672" t="s">
        <v>9219</v>
      </c>
    </row>
    <row r="2973" spans="1:12" x14ac:dyDescent="0.2">
      <c r="A2973" s="672" t="s">
        <v>220</v>
      </c>
      <c r="B2973" s="672" t="s">
        <v>5430</v>
      </c>
      <c r="C2973" s="672" t="s">
        <v>3219</v>
      </c>
      <c r="D2973" s="672" t="s">
        <v>3220</v>
      </c>
      <c r="E2973" s="745"/>
      <c r="F2973" s="732">
        <v>20</v>
      </c>
      <c r="G2973" s="737">
        <v>0.89190000000000003</v>
      </c>
      <c r="H2973" s="685">
        <v>17.838000000000001</v>
      </c>
      <c r="I2973" s="672" t="s">
        <v>9218</v>
      </c>
      <c r="J2973" s="672" t="s">
        <v>9219</v>
      </c>
      <c r="K2973" s="672" t="s">
        <v>2354</v>
      </c>
      <c r="L2973" s="672" t="s">
        <v>9219</v>
      </c>
    </row>
    <row r="2974" spans="1:12" x14ac:dyDescent="0.2">
      <c r="A2974" s="672" t="s">
        <v>220</v>
      </c>
      <c r="B2974" s="672" t="s">
        <v>5430</v>
      </c>
      <c r="C2974" s="672" t="s">
        <v>3455</v>
      </c>
      <c r="D2974" s="672" t="s">
        <v>3456</v>
      </c>
      <c r="E2974" s="745"/>
      <c r="F2974" s="732">
        <v>66</v>
      </c>
      <c r="G2974" s="737">
        <v>1.6575</v>
      </c>
      <c r="H2974" s="685">
        <v>109.395</v>
      </c>
      <c r="I2974" s="672" t="s">
        <v>9218</v>
      </c>
      <c r="J2974" s="672" t="s">
        <v>9219</v>
      </c>
      <c r="K2974" s="672" t="s">
        <v>2354</v>
      </c>
      <c r="L2974" s="672" t="s">
        <v>9219</v>
      </c>
    </row>
    <row r="2975" spans="1:12" x14ac:dyDescent="0.2">
      <c r="A2975" s="672" t="s">
        <v>220</v>
      </c>
      <c r="B2975" s="672" t="s">
        <v>5430</v>
      </c>
      <c r="C2975" s="672" t="s">
        <v>3457</v>
      </c>
      <c r="D2975" s="672" t="s">
        <v>3458</v>
      </c>
      <c r="E2975" s="745"/>
      <c r="F2975" s="732">
        <v>45</v>
      </c>
      <c r="G2975" s="737">
        <v>2.46</v>
      </c>
      <c r="H2975" s="685">
        <v>110.7</v>
      </c>
      <c r="I2975" s="672" t="s">
        <v>9218</v>
      </c>
      <c r="J2975" s="672" t="s">
        <v>9219</v>
      </c>
      <c r="K2975" s="672" t="s">
        <v>2354</v>
      </c>
      <c r="L2975" s="672" t="s">
        <v>9219</v>
      </c>
    </row>
    <row r="2976" spans="1:12" x14ac:dyDescent="0.2">
      <c r="A2976" s="672" t="s">
        <v>220</v>
      </c>
      <c r="B2976" s="672" t="s">
        <v>5430</v>
      </c>
      <c r="D2976" s="672" t="s">
        <v>3460</v>
      </c>
      <c r="E2976" s="745"/>
      <c r="F2976" s="732">
        <v>80</v>
      </c>
      <c r="G2976" s="737">
        <v>2.5245000000000002</v>
      </c>
      <c r="H2976" s="685">
        <v>201.96</v>
      </c>
      <c r="I2976" s="672" t="s">
        <v>9218</v>
      </c>
      <c r="J2976" s="672" t="s">
        <v>9219</v>
      </c>
      <c r="K2976" s="672" t="s">
        <v>2354</v>
      </c>
      <c r="L2976" s="672" t="s">
        <v>9219</v>
      </c>
    </row>
    <row r="2977" spans="1:12" x14ac:dyDescent="0.2">
      <c r="A2977" s="672" t="s">
        <v>220</v>
      </c>
      <c r="B2977" s="672" t="s">
        <v>5430</v>
      </c>
      <c r="C2977" s="672" t="s">
        <v>3461</v>
      </c>
      <c r="D2977" s="672" t="s">
        <v>3462</v>
      </c>
      <c r="E2977" s="745"/>
      <c r="F2977" s="732">
        <v>55</v>
      </c>
      <c r="G2977" s="737">
        <v>3.33</v>
      </c>
      <c r="H2977" s="685">
        <v>183.15</v>
      </c>
      <c r="I2977" s="672" t="s">
        <v>9218</v>
      </c>
      <c r="J2977" s="672" t="s">
        <v>9219</v>
      </c>
      <c r="K2977" s="672" t="s">
        <v>2354</v>
      </c>
      <c r="L2977" s="672" t="s">
        <v>9219</v>
      </c>
    </row>
    <row r="2978" spans="1:12" x14ac:dyDescent="0.2">
      <c r="A2978" s="672" t="s">
        <v>220</v>
      </c>
      <c r="B2978" s="672" t="s">
        <v>5430</v>
      </c>
      <c r="C2978" s="672" t="s">
        <v>3545</v>
      </c>
      <c r="D2978" s="672" t="s">
        <v>3546</v>
      </c>
      <c r="E2978" s="745"/>
      <c r="F2978" s="732">
        <v>5</v>
      </c>
      <c r="G2978" s="737">
        <v>2.7899999999999996</v>
      </c>
      <c r="H2978" s="685">
        <v>13.949999999999998</v>
      </c>
      <c r="I2978" s="672" t="s">
        <v>9218</v>
      </c>
      <c r="J2978" s="672" t="s">
        <v>9219</v>
      </c>
      <c r="K2978" s="672" t="s">
        <v>2354</v>
      </c>
      <c r="L2978" s="672" t="s">
        <v>9219</v>
      </c>
    </row>
    <row r="2979" spans="1:12" x14ac:dyDescent="0.2">
      <c r="A2979" s="672" t="s">
        <v>220</v>
      </c>
      <c r="B2979" s="672" t="s">
        <v>5430</v>
      </c>
      <c r="C2979" s="672" t="s">
        <v>3547</v>
      </c>
      <c r="D2979" s="672" t="s">
        <v>3548</v>
      </c>
      <c r="E2979" s="745"/>
      <c r="F2979" s="732">
        <v>4</v>
      </c>
      <c r="G2979" s="737">
        <v>3.8079999999999998</v>
      </c>
      <c r="H2979" s="685">
        <v>15.231999999999999</v>
      </c>
      <c r="I2979" s="672" t="s">
        <v>9218</v>
      </c>
      <c r="J2979" s="672" t="s">
        <v>9219</v>
      </c>
      <c r="K2979" s="672" t="s">
        <v>2354</v>
      </c>
      <c r="L2979" s="672" t="s">
        <v>9219</v>
      </c>
    </row>
    <row r="2980" spans="1:12" x14ac:dyDescent="0.2">
      <c r="A2980" s="672" t="s">
        <v>220</v>
      </c>
      <c r="B2980" s="672" t="s">
        <v>5430</v>
      </c>
      <c r="C2980" s="672" t="s">
        <v>3549</v>
      </c>
      <c r="D2980" s="672" t="s">
        <v>3550</v>
      </c>
      <c r="E2980" s="745"/>
      <c r="F2980" s="732">
        <v>14</v>
      </c>
      <c r="G2980" s="737">
        <v>8.264325358851675</v>
      </c>
      <c r="H2980" s="685">
        <v>115.70055502392344</v>
      </c>
      <c r="I2980" s="672" t="s">
        <v>9218</v>
      </c>
      <c r="J2980" s="672" t="s">
        <v>9219</v>
      </c>
      <c r="K2980" s="672" t="s">
        <v>2354</v>
      </c>
      <c r="L2980" s="672" t="s">
        <v>9219</v>
      </c>
    </row>
    <row r="2981" spans="1:12" x14ac:dyDescent="0.2">
      <c r="A2981" s="672" t="s">
        <v>220</v>
      </c>
      <c r="B2981" s="672" t="s">
        <v>5430</v>
      </c>
      <c r="C2981" s="672" t="s">
        <v>3551</v>
      </c>
      <c r="D2981" s="672" t="s">
        <v>8523</v>
      </c>
      <c r="E2981" s="745"/>
      <c r="F2981" s="732">
        <v>14</v>
      </c>
      <c r="G2981" s="737">
        <v>3.3299999999999996</v>
      </c>
      <c r="H2981" s="685">
        <v>46.62</v>
      </c>
      <c r="I2981" s="672" t="s">
        <v>9218</v>
      </c>
      <c r="J2981" s="672" t="s">
        <v>9219</v>
      </c>
      <c r="K2981" s="672" t="s">
        <v>2354</v>
      </c>
      <c r="L2981" s="672" t="s">
        <v>9219</v>
      </c>
    </row>
    <row r="2982" spans="1:12" x14ac:dyDescent="0.2">
      <c r="A2982" s="672" t="s">
        <v>220</v>
      </c>
      <c r="B2982" s="672" t="s">
        <v>5430</v>
      </c>
      <c r="C2982" s="672" t="s">
        <v>3553</v>
      </c>
      <c r="D2982" s="672" t="s">
        <v>3554</v>
      </c>
      <c r="E2982" s="745"/>
      <c r="F2982" s="732">
        <v>12</v>
      </c>
      <c r="G2982" s="737">
        <v>3.298</v>
      </c>
      <c r="H2982" s="685">
        <v>39.576000000000001</v>
      </c>
      <c r="I2982" s="672" t="s">
        <v>9218</v>
      </c>
      <c r="J2982" s="672" t="s">
        <v>9219</v>
      </c>
      <c r="K2982" s="672" t="s">
        <v>2354</v>
      </c>
      <c r="L2982" s="672" t="s">
        <v>9219</v>
      </c>
    </row>
    <row r="2983" spans="1:12" x14ac:dyDescent="0.2">
      <c r="A2983" s="672" t="s">
        <v>220</v>
      </c>
      <c r="B2983" s="672" t="s">
        <v>5430</v>
      </c>
      <c r="C2983" s="672" t="s">
        <v>3555</v>
      </c>
      <c r="D2983" s="672" t="s">
        <v>3556</v>
      </c>
      <c r="E2983" s="745"/>
      <c r="F2983" s="732">
        <v>14</v>
      </c>
      <c r="G2983" s="737">
        <v>4.0205000000000002</v>
      </c>
      <c r="H2983" s="685">
        <v>56.287000000000006</v>
      </c>
      <c r="I2983" s="672" t="s">
        <v>9218</v>
      </c>
      <c r="J2983" s="672" t="s">
        <v>9219</v>
      </c>
      <c r="K2983" s="672" t="s">
        <v>2354</v>
      </c>
      <c r="L2983" s="672" t="s">
        <v>9219</v>
      </c>
    </row>
    <row r="2984" spans="1:12" x14ac:dyDescent="0.2">
      <c r="A2984" s="672" t="s">
        <v>220</v>
      </c>
      <c r="B2984" s="672" t="s">
        <v>5430</v>
      </c>
      <c r="C2984" s="672" t="s">
        <v>3561</v>
      </c>
      <c r="D2984" s="672" t="s">
        <v>8524</v>
      </c>
      <c r="E2984" s="745"/>
      <c r="F2984" s="732">
        <v>5</v>
      </c>
      <c r="G2984" s="737">
        <v>1.7100000000000002</v>
      </c>
      <c r="H2984" s="685">
        <v>8.5500000000000007</v>
      </c>
      <c r="I2984" s="672" t="s">
        <v>9218</v>
      </c>
      <c r="J2984" s="672" t="s">
        <v>9219</v>
      </c>
      <c r="K2984" s="672" t="s">
        <v>2354</v>
      </c>
      <c r="L2984" s="672" t="s">
        <v>9219</v>
      </c>
    </row>
    <row r="2985" spans="1:12" x14ac:dyDescent="0.2">
      <c r="A2985" s="672" t="s">
        <v>220</v>
      </c>
      <c r="B2985" s="672" t="s">
        <v>5430</v>
      </c>
      <c r="C2985" s="672" t="s">
        <v>3563</v>
      </c>
      <c r="D2985" s="672" t="s">
        <v>3564</v>
      </c>
      <c r="E2985" s="745"/>
      <c r="F2985" s="732">
        <v>5</v>
      </c>
      <c r="G2985" s="737">
        <v>1.7100000000000002</v>
      </c>
      <c r="H2985" s="685">
        <v>8.5500000000000007</v>
      </c>
      <c r="I2985" s="672" t="s">
        <v>9218</v>
      </c>
      <c r="J2985" s="672" t="s">
        <v>9219</v>
      </c>
      <c r="K2985" s="672" t="s">
        <v>2354</v>
      </c>
      <c r="L2985" s="672" t="s">
        <v>9219</v>
      </c>
    </row>
    <row r="2986" spans="1:12" x14ac:dyDescent="0.2">
      <c r="A2986" s="672" t="s">
        <v>220</v>
      </c>
      <c r="B2986" s="672" t="s">
        <v>5430</v>
      </c>
      <c r="C2986" s="672" t="s">
        <v>3565</v>
      </c>
      <c r="D2986" s="672" t="s">
        <v>8525</v>
      </c>
      <c r="E2986" s="745"/>
      <c r="F2986" s="732">
        <v>3</v>
      </c>
      <c r="G2986" s="737">
        <v>2.7879999999999998</v>
      </c>
      <c r="H2986" s="685">
        <v>8.363999999999999</v>
      </c>
      <c r="I2986" s="672" t="s">
        <v>9218</v>
      </c>
      <c r="J2986" s="672" t="s">
        <v>9219</v>
      </c>
      <c r="K2986" s="672" t="s">
        <v>2354</v>
      </c>
      <c r="L2986" s="672" t="s">
        <v>9219</v>
      </c>
    </row>
    <row r="2987" spans="1:12" x14ac:dyDescent="0.2">
      <c r="A2987" s="672" t="s">
        <v>220</v>
      </c>
      <c r="B2987" s="672" t="s">
        <v>5430</v>
      </c>
      <c r="C2987" s="672" t="s">
        <v>3567</v>
      </c>
      <c r="D2987" s="672" t="s">
        <v>3568</v>
      </c>
      <c r="E2987" s="745"/>
      <c r="F2987" s="732">
        <v>7</v>
      </c>
      <c r="G2987" s="737">
        <v>7.2479626957759846</v>
      </c>
      <c r="H2987" s="685">
        <v>50.735738870431895</v>
      </c>
      <c r="I2987" s="672" t="s">
        <v>9218</v>
      </c>
      <c r="J2987" s="672" t="s">
        <v>9219</v>
      </c>
      <c r="K2987" s="672" t="s">
        <v>2354</v>
      </c>
      <c r="L2987" s="672" t="s">
        <v>9219</v>
      </c>
    </row>
    <row r="2988" spans="1:12" x14ac:dyDescent="0.2">
      <c r="A2988" s="672" t="s">
        <v>220</v>
      </c>
      <c r="B2988" s="672" t="s">
        <v>5430</v>
      </c>
      <c r="C2988" s="672" t="s">
        <v>3571</v>
      </c>
      <c r="D2988" s="672" t="s">
        <v>3572</v>
      </c>
      <c r="E2988" s="745"/>
      <c r="F2988" s="732">
        <v>6</v>
      </c>
      <c r="G2988" s="737">
        <v>13.428499999999998</v>
      </c>
      <c r="H2988" s="685">
        <v>80.570999999999984</v>
      </c>
      <c r="I2988" s="672" t="s">
        <v>9218</v>
      </c>
      <c r="J2988" s="672" t="s">
        <v>9219</v>
      </c>
      <c r="K2988" s="672" t="s">
        <v>2354</v>
      </c>
      <c r="L2988" s="672" t="s">
        <v>9219</v>
      </c>
    </row>
    <row r="2989" spans="1:12" x14ac:dyDescent="0.2">
      <c r="A2989" s="672" t="s">
        <v>220</v>
      </c>
      <c r="B2989" s="672" t="s">
        <v>5430</v>
      </c>
      <c r="C2989" s="672" t="s">
        <v>6479</v>
      </c>
      <c r="D2989" s="672" t="s">
        <v>8526</v>
      </c>
      <c r="E2989" s="745"/>
      <c r="F2989" s="732">
        <v>1</v>
      </c>
      <c r="G2989" s="737">
        <v>30.553999999999998</v>
      </c>
      <c r="H2989" s="685">
        <v>30.553999999999998</v>
      </c>
      <c r="I2989" s="672" t="s">
        <v>9218</v>
      </c>
      <c r="J2989" s="672" t="s">
        <v>9219</v>
      </c>
      <c r="K2989" s="672" t="s">
        <v>2354</v>
      </c>
      <c r="L2989" s="672" t="s">
        <v>9219</v>
      </c>
    </row>
    <row r="2990" spans="1:12" x14ac:dyDescent="0.2">
      <c r="A2990" s="672" t="s">
        <v>220</v>
      </c>
      <c r="B2990" s="672" t="s">
        <v>5430</v>
      </c>
      <c r="C2990" s="672" t="s">
        <v>2411</v>
      </c>
      <c r="D2990" s="672" t="s">
        <v>6481</v>
      </c>
      <c r="E2990" s="745"/>
      <c r="F2990" s="732">
        <v>20</v>
      </c>
      <c r="G2990" s="737">
        <v>2.88</v>
      </c>
      <c r="H2990" s="685">
        <v>57.599999999999994</v>
      </c>
      <c r="I2990" s="672" t="s">
        <v>9218</v>
      </c>
      <c r="J2990" s="672" t="s">
        <v>9219</v>
      </c>
      <c r="K2990" s="672" t="s">
        <v>2354</v>
      </c>
      <c r="L2990" s="672" t="s">
        <v>9219</v>
      </c>
    </row>
    <row r="2991" spans="1:12" x14ac:dyDescent="0.2">
      <c r="A2991" s="672" t="s">
        <v>220</v>
      </c>
      <c r="B2991" s="672" t="s">
        <v>5430</v>
      </c>
      <c r="C2991" s="672" t="s">
        <v>3577</v>
      </c>
      <c r="D2991" s="672" t="s">
        <v>8527</v>
      </c>
      <c r="E2991" s="745"/>
      <c r="F2991" s="732">
        <v>12</v>
      </c>
      <c r="G2991" s="737">
        <v>11.475</v>
      </c>
      <c r="H2991" s="685">
        <v>137.69999999999999</v>
      </c>
      <c r="I2991" s="672" t="s">
        <v>9218</v>
      </c>
      <c r="J2991" s="672" t="s">
        <v>9219</v>
      </c>
      <c r="K2991" s="672" t="s">
        <v>2354</v>
      </c>
      <c r="L2991" s="672" t="s">
        <v>9219</v>
      </c>
    </row>
    <row r="2992" spans="1:12" x14ac:dyDescent="0.2">
      <c r="A2992" s="672" t="s">
        <v>220</v>
      </c>
      <c r="B2992" s="672" t="s">
        <v>5430</v>
      </c>
      <c r="C2992" s="672" t="s">
        <v>3579</v>
      </c>
      <c r="D2992" s="672" t="s">
        <v>3580</v>
      </c>
      <c r="E2992" s="745"/>
      <c r="F2992" s="732">
        <v>20</v>
      </c>
      <c r="G2992" s="737">
        <v>2.7454999999999998</v>
      </c>
      <c r="H2992" s="685">
        <v>54.91</v>
      </c>
      <c r="I2992" s="672" t="s">
        <v>9218</v>
      </c>
      <c r="J2992" s="672" t="s">
        <v>9219</v>
      </c>
      <c r="K2992" s="672" t="s">
        <v>2354</v>
      </c>
      <c r="L2992" s="672" t="s">
        <v>9219</v>
      </c>
    </row>
    <row r="2993" spans="1:12" x14ac:dyDescent="0.2">
      <c r="A2993" s="672" t="s">
        <v>220</v>
      </c>
      <c r="B2993" s="672" t="s">
        <v>5430</v>
      </c>
      <c r="C2993" s="672" t="s">
        <v>8528</v>
      </c>
      <c r="D2993" s="672" t="s">
        <v>6493</v>
      </c>
      <c r="E2993" s="745"/>
      <c r="F2993" s="732">
        <v>2</v>
      </c>
      <c r="G2993" s="737">
        <v>4.2</v>
      </c>
      <c r="H2993" s="685">
        <v>8.4</v>
      </c>
      <c r="I2993" s="672" t="s">
        <v>9218</v>
      </c>
      <c r="J2993" s="672" t="s">
        <v>9219</v>
      </c>
      <c r="K2993" s="672" t="s">
        <v>2354</v>
      </c>
      <c r="L2993" s="672" t="s">
        <v>9219</v>
      </c>
    </row>
    <row r="2994" spans="1:12" x14ac:dyDescent="0.2">
      <c r="A2994" s="672" t="s">
        <v>220</v>
      </c>
      <c r="B2994" s="672" t="s">
        <v>5430</v>
      </c>
      <c r="C2994" s="672" t="s">
        <v>3583</v>
      </c>
      <c r="D2994" s="672" t="s">
        <v>3584</v>
      </c>
      <c r="E2994" s="745"/>
      <c r="F2994" s="732">
        <v>20</v>
      </c>
      <c r="G2994" s="737">
        <v>2.7</v>
      </c>
      <c r="H2994" s="685">
        <v>54</v>
      </c>
      <c r="I2994" s="672" t="s">
        <v>9218</v>
      </c>
      <c r="J2994" s="672" t="s">
        <v>9219</v>
      </c>
      <c r="K2994" s="672" t="s">
        <v>2354</v>
      </c>
      <c r="L2994" s="672" t="s">
        <v>9219</v>
      </c>
    </row>
    <row r="2995" spans="1:12" x14ac:dyDescent="0.2">
      <c r="A2995" s="672" t="s">
        <v>220</v>
      </c>
      <c r="B2995" s="672" t="s">
        <v>5430</v>
      </c>
      <c r="C2995" s="672" t="s">
        <v>3585</v>
      </c>
      <c r="D2995" s="672" t="s">
        <v>3586</v>
      </c>
      <c r="E2995" s="745"/>
      <c r="F2995" s="732">
        <v>21</v>
      </c>
      <c r="G2995" s="737">
        <v>2.8220000000000001</v>
      </c>
      <c r="H2995" s="685">
        <v>59.262</v>
      </c>
      <c r="I2995" s="672" t="s">
        <v>9218</v>
      </c>
      <c r="J2995" s="672" t="s">
        <v>9219</v>
      </c>
      <c r="K2995" s="672" t="s">
        <v>2354</v>
      </c>
      <c r="L2995" s="672" t="s">
        <v>9219</v>
      </c>
    </row>
    <row r="2996" spans="1:12" x14ac:dyDescent="0.2">
      <c r="A2996" s="672" t="s">
        <v>220</v>
      </c>
      <c r="B2996" s="672" t="s">
        <v>5430</v>
      </c>
      <c r="C2996" s="672" t="s">
        <v>3591</v>
      </c>
      <c r="D2996" s="672" t="s">
        <v>3592</v>
      </c>
      <c r="E2996" s="745"/>
      <c r="F2996" s="732">
        <v>22</v>
      </c>
      <c r="G2996" s="737">
        <v>2.7029999999999998</v>
      </c>
      <c r="H2996" s="685">
        <v>59.465999999999994</v>
      </c>
      <c r="I2996" s="672" t="s">
        <v>9218</v>
      </c>
      <c r="J2996" s="672" t="s">
        <v>9219</v>
      </c>
      <c r="K2996" s="672" t="s">
        <v>2354</v>
      </c>
      <c r="L2996" s="672" t="s">
        <v>9219</v>
      </c>
    </row>
    <row r="2997" spans="1:12" x14ac:dyDescent="0.2">
      <c r="A2997" s="672" t="s">
        <v>220</v>
      </c>
      <c r="B2997" s="672" t="s">
        <v>5430</v>
      </c>
      <c r="C2997" s="672" t="s">
        <v>3593</v>
      </c>
      <c r="D2997" s="672" t="s">
        <v>3594</v>
      </c>
      <c r="E2997" s="745"/>
      <c r="F2997" s="732">
        <v>1</v>
      </c>
      <c r="G2997" s="737">
        <v>3.383</v>
      </c>
      <c r="H2997" s="685">
        <v>3.383</v>
      </c>
      <c r="I2997" s="672" t="s">
        <v>9218</v>
      </c>
      <c r="J2997" s="672" t="s">
        <v>9219</v>
      </c>
      <c r="K2997" s="672" t="s">
        <v>2354</v>
      </c>
      <c r="L2997" s="672" t="s">
        <v>9219</v>
      </c>
    </row>
    <row r="2998" spans="1:12" x14ac:dyDescent="0.2">
      <c r="A2998" s="672" t="s">
        <v>220</v>
      </c>
      <c r="B2998" s="672" t="s">
        <v>5430</v>
      </c>
      <c r="C2998" s="672" t="s">
        <v>6497</v>
      </c>
      <c r="D2998" s="672" t="s">
        <v>6498</v>
      </c>
      <c r="E2998" s="745"/>
      <c r="F2998" s="732">
        <v>20</v>
      </c>
      <c r="G2998" s="737">
        <v>3.25</v>
      </c>
      <c r="H2998" s="685">
        <v>65</v>
      </c>
      <c r="I2998" s="672" t="s">
        <v>9218</v>
      </c>
      <c r="J2998" s="672" t="s">
        <v>9219</v>
      </c>
      <c r="K2998" s="672" t="s">
        <v>2354</v>
      </c>
      <c r="L2998" s="672" t="s">
        <v>9219</v>
      </c>
    </row>
    <row r="2999" spans="1:12" x14ac:dyDescent="0.2">
      <c r="A2999" s="672" t="s">
        <v>220</v>
      </c>
      <c r="B2999" s="672" t="s">
        <v>5430</v>
      </c>
      <c r="C2999" s="672" t="s">
        <v>3727</v>
      </c>
      <c r="D2999" s="672" t="s">
        <v>3728</v>
      </c>
      <c r="E2999" s="745"/>
      <c r="F2999" s="732">
        <v>12</v>
      </c>
      <c r="G2999" s="737">
        <v>5.1802306451612896</v>
      </c>
      <c r="H2999" s="685">
        <v>62.162767741935475</v>
      </c>
      <c r="I2999" s="672" t="s">
        <v>9218</v>
      </c>
      <c r="J2999" s="672" t="s">
        <v>9219</v>
      </c>
      <c r="K2999" s="672" t="s">
        <v>2354</v>
      </c>
      <c r="L2999" s="672" t="s">
        <v>9219</v>
      </c>
    </row>
    <row r="3000" spans="1:12" x14ac:dyDescent="0.2">
      <c r="A3000" s="672" t="s">
        <v>220</v>
      </c>
      <c r="B3000" s="672" t="s">
        <v>5430</v>
      </c>
      <c r="C3000" s="672" t="s">
        <v>3729</v>
      </c>
      <c r="D3000" s="672" t="s">
        <v>3730</v>
      </c>
      <c r="E3000" s="745"/>
      <c r="F3000" s="732">
        <v>21</v>
      </c>
      <c r="G3000" s="737">
        <v>2.7116999999999996</v>
      </c>
      <c r="H3000" s="685">
        <v>56.945699999999988</v>
      </c>
      <c r="I3000" s="672" t="s">
        <v>9218</v>
      </c>
      <c r="J3000" s="672" t="s">
        <v>9219</v>
      </c>
      <c r="K3000" s="672" t="s">
        <v>2354</v>
      </c>
      <c r="L3000" s="672" t="s">
        <v>9219</v>
      </c>
    </row>
    <row r="3001" spans="1:12" x14ac:dyDescent="0.2">
      <c r="A3001" s="672" t="s">
        <v>220</v>
      </c>
      <c r="B3001" s="672" t="s">
        <v>5430</v>
      </c>
      <c r="C3001" s="672" t="s">
        <v>3731</v>
      </c>
      <c r="D3001" s="672" t="s">
        <v>3732</v>
      </c>
      <c r="E3001" s="745"/>
      <c r="F3001" s="732">
        <v>12</v>
      </c>
      <c r="G3001" s="737">
        <v>2.3933750000000003</v>
      </c>
      <c r="H3001" s="685">
        <v>28.720500000000001</v>
      </c>
      <c r="I3001" s="672" t="s">
        <v>9218</v>
      </c>
      <c r="J3001" s="672" t="s">
        <v>9219</v>
      </c>
      <c r="K3001" s="672" t="s">
        <v>2354</v>
      </c>
      <c r="L3001" s="672" t="s">
        <v>9219</v>
      </c>
    </row>
    <row r="3002" spans="1:12" x14ac:dyDescent="0.2">
      <c r="A3002" s="672" t="s">
        <v>220</v>
      </c>
      <c r="B3002" s="672" t="s">
        <v>5430</v>
      </c>
      <c r="C3002" s="672" t="s">
        <v>3733</v>
      </c>
      <c r="D3002" s="672" t="s">
        <v>3734</v>
      </c>
      <c r="E3002" s="745"/>
      <c r="F3002" s="732">
        <v>10</v>
      </c>
      <c r="G3002" s="737">
        <v>5.2429499999999996</v>
      </c>
      <c r="H3002" s="685">
        <v>52.429499999999997</v>
      </c>
      <c r="I3002" s="672" t="s">
        <v>9218</v>
      </c>
      <c r="J3002" s="672" t="s">
        <v>9219</v>
      </c>
      <c r="K3002" s="672" t="s">
        <v>2354</v>
      </c>
      <c r="L3002" s="672" t="s">
        <v>9219</v>
      </c>
    </row>
    <row r="3003" spans="1:12" x14ac:dyDescent="0.2">
      <c r="A3003" s="672" t="s">
        <v>220</v>
      </c>
      <c r="B3003" s="672" t="s">
        <v>5430</v>
      </c>
      <c r="C3003" s="672" t="s">
        <v>3735</v>
      </c>
      <c r="D3003" s="672" t="s">
        <v>3736</v>
      </c>
      <c r="E3003" s="745"/>
      <c r="F3003" s="732">
        <v>7</v>
      </c>
      <c r="G3003" s="737">
        <v>8.2799999999999994</v>
      </c>
      <c r="H3003" s="685">
        <v>57.959999999999994</v>
      </c>
      <c r="I3003" s="672" t="s">
        <v>9218</v>
      </c>
      <c r="J3003" s="672" t="s">
        <v>9219</v>
      </c>
      <c r="K3003" s="672" t="s">
        <v>2354</v>
      </c>
      <c r="L3003" s="672" t="s">
        <v>9219</v>
      </c>
    </row>
    <row r="3004" spans="1:12" x14ac:dyDescent="0.2">
      <c r="A3004" s="672" t="s">
        <v>220</v>
      </c>
      <c r="B3004" s="672" t="s">
        <v>5430</v>
      </c>
      <c r="C3004" s="672" t="s">
        <v>5374</v>
      </c>
      <c r="D3004" s="672" t="s">
        <v>5375</v>
      </c>
      <c r="E3004" s="745"/>
      <c r="F3004" s="732">
        <v>1</v>
      </c>
      <c r="G3004" s="737">
        <v>2.8799999999999999E-2</v>
      </c>
      <c r="H3004" s="685">
        <v>2.8799999999999999E-2</v>
      </c>
      <c r="I3004" s="672" t="s">
        <v>9218</v>
      </c>
      <c r="J3004" s="672" t="s">
        <v>9219</v>
      </c>
      <c r="K3004" s="672" t="s">
        <v>2354</v>
      </c>
      <c r="L3004" s="672" t="s">
        <v>9219</v>
      </c>
    </row>
    <row r="3005" spans="1:12" x14ac:dyDescent="0.2">
      <c r="A3005" s="672" t="s">
        <v>220</v>
      </c>
      <c r="B3005" s="672" t="s">
        <v>5430</v>
      </c>
      <c r="C3005" s="672" t="s">
        <v>6702</v>
      </c>
      <c r="D3005" s="672" t="s">
        <v>8529</v>
      </c>
      <c r="E3005" s="745"/>
      <c r="F3005" s="732">
        <v>2</v>
      </c>
      <c r="G3005" s="737">
        <v>33.011000000000003</v>
      </c>
      <c r="H3005" s="685">
        <v>66.022000000000006</v>
      </c>
      <c r="I3005" s="672" t="s">
        <v>9218</v>
      </c>
      <c r="J3005" s="672" t="s">
        <v>9219</v>
      </c>
      <c r="K3005" s="672" t="s">
        <v>2354</v>
      </c>
      <c r="L3005" s="672" t="s">
        <v>9219</v>
      </c>
    </row>
    <row r="3006" spans="1:12" x14ac:dyDescent="0.2">
      <c r="A3006" s="672" t="s">
        <v>220</v>
      </c>
      <c r="B3006" s="672" t="s">
        <v>5430</v>
      </c>
      <c r="C3006" s="672" t="s">
        <v>5444</v>
      </c>
      <c r="D3006" s="672" t="s">
        <v>8531</v>
      </c>
      <c r="E3006" s="745"/>
      <c r="F3006" s="732">
        <v>72</v>
      </c>
      <c r="G3006" s="737">
        <v>3.8340000000000001</v>
      </c>
      <c r="H3006" s="685">
        <v>276.048</v>
      </c>
      <c r="I3006" s="672" t="s">
        <v>9218</v>
      </c>
      <c r="J3006" s="672" t="s">
        <v>9219</v>
      </c>
      <c r="K3006" s="672" t="s">
        <v>2354</v>
      </c>
      <c r="L3006" s="672" t="s">
        <v>9219</v>
      </c>
    </row>
    <row r="3007" spans="1:12" x14ac:dyDescent="0.2">
      <c r="A3007" s="672" t="s">
        <v>220</v>
      </c>
      <c r="B3007" s="672" t="s">
        <v>5430</v>
      </c>
      <c r="C3007" s="672" t="s">
        <v>5376</v>
      </c>
      <c r="D3007" s="672" t="s">
        <v>5377</v>
      </c>
      <c r="E3007" s="745"/>
      <c r="F3007" s="732">
        <v>20</v>
      </c>
      <c r="G3007" s="737">
        <v>1.3653</v>
      </c>
      <c r="H3007" s="685">
        <v>27.305999999999997</v>
      </c>
      <c r="I3007" s="672" t="s">
        <v>9218</v>
      </c>
      <c r="J3007" s="672" t="s">
        <v>9219</v>
      </c>
      <c r="K3007" s="672" t="s">
        <v>2354</v>
      </c>
      <c r="L3007" s="672" t="s">
        <v>9219</v>
      </c>
    </row>
    <row r="3008" spans="1:12" x14ac:dyDescent="0.2">
      <c r="A3008" s="672" t="s">
        <v>220</v>
      </c>
      <c r="B3008" s="672" t="s">
        <v>5430</v>
      </c>
      <c r="C3008" s="672" t="s">
        <v>3961</v>
      </c>
      <c r="D3008" s="672" t="s">
        <v>8533</v>
      </c>
      <c r="E3008" s="745"/>
      <c r="F3008" s="732">
        <v>100</v>
      </c>
      <c r="G3008" s="737">
        <v>0.96513000000000004</v>
      </c>
      <c r="H3008" s="685">
        <v>96.513000000000005</v>
      </c>
      <c r="I3008" s="672" t="s">
        <v>9218</v>
      </c>
      <c r="J3008" s="672" t="s">
        <v>9219</v>
      </c>
      <c r="K3008" s="672" t="s">
        <v>2354</v>
      </c>
      <c r="L3008" s="672" t="s">
        <v>9219</v>
      </c>
    </row>
    <row r="3009" spans="1:12" x14ac:dyDescent="0.2">
      <c r="A3009" s="672" t="s">
        <v>220</v>
      </c>
      <c r="B3009" s="672" t="s">
        <v>5430</v>
      </c>
      <c r="C3009" s="672" t="s">
        <v>6732</v>
      </c>
      <c r="D3009" s="672" t="s">
        <v>8534</v>
      </c>
      <c r="E3009" s="745"/>
      <c r="F3009" s="732">
        <v>100</v>
      </c>
      <c r="G3009" s="737">
        <v>0.96499999999999997</v>
      </c>
      <c r="H3009" s="685">
        <v>96.5</v>
      </c>
      <c r="I3009" s="672" t="s">
        <v>9218</v>
      </c>
      <c r="J3009" s="672" t="s">
        <v>9219</v>
      </c>
      <c r="K3009" s="672" t="s">
        <v>2354</v>
      </c>
      <c r="L3009" s="672" t="s">
        <v>9219</v>
      </c>
    </row>
    <row r="3010" spans="1:12" x14ac:dyDescent="0.2">
      <c r="A3010" s="672" t="s">
        <v>220</v>
      </c>
      <c r="B3010" s="672" t="s">
        <v>5430</v>
      </c>
      <c r="C3010" s="672" t="s">
        <v>3969</v>
      </c>
      <c r="D3010" s="672" t="s">
        <v>8535</v>
      </c>
      <c r="E3010" s="745"/>
      <c r="F3010" s="732">
        <v>50</v>
      </c>
      <c r="G3010" s="737">
        <v>2.85615</v>
      </c>
      <c r="H3010" s="685">
        <v>142.8075</v>
      </c>
      <c r="I3010" s="672" t="s">
        <v>9218</v>
      </c>
      <c r="J3010" s="672" t="s">
        <v>9219</v>
      </c>
      <c r="K3010" s="672" t="s">
        <v>2354</v>
      </c>
      <c r="L3010" s="672" t="s">
        <v>9219</v>
      </c>
    </row>
    <row r="3011" spans="1:12" x14ac:dyDescent="0.2">
      <c r="A3011" s="672" t="s">
        <v>220</v>
      </c>
      <c r="B3011" s="672" t="s">
        <v>5430</v>
      </c>
      <c r="C3011" s="672" t="s">
        <v>8536</v>
      </c>
      <c r="D3011" s="672" t="s">
        <v>8537</v>
      </c>
      <c r="E3011" s="745"/>
      <c r="F3011" s="732">
        <v>40</v>
      </c>
      <c r="G3011" s="737">
        <v>2.8010000000000002</v>
      </c>
      <c r="H3011" s="685">
        <v>112.04</v>
      </c>
      <c r="I3011" s="672" t="s">
        <v>9218</v>
      </c>
      <c r="J3011" s="672" t="s">
        <v>9219</v>
      </c>
      <c r="K3011" s="672" t="s">
        <v>2354</v>
      </c>
      <c r="L3011" s="672" t="s">
        <v>9219</v>
      </c>
    </row>
    <row r="3012" spans="1:12" x14ac:dyDescent="0.2">
      <c r="A3012" s="672" t="s">
        <v>220</v>
      </c>
      <c r="B3012" s="672" t="s">
        <v>5430</v>
      </c>
      <c r="C3012" s="672" t="s">
        <v>6734</v>
      </c>
      <c r="D3012" s="672" t="s">
        <v>8538</v>
      </c>
      <c r="E3012" s="745"/>
      <c r="F3012" s="732">
        <v>30</v>
      </c>
      <c r="G3012" s="737">
        <v>14.518000000000001</v>
      </c>
      <c r="H3012" s="685">
        <v>435.54</v>
      </c>
      <c r="I3012" s="672" t="s">
        <v>9218</v>
      </c>
      <c r="J3012" s="672" t="s">
        <v>9219</v>
      </c>
      <c r="K3012" s="672" t="s">
        <v>2354</v>
      </c>
      <c r="L3012" s="672" t="s">
        <v>9219</v>
      </c>
    </row>
    <row r="3013" spans="1:12" x14ac:dyDescent="0.2">
      <c r="A3013" s="672" t="s">
        <v>220</v>
      </c>
      <c r="B3013" s="672" t="s">
        <v>5430</v>
      </c>
      <c r="C3013" s="672" t="s">
        <v>3977</v>
      </c>
      <c r="D3013" s="672" t="s">
        <v>3978</v>
      </c>
      <c r="E3013" s="745"/>
      <c r="F3013" s="732">
        <v>12</v>
      </c>
      <c r="G3013" s="737">
        <v>3.0068999999999999</v>
      </c>
      <c r="H3013" s="685">
        <v>36.082799999999999</v>
      </c>
      <c r="I3013" s="672" t="s">
        <v>9218</v>
      </c>
      <c r="J3013" s="672" t="s">
        <v>9219</v>
      </c>
      <c r="K3013" s="672" t="s">
        <v>2354</v>
      </c>
      <c r="L3013" s="672" t="s">
        <v>9219</v>
      </c>
    </row>
    <row r="3014" spans="1:12" x14ac:dyDescent="0.2">
      <c r="A3014" s="672" t="s">
        <v>220</v>
      </c>
      <c r="B3014" s="672" t="s">
        <v>5430</v>
      </c>
      <c r="C3014" s="672" t="s">
        <v>3979</v>
      </c>
      <c r="D3014" s="672" t="s">
        <v>3980</v>
      </c>
      <c r="E3014" s="745"/>
      <c r="F3014" s="732">
        <v>11</v>
      </c>
      <c r="G3014" s="737">
        <v>4.0301999999999998</v>
      </c>
      <c r="H3014" s="685">
        <v>44.3322</v>
      </c>
      <c r="I3014" s="672" t="s">
        <v>9218</v>
      </c>
      <c r="J3014" s="672" t="s">
        <v>9219</v>
      </c>
      <c r="K3014" s="672" t="s">
        <v>2354</v>
      </c>
      <c r="L3014" s="672" t="s">
        <v>9219</v>
      </c>
    </row>
    <row r="3015" spans="1:12" x14ac:dyDescent="0.2">
      <c r="A3015" s="672" t="s">
        <v>220</v>
      </c>
      <c r="B3015" s="672" t="s">
        <v>5430</v>
      </c>
      <c r="C3015" s="672" t="s">
        <v>3981</v>
      </c>
      <c r="D3015" s="672" t="s">
        <v>3982</v>
      </c>
      <c r="E3015" s="745"/>
      <c r="F3015" s="732">
        <v>19</v>
      </c>
      <c r="G3015" s="737">
        <v>5.67</v>
      </c>
      <c r="H3015" s="685">
        <v>107.73</v>
      </c>
      <c r="I3015" s="672" t="s">
        <v>9218</v>
      </c>
      <c r="J3015" s="672" t="s">
        <v>9219</v>
      </c>
      <c r="K3015" s="672" t="s">
        <v>2354</v>
      </c>
      <c r="L3015" s="672" t="s">
        <v>9219</v>
      </c>
    </row>
    <row r="3016" spans="1:12" x14ac:dyDescent="0.2">
      <c r="A3016" s="672" t="s">
        <v>220</v>
      </c>
      <c r="B3016" s="672" t="s">
        <v>5430</v>
      </c>
      <c r="C3016" s="672" t="s">
        <v>3983</v>
      </c>
      <c r="D3016" s="672" t="s">
        <v>8541</v>
      </c>
      <c r="E3016" s="745"/>
      <c r="F3016" s="732">
        <v>10</v>
      </c>
      <c r="G3016" s="737">
        <v>0.61426999999999998</v>
      </c>
      <c r="H3016" s="685">
        <v>6.1426999999999996</v>
      </c>
      <c r="I3016" s="672" t="s">
        <v>9218</v>
      </c>
      <c r="J3016" s="672" t="s">
        <v>9219</v>
      </c>
      <c r="K3016" s="672" t="s">
        <v>2354</v>
      </c>
      <c r="L3016" s="672" t="s">
        <v>9219</v>
      </c>
    </row>
    <row r="3017" spans="1:12" x14ac:dyDescent="0.2">
      <c r="A3017" s="672" t="s">
        <v>220</v>
      </c>
      <c r="B3017" s="672" t="s">
        <v>5430</v>
      </c>
      <c r="C3017" s="672" t="s">
        <v>3987</v>
      </c>
      <c r="D3017" s="672" t="s">
        <v>3988</v>
      </c>
      <c r="E3017" s="745"/>
      <c r="F3017" s="732">
        <v>100</v>
      </c>
      <c r="G3017" s="737">
        <v>4.0857700000000001</v>
      </c>
      <c r="H3017" s="685">
        <v>408.577</v>
      </c>
      <c r="I3017" s="672" t="s">
        <v>9218</v>
      </c>
      <c r="J3017" s="672" t="s">
        <v>9219</v>
      </c>
      <c r="K3017" s="672" t="s">
        <v>2354</v>
      </c>
      <c r="L3017" s="672" t="s">
        <v>9219</v>
      </c>
    </row>
    <row r="3018" spans="1:12" x14ac:dyDescent="0.2">
      <c r="A3018" s="672" t="s">
        <v>220</v>
      </c>
      <c r="B3018" s="672" t="s">
        <v>5430</v>
      </c>
      <c r="C3018" s="672" t="s">
        <v>6739</v>
      </c>
      <c r="D3018" s="672" t="s">
        <v>6740</v>
      </c>
      <c r="E3018" s="745"/>
      <c r="F3018" s="732">
        <v>12</v>
      </c>
      <c r="G3018" s="737">
        <v>10.377000000000001</v>
      </c>
      <c r="H3018" s="685">
        <v>124.524</v>
      </c>
      <c r="I3018" s="672" t="s">
        <v>9218</v>
      </c>
      <c r="J3018" s="672" t="s">
        <v>9219</v>
      </c>
      <c r="K3018" s="672" t="s">
        <v>2354</v>
      </c>
      <c r="L3018" s="672" t="s">
        <v>9219</v>
      </c>
    </row>
    <row r="3019" spans="1:12" x14ac:dyDescent="0.2">
      <c r="A3019" s="672" t="s">
        <v>220</v>
      </c>
      <c r="B3019" s="672" t="s">
        <v>5430</v>
      </c>
      <c r="C3019" s="672" t="s">
        <v>6741</v>
      </c>
      <c r="D3019" s="672" t="s">
        <v>6742</v>
      </c>
      <c r="E3019" s="745"/>
      <c r="F3019" s="732">
        <v>10</v>
      </c>
      <c r="G3019" s="737">
        <v>6.4160000000000004</v>
      </c>
      <c r="H3019" s="685">
        <v>64.16</v>
      </c>
      <c r="I3019" s="672" t="s">
        <v>9218</v>
      </c>
      <c r="J3019" s="672" t="s">
        <v>9219</v>
      </c>
      <c r="K3019" s="672" t="s">
        <v>2354</v>
      </c>
      <c r="L3019" s="672" t="s">
        <v>9219</v>
      </c>
    </row>
    <row r="3020" spans="1:12" x14ac:dyDescent="0.2">
      <c r="A3020" s="672" t="s">
        <v>220</v>
      </c>
      <c r="B3020" s="672" t="s">
        <v>5430</v>
      </c>
      <c r="C3020" s="672" t="s">
        <v>8544</v>
      </c>
      <c r="D3020" s="672" t="s">
        <v>8545</v>
      </c>
      <c r="E3020" s="745"/>
      <c r="F3020" s="732">
        <v>42</v>
      </c>
      <c r="G3020" s="737">
        <v>1.84</v>
      </c>
      <c r="H3020" s="685">
        <v>77.28</v>
      </c>
      <c r="I3020" s="672" t="s">
        <v>9218</v>
      </c>
      <c r="J3020" s="672" t="s">
        <v>9219</v>
      </c>
      <c r="K3020" s="672" t="s">
        <v>2354</v>
      </c>
      <c r="L3020" s="672" t="s">
        <v>9219</v>
      </c>
    </row>
    <row r="3021" spans="1:12" x14ac:dyDescent="0.2">
      <c r="A3021" s="672" t="s">
        <v>220</v>
      </c>
      <c r="B3021" s="672" t="s">
        <v>5430</v>
      </c>
      <c r="C3021" s="672" t="s">
        <v>4049</v>
      </c>
      <c r="D3021" s="672" t="s">
        <v>8546</v>
      </c>
      <c r="E3021" s="745"/>
      <c r="F3021" s="732">
        <v>30</v>
      </c>
      <c r="G3021" s="737">
        <v>0.68720000000000003</v>
      </c>
      <c r="H3021" s="685">
        <v>20.616</v>
      </c>
      <c r="I3021" s="672" t="s">
        <v>9218</v>
      </c>
      <c r="J3021" s="672" t="s">
        <v>9219</v>
      </c>
      <c r="K3021" s="672" t="s">
        <v>2354</v>
      </c>
      <c r="L3021" s="672" t="s">
        <v>9219</v>
      </c>
    </row>
    <row r="3022" spans="1:12" x14ac:dyDescent="0.2">
      <c r="A3022" s="672" t="s">
        <v>220</v>
      </c>
      <c r="B3022" s="672" t="s">
        <v>5430</v>
      </c>
      <c r="C3022" s="672" t="s">
        <v>6781</v>
      </c>
      <c r="D3022" s="672" t="s">
        <v>8547</v>
      </c>
      <c r="E3022" s="745"/>
      <c r="F3022" s="732">
        <v>22</v>
      </c>
      <c r="G3022" s="737">
        <v>3.4660000000000002</v>
      </c>
      <c r="H3022" s="685">
        <v>76.25200000000001</v>
      </c>
      <c r="I3022" s="672" t="s">
        <v>9218</v>
      </c>
      <c r="J3022" s="672" t="s">
        <v>9219</v>
      </c>
      <c r="K3022" s="672" t="s">
        <v>2354</v>
      </c>
      <c r="L3022" s="672" t="s">
        <v>9219</v>
      </c>
    </row>
    <row r="3023" spans="1:12" x14ac:dyDescent="0.2">
      <c r="A3023" s="672" t="s">
        <v>220</v>
      </c>
      <c r="B3023" s="672" t="s">
        <v>5430</v>
      </c>
      <c r="C3023" s="672" t="s">
        <v>4051</v>
      </c>
      <c r="D3023" s="672" t="s">
        <v>8548</v>
      </c>
      <c r="E3023" s="745"/>
      <c r="F3023" s="732">
        <v>23</v>
      </c>
      <c r="G3023" s="737">
        <v>1.30515</v>
      </c>
      <c r="H3023" s="685">
        <v>30.018450000000001</v>
      </c>
      <c r="I3023" s="672" t="s">
        <v>9218</v>
      </c>
      <c r="J3023" s="672" t="s">
        <v>9219</v>
      </c>
      <c r="K3023" s="672" t="s">
        <v>2354</v>
      </c>
      <c r="L3023" s="672" t="s">
        <v>9219</v>
      </c>
    </row>
    <row r="3024" spans="1:12" x14ac:dyDescent="0.2">
      <c r="A3024" s="672" t="s">
        <v>220</v>
      </c>
      <c r="B3024" s="672" t="s">
        <v>5430</v>
      </c>
      <c r="C3024" s="672" t="s">
        <v>6783</v>
      </c>
      <c r="D3024" s="672" t="s">
        <v>6784</v>
      </c>
      <c r="E3024" s="745"/>
      <c r="F3024" s="732">
        <v>12</v>
      </c>
      <c r="G3024" s="737">
        <v>8.5999999999999993E-2</v>
      </c>
      <c r="H3024" s="685">
        <v>1.032</v>
      </c>
      <c r="I3024" s="672" t="s">
        <v>9218</v>
      </c>
      <c r="J3024" s="672" t="s">
        <v>9219</v>
      </c>
      <c r="K3024" s="672" t="s">
        <v>2354</v>
      </c>
      <c r="L3024" s="672" t="s">
        <v>9219</v>
      </c>
    </row>
    <row r="3025" spans="1:12" x14ac:dyDescent="0.2">
      <c r="A3025" s="672" t="s">
        <v>220</v>
      </c>
      <c r="B3025" s="672" t="s">
        <v>5430</v>
      </c>
      <c r="C3025" s="672" t="s">
        <v>6785</v>
      </c>
      <c r="D3025" s="672" t="s">
        <v>6786</v>
      </c>
      <c r="E3025" s="745"/>
      <c r="F3025" s="732">
        <v>22</v>
      </c>
      <c r="G3025" s="737">
        <v>0.11700000000000001</v>
      </c>
      <c r="H3025" s="685">
        <v>2.5740000000000003</v>
      </c>
      <c r="I3025" s="672" t="s">
        <v>9218</v>
      </c>
      <c r="J3025" s="672" t="s">
        <v>9219</v>
      </c>
      <c r="K3025" s="672" t="s">
        <v>2354</v>
      </c>
      <c r="L3025" s="672" t="s">
        <v>9219</v>
      </c>
    </row>
    <row r="3026" spans="1:12" x14ac:dyDescent="0.2">
      <c r="A3026" s="672" t="s">
        <v>220</v>
      </c>
      <c r="B3026" s="672" t="s">
        <v>5430</v>
      </c>
      <c r="C3026" s="672" t="s">
        <v>8549</v>
      </c>
      <c r="D3026" s="672" t="s">
        <v>6788</v>
      </c>
      <c r="E3026" s="745"/>
      <c r="F3026" s="732">
        <v>11</v>
      </c>
      <c r="G3026" s="737">
        <v>1.2170000000000001</v>
      </c>
      <c r="H3026" s="685">
        <v>13.387</v>
      </c>
      <c r="I3026" s="672" t="s">
        <v>9218</v>
      </c>
      <c r="J3026" s="672" t="s">
        <v>9219</v>
      </c>
      <c r="K3026" s="672" t="s">
        <v>2354</v>
      </c>
      <c r="L3026" s="672" t="s">
        <v>9219</v>
      </c>
    </row>
    <row r="3027" spans="1:12" x14ac:dyDescent="0.2">
      <c r="A3027" s="672" t="s">
        <v>220</v>
      </c>
      <c r="B3027" s="672" t="s">
        <v>5430</v>
      </c>
      <c r="C3027" s="672" t="s">
        <v>4061</v>
      </c>
      <c r="D3027" s="672" t="s">
        <v>4062</v>
      </c>
      <c r="E3027" s="745"/>
      <c r="F3027" s="732">
        <v>15</v>
      </c>
      <c r="G3027" s="737">
        <v>7.4999999999999997E-2</v>
      </c>
      <c r="H3027" s="685">
        <v>1.125</v>
      </c>
      <c r="I3027" s="672" t="s">
        <v>9218</v>
      </c>
      <c r="J3027" s="672" t="s">
        <v>9219</v>
      </c>
      <c r="K3027" s="672" t="s">
        <v>2354</v>
      </c>
      <c r="L3027" s="672" t="s">
        <v>9219</v>
      </c>
    </row>
    <row r="3028" spans="1:12" x14ac:dyDescent="0.2">
      <c r="A3028" s="672" t="s">
        <v>220</v>
      </c>
      <c r="B3028" s="672" t="s">
        <v>5430</v>
      </c>
      <c r="C3028" s="672" t="s">
        <v>4063</v>
      </c>
      <c r="D3028" s="672" t="s">
        <v>4064</v>
      </c>
      <c r="E3028" s="745"/>
      <c r="F3028" s="732">
        <v>23</v>
      </c>
      <c r="G3028" s="737">
        <v>7.4999999999999997E-2</v>
      </c>
      <c r="H3028" s="685">
        <v>1.7249999999999999</v>
      </c>
      <c r="I3028" s="672" t="s">
        <v>9218</v>
      </c>
      <c r="J3028" s="672" t="s">
        <v>9219</v>
      </c>
      <c r="K3028" s="672" t="s">
        <v>2354</v>
      </c>
      <c r="L3028" s="672" t="s">
        <v>9219</v>
      </c>
    </row>
    <row r="3029" spans="1:12" x14ac:dyDescent="0.2">
      <c r="A3029" s="672" t="s">
        <v>220</v>
      </c>
      <c r="B3029" s="672" t="s">
        <v>5430</v>
      </c>
      <c r="C3029" s="672" t="s">
        <v>4065</v>
      </c>
      <c r="D3029" s="672" t="s">
        <v>4066</v>
      </c>
      <c r="E3029" s="745"/>
      <c r="F3029" s="732">
        <v>12</v>
      </c>
      <c r="G3029" s="737">
        <v>0.22196666666666667</v>
      </c>
      <c r="H3029" s="685">
        <v>2.6636000000000002</v>
      </c>
      <c r="I3029" s="672" t="s">
        <v>9218</v>
      </c>
      <c r="J3029" s="672" t="s">
        <v>9219</v>
      </c>
      <c r="K3029" s="672" t="s">
        <v>2354</v>
      </c>
      <c r="L3029" s="672" t="s">
        <v>9219</v>
      </c>
    </row>
    <row r="3030" spans="1:12" x14ac:dyDescent="0.2">
      <c r="A3030" s="672" t="s">
        <v>220</v>
      </c>
      <c r="B3030" s="672" t="s">
        <v>5430</v>
      </c>
      <c r="C3030" s="672" t="s">
        <v>4067</v>
      </c>
      <c r="D3030" s="672" t="s">
        <v>4068</v>
      </c>
      <c r="E3030" s="745"/>
      <c r="F3030" s="732">
        <v>12</v>
      </c>
      <c r="G3030" s="737">
        <v>0.19326999999999997</v>
      </c>
      <c r="H3030" s="685">
        <v>2.3192399999999997</v>
      </c>
      <c r="I3030" s="672" t="s">
        <v>9218</v>
      </c>
      <c r="J3030" s="672" t="s">
        <v>9219</v>
      </c>
      <c r="K3030" s="672" t="s">
        <v>2354</v>
      </c>
      <c r="L3030" s="672" t="s">
        <v>9219</v>
      </c>
    </row>
    <row r="3031" spans="1:12" x14ac:dyDescent="0.2">
      <c r="A3031" s="672" t="s">
        <v>220</v>
      </c>
      <c r="B3031" s="672" t="s">
        <v>5430</v>
      </c>
      <c r="C3031" s="672" t="s">
        <v>4069</v>
      </c>
      <c r="D3031" s="672" t="s">
        <v>4070</v>
      </c>
      <c r="E3031" s="745"/>
      <c r="F3031" s="732">
        <v>25</v>
      </c>
      <c r="G3031" s="737">
        <v>7.2999999999999995E-2</v>
      </c>
      <c r="H3031" s="685">
        <v>1.825</v>
      </c>
      <c r="I3031" s="672" t="s">
        <v>9218</v>
      </c>
      <c r="J3031" s="672" t="s">
        <v>9219</v>
      </c>
      <c r="K3031" s="672" t="s">
        <v>2354</v>
      </c>
      <c r="L3031" s="672" t="s">
        <v>9219</v>
      </c>
    </row>
    <row r="3032" spans="1:12" x14ac:dyDescent="0.2">
      <c r="A3032" s="672" t="s">
        <v>220</v>
      </c>
      <c r="B3032" s="672" t="s">
        <v>5430</v>
      </c>
      <c r="C3032" s="672" t="s">
        <v>4071</v>
      </c>
      <c r="D3032" s="672" t="s">
        <v>8550</v>
      </c>
      <c r="E3032" s="745"/>
      <c r="F3032" s="732">
        <v>22</v>
      </c>
      <c r="G3032" s="737">
        <v>0.11814</v>
      </c>
      <c r="H3032" s="685">
        <v>2.5990799999999998</v>
      </c>
      <c r="I3032" s="672" t="s">
        <v>9218</v>
      </c>
      <c r="J3032" s="672" t="s">
        <v>9219</v>
      </c>
      <c r="K3032" s="672" t="s">
        <v>2354</v>
      </c>
      <c r="L3032" s="672" t="s">
        <v>9219</v>
      </c>
    </row>
    <row r="3033" spans="1:12" x14ac:dyDescent="0.2">
      <c r="A3033" s="672" t="s">
        <v>220</v>
      </c>
      <c r="B3033" s="672" t="s">
        <v>5430</v>
      </c>
      <c r="C3033" s="672" t="s">
        <v>4073</v>
      </c>
      <c r="D3033" s="672" t="s">
        <v>4074</v>
      </c>
      <c r="E3033" s="745"/>
      <c r="F3033" s="732">
        <v>21</v>
      </c>
      <c r="G3033" s="737">
        <v>0.87570000000000003</v>
      </c>
      <c r="H3033" s="685">
        <v>18.389700000000001</v>
      </c>
      <c r="I3033" s="672" t="s">
        <v>9218</v>
      </c>
      <c r="J3033" s="672" t="s">
        <v>9219</v>
      </c>
      <c r="K3033" s="672" t="s">
        <v>2354</v>
      </c>
      <c r="L3033" s="672" t="s">
        <v>9219</v>
      </c>
    </row>
    <row r="3034" spans="1:12" x14ac:dyDescent="0.2">
      <c r="A3034" s="672" t="s">
        <v>220</v>
      </c>
      <c r="B3034" s="672" t="s">
        <v>5430</v>
      </c>
      <c r="C3034" s="672" t="s">
        <v>8551</v>
      </c>
      <c r="D3034" s="672" t="s">
        <v>8552</v>
      </c>
      <c r="E3034" s="745"/>
      <c r="F3034" s="732">
        <v>35</v>
      </c>
      <c r="G3034" s="737">
        <v>1.044</v>
      </c>
      <c r="H3034" s="685">
        <v>36.54</v>
      </c>
      <c r="I3034" s="672" t="s">
        <v>9218</v>
      </c>
      <c r="J3034" s="672" t="s">
        <v>9219</v>
      </c>
      <c r="K3034" s="672" t="s">
        <v>2354</v>
      </c>
      <c r="L3034" s="672" t="s">
        <v>9219</v>
      </c>
    </row>
    <row r="3035" spans="1:12" x14ac:dyDescent="0.2">
      <c r="A3035" s="672" t="s">
        <v>220</v>
      </c>
      <c r="B3035" s="672" t="s">
        <v>5430</v>
      </c>
      <c r="C3035" s="672" t="s">
        <v>6789</v>
      </c>
      <c r="D3035" s="672" t="s">
        <v>8553</v>
      </c>
      <c r="E3035" s="745"/>
      <c r="F3035" s="732">
        <v>22</v>
      </c>
      <c r="G3035" s="737">
        <v>0.38100000000000001</v>
      </c>
      <c r="H3035" s="685">
        <v>8.3819999999999997</v>
      </c>
      <c r="I3035" s="672" t="s">
        <v>9218</v>
      </c>
      <c r="J3035" s="672" t="s">
        <v>9219</v>
      </c>
      <c r="K3035" s="672" t="s">
        <v>2354</v>
      </c>
      <c r="L3035" s="672" t="s">
        <v>9219</v>
      </c>
    </row>
    <row r="3036" spans="1:12" x14ac:dyDescent="0.2">
      <c r="A3036" s="672" t="s">
        <v>220</v>
      </c>
      <c r="B3036" s="672" t="s">
        <v>5430</v>
      </c>
      <c r="C3036" s="672" t="s">
        <v>8554</v>
      </c>
      <c r="D3036" s="672" t="s">
        <v>8555</v>
      </c>
      <c r="E3036" s="745"/>
      <c r="F3036" s="732">
        <v>12</v>
      </c>
      <c r="G3036" s="737">
        <v>0.46500000000000002</v>
      </c>
      <c r="H3036" s="685">
        <v>5.58</v>
      </c>
      <c r="I3036" s="672" t="s">
        <v>9218</v>
      </c>
      <c r="J3036" s="672" t="s">
        <v>9219</v>
      </c>
      <c r="K3036" s="672" t="s">
        <v>2354</v>
      </c>
      <c r="L3036" s="672" t="s">
        <v>9219</v>
      </c>
    </row>
    <row r="3037" spans="1:12" x14ac:dyDescent="0.2">
      <c r="A3037" s="672" t="s">
        <v>220</v>
      </c>
      <c r="B3037" s="672" t="s">
        <v>5430</v>
      </c>
      <c r="C3037" s="672" t="s">
        <v>6865</v>
      </c>
      <c r="D3037" s="672" t="s">
        <v>8556</v>
      </c>
      <c r="E3037" s="745"/>
      <c r="F3037" s="732">
        <v>23</v>
      </c>
      <c r="G3037" s="737">
        <v>5.3904857142857141</v>
      </c>
      <c r="H3037" s="685">
        <v>123.98117142857143</v>
      </c>
      <c r="I3037" s="672" t="s">
        <v>9218</v>
      </c>
      <c r="J3037" s="672" t="s">
        <v>9219</v>
      </c>
      <c r="K3037" s="672" t="s">
        <v>2354</v>
      </c>
      <c r="L3037" s="672" t="s">
        <v>9219</v>
      </c>
    </row>
    <row r="3038" spans="1:12" x14ac:dyDescent="0.2">
      <c r="A3038" s="672" t="s">
        <v>220</v>
      </c>
      <c r="B3038" s="672" t="s">
        <v>5430</v>
      </c>
      <c r="C3038" s="672" t="s">
        <v>4201</v>
      </c>
      <c r="D3038" s="672" t="s">
        <v>8558</v>
      </c>
      <c r="E3038" s="745"/>
      <c r="F3038" s="732">
        <v>22</v>
      </c>
      <c r="G3038" s="737">
        <v>3.4649999999999999</v>
      </c>
      <c r="H3038" s="685">
        <v>76.22999999999999</v>
      </c>
      <c r="I3038" s="672" t="s">
        <v>9218</v>
      </c>
      <c r="J3038" s="672" t="s">
        <v>9219</v>
      </c>
      <c r="K3038" s="672" t="s">
        <v>2354</v>
      </c>
      <c r="L3038" s="672" t="s">
        <v>9219</v>
      </c>
    </row>
    <row r="3039" spans="1:12" x14ac:dyDescent="0.2">
      <c r="A3039" s="672" t="s">
        <v>220</v>
      </c>
      <c r="B3039" s="672" t="s">
        <v>5430</v>
      </c>
      <c r="C3039" s="672" t="s">
        <v>6866</v>
      </c>
      <c r="D3039" s="672" t="s">
        <v>8560</v>
      </c>
      <c r="E3039" s="745"/>
      <c r="F3039" s="732">
        <v>11</v>
      </c>
      <c r="G3039" s="737">
        <v>9.5120000000000005</v>
      </c>
      <c r="H3039" s="685">
        <v>104.63200000000001</v>
      </c>
      <c r="I3039" s="672" t="s">
        <v>9218</v>
      </c>
      <c r="J3039" s="672" t="s">
        <v>9219</v>
      </c>
      <c r="K3039" s="672" t="s">
        <v>2354</v>
      </c>
      <c r="L3039" s="672" t="s">
        <v>9219</v>
      </c>
    </row>
    <row r="3040" spans="1:12" x14ac:dyDescent="0.2">
      <c r="A3040" s="672" t="s">
        <v>220</v>
      </c>
      <c r="B3040" s="672" t="s">
        <v>5430</v>
      </c>
      <c r="C3040" s="672" t="s">
        <v>4207</v>
      </c>
      <c r="D3040" s="672" t="s">
        <v>8562</v>
      </c>
      <c r="E3040" s="745"/>
      <c r="F3040" s="732">
        <v>20</v>
      </c>
      <c r="G3040" s="737">
        <v>2.7423000000000002</v>
      </c>
      <c r="H3040" s="685">
        <v>54.846000000000004</v>
      </c>
      <c r="I3040" s="672" t="s">
        <v>9218</v>
      </c>
      <c r="J3040" s="672" t="s">
        <v>9219</v>
      </c>
      <c r="K3040" s="672" t="s">
        <v>2354</v>
      </c>
      <c r="L3040" s="672" t="s">
        <v>9219</v>
      </c>
    </row>
    <row r="3041" spans="1:12" x14ac:dyDescent="0.2">
      <c r="A3041" s="672" t="s">
        <v>220</v>
      </c>
      <c r="B3041" s="672" t="s">
        <v>5430</v>
      </c>
      <c r="C3041" s="672" t="s">
        <v>4209</v>
      </c>
      <c r="D3041" s="672" t="s">
        <v>8563</v>
      </c>
      <c r="E3041" s="745"/>
      <c r="F3041" s="732">
        <v>11</v>
      </c>
      <c r="G3041" s="737">
        <v>4.5233999999999996</v>
      </c>
      <c r="H3041" s="685">
        <v>49.757399999999997</v>
      </c>
      <c r="I3041" s="672" t="s">
        <v>9218</v>
      </c>
      <c r="J3041" s="672" t="s">
        <v>9219</v>
      </c>
      <c r="K3041" s="672" t="s">
        <v>2354</v>
      </c>
      <c r="L3041" s="672" t="s">
        <v>9219</v>
      </c>
    </row>
    <row r="3042" spans="1:12" x14ac:dyDescent="0.2">
      <c r="A3042" s="672" t="s">
        <v>220</v>
      </c>
      <c r="B3042" s="672" t="s">
        <v>5430</v>
      </c>
      <c r="C3042" s="672" t="s">
        <v>4217</v>
      </c>
      <c r="D3042" s="672" t="s">
        <v>4218</v>
      </c>
      <c r="E3042" s="745"/>
      <c r="F3042" s="732">
        <v>12</v>
      </c>
      <c r="G3042" s="737">
        <v>0.28150974025974029</v>
      </c>
      <c r="H3042" s="685">
        <v>3.3781168831168835</v>
      </c>
      <c r="I3042" s="672" t="s">
        <v>9218</v>
      </c>
      <c r="J3042" s="672" t="s">
        <v>9219</v>
      </c>
      <c r="K3042" s="672" t="s">
        <v>2354</v>
      </c>
      <c r="L3042" s="672" t="s">
        <v>9219</v>
      </c>
    </row>
    <row r="3043" spans="1:12" x14ac:dyDescent="0.2">
      <c r="A3043" s="672" t="s">
        <v>220</v>
      </c>
      <c r="B3043" s="672" t="s">
        <v>5430</v>
      </c>
      <c r="C3043" s="672" t="s">
        <v>4343</v>
      </c>
      <c r="D3043" s="672" t="s">
        <v>8565</v>
      </c>
      <c r="E3043" s="745"/>
      <c r="F3043" s="732">
        <v>20</v>
      </c>
      <c r="G3043" s="737">
        <v>1.615</v>
      </c>
      <c r="H3043" s="685">
        <v>32.299999999999997</v>
      </c>
      <c r="I3043" s="672" t="s">
        <v>9218</v>
      </c>
      <c r="J3043" s="672" t="s">
        <v>9219</v>
      </c>
      <c r="K3043" s="672" t="s">
        <v>2354</v>
      </c>
      <c r="L3043" s="672" t="s">
        <v>9219</v>
      </c>
    </row>
    <row r="3044" spans="1:12" x14ac:dyDescent="0.2">
      <c r="A3044" s="672" t="s">
        <v>220</v>
      </c>
      <c r="B3044" s="672" t="s">
        <v>5430</v>
      </c>
      <c r="C3044" s="672" t="s">
        <v>4375</v>
      </c>
      <c r="D3044" s="672" t="s">
        <v>4376</v>
      </c>
      <c r="E3044" s="745"/>
      <c r="F3044" s="732">
        <v>12</v>
      </c>
      <c r="G3044" s="737">
        <v>0.66420000000000001</v>
      </c>
      <c r="H3044" s="685">
        <v>7.9703999999999997</v>
      </c>
      <c r="I3044" s="672" t="s">
        <v>9218</v>
      </c>
      <c r="J3044" s="672" t="s">
        <v>9219</v>
      </c>
      <c r="K3044" s="672" t="s">
        <v>2354</v>
      </c>
      <c r="L3044" s="672" t="s">
        <v>9219</v>
      </c>
    </row>
    <row r="3045" spans="1:12" x14ac:dyDescent="0.2">
      <c r="A3045" s="672" t="s">
        <v>220</v>
      </c>
      <c r="B3045" s="672" t="s">
        <v>5430</v>
      </c>
      <c r="C3045" s="672" t="s">
        <v>6959</v>
      </c>
      <c r="D3045" s="672" t="s">
        <v>6960</v>
      </c>
      <c r="E3045" s="745"/>
      <c r="F3045" s="732">
        <v>2</v>
      </c>
      <c r="G3045" s="737">
        <v>2.4239999999999999</v>
      </c>
      <c r="H3045" s="685">
        <v>4.8479999999999999</v>
      </c>
      <c r="I3045" s="672" t="s">
        <v>9218</v>
      </c>
      <c r="J3045" s="672" t="s">
        <v>9219</v>
      </c>
      <c r="K3045" s="672" t="s">
        <v>2354</v>
      </c>
      <c r="L3045" s="672" t="s">
        <v>9219</v>
      </c>
    </row>
    <row r="3046" spans="1:12" x14ac:dyDescent="0.2">
      <c r="A3046" s="672" t="s">
        <v>220</v>
      </c>
      <c r="B3046" s="672" t="s">
        <v>5430</v>
      </c>
      <c r="C3046" s="672" t="s">
        <v>4377</v>
      </c>
      <c r="D3046" s="672" t="s">
        <v>4378</v>
      </c>
      <c r="E3046" s="745"/>
      <c r="F3046" s="732">
        <v>22</v>
      </c>
      <c r="G3046" s="737">
        <v>2.2103999999999999</v>
      </c>
      <c r="H3046" s="685">
        <v>48.628799999999998</v>
      </c>
      <c r="I3046" s="672" t="s">
        <v>9218</v>
      </c>
      <c r="J3046" s="672" t="s">
        <v>9219</v>
      </c>
      <c r="K3046" s="672" t="s">
        <v>2354</v>
      </c>
      <c r="L3046" s="672" t="s">
        <v>9219</v>
      </c>
    </row>
    <row r="3047" spans="1:12" x14ac:dyDescent="0.2">
      <c r="A3047" s="672" t="s">
        <v>220</v>
      </c>
      <c r="B3047" s="672" t="s">
        <v>5430</v>
      </c>
      <c r="C3047" s="672" t="s">
        <v>6961</v>
      </c>
      <c r="D3047" s="672" t="s">
        <v>8566</v>
      </c>
      <c r="E3047" s="745"/>
      <c r="F3047" s="732">
        <v>1</v>
      </c>
      <c r="G3047" s="737">
        <v>16.632000000000001</v>
      </c>
      <c r="H3047" s="685">
        <v>16.632000000000001</v>
      </c>
      <c r="I3047" s="672" t="s">
        <v>9218</v>
      </c>
      <c r="J3047" s="672" t="s">
        <v>9219</v>
      </c>
      <c r="K3047" s="672" t="s">
        <v>2354</v>
      </c>
      <c r="L3047" s="672" t="s">
        <v>9219</v>
      </c>
    </row>
    <row r="3048" spans="1:12" x14ac:dyDescent="0.2">
      <c r="A3048" s="672" t="s">
        <v>220</v>
      </c>
      <c r="B3048" s="672" t="s">
        <v>5430</v>
      </c>
      <c r="C3048" s="672" t="s">
        <v>4381</v>
      </c>
      <c r="D3048" s="672" t="s">
        <v>4382</v>
      </c>
      <c r="E3048" s="745"/>
      <c r="F3048" s="732">
        <v>1</v>
      </c>
      <c r="G3048" s="737">
        <v>11.684100000000001</v>
      </c>
      <c r="H3048" s="685">
        <v>11.684100000000001</v>
      </c>
      <c r="I3048" s="672" t="s">
        <v>9218</v>
      </c>
      <c r="J3048" s="672" t="s">
        <v>9219</v>
      </c>
      <c r="K3048" s="672" t="s">
        <v>2354</v>
      </c>
      <c r="L3048" s="672" t="s">
        <v>9219</v>
      </c>
    </row>
    <row r="3049" spans="1:12" x14ac:dyDescent="0.2">
      <c r="A3049" s="672" t="s">
        <v>220</v>
      </c>
      <c r="B3049" s="672" t="s">
        <v>5430</v>
      </c>
      <c r="C3049" s="672" t="s">
        <v>4395</v>
      </c>
      <c r="D3049" s="672" t="s">
        <v>4396</v>
      </c>
      <c r="E3049" s="745"/>
      <c r="F3049" s="732">
        <v>12</v>
      </c>
      <c r="G3049" s="737">
        <v>6.8080000000000007</v>
      </c>
      <c r="H3049" s="685">
        <v>81.696000000000012</v>
      </c>
      <c r="I3049" s="672" t="s">
        <v>9218</v>
      </c>
      <c r="J3049" s="672" t="s">
        <v>9219</v>
      </c>
      <c r="K3049" s="672" t="s">
        <v>2354</v>
      </c>
      <c r="L3049" s="672" t="s">
        <v>9219</v>
      </c>
    </row>
    <row r="3050" spans="1:12" x14ac:dyDescent="0.2">
      <c r="A3050" s="672" t="s">
        <v>220</v>
      </c>
      <c r="B3050" s="672" t="s">
        <v>5430</v>
      </c>
      <c r="C3050" s="672" t="s">
        <v>8567</v>
      </c>
      <c r="D3050" s="672" t="s">
        <v>8568</v>
      </c>
      <c r="E3050" s="745"/>
      <c r="F3050" s="732">
        <v>3</v>
      </c>
      <c r="G3050" s="737">
        <v>7.7629999999999999</v>
      </c>
      <c r="H3050" s="685">
        <v>23.289000000000001</v>
      </c>
      <c r="I3050" s="672" t="s">
        <v>9218</v>
      </c>
      <c r="J3050" s="672" t="s">
        <v>9219</v>
      </c>
      <c r="K3050" s="672" t="s">
        <v>2354</v>
      </c>
      <c r="L3050" s="672" t="s">
        <v>9219</v>
      </c>
    </row>
    <row r="3051" spans="1:12" x14ac:dyDescent="0.2">
      <c r="A3051" s="672" t="s">
        <v>220</v>
      </c>
      <c r="B3051" s="672" t="s">
        <v>5430</v>
      </c>
      <c r="C3051" s="672" t="s">
        <v>4403</v>
      </c>
      <c r="D3051" s="672" t="s">
        <v>8569</v>
      </c>
      <c r="E3051" s="745"/>
      <c r="F3051" s="732">
        <v>12</v>
      </c>
      <c r="G3051" s="737">
        <v>0.91877982456140361</v>
      </c>
      <c r="H3051" s="685">
        <v>11.025357894736842</v>
      </c>
      <c r="I3051" s="672" t="s">
        <v>9218</v>
      </c>
      <c r="J3051" s="672" t="s">
        <v>9219</v>
      </c>
      <c r="K3051" s="672" t="s">
        <v>2354</v>
      </c>
      <c r="L3051" s="672" t="s">
        <v>9219</v>
      </c>
    </row>
    <row r="3052" spans="1:12" x14ac:dyDescent="0.2">
      <c r="A3052" s="672" t="s">
        <v>220</v>
      </c>
      <c r="B3052" s="672" t="s">
        <v>5430</v>
      </c>
      <c r="C3052" s="672" t="s">
        <v>6963</v>
      </c>
      <c r="D3052" s="672" t="s">
        <v>8570</v>
      </c>
      <c r="E3052" s="745"/>
      <c r="F3052" s="732">
        <v>2</v>
      </c>
      <c r="G3052" s="737">
        <v>12.914999999999999</v>
      </c>
      <c r="H3052" s="685">
        <v>25.83</v>
      </c>
      <c r="I3052" s="672" t="s">
        <v>9218</v>
      </c>
      <c r="J3052" s="672" t="s">
        <v>9219</v>
      </c>
      <c r="K3052" s="672" t="s">
        <v>2354</v>
      </c>
      <c r="L3052" s="672" t="s">
        <v>9219</v>
      </c>
    </row>
    <row r="3053" spans="1:12" x14ac:dyDescent="0.2">
      <c r="A3053" s="672" t="s">
        <v>220</v>
      </c>
      <c r="B3053" s="672" t="s">
        <v>5430</v>
      </c>
      <c r="C3053" s="672" t="s">
        <v>5410</v>
      </c>
      <c r="D3053" s="672" t="s">
        <v>8571</v>
      </c>
      <c r="E3053" s="745"/>
      <c r="F3053" s="732">
        <v>1</v>
      </c>
      <c r="G3053" s="737">
        <v>6.3630000000000004</v>
      </c>
      <c r="H3053" s="685">
        <v>6.3630000000000004</v>
      </c>
      <c r="I3053" s="672" t="s">
        <v>9218</v>
      </c>
      <c r="J3053" s="672" t="s">
        <v>9219</v>
      </c>
      <c r="K3053" s="672" t="s">
        <v>2354</v>
      </c>
      <c r="L3053" s="672" t="s">
        <v>9219</v>
      </c>
    </row>
    <row r="3054" spans="1:12" x14ac:dyDescent="0.2">
      <c r="A3054" s="672" t="s">
        <v>220</v>
      </c>
      <c r="B3054" s="672" t="s">
        <v>5430</v>
      </c>
      <c r="C3054" s="672" t="s">
        <v>4442</v>
      </c>
      <c r="D3054" s="672" t="s">
        <v>8572</v>
      </c>
      <c r="E3054" s="745"/>
      <c r="F3054" s="732">
        <v>18</v>
      </c>
      <c r="G3054" s="737">
        <v>0.23452000000000001</v>
      </c>
      <c r="H3054" s="685">
        <v>4.2213599999999998</v>
      </c>
      <c r="I3054" s="672" t="s">
        <v>9218</v>
      </c>
      <c r="J3054" s="672" t="s">
        <v>9219</v>
      </c>
      <c r="K3054" s="672" t="s">
        <v>2354</v>
      </c>
      <c r="L3054" s="672" t="s">
        <v>9219</v>
      </c>
    </row>
    <row r="3055" spans="1:12" x14ac:dyDescent="0.2">
      <c r="A3055" s="672" t="s">
        <v>220</v>
      </c>
      <c r="B3055" s="672" t="s">
        <v>5430</v>
      </c>
      <c r="C3055" s="672" t="s">
        <v>4444</v>
      </c>
      <c r="D3055" s="672" t="s">
        <v>8573</v>
      </c>
      <c r="E3055" s="745"/>
      <c r="F3055" s="732">
        <v>2</v>
      </c>
      <c r="G3055" s="737">
        <v>0.252</v>
      </c>
      <c r="H3055" s="685">
        <v>0.504</v>
      </c>
      <c r="I3055" s="672" t="s">
        <v>9218</v>
      </c>
      <c r="J3055" s="672" t="s">
        <v>9219</v>
      </c>
      <c r="K3055" s="672" t="s">
        <v>2354</v>
      </c>
      <c r="L3055" s="672" t="s">
        <v>9219</v>
      </c>
    </row>
    <row r="3056" spans="1:12" x14ac:dyDescent="0.2">
      <c r="A3056" s="672" t="s">
        <v>220</v>
      </c>
      <c r="B3056" s="672" t="s">
        <v>5430</v>
      </c>
      <c r="C3056" s="672" t="s">
        <v>4446</v>
      </c>
      <c r="D3056" s="672" t="s">
        <v>8574</v>
      </c>
      <c r="E3056" s="745"/>
      <c r="F3056" s="732">
        <v>5</v>
      </c>
      <c r="G3056" s="737">
        <v>0.37309999999999999</v>
      </c>
      <c r="H3056" s="685">
        <v>1.8654999999999999</v>
      </c>
      <c r="I3056" s="672" t="s">
        <v>9218</v>
      </c>
      <c r="J3056" s="672" t="s">
        <v>9219</v>
      </c>
      <c r="K3056" s="672" t="s">
        <v>2354</v>
      </c>
      <c r="L3056" s="672" t="s">
        <v>9219</v>
      </c>
    </row>
    <row r="3057" spans="1:12" x14ac:dyDescent="0.2">
      <c r="A3057" s="672" t="s">
        <v>220</v>
      </c>
      <c r="B3057" s="672" t="s">
        <v>5430</v>
      </c>
      <c r="C3057" s="672" t="s">
        <v>8575</v>
      </c>
      <c r="D3057" s="672" t="s">
        <v>8576</v>
      </c>
      <c r="E3057" s="745"/>
      <c r="F3057" s="732">
        <v>3</v>
      </c>
      <c r="G3057" s="737">
        <v>0.41299999999999998</v>
      </c>
      <c r="H3057" s="685">
        <v>1.2389999999999999</v>
      </c>
      <c r="I3057" s="672" t="s">
        <v>9218</v>
      </c>
      <c r="J3057" s="672" t="s">
        <v>9219</v>
      </c>
      <c r="K3057" s="672" t="s">
        <v>2354</v>
      </c>
      <c r="L3057" s="672" t="s">
        <v>9219</v>
      </c>
    </row>
    <row r="3058" spans="1:12" x14ac:dyDescent="0.2">
      <c r="A3058" s="672" t="s">
        <v>220</v>
      </c>
      <c r="B3058" s="672" t="s">
        <v>5430</v>
      </c>
      <c r="C3058" s="672" t="s">
        <v>4464</v>
      </c>
      <c r="D3058" s="672" t="s">
        <v>4465</v>
      </c>
      <c r="E3058" s="745"/>
      <c r="F3058" s="732">
        <v>300</v>
      </c>
      <c r="G3058" s="737">
        <v>6.3960000000000003E-2</v>
      </c>
      <c r="H3058" s="685">
        <v>19.188000000000002</v>
      </c>
      <c r="I3058" s="672" t="s">
        <v>9218</v>
      </c>
      <c r="J3058" s="672" t="s">
        <v>9219</v>
      </c>
      <c r="K3058" s="672" t="s">
        <v>2354</v>
      </c>
      <c r="L3058" s="672" t="s">
        <v>9219</v>
      </c>
    </row>
    <row r="3059" spans="1:12" x14ac:dyDescent="0.2">
      <c r="A3059" s="672" t="s">
        <v>220</v>
      </c>
      <c r="B3059" s="672" t="s">
        <v>5430</v>
      </c>
      <c r="C3059" s="672" t="s">
        <v>4490</v>
      </c>
      <c r="D3059" s="672" t="s">
        <v>4491</v>
      </c>
      <c r="E3059" s="745"/>
      <c r="F3059" s="732">
        <v>10</v>
      </c>
      <c r="G3059" s="737">
        <v>0.75768000000000002</v>
      </c>
      <c r="H3059" s="685">
        <v>7.5768000000000004</v>
      </c>
      <c r="I3059" s="672" t="s">
        <v>9218</v>
      </c>
      <c r="J3059" s="672" t="s">
        <v>9219</v>
      </c>
      <c r="K3059" s="672" t="s">
        <v>2354</v>
      </c>
      <c r="L3059" s="672" t="s">
        <v>9219</v>
      </c>
    </row>
    <row r="3060" spans="1:12" x14ac:dyDescent="0.2">
      <c r="A3060" s="672" t="s">
        <v>220</v>
      </c>
      <c r="B3060" s="672" t="s">
        <v>5430</v>
      </c>
      <c r="C3060" s="672" t="s">
        <v>4514</v>
      </c>
      <c r="D3060" s="672" t="s">
        <v>8577</v>
      </c>
      <c r="E3060" s="745"/>
      <c r="F3060" s="732">
        <v>2</v>
      </c>
      <c r="G3060" s="737">
        <v>2.4390000000000001</v>
      </c>
      <c r="H3060" s="685">
        <v>4.8780000000000001</v>
      </c>
      <c r="I3060" s="672" t="s">
        <v>9218</v>
      </c>
      <c r="J3060" s="672" t="s">
        <v>9219</v>
      </c>
      <c r="K3060" s="672" t="s">
        <v>2354</v>
      </c>
      <c r="L3060" s="672" t="s">
        <v>9219</v>
      </c>
    </row>
    <row r="3061" spans="1:12" x14ac:dyDescent="0.2">
      <c r="A3061" s="672" t="s">
        <v>220</v>
      </c>
      <c r="B3061" s="672" t="s">
        <v>5430</v>
      </c>
      <c r="C3061" s="672" t="s">
        <v>4516</v>
      </c>
      <c r="D3061" s="672" t="s">
        <v>8578</v>
      </c>
      <c r="E3061" s="745"/>
      <c r="F3061" s="732">
        <v>22</v>
      </c>
      <c r="G3061" s="737">
        <v>3.4286498632010942</v>
      </c>
      <c r="H3061" s="685">
        <v>75.430296990424068</v>
      </c>
      <c r="I3061" s="672" t="s">
        <v>9218</v>
      </c>
      <c r="J3061" s="672" t="s">
        <v>9219</v>
      </c>
      <c r="K3061" s="672" t="s">
        <v>2354</v>
      </c>
      <c r="L3061" s="672" t="s">
        <v>9219</v>
      </c>
    </row>
    <row r="3062" spans="1:12" x14ac:dyDescent="0.2">
      <c r="A3062" s="672" t="s">
        <v>220</v>
      </c>
      <c r="B3062" s="672" t="s">
        <v>5430</v>
      </c>
      <c r="C3062" s="672" t="s">
        <v>4518</v>
      </c>
      <c r="D3062" s="672" t="s">
        <v>8579</v>
      </c>
      <c r="E3062" s="745"/>
      <c r="F3062" s="732">
        <v>21</v>
      </c>
      <c r="G3062" s="737">
        <v>6.48</v>
      </c>
      <c r="H3062" s="685">
        <v>136.08000000000001</v>
      </c>
      <c r="I3062" s="672" t="s">
        <v>9218</v>
      </c>
      <c r="J3062" s="672" t="s">
        <v>9219</v>
      </c>
      <c r="K3062" s="672" t="s">
        <v>2354</v>
      </c>
      <c r="L3062" s="672" t="s">
        <v>9219</v>
      </c>
    </row>
    <row r="3063" spans="1:12" x14ac:dyDescent="0.2">
      <c r="A3063" s="672" t="s">
        <v>220</v>
      </c>
      <c r="B3063" s="672" t="s">
        <v>5430</v>
      </c>
      <c r="C3063" s="672" t="s">
        <v>7004</v>
      </c>
      <c r="D3063" s="672" t="s">
        <v>8581</v>
      </c>
      <c r="E3063" s="745"/>
      <c r="F3063" s="732">
        <v>11</v>
      </c>
      <c r="G3063" s="737">
        <v>3.93</v>
      </c>
      <c r="H3063" s="685">
        <v>43.230000000000004</v>
      </c>
      <c r="I3063" s="672" t="s">
        <v>9218</v>
      </c>
      <c r="J3063" s="672" t="s">
        <v>9219</v>
      </c>
      <c r="K3063" s="672" t="s">
        <v>2354</v>
      </c>
      <c r="L3063" s="672" t="s">
        <v>9219</v>
      </c>
    </row>
    <row r="3064" spans="1:12" x14ac:dyDescent="0.2">
      <c r="A3064" s="672" t="s">
        <v>220</v>
      </c>
      <c r="B3064" s="672" t="s">
        <v>5430</v>
      </c>
      <c r="C3064" s="672" t="s">
        <v>7008</v>
      </c>
      <c r="D3064" s="672" t="s">
        <v>8582</v>
      </c>
      <c r="E3064" s="745"/>
      <c r="F3064" s="732">
        <v>15</v>
      </c>
      <c r="G3064" s="737">
        <v>0.157</v>
      </c>
      <c r="H3064" s="685">
        <v>2.355</v>
      </c>
      <c r="I3064" s="672" t="s">
        <v>9218</v>
      </c>
      <c r="J3064" s="672" t="s">
        <v>9219</v>
      </c>
      <c r="K3064" s="672" t="s">
        <v>2354</v>
      </c>
      <c r="L3064" s="672" t="s">
        <v>9219</v>
      </c>
    </row>
    <row r="3065" spans="1:12" x14ac:dyDescent="0.2">
      <c r="A3065" s="672" t="s">
        <v>220</v>
      </c>
      <c r="B3065" s="672" t="s">
        <v>5430</v>
      </c>
      <c r="C3065" s="672" t="s">
        <v>7010</v>
      </c>
      <c r="D3065" s="672" t="s">
        <v>8583</v>
      </c>
      <c r="E3065" s="745"/>
      <c r="F3065" s="732">
        <v>93</v>
      </c>
      <c r="G3065" s="737">
        <v>0.20100000000000001</v>
      </c>
      <c r="H3065" s="685">
        <v>18.693000000000001</v>
      </c>
      <c r="I3065" s="672" t="s">
        <v>9218</v>
      </c>
      <c r="J3065" s="672" t="s">
        <v>9219</v>
      </c>
      <c r="K3065" s="672" t="s">
        <v>2354</v>
      </c>
      <c r="L3065" s="672" t="s">
        <v>9219</v>
      </c>
    </row>
    <row r="3066" spans="1:12" x14ac:dyDescent="0.2">
      <c r="A3066" s="672" t="s">
        <v>220</v>
      </c>
      <c r="B3066" s="672" t="s">
        <v>5430</v>
      </c>
      <c r="C3066" s="672" t="s">
        <v>7012</v>
      </c>
      <c r="D3066" s="672" t="s">
        <v>8584</v>
      </c>
      <c r="E3066" s="745"/>
      <c r="F3066" s="732">
        <v>120</v>
      </c>
      <c r="G3066" s="737">
        <v>0.215</v>
      </c>
      <c r="H3066" s="685">
        <v>25.8</v>
      </c>
      <c r="I3066" s="672" t="s">
        <v>9218</v>
      </c>
      <c r="J3066" s="672" t="s">
        <v>9219</v>
      </c>
      <c r="K3066" s="672" t="s">
        <v>2354</v>
      </c>
      <c r="L3066" s="672" t="s">
        <v>9219</v>
      </c>
    </row>
    <row r="3067" spans="1:12" x14ac:dyDescent="0.2">
      <c r="A3067" s="672" t="s">
        <v>220</v>
      </c>
      <c r="B3067" s="672" t="s">
        <v>5430</v>
      </c>
      <c r="C3067" s="672" t="s">
        <v>8590</v>
      </c>
      <c r="D3067" s="672" t="s">
        <v>8591</v>
      </c>
      <c r="E3067" s="745"/>
      <c r="F3067" s="732">
        <v>9</v>
      </c>
      <c r="G3067" s="737">
        <v>1.1459999999999999</v>
      </c>
      <c r="H3067" s="685">
        <v>10.314</v>
      </c>
      <c r="I3067" s="672" t="s">
        <v>9218</v>
      </c>
      <c r="J3067" s="672" t="s">
        <v>9219</v>
      </c>
      <c r="K3067" s="672" t="s">
        <v>2354</v>
      </c>
      <c r="L3067" s="672" t="s">
        <v>9219</v>
      </c>
    </row>
    <row r="3068" spans="1:12" x14ac:dyDescent="0.2">
      <c r="A3068" s="672" t="s">
        <v>220</v>
      </c>
      <c r="B3068" s="672" t="s">
        <v>5430</v>
      </c>
      <c r="C3068" s="672" t="s">
        <v>8592</v>
      </c>
      <c r="D3068" s="672" t="s">
        <v>8593</v>
      </c>
      <c r="E3068" s="745"/>
      <c r="F3068" s="732">
        <v>3</v>
      </c>
      <c r="G3068" s="737">
        <v>1.48</v>
      </c>
      <c r="H3068" s="685">
        <v>4.4399999999999995</v>
      </c>
      <c r="I3068" s="672" t="s">
        <v>9218</v>
      </c>
      <c r="J3068" s="672" t="s">
        <v>9219</v>
      </c>
      <c r="K3068" s="672" t="s">
        <v>2354</v>
      </c>
      <c r="L3068" s="672" t="s">
        <v>9219</v>
      </c>
    </row>
    <row r="3069" spans="1:12" x14ac:dyDescent="0.2">
      <c r="A3069" s="672" t="s">
        <v>220</v>
      </c>
      <c r="B3069" s="672" t="s">
        <v>5430</v>
      </c>
      <c r="C3069" s="672" t="s">
        <v>8594</v>
      </c>
      <c r="D3069" s="672" t="s">
        <v>8595</v>
      </c>
      <c r="E3069" s="745"/>
      <c r="F3069" s="732">
        <v>5</v>
      </c>
      <c r="G3069" s="737">
        <v>3.4119999999999999</v>
      </c>
      <c r="H3069" s="685">
        <v>17.059999999999999</v>
      </c>
      <c r="I3069" s="672" t="s">
        <v>9218</v>
      </c>
      <c r="J3069" s="672" t="s">
        <v>9219</v>
      </c>
      <c r="K3069" s="672" t="s">
        <v>2354</v>
      </c>
      <c r="L3069" s="672" t="s">
        <v>9219</v>
      </c>
    </row>
    <row r="3070" spans="1:12" x14ac:dyDescent="0.2">
      <c r="A3070" s="672" t="s">
        <v>220</v>
      </c>
      <c r="B3070" s="672" t="s">
        <v>5430</v>
      </c>
      <c r="C3070" s="672" t="s">
        <v>4588</v>
      </c>
      <c r="D3070" s="672" t="s">
        <v>4589</v>
      </c>
      <c r="E3070" s="745"/>
      <c r="F3070" s="732">
        <v>20</v>
      </c>
      <c r="G3070" s="737">
        <v>0.58499999999999996</v>
      </c>
      <c r="H3070" s="685">
        <v>11.7</v>
      </c>
      <c r="I3070" s="672" t="s">
        <v>9218</v>
      </c>
      <c r="J3070" s="672" t="s">
        <v>9219</v>
      </c>
      <c r="K3070" s="672" t="s">
        <v>2354</v>
      </c>
      <c r="L3070" s="672" t="s">
        <v>9219</v>
      </c>
    </row>
    <row r="3071" spans="1:12" x14ac:dyDescent="0.2">
      <c r="A3071" s="672" t="s">
        <v>220</v>
      </c>
      <c r="B3071" s="672" t="s">
        <v>5430</v>
      </c>
      <c r="C3071" s="672" t="s">
        <v>4590</v>
      </c>
      <c r="D3071" s="672" t="s">
        <v>4591</v>
      </c>
      <c r="E3071" s="745"/>
      <c r="F3071" s="732">
        <v>35</v>
      </c>
      <c r="G3071" s="737">
        <v>0.56200000000000006</v>
      </c>
      <c r="H3071" s="685">
        <v>19.670000000000002</v>
      </c>
      <c r="I3071" s="672" t="s">
        <v>9218</v>
      </c>
      <c r="J3071" s="672" t="s">
        <v>9219</v>
      </c>
      <c r="K3071" s="672" t="s">
        <v>2354</v>
      </c>
      <c r="L3071" s="672" t="s">
        <v>9219</v>
      </c>
    </row>
    <row r="3072" spans="1:12" x14ac:dyDescent="0.2">
      <c r="A3072" s="672" t="s">
        <v>220</v>
      </c>
      <c r="B3072" s="672" t="s">
        <v>5430</v>
      </c>
      <c r="C3072" s="672" t="s">
        <v>7059</v>
      </c>
      <c r="D3072" s="672" t="s">
        <v>4607</v>
      </c>
      <c r="E3072" s="745"/>
      <c r="F3072" s="732">
        <v>20</v>
      </c>
      <c r="G3072" s="737">
        <v>6.8979999999999997</v>
      </c>
      <c r="H3072" s="685">
        <v>137.95999999999998</v>
      </c>
      <c r="I3072" s="672" t="s">
        <v>9218</v>
      </c>
      <c r="J3072" s="672" t="s">
        <v>9219</v>
      </c>
      <c r="K3072" s="672" t="s">
        <v>2354</v>
      </c>
      <c r="L3072" s="672" t="s">
        <v>9219</v>
      </c>
    </row>
    <row r="3073" spans="1:12" x14ac:dyDescent="0.2">
      <c r="A3073" s="672" t="s">
        <v>220</v>
      </c>
      <c r="B3073" s="672" t="s">
        <v>5430</v>
      </c>
      <c r="C3073" s="672" t="s">
        <v>4608</v>
      </c>
      <c r="D3073" s="672" t="s">
        <v>4609</v>
      </c>
      <c r="E3073" s="745"/>
      <c r="F3073" s="732">
        <v>15</v>
      </c>
      <c r="G3073" s="737">
        <v>3.024</v>
      </c>
      <c r="H3073" s="685">
        <v>45.36</v>
      </c>
      <c r="I3073" s="672" t="s">
        <v>9218</v>
      </c>
      <c r="J3073" s="672" t="s">
        <v>9219</v>
      </c>
      <c r="K3073" s="672" t="s">
        <v>2354</v>
      </c>
      <c r="L3073" s="672" t="s">
        <v>9219</v>
      </c>
    </row>
    <row r="3074" spans="1:12" x14ac:dyDescent="0.2">
      <c r="A3074" s="672" t="s">
        <v>220</v>
      </c>
      <c r="B3074" s="672" t="s">
        <v>5430</v>
      </c>
      <c r="C3074" s="672" t="s">
        <v>8599</v>
      </c>
      <c r="D3074" s="672" t="s">
        <v>4609</v>
      </c>
      <c r="E3074" s="745"/>
      <c r="F3074" s="732">
        <v>15</v>
      </c>
      <c r="G3074" s="737">
        <v>3.024</v>
      </c>
      <c r="H3074" s="685">
        <v>45.36</v>
      </c>
      <c r="I3074" s="672" t="s">
        <v>9218</v>
      </c>
      <c r="J3074" s="672" t="s">
        <v>9219</v>
      </c>
      <c r="K3074" s="672" t="s">
        <v>2354</v>
      </c>
      <c r="L3074" s="672" t="s">
        <v>9219</v>
      </c>
    </row>
    <row r="3075" spans="1:12" x14ac:dyDescent="0.2">
      <c r="A3075" s="672" t="s">
        <v>220</v>
      </c>
      <c r="B3075" s="672" t="s">
        <v>5430</v>
      </c>
      <c r="C3075" s="672" t="s">
        <v>4614</v>
      </c>
      <c r="D3075" s="672" t="s">
        <v>8600</v>
      </c>
      <c r="E3075" s="745"/>
      <c r="F3075" s="732">
        <v>22</v>
      </c>
      <c r="G3075" s="737">
        <v>3.3929999999999998</v>
      </c>
      <c r="H3075" s="685">
        <v>74.646000000000001</v>
      </c>
      <c r="I3075" s="672" t="s">
        <v>9218</v>
      </c>
      <c r="J3075" s="672" t="s">
        <v>9219</v>
      </c>
      <c r="K3075" s="672" t="s">
        <v>2354</v>
      </c>
      <c r="L3075" s="672" t="s">
        <v>9219</v>
      </c>
    </row>
    <row r="3076" spans="1:12" x14ac:dyDescent="0.2">
      <c r="A3076" s="672" t="s">
        <v>220</v>
      </c>
      <c r="B3076" s="672" t="s">
        <v>5430</v>
      </c>
      <c r="C3076" s="672" t="s">
        <v>4616</v>
      </c>
      <c r="D3076" s="672" t="s">
        <v>8601</v>
      </c>
      <c r="E3076" s="745"/>
      <c r="F3076" s="732">
        <v>85</v>
      </c>
      <c r="G3076" s="737">
        <v>1.4990000000000001</v>
      </c>
      <c r="H3076" s="685">
        <v>127.41500000000001</v>
      </c>
      <c r="I3076" s="672" t="s">
        <v>9218</v>
      </c>
      <c r="J3076" s="672" t="s">
        <v>9219</v>
      </c>
      <c r="K3076" s="672" t="s">
        <v>2354</v>
      </c>
      <c r="L3076" s="672" t="s">
        <v>9219</v>
      </c>
    </row>
    <row r="3077" spans="1:12" x14ac:dyDescent="0.2">
      <c r="A3077" s="672" t="s">
        <v>220</v>
      </c>
      <c r="B3077" s="672" t="s">
        <v>5430</v>
      </c>
      <c r="C3077" s="672" t="s">
        <v>7065</v>
      </c>
      <c r="D3077" s="672" t="s">
        <v>7066</v>
      </c>
      <c r="E3077" s="745"/>
      <c r="F3077" s="732">
        <v>50</v>
      </c>
      <c r="G3077" s="737">
        <v>2.496</v>
      </c>
      <c r="H3077" s="685">
        <v>124.8</v>
      </c>
      <c r="I3077" s="672" t="s">
        <v>9218</v>
      </c>
      <c r="J3077" s="672" t="s">
        <v>9219</v>
      </c>
      <c r="K3077" s="672" t="s">
        <v>2354</v>
      </c>
      <c r="L3077" s="672" t="s">
        <v>9219</v>
      </c>
    </row>
    <row r="3078" spans="1:12" x14ac:dyDescent="0.2">
      <c r="A3078" s="672" t="s">
        <v>220</v>
      </c>
      <c r="B3078" s="672" t="s">
        <v>5430</v>
      </c>
      <c r="C3078" s="672" t="s">
        <v>7081</v>
      </c>
      <c r="D3078" s="672" t="s">
        <v>8604</v>
      </c>
      <c r="E3078" s="745"/>
      <c r="F3078" s="732">
        <v>20</v>
      </c>
      <c r="G3078" s="737">
        <v>0.64100000000000001</v>
      </c>
      <c r="H3078" s="685">
        <v>12.82</v>
      </c>
      <c r="I3078" s="672" t="s">
        <v>9218</v>
      </c>
      <c r="J3078" s="672" t="s">
        <v>9219</v>
      </c>
      <c r="K3078" s="672" t="s">
        <v>2354</v>
      </c>
      <c r="L3078" s="672" t="s">
        <v>9219</v>
      </c>
    </row>
    <row r="3079" spans="1:12" x14ac:dyDescent="0.2">
      <c r="A3079" s="672" t="s">
        <v>220</v>
      </c>
      <c r="B3079" s="672" t="s">
        <v>5430</v>
      </c>
      <c r="C3079" s="672" t="s">
        <v>4642</v>
      </c>
      <c r="D3079" s="672" t="s">
        <v>8605</v>
      </c>
      <c r="E3079" s="745"/>
      <c r="F3079" s="732">
        <v>35</v>
      </c>
      <c r="G3079" s="737">
        <v>0.46500000000000002</v>
      </c>
      <c r="H3079" s="685">
        <v>16.275000000000002</v>
      </c>
      <c r="I3079" s="672" t="s">
        <v>9218</v>
      </c>
      <c r="J3079" s="672" t="s">
        <v>9219</v>
      </c>
      <c r="K3079" s="672" t="s">
        <v>2354</v>
      </c>
      <c r="L3079" s="672" t="s">
        <v>9219</v>
      </c>
    </row>
    <row r="3080" spans="1:12" x14ac:dyDescent="0.2">
      <c r="A3080" s="672" t="s">
        <v>220</v>
      </c>
      <c r="B3080" s="672" t="s">
        <v>5430</v>
      </c>
      <c r="C3080" s="672" t="s">
        <v>4644</v>
      </c>
      <c r="D3080" s="672" t="s">
        <v>8606</v>
      </c>
      <c r="E3080" s="745"/>
      <c r="F3080" s="732">
        <v>3</v>
      </c>
      <c r="G3080" s="737">
        <v>0.37094660194174761</v>
      </c>
      <c r="H3080" s="685">
        <v>1.1128398058252429</v>
      </c>
      <c r="I3080" s="672" t="s">
        <v>9218</v>
      </c>
      <c r="J3080" s="672" t="s">
        <v>9219</v>
      </c>
      <c r="K3080" s="672" t="s">
        <v>2354</v>
      </c>
      <c r="L3080" s="672" t="s">
        <v>9219</v>
      </c>
    </row>
    <row r="3081" spans="1:12" x14ac:dyDescent="0.2">
      <c r="A3081" s="672" t="s">
        <v>220</v>
      </c>
      <c r="B3081" s="672" t="s">
        <v>5430</v>
      </c>
      <c r="C3081" s="672" t="s">
        <v>4648</v>
      </c>
      <c r="D3081" s="672" t="s">
        <v>8607</v>
      </c>
      <c r="E3081" s="745"/>
      <c r="F3081" s="732">
        <v>120</v>
      </c>
      <c r="G3081" s="737">
        <v>0.125</v>
      </c>
      <c r="H3081" s="685">
        <v>15</v>
      </c>
      <c r="I3081" s="672" t="s">
        <v>9218</v>
      </c>
      <c r="J3081" s="672" t="s">
        <v>9219</v>
      </c>
      <c r="K3081" s="672" t="s">
        <v>2354</v>
      </c>
      <c r="L3081" s="672" t="s">
        <v>9219</v>
      </c>
    </row>
    <row r="3082" spans="1:12" x14ac:dyDescent="0.2">
      <c r="A3082" s="672" t="s">
        <v>220</v>
      </c>
      <c r="B3082" s="672" t="s">
        <v>5430</v>
      </c>
      <c r="C3082" s="672" t="s">
        <v>4650</v>
      </c>
      <c r="D3082" s="672" t="s">
        <v>4651</v>
      </c>
      <c r="E3082" s="745"/>
      <c r="F3082" s="732">
        <v>22</v>
      </c>
      <c r="G3082" s="737">
        <v>0.31014000000000003</v>
      </c>
      <c r="H3082" s="685">
        <v>6.8230800000000009</v>
      </c>
      <c r="I3082" s="672" t="s">
        <v>9218</v>
      </c>
      <c r="J3082" s="672" t="s">
        <v>9219</v>
      </c>
      <c r="K3082" s="672" t="s">
        <v>2354</v>
      </c>
      <c r="L3082" s="672" t="s">
        <v>9219</v>
      </c>
    </row>
    <row r="3083" spans="1:12" x14ac:dyDescent="0.2">
      <c r="A3083" s="672" t="s">
        <v>220</v>
      </c>
      <c r="B3083" s="672" t="s">
        <v>5430</v>
      </c>
      <c r="C3083" s="672" t="s">
        <v>4658</v>
      </c>
      <c r="D3083" s="672" t="s">
        <v>8608</v>
      </c>
      <c r="E3083" s="745"/>
      <c r="F3083" s="732">
        <v>23</v>
      </c>
      <c r="G3083" s="737">
        <v>0.21568278894472359</v>
      </c>
      <c r="H3083" s="685">
        <v>4.9607041457286423</v>
      </c>
      <c r="I3083" s="672" t="s">
        <v>9218</v>
      </c>
      <c r="J3083" s="672" t="s">
        <v>9219</v>
      </c>
      <c r="K3083" s="672" t="s">
        <v>2354</v>
      </c>
      <c r="L3083" s="672" t="s">
        <v>9219</v>
      </c>
    </row>
    <row r="3084" spans="1:12" x14ac:dyDescent="0.2">
      <c r="A3084" s="672" t="s">
        <v>220</v>
      </c>
      <c r="B3084" s="672" t="s">
        <v>5430</v>
      </c>
      <c r="C3084" s="672" t="s">
        <v>4662</v>
      </c>
      <c r="D3084" s="672" t="s">
        <v>8609</v>
      </c>
      <c r="E3084" s="745"/>
      <c r="F3084" s="732">
        <v>120</v>
      </c>
      <c r="G3084" s="737">
        <v>0.21</v>
      </c>
      <c r="H3084" s="685">
        <v>25.2</v>
      </c>
      <c r="I3084" s="672" t="s">
        <v>9218</v>
      </c>
      <c r="J3084" s="672" t="s">
        <v>9219</v>
      </c>
      <c r="K3084" s="672" t="s">
        <v>2354</v>
      </c>
      <c r="L3084" s="672" t="s">
        <v>9219</v>
      </c>
    </row>
    <row r="3085" spans="1:12" x14ac:dyDescent="0.2">
      <c r="A3085" s="672" t="s">
        <v>220</v>
      </c>
      <c r="B3085" s="672" t="s">
        <v>5430</v>
      </c>
      <c r="C3085" s="672" t="s">
        <v>4664</v>
      </c>
      <c r="D3085" s="672" t="s">
        <v>8610</v>
      </c>
      <c r="E3085" s="745"/>
      <c r="F3085" s="732">
        <v>102</v>
      </c>
      <c r="G3085" s="737">
        <v>0.28599999999999998</v>
      </c>
      <c r="H3085" s="685">
        <v>29.171999999999997</v>
      </c>
      <c r="I3085" s="672" t="s">
        <v>9218</v>
      </c>
      <c r="J3085" s="672" t="s">
        <v>9219</v>
      </c>
      <c r="K3085" s="672" t="s">
        <v>2354</v>
      </c>
      <c r="L3085" s="672" t="s">
        <v>9219</v>
      </c>
    </row>
    <row r="3086" spans="1:12" x14ac:dyDescent="0.2">
      <c r="A3086" s="672" t="s">
        <v>220</v>
      </c>
      <c r="B3086" s="672" t="s">
        <v>5430</v>
      </c>
      <c r="C3086" s="672" t="s">
        <v>4666</v>
      </c>
      <c r="D3086" s="672" t="s">
        <v>8611</v>
      </c>
      <c r="E3086" s="745"/>
      <c r="F3086" s="732">
        <v>103</v>
      </c>
      <c r="G3086" s="737">
        <v>0.315</v>
      </c>
      <c r="H3086" s="685">
        <v>32.445</v>
      </c>
      <c r="I3086" s="672" t="s">
        <v>9218</v>
      </c>
      <c r="J3086" s="672" t="s">
        <v>9219</v>
      </c>
      <c r="K3086" s="672" t="s">
        <v>2354</v>
      </c>
      <c r="L3086" s="672" t="s">
        <v>9219</v>
      </c>
    </row>
    <row r="3087" spans="1:12" x14ac:dyDescent="0.2">
      <c r="A3087" s="672" t="s">
        <v>220</v>
      </c>
      <c r="B3087" s="672" t="s">
        <v>5430</v>
      </c>
      <c r="C3087" s="672" t="s">
        <v>4668</v>
      </c>
      <c r="D3087" s="672" t="s">
        <v>8612</v>
      </c>
      <c r="E3087" s="745"/>
      <c r="F3087" s="732">
        <v>56</v>
      </c>
      <c r="G3087" s="737">
        <v>1.0674870607734805</v>
      </c>
      <c r="H3087" s="685">
        <v>59.779275403314912</v>
      </c>
      <c r="I3087" s="672" t="s">
        <v>9218</v>
      </c>
      <c r="J3087" s="672" t="s">
        <v>9219</v>
      </c>
      <c r="K3087" s="672" t="s">
        <v>2354</v>
      </c>
      <c r="L3087" s="672" t="s">
        <v>9219</v>
      </c>
    </row>
    <row r="3088" spans="1:12" x14ac:dyDescent="0.2">
      <c r="A3088" s="672" t="s">
        <v>220</v>
      </c>
      <c r="B3088" s="672" t="s">
        <v>5430</v>
      </c>
      <c r="C3088" s="672" t="s">
        <v>4670</v>
      </c>
      <c r="D3088" s="672" t="s">
        <v>8613</v>
      </c>
      <c r="E3088" s="745"/>
      <c r="F3088" s="732">
        <v>45</v>
      </c>
      <c r="G3088" s="737">
        <v>0.48299999999999998</v>
      </c>
      <c r="H3088" s="685">
        <v>21.734999999999999</v>
      </c>
      <c r="I3088" s="672" t="s">
        <v>9218</v>
      </c>
      <c r="J3088" s="672" t="s">
        <v>9219</v>
      </c>
      <c r="K3088" s="672" t="s">
        <v>2354</v>
      </c>
      <c r="L3088" s="672" t="s">
        <v>9219</v>
      </c>
    </row>
    <row r="3089" spans="1:12" x14ac:dyDescent="0.2">
      <c r="A3089" s="672" t="s">
        <v>220</v>
      </c>
      <c r="B3089" s="672" t="s">
        <v>5430</v>
      </c>
      <c r="C3089" s="672" t="s">
        <v>4672</v>
      </c>
      <c r="D3089" s="672" t="s">
        <v>8614</v>
      </c>
      <c r="E3089" s="745"/>
      <c r="F3089" s="732">
        <v>20</v>
      </c>
      <c r="G3089" s="737">
        <v>1.1539999999999999</v>
      </c>
      <c r="H3089" s="685">
        <v>23.08</v>
      </c>
      <c r="I3089" s="672" t="s">
        <v>9218</v>
      </c>
      <c r="J3089" s="672" t="s">
        <v>9219</v>
      </c>
      <c r="K3089" s="672" t="s">
        <v>2354</v>
      </c>
      <c r="L3089" s="672" t="s">
        <v>9219</v>
      </c>
    </row>
    <row r="3090" spans="1:12" x14ac:dyDescent="0.2">
      <c r="A3090" s="672" t="s">
        <v>220</v>
      </c>
      <c r="B3090" s="672" t="s">
        <v>5430</v>
      </c>
      <c r="C3090" s="672" t="s">
        <v>4674</v>
      </c>
      <c r="D3090" s="672" t="s">
        <v>8615</v>
      </c>
      <c r="E3090" s="745"/>
      <c r="F3090" s="732">
        <v>55</v>
      </c>
      <c r="G3090" s="737">
        <v>1.5189999999999999</v>
      </c>
      <c r="H3090" s="685">
        <v>83.545000000000002</v>
      </c>
      <c r="I3090" s="672" t="s">
        <v>9218</v>
      </c>
      <c r="J3090" s="672" t="s">
        <v>9219</v>
      </c>
      <c r="K3090" s="672" t="s">
        <v>2354</v>
      </c>
      <c r="L3090" s="672" t="s">
        <v>9219</v>
      </c>
    </row>
    <row r="3091" spans="1:12" x14ac:dyDescent="0.2">
      <c r="A3091" s="672" t="s">
        <v>220</v>
      </c>
      <c r="B3091" s="672" t="s">
        <v>5430</v>
      </c>
      <c r="C3091" s="672" t="s">
        <v>4676</v>
      </c>
      <c r="D3091" s="672" t="s">
        <v>8616</v>
      </c>
      <c r="E3091" s="745"/>
      <c r="F3091" s="732">
        <v>89</v>
      </c>
      <c r="G3091" s="737">
        <v>1.8360000000000001</v>
      </c>
      <c r="H3091" s="685">
        <v>163.404</v>
      </c>
      <c r="I3091" s="672" t="s">
        <v>9218</v>
      </c>
      <c r="J3091" s="672" t="s">
        <v>9219</v>
      </c>
      <c r="K3091" s="672" t="s">
        <v>2354</v>
      </c>
      <c r="L3091" s="672" t="s">
        <v>9219</v>
      </c>
    </row>
    <row r="3092" spans="1:12" x14ac:dyDescent="0.2">
      <c r="A3092" s="672" t="s">
        <v>220</v>
      </c>
      <c r="B3092" s="672" t="s">
        <v>5430</v>
      </c>
      <c r="C3092" s="672" t="s">
        <v>7085</v>
      </c>
      <c r="D3092" s="672" t="s">
        <v>8617</v>
      </c>
      <c r="E3092" s="745"/>
      <c r="F3092" s="732">
        <v>5</v>
      </c>
      <c r="G3092" s="737">
        <v>1.6759999999999999</v>
      </c>
      <c r="H3092" s="685">
        <v>8.379999999999999</v>
      </c>
      <c r="I3092" s="672" t="s">
        <v>9218</v>
      </c>
      <c r="J3092" s="672" t="s">
        <v>9219</v>
      </c>
      <c r="K3092" s="672" t="s">
        <v>2354</v>
      </c>
      <c r="L3092" s="672" t="s">
        <v>9219</v>
      </c>
    </row>
    <row r="3093" spans="1:12" x14ac:dyDescent="0.2">
      <c r="A3093" s="672" t="s">
        <v>220</v>
      </c>
      <c r="B3093" s="672" t="s">
        <v>5430</v>
      </c>
      <c r="C3093" s="672" t="s">
        <v>4678</v>
      </c>
      <c r="D3093" s="672" t="s">
        <v>8618</v>
      </c>
      <c r="E3093" s="745"/>
      <c r="F3093" s="732">
        <v>25</v>
      </c>
      <c r="G3093" s="737">
        <v>0.48481246339775336</v>
      </c>
      <c r="H3093" s="685">
        <v>12.120311584943835</v>
      </c>
      <c r="I3093" s="672" t="s">
        <v>9218</v>
      </c>
      <c r="J3093" s="672" t="s">
        <v>9219</v>
      </c>
      <c r="K3093" s="672" t="s">
        <v>2354</v>
      </c>
      <c r="L3093" s="672" t="s">
        <v>9219</v>
      </c>
    </row>
    <row r="3094" spans="1:12" x14ac:dyDescent="0.2">
      <c r="A3094" s="672" t="s">
        <v>220</v>
      </c>
      <c r="B3094" s="672" t="s">
        <v>5430</v>
      </c>
      <c r="C3094" s="672" t="s">
        <v>4680</v>
      </c>
      <c r="D3094" s="672" t="s">
        <v>8619</v>
      </c>
      <c r="E3094" s="745"/>
      <c r="F3094" s="732">
        <v>21</v>
      </c>
      <c r="G3094" s="737">
        <v>0.46</v>
      </c>
      <c r="H3094" s="685">
        <v>9.66</v>
      </c>
      <c r="I3094" s="672" t="s">
        <v>9218</v>
      </c>
      <c r="J3094" s="672" t="s">
        <v>9219</v>
      </c>
      <c r="K3094" s="672" t="s">
        <v>2354</v>
      </c>
      <c r="L3094" s="672" t="s">
        <v>9219</v>
      </c>
    </row>
    <row r="3095" spans="1:12" x14ac:dyDescent="0.2">
      <c r="A3095" s="672" t="s">
        <v>220</v>
      </c>
      <c r="B3095" s="672" t="s">
        <v>5430</v>
      </c>
      <c r="C3095" s="672" t="s">
        <v>5382</v>
      </c>
      <c r="D3095" s="672" t="s">
        <v>8620</v>
      </c>
      <c r="E3095" s="745"/>
      <c r="F3095" s="732">
        <v>12</v>
      </c>
      <c r="G3095" s="737">
        <v>0.45100000000000001</v>
      </c>
      <c r="H3095" s="685">
        <v>5.4119999999999999</v>
      </c>
      <c r="I3095" s="672" t="s">
        <v>9218</v>
      </c>
      <c r="J3095" s="672" t="s">
        <v>9219</v>
      </c>
      <c r="K3095" s="672" t="s">
        <v>2354</v>
      </c>
      <c r="L3095" s="672" t="s">
        <v>9219</v>
      </c>
    </row>
    <row r="3096" spans="1:12" x14ac:dyDescent="0.2">
      <c r="A3096" s="672" t="s">
        <v>220</v>
      </c>
      <c r="B3096" s="672" t="s">
        <v>5430</v>
      </c>
      <c r="C3096" s="672" t="s">
        <v>4682</v>
      </c>
      <c r="D3096" s="672" t="s">
        <v>8621</v>
      </c>
      <c r="E3096" s="745"/>
      <c r="F3096" s="732">
        <v>15</v>
      </c>
      <c r="G3096" s="737">
        <v>0.90400000000000003</v>
      </c>
      <c r="H3096" s="685">
        <v>13.56</v>
      </c>
      <c r="I3096" s="672" t="s">
        <v>9218</v>
      </c>
      <c r="J3096" s="672" t="s">
        <v>9219</v>
      </c>
      <c r="K3096" s="672" t="s">
        <v>2354</v>
      </c>
      <c r="L3096" s="672" t="s">
        <v>9219</v>
      </c>
    </row>
    <row r="3097" spans="1:12" x14ac:dyDescent="0.2">
      <c r="A3097" s="672" t="s">
        <v>220</v>
      </c>
      <c r="B3097" s="672" t="s">
        <v>5430</v>
      </c>
      <c r="C3097" s="672" t="s">
        <v>4684</v>
      </c>
      <c r="D3097" s="672" t="s">
        <v>8622</v>
      </c>
      <c r="E3097" s="745"/>
      <c r="F3097" s="732">
        <v>2</v>
      </c>
      <c r="G3097" s="737">
        <v>11.813000000000001</v>
      </c>
      <c r="H3097" s="685">
        <v>23.626000000000001</v>
      </c>
      <c r="I3097" s="672" t="s">
        <v>9218</v>
      </c>
      <c r="J3097" s="672" t="s">
        <v>9219</v>
      </c>
      <c r="K3097" s="672" t="s">
        <v>2354</v>
      </c>
      <c r="L3097" s="672" t="s">
        <v>9219</v>
      </c>
    </row>
    <row r="3098" spans="1:12" x14ac:dyDescent="0.2">
      <c r="A3098" s="672" t="s">
        <v>220</v>
      </c>
      <c r="B3098" s="672" t="s">
        <v>5430</v>
      </c>
      <c r="C3098" s="672" t="s">
        <v>7087</v>
      </c>
      <c r="D3098" s="672" t="s">
        <v>7088</v>
      </c>
      <c r="E3098" s="745"/>
      <c r="F3098" s="732">
        <v>1</v>
      </c>
      <c r="G3098" s="737">
        <v>31.827999999999999</v>
      </c>
      <c r="H3098" s="685">
        <v>31.827999999999999</v>
      </c>
      <c r="I3098" s="672" t="s">
        <v>9218</v>
      </c>
      <c r="J3098" s="672" t="s">
        <v>9219</v>
      </c>
      <c r="K3098" s="672" t="s">
        <v>2354</v>
      </c>
      <c r="L3098" s="672" t="s">
        <v>9219</v>
      </c>
    </row>
    <row r="3099" spans="1:12" x14ac:dyDescent="0.2">
      <c r="A3099" s="672" t="s">
        <v>220</v>
      </c>
      <c r="B3099" s="672" t="s">
        <v>5430</v>
      </c>
      <c r="C3099" s="672" t="s">
        <v>4690</v>
      </c>
      <c r="D3099" s="672" t="s">
        <v>8623</v>
      </c>
      <c r="E3099" s="745"/>
      <c r="F3099" s="732">
        <v>20</v>
      </c>
      <c r="G3099" s="737">
        <v>0.62900999999999996</v>
      </c>
      <c r="H3099" s="685">
        <v>12.5802</v>
      </c>
      <c r="I3099" s="672" t="s">
        <v>9218</v>
      </c>
      <c r="J3099" s="672" t="s">
        <v>9219</v>
      </c>
      <c r="K3099" s="672" t="s">
        <v>2354</v>
      </c>
      <c r="L3099" s="672" t="s">
        <v>9219</v>
      </c>
    </row>
    <row r="3100" spans="1:12" x14ac:dyDescent="0.2">
      <c r="A3100" s="672" t="s">
        <v>220</v>
      </c>
      <c r="B3100" s="672" t="s">
        <v>5430</v>
      </c>
      <c r="C3100" s="672" t="s">
        <v>4696</v>
      </c>
      <c r="D3100" s="672" t="s">
        <v>8624</v>
      </c>
      <c r="E3100" s="745"/>
      <c r="F3100" s="732">
        <v>23</v>
      </c>
      <c r="G3100" s="737">
        <v>1.0529999999999999</v>
      </c>
      <c r="H3100" s="685">
        <v>24.218999999999998</v>
      </c>
      <c r="I3100" s="672" t="s">
        <v>9218</v>
      </c>
      <c r="J3100" s="672" t="s">
        <v>9219</v>
      </c>
      <c r="K3100" s="672" t="s">
        <v>2354</v>
      </c>
      <c r="L3100" s="672" t="s">
        <v>9219</v>
      </c>
    </row>
    <row r="3101" spans="1:12" x14ac:dyDescent="0.2">
      <c r="A3101" s="672" t="s">
        <v>220</v>
      </c>
      <c r="B3101" s="672" t="s">
        <v>5430</v>
      </c>
      <c r="C3101" s="672" t="s">
        <v>7089</v>
      </c>
      <c r="D3101" s="672" t="s">
        <v>8625</v>
      </c>
      <c r="E3101" s="745"/>
      <c r="F3101" s="732">
        <v>54</v>
      </c>
      <c r="G3101" s="737">
        <v>0.35499999999999998</v>
      </c>
      <c r="H3101" s="685">
        <v>19.169999999999998</v>
      </c>
      <c r="I3101" s="672" t="s">
        <v>9218</v>
      </c>
      <c r="J3101" s="672" t="s">
        <v>9219</v>
      </c>
      <c r="K3101" s="672" t="s">
        <v>2354</v>
      </c>
      <c r="L3101" s="672" t="s">
        <v>9219</v>
      </c>
    </row>
    <row r="3102" spans="1:12" x14ac:dyDescent="0.2">
      <c r="A3102" s="672" t="s">
        <v>220</v>
      </c>
      <c r="B3102" s="672" t="s">
        <v>5430</v>
      </c>
      <c r="C3102" s="672" t="s">
        <v>4698</v>
      </c>
      <c r="D3102" s="672" t="s">
        <v>8626</v>
      </c>
      <c r="E3102" s="745"/>
      <c r="F3102" s="732">
        <v>56</v>
      </c>
      <c r="G3102" s="737">
        <v>0.998</v>
      </c>
      <c r="H3102" s="685">
        <v>55.887999999999998</v>
      </c>
      <c r="I3102" s="672" t="s">
        <v>9218</v>
      </c>
      <c r="J3102" s="672" t="s">
        <v>9219</v>
      </c>
      <c r="K3102" s="672" t="s">
        <v>2354</v>
      </c>
      <c r="L3102" s="672" t="s">
        <v>9219</v>
      </c>
    </row>
    <row r="3103" spans="1:12" x14ac:dyDescent="0.2">
      <c r="A3103" s="672" t="s">
        <v>220</v>
      </c>
      <c r="B3103" s="672" t="s">
        <v>5430</v>
      </c>
      <c r="C3103" s="672" t="s">
        <v>4702</v>
      </c>
      <c r="D3103" s="672" t="s">
        <v>8627</v>
      </c>
      <c r="E3103" s="745"/>
      <c r="F3103" s="732">
        <v>215</v>
      </c>
      <c r="G3103" s="737">
        <v>0.11600000000000001</v>
      </c>
      <c r="H3103" s="685">
        <v>24.94</v>
      </c>
      <c r="I3103" s="672" t="s">
        <v>9218</v>
      </c>
      <c r="J3103" s="672" t="s">
        <v>9219</v>
      </c>
      <c r="K3103" s="672" t="s">
        <v>2354</v>
      </c>
      <c r="L3103" s="672" t="s">
        <v>9219</v>
      </c>
    </row>
    <row r="3104" spans="1:12" x14ac:dyDescent="0.2">
      <c r="A3104" s="672" t="s">
        <v>220</v>
      </c>
      <c r="B3104" s="672" t="s">
        <v>5430</v>
      </c>
      <c r="C3104" s="672" t="s">
        <v>7095</v>
      </c>
      <c r="D3104" s="672" t="s">
        <v>8628</v>
      </c>
      <c r="E3104" s="745"/>
      <c r="F3104" s="732">
        <v>135</v>
      </c>
      <c r="G3104" s="737">
        <v>0.628</v>
      </c>
      <c r="H3104" s="685">
        <v>84.78</v>
      </c>
      <c r="I3104" s="672" t="s">
        <v>9218</v>
      </c>
      <c r="J3104" s="672" t="s">
        <v>9219</v>
      </c>
      <c r="K3104" s="672" t="s">
        <v>2354</v>
      </c>
      <c r="L3104" s="672" t="s">
        <v>9219</v>
      </c>
    </row>
    <row r="3105" spans="1:12" x14ac:dyDescent="0.2">
      <c r="A3105" s="672" t="s">
        <v>220</v>
      </c>
      <c r="B3105" s="672" t="s">
        <v>5430</v>
      </c>
      <c r="C3105" s="672" t="s">
        <v>7097</v>
      </c>
      <c r="D3105" s="672" t="s">
        <v>8629</v>
      </c>
      <c r="E3105" s="745"/>
      <c r="F3105" s="732">
        <v>56</v>
      </c>
      <c r="G3105" s="737">
        <v>0.998</v>
      </c>
      <c r="H3105" s="685">
        <v>55.887999999999998</v>
      </c>
      <c r="I3105" s="672" t="s">
        <v>9218</v>
      </c>
      <c r="J3105" s="672" t="s">
        <v>9219</v>
      </c>
      <c r="K3105" s="672" t="s">
        <v>2354</v>
      </c>
      <c r="L3105" s="672" t="s">
        <v>9219</v>
      </c>
    </row>
    <row r="3106" spans="1:12" x14ac:dyDescent="0.2">
      <c r="A3106" s="672" t="s">
        <v>220</v>
      </c>
      <c r="B3106" s="672" t="s">
        <v>5430</v>
      </c>
      <c r="C3106" s="672" t="s">
        <v>7101</v>
      </c>
      <c r="D3106" s="672" t="s">
        <v>8632</v>
      </c>
      <c r="E3106" s="745"/>
      <c r="F3106" s="732">
        <v>25</v>
      </c>
      <c r="G3106" s="737">
        <v>0.41799999999999998</v>
      </c>
      <c r="H3106" s="685">
        <v>10.45</v>
      </c>
      <c r="I3106" s="672" t="s">
        <v>9218</v>
      </c>
      <c r="J3106" s="672" t="s">
        <v>9219</v>
      </c>
      <c r="K3106" s="672" t="s">
        <v>2354</v>
      </c>
      <c r="L3106" s="672" t="s">
        <v>9219</v>
      </c>
    </row>
    <row r="3107" spans="1:12" x14ac:dyDescent="0.2">
      <c r="A3107" s="672" t="s">
        <v>220</v>
      </c>
      <c r="B3107" s="672" t="s">
        <v>5430</v>
      </c>
      <c r="C3107" s="672" t="s">
        <v>7107</v>
      </c>
      <c r="D3107" s="672" t="s">
        <v>8636</v>
      </c>
      <c r="E3107" s="745"/>
      <c r="F3107" s="732">
        <v>20</v>
      </c>
      <c r="G3107" s="737">
        <v>0.222</v>
      </c>
      <c r="H3107" s="685">
        <v>4.4400000000000004</v>
      </c>
      <c r="I3107" s="672" t="s">
        <v>9218</v>
      </c>
      <c r="J3107" s="672" t="s">
        <v>9219</v>
      </c>
      <c r="K3107" s="672" t="s">
        <v>2354</v>
      </c>
      <c r="L3107" s="672" t="s">
        <v>9219</v>
      </c>
    </row>
    <row r="3108" spans="1:12" x14ac:dyDescent="0.2">
      <c r="A3108" s="672" t="s">
        <v>220</v>
      </c>
      <c r="B3108" s="672" t="s">
        <v>5430</v>
      </c>
      <c r="C3108" s="672" t="s">
        <v>7109</v>
      </c>
      <c r="D3108" s="672" t="s">
        <v>8637</v>
      </c>
      <c r="E3108" s="745"/>
      <c r="F3108" s="732">
        <v>23</v>
      </c>
      <c r="G3108" s="737">
        <v>0.29299999999999998</v>
      </c>
      <c r="H3108" s="685">
        <v>6.7389999999999999</v>
      </c>
      <c r="I3108" s="672" t="s">
        <v>9218</v>
      </c>
      <c r="J3108" s="672" t="s">
        <v>9219</v>
      </c>
      <c r="K3108" s="672" t="s">
        <v>2354</v>
      </c>
      <c r="L3108" s="672" t="s">
        <v>9219</v>
      </c>
    </row>
    <row r="3109" spans="1:12" x14ac:dyDescent="0.2">
      <c r="A3109" s="672" t="s">
        <v>220</v>
      </c>
      <c r="B3109" s="672" t="s">
        <v>5430</v>
      </c>
      <c r="C3109" s="672" t="s">
        <v>7111</v>
      </c>
      <c r="D3109" s="672" t="s">
        <v>8638</v>
      </c>
      <c r="E3109" s="745"/>
      <c r="F3109" s="732">
        <v>25</v>
      </c>
      <c r="G3109" s="737">
        <v>8.8999999999999996E-2</v>
      </c>
      <c r="H3109" s="685">
        <v>2.2250000000000001</v>
      </c>
      <c r="I3109" s="672" t="s">
        <v>9218</v>
      </c>
      <c r="J3109" s="672" t="s">
        <v>9219</v>
      </c>
      <c r="K3109" s="672" t="s">
        <v>2354</v>
      </c>
      <c r="L3109" s="672" t="s">
        <v>9219</v>
      </c>
    </row>
    <row r="3110" spans="1:12" x14ac:dyDescent="0.2">
      <c r="A3110" s="672" t="s">
        <v>220</v>
      </c>
      <c r="B3110" s="672" t="s">
        <v>5430</v>
      </c>
      <c r="C3110" s="672" t="s">
        <v>4714</v>
      </c>
      <c r="D3110" s="672" t="s">
        <v>8639</v>
      </c>
      <c r="E3110" s="745"/>
      <c r="F3110" s="732">
        <v>36</v>
      </c>
      <c r="G3110" s="737">
        <v>0.32140750000000007</v>
      </c>
      <c r="H3110" s="685">
        <v>11.570670000000003</v>
      </c>
      <c r="I3110" s="672" t="s">
        <v>9218</v>
      </c>
      <c r="J3110" s="672" t="s">
        <v>9219</v>
      </c>
      <c r="K3110" s="672" t="s">
        <v>2354</v>
      </c>
      <c r="L3110" s="672" t="s">
        <v>9219</v>
      </c>
    </row>
    <row r="3111" spans="1:12" x14ac:dyDescent="0.2">
      <c r="A3111" s="672" t="s">
        <v>220</v>
      </c>
      <c r="B3111" s="672" t="s">
        <v>5430</v>
      </c>
      <c r="C3111" s="672" t="s">
        <v>4716</v>
      </c>
      <c r="D3111" s="672" t="s">
        <v>8640</v>
      </c>
      <c r="E3111" s="745"/>
      <c r="F3111" s="732">
        <v>39</v>
      </c>
      <c r="G3111" s="737">
        <v>0.17799999999999999</v>
      </c>
      <c r="H3111" s="685">
        <v>6.9419999999999993</v>
      </c>
      <c r="I3111" s="672" t="s">
        <v>9218</v>
      </c>
      <c r="J3111" s="672" t="s">
        <v>9219</v>
      </c>
      <c r="K3111" s="672" t="s">
        <v>2354</v>
      </c>
      <c r="L3111" s="672" t="s">
        <v>9219</v>
      </c>
    </row>
    <row r="3112" spans="1:12" x14ac:dyDescent="0.2">
      <c r="A3112" s="672" t="s">
        <v>220</v>
      </c>
      <c r="B3112" s="672" t="s">
        <v>5430</v>
      </c>
      <c r="C3112" s="672" t="s">
        <v>7113</v>
      </c>
      <c r="D3112" s="672" t="s">
        <v>8641</v>
      </c>
      <c r="E3112" s="745"/>
      <c r="F3112" s="732">
        <v>45</v>
      </c>
      <c r="G3112" s="737">
        <v>0.20300000000000001</v>
      </c>
      <c r="H3112" s="685">
        <v>9.1349999999999998</v>
      </c>
      <c r="I3112" s="672" t="s">
        <v>9218</v>
      </c>
      <c r="J3112" s="672" t="s">
        <v>9219</v>
      </c>
      <c r="K3112" s="672" t="s">
        <v>2354</v>
      </c>
      <c r="L3112" s="672" t="s">
        <v>9219</v>
      </c>
    </row>
    <row r="3113" spans="1:12" x14ac:dyDescent="0.2">
      <c r="A3113" s="672" t="s">
        <v>220</v>
      </c>
      <c r="B3113" s="672" t="s">
        <v>5430</v>
      </c>
      <c r="C3113" s="672" t="s">
        <v>4718</v>
      </c>
      <c r="D3113" s="672" t="s">
        <v>8642</v>
      </c>
      <c r="E3113" s="745"/>
      <c r="F3113" s="732">
        <v>56</v>
      </c>
      <c r="G3113" s="737">
        <v>0.51200000000000001</v>
      </c>
      <c r="H3113" s="685">
        <v>28.672000000000001</v>
      </c>
      <c r="I3113" s="672" t="s">
        <v>9218</v>
      </c>
      <c r="J3113" s="672" t="s">
        <v>9219</v>
      </c>
      <c r="K3113" s="672" t="s">
        <v>2354</v>
      </c>
      <c r="L3113" s="672" t="s">
        <v>9219</v>
      </c>
    </row>
    <row r="3114" spans="1:12" x14ac:dyDescent="0.2">
      <c r="A3114" s="672" t="s">
        <v>220</v>
      </c>
      <c r="B3114" s="672" t="s">
        <v>5430</v>
      </c>
      <c r="C3114" s="672" t="s">
        <v>7115</v>
      </c>
      <c r="D3114" s="672" t="s">
        <v>8643</v>
      </c>
      <c r="E3114" s="745"/>
      <c r="F3114" s="732">
        <v>125</v>
      </c>
      <c r="G3114" s="737">
        <v>0.55600000000000005</v>
      </c>
      <c r="H3114" s="685">
        <v>69.5</v>
      </c>
      <c r="I3114" s="672" t="s">
        <v>9218</v>
      </c>
      <c r="J3114" s="672" t="s">
        <v>9219</v>
      </c>
      <c r="K3114" s="672" t="s">
        <v>2354</v>
      </c>
      <c r="L3114" s="672" t="s">
        <v>9219</v>
      </c>
    </row>
    <row r="3115" spans="1:12" x14ac:dyDescent="0.2">
      <c r="A3115" s="672" t="s">
        <v>220</v>
      </c>
      <c r="B3115" s="672" t="s">
        <v>5430</v>
      </c>
      <c r="C3115" s="672" t="s">
        <v>4738</v>
      </c>
      <c r="D3115" s="672" t="s">
        <v>4739</v>
      </c>
      <c r="E3115" s="745"/>
      <c r="F3115" s="732">
        <v>89</v>
      </c>
      <c r="G3115" s="737">
        <v>0.2328625924314919</v>
      </c>
      <c r="H3115" s="685">
        <v>20.724770726402781</v>
      </c>
      <c r="I3115" s="672" t="s">
        <v>9218</v>
      </c>
      <c r="J3115" s="672" t="s">
        <v>9219</v>
      </c>
      <c r="K3115" s="672" t="s">
        <v>2354</v>
      </c>
      <c r="L3115" s="672" t="s">
        <v>9219</v>
      </c>
    </row>
    <row r="3116" spans="1:12" x14ac:dyDescent="0.2">
      <c r="A3116" s="672" t="s">
        <v>220</v>
      </c>
      <c r="B3116" s="672" t="s">
        <v>5430</v>
      </c>
      <c r="C3116" s="672" t="s">
        <v>7119</v>
      </c>
      <c r="D3116" s="672" t="s">
        <v>7120</v>
      </c>
      <c r="E3116" s="745"/>
      <c r="F3116" s="732">
        <v>2</v>
      </c>
      <c r="G3116" s="737">
        <v>52.667000000000002</v>
      </c>
      <c r="H3116" s="685">
        <v>105.334</v>
      </c>
      <c r="I3116" s="672" t="s">
        <v>9218</v>
      </c>
      <c r="J3116" s="672" t="s">
        <v>9219</v>
      </c>
      <c r="K3116" s="672" t="s">
        <v>2354</v>
      </c>
      <c r="L3116" s="672" t="s">
        <v>9219</v>
      </c>
    </row>
    <row r="3117" spans="1:12" x14ac:dyDescent="0.2">
      <c r="A3117" s="672" t="s">
        <v>220</v>
      </c>
      <c r="B3117" s="672" t="s">
        <v>5430</v>
      </c>
      <c r="C3117" s="672" t="s">
        <v>7121</v>
      </c>
      <c r="D3117" s="672" t="s">
        <v>8644</v>
      </c>
      <c r="E3117" s="745"/>
      <c r="F3117" s="732">
        <v>2</v>
      </c>
      <c r="G3117" s="737">
        <v>23.007999999999999</v>
      </c>
      <c r="H3117" s="685">
        <v>46.015999999999998</v>
      </c>
      <c r="I3117" s="672" t="s">
        <v>9218</v>
      </c>
      <c r="J3117" s="672" t="s">
        <v>9219</v>
      </c>
      <c r="K3117" s="672" t="s">
        <v>2354</v>
      </c>
      <c r="L3117" s="672" t="s">
        <v>9219</v>
      </c>
    </row>
    <row r="3118" spans="1:12" x14ac:dyDescent="0.2">
      <c r="A3118" s="672" t="s">
        <v>220</v>
      </c>
      <c r="B3118" s="672" t="s">
        <v>5430</v>
      </c>
      <c r="C3118" s="672" t="s">
        <v>7122</v>
      </c>
      <c r="D3118" s="672" t="s">
        <v>8645</v>
      </c>
      <c r="E3118" s="745"/>
      <c r="F3118" s="732">
        <v>2</v>
      </c>
      <c r="G3118" s="737">
        <v>36.194000000000003</v>
      </c>
      <c r="H3118" s="685">
        <v>72.388000000000005</v>
      </c>
      <c r="I3118" s="672" t="s">
        <v>9218</v>
      </c>
      <c r="J3118" s="672" t="s">
        <v>9219</v>
      </c>
      <c r="K3118" s="672" t="s">
        <v>2354</v>
      </c>
      <c r="L3118" s="672" t="s">
        <v>9219</v>
      </c>
    </row>
    <row r="3119" spans="1:12" x14ac:dyDescent="0.2">
      <c r="A3119" s="672" t="s">
        <v>220</v>
      </c>
      <c r="B3119" s="672" t="s">
        <v>5430</v>
      </c>
      <c r="C3119" s="672" t="s">
        <v>7123</v>
      </c>
      <c r="D3119" s="672" t="s">
        <v>8646</v>
      </c>
      <c r="E3119" s="745"/>
      <c r="F3119" s="732">
        <v>1</v>
      </c>
      <c r="G3119" s="737">
        <v>69</v>
      </c>
      <c r="H3119" s="685">
        <v>69</v>
      </c>
      <c r="I3119" s="672" t="s">
        <v>9218</v>
      </c>
      <c r="J3119" s="672" t="s">
        <v>9219</v>
      </c>
      <c r="K3119" s="672" t="s">
        <v>2354</v>
      </c>
      <c r="L3119" s="672" t="s">
        <v>9219</v>
      </c>
    </row>
    <row r="3120" spans="1:12" x14ac:dyDescent="0.2">
      <c r="A3120" s="672" t="s">
        <v>220</v>
      </c>
      <c r="B3120" s="672" t="s">
        <v>5430</v>
      </c>
      <c r="C3120" s="672" t="s">
        <v>4752</v>
      </c>
      <c r="D3120" s="672" t="s">
        <v>8647</v>
      </c>
      <c r="E3120" s="745"/>
      <c r="F3120" s="732">
        <v>23</v>
      </c>
      <c r="G3120" s="737">
        <v>5.5488</v>
      </c>
      <c r="H3120" s="685">
        <v>127.6224</v>
      </c>
      <c r="I3120" s="672" t="s">
        <v>9218</v>
      </c>
      <c r="J3120" s="672" t="s">
        <v>9219</v>
      </c>
      <c r="K3120" s="672" t="s">
        <v>2354</v>
      </c>
      <c r="L3120" s="672" t="s">
        <v>9219</v>
      </c>
    </row>
    <row r="3121" spans="1:12" x14ac:dyDescent="0.2">
      <c r="A3121" s="672" t="s">
        <v>220</v>
      </c>
      <c r="B3121" s="672" t="s">
        <v>5430</v>
      </c>
      <c r="C3121" s="672" t="s">
        <v>7125</v>
      </c>
      <c r="D3121" s="672" t="s">
        <v>7126</v>
      </c>
      <c r="E3121" s="745"/>
      <c r="F3121" s="732">
        <v>4</v>
      </c>
      <c r="G3121" s="737">
        <v>35.518000000000001</v>
      </c>
      <c r="H3121" s="685">
        <v>142.072</v>
      </c>
      <c r="I3121" s="672" t="s">
        <v>9218</v>
      </c>
      <c r="J3121" s="672" t="s">
        <v>9219</v>
      </c>
      <c r="K3121" s="672" t="s">
        <v>2354</v>
      </c>
      <c r="L3121" s="672" t="s">
        <v>9219</v>
      </c>
    </row>
    <row r="3122" spans="1:12" x14ac:dyDescent="0.2">
      <c r="A3122" s="672" t="s">
        <v>220</v>
      </c>
      <c r="B3122" s="672" t="s">
        <v>5430</v>
      </c>
      <c r="C3122" s="672" t="s">
        <v>7127</v>
      </c>
      <c r="D3122" s="672" t="s">
        <v>8648</v>
      </c>
      <c r="E3122" s="745"/>
      <c r="F3122" s="732">
        <v>25</v>
      </c>
      <c r="G3122" s="737">
        <v>0.55300000000000005</v>
      </c>
      <c r="H3122" s="685">
        <v>13.825000000000001</v>
      </c>
      <c r="I3122" s="672" t="s">
        <v>9218</v>
      </c>
      <c r="J3122" s="672" t="s">
        <v>9219</v>
      </c>
      <c r="K3122" s="672" t="s">
        <v>2354</v>
      </c>
      <c r="L3122" s="672" t="s">
        <v>9219</v>
      </c>
    </row>
    <row r="3123" spans="1:12" x14ac:dyDescent="0.2">
      <c r="A3123" s="672" t="s">
        <v>220</v>
      </c>
      <c r="B3123" s="672" t="s">
        <v>5430</v>
      </c>
      <c r="C3123" s="672" t="s">
        <v>4760</v>
      </c>
      <c r="D3123" s="672" t="s">
        <v>8649</v>
      </c>
      <c r="E3123" s="745"/>
      <c r="F3123" s="732">
        <v>89</v>
      </c>
      <c r="G3123" s="737">
        <v>0.127</v>
      </c>
      <c r="H3123" s="685">
        <v>11.303000000000001</v>
      </c>
      <c r="I3123" s="672" t="s">
        <v>9218</v>
      </c>
      <c r="J3123" s="672" t="s">
        <v>9219</v>
      </c>
      <c r="K3123" s="672" t="s">
        <v>2354</v>
      </c>
      <c r="L3123" s="672" t="s">
        <v>9219</v>
      </c>
    </row>
    <row r="3124" spans="1:12" x14ac:dyDescent="0.2">
      <c r="A3124" s="672" t="s">
        <v>220</v>
      </c>
      <c r="B3124" s="672" t="s">
        <v>5430</v>
      </c>
      <c r="C3124" s="672" t="s">
        <v>7135</v>
      </c>
      <c r="D3124" s="672" t="s">
        <v>7136</v>
      </c>
      <c r="E3124" s="745"/>
      <c r="F3124" s="732">
        <v>2</v>
      </c>
      <c r="G3124" s="737">
        <v>46.283000000000001</v>
      </c>
      <c r="H3124" s="685">
        <v>92.566000000000003</v>
      </c>
      <c r="I3124" s="672" t="s">
        <v>9218</v>
      </c>
      <c r="J3124" s="672" t="s">
        <v>9219</v>
      </c>
      <c r="K3124" s="672" t="s">
        <v>2354</v>
      </c>
      <c r="L3124" s="672" t="s">
        <v>9219</v>
      </c>
    </row>
    <row r="3125" spans="1:12" x14ac:dyDescent="0.2">
      <c r="A3125" s="672" t="s">
        <v>220</v>
      </c>
      <c r="B3125" s="672" t="s">
        <v>5430</v>
      </c>
      <c r="C3125" s="672" t="s">
        <v>7137</v>
      </c>
      <c r="D3125" s="672" t="s">
        <v>8651</v>
      </c>
      <c r="E3125" s="745"/>
      <c r="F3125" s="732">
        <v>32</v>
      </c>
      <c r="G3125" s="737">
        <v>1.587</v>
      </c>
      <c r="H3125" s="685">
        <v>50.783999999999999</v>
      </c>
      <c r="I3125" s="672" t="s">
        <v>9218</v>
      </c>
      <c r="J3125" s="672" t="s">
        <v>9219</v>
      </c>
      <c r="K3125" s="672" t="s">
        <v>2354</v>
      </c>
      <c r="L3125" s="672" t="s">
        <v>9219</v>
      </c>
    </row>
    <row r="3126" spans="1:12" x14ac:dyDescent="0.2">
      <c r="A3126" s="672" t="s">
        <v>220</v>
      </c>
      <c r="B3126" s="672" t="s">
        <v>5430</v>
      </c>
      <c r="C3126" s="672" t="s">
        <v>7139</v>
      </c>
      <c r="D3126" s="672" t="s">
        <v>8652</v>
      </c>
      <c r="E3126" s="745"/>
      <c r="F3126" s="732">
        <v>35</v>
      </c>
      <c r="G3126" s="737">
        <v>1.3160000000000001</v>
      </c>
      <c r="H3126" s="685">
        <v>46.06</v>
      </c>
      <c r="I3126" s="672" t="s">
        <v>9218</v>
      </c>
      <c r="J3126" s="672" t="s">
        <v>9219</v>
      </c>
      <c r="K3126" s="672" t="s">
        <v>2354</v>
      </c>
      <c r="L3126" s="672" t="s">
        <v>9219</v>
      </c>
    </row>
    <row r="3127" spans="1:12" x14ac:dyDescent="0.2">
      <c r="A3127" s="672" t="s">
        <v>220</v>
      </c>
      <c r="B3127" s="672" t="s">
        <v>5430</v>
      </c>
      <c r="C3127" s="672" t="s">
        <v>7141</v>
      </c>
      <c r="D3127" s="672" t="s">
        <v>8653</v>
      </c>
      <c r="E3127" s="745"/>
      <c r="F3127" s="732">
        <v>152</v>
      </c>
      <c r="G3127" s="737">
        <v>3.3000000000000002E-2</v>
      </c>
      <c r="H3127" s="685">
        <v>5.016</v>
      </c>
      <c r="I3127" s="672" t="s">
        <v>9218</v>
      </c>
      <c r="J3127" s="672" t="s">
        <v>9219</v>
      </c>
      <c r="K3127" s="672" t="s">
        <v>2354</v>
      </c>
      <c r="L3127" s="672" t="s">
        <v>9219</v>
      </c>
    </row>
    <row r="3128" spans="1:12" x14ac:dyDescent="0.2">
      <c r="A3128" s="672" t="s">
        <v>220</v>
      </c>
      <c r="B3128" s="672" t="s">
        <v>5430</v>
      </c>
      <c r="C3128" s="672" t="s">
        <v>7152</v>
      </c>
      <c r="D3128" s="672" t="s">
        <v>8654</v>
      </c>
      <c r="E3128" s="745"/>
      <c r="F3128" s="732">
        <v>140</v>
      </c>
      <c r="G3128" s="737">
        <v>0.17199999999999999</v>
      </c>
      <c r="H3128" s="685">
        <v>24.08</v>
      </c>
      <c r="I3128" s="672" t="s">
        <v>9218</v>
      </c>
      <c r="J3128" s="672" t="s">
        <v>9219</v>
      </c>
      <c r="K3128" s="672" t="s">
        <v>2354</v>
      </c>
      <c r="L3128" s="672" t="s">
        <v>9219</v>
      </c>
    </row>
    <row r="3129" spans="1:12" x14ac:dyDescent="0.2">
      <c r="A3129" s="672" t="s">
        <v>220</v>
      </c>
      <c r="B3129" s="672" t="s">
        <v>5430</v>
      </c>
      <c r="C3129" s="672" t="s">
        <v>4772</v>
      </c>
      <c r="D3129" s="672" t="s">
        <v>4773</v>
      </c>
      <c r="E3129" s="745"/>
      <c r="F3129" s="732">
        <v>120</v>
      </c>
      <c r="G3129" s="737">
        <v>0.26774999999999999</v>
      </c>
      <c r="H3129" s="685">
        <v>32.129999999999995</v>
      </c>
      <c r="I3129" s="672" t="s">
        <v>9218</v>
      </c>
      <c r="J3129" s="672" t="s">
        <v>9219</v>
      </c>
      <c r="K3129" s="672" t="s">
        <v>2354</v>
      </c>
      <c r="L3129" s="672" t="s">
        <v>9219</v>
      </c>
    </row>
    <row r="3130" spans="1:12" x14ac:dyDescent="0.2">
      <c r="A3130" s="672" t="s">
        <v>220</v>
      </c>
      <c r="B3130" s="672" t="s">
        <v>5430</v>
      </c>
      <c r="C3130" s="672" t="s">
        <v>4788</v>
      </c>
      <c r="D3130" s="672" t="s">
        <v>8655</v>
      </c>
      <c r="E3130" s="745"/>
      <c r="F3130" s="732">
        <v>42</v>
      </c>
      <c r="G3130" s="737">
        <v>0.12</v>
      </c>
      <c r="H3130" s="685">
        <v>5.04</v>
      </c>
      <c r="I3130" s="672" t="s">
        <v>9218</v>
      </c>
      <c r="J3130" s="672" t="s">
        <v>9219</v>
      </c>
      <c r="K3130" s="672" t="s">
        <v>2354</v>
      </c>
      <c r="L3130" s="672" t="s">
        <v>9219</v>
      </c>
    </row>
    <row r="3131" spans="1:12" x14ac:dyDescent="0.2">
      <c r="A3131" s="672" t="s">
        <v>220</v>
      </c>
      <c r="B3131" s="672" t="s">
        <v>5430</v>
      </c>
      <c r="C3131" s="672" t="s">
        <v>4796</v>
      </c>
      <c r="D3131" s="672" t="s">
        <v>8656</v>
      </c>
      <c r="E3131" s="745"/>
      <c r="F3131" s="732">
        <v>20</v>
      </c>
      <c r="G3131" s="737">
        <v>0</v>
      </c>
      <c r="H3131" s="685">
        <v>0</v>
      </c>
      <c r="I3131" s="672" t="s">
        <v>9218</v>
      </c>
      <c r="J3131" s="672" t="s">
        <v>9219</v>
      </c>
      <c r="K3131" s="672" t="s">
        <v>2354</v>
      </c>
      <c r="L3131" s="672" t="s">
        <v>9219</v>
      </c>
    </row>
    <row r="3132" spans="1:12" x14ac:dyDescent="0.2">
      <c r="A3132" s="672" t="s">
        <v>220</v>
      </c>
      <c r="B3132" s="672" t="s">
        <v>5430</v>
      </c>
      <c r="C3132" s="672" t="s">
        <v>8658</v>
      </c>
      <c r="D3132" s="672" t="s">
        <v>8656</v>
      </c>
      <c r="E3132" s="745"/>
      <c r="F3132" s="732">
        <v>20</v>
      </c>
      <c r="G3132" s="737">
        <v>0</v>
      </c>
      <c r="H3132" s="685">
        <v>0</v>
      </c>
      <c r="I3132" s="672" t="s">
        <v>9218</v>
      </c>
      <c r="J3132" s="672" t="s">
        <v>9219</v>
      </c>
      <c r="K3132" s="672" t="s">
        <v>2354</v>
      </c>
      <c r="L3132" s="672" t="s">
        <v>9219</v>
      </c>
    </row>
    <row r="3133" spans="1:12" x14ac:dyDescent="0.2">
      <c r="A3133" s="672" t="s">
        <v>220</v>
      </c>
      <c r="B3133" s="672" t="s">
        <v>5430</v>
      </c>
      <c r="C3133" s="672" t="s">
        <v>7162</v>
      </c>
      <c r="D3133" s="672" t="s">
        <v>8659</v>
      </c>
      <c r="E3133" s="745"/>
      <c r="F3133" s="732">
        <v>26</v>
      </c>
      <c r="G3133" s="737">
        <v>1.5129999999999999</v>
      </c>
      <c r="H3133" s="685">
        <v>39.337999999999994</v>
      </c>
      <c r="I3133" s="672" t="s">
        <v>9218</v>
      </c>
      <c r="J3133" s="672" t="s">
        <v>9219</v>
      </c>
      <c r="K3133" s="672" t="s">
        <v>2354</v>
      </c>
      <c r="L3133" s="672" t="s">
        <v>9219</v>
      </c>
    </row>
    <row r="3134" spans="1:12" x14ac:dyDescent="0.2">
      <c r="A3134" s="672" t="s">
        <v>220</v>
      </c>
      <c r="B3134" s="672" t="s">
        <v>5430</v>
      </c>
      <c r="C3134" s="672" t="s">
        <v>7164</v>
      </c>
      <c r="D3134" s="672" t="s">
        <v>8660</v>
      </c>
      <c r="E3134" s="745"/>
      <c r="F3134" s="732">
        <v>35</v>
      </c>
      <c r="G3134" s="737">
        <v>7.0999999999999994E-2</v>
      </c>
      <c r="H3134" s="685">
        <v>2.4849999999999999</v>
      </c>
      <c r="I3134" s="672" t="s">
        <v>9218</v>
      </c>
      <c r="J3134" s="672" t="s">
        <v>9219</v>
      </c>
      <c r="K3134" s="672" t="s">
        <v>2354</v>
      </c>
      <c r="L3134" s="672" t="s">
        <v>9219</v>
      </c>
    </row>
    <row r="3135" spans="1:12" x14ac:dyDescent="0.2">
      <c r="A3135" s="672" t="s">
        <v>220</v>
      </c>
      <c r="B3135" s="672" t="s">
        <v>5430</v>
      </c>
      <c r="C3135" s="672" t="s">
        <v>4802</v>
      </c>
      <c r="D3135" s="672" t="s">
        <v>8661</v>
      </c>
      <c r="E3135" s="745"/>
      <c r="F3135" s="732">
        <v>36</v>
      </c>
      <c r="G3135" s="737">
        <v>0.05</v>
      </c>
      <c r="H3135" s="685">
        <v>1.8</v>
      </c>
      <c r="I3135" s="672" t="s">
        <v>9218</v>
      </c>
      <c r="J3135" s="672" t="s">
        <v>9219</v>
      </c>
      <c r="K3135" s="672" t="s">
        <v>2354</v>
      </c>
      <c r="L3135" s="672" t="s">
        <v>9219</v>
      </c>
    </row>
    <row r="3136" spans="1:12" x14ac:dyDescent="0.2">
      <c r="A3136" s="672" t="s">
        <v>220</v>
      </c>
      <c r="B3136" s="672" t="s">
        <v>5430</v>
      </c>
      <c r="C3136" s="672" t="s">
        <v>4804</v>
      </c>
      <c r="D3136" s="672" t="s">
        <v>8662</v>
      </c>
      <c r="E3136" s="745"/>
      <c r="F3136" s="732">
        <v>78</v>
      </c>
      <c r="G3136" s="737">
        <v>0.10620000000000002</v>
      </c>
      <c r="H3136" s="685">
        <v>8.2836000000000016</v>
      </c>
      <c r="I3136" s="672" t="s">
        <v>9218</v>
      </c>
      <c r="J3136" s="672" t="s">
        <v>9219</v>
      </c>
      <c r="K3136" s="672" t="s">
        <v>2354</v>
      </c>
      <c r="L3136" s="672" t="s">
        <v>9219</v>
      </c>
    </row>
    <row r="3137" spans="1:12" x14ac:dyDescent="0.2">
      <c r="A3137" s="672" t="s">
        <v>220</v>
      </c>
      <c r="B3137" s="672" t="s">
        <v>5430</v>
      </c>
      <c r="C3137" s="672" t="s">
        <v>4808</v>
      </c>
      <c r="D3137" s="672" t="s">
        <v>8663</v>
      </c>
      <c r="E3137" s="745"/>
      <c r="F3137" s="732">
        <v>36</v>
      </c>
      <c r="G3137" s="737">
        <v>0.183</v>
      </c>
      <c r="H3137" s="685">
        <v>6.5880000000000001</v>
      </c>
      <c r="I3137" s="672" t="s">
        <v>9218</v>
      </c>
      <c r="J3137" s="672" t="s">
        <v>9219</v>
      </c>
      <c r="K3137" s="672" t="s">
        <v>2354</v>
      </c>
      <c r="L3137" s="672" t="s">
        <v>9219</v>
      </c>
    </row>
    <row r="3138" spans="1:12" x14ac:dyDescent="0.2">
      <c r="A3138" s="672" t="s">
        <v>220</v>
      </c>
      <c r="B3138" s="672" t="s">
        <v>5430</v>
      </c>
      <c r="C3138" s="672" t="s">
        <v>4810</v>
      </c>
      <c r="D3138" s="672" t="s">
        <v>8664</v>
      </c>
      <c r="E3138" s="745"/>
      <c r="F3138" s="732">
        <v>53</v>
      </c>
      <c r="G3138" s="737">
        <v>0.13900000000000001</v>
      </c>
      <c r="H3138" s="685">
        <v>7.3670000000000009</v>
      </c>
      <c r="I3138" s="672" t="s">
        <v>9218</v>
      </c>
      <c r="J3138" s="672" t="s">
        <v>9219</v>
      </c>
      <c r="K3138" s="672" t="s">
        <v>2354</v>
      </c>
      <c r="L3138" s="672" t="s">
        <v>9219</v>
      </c>
    </row>
    <row r="3139" spans="1:12" x14ac:dyDescent="0.2">
      <c r="A3139" s="672" t="s">
        <v>220</v>
      </c>
      <c r="B3139" s="672" t="s">
        <v>5430</v>
      </c>
      <c r="C3139" s="672" t="s">
        <v>4814</v>
      </c>
      <c r="D3139" s="672" t="s">
        <v>8666</v>
      </c>
      <c r="E3139" s="745"/>
      <c r="F3139" s="732">
        <v>62</v>
      </c>
      <c r="G3139" s="737">
        <v>0.16076999999999997</v>
      </c>
      <c r="H3139" s="685">
        <v>9.9677399999999974</v>
      </c>
      <c r="I3139" s="672" t="s">
        <v>9218</v>
      </c>
      <c r="J3139" s="672" t="s">
        <v>9219</v>
      </c>
      <c r="K3139" s="672" t="s">
        <v>2354</v>
      </c>
      <c r="L3139" s="672" t="s">
        <v>9219</v>
      </c>
    </row>
    <row r="3140" spans="1:12" x14ac:dyDescent="0.2">
      <c r="A3140" s="672" t="s">
        <v>220</v>
      </c>
      <c r="B3140" s="672" t="s">
        <v>5430</v>
      </c>
      <c r="C3140" s="672" t="s">
        <v>4816</v>
      </c>
      <c r="D3140" s="672" t="s">
        <v>8667</v>
      </c>
      <c r="E3140" s="745"/>
      <c r="F3140" s="732">
        <v>32</v>
      </c>
      <c r="G3140" s="737">
        <v>0.28799999999999998</v>
      </c>
      <c r="H3140" s="685">
        <v>9.2159999999999993</v>
      </c>
      <c r="I3140" s="672" t="s">
        <v>9218</v>
      </c>
      <c r="J3140" s="672" t="s">
        <v>9219</v>
      </c>
      <c r="K3140" s="672" t="s">
        <v>2354</v>
      </c>
      <c r="L3140" s="672" t="s">
        <v>9219</v>
      </c>
    </row>
    <row r="3141" spans="1:12" x14ac:dyDescent="0.2">
      <c r="A3141" s="672" t="s">
        <v>220</v>
      </c>
      <c r="B3141" s="672" t="s">
        <v>5430</v>
      </c>
      <c r="C3141" s="672" t="s">
        <v>7166</v>
      </c>
      <c r="D3141" s="672" t="s">
        <v>8668</v>
      </c>
      <c r="E3141" s="745"/>
      <c r="F3141" s="732">
        <v>11</v>
      </c>
      <c r="G3141" s="737">
        <v>0.56899999999999995</v>
      </c>
      <c r="H3141" s="685">
        <v>6.2589999999999995</v>
      </c>
      <c r="I3141" s="672" t="s">
        <v>9218</v>
      </c>
      <c r="J3141" s="672" t="s">
        <v>9219</v>
      </c>
      <c r="K3141" s="672" t="s">
        <v>2354</v>
      </c>
      <c r="L3141" s="672" t="s">
        <v>9219</v>
      </c>
    </row>
    <row r="3142" spans="1:12" x14ac:dyDescent="0.2">
      <c r="A3142" s="672" t="s">
        <v>220</v>
      </c>
      <c r="B3142" s="672" t="s">
        <v>5430</v>
      </c>
      <c r="C3142" s="672" t="s">
        <v>7168</v>
      </c>
      <c r="D3142" s="672" t="s">
        <v>8669</v>
      </c>
      <c r="E3142" s="745"/>
      <c r="F3142" s="732">
        <v>35</v>
      </c>
      <c r="G3142" s="737">
        <v>0.624</v>
      </c>
      <c r="H3142" s="685">
        <v>21.84</v>
      </c>
      <c r="I3142" s="672" t="s">
        <v>9218</v>
      </c>
      <c r="J3142" s="672" t="s">
        <v>9219</v>
      </c>
      <c r="K3142" s="672" t="s">
        <v>2354</v>
      </c>
      <c r="L3142" s="672" t="s">
        <v>9219</v>
      </c>
    </row>
    <row r="3143" spans="1:12" x14ac:dyDescent="0.2">
      <c r="A3143" s="672" t="s">
        <v>220</v>
      </c>
      <c r="B3143" s="672" t="s">
        <v>5430</v>
      </c>
      <c r="C3143" s="672" t="s">
        <v>4820</v>
      </c>
      <c r="D3143" s="672" t="s">
        <v>8670</v>
      </c>
      <c r="E3143" s="745"/>
      <c r="F3143" s="732">
        <v>22</v>
      </c>
      <c r="G3143" s="737">
        <v>0.29199999999999998</v>
      </c>
      <c r="H3143" s="685">
        <v>6.4239999999999995</v>
      </c>
      <c r="I3143" s="672" t="s">
        <v>9218</v>
      </c>
      <c r="J3143" s="672" t="s">
        <v>9219</v>
      </c>
      <c r="K3143" s="672" t="s">
        <v>2354</v>
      </c>
      <c r="L3143" s="672" t="s">
        <v>9219</v>
      </c>
    </row>
    <row r="3144" spans="1:12" x14ac:dyDescent="0.2">
      <c r="A3144" s="672" t="s">
        <v>220</v>
      </c>
      <c r="B3144" s="672" t="s">
        <v>5430</v>
      </c>
      <c r="C3144" s="672" t="s">
        <v>4822</v>
      </c>
      <c r="D3144" s="672" t="s">
        <v>8671</v>
      </c>
      <c r="E3144" s="745"/>
      <c r="F3144" s="732">
        <v>35</v>
      </c>
      <c r="G3144" s="737">
        <v>0.44600000000000001</v>
      </c>
      <c r="H3144" s="685">
        <v>15.61</v>
      </c>
      <c r="I3144" s="672" t="s">
        <v>9218</v>
      </c>
      <c r="J3144" s="672" t="s">
        <v>9219</v>
      </c>
      <c r="K3144" s="672" t="s">
        <v>2354</v>
      </c>
      <c r="L3144" s="672" t="s">
        <v>9219</v>
      </c>
    </row>
    <row r="3145" spans="1:12" x14ac:dyDescent="0.2">
      <c r="A3145" s="672" t="s">
        <v>220</v>
      </c>
      <c r="B3145" s="672" t="s">
        <v>5430</v>
      </c>
      <c r="C3145" s="672" t="s">
        <v>4824</v>
      </c>
      <c r="D3145" s="672" t="s">
        <v>8672</v>
      </c>
      <c r="E3145" s="745"/>
      <c r="F3145" s="732">
        <v>54</v>
      </c>
      <c r="G3145" s="737">
        <v>0.35499999999999998</v>
      </c>
      <c r="H3145" s="685">
        <v>19.169999999999998</v>
      </c>
      <c r="I3145" s="672" t="s">
        <v>9218</v>
      </c>
      <c r="J3145" s="672" t="s">
        <v>9219</v>
      </c>
      <c r="K3145" s="672" t="s">
        <v>2354</v>
      </c>
      <c r="L3145" s="672" t="s">
        <v>9219</v>
      </c>
    </row>
    <row r="3146" spans="1:12" x14ac:dyDescent="0.2">
      <c r="A3146" s="672" t="s">
        <v>220</v>
      </c>
      <c r="B3146" s="672" t="s">
        <v>5430</v>
      </c>
      <c r="C3146" s="672" t="s">
        <v>7170</v>
      </c>
      <c r="D3146" s="672" t="s">
        <v>8673</v>
      </c>
      <c r="E3146" s="745"/>
      <c r="F3146" s="732">
        <v>25</v>
      </c>
      <c r="G3146" s="737">
        <v>0.26200000000000001</v>
      </c>
      <c r="H3146" s="685">
        <v>6.5500000000000007</v>
      </c>
      <c r="I3146" s="672" t="s">
        <v>9218</v>
      </c>
      <c r="J3146" s="672" t="s">
        <v>9219</v>
      </c>
      <c r="K3146" s="672" t="s">
        <v>2354</v>
      </c>
      <c r="L3146" s="672" t="s">
        <v>9219</v>
      </c>
    </row>
    <row r="3147" spans="1:12" x14ac:dyDescent="0.2">
      <c r="A3147" s="672" t="s">
        <v>220</v>
      </c>
      <c r="B3147" s="672" t="s">
        <v>5430</v>
      </c>
      <c r="C3147" s="672" t="s">
        <v>4826</v>
      </c>
      <c r="D3147" s="672" t="s">
        <v>8674</v>
      </c>
      <c r="E3147" s="745"/>
      <c r="F3147" s="732">
        <v>145</v>
      </c>
      <c r="G3147" s="737">
        <v>1.1100000000000001</v>
      </c>
      <c r="H3147" s="685">
        <v>160.95000000000002</v>
      </c>
      <c r="I3147" s="672" t="s">
        <v>9218</v>
      </c>
      <c r="J3147" s="672" t="s">
        <v>9219</v>
      </c>
      <c r="K3147" s="672" t="s">
        <v>2354</v>
      </c>
      <c r="L3147" s="672" t="s">
        <v>9219</v>
      </c>
    </row>
    <row r="3148" spans="1:12" x14ac:dyDescent="0.2">
      <c r="A3148" s="672" t="s">
        <v>220</v>
      </c>
      <c r="B3148" s="672" t="s">
        <v>5430</v>
      </c>
      <c r="D3148" s="672" t="s">
        <v>9452</v>
      </c>
      <c r="E3148" s="745"/>
      <c r="F3148" s="732">
        <v>45</v>
      </c>
      <c r="G3148" s="737">
        <v>8.0000000000000002E-3</v>
      </c>
      <c r="H3148" s="685">
        <v>0.36</v>
      </c>
      <c r="I3148" s="672" t="s">
        <v>9218</v>
      </c>
      <c r="J3148" s="672" t="s">
        <v>9219</v>
      </c>
      <c r="K3148" s="672" t="s">
        <v>2354</v>
      </c>
      <c r="L3148" s="672" t="s">
        <v>9219</v>
      </c>
    </row>
    <row r="3149" spans="1:12" x14ac:dyDescent="0.2">
      <c r="A3149" s="672" t="s">
        <v>220</v>
      </c>
      <c r="B3149" s="672" t="s">
        <v>5430</v>
      </c>
      <c r="C3149" s="672" t="s">
        <v>4830</v>
      </c>
      <c r="D3149" s="672" t="s">
        <v>8676</v>
      </c>
      <c r="E3149" s="745"/>
      <c r="F3149" s="732">
        <v>89</v>
      </c>
      <c r="G3149" s="737">
        <v>9.799999999999999E-2</v>
      </c>
      <c r="H3149" s="685">
        <v>8.7219999999999995</v>
      </c>
      <c r="I3149" s="672" t="s">
        <v>9218</v>
      </c>
      <c r="J3149" s="672" t="s">
        <v>9219</v>
      </c>
      <c r="K3149" s="672" t="s">
        <v>2354</v>
      </c>
      <c r="L3149" s="672" t="s">
        <v>9219</v>
      </c>
    </row>
    <row r="3150" spans="1:12" x14ac:dyDescent="0.2">
      <c r="A3150" s="672" t="s">
        <v>220</v>
      </c>
      <c r="B3150" s="672" t="s">
        <v>5430</v>
      </c>
      <c r="C3150" s="672" t="s">
        <v>4832</v>
      </c>
      <c r="D3150" s="672" t="s">
        <v>8677</v>
      </c>
      <c r="E3150" s="745"/>
      <c r="F3150" s="732">
        <v>22</v>
      </c>
      <c r="G3150" s="737">
        <v>5.9033281409406252E-2</v>
      </c>
      <c r="H3150" s="685">
        <v>1.2987321910069376</v>
      </c>
      <c r="I3150" s="672" t="s">
        <v>9218</v>
      </c>
      <c r="J3150" s="672" t="s">
        <v>9219</v>
      </c>
      <c r="K3150" s="672" t="s">
        <v>2354</v>
      </c>
      <c r="L3150" s="672" t="s">
        <v>9219</v>
      </c>
    </row>
    <row r="3151" spans="1:12" x14ac:dyDescent="0.2">
      <c r="A3151" s="672" t="s">
        <v>220</v>
      </c>
      <c r="B3151" s="672" t="s">
        <v>5430</v>
      </c>
      <c r="C3151" s="672" t="s">
        <v>4836</v>
      </c>
      <c r="D3151" s="672" t="s">
        <v>8679</v>
      </c>
      <c r="E3151" s="745"/>
      <c r="F3151" s="732">
        <v>36</v>
      </c>
      <c r="G3151" s="737">
        <v>0.58602392565597661</v>
      </c>
      <c r="H3151" s="685">
        <v>21.096861323615158</v>
      </c>
      <c r="I3151" s="672" t="s">
        <v>9218</v>
      </c>
      <c r="J3151" s="672" t="s">
        <v>9219</v>
      </c>
      <c r="K3151" s="672" t="s">
        <v>2354</v>
      </c>
      <c r="L3151" s="672" t="s">
        <v>9219</v>
      </c>
    </row>
    <row r="3152" spans="1:12" x14ac:dyDescent="0.2">
      <c r="A3152" s="672" t="s">
        <v>220</v>
      </c>
      <c r="B3152" s="672" t="s">
        <v>5430</v>
      </c>
      <c r="C3152" s="672" t="s">
        <v>4840</v>
      </c>
      <c r="D3152" s="672" t="s">
        <v>8681</v>
      </c>
      <c r="E3152" s="745"/>
      <c r="F3152" s="732">
        <v>62</v>
      </c>
      <c r="G3152" s="737">
        <v>0.40460000000000002</v>
      </c>
      <c r="H3152" s="685">
        <v>25.0852</v>
      </c>
      <c r="I3152" s="672" t="s">
        <v>9218</v>
      </c>
      <c r="J3152" s="672" t="s">
        <v>9219</v>
      </c>
      <c r="K3152" s="672" t="s">
        <v>2354</v>
      </c>
      <c r="L3152" s="672" t="s">
        <v>9219</v>
      </c>
    </row>
    <row r="3153" spans="1:12" x14ac:dyDescent="0.2">
      <c r="A3153" s="672" t="s">
        <v>220</v>
      </c>
      <c r="B3153" s="672" t="s">
        <v>5430</v>
      </c>
      <c r="C3153" s="672" t="s">
        <v>4842</v>
      </c>
      <c r="D3153" s="672" t="s">
        <v>8682</v>
      </c>
      <c r="E3153" s="745"/>
      <c r="F3153" s="732">
        <v>120</v>
      </c>
      <c r="G3153" s="737">
        <v>0.10833</v>
      </c>
      <c r="H3153" s="685">
        <v>12.999599999999999</v>
      </c>
      <c r="I3153" s="672" t="s">
        <v>9218</v>
      </c>
      <c r="J3153" s="672" t="s">
        <v>9219</v>
      </c>
      <c r="K3153" s="672" t="s">
        <v>2354</v>
      </c>
      <c r="L3153" s="672" t="s">
        <v>9219</v>
      </c>
    </row>
    <row r="3154" spans="1:12" x14ac:dyDescent="0.2">
      <c r="A3154" s="672" t="s">
        <v>220</v>
      </c>
      <c r="B3154" s="672" t="s">
        <v>5430</v>
      </c>
      <c r="C3154" s="672" t="s">
        <v>4846</v>
      </c>
      <c r="D3154" s="672" t="s">
        <v>8683</v>
      </c>
      <c r="E3154" s="745"/>
      <c r="F3154" s="732">
        <v>123</v>
      </c>
      <c r="G3154" s="737">
        <v>6.8000000000000005E-2</v>
      </c>
      <c r="H3154" s="685">
        <v>8.3640000000000008</v>
      </c>
      <c r="I3154" s="672" t="s">
        <v>9218</v>
      </c>
      <c r="J3154" s="672" t="s">
        <v>9219</v>
      </c>
      <c r="K3154" s="672" t="s">
        <v>2354</v>
      </c>
      <c r="L3154" s="672" t="s">
        <v>9219</v>
      </c>
    </row>
    <row r="3155" spans="1:12" x14ac:dyDescent="0.2">
      <c r="A3155" s="672" t="s">
        <v>220</v>
      </c>
      <c r="B3155" s="672" t="s">
        <v>5430</v>
      </c>
      <c r="C3155" s="672" t="s">
        <v>4848</v>
      </c>
      <c r="D3155" s="672" t="s">
        <v>8684</v>
      </c>
      <c r="E3155" s="745"/>
      <c r="F3155" s="732">
        <v>125</v>
      </c>
      <c r="G3155" s="737">
        <v>8.6999999999999994E-2</v>
      </c>
      <c r="H3155" s="685">
        <v>10.875</v>
      </c>
      <c r="I3155" s="672" t="s">
        <v>9218</v>
      </c>
      <c r="J3155" s="672" t="s">
        <v>9219</v>
      </c>
      <c r="K3155" s="672" t="s">
        <v>2354</v>
      </c>
      <c r="L3155" s="672" t="s">
        <v>9219</v>
      </c>
    </row>
    <row r="3156" spans="1:12" x14ac:dyDescent="0.2">
      <c r="A3156" s="672" t="s">
        <v>220</v>
      </c>
      <c r="B3156" s="672" t="s">
        <v>5430</v>
      </c>
      <c r="C3156" s="672" t="s">
        <v>4854</v>
      </c>
      <c r="D3156" s="672" t="s">
        <v>8685</v>
      </c>
      <c r="E3156" s="745"/>
      <c r="F3156" s="732">
        <v>35</v>
      </c>
      <c r="G3156" s="737">
        <v>0.186</v>
      </c>
      <c r="H3156" s="685">
        <v>6.51</v>
      </c>
      <c r="I3156" s="672" t="s">
        <v>9218</v>
      </c>
      <c r="J3156" s="672" t="s">
        <v>9219</v>
      </c>
      <c r="K3156" s="672" t="s">
        <v>2354</v>
      </c>
      <c r="L3156" s="672" t="s">
        <v>9219</v>
      </c>
    </row>
    <row r="3157" spans="1:12" x14ac:dyDescent="0.2">
      <c r="A3157" s="672" t="s">
        <v>220</v>
      </c>
      <c r="B3157" s="672" t="s">
        <v>5430</v>
      </c>
      <c r="C3157" s="672" t="s">
        <v>4856</v>
      </c>
      <c r="D3157" s="672" t="s">
        <v>8686</v>
      </c>
      <c r="E3157" s="745"/>
      <c r="F3157" s="732">
        <v>120</v>
      </c>
      <c r="G3157" s="737">
        <v>0.29599999999999999</v>
      </c>
      <c r="H3157" s="685">
        <v>35.519999999999996</v>
      </c>
      <c r="I3157" s="672" t="s">
        <v>9218</v>
      </c>
      <c r="J3157" s="672" t="s">
        <v>9219</v>
      </c>
      <c r="K3157" s="672" t="s">
        <v>2354</v>
      </c>
      <c r="L3157" s="672" t="s">
        <v>9219</v>
      </c>
    </row>
    <row r="3158" spans="1:12" x14ac:dyDescent="0.2">
      <c r="A3158" s="672" t="s">
        <v>220</v>
      </c>
      <c r="B3158" s="672" t="s">
        <v>5430</v>
      </c>
      <c r="C3158" s="672" t="s">
        <v>4858</v>
      </c>
      <c r="D3158" s="672" t="s">
        <v>8687</v>
      </c>
      <c r="E3158" s="745"/>
      <c r="F3158" s="732">
        <v>65</v>
      </c>
      <c r="G3158" s="737">
        <v>0.442</v>
      </c>
      <c r="H3158" s="685">
        <v>28.73</v>
      </c>
      <c r="I3158" s="672" t="s">
        <v>9218</v>
      </c>
      <c r="J3158" s="672" t="s">
        <v>9219</v>
      </c>
      <c r="K3158" s="672" t="s">
        <v>2354</v>
      </c>
      <c r="L3158" s="672" t="s">
        <v>9219</v>
      </c>
    </row>
    <row r="3159" spans="1:12" x14ac:dyDescent="0.2">
      <c r="A3159" s="672" t="s">
        <v>220</v>
      </c>
      <c r="B3159" s="672" t="s">
        <v>5430</v>
      </c>
      <c r="C3159" s="672" t="s">
        <v>4860</v>
      </c>
      <c r="D3159" s="672" t="s">
        <v>8688</v>
      </c>
      <c r="E3159" s="745"/>
      <c r="F3159" s="732">
        <v>25</v>
      </c>
      <c r="G3159" s="737">
        <v>0.44700000000000001</v>
      </c>
      <c r="H3159" s="685">
        <v>11.175000000000001</v>
      </c>
      <c r="I3159" s="672" t="s">
        <v>9218</v>
      </c>
      <c r="J3159" s="672" t="s">
        <v>9219</v>
      </c>
      <c r="K3159" s="672" t="s">
        <v>2354</v>
      </c>
      <c r="L3159" s="672" t="s">
        <v>9219</v>
      </c>
    </row>
    <row r="3160" spans="1:12" x14ac:dyDescent="0.2">
      <c r="A3160" s="672" t="s">
        <v>220</v>
      </c>
      <c r="B3160" s="672" t="s">
        <v>5430</v>
      </c>
      <c r="C3160" s="672" t="s">
        <v>4867</v>
      </c>
      <c r="D3160" s="672" t="s">
        <v>8689</v>
      </c>
      <c r="E3160" s="745"/>
      <c r="F3160" s="732">
        <v>36</v>
      </c>
      <c r="G3160" s="737">
        <v>0.69750999999999985</v>
      </c>
      <c r="H3160" s="685">
        <v>25.110359999999993</v>
      </c>
      <c r="I3160" s="672" t="s">
        <v>9218</v>
      </c>
      <c r="J3160" s="672" t="s">
        <v>9219</v>
      </c>
      <c r="K3160" s="672" t="s">
        <v>2354</v>
      </c>
      <c r="L3160" s="672" t="s">
        <v>9219</v>
      </c>
    </row>
    <row r="3161" spans="1:12" x14ac:dyDescent="0.2">
      <c r="A3161" s="672" t="s">
        <v>220</v>
      </c>
      <c r="B3161" s="672" t="s">
        <v>5430</v>
      </c>
      <c r="C3161" s="672" t="s">
        <v>4873</v>
      </c>
      <c r="D3161" s="672" t="s">
        <v>8691</v>
      </c>
      <c r="E3161" s="745"/>
      <c r="F3161" s="732">
        <v>200</v>
      </c>
      <c r="G3161" s="737">
        <v>0.63500000000000001</v>
      </c>
      <c r="H3161" s="685">
        <v>127</v>
      </c>
      <c r="I3161" s="672" t="s">
        <v>9218</v>
      </c>
      <c r="J3161" s="672" t="s">
        <v>9219</v>
      </c>
      <c r="K3161" s="672" t="s">
        <v>2354</v>
      </c>
      <c r="L3161" s="672" t="s">
        <v>9219</v>
      </c>
    </row>
    <row r="3162" spans="1:12" x14ac:dyDescent="0.2">
      <c r="A3162" s="672" t="s">
        <v>220</v>
      </c>
      <c r="B3162" s="672" t="s">
        <v>5430</v>
      </c>
      <c r="C3162" s="672" t="s">
        <v>4901</v>
      </c>
      <c r="D3162" s="672" t="s">
        <v>8692</v>
      </c>
      <c r="E3162" s="745"/>
      <c r="F3162" s="732">
        <v>122</v>
      </c>
      <c r="G3162" s="737">
        <v>0.21</v>
      </c>
      <c r="H3162" s="685">
        <v>25.619999999999997</v>
      </c>
      <c r="I3162" s="672" t="s">
        <v>9218</v>
      </c>
      <c r="J3162" s="672" t="s">
        <v>9219</v>
      </c>
      <c r="K3162" s="672" t="s">
        <v>2354</v>
      </c>
      <c r="L3162" s="672" t="s">
        <v>9219</v>
      </c>
    </row>
    <row r="3163" spans="1:12" x14ac:dyDescent="0.2">
      <c r="A3163" s="672" t="s">
        <v>220</v>
      </c>
      <c r="B3163" s="672" t="s">
        <v>5430</v>
      </c>
      <c r="C3163" s="672" t="s">
        <v>7175</v>
      </c>
      <c r="D3163" s="672" t="s">
        <v>8693</v>
      </c>
      <c r="E3163" s="745"/>
      <c r="F3163" s="732">
        <v>126</v>
      </c>
      <c r="G3163" s="737">
        <v>0.28199999999999997</v>
      </c>
      <c r="H3163" s="685">
        <v>35.531999999999996</v>
      </c>
      <c r="I3163" s="672" t="s">
        <v>9218</v>
      </c>
      <c r="J3163" s="672" t="s">
        <v>9219</v>
      </c>
      <c r="K3163" s="672" t="s">
        <v>2354</v>
      </c>
      <c r="L3163" s="672" t="s">
        <v>9219</v>
      </c>
    </row>
    <row r="3164" spans="1:12" x14ac:dyDescent="0.2">
      <c r="A3164" s="672" t="s">
        <v>220</v>
      </c>
      <c r="B3164" s="672" t="s">
        <v>5430</v>
      </c>
      <c r="C3164" s="672" t="s">
        <v>8695</v>
      </c>
      <c r="D3164" s="672" t="s">
        <v>8696</v>
      </c>
      <c r="E3164" s="745"/>
      <c r="F3164" s="732">
        <v>65</v>
      </c>
      <c r="G3164" s="737">
        <v>0.49299999999999999</v>
      </c>
      <c r="H3164" s="685">
        <v>32.045000000000002</v>
      </c>
      <c r="I3164" s="672" t="s">
        <v>9218</v>
      </c>
      <c r="J3164" s="672" t="s">
        <v>9219</v>
      </c>
      <c r="K3164" s="672" t="s">
        <v>2354</v>
      </c>
      <c r="L3164" s="672" t="s">
        <v>9219</v>
      </c>
    </row>
    <row r="3165" spans="1:12" x14ac:dyDescent="0.2">
      <c r="A3165" s="672" t="s">
        <v>220</v>
      </c>
      <c r="B3165" s="672" t="s">
        <v>5430</v>
      </c>
      <c r="C3165" s="672" t="s">
        <v>4909</v>
      </c>
      <c r="D3165" s="672" t="s">
        <v>8697</v>
      </c>
      <c r="E3165" s="745"/>
      <c r="F3165" s="732">
        <v>36</v>
      </c>
      <c r="G3165" s="737">
        <v>0.67300000000000004</v>
      </c>
      <c r="H3165" s="685">
        <v>24.228000000000002</v>
      </c>
      <c r="I3165" s="672" t="s">
        <v>9218</v>
      </c>
      <c r="J3165" s="672" t="s">
        <v>9219</v>
      </c>
      <c r="K3165" s="672" t="s">
        <v>2354</v>
      </c>
      <c r="L3165" s="672" t="s">
        <v>9219</v>
      </c>
    </row>
    <row r="3166" spans="1:12" x14ac:dyDescent="0.2">
      <c r="A3166" s="672" t="s">
        <v>220</v>
      </c>
      <c r="B3166" s="672" t="s">
        <v>5430</v>
      </c>
      <c r="C3166" s="672" t="s">
        <v>7180</v>
      </c>
      <c r="D3166" s="672" t="s">
        <v>8698</v>
      </c>
      <c r="E3166" s="745"/>
      <c r="F3166" s="732">
        <v>26</v>
      </c>
      <c r="G3166" s="737">
        <v>1.1060000000000001</v>
      </c>
      <c r="H3166" s="685">
        <v>28.756000000000004</v>
      </c>
      <c r="I3166" s="672" t="s">
        <v>9218</v>
      </c>
      <c r="J3166" s="672" t="s">
        <v>9219</v>
      </c>
      <c r="K3166" s="672" t="s">
        <v>2354</v>
      </c>
      <c r="L3166" s="672" t="s">
        <v>9219</v>
      </c>
    </row>
    <row r="3167" spans="1:12" x14ac:dyDescent="0.2">
      <c r="A3167" s="672" t="s">
        <v>220</v>
      </c>
      <c r="B3167" s="672" t="s">
        <v>5430</v>
      </c>
      <c r="C3167" s="672" t="s">
        <v>7182</v>
      </c>
      <c r="D3167" s="672" t="s">
        <v>8699</v>
      </c>
      <c r="E3167" s="745"/>
      <c r="F3167" s="732">
        <v>89</v>
      </c>
      <c r="G3167" s="737">
        <v>1.25</v>
      </c>
      <c r="H3167" s="685">
        <v>111.25</v>
      </c>
      <c r="I3167" s="672" t="s">
        <v>9218</v>
      </c>
      <c r="J3167" s="672" t="s">
        <v>9219</v>
      </c>
      <c r="K3167" s="672" t="s">
        <v>2354</v>
      </c>
      <c r="L3167" s="672" t="s">
        <v>9219</v>
      </c>
    </row>
    <row r="3168" spans="1:12" x14ac:dyDescent="0.2">
      <c r="A3168" s="672" t="s">
        <v>220</v>
      </c>
      <c r="B3168" s="672" t="s">
        <v>5430</v>
      </c>
      <c r="C3168" s="672" t="s">
        <v>4919</v>
      </c>
      <c r="D3168" s="672" t="s">
        <v>8700</v>
      </c>
      <c r="E3168" s="745"/>
      <c r="F3168" s="732">
        <v>45</v>
      </c>
      <c r="G3168" s="737">
        <v>1.2E-2</v>
      </c>
      <c r="H3168" s="685">
        <v>0.54</v>
      </c>
      <c r="I3168" s="672" t="s">
        <v>9218</v>
      </c>
      <c r="J3168" s="672" t="s">
        <v>9219</v>
      </c>
      <c r="K3168" s="672" t="s">
        <v>2354</v>
      </c>
      <c r="L3168" s="672" t="s">
        <v>9219</v>
      </c>
    </row>
    <row r="3169" spans="1:12" x14ac:dyDescent="0.2">
      <c r="A3169" s="672" t="s">
        <v>220</v>
      </c>
      <c r="B3169" s="672" t="s">
        <v>5430</v>
      </c>
      <c r="C3169" s="672" t="s">
        <v>4921</v>
      </c>
      <c r="D3169" s="672" t="s">
        <v>4922</v>
      </c>
      <c r="E3169" s="745"/>
      <c r="F3169" s="732">
        <v>78</v>
      </c>
      <c r="G3169" s="737">
        <v>1.7000000000000001E-2</v>
      </c>
      <c r="H3169" s="685">
        <v>1.3260000000000001</v>
      </c>
      <c r="I3169" s="672" t="s">
        <v>9218</v>
      </c>
      <c r="J3169" s="672" t="s">
        <v>9219</v>
      </c>
      <c r="K3169" s="672" t="s">
        <v>2354</v>
      </c>
      <c r="L3169" s="672" t="s">
        <v>9219</v>
      </c>
    </row>
    <row r="3170" spans="1:12" x14ac:dyDescent="0.2">
      <c r="A3170" s="672" t="s">
        <v>220</v>
      </c>
      <c r="B3170" s="672" t="s">
        <v>5430</v>
      </c>
      <c r="C3170" s="672" t="s">
        <v>4923</v>
      </c>
      <c r="D3170" s="672" t="s">
        <v>4924</v>
      </c>
      <c r="E3170" s="745"/>
      <c r="F3170" s="732">
        <v>20</v>
      </c>
      <c r="G3170" s="737">
        <v>5.6169999999999998E-2</v>
      </c>
      <c r="H3170" s="685">
        <v>1.1234</v>
      </c>
      <c r="I3170" s="672" t="s">
        <v>9218</v>
      </c>
      <c r="J3170" s="672" t="s">
        <v>9219</v>
      </c>
      <c r="K3170" s="672" t="s">
        <v>2354</v>
      </c>
      <c r="L3170" s="672" t="s">
        <v>9219</v>
      </c>
    </row>
    <row r="3171" spans="1:12" x14ac:dyDescent="0.2">
      <c r="A3171" s="672" t="s">
        <v>220</v>
      </c>
      <c r="B3171" s="672" t="s">
        <v>5430</v>
      </c>
      <c r="C3171" s="672" t="s">
        <v>4925</v>
      </c>
      <c r="D3171" s="672" t="s">
        <v>4926</v>
      </c>
      <c r="E3171" s="745"/>
      <c r="F3171" s="732">
        <v>35</v>
      </c>
      <c r="G3171" s="737">
        <v>0.11</v>
      </c>
      <c r="H3171" s="685">
        <v>3.85</v>
      </c>
      <c r="I3171" s="672" t="s">
        <v>9218</v>
      </c>
      <c r="J3171" s="672" t="s">
        <v>9219</v>
      </c>
      <c r="K3171" s="672" t="s">
        <v>2354</v>
      </c>
      <c r="L3171" s="672" t="s">
        <v>9219</v>
      </c>
    </row>
    <row r="3172" spans="1:12" x14ac:dyDescent="0.2">
      <c r="A3172" s="672" t="s">
        <v>220</v>
      </c>
      <c r="B3172" s="672" t="s">
        <v>5430</v>
      </c>
      <c r="C3172" s="672" t="s">
        <v>4927</v>
      </c>
      <c r="D3172" s="672" t="s">
        <v>8701</v>
      </c>
      <c r="E3172" s="745"/>
      <c r="F3172" s="732">
        <v>96</v>
      </c>
      <c r="G3172" s="737">
        <v>0.127</v>
      </c>
      <c r="H3172" s="685">
        <v>12.192</v>
      </c>
      <c r="I3172" s="672" t="s">
        <v>9218</v>
      </c>
      <c r="J3172" s="672" t="s">
        <v>9219</v>
      </c>
      <c r="K3172" s="672" t="s">
        <v>2354</v>
      </c>
      <c r="L3172" s="672" t="s">
        <v>9219</v>
      </c>
    </row>
    <row r="3173" spans="1:12" x14ac:dyDescent="0.2">
      <c r="A3173" s="672" t="s">
        <v>220</v>
      </c>
      <c r="B3173" s="672" t="s">
        <v>5430</v>
      </c>
      <c r="C3173" s="672" t="s">
        <v>4929</v>
      </c>
      <c r="D3173" s="672" t="s">
        <v>8702</v>
      </c>
      <c r="E3173" s="745"/>
      <c r="F3173" s="732">
        <v>113</v>
      </c>
      <c r="G3173" s="737">
        <v>0.30299999999999999</v>
      </c>
      <c r="H3173" s="685">
        <v>34.238999999999997</v>
      </c>
      <c r="I3173" s="672" t="s">
        <v>9218</v>
      </c>
      <c r="J3173" s="672" t="s">
        <v>9219</v>
      </c>
      <c r="K3173" s="672" t="s">
        <v>2354</v>
      </c>
      <c r="L3173" s="672" t="s">
        <v>9219</v>
      </c>
    </row>
    <row r="3174" spans="1:12" x14ac:dyDescent="0.2">
      <c r="A3174" s="672" t="s">
        <v>220</v>
      </c>
      <c r="B3174" s="672" t="s">
        <v>5430</v>
      </c>
      <c r="C3174" s="672" t="s">
        <v>4937</v>
      </c>
      <c r="D3174" s="672" t="s">
        <v>8703</v>
      </c>
      <c r="E3174" s="745"/>
      <c r="F3174" s="732">
        <v>8</v>
      </c>
      <c r="G3174" s="737">
        <v>0.15327726708074535</v>
      </c>
      <c r="H3174" s="685">
        <v>1.2262181366459628</v>
      </c>
      <c r="I3174" s="672" t="s">
        <v>9218</v>
      </c>
      <c r="J3174" s="672" t="s">
        <v>9219</v>
      </c>
      <c r="K3174" s="672" t="s">
        <v>2354</v>
      </c>
      <c r="L3174" s="672" t="s">
        <v>9219</v>
      </c>
    </row>
    <row r="3175" spans="1:12" x14ac:dyDescent="0.2">
      <c r="A3175" s="672" t="s">
        <v>220</v>
      </c>
      <c r="B3175" s="672" t="s">
        <v>5430</v>
      </c>
      <c r="C3175" s="672" t="s">
        <v>4939</v>
      </c>
      <c r="D3175" s="672" t="s">
        <v>8704</v>
      </c>
      <c r="E3175" s="745"/>
      <c r="F3175" s="732">
        <v>45</v>
      </c>
      <c r="G3175" s="737">
        <v>0.27565000000000001</v>
      </c>
      <c r="H3175" s="685">
        <v>12.404250000000001</v>
      </c>
      <c r="I3175" s="672" t="s">
        <v>9218</v>
      </c>
      <c r="J3175" s="672" t="s">
        <v>9219</v>
      </c>
      <c r="K3175" s="672" t="s">
        <v>2354</v>
      </c>
      <c r="L3175" s="672" t="s">
        <v>9219</v>
      </c>
    </row>
    <row r="3176" spans="1:12" x14ac:dyDescent="0.2">
      <c r="A3176" s="672" t="s">
        <v>220</v>
      </c>
      <c r="B3176" s="672" t="s">
        <v>5430</v>
      </c>
      <c r="C3176" s="672" t="s">
        <v>4943</v>
      </c>
      <c r="D3176" s="672" t="s">
        <v>8705</v>
      </c>
      <c r="E3176" s="745"/>
      <c r="F3176" s="732">
        <v>12</v>
      </c>
      <c r="G3176" s="737">
        <v>3.7376999999999998</v>
      </c>
      <c r="H3176" s="685">
        <v>44.852399999999996</v>
      </c>
      <c r="I3176" s="672" t="s">
        <v>9218</v>
      </c>
      <c r="J3176" s="672" t="s">
        <v>9219</v>
      </c>
      <c r="K3176" s="672" t="s">
        <v>2354</v>
      </c>
      <c r="L3176" s="672" t="s">
        <v>9219</v>
      </c>
    </row>
    <row r="3177" spans="1:12" x14ac:dyDescent="0.2">
      <c r="A3177" s="672" t="s">
        <v>220</v>
      </c>
      <c r="B3177" s="672" t="s">
        <v>5430</v>
      </c>
      <c r="C3177" s="672" t="s">
        <v>4959</v>
      </c>
      <c r="D3177" s="672" t="s">
        <v>8707</v>
      </c>
      <c r="E3177" s="745"/>
      <c r="F3177" s="732">
        <v>22</v>
      </c>
      <c r="G3177" s="737">
        <v>0.28334745762711866</v>
      </c>
      <c r="H3177" s="685">
        <v>6.233644067796611</v>
      </c>
      <c r="I3177" s="672" t="s">
        <v>9218</v>
      </c>
      <c r="J3177" s="672" t="s">
        <v>9219</v>
      </c>
      <c r="K3177" s="672" t="s">
        <v>2354</v>
      </c>
      <c r="L3177" s="672" t="s">
        <v>9219</v>
      </c>
    </row>
    <row r="3178" spans="1:12" x14ac:dyDescent="0.2">
      <c r="A3178" s="672" t="s">
        <v>220</v>
      </c>
      <c r="B3178" s="672" t="s">
        <v>5430</v>
      </c>
      <c r="C3178" s="672" t="s">
        <v>4961</v>
      </c>
      <c r="D3178" s="672" t="s">
        <v>8708</v>
      </c>
      <c r="E3178" s="745"/>
      <c r="F3178" s="732">
        <v>20</v>
      </c>
      <c r="G3178" s="737">
        <v>1.3260000000000001</v>
      </c>
      <c r="H3178" s="685">
        <v>26.520000000000003</v>
      </c>
      <c r="I3178" s="672" t="s">
        <v>9218</v>
      </c>
      <c r="J3178" s="672" t="s">
        <v>9219</v>
      </c>
      <c r="K3178" s="672" t="s">
        <v>2354</v>
      </c>
      <c r="L3178" s="672" t="s">
        <v>9219</v>
      </c>
    </row>
    <row r="3179" spans="1:12" x14ac:dyDescent="0.2">
      <c r="A3179" s="672" t="s">
        <v>220</v>
      </c>
      <c r="B3179" s="672" t="s">
        <v>5430</v>
      </c>
      <c r="C3179" s="672" t="s">
        <v>4963</v>
      </c>
      <c r="D3179" s="672" t="s">
        <v>8709</v>
      </c>
      <c r="E3179" s="745"/>
      <c r="F3179" s="732">
        <v>15</v>
      </c>
      <c r="G3179" s="737">
        <v>2.2429999999999999</v>
      </c>
      <c r="H3179" s="685">
        <v>33.644999999999996</v>
      </c>
      <c r="I3179" s="672" t="s">
        <v>9218</v>
      </c>
      <c r="J3179" s="672" t="s">
        <v>9219</v>
      </c>
      <c r="K3179" s="672" t="s">
        <v>2354</v>
      </c>
      <c r="L3179" s="672" t="s">
        <v>9219</v>
      </c>
    </row>
    <row r="3180" spans="1:12" x14ac:dyDescent="0.2">
      <c r="A3180" s="672" t="s">
        <v>220</v>
      </c>
      <c r="B3180" s="672" t="s">
        <v>5430</v>
      </c>
      <c r="C3180" s="672" t="s">
        <v>4965</v>
      </c>
      <c r="D3180" s="672" t="s">
        <v>8710</v>
      </c>
      <c r="E3180" s="745"/>
      <c r="F3180" s="732">
        <v>35</v>
      </c>
      <c r="G3180" s="737">
        <v>3.2429999999999999</v>
      </c>
      <c r="H3180" s="685">
        <v>113.505</v>
      </c>
      <c r="I3180" s="672" t="s">
        <v>9218</v>
      </c>
      <c r="J3180" s="672" t="s">
        <v>9219</v>
      </c>
      <c r="K3180" s="672" t="s">
        <v>2354</v>
      </c>
      <c r="L3180" s="672" t="s">
        <v>9219</v>
      </c>
    </row>
    <row r="3181" spans="1:12" x14ac:dyDescent="0.2">
      <c r="A3181" s="672" t="s">
        <v>220</v>
      </c>
      <c r="B3181" s="672" t="s">
        <v>5430</v>
      </c>
      <c r="C3181" s="672" t="s">
        <v>4967</v>
      </c>
      <c r="D3181" s="672" t="s">
        <v>8711</v>
      </c>
      <c r="E3181" s="745"/>
      <c r="F3181" s="732">
        <v>9</v>
      </c>
      <c r="G3181" s="737">
        <v>4.4850000000000003</v>
      </c>
      <c r="H3181" s="685">
        <v>40.365000000000002</v>
      </c>
      <c r="I3181" s="672" t="s">
        <v>9218</v>
      </c>
      <c r="J3181" s="672" t="s">
        <v>9219</v>
      </c>
      <c r="K3181" s="672" t="s">
        <v>2354</v>
      </c>
      <c r="L3181" s="672" t="s">
        <v>9219</v>
      </c>
    </row>
    <row r="3182" spans="1:12" x14ac:dyDescent="0.2">
      <c r="A3182" s="672" t="s">
        <v>220</v>
      </c>
      <c r="B3182" s="672" t="s">
        <v>5430</v>
      </c>
      <c r="C3182" s="672" t="s">
        <v>4969</v>
      </c>
      <c r="D3182" s="672" t="s">
        <v>8712</v>
      </c>
      <c r="E3182" s="745"/>
      <c r="F3182" s="732">
        <v>10</v>
      </c>
      <c r="G3182" s="737">
        <v>4.3360000000000003</v>
      </c>
      <c r="H3182" s="685">
        <v>43.36</v>
      </c>
      <c r="I3182" s="672" t="s">
        <v>9218</v>
      </c>
      <c r="J3182" s="672" t="s">
        <v>9219</v>
      </c>
      <c r="K3182" s="672" t="s">
        <v>2354</v>
      </c>
      <c r="L3182" s="672" t="s">
        <v>9219</v>
      </c>
    </row>
    <row r="3183" spans="1:12" x14ac:dyDescent="0.2">
      <c r="A3183" s="672" t="s">
        <v>220</v>
      </c>
      <c r="B3183" s="672" t="s">
        <v>5430</v>
      </c>
      <c r="C3183" s="672" t="s">
        <v>4971</v>
      </c>
      <c r="D3183" s="672" t="s">
        <v>8713</v>
      </c>
      <c r="E3183" s="745"/>
      <c r="F3183" s="732">
        <v>11</v>
      </c>
      <c r="G3183" s="737">
        <v>8.4700000000000006</v>
      </c>
      <c r="H3183" s="685">
        <v>93.17</v>
      </c>
      <c r="I3183" s="672" t="s">
        <v>9218</v>
      </c>
      <c r="J3183" s="672" t="s">
        <v>9219</v>
      </c>
      <c r="K3183" s="672" t="s">
        <v>2354</v>
      </c>
      <c r="L3183" s="672" t="s">
        <v>9219</v>
      </c>
    </row>
    <row r="3184" spans="1:12" x14ac:dyDescent="0.2">
      <c r="A3184" s="672" t="s">
        <v>220</v>
      </c>
      <c r="B3184" s="672" t="s">
        <v>5430</v>
      </c>
      <c r="C3184" s="672" t="s">
        <v>4973</v>
      </c>
      <c r="D3184" s="672" t="s">
        <v>8714</v>
      </c>
      <c r="E3184" s="745"/>
      <c r="F3184" s="732">
        <v>123</v>
      </c>
      <c r="G3184" s="737">
        <v>6.1900000000000002E-3</v>
      </c>
      <c r="H3184" s="685">
        <v>0.76136999999999999</v>
      </c>
      <c r="I3184" s="672" t="s">
        <v>9218</v>
      </c>
      <c r="J3184" s="672" t="s">
        <v>9219</v>
      </c>
      <c r="K3184" s="672" t="s">
        <v>2354</v>
      </c>
      <c r="L3184" s="672" t="s">
        <v>9219</v>
      </c>
    </row>
    <row r="3185" spans="1:12" x14ac:dyDescent="0.2">
      <c r="A3185" s="672" t="s">
        <v>220</v>
      </c>
      <c r="B3185" s="672" t="s">
        <v>5430</v>
      </c>
      <c r="C3185" s="672" t="s">
        <v>4975</v>
      </c>
      <c r="D3185" s="672" t="s">
        <v>8715</v>
      </c>
      <c r="E3185" s="745"/>
      <c r="F3185" s="732">
        <v>89</v>
      </c>
      <c r="G3185" s="737">
        <v>7.6499999999999999E-2</v>
      </c>
      <c r="H3185" s="685">
        <v>6.8084999999999996</v>
      </c>
      <c r="I3185" s="672" t="s">
        <v>9218</v>
      </c>
      <c r="J3185" s="672" t="s">
        <v>9219</v>
      </c>
      <c r="K3185" s="672" t="s">
        <v>2354</v>
      </c>
      <c r="L3185" s="672" t="s">
        <v>9219</v>
      </c>
    </row>
    <row r="3186" spans="1:12" x14ac:dyDescent="0.2">
      <c r="A3186" s="672" t="s">
        <v>220</v>
      </c>
      <c r="B3186" s="672" t="s">
        <v>5430</v>
      </c>
      <c r="C3186" s="672" t="s">
        <v>4977</v>
      </c>
      <c r="D3186" s="672" t="s">
        <v>8716</v>
      </c>
      <c r="E3186" s="745"/>
      <c r="F3186" s="732">
        <v>98</v>
      </c>
      <c r="G3186" s="737">
        <v>4.2750000000000003E-2</v>
      </c>
      <c r="H3186" s="685">
        <v>4.1895000000000007</v>
      </c>
      <c r="I3186" s="672" t="s">
        <v>9218</v>
      </c>
      <c r="J3186" s="672" t="s">
        <v>9219</v>
      </c>
      <c r="K3186" s="672" t="s">
        <v>2354</v>
      </c>
      <c r="L3186" s="672" t="s">
        <v>9219</v>
      </c>
    </row>
    <row r="3187" spans="1:12" x14ac:dyDescent="0.2">
      <c r="A3187" s="672" t="s">
        <v>220</v>
      </c>
      <c r="B3187" s="672" t="s">
        <v>5430</v>
      </c>
      <c r="C3187" s="672" t="s">
        <v>4979</v>
      </c>
      <c r="D3187" s="672" t="s">
        <v>8717</v>
      </c>
      <c r="E3187" s="745"/>
      <c r="F3187" s="732">
        <v>68</v>
      </c>
      <c r="G3187" s="737">
        <v>2.826E-2</v>
      </c>
      <c r="H3187" s="685">
        <v>1.9216800000000001</v>
      </c>
      <c r="I3187" s="672" t="s">
        <v>9218</v>
      </c>
      <c r="J3187" s="672" t="s">
        <v>9219</v>
      </c>
      <c r="K3187" s="672" t="s">
        <v>2354</v>
      </c>
      <c r="L3187" s="672" t="s">
        <v>9219</v>
      </c>
    </row>
    <row r="3188" spans="1:12" x14ac:dyDescent="0.2">
      <c r="A3188" s="672" t="s">
        <v>220</v>
      </c>
      <c r="B3188" s="672" t="s">
        <v>5430</v>
      </c>
      <c r="C3188" s="672" t="s">
        <v>4981</v>
      </c>
      <c r="D3188" s="672" t="s">
        <v>8718</v>
      </c>
      <c r="E3188" s="745"/>
      <c r="F3188" s="732">
        <v>102</v>
      </c>
      <c r="G3188" s="737">
        <v>8.1000000000000003E-2</v>
      </c>
      <c r="H3188" s="685">
        <v>8.2620000000000005</v>
      </c>
      <c r="I3188" s="672" t="s">
        <v>9218</v>
      </c>
      <c r="J3188" s="672" t="s">
        <v>9219</v>
      </c>
      <c r="K3188" s="672" t="s">
        <v>2354</v>
      </c>
      <c r="L3188" s="672" t="s">
        <v>9219</v>
      </c>
    </row>
    <row r="3189" spans="1:12" x14ac:dyDescent="0.2">
      <c r="A3189" s="672" t="s">
        <v>220</v>
      </c>
      <c r="B3189" s="672" t="s">
        <v>5430</v>
      </c>
      <c r="C3189" s="672" t="s">
        <v>4983</v>
      </c>
      <c r="D3189" s="672" t="s">
        <v>8719</v>
      </c>
      <c r="E3189" s="745"/>
      <c r="F3189" s="732">
        <v>98</v>
      </c>
      <c r="G3189" s="737">
        <v>0.14147000000000001</v>
      </c>
      <c r="H3189" s="685">
        <v>13.864060000000002</v>
      </c>
      <c r="I3189" s="672" t="s">
        <v>9218</v>
      </c>
      <c r="J3189" s="672" t="s">
        <v>9219</v>
      </c>
      <c r="K3189" s="672" t="s">
        <v>2354</v>
      </c>
      <c r="L3189" s="672" t="s">
        <v>9219</v>
      </c>
    </row>
    <row r="3190" spans="1:12" x14ac:dyDescent="0.2">
      <c r="A3190" s="672" t="s">
        <v>220</v>
      </c>
      <c r="B3190" s="672" t="s">
        <v>5430</v>
      </c>
      <c r="C3190" s="672" t="s">
        <v>4985</v>
      </c>
      <c r="D3190" s="672" t="s">
        <v>8720</v>
      </c>
      <c r="E3190" s="745"/>
      <c r="F3190" s="732">
        <v>14</v>
      </c>
      <c r="G3190" s="737">
        <v>0.26100000000000001</v>
      </c>
      <c r="H3190" s="685">
        <v>3.6539999999999999</v>
      </c>
      <c r="I3190" s="672" t="s">
        <v>9218</v>
      </c>
      <c r="J3190" s="672" t="s">
        <v>9219</v>
      </c>
      <c r="K3190" s="672" t="s">
        <v>2354</v>
      </c>
      <c r="L3190" s="672" t="s">
        <v>9219</v>
      </c>
    </row>
    <row r="3191" spans="1:12" x14ac:dyDescent="0.2">
      <c r="A3191" s="672" t="s">
        <v>220</v>
      </c>
      <c r="B3191" s="672" t="s">
        <v>5430</v>
      </c>
      <c r="C3191" s="672" t="s">
        <v>7185</v>
      </c>
      <c r="D3191" s="672" t="s">
        <v>8721</v>
      </c>
      <c r="E3191" s="745"/>
      <c r="F3191" s="732">
        <v>50</v>
      </c>
      <c r="G3191" s="737">
        <v>0.17299999999999999</v>
      </c>
      <c r="H3191" s="685">
        <v>8.6499999999999986</v>
      </c>
      <c r="I3191" s="672" t="s">
        <v>9218</v>
      </c>
      <c r="J3191" s="672" t="s">
        <v>9219</v>
      </c>
      <c r="K3191" s="672" t="s">
        <v>2354</v>
      </c>
      <c r="L3191" s="672" t="s">
        <v>9219</v>
      </c>
    </row>
    <row r="3192" spans="1:12" x14ac:dyDescent="0.2">
      <c r="A3192" s="672" t="s">
        <v>220</v>
      </c>
      <c r="B3192" s="672" t="s">
        <v>5430</v>
      </c>
      <c r="C3192" s="672" t="s">
        <v>5012</v>
      </c>
      <c r="D3192" s="672" t="s">
        <v>5013</v>
      </c>
      <c r="E3192" s="745"/>
      <c r="F3192" s="732">
        <v>36</v>
      </c>
      <c r="G3192" s="737">
        <v>5.04E-2</v>
      </c>
      <c r="H3192" s="685">
        <v>1.8144</v>
      </c>
      <c r="I3192" s="672" t="s">
        <v>9218</v>
      </c>
      <c r="J3192" s="672" t="s">
        <v>9219</v>
      </c>
      <c r="K3192" s="672" t="s">
        <v>2354</v>
      </c>
      <c r="L3192" s="672" t="s">
        <v>9219</v>
      </c>
    </row>
    <row r="3193" spans="1:12" x14ac:dyDescent="0.2">
      <c r="A3193" s="672" t="s">
        <v>220</v>
      </c>
      <c r="B3193" s="672" t="s">
        <v>5430</v>
      </c>
      <c r="C3193" s="672" t="s">
        <v>5014</v>
      </c>
      <c r="D3193" s="672" t="s">
        <v>8722</v>
      </c>
      <c r="E3193" s="745"/>
      <c r="F3193" s="732">
        <v>34</v>
      </c>
      <c r="G3193" s="737">
        <v>3.9600000000000003E-2</v>
      </c>
      <c r="H3193" s="685">
        <v>1.3464</v>
      </c>
      <c r="I3193" s="672" t="s">
        <v>9218</v>
      </c>
      <c r="J3193" s="672" t="s">
        <v>9219</v>
      </c>
      <c r="K3193" s="672" t="s">
        <v>2354</v>
      </c>
      <c r="L3193" s="672" t="s">
        <v>9219</v>
      </c>
    </row>
    <row r="3194" spans="1:12" x14ac:dyDescent="0.2">
      <c r="A3194" s="672" t="s">
        <v>220</v>
      </c>
      <c r="B3194" s="672" t="s">
        <v>5430</v>
      </c>
      <c r="C3194" s="672" t="s">
        <v>8723</v>
      </c>
      <c r="D3194" s="672" t="s">
        <v>8724</v>
      </c>
      <c r="E3194" s="745"/>
      <c r="F3194" s="732">
        <v>36</v>
      </c>
      <c r="G3194" s="737">
        <v>0.14299999999999999</v>
      </c>
      <c r="H3194" s="685">
        <v>5.1479999999999997</v>
      </c>
      <c r="I3194" s="672" t="s">
        <v>9218</v>
      </c>
      <c r="J3194" s="672" t="s">
        <v>9219</v>
      </c>
      <c r="K3194" s="672" t="s">
        <v>2354</v>
      </c>
      <c r="L3194" s="672" t="s">
        <v>9219</v>
      </c>
    </row>
    <row r="3195" spans="1:12" x14ac:dyDescent="0.2">
      <c r="A3195" s="672" t="s">
        <v>220</v>
      </c>
      <c r="B3195" s="672" t="s">
        <v>5430</v>
      </c>
      <c r="D3195" s="672" t="s">
        <v>9453</v>
      </c>
      <c r="E3195" s="745"/>
      <c r="F3195" s="732">
        <v>2</v>
      </c>
      <c r="G3195" s="737">
        <v>9.8279999999999994</v>
      </c>
      <c r="H3195" s="685">
        <v>19.655999999999999</v>
      </c>
      <c r="I3195" s="672" t="s">
        <v>9218</v>
      </c>
      <c r="J3195" s="672" t="s">
        <v>9219</v>
      </c>
      <c r="K3195" s="672" t="s">
        <v>2354</v>
      </c>
      <c r="L3195" s="672" t="s">
        <v>9219</v>
      </c>
    </row>
    <row r="3196" spans="1:12" x14ac:dyDescent="0.2">
      <c r="A3196" s="672" t="s">
        <v>220</v>
      </c>
      <c r="B3196" s="672" t="s">
        <v>5430</v>
      </c>
      <c r="C3196" s="672" t="s">
        <v>5050</v>
      </c>
      <c r="D3196" s="672" t="s">
        <v>8725</v>
      </c>
      <c r="E3196" s="745"/>
      <c r="F3196" s="732">
        <v>3</v>
      </c>
      <c r="G3196" s="737">
        <v>1.35</v>
      </c>
      <c r="H3196" s="685">
        <v>4.0500000000000007</v>
      </c>
      <c r="I3196" s="672" t="s">
        <v>9218</v>
      </c>
      <c r="J3196" s="672" t="s">
        <v>9219</v>
      </c>
      <c r="K3196" s="672" t="s">
        <v>2354</v>
      </c>
      <c r="L3196" s="672" t="s">
        <v>9219</v>
      </c>
    </row>
    <row r="3197" spans="1:12" x14ac:dyDescent="0.2">
      <c r="A3197" s="672" t="s">
        <v>220</v>
      </c>
      <c r="B3197" s="672" t="s">
        <v>5430</v>
      </c>
      <c r="C3197" s="672" t="s">
        <v>5054</v>
      </c>
      <c r="D3197" s="672" t="s">
        <v>8726</v>
      </c>
      <c r="E3197" s="745"/>
      <c r="F3197" s="732">
        <v>2</v>
      </c>
      <c r="G3197" s="737">
        <v>0.16800000000000001</v>
      </c>
      <c r="H3197" s="685">
        <v>0.33600000000000002</v>
      </c>
      <c r="I3197" s="672" t="s">
        <v>9218</v>
      </c>
      <c r="J3197" s="672" t="s">
        <v>9219</v>
      </c>
      <c r="K3197" s="672" t="s">
        <v>2354</v>
      </c>
      <c r="L3197" s="672" t="s">
        <v>9219</v>
      </c>
    </row>
    <row r="3198" spans="1:12" x14ac:dyDescent="0.2">
      <c r="A3198" s="672" t="s">
        <v>220</v>
      </c>
      <c r="B3198" s="672" t="s">
        <v>5430</v>
      </c>
      <c r="C3198" s="672" t="s">
        <v>8727</v>
      </c>
      <c r="D3198" s="672" t="s">
        <v>8728</v>
      </c>
      <c r="E3198" s="745"/>
      <c r="F3198" s="732">
        <v>52</v>
      </c>
      <c r="G3198" s="737">
        <v>1.8180000000000001</v>
      </c>
      <c r="H3198" s="685">
        <v>94.536000000000001</v>
      </c>
      <c r="I3198" s="672" t="s">
        <v>9218</v>
      </c>
      <c r="J3198" s="672" t="s">
        <v>9219</v>
      </c>
      <c r="K3198" s="672" t="s">
        <v>2354</v>
      </c>
      <c r="L3198" s="672" t="s">
        <v>9219</v>
      </c>
    </row>
    <row r="3199" spans="1:12" x14ac:dyDescent="0.2">
      <c r="A3199" s="672" t="s">
        <v>220</v>
      </c>
      <c r="B3199" s="672" t="s">
        <v>5430</v>
      </c>
      <c r="D3199" s="672" t="s">
        <v>9454</v>
      </c>
      <c r="E3199" s="745"/>
      <c r="F3199" s="732">
        <v>55</v>
      </c>
      <c r="G3199" s="737">
        <v>0.14799999999999999</v>
      </c>
      <c r="H3199" s="685">
        <v>8.1399999999999988</v>
      </c>
      <c r="I3199" s="672" t="s">
        <v>9218</v>
      </c>
      <c r="J3199" s="672" t="s">
        <v>9219</v>
      </c>
      <c r="K3199" s="672" t="s">
        <v>2354</v>
      </c>
      <c r="L3199" s="672" t="s">
        <v>9219</v>
      </c>
    </row>
    <row r="3200" spans="1:12" x14ac:dyDescent="0.2">
      <c r="A3200" s="672" t="s">
        <v>220</v>
      </c>
      <c r="B3200" s="672" t="s">
        <v>5430</v>
      </c>
      <c r="C3200" s="672" t="s">
        <v>5066</v>
      </c>
      <c r="D3200" s="672" t="s">
        <v>8730</v>
      </c>
      <c r="E3200" s="745"/>
      <c r="F3200" s="732">
        <v>36</v>
      </c>
      <c r="G3200" s="737">
        <v>0.32200000000000001</v>
      </c>
      <c r="H3200" s="685">
        <v>11.592000000000001</v>
      </c>
      <c r="I3200" s="672" t="s">
        <v>9218</v>
      </c>
      <c r="J3200" s="672" t="s">
        <v>9219</v>
      </c>
      <c r="K3200" s="672" t="s">
        <v>2354</v>
      </c>
      <c r="L3200" s="672" t="s">
        <v>9219</v>
      </c>
    </row>
    <row r="3201" spans="1:12" x14ac:dyDescent="0.2">
      <c r="A3201" s="672" t="s">
        <v>220</v>
      </c>
      <c r="B3201" s="672" t="s">
        <v>5430</v>
      </c>
      <c r="C3201" s="672" t="s">
        <v>7194</v>
      </c>
      <c r="D3201" s="672" t="s">
        <v>8731</v>
      </c>
      <c r="E3201" s="745"/>
      <c r="F3201" s="732">
        <v>21</v>
      </c>
      <c r="G3201" s="737">
        <v>0.34699999999999998</v>
      </c>
      <c r="H3201" s="685">
        <v>7.286999999999999</v>
      </c>
      <c r="I3201" s="672" t="s">
        <v>9218</v>
      </c>
      <c r="J3201" s="672" t="s">
        <v>9219</v>
      </c>
      <c r="K3201" s="672" t="s">
        <v>2354</v>
      </c>
      <c r="L3201" s="672" t="s">
        <v>9219</v>
      </c>
    </row>
    <row r="3202" spans="1:12" x14ac:dyDescent="0.2">
      <c r="A3202" s="672" t="s">
        <v>220</v>
      </c>
      <c r="B3202" s="672" t="s">
        <v>5430</v>
      </c>
      <c r="C3202" s="672" t="s">
        <v>7196</v>
      </c>
      <c r="D3202" s="672" t="s">
        <v>8732</v>
      </c>
      <c r="E3202" s="745"/>
      <c r="F3202" s="732">
        <v>25</v>
      </c>
      <c r="G3202" s="737">
        <v>0.26200000000000001</v>
      </c>
      <c r="H3202" s="685">
        <v>6.5500000000000007</v>
      </c>
      <c r="I3202" s="672" t="s">
        <v>9218</v>
      </c>
      <c r="J3202" s="672" t="s">
        <v>9219</v>
      </c>
      <c r="K3202" s="672" t="s">
        <v>2354</v>
      </c>
      <c r="L3202" s="672" t="s">
        <v>9219</v>
      </c>
    </row>
    <row r="3203" spans="1:12" x14ac:dyDescent="0.2">
      <c r="A3203" s="672" t="s">
        <v>220</v>
      </c>
      <c r="B3203" s="672" t="s">
        <v>5430</v>
      </c>
      <c r="C3203" s="672" t="s">
        <v>7198</v>
      </c>
      <c r="D3203" s="672" t="s">
        <v>8733</v>
      </c>
      <c r="E3203" s="745"/>
      <c r="F3203" s="732">
        <v>67</v>
      </c>
      <c r="G3203" s="737">
        <v>0.18</v>
      </c>
      <c r="H3203" s="685">
        <v>12.059999999999999</v>
      </c>
      <c r="I3203" s="672" t="s">
        <v>9218</v>
      </c>
      <c r="J3203" s="672" t="s">
        <v>9219</v>
      </c>
      <c r="K3203" s="672" t="s">
        <v>2354</v>
      </c>
      <c r="L3203" s="672" t="s">
        <v>9219</v>
      </c>
    </row>
    <row r="3204" spans="1:12" x14ac:dyDescent="0.2">
      <c r="A3204" s="672" t="s">
        <v>220</v>
      </c>
      <c r="B3204" s="672" t="s">
        <v>5430</v>
      </c>
      <c r="C3204" s="672" t="s">
        <v>5080</v>
      </c>
      <c r="D3204" s="672" t="s">
        <v>8734</v>
      </c>
      <c r="E3204" s="745"/>
      <c r="F3204" s="732">
        <v>4</v>
      </c>
      <c r="G3204" s="737">
        <v>17.193000000000001</v>
      </c>
      <c r="H3204" s="685">
        <v>68.772000000000006</v>
      </c>
      <c r="I3204" s="672" t="s">
        <v>9218</v>
      </c>
      <c r="J3204" s="672" t="s">
        <v>9219</v>
      </c>
      <c r="K3204" s="672" t="s">
        <v>2354</v>
      </c>
      <c r="L3204" s="672" t="s">
        <v>9219</v>
      </c>
    </row>
    <row r="3205" spans="1:12" x14ac:dyDescent="0.2">
      <c r="A3205" s="672" t="s">
        <v>220</v>
      </c>
      <c r="B3205" s="672" t="s">
        <v>5430</v>
      </c>
      <c r="C3205" s="672" t="s">
        <v>5082</v>
      </c>
      <c r="D3205" s="672" t="s">
        <v>8735</v>
      </c>
      <c r="E3205" s="745"/>
      <c r="F3205" s="732">
        <v>5</v>
      </c>
      <c r="G3205" s="737">
        <v>22.925000000000001</v>
      </c>
      <c r="H3205" s="685">
        <v>114.625</v>
      </c>
      <c r="I3205" s="672" t="s">
        <v>9218</v>
      </c>
      <c r="J3205" s="672" t="s">
        <v>9219</v>
      </c>
      <c r="K3205" s="672" t="s">
        <v>2354</v>
      </c>
      <c r="L3205" s="672" t="s">
        <v>9219</v>
      </c>
    </row>
    <row r="3206" spans="1:12" x14ac:dyDescent="0.2">
      <c r="A3206" s="672" t="s">
        <v>220</v>
      </c>
      <c r="B3206" s="672" t="s">
        <v>5430</v>
      </c>
      <c r="C3206" s="672" t="s">
        <v>7200</v>
      </c>
      <c r="D3206" s="672" t="s">
        <v>8736</v>
      </c>
      <c r="E3206" s="745"/>
      <c r="F3206" s="732">
        <v>35</v>
      </c>
      <c r="G3206" s="737">
        <v>0.29799999999999999</v>
      </c>
      <c r="H3206" s="685">
        <v>10.43</v>
      </c>
      <c r="I3206" s="672" t="s">
        <v>9218</v>
      </c>
      <c r="J3206" s="672" t="s">
        <v>9219</v>
      </c>
      <c r="K3206" s="672" t="s">
        <v>2354</v>
      </c>
      <c r="L3206" s="672" t="s">
        <v>9219</v>
      </c>
    </row>
    <row r="3207" spans="1:12" x14ac:dyDescent="0.2">
      <c r="A3207" s="672" t="s">
        <v>220</v>
      </c>
      <c r="B3207" s="672" t="s">
        <v>5430</v>
      </c>
      <c r="C3207" s="672" t="s">
        <v>7202</v>
      </c>
      <c r="D3207" s="672" t="s">
        <v>8737</v>
      </c>
      <c r="E3207" s="745"/>
      <c r="F3207" s="732">
        <v>65</v>
      </c>
      <c r="G3207" s="737">
        <v>3.3690000000000002</v>
      </c>
      <c r="H3207" s="685">
        <v>218.98500000000001</v>
      </c>
      <c r="I3207" s="672" t="s">
        <v>9218</v>
      </c>
      <c r="J3207" s="672" t="s">
        <v>9219</v>
      </c>
      <c r="K3207" s="672" t="s">
        <v>2354</v>
      </c>
      <c r="L3207" s="672" t="s">
        <v>9219</v>
      </c>
    </row>
    <row r="3208" spans="1:12" x14ac:dyDescent="0.2">
      <c r="A3208" s="672" t="s">
        <v>220</v>
      </c>
      <c r="B3208" s="672" t="s">
        <v>5430</v>
      </c>
      <c r="C3208" s="672" t="s">
        <v>7204</v>
      </c>
      <c r="D3208" s="672" t="s">
        <v>8738</v>
      </c>
      <c r="E3208" s="745"/>
      <c r="F3208" s="732">
        <v>23</v>
      </c>
      <c r="G3208" s="737">
        <v>0.42599999999999999</v>
      </c>
      <c r="H3208" s="685">
        <v>9.798</v>
      </c>
      <c r="I3208" s="672" t="s">
        <v>9218</v>
      </c>
      <c r="J3208" s="672" t="s">
        <v>9219</v>
      </c>
      <c r="K3208" s="672" t="s">
        <v>2354</v>
      </c>
      <c r="L3208" s="672" t="s">
        <v>9219</v>
      </c>
    </row>
    <row r="3209" spans="1:12" x14ac:dyDescent="0.2">
      <c r="A3209" s="672" t="s">
        <v>220</v>
      </c>
      <c r="B3209" s="672" t="s">
        <v>5430</v>
      </c>
      <c r="C3209" s="672" t="s">
        <v>7206</v>
      </c>
      <c r="D3209" s="672" t="s">
        <v>8739</v>
      </c>
      <c r="E3209" s="745"/>
      <c r="F3209" s="732">
        <v>35</v>
      </c>
      <c r="G3209" s="737">
        <v>2.8079999999999998</v>
      </c>
      <c r="H3209" s="685">
        <v>98.28</v>
      </c>
      <c r="I3209" s="672" t="s">
        <v>9218</v>
      </c>
      <c r="J3209" s="672" t="s">
        <v>9219</v>
      </c>
      <c r="K3209" s="672" t="s">
        <v>2354</v>
      </c>
      <c r="L3209" s="672" t="s">
        <v>9219</v>
      </c>
    </row>
    <row r="3210" spans="1:12" x14ac:dyDescent="0.2">
      <c r="A3210" s="672" t="s">
        <v>220</v>
      </c>
      <c r="B3210" s="672" t="s">
        <v>5430</v>
      </c>
      <c r="C3210" s="672" t="s">
        <v>5092</v>
      </c>
      <c r="D3210" s="672" t="s">
        <v>8740</v>
      </c>
      <c r="E3210" s="745"/>
      <c r="F3210" s="732">
        <v>6</v>
      </c>
      <c r="G3210" s="737">
        <v>6.63</v>
      </c>
      <c r="H3210" s="685">
        <v>39.78</v>
      </c>
      <c r="I3210" s="672" t="s">
        <v>9218</v>
      </c>
      <c r="J3210" s="672" t="s">
        <v>9219</v>
      </c>
      <c r="K3210" s="672" t="s">
        <v>2354</v>
      </c>
      <c r="L3210" s="672" t="s">
        <v>9219</v>
      </c>
    </row>
    <row r="3211" spans="1:12" x14ac:dyDescent="0.2">
      <c r="A3211" s="672" t="s">
        <v>220</v>
      </c>
      <c r="B3211" s="672" t="s">
        <v>5430</v>
      </c>
      <c r="C3211" s="672" t="s">
        <v>5116</v>
      </c>
      <c r="D3211" s="672" t="s">
        <v>8741</v>
      </c>
      <c r="E3211" s="745"/>
      <c r="F3211" s="732">
        <v>52</v>
      </c>
      <c r="G3211" s="737">
        <v>5.1999999999999998E-2</v>
      </c>
      <c r="H3211" s="685">
        <v>2.7039999999999997</v>
      </c>
      <c r="I3211" s="672" t="s">
        <v>9218</v>
      </c>
      <c r="J3211" s="672" t="s">
        <v>9219</v>
      </c>
      <c r="K3211" s="672" t="s">
        <v>2354</v>
      </c>
      <c r="L3211" s="672" t="s">
        <v>9219</v>
      </c>
    </row>
    <row r="3212" spans="1:12" x14ac:dyDescent="0.2">
      <c r="A3212" s="672" t="s">
        <v>220</v>
      </c>
      <c r="B3212" s="672" t="s">
        <v>5430</v>
      </c>
      <c r="C3212" s="672" t="s">
        <v>5120</v>
      </c>
      <c r="D3212" s="672" t="s">
        <v>8743</v>
      </c>
      <c r="E3212" s="745"/>
      <c r="F3212" s="732">
        <v>82</v>
      </c>
      <c r="G3212" s="737">
        <v>0.19800000000000001</v>
      </c>
      <c r="H3212" s="685">
        <v>16.236000000000001</v>
      </c>
      <c r="I3212" s="672" t="s">
        <v>9218</v>
      </c>
      <c r="J3212" s="672" t="s">
        <v>9219</v>
      </c>
      <c r="K3212" s="672" t="s">
        <v>2354</v>
      </c>
      <c r="L3212" s="672" t="s">
        <v>9219</v>
      </c>
    </row>
    <row r="3213" spans="1:12" x14ac:dyDescent="0.2">
      <c r="A3213" s="672" t="s">
        <v>220</v>
      </c>
      <c r="B3213" s="672" t="s">
        <v>5430</v>
      </c>
      <c r="C3213" s="672" t="s">
        <v>8744</v>
      </c>
      <c r="D3213" s="672" t="s">
        <v>8745</v>
      </c>
      <c r="E3213" s="745"/>
      <c r="F3213" s="732">
        <v>18</v>
      </c>
      <c r="G3213" s="737">
        <v>1.2310000000000001</v>
      </c>
      <c r="H3213" s="685">
        <v>22.158000000000001</v>
      </c>
      <c r="I3213" s="672" t="s">
        <v>9218</v>
      </c>
      <c r="J3213" s="672" t="s">
        <v>9219</v>
      </c>
      <c r="K3213" s="672" t="s">
        <v>2354</v>
      </c>
      <c r="L3213" s="672" t="s">
        <v>9219</v>
      </c>
    </row>
    <row r="3214" spans="1:12" x14ac:dyDescent="0.2">
      <c r="A3214" s="672" t="s">
        <v>220</v>
      </c>
      <c r="B3214" s="672" t="s">
        <v>5430</v>
      </c>
      <c r="C3214" s="672" t="s">
        <v>8746</v>
      </c>
      <c r="D3214" s="672" t="s">
        <v>8747</v>
      </c>
      <c r="E3214" s="745"/>
      <c r="F3214" s="732">
        <v>45</v>
      </c>
      <c r="G3214" s="737">
        <v>3.7</v>
      </c>
      <c r="H3214" s="685">
        <v>166.5</v>
      </c>
      <c r="I3214" s="672" t="s">
        <v>9218</v>
      </c>
      <c r="J3214" s="672" t="s">
        <v>9219</v>
      </c>
      <c r="K3214" s="672" t="s">
        <v>2354</v>
      </c>
      <c r="L3214" s="672" t="s">
        <v>9219</v>
      </c>
    </row>
    <row r="3215" spans="1:12" x14ac:dyDescent="0.2">
      <c r="A3215" s="672" t="s">
        <v>220</v>
      </c>
      <c r="B3215" s="672" t="s">
        <v>5430</v>
      </c>
      <c r="C3215" s="672" t="s">
        <v>5138</v>
      </c>
      <c r="D3215" s="672" t="s">
        <v>8748</v>
      </c>
      <c r="E3215" s="745"/>
      <c r="F3215" s="732">
        <v>12</v>
      </c>
      <c r="G3215" s="737">
        <v>0.10878985088138404</v>
      </c>
      <c r="H3215" s="685">
        <v>1.3054782105766085</v>
      </c>
      <c r="I3215" s="672" t="s">
        <v>9218</v>
      </c>
      <c r="J3215" s="672" t="s">
        <v>9219</v>
      </c>
      <c r="K3215" s="672" t="s">
        <v>2354</v>
      </c>
      <c r="L3215" s="672" t="s">
        <v>9219</v>
      </c>
    </row>
    <row r="3216" spans="1:12" x14ac:dyDescent="0.2">
      <c r="A3216" s="672" t="s">
        <v>220</v>
      </c>
      <c r="B3216" s="672" t="s">
        <v>5430</v>
      </c>
      <c r="C3216" s="672" t="s">
        <v>5142</v>
      </c>
      <c r="D3216" s="672" t="s">
        <v>8749</v>
      </c>
      <c r="E3216" s="745"/>
      <c r="F3216" s="732">
        <v>69</v>
      </c>
      <c r="G3216" s="737">
        <v>0.46400000000000002</v>
      </c>
      <c r="H3216" s="685">
        <v>32.015999999999998</v>
      </c>
      <c r="I3216" s="672" t="s">
        <v>9218</v>
      </c>
      <c r="J3216" s="672" t="s">
        <v>9219</v>
      </c>
      <c r="K3216" s="672" t="s">
        <v>2354</v>
      </c>
      <c r="L3216" s="672" t="s">
        <v>9219</v>
      </c>
    </row>
    <row r="3217" spans="1:12" x14ac:dyDescent="0.2">
      <c r="A3217" s="672" t="s">
        <v>220</v>
      </c>
      <c r="B3217" s="672" t="s">
        <v>5430</v>
      </c>
      <c r="C3217" s="672" t="s">
        <v>8750</v>
      </c>
      <c r="D3217" s="672" t="s">
        <v>8751</v>
      </c>
      <c r="E3217" s="745"/>
      <c r="F3217" s="732">
        <v>10</v>
      </c>
      <c r="G3217" s="737">
        <v>14.132</v>
      </c>
      <c r="H3217" s="685">
        <v>141.32</v>
      </c>
      <c r="I3217" s="672" t="s">
        <v>9218</v>
      </c>
      <c r="J3217" s="672" t="s">
        <v>9219</v>
      </c>
      <c r="K3217" s="672" t="s">
        <v>2354</v>
      </c>
      <c r="L3217" s="672" t="s">
        <v>9219</v>
      </c>
    </row>
    <row r="3218" spans="1:12" x14ac:dyDescent="0.2">
      <c r="A3218" s="672" t="s">
        <v>220</v>
      </c>
      <c r="B3218" s="672" t="s">
        <v>5430</v>
      </c>
      <c r="C3218" s="672" t="s">
        <v>7210</v>
      </c>
      <c r="D3218" s="672" t="s">
        <v>8752</v>
      </c>
      <c r="E3218" s="745"/>
      <c r="F3218" s="732">
        <v>24</v>
      </c>
      <c r="G3218" s="737">
        <v>2.4729999999999999</v>
      </c>
      <c r="H3218" s="685">
        <v>59.351999999999997</v>
      </c>
      <c r="I3218" s="672" t="s">
        <v>9218</v>
      </c>
      <c r="J3218" s="672" t="s">
        <v>9219</v>
      </c>
      <c r="K3218" s="672" t="s">
        <v>2354</v>
      </c>
      <c r="L3218" s="672" t="s">
        <v>9219</v>
      </c>
    </row>
    <row r="3219" spans="1:12" x14ac:dyDescent="0.2">
      <c r="A3219" s="672" t="s">
        <v>220</v>
      </c>
      <c r="B3219" s="672" t="s">
        <v>5430</v>
      </c>
      <c r="C3219" s="672" t="s">
        <v>7212</v>
      </c>
      <c r="D3219" s="672" t="s">
        <v>8753</v>
      </c>
      <c r="E3219" s="745"/>
      <c r="F3219" s="732">
        <v>65</v>
      </c>
      <c r="G3219" s="737">
        <v>0.85799999999999998</v>
      </c>
      <c r="H3219" s="685">
        <v>55.769999999999996</v>
      </c>
      <c r="I3219" s="672" t="s">
        <v>9218</v>
      </c>
      <c r="J3219" s="672" t="s">
        <v>9219</v>
      </c>
      <c r="K3219" s="672" t="s">
        <v>2354</v>
      </c>
      <c r="L3219" s="672" t="s">
        <v>9219</v>
      </c>
    </row>
    <row r="3220" spans="1:12" x14ac:dyDescent="0.2">
      <c r="A3220" s="672" t="s">
        <v>220</v>
      </c>
      <c r="B3220" s="672" t="s">
        <v>5430</v>
      </c>
      <c r="C3220" s="672" t="s">
        <v>5146</v>
      </c>
      <c r="D3220" s="672" t="s">
        <v>8754</v>
      </c>
      <c r="E3220" s="745"/>
      <c r="F3220" s="732">
        <v>55</v>
      </c>
      <c r="G3220" s="737">
        <v>1.0395066666666666</v>
      </c>
      <c r="H3220" s="685">
        <v>57.172866666666664</v>
      </c>
      <c r="I3220" s="672" t="s">
        <v>9218</v>
      </c>
      <c r="J3220" s="672" t="s">
        <v>9219</v>
      </c>
      <c r="K3220" s="672" t="s">
        <v>2354</v>
      </c>
      <c r="L3220" s="672" t="s">
        <v>9219</v>
      </c>
    </row>
    <row r="3221" spans="1:12" x14ac:dyDescent="0.2">
      <c r="A3221" s="672" t="s">
        <v>220</v>
      </c>
      <c r="B3221" s="672" t="s">
        <v>5430</v>
      </c>
      <c r="C3221" s="672" t="s">
        <v>7216</v>
      </c>
      <c r="D3221" s="672" t="s">
        <v>8756</v>
      </c>
      <c r="E3221" s="745"/>
      <c r="F3221" s="732">
        <v>23</v>
      </c>
      <c r="G3221" s="737">
        <v>0.95699999999999996</v>
      </c>
      <c r="H3221" s="685">
        <v>22.010999999999999</v>
      </c>
      <c r="I3221" s="672" t="s">
        <v>9218</v>
      </c>
      <c r="J3221" s="672" t="s">
        <v>9219</v>
      </c>
      <c r="K3221" s="672" t="s">
        <v>2354</v>
      </c>
      <c r="L3221" s="672" t="s">
        <v>9219</v>
      </c>
    </row>
    <row r="3222" spans="1:12" x14ac:dyDescent="0.2">
      <c r="A3222" s="672" t="s">
        <v>220</v>
      </c>
      <c r="B3222" s="672" t="s">
        <v>5430</v>
      </c>
      <c r="C3222" s="672" t="s">
        <v>7218</v>
      </c>
      <c r="D3222" s="672" t="s">
        <v>8620</v>
      </c>
      <c r="E3222" s="745"/>
      <c r="F3222" s="732">
        <v>12</v>
      </c>
      <c r="G3222" s="737">
        <v>0.45100000000000001</v>
      </c>
      <c r="H3222" s="685">
        <v>5.4119999999999999</v>
      </c>
      <c r="I3222" s="672" t="s">
        <v>9218</v>
      </c>
      <c r="J3222" s="672" t="s">
        <v>9219</v>
      </c>
      <c r="K3222" s="672" t="s">
        <v>2354</v>
      </c>
      <c r="L3222" s="672" t="s">
        <v>9219</v>
      </c>
    </row>
    <row r="3223" spans="1:12" x14ac:dyDescent="0.2">
      <c r="A3223" s="672" t="s">
        <v>220</v>
      </c>
      <c r="B3223" s="672" t="s">
        <v>5430</v>
      </c>
      <c r="C3223" s="672" t="s">
        <v>7219</v>
      </c>
      <c r="D3223" s="672" t="s">
        <v>8757</v>
      </c>
      <c r="E3223" s="745"/>
      <c r="F3223" s="732">
        <v>32</v>
      </c>
      <c r="G3223" s="737">
        <v>2.65</v>
      </c>
      <c r="H3223" s="685">
        <v>84.8</v>
      </c>
      <c r="I3223" s="672" t="s">
        <v>9218</v>
      </c>
      <c r="J3223" s="672" t="s">
        <v>9219</v>
      </c>
      <c r="K3223" s="672" t="s">
        <v>2354</v>
      </c>
      <c r="L3223" s="672" t="s">
        <v>9219</v>
      </c>
    </row>
    <row r="3224" spans="1:12" x14ac:dyDescent="0.2">
      <c r="A3224" s="672" t="s">
        <v>220</v>
      </c>
      <c r="B3224" s="672" t="s">
        <v>5430</v>
      </c>
      <c r="C3224" s="672" t="s">
        <v>7221</v>
      </c>
      <c r="D3224" s="672" t="s">
        <v>8758</v>
      </c>
      <c r="E3224" s="745"/>
      <c r="F3224" s="732">
        <v>45</v>
      </c>
      <c r="G3224" s="737">
        <v>2.15</v>
      </c>
      <c r="H3224" s="685">
        <v>96.75</v>
      </c>
      <c r="I3224" s="672" t="s">
        <v>9218</v>
      </c>
      <c r="J3224" s="672" t="s">
        <v>9219</v>
      </c>
      <c r="K3224" s="672" t="s">
        <v>2354</v>
      </c>
      <c r="L3224" s="672" t="s">
        <v>9219</v>
      </c>
    </row>
    <row r="3225" spans="1:12" x14ac:dyDescent="0.2">
      <c r="A3225" s="672" t="s">
        <v>220</v>
      </c>
      <c r="B3225" s="672" t="s">
        <v>5430</v>
      </c>
      <c r="C3225" s="672" t="s">
        <v>7223</v>
      </c>
      <c r="D3225" s="672" t="s">
        <v>8759</v>
      </c>
      <c r="E3225" s="745"/>
      <c r="F3225" s="732">
        <v>42</v>
      </c>
      <c r="G3225" s="737">
        <v>2.95</v>
      </c>
      <c r="H3225" s="685">
        <v>123.9</v>
      </c>
      <c r="I3225" s="672" t="s">
        <v>9218</v>
      </c>
      <c r="J3225" s="672" t="s">
        <v>9219</v>
      </c>
      <c r="K3225" s="672" t="s">
        <v>2354</v>
      </c>
      <c r="L3225" s="672" t="s">
        <v>9219</v>
      </c>
    </row>
    <row r="3226" spans="1:12" x14ac:dyDescent="0.2">
      <c r="A3226" s="672" t="s">
        <v>220</v>
      </c>
      <c r="B3226" s="672" t="s">
        <v>5430</v>
      </c>
      <c r="C3226" s="672" t="s">
        <v>7237</v>
      </c>
      <c r="D3226" s="672" t="s">
        <v>8761</v>
      </c>
      <c r="E3226" s="745"/>
      <c r="F3226" s="732">
        <v>65</v>
      </c>
      <c r="G3226" s="737">
        <v>1.972</v>
      </c>
      <c r="H3226" s="685">
        <v>128.18</v>
      </c>
      <c r="I3226" s="672" t="s">
        <v>9218</v>
      </c>
      <c r="J3226" s="672" t="s">
        <v>9219</v>
      </c>
      <c r="K3226" s="672" t="s">
        <v>2354</v>
      </c>
      <c r="L3226" s="672" t="s">
        <v>9219</v>
      </c>
    </row>
    <row r="3227" spans="1:12" x14ac:dyDescent="0.2">
      <c r="A3227" s="672" t="s">
        <v>220</v>
      </c>
      <c r="B3227" s="672" t="s">
        <v>5430</v>
      </c>
      <c r="C3227" s="672" t="s">
        <v>7239</v>
      </c>
      <c r="D3227" s="672" t="s">
        <v>8764</v>
      </c>
      <c r="E3227" s="745"/>
      <c r="F3227" s="732">
        <v>2</v>
      </c>
      <c r="G3227" s="737">
        <v>17.922000000000001</v>
      </c>
      <c r="H3227" s="685">
        <v>35.844000000000001</v>
      </c>
      <c r="I3227" s="672" t="s">
        <v>9218</v>
      </c>
      <c r="J3227" s="672" t="s">
        <v>9219</v>
      </c>
      <c r="K3227" s="672" t="s">
        <v>2354</v>
      </c>
      <c r="L3227" s="672" t="s">
        <v>9219</v>
      </c>
    </row>
    <row r="3228" spans="1:12" x14ac:dyDescent="0.2">
      <c r="A3228" s="672" t="s">
        <v>220</v>
      </c>
      <c r="B3228" s="672" t="s">
        <v>5430</v>
      </c>
      <c r="C3228" s="672" t="s">
        <v>5166</v>
      </c>
      <c r="D3228" s="672" t="s">
        <v>5167</v>
      </c>
      <c r="E3228" s="745"/>
      <c r="F3228" s="732">
        <v>1</v>
      </c>
      <c r="G3228" s="737">
        <v>6.593</v>
      </c>
      <c r="H3228" s="685">
        <v>6.593</v>
      </c>
      <c r="I3228" s="672" t="s">
        <v>9218</v>
      </c>
      <c r="J3228" s="672" t="s">
        <v>9219</v>
      </c>
      <c r="K3228" s="672" t="s">
        <v>2354</v>
      </c>
      <c r="L3228" s="672" t="s">
        <v>9219</v>
      </c>
    </row>
    <row r="3229" spans="1:12" x14ac:dyDescent="0.2">
      <c r="A3229" s="672" t="s">
        <v>220</v>
      </c>
      <c r="B3229" s="672" t="s">
        <v>5430</v>
      </c>
      <c r="D3229" s="672" t="s">
        <v>8766</v>
      </c>
      <c r="E3229" s="745"/>
      <c r="F3229" s="732">
        <v>21</v>
      </c>
      <c r="G3229" s="737">
        <v>0.11600000000000001</v>
      </c>
      <c r="H3229" s="685">
        <v>2.4359999999999999</v>
      </c>
      <c r="I3229" s="672" t="s">
        <v>9218</v>
      </c>
      <c r="J3229" s="672" t="s">
        <v>9219</v>
      </c>
      <c r="K3229" s="672" t="s">
        <v>2354</v>
      </c>
      <c r="L3229" s="672" t="s">
        <v>9219</v>
      </c>
    </row>
    <row r="3230" spans="1:12" x14ac:dyDescent="0.2">
      <c r="A3230" s="672" t="s">
        <v>220</v>
      </c>
      <c r="B3230" s="672" t="s">
        <v>5430</v>
      </c>
      <c r="C3230" s="672" t="s">
        <v>5172</v>
      </c>
      <c r="D3230" s="672" t="s">
        <v>5173</v>
      </c>
      <c r="E3230" s="745"/>
      <c r="F3230" s="732">
        <v>2</v>
      </c>
      <c r="G3230" s="737">
        <v>1.63</v>
      </c>
      <c r="H3230" s="685">
        <v>3.26</v>
      </c>
      <c r="I3230" s="672" t="s">
        <v>9218</v>
      </c>
      <c r="J3230" s="672" t="s">
        <v>9219</v>
      </c>
      <c r="K3230" s="672" t="s">
        <v>2354</v>
      </c>
      <c r="L3230" s="672" t="s">
        <v>9219</v>
      </c>
    </row>
    <row r="3231" spans="1:12" x14ac:dyDescent="0.2">
      <c r="A3231" s="672" t="s">
        <v>220</v>
      </c>
      <c r="B3231" s="672" t="s">
        <v>5430</v>
      </c>
      <c r="D3231" s="672" t="s">
        <v>9455</v>
      </c>
      <c r="E3231" s="745"/>
      <c r="F3231" s="732">
        <v>2</v>
      </c>
      <c r="G3231" s="737">
        <v>4.5309999999999997</v>
      </c>
      <c r="H3231" s="685">
        <v>9.0619999999999994</v>
      </c>
      <c r="I3231" s="672" t="s">
        <v>9218</v>
      </c>
      <c r="J3231" s="672" t="s">
        <v>9219</v>
      </c>
      <c r="K3231" s="672" t="s">
        <v>2354</v>
      </c>
      <c r="L3231" s="672" t="s">
        <v>9219</v>
      </c>
    </row>
    <row r="3232" spans="1:12" x14ac:dyDescent="0.2">
      <c r="A3232" s="672" t="s">
        <v>220</v>
      </c>
      <c r="B3232" s="672" t="s">
        <v>5430</v>
      </c>
      <c r="D3232" s="672" t="s">
        <v>9456</v>
      </c>
      <c r="E3232" s="745"/>
      <c r="F3232" s="732">
        <v>2</v>
      </c>
      <c r="G3232" s="737">
        <v>15.532999999999999</v>
      </c>
      <c r="H3232" s="685">
        <v>31.065999999999999</v>
      </c>
      <c r="I3232" s="672" t="s">
        <v>9218</v>
      </c>
      <c r="J3232" s="672" t="s">
        <v>9219</v>
      </c>
      <c r="K3232" s="672" t="s">
        <v>2354</v>
      </c>
      <c r="L3232" s="672" t="s">
        <v>9219</v>
      </c>
    </row>
    <row r="3233" spans="1:12" x14ac:dyDescent="0.2">
      <c r="A3233" s="672" t="s">
        <v>220</v>
      </c>
      <c r="B3233" s="672" t="s">
        <v>5430</v>
      </c>
      <c r="D3233" s="672" t="s">
        <v>9457</v>
      </c>
      <c r="E3233" s="745"/>
      <c r="F3233" s="732">
        <v>2</v>
      </c>
      <c r="G3233" s="737">
        <v>8.6880000000000006</v>
      </c>
      <c r="H3233" s="685">
        <v>17.376000000000001</v>
      </c>
      <c r="I3233" s="672" t="s">
        <v>9218</v>
      </c>
      <c r="J3233" s="672" t="s">
        <v>9219</v>
      </c>
      <c r="K3233" s="672" t="s">
        <v>2354</v>
      </c>
      <c r="L3233" s="672" t="s">
        <v>9219</v>
      </c>
    </row>
    <row r="3234" spans="1:12" x14ac:dyDescent="0.2">
      <c r="A3234" s="672" t="s">
        <v>220</v>
      </c>
      <c r="B3234" s="672" t="s">
        <v>5430</v>
      </c>
      <c r="D3234" s="672" t="s">
        <v>9458</v>
      </c>
      <c r="E3234" s="745"/>
      <c r="F3234" s="732">
        <v>2</v>
      </c>
      <c r="G3234" s="737">
        <v>5.74</v>
      </c>
      <c r="H3234" s="685">
        <v>11.48</v>
      </c>
      <c r="I3234" s="672" t="s">
        <v>9218</v>
      </c>
      <c r="J3234" s="672" t="s">
        <v>9219</v>
      </c>
      <c r="K3234" s="672" t="s">
        <v>2354</v>
      </c>
      <c r="L3234" s="672" t="s">
        <v>9219</v>
      </c>
    </row>
    <row r="3235" spans="1:12" x14ac:dyDescent="0.2">
      <c r="A3235" s="672" t="s">
        <v>220</v>
      </c>
      <c r="B3235" s="672" t="s">
        <v>5430</v>
      </c>
      <c r="D3235" s="672" t="s">
        <v>9459</v>
      </c>
      <c r="E3235" s="745"/>
      <c r="F3235" s="732">
        <v>2</v>
      </c>
      <c r="G3235" s="737">
        <v>4.915</v>
      </c>
      <c r="H3235" s="685">
        <v>9.83</v>
      </c>
      <c r="I3235" s="672" t="s">
        <v>9218</v>
      </c>
      <c r="J3235" s="672" t="s">
        <v>9219</v>
      </c>
      <c r="K3235" s="672" t="s">
        <v>2354</v>
      </c>
      <c r="L3235" s="672" t="s">
        <v>9219</v>
      </c>
    </row>
    <row r="3236" spans="1:12" x14ac:dyDescent="0.2">
      <c r="A3236" s="672" t="s">
        <v>220</v>
      </c>
      <c r="B3236" s="672" t="s">
        <v>5430</v>
      </c>
      <c r="D3236" s="672" t="s">
        <v>9460</v>
      </c>
      <c r="E3236" s="745"/>
      <c r="F3236" s="732">
        <v>6</v>
      </c>
      <c r="G3236" s="737">
        <v>7.766</v>
      </c>
      <c r="H3236" s="685">
        <v>46.596000000000004</v>
      </c>
      <c r="I3236" s="672" t="s">
        <v>9218</v>
      </c>
      <c r="J3236" s="672" t="s">
        <v>9219</v>
      </c>
      <c r="K3236" s="672" t="s">
        <v>2354</v>
      </c>
      <c r="L3236" s="672" t="s">
        <v>9219</v>
      </c>
    </row>
    <row r="3237" spans="1:12" x14ac:dyDescent="0.2">
      <c r="A3237" s="672" t="s">
        <v>220</v>
      </c>
      <c r="B3237" s="672" t="s">
        <v>5430</v>
      </c>
      <c r="D3237" s="672" t="s">
        <v>9461</v>
      </c>
      <c r="E3237" s="745"/>
      <c r="F3237" s="732">
        <v>3</v>
      </c>
      <c r="G3237" s="737">
        <v>3.9329999999999998</v>
      </c>
      <c r="H3237" s="685">
        <v>11.798999999999999</v>
      </c>
      <c r="I3237" s="672" t="s">
        <v>9218</v>
      </c>
      <c r="J3237" s="672" t="s">
        <v>9219</v>
      </c>
      <c r="K3237" s="672" t="s">
        <v>2354</v>
      </c>
      <c r="L3237" s="672" t="s">
        <v>9219</v>
      </c>
    </row>
    <row r="3238" spans="1:12" x14ac:dyDescent="0.2">
      <c r="A3238" s="672" t="s">
        <v>220</v>
      </c>
      <c r="B3238" s="672" t="s">
        <v>5430</v>
      </c>
      <c r="D3238" s="672" t="s">
        <v>9462</v>
      </c>
      <c r="E3238" s="745"/>
      <c r="F3238" s="732">
        <v>4</v>
      </c>
      <c r="G3238" s="737">
        <v>2.8839999999999999</v>
      </c>
      <c r="H3238" s="685">
        <v>11.536</v>
      </c>
      <c r="I3238" s="672" t="s">
        <v>9218</v>
      </c>
      <c r="J3238" s="672" t="s">
        <v>9219</v>
      </c>
      <c r="K3238" s="672" t="s">
        <v>2354</v>
      </c>
      <c r="L3238" s="672" t="s">
        <v>9219</v>
      </c>
    </row>
    <row r="3239" spans="1:12" x14ac:dyDescent="0.2">
      <c r="A3239" s="672" t="s">
        <v>220</v>
      </c>
      <c r="B3239" s="672" t="s">
        <v>5430</v>
      </c>
      <c r="D3239" s="672" t="s">
        <v>9463</v>
      </c>
      <c r="E3239" s="745"/>
      <c r="F3239" s="732">
        <v>5</v>
      </c>
      <c r="G3239" s="737">
        <v>2.7629999999999999</v>
      </c>
      <c r="H3239" s="685">
        <v>13.815</v>
      </c>
      <c r="I3239" s="672" t="s">
        <v>9218</v>
      </c>
      <c r="J3239" s="672" t="s">
        <v>9219</v>
      </c>
      <c r="K3239" s="672" t="s">
        <v>2354</v>
      </c>
      <c r="L3239" s="672" t="s">
        <v>9219</v>
      </c>
    </row>
    <row r="3240" spans="1:12" x14ac:dyDescent="0.2">
      <c r="A3240" s="672" t="s">
        <v>220</v>
      </c>
      <c r="B3240" s="672" t="s">
        <v>5430</v>
      </c>
      <c r="D3240" s="672" t="s">
        <v>9464</v>
      </c>
      <c r="E3240" s="745"/>
      <c r="F3240" s="732">
        <v>2</v>
      </c>
      <c r="G3240" s="737">
        <v>1.9139999999999999</v>
      </c>
      <c r="H3240" s="685">
        <v>3.8279999999999998</v>
      </c>
      <c r="I3240" s="672" t="s">
        <v>9218</v>
      </c>
      <c r="J3240" s="672" t="s">
        <v>9219</v>
      </c>
      <c r="K3240" s="672" t="s">
        <v>2354</v>
      </c>
      <c r="L3240" s="672" t="s">
        <v>9219</v>
      </c>
    </row>
    <row r="3241" spans="1:12" x14ac:dyDescent="0.2">
      <c r="A3241" s="672" t="s">
        <v>220</v>
      </c>
      <c r="B3241" s="672" t="s">
        <v>5430</v>
      </c>
      <c r="D3241" s="672" t="s">
        <v>9465</v>
      </c>
      <c r="E3241" s="745"/>
      <c r="F3241" s="732">
        <v>2</v>
      </c>
      <c r="G3241" s="737">
        <v>1.4730000000000001</v>
      </c>
      <c r="H3241" s="685">
        <v>2.9460000000000002</v>
      </c>
      <c r="I3241" s="672" t="s">
        <v>9218</v>
      </c>
      <c r="J3241" s="672" t="s">
        <v>9219</v>
      </c>
      <c r="K3241" s="672" t="s">
        <v>2354</v>
      </c>
      <c r="L3241" s="672" t="s">
        <v>9219</v>
      </c>
    </row>
    <row r="3242" spans="1:12" x14ac:dyDescent="0.2">
      <c r="A3242" s="672" t="s">
        <v>220</v>
      </c>
      <c r="B3242" s="672" t="s">
        <v>5430</v>
      </c>
      <c r="D3242" s="672" t="s">
        <v>9466</v>
      </c>
      <c r="E3242" s="745"/>
      <c r="F3242" s="732">
        <v>1</v>
      </c>
      <c r="G3242" s="737">
        <v>1.381</v>
      </c>
      <c r="H3242" s="685">
        <v>1.381</v>
      </c>
      <c r="I3242" s="672" t="s">
        <v>9218</v>
      </c>
      <c r="J3242" s="672" t="s">
        <v>9219</v>
      </c>
      <c r="K3242" s="672" t="s">
        <v>2354</v>
      </c>
      <c r="L3242" s="672" t="s">
        <v>9219</v>
      </c>
    </row>
    <row r="3243" spans="1:12" x14ac:dyDescent="0.2">
      <c r="A3243" s="672" t="s">
        <v>220</v>
      </c>
      <c r="B3243" s="672" t="s">
        <v>5430</v>
      </c>
      <c r="D3243" s="672" t="s">
        <v>9467</v>
      </c>
      <c r="E3243" s="745"/>
      <c r="F3243" s="732">
        <v>5</v>
      </c>
      <c r="G3243" s="737">
        <v>1.2769999999999999</v>
      </c>
      <c r="H3243" s="685">
        <v>6.3849999999999998</v>
      </c>
      <c r="I3243" s="672" t="s">
        <v>9218</v>
      </c>
      <c r="J3243" s="672" t="s">
        <v>9219</v>
      </c>
      <c r="K3243" s="672" t="s">
        <v>2354</v>
      </c>
      <c r="L3243" s="672" t="s">
        <v>9219</v>
      </c>
    </row>
    <row r="3244" spans="1:12" x14ac:dyDescent="0.2">
      <c r="A3244" s="672" t="s">
        <v>220</v>
      </c>
      <c r="B3244" s="672" t="s">
        <v>5430</v>
      </c>
      <c r="D3244" s="672" t="s">
        <v>9468</v>
      </c>
      <c r="E3244" s="745"/>
      <c r="F3244" s="732">
        <v>5</v>
      </c>
      <c r="G3244" s="737">
        <v>0.95599999999999996</v>
      </c>
      <c r="H3244" s="685">
        <v>4.7799999999999994</v>
      </c>
      <c r="I3244" s="672" t="s">
        <v>9218</v>
      </c>
      <c r="J3244" s="672" t="s">
        <v>9219</v>
      </c>
      <c r="K3244" s="672" t="s">
        <v>2354</v>
      </c>
      <c r="L3244" s="672" t="s">
        <v>9219</v>
      </c>
    </row>
    <row r="3245" spans="1:12" x14ac:dyDescent="0.2">
      <c r="A3245" s="672" t="s">
        <v>220</v>
      </c>
      <c r="B3245" s="672" t="s">
        <v>5430</v>
      </c>
      <c r="D3245" s="672" t="s">
        <v>9469</v>
      </c>
      <c r="E3245" s="745"/>
      <c r="F3245" s="732">
        <v>3</v>
      </c>
      <c r="G3245" s="737">
        <v>0.75700000000000001</v>
      </c>
      <c r="H3245" s="685">
        <v>2.2709999999999999</v>
      </c>
      <c r="I3245" s="672" t="s">
        <v>9218</v>
      </c>
      <c r="J3245" s="672" t="s">
        <v>9219</v>
      </c>
      <c r="K3245" s="672" t="s">
        <v>2354</v>
      </c>
      <c r="L3245" s="672" t="s">
        <v>9219</v>
      </c>
    </row>
    <row r="3246" spans="1:12" x14ac:dyDescent="0.2">
      <c r="A3246" s="672" t="s">
        <v>220</v>
      </c>
      <c r="B3246" s="672" t="s">
        <v>5430</v>
      </c>
      <c r="D3246" s="672" t="s">
        <v>9470</v>
      </c>
      <c r="E3246" s="745"/>
      <c r="F3246" s="732">
        <v>1</v>
      </c>
      <c r="G3246" s="737">
        <v>0.80300000000000005</v>
      </c>
      <c r="H3246" s="685">
        <v>0.80300000000000005</v>
      </c>
      <c r="I3246" s="672" t="s">
        <v>9218</v>
      </c>
      <c r="J3246" s="672" t="s">
        <v>9219</v>
      </c>
      <c r="K3246" s="672" t="s">
        <v>2354</v>
      </c>
      <c r="L3246" s="672" t="s">
        <v>9219</v>
      </c>
    </row>
    <row r="3247" spans="1:12" x14ac:dyDescent="0.2">
      <c r="A3247" s="672" t="s">
        <v>220</v>
      </c>
      <c r="B3247" s="672" t="s">
        <v>5430</v>
      </c>
      <c r="D3247" s="672" t="s">
        <v>9471</v>
      </c>
      <c r="E3247" s="745"/>
      <c r="F3247" s="732">
        <v>5</v>
      </c>
      <c r="G3247" s="737">
        <v>0.59899999999999998</v>
      </c>
      <c r="H3247" s="685">
        <v>2.9950000000000001</v>
      </c>
      <c r="I3247" s="672" t="s">
        <v>9218</v>
      </c>
      <c r="J3247" s="672" t="s">
        <v>9219</v>
      </c>
      <c r="K3247" s="672" t="s">
        <v>2354</v>
      </c>
      <c r="L3247" s="672" t="s">
        <v>9219</v>
      </c>
    </row>
    <row r="3248" spans="1:12" x14ac:dyDescent="0.2">
      <c r="A3248" s="672" t="s">
        <v>220</v>
      </c>
      <c r="B3248" s="672" t="s">
        <v>5430</v>
      </c>
      <c r="C3248" s="672" t="s">
        <v>5174</v>
      </c>
      <c r="D3248" s="672" t="s">
        <v>8767</v>
      </c>
      <c r="E3248" s="745"/>
      <c r="F3248" s="732">
        <v>5</v>
      </c>
      <c r="G3248" s="737">
        <v>2.512</v>
      </c>
      <c r="H3248" s="685">
        <v>12.56</v>
      </c>
      <c r="I3248" s="672" t="s">
        <v>9218</v>
      </c>
      <c r="J3248" s="672" t="s">
        <v>9219</v>
      </c>
      <c r="K3248" s="672" t="s">
        <v>2354</v>
      </c>
      <c r="L3248" s="672" t="s">
        <v>9219</v>
      </c>
    </row>
    <row r="3249" spans="1:12" x14ac:dyDescent="0.2">
      <c r="A3249" s="672" t="s">
        <v>220</v>
      </c>
      <c r="B3249" s="672" t="s">
        <v>5430</v>
      </c>
      <c r="C3249" s="672" t="s">
        <v>5176</v>
      </c>
      <c r="D3249" s="672" t="s">
        <v>8768</v>
      </c>
      <c r="E3249" s="745"/>
      <c r="F3249" s="732">
        <v>2</v>
      </c>
      <c r="G3249" s="737">
        <v>3.0259999999999998</v>
      </c>
      <c r="H3249" s="685">
        <v>6.0519999999999996</v>
      </c>
      <c r="I3249" s="672" t="s">
        <v>9218</v>
      </c>
      <c r="J3249" s="672" t="s">
        <v>9219</v>
      </c>
      <c r="K3249" s="672" t="s">
        <v>2354</v>
      </c>
      <c r="L3249" s="672" t="s">
        <v>9219</v>
      </c>
    </row>
    <row r="3250" spans="1:12" x14ac:dyDescent="0.2">
      <c r="A3250" s="672" t="s">
        <v>220</v>
      </c>
      <c r="B3250" s="672" t="s">
        <v>5430</v>
      </c>
      <c r="C3250" s="672" t="s">
        <v>5178</v>
      </c>
      <c r="D3250" s="672" t="s">
        <v>8769</v>
      </c>
      <c r="E3250" s="745"/>
      <c r="F3250" s="732">
        <v>2</v>
      </c>
      <c r="G3250" s="737">
        <v>4.5625526315789475</v>
      </c>
      <c r="H3250" s="685">
        <v>9.1251052631578951</v>
      </c>
      <c r="I3250" s="672" t="s">
        <v>9218</v>
      </c>
      <c r="J3250" s="672" t="s">
        <v>9219</v>
      </c>
      <c r="K3250" s="672" t="s">
        <v>2354</v>
      </c>
      <c r="L3250" s="672" t="s">
        <v>9219</v>
      </c>
    </row>
    <row r="3251" spans="1:12" x14ac:dyDescent="0.2">
      <c r="A3251" s="672" t="s">
        <v>220</v>
      </c>
      <c r="B3251" s="672" t="s">
        <v>5430</v>
      </c>
      <c r="C3251" s="672" t="s">
        <v>5182</v>
      </c>
      <c r="D3251" s="672" t="s">
        <v>8770</v>
      </c>
      <c r="E3251" s="745"/>
      <c r="F3251" s="732">
        <v>1</v>
      </c>
      <c r="G3251" s="737">
        <v>13.026249999999999</v>
      </c>
      <c r="H3251" s="685">
        <v>13.026249999999999</v>
      </c>
      <c r="I3251" s="672" t="s">
        <v>9218</v>
      </c>
      <c r="J3251" s="672" t="s">
        <v>9219</v>
      </c>
      <c r="K3251" s="672" t="s">
        <v>2354</v>
      </c>
      <c r="L3251" s="672" t="s">
        <v>9219</v>
      </c>
    </row>
    <row r="3252" spans="1:12" x14ac:dyDescent="0.2">
      <c r="A3252" s="672" t="s">
        <v>220</v>
      </c>
      <c r="B3252" s="672" t="s">
        <v>5430</v>
      </c>
      <c r="C3252" s="672" t="s">
        <v>5184</v>
      </c>
      <c r="D3252" s="672" t="s">
        <v>8771</v>
      </c>
      <c r="E3252" s="745"/>
      <c r="F3252" s="732">
        <v>2</v>
      </c>
      <c r="G3252" s="737">
        <v>8.6880000000000006</v>
      </c>
      <c r="H3252" s="685">
        <v>17.376000000000001</v>
      </c>
      <c r="I3252" s="672" t="s">
        <v>9218</v>
      </c>
      <c r="J3252" s="672" t="s">
        <v>9219</v>
      </c>
      <c r="K3252" s="672" t="s">
        <v>2354</v>
      </c>
      <c r="L3252" s="672" t="s">
        <v>9219</v>
      </c>
    </row>
    <row r="3253" spans="1:12" x14ac:dyDescent="0.2">
      <c r="A3253" s="672" t="s">
        <v>220</v>
      </c>
      <c r="B3253" s="672" t="s">
        <v>5430</v>
      </c>
      <c r="C3253" s="672" t="s">
        <v>7310</v>
      </c>
      <c r="D3253" s="672" t="s">
        <v>8789</v>
      </c>
      <c r="E3253" s="745"/>
      <c r="F3253" s="732">
        <v>1</v>
      </c>
      <c r="G3253" s="737">
        <v>287.02600000000001</v>
      </c>
      <c r="H3253" s="685">
        <v>287.02600000000001</v>
      </c>
      <c r="I3253" s="672" t="s">
        <v>9218</v>
      </c>
      <c r="J3253" s="672" t="s">
        <v>9219</v>
      </c>
      <c r="K3253" s="672" t="s">
        <v>2354</v>
      </c>
      <c r="L3253" s="672" t="s">
        <v>9219</v>
      </c>
    </row>
    <row r="3254" spans="1:12" x14ac:dyDescent="0.2">
      <c r="A3254" s="672" t="s">
        <v>220</v>
      </c>
      <c r="B3254" s="672" t="s">
        <v>5430</v>
      </c>
      <c r="C3254" s="672" t="s">
        <v>8793</v>
      </c>
      <c r="D3254" s="672" t="s">
        <v>7323</v>
      </c>
      <c r="E3254" s="745"/>
      <c r="F3254" s="732">
        <v>1</v>
      </c>
      <c r="G3254" s="737">
        <v>51.368000000000002</v>
      </c>
      <c r="H3254" s="685">
        <v>51.368000000000002</v>
      </c>
      <c r="I3254" s="672" t="s">
        <v>9218</v>
      </c>
      <c r="J3254" s="672" t="s">
        <v>9219</v>
      </c>
      <c r="K3254" s="672" t="s">
        <v>2354</v>
      </c>
      <c r="L3254" s="672" t="s">
        <v>9219</v>
      </c>
    </row>
    <row r="3255" spans="1:12" x14ac:dyDescent="0.2">
      <c r="A3255" s="672" t="s">
        <v>220</v>
      </c>
      <c r="B3255" s="672" t="s">
        <v>5430</v>
      </c>
      <c r="C3255" s="672" t="s">
        <v>3399</v>
      </c>
      <c r="D3255" s="672" t="s">
        <v>8804</v>
      </c>
      <c r="E3255" s="745"/>
      <c r="F3255" s="732">
        <v>4</v>
      </c>
      <c r="G3255" s="737">
        <v>1.4670000000000001</v>
      </c>
      <c r="H3255" s="685">
        <v>5.8680000000000003</v>
      </c>
      <c r="I3255" s="672" t="s">
        <v>9218</v>
      </c>
      <c r="J3255" s="672" t="s">
        <v>9219</v>
      </c>
      <c r="K3255" s="672" t="s">
        <v>2354</v>
      </c>
      <c r="L3255" s="672" t="s">
        <v>9219</v>
      </c>
    </row>
    <row r="3256" spans="1:12" x14ac:dyDescent="0.2">
      <c r="A3256" s="672" t="s">
        <v>220</v>
      </c>
      <c r="B3256" s="672" t="s">
        <v>5430</v>
      </c>
      <c r="C3256" s="672" t="s">
        <v>6371</v>
      </c>
      <c r="D3256" s="672" t="s">
        <v>8805</v>
      </c>
      <c r="E3256" s="745"/>
      <c r="F3256" s="732">
        <v>6</v>
      </c>
      <c r="G3256" s="737">
        <v>0.95299999999999996</v>
      </c>
      <c r="H3256" s="685">
        <v>5.718</v>
      </c>
      <c r="I3256" s="672" t="s">
        <v>9218</v>
      </c>
      <c r="J3256" s="672" t="s">
        <v>9219</v>
      </c>
      <c r="K3256" s="672" t="s">
        <v>2354</v>
      </c>
      <c r="L3256" s="672" t="s">
        <v>9219</v>
      </c>
    </row>
    <row r="3257" spans="1:12" x14ac:dyDescent="0.2">
      <c r="A3257" s="672" t="s">
        <v>220</v>
      </c>
      <c r="B3257" s="672" t="s">
        <v>5430</v>
      </c>
      <c r="C3257" s="672" t="s">
        <v>3465</v>
      </c>
      <c r="D3257" s="672" t="s">
        <v>8806</v>
      </c>
      <c r="E3257" s="745"/>
      <c r="F3257" s="732">
        <v>5</v>
      </c>
      <c r="G3257" s="737">
        <v>8.0640000000000001</v>
      </c>
      <c r="H3257" s="685">
        <v>40.32</v>
      </c>
      <c r="I3257" s="672" t="s">
        <v>9218</v>
      </c>
      <c r="J3257" s="672" t="s">
        <v>9219</v>
      </c>
      <c r="K3257" s="672" t="s">
        <v>2354</v>
      </c>
      <c r="L3257" s="672" t="s">
        <v>9219</v>
      </c>
    </row>
    <row r="3258" spans="1:12" x14ac:dyDescent="0.2">
      <c r="A3258" s="672" t="s">
        <v>220</v>
      </c>
      <c r="B3258" s="672" t="s">
        <v>5430</v>
      </c>
      <c r="C3258" s="672" t="s">
        <v>6453</v>
      </c>
      <c r="D3258" s="672" t="s">
        <v>6454</v>
      </c>
      <c r="E3258" s="745"/>
      <c r="F3258" s="732">
        <v>6</v>
      </c>
      <c r="G3258" s="737">
        <v>11.196</v>
      </c>
      <c r="H3258" s="685">
        <v>67.176000000000002</v>
      </c>
      <c r="I3258" s="672" t="s">
        <v>9218</v>
      </c>
      <c r="J3258" s="672" t="s">
        <v>9219</v>
      </c>
      <c r="K3258" s="672" t="s">
        <v>2354</v>
      </c>
      <c r="L3258" s="672" t="s">
        <v>9219</v>
      </c>
    </row>
    <row r="3259" spans="1:12" x14ac:dyDescent="0.2">
      <c r="A3259" s="672" t="s">
        <v>220</v>
      </c>
      <c r="B3259" s="672" t="s">
        <v>5430</v>
      </c>
      <c r="C3259" s="672" t="s">
        <v>6455</v>
      </c>
      <c r="D3259" s="672" t="s">
        <v>8807</v>
      </c>
      <c r="E3259" s="745"/>
      <c r="F3259" s="732">
        <v>8</v>
      </c>
      <c r="G3259" s="737">
        <v>14.2</v>
      </c>
      <c r="H3259" s="685">
        <v>113.6</v>
      </c>
      <c r="I3259" s="672" t="s">
        <v>9218</v>
      </c>
      <c r="J3259" s="672" t="s">
        <v>9219</v>
      </c>
      <c r="K3259" s="672" t="s">
        <v>2354</v>
      </c>
      <c r="L3259" s="672" t="s">
        <v>9219</v>
      </c>
    </row>
    <row r="3260" spans="1:12" x14ac:dyDescent="0.2">
      <c r="A3260" s="672" t="s">
        <v>220</v>
      </c>
      <c r="B3260" s="672" t="s">
        <v>5430</v>
      </c>
      <c r="C3260" s="672" t="s">
        <v>6457</v>
      </c>
      <c r="D3260" s="672" t="s">
        <v>6458</v>
      </c>
      <c r="E3260" s="745"/>
      <c r="F3260" s="732">
        <v>7</v>
      </c>
      <c r="G3260" s="737">
        <v>1.629</v>
      </c>
      <c r="H3260" s="685">
        <v>11.403</v>
      </c>
      <c r="I3260" s="672" t="s">
        <v>9218</v>
      </c>
      <c r="J3260" s="672" t="s">
        <v>9219</v>
      </c>
      <c r="K3260" s="672" t="s">
        <v>2354</v>
      </c>
      <c r="L3260" s="672" t="s">
        <v>9219</v>
      </c>
    </row>
    <row r="3261" spans="1:12" x14ac:dyDescent="0.2">
      <c r="A3261" s="672" t="s">
        <v>220</v>
      </c>
      <c r="B3261" s="672" t="s">
        <v>5430</v>
      </c>
      <c r="C3261" s="672" t="s">
        <v>3501</v>
      </c>
      <c r="D3261" s="672" t="s">
        <v>3502</v>
      </c>
      <c r="E3261" s="745"/>
      <c r="F3261" s="732">
        <v>9</v>
      </c>
      <c r="G3261" s="737">
        <v>2.9015151515151514</v>
      </c>
      <c r="H3261" s="685">
        <v>26.113636363636363</v>
      </c>
      <c r="I3261" s="672" t="s">
        <v>9218</v>
      </c>
      <c r="J3261" s="672" t="s">
        <v>9219</v>
      </c>
      <c r="K3261" s="672" t="s">
        <v>2354</v>
      </c>
      <c r="L3261" s="672" t="s">
        <v>9219</v>
      </c>
    </row>
    <row r="3262" spans="1:12" x14ac:dyDescent="0.2">
      <c r="A3262" s="672" t="s">
        <v>220</v>
      </c>
      <c r="B3262" s="672" t="s">
        <v>5430</v>
      </c>
      <c r="C3262" s="672" t="s">
        <v>6459</v>
      </c>
      <c r="D3262" s="672" t="s">
        <v>6460</v>
      </c>
      <c r="E3262" s="745"/>
      <c r="F3262" s="732">
        <v>6</v>
      </c>
      <c r="G3262" s="737">
        <v>1.2110000000000001</v>
      </c>
      <c r="H3262" s="685">
        <v>7.266</v>
      </c>
      <c r="I3262" s="672" t="s">
        <v>9218</v>
      </c>
      <c r="J3262" s="672" t="s">
        <v>9219</v>
      </c>
      <c r="K3262" s="672" t="s">
        <v>2354</v>
      </c>
      <c r="L3262" s="672" t="s">
        <v>9219</v>
      </c>
    </row>
    <row r="3263" spans="1:12" x14ac:dyDescent="0.2">
      <c r="A3263" s="672" t="s">
        <v>220</v>
      </c>
      <c r="B3263" s="672" t="s">
        <v>5430</v>
      </c>
      <c r="C3263" s="672" t="s">
        <v>3503</v>
      </c>
      <c r="D3263" s="672" t="s">
        <v>3504</v>
      </c>
      <c r="E3263" s="745"/>
      <c r="F3263" s="732">
        <v>2</v>
      </c>
      <c r="G3263" s="737">
        <v>2.448</v>
      </c>
      <c r="H3263" s="685">
        <v>4.8959999999999999</v>
      </c>
      <c r="I3263" s="672" t="s">
        <v>9218</v>
      </c>
      <c r="J3263" s="672" t="s">
        <v>9219</v>
      </c>
      <c r="K3263" s="672" t="s">
        <v>2354</v>
      </c>
      <c r="L3263" s="672" t="s">
        <v>9219</v>
      </c>
    </row>
    <row r="3264" spans="1:12" x14ac:dyDescent="0.2">
      <c r="A3264" s="672" t="s">
        <v>220</v>
      </c>
      <c r="B3264" s="672" t="s">
        <v>5430</v>
      </c>
      <c r="C3264" s="672" t="s">
        <v>6461</v>
      </c>
      <c r="D3264" s="672" t="s">
        <v>6462</v>
      </c>
      <c r="E3264" s="745"/>
      <c r="F3264" s="732">
        <v>8</v>
      </c>
      <c r="G3264" s="737">
        <v>0.28399999999999997</v>
      </c>
      <c r="H3264" s="685">
        <v>2.2719999999999998</v>
      </c>
      <c r="I3264" s="672" t="s">
        <v>9218</v>
      </c>
      <c r="J3264" s="672" t="s">
        <v>9219</v>
      </c>
      <c r="K3264" s="672" t="s">
        <v>2354</v>
      </c>
      <c r="L3264" s="672" t="s">
        <v>9219</v>
      </c>
    </row>
    <row r="3265" spans="1:12" x14ac:dyDescent="0.2">
      <c r="A3265" s="672" t="s">
        <v>220</v>
      </c>
      <c r="B3265" s="672" t="s">
        <v>5430</v>
      </c>
      <c r="C3265" s="672" t="s">
        <v>6463</v>
      </c>
      <c r="D3265" s="672" t="s">
        <v>6464</v>
      </c>
      <c r="E3265" s="745"/>
      <c r="F3265" s="732">
        <v>5</v>
      </c>
      <c r="G3265" s="737">
        <v>1.018</v>
      </c>
      <c r="H3265" s="685">
        <v>5.09</v>
      </c>
      <c r="I3265" s="672" t="s">
        <v>9218</v>
      </c>
      <c r="J3265" s="672" t="s">
        <v>9219</v>
      </c>
      <c r="K3265" s="672" t="s">
        <v>2354</v>
      </c>
      <c r="L3265" s="672" t="s">
        <v>9219</v>
      </c>
    </row>
    <row r="3266" spans="1:12" x14ac:dyDescent="0.2">
      <c r="A3266" s="672" t="s">
        <v>220</v>
      </c>
      <c r="B3266" s="672" t="s">
        <v>5430</v>
      </c>
      <c r="C3266" s="672" t="s">
        <v>3505</v>
      </c>
      <c r="D3266" s="672" t="s">
        <v>3506</v>
      </c>
      <c r="E3266" s="745"/>
      <c r="F3266" s="732">
        <v>3</v>
      </c>
      <c r="G3266" s="737">
        <v>11.22</v>
      </c>
      <c r="H3266" s="685">
        <v>33.660000000000004</v>
      </c>
      <c r="I3266" s="672" t="s">
        <v>9218</v>
      </c>
      <c r="J3266" s="672" t="s">
        <v>9219</v>
      </c>
      <c r="K3266" s="672" t="s">
        <v>2354</v>
      </c>
      <c r="L3266" s="672" t="s">
        <v>9219</v>
      </c>
    </row>
    <row r="3267" spans="1:12" x14ac:dyDescent="0.2">
      <c r="A3267" s="672" t="s">
        <v>220</v>
      </c>
      <c r="B3267" s="672" t="s">
        <v>5430</v>
      </c>
      <c r="C3267" s="672" t="s">
        <v>6465</v>
      </c>
      <c r="D3267" s="672" t="s">
        <v>3536</v>
      </c>
      <c r="E3267" s="745"/>
      <c r="F3267" s="732">
        <v>2</v>
      </c>
      <c r="G3267" s="737">
        <v>6.7829999999999995</v>
      </c>
      <c r="H3267" s="685">
        <v>13.565999999999999</v>
      </c>
      <c r="I3267" s="672" t="s">
        <v>9218</v>
      </c>
      <c r="J3267" s="672" t="s">
        <v>9219</v>
      </c>
      <c r="K3267" s="672" t="s">
        <v>2354</v>
      </c>
      <c r="L3267" s="672" t="s">
        <v>9219</v>
      </c>
    </row>
    <row r="3268" spans="1:12" x14ac:dyDescent="0.2">
      <c r="A3268" s="672" t="s">
        <v>220</v>
      </c>
      <c r="B3268" s="672" t="s">
        <v>5430</v>
      </c>
      <c r="C3268" s="672" t="s">
        <v>6466</v>
      </c>
      <c r="D3268" s="672" t="s">
        <v>6467</v>
      </c>
      <c r="E3268" s="745"/>
      <c r="F3268" s="732">
        <v>6</v>
      </c>
      <c r="G3268" s="737">
        <v>2.6779999999999999</v>
      </c>
      <c r="H3268" s="685">
        <v>16.067999999999998</v>
      </c>
      <c r="I3268" s="672" t="s">
        <v>9218</v>
      </c>
      <c r="J3268" s="672" t="s">
        <v>9219</v>
      </c>
      <c r="K3268" s="672" t="s">
        <v>2354</v>
      </c>
      <c r="L3268" s="672" t="s">
        <v>9219</v>
      </c>
    </row>
    <row r="3269" spans="1:12" x14ac:dyDescent="0.2">
      <c r="A3269" s="672" t="s">
        <v>220</v>
      </c>
      <c r="B3269" s="672" t="s">
        <v>5430</v>
      </c>
      <c r="C3269" s="672" t="s">
        <v>6468</v>
      </c>
      <c r="D3269" s="672" t="s">
        <v>8808</v>
      </c>
      <c r="E3269" s="745"/>
      <c r="F3269" s="732">
        <v>2</v>
      </c>
      <c r="G3269" s="737">
        <v>4.1079999999999997</v>
      </c>
      <c r="H3269" s="685">
        <v>8.2159999999999993</v>
      </c>
      <c r="I3269" s="672" t="s">
        <v>9218</v>
      </c>
      <c r="J3269" s="672" t="s">
        <v>9219</v>
      </c>
      <c r="K3269" s="672" t="s">
        <v>2354</v>
      </c>
      <c r="L3269" s="672" t="s">
        <v>9219</v>
      </c>
    </row>
    <row r="3270" spans="1:12" x14ac:dyDescent="0.2">
      <c r="A3270" s="672" t="s">
        <v>220</v>
      </c>
      <c r="B3270" s="672" t="s">
        <v>5430</v>
      </c>
      <c r="C3270" s="672" t="s">
        <v>6470</v>
      </c>
      <c r="D3270" s="672" t="s">
        <v>6471</v>
      </c>
      <c r="E3270" s="745"/>
      <c r="F3270" s="732">
        <v>6</v>
      </c>
      <c r="G3270" s="737">
        <v>4.2</v>
      </c>
      <c r="H3270" s="685">
        <v>25.200000000000003</v>
      </c>
      <c r="I3270" s="672" t="s">
        <v>9218</v>
      </c>
      <c r="J3270" s="672" t="s">
        <v>9219</v>
      </c>
      <c r="K3270" s="672" t="s">
        <v>2354</v>
      </c>
      <c r="L3270" s="672" t="s">
        <v>9219</v>
      </c>
    </row>
    <row r="3271" spans="1:12" x14ac:dyDescent="0.2">
      <c r="A3271" s="672" t="s">
        <v>220</v>
      </c>
      <c r="B3271" s="672" t="s">
        <v>5430</v>
      </c>
      <c r="C3271" s="672" t="s">
        <v>6472</v>
      </c>
      <c r="D3271" s="672" t="s">
        <v>6473</v>
      </c>
      <c r="E3271" s="745"/>
      <c r="F3271" s="732">
        <v>5</v>
      </c>
      <c r="G3271" s="737">
        <v>4.6749999999999998</v>
      </c>
      <c r="H3271" s="685">
        <v>23.375</v>
      </c>
      <c r="I3271" s="672" t="s">
        <v>9218</v>
      </c>
      <c r="J3271" s="672" t="s">
        <v>9219</v>
      </c>
      <c r="K3271" s="672" t="s">
        <v>2354</v>
      </c>
      <c r="L3271" s="672" t="s">
        <v>9219</v>
      </c>
    </row>
    <row r="3272" spans="1:12" x14ac:dyDescent="0.2">
      <c r="A3272" s="672" t="s">
        <v>220</v>
      </c>
      <c r="B3272" s="672" t="s">
        <v>5430</v>
      </c>
      <c r="C3272" s="672" t="s">
        <v>3521</v>
      </c>
      <c r="D3272" s="672" t="s">
        <v>3522</v>
      </c>
      <c r="E3272" s="745"/>
      <c r="F3272" s="732">
        <v>1</v>
      </c>
      <c r="G3272" s="737">
        <v>4.0460000000000003</v>
      </c>
      <c r="H3272" s="685">
        <v>4.0460000000000003</v>
      </c>
      <c r="I3272" s="672" t="s">
        <v>9218</v>
      </c>
      <c r="J3272" s="672" t="s">
        <v>9219</v>
      </c>
      <c r="K3272" s="672" t="s">
        <v>2354</v>
      </c>
      <c r="L3272" s="672" t="s">
        <v>9219</v>
      </c>
    </row>
    <row r="3273" spans="1:12" x14ac:dyDescent="0.2">
      <c r="A3273" s="672" t="s">
        <v>220</v>
      </c>
      <c r="B3273" s="672" t="s">
        <v>5430</v>
      </c>
      <c r="C3273" s="672" t="s">
        <v>3523</v>
      </c>
      <c r="D3273" s="672" t="s">
        <v>3524</v>
      </c>
      <c r="E3273" s="745"/>
      <c r="F3273" s="732">
        <v>2</v>
      </c>
      <c r="G3273" s="737">
        <v>1.153</v>
      </c>
      <c r="H3273" s="685">
        <v>2.306</v>
      </c>
      <c r="I3273" s="672" t="s">
        <v>9218</v>
      </c>
      <c r="J3273" s="672" t="s">
        <v>9219</v>
      </c>
      <c r="K3273" s="672" t="s">
        <v>2354</v>
      </c>
      <c r="L3273" s="672" t="s">
        <v>9219</v>
      </c>
    </row>
    <row r="3274" spans="1:12" x14ac:dyDescent="0.2">
      <c r="A3274" s="672" t="s">
        <v>220</v>
      </c>
      <c r="B3274" s="672" t="s">
        <v>5430</v>
      </c>
      <c r="C3274" s="672" t="s">
        <v>3525</v>
      </c>
      <c r="D3274" s="672" t="s">
        <v>3526</v>
      </c>
      <c r="E3274" s="745"/>
      <c r="F3274" s="732">
        <v>2</v>
      </c>
      <c r="G3274" s="737">
        <v>0.8075</v>
      </c>
      <c r="H3274" s="685">
        <v>1.615</v>
      </c>
      <c r="I3274" s="672" t="s">
        <v>9218</v>
      </c>
      <c r="J3274" s="672" t="s">
        <v>9219</v>
      </c>
      <c r="K3274" s="672" t="s">
        <v>2354</v>
      </c>
      <c r="L3274" s="672" t="s">
        <v>9219</v>
      </c>
    </row>
    <row r="3275" spans="1:12" x14ac:dyDescent="0.2">
      <c r="A3275" s="672" t="s">
        <v>220</v>
      </c>
      <c r="B3275" s="672" t="s">
        <v>5430</v>
      </c>
      <c r="C3275" s="672" t="s">
        <v>3527</v>
      </c>
      <c r="D3275" s="672" t="s">
        <v>3528</v>
      </c>
      <c r="E3275" s="745"/>
      <c r="F3275" s="732">
        <v>3</v>
      </c>
      <c r="G3275" s="737">
        <v>1.0250999999999999</v>
      </c>
      <c r="H3275" s="685">
        <v>3.0752999999999995</v>
      </c>
      <c r="I3275" s="672" t="s">
        <v>9218</v>
      </c>
      <c r="J3275" s="672" t="s">
        <v>9219</v>
      </c>
      <c r="K3275" s="672" t="s">
        <v>2354</v>
      </c>
      <c r="L3275" s="672" t="s">
        <v>9219</v>
      </c>
    </row>
    <row r="3276" spans="1:12" x14ac:dyDescent="0.2">
      <c r="A3276" s="672" t="s">
        <v>220</v>
      </c>
      <c r="B3276" s="672" t="s">
        <v>5430</v>
      </c>
      <c r="C3276" s="672" t="s">
        <v>3529</v>
      </c>
      <c r="D3276" s="672" t="s">
        <v>8809</v>
      </c>
      <c r="E3276" s="745"/>
      <c r="F3276" s="732">
        <v>5</v>
      </c>
      <c r="G3276" s="737">
        <v>3.103017857142857</v>
      </c>
      <c r="H3276" s="685">
        <v>15.515089285714286</v>
      </c>
      <c r="I3276" s="672" t="s">
        <v>9218</v>
      </c>
      <c r="J3276" s="672" t="s">
        <v>9219</v>
      </c>
      <c r="K3276" s="672" t="s">
        <v>2354</v>
      </c>
      <c r="L3276" s="672" t="s">
        <v>9219</v>
      </c>
    </row>
    <row r="3277" spans="1:12" x14ac:dyDescent="0.2">
      <c r="A3277" s="672" t="s">
        <v>220</v>
      </c>
      <c r="B3277" s="672" t="s">
        <v>5430</v>
      </c>
      <c r="C3277" s="672" t="s">
        <v>3533</v>
      </c>
      <c r="D3277" s="672" t="s">
        <v>3534</v>
      </c>
      <c r="E3277" s="745"/>
      <c r="F3277" s="732">
        <v>2</v>
      </c>
      <c r="G3277" s="737">
        <v>2.3913333333333338</v>
      </c>
      <c r="H3277" s="685">
        <v>4.7826666666666675</v>
      </c>
      <c r="I3277" s="672" t="s">
        <v>9218</v>
      </c>
      <c r="J3277" s="672" t="s">
        <v>9219</v>
      </c>
      <c r="K3277" s="672" t="s">
        <v>2354</v>
      </c>
      <c r="L3277" s="672" t="s">
        <v>9219</v>
      </c>
    </row>
    <row r="3278" spans="1:12" x14ac:dyDescent="0.2">
      <c r="A3278" s="672" t="s">
        <v>220</v>
      </c>
      <c r="B3278" s="672" t="s">
        <v>5430</v>
      </c>
      <c r="C3278" s="672" t="s">
        <v>8810</v>
      </c>
      <c r="D3278" s="672" t="s">
        <v>8811</v>
      </c>
      <c r="E3278" s="745"/>
      <c r="F3278" s="732">
        <v>6</v>
      </c>
      <c r="G3278" s="737">
        <v>1.375</v>
      </c>
      <c r="H3278" s="685">
        <v>8.25</v>
      </c>
      <c r="I3278" s="672" t="s">
        <v>9218</v>
      </c>
      <c r="J3278" s="672" t="s">
        <v>9219</v>
      </c>
      <c r="K3278" s="672" t="s">
        <v>2354</v>
      </c>
      <c r="L3278" s="672" t="s">
        <v>9219</v>
      </c>
    </row>
    <row r="3279" spans="1:12" x14ac:dyDescent="0.2">
      <c r="A3279" s="672" t="s">
        <v>220</v>
      </c>
      <c r="B3279" s="672" t="s">
        <v>5430</v>
      </c>
      <c r="C3279" s="672" t="s">
        <v>3537</v>
      </c>
      <c r="D3279" s="672" t="s">
        <v>8812</v>
      </c>
      <c r="E3279" s="745"/>
      <c r="F3279" s="732">
        <v>7</v>
      </c>
      <c r="G3279" s="737">
        <v>9.9719999999999995</v>
      </c>
      <c r="H3279" s="685">
        <v>69.804000000000002</v>
      </c>
      <c r="I3279" s="672" t="s">
        <v>9218</v>
      </c>
      <c r="J3279" s="672" t="s">
        <v>9219</v>
      </c>
      <c r="K3279" s="672" t="s">
        <v>2354</v>
      </c>
      <c r="L3279" s="672" t="s">
        <v>9219</v>
      </c>
    </row>
    <row r="3280" spans="1:12" x14ac:dyDescent="0.2">
      <c r="A3280" s="672" t="s">
        <v>220</v>
      </c>
      <c r="B3280" s="672" t="s">
        <v>5430</v>
      </c>
      <c r="C3280" s="672" t="s">
        <v>6482</v>
      </c>
      <c r="D3280" s="672" t="s">
        <v>6483</v>
      </c>
      <c r="E3280" s="745"/>
      <c r="F3280" s="732">
        <v>3</v>
      </c>
      <c r="G3280" s="737">
        <v>26.393000000000001</v>
      </c>
      <c r="H3280" s="685">
        <v>79.179000000000002</v>
      </c>
      <c r="I3280" s="672" t="s">
        <v>9218</v>
      </c>
      <c r="J3280" s="672" t="s">
        <v>9219</v>
      </c>
      <c r="K3280" s="672" t="s">
        <v>2354</v>
      </c>
      <c r="L3280" s="672" t="s">
        <v>9219</v>
      </c>
    </row>
    <row r="3281" spans="1:12" x14ac:dyDescent="0.2">
      <c r="A3281" s="672" t="s">
        <v>220</v>
      </c>
      <c r="B3281" s="672" t="s">
        <v>5430</v>
      </c>
      <c r="C3281" s="672" t="s">
        <v>6484</v>
      </c>
      <c r="D3281" s="672" t="s">
        <v>6485</v>
      </c>
      <c r="E3281" s="745"/>
      <c r="F3281" s="732">
        <v>6</v>
      </c>
      <c r="G3281" s="737">
        <v>6.4619999999999997</v>
      </c>
      <c r="H3281" s="685">
        <v>38.771999999999998</v>
      </c>
      <c r="I3281" s="672" t="s">
        <v>9218</v>
      </c>
      <c r="J3281" s="672" t="s">
        <v>9219</v>
      </c>
      <c r="K3281" s="672" t="s">
        <v>2354</v>
      </c>
      <c r="L3281" s="672" t="s">
        <v>9219</v>
      </c>
    </row>
    <row r="3282" spans="1:12" x14ac:dyDescent="0.2">
      <c r="A3282" s="672" t="s">
        <v>220</v>
      </c>
      <c r="B3282" s="672" t="s">
        <v>5430</v>
      </c>
      <c r="C3282" s="672" t="s">
        <v>6486</v>
      </c>
      <c r="D3282" s="672" t="s">
        <v>6487</v>
      </c>
      <c r="E3282" s="745"/>
      <c r="F3282" s="732">
        <v>3</v>
      </c>
      <c r="G3282" s="737">
        <v>7.2249999999999996</v>
      </c>
      <c r="H3282" s="685">
        <v>21.674999999999997</v>
      </c>
      <c r="I3282" s="672" t="s">
        <v>9218</v>
      </c>
      <c r="J3282" s="672" t="s">
        <v>9219</v>
      </c>
      <c r="K3282" s="672" t="s">
        <v>2354</v>
      </c>
      <c r="L3282" s="672" t="s">
        <v>9219</v>
      </c>
    </row>
    <row r="3283" spans="1:12" x14ac:dyDescent="0.2">
      <c r="A3283" s="672" t="s">
        <v>220</v>
      </c>
      <c r="B3283" s="672" t="s">
        <v>5430</v>
      </c>
      <c r="C3283" s="672" t="s">
        <v>6488</v>
      </c>
      <c r="D3283" s="672" t="s">
        <v>8813</v>
      </c>
      <c r="E3283" s="745"/>
      <c r="F3283" s="732">
        <v>2</v>
      </c>
      <c r="G3283" s="737">
        <v>7.7350000000000003</v>
      </c>
      <c r="H3283" s="685">
        <v>15.47</v>
      </c>
      <c r="I3283" s="672" t="s">
        <v>9218</v>
      </c>
      <c r="J3283" s="672" t="s">
        <v>9219</v>
      </c>
      <c r="K3283" s="672" t="s">
        <v>2354</v>
      </c>
      <c r="L3283" s="672" t="s">
        <v>9219</v>
      </c>
    </row>
    <row r="3284" spans="1:12" x14ac:dyDescent="0.2">
      <c r="A3284" s="672" t="s">
        <v>220</v>
      </c>
      <c r="B3284" s="672" t="s">
        <v>5430</v>
      </c>
      <c r="C3284" s="672" t="s">
        <v>6490</v>
      </c>
      <c r="D3284" s="672" t="s">
        <v>8814</v>
      </c>
      <c r="E3284" s="745"/>
      <c r="F3284" s="732">
        <v>8</v>
      </c>
      <c r="G3284" s="737">
        <v>6.1630000000000003</v>
      </c>
      <c r="H3284" s="685">
        <v>49.304000000000002</v>
      </c>
      <c r="I3284" s="672" t="s">
        <v>9218</v>
      </c>
      <c r="J3284" s="672" t="s">
        <v>9219</v>
      </c>
      <c r="K3284" s="672" t="s">
        <v>2354</v>
      </c>
      <c r="L3284" s="672" t="s">
        <v>9219</v>
      </c>
    </row>
    <row r="3285" spans="1:12" x14ac:dyDescent="0.2">
      <c r="A3285" s="672" t="s">
        <v>220</v>
      </c>
      <c r="B3285" s="672" t="s">
        <v>5430</v>
      </c>
      <c r="C3285" s="672" t="s">
        <v>6495</v>
      </c>
      <c r="D3285" s="672" t="s">
        <v>8815</v>
      </c>
      <c r="E3285" s="745"/>
      <c r="F3285" s="732">
        <v>2</v>
      </c>
      <c r="G3285" s="737">
        <v>7.2880000000000003</v>
      </c>
      <c r="H3285" s="685">
        <v>14.576000000000001</v>
      </c>
      <c r="I3285" s="672" t="s">
        <v>9218</v>
      </c>
      <c r="J3285" s="672" t="s">
        <v>9219</v>
      </c>
      <c r="K3285" s="672" t="s">
        <v>2354</v>
      </c>
      <c r="L3285" s="672" t="s">
        <v>9219</v>
      </c>
    </row>
    <row r="3286" spans="1:12" x14ac:dyDescent="0.2">
      <c r="A3286" s="672" t="s">
        <v>220</v>
      </c>
      <c r="B3286" s="672" t="s">
        <v>5430</v>
      </c>
      <c r="C3286" s="672" t="s">
        <v>6499</v>
      </c>
      <c r="D3286" s="672" t="s">
        <v>6500</v>
      </c>
      <c r="E3286" s="745"/>
      <c r="F3286" s="732">
        <v>9</v>
      </c>
      <c r="G3286" s="737">
        <v>47.558</v>
      </c>
      <c r="H3286" s="685">
        <v>428.02199999999999</v>
      </c>
      <c r="I3286" s="672" t="s">
        <v>9218</v>
      </c>
      <c r="J3286" s="672" t="s">
        <v>9219</v>
      </c>
      <c r="K3286" s="672" t="s">
        <v>2354</v>
      </c>
      <c r="L3286" s="672" t="s">
        <v>9219</v>
      </c>
    </row>
    <row r="3287" spans="1:12" x14ac:dyDescent="0.2">
      <c r="A3287" s="672" t="s">
        <v>220</v>
      </c>
      <c r="B3287" s="672" t="s">
        <v>5430</v>
      </c>
      <c r="C3287" s="672" t="s">
        <v>6501</v>
      </c>
      <c r="D3287" s="672" t="s">
        <v>6502</v>
      </c>
      <c r="E3287" s="745"/>
      <c r="F3287" s="732">
        <v>6</v>
      </c>
      <c r="G3287" s="737">
        <v>23.387</v>
      </c>
      <c r="H3287" s="685">
        <v>140.322</v>
      </c>
      <c r="I3287" s="672" t="s">
        <v>9218</v>
      </c>
      <c r="J3287" s="672" t="s">
        <v>9219</v>
      </c>
      <c r="K3287" s="672" t="s">
        <v>2354</v>
      </c>
      <c r="L3287" s="672" t="s">
        <v>9219</v>
      </c>
    </row>
    <row r="3288" spans="1:12" x14ac:dyDescent="0.2">
      <c r="A3288" s="672" t="s">
        <v>220</v>
      </c>
      <c r="B3288" s="672" t="s">
        <v>5430</v>
      </c>
      <c r="C3288" s="672" t="s">
        <v>8816</v>
      </c>
      <c r="D3288" s="672" t="s">
        <v>8817</v>
      </c>
      <c r="E3288" s="745"/>
      <c r="F3288" s="732">
        <v>5</v>
      </c>
      <c r="G3288" s="737">
        <v>2.1240000000000001</v>
      </c>
      <c r="H3288" s="685">
        <v>10.620000000000001</v>
      </c>
      <c r="I3288" s="672" t="s">
        <v>9218</v>
      </c>
      <c r="J3288" s="672" t="s">
        <v>9219</v>
      </c>
      <c r="K3288" s="672" t="s">
        <v>2354</v>
      </c>
      <c r="L3288" s="672" t="s">
        <v>9219</v>
      </c>
    </row>
    <row r="3289" spans="1:12" x14ac:dyDescent="0.2">
      <c r="A3289" s="672" t="s">
        <v>220</v>
      </c>
      <c r="B3289" s="672" t="s">
        <v>5430</v>
      </c>
      <c r="C3289" s="672" t="s">
        <v>6505</v>
      </c>
      <c r="D3289" s="672" t="s">
        <v>6506</v>
      </c>
      <c r="E3289" s="745"/>
      <c r="F3289" s="732">
        <v>2</v>
      </c>
      <c r="G3289" s="737">
        <v>14.16</v>
      </c>
      <c r="H3289" s="685">
        <v>28.32</v>
      </c>
      <c r="I3289" s="672" t="s">
        <v>9218</v>
      </c>
      <c r="J3289" s="672" t="s">
        <v>9219</v>
      </c>
      <c r="K3289" s="672" t="s">
        <v>2354</v>
      </c>
      <c r="L3289" s="672" t="s">
        <v>9219</v>
      </c>
    </row>
    <row r="3290" spans="1:12" x14ac:dyDescent="0.2">
      <c r="A3290" s="672" t="s">
        <v>220</v>
      </c>
      <c r="B3290" s="672" t="s">
        <v>5430</v>
      </c>
      <c r="C3290" s="672" t="s">
        <v>6507</v>
      </c>
      <c r="D3290" s="672" t="s">
        <v>6508</v>
      </c>
      <c r="E3290" s="745"/>
      <c r="F3290" s="732">
        <v>6</v>
      </c>
      <c r="G3290" s="737">
        <v>21.523</v>
      </c>
      <c r="H3290" s="685">
        <v>129.13800000000001</v>
      </c>
      <c r="I3290" s="672" t="s">
        <v>9218</v>
      </c>
      <c r="J3290" s="672" t="s">
        <v>9219</v>
      </c>
      <c r="K3290" s="672" t="s">
        <v>2354</v>
      </c>
      <c r="L3290" s="672" t="s">
        <v>9219</v>
      </c>
    </row>
    <row r="3291" spans="1:12" x14ac:dyDescent="0.2">
      <c r="A3291" s="672" t="s">
        <v>220</v>
      </c>
      <c r="B3291" s="672" t="s">
        <v>5430</v>
      </c>
      <c r="C3291" s="672" t="s">
        <v>6509</v>
      </c>
      <c r="D3291" s="672" t="s">
        <v>8818</v>
      </c>
      <c r="E3291" s="745"/>
      <c r="F3291" s="732">
        <v>3</v>
      </c>
      <c r="G3291" s="737">
        <v>29.44</v>
      </c>
      <c r="H3291" s="685">
        <v>88.320000000000007</v>
      </c>
      <c r="I3291" s="672" t="s">
        <v>9218</v>
      </c>
      <c r="J3291" s="672" t="s">
        <v>9219</v>
      </c>
      <c r="K3291" s="672" t="s">
        <v>2354</v>
      </c>
      <c r="L3291" s="672" t="s">
        <v>9219</v>
      </c>
    </row>
    <row r="3292" spans="1:12" x14ac:dyDescent="0.2">
      <c r="A3292" s="672" t="s">
        <v>220</v>
      </c>
      <c r="B3292" s="672" t="s">
        <v>5430</v>
      </c>
      <c r="C3292" s="672" t="s">
        <v>6511</v>
      </c>
      <c r="D3292" s="672" t="s">
        <v>8819</v>
      </c>
      <c r="E3292" s="745"/>
      <c r="F3292" s="732">
        <v>5</v>
      </c>
      <c r="G3292" s="737">
        <v>17.102</v>
      </c>
      <c r="H3292" s="685">
        <v>85.51</v>
      </c>
      <c r="I3292" s="672" t="s">
        <v>9218</v>
      </c>
      <c r="J3292" s="672" t="s">
        <v>9219</v>
      </c>
      <c r="K3292" s="672" t="s">
        <v>2354</v>
      </c>
      <c r="L3292" s="672" t="s">
        <v>9219</v>
      </c>
    </row>
    <row r="3293" spans="1:12" x14ac:dyDescent="0.2">
      <c r="A3293" s="672" t="s">
        <v>220</v>
      </c>
      <c r="B3293" s="672" t="s">
        <v>5430</v>
      </c>
      <c r="C3293" s="672" t="s">
        <v>6513</v>
      </c>
      <c r="D3293" s="672" t="s">
        <v>6514</v>
      </c>
      <c r="E3293" s="745"/>
      <c r="F3293" s="732">
        <v>6</v>
      </c>
      <c r="G3293" s="737">
        <v>24.225000000000001</v>
      </c>
      <c r="H3293" s="685">
        <v>145.35000000000002</v>
      </c>
      <c r="I3293" s="672" t="s">
        <v>9218</v>
      </c>
      <c r="J3293" s="672" t="s">
        <v>9219</v>
      </c>
      <c r="K3293" s="672" t="s">
        <v>2354</v>
      </c>
      <c r="L3293" s="672" t="s">
        <v>9219</v>
      </c>
    </row>
    <row r="3294" spans="1:12" x14ac:dyDescent="0.2">
      <c r="A3294" s="672" t="s">
        <v>220</v>
      </c>
      <c r="B3294" s="672" t="s">
        <v>5430</v>
      </c>
      <c r="C3294" s="672" t="s">
        <v>6515</v>
      </c>
      <c r="D3294" s="672" t="s">
        <v>6516</v>
      </c>
      <c r="E3294" s="745"/>
      <c r="F3294" s="732">
        <v>8</v>
      </c>
      <c r="G3294" s="737">
        <v>8.6739999999999995</v>
      </c>
      <c r="H3294" s="685">
        <v>69.391999999999996</v>
      </c>
      <c r="I3294" s="672" t="s">
        <v>9218</v>
      </c>
      <c r="J3294" s="672" t="s">
        <v>9219</v>
      </c>
      <c r="K3294" s="672" t="s">
        <v>2354</v>
      </c>
      <c r="L3294" s="672" t="s">
        <v>9219</v>
      </c>
    </row>
    <row r="3295" spans="1:12" x14ac:dyDescent="0.2">
      <c r="A3295" s="672" t="s">
        <v>220</v>
      </c>
      <c r="B3295" s="672" t="s">
        <v>5430</v>
      </c>
      <c r="C3295" s="672" t="s">
        <v>3595</v>
      </c>
      <c r="D3295" s="672" t="s">
        <v>3596</v>
      </c>
      <c r="E3295" s="745"/>
      <c r="F3295" s="732">
        <v>4</v>
      </c>
      <c r="G3295" s="737">
        <v>3.2980000000000005</v>
      </c>
      <c r="H3295" s="685">
        <v>13.192000000000002</v>
      </c>
      <c r="I3295" s="672" t="s">
        <v>9218</v>
      </c>
      <c r="J3295" s="672" t="s">
        <v>9219</v>
      </c>
      <c r="K3295" s="672" t="s">
        <v>2354</v>
      </c>
      <c r="L3295" s="672" t="s">
        <v>9219</v>
      </c>
    </row>
    <row r="3296" spans="1:12" x14ac:dyDescent="0.2">
      <c r="A3296" s="672" t="s">
        <v>220</v>
      </c>
      <c r="B3296" s="672" t="s">
        <v>5430</v>
      </c>
      <c r="C3296" s="672" t="s">
        <v>3597</v>
      </c>
      <c r="D3296" s="672" t="s">
        <v>3598</v>
      </c>
      <c r="E3296" s="745"/>
      <c r="F3296" s="732">
        <v>6</v>
      </c>
      <c r="G3296" s="737">
        <v>3.077</v>
      </c>
      <c r="H3296" s="685">
        <v>18.462</v>
      </c>
      <c r="I3296" s="672" t="s">
        <v>9218</v>
      </c>
      <c r="J3296" s="672" t="s">
        <v>9219</v>
      </c>
      <c r="K3296" s="672" t="s">
        <v>2354</v>
      </c>
      <c r="L3296" s="672" t="s">
        <v>9219</v>
      </c>
    </row>
    <row r="3297" spans="1:12" x14ac:dyDescent="0.2">
      <c r="A3297" s="672" t="s">
        <v>220</v>
      </c>
      <c r="B3297" s="672" t="s">
        <v>5430</v>
      </c>
      <c r="C3297" s="672" t="s">
        <v>3599</v>
      </c>
      <c r="D3297" s="672" t="s">
        <v>3600</v>
      </c>
      <c r="E3297" s="745"/>
      <c r="F3297" s="732">
        <v>3</v>
      </c>
      <c r="G3297" s="737">
        <v>3.8130000000000002</v>
      </c>
      <c r="H3297" s="685">
        <v>11.439</v>
      </c>
      <c r="I3297" s="672" t="s">
        <v>9218</v>
      </c>
      <c r="J3297" s="672" t="s">
        <v>9219</v>
      </c>
      <c r="K3297" s="672" t="s">
        <v>2354</v>
      </c>
      <c r="L3297" s="672" t="s">
        <v>9219</v>
      </c>
    </row>
    <row r="3298" spans="1:12" x14ac:dyDescent="0.2">
      <c r="A3298" s="672" t="s">
        <v>220</v>
      </c>
      <c r="B3298" s="672" t="s">
        <v>5430</v>
      </c>
      <c r="C3298" s="672" t="s">
        <v>6519</v>
      </c>
      <c r="D3298" s="672" t="s">
        <v>8820</v>
      </c>
      <c r="E3298" s="745"/>
      <c r="F3298" s="732">
        <v>1</v>
      </c>
      <c r="G3298" s="737">
        <v>72.22</v>
      </c>
      <c r="H3298" s="685">
        <v>72.22</v>
      </c>
      <c r="I3298" s="672" t="s">
        <v>9218</v>
      </c>
      <c r="J3298" s="672" t="s">
        <v>9219</v>
      </c>
      <c r="K3298" s="672" t="s">
        <v>2354</v>
      </c>
      <c r="L3298" s="672" t="s">
        <v>9219</v>
      </c>
    </row>
    <row r="3299" spans="1:12" x14ac:dyDescent="0.2">
      <c r="A3299" s="672" t="s">
        <v>220</v>
      </c>
      <c r="B3299" s="672" t="s">
        <v>5430</v>
      </c>
      <c r="C3299" s="672" t="s">
        <v>2440</v>
      </c>
      <c r="D3299" s="672" t="s">
        <v>6521</v>
      </c>
      <c r="E3299" s="745"/>
      <c r="F3299" s="732">
        <v>6</v>
      </c>
      <c r="G3299" s="737">
        <v>2.6179999999999999</v>
      </c>
      <c r="H3299" s="685">
        <v>15.707999999999998</v>
      </c>
      <c r="I3299" s="672" t="s">
        <v>9218</v>
      </c>
      <c r="J3299" s="672" t="s">
        <v>9219</v>
      </c>
      <c r="K3299" s="672" t="s">
        <v>2354</v>
      </c>
      <c r="L3299" s="672" t="s">
        <v>9219</v>
      </c>
    </row>
    <row r="3300" spans="1:12" x14ac:dyDescent="0.2">
      <c r="A3300" s="672" t="s">
        <v>220</v>
      </c>
      <c r="B3300" s="672" t="s">
        <v>5430</v>
      </c>
      <c r="C3300" s="672" t="s">
        <v>6522</v>
      </c>
      <c r="D3300" s="672" t="s">
        <v>8821</v>
      </c>
      <c r="E3300" s="745"/>
      <c r="F3300" s="732">
        <v>4</v>
      </c>
      <c r="G3300" s="737">
        <v>12.813000000000001</v>
      </c>
      <c r="H3300" s="685">
        <v>51.252000000000002</v>
      </c>
      <c r="I3300" s="672" t="s">
        <v>9218</v>
      </c>
      <c r="J3300" s="672" t="s">
        <v>9219</v>
      </c>
      <c r="K3300" s="672" t="s">
        <v>2354</v>
      </c>
      <c r="L3300" s="672" t="s">
        <v>9219</v>
      </c>
    </row>
    <row r="3301" spans="1:12" x14ac:dyDescent="0.2">
      <c r="A3301" s="672" t="s">
        <v>220</v>
      </c>
      <c r="B3301" s="672" t="s">
        <v>5430</v>
      </c>
      <c r="C3301" s="672" t="s">
        <v>6524</v>
      </c>
      <c r="D3301" s="672" t="s">
        <v>6525</v>
      </c>
      <c r="E3301" s="745"/>
      <c r="F3301" s="732">
        <v>6</v>
      </c>
      <c r="G3301" s="737">
        <v>31.875</v>
      </c>
      <c r="H3301" s="685">
        <v>191.25</v>
      </c>
      <c r="I3301" s="672" t="s">
        <v>9218</v>
      </c>
      <c r="J3301" s="672" t="s">
        <v>9219</v>
      </c>
      <c r="K3301" s="672" t="s">
        <v>2354</v>
      </c>
      <c r="L3301" s="672" t="s">
        <v>9219</v>
      </c>
    </row>
    <row r="3302" spans="1:12" x14ac:dyDescent="0.2">
      <c r="A3302" s="672" t="s">
        <v>220</v>
      </c>
      <c r="B3302" s="672" t="s">
        <v>5430</v>
      </c>
      <c r="C3302" s="672" t="s">
        <v>6526</v>
      </c>
      <c r="D3302" s="672" t="s">
        <v>6527</v>
      </c>
      <c r="E3302" s="745"/>
      <c r="F3302" s="732">
        <v>3</v>
      </c>
      <c r="G3302" s="737">
        <v>4.7240000000000002</v>
      </c>
      <c r="H3302" s="685">
        <v>14.172000000000001</v>
      </c>
      <c r="I3302" s="672" t="s">
        <v>9218</v>
      </c>
      <c r="J3302" s="672" t="s">
        <v>9219</v>
      </c>
      <c r="K3302" s="672" t="s">
        <v>2354</v>
      </c>
      <c r="L3302" s="672" t="s">
        <v>9219</v>
      </c>
    </row>
    <row r="3303" spans="1:12" x14ac:dyDescent="0.2">
      <c r="A3303" s="672" t="s">
        <v>220</v>
      </c>
      <c r="B3303" s="672" t="s">
        <v>5430</v>
      </c>
      <c r="C3303" s="672" t="s">
        <v>6528</v>
      </c>
      <c r="D3303" s="672" t="s">
        <v>8822</v>
      </c>
      <c r="E3303" s="745"/>
      <c r="F3303" s="732">
        <v>2</v>
      </c>
      <c r="G3303" s="737">
        <v>23.387</v>
      </c>
      <c r="H3303" s="685">
        <v>46.774000000000001</v>
      </c>
      <c r="I3303" s="672" t="s">
        <v>9218</v>
      </c>
      <c r="J3303" s="672" t="s">
        <v>9219</v>
      </c>
      <c r="K3303" s="672" t="s">
        <v>2354</v>
      </c>
      <c r="L3303" s="672" t="s">
        <v>9219</v>
      </c>
    </row>
    <row r="3304" spans="1:12" x14ac:dyDescent="0.2">
      <c r="A3304" s="672" t="s">
        <v>220</v>
      </c>
      <c r="B3304" s="672" t="s">
        <v>5430</v>
      </c>
      <c r="C3304" s="672" t="s">
        <v>6530</v>
      </c>
      <c r="D3304" s="672" t="s">
        <v>8823</v>
      </c>
      <c r="E3304" s="745"/>
      <c r="F3304" s="732">
        <v>5</v>
      </c>
      <c r="G3304" s="737">
        <v>0</v>
      </c>
      <c r="H3304" s="685">
        <v>0</v>
      </c>
      <c r="I3304" s="672" t="s">
        <v>9218</v>
      </c>
      <c r="J3304" s="672" t="s">
        <v>9219</v>
      </c>
      <c r="K3304" s="672" t="s">
        <v>2354</v>
      </c>
      <c r="L3304" s="672" t="s">
        <v>9219</v>
      </c>
    </row>
    <row r="3305" spans="1:12" x14ac:dyDescent="0.2">
      <c r="A3305" s="672" t="s">
        <v>220</v>
      </c>
      <c r="B3305" s="672" t="s">
        <v>5430</v>
      </c>
      <c r="C3305" s="672" t="s">
        <v>8824</v>
      </c>
      <c r="D3305" s="672" t="s">
        <v>8825</v>
      </c>
      <c r="E3305" s="745"/>
      <c r="F3305" s="732">
        <v>4</v>
      </c>
      <c r="G3305" s="737">
        <v>5.3129999999999997</v>
      </c>
      <c r="H3305" s="685">
        <v>21.251999999999999</v>
      </c>
      <c r="I3305" s="672" t="s">
        <v>9218</v>
      </c>
      <c r="J3305" s="672" t="s">
        <v>9219</v>
      </c>
      <c r="K3305" s="672" t="s">
        <v>2354</v>
      </c>
      <c r="L3305" s="672" t="s">
        <v>9219</v>
      </c>
    </row>
    <row r="3306" spans="1:12" x14ac:dyDescent="0.2">
      <c r="A3306" s="672" t="s">
        <v>220</v>
      </c>
      <c r="B3306" s="672" t="s">
        <v>5430</v>
      </c>
      <c r="C3306" s="672" t="s">
        <v>2433</v>
      </c>
      <c r="D3306" s="672" t="s">
        <v>8826</v>
      </c>
      <c r="E3306" s="745"/>
      <c r="F3306" s="732">
        <v>2</v>
      </c>
      <c r="G3306" s="737">
        <v>5.5419999999999998</v>
      </c>
      <c r="H3306" s="685">
        <v>11.084</v>
      </c>
      <c r="I3306" s="672" t="s">
        <v>9218</v>
      </c>
      <c r="J3306" s="672" t="s">
        <v>9219</v>
      </c>
      <c r="K3306" s="672" t="s">
        <v>2354</v>
      </c>
      <c r="L3306" s="672" t="s">
        <v>9219</v>
      </c>
    </row>
    <row r="3307" spans="1:12" x14ac:dyDescent="0.2">
      <c r="A3307" s="672" t="s">
        <v>220</v>
      </c>
      <c r="B3307" s="672" t="s">
        <v>5430</v>
      </c>
      <c r="C3307" s="672" t="s">
        <v>6547</v>
      </c>
      <c r="D3307" s="672" t="s">
        <v>8835</v>
      </c>
      <c r="E3307" s="745"/>
      <c r="F3307" s="732">
        <v>2</v>
      </c>
      <c r="G3307" s="737">
        <v>34.295000000000002</v>
      </c>
      <c r="H3307" s="685">
        <v>68.59</v>
      </c>
      <c r="I3307" s="672" t="s">
        <v>9218</v>
      </c>
      <c r="J3307" s="672" t="s">
        <v>9219</v>
      </c>
      <c r="K3307" s="672" t="s">
        <v>2354</v>
      </c>
      <c r="L3307" s="672" t="s">
        <v>9219</v>
      </c>
    </row>
    <row r="3308" spans="1:12" x14ac:dyDescent="0.2">
      <c r="A3308" s="672" t="s">
        <v>220</v>
      </c>
      <c r="B3308" s="672" t="s">
        <v>5430</v>
      </c>
      <c r="C3308" s="672" t="s">
        <v>8836</v>
      </c>
      <c r="D3308" s="672" t="s">
        <v>8837</v>
      </c>
      <c r="E3308" s="745"/>
      <c r="F3308" s="732">
        <v>6</v>
      </c>
      <c r="G3308" s="737">
        <v>133.22499999999999</v>
      </c>
      <c r="H3308" s="685">
        <v>799.34999999999991</v>
      </c>
      <c r="I3308" s="672" t="s">
        <v>9218</v>
      </c>
      <c r="J3308" s="672" t="s">
        <v>9219</v>
      </c>
      <c r="K3308" s="672" t="s">
        <v>2354</v>
      </c>
      <c r="L3308" s="672" t="s">
        <v>9219</v>
      </c>
    </row>
    <row r="3309" spans="1:12" x14ac:dyDescent="0.2">
      <c r="A3309" s="672" t="s">
        <v>220</v>
      </c>
      <c r="B3309" s="672" t="s">
        <v>5430</v>
      </c>
      <c r="C3309" s="672" t="s">
        <v>6555</v>
      </c>
      <c r="D3309" s="672" t="s">
        <v>8840</v>
      </c>
      <c r="E3309" s="745"/>
      <c r="F3309" s="732">
        <v>4</v>
      </c>
      <c r="G3309" s="737">
        <v>36.270000000000003</v>
      </c>
      <c r="H3309" s="685">
        <v>145.08000000000001</v>
      </c>
      <c r="I3309" s="672" t="s">
        <v>9218</v>
      </c>
      <c r="J3309" s="672" t="s">
        <v>9219</v>
      </c>
      <c r="K3309" s="672" t="s">
        <v>2354</v>
      </c>
      <c r="L3309" s="672" t="s">
        <v>9219</v>
      </c>
    </row>
    <row r="3310" spans="1:12" x14ac:dyDescent="0.2">
      <c r="A3310" s="672" t="s">
        <v>220</v>
      </c>
      <c r="B3310" s="672" t="s">
        <v>5430</v>
      </c>
      <c r="C3310" s="672" t="s">
        <v>6557</v>
      </c>
      <c r="D3310" s="672" t="s">
        <v>8841</v>
      </c>
      <c r="E3310" s="745"/>
      <c r="F3310" s="732">
        <v>4</v>
      </c>
      <c r="G3310" s="737">
        <v>36.799999999999997</v>
      </c>
      <c r="H3310" s="685">
        <v>147.19999999999999</v>
      </c>
      <c r="I3310" s="672" t="s">
        <v>9218</v>
      </c>
      <c r="J3310" s="672" t="s">
        <v>9219</v>
      </c>
      <c r="K3310" s="672" t="s">
        <v>2354</v>
      </c>
      <c r="L3310" s="672" t="s">
        <v>9219</v>
      </c>
    </row>
    <row r="3311" spans="1:12" x14ac:dyDescent="0.2">
      <c r="A3311" s="672" t="s">
        <v>220</v>
      </c>
      <c r="B3311" s="672" t="s">
        <v>5430</v>
      </c>
      <c r="C3311" s="672" t="s">
        <v>2407</v>
      </c>
      <c r="D3311" s="672" t="s">
        <v>8842</v>
      </c>
      <c r="E3311" s="745"/>
      <c r="F3311" s="732">
        <v>2</v>
      </c>
      <c r="G3311" s="737">
        <v>19.8</v>
      </c>
      <c r="H3311" s="685">
        <v>39.6</v>
      </c>
      <c r="I3311" s="672" t="s">
        <v>9218</v>
      </c>
      <c r="J3311" s="672" t="s">
        <v>9219</v>
      </c>
      <c r="K3311" s="672" t="s">
        <v>2354</v>
      </c>
      <c r="L3311" s="672" t="s">
        <v>9219</v>
      </c>
    </row>
    <row r="3312" spans="1:12" x14ac:dyDescent="0.2">
      <c r="A3312" s="672" t="s">
        <v>220</v>
      </c>
      <c r="B3312" s="672" t="s">
        <v>5430</v>
      </c>
      <c r="C3312" s="672" t="s">
        <v>6559</v>
      </c>
      <c r="D3312" s="672" t="s">
        <v>8843</v>
      </c>
      <c r="E3312" s="745"/>
      <c r="F3312" s="732">
        <v>2</v>
      </c>
      <c r="G3312" s="737">
        <v>16.751999999999999</v>
      </c>
      <c r="H3312" s="685">
        <v>33.503999999999998</v>
      </c>
      <c r="I3312" s="672" t="s">
        <v>9218</v>
      </c>
      <c r="J3312" s="672" t="s">
        <v>9219</v>
      </c>
      <c r="K3312" s="672" t="s">
        <v>2354</v>
      </c>
      <c r="L3312" s="672" t="s">
        <v>9219</v>
      </c>
    </row>
    <row r="3313" spans="1:12" x14ac:dyDescent="0.2">
      <c r="A3313" s="672" t="s">
        <v>220</v>
      </c>
      <c r="B3313" s="672" t="s">
        <v>5430</v>
      </c>
      <c r="C3313" s="672" t="s">
        <v>3637</v>
      </c>
      <c r="D3313" s="672" t="s">
        <v>8844</v>
      </c>
      <c r="E3313" s="745"/>
      <c r="F3313" s="732">
        <v>4</v>
      </c>
      <c r="G3313" s="737">
        <v>1.6830000000000001</v>
      </c>
      <c r="H3313" s="685">
        <v>6.7320000000000002</v>
      </c>
      <c r="I3313" s="672" t="s">
        <v>9218</v>
      </c>
      <c r="J3313" s="672" t="s">
        <v>9219</v>
      </c>
      <c r="K3313" s="672" t="s">
        <v>2354</v>
      </c>
      <c r="L3313" s="672" t="s">
        <v>9219</v>
      </c>
    </row>
    <row r="3314" spans="1:12" x14ac:dyDescent="0.2">
      <c r="A3314" s="672" t="s">
        <v>220</v>
      </c>
      <c r="B3314" s="672" t="s">
        <v>5430</v>
      </c>
      <c r="C3314" s="672" t="s">
        <v>3639</v>
      </c>
      <c r="D3314" s="672" t="s">
        <v>3640</v>
      </c>
      <c r="E3314" s="745"/>
      <c r="F3314" s="732">
        <v>8</v>
      </c>
      <c r="G3314" s="737">
        <v>1.9935000000000003</v>
      </c>
      <c r="H3314" s="685">
        <v>15.948000000000002</v>
      </c>
      <c r="I3314" s="672" t="s">
        <v>9218</v>
      </c>
      <c r="J3314" s="672" t="s">
        <v>9219</v>
      </c>
      <c r="K3314" s="672" t="s">
        <v>2354</v>
      </c>
      <c r="L3314" s="672" t="s">
        <v>9219</v>
      </c>
    </row>
    <row r="3315" spans="1:12" x14ac:dyDescent="0.2">
      <c r="A3315" s="672" t="s">
        <v>220</v>
      </c>
      <c r="B3315" s="672" t="s">
        <v>5430</v>
      </c>
      <c r="C3315" s="672" t="s">
        <v>3641</v>
      </c>
      <c r="D3315" s="672" t="s">
        <v>3642</v>
      </c>
      <c r="E3315" s="745"/>
      <c r="F3315" s="732">
        <v>10</v>
      </c>
      <c r="G3315" s="737">
        <v>2.8834363636363638</v>
      </c>
      <c r="H3315" s="685">
        <v>28.834363636363637</v>
      </c>
      <c r="I3315" s="672" t="s">
        <v>9218</v>
      </c>
      <c r="J3315" s="672" t="s">
        <v>9219</v>
      </c>
      <c r="K3315" s="672" t="s">
        <v>2354</v>
      </c>
      <c r="L3315" s="672" t="s">
        <v>9219</v>
      </c>
    </row>
    <row r="3316" spans="1:12" x14ac:dyDescent="0.2">
      <c r="A3316" s="672" t="s">
        <v>220</v>
      </c>
      <c r="B3316" s="672" t="s">
        <v>5430</v>
      </c>
      <c r="C3316" s="672" t="s">
        <v>3645</v>
      </c>
      <c r="D3316" s="672" t="s">
        <v>8845</v>
      </c>
      <c r="E3316" s="745"/>
      <c r="F3316" s="732">
        <v>2</v>
      </c>
      <c r="G3316" s="737">
        <v>4.5022500000000001</v>
      </c>
      <c r="H3316" s="685">
        <v>9.0045000000000002</v>
      </c>
      <c r="I3316" s="672" t="s">
        <v>9218</v>
      </c>
      <c r="J3316" s="672" t="s">
        <v>9219</v>
      </c>
      <c r="K3316" s="672" t="s">
        <v>2354</v>
      </c>
      <c r="L3316" s="672" t="s">
        <v>9219</v>
      </c>
    </row>
    <row r="3317" spans="1:12" x14ac:dyDescent="0.2">
      <c r="A3317" s="672" t="s">
        <v>220</v>
      </c>
      <c r="B3317" s="672" t="s">
        <v>5430</v>
      </c>
      <c r="C3317" s="672" t="s">
        <v>3647</v>
      </c>
      <c r="D3317" s="672" t="s">
        <v>8846</v>
      </c>
      <c r="E3317" s="745"/>
      <c r="F3317" s="732">
        <v>1</v>
      </c>
      <c r="G3317" s="737">
        <v>9.7188999999999997</v>
      </c>
      <c r="H3317" s="685">
        <v>9.7188999999999997</v>
      </c>
      <c r="I3317" s="672" t="s">
        <v>9218</v>
      </c>
      <c r="J3317" s="672" t="s">
        <v>9219</v>
      </c>
      <c r="K3317" s="672" t="s">
        <v>2354</v>
      </c>
      <c r="L3317" s="672" t="s">
        <v>9219</v>
      </c>
    </row>
    <row r="3318" spans="1:12" x14ac:dyDescent="0.2">
      <c r="A3318" s="672" t="s">
        <v>220</v>
      </c>
      <c r="B3318" s="672" t="s">
        <v>5430</v>
      </c>
      <c r="C3318" s="672" t="s">
        <v>3649</v>
      </c>
      <c r="D3318" s="672" t="s">
        <v>3650</v>
      </c>
      <c r="E3318" s="745"/>
      <c r="F3318" s="732">
        <v>4</v>
      </c>
      <c r="G3318" s="737">
        <v>4.93</v>
      </c>
      <c r="H3318" s="685">
        <v>19.72</v>
      </c>
      <c r="I3318" s="672" t="s">
        <v>9218</v>
      </c>
      <c r="J3318" s="672" t="s">
        <v>9219</v>
      </c>
      <c r="K3318" s="672" t="s">
        <v>2354</v>
      </c>
      <c r="L3318" s="672" t="s">
        <v>9219</v>
      </c>
    </row>
    <row r="3319" spans="1:12" x14ac:dyDescent="0.2">
      <c r="A3319" s="672" t="s">
        <v>220</v>
      </c>
      <c r="B3319" s="672" t="s">
        <v>5430</v>
      </c>
      <c r="C3319" s="672" t="s">
        <v>3655</v>
      </c>
      <c r="D3319" s="672" t="s">
        <v>3656</v>
      </c>
      <c r="E3319" s="745"/>
      <c r="F3319" s="732">
        <v>3</v>
      </c>
      <c r="G3319" s="737">
        <v>3.6</v>
      </c>
      <c r="H3319" s="685">
        <v>10.8</v>
      </c>
      <c r="I3319" s="672" t="s">
        <v>9218</v>
      </c>
      <c r="J3319" s="672" t="s">
        <v>9219</v>
      </c>
      <c r="K3319" s="672" t="s">
        <v>2354</v>
      </c>
      <c r="L3319" s="672" t="s">
        <v>9219</v>
      </c>
    </row>
    <row r="3320" spans="1:12" x14ac:dyDescent="0.2">
      <c r="A3320" s="672" t="s">
        <v>220</v>
      </c>
      <c r="B3320" s="672" t="s">
        <v>5430</v>
      </c>
      <c r="C3320" s="672" t="s">
        <v>6563</v>
      </c>
      <c r="D3320" s="672" t="s">
        <v>8853</v>
      </c>
      <c r="E3320" s="745"/>
      <c r="F3320" s="732">
        <v>2</v>
      </c>
      <c r="G3320" s="737">
        <v>1.0920000000000001</v>
      </c>
      <c r="H3320" s="685">
        <v>2.1840000000000002</v>
      </c>
      <c r="I3320" s="672" t="s">
        <v>9218</v>
      </c>
      <c r="J3320" s="672" t="s">
        <v>9219</v>
      </c>
      <c r="K3320" s="672" t="s">
        <v>2354</v>
      </c>
      <c r="L3320" s="672" t="s">
        <v>9219</v>
      </c>
    </row>
    <row r="3321" spans="1:12" x14ac:dyDescent="0.2">
      <c r="A3321" s="672" t="s">
        <v>220</v>
      </c>
      <c r="B3321" s="672" t="s">
        <v>5430</v>
      </c>
      <c r="C3321" s="672" t="s">
        <v>3667</v>
      </c>
      <c r="D3321" s="672" t="s">
        <v>8854</v>
      </c>
      <c r="E3321" s="745"/>
      <c r="F3321" s="732">
        <v>4</v>
      </c>
      <c r="G3321" s="737">
        <v>1.472</v>
      </c>
      <c r="H3321" s="685">
        <v>5.8879999999999999</v>
      </c>
      <c r="I3321" s="672" t="s">
        <v>9218</v>
      </c>
      <c r="J3321" s="672" t="s">
        <v>9219</v>
      </c>
      <c r="K3321" s="672" t="s">
        <v>2354</v>
      </c>
      <c r="L3321" s="672" t="s">
        <v>9219</v>
      </c>
    </row>
    <row r="3322" spans="1:12" x14ac:dyDescent="0.2">
      <c r="A3322" s="672" t="s">
        <v>220</v>
      </c>
      <c r="B3322" s="672" t="s">
        <v>5430</v>
      </c>
      <c r="C3322" s="672" t="s">
        <v>6565</v>
      </c>
      <c r="D3322" s="672" t="s">
        <v>6566</v>
      </c>
      <c r="E3322" s="745"/>
      <c r="F3322" s="732">
        <v>6</v>
      </c>
      <c r="G3322" s="737">
        <v>7.6159999999999997</v>
      </c>
      <c r="H3322" s="685">
        <v>45.695999999999998</v>
      </c>
      <c r="I3322" s="672" t="s">
        <v>9218</v>
      </c>
      <c r="J3322" s="672" t="s">
        <v>9219</v>
      </c>
      <c r="K3322" s="672" t="s">
        <v>2354</v>
      </c>
      <c r="L3322" s="672" t="s">
        <v>9219</v>
      </c>
    </row>
    <row r="3323" spans="1:12" x14ac:dyDescent="0.2">
      <c r="A3323" s="672" t="s">
        <v>220</v>
      </c>
      <c r="B3323" s="672" t="s">
        <v>5430</v>
      </c>
      <c r="C3323" s="672" t="s">
        <v>6571</v>
      </c>
      <c r="D3323" s="672" t="s">
        <v>6572</v>
      </c>
      <c r="E3323" s="745"/>
      <c r="F3323" s="732">
        <v>4</v>
      </c>
      <c r="G3323" s="737">
        <v>1.361</v>
      </c>
      <c r="H3323" s="685">
        <v>5.444</v>
      </c>
      <c r="I3323" s="672" t="s">
        <v>9218</v>
      </c>
      <c r="J3323" s="672" t="s">
        <v>9219</v>
      </c>
      <c r="K3323" s="672" t="s">
        <v>2354</v>
      </c>
      <c r="L3323" s="672" t="s">
        <v>9219</v>
      </c>
    </row>
    <row r="3324" spans="1:12" x14ac:dyDescent="0.2">
      <c r="A3324" s="672" t="s">
        <v>220</v>
      </c>
      <c r="B3324" s="672" t="s">
        <v>5430</v>
      </c>
      <c r="C3324" s="672" t="s">
        <v>6573</v>
      </c>
      <c r="D3324" s="672" t="s">
        <v>6574</v>
      </c>
      <c r="E3324" s="745"/>
      <c r="F3324" s="732">
        <v>3</v>
      </c>
      <c r="G3324" s="737">
        <v>0.38300000000000001</v>
      </c>
      <c r="H3324" s="685">
        <v>1.149</v>
      </c>
      <c r="I3324" s="672" t="s">
        <v>9218</v>
      </c>
      <c r="J3324" s="672" t="s">
        <v>9219</v>
      </c>
      <c r="K3324" s="672" t="s">
        <v>2354</v>
      </c>
      <c r="L3324" s="672" t="s">
        <v>9219</v>
      </c>
    </row>
    <row r="3325" spans="1:12" x14ac:dyDescent="0.2">
      <c r="A3325" s="672" t="s">
        <v>220</v>
      </c>
      <c r="B3325" s="672" t="s">
        <v>5430</v>
      </c>
      <c r="C3325" s="672" t="s">
        <v>6575</v>
      </c>
      <c r="D3325" s="672" t="s">
        <v>8857</v>
      </c>
      <c r="E3325" s="745"/>
      <c r="F3325" s="732">
        <v>2</v>
      </c>
      <c r="G3325" s="737">
        <v>2.97</v>
      </c>
      <c r="H3325" s="685">
        <v>5.94</v>
      </c>
      <c r="I3325" s="672" t="s">
        <v>9218</v>
      </c>
      <c r="J3325" s="672" t="s">
        <v>9219</v>
      </c>
      <c r="K3325" s="672" t="s">
        <v>2354</v>
      </c>
      <c r="L3325" s="672" t="s">
        <v>9219</v>
      </c>
    </row>
    <row r="3326" spans="1:12" x14ac:dyDescent="0.2">
      <c r="A3326" s="672" t="s">
        <v>220</v>
      </c>
      <c r="B3326" s="672" t="s">
        <v>5430</v>
      </c>
      <c r="C3326" s="672" t="s">
        <v>3683</v>
      </c>
      <c r="D3326" s="672" t="s">
        <v>3684</v>
      </c>
      <c r="E3326" s="745"/>
      <c r="F3326" s="732">
        <v>4</v>
      </c>
      <c r="G3326" s="737">
        <v>2.0278500000000004</v>
      </c>
      <c r="H3326" s="685">
        <v>8.1114000000000015</v>
      </c>
      <c r="I3326" s="672" t="s">
        <v>9218</v>
      </c>
      <c r="J3326" s="672" t="s">
        <v>9219</v>
      </c>
      <c r="K3326" s="672" t="s">
        <v>2354</v>
      </c>
      <c r="L3326" s="672" t="s">
        <v>9219</v>
      </c>
    </row>
    <row r="3327" spans="1:12" x14ac:dyDescent="0.2">
      <c r="A3327" s="672" t="s">
        <v>220</v>
      </c>
      <c r="B3327" s="672" t="s">
        <v>5430</v>
      </c>
      <c r="C3327" s="672" t="s">
        <v>3687</v>
      </c>
      <c r="D3327" s="672" t="s">
        <v>8858</v>
      </c>
      <c r="E3327" s="745"/>
      <c r="F3327" s="732">
        <v>3</v>
      </c>
      <c r="G3327" s="737">
        <v>1.852153846153846</v>
      </c>
      <c r="H3327" s="685">
        <v>5.5564615384615381</v>
      </c>
      <c r="I3327" s="672" t="s">
        <v>9218</v>
      </c>
      <c r="J3327" s="672" t="s">
        <v>9219</v>
      </c>
      <c r="K3327" s="672" t="s">
        <v>2354</v>
      </c>
      <c r="L3327" s="672" t="s">
        <v>9219</v>
      </c>
    </row>
    <row r="3328" spans="1:12" x14ac:dyDescent="0.2">
      <c r="A3328" s="672" t="s">
        <v>220</v>
      </c>
      <c r="B3328" s="672" t="s">
        <v>5430</v>
      </c>
      <c r="C3328" s="672" t="s">
        <v>3689</v>
      </c>
      <c r="D3328" s="672" t="s">
        <v>8859</v>
      </c>
      <c r="E3328" s="745"/>
      <c r="F3328" s="732">
        <v>8</v>
      </c>
      <c r="G3328" s="737">
        <v>1.4553636363636364</v>
      </c>
      <c r="H3328" s="685">
        <v>11.642909090909091</v>
      </c>
      <c r="I3328" s="672" t="s">
        <v>9218</v>
      </c>
      <c r="J3328" s="672" t="s">
        <v>9219</v>
      </c>
      <c r="K3328" s="672" t="s">
        <v>2354</v>
      </c>
      <c r="L3328" s="672" t="s">
        <v>9219</v>
      </c>
    </row>
    <row r="3329" spans="1:12" x14ac:dyDescent="0.2">
      <c r="A3329" s="672" t="s">
        <v>220</v>
      </c>
      <c r="B3329" s="672" t="s">
        <v>5430</v>
      </c>
      <c r="C3329" s="672" t="s">
        <v>3691</v>
      </c>
      <c r="D3329" s="672" t="s">
        <v>3692</v>
      </c>
      <c r="E3329" s="745"/>
      <c r="F3329" s="732">
        <v>4</v>
      </c>
      <c r="G3329" s="737">
        <v>0.97240000000000004</v>
      </c>
      <c r="H3329" s="685">
        <v>3.8896000000000002</v>
      </c>
      <c r="I3329" s="672" t="s">
        <v>9218</v>
      </c>
      <c r="J3329" s="672" t="s">
        <v>9219</v>
      </c>
      <c r="K3329" s="672" t="s">
        <v>2354</v>
      </c>
      <c r="L3329" s="672" t="s">
        <v>9219</v>
      </c>
    </row>
    <row r="3330" spans="1:12" x14ac:dyDescent="0.2">
      <c r="A3330" s="672" t="s">
        <v>220</v>
      </c>
      <c r="B3330" s="672" t="s">
        <v>5430</v>
      </c>
      <c r="C3330" s="672" t="s">
        <v>3693</v>
      </c>
      <c r="D3330" s="672" t="s">
        <v>8860</v>
      </c>
      <c r="E3330" s="745"/>
      <c r="F3330" s="732">
        <v>6</v>
      </c>
      <c r="G3330" s="737">
        <v>2.7130000000000001</v>
      </c>
      <c r="H3330" s="685">
        <v>16.277999999999999</v>
      </c>
      <c r="I3330" s="672" t="s">
        <v>9218</v>
      </c>
      <c r="J3330" s="672" t="s">
        <v>9219</v>
      </c>
      <c r="K3330" s="672" t="s">
        <v>2354</v>
      </c>
      <c r="L3330" s="672" t="s">
        <v>9219</v>
      </c>
    </row>
    <row r="3331" spans="1:12" x14ac:dyDescent="0.2">
      <c r="A3331" s="672" t="s">
        <v>220</v>
      </c>
      <c r="B3331" s="672" t="s">
        <v>5430</v>
      </c>
      <c r="C3331" s="672" t="s">
        <v>6577</v>
      </c>
      <c r="D3331" s="672" t="s">
        <v>8861</v>
      </c>
      <c r="E3331" s="745"/>
      <c r="F3331" s="732">
        <v>2</v>
      </c>
      <c r="G3331" s="737">
        <v>1.234</v>
      </c>
      <c r="H3331" s="685">
        <v>2.468</v>
      </c>
      <c r="I3331" s="672" t="s">
        <v>9218</v>
      </c>
      <c r="J3331" s="672" t="s">
        <v>9219</v>
      </c>
      <c r="K3331" s="672" t="s">
        <v>2354</v>
      </c>
      <c r="L3331" s="672" t="s">
        <v>9219</v>
      </c>
    </row>
    <row r="3332" spans="1:12" x14ac:dyDescent="0.2">
      <c r="A3332" s="672" t="s">
        <v>220</v>
      </c>
      <c r="B3332" s="672" t="s">
        <v>5430</v>
      </c>
      <c r="C3332" s="672" t="s">
        <v>6581</v>
      </c>
      <c r="D3332" s="672" t="s">
        <v>6582</v>
      </c>
      <c r="E3332" s="745"/>
      <c r="F3332" s="732">
        <v>8</v>
      </c>
      <c r="G3332" s="737">
        <v>13.279</v>
      </c>
      <c r="H3332" s="685">
        <v>106.232</v>
      </c>
      <c r="I3332" s="672" t="s">
        <v>9218</v>
      </c>
      <c r="J3332" s="672" t="s">
        <v>9219</v>
      </c>
      <c r="K3332" s="672" t="s">
        <v>2354</v>
      </c>
      <c r="L3332" s="672" t="s">
        <v>9219</v>
      </c>
    </row>
    <row r="3333" spans="1:12" x14ac:dyDescent="0.2">
      <c r="A3333" s="672" t="s">
        <v>220</v>
      </c>
      <c r="B3333" s="672" t="s">
        <v>5430</v>
      </c>
      <c r="C3333" s="672" t="s">
        <v>6583</v>
      </c>
      <c r="D3333" s="672" t="s">
        <v>6584</v>
      </c>
      <c r="E3333" s="745"/>
      <c r="F3333" s="732">
        <v>2</v>
      </c>
      <c r="G3333" s="737">
        <v>3.7829999999999999</v>
      </c>
      <c r="H3333" s="685">
        <v>7.5659999999999998</v>
      </c>
      <c r="I3333" s="672" t="s">
        <v>9218</v>
      </c>
      <c r="J3333" s="672" t="s">
        <v>9219</v>
      </c>
      <c r="K3333" s="672" t="s">
        <v>2354</v>
      </c>
      <c r="L3333" s="672" t="s">
        <v>9219</v>
      </c>
    </row>
    <row r="3334" spans="1:12" x14ac:dyDescent="0.2">
      <c r="A3334" s="672" t="s">
        <v>220</v>
      </c>
      <c r="B3334" s="672" t="s">
        <v>5430</v>
      </c>
      <c r="C3334" s="672" t="s">
        <v>6585</v>
      </c>
      <c r="D3334" s="672" t="s">
        <v>6586</v>
      </c>
      <c r="E3334" s="745"/>
      <c r="F3334" s="732">
        <v>5</v>
      </c>
      <c r="G3334" s="737">
        <v>0.86699999999999999</v>
      </c>
      <c r="H3334" s="685">
        <v>4.335</v>
      </c>
      <c r="I3334" s="672" t="s">
        <v>9218</v>
      </c>
      <c r="J3334" s="672" t="s">
        <v>9219</v>
      </c>
      <c r="K3334" s="672" t="s">
        <v>2354</v>
      </c>
      <c r="L3334" s="672" t="s">
        <v>9219</v>
      </c>
    </row>
    <row r="3335" spans="1:12" x14ac:dyDescent="0.2">
      <c r="A3335" s="672" t="s">
        <v>220</v>
      </c>
      <c r="B3335" s="672" t="s">
        <v>5430</v>
      </c>
      <c r="C3335" s="672" t="s">
        <v>6587</v>
      </c>
      <c r="D3335" s="672" t="s">
        <v>6588</v>
      </c>
      <c r="E3335" s="745"/>
      <c r="F3335" s="732">
        <v>7</v>
      </c>
      <c r="G3335" s="737">
        <v>0.51</v>
      </c>
      <c r="H3335" s="685">
        <v>3.5700000000000003</v>
      </c>
      <c r="I3335" s="672" t="s">
        <v>9218</v>
      </c>
      <c r="J3335" s="672" t="s">
        <v>9219</v>
      </c>
      <c r="K3335" s="672" t="s">
        <v>2354</v>
      </c>
      <c r="L3335" s="672" t="s">
        <v>9219</v>
      </c>
    </row>
    <row r="3336" spans="1:12" x14ac:dyDescent="0.2">
      <c r="A3336" s="672" t="s">
        <v>220</v>
      </c>
      <c r="B3336" s="672" t="s">
        <v>5430</v>
      </c>
      <c r="C3336" s="672" t="s">
        <v>6589</v>
      </c>
      <c r="D3336" s="672" t="s">
        <v>6590</v>
      </c>
      <c r="E3336" s="745"/>
      <c r="F3336" s="732">
        <v>6</v>
      </c>
      <c r="G3336" s="737">
        <v>1.504</v>
      </c>
      <c r="H3336" s="685">
        <v>9.0240000000000009</v>
      </c>
      <c r="I3336" s="672" t="s">
        <v>9218</v>
      </c>
      <c r="J3336" s="672" t="s">
        <v>9219</v>
      </c>
      <c r="K3336" s="672" t="s">
        <v>2354</v>
      </c>
      <c r="L3336" s="672" t="s">
        <v>9219</v>
      </c>
    </row>
    <row r="3337" spans="1:12" x14ac:dyDescent="0.2">
      <c r="A3337" s="672" t="s">
        <v>220</v>
      </c>
      <c r="B3337" s="672" t="s">
        <v>5430</v>
      </c>
      <c r="C3337" s="672" t="s">
        <v>6591</v>
      </c>
      <c r="D3337" s="672" t="s">
        <v>8864</v>
      </c>
      <c r="E3337" s="745"/>
      <c r="F3337" s="732">
        <v>3</v>
      </c>
      <c r="G3337" s="737">
        <v>7.6470000000000002</v>
      </c>
      <c r="H3337" s="685">
        <v>22.941000000000003</v>
      </c>
      <c r="I3337" s="672" t="s">
        <v>9218</v>
      </c>
      <c r="J3337" s="672" t="s">
        <v>9219</v>
      </c>
      <c r="K3337" s="672" t="s">
        <v>2354</v>
      </c>
      <c r="L3337" s="672" t="s">
        <v>9219</v>
      </c>
    </row>
    <row r="3338" spans="1:12" x14ac:dyDescent="0.2">
      <c r="A3338" s="672" t="s">
        <v>220</v>
      </c>
      <c r="B3338" s="672" t="s">
        <v>5430</v>
      </c>
      <c r="C3338" s="672" t="s">
        <v>6593</v>
      </c>
      <c r="D3338" s="672" t="s">
        <v>6594</v>
      </c>
      <c r="E3338" s="745"/>
      <c r="F3338" s="732">
        <v>8</v>
      </c>
      <c r="G3338" s="737">
        <v>7.7549999999999999</v>
      </c>
      <c r="H3338" s="685">
        <v>62.04</v>
      </c>
      <c r="I3338" s="672" t="s">
        <v>9218</v>
      </c>
      <c r="J3338" s="672" t="s">
        <v>9219</v>
      </c>
      <c r="K3338" s="672" t="s">
        <v>2354</v>
      </c>
      <c r="L3338" s="672" t="s">
        <v>9219</v>
      </c>
    </row>
    <row r="3339" spans="1:12" x14ac:dyDescent="0.2">
      <c r="A3339" s="672" t="s">
        <v>220</v>
      </c>
      <c r="B3339" s="672" t="s">
        <v>5430</v>
      </c>
      <c r="C3339" s="672" t="s">
        <v>6595</v>
      </c>
      <c r="D3339" s="672" t="s">
        <v>6596</v>
      </c>
      <c r="E3339" s="745"/>
      <c r="F3339" s="732">
        <v>6</v>
      </c>
      <c r="G3339" s="737">
        <v>0.86699999999999999</v>
      </c>
      <c r="H3339" s="685">
        <v>5.202</v>
      </c>
      <c r="I3339" s="672" t="s">
        <v>9218</v>
      </c>
      <c r="J3339" s="672" t="s">
        <v>9219</v>
      </c>
      <c r="K3339" s="672" t="s">
        <v>2354</v>
      </c>
      <c r="L3339" s="672" t="s">
        <v>9219</v>
      </c>
    </row>
    <row r="3340" spans="1:12" x14ac:dyDescent="0.2">
      <c r="A3340" s="672" t="s">
        <v>220</v>
      </c>
      <c r="B3340" s="672" t="s">
        <v>5430</v>
      </c>
      <c r="C3340" s="672" t="s">
        <v>6597</v>
      </c>
      <c r="D3340" s="672" t="s">
        <v>8865</v>
      </c>
      <c r="E3340" s="745"/>
      <c r="F3340" s="732">
        <v>2</v>
      </c>
      <c r="G3340" s="737">
        <v>5.4480000000000004</v>
      </c>
      <c r="H3340" s="685">
        <v>10.896000000000001</v>
      </c>
      <c r="I3340" s="672" t="s">
        <v>9218</v>
      </c>
      <c r="J3340" s="672" t="s">
        <v>9219</v>
      </c>
      <c r="K3340" s="672" t="s">
        <v>2354</v>
      </c>
      <c r="L3340" s="672" t="s">
        <v>9219</v>
      </c>
    </row>
    <row r="3341" spans="1:12" x14ac:dyDescent="0.2">
      <c r="A3341" s="672" t="s">
        <v>220</v>
      </c>
      <c r="B3341" s="672" t="s">
        <v>5430</v>
      </c>
      <c r="C3341" s="672" t="s">
        <v>3739</v>
      </c>
      <c r="D3341" s="672" t="s">
        <v>8866</v>
      </c>
      <c r="E3341" s="745"/>
      <c r="F3341" s="732">
        <v>8</v>
      </c>
      <c r="G3341" s="737">
        <v>3.044</v>
      </c>
      <c r="H3341" s="685">
        <v>24.352</v>
      </c>
      <c r="I3341" s="672" t="s">
        <v>9218</v>
      </c>
      <c r="J3341" s="672" t="s">
        <v>9219</v>
      </c>
      <c r="K3341" s="672" t="s">
        <v>2354</v>
      </c>
      <c r="L3341" s="672" t="s">
        <v>9219</v>
      </c>
    </row>
    <row r="3342" spans="1:12" x14ac:dyDescent="0.2">
      <c r="A3342" s="672" t="s">
        <v>220</v>
      </c>
      <c r="B3342" s="672" t="s">
        <v>5430</v>
      </c>
      <c r="C3342" s="672" t="s">
        <v>3741</v>
      </c>
      <c r="D3342" s="672" t="s">
        <v>3742</v>
      </c>
      <c r="E3342" s="745"/>
      <c r="F3342" s="732">
        <v>6</v>
      </c>
      <c r="G3342" s="737">
        <v>2.4782999999999999</v>
      </c>
      <c r="H3342" s="685">
        <v>14.8698</v>
      </c>
      <c r="I3342" s="672" t="s">
        <v>9218</v>
      </c>
      <c r="J3342" s="672" t="s">
        <v>9219</v>
      </c>
      <c r="K3342" s="672" t="s">
        <v>2354</v>
      </c>
      <c r="L3342" s="672" t="s">
        <v>9219</v>
      </c>
    </row>
    <row r="3343" spans="1:12" x14ac:dyDescent="0.2">
      <c r="A3343" s="672" t="s">
        <v>220</v>
      </c>
      <c r="B3343" s="672" t="s">
        <v>5430</v>
      </c>
      <c r="C3343" s="672" t="s">
        <v>8871</v>
      </c>
      <c r="D3343" s="672" t="s">
        <v>8872</v>
      </c>
      <c r="E3343" s="745"/>
      <c r="F3343" s="732">
        <v>2</v>
      </c>
      <c r="G3343" s="737">
        <v>20.795000000000002</v>
      </c>
      <c r="H3343" s="685">
        <v>41.59</v>
      </c>
      <c r="I3343" s="672" t="s">
        <v>9218</v>
      </c>
      <c r="J3343" s="672" t="s">
        <v>9219</v>
      </c>
      <c r="K3343" s="672" t="s">
        <v>2354</v>
      </c>
      <c r="L3343" s="672" t="s">
        <v>9219</v>
      </c>
    </row>
    <row r="3344" spans="1:12" x14ac:dyDescent="0.2">
      <c r="A3344" s="672" t="s">
        <v>220</v>
      </c>
      <c r="B3344" s="672" t="s">
        <v>5430</v>
      </c>
      <c r="C3344" s="672" t="s">
        <v>8879</v>
      </c>
      <c r="D3344" s="672" t="s">
        <v>6616</v>
      </c>
      <c r="E3344" s="745"/>
      <c r="F3344" s="732">
        <v>1</v>
      </c>
      <c r="G3344" s="737">
        <v>4.41</v>
      </c>
      <c r="H3344" s="685">
        <v>4.41</v>
      </c>
      <c r="I3344" s="672" t="s">
        <v>9218</v>
      </c>
      <c r="J3344" s="672" t="s">
        <v>9219</v>
      </c>
      <c r="K3344" s="672" t="s">
        <v>2354</v>
      </c>
      <c r="L3344" s="672" t="s">
        <v>9219</v>
      </c>
    </row>
    <row r="3345" spans="1:12" x14ac:dyDescent="0.2">
      <c r="A3345" s="672" t="s">
        <v>220</v>
      </c>
      <c r="B3345" s="672" t="s">
        <v>5430</v>
      </c>
      <c r="C3345" s="672" t="s">
        <v>6619</v>
      </c>
      <c r="D3345" s="672" t="s">
        <v>6620</v>
      </c>
      <c r="E3345" s="745"/>
      <c r="F3345" s="732">
        <v>1</v>
      </c>
      <c r="G3345" s="737">
        <v>21.448</v>
      </c>
      <c r="H3345" s="685">
        <v>21.448</v>
      </c>
      <c r="I3345" s="672" t="s">
        <v>9218</v>
      </c>
      <c r="J3345" s="672" t="s">
        <v>9219</v>
      </c>
      <c r="K3345" s="672" t="s">
        <v>2354</v>
      </c>
      <c r="L3345" s="672" t="s">
        <v>9219</v>
      </c>
    </row>
    <row r="3346" spans="1:12" x14ac:dyDescent="0.2">
      <c r="A3346" s="672" t="s">
        <v>220</v>
      </c>
      <c r="B3346" s="672" t="s">
        <v>5430</v>
      </c>
      <c r="C3346" s="672" t="s">
        <v>8881</v>
      </c>
      <c r="D3346" s="672" t="s">
        <v>8882</v>
      </c>
      <c r="E3346" s="745"/>
      <c r="F3346" s="732">
        <v>6</v>
      </c>
      <c r="G3346" s="737">
        <v>8.9250000000000007</v>
      </c>
      <c r="H3346" s="685">
        <v>53.550000000000004</v>
      </c>
      <c r="I3346" s="672" t="s">
        <v>9218</v>
      </c>
      <c r="J3346" s="672" t="s">
        <v>9219</v>
      </c>
      <c r="K3346" s="672" t="s">
        <v>2354</v>
      </c>
      <c r="L3346" s="672" t="s">
        <v>9219</v>
      </c>
    </row>
    <row r="3347" spans="1:12" x14ac:dyDescent="0.2">
      <c r="A3347" s="672" t="s">
        <v>220</v>
      </c>
      <c r="B3347" s="672" t="s">
        <v>5430</v>
      </c>
      <c r="C3347" s="672" t="s">
        <v>3783</v>
      </c>
      <c r="D3347" s="672" t="s">
        <v>3784</v>
      </c>
      <c r="E3347" s="745"/>
      <c r="F3347" s="732">
        <v>2</v>
      </c>
      <c r="G3347" s="737">
        <v>72.319342105263146</v>
      </c>
      <c r="H3347" s="685">
        <v>144.63868421052629</v>
      </c>
      <c r="I3347" s="672" t="s">
        <v>9218</v>
      </c>
      <c r="J3347" s="672" t="s">
        <v>9219</v>
      </c>
      <c r="K3347" s="672" t="s">
        <v>2354</v>
      </c>
      <c r="L3347" s="672" t="s">
        <v>9219</v>
      </c>
    </row>
    <row r="3348" spans="1:12" x14ac:dyDescent="0.2">
      <c r="A3348" s="672" t="s">
        <v>220</v>
      </c>
      <c r="B3348" s="672" t="s">
        <v>5430</v>
      </c>
      <c r="C3348" s="672" t="s">
        <v>6623</v>
      </c>
      <c r="D3348" s="672" t="s">
        <v>6624</v>
      </c>
      <c r="E3348" s="745"/>
      <c r="F3348" s="732">
        <v>3</v>
      </c>
      <c r="G3348" s="737">
        <v>86.572999999999993</v>
      </c>
      <c r="H3348" s="685">
        <v>259.71899999999999</v>
      </c>
      <c r="I3348" s="672" t="s">
        <v>9218</v>
      </c>
      <c r="J3348" s="672" t="s">
        <v>9219</v>
      </c>
      <c r="K3348" s="672" t="s">
        <v>2354</v>
      </c>
      <c r="L3348" s="672" t="s">
        <v>9219</v>
      </c>
    </row>
    <row r="3349" spans="1:12" x14ac:dyDescent="0.2">
      <c r="A3349" s="672" t="s">
        <v>220</v>
      </c>
      <c r="B3349" s="672" t="s">
        <v>5430</v>
      </c>
      <c r="C3349" s="672" t="s">
        <v>6625</v>
      </c>
      <c r="D3349" s="672" t="s">
        <v>6626</v>
      </c>
      <c r="E3349" s="745"/>
      <c r="F3349" s="732">
        <v>4</v>
      </c>
      <c r="G3349" s="737">
        <v>88.498000000000005</v>
      </c>
      <c r="H3349" s="685">
        <v>353.99200000000002</v>
      </c>
      <c r="I3349" s="672" t="s">
        <v>9218</v>
      </c>
      <c r="J3349" s="672" t="s">
        <v>9219</v>
      </c>
      <c r="K3349" s="672" t="s">
        <v>2354</v>
      </c>
      <c r="L3349" s="672" t="s">
        <v>9219</v>
      </c>
    </row>
    <row r="3350" spans="1:12" x14ac:dyDescent="0.2">
      <c r="A3350" s="672" t="s">
        <v>220</v>
      </c>
      <c r="B3350" s="672" t="s">
        <v>5430</v>
      </c>
      <c r="C3350" s="672" t="s">
        <v>3785</v>
      </c>
      <c r="D3350" s="672" t="s">
        <v>3786</v>
      </c>
      <c r="E3350" s="745"/>
      <c r="F3350" s="732">
        <v>2</v>
      </c>
      <c r="G3350" s="737">
        <v>6.1020500000000002</v>
      </c>
      <c r="H3350" s="685">
        <v>12.2041</v>
      </c>
      <c r="I3350" s="672" t="s">
        <v>9218</v>
      </c>
      <c r="J3350" s="672" t="s">
        <v>9219</v>
      </c>
      <c r="K3350" s="672" t="s">
        <v>2354</v>
      </c>
      <c r="L3350" s="672" t="s">
        <v>9219</v>
      </c>
    </row>
    <row r="3351" spans="1:12" x14ac:dyDescent="0.2">
      <c r="A3351" s="672" t="s">
        <v>220</v>
      </c>
      <c r="B3351" s="672" t="s">
        <v>5430</v>
      </c>
      <c r="C3351" s="672" t="s">
        <v>6628</v>
      </c>
      <c r="D3351" s="672" t="s">
        <v>6629</v>
      </c>
      <c r="E3351" s="745"/>
      <c r="F3351" s="732">
        <v>2</v>
      </c>
      <c r="G3351" s="737">
        <v>9.8670000000000009</v>
      </c>
      <c r="H3351" s="685">
        <v>19.734000000000002</v>
      </c>
      <c r="I3351" s="672" t="s">
        <v>9218</v>
      </c>
      <c r="J3351" s="672" t="s">
        <v>9219</v>
      </c>
      <c r="K3351" s="672" t="s">
        <v>2354</v>
      </c>
      <c r="L3351" s="672" t="s">
        <v>9219</v>
      </c>
    </row>
    <row r="3352" spans="1:12" x14ac:dyDescent="0.2">
      <c r="A3352" s="672" t="s">
        <v>220</v>
      </c>
      <c r="B3352" s="672" t="s">
        <v>5430</v>
      </c>
      <c r="C3352" s="672" t="s">
        <v>6630</v>
      </c>
      <c r="D3352" s="672" t="s">
        <v>6631</v>
      </c>
      <c r="E3352" s="745"/>
      <c r="F3352" s="732">
        <v>6</v>
      </c>
      <c r="G3352" s="737">
        <v>23.82</v>
      </c>
      <c r="H3352" s="685">
        <v>142.92000000000002</v>
      </c>
      <c r="I3352" s="672" t="s">
        <v>9218</v>
      </c>
      <c r="J3352" s="672" t="s">
        <v>9219</v>
      </c>
      <c r="K3352" s="672" t="s">
        <v>2354</v>
      </c>
      <c r="L3352" s="672" t="s">
        <v>9219</v>
      </c>
    </row>
    <row r="3353" spans="1:12" x14ac:dyDescent="0.2">
      <c r="A3353" s="672" t="s">
        <v>220</v>
      </c>
      <c r="B3353" s="672" t="s">
        <v>5430</v>
      </c>
      <c r="C3353" s="672" t="s">
        <v>6632</v>
      </c>
      <c r="D3353" s="672" t="s">
        <v>6633</v>
      </c>
      <c r="E3353" s="745"/>
      <c r="F3353" s="732">
        <v>1</v>
      </c>
      <c r="G3353" s="737">
        <v>25.847999999999999</v>
      </c>
      <c r="H3353" s="685">
        <v>25.847999999999999</v>
      </c>
      <c r="I3353" s="672" t="s">
        <v>9218</v>
      </c>
      <c r="J3353" s="672" t="s">
        <v>9219</v>
      </c>
      <c r="K3353" s="672" t="s">
        <v>2354</v>
      </c>
      <c r="L3353" s="672" t="s">
        <v>9219</v>
      </c>
    </row>
    <row r="3354" spans="1:12" x14ac:dyDescent="0.2">
      <c r="A3354" s="672" t="s">
        <v>220</v>
      </c>
      <c r="B3354" s="672" t="s">
        <v>5430</v>
      </c>
      <c r="C3354" s="672" t="s">
        <v>3791</v>
      </c>
      <c r="D3354" s="672" t="s">
        <v>3792</v>
      </c>
      <c r="E3354" s="745"/>
      <c r="F3354" s="732">
        <v>1</v>
      </c>
      <c r="G3354" s="737">
        <v>35.191000000000003</v>
      </c>
      <c r="H3354" s="685">
        <v>35.191000000000003</v>
      </c>
      <c r="I3354" s="672" t="s">
        <v>9218</v>
      </c>
      <c r="J3354" s="672" t="s">
        <v>9219</v>
      </c>
      <c r="K3354" s="672" t="s">
        <v>2354</v>
      </c>
      <c r="L3354" s="672" t="s">
        <v>9219</v>
      </c>
    </row>
    <row r="3355" spans="1:12" x14ac:dyDescent="0.2">
      <c r="A3355" s="672" t="s">
        <v>220</v>
      </c>
      <c r="B3355" s="672" t="s">
        <v>5430</v>
      </c>
      <c r="C3355" s="672" t="s">
        <v>6696</v>
      </c>
      <c r="D3355" s="672" t="s">
        <v>6697</v>
      </c>
      <c r="E3355" s="745"/>
      <c r="F3355" s="732">
        <v>8</v>
      </c>
      <c r="G3355" s="737">
        <v>0.66</v>
      </c>
      <c r="H3355" s="685">
        <v>5.28</v>
      </c>
      <c r="I3355" s="672" t="s">
        <v>9218</v>
      </c>
      <c r="J3355" s="672" t="s">
        <v>9219</v>
      </c>
      <c r="K3355" s="672" t="s">
        <v>2354</v>
      </c>
      <c r="L3355" s="672" t="s">
        <v>9219</v>
      </c>
    </row>
    <row r="3356" spans="1:12" x14ac:dyDescent="0.2">
      <c r="A3356" s="672" t="s">
        <v>220</v>
      </c>
      <c r="B3356" s="672" t="s">
        <v>5430</v>
      </c>
      <c r="C3356" s="672" t="s">
        <v>8885</v>
      </c>
      <c r="D3356" s="672" t="s">
        <v>8886</v>
      </c>
      <c r="E3356" s="745"/>
      <c r="F3356" s="732">
        <v>1</v>
      </c>
      <c r="G3356" s="737">
        <v>208.67500000000001</v>
      </c>
      <c r="H3356" s="685">
        <v>208.67500000000001</v>
      </c>
      <c r="I3356" s="672" t="s">
        <v>9218</v>
      </c>
      <c r="J3356" s="672" t="s">
        <v>9219</v>
      </c>
      <c r="K3356" s="672" t="s">
        <v>2354</v>
      </c>
      <c r="L3356" s="672" t="s">
        <v>9219</v>
      </c>
    </row>
    <row r="3357" spans="1:12" x14ac:dyDescent="0.2">
      <c r="A3357" s="672" t="s">
        <v>220</v>
      </c>
      <c r="B3357" s="672" t="s">
        <v>5430</v>
      </c>
      <c r="C3357" s="672" t="s">
        <v>3939</v>
      </c>
      <c r="D3357" s="672" t="s">
        <v>3940</v>
      </c>
      <c r="E3357" s="745"/>
      <c r="F3357" s="732">
        <v>1</v>
      </c>
      <c r="G3357" s="737">
        <v>25.228000000000002</v>
      </c>
      <c r="H3357" s="685">
        <v>25.228000000000002</v>
      </c>
      <c r="I3357" s="672" t="s">
        <v>9218</v>
      </c>
      <c r="J3357" s="672" t="s">
        <v>9219</v>
      </c>
      <c r="K3357" s="672" t="s">
        <v>2354</v>
      </c>
      <c r="L3357" s="672" t="s">
        <v>9219</v>
      </c>
    </row>
    <row r="3358" spans="1:12" x14ac:dyDescent="0.2">
      <c r="A3358" s="672" t="s">
        <v>220</v>
      </c>
      <c r="B3358" s="672" t="s">
        <v>5430</v>
      </c>
      <c r="C3358" s="672" t="s">
        <v>7350</v>
      </c>
      <c r="D3358" s="672" t="s">
        <v>7351</v>
      </c>
      <c r="E3358" s="745"/>
      <c r="F3358" s="732">
        <v>3</v>
      </c>
      <c r="G3358" s="737">
        <v>6.0869999999999997</v>
      </c>
      <c r="H3358" s="685">
        <v>18.260999999999999</v>
      </c>
      <c r="I3358" s="672" t="s">
        <v>9218</v>
      </c>
      <c r="J3358" s="672" t="s">
        <v>9219</v>
      </c>
      <c r="K3358" s="672" t="s">
        <v>2354</v>
      </c>
      <c r="L3358" s="672" t="s">
        <v>9219</v>
      </c>
    </row>
    <row r="3359" spans="1:12" x14ac:dyDescent="0.2">
      <c r="A3359" s="672" t="s">
        <v>220</v>
      </c>
      <c r="B3359" s="672" t="s">
        <v>5430</v>
      </c>
      <c r="D3359" s="672" t="s">
        <v>9743</v>
      </c>
      <c r="E3359" s="745"/>
      <c r="F3359" s="732">
        <v>1</v>
      </c>
      <c r="G3359" s="737">
        <v>635.73900000000003</v>
      </c>
      <c r="H3359" s="685">
        <v>635.73900000000003</v>
      </c>
      <c r="I3359" s="672" t="s">
        <v>9218</v>
      </c>
      <c r="J3359" s="672" t="s">
        <v>9219</v>
      </c>
      <c r="K3359" s="672" t="s">
        <v>2354</v>
      </c>
      <c r="L3359" s="672" t="s">
        <v>9219</v>
      </c>
    </row>
    <row r="3360" spans="1:12" x14ac:dyDescent="0.2">
      <c r="A3360" s="672" t="s">
        <v>220</v>
      </c>
      <c r="B3360" s="672" t="s">
        <v>5430</v>
      </c>
      <c r="D3360" s="672" t="s">
        <v>8894</v>
      </c>
      <c r="E3360" s="745"/>
      <c r="F3360" s="732">
        <v>1</v>
      </c>
      <c r="G3360" s="737">
        <v>1868.001</v>
      </c>
      <c r="H3360" s="685">
        <v>1868.001</v>
      </c>
      <c r="I3360" s="672" t="s">
        <v>9218</v>
      </c>
      <c r="J3360" s="672" t="s">
        <v>9219</v>
      </c>
      <c r="K3360" s="672" t="s">
        <v>2354</v>
      </c>
      <c r="L3360" s="672" t="s">
        <v>9219</v>
      </c>
    </row>
    <row r="3361" spans="1:12" x14ac:dyDescent="0.2">
      <c r="A3361" s="672" t="s">
        <v>220</v>
      </c>
      <c r="B3361" s="672" t="s">
        <v>10381</v>
      </c>
      <c r="C3361" s="672" t="s">
        <v>672</v>
      </c>
      <c r="D3361" s="672" t="s">
        <v>10403</v>
      </c>
      <c r="E3361" s="745" t="s">
        <v>7560</v>
      </c>
      <c r="F3361" s="684">
        <v>392942</v>
      </c>
      <c r="G3361" s="685">
        <v>6.9852878972590444</v>
      </c>
      <c r="H3361" s="685">
        <v>2744812.9969247635</v>
      </c>
      <c r="I3361" s="686" t="s">
        <v>9009</v>
      </c>
      <c r="J3361" s="672" t="s">
        <v>9011</v>
      </c>
      <c r="K3361" s="672" t="s">
        <v>541</v>
      </c>
      <c r="L3361" s="672" t="s">
        <v>8994</v>
      </c>
    </row>
    <row r="3362" spans="1:12" x14ac:dyDescent="0.2">
      <c r="A3362" s="672" t="s">
        <v>220</v>
      </c>
      <c r="B3362" s="672" t="s">
        <v>2351</v>
      </c>
      <c r="D3362" s="672" t="s">
        <v>10144</v>
      </c>
      <c r="F3362" s="753">
        <v>5</v>
      </c>
      <c r="G3362" s="737">
        <v>0</v>
      </c>
      <c r="H3362" s="685">
        <v>0</v>
      </c>
      <c r="I3362" s="672" t="s">
        <v>9218</v>
      </c>
      <c r="J3362" s="672" t="s">
        <v>9219</v>
      </c>
      <c r="K3362" s="672" t="s">
        <v>2354</v>
      </c>
      <c r="L3362" s="672" t="s">
        <v>9219</v>
      </c>
    </row>
    <row r="3363" spans="1:12" x14ac:dyDescent="0.2">
      <c r="A3363" s="672" t="s">
        <v>220</v>
      </c>
      <c r="B3363" s="672" t="s">
        <v>2351</v>
      </c>
      <c r="C3363" s="672" t="s">
        <v>10404</v>
      </c>
      <c r="D3363" s="672" t="s">
        <v>10405</v>
      </c>
      <c r="F3363" s="753">
        <v>8</v>
      </c>
      <c r="G3363" s="737">
        <v>0</v>
      </c>
      <c r="H3363" s="685">
        <v>0</v>
      </c>
      <c r="I3363" s="672" t="s">
        <v>9218</v>
      </c>
      <c r="J3363" s="672" t="s">
        <v>9219</v>
      </c>
      <c r="K3363" s="672" t="s">
        <v>2354</v>
      </c>
      <c r="L3363" s="672" t="s">
        <v>9219</v>
      </c>
    </row>
    <row r="3364" spans="1:12" x14ac:dyDescent="0.2">
      <c r="A3364" s="672" t="s">
        <v>220</v>
      </c>
      <c r="B3364" s="672" t="s">
        <v>588</v>
      </c>
      <c r="C3364" s="672" t="s">
        <v>539</v>
      </c>
      <c r="D3364" s="672" t="s">
        <v>9036</v>
      </c>
      <c r="E3364" s="672" t="s">
        <v>535</v>
      </c>
      <c r="F3364" s="754">
        <v>20478</v>
      </c>
      <c r="G3364" s="685">
        <v>9.3358086797316187</v>
      </c>
      <c r="H3364" s="685">
        <v>191178.69014354408</v>
      </c>
      <c r="I3364" s="686" t="s">
        <v>9009</v>
      </c>
      <c r="J3364" s="672" t="s">
        <v>9011</v>
      </c>
      <c r="K3364" s="672" t="s">
        <v>541</v>
      </c>
      <c r="L3364" s="672" t="s">
        <v>8994</v>
      </c>
    </row>
    <row r="3365" spans="1:12" x14ac:dyDescent="0.2">
      <c r="A3365" s="672" t="s">
        <v>220</v>
      </c>
      <c r="B3365" s="672" t="s">
        <v>588</v>
      </c>
      <c r="C3365" s="744" t="s">
        <v>1332</v>
      </c>
      <c r="D3365" s="672" t="s">
        <v>10406</v>
      </c>
      <c r="E3365" s="672" t="s">
        <v>535</v>
      </c>
      <c r="F3365" s="755">
        <v>2000</v>
      </c>
      <c r="G3365" s="685">
        <v>0.35227740082912501</v>
      </c>
      <c r="H3365" s="685">
        <v>704.55480165824997</v>
      </c>
      <c r="I3365" s="686" t="s">
        <v>9009</v>
      </c>
      <c r="J3365" s="672" t="s">
        <v>10128</v>
      </c>
      <c r="K3365" s="672" t="s">
        <v>541</v>
      </c>
      <c r="L3365" s="672" t="s">
        <v>8996</v>
      </c>
    </row>
    <row r="3366" spans="1:12" x14ac:dyDescent="0.2">
      <c r="A3366" s="672" t="s">
        <v>220</v>
      </c>
      <c r="B3366" s="672" t="s">
        <v>588</v>
      </c>
      <c r="C3366" s="672" t="s">
        <v>7556</v>
      </c>
      <c r="D3366" s="672" t="s">
        <v>10406</v>
      </c>
      <c r="F3366" s="755">
        <v>972</v>
      </c>
      <c r="G3366" s="685">
        <v>0.39389999999999997</v>
      </c>
      <c r="H3366" s="685">
        <v>382.87079999999997</v>
      </c>
      <c r="I3366" s="686" t="s">
        <v>9009</v>
      </c>
      <c r="J3366" s="672" t="s">
        <v>10128</v>
      </c>
      <c r="K3366" s="672" t="s">
        <v>541</v>
      </c>
      <c r="L3366" s="672" t="s">
        <v>8996</v>
      </c>
    </row>
    <row r="3367" spans="1:12" x14ac:dyDescent="0.2">
      <c r="A3367" s="672" t="s">
        <v>220</v>
      </c>
      <c r="B3367" s="672" t="s">
        <v>10381</v>
      </c>
      <c r="C3367" s="672" t="s">
        <v>1520</v>
      </c>
      <c r="D3367" s="672" t="s">
        <v>1521</v>
      </c>
      <c r="E3367" s="672" t="s">
        <v>545</v>
      </c>
      <c r="F3367" s="755">
        <v>87</v>
      </c>
      <c r="G3367" s="685">
        <v>18.986640895230774</v>
      </c>
      <c r="H3367" s="685">
        <v>1651.8377578850773</v>
      </c>
      <c r="I3367" s="686" t="s">
        <v>9009</v>
      </c>
      <c r="J3367" s="672" t="s">
        <v>9147</v>
      </c>
      <c r="K3367" s="672" t="s">
        <v>541</v>
      </c>
      <c r="L3367" s="672" t="s">
        <v>8996</v>
      </c>
    </row>
    <row r="3368" spans="1:12" x14ac:dyDescent="0.2">
      <c r="A3368" s="672" t="s">
        <v>220</v>
      </c>
      <c r="B3368" s="672" t="s">
        <v>10381</v>
      </c>
      <c r="C3368" s="672" t="s">
        <v>10407</v>
      </c>
      <c r="D3368" s="672" t="s">
        <v>10408</v>
      </c>
      <c r="E3368" s="672" t="s">
        <v>545</v>
      </c>
      <c r="F3368" s="755">
        <v>5000</v>
      </c>
      <c r="G3368" s="685">
        <v>0.10100000000000001</v>
      </c>
      <c r="H3368" s="685">
        <v>505.00000000000006</v>
      </c>
      <c r="I3368" s="686" t="s">
        <v>9009</v>
      </c>
      <c r="J3368" s="672" t="s">
        <v>10128</v>
      </c>
      <c r="K3368" s="672" t="s">
        <v>541</v>
      </c>
      <c r="L3368" s="672" t="s">
        <v>8996</v>
      </c>
    </row>
    <row r="3369" spans="1:12" x14ac:dyDescent="0.2">
      <c r="A3369" s="672" t="s">
        <v>220</v>
      </c>
      <c r="B3369" s="672" t="s">
        <v>10381</v>
      </c>
      <c r="C3369" s="672" t="s">
        <v>10409</v>
      </c>
      <c r="D3369" s="672" t="s">
        <v>10410</v>
      </c>
      <c r="E3369" s="672" t="s">
        <v>545</v>
      </c>
      <c r="F3369" s="755">
        <v>5000</v>
      </c>
      <c r="G3369" s="685">
        <v>0.10100000000000001</v>
      </c>
      <c r="H3369" s="685">
        <v>505.00000000000006</v>
      </c>
      <c r="I3369" s="686" t="s">
        <v>9009</v>
      </c>
      <c r="J3369" s="672" t="s">
        <v>10128</v>
      </c>
      <c r="K3369" s="672" t="s">
        <v>541</v>
      </c>
      <c r="L3369" s="672" t="s">
        <v>8996</v>
      </c>
    </row>
    <row r="3370" spans="1:12" x14ac:dyDescent="0.2">
      <c r="A3370" s="672" t="s">
        <v>220</v>
      </c>
      <c r="B3370" s="672" t="s">
        <v>10381</v>
      </c>
      <c r="C3370" s="672" t="s">
        <v>10411</v>
      </c>
      <c r="D3370" s="672" t="s">
        <v>10406</v>
      </c>
      <c r="E3370" s="672" t="s">
        <v>545</v>
      </c>
      <c r="F3370" s="755">
        <v>260</v>
      </c>
      <c r="G3370" s="685">
        <v>0.42420000000000002</v>
      </c>
      <c r="H3370" s="685">
        <v>110.292</v>
      </c>
      <c r="I3370" s="686" t="s">
        <v>9009</v>
      </c>
      <c r="J3370" s="672" t="s">
        <v>10128</v>
      </c>
      <c r="K3370" s="672" t="s">
        <v>541</v>
      </c>
      <c r="L3370" s="672" t="s">
        <v>8996</v>
      </c>
    </row>
    <row r="3371" spans="1:12" x14ac:dyDescent="0.2">
      <c r="A3371" s="672" t="s">
        <v>220</v>
      </c>
      <c r="B3371" s="672" t="s">
        <v>10381</v>
      </c>
      <c r="C3371" s="672" t="s">
        <v>10412</v>
      </c>
      <c r="D3371" s="672" t="s">
        <v>10406</v>
      </c>
      <c r="E3371" s="672" t="s">
        <v>545</v>
      </c>
      <c r="F3371" s="755">
        <v>300</v>
      </c>
      <c r="G3371" s="685">
        <v>0.48985000000000001</v>
      </c>
      <c r="H3371" s="685">
        <v>146.95500000000001</v>
      </c>
      <c r="I3371" s="686" t="s">
        <v>9009</v>
      </c>
      <c r="J3371" s="672" t="s">
        <v>10128</v>
      </c>
      <c r="K3371" s="672" t="s">
        <v>541</v>
      </c>
      <c r="L3371" s="672" t="s">
        <v>8996</v>
      </c>
    </row>
    <row r="3372" spans="1:12" x14ac:dyDescent="0.2">
      <c r="A3372" s="672" t="s">
        <v>220</v>
      </c>
      <c r="B3372" s="672" t="s">
        <v>10381</v>
      </c>
      <c r="C3372" s="672" t="s">
        <v>1793</v>
      </c>
      <c r="D3372" s="672" t="s">
        <v>1794</v>
      </c>
      <c r="E3372" s="672" t="s">
        <v>545</v>
      </c>
      <c r="F3372" s="755">
        <v>900</v>
      </c>
      <c r="G3372" s="685">
        <v>0.1313</v>
      </c>
      <c r="H3372" s="685">
        <v>118.17</v>
      </c>
      <c r="I3372" s="686" t="s">
        <v>9009</v>
      </c>
      <c r="J3372" s="672" t="s">
        <v>10128</v>
      </c>
      <c r="K3372" s="672" t="s">
        <v>541</v>
      </c>
      <c r="L3372" s="672" t="s">
        <v>8996</v>
      </c>
    </row>
    <row r="3373" spans="1:12" x14ac:dyDescent="0.2">
      <c r="A3373" s="672" t="s">
        <v>220</v>
      </c>
      <c r="B3373" s="672" t="s">
        <v>10381</v>
      </c>
      <c r="C3373" s="672" t="s">
        <v>10413</v>
      </c>
      <c r="D3373" s="672" t="s">
        <v>10414</v>
      </c>
      <c r="E3373" s="672" t="s">
        <v>545</v>
      </c>
      <c r="F3373" s="755">
        <v>260</v>
      </c>
      <c r="G3373" s="685">
        <v>0.49995000000000001</v>
      </c>
      <c r="H3373" s="685">
        <v>129.98699999999999</v>
      </c>
      <c r="I3373" s="686" t="s">
        <v>9009</v>
      </c>
      <c r="J3373" s="672" t="s">
        <v>10128</v>
      </c>
      <c r="K3373" s="672" t="s">
        <v>541</v>
      </c>
      <c r="L3373" s="672" t="s">
        <v>8996</v>
      </c>
    </row>
    <row r="3374" spans="1:12" x14ac:dyDescent="0.2">
      <c r="A3374" s="672" t="s">
        <v>220</v>
      </c>
      <c r="B3374" s="672" t="s">
        <v>10381</v>
      </c>
      <c r="C3374" s="672" t="s">
        <v>10415</v>
      </c>
      <c r="D3374" s="672" t="s">
        <v>10416</v>
      </c>
      <c r="E3374" s="672" t="s">
        <v>545</v>
      </c>
      <c r="F3374" s="755">
        <v>300</v>
      </c>
      <c r="G3374" s="685">
        <v>0.53025</v>
      </c>
      <c r="H3374" s="685">
        <v>159.07499999999999</v>
      </c>
      <c r="I3374" s="686" t="s">
        <v>9009</v>
      </c>
      <c r="J3374" s="672" t="s">
        <v>10128</v>
      </c>
      <c r="K3374" s="672" t="s">
        <v>541</v>
      </c>
      <c r="L3374" s="672" t="s">
        <v>8996</v>
      </c>
    </row>
    <row r="3375" spans="1:12" x14ac:dyDescent="0.2">
      <c r="A3375" s="672" t="s">
        <v>220</v>
      </c>
      <c r="B3375" s="672" t="s">
        <v>10381</v>
      </c>
      <c r="C3375" s="672" t="s">
        <v>1238</v>
      </c>
      <c r="D3375" s="672" t="s">
        <v>1239</v>
      </c>
      <c r="E3375" s="672" t="s">
        <v>545</v>
      </c>
      <c r="F3375" s="755">
        <v>6900</v>
      </c>
      <c r="G3375" s="685">
        <v>0.21687749096545017</v>
      </c>
      <c r="H3375" s="685">
        <v>1496.4546876616062</v>
      </c>
      <c r="I3375" s="686" t="s">
        <v>9009</v>
      </c>
      <c r="J3375" s="672" t="s">
        <v>10128</v>
      </c>
      <c r="K3375" s="672" t="s">
        <v>541</v>
      </c>
      <c r="L3375" s="672" t="s">
        <v>8996</v>
      </c>
    </row>
    <row r="3376" spans="1:12" x14ac:dyDescent="0.2">
      <c r="A3376" s="672" t="s">
        <v>220</v>
      </c>
      <c r="B3376" s="672" t="s">
        <v>10381</v>
      </c>
      <c r="C3376" s="672" t="s">
        <v>10417</v>
      </c>
      <c r="D3376" s="672" t="s">
        <v>10418</v>
      </c>
      <c r="E3376" s="672" t="s">
        <v>545</v>
      </c>
      <c r="F3376" s="755">
        <v>3500</v>
      </c>
      <c r="G3376" s="685">
        <v>6.8229999999999999E-2</v>
      </c>
      <c r="H3376" s="685">
        <v>238.80500000000001</v>
      </c>
      <c r="I3376" s="686" t="s">
        <v>9009</v>
      </c>
      <c r="J3376" s="672" t="s">
        <v>10128</v>
      </c>
      <c r="K3376" s="672" t="s">
        <v>541</v>
      </c>
      <c r="L3376" s="672" t="s">
        <v>8996</v>
      </c>
    </row>
    <row r="3377" spans="1:12" x14ac:dyDescent="0.2">
      <c r="A3377" s="672" t="s">
        <v>220</v>
      </c>
      <c r="B3377" s="672" t="s">
        <v>10381</v>
      </c>
      <c r="C3377" s="672" t="s">
        <v>1250</v>
      </c>
      <c r="D3377" s="672" t="s">
        <v>1251</v>
      </c>
      <c r="E3377" s="672" t="s">
        <v>545</v>
      </c>
      <c r="F3377" s="755">
        <v>13920</v>
      </c>
      <c r="G3377" s="685">
        <v>0.58130166824100216</v>
      </c>
      <c r="H3377" s="685">
        <v>8091.7192219147501</v>
      </c>
      <c r="I3377" s="686" t="s">
        <v>9009</v>
      </c>
      <c r="J3377" s="672" t="s">
        <v>10128</v>
      </c>
      <c r="K3377" s="672" t="s">
        <v>541</v>
      </c>
      <c r="L3377" s="672" t="s">
        <v>8996</v>
      </c>
    </row>
    <row r="3378" spans="1:12" x14ac:dyDescent="0.2">
      <c r="A3378" s="672" t="s">
        <v>220</v>
      </c>
      <c r="B3378" s="672" t="s">
        <v>10381</v>
      </c>
      <c r="C3378" s="672" t="s">
        <v>9163</v>
      </c>
      <c r="D3378" s="672" t="s">
        <v>10419</v>
      </c>
      <c r="E3378" s="672" t="s">
        <v>545</v>
      </c>
      <c r="F3378" s="755">
        <v>500</v>
      </c>
      <c r="G3378" s="685">
        <v>0.30804999999999999</v>
      </c>
      <c r="H3378" s="685">
        <v>154.02500000000001</v>
      </c>
      <c r="I3378" s="686" t="s">
        <v>9009</v>
      </c>
      <c r="J3378" s="672" t="s">
        <v>10128</v>
      </c>
      <c r="K3378" s="672" t="s">
        <v>541</v>
      </c>
      <c r="L3378" s="672" t="s">
        <v>8996</v>
      </c>
    </row>
    <row r="3379" spans="1:12" x14ac:dyDescent="0.2">
      <c r="A3379" s="672" t="s">
        <v>220</v>
      </c>
      <c r="B3379" s="672" t="s">
        <v>10381</v>
      </c>
      <c r="C3379" s="672" t="s">
        <v>10420</v>
      </c>
      <c r="D3379" s="672" t="s">
        <v>9176</v>
      </c>
      <c r="E3379" s="672" t="s">
        <v>545</v>
      </c>
      <c r="F3379" s="755">
        <v>2000</v>
      </c>
      <c r="G3379" s="685">
        <v>0.37874999999999998</v>
      </c>
      <c r="H3379" s="685">
        <v>757.5</v>
      </c>
      <c r="I3379" s="686" t="s">
        <v>9009</v>
      </c>
      <c r="J3379" s="672" t="s">
        <v>10128</v>
      </c>
      <c r="K3379" s="672" t="s">
        <v>541</v>
      </c>
      <c r="L3379" s="672" t="s">
        <v>8996</v>
      </c>
    </row>
    <row r="3380" spans="1:12" x14ac:dyDescent="0.2">
      <c r="A3380" s="672" t="s">
        <v>220</v>
      </c>
      <c r="B3380" s="672" t="s">
        <v>10381</v>
      </c>
      <c r="C3380" s="672" t="s">
        <v>9677</v>
      </c>
      <c r="D3380" s="672" t="s">
        <v>10421</v>
      </c>
      <c r="E3380" s="672" t="s">
        <v>545</v>
      </c>
      <c r="F3380" s="755">
        <v>1500</v>
      </c>
      <c r="G3380" s="685">
        <v>0.42420000000000002</v>
      </c>
      <c r="H3380" s="685">
        <v>636.30000000000007</v>
      </c>
      <c r="I3380" s="686" t="s">
        <v>9009</v>
      </c>
      <c r="J3380" s="672" t="s">
        <v>10128</v>
      </c>
      <c r="K3380" s="672" t="s">
        <v>541</v>
      </c>
      <c r="L3380" s="672" t="s">
        <v>8996</v>
      </c>
    </row>
    <row r="3381" spans="1:12" x14ac:dyDescent="0.2">
      <c r="A3381" s="672" t="s">
        <v>220</v>
      </c>
      <c r="B3381" s="672" t="s">
        <v>2063</v>
      </c>
      <c r="C3381" s="672" t="s">
        <v>2064</v>
      </c>
      <c r="E3381" s="672" t="s">
        <v>545</v>
      </c>
      <c r="F3381" s="753">
        <v>2913</v>
      </c>
      <c r="G3381" s="704">
        <v>74.64834065531933</v>
      </c>
      <c r="H3381" s="685">
        <v>217450.61632894521</v>
      </c>
      <c r="I3381" s="686" t="s">
        <v>9009</v>
      </c>
      <c r="J3381" s="672" t="s">
        <v>9024</v>
      </c>
      <c r="K3381" s="672" t="s">
        <v>536</v>
      </c>
      <c r="L3381" s="672" t="s">
        <v>9024</v>
      </c>
    </row>
    <row r="3382" spans="1:12" x14ac:dyDescent="0.2">
      <c r="A3382" s="672" t="s">
        <v>220</v>
      </c>
      <c r="B3382" s="672" t="s">
        <v>2063</v>
      </c>
      <c r="C3382" s="672" t="s">
        <v>2065</v>
      </c>
      <c r="E3382" s="672" t="s">
        <v>545</v>
      </c>
      <c r="F3382" s="753">
        <v>2376</v>
      </c>
      <c r="G3382" s="704">
        <v>86.690709028275577</v>
      </c>
      <c r="H3382" s="685">
        <v>205977.12465118276</v>
      </c>
      <c r="I3382" s="686" t="s">
        <v>9009</v>
      </c>
      <c r="J3382" s="672" t="s">
        <v>9024</v>
      </c>
      <c r="K3382" s="672" t="s">
        <v>536</v>
      </c>
      <c r="L3382" s="672" t="s">
        <v>9024</v>
      </c>
    </row>
    <row r="3383" spans="1:12" x14ac:dyDescent="0.2">
      <c r="A3383" s="672" t="s">
        <v>220</v>
      </c>
      <c r="B3383" s="672" t="s">
        <v>2063</v>
      </c>
      <c r="C3383" s="672" t="s">
        <v>2066</v>
      </c>
      <c r="E3383" s="672" t="s">
        <v>545</v>
      </c>
      <c r="F3383" s="753">
        <v>35</v>
      </c>
      <c r="G3383" s="704">
        <v>99.324213234702441</v>
      </c>
      <c r="H3383" s="685">
        <v>3476.3474632145853</v>
      </c>
      <c r="I3383" s="686" t="s">
        <v>9009</v>
      </c>
      <c r="J3383" s="672" t="s">
        <v>9024</v>
      </c>
      <c r="K3383" s="672" t="s">
        <v>536</v>
      </c>
      <c r="L3383" s="672" t="s">
        <v>9024</v>
      </c>
    </row>
    <row r="3384" spans="1:12" x14ac:dyDescent="0.2">
      <c r="A3384" s="672" t="s">
        <v>220</v>
      </c>
      <c r="B3384" s="672" t="s">
        <v>2063</v>
      </c>
      <c r="C3384" s="672" t="s">
        <v>2067</v>
      </c>
      <c r="E3384" s="672" t="s">
        <v>545</v>
      </c>
      <c r="F3384" s="753">
        <v>412</v>
      </c>
      <c r="G3384" s="704">
        <v>129.28752830189933</v>
      </c>
      <c r="H3384" s="685">
        <v>53266.461660382527</v>
      </c>
      <c r="I3384" s="686" t="s">
        <v>9009</v>
      </c>
      <c r="J3384" s="672" t="s">
        <v>9024</v>
      </c>
      <c r="K3384" s="672" t="s">
        <v>536</v>
      </c>
      <c r="L3384" s="672" t="s">
        <v>9024</v>
      </c>
    </row>
    <row r="3385" spans="1:12" x14ac:dyDescent="0.2">
      <c r="A3385" s="672" t="s">
        <v>220</v>
      </c>
      <c r="B3385" s="672" t="s">
        <v>2063</v>
      </c>
      <c r="C3385" s="672" t="s">
        <v>2068</v>
      </c>
      <c r="E3385" s="672" t="s">
        <v>545</v>
      </c>
      <c r="F3385" s="753">
        <v>71</v>
      </c>
      <c r="G3385" s="704">
        <v>68.694126818999706</v>
      </c>
      <c r="H3385" s="685">
        <v>4877.2830041489788</v>
      </c>
      <c r="I3385" s="686" t="s">
        <v>9009</v>
      </c>
      <c r="J3385" s="672" t="s">
        <v>9024</v>
      </c>
      <c r="K3385" s="672" t="s">
        <v>536</v>
      </c>
      <c r="L3385" s="672" t="s">
        <v>9024</v>
      </c>
    </row>
    <row r="3386" spans="1:12" x14ac:dyDescent="0.2">
      <c r="A3386" s="672" t="s">
        <v>220</v>
      </c>
      <c r="B3386" s="672" t="s">
        <v>2063</v>
      </c>
      <c r="C3386" s="672" t="s">
        <v>2072</v>
      </c>
      <c r="E3386" s="672" t="s">
        <v>545</v>
      </c>
      <c r="F3386" s="753">
        <v>176</v>
      </c>
      <c r="G3386" s="704">
        <v>92.417227656975584</v>
      </c>
      <c r="H3386" s="685">
        <v>16265.432067627702</v>
      </c>
      <c r="I3386" s="686" t="s">
        <v>9009</v>
      </c>
      <c r="J3386" s="672" t="s">
        <v>9024</v>
      </c>
      <c r="K3386" s="672" t="s">
        <v>536</v>
      </c>
      <c r="L3386" s="672" t="s">
        <v>9024</v>
      </c>
    </row>
    <row r="3387" spans="1:12" x14ac:dyDescent="0.2">
      <c r="A3387" s="672" t="s">
        <v>220</v>
      </c>
      <c r="B3387" s="672" t="s">
        <v>2063</v>
      </c>
      <c r="C3387" s="672" t="s">
        <v>2073</v>
      </c>
      <c r="E3387" s="672" t="s">
        <v>545</v>
      </c>
      <c r="F3387" s="753">
        <v>1931</v>
      </c>
      <c r="G3387" s="704">
        <v>59.20744614337206</v>
      </c>
      <c r="H3387" s="685">
        <v>114329.57850285145</v>
      </c>
      <c r="I3387" s="686" t="s">
        <v>9009</v>
      </c>
      <c r="J3387" s="672" t="s">
        <v>9024</v>
      </c>
      <c r="K3387" s="672" t="s">
        <v>536</v>
      </c>
      <c r="L3387" s="672" t="s">
        <v>9024</v>
      </c>
    </row>
    <row r="3388" spans="1:12" x14ac:dyDescent="0.2">
      <c r="A3388" s="672" t="s">
        <v>220</v>
      </c>
      <c r="B3388" s="672" t="s">
        <v>2063</v>
      </c>
      <c r="C3388" s="672" t="s">
        <v>2074</v>
      </c>
      <c r="E3388" s="672" t="s">
        <v>545</v>
      </c>
      <c r="F3388" s="753">
        <v>105</v>
      </c>
      <c r="G3388" s="704">
        <v>60.197285433583971</v>
      </c>
      <c r="H3388" s="685">
        <v>6320.7149705263173</v>
      </c>
      <c r="I3388" s="686" t="s">
        <v>9009</v>
      </c>
      <c r="J3388" s="672" t="s">
        <v>9024</v>
      </c>
      <c r="K3388" s="672" t="s">
        <v>536</v>
      </c>
      <c r="L3388" s="672" t="s">
        <v>9024</v>
      </c>
    </row>
    <row r="3389" spans="1:12" x14ac:dyDescent="0.2">
      <c r="A3389" s="672" t="s">
        <v>220</v>
      </c>
      <c r="B3389" s="672" t="s">
        <v>2063</v>
      </c>
      <c r="C3389" s="672" t="s">
        <v>2075</v>
      </c>
      <c r="E3389" s="672" t="s">
        <v>545</v>
      </c>
      <c r="F3389" s="753">
        <v>181</v>
      </c>
      <c r="G3389" s="704">
        <v>60.597108982258405</v>
      </c>
      <c r="H3389" s="685">
        <v>10968.076725788771</v>
      </c>
      <c r="I3389" s="686" t="s">
        <v>9009</v>
      </c>
      <c r="J3389" s="672" t="s">
        <v>9024</v>
      </c>
      <c r="K3389" s="672" t="s">
        <v>536</v>
      </c>
      <c r="L3389" s="672" t="s">
        <v>9024</v>
      </c>
    </row>
    <row r="3390" spans="1:12" x14ac:dyDescent="0.2">
      <c r="A3390" s="672" t="s">
        <v>220</v>
      </c>
      <c r="B3390" s="672" t="s">
        <v>2063</v>
      </c>
      <c r="C3390" s="672" t="s">
        <v>2076</v>
      </c>
      <c r="E3390" s="672" t="s">
        <v>545</v>
      </c>
      <c r="F3390" s="753">
        <v>20</v>
      </c>
      <c r="G3390" s="704">
        <v>95.049949895725504</v>
      </c>
      <c r="H3390" s="685">
        <v>1900.99899791451</v>
      </c>
      <c r="I3390" s="686" t="s">
        <v>9009</v>
      </c>
      <c r="J3390" s="672" t="s">
        <v>9024</v>
      </c>
      <c r="K3390" s="672" t="s">
        <v>536</v>
      </c>
      <c r="L3390" s="672" t="s">
        <v>9024</v>
      </c>
    </row>
    <row r="3391" spans="1:12" x14ac:dyDescent="0.2">
      <c r="A3391" s="672" t="s">
        <v>220</v>
      </c>
      <c r="B3391" s="672" t="s">
        <v>2063</v>
      </c>
      <c r="C3391" s="672" t="s">
        <v>2077</v>
      </c>
      <c r="E3391" s="672" t="s">
        <v>545</v>
      </c>
      <c r="F3391" s="753">
        <v>15</v>
      </c>
      <c r="G3391" s="704">
        <v>96.938008737320715</v>
      </c>
      <c r="H3391" s="685">
        <v>1454.0701310598108</v>
      </c>
      <c r="I3391" s="686" t="s">
        <v>9009</v>
      </c>
      <c r="J3391" s="672" t="s">
        <v>9024</v>
      </c>
      <c r="K3391" s="672" t="s">
        <v>536</v>
      </c>
      <c r="L3391" s="672" t="s">
        <v>9024</v>
      </c>
    </row>
    <row r="3392" spans="1:12" x14ac:dyDescent="0.2">
      <c r="A3392" s="672" t="s">
        <v>220</v>
      </c>
      <c r="B3392" s="672" t="s">
        <v>2063</v>
      </c>
      <c r="C3392" s="672" t="s">
        <v>2078</v>
      </c>
      <c r="E3392" s="672" t="s">
        <v>545</v>
      </c>
      <c r="F3392" s="753">
        <v>189</v>
      </c>
      <c r="G3392" s="704">
        <v>99.769773945460486</v>
      </c>
      <c r="H3392" s="685">
        <v>18856.48727569203</v>
      </c>
      <c r="I3392" s="686" t="s">
        <v>9009</v>
      </c>
      <c r="J3392" s="672" t="s">
        <v>9024</v>
      </c>
      <c r="K3392" s="672" t="s">
        <v>536</v>
      </c>
      <c r="L3392" s="672" t="s">
        <v>9024</v>
      </c>
    </row>
    <row r="3393" spans="1:12" x14ac:dyDescent="0.2">
      <c r="A3393" s="672" t="s">
        <v>220</v>
      </c>
      <c r="B3393" s="672" t="s">
        <v>2063</v>
      </c>
      <c r="C3393" s="672" t="s">
        <v>10422</v>
      </c>
      <c r="E3393" s="672" t="s">
        <v>545</v>
      </c>
      <c r="F3393" s="753">
        <v>1380</v>
      </c>
      <c r="G3393" s="704">
        <v>133.66218019710681</v>
      </c>
      <c r="H3393" s="685">
        <v>184453.80867200741</v>
      </c>
      <c r="I3393" s="686" t="s">
        <v>9009</v>
      </c>
      <c r="J3393" s="672" t="s">
        <v>9024</v>
      </c>
      <c r="K3393" s="672" t="s">
        <v>536</v>
      </c>
      <c r="L3393" s="672" t="s">
        <v>9024</v>
      </c>
    </row>
    <row r="3394" spans="1:12" x14ac:dyDescent="0.2">
      <c r="A3394" s="672" t="s">
        <v>220</v>
      </c>
      <c r="B3394" s="672" t="s">
        <v>2063</v>
      </c>
      <c r="C3394" s="672" t="s">
        <v>7496</v>
      </c>
      <c r="E3394" s="672" t="s">
        <v>545</v>
      </c>
      <c r="F3394" s="753">
        <v>300</v>
      </c>
      <c r="G3394" s="704">
        <v>133.70074742804277</v>
      </c>
      <c r="H3394" s="685">
        <v>40110.22422841283</v>
      </c>
      <c r="I3394" s="686" t="s">
        <v>9009</v>
      </c>
      <c r="J3394" s="672" t="s">
        <v>9024</v>
      </c>
      <c r="K3394" s="672" t="s">
        <v>536</v>
      </c>
      <c r="L3394" s="672" t="s">
        <v>9024</v>
      </c>
    </row>
    <row r="3395" spans="1:12" x14ac:dyDescent="0.2">
      <c r="A3395" s="672" t="s">
        <v>220</v>
      </c>
      <c r="B3395" s="672" t="s">
        <v>2063</v>
      </c>
      <c r="C3395" s="672" t="s">
        <v>2079</v>
      </c>
      <c r="E3395" s="672" t="s">
        <v>545</v>
      </c>
      <c r="F3395" s="753">
        <v>606</v>
      </c>
      <c r="G3395" s="704">
        <v>64.663139276087733</v>
      </c>
      <c r="H3395" s="685">
        <v>39185.862401309168</v>
      </c>
      <c r="I3395" s="686" t="s">
        <v>9009</v>
      </c>
      <c r="J3395" s="672" t="s">
        <v>9024</v>
      </c>
      <c r="K3395" s="672" t="s">
        <v>536</v>
      </c>
      <c r="L3395" s="672" t="s">
        <v>9024</v>
      </c>
    </row>
    <row r="3396" spans="1:12" x14ac:dyDescent="0.2">
      <c r="A3396" s="672" t="s">
        <v>220</v>
      </c>
      <c r="B3396" s="672" t="s">
        <v>2063</v>
      </c>
      <c r="C3396" s="672" t="s">
        <v>2079</v>
      </c>
      <c r="E3396" s="672" t="s">
        <v>545</v>
      </c>
      <c r="F3396" s="753">
        <v>78</v>
      </c>
      <c r="G3396" s="704">
        <v>64.663139276087733</v>
      </c>
      <c r="H3396" s="685">
        <v>5043.7248635348433</v>
      </c>
      <c r="I3396" s="686" t="s">
        <v>9009</v>
      </c>
      <c r="J3396" s="672" t="s">
        <v>9024</v>
      </c>
      <c r="K3396" s="672" t="s">
        <v>536</v>
      </c>
      <c r="L3396" s="672" t="s">
        <v>9024</v>
      </c>
    </row>
    <row r="3397" spans="1:12" x14ac:dyDescent="0.2">
      <c r="A3397" s="672" t="s">
        <v>220</v>
      </c>
      <c r="B3397" s="672" t="s">
        <v>2063</v>
      </c>
      <c r="C3397" s="672" t="s">
        <v>2082</v>
      </c>
      <c r="E3397" s="672" t="s">
        <v>545</v>
      </c>
      <c r="F3397" s="753">
        <v>703</v>
      </c>
      <c r="G3397" s="704">
        <v>75.145167585075157</v>
      </c>
      <c r="H3397" s="685">
        <v>52827.052812307833</v>
      </c>
      <c r="I3397" s="686" t="s">
        <v>9009</v>
      </c>
      <c r="J3397" s="672" t="s">
        <v>9024</v>
      </c>
      <c r="K3397" s="672" t="s">
        <v>536</v>
      </c>
      <c r="L3397" s="672" t="s">
        <v>9024</v>
      </c>
    </row>
    <row r="3398" spans="1:12" x14ac:dyDescent="0.2">
      <c r="A3398" s="672" t="s">
        <v>220</v>
      </c>
      <c r="B3398" s="672" t="s">
        <v>2063</v>
      </c>
      <c r="C3398" s="672" t="s">
        <v>2082</v>
      </c>
      <c r="E3398" s="672" t="s">
        <v>545</v>
      </c>
      <c r="F3398" s="753">
        <v>35</v>
      </c>
      <c r="G3398" s="704">
        <v>75.145167585075157</v>
      </c>
      <c r="H3398" s="685">
        <v>2630.0808654776306</v>
      </c>
      <c r="I3398" s="686" t="s">
        <v>9009</v>
      </c>
      <c r="J3398" s="672" t="s">
        <v>9024</v>
      </c>
      <c r="K3398" s="672" t="s">
        <v>536</v>
      </c>
      <c r="L3398" s="672" t="s">
        <v>9024</v>
      </c>
    </row>
    <row r="3399" spans="1:12" x14ac:dyDescent="0.2">
      <c r="A3399" s="672" t="s">
        <v>220</v>
      </c>
      <c r="B3399" s="672" t="s">
        <v>2063</v>
      </c>
      <c r="C3399" s="672" t="s">
        <v>2085</v>
      </c>
      <c r="E3399" s="672" t="s">
        <v>545</v>
      </c>
      <c r="F3399" s="753">
        <v>900</v>
      </c>
      <c r="G3399" s="704">
        <v>88.852122336985218</v>
      </c>
      <c r="H3399" s="685">
        <v>79966.910103286689</v>
      </c>
      <c r="I3399" s="686" t="s">
        <v>9009</v>
      </c>
      <c r="J3399" s="672" t="s">
        <v>9024</v>
      </c>
      <c r="K3399" s="672" t="s">
        <v>536</v>
      </c>
      <c r="L3399" s="672" t="s">
        <v>9024</v>
      </c>
    </row>
    <row r="3400" spans="1:12" x14ac:dyDescent="0.2">
      <c r="A3400" s="672" t="s">
        <v>220</v>
      </c>
      <c r="B3400" s="672" t="s">
        <v>2063</v>
      </c>
      <c r="C3400" s="672" t="s">
        <v>2086</v>
      </c>
      <c r="E3400" s="672" t="s">
        <v>545</v>
      </c>
      <c r="F3400" s="753">
        <v>246</v>
      </c>
      <c r="G3400" s="704">
        <v>112.53235250900947</v>
      </c>
      <c r="H3400" s="685">
        <v>27682.95871721633</v>
      </c>
      <c r="I3400" s="686" t="s">
        <v>9009</v>
      </c>
      <c r="J3400" s="672" t="s">
        <v>9024</v>
      </c>
      <c r="K3400" s="672" t="s">
        <v>536</v>
      </c>
      <c r="L3400" s="672" t="s">
        <v>9024</v>
      </c>
    </row>
    <row r="3401" spans="1:12" x14ac:dyDescent="0.2">
      <c r="A3401" s="672" t="s">
        <v>220</v>
      </c>
      <c r="B3401" s="672" t="s">
        <v>2063</v>
      </c>
      <c r="C3401" s="672" t="s">
        <v>2087</v>
      </c>
      <c r="E3401" s="672" t="s">
        <v>545</v>
      </c>
      <c r="F3401" s="753">
        <v>32</v>
      </c>
      <c r="G3401" s="704">
        <v>130.48334584556275</v>
      </c>
      <c r="H3401" s="685">
        <v>4175.4670670580081</v>
      </c>
      <c r="I3401" s="686" t="s">
        <v>9009</v>
      </c>
      <c r="J3401" s="672" t="s">
        <v>9024</v>
      </c>
      <c r="K3401" s="672" t="s">
        <v>536</v>
      </c>
      <c r="L3401" s="672" t="s">
        <v>9024</v>
      </c>
    </row>
    <row r="3402" spans="1:12" x14ac:dyDescent="0.2">
      <c r="A3402" s="672" t="s">
        <v>220</v>
      </c>
      <c r="B3402" s="672" t="s">
        <v>2063</v>
      </c>
      <c r="C3402" s="672" t="s">
        <v>2088</v>
      </c>
      <c r="E3402" s="672" t="s">
        <v>545</v>
      </c>
      <c r="F3402" s="753">
        <v>1696</v>
      </c>
      <c r="G3402" s="704">
        <v>93.631886631924147</v>
      </c>
      <c r="H3402" s="685">
        <v>158799.67972774335</v>
      </c>
      <c r="I3402" s="686" t="s">
        <v>9009</v>
      </c>
      <c r="J3402" s="672" t="s">
        <v>9024</v>
      </c>
      <c r="K3402" s="672" t="s">
        <v>536</v>
      </c>
      <c r="L3402" s="672" t="s">
        <v>9024</v>
      </c>
    </row>
    <row r="3403" spans="1:12" x14ac:dyDescent="0.2">
      <c r="A3403" s="672" t="s">
        <v>220</v>
      </c>
      <c r="B3403" s="672" t="s">
        <v>2063</v>
      </c>
      <c r="C3403" s="672" t="s">
        <v>821</v>
      </c>
      <c r="E3403" s="672" t="s">
        <v>545</v>
      </c>
      <c r="F3403" s="753">
        <v>315</v>
      </c>
      <c r="G3403" s="704">
        <v>96.286432901041721</v>
      </c>
      <c r="H3403" s="685">
        <v>30330.226363828144</v>
      </c>
      <c r="I3403" s="686" t="s">
        <v>9009</v>
      </c>
      <c r="J3403" s="672" t="s">
        <v>9024</v>
      </c>
      <c r="K3403" s="672" t="s">
        <v>536</v>
      </c>
      <c r="L3403" s="672" t="s">
        <v>9024</v>
      </c>
    </row>
    <row r="3404" spans="1:12" x14ac:dyDescent="0.2">
      <c r="A3404" s="672" t="s">
        <v>220</v>
      </c>
      <c r="B3404" s="672" t="s">
        <v>2063</v>
      </c>
      <c r="C3404" s="672" t="s">
        <v>2089</v>
      </c>
      <c r="E3404" s="672" t="s">
        <v>545</v>
      </c>
      <c r="F3404" s="753">
        <v>270</v>
      </c>
      <c r="G3404" s="704">
        <v>127.34908069846632</v>
      </c>
      <c r="H3404" s="685">
        <v>34384.251788585905</v>
      </c>
      <c r="I3404" s="686" t="s">
        <v>9009</v>
      </c>
      <c r="J3404" s="672" t="s">
        <v>9024</v>
      </c>
      <c r="K3404" s="672" t="s">
        <v>536</v>
      </c>
      <c r="L3404" s="672" t="s">
        <v>9024</v>
      </c>
    </row>
    <row r="3405" spans="1:12" x14ac:dyDescent="0.2">
      <c r="A3405" s="672" t="s">
        <v>220</v>
      </c>
      <c r="B3405" s="672" t="s">
        <v>2063</v>
      </c>
      <c r="C3405" s="672" t="s">
        <v>2090</v>
      </c>
      <c r="E3405" s="672" t="s">
        <v>545</v>
      </c>
      <c r="F3405" s="753">
        <v>170</v>
      </c>
      <c r="G3405" s="704">
        <v>135.23710412798499</v>
      </c>
      <c r="H3405" s="685">
        <v>22990.307701757447</v>
      </c>
      <c r="I3405" s="686" t="s">
        <v>9009</v>
      </c>
      <c r="J3405" s="672" t="s">
        <v>9024</v>
      </c>
      <c r="K3405" s="672" t="s">
        <v>536</v>
      </c>
      <c r="L3405" s="672" t="s">
        <v>9024</v>
      </c>
    </row>
    <row r="3406" spans="1:12" x14ac:dyDescent="0.2">
      <c r="A3406" s="672" t="s">
        <v>220</v>
      </c>
      <c r="B3406" s="672" t="s">
        <v>2063</v>
      </c>
      <c r="C3406" s="672" t="s">
        <v>2091</v>
      </c>
      <c r="E3406" s="672" t="s">
        <v>545</v>
      </c>
      <c r="F3406" s="753">
        <v>210</v>
      </c>
      <c r="G3406" s="704">
        <v>121.9715777999086</v>
      </c>
      <c r="H3406" s="685">
        <v>25614.031337980807</v>
      </c>
      <c r="I3406" s="686" t="s">
        <v>9009</v>
      </c>
      <c r="J3406" s="672" t="s">
        <v>9024</v>
      </c>
      <c r="K3406" s="672" t="s">
        <v>536</v>
      </c>
      <c r="L3406" s="672" t="s">
        <v>9024</v>
      </c>
    </row>
    <row r="3407" spans="1:12" x14ac:dyDescent="0.2">
      <c r="A3407" s="672" t="s">
        <v>220</v>
      </c>
      <c r="B3407" s="672" t="s">
        <v>2063</v>
      </c>
      <c r="C3407" s="672" t="s">
        <v>2092</v>
      </c>
      <c r="E3407" s="672" t="s">
        <v>545</v>
      </c>
      <c r="F3407" s="753">
        <v>363</v>
      </c>
      <c r="G3407" s="704">
        <v>130.62749974004029</v>
      </c>
      <c r="H3407" s="685">
        <v>47417.782405634629</v>
      </c>
      <c r="I3407" s="686" t="s">
        <v>9009</v>
      </c>
      <c r="J3407" s="672" t="s">
        <v>9024</v>
      </c>
      <c r="K3407" s="672" t="s">
        <v>536</v>
      </c>
      <c r="L3407" s="672" t="s">
        <v>9024</v>
      </c>
    </row>
    <row r="3408" spans="1:12" x14ac:dyDescent="0.2">
      <c r="A3408" s="672" t="s">
        <v>220</v>
      </c>
      <c r="B3408" s="672" t="s">
        <v>2063</v>
      </c>
      <c r="C3408" s="672" t="s">
        <v>2093</v>
      </c>
      <c r="E3408" s="672" t="s">
        <v>545</v>
      </c>
      <c r="F3408" s="753">
        <v>80</v>
      </c>
      <c r="G3408" s="704">
        <v>145.10107258976899</v>
      </c>
      <c r="H3408" s="685">
        <v>11608.08580718152</v>
      </c>
      <c r="I3408" s="686" t="s">
        <v>9009</v>
      </c>
      <c r="J3408" s="672" t="s">
        <v>9024</v>
      </c>
      <c r="K3408" s="672" t="s">
        <v>536</v>
      </c>
      <c r="L3408" s="672" t="s">
        <v>9024</v>
      </c>
    </row>
    <row r="3409" spans="1:12" x14ac:dyDescent="0.2">
      <c r="A3409" s="672" t="s">
        <v>220</v>
      </c>
      <c r="B3409" s="672" t="s">
        <v>2063</v>
      </c>
      <c r="C3409" s="672" t="s">
        <v>2094</v>
      </c>
      <c r="E3409" s="672" t="s">
        <v>545</v>
      </c>
      <c r="F3409" s="753">
        <v>219</v>
      </c>
      <c r="G3409" s="704">
        <v>158.85888891888138</v>
      </c>
      <c r="H3409" s="685">
        <v>34790.096673235021</v>
      </c>
      <c r="I3409" s="686" t="s">
        <v>9009</v>
      </c>
      <c r="J3409" s="672" t="s">
        <v>9024</v>
      </c>
      <c r="K3409" s="672" t="s">
        <v>536</v>
      </c>
      <c r="L3409" s="672" t="s">
        <v>9024</v>
      </c>
    </row>
    <row r="3410" spans="1:12" x14ac:dyDescent="0.2">
      <c r="A3410" s="672" t="s">
        <v>220</v>
      </c>
      <c r="B3410" s="672" t="s">
        <v>2063</v>
      </c>
      <c r="C3410" s="672" t="s">
        <v>2095</v>
      </c>
      <c r="E3410" s="672" t="s">
        <v>545</v>
      </c>
      <c r="F3410" s="753">
        <v>24</v>
      </c>
      <c r="G3410" s="704">
        <v>274.70330970329479</v>
      </c>
      <c r="H3410" s="685">
        <v>6592.8794328790755</v>
      </c>
      <c r="I3410" s="686" t="s">
        <v>9009</v>
      </c>
      <c r="J3410" s="672" t="s">
        <v>9024</v>
      </c>
      <c r="K3410" s="672" t="s">
        <v>536</v>
      </c>
      <c r="L3410" s="672" t="s">
        <v>9024</v>
      </c>
    </row>
    <row r="3411" spans="1:12" x14ac:dyDescent="0.2">
      <c r="A3411" s="672" t="s">
        <v>220</v>
      </c>
      <c r="B3411" s="672" t="s">
        <v>2063</v>
      </c>
      <c r="C3411" s="672" t="s">
        <v>9733</v>
      </c>
      <c r="E3411" s="672" t="s">
        <v>545</v>
      </c>
      <c r="F3411" s="753">
        <v>854</v>
      </c>
      <c r="G3411" s="704">
        <v>168.33840949322112</v>
      </c>
      <c r="H3411" s="685">
        <v>143761.00170721085</v>
      </c>
      <c r="I3411" s="686" t="s">
        <v>9009</v>
      </c>
      <c r="J3411" s="672" t="s">
        <v>9024</v>
      </c>
      <c r="K3411" s="672" t="s">
        <v>536</v>
      </c>
      <c r="L3411" s="672" t="s">
        <v>9024</v>
      </c>
    </row>
    <row r="3412" spans="1:12" x14ac:dyDescent="0.2">
      <c r="A3412" s="672" t="s">
        <v>220</v>
      </c>
      <c r="B3412" s="672" t="s">
        <v>2063</v>
      </c>
      <c r="C3412" s="672" t="s">
        <v>10305</v>
      </c>
      <c r="E3412" s="672" t="s">
        <v>545</v>
      </c>
      <c r="F3412" s="753">
        <v>899</v>
      </c>
      <c r="G3412" s="704">
        <v>184.03492172890017</v>
      </c>
      <c r="H3412" s="685">
        <v>165447.39463428126</v>
      </c>
      <c r="I3412" s="686" t="s">
        <v>9009</v>
      </c>
      <c r="J3412" s="672" t="s">
        <v>9024</v>
      </c>
      <c r="K3412" s="672" t="s">
        <v>536</v>
      </c>
      <c r="L3412" s="672" t="s">
        <v>9024</v>
      </c>
    </row>
    <row r="3413" spans="1:12" x14ac:dyDescent="0.2">
      <c r="A3413" s="672" t="s">
        <v>220</v>
      </c>
      <c r="B3413" s="672" t="s">
        <v>2063</v>
      </c>
      <c r="C3413" s="672" t="s">
        <v>10298</v>
      </c>
      <c r="E3413" s="672" t="s">
        <v>545</v>
      </c>
      <c r="F3413" s="753">
        <v>416</v>
      </c>
      <c r="G3413" s="704">
        <v>219.47742119113238</v>
      </c>
      <c r="H3413" s="685">
        <v>91302.607215511074</v>
      </c>
      <c r="I3413" s="686" t="s">
        <v>9009</v>
      </c>
      <c r="J3413" s="672" t="s">
        <v>9024</v>
      </c>
      <c r="K3413" s="672" t="s">
        <v>536</v>
      </c>
      <c r="L3413" s="672" t="s">
        <v>9024</v>
      </c>
    </row>
    <row r="3414" spans="1:12" x14ac:dyDescent="0.2">
      <c r="A3414" s="672" t="s">
        <v>220</v>
      </c>
      <c r="B3414" s="672" t="s">
        <v>2063</v>
      </c>
      <c r="C3414" s="672" t="s">
        <v>2098</v>
      </c>
      <c r="E3414" s="672" t="s">
        <v>545</v>
      </c>
      <c r="F3414" s="753">
        <v>14</v>
      </c>
      <c r="G3414" s="704">
        <v>245.96614100488927</v>
      </c>
      <c r="H3414" s="685">
        <v>3443.5259740684496</v>
      </c>
      <c r="I3414" s="686" t="s">
        <v>9009</v>
      </c>
      <c r="J3414" s="672" t="s">
        <v>9024</v>
      </c>
      <c r="K3414" s="672" t="s">
        <v>536</v>
      </c>
      <c r="L3414" s="672" t="s">
        <v>9024</v>
      </c>
    </row>
    <row r="3415" spans="1:12" x14ac:dyDescent="0.2">
      <c r="A3415" s="672" t="s">
        <v>220</v>
      </c>
      <c r="B3415" s="672" t="s">
        <v>2063</v>
      </c>
      <c r="C3415" s="672" t="s">
        <v>2088</v>
      </c>
      <c r="E3415" s="672" t="s">
        <v>545</v>
      </c>
      <c r="F3415" s="753">
        <v>44</v>
      </c>
      <c r="G3415" s="704">
        <v>93.631886631924147</v>
      </c>
      <c r="H3415" s="685">
        <v>4119.8030118046627</v>
      </c>
      <c r="I3415" s="686" t="s">
        <v>9009</v>
      </c>
      <c r="J3415" s="672" t="s">
        <v>9024</v>
      </c>
      <c r="K3415" s="672" t="s">
        <v>536</v>
      </c>
      <c r="L3415" s="672" t="s">
        <v>9024</v>
      </c>
    </row>
    <row r="3416" spans="1:12" x14ac:dyDescent="0.2">
      <c r="A3416" s="672" t="s">
        <v>220</v>
      </c>
      <c r="B3416" s="672" t="s">
        <v>2063</v>
      </c>
      <c r="C3416" s="672" t="s">
        <v>821</v>
      </c>
      <c r="E3416" s="672" t="s">
        <v>545</v>
      </c>
      <c r="F3416" s="753">
        <v>100</v>
      </c>
      <c r="G3416" s="704">
        <v>96.286432901041721</v>
      </c>
      <c r="H3416" s="685">
        <v>9628.6432901041717</v>
      </c>
      <c r="I3416" s="686" t="s">
        <v>9009</v>
      </c>
      <c r="J3416" s="672" t="s">
        <v>9024</v>
      </c>
      <c r="K3416" s="672" t="s">
        <v>536</v>
      </c>
      <c r="L3416" s="672" t="s">
        <v>9024</v>
      </c>
    </row>
    <row r="3417" spans="1:12" x14ac:dyDescent="0.2">
      <c r="A3417" s="672" t="s">
        <v>220</v>
      </c>
      <c r="B3417" s="672" t="s">
        <v>2063</v>
      </c>
      <c r="C3417" s="672" t="s">
        <v>2087</v>
      </c>
      <c r="E3417" s="672" t="s">
        <v>545</v>
      </c>
      <c r="F3417" s="753">
        <v>213</v>
      </c>
      <c r="G3417" s="704">
        <v>130.48334584556275</v>
      </c>
      <c r="H3417" s="685">
        <v>27792.952665104865</v>
      </c>
      <c r="I3417" s="686" t="s">
        <v>9009</v>
      </c>
      <c r="J3417" s="672" t="s">
        <v>9024</v>
      </c>
      <c r="K3417" s="672" t="s">
        <v>536</v>
      </c>
      <c r="L3417" s="672" t="s">
        <v>9024</v>
      </c>
    </row>
    <row r="3418" spans="1:12" x14ac:dyDescent="0.2">
      <c r="A3418" s="672" t="s">
        <v>220</v>
      </c>
      <c r="B3418" s="672" t="s">
        <v>2063</v>
      </c>
      <c r="C3418" s="672" t="s">
        <v>9051</v>
      </c>
      <c r="E3418" s="672" t="s">
        <v>545</v>
      </c>
      <c r="F3418" s="753">
        <v>585</v>
      </c>
      <c r="G3418" s="704">
        <v>212.51399264631283</v>
      </c>
      <c r="H3418" s="685">
        <v>124320.685698093</v>
      </c>
      <c r="I3418" s="686" t="s">
        <v>9009</v>
      </c>
      <c r="J3418" s="672" t="s">
        <v>9024</v>
      </c>
      <c r="K3418" s="672" t="s">
        <v>536</v>
      </c>
      <c r="L3418" s="672" t="s">
        <v>9024</v>
      </c>
    </row>
    <row r="3419" spans="1:12" x14ac:dyDescent="0.2">
      <c r="A3419" s="672" t="s">
        <v>220</v>
      </c>
      <c r="B3419" s="672" t="s">
        <v>2063</v>
      </c>
      <c r="C3419" s="672" t="s">
        <v>2106</v>
      </c>
      <c r="E3419" s="672" t="s">
        <v>545</v>
      </c>
      <c r="F3419" s="753">
        <v>302</v>
      </c>
      <c r="G3419" s="704">
        <v>159.59694941386559</v>
      </c>
      <c r="H3419" s="685">
        <v>48198.278722987408</v>
      </c>
      <c r="I3419" s="686" t="s">
        <v>9009</v>
      </c>
      <c r="J3419" s="672" t="s">
        <v>9024</v>
      </c>
      <c r="K3419" s="672" t="s">
        <v>536</v>
      </c>
      <c r="L3419" s="672" t="s">
        <v>9024</v>
      </c>
    </row>
    <row r="3420" spans="1:12" x14ac:dyDescent="0.2">
      <c r="A3420" s="672" t="s">
        <v>220</v>
      </c>
      <c r="B3420" s="672" t="s">
        <v>2063</v>
      </c>
      <c r="C3420" s="672" t="s">
        <v>2107</v>
      </c>
      <c r="E3420" s="672" t="s">
        <v>545</v>
      </c>
      <c r="F3420" s="753">
        <v>197</v>
      </c>
      <c r="G3420" s="704">
        <v>160.10382203415</v>
      </c>
      <c r="H3420" s="685">
        <v>31540.452940727551</v>
      </c>
      <c r="I3420" s="686" t="s">
        <v>9009</v>
      </c>
      <c r="J3420" s="672" t="s">
        <v>9024</v>
      </c>
      <c r="K3420" s="672" t="s">
        <v>536</v>
      </c>
      <c r="L3420" s="672" t="s">
        <v>9024</v>
      </c>
    </row>
    <row r="3421" spans="1:12" x14ac:dyDescent="0.2">
      <c r="A3421" s="672" t="s">
        <v>220</v>
      </c>
      <c r="B3421" s="672" t="s">
        <v>2063</v>
      </c>
      <c r="C3421" s="672" t="s">
        <v>2129</v>
      </c>
      <c r="E3421" s="672" t="s">
        <v>545</v>
      </c>
      <c r="F3421" s="753">
        <v>92</v>
      </c>
      <c r="G3421" s="704">
        <v>70.938242500987215</v>
      </c>
      <c r="H3421" s="685">
        <v>6526.3183100908236</v>
      </c>
      <c r="I3421" s="686" t="s">
        <v>9009</v>
      </c>
      <c r="J3421" s="672" t="s">
        <v>9024</v>
      </c>
      <c r="K3421" s="672" t="s">
        <v>536</v>
      </c>
      <c r="L3421" s="672" t="s">
        <v>9024</v>
      </c>
    </row>
    <row r="3422" spans="1:12" x14ac:dyDescent="0.2">
      <c r="A3422" s="672" t="s">
        <v>220</v>
      </c>
      <c r="B3422" s="672" t="s">
        <v>2063</v>
      </c>
      <c r="C3422" s="672" t="s">
        <v>2151</v>
      </c>
      <c r="E3422" s="672" t="s">
        <v>545</v>
      </c>
      <c r="F3422" s="753">
        <v>70</v>
      </c>
      <c r="G3422" s="704">
        <v>108.50455003875165</v>
      </c>
      <c r="H3422" s="685">
        <v>7595.3185027126156</v>
      </c>
      <c r="I3422" s="686" t="s">
        <v>9009</v>
      </c>
      <c r="J3422" s="672" t="s">
        <v>9024</v>
      </c>
      <c r="K3422" s="672" t="s">
        <v>536</v>
      </c>
      <c r="L3422" s="672" t="s">
        <v>9024</v>
      </c>
    </row>
    <row r="3423" spans="1:12" x14ac:dyDescent="0.2">
      <c r="A3423" s="672" t="s">
        <v>220</v>
      </c>
      <c r="B3423" s="672" t="s">
        <v>2063</v>
      </c>
      <c r="C3423" s="672" t="s">
        <v>7627</v>
      </c>
      <c r="E3423" s="672" t="s">
        <v>545</v>
      </c>
      <c r="F3423" s="753">
        <v>51</v>
      </c>
      <c r="G3423" s="704">
        <v>96.818354541396886</v>
      </c>
      <c r="H3423" s="685">
        <v>4937.7360816112414</v>
      </c>
      <c r="I3423" s="686" t="s">
        <v>9009</v>
      </c>
      <c r="J3423" s="672" t="s">
        <v>9024</v>
      </c>
      <c r="K3423" s="672" t="s">
        <v>536</v>
      </c>
      <c r="L3423" s="672" t="s">
        <v>9024</v>
      </c>
    </row>
    <row r="3424" spans="1:12" x14ac:dyDescent="0.2">
      <c r="A3424" s="672" t="s">
        <v>220</v>
      </c>
      <c r="B3424" s="672" t="s">
        <v>2063</v>
      </c>
      <c r="C3424" s="672" t="s">
        <v>2088</v>
      </c>
      <c r="E3424" s="672" t="s">
        <v>545</v>
      </c>
      <c r="F3424" s="753">
        <v>66</v>
      </c>
      <c r="G3424" s="704">
        <v>93.631886631924147</v>
      </c>
      <c r="H3424" s="685">
        <v>6179.704517706994</v>
      </c>
      <c r="I3424" s="686" t="s">
        <v>9009</v>
      </c>
      <c r="J3424" s="672" t="s">
        <v>9024</v>
      </c>
      <c r="K3424" s="672" t="s">
        <v>536</v>
      </c>
      <c r="L3424" s="672" t="s">
        <v>9024</v>
      </c>
    </row>
    <row r="3425" spans="1:12" x14ac:dyDescent="0.2">
      <c r="A3425" s="672" t="s">
        <v>220</v>
      </c>
      <c r="B3425" s="672" t="s">
        <v>2063</v>
      </c>
      <c r="C3425" s="672" t="s">
        <v>7629</v>
      </c>
      <c r="E3425" s="672" t="s">
        <v>545</v>
      </c>
      <c r="F3425" s="753">
        <v>113</v>
      </c>
      <c r="G3425" s="704">
        <v>102.28051952823877</v>
      </c>
      <c r="H3425" s="685">
        <v>11557.698706690981</v>
      </c>
      <c r="I3425" s="686" t="s">
        <v>9009</v>
      </c>
      <c r="J3425" s="672" t="s">
        <v>9024</v>
      </c>
      <c r="K3425" s="672" t="s">
        <v>536</v>
      </c>
      <c r="L3425" s="672" t="s">
        <v>9024</v>
      </c>
    </row>
    <row r="3426" spans="1:12" x14ac:dyDescent="0.2">
      <c r="A3426" s="672" t="s">
        <v>220</v>
      </c>
      <c r="B3426" s="672" t="s">
        <v>2063</v>
      </c>
      <c r="C3426" s="672" t="s">
        <v>2116</v>
      </c>
      <c r="E3426" s="672" t="s">
        <v>545</v>
      </c>
      <c r="F3426" s="753">
        <v>128</v>
      </c>
      <c r="G3426" s="704">
        <v>68.740788574890274</v>
      </c>
      <c r="H3426" s="685">
        <v>8798.8209375859551</v>
      </c>
      <c r="I3426" s="686" t="s">
        <v>9009</v>
      </c>
      <c r="J3426" s="672" t="s">
        <v>9024</v>
      </c>
      <c r="K3426" s="672" t="s">
        <v>536</v>
      </c>
      <c r="L3426" s="672" t="s">
        <v>9024</v>
      </c>
    </row>
    <row r="3427" spans="1:12" x14ac:dyDescent="0.2">
      <c r="A3427" s="672" t="s">
        <v>220</v>
      </c>
      <c r="B3427" s="672" t="s">
        <v>2063</v>
      </c>
      <c r="C3427" s="672" t="s">
        <v>2116</v>
      </c>
      <c r="E3427" s="672" t="s">
        <v>545</v>
      </c>
      <c r="F3427" s="753">
        <v>46</v>
      </c>
      <c r="G3427" s="704">
        <v>68.740788574890274</v>
      </c>
      <c r="H3427" s="685">
        <v>3162.0762744449526</v>
      </c>
      <c r="I3427" s="686" t="s">
        <v>9009</v>
      </c>
      <c r="J3427" s="672" t="s">
        <v>9024</v>
      </c>
      <c r="K3427" s="672" t="s">
        <v>536</v>
      </c>
      <c r="L3427" s="672" t="s">
        <v>9024</v>
      </c>
    </row>
    <row r="3428" spans="1:12" x14ac:dyDescent="0.2">
      <c r="A3428" s="672" t="s">
        <v>220</v>
      </c>
      <c r="B3428" s="672" t="s">
        <v>2063</v>
      </c>
      <c r="C3428" s="672" t="s">
        <v>2141</v>
      </c>
      <c r="E3428" s="672" t="s">
        <v>545</v>
      </c>
      <c r="F3428" s="753">
        <v>20</v>
      </c>
      <c r="G3428" s="704">
        <v>72.690253470847153</v>
      </c>
      <c r="H3428" s="685">
        <v>1453.8050694169431</v>
      </c>
      <c r="I3428" s="686" t="s">
        <v>9009</v>
      </c>
      <c r="J3428" s="672" t="s">
        <v>9024</v>
      </c>
      <c r="K3428" s="672" t="s">
        <v>536</v>
      </c>
      <c r="L3428" s="672" t="s">
        <v>9024</v>
      </c>
    </row>
    <row r="3429" spans="1:12" x14ac:dyDescent="0.2">
      <c r="A3429" s="672" t="s">
        <v>220</v>
      </c>
      <c r="B3429" s="672" t="s">
        <v>2063</v>
      </c>
      <c r="C3429" s="672" t="s">
        <v>9050</v>
      </c>
      <c r="E3429" s="672" t="s">
        <v>545</v>
      </c>
      <c r="F3429" s="753">
        <v>26</v>
      </c>
      <c r="G3429" s="704">
        <v>75.591976440184197</v>
      </c>
      <c r="H3429" s="685">
        <v>1965.3913874447892</v>
      </c>
      <c r="I3429" s="686" t="s">
        <v>9009</v>
      </c>
      <c r="J3429" s="672" t="s">
        <v>9024</v>
      </c>
      <c r="K3429" s="672" t="s">
        <v>536</v>
      </c>
      <c r="L3429" s="672" t="s">
        <v>9024</v>
      </c>
    </row>
    <row r="3430" spans="1:12" x14ac:dyDescent="0.2">
      <c r="A3430" s="672" t="s">
        <v>220</v>
      </c>
      <c r="B3430" s="672" t="s">
        <v>2063</v>
      </c>
      <c r="C3430" s="672" t="s">
        <v>2123</v>
      </c>
      <c r="E3430" s="672" t="s">
        <v>545</v>
      </c>
      <c r="F3430" s="753">
        <v>27</v>
      </c>
      <c r="G3430" s="704">
        <v>107.75068748802488</v>
      </c>
      <c r="H3430" s="685">
        <v>2909.2685621766718</v>
      </c>
      <c r="I3430" s="686" t="s">
        <v>9009</v>
      </c>
      <c r="J3430" s="672" t="s">
        <v>9024</v>
      </c>
      <c r="K3430" s="672" t="s">
        <v>536</v>
      </c>
      <c r="L3430" s="672" t="s">
        <v>9024</v>
      </c>
    </row>
    <row r="3431" spans="1:12" x14ac:dyDescent="0.2">
      <c r="A3431" s="672" t="s">
        <v>220</v>
      </c>
      <c r="B3431" s="672" t="s">
        <v>2063</v>
      </c>
      <c r="C3431" s="672" t="s">
        <v>7637</v>
      </c>
      <c r="E3431" s="672" t="s">
        <v>545</v>
      </c>
      <c r="F3431" s="753">
        <v>28</v>
      </c>
      <c r="G3431" s="704">
        <v>163.73729882871601</v>
      </c>
      <c r="H3431" s="685">
        <v>4584.6443672040477</v>
      </c>
      <c r="I3431" s="686" t="s">
        <v>9009</v>
      </c>
      <c r="J3431" s="672" t="s">
        <v>9024</v>
      </c>
      <c r="K3431" s="672" t="s">
        <v>536</v>
      </c>
      <c r="L3431" s="672" t="s">
        <v>9024</v>
      </c>
    </row>
    <row r="3432" spans="1:12" x14ac:dyDescent="0.2">
      <c r="A3432" s="672" t="s">
        <v>220</v>
      </c>
      <c r="B3432" s="672" t="s">
        <v>2063</v>
      </c>
      <c r="C3432" s="672" t="s">
        <v>9733</v>
      </c>
      <c r="E3432" s="672" t="s">
        <v>545</v>
      </c>
      <c r="F3432" s="753">
        <v>100</v>
      </c>
      <c r="G3432" s="704">
        <v>168.33840949322112</v>
      </c>
      <c r="H3432" s="685">
        <v>16833.840949322112</v>
      </c>
      <c r="I3432" s="686" t="s">
        <v>9009</v>
      </c>
      <c r="J3432" s="672" t="s">
        <v>9024</v>
      </c>
      <c r="K3432" s="672" t="s">
        <v>536</v>
      </c>
      <c r="L3432" s="672" t="s">
        <v>9024</v>
      </c>
    </row>
    <row r="3433" spans="1:12" x14ac:dyDescent="0.2">
      <c r="A3433" s="672" t="s">
        <v>220</v>
      </c>
      <c r="B3433" s="672" t="s">
        <v>2063</v>
      </c>
      <c r="C3433" s="672" t="s">
        <v>10305</v>
      </c>
      <c r="E3433" s="672" t="s">
        <v>545</v>
      </c>
      <c r="F3433" s="753">
        <v>78</v>
      </c>
      <c r="G3433" s="704">
        <v>184.03492172890017</v>
      </c>
      <c r="H3433" s="685">
        <v>14354.723894854213</v>
      </c>
      <c r="I3433" s="686" t="s">
        <v>9009</v>
      </c>
      <c r="J3433" s="672" t="s">
        <v>9024</v>
      </c>
      <c r="K3433" s="672" t="s">
        <v>536</v>
      </c>
      <c r="L3433" s="672" t="s">
        <v>9024</v>
      </c>
    </row>
    <row r="3434" spans="1:12" x14ac:dyDescent="0.2">
      <c r="A3434" s="672" t="s">
        <v>220</v>
      </c>
      <c r="B3434" s="672" t="s">
        <v>2063</v>
      </c>
      <c r="C3434" s="672" t="s">
        <v>9053</v>
      </c>
      <c r="E3434" s="672" t="s">
        <v>545</v>
      </c>
      <c r="F3434" s="753">
        <v>5</v>
      </c>
      <c r="G3434" s="704">
        <v>238.91509526859306</v>
      </c>
      <c r="H3434" s="685">
        <v>1194.5754763429654</v>
      </c>
      <c r="I3434" s="686" t="s">
        <v>9009</v>
      </c>
      <c r="J3434" s="672" t="s">
        <v>9024</v>
      </c>
      <c r="K3434" s="672" t="s">
        <v>536</v>
      </c>
      <c r="L3434" s="672" t="s">
        <v>9024</v>
      </c>
    </row>
    <row r="3435" spans="1:12" x14ac:dyDescent="0.2">
      <c r="A3435" s="672" t="s">
        <v>220</v>
      </c>
      <c r="B3435" s="672" t="s">
        <v>2063</v>
      </c>
      <c r="C3435" s="672" t="s">
        <v>2077</v>
      </c>
      <c r="E3435" s="672" t="s">
        <v>545</v>
      </c>
      <c r="F3435" s="753">
        <v>35</v>
      </c>
      <c r="G3435" s="704">
        <v>96.938008737320715</v>
      </c>
      <c r="H3435" s="685">
        <v>3392.8303058062252</v>
      </c>
      <c r="I3435" s="686" t="s">
        <v>9009</v>
      </c>
      <c r="J3435" s="672" t="s">
        <v>9024</v>
      </c>
      <c r="K3435" s="672" t="s">
        <v>536</v>
      </c>
      <c r="L3435" s="672" t="s">
        <v>9024</v>
      </c>
    </row>
    <row r="3436" spans="1:12" x14ac:dyDescent="0.2">
      <c r="A3436" s="672" t="s">
        <v>220</v>
      </c>
      <c r="B3436" s="672" t="s">
        <v>2063</v>
      </c>
      <c r="C3436" s="672" t="s">
        <v>7634</v>
      </c>
      <c r="E3436" s="672" t="s">
        <v>545</v>
      </c>
      <c r="F3436" s="753">
        <v>3</v>
      </c>
      <c r="G3436" s="704">
        <v>59.140007179103414</v>
      </c>
      <c r="H3436" s="685">
        <v>177.42002153731025</v>
      </c>
      <c r="I3436" s="686" t="s">
        <v>9009</v>
      </c>
      <c r="J3436" s="672" t="s">
        <v>9024</v>
      </c>
      <c r="K3436" s="672" t="s">
        <v>536</v>
      </c>
      <c r="L3436" s="672" t="s">
        <v>9024</v>
      </c>
    </row>
    <row r="3437" spans="1:12" x14ac:dyDescent="0.2">
      <c r="A3437" s="672" t="s">
        <v>220</v>
      </c>
      <c r="B3437" s="672" t="s">
        <v>2063</v>
      </c>
      <c r="C3437" s="672" t="s">
        <v>2128</v>
      </c>
      <c r="E3437" s="672" t="s">
        <v>545</v>
      </c>
      <c r="F3437" s="753">
        <v>36</v>
      </c>
      <c r="G3437" s="704">
        <v>58.923182338044533</v>
      </c>
      <c r="H3437" s="685">
        <v>2121.2345641696033</v>
      </c>
      <c r="I3437" s="686" t="s">
        <v>9009</v>
      </c>
      <c r="J3437" s="672" t="s">
        <v>9024</v>
      </c>
      <c r="K3437" s="672" t="s">
        <v>536</v>
      </c>
      <c r="L3437" s="672" t="s">
        <v>9024</v>
      </c>
    </row>
    <row r="3438" spans="1:12" x14ac:dyDescent="0.2">
      <c r="A3438" s="672" t="s">
        <v>220</v>
      </c>
      <c r="B3438" s="672" t="s">
        <v>2063</v>
      </c>
      <c r="C3438" s="672" t="s">
        <v>7766</v>
      </c>
      <c r="E3438" s="672" t="s">
        <v>545</v>
      </c>
      <c r="F3438" s="753">
        <v>41</v>
      </c>
      <c r="G3438" s="704">
        <v>101.46049078286178</v>
      </c>
      <c r="H3438" s="685">
        <v>4159.8801220973328</v>
      </c>
      <c r="I3438" s="686" t="s">
        <v>9009</v>
      </c>
      <c r="J3438" s="672" t="s">
        <v>9024</v>
      </c>
      <c r="K3438" s="672" t="s">
        <v>536</v>
      </c>
      <c r="L3438" s="672" t="s">
        <v>9024</v>
      </c>
    </row>
    <row r="3439" spans="1:12" x14ac:dyDescent="0.2">
      <c r="A3439" s="672" t="s">
        <v>220</v>
      </c>
      <c r="B3439" s="672" t="s">
        <v>2063</v>
      </c>
      <c r="C3439" s="672" t="s">
        <v>2138</v>
      </c>
      <c r="E3439" s="672" t="s">
        <v>545</v>
      </c>
      <c r="F3439" s="753">
        <v>3</v>
      </c>
      <c r="G3439" s="704">
        <v>63.701341608137156</v>
      </c>
      <c r="H3439" s="685">
        <v>191.10402482441145</v>
      </c>
      <c r="I3439" s="686" t="s">
        <v>9009</v>
      </c>
      <c r="J3439" s="672" t="s">
        <v>9024</v>
      </c>
      <c r="K3439" s="672" t="s">
        <v>536</v>
      </c>
      <c r="L3439" s="672" t="s">
        <v>9024</v>
      </c>
    </row>
    <row r="3440" spans="1:12" x14ac:dyDescent="0.2">
      <c r="A3440" s="672" t="s">
        <v>220</v>
      </c>
      <c r="B3440" s="672" t="s">
        <v>2063</v>
      </c>
      <c r="C3440" s="672" t="s">
        <v>2069</v>
      </c>
      <c r="E3440" s="672" t="s">
        <v>545</v>
      </c>
      <c r="F3440" s="753">
        <v>71</v>
      </c>
      <c r="G3440" s="704">
        <v>62.453044942328582</v>
      </c>
      <c r="H3440" s="685">
        <v>4434.1661909053291</v>
      </c>
      <c r="I3440" s="686" t="s">
        <v>9009</v>
      </c>
      <c r="J3440" s="672" t="s">
        <v>9024</v>
      </c>
      <c r="K3440" s="672" t="s">
        <v>536</v>
      </c>
      <c r="L3440" s="672" t="s">
        <v>9024</v>
      </c>
    </row>
    <row r="3441" spans="1:12" x14ac:dyDescent="0.2">
      <c r="A3441" s="672" t="s">
        <v>220</v>
      </c>
      <c r="B3441" s="672" t="s">
        <v>2063</v>
      </c>
      <c r="C3441" s="672" t="s">
        <v>2133</v>
      </c>
      <c r="E3441" s="672" t="s">
        <v>545</v>
      </c>
      <c r="F3441" s="753">
        <v>91</v>
      </c>
      <c r="G3441" s="704">
        <v>85.277637535730321</v>
      </c>
      <c r="H3441" s="685">
        <v>7760.265015751459</v>
      </c>
      <c r="I3441" s="686" t="s">
        <v>9009</v>
      </c>
      <c r="J3441" s="672" t="s">
        <v>9024</v>
      </c>
      <c r="K3441" s="672" t="s">
        <v>536</v>
      </c>
      <c r="L3441" s="672" t="s">
        <v>9024</v>
      </c>
    </row>
    <row r="3442" spans="1:12" x14ac:dyDescent="0.2">
      <c r="A3442" s="672" t="s">
        <v>220</v>
      </c>
      <c r="B3442" s="672" t="s">
        <v>2063</v>
      </c>
      <c r="C3442" s="672" t="s">
        <v>9058</v>
      </c>
      <c r="E3442" s="672" t="s">
        <v>545</v>
      </c>
      <c r="F3442" s="753">
        <v>66</v>
      </c>
      <c r="G3442" s="704">
        <v>97.794540304046109</v>
      </c>
      <c r="H3442" s="685">
        <v>6454.4396600670434</v>
      </c>
      <c r="I3442" s="686" t="s">
        <v>9009</v>
      </c>
      <c r="J3442" s="672" t="s">
        <v>9024</v>
      </c>
      <c r="K3442" s="672" t="s">
        <v>536</v>
      </c>
      <c r="L3442" s="672" t="s">
        <v>9024</v>
      </c>
    </row>
    <row r="3443" spans="1:12" x14ac:dyDescent="0.2">
      <c r="A3443" s="672" t="s">
        <v>220</v>
      </c>
      <c r="B3443" s="672" t="s">
        <v>2063</v>
      </c>
      <c r="C3443" s="672" t="s">
        <v>10423</v>
      </c>
      <c r="E3443" s="672" t="s">
        <v>545</v>
      </c>
      <c r="F3443" s="753">
        <v>45</v>
      </c>
      <c r="G3443" s="704">
        <v>105.15200894444099</v>
      </c>
      <c r="H3443" s="685">
        <v>4731.8404024998445</v>
      </c>
      <c r="I3443" s="686" t="s">
        <v>9009</v>
      </c>
      <c r="J3443" s="672" t="s">
        <v>9024</v>
      </c>
      <c r="K3443" s="672" t="s">
        <v>536</v>
      </c>
      <c r="L3443" s="672" t="s">
        <v>9024</v>
      </c>
    </row>
    <row r="3444" spans="1:12" x14ac:dyDescent="0.2">
      <c r="A3444" s="672" t="s">
        <v>220</v>
      </c>
      <c r="B3444" s="672" t="s">
        <v>2063</v>
      </c>
      <c r="C3444" s="672" t="s">
        <v>2136</v>
      </c>
      <c r="E3444" s="672" t="s">
        <v>545</v>
      </c>
      <c r="F3444" s="753">
        <v>85</v>
      </c>
      <c r="G3444" s="704">
        <v>116.23662725163969</v>
      </c>
      <c r="H3444" s="685">
        <v>9880.1133163893737</v>
      </c>
      <c r="I3444" s="686" t="s">
        <v>9009</v>
      </c>
      <c r="J3444" s="672" t="s">
        <v>9024</v>
      </c>
      <c r="K3444" s="672" t="s">
        <v>536</v>
      </c>
      <c r="L3444" s="672" t="s">
        <v>9024</v>
      </c>
    </row>
    <row r="3445" spans="1:12" x14ac:dyDescent="0.2">
      <c r="A3445" s="672" t="s">
        <v>220</v>
      </c>
      <c r="B3445" s="672" t="s">
        <v>2063</v>
      </c>
      <c r="C3445" s="672" t="s">
        <v>10321</v>
      </c>
      <c r="E3445" s="672" t="s">
        <v>545</v>
      </c>
      <c r="F3445" s="753">
        <v>13</v>
      </c>
      <c r="G3445" s="704">
        <v>123.03876943325018</v>
      </c>
      <c r="H3445" s="685">
        <v>1599.5040026322524</v>
      </c>
      <c r="I3445" s="686" t="s">
        <v>9009</v>
      </c>
      <c r="J3445" s="672" t="s">
        <v>9024</v>
      </c>
      <c r="K3445" s="672" t="s">
        <v>536</v>
      </c>
      <c r="L3445" s="672" t="s">
        <v>9024</v>
      </c>
    </row>
    <row r="3446" spans="1:12" x14ac:dyDescent="0.2">
      <c r="A3446" s="672" t="s">
        <v>220</v>
      </c>
      <c r="B3446" s="672" t="s">
        <v>2063</v>
      </c>
      <c r="C3446" s="672" t="s">
        <v>2067</v>
      </c>
      <c r="E3446" s="672" t="s">
        <v>545</v>
      </c>
      <c r="F3446" s="753">
        <v>181</v>
      </c>
      <c r="G3446" s="704">
        <v>129.28752830189933</v>
      </c>
      <c r="H3446" s="685">
        <v>23401.042622643778</v>
      </c>
      <c r="I3446" s="686" t="s">
        <v>9009</v>
      </c>
      <c r="J3446" s="672" t="s">
        <v>9024</v>
      </c>
      <c r="K3446" s="672" t="s">
        <v>536</v>
      </c>
      <c r="L3446" s="672" t="s">
        <v>9024</v>
      </c>
    </row>
    <row r="3447" spans="1:12" x14ac:dyDescent="0.2">
      <c r="A3447" s="672" t="s">
        <v>220</v>
      </c>
      <c r="B3447" s="672" t="s">
        <v>2063</v>
      </c>
      <c r="C3447" s="672" t="s">
        <v>2134</v>
      </c>
      <c r="E3447" s="672" t="s">
        <v>545</v>
      </c>
      <c r="F3447" s="753">
        <v>26</v>
      </c>
      <c r="G3447" s="704">
        <v>80.346128985226883</v>
      </c>
      <c r="H3447" s="685">
        <v>2088.9993536158991</v>
      </c>
      <c r="I3447" s="686" t="s">
        <v>9009</v>
      </c>
      <c r="J3447" s="672" t="s">
        <v>9024</v>
      </c>
      <c r="K3447" s="672" t="s">
        <v>536</v>
      </c>
      <c r="L3447" s="672" t="s">
        <v>9024</v>
      </c>
    </row>
    <row r="3448" spans="1:12" x14ac:dyDescent="0.2">
      <c r="A3448" s="672" t="s">
        <v>220</v>
      </c>
      <c r="B3448" s="672" t="s">
        <v>2063</v>
      </c>
      <c r="C3448" s="672" t="s">
        <v>2064</v>
      </c>
      <c r="E3448" s="672" t="s">
        <v>545</v>
      </c>
      <c r="F3448" s="753">
        <v>38</v>
      </c>
      <c r="G3448" s="704">
        <v>74.64834065531933</v>
      </c>
      <c r="H3448" s="685">
        <v>2836.6369449021345</v>
      </c>
      <c r="I3448" s="686" t="s">
        <v>9009</v>
      </c>
      <c r="J3448" s="672" t="s">
        <v>9024</v>
      </c>
      <c r="K3448" s="672" t="s">
        <v>536</v>
      </c>
      <c r="L3448" s="672" t="s">
        <v>9024</v>
      </c>
    </row>
    <row r="3449" spans="1:12" x14ac:dyDescent="0.2">
      <c r="A3449" s="672" t="s">
        <v>220</v>
      </c>
      <c r="B3449" s="672" t="s">
        <v>2063</v>
      </c>
      <c r="C3449" s="672" t="s">
        <v>2132</v>
      </c>
      <c r="E3449" s="672" t="s">
        <v>545</v>
      </c>
      <c r="F3449" s="753">
        <v>240</v>
      </c>
      <c r="G3449" s="704">
        <v>68.718163274408298</v>
      </c>
      <c r="H3449" s="685">
        <v>16492.359185857993</v>
      </c>
      <c r="I3449" s="686" t="s">
        <v>9009</v>
      </c>
      <c r="J3449" s="672" t="s">
        <v>9024</v>
      </c>
      <c r="K3449" s="672" t="s">
        <v>536</v>
      </c>
      <c r="L3449" s="672" t="s">
        <v>9024</v>
      </c>
    </row>
    <row r="3450" spans="1:12" x14ac:dyDescent="0.2">
      <c r="A3450" s="672" t="s">
        <v>220</v>
      </c>
      <c r="B3450" s="672" t="s">
        <v>2063</v>
      </c>
      <c r="C3450" s="672" t="s">
        <v>2133</v>
      </c>
      <c r="E3450" s="672" t="s">
        <v>545</v>
      </c>
      <c r="F3450" s="753">
        <v>405</v>
      </c>
      <c r="G3450" s="704">
        <v>85.277637535730321</v>
      </c>
      <c r="H3450" s="685">
        <v>34537.443201970782</v>
      </c>
      <c r="I3450" s="686" t="s">
        <v>9009</v>
      </c>
      <c r="J3450" s="672" t="s">
        <v>9024</v>
      </c>
      <c r="K3450" s="672" t="s">
        <v>536</v>
      </c>
      <c r="L3450" s="672" t="s">
        <v>9024</v>
      </c>
    </row>
    <row r="3451" spans="1:12" x14ac:dyDescent="0.2">
      <c r="A3451" s="672" t="s">
        <v>220</v>
      </c>
      <c r="B3451" s="672" t="s">
        <v>2063</v>
      </c>
      <c r="C3451" s="672" t="s">
        <v>9058</v>
      </c>
      <c r="E3451" s="672" t="s">
        <v>545</v>
      </c>
      <c r="F3451" s="753">
        <v>95</v>
      </c>
      <c r="G3451" s="704">
        <v>97.794540304046109</v>
      </c>
      <c r="H3451" s="685">
        <v>9290.4813288843798</v>
      </c>
      <c r="I3451" s="686" t="s">
        <v>9009</v>
      </c>
      <c r="J3451" s="672" t="s">
        <v>9024</v>
      </c>
      <c r="K3451" s="672" t="s">
        <v>536</v>
      </c>
      <c r="L3451" s="672" t="s">
        <v>9024</v>
      </c>
    </row>
    <row r="3452" spans="1:12" x14ac:dyDescent="0.2">
      <c r="A3452" s="672" t="s">
        <v>220</v>
      </c>
      <c r="B3452" s="672" t="s">
        <v>2063</v>
      </c>
      <c r="C3452" s="672" t="s">
        <v>2068</v>
      </c>
      <c r="E3452" s="672" t="s">
        <v>545</v>
      </c>
      <c r="F3452" s="753">
        <v>195</v>
      </c>
      <c r="G3452" s="704">
        <v>68.694126818999706</v>
      </c>
      <c r="H3452" s="685">
        <v>13395.354729704943</v>
      </c>
      <c r="I3452" s="686" t="s">
        <v>9009</v>
      </c>
      <c r="J3452" s="672" t="s">
        <v>9024</v>
      </c>
      <c r="K3452" s="672" t="s">
        <v>536</v>
      </c>
      <c r="L3452" s="672" t="s">
        <v>9024</v>
      </c>
    </row>
    <row r="3453" spans="1:12" x14ac:dyDescent="0.2">
      <c r="A3453" s="672" t="s">
        <v>220</v>
      </c>
      <c r="B3453" s="672" t="s">
        <v>2063</v>
      </c>
      <c r="C3453" s="672" t="s">
        <v>2069</v>
      </c>
      <c r="E3453" s="672" t="s">
        <v>545</v>
      </c>
      <c r="F3453" s="753">
        <v>1206</v>
      </c>
      <c r="G3453" s="704">
        <v>62.453044942328582</v>
      </c>
      <c r="H3453" s="685">
        <v>75318.37220044827</v>
      </c>
      <c r="I3453" s="686" t="s">
        <v>9009</v>
      </c>
      <c r="J3453" s="672" t="s">
        <v>9024</v>
      </c>
      <c r="K3453" s="672" t="s">
        <v>536</v>
      </c>
      <c r="L3453" s="672" t="s">
        <v>9024</v>
      </c>
    </row>
    <row r="3454" spans="1:12" x14ac:dyDescent="0.2">
      <c r="A3454" s="672" t="s">
        <v>220</v>
      </c>
      <c r="B3454" s="672" t="s">
        <v>2063</v>
      </c>
      <c r="C3454" s="672" t="s">
        <v>2134</v>
      </c>
      <c r="E3454" s="672" t="s">
        <v>545</v>
      </c>
      <c r="F3454" s="753">
        <v>475</v>
      </c>
      <c r="G3454" s="704">
        <v>80.346128985226883</v>
      </c>
      <c r="H3454" s="685">
        <v>38164.411267982767</v>
      </c>
      <c r="I3454" s="686" t="s">
        <v>9009</v>
      </c>
      <c r="J3454" s="672" t="s">
        <v>9024</v>
      </c>
      <c r="K3454" s="672" t="s">
        <v>536</v>
      </c>
      <c r="L3454" s="672" t="s">
        <v>9024</v>
      </c>
    </row>
    <row r="3455" spans="1:12" x14ac:dyDescent="0.2">
      <c r="A3455" s="672" t="s">
        <v>220</v>
      </c>
      <c r="B3455" s="672" t="s">
        <v>2063</v>
      </c>
      <c r="C3455" s="672" t="s">
        <v>2071</v>
      </c>
      <c r="E3455" s="672" t="s">
        <v>545</v>
      </c>
      <c r="F3455" s="753">
        <v>915</v>
      </c>
      <c r="G3455" s="704">
        <v>79.915676869676744</v>
      </c>
      <c r="H3455" s="685">
        <v>73122.844335754227</v>
      </c>
      <c r="I3455" s="686" t="s">
        <v>9009</v>
      </c>
      <c r="J3455" s="672" t="s">
        <v>9024</v>
      </c>
      <c r="K3455" s="672" t="s">
        <v>536</v>
      </c>
      <c r="L3455" s="672" t="s">
        <v>9024</v>
      </c>
    </row>
    <row r="3456" spans="1:12" x14ac:dyDescent="0.2">
      <c r="A3456" s="672" t="s">
        <v>220</v>
      </c>
      <c r="B3456" s="672" t="s">
        <v>2063</v>
      </c>
      <c r="C3456" s="672" t="s">
        <v>2135</v>
      </c>
      <c r="E3456" s="672" t="s">
        <v>545</v>
      </c>
      <c r="F3456" s="753">
        <v>28</v>
      </c>
      <c r="G3456" s="704">
        <v>92.955439604858512</v>
      </c>
      <c r="H3456" s="685">
        <v>2602.7523089360384</v>
      </c>
      <c r="I3456" s="686" t="s">
        <v>9009</v>
      </c>
      <c r="J3456" s="672" t="s">
        <v>9024</v>
      </c>
      <c r="K3456" s="672" t="s">
        <v>536</v>
      </c>
      <c r="L3456" s="672" t="s">
        <v>9024</v>
      </c>
    </row>
    <row r="3457" spans="1:12" x14ac:dyDescent="0.2">
      <c r="A3457" s="672" t="s">
        <v>220</v>
      </c>
      <c r="B3457" s="672" t="s">
        <v>2063</v>
      </c>
      <c r="C3457" s="672" t="s">
        <v>2136</v>
      </c>
      <c r="E3457" s="672" t="s">
        <v>545</v>
      </c>
      <c r="F3457" s="753">
        <v>120</v>
      </c>
      <c r="G3457" s="704">
        <v>116.23662725163969</v>
      </c>
      <c r="H3457" s="685">
        <v>13948.395270196763</v>
      </c>
      <c r="I3457" s="686" t="s">
        <v>9009</v>
      </c>
      <c r="J3457" s="672" t="s">
        <v>9024</v>
      </c>
      <c r="K3457" s="672" t="s">
        <v>536</v>
      </c>
      <c r="L3457" s="672" t="s">
        <v>9024</v>
      </c>
    </row>
    <row r="3458" spans="1:12" x14ac:dyDescent="0.2">
      <c r="A3458" s="672" t="s">
        <v>220</v>
      </c>
      <c r="B3458" s="672" t="s">
        <v>2063</v>
      </c>
      <c r="C3458" s="672" t="s">
        <v>2075</v>
      </c>
      <c r="E3458" s="672" t="s">
        <v>545</v>
      </c>
      <c r="F3458" s="753">
        <v>30</v>
      </c>
      <c r="G3458" s="704">
        <v>60.597108982258405</v>
      </c>
      <c r="H3458" s="685">
        <v>1817.9132694677521</v>
      </c>
      <c r="I3458" s="686" t="s">
        <v>9009</v>
      </c>
      <c r="J3458" s="672" t="s">
        <v>9024</v>
      </c>
      <c r="K3458" s="672" t="s">
        <v>536</v>
      </c>
      <c r="L3458" s="672" t="s">
        <v>9024</v>
      </c>
    </row>
    <row r="3459" spans="1:12" x14ac:dyDescent="0.2">
      <c r="A3459" s="672" t="s">
        <v>220</v>
      </c>
      <c r="B3459" s="672" t="s">
        <v>2063</v>
      </c>
      <c r="C3459" s="672" t="s">
        <v>7505</v>
      </c>
      <c r="E3459" s="672" t="s">
        <v>545</v>
      </c>
      <c r="F3459" s="753">
        <v>99</v>
      </c>
      <c r="G3459" s="704">
        <v>105.40610801715657</v>
      </c>
      <c r="H3459" s="685">
        <v>10435.204693698501</v>
      </c>
      <c r="I3459" s="686" t="s">
        <v>9009</v>
      </c>
      <c r="J3459" s="672" t="s">
        <v>9024</v>
      </c>
      <c r="K3459" s="672" t="s">
        <v>536</v>
      </c>
      <c r="L3459" s="672" t="s">
        <v>9024</v>
      </c>
    </row>
    <row r="3460" spans="1:12" x14ac:dyDescent="0.2">
      <c r="A3460" s="672" t="s">
        <v>220</v>
      </c>
      <c r="B3460" s="672" t="s">
        <v>2063</v>
      </c>
      <c r="C3460" s="672" t="s">
        <v>9027</v>
      </c>
      <c r="E3460" s="672" t="s">
        <v>545</v>
      </c>
      <c r="F3460" s="753">
        <v>38</v>
      </c>
      <c r="G3460" s="704">
        <v>112.40893830903525</v>
      </c>
      <c r="H3460" s="685">
        <v>4271.5396557433396</v>
      </c>
      <c r="I3460" s="686" t="s">
        <v>9009</v>
      </c>
      <c r="J3460" s="672" t="s">
        <v>9024</v>
      </c>
      <c r="K3460" s="672" t="s">
        <v>536</v>
      </c>
      <c r="L3460" s="672" t="s">
        <v>9024</v>
      </c>
    </row>
    <row r="3461" spans="1:12" x14ac:dyDescent="0.2">
      <c r="A3461" s="672" t="s">
        <v>220</v>
      </c>
      <c r="B3461" s="672" t="s">
        <v>2063</v>
      </c>
      <c r="C3461" s="672" t="s">
        <v>2070</v>
      </c>
      <c r="E3461" s="672" t="s">
        <v>545</v>
      </c>
      <c r="F3461" s="753">
        <v>21</v>
      </c>
      <c r="G3461" s="704">
        <v>68.531320135750008</v>
      </c>
      <c r="H3461" s="685">
        <v>1439.1577228507501</v>
      </c>
      <c r="I3461" s="686" t="s">
        <v>9009</v>
      </c>
      <c r="J3461" s="672" t="s">
        <v>9024</v>
      </c>
      <c r="K3461" s="672" t="s">
        <v>536</v>
      </c>
      <c r="L3461" s="672" t="s">
        <v>9024</v>
      </c>
    </row>
    <row r="3462" spans="1:12" x14ac:dyDescent="0.2">
      <c r="A3462" s="672" t="s">
        <v>220</v>
      </c>
      <c r="B3462" s="672" t="s">
        <v>2063</v>
      </c>
      <c r="C3462" s="672" t="s">
        <v>2138</v>
      </c>
      <c r="E3462" s="672" t="s">
        <v>545</v>
      </c>
      <c r="F3462" s="753">
        <v>33</v>
      </c>
      <c r="G3462" s="704">
        <v>63.701341608137156</v>
      </c>
      <c r="H3462" s="685">
        <v>2102.1442730685262</v>
      </c>
      <c r="I3462" s="686" t="s">
        <v>9009</v>
      </c>
      <c r="J3462" s="672" t="s">
        <v>9024</v>
      </c>
      <c r="K3462" s="672" t="s">
        <v>536</v>
      </c>
      <c r="L3462" s="672" t="s">
        <v>9024</v>
      </c>
    </row>
    <row r="3463" spans="1:12" x14ac:dyDescent="0.2">
      <c r="A3463" s="672" t="s">
        <v>220</v>
      </c>
      <c r="B3463" s="672" t="s">
        <v>2063</v>
      </c>
      <c r="C3463" s="672" t="s">
        <v>2079</v>
      </c>
      <c r="E3463" s="672" t="s">
        <v>545</v>
      </c>
      <c r="F3463" s="753">
        <v>34</v>
      </c>
      <c r="G3463" s="704">
        <v>64.663139276087733</v>
      </c>
      <c r="H3463" s="685">
        <v>2198.5467353869831</v>
      </c>
      <c r="I3463" s="686" t="s">
        <v>9009</v>
      </c>
      <c r="J3463" s="672" t="s">
        <v>9024</v>
      </c>
      <c r="K3463" s="672" t="s">
        <v>536</v>
      </c>
      <c r="L3463" s="672" t="s">
        <v>9024</v>
      </c>
    </row>
    <row r="3464" spans="1:12" x14ac:dyDescent="0.2">
      <c r="A3464" s="672" t="s">
        <v>220</v>
      </c>
      <c r="B3464" s="672" t="s">
        <v>2063</v>
      </c>
      <c r="C3464" s="672" t="s">
        <v>10424</v>
      </c>
      <c r="E3464" s="672" t="s">
        <v>545</v>
      </c>
      <c r="F3464" s="753">
        <v>70</v>
      </c>
      <c r="G3464" s="704">
        <v>76.880069040999985</v>
      </c>
      <c r="H3464" s="685">
        <v>5381.604832869999</v>
      </c>
      <c r="I3464" s="686" t="s">
        <v>9009</v>
      </c>
      <c r="J3464" s="672" t="s">
        <v>9024</v>
      </c>
      <c r="K3464" s="672" t="s">
        <v>536</v>
      </c>
      <c r="L3464" s="672" t="s">
        <v>9024</v>
      </c>
    </row>
    <row r="3465" spans="1:12" x14ac:dyDescent="0.2">
      <c r="A3465" s="672" t="s">
        <v>220</v>
      </c>
      <c r="B3465" s="672" t="s">
        <v>2063</v>
      </c>
      <c r="C3465" s="672" t="s">
        <v>10425</v>
      </c>
      <c r="E3465" s="672" t="s">
        <v>545</v>
      </c>
      <c r="F3465" s="753">
        <v>184</v>
      </c>
      <c r="G3465" s="704">
        <v>76.33007473695298</v>
      </c>
      <c r="H3465" s="685">
        <v>14044.733751599348</v>
      </c>
      <c r="I3465" s="686" t="s">
        <v>9009</v>
      </c>
      <c r="J3465" s="672" t="s">
        <v>9024</v>
      </c>
      <c r="K3465" s="672" t="s">
        <v>536</v>
      </c>
      <c r="L3465" s="672" t="s">
        <v>9024</v>
      </c>
    </row>
    <row r="3466" spans="1:12" x14ac:dyDescent="0.2">
      <c r="A3466" s="672" t="s">
        <v>220</v>
      </c>
      <c r="B3466" s="672" t="s">
        <v>2063</v>
      </c>
      <c r="C3466" s="672" t="s">
        <v>2141</v>
      </c>
      <c r="E3466" s="672" t="s">
        <v>545</v>
      </c>
      <c r="F3466" s="753">
        <v>89</v>
      </c>
      <c r="G3466" s="704">
        <v>72.690253470847153</v>
      </c>
      <c r="H3466" s="685">
        <v>6469.4325589053969</v>
      </c>
      <c r="I3466" s="686" t="s">
        <v>9009</v>
      </c>
      <c r="J3466" s="672" t="s">
        <v>9024</v>
      </c>
      <c r="K3466" s="672" t="s">
        <v>536</v>
      </c>
      <c r="L3466" s="672" t="s">
        <v>9024</v>
      </c>
    </row>
    <row r="3467" spans="1:12" x14ac:dyDescent="0.2">
      <c r="A3467" s="672" t="s">
        <v>220</v>
      </c>
      <c r="B3467" s="672" t="s">
        <v>2063</v>
      </c>
      <c r="C3467" s="672" t="s">
        <v>2141</v>
      </c>
      <c r="E3467" s="672" t="s">
        <v>545</v>
      </c>
      <c r="F3467" s="753">
        <v>92</v>
      </c>
      <c r="G3467" s="704">
        <v>72.690253470847153</v>
      </c>
      <c r="H3467" s="685">
        <v>6687.5033193179379</v>
      </c>
      <c r="I3467" s="686" t="s">
        <v>9009</v>
      </c>
      <c r="J3467" s="672" t="s">
        <v>9024</v>
      </c>
      <c r="K3467" s="672" t="s">
        <v>536</v>
      </c>
      <c r="L3467" s="672" t="s">
        <v>9024</v>
      </c>
    </row>
    <row r="3468" spans="1:12" x14ac:dyDescent="0.2">
      <c r="A3468" s="672" t="s">
        <v>220</v>
      </c>
      <c r="B3468" s="672" t="s">
        <v>2063</v>
      </c>
      <c r="C3468" s="672" t="s">
        <v>2142</v>
      </c>
      <c r="E3468" s="672" t="s">
        <v>545</v>
      </c>
      <c r="F3468" s="753">
        <v>19</v>
      </c>
      <c r="G3468" s="704">
        <v>88.214069931369821</v>
      </c>
      <c r="H3468" s="685">
        <v>1676.0673286960266</v>
      </c>
      <c r="I3468" s="686" t="s">
        <v>9009</v>
      </c>
      <c r="J3468" s="672" t="s">
        <v>9024</v>
      </c>
      <c r="K3468" s="672" t="s">
        <v>536</v>
      </c>
      <c r="L3468" s="672" t="s">
        <v>9024</v>
      </c>
    </row>
    <row r="3469" spans="1:12" x14ac:dyDescent="0.2">
      <c r="A3469" s="672" t="s">
        <v>220</v>
      </c>
      <c r="B3469" s="672" t="s">
        <v>2063</v>
      </c>
      <c r="C3469" s="672" t="s">
        <v>9058</v>
      </c>
      <c r="E3469" s="672" t="s">
        <v>545</v>
      </c>
      <c r="F3469" s="753">
        <v>31</v>
      </c>
      <c r="G3469" s="704">
        <v>97.794540304046109</v>
      </c>
      <c r="H3469" s="685">
        <v>3031.6307494254293</v>
      </c>
      <c r="I3469" s="686" t="s">
        <v>9009</v>
      </c>
      <c r="J3469" s="672" t="s">
        <v>9024</v>
      </c>
      <c r="K3469" s="672" t="s">
        <v>536</v>
      </c>
      <c r="L3469" s="672" t="s">
        <v>9024</v>
      </c>
    </row>
    <row r="3470" spans="1:12" x14ac:dyDescent="0.2">
      <c r="A3470" s="672" t="s">
        <v>220</v>
      </c>
      <c r="B3470" s="672" t="s">
        <v>2063</v>
      </c>
      <c r="C3470" s="672" t="s">
        <v>10292</v>
      </c>
      <c r="E3470" s="672" t="s">
        <v>545</v>
      </c>
      <c r="F3470" s="753">
        <v>129</v>
      </c>
      <c r="G3470" s="704">
        <v>92.652714154295978</v>
      </c>
      <c r="H3470" s="685">
        <v>11952.200125904181</v>
      </c>
      <c r="I3470" s="686" t="s">
        <v>9009</v>
      </c>
      <c r="J3470" s="672" t="s">
        <v>9024</v>
      </c>
      <c r="K3470" s="672" t="s">
        <v>536</v>
      </c>
      <c r="L3470" s="672" t="s">
        <v>9024</v>
      </c>
    </row>
    <row r="3471" spans="1:12" x14ac:dyDescent="0.2">
      <c r="A3471" s="672" t="s">
        <v>220</v>
      </c>
      <c r="B3471" s="672" t="s">
        <v>2063</v>
      </c>
      <c r="C3471" s="672" t="s">
        <v>7654</v>
      </c>
      <c r="E3471" s="672" t="s">
        <v>545</v>
      </c>
      <c r="F3471" s="753">
        <v>32</v>
      </c>
      <c r="G3471" s="704">
        <v>98.502757277182653</v>
      </c>
      <c r="H3471" s="685">
        <v>3152.0882328698449</v>
      </c>
      <c r="I3471" s="686" t="s">
        <v>9009</v>
      </c>
      <c r="J3471" s="672" t="s">
        <v>9024</v>
      </c>
      <c r="K3471" s="672" t="s">
        <v>536</v>
      </c>
      <c r="L3471" s="672" t="s">
        <v>9024</v>
      </c>
    </row>
    <row r="3472" spans="1:12" x14ac:dyDescent="0.2">
      <c r="A3472" s="672" t="s">
        <v>220</v>
      </c>
      <c r="B3472" s="672" t="s">
        <v>2063</v>
      </c>
      <c r="C3472" s="672" t="s">
        <v>2086</v>
      </c>
      <c r="E3472" s="672" t="s">
        <v>545</v>
      </c>
      <c r="F3472" s="753">
        <v>6</v>
      </c>
      <c r="G3472" s="704">
        <v>112.53235250900947</v>
      </c>
      <c r="H3472" s="685">
        <v>675.19411505405685</v>
      </c>
      <c r="I3472" s="686" t="s">
        <v>9009</v>
      </c>
      <c r="J3472" s="672" t="s">
        <v>9024</v>
      </c>
      <c r="K3472" s="672" t="s">
        <v>536</v>
      </c>
      <c r="L3472" s="672" t="s">
        <v>9024</v>
      </c>
    </row>
    <row r="3473" spans="1:12" x14ac:dyDescent="0.2">
      <c r="A3473" s="672" t="s">
        <v>220</v>
      </c>
      <c r="B3473" s="672" t="s">
        <v>2063</v>
      </c>
      <c r="C3473" s="672" t="s">
        <v>2136</v>
      </c>
      <c r="E3473" s="672" t="s">
        <v>545</v>
      </c>
      <c r="F3473" s="753">
        <v>90</v>
      </c>
      <c r="G3473" s="704">
        <v>116.23662725163969</v>
      </c>
      <c r="H3473" s="685">
        <v>10461.296452647572</v>
      </c>
      <c r="I3473" s="686" t="s">
        <v>9009</v>
      </c>
      <c r="J3473" s="672" t="s">
        <v>9024</v>
      </c>
      <c r="K3473" s="672" t="s">
        <v>536</v>
      </c>
      <c r="L3473" s="672" t="s">
        <v>9024</v>
      </c>
    </row>
    <row r="3474" spans="1:12" x14ac:dyDescent="0.2">
      <c r="A3474" s="672" t="s">
        <v>220</v>
      </c>
      <c r="B3474" s="672" t="s">
        <v>2063</v>
      </c>
      <c r="C3474" s="672" t="s">
        <v>2136</v>
      </c>
      <c r="E3474" s="672" t="s">
        <v>545</v>
      </c>
      <c r="F3474" s="753">
        <v>31</v>
      </c>
      <c r="G3474" s="704">
        <v>116.23662725163969</v>
      </c>
      <c r="H3474" s="685">
        <v>3603.3354448008304</v>
      </c>
      <c r="I3474" s="686" t="s">
        <v>9009</v>
      </c>
      <c r="J3474" s="672" t="s">
        <v>9024</v>
      </c>
      <c r="K3474" s="672" t="s">
        <v>536</v>
      </c>
      <c r="L3474" s="672" t="s">
        <v>9024</v>
      </c>
    </row>
    <row r="3475" spans="1:12" x14ac:dyDescent="0.2">
      <c r="A3475" s="672" t="s">
        <v>220</v>
      </c>
      <c r="B3475" s="672" t="s">
        <v>2063</v>
      </c>
      <c r="C3475" s="672" t="s">
        <v>7624</v>
      </c>
      <c r="E3475" s="672" t="s">
        <v>545</v>
      </c>
      <c r="F3475" s="753">
        <v>113</v>
      </c>
      <c r="G3475" s="704">
        <v>127.85202238072894</v>
      </c>
      <c r="H3475" s="685">
        <v>14447.278529022371</v>
      </c>
      <c r="I3475" s="686" t="s">
        <v>9009</v>
      </c>
      <c r="J3475" s="672" t="s">
        <v>9024</v>
      </c>
      <c r="K3475" s="672" t="s">
        <v>536</v>
      </c>
      <c r="L3475" s="672" t="s">
        <v>9024</v>
      </c>
    </row>
    <row r="3476" spans="1:12" x14ac:dyDescent="0.2">
      <c r="A3476" s="672" t="s">
        <v>220</v>
      </c>
      <c r="B3476" s="672" t="s">
        <v>2063</v>
      </c>
      <c r="C3476" s="672" t="s">
        <v>10308</v>
      </c>
      <c r="E3476" s="672" t="s">
        <v>545</v>
      </c>
      <c r="F3476" s="753">
        <v>78</v>
      </c>
      <c r="G3476" s="704">
        <v>64.312929804905508</v>
      </c>
      <c r="H3476" s="685">
        <v>5016.4085247826297</v>
      </c>
      <c r="I3476" s="686" t="s">
        <v>9009</v>
      </c>
      <c r="J3476" s="672" t="s">
        <v>9024</v>
      </c>
      <c r="K3476" s="672" t="s">
        <v>536</v>
      </c>
      <c r="L3476" s="672" t="s">
        <v>9024</v>
      </c>
    </row>
    <row r="3477" spans="1:12" x14ac:dyDescent="0.2">
      <c r="A3477" s="672" t="s">
        <v>220</v>
      </c>
      <c r="B3477" s="672" t="s">
        <v>2063</v>
      </c>
      <c r="C3477" s="672" t="s">
        <v>2150</v>
      </c>
      <c r="E3477" s="672" t="s">
        <v>545</v>
      </c>
      <c r="F3477" s="753">
        <v>106</v>
      </c>
      <c r="G3477" s="704">
        <v>87.429880137172049</v>
      </c>
      <c r="H3477" s="685">
        <v>9267.5672945402366</v>
      </c>
      <c r="I3477" s="686" t="s">
        <v>9009</v>
      </c>
      <c r="J3477" s="672" t="s">
        <v>9024</v>
      </c>
      <c r="K3477" s="672" t="s">
        <v>536</v>
      </c>
      <c r="L3477" s="672" t="s">
        <v>9024</v>
      </c>
    </row>
    <row r="3478" spans="1:12" x14ac:dyDescent="0.2">
      <c r="A3478" s="672" t="s">
        <v>220</v>
      </c>
      <c r="B3478" s="672" t="s">
        <v>2063</v>
      </c>
      <c r="C3478" s="672" t="s">
        <v>2151</v>
      </c>
      <c r="E3478" s="672" t="s">
        <v>545</v>
      </c>
      <c r="F3478" s="753">
        <v>101</v>
      </c>
      <c r="G3478" s="704">
        <v>108.50455003875165</v>
      </c>
      <c r="H3478" s="685">
        <v>10958.959553913915</v>
      </c>
      <c r="I3478" s="686" t="s">
        <v>9009</v>
      </c>
      <c r="J3478" s="672" t="s">
        <v>9024</v>
      </c>
      <c r="K3478" s="672" t="s">
        <v>536</v>
      </c>
      <c r="L3478" s="672" t="s">
        <v>9024</v>
      </c>
    </row>
    <row r="3479" spans="1:12" x14ac:dyDescent="0.2">
      <c r="A3479" s="672" t="s">
        <v>220</v>
      </c>
      <c r="B3479" s="672" t="s">
        <v>2063</v>
      </c>
      <c r="C3479" s="672" t="s">
        <v>9055</v>
      </c>
      <c r="E3479" s="672" t="s">
        <v>545</v>
      </c>
      <c r="F3479" s="753">
        <v>28</v>
      </c>
      <c r="G3479" s="704">
        <v>91.202859279279139</v>
      </c>
      <c r="H3479" s="685">
        <v>2553.6800598198161</v>
      </c>
      <c r="I3479" s="686" t="s">
        <v>9009</v>
      </c>
      <c r="J3479" s="672" t="s">
        <v>9024</v>
      </c>
      <c r="K3479" s="672" t="s">
        <v>536</v>
      </c>
      <c r="L3479" s="672" t="s">
        <v>9024</v>
      </c>
    </row>
  </sheetData>
  <conditionalFormatting sqref="C33">
    <cfRule type="duplicateValues" dxfId="13" priority="1"/>
  </conditionalFormatting>
  <conditionalFormatting sqref="C258">
    <cfRule type="duplicateValues" dxfId="12" priority="2"/>
  </conditionalFormatting>
  <conditionalFormatting sqref="C595">
    <cfRule type="duplicateValues" dxfId="11" priority="14"/>
  </conditionalFormatting>
  <conditionalFormatting sqref="C609">
    <cfRule type="duplicateValues" dxfId="10" priority="13"/>
  </conditionalFormatting>
  <conditionalFormatting sqref="C622">
    <cfRule type="duplicateValues" dxfId="9" priority="12"/>
  </conditionalFormatting>
  <conditionalFormatting sqref="C637">
    <cfRule type="duplicateValues" dxfId="8" priority="11"/>
  </conditionalFormatting>
  <conditionalFormatting sqref="C647">
    <cfRule type="duplicateValues" dxfId="7" priority="10"/>
  </conditionalFormatting>
  <conditionalFormatting sqref="C1007">
    <cfRule type="duplicateValues" dxfId="6" priority="4"/>
  </conditionalFormatting>
  <conditionalFormatting sqref="C1016">
    <cfRule type="duplicateValues" dxfId="5" priority="6"/>
  </conditionalFormatting>
  <conditionalFormatting sqref="C1027">
    <cfRule type="duplicateValues" dxfId="4" priority="3"/>
  </conditionalFormatting>
  <conditionalFormatting sqref="C1036">
    <cfRule type="duplicateValues" dxfId="3" priority="5"/>
  </conditionalFormatting>
  <conditionalFormatting sqref="C3835">
    <cfRule type="duplicateValues" dxfId="2" priority="9"/>
  </conditionalFormatting>
  <conditionalFormatting sqref="C3858">
    <cfRule type="duplicateValues" dxfId="1" priority="8"/>
  </conditionalFormatting>
  <conditionalFormatting sqref="D3855">
    <cfRule type="cellIs" dxfId="0" priority="7" operator="lessThan">
      <formula>0</formula>
    </cfRule>
  </conditionalFormatting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rgb="FF00B050"/>
  </sheetPr>
  <dimension ref="A1:K894"/>
  <sheetViews>
    <sheetView topLeftCell="C8" workbookViewId="0">
      <selection activeCell="J21" sqref="J21"/>
    </sheetView>
  </sheetViews>
  <sheetFormatPr baseColWidth="10" defaultRowHeight="15" x14ac:dyDescent="0.25"/>
  <cols>
    <col min="1" max="1" width="10.5703125" style="763" hidden="1" customWidth="1"/>
    <col min="2" max="2" width="11" style="763" hidden="1" customWidth="1"/>
    <col min="3" max="3" width="3.5703125" style="763" customWidth="1"/>
    <col min="4" max="4" width="43.85546875" style="763" customWidth="1"/>
    <col min="5" max="5" width="18.7109375" style="763" customWidth="1"/>
    <col min="6" max="6" width="7.28515625" style="763" customWidth="1"/>
    <col min="7" max="7" width="18.7109375" style="763" customWidth="1"/>
    <col min="8" max="8" width="8.140625" style="763" customWidth="1"/>
    <col min="9" max="9" width="13.85546875" style="763" bestFit="1" customWidth="1"/>
    <col min="10" max="10" width="14.42578125" style="763" bestFit="1" customWidth="1"/>
    <col min="11" max="16384" width="11.42578125" style="763"/>
  </cols>
  <sheetData>
    <row r="1" spans="1:10" ht="26.25" hidden="1" customHeight="1" x14ac:dyDescent="0.4">
      <c r="A1" s="762" t="s">
        <v>220</v>
      </c>
      <c r="B1" s="763" t="s">
        <v>221</v>
      </c>
      <c r="D1" s="764" t="s">
        <v>222</v>
      </c>
      <c r="E1" s="765"/>
      <c r="F1" s="765"/>
      <c r="G1" s="765"/>
      <c r="H1" s="765"/>
    </row>
    <row r="2" spans="1:10" ht="26.25" x14ac:dyDescent="0.4">
      <c r="A2" s="766">
        <v>40179</v>
      </c>
      <c r="B2" s="766">
        <v>40543</v>
      </c>
      <c r="C2" s="767" t="s">
        <v>413</v>
      </c>
      <c r="D2" s="764"/>
      <c r="E2" s="765"/>
      <c r="F2" s="765"/>
      <c r="G2" s="765"/>
      <c r="H2" s="765"/>
    </row>
    <row r="3" spans="1:10" ht="19.5" customHeight="1" x14ac:dyDescent="0.25">
      <c r="A3" s="766">
        <v>39814</v>
      </c>
      <c r="B3" s="766">
        <v>40178</v>
      </c>
      <c r="C3" s="768"/>
    </row>
    <row r="4" spans="1:10" ht="18" x14ac:dyDescent="0.25">
      <c r="C4" s="769"/>
      <c r="D4" s="770"/>
      <c r="E4" s="771">
        <v>45657</v>
      </c>
      <c r="F4" s="772" t="s">
        <v>414</v>
      </c>
      <c r="G4" s="773">
        <v>45291</v>
      </c>
      <c r="H4" s="772" t="s">
        <v>414</v>
      </c>
    </row>
    <row r="5" spans="1:10" ht="13.5" customHeight="1" x14ac:dyDescent="0.25">
      <c r="C5" s="774"/>
      <c r="D5" s="775"/>
      <c r="E5" s="776"/>
      <c r="F5" s="777"/>
      <c r="G5" s="778"/>
      <c r="H5" s="777"/>
    </row>
    <row r="6" spans="1:10" x14ac:dyDescent="0.25">
      <c r="C6" s="779" t="s">
        <v>224</v>
      </c>
      <c r="D6" s="775"/>
      <c r="E6" s="776"/>
      <c r="F6" s="777"/>
      <c r="G6" s="778"/>
      <c r="H6" s="777"/>
      <c r="J6" s="780"/>
    </row>
    <row r="7" spans="1:10" x14ac:dyDescent="0.25">
      <c r="A7" s="763" t="s">
        <v>225</v>
      </c>
      <c r="B7" s="763" t="s">
        <v>226</v>
      </c>
      <c r="C7" s="774"/>
      <c r="D7" s="8" t="s">
        <v>206</v>
      </c>
      <c r="E7" s="782">
        <f>-SUMIF('BAL 12-24'!$J:$J,$D7,'BAL 12-24'!$I:$I)</f>
        <v>34712969.598999992</v>
      </c>
      <c r="F7" s="783"/>
      <c r="G7" s="784">
        <f>-SUMIF('BAL 12-23'!$H:$H,$D7,'BAL 12-23'!$G:$G)</f>
        <v>32036812.397</v>
      </c>
      <c r="H7" s="783"/>
    </row>
    <row r="8" spans="1:10" x14ac:dyDescent="0.25">
      <c r="C8" s="774"/>
      <c r="D8" s="781" t="s">
        <v>227</v>
      </c>
      <c r="E8" s="782">
        <f>-SUMIF('BAL 12-24'!$J:$J,$D8,'BAL 12-24'!$I:$I)</f>
        <v>43857750.809</v>
      </c>
      <c r="F8" s="783"/>
      <c r="G8" s="784">
        <f>-SUMIF('BAL 12-23'!$H:$H,$D8,'BAL 12-23'!$G:$G)</f>
        <v>19506673.700380001</v>
      </c>
      <c r="H8" s="783"/>
    </row>
    <row r="9" spans="1:10" x14ac:dyDescent="0.25">
      <c r="C9" s="774"/>
      <c r="D9" s="781" t="s">
        <v>10441</v>
      </c>
      <c r="E9" s="782">
        <f>-SUMIF('BAL 12-24'!$J:$J,$D9,'BAL 12-24'!$I:$I)</f>
        <v>0</v>
      </c>
      <c r="F9" s="783"/>
      <c r="G9" s="784">
        <f>-SUMIF('BAL 12-23'!$H:$H,$D9,'BAL 12-23'!$G:$G)</f>
        <v>0</v>
      </c>
      <c r="H9" s="783"/>
    </row>
    <row r="10" spans="1:10" x14ac:dyDescent="0.25">
      <c r="A10" s="763" t="s">
        <v>225</v>
      </c>
      <c r="B10" s="763" t="s">
        <v>228</v>
      </c>
      <c r="C10" s="774"/>
      <c r="D10" s="781" t="s">
        <v>214</v>
      </c>
      <c r="E10" s="782">
        <f>-SUMIF('BAL 12-24'!$J:$J,$D10,'BAL 12-24'!$I:$I)</f>
        <v>1442655.2780000002</v>
      </c>
      <c r="F10" s="783"/>
      <c r="G10" s="784">
        <f>-SUMIF('BAL 12-23'!$H:$H,$D10,'BAL 12-23'!$G:$G)</f>
        <v>514542.136</v>
      </c>
      <c r="H10" s="783"/>
    </row>
    <row r="11" spans="1:10" ht="15.75" thickBot="1" x14ac:dyDescent="0.3">
      <c r="A11" s="763" t="s">
        <v>225</v>
      </c>
      <c r="B11" s="763" t="s">
        <v>229</v>
      </c>
      <c r="C11" s="774"/>
      <c r="D11" s="775" t="s">
        <v>230</v>
      </c>
      <c r="E11" s="782"/>
      <c r="F11" s="777"/>
      <c r="G11" s="784"/>
      <c r="H11" s="777"/>
    </row>
    <row r="12" spans="1:10" x14ac:dyDescent="0.25">
      <c r="C12" s="779" t="s">
        <v>231</v>
      </c>
      <c r="D12" s="775"/>
      <c r="E12" s="785">
        <f>SUM(E7:E11)</f>
        <v>80013375.68599999</v>
      </c>
      <c r="F12" s="786"/>
      <c r="G12" s="787">
        <f>SUM(G7:G11)</f>
        <v>52058028.233379997</v>
      </c>
      <c r="H12" s="786"/>
    </row>
    <row r="13" spans="1:10" ht="5.25" customHeight="1" x14ac:dyDescent="0.25">
      <c r="C13" s="779"/>
      <c r="D13" s="775"/>
      <c r="E13" s="782"/>
      <c r="F13" s="777"/>
      <c r="G13" s="784"/>
      <c r="H13" s="777"/>
    </row>
    <row r="14" spans="1:10" ht="5.25" customHeight="1" x14ac:dyDescent="0.25">
      <c r="C14" s="774"/>
      <c r="D14" s="775"/>
      <c r="E14" s="782"/>
      <c r="F14" s="777"/>
      <c r="G14" s="784"/>
      <c r="H14" s="777"/>
    </row>
    <row r="15" spans="1:10" x14ac:dyDescent="0.25">
      <c r="C15" s="779" t="s">
        <v>232</v>
      </c>
      <c r="D15" s="775"/>
      <c r="E15" s="782"/>
      <c r="F15" s="777"/>
      <c r="G15" s="784"/>
      <c r="H15" s="777"/>
    </row>
    <row r="16" spans="1:10" x14ac:dyDescent="0.25">
      <c r="C16" s="779"/>
      <c r="D16" s="775" t="s">
        <v>210</v>
      </c>
      <c r="E16" s="782">
        <f>-SUMIF('BAL 12-24'!$J:$J,$D16,'BAL 12-24'!$I:$I)</f>
        <v>500351.48000001488</v>
      </c>
      <c r="F16" s="783"/>
      <c r="G16" s="784">
        <f>-SUMIF('BAL 12-23'!$H:$H,$D16,'BAL 12-23'!$G:$G)</f>
        <v>861776.22900000028</v>
      </c>
      <c r="H16" s="783"/>
    </row>
    <row r="17" spans="1:11" x14ac:dyDescent="0.25">
      <c r="A17" s="763" t="s">
        <v>233</v>
      </c>
      <c r="B17" s="763" t="s">
        <v>234</v>
      </c>
      <c r="C17" s="774"/>
      <c r="D17" s="775" t="s">
        <v>138</v>
      </c>
      <c r="E17" s="782">
        <f>-SUMIF('BAL 12-24'!$J:$J,$D17,'BAL 12-24'!$I:$I)</f>
        <v>-52420846.652646497</v>
      </c>
      <c r="F17" s="788">
        <f>-(E17+E16)/E12</f>
        <v>0.64889769651014806</v>
      </c>
      <c r="G17" s="784">
        <f>-SUMIF('BAL 12-23'!$H:$H,$D17,'BAL 12-23'!$G:$G)</f>
        <v>-34339786.635755971</v>
      </c>
      <c r="H17" s="788">
        <f>-(G17+G16)/G12</f>
        <v>0.64309025030052169</v>
      </c>
    </row>
    <row r="18" spans="1:11" x14ac:dyDescent="0.25">
      <c r="A18" s="763" t="s">
        <v>233</v>
      </c>
      <c r="B18" s="763" t="s">
        <v>235</v>
      </c>
      <c r="C18" s="774"/>
      <c r="D18" s="775" t="s">
        <v>192</v>
      </c>
      <c r="E18" s="782">
        <f>-SUMIF('BAL 12-24'!$J:$J,$D18,'BAL 12-24'!$I:$I)</f>
        <v>-5833205.6649999991</v>
      </c>
      <c r="F18" s="788">
        <f>-E18/E12</f>
        <v>7.2902881736817415E-2</v>
      </c>
      <c r="G18" s="784">
        <f>-SUMIF('BAL 12-23'!$H:$H,$D18,'BAL 12-23'!$G:$G)</f>
        <v>-5287785.6439999994</v>
      </c>
      <c r="H18" s="788">
        <f>-G18/G12</f>
        <v>0.1015748353029136</v>
      </c>
    </row>
    <row r="19" spans="1:11" x14ac:dyDescent="0.25">
      <c r="A19" s="763" t="s">
        <v>233</v>
      </c>
      <c r="B19" s="763" t="s">
        <v>236</v>
      </c>
      <c r="C19" s="774"/>
      <c r="D19" s="242" t="s">
        <v>7715</v>
      </c>
      <c r="E19" s="782">
        <f>-SUMIF('BAL 12-24'!$J:$J,$D19,'BAL 12-24'!$I:$I)</f>
        <v>-1152856.9070000001</v>
      </c>
      <c r="F19" s="788"/>
      <c r="G19" s="784">
        <f>-SUMIF('BAL 12-23'!$H:$H,$D19,'BAL 12-23'!$G:$G)</f>
        <v>0</v>
      </c>
      <c r="H19" s="788"/>
    </row>
    <row r="20" spans="1:11" x14ac:dyDescent="0.25">
      <c r="A20" s="763" t="s">
        <v>233</v>
      </c>
      <c r="B20" s="763" t="s">
        <v>236</v>
      </c>
      <c r="C20" s="774"/>
      <c r="D20" s="775" t="s">
        <v>203</v>
      </c>
      <c r="E20" s="782">
        <f>-SUMIF('BAL 12-24'!$J:$J,$D20,'BAL 12-24'!$I:$I)</f>
        <v>-3094127.3080000021</v>
      </c>
      <c r="F20" s="788">
        <f>-E20/E12</f>
        <v>3.8670125856737028E-2</v>
      </c>
      <c r="G20" s="784">
        <f>-SUMIF('BAL 12-23'!$H:$H,$D20,'BAL 12-23'!$G:$G)</f>
        <v>-2490371.8530000001</v>
      </c>
      <c r="H20" s="788">
        <f>-G20/G12</f>
        <v>4.7838382234445732E-2</v>
      </c>
    </row>
    <row r="21" spans="1:11" ht="15.75" thickBot="1" x14ac:dyDescent="0.3">
      <c r="A21" s="763" t="s">
        <v>233</v>
      </c>
      <c r="B21" s="763" t="s">
        <v>237</v>
      </c>
      <c r="C21" s="774"/>
      <c r="D21" s="775" t="s">
        <v>157</v>
      </c>
      <c r="E21" s="782">
        <f>-SUMIF('BAL 12-24'!$J:$J,$D21,'BAL 12-24'!$I:$I)</f>
        <v>-5318714.4267940037</v>
      </c>
      <c r="F21" s="788">
        <f>-E21/E12</f>
        <v>6.6472816340938656E-2</v>
      </c>
      <c r="G21" s="784">
        <f>-SUMIF('BAL 12-23'!$H:$H,$D21,'BAL 12-23'!$G:$G)</f>
        <v>-4060102.4519174984</v>
      </c>
      <c r="H21" s="788">
        <f>-G21/G12</f>
        <v>7.7991860039641883E-2</v>
      </c>
    </row>
    <row r="22" spans="1:11" x14ac:dyDescent="0.25">
      <c r="C22" s="779" t="s">
        <v>238</v>
      </c>
      <c r="D22" s="775"/>
      <c r="E22" s="785">
        <f>SUM(E16:E21)</f>
        <v>-67319399.479440495</v>
      </c>
      <c r="F22" s="789">
        <f>-E22/E12</f>
        <v>0.84135182277054499</v>
      </c>
      <c r="G22" s="787">
        <f>SUM(G16:G21)</f>
        <v>-45316270.35567347</v>
      </c>
      <c r="H22" s="789">
        <f>-G22/G12</f>
        <v>0.87049532787752304</v>
      </c>
      <c r="K22" s="784"/>
    </row>
    <row r="23" spans="1:11" ht="5.25" customHeight="1" thickBot="1" x14ac:dyDescent="0.3">
      <c r="C23" s="774"/>
      <c r="D23" s="775"/>
      <c r="E23" s="782"/>
      <c r="F23" s="777"/>
      <c r="G23" s="784"/>
      <c r="H23" s="777"/>
    </row>
    <row r="24" spans="1:11" x14ac:dyDescent="0.25">
      <c r="C24" s="790" t="s">
        <v>239</v>
      </c>
      <c r="D24" s="775"/>
      <c r="E24" s="791">
        <f>+E12+E22</f>
        <v>12693976.206559494</v>
      </c>
      <c r="F24" s="792">
        <f>+E24/E12</f>
        <v>0.15864817722945504</v>
      </c>
      <c r="G24" s="793">
        <f>+G12+G22</f>
        <v>6741757.8777065277</v>
      </c>
      <c r="H24" s="792">
        <f>+G24/G12</f>
        <v>0.12950467212247702</v>
      </c>
      <c r="J24" s="794"/>
    </row>
    <row r="25" spans="1:11" ht="5.25" customHeight="1" x14ac:dyDescent="0.25">
      <c r="C25" s="774"/>
      <c r="D25" s="775"/>
      <c r="E25" s="782"/>
      <c r="F25" s="777"/>
      <c r="G25" s="784"/>
      <c r="H25" s="777"/>
    </row>
    <row r="26" spans="1:11" ht="5.25" customHeight="1" x14ac:dyDescent="0.25">
      <c r="C26" s="774"/>
      <c r="D26" s="775"/>
      <c r="E26" s="782"/>
      <c r="F26" s="777"/>
      <c r="G26" s="784"/>
      <c r="H26" s="777"/>
    </row>
    <row r="27" spans="1:11" ht="5.25" customHeight="1" x14ac:dyDescent="0.25">
      <c r="C27" s="774"/>
      <c r="D27" s="775"/>
      <c r="E27" s="782"/>
      <c r="F27" s="777"/>
      <c r="G27" s="784"/>
      <c r="H27" s="777"/>
    </row>
    <row r="28" spans="1:11" ht="5.25" customHeight="1" x14ac:dyDescent="0.25">
      <c r="C28" s="774"/>
      <c r="D28" s="775"/>
      <c r="E28" s="782"/>
      <c r="F28" s="777"/>
      <c r="G28" s="784"/>
      <c r="H28" s="777"/>
    </row>
    <row r="29" spans="1:11" x14ac:dyDescent="0.25">
      <c r="A29" s="763" t="s">
        <v>240</v>
      </c>
      <c r="B29" s="763" t="s">
        <v>241</v>
      </c>
      <c r="C29" s="774"/>
      <c r="D29" s="775" t="s">
        <v>195</v>
      </c>
      <c r="E29" s="782">
        <f>-SUMIF('BAL 12-24'!$J:$J,$D29,'BAL 12-24'!$I:$I)</f>
        <v>-2221912.3679999998</v>
      </c>
      <c r="F29" s="788">
        <f>-E29/E12</f>
        <v>2.7769261688440044E-2</v>
      </c>
      <c r="G29" s="784">
        <f>-SUMIF('BAL 12-23'!$H:$H,$D29,'BAL 12-23'!$G:$G)</f>
        <v>-2016758.4039999996</v>
      </c>
      <c r="H29" s="788">
        <f>-G29/G12</f>
        <v>3.8740583776218383E-2</v>
      </c>
    </row>
    <row r="30" spans="1:11" x14ac:dyDescent="0.25">
      <c r="A30" s="763" t="s">
        <v>240</v>
      </c>
      <c r="B30" s="763" t="s">
        <v>242</v>
      </c>
      <c r="C30" s="774"/>
      <c r="D30" s="781" t="s">
        <v>243</v>
      </c>
      <c r="E30" s="782">
        <f>-SUMIF('BAL 12-24'!$J:$J,$D30,'BAL 12-24'!$I:$I)</f>
        <v>0</v>
      </c>
      <c r="F30" s="783"/>
      <c r="G30" s="784">
        <f>-SUMIF('BAL 12-23'!$H:$H,$D30,'BAL 12-23'!$G:$G)</f>
        <v>0</v>
      </c>
      <c r="H30" s="783"/>
    </row>
    <row r="31" spans="1:11" x14ac:dyDescent="0.25">
      <c r="A31" s="763" t="s">
        <v>240</v>
      </c>
      <c r="B31" s="763" t="s">
        <v>244</v>
      </c>
      <c r="C31" s="774"/>
      <c r="D31" s="775" t="s">
        <v>212</v>
      </c>
      <c r="E31" s="782">
        <f>-SUMIF('BAL 12-24'!$J:$J,$D31,'BAL 12-24'!$I:$I)</f>
        <v>0</v>
      </c>
      <c r="F31" s="783"/>
      <c r="G31" s="784">
        <f>-SUMIF('BAL 12-23'!$H:$H,$D31,'BAL 12-23'!$G:$G)</f>
        <v>0</v>
      </c>
      <c r="H31" s="783"/>
    </row>
    <row r="32" spans="1:11" ht="15.75" thickBot="1" x14ac:dyDescent="0.3">
      <c r="A32" s="763" t="s">
        <v>240</v>
      </c>
      <c r="B32" s="763" t="s">
        <v>245</v>
      </c>
      <c r="C32" s="774"/>
      <c r="D32" s="781" t="s">
        <v>190</v>
      </c>
      <c r="E32" s="782">
        <f>-SUMIF('BAL 12-24'!$J:$J,$D32,'BAL 12-24'!$I:$I)</f>
        <v>-16745.715</v>
      </c>
      <c r="F32" s="783"/>
      <c r="G32" s="784">
        <f>-SUMIF('BAL 12-23'!$H:$H,$D32,'BAL 12-23'!$G:$G)</f>
        <v>-22580.147999999997</v>
      </c>
      <c r="H32" s="783"/>
    </row>
    <row r="33" spans="1:11" x14ac:dyDescent="0.25">
      <c r="B33" s="763" t="s">
        <v>246</v>
      </c>
      <c r="C33" s="790" t="s">
        <v>247</v>
      </c>
      <c r="D33" s="775"/>
      <c r="E33" s="791">
        <f>SUM(E24:E32)</f>
        <v>10455318.123559494</v>
      </c>
      <c r="F33" s="792">
        <f>+E33/E12</f>
        <v>0.13066962909538724</v>
      </c>
      <c r="G33" s="793">
        <f>SUM(G24:G32)</f>
        <v>4702419.3257065285</v>
      </c>
      <c r="H33" s="792">
        <f>+G33/G12</f>
        <v>9.0330338763989187E-2</v>
      </c>
    </row>
    <row r="34" spans="1:11" ht="15.75" thickBot="1" x14ac:dyDescent="0.3">
      <c r="A34" s="763" t="s">
        <v>248</v>
      </c>
      <c r="B34" s="763" t="s">
        <v>204</v>
      </c>
      <c r="C34" s="774"/>
      <c r="D34" s="781" t="s">
        <v>204</v>
      </c>
      <c r="E34" s="782">
        <f>-SUMIF('BAL 12-24'!$J:$J,$D34,'BAL 12-24'!$I:$I)</f>
        <v>0</v>
      </c>
      <c r="F34" s="795"/>
      <c r="G34" s="784">
        <f>-SUMIF('BAL 12-23'!$H:$H,$D34,'BAL 12-23'!$G:$G)</f>
        <v>-205043.10000000003</v>
      </c>
      <c r="H34" s="795"/>
      <c r="K34" s="780"/>
    </row>
    <row r="35" spans="1:11" x14ac:dyDescent="0.25">
      <c r="B35" s="763" t="s">
        <v>249</v>
      </c>
      <c r="C35" s="790" t="s">
        <v>10442</v>
      </c>
      <c r="D35" s="775"/>
      <c r="E35" s="791">
        <f>+E33+E34</f>
        <v>10455318.123559494</v>
      </c>
      <c r="F35" s="796"/>
      <c r="G35" s="793">
        <f>+G33+G34</f>
        <v>4497376.2257065289</v>
      </c>
      <c r="H35" s="796"/>
    </row>
    <row r="36" spans="1:11" ht="5.25" customHeight="1" x14ac:dyDescent="0.25">
      <c r="C36" s="790"/>
      <c r="D36" s="775"/>
      <c r="E36" s="782"/>
      <c r="F36" s="777"/>
      <c r="G36" s="784"/>
      <c r="H36" s="777"/>
    </row>
    <row r="37" spans="1:11" ht="5.25" customHeight="1" x14ac:dyDescent="0.25">
      <c r="C37" s="790"/>
      <c r="D37" s="775"/>
      <c r="E37" s="782"/>
      <c r="F37" s="777"/>
      <c r="G37" s="784"/>
      <c r="H37" s="777"/>
    </row>
    <row r="38" spans="1:11" ht="5.25" customHeight="1" x14ac:dyDescent="0.25">
      <c r="C38" s="790"/>
      <c r="D38" s="775"/>
      <c r="E38" s="782"/>
      <c r="F38" s="777"/>
      <c r="G38" s="784"/>
      <c r="H38" s="777"/>
    </row>
    <row r="39" spans="1:11" x14ac:dyDescent="0.25">
      <c r="A39" s="763" t="s">
        <v>250</v>
      </c>
      <c r="B39" s="763" t="s">
        <v>251</v>
      </c>
      <c r="C39" s="774"/>
      <c r="D39" s="781" t="s">
        <v>251</v>
      </c>
      <c r="E39" s="782" t="e">
        <f>-SUMIF('[1]BAL GEN 23'!$H:$H,$D$39,'[1]BAL GEN 23'!$G:$G)</f>
        <v>#VALUE!</v>
      </c>
      <c r="F39" s="783"/>
      <c r="G39" s="784" t="e">
        <f>-SUMIF('[1]BAL GEN 22'!$H:$H,$D$39,'[1]BAL GEN 22'!$G:$G)</f>
        <v>#VALUE!</v>
      </c>
      <c r="H39" s="783"/>
    </row>
    <row r="40" spans="1:11" ht="5.25" customHeight="1" x14ac:dyDescent="0.25">
      <c r="C40" s="774"/>
      <c r="D40" s="775"/>
      <c r="E40" s="782"/>
      <c r="F40" s="777"/>
      <c r="G40" s="784"/>
      <c r="H40" s="777"/>
    </row>
    <row r="41" spans="1:11" ht="14.25" customHeight="1" x14ac:dyDescent="0.25">
      <c r="C41" s="797" t="s">
        <v>252</v>
      </c>
      <c r="D41" s="775"/>
      <c r="E41" s="798" t="e">
        <f>+E35+E39</f>
        <v>#VALUE!</v>
      </c>
      <c r="F41" s="799"/>
      <c r="G41" s="800" t="e">
        <f>+G35+G39</f>
        <v>#VALUE!</v>
      </c>
      <c r="H41" s="799"/>
    </row>
    <row r="42" spans="1:11" ht="5.25" customHeight="1" x14ac:dyDescent="0.25">
      <c r="C42" s="797"/>
      <c r="D42" s="775"/>
      <c r="E42" s="782"/>
      <c r="F42" s="777"/>
      <c r="G42" s="784"/>
      <c r="H42" s="777"/>
    </row>
    <row r="43" spans="1:11" ht="5.25" customHeight="1" x14ac:dyDescent="0.25">
      <c r="C43" s="797"/>
      <c r="D43" s="775"/>
      <c r="E43" s="782"/>
      <c r="F43" s="777"/>
      <c r="G43" s="784"/>
      <c r="H43" s="777"/>
    </row>
    <row r="44" spans="1:11" x14ac:dyDescent="0.25">
      <c r="C44" s="797" t="s">
        <v>252</v>
      </c>
      <c r="D44" s="775"/>
      <c r="E44" s="798" t="e">
        <f>+E41</f>
        <v>#VALUE!</v>
      </c>
      <c r="F44" s="799"/>
      <c r="G44" s="800" t="e">
        <f>+G41</f>
        <v>#VALUE!</v>
      </c>
      <c r="H44" s="799"/>
    </row>
    <row r="45" spans="1:11" ht="5.25" customHeight="1" x14ac:dyDescent="0.25">
      <c r="C45" s="797"/>
      <c r="D45" s="775"/>
      <c r="E45" s="782"/>
      <c r="F45" s="777"/>
      <c r="G45" s="784"/>
      <c r="H45" s="777"/>
    </row>
    <row r="46" spans="1:11" x14ac:dyDescent="0.25">
      <c r="C46" s="797" t="s">
        <v>10443</v>
      </c>
      <c r="D46" s="775"/>
      <c r="E46" s="798">
        <v>0</v>
      </c>
      <c r="F46" s="799"/>
      <c r="G46" s="800">
        <v>0</v>
      </c>
      <c r="H46" s="799"/>
      <c r="I46" s="780"/>
    </row>
    <row r="47" spans="1:11" ht="5.25" customHeight="1" x14ac:dyDescent="0.25">
      <c r="C47" s="797"/>
      <c r="D47" s="775"/>
      <c r="E47" s="782"/>
      <c r="F47" s="777"/>
      <c r="G47" s="784"/>
      <c r="H47" s="777"/>
    </row>
    <row r="48" spans="1:11" x14ac:dyDescent="0.25">
      <c r="C48" s="797" t="s">
        <v>10444</v>
      </c>
      <c r="D48" s="775"/>
      <c r="E48" s="798" t="e">
        <f>+E46+E44</f>
        <v>#VALUE!</v>
      </c>
      <c r="F48" s="799"/>
      <c r="G48" s="800" t="e">
        <f>+G46+G44</f>
        <v>#VALUE!</v>
      </c>
      <c r="H48" s="799"/>
    </row>
    <row r="49" spans="3:8" ht="5.25" customHeight="1" x14ac:dyDescent="0.25">
      <c r="C49" s="801"/>
      <c r="D49" s="802"/>
      <c r="E49" s="803"/>
      <c r="F49" s="804"/>
      <c r="G49" s="805"/>
      <c r="H49" s="804"/>
    </row>
    <row r="54" spans="3:8" x14ac:dyDescent="0.25">
      <c r="E54" s="806"/>
    </row>
    <row r="60" spans="3:8" x14ac:dyDescent="0.25">
      <c r="E60" s="784"/>
    </row>
    <row r="882" spans="1:1" x14ac:dyDescent="0.25">
      <c r="A882" s="763" t="s">
        <v>253</v>
      </c>
    </row>
    <row r="883" spans="1:1" x14ac:dyDescent="0.25">
      <c r="A883" s="763" t="s">
        <v>254</v>
      </c>
    </row>
    <row r="884" spans="1:1" x14ac:dyDescent="0.25">
      <c r="A884" s="763" t="s">
        <v>255</v>
      </c>
    </row>
    <row r="885" spans="1:1" x14ac:dyDescent="0.25">
      <c r="A885" s="763" t="s">
        <v>256</v>
      </c>
    </row>
    <row r="886" spans="1:1" x14ac:dyDescent="0.25">
      <c r="A886" s="763" t="s">
        <v>254</v>
      </c>
    </row>
    <row r="887" spans="1:1" x14ac:dyDescent="0.25">
      <c r="A887" s="763" t="s">
        <v>255</v>
      </c>
    </row>
    <row r="888" spans="1:1" x14ac:dyDescent="0.25">
      <c r="A888" s="763" t="s">
        <v>257</v>
      </c>
    </row>
    <row r="889" spans="1:1" x14ac:dyDescent="0.25">
      <c r="A889" s="763" t="s">
        <v>254</v>
      </c>
    </row>
    <row r="890" spans="1:1" x14ac:dyDescent="0.25">
      <c r="A890" s="763" t="s">
        <v>255</v>
      </c>
    </row>
    <row r="891" spans="1:1" x14ac:dyDescent="0.25">
      <c r="A891" s="763" t="s">
        <v>258</v>
      </c>
    </row>
    <row r="892" spans="1:1" x14ac:dyDescent="0.25">
      <c r="A892" s="763" t="s">
        <v>254</v>
      </c>
    </row>
    <row r="893" spans="1:1" x14ac:dyDescent="0.25">
      <c r="A893" s="763" t="s">
        <v>255</v>
      </c>
    </row>
    <row r="894" spans="1:1" x14ac:dyDescent="0.25">
      <c r="A894" s="763" t="s">
        <v>259</v>
      </c>
    </row>
  </sheetData>
  <pageMargins left="0.7" right="0.7" top="0.75" bottom="0.75" header="0.3" footer="0.3"/>
  <ignoredErrors>
    <ignoredError sqref="G17:G21 F22:F24 G29 G33" formula="1"/>
  </ignoredError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K346"/>
  <sheetViews>
    <sheetView workbookViewId="0">
      <pane ySplit="1" topLeftCell="A2" activePane="bottomLeft" state="frozen"/>
      <selection pane="bottomLeft" activeCell="K13" sqref="K13"/>
    </sheetView>
  </sheetViews>
  <sheetFormatPr baseColWidth="10" defaultRowHeight="11.25" x14ac:dyDescent="0.2"/>
  <cols>
    <col min="1" max="1" width="14.42578125" style="302" bestFit="1" customWidth="1"/>
    <col min="2" max="2" width="23.7109375" style="302" bestFit="1" customWidth="1"/>
    <col min="3" max="3" width="15.140625" style="305" bestFit="1" customWidth="1"/>
    <col min="4" max="5" width="13.28515625" style="305" bestFit="1" customWidth="1"/>
    <col min="6" max="7" width="14.42578125" style="305" bestFit="1" customWidth="1"/>
    <col min="8" max="8" width="13.140625" style="305" bestFit="1" customWidth="1"/>
    <col min="9" max="9" width="13.28515625" style="305" bestFit="1" customWidth="1"/>
    <col min="10" max="10" width="25" style="302" customWidth="1"/>
    <col min="11" max="16384" width="11.42578125" style="302"/>
  </cols>
  <sheetData>
    <row r="1" spans="1:11" x14ac:dyDescent="0.2">
      <c r="A1" s="6" t="s">
        <v>1</v>
      </c>
      <c r="B1" s="6" t="s">
        <v>0</v>
      </c>
      <c r="C1" s="7" t="s">
        <v>5</v>
      </c>
      <c r="D1" s="7" t="s">
        <v>2</v>
      </c>
      <c r="E1" s="7" t="s">
        <v>260</v>
      </c>
      <c r="F1" s="7" t="s">
        <v>218</v>
      </c>
      <c r="G1" s="7" t="s">
        <v>219</v>
      </c>
      <c r="H1" s="7" t="s">
        <v>6</v>
      </c>
      <c r="I1" s="7" t="s">
        <v>217</v>
      </c>
      <c r="J1" s="6" t="s">
        <v>384</v>
      </c>
    </row>
    <row r="2" spans="1:11" x14ac:dyDescent="0.2">
      <c r="A2" s="10">
        <v>10100000</v>
      </c>
      <c r="B2" s="10" t="s">
        <v>7</v>
      </c>
      <c r="C2" s="11">
        <v>-13500000</v>
      </c>
      <c r="D2" s="11">
        <v>0</v>
      </c>
      <c r="E2" s="11">
        <v>0</v>
      </c>
      <c r="F2" s="13">
        <v>0</v>
      </c>
      <c r="G2" s="13">
        <v>0</v>
      </c>
      <c r="H2" s="14">
        <f>+D2+F2-E2-G2</f>
        <v>0</v>
      </c>
      <c r="I2" s="14">
        <f>+H2+C2</f>
        <v>-13500000</v>
      </c>
      <c r="J2" s="598" t="s">
        <v>8</v>
      </c>
      <c r="K2" s="8"/>
    </row>
    <row r="3" spans="1:11" x14ac:dyDescent="0.2">
      <c r="A3" s="10">
        <v>11101000</v>
      </c>
      <c r="B3" s="10" t="s">
        <v>9</v>
      </c>
      <c r="C3" s="11">
        <v>-1200000</v>
      </c>
      <c r="D3" s="11">
        <v>0</v>
      </c>
      <c r="E3" s="11">
        <v>0</v>
      </c>
      <c r="F3" s="13">
        <v>0</v>
      </c>
      <c r="G3" s="13">
        <v>0</v>
      </c>
      <c r="H3" s="14">
        <f t="shared" ref="H3:H66" si="0">+D3+F3-E3-G3</f>
        <v>0</v>
      </c>
      <c r="I3" s="14">
        <f t="shared" ref="I3:I66" si="1">+H3+C3</f>
        <v>-1200000</v>
      </c>
      <c r="J3" s="598" t="s">
        <v>10</v>
      </c>
      <c r="K3" s="8"/>
    </row>
    <row r="4" spans="1:11" x14ac:dyDescent="0.2">
      <c r="A4" s="10">
        <v>12100000</v>
      </c>
      <c r="B4" s="10" t="s">
        <v>11</v>
      </c>
      <c r="C4" s="11">
        <v>-17517372.004645001</v>
      </c>
      <c r="D4" s="11">
        <v>0</v>
      </c>
      <c r="E4" s="11">
        <v>0</v>
      </c>
      <c r="F4" s="13">
        <v>0</v>
      </c>
      <c r="G4" s="13">
        <v>0</v>
      </c>
      <c r="H4" s="14">
        <f t="shared" si="0"/>
        <v>0</v>
      </c>
      <c r="I4" s="14">
        <f t="shared" si="1"/>
        <v>-17517372.004645001</v>
      </c>
      <c r="J4" s="598" t="s">
        <v>12</v>
      </c>
      <c r="K4" s="8"/>
    </row>
    <row r="5" spans="1:11" x14ac:dyDescent="0.2">
      <c r="A5" s="10">
        <v>12200000</v>
      </c>
      <c r="B5" s="10" t="s">
        <v>272</v>
      </c>
      <c r="C5" s="11">
        <v>0</v>
      </c>
      <c r="D5" s="11">
        <v>0</v>
      </c>
      <c r="E5" s="11">
        <v>0</v>
      </c>
      <c r="F5" s="13">
        <v>0</v>
      </c>
      <c r="G5" s="13">
        <v>0</v>
      </c>
      <c r="H5" s="14">
        <f t="shared" si="0"/>
        <v>0</v>
      </c>
      <c r="I5" s="14">
        <f t="shared" si="1"/>
        <v>0</v>
      </c>
      <c r="J5" s="598"/>
      <c r="K5" s="8"/>
    </row>
    <row r="6" spans="1:11" x14ac:dyDescent="0.2">
      <c r="A6" s="10">
        <v>12800000</v>
      </c>
      <c r="B6" s="10" t="s">
        <v>13</v>
      </c>
      <c r="C6" s="11">
        <f>3022190.195+2537641.364-2433533.549</f>
        <v>3126298.0100000002</v>
      </c>
      <c r="D6" s="11">
        <f>2531585.108+2433533.549</f>
        <v>4965118.6569999997</v>
      </c>
      <c r="E6" s="11">
        <f>2433533.549+2531585.108</f>
        <v>4965118.6569999997</v>
      </c>
      <c r="F6" s="13">
        <v>0</v>
      </c>
      <c r="G6" s="13">
        <v>0</v>
      </c>
      <c r="H6" s="14">
        <f t="shared" si="0"/>
        <v>0</v>
      </c>
      <c r="I6" s="14">
        <f t="shared" si="1"/>
        <v>3126298.0100000002</v>
      </c>
      <c r="J6" s="598" t="s">
        <v>14</v>
      </c>
      <c r="K6" s="8"/>
    </row>
    <row r="7" spans="1:11" x14ac:dyDescent="0.2">
      <c r="A7" s="10">
        <v>13000000</v>
      </c>
      <c r="B7" s="10" t="s">
        <v>273</v>
      </c>
      <c r="C7" s="11">
        <v>0</v>
      </c>
      <c r="D7" s="11">
        <v>0</v>
      </c>
      <c r="E7" s="11">
        <v>0</v>
      </c>
      <c r="F7" s="13">
        <v>0</v>
      </c>
      <c r="G7" s="13">
        <v>0</v>
      </c>
      <c r="H7" s="14">
        <f t="shared" si="0"/>
        <v>0</v>
      </c>
      <c r="I7" s="14">
        <f t="shared" si="1"/>
        <v>0</v>
      </c>
      <c r="J7" s="598"/>
      <c r="K7" s="8"/>
    </row>
    <row r="8" spans="1:11" x14ac:dyDescent="0.2">
      <c r="A8" s="10">
        <v>14500000</v>
      </c>
      <c r="B8" s="10" t="s">
        <v>15</v>
      </c>
      <c r="C8" s="11">
        <v>-3479108.84</v>
      </c>
      <c r="D8" s="11">
        <v>0</v>
      </c>
      <c r="E8" s="11">
        <v>0</v>
      </c>
      <c r="F8" s="13">
        <v>0</v>
      </c>
      <c r="G8" s="13">
        <v>0</v>
      </c>
      <c r="H8" s="14">
        <f t="shared" si="0"/>
        <v>0</v>
      </c>
      <c r="I8" s="14">
        <f t="shared" si="1"/>
        <v>-3479108.84</v>
      </c>
      <c r="J8" s="598" t="s">
        <v>16</v>
      </c>
      <c r="K8" s="8"/>
    </row>
    <row r="9" spans="1:11" x14ac:dyDescent="0.2">
      <c r="A9" s="10">
        <v>14508000</v>
      </c>
      <c r="B9" s="10" t="s">
        <v>17</v>
      </c>
      <c r="C9" s="11">
        <v>2607313.7170000006</v>
      </c>
      <c r="D9" s="11">
        <v>0</v>
      </c>
      <c r="E9" s="11">
        <v>0</v>
      </c>
      <c r="F9" s="13">
        <v>21896.933000000001</v>
      </c>
      <c r="G9" s="13">
        <v>0</v>
      </c>
      <c r="H9" s="14">
        <f t="shared" si="0"/>
        <v>21896.933000000001</v>
      </c>
      <c r="I9" s="14">
        <f t="shared" si="1"/>
        <v>2629210.6500000008</v>
      </c>
      <c r="J9" s="598" t="s">
        <v>18</v>
      </c>
      <c r="K9" s="8"/>
    </row>
    <row r="10" spans="1:11" x14ac:dyDescent="0.2">
      <c r="A10" s="10">
        <v>15100000</v>
      </c>
      <c r="B10" s="10" t="s">
        <v>19</v>
      </c>
      <c r="C10" s="11">
        <v>-231535.016</v>
      </c>
      <c r="D10" s="11">
        <v>0</v>
      </c>
      <c r="E10" s="11">
        <v>0</v>
      </c>
      <c r="F10" s="13">
        <v>0</v>
      </c>
      <c r="G10" s="13">
        <v>0</v>
      </c>
      <c r="H10" s="14">
        <f t="shared" si="0"/>
        <v>0</v>
      </c>
      <c r="I10" s="14">
        <f t="shared" si="1"/>
        <v>-231535.016</v>
      </c>
      <c r="J10" s="598" t="s">
        <v>20</v>
      </c>
      <c r="K10" s="8"/>
    </row>
    <row r="11" spans="1:11" x14ac:dyDescent="0.2">
      <c r="A11" s="10">
        <v>16210250</v>
      </c>
      <c r="B11" s="10" t="s">
        <v>274</v>
      </c>
      <c r="C11" s="11">
        <v>0</v>
      </c>
      <c r="D11" s="11">
        <v>0</v>
      </c>
      <c r="E11" s="11">
        <v>0</v>
      </c>
      <c r="F11" s="13">
        <v>0</v>
      </c>
      <c r="G11" s="13">
        <v>0</v>
      </c>
      <c r="H11" s="14">
        <f t="shared" si="0"/>
        <v>0</v>
      </c>
      <c r="I11" s="14">
        <f t="shared" si="1"/>
        <v>0</v>
      </c>
      <c r="J11" s="598"/>
      <c r="K11" s="8"/>
    </row>
    <row r="12" spans="1:11" x14ac:dyDescent="0.2">
      <c r="A12" s="10">
        <v>16210500</v>
      </c>
      <c r="B12" s="10" t="s">
        <v>21</v>
      </c>
      <c r="C12" s="11">
        <v>-2041666.6629999988</v>
      </c>
      <c r="D12" s="11">
        <v>0</v>
      </c>
      <c r="E12" s="11">
        <v>0</v>
      </c>
      <c r="F12" s="13">
        <v>0</v>
      </c>
      <c r="G12" s="13">
        <v>0</v>
      </c>
      <c r="H12" s="14">
        <f t="shared" si="0"/>
        <v>0</v>
      </c>
      <c r="I12" s="14">
        <f t="shared" si="1"/>
        <v>-2041666.6629999988</v>
      </c>
      <c r="J12" s="598" t="s">
        <v>22</v>
      </c>
      <c r="K12" s="8"/>
    </row>
    <row r="13" spans="1:11" x14ac:dyDescent="0.2">
      <c r="A13" s="10">
        <v>16210960</v>
      </c>
      <c r="B13" s="10" t="s">
        <v>275</v>
      </c>
      <c r="C13" s="11">
        <v>0</v>
      </c>
      <c r="D13" s="11">
        <v>0</v>
      </c>
      <c r="E13" s="11">
        <v>0</v>
      </c>
      <c r="F13" s="13">
        <v>0</v>
      </c>
      <c r="G13" s="13">
        <v>0</v>
      </c>
      <c r="H13" s="14">
        <f t="shared" si="0"/>
        <v>0</v>
      </c>
      <c r="I13" s="14">
        <f t="shared" si="1"/>
        <v>0</v>
      </c>
      <c r="J13" s="598"/>
      <c r="K13" s="8"/>
    </row>
    <row r="14" spans="1:11" x14ac:dyDescent="0.2">
      <c r="A14" s="10">
        <v>16400000</v>
      </c>
      <c r="B14" s="10" t="s">
        <v>276</v>
      </c>
      <c r="C14" s="11">
        <v>-235466.95700000023</v>
      </c>
      <c r="D14" s="11">
        <v>0</v>
      </c>
      <c r="E14" s="11">
        <v>0</v>
      </c>
      <c r="F14" s="13">
        <v>0</v>
      </c>
      <c r="G14" s="13">
        <v>0</v>
      </c>
      <c r="H14" s="14">
        <f t="shared" si="0"/>
        <v>0</v>
      </c>
      <c r="I14" s="14">
        <f t="shared" si="1"/>
        <v>-235466.95700000023</v>
      </c>
      <c r="J14" s="598" t="s">
        <v>22</v>
      </c>
      <c r="K14" s="8"/>
    </row>
    <row r="15" spans="1:11" x14ac:dyDescent="0.2">
      <c r="A15" s="10">
        <v>18800000</v>
      </c>
      <c r="B15" s="10" t="s">
        <v>23</v>
      </c>
      <c r="C15" s="11">
        <v>0</v>
      </c>
      <c r="D15" s="11">
        <v>0</v>
      </c>
      <c r="E15" s="11">
        <v>0</v>
      </c>
      <c r="F15" s="13">
        <v>0</v>
      </c>
      <c r="G15" s="13">
        <v>0</v>
      </c>
      <c r="H15" s="14">
        <f t="shared" si="0"/>
        <v>0</v>
      </c>
      <c r="I15" s="14">
        <f t="shared" si="1"/>
        <v>0</v>
      </c>
      <c r="J15" s="598"/>
      <c r="K15" s="8"/>
    </row>
    <row r="16" spans="1:11" x14ac:dyDescent="0.2">
      <c r="A16" s="10">
        <v>21100000</v>
      </c>
      <c r="B16" s="10" t="s">
        <v>277</v>
      </c>
      <c r="C16" s="11">
        <v>0</v>
      </c>
      <c r="D16" s="11">
        <v>0</v>
      </c>
      <c r="E16" s="11">
        <v>0</v>
      </c>
      <c r="F16" s="13">
        <v>0</v>
      </c>
      <c r="G16" s="13">
        <v>0</v>
      </c>
      <c r="H16" s="14">
        <f t="shared" si="0"/>
        <v>0</v>
      </c>
      <c r="I16" s="14">
        <f t="shared" si="1"/>
        <v>0</v>
      </c>
      <c r="J16" s="598"/>
      <c r="K16" s="8"/>
    </row>
    <row r="17" spans="1:11" x14ac:dyDescent="0.2">
      <c r="A17" s="10">
        <v>21300000</v>
      </c>
      <c r="B17" s="10" t="s">
        <v>24</v>
      </c>
      <c r="C17" s="11">
        <v>85413.226999999999</v>
      </c>
      <c r="D17" s="11">
        <v>5500</v>
      </c>
      <c r="E17" s="11">
        <v>0</v>
      </c>
      <c r="F17" s="13">
        <v>6581.25</v>
      </c>
      <c r="G17" s="13">
        <v>0</v>
      </c>
      <c r="H17" s="14">
        <f t="shared" si="0"/>
        <v>12081.25</v>
      </c>
      <c r="I17" s="14">
        <f t="shared" si="1"/>
        <v>97494.476999999999</v>
      </c>
      <c r="J17" s="598" t="s">
        <v>25</v>
      </c>
      <c r="K17" s="8"/>
    </row>
    <row r="18" spans="1:11" x14ac:dyDescent="0.2">
      <c r="A18" s="10">
        <v>22000000</v>
      </c>
      <c r="B18" s="10" t="s">
        <v>278</v>
      </c>
      <c r="C18" s="11">
        <v>0</v>
      </c>
      <c r="D18" s="11">
        <v>0</v>
      </c>
      <c r="E18" s="11">
        <v>0</v>
      </c>
      <c r="F18" s="13">
        <v>0</v>
      </c>
      <c r="G18" s="13">
        <v>0</v>
      </c>
      <c r="H18" s="14">
        <f t="shared" si="0"/>
        <v>0</v>
      </c>
      <c r="I18" s="14">
        <f t="shared" si="1"/>
        <v>0</v>
      </c>
      <c r="J18" s="598"/>
      <c r="K18" s="8"/>
    </row>
    <row r="19" spans="1:11" x14ac:dyDescent="0.2">
      <c r="A19" s="10">
        <v>22100000</v>
      </c>
      <c r="B19" s="10" t="s">
        <v>26</v>
      </c>
      <c r="C19" s="11">
        <v>1275724</v>
      </c>
      <c r="D19" s="11">
        <v>0</v>
      </c>
      <c r="E19" s="11">
        <v>0</v>
      </c>
      <c r="F19" s="13">
        <v>0</v>
      </c>
      <c r="G19" s="13">
        <v>0</v>
      </c>
      <c r="H19" s="14">
        <f t="shared" si="0"/>
        <v>0</v>
      </c>
      <c r="I19" s="14">
        <f t="shared" si="1"/>
        <v>1275724</v>
      </c>
      <c r="J19" s="598" t="s">
        <v>25</v>
      </c>
      <c r="K19" s="8"/>
    </row>
    <row r="20" spans="1:11" x14ac:dyDescent="0.2">
      <c r="A20" s="10">
        <v>22160000</v>
      </c>
      <c r="B20" s="10" t="s">
        <v>27</v>
      </c>
      <c r="C20" s="11">
        <v>161921.53600000002</v>
      </c>
      <c r="D20" s="11">
        <v>0</v>
      </c>
      <c r="E20" s="11">
        <v>0</v>
      </c>
      <c r="F20" s="13">
        <v>0</v>
      </c>
      <c r="G20" s="13">
        <v>0</v>
      </c>
      <c r="H20" s="14">
        <f t="shared" si="0"/>
        <v>0</v>
      </c>
      <c r="I20" s="14">
        <f t="shared" si="1"/>
        <v>161921.53600000002</v>
      </c>
      <c r="J20" s="598" t="s">
        <v>25</v>
      </c>
      <c r="K20" s="8"/>
    </row>
    <row r="21" spans="1:11" x14ac:dyDescent="0.2">
      <c r="A21" s="10">
        <v>22200000</v>
      </c>
      <c r="B21" s="10" t="s">
        <v>28</v>
      </c>
      <c r="C21" s="11">
        <v>9027583.0759999994</v>
      </c>
      <c r="D21" s="11">
        <v>0</v>
      </c>
      <c r="E21" s="11">
        <v>0</v>
      </c>
      <c r="F21" s="13">
        <v>0</v>
      </c>
      <c r="G21" s="13">
        <v>0</v>
      </c>
      <c r="H21" s="14">
        <f t="shared" si="0"/>
        <v>0</v>
      </c>
      <c r="I21" s="14">
        <f t="shared" si="1"/>
        <v>9027583.0759999994</v>
      </c>
      <c r="J21" s="598" t="s">
        <v>25</v>
      </c>
      <c r="K21" s="8"/>
    </row>
    <row r="22" spans="1:11" x14ac:dyDescent="0.2">
      <c r="A22" s="10">
        <v>22250000</v>
      </c>
      <c r="B22" s="10" t="s">
        <v>29</v>
      </c>
      <c r="C22" s="11">
        <v>693621.05799999996</v>
      </c>
      <c r="D22" s="11">
        <v>2703</v>
      </c>
      <c r="E22" s="11">
        <v>0</v>
      </c>
      <c r="F22" s="13">
        <v>0</v>
      </c>
      <c r="G22" s="13">
        <v>0</v>
      </c>
      <c r="H22" s="14">
        <f t="shared" si="0"/>
        <v>2703</v>
      </c>
      <c r="I22" s="14">
        <f t="shared" si="1"/>
        <v>696324.05799999996</v>
      </c>
      <c r="J22" s="598" t="s">
        <v>25</v>
      </c>
      <c r="K22" s="8"/>
    </row>
    <row r="23" spans="1:11" x14ac:dyDescent="0.2">
      <c r="A23" s="10">
        <v>22300000</v>
      </c>
      <c r="B23" s="10" t="s">
        <v>30</v>
      </c>
      <c r="C23" s="11">
        <v>73570.611000000004</v>
      </c>
      <c r="D23" s="11">
        <v>2354.9520000000002</v>
      </c>
      <c r="E23" s="11">
        <v>2354.9520000000002</v>
      </c>
      <c r="F23" s="13">
        <v>0</v>
      </c>
      <c r="G23" s="13">
        <v>0</v>
      </c>
      <c r="H23" s="14">
        <f t="shared" si="0"/>
        <v>0</v>
      </c>
      <c r="I23" s="14">
        <f t="shared" si="1"/>
        <v>73570.611000000004</v>
      </c>
      <c r="J23" s="598" t="s">
        <v>25</v>
      </c>
      <c r="K23" s="8"/>
    </row>
    <row r="24" spans="1:11" x14ac:dyDescent="0.2">
      <c r="A24" s="10">
        <v>22310000</v>
      </c>
      <c r="B24" s="10" t="s">
        <v>31</v>
      </c>
      <c r="C24" s="11">
        <v>0</v>
      </c>
      <c r="D24" s="11">
        <v>0</v>
      </c>
      <c r="E24" s="11">
        <v>0</v>
      </c>
      <c r="F24" s="13">
        <v>0</v>
      </c>
      <c r="G24" s="13">
        <v>0</v>
      </c>
      <c r="H24" s="14">
        <f t="shared" si="0"/>
        <v>0</v>
      </c>
      <c r="I24" s="14">
        <f t="shared" si="1"/>
        <v>0</v>
      </c>
      <c r="J24" s="598"/>
      <c r="K24" s="8"/>
    </row>
    <row r="25" spans="1:11" x14ac:dyDescent="0.2">
      <c r="A25" s="10">
        <v>22340000</v>
      </c>
      <c r="B25" s="10" t="s">
        <v>32</v>
      </c>
      <c r="C25" s="11">
        <v>24570740.212411497</v>
      </c>
      <c r="D25" s="11">
        <v>27138.845637499995</v>
      </c>
      <c r="E25" s="11">
        <v>0</v>
      </c>
      <c r="F25" s="13">
        <v>0</v>
      </c>
      <c r="G25" s="13">
        <v>0</v>
      </c>
      <c r="H25" s="14">
        <f t="shared" si="0"/>
        <v>27138.845637499995</v>
      </c>
      <c r="I25" s="14">
        <f t="shared" si="1"/>
        <v>24597879.058048997</v>
      </c>
      <c r="J25" s="598" t="s">
        <v>25</v>
      </c>
      <c r="K25" s="8"/>
    </row>
    <row r="26" spans="1:11" x14ac:dyDescent="0.2">
      <c r="A26" s="10">
        <v>22350000</v>
      </c>
      <c r="B26" s="10" t="s">
        <v>33</v>
      </c>
      <c r="C26" s="11">
        <v>648472.34149999975</v>
      </c>
      <c r="D26" s="11">
        <v>0</v>
      </c>
      <c r="E26" s="11">
        <v>0</v>
      </c>
      <c r="F26" s="13">
        <v>0</v>
      </c>
      <c r="G26" s="13">
        <v>0</v>
      </c>
      <c r="H26" s="14">
        <f t="shared" si="0"/>
        <v>0</v>
      </c>
      <c r="I26" s="14">
        <f t="shared" si="1"/>
        <v>648472.34149999975</v>
      </c>
      <c r="J26" s="598" t="s">
        <v>25</v>
      </c>
      <c r="K26" s="8"/>
    </row>
    <row r="27" spans="1:11" x14ac:dyDescent="0.2">
      <c r="A27" s="10">
        <v>22370000</v>
      </c>
      <c r="B27" s="10" t="s">
        <v>34</v>
      </c>
      <c r="C27" s="11">
        <v>895166.74399999995</v>
      </c>
      <c r="D27" s="11">
        <v>2354.9520000000002</v>
      </c>
      <c r="E27" s="11">
        <v>0</v>
      </c>
      <c r="F27" s="13">
        <v>0</v>
      </c>
      <c r="G27" s="13">
        <v>0</v>
      </c>
      <c r="H27" s="14">
        <f t="shared" si="0"/>
        <v>2354.9520000000002</v>
      </c>
      <c r="I27" s="14">
        <f t="shared" si="1"/>
        <v>897521.696</v>
      </c>
      <c r="J27" s="598" t="s">
        <v>25</v>
      </c>
      <c r="K27" s="8"/>
    </row>
    <row r="28" spans="1:11" x14ac:dyDescent="0.2">
      <c r="A28" s="10">
        <v>22400000</v>
      </c>
      <c r="B28" s="10" t="s">
        <v>35</v>
      </c>
      <c r="C28" s="11">
        <v>952007.8629999999</v>
      </c>
      <c r="D28" s="11">
        <v>171717.17100000003</v>
      </c>
      <c r="E28" s="11">
        <v>0</v>
      </c>
      <c r="F28" s="13">
        <v>0</v>
      </c>
      <c r="G28" s="13">
        <v>0</v>
      </c>
      <c r="H28" s="14">
        <f t="shared" si="0"/>
        <v>171717.17100000003</v>
      </c>
      <c r="I28" s="14">
        <f t="shared" si="1"/>
        <v>1123725.034</v>
      </c>
      <c r="J28" s="598" t="s">
        <v>25</v>
      </c>
      <c r="K28" s="8"/>
    </row>
    <row r="29" spans="1:11" x14ac:dyDescent="0.2">
      <c r="A29" s="10">
        <v>22810000</v>
      </c>
      <c r="B29" s="10" t="s">
        <v>36</v>
      </c>
      <c r="C29" s="11">
        <v>0</v>
      </c>
      <c r="D29" s="11">
        <v>0</v>
      </c>
      <c r="E29" s="11">
        <v>0</v>
      </c>
      <c r="F29" s="13">
        <v>0</v>
      </c>
      <c r="G29" s="13">
        <v>0</v>
      </c>
      <c r="H29" s="14">
        <f t="shared" si="0"/>
        <v>0</v>
      </c>
      <c r="I29" s="14">
        <f t="shared" si="1"/>
        <v>0</v>
      </c>
      <c r="J29" s="598"/>
      <c r="K29" s="8"/>
    </row>
    <row r="30" spans="1:11" x14ac:dyDescent="0.2">
      <c r="A30" s="10">
        <v>22820000</v>
      </c>
      <c r="B30" s="10" t="s">
        <v>37</v>
      </c>
      <c r="C30" s="11">
        <v>274370.99314999999</v>
      </c>
      <c r="D30" s="11">
        <v>4169.0630000000001</v>
      </c>
      <c r="E30" s="11">
        <v>0</v>
      </c>
      <c r="F30" s="13">
        <v>0</v>
      </c>
      <c r="G30" s="13">
        <v>0</v>
      </c>
      <c r="H30" s="14">
        <f t="shared" si="0"/>
        <v>4169.0630000000001</v>
      </c>
      <c r="I30" s="14">
        <f t="shared" si="1"/>
        <v>278540.05615000002</v>
      </c>
      <c r="J30" s="598" t="s">
        <v>25</v>
      </c>
      <c r="K30" s="8"/>
    </row>
    <row r="31" spans="1:11" x14ac:dyDescent="0.2">
      <c r="A31" s="10">
        <v>22830000</v>
      </c>
      <c r="B31" s="10" t="s">
        <v>279</v>
      </c>
      <c r="C31" s="11">
        <v>218464.64728599996</v>
      </c>
      <c r="D31" s="11">
        <v>340</v>
      </c>
      <c r="E31" s="11">
        <v>0</v>
      </c>
      <c r="F31" s="13">
        <v>0</v>
      </c>
      <c r="G31" s="13">
        <v>0</v>
      </c>
      <c r="H31" s="14">
        <f t="shared" si="0"/>
        <v>340</v>
      </c>
      <c r="I31" s="14">
        <f t="shared" si="1"/>
        <v>218804.64728599996</v>
      </c>
      <c r="J31" s="598" t="s">
        <v>25</v>
      </c>
      <c r="K31" s="8"/>
    </row>
    <row r="32" spans="1:11" x14ac:dyDescent="0.2">
      <c r="A32" s="10">
        <v>23000000</v>
      </c>
      <c r="B32" s="10" t="s">
        <v>280</v>
      </c>
      <c r="C32" s="11">
        <v>2.0000000404252205E-5</v>
      </c>
      <c r="D32" s="11">
        <v>0</v>
      </c>
      <c r="E32" s="11">
        <v>0</v>
      </c>
      <c r="F32" s="13">
        <v>0</v>
      </c>
      <c r="G32" s="13">
        <v>0</v>
      </c>
      <c r="H32" s="14">
        <f t="shared" si="0"/>
        <v>0</v>
      </c>
      <c r="I32" s="14">
        <f t="shared" si="1"/>
        <v>2.0000000404252205E-5</v>
      </c>
      <c r="J32" s="598"/>
      <c r="K32" s="8"/>
    </row>
    <row r="33" spans="1:11" x14ac:dyDescent="0.2">
      <c r="A33" s="10">
        <v>23200000</v>
      </c>
      <c r="B33" s="10" t="s">
        <v>38</v>
      </c>
      <c r="C33" s="11">
        <v>432889.95829749899</v>
      </c>
      <c r="D33" s="11">
        <v>0</v>
      </c>
      <c r="E33" s="11">
        <v>0</v>
      </c>
      <c r="F33" s="13">
        <v>0</v>
      </c>
      <c r="G33" s="13">
        <v>0</v>
      </c>
      <c r="H33" s="14">
        <f t="shared" si="0"/>
        <v>0</v>
      </c>
      <c r="I33" s="14">
        <f t="shared" si="1"/>
        <v>432889.95829749899</v>
      </c>
      <c r="J33" s="598" t="s">
        <v>25</v>
      </c>
      <c r="K33" s="8"/>
    </row>
    <row r="34" spans="1:11" x14ac:dyDescent="0.2">
      <c r="A34" s="10">
        <v>23220000</v>
      </c>
      <c r="B34" s="10" t="s">
        <v>39</v>
      </c>
      <c r="C34" s="11">
        <v>147315.67299999739</v>
      </c>
      <c r="D34" s="11">
        <v>0</v>
      </c>
      <c r="E34" s="11">
        <v>0</v>
      </c>
      <c r="F34" s="13">
        <v>0</v>
      </c>
      <c r="G34" s="13">
        <v>0</v>
      </c>
      <c r="H34" s="14">
        <f t="shared" si="0"/>
        <v>0</v>
      </c>
      <c r="I34" s="14">
        <f t="shared" si="1"/>
        <v>147315.67299999739</v>
      </c>
      <c r="J34" s="598" t="s">
        <v>25</v>
      </c>
      <c r="K34" s="8"/>
    </row>
    <row r="35" spans="1:11" x14ac:dyDescent="0.2">
      <c r="A35" s="10">
        <v>23225000</v>
      </c>
      <c r="B35" s="10" t="s">
        <v>281</v>
      </c>
      <c r="C35" s="11">
        <v>0</v>
      </c>
      <c r="D35" s="11">
        <v>0</v>
      </c>
      <c r="E35" s="11">
        <v>0</v>
      </c>
      <c r="F35" s="13">
        <v>0</v>
      </c>
      <c r="G35" s="13">
        <v>0</v>
      </c>
      <c r="H35" s="14">
        <f t="shared" si="0"/>
        <v>0</v>
      </c>
      <c r="I35" s="14">
        <f t="shared" si="1"/>
        <v>0</v>
      </c>
      <c r="J35" s="598"/>
      <c r="K35" s="8"/>
    </row>
    <row r="36" spans="1:11" x14ac:dyDescent="0.2">
      <c r="A36" s="10">
        <v>23231000</v>
      </c>
      <c r="B36" s="10" t="s">
        <v>282</v>
      </c>
      <c r="C36" s="11">
        <v>0</v>
      </c>
      <c r="D36" s="11">
        <v>0</v>
      </c>
      <c r="E36" s="11">
        <v>0</v>
      </c>
      <c r="F36" s="13">
        <v>0</v>
      </c>
      <c r="G36" s="13">
        <v>0</v>
      </c>
      <c r="H36" s="14">
        <f t="shared" si="0"/>
        <v>0</v>
      </c>
      <c r="I36" s="14">
        <f t="shared" si="1"/>
        <v>0</v>
      </c>
      <c r="J36" s="598"/>
      <c r="K36" s="8"/>
    </row>
    <row r="37" spans="1:11" x14ac:dyDescent="0.2">
      <c r="A37" s="10">
        <v>23237000</v>
      </c>
      <c r="B37" s="10" t="s">
        <v>283</v>
      </c>
      <c r="C37" s="11">
        <v>0</v>
      </c>
      <c r="D37" s="11">
        <v>0</v>
      </c>
      <c r="E37" s="11">
        <v>0</v>
      </c>
      <c r="F37" s="13">
        <v>0</v>
      </c>
      <c r="G37" s="13">
        <v>0</v>
      </c>
      <c r="H37" s="14">
        <f t="shared" si="0"/>
        <v>0</v>
      </c>
      <c r="I37" s="14">
        <f t="shared" si="1"/>
        <v>0</v>
      </c>
      <c r="J37" s="598"/>
      <c r="K37" s="8"/>
    </row>
    <row r="38" spans="1:11" x14ac:dyDescent="0.2">
      <c r="A38" s="10">
        <v>23250000</v>
      </c>
      <c r="B38" s="10" t="s">
        <v>284</v>
      </c>
      <c r="C38" s="11">
        <v>0</v>
      </c>
      <c r="D38" s="11">
        <v>0</v>
      </c>
      <c r="E38" s="11">
        <v>0</v>
      </c>
      <c r="F38" s="13">
        <v>0</v>
      </c>
      <c r="G38" s="13">
        <v>0</v>
      </c>
      <c r="H38" s="14">
        <f t="shared" si="0"/>
        <v>0</v>
      </c>
      <c r="I38" s="14">
        <f t="shared" si="1"/>
        <v>0</v>
      </c>
      <c r="J38" s="598"/>
      <c r="K38" s="8"/>
    </row>
    <row r="39" spans="1:11" x14ac:dyDescent="0.2">
      <c r="A39" s="10">
        <v>23800000</v>
      </c>
      <c r="B39" s="10" t="s">
        <v>285</v>
      </c>
      <c r="C39" s="11">
        <v>0</v>
      </c>
      <c r="D39" s="11">
        <v>0</v>
      </c>
      <c r="E39" s="11">
        <v>0</v>
      </c>
      <c r="F39" s="13">
        <v>0</v>
      </c>
      <c r="G39" s="13">
        <v>0</v>
      </c>
      <c r="H39" s="14">
        <f t="shared" si="0"/>
        <v>0</v>
      </c>
      <c r="I39" s="14">
        <f t="shared" si="1"/>
        <v>0</v>
      </c>
      <c r="J39" s="598"/>
      <c r="K39" s="8"/>
    </row>
    <row r="40" spans="1:11" x14ac:dyDescent="0.2">
      <c r="A40" s="10">
        <v>24000000</v>
      </c>
      <c r="B40" s="10" t="s">
        <v>40</v>
      </c>
      <c r="C40" s="11">
        <v>790367.65</v>
      </c>
      <c r="D40" s="11">
        <v>0</v>
      </c>
      <c r="E40" s="11">
        <v>0</v>
      </c>
      <c r="F40" s="13">
        <v>0</v>
      </c>
      <c r="G40" s="13">
        <v>0</v>
      </c>
      <c r="H40" s="14">
        <f t="shared" si="0"/>
        <v>0</v>
      </c>
      <c r="I40" s="14">
        <f t="shared" si="1"/>
        <v>790367.65</v>
      </c>
      <c r="J40" s="598" t="s">
        <v>25</v>
      </c>
      <c r="K40" s="8"/>
    </row>
    <row r="41" spans="1:11" x14ac:dyDescent="0.2">
      <c r="A41" s="10">
        <v>25100000</v>
      </c>
      <c r="B41" s="10" t="s">
        <v>286</v>
      </c>
      <c r="C41" s="11">
        <v>0</v>
      </c>
      <c r="D41" s="11">
        <v>0</v>
      </c>
      <c r="E41" s="11">
        <v>0</v>
      </c>
      <c r="F41" s="13">
        <v>0</v>
      </c>
      <c r="G41" s="13">
        <v>0</v>
      </c>
      <c r="H41" s="14">
        <f t="shared" si="0"/>
        <v>0</v>
      </c>
      <c r="I41" s="14">
        <f t="shared" si="1"/>
        <v>0</v>
      </c>
      <c r="J41" s="598"/>
      <c r="K41" s="8"/>
    </row>
    <row r="42" spans="1:11" x14ac:dyDescent="0.2">
      <c r="A42" s="10">
        <v>25110000</v>
      </c>
      <c r="B42" s="10" t="s">
        <v>41</v>
      </c>
      <c r="C42" s="11">
        <v>266820</v>
      </c>
      <c r="D42" s="11">
        <v>0</v>
      </c>
      <c r="E42" s="11">
        <v>0</v>
      </c>
      <c r="F42" s="13">
        <v>0</v>
      </c>
      <c r="G42" s="13">
        <v>0</v>
      </c>
      <c r="H42" s="14">
        <f t="shared" si="0"/>
        <v>0</v>
      </c>
      <c r="I42" s="14">
        <f t="shared" si="1"/>
        <v>266820</v>
      </c>
      <c r="J42" s="598" t="s">
        <v>42</v>
      </c>
      <c r="K42" s="8"/>
    </row>
    <row r="43" spans="1:11" x14ac:dyDescent="0.2">
      <c r="A43" s="10">
        <v>25120000</v>
      </c>
      <c r="B43" s="10" t="s">
        <v>287</v>
      </c>
      <c r="C43" s="11">
        <v>512700</v>
      </c>
      <c r="D43" s="11">
        <v>0</v>
      </c>
      <c r="E43" s="11">
        <v>0</v>
      </c>
      <c r="F43" s="13">
        <v>0</v>
      </c>
      <c r="G43" s="13">
        <v>0</v>
      </c>
      <c r="H43" s="14">
        <f t="shared" si="0"/>
        <v>0</v>
      </c>
      <c r="I43" s="14">
        <f t="shared" si="1"/>
        <v>512700</v>
      </c>
      <c r="J43" s="598" t="s">
        <v>42</v>
      </c>
      <c r="K43" s="8"/>
    </row>
    <row r="44" spans="1:11" x14ac:dyDescent="0.2">
      <c r="A44" s="10">
        <v>25130000</v>
      </c>
      <c r="B44" s="10" t="s">
        <v>43</v>
      </c>
      <c r="C44" s="11">
        <v>677000</v>
      </c>
      <c r="D44" s="11">
        <v>0</v>
      </c>
      <c r="E44" s="11">
        <v>0</v>
      </c>
      <c r="F44" s="13">
        <v>0</v>
      </c>
      <c r="G44" s="13">
        <v>0</v>
      </c>
      <c r="H44" s="14">
        <f t="shared" si="0"/>
        <v>0</v>
      </c>
      <c r="I44" s="14">
        <f t="shared" si="1"/>
        <v>677000</v>
      </c>
      <c r="J44" s="598" t="s">
        <v>42</v>
      </c>
      <c r="K44" s="8"/>
    </row>
    <row r="45" spans="1:11" x14ac:dyDescent="0.2">
      <c r="A45" s="10">
        <v>25140000</v>
      </c>
      <c r="B45" s="10" t="s">
        <v>44</v>
      </c>
      <c r="C45" s="11">
        <v>3150000</v>
      </c>
      <c r="D45" s="11">
        <v>0</v>
      </c>
      <c r="E45" s="11">
        <v>0</v>
      </c>
      <c r="F45" s="13">
        <v>0</v>
      </c>
      <c r="G45" s="13">
        <v>0</v>
      </c>
      <c r="H45" s="14">
        <f t="shared" si="0"/>
        <v>0</v>
      </c>
      <c r="I45" s="14">
        <f t="shared" si="1"/>
        <v>3150000</v>
      </c>
      <c r="J45" s="598" t="s">
        <v>42</v>
      </c>
      <c r="K45" s="8"/>
    </row>
    <row r="46" spans="1:11" x14ac:dyDescent="0.2">
      <c r="A46" s="10">
        <v>25150000</v>
      </c>
      <c r="B46" s="10" t="s">
        <v>387</v>
      </c>
      <c r="C46" s="11">
        <v>319680</v>
      </c>
      <c r="D46" s="11">
        <v>0</v>
      </c>
      <c r="E46" s="11">
        <v>0</v>
      </c>
      <c r="F46" s="13">
        <v>0</v>
      </c>
      <c r="G46" s="13">
        <v>0</v>
      </c>
      <c r="H46" s="14">
        <f t="shared" si="0"/>
        <v>0</v>
      </c>
      <c r="I46" s="14">
        <f t="shared" si="1"/>
        <v>319680</v>
      </c>
      <c r="J46" s="598" t="s">
        <v>42</v>
      </c>
      <c r="K46" s="8"/>
    </row>
    <row r="47" spans="1:11" x14ac:dyDescent="0.2">
      <c r="A47" s="10">
        <v>25700000</v>
      </c>
      <c r="B47" s="10" t="s">
        <v>288</v>
      </c>
      <c r="C47" s="11">
        <v>0</v>
      </c>
      <c r="D47" s="11">
        <v>0</v>
      </c>
      <c r="E47" s="11">
        <v>0</v>
      </c>
      <c r="F47" s="13">
        <v>0</v>
      </c>
      <c r="G47" s="13">
        <v>0</v>
      </c>
      <c r="H47" s="14">
        <f t="shared" si="0"/>
        <v>0</v>
      </c>
      <c r="I47" s="14">
        <f t="shared" si="1"/>
        <v>0</v>
      </c>
      <c r="J47" s="598" t="s">
        <v>42</v>
      </c>
      <c r="K47" s="8"/>
    </row>
    <row r="48" spans="1:11" x14ac:dyDescent="0.2">
      <c r="A48" s="10">
        <v>25810000</v>
      </c>
      <c r="B48" s="10" t="s">
        <v>289</v>
      </c>
      <c r="C48" s="11">
        <v>0</v>
      </c>
      <c r="D48" s="11">
        <v>0</v>
      </c>
      <c r="E48" s="11">
        <v>0</v>
      </c>
      <c r="F48" s="13">
        <v>0</v>
      </c>
      <c r="G48" s="13">
        <v>0</v>
      </c>
      <c r="H48" s="14">
        <f t="shared" si="0"/>
        <v>0</v>
      </c>
      <c r="I48" s="14">
        <f t="shared" si="1"/>
        <v>0</v>
      </c>
      <c r="J48" s="598"/>
      <c r="K48" s="8"/>
    </row>
    <row r="49" spans="1:11" x14ac:dyDescent="0.2">
      <c r="A49" s="10">
        <v>26400000</v>
      </c>
      <c r="B49" s="10" t="s">
        <v>290</v>
      </c>
      <c r="C49" s="11">
        <v>0</v>
      </c>
      <c r="D49" s="11">
        <v>0</v>
      </c>
      <c r="E49" s="11">
        <v>0</v>
      </c>
      <c r="F49" s="13">
        <v>0</v>
      </c>
      <c r="G49" s="13">
        <v>0</v>
      </c>
      <c r="H49" s="14">
        <f t="shared" si="0"/>
        <v>0</v>
      </c>
      <c r="I49" s="14">
        <f t="shared" si="1"/>
        <v>0</v>
      </c>
      <c r="J49" s="598"/>
      <c r="K49" s="8"/>
    </row>
    <row r="50" spans="1:11" x14ac:dyDescent="0.2">
      <c r="A50" s="10">
        <v>26430000</v>
      </c>
      <c r="B50" s="10" t="s">
        <v>291</v>
      </c>
      <c r="C50" s="11">
        <v>0</v>
      </c>
      <c r="D50" s="11">
        <v>0</v>
      </c>
      <c r="E50" s="11">
        <v>0</v>
      </c>
      <c r="F50" s="13">
        <v>0</v>
      </c>
      <c r="G50" s="13">
        <v>0</v>
      </c>
      <c r="H50" s="14">
        <f t="shared" si="0"/>
        <v>0</v>
      </c>
      <c r="I50" s="14">
        <f t="shared" si="1"/>
        <v>0</v>
      </c>
      <c r="J50" s="598"/>
      <c r="K50" s="8"/>
    </row>
    <row r="51" spans="1:11" x14ac:dyDescent="0.2">
      <c r="A51" s="10">
        <v>26500000</v>
      </c>
      <c r="B51" s="10" t="s">
        <v>45</v>
      </c>
      <c r="C51" s="11">
        <v>-15159.0159999998</v>
      </c>
      <c r="D51" s="11">
        <v>0</v>
      </c>
      <c r="E51" s="11">
        <v>0</v>
      </c>
      <c r="F51" s="13">
        <v>0</v>
      </c>
      <c r="G51" s="13">
        <v>0</v>
      </c>
      <c r="H51" s="14">
        <f t="shared" si="0"/>
        <v>0</v>
      </c>
      <c r="I51" s="14">
        <f t="shared" si="1"/>
        <v>-15159.0159999998</v>
      </c>
      <c r="J51" s="598" t="s">
        <v>46</v>
      </c>
      <c r="K51" s="8"/>
    </row>
    <row r="52" spans="1:11" x14ac:dyDescent="0.2">
      <c r="A52" s="10">
        <v>26510000</v>
      </c>
      <c r="B52" s="10" t="s">
        <v>292</v>
      </c>
      <c r="C52" s="11">
        <v>0</v>
      </c>
      <c r="D52" s="11">
        <v>0</v>
      </c>
      <c r="E52" s="11">
        <v>0</v>
      </c>
      <c r="F52" s="13">
        <v>0</v>
      </c>
      <c r="G52" s="13">
        <v>0</v>
      </c>
      <c r="H52" s="14">
        <f t="shared" si="0"/>
        <v>0</v>
      </c>
      <c r="I52" s="14">
        <f t="shared" si="1"/>
        <v>0</v>
      </c>
      <c r="J52" s="598"/>
      <c r="K52" s="8"/>
    </row>
    <row r="53" spans="1:11" x14ac:dyDescent="0.2">
      <c r="A53" s="10">
        <v>26550000</v>
      </c>
      <c r="B53" s="10" t="s">
        <v>293</v>
      </c>
      <c r="C53" s="11">
        <v>0</v>
      </c>
      <c r="D53" s="11">
        <v>0</v>
      </c>
      <c r="E53" s="11">
        <v>0</v>
      </c>
      <c r="F53" s="13">
        <v>0</v>
      </c>
      <c r="G53" s="13">
        <v>0</v>
      </c>
      <c r="H53" s="14">
        <f t="shared" si="0"/>
        <v>0</v>
      </c>
      <c r="I53" s="14">
        <f t="shared" si="1"/>
        <v>0</v>
      </c>
      <c r="J53" s="598"/>
      <c r="K53" s="8"/>
    </row>
    <row r="54" spans="1:11" x14ac:dyDescent="0.2">
      <c r="A54" s="10">
        <v>27100000</v>
      </c>
      <c r="B54" s="10" t="s">
        <v>294</v>
      </c>
      <c r="C54" s="11">
        <v>0</v>
      </c>
      <c r="D54" s="11">
        <v>0</v>
      </c>
      <c r="E54" s="11">
        <v>0</v>
      </c>
      <c r="F54" s="13">
        <v>0</v>
      </c>
      <c r="G54" s="13">
        <v>0</v>
      </c>
      <c r="H54" s="14">
        <f t="shared" si="0"/>
        <v>0</v>
      </c>
      <c r="I54" s="14">
        <f t="shared" si="1"/>
        <v>0</v>
      </c>
      <c r="J54" s="598"/>
      <c r="K54" s="8"/>
    </row>
    <row r="55" spans="1:11" x14ac:dyDescent="0.2">
      <c r="A55" s="10">
        <v>28100000</v>
      </c>
      <c r="B55" s="10" t="s">
        <v>295</v>
      </c>
      <c r="C55" s="11">
        <v>0</v>
      </c>
      <c r="D55" s="11">
        <v>0</v>
      </c>
      <c r="E55" s="11">
        <v>0</v>
      </c>
      <c r="F55" s="13">
        <v>0</v>
      </c>
      <c r="G55" s="13">
        <v>0</v>
      </c>
      <c r="H55" s="14">
        <f t="shared" si="0"/>
        <v>0</v>
      </c>
      <c r="I55" s="14">
        <f t="shared" si="1"/>
        <v>0</v>
      </c>
      <c r="J55" s="598"/>
      <c r="K55" s="8"/>
    </row>
    <row r="56" spans="1:11" x14ac:dyDescent="0.2">
      <c r="A56" s="10">
        <v>28110000</v>
      </c>
      <c r="B56" s="10" t="s">
        <v>296</v>
      </c>
      <c r="C56" s="11">
        <v>0</v>
      </c>
      <c r="D56" s="11">
        <v>0</v>
      </c>
      <c r="E56" s="11">
        <v>0</v>
      </c>
      <c r="F56" s="13">
        <v>0</v>
      </c>
      <c r="G56" s="13">
        <v>0</v>
      </c>
      <c r="H56" s="14">
        <f t="shared" si="0"/>
        <v>0</v>
      </c>
      <c r="I56" s="14">
        <f t="shared" si="1"/>
        <v>0</v>
      </c>
      <c r="J56" s="598"/>
      <c r="K56" s="8"/>
    </row>
    <row r="57" spans="1:11" x14ac:dyDescent="0.2">
      <c r="A57" s="10">
        <v>28130000</v>
      </c>
      <c r="B57" s="10" t="s">
        <v>24</v>
      </c>
      <c r="C57" s="11">
        <v>-72480.167999999976</v>
      </c>
      <c r="D57" s="11">
        <v>0</v>
      </c>
      <c r="E57" s="11">
        <v>0</v>
      </c>
      <c r="F57" s="13">
        <v>0</v>
      </c>
      <c r="G57" s="13">
        <v>850.12</v>
      </c>
      <c r="H57" s="14">
        <f t="shared" si="0"/>
        <v>-850.12</v>
      </c>
      <c r="I57" s="14">
        <f t="shared" si="1"/>
        <v>-73330.287999999971</v>
      </c>
      <c r="J57" s="598" t="s">
        <v>47</v>
      </c>
      <c r="K57" s="8"/>
    </row>
    <row r="58" spans="1:11" x14ac:dyDescent="0.2">
      <c r="A58" s="10">
        <v>28216000</v>
      </c>
      <c r="B58" s="10" t="s">
        <v>48</v>
      </c>
      <c r="C58" s="11">
        <v>-147641.58300000001</v>
      </c>
      <c r="D58" s="11">
        <v>0</v>
      </c>
      <c r="E58" s="11">
        <v>0</v>
      </c>
      <c r="F58" s="13">
        <v>0</v>
      </c>
      <c r="G58" s="13">
        <v>239.62</v>
      </c>
      <c r="H58" s="14">
        <f t="shared" si="0"/>
        <v>-239.62</v>
      </c>
      <c r="I58" s="14">
        <f t="shared" si="1"/>
        <v>-147881.20300000001</v>
      </c>
      <c r="J58" s="598" t="s">
        <v>47</v>
      </c>
      <c r="K58" s="8"/>
    </row>
    <row r="59" spans="1:11" x14ac:dyDescent="0.2">
      <c r="A59" s="10">
        <v>28220000</v>
      </c>
      <c r="B59" s="10" t="s">
        <v>49</v>
      </c>
      <c r="C59" s="11">
        <v>-3615052.09</v>
      </c>
      <c r="D59" s="11">
        <v>0</v>
      </c>
      <c r="E59" s="11">
        <v>0</v>
      </c>
      <c r="F59" s="13">
        <v>0</v>
      </c>
      <c r="G59" s="13">
        <v>38446.891000000003</v>
      </c>
      <c r="H59" s="14">
        <f t="shared" si="0"/>
        <v>-38446.891000000003</v>
      </c>
      <c r="I59" s="14">
        <f t="shared" si="1"/>
        <v>-3653498.9809999997</v>
      </c>
      <c r="J59" s="598" t="s">
        <v>47</v>
      </c>
      <c r="K59" s="8"/>
    </row>
    <row r="60" spans="1:11" x14ac:dyDescent="0.2">
      <c r="A60" s="10">
        <v>28225000</v>
      </c>
      <c r="B60" s="10" t="s">
        <v>50</v>
      </c>
      <c r="C60" s="11">
        <v>-255967.40099999998</v>
      </c>
      <c r="D60" s="11">
        <v>0</v>
      </c>
      <c r="E60" s="11">
        <v>0</v>
      </c>
      <c r="F60" s="13">
        <v>0</v>
      </c>
      <c r="G60" s="13">
        <v>5331.0540000000001</v>
      </c>
      <c r="H60" s="14">
        <f t="shared" si="0"/>
        <v>-5331.0540000000001</v>
      </c>
      <c r="I60" s="14">
        <f t="shared" si="1"/>
        <v>-261298.45499999999</v>
      </c>
      <c r="J60" s="598" t="s">
        <v>47</v>
      </c>
      <c r="K60" s="8"/>
    </row>
    <row r="61" spans="1:11" x14ac:dyDescent="0.2">
      <c r="A61" s="10">
        <v>28230000</v>
      </c>
      <c r="B61" s="10" t="s">
        <v>263</v>
      </c>
      <c r="C61" s="11">
        <v>-36994.121000000006</v>
      </c>
      <c r="D61" s="11">
        <v>0</v>
      </c>
      <c r="E61" s="11">
        <v>0</v>
      </c>
      <c r="F61" s="13">
        <v>0</v>
      </c>
      <c r="G61" s="13">
        <v>2067.6570000000002</v>
      </c>
      <c r="H61" s="14">
        <f t="shared" si="0"/>
        <v>-2067.6570000000002</v>
      </c>
      <c r="I61" s="14">
        <f t="shared" si="1"/>
        <v>-39061.778000000006</v>
      </c>
      <c r="J61" s="598" t="s">
        <v>47</v>
      </c>
      <c r="K61" s="8"/>
    </row>
    <row r="62" spans="1:11" x14ac:dyDescent="0.2">
      <c r="A62" s="10">
        <v>28234000</v>
      </c>
      <c r="B62" s="10" t="s">
        <v>51</v>
      </c>
      <c r="C62" s="11">
        <v>-15453862.521</v>
      </c>
      <c r="D62" s="11">
        <v>0</v>
      </c>
      <c r="E62" s="11">
        <v>0</v>
      </c>
      <c r="F62" s="13">
        <v>0</v>
      </c>
      <c r="G62" s="13">
        <v>138628.43100000001</v>
      </c>
      <c r="H62" s="14">
        <f t="shared" si="0"/>
        <v>-138628.43100000001</v>
      </c>
      <c r="I62" s="14">
        <f t="shared" si="1"/>
        <v>-15592490.952</v>
      </c>
      <c r="J62" s="598" t="s">
        <v>47</v>
      </c>
      <c r="K62" s="8"/>
    </row>
    <row r="63" spans="1:11" x14ac:dyDescent="0.2">
      <c r="A63" s="10">
        <v>28235000</v>
      </c>
      <c r="B63" s="10" t="s">
        <v>52</v>
      </c>
      <c r="C63" s="11">
        <v>-340874.00199999998</v>
      </c>
      <c r="D63" s="11">
        <v>0</v>
      </c>
      <c r="E63" s="11">
        <v>0</v>
      </c>
      <c r="F63" s="13">
        <v>0</v>
      </c>
      <c r="G63" s="13">
        <v>4882.8140000000003</v>
      </c>
      <c r="H63" s="14">
        <f t="shared" si="0"/>
        <v>-4882.8140000000003</v>
      </c>
      <c r="I63" s="14">
        <f t="shared" si="1"/>
        <v>-345756.81599999999</v>
      </c>
      <c r="J63" s="598" t="s">
        <v>47</v>
      </c>
      <c r="K63" s="8"/>
    </row>
    <row r="64" spans="1:11" x14ac:dyDescent="0.2">
      <c r="A64" s="10">
        <v>28237000</v>
      </c>
      <c r="B64" s="10" t="s">
        <v>53</v>
      </c>
      <c r="C64" s="11">
        <v>-750146.22399999993</v>
      </c>
      <c r="D64" s="11">
        <v>0</v>
      </c>
      <c r="E64" s="11">
        <v>0</v>
      </c>
      <c r="F64" s="13">
        <v>0</v>
      </c>
      <c r="G64" s="13">
        <v>2008.9059999999999</v>
      </c>
      <c r="H64" s="14">
        <f t="shared" si="0"/>
        <v>-2008.9059999999999</v>
      </c>
      <c r="I64" s="14">
        <f t="shared" si="1"/>
        <v>-752155.12999999989</v>
      </c>
      <c r="J64" s="598" t="s">
        <v>47</v>
      </c>
      <c r="K64" s="8"/>
    </row>
    <row r="65" spans="1:11" x14ac:dyDescent="0.2">
      <c r="A65" s="10">
        <v>28240000</v>
      </c>
      <c r="B65" s="10" t="s">
        <v>54</v>
      </c>
      <c r="C65" s="11">
        <v>-597836.17800000007</v>
      </c>
      <c r="D65" s="11">
        <v>0</v>
      </c>
      <c r="E65" s="11">
        <v>0</v>
      </c>
      <c r="F65" s="13">
        <v>0</v>
      </c>
      <c r="G65" s="13">
        <v>12822.224</v>
      </c>
      <c r="H65" s="14">
        <f t="shared" si="0"/>
        <v>-12822.224</v>
      </c>
      <c r="I65" s="14">
        <f t="shared" si="1"/>
        <v>-610658.40200000012</v>
      </c>
      <c r="J65" s="598" t="s">
        <v>47</v>
      </c>
      <c r="K65" s="8"/>
    </row>
    <row r="66" spans="1:11" x14ac:dyDescent="0.2">
      <c r="A66" s="10">
        <v>28282000</v>
      </c>
      <c r="B66" s="10" t="s">
        <v>55</v>
      </c>
      <c r="C66" s="11">
        <v>-214295.704</v>
      </c>
      <c r="D66" s="11">
        <v>0</v>
      </c>
      <c r="E66" s="11">
        <v>0</v>
      </c>
      <c r="F66" s="13">
        <v>0</v>
      </c>
      <c r="G66" s="13">
        <v>4251.509</v>
      </c>
      <c r="H66" s="14">
        <f t="shared" si="0"/>
        <v>-4251.509</v>
      </c>
      <c r="I66" s="14">
        <f t="shared" si="1"/>
        <v>-218547.21299999999</v>
      </c>
      <c r="J66" s="598" t="s">
        <v>47</v>
      </c>
      <c r="K66" s="8"/>
    </row>
    <row r="67" spans="1:11" x14ac:dyDescent="0.2">
      <c r="A67" s="10">
        <v>28283000</v>
      </c>
      <c r="B67" s="10" t="s">
        <v>264</v>
      </c>
      <c r="C67" s="11">
        <v>-118638.53100000002</v>
      </c>
      <c r="D67" s="11">
        <v>0</v>
      </c>
      <c r="E67" s="11">
        <v>0</v>
      </c>
      <c r="F67" s="13">
        <v>0</v>
      </c>
      <c r="G67" s="13">
        <v>3270.3290000000002</v>
      </c>
      <c r="H67" s="14">
        <f t="shared" ref="H67:H130" si="2">+D67+F67-E67-G67</f>
        <v>-3270.3290000000002</v>
      </c>
      <c r="I67" s="14">
        <f t="shared" ref="I67:I130" si="3">+H67+C67</f>
        <v>-121908.86000000002</v>
      </c>
      <c r="J67" s="598" t="s">
        <v>47</v>
      </c>
      <c r="K67" s="8"/>
    </row>
    <row r="68" spans="1:11" x14ac:dyDescent="0.2">
      <c r="A68" s="10">
        <v>28400000</v>
      </c>
      <c r="B68" s="10" t="s">
        <v>56</v>
      </c>
      <c r="C68" s="11">
        <v>-480914.68499999988</v>
      </c>
      <c r="D68" s="11">
        <v>0</v>
      </c>
      <c r="E68" s="11">
        <v>0</v>
      </c>
      <c r="F68" s="13">
        <v>0</v>
      </c>
      <c r="G68" s="13">
        <v>6569.2809999999999</v>
      </c>
      <c r="H68" s="14">
        <f t="shared" si="2"/>
        <v>-6569.2809999999999</v>
      </c>
      <c r="I68" s="14">
        <f t="shared" si="3"/>
        <v>-487483.9659999999</v>
      </c>
      <c r="J68" s="598" t="s">
        <v>47</v>
      </c>
      <c r="K68" s="8"/>
    </row>
    <row r="69" spans="1:11" x14ac:dyDescent="0.2">
      <c r="A69" s="10">
        <v>29220000</v>
      </c>
      <c r="B69" s="10" t="s">
        <v>297</v>
      </c>
      <c r="C69" s="11">
        <v>0</v>
      </c>
      <c r="D69" s="11">
        <v>0</v>
      </c>
      <c r="E69" s="11">
        <v>0</v>
      </c>
      <c r="F69" s="13">
        <v>0</v>
      </c>
      <c r="G69" s="13">
        <v>0</v>
      </c>
      <c r="H69" s="14">
        <f t="shared" si="2"/>
        <v>0</v>
      </c>
      <c r="I69" s="14">
        <f t="shared" si="3"/>
        <v>0</v>
      </c>
      <c r="J69" s="598"/>
      <c r="K69" s="8"/>
    </row>
    <row r="70" spans="1:11" x14ac:dyDescent="0.2">
      <c r="A70" s="599">
        <v>29234000</v>
      </c>
      <c r="B70" s="10" t="s">
        <v>388</v>
      </c>
      <c r="C70" s="11">
        <v>-223876.883</v>
      </c>
      <c r="D70" s="11">
        <v>0</v>
      </c>
      <c r="E70" s="11">
        <v>0</v>
      </c>
      <c r="F70" s="13">
        <v>0</v>
      </c>
      <c r="G70" s="13">
        <v>0</v>
      </c>
      <c r="H70" s="14">
        <f t="shared" si="2"/>
        <v>0</v>
      </c>
      <c r="I70" s="14">
        <f t="shared" si="3"/>
        <v>-223876.883</v>
      </c>
      <c r="J70" s="598" t="s">
        <v>401</v>
      </c>
      <c r="K70" s="8"/>
    </row>
    <row r="71" spans="1:11" x14ac:dyDescent="0.2">
      <c r="A71" s="599">
        <v>29235000</v>
      </c>
      <c r="B71" s="10" t="s">
        <v>389</v>
      </c>
      <c r="C71" s="11">
        <v>-8171.429000000001</v>
      </c>
      <c r="D71" s="11">
        <v>0</v>
      </c>
      <c r="E71" s="11">
        <v>0</v>
      </c>
      <c r="F71" s="13">
        <v>0</v>
      </c>
      <c r="G71" s="13">
        <v>0</v>
      </c>
      <c r="H71" s="14">
        <f t="shared" si="2"/>
        <v>0</v>
      </c>
      <c r="I71" s="14">
        <f t="shared" si="3"/>
        <v>-8171.429000000001</v>
      </c>
      <c r="J71" s="598" t="s">
        <v>401</v>
      </c>
      <c r="K71" s="8"/>
    </row>
    <row r="72" spans="1:11" x14ac:dyDescent="0.2">
      <c r="A72" s="10">
        <v>29282000</v>
      </c>
      <c r="B72" s="10" t="s">
        <v>298</v>
      </c>
      <c r="C72" s="11">
        <v>0</v>
      </c>
      <c r="D72" s="11">
        <v>0</v>
      </c>
      <c r="E72" s="11">
        <v>0</v>
      </c>
      <c r="F72" s="13">
        <v>0</v>
      </c>
      <c r="G72" s="13">
        <v>0</v>
      </c>
      <c r="H72" s="14">
        <f t="shared" si="2"/>
        <v>0</v>
      </c>
      <c r="I72" s="14">
        <f t="shared" si="3"/>
        <v>0</v>
      </c>
      <c r="J72" s="598"/>
      <c r="K72" s="8"/>
    </row>
    <row r="73" spans="1:11" x14ac:dyDescent="0.2">
      <c r="A73" s="10">
        <v>29286500</v>
      </c>
      <c r="B73" s="10" t="s">
        <v>299</v>
      </c>
      <c r="C73" s="11">
        <v>0</v>
      </c>
      <c r="D73" s="11">
        <v>0</v>
      </c>
      <c r="E73" s="11">
        <v>0</v>
      </c>
      <c r="F73" s="13">
        <v>0</v>
      </c>
      <c r="G73" s="13">
        <v>0</v>
      </c>
      <c r="H73" s="14">
        <f t="shared" si="2"/>
        <v>0</v>
      </c>
      <c r="I73" s="14">
        <f t="shared" si="3"/>
        <v>0</v>
      </c>
      <c r="J73" s="598" t="s">
        <v>25</v>
      </c>
      <c r="K73" s="8"/>
    </row>
    <row r="74" spans="1:11" x14ac:dyDescent="0.2">
      <c r="A74" s="10">
        <v>29700000</v>
      </c>
      <c r="B74" s="10" t="s">
        <v>57</v>
      </c>
      <c r="C74" s="11">
        <v>-29257.384999999998</v>
      </c>
      <c r="D74" s="11">
        <v>0</v>
      </c>
      <c r="E74" s="11">
        <v>0</v>
      </c>
      <c r="F74" s="13">
        <v>0</v>
      </c>
      <c r="G74" s="13">
        <v>0</v>
      </c>
      <c r="H74" s="14">
        <f t="shared" si="2"/>
        <v>0</v>
      </c>
      <c r="I74" s="14">
        <f t="shared" si="3"/>
        <v>-29257.384999999998</v>
      </c>
      <c r="J74" s="598" t="s">
        <v>58</v>
      </c>
      <c r="K74" s="8"/>
    </row>
    <row r="75" spans="1:11" x14ac:dyDescent="0.2">
      <c r="A75" s="10">
        <v>31100000</v>
      </c>
      <c r="B75" s="10" t="s">
        <v>59</v>
      </c>
      <c r="C75" s="11">
        <v>10140516.117000001</v>
      </c>
      <c r="D75" s="11">
        <v>0</v>
      </c>
      <c r="E75" s="11">
        <v>0</v>
      </c>
      <c r="F75" s="13">
        <v>9766391.5179999992</v>
      </c>
      <c r="G75" s="13">
        <v>10140516.117000001</v>
      </c>
      <c r="H75" s="14">
        <f t="shared" si="2"/>
        <v>-374124.59900000133</v>
      </c>
      <c r="I75" s="14">
        <f t="shared" si="3"/>
        <v>9766391.5179999992</v>
      </c>
      <c r="J75" s="598" t="s">
        <v>60</v>
      </c>
      <c r="K75" s="8"/>
    </row>
    <row r="76" spans="1:11" x14ac:dyDescent="0.2">
      <c r="A76" s="10">
        <v>31200000</v>
      </c>
      <c r="B76" s="10" t="s">
        <v>390</v>
      </c>
      <c r="C76" s="11">
        <v>0</v>
      </c>
      <c r="D76" s="11">
        <v>0</v>
      </c>
      <c r="E76" s="11">
        <v>0</v>
      </c>
      <c r="F76" s="13">
        <v>0</v>
      </c>
      <c r="G76" s="13">
        <v>0</v>
      </c>
      <c r="H76" s="14">
        <f t="shared" si="2"/>
        <v>0</v>
      </c>
      <c r="I76" s="14">
        <f t="shared" si="3"/>
        <v>0</v>
      </c>
      <c r="J76" s="598"/>
      <c r="K76" s="8"/>
    </row>
    <row r="77" spans="1:11" x14ac:dyDescent="0.2">
      <c r="A77" s="10">
        <v>32200000</v>
      </c>
      <c r="B77" s="10" t="s">
        <v>61</v>
      </c>
      <c r="C77" s="11">
        <v>771579.85400000005</v>
      </c>
      <c r="D77" s="11">
        <v>0</v>
      </c>
      <c r="E77" s="11">
        <v>0</v>
      </c>
      <c r="F77" s="13">
        <v>786950.59199999995</v>
      </c>
      <c r="G77" s="13">
        <v>771579.85400000005</v>
      </c>
      <c r="H77" s="14">
        <f t="shared" si="2"/>
        <v>15370.737999999896</v>
      </c>
      <c r="I77" s="14">
        <f t="shared" si="3"/>
        <v>786950.59199999995</v>
      </c>
      <c r="J77" s="598" t="s">
        <v>60</v>
      </c>
      <c r="K77" s="8"/>
    </row>
    <row r="78" spans="1:11" x14ac:dyDescent="0.2">
      <c r="A78" s="10">
        <v>33100000</v>
      </c>
      <c r="B78" s="10" t="s">
        <v>62</v>
      </c>
      <c r="C78" s="11">
        <v>5497780.6349999988</v>
      </c>
      <c r="D78" s="11">
        <v>0</v>
      </c>
      <c r="E78" s="11">
        <v>0</v>
      </c>
      <c r="F78" s="13">
        <v>4912653.5939999996</v>
      </c>
      <c r="G78" s="13">
        <v>5497780.6339999996</v>
      </c>
      <c r="H78" s="14">
        <f t="shared" si="2"/>
        <v>-585127.04</v>
      </c>
      <c r="I78" s="14">
        <f t="shared" si="3"/>
        <v>4912653.5949999988</v>
      </c>
      <c r="J78" s="598" t="s">
        <v>60</v>
      </c>
      <c r="K78" s="8"/>
    </row>
    <row r="79" spans="1:11" x14ac:dyDescent="0.2">
      <c r="A79" s="10">
        <v>33500000</v>
      </c>
      <c r="B79" s="10" t="s">
        <v>300</v>
      </c>
      <c r="C79" s="11">
        <v>0</v>
      </c>
      <c r="D79" s="11">
        <v>0</v>
      </c>
      <c r="E79" s="11">
        <v>0</v>
      </c>
      <c r="F79" s="13">
        <v>0</v>
      </c>
      <c r="G79" s="13">
        <v>0</v>
      </c>
      <c r="H79" s="14">
        <f t="shared" si="2"/>
        <v>0</v>
      </c>
      <c r="I79" s="14">
        <f t="shared" si="3"/>
        <v>0</v>
      </c>
      <c r="J79" s="598"/>
      <c r="K79" s="8"/>
    </row>
    <row r="80" spans="1:11" x14ac:dyDescent="0.2">
      <c r="A80" s="10">
        <v>34100000</v>
      </c>
      <c r="B80" s="10" t="s">
        <v>301</v>
      </c>
      <c r="C80" s="11">
        <v>0</v>
      </c>
      <c r="D80" s="11">
        <v>0</v>
      </c>
      <c r="E80" s="11">
        <v>0</v>
      </c>
      <c r="F80" s="13">
        <v>0</v>
      </c>
      <c r="G80" s="13">
        <v>0</v>
      </c>
      <c r="H80" s="14">
        <f t="shared" si="2"/>
        <v>0</v>
      </c>
      <c r="I80" s="14">
        <f t="shared" si="3"/>
        <v>0</v>
      </c>
      <c r="J80" s="598"/>
      <c r="K80" s="8"/>
    </row>
    <row r="81" spans="1:11" x14ac:dyDescent="0.2">
      <c r="A81" s="10">
        <v>35500000</v>
      </c>
      <c r="B81" s="10" t="s">
        <v>63</v>
      </c>
      <c r="C81" s="11">
        <v>150396.32699999859</v>
      </c>
      <c r="D81" s="11">
        <v>0</v>
      </c>
      <c r="E81" s="11">
        <v>0</v>
      </c>
      <c r="F81" s="13">
        <v>784343.58700000006</v>
      </c>
      <c r="G81" s="13">
        <v>150396.32699999999</v>
      </c>
      <c r="H81" s="14">
        <f t="shared" si="2"/>
        <v>633947.26</v>
      </c>
      <c r="I81" s="14">
        <f t="shared" si="3"/>
        <v>784343.58699999866</v>
      </c>
      <c r="J81" s="598" t="s">
        <v>60</v>
      </c>
      <c r="K81" s="8"/>
    </row>
    <row r="82" spans="1:11" x14ac:dyDescent="0.2">
      <c r="A82" s="10">
        <v>39000000</v>
      </c>
      <c r="B82" s="10" t="s">
        <v>64</v>
      </c>
      <c r="C82" s="11">
        <v>-208158.11300000001</v>
      </c>
      <c r="D82" s="11">
        <v>0</v>
      </c>
      <c r="E82" s="11">
        <v>0</v>
      </c>
      <c r="F82" s="13">
        <v>0</v>
      </c>
      <c r="G82" s="13">
        <v>0</v>
      </c>
      <c r="H82" s="14">
        <f t="shared" si="2"/>
        <v>0</v>
      </c>
      <c r="I82" s="14">
        <f t="shared" si="3"/>
        <v>-208158.11300000001</v>
      </c>
      <c r="J82" s="598" t="s">
        <v>65</v>
      </c>
      <c r="K82" s="8"/>
    </row>
    <row r="83" spans="1:11" x14ac:dyDescent="0.2">
      <c r="A83" s="10">
        <v>40100000</v>
      </c>
      <c r="B83" s="10" t="s">
        <v>66</v>
      </c>
      <c r="C83" s="11">
        <v>-2325908.0468700309</v>
      </c>
      <c r="D83" s="11">
        <f>4800146.683+254680.546</f>
        <v>5054827.2290000003</v>
      </c>
      <c r="E83" s="11">
        <f>4832398.1246375+3000</f>
        <v>4835398.1246375004</v>
      </c>
      <c r="F83" s="13">
        <v>0</v>
      </c>
      <c r="G83" s="13">
        <v>0</v>
      </c>
      <c r="H83" s="14">
        <f t="shared" si="2"/>
        <v>219429.1043624999</v>
      </c>
      <c r="I83" s="14">
        <f t="shared" si="3"/>
        <v>-2106478.942507531</v>
      </c>
      <c r="J83" s="598" t="s">
        <v>67</v>
      </c>
      <c r="K83" s="8"/>
    </row>
    <row r="84" spans="1:11" x14ac:dyDescent="0.2">
      <c r="A84" s="10">
        <v>40300000</v>
      </c>
      <c r="B84" s="10" t="s">
        <v>68</v>
      </c>
      <c r="C84" s="11">
        <v>-324641.22900000669</v>
      </c>
      <c r="D84" s="11">
        <v>227140.47399999999</v>
      </c>
      <c r="E84" s="11">
        <v>817563.10700000008</v>
      </c>
      <c r="F84" s="13">
        <v>0</v>
      </c>
      <c r="G84" s="13">
        <v>0</v>
      </c>
      <c r="H84" s="14">
        <f t="shared" si="2"/>
        <v>-590422.63300000015</v>
      </c>
      <c r="I84" s="14">
        <f t="shared" si="3"/>
        <v>-915063.86200000683</v>
      </c>
      <c r="J84" s="598" t="s">
        <v>67</v>
      </c>
      <c r="K84" s="8"/>
    </row>
    <row r="85" spans="1:11" x14ac:dyDescent="0.2">
      <c r="A85" s="10">
        <v>40301000</v>
      </c>
      <c r="B85" s="10" t="s">
        <v>302</v>
      </c>
      <c r="C85" s="11">
        <v>0</v>
      </c>
      <c r="D85" s="11">
        <v>0</v>
      </c>
      <c r="E85" s="11">
        <v>0</v>
      </c>
      <c r="F85" s="13">
        <v>0</v>
      </c>
      <c r="G85" s="13">
        <v>0</v>
      </c>
      <c r="H85" s="14">
        <f t="shared" si="2"/>
        <v>0</v>
      </c>
      <c r="I85" s="14">
        <f t="shared" si="3"/>
        <v>0</v>
      </c>
      <c r="J85" s="598"/>
      <c r="K85" s="8"/>
    </row>
    <row r="86" spans="1:11" x14ac:dyDescent="0.2">
      <c r="A86" s="10">
        <v>40400000</v>
      </c>
      <c r="B86" s="10" t="s">
        <v>69</v>
      </c>
      <c r="C86" s="11">
        <v>9.999983012676239E-5</v>
      </c>
      <c r="D86" s="11">
        <v>0</v>
      </c>
      <c r="E86" s="11">
        <v>0</v>
      </c>
      <c r="F86" s="13">
        <v>0</v>
      </c>
      <c r="G86" s="13">
        <v>0</v>
      </c>
      <c r="H86" s="14">
        <f t="shared" si="2"/>
        <v>0</v>
      </c>
      <c r="I86" s="14">
        <f t="shared" si="3"/>
        <v>9.999983012676239E-5</v>
      </c>
      <c r="J86" s="598"/>
      <c r="K86" s="8"/>
    </row>
    <row r="87" spans="1:11" x14ac:dyDescent="0.2">
      <c r="A87" s="10">
        <v>40470000</v>
      </c>
      <c r="B87" s="10" t="s">
        <v>303</v>
      </c>
      <c r="C87" s="11">
        <v>0</v>
      </c>
      <c r="D87" s="11">
        <v>0</v>
      </c>
      <c r="E87" s="11">
        <v>0</v>
      </c>
      <c r="F87" s="13">
        <v>0</v>
      </c>
      <c r="G87" s="13">
        <v>0</v>
      </c>
      <c r="H87" s="14">
        <f t="shared" si="2"/>
        <v>0</v>
      </c>
      <c r="I87" s="14">
        <f t="shared" si="3"/>
        <v>0</v>
      </c>
      <c r="J87" s="598"/>
      <c r="K87" s="8"/>
    </row>
    <row r="88" spans="1:11" x14ac:dyDescent="0.2">
      <c r="A88" s="10">
        <v>40600000</v>
      </c>
      <c r="B88" s="10" t="s">
        <v>70</v>
      </c>
      <c r="C88" s="11">
        <v>-2130339.4001236036</v>
      </c>
      <c r="D88" s="11">
        <v>843668.20200000005</v>
      </c>
      <c r="E88" s="11">
        <v>481239.42082300008</v>
      </c>
      <c r="F88" s="13">
        <v>90216.84</v>
      </c>
      <c r="G88" s="13">
        <v>10269.36</v>
      </c>
      <c r="H88" s="14">
        <f t="shared" si="2"/>
        <v>442376.26117699995</v>
      </c>
      <c r="I88" s="14">
        <f t="shared" si="3"/>
        <v>-1687963.1389466038</v>
      </c>
      <c r="J88" s="598" t="s">
        <v>67</v>
      </c>
      <c r="K88" s="8"/>
    </row>
    <row r="89" spans="1:11" x14ac:dyDescent="0.2">
      <c r="A89" s="10">
        <v>40800000</v>
      </c>
      <c r="B89" s="10" t="s">
        <v>71</v>
      </c>
      <c r="C89" s="11">
        <v>-4980</v>
      </c>
      <c r="D89" s="11">
        <v>0</v>
      </c>
      <c r="E89" s="11">
        <v>0</v>
      </c>
      <c r="F89" s="13">
        <v>0</v>
      </c>
      <c r="G89" s="13">
        <v>0</v>
      </c>
      <c r="H89" s="14">
        <f t="shared" si="2"/>
        <v>0</v>
      </c>
      <c r="I89" s="14">
        <f t="shared" si="3"/>
        <v>-4980</v>
      </c>
      <c r="J89" s="598" t="s">
        <v>67</v>
      </c>
      <c r="K89" s="8"/>
    </row>
    <row r="90" spans="1:11" x14ac:dyDescent="0.2">
      <c r="A90" s="10">
        <v>40860000</v>
      </c>
      <c r="B90" s="10" t="s">
        <v>304</v>
      </c>
      <c r="C90" s="11">
        <v>0</v>
      </c>
      <c r="D90" s="11">
        <v>0</v>
      </c>
      <c r="E90" s="11">
        <v>0</v>
      </c>
      <c r="F90" s="13">
        <v>0</v>
      </c>
      <c r="G90" s="13">
        <v>0</v>
      </c>
      <c r="H90" s="14">
        <f t="shared" si="2"/>
        <v>0</v>
      </c>
      <c r="I90" s="14">
        <f t="shared" si="3"/>
        <v>0</v>
      </c>
      <c r="J90" s="598"/>
      <c r="K90" s="8"/>
    </row>
    <row r="91" spans="1:11" x14ac:dyDescent="0.2">
      <c r="A91" s="10">
        <v>40910000</v>
      </c>
      <c r="B91" s="10" t="s">
        <v>72</v>
      </c>
      <c r="C91" s="11">
        <v>-3.8198777474462986E-10</v>
      </c>
      <c r="D91" s="11">
        <v>0</v>
      </c>
      <c r="E91" s="11">
        <v>0</v>
      </c>
      <c r="F91" s="13">
        <v>0</v>
      </c>
      <c r="G91" s="13">
        <v>0</v>
      </c>
      <c r="H91" s="14">
        <f t="shared" si="2"/>
        <v>0</v>
      </c>
      <c r="I91" s="14">
        <f t="shared" si="3"/>
        <v>-3.8198777474462986E-10</v>
      </c>
      <c r="J91" s="598" t="s">
        <v>78</v>
      </c>
      <c r="K91" s="8"/>
    </row>
    <row r="92" spans="1:11" x14ac:dyDescent="0.2">
      <c r="A92" s="10">
        <v>41100000</v>
      </c>
      <c r="B92" s="10" t="s">
        <v>73</v>
      </c>
      <c r="C92" s="11">
        <v>19077435.291182473</v>
      </c>
      <c r="D92" s="11">
        <f>4758960.808+65245</f>
        <v>4824205.8080000002</v>
      </c>
      <c r="E92" s="11">
        <f>5860922.291+929366.118</f>
        <v>6790288.409</v>
      </c>
      <c r="F92" s="13">
        <v>0</v>
      </c>
      <c r="G92" s="13">
        <v>0</v>
      </c>
      <c r="H92" s="14">
        <f t="shared" si="2"/>
        <v>-1966082.6009999998</v>
      </c>
      <c r="I92" s="14">
        <f t="shared" si="3"/>
        <v>17111352.690182474</v>
      </c>
      <c r="J92" s="598" t="s">
        <v>74</v>
      </c>
      <c r="K92" s="8"/>
    </row>
    <row r="93" spans="1:11" x14ac:dyDescent="0.2">
      <c r="A93" s="10">
        <v>41301000</v>
      </c>
      <c r="B93" s="10" t="s">
        <v>305</v>
      </c>
      <c r="C93" s="11">
        <v>0</v>
      </c>
      <c r="D93" s="11">
        <v>0</v>
      </c>
      <c r="E93" s="11">
        <v>0</v>
      </c>
      <c r="F93" s="13">
        <v>0</v>
      </c>
      <c r="G93" s="13">
        <v>0</v>
      </c>
      <c r="H93" s="14">
        <f t="shared" si="2"/>
        <v>0</v>
      </c>
      <c r="I93" s="14">
        <f t="shared" si="3"/>
        <v>0</v>
      </c>
      <c r="J93" s="598"/>
      <c r="K93" s="8"/>
    </row>
    <row r="94" spans="1:11" x14ac:dyDescent="0.2">
      <c r="A94" s="10">
        <v>41500000</v>
      </c>
      <c r="B94" s="10" t="s">
        <v>75</v>
      </c>
      <c r="C94" s="11">
        <v>1462471.2322604791</v>
      </c>
      <c r="D94" s="11">
        <v>0</v>
      </c>
      <c r="E94" s="11">
        <v>17499.572</v>
      </c>
      <c r="F94" s="13">
        <v>3128255.0419999999</v>
      </c>
      <c r="G94" s="13">
        <v>43223.26</v>
      </c>
      <c r="H94" s="14">
        <f t="shared" si="2"/>
        <v>3067532.21</v>
      </c>
      <c r="I94" s="14">
        <f t="shared" si="3"/>
        <v>4530003.4422604796</v>
      </c>
      <c r="J94" s="598" t="s">
        <v>74</v>
      </c>
      <c r="K94" s="8"/>
    </row>
    <row r="95" spans="1:11" x14ac:dyDescent="0.2">
      <c r="A95" s="10">
        <v>41601000</v>
      </c>
      <c r="B95" s="10" t="s">
        <v>306</v>
      </c>
      <c r="C95" s="11">
        <v>0</v>
      </c>
      <c r="D95" s="11">
        <v>0</v>
      </c>
      <c r="E95" s="11">
        <v>0</v>
      </c>
      <c r="F95" s="13">
        <v>0</v>
      </c>
      <c r="G95" s="13">
        <v>0</v>
      </c>
      <c r="H95" s="14">
        <f t="shared" si="2"/>
        <v>0</v>
      </c>
      <c r="I95" s="14">
        <f t="shared" si="3"/>
        <v>0</v>
      </c>
      <c r="J95" s="598"/>
      <c r="K95" s="8"/>
    </row>
    <row r="96" spans="1:11" x14ac:dyDescent="0.2">
      <c r="A96" s="10">
        <v>41800000</v>
      </c>
      <c r="B96" s="10" t="s">
        <v>307</v>
      </c>
      <c r="C96" s="11">
        <v>0</v>
      </c>
      <c r="D96" s="11">
        <v>0</v>
      </c>
      <c r="E96" s="11">
        <v>0</v>
      </c>
      <c r="F96" s="13">
        <v>0</v>
      </c>
      <c r="G96" s="13">
        <v>0</v>
      </c>
      <c r="H96" s="14">
        <f t="shared" si="2"/>
        <v>0</v>
      </c>
      <c r="I96" s="14">
        <f t="shared" si="3"/>
        <v>0</v>
      </c>
      <c r="J96" s="598"/>
      <c r="K96" s="8"/>
    </row>
    <row r="97" spans="1:11" x14ac:dyDescent="0.2">
      <c r="A97" s="10">
        <v>41910000</v>
      </c>
      <c r="B97" s="10" t="s">
        <v>308</v>
      </c>
      <c r="C97" s="11">
        <v>0</v>
      </c>
      <c r="D97" s="11">
        <v>0</v>
      </c>
      <c r="E97" s="11">
        <v>0</v>
      </c>
      <c r="F97" s="13">
        <v>0</v>
      </c>
      <c r="G97" s="13">
        <v>0</v>
      </c>
      <c r="H97" s="14">
        <f t="shared" si="2"/>
        <v>0</v>
      </c>
      <c r="I97" s="14">
        <f t="shared" si="3"/>
        <v>0</v>
      </c>
      <c r="J97" s="598"/>
      <c r="K97" s="8"/>
    </row>
    <row r="98" spans="1:11" x14ac:dyDescent="0.2">
      <c r="A98" s="10">
        <v>42100000</v>
      </c>
      <c r="B98" s="10" t="s">
        <v>76</v>
      </c>
      <c r="C98" s="11">
        <v>0</v>
      </c>
      <c r="D98" s="11">
        <v>0</v>
      </c>
      <c r="E98" s="11">
        <v>0</v>
      </c>
      <c r="F98" s="13">
        <v>0</v>
      </c>
      <c r="G98" s="13">
        <v>0</v>
      </c>
      <c r="H98" s="14">
        <f t="shared" si="2"/>
        <v>0</v>
      </c>
      <c r="I98" s="14">
        <f t="shared" si="3"/>
        <v>0</v>
      </c>
      <c r="J98" s="598" t="s">
        <v>78</v>
      </c>
      <c r="K98" s="8"/>
    </row>
    <row r="99" spans="1:11" x14ac:dyDescent="0.2">
      <c r="A99" s="10">
        <v>42110000</v>
      </c>
      <c r="B99" s="10" t="s">
        <v>309</v>
      </c>
      <c r="C99" s="11">
        <v>0</v>
      </c>
      <c r="D99" s="11">
        <v>0</v>
      </c>
      <c r="E99" s="11">
        <v>0</v>
      </c>
      <c r="F99" s="13">
        <v>0</v>
      </c>
      <c r="G99" s="13">
        <v>0</v>
      </c>
      <c r="H99" s="14">
        <f t="shared" si="2"/>
        <v>0</v>
      </c>
      <c r="I99" s="14">
        <f t="shared" si="3"/>
        <v>0</v>
      </c>
      <c r="J99" s="598"/>
      <c r="K99" s="8"/>
    </row>
    <row r="100" spans="1:11" x14ac:dyDescent="0.2">
      <c r="A100" s="10">
        <v>42120000</v>
      </c>
      <c r="B100" s="10" t="s">
        <v>77</v>
      </c>
      <c r="C100" s="11">
        <v>40489.86</v>
      </c>
      <c r="D100" s="11">
        <v>0</v>
      </c>
      <c r="E100" s="11">
        <v>6650</v>
      </c>
      <c r="F100" s="13">
        <v>0</v>
      </c>
      <c r="G100" s="13">
        <v>0</v>
      </c>
      <c r="H100" s="14">
        <f t="shared" si="2"/>
        <v>-6650</v>
      </c>
      <c r="I100" s="14">
        <f t="shared" si="3"/>
        <v>33839.86</v>
      </c>
      <c r="J100" s="598" t="s">
        <v>78</v>
      </c>
      <c r="K100" s="8"/>
    </row>
    <row r="101" spans="1:11" x14ac:dyDescent="0.2">
      <c r="A101" s="10">
        <v>42400000</v>
      </c>
      <c r="B101" s="10" t="s">
        <v>79</v>
      </c>
      <c r="C101" s="11">
        <v>0</v>
      </c>
      <c r="D101" s="11">
        <v>0</v>
      </c>
      <c r="E101" s="11">
        <v>0</v>
      </c>
      <c r="F101" s="13">
        <v>0</v>
      </c>
      <c r="G101" s="13">
        <v>0</v>
      </c>
      <c r="H101" s="14">
        <f t="shared" si="2"/>
        <v>0</v>
      </c>
      <c r="I101" s="14">
        <f t="shared" si="3"/>
        <v>0</v>
      </c>
      <c r="J101" s="598"/>
      <c r="K101" s="8"/>
    </row>
    <row r="102" spans="1:11" x14ac:dyDescent="0.2">
      <c r="A102" s="10">
        <v>42500000</v>
      </c>
      <c r="B102" s="10" t="s">
        <v>80</v>
      </c>
      <c r="C102" s="11">
        <v>-6467.3240000000005</v>
      </c>
      <c r="D102" s="11">
        <f>250671.562+180615.588</f>
        <v>431287.15</v>
      </c>
      <c r="E102" s="16">
        <f>251590.365+180000</f>
        <v>431590.36499999999</v>
      </c>
      <c r="F102" s="13">
        <v>0</v>
      </c>
      <c r="G102" s="13">
        <v>0</v>
      </c>
      <c r="H102" s="14">
        <f t="shared" si="2"/>
        <v>-303.2149999999674</v>
      </c>
      <c r="I102" s="14">
        <f t="shared" si="3"/>
        <v>-6770.5389999999679</v>
      </c>
      <c r="J102" s="598" t="s">
        <v>81</v>
      </c>
      <c r="K102" s="8"/>
    </row>
    <row r="103" spans="1:11" x14ac:dyDescent="0.2">
      <c r="A103" s="10">
        <v>42700000</v>
      </c>
      <c r="B103" s="10" t="s">
        <v>310</v>
      </c>
      <c r="C103" s="11">
        <v>0</v>
      </c>
      <c r="D103" s="11">
        <v>0</v>
      </c>
      <c r="E103" s="11">
        <v>0</v>
      </c>
      <c r="F103" s="13">
        <v>0</v>
      </c>
      <c r="G103" s="13">
        <v>0</v>
      </c>
      <c r="H103" s="14">
        <f t="shared" si="2"/>
        <v>0</v>
      </c>
      <c r="I103" s="14">
        <f t="shared" si="3"/>
        <v>0</v>
      </c>
      <c r="J103" s="598"/>
      <c r="K103" s="8"/>
    </row>
    <row r="104" spans="1:11" x14ac:dyDescent="0.2">
      <c r="A104" s="10">
        <v>42710000</v>
      </c>
      <c r="B104" s="10" t="s">
        <v>82</v>
      </c>
      <c r="C104" s="11">
        <v>-1677.2300000000009</v>
      </c>
      <c r="D104" s="11">
        <v>1246.9680000000001</v>
      </c>
      <c r="E104" s="11">
        <v>1227.8</v>
      </c>
      <c r="F104" s="13">
        <v>0</v>
      </c>
      <c r="G104" s="13">
        <v>0</v>
      </c>
      <c r="H104" s="14">
        <f t="shared" si="2"/>
        <v>19.16800000000012</v>
      </c>
      <c r="I104" s="14">
        <f t="shared" si="3"/>
        <v>-1658.0620000000008</v>
      </c>
      <c r="J104" s="598" t="s">
        <v>81</v>
      </c>
      <c r="K104" s="8"/>
    </row>
    <row r="105" spans="1:11" x14ac:dyDescent="0.2">
      <c r="A105" s="10">
        <v>42820000</v>
      </c>
      <c r="B105" s="10" t="s">
        <v>83</v>
      </c>
      <c r="C105" s="11">
        <v>-214590.37699999995</v>
      </c>
      <c r="D105" s="11">
        <v>214590.37700000001</v>
      </c>
      <c r="E105" s="11">
        <v>227303.69399999999</v>
      </c>
      <c r="F105" s="13">
        <v>0</v>
      </c>
      <c r="G105" s="13">
        <v>0</v>
      </c>
      <c r="H105" s="14">
        <f t="shared" si="2"/>
        <v>-12713.316999999981</v>
      </c>
      <c r="I105" s="14">
        <f t="shared" si="3"/>
        <v>-227303.69399999993</v>
      </c>
      <c r="J105" s="598" t="s">
        <v>81</v>
      </c>
      <c r="K105" s="8"/>
    </row>
    <row r="106" spans="1:11" x14ac:dyDescent="0.2">
      <c r="A106" s="10">
        <v>43200000</v>
      </c>
      <c r="B106" s="10" t="s">
        <v>311</v>
      </c>
      <c r="C106" s="11">
        <v>0</v>
      </c>
      <c r="D106" s="11">
        <v>0</v>
      </c>
      <c r="E106" s="11">
        <v>0</v>
      </c>
      <c r="F106" s="13">
        <v>0</v>
      </c>
      <c r="G106" s="13">
        <v>0</v>
      </c>
      <c r="H106" s="14">
        <f t="shared" si="2"/>
        <v>0</v>
      </c>
      <c r="I106" s="14">
        <f t="shared" si="3"/>
        <v>0</v>
      </c>
      <c r="J106" s="598"/>
      <c r="K106" s="8"/>
    </row>
    <row r="107" spans="1:11" x14ac:dyDescent="0.2">
      <c r="A107" s="10">
        <v>43210000</v>
      </c>
      <c r="B107" s="10" t="s">
        <v>84</v>
      </c>
      <c r="C107" s="11">
        <v>-49162.16</v>
      </c>
      <c r="D107" s="11">
        <v>49162.159999999996</v>
      </c>
      <c r="E107" s="11">
        <v>55511.219000000005</v>
      </c>
      <c r="F107" s="13">
        <v>0</v>
      </c>
      <c r="G107" s="13">
        <v>0</v>
      </c>
      <c r="H107" s="14">
        <f t="shared" si="2"/>
        <v>-6349.0590000000084</v>
      </c>
      <c r="I107" s="14">
        <f t="shared" si="3"/>
        <v>-55511.219000000012</v>
      </c>
      <c r="J107" s="598" t="s">
        <v>81</v>
      </c>
      <c r="K107" s="8"/>
    </row>
    <row r="108" spans="1:11" x14ac:dyDescent="0.2">
      <c r="A108" s="10">
        <v>43211000</v>
      </c>
      <c r="B108" s="10" t="s">
        <v>312</v>
      </c>
      <c r="C108" s="11">
        <v>0</v>
      </c>
      <c r="D108" s="11">
        <v>0</v>
      </c>
      <c r="E108" s="11">
        <v>0</v>
      </c>
      <c r="F108" s="13">
        <v>0</v>
      </c>
      <c r="G108" s="13">
        <v>0</v>
      </c>
      <c r="H108" s="14">
        <f t="shared" si="2"/>
        <v>0</v>
      </c>
      <c r="I108" s="14">
        <f t="shared" si="3"/>
        <v>0</v>
      </c>
      <c r="J108" s="598" t="s">
        <v>81</v>
      </c>
      <c r="K108" s="8"/>
    </row>
    <row r="109" spans="1:11" x14ac:dyDescent="0.2">
      <c r="A109" s="10">
        <v>43211500</v>
      </c>
      <c r="B109" s="10" t="s">
        <v>85</v>
      </c>
      <c r="C109" s="11">
        <v>0</v>
      </c>
      <c r="D109" s="11">
        <v>15.051</v>
      </c>
      <c r="E109" s="11">
        <v>15.051</v>
      </c>
      <c r="F109" s="13">
        <v>0</v>
      </c>
      <c r="G109" s="13">
        <v>0</v>
      </c>
      <c r="H109" s="14">
        <f t="shared" si="2"/>
        <v>0</v>
      </c>
      <c r="I109" s="14">
        <f t="shared" si="3"/>
        <v>0</v>
      </c>
      <c r="J109" s="598" t="s">
        <v>81</v>
      </c>
      <c r="K109" s="8"/>
    </row>
    <row r="110" spans="1:11" x14ac:dyDescent="0.2">
      <c r="A110" s="10">
        <v>43212500</v>
      </c>
      <c r="B110" s="10" t="s">
        <v>313</v>
      </c>
      <c r="C110" s="11">
        <v>0</v>
      </c>
      <c r="D110" s="11">
        <v>0</v>
      </c>
      <c r="E110" s="11">
        <v>0</v>
      </c>
      <c r="F110" s="13">
        <v>0</v>
      </c>
      <c r="G110" s="13">
        <v>0</v>
      </c>
      <c r="H110" s="14">
        <f t="shared" si="2"/>
        <v>0</v>
      </c>
      <c r="I110" s="14">
        <f t="shared" si="3"/>
        <v>0</v>
      </c>
      <c r="J110" s="598"/>
      <c r="K110" s="8"/>
    </row>
    <row r="111" spans="1:11" x14ac:dyDescent="0.2">
      <c r="A111" s="10">
        <v>43215000</v>
      </c>
      <c r="B111" s="10" t="s">
        <v>314</v>
      </c>
      <c r="C111" s="11">
        <v>0</v>
      </c>
      <c r="D111" s="11">
        <v>0</v>
      </c>
      <c r="E111" s="11">
        <v>0</v>
      </c>
      <c r="F111" s="13">
        <v>0</v>
      </c>
      <c r="G111" s="13">
        <v>0</v>
      </c>
      <c r="H111" s="14">
        <f t="shared" si="2"/>
        <v>0</v>
      </c>
      <c r="I111" s="14">
        <f t="shared" si="3"/>
        <v>0</v>
      </c>
      <c r="J111" s="598"/>
      <c r="K111" s="8"/>
    </row>
    <row r="112" spans="1:11" x14ac:dyDescent="0.2">
      <c r="A112" s="10">
        <v>43220000</v>
      </c>
      <c r="B112" s="10" t="s">
        <v>86</v>
      </c>
      <c r="C112" s="11">
        <v>0</v>
      </c>
      <c r="D112" s="11">
        <v>0</v>
      </c>
      <c r="E112" s="11">
        <v>0</v>
      </c>
      <c r="F112" s="13">
        <v>0</v>
      </c>
      <c r="G112" s="13">
        <v>0</v>
      </c>
      <c r="H112" s="14">
        <f t="shared" si="2"/>
        <v>0</v>
      </c>
      <c r="I112" s="14">
        <f t="shared" si="3"/>
        <v>0</v>
      </c>
      <c r="J112" s="598" t="s">
        <v>81</v>
      </c>
      <c r="K112" s="8"/>
    </row>
    <row r="113" spans="1:11" x14ac:dyDescent="0.2">
      <c r="A113" s="10">
        <v>43220050</v>
      </c>
      <c r="B113" s="10" t="s">
        <v>315</v>
      </c>
      <c r="C113" s="11">
        <v>4.6999999999343345E-2</v>
      </c>
      <c r="D113" s="11">
        <v>0</v>
      </c>
      <c r="E113" s="11">
        <f>1190.001+686.504</f>
        <v>1876.5050000000001</v>
      </c>
      <c r="F113" s="13">
        <v>0</v>
      </c>
      <c r="G113" s="13">
        <v>0</v>
      </c>
      <c r="H113" s="14">
        <f t="shared" si="2"/>
        <v>-1876.5050000000001</v>
      </c>
      <c r="I113" s="14">
        <f t="shared" si="3"/>
        <v>-1876.4580000000008</v>
      </c>
      <c r="J113" s="598" t="s">
        <v>81</v>
      </c>
      <c r="K113" s="8"/>
    </row>
    <row r="114" spans="1:11" x14ac:dyDescent="0.2">
      <c r="A114" s="10">
        <v>43220100</v>
      </c>
      <c r="B114" s="10" t="s">
        <v>87</v>
      </c>
      <c r="C114" s="11">
        <v>-14578.196000000067</v>
      </c>
      <c r="D114" s="11">
        <v>14857.083000000002</v>
      </c>
      <c r="E114" s="11">
        <f>36700.078+228.312</f>
        <v>36928.39</v>
      </c>
      <c r="F114" s="13">
        <v>0</v>
      </c>
      <c r="G114" s="13">
        <v>0</v>
      </c>
      <c r="H114" s="14">
        <f t="shared" si="2"/>
        <v>-22071.306999999997</v>
      </c>
      <c r="I114" s="14">
        <f t="shared" si="3"/>
        <v>-36649.503000000062</v>
      </c>
      <c r="J114" s="598" t="s">
        <v>81</v>
      </c>
      <c r="K114" s="8"/>
    </row>
    <row r="115" spans="1:11" x14ac:dyDescent="0.2">
      <c r="A115" s="10">
        <v>43220300</v>
      </c>
      <c r="B115" s="10" t="s">
        <v>88</v>
      </c>
      <c r="C115" s="11">
        <v>-108.12799999999987</v>
      </c>
      <c r="D115" s="11">
        <v>108.179</v>
      </c>
      <c r="E115" s="11">
        <v>0</v>
      </c>
      <c r="F115" s="13">
        <v>0</v>
      </c>
      <c r="G115" s="13">
        <v>0</v>
      </c>
      <c r="H115" s="14">
        <f t="shared" si="2"/>
        <v>108.179</v>
      </c>
      <c r="I115" s="14">
        <f t="shared" si="3"/>
        <v>5.100000000012983E-2</v>
      </c>
      <c r="J115" s="598" t="s">
        <v>78</v>
      </c>
      <c r="K115" s="8"/>
    </row>
    <row r="116" spans="1:11" x14ac:dyDescent="0.2">
      <c r="A116" s="10">
        <v>43221000</v>
      </c>
      <c r="B116" s="10" t="s">
        <v>89</v>
      </c>
      <c r="C116" s="11">
        <v>-94.445999999978483</v>
      </c>
      <c r="D116" s="11">
        <v>94.443999999999988</v>
      </c>
      <c r="E116" s="11">
        <v>94.443999999999988</v>
      </c>
      <c r="F116" s="13">
        <v>0</v>
      </c>
      <c r="G116" s="13">
        <v>0</v>
      </c>
      <c r="H116" s="14">
        <f t="shared" si="2"/>
        <v>0</v>
      </c>
      <c r="I116" s="14">
        <f t="shared" si="3"/>
        <v>-94.445999999978483</v>
      </c>
      <c r="J116" s="598" t="s">
        <v>81</v>
      </c>
      <c r="K116" s="8"/>
    </row>
    <row r="117" spans="1:11" x14ac:dyDescent="0.2">
      <c r="A117" s="10">
        <v>43222000</v>
      </c>
      <c r="B117" s="10" t="s">
        <v>316</v>
      </c>
      <c r="C117" s="11">
        <v>0</v>
      </c>
      <c r="D117" s="11">
        <v>0</v>
      </c>
      <c r="E117" s="16">
        <v>45000</v>
      </c>
      <c r="F117" s="13">
        <v>0</v>
      </c>
      <c r="G117" s="13">
        <v>0</v>
      </c>
      <c r="H117" s="14">
        <f t="shared" si="2"/>
        <v>-45000</v>
      </c>
      <c r="I117" s="14">
        <f t="shared" si="3"/>
        <v>-45000</v>
      </c>
      <c r="J117" s="598" t="s">
        <v>81</v>
      </c>
      <c r="K117" s="8"/>
    </row>
    <row r="118" spans="1:11" x14ac:dyDescent="0.2">
      <c r="A118" s="10">
        <v>43223000</v>
      </c>
      <c r="B118" s="10" t="s">
        <v>90</v>
      </c>
      <c r="C118" s="11">
        <v>-768.22000000000503</v>
      </c>
      <c r="D118" s="11">
        <v>1264.78</v>
      </c>
      <c r="E118" s="11">
        <v>1408.925</v>
      </c>
      <c r="F118" s="13">
        <v>0</v>
      </c>
      <c r="G118" s="13">
        <v>0</v>
      </c>
      <c r="H118" s="14">
        <f t="shared" si="2"/>
        <v>-144.14499999999998</v>
      </c>
      <c r="I118" s="14">
        <f t="shared" si="3"/>
        <v>-912.36500000000501</v>
      </c>
      <c r="J118" s="598" t="s">
        <v>81</v>
      </c>
      <c r="K118" s="8"/>
    </row>
    <row r="119" spans="1:11" x14ac:dyDescent="0.2">
      <c r="A119" s="10">
        <v>43310000</v>
      </c>
      <c r="B119" s="10" t="s">
        <v>317</v>
      </c>
      <c r="C119" s="11">
        <v>0</v>
      </c>
      <c r="D119" s="11">
        <v>0</v>
      </c>
      <c r="E119" s="11">
        <v>0</v>
      </c>
      <c r="F119" s="13">
        <v>0</v>
      </c>
      <c r="G119" s="13">
        <v>0</v>
      </c>
      <c r="H119" s="14">
        <f t="shared" si="2"/>
        <v>0</v>
      </c>
      <c r="I119" s="14">
        <f t="shared" si="3"/>
        <v>0</v>
      </c>
      <c r="J119" s="598"/>
      <c r="K119" s="8"/>
    </row>
    <row r="120" spans="1:11" x14ac:dyDescent="0.2">
      <c r="A120" s="10">
        <v>43400000</v>
      </c>
      <c r="B120" s="10" t="s">
        <v>91</v>
      </c>
      <c r="C120" s="11">
        <f>790449.57-44699.802</f>
        <v>745749.76799999992</v>
      </c>
      <c r="D120" s="11">
        <v>38643.546000000002</v>
      </c>
      <c r="E120" s="11">
        <v>38643.546000000002</v>
      </c>
      <c r="F120" s="13">
        <v>0</v>
      </c>
      <c r="G120" s="13">
        <v>0</v>
      </c>
      <c r="H120" s="14">
        <f t="shared" si="2"/>
        <v>0</v>
      </c>
      <c r="I120" s="14">
        <f t="shared" si="3"/>
        <v>745749.76799999992</v>
      </c>
      <c r="J120" s="598" t="s">
        <v>78</v>
      </c>
      <c r="K120" s="8"/>
    </row>
    <row r="121" spans="1:11" x14ac:dyDescent="0.2">
      <c r="A121" s="10">
        <v>43410000</v>
      </c>
      <c r="B121" s="10" t="s">
        <v>318</v>
      </c>
      <c r="C121" s="11">
        <v>268671.74799999979</v>
      </c>
      <c r="D121" s="11">
        <v>57515.134000000005</v>
      </c>
      <c r="E121" s="11">
        <v>0</v>
      </c>
      <c r="F121" s="13">
        <v>0</v>
      </c>
      <c r="G121" s="13">
        <v>0</v>
      </c>
      <c r="H121" s="14">
        <f t="shared" si="2"/>
        <v>57515.134000000005</v>
      </c>
      <c r="I121" s="14">
        <f t="shared" si="3"/>
        <v>326186.88199999981</v>
      </c>
      <c r="J121" s="598" t="s">
        <v>78</v>
      </c>
      <c r="K121" s="8"/>
    </row>
    <row r="122" spans="1:11" x14ac:dyDescent="0.2">
      <c r="A122" s="10">
        <v>43420000</v>
      </c>
      <c r="B122" s="10" t="s">
        <v>92</v>
      </c>
      <c r="C122" s="11">
        <v>0</v>
      </c>
      <c r="D122" s="11">
        <v>0</v>
      </c>
      <c r="E122" s="11">
        <v>0</v>
      </c>
      <c r="F122" s="13">
        <v>0</v>
      </c>
      <c r="G122" s="13">
        <v>0</v>
      </c>
      <c r="H122" s="14">
        <f t="shared" si="2"/>
        <v>0</v>
      </c>
      <c r="I122" s="14">
        <f t="shared" si="3"/>
        <v>0</v>
      </c>
      <c r="J122" s="598"/>
      <c r="K122" s="8"/>
    </row>
    <row r="123" spans="1:11" x14ac:dyDescent="0.2">
      <c r="A123" s="10">
        <v>43430000</v>
      </c>
      <c r="B123" s="10" t="s">
        <v>319</v>
      </c>
      <c r="C123" s="11">
        <v>0</v>
      </c>
      <c r="D123" s="11">
        <v>0</v>
      </c>
      <c r="E123" s="11">
        <v>0</v>
      </c>
      <c r="F123" s="13">
        <v>0</v>
      </c>
      <c r="G123" s="13">
        <v>0</v>
      </c>
      <c r="H123" s="14">
        <f t="shared" si="2"/>
        <v>0</v>
      </c>
      <c r="I123" s="14">
        <f t="shared" si="3"/>
        <v>0</v>
      </c>
      <c r="J123" s="598" t="s">
        <v>78</v>
      </c>
      <c r="K123" s="8"/>
    </row>
    <row r="124" spans="1:11" x14ac:dyDescent="0.2">
      <c r="A124" s="10">
        <v>43440000</v>
      </c>
      <c r="B124" s="10" t="s">
        <v>320</v>
      </c>
      <c r="C124" s="11">
        <v>0</v>
      </c>
      <c r="D124" s="11">
        <v>0</v>
      </c>
      <c r="E124" s="11">
        <v>0</v>
      </c>
      <c r="F124" s="13">
        <v>0</v>
      </c>
      <c r="G124" s="13">
        <v>0</v>
      </c>
      <c r="H124" s="14">
        <f t="shared" si="2"/>
        <v>0</v>
      </c>
      <c r="I124" s="14">
        <f t="shared" si="3"/>
        <v>0</v>
      </c>
      <c r="J124" s="598" t="s">
        <v>78</v>
      </c>
      <c r="K124" s="8"/>
    </row>
    <row r="125" spans="1:11" x14ac:dyDescent="0.2">
      <c r="A125" s="10">
        <v>43500000</v>
      </c>
      <c r="B125" s="10" t="s">
        <v>321</v>
      </c>
      <c r="C125" s="11">
        <v>-135442.41599999997</v>
      </c>
      <c r="D125" s="11">
        <v>0</v>
      </c>
      <c r="E125" s="11">
        <v>0</v>
      </c>
      <c r="F125" s="13">
        <v>0</v>
      </c>
      <c r="G125" s="13">
        <v>0</v>
      </c>
      <c r="H125" s="14">
        <f t="shared" si="2"/>
        <v>0</v>
      </c>
      <c r="I125" s="14">
        <f t="shared" si="3"/>
        <v>-135442.41599999997</v>
      </c>
      <c r="J125" s="598" t="s">
        <v>81</v>
      </c>
      <c r="K125" s="8"/>
    </row>
    <row r="126" spans="1:11" x14ac:dyDescent="0.2">
      <c r="A126" s="10">
        <v>43600000</v>
      </c>
      <c r="B126" s="10" t="s">
        <v>93</v>
      </c>
      <c r="C126" s="11">
        <v>202557.7869999886</v>
      </c>
      <c r="D126" s="11">
        <f>291756.192+729892.597</f>
        <v>1021648.7889999999</v>
      </c>
      <c r="E126" s="11">
        <f>291756.192+741451.634</f>
        <v>1033207.8259999999</v>
      </c>
      <c r="F126" s="13">
        <v>0</v>
      </c>
      <c r="G126" s="13">
        <v>0</v>
      </c>
      <c r="H126" s="14">
        <f t="shared" si="2"/>
        <v>-11559.037000000011</v>
      </c>
      <c r="I126" s="14">
        <f t="shared" si="3"/>
        <v>190998.74999998859</v>
      </c>
      <c r="J126" s="598" t="s">
        <v>78</v>
      </c>
      <c r="K126" s="8"/>
    </row>
    <row r="127" spans="1:11" x14ac:dyDescent="0.2">
      <c r="A127" s="10">
        <v>43625000</v>
      </c>
      <c r="B127" s="10" t="s">
        <v>94</v>
      </c>
      <c r="C127" s="11">
        <v>-36469.522000000121</v>
      </c>
      <c r="D127" s="11">
        <v>37314.644</v>
      </c>
      <c r="E127" s="11">
        <v>36966.789000000004</v>
      </c>
      <c r="F127" s="13">
        <v>0</v>
      </c>
      <c r="G127" s="13">
        <v>0</v>
      </c>
      <c r="H127" s="14">
        <f t="shared" si="2"/>
        <v>347.85499999999593</v>
      </c>
      <c r="I127" s="14">
        <f t="shared" si="3"/>
        <v>-36121.667000000125</v>
      </c>
      <c r="J127" s="598" t="s">
        <v>81</v>
      </c>
      <c r="K127" s="8"/>
    </row>
    <row r="128" spans="1:11" x14ac:dyDescent="0.2">
      <c r="A128" s="10">
        <v>43627000</v>
      </c>
      <c r="B128" s="10" t="s">
        <v>95</v>
      </c>
      <c r="C128" s="11">
        <v>-255286.63199999987</v>
      </c>
      <c r="D128" s="11">
        <v>261202.50899999999</v>
      </c>
      <c r="E128" s="11">
        <v>258767.519</v>
      </c>
      <c r="F128" s="13">
        <v>0</v>
      </c>
      <c r="G128" s="13">
        <v>0</v>
      </c>
      <c r="H128" s="14">
        <f t="shared" si="2"/>
        <v>2434.9899999999907</v>
      </c>
      <c r="I128" s="14">
        <f t="shared" si="3"/>
        <v>-252851.64199999988</v>
      </c>
      <c r="J128" s="598" t="s">
        <v>81</v>
      </c>
      <c r="K128" s="8"/>
    </row>
    <row r="129" spans="1:11" x14ac:dyDescent="0.2">
      <c r="A129" s="10">
        <v>43630600</v>
      </c>
      <c r="B129" s="10" t="s">
        <v>322</v>
      </c>
      <c r="C129" s="11">
        <v>0</v>
      </c>
      <c r="D129" s="11">
        <v>0</v>
      </c>
      <c r="E129" s="11">
        <v>0</v>
      </c>
      <c r="F129" s="13">
        <v>0</v>
      </c>
      <c r="G129" s="13">
        <v>0</v>
      </c>
      <c r="H129" s="14">
        <f t="shared" si="2"/>
        <v>0</v>
      </c>
      <c r="I129" s="14">
        <f t="shared" si="3"/>
        <v>0</v>
      </c>
      <c r="J129" s="598"/>
      <c r="K129" s="8"/>
    </row>
    <row r="130" spans="1:11" x14ac:dyDescent="0.2">
      <c r="A130" s="10">
        <v>43630700</v>
      </c>
      <c r="B130" s="10" t="s">
        <v>96</v>
      </c>
      <c r="C130" s="11">
        <v>5.0022208597511053E-11</v>
      </c>
      <c r="D130" s="11">
        <v>726.56499999999994</v>
      </c>
      <c r="E130" s="11">
        <f>38.176+688.389</f>
        <v>726.56500000000005</v>
      </c>
      <c r="F130" s="13">
        <v>0</v>
      </c>
      <c r="G130" s="13">
        <v>0</v>
      </c>
      <c r="H130" s="14">
        <f t="shared" si="2"/>
        <v>-1.1368683772161603E-13</v>
      </c>
      <c r="I130" s="14">
        <f t="shared" si="3"/>
        <v>4.9908521759789437E-11</v>
      </c>
      <c r="J130" s="598" t="s">
        <v>78</v>
      </c>
      <c r="K130" s="8"/>
    </row>
    <row r="131" spans="1:11" x14ac:dyDescent="0.2">
      <c r="A131" s="10">
        <v>43631000</v>
      </c>
      <c r="B131" s="10" t="s">
        <v>323</v>
      </c>
      <c r="C131" s="11">
        <v>0</v>
      </c>
      <c r="D131" s="11">
        <v>0</v>
      </c>
      <c r="E131" s="11">
        <v>0</v>
      </c>
      <c r="F131" s="13">
        <v>0</v>
      </c>
      <c r="G131" s="13">
        <v>0</v>
      </c>
      <c r="H131" s="14">
        <f t="shared" ref="H131:H194" si="4">+D131+F131-E131-G131</f>
        <v>0</v>
      </c>
      <c r="I131" s="14">
        <f t="shared" ref="I131:I194" si="5">+H131+C131</f>
        <v>0</v>
      </c>
      <c r="J131" s="598"/>
      <c r="K131" s="8"/>
    </row>
    <row r="132" spans="1:11" x14ac:dyDescent="0.2">
      <c r="A132" s="10">
        <v>43631300</v>
      </c>
      <c r="B132" s="10" t="s">
        <v>324</v>
      </c>
      <c r="C132" s="11">
        <v>-8.6401996668428183E-12</v>
      </c>
      <c r="D132" s="11">
        <v>1563.2549999999999</v>
      </c>
      <c r="E132" s="11">
        <v>1563.2550000000001</v>
      </c>
      <c r="F132" s="13">
        <v>0</v>
      </c>
      <c r="G132" s="13">
        <v>0</v>
      </c>
      <c r="H132" s="14">
        <f t="shared" si="4"/>
        <v>-2.2737367544323206E-13</v>
      </c>
      <c r="I132" s="14">
        <f t="shared" si="5"/>
        <v>-8.8675733422860503E-12</v>
      </c>
      <c r="J132" s="598" t="s">
        <v>78</v>
      </c>
      <c r="K132" s="8"/>
    </row>
    <row r="133" spans="1:11" x14ac:dyDescent="0.2">
      <c r="A133" s="10">
        <v>43631800</v>
      </c>
      <c r="B133" s="10" t="s">
        <v>325</v>
      </c>
      <c r="C133" s="11">
        <v>0</v>
      </c>
      <c r="D133" s="11">
        <v>0</v>
      </c>
      <c r="E133" s="11">
        <v>0</v>
      </c>
      <c r="F133" s="13">
        <v>0</v>
      </c>
      <c r="G133" s="13">
        <v>0</v>
      </c>
      <c r="H133" s="14">
        <f t="shared" si="4"/>
        <v>0</v>
      </c>
      <c r="I133" s="14">
        <f t="shared" si="5"/>
        <v>0</v>
      </c>
      <c r="J133" s="598"/>
      <c r="K133" s="8"/>
    </row>
    <row r="134" spans="1:11" x14ac:dyDescent="0.2">
      <c r="A134" s="10">
        <v>43631900</v>
      </c>
      <c r="B134" s="10" t="s">
        <v>97</v>
      </c>
      <c r="C134" s="11">
        <v>-2492941.5619999999</v>
      </c>
      <c r="D134" s="11">
        <f>727774.984+2492941.552+2492941.562</f>
        <v>5713658.0980000002</v>
      </c>
      <c r="E134" s="11">
        <f>134.031+3220582.515</f>
        <v>3220716.5460000001</v>
      </c>
      <c r="F134" s="13">
        <v>0</v>
      </c>
      <c r="G134" s="13">
        <v>0</v>
      </c>
      <c r="H134" s="14">
        <f t="shared" si="4"/>
        <v>2492941.5520000001</v>
      </c>
      <c r="I134" s="14">
        <f t="shared" si="5"/>
        <v>-9.9999997764825821E-3</v>
      </c>
      <c r="J134" s="598" t="s">
        <v>81</v>
      </c>
      <c r="K134" s="8"/>
    </row>
    <row r="135" spans="1:11" x14ac:dyDescent="0.2">
      <c r="A135" s="10">
        <v>43661800</v>
      </c>
      <c r="B135" s="10" t="s">
        <v>326</v>
      </c>
      <c r="C135" s="11">
        <v>0</v>
      </c>
      <c r="D135" s="11">
        <v>0</v>
      </c>
      <c r="E135" s="11">
        <v>0</v>
      </c>
      <c r="F135" s="13">
        <v>0</v>
      </c>
      <c r="G135" s="13">
        <v>0</v>
      </c>
      <c r="H135" s="14">
        <f t="shared" si="4"/>
        <v>0</v>
      </c>
      <c r="I135" s="14">
        <f t="shared" si="5"/>
        <v>0</v>
      </c>
      <c r="J135" s="598"/>
      <c r="K135" s="8"/>
    </row>
    <row r="136" spans="1:11" x14ac:dyDescent="0.2">
      <c r="A136" s="10">
        <v>43671000</v>
      </c>
      <c r="B136" s="10" t="s">
        <v>98</v>
      </c>
      <c r="C136" s="11">
        <v>-2.3283064365386963E-9</v>
      </c>
      <c r="D136" s="11">
        <f>17468.37+741451.634</f>
        <v>758920.00399999996</v>
      </c>
      <c r="E136" s="11">
        <v>758920.00400000007</v>
      </c>
      <c r="F136" s="13">
        <v>0</v>
      </c>
      <c r="G136" s="13">
        <v>0</v>
      </c>
      <c r="H136" s="14">
        <f t="shared" si="4"/>
        <v>-1.1641532182693481E-10</v>
      </c>
      <c r="I136" s="14">
        <f t="shared" si="5"/>
        <v>-2.4447217583656311E-9</v>
      </c>
      <c r="J136" s="598" t="s">
        <v>81</v>
      </c>
      <c r="K136" s="8"/>
    </row>
    <row r="137" spans="1:11" x14ac:dyDescent="0.2">
      <c r="A137" s="10">
        <v>43700000</v>
      </c>
      <c r="B137" s="10" t="s">
        <v>99</v>
      </c>
      <c r="C137" s="11">
        <v>-3</v>
      </c>
      <c r="D137" s="11">
        <v>2</v>
      </c>
      <c r="E137" s="11">
        <f>1+1</f>
        <v>2</v>
      </c>
      <c r="F137" s="13">
        <v>0</v>
      </c>
      <c r="G137" s="13">
        <v>0</v>
      </c>
      <c r="H137" s="14">
        <f t="shared" si="4"/>
        <v>0</v>
      </c>
      <c r="I137" s="14">
        <f t="shared" si="5"/>
        <v>-3</v>
      </c>
      <c r="J137" s="598" t="s">
        <v>81</v>
      </c>
      <c r="K137" s="8"/>
    </row>
    <row r="138" spans="1:11" x14ac:dyDescent="0.2">
      <c r="A138" s="10">
        <v>43720000</v>
      </c>
      <c r="B138" s="10" t="s">
        <v>327</v>
      </c>
      <c r="C138" s="11">
        <v>0</v>
      </c>
      <c r="D138" s="11">
        <v>0</v>
      </c>
      <c r="E138" s="11">
        <v>0</v>
      </c>
      <c r="F138" s="13">
        <v>0</v>
      </c>
      <c r="G138" s="13">
        <v>0</v>
      </c>
      <c r="H138" s="14">
        <f t="shared" si="4"/>
        <v>0</v>
      </c>
      <c r="I138" s="14">
        <f t="shared" si="5"/>
        <v>0</v>
      </c>
      <c r="J138" s="598" t="s">
        <v>81</v>
      </c>
      <c r="K138" s="8"/>
    </row>
    <row r="139" spans="1:11" x14ac:dyDescent="0.2">
      <c r="A139" s="10">
        <v>43756000</v>
      </c>
      <c r="B139" s="10" t="s">
        <v>328</v>
      </c>
      <c r="C139" s="11">
        <v>0</v>
      </c>
      <c r="D139" s="11">
        <v>0</v>
      </c>
      <c r="E139" s="11">
        <v>0</v>
      </c>
      <c r="F139" s="13">
        <v>0</v>
      </c>
      <c r="G139" s="13">
        <v>0</v>
      </c>
      <c r="H139" s="14">
        <f t="shared" si="4"/>
        <v>0</v>
      </c>
      <c r="I139" s="14">
        <f t="shared" si="5"/>
        <v>0</v>
      </c>
      <c r="J139" s="598"/>
      <c r="K139" s="8"/>
    </row>
    <row r="140" spans="1:11" x14ac:dyDescent="0.2">
      <c r="A140" s="10">
        <v>44100000</v>
      </c>
      <c r="B140" s="10" t="s">
        <v>329</v>
      </c>
      <c r="C140" s="11">
        <v>0</v>
      </c>
      <c r="D140" s="11">
        <v>0</v>
      </c>
      <c r="E140" s="11">
        <v>0</v>
      </c>
      <c r="F140" s="13">
        <v>0</v>
      </c>
      <c r="G140" s="13">
        <v>0</v>
      </c>
      <c r="H140" s="14">
        <f t="shared" si="4"/>
        <v>0</v>
      </c>
      <c r="I140" s="14">
        <f t="shared" si="5"/>
        <v>0</v>
      </c>
      <c r="J140" s="598"/>
      <c r="K140" s="8"/>
    </row>
    <row r="141" spans="1:11" x14ac:dyDescent="0.2">
      <c r="A141" s="10">
        <v>44101000</v>
      </c>
      <c r="B141" s="10" t="s">
        <v>7717</v>
      </c>
      <c r="C141" s="11">
        <v>57066.353000000003</v>
      </c>
      <c r="D141" s="11">
        <v>0</v>
      </c>
      <c r="E141" s="11">
        <v>0</v>
      </c>
      <c r="F141" s="13">
        <v>0</v>
      </c>
      <c r="G141" s="13">
        <v>0</v>
      </c>
      <c r="H141" s="14">
        <f t="shared" si="4"/>
        <v>0</v>
      </c>
      <c r="I141" s="14">
        <f t="shared" si="5"/>
        <v>57066.353000000003</v>
      </c>
      <c r="J141" s="598" t="s">
        <v>78</v>
      </c>
      <c r="K141" s="8"/>
    </row>
    <row r="142" spans="1:11" x14ac:dyDescent="0.2">
      <c r="A142" s="10">
        <v>44200000</v>
      </c>
      <c r="B142" s="10" t="s">
        <v>330</v>
      </c>
      <c r="C142" s="11">
        <v>0</v>
      </c>
      <c r="D142" s="11">
        <v>0</v>
      </c>
      <c r="E142" s="11">
        <v>0</v>
      </c>
      <c r="F142" s="13">
        <v>0</v>
      </c>
      <c r="G142" s="13">
        <v>0</v>
      </c>
      <c r="H142" s="14">
        <f t="shared" si="4"/>
        <v>0</v>
      </c>
      <c r="I142" s="14">
        <f t="shared" si="5"/>
        <v>0</v>
      </c>
      <c r="J142" s="598"/>
      <c r="K142" s="8"/>
    </row>
    <row r="143" spans="1:11" x14ac:dyDescent="0.2">
      <c r="A143" s="10">
        <v>44201000</v>
      </c>
      <c r="B143" s="10" t="s">
        <v>331</v>
      </c>
      <c r="C143" s="11">
        <v>0</v>
      </c>
      <c r="D143" s="11">
        <v>2471975.5950000002</v>
      </c>
      <c r="E143" s="11">
        <v>2433533.5499999998</v>
      </c>
      <c r="F143" s="13">
        <v>0</v>
      </c>
      <c r="G143" s="13">
        <v>0</v>
      </c>
      <c r="H143" s="14">
        <f t="shared" si="4"/>
        <v>38442.045000000391</v>
      </c>
      <c r="I143" s="14">
        <f t="shared" si="5"/>
        <v>38442.045000000391</v>
      </c>
      <c r="J143" s="598" t="s">
        <v>78</v>
      </c>
      <c r="K143" s="8"/>
    </row>
    <row r="144" spans="1:11" x14ac:dyDescent="0.2">
      <c r="A144" s="10">
        <v>44202000</v>
      </c>
      <c r="B144" s="10" t="s">
        <v>332</v>
      </c>
      <c r="C144" s="11">
        <v>0</v>
      </c>
      <c r="D144" s="11">
        <v>0</v>
      </c>
      <c r="E144" s="11">
        <v>0</v>
      </c>
      <c r="F144" s="13">
        <v>0</v>
      </c>
      <c r="G144" s="13">
        <v>0</v>
      </c>
      <c r="H144" s="14">
        <f t="shared" si="4"/>
        <v>0</v>
      </c>
      <c r="I144" s="14">
        <f t="shared" si="5"/>
        <v>0</v>
      </c>
      <c r="J144" s="598"/>
      <c r="K144" s="8"/>
    </row>
    <row r="145" spans="1:11" x14ac:dyDescent="0.2">
      <c r="A145" s="10">
        <v>44203000</v>
      </c>
      <c r="B145" s="10" t="s">
        <v>333</v>
      </c>
      <c r="C145" s="11">
        <v>0</v>
      </c>
      <c r="D145" s="11">
        <v>0</v>
      </c>
      <c r="E145" s="11">
        <v>0</v>
      </c>
      <c r="F145" s="13">
        <v>0</v>
      </c>
      <c r="G145" s="13">
        <v>0</v>
      </c>
      <c r="H145" s="14">
        <f t="shared" si="4"/>
        <v>0</v>
      </c>
      <c r="I145" s="14">
        <f t="shared" si="5"/>
        <v>0</v>
      </c>
      <c r="J145" s="598"/>
      <c r="K145" s="8"/>
    </row>
    <row r="146" spans="1:11" x14ac:dyDescent="0.2">
      <c r="A146" s="10">
        <v>44204000</v>
      </c>
      <c r="B146" s="10" t="s">
        <v>334</v>
      </c>
      <c r="C146" s="11">
        <v>0</v>
      </c>
      <c r="D146" s="11">
        <v>0</v>
      </c>
      <c r="E146" s="11">
        <v>0</v>
      </c>
      <c r="F146" s="13">
        <v>0</v>
      </c>
      <c r="G146" s="13">
        <v>0</v>
      </c>
      <c r="H146" s="14">
        <f t="shared" si="4"/>
        <v>0</v>
      </c>
      <c r="I146" s="14">
        <f t="shared" si="5"/>
        <v>0</v>
      </c>
      <c r="J146" s="598"/>
      <c r="K146" s="8"/>
    </row>
    <row r="147" spans="1:11" x14ac:dyDescent="0.2">
      <c r="A147" s="10">
        <v>44205000</v>
      </c>
      <c r="B147" s="10" t="s">
        <v>335</v>
      </c>
      <c r="C147" s="11">
        <v>0</v>
      </c>
      <c r="D147" s="11">
        <v>0</v>
      </c>
      <c r="E147" s="11">
        <v>0</v>
      </c>
      <c r="F147" s="13">
        <v>0</v>
      </c>
      <c r="G147" s="13">
        <v>0</v>
      </c>
      <c r="H147" s="14">
        <f t="shared" si="4"/>
        <v>0</v>
      </c>
      <c r="I147" s="14">
        <f t="shared" si="5"/>
        <v>0</v>
      </c>
      <c r="J147" s="598"/>
      <c r="K147" s="8"/>
    </row>
    <row r="148" spans="1:11" x14ac:dyDescent="0.2">
      <c r="A148" s="10">
        <v>44206000</v>
      </c>
      <c r="B148" s="10" t="s">
        <v>100</v>
      </c>
      <c r="C148" s="11">
        <v>-539999.99999999988</v>
      </c>
      <c r="D148" s="11">
        <v>70000</v>
      </c>
      <c r="E148" s="11">
        <v>0</v>
      </c>
      <c r="F148" s="13">
        <v>0</v>
      </c>
      <c r="G148" s="13">
        <v>0</v>
      </c>
      <c r="H148" s="14">
        <f t="shared" si="4"/>
        <v>70000</v>
      </c>
      <c r="I148" s="14">
        <f t="shared" si="5"/>
        <v>-469999.99999999988</v>
      </c>
      <c r="J148" s="598" t="s">
        <v>81</v>
      </c>
      <c r="K148" s="8"/>
    </row>
    <row r="149" spans="1:11" x14ac:dyDescent="0.2">
      <c r="A149" s="10">
        <v>44207000</v>
      </c>
      <c r="B149" s="10" t="s">
        <v>336</v>
      </c>
      <c r="C149" s="11">
        <v>105000</v>
      </c>
      <c r="D149" s="11">
        <v>30000</v>
      </c>
      <c r="E149" s="11">
        <v>0</v>
      </c>
      <c r="F149" s="13">
        <v>0</v>
      </c>
      <c r="G149" s="13">
        <v>0</v>
      </c>
      <c r="H149" s="14">
        <f t="shared" si="4"/>
        <v>30000</v>
      </c>
      <c r="I149" s="14">
        <f t="shared" si="5"/>
        <v>135000</v>
      </c>
      <c r="J149" s="598" t="s">
        <v>78</v>
      </c>
      <c r="K149" s="8"/>
    </row>
    <row r="150" spans="1:11" x14ac:dyDescent="0.2">
      <c r="A150" s="10">
        <v>44208000</v>
      </c>
      <c r="B150" s="10" t="s">
        <v>337</v>
      </c>
      <c r="C150" s="11">
        <v>2270.971</v>
      </c>
      <c r="D150" s="11">
        <v>0</v>
      </c>
      <c r="E150" s="11">
        <v>0</v>
      </c>
      <c r="F150" s="13">
        <v>0</v>
      </c>
      <c r="G150" s="13">
        <v>0</v>
      </c>
      <c r="H150" s="14">
        <f t="shared" si="4"/>
        <v>0</v>
      </c>
      <c r="I150" s="14">
        <f t="shared" si="5"/>
        <v>2270.971</v>
      </c>
      <c r="J150" s="598" t="s">
        <v>78</v>
      </c>
      <c r="K150" s="8"/>
    </row>
    <row r="151" spans="1:11" x14ac:dyDescent="0.2">
      <c r="A151" s="10">
        <v>44209000</v>
      </c>
      <c r="B151" s="10" t="s">
        <v>392</v>
      </c>
      <c r="C151" s="11">
        <v>-1396373.118</v>
      </c>
      <c r="D151" s="11">
        <v>700000</v>
      </c>
      <c r="E151" s="11">
        <v>0</v>
      </c>
      <c r="F151" s="13">
        <v>0</v>
      </c>
      <c r="G151" s="13">
        <v>0</v>
      </c>
      <c r="H151" s="14">
        <f t="shared" si="4"/>
        <v>700000</v>
      </c>
      <c r="I151" s="14">
        <f t="shared" si="5"/>
        <v>-696373.11800000002</v>
      </c>
      <c r="J151" s="598" t="s">
        <v>81</v>
      </c>
      <c r="K151" s="8"/>
    </row>
    <row r="152" spans="1:11" x14ac:dyDescent="0.2">
      <c r="A152" s="10">
        <v>44210000</v>
      </c>
      <c r="B152" s="10" t="s">
        <v>338</v>
      </c>
      <c r="C152" s="11">
        <v>0</v>
      </c>
      <c r="D152" s="11">
        <v>0</v>
      </c>
      <c r="E152" s="11">
        <v>0</v>
      </c>
      <c r="F152" s="13">
        <v>0</v>
      </c>
      <c r="G152" s="13">
        <v>0</v>
      </c>
      <c r="H152" s="14">
        <f t="shared" si="4"/>
        <v>0</v>
      </c>
      <c r="I152" s="14">
        <f t="shared" si="5"/>
        <v>0</v>
      </c>
      <c r="J152" s="598"/>
      <c r="K152" s="8"/>
    </row>
    <row r="153" spans="1:11" x14ac:dyDescent="0.2">
      <c r="A153" s="10">
        <v>44600000</v>
      </c>
      <c r="B153" s="10" t="s">
        <v>339</v>
      </c>
      <c r="C153" s="11">
        <v>0</v>
      </c>
      <c r="D153" s="11">
        <v>0</v>
      </c>
      <c r="E153" s="11">
        <v>0</v>
      </c>
      <c r="F153" s="13">
        <v>0</v>
      </c>
      <c r="G153" s="13">
        <v>0</v>
      </c>
      <c r="H153" s="14">
        <f t="shared" si="4"/>
        <v>0</v>
      </c>
      <c r="I153" s="14">
        <f t="shared" si="5"/>
        <v>0</v>
      </c>
      <c r="J153" s="598"/>
      <c r="K153" s="8"/>
    </row>
    <row r="154" spans="1:11" x14ac:dyDescent="0.2">
      <c r="A154" s="10">
        <v>44700000</v>
      </c>
      <c r="B154" s="10" t="s">
        <v>101</v>
      </c>
      <c r="C154" s="11">
        <v>0</v>
      </c>
      <c r="D154" s="11">
        <v>0</v>
      </c>
      <c r="E154" s="11">
        <v>0</v>
      </c>
      <c r="F154" s="13">
        <v>0</v>
      </c>
      <c r="G154" s="13">
        <v>0</v>
      </c>
      <c r="H154" s="14">
        <f t="shared" si="4"/>
        <v>0</v>
      </c>
      <c r="I154" s="14">
        <f t="shared" si="5"/>
        <v>0</v>
      </c>
      <c r="J154" s="598"/>
      <c r="K154" s="8"/>
    </row>
    <row r="155" spans="1:11" x14ac:dyDescent="0.2">
      <c r="A155" s="10">
        <v>45000000</v>
      </c>
      <c r="B155" s="10" t="s">
        <v>102</v>
      </c>
      <c r="C155" s="11">
        <v>-12699.999999999534</v>
      </c>
      <c r="D155" s="11">
        <v>0</v>
      </c>
      <c r="E155" s="11">
        <v>0</v>
      </c>
      <c r="F155" s="13">
        <v>0</v>
      </c>
      <c r="G155" s="13">
        <v>0</v>
      </c>
      <c r="H155" s="14">
        <f t="shared" si="4"/>
        <v>0</v>
      </c>
      <c r="I155" s="14">
        <f t="shared" si="5"/>
        <v>-12699.999999999534</v>
      </c>
      <c r="J155" s="598" t="s">
        <v>81</v>
      </c>
      <c r="K155" s="8"/>
    </row>
    <row r="156" spans="1:11" x14ac:dyDescent="0.2">
      <c r="A156" s="10">
        <v>45200000</v>
      </c>
      <c r="B156" s="10" t="s">
        <v>103</v>
      </c>
      <c r="C156" s="11">
        <v>0</v>
      </c>
      <c r="D156" s="11">
        <v>0</v>
      </c>
      <c r="E156" s="11">
        <v>0</v>
      </c>
      <c r="F156" s="13">
        <v>0</v>
      </c>
      <c r="G156" s="13">
        <v>0</v>
      </c>
      <c r="H156" s="14">
        <f t="shared" si="4"/>
        <v>0</v>
      </c>
      <c r="I156" s="14">
        <f t="shared" si="5"/>
        <v>0</v>
      </c>
      <c r="J156" s="598" t="s">
        <v>81</v>
      </c>
      <c r="K156" s="8"/>
    </row>
    <row r="157" spans="1:11" x14ac:dyDescent="0.2">
      <c r="A157" s="10">
        <v>45310000</v>
      </c>
      <c r="B157" s="10" t="s">
        <v>104</v>
      </c>
      <c r="C157" s="11">
        <v>-160147.36100000006</v>
      </c>
      <c r="D157" s="11">
        <v>165606.08500000002</v>
      </c>
      <c r="E157" s="11">
        <v>114418.83599999998</v>
      </c>
      <c r="F157" s="13">
        <v>86362.479000000007</v>
      </c>
      <c r="G157" s="13">
        <v>27985.174999999999</v>
      </c>
      <c r="H157" s="14">
        <f t="shared" si="4"/>
        <v>109564.55300000003</v>
      </c>
      <c r="I157" s="14">
        <f t="shared" si="5"/>
        <v>-50582.808000000034</v>
      </c>
      <c r="J157" s="598" t="s">
        <v>81</v>
      </c>
      <c r="K157" s="8"/>
    </row>
    <row r="158" spans="1:11" x14ac:dyDescent="0.2">
      <c r="A158" s="10">
        <v>45700000</v>
      </c>
      <c r="B158" s="10" t="s">
        <v>105</v>
      </c>
      <c r="C158" s="11">
        <v>7122.9679999999998</v>
      </c>
      <c r="D158" s="11">
        <v>0</v>
      </c>
      <c r="E158" s="11">
        <v>0</v>
      </c>
      <c r="F158" s="13">
        <v>0</v>
      </c>
      <c r="G158" s="13">
        <v>0</v>
      </c>
      <c r="H158" s="14">
        <f t="shared" si="4"/>
        <v>0</v>
      </c>
      <c r="I158" s="14">
        <f t="shared" si="5"/>
        <v>7122.9679999999998</v>
      </c>
      <c r="J158" s="598" t="s">
        <v>78</v>
      </c>
      <c r="K158" s="8"/>
    </row>
    <row r="159" spans="1:11" x14ac:dyDescent="0.2">
      <c r="A159" s="10">
        <v>45860000</v>
      </c>
      <c r="B159" s="10" t="s">
        <v>106</v>
      </c>
      <c r="C159" s="11">
        <v>-2518154.5966000003</v>
      </c>
      <c r="D159" s="16">
        <v>225000</v>
      </c>
      <c r="E159" s="11">
        <v>0</v>
      </c>
      <c r="F159" s="13">
        <v>514603.28899999999</v>
      </c>
      <c r="G159" s="13">
        <v>685174.87100000004</v>
      </c>
      <c r="H159" s="14">
        <f t="shared" si="4"/>
        <v>54428.417999999947</v>
      </c>
      <c r="I159" s="14">
        <f t="shared" si="5"/>
        <v>-2463726.1786000002</v>
      </c>
      <c r="J159" s="598" t="s">
        <v>81</v>
      </c>
      <c r="K159" s="8"/>
    </row>
    <row r="160" spans="1:11" x14ac:dyDescent="0.2">
      <c r="A160" s="10">
        <v>45870000</v>
      </c>
      <c r="B160" s="10" t="s">
        <v>107</v>
      </c>
      <c r="C160" s="11">
        <f>29043.159+2433533.549</f>
        <v>2462576.7080000001</v>
      </c>
      <c r="D160" s="11">
        <v>2433533.5490000001</v>
      </c>
      <c r="E160" s="11">
        <f>2433533.549+2433533.549</f>
        <v>4867067.0980000002</v>
      </c>
      <c r="F160" s="13">
        <v>3242.453</v>
      </c>
      <c r="G160" s="13">
        <v>0</v>
      </c>
      <c r="H160" s="14">
        <f t="shared" si="4"/>
        <v>-2430291.0959999999</v>
      </c>
      <c r="I160" s="14">
        <f t="shared" si="5"/>
        <v>32285.612000000197</v>
      </c>
      <c r="J160" s="598" t="s">
        <v>78</v>
      </c>
      <c r="K160" s="8"/>
    </row>
    <row r="161" spans="1:11" x14ac:dyDescent="0.2">
      <c r="A161" s="10">
        <v>46100000</v>
      </c>
      <c r="B161" s="10" t="s">
        <v>340</v>
      </c>
      <c r="C161" s="11">
        <v>0</v>
      </c>
      <c r="D161" s="11">
        <v>0</v>
      </c>
      <c r="E161" s="11">
        <v>0</v>
      </c>
      <c r="F161" s="13">
        <v>0</v>
      </c>
      <c r="G161" s="13">
        <v>0</v>
      </c>
      <c r="H161" s="14">
        <f t="shared" si="4"/>
        <v>0</v>
      </c>
      <c r="I161" s="14">
        <f t="shared" si="5"/>
        <v>0</v>
      </c>
      <c r="J161" s="598"/>
      <c r="K161" s="8"/>
    </row>
    <row r="162" spans="1:11" x14ac:dyDescent="0.2">
      <c r="A162" s="10">
        <v>46800000</v>
      </c>
      <c r="B162" s="10" t="s">
        <v>108</v>
      </c>
      <c r="C162" s="11">
        <v>0</v>
      </c>
      <c r="D162" s="11">
        <v>0</v>
      </c>
      <c r="E162" s="11">
        <v>0</v>
      </c>
      <c r="F162" s="13">
        <v>0</v>
      </c>
      <c r="G162" s="13">
        <v>0</v>
      </c>
      <c r="H162" s="14">
        <f t="shared" si="4"/>
        <v>0</v>
      </c>
      <c r="I162" s="14">
        <f t="shared" si="5"/>
        <v>0</v>
      </c>
      <c r="J162" s="598"/>
      <c r="K162" s="8"/>
    </row>
    <row r="163" spans="1:11" x14ac:dyDescent="0.2">
      <c r="A163" s="10">
        <v>47100000</v>
      </c>
      <c r="B163" s="10" t="s">
        <v>109</v>
      </c>
      <c r="C163" s="11">
        <v>302298.00124600017</v>
      </c>
      <c r="D163" s="11">
        <v>0</v>
      </c>
      <c r="E163" s="11">
        <v>0</v>
      </c>
      <c r="F163" s="13">
        <v>4376</v>
      </c>
      <c r="G163" s="13">
        <v>93790.123000000007</v>
      </c>
      <c r="H163" s="14">
        <f t="shared" si="4"/>
        <v>-89414.123000000007</v>
      </c>
      <c r="I163" s="14">
        <f t="shared" si="5"/>
        <v>212883.87824600015</v>
      </c>
      <c r="J163" s="598" t="s">
        <v>78</v>
      </c>
      <c r="K163" s="8"/>
    </row>
    <row r="164" spans="1:11" x14ac:dyDescent="0.2">
      <c r="A164" s="10">
        <v>47200000</v>
      </c>
      <c r="B164" s="10" t="s">
        <v>341</v>
      </c>
      <c r="C164" s="11">
        <v>-162057.986</v>
      </c>
      <c r="D164" s="11">
        <v>0</v>
      </c>
      <c r="E164" s="11">
        <v>0</v>
      </c>
      <c r="F164" s="13">
        <v>162057.986</v>
      </c>
      <c r="G164" s="13">
        <v>162057.986</v>
      </c>
      <c r="H164" s="14">
        <f t="shared" si="4"/>
        <v>0</v>
      </c>
      <c r="I164" s="14">
        <f t="shared" si="5"/>
        <v>-162057.986</v>
      </c>
      <c r="J164" s="598" t="s">
        <v>81</v>
      </c>
      <c r="K164" s="8"/>
    </row>
    <row r="165" spans="1:11" x14ac:dyDescent="0.2">
      <c r="A165" s="10">
        <v>49100000</v>
      </c>
      <c r="B165" s="10" t="s">
        <v>110</v>
      </c>
      <c r="C165" s="11">
        <v>-457129.14999999991</v>
      </c>
      <c r="D165" s="11">
        <v>0</v>
      </c>
      <c r="E165" s="11">
        <v>0</v>
      </c>
      <c r="F165" s="13">
        <v>0</v>
      </c>
      <c r="G165" s="13">
        <v>0</v>
      </c>
      <c r="H165" s="14">
        <f t="shared" si="4"/>
        <v>0</v>
      </c>
      <c r="I165" s="14">
        <f t="shared" si="5"/>
        <v>-457129.14999999991</v>
      </c>
      <c r="J165" s="598" t="s">
        <v>111</v>
      </c>
      <c r="K165" s="8"/>
    </row>
    <row r="166" spans="1:11" x14ac:dyDescent="0.2">
      <c r="A166" s="10">
        <v>49600000</v>
      </c>
      <c r="B166" s="10" t="s">
        <v>112</v>
      </c>
      <c r="C166" s="11">
        <v>-288613.68499999994</v>
      </c>
      <c r="D166" s="11">
        <v>0</v>
      </c>
      <c r="E166" s="11">
        <v>0</v>
      </c>
      <c r="F166" s="13">
        <v>0</v>
      </c>
      <c r="G166" s="13">
        <v>0</v>
      </c>
      <c r="H166" s="14">
        <f t="shared" si="4"/>
        <v>0</v>
      </c>
      <c r="I166" s="14">
        <f t="shared" si="5"/>
        <v>-288613.68499999994</v>
      </c>
      <c r="J166" s="598" t="s">
        <v>113</v>
      </c>
      <c r="K166" s="8"/>
    </row>
    <row r="167" spans="1:11" x14ac:dyDescent="0.2">
      <c r="A167" s="10">
        <v>50130000</v>
      </c>
      <c r="B167" s="10" t="s">
        <v>114</v>
      </c>
      <c r="C167" s="11">
        <v>-6000000</v>
      </c>
      <c r="D167" s="11">
        <v>0</v>
      </c>
      <c r="E167" s="11">
        <v>0</v>
      </c>
      <c r="F167" s="13">
        <v>0</v>
      </c>
      <c r="G167" s="13">
        <v>0</v>
      </c>
      <c r="H167" s="14">
        <f t="shared" si="4"/>
        <v>0</v>
      </c>
      <c r="I167" s="14">
        <f t="shared" si="5"/>
        <v>-6000000</v>
      </c>
      <c r="J167" s="598" t="s">
        <v>115</v>
      </c>
      <c r="K167" s="8"/>
    </row>
    <row r="168" spans="1:11" x14ac:dyDescent="0.2">
      <c r="A168" s="10">
        <v>50140000</v>
      </c>
      <c r="B168" s="10" t="s">
        <v>116</v>
      </c>
      <c r="C168" s="11">
        <v>-4000000</v>
      </c>
      <c r="D168" s="11">
        <v>0</v>
      </c>
      <c r="E168" s="11">
        <v>0</v>
      </c>
      <c r="F168" s="13">
        <v>0</v>
      </c>
      <c r="G168" s="13">
        <v>0</v>
      </c>
      <c r="H168" s="14">
        <f t="shared" si="4"/>
        <v>0</v>
      </c>
      <c r="I168" s="14">
        <f t="shared" si="5"/>
        <v>-4000000</v>
      </c>
      <c r="J168" s="598" t="s">
        <v>115</v>
      </c>
      <c r="K168" s="8"/>
    </row>
    <row r="169" spans="1:11" x14ac:dyDescent="0.2">
      <c r="A169" s="10">
        <v>50500000</v>
      </c>
      <c r="B169" s="10" t="s">
        <v>117</v>
      </c>
      <c r="C169" s="11">
        <v>-208333.33700000137</v>
      </c>
      <c r="D169" s="11">
        <v>208333.33300000001</v>
      </c>
      <c r="E169" s="11">
        <v>0</v>
      </c>
      <c r="F169" s="13">
        <v>0</v>
      </c>
      <c r="G169" s="13">
        <v>0</v>
      </c>
      <c r="H169" s="14">
        <f t="shared" si="4"/>
        <v>208333.33300000001</v>
      </c>
      <c r="I169" s="14">
        <f t="shared" si="5"/>
        <v>-4.0000013541430235E-3</v>
      </c>
      <c r="J169" s="598" t="s">
        <v>115</v>
      </c>
      <c r="K169" s="8"/>
    </row>
    <row r="170" spans="1:11" x14ac:dyDescent="0.2">
      <c r="A170" s="10">
        <v>50515000</v>
      </c>
      <c r="B170" s="10" t="s">
        <v>118</v>
      </c>
      <c r="C170" s="11">
        <v>-30173.33200000014</v>
      </c>
      <c r="D170" s="11">
        <v>9944.866</v>
      </c>
      <c r="E170" s="11">
        <v>0</v>
      </c>
      <c r="F170" s="13">
        <v>0</v>
      </c>
      <c r="G170" s="13">
        <v>0</v>
      </c>
      <c r="H170" s="14">
        <f t="shared" si="4"/>
        <v>9944.866</v>
      </c>
      <c r="I170" s="14">
        <f t="shared" si="5"/>
        <v>-20228.466000000139</v>
      </c>
      <c r="J170" s="598" t="s">
        <v>115</v>
      </c>
      <c r="K170" s="8"/>
    </row>
    <row r="171" spans="1:11" x14ac:dyDescent="0.2">
      <c r="A171" s="10">
        <v>50610100</v>
      </c>
      <c r="B171" s="10" t="s">
        <v>342</v>
      </c>
      <c r="C171" s="11">
        <v>0</v>
      </c>
      <c r="D171" s="11">
        <v>0</v>
      </c>
      <c r="E171" s="11">
        <v>0</v>
      </c>
      <c r="F171" s="13">
        <v>0</v>
      </c>
      <c r="G171" s="13">
        <v>0</v>
      </c>
      <c r="H171" s="14">
        <f t="shared" si="4"/>
        <v>0</v>
      </c>
      <c r="I171" s="14">
        <f t="shared" si="5"/>
        <v>0</v>
      </c>
      <c r="J171" s="598"/>
      <c r="K171" s="8"/>
    </row>
    <row r="172" spans="1:11" x14ac:dyDescent="0.2">
      <c r="A172" s="10">
        <v>50610900</v>
      </c>
      <c r="B172" s="10" t="s">
        <v>119</v>
      </c>
      <c r="C172" s="11">
        <v>-1336533.7716234997</v>
      </c>
      <c r="D172" s="11">
        <v>0</v>
      </c>
      <c r="E172" s="11">
        <v>0</v>
      </c>
      <c r="F172" s="13">
        <v>7911.3689999999997</v>
      </c>
      <c r="G172" s="13">
        <v>3810.9360000000001</v>
      </c>
      <c r="H172" s="14">
        <f t="shared" si="4"/>
        <v>4100.4329999999991</v>
      </c>
      <c r="I172" s="14">
        <f t="shared" si="5"/>
        <v>-1332433.3386234997</v>
      </c>
      <c r="J172" s="598" t="s">
        <v>115</v>
      </c>
      <c r="K172" s="8"/>
    </row>
    <row r="173" spans="1:11" x14ac:dyDescent="0.2">
      <c r="A173" s="10">
        <v>50630000</v>
      </c>
      <c r="B173" s="10" t="s">
        <v>343</v>
      </c>
      <c r="C173" s="11">
        <v>0</v>
      </c>
      <c r="D173" s="11">
        <v>0</v>
      </c>
      <c r="E173" s="11">
        <v>0</v>
      </c>
      <c r="F173" s="13">
        <v>0</v>
      </c>
      <c r="G173" s="13">
        <v>0</v>
      </c>
      <c r="H173" s="14">
        <f t="shared" si="4"/>
        <v>0</v>
      </c>
      <c r="I173" s="14">
        <f t="shared" si="5"/>
        <v>0</v>
      </c>
      <c r="J173" s="598"/>
      <c r="K173" s="8"/>
    </row>
    <row r="174" spans="1:11" x14ac:dyDescent="0.2">
      <c r="A174" s="10">
        <v>50800000</v>
      </c>
      <c r="B174" s="10" t="s">
        <v>344</v>
      </c>
      <c r="C174" s="11">
        <v>0</v>
      </c>
      <c r="D174" s="11">
        <v>0</v>
      </c>
      <c r="E174" s="11">
        <v>0</v>
      </c>
      <c r="F174" s="13">
        <v>0</v>
      </c>
      <c r="G174" s="13">
        <v>0</v>
      </c>
      <c r="H174" s="14">
        <f t="shared" si="4"/>
        <v>0</v>
      </c>
      <c r="I174" s="14">
        <f t="shared" si="5"/>
        <v>0</v>
      </c>
      <c r="J174" s="598" t="s">
        <v>115</v>
      </c>
      <c r="K174" s="8"/>
    </row>
    <row r="175" spans="1:11" x14ac:dyDescent="0.2">
      <c r="A175" s="10">
        <v>52000000</v>
      </c>
      <c r="B175" s="10" t="s">
        <v>345</v>
      </c>
      <c r="C175" s="11">
        <v>0</v>
      </c>
      <c r="D175" s="11">
        <v>0</v>
      </c>
      <c r="E175" s="11">
        <v>0</v>
      </c>
      <c r="F175" s="13">
        <v>0</v>
      </c>
      <c r="G175" s="13">
        <v>0</v>
      </c>
      <c r="H175" s="14">
        <f t="shared" si="4"/>
        <v>0</v>
      </c>
      <c r="I175" s="14">
        <f t="shared" si="5"/>
        <v>0</v>
      </c>
      <c r="J175" s="598"/>
      <c r="K175" s="8"/>
    </row>
    <row r="176" spans="1:11" x14ac:dyDescent="0.2">
      <c r="A176" s="10">
        <v>52001100</v>
      </c>
      <c r="B176" s="10" t="s">
        <v>346</v>
      </c>
      <c r="C176" s="11">
        <v>0</v>
      </c>
      <c r="D176" s="11">
        <v>0</v>
      </c>
      <c r="E176" s="11">
        <v>0</v>
      </c>
      <c r="F176" s="13">
        <v>0</v>
      </c>
      <c r="G176" s="13">
        <v>0</v>
      </c>
      <c r="H176" s="14">
        <f t="shared" si="4"/>
        <v>0</v>
      </c>
      <c r="I176" s="14">
        <f t="shared" si="5"/>
        <v>0</v>
      </c>
      <c r="J176" s="598"/>
      <c r="K176" s="8"/>
    </row>
    <row r="177" spans="1:11" x14ac:dyDescent="0.2">
      <c r="A177" s="10">
        <v>53140000</v>
      </c>
      <c r="B177" s="10" t="s">
        <v>347</v>
      </c>
      <c r="C177" s="11">
        <v>0</v>
      </c>
      <c r="D177" s="11">
        <v>0</v>
      </c>
      <c r="E177" s="11">
        <v>0</v>
      </c>
      <c r="F177" s="13">
        <v>0</v>
      </c>
      <c r="G177" s="13">
        <v>0</v>
      </c>
      <c r="H177" s="14">
        <f t="shared" si="4"/>
        <v>0</v>
      </c>
      <c r="I177" s="14">
        <f t="shared" si="5"/>
        <v>0</v>
      </c>
      <c r="J177" s="598"/>
      <c r="K177" s="8"/>
    </row>
    <row r="178" spans="1:11" x14ac:dyDescent="0.2">
      <c r="A178" s="10">
        <v>53200000</v>
      </c>
      <c r="B178" s="10" t="s">
        <v>120</v>
      </c>
      <c r="C178" s="11">
        <v>172895.06600000011</v>
      </c>
      <c r="D178" s="11">
        <f>5394000+36427.95</f>
        <v>5430427.9500000002</v>
      </c>
      <c r="E178" s="11">
        <f>4816895.066+36427.95</f>
        <v>4853323.0159999998</v>
      </c>
      <c r="F178" s="13">
        <v>0</v>
      </c>
      <c r="G178" s="13">
        <v>0</v>
      </c>
      <c r="H178" s="14">
        <f t="shared" si="4"/>
        <v>577104.93400000036</v>
      </c>
      <c r="I178" s="14">
        <f t="shared" si="5"/>
        <v>750000.00000000047</v>
      </c>
      <c r="J178" s="598" t="s">
        <v>121</v>
      </c>
      <c r="K178" s="8"/>
    </row>
    <row r="179" spans="1:11" x14ac:dyDescent="0.2">
      <c r="A179" s="10">
        <v>53201000</v>
      </c>
      <c r="B179" s="10" t="s">
        <v>348</v>
      </c>
      <c r="C179" s="11">
        <v>0</v>
      </c>
      <c r="D179" s="11">
        <v>0</v>
      </c>
      <c r="E179" s="11">
        <v>0</v>
      </c>
      <c r="F179" s="13">
        <v>0</v>
      </c>
      <c r="G179" s="13">
        <v>0</v>
      </c>
      <c r="H179" s="14">
        <f t="shared" si="4"/>
        <v>0</v>
      </c>
      <c r="I179" s="14">
        <f t="shared" si="5"/>
        <v>0</v>
      </c>
      <c r="J179" s="598"/>
      <c r="K179" s="8"/>
    </row>
    <row r="180" spans="1:11" x14ac:dyDescent="0.2">
      <c r="A180" s="10">
        <v>53202000</v>
      </c>
      <c r="B180" s="10" t="s">
        <v>122</v>
      </c>
      <c r="C180" s="11">
        <v>435.74199999962002</v>
      </c>
      <c r="D180" s="11">
        <v>0</v>
      </c>
      <c r="E180" s="11">
        <v>0</v>
      </c>
      <c r="F180" s="13">
        <v>0</v>
      </c>
      <c r="G180" s="13">
        <v>0</v>
      </c>
      <c r="H180" s="14">
        <f t="shared" si="4"/>
        <v>0</v>
      </c>
      <c r="I180" s="14">
        <f t="shared" si="5"/>
        <v>435.74199999962002</v>
      </c>
      <c r="J180" s="598" t="s">
        <v>121</v>
      </c>
      <c r="K180" s="8"/>
    </row>
    <row r="181" spans="1:11" x14ac:dyDescent="0.2">
      <c r="A181" s="599">
        <v>53203000</v>
      </c>
      <c r="B181" s="599" t="s">
        <v>349</v>
      </c>
      <c r="C181" s="11">
        <v>129427.88399999999</v>
      </c>
      <c r="D181" s="11">
        <v>390000</v>
      </c>
      <c r="E181" s="11">
        <v>363037.27999999997</v>
      </c>
      <c r="F181" s="13">
        <v>0</v>
      </c>
      <c r="G181" s="13">
        <v>0</v>
      </c>
      <c r="H181" s="14">
        <f t="shared" si="4"/>
        <v>26962.72000000003</v>
      </c>
      <c r="I181" s="14">
        <f t="shared" si="5"/>
        <v>156390.60400000002</v>
      </c>
      <c r="J181" s="600" t="s">
        <v>121</v>
      </c>
      <c r="K181" s="8"/>
    </row>
    <row r="182" spans="1:11" x14ac:dyDescent="0.2">
      <c r="A182" s="599">
        <v>53204000</v>
      </c>
      <c r="B182" s="599" t="s">
        <v>350</v>
      </c>
      <c r="C182" s="11">
        <v>0</v>
      </c>
      <c r="D182" s="11">
        <v>0</v>
      </c>
      <c r="E182" s="11">
        <v>0</v>
      </c>
      <c r="F182" s="13">
        <v>0</v>
      </c>
      <c r="G182" s="13">
        <v>0</v>
      </c>
      <c r="H182" s="14">
        <f t="shared" si="4"/>
        <v>0</v>
      </c>
      <c r="I182" s="14">
        <f t="shared" si="5"/>
        <v>0</v>
      </c>
      <c r="J182" s="600"/>
      <c r="K182" s="8"/>
    </row>
    <row r="183" spans="1:11" x14ac:dyDescent="0.2">
      <c r="A183" s="599">
        <v>53204100</v>
      </c>
      <c r="B183" s="599" t="s">
        <v>351</v>
      </c>
      <c r="C183" s="11">
        <v>0</v>
      </c>
      <c r="D183" s="11">
        <v>0</v>
      </c>
      <c r="E183" s="11">
        <v>0</v>
      </c>
      <c r="F183" s="13">
        <v>0</v>
      </c>
      <c r="G183" s="13">
        <v>0</v>
      </c>
      <c r="H183" s="14">
        <f t="shared" si="4"/>
        <v>0</v>
      </c>
      <c r="I183" s="14">
        <f t="shared" si="5"/>
        <v>0</v>
      </c>
      <c r="J183" s="600"/>
      <c r="K183" s="8"/>
    </row>
    <row r="184" spans="1:11" x14ac:dyDescent="0.2">
      <c r="A184" s="599">
        <v>53204500</v>
      </c>
      <c r="B184" s="599" t="s">
        <v>123</v>
      </c>
      <c r="C184" s="11">
        <v>5874.02</v>
      </c>
      <c r="D184" s="11">
        <v>0</v>
      </c>
      <c r="E184" s="11">
        <v>0</v>
      </c>
      <c r="F184" s="13">
        <v>0</v>
      </c>
      <c r="G184" s="13">
        <v>0</v>
      </c>
      <c r="H184" s="14">
        <f t="shared" si="4"/>
        <v>0</v>
      </c>
      <c r="I184" s="14">
        <f t="shared" si="5"/>
        <v>5874.02</v>
      </c>
      <c r="J184" s="600" t="s">
        <v>121</v>
      </c>
      <c r="K184" s="8"/>
    </row>
    <row r="185" spans="1:11" x14ac:dyDescent="0.2">
      <c r="A185" s="599">
        <v>53205000</v>
      </c>
      <c r="B185" s="599" t="s">
        <v>124</v>
      </c>
      <c r="C185" s="11">
        <v>12925.083999977112</v>
      </c>
      <c r="D185" s="11">
        <v>0</v>
      </c>
      <c r="E185" s="11">
        <v>0</v>
      </c>
      <c r="F185" s="13">
        <v>0</v>
      </c>
      <c r="G185" s="13">
        <v>0</v>
      </c>
      <c r="H185" s="14">
        <f t="shared" si="4"/>
        <v>0</v>
      </c>
      <c r="I185" s="14">
        <f t="shared" si="5"/>
        <v>12925.083999977112</v>
      </c>
      <c r="J185" s="600" t="s">
        <v>121</v>
      </c>
      <c r="K185" s="8"/>
    </row>
    <row r="186" spans="1:11" x14ac:dyDescent="0.2">
      <c r="A186" s="10">
        <v>53205300</v>
      </c>
      <c r="B186" s="10" t="s">
        <v>125</v>
      </c>
      <c r="C186" s="11">
        <v>0</v>
      </c>
      <c r="D186" s="11">
        <v>0</v>
      </c>
      <c r="E186" s="11">
        <v>0</v>
      </c>
      <c r="F186" s="13">
        <v>0</v>
      </c>
      <c r="G186" s="13">
        <v>0</v>
      </c>
      <c r="H186" s="14">
        <f t="shared" si="4"/>
        <v>0</v>
      </c>
      <c r="I186" s="14">
        <f t="shared" si="5"/>
        <v>0</v>
      </c>
      <c r="J186" s="598" t="s">
        <v>121</v>
      </c>
      <c r="K186" s="8"/>
    </row>
    <row r="187" spans="1:11" x14ac:dyDescent="0.2">
      <c r="A187" s="10">
        <v>53205400</v>
      </c>
      <c r="B187" s="10" t="s">
        <v>126</v>
      </c>
      <c r="C187" s="11">
        <v>0</v>
      </c>
      <c r="D187" s="11">
        <v>0</v>
      </c>
      <c r="E187" s="11">
        <v>0</v>
      </c>
      <c r="F187" s="13">
        <v>0</v>
      </c>
      <c r="G187" s="13">
        <v>0</v>
      </c>
      <c r="H187" s="14">
        <f t="shared" si="4"/>
        <v>0</v>
      </c>
      <c r="I187" s="14">
        <f t="shared" si="5"/>
        <v>0</v>
      </c>
      <c r="J187" s="598"/>
      <c r="K187" s="8"/>
    </row>
    <row r="188" spans="1:11" x14ac:dyDescent="0.2">
      <c r="A188" s="10">
        <v>53205500</v>
      </c>
      <c r="B188" s="10" t="s">
        <v>127</v>
      </c>
      <c r="C188" s="11">
        <v>0</v>
      </c>
      <c r="D188" s="11">
        <v>0</v>
      </c>
      <c r="E188" s="11">
        <v>0</v>
      </c>
      <c r="F188" s="13">
        <v>0</v>
      </c>
      <c r="G188" s="13">
        <v>0</v>
      </c>
      <c r="H188" s="14">
        <f t="shared" si="4"/>
        <v>0</v>
      </c>
      <c r="I188" s="14">
        <f t="shared" si="5"/>
        <v>0</v>
      </c>
      <c r="J188" s="598"/>
      <c r="K188" s="8"/>
    </row>
    <row r="189" spans="1:11" x14ac:dyDescent="0.2">
      <c r="A189" s="10">
        <v>53205600</v>
      </c>
      <c r="B189" s="10" t="s">
        <v>128</v>
      </c>
      <c r="C189" s="11">
        <v>-3476929.1839999375</v>
      </c>
      <c r="D189" s="11">
        <f>4750753.675+2436533.55</f>
        <v>7187287.2249999996</v>
      </c>
      <c r="E189" s="11">
        <f>5271499.473+2929499.515</f>
        <v>8200998.9879999999</v>
      </c>
      <c r="F189" s="13">
        <v>0</v>
      </c>
      <c r="G189" s="13">
        <v>0</v>
      </c>
      <c r="H189" s="14">
        <f t="shared" si="4"/>
        <v>-1013711.7630000003</v>
      </c>
      <c r="I189" s="14">
        <f t="shared" si="5"/>
        <v>-4490640.9469999373</v>
      </c>
      <c r="J189" s="598" t="s">
        <v>115</v>
      </c>
      <c r="K189" s="8"/>
    </row>
    <row r="190" spans="1:11" x14ac:dyDescent="0.2">
      <c r="A190" s="10">
        <v>53205700</v>
      </c>
      <c r="B190" s="10" t="s">
        <v>129</v>
      </c>
      <c r="C190" s="11">
        <v>455347.70459720254</v>
      </c>
      <c r="D190" s="11">
        <v>946865.69</v>
      </c>
      <c r="E190" s="11">
        <f>769620.871+28.035</f>
        <v>769648.90600000008</v>
      </c>
      <c r="F190" s="13">
        <v>57911.46</v>
      </c>
      <c r="G190" s="13">
        <v>275986.98599999998</v>
      </c>
      <c r="H190" s="14">
        <f t="shared" si="4"/>
        <v>-40858.742000000144</v>
      </c>
      <c r="I190" s="14">
        <f t="shared" si="5"/>
        <v>414488.96259720239</v>
      </c>
      <c r="J190" s="598" t="s">
        <v>121</v>
      </c>
      <c r="K190" s="8"/>
    </row>
    <row r="191" spans="1:11" x14ac:dyDescent="0.2">
      <c r="A191" s="10">
        <v>53205800</v>
      </c>
      <c r="B191" s="10" t="s">
        <v>130</v>
      </c>
      <c r="C191" s="11">
        <v>87333.262000000454</v>
      </c>
      <c r="D191" s="11">
        <v>0</v>
      </c>
      <c r="E191" s="11">
        <v>30.175999999999998</v>
      </c>
      <c r="F191" s="13">
        <v>0</v>
      </c>
      <c r="G191" s="13">
        <v>55471.120999999999</v>
      </c>
      <c r="H191" s="14">
        <f t="shared" si="4"/>
        <v>-55501.296999999999</v>
      </c>
      <c r="I191" s="14">
        <f t="shared" si="5"/>
        <v>31831.965000000455</v>
      </c>
      <c r="J191" s="598" t="s">
        <v>121</v>
      </c>
      <c r="K191" s="8"/>
    </row>
    <row r="192" spans="1:11" x14ac:dyDescent="0.2">
      <c r="A192" s="10">
        <v>53207000</v>
      </c>
      <c r="B192" s="10" t="s">
        <v>352</v>
      </c>
      <c r="C192" s="11">
        <v>0</v>
      </c>
      <c r="D192" s="11">
        <v>0</v>
      </c>
      <c r="E192" s="11">
        <v>0</v>
      </c>
      <c r="F192" s="13">
        <v>0</v>
      </c>
      <c r="G192" s="13">
        <v>0</v>
      </c>
      <c r="H192" s="14">
        <f t="shared" si="4"/>
        <v>0</v>
      </c>
      <c r="I192" s="14">
        <f t="shared" si="5"/>
        <v>0</v>
      </c>
      <c r="J192" s="598"/>
      <c r="K192" s="8"/>
    </row>
    <row r="193" spans="1:11" x14ac:dyDescent="0.2">
      <c r="A193" s="10">
        <v>53207100</v>
      </c>
      <c r="B193" s="10" t="s">
        <v>353</v>
      </c>
      <c r="C193" s="11">
        <v>0</v>
      </c>
      <c r="D193" s="11">
        <v>0</v>
      </c>
      <c r="E193" s="11">
        <v>0</v>
      </c>
      <c r="F193" s="13">
        <v>0</v>
      </c>
      <c r="G193" s="13">
        <v>0</v>
      </c>
      <c r="H193" s="14">
        <f t="shared" si="4"/>
        <v>0</v>
      </c>
      <c r="I193" s="14">
        <f t="shared" si="5"/>
        <v>0</v>
      </c>
      <c r="J193" s="598"/>
      <c r="K193" s="8"/>
    </row>
    <row r="194" spans="1:11" x14ac:dyDescent="0.2">
      <c r="A194" s="10">
        <v>53207200</v>
      </c>
      <c r="B194" s="10" t="s">
        <v>354</v>
      </c>
      <c r="C194" s="11">
        <v>0</v>
      </c>
      <c r="D194" s="11">
        <v>0</v>
      </c>
      <c r="E194" s="11">
        <v>0</v>
      </c>
      <c r="F194" s="13">
        <v>0</v>
      </c>
      <c r="G194" s="13">
        <v>0</v>
      </c>
      <c r="H194" s="14">
        <f t="shared" si="4"/>
        <v>0</v>
      </c>
      <c r="I194" s="14">
        <f t="shared" si="5"/>
        <v>0</v>
      </c>
      <c r="J194" s="598"/>
      <c r="K194" s="8"/>
    </row>
    <row r="195" spans="1:11" x14ac:dyDescent="0.2">
      <c r="A195" s="10">
        <v>53208000</v>
      </c>
      <c r="B195" s="10" t="s">
        <v>355</v>
      </c>
      <c r="C195" s="11">
        <v>485.66199999954551</v>
      </c>
      <c r="D195" s="11">
        <v>0</v>
      </c>
      <c r="E195" s="11">
        <v>0</v>
      </c>
      <c r="F195" s="13">
        <v>0</v>
      </c>
      <c r="G195" s="13">
        <v>0</v>
      </c>
      <c r="H195" s="14">
        <f t="shared" ref="H195:H258" si="6">+D195+F195-E195-G195</f>
        <v>0</v>
      </c>
      <c r="I195" s="14">
        <f t="shared" ref="I195:I258" si="7">+H195+C195</f>
        <v>485.66199999954551</v>
      </c>
      <c r="J195" s="598" t="s">
        <v>121</v>
      </c>
      <c r="K195" s="8"/>
    </row>
    <row r="196" spans="1:11" x14ac:dyDescent="0.2">
      <c r="A196" s="10">
        <v>53208100</v>
      </c>
      <c r="B196" s="10" t="s">
        <v>356</v>
      </c>
      <c r="C196" s="11">
        <v>0</v>
      </c>
      <c r="D196" s="11">
        <v>0</v>
      </c>
      <c r="E196" s="11">
        <v>0</v>
      </c>
      <c r="F196" s="13">
        <v>0</v>
      </c>
      <c r="G196" s="13">
        <v>0</v>
      </c>
      <c r="H196" s="14">
        <f t="shared" si="6"/>
        <v>0</v>
      </c>
      <c r="I196" s="14">
        <f t="shared" si="7"/>
        <v>0</v>
      </c>
      <c r="J196" s="598"/>
      <c r="K196" s="8"/>
    </row>
    <row r="197" spans="1:11" x14ac:dyDescent="0.2">
      <c r="A197" s="10">
        <v>53208500</v>
      </c>
      <c r="B197" s="10" t="s">
        <v>357</v>
      </c>
      <c r="C197" s="11">
        <v>0</v>
      </c>
      <c r="D197" s="11">
        <v>0</v>
      </c>
      <c r="E197" s="11">
        <v>0</v>
      </c>
      <c r="F197" s="13">
        <v>0</v>
      </c>
      <c r="G197" s="13">
        <v>0</v>
      </c>
      <c r="H197" s="14">
        <f t="shared" si="6"/>
        <v>0</v>
      </c>
      <c r="I197" s="14">
        <f t="shared" si="7"/>
        <v>0</v>
      </c>
      <c r="J197" s="598"/>
      <c r="K197" s="8"/>
    </row>
    <row r="198" spans="1:11" x14ac:dyDescent="0.2">
      <c r="A198" s="10">
        <v>54000000</v>
      </c>
      <c r="B198" s="10" t="s">
        <v>358</v>
      </c>
      <c r="C198" s="11">
        <v>0</v>
      </c>
      <c r="D198" s="11">
        <v>0</v>
      </c>
      <c r="E198" s="11">
        <v>0</v>
      </c>
      <c r="F198" s="13">
        <v>0</v>
      </c>
      <c r="G198" s="13">
        <v>0</v>
      </c>
      <c r="H198" s="14">
        <f t="shared" si="6"/>
        <v>0</v>
      </c>
      <c r="I198" s="14">
        <f t="shared" si="7"/>
        <v>0</v>
      </c>
      <c r="J198" s="598"/>
      <c r="K198" s="8"/>
    </row>
    <row r="199" spans="1:11" x14ac:dyDescent="0.2">
      <c r="A199" s="10">
        <v>54100000</v>
      </c>
      <c r="B199" s="10" t="s">
        <v>131</v>
      </c>
      <c r="C199" s="11">
        <v>-1435.8000000000002</v>
      </c>
      <c r="D199" s="11">
        <f>6723.64+1685.361</f>
        <v>8409.0010000000002</v>
      </c>
      <c r="E199" s="11">
        <v>6805.0269999999991</v>
      </c>
      <c r="F199" s="13">
        <v>0</v>
      </c>
      <c r="G199" s="13">
        <v>0</v>
      </c>
      <c r="H199" s="14">
        <f t="shared" si="6"/>
        <v>1603.9740000000011</v>
      </c>
      <c r="I199" s="14">
        <f t="shared" si="7"/>
        <v>168.17400000000089</v>
      </c>
      <c r="J199" s="598" t="s">
        <v>115</v>
      </c>
      <c r="K199" s="8"/>
    </row>
    <row r="200" spans="1:11" x14ac:dyDescent="0.2">
      <c r="A200" s="10">
        <v>54300000</v>
      </c>
      <c r="B200" s="10" t="s">
        <v>359</v>
      </c>
      <c r="C200" s="11">
        <v>0</v>
      </c>
      <c r="D200" s="11">
        <v>0</v>
      </c>
      <c r="E200" s="11">
        <v>0</v>
      </c>
      <c r="F200" s="13">
        <v>0</v>
      </c>
      <c r="G200" s="13">
        <v>0</v>
      </c>
      <c r="H200" s="14">
        <f t="shared" si="6"/>
        <v>0</v>
      </c>
      <c r="I200" s="14">
        <f t="shared" si="7"/>
        <v>0</v>
      </c>
      <c r="J200" s="598"/>
      <c r="K200" s="8"/>
    </row>
    <row r="201" spans="1:11" x14ac:dyDescent="0.2">
      <c r="A201" s="10">
        <v>55010000</v>
      </c>
      <c r="B201" s="10" t="s">
        <v>132</v>
      </c>
      <c r="C201" s="11">
        <v>3000</v>
      </c>
      <c r="D201" s="11">
        <v>0</v>
      </c>
      <c r="E201" s="11">
        <v>0</v>
      </c>
      <c r="F201" s="13">
        <v>0</v>
      </c>
      <c r="G201" s="13">
        <v>0</v>
      </c>
      <c r="H201" s="14">
        <f t="shared" si="6"/>
        <v>0</v>
      </c>
      <c r="I201" s="14">
        <f t="shared" si="7"/>
        <v>3000</v>
      </c>
      <c r="J201" s="598" t="s">
        <v>121</v>
      </c>
      <c r="K201" s="8"/>
    </row>
    <row r="202" spans="1:11" x14ac:dyDescent="0.2">
      <c r="A202" s="10">
        <v>55011000</v>
      </c>
      <c r="B202" s="10" t="s">
        <v>133</v>
      </c>
      <c r="C202" s="11">
        <v>0</v>
      </c>
      <c r="D202" s="11">
        <v>0</v>
      </c>
      <c r="E202" s="11">
        <v>0</v>
      </c>
      <c r="F202" s="13">
        <v>0</v>
      </c>
      <c r="G202" s="13">
        <v>0</v>
      </c>
      <c r="H202" s="14">
        <f t="shared" si="6"/>
        <v>0</v>
      </c>
      <c r="I202" s="14">
        <f t="shared" si="7"/>
        <v>0</v>
      </c>
      <c r="J202" s="598" t="s">
        <v>121</v>
      </c>
      <c r="K202" s="8"/>
    </row>
    <row r="203" spans="1:11" x14ac:dyDescent="0.2">
      <c r="A203" s="10">
        <v>58000000</v>
      </c>
      <c r="B203" s="10" t="s">
        <v>134</v>
      </c>
      <c r="C203" s="11">
        <v>0</v>
      </c>
      <c r="D203" s="11">
        <v>0</v>
      </c>
      <c r="E203" s="11">
        <v>0</v>
      </c>
      <c r="F203" s="13">
        <v>0</v>
      </c>
      <c r="G203" s="13">
        <v>0</v>
      </c>
      <c r="H203" s="14">
        <f t="shared" si="6"/>
        <v>0</v>
      </c>
      <c r="I203" s="14">
        <f t="shared" si="7"/>
        <v>0</v>
      </c>
      <c r="J203" s="598" t="s">
        <v>121</v>
      </c>
      <c r="K203" s="8"/>
    </row>
    <row r="204" spans="1:11" x14ac:dyDescent="0.2">
      <c r="A204" s="10">
        <v>58001000</v>
      </c>
      <c r="B204" s="10" t="s">
        <v>135</v>
      </c>
      <c r="C204" s="11">
        <v>-1.9999593496322632E-4</v>
      </c>
      <c r="D204" s="11">
        <v>0</v>
      </c>
      <c r="E204" s="11">
        <v>0</v>
      </c>
      <c r="F204" s="13">
        <v>0</v>
      </c>
      <c r="G204" s="13">
        <v>0</v>
      </c>
      <c r="H204" s="14">
        <f t="shared" si="6"/>
        <v>0</v>
      </c>
      <c r="I204" s="14">
        <f t="shared" si="7"/>
        <v>-1.9999593496322632E-4</v>
      </c>
      <c r="J204" s="598"/>
      <c r="K204" s="8"/>
    </row>
    <row r="205" spans="1:11" x14ac:dyDescent="0.2">
      <c r="A205" s="10">
        <v>58002000</v>
      </c>
      <c r="B205" s="10" t="s">
        <v>360</v>
      </c>
      <c r="C205" s="11">
        <v>0</v>
      </c>
      <c r="D205" s="11">
        <v>0</v>
      </c>
      <c r="E205" s="11">
        <v>0</v>
      </c>
      <c r="F205" s="13">
        <v>0</v>
      </c>
      <c r="G205" s="13">
        <v>0</v>
      </c>
      <c r="H205" s="14">
        <f t="shared" si="6"/>
        <v>0</v>
      </c>
      <c r="I205" s="14">
        <f t="shared" si="7"/>
        <v>0</v>
      </c>
      <c r="J205" s="598"/>
      <c r="K205" s="8"/>
    </row>
    <row r="206" spans="1:11" x14ac:dyDescent="0.2">
      <c r="A206" s="10">
        <v>58003000</v>
      </c>
      <c r="B206" s="10" t="s">
        <v>136</v>
      </c>
      <c r="C206" s="11">
        <v>1.0100007057189941E-4</v>
      </c>
      <c r="D206" s="11">
        <v>75876.989000000001</v>
      </c>
      <c r="E206" s="11">
        <v>75876.989000000001</v>
      </c>
      <c r="F206" s="13">
        <v>0</v>
      </c>
      <c r="G206" s="13">
        <v>0</v>
      </c>
      <c r="H206" s="14">
        <f t="shared" si="6"/>
        <v>0</v>
      </c>
      <c r="I206" s="14">
        <f t="shared" si="7"/>
        <v>1.0100007057189941E-4</v>
      </c>
      <c r="J206" s="598"/>
      <c r="K206" s="8"/>
    </row>
    <row r="207" spans="1:11" x14ac:dyDescent="0.2">
      <c r="A207" s="10">
        <v>58004000</v>
      </c>
      <c r="B207" s="10" t="s">
        <v>361</v>
      </c>
      <c r="C207" s="11">
        <v>0</v>
      </c>
      <c r="D207" s="11">
        <v>0</v>
      </c>
      <c r="E207" s="11">
        <v>0</v>
      </c>
      <c r="F207" s="13">
        <v>0</v>
      </c>
      <c r="G207" s="13">
        <v>0</v>
      </c>
      <c r="H207" s="14">
        <f t="shared" si="6"/>
        <v>0</v>
      </c>
      <c r="I207" s="14">
        <f t="shared" si="7"/>
        <v>0</v>
      </c>
      <c r="J207" s="598"/>
      <c r="K207" s="8"/>
    </row>
    <row r="208" spans="1:11" x14ac:dyDescent="0.2">
      <c r="A208" s="10">
        <v>58005000</v>
      </c>
      <c r="B208" s="10" t="s">
        <v>362</v>
      </c>
      <c r="C208" s="11">
        <v>3.8483738899230957E-4</v>
      </c>
      <c r="D208" s="11">
        <v>768320.32900000003</v>
      </c>
      <c r="E208" s="11">
        <v>856992.15899999999</v>
      </c>
      <c r="F208" s="13">
        <v>0</v>
      </c>
      <c r="G208" s="13">
        <v>0</v>
      </c>
      <c r="H208" s="14">
        <f t="shared" si="6"/>
        <v>-88671.829999999958</v>
      </c>
      <c r="I208" s="14">
        <f t="shared" si="7"/>
        <v>-88671.829615162569</v>
      </c>
      <c r="J208" s="598" t="s">
        <v>121</v>
      </c>
      <c r="K208" s="8"/>
    </row>
    <row r="209" spans="1:11" x14ac:dyDescent="0.2">
      <c r="A209" s="10">
        <v>60110210</v>
      </c>
      <c r="B209" s="10" t="s">
        <v>137</v>
      </c>
      <c r="C209" s="11">
        <v>1268224.2677529999</v>
      </c>
      <c r="D209" s="11">
        <v>156109.26397899998</v>
      </c>
      <c r="E209" s="11">
        <v>0</v>
      </c>
      <c r="F209" s="13">
        <v>0</v>
      </c>
      <c r="G209" s="13">
        <v>0</v>
      </c>
      <c r="H209" s="14">
        <f t="shared" si="6"/>
        <v>156109.26397899998</v>
      </c>
      <c r="I209" s="14">
        <f t="shared" si="7"/>
        <v>1424333.5317319999</v>
      </c>
      <c r="J209" s="598" t="s">
        <v>138</v>
      </c>
      <c r="K209" s="8" t="s">
        <v>509</v>
      </c>
    </row>
    <row r="210" spans="1:11" x14ac:dyDescent="0.2">
      <c r="A210" s="10">
        <v>60110211</v>
      </c>
      <c r="B210" s="10" t="s">
        <v>363</v>
      </c>
      <c r="C210" s="11">
        <v>199176.63212949998</v>
      </c>
      <c r="D210" s="11">
        <v>29989.915199999999</v>
      </c>
      <c r="E210" s="11">
        <v>0</v>
      </c>
      <c r="F210" s="13">
        <v>0</v>
      </c>
      <c r="G210" s="13">
        <v>0</v>
      </c>
      <c r="H210" s="14">
        <f t="shared" si="6"/>
        <v>29989.915199999999</v>
      </c>
      <c r="I210" s="14">
        <f t="shared" si="7"/>
        <v>229166.54732949997</v>
      </c>
      <c r="J210" s="598" t="s">
        <v>138</v>
      </c>
      <c r="K210" s="8" t="s">
        <v>509</v>
      </c>
    </row>
    <row r="211" spans="1:11" x14ac:dyDescent="0.2">
      <c r="A211" s="10">
        <v>60110212</v>
      </c>
      <c r="B211" s="10" t="s">
        <v>7391</v>
      </c>
      <c r="C211" s="11">
        <v>32887.72</v>
      </c>
      <c r="D211" s="11">
        <v>9539.844000000001</v>
      </c>
      <c r="E211" s="11">
        <v>0</v>
      </c>
      <c r="F211" s="13">
        <v>0</v>
      </c>
      <c r="G211" s="13">
        <v>0</v>
      </c>
      <c r="H211" s="14">
        <f t="shared" si="6"/>
        <v>9539.844000000001</v>
      </c>
      <c r="I211" s="14">
        <f t="shared" si="7"/>
        <v>42427.563999999998</v>
      </c>
      <c r="J211" s="598" t="s">
        <v>138</v>
      </c>
      <c r="K211" s="8" t="s">
        <v>509</v>
      </c>
    </row>
    <row r="212" spans="1:11" x14ac:dyDescent="0.2">
      <c r="A212" s="10">
        <v>60110213</v>
      </c>
      <c r="B212" s="10" t="s">
        <v>364</v>
      </c>
      <c r="C212" s="11">
        <v>6060</v>
      </c>
      <c r="D212" s="11">
        <v>3393.6</v>
      </c>
      <c r="E212" s="11">
        <v>0</v>
      </c>
      <c r="F212" s="13">
        <v>0</v>
      </c>
      <c r="G212" s="13">
        <v>0</v>
      </c>
      <c r="H212" s="14">
        <f t="shared" si="6"/>
        <v>3393.6</v>
      </c>
      <c r="I212" s="14">
        <f t="shared" si="7"/>
        <v>9453.6</v>
      </c>
      <c r="J212" s="598" t="s">
        <v>138</v>
      </c>
      <c r="K212" s="8" t="s">
        <v>509</v>
      </c>
    </row>
    <row r="213" spans="1:11" x14ac:dyDescent="0.2">
      <c r="A213" s="10">
        <v>60110220</v>
      </c>
      <c r="B213" s="10" t="s">
        <v>139</v>
      </c>
      <c r="C213" s="11">
        <v>1744858.1522639997</v>
      </c>
      <c r="D213" s="11">
        <v>140147.07641899999</v>
      </c>
      <c r="E213" s="11">
        <v>0</v>
      </c>
      <c r="F213" s="13">
        <v>0</v>
      </c>
      <c r="G213" s="13">
        <v>0</v>
      </c>
      <c r="H213" s="14">
        <f t="shared" si="6"/>
        <v>140147.07641899999</v>
      </c>
      <c r="I213" s="14">
        <f t="shared" si="7"/>
        <v>1885005.2286829997</v>
      </c>
      <c r="J213" s="598" t="s">
        <v>138</v>
      </c>
      <c r="K213" s="8" t="s">
        <v>509</v>
      </c>
    </row>
    <row r="214" spans="1:11" x14ac:dyDescent="0.2">
      <c r="A214" s="10">
        <v>60110300</v>
      </c>
      <c r="B214" s="10" t="s">
        <v>140</v>
      </c>
      <c r="C214" s="11">
        <v>135330.45912249997</v>
      </c>
      <c r="D214" s="11">
        <v>8902.7199999999993</v>
      </c>
      <c r="E214" s="11">
        <v>0</v>
      </c>
      <c r="F214" s="13">
        <v>0</v>
      </c>
      <c r="G214" s="13">
        <v>0</v>
      </c>
      <c r="H214" s="14">
        <f t="shared" si="6"/>
        <v>8902.7199999999993</v>
      </c>
      <c r="I214" s="14">
        <f t="shared" si="7"/>
        <v>144233.17912249998</v>
      </c>
      <c r="J214" s="598" t="s">
        <v>138</v>
      </c>
      <c r="K214" s="8" t="s">
        <v>509</v>
      </c>
    </row>
    <row r="215" spans="1:11" x14ac:dyDescent="0.2">
      <c r="A215" s="10">
        <v>60110310</v>
      </c>
      <c r="B215" s="10" t="s">
        <v>141</v>
      </c>
      <c r="C215" s="11">
        <v>103356.81</v>
      </c>
      <c r="D215" s="11">
        <v>0</v>
      </c>
      <c r="E215" s="11">
        <v>0</v>
      </c>
      <c r="F215" s="13">
        <v>0</v>
      </c>
      <c r="G215" s="13">
        <v>0</v>
      </c>
      <c r="H215" s="14">
        <f t="shared" si="6"/>
        <v>0</v>
      </c>
      <c r="I215" s="14">
        <f t="shared" si="7"/>
        <v>103356.81</v>
      </c>
      <c r="J215" s="598" t="s">
        <v>138</v>
      </c>
      <c r="K215" s="8" t="s">
        <v>509</v>
      </c>
    </row>
    <row r="216" spans="1:11" x14ac:dyDescent="0.2">
      <c r="A216" s="10">
        <v>60110320</v>
      </c>
      <c r="B216" s="10" t="s">
        <v>142</v>
      </c>
      <c r="C216" s="11">
        <v>60316.139838000003</v>
      </c>
      <c r="D216" s="11">
        <v>0</v>
      </c>
      <c r="E216" s="11">
        <v>0</v>
      </c>
      <c r="F216" s="13">
        <v>0</v>
      </c>
      <c r="G216" s="13">
        <v>0</v>
      </c>
      <c r="H216" s="14">
        <f t="shared" si="6"/>
        <v>0</v>
      </c>
      <c r="I216" s="14">
        <f t="shared" si="7"/>
        <v>60316.139838000003</v>
      </c>
      <c r="J216" s="598" t="s">
        <v>138</v>
      </c>
      <c r="K216" s="8" t="s">
        <v>509</v>
      </c>
    </row>
    <row r="217" spans="1:11" x14ac:dyDescent="0.2">
      <c r="A217" s="10">
        <v>60110330</v>
      </c>
      <c r="B217" s="10" t="s">
        <v>143</v>
      </c>
      <c r="C217" s="11">
        <v>42121.61220000001</v>
      </c>
      <c r="D217" s="11">
        <v>4694.76</v>
      </c>
      <c r="E217" s="11">
        <v>0</v>
      </c>
      <c r="F217" s="13">
        <v>0</v>
      </c>
      <c r="G217" s="13">
        <v>0</v>
      </c>
      <c r="H217" s="14">
        <f t="shared" si="6"/>
        <v>4694.76</v>
      </c>
      <c r="I217" s="14">
        <f t="shared" si="7"/>
        <v>46816.372200000013</v>
      </c>
      <c r="J217" s="598" t="s">
        <v>138</v>
      </c>
      <c r="K217" s="8" t="s">
        <v>509</v>
      </c>
    </row>
    <row r="218" spans="1:11" x14ac:dyDescent="0.2">
      <c r="A218" s="10">
        <v>60110350</v>
      </c>
      <c r="B218" s="10" t="s">
        <v>261</v>
      </c>
      <c r="C218" s="11">
        <v>5382.0619999999999</v>
      </c>
      <c r="D218" s="11">
        <v>0</v>
      </c>
      <c r="E218" s="11">
        <v>0</v>
      </c>
      <c r="F218" s="13">
        <v>0</v>
      </c>
      <c r="G218" s="13">
        <v>0</v>
      </c>
      <c r="H218" s="14">
        <f t="shared" si="6"/>
        <v>0</v>
      </c>
      <c r="I218" s="14">
        <f t="shared" si="7"/>
        <v>5382.0619999999999</v>
      </c>
      <c r="J218" s="598" t="s">
        <v>138</v>
      </c>
      <c r="K218" s="8" t="s">
        <v>509</v>
      </c>
    </row>
    <row r="219" spans="1:11" x14ac:dyDescent="0.2">
      <c r="A219" s="10">
        <v>60110400</v>
      </c>
      <c r="B219" s="10" t="s">
        <v>7392</v>
      </c>
      <c r="C219" s="11">
        <v>1573.3437999999999</v>
      </c>
      <c r="D219" s="11">
        <v>0</v>
      </c>
      <c r="E219" s="11">
        <v>0</v>
      </c>
      <c r="F219" s="13">
        <v>0</v>
      </c>
      <c r="G219" s="13">
        <v>0</v>
      </c>
      <c r="H219" s="14">
        <f t="shared" si="6"/>
        <v>0</v>
      </c>
      <c r="I219" s="14">
        <f t="shared" si="7"/>
        <v>1573.3437999999999</v>
      </c>
      <c r="J219" s="598" t="s">
        <v>138</v>
      </c>
      <c r="K219" s="8" t="s">
        <v>509</v>
      </c>
    </row>
    <row r="220" spans="1:11" x14ac:dyDescent="0.2">
      <c r="A220" s="10">
        <v>60110500</v>
      </c>
      <c r="B220" s="10" t="s">
        <v>144</v>
      </c>
      <c r="C220" s="11">
        <v>16945.810000000001</v>
      </c>
      <c r="D220" s="11">
        <v>767.54600000000005</v>
      </c>
      <c r="E220" s="11">
        <v>0</v>
      </c>
      <c r="F220" s="13">
        <v>0</v>
      </c>
      <c r="G220" s="13">
        <v>0</v>
      </c>
      <c r="H220" s="14">
        <f t="shared" si="6"/>
        <v>767.54600000000005</v>
      </c>
      <c r="I220" s="14">
        <f t="shared" si="7"/>
        <v>17713.356</v>
      </c>
      <c r="J220" s="598" t="s">
        <v>138</v>
      </c>
      <c r="K220" s="8" t="s">
        <v>509</v>
      </c>
    </row>
    <row r="221" spans="1:11" x14ac:dyDescent="0.2">
      <c r="A221" s="10">
        <v>60110600</v>
      </c>
      <c r="B221" s="10" t="s">
        <v>145</v>
      </c>
      <c r="C221" s="11">
        <v>23819.777999999998</v>
      </c>
      <c r="D221" s="11">
        <v>5359.5930000000008</v>
      </c>
      <c r="E221" s="11">
        <v>0</v>
      </c>
      <c r="F221" s="13">
        <v>0</v>
      </c>
      <c r="G221" s="13">
        <v>0</v>
      </c>
      <c r="H221" s="14">
        <f t="shared" si="6"/>
        <v>5359.5930000000008</v>
      </c>
      <c r="I221" s="14">
        <f t="shared" si="7"/>
        <v>29179.370999999999</v>
      </c>
      <c r="J221" s="598" t="s">
        <v>138</v>
      </c>
      <c r="K221" s="8" t="s">
        <v>509</v>
      </c>
    </row>
    <row r="222" spans="1:11" x14ac:dyDescent="0.2">
      <c r="A222" s="10">
        <v>60110700</v>
      </c>
      <c r="B222" s="10" t="s">
        <v>146</v>
      </c>
      <c r="C222" s="11">
        <v>13245.797</v>
      </c>
      <c r="D222" s="11">
        <v>204.67500000000001</v>
      </c>
      <c r="E222" s="11">
        <v>0</v>
      </c>
      <c r="F222" s="13">
        <v>0</v>
      </c>
      <c r="G222" s="13">
        <v>0</v>
      </c>
      <c r="H222" s="14">
        <f t="shared" si="6"/>
        <v>204.67500000000001</v>
      </c>
      <c r="I222" s="14">
        <f t="shared" si="7"/>
        <v>13450.472</v>
      </c>
      <c r="J222" s="598" t="s">
        <v>138</v>
      </c>
      <c r="K222" s="8" t="s">
        <v>509</v>
      </c>
    </row>
    <row r="223" spans="1:11" x14ac:dyDescent="0.2">
      <c r="A223" s="10">
        <v>60110800</v>
      </c>
      <c r="B223" s="10" t="s">
        <v>9691</v>
      </c>
      <c r="C223" s="11">
        <v>0</v>
      </c>
      <c r="D223" s="11">
        <v>2608.1999999999998</v>
      </c>
      <c r="E223" s="11">
        <v>2608.1999999999998</v>
      </c>
      <c r="F223" s="13">
        <v>0</v>
      </c>
      <c r="G223" s="13">
        <v>0</v>
      </c>
      <c r="H223" s="14">
        <f t="shared" si="6"/>
        <v>0</v>
      </c>
      <c r="I223" s="14">
        <f t="shared" si="7"/>
        <v>0</v>
      </c>
      <c r="J223" s="598"/>
      <c r="K223" s="8" t="s">
        <v>509</v>
      </c>
    </row>
    <row r="224" spans="1:11" x14ac:dyDescent="0.2">
      <c r="A224" s="10">
        <v>60110900</v>
      </c>
      <c r="B224" s="10" t="s">
        <v>147</v>
      </c>
      <c r="C224" s="11">
        <v>359672.80300000001</v>
      </c>
      <c r="D224" s="11">
        <v>27106.332000000002</v>
      </c>
      <c r="E224" s="11">
        <v>0</v>
      </c>
      <c r="F224" s="13">
        <v>10523.061</v>
      </c>
      <c r="G224" s="13">
        <v>7938.8530000000001</v>
      </c>
      <c r="H224" s="14">
        <f t="shared" si="6"/>
        <v>29690.540000000005</v>
      </c>
      <c r="I224" s="14">
        <f t="shared" si="7"/>
        <v>389363.34299999999</v>
      </c>
      <c r="J224" s="598" t="s">
        <v>138</v>
      </c>
      <c r="K224" s="8" t="s">
        <v>509</v>
      </c>
    </row>
    <row r="225" spans="1:11" x14ac:dyDescent="0.2">
      <c r="A225" s="10">
        <v>60111000</v>
      </c>
      <c r="B225" s="10" t="s">
        <v>148</v>
      </c>
      <c r="C225" s="11">
        <v>14931.648999999999</v>
      </c>
      <c r="D225" s="11">
        <v>2863.098</v>
      </c>
      <c r="E225" s="11">
        <v>0</v>
      </c>
      <c r="F225" s="13">
        <v>0</v>
      </c>
      <c r="G225" s="13">
        <v>0</v>
      </c>
      <c r="H225" s="14">
        <f t="shared" si="6"/>
        <v>2863.098</v>
      </c>
      <c r="I225" s="14">
        <f t="shared" si="7"/>
        <v>17794.746999999999</v>
      </c>
      <c r="J225" s="598" t="s">
        <v>138</v>
      </c>
      <c r="K225" s="8" t="s">
        <v>509</v>
      </c>
    </row>
    <row r="226" spans="1:11" x14ac:dyDescent="0.2">
      <c r="A226" s="10">
        <v>60111010</v>
      </c>
      <c r="B226" s="10" t="s">
        <v>393</v>
      </c>
      <c r="C226" s="11">
        <v>2242.1999999999998</v>
      </c>
      <c r="D226" s="11">
        <v>0</v>
      </c>
      <c r="E226" s="11">
        <v>0</v>
      </c>
      <c r="F226" s="13">
        <v>0</v>
      </c>
      <c r="G226" s="13">
        <v>0</v>
      </c>
      <c r="H226" s="14">
        <f t="shared" si="6"/>
        <v>0</v>
      </c>
      <c r="I226" s="14">
        <f t="shared" si="7"/>
        <v>2242.1999999999998</v>
      </c>
      <c r="J226" s="598" t="s">
        <v>138</v>
      </c>
      <c r="K226" s="8" t="s">
        <v>509</v>
      </c>
    </row>
    <row r="227" spans="1:11" x14ac:dyDescent="0.2">
      <c r="A227" s="10">
        <v>60120100</v>
      </c>
      <c r="B227" s="10" t="s">
        <v>149</v>
      </c>
      <c r="C227" s="11">
        <v>1232111.9847500001</v>
      </c>
      <c r="D227" s="11">
        <v>139152.35040000002</v>
      </c>
      <c r="E227" s="11">
        <v>0</v>
      </c>
      <c r="F227" s="13">
        <v>0</v>
      </c>
      <c r="G227" s="13">
        <v>0</v>
      </c>
      <c r="H227" s="14">
        <f t="shared" si="6"/>
        <v>139152.35040000002</v>
      </c>
      <c r="I227" s="14">
        <f t="shared" si="7"/>
        <v>1371264.3351500002</v>
      </c>
      <c r="J227" s="598" t="s">
        <v>138</v>
      </c>
      <c r="K227" s="8" t="s">
        <v>509</v>
      </c>
    </row>
    <row r="228" spans="1:11" x14ac:dyDescent="0.2">
      <c r="A228" s="10">
        <v>60120300</v>
      </c>
      <c r="B228" s="10" t="s">
        <v>150</v>
      </c>
      <c r="C228" s="11">
        <v>7374162.2399999993</v>
      </c>
      <c r="D228" s="11">
        <v>1183781.2</v>
      </c>
      <c r="E228" s="11">
        <v>0</v>
      </c>
      <c r="F228" s="13">
        <v>176227</v>
      </c>
      <c r="G228" s="13">
        <v>110034</v>
      </c>
      <c r="H228" s="14">
        <f t="shared" si="6"/>
        <v>1249974.2</v>
      </c>
      <c r="I228" s="14">
        <f t="shared" si="7"/>
        <v>8624136.4399999995</v>
      </c>
      <c r="J228" s="598" t="s">
        <v>138</v>
      </c>
      <c r="K228" s="8" t="s">
        <v>509</v>
      </c>
    </row>
    <row r="229" spans="1:11" x14ac:dyDescent="0.2">
      <c r="A229" s="10">
        <v>60120400</v>
      </c>
      <c r="B229" s="10" t="s">
        <v>365</v>
      </c>
      <c r="C229" s="11">
        <v>1097392.21</v>
      </c>
      <c r="D229" s="11">
        <v>193357.7</v>
      </c>
      <c r="E229" s="11">
        <v>0</v>
      </c>
      <c r="F229" s="13">
        <v>0</v>
      </c>
      <c r="G229" s="13">
        <v>33544.5</v>
      </c>
      <c r="H229" s="14">
        <f t="shared" si="6"/>
        <v>159813.20000000001</v>
      </c>
      <c r="I229" s="14">
        <f t="shared" si="7"/>
        <v>1257205.4099999999</v>
      </c>
      <c r="J229" s="598" t="s">
        <v>138</v>
      </c>
      <c r="K229" s="8" t="s">
        <v>509</v>
      </c>
    </row>
    <row r="230" spans="1:11" x14ac:dyDescent="0.2">
      <c r="A230" s="10">
        <v>60120800</v>
      </c>
      <c r="B230" s="10" t="s">
        <v>151</v>
      </c>
      <c r="C230" s="11">
        <v>117226.5</v>
      </c>
      <c r="D230" s="11">
        <v>1182779.5</v>
      </c>
      <c r="E230" s="11">
        <v>0</v>
      </c>
      <c r="F230" s="13">
        <v>0</v>
      </c>
      <c r="G230" s="13">
        <v>0</v>
      </c>
      <c r="H230" s="14">
        <f t="shared" si="6"/>
        <v>1182779.5</v>
      </c>
      <c r="I230" s="14">
        <f t="shared" si="7"/>
        <v>1300006</v>
      </c>
      <c r="J230" s="598" t="s">
        <v>138</v>
      </c>
      <c r="K230" s="8" t="s">
        <v>509</v>
      </c>
    </row>
    <row r="231" spans="1:11" x14ac:dyDescent="0.2">
      <c r="A231" s="10">
        <v>60120900</v>
      </c>
      <c r="B231" s="10" t="s">
        <v>7393</v>
      </c>
      <c r="C231" s="11">
        <v>94863.352245000002</v>
      </c>
      <c r="D231" s="11">
        <v>0</v>
      </c>
      <c r="E231" s="11">
        <v>0</v>
      </c>
      <c r="F231" s="13">
        <v>0</v>
      </c>
      <c r="G231" s="13">
        <v>0</v>
      </c>
      <c r="H231" s="14">
        <f t="shared" si="6"/>
        <v>0</v>
      </c>
      <c r="I231" s="14">
        <f t="shared" si="7"/>
        <v>94863.352245000002</v>
      </c>
      <c r="J231" s="598" t="s">
        <v>138</v>
      </c>
      <c r="K231" s="8" t="s">
        <v>509</v>
      </c>
    </row>
    <row r="232" spans="1:11" x14ac:dyDescent="0.2">
      <c r="A232" s="10">
        <v>60121010</v>
      </c>
      <c r="B232" s="10" t="s">
        <v>152</v>
      </c>
      <c r="C232" s="11">
        <v>4551044.5218819994</v>
      </c>
      <c r="D232" s="11">
        <v>0</v>
      </c>
      <c r="E232" s="11">
        <v>0</v>
      </c>
      <c r="F232" s="13">
        <v>0</v>
      </c>
      <c r="G232" s="13">
        <v>0</v>
      </c>
      <c r="H232" s="14">
        <f t="shared" si="6"/>
        <v>0</v>
      </c>
      <c r="I232" s="14">
        <f t="shared" si="7"/>
        <v>4551044.5218819994</v>
      </c>
      <c r="J232" s="598" t="s">
        <v>138</v>
      </c>
      <c r="K232" s="8" t="s">
        <v>509</v>
      </c>
    </row>
    <row r="233" spans="1:11" x14ac:dyDescent="0.2">
      <c r="A233" s="10">
        <v>60121031</v>
      </c>
      <c r="B233" s="10" t="s">
        <v>394</v>
      </c>
      <c r="C233" s="11">
        <v>57118.901000000005</v>
      </c>
      <c r="D233" s="11">
        <v>0</v>
      </c>
      <c r="E233" s="11">
        <v>0</v>
      </c>
      <c r="F233" s="13">
        <v>0</v>
      </c>
      <c r="G233" s="13">
        <v>0</v>
      </c>
      <c r="H233" s="14">
        <f t="shared" si="6"/>
        <v>0</v>
      </c>
      <c r="I233" s="14">
        <f t="shared" si="7"/>
        <v>57118.901000000005</v>
      </c>
      <c r="J233" s="598" t="s">
        <v>138</v>
      </c>
      <c r="K233" s="8" t="s">
        <v>509</v>
      </c>
    </row>
    <row r="234" spans="1:11" x14ac:dyDescent="0.2">
      <c r="A234" s="10">
        <v>60121032</v>
      </c>
      <c r="B234" s="10" t="s">
        <v>8973</v>
      </c>
      <c r="C234" s="11">
        <v>9936.5</v>
      </c>
      <c r="D234" s="11">
        <v>0</v>
      </c>
      <c r="E234" s="11">
        <v>0</v>
      </c>
      <c r="F234" s="13">
        <v>0</v>
      </c>
      <c r="G234" s="13">
        <v>0</v>
      </c>
      <c r="H234" s="14">
        <f t="shared" si="6"/>
        <v>0</v>
      </c>
      <c r="I234" s="14">
        <f t="shared" si="7"/>
        <v>9936.5</v>
      </c>
      <c r="J234" s="598" t="s">
        <v>138</v>
      </c>
      <c r="K234" s="8" t="s">
        <v>509</v>
      </c>
    </row>
    <row r="235" spans="1:11" x14ac:dyDescent="0.2">
      <c r="A235" s="10">
        <v>60121033</v>
      </c>
      <c r="B235" s="10" t="s">
        <v>7718</v>
      </c>
      <c r="C235" s="11">
        <v>10793.589749999999</v>
      </c>
      <c r="D235" s="11">
        <v>0</v>
      </c>
      <c r="E235" s="11">
        <v>0</v>
      </c>
      <c r="F235" s="13">
        <v>0</v>
      </c>
      <c r="G235" s="13">
        <v>0</v>
      </c>
      <c r="H235" s="14">
        <f t="shared" si="6"/>
        <v>0</v>
      </c>
      <c r="I235" s="14">
        <f t="shared" si="7"/>
        <v>10793.589749999999</v>
      </c>
      <c r="J235" s="598" t="s">
        <v>138</v>
      </c>
      <c r="K235" s="8" t="s">
        <v>509</v>
      </c>
    </row>
    <row r="236" spans="1:11" x14ac:dyDescent="0.2">
      <c r="A236" s="10">
        <v>60121035</v>
      </c>
      <c r="B236" s="10" t="s">
        <v>395</v>
      </c>
      <c r="C236" s="11">
        <v>1384.326</v>
      </c>
      <c r="D236" s="11">
        <v>0</v>
      </c>
      <c r="E236" s="11">
        <v>0</v>
      </c>
      <c r="F236" s="13">
        <v>0</v>
      </c>
      <c r="G236" s="13">
        <v>0</v>
      </c>
      <c r="H236" s="14">
        <f t="shared" si="6"/>
        <v>0</v>
      </c>
      <c r="I236" s="14">
        <f t="shared" si="7"/>
        <v>1384.326</v>
      </c>
      <c r="J236" s="598" t="s">
        <v>138</v>
      </c>
      <c r="K236" s="8" t="s">
        <v>509</v>
      </c>
    </row>
    <row r="237" spans="1:11" x14ac:dyDescent="0.2">
      <c r="A237" s="10">
        <v>60121036</v>
      </c>
      <c r="B237" s="10" t="s">
        <v>7394</v>
      </c>
      <c r="C237" s="11">
        <v>776.17600000000004</v>
      </c>
      <c r="D237" s="11">
        <v>0</v>
      </c>
      <c r="E237" s="11">
        <v>0</v>
      </c>
      <c r="F237" s="13">
        <v>0</v>
      </c>
      <c r="G237" s="13">
        <v>0</v>
      </c>
      <c r="H237" s="14">
        <f t="shared" si="6"/>
        <v>0</v>
      </c>
      <c r="I237" s="14">
        <f t="shared" si="7"/>
        <v>776.17600000000004</v>
      </c>
      <c r="J237" s="598" t="s">
        <v>138</v>
      </c>
      <c r="K237" s="8" t="s">
        <v>509</v>
      </c>
    </row>
    <row r="238" spans="1:11" x14ac:dyDescent="0.2">
      <c r="A238" s="10">
        <v>60121040</v>
      </c>
      <c r="B238" s="10" t="s">
        <v>7720</v>
      </c>
      <c r="C238" s="11">
        <v>168116.4</v>
      </c>
      <c r="D238" s="11">
        <v>0</v>
      </c>
      <c r="E238" s="11">
        <v>0</v>
      </c>
      <c r="F238" s="13">
        <v>0</v>
      </c>
      <c r="G238" s="13">
        <v>0</v>
      </c>
      <c r="H238" s="14">
        <f t="shared" si="6"/>
        <v>0</v>
      </c>
      <c r="I238" s="14">
        <f t="shared" si="7"/>
        <v>168116.4</v>
      </c>
      <c r="J238" s="598" t="s">
        <v>138</v>
      </c>
      <c r="K238" s="8" t="s">
        <v>509</v>
      </c>
    </row>
    <row r="239" spans="1:11" x14ac:dyDescent="0.2">
      <c r="A239" s="10">
        <v>60121200</v>
      </c>
      <c r="B239" s="10" t="s">
        <v>7395</v>
      </c>
      <c r="C239" s="11">
        <v>1435</v>
      </c>
      <c r="D239" s="11">
        <v>0</v>
      </c>
      <c r="E239" s="11">
        <v>0</v>
      </c>
      <c r="F239" s="13">
        <v>0</v>
      </c>
      <c r="G239" s="13">
        <v>0</v>
      </c>
      <c r="H239" s="14">
        <f t="shared" si="6"/>
        <v>0</v>
      </c>
      <c r="I239" s="14">
        <f t="shared" si="7"/>
        <v>1435</v>
      </c>
      <c r="J239" s="598" t="s">
        <v>138</v>
      </c>
      <c r="K239" s="8" t="s">
        <v>509</v>
      </c>
    </row>
    <row r="240" spans="1:11" x14ac:dyDescent="0.2">
      <c r="A240" s="10">
        <v>60121210</v>
      </c>
      <c r="B240" s="10" t="s">
        <v>7400</v>
      </c>
      <c r="C240" s="11">
        <v>65626.954710499995</v>
      </c>
      <c r="D240" s="11">
        <v>0</v>
      </c>
      <c r="E240" s="11">
        <v>0</v>
      </c>
      <c r="F240" s="13">
        <v>0</v>
      </c>
      <c r="G240" s="13">
        <v>0</v>
      </c>
      <c r="H240" s="14">
        <f t="shared" si="6"/>
        <v>0</v>
      </c>
      <c r="I240" s="14">
        <f t="shared" si="7"/>
        <v>65626.954710499995</v>
      </c>
      <c r="J240" s="598" t="s">
        <v>138</v>
      </c>
      <c r="K240" s="8" t="s">
        <v>509</v>
      </c>
    </row>
    <row r="241" spans="1:11" x14ac:dyDescent="0.2">
      <c r="A241" s="10">
        <v>60121400</v>
      </c>
      <c r="B241" s="10" t="s">
        <v>7570</v>
      </c>
      <c r="C241" s="11">
        <v>38966.399999999994</v>
      </c>
      <c r="D241" s="11">
        <v>0</v>
      </c>
      <c r="E241" s="11">
        <v>0</v>
      </c>
      <c r="F241" s="13">
        <v>0</v>
      </c>
      <c r="G241" s="13">
        <v>0</v>
      </c>
      <c r="H241" s="14">
        <f t="shared" si="6"/>
        <v>0</v>
      </c>
      <c r="I241" s="14">
        <f t="shared" si="7"/>
        <v>38966.399999999994</v>
      </c>
      <c r="J241" s="598" t="s">
        <v>138</v>
      </c>
      <c r="K241" s="8" t="s">
        <v>509</v>
      </c>
    </row>
    <row r="242" spans="1:11" x14ac:dyDescent="0.2">
      <c r="A242" s="10">
        <v>60121500</v>
      </c>
      <c r="B242" s="10" t="s">
        <v>404</v>
      </c>
      <c r="C242" s="11">
        <v>115072.5</v>
      </c>
      <c r="D242" s="11">
        <v>0</v>
      </c>
      <c r="E242" s="11">
        <v>0</v>
      </c>
      <c r="F242" s="13">
        <v>0</v>
      </c>
      <c r="G242" s="13">
        <v>0</v>
      </c>
      <c r="H242" s="14">
        <f t="shared" si="6"/>
        <v>0</v>
      </c>
      <c r="I242" s="14">
        <f t="shared" si="7"/>
        <v>115072.5</v>
      </c>
      <c r="J242" s="598" t="s">
        <v>138</v>
      </c>
      <c r="K242" s="8" t="s">
        <v>509</v>
      </c>
    </row>
    <row r="243" spans="1:11" x14ac:dyDescent="0.2">
      <c r="A243" s="10">
        <v>60121600</v>
      </c>
      <c r="B243" s="10" t="s">
        <v>154</v>
      </c>
      <c r="C243" s="11">
        <v>435601.2</v>
      </c>
      <c r="D243" s="11">
        <v>90756</v>
      </c>
      <c r="E243" s="11">
        <v>0</v>
      </c>
      <c r="F243" s="13">
        <v>0</v>
      </c>
      <c r="G243" s="13">
        <v>0</v>
      </c>
      <c r="H243" s="14">
        <f t="shared" si="6"/>
        <v>90756</v>
      </c>
      <c r="I243" s="14">
        <f t="shared" si="7"/>
        <v>526357.19999999995</v>
      </c>
      <c r="J243" s="598" t="s">
        <v>138</v>
      </c>
      <c r="K243" s="8" t="s">
        <v>509</v>
      </c>
    </row>
    <row r="244" spans="1:11" x14ac:dyDescent="0.2">
      <c r="A244" s="10">
        <v>60121900</v>
      </c>
      <c r="B244" s="10" t="s">
        <v>7568</v>
      </c>
      <c r="C244" s="11">
        <v>78280</v>
      </c>
      <c r="D244" s="11">
        <v>34250</v>
      </c>
      <c r="E244" s="11">
        <v>0</v>
      </c>
      <c r="F244" s="13">
        <v>0</v>
      </c>
      <c r="G244" s="13">
        <v>0</v>
      </c>
      <c r="H244" s="14">
        <f t="shared" si="6"/>
        <v>34250</v>
      </c>
      <c r="I244" s="14">
        <f t="shared" si="7"/>
        <v>112530</v>
      </c>
      <c r="J244" s="598" t="s">
        <v>138</v>
      </c>
      <c r="K244" s="8" t="s">
        <v>509</v>
      </c>
    </row>
    <row r="245" spans="1:11" x14ac:dyDescent="0.2">
      <c r="A245" s="10">
        <v>60122100</v>
      </c>
      <c r="B245" s="10" t="s">
        <v>155</v>
      </c>
      <c r="C245" s="11">
        <v>155349.20000000001</v>
      </c>
      <c r="D245" s="11">
        <v>0</v>
      </c>
      <c r="E245" s="11">
        <v>0</v>
      </c>
      <c r="F245" s="13">
        <v>17000</v>
      </c>
      <c r="G245" s="13">
        <v>0</v>
      </c>
      <c r="H245" s="14">
        <f t="shared" si="6"/>
        <v>17000</v>
      </c>
      <c r="I245" s="14">
        <f t="shared" si="7"/>
        <v>172349.2</v>
      </c>
      <c r="J245" s="598" t="s">
        <v>138</v>
      </c>
      <c r="K245" s="8" t="s">
        <v>509</v>
      </c>
    </row>
    <row r="246" spans="1:11" x14ac:dyDescent="0.2">
      <c r="A246" s="10">
        <v>60122200</v>
      </c>
      <c r="B246" s="10" t="s">
        <v>156</v>
      </c>
      <c r="C246" s="11">
        <v>86582.707000000009</v>
      </c>
      <c r="D246" s="11">
        <v>0</v>
      </c>
      <c r="E246" s="11">
        <v>0</v>
      </c>
      <c r="F246" s="13">
        <v>0</v>
      </c>
      <c r="G246" s="13">
        <v>0</v>
      </c>
      <c r="H246" s="14">
        <f t="shared" si="6"/>
        <v>0</v>
      </c>
      <c r="I246" s="14">
        <f t="shared" si="7"/>
        <v>86582.707000000009</v>
      </c>
      <c r="J246" s="598" t="s">
        <v>138</v>
      </c>
      <c r="K246" s="8" t="s">
        <v>509</v>
      </c>
    </row>
    <row r="247" spans="1:11" x14ac:dyDescent="0.2">
      <c r="A247" s="10">
        <v>60122400</v>
      </c>
      <c r="B247" s="10" t="s">
        <v>7396</v>
      </c>
      <c r="C247" s="11">
        <v>28848.671999999999</v>
      </c>
      <c r="D247" s="11">
        <v>0</v>
      </c>
      <c r="E247" s="11">
        <v>0</v>
      </c>
      <c r="F247" s="13">
        <v>0</v>
      </c>
      <c r="G247" s="13">
        <v>0</v>
      </c>
      <c r="H247" s="14">
        <f t="shared" si="6"/>
        <v>0</v>
      </c>
      <c r="I247" s="14">
        <f t="shared" si="7"/>
        <v>28848.671999999999</v>
      </c>
      <c r="J247" s="598" t="s">
        <v>138</v>
      </c>
      <c r="K247" s="8" t="s">
        <v>509</v>
      </c>
    </row>
    <row r="248" spans="1:11" x14ac:dyDescent="0.2">
      <c r="A248" s="10">
        <v>60122410</v>
      </c>
      <c r="B248" s="10" t="s">
        <v>366</v>
      </c>
      <c r="C248" s="11">
        <v>5050</v>
      </c>
      <c r="D248" s="11">
        <v>2300</v>
      </c>
      <c r="E248" s="11">
        <v>0</v>
      </c>
      <c r="F248" s="13">
        <v>0</v>
      </c>
      <c r="G248" s="13">
        <v>0</v>
      </c>
      <c r="H248" s="14">
        <f t="shared" si="6"/>
        <v>2300</v>
      </c>
      <c r="I248" s="14">
        <f t="shared" si="7"/>
        <v>7350</v>
      </c>
      <c r="J248" s="598" t="s">
        <v>138</v>
      </c>
      <c r="K248" s="8" t="s">
        <v>509</v>
      </c>
    </row>
    <row r="249" spans="1:11" x14ac:dyDescent="0.2">
      <c r="A249" s="10">
        <v>60122411</v>
      </c>
      <c r="B249" s="10" t="s">
        <v>367</v>
      </c>
      <c r="C249" s="11">
        <v>37552.199999999997</v>
      </c>
      <c r="D249" s="11">
        <v>4748</v>
      </c>
      <c r="E249" s="11">
        <v>0</v>
      </c>
      <c r="F249" s="13">
        <v>465.1</v>
      </c>
      <c r="G249" s="13">
        <v>465.1</v>
      </c>
      <c r="H249" s="14">
        <f t="shared" si="6"/>
        <v>4748</v>
      </c>
      <c r="I249" s="14">
        <f t="shared" si="7"/>
        <v>42300.2</v>
      </c>
      <c r="J249" s="598" t="s">
        <v>138</v>
      </c>
      <c r="K249" s="8" t="s">
        <v>509</v>
      </c>
    </row>
    <row r="250" spans="1:11" x14ac:dyDescent="0.2">
      <c r="A250" s="10">
        <v>60122510</v>
      </c>
      <c r="B250" s="10" t="s">
        <v>368</v>
      </c>
      <c r="C250" s="11">
        <v>28920.822</v>
      </c>
      <c r="D250" s="11">
        <v>4108.45</v>
      </c>
      <c r="E250" s="11">
        <v>0</v>
      </c>
      <c r="F250" s="13">
        <v>0</v>
      </c>
      <c r="G250" s="13">
        <v>0</v>
      </c>
      <c r="H250" s="14">
        <f t="shared" si="6"/>
        <v>4108.45</v>
      </c>
      <c r="I250" s="14">
        <f t="shared" si="7"/>
        <v>33029.271999999997</v>
      </c>
      <c r="J250" s="598" t="s">
        <v>138</v>
      </c>
      <c r="K250" s="8" t="s">
        <v>509</v>
      </c>
    </row>
    <row r="251" spans="1:11" x14ac:dyDescent="0.2">
      <c r="A251" s="10">
        <v>60122520</v>
      </c>
      <c r="B251" s="10" t="s">
        <v>396</v>
      </c>
      <c r="C251" s="11">
        <v>5870.6890000000003</v>
      </c>
      <c r="D251" s="11">
        <v>947.26300000000015</v>
      </c>
      <c r="E251" s="11">
        <v>0</v>
      </c>
      <c r="F251" s="13">
        <v>0</v>
      </c>
      <c r="G251" s="13">
        <v>0</v>
      </c>
      <c r="H251" s="14">
        <f t="shared" si="6"/>
        <v>947.26300000000015</v>
      </c>
      <c r="I251" s="14">
        <f t="shared" si="7"/>
        <v>6817.9520000000002</v>
      </c>
      <c r="J251" s="598" t="s">
        <v>138</v>
      </c>
      <c r="K251" s="8" t="s">
        <v>509</v>
      </c>
    </row>
    <row r="252" spans="1:11" x14ac:dyDescent="0.2">
      <c r="A252" s="10">
        <v>60122600</v>
      </c>
      <c r="B252" s="10" t="s">
        <v>9648</v>
      </c>
      <c r="C252" s="11">
        <v>552.5</v>
      </c>
      <c r="D252" s="11">
        <v>0</v>
      </c>
      <c r="E252" s="11">
        <v>0</v>
      </c>
      <c r="F252" s="13">
        <v>0</v>
      </c>
      <c r="G252" s="13">
        <v>0</v>
      </c>
      <c r="H252" s="14">
        <f t="shared" si="6"/>
        <v>0</v>
      </c>
      <c r="I252" s="14">
        <f t="shared" si="7"/>
        <v>552.5</v>
      </c>
      <c r="J252" s="598" t="s">
        <v>138</v>
      </c>
      <c r="K252" s="8" t="s">
        <v>509</v>
      </c>
    </row>
    <row r="253" spans="1:11" x14ac:dyDescent="0.2">
      <c r="A253" s="10">
        <v>60122700</v>
      </c>
      <c r="B253" s="10" t="s">
        <v>7567</v>
      </c>
      <c r="C253" s="11">
        <v>7010.9359999999997</v>
      </c>
      <c r="D253" s="11">
        <v>0</v>
      </c>
      <c r="E253" s="11">
        <v>0</v>
      </c>
      <c r="F253" s="13">
        <v>0</v>
      </c>
      <c r="G253" s="13">
        <v>0</v>
      </c>
      <c r="H253" s="14">
        <f t="shared" si="6"/>
        <v>0</v>
      </c>
      <c r="I253" s="14">
        <f t="shared" si="7"/>
        <v>7010.9359999999997</v>
      </c>
      <c r="J253" s="598" t="s">
        <v>138</v>
      </c>
      <c r="K253" s="8" t="s">
        <v>509</v>
      </c>
    </row>
    <row r="254" spans="1:11" x14ac:dyDescent="0.2">
      <c r="A254" s="10">
        <v>60171000</v>
      </c>
      <c r="B254" s="10" t="s">
        <v>369</v>
      </c>
      <c r="C254" s="11">
        <v>551982.44999999995</v>
      </c>
      <c r="D254" s="11">
        <v>56847.528000000006</v>
      </c>
      <c r="E254" s="11">
        <v>0</v>
      </c>
      <c r="F254" s="13">
        <v>0</v>
      </c>
      <c r="G254" s="13">
        <v>0</v>
      </c>
      <c r="H254" s="14">
        <f t="shared" si="6"/>
        <v>56847.528000000006</v>
      </c>
      <c r="I254" s="14">
        <f t="shared" si="7"/>
        <v>608829.978</v>
      </c>
      <c r="J254" s="598" t="s">
        <v>138</v>
      </c>
      <c r="K254" s="8" t="s">
        <v>509</v>
      </c>
    </row>
    <row r="255" spans="1:11" x14ac:dyDescent="0.2">
      <c r="A255" s="10">
        <v>60172000</v>
      </c>
      <c r="B255" s="10" t="s">
        <v>169</v>
      </c>
      <c r="C255" s="11">
        <v>921659.12800000003</v>
      </c>
      <c r="D255" s="11">
        <v>120108.88800000001</v>
      </c>
      <c r="E255" s="11">
        <v>0</v>
      </c>
      <c r="F255" s="13">
        <v>0</v>
      </c>
      <c r="G255" s="13">
        <v>0</v>
      </c>
      <c r="H255" s="14">
        <f t="shared" si="6"/>
        <v>120108.88800000001</v>
      </c>
      <c r="I255" s="14">
        <f t="shared" si="7"/>
        <v>1041768.0160000001</v>
      </c>
      <c r="J255" s="598" t="s">
        <v>138</v>
      </c>
      <c r="K255" s="8" t="s">
        <v>509</v>
      </c>
    </row>
    <row r="256" spans="1:11" x14ac:dyDescent="0.2">
      <c r="A256" s="10">
        <v>60173000</v>
      </c>
      <c r="B256" s="10" t="s">
        <v>170</v>
      </c>
      <c r="C256" s="11">
        <v>89108.469000000012</v>
      </c>
      <c r="D256" s="11">
        <v>16943.072</v>
      </c>
      <c r="E256" s="11">
        <v>0</v>
      </c>
      <c r="F256" s="13">
        <v>0</v>
      </c>
      <c r="G256" s="13">
        <v>6939.3389999999999</v>
      </c>
      <c r="H256" s="14">
        <f t="shared" si="6"/>
        <v>10003.733</v>
      </c>
      <c r="I256" s="14">
        <f t="shared" si="7"/>
        <v>99112.202000000019</v>
      </c>
      <c r="J256" s="598" t="s">
        <v>138</v>
      </c>
      <c r="K256" s="8" t="s">
        <v>509</v>
      </c>
    </row>
    <row r="257" spans="1:11" x14ac:dyDescent="0.2">
      <c r="A257" s="10">
        <v>60191000</v>
      </c>
      <c r="B257" s="10" t="s">
        <v>158</v>
      </c>
      <c r="C257" s="11">
        <v>1179110.6093039999</v>
      </c>
      <c r="D257" s="11">
        <v>92412.296000000002</v>
      </c>
      <c r="E257" s="11">
        <v>767.10599999999999</v>
      </c>
      <c r="F257" s="13">
        <v>0</v>
      </c>
      <c r="G257" s="13">
        <v>0</v>
      </c>
      <c r="H257" s="14">
        <f t="shared" si="6"/>
        <v>91645.19</v>
      </c>
      <c r="I257" s="14">
        <f t="shared" si="7"/>
        <v>1270755.7993039999</v>
      </c>
      <c r="J257" s="598" t="s">
        <v>138</v>
      </c>
      <c r="K257" s="8" t="s">
        <v>509</v>
      </c>
    </row>
    <row r="258" spans="1:11" x14ac:dyDescent="0.2">
      <c r="A258" s="10">
        <v>60215000</v>
      </c>
      <c r="B258" s="10" t="s">
        <v>370</v>
      </c>
      <c r="C258" s="11">
        <v>24171.527000000002</v>
      </c>
      <c r="D258" s="11">
        <v>0</v>
      </c>
      <c r="E258" s="11">
        <v>0</v>
      </c>
      <c r="F258" s="13">
        <v>0</v>
      </c>
      <c r="G258" s="13">
        <v>0</v>
      </c>
      <c r="H258" s="14">
        <f t="shared" si="6"/>
        <v>0</v>
      </c>
      <c r="I258" s="14">
        <f t="shared" si="7"/>
        <v>24171.527000000002</v>
      </c>
      <c r="J258" s="598" t="s">
        <v>138</v>
      </c>
      <c r="K258" s="8" t="s">
        <v>509</v>
      </c>
    </row>
    <row r="259" spans="1:11" x14ac:dyDescent="0.2">
      <c r="A259" s="10">
        <v>60216000</v>
      </c>
      <c r="B259" s="10" t="s">
        <v>371</v>
      </c>
      <c r="C259" s="11">
        <v>744924.70609800005</v>
      </c>
      <c r="D259" s="11">
        <v>0</v>
      </c>
      <c r="E259" s="11">
        <v>0</v>
      </c>
      <c r="F259" s="13">
        <v>0</v>
      </c>
      <c r="G259" s="13">
        <v>0</v>
      </c>
      <c r="H259" s="14">
        <f t="shared" ref="H259:H322" si="8">+D259+F259-E259-G259</f>
        <v>0</v>
      </c>
      <c r="I259" s="14">
        <f t="shared" ref="I259:I322" si="9">+H259+C259</f>
        <v>744924.70609800005</v>
      </c>
      <c r="J259" s="598" t="s">
        <v>138</v>
      </c>
      <c r="K259" s="8" t="s">
        <v>509</v>
      </c>
    </row>
    <row r="260" spans="1:11" x14ac:dyDescent="0.2">
      <c r="A260" s="10">
        <v>60260200</v>
      </c>
      <c r="B260" s="10" t="s">
        <v>372</v>
      </c>
      <c r="C260" s="11">
        <v>203525.117</v>
      </c>
      <c r="D260" s="11">
        <v>0</v>
      </c>
      <c r="E260" s="11">
        <v>0</v>
      </c>
      <c r="F260" s="13">
        <v>1224</v>
      </c>
      <c r="G260" s="13">
        <v>0</v>
      </c>
      <c r="H260" s="14">
        <f t="shared" si="8"/>
        <v>1224</v>
      </c>
      <c r="I260" s="14">
        <f t="shared" si="9"/>
        <v>204749.117</v>
      </c>
      <c r="J260" s="598" t="s">
        <v>138</v>
      </c>
      <c r="K260" s="8" t="s">
        <v>509</v>
      </c>
    </row>
    <row r="261" spans="1:11" x14ac:dyDescent="0.2">
      <c r="A261" s="10">
        <v>60260300</v>
      </c>
      <c r="B261" s="10" t="s">
        <v>160</v>
      </c>
      <c r="C261" s="11">
        <v>1704.4140000000111</v>
      </c>
      <c r="D261" s="11">
        <v>0</v>
      </c>
      <c r="E261" s="11">
        <v>0</v>
      </c>
      <c r="F261" s="13">
        <v>0</v>
      </c>
      <c r="G261" s="13">
        <v>0</v>
      </c>
      <c r="H261" s="14">
        <f t="shared" si="8"/>
        <v>0</v>
      </c>
      <c r="I261" s="14">
        <f t="shared" si="9"/>
        <v>1704.4140000000111</v>
      </c>
      <c r="J261" s="598" t="s">
        <v>138</v>
      </c>
      <c r="K261" s="8" t="s">
        <v>509</v>
      </c>
    </row>
    <row r="262" spans="1:11" x14ac:dyDescent="0.2">
      <c r="A262" s="10">
        <v>60260400</v>
      </c>
      <c r="B262" s="10" t="s">
        <v>161</v>
      </c>
      <c r="C262" s="11">
        <v>79412.534</v>
      </c>
      <c r="D262" s="11">
        <v>4287.5199999999995</v>
      </c>
      <c r="E262" s="11">
        <v>0</v>
      </c>
      <c r="F262" s="13">
        <v>0</v>
      </c>
      <c r="G262" s="13">
        <v>0</v>
      </c>
      <c r="H262" s="14">
        <f t="shared" si="8"/>
        <v>4287.5199999999995</v>
      </c>
      <c r="I262" s="14">
        <f t="shared" si="9"/>
        <v>83700.054000000004</v>
      </c>
      <c r="J262" s="598" t="s">
        <v>138</v>
      </c>
      <c r="K262" s="8" t="s">
        <v>509</v>
      </c>
    </row>
    <row r="263" spans="1:11" x14ac:dyDescent="0.2">
      <c r="A263" s="10">
        <v>60260500</v>
      </c>
      <c r="B263" s="10" t="s">
        <v>162</v>
      </c>
      <c r="C263" s="11">
        <v>39050.259999999995</v>
      </c>
      <c r="D263" s="11">
        <v>7134.4</v>
      </c>
      <c r="E263" s="11">
        <v>0</v>
      </c>
      <c r="F263" s="13">
        <v>0</v>
      </c>
      <c r="G263" s="13">
        <v>0</v>
      </c>
      <c r="H263" s="14">
        <f t="shared" si="8"/>
        <v>7134.4</v>
      </c>
      <c r="I263" s="14">
        <f t="shared" si="9"/>
        <v>46184.659999999996</v>
      </c>
      <c r="J263" s="598" t="s">
        <v>138</v>
      </c>
      <c r="K263" s="8" t="s">
        <v>509</v>
      </c>
    </row>
    <row r="264" spans="1:11" x14ac:dyDescent="0.2">
      <c r="A264" s="10">
        <v>60260600</v>
      </c>
      <c r="B264" s="10" t="s">
        <v>7401</v>
      </c>
      <c r="C264" s="11">
        <v>439.35300000000007</v>
      </c>
      <c r="D264" s="11">
        <v>732.25</v>
      </c>
      <c r="E264" s="11">
        <v>0</v>
      </c>
      <c r="F264" s="13">
        <v>0</v>
      </c>
      <c r="G264" s="13">
        <v>0</v>
      </c>
      <c r="H264" s="14">
        <f t="shared" si="8"/>
        <v>732.25</v>
      </c>
      <c r="I264" s="14">
        <f t="shared" si="9"/>
        <v>1171.6030000000001</v>
      </c>
      <c r="J264" s="598" t="s">
        <v>138</v>
      </c>
      <c r="K264" s="8" t="s">
        <v>509</v>
      </c>
    </row>
    <row r="265" spans="1:11" x14ac:dyDescent="0.2">
      <c r="A265" s="10">
        <v>60260700</v>
      </c>
      <c r="B265" s="10" t="s">
        <v>163</v>
      </c>
      <c r="C265" s="11">
        <v>99160.324999999997</v>
      </c>
      <c r="D265" s="11">
        <v>15215.65</v>
      </c>
      <c r="E265" s="11">
        <v>0</v>
      </c>
      <c r="F265" s="13">
        <v>1626.1</v>
      </c>
      <c r="G265" s="13">
        <v>2323</v>
      </c>
      <c r="H265" s="14">
        <f t="shared" si="8"/>
        <v>14518.75</v>
      </c>
      <c r="I265" s="14">
        <f t="shared" si="9"/>
        <v>113679.075</v>
      </c>
      <c r="J265" s="598" t="s">
        <v>138</v>
      </c>
      <c r="K265" s="8" t="s">
        <v>509</v>
      </c>
    </row>
    <row r="266" spans="1:11" x14ac:dyDescent="0.2">
      <c r="A266" s="10">
        <v>60262000</v>
      </c>
      <c r="B266" s="10" t="s">
        <v>164</v>
      </c>
      <c r="C266" s="11">
        <v>192358.6048</v>
      </c>
      <c r="D266" s="11">
        <v>24538.094825</v>
      </c>
      <c r="E266" s="11">
        <v>0</v>
      </c>
      <c r="F266" s="13">
        <v>0</v>
      </c>
      <c r="G266" s="13">
        <v>0</v>
      </c>
      <c r="H266" s="14">
        <f t="shared" si="8"/>
        <v>24538.094825</v>
      </c>
      <c r="I266" s="14">
        <f t="shared" si="9"/>
        <v>216896.69962500001</v>
      </c>
      <c r="J266" s="598" t="s">
        <v>138</v>
      </c>
      <c r="K266" s="8" t="s">
        <v>509</v>
      </c>
    </row>
    <row r="267" spans="1:11" x14ac:dyDescent="0.2">
      <c r="A267" s="10">
        <v>60263000</v>
      </c>
      <c r="B267" s="10" t="s">
        <v>165</v>
      </c>
      <c r="C267" s="11">
        <v>41931.326000000001</v>
      </c>
      <c r="D267" s="11">
        <v>4036.768</v>
      </c>
      <c r="E267" s="11">
        <v>0</v>
      </c>
      <c r="F267" s="13">
        <v>0</v>
      </c>
      <c r="G267" s="13">
        <v>0</v>
      </c>
      <c r="H267" s="14">
        <f t="shared" si="8"/>
        <v>4036.768</v>
      </c>
      <c r="I267" s="14">
        <f t="shared" si="9"/>
        <v>45968.093999999997</v>
      </c>
      <c r="J267" s="598" t="s">
        <v>138</v>
      </c>
      <c r="K267" s="8" t="s">
        <v>509</v>
      </c>
    </row>
    <row r="268" spans="1:11" x14ac:dyDescent="0.2">
      <c r="A268" s="10">
        <v>60310000</v>
      </c>
      <c r="B268" s="10" t="s">
        <v>265</v>
      </c>
      <c r="C268" s="11">
        <v>-15411.446000000462</v>
      </c>
      <c r="D268" s="11">
        <v>0</v>
      </c>
      <c r="E268" s="11">
        <v>0</v>
      </c>
      <c r="F268" s="13">
        <v>10140516.117000001</v>
      </c>
      <c r="G268" s="13">
        <v>9766391.5179999992</v>
      </c>
      <c r="H268" s="14">
        <f t="shared" si="8"/>
        <v>374124.59900000133</v>
      </c>
      <c r="I268" s="14">
        <f t="shared" si="9"/>
        <v>358713.15300000086</v>
      </c>
      <c r="J268" s="598" t="s">
        <v>138</v>
      </c>
      <c r="K268" s="8" t="s">
        <v>512</v>
      </c>
    </row>
    <row r="269" spans="1:11" x14ac:dyDescent="0.2">
      <c r="A269" s="10">
        <v>60330000</v>
      </c>
      <c r="B269" s="10" t="s">
        <v>266</v>
      </c>
      <c r="C269" s="11">
        <v>-187949.2030000001</v>
      </c>
      <c r="D269" s="11">
        <v>0</v>
      </c>
      <c r="E269" s="11">
        <v>0</v>
      </c>
      <c r="F269" s="13">
        <v>771579.85400000005</v>
      </c>
      <c r="G269" s="13">
        <v>786950.59199999995</v>
      </c>
      <c r="H269" s="14">
        <f t="shared" si="8"/>
        <v>-15370.737999999896</v>
      </c>
      <c r="I269" s="14">
        <f t="shared" si="9"/>
        <v>-203319.94099999999</v>
      </c>
      <c r="J269" s="598" t="s">
        <v>157</v>
      </c>
      <c r="K269" s="8" t="s">
        <v>512</v>
      </c>
    </row>
    <row r="270" spans="1:11" x14ac:dyDescent="0.2">
      <c r="A270" s="10">
        <v>60401000</v>
      </c>
      <c r="B270" s="10" t="s">
        <v>9692</v>
      </c>
      <c r="C270" s="11">
        <v>195000</v>
      </c>
      <c r="D270" s="11">
        <v>0</v>
      </c>
      <c r="E270" s="11">
        <v>0</v>
      </c>
      <c r="F270" s="13">
        <v>13333.333000000001</v>
      </c>
      <c r="G270" s="13">
        <v>0</v>
      </c>
      <c r="H270" s="14">
        <f t="shared" si="8"/>
        <v>13333.333000000001</v>
      </c>
      <c r="I270" s="14">
        <f t="shared" si="9"/>
        <v>208333.33300000001</v>
      </c>
      <c r="J270" s="598" t="s">
        <v>157</v>
      </c>
      <c r="K270" s="8" t="s">
        <v>512</v>
      </c>
    </row>
    <row r="271" spans="1:11" x14ac:dyDescent="0.2">
      <c r="A271" s="10">
        <v>60502000</v>
      </c>
      <c r="B271" s="10" t="s">
        <v>167</v>
      </c>
      <c r="C271" s="11">
        <v>491469.15295499988</v>
      </c>
      <c r="D271" s="11">
        <v>83024.976999999999</v>
      </c>
      <c r="E271" s="11">
        <v>895.28899999999999</v>
      </c>
      <c r="F271" s="13">
        <v>12629.933999999999</v>
      </c>
      <c r="G271" s="13">
        <v>38911.917999999998</v>
      </c>
      <c r="H271" s="14">
        <f t="shared" si="8"/>
        <v>55847.703999999991</v>
      </c>
      <c r="I271" s="14">
        <f t="shared" si="9"/>
        <v>547316.85695499985</v>
      </c>
      <c r="J271" s="598" t="s">
        <v>157</v>
      </c>
      <c r="K271" s="8" t="s">
        <v>512</v>
      </c>
    </row>
    <row r="272" spans="1:11" x14ac:dyDescent="0.2">
      <c r="A272" s="10">
        <v>60504000</v>
      </c>
      <c r="B272" s="10" t="s">
        <v>168</v>
      </c>
      <c r="C272" s="11">
        <v>4245</v>
      </c>
      <c r="D272" s="11">
        <v>540.48199999999997</v>
      </c>
      <c r="E272" s="11">
        <v>0</v>
      </c>
      <c r="F272" s="13">
        <v>0</v>
      </c>
      <c r="G272" s="13">
        <v>0</v>
      </c>
      <c r="H272" s="14">
        <f t="shared" si="8"/>
        <v>540.48199999999997</v>
      </c>
      <c r="I272" s="14">
        <f t="shared" si="9"/>
        <v>4785.482</v>
      </c>
      <c r="J272" s="598" t="s">
        <v>157</v>
      </c>
      <c r="K272" s="8" t="s">
        <v>512</v>
      </c>
    </row>
    <row r="273" spans="1:11" x14ac:dyDescent="0.2">
      <c r="A273" s="10">
        <v>60614000</v>
      </c>
      <c r="B273" s="10" t="s">
        <v>171</v>
      </c>
      <c r="C273" s="11">
        <v>160349.86199999999</v>
      </c>
      <c r="D273" s="11">
        <v>17452.723000000002</v>
      </c>
      <c r="E273" s="11">
        <v>0</v>
      </c>
      <c r="F273" s="13">
        <v>0</v>
      </c>
      <c r="G273" s="13">
        <v>0</v>
      </c>
      <c r="H273" s="14">
        <f t="shared" si="8"/>
        <v>17452.723000000002</v>
      </c>
      <c r="I273" s="14">
        <f t="shared" si="9"/>
        <v>177802.58499999999</v>
      </c>
      <c r="J273" s="598" t="s">
        <v>157</v>
      </c>
      <c r="K273" s="8" t="s">
        <v>512</v>
      </c>
    </row>
    <row r="274" spans="1:11" x14ac:dyDescent="0.2">
      <c r="A274" s="10">
        <v>60620000</v>
      </c>
      <c r="B274" s="10" t="s">
        <v>172</v>
      </c>
      <c r="C274" s="11">
        <v>15086.769000000002</v>
      </c>
      <c r="D274" s="11">
        <v>3309.6550000000002</v>
      </c>
      <c r="E274" s="11">
        <v>0</v>
      </c>
      <c r="F274" s="13">
        <v>1550</v>
      </c>
      <c r="G274" s="13">
        <v>221</v>
      </c>
      <c r="H274" s="14">
        <f t="shared" si="8"/>
        <v>4638.6550000000007</v>
      </c>
      <c r="I274" s="14">
        <f t="shared" si="9"/>
        <v>19725.424000000003</v>
      </c>
      <c r="J274" s="598" t="s">
        <v>157</v>
      </c>
      <c r="K274" s="8" t="s">
        <v>512</v>
      </c>
    </row>
    <row r="275" spans="1:11" x14ac:dyDescent="0.2">
      <c r="A275" s="10">
        <v>60650000</v>
      </c>
      <c r="B275" s="10" t="s">
        <v>373</v>
      </c>
      <c r="C275" s="11">
        <v>7950</v>
      </c>
      <c r="D275" s="11">
        <v>2700</v>
      </c>
      <c r="E275" s="11">
        <v>0</v>
      </c>
      <c r="F275" s="13">
        <v>0</v>
      </c>
      <c r="G275" s="13">
        <v>0</v>
      </c>
      <c r="H275" s="14">
        <f t="shared" si="8"/>
        <v>2700</v>
      </c>
      <c r="I275" s="14">
        <f t="shared" si="9"/>
        <v>10650</v>
      </c>
      <c r="J275" s="598" t="s">
        <v>138</v>
      </c>
      <c r="K275" s="8" t="s">
        <v>509</v>
      </c>
    </row>
    <row r="276" spans="1:11" x14ac:dyDescent="0.2">
      <c r="A276" s="10">
        <v>60660000</v>
      </c>
      <c r="B276" s="10" t="s">
        <v>173</v>
      </c>
      <c r="C276" s="11">
        <v>21264.402000000002</v>
      </c>
      <c r="D276" s="11">
        <v>4287.1020000000008</v>
      </c>
      <c r="E276" s="11">
        <v>0</v>
      </c>
      <c r="F276" s="13">
        <v>0</v>
      </c>
      <c r="G276" s="13">
        <v>0</v>
      </c>
      <c r="H276" s="14">
        <f t="shared" si="8"/>
        <v>4287.1020000000008</v>
      </c>
      <c r="I276" s="14">
        <f t="shared" si="9"/>
        <v>25551.504000000001</v>
      </c>
      <c r="J276" s="598" t="s">
        <v>157</v>
      </c>
      <c r="K276" s="8" t="s">
        <v>512</v>
      </c>
    </row>
    <row r="277" spans="1:11" x14ac:dyDescent="0.2">
      <c r="A277" s="10">
        <v>60670000</v>
      </c>
      <c r="B277" s="10" t="s">
        <v>174</v>
      </c>
      <c r="C277" s="11">
        <v>10445.94</v>
      </c>
      <c r="D277" s="11">
        <v>448.9</v>
      </c>
      <c r="E277" s="11">
        <v>0</v>
      </c>
      <c r="F277" s="13">
        <v>0</v>
      </c>
      <c r="G277" s="13">
        <v>0</v>
      </c>
      <c r="H277" s="14">
        <f t="shared" si="8"/>
        <v>448.9</v>
      </c>
      <c r="I277" s="14">
        <f t="shared" si="9"/>
        <v>10894.84</v>
      </c>
      <c r="J277" s="598" t="s">
        <v>157</v>
      </c>
      <c r="K277" s="8" t="s">
        <v>512</v>
      </c>
    </row>
    <row r="278" spans="1:11" x14ac:dyDescent="0.2">
      <c r="A278" s="10">
        <v>60671000</v>
      </c>
      <c r="B278" s="10" t="s">
        <v>374</v>
      </c>
      <c r="C278" s="11">
        <v>82887.561000000016</v>
      </c>
      <c r="D278" s="11">
        <v>28114.510999999999</v>
      </c>
      <c r="E278" s="11">
        <v>0</v>
      </c>
      <c r="F278" s="13">
        <v>0</v>
      </c>
      <c r="G278" s="13">
        <v>0</v>
      </c>
      <c r="H278" s="14">
        <f t="shared" si="8"/>
        <v>28114.510999999999</v>
      </c>
      <c r="I278" s="14">
        <f t="shared" si="9"/>
        <v>111002.07200000001</v>
      </c>
      <c r="J278" s="598" t="s">
        <v>157</v>
      </c>
      <c r="K278" s="8" t="s">
        <v>512</v>
      </c>
    </row>
    <row r="279" spans="1:11" x14ac:dyDescent="0.2">
      <c r="A279" s="10">
        <v>60672000</v>
      </c>
      <c r="B279" s="10" t="s">
        <v>7569</v>
      </c>
      <c r="C279" s="11">
        <v>3369.5</v>
      </c>
      <c r="D279" s="11">
        <v>1866</v>
      </c>
      <c r="E279" s="11">
        <v>0</v>
      </c>
      <c r="F279" s="13">
        <v>0</v>
      </c>
      <c r="G279" s="13">
        <v>0</v>
      </c>
      <c r="H279" s="14">
        <f t="shared" si="8"/>
        <v>1866</v>
      </c>
      <c r="I279" s="14">
        <f t="shared" si="9"/>
        <v>5235.5</v>
      </c>
      <c r="J279" s="598" t="s">
        <v>157</v>
      </c>
      <c r="K279" s="8" t="s">
        <v>512</v>
      </c>
    </row>
    <row r="280" spans="1:11" x14ac:dyDescent="0.2">
      <c r="A280" s="10">
        <v>60700000</v>
      </c>
      <c r="B280" s="10" t="s">
        <v>7719</v>
      </c>
      <c r="C280" s="11">
        <v>15708</v>
      </c>
      <c r="D280" s="11">
        <v>0</v>
      </c>
      <c r="E280" s="11">
        <v>0</v>
      </c>
      <c r="F280" s="13">
        <v>15708</v>
      </c>
      <c r="G280" s="13">
        <v>15708</v>
      </c>
      <c r="H280" s="14">
        <f t="shared" si="8"/>
        <v>0</v>
      </c>
      <c r="I280" s="14">
        <f t="shared" si="9"/>
        <v>15708</v>
      </c>
      <c r="J280" s="598" t="s">
        <v>157</v>
      </c>
      <c r="K280" s="8" t="s">
        <v>512</v>
      </c>
    </row>
    <row r="281" spans="1:11" x14ac:dyDescent="0.2">
      <c r="A281" s="10">
        <v>61400000</v>
      </c>
      <c r="B281" s="10" t="s">
        <v>175</v>
      </c>
      <c r="C281" s="11">
        <v>19099.439999999995</v>
      </c>
      <c r="D281" s="11">
        <v>2369.444</v>
      </c>
      <c r="E281" s="11">
        <v>0</v>
      </c>
      <c r="F281" s="13">
        <v>0</v>
      </c>
      <c r="G281" s="13">
        <v>0</v>
      </c>
      <c r="H281" s="14">
        <f t="shared" si="8"/>
        <v>2369.444</v>
      </c>
      <c r="I281" s="14">
        <f t="shared" si="9"/>
        <v>21468.883999999995</v>
      </c>
      <c r="J281" s="598" t="s">
        <v>157</v>
      </c>
      <c r="K281" s="8" t="s">
        <v>512</v>
      </c>
    </row>
    <row r="282" spans="1:11" x14ac:dyDescent="0.2">
      <c r="A282" s="10">
        <v>61500000</v>
      </c>
      <c r="B282" s="10" t="s">
        <v>176</v>
      </c>
      <c r="C282" s="11">
        <v>228031.59099999999</v>
      </c>
      <c r="D282" s="11">
        <v>26135.625</v>
      </c>
      <c r="E282" s="11">
        <v>0</v>
      </c>
      <c r="F282" s="13">
        <v>14200</v>
      </c>
      <c r="G282" s="13">
        <v>19956.277999999998</v>
      </c>
      <c r="H282" s="14">
        <f t="shared" si="8"/>
        <v>20379.347000000002</v>
      </c>
      <c r="I282" s="14">
        <f t="shared" si="9"/>
        <v>248410.93799999999</v>
      </c>
      <c r="J282" s="598" t="s">
        <v>157</v>
      </c>
      <c r="K282" s="8" t="s">
        <v>512</v>
      </c>
    </row>
    <row r="283" spans="1:11" x14ac:dyDescent="0.2">
      <c r="A283" s="10">
        <v>61501000</v>
      </c>
      <c r="B283" s="10" t="s">
        <v>177</v>
      </c>
      <c r="C283" s="11">
        <v>184019.80399999995</v>
      </c>
      <c r="D283" s="11">
        <v>63081.620999999999</v>
      </c>
      <c r="E283" s="11">
        <v>0</v>
      </c>
      <c r="F283" s="13">
        <v>3106.723</v>
      </c>
      <c r="G283" s="13">
        <v>0</v>
      </c>
      <c r="H283" s="14">
        <f t="shared" si="8"/>
        <v>66188.343999999997</v>
      </c>
      <c r="I283" s="14">
        <f t="shared" si="9"/>
        <v>250208.14799999993</v>
      </c>
      <c r="J283" s="598" t="s">
        <v>157</v>
      </c>
      <c r="K283" s="8" t="s">
        <v>512</v>
      </c>
    </row>
    <row r="284" spans="1:11" x14ac:dyDescent="0.2">
      <c r="A284" s="10">
        <v>61600000</v>
      </c>
      <c r="B284" s="10" t="s">
        <v>397</v>
      </c>
      <c r="C284" s="11">
        <v>22588.767</v>
      </c>
      <c r="D284" s="11">
        <v>0</v>
      </c>
      <c r="E284" s="11">
        <v>0</v>
      </c>
      <c r="F284" s="13">
        <v>2573.3330000000001</v>
      </c>
      <c r="G284" s="13">
        <v>0</v>
      </c>
      <c r="H284" s="14">
        <f t="shared" si="8"/>
        <v>2573.3330000000001</v>
      </c>
      <c r="I284" s="14">
        <f t="shared" si="9"/>
        <v>25162.1</v>
      </c>
      <c r="J284" s="598" t="s">
        <v>157</v>
      </c>
      <c r="K284" s="8" t="s">
        <v>512</v>
      </c>
    </row>
    <row r="285" spans="1:11" x14ac:dyDescent="0.2">
      <c r="A285" s="10">
        <v>61603000</v>
      </c>
      <c r="B285" s="10" t="s">
        <v>178</v>
      </c>
      <c r="C285" s="11">
        <v>27944.711100000004</v>
      </c>
      <c r="D285" s="11">
        <v>0</v>
      </c>
      <c r="E285" s="11">
        <v>0</v>
      </c>
      <c r="F285" s="13">
        <v>2359.1680000000001</v>
      </c>
      <c r="G285" s="13">
        <v>0</v>
      </c>
      <c r="H285" s="14">
        <f t="shared" si="8"/>
        <v>2359.1680000000001</v>
      </c>
      <c r="I285" s="14">
        <f t="shared" si="9"/>
        <v>30303.879100000006</v>
      </c>
      <c r="J285" s="598" t="s">
        <v>157</v>
      </c>
      <c r="K285" s="8" t="s">
        <v>512</v>
      </c>
    </row>
    <row r="286" spans="1:11" x14ac:dyDescent="0.2">
      <c r="A286" s="10">
        <v>61607000</v>
      </c>
      <c r="B286" s="10" t="s">
        <v>179</v>
      </c>
      <c r="C286" s="11">
        <v>11048.4</v>
      </c>
      <c r="D286" s="11">
        <v>0</v>
      </c>
      <c r="E286" s="11">
        <v>0</v>
      </c>
      <c r="F286" s="13">
        <v>1227.5999999999999</v>
      </c>
      <c r="G286" s="13">
        <v>0</v>
      </c>
      <c r="H286" s="14">
        <f t="shared" si="8"/>
        <v>1227.5999999999999</v>
      </c>
      <c r="I286" s="14">
        <f t="shared" si="9"/>
        <v>12276</v>
      </c>
      <c r="J286" s="598" t="s">
        <v>157</v>
      </c>
      <c r="K286" s="8" t="s">
        <v>512</v>
      </c>
    </row>
    <row r="287" spans="1:11" x14ac:dyDescent="0.2">
      <c r="A287" s="10">
        <v>62120000</v>
      </c>
      <c r="B287" s="10" t="s">
        <v>180</v>
      </c>
      <c r="C287" s="11">
        <v>45093.440000000002</v>
      </c>
      <c r="D287" s="11">
        <v>6320.34</v>
      </c>
      <c r="E287" s="11">
        <v>0</v>
      </c>
      <c r="F287" s="13">
        <v>0</v>
      </c>
      <c r="G287" s="13">
        <v>0</v>
      </c>
      <c r="H287" s="14">
        <f t="shared" si="8"/>
        <v>6320.34</v>
      </c>
      <c r="I287" s="14">
        <f t="shared" si="9"/>
        <v>51413.78</v>
      </c>
      <c r="J287" s="598" t="s">
        <v>157</v>
      </c>
      <c r="K287" s="8" t="s">
        <v>512</v>
      </c>
    </row>
    <row r="288" spans="1:11" x14ac:dyDescent="0.2">
      <c r="A288" s="10">
        <v>62200000</v>
      </c>
      <c r="B288" s="10" t="s">
        <v>181</v>
      </c>
      <c r="C288" s="11">
        <v>8666.6690000000017</v>
      </c>
      <c r="D288" s="11">
        <v>0</v>
      </c>
      <c r="E288" s="11">
        <v>0</v>
      </c>
      <c r="F288" s="13">
        <v>866.66700000000003</v>
      </c>
      <c r="G288" s="13">
        <v>0</v>
      </c>
      <c r="H288" s="14">
        <f t="shared" si="8"/>
        <v>866.66700000000003</v>
      </c>
      <c r="I288" s="14">
        <f t="shared" si="9"/>
        <v>9533.3360000000011</v>
      </c>
      <c r="J288" s="598" t="s">
        <v>157</v>
      </c>
      <c r="K288" s="8" t="s">
        <v>512</v>
      </c>
    </row>
    <row r="289" spans="1:11" x14ac:dyDescent="0.2">
      <c r="A289" s="10">
        <v>62210000</v>
      </c>
      <c r="B289" s="10" t="s">
        <v>398</v>
      </c>
      <c r="C289" s="11">
        <v>2685.5039999999999</v>
      </c>
      <c r="D289" s="11">
        <v>0</v>
      </c>
      <c r="E289" s="11">
        <v>0</v>
      </c>
      <c r="F289" s="13">
        <v>0</v>
      </c>
      <c r="G289" s="13">
        <v>0</v>
      </c>
      <c r="H289" s="14">
        <f t="shared" si="8"/>
        <v>0</v>
      </c>
      <c r="I289" s="14">
        <f t="shared" si="9"/>
        <v>2685.5039999999999</v>
      </c>
      <c r="J289" s="598" t="s">
        <v>157</v>
      </c>
      <c r="K289" s="8" t="s">
        <v>512</v>
      </c>
    </row>
    <row r="290" spans="1:11" x14ac:dyDescent="0.2">
      <c r="A290" s="10">
        <v>62230000</v>
      </c>
      <c r="B290" s="10" t="s">
        <v>375</v>
      </c>
      <c r="C290" s="11">
        <v>30349.307000000001</v>
      </c>
      <c r="D290" s="11">
        <v>24589.422999999999</v>
      </c>
      <c r="E290" s="11">
        <v>0</v>
      </c>
      <c r="F290" s="13">
        <v>0</v>
      </c>
      <c r="G290" s="13">
        <v>0</v>
      </c>
      <c r="H290" s="14">
        <f t="shared" si="8"/>
        <v>24589.422999999999</v>
      </c>
      <c r="I290" s="14">
        <f t="shared" si="9"/>
        <v>54938.729999999996</v>
      </c>
      <c r="J290" s="598" t="s">
        <v>157</v>
      </c>
      <c r="K290" s="8" t="s">
        <v>512</v>
      </c>
    </row>
    <row r="291" spans="1:11" x14ac:dyDescent="0.2">
      <c r="A291" s="10">
        <v>62240000</v>
      </c>
      <c r="B291" s="10" t="s">
        <v>267</v>
      </c>
      <c r="C291" s="11">
        <v>27785.067200000005</v>
      </c>
      <c r="D291" s="11">
        <v>0</v>
      </c>
      <c r="E291" s="11">
        <v>0</v>
      </c>
      <c r="F291" s="13">
        <v>2865.5630000000001</v>
      </c>
      <c r="G291" s="13">
        <v>0</v>
      </c>
      <c r="H291" s="14">
        <f t="shared" si="8"/>
        <v>2865.5630000000001</v>
      </c>
      <c r="I291" s="14">
        <f t="shared" si="9"/>
        <v>30650.630200000007</v>
      </c>
      <c r="J291" s="598" t="s">
        <v>157</v>
      </c>
      <c r="K291" s="8" t="s">
        <v>512</v>
      </c>
    </row>
    <row r="292" spans="1:11" x14ac:dyDescent="0.2">
      <c r="A292" s="10">
        <v>62250000</v>
      </c>
      <c r="B292" s="10" t="s">
        <v>268</v>
      </c>
      <c r="C292" s="11">
        <v>45000</v>
      </c>
      <c r="D292" s="11">
        <v>0</v>
      </c>
      <c r="E292" s="11">
        <v>0</v>
      </c>
      <c r="F292" s="13">
        <v>5000</v>
      </c>
      <c r="G292" s="13">
        <v>0</v>
      </c>
      <c r="H292" s="14">
        <f t="shared" si="8"/>
        <v>5000</v>
      </c>
      <c r="I292" s="14">
        <f t="shared" si="9"/>
        <v>50000</v>
      </c>
      <c r="J292" s="598" t="s">
        <v>157</v>
      </c>
      <c r="K292" s="8" t="s">
        <v>512</v>
      </c>
    </row>
    <row r="293" spans="1:11" x14ac:dyDescent="0.2">
      <c r="A293" s="10">
        <v>62260000</v>
      </c>
      <c r="B293" s="10" t="s">
        <v>7402</v>
      </c>
      <c r="C293" s="11">
        <v>19797.352999999999</v>
      </c>
      <c r="D293" s="11">
        <v>0</v>
      </c>
      <c r="E293" s="11">
        <v>0</v>
      </c>
      <c r="F293" s="13">
        <v>0</v>
      </c>
      <c r="G293" s="13">
        <v>0</v>
      </c>
      <c r="H293" s="14">
        <f t="shared" si="8"/>
        <v>0</v>
      </c>
      <c r="I293" s="14">
        <f t="shared" si="9"/>
        <v>19797.352999999999</v>
      </c>
      <c r="J293" s="598" t="s">
        <v>157</v>
      </c>
      <c r="K293" s="8" t="s">
        <v>512</v>
      </c>
    </row>
    <row r="294" spans="1:11" x14ac:dyDescent="0.2">
      <c r="A294" s="10">
        <v>62270000</v>
      </c>
      <c r="B294" s="10" t="s">
        <v>399</v>
      </c>
      <c r="C294" s="11">
        <v>905.42100000000005</v>
      </c>
      <c r="D294" s="11">
        <v>41.43</v>
      </c>
      <c r="E294" s="11">
        <v>0</v>
      </c>
      <c r="F294" s="13">
        <v>0</v>
      </c>
      <c r="G294" s="13">
        <v>0</v>
      </c>
      <c r="H294" s="14">
        <f t="shared" si="8"/>
        <v>41.43</v>
      </c>
      <c r="I294" s="14">
        <f t="shared" si="9"/>
        <v>946.851</v>
      </c>
      <c r="J294" s="598" t="s">
        <v>157</v>
      </c>
      <c r="K294" s="8" t="s">
        <v>512</v>
      </c>
    </row>
    <row r="295" spans="1:11" x14ac:dyDescent="0.2">
      <c r="A295" s="10">
        <v>62300000</v>
      </c>
      <c r="B295" s="10" t="s">
        <v>182</v>
      </c>
      <c r="C295" s="11">
        <v>69778.899999999994</v>
      </c>
      <c r="D295" s="11">
        <v>0</v>
      </c>
      <c r="E295" s="11">
        <v>0</v>
      </c>
      <c r="F295" s="13">
        <v>7500</v>
      </c>
      <c r="G295" s="13">
        <v>0</v>
      </c>
      <c r="H295" s="14">
        <f t="shared" si="8"/>
        <v>7500</v>
      </c>
      <c r="I295" s="14">
        <f t="shared" si="9"/>
        <v>77278.899999999994</v>
      </c>
      <c r="J295" s="598" t="s">
        <v>157</v>
      </c>
      <c r="K295" s="8" t="s">
        <v>512</v>
      </c>
    </row>
    <row r="296" spans="1:11" x14ac:dyDescent="0.2">
      <c r="A296" s="10">
        <v>62301000</v>
      </c>
      <c r="B296" s="10" t="s">
        <v>7397</v>
      </c>
      <c r="C296" s="11">
        <v>31118.89</v>
      </c>
      <c r="D296" s="11">
        <v>1500</v>
      </c>
      <c r="E296" s="11">
        <v>0</v>
      </c>
      <c r="F296" s="13">
        <v>0</v>
      </c>
      <c r="G296" s="13">
        <v>0</v>
      </c>
      <c r="H296" s="14">
        <f t="shared" si="8"/>
        <v>1500</v>
      </c>
      <c r="I296" s="14">
        <f t="shared" si="9"/>
        <v>32618.89</v>
      </c>
      <c r="J296" s="598" t="s">
        <v>157</v>
      </c>
      <c r="K296" s="8" t="s">
        <v>512</v>
      </c>
    </row>
    <row r="297" spans="1:11" x14ac:dyDescent="0.2">
      <c r="A297" s="10">
        <v>62410000</v>
      </c>
      <c r="B297" s="10" t="s">
        <v>183</v>
      </c>
      <c r="C297" s="11">
        <v>6915</v>
      </c>
      <c r="D297" s="11">
        <v>870</v>
      </c>
      <c r="E297" s="11">
        <v>0</v>
      </c>
      <c r="F297" s="13">
        <v>0</v>
      </c>
      <c r="G297" s="13">
        <v>0</v>
      </c>
      <c r="H297" s="14">
        <f t="shared" si="8"/>
        <v>870</v>
      </c>
      <c r="I297" s="14">
        <f t="shared" si="9"/>
        <v>7785</v>
      </c>
      <c r="J297" s="598" t="s">
        <v>157</v>
      </c>
      <c r="K297" s="8" t="s">
        <v>512</v>
      </c>
    </row>
    <row r="298" spans="1:11" x14ac:dyDescent="0.2">
      <c r="A298" s="10">
        <v>62420000</v>
      </c>
      <c r="B298" s="10" t="s">
        <v>184</v>
      </c>
      <c r="C298" s="11">
        <v>8210</v>
      </c>
      <c r="D298" s="11">
        <v>2940</v>
      </c>
      <c r="E298" s="11">
        <v>0</v>
      </c>
      <c r="F298" s="13">
        <v>0</v>
      </c>
      <c r="G298" s="13">
        <v>420</v>
      </c>
      <c r="H298" s="14">
        <f t="shared" si="8"/>
        <v>2520</v>
      </c>
      <c r="I298" s="14">
        <f t="shared" si="9"/>
        <v>10730</v>
      </c>
      <c r="J298" s="598" t="s">
        <v>157</v>
      </c>
      <c r="K298" s="8" t="s">
        <v>512</v>
      </c>
    </row>
    <row r="299" spans="1:11" x14ac:dyDescent="0.2">
      <c r="A299" s="10">
        <v>62430000</v>
      </c>
      <c r="B299" s="10" t="s">
        <v>159</v>
      </c>
      <c r="C299" s="11">
        <v>460938.158</v>
      </c>
      <c r="D299" s="11">
        <v>94533.094000000012</v>
      </c>
      <c r="E299" s="11">
        <v>0</v>
      </c>
      <c r="F299" s="13">
        <v>0</v>
      </c>
      <c r="G299" s="13">
        <v>0</v>
      </c>
      <c r="H299" s="14">
        <f t="shared" si="8"/>
        <v>94533.094000000012</v>
      </c>
      <c r="I299" s="14">
        <f t="shared" si="9"/>
        <v>555471.25199999998</v>
      </c>
      <c r="J299" s="598" t="s">
        <v>157</v>
      </c>
      <c r="K299" s="8" t="s">
        <v>512</v>
      </c>
    </row>
    <row r="300" spans="1:11" x14ac:dyDescent="0.2">
      <c r="A300" s="10">
        <v>62500000</v>
      </c>
      <c r="B300" s="10" t="s">
        <v>185</v>
      </c>
      <c r="C300" s="11">
        <v>693.30000000000007</v>
      </c>
      <c r="D300" s="11">
        <v>163.9</v>
      </c>
      <c r="E300" s="11">
        <v>0</v>
      </c>
      <c r="F300" s="13">
        <v>0</v>
      </c>
      <c r="G300" s="13">
        <v>0</v>
      </c>
      <c r="H300" s="14">
        <f t="shared" si="8"/>
        <v>163.9</v>
      </c>
      <c r="I300" s="14">
        <f t="shared" si="9"/>
        <v>857.2</v>
      </c>
      <c r="J300" s="598" t="s">
        <v>157</v>
      </c>
      <c r="K300" s="8" t="s">
        <v>512</v>
      </c>
    </row>
    <row r="301" spans="1:11" x14ac:dyDescent="0.2">
      <c r="A301" s="10">
        <v>62510000</v>
      </c>
      <c r="B301" s="10" t="s">
        <v>7571</v>
      </c>
      <c r="C301" s="11">
        <v>5831</v>
      </c>
      <c r="D301" s="11">
        <v>0</v>
      </c>
      <c r="E301" s="11">
        <v>0</v>
      </c>
      <c r="F301" s="13">
        <v>0</v>
      </c>
      <c r="G301" s="13">
        <v>0</v>
      </c>
      <c r="H301" s="14">
        <f t="shared" si="8"/>
        <v>0</v>
      </c>
      <c r="I301" s="14">
        <f t="shared" si="9"/>
        <v>5831</v>
      </c>
      <c r="J301" s="598" t="s">
        <v>157</v>
      </c>
      <c r="K301" s="8" t="s">
        <v>512</v>
      </c>
    </row>
    <row r="302" spans="1:11" x14ac:dyDescent="0.2">
      <c r="A302" s="10">
        <v>62520000</v>
      </c>
      <c r="B302" s="10" t="s">
        <v>7403</v>
      </c>
      <c r="C302" s="11">
        <v>25120.35</v>
      </c>
      <c r="D302" s="11">
        <f>610+2220</f>
        <v>2830</v>
      </c>
      <c r="E302" s="11">
        <v>0</v>
      </c>
      <c r="F302" s="13">
        <v>0</v>
      </c>
      <c r="G302" s="13">
        <v>0</v>
      </c>
      <c r="H302" s="14">
        <f t="shared" si="8"/>
        <v>2830</v>
      </c>
      <c r="I302" s="14">
        <f t="shared" si="9"/>
        <v>27950.35</v>
      </c>
      <c r="J302" s="598" t="s">
        <v>157</v>
      </c>
      <c r="K302" s="8" t="s">
        <v>512</v>
      </c>
    </row>
    <row r="303" spans="1:11" x14ac:dyDescent="0.2">
      <c r="A303" s="10">
        <v>62570000</v>
      </c>
      <c r="B303" s="10" t="s">
        <v>186</v>
      </c>
      <c r="C303" s="11">
        <v>22423.7</v>
      </c>
      <c r="D303" s="11">
        <v>0</v>
      </c>
      <c r="E303" s="11">
        <v>0</v>
      </c>
      <c r="F303" s="13">
        <v>0</v>
      </c>
      <c r="G303" s="13">
        <v>0</v>
      </c>
      <c r="H303" s="14">
        <f t="shared" si="8"/>
        <v>0</v>
      </c>
      <c r="I303" s="14">
        <f t="shared" si="9"/>
        <v>22423.7</v>
      </c>
      <c r="J303" s="598" t="s">
        <v>157</v>
      </c>
      <c r="K303" s="8" t="s">
        <v>512</v>
      </c>
    </row>
    <row r="304" spans="1:11" x14ac:dyDescent="0.2">
      <c r="A304" s="10">
        <v>62571000</v>
      </c>
      <c r="B304" s="10" t="s">
        <v>376</v>
      </c>
      <c r="C304" s="11">
        <v>13764.852999999999</v>
      </c>
      <c r="D304" s="11">
        <v>4640.9650000000001</v>
      </c>
      <c r="E304" s="11">
        <v>0</v>
      </c>
      <c r="F304" s="13">
        <v>0</v>
      </c>
      <c r="G304" s="13">
        <v>0</v>
      </c>
      <c r="H304" s="14">
        <f t="shared" si="8"/>
        <v>4640.9650000000001</v>
      </c>
      <c r="I304" s="14">
        <f t="shared" si="9"/>
        <v>18405.817999999999</v>
      </c>
      <c r="J304" s="598" t="s">
        <v>157</v>
      </c>
      <c r="K304" s="8" t="s">
        <v>512</v>
      </c>
    </row>
    <row r="305" spans="1:11" x14ac:dyDescent="0.2">
      <c r="A305" s="10">
        <v>62572000</v>
      </c>
      <c r="B305" s="10" t="s">
        <v>377</v>
      </c>
      <c r="C305" s="11">
        <v>10948.099999999999</v>
      </c>
      <c r="D305" s="11">
        <v>3716</v>
      </c>
      <c r="E305" s="11">
        <v>0</v>
      </c>
      <c r="F305" s="13">
        <v>0</v>
      </c>
      <c r="G305" s="13">
        <v>0</v>
      </c>
      <c r="H305" s="14">
        <f t="shared" si="8"/>
        <v>3716</v>
      </c>
      <c r="I305" s="14">
        <f t="shared" si="9"/>
        <v>14664.099999999999</v>
      </c>
      <c r="J305" s="598" t="s">
        <v>157</v>
      </c>
      <c r="K305" s="8" t="s">
        <v>512</v>
      </c>
    </row>
    <row r="306" spans="1:11" x14ac:dyDescent="0.2">
      <c r="A306" s="10">
        <v>62573000</v>
      </c>
      <c r="B306" s="10" t="s">
        <v>378</v>
      </c>
      <c r="C306" s="11">
        <v>2759.2159999999999</v>
      </c>
      <c r="D306" s="11">
        <v>0</v>
      </c>
      <c r="E306" s="11">
        <v>0</v>
      </c>
      <c r="F306" s="13">
        <v>771.428</v>
      </c>
      <c r="G306" s="13">
        <v>0</v>
      </c>
      <c r="H306" s="14">
        <f t="shared" si="8"/>
        <v>771.428</v>
      </c>
      <c r="I306" s="14">
        <f t="shared" si="9"/>
        <v>3530.6439999999998</v>
      </c>
      <c r="J306" s="598" t="s">
        <v>157</v>
      </c>
      <c r="K306" s="8" t="s">
        <v>512</v>
      </c>
    </row>
    <row r="307" spans="1:11" x14ac:dyDescent="0.2">
      <c r="A307" s="10">
        <v>62580000</v>
      </c>
      <c r="B307" s="10" t="s">
        <v>187</v>
      </c>
      <c r="C307" s="11">
        <v>14394.25</v>
      </c>
      <c r="D307" s="11">
        <v>16.75</v>
      </c>
      <c r="E307" s="11">
        <v>0</v>
      </c>
      <c r="F307" s="13">
        <v>0</v>
      </c>
      <c r="G307" s="13">
        <v>0</v>
      </c>
      <c r="H307" s="14">
        <f t="shared" si="8"/>
        <v>16.75</v>
      </c>
      <c r="I307" s="14">
        <f t="shared" si="9"/>
        <v>14411</v>
      </c>
      <c r="J307" s="598" t="s">
        <v>157</v>
      </c>
      <c r="K307" s="8" t="s">
        <v>512</v>
      </c>
    </row>
    <row r="308" spans="1:11" x14ac:dyDescent="0.2">
      <c r="A308" s="10">
        <v>62600000</v>
      </c>
      <c r="B308" s="10" t="s">
        <v>188</v>
      </c>
      <c r="C308" s="11">
        <v>27085.624999999993</v>
      </c>
      <c r="D308" s="11">
        <v>9604.4709999999995</v>
      </c>
      <c r="E308" s="11">
        <v>0</v>
      </c>
      <c r="F308" s="13">
        <v>0</v>
      </c>
      <c r="G308" s="13">
        <v>4376</v>
      </c>
      <c r="H308" s="14">
        <f t="shared" si="8"/>
        <v>5228.4709999999995</v>
      </c>
      <c r="I308" s="14">
        <f t="shared" si="9"/>
        <v>32314.09599999999</v>
      </c>
      <c r="J308" s="598" t="s">
        <v>157</v>
      </c>
      <c r="K308" s="8" t="s">
        <v>512</v>
      </c>
    </row>
    <row r="309" spans="1:11" x14ac:dyDescent="0.2">
      <c r="A309" s="10">
        <v>62780000</v>
      </c>
      <c r="B309" s="10" t="s">
        <v>189</v>
      </c>
      <c r="C309" s="11">
        <v>130030.04800000002</v>
      </c>
      <c r="D309" s="11">
        <f>8279.393+129.774+28.035</f>
        <v>8437.2019999999993</v>
      </c>
      <c r="E309" s="11">
        <v>1E-3</v>
      </c>
      <c r="F309" s="13">
        <v>7619.451</v>
      </c>
      <c r="G309" s="13">
        <v>0</v>
      </c>
      <c r="H309" s="14">
        <f t="shared" si="8"/>
        <v>16056.651999999998</v>
      </c>
      <c r="I309" s="14">
        <f t="shared" si="9"/>
        <v>146086.70000000001</v>
      </c>
      <c r="J309" s="598" t="s">
        <v>195</v>
      </c>
      <c r="K309" s="8" t="s">
        <v>517</v>
      </c>
    </row>
    <row r="310" spans="1:11" x14ac:dyDescent="0.2">
      <c r="A310" s="10">
        <v>63300000</v>
      </c>
      <c r="B310" s="10" t="s">
        <v>269</v>
      </c>
      <c r="C310" s="11">
        <v>93749.993999999992</v>
      </c>
      <c r="D310" s="11">
        <v>0</v>
      </c>
      <c r="E310" s="11">
        <v>0</v>
      </c>
      <c r="F310" s="13">
        <v>10416.665999999999</v>
      </c>
      <c r="G310" s="13">
        <v>0</v>
      </c>
      <c r="H310" s="14">
        <f t="shared" si="8"/>
        <v>10416.665999999999</v>
      </c>
      <c r="I310" s="14">
        <f t="shared" si="9"/>
        <v>104166.65999999999</v>
      </c>
      <c r="J310" s="598" t="s">
        <v>157</v>
      </c>
      <c r="K310" s="8" t="s">
        <v>512</v>
      </c>
    </row>
    <row r="311" spans="1:11" x14ac:dyDescent="0.2">
      <c r="A311" s="10">
        <v>63602000</v>
      </c>
      <c r="B311" s="10" t="s">
        <v>7573</v>
      </c>
      <c r="C311" s="11">
        <v>266462.99699999997</v>
      </c>
      <c r="D311" s="11">
        <v>0</v>
      </c>
      <c r="E311" s="11">
        <v>0</v>
      </c>
      <c r="F311" s="13">
        <v>266462.95699999999</v>
      </c>
      <c r="G311" s="13">
        <v>266462.95699999999</v>
      </c>
      <c r="H311" s="14">
        <f t="shared" si="8"/>
        <v>0</v>
      </c>
      <c r="I311" s="14">
        <f t="shared" si="9"/>
        <v>266462.99699999997</v>
      </c>
      <c r="J311" s="598" t="s">
        <v>157</v>
      </c>
      <c r="K311" s="8" t="s">
        <v>512</v>
      </c>
    </row>
    <row r="312" spans="1:11" x14ac:dyDescent="0.2">
      <c r="A312" s="10">
        <v>63610000</v>
      </c>
      <c r="B312" s="10" t="s">
        <v>7398</v>
      </c>
      <c r="C312" s="11">
        <v>2582.0889999999999</v>
      </c>
      <c r="D312" s="11">
        <v>1360</v>
      </c>
      <c r="E312" s="11">
        <v>0</v>
      </c>
      <c r="F312" s="13">
        <v>0</v>
      </c>
      <c r="G312" s="13">
        <v>0</v>
      </c>
      <c r="H312" s="14">
        <f t="shared" si="8"/>
        <v>1360</v>
      </c>
      <c r="I312" s="14">
        <f t="shared" si="9"/>
        <v>3942.0889999999999</v>
      </c>
      <c r="J312" s="598" t="s">
        <v>190</v>
      </c>
      <c r="K312" s="8" t="s">
        <v>519</v>
      </c>
    </row>
    <row r="313" spans="1:11" x14ac:dyDescent="0.2">
      <c r="A313" s="10">
        <v>64001000</v>
      </c>
      <c r="B313" s="10" t="s">
        <v>191</v>
      </c>
      <c r="C313" s="11">
        <v>3355925.55</v>
      </c>
      <c r="D313" s="11">
        <v>346851.61900000001</v>
      </c>
      <c r="E313" s="11">
        <v>0</v>
      </c>
      <c r="F313" s="13">
        <v>50606.930999999997</v>
      </c>
      <c r="G313" s="13">
        <v>0</v>
      </c>
      <c r="H313" s="14">
        <f t="shared" si="8"/>
        <v>397458.55</v>
      </c>
      <c r="I313" s="14">
        <f t="shared" si="9"/>
        <v>3753384.0999999996</v>
      </c>
      <c r="J313" s="598" t="s">
        <v>192</v>
      </c>
      <c r="K313" s="8" t="s">
        <v>511</v>
      </c>
    </row>
    <row r="314" spans="1:11" x14ac:dyDescent="0.2">
      <c r="A314" s="10">
        <v>64280000</v>
      </c>
      <c r="B314" s="10" t="s">
        <v>193</v>
      </c>
      <c r="C314" s="11">
        <v>3000</v>
      </c>
      <c r="D314" s="11">
        <v>6480</v>
      </c>
      <c r="E314" s="11">
        <v>0</v>
      </c>
      <c r="F314" s="13">
        <v>0</v>
      </c>
      <c r="G314" s="13">
        <v>0</v>
      </c>
      <c r="H314" s="14">
        <f t="shared" si="8"/>
        <v>6480</v>
      </c>
      <c r="I314" s="14">
        <f t="shared" si="9"/>
        <v>9480</v>
      </c>
      <c r="J314" s="598" t="s">
        <v>192</v>
      </c>
      <c r="K314" s="8" t="s">
        <v>511</v>
      </c>
    </row>
    <row r="315" spans="1:11" x14ac:dyDescent="0.2">
      <c r="A315" s="10">
        <v>64600100</v>
      </c>
      <c r="B315" s="10" t="s">
        <v>407</v>
      </c>
      <c r="C315" s="11">
        <v>24186.33500000005</v>
      </c>
      <c r="D315" s="11">
        <v>227303.69399999999</v>
      </c>
      <c r="E315" s="11">
        <v>214590.37700000001</v>
      </c>
      <c r="F315" s="13">
        <v>0</v>
      </c>
      <c r="G315" s="13">
        <v>0</v>
      </c>
      <c r="H315" s="14">
        <f t="shared" si="8"/>
        <v>12713.316999999981</v>
      </c>
      <c r="I315" s="14">
        <f t="shared" si="9"/>
        <v>36899.652000000031</v>
      </c>
      <c r="J315" s="598" t="s">
        <v>192</v>
      </c>
      <c r="K315" s="8" t="s">
        <v>511</v>
      </c>
    </row>
    <row r="316" spans="1:11" x14ac:dyDescent="0.2">
      <c r="A316" s="10">
        <v>64603000</v>
      </c>
      <c r="B316" s="10" t="s">
        <v>7404</v>
      </c>
      <c r="C316" s="11">
        <v>8109</v>
      </c>
      <c r="D316" s="11">
        <v>0</v>
      </c>
      <c r="E316" s="11">
        <v>0</v>
      </c>
      <c r="F316" s="13">
        <v>0</v>
      </c>
      <c r="G316" s="13">
        <v>0</v>
      </c>
      <c r="H316" s="14">
        <f t="shared" si="8"/>
        <v>0</v>
      </c>
      <c r="I316" s="14">
        <f t="shared" si="9"/>
        <v>8109</v>
      </c>
      <c r="J316" s="598" t="s">
        <v>192</v>
      </c>
      <c r="K316" s="8" t="s">
        <v>511</v>
      </c>
    </row>
    <row r="317" spans="1:11" x14ac:dyDescent="0.2">
      <c r="A317" s="10">
        <v>64720000</v>
      </c>
      <c r="B317" s="10" t="s">
        <v>194</v>
      </c>
      <c r="C317" s="11">
        <v>268106.14900000003</v>
      </c>
      <c r="D317" s="11">
        <v>83955.525999999998</v>
      </c>
      <c r="E317" s="11">
        <v>0</v>
      </c>
      <c r="F317" s="13">
        <v>27985.174999999999</v>
      </c>
      <c r="G317" s="13">
        <v>86362.479000000007</v>
      </c>
      <c r="H317" s="14">
        <f t="shared" si="8"/>
        <v>25578.221999999994</v>
      </c>
      <c r="I317" s="14">
        <f t="shared" si="9"/>
        <v>293684.37100000004</v>
      </c>
      <c r="J317" s="598" t="s">
        <v>192</v>
      </c>
      <c r="K317" s="8" t="s">
        <v>511</v>
      </c>
    </row>
    <row r="318" spans="1:11" x14ac:dyDescent="0.2">
      <c r="A318" s="10">
        <v>65110000</v>
      </c>
      <c r="B318" s="10" t="s">
        <v>385</v>
      </c>
      <c r="C318" s="11">
        <v>150038.48210000002</v>
      </c>
      <c r="D318" s="11">
        <f>32743.056+8559.1</f>
        <v>41302.156000000003</v>
      </c>
      <c r="E318" s="11">
        <v>0</v>
      </c>
      <c r="F318" s="13">
        <v>0</v>
      </c>
      <c r="G318" s="13">
        <v>7911.3690999999999</v>
      </c>
      <c r="H318" s="14">
        <f t="shared" si="8"/>
        <v>33390.786900000006</v>
      </c>
      <c r="I318" s="14">
        <f t="shared" si="9"/>
        <v>183429.26900000003</v>
      </c>
      <c r="J318" s="598" t="s">
        <v>195</v>
      </c>
      <c r="K318" s="8" t="s">
        <v>517</v>
      </c>
    </row>
    <row r="319" spans="1:11" x14ac:dyDescent="0.2">
      <c r="A319" s="10">
        <v>65110200</v>
      </c>
      <c r="B319" s="10" t="s">
        <v>196</v>
      </c>
      <c r="C319" s="11">
        <v>299476.34899999999</v>
      </c>
      <c r="D319" s="11">
        <v>0</v>
      </c>
      <c r="E319" s="11">
        <v>0</v>
      </c>
      <c r="F319" s="13">
        <v>34321.428999999996</v>
      </c>
      <c r="G319" s="13">
        <v>0</v>
      </c>
      <c r="H319" s="14">
        <f t="shared" si="8"/>
        <v>34321.428999999996</v>
      </c>
      <c r="I319" s="14">
        <f t="shared" si="9"/>
        <v>333797.77799999999</v>
      </c>
      <c r="J319" s="598" t="s">
        <v>195</v>
      </c>
      <c r="K319" s="8" t="s">
        <v>517</v>
      </c>
    </row>
    <row r="320" spans="1:11" x14ac:dyDescent="0.2">
      <c r="A320" s="10">
        <v>65110400</v>
      </c>
      <c r="B320" s="10" t="s">
        <v>197</v>
      </c>
      <c r="C320" s="11">
        <v>460295.36750000005</v>
      </c>
      <c r="D320" s="11">
        <v>0</v>
      </c>
      <c r="E320" s="11">
        <v>0</v>
      </c>
      <c r="F320" s="13">
        <v>52802.197999999997</v>
      </c>
      <c r="G320" s="13">
        <v>0</v>
      </c>
      <c r="H320" s="14">
        <f t="shared" si="8"/>
        <v>52802.197999999997</v>
      </c>
      <c r="I320" s="14">
        <f t="shared" si="9"/>
        <v>513097.56550000003</v>
      </c>
      <c r="J320" s="598" t="s">
        <v>195</v>
      </c>
      <c r="K320" s="8" t="s">
        <v>517</v>
      </c>
    </row>
    <row r="321" spans="1:11" x14ac:dyDescent="0.2">
      <c r="A321" s="10">
        <v>65115000</v>
      </c>
      <c r="B321" s="10" t="s">
        <v>379</v>
      </c>
      <c r="C321" s="11">
        <v>31749.421000000002</v>
      </c>
      <c r="D321" s="11">
        <v>2968.547</v>
      </c>
      <c r="E321" s="11">
        <v>0</v>
      </c>
      <c r="F321" s="13">
        <v>0</v>
      </c>
      <c r="G321" s="13">
        <v>0</v>
      </c>
      <c r="H321" s="14">
        <f t="shared" si="8"/>
        <v>2968.547</v>
      </c>
      <c r="I321" s="14">
        <f t="shared" si="9"/>
        <v>34717.968000000001</v>
      </c>
      <c r="J321" s="598" t="s">
        <v>195</v>
      </c>
      <c r="K321" s="8" t="s">
        <v>517</v>
      </c>
    </row>
    <row r="322" spans="1:11" x14ac:dyDescent="0.2">
      <c r="A322" s="10">
        <v>65150000</v>
      </c>
      <c r="B322" s="10" t="s">
        <v>270</v>
      </c>
      <c r="C322" s="11">
        <v>120637.81</v>
      </c>
      <c r="D322" s="11">
        <v>0</v>
      </c>
      <c r="E322" s="11">
        <v>0</v>
      </c>
      <c r="F322" s="13">
        <v>14064.657999999999</v>
      </c>
      <c r="G322" s="13">
        <v>0</v>
      </c>
      <c r="H322" s="14">
        <f t="shared" si="8"/>
        <v>14064.657999999999</v>
      </c>
      <c r="I322" s="14">
        <f t="shared" si="9"/>
        <v>134702.46799999999</v>
      </c>
      <c r="J322" s="598" t="s">
        <v>195</v>
      </c>
      <c r="K322" s="8" t="s">
        <v>517</v>
      </c>
    </row>
    <row r="323" spans="1:11" x14ac:dyDescent="0.2">
      <c r="A323" s="10">
        <v>65160000</v>
      </c>
      <c r="B323" s="10" t="s">
        <v>9649</v>
      </c>
      <c r="C323" s="11">
        <v>0</v>
      </c>
      <c r="D323" s="11">
        <v>0</v>
      </c>
      <c r="E323" s="11">
        <v>0</v>
      </c>
      <c r="F323" s="13">
        <v>0</v>
      </c>
      <c r="G323" s="13">
        <v>0</v>
      </c>
      <c r="H323" s="14">
        <f t="shared" ref="H323:H345" si="10">+D323+F323-E323-G323</f>
        <v>0</v>
      </c>
      <c r="I323" s="14">
        <f t="shared" ref="I323:I345" si="11">+H323+C323</f>
        <v>0</v>
      </c>
      <c r="J323" s="598" t="s">
        <v>195</v>
      </c>
      <c r="K323" s="8" t="s">
        <v>517</v>
      </c>
    </row>
    <row r="324" spans="1:11" x14ac:dyDescent="0.2">
      <c r="A324" s="10">
        <v>65190000</v>
      </c>
      <c r="B324" s="10" t="s">
        <v>198</v>
      </c>
      <c r="C324" s="11">
        <v>279447.05929999996</v>
      </c>
      <c r="D324" s="11">
        <v>0</v>
      </c>
      <c r="E324" s="11">
        <v>0</v>
      </c>
      <c r="F324" s="13">
        <v>32175.828000000001</v>
      </c>
      <c r="G324" s="13">
        <v>0</v>
      </c>
      <c r="H324" s="14">
        <f t="shared" si="10"/>
        <v>32175.828000000001</v>
      </c>
      <c r="I324" s="14">
        <f t="shared" si="11"/>
        <v>311622.88729999994</v>
      </c>
      <c r="J324" s="598" t="s">
        <v>195</v>
      </c>
      <c r="K324" s="8" t="s">
        <v>517</v>
      </c>
    </row>
    <row r="325" spans="1:11" x14ac:dyDescent="0.2">
      <c r="A325" s="10">
        <v>65500000</v>
      </c>
      <c r="B325" s="10" t="s">
        <v>400</v>
      </c>
      <c r="C325" s="11">
        <v>-11947.63934400001</v>
      </c>
      <c r="D325" s="11">
        <v>4191.857</v>
      </c>
      <c r="E325" s="11">
        <v>0</v>
      </c>
      <c r="F325" s="13">
        <v>0</v>
      </c>
      <c r="G325" s="13">
        <v>0</v>
      </c>
      <c r="H325" s="14">
        <f t="shared" si="10"/>
        <v>4191.857</v>
      </c>
      <c r="I325" s="14">
        <f t="shared" si="11"/>
        <v>-7755.7823440000102</v>
      </c>
      <c r="J325" s="598" t="s">
        <v>195</v>
      </c>
      <c r="K325" s="8" t="s">
        <v>517</v>
      </c>
    </row>
    <row r="326" spans="1:11" x14ac:dyDescent="0.2">
      <c r="A326" s="10">
        <v>66500000</v>
      </c>
      <c r="B326" s="10" t="s">
        <v>8974</v>
      </c>
      <c r="C326" s="11">
        <v>-496.64600000000002</v>
      </c>
      <c r="D326" s="11">
        <v>0</v>
      </c>
      <c r="E326" s="11">
        <v>0</v>
      </c>
      <c r="F326" s="13">
        <v>0</v>
      </c>
      <c r="G326" s="13">
        <v>0</v>
      </c>
      <c r="H326" s="14">
        <f t="shared" si="10"/>
        <v>0</v>
      </c>
      <c r="I326" s="14">
        <f t="shared" si="11"/>
        <v>-496.64600000000002</v>
      </c>
      <c r="J326" s="598" t="s">
        <v>157</v>
      </c>
      <c r="K326" s="8" t="s">
        <v>512</v>
      </c>
    </row>
    <row r="327" spans="1:11" x14ac:dyDescent="0.2">
      <c r="A327" s="10">
        <v>66520000</v>
      </c>
      <c r="B327" s="10" t="s">
        <v>200</v>
      </c>
      <c r="C327" s="11">
        <v>73791.072999999989</v>
      </c>
      <c r="D327" s="11">
        <v>11678.343999999999</v>
      </c>
      <c r="E327" s="11">
        <v>0</v>
      </c>
      <c r="F327" s="13">
        <v>12256.616</v>
      </c>
      <c r="G327" s="13">
        <v>11678.343999999999</v>
      </c>
      <c r="H327" s="14">
        <f t="shared" si="10"/>
        <v>12256.616</v>
      </c>
      <c r="I327" s="14">
        <f t="shared" si="11"/>
        <v>86047.688999999984</v>
      </c>
      <c r="J327" s="598" t="s">
        <v>157</v>
      </c>
      <c r="K327" s="8" t="s">
        <v>512</v>
      </c>
    </row>
    <row r="328" spans="1:11" x14ac:dyDescent="0.2">
      <c r="A328" s="10">
        <v>66540000</v>
      </c>
      <c r="B328" s="10" t="s">
        <v>201</v>
      </c>
      <c r="C328" s="11">
        <v>6989.6850000000004</v>
      </c>
      <c r="D328" s="11">
        <v>2339.451</v>
      </c>
      <c r="E328" s="11">
        <v>0</v>
      </c>
      <c r="F328" s="13">
        <v>0</v>
      </c>
      <c r="G328" s="13">
        <v>0</v>
      </c>
      <c r="H328" s="14">
        <f t="shared" si="10"/>
        <v>2339.451</v>
      </c>
      <c r="I328" s="14">
        <f t="shared" si="11"/>
        <v>9329.1360000000004</v>
      </c>
      <c r="J328" s="598" t="s">
        <v>157</v>
      </c>
      <c r="K328" s="8" t="s">
        <v>512</v>
      </c>
    </row>
    <row r="329" spans="1:11" x14ac:dyDescent="0.2">
      <c r="A329" s="10">
        <v>66550000</v>
      </c>
      <c r="B329" s="10" t="s">
        <v>202</v>
      </c>
      <c r="C329" s="11">
        <v>9147.9269999999997</v>
      </c>
      <c r="D329" s="11">
        <v>1260.3340000000001</v>
      </c>
      <c r="E329" s="11">
        <v>0</v>
      </c>
      <c r="F329" s="13">
        <v>900</v>
      </c>
      <c r="G329" s="13">
        <v>0</v>
      </c>
      <c r="H329" s="14">
        <f t="shared" si="10"/>
        <v>2160.3339999999998</v>
      </c>
      <c r="I329" s="14">
        <f t="shared" si="11"/>
        <v>11308.260999999999</v>
      </c>
      <c r="J329" s="598" t="s">
        <v>157</v>
      </c>
      <c r="K329" s="8" t="s">
        <v>512</v>
      </c>
    </row>
    <row r="330" spans="1:11" x14ac:dyDescent="0.2">
      <c r="A330" s="10">
        <v>68112000</v>
      </c>
      <c r="B330" s="10" t="s">
        <v>271</v>
      </c>
      <c r="C330" s="11">
        <v>1830914.1169999999</v>
      </c>
      <c r="D330" s="11">
        <v>0</v>
      </c>
      <c r="E330" s="11">
        <v>0</v>
      </c>
      <c r="F330" s="13">
        <v>219368.83600000001</v>
      </c>
      <c r="G330" s="13">
        <v>0</v>
      </c>
      <c r="H330" s="14">
        <f t="shared" si="10"/>
        <v>219368.83600000001</v>
      </c>
      <c r="I330" s="14">
        <f t="shared" si="11"/>
        <v>2050282.9529999997</v>
      </c>
      <c r="J330" s="598" t="s">
        <v>203</v>
      </c>
      <c r="K330" s="8" t="s">
        <v>7578</v>
      </c>
    </row>
    <row r="331" spans="1:11" x14ac:dyDescent="0.2">
      <c r="A331" s="10">
        <v>70000000</v>
      </c>
      <c r="B331" s="10" t="s">
        <v>205</v>
      </c>
      <c r="C331" s="11">
        <v>-23734051.143999998</v>
      </c>
      <c r="D331" s="11">
        <v>85177.826000000001</v>
      </c>
      <c r="E331" s="11">
        <f>3703555.496+65244</f>
        <v>3768799.4959999998</v>
      </c>
      <c r="F331" s="13">
        <v>0</v>
      </c>
      <c r="G331" s="13">
        <v>0</v>
      </c>
      <c r="H331" s="14">
        <f t="shared" si="10"/>
        <v>-3683621.67</v>
      </c>
      <c r="I331" s="14">
        <f t="shared" si="11"/>
        <v>-27417672.813999996</v>
      </c>
      <c r="J331" s="598" t="s">
        <v>206</v>
      </c>
      <c r="K331" s="8" t="s">
        <v>505</v>
      </c>
    </row>
    <row r="332" spans="1:11" x14ac:dyDescent="0.2">
      <c r="A332" s="10">
        <v>70102000</v>
      </c>
      <c r="B332" s="10" t="s">
        <v>207</v>
      </c>
      <c r="C332" s="11">
        <v>-12418467.27688</v>
      </c>
      <c r="D332" s="11">
        <v>0</v>
      </c>
      <c r="E332" s="11">
        <v>0</v>
      </c>
      <c r="F332" s="13">
        <v>162057.986</v>
      </c>
      <c r="G332" s="13">
        <v>3119567.0639999998</v>
      </c>
      <c r="H332" s="14">
        <f t="shared" si="10"/>
        <v>-2957509.0779999997</v>
      </c>
      <c r="I332" s="14">
        <f t="shared" si="11"/>
        <v>-15375976.35488</v>
      </c>
      <c r="J332" s="598" t="s">
        <v>227</v>
      </c>
      <c r="K332" s="8" t="s">
        <v>504</v>
      </c>
    </row>
    <row r="333" spans="1:11" x14ac:dyDescent="0.2">
      <c r="A333" s="10">
        <v>70103000</v>
      </c>
      <c r="B333" s="10" t="s">
        <v>380</v>
      </c>
      <c r="C333" s="11">
        <v>-59930</v>
      </c>
      <c r="D333" s="11">
        <v>0</v>
      </c>
      <c r="E333" s="11">
        <v>750</v>
      </c>
      <c r="F333" s="13">
        <v>0</v>
      </c>
      <c r="G333" s="13">
        <v>0</v>
      </c>
      <c r="H333" s="14">
        <f t="shared" si="10"/>
        <v>-750</v>
      </c>
      <c r="I333" s="14">
        <f t="shared" si="11"/>
        <v>-60680</v>
      </c>
      <c r="J333" s="598" t="s">
        <v>206</v>
      </c>
      <c r="K333" s="8" t="s">
        <v>505</v>
      </c>
    </row>
    <row r="334" spans="1:11" x14ac:dyDescent="0.2">
      <c r="A334" s="10">
        <v>70600000</v>
      </c>
      <c r="B334" s="10" t="s">
        <v>381</v>
      </c>
      <c r="C334" s="11">
        <v>-140625.38</v>
      </c>
      <c r="D334" s="11">
        <v>0</v>
      </c>
      <c r="E334" s="11">
        <v>0</v>
      </c>
      <c r="F334" s="13">
        <v>0</v>
      </c>
      <c r="G334" s="13">
        <v>0</v>
      </c>
      <c r="H334" s="14">
        <f t="shared" si="10"/>
        <v>0</v>
      </c>
      <c r="I334" s="14">
        <f t="shared" si="11"/>
        <v>-140625.38</v>
      </c>
      <c r="J334" s="598" t="s">
        <v>206</v>
      </c>
      <c r="K334" s="8" t="s">
        <v>506</v>
      </c>
    </row>
    <row r="335" spans="1:11" x14ac:dyDescent="0.2">
      <c r="A335" s="10">
        <v>70600500</v>
      </c>
      <c r="B335" s="10" t="s">
        <v>208</v>
      </c>
      <c r="C335" s="11">
        <v>-29043.159000000003</v>
      </c>
      <c r="D335" s="11">
        <v>0</v>
      </c>
      <c r="E335" s="11">
        <v>0</v>
      </c>
      <c r="F335" s="13">
        <v>0</v>
      </c>
      <c r="G335" s="13">
        <v>3242.453</v>
      </c>
      <c r="H335" s="14">
        <f t="shared" si="10"/>
        <v>-3242.453</v>
      </c>
      <c r="I335" s="14">
        <f t="shared" si="11"/>
        <v>-32285.612000000005</v>
      </c>
      <c r="J335" s="598" t="s">
        <v>214</v>
      </c>
      <c r="K335" s="8" t="s">
        <v>506</v>
      </c>
    </row>
    <row r="336" spans="1:11" x14ac:dyDescent="0.2">
      <c r="A336" s="10">
        <v>71340000</v>
      </c>
      <c r="B336" s="10" t="s">
        <v>382</v>
      </c>
      <c r="C336" s="11">
        <v>0</v>
      </c>
      <c r="D336" s="11">
        <v>0</v>
      </c>
      <c r="E336" s="11">
        <v>0</v>
      </c>
      <c r="F336" s="13">
        <v>0</v>
      </c>
      <c r="G336" s="13">
        <v>0</v>
      </c>
      <c r="H336" s="14">
        <f t="shared" si="10"/>
        <v>0</v>
      </c>
      <c r="I336" s="14">
        <f t="shared" si="11"/>
        <v>0</v>
      </c>
      <c r="J336" s="598" t="s">
        <v>210</v>
      </c>
      <c r="K336" s="8" t="s">
        <v>508</v>
      </c>
    </row>
    <row r="337" spans="1:11" x14ac:dyDescent="0.2">
      <c r="A337" s="10">
        <v>71350000</v>
      </c>
      <c r="B337" s="10" t="s">
        <v>209</v>
      </c>
      <c r="C337" s="11">
        <v>-655675.04699999932</v>
      </c>
      <c r="D337" s="11">
        <v>0</v>
      </c>
      <c r="E337" s="11">
        <v>0</v>
      </c>
      <c r="F337" s="13">
        <v>5648176.9610000001</v>
      </c>
      <c r="G337" s="13">
        <v>5696997.1809999999</v>
      </c>
      <c r="H337" s="14">
        <f t="shared" si="10"/>
        <v>-48820.219999999739</v>
      </c>
      <c r="I337" s="14">
        <f t="shared" si="11"/>
        <v>-704495.26699999906</v>
      </c>
      <c r="J337" s="598" t="s">
        <v>210</v>
      </c>
      <c r="K337" s="8" t="s">
        <v>508</v>
      </c>
    </row>
    <row r="338" spans="1:11" x14ac:dyDescent="0.2">
      <c r="A338" s="10">
        <v>73601000</v>
      </c>
      <c r="B338" s="10" t="s">
        <v>211</v>
      </c>
      <c r="C338" s="11">
        <v>-42</v>
      </c>
      <c r="D338" s="11">
        <v>0</v>
      </c>
      <c r="E338" s="11">
        <v>0</v>
      </c>
      <c r="F338" s="13">
        <v>0</v>
      </c>
      <c r="G338" s="13">
        <v>0</v>
      </c>
      <c r="H338" s="14">
        <f t="shared" si="10"/>
        <v>0</v>
      </c>
      <c r="I338" s="14">
        <f t="shared" si="11"/>
        <v>-42</v>
      </c>
      <c r="J338" s="598" t="s">
        <v>214</v>
      </c>
      <c r="K338" s="8" t="s">
        <v>506</v>
      </c>
    </row>
    <row r="339" spans="1:11" x14ac:dyDescent="0.2">
      <c r="A339" s="10">
        <v>73602000</v>
      </c>
      <c r="B339" s="10" t="s">
        <v>8975</v>
      </c>
      <c r="C339" s="11">
        <v>-7.3159999999999998</v>
      </c>
      <c r="D339" s="11">
        <v>0</v>
      </c>
      <c r="E339" s="11">
        <v>38442.046000000002</v>
      </c>
      <c r="F339" s="13">
        <v>0</v>
      </c>
      <c r="G339" s="13">
        <v>0</v>
      </c>
      <c r="H339" s="14">
        <f t="shared" si="10"/>
        <v>-38442.046000000002</v>
      </c>
      <c r="I339" s="14">
        <f t="shared" si="11"/>
        <v>-38449.362000000001</v>
      </c>
      <c r="J339" s="598" t="s">
        <v>214</v>
      </c>
      <c r="K339" s="8" t="s">
        <v>506</v>
      </c>
    </row>
    <row r="340" spans="1:11" x14ac:dyDescent="0.2">
      <c r="A340" s="10">
        <v>75000000</v>
      </c>
      <c r="B340" s="10" t="s">
        <v>7575</v>
      </c>
      <c r="C340" s="11">
        <v>-1747.3849999999998</v>
      </c>
      <c r="D340" s="11">
        <v>0</v>
      </c>
      <c r="E340" s="11">
        <v>0</v>
      </c>
      <c r="F340" s="13">
        <v>0</v>
      </c>
      <c r="G340" s="13">
        <v>0</v>
      </c>
      <c r="H340" s="14">
        <f t="shared" si="10"/>
        <v>0</v>
      </c>
      <c r="I340" s="14">
        <f t="shared" si="11"/>
        <v>-1747.3849999999998</v>
      </c>
      <c r="J340" s="598" t="s">
        <v>195</v>
      </c>
      <c r="K340" s="8" t="s">
        <v>506</v>
      </c>
    </row>
    <row r="341" spans="1:11" x14ac:dyDescent="0.2">
      <c r="A341" s="10">
        <v>75600000</v>
      </c>
      <c r="B341" s="10" t="s">
        <v>215</v>
      </c>
      <c r="C341" s="11">
        <v>-58067.935856000026</v>
      </c>
      <c r="D341" s="11">
        <v>0</v>
      </c>
      <c r="E341" s="11">
        <v>0</v>
      </c>
      <c r="F341" s="13">
        <v>74306.239199999996</v>
      </c>
      <c r="G341" s="13">
        <v>4418.84</v>
      </c>
      <c r="H341" s="14">
        <f t="shared" si="10"/>
        <v>69887.3992</v>
      </c>
      <c r="I341" s="14">
        <f t="shared" si="11"/>
        <v>11819.463343999974</v>
      </c>
      <c r="J341" s="598" t="s">
        <v>214</v>
      </c>
      <c r="K341" s="8" t="s">
        <v>517</v>
      </c>
    </row>
    <row r="342" spans="1:11" x14ac:dyDescent="0.2">
      <c r="A342" s="10">
        <v>73900000</v>
      </c>
      <c r="B342" s="10" t="s">
        <v>213</v>
      </c>
      <c r="C342" s="11">
        <v>-197072.39699999997</v>
      </c>
      <c r="D342" s="11">
        <v>0</v>
      </c>
      <c r="E342" s="11">
        <v>0</v>
      </c>
      <c r="F342" s="13">
        <v>0</v>
      </c>
      <c r="G342" s="13">
        <v>21896.933000000001</v>
      </c>
      <c r="H342" s="14">
        <f t="shared" si="10"/>
        <v>-21896.933000000001</v>
      </c>
      <c r="I342" s="14">
        <f t="shared" si="11"/>
        <v>-218969.32999999996</v>
      </c>
      <c r="J342" s="598" t="s">
        <v>214</v>
      </c>
      <c r="K342" s="8" t="s">
        <v>517</v>
      </c>
    </row>
    <row r="343" spans="1:11" x14ac:dyDescent="0.2">
      <c r="A343" s="10">
        <v>74100000</v>
      </c>
      <c r="B343" s="10" t="s">
        <v>8980</v>
      </c>
      <c r="C343" s="11">
        <v>-1843.7079999999999</v>
      </c>
      <c r="D343" s="11">
        <v>0</v>
      </c>
      <c r="E343" s="11">
        <v>0</v>
      </c>
      <c r="F343" s="13">
        <v>0</v>
      </c>
      <c r="G343" s="13">
        <v>0</v>
      </c>
      <c r="H343" s="14">
        <f t="shared" si="10"/>
        <v>0</v>
      </c>
      <c r="I343" s="14">
        <f t="shared" si="11"/>
        <v>-1843.7079999999999</v>
      </c>
      <c r="J343" s="598" t="s">
        <v>214</v>
      </c>
      <c r="K343" s="8" t="s">
        <v>506</v>
      </c>
    </row>
    <row r="344" spans="1:11" x14ac:dyDescent="0.2">
      <c r="A344" s="10">
        <v>77000000</v>
      </c>
      <c r="B344" s="10" t="s">
        <v>216</v>
      </c>
      <c r="C344" s="11">
        <v>0</v>
      </c>
      <c r="D344" s="11">
        <v>0</v>
      </c>
      <c r="E344" s="11">
        <v>0</v>
      </c>
      <c r="F344" s="13">
        <v>0</v>
      </c>
      <c r="G344" s="13">
        <v>0</v>
      </c>
      <c r="H344" s="14">
        <f t="shared" si="10"/>
        <v>0</v>
      </c>
      <c r="I344" s="14">
        <f t="shared" si="11"/>
        <v>0</v>
      </c>
      <c r="J344" s="598" t="s">
        <v>212</v>
      </c>
      <c r="K344" s="8" t="s">
        <v>518</v>
      </c>
    </row>
    <row r="345" spans="1:11" x14ac:dyDescent="0.2">
      <c r="A345" s="10">
        <v>79999999</v>
      </c>
      <c r="B345" s="10" t="s">
        <v>383</v>
      </c>
      <c r="C345" s="11">
        <v>-2.6040943339467049E-4</v>
      </c>
      <c r="D345" s="11">
        <v>0</v>
      </c>
      <c r="E345" s="11">
        <v>0</v>
      </c>
      <c r="F345" s="13">
        <v>0</v>
      </c>
      <c r="G345" s="13">
        <v>0</v>
      </c>
      <c r="H345" s="14">
        <f t="shared" si="10"/>
        <v>0</v>
      </c>
      <c r="I345" s="14">
        <f t="shared" si="11"/>
        <v>-2.6040943339467049E-4</v>
      </c>
      <c r="J345" s="598"/>
      <c r="K345" s="8"/>
    </row>
    <row r="346" spans="1:11" s="460" customFormat="1" ht="15" x14ac:dyDescent="0.25">
      <c r="A346"/>
      <c r="B346" s="601"/>
      <c r="C346" s="344">
        <f>SUM(C2:C345)</f>
        <v>-6.4022098058558186E-5</v>
      </c>
      <c r="D346" s="344">
        <f t="shared" ref="D346:I346" si="12">SUM(D2:D345)</f>
        <v>50635167.22446049</v>
      </c>
      <c r="E346" s="344">
        <f t="shared" si="12"/>
        <v>50635167.2254605</v>
      </c>
      <c r="F346" s="344">
        <f t="shared" si="12"/>
        <v>38150129.304200016</v>
      </c>
      <c r="G346" s="344">
        <f t="shared" si="12"/>
        <v>38150129.304100007</v>
      </c>
      <c r="H346" s="344">
        <f t="shared" si="12"/>
        <v>-9.0000017735292204E-4</v>
      </c>
      <c r="I346" s="344">
        <f t="shared" si="12"/>
        <v>-9.6398407299602695E-4</v>
      </c>
      <c r="J346" s="602"/>
    </row>
  </sheetData>
  <autoFilter ref="A1:J346" xr:uid="{00000000-0009-0000-0000-00002E000000}"/>
  <pageMargins left="0.7" right="0.7" top="0.75" bottom="0.75" header="0.3" footer="0.3"/>
  <pageSetup paperSize="9" orientation="portrait" horizontalDpi="0" verticalDpi="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B1:J61"/>
  <sheetViews>
    <sheetView workbookViewId="0">
      <selection activeCell="I21" sqref="I21"/>
    </sheetView>
  </sheetViews>
  <sheetFormatPr baseColWidth="10" defaultRowHeight="12.75" x14ac:dyDescent="0.2"/>
  <cols>
    <col min="1" max="2" width="1.7109375" style="812" customWidth="1"/>
    <col min="3" max="3" width="45.85546875" style="812" customWidth="1"/>
    <col min="4" max="4" width="1" style="812" customWidth="1"/>
    <col min="5" max="6" width="15.42578125" style="828" customWidth="1"/>
    <col min="7" max="7" width="1.140625" style="812" customWidth="1"/>
    <col min="8" max="8" width="10.28515625" style="812"/>
    <col min="9" max="9" width="11.42578125" style="812" bestFit="1" customWidth="1"/>
    <col min="10" max="256" width="10.28515625" style="812"/>
    <col min="257" max="258" width="1.7109375" style="812" customWidth="1"/>
    <col min="259" max="259" width="45.85546875" style="812" customWidth="1"/>
    <col min="260" max="260" width="1" style="812" customWidth="1"/>
    <col min="261" max="261" width="15.42578125" style="812" customWidth="1"/>
    <col min="262" max="262" width="1.140625" style="812" customWidth="1"/>
    <col min="263" max="263" width="15.42578125" style="812" customWidth="1"/>
    <col min="264" max="264" width="10.28515625" style="812"/>
    <col min="265" max="265" width="10.85546875" style="812" bestFit="1" customWidth="1"/>
    <col min="266" max="512" width="10.28515625" style="812"/>
    <col min="513" max="514" width="1.7109375" style="812" customWidth="1"/>
    <col min="515" max="515" width="45.85546875" style="812" customWidth="1"/>
    <col min="516" max="516" width="1" style="812" customWidth="1"/>
    <col min="517" max="517" width="15.42578125" style="812" customWidth="1"/>
    <col min="518" max="518" width="1.140625" style="812" customWidth="1"/>
    <col min="519" max="519" width="15.42578125" style="812" customWidth="1"/>
    <col min="520" max="520" width="10.28515625" style="812"/>
    <col min="521" max="521" width="10.85546875" style="812" bestFit="1" customWidth="1"/>
    <col min="522" max="768" width="10.28515625" style="812"/>
    <col min="769" max="770" width="1.7109375" style="812" customWidth="1"/>
    <col min="771" max="771" width="45.85546875" style="812" customWidth="1"/>
    <col min="772" max="772" width="1" style="812" customWidth="1"/>
    <col min="773" max="773" width="15.42578125" style="812" customWidth="1"/>
    <col min="774" max="774" width="1.140625" style="812" customWidth="1"/>
    <col min="775" max="775" width="15.42578125" style="812" customWidth="1"/>
    <col min="776" max="776" width="10.28515625" style="812"/>
    <col min="777" max="777" width="10.85546875" style="812" bestFit="1" customWidth="1"/>
    <col min="778" max="1024" width="11.42578125" style="812"/>
    <col min="1025" max="1026" width="1.7109375" style="812" customWidth="1"/>
    <col min="1027" max="1027" width="45.85546875" style="812" customWidth="1"/>
    <col min="1028" max="1028" width="1" style="812" customWidth="1"/>
    <col min="1029" max="1029" width="15.42578125" style="812" customWidth="1"/>
    <col min="1030" max="1030" width="1.140625" style="812" customWidth="1"/>
    <col min="1031" max="1031" width="15.42578125" style="812" customWidth="1"/>
    <col min="1032" max="1032" width="10.28515625" style="812"/>
    <col min="1033" max="1033" width="10.85546875" style="812" bestFit="1" customWidth="1"/>
    <col min="1034" max="1280" width="10.28515625" style="812"/>
    <col min="1281" max="1282" width="1.7109375" style="812" customWidth="1"/>
    <col min="1283" max="1283" width="45.85546875" style="812" customWidth="1"/>
    <col min="1284" max="1284" width="1" style="812" customWidth="1"/>
    <col min="1285" max="1285" width="15.42578125" style="812" customWidth="1"/>
    <col min="1286" max="1286" width="1.140625" style="812" customWidth="1"/>
    <col min="1287" max="1287" width="15.42578125" style="812" customWidth="1"/>
    <col min="1288" max="1288" width="10.28515625" style="812"/>
    <col min="1289" max="1289" width="10.85546875" style="812" bestFit="1" customWidth="1"/>
    <col min="1290" max="1536" width="10.28515625" style="812"/>
    <col min="1537" max="1538" width="1.7109375" style="812" customWidth="1"/>
    <col min="1539" max="1539" width="45.85546875" style="812" customWidth="1"/>
    <col min="1540" max="1540" width="1" style="812" customWidth="1"/>
    <col min="1541" max="1541" width="15.42578125" style="812" customWidth="1"/>
    <col min="1542" max="1542" width="1.140625" style="812" customWidth="1"/>
    <col min="1543" max="1543" width="15.42578125" style="812" customWidth="1"/>
    <col min="1544" max="1544" width="10.28515625" style="812"/>
    <col min="1545" max="1545" width="10.85546875" style="812" bestFit="1" customWidth="1"/>
    <col min="1546" max="1792" width="10.28515625" style="812"/>
    <col min="1793" max="1794" width="1.7109375" style="812" customWidth="1"/>
    <col min="1795" max="1795" width="45.85546875" style="812" customWidth="1"/>
    <col min="1796" max="1796" width="1" style="812" customWidth="1"/>
    <col min="1797" max="1797" width="15.42578125" style="812" customWidth="1"/>
    <col min="1798" max="1798" width="1.140625" style="812" customWidth="1"/>
    <col min="1799" max="1799" width="15.42578125" style="812" customWidth="1"/>
    <col min="1800" max="1800" width="10.28515625" style="812"/>
    <col min="1801" max="1801" width="10.85546875" style="812" bestFit="1" customWidth="1"/>
    <col min="1802" max="2048" width="11.42578125" style="812"/>
    <col min="2049" max="2050" width="1.7109375" style="812" customWidth="1"/>
    <col min="2051" max="2051" width="45.85546875" style="812" customWidth="1"/>
    <col min="2052" max="2052" width="1" style="812" customWidth="1"/>
    <col min="2053" max="2053" width="15.42578125" style="812" customWidth="1"/>
    <col min="2054" max="2054" width="1.140625" style="812" customWidth="1"/>
    <col min="2055" max="2055" width="15.42578125" style="812" customWidth="1"/>
    <col min="2056" max="2056" width="10.28515625" style="812"/>
    <col min="2057" max="2057" width="10.85546875" style="812" bestFit="1" customWidth="1"/>
    <col min="2058" max="2304" width="10.28515625" style="812"/>
    <col min="2305" max="2306" width="1.7109375" style="812" customWidth="1"/>
    <col min="2307" max="2307" width="45.85546875" style="812" customWidth="1"/>
    <col min="2308" max="2308" width="1" style="812" customWidth="1"/>
    <col min="2309" max="2309" width="15.42578125" style="812" customWidth="1"/>
    <col min="2310" max="2310" width="1.140625" style="812" customWidth="1"/>
    <col min="2311" max="2311" width="15.42578125" style="812" customWidth="1"/>
    <col min="2312" max="2312" width="10.28515625" style="812"/>
    <col min="2313" max="2313" width="10.85546875" style="812" bestFit="1" customWidth="1"/>
    <col min="2314" max="2560" width="10.28515625" style="812"/>
    <col min="2561" max="2562" width="1.7109375" style="812" customWidth="1"/>
    <col min="2563" max="2563" width="45.85546875" style="812" customWidth="1"/>
    <col min="2564" max="2564" width="1" style="812" customWidth="1"/>
    <col min="2565" max="2565" width="15.42578125" style="812" customWidth="1"/>
    <col min="2566" max="2566" width="1.140625" style="812" customWidth="1"/>
    <col min="2567" max="2567" width="15.42578125" style="812" customWidth="1"/>
    <col min="2568" max="2568" width="10.28515625" style="812"/>
    <col min="2569" max="2569" width="10.85546875" style="812" bestFit="1" customWidth="1"/>
    <col min="2570" max="2816" width="10.28515625" style="812"/>
    <col min="2817" max="2818" width="1.7109375" style="812" customWidth="1"/>
    <col min="2819" max="2819" width="45.85546875" style="812" customWidth="1"/>
    <col min="2820" max="2820" width="1" style="812" customWidth="1"/>
    <col min="2821" max="2821" width="15.42578125" style="812" customWidth="1"/>
    <col min="2822" max="2822" width="1.140625" style="812" customWidth="1"/>
    <col min="2823" max="2823" width="15.42578125" style="812" customWidth="1"/>
    <col min="2824" max="2824" width="10.28515625" style="812"/>
    <col min="2825" max="2825" width="10.85546875" style="812" bestFit="1" customWidth="1"/>
    <col min="2826" max="3072" width="11.42578125" style="812"/>
    <col min="3073" max="3074" width="1.7109375" style="812" customWidth="1"/>
    <col min="3075" max="3075" width="45.85546875" style="812" customWidth="1"/>
    <col min="3076" max="3076" width="1" style="812" customWidth="1"/>
    <col min="3077" max="3077" width="15.42578125" style="812" customWidth="1"/>
    <col min="3078" max="3078" width="1.140625" style="812" customWidth="1"/>
    <col min="3079" max="3079" width="15.42578125" style="812" customWidth="1"/>
    <col min="3080" max="3080" width="10.28515625" style="812"/>
    <col min="3081" max="3081" width="10.85546875" style="812" bestFit="1" customWidth="1"/>
    <col min="3082" max="3328" width="10.28515625" style="812"/>
    <col min="3329" max="3330" width="1.7109375" style="812" customWidth="1"/>
    <col min="3331" max="3331" width="45.85546875" style="812" customWidth="1"/>
    <col min="3332" max="3332" width="1" style="812" customWidth="1"/>
    <col min="3333" max="3333" width="15.42578125" style="812" customWidth="1"/>
    <col min="3334" max="3334" width="1.140625" style="812" customWidth="1"/>
    <col min="3335" max="3335" width="15.42578125" style="812" customWidth="1"/>
    <col min="3336" max="3336" width="10.28515625" style="812"/>
    <col min="3337" max="3337" width="10.85546875" style="812" bestFit="1" customWidth="1"/>
    <col min="3338" max="3584" width="10.28515625" style="812"/>
    <col min="3585" max="3586" width="1.7109375" style="812" customWidth="1"/>
    <col min="3587" max="3587" width="45.85546875" style="812" customWidth="1"/>
    <col min="3588" max="3588" width="1" style="812" customWidth="1"/>
    <col min="3589" max="3589" width="15.42578125" style="812" customWidth="1"/>
    <col min="3590" max="3590" width="1.140625" style="812" customWidth="1"/>
    <col min="3591" max="3591" width="15.42578125" style="812" customWidth="1"/>
    <col min="3592" max="3592" width="10.28515625" style="812"/>
    <col min="3593" max="3593" width="10.85546875" style="812" bestFit="1" customWidth="1"/>
    <col min="3594" max="3840" width="10.28515625" style="812"/>
    <col min="3841" max="3842" width="1.7109375" style="812" customWidth="1"/>
    <col min="3843" max="3843" width="45.85546875" style="812" customWidth="1"/>
    <col min="3844" max="3844" width="1" style="812" customWidth="1"/>
    <col min="3845" max="3845" width="15.42578125" style="812" customWidth="1"/>
    <col min="3846" max="3846" width="1.140625" style="812" customWidth="1"/>
    <col min="3847" max="3847" width="15.42578125" style="812" customWidth="1"/>
    <col min="3848" max="3848" width="10.28515625" style="812"/>
    <col min="3849" max="3849" width="10.85546875" style="812" bestFit="1" customWidth="1"/>
    <col min="3850" max="4096" width="11.42578125" style="812"/>
    <col min="4097" max="4098" width="1.7109375" style="812" customWidth="1"/>
    <col min="4099" max="4099" width="45.85546875" style="812" customWidth="1"/>
    <col min="4100" max="4100" width="1" style="812" customWidth="1"/>
    <col min="4101" max="4101" width="15.42578125" style="812" customWidth="1"/>
    <col min="4102" max="4102" width="1.140625" style="812" customWidth="1"/>
    <col min="4103" max="4103" width="15.42578125" style="812" customWidth="1"/>
    <col min="4104" max="4104" width="10.28515625" style="812"/>
    <col min="4105" max="4105" width="10.85546875" style="812" bestFit="1" customWidth="1"/>
    <col min="4106" max="4352" width="10.28515625" style="812"/>
    <col min="4353" max="4354" width="1.7109375" style="812" customWidth="1"/>
    <col min="4355" max="4355" width="45.85546875" style="812" customWidth="1"/>
    <col min="4356" max="4356" width="1" style="812" customWidth="1"/>
    <col min="4357" max="4357" width="15.42578125" style="812" customWidth="1"/>
    <col min="4358" max="4358" width="1.140625" style="812" customWidth="1"/>
    <col min="4359" max="4359" width="15.42578125" style="812" customWidth="1"/>
    <col min="4360" max="4360" width="10.28515625" style="812"/>
    <col min="4361" max="4361" width="10.85546875" style="812" bestFit="1" customWidth="1"/>
    <col min="4362" max="4608" width="10.28515625" style="812"/>
    <col min="4609" max="4610" width="1.7109375" style="812" customWidth="1"/>
    <col min="4611" max="4611" width="45.85546875" style="812" customWidth="1"/>
    <col min="4612" max="4612" width="1" style="812" customWidth="1"/>
    <col min="4613" max="4613" width="15.42578125" style="812" customWidth="1"/>
    <col min="4614" max="4614" width="1.140625" style="812" customWidth="1"/>
    <col min="4615" max="4615" width="15.42578125" style="812" customWidth="1"/>
    <col min="4616" max="4616" width="10.28515625" style="812"/>
    <col min="4617" max="4617" width="10.85546875" style="812" bestFit="1" customWidth="1"/>
    <col min="4618" max="4864" width="10.28515625" style="812"/>
    <col min="4865" max="4866" width="1.7109375" style="812" customWidth="1"/>
    <col min="4867" max="4867" width="45.85546875" style="812" customWidth="1"/>
    <col min="4868" max="4868" width="1" style="812" customWidth="1"/>
    <col min="4869" max="4869" width="15.42578125" style="812" customWidth="1"/>
    <col min="4870" max="4870" width="1.140625" style="812" customWidth="1"/>
    <col min="4871" max="4871" width="15.42578125" style="812" customWidth="1"/>
    <col min="4872" max="4872" width="10.28515625" style="812"/>
    <col min="4873" max="4873" width="10.85546875" style="812" bestFit="1" customWidth="1"/>
    <col min="4874" max="5120" width="11.42578125" style="812"/>
    <col min="5121" max="5122" width="1.7109375" style="812" customWidth="1"/>
    <col min="5123" max="5123" width="45.85546875" style="812" customWidth="1"/>
    <col min="5124" max="5124" width="1" style="812" customWidth="1"/>
    <col min="5125" max="5125" width="15.42578125" style="812" customWidth="1"/>
    <col min="5126" max="5126" width="1.140625" style="812" customWidth="1"/>
    <col min="5127" max="5127" width="15.42578125" style="812" customWidth="1"/>
    <col min="5128" max="5128" width="10.28515625" style="812"/>
    <col min="5129" max="5129" width="10.85546875" style="812" bestFit="1" customWidth="1"/>
    <col min="5130" max="5376" width="10.28515625" style="812"/>
    <col min="5377" max="5378" width="1.7109375" style="812" customWidth="1"/>
    <col min="5379" max="5379" width="45.85546875" style="812" customWidth="1"/>
    <col min="5380" max="5380" width="1" style="812" customWidth="1"/>
    <col min="5381" max="5381" width="15.42578125" style="812" customWidth="1"/>
    <col min="5382" max="5382" width="1.140625" style="812" customWidth="1"/>
    <col min="5383" max="5383" width="15.42578125" style="812" customWidth="1"/>
    <col min="5384" max="5384" width="10.28515625" style="812"/>
    <col min="5385" max="5385" width="10.85546875" style="812" bestFit="1" customWidth="1"/>
    <col min="5386" max="5632" width="10.28515625" style="812"/>
    <col min="5633" max="5634" width="1.7109375" style="812" customWidth="1"/>
    <col min="5635" max="5635" width="45.85546875" style="812" customWidth="1"/>
    <col min="5636" max="5636" width="1" style="812" customWidth="1"/>
    <col min="5637" max="5637" width="15.42578125" style="812" customWidth="1"/>
    <col min="5638" max="5638" width="1.140625" style="812" customWidth="1"/>
    <col min="5639" max="5639" width="15.42578125" style="812" customWidth="1"/>
    <col min="5640" max="5640" width="10.28515625" style="812"/>
    <col min="5641" max="5641" width="10.85546875" style="812" bestFit="1" customWidth="1"/>
    <col min="5642" max="5888" width="10.28515625" style="812"/>
    <col min="5889" max="5890" width="1.7109375" style="812" customWidth="1"/>
    <col min="5891" max="5891" width="45.85546875" style="812" customWidth="1"/>
    <col min="5892" max="5892" width="1" style="812" customWidth="1"/>
    <col min="5893" max="5893" width="15.42578125" style="812" customWidth="1"/>
    <col min="5894" max="5894" width="1.140625" style="812" customWidth="1"/>
    <col min="5895" max="5895" width="15.42578125" style="812" customWidth="1"/>
    <col min="5896" max="5896" width="10.28515625" style="812"/>
    <col min="5897" max="5897" width="10.85546875" style="812" bestFit="1" customWidth="1"/>
    <col min="5898" max="6144" width="11.42578125" style="812"/>
    <col min="6145" max="6146" width="1.7109375" style="812" customWidth="1"/>
    <col min="6147" max="6147" width="45.85546875" style="812" customWidth="1"/>
    <col min="6148" max="6148" width="1" style="812" customWidth="1"/>
    <col min="6149" max="6149" width="15.42578125" style="812" customWidth="1"/>
    <col min="6150" max="6150" width="1.140625" style="812" customWidth="1"/>
    <col min="6151" max="6151" width="15.42578125" style="812" customWidth="1"/>
    <col min="6152" max="6152" width="10.28515625" style="812"/>
    <col min="6153" max="6153" width="10.85546875" style="812" bestFit="1" customWidth="1"/>
    <col min="6154" max="6400" width="10.28515625" style="812"/>
    <col min="6401" max="6402" width="1.7109375" style="812" customWidth="1"/>
    <col min="6403" max="6403" width="45.85546875" style="812" customWidth="1"/>
    <col min="6404" max="6404" width="1" style="812" customWidth="1"/>
    <col min="6405" max="6405" width="15.42578125" style="812" customWidth="1"/>
    <col min="6406" max="6406" width="1.140625" style="812" customWidth="1"/>
    <col min="6407" max="6407" width="15.42578125" style="812" customWidth="1"/>
    <col min="6408" max="6408" width="10.28515625" style="812"/>
    <col min="6409" max="6409" width="10.85546875" style="812" bestFit="1" customWidth="1"/>
    <col min="6410" max="6656" width="10.28515625" style="812"/>
    <col min="6657" max="6658" width="1.7109375" style="812" customWidth="1"/>
    <col min="6659" max="6659" width="45.85546875" style="812" customWidth="1"/>
    <col min="6660" max="6660" width="1" style="812" customWidth="1"/>
    <col min="6661" max="6661" width="15.42578125" style="812" customWidth="1"/>
    <col min="6662" max="6662" width="1.140625" style="812" customWidth="1"/>
    <col min="6663" max="6663" width="15.42578125" style="812" customWidth="1"/>
    <col min="6664" max="6664" width="10.28515625" style="812"/>
    <col min="6665" max="6665" width="10.85546875" style="812" bestFit="1" customWidth="1"/>
    <col min="6666" max="6912" width="10.28515625" style="812"/>
    <col min="6913" max="6914" width="1.7109375" style="812" customWidth="1"/>
    <col min="6915" max="6915" width="45.85546875" style="812" customWidth="1"/>
    <col min="6916" max="6916" width="1" style="812" customWidth="1"/>
    <col min="6917" max="6917" width="15.42578125" style="812" customWidth="1"/>
    <col min="6918" max="6918" width="1.140625" style="812" customWidth="1"/>
    <col min="6919" max="6919" width="15.42578125" style="812" customWidth="1"/>
    <col min="6920" max="6920" width="10.28515625" style="812"/>
    <col min="6921" max="6921" width="10.85546875" style="812" bestFit="1" customWidth="1"/>
    <col min="6922" max="7168" width="11.42578125" style="812"/>
    <col min="7169" max="7170" width="1.7109375" style="812" customWidth="1"/>
    <col min="7171" max="7171" width="45.85546875" style="812" customWidth="1"/>
    <col min="7172" max="7172" width="1" style="812" customWidth="1"/>
    <col min="7173" max="7173" width="15.42578125" style="812" customWidth="1"/>
    <col min="7174" max="7174" width="1.140625" style="812" customWidth="1"/>
    <col min="7175" max="7175" width="15.42578125" style="812" customWidth="1"/>
    <col min="7176" max="7176" width="10.28515625" style="812"/>
    <col min="7177" max="7177" width="10.85546875" style="812" bestFit="1" customWidth="1"/>
    <col min="7178" max="7424" width="10.28515625" style="812"/>
    <col min="7425" max="7426" width="1.7109375" style="812" customWidth="1"/>
    <col min="7427" max="7427" width="45.85546875" style="812" customWidth="1"/>
    <col min="7428" max="7428" width="1" style="812" customWidth="1"/>
    <col min="7429" max="7429" width="15.42578125" style="812" customWidth="1"/>
    <col min="7430" max="7430" width="1.140625" style="812" customWidth="1"/>
    <col min="7431" max="7431" width="15.42578125" style="812" customWidth="1"/>
    <col min="7432" max="7432" width="10.28515625" style="812"/>
    <col min="7433" max="7433" width="10.85546875" style="812" bestFit="1" customWidth="1"/>
    <col min="7434" max="7680" width="10.28515625" style="812"/>
    <col min="7681" max="7682" width="1.7109375" style="812" customWidth="1"/>
    <col min="7683" max="7683" width="45.85546875" style="812" customWidth="1"/>
    <col min="7684" max="7684" width="1" style="812" customWidth="1"/>
    <col min="7685" max="7685" width="15.42578125" style="812" customWidth="1"/>
    <col min="7686" max="7686" width="1.140625" style="812" customWidth="1"/>
    <col min="7687" max="7687" width="15.42578125" style="812" customWidth="1"/>
    <col min="7688" max="7688" width="10.28515625" style="812"/>
    <col min="7689" max="7689" width="10.85546875" style="812" bestFit="1" customWidth="1"/>
    <col min="7690" max="7936" width="10.28515625" style="812"/>
    <col min="7937" max="7938" width="1.7109375" style="812" customWidth="1"/>
    <col min="7939" max="7939" width="45.85546875" style="812" customWidth="1"/>
    <col min="7940" max="7940" width="1" style="812" customWidth="1"/>
    <col min="7941" max="7941" width="15.42578125" style="812" customWidth="1"/>
    <col min="7942" max="7942" width="1.140625" style="812" customWidth="1"/>
    <col min="7943" max="7943" width="15.42578125" style="812" customWidth="1"/>
    <col min="7944" max="7944" width="10.28515625" style="812"/>
    <col min="7945" max="7945" width="10.85546875" style="812" bestFit="1" customWidth="1"/>
    <col min="7946" max="8192" width="11.42578125" style="812"/>
    <col min="8193" max="8194" width="1.7109375" style="812" customWidth="1"/>
    <col min="8195" max="8195" width="45.85546875" style="812" customWidth="1"/>
    <col min="8196" max="8196" width="1" style="812" customWidth="1"/>
    <col min="8197" max="8197" width="15.42578125" style="812" customWidth="1"/>
    <col min="8198" max="8198" width="1.140625" style="812" customWidth="1"/>
    <col min="8199" max="8199" width="15.42578125" style="812" customWidth="1"/>
    <col min="8200" max="8200" width="10.28515625" style="812"/>
    <col min="8201" max="8201" width="10.85546875" style="812" bestFit="1" customWidth="1"/>
    <col min="8202" max="8448" width="10.28515625" style="812"/>
    <col min="8449" max="8450" width="1.7109375" style="812" customWidth="1"/>
    <col min="8451" max="8451" width="45.85546875" style="812" customWidth="1"/>
    <col min="8452" max="8452" width="1" style="812" customWidth="1"/>
    <col min="8453" max="8453" width="15.42578125" style="812" customWidth="1"/>
    <col min="8454" max="8454" width="1.140625" style="812" customWidth="1"/>
    <col min="8455" max="8455" width="15.42578125" style="812" customWidth="1"/>
    <col min="8456" max="8456" width="10.28515625" style="812"/>
    <col min="8457" max="8457" width="10.85546875" style="812" bestFit="1" customWidth="1"/>
    <col min="8458" max="8704" width="10.28515625" style="812"/>
    <col min="8705" max="8706" width="1.7109375" style="812" customWidth="1"/>
    <col min="8707" max="8707" width="45.85546875" style="812" customWidth="1"/>
    <col min="8708" max="8708" width="1" style="812" customWidth="1"/>
    <col min="8709" max="8709" width="15.42578125" style="812" customWidth="1"/>
    <col min="8710" max="8710" width="1.140625" style="812" customWidth="1"/>
    <col min="8711" max="8711" width="15.42578125" style="812" customWidth="1"/>
    <col min="8712" max="8712" width="10.28515625" style="812"/>
    <col min="8713" max="8713" width="10.85546875" style="812" bestFit="1" customWidth="1"/>
    <col min="8714" max="8960" width="10.28515625" style="812"/>
    <col min="8961" max="8962" width="1.7109375" style="812" customWidth="1"/>
    <col min="8963" max="8963" width="45.85546875" style="812" customWidth="1"/>
    <col min="8964" max="8964" width="1" style="812" customWidth="1"/>
    <col min="8965" max="8965" width="15.42578125" style="812" customWidth="1"/>
    <col min="8966" max="8966" width="1.140625" style="812" customWidth="1"/>
    <col min="8967" max="8967" width="15.42578125" style="812" customWidth="1"/>
    <col min="8968" max="8968" width="10.28515625" style="812"/>
    <col min="8969" max="8969" width="10.85546875" style="812" bestFit="1" customWidth="1"/>
    <col min="8970" max="9216" width="11.42578125" style="812"/>
    <col min="9217" max="9218" width="1.7109375" style="812" customWidth="1"/>
    <col min="9219" max="9219" width="45.85546875" style="812" customWidth="1"/>
    <col min="9220" max="9220" width="1" style="812" customWidth="1"/>
    <col min="9221" max="9221" width="15.42578125" style="812" customWidth="1"/>
    <col min="9222" max="9222" width="1.140625" style="812" customWidth="1"/>
    <col min="9223" max="9223" width="15.42578125" style="812" customWidth="1"/>
    <col min="9224" max="9224" width="10.28515625" style="812"/>
    <col min="9225" max="9225" width="10.85546875" style="812" bestFit="1" customWidth="1"/>
    <col min="9226" max="9472" width="10.28515625" style="812"/>
    <col min="9473" max="9474" width="1.7109375" style="812" customWidth="1"/>
    <col min="9475" max="9475" width="45.85546875" style="812" customWidth="1"/>
    <col min="9476" max="9476" width="1" style="812" customWidth="1"/>
    <col min="9477" max="9477" width="15.42578125" style="812" customWidth="1"/>
    <col min="9478" max="9478" width="1.140625" style="812" customWidth="1"/>
    <col min="9479" max="9479" width="15.42578125" style="812" customWidth="1"/>
    <col min="9480" max="9480" width="10.28515625" style="812"/>
    <col min="9481" max="9481" width="10.85546875" style="812" bestFit="1" customWidth="1"/>
    <col min="9482" max="9728" width="10.28515625" style="812"/>
    <col min="9729" max="9730" width="1.7109375" style="812" customWidth="1"/>
    <col min="9731" max="9731" width="45.85546875" style="812" customWidth="1"/>
    <col min="9732" max="9732" width="1" style="812" customWidth="1"/>
    <col min="9733" max="9733" width="15.42578125" style="812" customWidth="1"/>
    <col min="9734" max="9734" width="1.140625" style="812" customWidth="1"/>
    <col min="9735" max="9735" width="15.42578125" style="812" customWidth="1"/>
    <col min="9736" max="9736" width="10.28515625" style="812"/>
    <col min="9737" max="9737" width="10.85546875" style="812" bestFit="1" customWidth="1"/>
    <col min="9738" max="9984" width="10.28515625" style="812"/>
    <col min="9985" max="9986" width="1.7109375" style="812" customWidth="1"/>
    <col min="9987" max="9987" width="45.85546875" style="812" customWidth="1"/>
    <col min="9988" max="9988" width="1" style="812" customWidth="1"/>
    <col min="9989" max="9989" width="15.42578125" style="812" customWidth="1"/>
    <col min="9990" max="9990" width="1.140625" style="812" customWidth="1"/>
    <col min="9991" max="9991" width="15.42578125" style="812" customWidth="1"/>
    <col min="9992" max="9992" width="10.28515625" style="812"/>
    <col min="9993" max="9993" width="10.85546875" style="812" bestFit="1" customWidth="1"/>
    <col min="9994" max="10240" width="11.42578125" style="812"/>
    <col min="10241" max="10242" width="1.7109375" style="812" customWidth="1"/>
    <col min="10243" max="10243" width="45.85546875" style="812" customWidth="1"/>
    <col min="10244" max="10244" width="1" style="812" customWidth="1"/>
    <col min="10245" max="10245" width="15.42578125" style="812" customWidth="1"/>
    <col min="10246" max="10246" width="1.140625" style="812" customWidth="1"/>
    <col min="10247" max="10247" width="15.42578125" style="812" customWidth="1"/>
    <col min="10248" max="10248" width="10.28515625" style="812"/>
    <col min="10249" max="10249" width="10.85546875" style="812" bestFit="1" customWidth="1"/>
    <col min="10250" max="10496" width="10.28515625" style="812"/>
    <col min="10497" max="10498" width="1.7109375" style="812" customWidth="1"/>
    <col min="10499" max="10499" width="45.85546875" style="812" customWidth="1"/>
    <col min="10500" max="10500" width="1" style="812" customWidth="1"/>
    <col min="10501" max="10501" width="15.42578125" style="812" customWidth="1"/>
    <col min="10502" max="10502" width="1.140625" style="812" customWidth="1"/>
    <col min="10503" max="10503" width="15.42578125" style="812" customWidth="1"/>
    <col min="10504" max="10504" width="10.28515625" style="812"/>
    <col min="10505" max="10505" width="10.85546875" style="812" bestFit="1" customWidth="1"/>
    <col min="10506" max="10752" width="10.28515625" style="812"/>
    <col min="10753" max="10754" width="1.7109375" style="812" customWidth="1"/>
    <col min="10755" max="10755" width="45.85546875" style="812" customWidth="1"/>
    <col min="10756" max="10756" width="1" style="812" customWidth="1"/>
    <col min="10757" max="10757" width="15.42578125" style="812" customWidth="1"/>
    <col min="10758" max="10758" width="1.140625" style="812" customWidth="1"/>
    <col min="10759" max="10759" width="15.42578125" style="812" customWidth="1"/>
    <col min="10760" max="10760" width="10.28515625" style="812"/>
    <col min="10761" max="10761" width="10.85546875" style="812" bestFit="1" customWidth="1"/>
    <col min="10762" max="11008" width="10.28515625" style="812"/>
    <col min="11009" max="11010" width="1.7109375" style="812" customWidth="1"/>
    <col min="11011" max="11011" width="45.85546875" style="812" customWidth="1"/>
    <col min="11012" max="11012" width="1" style="812" customWidth="1"/>
    <col min="11013" max="11013" width="15.42578125" style="812" customWidth="1"/>
    <col min="11014" max="11014" width="1.140625" style="812" customWidth="1"/>
    <col min="11015" max="11015" width="15.42578125" style="812" customWidth="1"/>
    <col min="11016" max="11016" width="10.28515625" style="812"/>
    <col min="11017" max="11017" width="10.85546875" style="812" bestFit="1" customWidth="1"/>
    <col min="11018" max="11264" width="11.42578125" style="812"/>
    <col min="11265" max="11266" width="1.7109375" style="812" customWidth="1"/>
    <col min="11267" max="11267" width="45.85546875" style="812" customWidth="1"/>
    <col min="11268" max="11268" width="1" style="812" customWidth="1"/>
    <col min="11269" max="11269" width="15.42578125" style="812" customWidth="1"/>
    <col min="11270" max="11270" width="1.140625" style="812" customWidth="1"/>
    <col min="11271" max="11271" width="15.42578125" style="812" customWidth="1"/>
    <col min="11272" max="11272" width="10.28515625" style="812"/>
    <col min="11273" max="11273" width="10.85546875" style="812" bestFit="1" customWidth="1"/>
    <col min="11274" max="11520" width="10.28515625" style="812"/>
    <col min="11521" max="11522" width="1.7109375" style="812" customWidth="1"/>
    <col min="11523" max="11523" width="45.85546875" style="812" customWidth="1"/>
    <col min="11524" max="11524" width="1" style="812" customWidth="1"/>
    <col min="11525" max="11525" width="15.42578125" style="812" customWidth="1"/>
    <col min="11526" max="11526" width="1.140625" style="812" customWidth="1"/>
    <col min="11527" max="11527" width="15.42578125" style="812" customWidth="1"/>
    <col min="11528" max="11528" width="10.28515625" style="812"/>
    <col min="11529" max="11529" width="10.85546875" style="812" bestFit="1" customWidth="1"/>
    <col min="11530" max="11776" width="10.28515625" style="812"/>
    <col min="11777" max="11778" width="1.7109375" style="812" customWidth="1"/>
    <col min="11779" max="11779" width="45.85546875" style="812" customWidth="1"/>
    <col min="11780" max="11780" width="1" style="812" customWidth="1"/>
    <col min="11781" max="11781" width="15.42578125" style="812" customWidth="1"/>
    <col min="11782" max="11782" width="1.140625" style="812" customWidth="1"/>
    <col min="11783" max="11783" width="15.42578125" style="812" customWidth="1"/>
    <col min="11784" max="11784" width="10.28515625" style="812"/>
    <col min="11785" max="11785" width="10.85546875" style="812" bestFit="1" customWidth="1"/>
    <col min="11786" max="12032" width="10.28515625" style="812"/>
    <col min="12033" max="12034" width="1.7109375" style="812" customWidth="1"/>
    <col min="12035" max="12035" width="45.85546875" style="812" customWidth="1"/>
    <col min="12036" max="12036" width="1" style="812" customWidth="1"/>
    <col min="12037" max="12037" width="15.42578125" style="812" customWidth="1"/>
    <col min="12038" max="12038" width="1.140625" style="812" customWidth="1"/>
    <col min="12039" max="12039" width="15.42578125" style="812" customWidth="1"/>
    <col min="12040" max="12040" width="10.28515625" style="812"/>
    <col min="12041" max="12041" width="10.85546875" style="812" bestFit="1" customWidth="1"/>
    <col min="12042" max="12288" width="11.42578125" style="812"/>
    <col min="12289" max="12290" width="1.7109375" style="812" customWidth="1"/>
    <col min="12291" max="12291" width="45.85546875" style="812" customWidth="1"/>
    <col min="12292" max="12292" width="1" style="812" customWidth="1"/>
    <col min="12293" max="12293" width="15.42578125" style="812" customWidth="1"/>
    <col min="12294" max="12294" width="1.140625" style="812" customWidth="1"/>
    <col min="12295" max="12295" width="15.42578125" style="812" customWidth="1"/>
    <col min="12296" max="12296" width="10.28515625" style="812"/>
    <col min="12297" max="12297" width="10.85546875" style="812" bestFit="1" customWidth="1"/>
    <col min="12298" max="12544" width="10.28515625" style="812"/>
    <col min="12545" max="12546" width="1.7109375" style="812" customWidth="1"/>
    <col min="12547" max="12547" width="45.85546875" style="812" customWidth="1"/>
    <col min="12548" max="12548" width="1" style="812" customWidth="1"/>
    <col min="12549" max="12549" width="15.42578125" style="812" customWidth="1"/>
    <col min="12550" max="12550" width="1.140625" style="812" customWidth="1"/>
    <col min="12551" max="12551" width="15.42578125" style="812" customWidth="1"/>
    <col min="12552" max="12552" width="10.28515625" style="812"/>
    <col min="12553" max="12553" width="10.85546875" style="812" bestFit="1" customWidth="1"/>
    <col min="12554" max="12800" width="10.28515625" style="812"/>
    <col min="12801" max="12802" width="1.7109375" style="812" customWidth="1"/>
    <col min="12803" max="12803" width="45.85546875" style="812" customWidth="1"/>
    <col min="12804" max="12804" width="1" style="812" customWidth="1"/>
    <col min="12805" max="12805" width="15.42578125" style="812" customWidth="1"/>
    <col min="12806" max="12806" width="1.140625" style="812" customWidth="1"/>
    <col min="12807" max="12807" width="15.42578125" style="812" customWidth="1"/>
    <col min="12808" max="12808" width="10.28515625" style="812"/>
    <col min="12809" max="12809" width="10.85546875" style="812" bestFit="1" customWidth="1"/>
    <col min="12810" max="13056" width="10.28515625" style="812"/>
    <col min="13057" max="13058" width="1.7109375" style="812" customWidth="1"/>
    <col min="13059" max="13059" width="45.85546875" style="812" customWidth="1"/>
    <col min="13060" max="13060" width="1" style="812" customWidth="1"/>
    <col min="13061" max="13061" width="15.42578125" style="812" customWidth="1"/>
    <col min="13062" max="13062" width="1.140625" style="812" customWidth="1"/>
    <col min="13063" max="13063" width="15.42578125" style="812" customWidth="1"/>
    <col min="13064" max="13064" width="10.28515625" style="812"/>
    <col min="13065" max="13065" width="10.85546875" style="812" bestFit="1" customWidth="1"/>
    <col min="13066" max="13312" width="11.42578125" style="812"/>
    <col min="13313" max="13314" width="1.7109375" style="812" customWidth="1"/>
    <col min="13315" max="13315" width="45.85546875" style="812" customWidth="1"/>
    <col min="13316" max="13316" width="1" style="812" customWidth="1"/>
    <col min="13317" max="13317" width="15.42578125" style="812" customWidth="1"/>
    <col min="13318" max="13318" width="1.140625" style="812" customWidth="1"/>
    <col min="13319" max="13319" width="15.42578125" style="812" customWidth="1"/>
    <col min="13320" max="13320" width="10.28515625" style="812"/>
    <col min="13321" max="13321" width="10.85546875" style="812" bestFit="1" customWidth="1"/>
    <col min="13322" max="13568" width="10.28515625" style="812"/>
    <col min="13569" max="13570" width="1.7109375" style="812" customWidth="1"/>
    <col min="13571" max="13571" width="45.85546875" style="812" customWidth="1"/>
    <col min="13572" max="13572" width="1" style="812" customWidth="1"/>
    <col min="13573" max="13573" width="15.42578125" style="812" customWidth="1"/>
    <col min="13574" max="13574" width="1.140625" style="812" customWidth="1"/>
    <col min="13575" max="13575" width="15.42578125" style="812" customWidth="1"/>
    <col min="13576" max="13576" width="10.28515625" style="812"/>
    <col min="13577" max="13577" width="10.85546875" style="812" bestFit="1" customWidth="1"/>
    <col min="13578" max="13824" width="10.28515625" style="812"/>
    <col min="13825" max="13826" width="1.7109375" style="812" customWidth="1"/>
    <col min="13827" max="13827" width="45.85546875" style="812" customWidth="1"/>
    <col min="13828" max="13828" width="1" style="812" customWidth="1"/>
    <col min="13829" max="13829" width="15.42578125" style="812" customWidth="1"/>
    <col min="13830" max="13830" width="1.140625" style="812" customWidth="1"/>
    <col min="13831" max="13831" width="15.42578125" style="812" customWidth="1"/>
    <col min="13832" max="13832" width="10.28515625" style="812"/>
    <col min="13833" max="13833" width="10.85546875" style="812" bestFit="1" customWidth="1"/>
    <col min="13834" max="14080" width="10.28515625" style="812"/>
    <col min="14081" max="14082" width="1.7109375" style="812" customWidth="1"/>
    <col min="14083" max="14083" width="45.85546875" style="812" customWidth="1"/>
    <col min="14084" max="14084" width="1" style="812" customWidth="1"/>
    <col min="14085" max="14085" width="15.42578125" style="812" customWidth="1"/>
    <col min="14086" max="14086" width="1.140625" style="812" customWidth="1"/>
    <col min="14087" max="14087" width="15.42578125" style="812" customWidth="1"/>
    <col min="14088" max="14088" width="10.28515625" style="812"/>
    <col min="14089" max="14089" width="10.85546875" style="812" bestFit="1" customWidth="1"/>
    <col min="14090" max="14336" width="11.42578125" style="812"/>
    <col min="14337" max="14338" width="1.7109375" style="812" customWidth="1"/>
    <col min="14339" max="14339" width="45.85546875" style="812" customWidth="1"/>
    <col min="14340" max="14340" width="1" style="812" customWidth="1"/>
    <col min="14341" max="14341" width="15.42578125" style="812" customWidth="1"/>
    <col min="14342" max="14342" width="1.140625" style="812" customWidth="1"/>
    <col min="14343" max="14343" width="15.42578125" style="812" customWidth="1"/>
    <col min="14344" max="14344" width="10.28515625" style="812"/>
    <col min="14345" max="14345" width="10.85546875" style="812" bestFit="1" customWidth="1"/>
    <col min="14346" max="14592" width="10.28515625" style="812"/>
    <col min="14593" max="14594" width="1.7109375" style="812" customWidth="1"/>
    <col min="14595" max="14595" width="45.85546875" style="812" customWidth="1"/>
    <col min="14596" max="14596" width="1" style="812" customWidth="1"/>
    <col min="14597" max="14597" width="15.42578125" style="812" customWidth="1"/>
    <col min="14598" max="14598" width="1.140625" style="812" customWidth="1"/>
    <col min="14599" max="14599" width="15.42578125" style="812" customWidth="1"/>
    <col min="14600" max="14600" width="10.28515625" style="812"/>
    <col min="14601" max="14601" width="10.85546875" style="812" bestFit="1" customWidth="1"/>
    <col min="14602" max="14848" width="10.28515625" style="812"/>
    <col min="14849" max="14850" width="1.7109375" style="812" customWidth="1"/>
    <col min="14851" max="14851" width="45.85546875" style="812" customWidth="1"/>
    <col min="14852" max="14852" width="1" style="812" customWidth="1"/>
    <col min="14853" max="14853" width="15.42578125" style="812" customWidth="1"/>
    <col min="14854" max="14854" width="1.140625" style="812" customWidth="1"/>
    <col min="14855" max="14855" width="15.42578125" style="812" customWidth="1"/>
    <col min="14856" max="14856" width="10.28515625" style="812"/>
    <col min="14857" max="14857" width="10.85546875" style="812" bestFit="1" customWidth="1"/>
    <col min="14858" max="15104" width="10.28515625" style="812"/>
    <col min="15105" max="15106" width="1.7109375" style="812" customWidth="1"/>
    <col min="15107" max="15107" width="45.85546875" style="812" customWidth="1"/>
    <col min="15108" max="15108" width="1" style="812" customWidth="1"/>
    <col min="15109" max="15109" width="15.42578125" style="812" customWidth="1"/>
    <col min="15110" max="15110" width="1.140625" style="812" customWidth="1"/>
    <col min="15111" max="15111" width="15.42578125" style="812" customWidth="1"/>
    <col min="15112" max="15112" width="10.28515625" style="812"/>
    <col min="15113" max="15113" width="10.85546875" style="812" bestFit="1" customWidth="1"/>
    <col min="15114" max="15360" width="11.42578125" style="812"/>
    <col min="15361" max="15362" width="1.7109375" style="812" customWidth="1"/>
    <col min="15363" max="15363" width="45.85546875" style="812" customWidth="1"/>
    <col min="15364" max="15364" width="1" style="812" customWidth="1"/>
    <col min="15365" max="15365" width="15.42578125" style="812" customWidth="1"/>
    <col min="15366" max="15366" width="1.140625" style="812" customWidth="1"/>
    <col min="15367" max="15367" width="15.42578125" style="812" customWidth="1"/>
    <col min="15368" max="15368" width="10.28515625" style="812"/>
    <col min="15369" max="15369" width="10.85546875" style="812" bestFit="1" customWidth="1"/>
    <col min="15370" max="15616" width="10.28515625" style="812"/>
    <col min="15617" max="15618" width="1.7109375" style="812" customWidth="1"/>
    <col min="15619" max="15619" width="45.85546875" style="812" customWidth="1"/>
    <col min="15620" max="15620" width="1" style="812" customWidth="1"/>
    <col min="15621" max="15621" width="15.42578125" style="812" customWidth="1"/>
    <col min="15622" max="15622" width="1.140625" style="812" customWidth="1"/>
    <col min="15623" max="15623" width="15.42578125" style="812" customWidth="1"/>
    <col min="15624" max="15624" width="10.28515625" style="812"/>
    <col min="15625" max="15625" width="10.85546875" style="812" bestFit="1" customWidth="1"/>
    <col min="15626" max="15872" width="10.28515625" style="812"/>
    <col min="15873" max="15874" width="1.7109375" style="812" customWidth="1"/>
    <col min="15875" max="15875" width="45.85546875" style="812" customWidth="1"/>
    <col min="15876" max="15876" width="1" style="812" customWidth="1"/>
    <col min="15877" max="15877" width="15.42578125" style="812" customWidth="1"/>
    <col min="15878" max="15878" width="1.140625" style="812" customWidth="1"/>
    <col min="15879" max="15879" width="15.42578125" style="812" customWidth="1"/>
    <col min="15880" max="15880" width="10.28515625" style="812"/>
    <col min="15881" max="15881" width="10.85546875" style="812" bestFit="1" customWidth="1"/>
    <col min="15882" max="16128" width="10.28515625" style="812"/>
    <col min="16129" max="16130" width="1.7109375" style="812" customWidth="1"/>
    <col min="16131" max="16131" width="45.85546875" style="812" customWidth="1"/>
    <col min="16132" max="16132" width="1" style="812" customWidth="1"/>
    <col min="16133" max="16133" width="15.42578125" style="812" customWidth="1"/>
    <col min="16134" max="16134" width="1.140625" style="812" customWidth="1"/>
    <col min="16135" max="16135" width="15.42578125" style="812" customWidth="1"/>
    <col min="16136" max="16136" width="10.28515625" style="812"/>
    <col min="16137" max="16137" width="10.85546875" style="812" bestFit="1" customWidth="1"/>
    <col min="16138" max="16384" width="11.42578125" style="812"/>
  </cols>
  <sheetData>
    <row r="1" spans="2:10" ht="13.5" x14ac:dyDescent="0.25">
      <c r="B1" s="807" t="str">
        <f>[2]Actif!C2</f>
        <v>SOCIETE NOUVELLE DES ACCUMULATEURS NOUR</v>
      </c>
      <c r="C1" s="808"/>
      <c r="D1" s="809"/>
      <c r="E1" s="810"/>
      <c r="F1" s="810"/>
      <c r="G1" s="811"/>
    </row>
    <row r="3" spans="2:10" ht="13.5" x14ac:dyDescent="0.2">
      <c r="B3" s="813" t="s">
        <v>527</v>
      </c>
      <c r="C3" s="814"/>
      <c r="D3" s="815"/>
      <c r="E3" s="816">
        <v>2024</v>
      </c>
      <c r="F3" s="816">
        <v>2023</v>
      </c>
      <c r="G3" s="817"/>
    </row>
    <row r="4" spans="2:10" ht="13.5" x14ac:dyDescent="0.2">
      <c r="B4" s="818"/>
      <c r="C4" s="815"/>
      <c r="D4" s="815"/>
      <c r="E4" s="819"/>
      <c r="F4" s="819"/>
      <c r="G4" s="817"/>
    </row>
    <row r="5" spans="2:10" ht="13.5" x14ac:dyDescent="0.2">
      <c r="B5" s="820" t="s">
        <v>10445</v>
      </c>
      <c r="C5" s="820"/>
      <c r="D5" s="821"/>
      <c r="E5" s="822"/>
      <c r="F5" s="822"/>
      <c r="G5" s="823"/>
    </row>
    <row r="6" spans="2:10" ht="13.5" x14ac:dyDescent="0.2">
      <c r="C6" s="824" t="s">
        <v>10446</v>
      </c>
      <c r="D6" s="824"/>
      <c r="E6" s="825" t="e">
        <f>'ETAT DE RESULTAT'!E41</f>
        <v>#VALUE!</v>
      </c>
      <c r="F6" s="825">
        <v>4497376.2257065326</v>
      </c>
      <c r="G6" s="825"/>
    </row>
    <row r="7" spans="2:10" x14ac:dyDescent="0.2">
      <c r="C7" s="824" t="s">
        <v>10447</v>
      </c>
      <c r="D7" s="824"/>
      <c r="E7" s="826"/>
      <c r="F7" s="826"/>
      <c r="G7" s="827"/>
    </row>
    <row r="8" spans="2:10" x14ac:dyDescent="0.2">
      <c r="C8" s="824" t="s">
        <v>10448</v>
      </c>
      <c r="D8" s="824"/>
      <c r="E8" s="826">
        <v>4246984.2149999999</v>
      </c>
      <c r="F8" s="826">
        <v>2435819</v>
      </c>
      <c r="G8" s="826"/>
      <c r="I8" s="828"/>
      <c r="J8" s="829"/>
    </row>
    <row r="9" spans="2:10" x14ac:dyDescent="0.2">
      <c r="C9" s="824" t="s">
        <v>10449</v>
      </c>
      <c r="D9" s="824"/>
      <c r="E9" s="826"/>
      <c r="F9" s="826"/>
      <c r="G9" s="826"/>
    </row>
    <row r="10" spans="2:10" x14ac:dyDescent="0.2">
      <c r="C10" s="824" t="s">
        <v>10450</v>
      </c>
      <c r="D10" s="824"/>
      <c r="E10" s="826"/>
      <c r="F10" s="826"/>
      <c r="G10" s="826"/>
    </row>
    <row r="11" spans="2:10" x14ac:dyDescent="0.2">
      <c r="C11" s="824" t="s">
        <v>10121</v>
      </c>
      <c r="D11" s="824"/>
      <c r="E11" s="826"/>
      <c r="F11" s="826"/>
      <c r="G11" s="826"/>
    </row>
    <row r="12" spans="2:10" x14ac:dyDescent="0.2">
      <c r="C12" s="824" t="s">
        <v>10451</v>
      </c>
      <c r="D12" s="824"/>
      <c r="E12" s="826"/>
      <c r="F12" s="826"/>
      <c r="G12" s="826"/>
      <c r="I12" s="828"/>
    </row>
    <row r="13" spans="2:10" x14ac:dyDescent="0.2">
      <c r="C13" s="824" t="s">
        <v>10099</v>
      </c>
      <c r="D13" s="824"/>
      <c r="E13" s="826">
        <v>-5200903.0109999999</v>
      </c>
      <c r="F13" s="826">
        <v>-1158399</v>
      </c>
      <c r="G13" s="826"/>
      <c r="I13" s="827"/>
      <c r="J13" s="829"/>
    </row>
    <row r="14" spans="2:10" x14ac:dyDescent="0.2">
      <c r="C14" s="824" t="s">
        <v>10452</v>
      </c>
      <c r="D14" s="824"/>
      <c r="E14" s="826">
        <v>-4817692.1600000104</v>
      </c>
      <c r="F14" s="826">
        <v>-3572960</v>
      </c>
      <c r="G14" s="826"/>
    </row>
    <row r="15" spans="2:10" x14ac:dyDescent="0.2">
      <c r="C15" s="824" t="s">
        <v>10101</v>
      </c>
      <c r="D15" s="824"/>
      <c r="E15" s="826">
        <v>-4925452.130481516</v>
      </c>
      <c r="F15" s="826">
        <v>-3183906</v>
      </c>
      <c r="G15" s="826"/>
    </row>
    <row r="16" spans="2:10" x14ac:dyDescent="0.2">
      <c r="C16" s="824" t="s">
        <v>10453</v>
      </c>
      <c r="D16" s="824"/>
      <c r="E16" s="826">
        <v>-333026.48200000002</v>
      </c>
      <c r="F16" s="826">
        <v>0</v>
      </c>
      <c r="G16" s="826"/>
    </row>
    <row r="17" spans="2:9" x14ac:dyDescent="0.2">
      <c r="C17" s="824" t="s">
        <v>10121</v>
      </c>
      <c r="D17" s="824"/>
      <c r="E17" s="826">
        <v>69444.538</v>
      </c>
      <c r="F17" s="826">
        <v>20042</v>
      </c>
      <c r="G17" s="826"/>
    </row>
    <row r="18" spans="2:9" x14ac:dyDescent="0.2">
      <c r="C18" s="824" t="s">
        <v>10454</v>
      </c>
      <c r="D18" s="824"/>
      <c r="E18" s="826" t="e">
        <f>SUMIF('[3]BAL GEN 23'!$I:$I,$C18,'[3]BAL GEN 23'!$F:$F)</f>
        <v>#VALUE!</v>
      </c>
      <c r="F18" s="826">
        <v>0</v>
      </c>
      <c r="G18" s="826"/>
    </row>
    <row r="19" spans="2:9" x14ac:dyDescent="0.2">
      <c r="C19" s="824" t="s">
        <v>10122</v>
      </c>
      <c r="D19" s="824"/>
      <c r="E19" s="826">
        <v>-243389.02900000001</v>
      </c>
      <c r="F19" s="826">
        <v>-252620.448</v>
      </c>
      <c r="G19" s="826"/>
    </row>
    <row r="20" spans="2:9" ht="25.5" x14ac:dyDescent="0.2">
      <c r="C20" s="830" t="s">
        <v>10455</v>
      </c>
      <c r="D20" s="824"/>
      <c r="E20" s="826">
        <v>0</v>
      </c>
      <c r="F20" s="826">
        <v>0</v>
      </c>
      <c r="G20" s="826"/>
    </row>
    <row r="21" spans="2:9" x14ac:dyDescent="0.2">
      <c r="C21" s="824"/>
      <c r="D21" s="824"/>
      <c r="E21" s="826"/>
      <c r="F21" s="826"/>
      <c r="G21" s="826"/>
    </row>
    <row r="22" spans="2:9" ht="13.5" x14ac:dyDescent="0.2">
      <c r="B22" s="831" t="s">
        <v>10456</v>
      </c>
      <c r="C22" s="832"/>
      <c r="D22" s="815"/>
      <c r="E22" s="833" t="e">
        <f>SUM(E6:E21)</f>
        <v>#VALUE!</v>
      </c>
      <c r="F22" s="833">
        <v>-1214648.2222934675</v>
      </c>
      <c r="G22" s="834"/>
      <c r="I22" s="829"/>
    </row>
    <row r="23" spans="2:9" x14ac:dyDescent="0.2">
      <c r="B23" s="835"/>
      <c r="C23" s="836"/>
      <c r="D23" s="837"/>
      <c r="E23" s="838"/>
      <c r="F23" s="838"/>
      <c r="G23" s="839"/>
    </row>
    <row r="24" spans="2:9" ht="13.5" x14ac:dyDescent="0.2">
      <c r="C24" s="821" t="s">
        <v>10457</v>
      </c>
      <c r="D24" s="821"/>
      <c r="E24" s="840"/>
      <c r="F24" s="840"/>
      <c r="G24" s="840"/>
    </row>
    <row r="25" spans="2:9" ht="13.5" x14ac:dyDescent="0.2">
      <c r="C25" s="821"/>
      <c r="D25" s="821"/>
      <c r="E25" s="826"/>
      <c r="F25" s="826"/>
      <c r="G25" s="826"/>
    </row>
    <row r="26" spans="2:9" x14ac:dyDescent="0.2">
      <c r="C26" s="824" t="s">
        <v>10095</v>
      </c>
      <c r="D26" s="824"/>
      <c r="E26" s="826">
        <v>-79849.554000000004</v>
      </c>
      <c r="F26" s="826">
        <v>-1485175</v>
      </c>
      <c r="G26" s="826"/>
    </row>
    <row r="27" spans="2:9" x14ac:dyDescent="0.2">
      <c r="C27" s="824" t="s">
        <v>10096</v>
      </c>
      <c r="D27" s="824"/>
      <c r="E27" s="826">
        <v>56000</v>
      </c>
      <c r="F27" s="826">
        <v>50000</v>
      </c>
      <c r="G27" s="826"/>
    </row>
    <row r="28" spans="2:9" ht="13.5" x14ac:dyDescent="0.2">
      <c r="C28" s="824" t="s">
        <v>10097</v>
      </c>
      <c r="D28" s="821"/>
      <c r="E28" s="826">
        <v>0</v>
      </c>
      <c r="F28" s="826">
        <v>-219854</v>
      </c>
      <c r="G28" s="826"/>
    </row>
    <row r="29" spans="2:9" ht="13.5" x14ac:dyDescent="0.2">
      <c r="C29" s="824" t="s">
        <v>10098</v>
      </c>
      <c r="D29" s="821"/>
      <c r="E29" s="826">
        <v>0</v>
      </c>
      <c r="F29" s="826">
        <v>0</v>
      </c>
    </row>
    <row r="30" spans="2:9" x14ac:dyDescent="0.2">
      <c r="C30" s="830"/>
      <c r="D30" s="830"/>
      <c r="E30" s="841"/>
      <c r="F30" s="841"/>
      <c r="G30" s="841"/>
    </row>
    <row r="31" spans="2:9" ht="13.5" x14ac:dyDescent="0.2">
      <c r="B31" s="831" t="s">
        <v>10458</v>
      </c>
      <c r="C31" s="832"/>
      <c r="D31" s="815"/>
      <c r="E31" s="833">
        <f>SUM(E26:E30)</f>
        <v>-23849.554000000004</v>
      </c>
      <c r="F31" s="833">
        <v>-1655029</v>
      </c>
      <c r="G31" s="834"/>
    </row>
    <row r="32" spans="2:9" x14ac:dyDescent="0.2">
      <c r="B32" s="835"/>
      <c r="C32" s="842"/>
      <c r="D32" s="843"/>
      <c r="E32" s="844"/>
      <c r="F32" s="844"/>
      <c r="G32" s="845"/>
    </row>
    <row r="33" spans="2:9" ht="13.5" x14ac:dyDescent="0.2">
      <c r="C33" s="821" t="s">
        <v>10459</v>
      </c>
      <c r="D33" s="821"/>
      <c r="E33" s="826"/>
      <c r="F33" s="826"/>
      <c r="G33" s="826"/>
    </row>
    <row r="34" spans="2:9" x14ac:dyDescent="0.2">
      <c r="C34" s="824"/>
      <c r="D34" s="824"/>
      <c r="E34" s="826"/>
      <c r="F34" s="826"/>
      <c r="G34" s="826"/>
    </row>
    <row r="35" spans="2:9" x14ac:dyDescent="0.2">
      <c r="C35" s="824" t="s">
        <v>10090</v>
      </c>
      <c r="D35" s="824"/>
      <c r="E35" s="826" t="e">
        <f>-SUMIF('[3]BAL GEN 23'!$I:$I,$C35,'[3]BAL GEN 23'!$F:$F)</f>
        <v>#VALUE!</v>
      </c>
      <c r="F35" s="826">
        <v>0</v>
      </c>
      <c r="G35" s="826"/>
    </row>
    <row r="36" spans="2:9" x14ac:dyDescent="0.2">
      <c r="C36" s="824" t="s">
        <v>10460</v>
      </c>
      <c r="D36" s="824"/>
      <c r="E36" s="826">
        <v>0</v>
      </c>
      <c r="F36" s="826">
        <v>0</v>
      </c>
      <c r="G36" s="826"/>
    </row>
    <row r="37" spans="2:9" x14ac:dyDescent="0.2">
      <c r="C37" s="824" t="s">
        <v>10461</v>
      </c>
      <c r="D37" s="824"/>
      <c r="E37" s="826"/>
      <c r="F37" s="826"/>
      <c r="G37" s="826"/>
    </row>
    <row r="38" spans="2:9" x14ac:dyDescent="0.2">
      <c r="C38" s="824" t="s">
        <v>10107</v>
      </c>
      <c r="D38" s="824"/>
      <c r="E38" s="826">
        <v>0</v>
      </c>
      <c r="F38" s="826">
        <v>0</v>
      </c>
      <c r="G38" s="826"/>
    </row>
    <row r="39" spans="2:9" x14ac:dyDescent="0.2">
      <c r="C39" s="824" t="s">
        <v>10106</v>
      </c>
      <c r="D39" s="824"/>
      <c r="E39" s="826">
        <v>0</v>
      </c>
      <c r="F39" s="826">
        <v>0</v>
      </c>
      <c r="G39" s="826"/>
    </row>
    <row r="40" spans="2:9" ht="15.75" x14ac:dyDescent="0.25">
      <c r="C40" s="824" t="s">
        <v>10108</v>
      </c>
      <c r="D40" s="846"/>
      <c r="E40" s="826">
        <v>42240865</v>
      </c>
      <c r="F40" s="826">
        <v>42240865</v>
      </c>
      <c r="G40" s="826"/>
    </row>
    <row r="41" spans="2:9" ht="15.75" x14ac:dyDescent="0.25">
      <c r="C41" s="824" t="s">
        <v>10109</v>
      </c>
      <c r="D41" s="846"/>
      <c r="E41" s="826">
        <v>-40450000</v>
      </c>
      <c r="F41" s="826">
        <v>-40450000</v>
      </c>
      <c r="G41" s="826"/>
    </row>
    <row r="42" spans="2:9" ht="15.75" x14ac:dyDescent="0.25">
      <c r="C42" s="824" t="s">
        <v>10093</v>
      </c>
      <c r="D42" s="846"/>
      <c r="E42" s="826">
        <v>1200967</v>
      </c>
      <c r="F42" s="826">
        <v>1069274</v>
      </c>
      <c r="G42" s="826"/>
      <c r="I42" s="829"/>
    </row>
    <row r="43" spans="2:9" ht="15.75" x14ac:dyDescent="0.25">
      <c r="C43" s="824" t="s">
        <v>10094</v>
      </c>
      <c r="D43" s="846"/>
      <c r="E43" s="826">
        <v>-181732</v>
      </c>
      <c r="F43" s="826">
        <v>-1006323</v>
      </c>
      <c r="G43" s="826"/>
      <c r="H43" s="828"/>
    </row>
    <row r="44" spans="2:9" ht="15.75" x14ac:dyDescent="0.25">
      <c r="C44" s="824" t="s">
        <v>10462</v>
      </c>
      <c r="D44" s="846"/>
      <c r="E44" s="826"/>
      <c r="F44" s="826"/>
      <c r="G44" s="827"/>
    </row>
    <row r="45" spans="2:9" ht="15.75" x14ac:dyDescent="0.25">
      <c r="C45" s="824" t="s">
        <v>10463</v>
      </c>
      <c r="D45" s="846"/>
      <c r="E45" s="826"/>
      <c r="F45" s="826"/>
      <c r="G45" s="827"/>
    </row>
    <row r="46" spans="2:9" ht="15.75" x14ac:dyDescent="0.25">
      <c r="C46" s="824" t="s">
        <v>10091</v>
      </c>
      <c r="D46" s="846"/>
      <c r="E46" s="826">
        <v>0</v>
      </c>
      <c r="F46" s="826">
        <v>0</v>
      </c>
      <c r="G46" s="827"/>
    </row>
    <row r="47" spans="2:9" ht="13.5" x14ac:dyDescent="0.2">
      <c r="B47" s="831"/>
      <c r="C47" s="832" t="s">
        <v>10464</v>
      </c>
      <c r="D47" s="815"/>
      <c r="E47" s="833" t="e">
        <f>SUM(E35:E46)</f>
        <v>#VALUE!</v>
      </c>
      <c r="F47" s="833">
        <v>1853816</v>
      </c>
      <c r="G47" s="834"/>
    </row>
    <row r="48" spans="2:9" ht="13.5" x14ac:dyDescent="0.2">
      <c r="B48" s="831"/>
      <c r="C48" s="832"/>
      <c r="D48" s="815"/>
      <c r="E48" s="833"/>
      <c r="F48" s="833"/>
      <c r="G48" s="847"/>
    </row>
    <row r="49" spans="2:7" ht="25.5" x14ac:dyDescent="0.2">
      <c r="B49" s="831"/>
      <c r="C49" s="848" t="s">
        <v>10465</v>
      </c>
      <c r="D49" s="815"/>
      <c r="E49" s="833"/>
      <c r="F49" s="833"/>
      <c r="G49" s="849">
        <f>+G20</f>
        <v>0</v>
      </c>
    </row>
    <row r="50" spans="2:7" ht="13.5" x14ac:dyDescent="0.2">
      <c r="B50" s="831"/>
      <c r="C50" s="832"/>
      <c r="D50" s="815"/>
      <c r="E50" s="833"/>
      <c r="F50" s="833"/>
      <c r="G50" s="847"/>
    </row>
    <row r="51" spans="2:7" ht="13.5" x14ac:dyDescent="0.2">
      <c r="B51" s="831"/>
      <c r="C51" s="832" t="s">
        <v>10466</v>
      </c>
      <c r="D51" s="815"/>
      <c r="E51" s="833" t="e">
        <f>SUM(E47+E31+E22)+E49</f>
        <v>#VALUE!</v>
      </c>
      <c r="F51" s="833">
        <v>-1015861.2222934675</v>
      </c>
      <c r="G51" s="849"/>
    </row>
    <row r="52" spans="2:7" x14ac:dyDescent="0.2">
      <c r="B52" s="835"/>
      <c r="C52" s="850"/>
      <c r="D52" s="851"/>
      <c r="E52" s="852"/>
      <c r="F52" s="852"/>
      <c r="G52" s="853"/>
    </row>
    <row r="53" spans="2:7" x14ac:dyDescent="0.2">
      <c r="C53" s="854" t="s">
        <v>10110</v>
      </c>
      <c r="D53" s="854"/>
      <c r="E53" s="826">
        <v>-1035346</v>
      </c>
      <c r="F53" s="826">
        <v>-19485</v>
      </c>
      <c r="G53" s="826"/>
    </row>
    <row r="54" spans="2:7" x14ac:dyDescent="0.2">
      <c r="C54" s="854"/>
      <c r="D54" s="854"/>
      <c r="E54" s="826"/>
      <c r="F54" s="826"/>
      <c r="G54" s="826"/>
    </row>
    <row r="55" spans="2:7" ht="13.5" thickBot="1" x14ac:dyDescent="0.25">
      <c r="B55" s="855"/>
      <c r="C55" s="856" t="s">
        <v>10111</v>
      </c>
      <c r="D55" s="854"/>
      <c r="E55" s="857">
        <v>-779268.33799999999</v>
      </c>
      <c r="F55" s="857">
        <v>-1035346</v>
      </c>
      <c r="G55" s="826"/>
    </row>
    <row r="57" spans="2:7" x14ac:dyDescent="0.2">
      <c r="E57" s="828">
        <f>+E55-E53</f>
        <v>256077.66200000001</v>
      </c>
      <c r="F57" s="828">
        <v>-1015861</v>
      </c>
      <c r="G57" s="829">
        <f t="shared" ref="G57" si="0">+G55-G53</f>
        <v>0</v>
      </c>
    </row>
    <row r="58" spans="2:7" x14ac:dyDescent="0.2">
      <c r="E58" s="828" t="e">
        <f t="shared" ref="E58:G58" si="1">+E51-E57</f>
        <v>#VALUE!</v>
      </c>
      <c r="F58" s="828">
        <v>-0.2222934674937278</v>
      </c>
      <c r="G58" s="829">
        <f t="shared" si="1"/>
        <v>0</v>
      </c>
    </row>
    <row r="61" spans="2:7" x14ac:dyDescent="0.2">
      <c r="G61" s="8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48</vt:i4>
      </vt:variant>
      <vt:variant>
        <vt:lpstr>Plages nommées</vt:lpstr>
      </vt:variant>
      <vt:variant>
        <vt:i4>12</vt:i4>
      </vt:variant>
    </vt:vector>
  </HeadingPairs>
  <TitlesOfParts>
    <vt:vector size="60" baseType="lpstr">
      <vt:lpstr>OD 01-23</vt:lpstr>
      <vt:lpstr>BAL 01-23</vt:lpstr>
      <vt:lpstr>OD 01-24</vt:lpstr>
      <vt:lpstr>BAL 01-24</vt:lpstr>
      <vt:lpstr>Stock 31-01-2024</vt:lpstr>
      <vt:lpstr>OD 02-23</vt:lpstr>
      <vt:lpstr>BAL 02-23</vt:lpstr>
      <vt:lpstr>BAL 03-23</vt:lpstr>
      <vt:lpstr>BAL 04-23</vt:lpstr>
      <vt:lpstr>OD 05-24</vt:lpstr>
      <vt:lpstr>OD 07-24</vt:lpstr>
      <vt:lpstr>OD 08-24</vt:lpstr>
      <vt:lpstr>OD 09-24</vt:lpstr>
      <vt:lpstr>OD 10-24</vt:lpstr>
      <vt:lpstr>OD 11-24</vt:lpstr>
      <vt:lpstr>OD 12-24</vt:lpstr>
      <vt:lpstr>BAL 05-23</vt:lpstr>
      <vt:lpstr>BAL 07-23</vt:lpstr>
      <vt:lpstr>BAL 09-23</vt:lpstr>
      <vt:lpstr>BAL 11-23</vt:lpstr>
      <vt:lpstr>BAL 12-23</vt:lpstr>
      <vt:lpstr>OD 02-24</vt:lpstr>
      <vt:lpstr>OD 04-24</vt:lpstr>
      <vt:lpstr>BAL 02-24</vt:lpstr>
      <vt:lpstr>BAL 04-24</vt:lpstr>
      <vt:lpstr>Stock 29-02-2024</vt:lpstr>
      <vt:lpstr>BAL 05-24</vt:lpstr>
      <vt:lpstr>BAL 07-24</vt:lpstr>
      <vt:lpstr>BAL 08-24</vt:lpstr>
      <vt:lpstr>BAL 09-24</vt:lpstr>
      <vt:lpstr>BAL 10-24</vt:lpstr>
      <vt:lpstr>BAL 11-24</vt:lpstr>
      <vt:lpstr>BAL 12-24</vt:lpstr>
      <vt:lpstr>P&amp;L 12-24</vt:lpstr>
      <vt:lpstr>P&amp;L analyt 12-24</vt:lpstr>
      <vt:lpstr>BILAN</vt:lpstr>
      <vt:lpstr>Resume</vt:lpstr>
      <vt:lpstr>Notes</vt:lpstr>
      <vt:lpstr>STOCK SNA 04-24</vt:lpstr>
      <vt:lpstr>STK 06-24</vt:lpstr>
      <vt:lpstr>BAL 06-24</vt:lpstr>
      <vt:lpstr>BAL 06-23</vt:lpstr>
      <vt:lpstr>OD 06-24</vt:lpstr>
      <vt:lpstr>STK 08-24</vt:lpstr>
      <vt:lpstr>STK 12-24</vt:lpstr>
      <vt:lpstr>ETAT DE RESULTAT</vt:lpstr>
      <vt:lpstr>BAL 10-23 </vt:lpstr>
      <vt:lpstr>ET.FLUX</vt:lpstr>
      <vt:lpstr>'BAL 01-23'!Zone_d_impression</vt:lpstr>
      <vt:lpstr>'BAL 02-23'!Zone_d_impression</vt:lpstr>
      <vt:lpstr>'BAL 03-23'!Zone_d_impression</vt:lpstr>
      <vt:lpstr>'BAL 04-23'!Zone_d_impression</vt:lpstr>
      <vt:lpstr>'BAL 05-23'!Zone_d_impression</vt:lpstr>
      <vt:lpstr>'BAL 06-23'!Zone_d_impression</vt:lpstr>
      <vt:lpstr>'BAL 07-23'!Zone_d_impression</vt:lpstr>
      <vt:lpstr>'BAL 09-23'!Zone_d_impression</vt:lpstr>
      <vt:lpstr>'BAL 10-23 '!Zone_d_impression</vt:lpstr>
      <vt:lpstr>'P&amp;L 12-24'!Zone_d_impression</vt:lpstr>
      <vt:lpstr>'Stock 29-02-2024'!Zone_d_impression</vt:lpstr>
      <vt:lpstr>'Stock 31-01-2024'!Zone_d_impression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NAIM BENMBAREK</dc:creator>
  <cp:lastModifiedBy>Fawzi Hammami</cp:lastModifiedBy>
  <cp:lastPrinted>2025-01-15T10:28:40Z</cp:lastPrinted>
  <dcterms:created xsi:type="dcterms:W3CDTF">2022-02-09T12:12:40Z</dcterms:created>
  <dcterms:modified xsi:type="dcterms:W3CDTF">2025-01-23T09:33:38Z</dcterms:modified>
</cp:coreProperties>
</file>